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tiff" ContentType="image/tiff"/>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C026B480-071E-DA80-A48C-D3F380F32C35}"/>
  <workbookPr updateLinks="always" codeName="ThisWorkbook" defaultThemeVersion="124226"/>
  <mc:AlternateContent xmlns:mc="http://schemas.openxmlformats.org/markup-compatibility/2006">
    <mc:Choice Requires="x15">
      <x15ac:absPath xmlns:x15ac="http://schemas.microsoft.com/office/spreadsheetml/2010/11/ac" url="https://grupocobra-my.sharepoint.com/personal/guerrero_egido_syneox_com/Documents/Documentation for ISR/DATA for maintenance/OCS Layouts + Workbooks + Sectioning diagrams/EP06/"/>
    </mc:Choice>
  </mc:AlternateContent>
  <xr:revisionPtr revIDLastSave="3" documentId="13_ncr:1_{6CDDC356-6F13-4B6B-8A3C-CC5D385451C9}" xr6:coauthVersionLast="47" xr6:coauthVersionMax="47" xr10:uidLastSave="{D9AA587A-F669-4F1D-8AE3-C9987A400A27}"/>
  <bookViews>
    <workbookView xWindow="28680" yWindow="855" windowWidth="29040" windowHeight="15720" tabRatio="948" activeTab="8" xr2:uid="{00000000-000D-0000-FFFF-FFFF00000000}"/>
  </bookViews>
  <sheets>
    <sheet name="Revision Data" sheetId="21403" r:id="rId1"/>
    <sheet name="HR Track 1 RIS-HER" sheetId="21424" r:id="rId2"/>
    <sheet name="HR Track 2 RIS-HER" sheetId="21423" r:id="rId3"/>
    <sheet name="HR Track 1 RAAN-HER" sheetId="21435" r:id="rId4"/>
    <sheet name="HR Track 2 RAAN-HER" sheetId="21436" r:id="rId5"/>
    <sheet name="HR Track 1 HER" sheetId="21425" r:id="rId6"/>
    <sheet name="HR Track 2 HER" sheetId="21426" r:id="rId7"/>
    <sheet name="HR Track 3 HER" sheetId="21427" r:id="rId8"/>
    <sheet name="HR Track 4 HER" sheetId="21428" r:id="rId9"/>
    <sheet name="HR Track 2 HER-TSA " sheetId="21416" r:id="rId10"/>
    <sheet name="HR Track 5 HER" sheetId="21429" r:id="rId11"/>
    <sheet name="HR Track 6 HER" sheetId="21430" r:id="rId12"/>
    <sheet name="HR Track 1 HER-TSA" sheetId="21417" r:id="rId13"/>
    <sheet name="HR Track 3 HER-TSA" sheetId="21415" r:id="rId14"/>
    <sheet name="HR Track 4 HER-TSA" sheetId="108" r:id="rId15"/>
    <sheet name="HR Track 5 HER-TSA" sheetId="21431" r:id="rId16"/>
    <sheet name="HR Track 1 BBR-TUN" sheetId="21433" r:id="rId17"/>
    <sheet name="HR Track 2 BBR-TUN" sheetId="21434" r:id="rId18"/>
    <sheet name="HR Track 5 BBR-HER" sheetId="21432" r:id="rId19"/>
    <sheet name="HR Track 51 HER-TSA" sheetId="21410" r:id="rId20"/>
    <sheet name="HR Track 52 HER-TSA" sheetId="21411" r:id="rId21"/>
    <sheet name="HR Track 53 HER-TSA" sheetId="21412" r:id="rId22"/>
    <sheet name="HR Track 1 TSA" sheetId="21422" r:id="rId23"/>
    <sheet name="HR Track 2 TSA" sheetId="21421" r:id="rId24"/>
    <sheet name="HR Track 3 TSA" sheetId="21420" r:id="rId25"/>
    <sheet name="HR Track 4 TSA" sheetId="21419" r:id="rId26"/>
    <sheet name="HR Track 5 TSA" sheetId="21418" r:id="rId27"/>
    <sheet name="HR Track 6 TSA" sheetId="21399" r:id="rId28"/>
    <sheet name="HR Track 1 TSA-THA" sheetId="2" r:id="rId29"/>
    <sheet name="HR Track 2 TSA-THA" sheetId="21398" r:id="rId30"/>
    <sheet name="HR Track 3 TSA-THA" sheetId="3" r:id="rId31"/>
    <sheet name="HR Track 4 THA-HOLON" sheetId="21414" r:id="rId32"/>
    <sheet name="HR Track 5 THA-HOLON" sheetId="21400" r:id="rId33"/>
    <sheet name="Recuento Conjuntos" sheetId="21408" r:id="rId34"/>
    <sheet name="Mediciones TOTAL" sheetId="21409" state="hidden" r:id="rId35"/>
    <sheet name="Recuento Especiales" sheetId="21407" state="hidden" r:id="rId36"/>
    <sheet name="Pole_Calculations" sheetId="21437" state="hidden" r:id="rId37"/>
    <sheet name="Foundation Calculation" sheetId="21406" r:id="rId38"/>
    <sheet name="CWHeight" sheetId="21413" state="hidden" r:id="rId39"/>
    <sheet name="control" sheetId="21397" state="hidden" r:id="rId40"/>
    <sheet name="Arms" sheetId="21402" state="hidden" r:id="rId41"/>
  </sheets>
  <definedNames>
    <definedName name="_xlnm._FilterDatabase" localSheetId="37" hidden="1">'Foundation Calculation'!$Y$1:$AE$1</definedName>
    <definedName name="_xlnm._FilterDatabase" localSheetId="16" hidden="1">'HR Track 1 BBR-TUN'!$A$2:$BG$106</definedName>
    <definedName name="_xlnm._FilterDatabase" localSheetId="5" hidden="1">'HR Track 1 HER'!$A$2:$BF$94</definedName>
    <definedName name="_xlnm._FilterDatabase" localSheetId="12" hidden="1">'HR Track 1 HER-TSA'!$A$2:$BG$345</definedName>
    <definedName name="_xlnm._FilterDatabase" localSheetId="3" hidden="1">'HR Track 1 RAAN-HER'!$A$2:$BG$95</definedName>
    <definedName name="_xlnm._FilterDatabase" localSheetId="1" hidden="1">'HR Track 1 RIS-HER'!$A$2:$BG$143</definedName>
    <definedName name="_xlnm._FilterDatabase" localSheetId="22" hidden="1">'HR Track 1 TSA'!$A$2:$BG$64</definedName>
    <definedName name="_xlnm._FilterDatabase" localSheetId="28" hidden="1">'HR Track 1 TSA-THA'!$A$2:$BG$246</definedName>
    <definedName name="_xlnm._FilterDatabase" localSheetId="17" hidden="1">'HR Track 2 BBR-TUN'!$A$2:$BG$102</definedName>
    <definedName name="_xlnm._FilterDatabase" localSheetId="6" hidden="1">'HR Track 2 HER'!$A$2:$BG$96</definedName>
    <definedName name="_xlnm._FilterDatabase" localSheetId="9" hidden="1">'HR Track 2 HER-TSA '!$A$2:$BG$354</definedName>
    <definedName name="_xlnm._FilterDatabase" localSheetId="4" hidden="1">'HR Track 2 RAAN-HER'!$A$2:$BG$95</definedName>
    <definedName name="_xlnm._FilterDatabase" localSheetId="2" hidden="1">'HR Track 2 RIS-HER'!$A$2:$BG$141</definedName>
    <definedName name="_xlnm._FilterDatabase" localSheetId="23" hidden="1">'HR Track 2 TSA'!$A$2:$BG$42</definedName>
    <definedName name="_xlnm._FilterDatabase" localSheetId="29" hidden="1">'HR Track 2 TSA-THA'!$A$2:$BG$247</definedName>
    <definedName name="_xlnm._FilterDatabase" localSheetId="7" hidden="1">'HR Track 3 HER'!$A$2:$BG$68</definedName>
    <definedName name="_xlnm._FilterDatabase" localSheetId="13" hidden="1">'HR Track 3 HER-TSA'!$A$2:$BG$347</definedName>
    <definedName name="_xlnm._FilterDatabase" localSheetId="24" hidden="1">'HR Track 3 TSA'!$A$2:$BG$43</definedName>
    <definedName name="_xlnm._FilterDatabase" localSheetId="30" hidden="1">'HR Track 3 TSA-THA'!$A$2:$BG$198</definedName>
    <definedName name="_xlnm._FilterDatabase" localSheetId="8" hidden="1">'HR Track 4 HER'!$A$2:$BG$116</definedName>
    <definedName name="_xlnm._FilterDatabase" localSheetId="14" hidden="1">'HR Track 4 HER-TSA'!$A$2:$BG$350</definedName>
    <definedName name="_xlnm._FilterDatabase" localSheetId="31" hidden="1">'HR Track 4 THA-HOLON'!$A$2:$BG$65</definedName>
    <definedName name="_xlnm._FilterDatabase" localSheetId="25" hidden="1">'HR Track 4 TSA'!$A$2:$BG$63</definedName>
    <definedName name="_xlnm._FilterDatabase" localSheetId="18" hidden="1">'HR Track 5 BBR-HER'!$A$2:$BG$56</definedName>
    <definedName name="_xlnm._FilterDatabase" localSheetId="10" hidden="1">'HR Track 5 HER'!$A$2:$BG$98</definedName>
    <definedName name="_xlnm._FilterDatabase" localSheetId="15" hidden="1">'HR Track 5 HER-TSA'!$A$2:$BG$19</definedName>
    <definedName name="_xlnm._FilterDatabase" localSheetId="32" hidden="1">'HR Track 5 THA-HOLON'!$A$2:$BG$65</definedName>
    <definedName name="_xlnm._FilterDatabase" localSheetId="26" hidden="1">'HR Track 5 TSA'!$A$2:$BG$46</definedName>
    <definedName name="_xlnm._FilterDatabase" localSheetId="19" hidden="1">'HR Track 51 HER-TSA'!$A$2:$BG$44</definedName>
    <definedName name="_xlnm._FilterDatabase" localSheetId="20" hidden="1">'HR Track 52 HER-TSA'!$A$2:$BG$32</definedName>
    <definedName name="_xlnm._FilterDatabase" localSheetId="21" hidden="1">'HR Track 53 HER-TSA'!$A$2:$BG$41</definedName>
    <definedName name="_xlnm._FilterDatabase" localSheetId="11" hidden="1">'HR Track 6 HER'!$A$2:$BG$111</definedName>
    <definedName name="_xlnm._FilterDatabase" localSheetId="27" hidden="1">'HR Track 6 TSA'!$A$2:$BG$62</definedName>
    <definedName name="_xlnm._FilterDatabase" localSheetId="33" hidden="1">'Recuento Conjuntos'!$A$2:$G$369</definedName>
    <definedName name="_xlnm._FilterDatabase" localSheetId="35" hidden="1">'Recuento Especiales'!#REF!</definedName>
    <definedName name="ads" localSheetId="5">'HR Track 1 HER'!$A$1:$AY$45</definedName>
    <definedName name="_xlnm.Print_Area" localSheetId="39">control!$A$1:$C$47</definedName>
    <definedName name="_xlnm.Print_Area" localSheetId="16">'HR Track 1 BBR-TUN'!$A$1:$BB$106</definedName>
    <definedName name="_xlnm.Print_Area" localSheetId="5">'HR Track 1 HER'!$A$1:$BA$94</definedName>
    <definedName name="_xlnm.Print_Area" localSheetId="12">'HR Track 1 HER-TSA'!$A$1:$BB$345</definedName>
    <definedName name="_xlnm.Print_Area" localSheetId="3">'HR Track 1 RAAN-HER'!$A$1:$BB$95</definedName>
    <definedName name="_xlnm.Print_Area" localSheetId="1">'HR Track 1 RIS-HER'!$A$1:$BB$143</definedName>
    <definedName name="_xlnm.Print_Area" localSheetId="22">'HR Track 1 TSA'!$A$1:$BB$64</definedName>
    <definedName name="_xlnm.Print_Area" localSheetId="28">'HR Track 1 TSA-THA'!$A$1:$BB$246</definedName>
    <definedName name="_xlnm.Print_Area" localSheetId="17">'HR Track 2 BBR-TUN'!$A$1:$BB$102</definedName>
    <definedName name="_xlnm.Print_Area" localSheetId="6">'HR Track 2 HER'!$A$1:$BB$96</definedName>
    <definedName name="_xlnm.Print_Area" localSheetId="9">'HR Track 2 HER-TSA '!$A$1:$BB$354</definedName>
    <definedName name="_xlnm.Print_Area" localSheetId="4">'HR Track 2 RAAN-HER'!$A$1:$BB$95</definedName>
    <definedName name="_xlnm.Print_Area" localSheetId="2">'HR Track 2 RIS-HER'!$A$1:$BB$141</definedName>
    <definedName name="_xlnm.Print_Area" localSheetId="23">'HR Track 2 TSA'!$A$1:$BB$42</definedName>
    <definedName name="_xlnm.Print_Area" localSheetId="29">'HR Track 2 TSA-THA'!$A$1:$BB$247</definedName>
    <definedName name="_xlnm.Print_Area" localSheetId="7">'HR Track 3 HER'!$A$1:$BB$68</definedName>
    <definedName name="_xlnm.Print_Area" localSheetId="13">'HR Track 3 HER-TSA'!$A$1:$BB$347</definedName>
    <definedName name="_xlnm.Print_Area" localSheetId="24">'HR Track 3 TSA'!$A$1:$BB$43</definedName>
    <definedName name="_xlnm.Print_Area" localSheetId="30">'HR Track 3 TSA-THA'!$A$1:$BB$198</definedName>
    <definedName name="_xlnm.Print_Area" localSheetId="8">'HR Track 4 HER'!$A$1:$BB$116</definedName>
    <definedName name="_xlnm.Print_Area" localSheetId="14">'HR Track 4 HER-TSA'!$A$1:$BB$350</definedName>
    <definedName name="_xlnm.Print_Area" localSheetId="31">'HR Track 4 THA-HOLON'!$A$1:$BB$65</definedName>
    <definedName name="_xlnm.Print_Area" localSheetId="25">'HR Track 4 TSA'!$A$1:$BB$63</definedName>
    <definedName name="_xlnm.Print_Area" localSheetId="18">'HR Track 5 BBR-HER'!$A$1:$BB$56</definedName>
    <definedName name="_xlnm.Print_Area" localSheetId="10">'HR Track 5 HER'!$A$1:$BB$98</definedName>
    <definedName name="_xlnm.Print_Area" localSheetId="15">'HR Track 5 HER-TSA'!$A$1:$BB$19</definedName>
    <definedName name="_xlnm.Print_Area" localSheetId="32">'HR Track 5 THA-HOLON'!$A$1:$BB$65</definedName>
    <definedName name="_xlnm.Print_Area" localSheetId="26">'HR Track 5 TSA'!$A$1:$BB$46</definedName>
    <definedName name="_xlnm.Print_Area" localSheetId="19">'HR Track 51 HER-TSA'!$A$1:$BB$44</definedName>
    <definedName name="_xlnm.Print_Area" localSheetId="20">'HR Track 52 HER-TSA'!$A$1:$BB$32</definedName>
    <definedName name="_xlnm.Print_Area" localSheetId="21">'HR Track 53 HER-TSA'!$A$1:$BB$41</definedName>
    <definedName name="_xlnm.Print_Area" localSheetId="11">'HR Track 6 HER'!$A$1:$BB$111</definedName>
    <definedName name="_xlnm.Print_Area" localSheetId="27">'HR Track 6 TSA'!$A$1:$BB$52</definedName>
    <definedName name="_xlnm.Print_Area" localSheetId="34">'Mediciones TOTAL'!$A$3:$G$347</definedName>
    <definedName name="_xlnm.Print_Area" localSheetId="33">'Recuento Conjuntos'!$A$1:$AM$369</definedName>
    <definedName name="_xlnm.Print_Area" localSheetId="35">'Recuento Especiales'!$A$1:$C$29</definedName>
    <definedName name="_xlnm.Print_Area" localSheetId="0">'Revision Data'!$A$1:$D$128</definedName>
    <definedName name="Area_S1BBRTUN">'HR Track 1 BBR-TUN'!$AJ$4:$AJ$102</definedName>
    <definedName name="Area_S1HER">'HR Track 1 HER'!$AI$5:$AI$86</definedName>
    <definedName name="Area_S1HERTSA">'HR Track 1 HER-TSA'!$AJ$10:$AJ$341</definedName>
    <definedName name="Area_S1RAANHER">'HR Track 1 RAAN-HER'!$AJ$4:$AJ$87</definedName>
    <definedName name="Area_S1RISHER">'HR Track 1 RIS-HER'!$AJ$4:$AJ$125</definedName>
    <definedName name="Area_S1TSA">'HR Track 1 TSA'!$AJ$9:$AJ$52</definedName>
    <definedName name="Area_S1TSATHA">'HR Track 1 TSA-THA'!$AJ$5:$AJ$235</definedName>
    <definedName name="Area_S2BBRTUN">'HR Track 2 BBR-TUN'!$AJ$4:$AJ$100</definedName>
    <definedName name="Area_S2HER">'HR Track 2 HER'!$AJ$5:$AJ$86</definedName>
    <definedName name="Area_S2HERTSA">'HR Track 2 HER-TSA '!$AJ$13:$AJ$344</definedName>
    <definedName name="Area_S2RAANHER">'HR Track 2 RAAN-HER'!$AJ$4:$AJ$87</definedName>
    <definedName name="Area_S2RISHER">'HR Track 2 RIS-HER'!$AJ$4:$AJ$125</definedName>
    <definedName name="Area_S2TSA">'HR Track 2 TSA'!$AJ$11:$AJ$33</definedName>
    <definedName name="Area_S2TSATHA">'HR Track 2 TSA-THA'!$AJ$5:$AJ$233</definedName>
    <definedName name="Area_S3HER">'HR Track 3 HER'!$AJ$4:$AJ$66</definedName>
    <definedName name="Area_S3HERTSA">'HR Track 3 HER-TSA'!$AJ$6:$AJ$337</definedName>
    <definedName name="Area_S3TSA">'HR Track 3 TSA'!$AJ$11:$AJ$35</definedName>
    <definedName name="Area_S3TSATHA">'HR Track 3 TSA-THA'!$AJ$5:$AJ$186</definedName>
    <definedName name="Area_S4HER">'HR Track 4 HER'!$AJ$4:$AJ$115</definedName>
    <definedName name="Area_S4HERTSA">'HR Track 4 HER-TSA'!$AJ$6:$AJ$347</definedName>
    <definedName name="Area_S4THAHOLON">'HR Track 4 THA-HOLON'!$AJ$13:$AJ$50</definedName>
    <definedName name="Area_S4TSA">'HR Track 4 TSA'!$AJ$5:$AJ$47</definedName>
    <definedName name="Area_S51HERTSA">'HR Track 51 HER-TSA'!$AJ$4:$AJ$42</definedName>
    <definedName name="Area_S52HERTSA">'HR Track 52 HER-TSA'!$AJ$10:$AJ$26</definedName>
    <definedName name="Area_S53HERTSA">'HR Track 53 HER-TSA'!$AJ$10:$AJ$34</definedName>
    <definedName name="Area_S5BBRHER">'HR Track 5 BBR-HER'!$AJ$4:$AJ$56</definedName>
    <definedName name="Area_S5HER">'HR Track 5 HER'!$AJ$4:$AJ$98</definedName>
    <definedName name="Area_S5HERTSA">'HR Track 5 HER-TSA'!$AJ$11:$AJ$19</definedName>
    <definedName name="Area_S5THAHOLON">'HR Track 5 THA-HOLON'!$AJ$9:$AJ$50</definedName>
    <definedName name="Area_S5TSA">'HR Track 5 TSA'!$AJ$6:$AJ$41</definedName>
    <definedName name="Area_S6HER">'HR Track 6 HER'!$AJ$6:$AJ$109</definedName>
    <definedName name="Area_S6TSA">'HR Track 6 TSA'!$AJ$9:$AJ$50</definedName>
    <definedName name="Area_v1BBRTUN">'HR Track 1 BBR-TUN'!$A$4:$AM$102</definedName>
    <definedName name="Area_v1BBRTUN_AncFound">'HR Track 1 BBR-TUN'!$K$4:$K$102</definedName>
    <definedName name="Area_v1HER">'HR Track 1 HER'!$A$5:$AL$86</definedName>
    <definedName name="Area_v1HER_AncFound">'HR Track 1 HER'!$J$2:$J$86</definedName>
    <definedName name="Area_v1HERTSA">'HR Track 1 HER-TSA'!$A$10:$AM$341</definedName>
    <definedName name="Area_v1HERTSA_AncFound">'HR Track 1 HER-TSA'!$K$2:$K$341</definedName>
    <definedName name="Area_v1RAANHER">'HR Track 1 RAAN-HER'!$A$4:$AM$87</definedName>
    <definedName name="Area_v1RAANHER_AncFound">'HR Track 1 RAAN-HER'!$K$4:$K$87</definedName>
    <definedName name="Area_v1RISHER">'HR Track 2 RIS-HER'!$A$4:$AM$125</definedName>
    <definedName name="Area_v1RISHER_AncFound">'HR Track 2 RIS-HER'!$K$2:$K$126</definedName>
    <definedName name="Area_v1TSA">'HR Track 1 TSA'!$A$9:$AM$52</definedName>
    <definedName name="Area_v1TSA_AncFound">'HR Track 1 TSA'!$K$2:$K$52</definedName>
    <definedName name="Area_v1TSATHA">'HR Track 1 TSA-THA'!$A$5:$AM$235</definedName>
    <definedName name="Area_v1TSATHA_AncFound">'HR Track 1 TSA-THA'!$K$5:$K$235</definedName>
    <definedName name="Area_v2BBRTUN">'HR Track 2 BBR-TUN'!$A$4:$AM$100</definedName>
    <definedName name="Area_v2BBRTUN_AncFound">'HR Track 2 BBR-TUN'!$K$4:$K$100</definedName>
    <definedName name="Area_v2HER">'HR Track 2 HER'!$A$5:$AM$86</definedName>
    <definedName name="Area_v2HER_AncFound">'HR Track 2 HER'!$K$2:$K$86</definedName>
    <definedName name="Area_v2HERTSA">'HR Track 2 HER-TSA '!$A$13:$AM$344</definedName>
    <definedName name="Area_v2HERTSA_AncFound">'HR Track 2 HER-TSA '!$K$2:$K$344</definedName>
    <definedName name="Area_v2RAANHER">'HR Track 2 RAAN-HER'!$A$4:$AM$87</definedName>
    <definedName name="Area_v2RAANHER_AncFound">'HR Track 2 RAAN-HER'!$K$4:$K$87</definedName>
    <definedName name="Area_v2RISHER">'HR Track 1 RIS-HER'!$A$4:$AM$126</definedName>
    <definedName name="Area_v2RISHER_AncFound">'HR Track 2 RIS-HER'!$K$2:$K$126</definedName>
    <definedName name="Area_v2TSA">'HR Track 2 TSA'!$A$11:$AM$33</definedName>
    <definedName name="Area_v2TSA_AncFound">'HR Track 2 TSA'!$K$2:$K$33</definedName>
    <definedName name="Area_v2TSATHA">'HR Track 2 TSA-THA'!$A$5:$AM$233</definedName>
    <definedName name="Area_v2TSATHA_AncFound">'HR Track 2 TSA-THA'!$K$5:$K$233</definedName>
    <definedName name="Area_v3HER">'HR Track 3 HER'!$A$4:$AM$66</definedName>
    <definedName name="Area_v3HER_AncFound">'HR Track 3 HER'!$K$2:$K$68</definedName>
    <definedName name="Area_v3HERTSA">'HR Track 3 HER-TSA'!$A$6:$AM$337</definedName>
    <definedName name="Area_v3HERTSA_AncFound">'HR Track 3 HER-TSA'!$K$2:$K$337</definedName>
    <definedName name="Area_v3TSA">'HR Track 3 TSA'!$A$11:$AM$33</definedName>
    <definedName name="Area_v3TSA_AncFound">'HR Track 3 TSA'!$K$2:$K$35</definedName>
    <definedName name="Area_v3TSATHA">'HR Track 3 TSA-THA'!$A$5:$AM$186</definedName>
    <definedName name="Area_v3TSATHA_AncFound">'HR Track 3 TSA-THA'!$K$5:$K$186</definedName>
    <definedName name="Area_v4HER">'HR Track 4 HER'!$A$4:$AM$115</definedName>
    <definedName name="Area_v4HER_AncFound">'HR Track 4 HER'!$K$5:$K$115</definedName>
    <definedName name="Area_v4HERTSA">'HR Track 4 HER-TSA'!$A$6:$AM$352</definedName>
    <definedName name="Area_v4HERTSA_AncFound">'HR Track 4 HER-TSA'!$K$5:$K$345</definedName>
    <definedName name="Area_v4THAHOLON">'HR Track 4 THA-HOLON'!$A$13:$AM$50</definedName>
    <definedName name="Area_v4THAHOLON_AncFound">'HR Track 4 THA-HOLON'!$K$13:$K$50</definedName>
    <definedName name="Area_v4TSA">'HR Track 4 TSA'!$A$5:$AM$47</definedName>
    <definedName name="Area_v4TSA_AncFound">'HR Track 4 TSA'!$K$5:$K$47</definedName>
    <definedName name="Area_v51HERTSA">'HR Track 51 HER-TSA'!$A$4:$AM$42</definedName>
    <definedName name="Area_v51HERTSA_AncFound">'HR Track 51 HER-TSA'!$K$4:$K$42</definedName>
    <definedName name="Area_v52HERTSA">'HR Track 52 HER-TSA'!$A$10:$AM$26</definedName>
    <definedName name="Area_v52HERTSA_AncFound">'HR Track 52 HER-TSA'!$K$2:$K$26</definedName>
    <definedName name="Area_v53HERTSA">'HR Track 53 HER-TSA'!$A$10:$AM$34</definedName>
    <definedName name="Area_v53HERTSA_AncFound">'HR Track 53 HER-TSA'!$K$10:$K$34</definedName>
    <definedName name="Area_v5BBRHER">'HR Track 5 BBR-HER'!$A$4:$AM$56</definedName>
    <definedName name="Area_v5BBRHER_AncFound">'HR Track 5 BBR-HER'!$K$4:$K$56</definedName>
    <definedName name="Area_v5HER">'HR Track 5 HER'!$A$5:$AM$98</definedName>
    <definedName name="Area_v5HER_AncFound">'HR Track 5 HER'!$K$2:$K$98</definedName>
    <definedName name="Area_v5HERTSA">'HR Track 5 HER-TSA'!$A$11:$AM$19</definedName>
    <definedName name="Area_v5HERTSA_AncFound">'HR Track 5 HER-TSA'!$K$11:$K$19</definedName>
    <definedName name="Area_v5THAHOLON">'HR Track 5 THA-HOLON'!$A$9:$AM$50</definedName>
    <definedName name="Area_v5THAHOLON_AncFound">'HR Track 5 THA-HOLON'!$K$9:$K$50</definedName>
    <definedName name="Area_v5TSA">'HR Track 5 TSA'!$A$6:$AM$41</definedName>
    <definedName name="Area_v5TSA_AncFound">'HR Track 5 TSA'!$K$5:$K$46</definedName>
    <definedName name="Area_v6HER">'HR Track 6 HER'!$A$6:$AM$109</definedName>
    <definedName name="Area_v6HER_AncFound">'HR Track 6 HER'!$K$6:$K$109</definedName>
    <definedName name="Area_v6TSA">'HR Track 6 TSA'!$A$9:$AM$50</definedName>
    <definedName name="Area_v6TSA_AncFound">'HR Track 6 TSA'!$K$9:$K$50</definedName>
    <definedName name="as" localSheetId="27">'HR Track 6 TSA'!$A$1:$AZ$49</definedName>
    <definedName name="asd" localSheetId="5">'HR Track 1 HER'!$1:$3</definedName>
    <definedName name="asd" localSheetId="2">'HR Track 2 RIS-HER'!$A$1:$AZ$49</definedName>
    <definedName name="asd" localSheetId="13">'HR Track 3 HER-TSA'!$1:$3</definedName>
    <definedName name="asd" localSheetId="14">'HR Track 4 HER-TSA'!$A$1:$AZ$97</definedName>
    <definedName name="asdf" localSheetId="12">'HR Track 1 HER-TSA'!$A$1:$AZ$117</definedName>
    <definedName name="asdf" localSheetId="1">'HR Track 1 RIS-HER'!$A$1:$AZ$50</definedName>
    <definedName name="asdf" localSheetId="22">'HR Track 1 TSA'!$1:$3</definedName>
    <definedName name="asdf" localSheetId="9">'HR Track 2 HER-TSA '!$A$1:$AZ$235</definedName>
    <definedName name="asdf" localSheetId="7">'HR Track 3 HER'!$1:$3</definedName>
    <definedName name="asdf" localSheetId="8">'HR Track 4 HER'!$A$1:$AZ$45</definedName>
    <definedName name="asdf" localSheetId="25">'HR Track 4 TSA'!$A$1:$AZ$45</definedName>
    <definedName name="asdf" localSheetId="10">'HR Track 5 HER'!$A$1:$AZ$46</definedName>
    <definedName name="asdf" localSheetId="32">'HR Track 5 THA-HOLON'!$A$1:$AZ$25</definedName>
    <definedName name="asdf" localSheetId="26">'HR Track 5 TSA'!$A$1:$AZ$44</definedName>
    <definedName name="asdf" localSheetId="21">'HR Track 53 HER-TSA'!$A$1:$AZ$34</definedName>
    <definedName name="asdf" localSheetId="11">'HR Track 6 HER'!$A$1:$AZ$43</definedName>
    <definedName name="cantones_v1BBRTUN">'HR Track 1 BBR-TUN'!$I$4:$I$102</definedName>
    <definedName name="cantones_v1HER">'HR Track 1 HER'!$H$5:$H$86</definedName>
    <definedName name="cantones_v1HERTSA">'HR Track 1 HER-TSA'!$I$10:$I$341</definedName>
    <definedName name="cantones_v1RAANHER">'HR Track 1 RAAN-HER'!$I$4:$I$87</definedName>
    <definedName name="cantones_v1RISHER">'HR Track 1 RIS-HER'!$I$4:$I$125</definedName>
    <definedName name="cantones_v1TSA">'HR Track 1 TSA'!$I$9:$I$52</definedName>
    <definedName name="cantones_v1TSATHA">'HR Track 1 TSA-THA'!$I$5:$I$235</definedName>
    <definedName name="cantones_v2BBRTUN">'HR Track 2 BBR-TUN'!$I$4:$I$100</definedName>
    <definedName name="cantones_v2HER">'HR Track 2 HER'!$I$5:$I$86</definedName>
    <definedName name="cantones_v2HERTSA">'HR Track 2 HER-TSA '!$I$12:$I$344</definedName>
    <definedName name="cantones_v2RAANHER">'HR Track 2 RAAN-HER'!$I$4:$I$87</definedName>
    <definedName name="cantones_v2RISHER">'HR Track 2 RIS-HER'!$I$4:$I$126</definedName>
    <definedName name="cantones_v2TSA">'HR Track 2 TSA'!$I$11:$I$33</definedName>
    <definedName name="cantones_v2TSATHA">'HR Track 2 TSA-THA'!$I$5:$I$233</definedName>
    <definedName name="cantones_v3HER">'HR Track 3 HER'!$I$4:$I$66</definedName>
    <definedName name="cantones_v3HERTSA">'HR Track 3 HER-TSA'!$I$6:$I$337</definedName>
    <definedName name="cantones_v3TSA">'HR Track 3 TSA'!$I$11:$I$35</definedName>
    <definedName name="cantones_v3TSATHA">'HR Track 3 TSA-THA'!$I$5:$I$186</definedName>
    <definedName name="cantones_v4HER">'HR Track 4 HER'!$I$4:$I$115</definedName>
    <definedName name="cantones_v4HERTSA">'HR Track 4 HER-TSA'!$I$6:$I$347</definedName>
    <definedName name="cantones_v4THAHOLON">'HR Track 4 THA-HOLON'!$I$13:$I$50</definedName>
    <definedName name="cantones_v4TSA">'HR Track 4 TSA'!$I$5:$I$47</definedName>
    <definedName name="cantones_v51HERTSA">'HR Track 51 HER-TSA'!$I$4:$I$42</definedName>
    <definedName name="cantones_v52HERTSA">'HR Track 52 HER-TSA'!$I$10:$I$26</definedName>
    <definedName name="cantones_v53HERTSA">'HR Track 53 HER-TSA'!$I$10:$I$34</definedName>
    <definedName name="cantones_v5BBRHER">'HR Track 5 BBR-HER'!$I$4:$I$56</definedName>
    <definedName name="cantones_v5HER">'HR Track 5 HER'!$I$4:$I$98</definedName>
    <definedName name="cantones_v5HERTSA">'HR Track 5 HER-TSA'!$I$11:$I$19</definedName>
    <definedName name="cantones_v5THAHOLON">'HR Track 5 THA-HOLON'!$I$9:$I$50</definedName>
    <definedName name="cantones_v5TSA">'HR Track 5 TSA'!$I$6:$I$41</definedName>
    <definedName name="cantones_v6HER">'HR Track 6 HER'!$I$6:$I$109</definedName>
    <definedName name="cantones_v6TSA">'HR Track 6 TSA'!$I$9:$I$50</definedName>
    <definedName name="df" localSheetId="1">'HR Track 1 RIS-HER'!$1:$3</definedName>
    <definedName name="df" localSheetId="6">'HR Track 2 HER'!$A$1:$AZ$45</definedName>
    <definedName name="df" localSheetId="29">'HR Track 2 TSA-THA'!$1:$3</definedName>
    <definedName name="df" localSheetId="8">'HR Track 4 HER'!$1:$3</definedName>
    <definedName name="df" localSheetId="34">'Mediciones TOTAL'!$A$2:$G$347</definedName>
    <definedName name="fa" localSheetId="29">'HR Track 2 TSA-THA'!$A$1:$AZ$247</definedName>
    <definedName name="fas" localSheetId="12">'HR Track 1 HER-TSA'!$1:$3</definedName>
    <definedName name="fasd" localSheetId="23">'HR Track 2 TSA'!$A$1:$AZ$33</definedName>
    <definedName name="fs" localSheetId="30">'HR Track 3 TSA-THA'!$1:$3</definedName>
    <definedName name="fsa" localSheetId="28">'HR Track 1 TSA-THA'!$A$1:$AZ$340</definedName>
    <definedName name="fsa" localSheetId="23">'HR Track 2 TSA'!$1:$3</definedName>
    <definedName name="fsd" localSheetId="24">'HR Track 3 TSA'!$1:$3</definedName>
    <definedName name="fsd" localSheetId="25">'HR Track 4 TSA'!$1:$3</definedName>
    <definedName name="fsd" localSheetId="10">'HR Track 5 HER'!$1:$3</definedName>
    <definedName name="fsd" localSheetId="32">'HR Track 5 THA-HOLON'!$1:$2</definedName>
    <definedName name="fsd" localSheetId="11">'HR Track 6 HER'!$1:$3</definedName>
    <definedName name="m2_v1BBRTUN">'HR Track 1 BBR-TUN'!$O$4:$O$102</definedName>
    <definedName name="m2_v1HER">'HR Track 1 HER'!$N$5:$N$86</definedName>
    <definedName name="m2_v1HERTSA">'HR Track 1 HER-TSA'!$O$10:$O$341</definedName>
    <definedName name="m2_v1RAANHER">'HR Track 1 RAAN-HER'!$O$4:$O$87</definedName>
    <definedName name="m2_v1RISHER">'HR Track 1 RIS-HER'!$O$4:$O$125</definedName>
    <definedName name="m2_v1TSA">'HR Track 1 TSA'!$O$9:$O$52</definedName>
    <definedName name="m2_v1TSATHA">'HR Track 1 TSA-THA'!$O$5:$O$235</definedName>
    <definedName name="m2_v2BBRTUN">'HR Track 2 BBR-TUN'!$O$4:$O$100</definedName>
    <definedName name="m2_v2HER">'HR Track 2 HER'!$O$5:$O$86</definedName>
    <definedName name="m2_v2HERTSA">'HR Track 2 HER-TSA '!$O$12:$O$344</definedName>
    <definedName name="m2_v2RAANHER">'HR Track 2 RAAN-HER'!$O$4:$O$87</definedName>
    <definedName name="m2_v2RISHER">'HR Track 2 RIS-HER'!$O$4:$O$125</definedName>
    <definedName name="m2_v2TSA">'HR Track 2 TSA'!$O$11:$O$33</definedName>
    <definedName name="m2_v2TSATHA">'HR Track 2 TSA-THA'!$O$5:$O$233</definedName>
    <definedName name="m2_v3HER">'HR Track 3 HER'!$O$4:$O$66</definedName>
    <definedName name="m2_v3HERTSA">'HR Track 3 HER-TSA'!$O$6:$O$337</definedName>
    <definedName name="m2_v3TSA">'HR Track 3 TSA'!$O$11:$O$35</definedName>
    <definedName name="m2_v3TSATHA">'HR Track 3 TSA-THA'!$O$5:$O$186</definedName>
    <definedName name="m2_v4HER">'HR Track 4 HER'!$O$4:$O$115</definedName>
    <definedName name="m2_v4HERTSA">'HR Track 4 HER-TSA'!$O$6:$O$347</definedName>
    <definedName name="m2_v4THAHOLON">'HR Track 4 THA-HOLON'!$O$13:$O$50</definedName>
    <definedName name="m2_v4TSA">'HR Track 4 TSA'!$O$5:$O1</definedName>
    <definedName name="m2_v51HERTSA">'HR Track 51 HER-TSA'!$O$4:$O$42</definedName>
    <definedName name="m2_v52HERTSA">'HR Track 52 HER-TSA'!$O$10:$O$26</definedName>
    <definedName name="m2_v53HERTSA">'HR Track 53 HER-TSA'!$O$10:$O$34</definedName>
    <definedName name="m2_v5BBRHER">'HR Track 5 BBR-HER'!$O$4:$O$56</definedName>
    <definedName name="m2_v5HER">'HR Track 5 HER'!$O$4:$O$99</definedName>
    <definedName name="m2_v5HERTSA">'HR Track 5 HER-TSA'!$O$11:$O$19</definedName>
    <definedName name="m2_v5THAHOLON">'HR Track 5 THA-HOLON'!$O$9:$O$50</definedName>
    <definedName name="m2_v5TSA">'HR Track 5 TSA'!$O$6:$O$41</definedName>
    <definedName name="m2_v6HER">'HR Track 6 HER'!$O$6:$O$109</definedName>
    <definedName name="m2_v6TSA">'HR Track 6 TSA'!$O$9:$O$50</definedName>
    <definedName name="sad" localSheetId="28">'HR Track 1 TSA-THA'!$1:$3</definedName>
    <definedName name="sad" localSheetId="2">'HR Track 2 RIS-HER'!$1:$3</definedName>
    <definedName name="sad" localSheetId="24">'HR Track 3 TSA'!$A$1:$AZ$36</definedName>
    <definedName name="sad" localSheetId="19">'HR Track 51 HER-TSA'!$A$1:$AZ$44</definedName>
    <definedName name="sadf" localSheetId="13">'HR Track 3 HER-TSA'!$A$1:$AZ$232</definedName>
    <definedName name="sd" localSheetId="31">'HR Track 4 THA-HOLON'!$1:$3</definedName>
    <definedName name="sd" localSheetId="20">'HR Track 52 HER-TSA'!$1:$3</definedName>
    <definedName name="sd" localSheetId="21">'HR Track 53 HER-TSA'!$1:$3</definedName>
    <definedName name="sda" localSheetId="22">'HR Track 1 TSA'!$A$1:$AZ$48</definedName>
    <definedName name="sdf" localSheetId="9">'HR Track 2 HER-TSA '!$1:$3</definedName>
    <definedName name="sdf" localSheetId="7">'HR Track 3 HER'!$A$1:$AZ$46</definedName>
    <definedName name="sdf" localSheetId="14">'HR Track 4 HER-TSA'!$1:$3</definedName>
    <definedName name="sdf" localSheetId="0">'Revision Data'!$A$1:$C$14</definedName>
    <definedName name="sf" localSheetId="19">'HR Track 51 HER-TSA'!$1:$3</definedName>
    <definedName name="_xlnm.Print_Titles" localSheetId="16">'HR Track 1 BBR-TUN'!$1:$3</definedName>
    <definedName name="_xlnm.Print_Titles" localSheetId="5">'HR Track 1 HER'!$1:$3</definedName>
    <definedName name="_xlnm.Print_Titles" localSheetId="12">'HR Track 1 HER-TSA'!$1:$3</definedName>
    <definedName name="_xlnm.Print_Titles" localSheetId="3">'HR Track 1 RAAN-HER'!$1:$3</definedName>
    <definedName name="_xlnm.Print_Titles" localSheetId="1">'HR Track 1 RIS-HER'!$1:$3</definedName>
    <definedName name="_xlnm.Print_Titles" localSheetId="22">'HR Track 1 TSA'!$1:$3</definedName>
    <definedName name="_xlnm.Print_Titles" localSheetId="28">'HR Track 1 TSA-THA'!$1:$3</definedName>
    <definedName name="_xlnm.Print_Titles" localSheetId="17">'HR Track 2 BBR-TUN'!$1:$3</definedName>
    <definedName name="_xlnm.Print_Titles" localSheetId="6">'HR Track 2 HER'!$1:$3</definedName>
    <definedName name="_xlnm.Print_Titles" localSheetId="9">'HR Track 2 HER-TSA '!$1:$3</definedName>
    <definedName name="_xlnm.Print_Titles" localSheetId="4">'HR Track 2 RAAN-HER'!$1:$3</definedName>
    <definedName name="_xlnm.Print_Titles" localSheetId="2">'HR Track 2 RIS-HER'!$1:$3</definedName>
    <definedName name="_xlnm.Print_Titles" localSheetId="23">'HR Track 2 TSA'!$1:$3</definedName>
    <definedName name="_xlnm.Print_Titles" localSheetId="29">'HR Track 2 TSA-THA'!$1:$3</definedName>
    <definedName name="_xlnm.Print_Titles" localSheetId="7">'HR Track 3 HER'!$1:$3</definedName>
    <definedName name="_xlnm.Print_Titles" localSheetId="13">'HR Track 3 HER-TSA'!$1:$3</definedName>
    <definedName name="_xlnm.Print_Titles" localSheetId="24">'HR Track 3 TSA'!$1:$3</definedName>
    <definedName name="_xlnm.Print_Titles" localSheetId="30">'HR Track 3 TSA-THA'!$1:$3</definedName>
    <definedName name="_xlnm.Print_Titles" localSheetId="8">'HR Track 4 HER'!$1:$3</definedName>
    <definedName name="_xlnm.Print_Titles" localSheetId="14">'HR Track 4 HER-TSA'!$1:$3</definedName>
    <definedName name="_xlnm.Print_Titles" localSheetId="31">'HR Track 4 THA-HOLON'!$1:$3</definedName>
    <definedName name="_xlnm.Print_Titles" localSheetId="25">'HR Track 4 TSA'!$1:$3</definedName>
    <definedName name="_xlnm.Print_Titles" localSheetId="18">'HR Track 5 BBR-HER'!$1:$3</definedName>
    <definedName name="_xlnm.Print_Titles" localSheetId="10">'HR Track 5 HER'!$1:$3</definedName>
    <definedName name="_xlnm.Print_Titles" localSheetId="15">'HR Track 5 HER-TSA'!$1:$3</definedName>
    <definedName name="_xlnm.Print_Titles" localSheetId="32">'HR Track 5 THA-HOLON'!$1:$2</definedName>
    <definedName name="_xlnm.Print_Titles" localSheetId="26">'HR Track 5 TSA'!$1:$3</definedName>
    <definedName name="_xlnm.Print_Titles" localSheetId="19">'HR Track 51 HER-TSA'!$1:$3</definedName>
    <definedName name="_xlnm.Print_Titles" localSheetId="20">'HR Track 52 HER-TSA'!$1:$3</definedName>
    <definedName name="_xlnm.Print_Titles" localSheetId="21">'HR Track 53 HER-TSA'!$1:$3</definedName>
    <definedName name="_xlnm.Print_Titles" localSheetId="11">'HR Track 6 HER'!$1:$3</definedName>
    <definedName name="_xlnm.Print_Titles" localSheetId="27">'HR Track 6 TSA'!$1:$3</definedName>
    <definedName name="_xlnm.Print_Titles" localSheetId="34">'Mediciones TOTAL'!$3:$4</definedName>
    <definedName name="_xlnm.Print_Titles" localSheetId="33">'Recuento Conjuntos'!$2:$2</definedName>
    <definedName name="_xlnm.Print_Titles" localSheetId="35">'Recuento Especiales'!$2:$2</definedName>
    <definedName name="_xlnm.Print_Titles" localSheetId="0">'Revision Data'!$1:$1</definedName>
    <definedName name="vanos_v1BBRTUN">'HR Track 1 BBR-TUN'!$G$4:$G$102</definedName>
    <definedName name="vanos_v1HER">'HR Track 1 HER'!$G$4:$G$86</definedName>
    <definedName name="vanos_v1HERTSA">'HR Track 1 HER-TSA'!$G$10:$G$341</definedName>
    <definedName name="vanos_v1RAANHER">'HR Track 1 RAAN-HER'!$G$4:$G$87</definedName>
    <definedName name="vanos_v1RISHER">'HR Track 1 RIS-HER'!$G$4:$G$125</definedName>
    <definedName name="vanos_v1TSA">'HR Track 1 TSA'!$G$10:$G$52</definedName>
    <definedName name="Vanos_v1TSATHA">'HR Track 1 TSA-THA'!$G$5:$G$235</definedName>
    <definedName name="vanos_v2BBRTUN">'HR Track 2 BBR-TUN'!$G$4:$G$100</definedName>
    <definedName name="vanos_v2HER">'HR Track 2 HER'!$G$5:$G$86</definedName>
    <definedName name="vanos_v2HERTSA">'HR Track 2 HER-TSA '!$G$14:$G$344</definedName>
    <definedName name="vanos_v2RAANHER">'HR Track 2 RAAN-HER'!$G$8:$G$87</definedName>
    <definedName name="vanos_v2RISHER">'HR Track 1 RIS-HER'!$G$4:$G$126</definedName>
    <definedName name="vanos_v2TSA">'HR Track 2 TSA'!$G$11:$G$33</definedName>
    <definedName name="vanos_v2TSATHA">'HR Track 2 TSA-THA'!$G$5:$G$233</definedName>
    <definedName name="vanos_v3HER">'HR Track 3 HER'!$G$4:$G$66</definedName>
    <definedName name="vanos_v3HERTSA">'HR Track 3 HER-TSA'!$G$6:$G$337</definedName>
    <definedName name="vanos_v3TSA">'HR Track 3 TSA'!$G$11:$G$35</definedName>
    <definedName name="vanos_v3TSATHA">'HR Track 3 TSA-THA'!$G$5:$G$186</definedName>
    <definedName name="vanos_v4HER">'HR Track 4 HER'!$G$4:$G$115</definedName>
    <definedName name="vanos_v4HERTSA">'HR Track 4 HER-TSA'!$G$6:$G$347</definedName>
    <definedName name="vanos_v4THAHOLON">'HR Track 4 THA-HOLON'!$G$13:$G$50</definedName>
    <definedName name="vanos_v4TSA">'HR Track 4 TSA'!$G$5:$G$47</definedName>
    <definedName name="vanos_v51HERTSA">'HR Track 51 HER-TSA'!$G$4:$G$42</definedName>
    <definedName name="vanos_v52HERTSA">'HR Track 52 HER-TSA'!$G$10:$G$26</definedName>
    <definedName name="vanos_v53HERTSA">'HR Track 53 HER-TSA'!$G$10:$G$34</definedName>
    <definedName name="vanos_v5BBRHER">'HR Track 5 BBR-HER'!$G$4:$G$56</definedName>
    <definedName name="vanos_v5HER">'HR Track 5 HER'!$G$6:$G$97</definedName>
    <definedName name="vanos_v5HERTSA">'HR Track 5 HER-TSA'!$G$11:$G$19</definedName>
    <definedName name="vanos_v5THAHOLON">'HR Track 5 THA-HOLON'!$G$9:$G$50</definedName>
    <definedName name="vanos_v5TSA">'HR Track 5 TSA'!$G$6:$G$41</definedName>
    <definedName name="vanos_v6HER">'HR Track 6 HER'!$G$6:$G$109</definedName>
    <definedName name="vanos_v6TSA">'HR Track 6 TSA'!$G$9:$G$50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9" i="108" l="1"/>
  <c r="AX154" i="108"/>
  <c r="M154" i="108" s="1"/>
  <c r="AW154" i="108"/>
  <c r="C154" i="108"/>
  <c r="BB16" i="21431"/>
  <c r="BA16" i="21431"/>
  <c r="AZ16" i="21431"/>
  <c r="AY16" i="21431"/>
  <c r="AX16" i="21431"/>
  <c r="AW16" i="21431"/>
  <c r="AV16" i="21431"/>
  <c r="AU16" i="21431"/>
  <c r="AT16" i="21431"/>
  <c r="AS16" i="21431"/>
  <c r="AR16" i="21431"/>
  <c r="AP16" i="21431"/>
  <c r="AO16" i="21431"/>
  <c r="AN16" i="21431"/>
  <c r="AM16" i="21431"/>
  <c r="AL16" i="21431"/>
  <c r="AK16" i="21431"/>
  <c r="AJ16" i="21431"/>
  <c r="AI16" i="21431"/>
  <c r="AH16" i="21431"/>
  <c r="AG16" i="21431"/>
  <c r="AF16" i="21431"/>
  <c r="AE16" i="21431"/>
  <c r="AD16" i="21431"/>
  <c r="AC16" i="21431"/>
  <c r="AB16" i="21431"/>
  <c r="AA16" i="21431"/>
  <c r="Z16" i="21431"/>
  <c r="Y16" i="21431"/>
  <c r="X16" i="21431"/>
  <c r="W16" i="21431"/>
  <c r="V16" i="21431"/>
  <c r="U16" i="21431"/>
  <c r="T16" i="21431"/>
  <c r="S16" i="21431"/>
  <c r="R16" i="21431"/>
  <c r="Q16" i="21431"/>
  <c r="P16" i="21431"/>
  <c r="O16" i="21431"/>
  <c r="N16" i="21431"/>
  <c r="M16" i="21431"/>
  <c r="L16" i="21431"/>
  <c r="K16" i="21431"/>
  <c r="J16" i="21431"/>
  <c r="I16" i="21431"/>
  <c r="H16" i="21431"/>
  <c r="G16" i="21431"/>
  <c r="F16" i="21431"/>
  <c r="E16" i="21431"/>
  <c r="D16" i="21431"/>
  <c r="C16" i="21431"/>
  <c r="B16" i="21431"/>
  <c r="BA15" i="21431"/>
  <c r="AZ15" i="21431"/>
  <c r="AV15" i="21431"/>
  <c r="AU15" i="21431"/>
  <c r="AS15" i="21431"/>
  <c r="AR15" i="21431"/>
  <c r="AQ15" i="21431"/>
  <c r="AP15" i="21431"/>
  <c r="AO15" i="21431"/>
  <c r="AN15" i="21431"/>
  <c r="AM15" i="21431"/>
  <c r="AL15" i="21431"/>
  <c r="AK15" i="21431"/>
  <c r="AJ15" i="21431"/>
  <c r="AI15" i="21431"/>
  <c r="AH15" i="21431"/>
  <c r="AG15" i="21431"/>
  <c r="AF15" i="21431"/>
  <c r="AE15" i="21431"/>
  <c r="AD15" i="21431"/>
  <c r="AC15" i="21431"/>
  <c r="AB15" i="21431"/>
  <c r="AA15" i="21431"/>
  <c r="Z15" i="21431"/>
  <c r="Y15" i="21431"/>
  <c r="X15" i="21431"/>
  <c r="W15" i="21431"/>
  <c r="V15" i="21431"/>
  <c r="U15" i="21431"/>
  <c r="T15" i="21431"/>
  <c r="S15" i="21431"/>
  <c r="R15" i="21431"/>
  <c r="Q15" i="21431"/>
  <c r="P15" i="21431"/>
  <c r="O15" i="21431"/>
  <c r="N15" i="21431"/>
  <c r="L15" i="21431"/>
  <c r="K15" i="21431"/>
  <c r="J15" i="21431"/>
  <c r="I15" i="21431"/>
  <c r="H15" i="21431"/>
  <c r="G15" i="21431"/>
  <c r="F15" i="21431"/>
  <c r="E15" i="21431"/>
  <c r="D15" i="21431"/>
  <c r="B15" i="21431"/>
  <c r="A15" i="21431"/>
  <c r="BB10" i="21431"/>
  <c r="BA10" i="21431"/>
  <c r="AZ10" i="21431"/>
  <c r="AY10" i="21431"/>
  <c r="AX10" i="21431"/>
  <c r="AW10" i="21431"/>
  <c r="AV10" i="21431"/>
  <c r="AU10" i="21431"/>
  <c r="AT10" i="21431"/>
  <c r="AS10" i="21431"/>
  <c r="AR10" i="21431"/>
  <c r="AP10" i="21431"/>
  <c r="AO10" i="21431"/>
  <c r="AN10" i="21431"/>
  <c r="AM10" i="21431"/>
  <c r="AL10" i="21431"/>
  <c r="AK10" i="21431"/>
  <c r="AJ10" i="21431"/>
  <c r="AI10" i="21431"/>
  <c r="AH10" i="21431"/>
  <c r="AG10" i="21431"/>
  <c r="AF10" i="21431"/>
  <c r="AE10" i="21431"/>
  <c r="AD10" i="21431"/>
  <c r="AC10" i="21431"/>
  <c r="AB10" i="21431"/>
  <c r="AA10" i="21431"/>
  <c r="Z10" i="21431"/>
  <c r="Y10" i="21431"/>
  <c r="X10" i="21431"/>
  <c r="W10" i="21431"/>
  <c r="V10" i="21431"/>
  <c r="U10" i="21431"/>
  <c r="T10" i="21431"/>
  <c r="S10" i="21431"/>
  <c r="R10" i="21431"/>
  <c r="Q10" i="21431"/>
  <c r="P10" i="21431"/>
  <c r="O10" i="21431"/>
  <c r="N10" i="21431"/>
  <c r="M10" i="21431"/>
  <c r="L10" i="21431"/>
  <c r="K10" i="21431"/>
  <c r="J10" i="21431"/>
  <c r="I10" i="21431"/>
  <c r="H10" i="21431"/>
  <c r="G10" i="21431"/>
  <c r="F10" i="21431"/>
  <c r="E10" i="21431"/>
  <c r="D10" i="21431"/>
  <c r="C10" i="21431"/>
  <c r="B10" i="21431"/>
  <c r="BB9" i="21431"/>
  <c r="BA9" i="21431"/>
  <c r="AZ9" i="21431"/>
  <c r="AY9" i="21431"/>
  <c r="AX9" i="21431"/>
  <c r="AW9" i="21431"/>
  <c r="AV9" i="21431"/>
  <c r="AU9" i="21431"/>
  <c r="AS9" i="21431"/>
  <c r="AR9" i="21431"/>
  <c r="AQ9" i="21431"/>
  <c r="AP9" i="21431"/>
  <c r="AO9" i="21431"/>
  <c r="AM9" i="21431"/>
  <c r="AL9" i="21431"/>
  <c r="AK9" i="21431"/>
  <c r="AJ9" i="21431"/>
  <c r="AI9" i="21431"/>
  <c r="AH9" i="21431"/>
  <c r="AG9" i="21431"/>
  <c r="AF9" i="21431"/>
  <c r="AE9" i="21431"/>
  <c r="AD9" i="21431"/>
  <c r="AC9" i="21431"/>
  <c r="AB9" i="21431"/>
  <c r="AA9" i="21431"/>
  <c r="Z9" i="21431"/>
  <c r="Y9" i="21431"/>
  <c r="X9" i="21431"/>
  <c r="W9" i="21431"/>
  <c r="V9" i="21431"/>
  <c r="U9" i="21431"/>
  <c r="T9" i="21431"/>
  <c r="S9" i="21431"/>
  <c r="R9" i="21431"/>
  <c r="Q9" i="21431"/>
  <c r="P9" i="21431"/>
  <c r="O9" i="21431"/>
  <c r="N9" i="21431"/>
  <c r="M9" i="21431"/>
  <c r="L9" i="21431"/>
  <c r="K9" i="21431"/>
  <c r="J9" i="21431"/>
  <c r="I9" i="21431"/>
  <c r="H9" i="21431"/>
  <c r="G9" i="21431"/>
  <c r="F9" i="21431"/>
  <c r="E9" i="21431"/>
  <c r="D9" i="21431"/>
  <c r="C9" i="21431"/>
  <c r="B9" i="21431"/>
  <c r="BB8" i="21431"/>
  <c r="BA8" i="21431"/>
  <c r="AZ8" i="21431"/>
  <c r="AY8" i="21431"/>
  <c r="AX8" i="21431"/>
  <c r="AW8" i="21431"/>
  <c r="AV8" i="21431"/>
  <c r="AU8" i="21431"/>
  <c r="AT8" i="21431"/>
  <c r="AS8" i="21431"/>
  <c r="AR8" i="21431"/>
  <c r="AP8" i="21431"/>
  <c r="AO8" i="21431"/>
  <c r="AN8" i="21431"/>
  <c r="AM8" i="21431"/>
  <c r="AL8" i="21431"/>
  <c r="AK8" i="21431"/>
  <c r="AJ8" i="21431"/>
  <c r="AI8" i="21431"/>
  <c r="AH8" i="21431"/>
  <c r="AG8" i="21431"/>
  <c r="AF8" i="21431"/>
  <c r="AE8" i="21431"/>
  <c r="AD8" i="21431"/>
  <c r="AC8" i="21431"/>
  <c r="AB8" i="21431"/>
  <c r="AA8" i="21431"/>
  <c r="Z8" i="21431"/>
  <c r="Y8" i="21431"/>
  <c r="X8" i="21431"/>
  <c r="W8" i="21431"/>
  <c r="V8" i="21431"/>
  <c r="U8" i="21431"/>
  <c r="T8" i="21431"/>
  <c r="S8" i="21431"/>
  <c r="R8" i="21431"/>
  <c r="Q8" i="21431"/>
  <c r="P8" i="21431"/>
  <c r="O8" i="21431"/>
  <c r="N8" i="21431"/>
  <c r="M8" i="21431"/>
  <c r="L8" i="21431"/>
  <c r="K8" i="21431"/>
  <c r="J8" i="21431"/>
  <c r="I8" i="21431"/>
  <c r="H8" i="21431"/>
  <c r="G8" i="21431"/>
  <c r="F8" i="21431"/>
  <c r="E8" i="21431"/>
  <c r="D8" i="21431"/>
  <c r="C8" i="21431"/>
  <c r="B8" i="21431"/>
  <c r="BB7" i="21431"/>
  <c r="BA7" i="21431"/>
  <c r="AZ7" i="21431"/>
  <c r="AY7" i="21431"/>
  <c r="AX7" i="21431"/>
  <c r="AW7" i="21431"/>
  <c r="AV7" i="21431"/>
  <c r="AU7" i="21431"/>
  <c r="AS7" i="21431"/>
  <c r="AR7" i="21431"/>
  <c r="AQ7" i="21431"/>
  <c r="AP7" i="21431"/>
  <c r="AO7" i="21431"/>
  <c r="AN7" i="21431"/>
  <c r="AM7" i="21431"/>
  <c r="AL7" i="21431"/>
  <c r="AK7" i="21431"/>
  <c r="AJ7" i="21431"/>
  <c r="AI7" i="21431"/>
  <c r="AH7" i="21431"/>
  <c r="AG7" i="21431"/>
  <c r="AF7" i="21431"/>
  <c r="AE7" i="21431"/>
  <c r="AD7" i="21431"/>
  <c r="AC7" i="21431"/>
  <c r="AB7" i="21431"/>
  <c r="AA7" i="21431"/>
  <c r="Z7" i="21431"/>
  <c r="Y7" i="21431"/>
  <c r="X7" i="21431"/>
  <c r="W7" i="21431"/>
  <c r="V7" i="21431"/>
  <c r="U7" i="21431"/>
  <c r="T7" i="21431"/>
  <c r="S7" i="21431"/>
  <c r="R7" i="21431"/>
  <c r="Q7" i="21431"/>
  <c r="P7" i="21431"/>
  <c r="O7" i="21431"/>
  <c r="N7" i="21431"/>
  <c r="M7" i="21431"/>
  <c r="L7" i="21431"/>
  <c r="K7" i="21431"/>
  <c r="J7" i="21431"/>
  <c r="I7" i="21431"/>
  <c r="H7" i="21431"/>
  <c r="G7" i="21431"/>
  <c r="F7" i="21431"/>
  <c r="E7" i="21431"/>
  <c r="D7" i="21431"/>
  <c r="C7" i="21431"/>
  <c r="B7" i="21431"/>
  <c r="BB6" i="21431"/>
  <c r="BA6" i="21431"/>
  <c r="AZ6" i="21431"/>
  <c r="AY6" i="21431"/>
  <c r="AX6" i="21431"/>
  <c r="AW6" i="21431"/>
  <c r="AV6" i="21431"/>
  <c r="AU6" i="21431"/>
  <c r="AT6" i="21431"/>
  <c r="AS6" i="21431"/>
  <c r="AR6" i="21431"/>
  <c r="AQ6" i="21431"/>
  <c r="AP6" i="21431"/>
  <c r="AO6" i="21431"/>
  <c r="AN6" i="21431"/>
  <c r="AM6" i="21431"/>
  <c r="AL6" i="21431"/>
  <c r="AK6" i="21431"/>
  <c r="AJ6" i="21431"/>
  <c r="AI6" i="21431"/>
  <c r="AH6" i="21431"/>
  <c r="AG6" i="21431"/>
  <c r="AF6" i="21431"/>
  <c r="AE6" i="21431"/>
  <c r="AD6" i="21431"/>
  <c r="AC6" i="21431"/>
  <c r="AB6" i="21431"/>
  <c r="AA6" i="21431"/>
  <c r="Z6" i="21431"/>
  <c r="Y6" i="21431"/>
  <c r="X6" i="21431"/>
  <c r="W6" i="21431"/>
  <c r="V6" i="21431"/>
  <c r="U6" i="21431"/>
  <c r="T6" i="21431"/>
  <c r="S6" i="21431"/>
  <c r="R6" i="21431"/>
  <c r="Q6" i="21431"/>
  <c r="P6" i="21431"/>
  <c r="O6" i="21431"/>
  <c r="N6" i="21431"/>
  <c r="M6" i="21431"/>
  <c r="L6" i="21431"/>
  <c r="K6" i="21431"/>
  <c r="J6" i="21431"/>
  <c r="I6" i="21431"/>
  <c r="H6" i="21431"/>
  <c r="G6" i="21431"/>
  <c r="F6" i="21431"/>
  <c r="E6" i="21431"/>
  <c r="D6" i="21431"/>
  <c r="C6" i="21431"/>
  <c r="B6" i="21431"/>
  <c r="A6" i="21431"/>
  <c r="BB252" i="108"/>
  <c r="BB250" i="108"/>
  <c r="I251" i="108"/>
  <c r="I249" i="108"/>
  <c r="BB246" i="108"/>
  <c r="BB242" i="108"/>
  <c r="BB240" i="108"/>
  <c r="BB15" i="21431" s="1"/>
  <c r="AQ10" i="21431"/>
  <c r="AQ12" i="21431"/>
  <c r="AT238" i="21415"/>
  <c r="AT236" i="21415"/>
  <c r="AT234" i="21415"/>
  <c r="AQ237" i="21415"/>
  <c r="AQ235" i="21415"/>
  <c r="AQ233" i="21415"/>
  <c r="AQ231" i="21415"/>
  <c r="AT160" i="108"/>
  <c r="AT158" i="108"/>
  <c r="AT156" i="108"/>
  <c r="AT152" i="108"/>
  <c r="AT150" i="108"/>
  <c r="AT148" i="108"/>
  <c r="AT146" i="108"/>
  <c r="AQ161" i="108"/>
  <c r="AQ159" i="108"/>
  <c r="AQ157" i="108"/>
  <c r="AQ155" i="108"/>
  <c r="AQ151" i="108"/>
  <c r="AQ149" i="108"/>
  <c r="AQ147" i="108"/>
  <c r="AT13" i="21431"/>
  <c r="AT9" i="21431"/>
  <c r="AQ247" i="108"/>
  <c r="AQ243" i="108"/>
  <c r="AQ239" i="108"/>
  <c r="AT240" i="108"/>
  <c r="AT11" i="21431"/>
  <c r="AT242" i="108"/>
  <c r="AQ245" i="108"/>
  <c r="AQ241" i="108"/>
  <c r="AY154" i="108" l="1"/>
  <c r="AQ16" i="21431"/>
  <c r="AT15" i="21431"/>
  <c r="I239" i="21415"/>
  <c r="I237" i="21415"/>
  <c r="AN228" i="21415"/>
  <c r="AN230" i="21415"/>
  <c r="AT240" i="21415"/>
  <c r="AQ239" i="21415"/>
  <c r="BB250" i="21417" l="1"/>
  <c r="AX243" i="21417"/>
  <c r="AZ243" i="21417" s="1"/>
  <c r="AW243" i="21417"/>
  <c r="J243" i="21417"/>
  <c r="M17" i="21422"/>
  <c r="AT240" i="21417"/>
  <c r="AT244" i="21417"/>
  <c r="AT242" i="21417"/>
  <c r="AQ243" i="21417"/>
  <c r="AQ241" i="21417"/>
  <c r="AT249" i="21416"/>
  <c r="AT247" i="21416"/>
  <c r="AT245" i="21416"/>
  <c r="AT243" i="21416"/>
  <c r="AQ246" i="21416"/>
  <c r="AQ244" i="21416"/>
  <c r="AI236" i="21415" l="1"/>
  <c r="AI234" i="21415"/>
  <c r="AI168" i="21415"/>
  <c r="AI166" i="21415"/>
  <c r="AI164" i="21415"/>
  <c r="AI162" i="21415"/>
  <c r="AI160" i="21415"/>
  <c r="AI158" i="21415"/>
  <c r="AI156" i="21415"/>
  <c r="AI154" i="21415"/>
  <c r="AI152" i="21415"/>
  <c r="AI150" i="21415"/>
  <c r="AI148" i="21415"/>
  <c r="AI146" i="21415"/>
  <c r="AI142" i="21415"/>
  <c r="AT35" i="21434"/>
  <c r="AT35" i="21433"/>
  <c r="S233" i="21415" l="1"/>
  <c r="S231" i="21415"/>
  <c r="S229" i="21415"/>
  <c r="S227" i="21415"/>
  <c r="S213" i="21415"/>
  <c r="S211" i="21415"/>
  <c r="S209" i="21415"/>
  <c r="S207" i="21415"/>
  <c r="S205" i="21415"/>
  <c r="S203" i="21415"/>
  <c r="S201" i="21415"/>
  <c r="S199" i="21415"/>
  <c r="S197" i="21415"/>
  <c r="S195" i="21415"/>
  <c r="S193" i="21415"/>
  <c r="S191" i="21415"/>
  <c r="S189" i="21415"/>
  <c r="S187" i="21415"/>
  <c r="S175" i="21415"/>
  <c r="BG106" i="21433" l="1"/>
  <c r="BF106" i="21433"/>
  <c r="BE106" i="21433"/>
  <c r="BD106" i="21433"/>
  <c r="BC106" i="21433"/>
  <c r="BB106" i="21433"/>
  <c r="AY106" i="21433"/>
  <c r="AV106" i="21433"/>
  <c r="AU106" i="21433"/>
  <c r="AT106" i="21433"/>
  <c r="AS106" i="21433"/>
  <c r="AR106" i="21433"/>
  <c r="AP106" i="21433"/>
  <c r="AO106" i="21433"/>
  <c r="AN106" i="21433"/>
  <c r="AM106" i="21433"/>
  <c r="AL106" i="21433"/>
  <c r="AK106" i="21433"/>
  <c r="AJ106" i="21433"/>
  <c r="AI106" i="21433"/>
  <c r="AH106" i="21433"/>
  <c r="AG106" i="21433"/>
  <c r="AF106" i="21433"/>
  <c r="AE106" i="21433"/>
  <c r="AD106" i="21433"/>
  <c r="AC106" i="21433"/>
  <c r="AB106" i="21433"/>
  <c r="AA106" i="21433"/>
  <c r="Z106" i="21433"/>
  <c r="Y106" i="21433"/>
  <c r="X106" i="21433"/>
  <c r="W106" i="21433"/>
  <c r="V106" i="21433"/>
  <c r="U106" i="21433"/>
  <c r="T106" i="21433"/>
  <c r="S106" i="21433"/>
  <c r="R106" i="21433"/>
  <c r="Q106" i="21433"/>
  <c r="P106" i="21433"/>
  <c r="O106" i="21433"/>
  <c r="N106" i="21433"/>
  <c r="M106" i="21433"/>
  <c r="L106" i="21433"/>
  <c r="K106" i="21433"/>
  <c r="I106" i="21433"/>
  <c r="H106" i="21433"/>
  <c r="G106" i="21433"/>
  <c r="F106" i="21433"/>
  <c r="E106" i="21433"/>
  <c r="D106" i="21433"/>
  <c r="C106" i="21433"/>
  <c r="B106" i="21433"/>
  <c r="A106" i="21433"/>
  <c r="BG105" i="21433"/>
  <c r="BF105" i="21433"/>
  <c r="BE105" i="21433"/>
  <c r="BD105" i="21433"/>
  <c r="BC105" i="21433"/>
  <c r="AZ105" i="21433"/>
  <c r="AV105" i="21433"/>
  <c r="AU105" i="21433"/>
  <c r="AS105" i="21433"/>
  <c r="AR105" i="21433"/>
  <c r="AQ105" i="21433"/>
  <c r="AP105" i="21433"/>
  <c r="AO105" i="21433"/>
  <c r="AN105" i="21433"/>
  <c r="AM105" i="21433"/>
  <c r="AL105" i="21433"/>
  <c r="AK105" i="21433"/>
  <c r="AJ105" i="21433"/>
  <c r="AI105" i="21433"/>
  <c r="AH105" i="21433"/>
  <c r="AG105" i="21433"/>
  <c r="AF105" i="21433"/>
  <c r="AE105" i="21433"/>
  <c r="AD105" i="21433"/>
  <c r="AC105" i="21433"/>
  <c r="AB105" i="21433"/>
  <c r="AA105" i="21433"/>
  <c r="Z105" i="21433"/>
  <c r="Y105" i="21433"/>
  <c r="X105" i="21433"/>
  <c r="W105" i="21433"/>
  <c r="V105" i="21433"/>
  <c r="U105" i="21433"/>
  <c r="T105" i="21433"/>
  <c r="S105" i="21433"/>
  <c r="R105" i="21433"/>
  <c r="Q105" i="21433"/>
  <c r="P105" i="21433"/>
  <c r="O105" i="21433"/>
  <c r="N105" i="21433"/>
  <c r="L105" i="21433"/>
  <c r="K105" i="21433"/>
  <c r="J105" i="21433"/>
  <c r="I105" i="21433"/>
  <c r="H105" i="21433"/>
  <c r="G105" i="21433"/>
  <c r="F105" i="21433"/>
  <c r="E105" i="21433"/>
  <c r="D105" i="21433"/>
  <c r="C105" i="21433"/>
  <c r="B105" i="21433"/>
  <c r="A105" i="21433"/>
  <c r="AZ43" i="21432"/>
  <c r="AZ41" i="21432"/>
  <c r="AZ37" i="21432"/>
  <c r="AZ35" i="21432"/>
  <c r="BG102" i="21434"/>
  <c r="BF102" i="21434"/>
  <c r="BE102" i="21434"/>
  <c r="BD102" i="21434"/>
  <c r="BC102" i="21434"/>
  <c r="BB102" i="21434"/>
  <c r="BA102" i="21434"/>
  <c r="AY102" i="21434"/>
  <c r="AV102" i="21434"/>
  <c r="AU102" i="21434"/>
  <c r="AT102" i="21434"/>
  <c r="AS102" i="21434"/>
  <c r="AR102" i="21434"/>
  <c r="AP102" i="21434"/>
  <c r="AO102" i="21434"/>
  <c r="AN102" i="21434"/>
  <c r="AM102" i="21434"/>
  <c r="AL102" i="21434"/>
  <c r="AK102" i="21434"/>
  <c r="AJ102" i="21434"/>
  <c r="AI102" i="21434"/>
  <c r="AH102" i="21434"/>
  <c r="AG102" i="21434"/>
  <c r="AF102" i="21434"/>
  <c r="AE102" i="21434"/>
  <c r="AD102" i="21434"/>
  <c r="AC102" i="21434"/>
  <c r="AB102" i="21434"/>
  <c r="AA102" i="21434"/>
  <c r="Z102" i="21434"/>
  <c r="Y102" i="21434"/>
  <c r="X102" i="21434"/>
  <c r="W102" i="21434"/>
  <c r="V102" i="21434"/>
  <c r="U102" i="21434"/>
  <c r="T102" i="21434"/>
  <c r="R102" i="21434"/>
  <c r="Q102" i="21434"/>
  <c r="P102" i="21434"/>
  <c r="O102" i="21434"/>
  <c r="N102" i="21434"/>
  <c r="M102" i="21434"/>
  <c r="L102" i="21434"/>
  <c r="K102" i="21434"/>
  <c r="I102" i="21434"/>
  <c r="H102" i="21434"/>
  <c r="G102" i="21434"/>
  <c r="F102" i="21434"/>
  <c r="E102" i="21434"/>
  <c r="D102" i="21434"/>
  <c r="C102" i="21434"/>
  <c r="B102" i="21434"/>
  <c r="A102" i="21434"/>
  <c r="BG101" i="21434"/>
  <c r="BF101" i="21434"/>
  <c r="BE101" i="21434"/>
  <c r="BD101" i="21434"/>
  <c r="BC101" i="21434"/>
  <c r="BA101" i="21434"/>
  <c r="AZ101" i="21434"/>
  <c r="AV101" i="21434"/>
  <c r="AU101" i="21434"/>
  <c r="AS101" i="21434"/>
  <c r="AR101" i="21434"/>
  <c r="AQ101" i="21434"/>
  <c r="AP101" i="21434"/>
  <c r="AO101" i="21434"/>
  <c r="AN101" i="21434"/>
  <c r="AM101" i="21434"/>
  <c r="AL101" i="21434"/>
  <c r="AK101" i="21434"/>
  <c r="AJ101" i="21434"/>
  <c r="AI101" i="21434"/>
  <c r="AH101" i="21434"/>
  <c r="AG101" i="21434"/>
  <c r="AF101" i="21434"/>
  <c r="AE101" i="21434"/>
  <c r="AD101" i="21434"/>
  <c r="AC101" i="21434"/>
  <c r="AB101" i="21434"/>
  <c r="AA101" i="21434"/>
  <c r="Z101" i="21434"/>
  <c r="Y101" i="21434"/>
  <c r="X101" i="21434"/>
  <c r="W101" i="21434"/>
  <c r="V101" i="21434"/>
  <c r="U101" i="21434"/>
  <c r="T101" i="21434"/>
  <c r="S101" i="21434"/>
  <c r="R101" i="21434"/>
  <c r="Q101" i="21434"/>
  <c r="P101" i="21434"/>
  <c r="O101" i="21434"/>
  <c r="N101" i="21434"/>
  <c r="L101" i="21434"/>
  <c r="K101" i="21434"/>
  <c r="J101" i="21434"/>
  <c r="I101" i="21434"/>
  <c r="H101" i="21434"/>
  <c r="G101" i="21434"/>
  <c r="F101" i="21434"/>
  <c r="E101" i="21434"/>
  <c r="D101" i="21434"/>
  <c r="B101" i="21434"/>
  <c r="A101" i="21434"/>
  <c r="BA106" i="21433"/>
  <c r="BA105" i="21433"/>
  <c r="M61" i="21433"/>
  <c r="S105" i="21415" l="1"/>
  <c r="S97" i="21415"/>
  <c r="S99" i="21415"/>
  <c r="S101" i="21415"/>
  <c r="S103" i="21415"/>
  <c r="S107" i="21415"/>
  <c r="S109" i="21415"/>
  <c r="S111" i="21415"/>
  <c r="S95" i="21415"/>
  <c r="S93" i="21415"/>
  <c r="S87" i="21415"/>
  <c r="S89" i="21415"/>
  <c r="S91" i="21415"/>
  <c r="S83" i="21415"/>
  <c r="S85" i="21415"/>
  <c r="AT43" i="21434"/>
  <c r="AC43" i="21434" l="1"/>
  <c r="S77" i="21415"/>
  <c r="S75" i="21415"/>
  <c r="S73" i="21415"/>
  <c r="S71" i="21415"/>
  <c r="S69" i="21415"/>
  <c r="S67" i="21415"/>
  <c r="S65" i="21415"/>
  <c r="S63" i="21415"/>
  <c r="S61" i="21415"/>
  <c r="S57" i="21415"/>
  <c r="S55" i="21415"/>
  <c r="S53" i="21415"/>
  <c r="S51" i="21415"/>
  <c r="S47" i="21415"/>
  <c r="S45" i="21415"/>
  <c r="S43" i="21415"/>
  <c r="S41" i="21415"/>
  <c r="S39" i="21415"/>
  <c r="S37" i="21415"/>
  <c r="S35" i="21415"/>
  <c r="S7" i="21415"/>
  <c r="S9" i="21415"/>
  <c r="S11" i="21415"/>
  <c r="S13" i="21415"/>
  <c r="S15" i="21415"/>
  <c r="S17" i="21415"/>
  <c r="S19" i="21415"/>
  <c r="S21" i="21415"/>
  <c r="J53" i="21432" l="1"/>
  <c r="J45" i="21432"/>
  <c r="I31" i="21432"/>
  <c r="I29" i="21432"/>
  <c r="C8" i="21432"/>
  <c r="J7" i="21432" s="1"/>
  <c r="J4" i="21432"/>
  <c r="I76" i="21434"/>
  <c r="C51" i="21434"/>
  <c r="I34" i="21434"/>
  <c r="I32" i="21434"/>
  <c r="C9" i="21434"/>
  <c r="C11" i="21434" s="1"/>
  <c r="C13" i="21434" s="1"/>
  <c r="C15" i="21434" s="1"/>
  <c r="C17" i="21434" s="1"/>
  <c r="C19" i="21434" s="1"/>
  <c r="J4" i="21434"/>
  <c r="I78" i="21433"/>
  <c r="I76" i="21433"/>
  <c r="C51" i="21433"/>
  <c r="C53" i="21433" s="1"/>
  <c r="I34" i="21433"/>
  <c r="I32" i="21433"/>
  <c r="C9" i="21433"/>
  <c r="C7" i="21433" s="1"/>
  <c r="J4" i="21433"/>
  <c r="AQ26" i="21434"/>
  <c r="AT83" i="21434"/>
  <c r="AQ94" i="21434"/>
  <c r="AT18" i="21432"/>
  <c r="AT91" i="21434"/>
  <c r="AT97" i="21434"/>
  <c r="AQ41" i="21432"/>
  <c r="AQ88" i="21434"/>
  <c r="AT8" i="21432"/>
  <c r="AT49" i="21434"/>
  <c r="AT65" i="21434"/>
  <c r="AQ74" i="21434"/>
  <c r="AQ33" i="21432"/>
  <c r="AT32" i="21432"/>
  <c r="AT16" i="21432"/>
  <c r="AT20" i="21432"/>
  <c r="AT14" i="21432"/>
  <c r="AT41" i="21434"/>
  <c r="AQ58" i="21434"/>
  <c r="AQ43" i="21432"/>
  <c r="AT73" i="21434"/>
  <c r="AT13" i="21434"/>
  <c r="AT52" i="21432"/>
  <c r="AQ54" i="21434"/>
  <c r="AQ47" i="21432"/>
  <c r="AT75" i="21434"/>
  <c r="AT95" i="21434"/>
  <c r="AT24" i="21432"/>
  <c r="AQ48" i="21434"/>
  <c r="AT9" i="21434"/>
  <c r="AQ35" i="21432"/>
  <c r="AQ23" i="21432"/>
  <c r="AQ82" i="21434"/>
  <c r="AQ60" i="21434"/>
  <c r="AQ51" i="21432"/>
  <c r="AT89" i="21434"/>
  <c r="AT15" i="21434"/>
  <c r="AQ31" i="21432"/>
  <c r="AQ7" i="21432"/>
  <c r="AQ68" i="21434"/>
  <c r="AT53" i="21434"/>
  <c r="AT23" i="21434"/>
  <c r="AQ9" i="21432"/>
  <c r="AQ96" i="21434"/>
  <c r="AQ40" i="21434"/>
  <c r="AQ25" i="21432"/>
  <c r="AQ64" i="21434"/>
  <c r="AT77" i="21434"/>
  <c r="AT48" i="21432"/>
  <c r="AQ92" i="21434"/>
  <c r="AQ56" i="21434"/>
  <c r="AQ76" i="21434"/>
  <c r="AQ52" i="21434"/>
  <c r="AT51" i="21434"/>
  <c r="AQ19" i="21432"/>
  <c r="AQ37" i="21432"/>
  <c r="AT34" i="21432"/>
  <c r="AT93" i="21434"/>
  <c r="AQ70" i="21434"/>
  <c r="AT40" i="21432"/>
  <c r="AT6" i="21432"/>
  <c r="AT29" i="21434"/>
  <c r="AT57" i="21434"/>
  <c r="AQ90" i="21434"/>
  <c r="AQ84" i="21434"/>
  <c r="AQ39" i="21432"/>
  <c r="AQ11" i="21432"/>
  <c r="AT85" i="21434"/>
  <c r="AT87" i="21434"/>
  <c r="AQ29" i="21432"/>
  <c r="AQ46" i="21434"/>
  <c r="AT27" i="21434"/>
  <c r="AQ66" i="21434"/>
  <c r="AQ28" i="21434"/>
  <c r="AQ53" i="21432"/>
  <c r="AQ62" i="21434"/>
  <c r="AQ72" i="21434"/>
  <c r="AT61" i="21434"/>
  <c r="AT63" i="21434"/>
  <c r="AQ42" i="21434"/>
  <c r="AQ15" i="21432"/>
  <c r="AQ45" i="21432"/>
  <c r="AQ86" i="21434"/>
  <c r="AQ50" i="21434"/>
  <c r="AT4" i="21432"/>
  <c r="AT38" i="21432"/>
  <c r="AT25" i="21434"/>
  <c r="AT50" i="21432"/>
  <c r="AT47" i="21434"/>
  <c r="AT46" i="21432"/>
  <c r="AT71" i="21434"/>
  <c r="AQ13" i="21432"/>
  <c r="AT12" i="21432"/>
  <c r="AT26" i="21432"/>
  <c r="AT19" i="21434"/>
  <c r="AT69" i="21434"/>
  <c r="AQ27" i="21432"/>
  <c r="AQ21" i="21432"/>
  <c r="AT5" i="21434"/>
  <c r="AQ24" i="21434"/>
  <c r="AQ17" i="21432"/>
  <c r="AT54" i="21432"/>
  <c r="AT67" i="21434"/>
  <c r="AT10" i="21432"/>
  <c r="AQ5" i="21432"/>
  <c r="AT55" i="21434"/>
  <c r="AT42" i="21432"/>
  <c r="AQ18" i="21434"/>
  <c r="AQ12" i="21434"/>
  <c r="AQ6" i="21434"/>
  <c r="AT30" i="21432"/>
  <c r="AT28" i="21432"/>
  <c r="AT44" i="21432"/>
  <c r="AT22" i="21432"/>
  <c r="AT36" i="21432"/>
  <c r="AQ34" i="21434"/>
  <c r="AQ30" i="21434"/>
  <c r="AQ22" i="21434"/>
  <c r="AT59" i="21434"/>
  <c r="AT31" i="21434"/>
  <c r="AQ49" i="21432"/>
  <c r="AQ14" i="21434"/>
  <c r="AT31" i="21433"/>
  <c r="AT29" i="21433"/>
  <c r="AT67" i="21433"/>
  <c r="AQ88" i="21433"/>
  <c r="AQ84" i="21433"/>
  <c r="AT5" i="21433"/>
  <c r="AQ22" i="21433"/>
  <c r="AT73" i="21433"/>
  <c r="AQ52" i="21433"/>
  <c r="AT69" i="21433"/>
  <c r="AT91" i="21433"/>
  <c r="AQ50" i="21433"/>
  <c r="AT75" i="21433"/>
  <c r="AT97" i="21433"/>
  <c r="AT13" i="21433"/>
  <c r="AT53" i="21433"/>
  <c r="AQ30" i="21433"/>
  <c r="AQ42" i="21433"/>
  <c r="AQ18" i="21433"/>
  <c r="AQ62" i="21433"/>
  <c r="AT23" i="21433"/>
  <c r="AT71" i="21433"/>
  <c r="AT59" i="21433"/>
  <c r="AT65" i="21433"/>
  <c r="AT85" i="21433"/>
  <c r="AT49" i="21433"/>
  <c r="AT77" i="21433"/>
  <c r="AT47" i="21433"/>
  <c r="AQ94" i="21433"/>
  <c r="AT83" i="21433"/>
  <c r="AQ54" i="21433"/>
  <c r="AQ56" i="21433"/>
  <c r="AQ82" i="21433"/>
  <c r="AQ66" i="21433"/>
  <c r="AT55" i="21433"/>
  <c r="AT57" i="21433"/>
  <c r="AT19" i="21433"/>
  <c r="AT93" i="21433"/>
  <c r="AQ74" i="21433"/>
  <c r="AT63" i="21433"/>
  <c r="AQ46" i="21433"/>
  <c r="AT25" i="21433"/>
  <c r="AT95" i="21433"/>
  <c r="AQ58" i="21433"/>
  <c r="AQ34" i="21433"/>
  <c r="AQ60" i="21433"/>
  <c r="AQ70" i="21433"/>
  <c r="AQ26" i="21433"/>
  <c r="AQ24" i="21433"/>
  <c r="AT61" i="21433"/>
  <c r="AT87" i="21433"/>
  <c r="AQ12" i="21433"/>
  <c r="AQ6" i="21433"/>
  <c r="AQ28" i="21433"/>
  <c r="AQ76" i="21433"/>
  <c r="AT43" i="21433"/>
  <c r="AQ68" i="21433"/>
  <c r="AT89" i="21433"/>
  <c r="AT41" i="21433"/>
  <c r="AQ96" i="21433"/>
  <c r="AQ86" i="21433"/>
  <c r="AQ14" i="21433"/>
  <c r="AT15" i="21433"/>
  <c r="AQ90" i="21433"/>
  <c r="AT27" i="21433"/>
  <c r="AT9" i="21433"/>
  <c r="AQ48" i="21433"/>
  <c r="AQ72" i="21433"/>
  <c r="AQ92" i="21433"/>
  <c r="AQ64" i="21433"/>
  <c r="AT51" i="21433"/>
  <c r="AQ40" i="21433"/>
  <c r="AQ102" i="21433"/>
  <c r="AQ100" i="21434"/>
  <c r="AQ8" i="21431" l="1"/>
  <c r="C55" i="21433"/>
  <c r="C7" i="21434"/>
  <c r="C53" i="21434"/>
  <c r="J50" i="21433"/>
  <c r="C10" i="21432"/>
  <c r="C12" i="21432" s="1"/>
  <c r="C14" i="21432" s="1"/>
  <c r="J50" i="21434"/>
  <c r="C11" i="21433"/>
  <c r="C13" i="21433" s="1"/>
  <c r="C15" i="21433" s="1"/>
  <c r="C17" i="21433" s="1"/>
  <c r="C19" i="21433" s="1"/>
  <c r="C23" i="21433" s="1"/>
  <c r="I78" i="21434"/>
  <c r="AC59" i="21434"/>
  <c r="AC13" i="21433"/>
  <c r="AC25" i="21433"/>
  <c r="AC47" i="21433"/>
  <c r="AC69" i="21433"/>
  <c r="AC5" i="21434"/>
  <c r="AC71" i="21434"/>
  <c r="AC89" i="21434"/>
  <c r="AC54" i="21432"/>
  <c r="AC51" i="21433"/>
  <c r="AC25" i="21434"/>
  <c r="AC95" i="21434"/>
  <c r="AC20" i="21432"/>
  <c r="AC59" i="21433"/>
  <c r="AC75" i="21433"/>
  <c r="AC87" i="21433"/>
  <c r="AC27" i="21434"/>
  <c r="AC35" i="21434"/>
  <c r="AC49" i="21434"/>
  <c r="AC61" i="21434"/>
  <c r="AC14" i="21432"/>
  <c r="AC22" i="21432"/>
  <c r="AC13" i="21434"/>
  <c r="AC12" i="21432"/>
  <c r="AC27" i="21433"/>
  <c r="AC35" i="21433"/>
  <c r="AC49" i="21433"/>
  <c r="AC65" i="21433"/>
  <c r="AC93" i="21433"/>
  <c r="AC67" i="21434"/>
  <c r="AC77" i="21434"/>
  <c r="AC85" i="21434"/>
  <c r="AC8" i="21432"/>
  <c r="AC30" i="21432"/>
  <c r="AC36" i="21432"/>
  <c r="AC42" i="21432"/>
  <c r="AC46" i="21432"/>
  <c r="AC52" i="21432"/>
  <c r="AC83" i="21434"/>
  <c r="AC5" i="21433"/>
  <c r="AC71" i="21433"/>
  <c r="AC83" i="21433"/>
  <c r="AC19" i="21434"/>
  <c r="AC29" i="21434"/>
  <c r="AC41" i="21434"/>
  <c r="AC73" i="21434"/>
  <c r="AC91" i="21434"/>
  <c r="AC16" i="21432"/>
  <c r="AC24" i="21432"/>
  <c r="AC63" i="21433"/>
  <c r="AC34" i="21432"/>
  <c r="AC19" i="21433"/>
  <c r="AC29" i="21433"/>
  <c r="AC41" i="21433"/>
  <c r="AC61" i="21433"/>
  <c r="AC89" i="21433"/>
  <c r="AC95" i="21433"/>
  <c r="AC63" i="21434"/>
  <c r="AC4" i="21432"/>
  <c r="AC91" i="21433"/>
  <c r="AC65" i="21434"/>
  <c r="AC40" i="21432"/>
  <c r="AC67" i="21433"/>
  <c r="AC77" i="21433"/>
  <c r="AC23" i="21434"/>
  <c r="AC31" i="21434"/>
  <c r="AC51" i="21434"/>
  <c r="AC69" i="21434"/>
  <c r="AC87" i="21434"/>
  <c r="AC93" i="21434"/>
  <c r="AC10" i="21432"/>
  <c r="AC18" i="21432"/>
  <c r="AC26" i="21432"/>
  <c r="AC32" i="21432"/>
  <c r="AC38" i="21432"/>
  <c r="AC44" i="21432"/>
  <c r="AC28" i="21432"/>
  <c r="AC23" i="21433"/>
  <c r="AC31" i="21433"/>
  <c r="AC43" i="21433"/>
  <c r="AC73" i="21433"/>
  <c r="AC85" i="21433"/>
  <c r="AC97" i="21433"/>
  <c r="AC75" i="21434"/>
  <c r="J15" i="21432"/>
  <c r="C16" i="21432"/>
  <c r="C18" i="21432" s="1"/>
  <c r="C20" i="21432" s="1"/>
  <c r="C22" i="21432" s="1"/>
  <c r="C24" i="21432" s="1"/>
  <c r="C26" i="21432" s="1"/>
  <c r="C28" i="21432" s="1"/>
  <c r="C55" i="21434"/>
  <c r="J52" i="21434"/>
  <c r="C23" i="21434"/>
  <c r="C21" i="21434"/>
  <c r="C57" i="21433"/>
  <c r="C59" i="21433" s="1"/>
  <c r="C61" i="21433" s="1"/>
  <c r="C21" i="21433"/>
  <c r="S59" i="21415"/>
  <c r="S49" i="21415"/>
  <c r="S25" i="21415"/>
  <c r="S27" i="21415"/>
  <c r="S29" i="21415"/>
  <c r="S31" i="21415"/>
  <c r="S33" i="21415"/>
  <c r="S23" i="21415"/>
  <c r="J27" i="21432" l="1"/>
  <c r="C30" i="21432"/>
  <c r="C32" i="21432" s="1"/>
  <c r="C25" i="21434"/>
  <c r="C27" i="21434" s="1"/>
  <c r="C29" i="21434" s="1"/>
  <c r="C31" i="21434" s="1"/>
  <c r="J24" i="21434"/>
  <c r="C57" i="21434"/>
  <c r="C59" i="21434" s="1"/>
  <c r="C61" i="21434" s="1"/>
  <c r="C25" i="21433"/>
  <c r="C27" i="21433" s="1"/>
  <c r="C29" i="21433" s="1"/>
  <c r="C31" i="21433" s="1"/>
  <c r="J24" i="21433"/>
  <c r="J62" i="21433"/>
  <c r="C63" i="21433"/>
  <c r="C65" i="21433" s="1"/>
  <c r="C67" i="21433" s="1"/>
  <c r="C69" i="21433" s="1"/>
  <c r="C71" i="21433" s="1"/>
  <c r="C73" i="21433" s="1"/>
  <c r="C75" i="21433" s="1"/>
  <c r="S115" i="21415"/>
  <c r="S117" i="21415"/>
  <c r="S119" i="21415"/>
  <c r="S121" i="21415"/>
  <c r="S123" i="21415"/>
  <c r="S125" i="21415"/>
  <c r="S127" i="21415"/>
  <c r="S129" i="21415"/>
  <c r="S131" i="21415"/>
  <c r="S133" i="21415"/>
  <c r="S135" i="21415"/>
  <c r="S137" i="21415"/>
  <c r="S139" i="21415"/>
  <c r="S141" i="21415"/>
  <c r="S113" i="21415"/>
  <c r="J33" i="21432" l="1"/>
  <c r="C34" i="21432"/>
  <c r="C33" i="21434"/>
  <c r="J30" i="21434"/>
  <c r="J62" i="21434"/>
  <c r="C63" i="21434"/>
  <c r="C65" i="21434" s="1"/>
  <c r="C67" i="21434" s="1"/>
  <c r="C69" i="21434" s="1"/>
  <c r="C71" i="21434" s="1"/>
  <c r="C73" i="21434" s="1"/>
  <c r="C75" i="21434" s="1"/>
  <c r="C77" i="21433"/>
  <c r="C79" i="21433" s="1"/>
  <c r="J74" i="21433"/>
  <c r="J30" i="21433"/>
  <c r="C33" i="21433"/>
  <c r="S38" i="21410"/>
  <c r="AW34" i="21432" l="1"/>
  <c r="AX34" i="21432"/>
  <c r="C36" i="21432"/>
  <c r="C77" i="21434"/>
  <c r="C79" i="21434" s="1"/>
  <c r="J74" i="21434"/>
  <c r="C35" i="21434"/>
  <c r="C37" i="21434" s="1"/>
  <c r="F33" i="21434"/>
  <c r="C35" i="21433"/>
  <c r="C37" i="21433" s="1"/>
  <c r="F33" i="21433"/>
  <c r="J80" i="21433"/>
  <c r="F79" i="21433"/>
  <c r="C81" i="21433"/>
  <c r="S4" i="21410"/>
  <c r="S6" i="21410"/>
  <c r="S8" i="21410"/>
  <c r="S10" i="21410"/>
  <c r="S12" i="21410"/>
  <c r="V18" i="21411"/>
  <c r="V12" i="21411"/>
  <c r="S16" i="21410"/>
  <c r="S18" i="21410"/>
  <c r="S20" i="21410"/>
  <c r="S22" i="21410"/>
  <c r="S24" i="21410"/>
  <c r="S26" i="21410"/>
  <c r="S28" i="21410"/>
  <c r="S30" i="21410"/>
  <c r="S32" i="21410"/>
  <c r="S34" i="21410"/>
  <c r="S36" i="21410"/>
  <c r="S14" i="21410"/>
  <c r="S305" i="21415"/>
  <c r="S303" i="21415"/>
  <c r="S301" i="21415"/>
  <c r="S297" i="21415"/>
  <c r="S299" i="21415"/>
  <c r="C39" i="21434" l="1"/>
  <c r="F39" i="21434" s="1"/>
  <c r="F37" i="21434"/>
  <c r="F37" i="21433"/>
  <c r="C39" i="21433"/>
  <c r="F39" i="21433" s="1"/>
  <c r="AX36" i="21432"/>
  <c r="AW36" i="21432"/>
  <c r="AZ34" i="21432"/>
  <c r="AY34" i="21432"/>
  <c r="C38" i="21432"/>
  <c r="C40" i="21432" s="1"/>
  <c r="J36" i="21434"/>
  <c r="C81" i="21434"/>
  <c r="J80" i="21434"/>
  <c r="F79" i="21434"/>
  <c r="C83" i="21433"/>
  <c r="F81" i="21433"/>
  <c r="J36" i="21433"/>
  <c r="V20" i="21411"/>
  <c r="V14" i="21411"/>
  <c r="V24" i="21411"/>
  <c r="V22" i="21411"/>
  <c r="V16" i="21411"/>
  <c r="S40" i="21410"/>
  <c r="S331" i="21415"/>
  <c r="S333" i="21415"/>
  <c r="S335" i="21415"/>
  <c r="S309" i="21415"/>
  <c r="S311" i="21415"/>
  <c r="S313" i="21415"/>
  <c r="S315" i="21415"/>
  <c r="S317" i="21415"/>
  <c r="S319" i="21415"/>
  <c r="S321" i="21415"/>
  <c r="S323" i="21415"/>
  <c r="S325" i="21415"/>
  <c r="S327" i="21415"/>
  <c r="S329" i="21415"/>
  <c r="S307" i="21415"/>
  <c r="AQ38" i="21434"/>
  <c r="AQ32" i="21434"/>
  <c r="AT33" i="21434"/>
  <c r="AQ32" i="21433"/>
  <c r="AT33" i="21433"/>
  <c r="AT79" i="21433"/>
  <c r="AQ78" i="21433"/>
  <c r="AT37" i="21433"/>
  <c r="AC37" i="21433" l="1"/>
  <c r="AZ36" i="21432"/>
  <c r="AY36" i="21432"/>
  <c r="AC33" i="21433"/>
  <c r="AC33" i="21434"/>
  <c r="AC79" i="21433"/>
  <c r="J40" i="21432"/>
  <c r="C42" i="21432"/>
  <c r="C83" i="21434"/>
  <c r="F81" i="21434"/>
  <c r="C41" i="21434"/>
  <c r="J41" i="21434" s="1"/>
  <c r="C85" i="21433"/>
  <c r="C41" i="21433"/>
  <c r="C43" i="21433" s="1"/>
  <c r="C45" i="21433" s="1"/>
  <c r="S12" i="21412"/>
  <c r="S14" i="21412"/>
  <c r="S16" i="21412"/>
  <c r="S18" i="21412"/>
  <c r="S20" i="21412"/>
  <c r="S22" i="21412"/>
  <c r="S24" i="21412"/>
  <c r="S26" i="21412"/>
  <c r="S28" i="21412"/>
  <c r="S30" i="21412"/>
  <c r="S32" i="21412"/>
  <c r="AT37" i="21434"/>
  <c r="AT39" i="21434"/>
  <c r="AQ78" i="21434"/>
  <c r="AQ36" i="21434"/>
  <c r="AT79" i="21434"/>
  <c r="AT39" i="21433"/>
  <c r="AT81" i="21433"/>
  <c r="AQ36" i="21433"/>
  <c r="AQ80" i="21433"/>
  <c r="AQ38" i="21433"/>
  <c r="AC37" i="21434" l="1"/>
  <c r="AC81" i="21433"/>
  <c r="AC79" i="21434"/>
  <c r="J42" i="21432"/>
  <c r="C44" i="21432"/>
  <c r="C43" i="21434"/>
  <c r="C85" i="21434"/>
  <c r="C87" i="21433"/>
  <c r="J42" i="21433"/>
  <c r="C47" i="21433"/>
  <c r="J44" i="21433"/>
  <c r="S50" i="21422"/>
  <c r="S48" i="21422"/>
  <c r="S46" i="21422"/>
  <c r="S44" i="21422"/>
  <c r="S42" i="21422"/>
  <c r="S40" i="21422"/>
  <c r="S38" i="21422"/>
  <c r="S36" i="21422"/>
  <c r="S34" i="21422"/>
  <c r="S32" i="21422"/>
  <c r="S30" i="21422"/>
  <c r="S28" i="21422"/>
  <c r="S26" i="21422"/>
  <c r="S24" i="21422"/>
  <c r="S22" i="21422"/>
  <c r="S20" i="21422"/>
  <c r="S18" i="21422"/>
  <c r="S16" i="21422"/>
  <c r="S14" i="21422"/>
  <c r="S12" i="21422"/>
  <c r="S10" i="21422"/>
  <c r="AT81" i="21434"/>
  <c r="AQ80" i="21434"/>
  <c r="J42" i="21434" l="1"/>
  <c r="C45" i="21434"/>
  <c r="AC81" i="21434"/>
  <c r="AC39" i="21433"/>
  <c r="AC39" i="21434"/>
  <c r="J44" i="21434"/>
  <c r="C87" i="21434"/>
  <c r="C89" i="21433"/>
  <c r="F45" i="21433"/>
  <c r="J59" i="108"/>
  <c r="C89" i="21434" l="1"/>
  <c r="C91" i="21434" s="1"/>
  <c r="C93" i="21434" s="1"/>
  <c r="C95" i="21434" s="1"/>
  <c r="C47" i="21434"/>
  <c r="F45" i="21434"/>
  <c r="C91" i="21433"/>
  <c r="M41" i="21422"/>
  <c r="AQ44" i="21433"/>
  <c r="AT45" i="21433"/>
  <c r="AC45" i="21433" l="1"/>
  <c r="C97" i="21434"/>
  <c r="J95" i="21434"/>
  <c r="J96" i="21434"/>
  <c r="C93" i="21433"/>
  <c r="C95" i="21433" s="1"/>
  <c r="C97" i="21433" s="1"/>
  <c r="S233" i="21398"/>
  <c r="AQ44" i="21434"/>
  <c r="AT45" i="21434"/>
  <c r="AC45" i="21434" l="1"/>
  <c r="C99" i="21434"/>
  <c r="C99" i="21433"/>
  <c r="J98" i="21433"/>
  <c r="M43" i="21422"/>
  <c r="J98" i="21434" l="1"/>
  <c r="F99" i="21434"/>
  <c r="C101" i="21433"/>
  <c r="C103" i="21433" s="1"/>
  <c r="J99" i="21433"/>
  <c r="F99" i="21433"/>
  <c r="S45" i="21419"/>
  <c r="S43" i="21419"/>
  <c r="S41" i="21419"/>
  <c r="S39" i="21419"/>
  <c r="S37" i="21419"/>
  <c r="S35" i="21419"/>
  <c r="S33" i="21419"/>
  <c r="S31" i="21419"/>
  <c r="S29" i="21419"/>
  <c r="S27" i="21419"/>
  <c r="S25" i="21419"/>
  <c r="S23" i="21419"/>
  <c r="S21" i="21419"/>
  <c r="S19" i="21419"/>
  <c r="S17" i="21419"/>
  <c r="S15" i="21419"/>
  <c r="S13" i="21419"/>
  <c r="S11" i="21419"/>
  <c r="S9" i="21419"/>
  <c r="S7" i="21419"/>
  <c r="S34" i="21420"/>
  <c r="S32" i="21420"/>
  <c r="S30" i="21420"/>
  <c r="S28" i="21420"/>
  <c r="S26" i="21420"/>
  <c r="S24" i="21420"/>
  <c r="S22" i="21420"/>
  <c r="S20" i="21420"/>
  <c r="S18" i="21420"/>
  <c r="S16" i="21420"/>
  <c r="S14" i="21420"/>
  <c r="S12" i="21420"/>
  <c r="S32" i="21421"/>
  <c r="S30" i="21421"/>
  <c r="S28" i="21421"/>
  <c r="S26" i="21421"/>
  <c r="S24" i="21421"/>
  <c r="S22" i="21421"/>
  <c r="S20" i="21421"/>
  <c r="S18" i="21421"/>
  <c r="S16" i="21421"/>
  <c r="S14" i="21421"/>
  <c r="S12" i="21421"/>
  <c r="S342" i="21416"/>
  <c r="S340" i="21416"/>
  <c r="S338" i="21416"/>
  <c r="S336" i="21416"/>
  <c r="S334" i="21416"/>
  <c r="S332" i="21416"/>
  <c r="S330" i="21416"/>
  <c r="S328" i="21416"/>
  <c r="S326" i="21416"/>
  <c r="S324" i="21416"/>
  <c r="S322" i="21416"/>
  <c r="S320" i="21416"/>
  <c r="S318" i="21416"/>
  <c r="S316" i="21416"/>
  <c r="S314" i="21416"/>
  <c r="S312" i="21416"/>
  <c r="S310" i="21416"/>
  <c r="S308" i="21416"/>
  <c r="S306" i="21416"/>
  <c r="S304" i="21416"/>
  <c r="S302" i="21416"/>
  <c r="S300" i="21416"/>
  <c r="S298" i="21416"/>
  <c r="S296" i="21416"/>
  <c r="S294" i="21416"/>
  <c r="S292" i="21416"/>
  <c r="S290" i="21416"/>
  <c r="S288" i="21416"/>
  <c r="S286" i="21416"/>
  <c r="S284" i="21416"/>
  <c r="S282" i="21416"/>
  <c r="S280" i="21416"/>
  <c r="S278" i="21416"/>
  <c r="S276" i="21416"/>
  <c r="S274" i="21416"/>
  <c r="S272" i="21416"/>
  <c r="S270" i="21416"/>
  <c r="S268" i="21416"/>
  <c r="S266" i="21416"/>
  <c r="S264" i="21416"/>
  <c r="S262" i="21416"/>
  <c r="S260" i="21416"/>
  <c r="S258" i="21416"/>
  <c r="S256" i="21416"/>
  <c r="S254" i="21416"/>
  <c r="S252" i="21416"/>
  <c r="S250" i="21416"/>
  <c r="S248" i="21416"/>
  <c r="S246" i="21416"/>
  <c r="S244" i="21416"/>
  <c r="S242" i="21416"/>
  <c r="S240" i="21416"/>
  <c r="S238" i="21416"/>
  <c r="S236" i="21416"/>
  <c r="S234" i="21416"/>
  <c r="S232" i="21416"/>
  <c r="S230" i="21416"/>
  <c r="S228" i="21416"/>
  <c r="S226" i="21416"/>
  <c r="S224" i="21416"/>
  <c r="S222" i="21416"/>
  <c r="S220" i="21416"/>
  <c r="S218" i="21416"/>
  <c r="S216" i="21416"/>
  <c r="S214" i="21416"/>
  <c r="S212" i="21416"/>
  <c r="S210" i="21416"/>
  <c r="S208" i="21416"/>
  <c r="S206" i="21416"/>
  <c r="S204" i="21416"/>
  <c r="S202" i="21416"/>
  <c r="S200" i="21416"/>
  <c r="S198" i="21416"/>
  <c r="S196" i="21416"/>
  <c r="S194" i="21416"/>
  <c r="S192" i="21416"/>
  <c r="S190" i="21416"/>
  <c r="S188" i="21416"/>
  <c r="S186" i="21416"/>
  <c r="S184" i="21416"/>
  <c r="S182" i="21416"/>
  <c r="S180" i="21416"/>
  <c r="S178" i="21416"/>
  <c r="S176" i="21416"/>
  <c r="S174" i="21416"/>
  <c r="S172" i="21416"/>
  <c r="S170" i="21416"/>
  <c r="S168" i="21416"/>
  <c r="S166" i="21416"/>
  <c r="S164" i="21416"/>
  <c r="S162" i="21416"/>
  <c r="S160" i="21416"/>
  <c r="S158" i="21416"/>
  <c r="S156" i="21416"/>
  <c r="S154" i="21416"/>
  <c r="S152" i="21416"/>
  <c r="S150" i="21416"/>
  <c r="S148" i="21416"/>
  <c r="S146" i="21416"/>
  <c r="S144" i="21416"/>
  <c r="S142" i="21416"/>
  <c r="S140" i="21416"/>
  <c r="S138" i="21416"/>
  <c r="S136" i="21416"/>
  <c r="S134" i="21416"/>
  <c r="S132" i="21416"/>
  <c r="S130" i="21416"/>
  <c r="S128" i="21416"/>
  <c r="S126" i="21416"/>
  <c r="S124" i="21416"/>
  <c r="S122" i="21416"/>
  <c r="S120" i="21416"/>
  <c r="S118" i="21416"/>
  <c r="S116" i="21416"/>
  <c r="S114" i="21416"/>
  <c r="S112" i="21416"/>
  <c r="S110" i="21416"/>
  <c r="S108" i="21416"/>
  <c r="S106" i="21416"/>
  <c r="S104" i="21416"/>
  <c r="S102" i="21416"/>
  <c r="S100" i="21416"/>
  <c r="S98" i="21416"/>
  <c r="S96" i="21416"/>
  <c r="S94" i="21416"/>
  <c r="S92" i="21416"/>
  <c r="S90" i="21416"/>
  <c r="S88" i="21416"/>
  <c r="S86" i="21416"/>
  <c r="S84" i="21416"/>
  <c r="S82" i="21416"/>
  <c r="S80" i="21416"/>
  <c r="S78" i="21416"/>
  <c r="S76" i="21416"/>
  <c r="S74" i="21416"/>
  <c r="S72" i="21416"/>
  <c r="S70" i="21416"/>
  <c r="S68" i="21416"/>
  <c r="S66" i="21416"/>
  <c r="S64" i="21416"/>
  <c r="S62" i="21416"/>
  <c r="S60" i="21416"/>
  <c r="S58" i="21416"/>
  <c r="S56" i="21416"/>
  <c r="S54" i="21416"/>
  <c r="S52" i="21416"/>
  <c r="S50" i="21416"/>
  <c r="S48" i="21416"/>
  <c r="S46" i="21416"/>
  <c r="S44" i="21416"/>
  <c r="S42" i="21416"/>
  <c r="S40" i="21416"/>
  <c r="S38" i="21416"/>
  <c r="S36" i="21416"/>
  <c r="S34" i="21416"/>
  <c r="S32" i="21416"/>
  <c r="S30" i="21416"/>
  <c r="S28" i="21416"/>
  <c r="S26" i="21416"/>
  <c r="S24" i="21416"/>
  <c r="S22" i="21416"/>
  <c r="S20" i="21416"/>
  <c r="S18" i="21416"/>
  <c r="S16" i="21416"/>
  <c r="S14" i="21416"/>
  <c r="AX103" i="21433" l="1"/>
  <c r="AW103" i="21433"/>
  <c r="F101" i="21433"/>
  <c r="S339" i="21417"/>
  <c r="S337" i="21417"/>
  <c r="S335" i="21417"/>
  <c r="S333" i="21417"/>
  <c r="S331" i="21417"/>
  <c r="S329" i="21417"/>
  <c r="S327" i="21417"/>
  <c r="S325" i="21417"/>
  <c r="S323" i="21417"/>
  <c r="S321" i="21417"/>
  <c r="S319" i="21417"/>
  <c r="S317" i="21417"/>
  <c r="S315" i="21417"/>
  <c r="S313" i="21417"/>
  <c r="S311" i="21417"/>
  <c r="S309" i="21417"/>
  <c r="S307" i="21417"/>
  <c r="S305" i="21417"/>
  <c r="S303" i="21417"/>
  <c r="S301" i="21417"/>
  <c r="S299" i="21417"/>
  <c r="S297" i="21417"/>
  <c r="S295" i="21417"/>
  <c r="S293" i="21417"/>
  <c r="S291" i="21417"/>
  <c r="S289" i="21417"/>
  <c r="S287" i="21417"/>
  <c r="S285" i="21417"/>
  <c r="S283" i="21417"/>
  <c r="S281" i="21417"/>
  <c r="S279" i="21417"/>
  <c r="S277" i="21417"/>
  <c r="S275" i="21417"/>
  <c r="S273" i="21417"/>
  <c r="S271" i="21417"/>
  <c r="S269" i="21417"/>
  <c r="S267" i="21417"/>
  <c r="S265" i="21417"/>
  <c r="S263" i="21417"/>
  <c r="S261" i="21417"/>
  <c r="S259" i="21417"/>
  <c r="S257" i="21417"/>
  <c r="S255" i="21417"/>
  <c r="S253" i="21417"/>
  <c r="S251" i="21417"/>
  <c r="S249" i="21417"/>
  <c r="S247" i="21417"/>
  <c r="S245" i="21417"/>
  <c r="S243" i="21417"/>
  <c r="S241" i="21417"/>
  <c r="S239" i="21417"/>
  <c r="S237" i="21417"/>
  <c r="S235" i="21417"/>
  <c r="S233" i="21417"/>
  <c r="S231" i="21417"/>
  <c r="S229" i="21417"/>
  <c r="S227" i="21417"/>
  <c r="S225" i="21417"/>
  <c r="S223" i="21417"/>
  <c r="S221" i="21417"/>
  <c r="S219" i="21417"/>
  <c r="S217" i="21417"/>
  <c r="S215" i="21417"/>
  <c r="S213" i="21417"/>
  <c r="S211" i="21417"/>
  <c r="S209" i="21417"/>
  <c r="S207" i="21417"/>
  <c r="S205" i="21417"/>
  <c r="S203" i="21417"/>
  <c r="S201" i="21417"/>
  <c r="S199" i="21417"/>
  <c r="S197" i="21417"/>
  <c r="S195" i="21417"/>
  <c r="S193" i="21417"/>
  <c r="S191" i="21417"/>
  <c r="S189" i="21417"/>
  <c r="S187" i="21417"/>
  <c r="S185" i="21417"/>
  <c r="S183" i="21417"/>
  <c r="S181" i="21417"/>
  <c r="S179" i="21417"/>
  <c r="S177" i="21417"/>
  <c r="S175" i="21417"/>
  <c r="S173" i="21417"/>
  <c r="S171" i="21417"/>
  <c r="S169" i="21417"/>
  <c r="S167" i="21417"/>
  <c r="S165" i="21417"/>
  <c r="S163" i="21417"/>
  <c r="S161" i="21417"/>
  <c r="S159" i="21417"/>
  <c r="S157" i="21417"/>
  <c r="S155" i="21417"/>
  <c r="S153" i="21417"/>
  <c r="S151" i="21417"/>
  <c r="S149" i="21417"/>
  <c r="S147" i="21417"/>
  <c r="S145" i="21417"/>
  <c r="S143" i="21417"/>
  <c r="S141" i="21417"/>
  <c r="S139" i="21417"/>
  <c r="S137" i="21417"/>
  <c r="S135" i="21417"/>
  <c r="S133" i="21417"/>
  <c r="S131" i="21417"/>
  <c r="S129" i="21417"/>
  <c r="S127" i="21417"/>
  <c r="S125" i="21417"/>
  <c r="S123" i="21417"/>
  <c r="S121" i="21417"/>
  <c r="S119" i="21417"/>
  <c r="S117" i="21417"/>
  <c r="S115" i="21417"/>
  <c r="S113" i="21417"/>
  <c r="S111" i="21417"/>
  <c r="S109" i="21417"/>
  <c r="S107" i="21417"/>
  <c r="S105" i="21417"/>
  <c r="S103" i="21417"/>
  <c r="S101" i="21417"/>
  <c r="S99" i="21417"/>
  <c r="S97" i="21417"/>
  <c r="S95" i="21417"/>
  <c r="S93" i="21417"/>
  <c r="S91" i="21417"/>
  <c r="S89" i="21417"/>
  <c r="S87" i="21417"/>
  <c r="S85" i="21417"/>
  <c r="S83" i="21417"/>
  <c r="S81" i="21417"/>
  <c r="S79" i="21417"/>
  <c r="S77" i="21417"/>
  <c r="S75" i="21417"/>
  <c r="S73" i="21417"/>
  <c r="S71" i="21417"/>
  <c r="S69" i="21417"/>
  <c r="S67" i="21417"/>
  <c r="S65" i="21417"/>
  <c r="S63" i="21417"/>
  <c r="S61" i="21417"/>
  <c r="S59" i="21417"/>
  <c r="S57" i="21417"/>
  <c r="S55" i="21417"/>
  <c r="S53" i="21417"/>
  <c r="S51" i="21417"/>
  <c r="S49" i="21417"/>
  <c r="S47" i="21417"/>
  <c r="S45" i="21417"/>
  <c r="S43" i="21417"/>
  <c r="S41" i="21417"/>
  <c r="S39" i="21417"/>
  <c r="S37" i="21417"/>
  <c r="S35" i="21417"/>
  <c r="S33" i="21417"/>
  <c r="S31" i="21417"/>
  <c r="S29" i="21417"/>
  <c r="S27" i="21417"/>
  <c r="S25" i="21417"/>
  <c r="S23" i="21417"/>
  <c r="S21" i="21417"/>
  <c r="S19" i="21417"/>
  <c r="S17" i="21417"/>
  <c r="S15" i="21417"/>
  <c r="S13" i="21417"/>
  <c r="S11" i="21417"/>
  <c r="AQ98" i="21434"/>
  <c r="AT99" i="21433"/>
  <c r="AQ98" i="21433"/>
  <c r="AT99" i="21434"/>
  <c r="AY103" i="21433" l="1"/>
  <c r="M103" i="21433"/>
  <c r="AC99" i="21434"/>
  <c r="S345" i="108"/>
  <c r="S343" i="108"/>
  <c r="S341" i="108"/>
  <c r="S339" i="108"/>
  <c r="S337" i="108"/>
  <c r="S335" i="108"/>
  <c r="S333" i="108"/>
  <c r="S331" i="108"/>
  <c r="S329" i="108"/>
  <c r="S327" i="108"/>
  <c r="S325" i="108"/>
  <c r="S323" i="108"/>
  <c r="S321" i="108"/>
  <c r="S319" i="108"/>
  <c r="S317" i="108"/>
  <c r="S315" i="108"/>
  <c r="S313" i="108"/>
  <c r="S311" i="108"/>
  <c r="S309" i="108"/>
  <c r="S307" i="108"/>
  <c r="S305" i="108"/>
  <c r="S303" i="108"/>
  <c r="S301" i="108"/>
  <c r="S299" i="108"/>
  <c r="S297" i="108"/>
  <c r="S295" i="108"/>
  <c r="S293" i="108"/>
  <c r="S291" i="108"/>
  <c r="S289" i="108"/>
  <c r="S287" i="108"/>
  <c r="S285" i="108"/>
  <c r="S283" i="108"/>
  <c r="S281" i="108"/>
  <c r="S279" i="108"/>
  <c r="S277" i="108"/>
  <c r="S275" i="108"/>
  <c r="S273" i="108"/>
  <c r="S271" i="108"/>
  <c r="S269" i="108"/>
  <c r="S267" i="108"/>
  <c r="S265" i="108"/>
  <c r="S263" i="108"/>
  <c r="S261" i="108"/>
  <c r="S259" i="108"/>
  <c r="S257" i="108"/>
  <c r="S255" i="108"/>
  <c r="S253" i="108"/>
  <c r="S251" i="108"/>
  <c r="S249" i="108"/>
  <c r="S247" i="108"/>
  <c r="S245" i="108"/>
  <c r="S243" i="108"/>
  <c r="S239" i="108"/>
  <c r="S237" i="108"/>
  <c r="S233" i="108"/>
  <c r="S102" i="21434" s="1"/>
  <c r="S231" i="108"/>
  <c r="S229" i="108"/>
  <c r="S227" i="108"/>
  <c r="S225" i="108"/>
  <c r="S223" i="108"/>
  <c r="S221" i="108"/>
  <c r="S219" i="108"/>
  <c r="S217" i="108"/>
  <c r="S215" i="108"/>
  <c r="S213" i="108"/>
  <c r="S211" i="108"/>
  <c r="S209" i="108"/>
  <c r="S207" i="108"/>
  <c r="S205" i="108"/>
  <c r="S203" i="108"/>
  <c r="S201" i="108"/>
  <c r="S199" i="108"/>
  <c r="S197" i="108"/>
  <c r="S195" i="108"/>
  <c r="S193" i="108"/>
  <c r="S191" i="108"/>
  <c r="S189" i="108"/>
  <c r="S187" i="108"/>
  <c r="S185" i="108"/>
  <c r="S183" i="108"/>
  <c r="S181" i="108"/>
  <c r="S179" i="108"/>
  <c r="S177" i="108"/>
  <c r="S175" i="108"/>
  <c r="S173" i="108"/>
  <c r="S171" i="108"/>
  <c r="S169" i="108"/>
  <c r="S167" i="108"/>
  <c r="S165" i="108"/>
  <c r="S163" i="108"/>
  <c r="S161" i="108"/>
  <c r="S159" i="108"/>
  <c r="S157" i="108"/>
  <c r="S155" i="108"/>
  <c r="S151" i="108"/>
  <c r="S149" i="108"/>
  <c r="S147" i="108"/>
  <c r="S145" i="108"/>
  <c r="S143" i="108"/>
  <c r="S141" i="108"/>
  <c r="S139" i="108"/>
  <c r="S137" i="108"/>
  <c r="S135" i="108"/>
  <c r="S133" i="108"/>
  <c r="S131" i="108"/>
  <c r="S129" i="108"/>
  <c r="S127" i="108"/>
  <c r="S125" i="108"/>
  <c r="S123" i="108"/>
  <c r="S121" i="108"/>
  <c r="S119" i="108"/>
  <c r="S117" i="108"/>
  <c r="S115" i="108"/>
  <c r="S113" i="108"/>
  <c r="S111" i="108"/>
  <c r="S109" i="108"/>
  <c r="S107" i="108"/>
  <c r="S105" i="108"/>
  <c r="S103" i="108"/>
  <c r="S101" i="108"/>
  <c r="S99" i="108"/>
  <c r="S97" i="108"/>
  <c r="S95" i="108"/>
  <c r="S93" i="108"/>
  <c r="S91" i="108"/>
  <c r="S89" i="108"/>
  <c r="S87" i="108"/>
  <c r="S85" i="108"/>
  <c r="S83" i="108"/>
  <c r="S81" i="108"/>
  <c r="S79" i="108"/>
  <c r="S77" i="108"/>
  <c r="S75" i="108"/>
  <c r="S73" i="108"/>
  <c r="S71" i="108"/>
  <c r="S69" i="108"/>
  <c r="S67" i="108"/>
  <c r="S65" i="108"/>
  <c r="S63" i="108"/>
  <c r="S61" i="108"/>
  <c r="S59" i="108"/>
  <c r="S57" i="108"/>
  <c r="S55" i="108"/>
  <c r="S53" i="108"/>
  <c r="S51" i="108"/>
  <c r="S49" i="108"/>
  <c r="S47" i="108"/>
  <c r="S45" i="108"/>
  <c r="S43" i="108"/>
  <c r="S41" i="108"/>
  <c r="S39" i="108"/>
  <c r="S37" i="108"/>
  <c r="S35" i="108"/>
  <c r="S33" i="108"/>
  <c r="S31" i="108"/>
  <c r="S29" i="108"/>
  <c r="S27" i="108"/>
  <c r="S25" i="108"/>
  <c r="S23" i="108"/>
  <c r="S21" i="108"/>
  <c r="S19" i="108"/>
  <c r="S17" i="108"/>
  <c r="S15" i="108"/>
  <c r="S13" i="108"/>
  <c r="S11" i="108"/>
  <c r="S9" i="108"/>
  <c r="S7" i="108"/>
  <c r="S39" i="21418"/>
  <c r="S37" i="21418"/>
  <c r="S35" i="21418"/>
  <c r="S33" i="21418"/>
  <c r="S31" i="21418"/>
  <c r="S29" i="21418"/>
  <c r="S27" i="21418"/>
  <c r="S25" i="21418"/>
  <c r="S23" i="21418"/>
  <c r="S21" i="21418"/>
  <c r="S19" i="21418"/>
  <c r="S17" i="21418"/>
  <c r="S15" i="21418"/>
  <c r="S13" i="21418"/>
  <c r="S11" i="21418"/>
  <c r="S9" i="21418"/>
  <c r="S7" i="21418"/>
  <c r="S339" i="21415" s="1"/>
  <c r="S16" i="21399"/>
  <c r="S48" i="21399"/>
  <c r="S46" i="21399"/>
  <c r="S44" i="21399"/>
  <c r="S42" i="21399"/>
  <c r="S40" i="21399"/>
  <c r="S38" i="21399"/>
  <c r="S36" i="21399"/>
  <c r="S34" i="21399"/>
  <c r="S32" i="21399"/>
  <c r="S30" i="21399"/>
  <c r="S28" i="21399"/>
  <c r="S26" i="21399"/>
  <c r="S24" i="21399"/>
  <c r="S22" i="21399"/>
  <c r="S20" i="21399"/>
  <c r="S18" i="21399"/>
  <c r="S10" i="21399"/>
  <c r="AQ100" i="21433"/>
  <c r="AT101" i="21433"/>
  <c r="AT7" i="21431" l="1"/>
  <c r="BA141" i="21423"/>
  <c r="AZ141" i="21423"/>
  <c r="AV141" i="21423"/>
  <c r="AU141" i="21423"/>
  <c r="AS141" i="21423"/>
  <c r="AR141" i="21423"/>
  <c r="AQ141" i="21423"/>
  <c r="AP141" i="21423"/>
  <c r="AO141" i="21423"/>
  <c r="AN141" i="21423"/>
  <c r="BB140" i="21423"/>
  <c r="BA140" i="21423"/>
  <c r="AZ140" i="21423"/>
  <c r="AY140" i="21423"/>
  <c r="AX140" i="21423"/>
  <c r="AW140" i="21423"/>
  <c r="AV140" i="21423"/>
  <c r="AU140" i="21423"/>
  <c r="AT140" i="21423"/>
  <c r="AS140" i="21423"/>
  <c r="AR140" i="21423"/>
  <c r="AP140" i="21423"/>
  <c r="AO140" i="21423"/>
  <c r="AN140" i="21423"/>
  <c r="BA139" i="21423"/>
  <c r="AZ139" i="21423"/>
  <c r="AV139" i="21423"/>
  <c r="AU139" i="21423"/>
  <c r="AS139" i="21423"/>
  <c r="AR139" i="21423"/>
  <c r="AQ139" i="21423"/>
  <c r="AP139" i="21423"/>
  <c r="AO139" i="21423"/>
  <c r="AN139" i="21423"/>
  <c r="BB138" i="21423"/>
  <c r="BA138" i="21423"/>
  <c r="AY138" i="21423"/>
  <c r="AV138" i="21423"/>
  <c r="AU138" i="21423"/>
  <c r="AT138" i="21423"/>
  <c r="AS138" i="21423"/>
  <c r="AR138" i="21423"/>
  <c r="AP138" i="21423"/>
  <c r="AO138" i="21423"/>
  <c r="AN138" i="21423"/>
  <c r="BA137" i="21423"/>
  <c r="AZ137" i="21423"/>
  <c r="AV137" i="21423"/>
  <c r="AU137" i="21423"/>
  <c r="AS137" i="21423"/>
  <c r="AR137" i="21423"/>
  <c r="AQ137" i="21423"/>
  <c r="AP137" i="21423"/>
  <c r="AO137" i="21423"/>
  <c r="AN137" i="21423"/>
  <c r="BB136" i="21423"/>
  <c r="BA136" i="21423"/>
  <c r="AZ136" i="21423"/>
  <c r="AY136" i="21423"/>
  <c r="AX136" i="21423"/>
  <c r="AW136" i="21423"/>
  <c r="AV136" i="21423"/>
  <c r="AU136" i="21423"/>
  <c r="AT136" i="21423"/>
  <c r="AS136" i="21423"/>
  <c r="AR136" i="21423"/>
  <c r="AP136" i="21423"/>
  <c r="AO136" i="21423"/>
  <c r="AN136" i="21423"/>
  <c r="BA135" i="21423"/>
  <c r="AZ135" i="21423"/>
  <c r="AV135" i="21423"/>
  <c r="AU135" i="21423"/>
  <c r="AS135" i="21423"/>
  <c r="AR135" i="21423"/>
  <c r="AQ135" i="21423"/>
  <c r="AP135" i="21423"/>
  <c r="AO135" i="21423"/>
  <c r="AN135" i="21423"/>
  <c r="BB134" i="21423"/>
  <c r="BA134" i="21423"/>
  <c r="AZ134" i="21423"/>
  <c r="AY134" i="21423"/>
  <c r="AX134" i="21423"/>
  <c r="AW134" i="21423"/>
  <c r="AV134" i="21423"/>
  <c r="AU134" i="21423"/>
  <c r="AT134" i="21423"/>
  <c r="AS134" i="21423"/>
  <c r="AR134" i="21423"/>
  <c r="AP134" i="21423"/>
  <c r="AO134" i="21423"/>
  <c r="AN134" i="21423"/>
  <c r="BA133" i="21423"/>
  <c r="AZ133" i="21423"/>
  <c r="AV133" i="21423"/>
  <c r="AU133" i="21423"/>
  <c r="AS133" i="21423"/>
  <c r="AR133" i="21423"/>
  <c r="AQ133" i="21423"/>
  <c r="AP133" i="21423"/>
  <c r="AO133" i="21423"/>
  <c r="AN133" i="21423"/>
  <c r="BB132" i="21423"/>
  <c r="BA132" i="21423"/>
  <c r="AY132" i="21423"/>
  <c r="AV132" i="21423"/>
  <c r="AU132" i="21423"/>
  <c r="AT132" i="21423"/>
  <c r="AS132" i="21423"/>
  <c r="AR132" i="21423"/>
  <c r="AP132" i="21423"/>
  <c r="AO132" i="21423"/>
  <c r="AN132" i="21423"/>
  <c r="BA131" i="21423"/>
  <c r="AZ131" i="21423"/>
  <c r="AV131" i="21423"/>
  <c r="AU131" i="21423"/>
  <c r="AS131" i="21423"/>
  <c r="AR131" i="21423"/>
  <c r="AQ131" i="21423"/>
  <c r="AP131" i="21423"/>
  <c r="AO131" i="21423"/>
  <c r="AN131" i="21423"/>
  <c r="BB130" i="21423"/>
  <c r="BA130" i="21423"/>
  <c r="AZ130" i="21423"/>
  <c r="AY130" i="21423"/>
  <c r="AX130" i="21423"/>
  <c r="AW130" i="21423"/>
  <c r="AV130" i="21423"/>
  <c r="AU130" i="21423"/>
  <c r="AT130" i="21423"/>
  <c r="AS130" i="21423"/>
  <c r="AR130" i="21423"/>
  <c r="AP130" i="21423"/>
  <c r="AO130" i="21423"/>
  <c r="AN130" i="21423"/>
  <c r="BA129" i="21423"/>
  <c r="AZ129" i="21423"/>
  <c r="AV129" i="21423"/>
  <c r="AU129" i="21423"/>
  <c r="AS129" i="21423"/>
  <c r="AR129" i="21423"/>
  <c r="AQ129" i="21423"/>
  <c r="AP129" i="21423"/>
  <c r="AO129" i="21423"/>
  <c r="AN129" i="21423"/>
  <c r="BB128" i="21423"/>
  <c r="BA128" i="21423"/>
  <c r="AZ128" i="21423"/>
  <c r="AY128" i="21423"/>
  <c r="AX128" i="21423"/>
  <c r="AW128" i="21423"/>
  <c r="AV128" i="21423"/>
  <c r="AU128" i="21423"/>
  <c r="AT128" i="21423"/>
  <c r="AS128" i="21423"/>
  <c r="AR128" i="21423"/>
  <c r="AP128" i="21423"/>
  <c r="AO128" i="21423"/>
  <c r="AN128" i="21423"/>
  <c r="BA127" i="21423"/>
  <c r="AZ127" i="21423"/>
  <c r="AV127" i="21423"/>
  <c r="AU127" i="21423"/>
  <c r="AS127" i="21423"/>
  <c r="AR127" i="21423"/>
  <c r="AQ127" i="21423"/>
  <c r="AP127" i="21423"/>
  <c r="AO127" i="21423"/>
  <c r="AN127" i="21423"/>
  <c r="AW61" i="21399"/>
  <c r="G87" i="21425" l="1"/>
  <c r="AN87" i="21425"/>
  <c r="AO87" i="21425"/>
  <c r="AQ87" i="21425"/>
  <c r="AR87" i="21425"/>
  <c r="AT87" i="21425"/>
  <c r="AU87" i="21425"/>
  <c r="AV87" i="21425"/>
  <c r="AW87" i="21425"/>
  <c r="AY87" i="21425"/>
  <c r="AZ87" i="21425"/>
  <c r="BG88" i="21436"/>
  <c r="BF88" i="21436"/>
  <c r="BE88" i="21436"/>
  <c r="BD88" i="21436"/>
  <c r="BC88" i="21436"/>
  <c r="BB88" i="21436"/>
  <c r="BA88" i="21436"/>
  <c r="AY88" i="21436"/>
  <c r="AV88" i="21436"/>
  <c r="AU88" i="21436"/>
  <c r="AT88" i="21436"/>
  <c r="AS88" i="21436"/>
  <c r="AR88" i="21436"/>
  <c r="AP88" i="21436"/>
  <c r="AO88" i="21436"/>
  <c r="AN88" i="21436"/>
  <c r="AM88" i="21436"/>
  <c r="AL88" i="21436"/>
  <c r="AK88" i="21436"/>
  <c r="AJ88" i="21436"/>
  <c r="AI88" i="21436"/>
  <c r="AH88" i="21436"/>
  <c r="AG88" i="21436"/>
  <c r="AF88" i="21436"/>
  <c r="AE88" i="21436"/>
  <c r="AD88" i="21436"/>
  <c r="AC88" i="21436"/>
  <c r="AB88" i="21436"/>
  <c r="AA88" i="21436"/>
  <c r="Z88" i="21436"/>
  <c r="Y88" i="21436"/>
  <c r="X88" i="21436"/>
  <c r="W88" i="21436"/>
  <c r="V88" i="21436"/>
  <c r="U88" i="21436"/>
  <c r="T88" i="21436"/>
  <c r="S88" i="21436"/>
  <c r="R88" i="21436"/>
  <c r="Q88" i="21436"/>
  <c r="P88" i="21436"/>
  <c r="O88" i="21436"/>
  <c r="N88" i="21436"/>
  <c r="M88" i="21436"/>
  <c r="L88" i="21436"/>
  <c r="K88" i="21436"/>
  <c r="I88" i="21436"/>
  <c r="H88" i="21436"/>
  <c r="G88" i="21436"/>
  <c r="F88" i="21436"/>
  <c r="E88" i="21436"/>
  <c r="D88" i="21436"/>
  <c r="C88" i="21436"/>
  <c r="B88" i="21436"/>
  <c r="A88" i="21436"/>
  <c r="BG8" i="21400"/>
  <c r="BF8" i="21400"/>
  <c r="BE8" i="21400"/>
  <c r="BD8" i="21400"/>
  <c r="BC8" i="21400"/>
  <c r="BB8" i="21400"/>
  <c r="BA8" i="21400"/>
  <c r="AZ8" i="21400"/>
  <c r="AY8" i="21400"/>
  <c r="AX8" i="21400"/>
  <c r="AW8" i="21400"/>
  <c r="AV8" i="21400"/>
  <c r="AU8" i="21400"/>
  <c r="AT8" i="21400"/>
  <c r="AS8" i="21400"/>
  <c r="AR8" i="21400"/>
  <c r="AQ8" i="21400"/>
  <c r="AP8" i="21400"/>
  <c r="AO8" i="21400"/>
  <c r="AN8" i="21400"/>
  <c r="AM8" i="21400"/>
  <c r="AL8" i="21400"/>
  <c r="AK8" i="21400"/>
  <c r="AJ8" i="21400"/>
  <c r="AI8" i="21400"/>
  <c r="AH8" i="21400"/>
  <c r="AG8" i="21400"/>
  <c r="AF8" i="21400"/>
  <c r="AE8" i="21400"/>
  <c r="AD8" i="21400"/>
  <c r="AC8" i="21400"/>
  <c r="AB8" i="21400"/>
  <c r="AA8" i="21400"/>
  <c r="Z8" i="21400"/>
  <c r="Y8" i="21400"/>
  <c r="X8" i="21400"/>
  <c r="W8" i="21400"/>
  <c r="V8" i="21400"/>
  <c r="U8" i="21400"/>
  <c r="T8" i="21400"/>
  <c r="R8" i="21400"/>
  <c r="Q8" i="21400"/>
  <c r="P8" i="21400"/>
  <c r="O8" i="21400"/>
  <c r="N8" i="21400"/>
  <c r="M8" i="21400"/>
  <c r="L8" i="21400"/>
  <c r="K8" i="21400"/>
  <c r="I8" i="21400"/>
  <c r="H8" i="21400"/>
  <c r="G8" i="21400"/>
  <c r="F8" i="21400"/>
  <c r="E8" i="21400"/>
  <c r="D8" i="21400"/>
  <c r="C8" i="21400"/>
  <c r="B8" i="21400"/>
  <c r="A8" i="21400"/>
  <c r="BG7" i="21400"/>
  <c r="BF7" i="21400"/>
  <c r="BE7" i="21400"/>
  <c r="BD7" i="21400"/>
  <c r="BC7" i="21400"/>
  <c r="BA7" i="21400"/>
  <c r="AZ7" i="21400"/>
  <c r="AY7" i="21400"/>
  <c r="AX7" i="21400"/>
  <c r="AW7" i="21400"/>
  <c r="AV7" i="21400"/>
  <c r="AU7" i="21400"/>
  <c r="AS7" i="21400"/>
  <c r="AR7" i="21400"/>
  <c r="AQ7" i="21400"/>
  <c r="AP7" i="21400"/>
  <c r="AO7" i="21400"/>
  <c r="AN7" i="21400"/>
  <c r="AM7" i="21400"/>
  <c r="AL7" i="21400"/>
  <c r="AK7" i="21400"/>
  <c r="AJ7" i="21400"/>
  <c r="AI7" i="21400"/>
  <c r="AH7" i="21400"/>
  <c r="AG7" i="21400"/>
  <c r="AF7" i="21400"/>
  <c r="AE7" i="21400"/>
  <c r="AD7" i="21400"/>
  <c r="AC7" i="21400"/>
  <c r="AB7" i="21400"/>
  <c r="AA7" i="21400"/>
  <c r="Z7" i="21400"/>
  <c r="Y7" i="21400"/>
  <c r="X7" i="21400"/>
  <c r="W7" i="21400"/>
  <c r="V7" i="21400"/>
  <c r="U7" i="21400"/>
  <c r="T7" i="21400"/>
  <c r="S7" i="21400"/>
  <c r="R7" i="21400"/>
  <c r="Q7" i="21400"/>
  <c r="P7" i="21400"/>
  <c r="O7" i="21400"/>
  <c r="N7" i="21400"/>
  <c r="M7" i="21400"/>
  <c r="L7" i="21400"/>
  <c r="K7" i="21400"/>
  <c r="J7" i="21400"/>
  <c r="I7" i="21400"/>
  <c r="H7" i="21400"/>
  <c r="G7" i="21400"/>
  <c r="F7" i="21400"/>
  <c r="E7" i="21400"/>
  <c r="D7" i="21400"/>
  <c r="B7" i="21400"/>
  <c r="A7" i="21400"/>
  <c r="BG6" i="21400"/>
  <c r="BF6" i="21400"/>
  <c r="BE6" i="21400"/>
  <c r="BD6" i="21400"/>
  <c r="BC6" i="21400"/>
  <c r="BB6" i="21400"/>
  <c r="BA6" i="21400"/>
  <c r="AZ6" i="21400"/>
  <c r="AY6" i="21400"/>
  <c r="AX6" i="21400"/>
  <c r="AW6" i="21400"/>
  <c r="AV6" i="21400"/>
  <c r="AU6" i="21400"/>
  <c r="AT6" i="21400"/>
  <c r="AS6" i="21400"/>
  <c r="AR6" i="21400"/>
  <c r="AP6" i="21400"/>
  <c r="AO6" i="21400"/>
  <c r="AN6" i="21400"/>
  <c r="AM6" i="21400"/>
  <c r="AL6" i="21400"/>
  <c r="AK6" i="21400"/>
  <c r="AJ6" i="21400"/>
  <c r="AI6" i="21400"/>
  <c r="AH6" i="21400"/>
  <c r="AG6" i="21400"/>
  <c r="AF6" i="21400"/>
  <c r="AE6" i="21400"/>
  <c r="AD6" i="21400"/>
  <c r="AC6" i="21400"/>
  <c r="AB6" i="21400"/>
  <c r="AA6" i="21400"/>
  <c r="Z6" i="21400"/>
  <c r="Y6" i="21400"/>
  <c r="X6" i="21400"/>
  <c r="W6" i="21400"/>
  <c r="V6" i="21400"/>
  <c r="U6" i="21400"/>
  <c r="T6" i="21400"/>
  <c r="R6" i="21400"/>
  <c r="Q6" i="21400"/>
  <c r="P6" i="21400"/>
  <c r="O6" i="21400"/>
  <c r="N6" i="21400"/>
  <c r="M6" i="21400"/>
  <c r="L6" i="21400"/>
  <c r="K6" i="21400"/>
  <c r="J6" i="21400"/>
  <c r="I6" i="21400"/>
  <c r="H6" i="21400"/>
  <c r="G6" i="21400"/>
  <c r="F6" i="21400"/>
  <c r="E6" i="21400"/>
  <c r="D6" i="21400"/>
  <c r="C6" i="21400"/>
  <c r="B6" i="21400"/>
  <c r="A6" i="21400"/>
  <c r="BG5" i="21400"/>
  <c r="BF5" i="21400"/>
  <c r="BE5" i="21400"/>
  <c r="BD5" i="21400"/>
  <c r="BC5" i="21400"/>
  <c r="BA5" i="21400"/>
  <c r="AZ5" i="21400"/>
  <c r="AY5" i="21400"/>
  <c r="AX5" i="21400"/>
  <c r="AW5" i="21400"/>
  <c r="AV5" i="21400"/>
  <c r="AU5" i="21400"/>
  <c r="AS5" i="21400"/>
  <c r="AR5" i="21400"/>
  <c r="AQ5" i="21400"/>
  <c r="AP5" i="21400"/>
  <c r="AO5" i="21400"/>
  <c r="AN5" i="21400"/>
  <c r="AM5" i="21400"/>
  <c r="AL5" i="21400"/>
  <c r="AK5" i="21400"/>
  <c r="AJ5" i="21400"/>
  <c r="AI5" i="21400"/>
  <c r="AH5" i="21400"/>
  <c r="AG5" i="21400"/>
  <c r="AF5" i="21400"/>
  <c r="AE5" i="21400"/>
  <c r="AD5" i="21400"/>
  <c r="AC5" i="21400"/>
  <c r="AB5" i="21400"/>
  <c r="AA5" i="21400"/>
  <c r="Z5" i="21400"/>
  <c r="Y5" i="21400"/>
  <c r="X5" i="21400"/>
  <c r="W5" i="21400"/>
  <c r="V5" i="21400"/>
  <c r="U5" i="21400"/>
  <c r="T5" i="21400"/>
  <c r="S5" i="21400"/>
  <c r="R5" i="21400"/>
  <c r="Q5" i="21400"/>
  <c r="P5" i="21400"/>
  <c r="O5" i="21400"/>
  <c r="N5" i="21400"/>
  <c r="M5" i="21400"/>
  <c r="L5" i="21400"/>
  <c r="K5" i="21400"/>
  <c r="J5" i="21400"/>
  <c r="I5" i="21400"/>
  <c r="H5" i="21400"/>
  <c r="G5" i="21400"/>
  <c r="F5" i="21400"/>
  <c r="E5" i="21400"/>
  <c r="D5" i="21400"/>
  <c r="B5" i="21400"/>
  <c r="A5" i="21400"/>
  <c r="BG4" i="21400"/>
  <c r="BF4" i="21400"/>
  <c r="BE4" i="21400"/>
  <c r="BD4" i="21400"/>
  <c r="BC4" i="21400"/>
  <c r="BB4" i="21400"/>
  <c r="BA4" i="21400"/>
  <c r="AZ4" i="21400"/>
  <c r="AY4" i="21400"/>
  <c r="AX4" i="21400"/>
  <c r="AW4" i="21400"/>
  <c r="AV4" i="21400"/>
  <c r="AU4" i="21400"/>
  <c r="AT4" i="21400"/>
  <c r="AS4" i="21400"/>
  <c r="AR4" i="21400"/>
  <c r="AP4" i="21400"/>
  <c r="AO4" i="21400"/>
  <c r="AN4" i="21400"/>
  <c r="AM4" i="21400"/>
  <c r="AL4" i="21400"/>
  <c r="AK4" i="21400"/>
  <c r="AJ4" i="21400"/>
  <c r="AI4" i="21400"/>
  <c r="AH4" i="21400"/>
  <c r="AG4" i="21400"/>
  <c r="AF4" i="21400"/>
  <c r="AE4" i="21400"/>
  <c r="AD4" i="21400"/>
  <c r="AC4" i="21400"/>
  <c r="AB4" i="21400"/>
  <c r="AA4" i="21400"/>
  <c r="Z4" i="21400"/>
  <c r="Y4" i="21400"/>
  <c r="X4" i="21400"/>
  <c r="W4" i="21400"/>
  <c r="V4" i="21400"/>
  <c r="U4" i="21400"/>
  <c r="T4" i="21400"/>
  <c r="R4" i="21400"/>
  <c r="Q4" i="21400"/>
  <c r="P4" i="21400"/>
  <c r="O4" i="21400"/>
  <c r="N4" i="21400"/>
  <c r="M4" i="21400"/>
  <c r="L4" i="21400"/>
  <c r="K4" i="21400"/>
  <c r="I4" i="21400"/>
  <c r="H4" i="21400"/>
  <c r="G4" i="21400"/>
  <c r="F4" i="21400"/>
  <c r="E4" i="21400"/>
  <c r="D4" i="21400"/>
  <c r="C4" i="21400"/>
  <c r="B4" i="21400"/>
  <c r="A4" i="21400"/>
  <c r="BG10" i="21414"/>
  <c r="BF10" i="21414"/>
  <c r="BE10" i="21414"/>
  <c r="BD10" i="21414"/>
  <c r="BC10" i="21414"/>
  <c r="BB10" i="21414"/>
  <c r="BA10" i="21414"/>
  <c r="AZ10" i="21414"/>
  <c r="AY10" i="21414"/>
  <c r="AX10" i="21414"/>
  <c r="AW10" i="21414"/>
  <c r="AV10" i="21414"/>
  <c r="AU10" i="21414"/>
  <c r="AT10" i="21414"/>
  <c r="AS10" i="21414"/>
  <c r="AR10" i="21414"/>
  <c r="AQ10" i="21414"/>
  <c r="AP10" i="21414"/>
  <c r="AO10" i="21414"/>
  <c r="AN10" i="21414"/>
  <c r="AM10" i="21414"/>
  <c r="AL10" i="21414"/>
  <c r="AK10" i="21414"/>
  <c r="AJ10" i="21414"/>
  <c r="AI10" i="21414"/>
  <c r="AH10" i="21414"/>
  <c r="AG10" i="21414"/>
  <c r="AF10" i="21414"/>
  <c r="AE10" i="21414"/>
  <c r="AD10" i="21414"/>
  <c r="AC10" i="21414"/>
  <c r="AB10" i="21414"/>
  <c r="AA10" i="21414"/>
  <c r="Z10" i="21414"/>
  <c r="Y10" i="21414"/>
  <c r="X10" i="21414"/>
  <c r="W10" i="21414"/>
  <c r="V10" i="21414"/>
  <c r="U10" i="21414"/>
  <c r="T10" i="21414"/>
  <c r="R10" i="21414"/>
  <c r="Q10" i="21414"/>
  <c r="P10" i="21414"/>
  <c r="O10" i="21414"/>
  <c r="N10" i="21414"/>
  <c r="M10" i="21414"/>
  <c r="L10" i="21414"/>
  <c r="K10" i="21414"/>
  <c r="I10" i="21414"/>
  <c r="H10" i="21414"/>
  <c r="G10" i="21414"/>
  <c r="F10" i="21414"/>
  <c r="E10" i="21414"/>
  <c r="D10" i="21414"/>
  <c r="C10" i="21414"/>
  <c r="B10" i="21414"/>
  <c r="BG9" i="21414"/>
  <c r="BF9" i="21414"/>
  <c r="BE9" i="21414"/>
  <c r="BD9" i="21414"/>
  <c r="BC9" i="21414"/>
  <c r="BA9" i="21414"/>
  <c r="AZ9" i="21414"/>
  <c r="AY9" i="21414"/>
  <c r="AX9" i="21414"/>
  <c r="AW9" i="21414"/>
  <c r="AV9" i="21414"/>
  <c r="AU9" i="21414"/>
  <c r="AS9" i="21414"/>
  <c r="AR9" i="21414"/>
  <c r="AQ9" i="21414"/>
  <c r="AP9" i="21414"/>
  <c r="AO9" i="21414"/>
  <c r="AN9" i="21414"/>
  <c r="AM9" i="21414"/>
  <c r="AL9" i="21414"/>
  <c r="AK9" i="21414"/>
  <c r="AJ9" i="21414"/>
  <c r="AI9" i="21414"/>
  <c r="AH9" i="21414"/>
  <c r="AG9" i="21414"/>
  <c r="AF9" i="21414"/>
  <c r="AE9" i="21414"/>
  <c r="AD9" i="21414"/>
  <c r="AC9" i="21414"/>
  <c r="AB9" i="21414"/>
  <c r="AA9" i="21414"/>
  <c r="Z9" i="21414"/>
  <c r="Y9" i="21414"/>
  <c r="X9" i="21414"/>
  <c r="W9" i="21414"/>
  <c r="V9" i="21414"/>
  <c r="U9" i="21414"/>
  <c r="T9" i="21414"/>
  <c r="S9" i="21414"/>
  <c r="R9" i="21414"/>
  <c r="Q9" i="21414"/>
  <c r="P9" i="21414"/>
  <c r="O9" i="21414"/>
  <c r="N9" i="21414"/>
  <c r="M9" i="21414"/>
  <c r="L9" i="21414"/>
  <c r="K9" i="21414"/>
  <c r="J9" i="21414"/>
  <c r="I9" i="21414"/>
  <c r="H9" i="21414"/>
  <c r="G9" i="21414"/>
  <c r="F9" i="21414"/>
  <c r="E9" i="21414"/>
  <c r="D9" i="21414"/>
  <c r="B9" i="21414"/>
  <c r="A9" i="21414"/>
  <c r="BG8" i="21414"/>
  <c r="BF8" i="21414"/>
  <c r="BE8" i="21414"/>
  <c r="BD8" i="21414"/>
  <c r="BC8" i="21414"/>
  <c r="BB8" i="21414"/>
  <c r="BA8" i="21414"/>
  <c r="AZ8" i="21414"/>
  <c r="AY8" i="21414"/>
  <c r="AX8" i="21414"/>
  <c r="AW8" i="21414"/>
  <c r="AV8" i="21414"/>
  <c r="AU8" i="21414"/>
  <c r="AT8" i="21414"/>
  <c r="AS8" i="21414"/>
  <c r="AR8" i="21414"/>
  <c r="AP8" i="21414"/>
  <c r="AO8" i="21414"/>
  <c r="AN8" i="21414"/>
  <c r="AM8" i="21414"/>
  <c r="AL8" i="21414"/>
  <c r="AK8" i="21414"/>
  <c r="AJ8" i="21414"/>
  <c r="AI8" i="21414"/>
  <c r="AH8" i="21414"/>
  <c r="AG8" i="21414"/>
  <c r="AF8" i="21414"/>
  <c r="AE8" i="21414"/>
  <c r="AD8" i="21414"/>
  <c r="AC8" i="21414"/>
  <c r="AB8" i="21414"/>
  <c r="AA8" i="21414"/>
  <c r="Z8" i="21414"/>
  <c r="Y8" i="21414"/>
  <c r="X8" i="21414"/>
  <c r="W8" i="21414"/>
  <c r="V8" i="21414"/>
  <c r="U8" i="21414"/>
  <c r="T8" i="21414"/>
  <c r="R8" i="21414"/>
  <c r="Q8" i="21414"/>
  <c r="P8" i="21414"/>
  <c r="O8" i="21414"/>
  <c r="N8" i="21414"/>
  <c r="M8" i="21414"/>
  <c r="L8" i="21414"/>
  <c r="K8" i="21414"/>
  <c r="J8" i="21414"/>
  <c r="I8" i="21414"/>
  <c r="H8" i="21414"/>
  <c r="G8" i="21414"/>
  <c r="F8" i="21414"/>
  <c r="E8" i="21414"/>
  <c r="D8" i="21414"/>
  <c r="C8" i="21414"/>
  <c r="B8" i="21414"/>
  <c r="A8" i="21414"/>
  <c r="BG7" i="21414"/>
  <c r="BF7" i="21414"/>
  <c r="BE7" i="21414"/>
  <c r="BD7" i="21414"/>
  <c r="BC7" i="21414"/>
  <c r="BA7" i="21414"/>
  <c r="AZ7" i="21414"/>
  <c r="AY7" i="21414"/>
  <c r="AX7" i="21414"/>
  <c r="AW7" i="21414"/>
  <c r="AV7" i="21414"/>
  <c r="AU7" i="21414"/>
  <c r="AS7" i="21414"/>
  <c r="AR7" i="21414"/>
  <c r="AQ7" i="21414"/>
  <c r="AP7" i="21414"/>
  <c r="AO7" i="21414"/>
  <c r="AN7" i="21414"/>
  <c r="AM7" i="21414"/>
  <c r="AL7" i="21414"/>
  <c r="AK7" i="21414"/>
  <c r="AJ7" i="21414"/>
  <c r="AI7" i="21414"/>
  <c r="AH7" i="21414"/>
  <c r="AG7" i="21414"/>
  <c r="AF7" i="21414"/>
  <c r="AE7" i="21414"/>
  <c r="AD7" i="21414"/>
  <c r="AC7" i="21414"/>
  <c r="AB7" i="21414"/>
  <c r="AA7" i="21414"/>
  <c r="Z7" i="21414"/>
  <c r="Y7" i="21414"/>
  <c r="X7" i="21414"/>
  <c r="W7" i="21414"/>
  <c r="V7" i="21414"/>
  <c r="U7" i="21414"/>
  <c r="T7" i="21414"/>
  <c r="S7" i="21414"/>
  <c r="R7" i="21414"/>
  <c r="Q7" i="21414"/>
  <c r="P7" i="21414"/>
  <c r="O7" i="21414"/>
  <c r="N7" i="21414"/>
  <c r="M7" i="21414"/>
  <c r="L7" i="21414"/>
  <c r="K7" i="21414"/>
  <c r="J7" i="21414"/>
  <c r="I7" i="21414"/>
  <c r="H7" i="21414"/>
  <c r="G7" i="21414"/>
  <c r="F7" i="21414"/>
  <c r="E7" i="21414"/>
  <c r="D7" i="21414"/>
  <c r="B7" i="21414"/>
  <c r="A7" i="21414"/>
  <c r="BG6" i="21414"/>
  <c r="BF6" i="21414"/>
  <c r="BE6" i="21414"/>
  <c r="BD6" i="21414"/>
  <c r="BC6" i="21414"/>
  <c r="BB6" i="21414"/>
  <c r="BA6" i="21414"/>
  <c r="AZ6" i="21414"/>
  <c r="AY6" i="21414"/>
  <c r="AX6" i="21414"/>
  <c r="AW6" i="21414"/>
  <c r="AV6" i="21414"/>
  <c r="AU6" i="21414"/>
  <c r="AT6" i="21414"/>
  <c r="AS6" i="21414"/>
  <c r="AR6" i="21414"/>
  <c r="AP6" i="21414"/>
  <c r="AO6" i="21414"/>
  <c r="AN6" i="21414"/>
  <c r="AM6" i="21414"/>
  <c r="AL6" i="21414"/>
  <c r="AK6" i="21414"/>
  <c r="AJ6" i="21414"/>
  <c r="AI6" i="21414"/>
  <c r="AH6" i="21414"/>
  <c r="AG6" i="21414"/>
  <c r="AF6" i="21414"/>
  <c r="AE6" i="21414"/>
  <c r="AD6" i="21414"/>
  <c r="AC6" i="21414"/>
  <c r="AB6" i="21414"/>
  <c r="AA6" i="21414"/>
  <c r="Z6" i="21414"/>
  <c r="Y6" i="21414"/>
  <c r="X6" i="21414"/>
  <c r="W6" i="21414"/>
  <c r="V6" i="21414"/>
  <c r="U6" i="21414"/>
  <c r="T6" i="21414"/>
  <c r="R6" i="21414"/>
  <c r="Q6" i="21414"/>
  <c r="P6" i="21414"/>
  <c r="O6" i="21414"/>
  <c r="N6" i="21414"/>
  <c r="M6" i="21414"/>
  <c r="L6" i="21414"/>
  <c r="K6" i="21414"/>
  <c r="I6" i="21414"/>
  <c r="H6" i="21414"/>
  <c r="G6" i="21414"/>
  <c r="F6" i="21414"/>
  <c r="E6" i="21414"/>
  <c r="D6" i="21414"/>
  <c r="C6" i="21414"/>
  <c r="B6" i="21414"/>
  <c r="A6" i="21414"/>
  <c r="BG5" i="21414"/>
  <c r="BF5" i="21414"/>
  <c r="BE5" i="21414"/>
  <c r="BD5" i="21414"/>
  <c r="BC5" i="21414"/>
  <c r="BA5" i="21414"/>
  <c r="AZ5" i="21414"/>
  <c r="AY5" i="21414"/>
  <c r="AX5" i="21414"/>
  <c r="AW5" i="21414"/>
  <c r="AV5" i="21414"/>
  <c r="AU5" i="21414"/>
  <c r="AS5" i="21414"/>
  <c r="AR5" i="21414"/>
  <c r="AQ5" i="21414"/>
  <c r="AP5" i="21414"/>
  <c r="AO5" i="21414"/>
  <c r="AN5" i="21414"/>
  <c r="AM5" i="21414"/>
  <c r="AL5" i="21414"/>
  <c r="AK5" i="21414"/>
  <c r="AJ5" i="21414"/>
  <c r="AI5" i="21414"/>
  <c r="AH5" i="21414"/>
  <c r="AG5" i="21414"/>
  <c r="AF5" i="21414"/>
  <c r="AE5" i="21414"/>
  <c r="AD5" i="21414"/>
  <c r="AC5" i="21414"/>
  <c r="AB5" i="21414"/>
  <c r="AA5" i="21414"/>
  <c r="Z5" i="21414"/>
  <c r="Y5" i="21414"/>
  <c r="X5" i="21414"/>
  <c r="W5" i="21414"/>
  <c r="V5" i="21414"/>
  <c r="U5" i="21414"/>
  <c r="T5" i="21414"/>
  <c r="S5" i="21414"/>
  <c r="R5" i="21414"/>
  <c r="Q5" i="21414"/>
  <c r="P5" i="21414"/>
  <c r="O5" i="21414"/>
  <c r="N5" i="21414"/>
  <c r="M5" i="21414"/>
  <c r="L5" i="21414"/>
  <c r="K5" i="21414"/>
  <c r="J5" i="21414"/>
  <c r="I5" i="21414"/>
  <c r="H5" i="21414"/>
  <c r="G5" i="21414"/>
  <c r="F5" i="21414"/>
  <c r="E5" i="21414"/>
  <c r="D5" i="21414"/>
  <c r="B5" i="21414"/>
  <c r="A5" i="21414"/>
  <c r="BG4" i="21414"/>
  <c r="BF4" i="21414"/>
  <c r="BE4" i="21414"/>
  <c r="BD4" i="21414"/>
  <c r="BC4" i="21414"/>
  <c r="BB4" i="21414"/>
  <c r="BA4" i="21414"/>
  <c r="AZ4" i="21414"/>
  <c r="AY4" i="21414"/>
  <c r="AX4" i="21414"/>
  <c r="AW4" i="21414"/>
  <c r="AV4" i="21414"/>
  <c r="AU4" i="21414"/>
  <c r="AT4" i="21414"/>
  <c r="AS4" i="21414"/>
  <c r="AR4" i="21414"/>
  <c r="AP4" i="21414"/>
  <c r="AO4" i="21414"/>
  <c r="AN4" i="21414"/>
  <c r="AM4" i="21414"/>
  <c r="AL4" i="21414"/>
  <c r="AK4" i="21414"/>
  <c r="AJ4" i="21414"/>
  <c r="AI4" i="21414"/>
  <c r="AH4" i="21414"/>
  <c r="AG4" i="21414"/>
  <c r="AF4" i="21414"/>
  <c r="AE4" i="21414"/>
  <c r="AD4" i="21414"/>
  <c r="AC4" i="21414"/>
  <c r="AB4" i="21414"/>
  <c r="AA4" i="21414"/>
  <c r="Z4" i="21414"/>
  <c r="Y4" i="21414"/>
  <c r="X4" i="21414"/>
  <c r="W4" i="21414"/>
  <c r="V4" i="21414"/>
  <c r="U4" i="21414"/>
  <c r="T4" i="21414"/>
  <c r="R4" i="21414"/>
  <c r="Q4" i="21414"/>
  <c r="P4" i="21414"/>
  <c r="O4" i="21414"/>
  <c r="N4" i="21414"/>
  <c r="M4" i="21414"/>
  <c r="L4" i="21414"/>
  <c r="K4" i="21414"/>
  <c r="I4" i="21414"/>
  <c r="H4" i="21414"/>
  <c r="G4" i="21414"/>
  <c r="F4" i="21414"/>
  <c r="E4" i="21414"/>
  <c r="D4" i="21414"/>
  <c r="C4" i="21414"/>
  <c r="B4" i="21414"/>
  <c r="A4" i="21414"/>
  <c r="A10" i="21414"/>
  <c r="BG12" i="21414"/>
  <c r="BF12" i="21414"/>
  <c r="BE12" i="21414"/>
  <c r="BD12" i="21414"/>
  <c r="BC12" i="21414"/>
  <c r="BB12" i="21414"/>
  <c r="BA12" i="21414"/>
  <c r="AZ12" i="21414"/>
  <c r="AY12" i="21414"/>
  <c r="AX12" i="21414"/>
  <c r="AW12" i="21414"/>
  <c r="AV12" i="21414"/>
  <c r="AU12" i="21414"/>
  <c r="AT12" i="21414"/>
  <c r="AS12" i="21414"/>
  <c r="AR12" i="21414"/>
  <c r="AQ12" i="21414"/>
  <c r="AP12" i="21414"/>
  <c r="AO12" i="21414"/>
  <c r="AN12" i="21414"/>
  <c r="AM12" i="21414"/>
  <c r="AL12" i="21414"/>
  <c r="AK12" i="21414"/>
  <c r="AJ12" i="21414"/>
  <c r="AI12" i="21414"/>
  <c r="AH12" i="21414"/>
  <c r="AG12" i="21414"/>
  <c r="AF12" i="21414"/>
  <c r="AE12" i="21414"/>
  <c r="AD12" i="21414"/>
  <c r="AC12" i="21414"/>
  <c r="AB12" i="21414"/>
  <c r="AA12" i="21414"/>
  <c r="Z12" i="21414"/>
  <c r="Y12" i="21414"/>
  <c r="X12" i="21414"/>
  <c r="W12" i="21414"/>
  <c r="V12" i="21414"/>
  <c r="U12" i="21414"/>
  <c r="T12" i="21414"/>
  <c r="S12" i="21414"/>
  <c r="R12" i="21414"/>
  <c r="Q12" i="21414"/>
  <c r="P12" i="21414"/>
  <c r="O12" i="21414"/>
  <c r="N12" i="21414"/>
  <c r="M12" i="21414"/>
  <c r="L12" i="21414"/>
  <c r="K12" i="21414"/>
  <c r="I12" i="21414"/>
  <c r="H12" i="21414"/>
  <c r="G12" i="21414"/>
  <c r="F12" i="21414"/>
  <c r="E12" i="21414"/>
  <c r="D12" i="21414"/>
  <c r="C12" i="21414"/>
  <c r="B12" i="21414"/>
  <c r="BG11" i="21414"/>
  <c r="BF11" i="21414"/>
  <c r="BE11" i="21414"/>
  <c r="BD11" i="21414"/>
  <c r="BC11" i="21414"/>
  <c r="BA11" i="21414"/>
  <c r="AZ11" i="21414"/>
  <c r="AY11" i="21414"/>
  <c r="AX11" i="21414"/>
  <c r="AW11" i="21414"/>
  <c r="AV11" i="21414"/>
  <c r="AU11" i="21414"/>
  <c r="AT11" i="21414"/>
  <c r="AS11" i="21414"/>
  <c r="AR11" i="21414"/>
  <c r="AQ11" i="21414"/>
  <c r="AP11" i="21414"/>
  <c r="AO11" i="21414"/>
  <c r="AN11" i="21414"/>
  <c r="AM11" i="21414"/>
  <c r="AL11" i="21414"/>
  <c r="AK11" i="21414"/>
  <c r="AJ11" i="21414"/>
  <c r="AI11" i="21414"/>
  <c r="AH11" i="21414"/>
  <c r="AG11" i="21414"/>
  <c r="AF11" i="21414"/>
  <c r="AE11" i="21414"/>
  <c r="AD11" i="21414"/>
  <c r="AC11" i="21414"/>
  <c r="AB11" i="21414"/>
  <c r="AA11" i="21414"/>
  <c r="Z11" i="21414"/>
  <c r="Y11" i="21414"/>
  <c r="X11" i="21414"/>
  <c r="W11" i="21414"/>
  <c r="V11" i="21414"/>
  <c r="U11" i="21414"/>
  <c r="T11" i="21414"/>
  <c r="S11" i="21414"/>
  <c r="R11" i="21414"/>
  <c r="Q11" i="21414"/>
  <c r="P11" i="21414"/>
  <c r="O11" i="21414"/>
  <c r="N11" i="21414"/>
  <c r="M11" i="21414"/>
  <c r="L11" i="21414"/>
  <c r="K11" i="21414"/>
  <c r="J11" i="21414"/>
  <c r="I11" i="21414"/>
  <c r="H11" i="21414"/>
  <c r="G11" i="21414"/>
  <c r="F11" i="21414"/>
  <c r="E11" i="21414"/>
  <c r="D11" i="21414"/>
  <c r="C11" i="21414"/>
  <c r="B11" i="21414"/>
  <c r="A11" i="21414"/>
  <c r="A12" i="21414"/>
  <c r="BG4" i="21398"/>
  <c r="BF4" i="21398"/>
  <c r="BE4" i="21398"/>
  <c r="BD4" i="21398"/>
  <c r="BC4" i="21398"/>
  <c r="BB4" i="21398"/>
  <c r="BA4" i="21398"/>
  <c r="AZ4" i="21398"/>
  <c r="AY4" i="21398"/>
  <c r="AX4" i="21398"/>
  <c r="AW4" i="21398"/>
  <c r="AV4" i="21398"/>
  <c r="AU4" i="21398"/>
  <c r="AS4" i="21398"/>
  <c r="AR4" i="21398"/>
  <c r="AQ4" i="21398"/>
  <c r="AP4" i="21398"/>
  <c r="AO4" i="21398"/>
  <c r="AN4" i="21398"/>
  <c r="AM4" i="21398"/>
  <c r="AL4" i="21398"/>
  <c r="AK4" i="21398"/>
  <c r="AJ4" i="21398"/>
  <c r="AI4" i="21398"/>
  <c r="AH4" i="21398"/>
  <c r="AG4" i="21398"/>
  <c r="AF4" i="21398"/>
  <c r="AE4" i="21398"/>
  <c r="AD4" i="21398"/>
  <c r="AB4" i="21398"/>
  <c r="AA4" i="21398"/>
  <c r="Z4" i="21398"/>
  <c r="Y4" i="21398"/>
  <c r="X4" i="21398"/>
  <c r="W4" i="21398"/>
  <c r="V4" i="21398"/>
  <c r="U4" i="21398"/>
  <c r="T4" i="21398"/>
  <c r="S4" i="21398"/>
  <c r="R4" i="21398"/>
  <c r="Q4" i="21398"/>
  <c r="P4" i="21398"/>
  <c r="O4" i="21398"/>
  <c r="N4" i="21398"/>
  <c r="M4" i="21398"/>
  <c r="L4" i="21398"/>
  <c r="K4" i="21398"/>
  <c r="J4" i="21398"/>
  <c r="I4" i="21398"/>
  <c r="H4" i="21398"/>
  <c r="G4" i="21398"/>
  <c r="F4" i="21398"/>
  <c r="E4" i="21398"/>
  <c r="D4" i="21398"/>
  <c r="A4" i="21398"/>
  <c r="BG62" i="21399"/>
  <c r="BF62" i="21399"/>
  <c r="BE62" i="21399"/>
  <c r="BD62" i="21399"/>
  <c r="BC62" i="21399"/>
  <c r="BB62" i="21399"/>
  <c r="BA62" i="21399"/>
  <c r="AZ62" i="21399"/>
  <c r="AY62" i="21399"/>
  <c r="AX62" i="21399"/>
  <c r="AW62" i="21399"/>
  <c r="AV62" i="21399"/>
  <c r="AU62" i="21399"/>
  <c r="AT62" i="21399"/>
  <c r="AS62" i="21399"/>
  <c r="AR62" i="21399"/>
  <c r="AP62" i="21399"/>
  <c r="AO62" i="21399"/>
  <c r="AN62" i="21399"/>
  <c r="AM62" i="21399"/>
  <c r="AL62" i="21399"/>
  <c r="AK62" i="21399"/>
  <c r="AJ62" i="21399"/>
  <c r="AI62" i="21399"/>
  <c r="AH62" i="21399"/>
  <c r="AG62" i="21399"/>
  <c r="AF62" i="21399"/>
  <c r="AE62" i="21399"/>
  <c r="AD62" i="21399"/>
  <c r="AC62" i="21399"/>
  <c r="AB62" i="21399"/>
  <c r="AA62" i="21399"/>
  <c r="Z62" i="21399"/>
  <c r="Y62" i="21399"/>
  <c r="X62" i="21399"/>
  <c r="W62" i="21399"/>
  <c r="V62" i="21399"/>
  <c r="U62" i="21399"/>
  <c r="T62" i="21399"/>
  <c r="R62" i="21399"/>
  <c r="Q62" i="21399"/>
  <c r="P62" i="21399"/>
  <c r="O62" i="21399"/>
  <c r="N62" i="21399"/>
  <c r="M62" i="21399"/>
  <c r="L62" i="21399"/>
  <c r="K62" i="21399"/>
  <c r="I62" i="21399"/>
  <c r="H62" i="21399"/>
  <c r="G62" i="21399"/>
  <c r="F62" i="21399"/>
  <c r="E62" i="21399"/>
  <c r="D62" i="21399"/>
  <c r="C62" i="21399"/>
  <c r="B62" i="21399"/>
  <c r="A62" i="21399"/>
  <c r="BG61" i="21399"/>
  <c r="BF61" i="21399"/>
  <c r="BE61" i="21399"/>
  <c r="BD61" i="21399"/>
  <c r="BC61" i="21399"/>
  <c r="BA61" i="21399"/>
  <c r="AZ61" i="21399"/>
  <c r="AY61" i="21399"/>
  <c r="AX61" i="21399"/>
  <c r="AV61" i="21399"/>
  <c r="AU61" i="21399"/>
  <c r="AS61" i="21399"/>
  <c r="AR61" i="21399"/>
  <c r="AQ61" i="21399"/>
  <c r="AP61" i="21399"/>
  <c r="AO61" i="21399"/>
  <c r="AN61" i="21399"/>
  <c r="AM61" i="21399"/>
  <c r="AL61" i="21399"/>
  <c r="AK61" i="21399"/>
  <c r="AJ61" i="21399"/>
  <c r="AI61" i="21399"/>
  <c r="AH61" i="21399"/>
  <c r="AG61" i="21399"/>
  <c r="AF61" i="21399"/>
  <c r="AE61" i="21399"/>
  <c r="AD61" i="21399"/>
  <c r="AB61" i="21399"/>
  <c r="AA61" i="21399"/>
  <c r="Z61" i="21399"/>
  <c r="Y61" i="21399"/>
  <c r="X61" i="21399"/>
  <c r="W61" i="21399"/>
  <c r="V61" i="21399"/>
  <c r="U61" i="21399"/>
  <c r="T61" i="21399"/>
  <c r="S61" i="21399"/>
  <c r="R61" i="21399"/>
  <c r="Q61" i="21399"/>
  <c r="P61" i="21399"/>
  <c r="O61" i="21399"/>
  <c r="N61" i="21399"/>
  <c r="M61" i="21399"/>
  <c r="L61" i="21399"/>
  <c r="K61" i="21399"/>
  <c r="I61" i="21399"/>
  <c r="H61" i="21399"/>
  <c r="G61" i="21399"/>
  <c r="F61" i="21399"/>
  <c r="E61" i="21399"/>
  <c r="D61" i="21399"/>
  <c r="B61" i="21399"/>
  <c r="A61" i="21399"/>
  <c r="BG60" i="21399"/>
  <c r="BF60" i="21399"/>
  <c r="BE60" i="21399"/>
  <c r="BD60" i="21399"/>
  <c r="BC60" i="21399"/>
  <c r="BB60" i="21399"/>
  <c r="BA60" i="21399"/>
  <c r="AZ60" i="21399"/>
  <c r="AY60" i="21399"/>
  <c r="AX60" i="21399"/>
  <c r="AW60" i="21399"/>
  <c r="AV60" i="21399"/>
  <c r="AU60" i="21399"/>
  <c r="AT60" i="21399"/>
  <c r="AS60" i="21399"/>
  <c r="AR60" i="21399"/>
  <c r="AP60" i="21399"/>
  <c r="AO60" i="21399"/>
  <c r="AN60" i="21399"/>
  <c r="AM60" i="21399"/>
  <c r="AL60" i="21399"/>
  <c r="AK60" i="21399"/>
  <c r="AJ60" i="21399"/>
  <c r="AI60" i="21399"/>
  <c r="AH60" i="21399"/>
  <c r="AG60" i="21399"/>
  <c r="AF60" i="21399"/>
  <c r="AE60" i="21399"/>
  <c r="AD60" i="21399"/>
  <c r="AC60" i="21399"/>
  <c r="AB60" i="21399"/>
  <c r="AA60" i="21399"/>
  <c r="Z60" i="21399"/>
  <c r="Y60" i="21399"/>
  <c r="X60" i="21399"/>
  <c r="W60" i="21399"/>
  <c r="V60" i="21399"/>
  <c r="U60" i="21399"/>
  <c r="T60" i="21399"/>
  <c r="R60" i="21399"/>
  <c r="Q60" i="21399"/>
  <c r="P60" i="21399"/>
  <c r="O60" i="21399"/>
  <c r="N60" i="21399"/>
  <c r="M60" i="21399"/>
  <c r="L60" i="21399"/>
  <c r="K60" i="21399"/>
  <c r="J60" i="21399"/>
  <c r="I60" i="21399"/>
  <c r="H60" i="21399"/>
  <c r="G60" i="21399"/>
  <c r="F60" i="21399"/>
  <c r="E60" i="21399"/>
  <c r="D60" i="21399"/>
  <c r="C60" i="21399"/>
  <c r="B60" i="21399"/>
  <c r="A60" i="21399"/>
  <c r="BG59" i="21399"/>
  <c r="BF59" i="21399"/>
  <c r="BE59" i="21399"/>
  <c r="BD59" i="21399"/>
  <c r="BC59" i="21399"/>
  <c r="BA59" i="21399"/>
  <c r="AZ59" i="21399"/>
  <c r="AY59" i="21399"/>
  <c r="AX59" i="21399"/>
  <c r="AW59" i="21399"/>
  <c r="AV59" i="21399"/>
  <c r="AU59" i="21399"/>
  <c r="AS59" i="21399"/>
  <c r="AR59" i="21399"/>
  <c r="AQ59" i="21399"/>
  <c r="AP59" i="21399"/>
  <c r="AO59" i="21399"/>
  <c r="AN59" i="21399"/>
  <c r="AM59" i="21399"/>
  <c r="AL59" i="21399"/>
  <c r="AK59" i="21399"/>
  <c r="AJ59" i="21399"/>
  <c r="AI59" i="21399"/>
  <c r="AH59" i="21399"/>
  <c r="AG59" i="21399"/>
  <c r="AF59" i="21399"/>
  <c r="AE59" i="21399"/>
  <c r="AD59" i="21399"/>
  <c r="AB59" i="21399"/>
  <c r="AA59" i="21399"/>
  <c r="Z59" i="21399"/>
  <c r="Y59" i="21399"/>
  <c r="X59" i="21399"/>
  <c r="W59" i="21399"/>
  <c r="V59" i="21399"/>
  <c r="U59" i="21399"/>
  <c r="T59" i="21399"/>
  <c r="S59" i="21399"/>
  <c r="R59" i="21399"/>
  <c r="Q59" i="21399"/>
  <c r="P59" i="21399"/>
  <c r="O59" i="21399"/>
  <c r="N59" i="21399"/>
  <c r="M59" i="21399"/>
  <c r="L59" i="21399"/>
  <c r="K59" i="21399"/>
  <c r="J59" i="21399"/>
  <c r="I59" i="21399"/>
  <c r="H59" i="21399"/>
  <c r="G59" i="21399"/>
  <c r="F59" i="21399"/>
  <c r="E59" i="21399"/>
  <c r="D59" i="21399"/>
  <c r="B59" i="21399"/>
  <c r="A59" i="21399"/>
  <c r="BG58" i="21399"/>
  <c r="BF58" i="21399"/>
  <c r="BE58" i="21399"/>
  <c r="BD58" i="21399"/>
  <c r="BC58" i="21399"/>
  <c r="BB58" i="21399"/>
  <c r="BA58" i="21399"/>
  <c r="AZ58" i="21399"/>
  <c r="AY58" i="21399"/>
  <c r="AX58" i="21399"/>
  <c r="AW58" i="21399"/>
  <c r="AV58" i="21399"/>
  <c r="AU58" i="21399"/>
  <c r="AT58" i="21399"/>
  <c r="AS58" i="21399"/>
  <c r="AR58" i="21399"/>
  <c r="AP58" i="21399"/>
  <c r="AO58" i="21399"/>
  <c r="AN58" i="21399"/>
  <c r="AM58" i="21399"/>
  <c r="AL58" i="21399"/>
  <c r="AK58" i="21399"/>
  <c r="AJ58" i="21399"/>
  <c r="AI58" i="21399"/>
  <c r="AH58" i="21399"/>
  <c r="AG58" i="21399"/>
  <c r="AF58" i="21399"/>
  <c r="AE58" i="21399"/>
  <c r="AD58" i="21399"/>
  <c r="AC58" i="21399"/>
  <c r="AB58" i="21399"/>
  <c r="AA58" i="21399"/>
  <c r="Z58" i="21399"/>
  <c r="Y58" i="21399"/>
  <c r="X58" i="21399"/>
  <c r="W58" i="21399"/>
  <c r="V58" i="21399"/>
  <c r="U58" i="21399"/>
  <c r="T58" i="21399"/>
  <c r="R58" i="21399"/>
  <c r="Q58" i="21399"/>
  <c r="P58" i="21399"/>
  <c r="O58" i="21399"/>
  <c r="N58" i="21399"/>
  <c r="M58" i="21399"/>
  <c r="L58" i="21399"/>
  <c r="K58" i="21399"/>
  <c r="J58" i="21399"/>
  <c r="I58" i="21399"/>
  <c r="H58" i="21399"/>
  <c r="G58" i="21399"/>
  <c r="F58" i="21399"/>
  <c r="E58" i="21399"/>
  <c r="D58" i="21399"/>
  <c r="C58" i="21399"/>
  <c r="B58" i="21399"/>
  <c r="A58" i="21399"/>
  <c r="BG57" i="21399"/>
  <c r="BF57" i="21399"/>
  <c r="BE57" i="21399"/>
  <c r="BD57" i="21399"/>
  <c r="BC57" i="21399"/>
  <c r="BA57" i="21399"/>
  <c r="AZ57" i="21399"/>
  <c r="AY57" i="21399"/>
  <c r="AX57" i="21399"/>
  <c r="AW57" i="21399"/>
  <c r="AV57" i="21399"/>
  <c r="AU57" i="21399"/>
  <c r="AS57" i="21399"/>
  <c r="AR57" i="21399"/>
  <c r="AQ57" i="21399"/>
  <c r="AP57" i="21399"/>
  <c r="AO57" i="21399"/>
  <c r="AN57" i="21399"/>
  <c r="AM57" i="21399"/>
  <c r="AL57" i="21399"/>
  <c r="AK57" i="21399"/>
  <c r="AJ57" i="21399"/>
  <c r="AI57" i="21399"/>
  <c r="AH57" i="21399"/>
  <c r="AG57" i="21399"/>
  <c r="AF57" i="21399"/>
  <c r="AE57" i="21399"/>
  <c r="AD57" i="21399"/>
  <c r="AC57" i="21399"/>
  <c r="AB57" i="21399"/>
  <c r="AA57" i="21399"/>
  <c r="Z57" i="21399"/>
  <c r="Y57" i="21399"/>
  <c r="X57" i="21399"/>
  <c r="W57" i="21399"/>
  <c r="V57" i="21399"/>
  <c r="U57" i="21399"/>
  <c r="T57" i="21399"/>
  <c r="S57" i="21399"/>
  <c r="R57" i="21399"/>
  <c r="Q57" i="21399"/>
  <c r="P57" i="21399"/>
  <c r="O57" i="21399"/>
  <c r="N57" i="21399"/>
  <c r="M57" i="21399"/>
  <c r="L57" i="21399"/>
  <c r="K57" i="21399"/>
  <c r="J57" i="21399"/>
  <c r="I57" i="21399"/>
  <c r="H57" i="21399"/>
  <c r="G57" i="21399"/>
  <c r="F57" i="21399"/>
  <c r="E57" i="21399"/>
  <c r="D57" i="21399"/>
  <c r="B57" i="21399"/>
  <c r="A57" i="21399"/>
  <c r="BG56" i="21399"/>
  <c r="BF56" i="21399"/>
  <c r="BE56" i="21399"/>
  <c r="BD56" i="21399"/>
  <c r="BC56" i="21399"/>
  <c r="BB56" i="21399"/>
  <c r="BA56" i="21399"/>
  <c r="AZ56" i="21399"/>
  <c r="AY56" i="21399"/>
  <c r="AX56" i="21399"/>
  <c r="AW56" i="21399"/>
  <c r="AV56" i="21399"/>
  <c r="AU56" i="21399"/>
  <c r="AT56" i="21399"/>
  <c r="AS56" i="21399"/>
  <c r="AR56" i="21399"/>
  <c r="AP56" i="21399"/>
  <c r="AO56" i="21399"/>
  <c r="AN56" i="21399"/>
  <c r="AM56" i="21399"/>
  <c r="AL56" i="21399"/>
  <c r="AK56" i="21399"/>
  <c r="AJ56" i="21399"/>
  <c r="AI56" i="21399"/>
  <c r="AH56" i="21399"/>
  <c r="AG56" i="21399"/>
  <c r="AF56" i="21399"/>
  <c r="AE56" i="21399"/>
  <c r="AD56" i="21399"/>
  <c r="AC56" i="21399"/>
  <c r="AB56" i="21399"/>
  <c r="AA56" i="21399"/>
  <c r="Z56" i="21399"/>
  <c r="Y56" i="21399"/>
  <c r="X56" i="21399"/>
  <c r="W56" i="21399"/>
  <c r="V56" i="21399"/>
  <c r="U56" i="21399"/>
  <c r="T56" i="21399"/>
  <c r="R56" i="21399"/>
  <c r="Q56" i="21399"/>
  <c r="P56" i="21399"/>
  <c r="O56" i="21399"/>
  <c r="N56" i="21399"/>
  <c r="M56" i="21399"/>
  <c r="L56" i="21399"/>
  <c r="K56" i="21399"/>
  <c r="J56" i="21399"/>
  <c r="I56" i="21399"/>
  <c r="H56" i="21399"/>
  <c r="G56" i="21399"/>
  <c r="F56" i="21399"/>
  <c r="E56" i="21399"/>
  <c r="D56" i="21399"/>
  <c r="C56" i="21399"/>
  <c r="B56" i="21399"/>
  <c r="A56" i="21399"/>
  <c r="BG55" i="21399"/>
  <c r="BF55" i="21399"/>
  <c r="BE55" i="21399"/>
  <c r="BD55" i="21399"/>
  <c r="BC55" i="21399"/>
  <c r="BA55" i="21399"/>
  <c r="AZ55" i="21399"/>
  <c r="AY55" i="21399"/>
  <c r="AX55" i="21399"/>
  <c r="AW55" i="21399"/>
  <c r="AV55" i="21399"/>
  <c r="AU55" i="21399"/>
  <c r="AS55" i="21399"/>
  <c r="AR55" i="21399"/>
  <c r="AQ55" i="21399"/>
  <c r="AP55" i="21399"/>
  <c r="AO55" i="21399"/>
  <c r="AN55" i="21399"/>
  <c r="AM55" i="21399"/>
  <c r="AL55" i="21399"/>
  <c r="AK55" i="21399"/>
  <c r="AJ55" i="21399"/>
  <c r="AI55" i="21399"/>
  <c r="AH55" i="21399"/>
  <c r="AG55" i="21399"/>
  <c r="AF55" i="21399"/>
  <c r="AE55" i="21399"/>
  <c r="AD55" i="21399"/>
  <c r="AC55" i="21399"/>
  <c r="AB55" i="21399"/>
  <c r="AA55" i="21399"/>
  <c r="Z55" i="21399"/>
  <c r="Y55" i="21399"/>
  <c r="X55" i="21399"/>
  <c r="W55" i="21399"/>
  <c r="V55" i="21399"/>
  <c r="U55" i="21399"/>
  <c r="T55" i="21399"/>
  <c r="S55" i="21399"/>
  <c r="R55" i="21399"/>
  <c r="Q55" i="21399"/>
  <c r="P55" i="21399"/>
  <c r="O55" i="21399"/>
  <c r="N55" i="21399"/>
  <c r="M55" i="21399"/>
  <c r="L55" i="21399"/>
  <c r="K55" i="21399"/>
  <c r="J55" i="21399"/>
  <c r="I55" i="21399"/>
  <c r="H55" i="21399"/>
  <c r="G55" i="21399"/>
  <c r="F55" i="21399"/>
  <c r="E55" i="21399"/>
  <c r="D55" i="21399"/>
  <c r="B55" i="21399"/>
  <c r="A55" i="21399"/>
  <c r="BG54" i="21399"/>
  <c r="BF54" i="21399"/>
  <c r="BE54" i="21399"/>
  <c r="BD54" i="21399"/>
  <c r="BC54" i="21399"/>
  <c r="BB54" i="21399"/>
  <c r="BA54" i="21399"/>
  <c r="AZ54" i="21399"/>
  <c r="AY54" i="21399"/>
  <c r="AX54" i="21399"/>
  <c r="AW54" i="21399"/>
  <c r="AV54" i="21399"/>
  <c r="AU54" i="21399"/>
  <c r="AT54" i="21399"/>
  <c r="AS54" i="21399"/>
  <c r="AR54" i="21399"/>
  <c r="AP54" i="21399"/>
  <c r="AO54" i="21399"/>
  <c r="AN54" i="21399"/>
  <c r="AM54" i="21399"/>
  <c r="AL54" i="21399"/>
  <c r="AK54" i="21399"/>
  <c r="AJ54" i="21399"/>
  <c r="AI54" i="21399"/>
  <c r="AH54" i="21399"/>
  <c r="AG54" i="21399"/>
  <c r="AF54" i="21399"/>
  <c r="AE54" i="21399"/>
  <c r="AD54" i="21399"/>
  <c r="AC54" i="21399"/>
  <c r="AB54" i="21399"/>
  <c r="AA54" i="21399"/>
  <c r="Z54" i="21399"/>
  <c r="Y54" i="21399"/>
  <c r="X54" i="21399"/>
  <c r="W54" i="21399"/>
  <c r="V54" i="21399"/>
  <c r="U54" i="21399"/>
  <c r="T54" i="21399"/>
  <c r="R54" i="21399"/>
  <c r="Q54" i="21399"/>
  <c r="P54" i="21399"/>
  <c r="O54" i="21399"/>
  <c r="N54" i="21399"/>
  <c r="M54" i="21399"/>
  <c r="L54" i="21399"/>
  <c r="K54" i="21399"/>
  <c r="I54" i="21399"/>
  <c r="H54" i="21399"/>
  <c r="G54" i="21399"/>
  <c r="F54" i="21399"/>
  <c r="E54" i="21399"/>
  <c r="D54" i="21399"/>
  <c r="C54" i="21399"/>
  <c r="B54" i="21399"/>
  <c r="A54" i="21399"/>
  <c r="BG53" i="21399"/>
  <c r="BF53" i="21399"/>
  <c r="BE53" i="21399"/>
  <c r="BD53" i="21399"/>
  <c r="BC53" i="21399"/>
  <c r="BA53" i="21399"/>
  <c r="AZ53" i="21399"/>
  <c r="AY53" i="21399"/>
  <c r="AX53" i="21399"/>
  <c r="AW53" i="21399"/>
  <c r="AV53" i="21399"/>
  <c r="AU53" i="21399"/>
  <c r="AS53" i="21399"/>
  <c r="AR53" i="21399"/>
  <c r="AQ53" i="21399"/>
  <c r="AP53" i="21399"/>
  <c r="AO53" i="21399"/>
  <c r="AN53" i="21399"/>
  <c r="AM53" i="21399"/>
  <c r="AL53" i="21399"/>
  <c r="AK53" i="21399"/>
  <c r="AJ53" i="21399"/>
  <c r="AI53" i="21399"/>
  <c r="AH53" i="21399"/>
  <c r="AG53" i="21399"/>
  <c r="AF53" i="21399"/>
  <c r="AE53" i="21399"/>
  <c r="AD53" i="21399"/>
  <c r="AB53" i="21399"/>
  <c r="AA53" i="21399"/>
  <c r="Z53" i="21399"/>
  <c r="Y53" i="21399"/>
  <c r="X53" i="21399"/>
  <c r="W53" i="21399"/>
  <c r="V53" i="21399"/>
  <c r="U53" i="21399"/>
  <c r="T53" i="21399"/>
  <c r="S53" i="21399"/>
  <c r="R53" i="21399"/>
  <c r="Q53" i="21399"/>
  <c r="P53" i="21399"/>
  <c r="O53" i="21399"/>
  <c r="N53" i="21399"/>
  <c r="M53" i="21399"/>
  <c r="L53" i="21399"/>
  <c r="K53" i="21399"/>
  <c r="J53" i="21399"/>
  <c r="I53" i="21399"/>
  <c r="H53" i="21399"/>
  <c r="G53" i="21399"/>
  <c r="F53" i="21399"/>
  <c r="E53" i="21399"/>
  <c r="D53" i="21399"/>
  <c r="B53" i="21399"/>
  <c r="A53" i="21399"/>
  <c r="BG52" i="21399"/>
  <c r="BF52" i="21399"/>
  <c r="BE52" i="21399"/>
  <c r="BD52" i="21399"/>
  <c r="BC52" i="21399"/>
  <c r="BB52" i="21399"/>
  <c r="BA52" i="21399"/>
  <c r="AZ52" i="21399"/>
  <c r="AY52" i="21399"/>
  <c r="AX52" i="21399"/>
  <c r="AW52" i="21399"/>
  <c r="AV52" i="21399"/>
  <c r="AU52" i="21399"/>
  <c r="AT52" i="21399"/>
  <c r="AS52" i="21399"/>
  <c r="AR52" i="21399"/>
  <c r="AP52" i="21399"/>
  <c r="AO52" i="21399"/>
  <c r="AN52" i="21399"/>
  <c r="AM52" i="21399"/>
  <c r="AL52" i="21399"/>
  <c r="AK52" i="21399"/>
  <c r="AJ52" i="21399"/>
  <c r="AI52" i="21399"/>
  <c r="AH52" i="21399"/>
  <c r="AG52" i="21399"/>
  <c r="AF52" i="21399"/>
  <c r="AE52" i="21399"/>
  <c r="AD52" i="21399"/>
  <c r="AC52" i="21399"/>
  <c r="AB52" i="21399"/>
  <c r="AA52" i="21399"/>
  <c r="Z52" i="21399"/>
  <c r="Y52" i="21399"/>
  <c r="X52" i="21399"/>
  <c r="W52" i="21399"/>
  <c r="V52" i="21399"/>
  <c r="U52" i="21399"/>
  <c r="T52" i="21399"/>
  <c r="R52" i="21399"/>
  <c r="Q52" i="21399"/>
  <c r="P52" i="21399"/>
  <c r="O52" i="21399"/>
  <c r="N52" i="21399"/>
  <c r="M52" i="21399"/>
  <c r="L52" i="21399"/>
  <c r="K52" i="21399"/>
  <c r="I52" i="21399"/>
  <c r="H52" i="21399"/>
  <c r="G52" i="21399"/>
  <c r="F52" i="21399"/>
  <c r="E52" i="21399"/>
  <c r="D52" i="21399"/>
  <c r="C52" i="21399"/>
  <c r="B52" i="21399"/>
  <c r="A52" i="21399"/>
  <c r="BG51" i="21399"/>
  <c r="BG46" i="21418" s="1"/>
  <c r="BF51" i="21399"/>
  <c r="BF46" i="21418" s="1"/>
  <c r="BE51" i="21399"/>
  <c r="BE46" i="21418" s="1"/>
  <c r="BD51" i="21399"/>
  <c r="BD46" i="21418" s="1"/>
  <c r="BC51" i="21399"/>
  <c r="BC46" i="21418" s="1"/>
  <c r="BA51" i="21399"/>
  <c r="BA46" i="21418" s="1"/>
  <c r="AZ51" i="21399"/>
  <c r="AZ46" i="21418" s="1"/>
  <c r="AY51" i="21399"/>
  <c r="AY46" i="21418" s="1"/>
  <c r="AX51" i="21399"/>
  <c r="AX46" i="21418" s="1"/>
  <c r="AW51" i="21399"/>
  <c r="AW46" i="21418" s="1"/>
  <c r="AV51" i="21399"/>
  <c r="AV46" i="21418" s="1"/>
  <c r="AU51" i="21399"/>
  <c r="AU46" i="21418" s="1"/>
  <c r="AS51" i="21399"/>
  <c r="AS46" i="21418" s="1"/>
  <c r="AR51" i="21399"/>
  <c r="AR46" i="21418" s="1"/>
  <c r="AQ51" i="21399"/>
  <c r="AQ46" i="21418" s="1"/>
  <c r="AP51" i="21399"/>
  <c r="AP46" i="21418" s="1"/>
  <c r="AO51" i="21399"/>
  <c r="AO46" i="21418" s="1"/>
  <c r="AN51" i="21399"/>
  <c r="AN46" i="21418" s="1"/>
  <c r="AM51" i="21399"/>
  <c r="AM46" i="21418" s="1"/>
  <c r="AL51" i="21399"/>
  <c r="AL46" i="21418" s="1"/>
  <c r="AK51" i="21399"/>
  <c r="AK46" i="21418" s="1"/>
  <c r="AJ51" i="21399"/>
  <c r="AJ46" i="21418" s="1"/>
  <c r="AI51" i="21399"/>
  <c r="AI46" i="21418" s="1"/>
  <c r="AH51" i="21399"/>
  <c r="AH46" i="21418" s="1"/>
  <c r="AG51" i="21399"/>
  <c r="S50" i="21399" s="1"/>
  <c r="S45" i="21418" s="1"/>
  <c r="AF51" i="21399"/>
  <c r="AF46" i="21418" s="1"/>
  <c r="AE51" i="21399"/>
  <c r="AE46" i="21418" s="1"/>
  <c r="AD51" i="21399"/>
  <c r="AD46" i="21418" s="1"/>
  <c r="AB51" i="21399"/>
  <c r="AB46" i="21418" s="1"/>
  <c r="AA51" i="21399"/>
  <c r="AA46" i="21418" s="1"/>
  <c r="Z51" i="21399"/>
  <c r="Z46" i="21418" s="1"/>
  <c r="Y51" i="21399"/>
  <c r="Y46" i="21418" s="1"/>
  <c r="X51" i="21399"/>
  <c r="X46" i="21418" s="1"/>
  <c r="W51" i="21399"/>
  <c r="W46" i="21418" s="1"/>
  <c r="V51" i="21399"/>
  <c r="U51" i="21399"/>
  <c r="U46" i="21418" s="1"/>
  <c r="T51" i="21399"/>
  <c r="T46" i="21418" s="1"/>
  <c r="S51" i="21399"/>
  <c r="S46" i="21418" s="1"/>
  <c r="R51" i="21399"/>
  <c r="R46" i="21418" s="1"/>
  <c r="Q51" i="21399"/>
  <c r="Q46" i="21418" s="1"/>
  <c r="P51" i="21399"/>
  <c r="P46" i="21418" s="1"/>
  <c r="O51" i="21399"/>
  <c r="O46" i="21418" s="1"/>
  <c r="N51" i="21399"/>
  <c r="N46" i="21418" s="1"/>
  <c r="M51" i="21399"/>
  <c r="M46" i="21418" s="1"/>
  <c r="L51" i="21399"/>
  <c r="L46" i="21418" s="1"/>
  <c r="K51" i="21399"/>
  <c r="K46" i="21418" s="1"/>
  <c r="I51" i="21399"/>
  <c r="I46" i="21418" s="1"/>
  <c r="H51" i="21399"/>
  <c r="H46" i="21418" s="1"/>
  <c r="G51" i="21399"/>
  <c r="G46" i="21418" s="1"/>
  <c r="F51" i="21399"/>
  <c r="F46" i="21418" s="1"/>
  <c r="E51" i="21399"/>
  <c r="D51" i="21399"/>
  <c r="D46" i="21418" s="1"/>
  <c r="A51" i="21399"/>
  <c r="A46" i="21418" s="1"/>
  <c r="BG7" i="21399"/>
  <c r="BF7" i="21399"/>
  <c r="BE7" i="21399"/>
  <c r="BD7" i="21399"/>
  <c r="BC7" i="21399"/>
  <c r="BA7" i="21399"/>
  <c r="AZ7" i="21399"/>
  <c r="AV7" i="21399"/>
  <c r="AU7" i="21399"/>
  <c r="AS7" i="21399"/>
  <c r="AR7" i="21399"/>
  <c r="AQ7" i="21399"/>
  <c r="AP7" i="21399"/>
  <c r="AO7" i="21399"/>
  <c r="AN7" i="21399"/>
  <c r="AM7" i="21399"/>
  <c r="AL7" i="21399"/>
  <c r="AK7" i="21399"/>
  <c r="AJ7" i="21399"/>
  <c r="AI7" i="21399"/>
  <c r="AH7" i="21399"/>
  <c r="AG7" i="21399"/>
  <c r="S8" i="21399" s="1"/>
  <c r="AF7" i="21399"/>
  <c r="AE7" i="21399"/>
  <c r="AD7" i="21399"/>
  <c r="AC7" i="21399"/>
  <c r="AB7" i="21399"/>
  <c r="AA7" i="21399"/>
  <c r="Z7" i="21399"/>
  <c r="Y7" i="21399"/>
  <c r="X7" i="21399"/>
  <c r="W7" i="21399"/>
  <c r="V7" i="21399"/>
  <c r="U7" i="21399"/>
  <c r="T7" i="21399"/>
  <c r="S7" i="21399"/>
  <c r="R7" i="21399"/>
  <c r="Q7" i="21399"/>
  <c r="P7" i="21399"/>
  <c r="O7" i="21399"/>
  <c r="N7" i="21399"/>
  <c r="L7" i="21399"/>
  <c r="K7" i="21399"/>
  <c r="J7" i="21399"/>
  <c r="I7" i="21399"/>
  <c r="H7" i="21399"/>
  <c r="G7" i="21399"/>
  <c r="F7" i="21399"/>
  <c r="E7" i="21399"/>
  <c r="D7" i="21399"/>
  <c r="B7" i="21399"/>
  <c r="A7" i="21399"/>
  <c r="BG6" i="21399"/>
  <c r="BF6" i="21399"/>
  <c r="BE6" i="21399"/>
  <c r="BD6" i="21399"/>
  <c r="BC6" i="21399"/>
  <c r="BB6" i="21399"/>
  <c r="BA6" i="21399"/>
  <c r="AY6" i="21399"/>
  <c r="AV6" i="21399"/>
  <c r="AU6" i="21399"/>
  <c r="AT6" i="21399"/>
  <c r="AS6" i="21399"/>
  <c r="AR6" i="21399"/>
  <c r="AP6" i="21399"/>
  <c r="AO6" i="21399"/>
  <c r="AN6" i="21399"/>
  <c r="AM6" i="21399"/>
  <c r="AL6" i="21399"/>
  <c r="AK6" i="21399"/>
  <c r="AJ6" i="21399"/>
  <c r="AI6" i="21399"/>
  <c r="AH6" i="21399"/>
  <c r="AG6" i="21399"/>
  <c r="AF6" i="21399"/>
  <c r="AE6" i="21399"/>
  <c r="AD6" i="21399"/>
  <c r="AC6" i="21399"/>
  <c r="AB6" i="21399"/>
  <c r="AA6" i="21399"/>
  <c r="Z6" i="21399"/>
  <c r="Y6" i="21399"/>
  <c r="X6" i="21399"/>
  <c r="W6" i="21399"/>
  <c r="V6" i="21399"/>
  <c r="U6" i="21399"/>
  <c r="T6" i="21399"/>
  <c r="S6" i="21399"/>
  <c r="R6" i="21399"/>
  <c r="Q6" i="21399"/>
  <c r="P6" i="21399"/>
  <c r="O6" i="21399"/>
  <c r="N6" i="21399"/>
  <c r="M6" i="21399"/>
  <c r="L6" i="21399"/>
  <c r="K6" i="21399"/>
  <c r="I6" i="21399"/>
  <c r="H6" i="21399"/>
  <c r="G6" i="21399"/>
  <c r="F6" i="21399"/>
  <c r="E6" i="21399"/>
  <c r="D6" i="21399"/>
  <c r="C6" i="21399"/>
  <c r="B6" i="21399"/>
  <c r="A6" i="21399"/>
  <c r="BG5" i="21399"/>
  <c r="BF5" i="21399"/>
  <c r="BE5" i="21399"/>
  <c r="BD5" i="21399"/>
  <c r="BC5" i="21399"/>
  <c r="BA5" i="21399"/>
  <c r="AZ5" i="21399"/>
  <c r="AV5" i="21399"/>
  <c r="AU5" i="21399"/>
  <c r="AS5" i="21399"/>
  <c r="AR5" i="21399"/>
  <c r="AQ5" i="21399"/>
  <c r="AP5" i="21399"/>
  <c r="AO5" i="21399"/>
  <c r="AN5" i="21399"/>
  <c r="AM5" i="21399"/>
  <c r="AL5" i="21399"/>
  <c r="AK5" i="21399"/>
  <c r="AJ5" i="21399"/>
  <c r="AI5" i="21399"/>
  <c r="AH5" i="21399"/>
  <c r="AG5" i="21399"/>
  <c r="AF5" i="21399"/>
  <c r="AE5" i="21399"/>
  <c r="AD5" i="21399"/>
  <c r="AC5" i="21399"/>
  <c r="AB5" i="21399"/>
  <c r="AA5" i="21399"/>
  <c r="Z5" i="21399"/>
  <c r="Y5" i="21399"/>
  <c r="X5" i="21399"/>
  <c r="W5" i="21399"/>
  <c r="V5" i="21399"/>
  <c r="U5" i="21399"/>
  <c r="T5" i="21399"/>
  <c r="S5" i="21399"/>
  <c r="R5" i="21399"/>
  <c r="Q5" i="21399"/>
  <c r="P5" i="21399"/>
  <c r="O5" i="21399"/>
  <c r="N5" i="21399"/>
  <c r="L5" i="21399"/>
  <c r="K5" i="21399"/>
  <c r="J5" i="21399"/>
  <c r="I5" i="21399"/>
  <c r="H5" i="21399"/>
  <c r="G5" i="21399"/>
  <c r="F5" i="21399"/>
  <c r="E5" i="21399"/>
  <c r="D5" i="21399"/>
  <c r="A5" i="21399"/>
  <c r="V46" i="21418"/>
  <c r="E46" i="21418"/>
  <c r="BG45" i="21418"/>
  <c r="BF45" i="21418"/>
  <c r="BE45" i="21418"/>
  <c r="BD45" i="21418"/>
  <c r="BC45" i="21418"/>
  <c r="BB45" i="21418"/>
  <c r="BA45" i="21418"/>
  <c r="AX45" i="21418"/>
  <c r="AW45" i="21418"/>
  <c r="AV45" i="21418"/>
  <c r="AU45" i="21418"/>
  <c r="AT45" i="21418"/>
  <c r="AS45" i="21418"/>
  <c r="AR45" i="21418"/>
  <c r="AP45" i="21418"/>
  <c r="AO45" i="21418"/>
  <c r="AN45" i="21418"/>
  <c r="AM45" i="21418"/>
  <c r="AL45" i="21418"/>
  <c r="AK45" i="21418"/>
  <c r="AJ45" i="21418"/>
  <c r="AI45" i="21418"/>
  <c r="AH45" i="21418"/>
  <c r="AG45" i="21418"/>
  <c r="AF45" i="21418"/>
  <c r="AE45" i="21418"/>
  <c r="AD45" i="21418"/>
  <c r="AC45" i="21418"/>
  <c r="AB45" i="21418"/>
  <c r="AA45" i="21418"/>
  <c r="Z45" i="21418"/>
  <c r="Y45" i="21418"/>
  <c r="X45" i="21418"/>
  <c r="W45" i="21418"/>
  <c r="V45" i="21418"/>
  <c r="U45" i="21418"/>
  <c r="T45" i="21418"/>
  <c r="R45" i="21418"/>
  <c r="Q45" i="21418"/>
  <c r="P45" i="21418"/>
  <c r="O45" i="21418"/>
  <c r="N45" i="21418"/>
  <c r="M45" i="21418"/>
  <c r="L45" i="21418"/>
  <c r="K45" i="21418"/>
  <c r="I45" i="21418"/>
  <c r="H45" i="21418"/>
  <c r="G45" i="21418"/>
  <c r="F45" i="21418"/>
  <c r="E45" i="21418"/>
  <c r="D45" i="21418"/>
  <c r="C45" i="21418"/>
  <c r="B45" i="21418"/>
  <c r="A45" i="21418"/>
  <c r="BG44" i="21418"/>
  <c r="BF44" i="21418"/>
  <c r="BE44" i="21418"/>
  <c r="BD44" i="21418"/>
  <c r="BC44" i="21418"/>
  <c r="BA44" i="21418"/>
  <c r="AX44" i="21418"/>
  <c r="AW44" i="21418"/>
  <c r="AV44" i="21418"/>
  <c r="AU44" i="21418"/>
  <c r="AS44" i="21418"/>
  <c r="AR44" i="21418"/>
  <c r="AQ44" i="21418"/>
  <c r="AP44" i="21418"/>
  <c r="AO44" i="21418"/>
  <c r="AN44" i="21418"/>
  <c r="AM44" i="21418"/>
  <c r="AL44" i="21418"/>
  <c r="AK44" i="21418"/>
  <c r="AJ44" i="21418"/>
  <c r="AI44" i="21418"/>
  <c r="AH44" i="21418"/>
  <c r="AG44" i="21418"/>
  <c r="AF44" i="21418"/>
  <c r="AE44" i="21418"/>
  <c r="AD44" i="21418"/>
  <c r="AC44" i="21418"/>
  <c r="AB44" i="21418"/>
  <c r="AA44" i="21418"/>
  <c r="Z44" i="21418"/>
  <c r="Y44" i="21418"/>
  <c r="X44" i="21418"/>
  <c r="W44" i="21418"/>
  <c r="V44" i="21418"/>
  <c r="U44" i="21418"/>
  <c r="T44" i="21418"/>
  <c r="S44" i="21418"/>
  <c r="R44" i="21418"/>
  <c r="Q44" i="21418"/>
  <c r="P44" i="21418"/>
  <c r="O44" i="21418"/>
  <c r="N44" i="21418"/>
  <c r="M44" i="21418"/>
  <c r="L44" i="21418"/>
  <c r="K44" i="21418"/>
  <c r="J44" i="21418"/>
  <c r="I44" i="21418"/>
  <c r="H44" i="21418"/>
  <c r="G44" i="21418"/>
  <c r="F44" i="21418"/>
  <c r="E44" i="21418"/>
  <c r="D44" i="21418"/>
  <c r="B44" i="21418"/>
  <c r="A44" i="21418"/>
  <c r="BG43" i="21418"/>
  <c r="BF43" i="21418"/>
  <c r="BE43" i="21418"/>
  <c r="BD43" i="21418"/>
  <c r="BC43" i="21418"/>
  <c r="BB43" i="21418"/>
  <c r="BA43" i="21418"/>
  <c r="AX43" i="21418"/>
  <c r="AW43" i="21418"/>
  <c r="AV43" i="21418"/>
  <c r="AU43" i="21418"/>
  <c r="AT43" i="21418"/>
  <c r="AS43" i="21418"/>
  <c r="AR43" i="21418"/>
  <c r="AP43" i="21418"/>
  <c r="AO43" i="21418"/>
  <c r="AN43" i="21418"/>
  <c r="AM43" i="21418"/>
  <c r="AL43" i="21418"/>
  <c r="AK43" i="21418"/>
  <c r="AJ43" i="21418"/>
  <c r="AI43" i="21418"/>
  <c r="AH43" i="21418"/>
  <c r="AG43" i="21418"/>
  <c r="AF43" i="21418"/>
  <c r="AE43" i="21418"/>
  <c r="AD43" i="21418"/>
  <c r="AC43" i="21418"/>
  <c r="AB43" i="21418"/>
  <c r="AA43" i="21418"/>
  <c r="Z43" i="21418"/>
  <c r="Y43" i="21418"/>
  <c r="X43" i="21418"/>
  <c r="W43" i="21418"/>
  <c r="V43" i="21418"/>
  <c r="U43" i="21418"/>
  <c r="T43" i="21418"/>
  <c r="S43" i="21418"/>
  <c r="R43" i="21418"/>
  <c r="Q43" i="21418"/>
  <c r="P43" i="21418"/>
  <c r="O43" i="21418"/>
  <c r="N43" i="21418"/>
  <c r="M43" i="21418"/>
  <c r="L43" i="21418"/>
  <c r="K43" i="21418"/>
  <c r="I43" i="21418"/>
  <c r="H43" i="21418"/>
  <c r="G43" i="21418"/>
  <c r="F43" i="21418"/>
  <c r="E43" i="21418"/>
  <c r="D43" i="21418"/>
  <c r="C43" i="21418"/>
  <c r="B43" i="21418"/>
  <c r="A43" i="21418"/>
  <c r="BG42" i="21418"/>
  <c r="BF42" i="21418"/>
  <c r="BE42" i="21418"/>
  <c r="BD42" i="21418"/>
  <c r="BC42" i="21418"/>
  <c r="BA42" i="21418"/>
  <c r="AZ42" i="21418"/>
  <c r="AX42" i="21418"/>
  <c r="AW42" i="21418"/>
  <c r="AV42" i="21418"/>
  <c r="AU42" i="21418"/>
  <c r="AS42" i="21418"/>
  <c r="AR42" i="21418"/>
  <c r="AQ42" i="21418"/>
  <c r="AP42" i="21418"/>
  <c r="AO42" i="21418"/>
  <c r="AN42" i="21418"/>
  <c r="AM42" i="21418"/>
  <c r="AL42" i="21418"/>
  <c r="AK42" i="21418"/>
  <c r="AJ42" i="21418"/>
  <c r="AI42" i="21418"/>
  <c r="AH42" i="21418"/>
  <c r="AG42" i="21418"/>
  <c r="S41" i="21418" s="1"/>
  <c r="AF42" i="21418"/>
  <c r="AE42" i="21418"/>
  <c r="AD42" i="21418"/>
  <c r="AC42" i="21418"/>
  <c r="AB42" i="21418"/>
  <c r="AA42" i="21418"/>
  <c r="Z42" i="21418"/>
  <c r="Y42" i="21418"/>
  <c r="X42" i="21418"/>
  <c r="W42" i="21418"/>
  <c r="V42" i="21418"/>
  <c r="U42" i="21418"/>
  <c r="T42" i="21418"/>
  <c r="S42" i="21418"/>
  <c r="R42" i="21418"/>
  <c r="Q42" i="21418"/>
  <c r="P42" i="21418"/>
  <c r="O42" i="21418"/>
  <c r="N42" i="21418"/>
  <c r="M42" i="21418"/>
  <c r="L42" i="21418"/>
  <c r="K42" i="21418"/>
  <c r="J42" i="21418"/>
  <c r="I42" i="21418"/>
  <c r="H42" i="21418"/>
  <c r="G42" i="21418"/>
  <c r="F42" i="21418"/>
  <c r="E42" i="21418"/>
  <c r="D42" i="21418"/>
  <c r="A42" i="21418"/>
  <c r="BG4" i="21418"/>
  <c r="BF4" i="21418"/>
  <c r="BE4" i="21418"/>
  <c r="BD4" i="21418"/>
  <c r="BC4" i="21418"/>
  <c r="BB4" i="21418"/>
  <c r="BA4" i="21418"/>
  <c r="AZ4" i="21418"/>
  <c r="AY4" i="21418"/>
  <c r="AX4" i="21418"/>
  <c r="AW4" i="21418"/>
  <c r="AV4" i="21418"/>
  <c r="AU4" i="21418"/>
  <c r="AS4" i="21418"/>
  <c r="AR4" i="21418"/>
  <c r="AQ4" i="21418"/>
  <c r="AP4" i="21418"/>
  <c r="AO4" i="21418"/>
  <c r="AN4" i="21418"/>
  <c r="AM4" i="21418"/>
  <c r="AL4" i="21418"/>
  <c r="AK4" i="21418"/>
  <c r="AJ4" i="21418"/>
  <c r="AI4" i="21418"/>
  <c r="AH4" i="21418"/>
  <c r="AG4" i="21418"/>
  <c r="AF4" i="21418"/>
  <c r="AE4" i="21418"/>
  <c r="AD4" i="21418"/>
  <c r="AC4" i="21418"/>
  <c r="AB4" i="21418"/>
  <c r="AA4" i="21418"/>
  <c r="Z4" i="21418"/>
  <c r="Y4" i="21418"/>
  <c r="X4" i="21418"/>
  <c r="W4" i="21418"/>
  <c r="V4" i="21418"/>
  <c r="U4" i="21418"/>
  <c r="T4" i="21418"/>
  <c r="S4" i="21418"/>
  <c r="R4" i="21418"/>
  <c r="Q4" i="21418"/>
  <c r="P4" i="21418"/>
  <c r="O4" i="21418"/>
  <c r="N4" i="21418"/>
  <c r="M4" i="21418"/>
  <c r="L4" i="21418"/>
  <c r="K4" i="21418"/>
  <c r="J4" i="21418"/>
  <c r="I4" i="21418"/>
  <c r="H4" i="21418"/>
  <c r="G4" i="21418"/>
  <c r="F4" i="21418"/>
  <c r="E4" i="21418"/>
  <c r="D4" i="21418"/>
  <c r="A4" i="21418"/>
  <c r="BG63" i="21419"/>
  <c r="BF63" i="21419"/>
  <c r="BE63" i="21419"/>
  <c r="BD63" i="21419"/>
  <c r="BC63" i="21419"/>
  <c r="BB63" i="21419"/>
  <c r="BA63" i="21419"/>
  <c r="AZ63" i="21419"/>
  <c r="AY63" i="21419"/>
  <c r="AX63" i="21419"/>
  <c r="AW63" i="21419"/>
  <c r="AV63" i="21419"/>
  <c r="AU63" i="21419"/>
  <c r="AT63" i="21419"/>
  <c r="AS63" i="21419"/>
  <c r="AR63" i="21419"/>
  <c r="AP63" i="21419"/>
  <c r="AO63" i="21419"/>
  <c r="AN63" i="21419"/>
  <c r="AM63" i="21419"/>
  <c r="AL63" i="21419"/>
  <c r="AK63" i="21419"/>
  <c r="AJ63" i="21419"/>
  <c r="AI63" i="21419"/>
  <c r="AH63" i="21419"/>
  <c r="AG63" i="21419"/>
  <c r="AF63" i="21419"/>
  <c r="AE63" i="21419"/>
  <c r="AD63" i="21419"/>
  <c r="AC63" i="21419"/>
  <c r="AB63" i="21419"/>
  <c r="AA63" i="21419"/>
  <c r="Z63" i="21419"/>
  <c r="Y63" i="21419"/>
  <c r="X63" i="21419"/>
  <c r="W63" i="21419"/>
  <c r="V63" i="21419"/>
  <c r="U63" i="21419"/>
  <c r="T63" i="21419"/>
  <c r="R63" i="21419"/>
  <c r="Q63" i="21419"/>
  <c r="P63" i="21419"/>
  <c r="O63" i="21419"/>
  <c r="N63" i="21419"/>
  <c r="M63" i="21419"/>
  <c r="L63" i="21419"/>
  <c r="K63" i="21419"/>
  <c r="I63" i="21419"/>
  <c r="H63" i="21419"/>
  <c r="G63" i="21419"/>
  <c r="F63" i="21419"/>
  <c r="E63" i="21419"/>
  <c r="D63" i="21419"/>
  <c r="C63" i="21419"/>
  <c r="B63" i="21419"/>
  <c r="A63" i="21419"/>
  <c r="BG62" i="21419"/>
  <c r="BF62" i="21419"/>
  <c r="BE62" i="21419"/>
  <c r="BD62" i="21419"/>
  <c r="BC62" i="21419"/>
  <c r="BA62" i="21419"/>
  <c r="AZ62" i="21419"/>
  <c r="AY62" i="21419"/>
  <c r="AX62" i="21419"/>
  <c r="AW62" i="21419"/>
  <c r="AV62" i="21419"/>
  <c r="AU62" i="21419"/>
  <c r="AS62" i="21419"/>
  <c r="AR62" i="21419"/>
  <c r="AQ62" i="21419"/>
  <c r="AP62" i="21419"/>
  <c r="AO62" i="21419"/>
  <c r="AN62" i="21419"/>
  <c r="AM62" i="21419"/>
  <c r="AL62" i="21419"/>
  <c r="AK62" i="21419"/>
  <c r="AJ62" i="21419"/>
  <c r="AI62" i="21419"/>
  <c r="AH62" i="21419"/>
  <c r="AG62" i="21419"/>
  <c r="AF62" i="21419"/>
  <c r="AE62" i="21419"/>
  <c r="AD62" i="21419"/>
  <c r="AC62" i="21419"/>
  <c r="AB62" i="21419"/>
  <c r="AA62" i="21419"/>
  <c r="Z62" i="21419"/>
  <c r="Y62" i="21419"/>
  <c r="X62" i="21419"/>
  <c r="W62" i="21419"/>
  <c r="V62" i="21419"/>
  <c r="U62" i="21419"/>
  <c r="T62" i="21419"/>
  <c r="S62" i="21419"/>
  <c r="R62" i="21419"/>
  <c r="Q62" i="21419"/>
  <c r="P62" i="21419"/>
  <c r="O62" i="21419"/>
  <c r="N62" i="21419"/>
  <c r="M62" i="21419"/>
  <c r="L62" i="21419"/>
  <c r="K62" i="21419"/>
  <c r="J62" i="21419"/>
  <c r="I62" i="21419"/>
  <c r="H62" i="21419"/>
  <c r="G62" i="21419"/>
  <c r="F62" i="21419"/>
  <c r="E62" i="21419"/>
  <c r="D62" i="21419"/>
  <c r="B62" i="21419"/>
  <c r="A62" i="21419"/>
  <c r="BG61" i="21419"/>
  <c r="BF61" i="21419"/>
  <c r="BE61" i="21419"/>
  <c r="BD61" i="21419"/>
  <c r="BC61" i="21419"/>
  <c r="BB61" i="21419"/>
  <c r="BA61" i="21419"/>
  <c r="AZ61" i="21419"/>
  <c r="AY61" i="21419"/>
  <c r="AX61" i="21419"/>
  <c r="AW61" i="21419"/>
  <c r="AV61" i="21419"/>
  <c r="AU61" i="21419"/>
  <c r="AT61" i="21419"/>
  <c r="AS61" i="21419"/>
  <c r="AR61" i="21419"/>
  <c r="AP61" i="21419"/>
  <c r="AO61" i="21419"/>
  <c r="AN61" i="21419"/>
  <c r="AM61" i="21419"/>
  <c r="AL61" i="21419"/>
  <c r="AK61" i="21419"/>
  <c r="AJ61" i="21419"/>
  <c r="AI61" i="21419"/>
  <c r="AH61" i="21419"/>
  <c r="AG61" i="21419"/>
  <c r="AF61" i="21419"/>
  <c r="AE61" i="21419"/>
  <c r="AD61" i="21419"/>
  <c r="AC61" i="21419"/>
  <c r="AB61" i="21419"/>
  <c r="AA61" i="21419"/>
  <c r="Z61" i="21419"/>
  <c r="Y61" i="21419"/>
  <c r="X61" i="21419"/>
  <c r="W61" i="21419"/>
  <c r="V61" i="21419"/>
  <c r="U61" i="21419"/>
  <c r="T61" i="21419"/>
  <c r="R61" i="21419"/>
  <c r="Q61" i="21419"/>
  <c r="P61" i="21419"/>
  <c r="O61" i="21419"/>
  <c r="N61" i="21419"/>
  <c r="M61" i="21419"/>
  <c r="L61" i="21419"/>
  <c r="K61" i="21419"/>
  <c r="J61" i="21419"/>
  <c r="I61" i="21419"/>
  <c r="H61" i="21419"/>
  <c r="G61" i="21419"/>
  <c r="F61" i="21419"/>
  <c r="E61" i="21419"/>
  <c r="D61" i="21419"/>
  <c r="C61" i="21419"/>
  <c r="B61" i="21419"/>
  <c r="A61" i="21419"/>
  <c r="BG60" i="21419"/>
  <c r="BF60" i="21419"/>
  <c r="BE60" i="21419"/>
  <c r="BD60" i="21419"/>
  <c r="BC60" i="21419"/>
  <c r="BA60" i="21419"/>
  <c r="AZ60" i="21419"/>
  <c r="AY60" i="21419"/>
  <c r="AX60" i="21419"/>
  <c r="AW60" i="21419"/>
  <c r="AV60" i="21419"/>
  <c r="AU60" i="21419"/>
  <c r="AS60" i="21419"/>
  <c r="AR60" i="21419"/>
  <c r="AQ60" i="21419"/>
  <c r="AP60" i="21419"/>
  <c r="AO60" i="21419"/>
  <c r="AN60" i="21419"/>
  <c r="AM60" i="21419"/>
  <c r="AL60" i="21419"/>
  <c r="AK60" i="21419"/>
  <c r="AJ60" i="21419"/>
  <c r="AI60" i="21419"/>
  <c r="AH60" i="21419"/>
  <c r="AG60" i="21419"/>
  <c r="AF60" i="21419"/>
  <c r="AE60" i="21419"/>
  <c r="AD60" i="21419"/>
  <c r="AB60" i="21419"/>
  <c r="AA60" i="21419"/>
  <c r="Z60" i="21419"/>
  <c r="Y60" i="21419"/>
  <c r="X60" i="21419"/>
  <c r="W60" i="21419"/>
  <c r="V60" i="21419"/>
  <c r="U60" i="21419"/>
  <c r="T60" i="21419"/>
  <c r="S60" i="21419"/>
  <c r="R60" i="21419"/>
  <c r="Q60" i="21419"/>
  <c r="P60" i="21419"/>
  <c r="O60" i="21419"/>
  <c r="N60" i="21419"/>
  <c r="M60" i="21419"/>
  <c r="L60" i="21419"/>
  <c r="K60" i="21419"/>
  <c r="J60" i="21419"/>
  <c r="I60" i="21419"/>
  <c r="H60" i="21419"/>
  <c r="G60" i="21419"/>
  <c r="F60" i="21419"/>
  <c r="E60" i="21419"/>
  <c r="D60" i="21419"/>
  <c r="B60" i="21419"/>
  <c r="A60" i="21419"/>
  <c r="BG59" i="21419"/>
  <c r="BF59" i="21419"/>
  <c r="BE59" i="21419"/>
  <c r="BD59" i="21419"/>
  <c r="BC59" i="21419"/>
  <c r="BB59" i="21419"/>
  <c r="BA59" i="21419"/>
  <c r="AZ59" i="21419"/>
  <c r="AY59" i="21419"/>
  <c r="AX59" i="21419"/>
  <c r="AW59" i="21419"/>
  <c r="AV59" i="21419"/>
  <c r="AU59" i="21419"/>
  <c r="AT59" i="21419"/>
  <c r="AS59" i="21419"/>
  <c r="AR59" i="21419"/>
  <c r="AP59" i="21419"/>
  <c r="AO59" i="21419"/>
  <c r="AN59" i="21419"/>
  <c r="AM59" i="21419"/>
  <c r="AL59" i="21419"/>
  <c r="AK59" i="21419"/>
  <c r="AJ59" i="21419"/>
  <c r="AI59" i="21419"/>
  <c r="AH59" i="21419"/>
  <c r="AG59" i="21419"/>
  <c r="AF59" i="21419"/>
  <c r="AE59" i="21419"/>
  <c r="AD59" i="21419"/>
  <c r="AC59" i="21419"/>
  <c r="AB59" i="21419"/>
  <c r="AA59" i="21419"/>
  <c r="Z59" i="21419"/>
  <c r="Y59" i="21419"/>
  <c r="X59" i="21419"/>
  <c r="W59" i="21419"/>
  <c r="V59" i="21419"/>
  <c r="U59" i="21419"/>
  <c r="T59" i="21419"/>
  <c r="R59" i="21419"/>
  <c r="Q59" i="21419"/>
  <c r="P59" i="21419"/>
  <c r="O59" i="21419"/>
  <c r="N59" i="21419"/>
  <c r="M59" i="21419"/>
  <c r="L59" i="21419"/>
  <c r="K59" i="21419"/>
  <c r="I59" i="21419"/>
  <c r="H59" i="21419"/>
  <c r="G59" i="21419"/>
  <c r="F59" i="21419"/>
  <c r="E59" i="21419"/>
  <c r="D59" i="21419"/>
  <c r="C59" i="21419"/>
  <c r="B59" i="21419"/>
  <c r="A59" i="21419"/>
  <c r="BG58" i="21419"/>
  <c r="BF58" i="21419"/>
  <c r="BE58" i="21419"/>
  <c r="BD58" i="21419"/>
  <c r="BC58" i="21419"/>
  <c r="BA58" i="21419"/>
  <c r="AZ58" i="21419"/>
  <c r="AY58" i="21419"/>
  <c r="AX58" i="21419"/>
  <c r="AW58" i="21419"/>
  <c r="AV58" i="21419"/>
  <c r="AU58" i="21419"/>
  <c r="AS58" i="21419"/>
  <c r="AR58" i="21419"/>
  <c r="AQ58" i="21419"/>
  <c r="AP58" i="21419"/>
  <c r="AO58" i="21419"/>
  <c r="AN58" i="21419"/>
  <c r="AM58" i="21419"/>
  <c r="AL58" i="21419"/>
  <c r="AK58" i="21419"/>
  <c r="AJ58" i="21419"/>
  <c r="AI58" i="21419"/>
  <c r="AH58" i="21419"/>
  <c r="AG58" i="21419"/>
  <c r="AF58" i="21419"/>
  <c r="AE58" i="21419"/>
  <c r="AD58" i="21419"/>
  <c r="AB58" i="21419"/>
  <c r="AA58" i="21419"/>
  <c r="Z58" i="21419"/>
  <c r="Y58" i="21419"/>
  <c r="X58" i="21419"/>
  <c r="W58" i="21419"/>
  <c r="V58" i="21419"/>
  <c r="U58" i="21419"/>
  <c r="T58" i="21419"/>
  <c r="S58" i="21419"/>
  <c r="R58" i="21419"/>
  <c r="Q58" i="21419"/>
  <c r="P58" i="21419"/>
  <c r="O58" i="21419"/>
  <c r="N58" i="21419"/>
  <c r="M58" i="21419"/>
  <c r="L58" i="21419"/>
  <c r="K58" i="21419"/>
  <c r="I58" i="21419"/>
  <c r="H58" i="21419"/>
  <c r="G58" i="21419"/>
  <c r="F58" i="21419"/>
  <c r="E58" i="21419"/>
  <c r="D58" i="21419"/>
  <c r="B58" i="21419"/>
  <c r="A58" i="21419"/>
  <c r="BG57" i="21419"/>
  <c r="BF57" i="21419"/>
  <c r="BE57" i="21419"/>
  <c r="BD57" i="21419"/>
  <c r="BC57" i="21419"/>
  <c r="BB57" i="21419"/>
  <c r="BA57" i="21419"/>
  <c r="AZ57" i="21419"/>
  <c r="AY57" i="21419"/>
  <c r="AX57" i="21419"/>
  <c r="AW57" i="21419"/>
  <c r="AV57" i="21419"/>
  <c r="AU57" i="21419"/>
  <c r="AT57" i="21419"/>
  <c r="AS57" i="21419"/>
  <c r="AR57" i="21419"/>
  <c r="AP57" i="21419"/>
  <c r="AO57" i="21419"/>
  <c r="AN57" i="21419"/>
  <c r="AM57" i="21419"/>
  <c r="AL57" i="21419"/>
  <c r="AK57" i="21419"/>
  <c r="AJ57" i="21419"/>
  <c r="AI57" i="21419"/>
  <c r="AH57" i="21419"/>
  <c r="AG57" i="21419"/>
  <c r="AF57" i="21419"/>
  <c r="AE57" i="21419"/>
  <c r="AD57" i="21419"/>
  <c r="AC57" i="21419"/>
  <c r="AB57" i="21419"/>
  <c r="AA57" i="21419"/>
  <c r="Z57" i="21419"/>
  <c r="Y57" i="21419"/>
  <c r="X57" i="21419"/>
  <c r="W57" i="21419"/>
  <c r="V57" i="21419"/>
  <c r="U57" i="21419"/>
  <c r="T57" i="21419"/>
  <c r="R57" i="21419"/>
  <c r="Q57" i="21419"/>
  <c r="P57" i="21419"/>
  <c r="O57" i="21419"/>
  <c r="N57" i="21419"/>
  <c r="M57" i="21419"/>
  <c r="L57" i="21419"/>
  <c r="K57" i="21419"/>
  <c r="J57" i="21419"/>
  <c r="I57" i="21419"/>
  <c r="H57" i="21419"/>
  <c r="G57" i="21419"/>
  <c r="F57" i="21419"/>
  <c r="E57" i="21419"/>
  <c r="D57" i="21419"/>
  <c r="C57" i="21419"/>
  <c r="B57" i="21419"/>
  <c r="A57" i="21419"/>
  <c r="BG56" i="21419"/>
  <c r="BF56" i="21419"/>
  <c r="BE56" i="21419"/>
  <c r="BD56" i="21419"/>
  <c r="BC56" i="21419"/>
  <c r="BB56" i="21419"/>
  <c r="BA56" i="21419"/>
  <c r="AZ56" i="21419"/>
  <c r="AY56" i="21419"/>
  <c r="AX56" i="21419"/>
  <c r="AW56" i="21419"/>
  <c r="AV56" i="21419"/>
  <c r="AU56" i="21419"/>
  <c r="AS56" i="21419"/>
  <c r="AR56" i="21419"/>
  <c r="AQ56" i="21419"/>
  <c r="AP56" i="21419"/>
  <c r="AO56" i="21419"/>
  <c r="AN56" i="21419"/>
  <c r="AM56" i="21419"/>
  <c r="AL56" i="21419"/>
  <c r="AK56" i="21419"/>
  <c r="AJ56" i="21419"/>
  <c r="AI56" i="21419"/>
  <c r="AH56" i="21419"/>
  <c r="AG56" i="21419"/>
  <c r="AF56" i="21419"/>
  <c r="AE56" i="21419"/>
  <c r="AD56" i="21419"/>
  <c r="AB56" i="21419"/>
  <c r="AA56" i="21419"/>
  <c r="Z56" i="21419"/>
  <c r="Y56" i="21419"/>
  <c r="X56" i="21419"/>
  <c r="W56" i="21419"/>
  <c r="V56" i="21419"/>
  <c r="U56" i="21419"/>
  <c r="T56" i="21419"/>
  <c r="S56" i="21419"/>
  <c r="R56" i="21419"/>
  <c r="Q56" i="21419"/>
  <c r="P56" i="21419"/>
  <c r="O56" i="21419"/>
  <c r="N56" i="21419"/>
  <c r="M56" i="21419"/>
  <c r="L56" i="21419"/>
  <c r="K56" i="21419"/>
  <c r="J56" i="21419"/>
  <c r="I56" i="21419"/>
  <c r="H56" i="21419"/>
  <c r="G56" i="21419"/>
  <c r="F56" i="21419"/>
  <c r="E56" i="21419"/>
  <c r="D56" i="21419"/>
  <c r="B56" i="21419"/>
  <c r="A56" i="21419"/>
  <c r="BG55" i="21419"/>
  <c r="BF55" i="21419"/>
  <c r="BE55" i="21419"/>
  <c r="BD55" i="21419"/>
  <c r="BC55" i="21419"/>
  <c r="BB55" i="21419"/>
  <c r="BA55" i="21419"/>
  <c r="AZ55" i="21419"/>
  <c r="AY55" i="21419"/>
  <c r="AX55" i="21419"/>
  <c r="AW55" i="21419"/>
  <c r="AV55" i="21419"/>
  <c r="AU55" i="21419"/>
  <c r="AT55" i="21419"/>
  <c r="AS55" i="21419"/>
  <c r="AR55" i="21419"/>
  <c r="AP55" i="21419"/>
  <c r="AO55" i="21419"/>
  <c r="AN55" i="21419"/>
  <c r="AM55" i="21419"/>
  <c r="AL55" i="21419"/>
  <c r="AK55" i="21419"/>
  <c r="AJ55" i="21419"/>
  <c r="AI55" i="21419"/>
  <c r="AH55" i="21419"/>
  <c r="AG55" i="21419"/>
  <c r="AF55" i="21419"/>
  <c r="AE55" i="21419"/>
  <c r="AD55" i="21419"/>
  <c r="AC55" i="21419"/>
  <c r="AB55" i="21419"/>
  <c r="AA55" i="21419"/>
  <c r="Z55" i="21419"/>
  <c r="Y55" i="21419"/>
  <c r="X55" i="21419"/>
  <c r="W55" i="21419"/>
  <c r="V55" i="21419"/>
  <c r="U55" i="21419"/>
  <c r="T55" i="21419"/>
  <c r="R55" i="21419"/>
  <c r="Q55" i="21419"/>
  <c r="P55" i="21419"/>
  <c r="O55" i="21419"/>
  <c r="N55" i="21419"/>
  <c r="M55" i="21419"/>
  <c r="L55" i="21419"/>
  <c r="K55" i="21419"/>
  <c r="J55" i="21419"/>
  <c r="I55" i="21419"/>
  <c r="H55" i="21419"/>
  <c r="G55" i="21419"/>
  <c r="F55" i="21419"/>
  <c r="E55" i="21419"/>
  <c r="D55" i="21419"/>
  <c r="C55" i="21419"/>
  <c r="B55" i="21419"/>
  <c r="A55" i="21419"/>
  <c r="BG54" i="21419"/>
  <c r="BF54" i="21419"/>
  <c r="BE54" i="21419"/>
  <c r="BD54" i="21419"/>
  <c r="BC54" i="21419"/>
  <c r="BB54" i="21419"/>
  <c r="BA54" i="21419"/>
  <c r="AZ54" i="21419"/>
  <c r="AY54" i="21419"/>
  <c r="AX54" i="21419"/>
  <c r="AW54" i="21419"/>
  <c r="AV54" i="21419"/>
  <c r="AU54" i="21419"/>
  <c r="AS54" i="21419"/>
  <c r="AR54" i="21419"/>
  <c r="AQ54" i="21419"/>
  <c r="AP54" i="21419"/>
  <c r="AO54" i="21419"/>
  <c r="AN54" i="21419"/>
  <c r="AM54" i="21419"/>
  <c r="AL54" i="21419"/>
  <c r="AK54" i="21419"/>
  <c r="AJ54" i="21419"/>
  <c r="AI54" i="21419"/>
  <c r="AH54" i="21419"/>
  <c r="AG54" i="21419"/>
  <c r="AF54" i="21419"/>
  <c r="AE54" i="21419"/>
  <c r="AD54" i="21419"/>
  <c r="AC54" i="21419"/>
  <c r="AB54" i="21419"/>
  <c r="AA54" i="21419"/>
  <c r="Z54" i="21419"/>
  <c r="Y54" i="21419"/>
  <c r="X54" i="21419"/>
  <c r="W54" i="21419"/>
  <c r="V54" i="21419"/>
  <c r="U54" i="21419"/>
  <c r="T54" i="21419"/>
  <c r="S54" i="21419"/>
  <c r="R54" i="21419"/>
  <c r="Q54" i="21419"/>
  <c r="P54" i="21419"/>
  <c r="O54" i="21419"/>
  <c r="N54" i="21419"/>
  <c r="M54" i="21419"/>
  <c r="L54" i="21419"/>
  <c r="K54" i="21419"/>
  <c r="J54" i="21419"/>
  <c r="I54" i="21419"/>
  <c r="H54" i="21419"/>
  <c r="G54" i="21419"/>
  <c r="F54" i="21419"/>
  <c r="E54" i="21419"/>
  <c r="D54" i="21419"/>
  <c r="B54" i="21419"/>
  <c r="A54" i="21419"/>
  <c r="BG53" i="21419"/>
  <c r="BF53" i="21419"/>
  <c r="BE53" i="21419"/>
  <c r="BD53" i="21419"/>
  <c r="BC53" i="21419"/>
  <c r="BB53" i="21419"/>
  <c r="BA53" i="21419"/>
  <c r="AZ53" i="21419"/>
  <c r="AY53" i="21419"/>
  <c r="AX53" i="21419"/>
  <c r="AW53" i="21419"/>
  <c r="AV53" i="21419"/>
  <c r="AU53" i="21419"/>
  <c r="AT53" i="21419"/>
  <c r="AS53" i="21419"/>
  <c r="AR53" i="21419"/>
  <c r="AP53" i="21419"/>
  <c r="AO53" i="21419"/>
  <c r="AN53" i="21419"/>
  <c r="AM53" i="21419"/>
  <c r="AL53" i="21419"/>
  <c r="AK53" i="21419"/>
  <c r="AJ53" i="21419"/>
  <c r="AI53" i="21419"/>
  <c r="AH53" i="21419"/>
  <c r="AG53" i="21419"/>
  <c r="AF53" i="21419"/>
  <c r="AE53" i="21419"/>
  <c r="AD53" i="21419"/>
  <c r="AC53" i="21419"/>
  <c r="AB53" i="21419"/>
  <c r="AA53" i="21419"/>
  <c r="Z53" i="21419"/>
  <c r="Y53" i="21419"/>
  <c r="X53" i="21419"/>
  <c r="W53" i="21419"/>
  <c r="V53" i="21419"/>
  <c r="U53" i="21419"/>
  <c r="T53" i="21419"/>
  <c r="R53" i="21419"/>
  <c r="Q53" i="21419"/>
  <c r="P53" i="21419"/>
  <c r="O53" i="21419"/>
  <c r="N53" i="21419"/>
  <c r="M53" i="21419"/>
  <c r="L53" i="21419"/>
  <c r="K53" i="21419"/>
  <c r="J53" i="21419"/>
  <c r="I53" i="21419"/>
  <c r="H53" i="21419"/>
  <c r="G53" i="21419"/>
  <c r="F53" i="21419"/>
  <c r="E53" i="21419"/>
  <c r="D53" i="21419"/>
  <c r="C53" i="21419"/>
  <c r="B53" i="21419"/>
  <c r="A53" i="21419"/>
  <c r="BG52" i="21419"/>
  <c r="BF52" i="21419"/>
  <c r="BE52" i="21419"/>
  <c r="BD52" i="21419"/>
  <c r="BC52" i="21419"/>
  <c r="BB52" i="21419"/>
  <c r="BA52" i="21419"/>
  <c r="AZ52" i="21419"/>
  <c r="AY52" i="21419"/>
  <c r="AX52" i="21419"/>
  <c r="AW52" i="21419"/>
  <c r="AV52" i="21419"/>
  <c r="AU52" i="21419"/>
  <c r="AS52" i="21419"/>
  <c r="AR52" i="21419"/>
  <c r="AQ52" i="21419"/>
  <c r="AP52" i="21419"/>
  <c r="AO52" i="21419"/>
  <c r="AN52" i="21419"/>
  <c r="AM52" i="21419"/>
  <c r="AL52" i="21419"/>
  <c r="AK52" i="21419"/>
  <c r="AJ52" i="21419"/>
  <c r="AI52" i="21419"/>
  <c r="AH52" i="21419"/>
  <c r="AG52" i="21419"/>
  <c r="AF52" i="21419"/>
  <c r="AE52" i="21419"/>
  <c r="AD52" i="21419"/>
  <c r="AB52" i="21419"/>
  <c r="AA52" i="21419"/>
  <c r="Z52" i="21419"/>
  <c r="Y52" i="21419"/>
  <c r="X52" i="21419"/>
  <c r="W52" i="21419"/>
  <c r="V52" i="21419"/>
  <c r="U52" i="21419"/>
  <c r="T52" i="21419"/>
  <c r="S52" i="21419"/>
  <c r="R52" i="21419"/>
  <c r="Q52" i="21419"/>
  <c r="P52" i="21419"/>
  <c r="O52" i="21419"/>
  <c r="N52" i="21419"/>
  <c r="M52" i="21419"/>
  <c r="L52" i="21419"/>
  <c r="K52" i="21419"/>
  <c r="J52" i="21419"/>
  <c r="I52" i="21419"/>
  <c r="H52" i="21419"/>
  <c r="G52" i="21419"/>
  <c r="F52" i="21419"/>
  <c r="E52" i="21419"/>
  <c r="D52" i="21419"/>
  <c r="B52" i="21419"/>
  <c r="A52" i="21419"/>
  <c r="BG51" i="21419"/>
  <c r="BF51" i="21419"/>
  <c r="BE51" i="21419"/>
  <c r="BD51" i="21419"/>
  <c r="BC51" i="21419"/>
  <c r="BB51" i="21419"/>
  <c r="BA51" i="21419"/>
  <c r="AZ51" i="21419"/>
  <c r="AY51" i="21419"/>
  <c r="AX51" i="21419"/>
  <c r="AW51" i="21419"/>
  <c r="AV51" i="21419"/>
  <c r="AU51" i="21419"/>
  <c r="AT51" i="21419"/>
  <c r="AS51" i="21419"/>
  <c r="AR51" i="21419"/>
  <c r="AP51" i="21419"/>
  <c r="AO51" i="21419"/>
  <c r="AN51" i="21419"/>
  <c r="AM51" i="21419"/>
  <c r="AL51" i="21419"/>
  <c r="AK51" i="21419"/>
  <c r="AJ51" i="21419"/>
  <c r="AI51" i="21419"/>
  <c r="AH51" i="21419"/>
  <c r="AG51" i="21419"/>
  <c r="AF51" i="21419"/>
  <c r="AE51" i="21419"/>
  <c r="AD51" i="21419"/>
  <c r="AC51" i="21419"/>
  <c r="AB51" i="21419"/>
  <c r="AA51" i="21419"/>
  <c r="Z51" i="21419"/>
  <c r="Y51" i="21419"/>
  <c r="X51" i="21419"/>
  <c r="W51" i="21419"/>
  <c r="V51" i="21419"/>
  <c r="U51" i="21419"/>
  <c r="T51" i="21419"/>
  <c r="R51" i="21419"/>
  <c r="Q51" i="21419"/>
  <c r="P51" i="21419"/>
  <c r="O51" i="21419"/>
  <c r="N51" i="21419"/>
  <c r="M51" i="21419"/>
  <c r="L51" i="21419"/>
  <c r="K51" i="21419"/>
  <c r="J51" i="21419"/>
  <c r="I51" i="21419"/>
  <c r="H51" i="21419"/>
  <c r="G51" i="21419"/>
  <c r="F51" i="21419"/>
  <c r="E51" i="21419"/>
  <c r="D51" i="21419"/>
  <c r="C51" i="21419"/>
  <c r="B51" i="21419"/>
  <c r="A51" i="21419"/>
  <c r="BG50" i="21419"/>
  <c r="BF50" i="21419"/>
  <c r="BE50" i="21419"/>
  <c r="BD50" i="21419"/>
  <c r="BC50" i="21419"/>
  <c r="BB50" i="21419"/>
  <c r="BA50" i="21419"/>
  <c r="AZ50" i="21419"/>
  <c r="AY50" i="21419"/>
  <c r="AX50" i="21419"/>
  <c r="AW50" i="21419"/>
  <c r="AV50" i="21419"/>
  <c r="AU50" i="21419"/>
  <c r="AS50" i="21419"/>
  <c r="AR50" i="21419"/>
  <c r="AQ50" i="21419"/>
  <c r="AP50" i="21419"/>
  <c r="AO50" i="21419"/>
  <c r="AN50" i="21419"/>
  <c r="AM50" i="21419"/>
  <c r="AL50" i="21419"/>
  <c r="AK50" i="21419"/>
  <c r="AJ50" i="21419"/>
  <c r="AI50" i="21419"/>
  <c r="AH50" i="21419"/>
  <c r="AG50" i="21419"/>
  <c r="AF50" i="21419"/>
  <c r="AE50" i="21419"/>
  <c r="AD50" i="21419"/>
  <c r="AB50" i="21419"/>
  <c r="AA50" i="21419"/>
  <c r="Z50" i="21419"/>
  <c r="Y50" i="21419"/>
  <c r="X50" i="21419"/>
  <c r="W50" i="21419"/>
  <c r="V50" i="21419"/>
  <c r="U50" i="21419"/>
  <c r="T50" i="21419"/>
  <c r="S50" i="21419"/>
  <c r="R50" i="21419"/>
  <c r="Q50" i="21419"/>
  <c r="P50" i="21419"/>
  <c r="O50" i="21419"/>
  <c r="N50" i="21419"/>
  <c r="M50" i="21419"/>
  <c r="L50" i="21419"/>
  <c r="K50" i="21419"/>
  <c r="J50" i="21419"/>
  <c r="I50" i="21419"/>
  <c r="H50" i="21419"/>
  <c r="G50" i="21419"/>
  <c r="F50" i="21419"/>
  <c r="E50" i="21419"/>
  <c r="D50" i="21419"/>
  <c r="B50" i="21419"/>
  <c r="A50" i="21419"/>
  <c r="BG49" i="21419"/>
  <c r="BF49" i="21419"/>
  <c r="BE49" i="21419"/>
  <c r="BD49" i="21419"/>
  <c r="BC49" i="21419"/>
  <c r="BB49" i="21419"/>
  <c r="BA49" i="21419"/>
  <c r="AZ49" i="21419"/>
  <c r="AY49" i="21419"/>
  <c r="AX49" i="21419"/>
  <c r="AW49" i="21419"/>
  <c r="AV49" i="21419"/>
  <c r="AU49" i="21419"/>
  <c r="AT49" i="21419"/>
  <c r="AS49" i="21419"/>
  <c r="AR49" i="21419"/>
  <c r="AP49" i="21419"/>
  <c r="AO49" i="21419"/>
  <c r="AN49" i="21419"/>
  <c r="AM49" i="21419"/>
  <c r="AL49" i="21419"/>
  <c r="AK49" i="21419"/>
  <c r="AJ49" i="21419"/>
  <c r="AI49" i="21419"/>
  <c r="AH49" i="21419"/>
  <c r="AG49" i="21419"/>
  <c r="AF49" i="21419"/>
  <c r="AE49" i="21419"/>
  <c r="AD49" i="21419"/>
  <c r="AC49" i="21419"/>
  <c r="AB49" i="21419"/>
  <c r="AA49" i="21419"/>
  <c r="Z49" i="21419"/>
  <c r="Y49" i="21419"/>
  <c r="X49" i="21419"/>
  <c r="W49" i="21419"/>
  <c r="V49" i="21419"/>
  <c r="U49" i="21419"/>
  <c r="T49" i="21419"/>
  <c r="R49" i="21419"/>
  <c r="Q49" i="21419"/>
  <c r="P49" i="21419"/>
  <c r="O49" i="21419"/>
  <c r="N49" i="21419"/>
  <c r="M49" i="21419"/>
  <c r="L49" i="21419"/>
  <c r="K49" i="21419"/>
  <c r="J49" i="21419"/>
  <c r="I49" i="21419"/>
  <c r="H49" i="21419"/>
  <c r="G49" i="21419"/>
  <c r="F49" i="21419"/>
  <c r="E49" i="21419"/>
  <c r="D49" i="21419"/>
  <c r="C49" i="21419"/>
  <c r="B49" i="21419"/>
  <c r="A49" i="21419"/>
  <c r="BG48" i="21419"/>
  <c r="BG43" i="21420" s="1"/>
  <c r="BF48" i="21419"/>
  <c r="BE48" i="21419"/>
  <c r="BD48" i="21419"/>
  <c r="BC48" i="21419"/>
  <c r="BB48" i="21419"/>
  <c r="BA48" i="21419"/>
  <c r="AZ48" i="21419"/>
  <c r="AY48" i="21419"/>
  <c r="AX48" i="21419"/>
  <c r="AW48" i="21419"/>
  <c r="AV48" i="21419"/>
  <c r="AU48" i="21419"/>
  <c r="AS48" i="21419"/>
  <c r="AR48" i="21419"/>
  <c r="AQ48" i="21419"/>
  <c r="AP48" i="21419"/>
  <c r="AO48" i="21419"/>
  <c r="AN48" i="21419"/>
  <c r="AM48" i="21419"/>
  <c r="AL48" i="21419"/>
  <c r="AK48" i="21419"/>
  <c r="AJ48" i="21419"/>
  <c r="AI48" i="21419"/>
  <c r="AH48" i="21419"/>
  <c r="AG48" i="21419"/>
  <c r="S47" i="21419" s="1"/>
  <c r="AF48" i="21419"/>
  <c r="AE48" i="21419"/>
  <c r="AD48" i="21419"/>
  <c r="AB48" i="21419"/>
  <c r="AA48" i="21419"/>
  <c r="Z48" i="21419"/>
  <c r="Y48" i="21419"/>
  <c r="X48" i="21419"/>
  <c r="W48" i="21419"/>
  <c r="V48" i="21419"/>
  <c r="U48" i="21419"/>
  <c r="T48" i="21419"/>
  <c r="S48" i="21419"/>
  <c r="R48" i="21419"/>
  <c r="Q48" i="21419"/>
  <c r="P48" i="21419"/>
  <c r="O48" i="21419"/>
  <c r="N48" i="21419"/>
  <c r="M48" i="21419"/>
  <c r="L48" i="21419"/>
  <c r="K48" i="21419"/>
  <c r="J48" i="21419"/>
  <c r="I48" i="21419"/>
  <c r="H48" i="21419"/>
  <c r="G48" i="21419"/>
  <c r="F48" i="21419"/>
  <c r="E48" i="21419"/>
  <c r="D48" i="21419"/>
  <c r="B48" i="21419"/>
  <c r="BE4" i="21419"/>
  <c r="BF4" i="21419"/>
  <c r="BD4" i="21419"/>
  <c r="BC4" i="21419"/>
  <c r="BB4" i="21419"/>
  <c r="BA4" i="21419"/>
  <c r="AZ4" i="21419"/>
  <c r="AY4" i="21419"/>
  <c r="AX4" i="21419"/>
  <c r="AW4" i="21419"/>
  <c r="AV4" i="21419"/>
  <c r="AU4" i="21419"/>
  <c r="AS4" i="21419"/>
  <c r="AR4" i="21419"/>
  <c r="AQ4" i="21419"/>
  <c r="AP4" i="21419"/>
  <c r="AO4" i="21419"/>
  <c r="AN4" i="21419"/>
  <c r="AM4" i="21419"/>
  <c r="AL4" i="21419"/>
  <c r="AK4" i="21419"/>
  <c r="AJ4" i="21419"/>
  <c r="AI4" i="21419"/>
  <c r="AH4" i="21419"/>
  <c r="AG4" i="21419"/>
  <c r="S5" i="21419" s="1"/>
  <c r="AF4" i="21419"/>
  <c r="AE4" i="21419"/>
  <c r="AD4" i="21419"/>
  <c r="AB4" i="21419"/>
  <c r="AA4" i="21419"/>
  <c r="Z4" i="21419"/>
  <c r="Y4" i="21419"/>
  <c r="X4" i="21419"/>
  <c r="W4" i="21419"/>
  <c r="V4" i="21419"/>
  <c r="U4" i="21419"/>
  <c r="T4" i="21419"/>
  <c r="S4" i="21419"/>
  <c r="R4" i="21419"/>
  <c r="Q4" i="21419"/>
  <c r="P4" i="21419"/>
  <c r="O4" i="21419"/>
  <c r="N4" i="21419"/>
  <c r="M4" i="21419"/>
  <c r="L4" i="21419"/>
  <c r="K4" i="21419"/>
  <c r="J4" i="21419"/>
  <c r="I4" i="21419"/>
  <c r="H4" i="21419"/>
  <c r="G4" i="21419"/>
  <c r="F4" i="21419"/>
  <c r="E4" i="21419"/>
  <c r="D4" i="21419"/>
  <c r="A4" i="21419"/>
  <c r="BF42" i="21420"/>
  <c r="BE42" i="21420"/>
  <c r="BD42" i="21420"/>
  <c r="BC42" i="21420"/>
  <c r="BB42" i="21420"/>
  <c r="BA42" i="21420"/>
  <c r="AX42" i="21420"/>
  <c r="AW42" i="21420"/>
  <c r="AV42" i="21420"/>
  <c r="AU42" i="21420"/>
  <c r="AT42" i="21420"/>
  <c r="AS42" i="21420"/>
  <c r="AR42" i="21420"/>
  <c r="AP42" i="21420"/>
  <c r="AO42" i="21420"/>
  <c r="AN42" i="21420"/>
  <c r="AM42" i="21420"/>
  <c r="AL42" i="21420"/>
  <c r="AK42" i="21420"/>
  <c r="AJ42" i="21420"/>
  <c r="AI42" i="21420"/>
  <c r="AH42" i="21420"/>
  <c r="AG42" i="21420"/>
  <c r="AF42" i="21420"/>
  <c r="AE42" i="21420"/>
  <c r="AD42" i="21420"/>
  <c r="AC42" i="21420"/>
  <c r="AB42" i="21420"/>
  <c r="AA42" i="21420"/>
  <c r="Z42" i="21420"/>
  <c r="Y42" i="21420"/>
  <c r="X42" i="21420"/>
  <c r="W42" i="21420"/>
  <c r="V42" i="21420"/>
  <c r="U42" i="21420"/>
  <c r="T42" i="21420"/>
  <c r="S42" i="21420"/>
  <c r="R42" i="21420"/>
  <c r="Q42" i="21420"/>
  <c r="P42" i="21420"/>
  <c r="O42" i="21420"/>
  <c r="N42" i="21420"/>
  <c r="M42" i="21420"/>
  <c r="L42" i="21420"/>
  <c r="K42" i="21420"/>
  <c r="I42" i="21420"/>
  <c r="H42" i="21420"/>
  <c r="G42" i="21420"/>
  <c r="F42" i="21420"/>
  <c r="E42" i="21420"/>
  <c r="D42" i="21420"/>
  <c r="C42" i="21420"/>
  <c r="B42" i="21420"/>
  <c r="A42" i="21420"/>
  <c r="BF41" i="21420"/>
  <c r="BE41" i="21420"/>
  <c r="BD41" i="21420"/>
  <c r="BC41" i="21420"/>
  <c r="BA41" i="21420"/>
  <c r="AX41" i="21420"/>
  <c r="AW41" i="21420"/>
  <c r="AV41" i="21420"/>
  <c r="AU41" i="21420"/>
  <c r="AS41" i="21420"/>
  <c r="AR41" i="21420"/>
  <c r="AQ41" i="21420"/>
  <c r="AP41" i="21420"/>
  <c r="AO41" i="21420"/>
  <c r="AN41" i="21420"/>
  <c r="AM41" i="21420"/>
  <c r="AL41" i="21420"/>
  <c r="AK41" i="21420"/>
  <c r="AJ41" i="21420"/>
  <c r="AI41" i="21420"/>
  <c r="AH41" i="21420"/>
  <c r="AG41" i="21420"/>
  <c r="AF41" i="21420"/>
  <c r="AE41" i="21420"/>
  <c r="AD41" i="21420"/>
  <c r="AB41" i="21420"/>
  <c r="AA41" i="21420"/>
  <c r="Z41" i="21420"/>
  <c r="Y41" i="21420"/>
  <c r="X41" i="21420"/>
  <c r="W41" i="21420"/>
  <c r="V41" i="21420"/>
  <c r="U41" i="21420"/>
  <c r="T41" i="21420"/>
  <c r="S41" i="21420"/>
  <c r="R41" i="21420"/>
  <c r="Q41" i="21420"/>
  <c r="P41" i="21420"/>
  <c r="O41" i="21420"/>
  <c r="N41" i="21420"/>
  <c r="M41" i="21420"/>
  <c r="L41" i="21420"/>
  <c r="K41" i="21420"/>
  <c r="J41" i="21420"/>
  <c r="I41" i="21420"/>
  <c r="H41" i="21420"/>
  <c r="G41" i="21420"/>
  <c r="F41" i="21420"/>
  <c r="E41" i="21420"/>
  <c r="D41" i="21420"/>
  <c r="C41" i="21420"/>
  <c r="B41" i="21420"/>
  <c r="A41" i="21420"/>
  <c r="BG42" i="21420"/>
  <c r="BG41" i="21420"/>
  <c r="BG40" i="21420"/>
  <c r="BF40" i="21420"/>
  <c r="BE40" i="21420"/>
  <c r="BD40" i="21420"/>
  <c r="BC40" i="21420"/>
  <c r="BB40" i="21420"/>
  <c r="BA40" i="21420"/>
  <c r="AY40" i="21420"/>
  <c r="AX40" i="21420"/>
  <c r="AW40" i="21420"/>
  <c r="AV40" i="21420"/>
  <c r="AU40" i="21420"/>
  <c r="AT40" i="21420"/>
  <c r="AS40" i="21420"/>
  <c r="AR40" i="21420"/>
  <c r="AP40" i="21420"/>
  <c r="AO40" i="21420"/>
  <c r="AN40" i="21420"/>
  <c r="AM40" i="21420"/>
  <c r="AL40" i="21420"/>
  <c r="AK40" i="21420"/>
  <c r="AJ40" i="21420"/>
  <c r="AI40" i="21420"/>
  <c r="AH40" i="21420"/>
  <c r="AG40" i="21420"/>
  <c r="AF40" i="21420"/>
  <c r="AE40" i="21420"/>
  <c r="AD40" i="21420"/>
  <c r="AC40" i="21420"/>
  <c r="AB40" i="21420"/>
  <c r="AA40" i="21420"/>
  <c r="Z40" i="21420"/>
  <c r="Y40" i="21420"/>
  <c r="X40" i="21420"/>
  <c r="W40" i="21420"/>
  <c r="V40" i="21420"/>
  <c r="U40" i="21420"/>
  <c r="T40" i="21420"/>
  <c r="S40" i="21420"/>
  <c r="R40" i="21420"/>
  <c r="Q40" i="21420"/>
  <c r="P40" i="21420"/>
  <c r="O40" i="21420"/>
  <c r="N40" i="21420"/>
  <c r="M40" i="21420"/>
  <c r="L40" i="21420"/>
  <c r="K40" i="21420"/>
  <c r="J40" i="21420"/>
  <c r="I40" i="21420"/>
  <c r="H40" i="21420"/>
  <c r="G40" i="21420"/>
  <c r="F40" i="21420"/>
  <c r="E40" i="21420"/>
  <c r="D40" i="21420"/>
  <c r="C40" i="21420"/>
  <c r="B40" i="21420"/>
  <c r="A40" i="21420"/>
  <c r="BG39" i="21420"/>
  <c r="BF39" i="21420"/>
  <c r="BE39" i="21420"/>
  <c r="BD39" i="21420"/>
  <c r="BC39" i="21420"/>
  <c r="BA39" i="21420"/>
  <c r="AZ39" i="21420"/>
  <c r="AX39" i="21420"/>
  <c r="AV39" i="21420"/>
  <c r="AU39" i="21420"/>
  <c r="AS39" i="21420"/>
  <c r="AR39" i="21420"/>
  <c r="AQ39" i="21420"/>
  <c r="AP39" i="21420"/>
  <c r="AO39" i="21420"/>
  <c r="AN39" i="21420"/>
  <c r="AM39" i="21420"/>
  <c r="AL39" i="21420"/>
  <c r="AK39" i="21420"/>
  <c r="AJ39" i="21420"/>
  <c r="AI39" i="21420"/>
  <c r="AH39" i="21420"/>
  <c r="AG39" i="21420"/>
  <c r="AF39" i="21420"/>
  <c r="AE39" i="21420"/>
  <c r="AD39" i="21420"/>
  <c r="AB39" i="21420"/>
  <c r="AA39" i="21420"/>
  <c r="Z39" i="21420"/>
  <c r="Y39" i="21420"/>
  <c r="X39" i="21420"/>
  <c r="W39" i="21420"/>
  <c r="V39" i="21420"/>
  <c r="U39" i="21420"/>
  <c r="T39" i="21420"/>
  <c r="S39" i="21420"/>
  <c r="R39" i="21420"/>
  <c r="Q39" i="21420"/>
  <c r="P39" i="21420"/>
  <c r="O39" i="21420"/>
  <c r="N39" i="21420"/>
  <c r="L39" i="21420"/>
  <c r="K39" i="21420"/>
  <c r="J39" i="21420"/>
  <c r="I39" i="21420"/>
  <c r="H39" i="21420"/>
  <c r="G39" i="21420"/>
  <c r="F39" i="21420"/>
  <c r="E39" i="21420"/>
  <c r="D39" i="21420"/>
  <c r="B39" i="21420"/>
  <c r="A39" i="21420"/>
  <c r="BG38" i="21420"/>
  <c r="BF38" i="21420"/>
  <c r="BE38" i="21420"/>
  <c r="BD38" i="21420"/>
  <c r="BC38" i="21420"/>
  <c r="BB38" i="21420"/>
  <c r="BA38" i="21420"/>
  <c r="AX38" i="21420"/>
  <c r="AW38" i="21420"/>
  <c r="AV38" i="21420"/>
  <c r="AU38" i="21420"/>
  <c r="AT38" i="21420"/>
  <c r="AS38" i="21420"/>
  <c r="AR38" i="21420"/>
  <c r="AP38" i="21420"/>
  <c r="AO38" i="21420"/>
  <c r="AN38" i="21420"/>
  <c r="AM38" i="21420"/>
  <c r="AL38" i="21420"/>
  <c r="AK38" i="21420"/>
  <c r="AJ38" i="21420"/>
  <c r="AI38" i="21420"/>
  <c r="AH38" i="21420"/>
  <c r="AG38" i="21420"/>
  <c r="AF38" i="21420"/>
  <c r="AE38" i="21420"/>
  <c r="AD38" i="21420"/>
  <c r="AC38" i="21420"/>
  <c r="AB38" i="21420"/>
  <c r="AA38" i="21420"/>
  <c r="Z38" i="21420"/>
  <c r="Y38" i="21420"/>
  <c r="X38" i="21420"/>
  <c r="W38" i="21420"/>
  <c r="V38" i="21420"/>
  <c r="U38" i="21420"/>
  <c r="T38" i="21420"/>
  <c r="S38" i="21420"/>
  <c r="R38" i="21420"/>
  <c r="Q38" i="21420"/>
  <c r="P38" i="21420"/>
  <c r="O38" i="21420"/>
  <c r="N38" i="21420"/>
  <c r="M38" i="21420"/>
  <c r="L38" i="21420"/>
  <c r="K38" i="21420"/>
  <c r="J38" i="21420"/>
  <c r="I38" i="21420"/>
  <c r="H38" i="21420"/>
  <c r="G38" i="21420"/>
  <c r="F38" i="21420"/>
  <c r="E38" i="21420"/>
  <c r="D38" i="21420"/>
  <c r="C38" i="21420"/>
  <c r="B38" i="21420"/>
  <c r="A38" i="21420"/>
  <c r="BG37" i="21420"/>
  <c r="BF37" i="21420"/>
  <c r="BE37" i="21420"/>
  <c r="BD37" i="21420"/>
  <c r="BC37" i="21420"/>
  <c r="BA37" i="21420"/>
  <c r="AZ37" i="21420"/>
  <c r="AX37" i="21420"/>
  <c r="AV37" i="21420"/>
  <c r="AU37" i="21420"/>
  <c r="AS37" i="21420"/>
  <c r="AR37" i="21420"/>
  <c r="AQ37" i="21420"/>
  <c r="AP37" i="21420"/>
  <c r="AO37" i="21420"/>
  <c r="AN37" i="21420"/>
  <c r="AM37" i="21420"/>
  <c r="AL37" i="21420"/>
  <c r="AK37" i="21420"/>
  <c r="AJ37" i="21420"/>
  <c r="AI37" i="21420"/>
  <c r="AH37" i="21420"/>
  <c r="AG37" i="21420"/>
  <c r="AF37" i="21420"/>
  <c r="AE37" i="21420"/>
  <c r="AD37" i="21420"/>
  <c r="AC37" i="21420"/>
  <c r="AB37" i="21420"/>
  <c r="AA37" i="21420"/>
  <c r="Z37" i="21420"/>
  <c r="Y37" i="21420"/>
  <c r="X37" i="21420"/>
  <c r="W37" i="21420"/>
  <c r="V37" i="21420"/>
  <c r="U37" i="21420"/>
  <c r="T37" i="21420"/>
  <c r="S37" i="21420"/>
  <c r="R37" i="21420"/>
  <c r="Q37" i="21420"/>
  <c r="P37" i="21420"/>
  <c r="O37" i="21420"/>
  <c r="N37" i="21420"/>
  <c r="L37" i="21420"/>
  <c r="K37" i="21420"/>
  <c r="J37" i="21420"/>
  <c r="I37" i="21420"/>
  <c r="H37" i="21420"/>
  <c r="G37" i="21420"/>
  <c r="F37" i="21420"/>
  <c r="E37" i="21420"/>
  <c r="D37" i="21420"/>
  <c r="B37" i="21420"/>
  <c r="A37" i="21420"/>
  <c r="BG36" i="21420"/>
  <c r="BF36" i="21420"/>
  <c r="BE36" i="21420"/>
  <c r="BD36" i="21420"/>
  <c r="BC36" i="21420"/>
  <c r="BB36" i="21420"/>
  <c r="BA36" i="21420"/>
  <c r="AX36" i="21420"/>
  <c r="AW36" i="21420"/>
  <c r="AV36" i="21420"/>
  <c r="AU36" i="21420"/>
  <c r="AT36" i="21420"/>
  <c r="AS36" i="21420"/>
  <c r="AR36" i="21420"/>
  <c r="AP36" i="21420"/>
  <c r="AO36" i="21420"/>
  <c r="AN36" i="21420"/>
  <c r="AM36" i="21420"/>
  <c r="AL36" i="21420"/>
  <c r="AK36" i="21420"/>
  <c r="AJ36" i="21420"/>
  <c r="AI36" i="21420"/>
  <c r="AH36" i="21420"/>
  <c r="AG36" i="21420"/>
  <c r="AF36" i="21420"/>
  <c r="AE36" i="21420"/>
  <c r="AD36" i="21420"/>
  <c r="AC36" i="21420"/>
  <c r="AB36" i="21420"/>
  <c r="AA36" i="21420"/>
  <c r="Z36" i="21420"/>
  <c r="Y36" i="21420"/>
  <c r="X36" i="21420"/>
  <c r="W36" i="21420"/>
  <c r="V36" i="21420"/>
  <c r="U36" i="21420"/>
  <c r="T36" i="21420"/>
  <c r="S36" i="21420"/>
  <c r="R36" i="21420"/>
  <c r="Q36" i="21420"/>
  <c r="P36" i="21420"/>
  <c r="O36" i="21420"/>
  <c r="N36" i="21420"/>
  <c r="M36" i="21420"/>
  <c r="L36" i="21420"/>
  <c r="K36" i="21420"/>
  <c r="J36" i="21420"/>
  <c r="I36" i="21420"/>
  <c r="H36" i="21420"/>
  <c r="G36" i="21420"/>
  <c r="F36" i="21420"/>
  <c r="E36" i="21420"/>
  <c r="D36" i="21420"/>
  <c r="C36" i="21420"/>
  <c r="B36" i="21420"/>
  <c r="A36" i="21420"/>
  <c r="BG10" i="21420"/>
  <c r="BF10" i="21420"/>
  <c r="BE10" i="21420"/>
  <c r="BD10" i="21420"/>
  <c r="BC10" i="21420"/>
  <c r="BB10" i="21420"/>
  <c r="BA10" i="21420"/>
  <c r="AY10" i="21420"/>
  <c r="AX10" i="21420"/>
  <c r="AV10" i="21420"/>
  <c r="AU10" i="21420"/>
  <c r="AT10" i="21420"/>
  <c r="AS10" i="21420"/>
  <c r="AR10" i="21420"/>
  <c r="AP10" i="21420"/>
  <c r="AO10" i="21420"/>
  <c r="AN10" i="21420"/>
  <c r="AM10" i="21420"/>
  <c r="AL10" i="21420"/>
  <c r="AK10" i="21420"/>
  <c r="AJ10" i="21420"/>
  <c r="AI10" i="21420"/>
  <c r="AH10" i="21420"/>
  <c r="AG10" i="21420"/>
  <c r="AF10" i="21420"/>
  <c r="AE10" i="21420"/>
  <c r="AD10" i="21420"/>
  <c r="AC10" i="21420"/>
  <c r="AB10" i="21420"/>
  <c r="AA10" i="21420"/>
  <c r="Z10" i="21420"/>
  <c r="Y10" i="21420"/>
  <c r="X10" i="21420"/>
  <c r="W10" i="21420"/>
  <c r="V10" i="21420"/>
  <c r="U10" i="21420"/>
  <c r="T10" i="21420"/>
  <c r="S10" i="21420"/>
  <c r="R10" i="21420"/>
  <c r="Q10" i="21420"/>
  <c r="P10" i="21420"/>
  <c r="O10" i="21420"/>
  <c r="N10" i="21420"/>
  <c r="M10" i="21420"/>
  <c r="L10" i="21420"/>
  <c r="K10" i="21420"/>
  <c r="I10" i="21420"/>
  <c r="H10" i="21420"/>
  <c r="G10" i="21420"/>
  <c r="F10" i="21420"/>
  <c r="E10" i="21420"/>
  <c r="D10" i="21420"/>
  <c r="C10" i="21420"/>
  <c r="B10" i="21420"/>
  <c r="BG9" i="21420"/>
  <c r="BF9" i="21420"/>
  <c r="BE9" i="21420"/>
  <c r="BD9" i="21420"/>
  <c r="BC9" i="21420"/>
  <c r="BA9" i="21420"/>
  <c r="AZ9" i="21420"/>
  <c r="AX9" i="21420"/>
  <c r="AV9" i="21420"/>
  <c r="AU9" i="21420"/>
  <c r="AS9" i="21420"/>
  <c r="AR9" i="21420"/>
  <c r="AQ9" i="21420"/>
  <c r="AP9" i="21420"/>
  <c r="AO9" i="21420"/>
  <c r="AN9" i="21420"/>
  <c r="AM9" i="21420"/>
  <c r="AL9" i="21420"/>
  <c r="AK9" i="21420"/>
  <c r="AJ9" i="21420"/>
  <c r="AI9" i="21420"/>
  <c r="AH9" i="21420"/>
  <c r="AG9" i="21420"/>
  <c r="AF9" i="21420"/>
  <c r="AE9" i="21420"/>
  <c r="AD9" i="21420"/>
  <c r="AC9" i="21420"/>
  <c r="AB9" i="21420"/>
  <c r="AA9" i="21420"/>
  <c r="Z9" i="21420"/>
  <c r="Y9" i="21420"/>
  <c r="X9" i="21420"/>
  <c r="W9" i="21420"/>
  <c r="V9" i="21420"/>
  <c r="U9" i="21420"/>
  <c r="T9" i="21420"/>
  <c r="S9" i="21420"/>
  <c r="R9" i="21420"/>
  <c r="Q9" i="21420"/>
  <c r="P9" i="21420"/>
  <c r="O9" i="21420"/>
  <c r="N9" i="21420"/>
  <c r="L9" i="21420"/>
  <c r="K9" i="21420"/>
  <c r="J9" i="21420"/>
  <c r="I9" i="21420"/>
  <c r="H9" i="21420"/>
  <c r="G9" i="21420"/>
  <c r="F9" i="21420"/>
  <c r="E9" i="21420"/>
  <c r="D9" i="21420"/>
  <c r="B9" i="21420"/>
  <c r="A9" i="21420"/>
  <c r="BG8" i="21420"/>
  <c r="BF8" i="21420"/>
  <c r="BE8" i="21420"/>
  <c r="BD8" i="21420"/>
  <c r="BC8" i="21420"/>
  <c r="BB8" i="21420"/>
  <c r="BA8" i="21420"/>
  <c r="AX8" i="21420"/>
  <c r="AW8" i="21420"/>
  <c r="AV8" i="21420"/>
  <c r="AU8" i="21420"/>
  <c r="AT8" i="21420"/>
  <c r="AS8" i="21420"/>
  <c r="AR8" i="21420"/>
  <c r="AP8" i="21420"/>
  <c r="AO8" i="21420"/>
  <c r="AN8" i="21420"/>
  <c r="AM8" i="21420"/>
  <c r="AL8" i="21420"/>
  <c r="AK8" i="21420"/>
  <c r="AJ8" i="21420"/>
  <c r="AI8" i="21420"/>
  <c r="AH8" i="21420"/>
  <c r="AG8" i="21420"/>
  <c r="AF8" i="21420"/>
  <c r="AE8" i="21420"/>
  <c r="AD8" i="21420"/>
  <c r="AC8" i="21420"/>
  <c r="AB8" i="21420"/>
  <c r="AA8" i="21420"/>
  <c r="Z8" i="21420"/>
  <c r="Y8" i="21420"/>
  <c r="X8" i="21420"/>
  <c r="W8" i="21420"/>
  <c r="V8" i="21420"/>
  <c r="U8" i="21420"/>
  <c r="T8" i="21420"/>
  <c r="S8" i="21420"/>
  <c r="R8" i="21420"/>
  <c r="Q8" i="21420"/>
  <c r="P8" i="21420"/>
  <c r="O8" i="21420"/>
  <c r="N8" i="21420"/>
  <c r="M8" i="21420"/>
  <c r="L8" i="21420"/>
  <c r="K8" i="21420"/>
  <c r="J8" i="21420"/>
  <c r="I8" i="21420"/>
  <c r="H8" i="21420"/>
  <c r="G8" i="21420"/>
  <c r="F8" i="21420"/>
  <c r="E8" i="21420"/>
  <c r="D8" i="21420"/>
  <c r="C8" i="21420"/>
  <c r="B8" i="21420"/>
  <c r="A8" i="21420"/>
  <c r="BG7" i="21420"/>
  <c r="BF7" i="21420"/>
  <c r="BE7" i="21420"/>
  <c r="BD7" i="21420"/>
  <c r="BC7" i="21420"/>
  <c r="BA7" i="21420"/>
  <c r="AZ7" i="21420"/>
  <c r="AX7" i="21420"/>
  <c r="AV7" i="21420"/>
  <c r="AU7" i="21420"/>
  <c r="AS7" i="21420"/>
  <c r="AR7" i="21420"/>
  <c r="AQ7" i="21420"/>
  <c r="AP7" i="21420"/>
  <c r="AO7" i="21420"/>
  <c r="AN7" i="21420"/>
  <c r="AM7" i="21420"/>
  <c r="AL7" i="21420"/>
  <c r="AK7" i="21420"/>
  <c r="AJ7" i="21420"/>
  <c r="AI7" i="21420"/>
  <c r="AH7" i="21420"/>
  <c r="AG7" i="21420"/>
  <c r="AF7" i="21420"/>
  <c r="AE7" i="21420"/>
  <c r="AD7" i="21420"/>
  <c r="AB7" i="21420"/>
  <c r="AA7" i="21420"/>
  <c r="Z7" i="21420"/>
  <c r="Y7" i="21420"/>
  <c r="X7" i="21420"/>
  <c r="W7" i="21420"/>
  <c r="V7" i="21420"/>
  <c r="U7" i="21420"/>
  <c r="T7" i="21420"/>
  <c r="S7" i="21420"/>
  <c r="R7" i="21420"/>
  <c r="Q7" i="21420"/>
  <c r="P7" i="21420"/>
  <c r="O7" i="21420"/>
  <c r="N7" i="21420"/>
  <c r="L7" i="21420"/>
  <c r="K7" i="21420"/>
  <c r="J7" i="21420"/>
  <c r="I7" i="21420"/>
  <c r="H7" i="21420"/>
  <c r="G7" i="21420"/>
  <c r="F7" i="21420"/>
  <c r="E7" i="21420"/>
  <c r="D7" i="21420"/>
  <c r="B7" i="21420"/>
  <c r="A7" i="21420"/>
  <c r="BG6" i="21420"/>
  <c r="BF6" i="21420"/>
  <c r="BE6" i="21420"/>
  <c r="BD6" i="21420"/>
  <c r="BC6" i="21420"/>
  <c r="BB6" i="21420"/>
  <c r="BA6" i="21420"/>
  <c r="AX6" i="21420"/>
  <c r="AW6" i="21420"/>
  <c r="AV6" i="21420"/>
  <c r="AU6" i="21420"/>
  <c r="AT6" i="21420"/>
  <c r="AS6" i="21420"/>
  <c r="AR6" i="21420"/>
  <c r="AP6" i="21420"/>
  <c r="AO6" i="21420"/>
  <c r="AN6" i="21420"/>
  <c r="AM6" i="21420"/>
  <c r="AL6" i="21420"/>
  <c r="AK6" i="21420"/>
  <c r="AJ6" i="21420"/>
  <c r="AI6" i="21420"/>
  <c r="AH6" i="21420"/>
  <c r="AG6" i="21420"/>
  <c r="AF6" i="21420"/>
  <c r="AE6" i="21420"/>
  <c r="AD6" i="21420"/>
  <c r="AC6" i="21420"/>
  <c r="AB6" i="21420"/>
  <c r="AA6" i="21420"/>
  <c r="Z6" i="21420"/>
  <c r="Y6" i="21420"/>
  <c r="X6" i="21420"/>
  <c r="W6" i="21420"/>
  <c r="V6" i="21420"/>
  <c r="U6" i="21420"/>
  <c r="T6" i="21420"/>
  <c r="S6" i="21420"/>
  <c r="R6" i="21420"/>
  <c r="Q6" i="21420"/>
  <c r="P6" i="21420"/>
  <c r="O6" i="21420"/>
  <c r="N6" i="21420"/>
  <c r="M6" i="21420"/>
  <c r="L6" i="21420"/>
  <c r="K6" i="21420"/>
  <c r="J6" i="21420"/>
  <c r="I6" i="21420"/>
  <c r="H6" i="21420"/>
  <c r="G6" i="21420"/>
  <c r="F6" i="21420"/>
  <c r="E6" i="21420"/>
  <c r="D6" i="21420"/>
  <c r="C6" i="21420"/>
  <c r="B6" i="21420"/>
  <c r="A6" i="21420"/>
  <c r="BG5" i="21420"/>
  <c r="BF5" i="21420"/>
  <c r="BE5" i="21420"/>
  <c r="BD5" i="21420"/>
  <c r="BC5" i="21420"/>
  <c r="BA5" i="21420"/>
  <c r="AZ5" i="21420"/>
  <c r="AX5" i="21420"/>
  <c r="AV5" i="21420"/>
  <c r="AU5" i="21420"/>
  <c r="AS5" i="21420"/>
  <c r="AR5" i="21420"/>
  <c r="AQ5" i="21420"/>
  <c r="AP5" i="21420"/>
  <c r="AO5" i="21420"/>
  <c r="AN5" i="21420"/>
  <c r="AM5" i="21420"/>
  <c r="AL5" i="21420"/>
  <c r="AK5" i="21420"/>
  <c r="AJ5" i="21420"/>
  <c r="AI5" i="21420"/>
  <c r="AH5" i="21420"/>
  <c r="AG5" i="21420"/>
  <c r="AF5" i="21420"/>
  <c r="AE5" i="21420"/>
  <c r="AD5" i="21420"/>
  <c r="AB5" i="21420"/>
  <c r="AA5" i="21420"/>
  <c r="Z5" i="21420"/>
  <c r="Y5" i="21420"/>
  <c r="X5" i="21420"/>
  <c r="W5" i="21420"/>
  <c r="V5" i="21420"/>
  <c r="U5" i="21420"/>
  <c r="T5" i="21420"/>
  <c r="S5" i="21420"/>
  <c r="R5" i="21420"/>
  <c r="Q5" i="21420"/>
  <c r="P5" i="21420"/>
  <c r="O5" i="21420"/>
  <c r="N5" i="21420"/>
  <c r="L5" i="21420"/>
  <c r="K5" i="21420"/>
  <c r="J5" i="21420"/>
  <c r="I5" i="21420"/>
  <c r="H5" i="21420"/>
  <c r="G5" i="21420"/>
  <c r="F5" i="21420"/>
  <c r="E5" i="21420"/>
  <c r="D5" i="21420"/>
  <c r="B5" i="21420"/>
  <c r="A5" i="21420"/>
  <c r="BG4" i="21420"/>
  <c r="BF4" i="21420"/>
  <c r="BE4" i="21420"/>
  <c r="BD4" i="21420"/>
  <c r="BC4" i="21420"/>
  <c r="BB4" i="21420"/>
  <c r="BA4" i="21420"/>
  <c r="AY4" i="21420"/>
  <c r="AX4" i="21420"/>
  <c r="AV4" i="21420"/>
  <c r="AU4" i="21420"/>
  <c r="AT4" i="21420"/>
  <c r="AS4" i="21420"/>
  <c r="AR4" i="21420"/>
  <c r="AP4" i="21420"/>
  <c r="AO4" i="21420"/>
  <c r="AN4" i="21420"/>
  <c r="AM4" i="21420"/>
  <c r="AL4" i="21420"/>
  <c r="AK4" i="21420"/>
  <c r="AJ4" i="21420"/>
  <c r="AI4" i="21420"/>
  <c r="AH4" i="21420"/>
  <c r="AG4" i="21420"/>
  <c r="AF4" i="21420"/>
  <c r="AE4" i="21420"/>
  <c r="AD4" i="21420"/>
  <c r="AC4" i="21420"/>
  <c r="AB4" i="21420"/>
  <c r="AA4" i="21420"/>
  <c r="Z4" i="21420"/>
  <c r="Y4" i="21420"/>
  <c r="X4" i="21420"/>
  <c r="W4" i="21420"/>
  <c r="V4" i="21420"/>
  <c r="U4" i="21420"/>
  <c r="T4" i="21420"/>
  <c r="S4" i="21420"/>
  <c r="R4" i="21420"/>
  <c r="Q4" i="21420"/>
  <c r="P4" i="21420"/>
  <c r="O4" i="21420"/>
  <c r="N4" i="21420"/>
  <c r="M4" i="21420"/>
  <c r="L4" i="21420"/>
  <c r="K4" i="21420"/>
  <c r="I4" i="21420"/>
  <c r="H4" i="21420"/>
  <c r="G4" i="21420"/>
  <c r="F4" i="21420"/>
  <c r="E4" i="21420"/>
  <c r="D4" i="21420"/>
  <c r="C4" i="21420"/>
  <c r="B4" i="21420"/>
  <c r="A4" i="21420"/>
  <c r="A10" i="21420"/>
  <c r="BG64" i="21422"/>
  <c r="BF64" i="21422"/>
  <c r="BE64" i="21422"/>
  <c r="BD64" i="21422"/>
  <c r="BC64" i="21422"/>
  <c r="BB64" i="21422"/>
  <c r="BA64" i="21422"/>
  <c r="AY64" i="21422"/>
  <c r="AV64" i="21422"/>
  <c r="AU64" i="21422"/>
  <c r="AT64" i="21422"/>
  <c r="AS64" i="21422"/>
  <c r="AR64" i="21422"/>
  <c r="AP64" i="21422"/>
  <c r="AO64" i="21422"/>
  <c r="AN64" i="21422"/>
  <c r="AM64" i="21422"/>
  <c r="AL64" i="21422"/>
  <c r="AK64" i="21422"/>
  <c r="AJ64" i="21422"/>
  <c r="AI64" i="21422"/>
  <c r="AH64" i="21422"/>
  <c r="AG64" i="21422"/>
  <c r="AF64" i="21422"/>
  <c r="AE64" i="21422"/>
  <c r="AD64" i="21422"/>
  <c r="AC64" i="21422"/>
  <c r="AB64" i="21422"/>
  <c r="AA64" i="21422"/>
  <c r="Z64" i="21422"/>
  <c r="Y64" i="21422"/>
  <c r="X64" i="21422"/>
  <c r="W64" i="21422"/>
  <c r="V64" i="21422"/>
  <c r="U64" i="21422"/>
  <c r="T64" i="21422"/>
  <c r="R64" i="21422"/>
  <c r="Q64" i="21422"/>
  <c r="P64" i="21422"/>
  <c r="O64" i="21422"/>
  <c r="N64" i="21422"/>
  <c r="M64" i="21422"/>
  <c r="L64" i="21422"/>
  <c r="K64" i="21422"/>
  <c r="I64" i="21422"/>
  <c r="H64" i="21422"/>
  <c r="G64" i="21422"/>
  <c r="F64" i="21422"/>
  <c r="E64" i="21422"/>
  <c r="D64" i="21422"/>
  <c r="C64" i="21422"/>
  <c r="B64" i="21422"/>
  <c r="A64" i="21422"/>
  <c r="BG63" i="21422"/>
  <c r="BF63" i="21422"/>
  <c r="BE63" i="21422"/>
  <c r="BD63" i="21422"/>
  <c r="BC63" i="21422"/>
  <c r="BA63" i="21422"/>
  <c r="AZ63" i="21422"/>
  <c r="AV63" i="21422"/>
  <c r="AU63" i="21422"/>
  <c r="AS63" i="21422"/>
  <c r="AR63" i="21422"/>
  <c r="AQ63" i="21422"/>
  <c r="AP63" i="21422"/>
  <c r="AO63" i="21422"/>
  <c r="AN63" i="21422"/>
  <c r="AM63" i="21422"/>
  <c r="AL63" i="21422"/>
  <c r="AK63" i="21422"/>
  <c r="AJ63" i="21422"/>
  <c r="AI63" i="21422"/>
  <c r="AH63" i="21422"/>
  <c r="AG63" i="21422"/>
  <c r="AF63" i="21422"/>
  <c r="AE63" i="21422"/>
  <c r="AD63" i="21422"/>
  <c r="AB63" i="21422"/>
  <c r="AA63" i="21422"/>
  <c r="Z63" i="21422"/>
  <c r="Y63" i="21422"/>
  <c r="X63" i="21422"/>
  <c r="W63" i="21422"/>
  <c r="V63" i="21422"/>
  <c r="U63" i="21422"/>
  <c r="T63" i="21422"/>
  <c r="S63" i="21422"/>
  <c r="R63" i="21422"/>
  <c r="Q63" i="21422"/>
  <c r="P63" i="21422"/>
  <c r="O63" i="21422"/>
  <c r="N63" i="21422"/>
  <c r="L63" i="21422"/>
  <c r="K63" i="21422"/>
  <c r="J63" i="21422"/>
  <c r="I63" i="21422"/>
  <c r="H63" i="21422"/>
  <c r="G63" i="21422"/>
  <c r="F63" i="21422"/>
  <c r="E63" i="21422"/>
  <c r="D63" i="21422"/>
  <c r="B63" i="21422"/>
  <c r="A63" i="21422"/>
  <c r="BG62" i="21422"/>
  <c r="BF62" i="21422"/>
  <c r="BE62" i="21422"/>
  <c r="BD62" i="21422"/>
  <c r="BC62" i="21422"/>
  <c r="BB62" i="21422"/>
  <c r="BA62" i="21422"/>
  <c r="AZ62" i="21422"/>
  <c r="AY62" i="21422"/>
  <c r="AX62" i="21422"/>
  <c r="AW62" i="21422"/>
  <c r="AV62" i="21422"/>
  <c r="AU62" i="21422"/>
  <c r="AT62" i="21422"/>
  <c r="AS62" i="21422"/>
  <c r="AR62" i="21422"/>
  <c r="AP62" i="21422"/>
  <c r="AO62" i="21422"/>
  <c r="AN62" i="21422"/>
  <c r="AM62" i="21422"/>
  <c r="AL62" i="21422"/>
  <c r="AK62" i="21422"/>
  <c r="AJ62" i="21422"/>
  <c r="AI62" i="21422"/>
  <c r="AH62" i="21422"/>
  <c r="AG62" i="21422"/>
  <c r="AF62" i="21422"/>
  <c r="AE62" i="21422"/>
  <c r="AD62" i="21422"/>
  <c r="AC62" i="21422"/>
  <c r="AB62" i="21422"/>
  <c r="AA62" i="21422"/>
  <c r="Z62" i="21422"/>
  <c r="Y62" i="21422"/>
  <c r="X62" i="21422"/>
  <c r="W62" i="21422"/>
  <c r="V62" i="21422"/>
  <c r="U62" i="21422"/>
  <c r="T62" i="21422"/>
  <c r="R62" i="21422"/>
  <c r="Q62" i="21422"/>
  <c r="P62" i="21422"/>
  <c r="O62" i="21422"/>
  <c r="N62" i="21422"/>
  <c r="M62" i="21422"/>
  <c r="L62" i="21422"/>
  <c r="K62" i="21422"/>
  <c r="J62" i="21422"/>
  <c r="I62" i="21422"/>
  <c r="H62" i="21422"/>
  <c r="G62" i="21422"/>
  <c r="F62" i="21422"/>
  <c r="E62" i="21422"/>
  <c r="D62" i="21422"/>
  <c r="C62" i="21422"/>
  <c r="B62" i="21422"/>
  <c r="A62" i="21422"/>
  <c r="BG61" i="21422"/>
  <c r="BF61" i="21422"/>
  <c r="BE61" i="21422"/>
  <c r="BD61" i="21422"/>
  <c r="BC61" i="21422"/>
  <c r="BA61" i="21422"/>
  <c r="AZ61" i="21422"/>
  <c r="AV61" i="21422"/>
  <c r="AU61" i="21422"/>
  <c r="AS61" i="21422"/>
  <c r="AR61" i="21422"/>
  <c r="AQ61" i="21422"/>
  <c r="AP61" i="21422"/>
  <c r="AO61" i="21422"/>
  <c r="AN61" i="21422"/>
  <c r="AM61" i="21422"/>
  <c r="AL61" i="21422"/>
  <c r="AK61" i="21422"/>
  <c r="AJ61" i="21422"/>
  <c r="AI61" i="21422"/>
  <c r="AH61" i="21422"/>
  <c r="AG61" i="21422"/>
  <c r="AF61" i="21422"/>
  <c r="AE61" i="21422"/>
  <c r="AD61" i="21422"/>
  <c r="AB61" i="21422"/>
  <c r="AA61" i="21422"/>
  <c r="Z61" i="21422"/>
  <c r="Y61" i="21422"/>
  <c r="X61" i="21422"/>
  <c r="W61" i="21422"/>
  <c r="V61" i="21422"/>
  <c r="U61" i="21422"/>
  <c r="T61" i="21422"/>
  <c r="S61" i="21422"/>
  <c r="R61" i="21422"/>
  <c r="Q61" i="21422"/>
  <c r="P61" i="21422"/>
  <c r="O61" i="21422"/>
  <c r="N61" i="21422"/>
  <c r="L61" i="21422"/>
  <c r="K61" i="21422"/>
  <c r="J61" i="21422"/>
  <c r="I61" i="21422"/>
  <c r="H61" i="21422"/>
  <c r="G61" i="21422"/>
  <c r="F61" i="21422"/>
  <c r="E61" i="21422"/>
  <c r="D61" i="21422"/>
  <c r="B61" i="21422"/>
  <c r="A61" i="21422"/>
  <c r="BG60" i="21422"/>
  <c r="BF60" i="21422"/>
  <c r="BE60" i="21422"/>
  <c r="BD60" i="21422"/>
  <c r="BC60" i="21422"/>
  <c r="BB60" i="21422"/>
  <c r="BA60" i="21422"/>
  <c r="AZ60" i="21422"/>
  <c r="AY60" i="21422"/>
  <c r="AX60" i="21422"/>
  <c r="AW60" i="21422"/>
  <c r="AV60" i="21422"/>
  <c r="AU60" i="21422"/>
  <c r="AT60" i="21422"/>
  <c r="AS60" i="21422"/>
  <c r="AR60" i="21422"/>
  <c r="AP60" i="21422"/>
  <c r="AO60" i="21422"/>
  <c r="AN60" i="21422"/>
  <c r="AM60" i="21422"/>
  <c r="AL60" i="21422"/>
  <c r="AK60" i="21422"/>
  <c r="AJ60" i="21422"/>
  <c r="AI60" i="21422"/>
  <c r="AH60" i="21422"/>
  <c r="AG60" i="21422"/>
  <c r="AF60" i="21422"/>
  <c r="AE60" i="21422"/>
  <c r="AD60" i="21422"/>
  <c r="AC60" i="21422"/>
  <c r="AB60" i="21422"/>
  <c r="AA60" i="21422"/>
  <c r="Z60" i="21422"/>
  <c r="Y60" i="21422"/>
  <c r="X60" i="21422"/>
  <c r="W60" i="21422"/>
  <c r="V60" i="21422"/>
  <c r="U60" i="21422"/>
  <c r="T60" i="21422"/>
  <c r="R60" i="21422"/>
  <c r="Q60" i="21422"/>
  <c r="P60" i="21422"/>
  <c r="O60" i="21422"/>
  <c r="N60" i="21422"/>
  <c r="M60" i="21422"/>
  <c r="L60" i="21422"/>
  <c r="K60" i="21422"/>
  <c r="J60" i="21422"/>
  <c r="I60" i="21422"/>
  <c r="H60" i="21422"/>
  <c r="G60" i="21422"/>
  <c r="F60" i="21422"/>
  <c r="E60" i="21422"/>
  <c r="D60" i="21422"/>
  <c r="C60" i="21422"/>
  <c r="B60" i="21422"/>
  <c r="A60" i="21422"/>
  <c r="BG59" i="21422"/>
  <c r="BF59" i="21422"/>
  <c r="BE59" i="21422"/>
  <c r="BD59" i="21422"/>
  <c r="BC59" i="21422"/>
  <c r="BA59" i="21422"/>
  <c r="AZ59" i="21422"/>
  <c r="AV59" i="21422"/>
  <c r="AU59" i="21422"/>
  <c r="AS59" i="21422"/>
  <c r="AR59" i="21422"/>
  <c r="AQ59" i="21422"/>
  <c r="AP59" i="21422"/>
  <c r="AO59" i="21422"/>
  <c r="AN59" i="21422"/>
  <c r="AM59" i="21422"/>
  <c r="AL59" i="21422"/>
  <c r="AK59" i="21422"/>
  <c r="AJ59" i="21422"/>
  <c r="AI59" i="21422"/>
  <c r="AH59" i="21422"/>
  <c r="AG59" i="21422"/>
  <c r="AF59" i="21422"/>
  <c r="AE59" i="21422"/>
  <c r="AD59" i="21422"/>
  <c r="AC59" i="21422"/>
  <c r="AB59" i="21422"/>
  <c r="AA59" i="21422"/>
  <c r="Z59" i="21422"/>
  <c r="Y59" i="21422"/>
  <c r="X59" i="21422"/>
  <c r="W59" i="21422"/>
  <c r="V59" i="21422"/>
  <c r="U59" i="21422"/>
  <c r="T59" i="21422"/>
  <c r="S59" i="21422"/>
  <c r="R59" i="21422"/>
  <c r="Q59" i="21422"/>
  <c r="P59" i="21422"/>
  <c r="O59" i="21422"/>
  <c r="N59" i="21422"/>
  <c r="L59" i="21422"/>
  <c r="K59" i="21422"/>
  <c r="J59" i="21422"/>
  <c r="I59" i="21422"/>
  <c r="H59" i="21422"/>
  <c r="G59" i="21422"/>
  <c r="F59" i="21422"/>
  <c r="E59" i="21422"/>
  <c r="D59" i="21422"/>
  <c r="B59" i="21422"/>
  <c r="A59" i="21422"/>
  <c r="BG58" i="21422"/>
  <c r="BF58" i="21422"/>
  <c r="BE58" i="21422"/>
  <c r="BD58" i="21422"/>
  <c r="BC58" i="21422"/>
  <c r="BB58" i="21422"/>
  <c r="BA58" i="21422"/>
  <c r="AZ58" i="21422"/>
  <c r="AY58" i="21422"/>
  <c r="AX58" i="21422"/>
  <c r="AW58" i="21422"/>
  <c r="AV58" i="21422"/>
  <c r="AU58" i="21422"/>
  <c r="AT58" i="21422"/>
  <c r="AS58" i="21422"/>
  <c r="AR58" i="21422"/>
  <c r="AP58" i="21422"/>
  <c r="AO58" i="21422"/>
  <c r="AN58" i="21422"/>
  <c r="AM58" i="21422"/>
  <c r="AL58" i="21422"/>
  <c r="AK58" i="21422"/>
  <c r="AJ58" i="21422"/>
  <c r="AI58" i="21422"/>
  <c r="AH58" i="21422"/>
  <c r="AG58" i="21422"/>
  <c r="AF58" i="21422"/>
  <c r="AE58" i="21422"/>
  <c r="AD58" i="21422"/>
  <c r="AC58" i="21422"/>
  <c r="AB58" i="21422"/>
  <c r="AA58" i="21422"/>
  <c r="Z58" i="21422"/>
  <c r="Y58" i="21422"/>
  <c r="X58" i="21422"/>
  <c r="W58" i="21422"/>
  <c r="V58" i="21422"/>
  <c r="U58" i="21422"/>
  <c r="T58" i="21422"/>
  <c r="R58" i="21422"/>
  <c r="Q58" i="21422"/>
  <c r="P58" i="21422"/>
  <c r="O58" i="21422"/>
  <c r="N58" i="21422"/>
  <c r="M58" i="21422"/>
  <c r="L58" i="21422"/>
  <c r="K58" i="21422"/>
  <c r="J58" i="21422"/>
  <c r="I58" i="21422"/>
  <c r="H58" i="21422"/>
  <c r="G58" i="21422"/>
  <c r="F58" i="21422"/>
  <c r="E58" i="21422"/>
  <c r="D58" i="21422"/>
  <c r="C58" i="21422"/>
  <c r="B58" i="21422"/>
  <c r="A58" i="21422"/>
  <c r="BG57" i="21422"/>
  <c r="BF57" i="21422"/>
  <c r="BE57" i="21422"/>
  <c r="BD57" i="21422"/>
  <c r="BC57" i="21422"/>
  <c r="BA57" i="21422"/>
  <c r="AZ57" i="21422"/>
  <c r="AV57" i="21422"/>
  <c r="AU57" i="21422"/>
  <c r="AS57" i="21422"/>
  <c r="AR57" i="21422"/>
  <c r="AQ57" i="21422"/>
  <c r="AP57" i="21422"/>
  <c r="AO57" i="21422"/>
  <c r="AN57" i="21422"/>
  <c r="AM57" i="21422"/>
  <c r="AL57" i="21422"/>
  <c r="AK57" i="21422"/>
  <c r="AJ57" i="21422"/>
  <c r="AI57" i="21422"/>
  <c r="AH57" i="21422"/>
  <c r="AG57" i="21422"/>
  <c r="AF57" i="21422"/>
  <c r="AE57" i="21422"/>
  <c r="AD57" i="21422"/>
  <c r="AB57" i="21422"/>
  <c r="AA57" i="21422"/>
  <c r="Z57" i="21422"/>
  <c r="Y57" i="21422"/>
  <c r="X57" i="21422"/>
  <c r="W57" i="21422"/>
  <c r="V57" i="21422"/>
  <c r="U57" i="21422"/>
  <c r="T57" i="21422"/>
  <c r="S57" i="21422"/>
  <c r="R57" i="21422"/>
  <c r="Q57" i="21422"/>
  <c r="P57" i="21422"/>
  <c r="O57" i="21422"/>
  <c r="N57" i="21422"/>
  <c r="L57" i="21422"/>
  <c r="K57" i="21422"/>
  <c r="J57" i="21422"/>
  <c r="I57" i="21422"/>
  <c r="H57" i="21422"/>
  <c r="G57" i="21422"/>
  <c r="F57" i="21422"/>
  <c r="E57" i="21422"/>
  <c r="D57" i="21422"/>
  <c r="B57" i="21422"/>
  <c r="A57" i="21422"/>
  <c r="BG56" i="21422"/>
  <c r="BF56" i="21422"/>
  <c r="BE56" i="21422"/>
  <c r="BD56" i="21422"/>
  <c r="BC56" i="21422"/>
  <c r="BB56" i="21422"/>
  <c r="BA56" i="21422"/>
  <c r="AY56" i="21422"/>
  <c r="AV56" i="21422"/>
  <c r="AU56" i="21422"/>
  <c r="AT56" i="21422"/>
  <c r="AS56" i="21422"/>
  <c r="AR56" i="21422"/>
  <c r="AP56" i="21422"/>
  <c r="AO56" i="21422"/>
  <c r="AN56" i="21422"/>
  <c r="AM56" i="21422"/>
  <c r="AL56" i="21422"/>
  <c r="AK56" i="21422"/>
  <c r="AJ56" i="21422"/>
  <c r="AI56" i="21422"/>
  <c r="AH56" i="21422"/>
  <c r="AG56" i="21422"/>
  <c r="AF56" i="21422"/>
  <c r="AE56" i="21422"/>
  <c r="AD56" i="21422"/>
  <c r="AC56" i="21422"/>
  <c r="AB56" i="21422"/>
  <c r="AA56" i="21422"/>
  <c r="Z56" i="21422"/>
  <c r="Y56" i="21422"/>
  <c r="X56" i="21422"/>
  <c r="W56" i="21422"/>
  <c r="V56" i="21422"/>
  <c r="U56" i="21422"/>
  <c r="T56" i="21422"/>
  <c r="R56" i="21422"/>
  <c r="Q56" i="21422"/>
  <c r="P56" i="21422"/>
  <c r="O56" i="21422"/>
  <c r="N56" i="21422"/>
  <c r="M56" i="21422"/>
  <c r="L56" i="21422"/>
  <c r="K56" i="21422"/>
  <c r="I56" i="21422"/>
  <c r="H56" i="21422"/>
  <c r="G56" i="21422"/>
  <c r="F56" i="21422"/>
  <c r="E56" i="21422"/>
  <c r="D56" i="21422"/>
  <c r="C56" i="21422"/>
  <c r="B56" i="21422"/>
  <c r="A56" i="21422"/>
  <c r="BG55" i="21422"/>
  <c r="BF55" i="21422"/>
  <c r="BE55" i="21422"/>
  <c r="BD55" i="21422"/>
  <c r="BC55" i="21422"/>
  <c r="BA55" i="21422"/>
  <c r="AZ55" i="21422"/>
  <c r="AV55" i="21422"/>
  <c r="AU55" i="21422"/>
  <c r="AS55" i="21422"/>
  <c r="AR55" i="21422"/>
  <c r="AQ55" i="21422"/>
  <c r="AP55" i="21422"/>
  <c r="AO55" i="21422"/>
  <c r="AN55" i="21422"/>
  <c r="AM55" i="21422"/>
  <c r="AL55" i="21422"/>
  <c r="AK55" i="21422"/>
  <c r="AJ55" i="21422"/>
  <c r="AI55" i="21422"/>
  <c r="AH55" i="21422"/>
  <c r="AG55" i="21422"/>
  <c r="AF55" i="21422"/>
  <c r="AE55" i="21422"/>
  <c r="AD55" i="21422"/>
  <c r="AB55" i="21422"/>
  <c r="AA55" i="21422"/>
  <c r="Z55" i="21422"/>
  <c r="Y55" i="21422"/>
  <c r="X55" i="21422"/>
  <c r="W55" i="21422"/>
  <c r="V55" i="21422"/>
  <c r="U55" i="21422"/>
  <c r="T55" i="21422"/>
  <c r="S55" i="21422"/>
  <c r="R55" i="21422"/>
  <c r="Q55" i="21422"/>
  <c r="P55" i="21422"/>
  <c r="O55" i="21422"/>
  <c r="N55" i="21422"/>
  <c r="L55" i="21422"/>
  <c r="K55" i="21422"/>
  <c r="J55" i="21422"/>
  <c r="I55" i="21422"/>
  <c r="H55" i="21422"/>
  <c r="G55" i="21422"/>
  <c r="F55" i="21422"/>
  <c r="E55" i="21422"/>
  <c r="D55" i="21422"/>
  <c r="B55" i="21422"/>
  <c r="A55" i="21422"/>
  <c r="BG54" i="21422"/>
  <c r="BF54" i="21422"/>
  <c r="BE54" i="21422"/>
  <c r="BD54" i="21422"/>
  <c r="BC54" i="21422"/>
  <c r="BB54" i="21422"/>
  <c r="BA54" i="21422"/>
  <c r="AZ54" i="21422"/>
  <c r="AY54" i="21422"/>
  <c r="AX54" i="21422"/>
  <c r="AW54" i="21422"/>
  <c r="AV54" i="21422"/>
  <c r="AU54" i="21422"/>
  <c r="AT54" i="21422"/>
  <c r="AS54" i="21422"/>
  <c r="AR54" i="21422"/>
  <c r="AP54" i="21422"/>
  <c r="AO54" i="21422"/>
  <c r="AN54" i="21422"/>
  <c r="AM54" i="21422"/>
  <c r="AL54" i="21422"/>
  <c r="AK54" i="21422"/>
  <c r="AJ54" i="21422"/>
  <c r="AI54" i="21422"/>
  <c r="AH54" i="21422"/>
  <c r="AG54" i="21422"/>
  <c r="AF54" i="21422"/>
  <c r="AE54" i="21422"/>
  <c r="AD54" i="21422"/>
  <c r="AC54" i="21422"/>
  <c r="AB54" i="21422"/>
  <c r="AA54" i="21422"/>
  <c r="Z54" i="21422"/>
  <c r="Y54" i="21422"/>
  <c r="X54" i="21422"/>
  <c r="W54" i="21422"/>
  <c r="V54" i="21422"/>
  <c r="U54" i="21422"/>
  <c r="T54" i="21422"/>
  <c r="R54" i="21422"/>
  <c r="Q54" i="21422"/>
  <c r="P54" i="21422"/>
  <c r="O54" i="21422"/>
  <c r="N54" i="21422"/>
  <c r="M54" i="21422"/>
  <c r="L54" i="21422"/>
  <c r="K54" i="21422"/>
  <c r="J54" i="21422"/>
  <c r="I54" i="21422"/>
  <c r="H54" i="21422"/>
  <c r="G54" i="21422"/>
  <c r="F54" i="21422"/>
  <c r="E54" i="21422"/>
  <c r="D54" i="21422"/>
  <c r="C54" i="21422"/>
  <c r="B54" i="21422"/>
  <c r="A54" i="21422"/>
  <c r="BG53" i="21422"/>
  <c r="BF53" i="21422"/>
  <c r="BF43" i="21420" s="1"/>
  <c r="BE53" i="21422"/>
  <c r="BE43" i="21420" s="1"/>
  <c r="BD53" i="21422"/>
  <c r="BD43" i="21420" s="1"/>
  <c r="BC53" i="21422"/>
  <c r="BC43" i="21420" s="1"/>
  <c r="BB53" i="21422"/>
  <c r="BB43" i="21420" s="1"/>
  <c r="BA53" i="21422"/>
  <c r="BA43" i="21420" s="1"/>
  <c r="AZ53" i="21422"/>
  <c r="AZ43" i="21420" s="1"/>
  <c r="AY53" i="21422"/>
  <c r="AY43" i="21420" s="1"/>
  <c r="AX53" i="21422"/>
  <c r="AX43" i="21420" s="1"/>
  <c r="AW53" i="21422"/>
  <c r="AW43" i="21420" s="1"/>
  <c r="AV53" i="21422"/>
  <c r="AV43" i="21420" s="1"/>
  <c r="AU53" i="21422"/>
  <c r="AU43" i="21420" s="1"/>
  <c r="AS53" i="21422"/>
  <c r="AS43" i="21420" s="1"/>
  <c r="AR53" i="21422"/>
  <c r="AR43" i="21420" s="1"/>
  <c r="AQ53" i="21422"/>
  <c r="AQ43" i="21420" s="1"/>
  <c r="AP53" i="21422"/>
  <c r="AP43" i="21420" s="1"/>
  <c r="AO53" i="21422"/>
  <c r="AO43" i="21420" s="1"/>
  <c r="AN53" i="21422"/>
  <c r="AN43" i="21420" s="1"/>
  <c r="AM53" i="21422"/>
  <c r="AM43" i="21420" s="1"/>
  <c r="AL53" i="21422"/>
  <c r="AL43" i="21420" s="1"/>
  <c r="AK53" i="21422"/>
  <c r="AK43" i="21420" s="1"/>
  <c r="AJ53" i="21422"/>
  <c r="AJ43" i="21420" s="1"/>
  <c r="AI53" i="21422"/>
  <c r="AI43" i="21420" s="1"/>
  <c r="AH53" i="21422"/>
  <c r="AH43" i="21420" s="1"/>
  <c r="AG53" i="21422"/>
  <c r="AG43" i="21420" s="1"/>
  <c r="AF53" i="21422"/>
  <c r="AF43" i="21420" s="1"/>
  <c r="AE53" i="21422"/>
  <c r="AE43" i="21420" s="1"/>
  <c r="AD53" i="21422"/>
  <c r="AD43" i="21420" s="1"/>
  <c r="AB53" i="21422"/>
  <c r="AB43" i="21420" s="1"/>
  <c r="AA53" i="21422"/>
  <c r="AA43" i="21420" s="1"/>
  <c r="Z53" i="21422"/>
  <c r="Z43" i="21420" s="1"/>
  <c r="Y53" i="21422"/>
  <c r="Y43" i="21420" s="1"/>
  <c r="X53" i="21422"/>
  <c r="X43" i="21420" s="1"/>
  <c r="W53" i="21422"/>
  <c r="W43" i="21420" s="1"/>
  <c r="V53" i="21422"/>
  <c r="V43" i="21420" s="1"/>
  <c r="U53" i="21422"/>
  <c r="U43" i="21420" s="1"/>
  <c r="T53" i="21422"/>
  <c r="T43" i="21420" s="1"/>
  <c r="S53" i="21422"/>
  <c r="S43" i="21420" s="1"/>
  <c r="R53" i="21422"/>
  <c r="R43" i="21420" s="1"/>
  <c r="Q53" i="21422"/>
  <c r="Q43" i="21420" s="1"/>
  <c r="P53" i="21422"/>
  <c r="P43" i="21420" s="1"/>
  <c r="O53" i="21422"/>
  <c r="O43" i="21420" s="1"/>
  <c r="N53" i="21422"/>
  <c r="N43" i="21420" s="1"/>
  <c r="M53" i="21422"/>
  <c r="M43" i="21420" s="1"/>
  <c r="L53" i="21422"/>
  <c r="L43" i="21420" s="1"/>
  <c r="K53" i="21422"/>
  <c r="K43" i="21420" s="1"/>
  <c r="J53" i="21422"/>
  <c r="J43" i="21420" s="1"/>
  <c r="I53" i="21422"/>
  <c r="I43" i="21420" s="1"/>
  <c r="H53" i="21422"/>
  <c r="H43" i="21420" s="1"/>
  <c r="G53" i="21422"/>
  <c r="G43" i="21420" s="1"/>
  <c r="F53" i="21422"/>
  <c r="F43" i="21420" s="1"/>
  <c r="E53" i="21422"/>
  <c r="E43" i="21420" s="1"/>
  <c r="D53" i="21422"/>
  <c r="D43" i="21420" s="1"/>
  <c r="B53" i="21422"/>
  <c r="B43" i="21420" s="1"/>
  <c r="BG42" i="21421"/>
  <c r="BF42" i="21421"/>
  <c r="BE42" i="21421"/>
  <c r="BD42" i="21421"/>
  <c r="BC42" i="21421"/>
  <c r="BB42" i="21421"/>
  <c r="BA42" i="21421"/>
  <c r="AX42" i="21421"/>
  <c r="AW42" i="21421"/>
  <c r="AV42" i="21421"/>
  <c r="AU42" i="21421"/>
  <c r="AT42" i="21421"/>
  <c r="AS42" i="21421"/>
  <c r="AR42" i="21421"/>
  <c r="AP42" i="21421"/>
  <c r="AO42" i="21421"/>
  <c r="AN42" i="21421"/>
  <c r="AM42" i="21421"/>
  <c r="AL42" i="21421"/>
  <c r="AK42" i="21421"/>
  <c r="AJ42" i="21421"/>
  <c r="AI42" i="21421"/>
  <c r="AH42" i="21421"/>
  <c r="AG42" i="21421"/>
  <c r="AF42" i="21421"/>
  <c r="AE42" i="21421"/>
  <c r="AD42" i="21421"/>
  <c r="AC42" i="21421"/>
  <c r="AB42" i="21421"/>
  <c r="AA42" i="21421"/>
  <c r="Z42" i="21421"/>
  <c r="Y42" i="21421"/>
  <c r="X42" i="21421"/>
  <c r="W42" i="21421"/>
  <c r="V42" i="21421"/>
  <c r="U42" i="21421"/>
  <c r="T42" i="21421"/>
  <c r="S42" i="21421"/>
  <c r="R42" i="21421"/>
  <c r="Q42" i="21421"/>
  <c r="P42" i="21421"/>
  <c r="O42" i="21421"/>
  <c r="N42" i="21421"/>
  <c r="M42" i="21421"/>
  <c r="L42" i="21421"/>
  <c r="K42" i="21421"/>
  <c r="I42" i="21421"/>
  <c r="H42" i="21421"/>
  <c r="G42" i="21421"/>
  <c r="F42" i="21421"/>
  <c r="E42" i="21421"/>
  <c r="D42" i="21421"/>
  <c r="C42" i="21421"/>
  <c r="B42" i="21421"/>
  <c r="A42" i="21421"/>
  <c r="BG41" i="21421"/>
  <c r="BF41" i="21421"/>
  <c r="BE41" i="21421"/>
  <c r="BD41" i="21421"/>
  <c r="BC41" i="21421"/>
  <c r="BA41" i="21421"/>
  <c r="AX41" i="21421"/>
  <c r="AW41" i="21421"/>
  <c r="AV41" i="21421"/>
  <c r="AU41" i="21421"/>
  <c r="AS41" i="21421"/>
  <c r="AR41" i="21421"/>
  <c r="AQ41" i="21421"/>
  <c r="AP41" i="21421"/>
  <c r="AO41" i="21421"/>
  <c r="AN41" i="21421"/>
  <c r="AM41" i="21421"/>
  <c r="AL41" i="21421"/>
  <c r="AK41" i="21421"/>
  <c r="AJ41" i="21421"/>
  <c r="AI41" i="21421"/>
  <c r="AH41" i="21421"/>
  <c r="AG41" i="21421"/>
  <c r="AF41" i="21421"/>
  <c r="AE41" i="21421"/>
  <c r="AD41" i="21421"/>
  <c r="AB41" i="21421"/>
  <c r="AA41" i="21421"/>
  <c r="Z41" i="21421"/>
  <c r="Y41" i="21421"/>
  <c r="X41" i="21421"/>
  <c r="W41" i="21421"/>
  <c r="V41" i="21421"/>
  <c r="U41" i="21421"/>
  <c r="T41" i="21421"/>
  <c r="S41" i="21421"/>
  <c r="R41" i="21421"/>
  <c r="Q41" i="21421"/>
  <c r="P41" i="21421"/>
  <c r="O41" i="21421"/>
  <c r="N41" i="21421"/>
  <c r="M41" i="21421"/>
  <c r="L41" i="21421"/>
  <c r="K41" i="21421"/>
  <c r="J41" i="21421"/>
  <c r="I41" i="21421"/>
  <c r="H41" i="21421"/>
  <c r="G41" i="21421"/>
  <c r="F41" i="21421"/>
  <c r="E41" i="21421"/>
  <c r="D41" i="21421"/>
  <c r="B41" i="21421"/>
  <c r="A41" i="21421"/>
  <c r="BG40" i="21421"/>
  <c r="BF40" i="21421"/>
  <c r="BE40" i="21421"/>
  <c r="BD40" i="21421"/>
  <c r="BC40" i="21421"/>
  <c r="BB40" i="21421"/>
  <c r="BA40" i="21421"/>
  <c r="AX40" i="21421"/>
  <c r="AW40" i="21421"/>
  <c r="AV40" i="21421"/>
  <c r="AU40" i="21421"/>
  <c r="AT40" i="21421"/>
  <c r="AS40" i="21421"/>
  <c r="AR40" i="21421"/>
  <c r="AP40" i="21421"/>
  <c r="AO40" i="21421"/>
  <c r="AN40" i="21421"/>
  <c r="AM40" i="21421"/>
  <c r="AL40" i="21421"/>
  <c r="AK40" i="21421"/>
  <c r="AJ40" i="21421"/>
  <c r="AI40" i="21421"/>
  <c r="AH40" i="21421"/>
  <c r="AG40" i="21421"/>
  <c r="AF40" i="21421"/>
  <c r="AE40" i="21421"/>
  <c r="AD40" i="21421"/>
  <c r="AC40" i="21421"/>
  <c r="AB40" i="21421"/>
  <c r="AA40" i="21421"/>
  <c r="Z40" i="21421"/>
  <c r="Y40" i="21421"/>
  <c r="X40" i="21421"/>
  <c r="W40" i="21421"/>
  <c r="V40" i="21421"/>
  <c r="U40" i="21421"/>
  <c r="T40" i="21421"/>
  <c r="S40" i="21421"/>
  <c r="R40" i="21421"/>
  <c r="Q40" i="21421"/>
  <c r="P40" i="21421"/>
  <c r="O40" i="21421"/>
  <c r="N40" i="21421"/>
  <c r="M40" i="21421"/>
  <c r="L40" i="21421"/>
  <c r="K40" i="21421"/>
  <c r="J40" i="21421"/>
  <c r="I40" i="21421"/>
  <c r="H40" i="21421"/>
  <c r="G40" i="21421"/>
  <c r="F40" i="21421"/>
  <c r="E40" i="21421"/>
  <c r="D40" i="21421"/>
  <c r="C40" i="21421"/>
  <c r="B40" i="21421"/>
  <c r="A40" i="21421"/>
  <c r="BG39" i="21421"/>
  <c r="BF39" i="21421"/>
  <c r="BE39" i="21421"/>
  <c r="BD39" i="21421"/>
  <c r="BC39" i="21421"/>
  <c r="BA39" i="21421"/>
  <c r="AZ39" i="21421"/>
  <c r="AY39" i="21421"/>
  <c r="AX39" i="21421"/>
  <c r="AW39" i="21421"/>
  <c r="AV39" i="21421"/>
  <c r="AU39" i="21421"/>
  <c r="AS39" i="21421"/>
  <c r="AR39" i="21421"/>
  <c r="AQ39" i="21421"/>
  <c r="AP39" i="21421"/>
  <c r="AO39" i="21421"/>
  <c r="AN39" i="21421"/>
  <c r="AM39" i="21421"/>
  <c r="AL39" i="21421"/>
  <c r="AK39" i="21421"/>
  <c r="AJ39" i="21421"/>
  <c r="AI39" i="21421"/>
  <c r="AH39" i="21421"/>
  <c r="AG39" i="21421"/>
  <c r="AF39" i="21421"/>
  <c r="AE39" i="21421"/>
  <c r="AD39" i="21421"/>
  <c r="AB39" i="21421"/>
  <c r="AA39" i="21421"/>
  <c r="Z39" i="21421"/>
  <c r="Y39" i="21421"/>
  <c r="X39" i="21421"/>
  <c r="W39" i="21421"/>
  <c r="V39" i="21421"/>
  <c r="U39" i="21421"/>
  <c r="T39" i="21421"/>
  <c r="S39" i="21421"/>
  <c r="R39" i="21421"/>
  <c r="Q39" i="21421"/>
  <c r="P39" i="21421"/>
  <c r="O39" i="21421"/>
  <c r="N39" i="21421"/>
  <c r="M39" i="21421"/>
  <c r="L39" i="21421"/>
  <c r="K39" i="21421"/>
  <c r="J39" i="21421"/>
  <c r="I39" i="21421"/>
  <c r="H39" i="21421"/>
  <c r="G39" i="21421"/>
  <c r="F39" i="21421"/>
  <c r="E39" i="21421"/>
  <c r="D39" i="21421"/>
  <c r="B39" i="21421"/>
  <c r="A39" i="21421"/>
  <c r="BG38" i="21421"/>
  <c r="BF38" i="21421"/>
  <c r="BE38" i="21421"/>
  <c r="BD38" i="21421"/>
  <c r="BC38" i="21421"/>
  <c r="BB38" i="21421"/>
  <c r="BA38" i="21421"/>
  <c r="AZ38" i="21421"/>
  <c r="AY38" i="21421"/>
  <c r="AX38" i="21421"/>
  <c r="AW38" i="21421"/>
  <c r="AV38" i="21421"/>
  <c r="AU38" i="21421"/>
  <c r="AT38" i="21421"/>
  <c r="AS38" i="21421"/>
  <c r="AR38" i="21421"/>
  <c r="AP38" i="21421"/>
  <c r="AO38" i="21421"/>
  <c r="AN38" i="21421"/>
  <c r="AM38" i="21421"/>
  <c r="AL38" i="21421"/>
  <c r="AK38" i="21421"/>
  <c r="AJ38" i="21421"/>
  <c r="AI38" i="21421"/>
  <c r="AH38" i="21421"/>
  <c r="AG38" i="21421"/>
  <c r="AF38" i="21421"/>
  <c r="AE38" i="21421"/>
  <c r="AD38" i="21421"/>
  <c r="AC38" i="21421"/>
  <c r="AB38" i="21421"/>
  <c r="AA38" i="21421"/>
  <c r="Z38" i="21421"/>
  <c r="Y38" i="21421"/>
  <c r="X38" i="21421"/>
  <c r="W38" i="21421"/>
  <c r="V38" i="21421"/>
  <c r="U38" i="21421"/>
  <c r="T38" i="21421"/>
  <c r="S38" i="21421"/>
  <c r="R38" i="21421"/>
  <c r="Q38" i="21421"/>
  <c r="P38" i="21421"/>
  <c r="O38" i="21421"/>
  <c r="N38" i="21421"/>
  <c r="M38" i="21421"/>
  <c r="L38" i="21421"/>
  <c r="K38" i="21421"/>
  <c r="J38" i="21421"/>
  <c r="I38" i="21421"/>
  <c r="H38" i="21421"/>
  <c r="G38" i="21421"/>
  <c r="F38" i="21421"/>
  <c r="E38" i="21421"/>
  <c r="D38" i="21421"/>
  <c r="C38" i="21421"/>
  <c r="B38" i="21421"/>
  <c r="A38" i="21421"/>
  <c r="BG37" i="21421"/>
  <c r="BF37" i="21421"/>
  <c r="BE37" i="21421"/>
  <c r="BD37" i="21421"/>
  <c r="BC37" i="21421"/>
  <c r="BA37" i="21421"/>
  <c r="AZ37" i="21421"/>
  <c r="AY37" i="21421"/>
  <c r="AX37" i="21421"/>
  <c r="AW37" i="21421"/>
  <c r="AV37" i="21421"/>
  <c r="AU37" i="21421"/>
  <c r="AS37" i="21421"/>
  <c r="AR37" i="21421"/>
  <c r="AQ37" i="21421"/>
  <c r="AP37" i="21421"/>
  <c r="AO37" i="21421"/>
  <c r="AN37" i="21421"/>
  <c r="AM37" i="21421"/>
  <c r="AL37" i="21421"/>
  <c r="AK37" i="21421"/>
  <c r="AJ37" i="21421"/>
  <c r="AI37" i="21421"/>
  <c r="AH37" i="21421"/>
  <c r="AG37" i="21421"/>
  <c r="AF37" i="21421"/>
  <c r="AE37" i="21421"/>
  <c r="AD37" i="21421"/>
  <c r="AB37" i="21421"/>
  <c r="AA37" i="21421"/>
  <c r="Z37" i="21421"/>
  <c r="Y37" i="21421"/>
  <c r="X37" i="21421"/>
  <c r="W37" i="21421"/>
  <c r="V37" i="21421"/>
  <c r="U37" i="21421"/>
  <c r="T37" i="21421"/>
  <c r="S37" i="21421"/>
  <c r="R37" i="21421"/>
  <c r="Q37" i="21421"/>
  <c r="P37" i="21421"/>
  <c r="O37" i="21421"/>
  <c r="N37" i="21421"/>
  <c r="M37" i="21421"/>
  <c r="L37" i="21421"/>
  <c r="K37" i="21421"/>
  <c r="J37" i="21421"/>
  <c r="I37" i="21421"/>
  <c r="H37" i="21421"/>
  <c r="G37" i="21421"/>
  <c r="F37" i="21421"/>
  <c r="E37" i="21421"/>
  <c r="D37" i="21421"/>
  <c r="B37" i="21421"/>
  <c r="A37" i="21421"/>
  <c r="BG36" i="21421"/>
  <c r="BF36" i="21421"/>
  <c r="BE36" i="21421"/>
  <c r="BD36" i="21421"/>
  <c r="BC36" i="21421"/>
  <c r="BB36" i="21421"/>
  <c r="BA36" i="21421"/>
  <c r="AZ36" i="21421"/>
  <c r="AY36" i="21421"/>
  <c r="AX36" i="21421"/>
  <c r="AW36" i="21421"/>
  <c r="AV36" i="21421"/>
  <c r="AU36" i="21421"/>
  <c r="AT36" i="21421"/>
  <c r="AS36" i="21421"/>
  <c r="AR36" i="21421"/>
  <c r="AP36" i="21421"/>
  <c r="AO36" i="21421"/>
  <c r="AN36" i="21421"/>
  <c r="AM36" i="21421"/>
  <c r="AL36" i="21421"/>
  <c r="AK36" i="21421"/>
  <c r="AJ36" i="21421"/>
  <c r="AI36" i="21421"/>
  <c r="AH36" i="21421"/>
  <c r="AG36" i="21421"/>
  <c r="AF36" i="21421"/>
  <c r="AE36" i="21421"/>
  <c r="AD36" i="21421"/>
  <c r="AC36" i="21421"/>
  <c r="AB36" i="21421"/>
  <c r="AA36" i="21421"/>
  <c r="Z36" i="21421"/>
  <c r="Y36" i="21421"/>
  <c r="X36" i="21421"/>
  <c r="W36" i="21421"/>
  <c r="V36" i="21421"/>
  <c r="U36" i="21421"/>
  <c r="T36" i="21421"/>
  <c r="S36" i="21421"/>
  <c r="R36" i="21421"/>
  <c r="Q36" i="21421"/>
  <c r="P36" i="21421"/>
  <c r="O36" i="21421"/>
  <c r="N36" i="21421"/>
  <c r="M36" i="21421"/>
  <c r="L36" i="21421"/>
  <c r="K36" i="21421"/>
  <c r="J36" i="21421"/>
  <c r="I36" i="21421"/>
  <c r="H36" i="21421"/>
  <c r="G36" i="21421"/>
  <c r="F36" i="21421"/>
  <c r="E36" i="21421"/>
  <c r="D36" i="21421"/>
  <c r="C36" i="21421"/>
  <c r="B36" i="21421"/>
  <c r="A36" i="21421"/>
  <c r="BG35" i="21421"/>
  <c r="BF35" i="21421"/>
  <c r="BE35" i="21421"/>
  <c r="BD35" i="21421"/>
  <c r="BC35" i="21421"/>
  <c r="BA35" i="21421"/>
  <c r="AZ35" i="21421"/>
  <c r="AX35" i="21421"/>
  <c r="AV35" i="21421"/>
  <c r="AU35" i="21421"/>
  <c r="AS35" i="21421"/>
  <c r="AR35" i="21421"/>
  <c r="AQ35" i="21421"/>
  <c r="AP35" i="21421"/>
  <c r="AO35" i="21421"/>
  <c r="AN35" i="21421"/>
  <c r="AM35" i="21421"/>
  <c r="AL35" i="21421"/>
  <c r="AK35" i="21421"/>
  <c r="AJ35" i="21421"/>
  <c r="AI35" i="21421"/>
  <c r="AH35" i="21421"/>
  <c r="AG35" i="21421"/>
  <c r="AF35" i="21421"/>
  <c r="AE35" i="21421"/>
  <c r="AD35" i="21421"/>
  <c r="AC35" i="21421"/>
  <c r="AB35" i="21421"/>
  <c r="AA35" i="21421"/>
  <c r="Z35" i="21421"/>
  <c r="Y35" i="21421"/>
  <c r="X35" i="21421"/>
  <c r="W35" i="21421"/>
  <c r="V35" i="21421"/>
  <c r="U35" i="21421"/>
  <c r="T35" i="21421"/>
  <c r="S35" i="21421"/>
  <c r="R35" i="21421"/>
  <c r="Q35" i="21421"/>
  <c r="P35" i="21421"/>
  <c r="O35" i="21421"/>
  <c r="N35" i="21421"/>
  <c r="M35" i="21421"/>
  <c r="L35" i="21421"/>
  <c r="K35" i="21421"/>
  <c r="J35" i="21421"/>
  <c r="I35" i="21421"/>
  <c r="H35" i="21421"/>
  <c r="G35" i="21421"/>
  <c r="F35" i="21421"/>
  <c r="E35" i="21421"/>
  <c r="D35" i="21421"/>
  <c r="B35" i="21421"/>
  <c r="A35" i="21421"/>
  <c r="BG34" i="21421"/>
  <c r="BF34" i="21421"/>
  <c r="BE34" i="21421"/>
  <c r="BD34" i="21421"/>
  <c r="BC34" i="21421"/>
  <c r="BB34" i="21421"/>
  <c r="BA34" i="21421"/>
  <c r="AZ34" i="21421"/>
  <c r="AY34" i="21421"/>
  <c r="AX34" i="21421"/>
  <c r="AW34" i="21421"/>
  <c r="AV34" i="21421"/>
  <c r="AU34" i="21421"/>
  <c r="AT34" i="21421"/>
  <c r="AS34" i="21421"/>
  <c r="AR34" i="21421"/>
  <c r="AP34" i="21421"/>
  <c r="AO34" i="21421"/>
  <c r="AN34" i="21421"/>
  <c r="AM34" i="21421"/>
  <c r="AL34" i="21421"/>
  <c r="AK34" i="21421"/>
  <c r="AJ34" i="21421"/>
  <c r="AI34" i="21421"/>
  <c r="AH34" i="21421"/>
  <c r="AG34" i="21421"/>
  <c r="AF34" i="21421"/>
  <c r="AE34" i="21421"/>
  <c r="AD34" i="21421"/>
  <c r="AC34" i="21421"/>
  <c r="AB34" i="21421"/>
  <c r="AA34" i="21421"/>
  <c r="Z34" i="21421"/>
  <c r="Y34" i="21421"/>
  <c r="X34" i="21421"/>
  <c r="W34" i="21421"/>
  <c r="V34" i="21421"/>
  <c r="U34" i="21421"/>
  <c r="T34" i="21421"/>
  <c r="S34" i="21421"/>
  <c r="R34" i="21421"/>
  <c r="Q34" i="21421"/>
  <c r="P34" i="21421"/>
  <c r="O34" i="21421"/>
  <c r="N34" i="21421"/>
  <c r="M34" i="21421"/>
  <c r="L34" i="21421"/>
  <c r="K34" i="21421"/>
  <c r="J34" i="21421"/>
  <c r="I34" i="21421"/>
  <c r="H34" i="21421"/>
  <c r="G34" i="21421"/>
  <c r="F34" i="21421"/>
  <c r="E34" i="21421"/>
  <c r="D34" i="21421"/>
  <c r="C34" i="21421"/>
  <c r="B34" i="21421"/>
  <c r="A34" i="21421"/>
  <c r="BG10" i="21421"/>
  <c r="BF10" i="21421"/>
  <c r="BE10" i="21421"/>
  <c r="BD10" i="21421"/>
  <c r="BC10" i="21421"/>
  <c r="BB10" i="21421"/>
  <c r="BA10" i="21421"/>
  <c r="AZ10" i="21421"/>
  <c r="AY10" i="21421"/>
  <c r="AX10" i="21421"/>
  <c r="AW10" i="21421"/>
  <c r="AV10" i="21421"/>
  <c r="AU10" i="21421"/>
  <c r="AT10" i="21421"/>
  <c r="AS10" i="21421"/>
  <c r="AR10" i="21421"/>
  <c r="AP10" i="21421"/>
  <c r="AO10" i="21421"/>
  <c r="AN10" i="21421"/>
  <c r="AM10" i="21421"/>
  <c r="AL10" i="21421"/>
  <c r="AK10" i="21421"/>
  <c r="AJ10" i="21421"/>
  <c r="AI10" i="21421"/>
  <c r="AH10" i="21421"/>
  <c r="AG10" i="21421"/>
  <c r="AF10" i="21421"/>
  <c r="AE10" i="21421"/>
  <c r="AD10" i="21421"/>
  <c r="AC10" i="21421"/>
  <c r="AB10" i="21421"/>
  <c r="AA10" i="21421"/>
  <c r="Z10" i="21421"/>
  <c r="Y10" i="21421"/>
  <c r="X10" i="21421"/>
  <c r="W10" i="21421"/>
  <c r="V10" i="21421"/>
  <c r="U10" i="21421"/>
  <c r="T10" i="21421"/>
  <c r="S10" i="21421"/>
  <c r="R10" i="21421"/>
  <c r="Q10" i="21421"/>
  <c r="P10" i="21421"/>
  <c r="O10" i="21421"/>
  <c r="N10" i="21421"/>
  <c r="M10" i="21421"/>
  <c r="L10" i="21421"/>
  <c r="K10" i="21421"/>
  <c r="J10" i="21421"/>
  <c r="I10" i="21421"/>
  <c r="H10" i="21421"/>
  <c r="G10" i="21421"/>
  <c r="F10" i="21421"/>
  <c r="E10" i="21421"/>
  <c r="D10" i="21421"/>
  <c r="C10" i="21421"/>
  <c r="B10" i="21421"/>
  <c r="BG9" i="21421"/>
  <c r="BF9" i="21421"/>
  <c r="BE9" i="21421"/>
  <c r="BD9" i="21421"/>
  <c r="BC9" i="21421"/>
  <c r="BA9" i="21421"/>
  <c r="AZ9" i="21421"/>
  <c r="AX9" i="21421"/>
  <c r="AV9" i="21421"/>
  <c r="AU9" i="21421"/>
  <c r="AS9" i="21421"/>
  <c r="AR9" i="21421"/>
  <c r="AQ9" i="21421"/>
  <c r="AP9" i="21421"/>
  <c r="AO9" i="21421"/>
  <c r="AN9" i="21421"/>
  <c r="AM9" i="21421"/>
  <c r="AL9" i="21421"/>
  <c r="AK9" i="21421"/>
  <c r="AJ9" i="21421"/>
  <c r="AI9" i="21421"/>
  <c r="AH9" i="21421"/>
  <c r="AG9" i="21421"/>
  <c r="AF9" i="21421"/>
  <c r="AE9" i="21421"/>
  <c r="AD9" i="21421"/>
  <c r="AC9" i="21421"/>
  <c r="AB9" i="21421"/>
  <c r="AA9" i="21421"/>
  <c r="Z9" i="21421"/>
  <c r="Y9" i="21421"/>
  <c r="X9" i="21421"/>
  <c r="W9" i="21421"/>
  <c r="V9" i="21421"/>
  <c r="U9" i="21421"/>
  <c r="T9" i="21421"/>
  <c r="S9" i="21421"/>
  <c r="R9" i="21421"/>
  <c r="Q9" i="21421"/>
  <c r="P9" i="21421"/>
  <c r="O9" i="21421"/>
  <c r="N9" i="21421"/>
  <c r="L9" i="21421"/>
  <c r="K9" i="21421"/>
  <c r="J9" i="21421"/>
  <c r="I9" i="21421"/>
  <c r="H9" i="21421"/>
  <c r="G9" i="21421"/>
  <c r="F9" i="21421"/>
  <c r="E9" i="21421"/>
  <c r="D9" i="21421"/>
  <c r="B9" i="21421"/>
  <c r="A9" i="21421"/>
  <c r="BG8" i="21421"/>
  <c r="BF8" i="21421"/>
  <c r="BE8" i="21421"/>
  <c r="BD8" i="21421"/>
  <c r="BC8" i="21421"/>
  <c r="BB8" i="21421"/>
  <c r="BA8" i="21421"/>
  <c r="AY8" i="21421"/>
  <c r="AX8" i="21421"/>
  <c r="AV8" i="21421"/>
  <c r="AU8" i="21421"/>
  <c r="AT8" i="21421"/>
  <c r="AS8" i="21421"/>
  <c r="AR8" i="21421"/>
  <c r="AP8" i="21421"/>
  <c r="AO8" i="21421"/>
  <c r="AN8" i="21421"/>
  <c r="AM8" i="21421"/>
  <c r="AL8" i="21421"/>
  <c r="AK8" i="21421"/>
  <c r="AJ8" i="21421"/>
  <c r="AI8" i="21421"/>
  <c r="AH8" i="21421"/>
  <c r="AG8" i="21421"/>
  <c r="AF8" i="21421"/>
  <c r="AE8" i="21421"/>
  <c r="AD8" i="21421"/>
  <c r="AC8" i="21421"/>
  <c r="AB8" i="21421"/>
  <c r="AA8" i="21421"/>
  <c r="Z8" i="21421"/>
  <c r="Y8" i="21421"/>
  <c r="X8" i="21421"/>
  <c r="W8" i="21421"/>
  <c r="V8" i="21421"/>
  <c r="U8" i="21421"/>
  <c r="T8" i="21421"/>
  <c r="S8" i="21421"/>
  <c r="R8" i="21421"/>
  <c r="Q8" i="21421"/>
  <c r="P8" i="21421"/>
  <c r="O8" i="21421"/>
  <c r="N8" i="21421"/>
  <c r="M8" i="21421"/>
  <c r="L8" i="21421"/>
  <c r="K8" i="21421"/>
  <c r="I8" i="21421"/>
  <c r="H8" i="21421"/>
  <c r="G8" i="21421"/>
  <c r="F8" i="21421"/>
  <c r="E8" i="21421"/>
  <c r="D8" i="21421"/>
  <c r="C8" i="21421"/>
  <c r="B8" i="21421"/>
  <c r="A8" i="21421"/>
  <c r="BG7" i="21421"/>
  <c r="BF7" i="21421"/>
  <c r="BE7" i="21421"/>
  <c r="BD7" i="21421"/>
  <c r="BC7" i="21421"/>
  <c r="BA7" i="21421"/>
  <c r="AZ7" i="21421"/>
  <c r="AX7" i="21421"/>
  <c r="AV7" i="21421"/>
  <c r="AU7" i="21421"/>
  <c r="AS7" i="21421"/>
  <c r="AR7" i="21421"/>
  <c r="AQ7" i="21421"/>
  <c r="AP7" i="21421"/>
  <c r="AO7" i="21421"/>
  <c r="AN7" i="21421"/>
  <c r="AM7" i="21421"/>
  <c r="AL7" i="21421"/>
  <c r="AK7" i="21421"/>
  <c r="AJ7" i="21421"/>
  <c r="AI7" i="21421"/>
  <c r="AH7" i="21421"/>
  <c r="AG7" i="21421"/>
  <c r="AF7" i="21421"/>
  <c r="AE7" i="21421"/>
  <c r="AD7" i="21421"/>
  <c r="AC7" i="21421"/>
  <c r="AB7" i="21421"/>
  <c r="AA7" i="21421"/>
  <c r="Z7" i="21421"/>
  <c r="Y7" i="21421"/>
  <c r="X7" i="21421"/>
  <c r="W7" i="21421"/>
  <c r="V7" i="21421"/>
  <c r="U7" i="21421"/>
  <c r="T7" i="21421"/>
  <c r="S7" i="21421"/>
  <c r="R7" i="21421"/>
  <c r="Q7" i="21421"/>
  <c r="P7" i="21421"/>
  <c r="O7" i="21421"/>
  <c r="N7" i="21421"/>
  <c r="L7" i="21421"/>
  <c r="K7" i="21421"/>
  <c r="J7" i="21421"/>
  <c r="I7" i="21421"/>
  <c r="H7" i="21421"/>
  <c r="G7" i="21421"/>
  <c r="F7" i="21421"/>
  <c r="E7" i="21421"/>
  <c r="D7" i="21421"/>
  <c r="B7" i="21421"/>
  <c r="A7" i="21421"/>
  <c r="BG6" i="21421"/>
  <c r="BF6" i="21421"/>
  <c r="BE6" i="21421"/>
  <c r="BD6" i="21421"/>
  <c r="BC6" i="21421"/>
  <c r="BB6" i="21421"/>
  <c r="BA6" i="21421"/>
  <c r="AX6" i="21421"/>
  <c r="AW6" i="21421"/>
  <c r="AV6" i="21421"/>
  <c r="AU6" i="21421"/>
  <c r="AT6" i="21421"/>
  <c r="AS6" i="21421"/>
  <c r="AR6" i="21421"/>
  <c r="AP6" i="21421"/>
  <c r="AO6" i="21421"/>
  <c r="AN6" i="21421"/>
  <c r="AM6" i="21421"/>
  <c r="AL6" i="21421"/>
  <c r="AK6" i="21421"/>
  <c r="AJ6" i="21421"/>
  <c r="AI6" i="21421"/>
  <c r="AH6" i="21421"/>
  <c r="AG6" i="21421"/>
  <c r="AF6" i="21421"/>
  <c r="AE6" i="21421"/>
  <c r="AD6" i="21421"/>
  <c r="AC6" i="21421"/>
  <c r="AB6" i="21421"/>
  <c r="AA6" i="21421"/>
  <c r="Z6" i="21421"/>
  <c r="Y6" i="21421"/>
  <c r="X6" i="21421"/>
  <c r="W6" i="21421"/>
  <c r="V6" i="21421"/>
  <c r="U6" i="21421"/>
  <c r="T6" i="21421"/>
  <c r="S6" i="21421"/>
  <c r="R6" i="21421"/>
  <c r="Q6" i="21421"/>
  <c r="P6" i="21421"/>
  <c r="O6" i="21421"/>
  <c r="N6" i="21421"/>
  <c r="M6" i="21421"/>
  <c r="L6" i="21421"/>
  <c r="K6" i="21421"/>
  <c r="J6" i="21421"/>
  <c r="I6" i="21421"/>
  <c r="H6" i="21421"/>
  <c r="G6" i="21421"/>
  <c r="F6" i="21421"/>
  <c r="E6" i="21421"/>
  <c r="D6" i="21421"/>
  <c r="C6" i="21421"/>
  <c r="B6" i="21421"/>
  <c r="A6" i="21421"/>
  <c r="BG5" i="21421"/>
  <c r="BF5" i="21421"/>
  <c r="BE5" i="21421"/>
  <c r="BD5" i="21421"/>
  <c r="BC5" i="21421"/>
  <c r="BA5" i="21421"/>
  <c r="AX5" i="21421"/>
  <c r="AV5" i="21421"/>
  <c r="AU5" i="21421"/>
  <c r="AS5" i="21421"/>
  <c r="AR5" i="21421"/>
  <c r="AQ5" i="21421"/>
  <c r="AP5" i="21421"/>
  <c r="AO5" i="21421"/>
  <c r="AN5" i="21421"/>
  <c r="AM5" i="21421"/>
  <c r="AL5" i="21421"/>
  <c r="AK5" i="21421"/>
  <c r="AJ5" i="21421"/>
  <c r="AI5" i="21421"/>
  <c r="AH5" i="21421"/>
  <c r="AG5" i="21421"/>
  <c r="AF5" i="21421"/>
  <c r="AE5" i="21421"/>
  <c r="AD5" i="21421"/>
  <c r="AB5" i="21421"/>
  <c r="AA5" i="21421"/>
  <c r="Z5" i="21421"/>
  <c r="Y5" i="21421"/>
  <c r="X5" i="21421"/>
  <c r="W5" i="21421"/>
  <c r="V5" i="21421"/>
  <c r="U5" i="21421"/>
  <c r="T5" i="21421"/>
  <c r="S5" i="21421"/>
  <c r="R5" i="21421"/>
  <c r="Q5" i="21421"/>
  <c r="P5" i="21421"/>
  <c r="O5" i="21421"/>
  <c r="N5" i="21421"/>
  <c r="L5" i="21421"/>
  <c r="K5" i="21421"/>
  <c r="I5" i="21421"/>
  <c r="H5" i="21421"/>
  <c r="G5" i="21421"/>
  <c r="F5" i="21421"/>
  <c r="E5" i="21421"/>
  <c r="D5" i="21421"/>
  <c r="B5" i="21421"/>
  <c r="A5" i="21421"/>
  <c r="A10" i="21421"/>
  <c r="BG8" i="21422"/>
  <c r="BG4" i="21421" s="1"/>
  <c r="BF8" i="21422"/>
  <c r="BF4" i="21421" s="1"/>
  <c r="BE8" i="21422"/>
  <c r="BE4" i="21421" s="1"/>
  <c r="BD8" i="21422"/>
  <c r="BD4" i="21421" s="1"/>
  <c r="BC8" i="21422"/>
  <c r="BC4" i="21421" s="1"/>
  <c r="BB8" i="21422"/>
  <c r="BB4" i="21421" s="1"/>
  <c r="BA8" i="21422"/>
  <c r="BA4" i="21421" s="1"/>
  <c r="AY8" i="21422"/>
  <c r="AY4" i="21421" s="1"/>
  <c r="AV8" i="21422"/>
  <c r="AV4" i="21421" s="1"/>
  <c r="AU8" i="21422"/>
  <c r="AU4" i="21421" s="1"/>
  <c r="AT8" i="21422"/>
  <c r="AT4" i="21421" s="1"/>
  <c r="AS8" i="21422"/>
  <c r="AS4" i="21421" s="1"/>
  <c r="AR8" i="21422"/>
  <c r="AR4" i="21421" s="1"/>
  <c r="AP8" i="21422"/>
  <c r="AP4" i="21421" s="1"/>
  <c r="AO8" i="21422"/>
  <c r="AO4" i="21421" s="1"/>
  <c r="AN8" i="21422"/>
  <c r="AN4" i="21421" s="1"/>
  <c r="AM8" i="21422"/>
  <c r="AM4" i="21421" s="1"/>
  <c r="AL8" i="21422"/>
  <c r="AL4" i="21421" s="1"/>
  <c r="AK8" i="21422"/>
  <c r="AK4" i="21421" s="1"/>
  <c r="AJ8" i="21422"/>
  <c r="AJ4" i="21421" s="1"/>
  <c r="AI8" i="21422"/>
  <c r="AI4" i="21421" s="1"/>
  <c r="AH8" i="21422"/>
  <c r="AH4" i="21421" s="1"/>
  <c r="AG8" i="21422"/>
  <c r="AG4" i="21421" s="1"/>
  <c r="AF8" i="21422"/>
  <c r="AF4" i="21421" s="1"/>
  <c r="AE8" i="21422"/>
  <c r="AE4" i="21421" s="1"/>
  <c r="AD8" i="21422"/>
  <c r="AD4" i="21421" s="1"/>
  <c r="AC8" i="21422"/>
  <c r="AC4" i="21421" s="1"/>
  <c r="AB8" i="21422"/>
  <c r="AB4" i="21421" s="1"/>
  <c r="AA8" i="21422"/>
  <c r="AA4" i="21421" s="1"/>
  <c r="Z8" i="21422"/>
  <c r="Z4" i="21421" s="1"/>
  <c r="Y8" i="21422"/>
  <c r="Y4" i="21421" s="1"/>
  <c r="X8" i="21422"/>
  <c r="X4" i="21421" s="1"/>
  <c r="W8" i="21422"/>
  <c r="W4" i="21421" s="1"/>
  <c r="V8" i="21422"/>
  <c r="V4" i="21421" s="1"/>
  <c r="U8" i="21422"/>
  <c r="U4" i="21421" s="1"/>
  <c r="T8" i="21422"/>
  <c r="T4" i="21421" s="1"/>
  <c r="R8" i="21422"/>
  <c r="R4" i="21421" s="1"/>
  <c r="Q8" i="21422"/>
  <c r="Q4" i="21421" s="1"/>
  <c r="P8" i="21422"/>
  <c r="P4" i="21421" s="1"/>
  <c r="O8" i="21422"/>
  <c r="O4" i="21421" s="1"/>
  <c r="N8" i="21422"/>
  <c r="N4" i="21421" s="1"/>
  <c r="M8" i="21422"/>
  <c r="M4" i="21421" s="1"/>
  <c r="L8" i="21422"/>
  <c r="L4" i="21421" s="1"/>
  <c r="K8" i="21422"/>
  <c r="K4" i="21421" s="1"/>
  <c r="I8" i="21422"/>
  <c r="I4" i="21421" s="1"/>
  <c r="H8" i="21422"/>
  <c r="H4" i="21421" s="1"/>
  <c r="G8" i="21422"/>
  <c r="G4" i="21421" s="1"/>
  <c r="F8" i="21422"/>
  <c r="F4" i="21421" s="1"/>
  <c r="E8" i="21422"/>
  <c r="E4" i="21421" s="1"/>
  <c r="D8" i="21422"/>
  <c r="D4" i="21421" s="1"/>
  <c r="C8" i="21422"/>
  <c r="C4" i="21421" s="1"/>
  <c r="B8" i="21422"/>
  <c r="B4" i="21421" s="1"/>
  <c r="A8" i="21422"/>
  <c r="A4" i="21421" s="1"/>
  <c r="BG7" i="21422"/>
  <c r="BF7" i="21422"/>
  <c r="BE7" i="21422"/>
  <c r="BD7" i="21422"/>
  <c r="BC7" i="21422"/>
  <c r="BA7" i="21422"/>
  <c r="AZ7" i="21422"/>
  <c r="AV7" i="21422"/>
  <c r="AU7" i="21422"/>
  <c r="AS7" i="21422"/>
  <c r="AR7" i="21422"/>
  <c r="AQ7" i="21422"/>
  <c r="AP7" i="21422"/>
  <c r="AO7" i="21422"/>
  <c r="AN7" i="21422"/>
  <c r="AM7" i="21422"/>
  <c r="AL7" i="21422"/>
  <c r="AK7" i="21422"/>
  <c r="AJ7" i="21422"/>
  <c r="AI7" i="21422"/>
  <c r="AH7" i="21422"/>
  <c r="AG7" i="21422"/>
  <c r="AF7" i="21422"/>
  <c r="AE7" i="21422"/>
  <c r="AD7" i="21422"/>
  <c r="AC7" i="21422"/>
  <c r="AB7" i="21422"/>
  <c r="AA7" i="21422"/>
  <c r="Z7" i="21422"/>
  <c r="Y7" i="21422"/>
  <c r="X7" i="21422"/>
  <c r="W7" i="21422"/>
  <c r="V7" i="21422"/>
  <c r="U7" i="21422"/>
  <c r="T7" i="21422"/>
  <c r="S7" i="21422"/>
  <c r="R7" i="21422"/>
  <c r="Q7" i="21422"/>
  <c r="P7" i="21422"/>
  <c r="O7" i="21422"/>
  <c r="N7" i="21422"/>
  <c r="L7" i="21422"/>
  <c r="K7" i="21422"/>
  <c r="J7" i="21422"/>
  <c r="I7" i="21422"/>
  <c r="H7" i="21422"/>
  <c r="G7" i="21422"/>
  <c r="F7" i="21422"/>
  <c r="E7" i="21422"/>
  <c r="D7" i="21422"/>
  <c r="A7" i="21422"/>
  <c r="BG6" i="21422"/>
  <c r="BF6" i="21422"/>
  <c r="BE6" i="21422"/>
  <c r="BD6" i="21422"/>
  <c r="BC6" i="21422"/>
  <c r="BB6" i="21422"/>
  <c r="BA6" i="21422"/>
  <c r="AY6" i="21422"/>
  <c r="AV6" i="21422"/>
  <c r="AU6" i="21422"/>
  <c r="AT6" i="21422"/>
  <c r="AS6" i="21422"/>
  <c r="AR6" i="21422"/>
  <c r="AP6" i="21422"/>
  <c r="AO6" i="21422"/>
  <c r="AN6" i="21422"/>
  <c r="AM6" i="21422"/>
  <c r="AL6" i="21422"/>
  <c r="AK6" i="21422"/>
  <c r="AJ6" i="21422"/>
  <c r="AI6" i="21422"/>
  <c r="AH6" i="21422"/>
  <c r="AG6" i="21422"/>
  <c r="AF6" i="21422"/>
  <c r="AE6" i="21422"/>
  <c r="AD6" i="21422"/>
  <c r="AC6" i="21422"/>
  <c r="AB6" i="21422"/>
  <c r="AA6" i="21422"/>
  <c r="Z6" i="21422"/>
  <c r="Y6" i="21422"/>
  <c r="X6" i="21422"/>
  <c r="W6" i="21422"/>
  <c r="V6" i="21422"/>
  <c r="U6" i="21422"/>
  <c r="T6" i="21422"/>
  <c r="S6" i="21422"/>
  <c r="R6" i="21422"/>
  <c r="Q6" i="21422"/>
  <c r="P6" i="21422"/>
  <c r="O6" i="21422"/>
  <c r="N6" i="21422"/>
  <c r="M6" i="21422"/>
  <c r="L6" i="21422"/>
  <c r="K6" i="21422"/>
  <c r="I6" i="21422"/>
  <c r="H6" i="21422"/>
  <c r="G6" i="21422"/>
  <c r="F6" i="21422"/>
  <c r="E6" i="21422"/>
  <c r="D6" i="21422"/>
  <c r="C6" i="21422"/>
  <c r="B6" i="21422"/>
  <c r="A6" i="21422"/>
  <c r="BG5" i="21422"/>
  <c r="BF5" i="21422"/>
  <c r="BE5" i="21422"/>
  <c r="BD5" i="21422"/>
  <c r="BC5" i="21422"/>
  <c r="BA5" i="21422"/>
  <c r="AZ5" i="21422"/>
  <c r="AV5" i="21422"/>
  <c r="AU5" i="21422"/>
  <c r="AS5" i="21422"/>
  <c r="AR5" i="21422"/>
  <c r="AQ5" i="21422"/>
  <c r="AP5" i="21422"/>
  <c r="AO5" i="21422"/>
  <c r="AN5" i="21422"/>
  <c r="AM5" i="21422"/>
  <c r="AL5" i="21422"/>
  <c r="AK5" i="21422"/>
  <c r="AJ5" i="21422"/>
  <c r="AI5" i="21422"/>
  <c r="AH5" i="21422"/>
  <c r="AG5" i="21422"/>
  <c r="AF5" i="21422"/>
  <c r="AE5" i="21422"/>
  <c r="AD5" i="21422"/>
  <c r="AC5" i="21422"/>
  <c r="AB5" i="21422"/>
  <c r="AA5" i="21422"/>
  <c r="Z5" i="21422"/>
  <c r="Y5" i="21422"/>
  <c r="X5" i="21422"/>
  <c r="W5" i="21422"/>
  <c r="V5" i="21422"/>
  <c r="U5" i="21422"/>
  <c r="T5" i="21422"/>
  <c r="S5" i="21422"/>
  <c r="R5" i="21422"/>
  <c r="Q5" i="21422"/>
  <c r="P5" i="21422"/>
  <c r="O5" i="21422"/>
  <c r="N5" i="21422"/>
  <c r="L5" i="21422"/>
  <c r="K5" i="21422"/>
  <c r="J5" i="21422"/>
  <c r="I5" i="21422"/>
  <c r="H5" i="21422"/>
  <c r="G5" i="21422"/>
  <c r="F5" i="21422"/>
  <c r="E5" i="21422"/>
  <c r="D5" i="21422"/>
  <c r="B5" i="21422"/>
  <c r="A5" i="21422"/>
  <c r="BG4" i="21422"/>
  <c r="BF4" i="21422"/>
  <c r="BE4" i="21422"/>
  <c r="BD4" i="21422"/>
  <c r="BC4" i="21422"/>
  <c r="BB4" i="21422"/>
  <c r="BA4" i="21422"/>
  <c r="AY4" i="21422"/>
  <c r="AV4" i="21422"/>
  <c r="AU4" i="21422"/>
  <c r="AT4" i="21422"/>
  <c r="AS4" i="21422"/>
  <c r="AR4" i="21422"/>
  <c r="AP4" i="21422"/>
  <c r="AO4" i="21422"/>
  <c r="AN4" i="21422"/>
  <c r="AM4" i="21422"/>
  <c r="AL4" i="21422"/>
  <c r="AK4" i="21422"/>
  <c r="AJ4" i="21422"/>
  <c r="AI4" i="21422"/>
  <c r="AH4" i="21422"/>
  <c r="AG4" i="21422"/>
  <c r="AF4" i="21422"/>
  <c r="AE4" i="21422"/>
  <c r="AD4" i="21422"/>
  <c r="AC4" i="21422"/>
  <c r="AB4" i="21422"/>
  <c r="AA4" i="21422"/>
  <c r="Z4" i="21422"/>
  <c r="Y4" i="21422"/>
  <c r="X4" i="21422"/>
  <c r="W4" i="21422"/>
  <c r="V4" i="21422"/>
  <c r="U4" i="21422"/>
  <c r="T4" i="21422"/>
  <c r="S4" i="21422"/>
  <c r="R4" i="21422"/>
  <c r="Q4" i="21422"/>
  <c r="P4" i="21422"/>
  <c r="O4" i="21422"/>
  <c r="N4" i="21422"/>
  <c r="M4" i="21422"/>
  <c r="L4" i="21422"/>
  <c r="K4" i="21422"/>
  <c r="I4" i="21422"/>
  <c r="H4" i="21422"/>
  <c r="G4" i="21422"/>
  <c r="F4" i="21422"/>
  <c r="E4" i="21422"/>
  <c r="D4" i="21422"/>
  <c r="C4" i="21422"/>
  <c r="B4" i="21422"/>
  <c r="A4" i="21422"/>
  <c r="B7" i="21422"/>
  <c r="BG41" i="21412"/>
  <c r="BF41" i="21412"/>
  <c r="BE41" i="21412"/>
  <c r="BD41" i="21412"/>
  <c r="BC41" i="21412"/>
  <c r="BA41" i="21412"/>
  <c r="AV41" i="21412"/>
  <c r="AU41" i="21412"/>
  <c r="AS41" i="21412"/>
  <c r="AR41" i="21412"/>
  <c r="AQ41" i="21412"/>
  <c r="AP41" i="21412"/>
  <c r="AO41" i="21412"/>
  <c r="AN41" i="21412"/>
  <c r="AM41" i="21412"/>
  <c r="AL41" i="21412"/>
  <c r="AK41" i="21412"/>
  <c r="AJ41" i="21412"/>
  <c r="AI41" i="21412"/>
  <c r="AH41" i="21412"/>
  <c r="AG41" i="21412"/>
  <c r="AF41" i="21412"/>
  <c r="AE41" i="21412"/>
  <c r="AD41" i="21412"/>
  <c r="AC41" i="21412"/>
  <c r="AB41" i="21412"/>
  <c r="AA41" i="21412"/>
  <c r="Z41" i="21412"/>
  <c r="Y41" i="21412"/>
  <c r="X41" i="21412"/>
  <c r="W41" i="21412"/>
  <c r="V41" i="21412"/>
  <c r="U41" i="21412"/>
  <c r="T41" i="21412"/>
  <c r="S41" i="21412"/>
  <c r="R41" i="21412"/>
  <c r="Q41" i="21412"/>
  <c r="P41" i="21412"/>
  <c r="O41" i="21412"/>
  <c r="N41" i="21412"/>
  <c r="L41" i="21412"/>
  <c r="K41" i="21412"/>
  <c r="I41" i="21412"/>
  <c r="H41" i="21412"/>
  <c r="G41" i="21412"/>
  <c r="F41" i="21412"/>
  <c r="E41" i="21412"/>
  <c r="D41" i="21412"/>
  <c r="B41" i="21412"/>
  <c r="A41" i="21412"/>
  <c r="BG40" i="21412"/>
  <c r="BF40" i="21412"/>
  <c r="BE40" i="21412"/>
  <c r="BD40" i="21412"/>
  <c r="BC40" i="21412"/>
  <c r="BB40" i="21412"/>
  <c r="BA40" i="21412"/>
  <c r="AY40" i="21412"/>
  <c r="AV40" i="21412"/>
  <c r="AU40" i="21412"/>
  <c r="AT40" i="21412"/>
  <c r="AS40" i="21412"/>
  <c r="AR40" i="21412"/>
  <c r="AP40" i="21412"/>
  <c r="AO40" i="21412"/>
  <c r="AN40" i="21412"/>
  <c r="AM40" i="21412"/>
  <c r="AL40" i="21412"/>
  <c r="AK40" i="21412"/>
  <c r="AJ40" i="21412"/>
  <c r="AI40" i="21412"/>
  <c r="AH40" i="21412"/>
  <c r="AG40" i="21412"/>
  <c r="AF40" i="21412"/>
  <c r="AE40" i="21412"/>
  <c r="AD40" i="21412"/>
  <c r="AC40" i="21412"/>
  <c r="AB40" i="21412"/>
  <c r="AA40" i="21412"/>
  <c r="Z40" i="21412"/>
  <c r="Y40" i="21412"/>
  <c r="X40" i="21412"/>
  <c r="W40" i="21412"/>
  <c r="V40" i="21412"/>
  <c r="U40" i="21412"/>
  <c r="T40" i="21412"/>
  <c r="S40" i="21412"/>
  <c r="R40" i="21412"/>
  <c r="Q40" i="21412"/>
  <c r="P40" i="21412"/>
  <c r="O40" i="21412"/>
  <c r="N40" i="21412"/>
  <c r="M40" i="21412"/>
  <c r="L40" i="21412"/>
  <c r="K40" i="21412"/>
  <c r="I40" i="21412"/>
  <c r="H40" i="21412"/>
  <c r="G40" i="21412"/>
  <c r="F40" i="21412"/>
  <c r="E40" i="21412"/>
  <c r="D40" i="21412"/>
  <c r="C40" i="21412"/>
  <c r="B40" i="21412"/>
  <c r="A40" i="21412"/>
  <c r="BG39" i="21412"/>
  <c r="BF39" i="21412"/>
  <c r="BE39" i="21412"/>
  <c r="BD39" i="21412"/>
  <c r="BC39" i="21412"/>
  <c r="BA39" i="21412"/>
  <c r="AZ39" i="21412"/>
  <c r="AV39" i="21412"/>
  <c r="AU39" i="21412"/>
  <c r="AS39" i="21412"/>
  <c r="AR39" i="21412"/>
  <c r="AQ39" i="21412"/>
  <c r="AP39" i="21412"/>
  <c r="AO39" i="21412"/>
  <c r="AN39" i="21412"/>
  <c r="AM39" i="21412"/>
  <c r="AL39" i="21412"/>
  <c r="AK39" i="21412"/>
  <c r="AJ39" i="21412"/>
  <c r="AI39" i="21412"/>
  <c r="AH39" i="21412"/>
  <c r="AG39" i="21412"/>
  <c r="AF39" i="21412"/>
  <c r="AE39" i="21412"/>
  <c r="AD39" i="21412"/>
  <c r="AC39" i="21412"/>
  <c r="AB39" i="21412"/>
  <c r="AA39" i="21412"/>
  <c r="Z39" i="21412"/>
  <c r="Y39" i="21412"/>
  <c r="X39" i="21412"/>
  <c r="W39" i="21412"/>
  <c r="V39" i="21412"/>
  <c r="U39" i="21412"/>
  <c r="T39" i="21412"/>
  <c r="S39" i="21412"/>
  <c r="R39" i="21412"/>
  <c r="Q39" i="21412"/>
  <c r="P39" i="21412"/>
  <c r="O39" i="21412"/>
  <c r="N39" i="21412"/>
  <c r="L39" i="21412"/>
  <c r="K39" i="21412"/>
  <c r="J39" i="21412"/>
  <c r="I39" i="21412"/>
  <c r="H39" i="21412"/>
  <c r="G39" i="21412"/>
  <c r="F39" i="21412"/>
  <c r="E39" i="21412"/>
  <c r="D39" i="21412"/>
  <c r="B39" i="21412"/>
  <c r="A39" i="21412"/>
  <c r="BG38" i="21412"/>
  <c r="BF38" i="21412"/>
  <c r="BE38" i="21412"/>
  <c r="BD38" i="21412"/>
  <c r="BC38" i="21412"/>
  <c r="BB38" i="21412"/>
  <c r="BA38" i="21412"/>
  <c r="AZ38" i="21412"/>
  <c r="AY38" i="21412"/>
  <c r="AX38" i="21412"/>
  <c r="AW38" i="21412"/>
  <c r="AV38" i="21412"/>
  <c r="AU38" i="21412"/>
  <c r="AT38" i="21412"/>
  <c r="AS38" i="21412"/>
  <c r="AR38" i="21412"/>
  <c r="AP38" i="21412"/>
  <c r="AO38" i="21412"/>
  <c r="AN38" i="21412"/>
  <c r="AM38" i="21412"/>
  <c r="AL38" i="21412"/>
  <c r="AK38" i="21412"/>
  <c r="AJ38" i="21412"/>
  <c r="AI38" i="21412"/>
  <c r="AH38" i="21412"/>
  <c r="AG38" i="21412"/>
  <c r="AF38" i="21412"/>
  <c r="AE38" i="21412"/>
  <c r="AD38" i="21412"/>
  <c r="AC38" i="21412"/>
  <c r="AB38" i="21412"/>
  <c r="AA38" i="21412"/>
  <c r="Z38" i="21412"/>
  <c r="Y38" i="21412"/>
  <c r="X38" i="21412"/>
  <c r="W38" i="21412"/>
  <c r="V38" i="21412"/>
  <c r="U38" i="21412"/>
  <c r="T38" i="21412"/>
  <c r="S38" i="21412"/>
  <c r="R38" i="21412"/>
  <c r="Q38" i="21412"/>
  <c r="P38" i="21412"/>
  <c r="O38" i="21412"/>
  <c r="N38" i="21412"/>
  <c r="M38" i="21412"/>
  <c r="L38" i="21412"/>
  <c r="K38" i="21412"/>
  <c r="J38" i="21412"/>
  <c r="I38" i="21412"/>
  <c r="H38" i="21412"/>
  <c r="G38" i="21412"/>
  <c r="F38" i="21412"/>
  <c r="E38" i="21412"/>
  <c r="D38" i="21412"/>
  <c r="C38" i="21412"/>
  <c r="B38" i="21412"/>
  <c r="A38" i="21412"/>
  <c r="BG37" i="21412"/>
  <c r="BF37" i="21412"/>
  <c r="BE37" i="21412"/>
  <c r="BD37" i="21412"/>
  <c r="BC37" i="21412"/>
  <c r="BB37" i="21412"/>
  <c r="BA37" i="21412"/>
  <c r="AZ37" i="21412"/>
  <c r="AY37" i="21412"/>
  <c r="AX37" i="21412"/>
  <c r="AW37" i="21412"/>
  <c r="AV37" i="21412"/>
  <c r="AU37" i="21412"/>
  <c r="AS37" i="21412"/>
  <c r="AR37" i="21412"/>
  <c r="AQ37" i="21412"/>
  <c r="AP37" i="21412"/>
  <c r="AO37" i="21412"/>
  <c r="AN37" i="21412"/>
  <c r="AM37" i="21412"/>
  <c r="AL37" i="21412"/>
  <c r="AK37" i="21412"/>
  <c r="AJ37" i="21412"/>
  <c r="AI37" i="21412"/>
  <c r="AH37" i="21412"/>
  <c r="AG37" i="21412"/>
  <c r="AF37" i="21412"/>
  <c r="AE37" i="21412"/>
  <c r="AD37" i="21412"/>
  <c r="AB37" i="21412"/>
  <c r="AA37" i="21412"/>
  <c r="Z37" i="21412"/>
  <c r="Y37" i="21412"/>
  <c r="X37" i="21412"/>
  <c r="W37" i="21412"/>
  <c r="V37" i="21412"/>
  <c r="U37" i="21412"/>
  <c r="T37" i="21412"/>
  <c r="S37" i="21412"/>
  <c r="R37" i="21412"/>
  <c r="Q37" i="21412"/>
  <c r="P37" i="21412"/>
  <c r="O37" i="21412"/>
  <c r="N37" i="21412"/>
  <c r="M37" i="21412"/>
  <c r="L37" i="21412"/>
  <c r="K37" i="21412"/>
  <c r="J37" i="21412"/>
  <c r="I37" i="21412"/>
  <c r="H37" i="21412"/>
  <c r="G37" i="21412"/>
  <c r="F37" i="21412"/>
  <c r="E37" i="21412"/>
  <c r="D37" i="21412"/>
  <c r="B37" i="21412"/>
  <c r="A37" i="21412"/>
  <c r="BG36" i="21412"/>
  <c r="BF36" i="21412"/>
  <c r="BE36" i="21412"/>
  <c r="BD36" i="21412"/>
  <c r="BC36" i="21412"/>
  <c r="BB36" i="21412"/>
  <c r="BA36" i="21412"/>
  <c r="AZ36" i="21412"/>
  <c r="AY36" i="21412"/>
  <c r="AX36" i="21412"/>
  <c r="AW36" i="21412"/>
  <c r="AV36" i="21412"/>
  <c r="AU36" i="21412"/>
  <c r="AT36" i="21412"/>
  <c r="AS36" i="21412"/>
  <c r="AR36" i="21412"/>
  <c r="AP36" i="21412"/>
  <c r="AO36" i="21412"/>
  <c r="AN36" i="21412"/>
  <c r="AM36" i="21412"/>
  <c r="AL36" i="21412"/>
  <c r="AK36" i="21412"/>
  <c r="AJ36" i="21412"/>
  <c r="AI36" i="21412"/>
  <c r="AH36" i="21412"/>
  <c r="AG36" i="21412"/>
  <c r="AF36" i="21412"/>
  <c r="AE36" i="21412"/>
  <c r="AD36" i="21412"/>
  <c r="AC36" i="21412"/>
  <c r="AB36" i="21412"/>
  <c r="AA36" i="21412"/>
  <c r="Z36" i="21412"/>
  <c r="Y36" i="21412"/>
  <c r="X36" i="21412"/>
  <c r="W36" i="21412"/>
  <c r="V36" i="21412"/>
  <c r="U36" i="21412"/>
  <c r="T36" i="21412"/>
  <c r="S36" i="21412"/>
  <c r="R36" i="21412"/>
  <c r="Q36" i="21412"/>
  <c r="P36" i="21412"/>
  <c r="O36" i="21412"/>
  <c r="N36" i="21412"/>
  <c r="M36" i="21412"/>
  <c r="L36" i="21412"/>
  <c r="K36" i="21412"/>
  <c r="J36" i="21412"/>
  <c r="I36" i="21412"/>
  <c r="H36" i="21412"/>
  <c r="G36" i="21412"/>
  <c r="F36" i="21412"/>
  <c r="E36" i="21412"/>
  <c r="D36" i="21412"/>
  <c r="C36" i="21412"/>
  <c r="B36" i="21412"/>
  <c r="A36" i="21412"/>
  <c r="BG35" i="21412"/>
  <c r="BF35" i="21412"/>
  <c r="BE35" i="21412"/>
  <c r="BD35" i="21412"/>
  <c r="BC35" i="21412"/>
  <c r="BB35" i="21412"/>
  <c r="BA35" i="21412"/>
  <c r="AZ35" i="21412"/>
  <c r="AY35" i="21412"/>
  <c r="AX35" i="21412"/>
  <c r="AW35" i="21412"/>
  <c r="AV35" i="21412"/>
  <c r="AU35" i="21412"/>
  <c r="AS35" i="21412"/>
  <c r="AR35" i="21412"/>
  <c r="AQ35" i="21412"/>
  <c r="AP35" i="21412"/>
  <c r="AO35" i="21412"/>
  <c r="AN35" i="21412"/>
  <c r="AM35" i="21412"/>
  <c r="AL35" i="21412"/>
  <c r="AK35" i="21412"/>
  <c r="AJ35" i="21412"/>
  <c r="AI35" i="21412"/>
  <c r="AH35" i="21412"/>
  <c r="AG35" i="21412"/>
  <c r="AF35" i="21412"/>
  <c r="AE35" i="21412"/>
  <c r="AD35" i="21412"/>
  <c r="AC35" i="21412"/>
  <c r="AB35" i="21412"/>
  <c r="AA35" i="21412"/>
  <c r="Z35" i="21412"/>
  <c r="Y35" i="21412"/>
  <c r="X35" i="21412"/>
  <c r="W35" i="21412"/>
  <c r="V35" i="21412"/>
  <c r="U35" i="21412"/>
  <c r="T35" i="21412"/>
  <c r="S35" i="21412"/>
  <c r="S34" i="21412" s="1"/>
  <c r="R35" i="21412"/>
  <c r="Q35" i="21412"/>
  <c r="P35" i="21412"/>
  <c r="O35" i="21412"/>
  <c r="N35" i="21412"/>
  <c r="M35" i="21412"/>
  <c r="L35" i="21412"/>
  <c r="K35" i="21412"/>
  <c r="J35" i="21412"/>
  <c r="I35" i="21412"/>
  <c r="H35" i="21412"/>
  <c r="G35" i="21412"/>
  <c r="F35" i="21412"/>
  <c r="E35" i="21412"/>
  <c r="D35" i="21412"/>
  <c r="B35" i="21412"/>
  <c r="A35" i="21412"/>
  <c r="BG9" i="21412"/>
  <c r="BF9" i="21412"/>
  <c r="BE9" i="21412"/>
  <c r="BD9" i="21412"/>
  <c r="BC9" i="21412"/>
  <c r="BA9" i="21412"/>
  <c r="AZ9" i="21412"/>
  <c r="AV9" i="21412"/>
  <c r="AU9" i="21412"/>
  <c r="AS9" i="21412"/>
  <c r="AR9" i="21412"/>
  <c r="AQ9" i="21412"/>
  <c r="AP9" i="21412"/>
  <c r="AO9" i="21412"/>
  <c r="AN9" i="21412"/>
  <c r="AM9" i="21412"/>
  <c r="AL9" i="21412"/>
  <c r="AK9" i="21412"/>
  <c r="AJ9" i="21412"/>
  <c r="AI9" i="21412"/>
  <c r="AH9" i="21412"/>
  <c r="AG9" i="21412"/>
  <c r="AF9" i="21412"/>
  <c r="AE9" i="21412"/>
  <c r="AD9" i="21412"/>
  <c r="AC9" i="21412"/>
  <c r="AB9" i="21412"/>
  <c r="AA9" i="21412"/>
  <c r="Z9" i="21412"/>
  <c r="Y9" i="21412"/>
  <c r="X9" i="21412"/>
  <c r="W9" i="21412"/>
  <c r="V9" i="21412"/>
  <c r="U9" i="21412"/>
  <c r="T9" i="21412"/>
  <c r="S9" i="21412"/>
  <c r="S10" i="21412" s="1"/>
  <c r="S8" i="21411" s="1"/>
  <c r="R9" i="21412"/>
  <c r="Q9" i="21412"/>
  <c r="P9" i="21412"/>
  <c r="O9" i="21412"/>
  <c r="N9" i="21412"/>
  <c r="L9" i="21412"/>
  <c r="K9" i="21412"/>
  <c r="J9" i="21412"/>
  <c r="I9" i="21412"/>
  <c r="H9" i="21412"/>
  <c r="G9" i="21412"/>
  <c r="F9" i="21412"/>
  <c r="E9" i="21412"/>
  <c r="D9" i="21412"/>
  <c r="B9" i="21412"/>
  <c r="BG8" i="21412"/>
  <c r="BF8" i="21412"/>
  <c r="BE8" i="21412"/>
  <c r="BD8" i="21412"/>
  <c r="BC8" i="21412"/>
  <c r="BB8" i="21412"/>
  <c r="BA8" i="21412"/>
  <c r="AZ8" i="21412"/>
  <c r="AY8" i="21412"/>
  <c r="AX8" i="21412"/>
  <c r="AW8" i="21412"/>
  <c r="AV8" i="21412"/>
  <c r="AU8" i="21412"/>
  <c r="AT8" i="21412"/>
  <c r="AS8" i="21412"/>
  <c r="AR8" i="21412"/>
  <c r="AP8" i="21412"/>
  <c r="AO8" i="21412"/>
  <c r="AN8" i="21412"/>
  <c r="AM8" i="21412"/>
  <c r="AL8" i="21412"/>
  <c r="AK8" i="21412"/>
  <c r="AJ8" i="21412"/>
  <c r="AI8" i="21412"/>
  <c r="AH8" i="21412"/>
  <c r="AG8" i="21412"/>
  <c r="AF8" i="21412"/>
  <c r="AE8" i="21412"/>
  <c r="AD8" i="21412"/>
  <c r="AC8" i="21412"/>
  <c r="AB8" i="21412"/>
  <c r="AA8" i="21412"/>
  <c r="Z8" i="21412"/>
  <c r="Y8" i="21412"/>
  <c r="X8" i="21412"/>
  <c r="W8" i="21412"/>
  <c r="V8" i="21412"/>
  <c r="U8" i="21412"/>
  <c r="T8" i="21412"/>
  <c r="S8" i="21412"/>
  <c r="R8" i="21412"/>
  <c r="Q8" i="21412"/>
  <c r="P8" i="21412"/>
  <c r="O8" i="21412"/>
  <c r="N8" i="21412"/>
  <c r="M8" i="21412"/>
  <c r="L8" i="21412"/>
  <c r="K8" i="21412"/>
  <c r="J8" i="21412"/>
  <c r="I8" i="21412"/>
  <c r="H8" i="21412"/>
  <c r="G8" i="21412"/>
  <c r="F8" i="21412"/>
  <c r="E8" i="21412"/>
  <c r="D8" i="21412"/>
  <c r="C8" i="21412"/>
  <c r="B8" i="21412"/>
  <c r="A8" i="21412"/>
  <c r="BG7" i="21412"/>
  <c r="BF7" i="21412"/>
  <c r="BE7" i="21412"/>
  <c r="BD7" i="21412"/>
  <c r="BC7" i="21412"/>
  <c r="BA7" i="21412"/>
  <c r="AZ7" i="21412"/>
  <c r="AV7" i="21412"/>
  <c r="AU7" i="21412"/>
  <c r="AS7" i="21412"/>
  <c r="AR7" i="21412"/>
  <c r="AQ7" i="21412"/>
  <c r="AP7" i="21412"/>
  <c r="AO7" i="21412"/>
  <c r="AN7" i="21412"/>
  <c r="AM7" i="21412"/>
  <c r="AL7" i="21412"/>
  <c r="AK7" i="21412"/>
  <c r="AJ7" i="21412"/>
  <c r="AI7" i="21412"/>
  <c r="AH7" i="21412"/>
  <c r="AG7" i="21412"/>
  <c r="AF7" i="21412"/>
  <c r="AE7" i="21412"/>
  <c r="AD7" i="21412"/>
  <c r="AC7" i="21412"/>
  <c r="AB7" i="21412"/>
  <c r="AA7" i="21412"/>
  <c r="Z7" i="21412"/>
  <c r="Y7" i="21412"/>
  <c r="X7" i="21412"/>
  <c r="W7" i="21412"/>
  <c r="V7" i="21412"/>
  <c r="U7" i="21412"/>
  <c r="T7" i="21412"/>
  <c r="S7" i="21412"/>
  <c r="R7" i="21412"/>
  <c r="Q7" i="21412"/>
  <c r="P7" i="21412"/>
  <c r="O7" i="21412"/>
  <c r="N7" i="21412"/>
  <c r="L7" i="21412"/>
  <c r="K7" i="21412"/>
  <c r="J7" i="21412"/>
  <c r="I7" i="21412"/>
  <c r="H7" i="21412"/>
  <c r="G7" i="21412"/>
  <c r="F7" i="21412"/>
  <c r="E7" i="21412"/>
  <c r="D7" i="21412"/>
  <c r="B7" i="21412"/>
  <c r="A7" i="21412"/>
  <c r="BG6" i="21412"/>
  <c r="BF6" i="21412"/>
  <c r="BE6" i="21412"/>
  <c r="BD6" i="21412"/>
  <c r="BC6" i="21412"/>
  <c r="BB6" i="21412"/>
  <c r="BA6" i="21412"/>
  <c r="AY6" i="21412"/>
  <c r="AV6" i="21412"/>
  <c r="AU6" i="21412"/>
  <c r="AT6" i="21412"/>
  <c r="AS6" i="21412"/>
  <c r="AR6" i="21412"/>
  <c r="AP6" i="21412"/>
  <c r="AO6" i="21412"/>
  <c r="AN6" i="21412"/>
  <c r="AM6" i="21412"/>
  <c r="AL6" i="21412"/>
  <c r="AK6" i="21412"/>
  <c r="AJ6" i="21412"/>
  <c r="AI6" i="21412"/>
  <c r="AH6" i="21412"/>
  <c r="AG6" i="21412"/>
  <c r="AF6" i="21412"/>
  <c r="AE6" i="21412"/>
  <c r="AD6" i="21412"/>
  <c r="AC6" i="21412"/>
  <c r="AB6" i="21412"/>
  <c r="AA6" i="21412"/>
  <c r="Z6" i="21412"/>
  <c r="Y6" i="21412"/>
  <c r="X6" i="21412"/>
  <c r="W6" i="21412"/>
  <c r="V6" i="21412"/>
  <c r="U6" i="21412"/>
  <c r="T6" i="21412"/>
  <c r="S6" i="21412"/>
  <c r="R6" i="21412"/>
  <c r="Q6" i="21412"/>
  <c r="P6" i="21412"/>
  <c r="O6" i="21412"/>
  <c r="N6" i="21412"/>
  <c r="M6" i="21412"/>
  <c r="L6" i="21412"/>
  <c r="K6" i="21412"/>
  <c r="I6" i="21412"/>
  <c r="H6" i="21412"/>
  <c r="G6" i="21412"/>
  <c r="F6" i="21412"/>
  <c r="E6" i="21412"/>
  <c r="D6" i="21412"/>
  <c r="C6" i="21412"/>
  <c r="B6" i="21412"/>
  <c r="A6" i="21412"/>
  <c r="BG5" i="21412"/>
  <c r="BF5" i="21412"/>
  <c r="BE5" i="21412"/>
  <c r="BD5" i="21412"/>
  <c r="BC5" i="21412"/>
  <c r="BA5" i="21412"/>
  <c r="AZ5" i="21412"/>
  <c r="AV5" i="21412"/>
  <c r="AU5" i="21412"/>
  <c r="AS5" i="21412"/>
  <c r="AR5" i="21412"/>
  <c r="AQ5" i="21412"/>
  <c r="AP5" i="21412"/>
  <c r="AO5" i="21412"/>
  <c r="AN5" i="21412"/>
  <c r="AM5" i="21412"/>
  <c r="AL5" i="21412"/>
  <c r="AK5" i="21412"/>
  <c r="AJ5" i="21412"/>
  <c r="AI5" i="21412"/>
  <c r="AH5" i="21412"/>
  <c r="AG5" i="21412"/>
  <c r="AF5" i="21412"/>
  <c r="AE5" i="21412"/>
  <c r="AD5" i="21412"/>
  <c r="AB5" i="21412"/>
  <c r="AA5" i="21412"/>
  <c r="Z5" i="21412"/>
  <c r="Y5" i="21412"/>
  <c r="X5" i="21412"/>
  <c r="W5" i="21412"/>
  <c r="V5" i="21412"/>
  <c r="U5" i="21412"/>
  <c r="T5" i="21412"/>
  <c r="S5" i="21412"/>
  <c r="R5" i="21412"/>
  <c r="Q5" i="21412"/>
  <c r="P5" i="21412"/>
  <c r="O5" i="21412"/>
  <c r="N5" i="21412"/>
  <c r="L5" i="21412"/>
  <c r="K5" i="21412"/>
  <c r="J5" i="21412"/>
  <c r="I5" i="21412"/>
  <c r="H5" i="21412"/>
  <c r="G5" i="21412"/>
  <c r="F5" i="21412"/>
  <c r="E5" i="21412"/>
  <c r="D5" i="21412"/>
  <c r="B5" i="21412"/>
  <c r="A5" i="21412"/>
  <c r="BG4" i="21412"/>
  <c r="BF4" i="21412"/>
  <c r="BE4" i="21412"/>
  <c r="BD4" i="21412"/>
  <c r="BC4" i="21412"/>
  <c r="BB4" i="21412"/>
  <c r="BA4" i="21412"/>
  <c r="AY4" i="21412"/>
  <c r="AV4" i="21412"/>
  <c r="AU4" i="21412"/>
  <c r="AT4" i="21412"/>
  <c r="AS4" i="21412"/>
  <c r="AR4" i="21412"/>
  <c r="AP4" i="21412"/>
  <c r="AO4" i="21412"/>
  <c r="AN4" i="21412"/>
  <c r="AM4" i="21412"/>
  <c r="AL4" i="21412"/>
  <c r="AK4" i="21412"/>
  <c r="AJ4" i="21412"/>
  <c r="AI4" i="21412"/>
  <c r="AH4" i="21412"/>
  <c r="AG4" i="21412"/>
  <c r="AF4" i="21412"/>
  <c r="AE4" i="21412"/>
  <c r="AD4" i="21412"/>
  <c r="AC4" i="21412"/>
  <c r="AB4" i="21412"/>
  <c r="AA4" i="21412"/>
  <c r="Z4" i="21412"/>
  <c r="Y4" i="21412"/>
  <c r="X4" i="21412"/>
  <c r="W4" i="21412"/>
  <c r="V4" i="21412"/>
  <c r="U4" i="21412"/>
  <c r="T4" i="21412"/>
  <c r="S4" i="21412"/>
  <c r="R4" i="21412"/>
  <c r="Q4" i="21412"/>
  <c r="P4" i="21412"/>
  <c r="O4" i="21412"/>
  <c r="N4" i="21412"/>
  <c r="M4" i="21412"/>
  <c r="L4" i="21412"/>
  <c r="K4" i="21412"/>
  <c r="I4" i="21412"/>
  <c r="H4" i="21412"/>
  <c r="G4" i="21412"/>
  <c r="F4" i="21412"/>
  <c r="E4" i="21412"/>
  <c r="D4" i="21412"/>
  <c r="C4" i="21412"/>
  <c r="B4" i="21412"/>
  <c r="A4" i="21412"/>
  <c r="A9" i="21412"/>
  <c r="BG32" i="21411"/>
  <c r="BF32" i="21411"/>
  <c r="BE32" i="21411"/>
  <c r="BD32" i="21411"/>
  <c r="BC32" i="21411"/>
  <c r="BB32" i="21411"/>
  <c r="BA32" i="21411"/>
  <c r="AY32" i="21411"/>
  <c r="AV32" i="21411"/>
  <c r="AU32" i="21411"/>
  <c r="AT32" i="21411"/>
  <c r="AS32" i="21411"/>
  <c r="AR32" i="21411"/>
  <c r="AP32" i="21411"/>
  <c r="AO32" i="21411"/>
  <c r="AN32" i="21411"/>
  <c r="AM32" i="21411"/>
  <c r="AL32" i="21411"/>
  <c r="AK32" i="21411"/>
  <c r="AJ32" i="21411"/>
  <c r="AI32" i="21411"/>
  <c r="AH32" i="21411"/>
  <c r="AG32" i="21411"/>
  <c r="AF32" i="21411"/>
  <c r="AE32" i="21411"/>
  <c r="AD32" i="21411"/>
  <c r="AC32" i="21411"/>
  <c r="AB32" i="21411"/>
  <c r="AA32" i="21411"/>
  <c r="Z32" i="21411"/>
  <c r="Y32" i="21411"/>
  <c r="X32" i="21411"/>
  <c r="W32" i="21411"/>
  <c r="V32" i="21411"/>
  <c r="U32" i="21411"/>
  <c r="T32" i="21411"/>
  <c r="S32" i="21411"/>
  <c r="R32" i="21411"/>
  <c r="Q32" i="21411"/>
  <c r="P32" i="21411"/>
  <c r="O32" i="21411"/>
  <c r="N32" i="21411"/>
  <c r="M32" i="21411"/>
  <c r="L32" i="21411"/>
  <c r="K32" i="21411"/>
  <c r="I32" i="21411"/>
  <c r="H32" i="21411"/>
  <c r="G32" i="21411"/>
  <c r="F32" i="21411"/>
  <c r="E32" i="21411"/>
  <c r="D32" i="21411"/>
  <c r="C32" i="21411"/>
  <c r="B32" i="21411"/>
  <c r="A32" i="21411"/>
  <c r="BG31" i="21411"/>
  <c r="BF31" i="21411"/>
  <c r="BE31" i="21411"/>
  <c r="BD31" i="21411"/>
  <c r="BC31" i="21411"/>
  <c r="BA31" i="21411"/>
  <c r="AZ31" i="21411"/>
  <c r="AV31" i="21411"/>
  <c r="AU31" i="21411"/>
  <c r="AS31" i="21411"/>
  <c r="AR31" i="21411"/>
  <c r="AQ31" i="21411"/>
  <c r="AP31" i="21411"/>
  <c r="AO31" i="21411"/>
  <c r="AN31" i="21411"/>
  <c r="AM31" i="21411"/>
  <c r="AL31" i="21411"/>
  <c r="AK31" i="21411"/>
  <c r="AJ31" i="21411"/>
  <c r="AI31" i="21411"/>
  <c r="AH31" i="21411"/>
  <c r="AG31" i="21411"/>
  <c r="AF31" i="21411"/>
  <c r="AE31" i="21411"/>
  <c r="AD31" i="21411"/>
  <c r="AB31" i="21411"/>
  <c r="AA31" i="21411"/>
  <c r="Z31" i="21411"/>
  <c r="Y31" i="21411"/>
  <c r="X31" i="21411"/>
  <c r="W31" i="21411"/>
  <c r="V31" i="21411"/>
  <c r="U31" i="21411"/>
  <c r="T31" i="21411"/>
  <c r="S31" i="21411"/>
  <c r="R31" i="21411"/>
  <c r="Q31" i="21411"/>
  <c r="P31" i="21411"/>
  <c r="O31" i="21411"/>
  <c r="N31" i="21411"/>
  <c r="L31" i="21411"/>
  <c r="K31" i="21411"/>
  <c r="J31" i="21411"/>
  <c r="I31" i="21411"/>
  <c r="H31" i="21411"/>
  <c r="G31" i="21411"/>
  <c r="F31" i="21411"/>
  <c r="E31" i="21411"/>
  <c r="D31" i="21411"/>
  <c r="B31" i="21411"/>
  <c r="A31" i="21411"/>
  <c r="BG30" i="21411"/>
  <c r="BF30" i="21411"/>
  <c r="BE30" i="21411"/>
  <c r="BD30" i="21411"/>
  <c r="BC30" i="21411"/>
  <c r="BB30" i="21411"/>
  <c r="BA30" i="21411"/>
  <c r="AZ30" i="21411"/>
  <c r="AY30" i="21411"/>
  <c r="AX30" i="21411"/>
  <c r="AW30" i="21411"/>
  <c r="AV30" i="21411"/>
  <c r="AU30" i="21411"/>
  <c r="AT30" i="21411"/>
  <c r="AS30" i="21411"/>
  <c r="AR30" i="21411"/>
  <c r="AP30" i="21411"/>
  <c r="AO30" i="21411"/>
  <c r="AN30" i="21411"/>
  <c r="AM30" i="21411"/>
  <c r="AL30" i="21411"/>
  <c r="AK30" i="21411"/>
  <c r="AJ30" i="21411"/>
  <c r="AI30" i="21411"/>
  <c r="AH30" i="21411"/>
  <c r="AG30" i="21411"/>
  <c r="AF30" i="21411"/>
  <c r="AE30" i="21411"/>
  <c r="AD30" i="21411"/>
  <c r="AC30" i="21411"/>
  <c r="AB30" i="21411"/>
  <c r="AA30" i="21411"/>
  <c r="Z30" i="21411"/>
  <c r="Y30" i="21411"/>
  <c r="X30" i="21411"/>
  <c r="W30" i="21411"/>
  <c r="V30" i="21411"/>
  <c r="U30" i="21411"/>
  <c r="T30" i="21411"/>
  <c r="S30" i="21411"/>
  <c r="R30" i="21411"/>
  <c r="Q30" i="21411"/>
  <c r="P30" i="21411"/>
  <c r="O30" i="21411"/>
  <c r="N30" i="21411"/>
  <c r="M30" i="21411"/>
  <c r="L30" i="21411"/>
  <c r="K30" i="21411"/>
  <c r="J30" i="21411"/>
  <c r="I30" i="21411"/>
  <c r="H30" i="21411"/>
  <c r="G30" i="21411"/>
  <c r="F30" i="21411"/>
  <c r="E30" i="21411"/>
  <c r="D30" i="21411"/>
  <c r="C30" i="21411"/>
  <c r="B30" i="21411"/>
  <c r="A30" i="21411"/>
  <c r="BG29" i="21411"/>
  <c r="BF29" i="21411"/>
  <c r="BE29" i="21411"/>
  <c r="BD29" i="21411"/>
  <c r="BC29" i="21411"/>
  <c r="BA29" i="21411"/>
  <c r="AZ29" i="21411"/>
  <c r="AV29" i="21411"/>
  <c r="AU29" i="21411"/>
  <c r="AS29" i="21411"/>
  <c r="AR29" i="21411"/>
  <c r="AQ29" i="21411"/>
  <c r="AP29" i="21411"/>
  <c r="AO29" i="21411"/>
  <c r="AN29" i="21411"/>
  <c r="AM29" i="21411"/>
  <c r="AL29" i="21411"/>
  <c r="AK29" i="21411"/>
  <c r="AJ29" i="21411"/>
  <c r="AI29" i="21411"/>
  <c r="AH29" i="21411"/>
  <c r="AG29" i="21411"/>
  <c r="AF29" i="21411"/>
  <c r="AE29" i="21411"/>
  <c r="AD29" i="21411"/>
  <c r="AB29" i="21411"/>
  <c r="AA29" i="21411"/>
  <c r="Z29" i="21411"/>
  <c r="Y29" i="21411"/>
  <c r="X29" i="21411"/>
  <c r="W29" i="21411"/>
  <c r="V29" i="21411"/>
  <c r="U29" i="21411"/>
  <c r="T29" i="21411"/>
  <c r="S29" i="21411"/>
  <c r="R29" i="21411"/>
  <c r="Q29" i="21411"/>
  <c r="P29" i="21411"/>
  <c r="O29" i="21411"/>
  <c r="N29" i="21411"/>
  <c r="L29" i="21411"/>
  <c r="K29" i="21411"/>
  <c r="J29" i="21411"/>
  <c r="I29" i="21411"/>
  <c r="H29" i="21411"/>
  <c r="G29" i="21411"/>
  <c r="F29" i="21411"/>
  <c r="E29" i="21411"/>
  <c r="D29" i="21411"/>
  <c r="B29" i="21411"/>
  <c r="A29" i="21411"/>
  <c r="BG28" i="21411"/>
  <c r="BF28" i="21411"/>
  <c r="BE28" i="21411"/>
  <c r="BD28" i="21411"/>
  <c r="BC28" i="21411"/>
  <c r="BB28" i="21411"/>
  <c r="BA28" i="21411"/>
  <c r="AZ28" i="21411"/>
  <c r="AY28" i="21411"/>
  <c r="AX28" i="21411"/>
  <c r="AW28" i="21411"/>
  <c r="AV28" i="21411"/>
  <c r="AU28" i="21411"/>
  <c r="AT28" i="21411"/>
  <c r="AS28" i="21411"/>
  <c r="AR28" i="21411"/>
  <c r="AP28" i="21411"/>
  <c r="AO28" i="21411"/>
  <c r="AN28" i="21411"/>
  <c r="AM28" i="21411"/>
  <c r="AL28" i="21411"/>
  <c r="AK28" i="21411"/>
  <c r="AJ28" i="21411"/>
  <c r="AI28" i="21411"/>
  <c r="AH28" i="21411"/>
  <c r="AG28" i="21411"/>
  <c r="AF28" i="21411"/>
  <c r="AE28" i="21411"/>
  <c r="AD28" i="21411"/>
  <c r="AC28" i="21411"/>
  <c r="AB28" i="21411"/>
  <c r="AA28" i="21411"/>
  <c r="Z28" i="21411"/>
  <c r="Y28" i="21411"/>
  <c r="X28" i="21411"/>
  <c r="W28" i="21411"/>
  <c r="V28" i="21411"/>
  <c r="U28" i="21411"/>
  <c r="T28" i="21411"/>
  <c r="S28" i="21411"/>
  <c r="R28" i="21411"/>
  <c r="Q28" i="21411"/>
  <c r="P28" i="21411"/>
  <c r="O28" i="21411"/>
  <c r="N28" i="21411"/>
  <c r="M28" i="21411"/>
  <c r="L28" i="21411"/>
  <c r="K28" i="21411"/>
  <c r="J28" i="21411"/>
  <c r="I28" i="21411"/>
  <c r="H28" i="21411"/>
  <c r="G28" i="21411"/>
  <c r="F28" i="21411"/>
  <c r="E28" i="21411"/>
  <c r="D28" i="21411"/>
  <c r="C28" i="21411"/>
  <c r="B28" i="21411"/>
  <c r="A28" i="21411"/>
  <c r="BG27" i="21411"/>
  <c r="BF27" i="21411"/>
  <c r="BE27" i="21411"/>
  <c r="BD27" i="21411"/>
  <c r="BC27" i="21411"/>
  <c r="BA27" i="21411"/>
  <c r="AZ27" i="21411"/>
  <c r="AV27" i="21411"/>
  <c r="AU27" i="21411"/>
  <c r="AS27" i="21411"/>
  <c r="AR27" i="21411"/>
  <c r="AQ27" i="21411"/>
  <c r="AP27" i="21411"/>
  <c r="AO27" i="21411"/>
  <c r="AN27" i="21411"/>
  <c r="AM27" i="21411"/>
  <c r="AL27" i="21411"/>
  <c r="AK27" i="21411"/>
  <c r="AJ27" i="21411"/>
  <c r="AI27" i="21411"/>
  <c r="AH27" i="21411"/>
  <c r="AG27" i="21411"/>
  <c r="V26" i="21411" s="1"/>
  <c r="AF27" i="21411"/>
  <c r="AE27" i="21411"/>
  <c r="AD27" i="21411"/>
  <c r="AC27" i="21411"/>
  <c r="AB27" i="21411"/>
  <c r="AA27" i="21411"/>
  <c r="Z27" i="21411"/>
  <c r="Y27" i="21411"/>
  <c r="X27" i="21411"/>
  <c r="W27" i="21411"/>
  <c r="V27" i="21411"/>
  <c r="U27" i="21411"/>
  <c r="T27" i="21411"/>
  <c r="S27" i="21411"/>
  <c r="R27" i="21411"/>
  <c r="Q27" i="21411"/>
  <c r="P27" i="21411"/>
  <c r="O27" i="21411"/>
  <c r="N27" i="21411"/>
  <c r="L27" i="21411"/>
  <c r="K27" i="21411"/>
  <c r="J27" i="21411"/>
  <c r="I27" i="21411"/>
  <c r="H27" i="21411"/>
  <c r="G27" i="21411"/>
  <c r="F27" i="21411"/>
  <c r="E27" i="21411"/>
  <c r="D27" i="21411"/>
  <c r="B27" i="21411"/>
  <c r="A27" i="21411"/>
  <c r="BG7" i="21411"/>
  <c r="BF7" i="21411"/>
  <c r="BE7" i="21411"/>
  <c r="BD7" i="21411"/>
  <c r="BC7" i="21411"/>
  <c r="BA7" i="21411"/>
  <c r="AZ7" i="21411"/>
  <c r="AV7" i="21411"/>
  <c r="AU7" i="21411"/>
  <c r="AS7" i="21411"/>
  <c r="AR7" i="21411"/>
  <c r="AQ7" i="21411"/>
  <c r="AP7" i="21411"/>
  <c r="AO7" i="21411"/>
  <c r="AN7" i="21411"/>
  <c r="AM7" i="21411"/>
  <c r="AL7" i="21411"/>
  <c r="AK7" i="21411"/>
  <c r="AJ7" i="21411"/>
  <c r="AI7" i="21411"/>
  <c r="AH7" i="21411"/>
  <c r="AG7" i="21411"/>
  <c r="AF7" i="21411"/>
  <c r="AE7" i="21411"/>
  <c r="AD7" i="21411"/>
  <c r="AC7" i="21411"/>
  <c r="AB7" i="21411"/>
  <c r="AA7" i="21411"/>
  <c r="Z7" i="21411"/>
  <c r="Y7" i="21411"/>
  <c r="X7" i="21411"/>
  <c r="W7" i="21411"/>
  <c r="V7" i="21411"/>
  <c r="U7" i="21411"/>
  <c r="T7" i="21411"/>
  <c r="S7" i="21411"/>
  <c r="R7" i="21411"/>
  <c r="Q7" i="21411"/>
  <c r="P7" i="21411"/>
  <c r="O7" i="21411"/>
  <c r="N7" i="21411"/>
  <c r="L7" i="21411"/>
  <c r="K7" i="21411"/>
  <c r="J7" i="21411"/>
  <c r="I7" i="21411"/>
  <c r="H7" i="21411"/>
  <c r="G7" i="21411"/>
  <c r="F7" i="21411"/>
  <c r="E7" i="21411"/>
  <c r="D7" i="21411"/>
  <c r="B7" i="21411"/>
  <c r="BG6" i="21411"/>
  <c r="BF6" i="21411"/>
  <c r="BE6" i="21411"/>
  <c r="BD6" i="21411"/>
  <c r="BC6" i="21411"/>
  <c r="BB6" i="21411"/>
  <c r="BA6" i="21411"/>
  <c r="AZ6" i="21411"/>
  <c r="AY6" i="21411"/>
  <c r="AX6" i="21411"/>
  <c r="AW6" i="21411"/>
  <c r="AV6" i="21411"/>
  <c r="AU6" i="21411"/>
  <c r="AT6" i="21411"/>
  <c r="AS6" i="21411"/>
  <c r="AR6" i="21411"/>
  <c r="AP6" i="21411"/>
  <c r="AO6" i="21411"/>
  <c r="AN6" i="21411"/>
  <c r="AM6" i="21411"/>
  <c r="AL6" i="21411"/>
  <c r="AK6" i="21411"/>
  <c r="AJ6" i="21411"/>
  <c r="AI6" i="21411"/>
  <c r="AH6" i="21411"/>
  <c r="AG6" i="21411"/>
  <c r="AF6" i="21411"/>
  <c r="AE6" i="21411"/>
  <c r="AD6" i="21411"/>
  <c r="AC6" i="21411"/>
  <c r="AB6" i="21411"/>
  <c r="AA6" i="21411"/>
  <c r="Z6" i="21411"/>
  <c r="Y6" i="21411"/>
  <c r="X6" i="21411"/>
  <c r="W6" i="21411"/>
  <c r="V6" i="21411"/>
  <c r="U6" i="21411"/>
  <c r="T6" i="21411"/>
  <c r="S6" i="21411"/>
  <c r="R6" i="21411"/>
  <c r="Q6" i="21411"/>
  <c r="P6" i="21411"/>
  <c r="O6" i="21411"/>
  <c r="N6" i="21411"/>
  <c r="M6" i="21411"/>
  <c r="L6" i="21411"/>
  <c r="K6" i="21411"/>
  <c r="J6" i="21411"/>
  <c r="I6" i="21411"/>
  <c r="H6" i="21411"/>
  <c r="G6" i="21411"/>
  <c r="F6" i="21411"/>
  <c r="E6" i="21411"/>
  <c r="D6" i="21411"/>
  <c r="C6" i="21411"/>
  <c r="B6" i="21411"/>
  <c r="A6" i="21411"/>
  <c r="BG5" i="21411"/>
  <c r="BF5" i="21411"/>
  <c r="BE5" i="21411"/>
  <c r="BD5" i="21411"/>
  <c r="BC5" i="21411"/>
  <c r="BA5" i="21411"/>
  <c r="AZ5" i="21411"/>
  <c r="AV5" i="21411"/>
  <c r="AU5" i="21411"/>
  <c r="AS5" i="21411"/>
  <c r="AR5" i="21411"/>
  <c r="AQ5" i="21411"/>
  <c r="AP5" i="21411"/>
  <c r="AO5" i="21411"/>
  <c r="AN5" i="21411"/>
  <c r="AM5" i="21411"/>
  <c r="AL5" i="21411"/>
  <c r="AK5" i="21411"/>
  <c r="AJ5" i="21411"/>
  <c r="AI5" i="21411"/>
  <c r="AH5" i="21411"/>
  <c r="AG5" i="21411"/>
  <c r="AF5" i="21411"/>
  <c r="AE5" i="21411"/>
  <c r="AD5" i="21411"/>
  <c r="AC5" i="21411"/>
  <c r="AB5" i="21411"/>
  <c r="AA5" i="21411"/>
  <c r="Z5" i="21411"/>
  <c r="Y5" i="21411"/>
  <c r="X5" i="21411"/>
  <c r="W5" i="21411"/>
  <c r="V5" i="21411"/>
  <c r="U5" i="21411"/>
  <c r="T5" i="21411"/>
  <c r="S5" i="21411"/>
  <c r="R5" i="21411"/>
  <c r="Q5" i="21411"/>
  <c r="P5" i="21411"/>
  <c r="O5" i="21411"/>
  <c r="N5" i="21411"/>
  <c r="L5" i="21411"/>
  <c r="K5" i="21411"/>
  <c r="J5" i="21411"/>
  <c r="I5" i="21411"/>
  <c r="H5" i="21411"/>
  <c r="G5" i="21411"/>
  <c r="F5" i="21411"/>
  <c r="E5" i="21411"/>
  <c r="D5" i="21411"/>
  <c r="B5" i="21411"/>
  <c r="A5" i="21411"/>
  <c r="BG4" i="21411"/>
  <c r="BF4" i="21411"/>
  <c r="BE4" i="21411"/>
  <c r="BD4" i="21411"/>
  <c r="BC4" i="21411"/>
  <c r="BB4" i="21411"/>
  <c r="BA4" i="21411"/>
  <c r="AY4" i="21411"/>
  <c r="AV4" i="21411"/>
  <c r="AU4" i="21411"/>
  <c r="AT4" i="21411"/>
  <c r="AS4" i="21411"/>
  <c r="AR4" i="21411"/>
  <c r="AP4" i="21411"/>
  <c r="AO4" i="21411"/>
  <c r="AN4" i="21411"/>
  <c r="AM4" i="21411"/>
  <c r="AL4" i="21411"/>
  <c r="AK4" i="21411"/>
  <c r="AJ4" i="21411"/>
  <c r="AI4" i="21411"/>
  <c r="AH4" i="21411"/>
  <c r="AG4" i="21411"/>
  <c r="AF4" i="21411"/>
  <c r="AE4" i="21411"/>
  <c r="AD4" i="21411"/>
  <c r="AC4" i="21411"/>
  <c r="AB4" i="21411"/>
  <c r="AA4" i="21411"/>
  <c r="Z4" i="21411"/>
  <c r="Y4" i="21411"/>
  <c r="X4" i="21411"/>
  <c r="W4" i="21411"/>
  <c r="V4" i="21411"/>
  <c r="U4" i="21411"/>
  <c r="T4" i="21411"/>
  <c r="S4" i="21411"/>
  <c r="R4" i="21411"/>
  <c r="Q4" i="21411"/>
  <c r="P4" i="21411"/>
  <c r="O4" i="21411"/>
  <c r="N4" i="21411"/>
  <c r="M4" i="21411"/>
  <c r="L4" i="21411"/>
  <c r="K4" i="21411"/>
  <c r="I4" i="21411"/>
  <c r="H4" i="21411"/>
  <c r="G4" i="21411"/>
  <c r="F4" i="21411"/>
  <c r="E4" i="21411"/>
  <c r="D4" i="21411"/>
  <c r="C4" i="21411"/>
  <c r="B4" i="21411"/>
  <c r="A4" i="21411"/>
  <c r="A7" i="21411"/>
  <c r="BG9" i="21411"/>
  <c r="BF9" i="21411"/>
  <c r="BE9" i="21411"/>
  <c r="BD9" i="21411"/>
  <c r="BC9" i="21411"/>
  <c r="BA9" i="21411"/>
  <c r="AZ9" i="21411"/>
  <c r="AV9" i="21411"/>
  <c r="AU9" i="21411"/>
  <c r="AT9" i="21411"/>
  <c r="AS9" i="21411"/>
  <c r="AR9" i="21411"/>
  <c r="AQ9" i="21411"/>
  <c r="AP9" i="21411"/>
  <c r="AO9" i="21411"/>
  <c r="AN9" i="21411"/>
  <c r="AM9" i="21411"/>
  <c r="AL9" i="21411"/>
  <c r="AK9" i="21411"/>
  <c r="AJ9" i="21411"/>
  <c r="AI9" i="21411"/>
  <c r="AH9" i="21411"/>
  <c r="AG9" i="21411"/>
  <c r="V10" i="21411" s="1"/>
  <c r="AF9" i="21411"/>
  <c r="AE9" i="21411"/>
  <c r="AD9" i="21411"/>
  <c r="AC9" i="21411"/>
  <c r="AB9" i="21411"/>
  <c r="AA9" i="21411"/>
  <c r="Z9" i="21411"/>
  <c r="Y9" i="21411"/>
  <c r="X9" i="21411"/>
  <c r="W9" i="21411"/>
  <c r="V9" i="21411"/>
  <c r="U9" i="21411"/>
  <c r="T9" i="21411"/>
  <c r="S9" i="21411"/>
  <c r="R9" i="21411"/>
  <c r="Q9" i="21411"/>
  <c r="P9" i="21411"/>
  <c r="O9" i="21411"/>
  <c r="N9" i="21411"/>
  <c r="L9" i="21411"/>
  <c r="K9" i="21411"/>
  <c r="J9" i="21411"/>
  <c r="I9" i="21411"/>
  <c r="H9" i="21411"/>
  <c r="G9" i="21411"/>
  <c r="F9" i="21411"/>
  <c r="E9" i="21411"/>
  <c r="D9" i="21411"/>
  <c r="C9" i="21411"/>
  <c r="B9" i="21411"/>
  <c r="BG8" i="21411"/>
  <c r="BF8" i="21411"/>
  <c r="BE8" i="21411"/>
  <c r="BD8" i="21411"/>
  <c r="BC8" i="21411"/>
  <c r="BB8" i="21411"/>
  <c r="BA8" i="21411"/>
  <c r="AZ8" i="21411"/>
  <c r="AY8" i="21411"/>
  <c r="AX8" i="21411"/>
  <c r="AW8" i="21411"/>
  <c r="AV8" i="21411"/>
  <c r="AU8" i="21411"/>
  <c r="AT8" i="21411"/>
  <c r="AS8" i="21411"/>
  <c r="AR8" i="21411"/>
  <c r="AQ8" i="21411"/>
  <c r="AP8" i="21411"/>
  <c r="AO8" i="21411"/>
  <c r="AN8" i="21411"/>
  <c r="AM8" i="21411"/>
  <c r="AL8" i="21411"/>
  <c r="AK8" i="21411"/>
  <c r="AJ8" i="21411"/>
  <c r="AI8" i="21411"/>
  <c r="AH8" i="21411"/>
  <c r="AG8" i="21411"/>
  <c r="AF8" i="21411"/>
  <c r="AE8" i="21411"/>
  <c r="AD8" i="21411"/>
  <c r="AC8" i="21411"/>
  <c r="AB8" i="21411"/>
  <c r="AA8" i="21411"/>
  <c r="Z8" i="21411"/>
  <c r="Y8" i="21411"/>
  <c r="X8" i="21411"/>
  <c r="W8" i="21411"/>
  <c r="V8" i="21411"/>
  <c r="U8" i="21411"/>
  <c r="T8" i="21411"/>
  <c r="R8" i="21411"/>
  <c r="Q8" i="21411"/>
  <c r="P8" i="21411"/>
  <c r="O8" i="21411"/>
  <c r="N8" i="21411"/>
  <c r="M8" i="21411"/>
  <c r="L8" i="21411"/>
  <c r="K8" i="21411"/>
  <c r="J8" i="21411"/>
  <c r="I8" i="21411"/>
  <c r="H8" i="21411"/>
  <c r="G8" i="21411"/>
  <c r="F8" i="21411"/>
  <c r="E8" i="21411"/>
  <c r="D8" i="21411"/>
  <c r="C8" i="21411"/>
  <c r="B8" i="21411"/>
  <c r="A8" i="21411"/>
  <c r="A9" i="21411"/>
  <c r="BG44" i="21410"/>
  <c r="BF44" i="21410"/>
  <c r="BE44" i="21410"/>
  <c r="BD44" i="21410"/>
  <c r="BC44" i="21410"/>
  <c r="BB44" i="21410"/>
  <c r="BA44" i="21410"/>
  <c r="AY44" i="21410"/>
  <c r="AV44" i="21410"/>
  <c r="AU44" i="21410"/>
  <c r="AT44" i="21410"/>
  <c r="AS44" i="21410"/>
  <c r="AR44" i="21410"/>
  <c r="AP44" i="21410"/>
  <c r="AO44" i="21410"/>
  <c r="AN44" i="21410"/>
  <c r="AM44" i="21410"/>
  <c r="AL44" i="21410"/>
  <c r="AK44" i="21410"/>
  <c r="AJ44" i="21410"/>
  <c r="AI44" i="21410"/>
  <c r="AH44" i="21410"/>
  <c r="AG44" i="21410"/>
  <c r="AF44" i="21410"/>
  <c r="AE44" i="21410"/>
  <c r="AD44" i="21410"/>
  <c r="AC44" i="21410"/>
  <c r="AB44" i="21410"/>
  <c r="AA44" i="21410"/>
  <c r="Z44" i="21410"/>
  <c r="Y44" i="21410"/>
  <c r="X44" i="21410"/>
  <c r="W44" i="21410"/>
  <c r="V44" i="21410"/>
  <c r="U44" i="21410"/>
  <c r="T44" i="21410"/>
  <c r="S44" i="21410"/>
  <c r="R44" i="21410"/>
  <c r="Q44" i="21410"/>
  <c r="P44" i="21410"/>
  <c r="O44" i="21410"/>
  <c r="N44" i="21410"/>
  <c r="M44" i="21410"/>
  <c r="L44" i="21410"/>
  <c r="K44" i="21410"/>
  <c r="I44" i="21410"/>
  <c r="H44" i="21410"/>
  <c r="G44" i="21410"/>
  <c r="F44" i="21410"/>
  <c r="E44" i="21410"/>
  <c r="D44" i="21410"/>
  <c r="C44" i="21410"/>
  <c r="B44" i="21410"/>
  <c r="A44" i="21410"/>
  <c r="BG43" i="21410"/>
  <c r="BF43" i="21410"/>
  <c r="BE43" i="21410"/>
  <c r="BD43" i="21410"/>
  <c r="BC43" i="21410"/>
  <c r="BA43" i="21410"/>
  <c r="AZ43" i="21410"/>
  <c r="AV43" i="21410"/>
  <c r="AU43" i="21410"/>
  <c r="AS43" i="21410"/>
  <c r="AR43" i="21410"/>
  <c r="AQ43" i="21410"/>
  <c r="AP43" i="21410"/>
  <c r="AO43" i="21410"/>
  <c r="AN43" i="21410"/>
  <c r="AM43" i="21410"/>
  <c r="AL43" i="21410"/>
  <c r="AK43" i="21410"/>
  <c r="AJ43" i="21410"/>
  <c r="AI43" i="21410"/>
  <c r="AH43" i="21410"/>
  <c r="AG43" i="21410"/>
  <c r="S42" i="21410" s="1"/>
  <c r="AF43" i="21410"/>
  <c r="AE43" i="21410"/>
  <c r="AD43" i="21410"/>
  <c r="AC43" i="21410"/>
  <c r="AB43" i="21410"/>
  <c r="AA43" i="21410"/>
  <c r="Z43" i="21410"/>
  <c r="Y43" i="21410"/>
  <c r="X43" i="21410"/>
  <c r="W43" i="21410"/>
  <c r="V43" i="21410"/>
  <c r="U43" i="21410"/>
  <c r="T43" i="21410"/>
  <c r="S43" i="21410"/>
  <c r="R43" i="21410"/>
  <c r="Q43" i="21410"/>
  <c r="P43" i="21410"/>
  <c r="O43" i="21410"/>
  <c r="N43" i="21410"/>
  <c r="L43" i="21410"/>
  <c r="K43" i="21410"/>
  <c r="J43" i="21410"/>
  <c r="I43" i="21410"/>
  <c r="H43" i="21410"/>
  <c r="G43" i="21410"/>
  <c r="F43" i="21410"/>
  <c r="E43" i="21410"/>
  <c r="D43" i="21410"/>
  <c r="B43" i="21410"/>
  <c r="A43" i="21410"/>
  <c r="AG46" i="21418" l="1"/>
  <c r="A4" i="21431"/>
  <c r="B4" i="21431"/>
  <c r="C4" i="21431"/>
  <c r="D4" i="21431"/>
  <c r="E4" i="21431"/>
  <c r="F4" i="21431"/>
  <c r="G4" i="21431"/>
  <c r="H4" i="21431"/>
  <c r="I4" i="21431"/>
  <c r="K4" i="21431"/>
  <c r="L4" i="21431"/>
  <c r="M4" i="21431"/>
  <c r="N4" i="21431"/>
  <c r="O4" i="21431"/>
  <c r="P4" i="21431"/>
  <c r="Q4" i="21431"/>
  <c r="R4" i="21431"/>
  <c r="S4" i="21431"/>
  <c r="T4" i="21431"/>
  <c r="U4" i="21431"/>
  <c r="V4" i="21431"/>
  <c r="W4" i="21431"/>
  <c r="X4" i="21431"/>
  <c r="Y4" i="21431"/>
  <c r="Z4" i="21431"/>
  <c r="AA4" i="21431"/>
  <c r="AB4" i="21431"/>
  <c r="AC4" i="21431"/>
  <c r="AD4" i="21431"/>
  <c r="AE4" i="21431"/>
  <c r="AF4" i="21431"/>
  <c r="AG4" i="21431"/>
  <c r="AH4" i="21431"/>
  <c r="AI4" i="21431"/>
  <c r="AJ4" i="21431"/>
  <c r="AK4" i="21431"/>
  <c r="AL4" i="21431"/>
  <c r="AM4" i="21431"/>
  <c r="AN4" i="21431"/>
  <c r="AO4" i="21431"/>
  <c r="AP4" i="21431"/>
  <c r="AR4" i="21431"/>
  <c r="AS4" i="21431"/>
  <c r="AT4" i="21431"/>
  <c r="AU4" i="21431"/>
  <c r="AV4" i="21431"/>
  <c r="AY4" i="21431"/>
  <c r="BA4" i="21431"/>
  <c r="BB4" i="21431"/>
  <c r="BC4" i="21431"/>
  <c r="BD4" i="21431"/>
  <c r="BE4" i="21431"/>
  <c r="BF4" i="21431"/>
  <c r="BG4" i="21431"/>
  <c r="BG5" i="21431"/>
  <c r="BF5" i="21431"/>
  <c r="BE5" i="21431"/>
  <c r="BD5" i="21431"/>
  <c r="BC5" i="21431"/>
  <c r="BA5" i="21431"/>
  <c r="AZ5" i="21431"/>
  <c r="AV5" i="21431"/>
  <c r="AU5" i="21431"/>
  <c r="AS5" i="21431"/>
  <c r="AR5" i="21431"/>
  <c r="AQ5" i="21431"/>
  <c r="AP5" i="21431"/>
  <c r="AO5" i="21431"/>
  <c r="AN5" i="21431"/>
  <c r="AM5" i="21431"/>
  <c r="AL5" i="21431"/>
  <c r="AK5" i="21431"/>
  <c r="AJ5" i="21431"/>
  <c r="AI5" i="21431"/>
  <c r="AH5" i="21431"/>
  <c r="AG5" i="21431"/>
  <c r="AF5" i="21431"/>
  <c r="AE5" i="21431"/>
  <c r="AD5" i="21431"/>
  <c r="AB5" i="21431"/>
  <c r="AA5" i="21431"/>
  <c r="Z5" i="21431"/>
  <c r="Y5" i="21431"/>
  <c r="X5" i="21431"/>
  <c r="W5" i="21431"/>
  <c r="V5" i="21431"/>
  <c r="U5" i="21431"/>
  <c r="T5" i="21431"/>
  <c r="S5" i="21431"/>
  <c r="R5" i="21431"/>
  <c r="Q5" i="21431"/>
  <c r="P5" i="21431"/>
  <c r="O5" i="21431"/>
  <c r="N5" i="21431"/>
  <c r="M5" i="21431"/>
  <c r="L5" i="21431"/>
  <c r="K5" i="21431"/>
  <c r="J5" i="21431"/>
  <c r="I5" i="21431"/>
  <c r="H5" i="21431"/>
  <c r="G5" i="21431"/>
  <c r="E5" i="21431"/>
  <c r="D5" i="21431"/>
  <c r="A5" i="21431"/>
  <c r="BG350" i="108"/>
  <c r="BF350" i="108"/>
  <c r="BE350" i="108"/>
  <c r="BD350" i="108"/>
  <c r="BC350" i="108"/>
  <c r="BA350" i="108"/>
  <c r="AZ350" i="108"/>
  <c r="AX350" i="108"/>
  <c r="AV350" i="108"/>
  <c r="AU350" i="108"/>
  <c r="AS350" i="108"/>
  <c r="AR350" i="108"/>
  <c r="AQ350" i="108"/>
  <c r="AP350" i="108"/>
  <c r="AO350" i="108"/>
  <c r="AN350" i="108"/>
  <c r="AM350" i="108"/>
  <c r="AL350" i="108"/>
  <c r="AK350" i="108"/>
  <c r="AJ350" i="108"/>
  <c r="AI350" i="108"/>
  <c r="AH350" i="108"/>
  <c r="AG350" i="108"/>
  <c r="AF350" i="108"/>
  <c r="AE350" i="108"/>
  <c r="AD350" i="108"/>
  <c r="AC350" i="108"/>
  <c r="AB350" i="108"/>
  <c r="AA350" i="108"/>
  <c r="Z350" i="108"/>
  <c r="Y350" i="108"/>
  <c r="X350" i="108"/>
  <c r="W350" i="108"/>
  <c r="V350" i="108"/>
  <c r="U350" i="108"/>
  <c r="T350" i="108"/>
  <c r="S350" i="108"/>
  <c r="R350" i="108"/>
  <c r="Q350" i="108"/>
  <c r="P350" i="108"/>
  <c r="O350" i="108"/>
  <c r="N350" i="108"/>
  <c r="L350" i="108"/>
  <c r="K350" i="108"/>
  <c r="J350" i="108"/>
  <c r="I350" i="108"/>
  <c r="H350" i="108"/>
  <c r="G350" i="108"/>
  <c r="F350" i="108"/>
  <c r="E350" i="108"/>
  <c r="D350" i="108"/>
  <c r="B350" i="108"/>
  <c r="A350" i="108"/>
  <c r="BG349" i="108"/>
  <c r="BF349" i="108"/>
  <c r="BE349" i="108"/>
  <c r="BD349" i="108"/>
  <c r="BC349" i="108"/>
  <c r="BB349" i="108"/>
  <c r="BA349" i="108"/>
  <c r="AX349" i="108"/>
  <c r="AW349" i="108"/>
  <c r="AV349" i="108"/>
  <c r="AU349" i="108"/>
  <c r="AT349" i="108"/>
  <c r="AS349" i="108"/>
  <c r="AR349" i="108"/>
  <c r="AP349" i="108"/>
  <c r="AO349" i="108"/>
  <c r="AN349" i="108"/>
  <c r="AM349" i="108"/>
  <c r="AL349" i="108"/>
  <c r="AK349" i="108"/>
  <c r="AJ349" i="108"/>
  <c r="AI349" i="108"/>
  <c r="AH349" i="108"/>
  <c r="AG349" i="108"/>
  <c r="AF349" i="108"/>
  <c r="AE349" i="108"/>
  <c r="AD349" i="108"/>
  <c r="AC349" i="108"/>
  <c r="AB349" i="108"/>
  <c r="AA349" i="108"/>
  <c r="Z349" i="108"/>
  <c r="Y349" i="108"/>
  <c r="X349" i="108"/>
  <c r="W349" i="108"/>
  <c r="V349" i="108"/>
  <c r="U349" i="108"/>
  <c r="T349" i="108"/>
  <c r="S349" i="108"/>
  <c r="R349" i="108"/>
  <c r="Q349" i="108"/>
  <c r="P349" i="108"/>
  <c r="O349" i="108"/>
  <c r="N349" i="108"/>
  <c r="M349" i="108"/>
  <c r="L349" i="108"/>
  <c r="K349" i="108"/>
  <c r="J349" i="108"/>
  <c r="I349" i="108"/>
  <c r="H349" i="108"/>
  <c r="G349" i="108"/>
  <c r="F349" i="108"/>
  <c r="E349" i="108"/>
  <c r="D349" i="108"/>
  <c r="C349" i="108"/>
  <c r="B349" i="108"/>
  <c r="A349" i="108"/>
  <c r="BG348" i="108"/>
  <c r="BF348" i="108"/>
  <c r="BE348" i="108"/>
  <c r="BD348" i="108"/>
  <c r="BC348" i="108"/>
  <c r="BA348" i="108"/>
  <c r="AZ348" i="108"/>
  <c r="AX348" i="108"/>
  <c r="AV348" i="108"/>
  <c r="AU348" i="108"/>
  <c r="AS348" i="108"/>
  <c r="AR348" i="108"/>
  <c r="AQ348" i="108"/>
  <c r="AP348" i="108"/>
  <c r="AO348" i="108"/>
  <c r="AN348" i="108"/>
  <c r="AM348" i="108"/>
  <c r="AL348" i="108"/>
  <c r="AK348" i="108"/>
  <c r="AJ348" i="108"/>
  <c r="AI348" i="108"/>
  <c r="AH348" i="108"/>
  <c r="AG348" i="108"/>
  <c r="S347" i="108" s="1"/>
  <c r="AF348" i="108"/>
  <c r="AE348" i="108"/>
  <c r="AD348" i="108"/>
  <c r="AB348" i="108"/>
  <c r="AA348" i="108"/>
  <c r="Z348" i="108"/>
  <c r="Y348" i="108"/>
  <c r="X348" i="108"/>
  <c r="W348" i="108"/>
  <c r="V348" i="108"/>
  <c r="U348" i="108"/>
  <c r="T348" i="108"/>
  <c r="S348" i="108"/>
  <c r="R348" i="108"/>
  <c r="Q348" i="108"/>
  <c r="P348" i="108"/>
  <c r="O348" i="108"/>
  <c r="N348" i="108"/>
  <c r="L348" i="108"/>
  <c r="K348" i="108"/>
  <c r="J348" i="108"/>
  <c r="I348" i="108"/>
  <c r="H348" i="108"/>
  <c r="G348" i="108"/>
  <c r="F348" i="108"/>
  <c r="E348" i="108"/>
  <c r="D348" i="108"/>
  <c r="B348" i="108"/>
  <c r="BG347" i="21415"/>
  <c r="BF347" i="21415"/>
  <c r="BE347" i="21415"/>
  <c r="BD347" i="21415"/>
  <c r="BC347" i="21415"/>
  <c r="BB347" i="21415"/>
  <c r="BA347" i="21415"/>
  <c r="AY347" i="21415"/>
  <c r="AX347" i="21415"/>
  <c r="AV347" i="21415"/>
  <c r="AU347" i="21415"/>
  <c r="AT347" i="21415"/>
  <c r="AS347" i="21415"/>
  <c r="AR347" i="21415"/>
  <c r="AP347" i="21415"/>
  <c r="AO347" i="21415"/>
  <c r="AN347" i="21415"/>
  <c r="AM347" i="21415"/>
  <c r="AL347" i="21415"/>
  <c r="AK347" i="21415"/>
  <c r="AJ347" i="21415"/>
  <c r="AI347" i="21415"/>
  <c r="AH347" i="21415"/>
  <c r="AG347" i="21415"/>
  <c r="AF347" i="21415"/>
  <c r="AE347" i="21415"/>
  <c r="AD347" i="21415"/>
  <c r="AC347" i="21415"/>
  <c r="AB347" i="21415"/>
  <c r="AA347" i="21415"/>
  <c r="Z347" i="21415"/>
  <c r="Y347" i="21415"/>
  <c r="X347" i="21415"/>
  <c r="W347" i="21415"/>
  <c r="V347" i="21415"/>
  <c r="U347" i="21415"/>
  <c r="T347" i="21415"/>
  <c r="S347" i="21415"/>
  <c r="R347" i="21415"/>
  <c r="Q347" i="21415"/>
  <c r="P347" i="21415"/>
  <c r="O347" i="21415"/>
  <c r="N347" i="21415"/>
  <c r="M347" i="21415"/>
  <c r="L347" i="21415"/>
  <c r="K347" i="21415"/>
  <c r="I347" i="21415"/>
  <c r="H347" i="21415"/>
  <c r="G347" i="21415"/>
  <c r="F347" i="21415"/>
  <c r="E347" i="21415"/>
  <c r="D347" i="21415"/>
  <c r="C347" i="21415"/>
  <c r="B347" i="21415"/>
  <c r="A347" i="21415"/>
  <c r="BG346" i="21415"/>
  <c r="BF346" i="21415"/>
  <c r="BE346" i="21415"/>
  <c r="BD346" i="21415"/>
  <c r="BC346" i="21415"/>
  <c r="BA346" i="21415"/>
  <c r="AZ346" i="21415"/>
  <c r="AX346" i="21415"/>
  <c r="AV346" i="21415"/>
  <c r="AU346" i="21415"/>
  <c r="AS346" i="21415"/>
  <c r="AR346" i="21415"/>
  <c r="AQ346" i="21415"/>
  <c r="AP346" i="21415"/>
  <c r="AO346" i="21415"/>
  <c r="AN346" i="21415"/>
  <c r="AM346" i="21415"/>
  <c r="AL346" i="21415"/>
  <c r="AK346" i="21415"/>
  <c r="AJ346" i="21415"/>
  <c r="AI346" i="21415"/>
  <c r="AH346" i="21415"/>
  <c r="AG346" i="21415"/>
  <c r="AF346" i="21415"/>
  <c r="AE346" i="21415"/>
  <c r="AD346" i="21415"/>
  <c r="AB346" i="21415"/>
  <c r="AA346" i="21415"/>
  <c r="Z346" i="21415"/>
  <c r="Y346" i="21415"/>
  <c r="X346" i="21415"/>
  <c r="W346" i="21415"/>
  <c r="V346" i="21415"/>
  <c r="U346" i="21415"/>
  <c r="T346" i="21415"/>
  <c r="S346" i="21415"/>
  <c r="R346" i="21415"/>
  <c r="Q346" i="21415"/>
  <c r="P346" i="21415"/>
  <c r="O346" i="21415"/>
  <c r="N346" i="21415"/>
  <c r="L346" i="21415"/>
  <c r="K346" i="21415"/>
  <c r="J346" i="21415"/>
  <c r="I346" i="21415"/>
  <c r="H346" i="21415"/>
  <c r="G346" i="21415"/>
  <c r="F346" i="21415"/>
  <c r="E346" i="21415"/>
  <c r="D346" i="21415"/>
  <c r="B346" i="21415"/>
  <c r="A346" i="21415"/>
  <c r="BG345" i="21415"/>
  <c r="BF345" i="21415"/>
  <c r="BE345" i="21415"/>
  <c r="BD345" i="21415"/>
  <c r="BC345" i="21415"/>
  <c r="BB345" i="21415"/>
  <c r="BA345" i="21415"/>
  <c r="AZ345" i="21415"/>
  <c r="AX345" i="21415"/>
  <c r="AW345" i="21415"/>
  <c r="AV345" i="21415"/>
  <c r="AU345" i="21415"/>
  <c r="AT345" i="21415"/>
  <c r="AS345" i="21415"/>
  <c r="AR345" i="21415"/>
  <c r="AQ345" i="21415"/>
  <c r="AP345" i="21415"/>
  <c r="AO345" i="21415"/>
  <c r="AN345" i="21415"/>
  <c r="AM345" i="21415"/>
  <c r="AL345" i="21415"/>
  <c r="AK345" i="21415"/>
  <c r="AJ345" i="21415"/>
  <c r="AI345" i="21415"/>
  <c r="AH345" i="21415"/>
  <c r="AG345" i="21415"/>
  <c r="AF345" i="21415"/>
  <c r="AE345" i="21415"/>
  <c r="AD345" i="21415"/>
  <c r="AC345" i="21415"/>
  <c r="AB345" i="21415"/>
  <c r="AA345" i="21415"/>
  <c r="Z345" i="21415"/>
  <c r="Y345" i="21415"/>
  <c r="X345" i="21415"/>
  <c r="W345" i="21415"/>
  <c r="V345" i="21415"/>
  <c r="U345" i="21415"/>
  <c r="T345" i="21415"/>
  <c r="S345" i="21415"/>
  <c r="R345" i="21415"/>
  <c r="Q345" i="21415"/>
  <c r="P345" i="21415"/>
  <c r="O345" i="21415"/>
  <c r="N345" i="21415"/>
  <c r="M345" i="21415"/>
  <c r="L345" i="21415"/>
  <c r="K345" i="21415"/>
  <c r="J345" i="21415"/>
  <c r="I345" i="21415"/>
  <c r="H345" i="21415"/>
  <c r="G345" i="21415"/>
  <c r="F345" i="21415"/>
  <c r="E345" i="21415"/>
  <c r="D345" i="21415"/>
  <c r="C345" i="21415"/>
  <c r="B345" i="21415"/>
  <c r="A345" i="21415"/>
  <c r="BG344" i="21415"/>
  <c r="BF344" i="21415"/>
  <c r="BE344" i="21415"/>
  <c r="BD344" i="21415"/>
  <c r="BC344" i="21415"/>
  <c r="BA344" i="21415"/>
  <c r="AZ344" i="21415"/>
  <c r="AX344" i="21415"/>
  <c r="AV344" i="21415"/>
  <c r="AU344" i="21415"/>
  <c r="AT344" i="21415"/>
  <c r="AS344" i="21415"/>
  <c r="AR344" i="21415"/>
  <c r="AQ344" i="21415"/>
  <c r="AP344" i="21415"/>
  <c r="AO344" i="21415"/>
  <c r="AN344" i="21415"/>
  <c r="AM344" i="21415"/>
  <c r="AL344" i="21415"/>
  <c r="AK344" i="21415"/>
  <c r="AJ344" i="21415"/>
  <c r="AI344" i="21415"/>
  <c r="AH344" i="21415"/>
  <c r="AG344" i="21415"/>
  <c r="AF344" i="21415"/>
  <c r="AE344" i="21415"/>
  <c r="AD344" i="21415"/>
  <c r="AB344" i="21415"/>
  <c r="AA344" i="21415"/>
  <c r="Z344" i="21415"/>
  <c r="Y344" i="21415"/>
  <c r="X344" i="21415"/>
  <c r="W344" i="21415"/>
  <c r="V344" i="21415"/>
  <c r="U344" i="21415"/>
  <c r="T344" i="21415"/>
  <c r="S344" i="21415"/>
  <c r="R344" i="21415"/>
  <c r="Q344" i="21415"/>
  <c r="P344" i="21415"/>
  <c r="O344" i="21415"/>
  <c r="N344" i="21415"/>
  <c r="L344" i="21415"/>
  <c r="K344" i="21415"/>
  <c r="J344" i="21415"/>
  <c r="I344" i="21415"/>
  <c r="H344" i="21415"/>
  <c r="G344" i="21415"/>
  <c r="F344" i="21415"/>
  <c r="E344" i="21415"/>
  <c r="D344" i="21415"/>
  <c r="B344" i="21415"/>
  <c r="A344" i="21415"/>
  <c r="BG343" i="21415"/>
  <c r="BF343" i="21415"/>
  <c r="BE343" i="21415"/>
  <c r="BD343" i="21415"/>
  <c r="BC343" i="21415"/>
  <c r="BB343" i="21415"/>
  <c r="BA343" i="21415"/>
  <c r="AZ343" i="21415"/>
  <c r="AX343" i="21415"/>
  <c r="AW343" i="21415"/>
  <c r="AV343" i="21415"/>
  <c r="AU343" i="21415"/>
  <c r="AT343" i="21415"/>
  <c r="AS343" i="21415"/>
  <c r="AR343" i="21415"/>
  <c r="AQ343" i="21415"/>
  <c r="AP343" i="21415"/>
  <c r="AO343" i="21415"/>
  <c r="AN343" i="21415"/>
  <c r="AM343" i="21415"/>
  <c r="AL343" i="21415"/>
  <c r="AK343" i="21415"/>
  <c r="AJ343" i="21415"/>
  <c r="AI343" i="21415"/>
  <c r="AH343" i="21415"/>
  <c r="AG343" i="21415"/>
  <c r="AF343" i="21415"/>
  <c r="AE343" i="21415"/>
  <c r="AD343" i="21415"/>
  <c r="AC343" i="21415"/>
  <c r="AB343" i="21415"/>
  <c r="AA343" i="21415"/>
  <c r="Z343" i="21415"/>
  <c r="Y343" i="21415"/>
  <c r="X343" i="21415"/>
  <c r="W343" i="21415"/>
  <c r="V343" i="21415"/>
  <c r="U343" i="21415"/>
  <c r="T343" i="21415"/>
  <c r="S343" i="21415"/>
  <c r="R343" i="21415"/>
  <c r="Q343" i="21415"/>
  <c r="P343" i="21415"/>
  <c r="O343" i="21415"/>
  <c r="N343" i="21415"/>
  <c r="M343" i="21415"/>
  <c r="L343" i="21415"/>
  <c r="K343" i="21415"/>
  <c r="J343" i="21415"/>
  <c r="I343" i="21415"/>
  <c r="H343" i="21415"/>
  <c r="G343" i="21415"/>
  <c r="F343" i="21415"/>
  <c r="E343" i="21415"/>
  <c r="D343" i="21415"/>
  <c r="C343" i="21415"/>
  <c r="B343" i="21415"/>
  <c r="A343" i="21415"/>
  <c r="BG342" i="21415"/>
  <c r="BF342" i="21415"/>
  <c r="BE342" i="21415"/>
  <c r="BD342" i="21415"/>
  <c r="BC342" i="21415"/>
  <c r="BA342" i="21415"/>
  <c r="AZ342" i="21415"/>
  <c r="AX342" i="21415"/>
  <c r="AV342" i="21415"/>
  <c r="AU342" i="21415"/>
  <c r="AT342" i="21415"/>
  <c r="AS342" i="21415"/>
  <c r="AR342" i="21415"/>
  <c r="AQ342" i="21415"/>
  <c r="AP342" i="21415"/>
  <c r="AO342" i="21415"/>
  <c r="AN342" i="21415"/>
  <c r="AM342" i="21415"/>
  <c r="AL342" i="21415"/>
  <c r="AK342" i="21415"/>
  <c r="AJ342" i="21415"/>
  <c r="AI342" i="21415"/>
  <c r="AH342" i="21415"/>
  <c r="AG342" i="21415"/>
  <c r="AF342" i="21415"/>
  <c r="AE342" i="21415"/>
  <c r="AD342" i="21415"/>
  <c r="AC342" i="21415"/>
  <c r="AB342" i="21415"/>
  <c r="AA342" i="21415"/>
  <c r="Z342" i="21415"/>
  <c r="Y342" i="21415"/>
  <c r="X342" i="21415"/>
  <c r="W342" i="21415"/>
  <c r="V342" i="21415"/>
  <c r="U342" i="21415"/>
  <c r="T342" i="21415"/>
  <c r="S342" i="21415"/>
  <c r="R342" i="21415"/>
  <c r="Q342" i="21415"/>
  <c r="P342" i="21415"/>
  <c r="O342" i="21415"/>
  <c r="N342" i="21415"/>
  <c r="L342" i="21415"/>
  <c r="K342" i="21415"/>
  <c r="J342" i="21415"/>
  <c r="I342" i="21415"/>
  <c r="H342" i="21415"/>
  <c r="G342" i="21415"/>
  <c r="F342" i="21415"/>
  <c r="E342" i="21415"/>
  <c r="D342" i="21415"/>
  <c r="B342" i="21415"/>
  <c r="A342" i="21415"/>
  <c r="BG341" i="21415"/>
  <c r="BF341" i="21415"/>
  <c r="BE341" i="21415"/>
  <c r="BD341" i="21415"/>
  <c r="BC341" i="21415"/>
  <c r="BB341" i="21415"/>
  <c r="BA341" i="21415"/>
  <c r="AZ341" i="21415"/>
  <c r="AX341" i="21415"/>
  <c r="AW341" i="21415"/>
  <c r="AV341" i="21415"/>
  <c r="AU341" i="21415"/>
  <c r="AT341" i="21415"/>
  <c r="AS341" i="21415"/>
  <c r="AR341" i="21415"/>
  <c r="AQ341" i="21415"/>
  <c r="AP341" i="21415"/>
  <c r="AO341" i="21415"/>
  <c r="AN341" i="21415"/>
  <c r="AM341" i="21415"/>
  <c r="AL341" i="21415"/>
  <c r="AK341" i="21415"/>
  <c r="AJ341" i="21415"/>
  <c r="AI341" i="21415"/>
  <c r="AH341" i="21415"/>
  <c r="AG341" i="21415"/>
  <c r="AF341" i="21415"/>
  <c r="AE341" i="21415"/>
  <c r="AD341" i="21415"/>
  <c r="AC341" i="21415"/>
  <c r="AB341" i="21415"/>
  <c r="AA341" i="21415"/>
  <c r="Z341" i="21415"/>
  <c r="Y341" i="21415"/>
  <c r="X341" i="21415"/>
  <c r="W341" i="21415"/>
  <c r="V341" i="21415"/>
  <c r="U341" i="21415"/>
  <c r="T341" i="21415"/>
  <c r="S341" i="21415"/>
  <c r="R341" i="21415"/>
  <c r="Q341" i="21415"/>
  <c r="P341" i="21415"/>
  <c r="O341" i="21415"/>
  <c r="N341" i="21415"/>
  <c r="M341" i="21415"/>
  <c r="L341" i="21415"/>
  <c r="K341" i="21415"/>
  <c r="J341" i="21415"/>
  <c r="I341" i="21415"/>
  <c r="H341" i="21415"/>
  <c r="G341" i="21415"/>
  <c r="F341" i="21415"/>
  <c r="E341" i="21415"/>
  <c r="D341" i="21415"/>
  <c r="C341" i="21415"/>
  <c r="B341" i="21415"/>
  <c r="A341" i="21415"/>
  <c r="BG340" i="21415"/>
  <c r="BF340" i="21415"/>
  <c r="BE340" i="21415"/>
  <c r="BD340" i="21415"/>
  <c r="BC340" i="21415"/>
  <c r="BA340" i="21415"/>
  <c r="AZ340" i="21415"/>
  <c r="AX340" i="21415"/>
  <c r="AV340" i="21415"/>
  <c r="AU340" i="21415"/>
  <c r="AT340" i="21415"/>
  <c r="AS340" i="21415"/>
  <c r="AR340" i="21415"/>
  <c r="AQ340" i="21415"/>
  <c r="AP340" i="21415"/>
  <c r="AO340" i="21415"/>
  <c r="AN340" i="21415"/>
  <c r="AM340" i="21415"/>
  <c r="AL340" i="21415"/>
  <c r="AK340" i="21415"/>
  <c r="AJ340" i="21415"/>
  <c r="AI340" i="21415"/>
  <c r="AH340" i="21415"/>
  <c r="AG340" i="21415"/>
  <c r="AF340" i="21415"/>
  <c r="AE340" i="21415"/>
  <c r="AD340" i="21415"/>
  <c r="AB340" i="21415"/>
  <c r="AA340" i="21415"/>
  <c r="Z340" i="21415"/>
  <c r="Y340" i="21415"/>
  <c r="X340" i="21415"/>
  <c r="W340" i="21415"/>
  <c r="V340" i="21415"/>
  <c r="U340" i="21415"/>
  <c r="T340" i="21415"/>
  <c r="S340" i="21415"/>
  <c r="R340" i="21415"/>
  <c r="Q340" i="21415"/>
  <c r="P340" i="21415"/>
  <c r="O340" i="21415"/>
  <c r="N340" i="21415"/>
  <c r="L340" i="21415"/>
  <c r="K340" i="21415"/>
  <c r="J340" i="21415"/>
  <c r="I340" i="21415"/>
  <c r="H340" i="21415"/>
  <c r="G340" i="21415"/>
  <c r="F340" i="21415"/>
  <c r="E340" i="21415"/>
  <c r="D340" i="21415"/>
  <c r="B340" i="21415"/>
  <c r="A340" i="21415"/>
  <c r="BG339" i="21415"/>
  <c r="BF339" i="21415"/>
  <c r="BE339" i="21415"/>
  <c r="BD339" i="21415"/>
  <c r="BC339" i="21415"/>
  <c r="BB339" i="21415"/>
  <c r="BA339" i="21415"/>
  <c r="AY339" i="21415"/>
  <c r="AX339" i="21415"/>
  <c r="AV339" i="21415"/>
  <c r="AU339" i="21415"/>
  <c r="AT339" i="21415"/>
  <c r="AS339" i="21415"/>
  <c r="AR339" i="21415"/>
  <c r="AQ339" i="21415"/>
  <c r="AP339" i="21415"/>
  <c r="AO339" i="21415"/>
  <c r="AN339" i="21415"/>
  <c r="AM339" i="21415"/>
  <c r="AL339" i="21415"/>
  <c r="AK339" i="21415"/>
  <c r="AJ339" i="21415"/>
  <c r="AI339" i="21415"/>
  <c r="AH339" i="21415"/>
  <c r="AG339" i="21415"/>
  <c r="AF339" i="21415"/>
  <c r="AE339" i="21415"/>
  <c r="AD339" i="21415"/>
  <c r="AC339" i="21415"/>
  <c r="AB339" i="21415"/>
  <c r="AA339" i="21415"/>
  <c r="Z339" i="21415"/>
  <c r="Y339" i="21415"/>
  <c r="X339" i="21415"/>
  <c r="W339" i="21415"/>
  <c r="V339" i="21415"/>
  <c r="U339" i="21415"/>
  <c r="T339" i="21415"/>
  <c r="R339" i="21415"/>
  <c r="Q339" i="21415"/>
  <c r="P339" i="21415"/>
  <c r="O339" i="21415"/>
  <c r="N339" i="21415"/>
  <c r="M339" i="21415"/>
  <c r="L339" i="21415"/>
  <c r="K339" i="21415"/>
  <c r="I339" i="21415"/>
  <c r="H339" i="21415"/>
  <c r="G339" i="21415"/>
  <c r="F339" i="21415"/>
  <c r="E339" i="21415"/>
  <c r="D339" i="21415"/>
  <c r="C339" i="21415"/>
  <c r="B339" i="21415"/>
  <c r="A339" i="21415"/>
  <c r="BG338" i="21415"/>
  <c r="BF338" i="21415"/>
  <c r="BE338" i="21415"/>
  <c r="BD338" i="21415"/>
  <c r="BC338" i="21415"/>
  <c r="BA338" i="21415"/>
  <c r="AZ338" i="21415"/>
  <c r="AX338" i="21415"/>
  <c r="AV338" i="21415"/>
  <c r="AU338" i="21415"/>
  <c r="AT338" i="21415"/>
  <c r="AS338" i="21415"/>
  <c r="AR338" i="21415"/>
  <c r="AQ338" i="21415"/>
  <c r="AP338" i="21415"/>
  <c r="AO338" i="21415"/>
  <c r="AN338" i="21415"/>
  <c r="AM338" i="21415"/>
  <c r="AL338" i="21415"/>
  <c r="AK338" i="21415"/>
  <c r="AJ338" i="21415"/>
  <c r="AI338" i="21415"/>
  <c r="AH338" i="21415"/>
  <c r="AG338" i="21415"/>
  <c r="S337" i="21415" s="1"/>
  <c r="S5" i="21418" s="1"/>
  <c r="AF338" i="21415"/>
  <c r="AE338" i="21415"/>
  <c r="AD338" i="21415"/>
  <c r="AC338" i="21415"/>
  <c r="AB338" i="21415"/>
  <c r="AA338" i="21415"/>
  <c r="Z338" i="21415"/>
  <c r="Y338" i="21415"/>
  <c r="X338" i="21415"/>
  <c r="W338" i="21415"/>
  <c r="V338" i="21415"/>
  <c r="U338" i="21415"/>
  <c r="T338" i="21415"/>
  <c r="S338" i="21415"/>
  <c r="R338" i="21415"/>
  <c r="Q338" i="21415"/>
  <c r="P338" i="21415"/>
  <c r="O338" i="21415"/>
  <c r="N338" i="21415"/>
  <c r="L338" i="21415"/>
  <c r="K338" i="21415"/>
  <c r="J338" i="21415"/>
  <c r="I338" i="21415"/>
  <c r="H338" i="21415"/>
  <c r="G338" i="21415"/>
  <c r="F338" i="21415"/>
  <c r="E338" i="21415"/>
  <c r="D338" i="21415"/>
  <c r="C338" i="21415"/>
  <c r="B338" i="21415"/>
  <c r="BG354" i="21416"/>
  <c r="BF354" i="21416"/>
  <c r="BE354" i="21416"/>
  <c r="BD354" i="21416"/>
  <c r="BC354" i="21416"/>
  <c r="BB354" i="21416"/>
  <c r="BA354" i="21416"/>
  <c r="AY354" i="21416"/>
  <c r="AX354" i="21416"/>
  <c r="AV354" i="21416"/>
  <c r="AU354" i="21416"/>
  <c r="AT354" i="21416"/>
  <c r="AS354" i="21416"/>
  <c r="AR354" i="21416"/>
  <c r="AP354" i="21416"/>
  <c r="AO354" i="21416"/>
  <c r="AN354" i="21416"/>
  <c r="AM354" i="21416"/>
  <c r="AL354" i="21416"/>
  <c r="AK354" i="21416"/>
  <c r="AJ354" i="21416"/>
  <c r="AI354" i="21416"/>
  <c r="AH354" i="21416"/>
  <c r="AG354" i="21416"/>
  <c r="AF354" i="21416"/>
  <c r="AE354" i="21416"/>
  <c r="AD354" i="21416"/>
  <c r="AC354" i="21416"/>
  <c r="AB354" i="21416"/>
  <c r="AA354" i="21416"/>
  <c r="Z354" i="21416"/>
  <c r="Y354" i="21416"/>
  <c r="X354" i="21416"/>
  <c r="W354" i="21416"/>
  <c r="V354" i="21416"/>
  <c r="U354" i="21416"/>
  <c r="T354" i="21416"/>
  <c r="S354" i="21416"/>
  <c r="R354" i="21416"/>
  <c r="Q354" i="21416"/>
  <c r="P354" i="21416"/>
  <c r="O354" i="21416"/>
  <c r="N354" i="21416"/>
  <c r="M354" i="21416"/>
  <c r="L354" i="21416"/>
  <c r="K354" i="21416"/>
  <c r="I354" i="21416"/>
  <c r="H354" i="21416"/>
  <c r="G354" i="21416"/>
  <c r="F354" i="21416"/>
  <c r="E354" i="21416"/>
  <c r="D354" i="21416"/>
  <c r="C354" i="21416"/>
  <c r="B354" i="21416"/>
  <c r="A354" i="21416"/>
  <c r="BG353" i="21416"/>
  <c r="BF353" i="21416"/>
  <c r="BE353" i="21416"/>
  <c r="BD353" i="21416"/>
  <c r="BC353" i="21416"/>
  <c r="BA353" i="21416"/>
  <c r="AZ353" i="21416"/>
  <c r="AX353" i="21416"/>
  <c r="AV353" i="21416"/>
  <c r="AU353" i="21416"/>
  <c r="AS353" i="21416"/>
  <c r="AR353" i="21416"/>
  <c r="AQ353" i="21416"/>
  <c r="AP353" i="21416"/>
  <c r="AO353" i="21416"/>
  <c r="AN353" i="21416"/>
  <c r="AM353" i="21416"/>
  <c r="AL353" i="21416"/>
  <c r="AK353" i="21416"/>
  <c r="AJ353" i="21416"/>
  <c r="AI353" i="21416"/>
  <c r="AH353" i="21416"/>
  <c r="AG353" i="21416"/>
  <c r="AF353" i="21416"/>
  <c r="AE353" i="21416"/>
  <c r="AD353" i="21416"/>
  <c r="AC353" i="21416"/>
  <c r="AB353" i="21416"/>
  <c r="AA353" i="21416"/>
  <c r="Z353" i="21416"/>
  <c r="Y353" i="21416"/>
  <c r="X353" i="21416"/>
  <c r="W353" i="21416"/>
  <c r="V353" i="21416"/>
  <c r="U353" i="21416"/>
  <c r="T353" i="21416"/>
  <c r="S353" i="21416"/>
  <c r="R353" i="21416"/>
  <c r="Q353" i="21416"/>
  <c r="P353" i="21416"/>
  <c r="O353" i="21416"/>
  <c r="N353" i="21416"/>
  <c r="L353" i="21416"/>
  <c r="K353" i="21416"/>
  <c r="J353" i="21416"/>
  <c r="I353" i="21416"/>
  <c r="H353" i="21416"/>
  <c r="G353" i="21416"/>
  <c r="F353" i="21416"/>
  <c r="E353" i="21416"/>
  <c r="D353" i="21416"/>
  <c r="B353" i="21416"/>
  <c r="A353" i="21416"/>
  <c r="BG352" i="21416"/>
  <c r="BF352" i="21416"/>
  <c r="BE352" i="21416"/>
  <c r="BD352" i="21416"/>
  <c r="BC352" i="21416"/>
  <c r="BB352" i="21416"/>
  <c r="BA352" i="21416"/>
  <c r="AX352" i="21416"/>
  <c r="AW352" i="21416"/>
  <c r="AV352" i="21416"/>
  <c r="AU352" i="21416"/>
  <c r="AT352" i="21416"/>
  <c r="AS352" i="21416"/>
  <c r="AR352" i="21416"/>
  <c r="AP352" i="21416"/>
  <c r="AO352" i="21416"/>
  <c r="AN352" i="21416"/>
  <c r="AM352" i="21416"/>
  <c r="AL352" i="21416"/>
  <c r="AK352" i="21416"/>
  <c r="AJ352" i="21416"/>
  <c r="AI352" i="21416"/>
  <c r="AH352" i="21416"/>
  <c r="AG352" i="21416"/>
  <c r="AF352" i="21416"/>
  <c r="AE352" i="21416"/>
  <c r="AD352" i="21416"/>
  <c r="AC352" i="21416"/>
  <c r="AB352" i="21416"/>
  <c r="AA352" i="21416"/>
  <c r="Z352" i="21416"/>
  <c r="Y352" i="21416"/>
  <c r="X352" i="21416"/>
  <c r="W352" i="21416"/>
  <c r="V352" i="21416"/>
  <c r="U352" i="21416"/>
  <c r="T352" i="21416"/>
  <c r="S352" i="21416"/>
  <c r="R352" i="21416"/>
  <c r="Q352" i="21416"/>
  <c r="P352" i="21416"/>
  <c r="O352" i="21416"/>
  <c r="N352" i="21416"/>
  <c r="M352" i="21416"/>
  <c r="L352" i="21416"/>
  <c r="K352" i="21416"/>
  <c r="J352" i="21416"/>
  <c r="I352" i="21416"/>
  <c r="H352" i="21416"/>
  <c r="G352" i="21416"/>
  <c r="F352" i="21416"/>
  <c r="E352" i="21416"/>
  <c r="D352" i="21416"/>
  <c r="C352" i="21416"/>
  <c r="B352" i="21416"/>
  <c r="A352" i="21416"/>
  <c r="BG351" i="21416"/>
  <c r="BF351" i="21416"/>
  <c r="BE351" i="21416"/>
  <c r="BD351" i="21416"/>
  <c r="BC351" i="21416"/>
  <c r="BA351" i="21416"/>
  <c r="AZ351" i="21416"/>
  <c r="AX351" i="21416"/>
  <c r="AV351" i="21416"/>
  <c r="AU351" i="21416"/>
  <c r="AS351" i="21416"/>
  <c r="AR351" i="21416"/>
  <c r="AQ351" i="21416"/>
  <c r="AP351" i="21416"/>
  <c r="AO351" i="21416"/>
  <c r="AN351" i="21416"/>
  <c r="AM351" i="21416"/>
  <c r="AL351" i="21416"/>
  <c r="AK351" i="21416"/>
  <c r="AJ351" i="21416"/>
  <c r="AI351" i="21416"/>
  <c r="AH351" i="21416"/>
  <c r="AG351" i="21416"/>
  <c r="AF351" i="21416"/>
  <c r="AE351" i="21416"/>
  <c r="AD351" i="21416"/>
  <c r="AB351" i="21416"/>
  <c r="AA351" i="21416"/>
  <c r="Z351" i="21416"/>
  <c r="Y351" i="21416"/>
  <c r="X351" i="21416"/>
  <c r="W351" i="21416"/>
  <c r="V351" i="21416"/>
  <c r="U351" i="21416"/>
  <c r="T351" i="21416"/>
  <c r="S351" i="21416"/>
  <c r="R351" i="21416"/>
  <c r="Q351" i="21416"/>
  <c r="P351" i="21416"/>
  <c r="O351" i="21416"/>
  <c r="N351" i="21416"/>
  <c r="L351" i="21416"/>
  <c r="K351" i="21416"/>
  <c r="J351" i="21416"/>
  <c r="I351" i="21416"/>
  <c r="H351" i="21416"/>
  <c r="G351" i="21416"/>
  <c r="F351" i="21416"/>
  <c r="E351" i="21416"/>
  <c r="D351" i="21416"/>
  <c r="B351" i="21416"/>
  <c r="A351" i="21416"/>
  <c r="BG350" i="21416"/>
  <c r="BF350" i="21416"/>
  <c r="BE350" i="21416"/>
  <c r="BD350" i="21416"/>
  <c r="BC350" i="21416"/>
  <c r="BB350" i="21416"/>
  <c r="BA350" i="21416"/>
  <c r="AX350" i="21416"/>
  <c r="AW350" i="21416"/>
  <c r="AV350" i="21416"/>
  <c r="AU350" i="21416"/>
  <c r="AT350" i="21416"/>
  <c r="AS350" i="21416"/>
  <c r="AR350" i="21416"/>
  <c r="AP350" i="21416"/>
  <c r="AO350" i="21416"/>
  <c r="AN350" i="21416"/>
  <c r="AM350" i="21416"/>
  <c r="AL350" i="21416"/>
  <c r="AK350" i="21416"/>
  <c r="AJ350" i="21416"/>
  <c r="AI350" i="21416"/>
  <c r="AH350" i="21416"/>
  <c r="AG350" i="21416"/>
  <c r="AF350" i="21416"/>
  <c r="AE350" i="21416"/>
  <c r="AD350" i="21416"/>
  <c r="AC350" i="21416"/>
  <c r="AB350" i="21416"/>
  <c r="AA350" i="21416"/>
  <c r="Z350" i="21416"/>
  <c r="Y350" i="21416"/>
  <c r="X350" i="21416"/>
  <c r="W350" i="21416"/>
  <c r="V350" i="21416"/>
  <c r="U350" i="21416"/>
  <c r="T350" i="21416"/>
  <c r="S350" i="21416"/>
  <c r="R350" i="21416"/>
  <c r="Q350" i="21416"/>
  <c r="P350" i="21416"/>
  <c r="O350" i="21416"/>
  <c r="N350" i="21416"/>
  <c r="M350" i="21416"/>
  <c r="L350" i="21416"/>
  <c r="K350" i="21416"/>
  <c r="J350" i="21416"/>
  <c r="I350" i="21416"/>
  <c r="H350" i="21416"/>
  <c r="G350" i="21416"/>
  <c r="F350" i="21416"/>
  <c r="E350" i="21416"/>
  <c r="D350" i="21416"/>
  <c r="C350" i="21416"/>
  <c r="B350" i="21416"/>
  <c r="A350" i="21416"/>
  <c r="BG349" i="21416"/>
  <c r="BF349" i="21416"/>
  <c r="BE349" i="21416"/>
  <c r="BD349" i="21416"/>
  <c r="BC349" i="21416"/>
  <c r="BA349" i="21416"/>
  <c r="AZ349" i="21416"/>
  <c r="AX349" i="21416"/>
  <c r="AV349" i="21416"/>
  <c r="AU349" i="21416"/>
  <c r="AS349" i="21416"/>
  <c r="AR349" i="21416"/>
  <c r="AQ349" i="21416"/>
  <c r="AP349" i="21416"/>
  <c r="AO349" i="21416"/>
  <c r="AN349" i="21416"/>
  <c r="AM349" i="21416"/>
  <c r="AL349" i="21416"/>
  <c r="AK349" i="21416"/>
  <c r="AJ349" i="21416"/>
  <c r="AI349" i="21416"/>
  <c r="AH349" i="21416"/>
  <c r="AG349" i="21416"/>
  <c r="AF349" i="21416"/>
  <c r="AE349" i="21416"/>
  <c r="AD349" i="21416"/>
  <c r="AB349" i="21416"/>
  <c r="AA349" i="21416"/>
  <c r="Z349" i="21416"/>
  <c r="Y349" i="21416"/>
  <c r="X349" i="21416"/>
  <c r="W349" i="21416"/>
  <c r="V349" i="21416"/>
  <c r="U349" i="21416"/>
  <c r="T349" i="21416"/>
  <c r="S349" i="21416"/>
  <c r="R349" i="21416"/>
  <c r="Q349" i="21416"/>
  <c r="P349" i="21416"/>
  <c r="O349" i="21416"/>
  <c r="N349" i="21416"/>
  <c r="L349" i="21416"/>
  <c r="K349" i="21416"/>
  <c r="J349" i="21416"/>
  <c r="I349" i="21416"/>
  <c r="H349" i="21416"/>
  <c r="G349" i="21416"/>
  <c r="F349" i="21416"/>
  <c r="E349" i="21416"/>
  <c r="D349" i="21416"/>
  <c r="B349" i="21416"/>
  <c r="A349" i="21416"/>
  <c r="BG348" i="21416"/>
  <c r="BF348" i="21416"/>
  <c r="BE348" i="21416"/>
  <c r="BD348" i="21416"/>
  <c r="BC348" i="21416"/>
  <c r="BB348" i="21416"/>
  <c r="BA348" i="21416"/>
  <c r="AY348" i="21416"/>
  <c r="AX348" i="21416"/>
  <c r="AV348" i="21416"/>
  <c r="AU348" i="21416"/>
  <c r="AT348" i="21416"/>
  <c r="AS348" i="21416"/>
  <c r="AR348" i="21416"/>
  <c r="AP348" i="21416"/>
  <c r="AO348" i="21416"/>
  <c r="AN348" i="21416"/>
  <c r="AM348" i="21416"/>
  <c r="AL348" i="21416"/>
  <c r="AK348" i="21416"/>
  <c r="AJ348" i="21416"/>
  <c r="AI348" i="21416"/>
  <c r="AH348" i="21416"/>
  <c r="AG348" i="21416"/>
  <c r="AF348" i="21416"/>
  <c r="AE348" i="21416"/>
  <c r="AD348" i="21416"/>
  <c r="AC348" i="21416"/>
  <c r="AB348" i="21416"/>
  <c r="AA348" i="21416"/>
  <c r="Z348" i="21416"/>
  <c r="Y348" i="21416"/>
  <c r="X348" i="21416"/>
  <c r="W348" i="21416"/>
  <c r="V348" i="21416"/>
  <c r="U348" i="21416"/>
  <c r="T348" i="21416"/>
  <c r="S348" i="21416"/>
  <c r="R348" i="21416"/>
  <c r="Q348" i="21416"/>
  <c r="P348" i="21416"/>
  <c r="O348" i="21416"/>
  <c r="N348" i="21416"/>
  <c r="M348" i="21416"/>
  <c r="L348" i="21416"/>
  <c r="K348" i="21416"/>
  <c r="I348" i="21416"/>
  <c r="H348" i="21416"/>
  <c r="G348" i="21416"/>
  <c r="F348" i="21416"/>
  <c r="E348" i="21416"/>
  <c r="D348" i="21416"/>
  <c r="C348" i="21416"/>
  <c r="B348" i="21416"/>
  <c r="A348" i="21416"/>
  <c r="BG347" i="21416"/>
  <c r="BF347" i="21416"/>
  <c r="BE347" i="21416"/>
  <c r="BD347" i="21416"/>
  <c r="BC347" i="21416"/>
  <c r="BA347" i="21416"/>
  <c r="AZ347" i="21416"/>
  <c r="AX347" i="21416"/>
  <c r="AV347" i="21416"/>
  <c r="AU347" i="21416"/>
  <c r="AS347" i="21416"/>
  <c r="AR347" i="21416"/>
  <c r="AQ347" i="21416"/>
  <c r="AP347" i="21416"/>
  <c r="AO347" i="21416"/>
  <c r="AN347" i="21416"/>
  <c r="AM347" i="21416"/>
  <c r="AL347" i="21416"/>
  <c r="AK347" i="21416"/>
  <c r="AJ347" i="21416"/>
  <c r="AI347" i="21416"/>
  <c r="AH347" i="21416"/>
  <c r="AG347" i="21416"/>
  <c r="AF347" i="21416"/>
  <c r="AE347" i="21416"/>
  <c r="AD347" i="21416"/>
  <c r="AB347" i="21416"/>
  <c r="AA347" i="21416"/>
  <c r="Z347" i="21416"/>
  <c r="Y347" i="21416"/>
  <c r="X347" i="21416"/>
  <c r="W347" i="21416"/>
  <c r="V347" i="21416"/>
  <c r="U347" i="21416"/>
  <c r="T347" i="21416"/>
  <c r="S347" i="21416"/>
  <c r="R347" i="21416"/>
  <c r="Q347" i="21416"/>
  <c r="P347" i="21416"/>
  <c r="O347" i="21416"/>
  <c r="N347" i="21416"/>
  <c r="L347" i="21416"/>
  <c r="K347" i="21416"/>
  <c r="J347" i="21416"/>
  <c r="I347" i="21416"/>
  <c r="H347" i="21416"/>
  <c r="G347" i="21416"/>
  <c r="F347" i="21416"/>
  <c r="E347" i="21416"/>
  <c r="D347" i="21416"/>
  <c r="B347" i="21416"/>
  <c r="A347" i="21416"/>
  <c r="BG346" i="21416"/>
  <c r="BF346" i="21416"/>
  <c r="BE346" i="21416"/>
  <c r="BD346" i="21416"/>
  <c r="BC346" i="21416"/>
  <c r="BB346" i="21416"/>
  <c r="BA346" i="21416"/>
  <c r="AY346" i="21416"/>
  <c r="AX346" i="21416"/>
  <c r="AV346" i="21416"/>
  <c r="AU346" i="21416"/>
  <c r="AT346" i="21416"/>
  <c r="AS346" i="21416"/>
  <c r="AR346" i="21416"/>
  <c r="AP346" i="21416"/>
  <c r="AO346" i="21416"/>
  <c r="AN346" i="21416"/>
  <c r="AM346" i="21416"/>
  <c r="AL346" i="21416"/>
  <c r="AK346" i="21416"/>
  <c r="AJ346" i="21416"/>
  <c r="AI346" i="21416"/>
  <c r="AH346" i="21416"/>
  <c r="AG346" i="21416"/>
  <c r="AF346" i="21416"/>
  <c r="AE346" i="21416"/>
  <c r="AD346" i="21416"/>
  <c r="AC346" i="21416"/>
  <c r="AB346" i="21416"/>
  <c r="AA346" i="21416"/>
  <c r="Z346" i="21416"/>
  <c r="Y346" i="21416"/>
  <c r="X346" i="21416"/>
  <c r="W346" i="21416"/>
  <c r="V346" i="21416"/>
  <c r="U346" i="21416"/>
  <c r="T346" i="21416"/>
  <c r="S346" i="21416"/>
  <c r="R346" i="21416"/>
  <c r="Q346" i="21416"/>
  <c r="P346" i="21416"/>
  <c r="O346" i="21416"/>
  <c r="N346" i="21416"/>
  <c r="M346" i="21416"/>
  <c r="L346" i="21416"/>
  <c r="K346" i="21416"/>
  <c r="I346" i="21416"/>
  <c r="H346" i="21416"/>
  <c r="G346" i="21416"/>
  <c r="F346" i="21416"/>
  <c r="E346" i="21416"/>
  <c r="D346" i="21416"/>
  <c r="C346" i="21416"/>
  <c r="B346" i="21416"/>
  <c r="A346" i="21416"/>
  <c r="BG345" i="21416"/>
  <c r="BF345" i="21416"/>
  <c r="BE345" i="21416"/>
  <c r="BD345" i="21416"/>
  <c r="BC345" i="21416"/>
  <c r="BA345" i="21416"/>
  <c r="AZ345" i="21416"/>
  <c r="AX345" i="21416"/>
  <c r="AV345" i="21416"/>
  <c r="AU345" i="21416"/>
  <c r="AS345" i="21416"/>
  <c r="AR345" i="21416"/>
  <c r="AQ345" i="21416"/>
  <c r="AP345" i="21416"/>
  <c r="AO345" i="21416"/>
  <c r="AN345" i="21416"/>
  <c r="AM345" i="21416"/>
  <c r="AL345" i="21416"/>
  <c r="AK345" i="21416"/>
  <c r="AJ345" i="21416"/>
  <c r="AI345" i="21416"/>
  <c r="AH345" i="21416"/>
  <c r="AG345" i="21416"/>
  <c r="S344" i="21416" s="1"/>
  <c r="AF345" i="21416"/>
  <c r="AE345" i="21416"/>
  <c r="AD345" i="21416"/>
  <c r="AC345" i="21416"/>
  <c r="AB345" i="21416"/>
  <c r="AA345" i="21416"/>
  <c r="Z345" i="21416"/>
  <c r="Y345" i="21416"/>
  <c r="X345" i="21416"/>
  <c r="W345" i="21416"/>
  <c r="V345" i="21416"/>
  <c r="U345" i="21416"/>
  <c r="T345" i="21416"/>
  <c r="S345" i="21416"/>
  <c r="R345" i="21416"/>
  <c r="Q345" i="21416"/>
  <c r="P345" i="21416"/>
  <c r="O345" i="21416"/>
  <c r="N345" i="21416"/>
  <c r="L345" i="21416"/>
  <c r="K345" i="21416"/>
  <c r="J345" i="21416"/>
  <c r="I345" i="21416"/>
  <c r="H345" i="21416"/>
  <c r="G345" i="21416"/>
  <c r="F345" i="21416"/>
  <c r="E345" i="21416"/>
  <c r="D345" i="21416"/>
  <c r="B345" i="21416"/>
  <c r="A343" i="21417"/>
  <c r="B343" i="21417"/>
  <c r="C343" i="21417"/>
  <c r="D343" i="21417"/>
  <c r="E343" i="21417"/>
  <c r="F343" i="21417"/>
  <c r="G343" i="21417"/>
  <c r="H343" i="21417"/>
  <c r="I343" i="21417"/>
  <c r="J343" i="21417"/>
  <c r="K343" i="21417"/>
  <c r="L343" i="21417"/>
  <c r="M343" i="21417"/>
  <c r="N343" i="21417"/>
  <c r="O343" i="21417"/>
  <c r="P343" i="21417"/>
  <c r="Q343" i="21417"/>
  <c r="R343" i="21417"/>
  <c r="S343" i="21417"/>
  <c r="T343" i="21417"/>
  <c r="U343" i="21417"/>
  <c r="V343" i="21417"/>
  <c r="W343" i="21417"/>
  <c r="X343" i="21417"/>
  <c r="Y343" i="21417"/>
  <c r="Z343" i="21417"/>
  <c r="AA343" i="21417"/>
  <c r="AB343" i="21417"/>
  <c r="AC343" i="21417"/>
  <c r="AD343" i="21417"/>
  <c r="AE343" i="21417"/>
  <c r="AF343" i="21417"/>
  <c r="AG343" i="21417"/>
  <c r="AH343" i="21417"/>
  <c r="AI343" i="21417"/>
  <c r="AJ343" i="21417"/>
  <c r="AK343" i="21417"/>
  <c r="AL343" i="21417"/>
  <c r="AM343" i="21417"/>
  <c r="AN343" i="21417"/>
  <c r="AO343" i="21417"/>
  <c r="AP343" i="21417"/>
  <c r="AR343" i="21417"/>
  <c r="AS343" i="21417"/>
  <c r="AT343" i="21417"/>
  <c r="AU343" i="21417"/>
  <c r="AV343" i="21417"/>
  <c r="AW343" i="21417"/>
  <c r="AX343" i="21417"/>
  <c r="BA343" i="21417"/>
  <c r="BB343" i="21417"/>
  <c r="BC343" i="21417"/>
  <c r="BD343" i="21417"/>
  <c r="BE343" i="21417"/>
  <c r="BF343" i="21417"/>
  <c r="BG343" i="21417"/>
  <c r="A344" i="21417"/>
  <c r="B344" i="21417"/>
  <c r="D344" i="21417"/>
  <c r="E344" i="21417"/>
  <c r="F344" i="21417"/>
  <c r="G344" i="21417"/>
  <c r="H344" i="21417"/>
  <c r="I344" i="21417"/>
  <c r="J344" i="21417"/>
  <c r="K344" i="21417"/>
  <c r="L344" i="21417"/>
  <c r="N344" i="21417"/>
  <c r="O344" i="21417"/>
  <c r="P344" i="21417"/>
  <c r="Q344" i="21417"/>
  <c r="R344" i="21417"/>
  <c r="S344" i="21417"/>
  <c r="T344" i="21417"/>
  <c r="U344" i="21417"/>
  <c r="V344" i="21417"/>
  <c r="W344" i="21417"/>
  <c r="X344" i="21417"/>
  <c r="Y344" i="21417"/>
  <c r="Z344" i="21417"/>
  <c r="AA344" i="21417"/>
  <c r="AB344" i="21417"/>
  <c r="AC344" i="21417"/>
  <c r="AD344" i="21417"/>
  <c r="AE344" i="21417"/>
  <c r="AF344" i="21417"/>
  <c r="AG344" i="21417"/>
  <c r="AH344" i="21417"/>
  <c r="AI344" i="21417"/>
  <c r="AJ344" i="21417"/>
  <c r="AK344" i="21417"/>
  <c r="AL344" i="21417"/>
  <c r="AM344" i="21417"/>
  <c r="AN344" i="21417"/>
  <c r="AO344" i="21417"/>
  <c r="AP344" i="21417"/>
  <c r="AQ344" i="21417"/>
  <c r="AR344" i="21417"/>
  <c r="AS344" i="21417"/>
  <c r="AU344" i="21417"/>
  <c r="AV344" i="21417"/>
  <c r="AX344" i="21417"/>
  <c r="AZ344" i="21417"/>
  <c r="BA344" i="21417"/>
  <c r="BC344" i="21417"/>
  <c r="BD344" i="21417"/>
  <c r="BE344" i="21417"/>
  <c r="BF344" i="21417"/>
  <c r="BG344" i="21417"/>
  <c r="A345" i="21417"/>
  <c r="B345" i="21417"/>
  <c r="C345" i="21417"/>
  <c r="D345" i="21417"/>
  <c r="E345" i="21417"/>
  <c r="F345" i="21417"/>
  <c r="G345" i="21417"/>
  <c r="H345" i="21417"/>
  <c r="I345" i="21417"/>
  <c r="K345" i="21417"/>
  <c r="L345" i="21417"/>
  <c r="M345" i="21417"/>
  <c r="N345" i="21417"/>
  <c r="O345" i="21417"/>
  <c r="P345" i="21417"/>
  <c r="Q345" i="21417"/>
  <c r="R345" i="21417"/>
  <c r="S345" i="21417"/>
  <c r="T345" i="21417"/>
  <c r="U345" i="21417"/>
  <c r="V345" i="21417"/>
  <c r="W345" i="21417"/>
  <c r="X345" i="21417"/>
  <c r="Y345" i="21417"/>
  <c r="Z345" i="21417"/>
  <c r="AA345" i="21417"/>
  <c r="AB345" i="21417"/>
  <c r="AC345" i="21417"/>
  <c r="AD345" i="21417"/>
  <c r="AE345" i="21417"/>
  <c r="AF345" i="21417"/>
  <c r="AG345" i="21417"/>
  <c r="AH345" i="21417"/>
  <c r="AI345" i="21417"/>
  <c r="AJ345" i="21417"/>
  <c r="AK345" i="21417"/>
  <c r="AL345" i="21417"/>
  <c r="AM345" i="21417"/>
  <c r="AN345" i="21417"/>
  <c r="AO345" i="21417"/>
  <c r="AP345" i="21417"/>
  <c r="AR345" i="21417"/>
  <c r="AS345" i="21417"/>
  <c r="AT345" i="21417"/>
  <c r="AU345" i="21417"/>
  <c r="AV345" i="21417"/>
  <c r="AX345" i="21417"/>
  <c r="AY345" i="21417"/>
  <c r="BA345" i="21417"/>
  <c r="BB345" i="21417"/>
  <c r="BC345" i="21417"/>
  <c r="BD345" i="21417"/>
  <c r="BE345" i="21417"/>
  <c r="BF345" i="21417"/>
  <c r="BG345" i="21417"/>
  <c r="BG342" i="21417"/>
  <c r="BF342" i="21417"/>
  <c r="BE342" i="21417"/>
  <c r="BD342" i="21417"/>
  <c r="BC342" i="21417"/>
  <c r="BA342" i="21417"/>
  <c r="AX342" i="21417"/>
  <c r="AV342" i="21417"/>
  <c r="AU342" i="21417"/>
  <c r="AS342" i="21417"/>
  <c r="AR342" i="21417"/>
  <c r="AQ342" i="21417"/>
  <c r="AP342" i="21417"/>
  <c r="AO342" i="21417"/>
  <c r="AN342" i="21417"/>
  <c r="AM342" i="21417"/>
  <c r="AL342" i="21417"/>
  <c r="AK342" i="21417"/>
  <c r="AJ342" i="21417"/>
  <c r="AI342" i="21417"/>
  <c r="AH342" i="21417"/>
  <c r="AG342" i="21417"/>
  <c r="S341" i="21417" s="1"/>
  <c r="S8" i="21422" s="1"/>
  <c r="S4" i="21421" s="1"/>
  <c r="AF342" i="21417"/>
  <c r="AE342" i="21417"/>
  <c r="AD342" i="21417"/>
  <c r="AB342" i="21417"/>
  <c r="AA342" i="21417"/>
  <c r="Z342" i="21417"/>
  <c r="Y342" i="21417"/>
  <c r="X342" i="21417"/>
  <c r="W342" i="21417"/>
  <c r="V342" i="21417"/>
  <c r="U342" i="21417"/>
  <c r="T342" i="21417"/>
  <c r="S342" i="21417"/>
  <c r="R342" i="21417"/>
  <c r="Q342" i="21417"/>
  <c r="P342" i="21417"/>
  <c r="O342" i="21417"/>
  <c r="N342" i="21417"/>
  <c r="L342" i="21417"/>
  <c r="K342" i="21417"/>
  <c r="I342" i="21417"/>
  <c r="H342" i="21417"/>
  <c r="G342" i="21417"/>
  <c r="F342" i="21417"/>
  <c r="E342" i="21417"/>
  <c r="D342" i="21417"/>
  <c r="A342" i="21417"/>
  <c r="BG4" i="108"/>
  <c r="BF4" i="108"/>
  <c r="BE4" i="108"/>
  <c r="BD4" i="108"/>
  <c r="BC4" i="108"/>
  <c r="BA4" i="108"/>
  <c r="AZ4" i="108"/>
  <c r="AV4" i="108"/>
  <c r="AU4" i="108"/>
  <c r="AS4" i="108"/>
  <c r="AR4" i="108"/>
  <c r="AQ4" i="108"/>
  <c r="AP4" i="108"/>
  <c r="AO4" i="108"/>
  <c r="AN4" i="108"/>
  <c r="AM4" i="108"/>
  <c r="AL4" i="108"/>
  <c r="AK4" i="108"/>
  <c r="AJ4" i="108"/>
  <c r="AI4" i="108"/>
  <c r="AH4" i="108"/>
  <c r="AG4" i="108"/>
  <c r="S5" i="108" s="1"/>
  <c r="AF4" i="108"/>
  <c r="AE4" i="108"/>
  <c r="AD4" i="108"/>
  <c r="AB4" i="108"/>
  <c r="AA4" i="108"/>
  <c r="Z4" i="108"/>
  <c r="Y4" i="108"/>
  <c r="X4" i="108"/>
  <c r="W4" i="108"/>
  <c r="V4" i="108"/>
  <c r="U4" i="108"/>
  <c r="T4" i="108"/>
  <c r="S4" i="108"/>
  <c r="R4" i="108"/>
  <c r="Q4" i="108"/>
  <c r="P4" i="108"/>
  <c r="O4" i="108"/>
  <c r="N4" i="108"/>
  <c r="M4" i="108"/>
  <c r="L4" i="108"/>
  <c r="K4" i="108"/>
  <c r="J4" i="108"/>
  <c r="I4" i="108"/>
  <c r="H4" i="108"/>
  <c r="G4" i="108"/>
  <c r="E4" i="108"/>
  <c r="D4" i="108"/>
  <c r="A4" i="108"/>
  <c r="BG4" i="21415"/>
  <c r="BF4" i="21415"/>
  <c r="BE4" i="21415"/>
  <c r="BD4" i="21415"/>
  <c r="BC4" i="21415"/>
  <c r="BA4" i="21415"/>
  <c r="AZ4" i="21415"/>
  <c r="AV4" i="21415"/>
  <c r="AU4" i="21415"/>
  <c r="AS4" i="21415"/>
  <c r="AR4" i="21415"/>
  <c r="AQ4" i="21415"/>
  <c r="AP4" i="21415"/>
  <c r="AO4" i="21415"/>
  <c r="AN4" i="21415"/>
  <c r="AM4" i="21415"/>
  <c r="AL4" i="21415"/>
  <c r="AK4" i="21415"/>
  <c r="AJ4" i="21415"/>
  <c r="AI4" i="21415"/>
  <c r="AH4" i="21415"/>
  <c r="AG4" i="21415"/>
  <c r="AF4" i="21415"/>
  <c r="AE4" i="21415"/>
  <c r="AD4" i="21415"/>
  <c r="AB4" i="21415"/>
  <c r="AA4" i="21415"/>
  <c r="Z4" i="21415"/>
  <c r="Y4" i="21415"/>
  <c r="X4" i="21415"/>
  <c r="W4" i="21415"/>
  <c r="V4" i="21415"/>
  <c r="U4" i="21415"/>
  <c r="T4" i="21415"/>
  <c r="S4" i="21415"/>
  <c r="R4" i="21415"/>
  <c r="Q4" i="21415"/>
  <c r="P4" i="21415"/>
  <c r="O4" i="21415"/>
  <c r="N4" i="21415"/>
  <c r="L4" i="21415"/>
  <c r="K4" i="21415"/>
  <c r="J4" i="21415"/>
  <c r="I4" i="21415"/>
  <c r="H4" i="21415"/>
  <c r="G4" i="21415"/>
  <c r="E4" i="21415"/>
  <c r="D4" i="21415"/>
  <c r="A4" i="21415"/>
  <c r="A4" i="21416"/>
  <c r="B4" i="21416"/>
  <c r="C4" i="21416"/>
  <c r="D4" i="21416"/>
  <c r="E4" i="21416"/>
  <c r="F4" i="21416"/>
  <c r="G4" i="21416"/>
  <c r="H4" i="21416"/>
  <c r="I4" i="21416"/>
  <c r="K4" i="21416"/>
  <c r="L4" i="21416"/>
  <c r="M4" i="21416"/>
  <c r="N4" i="21416"/>
  <c r="O4" i="21416"/>
  <c r="P4" i="21416"/>
  <c r="Q4" i="21416"/>
  <c r="R4" i="21416"/>
  <c r="S4" i="21416"/>
  <c r="T4" i="21416"/>
  <c r="U4" i="21416"/>
  <c r="V4" i="21416"/>
  <c r="W4" i="21416"/>
  <c r="X4" i="21416"/>
  <c r="Y4" i="21416"/>
  <c r="Z4" i="21416"/>
  <c r="AA4" i="21416"/>
  <c r="AB4" i="21416"/>
  <c r="AC4" i="21416"/>
  <c r="AD4" i="21416"/>
  <c r="AE4" i="21416"/>
  <c r="AF4" i="21416"/>
  <c r="AG4" i="21416"/>
  <c r="AH4" i="21416"/>
  <c r="AI4" i="21416"/>
  <c r="AJ4" i="21416"/>
  <c r="AK4" i="21416"/>
  <c r="AL4" i="21416"/>
  <c r="AM4" i="21416"/>
  <c r="AN4" i="21416"/>
  <c r="AO4" i="21416"/>
  <c r="AP4" i="21416"/>
  <c r="AR4" i="21416"/>
  <c r="AS4" i="21416"/>
  <c r="AT4" i="21416"/>
  <c r="AU4" i="21416"/>
  <c r="AV4" i="21416"/>
  <c r="AY4" i="21416"/>
  <c r="BA4" i="21416"/>
  <c r="BB4" i="21416"/>
  <c r="BC4" i="21416"/>
  <c r="BD4" i="21416"/>
  <c r="BE4" i="21416"/>
  <c r="BF4" i="21416"/>
  <c r="BG4" i="21416"/>
  <c r="A5" i="21416"/>
  <c r="B5" i="21416"/>
  <c r="D5" i="21416"/>
  <c r="E5" i="21416"/>
  <c r="G5" i="21416"/>
  <c r="H5" i="21416"/>
  <c r="I5" i="21416"/>
  <c r="J5" i="21416"/>
  <c r="K5" i="21416"/>
  <c r="L5" i="21416"/>
  <c r="N5" i="21416"/>
  <c r="O5" i="21416"/>
  <c r="P5" i="21416"/>
  <c r="Q5" i="21416"/>
  <c r="R5" i="21416"/>
  <c r="S5" i="21416"/>
  <c r="T5" i="21416"/>
  <c r="U5" i="21416"/>
  <c r="V5" i="21416"/>
  <c r="W5" i="21416"/>
  <c r="X5" i="21416"/>
  <c r="Y5" i="21416"/>
  <c r="Z5" i="21416"/>
  <c r="AA5" i="21416"/>
  <c r="AB5" i="21416"/>
  <c r="AC5" i="21416"/>
  <c r="AD5" i="21416"/>
  <c r="AE5" i="21416"/>
  <c r="AF5" i="21416"/>
  <c r="AG5" i="21416"/>
  <c r="AH5" i="21416"/>
  <c r="AI5" i="21416"/>
  <c r="AJ5" i="21416"/>
  <c r="AK5" i="21416"/>
  <c r="AL5" i="21416"/>
  <c r="AM5" i="21416"/>
  <c r="AN5" i="21416"/>
  <c r="AO5" i="21416"/>
  <c r="AP5" i="21416"/>
  <c r="AQ5" i="21416"/>
  <c r="AR5" i="21416"/>
  <c r="AS5" i="21416"/>
  <c r="AT5" i="21416"/>
  <c r="AU5" i="21416"/>
  <c r="AV5" i="21416"/>
  <c r="AZ5" i="21416"/>
  <c r="BA5" i="21416"/>
  <c r="BC5" i="21416"/>
  <c r="BD5" i="21416"/>
  <c r="BE5" i="21416"/>
  <c r="BF5" i="21416"/>
  <c r="BG5" i="21416"/>
  <c r="A6" i="21416"/>
  <c r="B6" i="21416"/>
  <c r="C6" i="21416"/>
  <c r="D6" i="21416"/>
  <c r="E6" i="21416"/>
  <c r="F6" i="21416"/>
  <c r="G6" i="21416"/>
  <c r="H6" i="21416"/>
  <c r="I6" i="21416"/>
  <c r="J6" i="21416"/>
  <c r="K6" i="21416"/>
  <c r="L6" i="21416"/>
  <c r="M6" i="21416"/>
  <c r="N6" i="21416"/>
  <c r="O6" i="21416"/>
  <c r="P6" i="21416"/>
  <c r="Q6" i="21416"/>
  <c r="R6" i="21416"/>
  <c r="S6" i="21416"/>
  <c r="T6" i="21416"/>
  <c r="U6" i="21416"/>
  <c r="V6" i="21416"/>
  <c r="W6" i="21416"/>
  <c r="X6" i="21416"/>
  <c r="Y6" i="21416"/>
  <c r="Z6" i="21416"/>
  <c r="AA6" i="21416"/>
  <c r="AB6" i="21416"/>
  <c r="AC6" i="21416"/>
  <c r="AD6" i="21416"/>
  <c r="AE6" i="21416"/>
  <c r="AF6" i="21416"/>
  <c r="AG6" i="21416"/>
  <c r="AH6" i="21416"/>
  <c r="AI6" i="21416"/>
  <c r="AJ6" i="21416"/>
  <c r="AK6" i="21416"/>
  <c r="AL6" i="21416"/>
  <c r="AM6" i="21416"/>
  <c r="AN6" i="21416"/>
  <c r="AO6" i="21416"/>
  <c r="AP6" i="21416"/>
  <c r="AQ6" i="21416"/>
  <c r="AR6" i="21416"/>
  <c r="AS6" i="21416"/>
  <c r="AT6" i="21416"/>
  <c r="AU6" i="21416"/>
  <c r="AV6" i="21416"/>
  <c r="AW6" i="21416"/>
  <c r="AX6" i="21416"/>
  <c r="AY6" i="21416"/>
  <c r="AZ6" i="21416"/>
  <c r="BA6" i="21416"/>
  <c r="BB6" i="21416"/>
  <c r="BC6" i="21416"/>
  <c r="BD6" i="21416"/>
  <c r="BE6" i="21416"/>
  <c r="BF6" i="21416"/>
  <c r="BG6" i="21416"/>
  <c r="A7" i="21416"/>
  <c r="B7" i="21416"/>
  <c r="D7" i="21416"/>
  <c r="E7" i="21416"/>
  <c r="F7" i="21416"/>
  <c r="G7" i="21416"/>
  <c r="H7" i="21416"/>
  <c r="I7" i="21416"/>
  <c r="J7" i="21416"/>
  <c r="K7" i="21416"/>
  <c r="L7" i="21416"/>
  <c r="N7" i="21416"/>
  <c r="O7" i="21416"/>
  <c r="P7" i="21416"/>
  <c r="Q7" i="21416"/>
  <c r="R7" i="21416"/>
  <c r="S7" i="21416"/>
  <c r="T7" i="21416"/>
  <c r="U7" i="21416"/>
  <c r="V7" i="21416"/>
  <c r="W7" i="21416"/>
  <c r="X7" i="21416"/>
  <c r="Y7" i="21416"/>
  <c r="Z7" i="21416"/>
  <c r="AA7" i="21416"/>
  <c r="AB7" i="21416"/>
  <c r="AC7" i="21416"/>
  <c r="AD7" i="21416"/>
  <c r="AE7" i="21416"/>
  <c r="AF7" i="21416"/>
  <c r="AG7" i="21416"/>
  <c r="AH7" i="21416"/>
  <c r="AI7" i="21416"/>
  <c r="AJ7" i="21416"/>
  <c r="AK7" i="21416"/>
  <c r="AL7" i="21416"/>
  <c r="AM7" i="21416"/>
  <c r="AN7" i="21416"/>
  <c r="AO7" i="21416"/>
  <c r="AP7" i="21416"/>
  <c r="AQ7" i="21416"/>
  <c r="AR7" i="21416"/>
  <c r="AS7" i="21416"/>
  <c r="AU7" i="21416"/>
  <c r="AV7" i="21416"/>
  <c r="AZ7" i="21416"/>
  <c r="BA7" i="21416"/>
  <c r="BC7" i="21416"/>
  <c r="BD7" i="21416"/>
  <c r="BE7" i="21416"/>
  <c r="BF7" i="21416"/>
  <c r="BG7" i="21416"/>
  <c r="A8" i="21416"/>
  <c r="B8" i="21416"/>
  <c r="C8" i="21416"/>
  <c r="D8" i="21416"/>
  <c r="E8" i="21416"/>
  <c r="F8" i="21416"/>
  <c r="G8" i="21416"/>
  <c r="H8" i="21416"/>
  <c r="I8" i="21416"/>
  <c r="J8" i="21416"/>
  <c r="K8" i="21416"/>
  <c r="L8" i="21416"/>
  <c r="N8" i="21416"/>
  <c r="O8" i="21416"/>
  <c r="P8" i="21416"/>
  <c r="Q8" i="21416"/>
  <c r="R8" i="21416"/>
  <c r="S8" i="21416"/>
  <c r="T8" i="21416"/>
  <c r="U8" i="21416"/>
  <c r="V8" i="21416"/>
  <c r="W8" i="21416"/>
  <c r="X8" i="21416"/>
  <c r="Y8" i="21416"/>
  <c r="Z8" i="21416"/>
  <c r="AA8" i="21416"/>
  <c r="AB8" i="21416"/>
  <c r="AC8" i="21416"/>
  <c r="AD8" i="21416"/>
  <c r="AE8" i="21416"/>
  <c r="AF8" i="21416"/>
  <c r="AG8" i="21416"/>
  <c r="AH8" i="21416"/>
  <c r="AI8" i="21416"/>
  <c r="AJ8" i="21416"/>
  <c r="AK8" i="21416"/>
  <c r="AL8" i="21416"/>
  <c r="AM8" i="21416"/>
  <c r="AN8" i="21416"/>
  <c r="AO8" i="21416"/>
  <c r="AP8" i="21416"/>
  <c r="AR8" i="21416"/>
  <c r="AS8" i="21416"/>
  <c r="AT8" i="21416"/>
  <c r="AU8" i="21416"/>
  <c r="AV8" i="21416"/>
  <c r="AW8" i="21416"/>
  <c r="AX8" i="21416"/>
  <c r="AY8" i="21416"/>
  <c r="AZ8" i="21416"/>
  <c r="BA8" i="21416"/>
  <c r="BB8" i="21416"/>
  <c r="BC8" i="21416"/>
  <c r="BD8" i="21416"/>
  <c r="BE8" i="21416"/>
  <c r="BF8" i="21416"/>
  <c r="BG8" i="21416"/>
  <c r="A9" i="21416"/>
  <c r="B9" i="21416"/>
  <c r="D9" i="21416"/>
  <c r="E9" i="21416"/>
  <c r="G9" i="21416"/>
  <c r="H9" i="21416"/>
  <c r="I9" i="21416"/>
  <c r="J9" i="21416"/>
  <c r="K9" i="21416"/>
  <c r="L9" i="21416"/>
  <c r="N9" i="21416"/>
  <c r="O9" i="21416"/>
  <c r="P9" i="21416"/>
  <c r="Q9" i="21416"/>
  <c r="R9" i="21416"/>
  <c r="S9" i="21416"/>
  <c r="T9" i="21416"/>
  <c r="U9" i="21416"/>
  <c r="V9" i="21416"/>
  <c r="W9" i="21416"/>
  <c r="X9" i="21416"/>
  <c r="Y9" i="21416"/>
  <c r="Z9" i="21416"/>
  <c r="AA9" i="21416"/>
  <c r="AB9" i="21416"/>
  <c r="AD9" i="21416"/>
  <c r="AE9" i="21416"/>
  <c r="AF9" i="21416"/>
  <c r="AG9" i="21416"/>
  <c r="AH9" i="21416"/>
  <c r="AI9" i="21416"/>
  <c r="AJ9" i="21416"/>
  <c r="AK9" i="21416"/>
  <c r="AL9" i="21416"/>
  <c r="AM9" i="21416"/>
  <c r="AN9" i="21416"/>
  <c r="AO9" i="21416"/>
  <c r="AP9" i="21416"/>
  <c r="AQ9" i="21416"/>
  <c r="AR9" i="21416"/>
  <c r="AS9" i="21416"/>
  <c r="AU9" i="21416"/>
  <c r="AV9" i="21416"/>
  <c r="AZ9" i="21416"/>
  <c r="BA9" i="21416"/>
  <c r="BC9" i="21416"/>
  <c r="BD9" i="21416"/>
  <c r="BE9" i="21416"/>
  <c r="BF9" i="21416"/>
  <c r="BG9" i="21416"/>
  <c r="A10" i="21416"/>
  <c r="B10" i="21416"/>
  <c r="C10" i="21416"/>
  <c r="D10" i="21416"/>
  <c r="E10" i="21416"/>
  <c r="F10" i="21416"/>
  <c r="G10" i="21416"/>
  <c r="H10" i="21416"/>
  <c r="J10" i="21416"/>
  <c r="K10" i="21416"/>
  <c r="L10" i="21416"/>
  <c r="M10" i="21416"/>
  <c r="N10" i="21416"/>
  <c r="O10" i="21416"/>
  <c r="P10" i="21416"/>
  <c r="Q10" i="21416"/>
  <c r="R10" i="21416"/>
  <c r="S10" i="21416"/>
  <c r="T10" i="21416"/>
  <c r="U10" i="21416"/>
  <c r="V10" i="21416"/>
  <c r="W10" i="21416"/>
  <c r="X10" i="21416"/>
  <c r="Y10" i="21416"/>
  <c r="Z10" i="21416"/>
  <c r="AA10" i="21416"/>
  <c r="AB10" i="21416"/>
  <c r="AC10" i="21416"/>
  <c r="AD10" i="21416"/>
  <c r="AE10" i="21416"/>
  <c r="AF10" i="21416"/>
  <c r="AG10" i="21416"/>
  <c r="AH10" i="21416"/>
  <c r="AI10" i="21416"/>
  <c r="AJ10" i="21416"/>
  <c r="AK10" i="21416"/>
  <c r="AL10" i="21416"/>
  <c r="AM10" i="21416"/>
  <c r="AN10" i="21416"/>
  <c r="AO10" i="21416"/>
  <c r="AP10" i="21416"/>
  <c r="AR10" i="21416"/>
  <c r="AS10" i="21416"/>
  <c r="AT10" i="21416"/>
  <c r="AU10" i="21416"/>
  <c r="AV10" i="21416"/>
  <c r="AW10" i="21416"/>
  <c r="AX10" i="21416"/>
  <c r="AY10" i="21416"/>
  <c r="AZ10" i="21416"/>
  <c r="BA10" i="21416"/>
  <c r="BB10" i="21416"/>
  <c r="BC10" i="21416"/>
  <c r="BD10" i="21416"/>
  <c r="BE10" i="21416"/>
  <c r="BF10" i="21416"/>
  <c r="BG10" i="21416"/>
  <c r="BG11" i="21416"/>
  <c r="BF11" i="21416"/>
  <c r="BE11" i="21416"/>
  <c r="BD11" i="21416"/>
  <c r="BC11" i="21416"/>
  <c r="BA11" i="21416"/>
  <c r="AZ11" i="21416"/>
  <c r="AV11" i="21416"/>
  <c r="AU11" i="21416"/>
  <c r="AS11" i="21416"/>
  <c r="AR11" i="21416"/>
  <c r="AQ11" i="21416"/>
  <c r="AP11" i="21416"/>
  <c r="AO11" i="21416"/>
  <c r="AN11" i="21416"/>
  <c r="AM11" i="21416"/>
  <c r="AL11" i="21416"/>
  <c r="AK11" i="21416"/>
  <c r="AJ11" i="21416"/>
  <c r="AI11" i="21416"/>
  <c r="AH11" i="21416"/>
  <c r="AG11" i="21416"/>
  <c r="S12" i="21416" s="1"/>
  <c r="AF11" i="21416"/>
  <c r="AE11" i="21416"/>
  <c r="AD11" i="21416"/>
  <c r="AB11" i="21416"/>
  <c r="AA11" i="21416"/>
  <c r="Z11" i="21416"/>
  <c r="Y11" i="21416"/>
  <c r="X11" i="21416"/>
  <c r="W11" i="21416"/>
  <c r="V11" i="21416"/>
  <c r="U11" i="21416"/>
  <c r="T11" i="21416"/>
  <c r="S11" i="21416"/>
  <c r="R11" i="21416"/>
  <c r="Q11" i="21416"/>
  <c r="P11" i="21416"/>
  <c r="O11" i="21416"/>
  <c r="N11" i="21416"/>
  <c r="L11" i="21416"/>
  <c r="K11" i="21416"/>
  <c r="J11" i="21416"/>
  <c r="I11" i="21416"/>
  <c r="H11" i="21416"/>
  <c r="G11" i="21416"/>
  <c r="F11" i="21416"/>
  <c r="E11" i="21416"/>
  <c r="D11" i="21416"/>
  <c r="A11" i="21416"/>
  <c r="A4" i="21417"/>
  <c r="B4" i="21417"/>
  <c r="D4" i="21417"/>
  <c r="E4" i="21417"/>
  <c r="F4" i="21417"/>
  <c r="G4" i="21417"/>
  <c r="H4" i="21417"/>
  <c r="I4" i="21417"/>
  <c r="J4" i="21417"/>
  <c r="K4" i="21417"/>
  <c r="L4" i="21417"/>
  <c r="N4" i="21417"/>
  <c r="O4" i="21417"/>
  <c r="P4" i="21417"/>
  <c r="Q4" i="21417"/>
  <c r="R4" i="21417"/>
  <c r="S4" i="21417"/>
  <c r="T4" i="21417"/>
  <c r="U4" i="21417"/>
  <c r="V4" i="21417"/>
  <c r="W4" i="21417"/>
  <c r="X4" i="21417"/>
  <c r="Y4" i="21417"/>
  <c r="Z4" i="21417"/>
  <c r="AA4" i="21417"/>
  <c r="AB4" i="21417"/>
  <c r="AD4" i="21417"/>
  <c r="AE4" i="21417"/>
  <c r="AF4" i="21417"/>
  <c r="AG4" i="21417"/>
  <c r="AH4" i="21417"/>
  <c r="AI4" i="21417"/>
  <c r="AJ4" i="21417"/>
  <c r="AK4" i="21417"/>
  <c r="AL4" i="21417"/>
  <c r="AM4" i="21417"/>
  <c r="AN4" i="21417"/>
  <c r="AO4" i="21417"/>
  <c r="AP4" i="21417"/>
  <c r="AQ4" i="21417"/>
  <c r="AR4" i="21417"/>
  <c r="AS4" i="21417"/>
  <c r="AU4" i="21417"/>
  <c r="AV4" i="21417"/>
  <c r="AZ4" i="21417"/>
  <c r="BA4" i="21417"/>
  <c r="BC4" i="21417"/>
  <c r="BD4" i="21417"/>
  <c r="BE4" i="21417"/>
  <c r="BF4" i="21417"/>
  <c r="BG4" i="21417"/>
  <c r="A5" i="21417"/>
  <c r="B5" i="21417"/>
  <c r="C5" i="21417"/>
  <c r="D5" i="21417"/>
  <c r="E5" i="21417"/>
  <c r="F5" i="21417"/>
  <c r="G5" i="21417"/>
  <c r="H5" i="21417"/>
  <c r="I5" i="21417"/>
  <c r="J5" i="21417"/>
  <c r="K5" i="21417"/>
  <c r="L5" i="21417"/>
  <c r="M5" i="21417"/>
  <c r="N5" i="21417"/>
  <c r="O5" i="21417"/>
  <c r="P5" i="21417"/>
  <c r="Q5" i="21417"/>
  <c r="R5" i="21417"/>
  <c r="S5" i="21417"/>
  <c r="T5" i="21417"/>
  <c r="U5" i="21417"/>
  <c r="V5" i="21417"/>
  <c r="W5" i="21417"/>
  <c r="X5" i="21417"/>
  <c r="Y5" i="21417"/>
  <c r="Z5" i="21417"/>
  <c r="AA5" i="21417"/>
  <c r="AB5" i="21417"/>
  <c r="AC5" i="21417"/>
  <c r="AD5" i="21417"/>
  <c r="AE5" i="21417"/>
  <c r="AF5" i="21417"/>
  <c r="AG5" i="21417"/>
  <c r="AH5" i="21417"/>
  <c r="AI5" i="21417"/>
  <c r="AJ5" i="21417"/>
  <c r="AK5" i="21417"/>
  <c r="AL5" i="21417"/>
  <c r="AM5" i="21417"/>
  <c r="AN5" i="21417"/>
  <c r="AO5" i="21417"/>
  <c r="AP5" i="21417"/>
  <c r="AR5" i="21417"/>
  <c r="AS5" i="21417"/>
  <c r="AT5" i="21417"/>
  <c r="AU5" i="21417"/>
  <c r="AV5" i="21417"/>
  <c r="AW5" i="21417"/>
  <c r="AX5" i="21417"/>
  <c r="AY5" i="21417"/>
  <c r="AZ5" i="21417"/>
  <c r="BA5" i="21417"/>
  <c r="BB5" i="21417"/>
  <c r="BC5" i="21417"/>
  <c r="BD5" i="21417"/>
  <c r="BE5" i="21417"/>
  <c r="BF5" i="21417"/>
  <c r="BG5" i="21417"/>
  <c r="A6" i="21417"/>
  <c r="B6" i="21417"/>
  <c r="D6" i="21417"/>
  <c r="E6" i="21417"/>
  <c r="F6" i="21417"/>
  <c r="G6" i="21417"/>
  <c r="H6" i="21417"/>
  <c r="I6" i="21417"/>
  <c r="J6" i="21417"/>
  <c r="K6" i="21417"/>
  <c r="L6" i="21417"/>
  <c r="N6" i="21417"/>
  <c r="O6" i="21417"/>
  <c r="P6" i="21417"/>
  <c r="Q6" i="21417"/>
  <c r="R6" i="21417"/>
  <c r="S6" i="21417"/>
  <c r="T6" i="21417"/>
  <c r="U6" i="21417"/>
  <c r="V6" i="21417"/>
  <c r="W6" i="21417"/>
  <c r="X6" i="21417"/>
  <c r="Y6" i="21417"/>
  <c r="Z6" i="21417"/>
  <c r="AA6" i="21417"/>
  <c r="AB6" i="21417"/>
  <c r="AD6" i="21417"/>
  <c r="AE6" i="21417"/>
  <c r="AF6" i="21417"/>
  <c r="AG6" i="21417"/>
  <c r="AH6" i="21417"/>
  <c r="AI6" i="21417"/>
  <c r="AJ6" i="21417"/>
  <c r="AK6" i="21417"/>
  <c r="AL6" i="21417"/>
  <c r="AM6" i="21417"/>
  <c r="AN6" i="21417"/>
  <c r="AO6" i="21417"/>
  <c r="AP6" i="21417"/>
  <c r="AQ6" i="21417"/>
  <c r="AR6" i="21417"/>
  <c r="AS6" i="21417"/>
  <c r="AU6" i="21417"/>
  <c r="AV6" i="21417"/>
  <c r="AZ6" i="21417"/>
  <c r="BA6" i="21417"/>
  <c r="BC6" i="21417"/>
  <c r="BD6" i="21417"/>
  <c r="BE6" i="21417"/>
  <c r="BF6" i="21417"/>
  <c r="BG6" i="21417"/>
  <c r="A7" i="21417"/>
  <c r="B7" i="21417"/>
  <c r="C7" i="21417"/>
  <c r="D7" i="21417"/>
  <c r="E7" i="21417"/>
  <c r="F7" i="21417"/>
  <c r="G7" i="21417"/>
  <c r="H7" i="21417"/>
  <c r="I7" i="21417"/>
  <c r="J7" i="21417"/>
  <c r="K7" i="21417"/>
  <c r="L7" i="21417"/>
  <c r="M7" i="21417"/>
  <c r="N7" i="21417"/>
  <c r="O7" i="21417"/>
  <c r="P7" i="21417"/>
  <c r="Q7" i="21417"/>
  <c r="R7" i="21417"/>
  <c r="S7" i="21417"/>
  <c r="T7" i="21417"/>
  <c r="U7" i="21417"/>
  <c r="V7" i="21417"/>
  <c r="W7" i="21417"/>
  <c r="X7" i="21417"/>
  <c r="Y7" i="21417"/>
  <c r="Z7" i="21417"/>
  <c r="AA7" i="21417"/>
  <c r="AB7" i="21417"/>
  <c r="AC7" i="21417"/>
  <c r="AD7" i="21417"/>
  <c r="AE7" i="21417"/>
  <c r="AF7" i="21417"/>
  <c r="AG7" i="21417"/>
  <c r="AH7" i="21417"/>
  <c r="AI7" i="21417"/>
  <c r="AJ7" i="21417"/>
  <c r="AK7" i="21417"/>
  <c r="AL7" i="21417"/>
  <c r="AM7" i="21417"/>
  <c r="AN7" i="21417"/>
  <c r="AO7" i="21417"/>
  <c r="AP7" i="21417"/>
  <c r="AR7" i="21417"/>
  <c r="AS7" i="21417"/>
  <c r="AT7" i="21417"/>
  <c r="AU7" i="21417"/>
  <c r="AV7" i="21417"/>
  <c r="AW7" i="21417"/>
  <c r="AX7" i="21417"/>
  <c r="AY7" i="21417"/>
  <c r="BA7" i="21417"/>
  <c r="BB7" i="21417"/>
  <c r="BC7" i="21417"/>
  <c r="BD7" i="21417"/>
  <c r="BE7" i="21417"/>
  <c r="BF7" i="21417"/>
  <c r="BG7" i="21417"/>
  <c r="BG8" i="21417"/>
  <c r="BF8" i="21417"/>
  <c r="BE8" i="21417"/>
  <c r="BD8" i="21417"/>
  <c r="BC8" i="21417"/>
  <c r="BA8" i="21417"/>
  <c r="AZ8" i="21417"/>
  <c r="AV8" i="21417"/>
  <c r="AU8" i="21417"/>
  <c r="AS8" i="21417"/>
  <c r="AR8" i="21417"/>
  <c r="AQ8" i="21417"/>
  <c r="AP8" i="21417"/>
  <c r="AO8" i="21417"/>
  <c r="AN8" i="21417"/>
  <c r="AM8" i="21417"/>
  <c r="AL8" i="21417"/>
  <c r="AK8" i="21417"/>
  <c r="AJ8" i="21417"/>
  <c r="AI8" i="21417"/>
  <c r="AH8" i="21417"/>
  <c r="AG8" i="21417"/>
  <c r="S9" i="21417" s="1"/>
  <c r="AF8" i="21417"/>
  <c r="AE8" i="21417"/>
  <c r="AD8" i="21417"/>
  <c r="AB8" i="21417"/>
  <c r="AA8" i="21417"/>
  <c r="Z8" i="21417"/>
  <c r="Y8" i="21417"/>
  <c r="X8" i="21417"/>
  <c r="W8" i="21417"/>
  <c r="V8" i="21417"/>
  <c r="U8" i="21417"/>
  <c r="T8" i="21417"/>
  <c r="S8" i="21417"/>
  <c r="R8" i="21417"/>
  <c r="Q8" i="21417"/>
  <c r="P8" i="21417"/>
  <c r="O8" i="21417"/>
  <c r="N8" i="21417"/>
  <c r="L8" i="21417"/>
  <c r="K8" i="21417"/>
  <c r="J8" i="21417"/>
  <c r="I8" i="21417"/>
  <c r="H8" i="21417"/>
  <c r="G8" i="21417"/>
  <c r="F8" i="21417"/>
  <c r="E8" i="21417"/>
  <c r="D8" i="21417"/>
  <c r="A8" i="21417"/>
  <c r="G111" i="21430"/>
  <c r="A111" i="21430"/>
  <c r="B111" i="21430"/>
  <c r="C111" i="21430"/>
  <c r="D111" i="21430"/>
  <c r="E111" i="21430"/>
  <c r="F111" i="21430"/>
  <c r="H111" i="21430"/>
  <c r="I111" i="21430"/>
  <c r="K111" i="21430"/>
  <c r="L111" i="21430"/>
  <c r="M111" i="21430"/>
  <c r="N111" i="21430"/>
  <c r="O111" i="21430"/>
  <c r="P111" i="21430"/>
  <c r="Q111" i="21430"/>
  <c r="R111" i="21430"/>
  <c r="S111" i="21430"/>
  <c r="T111" i="21430"/>
  <c r="U111" i="21430"/>
  <c r="V111" i="21430"/>
  <c r="W111" i="21430"/>
  <c r="X111" i="21430"/>
  <c r="Y111" i="21430"/>
  <c r="Z111" i="21430"/>
  <c r="AA111" i="21430"/>
  <c r="AB111" i="21430"/>
  <c r="AC111" i="21430"/>
  <c r="AD111" i="21430"/>
  <c r="AE111" i="21430"/>
  <c r="AF111" i="21430"/>
  <c r="AG111" i="21430"/>
  <c r="AH111" i="21430"/>
  <c r="AI111" i="21430"/>
  <c r="AJ111" i="21430"/>
  <c r="AK111" i="21430"/>
  <c r="AL111" i="21430"/>
  <c r="AM111" i="21430"/>
  <c r="AN111" i="21430"/>
  <c r="AO111" i="21430"/>
  <c r="AP111" i="21430"/>
  <c r="AR111" i="21430"/>
  <c r="AS111" i="21430"/>
  <c r="AT111" i="21430"/>
  <c r="AU111" i="21430"/>
  <c r="AV111" i="21430"/>
  <c r="AY111" i="21430"/>
  <c r="BA111" i="21430"/>
  <c r="BB111" i="21430"/>
  <c r="BC111" i="21430"/>
  <c r="BD111" i="21430"/>
  <c r="BE111" i="21430"/>
  <c r="BF111" i="21430"/>
  <c r="BG111" i="21430"/>
  <c r="BG110" i="21430"/>
  <c r="BF110" i="21430"/>
  <c r="BE110" i="21430"/>
  <c r="BD110" i="21430"/>
  <c r="BC110" i="21430"/>
  <c r="BA110" i="21430"/>
  <c r="AZ110" i="21430"/>
  <c r="AV110" i="21430"/>
  <c r="AU110" i="21430"/>
  <c r="AS110" i="21430"/>
  <c r="AR110" i="21430"/>
  <c r="AQ110" i="21430"/>
  <c r="AP110" i="21430"/>
  <c r="AO110" i="21430"/>
  <c r="AN110" i="21430"/>
  <c r="AM110" i="21430"/>
  <c r="AL110" i="21430"/>
  <c r="AK110" i="21430"/>
  <c r="AJ110" i="21430"/>
  <c r="AI110" i="21430"/>
  <c r="AH110" i="21430"/>
  <c r="AG110" i="21430"/>
  <c r="AF110" i="21430"/>
  <c r="AE110" i="21430"/>
  <c r="AD110" i="21430"/>
  <c r="AB110" i="21430"/>
  <c r="AA110" i="21430"/>
  <c r="Z110" i="21430"/>
  <c r="Y110" i="21430"/>
  <c r="X110" i="21430"/>
  <c r="W110" i="21430"/>
  <c r="V110" i="21430"/>
  <c r="U110" i="21430"/>
  <c r="T110" i="21430"/>
  <c r="S110" i="21430"/>
  <c r="R110" i="21430"/>
  <c r="Q110" i="21430"/>
  <c r="P110" i="21430"/>
  <c r="O110" i="21430"/>
  <c r="N110" i="21430"/>
  <c r="L110" i="21430"/>
  <c r="K110" i="21430"/>
  <c r="J110" i="21430"/>
  <c r="I110" i="21430"/>
  <c r="H110" i="21430"/>
  <c r="G110" i="21430"/>
  <c r="F110" i="21430"/>
  <c r="E110" i="21430"/>
  <c r="D110" i="21430"/>
  <c r="C110" i="21430"/>
  <c r="B110" i="21430"/>
  <c r="A110" i="21430"/>
  <c r="BG98" i="21429"/>
  <c r="BF98" i="21429"/>
  <c r="BE98" i="21429"/>
  <c r="BD98" i="21429"/>
  <c r="BC98" i="21429"/>
  <c r="BA98" i="21429"/>
  <c r="AZ98" i="21429"/>
  <c r="AV98" i="21429"/>
  <c r="AU98" i="21429"/>
  <c r="AS98" i="21429"/>
  <c r="AR98" i="21429"/>
  <c r="AQ98" i="21429"/>
  <c r="AP98" i="21429"/>
  <c r="AO98" i="21429"/>
  <c r="AN98" i="21429"/>
  <c r="AM98" i="21429"/>
  <c r="AL98" i="21429"/>
  <c r="AK98" i="21429"/>
  <c r="AJ98" i="21429"/>
  <c r="AI98" i="21429"/>
  <c r="AH98" i="21429"/>
  <c r="AG98" i="21429"/>
  <c r="AF98" i="21429"/>
  <c r="AE98" i="21429"/>
  <c r="AD98" i="21429"/>
  <c r="AC98" i="21429"/>
  <c r="AB98" i="21429"/>
  <c r="AA98" i="21429"/>
  <c r="Z98" i="21429"/>
  <c r="Y98" i="21429"/>
  <c r="X98" i="21429"/>
  <c r="W98" i="21429"/>
  <c r="V98" i="21429"/>
  <c r="U98" i="21429"/>
  <c r="T98" i="21429"/>
  <c r="S98" i="21429"/>
  <c r="R98" i="21429"/>
  <c r="Q98" i="21429"/>
  <c r="P98" i="21429"/>
  <c r="O98" i="21429"/>
  <c r="N98" i="21429"/>
  <c r="L98" i="21429"/>
  <c r="K98" i="21429"/>
  <c r="J98" i="21429"/>
  <c r="I98" i="21429"/>
  <c r="H98" i="21429"/>
  <c r="G98" i="21429"/>
  <c r="F98" i="21429"/>
  <c r="E98" i="21429"/>
  <c r="D98" i="21429"/>
  <c r="B98" i="21429"/>
  <c r="A98" i="21429"/>
  <c r="A116" i="21428"/>
  <c r="BG116" i="21428"/>
  <c r="BF116" i="21428"/>
  <c r="BE116" i="21428"/>
  <c r="BD116" i="21428"/>
  <c r="BC116" i="21428"/>
  <c r="BA116" i="21428"/>
  <c r="AZ116" i="21428"/>
  <c r="AV116" i="21428"/>
  <c r="AU116" i="21428"/>
  <c r="AS116" i="21428"/>
  <c r="AR116" i="21428"/>
  <c r="AQ116" i="21428"/>
  <c r="AP116" i="21428"/>
  <c r="AO116" i="21428"/>
  <c r="AN116" i="21428"/>
  <c r="AM116" i="21428"/>
  <c r="AL116" i="21428"/>
  <c r="AK116" i="21428"/>
  <c r="AJ116" i="21428"/>
  <c r="AI116" i="21428"/>
  <c r="AH116" i="21428"/>
  <c r="AG116" i="21428"/>
  <c r="AF116" i="21428"/>
  <c r="AE116" i="21428"/>
  <c r="AD116" i="21428"/>
  <c r="AB116" i="21428"/>
  <c r="AA116" i="21428"/>
  <c r="Z116" i="21428"/>
  <c r="Y116" i="21428"/>
  <c r="X116" i="21428"/>
  <c r="W116" i="21428"/>
  <c r="V116" i="21428"/>
  <c r="U116" i="21428"/>
  <c r="T116" i="21428"/>
  <c r="S116" i="21428"/>
  <c r="R116" i="21428"/>
  <c r="Q116" i="21428"/>
  <c r="P116" i="21428"/>
  <c r="O116" i="21428"/>
  <c r="N116" i="21428"/>
  <c r="L116" i="21428"/>
  <c r="K116" i="21428"/>
  <c r="J116" i="21428"/>
  <c r="I116" i="21428"/>
  <c r="H116" i="21428"/>
  <c r="G116" i="21428"/>
  <c r="E116" i="21428"/>
  <c r="D116" i="21428"/>
  <c r="C116" i="21428"/>
  <c r="A68" i="21427"/>
  <c r="B68" i="21427"/>
  <c r="C68" i="21427"/>
  <c r="D68" i="21427"/>
  <c r="E68" i="21427"/>
  <c r="F68" i="21427"/>
  <c r="G68" i="21427"/>
  <c r="H68" i="21427"/>
  <c r="I68" i="21427"/>
  <c r="K68" i="21427"/>
  <c r="L68" i="21427"/>
  <c r="M68" i="21427"/>
  <c r="N68" i="21427"/>
  <c r="O68" i="21427"/>
  <c r="P68" i="21427"/>
  <c r="Q68" i="21427"/>
  <c r="R68" i="21427"/>
  <c r="S68" i="21427"/>
  <c r="T68" i="21427"/>
  <c r="U68" i="21427"/>
  <c r="V68" i="21427"/>
  <c r="W68" i="21427"/>
  <c r="X68" i="21427"/>
  <c r="Y68" i="21427"/>
  <c r="Z68" i="21427"/>
  <c r="AA68" i="21427"/>
  <c r="AB68" i="21427"/>
  <c r="AC68" i="21427"/>
  <c r="AD68" i="21427"/>
  <c r="AE68" i="21427"/>
  <c r="AF68" i="21427"/>
  <c r="AG68" i="21427"/>
  <c r="AH68" i="21427"/>
  <c r="AI68" i="21427"/>
  <c r="AJ68" i="21427"/>
  <c r="AK68" i="21427"/>
  <c r="AL68" i="21427"/>
  <c r="AM68" i="21427"/>
  <c r="AN68" i="21427"/>
  <c r="AO68" i="21427"/>
  <c r="AP68" i="21427"/>
  <c r="AR68" i="21427"/>
  <c r="AS68" i="21427"/>
  <c r="AT68" i="21427"/>
  <c r="AU68" i="21427"/>
  <c r="AV68" i="21427"/>
  <c r="AY68" i="21427"/>
  <c r="BA68" i="21427"/>
  <c r="BB68" i="21427"/>
  <c r="BC68" i="21427"/>
  <c r="BD68" i="21427"/>
  <c r="BE68" i="21427"/>
  <c r="BF68" i="21427"/>
  <c r="BG68" i="21427"/>
  <c r="BG67" i="21427"/>
  <c r="BF67" i="21427"/>
  <c r="BE67" i="21427"/>
  <c r="BD67" i="21427"/>
  <c r="BC67" i="21427"/>
  <c r="BA67" i="21427"/>
  <c r="AZ67" i="21427"/>
  <c r="AV67" i="21427"/>
  <c r="AU67" i="21427"/>
  <c r="AS67" i="21427"/>
  <c r="AR67" i="21427"/>
  <c r="AQ67" i="21427"/>
  <c r="AP67" i="21427"/>
  <c r="AO67" i="21427"/>
  <c r="AN67" i="21427"/>
  <c r="AM67" i="21427"/>
  <c r="AL67" i="21427"/>
  <c r="AK67" i="21427"/>
  <c r="AJ67" i="21427"/>
  <c r="AI67" i="21427"/>
  <c r="AH67" i="21427"/>
  <c r="AG67" i="21427"/>
  <c r="AF67" i="21427"/>
  <c r="AE67" i="21427"/>
  <c r="AD67" i="21427"/>
  <c r="AB67" i="21427"/>
  <c r="AA67" i="21427"/>
  <c r="Z67" i="21427"/>
  <c r="Y67" i="21427"/>
  <c r="X67" i="21427"/>
  <c r="W67" i="21427"/>
  <c r="V67" i="21427"/>
  <c r="U67" i="21427"/>
  <c r="T67" i="21427"/>
  <c r="S67" i="21427"/>
  <c r="R67" i="21427"/>
  <c r="Q67" i="21427"/>
  <c r="P67" i="21427"/>
  <c r="O67" i="21427"/>
  <c r="N67" i="21427"/>
  <c r="L67" i="21427"/>
  <c r="K67" i="21427"/>
  <c r="J67" i="21427"/>
  <c r="I67" i="21427"/>
  <c r="H67" i="21427"/>
  <c r="G67" i="21427"/>
  <c r="F67" i="21427"/>
  <c r="E67" i="21427"/>
  <c r="D67" i="21427"/>
  <c r="B67" i="21427"/>
  <c r="A67" i="21427"/>
  <c r="A89" i="21426"/>
  <c r="B89" i="21426"/>
  <c r="C89" i="21426"/>
  <c r="D89" i="21426"/>
  <c r="E89" i="21426"/>
  <c r="F89" i="21426"/>
  <c r="G89" i="21426"/>
  <c r="H89" i="21426"/>
  <c r="I89" i="21426"/>
  <c r="J89" i="21426"/>
  <c r="K89" i="21426"/>
  <c r="L89" i="21426"/>
  <c r="M89" i="21426"/>
  <c r="N89" i="21426"/>
  <c r="O89" i="21426"/>
  <c r="P89" i="21426"/>
  <c r="Q89" i="21426"/>
  <c r="R89" i="21426"/>
  <c r="S89" i="21426"/>
  <c r="T89" i="21426"/>
  <c r="U89" i="21426"/>
  <c r="V89" i="21426"/>
  <c r="W89" i="21426"/>
  <c r="X89" i="21426"/>
  <c r="Y89" i="21426"/>
  <c r="Z89" i="21426"/>
  <c r="AA89" i="21426"/>
  <c r="AB89" i="21426"/>
  <c r="AC89" i="21426"/>
  <c r="AD89" i="21426"/>
  <c r="AE89" i="21426"/>
  <c r="AF89" i="21426"/>
  <c r="AG89" i="21426"/>
  <c r="AH89" i="21426"/>
  <c r="AI89" i="21426"/>
  <c r="AJ89" i="21426"/>
  <c r="AK89" i="21426"/>
  <c r="AL89" i="21426"/>
  <c r="AM89" i="21426"/>
  <c r="AN89" i="21426"/>
  <c r="AO89" i="21426"/>
  <c r="AP89" i="21426"/>
  <c r="AR89" i="21426"/>
  <c r="AS89" i="21426"/>
  <c r="AT89" i="21426"/>
  <c r="AU89" i="21426"/>
  <c r="AV89" i="21426"/>
  <c r="AW89" i="21426"/>
  <c r="AX89" i="21426"/>
  <c r="AY89" i="21426"/>
  <c r="AZ89" i="21426"/>
  <c r="BA89" i="21426"/>
  <c r="BB89" i="21426"/>
  <c r="BC89" i="21426"/>
  <c r="BD89" i="21426"/>
  <c r="BE89" i="21426"/>
  <c r="BF89" i="21426"/>
  <c r="BG89" i="21426"/>
  <c r="A90" i="21426"/>
  <c r="B90" i="21426"/>
  <c r="D90" i="21426"/>
  <c r="E90" i="21426"/>
  <c r="F90" i="21426"/>
  <c r="G90" i="21426"/>
  <c r="H90" i="21426"/>
  <c r="I90" i="21426"/>
  <c r="J90" i="21426"/>
  <c r="K90" i="21426"/>
  <c r="L90" i="21426"/>
  <c r="N90" i="21426"/>
  <c r="O90" i="21426"/>
  <c r="P90" i="21426"/>
  <c r="Q90" i="21426"/>
  <c r="R90" i="21426"/>
  <c r="S90" i="21426"/>
  <c r="T90" i="21426"/>
  <c r="U90" i="21426"/>
  <c r="V90" i="21426"/>
  <c r="W90" i="21426"/>
  <c r="X90" i="21426"/>
  <c r="Y90" i="21426"/>
  <c r="Z90" i="21426"/>
  <c r="AA90" i="21426"/>
  <c r="AB90" i="21426"/>
  <c r="AC90" i="21426"/>
  <c r="AD90" i="21426"/>
  <c r="AE90" i="21426"/>
  <c r="AF90" i="21426"/>
  <c r="AG90" i="21426"/>
  <c r="AH90" i="21426"/>
  <c r="AI90" i="21426"/>
  <c r="AJ90" i="21426"/>
  <c r="AK90" i="21426"/>
  <c r="AL90" i="21426"/>
  <c r="AM90" i="21426"/>
  <c r="AN90" i="21426"/>
  <c r="AO90" i="21426"/>
  <c r="AP90" i="21426"/>
  <c r="AQ90" i="21426"/>
  <c r="AR90" i="21426"/>
  <c r="AS90" i="21426"/>
  <c r="AU90" i="21426"/>
  <c r="AV90" i="21426"/>
  <c r="AZ90" i="21426"/>
  <c r="BA90" i="21426"/>
  <c r="BC90" i="21426"/>
  <c r="BD90" i="21426"/>
  <c r="BE90" i="21426"/>
  <c r="BF90" i="21426"/>
  <c r="BG90" i="21426"/>
  <c r="A91" i="21426"/>
  <c r="B91" i="21426"/>
  <c r="C91" i="21426"/>
  <c r="D91" i="21426"/>
  <c r="E91" i="21426"/>
  <c r="F91" i="21426"/>
  <c r="G91" i="21426"/>
  <c r="H91" i="21426"/>
  <c r="I91" i="21426"/>
  <c r="J91" i="21426"/>
  <c r="K91" i="21426"/>
  <c r="L91" i="21426"/>
  <c r="M91" i="21426"/>
  <c r="N91" i="21426"/>
  <c r="O91" i="21426"/>
  <c r="P91" i="21426"/>
  <c r="Q91" i="21426"/>
  <c r="R91" i="21426"/>
  <c r="S91" i="21426"/>
  <c r="T91" i="21426"/>
  <c r="U91" i="21426"/>
  <c r="V91" i="21426"/>
  <c r="W91" i="21426"/>
  <c r="X91" i="21426"/>
  <c r="Y91" i="21426"/>
  <c r="Z91" i="21426"/>
  <c r="AA91" i="21426"/>
  <c r="AB91" i="21426"/>
  <c r="AC91" i="21426"/>
  <c r="AD91" i="21426"/>
  <c r="AE91" i="21426"/>
  <c r="AF91" i="21426"/>
  <c r="AG91" i="21426"/>
  <c r="AH91" i="21426"/>
  <c r="AI91" i="21426"/>
  <c r="AJ91" i="21426"/>
  <c r="AK91" i="21426"/>
  <c r="AL91" i="21426"/>
  <c r="AM91" i="21426"/>
  <c r="AN91" i="21426"/>
  <c r="AO91" i="21426"/>
  <c r="AP91" i="21426"/>
  <c r="AR91" i="21426"/>
  <c r="AS91" i="21426"/>
  <c r="AT91" i="21426"/>
  <c r="AU91" i="21426"/>
  <c r="AV91" i="21426"/>
  <c r="AW91" i="21426"/>
  <c r="AX91" i="21426"/>
  <c r="AY91" i="21426"/>
  <c r="BA91" i="21426"/>
  <c r="BB91" i="21426"/>
  <c r="BC91" i="21426"/>
  <c r="BD91" i="21426"/>
  <c r="BE91" i="21426"/>
  <c r="BF91" i="21426"/>
  <c r="BG91" i="21426"/>
  <c r="A92" i="21426"/>
  <c r="B92" i="21426"/>
  <c r="D92" i="21426"/>
  <c r="E92" i="21426"/>
  <c r="G92" i="21426"/>
  <c r="H92" i="21426"/>
  <c r="I92" i="21426"/>
  <c r="J92" i="21426"/>
  <c r="K92" i="21426"/>
  <c r="L92" i="21426"/>
  <c r="N92" i="21426"/>
  <c r="O92" i="21426"/>
  <c r="P92" i="21426"/>
  <c r="Q92" i="21426"/>
  <c r="R92" i="21426"/>
  <c r="S92" i="21426"/>
  <c r="T92" i="21426"/>
  <c r="U92" i="21426"/>
  <c r="V92" i="21426"/>
  <c r="W92" i="21426"/>
  <c r="X92" i="21426"/>
  <c r="Y92" i="21426"/>
  <c r="Z92" i="21426"/>
  <c r="AA92" i="21426"/>
  <c r="AB92" i="21426"/>
  <c r="AD92" i="21426"/>
  <c r="AE92" i="21426"/>
  <c r="AF92" i="21426"/>
  <c r="AG92" i="21426"/>
  <c r="AH92" i="21426"/>
  <c r="AI92" i="21426"/>
  <c r="AJ92" i="21426"/>
  <c r="AK92" i="21426"/>
  <c r="AL92" i="21426"/>
  <c r="AM92" i="21426"/>
  <c r="AN92" i="21426"/>
  <c r="AO92" i="21426"/>
  <c r="AP92" i="21426"/>
  <c r="AQ92" i="21426"/>
  <c r="AR92" i="21426"/>
  <c r="AS92" i="21426"/>
  <c r="AU92" i="21426"/>
  <c r="AV92" i="21426"/>
  <c r="AZ92" i="21426"/>
  <c r="BA92" i="21426"/>
  <c r="BC92" i="21426"/>
  <c r="BD92" i="21426"/>
  <c r="BE92" i="21426"/>
  <c r="BF92" i="21426"/>
  <c r="BG92" i="21426"/>
  <c r="A93" i="21426"/>
  <c r="B93" i="21426"/>
  <c r="C93" i="21426"/>
  <c r="D93" i="21426"/>
  <c r="E93" i="21426"/>
  <c r="F93" i="21426"/>
  <c r="G93" i="21426"/>
  <c r="H93" i="21426"/>
  <c r="I93" i="21426"/>
  <c r="J93" i="21426"/>
  <c r="K93" i="21426"/>
  <c r="L93" i="21426"/>
  <c r="M93" i="21426"/>
  <c r="N93" i="21426"/>
  <c r="O93" i="21426"/>
  <c r="P93" i="21426"/>
  <c r="Q93" i="21426"/>
  <c r="R93" i="21426"/>
  <c r="S93" i="21426"/>
  <c r="T93" i="21426"/>
  <c r="U93" i="21426"/>
  <c r="V93" i="21426"/>
  <c r="W93" i="21426"/>
  <c r="X93" i="21426"/>
  <c r="Y93" i="21426"/>
  <c r="Z93" i="21426"/>
  <c r="AA93" i="21426"/>
  <c r="AB93" i="21426"/>
  <c r="AC93" i="21426"/>
  <c r="AD93" i="21426"/>
  <c r="AE93" i="21426"/>
  <c r="AF93" i="21426"/>
  <c r="AG93" i="21426"/>
  <c r="AH93" i="21426"/>
  <c r="AI93" i="21426"/>
  <c r="AJ93" i="21426"/>
  <c r="AK93" i="21426"/>
  <c r="AL93" i="21426"/>
  <c r="AM93" i="21426"/>
  <c r="AN93" i="21426"/>
  <c r="AO93" i="21426"/>
  <c r="AP93" i="21426"/>
  <c r="AR93" i="21426"/>
  <c r="AS93" i="21426"/>
  <c r="AT93" i="21426"/>
  <c r="AU93" i="21426"/>
  <c r="AV93" i="21426"/>
  <c r="AW93" i="21426"/>
  <c r="AX93" i="21426"/>
  <c r="AY93" i="21426"/>
  <c r="AZ93" i="21426"/>
  <c r="BA93" i="21426"/>
  <c r="BB93" i="21426"/>
  <c r="BC93" i="21426"/>
  <c r="BD93" i="21426"/>
  <c r="BE93" i="21426"/>
  <c r="BF93" i="21426"/>
  <c r="BG93" i="21426"/>
  <c r="A94" i="21426"/>
  <c r="B94" i="21426"/>
  <c r="D94" i="21426"/>
  <c r="E94" i="21426"/>
  <c r="F94" i="21426"/>
  <c r="G94" i="21426"/>
  <c r="H94" i="21426"/>
  <c r="I94" i="21426"/>
  <c r="J94" i="21426"/>
  <c r="K94" i="21426"/>
  <c r="L94" i="21426"/>
  <c r="M94" i="21426"/>
  <c r="N94" i="21426"/>
  <c r="O94" i="21426"/>
  <c r="P94" i="21426"/>
  <c r="Q94" i="21426"/>
  <c r="R94" i="21426"/>
  <c r="S94" i="21426"/>
  <c r="T94" i="21426"/>
  <c r="U94" i="21426"/>
  <c r="V94" i="21426"/>
  <c r="W94" i="21426"/>
  <c r="X94" i="21426"/>
  <c r="Y94" i="21426"/>
  <c r="Z94" i="21426"/>
  <c r="AA94" i="21426"/>
  <c r="AB94" i="21426"/>
  <c r="AD94" i="21426"/>
  <c r="AE94" i="21426"/>
  <c r="AF94" i="21426"/>
  <c r="AG94" i="21426"/>
  <c r="AH94" i="21426"/>
  <c r="AI94" i="21426"/>
  <c r="AJ94" i="21426"/>
  <c r="AK94" i="21426"/>
  <c r="AL94" i="21426"/>
  <c r="AM94" i="21426"/>
  <c r="AN94" i="21426"/>
  <c r="AO94" i="21426"/>
  <c r="AP94" i="21426"/>
  <c r="AQ94" i="21426"/>
  <c r="AR94" i="21426"/>
  <c r="AS94" i="21426"/>
  <c r="AU94" i="21426"/>
  <c r="AV94" i="21426"/>
  <c r="AW94" i="21426"/>
  <c r="AX94" i="21426"/>
  <c r="AY94" i="21426"/>
  <c r="AZ94" i="21426"/>
  <c r="BA94" i="21426"/>
  <c r="BB94" i="21426"/>
  <c r="BC94" i="21426"/>
  <c r="BD94" i="21426"/>
  <c r="BE94" i="21426"/>
  <c r="BF94" i="21426"/>
  <c r="BG94" i="21426"/>
  <c r="A95" i="21426"/>
  <c r="B95" i="21426"/>
  <c r="C95" i="21426"/>
  <c r="D95" i="21426"/>
  <c r="E95" i="21426"/>
  <c r="F95" i="21426"/>
  <c r="G95" i="21426"/>
  <c r="H95" i="21426"/>
  <c r="I95" i="21426"/>
  <c r="J95" i="21426"/>
  <c r="K95" i="21426"/>
  <c r="L95" i="21426"/>
  <c r="M95" i="21426"/>
  <c r="N95" i="21426"/>
  <c r="O95" i="21426"/>
  <c r="P95" i="21426"/>
  <c r="Q95" i="21426"/>
  <c r="R95" i="21426"/>
  <c r="S95" i="21426"/>
  <c r="T95" i="21426"/>
  <c r="U95" i="21426"/>
  <c r="V95" i="21426"/>
  <c r="W95" i="21426"/>
  <c r="X95" i="21426"/>
  <c r="Y95" i="21426"/>
  <c r="Z95" i="21426"/>
  <c r="AA95" i="21426"/>
  <c r="AB95" i="21426"/>
  <c r="AC95" i="21426"/>
  <c r="AD95" i="21426"/>
  <c r="AE95" i="21426"/>
  <c r="AF95" i="21426"/>
  <c r="AG95" i="21426"/>
  <c r="AH95" i="21426"/>
  <c r="AI95" i="21426"/>
  <c r="AJ95" i="21426"/>
  <c r="AK95" i="21426"/>
  <c r="AL95" i="21426"/>
  <c r="AM95" i="21426"/>
  <c r="AN95" i="21426"/>
  <c r="AO95" i="21426"/>
  <c r="AP95" i="21426"/>
  <c r="AR95" i="21426"/>
  <c r="AS95" i="21426"/>
  <c r="AT95" i="21426"/>
  <c r="AU95" i="21426"/>
  <c r="AV95" i="21426"/>
  <c r="AW95" i="21426"/>
  <c r="AX95" i="21426"/>
  <c r="AY95" i="21426"/>
  <c r="AZ95" i="21426"/>
  <c r="BA95" i="21426"/>
  <c r="BB95" i="21426"/>
  <c r="BC95" i="21426"/>
  <c r="BD95" i="21426"/>
  <c r="BE95" i="21426"/>
  <c r="BF95" i="21426"/>
  <c r="BG95" i="21426"/>
  <c r="BG88" i="21426"/>
  <c r="BF88" i="21426"/>
  <c r="BE88" i="21426"/>
  <c r="BD88" i="21426"/>
  <c r="BC88" i="21426"/>
  <c r="BA88" i="21426"/>
  <c r="AZ88" i="21426"/>
  <c r="AV88" i="21426"/>
  <c r="AU88" i="21426"/>
  <c r="AS88" i="21426"/>
  <c r="AR88" i="21426"/>
  <c r="AQ88" i="21426"/>
  <c r="AP88" i="21426"/>
  <c r="AO88" i="21426"/>
  <c r="AN88" i="21426"/>
  <c r="AM88" i="21426"/>
  <c r="AL88" i="21426"/>
  <c r="AK88" i="21426"/>
  <c r="AJ88" i="21426"/>
  <c r="AI88" i="21426"/>
  <c r="AH88" i="21426"/>
  <c r="AG88" i="21426"/>
  <c r="AF88" i="21426"/>
  <c r="AE88" i="21426"/>
  <c r="AD88" i="21426"/>
  <c r="AB88" i="21426"/>
  <c r="AA88" i="21426"/>
  <c r="Z88" i="21426"/>
  <c r="Y88" i="21426"/>
  <c r="X88" i="21426"/>
  <c r="W88" i="21426"/>
  <c r="V88" i="21426"/>
  <c r="U88" i="21426"/>
  <c r="T88" i="21426"/>
  <c r="S88" i="21426"/>
  <c r="R88" i="21426"/>
  <c r="Q88" i="21426"/>
  <c r="P88" i="21426"/>
  <c r="O88" i="21426"/>
  <c r="N88" i="21426"/>
  <c r="L88" i="21426"/>
  <c r="K88" i="21426"/>
  <c r="J88" i="21426"/>
  <c r="I88" i="21426"/>
  <c r="H88" i="21426"/>
  <c r="G88" i="21426"/>
  <c r="F88" i="21426"/>
  <c r="E88" i="21426"/>
  <c r="D88" i="21426"/>
  <c r="C88" i="21426"/>
  <c r="A88" i="21426"/>
  <c r="BG96" i="21426"/>
  <c r="BF96" i="21426"/>
  <c r="BE96" i="21426"/>
  <c r="BD96" i="21426"/>
  <c r="BC96" i="21426"/>
  <c r="BA96" i="21426"/>
  <c r="AZ96" i="21426"/>
  <c r="AV96" i="21426"/>
  <c r="AU96" i="21426"/>
  <c r="AS96" i="21426"/>
  <c r="AR96" i="21426"/>
  <c r="AQ96" i="21426"/>
  <c r="AP96" i="21426"/>
  <c r="AO96" i="21426"/>
  <c r="AN96" i="21426"/>
  <c r="AM96" i="21426"/>
  <c r="AL96" i="21426"/>
  <c r="AK96" i="21426"/>
  <c r="AJ96" i="21426"/>
  <c r="AI96" i="21426"/>
  <c r="AH96" i="21426"/>
  <c r="AG96" i="21426"/>
  <c r="AF96" i="21426"/>
  <c r="AE96" i="21426"/>
  <c r="AD96" i="21426"/>
  <c r="AB96" i="21426"/>
  <c r="AA96" i="21426"/>
  <c r="Z96" i="21426"/>
  <c r="Y96" i="21426"/>
  <c r="X96" i="21426"/>
  <c r="W96" i="21426"/>
  <c r="V96" i="21426"/>
  <c r="U96" i="21426"/>
  <c r="T96" i="21426"/>
  <c r="S96" i="21426"/>
  <c r="R96" i="21426"/>
  <c r="Q96" i="21426"/>
  <c r="P96" i="21426"/>
  <c r="O96" i="21426"/>
  <c r="N96" i="21426"/>
  <c r="L96" i="21426"/>
  <c r="K96" i="21426"/>
  <c r="J96" i="21426"/>
  <c r="I96" i="21426"/>
  <c r="H96" i="21426"/>
  <c r="G96" i="21426"/>
  <c r="F96" i="21426"/>
  <c r="E96" i="21426"/>
  <c r="D96" i="21426"/>
  <c r="B96" i="21426"/>
  <c r="A96" i="21426"/>
  <c r="BG4" i="21430"/>
  <c r="BF4" i="21430"/>
  <c r="BE4" i="21430"/>
  <c r="BD4" i="21430"/>
  <c r="BC4" i="21430"/>
  <c r="BG4" i="21428"/>
  <c r="BF4" i="21428"/>
  <c r="BE4" i="21428"/>
  <c r="BD4" i="21428"/>
  <c r="BC4" i="21428"/>
  <c r="BG4" i="21426"/>
  <c r="BF4" i="21426"/>
  <c r="BE4" i="21426"/>
  <c r="BD4" i="21426"/>
  <c r="BC4" i="21426"/>
  <c r="BF4" i="21425"/>
  <c r="BE4" i="21425"/>
  <c r="BD4" i="21425"/>
  <c r="BC4" i="21425"/>
  <c r="BB4" i="21425"/>
  <c r="B89" i="21425"/>
  <c r="C89" i="21425"/>
  <c r="D89" i="21425"/>
  <c r="E89" i="21425"/>
  <c r="F89" i="21425"/>
  <c r="H89" i="21425"/>
  <c r="K89" i="21425"/>
  <c r="L89" i="21425"/>
  <c r="M89" i="21425"/>
  <c r="N89" i="21425"/>
  <c r="P89" i="21425"/>
  <c r="Q89" i="21425"/>
  <c r="R89" i="21425"/>
  <c r="S89" i="21425"/>
  <c r="T89" i="21425"/>
  <c r="V89" i="21425"/>
  <c r="W89" i="21425"/>
  <c r="Z89" i="21425"/>
  <c r="AB89" i="21425"/>
  <c r="AC89" i="21425"/>
  <c r="AD89" i="21425"/>
  <c r="AE89" i="21425"/>
  <c r="AF89" i="21425"/>
  <c r="AG89" i="21425"/>
  <c r="AH89" i="21425"/>
  <c r="AL89" i="21425"/>
  <c r="AM89" i="21425"/>
  <c r="AN89" i="21425"/>
  <c r="AO89" i="21425"/>
  <c r="AQ89" i="21425"/>
  <c r="AR89" i="21425"/>
  <c r="AS89" i="21425"/>
  <c r="AT89" i="21425"/>
  <c r="AU89" i="21425"/>
  <c r="AV89" i="21425"/>
  <c r="AW89" i="21425"/>
  <c r="AX89" i="21425"/>
  <c r="AZ89" i="21425"/>
  <c r="BA89" i="21425"/>
  <c r="BB89" i="21425"/>
  <c r="BC89" i="21425"/>
  <c r="BD89" i="21425"/>
  <c r="BE89" i="21425"/>
  <c r="BF89" i="21425"/>
  <c r="B90" i="21425"/>
  <c r="D90" i="21425"/>
  <c r="E90" i="21425"/>
  <c r="F90" i="21425"/>
  <c r="H90" i="21425"/>
  <c r="K90" i="21425"/>
  <c r="M90" i="21425"/>
  <c r="N90" i="21425"/>
  <c r="P90" i="21425"/>
  <c r="Q90" i="21425"/>
  <c r="R90" i="21425"/>
  <c r="S90" i="21425"/>
  <c r="T90" i="21425"/>
  <c r="V90" i="21425"/>
  <c r="W90" i="21425"/>
  <c r="Z90" i="21425"/>
  <c r="AB90" i="21425"/>
  <c r="AC90" i="21425"/>
  <c r="AD90" i="21425"/>
  <c r="AE90" i="21425"/>
  <c r="AF90" i="21425"/>
  <c r="AG90" i="21425"/>
  <c r="AH90" i="21425"/>
  <c r="AL90" i="21425"/>
  <c r="AM90" i="21425"/>
  <c r="AN90" i="21425"/>
  <c r="AO90" i="21425"/>
  <c r="AQ90" i="21425"/>
  <c r="AR90" i="21425"/>
  <c r="AT90" i="21425"/>
  <c r="AU90" i="21425"/>
  <c r="AZ90" i="21425"/>
  <c r="BB90" i="21425"/>
  <c r="BC90" i="21425"/>
  <c r="BD90" i="21425"/>
  <c r="BE90" i="21425"/>
  <c r="BF90" i="21425"/>
  <c r="B91" i="21425"/>
  <c r="C91" i="21425"/>
  <c r="D91" i="21425"/>
  <c r="E91" i="21425"/>
  <c r="F91" i="21425"/>
  <c r="H91" i="21425"/>
  <c r="K91" i="21425"/>
  <c r="L91" i="21425"/>
  <c r="M91" i="21425"/>
  <c r="N91" i="21425"/>
  <c r="P91" i="21425"/>
  <c r="Q91" i="21425"/>
  <c r="R91" i="21425"/>
  <c r="S91" i="21425"/>
  <c r="T91" i="21425"/>
  <c r="V91" i="21425"/>
  <c r="W91" i="21425"/>
  <c r="Z91" i="21425"/>
  <c r="AB91" i="21425"/>
  <c r="AC91" i="21425"/>
  <c r="AD91" i="21425"/>
  <c r="AE91" i="21425"/>
  <c r="AF91" i="21425"/>
  <c r="AG91" i="21425"/>
  <c r="AH91" i="21425"/>
  <c r="AL91" i="21425"/>
  <c r="AM91" i="21425"/>
  <c r="AN91" i="21425"/>
  <c r="AO91" i="21425"/>
  <c r="AQ91" i="21425"/>
  <c r="AR91" i="21425"/>
  <c r="AS91" i="21425"/>
  <c r="AT91" i="21425"/>
  <c r="AU91" i="21425"/>
  <c r="AV91" i="21425"/>
  <c r="AW91" i="21425"/>
  <c r="AX91" i="21425"/>
  <c r="AZ91" i="21425"/>
  <c r="BA91" i="21425"/>
  <c r="BB91" i="21425"/>
  <c r="BC91" i="21425"/>
  <c r="BD91" i="21425"/>
  <c r="BE91" i="21425"/>
  <c r="BF91" i="21425"/>
  <c r="B92" i="21425"/>
  <c r="D92" i="21425"/>
  <c r="E92" i="21425"/>
  <c r="H92" i="21425"/>
  <c r="K92" i="21425"/>
  <c r="M92" i="21425"/>
  <c r="N92" i="21425"/>
  <c r="P92" i="21425"/>
  <c r="Q92" i="21425"/>
  <c r="R92" i="21425"/>
  <c r="S92" i="21425"/>
  <c r="T92" i="21425"/>
  <c r="V92" i="21425"/>
  <c r="W92" i="21425"/>
  <c r="Z92" i="21425"/>
  <c r="AC92" i="21425"/>
  <c r="AD92" i="21425"/>
  <c r="AE92" i="21425"/>
  <c r="AF92" i="21425"/>
  <c r="AG92" i="21425"/>
  <c r="AH92" i="21425"/>
  <c r="AL92" i="21425"/>
  <c r="AM92" i="21425"/>
  <c r="AN92" i="21425"/>
  <c r="AO92" i="21425"/>
  <c r="AQ92" i="21425"/>
  <c r="AR92" i="21425"/>
  <c r="AT92" i="21425"/>
  <c r="AU92" i="21425"/>
  <c r="AZ92" i="21425"/>
  <c r="BB92" i="21425"/>
  <c r="BC92" i="21425"/>
  <c r="BD92" i="21425"/>
  <c r="BE92" i="21425"/>
  <c r="BF92" i="21425"/>
  <c r="B93" i="21425"/>
  <c r="C93" i="21425"/>
  <c r="D93" i="21425"/>
  <c r="E93" i="21425"/>
  <c r="F93" i="21425"/>
  <c r="H93" i="21425"/>
  <c r="K93" i="21425"/>
  <c r="L93" i="21425"/>
  <c r="M93" i="21425"/>
  <c r="N93" i="21425"/>
  <c r="P93" i="21425"/>
  <c r="Q93" i="21425"/>
  <c r="R93" i="21425"/>
  <c r="S93" i="21425"/>
  <c r="T93" i="21425"/>
  <c r="V93" i="21425"/>
  <c r="W93" i="21425"/>
  <c r="Z93" i="21425"/>
  <c r="AB93" i="21425"/>
  <c r="AC93" i="21425"/>
  <c r="AD93" i="21425"/>
  <c r="AE93" i="21425"/>
  <c r="AF93" i="21425"/>
  <c r="AG93" i="21425"/>
  <c r="AH93" i="21425"/>
  <c r="AL93" i="21425"/>
  <c r="AM93" i="21425"/>
  <c r="AN93" i="21425"/>
  <c r="AO93" i="21425"/>
  <c r="AQ93" i="21425"/>
  <c r="AR93" i="21425"/>
  <c r="AS93" i="21425"/>
  <c r="AT93" i="21425"/>
  <c r="AU93" i="21425"/>
  <c r="AX93" i="21425"/>
  <c r="AZ93" i="21425"/>
  <c r="BA93" i="21425"/>
  <c r="BB93" i="21425"/>
  <c r="BC93" i="21425"/>
  <c r="BD93" i="21425"/>
  <c r="BE93" i="21425"/>
  <c r="BF93" i="21425"/>
  <c r="B94" i="21425"/>
  <c r="D94" i="21425"/>
  <c r="E94" i="21425"/>
  <c r="F94" i="21425"/>
  <c r="H94" i="21425"/>
  <c r="K94" i="21425"/>
  <c r="M94" i="21425"/>
  <c r="N94" i="21425"/>
  <c r="P94" i="21425"/>
  <c r="Q94" i="21425"/>
  <c r="R94" i="21425"/>
  <c r="S94" i="21425"/>
  <c r="T94" i="21425"/>
  <c r="V94" i="21425"/>
  <c r="W94" i="21425"/>
  <c r="Z94" i="21425"/>
  <c r="AC94" i="21425"/>
  <c r="AD94" i="21425"/>
  <c r="AE94" i="21425"/>
  <c r="AF94" i="21425"/>
  <c r="AG94" i="21425"/>
  <c r="AH94" i="21425"/>
  <c r="AL94" i="21425"/>
  <c r="AM94" i="21425"/>
  <c r="AN94" i="21425"/>
  <c r="AO94" i="21425"/>
  <c r="AQ94" i="21425"/>
  <c r="AR94" i="21425"/>
  <c r="AT94" i="21425"/>
  <c r="AU94" i="21425"/>
  <c r="AZ94" i="21425"/>
  <c r="BB94" i="21425"/>
  <c r="BC94" i="21425"/>
  <c r="BD94" i="21425"/>
  <c r="BE94" i="21425"/>
  <c r="BF94" i="21425"/>
  <c r="BF88" i="21425"/>
  <c r="BE88" i="21425"/>
  <c r="BD88" i="21425"/>
  <c r="BC88" i="21425"/>
  <c r="BB88" i="21425"/>
  <c r="A90" i="21436"/>
  <c r="B90" i="21436"/>
  <c r="C90" i="21436"/>
  <c r="D90" i="21436"/>
  <c r="E90" i="21436"/>
  <c r="F90" i="21436"/>
  <c r="H90" i="21436"/>
  <c r="L90" i="21436"/>
  <c r="M90" i="21436"/>
  <c r="N90" i="21436"/>
  <c r="O90" i="21436"/>
  <c r="P90" i="21436"/>
  <c r="Q90" i="21436"/>
  <c r="R90" i="21436"/>
  <c r="S90" i="21436"/>
  <c r="T90" i="21436"/>
  <c r="U90" i="21436"/>
  <c r="V90" i="21436"/>
  <c r="W90" i="21436"/>
  <c r="X90" i="21436"/>
  <c r="Y90" i="21436"/>
  <c r="Z90" i="21436"/>
  <c r="AA90" i="21436"/>
  <c r="AB90" i="21436"/>
  <c r="AC90" i="21436"/>
  <c r="AD90" i="21436"/>
  <c r="AE90" i="21436"/>
  <c r="AF90" i="21436"/>
  <c r="AG90" i="21436"/>
  <c r="AH90" i="21436"/>
  <c r="AI90" i="21436"/>
  <c r="AJ90" i="21436"/>
  <c r="AK90" i="21436"/>
  <c r="AL90" i="21436"/>
  <c r="AM90" i="21436"/>
  <c r="AN90" i="21436"/>
  <c r="AT90" i="21436"/>
  <c r="AW90" i="21436"/>
  <c r="AX90" i="21436"/>
  <c r="AY90" i="21436"/>
  <c r="BA90" i="21436"/>
  <c r="BB90" i="21436"/>
  <c r="BC90" i="21436"/>
  <c r="BD90" i="21436"/>
  <c r="BE90" i="21436"/>
  <c r="BF90" i="21436"/>
  <c r="BG90" i="21436"/>
  <c r="A91" i="21436"/>
  <c r="B91" i="21436"/>
  <c r="D91" i="21436"/>
  <c r="E91" i="21436"/>
  <c r="F91" i="21436"/>
  <c r="H91" i="21436"/>
  <c r="I91" i="21436"/>
  <c r="L91" i="21436"/>
  <c r="N91" i="21436"/>
  <c r="O91" i="21436"/>
  <c r="P91" i="21436"/>
  <c r="Q91" i="21436"/>
  <c r="R91" i="21436"/>
  <c r="S91" i="21436"/>
  <c r="T91" i="21436"/>
  <c r="U91" i="21436"/>
  <c r="V91" i="21436"/>
  <c r="W91" i="21436"/>
  <c r="X91" i="21436"/>
  <c r="Y91" i="21436"/>
  <c r="Z91" i="21436"/>
  <c r="AA91" i="21436"/>
  <c r="AB91" i="21436"/>
  <c r="AC91" i="21436"/>
  <c r="AD91" i="21436"/>
  <c r="AE91" i="21436"/>
  <c r="AF91" i="21436"/>
  <c r="AG91" i="21436"/>
  <c r="AH91" i="21436"/>
  <c r="AI91" i="21436"/>
  <c r="AJ91" i="21436"/>
  <c r="AK91" i="21436"/>
  <c r="AL91" i="21436"/>
  <c r="AM91" i="21436"/>
  <c r="AN91" i="21436"/>
  <c r="BA91" i="21436"/>
  <c r="BC91" i="21436"/>
  <c r="BD91" i="21436"/>
  <c r="BE91" i="21436"/>
  <c r="BF91" i="21436"/>
  <c r="BG91" i="21436"/>
  <c r="A92" i="21436"/>
  <c r="B92" i="21436"/>
  <c r="C92" i="21436"/>
  <c r="D92" i="21436"/>
  <c r="E92" i="21436"/>
  <c r="F92" i="21436"/>
  <c r="H92" i="21436"/>
  <c r="I92" i="21436"/>
  <c r="L92" i="21436"/>
  <c r="M92" i="21436"/>
  <c r="N92" i="21436"/>
  <c r="O92" i="21436"/>
  <c r="P92" i="21436"/>
  <c r="Q92" i="21436"/>
  <c r="R92" i="21436"/>
  <c r="S92" i="21436"/>
  <c r="T92" i="21436"/>
  <c r="U92" i="21436"/>
  <c r="V92" i="21436"/>
  <c r="W92" i="21436"/>
  <c r="X92" i="21436"/>
  <c r="Y92" i="21436"/>
  <c r="Z92" i="21436"/>
  <c r="AA92" i="21436"/>
  <c r="AB92" i="21436"/>
  <c r="AC92" i="21436"/>
  <c r="AD92" i="21436"/>
  <c r="AE92" i="21436"/>
  <c r="AF92" i="21436"/>
  <c r="AG92" i="21436"/>
  <c r="AH92" i="21436"/>
  <c r="AI92" i="21436"/>
  <c r="AJ92" i="21436"/>
  <c r="AK92" i="21436"/>
  <c r="AL92" i="21436"/>
  <c r="AM92" i="21436"/>
  <c r="AN92" i="21436"/>
  <c r="AT92" i="21436"/>
  <c r="AW92" i="21436"/>
  <c r="AX92" i="21436"/>
  <c r="AY92" i="21436"/>
  <c r="BA92" i="21436"/>
  <c r="BB92" i="21436"/>
  <c r="BC92" i="21436"/>
  <c r="BD92" i="21436"/>
  <c r="BE92" i="21436"/>
  <c r="BF92" i="21436"/>
  <c r="BG92" i="21436"/>
  <c r="A93" i="21436"/>
  <c r="B93" i="21436"/>
  <c r="D93" i="21436"/>
  <c r="E93" i="21436"/>
  <c r="H93" i="21436"/>
  <c r="I93" i="21436"/>
  <c r="L93" i="21436"/>
  <c r="N93" i="21436"/>
  <c r="O93" i="21436"/>
  <c r="P93" i="21436"/>
  <c r="Q93" i="21436"/>
  <c r="R93" i="21436"/>
  <c r="S93" i="21436"/>
  <c r="T93" i="21436"/>
  <c r="U93" i="21436"/>
  <c r="V93" i="21436"/>
  <c r="W93" i="21436"/>
  <c r="X93" i="21436"/>
  <c r="Y93" i="21436"/>
  <c r="Z93" i="21436"/>
  <c r="AA93" i="21436"/>
  <c r="AB93" i="21436"/>
  <c r="AD93" i="21436"/>
  <c r="AE93" i="21436"/>
  <c r="AF93" i="21436"/>
  <c r="AG93" i="21436"/>
  <c r="AH93" i="21436"/>
  <c r="AI93" i="21436"/>
  <c r="AJ93" i="21436"/>
  <c r="AK93" i="21436"/>
  <c r="AL93" i="21436"/>
  <c r="AM93" i="21436"/>
  <c r="AN93" i="21436"/>
  <c r="BA93" i="21436"/>
  <c r="BC93" i="21436"/>
  <c r="BD93" i="21436"/>
  <c r="BE93" i="21436"/>
  <c r="BF93" i="21436"/>
  <c r="BG93" i="21436"/>
  <c r="A94" i="21436"/>
  <c r="B94" i="21436"/>
  <c r="C94" i="21436"/>
  <c r="D94" i="21436"/>
  <c r="E94" i="21436"/>
  <c r="F94" i="21436"/>
  <c r="H94" i="21436"/>
  <c r="I94" i="21436"/>
  <c r="L94" i="21436"/>
  <c r="M94" i="21436"/>
  <c r="N94" i="21436"/>
  <c r="O94" i="21436"/>
  <c r="P94" i="21436"/>
  <c r="Q94" i="21436"/>
  <c r="R94" i="21436"/>
  <c r="S94" i="21436"/>
  <c r="T94" i="21436"/>
  <c r="U94" i="21436"/>
  <c r="V94" i="21436"/>
  <c r="W94" i="21436"/>
  <c r="X94" i="21436"/>
  <c r="Y94" i="21436"/>
  <c r="Z94" i="21436"/>
  <c r="AA94" i="21436"/>
  <c r="AB94" i="21436"/>
  <c r="AC94" i="21436"/>
  <c r="AD94" i="21436"/>
  <c r="AE94" i="21436"/>
  <c r="AF94" i="21436"/>
  <c r="AG94" i="21436"/>
  <c r="AH94" i="21436"/>
  <c r="AI94" i="21436"/>
  <c r="AJ94" i="21436"/>
  <c r="AK94" i="21436"/>
  <c r="AL94" i="21436"/>
  <c r="AM94" i="21436"/>
  <c r="AN94" i="21436"/>
  <c r="AT94" i="21436"/>
  <c r="AW94" i="21436"/>
  <c r="AX94" i="21436"/>
  <c r="AY94" i="21436"/>
  <c r="BA94" i="21436"/>
  <c r="BB94" i="21436"/>
  <c r="BC94" i="21436"/>
  <c r="BD94" i="21436"/>
  <c r="BE94" i="21436"/>
  <c r="BF94" i="21436"/>
  <c r="BG94" i="21436"/>
  <c r="A95" i="21436"/>
  <c r="B95" i="21436"/>
  <c r="D95" i="21436"/>
  <c r="E95" i="21436"/>
  <c r="F95" i="21436"/>
  <c r="H95" i="21436"/>
  <c r="I95" i="21436"/>
  <c r="L95" i="21436"/>
  <c r="N95" i="21436"/>
  <c r="O95" i="21436"/>
  <c r="P95" i="21436"/>
  <c r="Q95" i="21436"/>
  <c r="R95" i="21436"/>
  <c r="S95" i="21436"/>
  <c r="T95" i="21436"/>
  <c r="U95" i="21436"/>
  <c r="V95" i="21436"/>
  <c r="W95" i="21436"/>
  <c r="X95" i="21436"/>
  <c r="Y95" i="21436"/>
  <c r="Z95" i="21436"/>
  <c r="AA95" i="21436"/>
  <c r="AB95" i="21436"/>
  <c r="AD95" i="21436"/>
  <c r="AE95" i="21436"/>
  <c r="AF95" i="21436"/>
  <c r="AG95" i="21436"/>
  <c r="AH95" i="21436"/>
  <c r="AI95" i="21436"/>
  <c r="AJ95" i="21436"/>
  <c r="AK95" i="21436"/>
  <c r="AL95" i="21436"/>
  <c r="AM95" i="21436"/>
  <c r="AN95" i="21436"/>
  <c r="BA95" i="21436"/>
  <c r="BC95" i="21436"/>
  <c r="BD95" i="21436"/>
  <c r="BE95" i="21436"/>
  <c r="BF95" i="21436"/>
  <c r="BG95" i="21436"/>
  <c r="BG89" i="21436"/>
  <c r="BF89" i="21436"/>
  <c r="BE89" i="21436"/>
  <c r="BD89" i="21436"/>
  <c r="BC89" i="21436"/>
  <c r="B90" i="21435"/>
  <c r="C90" i="21435"/>
  <c r="D90" i="21435"/>
  <c r="E90" i="21435"/>
  <c r="F90" i="21435"/>
  <c r="H90" i="21435"/>
  <c r="L90" i="21435"/>
  <c r="M90" i="21435"/>
  <c r="N90" i="21435"/>
  <c r="O90" i="21435"/>
  <c r="P90" i="21435"/>
  <c r="Q90" i="21435"/>
  <c r="R90" i="21435"/>
  <c r="S90" i="21435"/>
  <c r="T90" i="21435"/>
  <c r="U90" i="21435"/>
  <c r="V90" i="21435"/>
  <c r="W90" i="21435"/>
  <c r="X90" i="21435"/>
  <c r="Y90" i="21435"/>
  <c r="Z90" i="21435"/>
  <c r="AA90" i="21435"/>
  <c r="AB90" i="21435"/>
  <c r="AC90" i="21435"/>
  <c r="AD90" i="21435"/>
  <c r="AE90" i="21435"/>
  <c r="AF90" i="21435"/>
  <c r="AG90" i="21435"/>
  <c r="AH90" i="21435"/>
  <c r="AI90" i="21435"/>
  <c r="AM90" i="21435"/>
  <c r="AN90" i="21435"/>
  <c r="AO90" i="21435"/>
  <c r="AP90" i="21435"/>
  <c r="AR90" i="21435"/>
  <c r="AS90" i="21435"/>
  <c r="AT90" i="21435"/>
  <c r="AU90" i="21435"/>
  <c r="AV90" i="21435"/>
  <c r="AW90" i="21435"/>
  <c r="AX90" i="21435"/>
  <c r="AY90" i="21435"/>
  <c r="BA90" i="21435"/>
  <c r="BB90" i="21435"/>
  <c r="BC90" i="21435"/>
  <c r="BD90" i="21435"/>
  <c r="BE90" i="21435"/>
  <c r="BF90" i="21435"/>
  <c r="BG90" i="21435"/>
  <c r="B91" i="21435"/>
  <c r="D91" i="21435"/>
  <c r="E91" i="21435"/>
  <c r="H91" i="21435"/>
  <c r="I91" i="21435"/>
  <c r="L91" i="21435"/>
  <c r="N91" i="21435"/>
  <c r="O91" i="21435"/>
  <c r="P91" i="21435"/>
  <c r="Q91" i="21435"/>
  <c r="R91" i="21435"/>
  <c r="S91" i="21435"/>
  <c r="T91" i="21435"/>
  <c r="U91" i="21435"/>
  <c r="V91" i="21435"/>
  <c r="W91" i="21435"/>
  <c r="X91" i="21435"/>
  <c r="Y91" i="21435"/>
  <c r="Z91" i="21435"/>
  <c r="AA91" i="21435"/>
  <c r="AB91" i="21435"/>
  <c r="AC91" i="21435"/>
  <c r="AD91" i="21435"/>
  <c r="AE91" i="21435"/>
  <c r="AF91" i="21435"/>
  <c r="AG91" i="21435"/>
  <c r="AH91" i="21435"/>
  <c r="AI91" i="21435"/>
  <c r="AM91" i="21435"/>
  <c r="AN91" i="21435"/>
  <c r="AO91" i="21435"/>
  <c r="AP91" i="21435"/>
  <c r="AR91" i="21435"/>
  <c r="AS91" i="21435"/>
  <c r="AU91" i="21435"/>
  <c r="AV91" i="21435"/>
  <c r="BA91" i="21435"/>
  <c r="BC91" i="21435"/>
  <c r="BD91" i="21435"/>
  <c r="BE91" i="21435"/>
  <c r="BF91" i="21435"/>
  <c r="BG91" i="21435"/>
  <c r="B92" i="21435"/>
  <c r="C92" i="21435"/>
  <c r="D92" i="21435"/>
  <c r="E92" i="21435"/>
  <c r="F92" i="21435"/>
  <c r="H92" i="21435"/>
  <c r="I92" i="21435"/>
  <c r="L92" i="21435"/>
  <c r="M92" i="21435"/>
  <c r="N92" i="21435"/>
  <c r="O92" i="21435"/>
  <c r="P92" i="21435"/>
  <c r="Q92" i="21435"/>
  <c r="R92" i="21435"/>
  <c r="S92" i="21435"/>
  <c r="T92" i="21435"/>
  <c r="U92" i="21435"/>
  <c r="V92" i="21435"/>
  <c r="W92" i="21435"/>
  <c r="X92" i="21435"/>
  <c r="Y92" i="21435"/>
  <c r="Z92" i="21435"/>
  <c r="AA92" i="21435"/>
  <c r="AB92" i="21435"/>
  <c r="AC92" i="21435"/>
  <c r="AD92" i="21435"/>
  <c r="AE92" i="21435"/>
  <c r="AF92" i="21435"/>
  <c r="AG92" i="21435"/>
  <c r="AH92" i="21435"/>
  <c r="AI92" i="21435"/>
  <c r="AM92" i="21435"/>
  <c r="AN92" i="21435"/>
  <c r="AO92" i="21435"/>
  <c r="AP92" i="21435"/>
  <c r="AR92" i="21435"/>
  <c r="AS92" i="21435"/>
  <c r="AT92" i="21435"/>
  <c r="AU92" i="21435"/>
  <c r="AV92" i="21435"/>
  <c r="AY92" i="21435"/>
  <c r="BA92" i="21435"/>
  <c r="BB92" i="21435"/>
  <c r="BC92" i="21435"/>
  <c r="BD92" i="21435"/>
  <c r="BE92" i="21435"/>
  <c r="BF92" i="21435"/>
  <c r="BG92" i="21435"/>
  <c r="B93" i="21435"/>
  <c r="D93" i="21435"/>
  <c r="E93" i="21435"/>
  <c r="F93" i="21435"/>
  <c r="H93" i="21435"/>
  <c r="I93" i="21435"/>
  <c r="L93" i="21435"/>
  <c r="N93" i="21435"/>
  <c r="O93" i="21435"/>
  <c r="P93" i="21435"/>
  <c r="Q93" i="21435"/>
  <c r="R93" i="21435"/>
  <c r="S93" i="21435"/>
  <c r="T93" i="21435"/>
  <c r="U93" i="21435"/>
  <c r="V93" i="21435"/>
  <c r="W93" i="21435"/>
  <c r="X93" i="21435"/>
  <c r="Y93" i="21435"/>
  <c r="Z93" i="21435"/>
  <c r="AA93" i="21435"/>
  <c r="AB93" i="21435"/>
  <c r="AD93" i="21435"/>
  <c r="AE93" i="21435"/>
  <c r="AF93" i="21435"/>
  <c r="AG93" i="21435"/>
  <c r="AH93" i="21435"/>
  <c r="AI93" i="21435"/>
  <c r="AM93" i="21435"/>
  <c r="AN93" i="21435"/>
  <c r="AO93" i="21435"/>
  <c r="AP93" i="21435"/>
  <c r="AR93" i="21435"/>
  <c r="AS93" i="21435"/>
  <c r="AU93" i="21435"/>
  <c r="AV93" i="21435"/>
  <c r="BA93" i="21435"/>
  <c r="BC93" i="21435"/>
  <c r="BD93" i="21435"/>
  <c r="BE93" i="21435"/>
  <c r="BF93" i="21435"/>
  <c r="BG93" i="21435"/>
  <c r="B94" i="21435"/>
  <c r="C94" i="21435"/>
  <c r="D94" i="21435"/>
  <c r="E94" i="21435"/>
  <c r="F94" i="21435"/>
  <c r="H94" i="21435"/>
  <c r="I94" i="21435"/>
  <c r="L94" i="21435"/>
  <c r="M94" i="21435"/>
  <c r="N94" i="21435"/>
  <c r="O94" i="21435"/>
  <c r="P94" i="21435"/>
  <c r="Q94" i="21435"/>
  <c r="R94" i="21435"/>
  <c r="S94" i="21435"/>
  <c r="T94" i="21435"/>
  <c r="U94" i="21435"/>
  <c r="V94" i="21435"/>
  <c r="W94" i="21435"/>
  <c r="X94" i="21435"/>
  <c r="Y94" i="21435"/>
  <c r="Z94" i="21435"/>
  <c r="AA94" i="21435"/>
  <c r="AB94" i="21435"/>
  <c r="AC94" i="21435"/>
  <c r="AD94" i="21435"/>
  <c r="AE94" i="21435"/>
  <c r="AF94" i="21435"/>
  <c r="AG94" i="21435"/>
  <c r="AH94" i="21435"/>
  <c r="AI94" i="21435"/>
  <c r="AM94" i="21435"/>
  <c r="AN94" i="21435"/>
  <c r="AO94" i="21435"/>
  <c r="AP94" i="21435"/>
  <c r="AR94" i="21435"/>
  <c r="AS94" i="21435"/>
  <c r="AT94" i="21435"/>
  <c r="AU94" i="21435"/>
  <c r="AV94" i="21435"/>
  <c r="AW94" i="21435"/>
  <c r="AX94" i="21435"/>
  <c r="AY94" i="21435"/>
  <c r="BA94" i="21435"/>
  <c r="BB94" i="21435"/>
  <c r="BC94" i="21435"/>
  <c r="BD94" i="21435"/>
  <c r="BE94" i="21435"/>
  <c r="BF94" i="21435"/>
  <c r="BG94" i="21435"/>
  <c r="B95" i="21435"/>
  <c r="D95" i="21435"/>
  <c r="E95" i="21435"/>
  <c r="H95" i="21435"/>
  <c r="I95" i="21435"/>
  <c r="L95" i="21435"/>
  <c r="N95" i="21435"/>
  <c r="O95" i="21435"/>
  <c r="P95" i="21435"/>
  <c r="Q95" i="21435"/>
  <c r="R95" i="21435"/>
  <c r="S95" i="21435"/>
  <c r="T95" i="21435"/>
  <c r="U95" i="21435"/>
  <c r="V95" i="21435"/>
  <c r="W95" i="21435"/>
  <c r="X95" i="21435"/>
  <c r="Y95" i="21435"/>
  <c r="Z95" i="21435"/>
  <c r="AA95" i="21435"/>
  <c r="AB95" i="21435"/>
  <c r="AC95" i="21435"/>
  <c r="AD95" i="21435"/>
  <c r="AE95" i="21435"/>
  <c r="AF95" i="21435"/>
  <c r="AG95" i="21435"/>
  <c r="AH95" i="21435"/>
  <c r="AI95" i="21435"/>
  <c r="AM95" i="21435"/>
  <c r="AN95" i="21435"/>
  <c r="AO95" i="21435"/>
  <c r="AP95" i="21435"/>
  <c r="AR95" i="21435"/>
  <c r="AS95" i="21435"/>
  <c r="AU95" i="21435"/>
  <c r="AV95" i="21435"/>
  <c r="BA95" i="21435"/>
  <c r="BC95" i="21435"/>
  <c r="BD95" i="21435"/>
  <c r="BE95" i="21435"/>
  <c r="BF95" i="21435"/>
  <c r="BG95" i="21435"/>
  <c r="BG89" i="21435"/>
  <c r="BF89" i="21435"/>
  <c r="BE89" i="21435"/>
  <c r="BD89" i="21435"/>
  <c r="BC89" i="21435"/>
  <c r="B128" i="21423"/>
  <c r="C128" i="21423"/>
  <c r="F128" i="21423"/>
  <c r="L128" i="21423"/>
  <c r="M128" i="21423"/>
  <c r="N128" i="21423"/>
  <c r="Q128" i="21423"/>
  <c r="R128" i="21423"/>
  <c r="S128" i="21423"/>
  <c r="T128" i="21423"/>
  <c r="W128" i="21423"/>
  <c r="AC128" i="21423"/>
  <c r="AM128" i="21423"/>
  <c r="BC128" i="21423"/>
  <c r="BD128" i="21423"/>
  <c r="BE128" i="21423"/>
  <c r="BF128" i="21423"/>
  <c r="BG128" i="21423"/>
  <c r="B129" i="21423"/>
  <c r="F129" i="21423"/>
  <c r="L129" i="21423"/>
  <c r="N129" i="21423"/>
  <c r="Q129" i="21423"/>
  <c r="R129" i="21423"/>
  <c r="S129" i="21423"/>
  <c r="T129" i="21423"/>
  <c r="W129" i="21423"/>
  <c r="AM129" i="21423"/>
  <c r="BC129" i="21423"/>
  <c r="BD129" i="21423"/>
  <c r="BE129" i="21423"/>
  <c r="BF129" i="21423"/>
  <c r="BG129" i="21423"/>
  <c r="B130" i="21423"/>
  <c r="C130" i="21423"/>
  <c r="F130" i="21423"/>
  <c r="L130" i="21423"/>
  <c r="M130" i="21423"/>
  <c r="N130" i="21423"/>
  <c r="Q130" i="21423"/>
  <c r="R130" i="21423"/>
  <c r="S130" i="21423"/>
  <c r="T130" i="21423"/>
  <c r="W130" i="21423"/>
  <c r="AC130" i="21423"/>
  <c r="AM130" i="21423"/>
  <c r="BC130" i="21423"/>
  <c r="BD130" i="21423"/>
  <c r="BE130" i="21423"/>
  <c r="BF130" i="21423"/>
  <c r="BG130" i="21423"/>
  <c r="B131" i="21423"/>
  <c r="F131" i="21423"/>
  <c r="L131" i="21423"/>
  <c r="N131" i="21423"/>
  <c r="Q131" i="21423"/>
  <c r="R131" i="21423"/>
  <c r="S131" i="21423"/>
  <c r="T131" i="21423"/>
  <c r="W131" i="21423"/>
  <c r="AM131" i="21423"/>
  <c r="BC131" i="21423"/>
  <c r="BD131" i="21423"/>
  <c r="BE131" i="21423"/>
  <c r="BF131" i="21423"/>
  <c r="BG131" i="21423"/>
  <c r="B132" i="21423"/>
  <c r="C132" i="21423"/>
  <c r="F132" i="21423"/>
  <c r="L132" i="21423"/>
  <c r="M132" i="21423"/>
  <c r="N132" i="21423"/>
  <c r="Q132" i="21423"/>
  <c r="R132" i="21423"/>
  <c r="S132" i="21423"/>
  <c r="T132" i="21423"/>
  <c r="W132" i="21423"/>
  <c r="AC132" i="21423"/>
  <c r="AM132" i="21423"/>
  <c r="BC132" i="21423"/>
  <c r="BD132" i="21423"/>
  <c r="BE132" i="21423"/>
  <c r="BF132" i="21423"/>
  <c r="BG132" i="21423"/>
  <c r="B133" i="21423"/>
  <c r="F133" i="21423"/>
  <c r="L133" i="21423"/>
  <c r="N133" i="21423"/>
  <c r="Q133" i="21423"/>
  <c r="R133" i="21423"/>
  <c r="S133" i="21423"/>
  <c r="T133" i="21423"/>
  <c r="W133" i="21423"/>
  <c r="AM133" i="21423"/>
  <c r="BC133" i="21423"/>
  <c r="BD133" i="21423"/>
  <c r="BE133" i="21423"/>
  <c r="BF133" i="21423"/>
  <c r="BG133" i="21423"/>
  <c r="B134" i="21423"/>
  <c r="C134" i="21423"/>
  <c r="F134" i="21423"/>
  <c r="L134" i="21423"/>
  <c r="M134" i="21423"/>
  <c r="N134" i="21423"/>
  <c r="Q134" i="21423"/>
  <c r="R134" i="21423"/>
  <c r="S134" i="21423"/>
  <c r="T134" i="21423"/>
  <c r="W134" i="21423"/>
  <c r="AC134" i="21423"/>
  <c r="AM134" i="21423"/>
  <c r="BC134" i="21423"/>
  <c r="BD134" i="21423"/>
  <c r="BE134" i="21423"/>
  <c r="BF134" i="21423"/>
  <c r="BG134" i="21423"/>
  <c r="B135" i="21423"/>
  <c r="F135" i="21423"/>
  <c r="L135" i="21423"/>
  <c r="N135" i="21423"/>
  <c r="Q135" i="21423"/>
  <c r="R135" i="21423"/>
  <c r="S135" i="21423"/>
  <c r="T135" i="21423"/>
  <c r="W135" i="21423"/>
  <c r="AC135" i="21423"/>
  <c r="AM135" i="21423"/>
  <c r="BC135" i="21423"/>
  <c r="BD135" i="21423"/>
  <c r="BE135" i="21423"/>
  <c r="BF135" i="21423"/>
  <c r="BG135" i="21423"/>
  <c r="B136" i="21423"/>
  <c r="C136" i="21423"/>
  <c r="F136" i="21423"/>
  <c r="L136" i="21423"/>
  <c r="M136" i="21423"/>
  <c r="N136" i="21423"/>
  <c r="Q136" i="21423"/>
  <c r="R136" i="21423"/>
  <c r="S136" i="21423"/>
  <c r="T136" i="21423"/>
  <c r="W136" i="21423"/>
  <c r="AC136" i="21423"/>
  <c r="AM136" i="21423"/>
  <c r="BC136" i="21423"/>
  <c r="BD136" i="21423"/>
  <c r="BE136" i="21423"/>
  <c r="BF136" i="21423"/>
  <c r="BG136" i="21423"/>
  <c r="B137" i="21423"/>
  <c r="F137" i="21423"/>
  <c r="L137" i="21423"/>
  <c r="N137" i="21423"/>
  <c r="Q137" i="21423"/>
  <c r="R137" i="21423"/>
  <c r="S137" i="21423"/>
  <c r="T137" i="21423"/>
  <c r="W137" i="21423"/>
  <c r="AC137" i="21423"/>
  <c r="AM137" i="21423"/>
  <c r="BC137" i="21423"/>
  <c r="BD137" i="21423"/>
  <c r="BE137" i="21423"/>
  <c r="BF137" i="21423"/>
  <c r="BG137" i="21423"/>
  <c r="B138" i="21423"/>
  <c r="C138" i="21423"/>
  <c r="F138" i="21423"/>
  <c r="L138" i="21423"/>
  <c r="M138" i="21423"/>
  <c r="N138" i="21423"/>
  <c r="Q138" i="21423"/>
  <c r="R138" i="21423"/>
  <c r="S138" i="21423"/>
  <c r="T138" i="21423"/>
  <c r="W138" i="21423"/>
  <c r="AC138" i="21423"/>
  <c r="AM138" i="21423"/>
  <c r="BC138" i="21423"/>
  <c r="BD138" i="21423"/>
  <c r="BE138" i="21423"/>
  <c r="BF138" i="21423"/>
  <c r="BG138" i="21423"/>
  <c r="B139" i="21423"/>
  <c r="F139" i="21423"/>
  <c r="L139" i="21423"/>
  <c r="N139" i="21423"/>
  <c r="Q139" i="21423"/>
  <c r="R139" i="21423"/>
  <c r="S139" i="21423"/>
  <c r="T139" i="21423"/>
  <c r="W139" i="21423"/>
  <c r="AM139" i="21423"/>
  <c r="BC139" i="21423"/>
  <c r="BD139" i="21423"/>
  <c r="BE139" i="21423"/>
  <c r="BF139" i="21423"/>
  <c r="BG139" i="21423"/>
  <c r="B140" i="21423"/>
  <c r="C140" i="21423"/>
  <c r="F140" i="21423"/>
  <c r="L140" i="21423"/>
  <c r="M140" i="21423"/>
  <c r="N140" i="21423"/>
  <c r="Q140" i="21423"/>
  <c r="R140" i="21423"/>
  <c r="S140" i="21423"/>
  <c r="T140" i="21423"/>
  <c r="W140" i="21423"/>
  <c r="AC140" i="21423"/>
  <c r="AM140" i="21423"/>
  <c r="BC140" i="21423"/>
  <c r="BD140" i="21423"/>
  <c r="BE140" i="21423"/>
  <c r="BF140" i="21423"/>
  <c r="BG140" i="21423"/>
  <c r="B141" i="21423"/>
  <c r="F141" i="21423"/>
  <c r="L141" i="21423"/>
  <c r="N141" i="21423"/>
  <c r="Q141" i="21423"/>
  <c r="R141" i="21423"/>
  <c r="S141" i="21423"/>
  <c r="T141" i="21423"/>
  <c r="W141" i="21423"/>
  <c r="AC141" i="21423"/>
  <c r="AM141" i="21423"/>
  <c r="BC141" i="21423"/>
  <c r="BD141" i="21423"/>
  <c r="BE141" i="21423"/>
  <c r="BF141" i="21423"/>
  <c r="BG141" i="21423"/>
  <c r="BG127" i="21423"/>
  <c r="BF127" i="21423"/>
  <c r="BE127" i="21423"/>
  <c r="BD127" i="21423"/>
  <c r="BC127" i="21423"/>
  <c r="B128" i="21424"/>
  <c r="C128" i="21424"/>
  <c r="D128" i="21424"/>
  <c r="E128" i="21424"/>
  <c r="F128" i="21424"/>
  <c r="G128" i="21424"/>
  <c r="H128" i="21424"/>
  <c r="I128" i="21424"/>
  <c r="L128" i="21424"/>
  <c r="M128" i="21424"/>
  <c r="N128" i="21424"/>
  <c r="O128" i="21424"/>
  <c r="P128" i="21424"/>
  <c r="Q128" i="21424"/>
  <c r="R128" i="21424"/>
  <c r="S128" i="21424"/>
  <c r="T128" i="21424"/>
  <c r="U128" i="21424"/>
  <c r="V128" i="21424"/>
  <c r="W128" i="21424"/>
  <c r="X128" i="21424"/>
  <c r="Y128" i="21424"/>
  <c r="Z128" i="21424"/>
  <c r="AA128" i="21424"/>
  <c r="AB128" i="21424"/>
  <c r="AC128" i="21424"/>
  <c r="AD128" i="21424"/>
  <c r="AE128" i="21424"/>
  <c r="AF128" i="21424"/>
  <c r="AG128" i="21424"/>
  <c r="AH128" i="21424"/>
  <c r="AI128" i="21424"/>
  <c r="AJ128" i="21424"/>
  <c r="AK128" i="21424"/>
  <c r="AL128" i="21424"/>
  <c r="AM128" i="21424"/>
  <c r="AN128" i="21424"/>
  <c r="AO128" i="21424"/>
  <c r="AP128" i="21424"/>
  <c r="AR128" i="21424"/>
  <c r="AS128" i="21424"/>
  <c r="AT128" i="21424"/>
  <c r="AU128" i="21424"/>
  <c r="AV128" i="21424"/>
  <c r="AY128" i="21424"/>
  <c r="BA128" i="21424"/>
  <c r="BB128" i="21424"/>
  <c r="BC128" i="21424"/>
  <c r="BD128" i="21424"/>
  <c r="BE128" i="21424"/>
  <c r="BF128" i="21424"/>
  <c r="BG128" i="21424"/>
  <c r="B129" i="21424"/>
  <c r="D129" i="21424"/>
  <c r="E129" i="21424"/>
  <c r="G129" i="21424"/>
  <c r="H129" i="21424"/>
  <c r="I129" i="21424"/>
  <c r="L129" i="21424"/>
  <c r="N129" i="21424"/>
  <c r="O129" i="21424"/>
  <c r="P129" i="21424"/>
  <c r="Q129" i="21424"/>
  <c r="R129" i="21424"/>
  <c r="S129" i="21424"/>
  <c r="T129" i="21424"/>
  <c r="U129" i="21424"/>
  <c r="V129" i="21424"/>
  <c r="W129" i="21424"/>
  <c r="X129" i="21424"/>
  <c r="Y129" i="21424"/>
  <c r="Z129" i="21424"/>
  <c r="AA129" i="21424"/>
  <c r="AB129" i="21424"/>
  <c r="AD129" i="21424"/>
  <c r="AE129" i="21424"/>
  <c r="AF129" i="21424"/>
  <c r="AG129" i="21424"/>
  <c r="AH129" i="21424"/>
  <c r="AI129" i="21424"/>
  <c r="AJ129" i="21424"/>
  <c r="AK129" i="21424"/>
  <c r="AL129" i="21424"/>
  <c r="AM129" i="21424"/>
  <c r="AN129" i="21424"/>
  <c r="AO129" i="21424"/>
  <c r="AP129" i="21424"/>
  <c r="AQ129" i="21424"/>
  <c r="AR129" i="21424"/>
  <c r="AS129" i="21424"/>
  <c r="AU129" i="21424"/>
  <c r="AV129" i="21424"/>
  <c r="BA129" i="21424"/>
  <c r="BC129" i="21424"/>
  <c r="BD129" i="21424"/>
  <c r="BE129" i="21424"/>
  <c r="BF129" i="21424"/>
  <c r="BG129" i="21424"/>
  <c r="B130" i="21424"/>
  <c r="C130" i="21424"/>
  <c r="D130" i="21424"/>
  <c r="E130" i="21424"/>
  <c r="F130" i="21424"/>
  <c r="G130" i="21424"/>
  <c r="H130" i="21424"/>
  <c r="I130" i="21424"/>
  <c r="L130" i="21424"/>
  <c r="M130" i="21424"/>
  <c r="N130" i="21424"/>
  <c r="O130" i="21424"/>
  <c r="P130" i="21424"/>
  <c r="Q130" i="21424"/>
  <c r="R130" i="21424"/>
  <c r="S130" i="21424"/>
  <c r="T130" i="21424"/>
  <c r="U130" i="21424"/>
  <c r="V130" i="21424"/>
  <c r="W130" i="21424"/>
  <c r="X130" i="21424"/>
  <c r="Y130" i="21424"/>
  <c r="Z130" i="21424"/>
  <c r="AA130" i="21424"/>
  <c r="AB130" i="21424"/>
  <c r="AC130" i="21424"/>
  <c r="AD130" i="21424"/>
  <c r="AE130" i="21424"/>
  <c r="AF130" i="21424"/>
  <c r="AG130" i="21424"/>
  <c r="AH130" i="21424"/>
  <c r="AI130" i="21424"/>
  <c r="AJ130" i="21424"/>
  <c r="AK130" i="21424"/>
  <c r="AL130" i="21424"/>
  <c r="AM130" i="21424"/>
  <c r="AN130" i="21424"/>
  <c r="AO130" i="21424"/>
  <c r="AP130" i="21424"/>
  <c r="AR130" i="21424"/>
  <c r="AS130" i="21424"/>
  <c r="AT130" i="21424"/>
  <c r="AU130" i="21424"/>
  <c r="AV130" i="21424"/>
  <c r="AW130" i="21424"/>
  <c r="AX130" i="21424"/>
  <c r="AY130" i="21424"/>
  <c r="BA130" i="21424"/>
  <c r="BB130" i="21424"/>
  <c r="BC130" i="21424"/>
  <c r="BD130" i="21424"/>
  <c r="BE130" i="21424"/>
  <c r="BF130" i="21424"/>
  <c r="BG130" i="21424"/>
  <c r="B131" i="21424"/>
  <c r="D131" i="21424"/>
  <c r="E131" i="21424"/>
  <c r="F131" i="21424"/>
  <c r="G131" i="21424"/>
  <c r="H131" i="21424"/>
  <c r="I131" i="21424"/>
  <c r="L131" i="21424"/>
  <c r="N131" i="21424"/>
  <c r="O131" i="21424"/>
  <c r="P131" i="21424"/>
  <c r="Q131" i="21424"/>
  <c r="R131" i="21424"/>
  <c r="S131" i="21424"/>
  <c r="T131" i="21424"/>
  <c r="U131" i="21424"/>
  <c r="V131" i="21424"/>
  <c r="W131" i="21424"/>
  <c r="X131" i="21424"/>
  <c r="Y131" i="21424"/>
  <c r="Z131" i="21424"/>
  <c r="AA131" i="21424"/>
  <c r="AB131" i="21424"/>
  <c r="AD131" i="21424"/>
  <c r="AE131" i="21424"/>
  <c r="AF131" i="21424"/>
  <c r="AG131" i="21424"/>
  <c r="AH131" i="21424"/>
  <c r="AI131" i="21424"/>
  <c r="AJ131" i="21424"/>
  <c r="AK131" i="21424"/>
  <c r="AL131" i="21424"/>
  <c r="AM131" i="21424"/>
  <c r="AN131" i="21424"/>
  <c r="AO131" i="21424"/>
  <c r="AP131" i="21424"/>
  <c r="AQ131" i="21424"/>
  <c r="AR131" i="21424"/>
  <c r="AS131" i="21424"/>
  <c r="AU131" i="21424"/>
  <c r="AV131" i="21424"/>
  <c r="BA131" i="21424"/>
  <c r="BC131" i="21424"/>
  <c r="BD131" i="21424"/>
  <c r="BE131" i="21424"/>
  <c r="BF131" i="21424"/>
  <c r="BG131" i="21424"/>
  <c r="B132" i="21424"/>
  <c r="C132" i="21424"/>
  <c r="D132" i="21424"/>
  <c r="E132" i="21424"/>
  <c r="F132" i="21424"/>
  <c r="G132" i="21424"/>
  <c r="H132" i="21424"/>
  <c r="I132" i="21424"/>
  <c r="L132" i="21424"/>
  <c r="M132" i="21424"/>
  <c r="N132" i="21424"/>
  <c r="O132" i="21424"/>
  <c r="P132" i="21424"/>
  <c r="Q132" i="21424"/>
  <c r="R132" i="21424"/>
  <c r="S132" i="21424"/>
  <c r="T132" i="21424"/>
  <c r="U132" i="21424"/>
  <c r="V132" i="21424"/>
  <c r="W132" i="21424"/>
  <c r="X132" i="21424"/>
  <c r="Y132" i="21424"/>
  <c r="Z132" i="21424"/>
  <c r="AA132" i="21424"/>
  <c r="AB132" i="21424"/>
  <c r="AC132" i="21424"/>
  <c r="AD132" i="21424"/>
  <c r="AE132" i="21424"/>
  <c r="AF132" i="21424"/>
  <c r="AG132" i="21424"/>
  <c r="AH132" i="21424"/>
  <c r="AI132" i="21424"/>
  <c r="AJ132" i="21424"/>
  <c r="AK132" i="21424"/>
  <c r="AL132" i="21424"/>
  <c r="AM132" i="21424"/>
  <c r="AN132" i="21424"/>
  <c r="AO132" i="21424"/>
  <c r="AP132" i="21424"/>
  <c r="AR132" i="21424"/>
  <c r="AS132" i="21424"/>
  <c r="AT132" i="21424"/>
  <c r="AU132" i="21424"/>
  <c r="AV132" i="21424"/>
  <c r="AW132" i="21424"/>
  <c r="AX132" i="21424"/>
  <c r="AY132" i="21424"/>
  <c r="BA132" i="21424"/>
  <c r="BB132" i="21424"/>
  <c r="BC132" i="21424"/>
  <c r="BD132" i="21424"/>
  <c r="BE132" i="21424"/>
  <c r="BF132" i="21424"/>
  <c r="BG132" i="21424"/>
  <c r="B133" i="21424"/>
  <c r="D133" i="21424"/>
  <c r="E133" i="21424"/>
  <c r="F133" i="21424"/>
  <c r="G133" i="21424"/>
  <c r="H133" i="21424"/>
  <c r="I133" i="21424"/>
  <c r="L133" i="21424"/>
  <c r="M133" i="21424"/>
  <c r="N133" i="21424"/>
  <c r="O133" i="21424"/>
  <c r="P133" i="21424"/>
  <c r="Q133" i="21424"/>
  <c r="R133" i="21424"/>
  <c r="S133" i="21424"/>
  <c r="T133" i="21424"/>
  <c r="U133" i="21424"/>
  <c r="V133" i="21424"/>
  <c r="W133" i="21424"/>
  <c r="X133" i="21424"/>
  <c r="Y133" i="21424"/>
  <c r="Z133" i="21424"/>
  <c r="AA133" i="21424"/>
  <c r="AB133" i="21424"/>
  <c r="AD133" i="21424"/>
  <c r="AE133" i="21424"/>
  <c r="AF133" i="21424"/>
  <c r="AG133" i="21424"/>
  <c r="AH133" i="21424"/>
  <c r="AI133" i="21424"/>
  <c r="AJ133" i="21424"/>
  <c r="AK133" i="21424"/>
  <c r="AL133" i="21424"/>
  <c r="AM133" i="21424"/>
  <c r="AN133" i="21424"/>
  <c r="AO133" i="21424"/>
  <c r="AP133" i="21424"/>
  <c r="AQ133" i="21424"/>
  <c r="AR133" i="21424"/>
  <c r="AS133" i="21424"/>
  <c r="AU133" i="21424"/>
  <c r="AV133" i="21424"/>
  <c r="AW133" i="21424"/>
  <c r="AX133" i="21424"/>
  <c r="AY133" i="21424"/>
  <c r="BA133" i="21424"/>
  <c r="BB133" i="21424"/>
  <c r="BC133" i="21424"/>
  <c r="BD133" i="21424"/>
  <c r="BE133" i="21424"/>
  <c r="BF133" i="21424"/>
  <c r="BG133" i="21424"/>
  <c r="B134" i="21424"/>
  <c r="C134" i="21424"/>
  <c r="D134" i="21424"/>
  <c r="E134" i="21424"/>
  <c r="F134" i="21424"/>
  <c r="G134" i="21424"/>
  <c r="H134" i="21424"/>
  <c r="I134" i="21424"/>
  <c r="L134" i="21424"/>
  <c r="M134" i="21424"/>
  <c r="N134" i="21424"/>
  <c r="O134" i="21424"/>
  <c r="P134" i="21424"/>
  <c r="Q134" i="21424"/>
  <c r="R134" i="21424"/>
  <c r="S134" i="21424"/>
  <c r="T134" i="21424"/>
  <c r="U134" i="21424"/>
  <c r="V134" i="21424"/>
  <c r="W134" i="21424"/>
  <c r="X134" i="21424"/>
  <c r="Y134" i="21424"/>
  <c r="Z134" i="21424"/>
  <c r="AA134" i="21424"/>
  <c r="AB134" i="21424"/>
  <c r="AC134" i="21424"/>
  <c r="AD134" i="21424"/>
  <c r="AE134" i="21424"/>
  <c r="AF134" i="21424"/>
  <c r="AG134" i="21424"/>
  <c r="AH134" i="21424"/>
  <c r="AI134" i="21424"/>
  <c r="AJ134" i="21424"/>
  <c r="AK134" i="21424"/>
  <c r="AL134" i="21424"/>
  <c r="AM134" i="21424"/>
  <c r="AN134" i="21424"/>
  <c r="AO134" i="21424"/>
  <c r="AP134" i="21424"/>
  <c r="AR134" i="21424"/>
  <c r="AS134" i="21424"/>
  <c r="AT134" i="21424"/>
  <c r="AU134" i="21424"/>
  <c r="AV134" i="21424"/>
  <c r="AW134" i="21424"/>
  <c r="AX134" i="21424"/>
  <c r="AY134" i="21424"/>
  <c r="BA134" i="21424"/>
  <c r="BB134" i="21424"/>
  <c r="BC134" i="21424"/>
  <c r="BD134" i="21424"/>
  <c r="BE134" i="21424"/>
  <c r="BF134" i="21424"/>
  <c r="BG134" i="21424"/>
  <c r="B135" i="21424"/>
  <c r="D135" i="21424"/>
  <c r="E135" i="21424"/>
  <c r="F135" i="21424"/>
  <c r="G135" i="21424"/>
  <c r="H135" i="21424"/>
  <c r="I135" i="21424"/>
  <c r="L135" i="21424"/>
  <c r="M135" i="21424"/>
  <c r="N135" i="21424"/>
  <c r="O135" i="21424"/>
  <c r="P135" i="21424"/>
  <c r="Q135" i="21424"/>
  <c r="R135" i="21424"/>
  <c r="S135" i="21424"/>
  <c r="T135" i="21424"/>
  <c r="U135" i="21424"/>
  <c r="V135" i="21424"/>
  <c r="W135" i="21424"/>
  <c r="X135" i="21424"/>
  <c r="Y135" i="21424"/>
  <c r="Z135" i="21424"/>
  <c r="AA135" i="21424"/>
  <c r="AB135" i="21424"/>
  <c r="AD135" i="21424"/>
  <c r="AE135" i="21424"/>
  <c r="AF135" i="21424"/>
  <c r="AG135" i="21424"/>
  <c r="AH135" i="21424"/>
  <c r="AI135" i="21424"/>
  <c r="AJ135" i="21424"/>
  <c r="AK135" i="21424"/>
  <c r="AL135" i="21424"/>
  <c r="AM135" i="21424"/>
  <c r="AN135" i="21424"/>
  <c r="AO135" i="21424"/>
  <c r="AP135" i="21424"/>
  <c r="AQ135" i="21424"/>
  <c r="AR135" i="21424"/>
  <c r="AS135" i="21424"/>
  <c r="AU135" i="21424"/>
  <c r="AV135" i="21424"/>
  <c r="AW135" i="21424"/>
  <c r="AX135" i="21424"/>
  <c r="AY135" i="21424"/>
  <c r="BA135" i="21424"/>
  <c r="BB135" i="21424"/>
  <c r="BC135" i="21424"/>
  <c r="BD135" i="21424"/>
  <c r="BE135" i="21424"/>
  <c r="BF135" i="21424"/>
  <c r="BG135" i="21424"/>
  <c r="B136" i="21424"/>
  <c r="C136" i="21424"/>
  <c r="D136" i="21424"/>
  <c r="E136" i="21424"/>
  <c r="F136" i="21424"/>
  <c r="G136" i="21424"/>
  <c r="H136" i="21424"/>
  <c r="I136" i="21424"/>
  <c r="L136" i="21424"/>
  <c r="M136" i="21424"/>
  <c r="N136" i="21424"/>
  <c r="O136" i="21424"/>
  <c r="P136" i="21424"/>
  <c r="Q136" i="21424"/>
  <c r="R136" i="21424"/>
  <c r="S136" i="21424"/>
  <c r="T136" i="21424"/>
  <c r="U136" i="21424"/>
  <c r="V136" i="21424"/>
  <c r="W136" i="21424"/>
  <c r="X136" i="21424"/>
  <c r="Y136" i="21424"/>
  <c r="Z136" i="21424"/>
  <c r="AA136" i="21424"/>
  <c r="AB136" i="21424"/>
  <c r="AC136" i="21424"/>
  <c r="AD136" i="21424"/>
  <c r="AE136" i="21424"/>
  <c r="AF136" i="21424"/>
  <c r="AG136" i="21424"/>
  <c r="AH136" i="21424"/>
  <c r="AI136" i="21424"/>
  <c r="AJ136" i="21424"/>
  <c r="AK136" i="21424"/>
  <c r="AL136" i="21424"/>
  <c r="AM136" i="21424"/>
  <c r="AN136" i="21424"/>
  <c r="AO136" i="21424"/>
  <c r="AP136" i="21424"/>
  <c r="AR136" i="21424"/>
  <c r="AS136" i="21424"/>
  <c r="AT136" i="21424"/>
  <c r="AU136" i="21424"/>
  <c r="AV136" i="21424"/>
  <c r="AW136" i="21424"/>
  <c r="AX136" i="21424"/>
  <c r="AY136" i="21424"/>
  <c r="BA136" i="21424"/>
  <c r="BB136" i="21424"/>
  <c r="BC136" i="21424"/>
  <c r="BD136" i="21424"/>
  <c r="BE136" i="21424"/>
  <c r="BF136" i="21424"/>
  <c r="BG136" i="21424"/>
  <c r="B137" i="21424"/>
  <c r="D137" i="21424"/>
  <c r="E137" i="21424"/>
  <c r="F137" i="21424"/>
  <c r="G137" i="21424"/>
  <c r="H137" i="21424"/>
  <c r="I137" i="21424"/>
  <c r="L137" i="21424"/>
  <c r="M137" i="21424"/>
  <c r="N137" i="21424"/>
  <c r="O137" i="21424"/>
  <c r="P137" i="21424"/>
  <c r="Q137" i="21424"/>
  <c r="R137" i="21424"/>
  <c r="S137" i="21424"/>
  <c r="T137" i="21424"/>
  <c r="U137" i="21424"/>
  <c r="V137" i="21424"/>
  <c r="W137" i="21424"/>
  <c r="X137" i="21424"/>
  <c r="Y137" i="21424"/>
  <c r="Z137" i="21424"/>
  <c r="AA137" i="21424"/>
  <c r="AB137" i="21424"/>
  <c r="AD137" i="21424"/>
  <c r="AE137" i="21424"/>
  <c r="AF137" i="21424"/>
  <c r="AG137" i="21424"/>
  <c r="AH137" i="21424"/>
  <c r="AI137" i="21424"/>
  <c r="AJ137" i="21424"/>
  <c r="AK137" i="21424"/>
  <c r="AL137" i="21424"/>
  <c r="AM137" i="21424"/>
  <c r="AN137" i="21424"/>
  <c r="AO137" i="21424"/>
  <c r="AP137" i="21424"/>
  <c r="AQ137" i="21424"/>
  <c r="AR137" i="21424"/>
  <c r="AS137" i="21424"/>
  <c r="AU137" i="21424"/>
  <c r="AV137" i="21424"/>
  <c r="AW137" i="21424"/>
  <c r="AX137" i="21424"/>
  <c r="AY137" i="21424"/>
  <c r="BA137" i="21424"/>
  <c r="BB137" i="21424"/>
  <c r="BC137" i="21424"/>
  <c r="BD137" i="21424"/>
  <c r="BE137" i="21424"/>
  <c r="BF137" i="21424"/>
  <c r="BG137" i="21424"/>
  <c r="B138" i="21424"/>
  <c r="C138" i="21424"/>
  <c r="D138" i="21424"/>
  <c r="E138" i="21424"/>
  <c r="F138" i="21424"/>
  <c r="G138" i="21424"/>
  <c r="H138" i="21424"/>
  <c r="I138" i="21424"/>
  <c r="L138" i="21424"/>
  <c r="M138" i="21424"/>
  <c r="N138" i="21424"/>
  <c r="O138" i="21424"/>
  <c r="P138" i="21424"/>
  <c r="Q138" i="21424"/>
  <c r="R138" i="21424"/>
  <c r="S138" i="21424"/>
  <c r="T138" i="21424"/>
  <c r="U138" i="21424"/>
  <c r="V138" i="21424"/>
  <c r="W138" i="21424"/>
  <c r="X138" i="21424"/>
  <c r="Y138" i="21424"/>
  <c r="Z138" i="21424"/>
  <c r="AA138" i="21424"/>
  <c r="AB138" i="21424"/>
  <c r="AC138" i="21424"/>
  <c r="AD138" i="21424"/>
  <c r="AE138" i="21424"/>
  <c r="AF138" i="21424"/>
  <c r="AG138" i="21424"/>
  <c r="AH138" i="21424"/>
  <c r="AI138" i="21424"/>
  <c r="AJ138" i="21424"/>
  <c r="AK138" i="21424"/>
  <c r="AL138" i="21424"/>
  <c r="AM138" i="21424"/>
  <c r="AN138" i="21424"/>
  <c r="AO138" i="21424"/>
  <c r="AP138" i="21424"/>
  <c r="AR138" i="21424"/>
  <c r="AS138" i="21424"/>
  <c r="AT138" i="21424"/>
  <c r="AU138" i="21424"/>
  <c r="AV138" i="21424"/>
  <c r="AY138" i="21424"/>
  <c r="BA138" i="21424"/>
  <c r="BB138" i="21424"/>
  <c r="BC138" i="21424"/>
  <c r="BD138" i="21424"/>
  <c r="BE138" i="21424"/>
  <c r="BF138" i="21424"/>
  <c r="BG138" i="21424"/>
  <c r="B139" i="21424"/>
  <c r="D139" i="21424"/>
  <c r="E139" i="21424"/>
  <c r="F139" i="21424"/>
  <c r="G139" i="21424"/>
  <c r="H139" i="21424"/>
  <c r="I139" i="21424"/>
  <c r="L139" i="21424"/>
  <c r="N139" i="21424"/>
  <c r="O139" i="21424"/>
  <c r="P139" i="21424"/>
  <c r="Q139" i="21424"/>
  <c r="R139" i="21424"/>
  <c r="S139" i="21424"/>
  <c r="T139" i="21424"/>
  <c r="U139" i="21424"/>
  <c r="V139" i="21424"/>
  <c r="W139" i="21424"/>
  <c r="X139" i="21424"/>
  <c r="Y139" i="21424"/>
  <c r="Z139" i="21424"/>
  <c r="AA139" i="21424"/>
  <c r="AB139" i="21424"/>
  <c r="AC139" i="21424"/>
  <c r="AD139" i="21424"/>
  <c r="AE139" i="21424"/>
  <c r="AF139" i="21424"/>
  <c r="AG139" i="21424"/>
  <c r="AH139" i="21424"/>
  <c r="AI139" i="21424"/>
  <c r="AJ139" i="21424"/>
  <c r="AK139" i="21424"/>
  <c r="AL139" i="21424"/>
  <c r="AM139" i="21424"/>
  <c r="AN139" i="21424"/>
  <c r="AO139" i="21424"/>
  <c r="AP139" i="21424"/>
  <c r="AQ139" i="21424"/>
  <c r="AR139" i="21424"/>
  <c r="AS139" i="21424"/>
  <c r="AU139" i="21424"/>
  <c r="AV139" i="21424"/>
  <c r="BA139" i="21424"/>
  <c r="BC139" i="21424"/>
  <c r="BD139" i="21424"/>
  <c r="BE139" i="21424"/>
  <c r="BF139" i="21424"/>
  <c r="BG139" i="21424"/>
  <c r="B140" i="21424"/>
  <c r="C140" i="21424"/>
  <c r="D140" i="21424"/>
  <c r="E140" i="21424"/>
  <c r="F140" i="21424"/>
  <c r="G140" i="21424"/>
  <c r="H140" i="21424"/>
  <c r="I140" i="21424"/>
  <c r="L140" i="21424"/>
  <c r="M140" i="21424"/>
  <c r="N140" i="21424"/>
  <c r="O140" i="21424"/>
  <c r="P140" i="21424"/>
  <c r="Q140" i="21424"/>
  <c r="R140" i="21424"/>
  <c r="S140" i="21424"/>
  <c r="T140" i="21424"/>
  <c r="U140" i="21424"/>
  <c r="V140" i="21424"/>
  <c r="W140" i="21424"/>
  <c r="X140" i="21424"/>
  <c r="Y140" i="21424"/>
  <c r="Z140" i="21424"/>
  <c r="AA140" i="21424"/>
  <c r="AB140" i="21424"/>
  <c r="AC140" i="21424"/>
  <c r="AD140" i="21424"/>
  <c r="AE140" i="21424"/>
  <c r="AF140" i="21424"/>
  <c r="AG140" i="21424"/>
  <c r="AH140" i="21424"/>
  <c r="AI140" i="21424"/>
  <c r="AJ140" i="21424"/>
  <c r="AK140" i="21424"/>
  <c r="AL140" i="21424"/>
  <c r="AM140" i="21424"/>
  <c r="AN140" i="21424"/>
  <c r="AO140" i="21424"/>
  <c r="AP140" i="21424"/>
  <c r="AR140" i="21424"/>
  <c r="AS140" i="21424"/>
  <c r="AT140" i="21424"/>
  <c r="AU140" i="21424"/>
  <c r="AV140" i="21424"/>
  <c r="AW140" i="21424"/>
  <c r="AX140" i="21424"/>
  <c r="AY140" i="21424"/>
  <c r="BA140" i="21424"/>
  <c r="BB140" i="21424"/>
  <c r="BC140" i="21424"/>
  <c r="BD140" i="21424"/>
  <c r="BE140" i="21424"/>
  <c r="BF140" i="21424"/>
  <c r="BG140" i="21424"/>
  <c r="B141" i="21424"/>
  <c r="D141" i="21424"/>
  <c r="E141" i="21424"/>
  <c r="F141" i="21424"/>
  <c r="G141" i="21424"/>
  <c r="H141" i="21424"/>
  <c r="I141" i="21424"/>
  <c r="L141" i="21424"/>
  <c r="N141" i="21424"/>
  <c r="O141" i="21424"/>
  <c r="P141" i="21424"/>
  <c r="Q141" i="21424"/>
  <c r="R141" i="21424"/>
  <c r="S141" i="21424"/>
  <c r="T141" i="21424"/>
  <c r="U141" i="21424"/>
  <c r="V141" i="21424"/>
  <c r="W141" i="21424"/>
  <c r="X141" i="21424"/>
  <c r="Y141" i="21424"/>
  <c r="Z141" i="21424"/>
  <c r="AA141" i="21424"/>
  <c r="AB141" i="21424"/>
  <c r="AD141" i="21424"/>
  <c r="AE141" i="21424"/>
  <c r="AF141" i="21424"/>
  <c r="AG141" i="21424"/>
  <c r="AH141" i="21424"/>
  <c r="AI141" i="21424"/>
  <c r="AJ141" i="21424"/>
  <c r="AK141" i="21424"/>
  <c r="AL141" i="21424"/>
  <c r="AM141" i="21424"/>
  <c r="AN141" i="21424"/>
  <c r="AO141" i="21424"/>
  <c r="AP141" i="21424"/>
  <c r="AQ141" i="21424"/>
  <c r="AR141" i="21424"/>
  <c r="AS141" i="21424"/>
  <c r="AU141" i="21424"/>
  <c r="AV141" i="21424"/>
  <c r="BA141" i="21424"/>
  <c r="BC141" i="21424"/>
  <c r="BD141" i="21424"/>
  <c r="BE141" i="21424"/>
  <c r="BF141" i="21424"/>
  <c r="BG141" i="21424"/>
  <c r="B142" i="21424"/>
  <c r="C142" i="21424"/>
  <c r="D142" i="21424"/>
  <c r="E142" i="21424"/>
  <c r="F142" i="21424"/>
  <c r="G142" i="21424"/>
  <c r="H142" i="21424"/>
  <c r="I142" i="21424"/>
  <c r="L142" i="21424"/>
  <c r="M142" i="21424"/>
  <c r="N142" i="21424"/>
  <c r="O142" i="21424"/>
  <c r="P142" i="21424"/>
  <c r="Q142" i="21424"/>
  <c r="R142" i="21424"/>
  <c r="S142" i="21424"/>
  <c r="T142" i="21424"/>
  <c r="U142" i="21424"/>
  <c r="V142" i="21424"/>
  <c r="W142" i="21424"/>
  <c r="X142" i="21424"/>
  <c r="Y142" i="21424"/>
  <c r="Z142" i="21424"/>
  <c r="AA142" i="21424"/>
  <c r="AB142" i="21424"/>
  <c r="AC142" i="21424"/>
  <c r="AD142" i="21424"/>
  <c r="AE142" i="21424"/>
  <c r="AF142" i="21424"/>
  <c r="AG142" i="21424"/>
  <c r="AH142" i="21424"/>
  <c r="AI142" i="21424"/>
  <c r="AJ142" i="21424"/>
  <c r="AK142" i="21424"/>
  <c r="AL142" i="21424"/>
  <c r="AM142" i="21424"/>
  <c r="AN142" i="21424"/>
  <c r="AO142" i="21424"/>
  <c r="AP142" i="21424"/>
  <c r="AR142" i="21424"/>
  <c r="AS142" i="21424"/>
  <c r="AT142" i="21424"/>
  <c r="AU142" i="21424"/>
  <c r="AV142" i="21424"/>
  <c r="AW142" i="21424"/>
  <c r="AX142" i="21424"/>
  <c r="AY142" i="21424"/>
  <c r="BA142" i="21424"/>
  <c r="BB142" i="21424"/>
  <c r="BC142" i="21424"/>
  <c r="BD142" i="21424"/>
  <c r="BE142" i="21424"/>
  <c r="BF142" i="21424"/>
  <c r="BG142" i="21424"/>
  <c r="B143" i="21424"/>
  <c r="D143" i="21424"/>
  <c r="E143" i="21424"/>
  <c r="F143" i="21424"/>
  <c r="G143" i="21424"/>
  <c r="H143" i="21424"/>
  <c r="I143" i="21424"/>
  <c r="L143" i="21424"/>
  <c r="N143" i="21424"/>
  <c r="O143" i="21424"/>
  <c r="P143" i="21424"/>
  <c r="Q143" i="21424"/>
  <c r="R143" i="21424"/>
  <c r="S143" i="21424"/>
  <c r="T143" i="21424"/>
  <c r="U143" i="21424"/>
  <c r="V143" i="21424"/>
  <c r="W143" i="21424"/>
  <c r="X143" i="21424"/>
  <c r="Y143" i="21424"/>
  <c r="Z143" i="21424"/>
  <c r="AA143" i="21424"/>
  <c r="AB143" i="21424"/>
  <c r="AD143" i="21424"/>
  <c r="AE143" i="21424"/>
  <c r="AF143" i="21424"/>
  <c r="AG143" i="21424"/>
  <c r="AH143" i="21424"/>
  <c r="AI143" i="21424"/>
  <c r="AJ143" i="21424"/>
  <c r="AK143" i="21424"/>
  <c r="AL143" i="21424"/>
  <c r="AM143" i="21424"/>
  <c r="AN143" i="21424"/>
  <c r="AO143" i="21424"/>
  <c r="AP143" i="21424"/>
  <c r="AQ143" i="21424"/>
  <c r="AR143" i="21424"/>
  <c r="AS143" i="21424"/>
  <c r="AU143" i="21424"/>
  <c r="AV143" i="21424"/>
  <c r="BA143" i="21424"/>
  <c r="BC143" i="21424"/>
  <c r="BD143" i="21424"/>
  <c r="BE143" i="21424"/>
  <c r="BF143" i="21424"/>
  <c r="BG143" i="21424"/>
  <c r="BG127" i="21424"/>
  <c r="BF127" i="21424"/>
  <c r="BE127" i="21424"/>
  <c r="BD127" i="21424"/>
  <c r="BC127" i="21424"/>
  <c r="M33" i="21399" l="1"/>
  <c r="M31" i="21399"/>
  <c r="L43" i="21406" l="1"/>
  <c r="AT142" i="21417"/>
  <c r="AT146" i="21417"/>
  <c r="AT144" i="21417"/>
  <c r="AQ147" i="21417"/>
  <c r="AQ145" i="21417"/>
  <c r="AQ141" i="21417"/>
  <c r="AQ143" i="21417"/>
  <c r="AT140" i="21417"/>
  <c r="L64" i="21406" l="1"/>
  <c r="L63" i="21406"/>
  <c r="L62" i="21406"/>
  <c r="P61" i="21406"/>
  <c r="N61" i="21406"/>
  <c r="M61" i="21406"/>
  <c r="L61" i="21406"/>
  <c r="L60" i="21406"/>
  <c r="L25" i="21406"/>
  <c r="L24" i="21406"/>
  <c r="L23" i="21406"/>
  <c r="P22" i="21406"/>
  <c r="N22" i="21406"/>
  <c r="M22" i="21406"/>
  <c r="L22" i="21406"/>
  <c r="L21" i="21406"/>
  <c r="AY220" i="108" l="1"/>
  <c r="M220" i="108"/>
  <c r="AT33" i="21427"/>
  <c r="AC33" i="21427" l="1"/>
  <c r="L16" i="21406"/>
  <c r="L76" i="21406"/>
  <c r="L75" i="21406"/>
  <c r="L74" i="21406"/>
  <c r="L73" i="21406"/>
  <c r="L72" i="21406"/>
  <c r="L71" i="21406"/>
  <c r="L70" i="21406"/>
  <c r="L69" i="21406"/>
  <c r="L68" i="21406"/>
  <c r="L67" i="21406"/>
  <c r="L66" i="21406"/>
  <c r="L65" i="21406"/>
  <c r="L59" i="21406"/>
  <c r="L58" i="21406"/>
  <c r="L57" i="21406"/>
  <c r="L56" i="21406"/>
  <c r="L55" i="21406"/>
  <c r="L54" i="21406"/>
  <c r="L53" i="21406"/>
  <c r="L52" i="21406"/>
  <c r="L51" i="21406"/>
  <c r="L50" i="21406"/>
  <c r="L49" i="21406"/>
  <c r="L48" i="21406"/>
  <c r="L47" i="21406"/>
  <c r="L46" i="21406"/>
  <c r="L45" i="21406"/>
  <c r="L44" i="21406"/>
  <c r="S4" i="21406" l="1"/>
  <c r="C44" i="21397" l="1"/>
  <c r="C43" i="21397"/>
  <c r="C41" i="21397"/>
  <c r="C40" i="21397"/>
  <c r="C47" i="21397" s="1"/>
  <c r="C38" i="21397"/>
  <c r="C33" i="21397"/>
  <c r="C32" i="21397"/>
  <c r="C31" i="21397" s="1"/>
  <c r="C30" i="21397"/>
  <c r="C35" i="21397" s="1"/>
  <c r="C24" i="21397"/>
  <c r="C21" i="21397"/>
  <c r="C17" i="21397"/>
  <c r="C16" i="21397"/>
  <c r="C15" i="21397"/>
  <c r="C14" i="21397"/>
  <c r="C12" i="21397"/>
  <c r="C19" i="21397" s="1"/>
  <c r="C8" i="21397"/>
  <c r="C7" i="21397"/>
  <c r="C10" i="21397" s="1"/>
  <c r="C5" i="21397"/>
  <c r="G16" i="21413"/>
  <c r="I16" i="21413" s="1"/>
  <c r="G15" i="21413"/>
  <c r="I15" i="21413" s="1"/>
  <c r="I13" i="21413"/>
  <c r="G12" i="21413"/>
  <c r="I12" i="21413" s="1"/>
  <c r="I11" i="21413"/>
  <c r="G9" i="21413"/>
  <c r="I9" i="21413" s="1"/>
  <c r="G8" i="21413"/>
  <c r="I8" i="21413" s="1"/>
  <c r="G7" i="21413"/>
  <c r="I7" i="21413" s="1"/>
  <c r="P57" i="21406"/>
  <c r="P58" i="21406" s="1"/>
  <c r="N57" i="21406"/>
  <c r="N58" i="21406" s="1"/>
  <c r="M57" i="21406"/>
  <c r="M58" i="21406" s="1"/>
  <c r="P51" i="21406"/>
  <c r="N51" i="21406"/>
  <c r="M51" i="21406"/>
  <c r="P48" i="21406"/>
  <c r="N48" i="21406"/>
  <c r="M48" i="21406"/>
  <c r="P45" i="21406"/>
  <c r="N45" i="21406"/>
  <c r="M45" i="21406"/>
  <c r="L37" i="21406"/>
  <c r="L36" i="21406"/>
  <c r="L35" i="21406"/>
  <c r="L34" i="21406"/>
  <c r="L33" i="21406"/>
  <c r="E33" i="21406"/>
  <c r="A33" i="21406"/>
  <c r="L32" i="21406"/>
  <c r="E32" i="21406"/>
  <c r="A32" i="21406"/>
  <c r="L31" i="21406"/>
  <c r="E31" i="21406"/>
  <c r="A31" i="21406"/>
  <c r="P30" i="21406"/>
  <c r="N30" i="21406"/>
  <c r="M30" i="21406"/>
  <c r="L30" i="21406"/>
  <c r="E30" i="21406"/>
  <c r="A30" i="21406"/>
  <c r="L29" i="21406"/>
  <c r="E29" i="21406"/>
  <c r="A29" i="21406"/>
  <c r="L28" i="21406"/>
  <c r="E28" i="21406"/>
  <c r="A28" i="21406"/>
  <c r="L27" i="21406"/>
  <c r="E27" i="21406"/>
  <c r="A27" i="21406"/>
  <c r="L26" i="21406"/>
  <c r="E26" i="21406"/>
  <c r="A26" i="21406"/>
  <c r="E25" i="21406"/>
  <c r="A25" i="21406"/>
  <c r="E24" i="21406"/>
  <c r="A24" i="21406"/>
  <c r="E23" i="21406"/>
  <c r="A23" i="21406"/>
  <c r="E22" i="21406"/>
  <c r="A22" i="21406"/>
  <c r="E21" i="21406"/>
  <c r="A21" i="21406"/>
  <c r="L20" i="21406"/>
  <c r="E20" i="21406"/>
  <c r="A20" i="21406"/>
  <c r="P19" i="21406"/>
  <c r="N19" i="21406"/>
  <c r="M19" i="21406"/>
  <c r="L19" i="21406"/>
  <c r="E19" i="21406"/>
  <c r="A19" i="21406"/>
  <c r="P18" i="21406"/>
  <c r="N18" i="21406"/>
  <c r="M18" i="21406"/>
  <c r="L18" i="21406"/>
  <c r="E18" i="21406"/>
  <c r="A18" i="21406"/>
  <c r="L17" i="21406"/>
  <c r="E17" i="21406"/>
  <c r="A17" i="21406"/>
  <c r="E16" i="21406"/>
  <c r="A16" i="21406"/>
  <c r="L15" i="21406"/>
  <c r="E15" i="21406"/>
  <c r="A15" i="21406"/>
  <c r="L14" i="21406"/>
  <c r="E14" i="21406"/>
  <c r="A14" i="21406"/>
  <c r="L13" i="21406"/>
  <c r="E13" i="21406"/>
  <c r="A13" i="21406"/>
  <c r="P12" i="21406"/>
  <c r="N12" i="21406"/>
  <c r="M12" i="21406"/>
  <c r="L12" i="21406"/>
  <c r="E12" i="21406"/>
  <c r="A12" i="21406"/>
  <c r="L11" i="21406"/>
  <c r="E11" i="21406"/>
  <c r="A11" i="21406"/>
  <c r="L10" i="21406"/>
  <c r="E10" i="21406"/>
  <c r="A10" i="21406"/>
  <c r="P9" i="21406"/>
  <c r="N9" i="21406"/>
  <c r="M9" i="21406"/>
  <c r="L9" i="21406"/>
  <c r="E9" i="21406"/>
  <c r="A9" i="21406"/>
  <c r="L8" i="21406"/>
  <c r="E8" i="21406"/>
  <c r="A8" i="21406"/>
  <c r="L7" i="21406"/>
  <c r="E7" i="21406"/>
  <c r="A7" i="21406"/>
  <c r="AW73" i="21435" s="1"/>
  <c r="P6" i="21406"/>
  <c r="N6" i="21406"/>
  <c r="M6" i="21406"/>
  <c r="L6" i="21406"/>
  <c r="E6" i="21406"/>
  <c r="A6" i="21406"/>
  <c r="L5" i="21406"/>
  <c r="E5" i="21406"/>
  <c r="AX5" i="21424" s="1"/>
  <c r="M5" i="21424" s="1"/>
  <c r="A5" i="21406"/>
  <c r="L4" i="21406"/>
  <c r="E4" i="21406"/>
  <c r="A4" i="21406"/>
  <c r="A251" i="21437"/>
  <c r="A217" i="21437"/>
  <c r="A178" i="21437"/>
  <c r="A173" i="21437"/>
  <c r="A172" i="21437"/>
  <c r="A171" i="21437"/>
  <c r="A170" i="21437"/>
  <c r="A169" i="21437"/>
  <c r="A168" i="21437"/>
  <c r="A167" i="21437"/>
  <c r="A166" i="21437"/>
  <c r="A165" i="21437"/>
  <c r="A160" i="21437"/>
  <c r="A159" i="21437"/>
  <c r="BB99" i="21434" s="1"/>
  <c r="A158" i="21437"/>
  <c r="A157" i="21437"/>
  <c r="A156" i="21437"/>
  <c r="A155" i="21437"/>
  <c r="A154" i="21437"/>
  <c r="A153" i="21437"/>
  <c r="A152" i="21437"/>
  <c r="A144" i="21437"/>
  <c r="A143" i="21437"/>
  <c r="A142" i="21437"/>
  <c r="A141" i="21437"/>
  <c r="BB5" i="21423" s="1"/>
  <c r="A140" i="21437"/>
  <c r="A139" i="21437"/>
  <c r="A138" i="21437"/>
  <c r="A137" i="21437"/>
  <c r="A136" i="21437"/>
  <c r="A130" i="21437"/>
  <c r="A123" i="21437"/>
  <c r="A122" i="21437"/>
  <c r="A121" i="21437"/>
  <c r="BB92" i="21428" s="1"/>
  <c r="A120" i="21437"/>
  <c r="BB60" i="21430" s="1"/>
  <c r="A114" i="21437"/>
  <c r="A113" i="21437"/>
  <c r="A112" i="21437"/>
  <c r="A111" i="21437"/>
  <c r="A110" i="21437"/>
  <c r="A109" i="21437"/>
  <c r="A108" i="21437"/>
  <c r="A107" i="21437"/>
  <c r="A106" i="21437"/>
  <c r="A101" i="21437"/>
  <c r="A100" i="21437"/>
  <c r="A99" i="21437"/>
  <c r="A98" i="21437"/>
  <c r="A97" i="21437"/>
  <c r="A96" i="21437"/>
  <c r="A95" i="21437"/>
  <c r="A94" i="21437"/>
  <c r="A93" i="21437"/>
  <c r="A88" i="21437"/>
  <c r="A87" i="21437"/>
  <c r="A86" i="21437"/>
  <c r="A85" i="21437"/>
  <c r="A84" i="21437"/>
  <c r="A83" i="21437"/>
  <c r="A82" i="21437"/>
  <c r="A81" i="21437"/>
  <c r="A80" i="21437"/>
  <c r="A75" i="21437"/>
  <c r="A74" i="21437"/>
  <c r="A73" i="21437"/>
  <c r="A72" i="21437"/>
  <c r="A71" i="21437"/>
  <c r="A70" i="21437"/>
  <c r="A69" i="21437"/>
  <c r="A68" i="21437"/>
  <c r="A67" i="21437"/>
  <c r="A62" i="21437"/>
  <c r="A61" i="21437"/>
  <c r="A60" i="21437"/>
  <c r="A59" i="21437"/>
  <c r="A58" i="21437"/>
  <c r="A57" i="21437"/>
  <c r="A56" i="21437"/>
  <c r="A55" i="21437"/>
  <c r="A54" i="21437"/>
  <c r="A49" i="21437"/>
  <c r="A48" i="21437"/>
  <c r="A47" i="21437"/>
  <c r="A46" i="21437"/>
  <c r="A45" i="21437"/>
  <c r="A44" i="21437"/>
  <c r="A43" i="21437"/>
  <c r="A42" i="21437"/>
  <c r="A41" i="21437"/>
  <c r="A36" i="21437"/>
  <c r="A35" i="21437"/>
  <c r="A34" i="21437"/>
  <c r="A33" i="21437"/>
  <c r="A32" i="21437"/>
  <c r="A31" i="21437"/>
  <c r="A30" i="21437"/>
  <c r="A29" i="21437"/>
  <c r="A28" i="21437"/>
  <c r="A23" i="21437"/>
  <c r="BB101" i="21433" s="1"/>
  <c r="A22" i="21437"/>
  <c r="BB9" i="21422" s="1"/>
  <c r="A21" i="21437"/>
  <c r="A20" i="21437"/>
  <c r="A19" i="21437"/>
  <c r="BB97" i="21434" s="1"/>
  <c r="A18" i="21437"/>
  <c r="A17" i="21437"/>
  <c r="A16" i="21437"/>
  <c r="A15" i="21437"/>
  <c r="E343" i="21409"/>
  <c r="E342" i="21409"/>
  <c r="E341" i="21409"/>
  <c r="E340" i="21409"/>
  <c r="E339" i="21409"/>
  <c r="E338" i="21409"/>
  <c r="E337" i="21409"/>
  <c r="E336" i="21409"/>
  <c r="E335" i="21409"/>
  <c r="E334" i="21409"/>
  <c r="E333" i="21409"/>
  <c r="E332" i="21409"/>
  <c r="E331" i="21409"/>
  <c r="E330" i="21409"/>
  <c r="E329" i="21409"/>
  <c r="E328" i="21409"/>
  <c r="E344" i="21409" s="1"/>
  <c r="E310" i="21409"/>
  <c r="E291" i="21409"/>
  <c r="E288" i="21409"/>
  <c r="E287" i="21409"/>
  <c r="E286" i="21409"/>
  <c r="E285" i="21409"/>
  <c r="E284" i="21409"/>
  <c r="E282" i="21409"/>
  <c r="E293" i="21409" s="1"/>
  <c r="E275" i="21409"/>
  <c r="E261" i="21409"/>
  <c r="E244" i="21409"/>
  <c r="E243" i="21409"/>
  <c r="E242" i="21409"/>
  <c r="E240" i="21409"/>
  <c r="E239" i="21409"/>
  <c r="E238" i="21409"/>
  <c r="E235" i="21409"/>
  <c r="E246" i="21409" s="1"/>
  <c r="E222" i="21409"/>
  <c r="E219" i="21409"/>
  <c r="E216" i="21409"/>
  <c r="E212" i="21409"/>
  <c r="E208" i="21409"/>
  <c r="E200" i="21409"/>
  <c r="E199" i="21409"/>
  <c r="E198" i="21409"/>
  <c r="E197" i="21409"/>
  <c r="E196" i="21409"/>
  <c r="E195" i="21409"/>
  <c r="E194" i="21409"/>
  <c r="E193" i="21409"/>
  <c r="E201" i="21409" s="1"/>
  <c r="E169" i="21409"/>
  <c r="E168" i="21409"/>
  <c r="E167" i="21409"/>
  <c r="E166" i="21409"/>
  <c r="E165" i="21409"/>
  <c r="E171" i="21409" s="1"/>
  <c r="E160" i="21409"/>
  <c r="E155" i="21409"/>
  <c r="E151" i="21409"/>
  <c r="E147" i="21409"/>
  <c r="E140" i="21409"/>
  <c r="E139" i="21409"/>
  <c r="E138" i="21409"/>
  <c r="E137" i="21409"/>
  <c r="E136" i="21409"/>
  <c r="E135" i="21409"/>
  <c r="E132" i="21409"/>
  <c r="E131" i="21409"/>
  <c r="E130" i="21409"/>
  <c r="E129" i="21409"/>
  <c r="E128" i="21409"/>
  <c r="E124" i="21409"/>
  <c r="E123" i="21409"/>
  <c r="E141" i="21409" s="1"/>
  <c r="E117" i="21409"/>
  <c r="E27" i="21409"/>
  <c r="E26" i="21409"/>
  <c r="E25" i="21409"/>
  <c r="E24" i="21409"/>
  <c r="E21" i="21409"/>
  <c r="E20" i="21409"/>
  <c r="E19" i="21409"/>
  <c r="E31" i="21409" s="1"/>
  <c r="E13" i="21409"/>
  <c r="E12" i="21409"/>
  <c r="E11" i="21409"/>
  <c r="G369" i="21408"/>
  <c r="G368" i="21408"/>
  <c r="G367" i="21408"/>
  <c r="G366" i="21408"/>
  <c r="G365" i="21408"/>
  <c r="G364" i="21408"/>
  <c r="G363" i="21408"/>
  <c r="G362" i="21408"/>
  <c r="G361" i="21408"/>
  <c r="G360" i="21408"/>
  <c r="G359" i="21408"/>
  <c r="G358" i="21408"/>
  <c r="G357" i="21408"/>
  <c r="G355" i="21408"/>
  <c r="G354" i="21408"/>
  <c r="G353" i="21408"/>
  <c r="G352" i="21408"/>
  <c r="AA348" i="21408"/>
  <c r="Y348" i="21408"/>
  <c r="X348" i="21408"/>
  <c r="W348" i="21408"/>
  <c r="V348" i="21408"/>
  <c r="S348" i="21408"/>
  <c r="K348" i="21408"/>
  <c r="J348" i="21408"/>
  <c r="Z341" i="21408"/>
  <c r="Z342" i="21408" s="1"/>
  <c r="Y341" i="21408"/>
  <c r="Y342" i="21408" s="1"/>
  <c r="X341" i="21408"/>
  <c r="X342" i="21408" s="1"/>
  <c r="W341" i="21408"/>
  <c r="W342" i="21408" s="1"/>
  <c r="V341" i="21408"/>
  <c r="V342" i="21408" s="1"/>
  <c r="S341" i="21408"/>
  <c r="S342" i="21408" s="1"/>
  <c r="K341" i="21408"/>
  <c r="K342" i="21408" s="1"/>
  <c r="J341" i="21408"/>
  <c r="J342" i="21408" s="1"/>
  <c r="AM340" i="21408"/>
  <c r="AL340" i="21408"/>
  <c r="AK340" i="21408"/>
  <c r="AJ340" i="21408"/>
  <c r="AI340" i="21408"/>
  <c r="AG340" i="21408"/>
  <c r="AF340" i="21408"/>
  <c r="AE340" i="21408"/>
  <c r="AD340" i="21408"/>
  <c r="AC340" i="21408"/>
  <c r="AB340" i="21408"/>
  <c r="AA340" i="21408"/>
  <c r="Z340" i="21408"/>
  <c r="Y340" i="21408"/>
  <c r="X340" i="21408"/>
  <c r="V340" i="21408"/>
  <c r="U340" i="21408"/>
  <c r="T340" i="21408"/>
  <c r="S340" i="21408"/>
  <c r="R340" i="21408"/>
  <c r="Q340" i="21408"/>
  <c r="P340" i="21408"/>
  <c r="N340" i="21408"/>
  <c r="M340" i="21408"/>
  <c r="L340" i="21408"/>
  <c r="K340" i="21408"/>
  <c r="J340" i="21408"/>
  <c r="I340" i="21408"/>
  <c r="H340" i="21408"/>
  <c r="AM339" i="21408"/>
  <c r="AL339" i="21408"/>
  <c r="AK339" i="21408"/>
  <c r="AJ339" i="21408"/>
  <c r="AI339" i="21408"/>
  <c r="AG339" i="21408"/>
  <c r="AF339" i="21408"/>
  <c r="AE339" i="21408"/>
  <c r="AD339" i="21408"/>
  <c r="AC339" i="21408"/>
  <c r="AB339" i="21408"/>
  <c r="AA339" i="21408"/>
  <c r="Z339" i="21408"/>
  <c r="Y339" i="21408"/>
  <c r="X339" i="21408"/>
  <c r="V339" i="21408"/>
  <c r="U339" i="21408"/>
  <c r="T339" i="21408"/>
  <c r="S339" i="21408"/>
  <c r="R339" i="21408"/>
  <c r="Q339" i="21408"/>
  <c r="P339" i="21408"/>
  <c r="N339" i="21408"/>
  <c r="M339" i="21408"/>
  <c r="L339" i="21408"/>
  <c r="K339" i="21408"/>
  <c r="J339" i="21408"/>
  <c r="I339" i="21408"/>
  <c r="H339" i="21408"/>
  <c r="AM338" i="21408"/>
  <c r="AL338" i="21408"/>
  <c r="AK338" i="21408"/>
  <c r="AJ338" i="21408"/>
  <c r="AI338" i="21408"/>
  <c r="AG338" i="21408"/>
  <c r="AF338" i="21408"/>
  <c r="AE338" i="21408"/>
  <c r="AD338" i="21408"/>
  <c r="AC338" i="21408"/>
  <c r="AB338" i="21408"/>
  <c r="AA338" i="21408"/>
  <c r="Z338" i="21408"/>
  <c r="Y338" i="21408"/>
  <c r="X338" i="21408"/>
  <c r="V338" i="21408"/>
  <c r="U338" i="21408"/>
  <c r="T338" i="21408"/>
  <c r="S338" i="21408"/>
  <c r="R338" i="21408"/>
  <c r="Q338" i="21408"/>
  <c r="P338" i="21408"/>
  <c r="N338" i="21408"/>
  <c r="M338" i="21408"/>
  <c r="L338" i="21408"/>
  <c r="K338" i="21408"/>
  <c r="J338" i="21408"/>
  <c r="I338" i="21408"/>
  <c r="H338" i="21408"/>
  <c r="AM332" i="21408"/>
  <c r="AL332" i="21408"/>
  <c r="AK332" i="21408"/>
  <c r="AJ332" i="21408"/>
  <c r="AI332" i="21408"/>
  <c r="AG332" i="21408"/>
  <c r="AF332" i="21408"/>
  <c r="AE332" i="21408"/>
  <c r="AD332" i="21408"/>
  <c r="AC332" i="21408"/>
  <c r="AB332" i="21408"/>
  <c r="AA332" i="21408"/>
  <c r="Z332" i="21408"/>
  <c r="Y332" i="21408"/>
  <c r="X332" i="21408"/>
  <c r="V332" i="21408"/>
  <c r="U332" i="21408"/>
  <c r="T332" i="21408"/>
  <c r="S332" i="21408"/>
  <c r="R332" i="21408"/>
  <c r="Q332" i="21408"/>
  <c r="P332" i="21408"/>
  <c r="N332" i="21408"/>
  <c r="M332" i="21408"/>
  <c r="L332" i="21408"/>
  <c r="K332" i="21408"/>
  <c r="J332" i="21408"/>
  <c r="I332" i="21408"/>
  <c r="H332" i="21408"/>
  <c r="AM330" i="21408"/>
  <c r="AL330" i="21408"/>
  <c r="AK330" i="21408"/>
  <c r="AJ330" i="21408"/>
  <c r="AI330" i="21408"/>
  <c r="AG330" i="21408"/>
  <c r="AF330" i="21408"/>
  <c r="AE330" i="21408"/>
  <c r="AD330" i="21408"/>
  <c r="AC330" i="21408"/>
  <c r="AB330" i="21408"/>
  <c r="AA330" i="21408"/>
  <c r="Z330" i="21408"/>
  <c r="Y330" i="21408"/>
  <c r="X330" i="21408"/>
  <c r="V330" i="21408"/>
  <c r="U330" i="21408"/>
  <c r="T330" i="21408"/>
  <c r="S330" i="21408"/>
  <c r="R330" i="21408"/>
  <c r="Q330" i="21408"/>
  <c r="P330" i="21408"/>
  <c r="N330" i="21408"/>
  <c r="M330" i="21408"/>
  <c r="L330" i="21408"/>
  <c r="K330" i="21408"/>
  <c r="J330" i="21408"/>
  <c r="I330" i="21408"/>
  <c r="H330" i="21408"/>
  <c r="AM329" i="21408"/>
  <c r="AL329" i="21408"/>
  <c r="AK329" i="21408"/>
  <c r="AJ329" i="21408"/>
  <c r="AI329" i="21408"/>
  <c r="AG329" i="21408"/>
  <c r="AF329" i="21408"/>
  <c r="AE329" i="21408"/>
  <c r="AD329" i="21408"/>
  <c r="AC329" i="21408"/>
  <c r="AB329" i="21408"/>
  <c r="AA329" i="21408"/>
  <c r="Z329" i="21408"/>
  <c r="Y329" i="21408"/>
  <c r="X329" i="21408"/>
  <c r="V329" i="21408"/>
  <c r="U329" i="21408"/>
  <c r="T329" i="21408"/>
  <c r="S329" i="21408"/>
  <c r="R329" i="21408"/>
  <c r="Q329" i="21408"/>
  <c r="P329" i="21408"/>
  <c r="N329" i="21408"/>
  <c r="M329" i="21408"/>
  <c r="L329" i="21408"/>
  <c r="K329" i="21408"/>
  <c r="J329" i="21408"/>
  <c r="I329" i="21408"/>
  <c r="H329" i="21408"/>
  <c r="AM328" i="21408"/>
  <c r="AL328" i="21408"/>
  <c r="AK328" i="21408"/>
  <c r="AJ328" i="21408"/>
  <c r="AI328" i="21408"/>
  <c r="AG328" i="21408"/>
  <c r="AF328" i="21408"/>
  <c r="AE328" i="21408"/>
  <c r="AD328" i="21408"/>
  <c r="AC328" i="21408"/>
  <c r="AB328" i="21408"/>
  <c r="AA328" i="21408"/>
  <c r="Z328" i="21408"/>
  <c r="Y328" i="21408"/>
  <c r="X328" i="21408"/>
  <c r="V328" i="21408"/>
  <c r="U328" i="21408"/>
  <c r="T328" i="21408"/>
  <c r="S328" i="21408"/>
  <c r="R328" i="21408"/>
  <c r="Q328" i="21408"/>
  <c r="P328" i="21408"/>
  <c r="N328" i="21408"/>
  <c r="M328" i="21408"/>
  <c r="L328" i="21408"/>
  <c r="K328" i="21408"/>
  <c r="J328" i="21408"/>
  <c r="I328" i="21408"/>
  <c r="H328" i="21408"/>
  <c r="AM327" i="21408"/>
  <c r="AL327" i="21408"/>
  <c r="AL336" i="21408" s="1"/>
  <c r="AK327" i="21408"/>
  <c r="AK336" i="21408" s="1"/>
  <c r="AJ327" i="21408"/>
  <c r="AJ336" i="21408" s="1"/>
  <c r="AI327" i="21408"/>
  <c r="AI336" i="21408" s="1"/>
  <c r="AG327" i="21408"/>
  <c r="AG336" i="21408" s="1"/>
  <c r="AF327" i="21408"/>
  <c r="AF336" i="21408" s="1"/>
  <c r="AE327" i="21408"/>
  <c r="AE336" i="21408" s="1"/>
  <c r="AD327" i="21408"/>
  <c r="AD336" i="21408" s="1"/>
  <c r="AC327" i="21408"/>
  <c r="AB327" i="21408"/>
  <c r="AB336" i="21408" s="1"/>
  <c r="AA327" i="21408"/>
  <c r="AA336" i="21408" s="1"/>
  <c r="Z327" i="21408"/>
  <c r="Z336" i="21408" s="1"/>
  <c r="Y327" i="21408"/>
  <c r="X327" i="21408"/>
  <c r="V327" i="21408"/>
  <c r="V336" i="21408" s="1"/>
  <c r="U327" i="21408"/>
  <c r="U336" i="21408" s="1"/>
  <c r="T327" i="21408"/>
  <c r="T336" i="21408" s="1"/>
  <c r="S327" i="21408"/>
  <c r="S336" i="21408" s="1"/>
  <c r="R327" i="21408"/>
  <c r="R336" i="21408" s="1"/>
  <c r="Q327" i="21408"/>
  <c r="P327" i="21408"/>
  <c r="P336" i="21408" s="1"/>
  <c r="N327" i="21408"/>
  <c r="N336" i="21408" s="1"/>
  <c r="M327" i="21408"/>
  <c r="M336" i="21408" s="1"/>
  <c r="L327" i="21408"/>
  <c r="K327" i="21408"/>
  <c r="K336" i="21408" s="1"/>
  <c r="J327" i="21408"/>
  <c r="J336" i="21408" s="1"/>
  <c r="I327" i="21408"/>
  <c r="I336" i="21408" s="1"/>
  <c r="H327" i="21408"/>
  <c r="H336" i="21408" s="1"/>
  <c r="G326" i="21408"/>
  <c r="AM325" i="21408"/>
  <c r="AM324" i="21408" s="1"/>
  <c r="AL325" i="21408"/>
  <c r="AL324" i="21408" s="1"/>
  <c r="AK325" i="21408"/>
  <c r="AK324" i="21408" s="1"/>
  <c r="AJ325" i="21408"/>
  <c r="AJ324" i="21408" s="1"/>
  <c r="AI325" i="21408"/>
  <c r="AI324" i="21408" s="1"/>
  <c r="AG325" i="21408"/>
  <c r="AG324" i="21408" s="1"/>
  <c r="AF325" i="21408"/>
  <c r="AF324" i="21408" s="1"/>
  <c r="AE325" i="21408"/>
  <c r="AE324" i="21408" s="1"/>
  <c r="AD325" i="21408"/>
  <c r="AD324" i="21408" s="1"/>
  <c r="AC325" i="21408"/>
  <c r="AC324" i="21408" s="1"/>
  <c r="AB325" i="21408"/>
  <c r="AB324" i="21408" s="1"/>
  <c r="AA325" i="21408"/>
  <c r="AA324" i="21408" s="1"/>
  <c r="Z325" i="21408"/>
  <c r="Z324" i="21408" s="1"/>
  <c r="Y325" i="21408"/>
  <c r="Y324" i="21408" s="1"/>
  <c r="X325" i="21408"/>
  <c r="X324" i="21408" s="1"/>
  <c r="V325" i="21408"/>
  <c r="V324" i="21408" s="1"/>
  <c r="U325" i="21408"/>
  <c r="U324" i="21408" s="1"/>
  <c r="T325" i="21408"/>
  <c r="T324" i="21408" s="1"/>
  <c r="S325" i="21408"/>
  <c r="S324" i="21408" s="1"/>
  <c r="R325" i="21408"/>
  <c r="R324" i="21408" s="1"/>
  <c r="Q325" i="21408"/>
  <c r="Q324" i="21408" s="1"/>
  <c r="P325" i="21408"/>
  <c r="P324" i="21408" s="1"/>
  <c r="N325" i="21408"/>
  <c r="N324" i="21408" s="1"/>
  <c r="M325" i="21408"/>
  <c r="M324" i="21408" s="1"/>
  <c r="L325" i="21408"/>
  <c r="K325" i="21408"/>
  <c r="K324" i="21408" s="1"/>
  <c r="J325" i="21408"/>
  <c r="J324" i="21408" s="1"/>
  <c r="I325" i="21408"/>
  <c r="I324" i="21408" s="1"/>
  <c r="H325" i="21408"/>
  <c r="H324" i="21408" s="1"/>
  <c r="AM323" i="21408"/>
  <c r="AL323" i="21408"/>
  <c r="AK323" i="21408"/>
  <c r="AJ323" i="21408"/>
  <c r="AI323" i="21408"/>
  <c r="AG323" i="21408"/>
  <c r="AF323" i="21408"/>
  <c r="AE323" i="21408"/>
  <c r="AD323" i="21408"/>
  <c r="AC323" i="21408"/>
  <c r="AB323" i="21408"/>
  <c r="AA323" i="21408"/>
  <c r="Z323" i="21408"/>
  <c r="Y323" i="21408"/>
  <c r="X323" i="21408"/>
  <c r="V323" i="21408"/>
  <c r="U323" i="21408"/>
  <c r="T323" i="21408"/>
  <c r="S323" i="21408"/>
  <c r="R323" i="21408"/>
  <c r="Q323" i="21408"/>
  <c r="P323" i="21408"/>
  <c r="N323" i="21408"/>
  <c r="M323" i="21408"/>
  <c r="L323" i="21408"/>
  <c r="K323" i="21408"/>
  <c r="J323" i="21408"/>
  <c r="I323" i="21408"/>
  <c r="H323" i="21408"/>
  <c r="AM322" i="21408"/>
  <c r="AL322" i="21408"/>
  <c r="AK322" i="21408"/>
  <c r="AJ322" i="21408"/>
  <c r="AI322" i="21408"/>
  <c r="AG322" i="21408"/>
  <c r="AF322" i="21408"/>
  <c r="AE322" i="21408"/>
  <c r="AD322" i="21408"/>
  <c r="AC322" i="21408"/>
  <c r="AB322" i="21408"/>
  <c r="AA322" i="21408"/>
  <c r="Z322" i="21408"/>
  <c r="Y322" i="21408"/>
  <c r="X322" i="21408"/>
  <c r="V322" i="21408"/>
  <c r="U322" i="21408"/>
  <c r="T322" i="21408"/>
  <c r="S322" i="21408"/>
  <c r="R322" i="21408"/>
  <c r="Q322" i="21408"/>
  <c r="P322" i="21408"/>
  <c r="N322" i="21408"/>
  <c r="M322" i="21408"/>
  <c r="L322" i="21408"/>
  <c r="K322" i="21408"/>
  <c r="J322" i="21408"/>
  <c r="I322" i="21408"/>
  <c r="H322" i="21408"/>
  <c r="AM321" i="21408"/>
  <c r="AL321" i="21408"/>
  <c r="AK321" i="21408"/>
  <c r="AJ321" i="21408"/>
  <c r="AI321" i="21408"/>
  <c r="AG321" i="21408"/>
  <c r="AF321" i="21408"/>
  <c r="AE321" i="21408"/>
  <c r="AD321" i="21408"/>
  <c r="AC321" i="21408"/>
  <c r="AB321" i="21408"/>
  <c r="AA321" i="21408"/>
  <c r="Z321" i="21408"/>
  <c r="Y321" i="21408"/>
  <c r="X321" i="21408"/>
  <c r="V321" i="21408"/>
  <c r="U321" i="21408"/>
  <c r="T321" i="21408"/>
  <c r="S321" i="21408"/>
  <c r="R321" i="21408"/>
  <c r="Q321" i="21408"/>
  <c r="P321" i="21408"/>
  <c r="N321" i="21408"/>
  <c r="M321" i="21408"/>
  <c r="L321" i="21408"/>
  <c r="K321" i="21408"/>
  <c r="J321" i="21408"/>
  <c r="I321" i="21408"/>
  <c r="H321" i="21408"/>
  <c r="AM320" i="21408"/>
  <c r="AL320" i="21408"/>
  <c r="AK320" i="21408"/>
  <c r="AJ320" i="21408"/>
  <c r="AI320" i="21408"/>
  <c r="AG320" i="21408"/>
  <c r="AF320" i="21408"/>
  <c r="AE320" i="21408"/>
  <c r="AD320" i="21408"/>
  <c r="AC320" i="21408"/>
  <c r="AB320" i="21408"/>
  <c r="AA320" i="21408"/>
  <c r="Z320" i="21408"/>
  <c r="Y320" i="21408"/>
  <c r="X320" i="21408"/>
  <c r="V320" i="21408"/>
  <c r="U320" i="21408"/>
  <c r="T320" i="21408"/>
  <c r="S320" i="21408"/>
  <c r="R320" i="21408"/>
  <c r="Q320" i="21408"/>
  <c r="P320" i="21408"/>
  <c r="N320" i="21408"/>
  <c r="M320" i="21408"/>
  <c r="L320" i="21408"/>
  <c r="K320" i="21408"/>
  <c r="J320" i="21408"/>
  <c r="I320" i="21408"/>
  <c r="H320" i="21408"/>
  <c r="G319" i="21408"/>
  <c r="AM318" i="21408"/>
  <c r="AL318" i="21408"/>
  <c r="AK318" i="21408"/>
  <c r="AJ318" i="21408"/>
  <c r="AI318" i="21408"/>
  <c r="AG318" i="21408"/>
  <c r="AF318" i="21408"/>
  <c r="AE318" i="21408"/>
  <c r="AD318" i="21408"/>
  <c r="AC318" i="21408"/>
  <c r="AB318" i="21408"/>
  <c r="AA318" i="21408"/>
  <c r="Z318" i="21408"/>
  <c r="Y318" i="21408"/>
  <c r="X318" i="21408"/>
  <c r="V318" i="21408"/>
  <c r="U318" i="21408"/>
  <c r="T318" i="21408"/>
  <c r="S318" i="21408"/>
  <c r="R318" i="21408"/>
  <c r="Q318" i="21408"/>
  <c r="P318" i="21408"/>
  <c r="N318" i="21408"/>
  <c r="M318" i="21408"/>
  <c r="L318" i="21408"/>
  <c r="K318" i="21408"/>
  <c r="J318" i="21408"/>
  <c r="I318" i="21408"/>
  <c r="H318" i="21408"/>
  <c r="AM317" i="21408"/>
  <c r="AL317" i="21408"/>
  <c r="AK317" i="21408"/>
  <c r="AJ317" i="21408"/>
  <c r="AI317" i="21408"/>
  <c r="AG317" i="21408"/>
  <c r="AF317" i="21408"/>
  <c r="AE317" i="21408"/>
  <c r="AD317" i="21408"/>
  <c r="AC317" i="21408"/>
  <c r="AB317" i="21408"/>
  <c r="AA317" i="21408"/>
  <c r="Z317" i="21408"/>
  <c r="Y317" i="21408"/>
  <c r="X317" i="21408"/>
  <c r="V317" i="21408"/>
  <c r="U317" i="21408"/>
  <c r="T317" i="21408"/>
  <c r="S317" i="21408"/>
  <c r="R317" i="21408"/>
  <c r="Q317" i="21408"/>
  <c r="P317" i="21408"/>
  <c r="N317" i="21408"/>
  <c r="M317" i="21408"/>
  <c r="L317" i="21408"/>
  <c r="K317" i="21408"/>
  <c r="J317" i="21408"/>
  <c r="I317" i="21408"/>
  <c r="H317" i="21408"/>
  <c r="AM316" i="21408"/>
  <c r="AL316" i="21408"/>
  <c r="AK316" i="21408"/>
  <c r="AJ316" i="21408"/>
  <c r="AI316" i="21408"/>
  <c r="AG316" i="21408"/>
  <c r="AF316" i="21408"/>
  <c r="AE316" i="21408"/>
  <c r="AD316" i="21408"/>
  <c r="AC316" i="21408"/>
  <c r="AB316" i="21408"/>
  <c r="AA316" i="21408"/>
  <c r="Z316" i="21408"/>
  <c r="Y316" i="21408"/>
  <c r="X316" i="21408"/>
  <c r="V316" i="21408"/>
  <c r="U316" i="21408"/>
  <c r="T316" i="21408"/>
  <c r="S316" i="21408"/>
  <c r="R316" i="21408"/>
  <c r="Q316" i="21408"/>
  <c r="P316" i="21408"/>
  <c r="N316" i="21408"/>
  <c r="M316" i="21408"/>
  <c r="L316" i="21408"/>
  <c r="K316" i="21408"/>
  <c r="J316" i="21408"/>
  <c r="I316" i="21408"/>
  <c r="H316" i="21408"/>
  <c r="AM315" i="21408"/>
  <c r="AL315" i="21408"/>
  <c r="AK315" i="21408"/>
  <c r="AJ315" i="21408"/>
  <c r="AI315" i="21408"/>
  <c r="AG315" i="21408"/>
  <c r="AF315" i="21408"/>
  <c r="AE315" i="21408"/>
  <c r="AD315" i="21408"/>
  <c r="AC315" i="21408"/>
  <c r="AB315" i="21408"/>
  <c r="AA315" i="21408"/>
  <c r="Z315" i="21408"/>
  <c r="Y315" i="21408"/>
  <c r="X315" i="21408"/>
  <c r="V315" i="21408"/>
  <c r="U315" i="21408"/>
  <c r="T315" i="21408"/>
  <c r="S315" i="21408"/>
  <c r="R315" i="21408"/>
  <c r="Q315" i="21408"/>
  <c r="P315" i="21408"/>
  <c r="N315" i="21408"/>
  <c r="M315" i="21408"/>
  <c r="L315" i="21408"/>
  <c r="K315" i="21408"/>
  <c r="J315" i="21408"/>
  <c r="I315" i="21408"/>
  <c r="H315" i="21408"/>
  <c r="AM314" i="21408"/>
  <c r="AL314" i="21408"/>
  <c r="AK314" i="21408"/>
  <c r="AJ314" i="21408"/>
  <c r="AI314" i="21408"/>
  <c r="AG314" i="21408"/>
  <c r="AF314" i="21408"/>
  <c r="AE314" i="21408"/>
  <c r="AD314" i="21408"/>
  <c r="AC314" i="21408"/>
  <c r="AB314" i="21408"/>
  <c r="AA314" i="21408"/>
  <c r="Z314" i="21408"/>
  <c r="Y314" i="21408"/>
  <c r="X314" i="21408"/>
  <c r="V314" i="21408"/>
  <c r="U314" i="21408"/>
  <c r="T314" i="21408"/>
  <c r="S314" i="21408"/>
  <c r="R314" i="21408"/>
  <c r="Q314" i="21408"/>
  <c r="P314" i="21408"/>
  <c r="N314" i="21408"/>
  <c r="M314" i="21408"/>
  <c r="L314" i="21408"/>
  <c r="K314" i="21408"/>
  <c r="J314" i="21408"/>
  <c r="I314" i="21408"/>
  <c r="H314" i="21408"/>
  <c r="AM313" i="21408"/>
  <c r="AL313" i="21408"/>
  <c r="AK313" i="21408"/>
  <c r="AJ313" i="21408"/>
  <c r="AI313" i="21408"/>
  <c r="AG313" i="21408"/>
  <c r="AF313" i="21408"/>
  <c r="AE313" i="21408"/>
  <c r="AD313" i="21408"/>
  <c r="AC313" i="21408"/>
  <c r="AB313" i="21408"/>
  <c r="AA313" i="21408"/>
  <c r="Z313" i="21408"/>
  <c r="Y313" i="21408"/>
  <c r="X313" i="21408"/>
  <c r="V313" i="21408"/>
  <c r="U313" i="21408"/>
  <c r="T313" i="21408"/>
  <c r="S313" i="21408"/>
  <c r="R313" i="21408"/>
  <c r="Q313" i="21408"/>
  <c r="P313" i="21408"/>
  <c r="N313" i="21408"/>
  <c r="M313" i="21408"/>
  <c r="L313" i="21408"/>
  <c r="K313" i="21408"/>
  <c r="J313" i="21408"/>
  <c r="I313" i="21408"/>
  <c r="H313" i="21408"/>
  <c r="AM312" i="21408"/>
  <c r="AL312" i="21408"/>
  <c r="AK312" i="21408"/>
  <c r="AJ312" i="21408"/>
  <c r="AI312" i="21408"/>
  <c r="AG312" i="21408"/>
  <c r="AF312" i="21408"/>
  <c r="AE312" i="21408"/>
  <c r="AD312" i="21408"/>
  <c r="AC312" i="21408"/>
  <c r="AB312" i="21408"/>
  <c r="AA312" i="21408"/>
  <c r="Z312" i="21408"/>
  <c r="Y312" i="21408"/>
  <c r="X312" i="21408"/>
  <c r="V312" i="21408"/>
  <c r="U312" i="21408"/>
  <c r="T312" i="21408"/>
  <c r="S312" i="21408"/>
  <c r="R312" i="21408"/>
  <c r="Q312" i="21408"/>
  <c r="P312" i="21408"/>
  <c r="N312" i="21408"/>
  <c r="M312" i="21408"/>
  <c r="L312" i="21408"/>
  <c r="K312" i="21408"/>
  <c r="J312" i="21408"/>
  <c r="I312" i="21408"/>
  <c r="H312" i="21408"/>
  <c r="AM311" i="21408"/>
  <c r="AL311" i="21408"/>
  <c r="AK311" i="21408"/>
  <c r="AJ311" i="21408"/>
  <c r="AI311" i="21408"/>
  <c r="AG311" i="21408"/>
  <c r="AF311" i="21408"/>
  <c r="AE311" i="21408"/>
  <c r="AD311" i="21408"/>
  <c r="AC311" i="21408"/>
  <c r="AB311" i="21408"/>
  <c r="AA311" i="21408"/>
  <c r="Z311" i="21408"/>
  <c r="Y311" i="21408"/>
  <c r="X311" i="21408"/>
  <c r="V311" i="21408"/>
  <c r="U311" i="21408"/>
  <c r="T311" i="21408"/>
  <c r="S311" i="21408"/>
  <c r="R311" i="21408"/>
  <c r="Q311" i="21408"/>
  <c r="P311" i="21408"/>
  <c r="N311" i="21408"/>
  <c r="M311" i="21408"/>
  <c r="L311" i="21408"/>
  <c r="K311" i="21408"/>
  <c r="J311" i="21408"/>
  <c r="I311" i="21408"/>
  <c r="H311" i="21408"/>
  <c r="AM310" i="21408"/>
  <c r="AL310" i="21408"/>
  <c r="AK310" i="21408"/>
  <c r="AJ310" i="21408"/>
  <c r="AI310" i="21408"/>
  <c r="AG310" i="21408"/>
  <c r="AF310" i="21408"/>
  <c r="AE310" i="21408"/>
  <c r="AD310" i="21408"/>
  <c r="AC310" i="21408"/>
  <c r="AB310" i="21408"/>
  <c r="AA310" i="21408"/>
  <c r="Z310" i="21408"/>
  <c r="Y310" i="21408"/>
  <c r="X310" i="21408"/>
  <c r="V310" i="21408"/>
  <c r="U310" i="21408"/>
  <c r="T310" i="21408"/>
  <c r="S310" i="21408"/>
  <c r="R310" i="21408"/>
  <c r="Q310" i="21408"/>
  <c r="P310" i="21408"/>
  <c r="N310" i="21408"/>
  <c r="M310" i="21408"/>
  <c r="L310" i="21408"/>
  <c r="K310" i="21408"/>
  <c r="J310" i="21408"/>
  <c r="I310" i="21408"/>
  <c r="H310" i="21408"/>
  <c r="AM309" i="21408"/>
  <c r="AL309" i="21408"/>
  <c r="AK309" i="21408"/>
  <c r="AJ309" i="21408"/>
  <c r="AI309" i="21408"/>
  <c r="AG309" i="21408"/>
  <c r="AF309" i="21408"/>
  <c r="AE309" i="21408"/>
  <c r="AD309" i="21408"/>
  <c r="AC309" i="21408"/>
  <c r="AB309" i="21408"/>
  <c r="AA309" i="21408"/>
  <c r="Z309" i="21408"/>
  <c r="Y309" i="21408"/>
  <c r="X309" i="21408"/>
  <c r="V309" i="21408"/>
  <c r="U309" i="21408"/>
  <c r="T309" i="21408"/>
  <c r="S309" i="21408"/>
  <c r="R309" i="21408"/>
  <c r="Q309" i="21408"/>
  <c r="P309" i="21408"/>
  <c r="N309" i="21408"/>
  <c r="M309" i="21408"/>
  <c r="L309" i="21408"/>
  <c r="K309" i="21408"/>
  <c r="J309" i="21408"/>
  <c r="I309" i="21408"/>
  <c r="H309" i="21408"/>
  <c r="AM308" i="21408"/>
  <c r="AL308" i="21408"/>
  <c r="AK308" i="21408"/>
  <c r="AJ308" i="21408"/>
  <c r="AI308" i="21408"/>
  <c r="AG308" i="21408"/>
  <c r="AF308" i="21408"/>
  <c r="AE308" i="21408"/>
  <c r="AD308" i="21408"/>
  <c r="AC308" i="21408"/>
  <c r="AB308" i="21408"/>
  <c r="AA308" i="21408"/>
  <c r="Z308" i="21408"/>
  <c r="Y308" i="21408"/>
  <c r="X308" i="21408"/>
  <c r="V308" i="21408"/>
  <c r="U308" i="21408"/>
  <c r="T308" i="21408"/>
  <c r="S308" i="21408"/>
  <c r="R308" i="21408"/>
  <c r="Q308" i="21408"/>
  <c r="P308" i="21408"/>
  <c r="N308" i="21408"/>
  <c r="M308" i="21408"/>
  <c r="L308" i="21408"/>
  <c r="K308" i="21408"/>
  <c r="J308" i="21408"/>
  <c r="I308" i="21408"/>
  <c r="H308" i="21408"/>
  <c r="AM307" i="21408"/>
  <c r="AL307" i="21408"/>
  <c r="AK307" i="21408"/>
  <c r="AJ307" i="21408"/>
  <c r="AI307" i="21408"/>
  <c r="AG307" i="21408"/>
  <c r="AF307" i="21408"/>
  <c r="AE307" i="21408"/>
  <c r="AD307" i="21408"/>
  <c r="AC307" i="21408"/>
  <c r="AB307" i="21408"/>
  <c r="AA307" i="21408"/>
  <c r="Z307" i="21408"/>
  <c r="Y307" i="21408"/>
  <c r="X307" i="21408"/>
  <c r="V307" i="21408"/>
  <c r="U307" i="21408"/>
  <c r="T307" i="21408"/>
  <c r="S307" i="21408"/>
  <c r="R307" i="21408"/>
  <c r="Q307" i="21408"/>
  <c r="P307" i="21408"/>
  <c r="N307" i="21408"/>
  <c r="M307" i="21408"/>
  <c r="L307" i="21408"/>
  <c r="K307" i="21408"/>
  <c r="J307" i="21408"/>
  <c r="I307" i="21408"/>
  <c r="H307" i="21408"/>
  <c r="AM306" i="21408"/>
  <c r="AL306" i="21408"/>
  <c r="AK306" i="21408"/>
  <c r="AJ306" i="21408"/>
  <c r="AI306" i="21408"/>
  <c r="AG306" i="21408"/>
  <c r="AF306" i="21408"/>
  <c r="AE306" i="21408"/>
  <c r="AD306" i="21408"/>
  <c r="AC306" i="21408"/>
  <c r="AB306" i="21408"/>
  <c r="AA306" i="21408"/>
  <c r="Z306" i="21408"/>
  <c r="Y306" i="21408"/>
  <c r="X306" i="21408"/>
  <c r="V306" i="21408"/>
  <c r="U306" i="21408"/>
  <c r="T306" i="21408"/>
  <c r="S306" i="21408"/>
  <c r="R306" i="21408"/>
  <c r="Q306" i="21408"/>
  <c r="P306" i="21408"/>
  <c r="N306" i="21408"/>
  <c r="M306" i="21408"/>
  <c r="L306" i="21408"/>
  <c r="K306" i="21408"/>
  <c r="J306" i="21408"/>
  <c r="I306" i="21408"/>
  <c r="H306" i="21408"/>
  <c r="AM305" i="21408"/>
  <c r="AL305" i="21408"/>
  <c r="AK305" i="21408"/>
  <c r="AJ305" i="21408"/>
  <c r="AI305" i="21408"/>
  <c r="AG305" i="21408"/>
  <c r="AF305" i="21408"/>
  <c r="AE305" i="21408"/>
  <c r="AD305" i="21408"/>
  <c r="AC305" i="21408"/>
  <c r="AB305" i="21408"/>
  <c r="AA305" i="21408"/>
  <c r="Z305" i="21408"/>
  <c r="Y305" i="21408"/>
  <c r="X305" i="21408"/>
  <c r="V305" i="21408"/>
  <c r="U305" i="21408"/>
  <c r="T305" i="21408"/>
  <c r="S305" i="21408"/>
  <c r="R305" i="21408"/>
  <c r="Q305" i="21408"/>
  <c r="P305" i="21408"/>
  <c r="N305" i="21408"/>
  <c r="M305" i="21408"/>
  <c r="L305" i="21408"/>
  <c r="K305" i="21408"/>
  <c r="J305" i="21408"/>
  <c r="I305" i="21408"/>
  <c r="H305" i="21408"/>
  <c r="G302" i="21408"/>
  <c r="G297" i="21408"/>
  <c r="G296" i="21408"/>
  <c r="G295" i="21408"/>
  <c r="G292" i="21408"/>
  <c r="G285" i="21408"/>
  <c r="AM284" i="21408"/>
  <c r="AL284" i="21408"/>
  <c r="AK284" i="21408"/>
  <c r="AJ284" i="21408"/>
  <c r="AI284" i="21408"/>
  <c r="AH284" i="21408"/>
  <c r="AG284" i="21408"/>
  <c r="AF284" i="21408"/>
  <c r="AE284" i="21408"/>
  <c r="AD284" i="21408"/>
  <c r="AC284" i="21408"/>
  <c r="AB284" i="21408"/>
  <c r="AA284" i="21408"/>
  <c r="Z284" i="21408"/>
  <c r="Y284" i="21408"/>
  <c r="X284" i="21408"/>
  <c r="W284" i="21408"/>
  <c r="V284" i="21408"/>
  <c r="U284" i="21408"/>
  <c r="T284" i="21408"/>
  <c r="R284" i="21408"/>
  <c r="Q284" i="21408"/>
  <c r="P284" i="21408"/>
  <c r="O284" i="21408"/>
  <c r="N284" i="21408"/>
  <c r="M284" i="21408"/>
  <c r="L284" i="21408"/>
  <c r="K284" i="21408"/>
  <c r="J284" i="21408"/>
  <c r="I284" i="21408"/>
  <c r="H284" i="21408"/>
  <c r="G283" i="21408"/>
  <c r="G282" i="21408"/>
  <c r="G281" i="21408"/>
  <c r="G280" i="21408"/>
  <c r="G279" i="21408"/>
  <c r="G278" i="21408"/>
  <c r="G277" i="21408"/>
  <c r="G276" i="21408"/>
  <c r="G275" i="21408"/>
  <c r="G274" i="21408"/>
  <c r="G273" i="21408"/>
  <c r="G272" i="21408"/>
  <c r="G271" i="21408"/>
  <c r="G270" i="21408"/>
  <c r="G269" i="21408"/>
  <c r="G268" i="21408"/>
  <c r="G267" i="21408"/>
  <c r="AB266" i="21408"/>
  <c r="Y266" i="21408"/>
  <c r="X266" i="21408"/>
  <c r="W266" i="21408"/>
  <c r="V266" i="21408"/>
  <c r="K266" i="21408"/>
  <c r="J266" i="21408"/>
  <c r="G265" i="21408"/>
  <c r="G264" i="21408"/>
  <c r="G263" i="21408"/>
  <c r="G262" i="21408"/>
  <c r="G261" i="21408"/>
  <c r="AM241" i="21408"/>
  <c r="AL241" i="21408"/>
  <c r="AE241" i="21408"/>
  <c r="AD241" i="21408"/>
  <c r="AB241" i="21408"/>
  <c r="AA241" i="21408"/>
  <c r="V241" i="21408"/>
  <c r="G239" i="21408"/>
  <c r="AM236" i="21408"/>
  <c r="AL236" i="21408"/>
  <c r="AK236" i="21408"/>
  <c r="AJ236" i="21408"/>
  <c r="AI236" i="21408"/>
  <c r="AH236" i="21408"/>
  <c r="AG236" i="21408"/>
  <c r="AF236" i="21408"/>
  <c r="AE236" i="21408"/>
  <c r="AD236" i="21408"/>
  <c r="AC236" i="21408"/>
  <c r="AB236" i="21408"/>
  <c r="AA236" i="21408"/>
  <c r="Z236" i="21408"/>
  <c r="Y236" i="21408"/>
  <c r="X236" i="21408"/>
  <c r="V236" i="21408"/>
  <c r="U236" i="21408"/>
  <c r="T236" i="21408"/>
  <c r="S236" i="21408"/>
  <c r="R236" i="21408"/>
  <c r="Q236" i="21408"/>
  <c r="P236" i="21408"/>
  <c r="N236" i="21408"/>
  <c r="M236" i="21408"/>
  <c r="L236" i="21408"/>
  <c r="K236" i="21408"/>
  <c r="J236" i="21408"/>
  <c r="I236" i="21408"/>
  <c r="H236" i="21408"/>
  <c r="G235" i="21408"/>
  <c r="AM234" i="21408"/>
  <c r="AL234" i="21408"/>
  <c r="AK234" i="21408"/>
  <c r="AJ234" i="21408"/>
  <c r="AI234" i="21408"/>
  <c r="AH234" i="21408"/>
  <c r="AG234" i="21408"/>
  <c r="AF234" i="21408"/>
  <c r="AE234" i="21408"/>
  <c r="AD234" i="21408"/>
  <c r="AC234" i="21408"/>
  <c r="AB234" i="21408"/>
  <c r="AA234" i="21408"/>
  <c r="Z234" i="21408"/>
  <c r="Y234" i="21408"/>
  <c r="X234" i="21408"/>
  <c r="V234" i="21408"/>
  <c r="U234" i="21408"/>
  <c r="T234" i="21408"/>
  <c r="S234" i="21408"/>
  <c r="R234" i="21408"/>
  <c r="Q234" i="21408"/>
  <c r="P234" i="21408"/>
  <c r="N234" i="21408"/>
  <c r="M234" i="21408"/>
  <c r="L234" i="21408"/>
  <c r="K234" i="21408"/>
  <c r="J234" i="21408"/>
  <c r="I234" i="21408"/>
  <c r="H234" i="21408"/>
  <c r="G214" i="21408"/>
  <c r="G199" i="21408"/>
  <c r="G198" i="21408"/>
  <c r="G197" i="21408"/>
  <c r="G196" i="21408"/>
  <c r="G195" i="21408"/>
  <c r="G194" i="21408"/>
  <c r="AM40" i="21408"/>
  <c r="AL40" i="21408"/>
  <c r="AJ40" i="21408"/>
  <c r="AI40" i="21408"/>
  <c r="AH40" i="21408"/>
  <c r="AG40" i="21408"/>
  <c r="AF40" i="21408"/>
  <c r="AE40" i="21408"/>
  <c r="AD40" i="21408"/>
  <c r="AC40" i="21408"/>
  <c r="AB40" i="21408"/>
  <c r="AA40" i="21408"/>
  <c r="Z40" i="21408"/>
  <c r="Y40" i="21408"/>
  <c r="X40" i="21408"/>
  <c r="W40" i="21408"/>
  <c r="V40" i="21408"/>
  <c r="U40" i="21408"/>
  <c r="T40" i="21408"/>
  <c r="R40" i="21408"/>
  <c r="P40" i="21408"/>
  <c r="N40" i="21408"/>
  <c r="M40" i="21408"/>
  <c r="L40" i="21408"/>
  <c r="K40" i="21408"/>
  <c r="J40" i="21408"/>
  <c r="I40" i="21408"/>
  <c r="H40" i="21408"/>
  <c r="AM39" i="21408"/>
  <c r="AL39" i="21408"/>
  <c r="AJ39" i="21408"/>
  <c r="AI39" i="21408"/>
  <c r="AH39" i="21408"/>
  <c r="AG39" i="21408"/>
  <c r="AF39" i="21408"/>
  <c r="AE39" i="21408"/>
  <c r="AD39" i="21408"/>
  <c r="AC39" i="21408"/>
  <c r="AB39" i="21408"/>
  <c r="AA39" i="21408"/>
  <c r="Z39" i="21408"/>
  <c r="Y39" i="21408"/>
  <c r="X39" i="21408"/>
  <c r="W39" i="21408"/>
  <c r="V39" i="21408"/>
  <c r="U39" i="21408"/>
  <c r="T39" i="21408"/>
  <c r="R39" i="21408"/>
  <c r="P39" i="21408"/>
  <c r="N39" i="21408"/>
  <c r="M39" i="21408"/>
  <c r="L39" i="21408"/>
  <c r="K39" i="21408"/>
  <c r="J39" i="21408"/>
  <c r="I39" i="21408"/>
  <c r="H39" i="21408"/>
  <c r="AM38" i="21408"/>
  <c r="AL38" i="21408"/>
  <c r="AJ38" i="21408"/>
  <c r="AI38" i="21408"/>
  <c r="AH38" i="21408"/>
  <c r="AG38" i="21408"/>
  <c r="AF38" i="21408"/>
  <c r="AE38" i="21408"/>
  <c r="AD38" i="21408"/>
  <c r="AC38" i="21408"/>
  <c r="AB38" i="21408"/>
  <c r="AA38" i="21408"/>
  <c r="Z38" i="21408"/>
  <c r="Y38" i="21408"/>
  <c r="X38" i="21408"/>
  <c r="W38" i="21408"/>
  <c r="V38" i="21408"/>
  <c r="U38" i="21408"/>
  <c r="T38" i="21408"/>
  <c r="R38" i="21408"/>
  <c r="P38" i="21408"/>
  <c r="N38" i="21408"/>
  <c r="M38" i="21408"/>
  <c r="L38" i="21408"/>
  <c r="K38" i="21408"/>
  <c r="J38" i="21408"/>
  <c r="I38" i="21408"/>
  <c r="H38" i="21408"/>
  <c r="AM37" i="21408"/>
  <c r="AL37" i="21408"/>
  <c r="AJ37" i="21408"/>
  <c r="AI37" i="21408"/>
  <c r="AH37" i="21408"/>
  <c r="AG37" i="21408"/>
  <c r="AF37" i="21408"/>
  <c r="AE37" i="21408"/>
  <c r="AD37" i="21408"/>
  <c r="AC37" i="21408"/>
  <c r="AB37" i="21408"/>
  <c r="AA37" i="21408"/>
  <c r="Z37" i="21408"/>
  <c r="Y37" i="21408"/>
  <c r="X37" i="21408"/>
  <c r="W37" i="21408"/>
  <c r="V37" i="21408"/>
  <c r="U37" i="21408"/>
  <c r="T37" i="21408"/>
  <c r="R37" i="21408"/>
  <c r="P37" i="21408"/>
  <c r="N37" i="21408"/>
  <c r="M37" i="21408"/>
  <c r="L37" i="21408"/>
  <c r="K37" i="21408"/>
  <c r="J37" i="21408"/>
  <c r="I37" i="21408"/>
  <c r="H37" i="21408"/>
  <c r="AM36" i="21408"/>
  <c r="AL36" i="21408"/>
  <c r="AJ36" i="21408"/>
  <c r="AI36" i="21408"/>
  <c r="AH36" i="21408"/>
  <c r="AG36" i="21408"/>
  <c r="AF36" i="21408"/>
  <c r="AE36" i="21408"/>
  <c r="AD36" i="21408"/>
  <c r="AC36" i="21408"/>
  <c r="AB36" i="21408"/>
  <c r="AA36" i="21408"/>
  <c r="Z36" i="21408"/>
  <c r="Y36" i="21408"/>
  <c r="X36" i="21408"/>
  <c r="W36" i="21408"/>
  <c r="V36" i="21408"/>
  <c r="U36" i="21408"/>
  <c r="T36" i="21408"/>
  <c r="R36" i="21408"/>
  <c r="P36" i="21408"/>
  <c r="N36" i="21408"/>
  <c r="M36" i="21408"/>
  <c r="L36" i="21408"/>
  <c r="K36" i="21408"/>
  <c r="J36" i="21408"/>
  <c r="I36" i="21408"/>
  <c r="H36" i="21408"/>
  <c r="F36" i="21408"/>
  <c r="F37" i="21408" s="1"/>
  <c r="AM35" i="21408"/>
  <c r="AL35" i="21408"/>
  <c r="AJ35" i="21408"/>
  <c r="AI35" i="21408"/>
  <c r="AH35" i="21408"/>
  <c r="AG35" i="21408"/>
  <c r="AF35" i="21408"/>
  <c r="AE35" i="21408"/>
  <c r="AD35" i="21408"/>
  <c r="AC35" i="21408"/>
  <c r="AB35" i="21408"/>
  <c r="AA35" i="21408"/>
  <c r="Z35" i="21408"/>
  <c r="Y35" i="21408"/>
  <c r="X35" i="21408"/>
  <c r="W35" i="21408"/>
  <c r="V35" i="21408"/>
  <c r="U35" i="21408"/>
  <c r="T35" i="21408"/>
  <c r="R35" i="21408"/>
  <c r="P35" i="21408"/>
  <c r="N35" i="21408"/>
  <c r="M35" i="21408"/>
  <c r="L35" i="21408"/>
  <c r="K35" i="21408"/>
  <c r="J35" i="21408"/>
  <c r="I35" i="21408"/>
  <c r="H35" i="21408"/>
  <c r="F32" i="21408"/>
  <c r="F33" i="21408" s="1"/>
  <c r="F30" i="21408"/>
  <c r="F31" i="21408" s="1"/>
  <c r="F28" i="21408"/>
  <c r="F29" i="21408" s="1"/>
  <c r="F24" i="21408"/>
  <c r="F22" i="21408"/>
  <c r="F23" i="21408" s="1"/>
  <c r="F20" i="21408"/>
  <c r="F21" i="21408" s="1"/>
  <c r="F18" i="21408"/>
  <c r="F19" i="21408" s="1"/>
  <c r="F16" i="21408"/>
  <c r="BB65" i="21400"/>
  <c r="BB63" i="21400"/>
  <c r="BB61" i="21400"/>
  <c r="BB59" i="21400"/>
  <c r="BB57" i="21400"/>
  <c r="BB55" i="21400"/>
  <c r="BB53" i="21400"/>
  <c r="BB51" i="21400"/>
  <c r="BB49" i="21400"/>
  <c r="BB47" i="21400"/>
  <c r="BB45" i="21400"/>
  <c r="BB43" i="21400"/>
  <c r="BB39" i="21400"/>
  <c r="BB37" i="21400"/>
  <c r="BB35" i="21400"/>
  <c r="BB33" i="21400"/>
  <c r="BB31" i="21400"/>
  <c r="BB29" i="21400"/>
  <c r="AM348" i="21408"/>
  <c r="BB27" i="21400"/>
  <c r="BB25" i="21400"/>
  <c r="AM341" i="21408"/>
  <c r="AM342" i="21408" s="1"/>
  <c r="C13" i="21400"/>
  <c r="C15" i="21400" s="1"/>
  <c r="C17" i="21400" s="1"/>
  <c r="C19" i="21400" s="1"/>
  <c r="C21" i="21400" s="1"/>
  <c r="C23" i="21400" s="1"/>
  <c r="C25" i="21400" s="1"/>
  <c r="J10" i="21400"/>
  <c r="J12" i="21414" s="1"/>
  <c r="BB9" i="21400"/>
  <c r="BB65" i="21414"/>
  <c r="BB63" i="21414"/>
  <c r="BB61" i="21414"/>
  <c r="BB57" i="21414"/>
  <c r="BB55" i="21414"/>
  <c r="BB53" i="21414"/>
  <c r="BB49" i="21414"/>
  <c r="BB47" i="21414"/>
  <c r="BB43" i="21414"/>
  <c r="BB41" i="21414"/>
  <c r="BB39" i="21414"/>
  <c r="BB37" i="21414"/>
  <c r="AL348" i="21408"/>
  <c r="BB35" i="21414"/>
  <c r="BB33" i="21414"/>
  <c r="BB31" i="21414"/>
  <c r="BB29" i="21414"/>
  <c r="BB27" i="21414"/>
  <c r="AL341" i="21408"/>
  <c r="C15" i="21414"/>
  <c r="C17" i="21414" s="1"/>
  <c r="C19" i="21414" s="1"/>
  <c r="C21" i="21414" s="1"/>
  <c r="C23" i="21414" s="1"/>
  <c r="C25" i="21414" s="1"/>
  <c r="C27" i="21414" s="1"/>
  <c r="BB198" i="3"/>
  <c r="S197" i="3"/>
  <c r="BB196" i="3"/>
  <c r="S195" i="3"/>
  <c r="BB194" i="3"/>
  <c r="S193" i="3"/>
  <c r="BB192" i="3"/>
  <c r="S191" i="3"/>
  <c r="BB190" i="3"/>
  <c r="C190" i="3"/>
  <c r="C192" i="3" s="1"/>
  <c r="C194" i="3" s="1"/>
  <c r="S189" i="3"/>
  <c r="S185" i="3"/>
  <c r="S183" i="3"/>
  <c r="BB182" i="3"/>
  <c r="S181" i="3"/>
  <c r="BB180" i="3"/>
  <c r="S179" i="3"/>
  <c r="BB178" i="3"/>
  <c r="S177" i="3"/>
  <c r="BB176" i="3"/>
  <c r="S175" i="3"/>
  <c r="BB174" i="3"/>
  <c r="S173" i="3"/>
  <c r="BB172" i="3"/>
  <c r="S171" i="3"/>
  <c r="S169" i="3"/>
  <c r="S167" i="3"/>
  <c r="BB166" i="3"/>
  <c r="S165" i="3"/>
  <c r="BB164" i="3"/>
  <c r="S163" i="3"/>
  <c r="I163" i="3"/>
  <c r="BB162" i="3"/>
  <c r="S161" i="3"/>
  <c r="S159" i="3"/>
  <c r="BB158" i="3"/>
  <c r="S157" i="3"/>
  <c r="BB156" i="3"/>
  <c r="S155" i="3"/>
  <c r="BB154" i="3"/>
  <c r="S153" i="3"/>
  <c r="BB152" i="3"/>
  <c r="BB5" i="21414" s="1"/>
  <c r="S151" i="3"/>
  <c r="S4" i="21414" s="1"/>
  <c r="BB150" i="3"/>
  <c r="S149" i="3"/>
  <c r="BB148" i="3"/>
  <c r="S147" i="3"/>
  <c r="BB146" i="3"/>
  <c r="S145" i="3"/>
  <c r="BB144" i="3"/>
  <c r="S143" i="3"/>
  <c r="BB142" i="3"/>
  <c r="S141" i="3"/>
  <c r="S139" i="3"/>
  <c r="S137" i="3"/>
  <c r="BB136" i="3"/>
  <c r="S135" i="3"/>
  <c r="I135" i="3"/>
  <c r="BB134" i="3"/>
  <c r="S133" i="3"/>
  <c r="BB132" i="3"/>
  <c r="S131" i="3"/>
  <c r="BB130" i="3"/>
  <c r="S129" i="3"/>
  <c r="BB128" i="3"/>
  <c r="S127" i="3"/>
  <c r="BB126" i="3"/>
  <c r="S125" i="3"/>
  <c r="BB124" i="3"/>
  <c r="S123" i="3"/>
  <c r="BB122" i="3"/>
  <c r="S121" i="3"/>
  <c r="BB120" i="3"/>
  <c r="S119" i="3"/>
  <c r="BB118" i="3"/>
  <c r="S117" i="3"/>
  <c r="BB116" i="3"/>
  <c r="S115" i="3"/>
  <c r="BB114" i="3"/>
  <c r="S113" i="3"/>
  <c r="BB112" i="3"/>
  <c r="S111" i="3"/>
  <c r="BB110" i="3"/>
  <c r="S109" i="3"/>
  <c r="BB108" i="3"/>
  <c r="S107" i="3"/>
  <c r="BB106" i="3"/>
  <c r="S105" i="3"/>
  <c r="BB104" i="3"/>
  <c r="S103" i="3"/>
  <c r="BB102" i="3"/>
  <c r="S101" i="3"/>
  <c r="BB100" i="3"/>
  <c r="S99" i="3"/>
  <c r="BB98" i="3"/>
  <c r="S97" i="3"/>
  <c r="BB96" i="3"/>
  <c r="S95" i="3"/>
  <c r="I95" i="3"/>
  <c r="BB94" i="3"/>
  <c r="S93" i="3"/>
  <c r="I93" i="3"/>
  <c r="BB92" i="3"/>
  <c r="S91" i="3"/>
  <c r="BB90" i="3"/>
  <c r="S89" i="3"/>
  <c r="BB88" i="3"/>
  <c r="S87" i="3"/>
  <c r="BB86" i="3"/>
  <c r="S85" i="3"/>
  <c r="BB84" i="3"/>
  <c r="S83" i="3"/>
  <c r="BB82" i="3"/>
  <c r="S81" i="3"/>
  <c r="BB80" i="3"/>
  <c r="S79" i="3"/>
  <c r="BB78" i="3"/>
  <c r="S77" i="3"/>
  <c r="BB76" i="3"/>
  <c r="S75" i="3"/>
  <c r="BB74" i="3"/>
  <c r="S73" i="3"/>
  <c r="BB72" i="3"/>
  <c r="S71" i="3"/>
  <c r="BB70" i="3"/>
  <c r="S69" i="3"/>
  <c r="BB68" i="3"/>
  <c r="S67" i="3"/>
  <c r="BB66" i="3"/>
  <c r="S65" i="3"/>
  <c r="BB64" i="3"/>
  <c r="S63" i="3"/>
  <c r="I63" i="3"/>
  <c r="BB62" i="3"/>
  <c r="S61" i="3"/>
  <c r="I61" i="3"/>
  <c r="BB60" i="3"/>
  <c r="S59" i="3"/>
  <c r="BB58" i="3"/>
  <c r="S57" i="3"/>
  <c r="BB56" i="3"/>
  <c r="S55" i="3"/>
  <c r="BB54" i="3"/>
  <c r="S53" i="3"/>
  <c r="BB52" i="3"/>
  <c r="S51" i="3"/>
  <c r="I51" i="3"/>
  <c r="BB50" i="3"/>
  <c r="S49" i="3"/>
  <c r="BB48" i="3"/>
  <c r="S47" i="3"/>
  <c r="BB46" i="3"/>
  <c r="S45" i="3"/>
  <c r="BB44" i="3"/>
  <c r="S43" i="3"/>
  <c r="BB42" i="3"/>
  <c r="S41" i="3"/>
  <c r="BB40" i="3"/>
  <c r="S39" i="3"/>
  <c r="BB38" i="3"/>
  <c r="S37" i="3"/>
  <c r="BB36" i="3"/>
  <c r="S35" i="3"/>
  <c r="BB34" i="3"/>
  <c r="S33" i="3"/>
  <c r="BB32" i="3"/>
  <c r="S31" i="3"/>
  <c r="BB30" i="3"/>
  <c r="S29" i="3"/>
  <c r="BB28" i="3"/>
  <c r="S27" i="3"/>
  <c r="I27" i="3"/>
  <c r="AK348" i="21408"/>
  <c r="BB26" i="3"/>
  <c r="S25" i="3"/>
  <c r="BB24" i="3"/>
  <c r="S23" i="3"/>
  <c r="BB22" i="3"/>
  <c r="S21" i="3"/>
  <c r="S63" i="21419" s="1"/>
  <c r="BB20" i="3"/>
  <c r="BB62" i="21419" s="1"/>
  <c r="S19" i="3"/>
  <c r="S61" i="21419" s="1"/>
  <c r="BB18" i="3"/>
  <c r="BB60" i="21419" s="1"/>
  <c r="S17" i="3"/>
  <c r="BB16" i="3"/>
  <c r="S15" i="3"/>
  <c r="S60" i="21399" s="1"/>
  <c r="BB14" i="3"/>
  <c r="BB59" i="21399" s="1"/>
  <c r="S13" i="3"/>
  <c r="S58" i="21399" s="1"/>
  <c r="BB12" i="3"/>
  <c r="BB57" i="21399" s="1"/>
  <c r="S11" i="3"/>
  <c r="S56" i="21399" s="1"/>
  <c r="BB10" i="3"/>
  <c r="BB55" i="21399" s="1"/>
  <c r="S9" i="3"/>
  <c r="S54" i="21399" s="1"/>
  <c r="BB8" i="3"/>
  <c r="BB53" i="21399" s="1"/>
  <c r="S7" i="3"/>
  <c r="S52" i="21399" s="1"/>
  <c r="BB6" i="3"/>
  <c r="BB51" i="21399" s="1"/>
  <c r="BB46" i="21418" s="1"/>
  <c r="AW5" i="3"/>
  <c r="S5" i="3"/>
  <c r="K5" i="3"/>
  <c r="AK40" i="21408" s="1"/>
  <c r="AW4" i="3"/>
  <c r="AN4" i="3"/>
  <c r="AM4" i="3"/>
  <c r="AL4" i="3"/>
  <c r="AC4" i="3"/>
  <c r="AA4" i="3"/>
  <c r="X4" i="3"/>
  <c r="W4" i="3"/>
  <c r="U4" i="3"/>
  <c r="T4" i="3"/>
  <c r="O4" i="3"/>
  <c r="N4" i="3"/>
  <c r="M4" i="3"/>
  <c r="L4" i="3"/>
  <c r="I4" i="3"/>
  <c r="H4" i="3"/>
  <c r="B4" i="3"/>
  <c r="S245" i="21398"/>
  <c r="S243" i="21398"/>
  <c r="S241" i="21398"/>
  <c r="S239" i="21398"/>
  <c r="S237" i="21398"/>
  <c r="C236" i="21398"/>
  <c r="C238" i="21398" s="1"/>
  <c r="C240" i="21398" s="1"/>
  <c r="C242" i="21398" s="1"/>
  <c r="S235" i="21398"/>
  <c r="J235" i="21398"/>
  <c r="BB232" i="21398"/>
  <c r="BB230" i="21398"/>
  <c r="S229" i="21398"/>
  <c r="S227" i="21398"/>
  <c r="S225" i="21398"/>
  <c r="S223" i="21398"/>
  <c r="I223" i="21398"/>
  <c r="S221" i="21398"/>
  <c r="I221" i="21398"/>
  <c r="S219" i="21398"/>
  <c r="S217" i="21398"/>
  <c r="S215" i="21398"/>
  <c r="S211" i="21398"/>
  <c r="S209" i="21398"/>
  <c r="S207" i="21398"/>
  <c r="S205" i="21398"/>
  <c r="S203" i="21398"/>
  <c r="S201" i="21398"/>
  <c r="S199" i="21398"/>
  <c r="S197" i="21398"/>
  <c r="S195" i="21398"/>
  <c r="S193" i="21398"/>
  <c r="S191" i="21398"/>
  <c r="S189" i="21398"/>
  <c r="S187" i="21398"/>
  <c r="S185" i="21398"/>
  <c r="S183" i="21398"/>
  <c r="S181" i="21398"/>
  <c r="S179" i="21398"/>
  <c r="S177" i="21398"/>
  <c r="I177" i="21398"/>
  <c r="S175" i="21398"/>
  <c r="I175" i="21398"/>
  <c r="S173" i="21398"/>
  <c r="S171" i="21398"/>
  <c r="S169" i="21398"/>
  <c r="S167" i="21398"/>
  <c r="S165" i="21398"/>
  <c r="S163" i="21398"/>
  <c r="S161" i="21398"/>
  <c r="S159" i="21398"/>
  <c r="S157" i="21398"/>
  <c r="S155" i="21398"/>
  <c r="S153" i="21398"/>
  <c r="S151" i="21398"/>
  <c r="S149" i="21398"/>
  <c r="S147" i="21398"/>
  <c r="S145" i="21398"/>
  <c r="S143" i="21398"/>
  <c r="I143" i="21398"/>
  <c r="S141" i="21398"/>
  <c r="I141" i="21398"/>
  <c r="S139" i="21398"/>
  <c r="S137" i="21398"/>
  <c r="S135" i="21398"/>
  <c r="S133" i="21398"/>
  <c r="S131" i="21398"/>
  <c r="S129" i="21398"/>
  <c r="S127" i="21398"/>
  <c r="S125" i="21398"/>
  <c r="S123" i="21398"/>
  <c r="BB122" i="21398"/>
  <c r="S121" i="21398"/>
  <c r="S119" i="21398"/>
  <c r="S117" i="21398"/>
  <c r="S115" i="21398"/>
  <c r="S109" i="21398"/>
  <c r="S95" i="21398"/>
  <c r="I85" i="21398"/>
  <c r="I83" i="21398"/>
  <c r="S81" i="21398"/>
  <c r="S69" i="21398"/>
  <c r="S55" i="21398"/>
  <c r="S53" i="21398"/>
  <c r="S51" i="21398"/>
  <c r="S49" i="21398"/>
  <c r="S47" i="21398"/>
  <c r="S45" i="21398"/>
  <c r="S43" i="21398"/>
  <c r="S41" i="21398"/>
  <c r="S39" i="21398"/>
  <c r="S37" i="21398"/>
  <c r="S35" i="21398"/>
  <c r="S33" i="21398"/>
  <c r="I33" i="21398"/>
  <c r="S31" i="21398"/>
  <c r="I31" i="21398"/>
  <c r="S29" i="21398"/>
  <c r="S27" i="21398"/>
  <c r="AJ348" i="21408"/>
  <c r="S25" i="21398"/>
  <c r="S23" i="21398"/>
  <c r="S21" i="21398"/>
  <c r="S19" i="21398"/>
  <c r="S17" i="21398"/>
  <c r="S15" i="21398"/>
  <c r="S57" i="21419" s="1"/>
  <c r="AK341" i="21408"/>
  <c r="AK342" i="21408" s="1"/>
  <c r="S13" i="21398"/>
  <c r="S55" i="21419" s="1"/>
  <c r="S11" i="21398"/>
  <c r="S53" i="21419" s="1"/>
  <c r="S9" i="21398"/>
  <c r="S51" i="21419" s="1"/>
  <c r="S7" i="21398"/>
  <c r="S49" i="21419" s="1"/>
  <c r="S5" i="21398"/>
  <c r="B4" i="21398"/>
  <c r="BB246" i="2"/>
  <c r="S245" i="2"/>
  <c r="BB244" i="2"/>
  <c r="S243" i="2"/>
  <c r="BB242" i="2"/>
  <c r="J242" i="2"/>
  <c r="S241" i="2"/>
  <c r="BB240" i="2"/>
  <c r="S239" i="2"/>
  <c r="S237" i="2"/>
  <c r="S235" i="2"/>
  <c r="BB234" i="2"/>
  <c r="S233" i="2"/>
  <c r="S231" i="2"/>
  <c r="BB230" i="2"/>
  <c r="S229" i="2"/>
  <c r="BB228" i="2"/>
  <c r="S227" i="2"/>
  <c r="BB226" i="2"/>
  <c r="S225" i="2"/>
  <c r="BB224" i="2"/>
  <c r="AY224" i="2"/>
  <c r="S223" i="2"/>
  <c r="BB222" i="2"/>
  <c r="S221" i="2"/>
  <c r="BB220" i="2"/>
  <c r="S219" i="2"/>
  <c r="I219" i="2"/>
  <c r="BB218" i="2"/>
  <c r="S217" i="2"/>
  <c r="I217" i="2"/>
  <c r="AZ215" i="2"/>
  <c r="S215" i="2"/>
  <c r="S213" i="2"/>
  <c r="BB212" i="2"/>
  <c r="S211" i="2"/>
  <c r="BB210" i="2"/>
  <c r="S209" i="2"/>
  <c r="BB208" i="2"/>
  <c r="S207" i="2"/>
  <c r="BB206" i="2"/>
  <c r="S205" i="2"/>
  <c r="BB204" i="2"/>
  <c r="S203" i="2"/>
  <c r="BB202" i="2"/>
  <c r="S201" i="2"/>
  <c r="BB200" i="2"/>
  <c r="S199" i="2"/>
  <c r="BB198" i="2"/>
  <c r="S197" i="2"/>
  <c r="BB196" i="2"/>
  <c r="S195" i="2"/>
  <c r="BB194" i="2"/>
  <c r="S193" i="2"/>
  <c r="BB192" i="2"/>
  <c r="S191" i="2"/>
  <c r="BB190" i="2"/>
  <c r="S189" i="2"/>
  <c r="S187" i="2"/>
  <c r="S185" i="2"/>
  <c r="BB184" i="2"/>
  <c r="S183" i="2"/>
  <c r="BB182" i="2"/>
  <c r="S181" i="2"/>
  <c r="BB180" i="2"/>
  <c r="S179" i="2"/>
  <c r="I179" i="2"/>
  <c r="BB178" i="2"/>
  <c r="S177" i="2"/>
  <c r="I177" i="2"/>
  <c r="BB176" i="2"/>
  <c r="S175" i="2"/>
  <c r="BB174" i="2"/>
  <c r="S173" i="2"/>
  <c r="BB172" i="2"/>
  <c r="S171" i="2"/>
  <c r="BB170" i="2"/>
  <c r="S169" i="2"/>
  <c r="BB168" i="2"/>
  <c r="S167" i="2"/>
  <c r="BB166" i="2"/>
  <c r="S165" i="2"/>
  <c r="BB164" i="2"/>
  <c r="S163" i="2"/>
  <c r="BB162" i="2"/>
  <c r="S161" i="2"/>
  <c r="BB160" i="2"/>
  <c r="S159" i="2"/>
  <c r="BB158" i="2"/>
  <c r="S157" i="2"/>
  <c r="BB156" i="2"/>
  <c r="S155" i="2"/>
  <c r="BB154" i="2"/>
  <c r="S153" i="2"/>
  <c r="BB152" i="2"/>
  <c r="S151" i="2"/>
  <c r="BB150" i="2"/>
  <c r="S149" i="2"/>
  <c r="BB148" i="2"/>
  <c r="S147" i="2"/>
  <c r="BB146" i="2"/>
  <c r="S145" i="2"/>
  <c r="BB144" i="2"/>
  <c r="S143" i="2"/>
  <c r="I143" i="2"/>
  <c r="BB142" i="2"/>
  <c r="S141" i="2"/>
  <c r="I141" i="2"/>
  <c r="BB140" i="2"/>
  <c r="S139" i="2"/>
  <c r="BB138" i="2"/>
  <c r="S137" i="2"/>
  <c r="BB136" i="2"/>
  <c r="S135" i="2"/>
  <c r="BB134" i="2"/>
  <c r="S133" i="2"/>
  <c r="BB132" i="2"/>
  <c r="S131" i="2"/>
  <c r="BB130" i="2"/>
  <c r="S129" i="2"/>
  <c r="BB128" i="2"/>
  <c r="S127" i="2"/>
  <c r="BB126" i="2"/>
  <c r="S125" i="2"/>
  <c r="BB124" i="2"/>
  <c r="S123" i="2"/>
  <c r="BB122" i="2"/>
  <c r="AZ121" i="2"/>
  <c r="S121" i="2"/>
  <c r="BB120" i="2"/>
  <c r="S119" i="2"/>
  <c r="BB118" i="2"/>
  <c r="S117" i="2"/>
  <c r="BB116" i="2"/>
  <c r="S113" i="2"/>
  <c r="S99" i="2"/>
  <c r="S97" i="2"/>
  <c r="I87" i="2"/>
  <c r="S85" i="2"/>
  <c r="I85" i="2"/>
  <c r="S71" i="2"/>
  <c r="S55" i="2"/>
  <c r="BB54" i="2"/>
  <c r="S53" i="2"/>
  <c r="BB52" i="2"/>
  <c r="S51" i="2"/>
  <c r="BB50" i="2"/>
  <c r="S49" i="2"/>
  <c r="BB48" i="2"/>
  <c r="S47" i="2"/>
  <c r="BB46" i="2"/>
  <c r="S45" i="2"/>
  <c r="BB44" i="2"/>
  <c r="S43" i="2"/>
  <c r="BB42" i="2"/>
  <c r="S41" i="2"/>
  <c r="BB40" i="2"/>
  <c r="S39" i="2"/>
  <c r="BB38" i="2"/>
  <c r="S37" i="2"/>
  <c r="BB36" i="2"/>
  <c r="S35" i="2"/>
  <c r="BB34" i="2"/>
  <c r="S33" i="2"/>
  <c r="I33" i="2"/>
  <c r="BB32" i="2"/>
  <c r="S31" i="2"/>
  <c r="I31" i="2"/>
  <c r="BB30" i="2"/>
  <c r="AZ29" i="2"/>
  <c r="S29" i="2"/>
  <c r="BB28" i="2"/>
  <c r="AZ27" i="2"/>
  <c r="S27" i="2"/>
  <c r="BB26" i="2"/>
  <c r="S25" i="2"/>
  <c r="BB24" i="2"/>
  <c r="AI348" i="21408"/>
  <c r="S23" i="2"/>
  <c r="BB22" i="2"/>
  <c r="S21" i="2"/>
  <c r="BB20" i="2"/>
  <c r="S19" i="2"/>
  <c r="BB18" i="2"/>
  <c r="S17" i="2"/>
  <c r="S64" i="21422" s="1"/>
  <c r="BB16" i="2"/>
  <c r="BB63" i="21422" s="1"/>
  <c r="S15" i="2"/>
  <c r="S62" i="21422" s="1"/>
  <c r="BB14" i="2"/>
  <c r="BB61" i="21422" s="1"/>
  <c r="S13" i="2"/>
  <c r="S60" i="21422" s="1"/>
  <c r="BB12" i="2"/>
  <c r="BB59" i="21422" s="1"/>
  <c r="AI341" i="21408"/>
  <c r="AI342" i="21408" s="1"/>
  <c r="S11" i="2"/>
  <c r="S58" i="21422" s="1"/>
  <c r="BB10" i="2"/>
  <c r="BB57" i="21422" s="1"/>
  <c r="S9" i="2"/>
  <c r="S56" i="21422" s="1"/>
  <c r="BB8" i="2"/>
  <c r="BB55" i="21422" s="1"/>
  <c r="S7" i="2"/>
  <c r="S54" i="21422" s="1"/>
  <c r="S5" i="2"/>
  <c r="AN4" i="2"/>
  <c r="AM4" i="2"/>
  <c r="AL4" i="2"/>
  <c r="AJ4" i="2"/>
  <c r="AA4" i="2"/>
  <c r="X4" i="2"/>
  <c r="W4" i="2"/>
  <c r="U4" i="2"/>
  <c r="T4" i="2"/>
  <c r="O4" i="2"/>
  <c r="N4" i="2"/>
  <c r="M4" i="2"/>
  <c r="L4" i="2"/>
  <c r="H4" i="2"/>
  <c r="G4" i="2"/>
  <c r="F4" i="2"/>
  <c r="C4" i="2"/>
  <c r="C6" i="2" s="1"/>
  <c r="C53" i="21422" s="1"/>
  <c r="C43" i="21420" s="1"/>
  <c r="B4" i="2"/>
  <c r="B51" i="21399"/>
  <c r="B46" i="21418" s="1"/>
  <c r="AZ50" i="21399"/>
  <c r="AZ45" i="21418" s="1"/>
  <c r="AY50" i="21399"/>
  <c r="AY45" i="21418" s="1"/>
  <c r="AZ49" i="21399"/>
  <c r="AY49" i="21399"/>
  <c r="AZ48" i="21399"/>
  <c r="AZ43" i="21418" s="1"/>
  <c r="AY48" i="21399"/>
  <c r="AY43" i="21418" s="1"/>
  <c r="BB47" i="21399"/>
  <c r="BB42" i="21418" s="1"/>
  <c r="AY47" i="21399"/>
  <c r="AY42" i="21418" s="1"/>
  <c r="AZ46" i="21399"/>
  <c r="AY46" i="21399"/>
  <c r="BB45" i="21399"/>
  <c r="AZ45" i="21399"/>
  <c r="AY45" i="21399"/>
  <c r="BB43" i="21399"/>
  <c r="AZ43" i="21399"/>
  <c r="AY43" i="21399"/>
  <c r="AZ42" i="21399"/>
  <c r="AY42" i="21399"/>
  <c r="BB41" i="21399"/>
  <c r="AZ41" i="21399"/>
  <c r="AY41" i="21399"/>
  <c r="AZ40" i="21399"/>
  <c r="AY40" i="21399"/>
  <c r="BB39" i="21399"/>
  <c r="AZ39" i="21399"/>
  <c r="AY39" i="21399"/>
  <c r="AZ38" i="21399"/>
  <c r="AY38" i="21399"/>
  <c r="BB37" i="21399"/>
  <c r="AZ37" i="21399"/>
  <c r="AY37" i="21399"/>
  <c r="AZ36" i="21399"/>
  <c r="AY36" i="21399"/>
  <c r="BB35" i="21399"/>
  <c r="AZ35" i="21399"/>
  <c r="AY35" i="21399"/>
  <c r="AZ34" i="21399"/>
  <c r="AY34" i="21399"/>
  <c r="BB33" i="21399"/>
  <c r="AZ32" i="21399"/>
  <c r="AY32" i="21399"/>
  <c r="AZ28" i="21399"/>
  <c r="AY28" i="21399"/>
  <c r="BB27" i="21399"/>
  <c r="M27" i="21399"/>
  <c r="AZ26" i="21399"/>
  <c r="AY26" i="21399"/>
  <c r="AH348" i="21408"/>
  <c r="BB25" i="21399"/>
  <c r="M25" i="21399"/>
  <c r="AZ24" i="21399"/>
  <c r="AY24" i="21399"/>
  <c r="BB23" i="21399"/>
  <c r="M23" i="21399"/>
  <c r="AZ22" i="21399"/>
  <c r="AY22" i="21399"/>
  <c r="BB21" i="21399"/>
  <c r="M21" i="21399"/>
  <c r="BB19" i="21399"/>
  <c r="M19" i="21399"/>
  <c r="BB17" i="21399"/>
  <c r="M17" i="21399"/>
  <c r="BB13" i="21399"/>
  <c r="M13" i="21399"/>
  <c r="AH341" i="21408"/>
  <c r="AH342" i="21408" s="1"/>
  <c r="M11" i="21399"/>
  <c r="M350" i="108" s="1"/>
  <c r="AZ10" i="21399"/>
  <c r="AZ349" i="108" s="1"/>
  <c r="AY10" i="21399"/>
  <c r="AY349" i="108" s="1"/>
  <c r="BB9" i="21399"/>
  <c r="BB348" i="108" s="1"/>
  <c r="M9" i="21399"/>
  <c r="M348" i="108" s="1"/>
  <c r="AJ8" i="21399"/>
  <c r="AH332" i="21408" s="1"/>
  <c r="G8" i="21399"/>
  <c r="B5" i="21399"/>
  <c r="K4" i="21399"/>
  <c r="G4" i="21399"/>
  <c r="B42" i="21418"/>
  <c r="AY41" i="21418"/>
  <c r="AY40" i="21418"/>
  <c r="AY39" i="21418"/>
  <c r="AY38" i="21418"/>
  <c r="AY37" i="21418"/>
  <c r="BB36" i="21418"/>
  <c r="AY36" i="21418"/>
  <c r="AY35" i="21418"/>
  <c r="BB34" i="21418"/>
  <c r="AY34" i="21418"/>
  <c r="AY33" i="21418"/>
  <c r="I29" i="21418"/>
  <c r="I27" i="21418"/>
  <c r="AG348" i="21408"/>
  <c r="AY19" i="21418"/>
  <c r="BB18" i="21418"/>
  <c r="M18" i="21418"/>
  <c r="AY17" i="21418"/>
  <c r="AY16" i="21418"/>
  <c r="BB14" i="21418"/>
  <c r="BB346" i="21415" s="1"/>
  <c r="M14" i="21418"/>
  <c r="M346" i="21415" s="1"/>
  <c r="AY13" i="21418"/>
  <c r="AY345" i="21415" s="1"/>
  <c r="BB12" i="21418"/>
  <c r="BB344" i="21415" s="1"/>
  <c r="AC344" i="21415"/>
  <c r="M12" i="21418"/>
  <c r="M344" i="21415" s="1"/>
  <c r="AG341" i="21408"/>
  <c r="AG342" i="21408" s="1"/>
  <c r="AY11" i="21418"/>
  <c r="AY343" i="21415" s="1"/>
  <c r="BB10" i="21418"/>
  <c r="BB342" i="21415" s="1"/>
  <c r="M10" i="21418"/>
  <c r="M342" i="21415" s="1"/>
  <c r="AY9" i="21418"/>
  <c r="AY341" i="21415" s="1"/>
  <c r="BB8" i="21418"/>
  <c r="BB340" i="21415" s="1"/>
  <c r="AC340" i="21415"/>
  <c r="M8" i="21418"/>
  <c r="M340" i="21415" s="1"/>
  <c r="C8" i="21418"/>
  <c r="C340" i="21415" s="1"/>
  <c r="BB6" i="21418"/>
  <c r="BB338" i="21415" s="1"/>
  <c r="M6" i="21418"/>
  <c r="M338" i="21415" s="1"/>
  <c r="B4" i="21418"/>
  <c r="A48" i="21419"/>
  <c r="AZ45" i="21419"/>
  <c r="AZ40" i="21420" s="1"/>
  <c r="BB44" i="21419"/>
  <c r="BB39" i="21420" s="1"/>
  <c r="M44" i="21419"/>
  <c r="M39" i="21420" s="1"/>
  <c r="AZ43" i="21419"/>
  <c r="AZ38" i="21420" s="1"/>
  <c r="AY43" i="21419"/>
  <c r="AY38" i="21420" s="1"/>
  <c r="BB42" i="21419"/>
  <c r="BB37" i="21420" s="1"/>
  <c r="M42" i="21419"/>
  <c r="M37" i="21420" s="1"/>
  <c r="AZ41" i="21419"/>
  <c r="AZ36" i="21420" s="1"/>
  <c r="AY41" i="21419"/>
  <c r="AY36" i="21420" s="1"/>
  <c r="BB40" i="21419"/>
  <c r="M40" i="21419"/>
  <c r="BB38" i="21419"/>
  <c r="M38" i="21419"/>
  <c r="I31" i="21419"/>
  <c r="AF241" i="21408" s="1"/>
  <c r="AF348" i="21408"/>
  <c r="AZ17" i="21419"/>
  <c r="BB16" i="21419"/>
  <c r="M16" i="21419"/>
  <c r="BB14" i="21419"/>
  <c r="M14" i="21419"/>
  <c r="AZ13" i="21419"/>
  <c r="AY13" i="21419"/>
  <c r="BB12" i="21419"/>
  <c r="M12" i="21419"/>
  <c r="AF341" i="21408"/>
  <c r="AF342" i="21408" s="1"/>
  <c r="AZ11" i="21419"/>
  <c r="AY11" i="21419"/>
  <c r="BB10" i="21419"/>
  <c r="M10" i="21419"/>
  <c r="BB8" i="21419"/>
  <c r="BB347" i="21416" s="1"/>
  <c r="M8" i="21419"/>
  <c r="M347" i="21416" s="1"/>
  <c r="BB6" i="21419"/>
  <c r="BB345" i="21416" s="1"/>
  <c r="M6" i="21419"/>
  <c r="M345" i="21416" s="1"/>
  <c r="B4" i="21419"/>
  <c r="AZ35" i="21420"/>
  <c r="AY35" i="21420"/>
  <c r="AZ34" i="21420"/>
  <c r="AY34" i="21420"/>
  <c r="AZ33" i="21420"/>
  <c r="AY33" i="21420"/>
  <c r="AZ32" i="21420"/>
  <c r="AY32" i="21420"/>
  <c r="AZ31" i="21420"/>
  <c r="AY31" i="21420"/>
  <c r="AE348" i="21408"/>
  <c r="AZ30" i="21420"/>
  <c r="AY30" i="21420"/>
  <c r="AZ29" i="21420"/>
  <c r="AY29" i="21420"/>
  <c r="AZ28" i="21420"/>
  <c r="AY28" i="21420"/>
  <c r="AZ27" i="21420"/>
  <c r="AY27" i="21420"/>
  <c r="AZ26" i="21420"/>
  <c r="AY26" i="21420"/>
  <c r="AZ25" i="21420"/>
  <c r="AY25" i="21420"/>
  <c r="AZ24" i="21420"/>
  <c r="AY24" i="21420"/>
  <c r="AZ23" i="21420"/>
  <c r="AY23" i="21420"/>
  <c r="AZ22" i="21420"/>
  <c r="AY22" i="21420"/>
  <c r="AE341" i="21408"/>
  <c r="AE342" i="21408" s="1"/>
  <c r="AZ18" i="21420"/>
  <c r="AY18" i="21420"/>
  <c r="BB17" i="21420"/>
  <c r="AZ17" i="21420"/>
  <c r="AY17" i="21420"/>
  <c r="AZ16" i="21420"/>
  <c r="AY16" i="21420"/>
  <c r="BB15" i="21420"/>
  <c r="AZ14" i="21420"/>
  <c r="AY14" i="21420"/>
  <c r="AZ13" i="21420"/>
  <c r="AY13" i="21420"/>
  <c r="C13" i="21420"/>
  <c r="C15" i="21420" s="1"/>
  <c r="AZ12" i="21420"/>
  <c r="AY12" i="21420"/>
  <c r="AZ11" i="21420"/>
  <c r="AY11" i="21420"/>
  <c r="AD348" i="21408"/>
  <c r="AZ33" i="21421"/>
  <c r="AY33" i="21421"/>
  <c r="AZ32" i="21421"/>
  <c r="AY32" i="21421"/>
  <c r="BB31" i="21421"/>
  <c r="M31" i="21421"/>
  <c r="AZ30" i="21421"/>
  <c r="AY30" i="21421"/>
  <c r="AZ29" i="21421"/>
  <c r="AY29" i="21421"/>
  <c r="AZ28" i="21421"/>
  <c r="AY28" i="21421"/>
  <c r="AZ27" i="21421"/>
  <c r="AY27" i="21421"/>
  <c r="AZ26" i="21421"/>
  <c r="AY26" i="21421"/>
  <c r="AZ25" i="21421"/>
  <c r="AY25" i="21421"/>
  <c r="AZ24" i="21421"/>
  <c r="AY24" i="21421"/>
  <c r="AD341" i="21408"/>
  <c r="AD342" i="21408" s="1"/>
  <c r="AZ20" i="21421"/>
  <c r="AY20" i="21421"/>
  <c r="AZ19" i="21421"/>
  <c r="AY19" i="21421"/>
  <c r="AZ18" i="21421"/>
  <c r="AY18" i="21421"/>
  <c r="AZ17" i="21421"/>
  <c r="AY17" i="21421"/>
  <c r="AZ16" i="21421"/>
  <c r="AY16" i="21421"/>
  <c r="AZ15" i="21421"/>
  <c r="AY15" i="21421"/>
  <c r="AZ14" i="21421"/>
  <c r="AY14" i="21421"/>
  <c r="AZ13" i="21421"/>
  <c r="AY13" i="21421"/>
  <c r="C13" i="21421"/>
  <c r="C15" i="21421" s="1"/>
  <c r="C17" i="21421" s="1"/>
  <c r="AZ12" i="21421"/>
  <c r="AY12" i="21421"/>
  <c r="BB11" i="21421"/>
  <c r="M11" i="21421"/>
  <c r="A53" i="21422"/>
  <c r="A43" i="21420" s="1"/>
  <c r="AZ52" i="21422"/>
  <c r="AZ42" i="21420" s="1"/>
  <c r="AY52" i="21422"/>
  <c r="AY42" i="21420" s="1"/>
  <c r="AZ51" i="21422"/>
  <c r="AZ41" i="21420" s="1"/>
  <c r="AY51" i="21422"/>
  <c r="AZ50" i="21422"/>
  <c r="AZ42" i="21421" s="1"/>
  <c r="AY50" i="21422"/>
  <c r="AY42" i="21421" s="1"/>
  <c r="BB49" i="21422"/>
  <c r="BB41" i="21421" s="1"/>
  <c r="AZ49" i="21422"/>
  <c r="AZ41" i="21421" s="1"/>
  <c r="AY49" i="21422"/>
  <c r="AY41" i="21421" s="1"/>
  <c r="AZ48" i="21422"/>
  <c r="AZ40" i="21421" s="1"/>
  <c r="AY48" i="21422"/>
  <c r="AY40" i="21421" s="1"/>
  <c r="BB47" i="21422"/>
  <c r="BB39" i="21421" s="1"/>
  <c r="BB45" i="21422"/>
  <c r="BB37" i="21421" s="1"/>
  <c r="BB43" i="21422"/>
  <c r="BB35" i="21421" s="1"/>
  <c r="BB41" i="21422"/>
  <c r="AZ40" i="21422"/>
  <c r="AY40" i="21422"/>
  <c r="AZ39" i="21422"/>
  <c r="AY39" i="21422"/>
  <c r="AZ38" i="21422"/>
  <c r="AY38" i="21422"/>
  <c r="BB37" i="21422"/>
  <c r="AZ36" i="21422"/>
  <c r="AY36" i="21422"/>
  <c r="BB35" i="21422"/>
  <c r="M35" i="21422"/>
  <c r="BB33" i="21422"/>
  <c r="M33" i="21422"/>
  <c r="AZ32" i="21422"/>
  <c r="AY32" i="21422"/>
  <c r="BB31" i="21422"/>
  <c r="M31" i="21422"/>
  <c r="AZ30" i="21422"/>
  <c r="AY30" i="21422"/>
  <c r="BB29" i="21422"/>
  <c r="M29" i="21422"/>
  <c r="BB27" i="21422"/>
  <c r="M27" i="21422"/>
  <c r="AZ26" i="21422"/>
  <c r="AY26" i="21422"/>
  <c r="AC348" i="21408"/>
  <c r="AZ24" i="21422"/>
  <c r="BB23" i="21422"/>
  <c r="M23" i="21422"/>
  <c r="AZ22" i="21422"/>
  <c r="AY22" i="21422"/>
  <c r="BB21" i="21422"/>
  <c r="AZ20" i="21422"/>
  <c r="AY20" i="21422"/>
  <c r="BB19" i="21422"/>
  <c r="AZ18" i="21422"/>
  <c r="AY18" i="21422"/>
  <c r="BB17" i="21422"/>
  <c r="BB15" i="21422"/>
  <c r="M15" i="21422"/>
  <c r="BB13" i="21422"/>
  <c r="BB9" i="21421" s="1"/>
  <c r="M13" i="21422"/>
  <c r="M9" i="21421" s="1"/>
  <c r="AC341" i="21408"/>
  <c r="AC342" i="21408" s="1"/>
  <c r="BB11" i="21422"/>
  <c r="M11" i="21422"/>
  <c r="AZ10" i="21422"/>
  <c r="AY10" i="21422"/>
  <c r="M9" i="21422"/>
  <c r="BB29" i="21412"/>
  <c r="BB27" i="21411" s="1"/>
  <c r="AB348" i="21408"/>
  <c r="BB27" i="21412"/>
  <c r="BB25" i="21412"/>
  <c r="BB23" i="21412"/>
  <c r="BB21" i="21412"/>
  <c r="BB19" i="21412"/>
  <c r="BB17" i="21412"/>
  <c r="AB341" i="21408"/>
  <c r="AB342" i="21408" s="1"/>
  <c r="BB15" i="21412"/>
  <c r="BB13" i="21412"/>
  <c r="C13" i="21412"/>
  <c r="C15" i="21412" s="1"/>
  <c r="AX15" i="21412" s="1"/>
  <c r="AX11" i="21412"/>
  <c r="AW11" i="21412"/>
  <c r="AW9" i="21411" s="1"/>
  <c r="AA341" i="21408"/>
  <c r="AA342" i="21408" s="1"/>
  <c r="C13" i="21411"/>
  <c r="C15" i="21411" s="1"/>
  <c r="C17" i="21411" s="1"/>
  <c r="C19" i="21411" s="1"/>
  <c r="C21" i="21411" s="1"/>
  <c r="C23" i="21411" s="1"/>
  <c r="C25" i="21411" s="1"/>
  <c r="BB41" i="21410"/>
  <c r="BB39" i="21410"/>
  <c r="BB37" i="21410"/>
  <c r="BB31" i="21411" s="1"/>
  <c r="BB13" i="21410"/>
  <c r="BB11" i="21410"/>
  <c r="BB9" i="21410"/>
  <c r="BB5" i="21412" s="1"/>
  <c r="C7" i="21410"/>
  <c r="C9" i="21410" s="1"/>
  <c r="C5" i="21412" s="1"/>
  <c r="I6" i="21410"/>
  <c r="Z241" i="21408" s="1"/>
  <c r="BB5" i="21410"/>
  <c r="AX5" i="21410"/>
  <c r="M5" i="21410" s="1"/>
  <c r="AW5" i="21410"/>
  <c r="J4" i="21410"/>
  <c r="AX4" i="21410" s="1"/>
  <c r="BB5" i="21431"/>
  <c r="W236" i="21408"/>
  <c r="W339" i="21408"/>
  <c r="BB13" i="21431"/>
  <c r="J12" i="21431"/>
  <c r="J106" i="21433" s="1"/>
  <c r="BB11" i="21431"/>
  <c r="BB105" i="21433" s="1"/>
  <c r="B5" i="21431"/>
  <c r="I329" i="108"/>
  <c r="A348" i="108"/>
  <c r="BB344" i="108"/>
  <c r="BB7" i="21399" s="1"/>
  <c r="BB342" i="108"/>
  <c r="BB5" i="21399" s="1"/>
  <c r="BB340" i="108"/>
  <c r="BB338" i="108"/>
  <c r="BB336" i="108"/>
  <c r="BB334" i="108"/>
  <c r="BB332" i="108"/>
  <c r="BB330" i="108"/>
  <c r="BB328" i="108"/>
  <c r="I327" i="108"/>
  <c r="BB326" i="108"/>
  <c r="BB324" i="108"/>
  <c r="BB322" i="108"/>
  <c r="BB41" i="21412" s="1"/>
  <c r="BB320" i="108"/>
  <c r="BB312" i="108"/>
  <c r="BB310" i="108"/>
  <c r="BB308" i="108"/>
  <c r="BB306" i="108"/>
  <c r="BB304" i="108"/>
  <c r="BB302" i="108"/>
  <c r="BB300" i="108"/>
  <c r="BB298" i="108"/>
  <c r="BB296" i="108"/>
  <c r="BB294" i="108"/>
  <c r="BB292" i="108"/>
  <c r="BB290" i="108"/>
  <c r="BB288" i="108"/>
  <c r="BB286" i="108"/>
  <c r="I285" i="108"/>
  <c r="BB284" i="108"/>
  <c r="I283" i="108"/>
  <c r="BB280" i="108"/>
  <c r="BB278" i="108"/>
  <c r="BB276" i="108"/>
  <c r="BB274" i="108"/>
  <c r="BB272" i="108"/>
  <c r="BB270" i="108"/>
  <c r="BB268" i="108"/>
  <c r="BB266" i="108"/>
  <c r="BB264" i="108"/>
  <c r="BB262" i="108"/>
  <c r="BB260" i="108"/>
  <c r="BB258" i="108"/>
  <c r="BB256" i="108"/>
  <c r="BB254" i="108"/>
  <c r="BB248" i="108"/>
  <c r="BB244" i="108"/>
  <c r="BB232" i="108"/>
  <c r="BB101" i="21434" s="1"/>
  <c r="BB230" i="108"/>
  <c r="BB228" i="108"/>
  <c r="BB226" i="108"/>
  <c r="BB224" i="108"/>
  <c r="BB222" i="108"/>
  <c r="BB220" i="108"/>
  <c r="BB218" i="108"/>
  <c r="BB216" i="108"/>
  <c r="BB214" i="108"/>
  <c r="BB212" i="108"/>
  <c r="BB210" i="108"/>
  <c r="BB208" i="108"/>
  <c r="C208" i="108"/>
  <c r="C210" i="108" s="1"/>
  <c r="BB206" i="108"/>
  <c r="AX206" i="108"/>
  <c r="M206" i="108" s="1"/>
  <c r="AW206" i="108"/>
  <c r="J205" i="108"/>
  <c r="BB204" i="108"/>
  <c r="BB202" i="108"/>
  <c r="BB200" i="108"/>
  <c r="BB198" i="108"/>
  <c r="BB196" i="108"/>
  <c r="BB194" i="108"/>
  <c r="BB192" i="108"/>
  <c r="BB190" i="108"/>
  <c r="BB188" i="108"/>
  <c r="BB178" i="108"/>
  <c r="BB176" i="108"/>
  <c r="BB174" i="108"/>
  <c r="BB172" i="108"/>
  <c r="BB170" i="108"/>
  <c r="BB168" i="108"/>
  <c r="BB166" i="108"/>
  <c r="BB164" i="108"/>
  <c r="BB162" i="108"/>
  <c r="BB160" i="108"/>
  <c r="BB158" i="108"/>
  <c r="BB156" i="108"/>
  <c r="BB152" i="108"/>
  <c r="BB150" i="108"/>
  <c r="BB148" i="108"/>
  <c r="BB146" i="108"/>
  <c r="BB144" i="108"/>
  <c r="BB142" i="108"/>
  <c r="BB138" i="108"/>
  <c r="BB136" i="108"/>
  <c r="BB134" i="108"/>
  <c r="BB130" i="108"/>
  <c r="BB128" i="108"/>
  <c r="BB126" i="108"/>
  <c r="BB124" i="108"/>
  <c r="BB120" i="108"/>
  <c r="BB118" i="108"/>
  <c r="BB114" i="108"/>
  <c r="BB112" i="108"/>
  <c r="BB110" i="108"/>
  <c r="BB108" i="108"/>
  <c r="BB106" i="108"/>
  <c r="BB104" i="108"/>
  <c r="BB102" i="108"/>
  <c r="BB98" i="108"/>
  <c r="BB96" i="108"/>
  <c r="BB94" i="108"/>
  <c r="BB90" i="108"/>
  <c r="BB88" i="108"/>
  <c r="BB86" i="108"/>
  <c r="BB80" i="108"/>
  <c r="BB76" i="108"/>
  <c r="BB74" i="108"/>
  <c r="BB70" i="108"/>
  <c r="BB68" i="108"/>
  <c r="BB66" i="108"/>
  <c r="BB62" i="108"/>
  <c r="C62" i="108"/>
  <c r="BB60" i="108"/>
  <c r="BB58" i="108"/>
  <c r="BB56" i="108"/>
  <c r="BB54" i="108"/>
  <c r="BB52" i="108"/>
  <c r="BB50" i="108"/>
  <c r="BB48" i="108"/>
  <c r="BB46" i="108"/>
  <c r="BB42" i="108"/>
  <c r="BB40" i="108"/>
  <c r="BB36" i="108"/>
  <c r="BB34" i="108"/>
  <c r="BB32" i="108"/>
  <c r="BB30" i="108"/>
  <c r="BB28" i="108"/>
  <c r="BB26" i="108"/>
  <c r="BB24" i="108"/>
  <c r="U348" i="21408"/>
  <c r="BB22" i="108"/>
  <c r="BB20" i="108"/>
  <c r="BB18" i="108"/>
  <c r="BB16" i="108"/>
  <c r="BB14" i="108"/>
  <c r="BB12" i="108"/>
  <c r="BA94" i="21425" s="1"/>
  <c r="U341" i="21408"/>
  <c r="U342" i="21408" s="1"/>
  <c r="AZ9" i="108"/>
  <c r="U266" i="21408"/>
  <c r="BB8" i="108"/>
  <c r="BA90" i="21425" s="1"/>
  <c r="C8" i="108"/>
  <c r="C90" i="21425" s="1"/>
  <c r="BB6" i="108"/>
  <c r="BA88" i="21425" s="1"/>
  <c r="B4" i="108"/>
  <c r="A338" i="21415"/>
  <c r="I321" i="21415"/>
  <c r="I319" i="21415"/>
  <c r="I277" i="21415"/>
  <c r="I275" i="21415"/>
  <c r="BB256" i="21415"/>
  <c r="BB254" i="21415"/>
  <c r="BB252" i="21415"/>
  <c r="C206" i="21415"/>
  <c r="C208" i="21415" s="1"/>
  <c r="C210" i="21415" s="1"/>
  <c r="C212" i="21415" s="1"/>
  <c r="C214" i="21415" s="1"/>
  <c r="BB140" i="21415"/>
  <c r="BB138" i="21415"/>
  <c r="BB136" i="21415"/>
  <c r="BB134" i="21415"/>
  <c r="BB132" i="21415"/>
  <c r="BB130" i="21415"/>
  <c r="BB128" i="21415"/>
  <c r="BB126" i="21415"/>
  <c r="BB124" i="21415"/>
  <c r="BB122" i="21415"/>
  <c r="BB120" i="21415"/>
  <c r="BB118" i="21415"/>
  <c r="BB116" i="21415"/>
  <c r="BB114" i="21415"/>
  <c r="BB112" i="21415"/>
  <c r="BB110" i="21415"/>
  <c r="BB108" i="21415"/>
  <c r="BB106" i="21415"/>
  <c r="BB104" i="21415"/>
  <c r="BB102" i="21415"/>
  <c r="BB100" i="21415"/>
  <c r="BB98" i="21415"/>
  <c r="BB96" i="21415"/>
  <c r="BB94" i="21415"/>
  <c r="BB92" i="21415"/>
  <c r="BB90" i="21415"/>
  <c r="BB88" i="21415"/>
  <c r="BB86" i="21415"/>
  <c r="BB84" i="21415"/>
  <c r="BB80" i="21415"/>
  <c r="BB76" i="21415"/>
  <c r="BB74" i="21415"/>
  <c r="BB72" i="21415"/>
  <c r="BB70" i="21415"/>
  <c r="BB68" i="21415"/>
  <c r="BB66" i="21415"/>
  <c r="BB62" i="21415"/>
  <c r="C62" i="21415"/>
  <c r="C66" i="21415" s="1"/>
  <c r="C68" i="21415" s="1"/>
  <c r="BB60" i="21415"/>
  <c r="AX60" i="21415"/>
  <c r="BB58" i="21415"/>
  <c r="BB56" i="21415"/>
  <c r="BB54" i="21415"/>
  <c r="BB52" i="21415"/>
  <c r="BB50" i="21415"/>
  <c r="BB48" i="21415"/>
  <c r="BB46" i="21415"/>
  <c r="BB44" i="21415"/>
  <c r="BB42" i="21415"/>
  <c r="BB40" i="21415"/>
  <c r="BB38" i="21415"/>
  <c r="BB36" i="21415"/>
  <c r="BB34" i="21415"/>
  <c r="BB32" i="21415"/>
  <c r="BB30" i="21415"/>
  <c r="BB28" i="21415"/>
  <c r="BB26" i="21415"/>
  <c r="BB24" i="21415"/>
  <c r="T348" i="21408"/>
  <c r="BB22" i="21415"/>
  <c r="BB20" i="21415"/>
  <c r="BB18" i="21415"/>
  <c r="BB16" i="21415"/>
  <c r="T341" i="21408"/>
  <c r="T342" i="21408" s="1"/>
  <c r="BB10" i="21415"/>
  <c r="BB92" i="21426" s="1"/>
  <c r="AZ9" i="21415"/>
  <c r="AZ91" i="21426" s="1"/>
  <c r="T266" i="21408"/>
  <c r="BB8" i="21415"/>
  <c r="BB90" i="21426" s="1"/>
  <c r="C8" i="21415"/>
  <c r="C90" i="21426" s="1"/>
  <c r="AZ5" i="21415"/>
  <c r="AZ87" i="21426" s="1"/>
  <c r="B4" i="21415"/>
  <c r="A345" i="21416"/>
  <c r="I326" i="21416"/>
  <c r="I284" i="21416"/>
  <c r="I282" i="21416"/>
  <c r="BB265" i="21416"/>
  <c r="BB263" i="21416"/>
  <c r="BB261" i="21416"/>
  <c r="BB259" i="21416"/>
  <c r="C213" i="21416"/>
  <c r="C215" i="21416" s="1"/>
  <c r="C217" i="21416" s="1"/>
  <c r="C219" i="21416" s="1"/>
  <c r="C221" i="21416" s="1"/>
  <c r="C223" i="21416" s="1"/>
  <c r="C225" i="21416" s="1"/>
  <c r="C227" i="21416" s="1"/>
  <c r="C229" i="21416" s="1"/>
  <c r="C231" i="21416" s="1"/>
  <c r="C233" i="21416" s="1"/>
  <c r="C235" i="21416" s="1"/>
  <c r="C237" i="21416" s="1"/>
  <c r="C239" i="21416" s="1"/>
  <c r="C241" i="21416" s="1"/>
  <c r="C243" i="21416" s="1"/>
  <c r="C245" i="21416" s="1"/>
  <c r="C247" i="21416" s="1"/>
  <c r="BB95" i="21416"/>
  <c r="BB93" i="21416"/>
  <c r="BB91" i="21416"/>
  <c r="BB87" i="21416"/>
  <c r="BB83" i="21416"/>
  <c r="BB81" i="21416"/>
  <c r="BB79" i="21416"/>
  <c r="BB77" i="21416"/>
  <c r="BB75" i="21416"/>
  <c r="BB73" i="21416"/>
  <c r="BB69" i="21416"/>
  <c r="C69" i="21416"/>
  <c r="C73" i="21416" s="1"/>
  <c r="C71" i="21416" s="1"/>
  <c r="BB67" i="21416"/>
  <c r="AX67" i="21416"/>
  <c r="BB65" i="21416"/>
  <c r="BB63" i="21416"/>
  <c r="BB61" i="21416"/>
  <c r="BB59" i="21416"/>
  <c r="BB55" i="21416"/>
  <c r="BB53" i="21416"/>
  <c r="BB51" i="21416"/>
  <c r="BB49" i="21416"/>
  <c r="BB47" i="21416"/>
  <c r="BB45" i="21416"/>
  <c r="BB43" i="21416"/>
  <c r="BB41" i="21416"/>
  <c r="BB39" i="21416"/>
  <c r="BB37" i="21416"/>
  <c r="BB35" i="21416"/>
  <c r="BB33" i="21416"/>
  <c r="BB31" i="21416"/>
  <c r="BB29" i="21416"/>
  <c r="BB27" i="21416"/>
  <c r="BB25" i="21416"/>
  <c r="BB23" i="21416"/>
  <c r="BB21" i="21416"/>
  <c r="BB96" i="21426" s="1"/>
  <c r="BB19" i="21416"/>
  <c r="BB17" i="21416"/>
  <c r="BB15" i="21416"/>
  <c r="C15" i="21416"/>
  <c r="C17" i="21416" s="1"/>
  <c r="C19" i="21416" s="1"/>
  <c r="J14" i="21416"/>
  <c r="BB13" i="21416"/>
  <c r="BB116" i="21428" s="1"/>
  <c r="F13" i="21416"/>
  <c r="F116" i="21428" s="1"/>
  <c r="K12" i="21416"/>
  <c r="S38" i="21408" s="1"/>
  <c r="G12" i="21416"/>
  <c r="B11" i="21416"/>
  <c r="I325" i="21417"/>
  <c r="B342" i="21417"/>
  <c r="BB340" i="21417"/>
  <c r="BB7" i="21422" s="1"/>
  <c r="BB338" i="21417"/>
  <c r="BB5" i="21422" s="1"/>
  <c r="BB336" i="21417"/>
  <c r="BB334" i="21417"/>
  <c r="BB332" i="21417"/>
  <c r="BB330" i="21417"/>
  <c r="BB328" i="21417"/>
  <c r="BB326" i="21417"/>
  <c r="BB324" i="21417"/>
  <c r="I323" i="21417"/>
  <c r="BB322" i="21417"/>
  <c r="BB320" i="21417"/>
  <c r="BB318" i="21417"/>
  <c r="BB316" i="21417"/>
  <c r="BB314" i="21417"/>
  <c r="BB312" i="21417"/>
  <c r="BB310" i="21417"/>
  <c r="BB308" i="21417"/>
  <c r="BB306" i="21417"/>
  <c r="BB304" i="21417"/>
  <c r="BB302" i="21417"/>
  <c r="BB300" i="21417"/>
  <c r="BB298" i="21417"/>
  <c r="BB296" i="21417"/>
  <c r="BB294" i="21417"/>
  <c r="BB292" i="21417"/>
  <c r="BB290" i="21417"/>
  <c r="BB288" i="21417"/>
  <c r="BB286" i="21417"/>
  <c r="BB284" i="21417"/>
  <c r="BB282" i="21417"/>
  <c r="I281" i="21417"/>
  <c r="BB280" i="21417"/>
  <c r="I279" i="21417"/>
  <c r="BB278" i="21417"/>
  <c r="BB276" i="21417"/>
  <c r="BB274" i="21417"/>
  <c r="BB272" i="21417"/>
  <c r="BB270" i="21417"/>
  <c r="BB268" i="21417"/>
  <c r="BB266" i="21417"/>
  <c r="BB264" i="21417"/>
  <c r="BB262" i="21417"/>
  <c r="BB258" i="21417"/>
  <c r="BB256" i="21417"/>
  <c r="BB254" i="21417"/>
  <c r="BB252" i="21417"/>
  <c r="BB248" i="21417"/>
  <c r="BB246" i="21417"/>
  <c r="BB244" i="21417"/>
  <c r="BB242" i="21417"/>
  <c r="BB240" i="21417"/>
  <c r="BB238" i="21417"/>
  <c r="BB236" i="21417"/>
  <c r="BB234" i="21417"/>
  <c r="BB232" i="21417"/>
  <c r="BB230" i="21417"/>
  <c r="BB228" i="21417"/>
  <c r="BB226" i="21417"/>
  <c r="BB224" i="21417"/>
  <c r="BB222" i="21417"/>
  <c r="BB220" i="21417"/>
  <c r="BB218" i="21417"/>
  <c r="BB216" i="21417"/>
  <c r="BB214" i="21417"/>
  <c r="BB212" i="21417"/>
  <c r="BB210" i="21417"/>
  <c r="C210" i="21417"/>
  <c r="BB208" i="21417"/>
  <c r="AX208" i="21417"/>
  <c r="AW208" i="21417"/>
  <c r="J207" i="21417"/>
  <c r="BB206" i="21417"/>
  <c r="BB204" i="21417"/>
  <c r="BB202" i="21417"/>
  <c r="BB200" i="21417"/>
  <c r="BB198" i="21417"/>
  <c r="BB196" i="21417"/>
  <c r="BB194" i="21417"/>
  <c r="BB192" i="21417"/>
  <c r="BB190" i="21417"/>
  <c r="BB188" i="21417"/>
  <c r="BB186" i="21417"/>
  <c r="BB184" i="21417"/>
  <c r="BB182" i="21417"/>
  <c r="BB180" i="21417"/>
  <c r="BB178" i="21417"/>
  <c r="BB176" i="21417"/>
  <c r="BB174" i="21417"/>
  <c r="BB172" i="21417"/>
  <c r="BB170" i="21417"/>
  <c r="BB168" i="21417"/>
  <c r="BB166" i="21417"/>
  <c r="BB164" i="21417"/>
  <c r="BB162" i="21417"/>
  <c r="BB160" i="21417"/>
  <c r="BB158" i="21417"/>
  <c r="AZ157" i="21417"/>
  <c r="BB156" i="21417"/>
  <c r="AZ155" i="21417"/>
  <c r="BB154" i="21417"/>
  <c r="BB152" i="21417"/>
  <c r="BB150" i="21417"/>
  <c r="BB148" i="21417"/>
  <c r="BB146" i="21417"/>
  <c r="BB144" i="21417"/>
  <c r="BB142" i="21417"/>
  <c r="BB140" i="21417"/>
  <c r="BB138" i="21417"/>
  <c r="BB136" i="21417"/>
  <c r="BB134" i="21417"/>
  <c r="BB132" i="21417"/>
  <c r="BB130" i="21417"/>
  <c r="BB128" i="21417"/>
  <c r="BB126" i="21417"/>
  <c r="BB124" i="21417"/>
  <c r="BB122" i="21417"/>
  <c r="BB120" i="21417"/>
  <c r="BB118" i="21417"/>
  <c r="BB116" i="21417"/>
  <c r="BB114" i="21417"/>
  <c r="BB112" i="21417"/>
  <c r="BB110" i="21417"/>
  <c r="BB108" i="21417"/>
  <c r="BB106" i="21417"/>
  <c r="BB104" i="21417"/>
  <c r="BB102" i="21417"/>
  <c r="BB100" i="21417"/>
  <c r="BB98" i="21417"/>
  <c r="BB96" i="21417"/>
  <c r="BB94" i="21417"/>
  <c r="BB92" i="21417"/>
  <c r="BB88" i="21417"/>
  <c r="BB84" i="21417"/>
  <c r="BB80" i="21417"/>
  <c r="BB78" i="21417"/>
  <c r="BB76" i="21417"/>
  <c r="BB74" i="21417"/>
  <c r="BB72" i="21417"/>
  <c r="BB66" i="21417"/>
  <c r="C66" i="21417"/>
  <c r="C70" i="21417" s="1"/>
  <c r="BB64" i="21417"/>
  <c r="BB62" i="21417"/>
  <c r="BB60" i="21417"/>
  <c r="BB56" i="21417"/>
  <c r="BB54" i="21417"/>
  <c r="BB52" i="21417"/>
  <c r="BB50" i="21417"/>
  <c r="BB48" i="21417"/>
  <c r="BB46" i="21417"/>
  <c r="BB44" i="21417"/>
  <c r="BB42" i="21417"/>
  <c r="BB40" i="21417"/>
  <c r="BB38" i="21417"/>
  <c r="BB36" i="21417"/>
  <c r="BB34" i="21417"/>
  <c r="BB32" i="21417"/>
  <c r="BB30" i="21417"/>
  <c r="BB28" i="21417"/>
  <c r="R348" i="21408"/>
  <c r="BB24" i="21417"/>
  <c r="BB22" i="21417"/>
  <c r="BB20" i="21417"/>
  <c r="BB18" i="21417"/>
  <c r="BB16" i="21417"/>
  <c r="R341" i="21408"/>
  <c r="R342" i="21408" s="1"/>
  <c r="BB14" i="21417"/>
  <c r="R266" i="21408"/>
  <c r="BB12" i="21417"/>
  <c r="C12" i="21417"/>
  <c r="J11" i="21417"/>
  <c r="BB10" i="21417"/>
  <c r="BB110" i="21430" s="1"/>
  <c r="G9" i="21417"/>
  <c r="B8" i="21417"/>
  <c r="BB108" i="21430"/>
  <c r="BB8" i="21417" s="1"/>
  <c r="AZ107" i="21430"/>
  <c r="AZ7" i="21417" s="1"/>
  <c r="BB106" i="21430"/>
  <c r="BB6" i="21417" s="1"/>
  <c r="BB104" i="21430"/>
  <c r="BB4" i="21417" s="1"/>
  <c r="BB102" i="21430"/>
  <c r="BB100" i="21430"/>
  <c r="BB98" i="21430"/>
  <c r="BB96" i="21430"/>
  <c r="BB94" i="21430"/>
  <c r="BB92" i="21430"/>
  <c r="BB90" i="21430"/>
  <c r="BB88" i="21430"/>
  <c r="BB86" i="21430"/>
  <c r="BB84" i="21430"/>
  <c r="BB82" i="21430"/>
  <c r="BB80" i="21430"/>
  <c r="BB76" i="21430"/>
  <c r="BB74" i="21430"/>
  <c r="BB72" i="21430"/>
  <c r="BB70" i="21430"/>
  <c r="BB68" i="21430"/>
  <c r="BB66" i="21430"/>
  <c r="BB64" i="21430"/>
  <c r="BB62" i="21430"/>
  <c r="BB58" i="21430"/>
  <c r="BB56" i="21430"/>
  <c r="BB54" i="21430"/>
  <c r="BB52" i="21430"/>
  <c r="BB50" i="21430"/>
  <c r="BB48" i="21430"/>
  <c r="BB46" i="21430"/>
  <c r="BB44" i="21430"/>
  <c r="BB42" i="21430"/>
  <c r="BB40" i="21430"/>
  <c r="BB38" i="21430"/>
  <c r="BB36" i="21430"/>
  <c r="BB32" i="21430"/>
  <c r="BB30" i="21430"/>
  <c r="BB28" i="21430"/>
  <c r="BB26" i="21430"/>
  <c r="BB24" i="21430"/>
  <c r="BB22" i="21430"/>
  <c r="Q348" i="21408"/>
  <c r="BB20" i="21430"/>
  <c r="BB141" i="21423" s="1"/>
  <c r="BB18" i="21430"/>
  <c r="BB139" i="21423" s="1"/>
  <c r="BB16" i="21430"/>
  <c r="BB137" i="21423" s="1"/>
  <c r="BB14" i="21430"/>
  <c r="BB135" i="21423" s="1"/>
  <c r="BB12" i="21430"/>
  <c r="BB133" i="21423" s="1"/>
  <c r="BB10" i="21430"/>
  <c r="BB131" i="21423" s="1"/>
  <c r="Q341" i="21408"/>
  <c r="Q342" i="21408" s="1"/>
  <c r="Q266" i="21408"/>
  <c r="BB6" i="21430"/>
  <c r="BB127" i="21423" s="1"/>
  <c r="BA5" i="21430"/>
  <c r="K5" i="21430"/>
  <c r="G5" i="21430"/>
  <c r="BA4" i="21430"/>
  <c r="AV4" i="21430"/>
  <c r="AU4" i="21430"/>
  <c r="AS4" i="21430"/>
  <c r="AR4" i="21430"/>
  <c r="AP4" i="21430"/>
  <c r="AO4" i="21430"/>
  <c r="AN4" i="21430"/>
  <c r="AM4" i="21430"/>
  <c r="AL4" i="21430"/>
  <c r="AK4" i="21430"/>
  <c r="AJ4" i="21430"/>
  <c r="AI4" i="21430"/>
  <c r="AH4" i="21430"/>
  <c r="AG4" i="21430"/>
  <c r="AF4" i="21430"/>
  <c r="Z4" i="21430"/>
  <c r="W4" i="21430"/>
  <c r="T4" i="21430"/>
  <c r="S4" i="21430"/>
  <c r="R4" i="21430"/>
  <c r="Q4" i="21430"/>
  <c r="N4" i="21430"/>
  <c r="L4" i="21430"/>
  <c r="H4" i="21430"/>
  <c r="F4" i="21430"/>
  <c r="B4" i="21430"/>
  <c r="P348" i="21408"/>
  <c r="P341" i="21408"/>
  <c r="P342" i="21408" s="1"/>
  <c r="P266" i="21408"/>
  <c r="C7" i="21429"/>
  <c r="C9" i="21429" s="1"/>
  <c r="C11" i="21429" s="1"/>
  <c r="C13" i="21429" s="1"/>
  <c r="C15" i="21429" s="1"/>
  <c r="C17" i="21429" s="1"/>
  <c r="C19" i="21429" s="1"/>
  <c r="C21" i="21429" s="1"/>
  <c r="J4" i="21429"/>
  <c r="AX4" i="21429" s="1"/>
  <c r="B116" i="21428"/>
  <c r="BB114" i="21428"/>
  <c r="BB11" i="21416" s="1"/>
  <c r="BB112" i="21428"/>
  <c r="BB9" i="21416" s="1"/>
  <c r="M111" i="21428"/>
  <c r="M8" i="21416" s="1"/>
  <c r="BB110" i="21428"/>
  <c r="BB108" i="21428"/>
  <c r="BB5" i="21416" s="1"/>
  <c r="BB106" i="21428"/>
  <c r="BB104" i="21428"/>
  <c r="AC104" i="21428"/>
  <c r="BB100" i="21428"/>
  <c r="BB98" i="21428"/>
  <c r="BB96" i="21428"/>
  <c r="BB54" i="21428"/>
  <c r="BB52" i="21428"/>
  <c r="BB50" i="21428"/>
  <c r="BB48" i="21428"/>
  <c r="BB46" i="21428"/>
  <c r="BB36" i="21428"/>
  <c r="BB32" i="21428"/>
  <c r="BB30" i="21428"/>
  <c r="BB26" i="21428"/>
  <c r="BB24" i="21428"/>
  <c r="BB22" i="21428"/>
  <c r="BB143" i="21424" s="1"/>
  <c r="O348" i="21408"/>
  <c r="BB20" i="21428"/>
  <c r="BB141" i="21424" s="1"/>
  <c r="BB18" i="21428"/>
  <c r="BB139" i="21424" s="1"/>
  <c r="O341" i="21408"/>
  <c r="O342" i="21408" s="1"/>
  <c r="BB8" i="21428"/>
  <c r="BB129" i="21424" s="1"/>
  <c r="O266" i="21408"/>
  <c r="BB6" i="21428"/>
  <c r="BB127" i="21424" s="1"/>
  <c r="BA5" i="21428"/>
  <c r="AS5" i="21428"/>
  <c r="AR5" i="21428"/>
  <c r="K5" i="21428"/>
  <c r="G5" i="21428"/>
  <c r="BA4" i="21428"/>
  <c r="AV4" i="21428"/>
  <c r="AU4" i="21428"/>
  <c r="AP4" i="21428"/>
  <c r="AO4" i="21428"/>
  <c r="AN4" i="21428"/>
  <c r="AM4" i="21428"/>
  <c r="AL4" i="21428"/>
  <c r="AK4" i="21428"/>
  <c r="AJ4" i="21428"/>
  <c r="AI4" i="21428"/>
  <c r="AH4" i="21428"/>
  <c r="AG4" i="21428"/>
  <c r="AF4" i="21428"/>
  <c r="AE4" i="21428"/>
  <c r="AD4" i="21428"/>
  <c r="AB4" i="21428"/>
  <c r="AA4" i="21428"/>
  <c r="Z4" i="21428"/>
  <c r="Y4" i="21428"/>
  <c r="X4" i="21428"/>
  <c r="W4" i="21428"/>
  <c r="V4" i="21428"/>
  <c r="U4" i="21428"/>
  <c r="T4" i="21428"/>
  <c r="S4" i="21428"/>
  <c r="R4" i="21428"/>
  <c r="Q4" i="21428"/>
  <c r="P4" i="21428"/>
  <c r="O4" i="21428"/>
  <c r="O236" i="21408" s="1"/>
  <c r="N4" i="21428"/>
  <c r="L4" i="21428"/>
  <c r="H4" i="21428"/>
  <c r="F4" i="21428"/>
  <c r="E4" i="21428"/>
  <c r="D4" i="21428"/>
  <c r="B4" i="21428"/>
  <c r="N348" i="21408"/>
  <c r="N341" i="21408"/>
  <c r="N342" i="21408" s="1"/>
  <c r="N266" i="21408"/>
  <c r="C7" i="21427"/>
  <c r="C9" i="21427" s="1"/>
  <c r="C11" i="21427" s="1"/>
  <c r="C13" i="21427" s="1"/>
  <c r="BB5" i="21427"/>
  <c r="AW5" i="21427"/>
  <c r="J4" i="21427"/>
  <c r="B88" i="21426"/>
  <c r="BA87" i="21426"/>
  <c r="AX87" i="21426"/>
  <c r="AW87" i="21426"/>
  <c r="AV87" i="21426"/>
  <c r="AU87" i="21426"/>
  <c r="AS87" i="21426"/>
  <c r="AR87" i="21426"/>
  <c r="AP87" i="21426"/>
  <c r="AO87" i="21426"/>
  <c r="K87" i="21426"/>
  <c r="J87" i="21426"/>
  <c r="G87" i="21426"/>
  <c r="E87" i="21426"/>
  <c r="D87" i="21426"/>
  <c r="BB86" i="21426"/>
  <c r="BB4" i="21415" s="1"/>
  <c r="BB82" i="21426"/>
  <c r="BB80" i="21426"/>
  <c r="BB76" i="21426"/>
  <c r="BB74" i="21426"/>
  <c r="BB67" i="21427" s="1"/>
  <c r="BB62" i="21426"/>
  <c r="BB58" i="21426"/>
  <c r="BB30" i="21426"/>
  <c r="BB28" i="21426"/>
  <c r="BB24" i="21426"/>
  <c r="M348" i="21408"/>
  <c r="BB22" i="21426"/>
  <c r="BB20" i="21426"/>
  <c r="BB12" i="21426"/>
  <c r="BB95" i="21436" s="1"/>
  <c r="M341" i="21408"/>
  <c r="M342" i="21408" s="1"/>
  <c r="BB10" i="21426"/>
  <c r="BB93" i="21436" s="1"/>
  <c r="M266" i="21408"/>
  <c r="BB8" i="21426"/>
  <c r="BB91" i="21436" s="1"/>
  <c r="BB6" i="21426"/>
  <c r="BB89" i="21436" s="1"/>
  <c r="BA4" i="21426"/>
  <c r="AV4" i="21426"/>
  <c r="AU4" i="21426"/>
  <c r="AS4" i="21426"/>
  <c r="AR4" i="21426"/>
  <c r="AP4" i="21426"/>
  <c r="AO4" i="21426"/>
  <c r="AN4" i="21426"/>
  <c r="AM4" i="21426"/>
  <c r="AI4" i="21426"/>
  <c r="AH4" i="21426"/>
  <c r="AG4" i="21426"/>
  <c r="AF4" i="21426"/>
  <c r="AE4" i="21426"/>
  <c r="AD4" i="21426"/>
  <c r="AB4" i="21426"/>
  <c r="AA4" i="21426"/>
  <c r="Z4" i="21426"/>
  <c r="Y4" i="21426"/>
  <c r="X4" i="21426"/>
  <c r="W4" i="21426"/>
  <c r="V4" i="21426"/>
  <c r="U4" i="21426"/>
  <c r="T4" i="21426"/>
  <c r="S4" i="21426"/>
  <c r="R4" i="21426"/>
  <c r="Q4" i="21426"/>
  <c r="P4" i="21426"/>
  <c r="O4" i="21426"/>
  <c r="N4" i="21426"/>
  <c r="L4" i="21426"/>
  <c r="I4" i="21426"/>
  <c r="F4" i="21426"/>
  <c r="E4" i="21426"/>
  <c r="D4" i="21426"/>
  <c r="B4" i="21426"/>
  <c r="AZ88" i="21425"/>
  <c r="AU88" i="21425"/>
  <c r="AT88" i="21425"/>
  <c r="AR88" i="21425"/>
  <c r="AQ88" i="21425"/>
  <c r="AO88" i="21425"/>
  <c r="AN88" i="21425"/>
  <c r="AM88" i="21425"/>
  <c r="AL88" i="21425"/>
  <c r="AH88" i="21425"/>
  <c r="AG88" i="21425"/>
  <c r="AF88" i="21425"/>
  <c r="AE88" i="21425"/>
  <c r="AD88" i="21425"/>
  <c r="AC88" i="21425"/>
  <c r="Z88" i="21425"/>
  <c r="W88" i="21425"/>
  <c r="V88" i="21425"/>
  <c r="T88" i="21425"/>
  <c r="S88" i="21425"/>
  <c r="R88" i="21425"/>
  <c r="Q88" i="21425"/>
  <c r="P88" i="21425"/>
  <c r="N88" i="21425"/>
  <c r="M88" i="21425"/>
  <c r="L88" i="21425"/>
  <c r="K88" i="21425"/>
  <c r="H88" i="21425"/>
  <c r="F88" i="21425"/>
  <c r="E88" i="21425"/>
  <c r="D88" i="21425"/>
  <c r="C88" i="21425"/>
  <c r="B88" i="21425"/>
  <c r="BA86" i="21425"/>
  <c r="BB4" i="108" s="1"/>
  <c r="BA84" i="21425"/>
  <c r="BA82" i="21425"/>
  <c r="BA78" i="21425"/>
  <c r="AY77" i="21425"/>
  <c r="BA76" i="21425"/>
  <c r="BA74" i="21425"/>
  <c r="AY73" i="21425"/>
  <c r="BA72" i="21425"/>
  <c r="BA70" i="21425"/>
  <c r="BA68" i="21425"/>
  <c r="BA66" i="21425"/>
  <c r="BA64" i="21425"/>
  <c r="BA62" i="21425"/>
  <c r="BA58" i="21425"/>
  <c r="BA56" i="21425"/>
  <c r="BA54" i="21425"/>
  <c r="BA52" i="21425"/>
  <c r="BA50" i="21425"/>
  <c r="BA48" i="21425"/>
  <c r="BA46" i="21425"/>
  <c r="BA44" i="21425"/>
  <c r="BA42" i="21425"/>
  <c r="BA40" i="21425"/>
  <c r="BA38" i="21425"/>
  <c r="BA36" i="21425"/>
  <c r="BA34" i="21425"/>
  <c r="BA32" i="21425"/>
  <c r="BA30" i="21425"/>
  <c r="BA26" i="21425"/>
  <c r="BA24" i="21425"/>
  <c r="L348" i="21408"/>
  <c r="BA22" i="21425"/>
  <c r="BA20" i="21425"/>
  <c r="BA18" i="21425"/>
  <c r="BA14" i="21425"/>
  <c r="L341" i="21408"/>
  <c r="L342" i="21408" s="1"/>
  <c r="L266" i="21408"/>
  <c r="BA8" i="21425"/>
  <c r="BB91" i="21435" s="1"/>
  <c r="BA6" i="21425"/>
  <c r="BB89" i="21435" s="1"/>
  <c r="AZ4" i="21425"/>
  <c r="AU4" i="21425"/>
  <c r="AT4" i="21425"/>
  <c r="AR4" i="21425"/>
  <c r="AQ4" i="21425"/>
  <c r="AO4" i="21425"/>
  <c r="AN4" i="21425"/>
  <c r="AM4" i="21425"/>
  <c r="AL4" i="21425"/>
  <c r="AH4" i="21425"/>
  <c r="AG4" i="21425"/>
  <c r="AF4" i="21425"/>
  <c r="AE4" i="21425"/>
  <c r="AD4" i="21425"/>
  <c r="AC4" i="21425"/>
  <c r="Y4" i="21425"/>
  <c r="V4" i="21425"/>
  <c r="S4" i="21425"/>
  <c r="R4" i="21425"/>
  <c r="Q4" i="21425"/>
  <c r="P4" i="21425"/>
  <c r="M4" i="21425"/>
  <c r="K4" i="21425"/>
  <c r="F4" i="21425"/>
  <c r="E4" i="21425"/>
  <c r="D4" i="21425"/>
  <c r="B4" i="21425"/>
  <c r="BA89" i="21436"/>
  <c r="AN89" i="21436"/>
  <c r="AM89" i="21436"/>
  <c r="AL89" i="21436"/>
  <c r="AK89" i="21436"/>
  <c r="AJ89" i="21436"/>
  <c r="AI89" i="21436"/>
  <c r="AH89" i="21436"/>
  <c r="AG89" i="21436"/>
  <c r="AF89" i="21436"/>
  <c r="AE89" i="21436"/>
  <c r="AD89" i="21436"/>
  <c r="AB89" i="21436"/>
  <c r="AA89" i="21436"/>
  <c r="Z89" i="21436"/>
  <c r="Y89" i="21436"/>
  <c r="X89" i="21436"/>
  <c r="W89" i="21436"/>
  <c r="V89" i="21436"/>
  <c r="U89" i="21436"/>
  <c r="T89" i="21436"/>
  <c r="S89" i="21436"/>
  <c r="R89" i="21436"/>
  <c r="Q89" i="21436"/>
  <c r="P89" i="21436"/>
  <c r="O89" i="21436"/>
  <c r="N89" i="21436"/>
  <c r="L89" i="21436"/>
  <c r="I89" i="21436"/>
  <c r="H89" i="21436"/>
  <c r="F89" i="21436"/>
  <c r="E89" i="21436"/>
  <c r="D89" i="21436"/>
  <c r="B89" i="21436"/>
  <c r="A89" i="21436"/>
  <c r="BB87" i="21436"/>
  <c r="BB4" i="21426" s="1"/>
  <c r="BB81" i="21436"/>
  <c r="BB79" i="21436"/>
  <c r="BB77" i="21436"/>
  <c r="BB75" i="21436"/>
  <c r="C75" i="21436"/>
  <c r="BB73" i="21436"/>
  <c r="BB71" i="21436"/>
  <c r="BB69" i="21436"/>
  <c r="BB67" i="21436"/>
  <c r="BB65" i="21436"/>
  <c r="BB63" i="21436"/>
  <c r="BB61" i="21436"/>
  <c r="BB59" i="21436"/>
  <c r="BB57" i="21436"/>
  <c r="BB55" i="21436"/>
  <c r="BB51" i="21436"/>
  <c r="BB49" i="21436"/>
  <c r="BB47" i="21436"/>
  <c r="BB43" i="21436"/>
  <c r="BB41" i="21436"/>
  <c r="BB39" i="21436"/>
  <c r="BB35" i="21436"/>
  <c r="BB33" i="21436"/>
  <c r="BB31" i="21436"/>
  <c r="BB27" i="21436"/>
  <c r="BB25" i="21436"/>
  <c r="BB23" i="21436"/>
  <c r="BB17" i="21436"/>
  <c r="BB15" i="21436"/>
  <c r="BB13" i="21436"/>
  <c r="BB11" i="21436"/>
  <c r="BB9" i="21436"/>
  <c r="C9" i="21436"/>
  <c r="AW9" i="21436" s="1"/>
  <c r="BB5" i="21436"/>
  <c r="AW5" i="21436"/>
  <c r="F5" i="21436"/>
  <c r="J4" i="21436"/>
  <c r="BA89" i="21435"/>
  <c r="AV89" i="21435"/>
  <c r="AU89" i="21435"/>
  <c r="AS89" i="21435"/>
  <c r="AR89" i="21435"/>
  <c r="AP89" i="21435"/>
  <c r="AO89" i="21435"/>
  <c r="AN89" i="21435"/>
  <c r="AM89" i="21435"/>
  <c r="AI89" i="21435"/>
  <c r="AH89" i="21435"/>
  <c r="AG89" i="21435"/>
  <c r="AF89" i="21435"/>
  <c r="AE89" i="21435"/>
  <c r="AD89" i="21435"/>
  <c r="AB89" i="21435"/>
  <c r="AA89" i="21435"/>
  <c r="Z89" i="21435"/>
  <c r="Y89" i="21435"/>
  <c r="X89" i="21435"/>
  <c r="W89" i="21435"/>
  <c r="V89" i="21435"/>
  <c r="U89" i="21435"/>
  <c r="T89" i="21435"/>
  <c r="S89" i="21435"/>
  <c r="R89" i="21435"/>
  <c r="Q89" i="21435"/>
  <c r="P89" i="21435"/>
  <c r="O89" i="21435"/>
  <c r="N89" i="21435"/>
  <c r="L89" i="21435"/>
  <c r="I89" i="21435"/>
  <c r="H89" i="21435"/>
  <c r="F89" i="21435"/>
  <c r="E89" i="21435"/>
  <c r="D89" i="21435"/>
  <c r="B89" i="21435"/>
  <c r="BB87" i="21435"/>
  <c r="BA4" i="21425" s="1"/>
  <c r="BB83" i="21435"/>
  <c r="BB81" i="21435"/>
  <c r="BB79" i="21435"/>
  <c r="BB75" i="21435"/>
  <c r="C75" i="21435"/>
  <c r="BB71" i="21435"/>
  <c r="BB69" i="21435"/>
  <c r="BB65" i="21435"/>
  <c r="BB63" i="21435"/>
  <c r="BB61" i="21435"/>
  <c r="BB57" i="21435"/>
  <c r="BB55" i="21435"/>
  <c r="BB53" i="21435"/>
  <c r="BB51" i="21435"/>
  <c r="BB49" i="21435"/>
  <c r="BB47" i="21435"/>
  <c r="BB45" i="21435"/>
  <c r="BB41" i="21435"/>
  <c r="BB39" i="21435"/>
  <c r="BB35" i="21435"/>
  <c r="BB33" i="21435"/>
  <c r="BB31" i="21435"/>
  <c r="BB29" i="21435"/>
  <c r="BB25" i="21435"/>
  <c r="BB23" i="21435"/>
  <c r="BB19" i="21435"/>
  <c r="BB17" i="21435"/>
  <c r="BB15" i="21435"/>
  <c r="BB13" i="21435"/>
  <c r="BB11" i="21435"/>
  <c r="C9" i="21435"/>
  <c r="BB5" i="21435"/>
  <c r="F5" i="21435"/>
  <c r="J4" i="21435"/>
  <c r="AW4" i="21435" s="1"/>
  <c r="AM127" i="21423"/>
  <c r="W127" i="21423"/>
  <c r="T127" i="21423"/>
  <c r="S127" i="21423"/>
  <c r="R127" i="21423"/>
  <c r="Q127" i="21423"/>
  <c r="N127" i="21423"/>
  <c r="L127" i="21423"/>
  <c r="F127" i="21423"/>
  <c r="B127" i="21423"/>
  <c r="BB125" i="21423"/>
  <c r="BB4" i="21430" s="1"/>
  <c r="BB121" i="21423"/>
  <c r="BB117" i="21423"/>
  <c r="BB115" i="21423"/>
  <c r="BB113" i="21423"/>
  <c r="BB111" i="21423"/>
  <c r="BB109" i="21423"/>
  <c r="BB107" i="21423"/>
  <c r="BB105" i="21423"/>
  <c r="BB103" i="21423"/>
  <c r="BB101" i="21423"/>
  <c r="BB99" i="21423"/>
  <c r="BB97" i="21423"/>
  <c r="BB95" i="21423"/>
  <c r="BB93" i="21423"/>
  <c r="BB91" i="21423"/>
  <c r="BB89" i="21423"/>
  <c r="BB87" i="21423"/>
  <c r="BB85" i="21423"/>
  <c r="BB83" i="21423"/>
  <c r="BB81" i="21423"/>
  <c r="BB79" i="21423"/>
  <c r="BB77" i="21423"/>
  <c r="BB75" i="21423"/>
  <c r="BB73" i="21423"/>
  <c r="BB71" i="21423"/>
  <c r="BB69" i="21423"/>
  <c r="BB67" i="21423"/>
  <c r="BB65" i="21423"/>
  <c r="BB63" i="21423"/>
  <c r="BB61" i="21423"/>
  <c r="BB59" i="21423"/>
  <c r="BB57" i="21423"/>
  <c r="BB55" i="21423"/>
  <c r="BB53" i="21423"/>
  <c r="BB51" i="21423"/>
  <c r="BB49" i="21423"/>
  <c r="BB47" i="21423"/>
  <c r="BB45" i="21423"/>
  <c r="BB43" i="21423"/>
  <c r="BB41" i="21423"/>
  <c r="BB37" i="21423"/>
  <c r="BB35" i="21423"/>
  <c r="BB33" i="21423"/>
  <c r="BB31" i="21423"/>
  <c r="BB29" i="21423"/>
  <c r="BB27" i="21423"/>
  <c r="BB25" i="21423"/>
  <c r="BB21" i="21423"/>
  <c r="BB19" i="21423"/>
  <c r="BB17" i="21423"/>
  <c r="BB15" i="21423"/>
  <c r="M14" i="21423"/>
  <c r="BB13" i="21423"/>
  <c r="I341" i="21408"/>
  <c r="I342" i="21408" s="1"/>
  <c r="BB11" i="21423"/>
  <c r="BB9" i="21423"/>
  <c r="C9" i="21423"/>
  <c r="I266" i="21408"/>
  <c r="AX5" i="21423"/>
  <c r="J4" i="21423"/>
  <c r="BA127" i="21424"/>
  <c r="AV127" i="21424"/>
  <c r="AU127" i="21424"/>
  <c r="AS127" i="21424"/>
  <c r="AR127" i="21424"/>
  <c r="AQ127" i="21424"/>
  <c r="AP127" i="21424"/>
  <c r="AO127" i="21424"/>
  <c r="AN127" i="21424"/>
  <c r="AM127" i="21424"/>
  <c r="AL127" i="21424"/>
  <c r="AK127" i="21424"/>
  <c r="AJ127" i="21424"/>
  <c r="AI127" i="21424"/>
  <c r="AH127" i="21424"/>
  <c r="AG127" i="21424"/>
  <c r="AF127" i="21424"/>
  <c r="AE127" i="21424"/>
  <c r="AD127" i="21424"/>
  <c r="AB127" i="21424"/>
  <c r="AA127" i="21424"/>
  <c r="Z127" i="21424"/>
  <c r="Y127" i="21424"/>
  <c r="X127" i="21424"/>
  <c r="W127" i="21424"/>
  <c r="V127" i="21424"/>
  <c r="U127" i="21424"/>
  <c r="T127" i="21424"/>
  <c r="S127" i="21424"/>
  <c r="R127" i="21424"/>
  <c r="Q127" i="21424"/>
  <c r="P127" i="21424"/>
  <c r="O127" i="21424"/>
  <c r="N127" i="21424"/>
  <c r="L127" i="21424"/>
  <c r="I127" i="21424"/>
  <c r="H127" i="21424"/>
  <c r="G127" i="21424"/>
  <c r="F127" i="21424"/>
  <c r="E127" i="21424"/>
  <c r="D127" i="21424"/>
  <c r="B127" i="21424"/>
  <c r="BB125" i="21424"/>
  <c r="BB4" i="21428" s="1"/>
  <c r="BB123" i="21424"/>
  <c r="BB121" i="21424"/>
  <c r="BB119" i="21424"/>
  <c r="BB117" i="21424"/>
  <c r="BB115" i="21424"/>
  <c r="BB113" i="21424"/>
  <c r="BB111" i="21424"/>
  <c r="BB109" i="21424"/>
  <c r="BB107" i="21424"/>
  <c r="BB105" i="21424"/>
  <c r="BB103" i="21424"/>
  <c r="BB101" i="21424"/>
  <c r="BB99" i="21424"/>
  <c r="BB97" i="21424"/>
  <c r="BB95" i="21424"/>
  <c r="BB93" i="21424"/>
  <c r="BB91" i="21424"/>
  <c r="BB89" i="21424"/>
  <c r="BB87" i="21424"/>
  <c r="BB85" i="21424"/>
  <c r="BB83" i="21424"/>
  <c r="BB81" i="21424"/>
  <c r="BB79" i="21424"/>
  <c r="BB77" i="21424"/>
  <c r="BB75" i="21424"/>
  <c r="BB73" i="21424"/>
  <c r="BB71" i="21424"/>
  <c r="BB69" i="21424"/>
  <c r="BB67" i="21424"/>
  <c r="BB65" i="21424"/>
  <c r="BB63" i="21424"/>
  <c r="BB61" i="21424"/>
  <c r="BB59" i="21424"/>
  <c r="BB57" i="21424"/>
  <c r="BB55" i="21424"/>
  <c r="BB53" i="21424"/>
  <c r="BB51" i="21424"/>
  <c r="BB49" i="21424"/>
  <c r="BB47" i="21424"/>
  <c r="BB45" i="21424"/>
  <c r="BB43" i="21424"/>
  <c r="BB41" i="21424"/>
  <c r="BB39" i="21424"/>
  <c r="BB37" i="21424"/>
  <c r="BB35" i="21424"/>
  <c r="BB33" i="21424"/>
  <c r="BB31" i="21424"/>
  <c r="BB29" i="21424"/>
  <c r="BB27" i="21424"/>
  <c r="BB25" i="21424"/>
  <c r="BB21" i="21424"/>
  <c r="BB19" i="21424"/>
  <c r="BB17" i="21424"/>
  <c r="BB15" i="21424"/>
  <c r="BB13" i="21424"/>
  <c r="H341" i="21408"/>
  <c r="H342" i="21408" s="1"/>
  <c r="BB11" i="21424"/>
  <c r="BB9" i="21424"/>
  <c r="C9" i="21424"/>
  <c r="C11" i="21424" s="1"/>
  <c r="H266" i="21408"/>
  <c r="BB5" i="21424"/>
  <c r="J4" i="21424"/>
  <c r="AX10" i="21417" l="1"/>
  <c r="AX54" i="21432"/>
  <c r="AX50" i="21432"/>
  <c r="M50" i="21432" s="1"/>
  <c r="AX56" i="21432"/>
  <c r="AX52" i="21432"/>
  <c r="AX48" i="21432"/>
  <c r="AX46" i="21432"/>
  <c r="AX105" i="21433"/>
  <c r="M105" i="21433" s="1"/>
  <c r="AX51" i="21434"/>
  <c r="AX45" i="21432"/>
  <c r="AX53" i="21432"/>
  <c r="AX53" i="21434"/>
  <c r="AX50" i="21434"/>
  <c r="AX55" i="21434"/>
  <c r="AX52" i="21434"/>
  <c r="AX61" i="21434"/>
  <c r="AX62" i="21434"/>
  <c r="AX79" i="21433"/>
  <c r="AX81" i="21433"/>
  <c r="AX79" i="21434"/>
  <c r="AX80" i="21433"/>
  <c r="AX81" i="21434"/>
  <c r="AX83" i="21433"/>
  <c r="AX80" i="21434"/>
  <c r="AX85" i="21433"/>
  <c r="AX83" i="21434"/>
  <c r="AX87" i="21433"/>
  <c r="AX85" i="21434"/>
  <c r="M85" i="21434" s="1"/>
  <c r="AX89" i="21433"/>
  <c r="AX87" i="21434"/>
  <c r="AX91" i="21433"/>
  <c r="AX97" i="21434"/>
  <c r="AX99" i="21434"/>
  <c r="AX98" i="21434"/>
  <c r="AX101" i="21433"/>
  <c r="AW6" i="21418"/>
  <c r="AW338" i="21415" s="1"/>
  <c r="BB71" i="21434"/>
  <c r="BB63" i="21434"/>
  <c r="BB85" i="21433"/>
  <c r="BB69" i="21433"/>
  <c r="BB69" i="21434"/>
  <c r="BB91" i="21433"/>
  <c r="BB89" i="21434"/>
  <c r="BB81" i="21434"/>
  <c r="BB67" i="21434"/>
  <c r="BB81" i="21433"/>
  <c r="BB73" i="21433"/>
  <c r="BB65" i="21433"/>
  <c r="BB83" i="21433"/>
  <c r="BB87" i="21434"/>
  <c r="BB85" i="21434"/>
  <c r="BB83" i="21434"/>
  <c r="BB73" i="21434"/>
  <c r="BB65" i="21434"/>
  <c r="BB87" i="21433"/>
  <c r="BB71" i="21433"/>
  <c r="BB63" i="21433"/>
  <c r="BB67" i="21433"/>
  <c r="BB54" i="21432"/>
  <c r="BB50" i="21432"/>
  <c r="BB48" i="21432"/>
  <c r="BB52" i="21432"/>
  <c r="BB77" i="21433"/>
  <c r="BB77" i="21434"/>
  <c r="BB61" i="21434"/>
  <c r="BB61" i="21433"/>
  <c r="BB46" i="21432"/>
  <c r="BB56" i="21432"/>
  <c r="BB79" i="21434"/>
  <c r="BB75" i="21434"/>
  <c r="BB75" i="21433"/>
  <c r="BB79" i="21433"/>
  <c r="BB44" i="108"/>
  <c r="BB89" i="21433"/>
  <c r="AW49" i="21433"/>
  <c r="AW54" i="21432"/>
  <c r="AW50" i="21432"/>
  <c r="AW56" i="21432"/>
  <c r="AW52" i="21432"/>
  <c r="AW48" i="21432"/>
  <c r="AW46" i="21432"/>
  <c r="AW53" i="21433"/>
  <c r="AW51" i="21434"/>
  <c r="AW51" i="21433"/>
  <c r="AW53" i="21432"/>
  <c r="AW45" i="21432"/>
  <c r="AW55" i="21434"/>
  <c r="AW52" i="21434"/>
  <c r="AW53" i="21434"/>
  <c r="AW50" i="21433"/>
  <c r="AW61" i="21433"/>
  <c r="AY61" i="21433" s="1"/>
  <c r="AW50" i="21434"/>
  <c r="AW55" i="21433"/>
  <c r="AW61" i="21434"/>
  <c r="AW62" i="21433"/>
  <c r="AZ62" i="21433" s="1"/>
  <c r="AW62" i="21434"/>
  <c r="AW79" i="21433"/>
  <c r="AW81" i="21433"/>
  <c r="AW80" i="21433"/>
  <c r="AW79" i="21434"/>
  <c r="AW83" i="21433"/>
  <c r="AW80" i="21434"/>
  <c r="AW81" i="21434"/>
  <c r="AW85" i="21433"/>
  <c r="AW83" i="21434"/>
  <c r="AW87" i="21433"/>
  <c r="AW85" i="21434"/>
  <c r="AY85" i="21434" s="1"/>
  <c r="AW89" i="21433"/>
  <c r="AW87" i="21434"/>
  <c r="AW91" i="21433"/>
  <c r="AW97" i="21434"/>
  <c r="AW99" i="21434"/>
  <c r="AW98" i="21434"/>
  <c r="AW101" i="21433"/>
  <c r="AW6" i="108"/>
  <c r="AV88" i="21425" s="1"/>
  <c r="P337" i="21408"/>
  <c r="BB92" i="108"/>
  <c r="AW60" i="21415"/>
  <c r="AY60" i="21415" s="1"/>
  <c r="AX4" i="21436"/>
  <c r="AW73" i="21436"/>
  <c r="BB28" i="21428"/>
  <c r="AW13" i="21416"/>
  <c r="AW116" i="21428" s="1"/>
  <c r="AX11" i="21431"/>
  <c r="AX5" i="21435"/>
  <c r="AW67" i="21416"/>
  <c r="BB123" i="21423"/>
  <c r="BB37" i="21436"/>
  <c r="AW6" i="21415"/>
  <c r="AW88" i="21426" s="1"/>
  <c r="AX73" i="21436"/>
  <c r="M73" i="21436" s="1"/>
  <c r="BB10" i="21428"/>
  <c r="BB131" i="21424" s="1"/>
  <c r="BB21" i="21429"/>
  <c r="AW10" i="21417"/>
  <c r="AW110" i="21430" s="1"/>
  <c r="AW64" i="21417"/>
  <c r="AX13" i="21416"/>
  <c r="AX116" i="21428" s="1"/>
  <c r="BB6" i="21415"/>
  <c r="BB88" i="21426" s="1"/>
  <c r="BB38" i="108"/>
  <c r="BA10" i="21425"/>
  <c r="BB93" i="21435" s="1"/>
  <c r="BB23" i="21429"/>
  <c r="BB11" i="21399"/>
  <c r="BB350" i="108" s="1"/>
  <c r="BA80" i="21425"/>
  <c r="BB84" i="21426"/>
  <c r="AX75" i="21436"/>
  <c r="M75" i="21436" s="1"/>
  <c r="AW14" i="21416"/>
  <c r="AX4" i="21423"/>
  <c r="BB37" i="21435"/>
  <c r="BB73" i="21435"/>
  <c r="BA12" i="21425"/>
  <c r="BB95" i="21435" s="1"/>
  <c r="BA28" i="21425"/>
  <c r="AX4" i="21427"/>
  <c r="BB26" i="21429"/>
  <c r="AX19" i="21416"/>
  <c r="M19" i="21416" s="1"/>
  <c r="BB122" i="108"/>
  <c r="AW5" i="21424"/>
  <c r="AY5" i="21424" s="1"/>
  <c r="BB61" i="21399"/>
  <c r="BB58" i="21419"/>
  <c r="BB7" i="21414"/>
  <c r="BB5" i="21400"/>
  <c r="S337" i="21408"/>
  <c r="AB337" i="21408"/>
  <c r="AK337" i="21408"/>
  <c r="AX13" i="21431"/>
  <c r="BB43" i="21410"/>
  <c r="BB39" i="21412"/>
  <c r="BB7" i="21400"/>
  <c r="BB9" i="21414"/>
  <c r="BB98" i="21429"/>
  <c r="BB7" i="21416"/>
  <c r="BB5" i="21411"/>
  <c r="BB7" i="21412"/>
  <c r="BB346" i="108"/>
  <c r="BB15" i="21399"/>
  <c r="BB9" i="21412"/>
  <c r="BB7" i="21411"/>
  <c r="AW13" i="21431"/>
  <c r="S59" i="21419"/>
  <c r="S62" i="21399"/>
  <c r="S8" i="21414"/>
  <c r="S6" i="21400"/>
  <c r="S6" i="21414"/>
  <c r="S4" i="21400"/>
  <c r="S8" i="21400"/>
  <c r="S10" i="21414"/>
  <c r="AW9" i="21423"/>
  <c r="AW4" i="21424"/>
  <c r="AW5" i="21423"/>
  <c r="AY5" i="21423" s="1"/>
  <c r="AY4" i="2"/>
  <c r="AY41" i="21420"/>
  <c r="O234" i="21408"/>
  <c r="BB11" i="21414"/>
  <c r="AY4" i="3"/>
  <c r="AY44" i="21418"/>
  <c r="AZ4" i="3"/>
  <c r="AZ44" i="21418"/>
  <c r="M7" i="21420"/>
  <c r="M351" i="21416"/>
  <c r="BB5" i="21420"/>
  <c r="BB349" i="21416"/>
  <c r="AY6" i="21420"/>
  <c r="AY350" i="21416"/>
  <c r="BB9" i="21420"/>
  <c r="BB353" i="21416"/>
  <c r="AZ6" i="21420"/>
  <c r="AZ350" i="21416"/>
  <c r="AY8" i="21420"/>
  <c r="AY352" i="21416"/>
  <c r="M9" i="21420"/>
  <c r="M353" i="21416"/>
  <c r="BB7" i="21420"/>
  <c r="BB351" i="21416"/>
  <c r="M5" i="21420"/>
  <c r="M349" i="21416"/>
  <c r="AZ8" i="21420"/>
  <c r="AZ352" i="21416"/>
  <c r="BB5" i="21421"/>
  <c r="BB342" i="21417"/>
  <c r="BB7" i="21421"/>
  <c r="BB344" i="21417"/>
  <c r="M7" i="21421"/>
  <c r="M344" i="21417"/>
  <c r="AY6" i="21421"/>
  <c r="AY343" i="21417"/>
  <c r="M5" i="21421"/>
  <c r="M342" i="21417"/>
  <c r="AZ6" i="21421"/>
  <c r="AZ343" i="21417"/>
  <c r="M11" i="21412"/>
  <c r="M9" i="21411" s="1"/>
  <c r="AX9" i="21411"/>
  <c r="AX11" i="21417"/>
  <c r="AX111" i="21430" s="1"/>
  <c r="J111" i="21430"/>
  <c r="M10" i="21417"/>
  <c r="M110" i="21430" s="1"/>
  <c r="AX110" i="21430"/>
  <c r="T337" i="21408"/>
  <c r="AA337" i="21408"/>
  <c r="AE337" i="21408"/>
  <c r="AF337" i="21408"/>
  <c r="H337" i="21408"/>
  <c r="AJ337" i="21408"/>
  <c r="W320" i="21408"/>
  <c r="W322" i="21408"/>
  <c r="W325" i="21408"/>
  <c r="W324" i="21408" s="1"/>
  <c r="W306" i="21408"/>
  <c r="W308" i="21408"/>
  <c r="W310" i="21408"/>
  <c r="W312" i="21408"/>
  <c r="W314" i="21408"/>
  <c r="W316" i="21408"/>
  <c r="W318" i="21408"/>
  <c r="W328" i="21408"/>
  <c r="W330" i="21408"/>
  <c r="W338" i="21408"/>
  <c r="W340" i="21408"/>
  <c r="W321" i="21408"/>
  <c r="W323" i="21408"/>
  <c r="W305" i="21408"/>
  <c r="W307" i="21408"/>
  <c r="W309" i="21408"/>
  <c r="W311" i="21408"/>
  <c r="W313" i="21408"/>
  <c r="W315" i="21408"/>
  <c r="W317" i="21408"/>
  <c r="W327" i="21408"/>
  <c r="W336" i="21408" s="1"/>
  <c r="W329" i="21408"/>
  <c r="W332" i="21408"/>
  <c r="M15" i="21412"/>
  <c r="C19" i="21421"/>
  <c r="C21" i="21421" s="1"/>
  <c r="C23" i="21421" s="1"/>
  <c r="C25" i="21421" s="1"/>
  <c r="C27" i="21421" s="1"/>
  <c r="C29" i="21421" s="1"/>
  <c r="C31" i="21421" s="1"/>
  <c r="AX15" i="21416"/>
  <c r="M15" i="21416" s="1"/>
  <c r="BB52" i="21398"/>
  <c r="BB19" i="21427"/>
  <c r="BB17" i="21427"/>
  <c r="BB51" i="21422"/>
  <c r="BB13" i="21427"/>
  <c r="BB15" i="21427"/>
  <c r="C7" i="21424"/>
  <c r="AW7" i="21424" s="1"/>
  <c r="AW4" i="21423"/>
  <c r="AZ4" i="21423" s="1"/>
  <c r="C15" i="21427"/>
  <c r="C17" i="21427" s="1"/>
  <c r="AW13" i="21427"/>
  <c r="AX13" i="21427"/>
  <c r="AY208" i="21417"/>
  <c r="M208" i="21417"/>
  <c r="AW4" i="21429"/>
  <c r="AZ4" i="21429" s="1"/>
  <c r="AX69" i="21416"/>
  <c r="M69" i="21416" s="1"/>
  <c r="Z348" i="21408"/>
  <c r="J12" i="21400"/>
  <c r="C10" i="21418"/>
  <c r="C342" i="21415" s="1"/>
  <c r="AW69" i="21416"/>
  <c r="J68" i="21416"/>
  <c r="AY6" i="21418"/>
  <c r="AY338" i="21415" s="1"/>
  <c r="AY206" i="108"/>
  <c r="BB216" i="2"/>
  <c r="BB31" i="21399"/>
  <c r="BB57" i="21416"/>
  <c r="BB58" i="21417"/>
  <c r="BB26" i="21417"/>
  <c r="BB39" i="21423"/>
  <c r="BB132" i="108"/>
  <c r="BB116" i="108"/>
  <c r="BB100" i="108"/>
  <c r="BB84" i="108"/>
  <c r="BB90" i="21417"/>
  <c r="BB8" i="21430"/>
  <c r="BB129" i="21423" s="1"/>
  <c r="BB45" i="21436"/>
  <c r="BB29" i="21436"/>
  <c r="BB85" i="21435"/>
  <c r="BB77" i="21435"/>
  <c r="BB67" i="21435"/>
  <c r="BB59" i="21435"/>
  <c r="BB43" i="21435"/>
  <c r="BB27" i="21435"/>
  <c r="BB119" i="21423"/>
  <c r="BB59" i="21414"/>
  <c r="BB51" i="21414"/>
  <c r="BB45" i="21414"/>
  <c r="BB31" i="21412"/>
  <c r="BB29" i="21411" s="1"/>
  <c r="BB11" i="21412"/>
  <c r="BB9" i="21411" s="1"/>
  <c r="BB140" i="108"/>
  <c r="BB72" i="108"/>
  <c r="BB10" i="108"/>
  <c r="BA92" i="21425" s="1"/>
  <c r="BB260" i="21417"/>
  <c r="BB70" i="21417"/>
  <c r="BB53" i="21436"/>
  <c r="BB19" i="21436"/>
  <c r="BB9" i="21435"/>
  <c r="AX6" i="108"/>
  <c r="AY6" i="108" s="1"/>
  <c r="AX88" i="21425" s="1"/>
  <c r="AX6" i="21415"/>
  <c r="AX64" i="21417"/>
  <c r="M64" i="21417" s="1"/>
  <c r="AX5" i="21427"/>
  <c r="M5" i="21427" s="1"/>
  <c r="AX5" i="21436"/>
  <c r="AX73" i="21435"/>
  <c r="M73" i="21435" s="1"/>
  <c r="AW11" i="21421"/>
  <c r="AY11" i="21421" s="1"/>
  <c r="AW11" i="21431"/>
  <c r="AW105" i="21433" s="1"/>
  <c r="AW5" i="21435"/>
  <c r="AY5" i="21435" s="1"/>
  <c r="AW12" i="21417"/>
  <c r="AW17" i="21416"/>
  <c r="AX8" i="21415"/>
  <c r="AX90" i="21426" s="1"/>
  <c r="AW8" i="108"/>
  <c r="AV90" i="21425" s="1"/>
  <c r="AX205" i="108"/>
  <c r="I334" i="21408"/>
  <c r="V334" i="21408"/>
  <c r="Z334" i="21408"/>
  <c r="AD334" i="21408"/>
  <c r="AM334" i="21408"/>
  <c r="BB47" i="21427"/>
  <c r="BB45" i="21427"/>
  <c r="BB39" i="21427"/>
  <c r="BB41" i="21427"/>
  <c r="BB43" i="21427"/>
  <c r="BB37" i="21427"/>
  <c r="N334" i="21408"/>
  <c r="R334" i="21408"/>
  <c r="AY67" i="21416"/>
  <c r="AW73" i="21416"/>
  <c r="AX62" i="21415"/>
  <c r="M62" i="21415" s="1"/>
  <c r="Z266" i="21408"/>
  <c r="AW13" i="21412"/>
  <c r="S266" i="21408"/>
  <c r="AX13" i="21412"/>
  <c r="J7" i="21418"/>
  <c r="BB49" i="21399"/>
  <c r="BB44" i="21418" s="1"/>
  <c r="BB33" i="21427"/>
  <c r="C26" i="21397"/>
  <c r="I328" i="21416"/>
  <c r="AX4" i="21424"/>
  <c r="M5" i="21423"/>
  <c r="AW15" i="21416"/>
  <c r="AW8" i="21418"/>
  <c r="AW340" i="21415" s="1"/>
  <c r="AG241" i="21408"/>
  <c r="Y334" i="21408"/>
  <c r="E16" i="21409"/>
  <c r="BB42" i="21426"/>
  <c r="BB56" i="21429"/>
  <c r="BB60" i="21428"/>
  <c r="BB35" i="21427"/>
  <c r="AX4" i="21435"/>
  <c r="AZ4" i="21435" s="1"/>
  <c r="AW11" i="21424"/>
  <c r="C13" i="21424"/>
  <c r="AX11" i="21424"/>
  <c r="AW9" i="21424"/>
  <c r="AX9" i="21424"/>
  <c r="C7" i="21423"/>
  <c r="AX9" i="21423"/>
  <c r="C11" i="21423"/>
  <c r="J20" i="21429"/>
  <c r="AX21" i="21429"/>
  <c r="C23" i="21429"/>
  <c r="AW21" i="21429"/>
  <c r="H348" i="21408"/>
  <c r="I348" i="21408"/>
  <c r="O339" i="21408"/>
  <c r="O329" i="21408"/>
  <c r="O320" i="21408"/>
  <c r="O318" i="21408"/>
  <c r="O314" i="21408"/>
  <c r="O310" i="21408"/>
  <c r="O306" i="21408"/>
  <c r="O340" i="21408"/>
  <c r="O330" i="21408"/>
  <c r="O321" i="21408"/>
  <c r="O315" i="21408"/>
  <c r="O311" i="21408"/>
  <c r="O307" i="21408"/>
  <c r="O332" i="21408"/>
  <c r="O327" i="21408"/>
  <c r="O336" i="21408" s="1"/>
  <c r="O325" i="21408"/>
  <c r="O324" i="21408" s="1"/>
  <c r="O322" i="21408"/>
  <c r="O316" i="21408"/>
  <c r="O312" i="21408"/>
  <c r="O308" i="21408"/>
  <c r="O338" i="21408"/>
  <c r="O328" i="21408"/>
  <c r="O323" i="21408"/>
  <c r="O317" i="21408"/>
  <c r="O313" i="21408"/>
  <c r="O309" i="21408"/>
  <c r="O305" i="21408"/>
  <c r="O40" i="21408"/>
  <c r="O38" i="21408"/>
  <c r="O36" i="21408"/>
  <c r="O37" i="21408"/>
  <c r="O39" i="21408"/>
  <c r="O35" i="21408"/>
  <c r="M13" i="21416"/>
  <c r="M116" i="21428" s="1"/>
  <c r="AX17" i="21416"/>
  <c r="AW19" i="21416"/>
  <c r="AY19" i="21416" s="1"/>
  <c r="M67" i="21416"/>
  <c r="S284" i="21408"/>
  <c r="G284" i="21408" s="1"/>
  <c r="AX71" i="21416"/>
  <c r="AW71" i="21416"/>
  <c r="AW4" i="21427"/>
  <c r="AX14" i="21416"/>
  <c r="AX73" i="21416"/>
  <c r="C75" i="21416"/>
  <c r="Q35" i="21408"/>
  <c r="Q39" i="21408"/>
  <c r="Q37" i="21408"/>
  <c r="Q40" i="21408"/>
  <c r="Q36" i="21408"/>
  <c r="Q38" i="21408"/>
  <c r="C21" i="21416"/>
  <c r="C96" i="21426" s="1"/>
  <c r="M60" i="21415"/>
  <c r="AW62" i="21415"/>
  <c r="J61" i="21415"/>
  <c r="AW4" i="21410"/>
  <c r="AZ4" i="21410" s="1"/>
  <c r="AJ266" i="21408"/>
  <c r="W241" i="21408"/>
  <c r="AA266" i="21408"/>
  <c r="AY11" i="21412"/>
  <c r="AY9" i="21411" s="1"/>
  <c r="I32" i="21399"/>
  <c r="AH241" i="21408" s="1"/>
  <c r="AJ241" i="21408"/>
  <c r="AK266" i="21408"/>
  <c r="F35" i="21408"/>
  <c r="I337" i="21408"/>
  <c r="AG337" i="21408"/>
  <c r="AL337" i="21408"/>
  <c r="Z331" i="21408"/>
  <c r="AD333" i="21408"/>
  <c r="S334" i="21408"/>
  <c r="AJ334" i="21408"/>
  <c r="H331" i="21408"/>
  <c r="P331" i="21408"/>
  <c r="T331" i="21408"/>
  <c r="AF335" i="21408"/>
  <c r="AK331" i="21408"/>
  <c r="S331" i="21408"/>
  <c r="H334" i="21408"/>
  <c r="P334" i="21408"/>
  <c r="T334" i="21408"/>
  <c r="AB334" i="21408"/>
  <c r="AF334" i="21408"/>
  <c r="AK334" i="21408"/>
  <c r="AG331" i="21408"/>
  <c r="S335" i="21408"/>
  <c r="I331" i="21408"/>
  <c r="AJ331" i="21408"/>
  <c r="S333" i="21408"/>
  <c r="H335" i="21408"/>
  <c r="T335" i="21408"/>
  <c r="AG335" i="21408"/>
  <c r="M334" i="21408"/>
  <c r="Q334" i="21408"/>
  <c r="AC334" i="21408"/>
  <c r="AG334" i="21408"/>
  <c r="AL334" i="21408"/>
  <c r="H333" i="21408"/>
  <c r="T333" i="21408"/>
  <c r="I335" i="21408"/>
  <c r="N335" i="21408"/>
  <c r="Z335" i="21408"/>
  <c r="AD331" i="21408"/>
  <c r="AM335" i="21408"/>
  <c r="AF331" i="21408"/>
  <c r="Y333" i="21408"/>
  <c r="N337" i="21408"/>
  <c r="V337" i="21408"/>
  <c r="Z337" i="21408"/>
  <c r="AM337" i="21408"/>
  <c r="I333" i="21408"/>
  <c r="P335" i="21408"/>
  <c r="AA335" i="21408"/>
  <c r="AJ335" i="21408"/>
  <c r="AA334" i="21408"/>
  <c r="AE334" i="21408"/>
  <c r="J331" i="21408"/>
  <c r="Z333" i="21408"/>
  <c r="AM333" i="21408"/>
  <c r="P333" i="21408"/>
  <c r="AK241" i="21408"/>
  <c r="AI266" i="21408"/>
  <c r="Y337" i="21408"/>
  <c r="Y336" i="21408"/>
  <c r="Y331" i="21408"/>
  <c r="Y335" i="21408"/>
  <c r="Y241" i="21408"/>
  <c r="W234" i="21408"/>
  <c r="G234" i="21408" s="1"/>
  <c r="X241" i="21408"/>
  <c r="X335" i="21408"/>
  <c r="X334" i="21408"/>
  <c r="X333" i="21408"/>
  <c r="AX8" i="108"/>
  <c r="AW90" i="21425" s="1"/>
  <c r="U337" i="21408"/>
  <c r="AH305" i="21408"/>
  <c r="AH306" i="21408"/>
  <c r="AH307" i="21408"/>
  <c r="AH308" i="21408"/>
  <c r="AH309" i="21408"/>
  <c r="AH310" i="21408"/>
  <c r="AH311" i="21408"/>
  <c r="AH312" i="21408"/>
  <c r="AH313" i="21408"/>
  <c r="AH314" i="21408"/>
  <c r="AH315" i="21408"/>
  <c r="AH316" i="21408"/>
  <c r="AH317" i="21408"/>
  <c r="AH318" i="21408"/>
  <c r="AH325" i="21408"/>
  <c r="AH324" i="21408" s="1"/>
  <c r="C66" i="108"/>
  <c r="J61" i="108"/>
  <c r="J209" i="108"/>
  <c r="C10" i="108"/>
  <c r="AW205" i="108"/>
  <c r="AW208" i="108"/>
  <c r="AX208" i="108"/>
  <c r="M208" i="108" s="1"/>
  <c r="C10" i="21415"/>
  <c r="C92" i="21426" s="1"/>
  <c r="AX68" i="21415"/>
  <c r="C70" i="21415"/>
  <c r="AW68" i="21415"/>
  <c r="AW8" i="21415"/>
  <c r="AW90" i="21426" s="1"/>
  <c r="AX66" i="21415"/>
  <c r="AW66" i="21415"/>
  <c r="C64" i="21415"/>
  <c r="C216" i="21415"/>
  <c r="C218" i="21415" s="1"/>
  <c r="C220" i="21415" s="1"/>
  <c r="C222" i="21415" s="1"/>
  <c r="C224" i="21415" s="1"/>
  <c r="C226" i="21415" s="1"/>
  <c r="C228" i="21415" s="1"/>
  <c r="C230" i="21415" s="1"/>
  <c r="C232" i="21415" s="1"/>
  <c r="C234" i="21415" s="1"/>
  <c r="C236" i="21415" s="1"/>
  <c r="C238" i="21415" s="1"/>
  <c r="C14" i="21417"/>
  <c r="J15" i="21417" s="1"/>
  <c r="AW11" i="21417"/>
  <c r="AX12" i="21417"/>
  <c r="M12" i="21417" s="1"/>
  <c r="AW66" i="21417"/>
  <c r="AX66" i="21417"/>
  <c r="J65" i="21417"/>
  <c r="C68" i="21417"/>
  <c r="AX70" i="21417"/>
  <c r="AW70" i="21417"/>
  <c r="C72" i="21417"/>
  <c r="AW207" i="21417"/>
  <c r="AX207" i="21417"/>
  <c r="AX210" i="21417"/>
  <c r="J209" i="21417"/>
  <c r="AX209" i="21417" s="1"/>
  <c r="I30" i="21422"/>
  <c r="AC241" i="21408" s="1"/>
  <c r="S35" i="21408"/>
  <c r="S36" i="21408"/>
  <c r="S37" i="21408"/>
  <c r="S40" i="21408"/>
  <c r="S39" i="21408"/>
  <c r="M337" i="21408"/>
  <c r="M331" i="21408"/>
  <c r="M333" i="21408"/>
  <c r="L334" i="21408"/>
  <c r="AX9" i="21436"/>
  <c r="K334" i="21408"/>
  <c r="K331" i="21408"/>
  <c r="K333" i="21408"/>
  <c r="C7" i="21436"/>
  <c r="C11" i="21436"/>
  <c r="K337" i="21408"/>
  <c r="K335" i="21408"/>
  <c r="C77" i="21436"/>
  <c r="J10" i="21436"/>
  <c r="J76" i="21436"/>
  <c r="AW4" i="21436"/>
  <c r="AZ4" i="21436" s="1"/>
  <c r="J8" i="21436"/>
  <c r="AW75" i="21436"/>
  <c r="AY75" i="21436" s="1"/>
  <c r="J334" i="21408"/>
  <c r="M5" i="21435"/>
  <c r="J335" i="21408"/>
  <c r="J337" i="21408"/>
  <c r="C11" i="21435"/>
  <c r="J10" i="21435"/>
  <c r="AW9" i="21435"/>
  <c r="C7" i="21435"/>
  <c r="AX9" i="21435"/>
  <c r="C77" i="21435"/>
  <c r="J76" i="21435"/>
  <c r="AW75" i="21435"/>
  <c r="AX75" i="21435"/>
  <c r="J8" i="21435"/>
  <c r="J333" i="21408"/>
  <c r="AI334" i="21408"/>
  <c r="AI337" i="21408"/>
  <c r="Q333" i="21408"/>
  <c r="Q337" i="21408"/>
  <c r="AA331" i="21408"/>
  <c r="AA333" i="21408"/>
  <c r="AC337" i="21408"/>
  <c r="AC333" i="21408"/>
  <c r="AD337" i="21408"/>
  <c r="AD335" i="21408"/>
  <c r="C17" i="21420"/>
  <c r="AF333" i="21408"/>
  <c r="AG333" i="21408"/>
  <c r="AH320" i="21408"/>
  <c r="AH321" i="21408"/>
  <c r="AH322" i="21408"/>
  <c r="AH323" i="21408"/>
  <c r="AH327" i="21408"/>
  <c r="AH328" i="21408"/>
  <c r="AH329" i="21408"/>
  <c r="AH330" i="21408"/>
  <c r="AH338" i="21408"/>
  <c r="AH339" i="21408"/>
  <c r="AH340" i="21408"/>
  <c r="AJ333" i="21408"/>
  <c r="AJ341" i="21408"/>
  <c r="AJ342" i="21408" s="1"/>
  <c r="AL342" i="21408"/>
  <c r="AX27" i="21414"/>
  <c r="J26" i="21414"/>
  <c r="AW27" i="21414"/>
  <c r="C29" i="21414"/>
  <c r="J24" i="21400"/>
  <c r="C27" i="21400"/>
  <c r="C29" i="21400" s="1"/>
  <c r="C31" i="21400" s="1"/>
  <c r="J32" i="21400" s="1"/>
  <c r="J193" i="3"/>
  <c r="C196" i="3"/>
  <c r="AK35" i="21408"/>
  <c r="AK335" i="21408"/>
  <c r="AK36" i="21408"/>
  <c r="AK333" i="21408"/>
  <c r="AK37" i="21408"/>
  <c r="AK38" i="21408"/>
  <c r="AK39" i="21408"/>
  <c r="AM336" i="21408"/>
  <c r="AM331" i="21408"/>
  <c r="AL333" i="21408"/>
  <c r="AL331" i="21408"/>
  <c r="AL335" i="21408"/>
  <c r="AI241" i="21408"/>
  <c r="AI335" i="21408"/>
  <c r="AI333" i="21408"/>
  <c r="AI331" i="21408"/>
  <c r="J5" i="2"/>
  <c r="C8" i="2"/>
  <c r="C55" i="21422" s="1"/>
  <c r="J52" i="21422"/>
  <c r="J42" i="21420" s="1"/>
  <c r="AC331" i="21408"/>
  <c r="AC336" i="21408"/>
  <c r="AC335" i="21408"/>
  <c r="AB335" i="21408"/>
  <c r="AW15" i="21412"/>
  <c r="AY15" i="21412" s="1"/>
  <c r="C17" i="21412"/>
  <c r="AB331" i="21408"/>
  <c r="AB333" i="21408"/>
  <c r="AW9" i="21410"/>
  <c r="AW5" i="21412" s="1"/>
  <c r="C11" i="21410"/>
  <c r="AX9" i="21410"/>
  <c r="AX5" i="21412" s="1"/>
  <c r="J8" i="21410"/>
  <c r="J4" i="21412" s="1"/>
  <c r="AY5" i="21410"/>
  <c r="X337" i="21408"/>
  <c r="X331" i="21408"/>
  <c r="X336" i="21408"/>
  <c r="V335" i="21408"/>
  <c r="V331" i="21408"/>
  <c r="V333" i="21408"/>
  <c r="AW12" i="21431"/>
  <c r="AW106" i="21433" s="1"/>
  <c r="AX12" i="21431"/>
  <c r="AX106" i="21433" s="1"/>
  <c r="U334" i="21408"/>
  <c r="AX210" i="108"/>
  <c r="M210" i="108" s="1"/>
  <c r="C212" i="108"/>
  <c r="AX212" i="108" s="1"/>
  <c r="M212" i="108" s="1"/>
  <c r="AW210" i="108"/>
  <c r="U333" i="21408"/>
  <c r="U331" i="21408"/>
  <c r="U335" i="21408"/>
  <c r="R337" i="21408"/>
  <c r="C212" i="21417"/>
  <c r="AW210" i="21417"/>
  <c r="R331" i="21408"/>
  <c r="R333" i="21408"/>
  <c r="R335" i="21408"/>
  <c r="N331" i="21408"/>
  <c r="N333" i="21408"/>
  <c r="M335" i="21408"/>
  <c r="AE331" i="21408"/>
  <c r="AE335" i="21408"/>
  <c r="AE333" i="21408"/>
  <c r="Q331" i="21408"/>
  <c r="Q336" i="21408"/>
  <c r="G236" i="21408"/>
  <c r="Q335" i="21408"/>
  <c r="L324" i="21408"/>
  <c r="L336" i="21408"/>
  <c r="L333" i="21408"/>
  <c r="L337" i="21408"/>
  <c r="C240" i="21415" l="1"/>
  <c r="C249" i="21416"/>
  <c r="C251" i="21416" s="1"/>
  <c r="C253" i="21416" s="1"/>
  <c r="C255" i="21416" s="1"/>
  <c r="C257" i="21416" s="1"/>
  <c r="C259" i="21416" s="1"/>
  <c r="AZ80" i="21434"/>
  <c r="AZ53" i="21432"/>
  <c r="AY79" i="21434"/>
  <c r="M79" i="21434"/>
  <c r="AY61" i="21434"/>
  <c r="M61" i="21434"/>
  <c r="AY56" i="21432"/>
  <c r="M56" i="21432"/>
  <c r="M101" i="21433"/>
  <c r="AY101" i="21433"/>
  <c r="M91" i="21433"/>
  <c r="AY91" i="21433"/>
  <c r="M87" i="21433"/>
  <c r="AY87" i="21433"/>
  <c r="M83" i="21433"/>
  <c r="AY83" i="21433"/>
  <c r="M81" i="21433"/>
  <c r="AY81" i="21433"/>
  <c r="AY46" i="21432"/>
  <c r="M46" i="21432"/>
  <c r="AY10" i="21417"/>
  <c r="AY110" i="21430" s="1"/>
  <c r="AY50" i="21432"/>
  <c r="AZ98" i="21434"/>
  <c r="AY87" i="21434"/>
  <c r="M87" i="21434"/>
  <c r="M83" i="21434"/>
  <c r="AY83" i="21434"/>
  <c r="AY81" i="21434"/>
  <c r="M81" i="21434"/>
  <c r="M79" i="21433"/>
  <c r="AY79" i="21433"/>
  <c r="AZ45" i="21432"/>
  <c r="M48" i="21432"/>
  <c r="AY48" i="21432"/>
  <c r="M54" i="21432"/>
  <c r="AY54" i="21432"/>
  <c r="M97" i="21434"/>
  <c r="AY97" i="21434"/>
  <c r="AY99" i="21434"/>
  <c r="M89" i="21433"/>
  <c r="AY89" i="21433"/>
  <c r="M85" i="21433"/>
  <c r="AY85" i="21433"/>
  <c r="AZ80" i="21433"/>
  <c r="AZ62" i="21434"/>
  <c r="M52" i="21432"/>
  <c r="AY52" i="21432"/>
  <c r="AY13" i="21416"/>
  <c r="AY116" i="21428" s="1"/>
  <c r="AZ4" i="21427"/>
  <c r="AY73" i="21436"/>
  <c r="M11" i="21431"/>
  <c r="AZ4" i="21424"/>
  <c r="AX15" i="21417"/>
  <c r="AW15" i="21417"/>
  <c r="C7" i="21412"/>
  <c r="C5" i="21411"/>
  <c r="BB4" i="2"/>
  <c r="BB41" i="21420"/>
  <c r="AY6" i="21415"/>
  <c r="AY88" i="21426" s="1"/>
  <c r="AX88" i="21426"/>
  <c r="AW7" i="21418"/>
  <c r="AW339" i="21415" s="1"/>
  <c r="J339" i="21415"/>
  <c r="J11" i="108"/>
  <c r="AW11" i="108" s="1"/>
  <c r="AV93" i="21425" s="1"/>
  <c r="C92" i="21425"/>
  <c r="AZ11" i="21417"/>
  <c r="AZ111" i="21430" s="1"/>
  <c r="AW111" i="21430"/>
  <c r="W334" i="21408"/>
  <c r="W331" i="21408"/>
  <c r="AX7" i="21424"/>
  <c r="AZ205" i="108"/>
  <c r="AY69" i="21416"/>
  <c r="W337" i="21408"/>
  <c r="W335" i="21408"/>
  <c r="W333" i="21408"/>
  <c r="G332" i="21408"/>
  <c r="AY13" i="21412"/>
  <c r="M13" i="21412"/>
  <c r="G328" i="21408"/>
  <c r="AY11" i="21431"/>
  <c r="AY105" i="21433" s="1"/>
  <c r="AZ207" i="21417"/>
  <c r="G329" i="21408"/>
  <c r="G310" i="21408"/>
  <c r="AW31" i="21421"/>
  <c r="AY31" i="21421" s="1"/>
  <c r="C33" i="21421"/>
  <c r="AY62" i="21415"/>
  <c r="AY21" i="21429"/>
  <c r="M9" i="21436"/>
  <c r="AY9" i="21436"/>
  <c r="AY64" i="21417"/>
  <c r="O337" i="21408"/>
  <c r="G348" i="21408"/>
  <c r="AY5" i="21436"/>
  <c r="M5" i="21436"/>
  <c r="G312" i="21408"/>
  <c r="AG266" i="21408"/>
  <c r="AD266" i="21408"/>
  <c r="C12" i="21418"/>
  <c r="AW10" i="21418"/>
  <c r="AW342" i="21415" s="1"/>
  <c r="AW88" i="21425"/>
  <c r="M8" i="21415"/>
  <c r="M90" i="21426" s="1"/>
  <c r="AY73" i="21435"/>
  <c r="C19" i="21420"/>
  <c r="AY8" i="108"/>
  <c r="AX90" i="21425" s="1"/>
  <c r="AL266" i="21408"/>
  <c r="AM266" i="21408"/>
  <c r="AX17" i="21427"/>
  <c r="AW17" i="21427"/>
  <c r="BB4" i="3"/>
  <c r="AW7" i="21436"/>
  <c r="AX7" i="21436"/>
  <c r="AE266" i="21408"/>
  <c r="AC266" i="21408"/>
  <c r="AH266" i="21408"/>
  <c r="AF266" i="21408"/>
  <c r="AY13" i="21427"/>
  <c r="M13" i="21427"/>
  <c r="G327" i="21408"/>
  <c r="G320" i="21408"/>
  <c r="AY5" i="21427"/>
  <c r="G323" i="21408"/>
  <c r="G317" i="21408"/>
  <c r="G305" i="21408"/>
  <c r="O334" i="21408"/>
  <c r="AY15" i="21416"/>
  <c r="AX15" i="21427"/>
  <c r="AW15" i="21427"/>
  <c r="AY210" i="21417"/>
  <c r="M210" i="21417"/>
  <c r="G338" i="21408"/>
  <c r="G314" i="21408"/>
  <c r="G339" i="21408"/>
  <c r="G318" i="21408"/>
  <c r="G315" i="21408"/>
  <c r="G306" i="21408"/>
  <c r="G325" i="21408"/>
  <c r="G340" i="21408"/>
  <c r="G40" i="21408"/>
  <c r="G330" i="21408"/>
  <c r="G313" i="21408"/>
  <c r="G322" i="21408"/>
  <c r="G311" i="21408"/>
  <c r="G307" i="21408"/>
  <c r="O333" i="21408"/>
  <c r="AW68" i="21416"/>
  <c r="AX68" i="21416"/>
  <c r="G309" i="21408"/>
  <c r="O331" i="21408"/>
  <c r="O335" i="21408"/>
  <c r="M6" i="21415"/>
  <c r="M88" i="21426" s="1"/>
  <c r="G38" i="21408"/>
  <c r="G321" i="21408"/>
  <c r="AY8" i="21418"/>
  <c r="AY340" i="21415" s="1"/>
  <c r="G37" i="21408"/>
  <c r="G35" i="21408"/>
  <c r="G316" i="21408"/>
  <c r="G308" i="21408"/>
  <c r="G39" i="21408"/>
  <c r="G36" i="21408"/>
  <c r="C23" i="21416"/>
  <c r="AX21" i="21416"/>
  <c r="AX96" i="21426" s="1"/>
  <c r="J22" i="21416"/>
  <c r="AW21" i="21416"/>
  <c r="AW96" i="21426" s="1"/>
  <c r="AX75" i="21416"/>
  <c r="AW75" i="21416"/>
  <c r="C77" i="21416"/>
  <c r="C19" i="21427"/>
  <c r="AW7" i="21423"/>
  <c r="AX7" i="21423"/>
  <c r="AY210" i="108"/>
  <c r="AY208" i="108"/>
  <c r="AW61" i="21415"/>
  <c r="AX61" i="21415"/>
  <c r="M73" i="21416"/>
  <c r="AY73" i="21416"/>
  <c r="AX20" i="21429"/>
  <c r="AW20" i="21429"/>
  <c r="AY9" i="21424"/>
  <c r="M9" i="21424"/>
  <c r="M11" i="21424"/>
  <c r="AY11" i="21424"/>
  <c r="AZ14" i="21416"/>
  <c r="AY17" i="21416"/>
  <c r="M17" i="21416"/>
  <c r="C13" i="21423"/>
  <c r="AX11" i="21423"/>
  <c r="AW11" i="21423"/>
  <c r="C15" i="21424"/>
  <c r="AW13" i="21424"/>
  <c r="AX13" i="21424"/>
  <c r="C26" i="21429"/>
  <c r="AX23" i="21429"/>
  <c r="AW23" i="21429"/>
  <c r="J22" i="21429"/>
  <c r="I22" i="21429"/>
  <c r="AY9" i="21423"/>
  <c r="M9" i="21423"/>
  <c r="G342" i="21408"/>
  <c r="G324" i="21408"/>
  <c r="AH331" i="21408"/>
  <c r="M8" i="108"/>
  <c r="L90" i="21425" s="1"/>
  <c r="F10" i="108"/>
  <c r="F92" i="21425" s="1"/>
  <c r="C12" i="108"/>
  <c r="C94" i="21425" s="1"/>
  <c r="AX10" i="108"/>
  <c r="AW92" i="21425" s="1"/>
  <c r="AW10" i="108"/>
  <c r="AV92" i="21425" s="1"/>
  <c r="AW209" i="108"/>
  <c r="AX209" i="108"/>
  <c r="C68" i="108"/>
  <c r="C64" i="108"/>
  <c r="AH335" i="21408"/>
  <c r="M68" i="21415"/>
  <c r="AY68" i="21415"/>
  <c r="C12" i="21415"/>
  <c r="C94" i="21426" s="1"/>
  <c r="AX10" i="21415"/>
  <c r="AX92" i="21426" s="1"/>
  <c r="F10" i="21415"/>
  <c r="F92" i="21426" s="1"/>
  <c r="AW10" i="21415"/>
  <c r="AW92" i="21426" s="1"/>
  <c r="AX70" i="21415"/>
  <c r="C72" i="21415"/>
  <c r="AW70" i="21415"/>
  <c r="AX64" i="21415"/>
  <c r="AW64" i="21415"/>
  <c r="AY66" i="21415"/>
  <c r="M66" i="21415"/>
  <c r="AY8" i="21415"/>
  <c r="AY90" i="21426" s="1"/>
  <c r="AY12" i="21417"/>
  <c r="AW14" i="21417"/>
  <c r="C16" i="21417"/>
  <c r="AX14" i="21417"/>
  <c r="AX72" i="21417"/>
  <c r="AW72" i="21417"/>
  <c r="C74" i="21417"/>
  <c r="M70" i="21417"/>
  <c r="AY70" i="21417"/>
  <c r="M66" i="21417"/>
  <c r="AY66" i="21417"/>
  <c r="AX68" i="21417"/>
  <c r="AW68" i="21417"/>
  <c r="AW209" i="21417"/>
  <c r="AZ209" i="21417" s="1"/>
  <c r="AX65" i="21417"/>
  <c r="AW65" i="21417"/>
  <c r="C13" i="21436"/>
  <c r="AX11" i="21436"/>
  <c r="AW11" i="21436"/>
  <c r="AW76" i="21436"/>
  <c r="AX76" i="21436"/>
  <c r="AW10" i="21436"/>
  <c r="AX10" i="21436"/>
  <c r="AX8" i="21436"/>
  <c r="AW8" i="21436"/>
  <c r="AX77" i="21436"/>
  <c r="C79" i="21436"/>
  <c r="J78" i="21436" s="1"/>
  <c r="AW77" i="21436"/>
  <c r="AW7" i="21435"/>
  <c r="AX7" i="21435"/>
  <c r="AW76" i="21435"/>
  <c r="AX76" i="21435"/>
  <c r="AX8" i="21435"/>
  <c r="AW8" i="21435"/>
  <c r="AX77" i="21435"/>
  <c r="C79" i="21435"/>
  <c r="AW77" i="21435"/>
  <c r="AW10" i="21435"/>
  <c r="AX10" i="21435"/>
  <c r="M75" i="21435"/>
  <c r="AY75" i="21435"/>
  <c r="M9" i="21435"/>
  <c r="AY9" i="21435"/>
  <c r="AX11" i="21435"/>
  <c r="C13" i="21435"/>
  <c r="AW11" i="21435"/>
  <c r="AH334" i="21408"/>
  <c r="AH337" i="21408"/>
  <c r="AH333" i="21408"/>
  <c r="AH336" i="21408"/>
  <c r="G336" i="21408" s="1"/>
  <c r="G341" i="21408"/>
  <c r="AY27" i="21414"/>
  <c r="M27" i="21414"/>
  <c r="AX26" i="21414"/>
  <c r="AW26" i="21414"/>
  <c r="AX29" i="21414"/>
  <c r="J28" i="21414"/>
  <c r="C31" i="21414"/>
  <c r="C33" i="21414" s="1"/>
  <c r="AW29" i="21414"/>
  <c r="J26" i="21400"/>
  <c r="C33" i="21400"/>
  <c r="C35" i="21400" s="1"/>
  <c r="C37" i="21400" s="1"/>
  <c r="C10" i="2"/>
  <c r="C57" i="21422" s="1"/>
  <c r="AX8" i="2"/>
  <c r="AX55" i="21422" s="1"/>
  <c r="AW8" i="2"/>
  <c r="AW55" i="21422" s="1"/>
  <c r="C19" i="21412"/>
  <c r="AW17" i="21412"/>
  <c r="AX17" i="21412"/>
  <c r="AX8" i="21410"/>
  <c r="AX4" i="21412" s="1"/>
  <c r="AW8" i="21410"/>
  <c r="AW4" i="21412" s="1"/>
  <c r="M9" i="21410"/>
  <c r="M5" i="21412" s="1"/>
  <c r="AY9" i="21410"/>
  <c r="AY5" i="21412" s="1"/>
  <c r="AX11" i="21410"/>
  <c r="C13" i="21410"/>
  <c r="AW11" i="21410"/>
  <c r="J10" i="21410"/>
  <c r="AZ12" i="21431"/>
  <c r="AZ106" i="21433" s="1"/>
  <c r="C214" i="108"/>
  <c r="AW212" i="108"/>
  <c r="AY212" i="108" s="1"/>
  <c r="C214" i="21417"/>
  <c r="AX212" i="21417"/>
  <c r="AW212" i="21417"/>
  <c r="L331" i="21408"/>
  <c r="L335" i="21408"/>
  <c r="C242" i="21415" l="1"/>
  <c r="C244" i="21415" s="1"/>
  <c r="C246" i="21415" s="1"/>
  <c r="C248" i="21415" s="1"/>
  <c r="C250" i="21415" s="1"/>
  <c r="C252" i="21415" s="1"/>
  <c r="AX259" i="21416"/>
  <c r="C261" i="21416"/>
  <c r="C263" i="21416" s="1"/>
  <c r="C265" i="21416" s="1"/>
  <c r="AW259" i="21416"/>
  <c r="J258" i="21416"/>
  <c r="AX11" i="108"/>
  <c r="AW93" i="21425" s="1"/>
  <c r="J6" i="21412"/>
  <c r="J4" i="21411"/>
  <c r="AZ15" i="21417"/>
  <c r="C9" i="21412"/>
  <c r="C7" i="21411"/>
  <c r="AW5" i="21411"/>
  <c r="AW7" i="21412"/>
  <c r="AX7" i="21412"/>
  <c r="AX5" i="21411"/>
  <c r="AZ7" i="21418"/>
  <c r="AZ339" i="21415" s="1"/>
  <c r="C14" i="21418"/>
  <c r="C346" i="21415" s="1"/>
  <c r="C344" i="21415"/>
  <c r="C39" i="21400"/>
  <c r="AW12" i="21418"/>
  <c r="AY10" i="21418"/>
  <c r="AY342" i="21415" s="1"/>
  <c r="AZ8" i="21436"/>
  <c r="G334" i="21408"/>
  <c r="G266" i="21408"/>
  <c r="G337" i="21408"/>
  <c r="AZ10" i="21436"/>
  <c r="AY23" i="21429"/>
  <c r="AZ68" i="21416"/>
  <c r="AY15" i="21427"/>
  <c r="M15" i="21427"/>
  <c r="AX19" i="21427"/>
  <c r="AW19" i="21427"/>
  <c r="AY17" i="21427"/>
  <c r="M17" i="21427"/>
  <c r="C21" i="21420"/>
  <c r="AY212" i="21417"/>
  <c r="M212" i="21417"/>
  <c r="G333" i="21408"/>
  <c r="G335" i="21408"/>
  <c r="G14" i="21409"/>
  <c r="C216" i="21417"/>
  <c r="C218" i="21417" s="1"/>
  <c r="AW214" i="21417"/>
  <c r="AX214" i="21417"/>
  <c r="G15" i="21409"/>
  <c r="G331" i="21408"/>
  <c r="AZ10" i="21435"/>
  <c r="AZ209" i="108"/>
  <c r="AZ61" i="21415"/>
  <c r="M13" i="21424"/>
  <c r="AY13" i="21424"/>
  <c r="M11" i="21423"/>
  <c r="AY11" i="21423"/>
  <c r="AX77" i="21416"/>
  <c r="C79" i="21416"/>
  <c r="AW77" i="21416"/>
  <c r="AW22" i="21416"/>
  <c r="AX22" i="21416"/>
  <c r="C28" i="21429"/>
  <c r="C30" i="21429" s="1"/>
  <c r="C32" i="21429" s="1"/>
  <c r="C34" i="21429" s="1"/>
  <c r="C36" i="21429" s="1"/>
  <c r="C38" i="21429" s="1"/>
  <c r="C40" i="21429" s="1"/>
  <c r="C42" i="21429" s="1"/>
  <c r="C44" i="21429" s="1"/>
  <c r="AX26" i="21429"/>
  <c r="AW26" i="21429"/>
  <c r="J27" i="21429"/>
  <c r="J26" i="21429"/>
  <c r="AW13" i="21423"/>
  <c r="AX13" i="21423"/>
  <c r="C15" i="21423"/>
  <c r="M21" i="21416"/>
  <c r="M96" i="21426" s="1"/>
  <c r="AY21" i="21416"/>
  <c r="AY96" i="21426" s="1"/>
  <c r="AZ76" i="21435"/>
  <c r="AX22" i="21429"/>
  <c r="AW22" i="21429"/>
  <c r="AX15" i="21424"/>
  <c r="C17" i="21424"/>
  <c r="F15" i="21424"/>
  <c r="AW15" i="21424"/>
  <c r="C21" i="21427"/>
  <c r="M75" i="21416"/>
  <c r="AY75" i="21416"/>
  <c r="C25" i="21416"/>
  <c r="AX23" i="21416"/>
  <c r="AW23" i="21416"/>
  <c r="C70" i="108"/>
  <c r="AY10" i="108"/>
  <c r="AX92" i="21425" s="1"/>
  <c r="M10" i="108"/>
  <c r="L92" i="21425" s="1"/>
  <c r="AX12" i="108"/>
  <c r="AW94" i="21425" s="1"/>
  <c r="C14" i="108"/>
  <c r="J13" i="108"/>
  <c r="AW12" i="108"/>
  <c r="AV94" i="21425" s="1"/>
  <c r="M70" i="21415"/>
  <c r="AY70" i="21415"/>
  <c r="M10" i="21415"/>
  <c r="M92" i="21426" s="1"/>
  <c r="AY10" i="21415"/>
  <c r="AY92" i="21426" s="1"/>
  <c r="C14" i="21415"/>
  <c r="AX72" i="21415"/>
  <c r="C74" i="21415"/>
  <c r="AW72" i="21415"/>
  <c r="AX16" i="21417"/>
  <c r="M16" i="21417" s="1"/>
  <c r="C18" i="21417"/>
  <c r="AW16" i="21417"/>
  <c r="M14" i="21417"/>
  <c r="AY14" i="21417"/>
  <c r="AZ65" i="21417"/>
  <c r="C76" i="21417"/>
  <c r="AW74" i="21417"/>
  <c r="AX74" i="21417"/>
  <c r="M72" i="21417"/>
  <c r="AY72" i="21417"/>
  <c r="M11" i="21436"/>
  <c r="AY11" i="21436"/>
  <c r="AX13" i="21436"/>
  <c r="AW13" i="21436"/>
  <c r="C15" i="21436"/>
  <c r="AX79" i="21436"/>
  <c r="AW79" i="21436"/>
  <c r="C81" i="21436"/>
  <c r="AZ76" i="21436"/>
  <c r="M77" i="21436"/>
  <c r="AY77" i="21436"/>
  <c r="AZ8" i="21435"/>
  <c r="AY11" i="21435"/>
  <c r="M11" i="21435"/>
  <c r="C81" i="21435"/>
  <c r="AW79" i="21435"/>
  <c r="AX79" i="21435"/>
  <c r="AY77" i="21435"/>
  <c r="M77" i="21435"/>
  <c r="C15" i="21435"/>
  <c r="AW13" i="21435"/>
  <c r="AX13" i="21435"/>
  <c r="J34" i="21414"/>
  <c r="C35" i="21414"/>
  <c r="C37" i="21414" s="1"/>
  <c r="C39" i="21414" s="1"/>
  <c r="AZ26" i="21414"/>
  <c r="AW28" i="21414"/>
  <c r="AX28" i="21414"/>
  <c r="AY29" i="21414"/>
  <c r="M29" i="21414"/>
  <c r="M8" i="2"/>
  <c r="M55" i="21422" s="1"/>
  <c r="AY8" i="2"/>
  <c r="AY55" i="21422" s="1"/>
  <c r="C12" i="2"/>
  <c r="C59" i="21422" s="1"/>
  <c r="AX10" i="2"/>
  <c r="AX57" i="21422" s="1"/>
  <c r="AW10" i="2"/>
  <c r="AW57" i="21422" s="1"/>
  <c r="J56" i="21422"/>
  <c r="M17" i="21412"/>
  <c r="AY17" i="21412"/>
  <c r="AX19" i="21412"/>
  <c r="AW19" i="21412"/>
  <c r="C21" i="21412"/>
  <c r="AX10" i="21410"/>
  <c r="AW10" i="21410"/>
  <c r="C15" i="21410"/>
  <c r="C17" i="21410" s="1"/>
  <c r="C19" i="21410" s="1"/>
  <c r="C21" i="21410" s="1"/>
  <c r="C23" i="21410" s="1"/>
  <c r="C25" i="21410" s="1"/>
  <c r="C27" i="21410" s="1"/>
  <c r="C29" i="21410" s="1"/>
  <c r="C31" i="21410" s="1"/>
  <c r="C33" i="21410" s="1"/>
  <c r="C35" i="21410" s="1"/>
  <c r="C37" i="21410" s="1"/>
  <c r="C31" i="21411" s="1"/>
  <c r="AX13" i="21410"/>
  <c r="AW13" i="21410"/>
  <c r="M11" i="21410"/>
  <c r="AY11" i="21410"/>
  <c r="AZ8" i="21410"/>
  <c r="AZ4" i="21412" s="1"/>
  <c r="AX214" i="108"/>
  <c r="M214" i="108" s="1"/>
  <c r="C216" i="108"/>
  <c r="AW214" i="108"/>
  <c r="AZ11" i="108" l="1"/>
  <c r="J251" i="21415"/>
  <c r="C254" i="21415"/>
  <c r="C256" i="21415" s="1"/>
  <c r="AW258" i="21416"/>
  <c r="AX258" i="21416"/>
  <c r="C267" i="21416"/>
  <c r="C269" i="21416" s="1"/>
  <c r="C271" i="21416" s="1"/>
  <c r="C273" i="21416" s="1"/>
  <c r="C275" i="21416" s="1"/>
  <c r="C277" i="21416" s="1"/>
  <c r="C279" i="21416" s="1"/>
  <c r="C281" i="21416" s="1"/>
  <c r="C283" i="21416" s="1"/>
  <c r="C285" i="21416" s="1"/>
  <c r="C287" i="21416" s="1"/>
  <c r="C289" i="21416" s="1"/>
  <c r="C291" i="21416" s="1"/>
  <c r="C293" i="21416" s="1"/>
  <c r="C295" i="21416" s="1"/>
  <c r="C297" i="21416" s="1"/>
  <c r="C299" i="21416" s="1"/>
  <c r="C301" i="21416" s="1"/>
  <c r="C303" i="21416" s="1"/>
  <c r="C305" i="21416" s="1"/>
  <c r="C307" i="21416" s="1"/>
  <c r="C309" i="21416" s="1"/>
  <c r="C311" i="21416" s="1"/>
  <c r="C313" i="21416" s="1"/>
  <c r="C315" i="21416" s="1"/>
  <c r="C317" i="21416" s="1"/>
  <c r="C319" i="21416" s="1"/>
  <c r="C321" i="21416" s="1"/>
  <c r="C323" i="21416" s="1"/>
  <c r="C325" i="21416" s="1"/>
  <c r="C327" i="21416" s="1"/>
  <c r="C329" i="21416" s="1"/>
  <c r="C331" i="21416" s="1"/>
  <c r="C333" i="21416" s="1"/>
  <c r="C335" i="21416" s="1"/>
  <c r="C337" i="21416" s="1"/>
  <c r="C339" i="21416" s="1"/>
  <c r="C341" i="21416" s="1"/>
  <c r="C343" i="21416" s="1"/>
  <c r="C4" i="21419" s="1"/>
  <c r="C6" i="21419" s="1"/>
  <c r="C8" i="21419" s="1"/>
  <c r="C347" i="21416" s="1"/>
  <c r="AX265" i="21416"/>
  <c r="J266" i="21416"/>
  <c r="AW265" i="21416"/>
  <c r="AY259" i="21416"/>
  <c r="M259" i="21416"/>
  <c r="C43" i="21400"/>
  <c r="C45" i="21400" s="1"/>
  <c r="C47" i="21400" s="1"/>
  <c r="C41" i="21400"/>
  <c r="J40" i="21400" s="1"/>
  <c r="J15" i="21418"/>
  <c r="J347" i="21415" s="1"/>
  <c r="C16" i="21418"/>
  <c r="C18" i="21418" s="1"/>
  <c r="AW14" i="21418"/>
  <c r="AW346" i="21415" s="1"/>
  <c r="J42" i="21400"/>
  <c r="AX7" i="21411"/>
  <c r="AX9" i="21412"/>
  <c r="M7" i="21412"/>
  <c r="M5" i="21411"/>
  <c r="AW6" i="21412"/>
  <c r="AW4" i="21411"/>
  <c r="AY7" i="21412"/>
  <c r="AY5" i="21411"/>
  <c r="AW7" i="21411"/>
  <c r="AW9" i="21412"/>
  <c r="AX4" i="21411"/>
  <c r="AX6" i="21412"/>
  <c r="AY12" i="21418"/>
  <c r="AY344" i="21415" s="1"/>
  <c r="AW344" i="21415"/>
  <c r="AY26" i="21429"/>
  <c r="C23" i="21420"/>
  <c r="AY19" i="21427"/>
  <c r="M19" i="21427"/>
  <c r="AY214" i="21417"/>
  <c r="M214" i="21417"/>
  <c r="J217" i="21417"/>
  <c r="AW217" i="21417" s="1"/>
  <c r="C220" i="21417"/>
  <c r="C222" i="21417" s="1"/>
  <c r="AW218" i="21417"/>
  <c r="AX218" i="21417"/>
  <c r="AW216" i="21417"/>
  <c r="AX216" i="21417"/>
  <c r="AY16" i="21417"/>
  <c r="AY214" i="108"/>
  <c r="AX25" i="21416"/>
  <c r="J24" i="21416"/>
  <c r="C27" i="21416"/>
  <c r="AW25" i="21416"/>
  <c r="C23" i="21427"/>
  <c r="F21" i="21427"/>
  <c r="C46" i="21429"/>
  <c r="F44" i="21429"/>
  <c r="I24" i="21429"/>
  <c r="AW17" i="21424"/>
  <c r="C19" i="21424"/>
  <c r="F17" i="21424"/>
  <c r="AX17" i="21424"/>
  <c r="AX15" i="21423"/>
  <c r="AW15" i="21423"/>
  <c r="C17" i="21423"/>
  <c r="AX27" i="21429"/>
  <c r="AW27" i="21429"/>
  <c r="M15" i="21424"/>
  <c r="AY15" i="21424"/>
  <c r="AY13" i="21423"/>
  <c r="M13" i="21423"/>
  <c r="AX79" i="21416"/>
  <c r="AW79" i="21416"/>
  <c r="C81" i="21416"/>
  <c r="M23" i="21416"/>
  <c r="AY23" i="21416"/>
  <c r="AZ22" i="21416"/>
  <c r="AY77" i="21416"/>
  <c r="M77" i="21416"/>
  <c r="AX13" i="108"/>
  <c r="AW13" i="108"/>
  <c r="AW14" i="108"/>
  <c r="F14" i="108"/>
  <c r="C16" i="108"/>
  <c r="AX14" i="108"/>
  <c r="M12" i="108"/>
  <c r="L94" i="21425" s="1"/>
  <c r="AY12" i="108"/>
  <c r="AX94" i="21425" s="1"/>
  <c r="C72" i="108"/>
  <c r="AX74" i="21415"/>
  <c r="AW74" i="21415"/>
  <c r="C76" i="21415"/>
  <c r="M72" i="21415"/>
  <c r="AY72" i="21415"/>
  <c r="F14" i="21415"/>
  <c r="C16" i="21415"/>
  <c r="C20" i="21417"/>
  <c r="AW18" i="21417"/>
  <c r="AX18" i="21417"/>
  <c r="M74" i="21417"/>
  <c r="AY74" i="21417"/>
  <c r="AX76" i="21417"/>
  <c r="C78" i="21417"/>
  <c r="AW76" i="21417"/>
  <c r="M13" i="21436"/>
  <c r="AY13" i="21436"/>
  <c r="AX15" i="21436"/>
  <c r="C17" i="21436"/>
  <c r="AW15" i="21436"/>
  <c r="F81" i="21436"/>
  <c r="J82" i="21436"/>
  <c r="C83" i="21436"/>
  <c r="C85" i="21436" s="1"/>
  <c r="C87" i="21436" s="1"/>
  <c r="AX81" i="21436"/>
  <c r="AW81" i="21436"/>
  <c r="M79" i="21436"/>
  <c r="AY79" i="21436"/>
  <c r="AW78" i="21436"/>
  <c r="AX78" i="21436"/>
  <c r="AX15" i="21435"/>
  <c r="C17" i="21435"/>
  <c r="AW15" i="21435"/>
  <c r="M79" i="21435"/>
  <c r="AY79" i="21435"/>
  <c r="AX81" i="21435"/>
  <c r="C83" i="21435"/>
  <c r="AW81" i="21435"/>
  <c r="M13" i="21435"/>
  <c r="AY13" i="21435"/>
  <c r="AW15" i="21418"/>
  <c r="AW347" i="21415" s="1"/>
  <c r="C20" i="21418"/>
  <c r="C22" i="21418" s="1"/>
  <c r="C24" i="21418" s="1"/>
  <c r="C26" i="21418" s="1"/>
  <c r="C28" i="21418" s="1"/>
  <c r="AW18" i="21418"/>
  <c r="AY18" i="21418" s="1"/>
  <c r="AY14" i="21418"/>
  <c r="AY346" i="21415" s="1"/>
  <c r="C41" i="21414"/>
  <c r="C43" i="21414" s="1"/>
  <c r="J38" i="21414"/>
  <c r="AZ28" i="21414"/>
  <c r="J46" i="21400"/>
  <c r="C49" i="21400"/>
  <c r="C14" i="2"/>
  <c r="C61" i="21422" s="1"/>
  <c r="AX12" i="2"/>
  <c r="AX59" i="21422" s="1"/>
  <c r="AW12" i="2"/>
  <c r="AW59" i="21422" s="1"/>
  <c r="AY10" i="2"/>
  <c r="AY57" i="21422" s="1"/>
  <c r="M10" i="2"/>
  <c r="M57" i="21422" s="1"/>
  <c r="AW56" i="21422"/>
  <c r="AX56" i="21422"/>
  <c r="AY19" i="21412"/>
  <c r="M19" i="21412"/>
  <c r="AX21" i="21412"/>
  <c r="M21" i="21412" s="1"/>
  <c r="AW21" i="21412"/>
  <c r="C23" i="21412"/>
  <c r="AZ10" i="21410"/>
  <c r="M13" i="21410"/>
  <c r="AY13" i="21410"/>
  <c r="AX37" i="21410"/>
  <c r="AX31" i="21411" s="1"/>
  <c r="C39" i="21410"/>
  <c r="J38" i="21410"/>
  <c r="J32" i="21411" s="1"/>
  <c r="AW37" i="21410"/>
  <c r="AW31" i="21411" s="1"/>
  <c r="AX216" i="108"/>
  <c r="M216" i="108" s="1"/>
  <c r="J217" i="108"/>
  <c r="AW216" i="108"/>
  <c r="C218" i="108"/>
  <c r="AX256" i="21415" l="1"/>
  <c r="C258" i="21415"/>
  <c r="C260" i="21415" s="1"/>
  <c r="C262" i="21415" s="1"/>
  <c r="C264" i="21415" s="1"/>
  <c r="C266" i="21415" s="1"/>
  <c r="C268" i="21415" s="1"/>
  <c r="C270" i="21415" s="1"/>
  <c r="C272" i="21415" s="1"/>
  <c r="C274" i="21415" s="1"/>
  <c r="C276" i="21415" s="1"/>
  <c r="C278" i="21415" s="1"/>
  <c r="C280" i="21415" s="1"/>
  <c r="C282" i="21415" s="1"/>
  <c r="C284" i="21415" s="1"/>
  <c r="C286" i="21415" s="1"/>
  <c r="C288" i="21415" s="1"/>
  <c r="C290" i="21415" s="1"/>
  <c r="C292" i="21415" s="1"/>
  <c r="C294" i="21415" s="1"/>
  <c r="C296" i="21415" s="1"/>
  <c r="C298" i="21415" s="1"/>
  <c r="C300" i="21415" s="1"/>
  <c r="C302" i="21415" s="1"/>
  <c r="C304" i="21415" s="1"/>
  <c r="C306" i="21415" s="1"/>
  <c r="C308" i="21415" s="1"/>
  <c r="C310" i="21415" s="1"/>
  <c r="C312" i="21415" s="1"/>
  <c r="C314" i="21415" s="1"/>
  <c r="C316" i="21415" s="1"/>
  <c r="C318" i="21415" s="1"/>
  <c r="C320" i="21415" s="1"/>
  <c r="C322" i="21415" s="1"/>
  <c r="C324" i="21415" s="1"/>
  <c r="C326" i="21415" s="1"/>
  <c r="C328" i="21415" s="1"/>
  <c r="C330" i="21415" s="1"/>
  <c r="C332" i="21415" s="1"/>
  <c r="C334" i="21415" s="1"/>
  <c r="C336" i="21415" s="1"/>
  <c r="C4" i="21418" s="1"/>
  <c r="AW256" i="21415"/>
  <c r="AX251" i="21415"/>
  <c r="AW251" i="21415"/>
  <c r="AZ258" i="21416"/>
  <c r="AW6" i="21419"/>
  <c r="AW345" i="21416" s="1"/>
  <c r="M265" i="21416"/>
  <c r="AY265" i="21416"/>
  <c r="C345" i="21416"/>
  <c r="AX266" i="21416"/>
  <c r="AW266" i="21416"/>
  <c r="AY6" i="21419"/>
  <c r="AY345" i="21416" s="1"/>
  <c r="J7" i="21419"/>
  <c r="J346" i="21416" s="1"/>
  <c r="AW8" i="21419"/>
  <c r="AW347" i="21416" s="1"/>
  <c r="C10" i="21419"/>
  <c r="C5" i="21420" s="1"/>
  <c r="AZ6" i="21412"/>
  <c r="AZ4" i="21411"/>
  <c r="M7" i="21411"/>
  <c r="M9" i="21412"/>
  <c r="AY9" i="21412"/>
  <c r="AY7" i="21411"/>
  <c r="J221" i="21417"/>
  <c r="AX221" i="21417" s="1"/>
  <c r="AY218" i="21417"/>
  <c r="AY216" i="21417"/>
  <c r="C25" i="21420"/>
  <c r="AX217" i="21417"/>
  <c r="AZ217" i="21417" s="1"/>
  <c r="M216" i="21417"/>
  <c r="AX220" i="21417"/>
  <c r="AW220" i="21417"/>
  <c r="C220" i="108"/>
  <c r="C222" i="108" s="1"/>
  <c r="J221" i="108" s="1"/>
  <c r="AX218" i="108"/>
  <c r="AW218" i="108"/>
  <c r="AW17" i="21423"/>
  <c r="C19" i="21423"/>
  <c r="F17" i="21423"/>
  <c r="AX17" i="21423"/>
  <c r="AX81" i="21416"/>
  <c r="C83" i="21416"/>
  <c r="AW81" i="21416"/>
  <c r="AW19" i="21424"/>
  <c r="F19" i="21424"/>
  <c r="C21" i="21424"/>
  <c r="AX19" i="21424"/>
  <c r="C48" i="21429"/>
  <c r="C50" i="21429" s="1"/>
  <c r="C52" i="21429" s="1"/>
  <c r="C54" i="21429" s="1"/>
  <c r="F46" i="21429"/>
  <c r="C29" i="21416"/>
  <c r="AW27" i="21416"/>
  <c r="AX27" i="21416"/>
  <c r="M15" i="21423"/>
  <c r="AY15" i="21423"/>
  <c r="AX24" i="21416"/>
  <c r="AW24" i="21416"/>
  <c r="M79" i="21416"/>
  <c r="AY79" i="21416"/>
  <c r="M17" i="21424"/>
  <c r="AY17" i="21424"/>
  <c r="C25" i="21427"/>
  <c r="C27" i="21427" s="1"/>
  <c r="C29" i="21427" s="1"/>
  <c r="C31" i="21427" s="1"/>
  <c r="C33" i="21427" s="1"/>
  <c r="I6" i="21427"/>
  <c r="I22" i="21427"/>
  <c r="J24" i="21427"/>
  <c r="M25" i="21416"/>
  <c r="AY25" i="21416"/>
  <c r="AY216" i="108"/>
  <c r="AZ13" i="108"/>
  <c r="C74" i="108"/>
  <c r="M14" i="108"/>
  <c r="AY14" i="108"/>
  <c r="AX16" i="108"/>
  <c r="AW16" i="108"/>
  <c r="C18" i="108"/>
  <c r="AW16" i="21415"/>
  <c r="AX16" i="21415"/>
  <c r="J15" i="21415"/>
  <c r="C18" i="21415"/>
  <c r="C80" i="21415"/>
  <c r="AX76" i="21415"/>
  <c r="C78" i="21415"/>
  <c r="AW76" i="21415"/>
  <c r="AY74" i="21415"/>
  <c r="M74" i="21415"/>
  <c r="AY18" i="21417"/>
  <c r="M18" i="21417"/>
  <c r="AX20" i="21417"/>
  <c r="AW20" i="21417"/>
  <c r="C22" i="21417"/>
  <c r="AX78" i="21417"/>
  <c r="C80" i="21417"/>
  <c r="AW78" i="21417"/>
  <c r="AY76" i="21417"/>
  <c r="M76" i="21417"/>
  <c r="C19" i="21436"/>
  <c r="AW17" i="21436"/>
  <c r="AX17" i="21436"/>
  <c r="AZ78" i="21436"/>
  <c r="M15" i="21436"/>
  <c r="AY15" i="21436"/>
  <c r="AY81" i="21436"/>
  <c r="M81" i="21436"/>
  <c r="C4" i="21426"/>
  <c r="C6" i="21426" s="1"/>
  <c r="J86" i="21436"/>
  <c r="AX87" i="21436"/>
  <c r="AW87" i="21436"/>
  <c r="AW4" i="21426" s="1"/>
  <c r="AX82" i="21436"/>
  <c r="AW82" i="21436"/>
  <c r="C85" i="21435"/>
  <c r="AW83" i="21435"/>
  <c r="AX83" i="21435"/>
  <c r="AY81" i="21435"/>
  <c r="M81" i="21435"/>
  <c r="C19" i="21435"/>
  <c r="AW17" i="21435"/>
  <c r="AX17" i="21435"/>
  <c r="AY15" i="21435"/>
  <c r="M15" i="21435"/>
  <c r="J29" i="21418"/>
  <c r="C30" i="21418"/>
  <c r="C32" i="21418" s="1"/>
  <c r="C34" i="21418" s="1"/>
  <c r="C36" i="21418" s="1"/>
  <c r="C38" i="21418" s="1"/>
  <c r="C40" i="21418" s="1"/>
  <c r="J27" i="21418"/>
  <c r="AZ15" i="21418"/>
  <c r="AZ347" i="21415" s="1"/>
  <c r="J42" i="21414"/>
  <c r="C45" i="21414"/>
  <c r="C47" i="21414" s="1"/>
  <c r="J50" i="21400"/>
  <c r="C51" i="21400"/>
  <c r="C53" i="21400" s="1"/>
  <c r="AZ56" i="21422"/>
  <c r="AY12" i="2"/>
  <c r="AY59" i="21422" s="1"/>
  <c r="M12" i="2"/>
  <c r="M59" i="21422" s="1"/>
  <c r="C16" i="2"/>
  <c r="C63" i="21422" s="1"/>
  <c r="AX14" i="2"/>
  <c r="AX61" i="21422" s="1"/>
  <c r="AW14" i="2"/>
  <c r="AW61" i="21422" s="1"/>
  <c r="AY21" i="21412"/>
  <c r="AX23" i="21412"/>
  <c r="M23" i="21412" s="1"/>
  <c r="AW23" i="21412"/>
  <c r="C25" i="21412"/>
  <c r="AX38" i="21410"/>
  <c r="AX32" i="21411" s="1"/>
  <c r="AW38" i="21410"/>
  <c r="AW32" i="21411" s="1"/>
  <c r="C41" i="21410"/>
  <c r="J42" i="21410" s="1"/>
  <c r="J39" i="21410"/>
  <c r="AX39" i="21410" s="1"/>
  <c r="M39" i="21410" s="1"/>
  <c r="AW39" i="21410"/>
  <c r="AY37" i="21410"/>
  <c r="AY31" i="21411" s="1"/>
  <c r="M37" i="21410"/>
  <c r="M31" i="21411" s="1"/>
  <c r="AW217" i="108"/>
  <c r="AX217" i="108"/>
  <c r="C224" i="21417"/>
  <c r="AW222" i="21417"/>
  <c r="AX222" i="21417"/>
  <c r="AZ251" i="21415" l="1"/>
  <c r="M256" i="21415"/>
  <c r="AY256" i="21415"/>
  <c r="AZ266" i="21416"/>
  <c r="AY8" i="21419"/>
  <c r="AY347" i="21416" s="1"/>
  <c r="AW10" i="21419"/>
  <c r="AW349" i="21416" s="1"/>
  <c r="C12" i="21419"/>
  <c r="C351" i="21416" s="1"/>
  <c r="C349" i="21416"/>
  <c r="AW7" i="21419"/>
  <c r="AW346" i="21416" s="1"/>
  <c r="J9" i="21419"/>
  <c r="J348" i="21416" s="1"/>
  <c r="AX221" i="108"/>
  <c r="AW221" i="108"/>
  <c r="C224" i="108"/>
  <c r="AX224" i="108" s="1"/>
  <c r="AW221" i="21417"/>
  <c r="AZ221" i="21417" s="1"/>
  <c r="AX42" i="21410"/>
  <c r="AW42" i="21410"/>
  <c r="C27" i="21420"/>
  <c r="AY220" i="21417"/>
  <c r="AY218" i="108"/>
  <c r="M218" i="108"/>
  <c r="AX222" i="108"/>
  <c r="AW222" i="108"/>
  <c r="AX33" i="21427"/>
  <c r="AW33" i="21427"/>
  <c r="AW29" i="21416"/>
  <c r="AX29" i="21416"/>
  <c r="J30" i="21416"/>
  <c r="C31" i="21416"/>
  <c r="F21" i="21424"/>
  <c r="J22" i="21424"/>
  <c r="C25" i="21424"/>
  <c r="C23" i="21424"/>
  <c r="AX21" i="21424"/>
  <c r="J20" i="21424"/>
  <c r="AW21" i="21424"/>
  <c r="C87" i="21416"/>
  <c r="AX83" i="21416"/>
  <c r="AW83" i="21416"/>
  <c r="C85" i="21416"/>
  <c r="AY17" i="21423"/>
  <c r="M17" i="21423"/>
  <c r="AZ24" i="21416"/>
  <c r="M81" i="21416"/>
  <c r="AY81" i="21416"/>
  <c r="F33" i="21427"/>
  <c r="C35" i="21427"/>
  <c r="M27" i="21416"/>
  <c r="AY27" i="21416"/>
  <c r="C56" i="21429"/>
  <c r="F54" i="21429"/>
  <c r="AX19" i="21423"/>
  <c r="AW19" i="21423"/>
  <c r="C21" i="21423"/>
  <c r="F19" i="21423"/>
  <c r="AX24" i="21427"/>
  <c r="AW24" i="21427"/>
  <c r="M19" i="21424"/>
  <c r="AY19" i="21424"/>
  <c r="AZ217" i="108"/>
  <c r="AX18" i="108"/>
  <c r="AW18" i="108"/>
  <c r="C20" i="108"/>
  <c r="M16" i="108"/>
  <c r="AY16" i="108"/>
  <c r="C76" i="108"/>
  <c r="AX15" i="21415"/>
  <c r="AW15" i="21415"/>
  <c r="AW78" i="21415"/>
  <c r="AX78" i="21415"/>
  <c r="M76" i="21415"/>
  <c r="AY76" i="21415"/>
  <c r="M16" i="21415"/>
  <c r="AY16" i="21415"/>
  <c r="AX80" i="21415"/>
  <c r="AW80" i="21415"/>
  <c r="C82" i="21415"/>
  <c r="C84" i="21415" s="1"/>
  <c r="J81" i="21415"/>
  <c r="AW18" i="21415"/>
  <c r="C20" i="21415"/>
  <c r="AX18" i="21415"/>
  <c r="M20" i="21417"/>
  <c r="AY20" i="21417"/>
  <c r="AX22" i="21417"/>
  <c r="AW22" i="21417"/>
  <c r="C24" i="21417"/>
  <c r="J21" i="21417"/>
  <c r="AX80" i="21417"/>
  <c r="AW80" i="21417"/>
  <c r="C82" i="21417"/>
  <c r="C84" i="21417"/>
  <c r="M78" i="21417"/>
  <c r="AY78" i="21417"/>
  <c r="M17" i="21436"/>
  <c r="AY17" i="21436"/>
  <c r="AX19" i="21436"/>
  <c r="C23" i="21436"/>
  <c r="AW19" i="21436"/>
  <c r="C21" i="21436"/>
  <c r="AY87" i="21436"/>
  <c r="AY4" i="21426" s="1"/>
  <c r="AX4" i="21426"/>
  <c r="M4" i="21426"/>
  <c r="AW86" i="21436"/>
  <c r="AX86" i="21436"/>
  <c r="AZ82" i="21436"/>
  <c r="AW6" i="21426"/>
  <c r="AW89" i="21436" s="1"/>
  <c r="C8" i="21426"/>
  <c r="C91" i="21436" s="1"/>
  <c r="J5" i="21426"/>
  <c r="J88" i="21436" s="1"/>
  <c r="AX6" i="21426"/>
  <c r="C89" i="21436"/>
  <c r="M17" i="21435"/>
  <c r="AY17" i="21435"/>
  <c r="AX85" i="21435"/>
  <c r="AW85" i="21435"/>
  <c r="C87" i="21435"/>
  <c r="M83" i="21435"/>
  <c r="AY83" i="21435"/>
  <c r="AX19" i="21435"/>
  <c r="C23" i="21435"/>
  <c r="AW19" i="21435"/>
  <c r="C21" i="21435"/>
  <c r="C49" i="21414"/>
  <c r="J46" i="21414"/>
  <c r="J53" i="21400"/>
  <c r="C55" i="21400"/>
  <c r="C18" i="2"/>
  <c r="J17" i="2"/>
  <c r="J64" i="21422" s="1"/>
  <c r="AX16" i="2"/>
  <c r="AX63" i="21422" s="1"/>
  <c r="AW16" i="2"/>
  <c r="AW63" i="21422" s="1"/>
  <c r="M14" i="2"/>
  <c r="M61" i="21422" s="1"/>
  <c r="AY14" i="2"/>
  <c r="AY61" i="21422" s="1"/>
  <c r="AY23" i="21412"/>
  <c r="C27" i="21412"/>
  <c r="AX25" i="21412"/>
  <c r="M25" i="21412" s="1"/>
  <c r="AW25" i="21412"/>
  <c r="AY39" i="21410"/>
  <c r="AX41" i="21410"/>
  <c r="AW41" i="21410"/>
  <c r="AZ38" i="21410"/>
  <c r="AZ32" i="21411" s="1"/>
  <c r="AW224" i="21417"/>
  <c r="AX224" i="21417"/>
  <c r="C226" i="21417"/>
  <c r="M222" i="21417"/>
  <c r="AY222" i="21417"/>
  <c r="AW12" i="21419" l="1"/>
  <c r="AW9" i="21419"/>
  <c r="AW4" i="21420" s="1"/>
  <c r="C7" i="21420"/>
  <c r="C14" i="21419"/>
  <c r="C353" i="21416" s="1"/>
  <c r="J4" i="21420"/>
  <c r="AY10" i="21419"/>
  <c r="AY5" i="21420" s="1"/>
  <c r="AW5" i="21420"/>
  <c r="AZ7" i="21419"/>
  <c r="AZ346" i="21416" s="1"/>
  <c r="AW7" i="21420"/>
  <c r="AW351" i="21416"/>
  <c r="AZ42" i="21410"/>
  <c r="J223" i="108"/>
  <c r="AX223" i="108" s="1"/>
  <c r="C226" i="108"/>
  <c r="AX226" i="108" s="1"/>
  <c r="AW224" i="108"/>
  <c r="AY224" i="108" s="1"/>
  <c r="AZ221" i="108"/>
  <c r="C29" i="21420"/>
  <c r="AY222" i="108"/>
  <c r="M222" i="108"/>
  <c r="M224" i="108"/>
  <c r="C58" i="21429"/>
  <c r="I57" i="21429" s="1"/>
  <c r="J55" i="21429"/>
  <c r="AX56" i="21429"/>
  <c r="AW56" i="21429"/>
  <c r="C37" i="21427"/>
  <c r="AX35" i="21427"/>
  <c r="AW35" i="21427"/>
  <c r="AY33" i="21427"/>
  <c r="M33" i="21427"/>
  <c r="AZ15" i="21415"/>
  <c r="M19" i="21423"/>
  <c r="AY19" i="21423"/>
  <c r="AX20" i="21424"/>
  <c r="AW20" i="21424"/>
  <c r="AX22" i="21424"/>
  <c r="AW22" i="21424"/>
  <c r="AY29" i="21416"/>
  <c r="M29" i="21416"/>
  <c r="AY12" i="21419"/>
  <c r="AZ9" i="21419"/>
  <c r="M83" i="21416"/>
  <c r="AY83" i="21416"/>
  <c r="M21" i="21424"/>
  <c r="AY21" i="21424"/>
  <c r="AW14" i="21419"/>
  <c r="F21" i="21423"/>
  <c r="AW21" i="21423"/>
  <c r="J20" i="21423"/>
  <c r="C25" i="21423"/>
  <c r="J22" i="21423"/>
  <c r="C23" i="21423"/>
  <c r="AX21" i="21423"/>
  <c r="J88" i="21416"/>
  <c r="AX87" i="21416"/>
  <c r="AW87" i="21416"/>
  <c r="C89" i="21416"/>
  <c r="C91" i="21416" s="1"/>
  <c r="AX23" i="21424"/>
  <c r="AW23" i="21424"/>
  <c r="AW31" i="21416"/>
  <c r="AX31" i="21416"/>
  <c r="C33" i="21416"/>
  <c r="AW85" i="21416"/>
  <c r="AX85" i="21416"/>
  <c r="AW25" i="21424"/>
  <c r="F25" i="21424"/>
  <c r="C27" i="21424"/>
  <c r="J26" i="21424"/>
  <c r="AX25" i="21424"/>
  <c r="AX30" i="21416"/>
  <c r="AW30" i="21416"/>
  <c r="C80" i="108"/>
  <c r="C78" i="108"/>
  <c r="AX20" i="108"/>
  <c r="J19" i="108"/>
  <c r="AW20" i="108"/>
  <c r="C22" i="108"/>
  <c r="M18" i="108"/>
  <c r="AY18" i="108"/>
  <c r="AY18" i="21415"/>
  <c r="M18" i="21415"/>
  <c r="AX81" i="21415"/>
  <c r="AW81" i="21415"/>
  <c r="AX84" i="21415"/>
  <c r="C86" i="21415"/>
  <c r="AW84" i="21415"/>
  <c r="AW20" i="21415"/>
  <c r="C22" i="21415"/>
  <c r="J19" i="21415"/>
  <c r="AX20" i="21415"/>
  <c r="AY80" i="21415"/>
  <c r="M80" i="21415"/>
  <c r="M22" i="21417"/>
  <c r="AY22" i="21417"/>
  <c r="AW21" i="21417"/>
  <c r="AX21" i="21417"/>
  <c r="C26" i="21417"/>
  <c r="AX24" i="21417"/>
  <c r="AW24" i="21417"/>
  <c r="C86" i="21417"/>
  <c r="C88" i="21417" s="1"/>
  <c r="J85" i="21417"/>
  <c r="AW84" i="21417"/>
  <c r="AX84" i="21417"/>
  <c r="AW82" i="21417"/>
  <c r="AX82" i="21417"/>
  <c r="M80" i="21417"/>
  <c r="AY80" i="21417"/>
  <c r="J24" i="21436"/>
  <c r="C25" i="21436"/>
  <c r="AX23" i="21436"/>
  <c r="AW23" i="21436"/>
  <c r="F23" i="21436"/>
  <c r="M19" i="21436"/>
  <c r="AY19" i="21436"/>
  <c r="AX21" i="21436"/>
  <c r="AW21" i="21436"/>
  <c r="AW5" i="21426"/>
  <c r="AW88" i="21436" s="1"/>
  <c r="AX5" i="21426"/>
  <c r="AX88" i="21436" s="1"/>
  <c r="C10" i="21426"/>
  <c r="C93" i="21436" s="1"/>
  <c r="AX8" i="21426"/>
  <c r="AX91" i="21436" s="1"/>
  <c r="AW8" i="21426"/>
  <c r="AW91" i="21436" s="1"/>
  <c r="AX89" i="21436"/>
  <c r="AY6" i="21426"/>
  <c r="AY89" i="21436" s="1"/>
  <c r="M6" i="21426"/>
  <c r="M89" i="21436" s="1"/>
  <c r="C25" i="21435"/>
  <c r="J24" i="21435"/>
  <c r="AW23" i="21435"/>
  <c r="AX23" i="21435"/>
  <c r="F23" i="21435"/>
  <c r="C4" i="21425"/>
  <c r="C6" i="21425" s="1"/>
  <c r="AW87" i="21435"/>
  <c r="AV4" i="21425" s="1"/>
  <c r="AX87" i="21435"/>
  <c r="AY19" i="21435"/>
  <c r="M19" i="21435"/>
  <c r="AX21" i="21435"/>
  <c r="AW21" i="21435"/>
  <c r="AY85" i="21435"/>
  <c r="M85" i="21435"/>
  <c r="J50" i="21414"/>
  <c r="C51" i="21414"/>
  <c r="C53" i="21414" s="1"/>
  <c r="C57" i="21400"/>
  <c r="C59" i="21400" s="1"/>
  <c r="J54" i="21400"/>
  <c r="M16" i="2"/>
  <c r="M63" i="21422" s="1"/>
  <c r="AY16" i="2"/>
  <c r="AY63" i="21422" s="1"/>
  <c r="AW17" i="2"/>
  <c r="AW64" i="21422" s="1"/>
  <c r="AX17" i="2"/>
  <c r="AX64" i="21422" s="1"/>
  <c r="C20" i="2"/>
  <c r="J18" i="2"/>
  <c r="AX18" i="2" s="1"/>
  <c r="AY25" i="21412"/>
  <c r="C29" i="21412"/>
  <c r="C27" i="21411" s="1"/>
  <c r="AX27" i="21412"/>
  <c r="M27" i="21412" s="1"/>
  <c r="AW27" i="21412"/>
  <c r="M41" i="21410"/>
  <c r="AY41" i="21410"/>
  <c r="C228" i="21417"/>
  <c r="AX226" i="21417"/>
  <c r="AW226" i="21417"/>
  <c r="M224" i="21417"/>
  <c r="AY224" i="21417"/>
  <c r="J15" i="21419" l="1"/>
  <c r="C16" i="21419"/>
  <c r="C9" i="21420"/>
  <c r="AW348" i="21416"/>
  <c r="C60" i="21429"/>
  <c r="C62" i="21429" s="1"/>
  <c r="C64" i="21429" s="1"/>
  <c r="AY349" i="21416"/>
  <c r="AZ4" i="21420"/>
  <c r="AZ348" i="21416"/>
  <c r="J10" i="21420"/>
  <c r="J354" i="21416"/>
  <c r="AW9" i="21420"/>
  <c r="AW353" i="21416"/>
  <c r="AY7" i="21420"/>
  <c r="AY351" i="21416"/>
  <c r="C228" i="108"/>
  <c r="J229" i="108" s="1"/>
  <c r="AX229" i="108" s="1"/>
  <c r="AW223" i="108"/>
  <c r="AZ223" i="108" s="1"/>
  <c r="AW226" i="108"/>
  <c r="AY226" i="108" s="1"/>
  <c r="AZ22" i="21424"/>
  <c r="C31" i="21420"/>
  <c r="AZ21" i="21417"/>
  <c r="M56" i="21429"/>
  <c r="AY56" i="21429"/>
  <c r="M226" i="108"/>
  <c r="AZ30" i="21416"/>
  <c r="C39" i="21427"/>
  <c r="AX37" i="21427"/>
  <c r="AW37" i="21427"/>
  <c r="AY35" i="21427"/>
  <c r="M35" i="21427"/>
  <c r="AX55" i="21429"/>
  <c r="AW55" i="21429"/>
  <c r="AX26" i="21424"/>
  <c r="AW26" i="21424"/>
  <c r="AW33" i="21416"/>
  <c r="AX33" i="21416"/>
  <c r="C35" i="21416"/>
  <c r="AX88" i="21416"/>
  <c r="AW88" i="21416"/>
  <c r="AY21" i="21423"/>
  <c r="M21" i="21423"/>
  <c r="AX20" i="21423"/>
  <c r="AW20" i="21423"/>
  <c r="C18" i="21419"/>
  <c r="C20" i="21419" s="1"/>
  <c r="C22" i="21419" s="1"/>
  <c r="AW16" i="21419"/>
  <c r="AY16" i="21419" s="1"/>
  <c r="C29" i="21424"/>
  <c r="F27" i="21424"/>
  <c r="AX27" i="21424"/>
  <c r="AW27" i="21424"/>
  <c r="M31" i="21416"/>
  <c r="AY31" i="21416"/>
  <c r="AX91" i="21416"/>
  <c r="AW91" i="21416"/>
  <c r="C93" i="21416"/>
  <c r="AW23" i="21423"/>
  <c r="AX23" i="21423"/>
  <c r="AY14" i="21419"/>
  <c r="AZ20" i="21424"/>
  <c r="C66" i="21429"/>
  <c r="C68" i="21429" s="1"/>
  <c r="F64" i="21429"/>
  <c r="AW22" i="21423"/>
  <c r="AX22" i="21423"/>
  <c r="M25" i="21424"/>
  <c r="AY25" i="21424"/>
  <c r="AY87" i="21416"/>
  <c r="M87" i="21416"/>
  <c r="C27" i="21423"/>
  <c r="F25" i="21423"/>
  <c r="AW25" i="21423"/>
  <c r="AX25" i="21423"/>
  <c r="J26" i="21423"/>
  <c r="AW15" i="21419"/>
  <c r="AZ17" i="2"/>
  <c r="AZ64" i="21422" s="1"/>
  <c r="AW22" i="108"/>
  <c r="I21" i="108"/>
  <c r="C24" i="108"/>
  <c r="AX22" i="108"/>
  <c r="AX19" i="108"/>
  <c r="AW19" i="108"/>
  <c r="M20" i="108"/>
  <c r="AY20" i="108"/>
  <c r="C82" i="108"/>
  <c r="C84" i="108" s="1"/>
  <c r="J81" i="108"/>
  <c r="M20" i="21415"/>
  <c r="AY20" i="21415"/>
  <c r="AX86" i="21415"/>
  <c r="C88" i="21415"/>
  <c r="J88" i="21415" s="1"/>
  <c r="AW86" i="21415"/>
  <c r="AZ81" i="21415"/>
  <c r="AW19" i="21415"/>
  <c r="AX19" i="21415"/>
  <c r="M84" i="21415"/>
  <c r="AY84" i="21415"/>
  <c r="AW22" i="21415"/>
  <c r="C24" i="21415"/>
  <c r="AX22" i="21415"/>
  <c r="I21" i="21415"/>
  <c r="AX26" i="21417"/>
  <c r="AW26" i="21417"/>
  <c r="C28" i="21417"/>
  <c r="J27" i="21417"/>
  <c r="M24" i="21417"/>
  <c r="AY24" i="21417"/>
  <c r="AY84" i="21417"/>
  <c r="M84" i="21417"/>
  <c r="AX85" i="21417"/>
  <c r="AW85" i="21417"/>
  <c r="AX88" i="21417"/>
  <c r="AW88" i="21417"/>
  <c r="C90" i="21417"/>
  <c r="M23" i="21436"/>
  <c r="AY23" i="21436"/>
  <c r="AX25" i="21436"/>
  <c r="F25" i="21436"/>
  <c r="C27" i="21436"/>
  <c r="AW25" i="21436"/>
  <c r="AW24" i="21436"/>
  <c r="AX24" i="21436"/>
  <c r="AZ5" i="21426"/>
  <c r="AZ88" i="21436" s="1"/>
  <c r="M8" i="21426"/>
  <c r="M91" i="21436" s="1"/>
  <c r="AY8" i="21426"/>
  <c r="AY91" i="21436" s="1"/>
  <c r="F10" i="21426"/>
  <c r="F93" i="21436" s="1"/>
  <c r="AX10" i="21426"/>
  <c r="AX93" i="21436" s="1"/>
  <c r="AW10" i="21426"/>
  <c r="AW93" i="21436" s="1"/>
  <c r="C12" i="21426"/>
  <c r="C95" i="21436" s="1"/>
  <c r="AX25" i="21435"/>
  <c r="C27" i="21435"/>
  <c r="AW25" i="21435"/>
  <c r="F25" i="21435"/>
  <c r="AW4" i="21425"/>
  <c r="M87" i="21435"/>
  <c r="L4" i="21425" s="1"/>
  <c r="AY87" i="21435"/>
  <c r="AX4" i="21425" s="1"/>
  <c r="M23" i="21435"/>
  <c r="AY23" i="21435"/>
  <c r="AW6" i="21425"/>
  <c r="I5" i="21425"/>
  <c r="AV6" i="21425"/>
  <c r="AW89" i="21435" s="1"/>
  <c r="C8" i="21425"/>
  <c r="C91" i="21435" s="1"/>
  <c r="C89" i="21435"/>
  <c r="AW24" i="21435"/>
  <c r="AX24" i="21435"/>
  <c r="C55" i="21414"/>
  <c r="J53" i="21414"/>
  <c r="C61" i="21400"/>
  <c r="C22" i="2"/>
  <c r="C24" i="2" s="1"/>
  <c r="C26" i="2" s="1"/>
  <c r="C28" i="2" s="1"/>
  <c r="J19" i="2"/>
  <c r="AY27" i="21412"/>
  <c r="C31" i="21412"/>
  <c r="C29" i="21411" s="1"/>
  <c r="AW29" i="21412"/>
  <c r="AW27" i="21411" s="1"/>
  <c r="AX29" i="21412"/>
  <c r="AX27" i="21411" s="1"/>
  <c r="AY226" i="21417"/>
  <c r="M226" i="21417"/>
  <c r="C230" i="21417"/>
  <c r="AW228" i="21417"/>
  <c r="AX228" i="21417"/>
  <c r="J228" i="21417"/>
  <c r="AX228" i="108" l="1"/>
  <c r="AW229" i="108"/>
  <c r="AY9" i="21420"/>
  <c r="AY353" i="21416"/>
  <c r="AW10" i="21420"/>
  <c r="AW354" i="21416"/>
  <c r="AW228" i="108"/>
  <c r="C230" i="108"/>
  <c r="C232" i="108" s="1"/>
  <c r="AZ55" i="21429"/>
  <c r="AZ20" i="21423"/>
  <c r="AZ26" i="21424"/>
  <c r="C33" i="21420"/>
  <c r="M228" i="108"/>
  <c r="AZ88" i="21416"/>
  <c r="AY37" i="21427"/>
  <c r="M37" i="21427"/>
  <c r="C41" i="21427"/>
  <c r="AW39" i="21427"/>
  <c r="AX39" i="21427"/>
  <c r="AZ22" i="21423"/>
  <c r="AZ229" i="108"/>
  <c r="AY25" i="21423"/>
  <c r="M25" i="21423"/>
  <c r="C70" i="21429"/>
  <c r="C72" i="21429" s="1"/>
  <c r="C74" i="21429" s="1"/>
  <c r="F68" i="21429"/>
  <c r="AZ15" i="21419"/>
  <c r="M91" i="21416"/>
  <c r="AY91" i="21416"/>
  <c r="M27" i="21424"/>
  <c r="AY27" i="21424"/>
  <c r="M33" i="21416"/>
  <c r="AY33" i="21416"/>
  <c r="AW26" i="21423"/>
  <c r="AX26" i="21423"/>
  <c r="AX27" i="21423"/>
  <c r="C29" i="21423"/>
  <c r="F27" i="21423"/>
  <c r="AW27" i="21423"/>
  <c r="AX93" i="21416"/>
  <c r="C95" i="21416"/>
  <c r="AW93" i="21416"/>
  <c r="F29" i="21424"/>
  <c r="AX29" i="21424"/>
  <c r="C31" i="21424"/>
  <c r="AW29" i="21424"/>
  <c r="AX35" i="21416"/>
  <c r="C37" i="21416"/>
  <c r="AW35" i="21416"/>
  <c r="AZ19" i="108"/>
  <c r="C86" i="108"/>
  <c r="M22" i="108"/>
  <c r="AY22" i="108"/>
  <c r="J25" i="108"/>
  <c r="AW24" i="108"/>
  <c r="C26" i="108"/>
  <c r="AX24" i="108"/>
  <c r="AX24" i="21415"/>
  <c r="C26" i="21415"/>
  <c r="J25" i="21415"/>
  <c r="AW24" i="21415"/>
  <c r="AX88" i="21415"/>
  <c r="AW88" i="21415"/>
  <c r="C90" i="21415"/>
  <c r="AZ19" i="21415"/>
  <c r="M86" i="21415"/>
  <c r="AY86" i="21415"/>
  <c r="M22" i="21415"/>
  <c r="AY22" i="21415"/>
  <c r="AW27" i="21417"/>
  <c r="AX27" i="21417"/>
  <c r="AZ85" i="21417"/>
  <c r="AY26" i="21417"/>
  <c r="M26" i="21417"/>
  <c r="AW28" i="21417"/>
  <c r="AX28" i="21417"/>
  <c r="C30" i="21417"/>
  <c r="AX90" i="21417"/>
  <c r="AW90" i="21417"/>
  <c r="C92" i="21417"/>
  <c r="AY88" i="21417"/>
  <c r="M88" i="21417"/>
  <c r="F27" i="21436"/>
  <c r="AW27" i="21436"/>
  <c r="AX27" i="21436"/>
  <c r="C29" i="21436"/>
  <c r="M25" i="21436"/>
  <c r="AY25" i="21436"/>
  <c r="AZ24" i="21436"/>
  <c r="AY10" i="21426"/>
  <c r="AY93" i="21436" s="1"/>
  <c r="M10" i="21426"/>
  <c r="M93" i="21436" s="1"/>
  <c r="J13" i="21426"/>
  <c r="AX12" i="21426"/>
  <c r="AX95" i="21436" s="1"/>
  <c r="C14" i="21426"/>
  <c r="AW12" i="21426"/>
  <c r="AW95" i="21436" s="1"/>
  <c r="AZ24" i="21435"/>
  <c r="AV8" i="21425"/>
  <c r="AW91" i="21435" s="1"/>
  <c r="C10" i="21425"/>
  <c r="C93" i="21435" s="1"/>
  <c r="F8" i="21425"/>
  <c r="F91" i="21435" s="1"/>
  <c r="AW8" i="21425"/>
  <c r="AX91" i="21435" s="1"/>
  <c r="F27" i="21435"/>
  <c r="AX27" i="21435"/>
  <c r="AW27" i="21435"/>
  <c r="C29" i="21435"/>
  <c r="AW5" i="21425"/>
  <c r="AV5" i="21425"/>
  <c r="AY25" i="21435"/>
  <c r="M25" i="21435"/>
  <c r="AX89" i="21435"/>
  <c r="L6" i="21425"/>
  <c r="M89" i="21435" s="1"/>
  <c r="AX6" i="21425"/>
  <c r="AY89" i="21435" s="1"/>
  <c r="C24" i="21419"/>
  <c r="C57" i="21414"/>
  <c r="C59" i="21414" s="1"/>
  <c r="J54" i="21414"/>
  <c r="I60" i="21400"/>
  <c r="J62" i="21400"/>
  <c r="C63" i="21400"/>
  <c r="C65" i="21400" s="1"/>
  <c r="AX19" i="2"/>
  <c r="AW19" i="2"/>
  <c r="C30" i="2"/>
  <c r="J27" i="2"/>
  <c r="AW31" i="21412"/>
  <c r="AW29" i="21411" s="1"/>
  <c r="C33" i="21412"/>
  <c r="AX31" i="21412"/>
  <c r="AX29" i="21411" s="1"/>
  <c r="M29" i="21412"/>
  <c r="M27" i="21411" s="1"/>
  <c r="AY29" i="21412"/>
  <c r="AY27" i="21411" s="1"/>
  <c r="AX230" i="21417"/>
  <c r="AW230" i="21417"/>
  <c r="J229" i="21417"/>
  <c r="C232" i="21417"/>
  <c r="AY228" i="21417"/>
  <c r="M228" i="21417"/>
  <c r="AZ228" i="21417"/>
  <c r="AY228" i="108" l="1"/>
  <c r="C101" i="21434"/>
  <c r="C234" i="108"/>
  <c r="C236" i="108" s="1"/>
  <c r="AW230" i="108"/>
  <c r="AZ10" i="21420"/>
  <c r="AZ354" i="21416"/>
  <c r="J233" i="108"/>
  <c r="J102" i="21434" s="1"/>
  <c r="C238" i="108"/>
  <c r="C240" i="108" s="1"/>
  <c r="J231" i="108"/>
  <c r="AX230" i="108"/>
  <c r="M230" i="108" s="1"/>
  <c r="AX232" i="108"/>
  <c r="AX101" i="21434" s="1"/>
  <c r="AW232" i="108"/>
  <c r="AW101" i="21434" s="1"/>
  <c r="C35" i="21420"/>
  <c r="W56" i="21407" s="1"/>
  <c r="W15" i="21407"/>
  <c r="AE32" i="21408"/>
  <c r="AZ26" i="21423"/>
  <c r="M39" i="21427"/>
  <c r="AY39" i="21427"/>
  <c r="AW41" i="21427"/>
  <c r="AX41" i="21427"/>
  <c r="C43" i="21427"/>
  <c r="I40" i="21427"/>
  <c r="AZ27" i="21417"/>
  <c r="AX37" i="21416"/>
  <c r="C39" i="21416"/>
  <c r="J38" i="21416" s="1"/>
  <c r="AW37" i="21416"/>
  <c r="AY29" i="21424"/>
  <c r="M29" i="21424"/>
  <c r="AY93" i="21416"/>
  <c r="M93" i="21416"/>
  <c r="M27" i="21423"/>
  <c r="AY27" i="21423"/>
  <c r="AY35" i="21416"/>
  <c r="M35" i="21416"/>
  <c r="C76" i="21429"/>
  <c r="C78" i="21429" s="1"/>
  <c r="F74" i="21429"/>
  <c r="C33" i="21424"/>
  <c r="AW31" i="21424"/>
  <c r="AX31" i="21424"/>
  <c r="AX95" i="21416"/>
  <c r="C97" i="21416"/>
  <c r="C99" i="21416" s="1"/>
  <c r="J96" i="21416"/>
  <c r="AW95" i="21416"/>
  <c r="F29" i="21423"/>
  <c r="C31" i="21423"/>
  <c r="AW29" i="21423"/>
  <c r="AX29" i="21423"/>
  <c r="M24" i="108"/>
  <c r="AY24" i="108"/>
  <c r="C28" i="108"/>
  <c r="AX26" i="108"/>
  <c r="AW26" i="108"/>
  <c r="AX25" i="108"/>
  <c r="AW25" i="108"/>
  <c r="C88" i="108"/>
  <c r="AX25" i="21415"/>
  <c r="AW25" i="21415"/>
  <c r="C92" i="21415"/>
  <c r="J90" i="21415"/>
  <c r="AX90" i="21415"/>
  <c r="AW90" i="21415"/>
  <c r="J89" i="21415"/>
  <c r="AW26" i="21415"/>
  <c r="C28" i="21415"/>
  <c r="AX26" i="21415"/>
  <c r="M24" i="21415"/>
  <c r="AY24" i="21415"/>
  <c r="AY88" i="21415"/>
  <c r="AZ88" i="21415"/>
  <c r="M88" i="21415"/>
  <c r="C32" i="21417"/>
  <c r="AX30" i="21417"/>
  <c r="AW30" i="21417"/>
  <c r="AY28" i="21417"/>
  <c r="M28" i="21417"/>
  <c r="AX92" i="21417"/>
  <c r="AW92" i="21417"/>
  <c r="J91" i="21417"/>
  <c r="C94" i="21417"/>
  <c r="M90" i="21417"/>
  <c r="AY90" i="21417"/>
  <c r="F29" i="21436"/>
  <c r="AW29" i="21436"/>
  <c r="C31" i="21436"/>
  <c r="AX29" i="21436"/>
  <c r="AY27" i="21436"/>
  <c r="M27" i="21436"/>
  <c r="C16" i="21426"/>
  <c r="C18" i="21426" s="1"/>
  <c r="C20" i="21426" s="1"/>
  <c r="M12" i="21426"/>
  <c r="M95" i="21436" s="1"/>
  <c r="AY12" i="21426"/>
  <c r="AY95" i="21436" s="1"/>
  <c r="AX13" i="21426"/>
  <c r="AW13" i="21426"/>
  <c r="AY5" i="21425"/>
  <c r="AY27" i="21435"/>
  <c r="M27" i="21435"/>
  <c r="AV10" i="21425"/>
  <c r="AW93" i="21435" s="1"/>
  <c r="C12" i="21425"/>
  <c r="C95" i="21435" s="1"/>
  <c r="AW10" i="21425"/>
  <c r="AX93" i="21435" s="1"/>
  <c r="I9" i="21425"/>
  <c r="F29" i="21435"/>
  <c r="C31" i="21435"/>
  <c r="AW29" i="21435"/>
  <c r="AX29" i="21435"/>
  <c r="L8" i="21425"/>
  <c r="M91" i="21435" s="1"/>
  <c r="AX8" i="21425"/>
  <c r="AY91" i="21435" s="1"/>
  <c r="C26" i="21419"/>
  <c r="C61" i="21414"/>
  <c r="J29" i="2"/>
  <c r="C32" i="2"/>
  <c r="AZ19" i="2"/>
  <c r="M31" i="21412"/>
  <c r="M29" i="21411" s="1"/>
  <c r="AY31" i="21412"/>
  <c r="AY29" i="21411" s="1"/>
  <c r="AW229" i="21417"/>
  <c r="AX229" i="21417"/>
  <c r="AY230" i="21417"/>
  <c r="M230" i="21417"/>
  <c r="AX232" i="21417"/>
  <c r="C234" i="21417"/>
  <c r="AW232" i="21417"/>
  <c r="J231" i="21417"/>
  <c r="C15" i="21431" l="1"/>
  <c r="C242" i="108"/>
  <c r="AX240" i="108"/>
  <c r="AX15" i="21431" s="1"/>
  <c r="AW240" i="108"/>
  <c r="AW15" i="21431" s="1"/>
  <c r="AW233" i="108"/>
  <c r="AW102" i="21434" s="1"/>
  <c r="AX233" i="108"/>
  <c r="AX102" i="21434" s="1"/>
  <c r="AY230" i="108"/>
  <c r="AW231" i="108"/>
  <c r="AX231" i="108"/>
  <c r="W31" i="21407"/>
  <c r="AE229" i="21408"/>
  <c r="AE14" i="21408"/>
  <c r="AE100" i="21408"/>
  <c r="W8" i="21407"/>
  <c r="AE211" i="21408"/>
  <c r="AE170" i="21408"/>
  <c r="AE218" i="21408"/>
  <c r="AE126" i="21408"/>
  <c r="AE146" i="21408"/>
  <c r="AC67" i="21402"/>
  <c r="AE350" i="21408"/>
  <c r="AE71" i="21408"/>
  <c r="AE79" i="21408"/>
  <c r="AE217" i="21408"/>
  <c r="AE76" i="21408"/>
  <c r="AC34" i="21402"/>
  <c r="AE136" i="21408"/>
  <c r="AE137" i="21408"/>
  <c r="AE109" i="21408"/>
  <c r="AE251" i="21408"/>
  <c r="AE223" i="21408"/>
  <c r="AE44" i="21408"/>
  <c r="W50" i="21407"/>
  <c r="AE70" i="21408"/>
  <c r="AE245" i="21408"/>
  <c r="W28" i="21407" s="1"/>
  <c r="AE181" i="21408"/>
  <c r="AE178" i="21408"/>
  <c r="AE206" i="21408"/>
  <c r="AE51" i="21408"/>
  <c r="AE69" i="21408"/>
  <c r="AE151" i="21408"/>
  <c r="AC57" i="21402"/>
  <c r="AE77" i="21408"/>
  <c r="AE132" i="21408"/>
  <c r="AE226" i="21408"/>
  <c r="W16" i="21407"/>
  <c r="AC52" i="21402"/>
  <c r="AE116" i="21408"/>
  <c r="AC32" i="21402"/>
  <c r="AE145" i="21408"/>
  <c r="AE62" i="21408"/>
  <c r="AE120" i="21408"/>
  <c r="AE224" i="21408"/>
  <c r="AC59" i="21402"/>
  <c r="AE173" i="21408"/>
  <c r="W21" i="21407"/>
  <c r="AE46" i="21408"/>
  <c r="W57" i="21407"/>
  <c r="AE94" i="21408"/>
  <c r="AC4" i="21402"/>
  <c r="AC17" i="21402"/>
  <c r="W9" i="21407"/>
  <c r="AE157" i="21408"/>
  <c r="AE289" i="21408"/>
  <c r="AE114" i="21408"/>
  <c r="AE158" i="21408"/>
  <c r="AC58" i="21402"/>
  <c r="AC8" i="21402"/>
  <c r="AE247" i="21408"/>
  <c r="AE210" i="21408"/>
  <c r="AE103" i="21408"/>
  <c r="AE205" i="21408"/>
  <c r="W40" i="21407"/>
  <c r="AE180" i="21408"/>
  <c r="AE174" i="21408"/>
  <c r="AE192" i="21408"/>
  <c r="AC71" i="21402"/>
  <c r="AE160" i="21408"/>
  <c r="AC33" i="21402"/>
  <c r="AE189" i="21408"/>
  <c r="AE190" i="21408" s="1"/>
  <c r="AE301" i="21408"/>
  <c r="AE125" i="21408"/>
  <c r="AC70" i="21402"/>
  <c r="AE287" i="21408"/>
  <c r="AE61" i="21408"/>
  <c r="AE259" i="21408"/>
  <c r="W10" i="21407"/>
  <c r="AC51" i="21402"/>
  <c r="W53" i="21407"/>
  <c r="AE23" i="21408"/>
  <c r="AE257" i="21408"/>
  <c r="AC49" i="21402"/>
  <c r="AC19" i="21402"/>
  <c r="AE148" i="21408"/>
  <c r="AE248" i="21408"/>
  <c r="AE130" i="21408"/>
  <c r="AC38" i="21402"/>
  <c r="W4" i="21407"/>
  <c r="AC16" i="21402"/>
  <c r="W20" i="21407"/>
  <c r="AC56" i="21402"/>
  <c r="AE147" i="21408"/>
  <c r="AC9" i="21402"/>
  <c r="AE161" i="21408"/>
  <c r="AE101" i="21408"/>
  <c r="AE142" i="21408"/>
  <c r="AE104" i="21408"/>
  <c r="AE34" i="21408"/>
  <c r="W38" i="21407"/>
  <c r="AE164" i="21408"/>
  <c r="AC3" i="21402"/>
  <c r="AE16" i="21408"/>
  <c r="W24" i="21407"/>
  <c r="AE50" i="21408"/>
  <c r="AC53" i="21402"/>
  <c r="AE291" i="21408"/>
  <c r="W19" i="21407"/>
  <c r="AE290" i="21408"/>
  <c r="AE238" i="21408"/>
  <c r="W5" i="21407"/>
  <c r="AE184" i="21408"/>
  <c r="AE246" i="21408"/>
  <c r="AE81" i="21408"/>
  <c r="AE73" i="21408"/>
  <c r="AE121" i="21408"/>
  <c r="AE90" i="21408"/>
  <c r="AE30" i="21408"/>
  <c r="W59" i="21407"/>
  <c r="AE141" i="21408"/>
  <c r="AE134" i="21408"/>
  <c r="AC37" i="21402"/>
  <c r="AE138" i="21408"/>
  <c r="AE222" i="21408"/>
  <c r="AE255" i="21408"/>
  <c r="AE208" i="21408"/>
  <c r="AE156" i="21408"/>
  <c r="AC41" i="21402"/>
  <c r="AE140" i="21408"/>
  <c r="W36" i="21407"/>
  <c r="W55" i="21407"/>
  <c r="AC10" i="21402"/>
  <c r="AC42" i="21402"/>
  <c r="AE99" i="21408"/>
  <c r="W41" i="21407"/>
  <c r="AE254" i="21408"/>
  <c r="W46" i="21407"/>
  <c r="AE111" i="21408"/>
  <c r="AE166" i="21408"/>
  <c r="AE202" i="21408"/>
  <c r="AE185" i="21408"/>
  <c r="AE65" i="21408"/>
  <c r="AE286" i="21408"/>
  <c r="AE213" i="21408"/>
  <c r="AE232" i="21408"/>
  <c r="AC55" i="21402"/>
  <c r="AE294" i="21408"/>
  <c r="AE298" i="21408" s="1"/>
  <c r="AE299" i="21408" s="1"/>
  <c r="AC23" i="21402"/>
  <c r="AE165" i="21408"/>
  <c r="AE107" i="21408"/>
  <c r="AE233" i="21408"/>
  <c r="AE96" i="21408"/>
  <c r="AE212" i="21408"/>
  <c r="W47" i="21407"/>
  <c r="AE216" i="21408"/>
  <c r="AE162" i="21408"/>
  <c r="AE117" i="21408"/>
  <c r="AE7" i="21408"/>
  <c r="AE15" i="21408"/>
  <c r="M232" i="108"/>
  <c r="M101" i="21434" s="1"/>
  <c r="AY232" i="108"/>
  <c r="AY101" i="21434" s="1"/>
  <c r="AE143" i="21408"/>
  <c r="AE92" i="21408"/>
  <c r="AC25" i="21402"/>
  <c r="AC69" i="21402"/>
  <c r="AE227" i="21408"/>
  <c r="AE29" i="21408"/>
  <c r="AE258" i="21408"/>
  <c r="AE72" i="21408"/>
  <c r="AE10" i="21408"/>
  <c r="AE112" i="21408"/>
  <c r="AE108" i="21408"/>
  <c r="AE240" i="21408"/>
  <c r="AC68" i="21402"/>
  <c r="W44" i="21407"/>
  <c r="AE344" i="21408"/>
  <c r="AC50" i="21402"/>
  <c r="AE28" i="21408"/>
  <c r="AE84" i="21408"/>
  <c r="AE183" i="21408"/>
  <c r="AD83" i="21408"/>
  <c r="AE18" i="21408"/>
  <c r="AC54" i="21402"/>
  <c r="AE135" i="21408"/>
  <c r="AE6" i="21408"/>
  <c r="AE139" i="21408"/>
  <c r="AE27" i="21408"/>
  <c r="AE345" i="21408"/>
  <c r="AE155" i="21408"/>
  <c r="AC72" i="21402"/>
  <c r="W14" i="21407"/>
  <c r="AE123" i="21408"/>
  <c r="AE133" i="21408"/>
  <c r="AE204" i="21408"/>
  <c r="AE219" i="21408"/>
  <c r="AE186" i="21408"/>
  <c r="AE67" i="21408"/>
  <c r="AE253" i="21408"/>
  <c r="AE98" i="21408"/>
  <c r="AC26" i="21402"/>
  <c r="AE225" i="21408"/>
  <c r="AE187" i="21408"/>
  <c r="AE188" i="21408" s="1"/>
  <c r="AE131" i="21408"/>
  <c r="W54" i="21407"/>
  <c r="AE49" i="21408"/>
  <c r="AC20" i="21402"/>
  <c r="AE304" i="21408"/>
  <c r="AE169" i="21408"/>
  <c r="AE231" i="21408"/>
  <c r="AE129" i="21408"/>
  <c r="AE5" i="21408"/>
  <c r="W22" i="21407"/>
  <c r="AE78" i="21408"/>
  <c r="AE106" i="21408"/>
  <c r="AE54" i="21408"/>
  <c r="AE144" i="21408"/>
  <c r="W30" i="21407"/>
  <c r="AE85" i="21408"/>
  <c r="AE230" i="21408"/>
  <c r="AE31" i="21408"/>
  <c r="AE191" i="21408"/>
  <c r="AE24" i="21408"/>
  <c r="AE80" i="21408"/>
  <c r="AC61" i="21402"/>
  <c r="AE182" i="21408"/>
  <c r="W42" i="21407"/>
  <c r="AE288" i="21408"/>
  <c r="AE172" i="21408"/>
  <c r="AC40" i="21402"/>
  <c r="AE48" i="21408"/>
  <c r="AE74" i="21408"/>
  <c r="AC43" i="21402"/>
  <c r="AE122" i="21408"/>
  <c r="AE21" i="21408"/>
  <c r="AE102" i="21408"/>
  <c r="AE19" i="21408"/>
  <c r="AE93" i="21408"/>
  <c r="AE177" i="21408"/>
  <c r="AE215" i="21408"/>
  <c r="AE221" i="21408"/>
  <c r="AE95" i="21408"/>
  <c r="AE249" i="21408"/>
  <c r="AE159" i="21408"/>
  <c r="AE89" i="21408"/>
  <c r="W51" i="21407"/>
  <c r="AE25" i="21408"/>
  <c r="AE119" i="21408"/>
  <c r="AE55" i="21408"/>
  <c r="AE127" i="21408"/>
  <c r="AE97" i="21408"/>
  <c r="AE346" i="21408"/>
  <c r="AE115" i="21408"/>
  <c r="AE86" i="21408"/>
  <c r="AC21" i="21402"/>
  <c r="AE45" i="21408"/>
  <c r="AE43" i="21408" s="1"/>
  <c r="AE42" i="21408" s="1"/>
  <c r="AE41" i="21408" s="1"/>
  <c r="AC35" i="21402"/>
  <c r="AC6" i="21402"/>
  <c r="AC39" i="21402"/>
  <c r="AC36" i="21402"/>
  <c r="AE343" i="21408"/>
  <c r="AE347" i="21408" s="1"/>
  <c r="AE300" i="21408"/>
  <c r="AE153" i="21408"/>
  <c r="AE351" i="21408"/>
  <c r="AE252" i="21408"/>
  <c r="AE53" i="21408"/>
  <c r="AE250" i="21408"/>
  <c r="AE356" i="21408"/>
  <c r="AE9" i="21408"/>
  <c r="AE179" i="21408"/>
  <c r="AE91" i="21408"/>
  <c r="W26" i="21407"/>
  <c r="AE59" i="21408"/>
  <c r="AE105" i="21408"/>
  <c r="AE128" i="21408"/>
  <c r="AE12" i="21408"/>
  <c r="AE154" i="21408"/>
  <c r="W37" i="21407"/>
  <c r="AE87" i="21408"/>
  <c r="AE88" i="21408"/>
  <c r="AE303" i="21408"/>
  <c r="W60" i="21407"/>
  <c r="AE4" i="21408"/>
  <c r="AE68" i="21408"/>
  <c r="AE22" i="21408"/>
  <c r="AE237" i="21408"/>
  <c r="AE349" i="21408"/>
  <c r="AE13" i="21408"/>
  <c r="W49" i="21407"/>
  <c r="W32" i="21407"/>
  <c r="W34" i="21407"/>
  <c r="AC5" i="21402"/>
  <c r="AE66" i="21408"/>
  <c r="AE152" i="21408"/>
  <c r="AE58" i="21408"/>
  <c r="AE168" i="21408"/>
  <c r="AE171" i="21408"/>
  <c r="AE220" i="21408"/>
  <c r="W58" i="21407"/>
  <c r="AE118" i="21408"/>
  <c r="AE150" i="21408"/>
  <c r="AE203" i="21408"/>
  <c r="AE124" i="21408"/>
  <c r="AE63" i="21408"/>
  <c r="AE260" i="21408"/>
  <c r="AE26" i="21408"/>
  <c r="AC24" i="21402"/>
  <c r="AE64" i="21408"/>
  <c r="AE75" i="21408"/>
  <c r="AE200" i="21408"/>
  <c r="W6" i="21407"/>
  <c r="AE52" i="21408"/>
  <c r="AE8" i="21408"/>
  <c r="AE33" i="21408"/>
  <c r="AE11" i="21408"/>
  <c r="AE57" i="21408"/>
  <c r="AC18" i="21402"/>
  <c r="AE228" i="21408"/>
  <c r="AE201" i="21408"/>
  <c r="AE56" i="21408"/>
  <c r="AE149" i="21408"/>
  <c r="AE17" i="21408"/>
  <c r="AE167" i="21408"/>
  <c r="AE47" i="21408"/>
  <c r="AE163" i="21408"/>
  <c r="AE193" i="21408"/>
  <c r="AE113" i="21408"/>
  <c r="AE207" i="21408"/>
  <c r="AC60" i="21402"/>
  <c r="AE60" i="21408"/>
  <c r="AE110" i="21408"/>
  <c r="AC15" i="21402"/>
  <c r="AE256" i="21408"/>
  <c r="AC22" i="21402"/>
  <c r="AE82" i="21408"/>
  <c r="W43" i="21407"/>
  <c r="AE20" i="21408"/>
  <c r="C45" i="21427"/>
  <c r="AW43" i="21427"/>
  <c r="AX43" i="21427"/>
  <c r="M41" i="21427"/>
  <c r="AY41" i="21427"/>
  <c r="AZ25" i="108"/>
  <c r="C33" i="21423"/>
  <c r="AW31" i="21423"/>
  <c r="AX31" i="21423"/>
  <c r="C101" i="21416"/>
  <c r="C103" i="21416" s="1"/>
  <c r="C105" i="21416" s="1"/>
  <c r="C107" i="21416" s="1"/>
  <c r="C109" i="21416" s="1"/>
  <c r="C111" i="21416" s="1"/>
  <c r="C113" i="21416" s="1"/>
  <c r="C115" i="21416" s="1"/>
  <c r="C117" i="21416" s="1"/>
  <c r="I98" i="21416"/>
  <c r="AX33" i="21424"/>
  <c r="C35" i="21424"/>
  <c r="AW33" i="21424"/>
  <c r="M95" i="21416"/>
  <c r="AY95" i="21416"/>
  <c r="AX39" i="21416"/>
  <c r="AW39" i="21416"/>
  <c r="C41" i="21416"/>
  <c r="AZ229" i="21417"/>
  <c r="AY29" i="21423"/>
  <c r="M29" i="21423"/>
  <c r="M31" i="21424"/>
  <c r="AY31" i="21424"/>
  <c r="C80" i="21429"/>
  <c r="C82" i="21429" s="1"/>
  <c r="C84" i="21429" s="1"/>
  <c r="F78" i="21429"/>
  <c r="M37" i="21416"/>
  <c r="AY37" i="21416"/>
  <c r="AW96" i="21416"/>
  <c r="AX96" i="21416"/>
  <c r="C90" i="108"/>
  <c r="M26" i="108"/>
  <c r="AY26" i="108"/>
  <c r="AX28" i="108"/>
  <c r="C30" i="108"/>
  <c r="AW28" i="108"/>
  <c r="AW89" i="21415"/>
  <c r="AX89" i="21415"/>
  <c r="I91" i="21415"/>
  <c r="AX92" i="21415"/>
  <c r="AW92" i="21415"/>
  <c r="C94" i="21415"/>
  <c r="AZ25" i="21415"/>
  <c r="M26" i="21415"/>
  <c r="AY26" i="21415"/>
  <c r="AX28" i="21415"/>
  <c r="C30" i="21415"/>
  <c r="AW28" i="21415"/>
  <c r="AY90" i="21415"/>
  <c r="M90" i="21415"/>
  <c r="AZ90" i="21415"/>
  <c r="AY30" i="21417"/>
  <c r="M30" i="21417"/>
  <c r="AX32" i="21417"/>
  <c r="C34" i="21417"/>
  <c r="AW32" i="21417"/>
  <c r="C96" i="21417"/>
  <c r="AX94" i="21417"/>
  <c r="AW94" i="21417"/>
  <c r="J93" i="21417"/>
  <c r="AW91" i="21417"/>
  <c r="AX91" i="21417"/>
  <c r="M92" i="21417"/>
  <c r="AY92" i="21417"/>
  <c r="AX31" i="21436"/>
  <c r="C33" i="21436"/>
  <c r="AW31" i="21436"/>
  <c r="AY29" i="21436"/>
  <c r="M29" i="21436"/>
  <c r="AZ13" i="21426"/>
  <c r="AX20" i="21426"/>
  <c r="J19" i="21426"/>
  <c r="C22" i="21426"/>
  <c r="AW20" i="21426"/>
  <c r="AX31" i="21435"/>
  <c r="C33" i="21435"/>
  <c r="AW31" i="21435"/>
  <c r="AW9" i="21425"/>
  <c r="AX92" i="21435" s="1"/>
  <c r="AV9" i="21425"/>
  <c r="AW92" i="21435" s="1"/>
  <c r="L10" i="21425"/>
  <c r="M93" i="21435" s="1"/>
  <c r="AX10" i="21425"/>
  <c r="AY93" i="21435" s="1"/>
  <c r="M29" i="21435"/>
  <c r="AY29" i="21435"/>
  <c r="C14" i="21425"/>
  <c r="I13" i="21425"/>
  <c r="AV12" i="21425"/>
  <c r="AW95" i="21435" s="1"/>
  <c r="F12" i="21425"/>
  <c r="F95" i="21435" s="1"/>
  <c r="AW12" i="21425"/>
  <c r="AX95" i="21435" s="1"/>
  <c r="C28" i="21419"/>
  <c r="J62" i="21414"/>
  <c r="C63" i="21414"/>
  <c r="C65" i="21414" s="1"/>
  <c r="I60" i="21414"/>
  <c r="C34" i="2"/>
  <c r="J33" i="2"/>
  <c r="AY232" i="21417"/>
  <c r="M232" i="21417"/>
  <c r="AX231" i="21417"/>
  <c r="AW231" i="21417"/>
  <c r="J235" i="21417"/>
  <c r="AX234" i="21417"/>
  <c r="C236" i="21417"/>
  <c r="AW234" i="21417"/>
  <c r="AW242" i="108" l="1"/>
  <c r="AX242" i="108"/>
  <c r="J243" i="108"/>
  <c r="C246" i="108"/>
  <c r="C248" i="108" s="1"/>
  <c r="C244" i="108"/>
  <c r="AX244" i="108" s="1"/>
  <c r="AZ233" i="108"/>
  <c r="AZ102" i="21434" s="1"/>
  <c r="M240" i="108"/>
  <c r="M15" i="21431" s="1"/>
  <c r="AY240" i="108"/>
  <c r="AY15" i="21431" s="1"/>
  <c r="AZ239" i="108"/>
  <c r="AZ231" i="108"/>
  <c r="AE209" i="21408"/>
  <c r="AE293" i="21408"/>
  <c r="AE3" i="21408"/>
  <c r="AE175" i="21408"/>
  <c r="AE176" i="21408" s="1"/>
  <c r="AE244" i="21408"/>
  <c r="AE243" i="21408" s="1"/>
  <c r="AE242" i="21408" s="1"/>
  <c r="M43" i="21427"/>
  <c r="AY43" i="21427"/>
  <c r="C47" i="21427"/>
  <c r="AX45" i="21427"/>
  <c r="AW45" i="21427"/>
  <c r="AW41" i="21416"/>
  <c r="C43" i="21416"/>
  <c r="AX41" i="21416"/>
  <c r="AW35" i="21424"/>
  <c r="C37" i="21424"/>
  <c r="AX35" i="21424"/>
  <c r="AY31" i="21423"/>
  <c r="M31" i="21423"/>
  <c r="AZ96" i="21416"/>
  <c r="AY33" i="21424"/>
  <c r="M33" i="21424"/>
  <c r="I59" i="21429"/>
  <c r="C86" i="21429"/>
  <c r="C88" i="21429" s="1"/>
  <c r="C90" i="21429" s="1"/>
  <c r="C92" i="21429" s="1"/>
  <c r="C94" i="21429" s="1"/>
  <c r="C96" i="21429" s="1"/>
  <c r="AY39" i="21416"/>
  <c r="M39" i="21416"/>
  <c r="AW33" i="21423"/>
  <c r="AX33" i="21423"/>
  <c r="C35" i="21423"/>
  <c r="AW38" i="21416"/>
  <c r="AX38" i="21416"/>
  <c r="I100" i="21416"/>
  <c r="C119" i="21416"/>
  <c r="C121" i="21416" s="1"/>
  <c r="C123" i="21416" s="1"/>
  <c r="C125" i="21416" s="1"/>
  <c r="C127" i="21416" s="1"/>
  <c r="C129" i="21416" s="1"/>
  <c r="AX30" i="108"/>
  <c r="M30" i="108" s="1"/>
  <c r="AW30" i="108"/>
  <c r="C32" i="108"/>
  <c r="J31" i="108" s="1"/>
  <c r="AY28" i="108"/>
  <c r="M28" i="108"/>
  <c r="C92" i="108"/>
  <c r="J89" i="108"/>
  <c r="AY92" i="21415"/>
  <c r="M92" i="21415"/>
  <c r="C32" i="21415"/>
  <c r="J31" i="21415" s="1"/>
  <c r="AX30" i="21415"/>
  <c r="AW30" i="21415"/>
  <c r="M28" i="21415"/>
  <c r="AY28" i="21415"/>
  <c r="AX94" i="21415"/>
  <c r="C96" i="21415"/>
  <c r="AW94" i="21415"/>
  <c r="J95" i="21415"/>
  <c r="AZ89" i="21415"/>
  <c r="AW34" i="21417"/>
  <c r="AX34" i="21417"/>
  <c r="C36" i="21417"/>
  <c r="J35" i="21417" s="1"/>
  <c r="AY32" i="21417"/>
  <c r="M32" i="21417"/>
  <c r="AZ91" i="21417"/>
  <c r="AW93" i="21417"/>
  <c r="AX93" i="21417"/>
  <c r="M94" i="21417"/>
  <c r="AY94" i="21417"/>
  <c r="AW96" i="21417"/>
  <c r="I95" i="21417"/>
  <c r="C98" i="21417"/>
  <c r="AX96" i="21417"/>
  <c r="AX33" i="21436"/>
  <c r="AW33" i="21436"/>
  <c r="C35" i="21436"/>
  <c r="AY31" i="21436"/>
  <c r="M31" i="21436"/>
  <c r="AW19" i="21426"/>
  <c r="AX19" i="21426"/>
  <c r="AY20" i="21426"/>
  <c r="M20" i="21426"/>
  <c r="C24" i="21426"/>
  <c r="AX22" i="21426"/>
  <c r="J23" i="21426"/>
  <c r="AW22" i="21426"/>
  <c r="C35" i="21435"/>
  <c r="AW33" i="21435"/>
  <c r="AX33" i="21435"/>
  <c r="M33" i="21435" s="1"/>
  <c r="AW14" i="21425"/>
  <c r="AV14" i="21425"/>
  <c r="C16" i="21425"/>
  <c r="I14" i="21425"/>
  <c r="AY31" i="21435"/>
  <c r="M31" i="21435"/>
  <c r="AY9" i="21425"/>
  <c r="L12" i="21425"/>
  <c r="M95" i="21435" s="1"/>
  <c r="AX12" i="21425"/>
  <c r="AY95" i="21435" s="1"/>
  <c r="AW13" i="21425"/>
  <c r="AV13" i="21425"/>
  <c r="C30" i="21419"/>
  <c r="J35" i="2"/>
  <c r="C36" i="2"/>
  <c r="J34" i="2"/>
  <c r="M244" i="108"/>
  <c r="AX246" i="108"/>
  <c r="AW246" i="108"/>
  <c r="AZ231" i="21417"/>
  <c r="AX236" i="21417"/>
  <c r="J237" i="21417"/>
  <c r="AW236" i="21417"/>
  <c r="C238" i="21417"/>
  <c r="M234" i="21417"/>
  <c r="AY234" i="21417"/>
  <c r="AW235" i="21417"/>
  <c r="AX235" i="21417"/>
  <c r="AW244" i="108" l="1"/>
  <c r="AY244" i="108" s="1"/>
  <c r="AX243" i="108"/>
  <c r="AW243" i="108"/>
  <c r="M242" i="108"/>
  <c r="AY242" i="108"/>
  <c r="C49" i="21427"/>
  <c r="C51" i="21427" s="1"/>
  <c r="C53" i="21427" s="1"/>
  <c r="C55" i="21427" s="1"/>
  <c r="C57" i="21427" s="1"/>
  <c r="C59" i="21427" s="1"/>
  <c r="C61" i="21427" s="1"/>
  <c r="C63" i="21427" s="1"/>
  <c r="C65" i="21427" s="1"/>
  <c r="AW47" i="21427"/>
  <c r="AX47" i="21427"/>
  <c r="M45" i="21427"/>
  <c r="AY45" i="21427"/>
  <c r="AZ38" i="21416"/>
  <c r="AX37" i="21424"/>
  <c r="C39" i="21424"/>
  <c r="AW37" i="21424"/>
  <c r="AZ93" i="21417"/>
  <c r="AX35" i="21423"/>
  <c r="AW35" i="21423"/>
  <c r="C37" i="21423"/>
  <c r="P241" i="21408"/>
  <c r="M41" i="21416"/>
  <c r="AY41" i="21416"/>
  <c r="AY33" i="21423"/>
  <c r="M33" i="21423"/>
  <c r="AW43" i="21416"/>
  <c r="AX43" i="21416"/>
  <c r="C45" i="21416"/>
  <c r="C131" i="21416"/>
  <c r="C133" i="21416" s="1"/>
  <c r="C135" i="21416" s="1"/>
  <c r="C137" i="21416" s="1"/>
  <c r="C139" i="21416" s="1"/>
  <c r="C141" i="21416" s="1"/>
  <c r="C143" i="21416" s="1"/>
  <c r="C145" i="21416" s="1"/>
  <c r="C147" i="21416" s="1"/>
  <c r="C149" i="21416" s="1"/>
  <c r="C151" i="21416" s="1"/>
  <c r="I128" i="21416"/>
  <c r="M35" i="21424"/>
  <c r="AY35" i="21424"/>
  <c r="AY30" i="108"/>
  <c r="I91" i="108"/>
  <c r="C94" i="108"/>
  <c r="AX32" i="108"/>
  <c r="M32" i="108" s="1"/>
  <c r="C34" i="108"/>
  <c r="AW32" i="108"/>
  <c r="M94" i="21415"/>
  <c r="AY94" i="21415"/>
  <c r="M30" i="21415"/>
  <c r="AY30" i="21415"/>
  <c r="AX95" i="21415"/>
  <c r="AW95" i="21415"/>
  <c r="AX32" i="21415"/>
  <c r="C34" i="21415"/>
  <c r="AW32" i="21415"/>
  <c r="AX96" i="21415"/>
  <c r="AW96" i="21415"/>
  <c r="C98" i="21415"/>
  <c r="AX36" i="21417"/>
  <c r="AW36" i="21417"/>
  <c r="C38" i="21417"/>
  <c r="M34" i="21417"/>
  <c r="AY34" i="21417"/>
  <c r="AY96" i="21417"/>
  <c r="M96" i="21417"/>
  <c r="AX98" i="21417"/>
  <c r="AW98" i="21417"/>
  <c r="C100" i="21417"/>
  <c r="J99" i="21417"/>
  <c r="AY33" i="21436"/>
  <c r="M33" i="21436"/>
  <c r="AZ19" i="21426"/>
  <c r="J34" i="21436"/>
  <c r="C37" i="21436"/>
  <c r="AX35" i="21436"/>
  <c r="AW35" i="21436"/>
  <c r="AW23" i="21426"/>
  <c r="AX23" i="21426"/>
  <c r="M22" i="21426"/>
  <c r="AY22" i="21426"/>
  <c r="J24" i="21426"/>
  <c r="AX24" i="21426"/>
  <c r="C26" i="21426"/>
  <c r="C28" i="21426" s="1"/>
  <c r="AW24" i="21426"/>
  <c r="AW16" i="21425"/>
  <c r="C18" i="21425"/>
  <c r="AV16" i="21425"/>
  <c r="AY14" i="21425"/>
  <c r="L14" i="21425"/>
  <c r="AX14" i="21425"/>
  <c r="AY33" i="21435"/>
  <c r="AY13" i="21425"/>
  <c r="C37" i="21435"/>
  <c r="AW35" i="21435"/>
  <c r="J34" i="21435"/>
  <c r="AX35" i="21435"/>
  <c r="C32" i="21419"/>
  <c r="J31" i="21419" s="1"/>
  <c r="J37" i="2"/>
  <c r="C38" i="2"/>
  <c r="C40" i="2" s="1"/>
  <c r="AX248" i="108"/>
  <c r="C250" i="108"/>
  <c r="AW248" i="108"/>
  <c r="AY246" i="108"/>
  <c r="M246" i="108"/>
  <c r="AZ235" i="21417"/>
  <c r="AW237" i="21417"/>
  <c r="AX237" i="21417"/>
  <c r="AW238" i="21417"/>
  <c r="AX238" i="21417"/>
  <c r="C240" i="21417"/>
  <c r="AY236" i="21417"/>
  <c r="M236" i="21417"/>
  <c r="AZ243" i="108" l="1"/>
  <c r="C42" i="2"/>
  <c r="AX40" i="2"/>
  <c r="AW40" i="2"/>
  <c r="AX94" i="108"/>
  <c r="AW94" i="108"/>
  <c r="M35" i="21435"/>
  <c r="AY35" i="21435"/>
  <c r="M47" i="21427"/>
  <c r="AY47" i="21427"/>
  <c r="AY32" i="108"/>
  <c r="C153" i="21416"/>
  <c r="C155" i="21416" s="1"/>
  <c r="C157" i="21416" s="1"/>
  <c r="C159" i="21416" s="1"/>
  <c r="C161" i="21416" s="1"/>
  <c r="C163" i="21416" s="1"/>
  <c r="C165" i="21416" s="1"/>
  <c r="C167" i="21416" s="1"/>
  <c r="C169" i="21416" s="1"/>
  <c r="C171" i="21416" s="1"/>
  <c r="C173" i="21416" s="1"/>
  <c r="C175" i="21416" s="1"/>
  <c r="C177" i="21416" s="1"/>
  <c r="I130" i="21416"/>
  <c r="C39" i="21423"/>
  <c r="AX37" i="21423"/>
  <c r="AW37" i="21423"/>
  <c r="C41" i="21424"/>
  <c r="J38" i="21424"/>
  <c r="AX39" i="21424"/>
  <c r="AW39" i="21424"/>
  <c r="AX45" i="21416"/>
  <c r="J46" i="21416"/>
  <c r="AW45" i="21416"/>
  <c r="C47" i="21416"/>
  <c r="I28" i="21416"/>
  <c r="AY43" i="21416"/>
  <c r="M43" i="21416"/>
  <c r="M35" i="21423"/>
  <c r="AY35" i="21423"/>
  <c r="M37" i="21424"/>
  <c r="AY37" i="21424"/>
  <c r="AW31" i="108"/>
  <c r="AX31" i="108"/>
  <c r="AX34" i="108"/>
  <c r="C36" i="108"/>
  <c r="AW34" i="108"/>
  <c r="J95" i="108"/>
  <c r="C96" i="108"/>
  <c r="AX98" i="21415"/>
  <c r="C100" i="21415"/>
  <c r="AW98" i="21415"/>
  <c r="C36" i="21415"/>
  <c r="AW34" i="21415"/>
  <c r="AX34" i="21415"/>
  <c r="AX31" i="21415"/>
  <c r="AW31" i="21415"/>
  <c r="AY96" i="21415"/>
  <c r="M96" i="21415"/>
  <c r="AY32" i="21415"/>
  <c r="M32" i="21415"/>
  <c r="AZ95" i="21415"/>
  <c r="AX38" i="21417"/>
  <c r="AW38" i="21417"/>
  <c r="C40" i="21417"/>
  <c r="AW35" i="21417"/>
  <c r="AX35" i="21417"/>
  <c r="M36" i="21417"/>
  <c r="AY36" i="21417"/>
  <c r="AW99" i="21417"/>
  <c r="AX99" i="21417"/>
  <c r="AX100" i="21417"/>
  <c r="C102" i="21417"/>
  <c r="AW100" i="21417"/>
  <c r="J101" i="21417"/>
  <c r="AY98" i="21417"/>
  <c r="M98" i="21417"/>
  <c r="AY35" i="21436"/>
  <c r="M35" i="21436"/>
  <c r="AW34" i="21436"/>
  <c r="AX34" i="21436"/>
  <c r="AX37" i="21436"/>
  <c r="AW37" i="21436"/>
  <c r="C39" i="21436"/>
  <c r="I36" i="21436"/>
  <c r="AW28" i="21426"/>
  <c r="F28" i="21426"/>
  <c r="C30" i="21426"/>
  <c r="J31" i="21426" s="1"/>
  <c r="AX28" i="21426"/>
  <c r="AY24" i="21426"/>
  <c r="AZ23" i="21426"/>
  <c r="AV18" i="21425"/>
  <c r="AW18" i="21425"/>
  <c r="C20" i="21425"/>
  <c r="I36" i="21435"/>
  <c r="AX37" i="21435"/>
  <c r="AW37" i="21435"/>
  <c r="C39" i="21435"/>
  <c r="AX34" i="21435"/>
  <c r="AW34" i="21435"/>
  <c r="L16" i="21425"/>
  <c r="AX16" i="21425" s="1"/>
  <c r="C34" i="21419"/>
  <c r="C36" i="21419" s="1"/>
  <c r="C38" i="21419" s="1"/>
  <c r="J33" i="21419"/>
  <c r="J41" i="2"/>
  <c r="C44" i="2"/>
  <c r="AW44" i="2" s="1"/>
  <c r="AX42" i="2"/>
  <c r="AW42" i="2"/>
  <c r="AX250" i="108"/>
  <c r="C252" i="108"/>
  <c r="AW250" i="108"/>
  <c r="M248" i="108"/>
  <c r="AY248" i="108"/>
  <c r="AZ237" i="21417"/>
  <c r="AY238" i="21417"/>
  <c r="M238" i="21417"/>
  <c r="C242" i="21417"/>
  <c r="C244" i="21417" s="1"/>
  <c r="AW240" i="21417"/>
  <c r="AX240" i="21417"/>
  <c r="AY40" i="2" l="1"/>
  <c r="M94" i="108"/>
  <c r="AY94" i="108"/>
  <c r="C46" i="2"/>
  <c r="AW46" i="2" s="1"/>
  <c r="AX44" i="2"/>
  <c r="AX95" i="108"/>
  <c r="AW95" i="108"/>
  <c r="AZ34" i="21435"/>
  <c r="M37" i="21435"/>
  <c r="AY37" i="21435"/>
  <c r="AZ34" i="21436"/>
  <c r="M39" i="21424"/>
  <c r="AY39" i="21424"/>
  <c r="J38" i="21423"/>
  <c r="AW39" i="21423"/>
  <c r="C41" i="21423"/>
  <c r="AX39" i="21423"/>
  <c r="AY42" i="2"/>
  <c r="AW46" i="21416"/>
  <c r="AX46" i="21416"/>
  <c r="AW38" i="21424"/>
  <c r="AX38" i="21424"/>
  <c r="F47" i="21416"/>
  <c r="C49" i="21416"/>
  <c r="AX47" i="21416"/>
  <c r="AW47" i="21416"/>
  <c r="M45" i="21416"/>
  <c r="AY45" i="21416"/>
  <c r="C43" i="21424"/>
  <c r="AX41" i="21424"/>
  <c r="I40" i="21424"/>
  <c r="AW41" i="21424"/>
  <c r="M37" i="21423"/>
  <c r="AY37" i="21423"/>
  <c r="C179" i="21416"/>
  <c r="C181" i="21416" s="1"/>
  <c r="C183" i="21416" s="1"/>
  <c r="C185" i="21416" s="1"/>
  <c r="C187" i="21416" s="1"/>
  <c r="C189" i="21416" s="1"/>
  <c r="C191" i="21416" s="1"/>
  <c r="C193" i="21416" s="1"/>
  <c r="C195" i="21416" s="1"/>
  <c r="C197" i="21416" s="1"/>
  <c r="C199" i="21416" s="1"/>
  <c r="C201" i="21416" s="1"/>
  <c r="C203" i="21416" s="1"/>
  <c r="C205" i="21416" s="1"/>
  <c r="I176" i="21416"/>
  <c r="C5" i="21431"/>
  <c r="AX96" i="108"/>
  <c r="AW96" i="108"/>
  <c r="C98" i="108"/>
  <c r="AW36" i="108"/>
  <c r="C38" i="108"/>
  <c r="AX36" i="108"/>
  <c r="M34" i="108"/>
  <c r="AY34" i="108"/>
  <c r="M98" i="21415"/>
  <c r="AY98" i="21415"/>
  <c r="AW36" i="21415"/>
  <c r="C38" i="21415"/>
  <c r="AX36" i="21415"/>
  <c r="AZ31" i="21415"/>
  <c r="M34" i="21415"/>
  <c r="AY34" i="21415"/>
  <c r="AX100" i="21415"/>
  <c r="C102" i="21415"/>
  <c r="AW100" i="21415"/>
  <c r="C42" i="21417"/>
  <c r="AX40" i="21417"/>
  <c r="AW40" i="21417"/>
  <c r="AZ99" i="21417"/>
  <c r="AZ35" i="21417"/>
  <c r="AY38" i="21417"/>
  <c r="M38" i="21417"/>
  <c r="AX101" i="21417"/>
  <c r="AW101" i="21417"/>
  <c r="AX102" i="21417"/>
  <c r="AW102" i="21417"/>
  <c r="C104" i="21417"/>
  <c r="M100" i="21417"/>
  <c r="AY100" i="21417"/>
  <c r="AX39" i="21436"/>
  <c r="AW39" i="21436"/>
  <c r="J40" i="21436"/>
  <c r="C41" i="21436"/>
  <c r="AY37" i="21436"/>
  <c r="M37" i="21436"/>
  <c r="AY28" i="21426"/>
  <c r="M28" i="21426"/>
  <c r="C32" i="21426"/>
  <c r="C34" i="21426" s="1"/>
  <c r="C36" i="21426" s="1"/>
  <c r="C38" i="21426" s="1"/>
  <c r="AW30" i="21426"/>
  <c r="I29" i="21426"/>
  <c r="AX30" i="21426"/>
  <c r="F30" i="21426"/>
  <c r="I7" i="21426"/>
  <c r="I90" i="21436" s="1"/>
  <c r="AX39" i="21435"/>
  <c r="AW39" i="21435"/>
  <c r="J40" i="21435"/>
  <c r="C41" i="21435"/>
  <c r="I19" i="21425"/>
  <c r="AV20" i="21425"/>
  <c r="C22" i="21425"/>
  <c r="AW20" i="21425"/>
  <c r="L18" i="21425"/>
  <c r="AX18" i="21425"/>
  <c r="AW38" i="21419"/>
  <c r="AY38" i="21419" s="1"/>
  <c r="C40" i="21419"/>
  <c r="AX41" i="2"/>
  <c r="AW41" i="2"/>
  <c r="AX252" i="108"/>
  <c r="C254" i="108"/>
  <c r="J253" i="108"/>
  <c r="AW252" i="108"/>
  <c r="M250" i="108"/>
  <c r="AY250" i="108"/>
  <c r="AY240" i="21417"/>
  <c r="M240" i="21417"/>
  <c r="AW242" i="21417"/>
  <c r="AX242" i="21417"/>
  <c r="C48" i="2" l="1"/>
  <c r="AX46" i="2"/>
  <c r="AY46" i="2" s="1"/>
  <c r="AZ95" i="108"/>
  <c r="AX40" i="21436"/>
  <c r="AW40" i="21436"/>
  <c r="AZ38" i="21424"/>
  <c r="AY39" i="21435"/>
  <c r="M39" i="21435"/>
  <c r="C45" i="21424"/>
  <c r="J44" i="21424"/>
  <c r="AW43" i="21424"/>
  <c r="AX43" i="21424"/>
  <c r="C207" i="21416"/>
  <c r="C209" i="21416" s="1"/>
  <c r="I178" i="21416"/>
  <c r="M41" i="21424"/>
  <c r="AY41" i="21424"/>
  <c r="C51" i="21416"/>
  <c r="AW49" i="21416"/>
  <c r="AX49" i="21416"/>
  <c r="F49" i="21416"/>
  <c r="AZ46" i="21416"/>
  <c r="C43" i="21423"/>
  <c r="AX41" i="21423"/>
  <c r="I40" i="21423"/>
  <c r="AW41" i="21423"/>
  <c r="AX38" i="21423"/>
  <c r="AW38" i="21423"/>
  <c r="AY47" i="21416"/>
  <c r="M47" i="21416"/>
  <c r="AY39" i="21423"/>
  <c r="M39" i="21423"/>
  <c r="AW5" i="21431"/>
  <c r="AX5" i="21431"/>
  <c r="J4" i="21431"/>
  <c r="F5" i="21431"/>
  <c r="M36" i="108"/>
  <c r="AY36" i="108"/>
  <c r="AX38" i="108"/>
  <c r="I23" i="108"/>
  <c r="C40" i="108"/>
  <c r="J39" i="108"/>
  <c r="AW38" i="108"/>
  <c r="AX98" i="108"/>
  <c r="C100" i="108"/>
  <c r="AW98" i="108"/>
  <c r="M96" i="108"/>
  <c r="AY96" i="108"/>
  <c r="M100" i="21415"/>
  <c r="AY100" i="21415"/>
  <c r="M36" i="21415"/>
  <c r="AY36" i="21415"/>
  <c r="AX38" i="21415"/>
  <c r="C40" i="21415"/>
  <c r="J39" i="21415"/>
  <c r="AW38" i="21415"/>
  <c r="I23" i="21415"/>
  <c r="C104" i="21415"/>
  <c r="AW102" i="21415"/>
  <c r="J101" i="21415"/>
  <c r="AX102" i="21415"/>
  <c r="M40" i="21417"/>
  <c r="AY40" i="21417"/>
  <c r="J43" i="21417"/>
  <c r="AX42" i="21417"/>
  <c r="I25" i="21417"/>
  <c r="AW42" i="21417"/>
  <c r="C44" i="21417"/>
  <c r="AZ101" i="21417"/>
  <c r="AX104" i="21417"/>
  <c r="C106" i="21417"/>
  <c r="AW104" i="21417"/>
  <c r="J103" i="21417"/>
  <c r="AY102" i="21417"/>
  <c r="M102" i="21417"/>
  <c r="C43" i="21436"/>
  <c r="AX41" i="21436"/>
  <c r="F41" i="21436"/>
  <c r="AW41" i="21436"/>
  <c r="AY39" i="21436"/>
  <c r="M39" i="21436"/>
  <c r="AX31" i="21426"/>
  <c r="AW31" i="21426"/>
  <c r="M30" i="21426"/>
  <c r="AY30" i="21426"/>
  <c r="C40" i="21426"/>
  <c r="F38" i="21426"/>
  <c r="AV19" i="21425"/>
  <c r="AW19" i="21425"/>
  <c r="AW22" i="21425"/>
  <c r="C24" i="21425"/>
  <c r="AV22" i="21425"/>
  <c r="AX40" i="21435"/>
  <c r="AW40" i="21435"/>
  <c r="L20" i="21425"/>
  <c r="AX20" i="21425"/>
  <c r="AW41" i="21435"/>
  <c r="C43" i="21435"/>
  <c r="F41" i="21435"/>
  <c r="AX41" i="21435"/>
  <c r="AW40" i="21419"/>
  <c r="AY40" i="21419" s="1"/>
  <c r="C42" i="21419"/>
  <c r="C37" i="21420" s="1"/>
  <c r="AZ41" i="2"/>
  <c r="J47" i="2"/>
  <c r="C50" i="2"/>
  <c r="AX48" i="2"/>
  <c r="J49" i="2"/>
  <c r="AW48" i="2"/>
  <c r="AW253" i="108"/>
  <c r="AX253" i="108"/>
  <c r="AW254" i="108"/>
  <c r="C256" i="108"/>
  <c r="AX254" i="108"/>
  <c r="AY252" i="108"/>
  <c r="M252" i="108"/>
  <c r="AY242" i="21417"/>
  <c r="M242" i="21417"/>
  <c r="AZ40" i="21436" l="1"/>
  <c r="M41" i="21435"/>
  <c r="AY41" i="21435"/>
  <c r="AY41" i="21436"/>
  <c r="M41" i="21436"/>
  <c r="AZ38" i="21423"/>
  <c r="C45" i="21423"/>
  <c r="J44" i="21423"/>
  <c r="AW43" i="21423"/>
  <c r="AX43" i="21423"/>
  <c r="C53" i="21416"/>
  <c r="AW51" i="21416"/>
  <c r="AX51" i="21416"/>
  <c r="F51" i="21416"/>
  <c r="AX44" i="21424"/>
  <c r="AW44" i="21424"/>
  <c r="AX45" i="21424"/>
  <c r="C47" i="21424"/>
  <c r="AW45" i="21424"/>
  <c r="M41" i="21423"/>
  <c r="AY41" i="21423"/>
  <c r="M49" i="21416"/>
  <c r="AY49" i="21416"/>
  <c r="M43" i="21424"/>
  <c r="AY43" i="21424"/>
  <c r="AX4" i="21431"/>
  <c r="AW4" i="21431"/>
  <c r="AY5" i="21431"/>
  <c r="AX100" i="108"/>
  <c r="AW100" i="108"/>
  <c r="C102" i="108"/>
  <c r="M98" i="108"/>
  <c r="AY98" i="108"/>
  <c r="AW39" i="108"/>
  <c r="AX39" i="108"/>
  <c r="AX40" i="108"/>
  <c r="AW40" i="108"/>
  <c r="C42" i="108"/>
  <c r="M38" i="108"/>
  <c r="AY38" i="108"/>
  <c r="M102" i="21415"/>
  <c r="AY102" i="21415"/>
  <c r="AW101" i="21415"/>
  <c r="AX101" i="21415"/>
  <c r="AW39" i="21415"/>
  <c r="AX39" i="21415"/>
  <c r="AX104" i="21415"/>
  <c r="AW104" i="21415"/>
  <c r="C106" i="21415"/>
  <c r="AX40" i="21415"/>
  <c r="C42" i="21415"/>
  <c r="AW40" i="21415"/>
  <c r="M38" i="21415"/>
  <c r="AY38" i="21415"/>
  <c r="AY42" i="21417"/>
  <c r="M42" i="21417"/>
  <c r="AW44" i="21417"/>
  <c r="C46" i="21417"/>
  <c r="F44" i="21417"/>
  <c r="AX44" i="21417"/>
  <c r="AW43" i="21417"/>
  <c r="AX43" i="21417"/>
  <c r="AW103" i="21417"/>
  <c r="AX103" i="21417"/>
  <c r="AX106" i="21417"/>
  <c r="AW106" i="21417"/>
  <c r="C108" i="21417"/>
  <c r="J105" i="21417"/>
  <c r="M104" i="21417"/>
  <c r="AY104" i="21417"/>
  <c r="C45" i="21436"/>
  <c r="AX43" i="21436"/>
  <c r="F43" i="21436"/>
  <c r="AW43" i="21436"/>
  <c r="F40" i="21426"/>
  <c r="C42" i="21426"/>
  <c r="AZ31" i="21426"/>
  <c r="AZ40" i="21435"/>
  <c r="AV24" i="21425"/>
  <c r="AW24" i="21425"/>
  <c r="C26" i="21425"/>
  <c r="C45" i="21435"/>
  <c r="F43" i="21435"/>
  <c r="AW43" i="21435"/>
  <c r="AX43" i="21435"/>
  <c r="AX22" i="21425"/>
  <c r="L22" i="21425"/>
  <c r="AY19" i="21425"/>
  <c r="AW42" i="21419"/>
  <c r="C44" i="21419"/>
  <c r="C39" i="21420" s="1"/>
  <c r="AY48" i="2"/>
  <c r="AX47" i="2"/>
  <c r="AW47" i="2"/>
  <c r="AX49" i="2"/>
  <c r="AW49" i="2"/>
  <c r="AW50" i="2"/>
  <c r="C52" i="2"/>
  <c r="AX50" i="2"/>
  <c r="AZ253" i="108"/>
  <c r="AY254" i="108"/>
  <c r="M254" i="108"/>
  <c r="AW256" i="108"/>
  <c r="AX256" i="108"/>
  <c r="C258" i="108"/>
  <c r="AX244" i="21417"/>
  <c r="AW244" i="21417"/>
  <c r="C246" i="21417"/>
  <c r="AY42" i="21419" l="1"/>
  <c r="AY37" i="21420" s="1"/>
  <c r="AW37" i="21420"/>
  <c r="AY43" i="21435"/>
  <c r="M43" i="21435"/>
  <c r="AY43" i="21436"/>
  <c r="M43" i="21436"/>
  <c r="AZ44" i="21424"/>
  <c r="C44" i="21426"/>
  <c r="C46" i="21426" s="1"/>
  <c r="C48" i="21426" s="1"/>
  <c r="C50" i="21426" s="1"/>
  <c r="C52" i="21426" s="1"/>
  <c r="C54" i="21426" s="1"/>
  <c r="C56" i="21426" s="1"/>
  <c r="C58" i="21426" s="1"/>
  <c r="AX42" i="21426"/>
  <c r="AW42" i="21426"/>
  <c r="AZ43" i="21417"/>
  <c r="AZ39" i="21415"/>
  <c r="AX53" i="21416"/>
  <c r="F53" i="21416"/>
  <c r="AW53" i="21416"/>
  <c r="C55" i="21416"/>
  <c r="C49" i="21424"/>
  <c r="AW47" i="21424"/>
  <c r="AX47" i="21424"/>
  <c r="AX44" i="21423"/>
  <c r="AW44" i="21423"/>
  <c r="AZ101" i="21415"/>
  <c r="AY45" i="21424"/>
  <c r="M45" i="21424"/>
  <c r="M51" i="21416"/>
  <c r="AY51" i="21416"/>
  <c r="C47" i="21423"/>
  <c r="AW45" i="21423"/>
  <c r="AX45" i="21423"/>
  <c r="AZ39" i="108"/>
  <c r="AY43" i="21423"/>
  <c r="M43" i="21423"/>
  <c r="AZ4" i="21431"/>
  <c r="AX102" i="108"/>
  <c r="AW102" i="108"/>
  <c r="C104" i="108"/>
  <c r="J101" i="108"/>
  <c r="M100" i="108"/>
  <c r="AY100" i="108"/>
  <c r="AX42" i="108"/>
  <c r="C44" i="108"/>
  <c r="AW42" i="108"/>
  <c r="M40" i="108"/>
  <c r="AY40" i="108"/>
  <c r="AX106" i="21415"/>
  <c r="AW106" i="21415"/>
  <c r="C108" i="21415"/>
  <c r="M40" i="21415"/>
  <c r="AY40" i="21415"/>
  <c r="AX42" i="21415"/>
  <c r="C44" i="21415"/>
  <c r="AW42" i="21415"/>
  <c r="AY104" i="21415"/>
  <c r="M104" i="21415"/>
  <c r="F46" i="21417"/>
  <c r="C48" i="21417"/>
  <c r="AX46" i="21417"/>
  <c r="AW46" i="21417"/>
  <c r="M44" i="21417"/>
  <c r="AY44" i="21417"/>
  <c r="AZ103" i="21417"/>
  <c r="AX105" i="21417"/>
  <c r="AW105" i="21417"/>
  <c r="AX108" i="21417"/>
  <c r="AW108" i="21417"/>
  <c r="C110" i="21417"/>
  <c r="AY106" i="21417"/>
  <c r="M106" i="21417"/>
  <c r="AX45" i="21436"/>
  <c r="AW45" i="21436"/>
  <c r="F45" i="21436"/>
  <c r="C47" i="21436"/>
  <c r="I27" i="21425"/>
  <c r="C28" i="21425"/>
  <c r="AW26" i="21425"/>
  <c r="H7" i="21425"/>
  <c r="I90" i="21435" s="1"/>
  <c r="AV26" i="21425"/>
  <c r="H25" i="21425"/>
  <c r="L24" i="21425"/>
  <c r="AX24" i="21425"/>
  <c r="AX45" i="21435"/>
  <c r="C47" i="21435"/>
  <c r="F45" i="21435"/>
  <c r="AW45" i="21435"/>
  <c r="C46" i="21419"/>
  <c r="C4" i="21398" s="1"/>
  <c r="AW44" i="21419"/>
  <c r="AZ49" i="2"/>
  <c r="M50" i="2"/>
  <c r="AY50" i="2"/>
  <c r="C54" i="2"/>
  <c r="AX52" i="2"/>
  <c r="J53" i="2"/>
  <c r="AW52" i="2"/>
  <c r="AZ47" i="2"/>
  <c r="AY256" i="108"/>
  <c r="M256" i="108"/>
  <c r="C260" i="108"/>
  <c r="AX258" i="108"/>
  <c r="AW258" i="108"/>
  <c r="M244" i="21417"/>
  <c r="AY244" i="21417"/>
  <c r="C248" i="21417"/>
  <c r="AW246" i="21417"/>
  <c r="AX246" i="21417"/>
  <c r="AY44" i="21419" l="1"/>
  <c r="AY39" i="21420" s="1"/>
  <c r="AW39" i="21420"/>
  <c r="AW27" i="21425"/>
  <c r="AV27" i="21425"/>
  <c r="I47" i="21426"/>
  <c r="AY45" i="21436"/>
  <c r="M45" i="21436"/>
  <c r="AY45" i="21435"/>
  <c r="M45" i="21435"/>
  <c r="AZ44" i="21423"/>
  <c r="AY42" i="21426"/>
  <c r="M42" i="21426"/>
  <c r="AY45" i="21423"/>
  <c r="M45" i="21423"/>
  <c r="AX49" i="21424"/>
  <c r="C51" i="21424"/>
  <c r="AW49" i="21424"/>
  <c r="F55" i="21416"/>
  <c r="AX55" i="21416"/>
  <c r="AW55" i="21416"/>
  <c r="C57" i="21416"/>
  <c r="C49" i="21423"/>
  <c r="AW47" i="21423"/>
  <c r="AX47" i="21423"/>
  <c r="M47" i="21424"/>
  <c r="AY47" i="21424"/>
  <c r="M53" i="21416"/>
  <c r="AY53" i="21416"/>
  <c r="AW101" i="108"/>
  <c r="AX101" i="108"/>
  <c r="AW104" i="108"/>
  <c r="C106" i="108"/>
  <c r="AX104" i="108"/>
  <c r="AY102" i="108"/>
  <c r="M102" i="108"/>
  <c r="F44" i="108"/>
  <c r="AX44" i="108"/>
  <c r="C46" i="108"/>
  <c r="AW44" i="108"/>
  <c r="M42" i="108"/>
  <c r="AY42" i="108"/>
  <c r="F44" i="21415"/>
  <c r="AX44" i="21415"/>
  <c r="AW44" i="21415"/>
  <c r="C46" i="21415"/>
  <c r="AX108" i="21415"/>
  <c r="C110" i="21415"/>
  <c r="J109" i="21415"/>
  <c r="AW108" i="21415"/>
  <c r="I93" i="21415"/>
  <c r="AY42" i="21415"/>
  <c r="M42" i="21415"/>
  <c r="M106" i="21415"/>
  <c r="AY106" i="21415"/>
  <c r="AY46" i="21417"/>
  <c r="M46" i="21417"/>
  <c r="AX48" i="21417"/>
  <c r="C50" i="21417"/>
  <c r="F48" i="21417"/>
  <c r="AW48" i="21417"/>
  <c r="AZ105" i="21417"/>
  <c r="AX110" i="21417"/>
  <c r="AW110" i="21417"/>
  <c r="J111" i="21417"/>
  <c r="J109" i="21417"/>
  <c r="C112" i="21417"/>
  <c r="M108" i="21417"/>
  <c r="AY108" i="21417"/>
  <c r="AW47" i="21436"/>
  <c r="AX47" i="21436"/>
  <c r="M47" i="21436" s="1"/>
  <c r="C49" i="21436"/>
  <c r="C60" i="21426"/>
  <c r="AW58" i="21426"/>
  <c r="AX58" i="21426"/>
  <c r="AX26" i="21425"/>
  <c r="L26" i="21425"/>
  <c r="AX47" i="21435"/>
  <c r="C49" i="21435"/>
  <c r="AW47" i="21435"/>
  <c r="AV28" i="21425"/>
  <c r="AW28" i="21425"/>
  <c r="C30" i="21425"/>
  <c r="I29" i="21425"/>
  <c r="C6" i="21398"/>
  <c r="C48" i="21419" s="1"/>
  <c r="AX53" i="2"/>
  <c r="AW53" i="2"/>
  <c r="M52" i="2"/>
  <c r="AY52" i="2"/>
  <c r="C56" i="2"/>
  <c r="J56" i="2" s="1"/>
  <c r="AX54" i="2"/>
  <c r="AW54" i="2"/>
  <c r="M258" i="108"/>
  <c r="AY258" i="108"/>
  <c r="C262" i="108"/>
  <c r="C264" i="108" s="1"/>
  <c r="C266" i="108" s="1"/>
  <c r="J259" i="108"/>
  <c r="C250" i="21417"/>
  <c r="AW248" i="21417"/>
  <c r="AX248" i="21417"/>
  <c r="M246" i="21417"/>
  <c r="AY246" i="21417"/>
  <c r="AX266" i="108" l="1"/>
  <c r="AW266" i="108"/>
  <c r="AY27" i="21425"/>
  <c r="AY47" i="21435"/>
  <c r="M47" i="21435"/>
  <c r="AY47" i="21436"/>
  <c r="AY55" i="21416"/>
  <c r="M55" i="21416"/>
  <c r="C53" i="21424"/>
  <c r="AW51" i="21424"/>
  <c r="AX51" i="21424"/>
  <c r="C51" i="21423"/>
  <c r="AW49" i="21423"/>
  <c r="AX49" i="21423"/>
  <c r="AY49" i="21424"/>
  <c r="M49" i="21424"/>
  <c r="C59" i="21416"/>
  <c r="AX57" i="21416"/>
  <c r="F57" i="21416"/>
  <c r="J56" i="21416"/>
  <c r="AW57" i="21416"/>
  <c r="AY47" i="21423"/>
  <c r="M47" i="21423"/>
  <c r="C108" i="108"/>
  <c r="AX106" i="108"/>
  <c r="AW106" i="108"/>
  <c r="J105" i="108"/>
  <c r="J107" i="108"/>
  <c r="AZ101" i="108"/>
  <c r="M104" i="108"/>
  <c r="AY104" i="108"/>
  <c r="F46" i="108"/>
  <c r="AX46" i="108"/>
  <c r="AW46" i="108"/>
  <c r="C48" i="108"/>
  <c r="AY44" i="108"/>
  <c r="M44" i="108"/>
  <c r="F46" i="21415"/>
  <c r="AW46" i="21415"/>
  <c r="AX46" i="21415"/>
  <c r="C48" i="21415"/>
  <c r="AW109" i="21415"/>
  <c r="AX109" i="21415"/>
  <c r="AX110" i="21415"/>
  <c r="AW110" i="21415"/>
  <c r="C112" i="21415"/>
  <c r="AY44" i="21415"/>
  <c r="M44" i="21415"/>
  <c r="AY108" i="21415"/>
  <c r="M108" i="21415"/>
  <c r="AY48" i="21417"/>
  <c r="M48" i="21417"/>
  <c r="AW50" i="21417"/>
  <c r="C52" i="21417"/>
  <c r="AX50" i="21417"/>
  <c r="F50" i="21417"/>
  <c r="I97" i="21417"/>
  <c r="AX112" i="21417"/>
  <c r="J113" i="21417"/>
  <c r="AW112" i="21417"/>
  <c r="C114" i="21417"/>
  <c r="AW109" i="21417"/>
  <c r="AX109" i="21417"/>
  <c r="AW111" i="21417"/>
  <c r="AX111" i="21417"/>
  <c r="M110" i="21417"/>
  <c r="AY110" i="21417"/>
  <c r="C51" i="21436"/>
  <c r="AX49" i="21436"/>
  <c r="M49" i="21436" s="1"/>
  <c r="AW49" i="21436"/>
  <c r="AY58" i="21426"/>
  <c r="J61" i="21426"/>
  <c r="J59" i="21426"/>
  <c r="C62" i="21426"/>
  <c r="L28" i="21425"/>
  <c r="AX28" i="21425"/>
  <c r="AW29" i="21425"/>
  <c r="AV29" i="21425"/>
  <c r="AV30" i="21425"/>
  <c r="AW30" i="21425"/>
  <c r="F30" i="21425"/>
  <c r="C32" i="21425"/>
  <c r="AX49" i="21435"/>
  <c r="AW49" i="21435"/>
  <c r="C51" i="21435"/>
  <c r="C8" i="21398"/>
  <c r="AZ53" i="2"/>
  <c r="AY54" i="2"/>
  <c r="M54" i="2"/>
  <c r="C58" i="2"/>
  <c r="C60" i="2" s="1"/>
  <c r="C62" i="2" s="1"/>
  <c r="C64" i="2" s="1"/>
  <c r="C66" i="2" s="1"/>
  <c r="C68" i="2" s="1"/>
  <c r="C70" i="2" s="1"/>
  <c r="C72" i="2" s="1"/>
  <c r="C74" i="2" s="1"/>
  <c r="C268" i="108"/>
  <c r="J267" i="108"/>
  <c r="M248" i="21417"/>
  <c r="AY248" i="21417"/>
  <c r="C252" i="21417"/>
  <c r="AW250" i="21417"/>
  <c r="AX250" i="21417"/>
  <c r="AY266" i="108" l="1"/>
  <c r="C10" i="21398"/>
  <c r="C50" i="21419"/>
  <c r="AX267" i="108"/>
  <c r="AW267" i="108"/>
  <c r="AY49" i="21436"/>
  <c r="AZ109" i="21415"/>
  <c r="AX56" i="21416"/>
  <c r="AW56" i="21416"/>
  <c r="AX53" i="21424"/>
  <c r="C55" i="21424"/>
  <c r="AW53" i="21424"/>
  <c r="C53" i="21423"/>
  <c r="AW51" i="21423"/>
  <c r="AX51" i="21423"/>
  <c r="M57" i="21416"/>
  <c r="AY57" i="21416"/>
  <c r="M51" i="21424"/>
  <c r="AY51" i="21424"/>
  <c r="AZ109" i="21417"/>
  <c r="AW59" i="21416"/>
  <c r="AX59" i="21416"/>
  <c r="C61" i="21416"/>
  <c r="I58" i="21416"/>
  <c r="I60" i="21416"/>
  <c r="AY49" i="21423"/>
  <c r="M49" i="21423"/>
  <c r="M106" i="108"/>
  <c r="AY106" i="108"/>
  <c r="AX107" i="108"/>
  <c r="AW107" i="108"/>
  <c r="C110" i="108"/>
  <c r="J109" i="108"/>
  <c r="AX108" i="108"/>
  <c r="AW108" i="108"/>
  <c r="I93" i="108"/>
  <c r="AX105" i="108"/>
  <c r="AW105" i="108"/>
  <c r="C50" i="108"/>
  <c r="AW48" i="108"/>
  <c r="F48" i="108"/>
  <c r="AX48" i="108"/>
  <c r="M46" i="108"/>
  <c r="AY46" i="108"/>
  <c r="M110" i="21415"/>
  <c r="AY110" i="21415"/>
  <c r="M46" i="21415"/>
  <c r="AY46" i="21415"/>
  <c r="AX112" i="21415"/>
  <c r="C114" i="21415"/>
  <c r="AW112" i="21415"/>
  <c r="C50" i="21415"/>
  <c r="AW48" i="21415"/>
  <c r="F48" i="21415"/>
  <c r="AX48" i="21415"/>
  <c r="M50" i="21417"/>
  <c r="AY50" i="21417"/>
  <c r="AZ111" i="21417"/>
  <c r="F52" i="21417"/>
  <c r="C54" i="21417"/>
  <c r="AW52" i="21417"/>
  <c r="AX52" i="21417"/>
  <c r="AX114" i="21417"/>
  <c r="AW114" i="21417"/>
  <c r="J115" i="21417"/>
  <c r="C116" i="21417"/>
  <c r="AW113" i="21417"/>
  <c r="AX113" i="21417"/>
  <c r="M112" i="21417"/>
  <c r="AY112" i="21417"/>
  <c r="AX51" i="21436"/>
  <c r="M51" i="21436" s="1"/>
  <c r="C53" i="21436"/>
  <c r="J50" i="21436"/>
  <c r="F51" i="21436"/>
  <c r="AW51" i="21436"/>
  <c r="I72" i="21436"/>
  <c r="C64" i="21426"/>
  <c r="C66" i="21426" s="1"/>
  <c r="C68" i="21426" s="1"/>
  <c r="C70" i="21426" s="1"/>
  <c r="J62" i="21426"/>
  <c r="AX62" i="21426"/>
  <c r="AW62" i="21426"/>
  <c r="I33" i="21425"/>
  <c r="AV32" i="21425"/>
  <c r="C34" i="21425"/>
  <c r="AW32" i="21425"/>
  <c r="AX30" i="21425"/>
  <c r="L30" i="21425"/>
  <c r="I72" i="21435"/>
  <c r="AW51" i="21435"/>
  <c r="C53" i="21435"/>
  <c r="F51" i="21435"/>
  <c r="J50" i="21435"/>
  <c r="AX51" i="21435"/>
  <c r="AY29" i="21425"/>
  <c r="AY49" i="21435"/>
  <c r="C76" i="2"/>
  <c r="C78" i="2" s="1"/>
  <c r="C80" i="2" s="1"/>
  <c r="C82" i="2" s="1"/>
  <c r="C84" i="2" s="1"/>
  <c r="AX268" i="108"/>
  <c r="AW268" i="108"/>
  <c r="C270" i="108"/>
  <c r="M250" i="21417"/>
  <c r="AY250" i="21417"/>
  <c r="AW252" i="21417"/>
  <c r="C254" i="21417"/>
  <c r="AX252" i="21417"/>
  <c r="AY51" i="21435" l="1"/>
  <c r="C12" i="21398"/>
  <c r="C52" i="21419"/>
  <c r="C86" i="2"/>
  <c r="C88" i="2" s="1"/>
  <c r="J84" i="2"/>
  <c r="AZ267" i="108"/>
  <c r="AW33" i="21425"/>
  <c r="AV33" i="21425"/>
  <c r="S241" i="21408"/>
  <c r="AZ56" i="21416"/>
  <c r="AY51" i="21436"/>
  <c r="AZ113" i="21417"/>
  <c r="AZ107" i="108"/>
  <c r="AX61" i="21416"/>
  <c r="J62" i="21416"/>
  <c r="AW61" i="21416"/>
  <c r="C63" i="21416"/>
  <c r="C55" i="21423"/>
  <c r="AW53" i="21423"/>
  <c r="AX53" i="21423"/>
  <c r="M59" i="21416"/>
  <c r="AY59" i="21416"/>
  <c r="C57" i="21424"/>
  <c r="AW55" i="21424"/>
  <c r="AX55" i="21424"/>
  <c r="AY51" i="21423"/>
  <c r="M51" i="21423"/>
  <c r="AY53" i="21424"/>
  <c r="M53" i="21424"/>
  <c r="M108" i="108"/>
  <c r="AY108" i="108"/>
  <c r="AZ105" i="108"/>
  <c r="AX109" i="108"/>
  <c r="AW109" i="108"/>
  <c r="C112" i="108"/>
  <c r="AW110" i="108"/>
  <c r="AX110" i="108"/>
  <c r="M48" i="108"/>
  <c r="AY48" i="108"/>
  <c r="J49" i="108"/>
  <c r="C52" i="108"/>
  <c r="I53" i="108" s="1"/>
  <c r="AX50" i="108"/>
  <c r="AW50" i="108"/>
  <c r="M48" i="21415"/>
  <c r="AY48" i="21415"/>
  <c r="AX114" i="21415"/>
  <c r="C116" i="21415"/>
  <c r="AW114" i="21415"/>
  <c r="AY112" i="21415"/>
  <c r="M112" i="21415"/>
  <c r="J49" i="21415"/>
  <c r="C52" i="21415"/>
  <c r="AW50" i="21415"/>
  <c r="AX50" i="21415"/>
  <c r="AW54" i="21417"/>
  <c r="C56" i="21417"/>
  <c r="F54" i="21417"/>
  <c r="AX54" i="21417"/>
  <c r="J53" i="21417"/>
  <c r="AY52" i="21417"/>
  <c r="M52" i="21417"/>
  <c r="AX116" i="21417"/>
  <c r="C118" i="21417"/>
  <c r="AW116" i="21417"/>
  <c r="AW115" i="21417"/>
  <c r="AX115" i="21417"/>
  <c r="M114" i="21417"/>
  <c r="AY114" i="21417"/>
  <c r="AX53" i="21436"/>
  <c r="C55" i="21436"/>
  <c r="AW53" i="21436"/>
  <c r="AX50" i="21436"/>
  <c r="AW50" i="21436"/>
  <c r="AZ62" i="21426"/>
  <c r="AY62" i="21426"/>
  <c r="M62" i="21426"/>
  <c r="I49" i="21426"/>
  <c r="C72" i="21426"/>
  <c r="C74" i="21426" s="1"/>
  <c r="AW50" i="21435"/>
  <c r="AX50" i="21435"/>
  <c r="C36" i="21425"/>
  <c r="AW34" i="21425"/>
  <c r="AV34" i="21425"/>
  <c r="AW53" i="21435"/>
  <c r="C55" i="21435"/>
  <c r="AX53" i="21435"/>
  <c r="L32" i="21425"/>
  <c r="AX32" i="21425"/>
  <c r="M268" i="108"/>
  <c r="AY268" i="108"/>
  <c r="C272" i="108"/>
  <c r="C274" i="108" s="1"/>
  <c r="C276" i="108" s="1"/>
  <c r="C278" i="108" s="1"/>
  <c r="AX270" i="108"/>
  <c r="J271" i="108"/>
  <c r="AW270" i="108"/>
  <c r="AW254" i="21417"/>
  <c r="C256" i="21417"/>
  <c r="AX254" i="21417"/>
  <c r="AY252" i="21417"/>
  <c r="M252" i="21417"/>
  <c r="J75" i="21426" l="1"/>
  <c r="C67" i="21427"/>
  <c r="I42" i="21427" s="1"/>
  <c r="N241" i="21408" s="1"/>
  <c r="C14" i="21398"/>
  <c r="C54" i="21419"/>
  <c r="C90" i="2"/>
  <c r="C92" i="2" s="1"/>
  <c r="C94" i="2" s="1"/>
  <c r="J88" i="2"/>
  <c r="AX271" i="108"/>
  <c r="AW271" i="108"/>
  <c r="AY33" i="21425"/>
  <c r="M53" i="21435"/>
  <c r="AY53" i="21435"/>
  <c r="AY53" i="21436"/>
  <c r="M53" i="21436"/>
  <c r="AX57" i="21424"/>
  <c r="C59" i="21424"/>
  <c r="AW57" i="21424"/>
  <c r="AY53" i="21423"/>
  <c r="M53" i="21423"/>
  <c r="AW62" i="21416"/>
  <c r="AX62" i="21416"/>
  <c r="M55" i="21424"/>
  <c r="AY55" i="21424"/>
  <c r="C57" i="21423"/>
  <c r="AW55" i="21423"/>
  <c r="AX55" i="21423"/>
  <c r="AY61" i="21416"/>
  <c r="M61" i="21416"/>
  <c r="C65" i="21416"/>
  <c r="AW63" i="21416"/>
  <c r="AX63" i="21416"/>
  <c r="AW112" i="108"/>
  <c r="C114" i="108"/>
  <c r="AX112" i="108"/>
  <c r="M110" i="108"/>
  <c r="AY110" i="108"/>
  <c r="AZ109" i="108"/>
  <c r="AY50" i="108"/>
  <c r="M50" i="108"/>
  <c r="C54" i="108"/>
  <c r="AX52" i="108"/>
  <c r="I51" i="108"/>
  <c r="AW52" i="108"/>
  <c r="AX49" i="108"/>
  <c r="AW49" i="108"/>
  <c r="M50" i="21415"/>
  <c r="AY50" i="21415"/>
  <c r="M114" i="21415"/>
  <c r="AY114" i="21415"/>
  <c r="AW52" i="21415"/>
  <c r="AX52" i="21415"/>
  <c r="C54" i="21415"/>
  <c r="I51" i="21415"/>
  <c r="I53" i="21415"/>
  <c r="AW49" i="21415"/>
  <c r="AX49" i="21415"/>
  <c r="AX116" i="21415"/>
  <c r="C118" i="21415"/>
  <c r="AW116" i="21415"/>
  <c r="I57" i="21417"/>
  <c r="AW56" i="21417"/>
  <c r="AX56" i="21417"/>
  <c r="I55" i="21417"/>
  <c r="C58" i="21417"/>
  <c r="AY54" i="21417"/>
  <c r="M54" i="21417"/>
  <c r="AX53" i="21417"/>
  <c r="AW53" i="21417"/>
  <c r="AZ115" i="21417"/>
  <c r="AX118" i="21417"/>
  <c r="C120" i="21417"/>
  <c r="AW118" i="21417"/>
  <c r="M116" i="21417"/>
  <c r="AY116" i="21417"/>
  <c r="AW55" i="21436"/>
  <c r="F55" i="21436"/>
  <c r="AX55" i="21436"/>
  <c r="C57" i="21436"/>
  <c r="C76" i="21426"/>
  <c r="AX74" i="21426"/>
  <c r="AX67" i="21427" s="1"/>
  <c r="AW74" i="21426"/>
  <c r="AW67" i="21427" s="1"/>
  <c r="F55" i="21435"/>
  <c r="AX55" i="21435"/>
  <c r="C57" i="21435"/>
  <c r="AW55" i="21435"/>
  <c r="AW36" i="21425"/>
  <c r="I37" i="21425"/>
  <c r="C38" i="21425"/>
  <c r="I35" i="21425"/>
  <c r="AV36" i="21425"/>
  <c r="L34" i="21425"/>
  <c r="AX34" i="21425"/>
  <c r="AY270" i="108"/>
  <c r="M270" i="108"/>
  <c r="AX278" i="108"/>
  <c r="C280" i="108"/>
  <c r="AW278" i="108"/>
  <c r="M254" i="21417"/>
  <c r="AY254" i="21417"/>
  <c r="C258" i="21417"/>
  <c r="AW256" i="21417"/>
  <c r="AX256" i="21417"/>
  <c r="M256" i="21417" s="1"/>
  <c r="J255" i="21417"/>
  <c r="AX75" i="21426" l="1"/>
  <c r="AX68" i="21427" s="1"/>
  <c r="J68" i="21427"/>
  <c r="AW75" i="21426"/>
  <c r="C16" i="21398"/>
  <c r="C18" i="21398" s="1"/>
  <c r="C20" i="21398" s="1"/>
  <c r="C22" i="21398" s="1"/>
  <c r="C24" i="21398" s="1"/>
  <c r="C26" i="21398" s="1"/>
  <c r="C28" i="21398" s="1"/>
  <c r="C30" i="21398" s="1"/>
  <c r="C32" i="21398" s="1"/>
  <c r="C34" i="21398" s="1"/>
  <c r="C36" i="21398" s="1"/>
  <c r="C38" i="21398" s="1"/>
  <c r="C40" i="21398" s="1"/>
  <c r="C42" i="21398" s="1"/>
  <c r="C44" i="21398" s="1"/>
  <c r="C46" i="21398" s="1"/>
  <c r="C48" i="21398" s="1"/>
  <c r="C50" i="21398" s="1"/>
  <c r="C52" i="21398" s="1"/>
  <c r="C56" i="21419"/>
  <c r="C96" i="2"/>
  <c r="C98" i="2" s="1"/>
  <c r="C100" i="2" s="1"/>
  <c r="C102" i="2" s="1"/>
  <c r="C104" i="2" s="1"/>
  <c r="C106" i="2" s="1"/>
  <c r="C108" i="2" s="1"/>
  <c r="C110" i="2" s="1"/>
  <c r="C112" i="2" s="1"/>
  <c r="C114" i="2" s="1"/>
  <c r="J94" i="2"/>
  <c r="AZ49" i="21415"/>
  <c r="AZ62" i="21416"/>
  <c r="AZ271" i="108"/>
  <c r="AY256" i="21417"/>
  <c r="AY55" i="21436"/>
  <c r="AX65" i="21416"/>
  <c r="AW65" i="21416"/>
  <c r="C59" i="21423"/>
  <c r="AW57" i="21423"/>
  <c r="AX57" i="21423"/>
  <c r="M63" i="21416"/>
  <c r="AY63" i="21416"/>
  <c r="C61" i="21424"/>
  <c r="AW59" i="21424"/>
  <c r="AX59" i="21424"/>
  <c r="AY55" i="21423"/>
  <c r="M55" i="21423"/>
  <c r="AY57" i="21424"/>
  <c r="M57" i="21424"/>
  <c r="M112" i="108"/>
  <c r="AY112" i="108"/>
  <c r="AW114" i="108"/>
  <c r="AX114" i="108"/>
  <c r="C116" i="108"/>
  <c r="AZ49" i="108"/>
  <c r="M52" i="108"/>
  <c r="AY52" i="108"/>
  <c r="C56" i="108"/>
  <c r="J55" i="108"/>
  <c r="AX54" i="21415"/>
  <c r="J55" i="21415"/>
  <c r="C56" i="21415"/>
  <c r="AW54" i="21415"/>
  <c r="AY116" i="21415"/>
  <c r="M116" i="21415"/>
  <c r="M52" i="21415"/>
  <c r="AY52" i="21415"/>
  <c r="AX118" i="21415"/>
  <c r="C120" i="21415"/>
  <c r="AW118" i="21415"/>
  <c r="M56" i="21417"/>
  <c r="AY56" i="21417"/>
  <c r="J59" i="21417"/>
  <c r="AW58" i="21417"/>
  <c r="AX58" i="21417"/>
  <c r="C60" i="21417"/>
  <c r="AZ53" i="21417"/>
  <c r="C122" i="21417"/>
  <c r="AX120" i="21417"/>
  <c r="AW120" i="21417"/>
  <c r="M118" i="21417"/>
  <c r="AY118" i="21417"/>
  <c r="J58" i="21436"/>
  <c r="I38" i="21436"/>
  <c r="K241" i="21408" s="1"/>
  <c r="AW57" i="21436"/>
  <c r="AX57" i="21436"/>
  <c r="C59" i="21436"/>
  <c r="J59" i="21436" s="1"/>
  <c r="M55" i="21436"/>
  <c r="AY74" i="21426"/>
  <c r="AY67" i="21427" s="1"/>
  <c r="M74" i="21426"/>
  <c r="M67" i="21427" s="1"/>
  <c r="C78" i="21426"/>
  <c r="C80" i="21426" s="1"/>
  <c r="AW76" i="21426"/>
  <c r="AX76" i="21426"/>
  <c r="AV35" i="21425"/>
  <c r="AW35" i="21425"/>
  <c r="C40" i="21425"/>
  <c r="AV38" i="21425"/>
  <c r="AW38" i="21425"/>
  <c r="C59" i="21435"/>
  <c r="J58" i="21435"/>
  <c r="AW57" i="21435"/>
  <c r="AX57" i="21435"/>
  <c r="I38" i="21435"/>
  <c r="AW37" i="21425"/>
  <c r="AV37" i="21425"/>
  <c r="AY55" i="21435"/>
  <c r="M55" i="21435"/>
  <c r="AX36" i="21425"/>
  <c r="L36" i="21425"/>
  <c r="M278" i="108"/>
  <c r="AY278" i="108"/>
  <c r="AW280" i="108"/>
  <c r="C282" i="108"/>
  <c r="C284" i="108" s="1"/>
  <c r="J279" i="108"/>
  <c r="AX280" i="108"/>
  <c r="C260" i="21417"/>
  <c r="AW255" i="21417"/>
  <c r="AX255" i="21417"/>
  <c r="AX284" i="108" l="1"/>
  <c r="AW284" i="108"/>
  <c r="AZ75" i="21426"/>
  <c r="AZ68" i="21427" s="1"/>
  <c r="AW68" i="21427"/>
  <c r="AW52" i="21398"/>
  <c r="C54" i="21398"/>
  <c r="C56" i="21398" s="1"/>
  <c r="J53" i="21398"/>
  <c r="AX52" i="21398"/>
  <c r="C116" i="2"/>
  <c r="C118" i="2" s="1"/>
  <c r="J114" i="2"/>
  <c r="AZ255" i="21417"/>
  <c r="C42" i="21425"/>
  <c r="AW40" i="21425"/>
  <c r="AV40" i="21425"/>
  <c r="J60" i="21424"/>
  <c r="AX61" i="21424"/>
  <c r="C63" i="21424"/>
  <c r="AW61" i="21424"/>
  <c r="C61" i="21423"/>
  <c r="AW59" i="21423"/>
  <c r="AX59" i="21423"/>
  <c r="AY35" i="21425"/>
  <c r="M59" i="21424"/>
  <c r="AY59" i="21424"/>
  <c r="AY57" i="21423"/>
  <c r="M57" i="21423"/>
  <c r="AY65" i="21416"/>
  <c r="M65" i="21416"/>
  <c r="AY37" i="21425"/>
  <c r="AY114" i="108"/>
  <c r="M114" i="108"/>
  <c r="AX116" i="108"/>
  <c r="C118" i="108"/>
  <c r="AW116" i="108"/>
  <c r="C58" i="108"/>
  <c r="C122" i="21415"/>
  <c r="AX120" i="21415"/>
  <c r="AW120" i="21415"/>
  <c r="J119" i="21415"/>
  <c r="C58" i="21415"/>
  <c r="AW56" i="21415"/>
  <c r="AX56" i="21415"/>
  <c r="M118" i="21415"/>
  <c r="AY118" i="21415"/>
  <c r="AW55" i="21415"/>
  <c r="AX55" i="21415"/>
  <c r="M54" i="21415"/>
  <c r="AY54" i="21415"/>
  <c r="AW59" i="21417"/>
  <c r="AX59" i="21417"/>
  <c r="AX60" i="21417"/>
  <c r="C62" i="21417"/>
  <c r="AW60" i="21417"/>
  <c r="M58" i="21417"/>
  <c r="AY58" i="21417"/>
  <c r="M120" i="21417"/>
  <c r="AY120" i="21417"/>
  <c r="AX122" i="21417"/>
  <c r="C124" i="21417"/>
  <c r="J121" i="21417"/>
  <c r="AW122" i="21417"/>
  <c r="AX59" i="21436"/>
  <c r="C61" i="21436"/>
  <c r="J61" i="21436" s="1"/>
  <c r="AW59" i="21436"/>
  <c r="AW58" i="21436"/>
  <c r="AX58" i="21436"/>
  <c r="M57" i="21436"/>
  <c r="AY57" i="21436"/>
  <c r="AY76" i="21426"/>
  <c r="M76" i="21426"/>
  <c r="I79" i="21426"/>
  <c r="I81" i="21426"/>
  <c r="AX80" i="21426"/>
  <c r="AW80" i="21426"/>
  <c r="C82" i="21426"/>
  <c r="J241" i="21408"/>
  <c r="M57" i="21435"/>
  <c r="AY57" i="21435"/>
  <c r="AX38" i="21425"/>
  <c r="L38" i="21425"/>
  <c r="AW58" i="21435"/>
  <c r="AX58" i="21435"/>
  <c r="AX59" i="21435"/>
  <c r="C61" i="21435"/>
  <c r="AW59" i="21435"/>
  <c r="F59" i="21435"/>
  <c r="C286" i="108"/>
  <c r="J283" i="108"/>
  <c r="M280" i="108"/>
  <c r="AY280" i="108"/>
  <c r="AX279" i="108"/>
  <c r="AW279" i="108"/>
  <c r="C262" i="21417"/>
  <c r="AY284" i="108" l="1"/>
  <c r="AX286" i="108"/>
  <c r="AW286" i="108"/>
  <c r="AY52" i="21398"/>
  <c r="AW53" i="21398"/>
  <c r="AX53" i="21398"/>
  <c r="C58" i="21398"/>
  <c r="C60" i="21398" s="1"/>
  <c r="C62" i="21398" s="1"/>
  <c r="C64" i="21398" s="1"/>
  <c r="C66" i="21398" s="1"/>
  <c r="C68" i="21398" s="1"/>
  <c r="C70" i="21398" s="1"/>
  <c r="C72" i="21398" s="1"/>
  <c r="C74" i="21398" s="1"/>
  <c r="C76" i="21398" s="1"/>
  <c r="C78" i="21398" s="1"/>
  <c r="C80" i="21398" s="1"/>
  <c r="C82" i="21398" s="1"/>
  <c r="J56" i="21398"/>
  <c r="AW118" i="2"/>
  <c r="C120" i="2"/>
  <c r="AX118" i="2"/>
  <c r="AZ58" i="21436"/>
  <c r="AX40" i="21425"/>
  <c r="L40" i="21425"/>
  <c r="C44" i="21425"/>
  <c r="AV42" i="21425"/>
  <c r="I41" i="21425"/>
  <c r="AW42" i="21425"/>
  <c r="AY59" i="21423"/>
  <c r="M59" i="21423"/>
  <c r="C65" i="21424"/>
  <c r="J64" i="21424"/>
  <c r="AW63" i="21424"/>
  <c r="J62" i="21424"/>
  <c r="AX63" i="21424"/>
  <c r="AZ59" i="21417"/>
  <c r="AY61" i="21424"/>
  <c r="M61" i="21424"/>
  <c r="J60" i="21423"/>
  <c r="C63" i="21423"/>
  <c r="AW61" i="21423"/>
  <c r="AX61" i="21423"/>
  <c r="AX60" i="21424"/>
  <c r="AW60" i="21424"/>
  <c r="C120" i="108"/>
  <c r="AW118" i="108"/>
  <c r="AX118" i="108"/>
  <c r="M116" i="108"/>
  <c r="AY116" i="108"/>
  <c r="AX119" i="21415"/>
  <c r="AW119" i="21415"/>
  <c r="AX58" i="21415"/>
  <c r="AW58" i="21415"/>
  <c r="AZ55" i="21415"/>
  <c r="M56" i="21415"/>
  <c r="AY56" i="21415"/>
  <c r="AY120" i="21415"/>
  <c r="M120" i="21415"/>
  <c r="C124" i="21415"/>
  <c r="AX122" i="21415"/>
  <c r="I121" i="21415"/>
  <c r="AW122" i="21415"/>
  <c r="AX62" i="21417"/>
  <c r="AW62" i="21417"/>
  <c r="M60" i="21417"/>
  <c r="AY60" i="21417"/>
  <c r="AX121" i="21417"/>
  <c r="AW121" i="21417"/>
  <c r="AX124" i="21417"/>
  <c r="J123" i="21417"/>
  <c r="C126" i="21417"/>
  <c r="AW124" i="21417"/>
  <c r="AY122" i="21417"/>
  <c r="M122" i="21417"/>
  <c r="C63" i="21436"/>
  <c r="AX61" i="21436"/>
  <c r="AW61" i="21436"/>
  <c r="M59" i="21436"/>
  <c r="AZ59" i="21436"/>
  <c r="AY59" i="21436"/>
  <c r="C84" i="21426"/>
  <c r="J83" i="21426"/>
  <c r="AW82" i="21426"/>
  <c r="AX82" i="21426"/>
  <c r="M241" i="21408"/>
  <c r="AY80" i="21426"/>
  <c r="M80" i="21426"/>
  <c r="C63" i="21435"/>
  <c r="AW61" i="21435"/>
  <c r="AX61" i="21435"/>
  <c r="AY59" i="21435"/>
  <c r="M59" i="21435"/>
  <c r="AZ58" i="21435"/>
  <c r="AZ279" i="108"/>
  <c r="C288" i="108"/>
  <c r="J287" i="108"/>
  <c r="AW262" i="21417"/>
  <c r="AX262" i="21417"/>
  <c r="C264" i="21417"/>
  <c r="J263" i="21417"/>
  <c r="AY286" i="108" l="1"/>
  <c r="AX288" i="108"/>
  <c r="AW288" i="108"/>
  <c r="AZ53" i="21398"/>
  <c r="C84" i="21398"/>
  <c r="C86" i="21398" s="1"/>
  <c r="J82" i="21398"/>
  <c r="M118" i="2"/>
  <c r="AY118" i="2"/>
  <c r="J120" i="2"/>
  <c r="AX120" i="2" s="1"/>
  <c r="C122" i="2"/>
  <c r="AW44" i="21425"/>
  <c r="AV44" i="21425"/>
  <c r="H43" i="21425"/>
  <c r="C46" i="21425"/>
  <c r="AX42" i="21425"/>
  <c r="L42" i="21425"/>
  <c r="AW41" i="21425"/>
  <c r="AV41" i="21425"/>
  <c r="AX64" i="21424"/>
  <c r="AW64" i="21424"/>
  <c r="AZ60" i="21424"/>
  <c r="AX60" i="21423"/>
  <c r="AW60" i="21423"/>
  <c r="AY61" i="21423"/>
  <c r="M61" i="21423"/>
  <c r="AZ119" i="21415"/>
  <c r="M63" i="21424"/>
  <c r="AY63" i="21424"/>
  <c r="AX65" i="21424"/>
  <c r="C67" i="21424"/>
  <c r="AW65" i="21424"/>
  <c r="C65" i="21423"/>
  <c r="J64" i="21423"/>
  <c r="AW63" i="21423"/>
  <c r="J62" i="21423"/>
  <c r="AX63" i="21423"/>
  <c r="AX62" i="21424"/>
  <c r="AW62" i="21424"/>
  <c r="AY118" i="108"/>
  <c r="M118" i="108"/>
  <c r="AW120" i="108"/>
  <c r="C122" i="108"/>
  <c r="AX120" i="108"/>
  <c r="J119" i="108"/>
  <c r="AY122" i="21415"/>
  <c r="M122" i="21415"/>
  <c r="AY58" i="21415"/>
  <c r="M58" i="21415"/>
  <c r="C126" i="21415"/>
  <c r="AX124" i="21415"/>
  <c r="AW124" i="21415"/>
  <c r="J125" i="21415"/>
  <c r="AY62" i="21417"/>
  <c r="M62" i="21417"/>
  <c r="AZ121" i="21417"/>
  <c r="AW126" i="21417"/>
  <c r="AX126" i="21417"/>
  <c r="C128" i="21417"/>
  <c r="I125" i="21417"/>
  <c r="AW123" i="21417"/>
  <c r="AX123" i="21417"/>
  <c r="M124" i="21417"/>
  <c r="AY124" i="21417"/>
  <c r="M61" i="21436"/>
  <c r="AY61" i="21436"/>
  <c r="AZ61" i="21436"/>
  <c r="C65" i="21436"/>
  <c r="AX63" i="21436"/>
  <c r="F63" i="21436"/>
  <c r="AW63" i="21436"/>
  <c r="AX84" i="21426"/>
  <c r="C86" i="21426"/>
  <c r="C4" i="21415" s="1"/>
  <c r="AW84" i="21426"/>
  <c r="J85" i="21426"/>
  <c r="AY82" i="21426"/>
  <c r="M82" i="21426"/>
  <c r="AW83" i="21426"/>
  <c r="AX83" i="21426"/>
  <c r="AX63" i="21435"/>
  <c r="C65" i="21435"/>
  <c r="AW63" i="21435"/>
  <c r="M61" i="21435"/>
  <c r="AY61" i="21435"/>
  <c r="C290" i="108"/>
  <c r="J289" i="108"/>
  <c r="AY262" i="21417"/>
  <c r="M262" i="21417"/>
  <c r="AX263" i="21417"/>
  <c r="AW263" i="21417"/>
  <c r="AX264" i="21417"/>
  <c r="C266" i="21417"/>
  <c r="AW264" i="21417"/>
  <c r="AY288" i="108" l="1"/>
  <c r="C292" i="108"/>
  <c r="AW290" i="108"/>
  <c r="AX290" i="108"/>
  <c r="C88" i="21398"/>
  <c r="C90" i="21398" s="1"/>
  <c r="C92" i="21398" s="1"/>
  <c r="C94" i="21398" s="1"/>
  <c r="J86" i="21398"/>
  <c r="C124" i="2"/>
  <c r="J121" i="2"/>
  <c r="AY41" i="21425"/>
  <c r="C48" i="21425"/>
  <c r="AV46" i="21425"/>
  <c r="AW46" i="21425"/>
  <c r="AZ60" i="21423"/>
  <c r="AZ62" i="21424"/>
  <c r="AZ64" i="21424"/>
  <c r="AX44" i="21425"/>
  <c r="L44" i="21425"/>
  <c r="AX64" i="21423"/>
  <c r="AW64" i="21423"/>
  <c r="AY65" i="21424"/>
  <c r="M65" i="21424"/>
  <c r="C69" i="21424"/>
  <c r="J68" i="21424"/>
  <c r="AW67" i="21424"/>
  <c r="AX67" i="21424"/>
  <c r="I42" i="21424"/>
  <c r="AY63" i="21423"/>
  <c r="M63" i="21423"/>
  <c r="C67" i="21423"/>
  <c r="AW65" i="21423"/>
  <c r="AX65" i="21423"/>
  <c r="AX62" i="21423"/>
  <c r="AW62" i="21423"/>
  <c r="C124" i="108"/>
  <c r="I121" i="108"/>
  <c r="AW122" i="108"/>
  <c r="AX122" i="108"/>
  <c r="AX119" i="108"/>
  <c r="AW119" i="108"/>
  <c r="M120" i="108"/>
  <c r="AY120" i="108"/>
  <c r="M124" i="21415"/>
  <c r="AY124" i="21415"/>
  <c r="AX126" i="21415"/>
  <c r="C128" i="21415"/>
  <c r="AW126" i="21415"/>
  <c r="AX125" i="21415"/>
  <c r="AW125" i="21415"/>
  <c r="AZ123" i="21417"/>
  <c r="AX128" i="21417"/>
  <c r="J129" i="21417"/>
  <c r="C130" i="21417"/>
  <c r="AW128" i="21417"/>
  <c r="M126" i="21417"/>
  <c r="AY126" i="21417"/>
  <c r="AY63" i="21436"/>
  <c r="M63" i="21436"/>
  <c r="C67" i="21436"/>
  <c r="AW65" i="21436"/>
  <c r="AX65" i="21436"/>
  <c r="AZ83" i="21426"/>
  <c r="AW86" i="21426"/>
  <c r="AW4" i="21415" s="1"/>
  <c r="F86" i="21426"/>
  <c r="F4" i="21415" s="1"/>
  <c r="AX86" i="21426"/>
  <c r="AX4" i="21415" s="1"/>
  <c r="M84" i="21426"/>
  <c r="AY84" i="21426"/>
  <c r="AX85" i="21426"/>
  <c r="AW85" i="21426"/>
  <c r="C67" i="21435"/>
  <c r="AW65" i="21435"/>
  <c r="AX65" i="21435"/>
  <c r="AY63" i="21435"/>
  <c r="M63" i="21435"/>
  <c r="AX266" i="21417"/>
  <c r="C268" i="21417"/>
  <c r="AW266" i="21417"/>
  <c r="AZ263" i="21417"/>
  <c r="M264" i="21417"/>
  <c r="AY264" i="21417"/>
  <c r="AY290" i="108" l="1"/>
  <c r="C294" i="108"/>
  <c r="AX292" i="108"/>
  <c r="AW292" i="108"/>
  <c r="J94" i="21398"/>
  <c r="C96" i="21398"/>
  <c r="C98" i="21398" s="1"/>
  <c r="C100" i="21398" s="1"/>
  <c r="C102" i="21398" s="1"/>
  <c r="C104" i="21398" s="1"/>
  <c r="C106" i="21398" s="1"/>
  <c r="C108" i="21398" s="1"/>
  <c r="C110" i="21398" s="1"/>
  <c r="C112" i="21398" s="1"/>
  <c r="C114" i="21398" s="1"/>
  <c r="C126" i="2"/>
  <c r="C128" i="2" s="1"/>
  <c r="J123" i="2"/>
  <c r="AZ125" i="21415"/>
  <c r="AX46" i="21425"/>
  <c r="L46" i="21425"/>
  <c r="AZ64" i="21423"/>
  <c r="C50" i="21425"/>
  <c r="C52" i="21425" s="1"/>
  <c r="C54" i="21425" s="1"/>
  <c r="C56" i="21425" s="1"/>
  <c r="AV48" i="21425"/>
  <c r="AW48" i="21425"/>
  <c r="AZ62" i="21423"/>
  <c r="M67" i="21424"/>
  <c r="AY67" i="21424"/>
  <c r="AY65" i="21423"/>
  <c r="M65" i="21423"/>
  <c r="AX68" i="21424"/>
  <c r="AW68" i="21424"/>
  <c r="C69" i="21423"/>
  <c r="J68" i="21423"/>
  <c r="AW67" i="21423"/>
  <c r="I42" i="21423"/>
  <c r="AX67" i="21423"/>
  <c r="AX69" i="21424"/>
  <c r="C71" i="21424"/>
  <c r="AW69" i="21424"/>
  <c r="AY122" i="108"/>
  <c r="M122" i="108"/>
  <c r="AZ119" i="108"/>
  <c r="AW124" i="108"/>
  <c r="AX124" i="108"/>
  <c r="J125" i="108"/>
  <c r="C126" i="108"/>
  <c r="AX128" i="21415"/>
  <c r="AW128" i="21415"/>
  <c r="C130" i="21415"/>
  <c r="M126" i="21415"/>
  <c r="AY126" i="21415"/>
  <c r="J131" i="21417"/>
  <c r="AW130" i="21417"/>
  <c r="C132" i="21417"/>
  <c r="AX130" i="21417"/>
  <c r="AW129" i="21417"/>
  <c r="AX129" i="21417"/>
  <c r="M128" i="21417"/>
  <c r="AY128" i="21417"/>
  <c r="AW67" i="21436"/>
  <c r="C69" i="21436"/>
  <c r="AX67" i="21436"/>
  <c r="AZ85" i="21426"/>
  <c r="AY65" i="21436"/>
  <c r="M65" i="21436"/>
  <c r="M86" i="21426"/>
  <c r="M4" i="21415" s="1"/>
  <c r="AY86" i="21426"/>
  <c r="AY4" i="21415" s="1"/>
  <c r="AX67" i="21435"/>
  <c r="C69" i="21435"/>
  <c r="AW67" i="21435"/>
  <c r="M65" i="21435"/>
  <c r="AY65" i="21435"/>
  <c r="C270" i="21417"/>
  <c r="AY266" i="21417"/>
  <c r="M266" i="21417"/>
  <c r="AY292" i="108" l="1"/>
  <c r="C296" i="108"/>
  <c r="AW294" i="108"/>
  <c r="AX294" i="108"/>
  <c r="AY294" i="108" s="1"/>
  <c r="J114" i="21398"/>
  <c r="C116" i="21398"/>
  <c r="C118" i="21398" s="1"/>
  <c r="C120" i="21398" s="1"/>
  <c r="C122" i="21398" s="1"/>
  <c r="C130" i="2"/>
  <c r="C132" i="2" s="1"/>
  <c r="C134" i="2" s="1"/>
  <c r="C136" i="2" s="1"/>
  <c r="C138" i="2" s="1"/>
  <c r="C140" i="2" s="1"/>
  <c r="J129" i="2"/>
  <c r="AZ129" i="21417"/>
  <c r="AZ68" i="21424"/>
  <c r="AX48" i="21425"/>
  <c r="L48" i="21425"/>
  <c r="C58" i="21425"/>
  <c r="I59" i="21425" s="1"/>
  <c r="AV56" i="21425"/>
  <c r="AW56" i="21425"/>
  <c r="AY67" i="21423"/>
  <c r="M67" i="21423"/>
  <c r="C71" i="21423"/>
  <c r="AW69" i="21423"/>
  <c r="AX69" i="21423"/>
  <c r="C73" i="21424"/>
  <c r="AW71" i="21424"/>
  <c r="AX71" i="21424"/>
  <c r="AY69" i="21424"/>
  <c r="M69" i="21424"/>
  <c r="AX68" i="21423"/>
  <c r="AW68" i="21423"/>
  <c r="AW125" i="108"/>
  <c r="AX125" i="108"/>
  <c r="AW126" i="108"/>
  <c r="AX126" i="108"/>
  <c r="C128" i="108"/>
  <c r="AY124" i="108"/>
  <c r="M124" i="108"/>
  <c r="AX130" i="21415"/>
  <c r="C132" i="21415"/>
  <c r="AW130" i="21415"/>
  <c r="M128" i="21415"/>
  <c r="AY128" i="21415"/>
  <c r="M130" i="21417"/>
  <c r="AY130" i="21417"/>
  <c r="AX132" i="21417"/>
  <c r="C134" i="21417"/>
  <c r="AW132" i="21417"/>
  <c r="AW131" i="21417"/>
  <c r="AX131" i="21417"/>
  <c r="M67" i="21436"/>
  <c r="AY67" i="21436"/>
  <c r="AX69" i="21436"/>
  <c r="C71" i="21436"/>
  <c r="AW69" i="21436"/>
  <c r="C71" i="21435"/>
  <c r="AW69" i="21435"/>
  <c r="AX69" i="21435"/>
  <c r="AY67" i="21435"/>
  <c r="M67" i="21435"/>
  <c r="C272" i="21417"/>
  <c r="C298" i="108" l="1"/>
  <c r="AX296" i="108"/>
  <c r="AW296" i="108"/>
  <c r="AX122" i="21398"/>
  <c r="J121" i="21398"/>
  <c r="C124" i="21398"/>
  <c r="C126" i="21398" s="1"/>
  <c r="C128" i="21398" s="1"/>
  <c r="C130" i="21398" s="1"/>
  <c r="C132" i="21398" s="1"/>
  <c r="C134" i="21398" s="1"/>
  <c r="C136" i="21398" s="1"/>
  <c r="C138" i="21398" s="1"/>
  <c r="C140" i="21398" s="1"/>
  <c r="C142" i="21398" s="1"/>
  <c r="C144" i="21398" s="1"/>
  <c r="C146" i="21398" s="1"/>
  <c r="C148" i="21398" s="1"/>
  <c r="C150" i="21398" s="1"/>
  <c r="C152" i="21398" s="1"/>
  <c r="C154" i="21398" s="1"/>
  <c r="C156" i="21398" s="1"/>
  <c r="C158" i="21398" s="1"/>
  <c r="C160" i="21398" s="1"/>
  <c r="C162" i="21398" s="1"/>
  <c r="C164" i="21398" s="1"/>
  <c r="C166" i="21398" s="1"/>
  <c r="C168" i="21398" s="1"/>
  <c r="C170" i="21398" s="1"/>
  <c r="C172" i="21398" s="1"/>
  <c r="C174" i="21398" s="1"/>
  <c r="C176" i="21398" s="1"/>
  <c r="C178" i="21398" s="1"/>
  <c r="C180" i="21398" s="1"/>
  <c r="C182" i="21398" s="1"/>
  <c r="C184" i="21398" s="1"/>
  <c r="C186" i="21398" s="1"/>
  <c r="C188" i="21398" s="1"/>
  <c r="AW122" i="21398"/>
  <c r="AX140" i="2"/>
  <c r="C142" i="2"/>
  <c r="J139" i="2"/>
  <c r="I57" i="21425"/>
  <c r="AW58" i="21425"/>
  <c r="C60" i="21425"/>
  <c r="C62" i="21425" s="1"/>
  <c r="AV58" i="21425"/>
  <c r="AX56" i="21425"/>
  <c r="AZ131" i="21417"/>
  <c r="AZ68" i="21423"/>
  <c r="M71" i="21424"/>
  <c r="AY71" i="21424"/>
  <c r="C73" i="21423"/>
  <c r="AW71" i="21423"/>
  <c r="AX71" i="21423"/>
  <c r="AX73" i="21424"/>
  <c r="C75" i="21424"/>
  <c r="AW73" i="21424"/>
  <c r="AY69" i="21423"/>
  <c r="M69" i="21423"/>
  <c r="AZ125" i="108"/>
  <c r="AY126" i="108"/>
  <c r="M126" i="108"/>
  <c r="AX128" i="108"/>
  <c r="C130" i="108"/>
  <c r="AW128" i="108"/>
  <c r="AX132" i="21415"/>
  <c r="C134" i="21415"/>
  <c r="AW132" i="21415"/>
  <c r="AY130" i="21415"/>
  <c r="M130" i="21415"/>
  <c r="C136" i="21417"/>
  <c r="AX134" i="21417"/>
  <c r="AW134" i="21417"/>
  <c r="M132" i="21417"/>
  <c r="AY132" i="21417"/>
  <c r="F71" i="21436"/>
  <c r="AX71" i="21436"/>
  <c r="AW71" i="21436"/>
  <c r="J70" i="21436"/>
  <c r="AY69" i="21436"/>
  <c r="M69" i="21436"/>
  <c r="M69" i="21435"/>
  <c r="AY69" i="21435"/>
  <c r="AW71" i="21435"/>
  <c r="AX71" i="21435"/>
  <c r="J70" i="21435"/>
  <c r="F71" i="21435"/>
  <c r="C274" i="21417"/>
  <c r="AY296" i="108" l="1"/>
  <c r="C300" i="108"/>
  <c r="AW298" i="108"/>
  <c r="AX298" i="108"/>
  <c r="C190" i="21398"/>
  <c r="C192" i="21398" s="1"/>
  <c r="C194" i="21398" s="1"/>
  <c r="C196" i="21398" s="1"/>
  <c r="C198" i="21398" s="1"/>
  <c r="C200" i="21398" s="1"/>
  <c r="C202" i="21398" s="1"/>
  <c r="C204" i="21398" s="1"/>
  <c r="C206" i="21398" s="1"/>
  <c r="C208" i="21398" s="1"/>
  <c r="C210" i="21398" s="1"/>
  <c r="C212" i="21398" s="1"/>
  <c r="J187" i="21398"/>
  <c r="AW121" i="21398"/>
  <c r="AX121" i="21398"/>
  <c r="AY122" i="21398"/>
  <c r="AX142" i="2"/>
  <c r="AW142" i="2"/>
  <c r="C144" i="2"/>
  <c r="I61" i="21425"/>
  <c r="C64" i="21425"/>
  <c r="AV62" i="21425"/>
  <c r="AW62" i="21425"/>
  <c r="AX58" i="21425"/>
  <c r="L58" i="21425"/>
  <c r="AV57" i="21425"/>
  <c r="AW57" i="21425"/>
  <c r="AW59" i="21425"/>
  <c r="AV59" i="21425"/>
  <c r="C77" i="21424"/>
  <c r="AW75" i="21424"/>
  <c r="AX75" i="21424"/>
  <c r="C75" i="21423"/>
  <c r="AW73" i="21423"/>
  <c r="AX73" i="21423"/>
  <c r="AY73" i="21424"/>
  <c r="M73" i="21424"/>
  <c r="AY71" i="21423"/>
  <c r="M71" i="21423"/>
  <c r="AY128" i="108"/>
  <c r="M128" i="108"/>
  <c r="AW130" i="108"/>
  <c r="AX130" i="108"/>
  <c r="C132" i="108"/>
  <c r="AX134" i="21415"/>
  <c r="C136" i="21415"/>
  <c r="AW134" i="21415"/>
  <c r="M132" i="21415"/>
  <c r="AY132" i="21415"/>
  <c r="M134" i="21417"/>
  <c r="AY134" i="21417"/>
  <c r="AX136" i="21417"/>
  <c r="C138" i="21417"/>
  <c r="AW136" i="21417"/>
  <c r="J135" i="21417"/>
  <c r="AX70" i="21436"/>
  <c r="AW70" i="21436"/>
  <c r="M71" i="21436"/>
  <c r="AY71" i="21436"/>
  <c r="AX70" i="21435"/>
  <c r="AW70" i="21435"/>
  <c r="M71" i="21435"/>
  <c r="AY71" i="21435"/>
  <c r="C276" i="21417"/>
  <c r="AW274" i="21417"/>
  <c r="AX274" i="21417"/>
  <c r="M274" i="21417" s="1"/>
  <c r="AY298" i="108" l="1"/>
  <c r="AZ121" i="21398"/>
  <c r="C302" i="108"/>
  <c r="AW300" i="108"/>
  <c r="AX300" i="108"/>
  <c r="AY300" i="108" s="1"/>
  <c r="J213" i="21398"/>
  <c r="C214" i="21398"/>
  <c r="C216" i="21398" s="1"/>
  <c r="C218" i="21398" s="1"/>
  <c r="C220" i="21398" s="1"/>
  <c r="C222" i="21398" s="1"/>
  <c r="C224" i="21398" s="1"/>
  <c r="C226" i="21398" s="1"/>
  <c r="J145" i="2"/>
  <c r="AW144" i="2"/>
  <c r="C146" i="2"/>
  <c r="AX144" i="2"/>
  <c r="M142" i="2"/>
  <c r="AY142" i="2"/>
  <c r="AY57" i="21425"/>
  <c r="AY59" i="21425"/>
  <c r="AY274" i="21417"/>
  <c r="AX62" i="21425"/>
  <c r="L62" i="21425"/>
  <c r="C66" i="21425"/>
  <c r="AV64" i="21425"/>
  <c r="AW64" i="21425"/>
  <c r="AW61" i="21425"/>
  <c r="AV61" i="21425"/>
  <c r="C77" i="21423"/>
  <c r="AW75" i="21423"/>
  <c r="AX75" i="21423"/>
  <c r="M75" i="21424"/>
  <c r="AY75" i="21424"/>
  <c r="AY73" i="21423"/>
  <c r="M73" i="21423"/>
  <c r="AX77" i="21424"/>
  <c r="C79" i="21424"/>
  <c r="AW77" i="21424"/>
  <c r="F77" i="21424"/>
  <c r="M130" i="108"/>
  <c r="AY130" i="108"/>
  <c r="C134" i="108"/>
  <c r="AX132" i="108"/>
  <c r="AW132" i="108"/>
  <c r="J135" i="21415"/>
  <c r="AX136" i="21415"/>
  <c r="AW136" i="21415"/>
  <c r="C138" i="21415"/>
  <c r="AY134" i="21415"/>
  <c r="M134" i="21415"/>
  <c r="AX135" i="21417"/>
  <c r="AW135" i="21417"/>
  <c r="C140" i="21417"/>
  <c r="AW138" i="21417"/>
  <c r="J137" i="21417"/>
  <c r="AX138" i="21417"/>
  <c r="AY136" i="21417"/>
  <c r="M136" i="21417"/>
  <c r="AZ70" i="21436"/>
  <c r="AZ70" i="21435"/>
  <c r="AW276" i="21417"/>
  <c r="C278" i="21417"/>
  <c r="J275" i="21417"/>
  <c r="AX276" i="21417"/>
  <c r="M276" i="21417" s="1"/>
  <c r="AX302" i="108" l="1"/>
  <c r="C304" i="108"/>
  <c r="AW302" i="108"/>
  <c r="C228" i="21398"/>
  <c r="M144" i="2"/>
  <c r="AY144" i="2"/>
  <c r="AW146" i="2"/>
  <c r="C148" i="2"/>
  <c r="AX146" i="2"/>
  <c r="AW145" i="2"/>
  <c r="AX145" i="2"/>
  <c r="AX275" i="21417"/>
  <c r="AW275" i="21417"/>
  <c r="AY276" i="21417"/>
  <c r="AY61" i="21425"/>
  <c r="AW66" i="21425"/>
  <c r="C68" i="21425"/>
  <c r="AV66" i="21425"/>
  <c r="AX64" i="21425"/>
  <c r="L64" i="21425"/>
  <c r="AY75" i="21423"/>
  <c r="M75" i="21423"/>
  <c r="F79" i="21424"/>
  <c r="AX79" i="21424"/>
  <c r="C81" i="21424"/>
  <c r="AW79" i="21424"/>
  <c r="M77" i="21424"/>
  <c r="AY77" i="21424"/>
  <c r="AX77" i="21423"/>
  <c r="AW77" i="21423"/>
  <c r="C79" i="21423"/>
  <c r="F77" i="21423"/>
  <c r="M132" i="108"/>
  <c r="AY132" i="108"/>
  <c r="AX134" i="108"/>
  <c r="AW134" i="108"/>
  <c r="C136" i="108"/>
  <c r="AX138" i="21415"/>
  <c r="C140" i="21415"/>
  <c r="AW138" i="21415"/>
  <c r="M136" i="21415"/>
  <c r="AY136" i="21415"/>
  <c r="AW135" i="21415"/>
  <c r="AX135" i="21415"/>
  <c r="AZ135" i="21417"/>
  <c r="M138" i="21417"/>
  <c r="AY138" i="21417"/>
  <c r="AW137" i="21417"/>
  <c r="AX137" i="21417"/>
  <c r="AX140" i="21417"/>
  <c r="J139" i="21417"/>
  <c r="C142" i="21417"/>
  <c r="AW140" i="21417"/>
  <c r="AX278" i="21417"/>
  <c r="M278" i="21417" s="1"/>
  <c r="J277" i="21417"/>
  <c r="C280" i="21417"/>
  <c r="AW278" i="21417"/>
  <c r="AW304" i="108" l="1"/>
  <c r="C306" i="108"/>
  <c r="AX304" i="108"/>
  <c r="AY302" i="108"/>
  <c r="M302" i="108"/>
  <c r="C230" i="21398"/>
  <c r="AZ145" i="2"/>
  <c r="AW148" i="2"/>
  <c r="C150" i="2"/>
  <c r="AX148" i="2"/>
  <c r="AY146" i="2"/>
  <c r="M146" i="2"/>
  <c r="AZ275" i="21417"/>
  <c r="AW277" i="21417"/>
  <c r="AX277" i="21417"/>
  <c r="AZ137" i="21417"/>
  <c r="AY278" i="21417"/>
  <c r="AV68" i="21425"/>
  <c r="C70" i="21425"/>
  <c r="H45" i="21425"/>
  <c r="L241" i="21408" s="1"/>
  <c r="I69" i="21425"/>
  <c r="AW68" i="21425"/>
  <c r="L66" i="21425"/>
  <c r="AX66" i="21425"/>
  <c r="M77" i="21423"/>
  <c r="AY77" i="21423"/>
  <c r="F81" i="21424"/>
  <c r="C83" i="21424"/>
  <c r="AX81" i="21424"/>
  <c r="J82" i="21424"/>
  <c r="AW81" i="21424"/>
  <c r="AY79" i="21424"/>
  <c r="M79" i="21424"/>
  <c r="F79" i="21423"/>
  <c r="C81" i="21423"/>
  <c r="AW79" i="21423"/>
  <c r="AX79" i="21423"/>
  <c r="M134" i="108"/>
  <c r="AY134" i="108"/>
  <c r="AW136" i="108"/>
  <c r="J135" i="108"/>
  <c r="AX136" i="108"/>
  <c r="C138" i="108"/>
  <c r="AY138" i="21415"/>
  <c r="M138" i="21415"/>
  <c r="AZ135" i="21415"/>
  <c r="C142" i="21415"/>
  <c r="C144" i="21415" s="1"/>
  <c r="AX140" i="21415"/>
  <c r="AW140" i="21415"/>
  <c r="J141" i="21415"/>
  <c r="AX142" i="21417"/>
  <c r="AW142" i="21417"/>
  <c r="C144" i="21417"/>
  <c r="AX139" i="21417"/>
  <c r="AW139" i="21417"/>
  <c r="AY140" i="21417"/>
  <c r="M140" i="21417"/>
  <c r="AW280" i="21417"/>
  <c r="C282" i="21417"/>
  <c r="AX280" i="21417"/>
  <c r="M280" i="21417" s="1"/>
  <c r="AY304" i="108" l="1"/>
  <c r="M304" i="108"/>
  <c r="C308" i="108"/>
  <c r="AW306" i="108"/>
  <c r="AX306" i="108"/>
  <c r="AW230" i="21398"/>
  <c r="AX230" i="21398"/>
  <c r="C232" i="21398"/>
  <c r="AY148" i="2"/>
  <c r="M148" i="2"/>
  <c r="C152" i="2"/>
  <c r="AX150" i="2"/>
  <c r="AW150" i="2"/>
  <c r="AZ277" i="21417"/>
  <c r="AX82" i="21424"/>
  <c r="AW82" i="21424"/>
  <c r="AY280" i="21417"/>
  <c r="AZ139" i="21417"/>
  <c r="AW69" i="21425"/>
  <c r="AV69" i="21425"/>
  <c r="C72" i="21425"/>
  <c r="I71" i="21425"/>
  <c r="AW70" i="21425"/>
  <c r="AV70" i="21425"/>
  <c r="L68" i="21425"/>
  <c r="AX68" i="21425"/>
  <c r="F83" i="21424"/>
  <c r="AX83" i="21424"/>
  <c r="C85" i="21424"/>
  <c r="AW83" i="21424"/>
  <c r="AY79" i="21423"/>
  <c r="M79" i="21423"/>
  <c r="AX81" i="21423"/>
  <c r="C83" i="21423"/>
  <c r="AW81" i="21423"/>
  <c r="J82" i="21423"/>
  <c r="F81" i="21423"/>
  <c r="M81" i="21424"/>
  <c r="AY81" i="21424"/>
  <c r="AY136" i="108"/>
  <c r="M136" i="108"/>
  <c r="AW135" i="108"/>
  <c r="AX135" i="108"/>
  <c r="C140" i="108"/>
  <c r="AW138" i="108"/>
  <c r="AX138" i="108"/>
  <c r="AY140" i="21415"/>
  <c r="C146" i="21415"/>
  <c r="C148" i="21415" s="1"/>
  <c r="C150" i="21415" s="1"/>
  <c r="C152" i="21415" s="1"/>
  <c r="I123" i="21415"/>
  <c r="AX141" i="21415"/>
  <c r="AW141" i="21415"/>
  <c r="AX144" i="21417"/>
  <c r="AW144" i="21417"/>
  <c r="C146" i="21417"/>
  <c r="J143" i="21417"/>
  <c r="M142" i="21417"/>
  <c r="AY142" i="21417"/>
  <c r="C284" i="21417"/>
  <c r="AW282" i="21417"/>
  <c r="J283" i="21417"/>
  <c r="AX282" i="21417"/>
  <c r="M282" i="21417" s="1"/>
  <c r="AY306" i="108" l="1"/>
  <c r="AX308" i="108"/>
  <c r="AW308" i="108"/>
  <c r="C310" i="108"/>
  <c r="AW232" i="21398"/>
  <c r="AX232" i="21398"/>
  <c r="AY230" i="21398"/>
  <c r="M230" i="21398"/>
  <c r="AY150" i="2"/>
  <c r="M150" i="2"/>
  <c r="C154" i="2"/>
  <c r="AW152" i="2"/>
  <c r="AX152" i="2"/>
  <c r="AX283" i="21417"/>
  <c r="AW283" i="21417"/>
  <c r="AZ82" i="21424"/>
  <c r="AY282" i="21417"/>
  <c r="AV71" i="21425"/>
  <c r="AW71" i="21425"/>
  <c r="AV72" i="21425"/>
  <c r="C74" i="21425"/>
  <c r="AW72" i="21425"/>
  <c r="L70" i="21425"/>
  <c r="AX70" i="21425"/>
  <c r="AY69" i="21425"/>
  <c r="AW82" i="21423"/>
  <c r="AX82" i="21423"/>
  <c r="M83" i="21424"/>
  <c r="AY83" i="21424"/>
  <c r="C85" i="21423"/>
  <c r="AW83" i="21423"/>
  <c r="F83" i="21423"/>
  <c r="AX83" i="21423"/>
  <c r="M81" i="21423"/>
  <c r="AY81" i="21423"/>
  <c r="AW85" i="21424"/>
  <c r="F85" i="21424"/>
  <c r="C87" i="21424"/>
  <c r="AX85" i="21424"/>
  <c r="J84" i="21424"/>
  <c r="AZ135" i="108"/>
  <c r="C142" i="108"/>
  <c r="AX140" i="108"/>
  <c r="AW140" i="108"/>
  <c r="AY138" i="108"/>
  <c r="M138" i="108"/>
  <c r="C154" i="21415"/>
  <c r="C156" i="21415" s="1"/>
  <c r="C158" i="21415" s="1"/>
  <c r="C160" i="21415" s="1"/>
  <c r="C162" i="21415" s="1"/>
  <c r="C164" i="21415" s="1"/>
  <c r="C166" i="21415" s="1"/>
  <c r="C168" i="21415" s="1"/>
  <c r="I151" i="21415"/>
  <c r="AX143" i="21417"/>
  <c r="AW143" i="21417"/>
  <c r="I127" i="21417"/>
  <c r="AX146" i="21417"/>
  <c r="J147" i="21417"/>
  <c r="AW146" i="21417"/>
  <c r="C148" i="21417"/>
  <c r="AY144" i="21417"/>
  <c r="M144" i="21417"/>
  <c r="AX284" i="21417"/>
  <c r="M284" i="21417" s="1"/>
  <c r="C286" i="21417"/>
  <c r="AW284" i="21417"/>
  <c r="J285" i="21417"/>
  <c r="AW310" i="108" l="1"/>
  <c r="AX310" i="108"/>
  <c r="AY310" i="108" s="1"/>
  <c r="C312" i="108"/>
  <c r="AY308" i="108"/>
  <c r="M232" i="21398"/>
  <c r="AY232" i="21398"/>
  <c r="AX154" i="2"/>
  <c r="C156" i="2"/>
  <c r="C158" i="2" s="1"/>
  <c r="AW154" i="2"/>
  <c r="AY152" i="2"/>
  <c r="M152" i="2"/>
  <c r="AZ283" i="21417"/>
  <c r="AX285" i="21417"/>
  <c r="AW285" i="21417"/>
  <c r="AY284" i="21417"/>
  <c r="AW74" i="21425"/>
  <c r="C76" i="21425"/>
  <c r="AV74" i="21425"/>
  <c r="AY71" i="21425"/>
  <c r="AZ82" i="21423"/>
  <c r="L72" i="21425"/>
  <c r="AX72" i="21425"/>
  <c r="M85" i="21424"/>
  <c r="AY85" i="21424"/>
  <c r="AW87" i="21424"/>
  <c r="I86" i="21424"/>
  <c r="F87" i="21424"/>
  <c r="C89" i="21424"/>
  <c r="AX87" i="21424"/>
  <c r="C87" i="21423"/>
  <c r="AX85" i="21423"/>
  <c r="J84" i="21423"/>
  <c r="AW85" i="21423"/>
  <c r="F85" i="21423"/>
  <c r="AY83" i="21423"/>
  <c r="M83" i="21423"/>
  <c r="AX84" i="21424"/>
  <c r="AW84" i="21424"/>
  <c r="AY140" i="108"/>
  <c r="M140" i="108"/>
  <c r="J143" i="108"/>
  <c r="AX142" i="108"/>
  <c r="I123" i="108"/>
  <c r="C144" i="108"/>
  <c r="AW142" i="108"/>
  <c r="I153" i="21415"/>
  <c r="C170" i="21415"/>
  <c r="C172" i="21415" s="1"/>
  <c r="C174" i="21415" s="1"/>
  <c r="C176" i="21415" s="1"/>
  <c r="C178" i="21415" s="1"/>
  <c r="C180" i="21415" s="1"/>
  <c r="C182" i="21415" s="1"/>
  <c r="C184" i="21415" s="1"/>
  <c r="AZ143" i="21417"/>
  <c r="AX148" i="21417"/>
  <c r="AW148" i="21417"/>
  <c r="C150" i="21417"/>
  <c r="J149" i="21417"/>
  <c r="AW147" i="21417"/>
  <c r="AX147" i="21417"/>
  <c r="M146" i="21417"/>
  <c r="AY146" i="21417"/>
  <c r="AX286" i="21417"/>
  <c r="M286" i="21417" s="1"/>
  <c r="C288" i="21417"/>
  <c r="AW286" i="21417"/>
  <c r="AX312" i="108" l="1"/>
  <c r="AW312" i="108"/>
  <c r="C314" i="108"/>
  <c r="C316" i="108" s="1"/>
  <c r="M154" i="2"/>
  <c r="AY154" i="2"/>
  <c r="J157" i="2"/>
  <c r="C160" i="2"/>
  <c r="AW158" i="2"/>
  <c r="AX158" i="2"/>
  <c r="AZ285" i="21417"/>
  <c r="AY286" i="21417"/>
  <c r="AZ84" i="21424"/>
  <c r="C78" i="21425"/>
  <c r="AV76" i="21425"/>
  <c r="AW76" i="21425"/>
  <c r="L74" i="21425"/>
  <c r="AX74" i="21425"/>
  <c r="AZ147" i="21417"/>
  <c r="C89" i="21423"/>
  <c r="AX87" i="21423"/>
  <c r="AW87" i="21423"/>
  <c r="F87" i="21423"/>
  <c r="I86" i="21423"/>
  <c r="M87" i="21424"/>
  <c r="AY87" i="21424"/>
  <c r="AX84" i="21423"/>
  <c r="AW84" i="21423"/>
  <c r="AX89" i="21424"/>
  <c r="C91" i="21424"/>
  <c r="J90" i="21424"/>
  <c r="AW89" i="21424"/>
  <c r="M85" i="21423"/>
  <c r="AY85" i="21423"/>
  <c r="AY142" i="108"/>
  <c r="M142" i="108"/>
  <c r="AW143" i="108"/>
  <c r="AX143" i="108"/>
  <c r="AW144" i="108"/>
  <c r="C146" i="108"/>
  <c r="J145" i="108"/>
  <c r="AX144" i="108"/>
  <c r="I183" i="21415"/>
  <c r="C186" i="21415"/>
  <c r="C188" i="21415" s="1"/>
  <c r="C190" i="21415" s="1"/>
  <c r="C192" i="21415" s="1"/>
  <c r="C194" i="21415" s="1"/>
  <c r="C196" i="21415" s="1"/>
  <c r="C198" i="21415" s="1"/>
  <c r="C200" i="21415" s="1"/>
  <c r="C202" i="21415" s="1"/>
  <c r="I185" i="21415"/>
  <c r="AX149" i="21417"/>
  <c r="AW149" i="21417"/>
  <c r="AX150" i="21417"/>
  <c r="M150" i="21417" s="1"/>
  <c r="AW150" i="21417"/>
  <c r="C152" i="21417"/>
  <c r="AY148" i="21417"/>
  <c r="M148" i="21417"/>
  <c r="AW288" i="21417"/>
  <c r="AX288" i="21417"/>
  <c r="M288" i="21417" s="1"/>
  <c r="C290" i="21417"/>
  <c r="AY312" i="108" l="1"/>
  <c r="C318" i="108"/>
  <c r="C35" i="21412"/>
  <c r="AW160" i="2"/>
  <c r="C162" i="2"/>
  <c r="AX160" i="2"/>
  <c r="AX157" i="2"/>
  <c r="AW157" i="2"/>
  <c r="M158" i="2"/>
  <c r="AY158" i="2"/>
  <c r="AY288" i="21417"/>
  <c r="L76" i="21425"/>
  <c r="AX76" i="21425"/>
  <c r="AV78" i="21425"/>
  <c r="C80" i="21425"/>
  <c r="AW78" i="21425"/>
  <c r="I78" i="21425"/>
  <c r="AZ149" i="21417"/>
  <c r="M87" i="21423"/>
  <c r="AY87" i="21423"/>
  <c r="T241" i="21408"/>
  <c r="AW90" i="21424"/>
  <c r="AX90" i="21424"/>
  <c r="AZ84" i="21423"/>
  <c r="C91" i="21423"/>
  <c r="J90" i="21423"/>
  <c r="AW89" i="21423"/>
  <c r="AX89" i="21423"/>
  <c r="AX91" i="21424"/>
  <c r="C93" i="21424"/>
  <c r="AW91" i="21424"/>
  <c r="M89" i="21424"/>
  <c r="AY89" i="21424"/>
  <c r="M144" i="108"/>
  <c r="AY144" i="108"/>
  <c r="AZ143" i="108"/>
  <c r="AW145" i="108"/>
  <c r="AX145" i="108"/>
  <c r="J146" i="108"/>
  <c r="AX146" i="108"/>
  <c r="C148" i="108"/>
  <c r="AW146" i="108"/>
  <c r="AY150" i="21417"/>
  <c r="AX152" i="21417"/>
  <c r="AW152" i="21417"/>
  <c r="C154" i="21417"/>
  <c r="AW290" i="21417"/>
  <c r="AX290" i="21417"/>
  <c r="M290" i="21417" s="1"/>
  <c r="C292" i="21417"/>
  <c r="J148" i="108" l="1"/>
  <c r="J147" i="108"/>
  <c r="C320" i="108"/>
  <c r="C37" i="21412"/>
  <c r="AZ157" i="2"/>
  <c r="AY160" i="2"/>
  <c r="M160" i="2"/>
  <c r="AX162" i="2"/>
  <c r="C164" i="2"/>
  <c r="AW162" i="2"/>
  <c r="AZ90" i="21424"/>
  <c r="AY290" i="21417"/>
  <c r="C82" i="21425"/>
  <c r="I81" i="21425"/>
  <c r="AV80" i="21425"/>
  <c r="AW80" i="21425"/>
  <c r="AX78" i="21425"/>
  <c r="AY78" i="21425"/>
  <c r="L78" i="21425"/>
  <c r="M91" i="21424"/>
  <c r="AY91" i="21424"/>
  <c r="C93" i="21423"/>
  <c r="AW91" i="21423"/>
  <c r="AX91" i="21423"/>
  <c r="AY89" i="21423"/>
  <c r="M89" i="21423"/>
  <c r="AX93" i="21424"/>
  <c r="C95" i="21424"/>
  <c r="AW93" i="21424"/>
  <c r="AX90" i="21423"/>
  <c r="AW90" i="21423"/>
  <c r="AW148" i="108"/>
  <c r="AX148" i="108"/>
  <c r="C150" i="108"/>
  <c r="AY146" i="108"/>
  <c r="AZ146" i="108"/>
  <c r="M146" i="108"/>
  <c r="AZ145" i="108"/>
  <c r="C156" i="21417"/>
  <c r="AX154" i="21417"/>
  <c r="J153" i="21417"/>
  <c r="AW154" i="21417"/>
  <c r="M152" i="21417"/>
  <c r="AY152" i="21417"/>
  <c r="C294" i="21417"/>
  <c r="AX292" i="21417"/>
  <c r="M292" i="21417" s="1"/>
  <c r="AW292" i="21417"/>
  <c r="C43" i="21410" l="1"/>
  <c r="AX320" i="108"/>
  <c r="C39" i="21412"/>
  <c r="C322" i="108"/>
  <c r="J321" i="108"/>
  <c r="AW320" i="108"/>
  <c r="AX164" i="2"/>
  <c r="C166" i="2"/>
  <c r="J165" i="2"/>
  <c r="AW164" i="2"/>
  <c r="M162" i="2"/>
  <c r="AY162" i="2"/>
  <c r="AY292" i="21417"/>
  <c r="AZ90" i="21423"/>
  <c r="AX80" i="21425"/>
  <c r="L80" i="21425"/>
  <c r="AW81" i="21425"/>
  <c r="AV81" i="21425"/>
  <c r="AV82" i="21425"/>
  <c r="AW82" i="21425"/>
  <c r="C84" i="21425"/>
  <c r="M93" i="21424"/>
  <c r="AY93" i="21424"/>
  <c r="C95" i="21423"/>
  <c r="AW93" i="21423"/>
  <c r="AX93" i="21423"/>
  <c r="F95" i="21424"/>
  <c r="AX95" i="21424"/>
  <c r="AW95" i="21424"/>
  <c r="C97" i="21424"/>
  <c r="AY91" i="21423"/>
  <c r="M91" i="21423"/>
  <c r="AX150" i="108"/>
  <c r="AW150" i="108"/>
  <c r="C152" i="108"/>
  <c r="AW147" i="108"/>
  <c r="AX147" i="108"/>
  <c r="M148" i="108"/>
  <c r="AY148" i="108"/>
  <c r="AY154" i="21417"/>
  <c r="M154" i="21417"/>
  <c r="AW153" i="21417"/>
  <c r="AX153" i="21417"/>
  <c r="C158" i="21417"/>
  <c r="AX156" i="21417"/>
  <c r="AW156" i="21417"/>
  <c r="AX294" i="21417"/>
  <c r="M294" i="21417" s="1"/>
  <c r="C296" i="21417"/>
  <c r="AW294" i="21417"/>
  <c r="AX322" i="108" l="1"/>
  <c r="C41" i="21412"/>
  <c r="AW322" i="108"/>
  <c r="AW41" i="21412" s="1"/>
  <c r="C324" i="108"/>
  <c r="J322" i="108"/>
  <c r="J41" i="21412" s="1"/>
  <c r="AW39" i="21412"/>
  <c r="AW43" i="21410"/>
  <c r="AX39" i="21412"/>
  <c r="AY320" i="108"/>
  <c r="AX43" i="21410"/>
  <c r="M320" i="108"/>
  <c r="J40" i="21412"/>
  <c r="J44" i="21410"/>
  <c r="AX321" i="108"/>
  <c r="AW321" i="108"/>
  <c r="AW166" i="2"/>
  <c r="C168" i="2"/>
  <c r="AX166" i="2"/>
  <c r="AW165" i="2"/>
  <c r="AX165" i="2"/>
  <c r="AY164" i="2"/>
  <c r="M164" i="2"/>
  <c r="AX82" i="21425"/>
  <c r="AY294" i="21417"/>
  <c r="AX296" i="21417"/>
  <c r="AW296" i="21417"/>
  <c r="AW84" i="21425"/>
  <c r="AV84" i="21425"/>
  <c r="C86" i="21425"/>
  <c r="C4" i="108" s="1"/>
  <c r="AY81" i="21425"/>
  <c r="AY95" i="21424"/>
  <c r="M95" i="21424"/>
  <c r="AX95" i="21423"/>
  <c r="AW95" i="21423"/>
  <c r="C97" i="21423"/>
  <c r="F95" i="21423"/>
  <c r="F97" i="21424"/>
  <c r="AX97" i="21424"/>
  <c r="AW97" i="21424"/>
  <c r="C99" i="21424"/>
  <c r="AY93" i="21423"/>
  <c r="M93" i="21423"/>
  <c r="C156" i="108"/>
  <c r="AW152" i="108"/>
  <c r="AX152" i="108"/>
  <c r="AZ147" i="108"/>
  <c r="M150" i="108"/>
  <c r="AY150" i="108"/>
  <c r="M156" i="21417"/>
  <c r="AY156" i="21417"/>
  <c r="C160" i="21417"/>
  <c r="AW158" i="21417"/>
  <c r="AX158" i="21417"/>
  <c r="AZ153" i="21417"/>
  <c r="C298" i="21417"/>
  <c r="J297" i="21417" s="1"/>
  <c r="J323" i="108" l="1"/>
  <c r="AX324" i="108"/>
  <c r="AW324" i="108"/>
  <c r="C326" i="108"/>
  <c r="AW40" i="21412"/>
  <c r="AW44" i="21410"/>
  <c r="M39" i="21412"/>
  <c r="M43" i="21410"/>
  <c r="AZ321" i="108"/>
  <c r="AX44" i="21410"/>
  <c r="AX40" i="21412"/>
  <c r="AY39" i="21412"/>
  <c r="AY43" i="21410"/>
  <c r="AZ322" i="108"/>
  <c r="AZ41" i="21412" s="1"/>
  <c r="AX41" i="21412"/>
  <c r="M322" i="108"/>
  <c r="M41" i="21412" s="1"/>
  <c r="AY322" i="108"/>
  <c r="AY41" i="21412" s="1"/>
  <c r="AX297" i="21417"/>
  <c r="AW297" i="21417"/>
  <c r="AY166" i="2"/>
  <c r="M166" i="2"/>
  <c r="C170" i="2"/>
  <c r="C172" i="2" s="1"/>
  <c r="C174" i="2" s="1"/>
  <c r="C176" i="2" s="1"/>
  <c r="AX168" i="2"/>
  <c r="AZ165" i="2"/>
  <c r="AX84" i="21425"/>
  <c r="AX298" i="21417"/>
  <c r="M298" i="21417" s="1"/>
  <c r="AW298" i="21417"/>
  <c r="AY296" i="21417"/>
  <c r="M296" i="21417"/>
  <c r="AW86" i="21425"/>
  <c r="AX4" i="108" s="1"/>
  <c r="AV86" i="21425"/>
  <c r="AW4" i="108" s="1"/>
  <c r="F86" i="21425"/>
  <c r="F4" i="108" s="1"/>
  <c r="M95" i="21423"/>
  <c r="AY95" i="21423"/>
  <c r="AY97" i="21424"/>
  <c r="M97" i="21424"/>
  <c r="C101" i="21424"/>
  <c r="AW99" i="21424"/>
  <c r="AX99" i="21424"/>
  <c r="F99" i="21424"/>
  <c r="C99" i="21423"/>
  <c r="AW97" i="21423"/>
  <c r="F97" i="21423"/>
  <c r="AX97" i="21423"/>
  <c r="AY152" i="108"/>
  <c r="M152" i="108"/>
  <c r="AX156" i="108"/>
  <c r="AW156" i="108"/>
  <c r="C158" i="108"/>
  <c r="AY158" i="21417"/>
  <c r="M158" i="21417"/>
  <c r="AX160" i="21417"/>
  <c r="C162" i="21417"/>
  <c r="AW160" i="21417"/>
  <c r="C300" i="21417"/>
  <c r="J299" i="21417" s="1"/>
  <c r="C328" i="108" l="1"/>
  <c r="AX326" i="108"/>
  <c r="J325" i="108"/>
  <c r="AW326" i="108"/>
  <c r="AY324" i="108"/>
  <c r="M324" i="108"/>
  <c r="AZ40" i="21412"/>
  <c r="AZ44" i="21410"/>
  <c r="AX323" i="108"/>
  <c r="AW323" i="108"/>
  <c r="AZ297" i="21417"/>
  <c r="AX299" i="21417"/>
  <c r="AW299" i="21417"/>
  <c r="J175" i="2"/>
  <c r="C178" i="2"/>
  <c r="AX300" i="21417"/>
  <c r="M300" i="21417" s="1"/>
  <c r="AW300" i="21417"/>
  <c r="AY298" i="21417"/>
  <c r="AX86" i="21425"/>
  <c r="AY4" i="108" s="1"/>
  <c r="AY97" i="21423"/>
  <c r="M97" i="21423"/>
  <c r="C103" i="21424"/>
  <c r="AW101" i="21424"/>
  <c r="AX101" i="21424"/>
  <c r="F101" i="21424"/>
  <c r="AX99" i="21423"/>
  <c r="AW99" i="21423"/>
  <c r="C101" i="21423"/>
  <c r="F99" i="21423"/>
  <c r="M99" i="21424"/>
  <c r="AY99" i="21424"/>
  <c r="AZ151" i="108"/>
  <c r="AX158" i="108"/>
  <c r="C160" i="108"/>
  <c r="J159" i="108"/>
  <c r="AW158" i="108"/>
  <c r="M156" i="108"/>
  <c r="AY156" i="108"/>
  <c r="AW162" i="21417"/>
  <c r="C164" i="21417"/>
  <c r="J163" i="21417"/>
  <c r="AX162" i="21417"/>
  <c r="M160" i="21417"/>
  <c r="AY160" i="21417"/>
  <c r="C302" i="21417"/>
  <c r="AW325" i="108" l="1"/>
  <c r="AX325" i="108"/>
  <c r="AY326" i="108"/>
  <c r="M326" i="108"/>
  <c r="AZ323" i="108"/>
  <c r="AX328" i="108"/>
  <c r="C330" i="108"/>
  <c r="AW328" i="108"/>
  <c r="AZ299" i="21417"/>
  <c r="AC61" i="21422"/>
  <c r="AC57" i="21422"/>
  <c r="AC53" i="21422"/>
  <c r="AC43" i="21420" s="1"/>
  <c r="AC55" i="21422"/>
  <c r="AC63" i="21422"/>
  <c r="AC48" i="21419"/>
  <c r="J177" i="2"/>
  <c r="C180" i="2"/>
  <c r="AX302" i="21417"/>
  <c r="AW302" i="21417"/>
  <c r="AY300" i="21417"/>
  <c r="M99" i="21423"/>
  <c r="AY99" i="21423"/>
  <c r="AY101" i="21424"/>
  <c r="M101" i="21424"/>
  <c r="F101" i="21423"/>
  <c r="C103" i="21423"/>
  <c r="AW101" i="21423"/>
  <c r="AX101" i="21423"/>
  <c r="C105" i="21424"/>
  <c r="AX103" i="21424"/>
  <c r="AW103" i="21424"/>
  <c r="AX159" i="108"/>
  <c r="AW159" i="108"/>
  <c r="C162" i="108"/>
  <c r="AX160" i="108"/>
  <c r="AW160" i="108"/>
  <c r="J160" i="108"/>
  <c r="M158" i="108"/>
  <c r="AY158" i="108"/>
  <c r="AY162" i="21417"/>
  <c r="M162" i="21417"/>
  <c r="AX163" i="21417"/>
  <c r="AW163" i="21417"/>
  <c r="C166" i="21417"/>
  <c r="J165" i="21417"/>
  <c r="AW164" i="21417"/>
  <c r="AX164" i="21417"/>
  <c r="C304" i="21417"/>
  <c r="AZ325" i="108" l="1"/>
  <c r="C332" i="108"/>
  <c r="J331" i="108"/>
  <c r="AX330" i="108"/>
  <c r="AW330" i="108"/>
  <c r="AY328" i="108"/>
  <c r="M328" i="108"/>
  <c r="J181" i="2"/>
  <c r="C182" i="2"/>
  <c r="C184" i="2" s="1"/>
  <c r="C186" i="2" s="1"/>
  <c r="C188" i="2" s="1"/>
  <c r="AX304" i="21417"/>
  <c r="AW304" i="21417"/>
  <c r="AY302" i="21417"/>
  <c r="M302" i="21417"/>
  <c r="AY101" i="21423"/>
  <c r="M101" i="21423"/>
  <c r="AY103" i="21424"/>
  <c r="M103" i="21424"/>
  <c r="C105" i="21423"/>
  <c r="AW103" i="21423"/>
  <c r="AX103" i="21423"/>
  <c r="C107" i="21424"/>
  <c r="AW105" i="21424"/>
  <c r="AX105" i="21424"/>
  <c r="J104" i="21424"/>
  <c r="AZ159" i="108"/>
  <c r="AY160" i="108"/>
  <c r="M160" i="108"/>
  <c r="AZ160" i="108"/>
  <c r="AW162" i="108"/>
  <c r="C164" i="108"/>
  <c r="AX162" i="108"/>
  <c r="J161" i="108"/>
  <c r="AZ163" i="21417"/>
  <c r="M164" i="21417"/>
  <c r="AY164" i="21417"/>
  <c r="AW165" i="21417"/>
  <c r="AX165" i="21417"/>
  <c r="AX166" i="21417"/>
  <c r="C168" i="21417"/>
  <c r="J167" i="21417"/>
  <c r="AW166" i="21417"/>
  <c r="C306" i="21417"/>
  <c r="M330" i="108" l="1"/>
  <c r="AY330" i="108"/>
  <c r="AW331" i="108"/>
  <c r="AX331" i="108"/>
  <c r="AX332" i="108"/>
  <c r="J333" i="108"/>
  <c r="C334" i="108"/>
  <c r="AW332" i="108"/>
  <c r="J188" i="2"/>
  <c r="C190" i="2"/>
  <c r="C192" i="2" s="1"/>
  <c r="AX306" i="21417"/>
  <c r="AW306" i="21417"/>
  <c r="AY304" i="21417"/>
  <c r="M304" i="21417"/>
  <c r="AX107" i="21424"/>
  <c r="AW107" i="21424"/>
  <c r="C109" i="21424"/>
  <c r="AX104" i="21424"/>
  <c r="AW104" i="21424"/>
  <c r="AY103" i="21423"/>
  <c r="M103" i="21423"/>
  <c r="M105" i="21424"/>
  <c r="AY105" i="21424"/>
  <c r="J104" i="21423"/>
  <c r="C107" i="21423"/>
  <c r="AW105" i="21423"/>
  <c r="AX105" i="21423"/>
  <c r="AW161" i="108"/>
  <c r="AX161" i="108"/>
  <c r="M162" i="108"/>
  <c r="AY162" i="108"/>
  <c r="C166" i="108"/>
  <c r="AX164" i="108"/>
  <c r="AW164" i="108"/>
  <c r="I163" i="108"/>
  <c r="AZ165" i="21417"/>
  <c r="AX167" i="21417"/>
  <c r="AW167" i="21417"/>
  <c r="C170" i="21417"/>
  <c r="AX168" i="21417"/>
  <c r="AW168" i="21417"/>
  <c r="AY166" i="21417"/>
  <c r="M166" i="21417"/>
  <c r="C308" i="21417"/>
  <c r="J307" i="21417"/>
  <c r="AZ331" i="108" l="1"/>
  <c r="AW334" i="108"/>
  <c r="AX334" i="108"/>
  <c r="C336" i="108"/>
  <c r="AW333" i="108"/>
  <c r="AX333" i="108"/>
  <c r="AY332" i="108"/>
  <c r="M332" i="108"/>
  <c r="C194" i="2"/>
  <c r="C196" i="2" s="1"/>
  <c r="C198" i="2" s="1"/>
  <c r="J191" i="2"/>
  <c r="AZ167" i="21417"/>
  <c r="AX308" i="21417"/>
  <c r="AW308" i="21417"/>
  <c r="AY306" i="21417"/>
  <c r="M306" i="21417"/>
  <c r="AZ104" i="21424"/>
  <c r="C109" i="21423"/>
  <c r="AW107" i="21423"/>
  <c r="AX107" i="21423"/>
  <c r="C111" i="21424"/>
  <c r="AW109" i="21424"/>
  <c r="AX109" i="21424"/>
  <c r="AX104" i="21423"/>
  <c r="AW104" i="21423"/>
  <c r="AY105" i="21423"/>
  <c r="M105" i="21423"/>
  <c r="AY107" i="21424"/>
  <c r="M107" i="21424"/>
  <c r="AX166" i="108"/>
  <c r="AW166" i="108"/>
  <c r="J167" i="108"/>
  <c r="J166" i="108"/>
  <c r="C168" i="108"/>
  <c r="AY164" i="108"/>
  <c r="M164" i="108"/>
  <c r="AZ161" i="108"/>
  <c r="AY168" i="21417"/>
  <c r="M168" i="21417"/>
  <c r="AW170" i="21417"/>
  <c r="J170" i="21417"/>
  <c r="C172" i="21417"/>
  <c r="AX170" i="21417"/>
  <c r="AX307" i="21417"/>
  <c r="AW307" i="21417"/>
  <c r="C310" i="21417"/>
  <c r="J309" i="21417"/>
  <c r="C338" i="108" l="1"/>
  <c r="AX336" i="108"/>
  <c r="AW336" i="108"/>
  <c r="M334" i="108"/>
  <c r="AY334" i="108"/>
  <c r="AZ333" i="108"/>
  <c r="AC60" i="21419"/>
  <c r="J199" i="2"/>
  <c r="C200" i="2"/>
  <c r="AZ307" i="21417"/>
  <c r="AZ170" i="21417"/>
  <c r="AY308" i="21417"/>
  <c r="M308" i="21417"/>
  <c r="I88" i="21424"/>
  <c r="C113" i="21424"/>
  <c r="AX111" i="21424"/>
  <c r="AW111" i="21424"/>
  <c r="J112" i="21424"/>
  <c r="AZ104" i="21423"/>
  <c r="AY107" i="21423"/>
  <c r="M107" i="21423"/>
  <c r="AY109" i="21424"/>
  <c r="M109" i="21424"/>
  <c r="C111" i="21423"/>
  <c r="AW109" i="21423"/>
  <c r="AX109" i="21423"/>
  <c r="AW167" i="108"/>
  <c r="AX167" i="108"/>
  <c r="AW168" i="108"/>
  <c r="C170" i="108"/>
  <c r="J169" i="108"/>
  <c r="AX168" i="108"/>
  <c r="AZ166" i="108"/>
  <c r="M166" i="108"/>
  <c r="AY166" i="108"/>
  <c r="M170" i="21417"/>
  <c r="AY170" i="21417"/>
  <c r="AX172" i="21417"/>
  <c r="C174" i="21417"/>
  <c r="AW172" i="21417"/>
  <c r="AX310" i="21417"/>
  <c r="AW310" i="21417"/>
  <c r="C312" i="21417"/>
  <c r="J312" i="21417" s="1"/>
  <c r="AX309" i="21417"/>
  <c r="AW309" i="21417"/>
  <c r="M336" i="108" l="1"/>
  <c r="AY336" i="108"/>
  <c r="C340" i="108"/>
  <c r="J337" i="108"/>
  <c r="AW338" i="108"/>
  <c r="AX338" i="108"/>
  <c r="C202" i="2"/>
  <c r="J200" i="2"/>
  <c r="AZ309" i="21417"/>
  <c r="C176" i="21417"/>
  <c r="J175" i="21417" s="1"/>
  <c r="AX174" i="21417"/>
  <c r="AW174" i="21417"/>
  <c r="AZ167" i="108"/>
  <c r="C113" i="21423"/>
  <c r="J112" i="21423"/>
  <c r="AW111" i="21423"/>
  <c r="I88" i="21423"/>
  <c r="AX111" i="21423"/>
  <c r="AY111" i="21424"/>
  <c r="M111" i="21424"/>
  <c r="C115" i="21424"/>
  <c r="AW113" i="21424"/>
  <c r="AX113" i="21424"/>
  <c r="AY109" i="21423"/>
  <c r="M109" i="21423"/>
  <c r="AX112" i="21424"/>
  <c r="AW112" i="21424"/>
  <c r="M168" i="108"/>
  <c r="AY168" i="108"/>
  <c r="AW170" i="108"/>
  <c r="J171" i="108"/>
  <c r="C172" i="108"/>
  <c r="AX170" i="108"/>
  <c r="AX169" i="108"/>
  <c r="AW169" i="108"/>
  <c r="M172" i="21417"/>
  <c r="AY172" i="21417"/>
  <c r="C314" i="21417"/>
  <c r="AX312" i="21417"/>
  <c r="AW312" i="21417"/>
  <c r="M310" i="21417"/>
  <c r="AY310" i="21417"/>
  <c r="M338" i="108" l="1"/>
  <c r="AY338" i="108"/>
  <c r="AW337" i="108"/>
  <c r="AX337" i="108"/>
  <c r="AZ337" i="108" s="1"/>
  <c r="AW340" i="108"/>
  <c r="C342" i="108"/>
  <c r="AX340" i="108"/>
  <c r="AC56" i="21419"/>
  <c r="AC52" i="21419"/>
  <c r="AC51" i="21399"/>
  <c r="AC46" i="21418" s="1"/>
  <c r="AC50" i="21419"/>
  <c r="C204" i="2"/>
  <c r="J203" i="2"/>
  <c r="C178" i="21417"/>
  <c r="AW178" i="21417" s="1"/>
  <c r="AZ312" i="21417"/>
  <c r="AY174" i="21417"/>
  <c r="M174" i="21417"/>
  <c r="AX176" i="21417"/>
  <c r="AW176" i="21417"/>
  <c r="M113" i="21424"/>
  <c r="AY113" i="21424"/>
  <c r="AX112" i="21423"/>
  <c r="AW112" i="21423"/>
  <c r="AZ169" i="108"/>
  <c r="AZ112" i="21424"/>
  <c r="AY111" i="21423"/>
  <c r="M111" i="21423"/>
  <c r="C115" i="21423"/>
  <c r="J114" i="21423" s="1"/>
  <c r="AW113" i="21423"/>
  <c r="AX113" i="21423"/>
  <c r="AX115" i="21424"/>
  <c r="AW115" i="21424"/>
  <c r="C117" i="21424"/>
  <c r="AX171" i="108"/>
  <c r="AW171" i="108"/>
  <c r="M170" i="108"/>
  <c r="AY170" i="108"/>
  <c r="AX172" i="108"/>
  <c r="C174" i="108"/>
  <c r="AW172" i="108"/>
  <c r="AW175" i="21417"/>
  <c r="AX175" i="21417"/>
  <c r="C316" i="21417"/>
  <c r="AW314" i="21417"/>
  <c r="J313" i="21417"/>
  <c r="AX314" i="21417"/>
  <c r="M312" i="21417"/>
  <c r="AY312" i="21417"/>
  <c r="M340" i="108" l="1"/>
  <c r="AY340" i="108"/>
  <c r="AW342" i="108"/>
  <c r="AW5" i="21399" s="1"/>
  <c r="J341" i="108"/>
  <c r="AX342" i="108"/>
  <c r="C5" i="21399"/>
  <c r="C344" i="108"/>
  <c r="C206" i="2"/>
  <c r="J205" i="2"/>
  <c r="J179" i="21417"/>
  <c r="AX179" i="21417" s="1"/>
  <c r="C180" i="21417"/>
  <c r="J181" i="21417" s="1"/>
  <c r="AX178" i="21417"/>
  <c r="AY178" i="21417" s="1"/>
  <c r="AZ175" i="21417"/>
  <c r="AW114" i="21423"/>
  <c r="AX114" i="21423"/>
  <c r="AY176" i="21417"/>
  <c r="M176" i="21417"/>
  <c r="AY115" i="21424"/>
  <c r="M115" i="21424"/>
  <c r="AY113" i="21423"/>
  <c r="M113" i="21423"/>
  <c r="AZ112" i="21423"/>
  <c r="C119" i="21424"/>
  <c r="AW117" i="21424"/>
  <c r="AX117" i="21424"/>
  <c r="M117" i="21424" s="1"/>
  <c r="C117" i="21423"/>
  <c r="AW115" i="21423"/>
  <c r="AX115" i="21423"/>
  <c r="AX174" i="108"/>
  <c r="M174" i="108" s="1"/>
  <c r="C176" i="108"/>
  <c r="J176" i="108" s="1"/>
  <c r="AW174" i="108"/>
  <c r="AY172" i="108"/>
  <c r="M172" i="108"/>
  <c r="AZ171" i="108"/>
  <c r="M314" i="21417"/>
  <c r="AY314" i="21417"/>
  <c r="AW313" i="21417"/>
  <c r="AX313" i="21417"/>
  <c r="C318" i="21417"/>
  <c r="AW316" i="21417"/>
  <c r="AX316" i="21417"/>
  <c r="C7" i="21399" l="1"/>
  <c r="AW344" i="108"/>
  <c r="AW7" i="21399" s="1"/>
  <c r="J345" i="108"/>
  <c r="C346" i="108"/>
  <c r="J343" i="108"/>
  <c r="AX344" i="108"/>
  <c r="J4" i="21399"/>
  <c r="AW341" i="108"/>
  <c r="AX341" i="108"/>
  <c r="AX5" i="21399"/>
  <c r="M342" i="108"/>
  <c r="M5" i="21399" s="1"/>
  <c r="AY342" i="108"/>
  <c r="AY5" i="21399" s="1"/>
  <c r="AC53" i="21399"/>
  <c r="AC59" i="21399"/>
  <c r="C208" i="2"/>
  <c r="C210" i="2" s="1"/>
  <c r="C212" i="2" s="1"/>
  <c r="J206" i="2"/>
  <c r="AW179" i="21417"/>
  <c r="AZ179" i="21417" s="1"/>
  <c r="AW180" i="21417"/>
  <c r="AX180" i="21417"/>
  <c r="M180" i="21417" s="1"/>
  <c r="C182" i="21417"/>
  <c r="J180" i="21417"/>
  <c r="M178" i="21417"/>
  <c r="AZ114" i="21423"/>
  <c r="AW181" i="21417"/>
  <c r="AX181" i="21417"/>
  <c r="AY117" i="21424"/>
  <c r="AY115" i="21423"/>
  <c r="M115" i="21423"/>
  <c r="C121" i="21424"/>
  <c r="AX119" i="21424"/>
  <c r="AW119" i="21424"/>
  <c r="C119" i="21423"/>
  <c r="AW117" i="21423"/>
  <c r="AX117" i="21423"/>
  <c r="AY174" i="108"/>
  <c r="J175" i="108"/>
  <c r="AX176" i="108"/>
  <c r="C178" i="108"/>
  <c r="AW176" i="108"/>
  <c r="AZ313" i="21417"/>
  <c r="AX318" i="21417"/>
  <c r="C320" i="21417"/>
  <c r="AW318" i="21417"/>
  <c r="M316" i="21417"/>
  <c r="AY316" i="21417"/>
  <c r="AX345" i="108" l="1"/>
  <c r="AW345" i="108"/>
  <c r="M344" i="108"/>
  <c r="M7" i="21399" s="1"/>
  <c r="AY344" i="108"/>
  <c r="AY7" i="21399" s="1"/>
  <c r="AX7" i="21399"/>
  <c r="AZ341" i="108"/>
  <c r="AX343" i="108"/>
  <c r="J6" i="21399"/>
  <c r="AW343" i="108"/>
  <c r="AW6" i="21399" s="1"/>
  <c r="C9" i="21399"/>
  <c r="J8" i="21399"/>
  <c r="AC61" i="21399"/>
  <c r="AC58" i="21419"/>
  <c r="J213" i="2"/>
  <c r="C214" i="2"/>
  <c r="C216" i="2" s="1"/>
  <c r="AZ180" i="21417"/>
  <c r="AY180" i="21417"/>
  <c r="J183" i="21417"/>
  <c r="C184" i="21417"/>
  <c r="AW182" i="21417"/>
  <c r="AX182" i="21417"/>
  <c r="M176" i="108"/>
  <c r="AZ176" i="108"/>
  <c r="AZ181" i="21417"/>
  <c r="C121" i="21423"/>
  <c r="AW119" i="21423"/>
  <c r="AX119" i="21423"/>
  <c r="AY117" i="21423"/>
  <c r="M117" i="21423"/>
  <c r="AY119" i="21424"/>
  <c r="M119" i="21424"/>
  <c r="AW121" i="21424"/>
  <c r="C123" i="21424"/>
  <c r="AX121" i="21424"/>
  <c r="J120" i="21424"/>
  <c r="AW178" i="108"/>
  <c r="AX178" i="108"/>
  <c r="C180" i="108"/>
  <c r="C182" i="108" s="1"/>
  <c r="C184" i="108" s="1"/>
  <c r="C186" i="108" s="1"/>
  <c r="C188" i="108" s="1"/>
  <c r="J177" i="108"/>
  <c r="AY176" i="108"/>
  <c r="AX175" i="108"/>
  <c r="AW175" i="108"/>
  <c r="AX320" i="21417"/>
  <c r="C322" i="21417"/>
  <c r="J319" i="21417"/>
  <c r="AW320" i="21417"/>
  <c r="M318" i="21417"/>
  <c r="AY318" i="21417"/>
  <c r="AX6" i="21399" l="1"/>
  <c r="AZ343" i="108"/>
  <c r="AZ6" i="21399" s="1"/>
  <c r="AW9" i="21399"/>
  <c r="C348" i="108"/>
  <c r="C11" i="21399"/>
  <c r="AZ345" i="108"/>
  <c r="J215" i="2"/>
  <c r="C218" i="2"/>
  <c r="C220" i="2" s="1"/>
  <c r="AY182" i="21417"/>
  <c r="M182" i="21417"/>
  <c r="AW184" i="21417"/>
  <c r="AX184" i="21417"/>
  <c r="C186" i="21417"/>
  <c r="AW183" i="21417"/>
  <c r="AX183" i="21417"/>
  <c r="AX322" i="21417"/>
  <c r="AW322" i="21417"/>
  <c r="AX120" i="21424"/>
  <c r="AW120" i="21424"/>
  <c r="AY119" i="21423"/>
  <c r="M119" i="21423"/>
  <c r="M121" i="21424"/>
  <c r="AY121" i="21424"/>
  <c r="C125" i="21424"/>
  <c r="AW123" i="21424"/>
  <c r="I122" i="21424"/>
  <c r="AX123" i="21424"/>
  <c r="F123" i="21424"/>
  <c r="J120" i="21423"/>
  <c r="AW121" i="21423"/>
  <c r="C123" i="21423"/>
  <c r="AX121" i="21423"/>
  <c r="AW177" i="108"/>
  <c r="AX177" i="108"/>
  <c r="AZ175" i="108"/>
  <c r="AX188" i="108"/>
  <c r="AW188" i="108"/>
  <c r="I165" i="108"/>
  <c r="C190" i="108"/>
  <c r="J189" i="108"/>
  <c r="M178" i="108"/>
  <c r="AY178" i="108"/>
  <c r="C324" i="21417"/>
  <c r="J321" i="21417"/>
  <c r="AX319" i="21417"/>
  <c r="AW319" i="21417"/>
  <c r="AY320" i="21417"/>
  <c r="M320" i="21417"/>
  <c r="AW348" i="108" l="1"/>
  <c r="AY9" i="21399"/>
  <c r="AY348" i="108" s="1"/>
  <c r="AW11" i="21399"/>
  <c r="J12" i="21399"/>
  <c r="AW12" i="21399" s="1"/>
  <c r="AZ12" i="21399" s="1"/>
  <c r="C17" i="21399"/>
  <c r="C13" i="21399"/>
  <c r="C350" i="108"/>
  <c r="C222" i="2"/>
  <c r="J221" i="2"/>
  <c r="AX220" i="2"/>
  <c r="AW220" i="2"/>
  <c r="AZ183" i="21417"/>
  <c r="AW186" i="21417"/>
  <c r="C188" i="21417"/>
  <c r="AX186" i="21417"/>
  <c r="M184" i="21417"/>
  <c r="AY184" i="21417"/>
  <c r="AZ120" i="21424"/>
  <c r="AX324" i="21417"/>
  <c r="AW324" i="21417"/>
  <c r="AY322" i="21417"/>
  <c r="M322" i="21417"/>
  <c r="AY121" i="21423"/>
  <c r="M121" i="21423"/>
  <c r="C4" i="21428"/>
  <c r="C6" i="21428" s="1"/>
  <c r="AX125" i="21424"/>
  <c r="AW125" i="21424"/>
  <c r="AW4" i="21428" s="1"/>
  <c r="J126" i="21424"/>
  <c r="AX123" i="21423"/>
  <c r="I122" i="21423"/>
  <c r="H241" i="21408" s="1"/>
  <c r="AW123" i="21423"/>
  <c r="C125" i="21423"/>
  <c r="M123" i="21424"/>
  <c r="AY123" i="21424"/>
  <c r="AZ177" i="108"/>
  <c r="AX120" i="21423"/>
  <c r="AW120" i="21423"/>
  <c r="AX189" i="108"/>
  <c r="AW189" i="108"/>
  <c r="AY188" i="108"/>
  <c r="C192" i="108"/>
  <c r="AX190" i="108"/>
  <c r="J191" i="108"/>
  <c r="AW190" i="108"/>
  <c r="U241" i="21408"/>
  <c r="AZ319" i="21417"/>
  <c r="AW321" i="21417"/>
  <c r="AX321" i="21417"/>
  <c r="C326" i="21417"/>
  <c r="AW350" i="108" l="1"/>
  <c r="AY11" i="21399"/>
  <c r="AY350" i="108" s="1"/>
  <c r="C15" i="21399"/>
  <c r="AW13" i="21399"/>
  <c r="AY13" i="21399" s="1"/>
  <c r="AW17" i="21399"/>
  <c r="AY17" i="21399" s="1"/>
  <c r="C19" i="21399"/>
  <c r="I241" i="21408"/>
  <c r="AY220" i="2"/>
  <c r="M220" i="2"/>
  <c r="AX221" i="2"/>
  <c r="AW221" i="2"/>
  <c r="AX222" i="2"/>
  <c r="AW222" i="2"/>
  <c r="C224" i="2"/>
  <c r="C226" i="2" s="1"/>
  <c r="C228" i="2" s="1"/>
  <c r="C230" i="2" s="1"/>
  <c r="AY186" i="21417"/>
  <c r="M186" i="21417"/>
  <c r="AZ321" i="21417"/>
  <c r="J187" i="21417"/>
  <c r="C190" i="21417"/>
  <c r="AX188" i="21417"/>
  <c r="AW188" i="21417"/>
  <c r="AX326" i="21417"/>
  <c r="AW326" i="21417"/>
  <c r="AY324" i="21417"/>
  <c r="M324" i="21417"/>
  <c r="AZ120" i="21423"/>
  <c r="M123" i="21423"/>
  <c r="AY123" i="21423"/>
  <c r="AX4" i="21428"/>
  <c r="AY125" i="21424"/>
  <c r="AY4" i="21428" s="1"/>
  <c r="M125" i="21424"/>
  <c r="M4" i="21428" s="1"/>
  <c r="C4" i="21430"/>
  <c r="C6" i="21430" s="1"/>
  <c r="AX125" i="21423"/>
  <c r="AW125" i="21423"/>
  <c r="AW4" i="21430" s="1"/>
  <c r="J126" i="21423"/>
  <c r="J7" i="21428"/>
  <c r="C127" i="21424"/>
  <c r="C8" i="21428"/>
  <c r="C129" i="21424" s="1"/>
  <c r="AX6" i="21428"/>
  <c r="AW6" i="21428"/>
  <c r="AW127" i="21424" s="1"/>
  <c r="J5" i="21428"/>
  <c r="AX126" i="21424"/>
  <c r="AW126" i="21424"/>
  <c r="AW5" i="21428" s="1"/>
  <c r="AX191" i="108"/>
  <c r="AW191" i="108"/>
  <c r="M190" i="108"/>
  <c r="AY190" i="108"/>
  <c r="C194" i="108"/>
  <c r="AW192" i="108"/>
  <c r="J192" i="108"/>
  <c r="AX192" i="108"/>
  <c r="J327" i="21417"/>
  <c r="C328" i="21417"/>
  <c r="AW19" i="21399" l="1"/>
  <c r="AY19" i="21399" s="1"/>
  <c r="J20" i="21399"/>
  <c r="AW20" i="21399" s="1"/>
  <c r="AZ20" i="21399" s="1"/>
  <c r="C21" i="21399"/>
  <c r="AX230" i="2"/>
  <c r="C232" i="2"/>
  <c r="C234" i="2" s="1"/>
  <c r="AW230" i="2"/>
  <c r="AZ221" i="2"/>
  <c r="M222" i="2"/>
  <c r="AY222" i="2"/>
  <c r="AW187" i="21417"/>
  <c r="AX187" i="21417"/>
  <c r="C192" i="21417"/>
  <c r="AX190" i="21417"/>
  <c r="AW190" i="21417"/>
  <c r="M188" i="21417"/>
  <c r="AY188" i="21417"/>
  <c r="AX328" i="21417"/>
  <c r="AW328" i="21417"/>
  <c r="AY326" i="21417"/>
  <c r="AX5" i="21428"/>
  <c r="AZ126" i="21424"/>
  <c r="AZ5" i="21428" s="1"/>
  <c r="AW7" i="21428"/>
  <c r="AW128" i="21424" s="1"/>
  <c r="AX7" i="21428"/>
  <c r="AX128" i="21424" s="1"/>
  <c r="AW6" i="21430"/>
  <c r="AW127" i="21423" s="1"/>
  <c r="AX6" i="21430"/>
  <c r="AX127" i="21423" s="1"/>
  <c r="C127" i="21423"/>
  <c r="C8" i="21430"/>
  <c r="C129" i="21423" s="1"/>
  <c r="M6" i="21428"/>
  <c r="AY6" i="21428"/>
  <c r="AY127" i="21424" s="1"/>
  <c r="AX127" i="21424"/>
  <c r="J5" i="21430"/>
  <c r="AW126" i="21423"/>
  <c r="AW5" i="21430" s="1"/>
  <c r="AX126" i="21423"/>
  <c r="AW8" i="21428"/>
  <c r="AW129" i="21424" s="1"/>
  <c r="F8" i="21428"/>
  <c r="F129" i="21424" s="1"/>
  <c r="C10" i="21428"/>
  <c r="C131" i="21424" s="1"/>
  <c r="AX8" i="21428"/>
  <c r="AX129" i="21424" s="1"/>
  <c r="AX4" i="21430"/>
  <c r="M125" i="21423"/>
  <c r="M4" i="21430" s="1"/>
  <c r="AY125" i="21423"/>
  <c r="AY4" i="21430" s="1"/>
  <c r="AZ191" i="108"/>
  <c r="AY192" i="108"/>
  <c r="AZ192" i="108"/>
  <c r="M192" i="108"/>
  <c r="AX194" i="108"/>
  <c r="AW194" i="108"/>
  <c r="C196" i="108"/>
  <c r="J329" i="21417"/>
  <c r="C330" i="21417"/>
  <c r="AW327" i="21417"/>
  <c r="AX327" i="21417"/>
  <c r="AW21" i="21399" l="1"/>
  <c r="AY21" i="21399" s="1"/>
  <c r="C23" i="21399"/>
  <c r="AW234" i="2"/>
  <c r="AX234" i="2"/>
  <c r="M230" i="2"/>
  <c r="AY230" i="2"/>
  <c r="AZ327" i="21417"/>
  <c r="M190" i="21417"/>
  <c r="AY190" i="21417"/>
  <c r="AW192" i="21417"/>
  <c r="C194" i="21417"/>
  <c r="AX192" i="21417"/>
  <c r="AZ187" i="21417"/>
  <c r="AY328" i="21417"/>
  <c r="AX5" i="21430"/>
  <c r="AZ126" i="21423"/>
  <c r="AZ5" i="21430" s="1"/>
  <c r="M8" i="21428"/>
  <c r="M129" i="21424" s="1"/>
  <c r="AY8" i="21428"/>
  <c r="AY129" i="21424" s="1"/>
  <c r="M127" i="21424"/>
  <c r="AY6" i="21430"/>
  <c r="AY127" i="21423" s="1"/>
  <c r="M6" i="21430"/>
  <c r="AW10" i="21428"/>
  <c r="AW131" i="21424" s="1"/>
  <c r="AX10" i="21428"/>
  <c r="AX131" i="21424" s="1"/>
  <c r="C12" i="21428"/>
  <c r="AW8" i="21430"/>
  <c r="AW129" i="21423" s="1"/>
  <c r="C10" i="21430"/>
  <c r="C131" i="21423" s="1"/>
  <c r="AX8" i="21430"/>
  <c r="AX129" i="21423" s="1"/>
  <c r="AZ7" i="21428"/>
  <c r="M194" i="108"/>
  <c r="AY194" i="108"/>
  <c r="AX196" i="108"/>
  <c r="AW196" i="108"/>
  <c r="C198" i="108"/>
  <c r="AX330" i="21417"/>
  <c r="C332" i="21417"/>
  <c r="AW330" i="21417"/>
  <c r="AX329" i="21417"/>
  <c r="AW329" i="21417"/>
  <c r="AW23" i="21399" l="1"/>
  <c r="AY23" i="21399" s="1"/>
  <c r="C25" i="21399"/>
  <c r="C14" i="21428"/>
  <c r="C133" i="21424"/>
  <c r="AY234" i="2"/>
  <c r="M234" i="2"/>
  <c r="AX194" i="21417"/>
  <c r="C196" i="21417"/>
  <c r="AW194" i="21417"/>
  <c r="J193" i="21417"/>
  <c r="AY192" i="21417"/>
  <c r="M192" i="21417"/>
  <c r="AZ329" i="21417"/>
  <c r="AY330" i="21417"/>
  <c r="AX332" i="21417"/>
  <c r="AW332" i="21417"/>
  <c r="AY8" i="21430"/>
  <c r="AY129" i="21423" s="1"/>
  <c r="M8" i="21430"/>
  <c r="M129" i="21423" s="1"/>
  <c r="AY10" i="21428"/>
  <c r="AY131" i="21424" s="1"/>
  <c r="M10" i="21428"/>
  <c r="M131" i="21424" s="1"/>
  <c r="AX10" i="21430"/>
  <c r="AX131" i="21423" s="1"/>
  <c r="C12" i="21430"/>
  <c r="C133" i="21423" s="1"/>
  <c r="AW10" i="21430"/>
  <c r="AW131" i="21423" s="1"/>
  <c r="M127" i="21423"/>
  <c r="M196" i="108"/>
  <c r="AY196" i="108"/>
  <c r="AW198" i="108"/>
  <c r="AX198" i="108"/>
  <c r="C200" i="108"/>
  <c r="C334" i="21417"/>
  <c r="C27" i="21399" l="1"/>
  <c r="AW25" i="21399"/>
  <c r="AY25" i="21399" s="1"/>
  <c r="C16" i="21428"/>
  <c r="C135" i="21424"/>
  <c r="AW196" i="21417"/>
  <c r="AX196" i="21417"/>
  <c r="I195" i="21417"/>
  <c r="C198" i="21417"/>
  <c r="I197" i="21417"/>
  <c r="AX193" i="21417"/>
  <c r="AW193" i="21417"/>
  <c r="M194" i="21417"/>
  <c r="AY194" i="21417"/>
  <c r="AY332" i="21417"/>
  <c r="M332" i="21417"/>
  <c r="AX12" i="21430"/>
  <c r="AX133" i="21423" s="1"/>
  <c r="AW12" i="21430"/>
  <c r="AW133" i="21423" s="1"/>
  <c r="C14" i="21430"/>
  <c r="C135" i="21423" s="1"/>
  <c r="J11" i="21430"/>
  <c r="M10" i="21430"/>
  <c r="M131" i="21423" s="1"/>
  <c r="AY10" i="21430"/>
  <c r="AY131" i="21423" s="1"/>
  <c r="AX200" i="108"/>
  <c r="C202" i="108"/>
  <c r="AW200" i="108"/>
  <c r="M198" i="108"/>
  <c r="AY198" i="108"/>
  <c r="AX334" i="21417"/>
  <c r="C336" i="21417"/>
  <c r="J333" i="21417"/>
  <c r="AW334" i="21417"/>
  <c r="AW27" i="21399" l="1"/>
  <c r="AY27" i="21399" s="1"/>
  <c r="C29" i="21399"/>
  <c r="C31" i="21399" s="1"/>
  <c r="C18" i="21428"/>
  <c r="C137" i="21424"/>
  <c r="R241" i="21408"/>
  <c r="C200" i="21417"/>
  <c r="AX198" i="21417"/>
  <c r="J199" i="21417"/>
  <c r="AW198" i="21417"/>
  <c r="AZ193" i="21417"/>
  <c r="AY196" i="21417"/>
  <c r="M196" i="21417"/>
  <c r="AW333" i="21417"/>
  <c r="AX333" i="21417"/>
  <c r="C16" i="21430"/>
  <c r="C137" i="21423" s="1"/>
  <c r="AX14" i="21430"/>
  <c r="AX135" i="21423" s="1"/>
  <c r="AW14" i="21430"/>
  <c r="AW135" i="21423" s="1"/>
  <c r="M12" i="21430"/>
  <c r="M133" i="21423" s="1"/>
  <c r="AY12" i="21430"/>
  <c r="AY133" i="21423" s="1"/>
  <c r="AX11" i="21430"/>
  <c r="AX132" i="21423" s="1"/>
  <c r="AW11" i="21430"/>
  <c r="AW132" i="21423" s="1"/>
  <c r="AX202" i="108"/>
  <c r="C204" i="108"/>
  <c r="AW202" i="108"/>
  <c r="M200" i="108"/>
  <c r="AY200" i="108"/>
  <c r="C338" i="21417"/>
  <c r="C5" i="21422" s="1"/>
  <c r="AX336" i="21417"/>
  <c r="J336" i="21417"/>
  <c r="AW336" i="21417"/>
  <c r="AY334" i="21417"/>
  <c r="M334" i="21417"/>
  <c r="J30" i="21399" l="1"/>
  <c r="AW30" i="21399" s="1"/>
  <c r="AZ30" i="21399" s="1"/>
  <c r="C33" i="21399"/>
  <c r="AW31" i="21399"/>
  <c r="AY31" i="21399" s="1"/>
  <c r="C139" i="21424"/>
  <c r="C20" i="21428"/>
  <c r="AW18" i="21428"/>
  <c r="AW139" i="21424" s="1"/>
  <c r="AX18" i="21428"/>
  <c r="J17" i="21428"/>
  <c r="AW199" i="21417"/>
  <c r="AX199" i="21417"/>
  <c r="M198" i="21417"/>
  <c r="AY198" i="21417"/>
  <c r="AZ333" i="21417"/>
  <c r="C202" i="21417"/>
  <c r="AW200" i="21417"/>
  <c r="AX200" i="21417"/>
  <c r="AZ11" i="21430"/>
  <c r="AZ132" i="21423" s="1"/>
  <c r="AX16" i="21430"/>
  <c r="AX137" i="21423" s="1"/>
  <c r="AW16" i="21430"/>
  <c r="AW137" i="21423" s="1"/>
  <c r="C18" i="21430"/>
  <c r="C139" i="21423" s="1"/>
  <c r="M14" i="21430"/>
  <c r="M135" i="21423" s="1"/>
  <c r="AY14" i="21430"/>
  <c r="AY135" i="21423" s="1"/>
  <c r="J203" i="108"/>
  <c r="AX204" i="108"/>
  <c r="AW204" i="108"/>
  <c r="M202" i="108"/>
  <c r="AY202" i="108"/>
  <c r="AZ336" i="21417"/>
  <c r="AY336" i="21417"/>
  <c r="M336" i="21417"/>
  <c r="C340" i="21417"/>
  <c r="C7" i="21422" s="1"/>
  <c r="J337" i="21417"/>
  <c r="J4" i="21422" s="1"/>
  <c r="AX338" i="21417"/>
  <c r="AX5" i="21422" s="1"/>
  <c r="AW338" i="21417"/>
  <c r="AW5" i="21422" s="1"/>
  <c r="AW33" i="21399" l="1"/>
  <c r="AY33" i="21399" s="1"/>
  <c r="C35" i="21399"/>
  <c r="AX139" i="21424"/>
  <c r="M18" i="21428"/>
  <c r="M139" i="21424" s="1"/>
  <c r="AY18" i="21428"/>
  <c r="AY139" i="21424" s="1"/>
  <c r="C141" i="21424"/>
  <c r="AW20" i="21428"/>
  <c r="AW141" i="21424" s="1"/>
  <c r="C22" i="21428"/>
  <c r="AX20" i="21428"/>
  <c r="AW17" i="21428"/>
  <c r="AW138" i="21424" s="1"/>
  <c r="AX17" i="21428"/>
  <c r="AZ199" i="21417"/>
  <c r="AX202" i="21417"/>
  <c r="AW202" i="21417"/>
  <c r="C204" i="21417"/>
  <c r="J203" i="21417"/>
  <c r="M200" i="21417"/>
  <c r="AY200" i="21417"/>
  <c r="J17" i="21430"/>
  <c r="AW18" i="21430"/>
  <c r="AW139" i="21423" s="1"/>
  <c r="C20" i="21430"/>
  <c r="C141" i="21423" s="1"/>
  <c r="AX18" i="21430"/>
  <c r="AX139" i="21423" s="1"/>
  <c r="M16" i="21430"/>
  <c r="M137" i="21423" s="1"/>
  <c r="AY16" i="21430"/>
  <c r="AY137" i="21423" s="1"/>
  <c r="M204" i="108"/>
  <c r="AY204" i="108"/>
  <c r="AW203" i="108"/>
  <c r="AX203" i="108"/>
  <c r="J339" i="21417"/>
  <c r="J6" i="21422" s="1"/>
  <c r="AW340" i="21417"/>
  <c r="AW7" i="21422" s="1"/>
  <c r="AX340" i="21417"/>
  <c r="AX7" i="21422" s="1"/>
  <c r="J341" i="21417"/>
  <c r="J8" i="21422" s="1"/>
  <c r="J4" i="21421" s="1"/>
  <c r="AY338" i="21417"/>
  <c r="AY5" i="21422" s="1"/>
  <c r="M338" i="21417"/>
  <c r="M5" i="21422" s="1"/>
  <c r="AX337" i="21417"/>
  <c r="AX4" i="21422" s="1"/>
  <c r="AW337" i="21417"/>
  <c r="AW4" i="21422" s="1"/>
  <c r="C37" i="21399" l="1"/>
  <c r="C39" i="21399" s="1"/>
  <c r="C41" i="21399" s="1"/>
  <c r="C43" i="21399" s="1"/>
  <c r="C45" i="21399" s="1"/>
  <c r="C47" i="21399" s="1"/>
  <c r="J36" i="21399"/>
  <c r="AX141" i="21424"/>
  <c r="AY20" i="21428"/>
  <c r="AY141" i="21424" s="1"/>
  <c r="M20" i="21428"/>
  <c r="M141" i="21424" s="1"/>
  <c r="C143" i="21424"/>
  <c r="AX22" i="21428"/>
  <c r="C24" i="21428"/>
  <c r="J23" i="21428"/>
  <c r="AW22" i="21428"/>
  <c r="AW143" i="21424" s="1"/>
  <c r="AX138" i="21424"/>
  <c r="AZ17" i="21428"/>
  <c r="AZ203" i="108"/>
  <c r="AX203" i="21417"/>
  <c r="AW203" i="21417"/>
  <c r="C206" i="21417"/>
  <c r="AW204" i="21417"/>
  <c r="AX204" i="21417"/>
  <c r="AY202" i="21417"/>
  <c r="M202" i="21417"/>
  <c r="M18" i="21430"/>
  <c r="M139" i="21423" s="1"/>
  <c r="AY18" i="21430"/>
  <c r="AY139" i="21423" s="1"/>
  <c r="AW17" i="21430"/>
  <c r="AW138" i="21423" s="1"/>
  <c r="AX17" i="21430"/>
  <c r="AX138" i="21423" s="1"/>
  <c r="AW20" i="21430"/>
  <c r="AW141" i="21423" s="1"/>
  <c r="C22" i="21430"/>
  <c r="J21" i="21430"/>
  <c r="AX20" i="21430"/>
  <c r="AX141" i="21423" s="1"/>
  <c r="AY340" i="21417"/>
  <c r="AY7" i="21422" s="1"/>
  <c r="M340" i="21417"/>
  <c r="M7" i="21422" s="1"/>
  <c r="AZ337" i="21417"/>
  <c r="AZ4" i="21422" s="1"/>
  <c r="C9" i="21422"/>
  <c r="AW341" i="21417"/>
  <c r="AW8" i="21422" s="1"/>
  <c r="AW4" i="21421" s="1"/>
  <c r="AX341" i="21417"/>
  <c r="AX8" i="21422" s="1"/>
  <c r="AX4" i="21421" s="1"/>
  <c r="AW339" i="21417"/>
  <c r="AW6" i="21422" s="1"/>
  <c r="AX339" i="21417"/>
  <c r="AX6" i="21422" s="1"/>
  <c r="C49" i="21399" l="1"/>
  <c r="C42" i="21418"/>
  <c r="C342" i="21417"/>
  <c r="C5" i="21421"/>
  <c r="AX23" i="21428"/>
  <c r="AW23" i="21428"/>
  <c r="J24" i="21428"/>
  <c r="C26" i="21428"/>
  <c r="AX24" i="21428"/>
  <c r="AW24" i="21428"/>
  <c r="AX143" i="21424"/>
  <c r="M22" i="21428"/>
  <c r="M143" i="21424" s="1"/>
  <c r="AY22" i="21428"/>
  <c r="AY143" i="21424" s="1"/>
  <c r="AZ203" i="21417"/>
  <c r="AW206" i="21417"/>
  <c r="AX206" i="21417"/>
  <c r="AY204" i="21417"/>
  <c r="M204" i="21417"/>
  <c r="J22" i="21430"/>
  <c r="C24" i="21430"/>
  <c r="AX22" i="21430"/>
  <c r="AW22" i="21430"/>
  <c r="AZ17" i="21430"/>
  <c r="AZ138" i="21423" s="1"/>
  <c r="AY20" i="21430"/>
  <c r="AY141" i="21423" s="1"/>
  <c r="M20" i="21430"/>
  <c r="M141" i="21423" s="1"/>
  <c r="AX21" i="21430"/>
  <c r="AW21" i="21430"/>
  <c r="AZ339" i="21417"/>
  <c r="AZ6" i="21422" s="1"/>
  <c r="AZ341" i="21417"/>
  <c r="AZ8" i="21422" s="1"/>
  <c r="AZ4" i="21421" s="1"/>
  <c r="J9" i="21422"/>
  <c r="C11" i="21422"/>
  <c r="AW9" i="21422"/>
  <c r="J50" i="21399" l="1"/>
  <c r="C4" i="3"/>
  <c r="C6" i="3" s="1"/>
  <c r="C44" i="21418"/>
  <c r="J48" i="21399"/>
  <c r="J43" i="21418" s="1"/>
  <c r="C344" i="21417"/>
  <c r="C7" i="21421"/>
  <c r="J342" i="21417"/>
  <c r="J5" i="21421"/>
  <c r="AW342" i="21417"/>
  <c r="AW5" i="21421"/>
  <c r="AX26" i="21428"/>
  <c r="AW26" i="21428"/>
  <c r="J25" i="21428"/>
  <c r="C28" i="21428"/>
  <c r="M24" i="21428"/>
  <c r="AY24" i="21428"/>
  <c r="AZ23" i="21428"/>
  <c r="AY206" i="21417"/>
  <c r="M206" i="21417"/>
  <c r="AZ21" i="21430"/>
  <c r="AZ22" i="21430"/>
  <c r="M22" i="21430"/>
  <c r="AY22" i="21430"/>
  <c r="C26" i="21430"/>
  <c r="AX24" i="21430"/>
  <c r="AW24" i="21430"/>
  <c r="AW11" i="21422"/>
  <c r="J12" i="21422"/>
  <c r="C13" i="21422"/>
  <c r="C9" i="21421" s="1"/>
  <c r="AZ9" i="21422"/>
  <c r="AY9" i="21422"/>
  <c r="C51" i="21399" l="1"/>
  <c r="C46" i="21418" s="1"/>
  <c r="J6" i="3"/>
  <c r="J51" i="21399" s="1"/>
  <c r="J46" i="21418" s="1"/>
  <c r="C8" i="3"/>
  <c r="J5" i="3"/>
  <c r="J45" i="21418"/>
  <c r="J345" i="21417"/>
  <c r="J8" i="21421"/>
  <c r="AY342" i="21417"/>
  <c r="AY5" i="21421"/>
  <c r="AW344" i="21417"/>
  <c r="AW7" i="21421"/>
  <c r="AZ342" i="21417"/>
  <c r="AZ5" i="21421"/>
  <c r="AX28" i="21428"/>
  <c r="J27" i="21428"/>
  <c r="AW28" i="21428"/>
  <c r="I27" i="21428"/>
  <c r="C30" i="21428"/>
  <c r="AX25" i="21428"/>
  <c r="AW25" i="21428"/>
  <c r="M26" i="21428"/>
  <c r="AY26" i="21428"/>
  <c r="M24" i="21430"/>
  <c r="AY24" i="21430"/>
  <c r="C28" i="21430"/>
  <c r="AW26" i="21430"/>
  <c r="AX26" i="21430"/>
  <c r="AW12" i="21422"/>
  <c r="AW13" i="21422"/>
  <c r="AW9" i="21421" s="1"/>
  <c r="C15" i="21422"/>
  <c r="J16" i="21422" s="1"/>
  <c r="AW16" i="21422" s="1"/>
  <c r="AZ16" i="21422" s="1"/>
  <c r="AY11" i="21422"/>
  <c r="J7" i="3" l="1"/>
  <c r="J52" i="21399" s="1"/>
  <c r="C10" i="3"/>
  <c r="C53" i="21399"/>
  <c r="AY344" i="21417"/>
  <c r="AY7" i="21421"/>
  <c r="AW345" i="21417"/>
  <c r="AW8" i="21421"/>
  <c r="AZ25" i="21428"/>
  <c r="AW27" i="21428"/>
  <c r="AX27" i="21428"/>
  <c r="AX30" i="21428"/>
  <c r="J30" i="21428"/>
  <c r="C32" i="21428"/>
  <c r="AW30" i="21428"/>
  <c r="J31" i="21428"/>
  <c r="M28" i="21428"/>
  <c r="AY28" i="21428"/>
  <c r="M26" i="21430"/>
  <c r="AY26" i="21430"/>
  <c r="AW28" i="21430"/>
  <c r="J27" i="21430"/>
  <c r="AX28" i="21430"/>
  <c r="C30" i="21430"/>
  <c r="AY13" i="21422"/>
  <c r="AY9" i="21421" s="1"/>
  <c r="C17" i="21422"/>
  <c r="C19" i="21422" s="1"/>
  <c r="C21" i="21422" s="1"/>
  <c r="AW15" i="21422"/>
  <c r="AY15" i="21422" s="1"/>
  <c r="AZ12" i="21422"/>
  <c r="C12" i="3" l="1"/>
  <c r="J9" i="3"/>
  <c r="J54" i="21399" s="1"/>
  <c r="C55" i="21399"/>
  <c r="AZ345" i="21417"/>
  <c r="AZ8" i="21421"/>
  <c r="AZ27" i="21428"/>
  <c r="AW31" i="21428"/>
  <c r="AX31" i="21428"/>
  <c r="M30" i="21428"/>
  <c r="AY30" i="21428"/>
  <c r="AZ30" i="21428"/>
  <c r="C34" i="21428"/>
  <c r="C36" i="21428" s="1"/>
  <c r="AX32" i="21428"/>
  <c r="AW32" i="21428"/>
  <c r="AW27" i="21430"/>
  <c r="AX27" i="21430"/>
  <c r="AW30" i="21430"/>
  <c r="AX30" i="21430"/>
  <c r="C32" i="21430"/>
  <c r="AY28" i="21430"/>
  <c r="M28" i="21430"/>
  <c r="AW17" i="21422"/>
  <c r="AY17" i="21422" s="1"/>
  <c r="C57" i="21399" l="1"/>
  <c r="C14" i="3"/>
  <c r="AZ31" i="21428"/>
  <c r="AY32" i="21428"/>
  <c r="AW36" i="21428"/>
  <c r="C38" i="21428"/>
  <c r="C40" i="21428" s="1"/>
  <c r="C42" i="21428" s="1"/>
  <c r="C44" i="21428" s="1"/>
  <c r="AX36" i="21428"/>
  <c r="AZ27" i="21430"/>
  <c r="C34" i="21430"/>
  <c r="AX32" i="21430"/>
  <c r="AW32" i="21430"/>
  <c r="AY30" i="21430"/>
  <c r="M30" i="21430"/>
  <c r="C23" i="21422"/>
  <c r="AW19" i="21422"/>
  <c r="AY19" i="21422" s="1"/>
  <c r="C59" i="21399" l="1"/>
  <c r="C16" i="3"/>
  <c r="AC37" i="21421"/>
  <c r="AC29" i="21411"/>
  <c r="AC39" i="21421"/>
  <c r="AC39" i="21420"/>
  <c r="AC41" i="21421"/>
  <c r="AA14" i="21407"/>
  <c r="AA31" i="21407"/>
  <c r="AI346" i="21408"/>
  <c r="AA30" i="21407"/>
  <c r="AI290" i="21408"/>
  <c r="AI127" i="21408"/>
  <c r="AI16" i="21408"/>
  <c r="AI167" i="21408"/>
  <c r="AA15" i="21407"/>
  <c r="AA44" i="21407"/>
  <c r="AA19" i="21407"/>
  <c r="AI66" i="21408"/>
  <c r="AI304" i="21408"/>
  <c r="AI237" i="21408"/>
  <c r="AI229" i="21408"/>
  <c r="AI255" i="21408"/>
  <c r="AI124" i="21408"/>
  <c r="AG16" i="21402"/>
  <c r="AI204" i="21408"/>
  <c r="AI94" i="21408"/>
  <c r="AI186" i="21408"/>
  <c r="AI64" i="21408"/>
  <c r="AI303" i="21408"/>
  <c r="AA24" i="21407"/>
  <c r="AG52" i="21402"/>
  <c r="AI129" i="21408"/>
  <c r="AI110" i="21408"/>
  <c r="AI79" i="21408"/>
  <c r="AI61" i="21408"/>
  <c r="AI232" i="21408"/>
  <c r="AI145" i="21408"/>
  <c r="AG9" i="21402"/>
  <c r="AG51" i="21402"/>
  <c r="AI113" i="21408"/>
  <c r="AG41" i="21402"/>
  <c r="AI206" i="21408"/>
  <c r="AI250" i="21408"/>
  <c r="AI118" i="21408"/>
  <c r="AA40" i="21407"/>
  <c r="AI84" i="21408"/>
  <c r="AI104" i="21408"/>
  <c r="AI90" i="21408"/>
  <c r="AG72" i="21402"/>
  <c r="AG68" i="21402"/>
  <c r="AG57" i="21402"/>
  <c r="AI111" i="21408"/>
  <c r="AI249" i="21408"/>
  <c r="AA55" i="21407"/>
  <c r="AI8" i="21408"/>
  <c r="AG5" i="21402"/>
  <c r="AG50" i="21402"/>
  <c r="AI142" i="21408"/>
  <c r="AG23" i="21402"/>
  <c r="AI68" i="21408"/>
  <c r="AI187" i="21408"/>
  <c r="AI188" i="21408" s="1"/>
  <c r="AI105" i="21408"/>
  <c r="AA49" i="21407"/>
  <c r="AI168" i="21408"/>
  <c r="AI202" i="21408"/>
  <c r="AI207" i="21408"/>
  <c r="AI85" i="21408"/>
  <c r="AG35" i="21402"/>
  <c r="AG38" i="21402"/>
  <c r="AI147" i="21408"/>
  <c r="AI122" i="21408"/>
  <c r="AI247" i="21408"/>
  <c r="AI32" i="21408"/>
  <c r="AI77" i="21408"/>
  <c r="AI74" i="21408"/>
  <c r="AI47" i="21408"/>
  <c r="AI180" i="21408"/>
  <c r="AI91" i="21408"/>
  <c r="AI189" i="21408"/>
  <c r="AI190" i="21408" s="1"/>
  <c r="AI28" i="21408"/>
  <c r="AI224" i="21408"/>
  <c r="AG61" i="21402"/>
  <c r="AI50" i="21408"/>
  <c r="AA37" i="21407"/>
  <c r="AG67" i="21402"/>
  <c r="AG43" i="21402"/>
  <c r="AI22" i="21408"/>
  <c r="AA60" i="21407"/>
  <c r="AI101" i="21408"/>
  <c r="AI103" i="21408"/>
  <c r="AI245" i="21408"/>
  <c r="AA28" i="21407" s="1"/>
  <c r="AI12" i="21408"/>
  <c r="AA5" i="21407"/>
  <c r="AI286" i="21408"/>
  <c r="AI86" i="21408"/>
  <c r="AI52" i="21408"/>
  <c r="AI345" i="21408"/>
  <c r="AI54" i="21408"/>
  <c r="AA34" i="21407"/>
  <c r="AI260" i="21408"/>
  <c r="AI222" i="21408"/>
  <c r="AG25" i="21402"/>
  <c r="AI97" i="21408"/>
  <c r="AI33" i="21408"/>
  <c r="AG6" i="21402"/>
  <c r="AI193" i="21408"/>
  <c r="AG3" i="21402"/>
  <c r="AI96" i="21408"/>
  <c r="AI215" i="21408"/>
  <c r="AI45" i="21408"/>
  <c r="AI4" i="21408"/>
  <c r="AI99" i="21408"/>
  <c r="AG34" i="21402"/>
  <c r="AI156" i="21408"/>
  <c r="AI152" i="21408"/>
  <c r="AI76" i="21408"/>
  <c r="AI177" i="21408"/>
  <c r="AI123" i="21408"/>
  <c r="AI117" i="21408"/>
  <c r="AI294" i="21408"/>
  <c r="AI98" i="21408"/>
  <c r="AI26" i="21408"/>
  <c r="AG26" i="21402"/>
  <c r="AI221" i="21408"/>
  <c r="AI46" i="21408"/>
  <c r="AI157" i="21408"/>
  <c r="AI134" i="21408"/>
  <c r="AI136" i="21408"/>
  <c r="AI63" i="21408"/>
  <c r="AI18" i="21408"/>
  <c r="AG60" i="21402"/>
  <c r="AI148" i="21408"/>
  <c r="G12" i="21407"/>
  <c r="AI246" i="21408"/>
  <c r="AI288" i="21408"/>
  <c r="AI87" i="21408"/>
  <c r="AI23" i="21408"/>
  <c r="AA58" i="21407"/>
  <c r="AI178" i="21408"/>
  <c r="AG69" i="21402"/>
  <c r="AA8" i="21407"/>
  <c r="AI13" i="21408"/>
  <c r="AI258" i="21408"/>
  <c r="AI75" i="21408"/>
  <c r="AI179" i="21408"/>
  <c r="AA47" i="21407"/>
  <c r="AI254" i="21408"/>
  <c r="AA4" i="21407"/>
  <c r="AG22" i="21402"/>
  <c r="AI7" i="21408"/>
  <c r="AI343" i="21408"/>
  <c r="AI347" i="21408" s="1"/>
  <c r="AI252" i="21408"/>
  <c r="AI128" i="21408"/>
  <c r="AA20" i="21407"/>
  <c r="AA38" i="21407"/>
  <c r="AA6" i="21407"/>
  <c r="AI119" i="21408"/>
  <c r="AI5" i="21408"/>
  <c r="AG37" i="21402"/>
  <c r="AA43" i="21407"/>
  <c r="AI162" i="21408"/>
  <c r="AI173" i="21408"/>
  <c r="AI226" i="21408"/>
  <c r="AI181" i="21408"/>
  <c r="AI70" i="21408"/>
  <c r="AI185" i="21408"/>
  <c r="AI154" i="21408"/>
  <c r="AG56" i="21402"/>
  <c r="AG10" i="21402"/>
  <c r="AI289" i="21408"/>
  <c r="AI163" i="21408"/>
  <c r="AG33" i="21402"/>
  <c r="AG8" i="21402"/>
  <c r="AI208" i="21408"/>
  <c r="AG21" i="21402"/>
  <c r="AI158" i="21408"/>
  <c r="AI6" i="21408"/>
  <c r="AI159" i="21408"/>
  <c r="AI253" i="21408"/>
  <c r="AI192" i="21408"/>
  <c r="AI291" i="21408"/>
  <c r="AA51" i="21407"/>
  <c r="AI81" i="21408"/>
  <c r="AI125" i="21408"/>
  <c r="AI153" i="21408"/>
  <c r="AI10" i="21408"/>
  <c r="AG36" i="21402"/>
  <c r="AI53" i="21408"/>
  <c r="AI139" i="21408"/>
  <c r="AI67" i="21408"/>
  <c r="AI184" i="21408"/>
  <c r="AI228" i="21408"/>
  <c r="AI143" i="21408"/>
  <c r="AI138" i="21408"/>
  <c r="AG4" i="21402"/>
  <c r="AI82" i="21408"/>
  <c r="AI65" i="21408"/>
  <c r="AI59" i="21408"/>
  <c r="AI141" i="21408"/>
  <c r="AI212" i="21408"/>
  <c r="AG58" i="21402"/>
  <c r="AI230" i="21408"/>
  <c r="AA32" i="21407"/>
  <c r="AI60" i="21408"/>
  <c r="AI120" i="21408"/>
  <c r="AI137" i="21408"/>
  <c r="AI108" i="21408"/>
  <c r="AA53" i="21407"/>
  <c r="AG17" i="21402"/>
  <c r="AI100" i="21408"/>
  <c r="AG24" i="21402"/>
  <c r="AI172" i="21408"/>
  <c r="AI31" i="21408"/>
  <c r="AI115" i="21408"/>
  <c r="AI121" i="21408"/>
  <c r="AI24" i="21408"/>
  <c r="AI259" i="21408"/>
  <c r="AI356" i="21408"/>
  <c r="AG55" i="21402"/>
  <c r="AI25" i="21408"/>
  <c r="AI166" i="21408"/>
  <c r="AI126" i="21408"/>
  <c r="AI257" i="21408"/>
  <c r="AI149" i="21408"/>
  <c r="AI248" i="21408"/>
  <c r="AA10" i="21407"/>
  <c r="AI144" i="21408"/>
  <c r="AI203" i="21408"/>
  <c r="AI130" i="21408"/>
  <c r="AI106" i="21408"/>
  <c r="AI349" i="21408"/>
  <c r="AI132" i="21408"/>
  <c r="AI256" i="21408"/>
  <c r="AI233" i="21408"/>
  <c r="AI71" i="21408"/>
  <c r="AG15" i="21402"/>
  <c r="AI34" i="21408"/>
  <c r="AA21" i="21407"/>
  <c r="AA59" i="21407"/>
  <c r="AI223" i="21408"/>
  <c r="AI73" i="21408"/>
  <c r="AI88" i="21408"/>
  <c r="AA26" i="21407"/>
  <c r="AI161" i="21408"/>
  <c r="AG59" i="21402"/>
  <c r="AI174" i="21408"/>
  <c r="AI183" i="21408"/>
  <c r="AI182" i="21408"/>
  <c r="AI238" i="21408"/>
  <c r="AI55" i="21408"/>
  <c r="AI20" i="21408"/>
  <c r="AI80" i="21408"/>
  <c r="AA36" i="21407"/>
  <c r="AG40" i="21402"/>
  <c r="AI200" i="21408"/>
  <c r="AI210" i="21408"/>
  <c r="AG49" i="21402"/>
  <c r="AI114" i="21408"/>
  <c r="AI287" i="21408"/>
  <c r="AI57" i="21408"/>
  <c r="AI69" i="21408"/>
  <c r="AI11" i="21408"/>
  <c r="AA42" i="21407"/>
  <c r="AI133" i="21408"/>
  <c r="AI30" i="21408"/>
  <c r="AI216" i="21408"/>
  <c r="AI49" i="21408"/>
  <c r="AI92" i="21408"/>
  <c r="AI165" i="21408"/>
  <c r="AI17" i="21408"/>
  <c r="AI89" i="21408"/>
  <c r="AI93" i="21408"/>
  <c r="AI131" i="21408"/>
  <c r="AI109" i="21408"/>
  <c r="AG20" i="21402"/>
  <c r="AI350" i="21408"/>
  <c r="AI231" i="21408"/>
  <c r="AI15" i="21408"/>
  <c r="AI213" i="21408"/>
  <c r="AI102" i="21408"/>
  <c r="AI48" i="21408"/>
  <c r="AI56" i="21408"/>
  <c r="AI150" i="21408"/>
  <c r="AI116" i="21408"/>
  <c r="AI220" i="21408"/>
  <c r="AG32" i="21402"/>
  <c r="AI78" i="21408"/>
  <c r="AI58" i="21408"/>
  <c r="AI205" i="21408"/>
  <c r="AI169" i="21408"/>
  <c r="AI27" i="21408"/>
  <c r="AI240" i="21408"/>
  <c r="AA9" i="21407"/>
  <c r="AI151" i="21408"/>
  <c r="AG71" i="21402"/>
  <c r="AI300" i="21408"/>
  <c r="AA41" i="21407"/>
  <c r="AI51" i="21408"/>
  <c r="AI201" i="21408"/>
  <c r="AI44" i="21408"/>
  <c r="AI43" i="21408" s="1"/>
  <c r="AI42" i="21408" s="1"/>
  <c r="AI41" i="21408" s="1"/>
  <c r="AI344" i="21408"/>
  <c r="AI21" i="21408"/>
  <c r="AI140" i="21408"/>
  <c r="AI218" i="21408"/>
  <c r="AI225" i="21408"/>
  <c r="AG70" i="21402"/>
  <c r="AI301" i="21408"/>
  <c r="AI72" i="21408"/>
  <c r="AI217" i="21408"/>
  <c r="AI146" i="21408"/>
  <c r="AI62" i="21408"/>
  <c r="AG19" i="21402"/>
  <c r="AI227" i="21408"/>
  <c r="AI112" i="21408"/>
  <c r="AA22" i="21407"/>
  <c r="AI160" i="21408"/>
  <c r="AH83" i="21408"/>
  <c r="AA46" i="21407"/>
  <c r="AG53" i="21402"/>
  <c r="AG18" i="21402"/>
  <c r="AA54" i="21407"/>
  <c r="AG42" i="21402"/>
  <c r="AI135" i="21408"/>
  <c r="AI19" i="21408"/>
  <c r="AG39" i="21402"/>
  <c r="AG54" i="21402"/>
  <c r="AI14" i="21408"/>
  <c r="AA57" i="21407"/>
  <c r="AI170" i="21408"/>
  <c r="AI191" i="21408"/>
  <c r="AI211" i="21408"/>
  <c r="AI9" i="21408"/>
  <c r="AI164" i="21408"/>
  <c r="AI219" i="21408"/>
  <c r="AI95" i="21408"/>
  <c r="AI251" i="21408"/>
  <c r="AA16" i="21407"/>
  <c r="AI351" i="21408"/>
  <c r="AI155" i="21408"/>
  <c r="AA50" i="21407"/>
  <c r="AA56" i="21407"/>
  <c r="AI107" i="21408"/>
  <c r="AI29" i="21408"/>
  <c r="AI171" i="21408"/>
  <c r="AC4" i="2"/>
  <c r="AC41" i="21420"/>
  <c r="AY36" i="21428"/>
  <c r="AY32" i="21430"/>
  <c r="M32" i="21430"/>
  <c r="C46" i="21428"/>
  <c r="I33" i="21430"/>
  <c r="AW34" i="21430"/>
  <c r="C36" i="21430"/>
  <c r="J35" i="21430"/>
  <c r="AX34" i="21430"/>
  <c r="I13" i="21430"/>
  <c r="AW21" i="21422"/>
  <c r="AY21" i="21422" s="1"/>
  <c r="J16" i="3" l="1"/>
  <c r="C58" i="21419"/>
  <c r="C18" i="3"/>
  <c r="C61" i="21399"/>
  <c r="AC346" i="21415"/>
  <c r="AC5" i="21412"/>
  <c r="AC7" i="21420"/>
  <c r="AC351" i="21416"/>
  <c r="AI209" i="21408"/>
  <c r="AC5" i="21420"/>
  <c r="AC349" i="21416"/>
  <c r="AI293" i="21408"/>
  <c r="AI298" i="21408"/>
  <c r="AI299" i="21408" s="1"/>
  <c r="AI3" i="21408"/>
  <c r="AI175" i="21408"/>
  <c r="AI176" i="21408" s="1"/>
  <c r="AI244" i="21408"/>
  <c r="AI243" i="21408" s="1"/>
  <c r="AI242" i="21408" s="1"/>
  <c r="M34" i="21430"/>
  <c r="AY34" i="21430"/>
  <c r="AW35" i="21430"/>
  <c r="AX35" i="21430"/>
  <c r="AX36" i="21430"/>
  <c r="C38" i="21430"/>
  <c r="AW36" i="21430"/>
  <c r="I29" i="21428"/>
  <c r="C48" i="21428"/>
  <c r="J47" i="21428"/>
  <c r="C25" i="21422"/>
  <c r="C27" i="21422" s="1"/>
  <c r="AW23" i="21422"/>
  <c r="AY23" i="21422" s="1"/>
  <c r="J17" i="3" l="1"/>
  <c r="C20" i="3"/>
  <c r="C60" i="21419"/>
  <c r="J58" i="21419"/>
  <c r="J61" i="21399"/>
  <c r="AC4" i="21398"/>
  <c r="AC31" i="21411"/>
  <c r="AD200" i="21408"/>
  <c r="AD29" i="21408"/>
  <c r="AD98" i="21408"/>
  <c r="AD102" i="21408"/>
  <c r="AD51" i="21408"/>
  <c r="AD157" i="21408"/>
  <c r="AB42" i="21402"/>
  <c r="AD26" i="21408"/>
  <c r="AD86" i="21408"/>
  <c r="V60" i="21407"/>
  <c r="AD33" i="21408"/>
  <c r="AD79" i="21408"/>
  <c r="AD22" i="21408"/>
  <c r="AD231" i="21408"/>
  <c r="AD108" i="21408"/>
  <c r="AD67" i="21408"/>
  <c r="AD290" i="21408"/>
  <c r="AD135" i="21408"/>
  <c r="V58" i="21407"/>
  <c r="AD350" i="21408"/>
  <c r="AD93" i="21408"/>
  <c r="AB49" i="21402"/>
  <c r="AD4" i="21408"/>
  <c r="AB43" i="21402"/>
  <c r="AD215" i="21408"/>
  <c r="V34" i="21407"/>
  <c r="AD150" i="21408"/>
  <c r="AD151" i="21408"/>
  <c r="V49" i="21407"/>
  <c r="AD68" i="21408"/>
  <c r="AD237" i="21408"/>
  <c r="AD18" i="21408"/>
  <c r="AD121" i="21408"/>
  <c r="AD143" i="21408"/>
  <c r="AB61" i="21402"/>
  <c r="V42" i="21407"/>
  <c r="AD165" i="21408"/>
  <c r="AD149" i="21408"/>
  <c r="AD9" i="21408"/>
  <c r="AD92" i="21408"/>
  <c r="AD256" i="21408"/>
  <c r="AD346" i="21408"/>
  <c r="V10" i="21407"/>
  <c r="AD252" i="21408"/>
  <c r="V9" i="21407"/>
  <c r="AD17" i="21408"/>
  <c r="AD112" i="21408"/>
  <c r="AD75" i="21408"/>
  <c r="AB16" i="21402"/>
  <c r="AD47" i="21408"/>
  <c r="AD225" i="21408"/>
  <c r="AD6" i="21408"/>
  <c r="AD126" i="21408"/>
  <c r="AD53" i="21408"/>
  <c r="AD250" i="21408"/>
  <c r="AD219" i="21408"/>
  <c r="AB26" i="21402"/>
  <c r="AD187" i="21408"/>
  <c r="AD188" i="21408" s="1"/>
  <c r="AB3" i="21402"/>
  <c r="V21" i="21407"/>
  <c r="AD58" i="21408"/>
  <c r="AD218" i="21408"/>
  <c r="AD70" i="21408"/>
  <c r="AD104" i="21408"/>
  <c r="AD174" i="21408"/>
  <c r="AD84" i="21408"/>
  <c r="AD345" i="21408"/>
  <c r="AB32" i="21402"/>
  <c r="AD96" i="21408"/>
  <c r="V14" i="21407"/>
  <c r="AD216" i="21408"/>
  <c r="AD20" i="21408"/>
  <c r="AD28" i="21408"/>
  <c r="AD21" i="21408"/>
  <c r="AD146" i="21408"/>
  <c r="AD230" i="21408"/>
  <c r="AD163" i="21408"/>
  <c r="AD5" i="21408"/>
  <c r="AD166" i="21408"/>
  <c r="AD60" i="21408"/>
  <c r="V40" i="21407"/>
  <c r="AB23" i="21402"/>
  <c r="AD7" i="21408"/>
  <c r="AD34" i="21408"/>
  <c r="V19" i="21407"/>
  <c r="AD111" i="21408"/>
  <c r="V24" i="21407"/>
  <c r="AD12" i="21408"/>
  <c r="AD131" i="21408"/>
  <c r="AD56" i="21408"/>
  <c r="AD184" i="21408"/>
  <c r="AC83" i="21408"/>
  <c r="AD304" i="21408"/>
  <c r="AD177" i="21408"/>
  <c r="AB40" i="21402"/>
  <c r="AD136" i="21408"/>
  <c r="AD287" i="21408"/>
  <c r="AB24" i="21402"/>
  <c r="AB37" i="21402"/>
  <c r="V4" i="21407"/>
  <c r="AD171" i="21408"/>
  <c r="AD15" i="21408"/>
  <c r="AB39" i="21402"/>
  <c r="AB50" i="21402"/>
  <c r="AD50" i="21408"/>
  <c r="AD99" i="21408"/>
  <c r="AB68" i="21402"/>
  <c r="AD115" i="21408"/>
  <c r="AB20" i="21402"/>
  <c r="AD211" i="21408"/>
  <c r="AB10" i="21402"/>
  <c r="AD54" i="21408"/>
  <c r="AD286" i="21408"/>
  <c r="AD132" i="21408"/>
  <c r="AD13" i="21408"/>
  <c r="AD95" i="21408"/>
  <c r="AD245" i="21408"/>
  <c r="V28" i="21407" s="1"/>
  <c r="AD226" i="21408"/>
  <c r="AD14" i="21408"/>
  <c r="V15" i="21407"/>
  <c r="AD134" i="21408"/>
  <c r="AD109" i="21408"/>
  <c r="AD62" i="21408"/>
  <c r="AD169" i="21408"/>
  <c r="AD351" i="21408"/>
  <c r="V8" i="21407"/>
  <c r="AB5" i="21402"/>
  <c r="AD101" i="21408"/>
  <c r="AD27" i="21408"/>
  <c r="AD82" i="21408"/>
  <c r="AD247" i="21408"/>
  <c r="AD248" i="21408"/>
  <c r="AD173" i="21408"/>
  <c r="AD49" i="21408"/>
  <c r="AD71" i="21408"/>
  <c r="AD161" i="21408"/>
  <c r="AD208" i="21408"/>
  <c r="V38" i="21407"/>
  <c r="AD257" i="21408"/>
  <c r="V59" i="21407"/>
  <c r="AD73" i="21408"/>
  <c r="AD294" i="21408"/>
  <c r="AD89" i="21408"/>
  <c r="AD85" i="21408"/>
  <c r="V20" i="21407"/>
  <c r="AB38" i="21402"/>
  <c r="AD153" i="21408"/>
  <c r="AD240" i="21408"/>
  <c r="AD64" i="21408"/>
  <c r="AD255" i="21408"/>
  <c r="AD178" i="21408"/>
  <c r="V46" i="21407"/>
  <c r="AD113" i="21408"/>
  <c r="AD107" i="21408"/>
  <c r="AD88" i="21408"/>
  <c r="AD232" i="21408"/>
  <c r="AD204" i="21408"/>
  <c r="V22" i="21407"/>
  <c r="AB60" i="21402"/>
  <c r="AB15" i="21402"/>
  <c r="AD207" i="21408"/>
  <c r="AB51" i="21402"/>
  <c r="AD90" i="21408"/>
  <c r="V37" i="21407"/>
  <c r="AD77" i="21408"/>
  <c r="AB41" i="21402"/>
  <c r="V5" i="21407"/>
  <c r="AD122" i="21408"/>
  <c r="AD229" i="21408"/>
  <c r="AD116" i="21408"/>
  <c r="AD220" i="21408"/>
  <c r="AB6" i="21402"/>
  <c r="AD118" i="21408"/>
  <c r="AD57" i="21408"/>
  <c r="AD147" i="21408"/>
  <c r="AD253" i="21408"/>
  <c r="V16" i="21407"/>
  <c r="AD11" i="21408"/>
  <c r="AD142" i="21408"/>
  <c r="AD289" i="21408"/>
  <c r="AB21" i="21402"/>
  <c r="AB69" i="21402"/>
  <c r="AB22" i="21402"/>
  <c r="V51" i="21407"/>
  <c r="V56" i="21407"/>
  <c r="AB25" i="21402"/>
  <c r="AD127" i="21408"/>
  <c r="AD8" i="21408"/>
  <c r="AB71" i="21402"/>
  <c r="AD238" i="21408"/>
  <c r="AB67" i="21402"/>
  <c r="AD260" i="21408"/>
  <c r="AD133" i="21408"/>
  <c r="AD103" i="21408"/>
  <c r="AD59" i="21408"/>
  <c r="AD106" i="21408"/>
  <c r="V31" i="21407"/>
  <c r="AB4" i="21402"/>
  <c r="AD48" i="21408"/>
  <c r="AB53" i="21402"/>
  <c r="AD191" i="21408"/>
  <c r="AB57" i="21402"/>
  <c r="AD141" i="21408"/>
  <c r="AD172" i="21408"/>
  <c r="AD202" i="21408"/>
  <c r="AD69" i="21408"/>
  <c r="AD72" i="21408"/>
  <c r="AD288" i="21408"/>
  <c r="AD19" i="21408"/>
  <c r="AD227" i="21408"/>
  <c r="AD16" i="21408"/>
  <c r="AD31" i="21408"/>
  <c r="AD44" i="21408"/>
  <c r="AD74" i="21408"/>
  <c r="AB18" i="21402"/>
  <c r="AD55" i="21408"/>
  <c r="AD160" i="21408"/>
  <c r="AD233" i="21408"/>
  <c r="AB36" i="21402"/>
  <c r="AD213" i="21408"/>
  <c r="AD119" i="21408"/>
  <c r="AD206" i="21408"/>
  <c r="AD224" i="21408"/>
  <c r="AD201" i="21408"/>
  <c r="AD120" i="21408"/>
  <c r="V53" i="21407"/>
  <c r="AD78" i="21408"/>
  <c r="AD137" i="21408"/>
  <c r="AD140" i="21408"/>
  <c r="AB17" i="21402"/>
  <c r="AD186" i="21408"/>
  <c r="AD222" i="21408"/>
  <c r="AD205" i="21408"/>
  <c r="V57" i="21407"/>
  <c r="AD170" i="21408"/>
  <c r="AB8" i="21402"/>
  <c r="AD162" i="21408"/>
  <c r="V55" i="21407"/>
  <c r="AD221" i="21408"/>
  <c r="AD156" i="21408"/>
  <c r="AD110" i="21408"/>
  <c r="AD97" i="21408"/>
  <c r="AD168" i="21408"/>
  <c r="AB33" i="21402"/>
  <c r="AD154" i="21408"/>
  <c r="AD30" i="21408"/>
  <c r="AD344" i="21408"/>
  <c r="V6" i="21407"/>
  <c r="V36" i="21407"/>
  <c r="AB58" i="21402"/>
  <c r="AD80" i="21408"/>
  <c r="AD117" i="21408"/>
  <c r="AD76" i="21408"/>
  <c r="AB70" i="21402"/>
  <c r="AB19" i="21402"/>
  <c r="AD52" i="21408"/>
  <c r="AD246" i="21408"/>
  <c r="AD301" i="21408"/>
  <c r="AD159" i="21408"/>
  <c r="V41" i="21407"/>
  <c r="AD23" i="21408"/>
  <c r="AD179" i="21408"/>
  <c r="AB72" i="21402"/>
  <c r="AD259" i="21408"/>
  <c r="V32" i="21407"/>
  <c r="AD183" i="21408"/>
  <c r="AB56" i="21402"/>
  <c r="AD212" i="21408"/>
  <c r="AB54" i="21402"/>
  <c r="AD291" i="21408"/>
  <c r="AD192" i="21408"/>
  <c r="AD223" i="21408"/>
  <c r="AD10" i="21408"/>
  <c r="AD300" i="21408"/>
  <c r="AD251" i="21408"/>
  <c r="AD303" i="21408"/>
  <c r="AD129" i="21408"/>
  <c r="AD228" i="21408"/>
  <c r="AD81" i="21408"/>
  <c r="V47" i="21407"/>
  <c r="AD164" i="21408"/>
  <c r="AD65" i="21408"/>
  <c r="AB9" i="21402"/>
  <c r="AD138" i="21408"/>
  <c r="AD349" i="21408"/>
  <c r="AD185" i="21408"/>
  <c r="V30" i="21407"/>
  <c r="AD181" i="21408"/>
  <c r="AD125" i="21408"/>
  <c r="AD114" i="21408"/>
  <c r="AD61" i="21408"/>
  <c r="V54" i="21407"/>
  <c r="AD258" i="21408"/>
  <c r="AD356" i="21408"/>
  <c r="AD148" i="21408"/>
  <c r="AD180" i="21408"/>
  <c r="AD45" i="21408"/>
  <c r="AD66" i="21408"/>
  <c r="AD32" i="21408"/>
  <c r="AD155" i="21408"/>
  <c r="AD105" i="21408"/>
  <c r="AB34" i="21402"/>
  <c r="V26" i="21407"/>
  <c r="AD182" i="21408"/>
  <c r="V50" i="21407"/>
  <c r="V44" i="21407"/>
  <c r="AD46" i="21408"/>
  <c r="AD167" i="21408"/>
  <c r="AD94" i="21408"/>
  <c r="AD203" i="21408"/>
  <c r="AD91" i="21408"/>
  <c r="AD217" i="21408"/>
  <c r="AB55" i="21402"/>
  <c r="AD25" i="21408"/>
  <c r="AD100" i="21408"/>
  <c r="AD139" i="21408"/>
  <c r="AD130" i="21408"/>
  <c r="AD144" i="21408"/>
  <c r="AD152" i="21408"/>
  <c r="AD193" i="21408"/>
  <c r="AB59" i="21402"/>
  <c r="AD249" i="21408"/>
  <c r="AD254" i="21408"/>
  <c r="AD63" i="21408"/>
  <c r="AD24" i="21408"/>
  <c r="AB35" i="21402"/>
  <c r="AD124" i="21408"/>
  <c r="AD128" i="21408"/>
  <c r="AD145" i="21408"/>
  <c r="AD210" i="21408"/>
  <c r="AD343" i="21408"/>
  <c r="AD347" i="21408" s="1"/>
  <c r="AD158" i="21408"/>
  <c r="AB52" i="21402"/>
  <c r="AD87" i="21408"/>
  <c r="V43" i="21407"/>
  <c r="AD189" i="21408"/>
  <c r="AD190" i="21408" s="1"/>
  <c r="AD55" i="21402"/>
  <c r="AF97" i="21408"/>
  <c r="AF257" i="21408"/>
  <c r="AF165" i="21408"/>
  <c r="AF24" i="21408"/>
  <c r="AF171" i="21408"/>
  <c r="AF249" i="21408"/>
  <c r="X47" i="21407"/>
  <c r="AD22" i="21402"/>
  <c r="X32" i="21407"/>
  <c r="X4" i="21407"/>
  <c r="AF146" i="21408"/>
  <c r="AD42" i="21402"/>
  <c r="AF147" i="21408"/>
  <c r="AF184" i="21408"/>
  <c r="AF180" i="21408"/>
  <c r="AF200" i="21408"/>
  <c r="AF34" i="21408"/>
  <c r="X53" i="21407"/>
  <c r="AF22" i="21408"/>
  <c r="X16" i="21407"/>
  <c r="AD24" i="21402"/>
  <c r="AF49" i="21408"/>
  <c r="X42" i="21407"/>
  <c r="AF232" i="21408"/>
  <c r="AF346" i="21408"/>
  <c r="AF260" i="21408"/>
  <c r="AF141" i="21408"/>
  <c r="AF205" i="21408"/>
  <c r="AF286" i="21408"/>
  <c r="AF55" i="21408"/>
  <c r="AD18" i="21402"/>
  <c r="X60" i="21407"/>
  <c r="AF142" i="21408"/>
  <c r="AF240" i="21408"/>
  <c r="AF6" i="21408"/>
  <c r="AF139" i="21408"/>
  <c r="AF28" i="21408"/>
  <c r="AF106" i="21408"/>
  <c r="AF189" i="21408"/>
  <c r="AF190" i="21408" s="1"/>
  <c r="AD60" i="21402"/>
  <c r="AF95" i="21408"/>
  <c r="AF220" i="21408"/>
  <c r="AF251" i="21408"/>
  <c r="AF68" i="21408"/>
  <c r="AF294" i="21408"/>
  <c r="AF304" i="21408"/>
  <c r="AD58" i="21402"/>
  <c r="AF125" i="21408"/>
  <c r="AF218" i="21408"/>
  <c r="AF288" i="21408"/>
  <c r="AD51" i="21402"/>
  <c r="AF50" i="21408"/>
  <c r="AF193" i="21408"/>
  <c r="X19" i="21407"/>
  <c r="AF114" i="21408"/>
  <c r="AF258" i="21408"/>
  <c r="AF289" i="21408"/>
  <c r="AF349" i="21408"/>
  <c r="AF186" i="21408"/>
  <c r="AF71" i="21408"/>
  <c r="AF204" i="21408"/>
  <c r="AF33" i="21408"/>
  <c r="AF237" i="21408"/>
  <c r="AF226" i="21408"/>
  <c r="AF120" i="21408"/>
  <c r="AF134" i="21408"/>
  <c r="X30" i="21407"/>
  <c r="AF223" i="21408"/>
  <c r="AF61" i="21408"/>
  <c r="AF250" i="21408"/>
  <c r="AF174" i="21408"/>
  <c r="AF248" i="21408"/>
  <c r="AF116" i="21408"/>
  <c r="AF78" i="21408"/>
  <c r="AD68" i="21402"/>
  <c r="AF119" i="21408"/>
  <c r="AD53" i="21402"/>
  <c r="AF72" i="21408"/>
  <c r="AF211" i="21408"/>
  <c r="AF179" i="21408"/>
  <c r="AD23" i="21402"/>
  <c r="AF76" i="21408"/>
  <c r="AF51" i="21408"/>
  <c r="AC347" i="21416"/>
  <c r="AF131" i="21408"/>
  <c r="AD20" i="21402"/>
  <c r="AF148" i="21408"/>
  <c r="X43" i="21407"/>
  <c r="AF150" i="21408"/>
  <c r="AF13" i="21408"/>
  <c r="AD21" i="21402"/>
  <c r="AF118" i="21408"/>
  <c r="AF84" i="21408"/>
  <c r="AF101" i="21408"/>
  <c r="AF153" i="21408"/>
  <c r="AD17" i="21402"/>
  <c r="AD39" i="21402"/>
  <c r="AF303" i="21408"/>
  <c r="AF162" i="21408"/>
  <c r="AF88" i="21408"/>
  <c r="AF201" i="21408"/>
  <c r="AD6" i="21402"/>
  <c r="AF62" i="21408"/>
  <c r="AD3" i="21402"/>
  <c r="AF187" i="21408"/>
  <c r="AF188" i="21408" s="1"/>
  <c r="AF169" i="21408"/>
  <c r="AD9" i="21402"/>
  <c r="AF53" i="21408"/>
  <c r="AF154" i="21408"/>
  <c r="AF210" i="21408"/>
  <c r="AF215" i="21408"/>
  <c r="AD16" i="21402"/>
  <c r="X59" i="21407"/>
  <c r="AF30" i="21408"/>
  <c r="AF5" i="21408"/>
  <c r="AF8" i="21408"/>
  <c r="AF256" i="21408"/>
  <c r="AF178" i="21408"/>
  <c r="AF16" i="21408"/>
  <c r="AF173" i="21408"/>
  <c r="AF151" i="21408"/>
  <c r="AD67" i="21402"/>
  <c r="AF100" i="21408"/>
  <c r="AF202" i="21408"/>
  <c r="AF128" i="21408"/>
  <c r="AF89" i="21408"/>
  <c r="AF247" i="21408"/>
  <c r="AF351" i="21408"/>
  <c r="AF108" i="21408"/>
  <c r="AD38" i="21402"/>
  <c r="AF123" i="21408"/>
  <c r="AF104" i="21408"/>
  <c r="X38" i="21407"/>
  <c r="AF356" i="21408"/>
  <c r="AF112" i="21408"/>
  <c r="AF217" i="21408"/>
  <c r="AF227" i="21408"/>
  <c r="X46" i="21407"/>
  <c r="AF15" i="21408"/>
  <c r="AF233" i="21408"/>
  <c r="AF58" i="21408"/>
  <c r="AD4" i="21402"/>
  <c r="X58" i="21407"/>
  <c r="AF140" i="21408"/>
  <c r="AF170" i="21408"/>
  <c r="AF149" i="21408"/>
  <c r="AF85" i="21408"/>
  <c r="AF207" i="21408"/>
  <c r="X57" i="21407"/>
  <c r="AF290" i="21408"/>
  <c r="AF12" i="21408"/>
  <c r="AD26" i="21402"/>
  <c r="AF92" i="21408"/>
  <c r="AD34" i="21402"/>
  <c r="AF246" i="21408"/>
  <c r="AF229" i="21408"/>
  <c r="AF185" i="21408"/>
  <c r="AF167" i="21408"/>
  <c r="AF44" i="21408"/>
  <c r="AF109" i="21408"/>
  <c r="AF98" i="21408"/>
  <c r="AF138" i="21408"/>
  <c r="X26" i="21407"/>
  <c r="X34" i="21407"/>
  <c r="AF74" i="21408"/>
  <c r="AF54" i="21408"/>
  <c r="AF191" i="21408"/>
  <c r="AF163" i="21408"/>
  <c r="AF182" i="21408"/>
  <c r="AF113" i="21408"/>
  <c r="AF135" i="21408"/>
  <c r="AF343" i="21408"/>
  <c r="AF347" i="21408" s="1"/>
  <c r="AF212" i="21408"/>
  <c r="AF32" i="21408"/>
  <c r="X15" i="21407"/>
  <c r="AF4" i="21408"/>
  <c r="AD71" i="21402"/>
  <c r="AF222" i="21408"/>
  <c r="AF127" i="21408"/>
  <c r="AD56" i="21402"/>
  <c r="AF159" i="21408"/>
  <c r="AF245" i="21408"/>
  <c r="X28" i="21407" s="1"/>
  <c r="AF63" i="21408"/>
  <c r="AF80" i="21408"/>
  <c r="AD25" i="21402"/>
  <c r="AF110" i="21408"/>
  <c r="AF96" i="21408"/>
  <c r="AD50" i="21402"/>
  <c r="AF122" i="21408"/>
  <c r="AF144" i="21408"/>
  <c r="AF143" i="21408"/>
  <c r="X14" i="21407"/>
  <c r="AF206" i="21408"/>
  <c r="AF26" i="21408"/>
  <c r="AF21" i="21408"/>
  <c r="AF158" i="21408"/>
  <c r="AF345" i="21408"/>
  <c r="AF301" i="21408"/>
  <c r="AF90" i="21408"/>
  <c r="X21" i="21407"/>
  <c r="AF77" i="21408"/>
  <c r="AF48" i="21408"/>
  <c r="AF203" i="21408"/>
  <c r="X6" i="21407"/>
  <c r="AD61" i="21402"/>
  <c r="AF221" i="21408"/>
  <c r="AF11" i="21408"/>
  <c r="AD32" i="21402"/>
  <c r="AF166" i="21408"/>
  <c r="AF20" i="21408"/>
  <c r="AD52" i="21402"/>
  <c r="X49" i="21407"/>
  <c r="AD35" i="21402"/>
  <c r="AF132" i="21408"/>
  <c r="AF152" i="21408"/>
  <c r="AF31" i="21408"/>
  <c r="AF253" i="21408"/>
  <c r="AF124" i="21408"/>
  <c r="AF155" i="21408"/>
  <c r="AF228" i="21408"/>
  <c r="X22" i="21407"/>
  <c r="AF46" i="21408"/>
  <c r="X9" i="21407"/>
  <c r="AF300" i="21408"/>
  <c r="AF254" i="21408"/>
  <c r="AF172" i="21408"/>
  <c r="AF183" i="21408"/>
  <c r="X51" i="21407"/>
  <c r="AF66" i="21408"/>
  <c r="AD10" i="21402"/>
  <c r="AF9" i="21408"/>
  <c r="AF350" i="21408"/>
  <c r="AF126" i="21408"/>
  <c r="AF29" i="21408"/>
  <c r="AD70" i="21402"/>
  <c r="AF177" i="21408"/>
  <c r="AF75" i="21408"/>
  <c r="AD57" i="21402"/>
  <c r="AF121" i="21408"/>
  <c r="AF129" i="21408"/>
  <c r="AF60" i="21408"/>
  <c r="AF130" i="21408"/>
  <c r="AF73" i="21408"/>
  <c r="X56" i="21407"/>
  <c r="AF70" i="21408"/>
  <c r="AD37" i="21402"/>
  <c r="AF230" i="21408"/>
  <c r="X55" i="21407"/>
  <c r="AF67" i="21408"/>
  <c r="AF64" i="21408"/>
  <c r="AF224" i="21408"/>
  <c r="AD43" i="21402"/>
  <c r="AF18" i="21408"/>
  <c r="AF17" i="21408"/>
  <c r="X36" i="21407"/>
  <c r="AF111" i="21408"/>
  <c r="X40" i="21407"/>
  <c r="AF107" i="21408"/>
  <c r="AF94" i="21408"/>
  <c r="AF137" i="21408"/>
  <c r="AF156" i="21408"/>
  <c r="AF45" i="21408"/>
  <c r="AF23" i="21408"/>
  <c r="AF25" i="21408"/>
  <c r="X24" i="21407"/>
  <c r="AF14" i="21408"/>
  <c r="AF216" i="21408"/>
  <c r="X5" i="21407"/>
  <c r="AF86" i="21408"/>
  <c r="AF87" i="21408"/>
  <c r="AF168" i="21408"/>
  <c r="AF252" i="21408"/>
  <c r="AF19" i="21408"/>
  <c r="AC342" i="21417"/>
  <c r="AC5" i="21421"/>
  <c r="AH144" i="21408"/>
  <c r="AH204" i="21408"/>
  <c r="AH128" i="21408"/>
  <c r="AH47" i="21408"/>
  <c r="Z4" i="21407"/>
  <c r="AH14" i="21408"/>
  <c r="AH220" i="21408"/>
  <c r="AH62" i="21408"/>
  <c r="AH129" i="21408"/>
  <c r="AH224" i="21408"/>
  <c r="AH172" i="21408"/>
  <c r="AH153" i="21408"/>
  <c r="AH135" i="21408"/>
  <c r="AH52" i="21408"/>
  <c r="Z19" i="21407"/>
  <c r="AF24" i="21402"/>
  <c r="AH148" i="21408"/>
  <c r="AH145" i="21408"/>
  <c r="Z8" i="21407"/>
  <c r="AH226" i="21408"/>
  <c r="AH15" i="21408"/>
  <c r="AH349" i="21408"/>
  <c r="AH5" i="21408"/>
  <c r="AH131" i="21408"/>
  <c r="AH48" i="21408"/>
  <c r="Z34" i="21407"/>
  <c r="AH201" i="21408"/>
  <c r="AH49" i="21408"/>
  <c r="Z20" i="21407"/>
  <c r="AH192" i="21408"/>
  <c r="AH167" i="21408"/>
  <c r="AH53" i="21408"/>
  <c r="AF67" i="21402"/>
  <c r="AH32" i="21408"/>
  <c r="AH238" i="21408"/>
  <c r="AH46" i="21408"/>
  <c r="AH260" i="21408"/>
  <c r="Z50" i="21407"/>
  <c r="AH100" i="21408"/>
  <c r="AH120" i="21408"/>
  <c r="AH156" i="21408"/>
  <c r="AH304" i="21408"/>
  <c r="AH233" i="21408"/>
  <c r="AH27" i="21408"/>
  <c r="AH289" i="21408"/>
  <c r="AH350" i="21408"/>
  <c r="AH72" i="21408"/>
  <c r="AF18" i="21402"/>
  <c r="AH56" i="21408"/>
  <c r="Z49" i="21407"/>
  <c r="AF51" i="21402"/>
  <c r="Z36" i="21407"/>
  <c r="AH9" i="21408"/>
  <c r="Z59" i="21407"/>
  <c r="AH256" i="21408"/>
  <c r="AH290" i="21408"/>
  <c r="AF70" i="21402"/>
  <c r="AH218" i="21408"/>
  <c r="AH92" i="21408"/>
  <c r="AF60" i="21402"/>
  <c r="AH181" i="21408"/>
  <c r="Z31" i="21407"/>
  <c r="AH57" i="21408"/>
  <c r="AF36" i="21402"/>
  <c r="AF35" i="21402"/>
  <c r="AH202" i="21408"/>
  <c r="Z38" i="21407"/>
  <c r="AH19" i="21408"/>
  <c r="AH88" i="21408"/>
  <c r="AH127" i="21408"/>
  <c r="AH78" i="21408"/>
  <c r="AH228" i="21408"/>
  <c r="AH13" i="21408"/>
  <c r="AH212" i="21408"/>
  <c r="AF4" i="21402"/>
  <c r="AH71" i="21408"/>
  <c r="AH16" i="21408"/>
  <c r="AH162" i="21408"/>
  <c r="AH171" i="21408"/>
  <c r="AH61" i="21408"/>
  <c r="AH121" i="21408"/>
  <c r="Z54" i="21407"/>
  <c r="AH173" i="21408"/>
  <c r="AF42" i="21402"/>
  <c r="AH346" i="21408"/>
  <c r="AF26" i="21402"/>
  <c r="AF34" i="21402"/>
  <c r="AH246" i="21408"/>
  <c r="AH26" i="21408"/>
  <c r="AH248" i="21408"/>
  <c r="AH80" i="21408"/>
  <c r="AH82" i="21408"/>
  <c r="AH237" i="21408"/>
  <c r="AG83" i="21408"/>
  <c r="AH66" i="21408"/>
  <c r="AH68" i="21408"/>
  <c r="AH170" i="21408"/>
  <c r="AH251" i="21408"/>
  <c r="AF38" i="21402"/>
  <c r="AH117" i="21408"/>
  <c r="AF61" i="21402"/>
  <c r="AH96" i="21408"/>
  <c r="AH103" i="21408"/>
  <c r="AH143" i="21408"/>
  <c r="AH122" i="21408"/>
  <c r="AH166" i="21408"/>
  <c r="AH124" i="21408"/>
  <c r="AH219" i="21408"/>
  <c r="AH229" i="21408"/>
  <c r="AF10" i="21402"/>
  <c r="AH157" i="21408"/>
  <c r="AH137" i="21408"/>
  <c r="AH125" i="21408"/>
  <c r="AF57" i="21402"/>
  <c r="AH51" i="21408"/>
  <c r="AF9" i="21402"/>
  <c r="AH138" i="21408"/>
  <c r="AH44" i="21408"/>
  <c r="AF52" i="21402"/>
  <c r="AH174" i="21408"/>
  <c r="AH91" i="21408"/>
  <c r="AH139" i="21408"/>
  <c r="AH240" i="21408"/>
  <c r="AH189" i="21408"/>
  <c r="AH190" i="21408" s="1"/>
  <c r="AH113" i="21408"/>
  <c r="AH85" i="21408"/>
  <c r="AH130" i="21408"/>
  <c r="AH95" i="21408"/>
  <c r="Z58" i="21407"/>
  <c r="AH24" i="21408"/>
  <c r="AH33" i="21408"/>
  <c r="AH254" i="21408"/>
  <c r="AH140" i="21408"/>
  <c r="Z56" i="21407"/>
  <c r="AF3" i="21402"/>
  <c r="AF6" i="21402"/>
  <c r="AH149" i="21408"/>
  <c r="AH104" i="21408"/>
  <c r="AH168" i="21408"/>
  <c r="AH225" i="21408"/>
  <c r="AF22" i="21402"/>
  <c r="AH291" i="21408"/>
  <c r="AH28" i="21408"/>
  <c r="AH30" i="21408"/>
  <c r="AH163" i="21408"/>
  <c r="AH55" i="21408"/>
  <c r="AH351" i="21408"/>
  <c r="Z21" i="21407"/>
  <c r="AH126" i="21408"/>
  <c r="AH136" i="21408"/>
  <c r="AH69" i="21408"/>
  <c r="AH203" i="21408"/>
  <c r="AH344" i="21408"/>
  <c r="AH154" i="21408"/>
  <c r="AF68" i="21402"/>
  <c r="AH93" i="21408"/>
  <c r="AH63" i="21408"/>
  <c r="AF71" i="21402"/>
  <c r="AH222" i="21408"/>
  <c r="AH29" i="21408"/>
  <c r="AH165" i="21408"/>
  <c r="AF54" i="21402"/>
  <c r="Z6" i="21407"/>
  <c r="AH177" i="21408"/>
  <c r="AF25" i="21402"/>
  <c r="AH73" i="21408"/>
  <c r="AH7" i="21408"/>
  <c r="AH81" i="21408"/>
  <c r="AH232" i="21408"/>
  <c r="AH102" i="21408"/>
  <c r="AH155" i="21408"/>
  <c r="Z14" i="21407"/>
  <c r="AH230" i="21408"/>
  <c r="AF19" i="21402"/>
  <c r="AH133" i="21408"/>
  <c r="AF43" i="21402"/>
  <c r="Z32" i="21407"/>
  <c r="AH110" i="21408"/>
  <c r="AH94" i="21408"/>
  <c r="AH191" i="21408"/>
  <c r="AH77" i="21408"/>
  <c r="AH151" i="21408"/>
  <c r="AH87" i="21408"/>
  <c r="AH169" i="21408"/>
  <c r="AH286" i="21408"/>
  <c r="AF41" i="21402"/>
  <c r="Z9" i="21407"/>
  <c r="Z30" i="21407"/>
  <c r="AH116" i="21408"/>
  <c r="AH205" i="21408"/>
  <c r="AH106" i="21408"/>
  <c r="AH18" i="21408"/>
  <c r="AH132" i="21408"/>
  <c r="AH215" i="21408"/>
  <c r="AH50" i="21408"/>
  <c r="AH150" i="21408"/>
  <c r="AH112" i="21408"/>
  <c r="AH4" i="21408"/>
  <c r="Z55" i="21407"/>
  <c r="AH123" i="21408"/>
  <c r="AH23" i="21408"/>
  <c r="AH76" i="21408"/>
  <c r="AH118" i="21408"/>
  <c r="AH356" i="21408"/>
  <c r="Z40" i="21407"/>
  <c r="AH90" i="21408"/>
  <c r="Z26" i="21407"/>
  <c r="Z22" i="21407"/>
  <c r="AH187" i="21408"/>
  <c r="AH188" i="21408" s="1"/>
  <c r="AF37" i="21402"/>
  <c r="AH231" i="21408"/>
  <c r="AF58" i="21402"/>
  <c r="Z5" i="21407"/>
  <c r="AH159" i="21408"/>
  <c r="AH301" i="21408"/>
  <c r="AF5" i="21402"/>
  <c r="AH211" i="21408"/>
  <c r="AH182" i="21408"/>
  <c r="AH160" i="21408"/>
  <c r="AH101" i="21408"/>
  <c r="AH185" i="21408"/>
  <c r="AF59" i="21402"/>
  <c r="AH206" i="21408"/>
  <c r="AH20" i="21408"/>
  <c r="AF8" i="21402"/>
  <c r="Z24" i="21407"/>
  <c r="AH158" i="21408"/>
  <c r="AH184" i="21408"/>
  <c r="AH59" i="21408"/>
  <c r="AF39" i="21402"/>
  <c r="AH288" i="21408"/>
  <c r="AH152" i="21408"/>
  <c r="AF53" i="21402"/>
  <c r="AH84" i="21408"/>
  <c r="AH179" i="21408"/>
  <c r="AF69" i="21402"/>
  <c r="Z57" i="21407"/>
  <c r="AH193" i="21408"/>
  <c r="AH111" i="21408"/>
  <c r="AH108" i="21408"/>
  <c r="AH8" i="21408"/>
  <c r="Z43" i="21407"/>
  <c r="AH10" i="21408"/>
  <c r="AH207" i="21408"/>
  <c r="AH64" i="21408"/>
  <c r="AH31" i="21408"/>
  <c r="AH183" i="21408"/>
  <c r="AH245" i="21408"/>
  <c r="Z28" i="21407" s="1"/>
  <c r="AH345" i="21408"/>
  <c r="AH200" i="21408"/>
  <c r="AH210" i="21408"/>
  <c r="AF15" i="21402"/>
  <c r="AH12" i="21408"/>
  <c r="Z51" i="21407"/>
  <c r="AF20" i="21402"/>
  <c r="AF32" i="21402"/>
  <c r="AH213" i="21408"/>
  <c r="AF40" i="21402"/>
  <c r="AH21" i="21408"/>
  <c r="AH223" i="21408"/>
  <c r="AH247" i="21408"/>
  <c r="AH257" i="21408"/>
  <c r="AF56" i="21402"/>
  <c r="Z41" i="21407"/>
  <c r="Z15" i="21407"/>
  <c r="L12" i="21407"/>
  <c r="AH147" i="21408"/>
  <c r="AH146" i="21408"/>
  <c r="Z46" i="21407"/>
  <c r="AH178" i="21408"/>
  <c r="Z60" i="21407"/>
  <c r="AH221" i="21408"/>
  <c r="Z16" i="21407"/>
  <c r="AF50" i="21402"/>
  <c r="AH107" i="21408"/>
  <c r="AH75" i="21408"/>
  <c r="AF17" i="21402"/>
  <c r="AH119" i="21408"/>
  <c r="AH164" i="21408"/>
  <c r="AH98" i="21408"/>
  <c r="AH45" i="21408"/>
  <c r="AH208" i="21408"/>
  <c r="Z10" i="21407"/>
  <c r="AH25" i="21408"/>
  <c r="AH115" i="21408"/>
  <c r="AH74" i="21408"/>
  <c r="AH216" i="21408"/>
  <c r="AH86" i="21408"/>
  <c r="AH300" i="21408"/>
  <c r="AH105" i="21408"/>
  <c r="AH253" i="21408"/>
  <c r="AH109" i="21408"/>
  <c r="AH186" i="21408"/>
  <c r="AH97" i="21408"/>
  <c r="Z53" i="21407"/>
  <c r="AH259" i="21408"/>
  <c r="AF49" i="21402"/>
  <c r="AH161" i="21408"/>
  <c r="AF72" i="21402"/>
  <c r="AH89" i="21408"/>
  <c r="Z37" i="21407"/>
  <c r="AH142" i="21408"/>
  <c r="AH294" i="21408"/>
  <c r="AH6" i="21408"/>
  <c r="AH17" i="21408"/>
  <c r="AF16" i="21402"/>
  <c r="AH65" i="21408"/>
  <c r="AH255" i="21408"/>
  <c r="AH227" i="21408"/>
  <c r="AH99" i="21408"/>
  <c r="AH34" i="21408"/>
  <c r="AH287" i="21408"/>
  <c r="AH134" i="21408"/>
  <c r="AH67" i="21408"/>
  <c r="AF55" i="21402"/>
  <c r="AH141" i="21408"/>
  <c r="AH303" i="21408"/>
  <c r="AH252" i="21408"/>
  <c r="AH258" i="21408"/>
  <c r="AH217" i="21408"/>
  <c r="Z44" i="21407"/>
  <c r="Z47" i="21407"/>
  <c r="AH60" i="21408"/>
  <c r="AF33" i="21402"/>
  <c r="AH250" i="21408"/>
  <c r="AH79" i="21408"/>
  <c r="AH11" i="21408"/>
  <c r="AH54" i="21408"/>
  <c r="AH22" i="21408"/>
  <c r="AH58" i="21408"/>
  <c r="AF21" i="21402"/>
  <c r="Z42" i="21407"/>
  <c r="AH70" i="21408"/>
  <c r="AH114" i="21408"/>
  <c r="AH180" i="21408"/>
  <c r="AH249" i="21408"/>
  <c r="AZ35" i="21430"/>
  <c r="AX38" i="21430"/>
  <c r="M38" i="21430" s="1"/>
  <c r="AW38" i="21430"/>
  <c r="C40" i="21430"/>
  <c r="F48" i="21428"/>
  <c r="C50" i="21428"/>
  <c r="M36" i="21430"/>
  <c r="AY36" i="21430"/>
  <c r="AW27" i="21422"/>
  <c r="AY27" i="21422" s="1"/>
  <c r="C29" i="21422"/>
  <c r="C31" i="21422" s="1"/>
  <c r="C62" i="21419" l="1"/>
  <c r="J21" i="3"/>
  <c r="J63" i="21419" s="1"/>
  <c r="C22" i="3"/>
  <c r="J59" i="21419"/>
  <c r="J62" i="21399"/>
  <c r="AH43" i="21408"/>
  <c r="AH42" i="21408" s="1"/>
  <c r="AH41" i="21408" s="1"/>
  <c r="AF43" i="21408"/>
  <c r="AF42" i="21408" s="1"/>
  <c r="AF41" i="21408" s="1"/>
  <c r="AD209" i="21408"/>
  <c r="AH209" i="21408"/>
  <c r="AH343" i="21408"/>
  <c r="AH347" i="21408" s="1"/>
  <c r="AC348" i="108"/>
  <c r="AF23" i="21402"/>
  <c r="AF145" i="21408"/>
  <c r="X44" i="21407"/>
  <c r="AF105" i="21408"/>
  <c r="AD49" i="21402"/>
  <c r="AF181" i="21408"/>
  <c r="AF82" i="21408"/>
  <c r="AF93" i="21408"/>
  <c r="AF59" i="21408"/>
  <c r="AD33" i="21402"/>
  <c r="AF103" i="21408"/>
  <c r="AF10" i="21408"/>
  <c r="AF344" i="21408"/>
  <c r="AD36" i="21402"/>
  <c r="X54" i="21407"/>
  <c r="AF47" i="21408"/>
  <c r="AF213" i="21408"/>
  <c r="AF209" i="21408" s="1"/>
  <c r="AF291" i="21408"/>
  <c r="AF208" i="21408"/>
  <c r="AF99" i="21408"/>
  <c r="AF91" i="21408"/>
  <c r="X8" i="21407"/>
  <c r="AF117" i="21408"/>
  <c r="X50" i="21407"/>
  <c r="AE83" i="21408"/>
  <c r="AF27" i="21408"/>
  <c r="AF192" i="21408"/>
  <c r="AF102" i="21408"/>
  <c r="AF287" i="21408"/>
  <c r="AF225" i="21408"/>
  <c r="AF244" i="21408" s="1"/>
  <c r="AF243" i="21408" s="1"/>
  <c r="AF242" i="21408" s="1"/>
  <c r="X37" i="21407"/>
  <c r="AF160" i="21408"/>
  <c r="X10" i="21407"/>
  <c r="AD8" i="21402"/>
  <c r="AD5" i="21402"/>
  <c r="AF255" i="21408"/>
  <c r="AF133" i="21408"/>
  <c r="X20" i="21407"/>
  <c r="AF81" i="21408"/>
  <c r="AF157" i="21408"/>
  <c r="AF136" i="21408"/>
  <c r="AF79" i="21408"/>
  <c r="AF164" i="21408"/>
  <c r="AF161" i="21408"/>
  <c r="AD41" i="21402"/>
  <c r="AF65" i="21408"/>
  <c r="X41" i="21407"/>
  <c r="AF238" i="21408"/>
  <c r="AF231" i="21408"/>
  <c r="AD72" i="21402"/>
  <c r="AF52" i="21408"/>
  <c r="AD69" i="21402"/>
  <c r="AF115" i="21408"/>
  <c r="AF69" i="21408"/>
  <c r="AD19" i="21402"/>
  <c r="AF56" i="21408"/>
  <c r="AD15" i="21402"/>
  <c r="AD40" i="21402"/>
  <c r="X31" i="21407"/>
  <c r="AD59" i="21402"/>
  <c r="AF7" i="21408"/>
  <c r="AF219" i="21408"/>
  <c r="AF259" i="21408"/>
  <c r="AF57" i="21408"/>
  <c r="AD54" i="21402"/>
  <c r="AD123" i="21408"/>
  <c r="AH298" i="21408"/>
  <c r="AH299" i="21408" s="1"/>
  <c r="AH293" i="21408"/>
  <c r="AH175" i="21408"/>
  <c r="AH176" i="21408" s="1"/>
  <c r="AD43" i="21408"/>
  <c r="AD42" i="21408" s="1"/>
  <c r="AD41" i="21408" s="1"/>
  <c r="AD244" i="21408"/>
  <c r="AD243" i="21408" s="1"/>
  <c r="AD242" i="21408" s="1"/>
  <c r="AH3" i="21408"/>
  <c r="AH244" i="21408"/>
  <c r="AH243" i="21408" s="1"/>
  <c r="AH242" i="21408" s="1"/>
  <c r="AD175" i="21408"/>
  <c r="AD176" i="21408" s="1"/>
  <c r="AD3" i="21408"/>
  <c r="AF298" i="21408"/>
  <c r="AF299" i="21408" s="1"/>
  <c r="AF293" i="21408"/>
  <c r="AD293" i="21408"/>
  <c r="AD298" i="21408"/>
  <c r="AD299" i="21408" s="1"/>
  <c r="AY38" i="21430"/>
  <c r="AX50" i="21428"/>
  <c r="AW50" i="21428"/>
  <c r="F50" i="21428"/>
  <c r="C52" i="21428"/>
  <c r="C42" i="21430"/>
  <c r="J41" i="21430"/>
  <c r="AW40" i="21430"/>
  <c r="AX40" i="21430"/>
  <c r="AW29" i="21422"/>
  <c r="AY29" i="21422" s="1"/>
  <c r="J28" i="21422"/>
  <c r="AW28" i="21422" s="1"/>
  <c r="AZ28" i="21422" s="1"/>
  <c r="J22" i="3" l="1"/>
  <c r="C24" i="3"/>
  <c r="C26" i="3" s="1"/>
  <c r="C28" i="3" s="1"/>
  <c r="AG178" i="21408"/>
  <c r="Y31" i="21407"/>
  <c r="Y26" i="21407"/>
  <c r="AG177" i="21408"/>
  <c r="AG119" i="21408"/>
  <c r="Y40" i="21407"/>
  <c r="AG78" i="21408"/>
  <c r="AG156" i="21408"/>
  <c r="AG91" i="21408"/>
  <c r="Y32" i="21407"/>
  <c r="AG113" i="21408"/>
  <c r="AG224" i="21408"/>
  <c r="Y53" i="21407"/>
  <c r="AG102" i="21408"/>
  <c r="AE41" i="21402"/>
  <c r="AG137" i="21408"/>
  <c r="AG62" i="21408"/>
  <c r="AG65" i="21408"/>
  <c r="AE21" i="21402"/>
  <c r="AG110" i="21408"/>
  <c r="AE18" i="21402"/>
  <c r="AG202" i="21408"/>
  <c r="AG85" i="21408"/>
  <c r="AE58" i="21402"/>
  <c r="AG17" i="21408"/>
  <c r="AG105" i="21408"/>
  <c r="AG59" i="21408"/>
  <c r="AE32" i="21402"/>
  <c r="Y58" i="21407"/>
  <c r="AG255" i="21408"/>
  <c r="AG163" i="21408"/>
  <c r="AG112" i="21408"/>
  <c r="AG290" i="21408"/>
  <c r="AG344" i="21408"/>
  <c r="AG201" i="21408"/>
  <c r="AG8" i="21408"/>
  <c r="AG106" i="21408"/>
  <c r="AG7" i="21408"/>
  <c r="AG13" i="21408"/>
  <c r="AG189" i="21408"/>
  <c r="AG190" i="21408" s="1"/>
  <c r="AG16" i="21408"/>
  <c r="AG89" i="21408"/>
  <c r="AG100" i="21408"/>
  <c r="AE61" i="21402"/>
  <c r="AG343" i="21408"/>
  <c r="AG347" i="21408" s="1"/>
  <c r="AG145" i="21408"/>
  <c r="AE68" i="21402"/>
  <c r="AG229" i="21408"/>
  <c r="AE36" i="21402"/>
  <c r="AG29" i="21408"/>
  <c r="AG92" i="21408"/>
  <c r="AG349" i="21408"/>
  <c r="AG157" i="21408"/>
  <c r="AG160" i="21408"/>
  <c r="AG216" i="21408"/>
  <c r="AG143" i="21408"/>
  <c r="AG86" i="21408"/>
  <c r="AG217" i="21408"/>
  <c r="AG132" i="21408"/>
  <c r="AG148" i="21408"/>
  <c r="AG44" i="21408"/>
  <c r="AG226" i="21408"/>
  <c r="AG63" i="21408"/>
  <c r="AG191" i="21408"/>
  <c r="AG31" i="21408"/>
  <c r="AG231" i="21408"/>
  <c r="AG4" i="21408"/>
  <c r="AG24" i="21408"/>
  <c r="AG95" i="21408"/>
  <c r="AG80" i="21408"/>
  <c r="AG165" i="21408"/>
  <c r="AG286" i="21408"/>
  <c r="AG32" i="21408"/>
  <c r="AG60" i="21408"/>
  <c r="AG87" i="21408"/>
  <c r="AG33" i="21408"/>
  <c r="AG146" i="21408"/>
  <c r="AG149" i="21408"/>
  <c r="AG228" i="21408"/>
  <c r="AG218" i="21408"/>
  <c r="AG245" i="21408"/>
  <c r="Y28" i="21407" s="1"/>
  <c r="AE20" i="21402"/>
  <c r="AG142" i="21408"/>
  <c r="Y8" i="21407"/>
  <c r="AG289" i="21408"/>
  <c r="AG46" i="21408"/>
  <c r="AG288" i="21408"/>
  <c r="AE55" i="21402"/>
  <c r="AG116" i="21408"/>
  <c r="Y43" i="21407"/>
  <c r="AE54" i="21402"/>
  <c r="AG182" i="21408"/>
  <c r="AG287" i="21408"/>
  <c r="AG220" i="21408"/>
  <c r="Y30" i="21407"/>
  <c r="Y56" i="21407"/>
  <c r="AG56" i="21408"/>
  <c r="AG155" i="21408"/>
  <c r="AG118" i="21408"/>
  <c r="AG211" i="21408"/>
  <c r="AG164" i="21408"/>
  <c r="AG97" i="21408"/>
  <c r="AG135" i="21408"/>
  <c r="AG249" i="21408"/>
  <c r="AG52" i="21408"/>
  <c r="AG215" i="21408"/>
  <c r="AE40" i="21402"/>
  <c r="Y15" i="21407"/>
  <c r="AG257" i="21408"/>
  <c r="AG233" i="21408"/>
  <c r="Y9" i="21407"/>
  <c r="AG9" i="21408"/>
  <c r="AG22" i="21408"/>
  <c r="AG51" i="21408"/>
  <c r="AG58" i="21408"/>
  <c r="AG237" i="21408"/>
  <c r="AG88" i="21408"/>
  <c r="AG69" i="21408"/>
  <c r="AG345" i="21408"/>
  <c r="AG84" i="21408"/>
  <c r="Y5" i="21407"/>
  <c r="AG238" i="21408"/>
  <c r="AE4" i="21402"/>
  <c r="AG141" i="21408"/>
  <c r="AE59" i="21402"/>
  <c r="Y10" i="21407"/>
  <c r="AG126" i="21408"/>
  <c r="AG166" i="21408"/>
  <c r="Y46" i="21407"/>
  <c r="AG184" i="21408"/>
  <c r="AG66" i="21408"/>
  <c r="AG251" i="21408"/>
  <c r="AE56" i="21402"/>
  <c r="AG28" i="21408"/>
  <c r="AG181" i="21408"/>
  <c r="AG193" i="21408"/>
  <c r="Y36" i="21407"/>
  <c r="AG206" i="21408"/>
  <c r="AG30" i="21408"/>
  <c r="AE33" i="21402"/>
  <c r="AG94" i="21408"/>
  <c r="AE71" i="21402"/>
  <c r="AG258" i="21408"/>
  <c r="AG248" i="21408"/>
  <c r="AF83" i="21408"/>
  <c r="AG128" i="21408"/>
  <c r="AE67" i="21402"/>
  <c r="AG101" i="21408"/>
  <c r="AG179" i="21408"/>
  <c r="AG108" i="21408"/>
  <c r="AE37" i="21402"/>
  <c r="AG5" i="21408"/>
  <c r="AE15" i="21402"/>
  <c r="Y47" i="21407"/>
  <c r="AE23" i="21402"/>
  <c r="Y22" i="21407"/>
  <c r="AG207" i="21408"/>
  <c r="AG203" i="21408"/>
  <c r="AE17" i="21402"/>
  <c r="AG174" i="21408"/>
  <c r="AE70" i="21402"/>
  <c r="Y50" i="21407"/>
  <c r="AG212" i="21408"/>
  <c r="AG252" i="21408"/>
  <c r="AG121" i="21408"/>
  <c r="Y60" i="21407"/>
  <c r="AE8" i="21402"/>
  <c r="AG123" i="21408"/>
  <c r="AG227" i="21408"/>
  <c r="AG253" i="21408"/>
  <c r="AG152" i="21408"/>
  <c r="Y42" i="21407"/>
  <c r="Y49" i="21407"/>
  <c r="AG161" i="21408"/>
  <c r="AG346" i="21408"/>
  <c r="AG356" i="21408"/>
  <c r="AG107" i="21408"/>
  <c r="AG14" i="21408"/>
  <c r="AG147" i="21408"/>
  <c r="AE49" i="21402"/>
  <c r="AG225" i="21408"/>
  <c r="Y59" i="21407"/>
  <c r="AG90" i="21408"/>
  <c r="Y54" i="21407"/>
  <c r="AG45" i="21408"/>
  <c r="AG55" i="21408"/>
  <c r="AG124" i="21408"/>
  <c r="AG57" i="21408"/>
  <c r="AG154" i="21408"/>
  <c r="AG64" i="21408"/>
  <c r="AG125" i="21408"/>
  <c r="Y16" i="21407"/>
  <c r="AG186" i="21408"/>
  <c r="AG180" i="21408"/>
  <c r="AG200" i="21408"/>
  <c r="AG20" i="21408"/>
  <c r="AE6" i="21402"/>
  <c r="AG93" i="21408"/>
  <c r="AG256" i="21408"/>
  <c r="AG170" i="21408"/>
  <c r="AG350" i="21408"/>
  <c r="Y20" i="21407"/>
  <c r="Y51" i="21407"/>
  <c r="AG61" i="21408"/>
  <c r="AG76" i="21408"/>
  <c r="AG173" i="21408"/>
  <c r="AG205" i="21408"/>
  <c r="AG304" i="21408"/>
  <c r="AG75" i="21408"/>
  <c r="AG67" i="21408"/>
  <c r="Y24" i="21407"/>
  <c r="AG230" i="21408"/>
  <c r="AG246" i="21408"/>
  <c r="AG300" i="21408"/>
  <c r="AG19" i="21408"/>
  <c r="AG159" i="21408"/>
  <c r="AE5" i="21402"/>
  <c r="AG117" i="21408"/>
  <c r="AG172" i="21408"/>
  <c r="AG21" i="21408"/>
  <c r="AE39" i="21402"/>
  <c r="AG70" i="21408"/>
  <c r="AG168" i="21408"/>
  <c r="AE42" i="21402"/>
  <c r="AG250" i="21408"/>
  <c r="AG167" i="21408"/>
  <c r="AG150" i="21408"/>
  <c r="AG219" i="21408"/>
  <c r="Y4" i="21407"/>
  <c r="AG71" i="21408"/>
  <c r="AE10" i="21402"/>
  <c r="Y55" i="21407"/>
  <c r="Y37" i="21407"/>
  <c r="AE50" i="21402"/>
  <c r="Y19" i="21407"/>
  <c r="AG79" i="21408"/>
  <c r="AG260" i="21408"/>
  <c r="AG158" i="21408"/>
  <c r="AG130" i="21408"/>
  <c r="AG47" i="21408"/>
  <c r="AG221" i="21408"/>
  <c r="AE3" i="21402"/>
  <c r="Y44" i="21407"/>
  <c r="AG120" i="21408"/>
  <c r="AG192" i="21408"/>
  <c r="AG11" i="21408"/>
  <c r="AE35" i="21402"/>
  <c r="AG23" i="21408"/>
  <c r="AE25" i="21402"/>
  <c r="AG27" i="21408"/>
  <c r="AG247" i="21408"/>
  <c r="AG134" i="21408"/>
  <c r="AG109" i="21408"/>
  <c r="AG49" i="21408"/>
  <c r="AG99" i="21408"/>
  <c r="AG187" i="21408"/>
  <c r="AG188" i="21408" s="1"/>
  <c r="AG303" i="21408"/>
  <c r="AG77" i="21408"/>
  <c r="AE26" i="21402"/>
  <c r="AG185" i="21408"/>
  <c r="AG25" i="21408"/>
  <c r="AG138" i="21408"/>
  <c r="AG127" i="21408"/>
  <c r="AG104" i="21408"/>
  <c r="AG210" i="21408"/>
  <c r="AG53" i="21408"/>
  <c r="AG122" i="21408"/>
  <c r="AE72" i="21402"/>
  <c r="AG232" i="21408"/>
  <c r="AG129" i="21408"/>
  <c r="AG169" i="21408"/>
  <c r="AG144" i="21408"/>
  <c r="AG208" i="21408"/>
  <c r="AG133" i="21408"/>
  <c r="AG153" i="21408"/>
  <c r="AG294" i="21408"/>
  <c r="Y21" i="21407"/>
  <c r="AG26" i="21408"/>
  <c r="AE16" i="21402"/>
  <c r="AG259" i="21408"/>
  <c r="AG115" i="21408"/>
  <c r="Y34" i="21407"/>
  <c r="Y38" i="21407"/>
  <c r="AG34" i="21408"/>
  <c r="AE22" i="21402"/>
  <c r="AG140" i="21408"/>
  <c r="Y6" i="21407"/>
  <c r="AG18" i="21408"/>
  <c r="AE34" i="21402"/>
  <c r="AE24" i="21402"/>
  <c r="AE43" i="21402"/>
  <c r="AG103" i="21408"/>
  <c r="AE69" i="21402"/>
  <c r="AG98" i="21408"/>
  <c r="AE57" i="21402"/>
  <c r="AG162" i="21408"/>
  <c r="AG213" i="21408"/>
  <c r="Y41" i="21407"/>
  <c r="AG50" i="21408"/>
  <c r="AG139" i="21408"/>
  <c r="AG351" i="21408"/>
  <c r="AG48" i="21408"/>
  <c r="AE19" i="21402"/>
  <c r="AG131" i="21408"/>
  <c r="AG183" i="21408"/>
  <c r="AG15" i="21408"/>
  <c r="AG223" i="21408"/>
  <c r="AG12" i="21408"/>
  <c r="AG54" i="21408"/>
  <c r="AG301" i="21408"/>
  <c r="AE52" i="21402"/>
  <c r="AG81" i="21408"/>
  <c r="AG136" i="21408"/>
  <c r="AG82" i="21408"/>
  <c r="AG73" i="21408"/>
  <c r="AG254" i="21408"/>
  <c r="AG204" i="21408"/>
  <c r="AG10" i="21408"/>
  <c r="AE9" i="21402"/>
  <c r="AE53" i="21402"/>
  <c r="AG74" i="21408"/>
  <c r="AG114" i="21408"/>
  <c r="AG72" i="21408"/>
  <c r="AG222" i="21408"/>
  <c r="AE60" i="21402"/>
  <c r="Y14" i="21407"/>
  <c r="AE38" i="21402"/>
  <c r="AG151" i="21408"/>
  <c r="AG6" i="21408"/>
  <c r="Y57" i="21407"/>
  <c r="AG291" i="21408"/>
  <c r="AG171" i="21408"/>
  <c r="AG111" i="21408"/>
  <c r="AG96" i="21408"/>
  <c r="AG68" i="21408"/>
  <c r="AG240" i="21408"/>
  <c r="AE51" i="21402"/>
  <c r="AF3" i="21408"/>
  <c r="AF175" i="21408"/>
  <c r="AF176" i="21408" s="1"/>
  <c r="AY50" i="21428"/>
  <c r="M50" i="21428"/>
  <c r="M40" i="21430"/>
  <c r="AY40" i="21430"/>
  <c r="AX41" i="21430"/>
  <c r="AW41" i="21430"/>
  <c r="AX52" i="21428"/>
  <c r="M52" i="21428" s="1"/>
  <c r="C54" i="21428"/>
  <c r="AW52" i="21428"/>
  <c r="AX42" i="21430"/>
  <c r="C44" i="21430"/>
  <c r="AW42" i="21430"/>
  <c r="AW31" i="21422"/>
  <c r="AY31" i="21422" s="1"/>
  <c r="C33" i="21422"/>
  <c r="C30" i="3" l="1"/>
  <c r="C32" i="3" s="1"/>
  <c r="C34" i="3" s="1"/>
  <c r="J29" i="3"/>
  <c r="AG3" i="21408"/>
  <c r="AG244" i="21408"/>
  <c r="AG243" i="21408" s="1"/>
  <c r="AG242" i="21408" s="1"/>
  <c r="AG175" i="21408"/>
  <c r="AG176" i="21408" s="1"/>
  <c r="AG209" i="21408"/>
  <c r="AG43" i="21408"/>
  <c r="AG42" i="21408" s="1"/>
  <c r="AG41" i="21408" s="1"/>
  <c r="AG298" i="21408"/>
  <c r="AG299" i="21408" s="1"/>
  <c r="AG293" i="21408"/>
  <c r="AW44" i="21430"/>
  <c r="AX44" i="21430"/>
  <c r="C46" i="21430"/>
  <c r="AY42" i="21430"/>
  <c r="M42" i="21430"/>
  <c r="AY52" i="21428"/>
  <c r="AZ41" i="21430"/>
  <c r="AW54" i="21428"/>
  <c r="AX54" i="21428"/>
  <c r="C56" i="21428"/>
  <c r="C58" i="21428" s="1"/>
  <c r="J34" i="21422"/>
  <c r="AW34" i="21422" s="1"/>
  <c r="AZ34" i="21422" s="1"/>
  <c r="AW33" i="21422"/>
  <c r="AY33" i="21422" s="1"/>
  <c r="C35" i="21422"/>
  <c r="C36" i="3" l="1"/>
  <c r="C38" i="3" s="1"/>
  <c r="C40" i="3" s="1"/>
  <c r="J35" i="3"/>
  <c r="AW46" i="21430"/>
  <c r="F46" i="21430"/>
  <c r="J45" i="21430"/>
  <c r="C48" i="21430"/>
  <c r="AX46" i="21430"/>
  <c r="F58" i="21428"/>
  <c r="C60" i="21428"/>
  <c r="AY44" i="21430"/>
  <c r="M44" i="21430"/>
  <c r="M54" i="21428"/>
  <c r="AY54" i="21428"/>
  <c r="C37" i="21422"/>
  <c r="AW35" i="21422"/>
  <c r="AY35" i="21422" s="1"/>
  <c r="J40" i="3" l="1"/>
  <c r="C42" i="3"/>
  <c r="AC4" i="21419"/>
  <c r="AC37" i="21412"/>
  <c r="AB160" i="21408"/>
  <c r="AB245" i="21408"/>
  <c r="T28" i="21407" s="1"/>
  <c r="AB248" i="21408"/>
  <c r="AB26" i="21408"/>
  <c r="AB182" i="21408"/>
  <c r="T9" i="21407"/>
  <c r="AB29" i="21408"/>
  <c r="Z8" i="21402"/>
  <c r="AB183" i="21408"/>
  <c r="AB82" i="21408"/>
  <c r="AB110" i="21408"/>
  <c r="AB18" i="21408"/>
  <c r="AB61" i="21408"/>
  <c r="AB6" i="21408"/>
  <c r="AB96" i="21408"/>
  <c r="AB48" i="21408"/>
  <c r="T38" i="21407"/>
  <c r="AB170" i="21408"/>
  <c r="AB166" i="21408"/>
  <c r="AB8" i="21408"/>
  <c r="AB178" i="21408"/>
  <c r="T5" i="21407"/>
  <c r="AB227" i="21408"/>
  <c r="T16" i="21407"/>
  <c r="AB121" i="21408"/>
  <c r="AB168" i="21408"/>
  <c r="AB71" i="21408"/>
  <c r="AB207" i="21408"/>
  <c r="T58" i="21407"/>
  <c r="AB32" i="21408"/>
  <c r="AB258" i="21408"/>
  <c r="AB191" i="21408"/>
  <c r="T8" i="21407"/>
  <c r="Z34" i="21402"/>
  <c r="AB72" i="21408"/>
  <c r="T46" i="21407"/>
  <c r="AB7" i="21408"/>
  <c r="AB25" i="21408"/>
  <c r="AB14" i="21408"/>
  <c r="AB130" i="21408"/>
  <c r="AB45" i="21408"/>
  <c r="AB164" i="21408"/>
  <c r="AB5" i="21408"/>
  <c r="AB211" i="21408"/>
  <c r="AB189" i="21408"/>
  <c r="AB190" i="21408" s="1"/>
  <c r="AB115" i="21408"/>
  <c r="AB288" i="21408"/>
  <c r="Z53" i="21402"/>
  <c r="AB162" i="21408"/>
  <c r="AB346" i="21408"/>
  <c r="AB286" i="21408"/>
  <c r="AB126" i="21408"/>
  <c r="AB128" i="21408"/>
  <c r="AB257" i="21408"/>
  <c r="AB23" i="21408"/>
  <c r="AB105" i="21408"/>
  <c r="AB89" i="21408"/>
  <c r="Z37" i="21402"/>
  <c r="AB123" i="21408"/>
  <c r="AB218" i="21408"/>
  <c r="AB67" i="21408"/>
  <c r="Z36" i="21402"/>
  <c r="AB85" i="21408"/>
  <c r="AB156" i="21408"/>
  <c r="T36" i="21407"/>
  <c r="AB112" i="21408"/>
  <c r="AB180" i="21408"/>
  <c r="Z58" i="21402"/>
  <c r="Z41" i="21402"/>
  <c r="AB152" i="21408"/>
  <c r="T14" i="21407"/>
  <c r="AB46" i="21408"/>
  <c r="AB127" i="21408"/>
  <c r="Z35" i="21402"/>
  <c r="AB97" i="21408"/>
  <c r="AB230" i="21408"/>
  <c r="T54" i="21407"/>
  <c r="T34" i="21407"/>
  <c r="AB102" i="21408"/>
  <c r="AB145" i="21408"/>
  <c r="AB116" i="21408"/>
  <c r="AB101" i="21408"/>
  <c r="Z16" i="21402"/>
  <c r="AB223" i="21408"/>
  <c r="AB255" i="21408"/>
  <c r="AB291" i="21408"/>
  <c r="Z55" i="21402"/>
  <c r="AB210" i="21408"/>
  <c r="Z4" i="21402"/>
  <c r="AB217" i="21408"/>
  <c r="Z67" i="21402"/>
  <c r="AB208" i="21408"/>
  <c r="T59" i="21407"/>
  <c r="AB224" i="21408"/>
  <c r="AB56" i="21408"/>
  <c r="Z32" i="21402"/>
  <c r="T24" i="21407"/>
  <c r="AB4" i="21408"/>
  <c r="Z60" i="21402"/>
  <c r="AB231" i="21408"/>
  <c r="AB63" i="21408"/>
  <c r="AB204" i="21408"/>
  <c r="Z57" i="21402"/>
  <c r="AB77" i="21408"/>
  <c r="T60" i="21407"/>
  <c r="AB232" i="21408"/>
  <c r="AB150" i="21408"/>
  <c r="T40" i="21407"/>
  <c r="AB24" i="21408"/>
  <c r="AB107" i="21408"/>
  <c r="AB349" i="21408"/>
  <c r="AB147" i="21408"/>
  <c r="AB144" i="21408"/>
  <c r="AB106" i="21408"/>
  <c r="AB129" i="21408"/>
  <c r="AB114" i="21408"/>
  <c r="AB173" i="21408"/>
  <c r="AB138" i="21408"/>
  <c r="T51" i="21407"/>
  <c r="T49" i="21407"/>
  <c r="AB161" i="21408"/>
  <c r="T26" i="21407"/>
  <c r="AB73" i="21408"/>
  <c r="AB93" i="21408"/>
  <c r="AB124" i="21408"/>
  <c r="AB69" i="21408"/>
  <c r="AB87" i="21408"/>
  <c r="Z68" i="21402"/>
  <c r="Z56" i="21402"/>
  <c r="AB66" i="21408"/>
  <c r="AB15" i="21408"/>
  <c r="AB151" i="21408"/>
  <c r="AB68" i="21408"/>
  <c r="AB251" i="21408"/>
  <c r="AB103" i="21408"/>
  <c r="AB219" i="21408"/>
  <c r="AB163" i="21408"/>
  <c r="AB55" i="21408"/>
  <c r="AB252" i="21408"/>
  <c r="AB141" i="21408"/>
  <c r="Z70" i="21402"/>
  <c r="AB47" i="21408"/>
  <c r="AB185" i="21408"/>
  <c r="Z69" i="21402"/>
  <c r="AB9" i="21408"/>
  <c r="AB250" i="21408"/>
  <c r="AB91" i="21408"/>
  <c r="Z23" i="21402"/>
  <c r="T44" i="21407"/>
  <c r="AB34" i="21408"/>
  <c r="Z33" i="21402"/>
  <c r="AB74" i="21408"/>
  <c r="AB172" i="21408"/>
  <c r="AB158" i="21408"/>
  <c r="T20" i="21407"/>
  <c r="AB225" i="21408"/>
  <c r="T55" i="21407"/>
  <c r="AB108" i="21408"/>
  <c r="T32" i="21407"/>
  <c r="Z39" i="21402"/>
  <c r="Z26" i="21402"/>
  <c r="AB290" i="21408"/>
  <c r="AB301" i="21408"/>
  <c r="AB136" i="21408"/>
  <c r="Z38" i="21402"/>
  <c r="AB17" i="21408"/>
  <c r="AB51" i="21408"/>
  <c r="AB222" i="21408"/>
  <c r="Z20" i="21402"/>
  <c r="AB13" i="21408"/>
  <c r="AB192" i="21408"/>
  <c r="AB154" i="21408"/>
  <c r="T19" i="21407"/>
  <c r="AB165" i="21408"/>
  <c r="AB228" i="21408"/>
  <c r="T10" i="21407"/>
  <c r="AB98" i="21408"/>
  <c r="AB64" i="21408"/>
  <c r="AB287" i="21408"/>
  <c r="AB80" i="21408"/>
  <c r="Z50" i="21402"/>
  <c r="AB135" i="21408"/>
  <c r="AB167" i="21408"/>
  <c r="AB229" i="21408"/>
  <c r="Z21" i="21402"/>
  <c r="AB143" i="21408"/>
  <c r="AB75" i="21408"/>
  <c r="AB177" i="21408"/>
  <c r="AB99" i="21408"/>
  <c r="T53" i="21407"/>
  <c r="AB303" i="21408"/>
  <c r="AB113" i="21408"/>
  <c r="AB233" i="21408"/>
  <c r="Z51" i="21402"/>
  <c r="AB27" i="21408"/>
  <c r="Z59" i="21402"/>
  <c r="AB238" i="21408"/>
  <c r="AB181" i="21408"/>
  <c r="AB184" i="21408"/>
  <c r="AB65" i="21408"/>
  <c r="Z61" i="21402"/>
  <c r="Z71" i="21402"/>
  <c r="Z52" i="21402"/>
  <c r="AB260" i="21408"/>
  <c r="AB193" i="21408"/>
  <c r="AB58" i="21408"/>
  <c r="AB206" i="21408"/>
  <c r="AB28" i="21408"/>
  <c r="Z3" i="21402"/>
  <c r="AB31" i="21408"/>
  <c r="AB344" i="21408"/>
  <c r="AB253" i="21408"/>
  <c r="AB92" i="21408"/>
  <c r="Z40" i="21402"/>
  <c r="AB350" i="21408"/>
  <c r="AB59" i="21408"/>
  <c r="AB187" i="21408"/>
  <c r="AB188" i="21408" s="1"/>
  <c r="AB44" i="21408"/>
  <c r="AB79" i="21408"/>
  <c r="AB11" i="21408"/>
  <c r="AB100" i="21408"/>
  <c r="AB186" i="21408"/>
  <c r="AB78" i="21408"/>
  <c r="AB237" i="21408"/>
  <c r="T31" i="21407"/>
  <c r="AB169" i="21408"/>
  <c r="AB70" i="21408"/>
  <c r="Z54" i="21402"/>
  <c r="AB148" i="21408"/>
  <c r="AB300" i="21408"/>
  <c r="Z15" i="21402"/>
  <c r="AB221" i="21408"/>
  <c r="AB134" i="21408"/>
  <c r="AB133" i="21408"/>
  <c r="Z43" i="21402"/>
  <c r="AB118" i="21408"/>
  <c r="Z6" i="21402"/>
  <c r="AB351" i="21408"/>
  <c r="AB122" i="21408"/>
  <c r="Z18" i="21402"/>
  <c r="AB132" i="21408"/>
  <c r="T4" i="21407"/>
  <c r="AB120" i="21408"/>
  <c r="AB52" i="21408"/>
  <c r="AB140" i="21408"/>
  <c r="AB117" i="21408"/>
  <c r="Z19" i="21402"/>
  <c r="T50" i="21407"/>
  <c r="AB203" i="21408"/>
  <c r="Z72" i="21402"/>
  <c r="AB146" i="21408"/>
  <c r="AA83" i="21408"/>
  <c r="T41" i="21407"/>
  <c r="AB111" i="21408"/>
  <c r="AB304" i="21408"/>
  <c r="AB212" i="21408"/>
  <c r="AB21" i="21408"/>
  <c r="Z5" i="21402"/>
  <c r="AB12" i="21408"/>
  <c r="T22" i="21407"/>
  <c r="AB249" i="21408"/>
  <c r="T43" i="21407"/>
  <c r="T47" i="21407"/>
  <c r="AB200" i="21408"/>
  <c r="AB142" i="21408"/>
  <c r="AB119" i="21408"/>
  <c r="AB149" i="21408"/>
  <c r="T56" i="21407"/>
  <c r="AB131" i="21408"/>
  <c r="AB157" i="21408"/>
  <c r="AB213" i="21408"/>
  <c r="AB109" i="21408"/>
  <c r="AB10" i="21408"/>
  <c r="T21" i="21407"/>
  <c r="Z17" i="21402"/>
  <c r="Z9" i="21402"/>
  <c r="AB137" i="21408"/>
  <c r="AB49" i="21408"/>
  <c r="AB125" i="21408"/>
  <c r="AB216" i="21408"/>
  <c r="AB226" i="21408"/>
  <c r="AB33" i="21408"/>
  <c r="AB205" i="21408"/>
  <c r="AB171" i="21408"/>
  <c r="AB88" i="21408"/>
  <c r="T37" i="21407"/>
  <c r="AB179" i="21408"/>
  <c r="AB104" i="21408"/>
  <c r="AB247" i="21408"/>
  <c r="AB19" i="21408"/>
  <c r="AB356" i="21408"/>
  <c r="T42" i="21407"/>
  <c r="AB76" i="21408"/>
  <c r="Z24" i="21402"/>
  <c r="AB256" i="21408"/>
  <c r="AB254" i="21408"/>
  <c r="Z25" i="21402"/>
  <c r="Z22" i="21402"/>
  <c r="AB202" i="21408"/>
  <c r="T57" i="21407"/>
  <c r="AB86" i="21408"/>
  <c r="AB259" i="21408"/>
  <c r="AB81" i="21408"/>
  <c r="AB16" i="21408"/>
  <c r="T30" i="21407"/>
  <c r="T6" i="21407"/>
  <c r="AB159" i="21408"/>
  <c r="AB220" i="21408"/>
  <c r="AB240" i="21408"/>
  <c r="AB139" i="21408"/>
  <c r="T15" i="21407"/>
  <c r="AB153" i="21408"/>
  <c r="AB95" i="21408"/>
  <c r="AB94" i="21408"/>
  <c r="AB54" i="21408"/>
  <c r="AB155" i="21408"/>
  <c r="AB343" i="21408"/>
  <c r="AB347" i="21408" s="1"/>
  <c r="AB20" i="21408"/>
  <c r="AB57" i="21408"/>
  <c r="AB53" i="21408"/>
  <c r="AB289" i="21408"/>
  <c r="Z10" i="21402"/>
  <c r="AB90" i="21408"/>
  <c r="AB345" i="21408"/>
  <c r="AB215" i="21408"/>
  <c r="AB201" i="21408"/>
  <c r="Z49" i="21402"/>
  <c r="AB174" i="21408"/>
  <c r="AB62" i="21408"/>
  <c r="Z42" i="21402"/>
  <c r="AB22" i="21408"/>
  <c r="AB30" i="21408"/>
  <c r="AB246" i="21408"/>
  <c r="AB84" i="21408"/>
  <c r="AB294" i="21408"/>
  <c r="AB298" i="21408" s="1"/>
  <c r="AB299" i="21408" s="1"/>
  <c r="AB50" i="21408"/>
  <c r="AB60" i="21408"/>
  <c r="AB43" i="21408"/>
  <c r="AB42" i="21408" s="1"/>
  <c r="AB41" i="21408" s="1"/>
  <c r="AW60" i="21428"/>
  <c r="AX60" i="21428"/>
  <c r="C50" i="21430"/>
  <c r="AW48" i="21430"/>
  <c r="J49" i="21430"/>
  <c r="AX48" i="21430"/>
  <c r="F48" i="21430"/>
  <c r="F60" i="21428"/>
  <c r="C62" i="21428"/>
  <c r="C64" i="21428" s="1"/>
  <c r="AW45" i="21430"/>
  <c r="AX45" i="21430"/>
  <c r="AY46" i="21430"/>
  <c r="M46" i="21430"/>
  <c r="AW37" i="21422"/>
  <c r="AY37" i="21422" s="1"/>
  <c r="C39" i="21422"/>
  <c r="C41" i="21422" s="1"/>
  <c r="AW41" i="21422" s="1"/>
  <c r="AY41" i="21422" s="1"/>
  <c r="AB209" i="21408" l="1"/>
  <c r="C44" i="3"/>
  <c r="C46" i="3" s="1"/>
  <c r="J41" i="3"/>
  <c r="AB293" i="21408"/>
  <c r="AB244" i="21408"/>
  <c r="AB243" i="21408" s="1"/>
  <c r="AB242" i="21408" s="1"/>
  <c r="AB3" i="21408"/>
  <c r="AB175" i="21408"/>
  <c r="AB176" i="21408" s="1"/>
  <c r="AA34" i="21408"/>
  <c r="AA52" i="21408"/>
  <c r="AA163" i="21408"/>
  <c r="S58" i="21407"/>
  <c r="S31" i="21407"/>
  <c r="AA26" i="21408"/>
  <c r="AA94" i="21408"/>
  <c r="AA102" i="21408"/>
  <c r="Y5" i="21402"/>
  <c r="AA72" i="21408"/>
  <c r="AA25" i="21408"/>
  <c r="AA155" i="21408"/>
  <c r="AA170" i="21408"/>
  <c r="S59" i="21407"/>
  <c r="AA153" i="21408"/>
  <c r="AA146" i="21408"/>
  <c r="AA51" i="21408"/>
  <c r="AA95" i="21408"/>
  <c r="AA104" i="21408"/>
  <c r="AA255" i="21408"/>
  <c r="AA350" i="21408"/>
  <c r="AA131" i="21408"/>
  <c r="AA21" i="21408"/>
  <c r="Y42" i="21402"/>
  <c r="Y69" i="21402"/>
  <c r="AA225" i="21408"/>
  <c r="AA288" i="21408"/>
  <c r="AA254" i="21408"/>
  <c r="Y35" i="21402"/>
  <c r="AA115" i="21408"/>
  <c r="AA200" i="21408"/>
  <c r="AA228" i="21408"/>
  <c r="AA120" i="21408"/>
  <c r="AA69" i="21408"/>
  <c r="AA144" i="21408"/>
  <c r="AA48" i="21408"/>
  <c r="AA192" i="21408"/>
  <c r="Y60" i="21402"/>
  <c r="AA33" i="21408"/>
  <c r="AA118" i="21408"/>
  <c r="Y9" i="21402"/>
  <c r="AA132" i="21408"/>
  <c r="Y70" i="21402"/>
  <c r="S53" i="21407"/>
  <c r="S47" i="21407"/>
  <c r="S8" i="21407"/>
  <c r="AA57" i="21408"/>
  <c r="AA184" i="21408"/>
  <c r="AA31" i="21408"/>
  <c r="AA117" i="21408"/>
  <c r="AA127" i="21408"/>
  <c r="AA249" i="21408"/>
  <c r="AA78" i="21408"/>
  <c r="Y33" i="21402"/>
  <c r="Y22" i="21402"/>
  <c r="S6" i="21407"/>
  <c r="AA227" i="21408"/>
  <c r="AA113" i="21408"/>
  <c r="S19" i="21407"/>
  <c r="AA124" i="21408"/>
  <c r="S44" i="21407"/>
  <c r="AA291" i="21408"/>
  <c r="AA212" i="21408"/>
  <c r="AA286" i="21408"/>
  <c r="S37" i="21407"/>
  <c r="AA253" i="21408"/>
  <c r="Y72" i="21402"/>
  <c r="AA133" i="21408"/>
  <c r="S32" i="21407"/>
  <c r="AA349" i="21408"/>
  <c r="AA8" i="21408"/>
  <c r="Y23" i="21402"/>
  <c r="S49" i="21407"/>
  <c r="Y21" i="21402"/>
  <c r="AA128" i="21408"/>
  <c r="S30" i="21407"/>
  <c r="AA65" i="21408"/>
  <c r="Y18" i="21402"/>
  <c r="Y34" i="21402"/>
  <c r="AA99" i="21408"/>
  <c r="AA15" i="21408"/>
  <c r="AA220" i="21408"/>
  <c r="AA19" i="21408"/>
  <c r="AA208" i="21408"/>
  <c r="S50" i="21407"/>
  <c r="AA157" i="21408"/>
  <c r="AA80" i="21408"/>
  <c r="AA345" i="21408"/>
  <c r="AA294" i="21408"/>
  <c r="AA165" i="21408"/>
  <c r="AA109" i="21408"/>
  <c r="AA126" i="21408"/>
  <c r="AA256" i="21408"/>
  <c r="AA173" i="21408"/>
  <c r="AA201" i="21408"/>
  <c r="AA119" i="21408"/>
  <c r="AA247" i="21408"/>
  <c r="AA191" i="21408"/>
  <c r="AA168" i="21408"/>
  <c r="Y43" i="21402"/>
  <c r="AA123" i="21408"/>
  <c r="Y57" i="21402"/>
  <c r="AA177" i="21408"/>
  <c r="AA151" i="21408"/>
  <c r="AA172" i="21408"/>
  <c r="AA289" i="21408"/>
  <c r="AA100" i="21408"/>
  <c r="S40" i="21407"/>
  <c r="AA87" i="21408"/>
  <c r="AA343" i="21408"/>
  <c r="AA347" i="21408" s="1"/>
  <c r="AA218" i="21408"/>
  <c r="AA303" i="21408"/>
  <c r="AA107" i="21408"/>
  <c r="AA30" i="21408"/>
  <c r="Y61" i="21402"/>
  <c r="AA16" i="21408"/>
  <c r="Y56" i="21402"/>
  <c r="AA351" i="21408"/>
  <c r="AA226" i="21408"/>
  <c r="S60" i="21407"/>
  <c r="AA250" i="21408"/>
  <c r="S9" i="21407"/>
  <c r="AA85" i="21408"/>
  <c r="AA223" i="21408"/>
  <c r="AA217" i="21408"/>
  <c r="Y40" i="21402"/>
  <c r="AA116" i="21408"/>
  <c r="Y58" i="21402"/>
  <c r="AA90" i="21408"/>
  <c r="AA61" i="21408"/>
  <c r="S42" i="21407"/>
  <c r="AA252" i="21408"/>
  <c r="AA125" i="21408"/>
  <c r="AA147" i="21408"/>
  <c r="AA356" i="21408"/>
  <c r="AA233" i="21408"/>
  <c r="S41" i="21407"/>
  <c r="AA143" i="21408"/>
  <c r="AA20" i="21408"/>
  <c r="Y26" i="21402"/>
  <c r="AA91" i="21408"/>
  <c r="S43" i="21407"/>
  <c r="AA186" i="21408"/>
  <c r="AA148" i="21408"/>
  <c r="AA344" i="21408"/>
  <c r="S36" i="21407"/>
  <c r="AA142" i="21408"/>
  <c r="AA183" i="21408"/>
  <c r="S5" i="21407"/>
  <c r="AA251" i="21408"/>
  <c r="Y55" i="21402"/>
  <c r="AA232" i="21408"/>
  <c r="Y15" i="21402"/>
  <c r="AA164" i="21408"/>
  <c r="Y16" i="21402"/>
  <c r="Y24" i="21402"/>
  <c r="AA138" i="21408"/>
  <c r="AA174" i="21408"/>
  <c r="AA204" i="21408"/>
  <c r="AA205" i="21408"/>
  <c r="AA24" i="21408"/>
  <c r="AA181" i="21408"/>
  <c r="AA140" i="21408"/>
  <c r="AA141" i="21408"/>
  <c r="S20" i="21407"/>
  <c r="S54" i="21407"/>
  <c r="AA5" i="21408"/>
  <c r="AA74" i="21408"/>
  <c r="Y50" i="21402"/>
  <c r="AA9" i="21408"/>
  <c r="AA7" i="21408"/>
  <c r="AA68" i="21408"/>
  <c r="AA27" i="21408"/>
  <c r="AA187" i="21408"/>
  <c r="AA188" i="21408" s="1"/>
  <c r="AA59" i="21408"/>
  <c r="AA47" i="21408"/>
  <c r="AA162" i="21408"/>
  <c r="AA287" i="21408"/>
  <c r="AA160" i="21408"/>
  <c r="Y17" i="21402"/>
  <c r="AA114" i="21408"/>
  <c r="AA219" i="21408"/>
  <c r="AA129" i="21408"/>
  <c r="AA44" i="21408"/>
  <c r="AA106" i="21408"/>
  <c r="Y4" i="21402"/>
  <c r="AA300" i="21408"/>
  <c r="AA161" i="21408"/>
  <c r="AA301" i="21408"/>
  <c r="AA121" i="21408"/>
  <c r="AA76" i="21408"/>
  <c r="AA77" i="21408"/>
  <c r="AA145" i="21408"/>
  <c r="AA189" i="21408"/>
  <c r="AA190" i="21408" s="1"/>
  <c r="AA60" i="21408"/>
  <c r="Y51" i="21402"/>
  <c r="AA211" i="21408"/>
  <c r="S26" i="21407"/>
  <c r="AA54" i="21408"/>
  <c r="S22" i="21407"/>
  <c r="AA67" i="21408"/>
  <c r="Y3" i="21402"/>
  <c r="AA169" i="21408"/>
  <c r="AA258" i="21408"/>
  <c r="AA135" i="21408"/>
  <c r="AA12" i="21408"/>
  <c r="S14" i="21407"/>
  <c r="Y8" i="21402"/>
  <c r="AA240" i="21408"/>
  <c r="Y52" i="21402"/>
  <c r="AA92" i="21408"/>
  <c r="AA84" i="21408"/>
  <c r="Y67" i="21402"/>
  <c r="Y41" i="21402"/>
  <c r="AA207" i="21408"/>
  <c r="AA221" i="21408"/>
  <c r="S4" i="21407"/>
  <c r="S34" i="21407"/>
  <c r="AA134" i="21408"/>
  <c r="AA108" i="21408"/>
  <c r="AA304" i="21408"/>
  <c r="Y71" i="21402"/>
  <c r="AA86" i="21408"/>
  <c r="AA32" i="21408"/>
  <c r="AA112" i="21408"/>
  <c r="AA122" i="21408"/>
  <c r="AA70" i="21408"/>
  <c r="Y37" i="21402"/>
  <c r="AA50" i="21408"/>
  <c r="AA346" i="21408"/>
  <c r="AA136" i="21408"/>
  <c r="AA81" i="21408"/>
  <c r="AA53" i="21408"/>
  <c r="AA222" i="21408"/>
  <c r="S21" i="21407"/>
  <c r="Y20" i="21402"/>
  <c r="Y32" i="21402"/>
  <c r="AA210" i="21408"/>
  <c r="AA28" i="21408"/>
  <c r="AA6" i="21408"/>
  <c r="S16" i="21407"/>
  <c r="AA152" i="21408"/>
  <c r="AA11" i="21408"/>
  <c r="AA88" i="21408"/>
  <c r="AA82" i="21408"/>
  <c r="S24" i="21407"/>
  <c r="AA49" i="21408"/>
  <c r="AA103" i="21408"/>
  <c r="AA231" i="21408"/>
  <c r="AA17" i="21408"/>
  <c r="Y49" i="21402"/>
  <c r="AA130" i="21408"/>
  <c r="AA179" i="21408"/>
  <c r="Y53" i="21402"/>
  <c r="AA89" i="21408"/>
  <c r="AA246" i="21408"/>
  <c r="AA178" i="21408"/>
  <c r="S57" i="21407"/>
  <c r="AA4" i="21408"/>
  <c r="AA193" i="21408"/>
  <c r="AA71" i="21408"/>
  <c r="Y6" i="21402"/>
  <c r="AA182" i="21408"/>
  <c r="AA75" i="21408"/>
  <c r="AA56" i="21408"/>
  <c r="AA159" i="21408"/>
  <c r="AA154" i="21408"/>
  <c r="S10" i="21407"/>
  <c r="Z83" i="21408"/>
  <c r="AA215" i="21408"/>
  <c r="AA137" i="21408"/>
  <c r="AA96" i="21408"/>
  <c r="Y36" i="21402"/>
  <c r="Y10" i="21402"/>
  <c r="AA248" i="21408"/>
  <c r="AA171" i="21408"/>
  <c r="S46" i="21407"/>
  <c r="S51" i="21407"/>
  <c r="Y59" i="21402"/>
  <c r="AA14" i="21408"/>
  <c r="S15" i="21407"/>
  <c r="Y38" i="21402"/>
  <c r="AA156" i="21408"/>
  <c r="AA63" i="21408"/>
  <c r="AA185" i="21408"/>
  <c r="AA105" i="21408"/>
  <c r="AA29" i="21408"/>
  <c r="AA22" i="21408"/>
  <c r="AA93" i="21408"/>
  <c r="AA149" i="21408"/>
  <c r="Y68" i="21402"/>
  <c r="AA97" i="21408"/>
  <c r="AA64" i="21408"/>
  <c r="AA55" i="21408"/>
  <c r="AA13" i="21408"/>
  <c r="AA180" i="21408"/>
  <c r="AA139" i="21408"/>
  <c r="AA259" i="21408"/>
  <c r="AA23" i="21408"/>
  <c r="AA10" i="21408"/>
  <c r="AA66" i="21408"/>
  <c r="AA79" i="21408"/>
  <c r="AA290" i="21408"/>
  <c r="AA230" i="21408"/>
  <c r="AA101" i="21408"/>
  <c r="Y25" i="21402"/>
  <c r="AA150" i="21408"/>
  <c r="AA46" i="21408"/>
  <c r="AA158" i="21408"/>
  <c r="AA18" i="21408"/>
  <c r="AA257" i="21408"/>
  <c r="AA245" i="21408"/>
  <c r="S28" i="21407" s="1"/>
  <c r="AA260" i="21408"/>
  <c r="AA202" i="21408"/>
  <c r="AA98" i="21408"/>
  <c r="S38" i="21407"/>
  <c r="AA73" i="21408"/>
  <c r="S56" i="21407"/>
  <c r="AA224" i="21408"/>
  <c r="AA45" i="21408"/>
  <c r="AA229" i="21408"/>
  <c r="AA167" i="21408"/>
  <c r="S55" i="21407"/>
  <c r="AA111" i="21408"/>
  <c r="AA216" i="21408"/>
  <c r="AA110" i="21408"/>
  <c r="AA203" i="21408"/>
  <c r="Y39" i="21402"/>
  <c r="AA213" i="21408"/>
  <c r="Y19" i="21402"/>
  <c r="Y54" i="21402"/>
  <c r="AA237" i="21408"/>
  <c r="AA166" i="21408"/>
  <c r="AA62" i="21408"/>
  <c r="AA238" i="21408"/>
  <c r="AA206" i="21408"/>
  <c r="AA58" i="21408"/>
  <c r="X32" i="21402"/>
  <c r="Z139" i="21408"/>
  <c r="Z25" i="21408"/>
  <c r="Z237" i="21408"/>
  <c r="Z174" i="21408"/>
  <c r="Z158" i="21408"/>
  <c r="R46" i="21407"/>
  <c r="R50" i="21407"/>
  <c r="Z185" i="21408"/>
  <c r="Z93" i="21408"/>
  <c r="Z141" i="21408"/>
  <c r="Z170" i="21408"/>
  <c r="X52" i="21402"/>
  <c r="R49" i="21407"/>
  <c r="Z254" i="21408"/>
  <c r="Z251" i="21408"/>
  <c r="Z288" i="21408"/>
  <c r="Z156" i="21408"/>
  <c r="Z149" i="21408"/>
  <c r="X21" i="21402"/>
  <c r="Z201" i="21408"/>
  <c r="Z153" i="21408"/>
  <c r="Z227" i="21408"/>
  <c r="Z229" i="21408"/>
  <c r="X26" i="21402"/>
  <c r="X16" i="21402"/>
  <c r="X39" i="21402"/>
  <c r="Z126" i="21408"/>
  <c r="Z142" i="21408"/>
  <c r="Z256" i="21408"/>
  <c r="X49" i="21402"/>
  <c r="R41" i="21407"/>
  <c r="X56" i="21402"/>
  <c r="Z82" i="21408"/>
  <c r="Z207" i="21408"/>
  <c r="Z183" i="21408"/>
  <c r="Z172" i="21408"/>
  <c r="Z67" i="21408"/>
  <c r="Z34" i="21408"/>
  <c r="Z226" i="21408"/>
  <c r="X19" i="21402"/>
  <c r="Z163" i="21408"/>
  <c r="Z189" i="21408"/>
  <c r="Z190" i="21408" s="1"/>
  <c r="R55" i="21407"/>
  <c r="Z129" i="21408"/>
  <c r="Z63" i="21408"/>
  <c r="X10" i="21402"/>
  <c r="Z231" i="21408"/>
  <c r="Z218" i="21408"/>
  <c r="Z289" i="21408"/>
  <c r="Z92" i="21408"/>
  <c r="Z249" i="21408"/>
  <c r="Z74" i="21408"/>
  <c r="Z131" i="21408"/>
  <c r="R42" i="21407"/>
  <c r="Z221" i="21408"/>
  <c r="X34" i="21402"/>
  <c r="Z104" i="21408"/>
  <c r="Z18" i="21408"/>
  <c r="Z103" i="21408"/>
  <c r="R54" i="21407"/>
  <c r="Z133" i="21408"/>
  <c r="Z99" i="21408"/>
  <c r="Z184" i="21408"/>
  <c r="X67" i="21402"/>
  <c r="Z62" i="21408"/>
  <c r="Z4" i="21408"/>
  <c r="Z343" i="21408"/>
  <c r="Z347" i="21408" s="1"/>
  <c r="Z97" i="21408"/>
  <c r="Z217" i="21408"/>
  <c r="Z287" i="21408"/>
  <c r="R24" i="21407"/>
  <c r="Z105" i="21408"/>
  <c r="Z57" i="21408"/>
  <c r="Z102" i="21408"/>
  <c r="Z145" i="21408"/>
  <c r="Z53" i="21408"/>
  <c r="Z205" i="21408"/>
  <c r="Z222" i="21408"/>
  <c r="Z7" i="21408"/>
  <c r="Z110" i="21408"/>
  <c r="Z14" i="21408"/>
  <c r="Z48" i="21408"/>
  <c r="Z179" i="21408"/>
  <c r="Z138" i="21408"/>
  <c r="Z44" i="21408"/>
  <c r="X24" i="21402"/>
  <c r="Z245" i="21408"/>
  <c r="R28" i="21407" s="1"/>
  <c r="Z162" i="21408"/>
  <c r="Z140" i="21408"/>
  <c r="Z28" i="21408"/>
  <c r="Z232" i="21408"/>
  <c r="Z16" i="21408"/>
  <c r="X22" i="21402"/>
  <c r="Z55" i="21408"/>
  <c r="Z134" i="21408"/>
  <c r="R6" i="21407"/>
  <c r="Z19" i="21408"/>
  <c r="Z32" i="21408"/>
  <c r="Z33" i="21408"/>
  <c r="X17" i="21402"/>
  <c r="Z346" i="21408"/>
  <c r="X33" i="21402"/>
  <c r="Z94" i="21408"/>
  <c r="Y83" i="21408"/>
  <c r="Z168" i="21408"/>
  <c r="Z228" i="21408"/>
  <c r="Z61" i="21408"/>
  <c r="Z204" i="21408"/>
  <c r="Z349" i="21408"/>
  <c r="X25" i="21402"/>
  <c r="Z56" i="21408"/>
  <c r="X20" i="21402"/>
  <c r="R60" i="21407"/>
  <c r="Z21" i="21408"/>
  <c r="X71" i="21402"/>
  <c r="Z13" i="21408"/>
  <c r="Z286" i="21408"/>
  <c r="X38" i="21402"/>
  <c r="Z70" i="21408"/>
  <c r="Z86" i="21408"/>
  <c r="Z210" i="21408"/>
  <c r="Z87" i="21408"/>
  <c r="Z132" i="21408"/>
  <c r="Z117" i="21408"/>
  <c r="Z109" i="21408"/>
  <c r="Z200" i="21408"/>
  <c r="Z9" i="21408"/>
  <c r="Z79" i="21408"/>
  <c r="Z65" i="21408"/>
  <c r="Z248" i="21408"/>
  <c r="X53" i="21402"/>
  <c r="Z356" i="21408"/>
  <c r="Z113" i="21408"/>
  <c r="X68" i="21402"/>
  <c r="Z136" i="21408"/>
  <c r="R19" i="21407"/>
  <c r="R51" i="21407"/>
  <c r="Z77" i="21408"/>
  <c r="R9" i="21407"/>
  <c r="X41" i="21402"/>
  <c r="X18" i="21402"/>
  <c r="X6" i="21402"/>
  <c r="Z257" i="21408"/>
  <c r="Z22" i="21408"/>
  <c r="Z294" i="21408"/>
  <c r="Z191" i="21408"/>
  <c r="Z73" i="21408"/>
  <c r="X58" i="21402"/>
  <c r="Z54" i="21408"/>
  <c r="Z159" i="21408"/>
  <c r="Z259" i="21408"/>
  <c r="Z238" i="21408"/>
  <c r="Z224" i="21408"/>
  <c r="Z225" i="21408"/>
  <c r="Z130" i="21408"/>
  <c r="R21" i="21407"/>
  <c r="X36" i="21402"/>
  <c r="X60" i="21402"/>
  <c r="X43" i="21402"/>
  <c r="Z169" i="21408"/>
  <c r="R26" i="21407"/>
  <c r="Z291" i="21408"/>
  <c r="Z107" i="21408"/>
  <c r="Z17" i="21408"/>
  <c r="Z180" i="21408"/>
  <c r="Z202" i="21408"/>
  <c r="Z31" i="21408"/>
  <c r="Z219" i="21408"/>
  <c r="X51" i="21402"/>
  <c r="R59" i="21407"/>
  <c r="Z80" i="21408"/>
  <c r="Z71" i="21408"/>
  <c r="Z193" i="21408"/>
  <c r="Z5" i="21408"/>
  <c r="Z123" i="21408"/>
  <c r="Z95" i="21408"/>
  <c r="R38" i="21407"/>
  <c r="Z89" i="21408"/>
  <c r="Z120" i="21408"/>
  <c r="Z76" i="21408"/>
  <c r="X23" i="21402"/>
  <c r="Z46" i="21408"/>
  <c r="Z128" i="21408"/>
  <c r="Z154" i="21408"/>
  <c r="Z167" i="21408"/>
  <c r="Z127" i="21408"/>
  <c r="R30" i="21407"/>
  <c r="X72" i="21402"/>
  <c r="Z85" i="21408"/>
  <c r="Z91" i="21408"/>
  <c r="Z108" i="21408"/>
  <c r="Z88" i="21408"/>
  <c r="Z247" i="21408"/>
  <c r="Z75" i="21408"/>
  <c r="R56" i="21407"/>
  <c r="X4" i="21402"/>
  <c r="Z101" i="21408"/>
  <c r="Z177" i="21408"/>
  <c r="R10" i="21407"/>
  <c r="Z26" i="21408"/>
  <c r="Z160" i="21408"/>
  <c r="X54" i="21402"/>
  <c r="Z301" i="21408"/>
  <c r="Z220" i="21408"/>
  <c r="X59" i="21402"/>
  <c r="Z192" i="21408"/>
  <c r="Z78" i="21408"/>
  <c r="Z116" i="21408"/>
  <c r="R5" i="21407"/>
  <c r="Z6" i="21408"/>
  <c r="Z252" i="21408"/>
  <c r="Z182" i="21408"/>
  <c r="X9" i="21402"/>
  <c r="Z121" i="21408"/>
  <c r="Z213" i="21408"/>
  <c r="X3" i="21402"/>
  <c r="Z68" i="21408"/>
  <c r="Z351" i="21408"/>
  <c r="X55" i="21402"/>
  <c r="Z114" i="21408"/>
  <c r="X70" i="21402"/>
  <c r="Z344" i="21408"/>
  <c r="Z253" i="21408"/>
  <c r="Z290" i="21408"/>
  <c r="R47" i="21407"/>
  <c r="Z203" i="21408"/>
  <c r="R43" i="21407"/>
  <c r="Z111" i="21408"/>
  <c r="Z148" i="21408"/>
  <c r="Z49" i="21408"/>
  <c r="Z300" i="21408"/>
  <c r="Z23" i="21408"/>
  <c r="Z151" i="21408"/>
  <c r="Z240" i="21408"/>
  <c r="R36" i="21407"/>
  <c r="Z45" i="21408"/>
  <c r="X61" i="21402"/>
  <c r="Z69" i="21408"/>
  <c r="Z59" i="21408"/>
  <c r="Z255" i="21408"/>
  <c r="R58" i="21407"/>
  <c r="R32" i="21407"/>
  <c r="Z165" i="21408"/>
  <c r="X57" i="21402"/>
  <c r="Z216" i="21408"/>
  <c r="Z100" i="21408"/>
  <c r="R8" i="21407"/>
  <c r="Z118" i="21408"/>
  <c r="Z258" i="21408"/>
  <c r="R15" i="21407"/>
  <c r="Z112" i="21408"/>
  <c r="Z58" i="21408"/>
  <c r="Z72" i="21408"/>
  <c r="Z230" i="21408"/>
  <c r="X35" i="21402"/>
  <c r="Z250" i="21408"/>
  <c r="Z29" i="21408"/>
  <c r="Z119" i="21408"/>
  <c r="Z350" i="21408"/>
  <c r="Z164" i="21408"/>
  <c r="Z166" i="21408"/>
  <c r="X15" i="21402"/>
  <c r="X69" i="21402"/>
  <c r="R20" i="21407"/>
  <c r="Z8" i="21408"/>
  <c r="Z20" i="21408"/>
  <c r="Z223" i="21408"/>
  <c r="Z161" i="21408"/>
  <c r="Z81" i="21408"/>
  <c r="Z10" i="21408"/>
  <c r="Z50" i="21408"/>
  <c r="Z215" i="21408"/>
  <c r="Z171" i="21408"/>
  <c r="Z122" i="21408"/>
  <c r="R37" i="21407"/>
  <c r="Z24" i="21408"/>
  <c r="Z106" i="21408"/>
  <c r="Z206" i="21408"/>
  <c r="R34" i="21407"/>
  <c r="Z150" i="21408"/>
  <c r="Z144" i="21408"/>
  <c r="Z208" i="21408"/>
  <c r="Z66" i="21408"/>
  <c r="Z124" i="21408"/>
  <c r="R57" i="21407"/>
  <c r="Z137" i="21408"/>
  <c r="R53" i="21407"/>
  <c r="R14" i="21407"/>
  <c r="Z51" i="21408"/>
  <c r="Z155" i="21408"/>
  <c r="R22" i="21407"/>
  <c r="R4" i="21407"/>
  <c r="X37" i="21402"/>
  <c r="Z96" i="21408"/>
  <c r="Z125" i="21408"/>
  <c r="Z12" i="21408"/>
  <c r="Z27" i="21408"/>
  <c r="Z47" i="21408"/>
  <c r="Z115" i="21408"/>
  <c r="Z152" i="21408"/>
  <c r="Z15" i="21408"/>
  <c r="Z246" i="21408"/>
  <c r="R16" i="21407"/>
  <c r="Z212" i="21408"/>
  <c r="Z345" i="21408"/>
  <c r="X42" i="21402"/>
  <c r="R31" i="21407"/>
  <c r="Z147" i="21408"/>
  <c r="Z90" i="21408"/>
  <c r="X5" i="21402"/>
  <c r="R44" i="21407"/>
  <c r="Z173" i="21408"/>
  <c r="Z98" i="21408"/>
  <c r="Z211" i="21408"/>
  <c r="Z186" i="21408"/>
  <c r="Z187" i="21408"/>
  <c r="Z188" i="21408" s="1"/>
  <c r="Z60" i="21408"/>
  <c r="Z11" i="21408"/>
  <c r="Z146" i="21408"/>
  <c r="X50" i="21402"/>
  <c r="Z143" i="21408"/>
  <c r="R40" i="21407"/>
  <c r="Z178" i="21408"/>
  <c r="X8" i="21402"/>
  <c r="Z304" i="21408"/>
  <c r="Z233" i="21408"/>
  <c r="Z157" i="21408"/>
  <c r="Z30" i="21408"/>
  <c r="X40" i="21402"/>
  <c r="Z181" i="21408"/>
  <c r="Z84" i="21408"/>
  <c r="Z64" i="21408"/>
  <c r="Z260" i="21408"/>
  <c r="Z135" i="21408"/>
  <c r="Z52" i="21408"/>
  <c r="Z303" i="21408"/>
  <c r="AZ45" i="21430"/>
  <c r="AY60" i="21428"/>
  <c r="M60" i="21428"/>
  <c r="M48" i="21430"/>
  <c r="AY48" i="21430"/>
  <c r="C66" i="21428"/>
  <c r="C68" i="21428" s="1"/>
  <c r="C70" i="21428" s="1"/>
  <c r="C72" i="21428" s="1"/>
  <c r="C74" i="21428" s="1"/>
  <c r="C76" i="21428" s="1"/>
  <c r="C78" i="21428" s="1"/>
  <c r="I63" i="21428"/>
  <c r="AW49" i="21430"/>
  <c r="AX49" i="21430"/>
  <c r="F50" i="21430"/>
  <c r="AW50" i="21430"/>
  <c r="C52" i="21430"/>
  <c r="AX50" i="21430"/>
  <c r="C43" i="21422"/>
  <c r="C48" i="3" l="1"/>
  <c r="C50" i="3" s="1"/>
  <c r="C52" i="3" s="1"/>
  <c r="J47" i="3"/>
  <c r="J45" i="3"/>
  <c r="AA244" i="21408"/>
  <c r="AA243" i="21408" s="1"/>
  <c r="AA242" i="21408" s="1"/>
  <c r="AA209" i="21408"/>
  <c r="AA3" i="21408"/>
  <c r="AA175" i="21408"/>
  <c r="AA176" i="21408" s="1"/>
  <c r="Z3" i="21408"/>
  <c r="Z298" i="21408"/>
  <c r="Z299" i="21408" s="1"/>
  <c r="Z293" i="21408"/>
  <c r="Z209" i="21408"/>
  <c r="AA298" i="21408"/>
  <c r="AA299" i="21408" s="1"/>
  <c r="AA293" i="21408"/>
  <c r="Z244" i="21408"/>
  <c r="Z243" i="21408" s="1"/>
  <c r="Z242" i="21408" s="1"/>
  <c r="AA43" i="21408"/>
  <c r="AA42" i="21408" s="1"/>
  <c r="AA41" i="21408" s="1"/>
  <c r="Z175" i="21408"/>
  <c r="Z176" i="21408" s="1"/>
  <c r="Z43" i="21408"/>
  <c r="Z42" i="21408" s="1"/>
  <c r="Z41" i="21408" s="1"/>
  <c r="C35" i="21421"/>
  <c r="AW43" i="21422"/>
  <c r="AZ49" i="21430"/>
  <c r="AX52" i="21430"/>
  <c r="I29" i="21430"/>
  <c r="I51" i="21430"/>
  <c r="J53" i="21430"/>
  <c r="AW52" i="21430"/>
  <c r="F52" i="21430"/>
  <c r="C54" i="21430"/>
  <c r="F78" i="21428"/>
  <c r="C80" i="21428"/>
  <c r="C82" i="21428" s="1"/>
  <c r="M50" i="21430"/>
  <c r="AY50" i="21430"/>
  <c r="C45" i="21422"/>
  <c r="C54" i="3" l="1"/>
  <c r="C56" i="3" s="1"/>
  <c r="C58" i="3" s="1"/>
  <c r="C60" i="3" s="1"/>
  <c r="J53" i="3"/>
  <c r="AQ4" i="21431"/>
  <c r="AT5" i="21431"/>
  <c r="AC5" i="21431"/>
  <c r="X110" i="21408"/>
  <c r="V50" i="21402"/>
  <c r="V33" i="21402"/>
  <c r="X9" i="21408"/>
  <c r="X192" i="21408"/>
  <c r="X210" i="21408"/>
  <c r="X4" i="21408"/>
  <c r="V53" i="21402"/>
  <c r="X57" i="21408"/>
  <c r="X49" i="21408"/>
  <c r="X155" i="21408"/>
  <c r="X182" i="21408"/>
  <c r="X12" i="21408"/>
  <c r="V40" i="21402"/>
  <c r="X97" i="21408"/>
  <c r="V60" i="21402"/>
  <c r="X51" i="21408"/>
  <c r="X250" i="21408"/>
  <c r="X171" i="21408"/>
  <c r="X157" i="21408"/>
  <c r="X180" i="21408"/>
  <c r="X218" i="21408"/>
  <c r="X85" i="21408"/>
  <c r="X128" i="21408"/>
  <c r="X74" i="21408"/>
  <c r="X174" i="21408"/>
  <c r="V37" i="21402"/>
  <c r="X144" i="21408"/>
  <c r="V32" i="21402"/>
  <c r="X191" i="21408"/>
  <c r="V6" i="21402"/>
  <c r="V20" i="21402"/>
  <c r="X91" i="21408"/>
  <c r="V54" i="21402"/>
  <c r="X289" i="21408"/>
  <c r="X286" i="21408"/>
  <c r="X162" i="21408"/>
  <c r="X100" i="21408"/>
  <c r="X143" i="21408"/>
  <c r="X54" i="21408"/>
  <c r="X140" i="21408"/>
  <c r="X238" i="21408"/>
  <c r="X223" i="21408"/>
  <c r="X34" i="21408"/>
  <c r="X260" i="21408"/>
  <c r="V57" i="21402"/>
  <c r="X25" i="21408"/>
  <c r="X127" i="21408"/>
  <c r="X145" i="21408"/>
  <c r="X189" i="21408"/>
  <c r="X190" i="21408" s="1"/>
  <c r="X98" i="21408"/>
  <c r="X252" i="21408"/>
  <c r="X206" i="21408"/>
  <c r="V16" i="21402"/>
  <c r="X67" i="21408"/>
  <c r="X122" i="21408"/>
  <c r="V25" i="21402"/>
  <c r="X55" i="21408"/>
  <c r="V9" i="21402"/>
  <c r="X22" i="21408"/>
  <c r="X161" i="21408"/>
  <c r="X102" i="21408"/>
  <c r="X229" i="21408"/>
  <c r="X138" i="21408"/>
  <c r="X79" i="21408"/>
  <c r="X101" i="21408"/>
  <c r="X70" i="21408"/>
  <c r="X200" i="21408"/>
  <c r="X212" i="21408"/>
  <c r="X163" i="21408"/>
  <c r="V55" i="21402"/>
  <c r="X93" i="21408"/>
  <c r="X203" i="21408"/>
  <c r="X77" i="21408"/>
  <c r="X129" i="21408"/>
  <c r="X88" i="21408"/>
  <c r="X50" i="21408"/>
  <c r="X137" i="21408"/>
  <c r="V42" i="21402"/>
  <c r="X99" i="21408"/>
  <c r="X158" i="21408"/>
  <c r="X29" i="21408"/>
  <c r="V21" i="21402"/>
  <c r="X343" i="21408"/>
  <c r="X347" i="21408" s="1"/>
  <c r="V69" i="21402"/>
  <c r="X228" i="21408"/>
  <c r="X165" i="21408"/>
  <c r="V41" i="21402"/>
  <c r="X6" i="21408"/>
  <c r="V59" i="21402"/>
  <c r="X108" i="21408"/>
  <c r="X291" i="21408"/>
  <c r="X177" i="21408"/>
  <c r="X237" i="21408"/>
  <c r="X183" i="21408"/>
  <c r="X130" i="21408"/>
  <c r="X211" i="21408"/>
  <c r="X87" i="21408"/>
  <c r="X14" i="21408"/>
  <c r="X251" i="21408"/>
  <c r="X72" i="21408"/>
  <c r="V58" i="21402"/>
  <c r="X152" i="21408"/>
  <c r="X240" i="21408"/>
  <c r="X294" i="21408"/>
  <c r="X27" i="21408"/>
  <c r="V52" i="21402"/>
  <c r="X179" i="21408"/>
  <c r="X224" i="21408"/>
  <c r="X215" i="21408"/>
  <c r="X184" i="21408"/>
  <c r="X46" i="21408"/>
  <c r="X301" i="21408"/>
  <c r="X290" i="21408"/>
  <c r="X151" i="21408"/>
  <c r="X146" i="21408"/>
  <c r="X31" i="21408"/>
  <c r="X168" i="21408"/>
  <c r="X118" i="21408"/>
  <c r="V4" i="21402"/>
  <c r="X226" i="21408"/>
  <c r="X154" i="21408"/>
  <c r="X159" i="21408"/>
  <c r="X121" i="21408"/>
  <c r="X153" i="21408"/>
  <c r="V18" i="21402"/>
  <c r="X133" i="21408"/>
  <c r="X96" i="21408"/>
  <c r="X164" i="21408"/>
  <c r="X255" i="21408"/>
  <c r="V67" i="21402"/>
  <c r="X75" i="21408"/>
  <c r="X58" i="21408"/>
  <c r="X18" i="21408"/>
  <c r="V38" i="21402"/>
  <c r="V3" i="21402"/>
  <c r="X71" i="21408"/>
  <c r="V15" i="21402"/>
  <c r="X303" i="21408"/>
  <c r="V24" i="21402"/>
  <c r="X254" i="21408"/>
  <c r="X142" i="21408"/>
  <c r="X170" i="21408"/>
  <c r="X217" i="21408"/>
  <c r="X350" i="21408"/>
  <c r="X81" i="21408"/>
  <c r="X48" i="21408"/>
  <c r="X20" i="21408"/>
  <c r="X160" i="21408"/>
  <c r="X32" i="21408"/>
  <c r="X8" i="21408"/>
  <c r="X106" i="21408"/>
  <c r="X149" i="21408"/>
  <c r="X62" i="21408"/>
  <c r="X172" i="21408"/>
  <c r="X60" i="21408"/>
  <c r="V71" i="21402"/>
  <c r="X17" i="21408"/>
  <c r="X248" i="21408"/>
  <c r="X351" i="21408"/>
  <c r="V68" i="21402"/>
  <c r="X288" i="21408"/>
  <c r="X10" i="21408"/>
  <c r="W83" i="21408"/>
  <c r="X66" i="21408"/>
  <c r="X247" i="21408"/>
  <c r="V61" i="21402"/>
  <c r="X132" i="21408"/>
  <c r="X304" i="21408"/>
  <c r="V43" i="21402"/>
  <c r="X5" i="21408"/>
  <c r="X349" i="21408"/>
  <c r="X259" i="21408"/>
  <c r="X68" i="21408"/>
  <c r="X202" i="21408"/>
  <c r="X346" i="21408"/>
  <c r="X207" i="21408"/>
  <c r="X123" i="21408"/>
  <c r="X344" i="21408"/>
  <c r="X231" i="21408"/>
  <c r="X257" i="21408"/>
  <c r="X220" i="21408"/>
  <c r="X219" i="21408"/>
  <c r="X181" i="21408"/>
  <c r="X156" i="21408"/>
  <c r="X59" i="21408"/>
  <c r="X300" i="21408"/>
  <c r="X134" i="21408"/>
  <c r="X345" i="21408"/>
  <c r="X92" i="21408"/>
  <c r="X114" i="21408"/>
  <c r="X185" i="21408"/>
  <c r="X169" i="21408"/>
  <c r="X65" i="21408"/>
  <c r="V22" i="21402"/>
  <c r="X56" i="21408"/>
  <c r="X287" i="21408"/>
  <c r="X111" i="21408"/>
  <c r="X73" i="21408"/>
  <c r="X233" i="21408"/>
  <c r="V8" i="21402"/>
  <c r="X150" i="21408"/>
  <c r="X44" i="21408"/>
  <c r="X95" i="21408"/>
  <c r="V26" i="21402"/>
  <c r="X113" i="21408"/>
  <c r="X104" i="21408"/>
  <c r="X11" i="21408"/>
  <c r="X201" i="21408"/>
  <c r="X82" i="21408"/>
  <c r="X120" i="21408"/>
  <c r="X19" i="21408"/>
  <c r="V35" i="21402"/>
  <c r="V72" i="21402"/>
  <c r="X89" i="21408"/>
  <c r="X249" i="21408"/>
  <c r="X69" i="21408"/>
  <c r="X64" i="21408"/>
  <c r="X232" i="21408"/>
  <c r="X78" i="21408"/>
  <c r="X84" i="21408"/>
  <c r="V51" i="21402"/>
  <c r="X13" i="21408"/>
  <c r="X187" i="21408"/>
  <c r="X188" i="21408" s="1"/>
  <c r="V39" i="21402"/>
  <c r="X186" i="21408"/>
  <c r="X15" i="21408"/>
  <c r="X221" i="21408"/>
  <c r="V34" i="21402"/>
  <c r="X117" i="21408"/>
  <c r="X135" i="21408"/>
  <c r="V5" i="21402"/>
  <c r="X147" i="21408"/>
  <c r="X61" i="21408"/>
  <c r="X125" i="21408"/>
  <c r="X33" i="21408"/>
  <c r="X28" i="21408"/>
  <c r="X204" i="21408"/>
  <c r="X178" i="21408"/>
  <c r="X76" i="21408"/>
  <c r="X246" i="21408"/>
  <c r="V70" i="21402"/>
  <c r="X139" i="21408"/>
  <c r="X119" i="21408"/>
  <c r="X173" i="21408"/>
  <c r="X53" i="21408"/>
  <c r="X166" i="21408"/>
  <c r="V23" i="21402"/>
  <c r="X222" i="21408"/>
  <c r="X356" i="21408"/>
  <c r="X141" i="21408"/>
  <c r="X213" i="21408"/>
  <c r="X148" i="21408"/>
  <c r="X112" i="21408"/>
  <c r="X23" i="21408"/>
  <c r="X80" i="21408"/>
  <c r="X90" i="21408"/>
  <c r="V19" i="21402"/>
  <c r="X109" i="21408"/>
  <c r="X167" i="21408"/>
  <c r="X253" i="21408"/>
  <c r="X26" i="21408"/>
  <c r="X94" i="21408"/>
  <c r="X63" i="21408"/>
  <c r="X258" i="21408"/>
  <c r="V36" i="21402"/>
  <c r="V17" i="21402"/>
  <c r="X256" i="21408"/>
  <c r="X126" i="21408"/>
  <c r="X225" i="21408"/>
  <c r="X136" i="21408"/>
  <c r="X124" i="21408"/>
  <c r="X245" i="21408"/>
  <c r="X16" i="21408"/>
  <c r="X21" i="21408"/>
  <c r="X105" i="21408"/>
  <c r="X103" i="21408"/>
  <c r="X208" i="21408"/>
  <c r="X131" i="21408"/>
  <c r="V10" i="21402"/>
  <c r="X52" i="21408"/>
  <c r="X216" i="21408"/>
  <c r="X45" i="21408"/>
  <c r="X193" i="21408"/>
  <c r="X30" i="21408"/>
  <c r="X227" i="21408"/>
  <c r="X7" i="21408"/>
  <c r="X115" i="21408"/>
  <c r="V49" i="21402"/>
  <c r="X116" i="21408"/>
  <c r="X230" i="21408"/>
  <c r="X47" i="21408"/>
  <c r="V56" i="21402"/>
  <c r="X24" i="21408"/>
  <c r="X86" i="21408"/>
  <c r="X107" i="21408"/>
  <c r="X205" i="21408"/>
  <c r="W63" i="21408"/>
  <c r="W229" i="21408"/>
  <c r="W228" i="21408"/>
  <c r="W203" i="21408"/>
  <c r="W205" i="21408"/>
  <c r="U57" i="21402"/>
  <c r="U53" i="21402"/>
  <c r="W58" i="21408"/>
  <c r="W55" i="21408"/>
  <c r="W213" i="21408"/>
  <c r="W111" i="21408"/>
  <c r="W17" i="21408"/>
  <c r="W6" i="21408"/>
  <c r="W223" i="21408"/>
  <c r="W60" i="21408"/>
  <c r="U38" i="21402"/>
  <c r="W189" i="21408"/>
  <c r="W190" i="21408" s="1"/>
  <c r="W221" i="21408"/>
  <c r="U39" i="21402"/>
  <c r="W13" i="21408"/>
  <c r="W118" i="21408"/>
  <c r="W250" i="21408"/>
  <c r="W84" i="21408"/>
  <c r="W141" i="21408"/>
  <c r="W31" i="21408"/>
  <c r="W193" i="21408"/>
  <c r="W91" i="21408"/>
  <c r="W165" i="21408"/>
  <c r="W16" i="21408"/>
  <c r="U21" i="21402"/>
  <c r="W164" i="21408"/>
  <c r="W351" i="21408"/>
  <c r="W254" i="21408"/>
  <c r="W70" i="21408"/>
  <c r="W162" i="21408"/>
  <c r="W51" i="21408"/>
  <c r="U19" i="21402"/>
  <c r="W66" i="21408"/>
  <c r="U67" i="21402"/>
  <c r="U4" i="21402"/>
  <c r="V83" i="21408"/>
  <c r="W127" i="21408"/>
  <c r="W67" i="21408"/>
  <c r="W215" i="21408"/>
  <c r="U56" i="21402"/>
  <c r="U41" i="21402"/>
  <c r="W182" i="21408"/>
  <c r="W32" i="21408"/>
  <c r="U43" i="21402"/>
  <c r="W27" i="21408"/>
  <c r="W146" i="21408"/>
  <c r="W48" i="21408"/>
  <c r="W92" i="21408"/>
  <c r="W57" i="21408"/>
  <c r="W125" i="21408"/>
  <c r="U61" i="21402"/>
  <c r="W291" i="21408"/>
  <c r="W89" i="21408"/>
  <c r="W26" i="21408"/>
  <c r="U5" i="21402"/>
  <c r="W124" i="21408"/>
  <c r="W10" i="21408"/>
  <c r="W140" i="21408"/>
  <c r="W65" i="21408"/>
  <c r="W231" i="21408"/>
  <c r="W158" i="21408"/>
  <c r="W240" i="21408"/>
  <c r="W147" i="21408"/>
  <c r="W191" i="21408"/>
  <c r="U3" i="21402"/>
  <c r="W132" i="21408"/>
  <c r="W233" i="21408"/>
  <c r="W145" i="21408"/>
  <c r="U59" i="21402"/>
  <c r="W98" i="21408"/>
  <c r="W249" i="21408"/>
  <c r="W174" i="21408"/>
  <c r="W208" i="21408"/>
  <c r="W73" i="21408"/>
  <c r="U34" i="21402"/>
  <c r="W45" i="21408"/>
  <c r="W201" i="21408"/>
  <c r="W29" i="21408"/>
  <c r="W52" i="21408"/>
  <c r="W87" i="21408"/>
  <c r="W12" i="21408"/>
  <c r="W303" i="21408"/>
  <c r="W183" i="21408"/>
  <c r="W304" i="21408"/>
  <c r="W100" i="21408"/>
  <c r="W22" i="21408"/>
  <c r="W19" i="21408"/>
  <c r="W95" i="21408"/>
  <c r="U37" i="21402"/>
  <c r="W82" i="21408"/>
  <c r="W104" i="21408"/>
  <c r="W227" i="21408"/>
  <c r="W54" i="21408"/>
  <c r="W222" i="21408"/>
  <c r="W5" i="21408"/>
  <c r="W28" i="21408"/>
  <c r="W253" i="21408"/>
  <c r="W131" i="21408"/>
  <c r="U22" i="21402"/>
  <c r="W80" i="21408"/>
  <c r="W181" i="21408"/>
  <c r="W192" i="21408"/>
  <c r="W151" i="21408"/>
  <c r="W62" i="21408"/>
  <c r="W204" i="21408"/>
  <c r="W139" i="21408"/>
  <c r="W155" i="21408"/>
  <c r="U8" i="21402"/>
  <c r="W76" i="21408"/>
  <c r="W24" i="21408"/>
  <c r="U26" i="21402"/>
  <c r="W75" i="21408"/>
  <c r="W133" i="21408"/>
  <c r="W85" i="21408"/>
  <c r="W143" i="21408"/>
  <c r="W344" i="21408"/>
  <c r="W137" i="21408"/>
  <c r="W153" i="21408"/>
  <c r="W290" i="21408"/>
  <c r="W20" i="21408"/>
  <c r="W44" i="21408"/>
  <c r="W103" i="21408"/>
  <c r="W117" i="21408"/>
  <c r="W152" i="21408"/>
  <c r="W159" i="21408"/>
  <c r="W61" i="21408"/>
  <c r="W161" i="21408"/>
  <c r="W116" i="21408"/>
  <c r="W11" i="21408"/>
  <c r="W96" i="21408"/>
  <c r="U24" i="21402"/>
  <c r="W346" i="21408"/>
  <c r="W150" i="21408"/>
  <c r="W288" i="21408"/>
  <c r="W8" i="21408"/>
  <c r="W81" i="21408"/>
  <c r="W144" i="21408"/>
  <c r="W115" i="21408"/>
  <c r="U10" i="21402"/>
  <c r="W69" i="21408"/>
  <c r="W128" i="21408"/>
  <c r="U42" i="21402"/>
  <c r="W251" i="21408"/>
  <c r="W18" i="21408"/>
  <c r="W149" i="21408"/>
  <c r="W33" i="21408"/>
  <c r="W120" i="21408"/>
  <c r="U32" i="21402"/>
  <c r="W142" i="21408"/>
  <c r="W156" i="21408"/>
  <c r="U70" i="21402"/>
  <c r="W185" i="21408"/>
  <c r="W30" i="21408"/>
  <c r="U52" i="21402"/>
  <c r="W343" i="21408"/>
  <c r="W347" i="21408" s="1"/>
  <c r="W167" i="21408"/>
  <c r="W163" i="21408"/>
  <c r="W107" i="21408"/>
  <c r="W166" i="21408"/>
  <c r="W129" i="21408"/>
  <c r="W260" i="21408"/>
  <c r="W350" i="21408"/>
  <c r="W230" i="21408"/>
  <c r="W148" i="21408"/>
  <c r="W178" i="21408"/>
  <c r="W258" i="21408"/>
  <c r="U58" i="21402"/>
  <c r="W217" i="21408"/>
  <c r="U69" i="21402"/>
  <c r="W7" i="21408"/>
  <c r="W101" i="21408"/>
  <c r="U16" i="21402"/>
  <c r="W77" i="21408"/>
  <c r="W212" i="21408"/>
  <c r="U15" i="21402"/>
  <c r="W170" i="21408"/>
  <c r="W21" i="21408"/>
  <c r="W25" i="21408"/>
  <c r="W114" i="21408"/>
  <c r="W160" i="21408"/>
  <c r="U20" i="21402"/>
  <c r="U9" i="21402"/>
  <c r="W14" i="21408"/>
  <c r="W179" i="21408"/>
  <c r="W72" i="21408"/>
  <c r="W157" i="21408"/>
  <c r="W202" i="21408"/>
  <c r="W93" i="21408"/>
  <c r="W47" i="21408"/>
  <c r="W301" i="21408"/>
  <c r="W108" i="21408"/>
  <c r="W56" i="21408"/>
  <c r="W105" i="21408"/>
  <c r="W287" i="21408"/>
  <c r="W106" i="21408"/>
  <c r="W252" i="21408"/>
  <c r="W46" i="21408"/>
  <c r="W110" i="21408"/>
  <c r="W109" i="21408"/>
  <c r="W225" i="21408"/>
  <c r="W169" i="21408"/>
  <c r="W88" i="21408"/>
  <c r="W219" i="21408"/>
  <c r="W247" i="21408"/>
  <c r="W177" i="21408"/>
  <c r="W102" i="21408"/>
  <c r="W71" i="21408"/>
  <c r="W172" i="21408"/>
  <c r="W256" i="21408"/>
  <c r="W136" i="21408"/>
  <c r="U23" i="21402"/>
  <c r="W171" i="21408"/>
  <c r="W349" i="21408"/>
  <c r="W135" i="21408"/>
  <c r="W86" i="21408"/>
  <c r="W78" i="21408"/>
  <c r="U18" i="21402"/>
  <c r="U40" i="21402"/>
  <c r="W286" i="21408"/>
  <c r="W237" i="21408"/>
  <c r="W130" i="21408"/>
  <c r="U17" i="21402"/>
  <c r="W64" i="21408"/>
  <c r="U55" i="21402"/>
  <c r="U33" i="21402"/>
  <c r="W173" i="21408"/>
  <c r="W68" i="21408"/>
  <c r="W255" i="21408"/>
  <c r="U35" i="21402"/>
  <c r="W15" i="21408"/>
  <c r="U71" i="21402"/>
  <c r="W206" i="21408"/>
  <c r="U50" i="21402"/>
  <c r="W138" i="21408"/>
  <c r="W168" i="21408"/>
  <c r="W79" i="21408"/>
  <c r="W34" i="21408"/>
  <c r="W121" i="21408"/>
  <c r="W112" i="21408"/>
  <c r="W97" i="21408"/>
  <c r="W74" i="21408"/>
  <c r="W238" i="21408"/>
  <c r="W49" i="21408"/>
  <c r="U25" i="21402"/>
  <c r="W220" i="21408"/>
  <c r="W289" i="21408"/>
  <c r="W218" i="21408"/>
  <c r="U72" i="21402"/>
  <c r="W23" i="21408"/>
  <c r="W216" i="21408"/>
  <c r="W119" i="21408"/>
  <c r="W345" i="21408"/>
  <c r="W210" i="21408"/>
  <c r="W356" i="21408"/>
  <c r="W248" i="21408"/>
  <c r="W94" i="21408"/>
  <c r="U6" i="21402"/>
  <c r="W187" i="21408"/>
  <c r="W188" i="21408" s="1"/>
  <c r="U60" i="21402"/>
  <c r="W113" i="21408"/>
  <c r="W232" i="21408"/>
  <c r="W246" i="21408"/>
  <c r="W184" i="21408"/>
  <c r="W123" i="21408"/>
  <c r="U51" i="21402"/>
  <c r="W207" i="21408"/>
  <c r="W154" i="21408"/>
  <c r="W294" i="21408"/>
  <c r="W200" i="21408"/>
  <c r="W122" i="21408"/>
  <c r="W226" i="21408"/>
  <c r="W257" i="21408"/>
  <c r="W59" i="21408"/>
  <c r="W9" i="21408"/>
  <c r="W186" i="21408"/>
  <c r="U36" i="21402"/>
  <c r="W126" i="21408"/>
  <c r="W245" i="21408"/>
  <c r="W300" i="21408"/>
  <c r="U54" i="21402"/>
  <c r="W259" i="21408"/>
  <c r="W211" i="21408"/>
  <c r="W53" i="21408"/>
  <c r="W4" i="21408"/>
  <c r="W99" i="21408"/>
  <c r="W180" i="21408"/>
  <c r="W90" i="21408"/>
  <c r="W50" i="21408"/>
  <c r="U49" i="21402"/>
  <c r="W224" i="21408"/>
  <c r="U68" i="21402"/>
  <c r="W134" i="21408"/>
  <c r="W17" i="21402"/>
  <c r="W38" i="21402"/>
  <c r="Y257" i="21408"/>
  <c r="W25" i="21402"/>
  <c r="Y140" i="21408"/>
  <c r="Y224" i="21408"/>
  <c r="Y71" i="21408"/>
  <c r="Y132" i="21408"/>
  <c r="W3" i="21402"/>
  <c r="Y69" i="21408"/>
  <c r="W68" i="21402"/>
  <c r="Y220" i="21408"/>
  <c r="Y95" i="21408"/>
  <c r="Y48" i="21408"/>
  <c r="Y344" i="21408"/>
  <c r="W5" i="21402"/>
  <c r="Y213" i="21408"/>
  <c r="W21" i="21402"/>
  <c r="Y172" i="21408"/>
  <c r="Y117" i="21408"/>
  <c r="Y205" i="21408"/>
  <c r="Y103" i="21408"/>
  <c r="Y107" i="21408"/>
  <c r="W4" i="21402"/>
  <c r="Y100" i="21408"/>
  <c r="Y133" i="21408"/>
  <c r="Y237" i="21408"/>
  <c r="Y89" i="21408"/>
  <c r="W57" i="21402"/>
  <c r="Y112" i="21408"/>
  <c r="Y31" i="21408"/>
  <c r="Y118" i="21408"/>
  <c r="Y64" i="21408"/>
  <c r="Y203" i="21408"/>
  <c r="Y130" i="21408"/>
  <c r="W15" i="21402"/>
  <c r="Y74" i="21408"/>
  <c r="Y65" i="21408"/>
  <c r="Y57" i="21408"/>
  <c r="Y227" i="21408"/>
  <c r="W59" i="21402"/>
  <c r="Y82" i="21408"/>
  <c r="Y154" i="21408"/>
  <c r="Y290" i="21408"/>
  <c r="Y121" i="21408"/>
  <c r="Y222" i="21408"/>
  <c r="Y229" i="21408"/>
  <c r="Y120" i="21408"/>
  <c r="Y238" i="21408"/>
  <c r="Y26" i="21408"/>
  <c r="Y186" i="21408"/>
  <c r="Y182" i="21408"/>
  <c r="Y350" i="21408"/>
  <c r="Y51" i="21408"/>
  <c r="Y90" i="21408"/>
  <c r="Y289" i="21408"/>
  <c r="Y218" i="21408"/>
  <c r="W32" i="21402"/>
  <c r="Y79" i="21408"/>
  <c r="Y168" i="21408"/>
  <c r="Y99" i="21408"/>
  <c r="W72" i="21402"/>
  <c r="Y287" i="21408"/>
  <c r="Y29" i="21408"/>
  <c r="Y253" i="21408"/>
  <c r="W23" i="21402"/>
  <c r="Y254" i="21408"/>
  <c r="Y211" i="21408"/>
  <c r="Y50" i="21408"/>
  <c r="Y189" i="21408"/>
  <c r="Y190" i="21408" s="1"/>
  <c r="W70" i="21402"/>
  <c r="Y12" i="21408"/>
  <c r="Y148" i="21408"/>
  <c r="Y127" i="21408"/>
  <c r="Y174" i="21408"/>
  <c r="Y55" i="21408"/>
  <c r="Y252" i="21408"/>
  <c r="Y27" i="21408"/>
  <c r="W58" i="21402"/>
  <c r="Y4" i="21408"/>
  <c r="Y210" i="21408"/>
  <c r="W56" i="21402"/>
  <c r="Y56" i="21408"/>
  <c r="Y294" i="21408"/>
  <c r="Y345" i="21408"/>
  <c r="Y303" i="21408"/>
  <c r="Y119" i="21408"/>
  <c r="Y73" i="21408"/>
  <c r="W26" i="21402"/>
  <c r="Y146" i="21408"/>
  <c r="Y34" i="21408"/>
  <c r="Y60" i="21408"/>
  <c r="Y192" i="21408"/>
  <c r="Y30" i="21408"/>
  <c r="W22" i="21402"/>
  <c r="Y232" i="21408"/>
  <c r="Y84" i="21408"/>
  <c r="Y131" i="21408"/>
  <c r="Y207" i="21408"/>
  <c r="Y24" i="21408"/>
  <c r="Y5" i="21408"/>
  <c r="Y173" i="21408"/>
  <c r="Y58" i="21408"/>
  <c r="Y216" i="21408"/>
  <c r="Y221" i="21408"/>
  <c r="Y219" i="21408"/>
  <c r="Y167" i="21408"/>
  <c r="Y141" i="21408"/>
  <c r="W6" i="21402"/>
  <c r="W49" i="21402"/>
  <c r="Y101" i="21408"/>
  <c r="Y151" i="21408"/>
  <c r="Y97" i="21408"/>
  <c r="Y346" i="21408"/>
  <c r="Y300" i="21408"/>
  <c r="Y185" i="21408"/>
  <c r="Y343" i="21408"/>
  <c r="Y347" i="21408" s="1"/>
  <c r="Y291" i="21408"/>
  <c r="Y240" i="21408"/>
  <c r="Y11" i="21408"/>
  <c r="W55" i="21402"/>
  <c r="Y105" i="21408"/>
  <c r="Y6" i="21408"/>
  <c r="Y124" i="21408"/>
  <c r="W8" i="21402"/>
  <c r="W24" i="21402"/>
  <c r="Y246" i="21408"/>
  <c r="W10" i="21402"/>
  <c r="Y153" i="21408"/>
  <c r="Y349" i="21408"/>
  <c r="Y181" i="21408"/>
  <c r="Y137" i="21408"/>
  <c r="W34" i="21402"/>
  <c r="Y157" i="21408"/>
  <c r="Y10" i="21408"/>
  <c r="Y21" i="21408"/>
  <c r="Y160" i="21408"/>
  <c r="Y200" i="21408"/>
  <c r="Y45" i="21408"/>
  <c r="Y17" i="21408"/>
  <c r="Y75" i="21408"/>
  <c r="Y251" i="21408"/>
  <c r="Y19" i="21408"/>
  <c r="Y142" i="21408"/>
  <c r="Y32" i="21408"/>
  <c r="Y70" i="21408"/>
  <c r="Y169" i="21408"/>
  <c r="Y114" i="21408"/>
  <c r="Y106" i="21408"/>
  <c r="Y156" i="21408"/>
  <c r="Y87" i="21408"/>
  <c r="Y33" i="21408"/>
  <c r="Y152" i="21408"/>
  <c r="Y92" i="21408"/>
  <c r="Y191" i="21408"/>
  <c r="Y91" i="21408"/>
  <c r="W60" i="21402"/>
  <c r="W53" i="21402"/>
  <c r="Y76" i="21408"/>
  <c r="Y68" i="21408"/>
  <c r="W50" i="21402"/>
  <c r="Y155" i="21408"/>
  <c r="Y104" i="21408"/>
  <c r="Y180" i="21408"/>
  <c r="Y54" i="21408"/>
  <c r="Y356" i="21408"/>
  <c r="Y62" i="21408"/>
  <c r="Y16" i="21408"/>
  <c r="Y8" i="21408"/>
  <c r="Y28" i="21408"/>
  <c r="Y9" i="21408"/>
  <c r="Y88" i="21408"/>
  <c r="Y223" i="21408"/>
  <c r="W39" i="21402"/>
  <c r="Y206" i="21408"/>
  <c r="Y13" i="21408"/>
  <c r="Y138" i="21408"/>
  <c r="X83" i="21408"/>
  <c r="Y59" i="21408"/>
  <c r="Y150" i="21408"/>
  <c r="Y228" i="21408"/>
  <c r="Y193" i="21408"/>
  <c r="Y161" i="21408"/>
  <c r="Y183" i="21408"/>
  <c r="Y14" i="21408"/>
  <c r="Y163" i="21408"/>
  <c r="W16" i="21402"/>
  <c r="Y250" i="21408"/>
  <c r="W41" i="21402"/>
  <c r="W43" i="21402"/>
  <c r="Y25" i="21408"/>
  <c r="Y301" i="21408"/>
  <c r="Y66" i="21408"/>
  <c r="Y164" i="21408"/>
  <c r="Y260" i="21408"/>
  <c r="Y215" i="21408"/>
  <c r="Y20" i="21408"/>
  <c r="W67" i="21402"/>
  <c r="Y136" i="21408"/>
  <c r="W40" i="21402"/>
  <c r="Y110" i="21408"/>
  <c r="Y212" i="21408"/>
  <c r="Y159" i="21408"/>
  <c r="Y15" i="21408"/>
  <c r="Y245" i="21408"/>
  <c r="Y52" i="21408"/>
  <c r="W52" i="21402"/>
  <c r="Y49" i="21408"/>
  <c r="W42" i="21402"/>
  <c r="Y226" i="21408"/>
  <c r="Y204" i="21408"/>
  <c r="Y98" i="21408"/>
  <c r="W69" i="21402"/>
  <c r="Y178" i="21408"/>
  <c r="Y129" i="21408"/>
  <c r="Y23" i="21408"/>
  <c r="Y230" i="21408"/>
  <c r="W20" i="21402"/>
  <c r="Y147" i="21408"/>
  <c r="Y165" i="21408"/>
  <c r="Y233" i="21408"/>
  <c r="Y158" i="21408"/>
  <c r="Y171" i="21408"/>
  <c r="Y67" i="21408"/>
  <c r="Y208" i="21408"/>
  <c r="Y47" i="21408"/>
  <c r="Y123" i="21408"/>
  <c r="Y184" i="21408"/>
  <c r="W9" i="21402"/>
  <c r="Y72" i="21408"/>
  <c r="Y231" i="21408"/>
  <c r="Y247" i="21408"/>
  <c r="Y217" i="21408"/>
  <c r="Y162" i="21408"/>
  <c r="Y77" i="21408"/>
  <c r="Y115" i="21408"/>
  <c r="Y170" i="21408"/>
  <c r="Y126" i="21408"/>
  <c r="Y116" i="21408"/>
  <c r="Y134" i="21408"/>
  <c r="Y145" i="21408"/>
  <c r="Y86" i="21408"/>
  <c r="Y111" i="21408"/>
  <c r="W36" i="21402"/>
  <c r="Y149" i="21408"/>
  <c r="Y63" i="21408"/>
  <c r="Y96" i="21408"/>
  <c r="Y258" i="21408"/>
  <c r="Y225" i="21408"/>
  <c r="Y304" i="21408"/>
  <c r="Y108" i="21408"/>
  <c r="W37" i="21402"/>
  <c r="W71" i="21402"/>
  <c r="Y144" i="21408"/>
  <c r="W19" i="21402"/>
  <c r="W33" i="21402"/>
  <c r="Y22" i="21408"/>
  <c r="Y113" i="21408"/>
  <c r="Y248" i="21408"/>
  <c r="Y143" i="21408"/>
  <c r="Y61" i="21408"/>
  <c r="Y18" i="21408"/>
  <c r="Y122" i="21408"/>
  <c r="Y109" i="21408"/>
  <c r="Y128" i="21408"/>
  <c r="Y202" i="21408"/>
  <c r="Y125" i="21408"/>
  <c r="Y139" i="21408"/>
  <c r="Y259" i="21408"/>
  <c r="W18" i="21402"/>
  <c r="W54" i="21402"/>
  <c r="Y85" i="21408"/>
  <c r="Y102" i="21408"/>
  <c r="Y81" i="21408"/>
  <c r="W61" i="21402"/>
  <c r="Y286" i="21408"/>
  <c r="Y7" i="21408"/>
  <c r="Y135" i="21408"/>
  <c r="Y44" i="21408"/>
  <c r="Y256" i="21408"/>
  <c r="Y177" i="21408"/>
  <c r="Y53" i="21408"/>
  <c r="Y179" i="21408"/>
  <c r="Y80" i="21408"/>
  <c r="Y249" i="21408"/>
  <c r="Y201" i="21408"/>
  <c r="Y78" i="21408"/>
  <c r="Y255" i="21408"/>
  <c r="Y166" i="21408"/>
  <c r="W35" i="21402"/>
  <c r="Y187" i="21408"/>
  <c r="Y188" i="21408" s="1"/>
  <c r="Y93" i="21408"/>
  <c r="Y46" i="21408"/>
  <c r="Y288" i="21408"/>
  <c r="Y94" i="21408"/>
  <c r="Y351" i="21408"/>
  <c r="W51" i="21402"/>
  <c r="AY43" i="21422"/>
  <c r="AY35" i="21421" s="1"/>
  <c r="AW35" i="21421"/>
  <c r="C47" i="21422"/>
  <c r="C39" i="21421" s="1"/>
  <c r="C37" i="21421"/>
  <c r="AX53" i="21430"/>
  <c r="AW53" i="21430"/>
  <c r="C84" i="21428"/>
  <c r="C86" i="21428" s="1"/>
  <c r="C88" i="21428" s="1"/>
  <c r="C90" i="21428" s="1"/>
  <c r="F82" i="21428"/>
  <c r="AW54" i="21430"/>
  <c r="AX54" i="21430"/>
  <c r="C56" i="21430"/>
  <c r="J55" i="21430"/>
  <c r="J54" i="21430"/>
  <c r="AY52" i="21430"/>
  <c r="M52" i="21430"/>
  <c r="C62" i="3" l="1"/>
  <c r="C64" i="3" s="1"/>
  <c r="J59" i="3"/>
  <c r="AB94" i="21425"/>
  <c r="AC96" i="21426"/>
  <c r="W3" i="21408"/>
  <c r="Y43" i="21408"/>
  <c r="Y42" i="21408" s="1"/>
  <c r="Y41" i="21408" s="1"/>
  <c r="Y209" i="21408"/>
  <c r="W209" i="21408"/>
  <c r="W244" i="21408"/>
  <c r="W243" i="21408" s="1"/>
  <c r="W242" i="21408" s="1"/>
  <c r="Y175" i="21408"/>
  <c r="Y176" i="21408" s="1"/>
  <c r="W175" i="21408"/>
  <c r="W176" i="21408" s="1"/>
  <c r="X43" i="21408"/>
  <c r="X42" i="21408" s="1"/>
  <c r="X41" i="21408" s="1"/>
  <c r="Y3" i="21408"/>
  <c r="W293" i="21408"/>
  <c r="W298" i="21408"/>
  <c r="W299" i="21408" s="1"/>
  <c r="X293" i="21408"/>
  <c r="X298" i="21408"/>
  <c r="X299" i="21408" s="1"/>
  <c r="X175" i="21408"/>
  <c r="X176" i="21408" s="1"/>
  <c r="W43" i="21408"/>
  <c r="W42" i="21408" s="1"/>
  <c r="W41" i="21408" s="1"/>
  <c r="X3" i="21408"/>
  <c r="Y244" i="21408"/>
  <c r="Y243" i="21408" s="1"/>
  <c r="Y242" i="21408" s="1"/>
  <c r="Y298" i="21408"/>
  <c r="Y299" i="21408" s="1"/>
  <c r="Y293" i="21408"/>
  <c r="X244" i="21408"/>
  <c r="X243" i="21408" s="1"/>
  <c r="X242" i="21408" s="1"/>
  <c r="X209" i="21408"/>
  <c r="C49" i="21422"/>
  <c r="C41" i="21421" s="1"/>
  <c r="AZ53" i="21430"/>
  <c r="C58" i="21430"/>
  <c r="F58" i="21430" s="1"/>
  <c r="AX56" i="21430"/>
  <c r="AW56" i="21430"/>
  <c r="AX55" i="21430"/>
  <c r="AW55" i="21430"/>
  <c r="I65" i="21428"/>
  <c r="C92" i="21428"/>
  <c r="M54" i="21430"/>
  <c r="AZ54" i="21430"/>
  <c r="AY54" i="21430"/>
  <c r="J65" i="3" l="1"/>
  <c r="C66" i="3"/>
  <c r="C68" i="3" s="1"/>
  <c r="C70" i="3" s="1"/>
  <c r="AC116" i="21428"/>
  <c r="AB88" i="21425"/>
  <c r="J50" i="21422"/>
  <c r="J42" i="21421" s="1"/>
  <c r="AC15" i="21408"/>
  <c r="AC220" i="21408"/>
  <c r="AC287" i="21408"/>
  <c r="AC132" i="21408"/>
  <c r="AC301" i="21408"/>
  <c r="AC257" i="21408"/>
  <c r="AC96" i="21408"/>
  <c r="AC113" i="21408"/>
  <c r="AC156" i="21408"/>
  <c r="AC12" i="21408"/>
  <c r="U44" i="21407"/>
  <c r="AA17" i="21402"/>
  <c r="AC82" i="21408"/>
  <c r="AC291" i="21408"/>
  <c r="AC350" i="21408"/>
  <c r="AC64" i="21408"/>
  <c r="AC31" i="21408"/>
  <c r="AC118" i="21408"/>
  <c r="AC66" i="21408"/>
  <c r="AC204" i="21408"/>
  <c r="AC224" i="21408"/>
  <c r="AC226" i="21408"/>
  <c r="AC179" i="21408"/>
  <c r="U15" i="21407"/>
  <c r="AC143" i="21408"/>
  <c r="AA8" i="21402"/>
  <c r="AC60" i="21408"/>
  <c r="AC86" i="21408"/>
  <c r="AC95" i="21408"/>
  <c r="AA55" i="21402"/>
  <c r="AA68" i="21402"/>
  <c r="AA23" i="21402"/>
  <c r="AC128" i="21408"/>
  <c r="U32" i="21407"/>
  <c r="AC253" i="21408"/>
  <c r="AC61" i="21408"/>
  <c r="AC147" i="21408"/>
  <c r="AA24" i="21402"/>
  <c r="AC141" i="21408"/>
  <c r="AC57" i="21408"/>
  <c r="AC168" i="21408"/>
  <c r="AC228" i="21408"/>
  <c r="AC215" i="21408"/>
  <c r="AC225" i="21408"/>
  <c r="AC122" i="21408"/>
  <c r="U4" i="21407"/>
  <c r="AC289" i="21408"/>
  <c r="AC81" i="21408"/>
  <c r="AC72" i="21408"/>
  <c r="AC88" i="21408"/>
  <c r="AC55" i="21408"/>
  <c r="AC20" i="21408"/>
  <c r="AC155" i="21408"/>
  <c r="AC246" i="21408"/>
  <c r="AC10" i="21408"/>
  <c r="AC21" i="21408"/>
  <c r="AC94" i="21408"/>
  <c r="AA58" i="21402"/>
  <c r="AC87" i="21408"/>
  <c r="AC140" i="21408"/>
  <c r="AC77" i="21408"/>
  <c r="AC67" i="21408"/>
  <c r="U47" i="21407"/>
  <c r="AA15" i="21402"/>
  <c r="AA60" i="21402"/>
  <c r="AC153" i="21408"/>
  <c r="AC218" i="21408"/>
  <c r="AC159" i="21408"/>
  <c r="AC127" i="21408"/>
  <c r="AC76" i="21408"/>
  <c r="AA6" i="21402"/>
  <c r="AC71" i="21408"/>
  <c r="AC219" i="21408"/>
  <c r="AC223" i="21408"/>
  <c r="AC33" i="21408"/>
  <c r="AA70" i="21402"/>
  <c r="AC9" i="21408"/>
  <c r="AC100" i="21408"/>
  <c r="AC152" i="21408"/>
  <c r="AC13" i="21408"/>
  <c r="AC345" i="21408"/>
  <c r="AC259" i="21408"/>
  <c r="AA41" i="21402"/>
  <c r="AC158" i="21408"/>
  <c r="AC135" i="21408"/>
  <c r="AC180" i="21408"/>
  <c r="AC167" i="21408"/>
  <c r="AC14" i="21408"/>
  <c r="AC184" i="21408"/>
  <c r="AC63" i="21408"/>
  <c r="U6" i="21407"/>
  <c r="AA20" i="21402"/>
  <c r="AC183" i="21408"/>
  <c r="AC186" i="21408"/>
  <c r="AA19" i="21402"/>
  <c r="AA51" i="21402"/>
  <c r="AC227" i="21408"/>
  <c r="AA3" i="21402"/>
  <c r="U57" i="21407"/>
  <c r="AC44" i="21408"/>
  <c r="AC123" i="21408"/>
  <c r="AC207" i="21408"/>
  <c r="AC58" i="21408"/>
  <c r="AC222" i="21408"/>
  <c r="AA71" i="21402"/>
  <c r="AA38" i="21402"/>
  <c r="AC144" i="21408"/>
  <c r="AC229" i="21408"/>
  <c r="AC249" i="21408"/>
  <c r="AC170" i="21408"/>
  <c r="AC84" i="21408"/>
  <c r="AC148" i="21408"/>
  <c r="AC162" i="21408"/>
  <c r="AC181" i="21408"/>
  <c r="AC97" i="21408"/>
  <c r="AC126" i="21408"/>
  <c r="AC177" i="21408"/>
  <c r="AC231" i="21408"/>
  <c r="AC115" i="21408"/>
  <c r="AA40" i="21402"/>
  <c r="AC346" i="21408"/>
  <c r="AC182" i="21408"/>
  <c r="AC171" i="21408"/>
  <c r="AA16" i="21402"/>
  <c r="AC69" i="21408"/>
  <c r="AA4" i="21402"/>
  <c r="AC85" i="21408"/>
  <c r="U31" i="21407"/>
  <c r="AC131" i="21408"/>
  <c r="AC101" i="21408"/>
  <c r="U38" i="21407"/>
  <c r="AC200" i="21408"/>
  <c r="AC304" i="21408"/>
  <c r="AC202" i="21408"/>
  <c r="AC232" i="21408"/>
  <c r="U21" i="21407"/>
  <c r="AC111" i="21408"/>
  <c r="AA33" i="21402"/>
  <c r="U22" i="21407"/>
  <c r="AC174" i="21408"/>
  <c r="AC108" i="21408"/>
  <c r="AC260" i="21408"/>
  <c r="AC6" i="21408"/>
  <c r="AC166" i="21408"/>
  <c r="AC185" i="21408"/>
  <c r="AC92" i="21408"/>
  <c r="U56" i="21407"/>
  <c r="AC99" i="21408"/>
  <c r="AC79" i="21408"/>
  <c r="AC245" i="21408"/>
  <c r="U28" i="21407" s="1"/>
  <c r="U55" i="21407"/>
  <c r="AC90" i="21408"/>
  <c r="AC54" i="21408"/>
  <c r="AA69" i="21402"/>
  <c r="AC172" i="21408"/>
  <c r="U26" i="21407"/>
  <c r="AC75" i="21408"/>
  <c r="AA10" i="21402"/>
  <c r="AC290" i="21408"/>
  <c r="AC11" i="21408"/>
  <c r="AC201" i="21408"/>
  <c r="AC106" i="21408"/>
  <c r="AC125" i="21408"/>
  <c r="AC173" i="21408"/>
  <c r="U9" i="21407"/>
  <c r="AC19" i="21408"/>
  <c r="AC130" i="21408"/>
  <c r="AC240" i="21408"/>
  <c r="AC134" i="21408"/>
  <c r="AC5" i="21408"/>
  <c r="AC191" i="21408"/>
  <c r="AC120" i="21408"/>
  <c r="AC208" i="21408"/>
  <c r="U37" i="21407"/>
  <c r="AA52" i="21402"/>
  <c r="AC93" i="21408"/>
  <c r="AA39" i="21402"/>
  <c r="AC192" i="21408"/>
  <c r="U34" i="21407"/>
  <c r="U51" i="21407"/>
  <c r="AC78" i="21408"/>
  <c r="AC238" i="21408"/>
  <c r="AC32" i="21408"/>
  <c r="AC24" i="21408"/>
  <c r="AA57" i="21402"/>
  <c r="AC142" i="21408"/>
  <c r="AA34" i="21402"/>
  <c r="AC237" i="21408"/>
  <c r="U59" i="21407"/>
  <c r="AA61" i="21402"/>
  <c r="AA18" i="21402"/>
  <c r="U58" i="21407"/>
  <c r="AC116" i="21408"/>
  <c r="AC157" i="21408"/>
  <c r="AC154" i="21408"/>
  <c r="AC150" i="21408"/>
  <c r="AC165" i="21408"/>
  <c r="AC30" i="21408"/>
  <c r="AC250" i="21408"/>
  <c r="AC121" i="21408"/>
  <c r="AC351" i="21408"/>
  <c r="AC18" i="21408"/>
  <c r="AA50" i="21402"/>
  <c r="AA56" i="21402"/>
  <c r="AC136" i="21408"/>
  <c r="AC255" i="21408"/>
  <c r="AC28" i="21408"/>
  <c r="AC248" i="21408"/>
  <c r="AC344" i="21408"/>
  <c r="AA25" i="21402"/>
  <c r="AC356" i="21408"/>
  <c r="AC178" i="21408"/>
  <c r="AA59" i="21402"/>
  <c r="AC230" i="21408"/>
  <c r="AC114" i="21408"/>
  <c r="U36" i="21407"/>
  <c r="AC149" i="21408"/>
  <c r="AA21" i="21402"/>
  <c r="AA49" i="21402"/>
  <c r="AC104" i="21408"/>
  <c r="AC210" i="21408"/>
  <c r="AC46" i="21408"/>
  <c r="AC51" i="21408"/>
  <c r="AC89" i="21408"/>
  <c r="AC34" i="21408"/>
  <c r="AC103" i="21408"/>
  <c r="AA42" i="21402"/>
  <c r="AC50" i="21408"/>
  <c r="U53" i="21407"/>
  <c r="AC74" i="21408"/>
  <c r="AC212" i="21408"/>
  <c r="AA32" i="21402"/>
  <c r="AC187" i="21408"/>
  <c r="AC188" i="21408" s="1"/>
  <c r="AC164" i="21408"/>
  <c r="AC45" i="21408"/>
  <c r="AA54" i="21402"/>
  <c r="AC138" i="21408"/>
  <c r="U60" i="21407"/>
  <c r="AC110" i="21408"/>
  <c r="AC205" i="21408"/>
  <c r="U54" i="21407"/>
  <c r="AC26" i="21408"/>
  <c r="AC233" i="21408"/>
  <c r="AA36" i="21402"/>
  <c r="U41" i="21407"/>
  <c r="U14" i="21407"/>
  <c r="AC137" i="21408"/>
  <c r="AC53" i="21408"/>
  <c r="AC211" i="21408"/>
  <c r="AC206" i="21408"/>
  <c r="U19" i="21407"/>
  <c r="AC119" i="21408"/>
  <c r="AC139" i="21408"/>
  <c r="AC16" i="21408"/>
  <c r="AC68" i="21408"/>
  <c r="AC52" i="21408"/>
  <c r="AC22" i="21408"/>
  <c r="AC213" i="21408"/>
  <c r="AC221" i="21408"/>
  <c r="AC300" i="21408"/>
  <c r="AC303" i="21408"/>
  <c r="U20" i="21407"/>
  <c r="AA67" i="21402"/>
  <c r="AC7" i="21408"/>
  <c r="AC203" i="21408"/>
  <c r="AA26" i="21402"/>
  <c r="AC48" i="21408"/>
  <c r="U24" i="21407"/>
  <c r="AC169" i="21408"/>
  <c r="AC80" i="21408"/>
  <c r="AC59" i="21408"/>
  <c r="AC189" i="21408"/>
  <c r="AC190" i="21408" s="1"/>
  <c r="AC73" i="21408"/>
  <c r="AA22" i="21402"/>
  <c r="U42" i="21407"/>
  <c r="AC258" i="21408"/>
  <c r="U49" i="21407"/>
  <c r="AC349" i="21408"/>
  <c r="U16" i="21407"/>
  <c r="AC151" i="21408"/>
  <c r="U43" i="21407"/>
  <c r="AC49" i="21408"/>
  <c r="AC193" i="21408"/>
  <c r="U50" i="21407"/>
  <c r="AC286" i="21408"/>
  <c r="AC217" i="21408"/>
  <c r="AC112" i="21408"/>
  <c r="AC288" i="21408"/>
  <c r="AC254" i="21408"/>
  <c r="AC47" i="21408"/>
  <c r="AA35" i="21402"/>
  <c r="AC29" i="21408"/>
  <c r="AC56" i="21408"/>
  <c r="AC163" i="21408"/>
  <c r="U8" i="21407"/>
  <c r="AC65" i="21408"/>
  <c r="C60" i="21430"/>
  <c r="AX60" i="21430" s="1"/>
  <c r="AZ55" i="21430"/>
  <c r="AY56" i="21430"/>
  <c r="C94" i="21428"/>
  <c r="C98" i="21428" s="1"/>
  <c r="AX92" i="21428"/>
  <c r="AW92" i="21428"/>
  <c r="AX58" i="21430"/>
  <c r="AW58" i="21430"/>
  <c r="AC129" i="21408"/>
  <c r="AC17" i="21408"/>
  <c r="AC117" i="21408"/>
  <c r="AC160" i="21408"/>
  <c r="AC102" i="21408"/>
  <c r="U40" i="21407"/>
  <c r="AC251" i="21408"/>
  <c r="AC124" i="21408"/>
  <c r="AC252" i="21408"/>
  <c r="AC70" i="21408"/>
  <c r="AC62" i="21408"/>
  <c r="AC91" i="21408"/>
  <c r="AC256" i="21408"/>
  <c r="AC25" i="21408"/>
  <c r="AC98" i="21408"/>
  <c r="AB83" i="21408"/>
  <c r="AA72" i="21402"/>
  <c r="AA9" i="21402"/>
  <c r="AC343" i="21408"/>
  <c r="AC8" i="21408"/>
  <c r="AC216" i="21408"/>
  <c r="U46" i="21407"/>
  <c r="AC133" i="21408"/>
  <c r="AC4" i="21408"/>
  <c r="AC294" i="21408"/>
  <c r="AA53" i="21402"/>
  <c r="AC109" i="21408"/>
  <c r="AC23" i="21408"/>
  <c r="AC107" i="21408"/>
  <c r="AA37" i="21402"/>
  <c r="AA5" i="21402"/>
  <c r="AA43" i="21402"/>
  <c r="U30" i="21407"/>
  <c r="AC27" i="21408"/>
  <c r="AC247" i="21408"/>
  <c r="U5" i="21407"/>
  <c r="AC145" i="21408"/>
  <c r="AC146" i="21408"/>
  <c r="AC105" i="21408"/>
  <c r="U10" i="21407"/>
  <c r="AC161" i="21408"/>
  <c r="J71" i="3" l="1"/>
  <c r="C72" i="3"/>
  <c r="C74" i="3" s="1"/>
  <c r="J69" i="3"/>
  <c r="AC43" i="21408"/>
  <c r="AC42" i="21408" s="1"/>
  <c r="AW60" i="21430"/>
  <c r="AY60" i="21430" s="1"/>
  <c r="C62" i="21430"/>
  <c r="AX62" i="21430" s="1"/>
  <c r="AC209" i="21408"/>
  <c r="F60" i="21430"/>
  <c r="C96" i="21428"/>
  <c r="C100" i="21428" s="1"/>
  <c r="AW62" i="21430"/>
  <c r="AY58" i="21430"/>
  <c r="M58" i="21430"/>
  <c r="M92" i="21428"/>
  <c r="AY92" i="21428"/>
  <c r="M60" i="21430"/>
  <c r="AX98" i="21428"/>
  <c r="AW98" i="21428"/>
  <c r="C102" i="21428"/>
  <c r="AC244" i="21408"/>
  <c r="AC243" i="21408" s="1"/>
  <c r="AC175" i="21408"/>
  <c r="AC3" i="21408"/>
  <c r="AC347" i="21408"/>
  <c r="AC298" i="21408"/>
  <c r="AC293" i="21408"/>
  <c r="J73" i="3" l="1"/>
  <c r="C76" i="3"/>
  <c r="C78" i="3" s="1"/>
  <c r="C80" i="3" s="1"/>
  <c r="F62" i="21430"/>
  <c r="AB92" i="21425"/>
  <c r="C64" i="21430"/>
  <c r="AW64" i="21430" s="1"/>
  <c r="AX96" i="21428"/>
  <c r="M96" i="21428" s="1"/>
  <c r="AW96" i="21428"/>
  <c r="C66" i="21430"/>
  <c r="AX64" i="21430"/>
  <c r="AY62" i="21430"/>
  <c r="M62" i="21430"/>
  <c r="C106" i="21428"/>
  <c r="C104" i="21428"/>
  <c r="AX100" i="21428"/>
  <c r="AW100" i="21428"/>
  <c r="AY98" i="21428"/>
  <c r="AC299" i="21408"/>
  <c r="AC242" i="21408"/>
  <c r="AC41" i="21408"/>
  <c r="AC176" i="21408"/>
  <c r="J81" i="3" l="1"/>
  <c r="C82" i="3"/>
  <c r="AY96" i="21428"/>
  <c r="AY64" i="21430"/>
  <c r="M64" i="21430"/>
  <c r="C68" i="21430"/>
  <c r="AX66" i="21430"/>
  <c r="AW66" i="21430"/>
  <c r="M100" i="21428"/>
  <c r="AY100" i="21428"/>
  <c r="J103" i="21428"/>
  <c r="J104" i="21428"/>
  <c r="C108" i="21428"/>
  <c r="C5" i="21416" s="1"/>
  <c r="C110" i="21428"/>
  <c r="F106" i="21428"/>
  <c r="AX106" i="21428"/>
  <c r="AW106" i="21428"/>
  <c r="C84" i="3" l="1"/>
  <c r="C86" i="3" s="1"/>
  <c r="C88" i="3" s="1"/>
  <c r="C90" i="3" s="1"/>
  <c r="J83" i="3"/>
  <c r="C7" i="21416"/>
  <c r="C98" i="21429"/>
  <c r="AY66" i="21430"/>
  <c r="M66" i="21430"/>
  <c r="AX68" i="21430"/>
  <c r="AW68" i="21430"/>
  <c r="F68" i="21430"/>
  <c r="C70" i="21430"/>
  <c r="I67" i="21430"/>
  <c r="AW110" i="21428"/>
  <c r="C112" i="21428"/>
  <c r="C9" i="21416" s="1"/>
  <c r="AX110" i="21428"/>
  <c r="J107" i="21428"/>
  <c r="J4" i="21416" s="1"/>
  <c r="AW108" i="21428"/>
  <c r="AW5" i="21416" s="1"/>
  <c r="F108" i="21428"/>
  <c r="F5" i="21416" s="1"/>
  <c r="AX108" i="21428"/>
  <c r="AX5" i="21416" s="1"/>
  <c r="M106" i="21428"/>
  <c r="AY106" i="21428"/>
  <c r="C92" i="3" l="1"/>
  <c r="J89" i="3"/>
  <c r="AW98" i="21429"/>
  <c r="AW7" i="21416"/>
  <c r="AX7" i="21416"/>
  <c r="AX98" i="21429"/>
  <c r="C72" i="21430"/>
  <c r="AX70" i="21430"/>
  <c r="AW70" i="21430"/>
  <c r="AY68" i="21430"/>
  <c r="M68" i="21430"/>
  <c r="M108" i="21428"/>
  <c r="M5" i="21416" s="1"/>
  <c r="AY108" i="21428"/>
  <c r="AY5" i="21416" s="1"/>
  <c r="AY110" i="21428"/>
  <c r="M110" i="21428"/>
  <c r="C114" i="21428"/>
  <c r="C11" i="21416" s="1"/>
  <c r="AX112" i="21428"/>
  <c r="AX9" i="21416" s="1"/>
  <c r="AW112" i="21428"/>
  <c r="AW9" i="21416" s="1"/>
  <c r="F112" i="21428"/>
  <c r="F9" i="21416" s="1"/>
  <c r="AW107" i="21428"/>
  <c r="AW4" i="21416" s="1"/>
  <c r="AX107" i="21428"/>
  <c r="AX4" i="21416" s="1"/>
  <c r="J91" i="3" l="1"/>
  <c r="C94" i="3"/>
  <c r="C96" i="3" s="1"/>
  <c r="AY98" i="21429"/>
  <c r="AY7" i="21416"/>
  <c r="M98" i="21429"/>
  <c r="M7" i="21416"/>
  <c r="AY70" i="21430"/>
  <c r="M70" i="21430"/>
  <c r="AX72" i="21430"/>
  <c r="AW72" i="21430"/>
  <c r="F72" i="21430"/>
  <c r="C74" i="21430"/>
  <c r="AZ107" i="21428"/>
  <c r="AZ4" i="21416" s="1"/>
  <c r="M112" i="21428"/>
  <c r="M9" i="21416" s="1"/>
  <c r="AY112" i="21428"/>
  <c r="AY9" i="21416" s="1"/>
  <c r="I113" i="21428"/>
  <c r="AX114" i="21428"/>
  <c r="AX11" i="21416" s="1"/>
  <c r="AW114" i="21428"/>
  <c r="AW11" i="21416" s="1"/>
  <c r="J115" i="21428"/>
  <c r="J97" i="3" l="1"/>
  <c r="C98" i="3"/>
  <c r="O241" i="21408"/>
  <c r="I10" i="21416"/>
  <c r="AX115" i="21428"/>
  <c r="AW115" i="21428"/>
  <c r="AY72" i="21430"/>
  <c r="M72" i="21430"/>
  <c r="AX74" i="21430"/>
  <c r="J75" i="21430"/>
  <c r="AW74" i="21430"/>
  <c r="C76" i="21430"/>
  <c r="F74" i="21430"/>
  <c r="AY114" i="21428"/>
  <c r="AY11" i="21416" s="1"/>
  <c r="M114" i="21428"/>
  <c r="M11" i="21416" s="1"/>
  <c r="J12" i="21416"/>
  <c r="J99" i="3" l="1"/>
  <c r="C100" i="3"/>
  <c r="C102" i="3" s="1"/>
  <c r="C104" i="3" s="1"/>
  <c r="C106" i="3" s="1"/>
  <c r="C108" i="3" s="1"/>
  <c r="AC92" i="21426"/>
  <c r="AC110" i="21430"/>
  <c r="AZ115" i="21428"/>
  <c r="AW75" i="21430"/>
  <c r="AX75" i="21430"/>
  <c r="AY74" i="21430"/>
  <c r="M74" i="21430"/>
  <c r="J76" i="21430"/>
  <c r="J77" i="21430"/>
  <c r="F76" i="21430"/>
  <c r="AW76" i="21430"/>
  <c r="AX76" i="21430"/>
  <c r="C78" i="21430"/>
  <c r="C80" i="21430" s="1"/>
  <c r="AX12" i="21416"/>
  <c r="AW12" i="21416"/>
  <c r="J107" i="3" l="1"/>
  <c r="C110" i="3"/>
  <c r="AZ75" i="21430"/>
  <c r="AW80" i="21430"/>
  <c r="C82" i="21430"/>
  <c r="J78" i="21430"/>
  <c r="AX80" i="21430"/>
  <c r="J79" i="21430"/>
  <c r="AW77" i="21430"/>
  <c r="AX77" i="21430"/>
  <c r="M76" i="21430"/>
  <c r="AZ76" i="21430"/>
  <c r="AY76" i="21430"/>
  <c r="C112" i="3" l="1"/>
  <c r="C114" i="3" s="1"/>
  <c r="C116" i="3" s="1"/>
  <c r="J109" i="3"/>
  <c r="AZ77" i="21430"/>
  <c r="AX82" i="21430"/>
  <c r="F82" i="21430"/>
  <c r="C84" i="21430"/>
  <c r="AW82" i="21430"/>
  <c r="J81" i="21430"/>
  <c r="AX79" i="21430"/>
  <c r="AW79" i="21430"/>
  <c r="AY80" i="21430"/>
  <c r="M80" i="21430"/>
  <c r="C118" i="3" l="1"/>
  <c r="J117" i="3"/>
  <c r="AZ79" i="21430"/>
  <c r="AX84" i="21430"/>
  <c r="AW84" i="21430"/>
  <c r="C86" i="21430"/>
  <c r="AW81" i="21430"/>
  <c r="AX81" i="21430"/>
  <c r="M82" i="21430"/>
  <c r="AY82" i="21430"/>
  <c r="J119" i="3" l="1"/>
  <c r="C120" i="3"/>
  <c r="C122" i="3" s="1"/>
  <c r="C124" i="3" s="1"/>
  <c r="AZ81" i="21430"/>
  <c r="AX86" i="21430"/>
  <c r="C88" i="21430"/>
  <c r="J85" i="21430"/>
  <c r="AW86" i="21430"/>
  <c r="M84" i="21430"/>
  <c r="AY84" i="21430"/>
  <c r="J123" i="3" l="1"/>
  <c r="C126" i="3"/>
  <c r="C128" i="3" s="1"/>
  <c r="C130" i="3" s="1"/>
  <c r="AW85" i="21430"/>
  <c r="AX85" i="21430"/>
  <c r="C90" i="21430"/>
  <c r="AW88" i="21430"/>
  <c r="AX88" i="21430"/>
  <c r="M86" i="21430"/>
  <c r="AY86" i="21430"/>
  <c r="J129" i="3" l="1"/>
  <c r="C132" i="3"/>
  <c r="AZ85" i="21430"/>
  <c r="C92" i="21430"/>
  <c r="AX90" i="21430"/>
  <c r="AW90" i="21430"/>
  <c r="J91" i="21430"/>
  <c r="AY88" i="21430"/>
  <c r="M88" i="21430"/>
  <c r="J132" i="3" l="1"/>
  <c r="C134" i="3"/>
  <c r="AX91" i="21430"/>
  <c r="AW91" i="21430"/>
  <c r="AY90" i="21430"/>
  <c r="M90" i="21430"/>
  <c r="C94" i="21430"/>
  <c r="AX92" i="21430"/>
  <c r="AW92" i="21430"/>
  <c r="C136" i="3" l="1"/>
  <c r="J133" i="3"/>
  <c r="AZ91" i="21430"/>
  <c r="C96" i="21430"/>
  <c r="AX94" i="21430"/>
  <c r="I69" i="21430"/>
  <c r="Q241" i="21408" s="1"/>
  <c r="G241" i="21408" s="1"/>
  <c r="J95" i="21430"/>
  <c r="AW94" i="21430"/>
  <c r="M92" i="21430"/>
  <c r="AY92" i="21430"/>
  <c r="J137" i="3" l="1"/>
  <c r="C138" i="3"/>
  <c r="C140" i="3" s="1"/>
  <c r="C142" i="3" s="1"/>
  <c r="C144" i="3" s="1"/>
  <c r="C146" i="3" s="1"/>
  <c r="AW95" i="21430"/>
  <c r="AX95" i="21430"/>
  <c r="AY94" i="21430"/>
  <c r="M94" i="21430"/>
  <c r="AW96" i="21430"/>
  <c r="C98" i="21430"/>
  <c r="AX96" i="21430"/>
  <c r="C100" i="21430"/>
  <c r="J145" i="3" l="1"/>
  <c r="C148" i="3"/>
  <c r="AZ95" i="21430"/>
  <c r="C102" i="21430"/>
  <c r="AW100" i="21430"/>
  <c r="AX100" i="21430"/>
  <c r="M96" i="21430"/>
  <c r="AY96" i="21430"/>
  <c r="J99" i="21430"/>
  <c r="AW98" i="21430"/>
  <c r="AX98" i="21430"/>
  <c r="J149" i="3" l="1"/>
  <c r="C150" i="3"/>
  <c r="C152" i="3" s="1"/>
  <c r="M98" i="21430"/>
  <c r="AY98" i="21430"/>
  <c r="AY100" i="21430"/>
  <c r="M100" i="21430"/>
  <c r="AX99" i="21430"/>
  <c r="AW99" i="21430"/>
  <c r="AW102" i="21430"/>
  <c r="AX102" i="21430"/>
  <c r="C104" i="21430"/>
  <c r="C4" i="21417" s="1"/>
  <c r="J151" i="3" l="1"/>
  <c r="J4" i="21414" s="1"/>
  <c r="C154" i="3"/>
  <c r="C5" i="21414"/>
  <c r="AY102" i="21430"/>
  <c r="AW104" i="21430"/>
  <c r="AW4" i="21417" s="1"/>
  <c r="AX104" i="21430"/>
  <c r="AX4" i="21417" s="1"/>
  <c r="C106" i="21430"/>
  <c r="C6" i="21417" s="1"/>
  <c r="AZ99" i="21430"/>
  <c r="AQ52" i="21424"/>
  <c r="G210" i="21409"/>
  <c r="AS26" i="21425"/>
  <c r="AT85" i="21436"/>
  <c r="AQ56" i="21436"/>
  <c r="AQ78" i="21436"/>
  <c r="AP17" i="21425"/>
  <c r="AT32" i="3"/>
  <c r="AT21" i="21429"/>
  <c r="G53" i="21409"/>
  <c r="AT164" i="3"/>
  <c r="AQ51" i="21428"/>
  <c r="AQ8" i="21427"/>
  <c r="AS78" i="21425"/>
  <c r="AP67" i="21425"/>
  <c r="AQ25" i="21426"/>
  <c r="AQ26" i="21427"/>
  <c r="AT24" i="21398"/>
  <c r="AQ229" i="21398"/>
  <c r="AT162" i="3"/>
  <c r="AQ34" i="21399"/>
  <c r="AT54" i="21398"/>
  <c r="AQ107" i="21430"/>
  <c r="AQ147" i="2"/>
  <c r="AT20" i="21398"/>
  <c r="AT16" i="3"/>
  <c r="AQ31" i="21430"/>
  <c r="AT53" i="21424"/>
  <c r="AT93" i="21423"/>
  <c r="AQ30" i="21412"/>
  <c r="AQ22" i="21412"/>
  <c r="AT26" i="3"/>
  <c r="AT35" i="21423"/>
  <c r="AT240" i="2"/>
  <c r="AT14" i="3"/>
  <c r="AQ90" i="21423"/>
  <c r="AT246" i="2"/>
  <c r="AT51" i="21424"/>
  <c r="AQ60" i="21435"/>
  <c r="AQ33" i="21428"/>
  <c r="G228" i="21409"/>
  <c r="AQ21" i="21428"/>
  <c r="AT43" i="21423"/>
  <c r="AT80" i="21426"/>
  <c r="AS60" i="21425"/>
  <c r="AT126" i="3"/>
  <c r="AT68" i="21428"/>
  <c r="AT234" i="21398"/>
  <c r="AQ121" i="21398"/>
  <c r="AQ34" i="21400"/>
  <c r="AQ63" i="3"/>
  <c r="AQ139" i="3"/>
  <c r="AQ36" i="21423"/>
  <c r="AQ55" i="21426"/>
  <c r="AQ31" i="21429"/>
  <c r="AQ227" i="21398"/>
  <c r="AQ26" i="21423"/>
  <c r="AT31" i="21421"/>
  <c r="AQ48" i="21399"/>
  <c r="AQ91" i="3"/>
  <c r="AQ68" i="21424"/>
  <c r="AT34" i="21429"/>
  <c r="AT100" i="3"/>
  <c r="AQ67" i="21428"/>
  <c r="AQ50" i="21435"/>
  <c r="AT50" i="21429"/>
  <c r="AT109" i="21424"/>
  <c r="AT11" i="21429"/>
  <c r="AT44" i="21426"/>
  <c r="AQ105" i="21430"/>
  <c r="AT8" i="2"/>
  <c r="AQ11" i="21419"/>
  <c r="AQ15" i="21398"/>
  <c r="AT92" i="3"/>
  <c r="AQ63" i="21429"/>
  <c r="AT84" i="21428"/>
  <c r="AQ8" i="21436"/>
  <c r="AT9" i="21435"/>
  <c r="AQ223" i="21398"/>
  <c r="AT218" i="2"/>
  <c r="AT154" i="21398"/>
  <c r="AQ219" i="21398"/>
  <c r="AS72" i="21425"/>
  <c r="AT45" i="21422"/>
  <c r="AQ62" i="21435"/>
  <c r="G316" i="21409"/>
  <c r="AQ54" i="21424"/>
  <c r="AQ92" i="21423"/>
  <c r="AT56" i="21430"/>
  <c r="AQ56" i="21400"/>
  <c r="AT19" i="21436"/>
  <c r="AT83" i="21423"/>
  <c r="AT45" i="21399"/>
  <c r="AT67" i="21435"/>
  <c r="AT92" i="21429"/>
  <c r="AT16" i="21398"/>
  <c r="AT53" i="21414"/>
  <c r="AT107" i="21423"/>
  <c r="AQ21" i="21430"/>
  <c r="AQ175" i="21398"/>
  <c r="AQ15" i="21419"/>
  <c r="AQ100" i="21423"/>
  <c r="AS30" i="21425"/>
  <c r="AS6" i="21425"/>
  <c r="AT42" i="21419"/>
  <c r="AQ171" i="3"/>
  <c r="AT43" i="21422"/>
  <c r="AQ32" i="21435"/>
  <c r="G207" i="21409"/>
  <c r="AT47" i="21427"/>
  <c r="AQ85" i="21430"/>
  <c r="AQ5" i="21426"/>
  <c r="AT36" i="2"/>
  <c r="AQ45" i="21426"/>
  <c r="AQ69" i="21426"/>
  <c r="AQ22" i="21427"/>
  <c r="AQ52" i="21435"/>
  <c r="AQ33" i="21430"/>
  <c r="AT23" i="21400"/>
  <c r="AQ41" i="21429"/>
  <c r="AQ46" i="21436"/>
  <c r="AS14" i="21425"/>
  <c r="AT192" i="21398"/>
  <c r="AQ42" i="21435"/>
  <c r="AT19" i="21427"/>
  <c r="AQ13" i="2"/>
  <c r="AT60" i="21429"/>
  <c r="AS66" i="21425"/>
  <c r="AQ225" i="21398"/>
  <c r="AQ231" i="2"/>
  <c r="AT42" i="21429"/>
  <c r="AT162" i="2"/>
  <c r="AT18" i="21426"/>
  <c r="AQ83" i="21426"/>
  <c r="AQ12" i="21429"/>
  <c r="AQ30" i="21410"/>
  <c r="AQ69" i="21429"/>
  <c r="AQ30" i="21420"/>
  <c r="AT48" i="21426"/>
  <c r="AQ64" i="21423"/>
  <c r="AQ163" i="3"/>
  <c r="AQ26" i="21399"/>
  <c r="AQ108" i="21424"/>
  <c r="AT184" i="3"/>
  <c r="G270" i="21409"/>
  <c r="AT15" i="21422"/>
  <c r="AQ57" i="21429"/>
  <c r="AQ45" i="3"/>
  <c r="AQ32" i="21400"/>
  <c r="AT198" i="21398"/>
  <c r="AQ20" i="21400"/>
  <c r="AS28" i="21425"/>
  <c r="AQ19" i="21426"/>
  <c r="AT194" i="2"/>
  <c r="AT50" i="21398"/>
  <c r="AT27" i="21420"/>
  <c r="AQ71" i="3"/>
  <c r="AQ99" i="21428"/>
  <c r="G315" i="21409"/>
  <c r="AQ114" i="21423"/>
  <c r="AQ67" i="21429"/>
  <c r="AT55" i="21435"/>
  <c r="AT35" i="21410"/>
  <c r="AT168" i="21398"/>
  <c r="AQ26" i="21420"/>
  <c r="AQ49" i="3"/>
  <c r="AQ193" i="3"/>
  <c r="AQ10" i="21427"/>
  <c r="AQ17" i="3"/>
  <c r="AQ61" i="3"/>
  <c r="AT85" i="21423"/>
  <c r="AQ21" i="21398"/>
  <c r="AT148" i="21398"/>
  <c r="AT66" i="3"/>
  <c r="AQ45" i="2"/>
  <c r="AQ103" i="3"/>
  <c r="AQ25" i="21398"/>
  <c r="AQ48" i="21423"/>
  <c r="AT204" i="21398"/>
  <c r="AQ48" i="21435"/>
  <c r="AQ14" i="21411"/>
  <c r="AT42" i="21398"/>
  <c r="AQ46" i="21427"/>
  <c r="AT18" i="21428"/>
  <c r="AT35" i="21436"/>
  <c r="AT84" i="21430"/>
  <c r="AT29" i="21435"/>
  <c r="AQ54" i="21436"/>
  <c r="AT95" i="21424"/>
  <c r="AT116" i="3"/>
  <c r="AT196" i="21398"/>
  <c r="AQ35" i="21398"/>
  <c r="AT22" i="2"/>
  <c r="AT33" i="21410"/>
  <c r="AT23" i="21422"/>
  <c r="AQ10" i="21424"/>
  <c r="AQ24" i="21420"/>
  <c r="AQ10" i="21423"/>
  <c r="AQ95" i="21428"/>
  <c r="AQ64" i="21424"/>
  <c r="AQ83" i="3"/>
  <c r="AT168" i="3"/>
  <c r="AQ31" i="21426"/>
  <c r="AT76" i="3"/>
  <c r="AQ179" i="21398"/>
  <c r="AQ70" i="21435"/>
  <c r="AT35" i="21422"/>
  <c r="AT63" i="21423"/>
  <c r="AP15" i="21425"/>
  <c r="AT210" i="21398"/>
  <c r="AT82" i="21429"/>
  <c r="AQ123" i="2"/>
  <c r="AS16" i="21425"/>
  <c r="AQ18" i="21400"/>
  <c r="AQ221" i="2"/>
  <c r="G318" i="21409"/>
  <c r="AT27" i="21412"/>
  <c r="AQ29" i="21426"/>
  <c r="AQ17" i="21426"/>
  <c r="AQ15" i="2"/>
  <c r="AQ75" i="21429"/>
  <c r="AT102" i="3"/>
  <c r="AT130" i="21398"/>
  <c r="AT42" i="21428"/>
  <c r="AQ28" i="21424"/>
  <c r="G321" i="21409"/>
  <c r="AT31" i="21410"/>
  <c r="AQ14" i="21424"/>
  <c r="AQ41" i="21430"/>
  <c r="AT214" i="21398"/>
  <c r="AQ117" i="2"/>
  <c r="AT44" i="21428"/>
  <c r="AQ235" i="21398"/>
  <c r="AT56" i="3"/>
  <c r="AQ28" i="21400"/>
  <c r="AT9" i="21429"/>
  <c r="AQ209" i="2"/>
  <c r="AT21" i="21427"/>
  <c r="AT77" i="21435"/>
  <c r="AQ177" i="21398"/>
  <c r="AQ43" i="21428"/>
  <c r="AQ39" i="21429"/>
  <c r="AQ89" i="21430"/>
  <c r="G301" i="21409"/>
  <c r="G223" i="21409"/>
  <c r="AT45" i="21435"/>
  <c r="AT66" i="21426"/>
  <c r="G256" i="21409"/>
  <c r="AT15" i="21424"/>
  <c r="AT39" i="21414"/>
  <c r="AQ33" i="3"/>
  <c r="AT59" i="21424"/>
  <c r="AT178" i="21398"/>
  <c r="AQ239" i="2"/>
  <c r="AQ14" i="21400"/>
  <c r="AT65" i="21435"/>
  <c r="AT134" i="3"/>
  <c r="AQ49" i="21430"/>
  <c r="AT24" i="21426"/>
  <c r="AT80" i="21429"/>
  <c r="AT79" i="21435"/>
  <c r="AT124" i="2"/>
  <c r="AQ118" i="21423"/>
  <c r="AQ81" i="3"/>
  <c r="AT13" i="21436"/>
  <c r="AT41" i="21424"/>
  <c r="AT13" i="21422"/>
  <c r="AT47" i="21399"/>
  <c r="AT57" i="21424"/>
  <c r="AT166" i="3"/>
  <c r="AT170" i="2"/>
  <c r="AQ149" i="3"/>
  <c r="AQ56" i="21414"/>
  <c r="AQ34" i="21436"/>
  <c r="AQ59" i="21429"/>
  <c r="AT78" i="21429"/>
  <c r="AQ18" i="21399"/>
  <c r="AQ20" i="21421"/>
  <c r="AT172" i="2"/>
  <c r="AQ16" i="21422"/>
  <c r="AP7" i="21425"/>
  <c r="AQ48" i="21400"/>
  <c r="AT188" i="3"/>
  <c r="AT86" i="3"/>
  <c r="AQ26" i="21400"/>
  <c r="AS40" i="21425"/>
  <c r="AQ169" i="21398"/>
  <c r="AQ28" i="21423"/>
  <c r="AT23" i="21411"/>
  <c r="AQ40" i="21435"/>
  <c r="AQ32" i="21414"/>
  <c r="AQ28" i="21414"/>
  <c r="AT138" i="2"/>
  <c r="AT104" i="21430"/>
  <c r="AT67" i="21436"/>
  <c r="AQ21" i="21426"/>
  <c r="AQ26" i="21414"/>
  <c r="AQ201" i="2"/>
  <c r="AT25" i="21423"/>
  <c r="AT144" i="3"/>
  <c r="AQ147" i="3"/>
  <c r="AQ40" i="21423"/>
  <c r="AQ131" i="21398"/>
  <c r="AQ28" i="21427"/>
  <c r="AQ167" i="2"/>
  <c r="AS64" i="21425"/>
  <c r="AQ47" i="2"/>
  <c r="AQ47" i="21429"/>
  <c r="AQ13" i="21428"/>
  <c r="AT34" i="21430"/>
  <c r="AT47" i="21414"/>
  <c r="AT21" i="21424"/>
  <c r="AT39" i="21436"/>
  <c r="AT78" i="3"/>
  <c r="AT70" i="21426"/>
  <c r="AQ58" i="21427"/>
  <c r="AT70" i="21430"/>
  <c r="AT40" i="21398"/>
  <c r="AQ86" i="21436"/>
  <c r="AQ35" i="2"/>
  <c r="AT180" i="3"/>
  <c r="G94" i="21409"/>
  <c r="AQ44" i="21424"/>
  <c r="AT26" i="2"/>
  <c r="AQ45" i="21429"/>
  <c r="AT107" i="21424"/>
  <c r="AT10" i="21430"/>
  <c r="AQ62" i="21423"/>
  <c r="AQ30" i="21435"/>
  <c r="AQ23" i="3"/>
  <c r="AQ119" i="3"/>
  <c r="AQ9" i="21428"/>
  <c r="AT32" i="21428"/>
  <c r="AQ31" i="2"/>
  <c r="AT120" i="21398"/>
  <c r="AQ40" i="21422"/>
  <c r="AT75" i="21435"/>
  <c r="AQ16" i="21412"/>
  <c r="AT103" i="21424"/>
  <c r="AQ50" i="21423"/>
  <c r="AT108" i="3"/>
  <c r="G102" i="21409"/>
  <c r="AT63" i="21400"/>
  <c r="AQ68" i="21423"/>
  <c r="AQ56" i="21423"/>
  <c r="AQ80" i="21435"/>
  <c r="AT14" i="21418"/>
  <c r="G159" i="21409"/>
  <c r="AT46" i="21430"/>
  <c r="AQ44" i="21399"/>
  <c r="AT47" i="21435"/>
  <c r="AQ12" i="21422"/>
  <c r="AT220" i="21398"/>
  <c r="AQ16" i="21421"/>
  <c r="AQ23" i="2"/>
  <c r="AT15" i="21414"/>
  <c r="AT142" i="3"/>
  <c r="AQ26" i="21421"/>
  <c r="AT37" i="21422"/>
  <c r="AQ69" i="21430"/>
  <c r="AQ60" i="21414"/>
  <c r="AT28" i="21426"/>
  <c r="AT186" i="2"/>
  <c r="AQ7" i="21430"/>
  <c r="AT69" i="21423"/>
  <c r="AT94" i="21428"/>
  <c r="G303" i="21409"/>
  <c r="AQ36" i="21427"/>
  <c r="AT53" i="21435"/>
  <c r="AQ106" i="21424"/>
  <c r="AT208" i="2"/>
  <c r="AQ12" i="21420"/>
  <c r="AT58" i="21426"/>
  <c r="AQ213" i="21398"/>
  <c r="AT30" i="21418"/>
  <c r="AQ189" i="21398"/>
  <c r="AT57" i="21427"/>
  <c r="AQ157" i="21398"/>
  <c r="AQ30" i="21414"/>
  <c r="AQ93" i="3"/>
  <c r="AT59" i="21435"/>
  <c r="AP69" i="21425"/>
  <c r="AT38" i="21430"/>
  <c r="AQ57" i="21426"/>
  <c r="AQ29" i="21429"/>
  <c r="G154" i="21409"/>
  <c r="AT13" i="21400"/>
  <c r="AT41" i="21422"/>
  <c r="AT19" i="21410"/>
  <c r="AT123" i="21424"/>
  <c r="AT63" i="21435"/>
  <c r="AQ20" i="21412"/>
  <c r="AT98" i="3"/>
  <c r="AT27" i="21421"/>
  <c r="AT12" i="21426"/>
  <c r="AQ145" i="2"/>
  <c r="AQ199" i="21398"/>
  <c r="AQ66" i="21423"/>
  <c r="G89" i="21409"/>
  <c r="AT77" i="21436"/>
  <c r="AQ205" i="2"/>
  <c r="AQ26" i="21424"/>
  <c r="AT105" i="21423"/>
  <c r="AQ47" i="21426"/>
  <c r="AT100" i="21430"/>
  <c r="AT47" i="21423"/>
  <c r="AQ88" i="21424"/>
  <c r="AQ129" i="3"/>
  <c r="AS84" i="21425"/>
  <c r="AT180" i="2"/>
  <c r="AS36" i="21425"/>
  <c r="AT120" i="3"/>
  <c r="AT28" i="21430"/>
  <c r="AQ243" i="2"/>
  <c r="AT114" i="3"/>
  <c r="AT47" i="21400"/>
  <c r="AQ126" i="21423"/>
  <c r="AT33" i="21414"/>
  <c r="AQ241" i="2"/>
  <c r="AT75" i="21436"/>
  <c r="AT9" i="21424"/>
  <c r="AQ14" i="21410"/>
  <c r="G40" i="21409"/>
  <c r="AT119" i="21424"/>
  <c r="AT59" i="21400"/>
  <c r="AQ62" i="21400"/>
  <c r="G80" i="21409"/>
  <c r="AQ41" i="21419"/>
  <c r="AT19" i="21414"/>
  <c r="AT113" i="21423"/>
  <c r="AQ135" i="21398"/>
  <c r="AQ46" i="21424"/>
  <c r="AT236" i="21398"/>
  <c r="AQ77" i="21426"/>
  <c r="AT30" i="3"/>
  <c r="AT37" i="21436"/>
  <c r="AQ21" i="3"/>
  <c r="G324" i="21409"/>
  <c r="AQ119" i="21398"/>
  <c r="AP33" i="21425"/>
  <c r="AQ57" i="21430"/>
  <c r="AT200" i="21398"/>
  <c r="AQ181" i="2"/>
  <c r="G68" i="21409"/>
  <c r="AT222" i="21398"/>
  <c r="AT15" i="21435"/>
  <c r="AT118" i="21398"/>
  <c r="AT8" i="21398"/>
  <c r="AQ42" i="21424"/>
  <c r="AT224" i="21398"/>
  <c r="AT16" i="21418"/>
  <c r="AT34" i="2"/>
  <c r="AT65" i="21427"/>
  <c r="AQ173" i="21398"/>
  <c r="AT146" i="21398"/>
  <c r="AQ65" i="21426"/>
  <c r="AQ237" i="2"/>
  <c r="AQ107" i="3"/>
  <c r="AT192" i="3"/>
  <c r="AQ203" i="2"/>
  <c r="AS8" i="21425"/>
  <c r="AQ245" i="2"/>
  <c r="AT55" i="21423"/>
  <c r="AT68" i="21429"/>
  <c r="AT136" i="2"/>
  <c r="AT88" i="21429"/>
  <c r="AT27" i="21400"/>
  <c r="AT196" i="3"/>
  <c r="AT49" i="21422"/>
  <c r="AQ118" i="21424"/>
  <c r="AQ38" i="21424"/>
  <c r="AT23" i="21412"/>
  <c r="AT81" i="21423"/>
  <c r="AQ32" i="21424"/>
  <c r="AQ98" i="21424"/>
  <c r="AQ33" i="2"/>
  <c r="AT23" i="21429"/>
  <c r="G214" i="21409"/>
  <c r="AT14" i="21419"/>
  <c r="AQ36" i="21436"/>
  <c r="AQ5" i="3"/>
  <c r="AQ92" i="21424"/>
  <c r="AQ21" i="21418"/>
  <c r="AQ13" i="3"/>
  <c r="AT19" i="21429"/>
  <c r="AQ40" i="21414"/>
  <c r="AT93" i="21424"/>
  <c r="AQ8" i="21429"/>
  <c r="AT31" i="21399"/>
  <c r="AQ25" i="21429"/>
  <c r="AQ141" i="3"/>
  <c r="AT230" i="21398"/>
  <c r="AQ38" i="21410"/>
  <c r="AQ40" i="21427"/>
  <c r="AQ131" i="3"/>
  <c r="AQ27" i="21419"/>
  <c r="AT34" i="3"/>
  <c r="AT95" i="21423"/>
  <c r="AQ50" i="21400"/>
  <c r="AQ48" i="21422"/>
  <c r="AT23" i="21436"/>
  <c r="G43" i="21409"/>
  <c r="G99" i="21409"/>
  <c r="AT70" i="21428"/>
  <c r="AQ36" i="21414"/>
  <c r="AT184" i="21398"/>
  <c r="AP19" i="21425"/>
  <c r="AT8" i="21430"/>
  <c r="AT22" i="21418"/>
  <c r="AQ121" i="2"/>
  <c r="AT96" i="3"/>
  <c r="AT15" i="21410"/>
  <c r="AQ185" i="2"/>
  <c r="AQ211" i="21398"/>
  <c r="AT37" i="21414"/>
  <c r="AT68" i="3"/>
  <c r="AT57" i="21436"/>
  <c r="AS18" i="21425"/>
  <c r="AT50" i="3"/>
  <c r="AT49" i="21400"/>
  <c r="AQ195" i="21398"/>
  <c r="AT13" i="21412"/>
  <c r="AQ31" i="21428"/>
  <c r="AQ10" i="21436"/>
  <c r="G304" i="21409"/>
  <c r="G268" i="21409"/>
  <c r="AS32" i="21425"/>
  <c r="AQ56" i="21427"/>
  <c r="AT74" i="21428"/>
  <c r="AT190" i="3"/>
  <c r="AQ51" i="21398"/>
  <c r="AQ25" i="21430"/>
  <c r="AT21" i="21399"/>
  <c r="AQ25" i="21418"/>
  <c r="AT63" i="21424"/>
  <c r="AQ72" i="21436"/>
  <c r="AQ56" i="21424"/>
  <c r="AT94" i="21430"/>
  <c r="AQ16" i="21400"/>
  <c r="AQ27" i="21430"/>
  <c r="G274" i="21409"/>
  <c r="AT45" i="21414"/>
  <c r="AT43" i="21427"/>
  <c r="AQ149" i="2"/>
  <c r="AQ26" i="21412"/>
  <c r="AQ14" i="21412"/>
  <c r="G272" i="21409"/>
  <c r="AQ10" i="21429"/>
  <c r="AQ21" i="2"/>
  <c r="AQ124" i="21424"/>
  <c r="AQ85" i="3"/>
  <c r="AT26" i="21426"/>
  <c r="AQ121" i="3"/>
  <c r="AT20" i="2"/>
  <c r="AT10" i="3"/>
  <c r="AT190" i="21398"/>
  <c r="AT38" i="21419"/>
  <c r="AQ159" i="21398"/>
  <c r="AT198" i="3"/>
  <c r="AT6" i="21430"/>
  <c r="AT69" i="21424"/>
  <c r="AT18" i="21419"/>
  <c r="AQ163" i="21398"/>
  <c r="AQ62" i="21436"/>
  <c r="AQ81" i="21429"/>
  <c r="AT238" i="21398"/>
  <c r="AQ39" i="21398"/>
  <c r="AT128" i="3"/>
  <c r="AQ21" i="21419"/>
  <c r="AQ18" i="21421"/>
  <c r="AT86" i="21428"/>
  <c r="AQ123" i="3"/>
  <c r="AP27" i="21425"/>
  <c r="AT69" i="21435"/>
  <c r="AT61" i="21414"/>
  <c r="AT28" i="3"/>
  <c r="AT91" i="21424"/>
  <c r="G71" i="21409"/>
  <c r="AQ52" i="21400"/>
  <c r="AQ57" i="21428"/>
  <c r="AQ34" i="21435"/>
  <c r="AT37" i="21423"/>
  <c r="AQ179" i="2"/>
  <c r="AQ53" i="21428"/>
  <c r="AQ17" i="2"/>
  <c r="AP55" i="21425"/>
  <c r="AQ85" i="21426"/>
  <c r="AT23" i="21420"/>
  <c r="AT226" i="2"/>
  <c r="AT41" i="21436"/>
  <c r="AT36" i="21428"/>
  <c r="AQ39" i="21426"/>
  <c r="AQ12" i="21411"/>
  <c r="AT15" i="21427"/>
  <c r="AQ28" i="21436"/>
  <c r="AT152" i="3"/>
  <c r="AQ16" i="21424"/>
  <c r="AQ9" i="21419"/>
  <c r="AT23" i="21427"/>
  <c r="AQ189" i="2"/>
  <c r="AT22" i="21428"/>
  <c r="AT94" i="3"/>
  <c r="AT45" i="21423"/>
  <c r="AQ29" i="21430"/>
  <c r="AT16" i="2"/>
  <c r="AT40" i="21419"/>
  <c r="AT106" i="21430"/>
  <c r="AQ24" i="21421"/>
  <c r="AT33" i="21436"/>
  <c r="AT27" i="21436"/>
  <c r="AT44" i="21398"/>
  <c r="AQ52" i="21414"/>
  <c r="AT26" i="21398"/>
  <c r="AQ64" i="21427"/>
  <c r="AT204" i="2"/>
  <c r="AQ32" i="21436"/>
  <c r="AQ84" i="21424"/>
  <c r="AT13" i="21424"/>
  <c r="AS24" i="21425"/>
  <c r="AQ58" i="21424"/>
  <c r="AQ116" i="21423"/>
  <c r="AQ34" i="21423"/>
  <c r="AT26" i="21430"/>
  <c r="AQ207" i="2"/>
  <c r="AQ183" i="3"/>
  <c r="AT27" i="21424"/>
  <c r="AT84" i="21426"/>
  <c r="AQ77" i="21428"/>
  <c r="AT37" i="21435"/>
  <c r="AT90" i="21430"/>
  <c r="AT28" i="21428"/>
  <c r="AQ135" i="3"/>
  <c r="AP5" i="21425"/>
  <c r="AT29" i="21422"/>
  <c r="AQ41" i="2"/>
  <c r="AQ30" i="21424"/>
  <c r="AT61" i="21424"/>
  <c r="AT49" i="21424"/>
  <c r="AQ36" i="21424"/>
  <c r="AQ46" i="21400"/>
  <c r="AQ96" i="21423"/>
  <c r="AQ64" i="21414"/>
  <c r="AT154" i="3"/>
  <c r="AQ16" i="21427"/>
  <c r="AT6" i="2"/>
  <c r="AT36" i="21429"/>
  <c r="AQ181" i="21398"/>
  <c r="AQ197" i="3"/>
  <c r="AT186" i="3"/>
  <c r="AT232" i="21398"/>
  <c r="AT15" i="21400"/>
  <c r="G230" i="21409"/>
  <c r="AQ80" i="21436"/>
  <c r="G278" i="21409"/>
  <c r="AQ97" i="3"/>
  <c r="AQ207" i="21398"/>
  <c r="AQ27" i="21428"/>
  <c r="AQ46" i="21399"/>
  <c r="AQ19" i="21428"/>
  <c r="AT59" i="21427"/>
  <c r="AQ74" i="21423"/>
  <c r="AQ133" i="3"/>
  <c r="AQ7" i="3"/>
  <c r="AT142" i="21398"/>
  <c r="AQ61" i="21430"/>
  <c r="AT103" i="21423"/>
  <c r="AQ38" i="21435"/>
  <c r="AQ175" i="3"/>
  <c r="AT121" i="21424"/>
  <c r="AT50" i="21426"/>
  <c r="AT18" i="2"/>
  <c r="AQ22" i="21400"/>
  <c r="AQ50" i="21414"/>
  <c r="AQ155" i="2"/>
  <c r="G231" i="21409"/>
  <c r="AS70" i="21425"/>
  <c r="AT51" i="21414"/>
  <c r="AT168" i="2"/>
  <c r="AQ46" i="21414"/>
  <c r="AT46" i="21429"/>
  <c r="AQ110" i="21424"/>
  <c r="AQ22" i="21410"/>
  <c r="AT71" i="21424"/>
  <c r="AT83" i="21435"/>
  <c r="AQ76" i="21436"/>
  <c r="AQ51" i="3"/>
  <c r="AQ141" i="2"/>
  <c r="AT9" i="21410"/>
  <c r="AT23" i="21410"/>
  <c r="AQ52" i="21423"/>
  <c r="AT39" i="21423"/>
  <c r="AT62" i="3"/>
  <c r="AQ57" i="3"/>
  <c r="G107" i="21409"/>
  <c r="AT32" i="21430"/>
  <c r="AT19" i="21412"/>
  <c r="AT96" i="21429"/>
  <c r="AT17" i="21410"/>
  <c r="AT57" i="21423"/>
  <c r="AQ77" i="3"/>
  <c r="AT14" i="21398"/>
  <c r="AQ143" i="21398"/>
  <c r="G103" i="21409"/>
  <c r="AQ36" i="21435"/>
  <c r="AT11" i="21410"/>
  <c r="AT17" i="21411"/>
  <c r="AQ38" i="21414"/>
  <c r="AQ72" i="21424"/>
  <c r="AQ73" i="21428"/>
  <c r="AQ65" i="21428"/>
  <c r="AT44" i="3"/>
  <c r="AT65" i="21424"/>
  <c r="AT73" i="21435"/>
  <c r="AQ65" i="3"/>
  <c r="AT34" i="21428"/>
  <c r="AQ38" i="21436"/>
  <c r="AT23" i="21414"/>
  <c r="AT43" i="21400"/>
  <c r="AQ113" i="21428"/>
  <c r="AQ32" i="21420"/>
  <c r="AT202" i="21398"/>
  <c r="AQ53" i="21430"/>
  <c r="AT40" i="21418"/>
  <c r="AQ8" i="21410"/>
  <c r="AT13" i="21420"/>
  <c r="AT59" i="21414"/>
  <c r="AQ9" i="2"/>
  <c r="AS52" i="21425"/>
  <c r="AT31" i="21414"/>
  <c r="AQ58" i="21400"/>
  <c r="AQ59" i="3"/>
  <c r="AQ32" i="21421"/>
  <c r="AT9" i="21423"/>
  <c r="AQ45" i="21430"/>
  <c r="AQ15" i="3"/>
  <c r="AT25" i="21420"/>
  <c r="AQ44" i="21414"/>
  <c r="AQ73" i="21429"/>
  <c r="AQ46" i="21422"/>
  <c r="AQ63" i="21428"/>
  <c r="AQ16" i="21436"/>
  <c r="AT39" i="21399"/>
  <c r="AP73" i="21425"/>
  <c r="AT37" i="21427"/>
  <c r="AP23" i="21425"/>
  <c r="AT40" i="21428"/>
  <c r="AT200" i="2"/>
  <c r="AT52" i="2"/>
  <c r="AT7" i="21427"/>
  <c r="G302" i="21409"/>
  <c r="AT19" i="21400"/>
  <c r="AT236" i="2"/>
  <c r="AQ71" i="21428"/>
  <c r="AQ113" i="3"/>
  <c r="AQ177" i="3"/>
  <c r="AQ141" i="21398"/>
  <c r="AT30" i="21419"/>
  <c r="AQ197" i="21398"/>
  <c r="AP51" i="21425"/>
  <c r="AT105" i="21424"/>
  <c r="AQ15" i="21426"/>
  <c r="AQ65" i="21430"/>
  <c r="AT113" i="21424"/>
  <c r="AT86" i="21430"/>
  <c r="AQ17" i="21398"/>
  <c r="AT44" i="21429"/>
  <c r="AQ10" i="21435"/>
  <c r="AT39" i="21410"/>
  <c r="AT49" i="21414"/>
  <c r="AQ51" i="21429"/>
  <c r="AT31" i="21427"/>
  <c r="AT32" i="21426"/>
  <c r="AP47" i="21425"/>
  <c r="AT58" i="21429"/>
  <c r="AQ125" i="21398"/>
  <c r="AQ23" i="21430"/>
  <c r="AQ55" i="2"/>
  <c r="AT20" i="21419"/>
  <c r="AQ65" i="21429"/>
  <c r="AQ60" i="21427"/>
  <c r="AQ14" i="21421"/>
  <c r="AQ217" i="2"/>
  <c r="AT33" i="21422"/>
  <c r="AT25" i="21414"/>
  <c r="AQ95" i="3"/>
  <c r="AT110" i="21428"/>
  <c r="AT65" i="21400"/>
  <c r="AQ125" i="3"/>
  <c r="AT51" i="21436"/>
  <c r="AQ44" i="21427"/>
  <c r="G311" i="21409"/>
  <c r="AS20" i="21425"/>
  <c r="AQ169" i="3"/>
  <c r="AT46" i="21419"/>
  <c r="AQ26" i="21410"/>
  <c r="AQ11" i="21398"/>
  <c r="AT39" i="21435"/>
  <c r="AQ155" i="3"/>
  <c r="AQ193" i="2"/>
  <c r="G224" i="21409"/>
  <c r="AT44" i="2"/>
  <c r="AS54" i="21425"/>
  <c r="AQ66" i="21424"/>
  <c r="AQ177" i="2"/>
  <c r="AQ5" i="21430"/>
  <c r="G263" i="21409"/>
  <c r="AQ106" i="21423"/>
  <c r="AT30" i="2"/>
  <c r="AQ30" i="21423"/>
  <c r="AQ38" i="21422"/>
  <c r="AT212" i="21398"/>
  <c r="AT66" i="21428"/>
  <c r="AT48" i="3"/>
  <c r="AT48" i="21430"/>
  <c r="AT53" i="21423"/>
  <c r="AT26" i="21428"/>
  <c r="AQ49" i="21398"/>
  <c r="AT142" i="2"/>
  <c r="AT132" i="3"/>
  <c r="AT25" i="21412"/>
  <c r="AT15" i="21429"/>
  <c r="AQ55" i="21429"/>
  <c r="AQ47" i="21419"/>
  <c r="AQ91" i="21430"/>
  <c r="AT38" i="3"/>
  <c r="AT7" i="21429"/>
  <c r="AT24" i="21430"/>
  <c r="AT20" i="21426"/>
  <c r="AT134" i="21398"/>
  <c r="AT51" i="21422"/>
  <c r="AT70" i="3"/>
  <c r="AQ70" i="21436"/>
  <c r="AQ145" i="3"/>
  <c r="AP25" i="21425"/>
  <c r="AT16" i="21428"/>
  <c r="AT206" i="21398"/>
  <c r="AQ165" i="21398"/>
  <c r="AT70" i="21429"/>
  <c r="AT144" i="21398"/>
  <c r="AQ62" i="21414"/>
  <c r="AQ34" i="21414"/>
  <c r="AQ69" i="21428"/>
  <c r="AQ127" i="2"/>
  <c r="AT81" i="21436"/>
  <c r="AQ30" i="21436"/>
  <c r="AT55" i="21436"/>
  <c r="AQ6" i="21429"/>
  <c r="AQ83" i="21429"/>
  <c r="G226" i="21409"/>
  <c r="AT46" i="2"/>
  <c r="AT170" i="3"/>
  <c r="AQ37" i="21398"/>
  <c r="AQ27" i="21398"/>
  <c r="AQ24" i="21427"/>
  <c r="AT52" i="3"/>
  <c r="AQ11" i="3"/>
  <c r="AQ14" i="21435"/>
  <c r="AP75" i="21425"/>
  <c r="AQ58" i="21414"/>
  <c r="AT15" i="21423"/>
  <c r="AQ209" i="21398"/>
  <c r="AT174" i="2"/>
  <c r="AT158" i="2"/>
  <c r="AT21" i="21422"/>
  <c r="AT74" i="21429"/>
  <c r="AQ100" i="21424"/>
  <c r="AQ233" i="2"/>
  <c r="AP77" i="21425"/>
  <c r="AQ30" i="21400"/>
  <c r="AQ73" i="21426"/>
  <c r="AT97" i="21424"/>
  <c r="AT90" i="21428"/>
  <c r="AQ86" i="21435"/>
  <c r="AT84" i="21429"/>
  <c r="AQ28" i="21412"/>
  <c r="AQ38" i="21400"/>
  <c r="AT58" i="21428"/>
  <c r="AQ40" i="21410"/>
  <c r="AT8" i="3"/>
  <c r="AT172" i="3"/>
  <c r="AQ49" i="21426"/>
  <c r="AS50" i="21425"/>
  <c r="G48" i="21409"/>
  <c r="AT14" i="21428"/>
  <c r="AT124" i="3"/>
  <c r="AT25" i="21424"/>
  <c r="AQ24" i="21422"/>
  <c r="AT25" i="21400"/>
  <c r="AQ84" i="21436"/>
  <c r="AQ59" i="21426"/>
  <c r="AT38" i="2"/>
  <c r="AQ36" i="21410"/>
  <c r="AT86" i="21429"/>
  <c r="AT38" i="21418"/>
  <c r="AT222" i="2"/>
  <c r="AQ39" i="2"/>
  <c r="AQ15" i="21428"/>
  <c r="AQ18" i="21422"/>
  <c r="AT144" i="2"/>
  <c r="AQ131" i="2"/>
  <c r="AT34" i="21418"/>
  <c r="G213" i="21409"/>
  <c r="AQ189" i="3"/>
  <c r="AT28" i="21398"/>
  <c r="AT234" i="2"/>
  <c r="AP31" i="21425"/>
  <c r="AQ22" i="21435"/>
  <c r="AQ151" i="2"/>
  <c r="AT39" i="21400"/>
  <c r="AQ32" i="21399"/>
  <c r="AQ78" i="21423"/>
  <c r="AQ39" i="21430"/>
  <c r="AT194" i="21398"/>
  <c r="AT54" i="21428"/>
  <c r="AQ157" i="2"/>
  <c r="AQ64" i="21436"/>
  <c r="AT29" i="21421"/>
  <c r="AQ63" i="21430"/>
  <c r="AT79" i="21424"/>
  <c r="AT87" i="21424"/>
  <c r="AQ187" i="21398"/>
  <c r="AQ60" i="21436"/>
  <c r="AT115" i="21423"/>
  <c r="AT166" i="2"/>
  <c r="AQ39" i="21428"/>
  <c r="AQ87" i="3"/>
  <c r="AQ12" i="21421"/>
  <c r="G271" i="21409"/>
  <c r="AT6" i="21398"/>
  <c r="AQ126" i="21424"/>
  <c r="AQ55" i="3"/>
  <c r="AT218" i="21398"/>
  <c r="AQ7" i="21419"/>
  <c r="AT67" i="21423"/>
  <c r="AQ79" i="21426"/>
  <c r="AT146" i="3"/>
  <c r="G319" i="21409"/>
  <c r="AQ43" i="21426"/>
  <c r="AT65" i="21423"/>
  <c r="AQ185" i="3"/>
  <c r="AT72" i="21426"/>
  <c r="AQ32" i="21410"/>
  <c r="AQ46" i="21435"/>
  <c r="AT206" i="2"/>
  <c r="AQ71" i="21430"/>
  <c r="AT24" i="21418"/>
  <c r="AQ18" i="21427"/>
  <c r="AT12" i="21398"/>
  <c r="AQ111" i="3"/>
  <c r="AQ82" i="21424"/>
  <c r="AT84" i="3"/>
  <c r="AQ27" i="21429"/>
  <c r="AQ48" i="21436"/>
  <c r="AT17" i="21412"/>
  <c r="AT104" i="3"/>
  <c r="AQ191" i="2"/>
  <c r="AQ67" i="21430"/>
  <c r="AT10" i="21426"/>
  <c r="AT118" i="2"/>
  <c r="AQ18" i="21420"/>
  <c r="AT25" i="21421"/>
  <c r="AS56" i="21425"/>
  <c r="AP37" i="21425"/>
  <c r="AQ70" i="21423"/>
  <c r="AP39" i="21425"/>
  <c r="AQ119" i="2"/>
  <c r="AQ59" i="21430"/>
  <c r="AT184" i="2"/>
  <c r="AT73" i="21424"/>
  <c r="AT78" i="21428"/>
  <c r="AT91" i="21423"/>
  <c r="G66" i="21409"/>
  <c r="AQ43" i="21429"/>
  <c r="AT36" i="3"/>
  <c r="AQ61" i="21426"/>
  <c r="AQ87" i="21429"/>
  <c r="AT67" i="21424"/>
  <c r="G37" i="21409"/>
  <c r="AT123" i="21423"/>
  <c r="AQ199" i="2"/>
  <c r="AT17" i="21422"/>
  <c r="AS10" i="21425"/>
  <c r="AT27" i="21422"/>
  <c r="AT230" i="2"/>
  <c r="AQ27" i="2"/>
  <c r="AT41" i="21423"/>
  <c r="AT76" i="21428"/>
  <c r="AQ24" i="21399"/>
  <c r="AT41" i="21435"/>
  <c r="AT160" i="3"/>
  <c r="AT29" i="21400"/>
  <c r="AT53" i="21436"/>
  <c r="AQ187" i="3"/>
  <c r="AT40" i="21429"/>
  <c r="G264" i="21409"/>
  <c r="AQ9" i="21430"/>
  <c r="AS74" i="21425"/>
  <c r="AT188" i="21398"/>
  <c r="AQ42" i="21422"/>
  <c r="AQ69" i="3"/>
  <c r="AQ11" i="21430"/>
  <c r="AT40" i="21426"/>
  <c r="AT82" i="21428"/>
  <c r="AT6" i="21428"/>
  <c r="AT80" i="21428"/>
  <c r="AQ175" i="2"/>
  <c r="AQ7" i="21398"/>
  <c r="AT99" i="21423"/>
  <c r="AT52" i="21429"/>
  <c r="AT34" i="21419"/>
  <c r="AT43" i="21414"/>
  <c r="AQ201" i="21398"/>
  <c r="AT190" i="2"/>
  <c r="AT20" i="21428"/>
  <c r="AT136" i="21398"/>
  <c r="AT33" i="21424"/>
  <c r="AT21" i="21420"/>
  <c r="AT24" i="2"/>
  <c r="AS34" i="21425"/>
  <c r="G265" i="21409"/>
  <c r="AQ22" i="21399"/>
  <c r="G260" i="21409"/>
  <c r="AT174" i="3"/>
  <c r="G108" i="21409"/>
  <c r="AQ20" i="21422"/>
  <c r="AQ13" i="21426"/>
  <c r="AT12" i="3"/>
  <c r="AQ35" i="21428"/>
  <c r="AQ47" i="21430"/>
  <c r="AT16" i="21430"/>
  <c r="AT83" i="21436"/>
  <c r="AT186" i="21398"/>
  <c r="AT21" i="21412"/>
  <c r="AT32" i="21398"/>
  <c r="AT42" i="21426"/>
  <c r="AT106" i="3"/>
  <c r="AQ53" i="3"/>
  <c r="AQ71" i="21426"/>
  <c r="AQ7" i="2"/>
  <c r="AT51" i="21427"/>
  <c r="AT20" i="21418"/>
  <c r="AT55" i="21427"/>
  <c r="AT34" i="21398"/>
  <c r="AT22" i="21419"/>
  <c r="AQ87" i="21428"/>
  <c r="AQ16" i="21423"/>
  <c r="AP71" i="21425"/>
  <c r="AQ137" i="3"/>
  <c r="AT23" i="21421"/>
  <c r="AT58" i="3"/>
  <c r="AQ29" i="21418"/>
  <c r="AT37" i="21400"/>
  <c r="AT97" i="21423"/>
  <c r="AT182" i="21398"/>
  <c r="AQ50" i="21427"/>
  <c r="AQ60" i="21424"/>
  <c r="AQ93" i="21428"/>
  <c r="AQ8" i="21435"/>
  <c r="AQ22" i="21414"/>
  <c r="AT92" i="21430"/>
  <c r="AQ20" i="21423"/>
  <c r="AQ30" i="21399"/>
  <c r="AQ107" i="21428"/>
  <c r="AQ88" i="21423"/>
  <c r="AQ64" i="21435"/>
  <c r="AT176" i="2"/>
  <c r="AQ122" i="21423"/>
  <c r="AT57" i="21414"/>
  <c r="AT38" i="21429"/>
  <c r="AT15" i="21412"/>
  <c r="G313" i="21409"/>
  <c r="AT196" i="2"/>
  <c r="AT232" i="2"/>
  <c r="AT32" i="2"/>
  <c r="AT21" i="21414"/>
  <c r="AT166" i="21398"/>
  <c r="AT55" i="21424"/>
  <c r="AQ41" i="21428"/>
  <c r="AT13" i="21435"/>
  <c r="AT8" i="21419"/>
  <c r="G38" i="21409"/>
  <c r="AQ28" i="21422"/>
  <c r="G209" i="21409"/>
  <c r="AT88" i="3"/>
  <c r="AT62" i="21430"/>
  <c r="AT244" i="21398"/>
  <c r="AQ62" i="21427"/>
  <c r="AQ29" i="21398"/>
  <c r="AQ74" i="21424"/>
  <c r="AQ116" i="21424"/>
  <c r="AQ79" i="21429"/>
  <c r="AQ50" i="21422"/>
  <c r="AQ54" i="21435"/>
  <c r="AT27" i="21435"/>
  <c r="AQ82" i="21435"/>
  <c r="AQ11" i="2"/>
  <c r="AQ18" i="21411"/>
  <c r="AQ93" i="21429"/>
  <c r="AQ30" i="21421"/>
  <c r="AQ89" i="3"/>
  <c r="AT46" i="21398"/>
  <c r="AQ6" i="21423"/>
  <c r="AP61" i="21425"/>
  <c r="AT20" i="3"/>
  <c r="AQ54" i="21414"/>
  <c r="AT25" i="21399"/>
  <c r="AQ15" i="21430"/>
  <c r="AQ81" i="21428"/>
  <c r="AT17" i="21421"/>
  <c r="AQ34" i="21410"/>
  <c r="AT24" i="21419"/>
  <c r="AT124" i="21398"/>
  <c r="AQ83" i="21430"/>
  <c r="AT132" i="2"/>
  <c r="AQ197" i="2"/>
  <c r="AT10" i="21419"/>
  <c r="AQ143" i="3"/>
  <c r="G45" i="21409"/>
  <c r="AQ42" i="21427"/>
  <c r="AT52" i="21428"/>
  <c r="AT96" i="21430"/>
  <c r="AS22" i="21425"/>
  <c r="AQ25" i="3"/>
  <c r="AQ22" i="21422"/>
  <c r="AT11" i="21399"/>
  <c r="AT60" i="21428"/>
  <c r="AQ16" i="21410"/>
  <c r="AT226" i="21398"/>
  <c r="AQ133" i="2"/>
  <c r="AQ89" i="21428"/>
  <c r="AQ19" i="21419"/>
  <c r="AT220" i="2"/>
  <c r="AQ149" i="21398"/>
  <c r="AT61" i="21427"/>
  <c r="AP9" i="21425"/>
  <c r="AT17" i="21399"/>
  <c r="AQ124" i="21423"/>
  <c r="AQ94" i="21424"/>
  <c r="AQ39" i="21419"/>
  <c r="AQ99" i="3"/>
  <c r="AT17" i="21414"/>
  <c r="AQ153" i="2"/>
  <c r="AQ43" i="21419"/>
  <c r="AT76" i="21430"/>
  <c r="AT73" i="21436"/>
  <c r="AT158" i="21398"/>
  <c r="AS68" i="21425"/>
  <c r="AQ34" i="21422"/>
  <c r="AQ40" i="21436"/>
  <c r="AS48" i="21425"/>
  <c r="AT38" i="21428"/>
  <c r="AQ9" i="21398"/>
  <c r="AT90" i="3"/>
  <c r="AT46" i="21426"/>
  <c r="AT55" i="21400"/>
  <c r="AT210" i="2"/>
  <c r="AQ19" i="21398"/>
  <c r="G92" i="21409"/>
  <c r="AQ20" i="21410"/>
  <c r="AQ29" i="3"/>
  <c r="AT61" i="21423"/>
  <c r="AP59" i="21425"/>
  <c r="AQ13" i="21419"/>
  <c r="AQ165" i="2"/>
  <c r="G91" i="21409"/>
  <c r="AT14" i="21430"/>
  <c r="AQ25" i="2"/>
  <c r="AQ16" i="21399"/>
  <c r="AQ37" i="21429"/>
  <c r="AT116" i="2"/>
  <c r="AT112" i="3"/>
  <c r="AQ44" i="21400"/>
  <c r="AQ37" i="21418"/>
  <c r="AQ47" i="21398"/>
  <c r="AT17" i="21420"/>
  <c r="AQ115" i="2"/>
  <c r="AQ23" i="21426"/>
  <c r="AQ161" i="3"/>
  <c r="AQ45" i="21428"/>
  <c r="AQ24" i="21424"/>
  <c r="AT78" i="21426"/>
  <c r="AQ42" i="21436"/>
  <c r="AT156" i="2"/>
  <c r="AT29" i="21414"/>
  <c r="AT63" i="21427"/>
  <c r="AQ112" i="21423"/>
  <c r="AQ28" i="21410"/>
  <c r="AT43" i="21435"/>
  <c r="AT41" i="21399"/>
  <c r="AQ187" i="2"/>
  <c r="G44" i="21409"/>
  <c r="AT115" i="21424"/>
  <c r="AQ64" i="21400"/>
  <c r="AT81" i="21435"/>
  <c r="AT202" i="2"/>
  <c r="AQ68" i="21435"/>
  <c r="AT9" i="21427"/>
  <c r="AT45" i="21424"/>
  <c r="AQ79" i="21430"/>
  <c r="AS38" i="21425"/>
  <c r="G320" i="21409"/>
  <c r="AQ6" i="21424"/>
  <c r="AT182" i="3"/>
  <c r="AT17" i="21427"/>
  <c r="AQ101" i="21430"/>
  <c r="AQ58" i="21435"/>
  <c r="AT62" i="21428"/>
  <c r="AT87" i="21436"/>
  <c r="AQ34" i="21424"/>
  <c r="AT152" i="21398"/>
  <c r="AT19" i="21411"/>
  <c r="G262" i="21409"/>
  <c r="AT228" i="2"/>
  <c r="AQ91" i="21429"/>
  <c r="AQ13" i="21398"/>
  <c r="AT28" i="21429"/>
  <c r="AT172" i="21398"/>
  <c r="AT43" i="21424"/>
  <c r="AQ102" i="21424"/>
  <c r="AT23" i="21399"/>
  <c r="AT25" i="21410"/>
  <c r="AT57" i="21435"/>
  <c r="AQ19" i="21418"/>
  <c r="AT52" i="21430"/>
  <c r="AT26" i="21429"/>
  <c r="AQ50" i="21436"/>
  <c r="AQ77" i="21429"/>
  <c r="AQ191" i="3"/>
  <c r="AT13" i="21421"/>
  <c r="AQ53" i="21429"/>
  <c r="AQ28" i="21420"/>
  <c r="AQ43" i="2"/>
  <c r="AQ25" i="21419"/>
  <c r="AQ215" i="21398"/>
  <c r="AQ16" i="21411"/>
  <c r="AQ7" i="21426"/>
  <c r="AQ163" i="2"/>
  <c r="AT74" i="21426"/>
  <c r="AQ120" i="21424"/>
  <c r="AT130" i="3"/>
  <c r="AQ219" i="2"/>
  <c r="AT26" i="21418"/>
  <c r="AT37" i="21410"/>
  <c r="AP79" i="21425"/>
  <c r="AQ10" i="21422"/>
  <c r="AT60" i="21430"/>
  <c r="AP85" i="21425"/>
  <c r="AT33" i="21423"/>
  <c r="AQ227" i="2"/>
  <c r="AS82" i="21425"/>
  <c r="AQ40" i="21399"/>
  <c r="AT208" i="21398"/>
  <c r="AQ42" i="21400"/>
  <c r="AT69" i="21436"/>
  <c r="AT66" i="21429"/>
  <c r="AT89" i="21423"/>
  <c r="AQ37" i="3"/>
  <c r="AQ18" i="21410"/>
  <c r="AT176" i="21398"/>
  <c r="AQ47" i="3"/>
  <c r="AT72" i="21429"/>
  <c r="AQ117" i="3"/>
  <c r="AT118" i="3"/>
  <c r="AT18" i="21398"/>
  <c r="AT50" i="21430"/>
  <c r="AT11" i="21427"/>
  <c r="AT47" i="21422"/>
  <c r="AT56" i="21429"/>
  <c r="AS80" i="21425"/>
  <c r="AT87" i="21435"/>
  <c r="AQ153" i="21398"/>
  <c r="AT140" i="3"/>
  <c r="AQ17" i="21419"/>
  <c r="AQ7" i="21428"/>
  <c r="AT31" i="21400"/>
  <c r="AP35" i="21425"/>
  <c r="AS62" i="21425"/>
  <c r="AT194" i="3"/>
  <c r="AT33" i="21399"/>
  <c r="AQ235" i="2"/>
  <c r="AP65" i="21425"/>
  <c r="AT29" i="21436"/>
  <c r="AP83" i="21425"/>
  <c r="AT32" i="21419"/>
  <c r="G317" i="21409"/>
  <c r="AQ79" i="21428"/>
  <c r="AT31" i="21435"/>
  <c r="AQ41" i="21426"/>
  <c r="AT89" i="21424"/>
  <c r="AQ62" i="21424"/>
  <c r="AQ98" i="21423"/>
  <c r="AQ173" i="3"/>
  <c r="AQ83" i="21428"/>
  <c r="AT29" i="21427"/>
  <c r="AT75" i="21424"/>
  <c r="G273" i="21409"/>
  <c r="AQ12" i="21412"/>
  <c r="AT18" i="3"/>
  <c r="AQ239" i="21398"/>
  <c r="AQ108" i="21423"/>
  <c r="AT65" i="21414"/>
  <c r="AQ38" i="21423"/>
  <c r="AT29" i="21423"/>
  <c r="AT83" i="21424"/>
  <c r="AT178" i="2"/>
  <c r="AQ75" i="21428"/>
  <c r="AQ48" i="21414"/>
  <c r="AQ129" i="2"/>
  <c r="AT51" i="21435"/>
  <c r="AT150" i="21398"/>
  <c r="AT45" i="21427"/>
  <c r="AT30" i="21398"/>
  <c r="AQ23" i="21398"/>
  <c r="AT180" i="21398"/>
  <c r="AQ20" i="21399"/>
  <c r="AQ22" i="21421"/>
  <c r="AT240" i="21398"/>
  <c r="AQ133" i="21398"/>
  <c r="AT33" i="21435"/>
  <c r="AT38" i="21398"/>
  <c r="G39" i="21409"/>
  <c r="AT19" i="21421"/>
  <c r="AT102" i="21428"/>
  <c r="G106" i="21409"/>
  <c r="AT22" i="21398"/>
  <c r="AT242" i="2"/>
  <c r="AT98" i="21428"/>
  <c r="AQ38" i="21399"/>
  <c r="AQ215" i="2"/>
  <c r="AT164" i="21398"/>
  <c r="AQ137" i="21398"/>
  <c r="AT35" i="21435"/>
  <c r="AQ37" i="2"/>
  <c r="G60" i="21409"/>
  <c r="AQ5" i="2"/>
  <c r="AP21" i="21425"/>
  <c r="AT42" i="2"/>
  <c r="AQ31" i="21419"/>
  <c r="AT23" i="21435"/>
  <c r="AT130" i="2"/>
  <c r="AQ78" i="21435"/>
  <c r="AT52" i="21426"/>
  <c r="AQ34" i="21427"/>
  <c r="AT61" i="21435"/>
  <c r="AT120" i="2"/>
  <c r="AT25" i="21422"/>
  <c r="AT35" i="21427"/>
  <c r="AQ22" i="21411"/>
  <c r="AP13" i="21425"/>
  <c r="AQ76" i="21435"/>
  <c r="AQ14" i="21436"/>
  <c r="AS58" i="21425"/>
  <c r="AT62" i="21426"/>
  <c r="AT33" i="21420"/>
  <c r="AQ9" i="3"/>
  <c r="AT29" i="21420"/>
  <c r="AQ26" i="21422"/>
  <c r="AT64" i="21429"/>
  <c r="AT122" i="2"/>
  <c r="AQ31" i="21418"/>
  <c r="AT24" i="3"/>
  <c r="AT14" i="2"/>
  <c r="AT182" i="2"/>
  <c r="AQ77" i="21430"/>
  <c r="AQ217" i="21398"/>
  <c r="AT8" i="21428"/>
  <c r="AT50" i="2"/>
  <c r="AQ35" i="21419"/>
  <c r="AT82" i="3"/>
  <c r="AQ87" i="21430"/>
  <c r="AT47" i="21436"/>
  <c r="AP63" i="21425"/>
  <c r="AQ19" i="21430"/>
  <c r="AQ27" i="21418"/>
  <c r="AT140" i="2"/>
  <c r="G76" i="21409"/>
  <c r="AT29" i="21424"/>
  <c r="AQ44" i="21423"/>
  <c r="AQ20" i="21414"/>
  <c r="AT36" i="21398"/>
  <c r="AT75" i="21423"/>
  <c r="AT48" i="21428"/>
  <c r="AQ44" i="21435"/>
  <c r="AT43" i="21399"/>
  <c r="AQ111" i="21428"/>
  <c r="AQ229" i="2"/>
  <c r="AT12" i="21419"/>
  <c r="AT49" i="21423"/>
  <c r="AT112" i="21428"/>
  <c r="AT51" i="21400"/>
  <c r="AT188" i="2"/>
  <c r="AT66" i="21430"/>
  <c r="AQ37" i="21428"/>
  <c r="AT126" i="2"/>
  <c r="G217" i="21409"/>
  <c r="AQ195" i="2"/>
  <c r="AQ161" i="2"/>
  <c r="AQ32" i="21427"/>
  <c r="AT63" i="21414"/>
  <c r="AQ58" i="21436"/>
  <c r="AT31" i="21422"/>
  <c r="AT117" i="21424"/>
  <c r="AQ49" i="21428"/>
  <c r="AQ80" i="21423"/>
  <c r="AQ49" i="21429"/>
  <c r="AT35" i="21414"/>
  <c r="AT19" i="21435"/>
  <c r="AT192" i="2"/>
  <c r="AS42" i="21425"/>
  <c r="AQ18" i="21412"/>
  <c r="AQ29" i="21428"/>
  <c r="AQ139" i="21398"/>
  <c r="AT27" i="21414"/>
  <c r="AT48" i="2"/>
  <c r="AQ52" i="21427"/>
  <c r="AQ37" i="21419"/>
  <c r="G323" i="21409"/>
  <c r="AQ112" i="21424"/>
  <c r="AT40" i="21430"/>
  <c r="AT138" i="21398"/>
  <c r="AQ28" i="21399"/>
  <c r="AT170" i="21398"/>
  <c r="AQ243" i="21398"/>
  <c r="G70" i="21409"/>
  <c r="AQ36" i="21422"/>
  <c r="AP49" i="21425"/>
  <c r="AT29" i="21399"/>
  <c r="AT54" i="21429"/>
  <c r="AT19" i="21422"/>
  <c r="AT27" i="21410"/>
  <c r="AQ39" i="21418"/>
  <c r="AQ75" i="21430"/>
  <c r="AQ37" i="21426"/>
  <c r="AT12" i="21428"/>
  <c r="AT28" i="2"/>
  <c r="AT150" i="2"/>
  <c r="AT13" i="21410"/>
  <c r="G322" i="21409"/>
  <c r="AT13" i="21429"/>
  <c r="AT74" i="3"/>
  <c r="AQ20" i="21427"/>
  <c r="AT52" i="21398"/>
  <c r="AQ195" i="3"/>
  <c r="AT117" i="21423"/>
  <c r="AT53" i="21427"/>
  <c r="AT21" i="21400"/>
  <c r="AQ29" i="21419"/>
  <c r="G229" i="21409"/>
  <c r="AQ70" i="21424"/>
  <c r="AQ183" i="2"/>
  <c r="AQ22" i="21420"/>
  <c r="AT19" i="21420"/>
  <c r="AT174" i="21398"/>
  <c r="AQ42" i="21414"/>
  <c r="AT242" i="21398"/>
  <c r="AQ56" i="21435"/>
  <c r="AT162" i="21398"/>
  <c r="AQ40" i="21424"/>
  <c r="AT119" i="21423"/>
  <c r="AT10" i="21398"/>
  <c r="AQ76" i="21423"/>
  <c r="AT244" i="2"/>
  <c r="AT74" i="21430"/>
  <c r="AQ43" i="3"/>
  <c r="AT10" i="2"/>
  <c r="AT62" i="21429"/>
  <c r="AQ24" i="21423"/>
  <c r="AT30" i="21428"/>
  <c r="AQ233" i="21398"/>
  <c r="AQ13" i="21430"/>
  <c r="G314" i="21409"/>
  <c r="AT48" i="21398"/>
  <c r="AT21" i="21410"/>
  <c r="AT16" i="21426"/>
  <c r="AT146" i="2"/>
  <c r="AQ17" i="21428"/>
  <c r="AQ19" i="2"/>
  <c r="AT80" i="3"/>
  <c r="AQ67" i="21426"/>
  <c r="AQ42" i="21399"/>
  <c r="AQ245" i="21398"/>
  <c r="AT40" i="2"/>
  <c r="AQ155" i="21398"/>
  <c r="G267" i="21409"/>
  <c r="AQ50" i="21424"/>
  <c r="AQ32" i="21422"/>
  <c r="AQ19" i="3"/>
  <c r="AQ86" i="21423"/>
  <c r="AQ247" i="21398"/>
  <c r="AQ93" i="21430"/>
  <c r="AQ14" i="21420"/>
  <c r="AQ84" i="21435"/>
  <c r="AT51" i="21423"/>
  <c r="AT18" i="21418"/>
  <c r="AT37" i="21399"/>
  <c r="AQ27" i="3"/>
  <c r="AT41" i="21427"/>
  <c r="AT64" i="21430"/>
  <c r="AT59" i="21436"/>
  <c r="AQ171" i="2"/>
  <c r="AQ24" i="21400"/>
  <c r="AT102" i="21430"/>
  <c r="AQ61" i="21429"/>
  <c r="AT10" i="21428"/>
  <c r="AQ104" i="21423"/>
  <c r="AP53" i="21425"/>
  <c r="G227" i="21409"/>
  <c r="AQ95" i="21430"/>
  <c r="AQ161" i="21398"/>
  <c r="AQ14" i="21427"/>
  <c r="AQ9" i="21426"/>
  <c r="AQ61" i="21428"/>
  <c r="AQ46" i="21423"/>
  <c r="AQ125" i="2"/>
  <c r="AQ41" i="3"/>
  <c r="AT140" i="21398"/>
  <c r="AT65" i="21436"/>
  <c r="AQ151" i="21398"/>
  <c r="AQ68" i="21436"/>
  <c r="AQ24" i="21414"/>
  <c r="AQ110" i="21423"/>
  <c r="AT82" i="21430"/>
  <c r="AT48" i="21429"/>
  <c r="AT36" i="21430"/>
  <c r="AT28" i="21418"/>
  <c r="AQ25" i="21428"/>
  <c r="AT148" i="3"/>
  <c r="AQ23" i="21428"/>
  <c r="AT85" i="21435"/>
  <c r="AQ95" i="21429"/>
  <c r="AT71" i="21423"/>
  <c r="AQ16" i="21429"/>
  <c r="AQ225" i="2"/>
  <c r="AQ237" i="21398"/>
  <c r="AT29" i="21412"/>
  <c r="AQ151" i="3"/>
  <c r="AT30" i="21426"/>
  <c r="AQ169" i="2"/>
  <c r="G62" i="21409"/>
  <c r="AT178" i="3"/>
  <c r="AT31" i="21420"/>
  <c r="AT15" i="21421"/>
  <c r="AQ115" i="3"/>
  <c r="AT160" i="21398"/>
  <c r="AT88" i="21428"/>
  <c r="AQ103" i="21428"/>
  <c r="AT132" i="21398"/>
  <c r="AQ75" i="3"/>
  <c r="AT12" i="2"/>
  <c r="AQ181" i="3"/>
  <c r="AT111" i="21424"/>
  <c r="AQ71" i="21429"/>
  <c r="AQ129" i="21398"/>
  <c r="AQ50" i="21399"/>
  <c r="AT60" i="21426"/>
  <c r="AT68" i="21430"/>
  <c r="AT238" i="2"/>
  <c r="AT36" i="21419"/>
  <c r="AQ211" i="2"/>
  <c r="AQ42" i="21423"/>
  <c r="AT228" i="21398"/>
  <c r="AT77" i="21424"/>
  <c r="AT122" i="3"/>
  <c r="AT31" i="21424"/>
  <c r="AT39" i="21422"/>
  <c r="AT64" i="21426"/>
  <c r="G58" i="21409"/>
  <c r="AQ45" i="21419"/>
  <c r="G51" i="21409"/>
  <c r="AT32" i="21418"/>
  <c r="AQ35" i="21429"/>
  <c r="AT164" i="2"/>
  <c r="AQ20" i="21411"/>
  <c r="AT30" i="21429"/>
  <c r="AT33" i="21400"/>
  <c r="AT36" i="21418"/>
  <c r="AT87" i="21423"/>
  <c r="AQ44" i="21422"/>
  <c r="AT64" i="21428"/>
  <c r="AQ120" i="21423"/>
  <c r="AQ102" i="21423"/>
  <c r="AQ90" i="21424"/>
  <c r="AQ173" i="2"/>
  <c r="AQ35" i="3"/>
  <c r="AQ34" i="21420"/>
  <c r="AT63" i="21436"/>
  <c r="AQ24" i="21412"/>
  <c r="AT31" i="21436"/>
  <c r="AT45" i="21400"/>
  <c r="AQ18" i="21429"/>
  <c r="AQ203" i="21398"/>
  <c r="AT41" i="21414"/>
  <c r="AT136" i="3"/>
  <c r="AQ94" i="21423"/>
  <c r="AQ16" i="21414"/>
  <c r="AS44" i="21425"/>
  <c r="AS76" i="21425"/>
  <c r="AQ31" i="3"/>
  <c r="AT125" i="21423"/>
  <c r="AQ53" i="21426"/>
  <c r="AQ86" i="21424"/>
  <c r="AT59" i="21423"/>
  <c r="AQ123" i="21398"/>
  <c r="AT13" i="21423"/>
  <c r="AQ35" i="21426"/>
  <c r="AQ72" i="21423"/>
  <c r="AT31" i="21412"/>
  <c r="AT39" i="21424"/>
  <c r="AQ58" i="21423"/>
  <c r="AT110" i="3"/>
  <c r="AT47" i="21424"/>
  <c r="AT125" i="21424"/>
  <c r="AT49" i="21399"/>
  <c r="AT156" i="21398"/>
  <c r="AQ55" i="21430"/>
  <c r="AT61" i="21400"/>
  <c r="AQ165" i="3"/>
  <c r="AP81" i="21425"/>
  <c r="AQ54" i="21427"/>
  <c r="AQ38" i="21427"/>
  <c r="AT128" i="21398"/>
  <c r="AQ79" i="3"/>
  <c r="AQ59" i="21428"/>
  <c r="AT176" i="3"/>
  <c r="AT17" i="21400"/>
  <c r="AT35" i="21399"/>
  <c r="AT49" i="21435"/>
  <c r="AT88" i="21430"/>
  <c r="AQ205" i="21398"/>
  <c r="AQ32" i="21412"/>
  <c r="AT214" i="2"/>
  <c r="G104" i="21409"/>
  <c r="AQ53" i="21398"/>
  <c r="AT27" i="21399"/>
  <c r="AQ14" i="21423"/>
  <c r="AQ33" i="21419"/>
  <c r="AT21" i="21411"/>
  <c r="AT37" i="21424"/>
  <c r="AT20" i="21430"/>
  <c r="AQ66" i="21435"/>
  <c r="AT26" i="21419"/>
  <c r="AT25" i="21427"/>
  <c r="AQ45" i="21398"/>
  <c r="AT76" i="21429"/>
  <c r="AQ10" i="21399"/>
  <c r="AQ53" i="2"/>
  <c r="AQ78" i="21424"/>
  <c r="AQ17" i="21418"/>
  <c r="AT72" i="21430"/>
  <c r="AQ72" i="21435"/>
  <c r="AQ48" i="21424"/>
  <c r="AQ28" i="21421"/>
  <c r="AT121" i="21423"/>
  <c r="AT6" i="21426"/>
  <c r="AQ17" i="21430"/>
  <c r="AT54" i="3"/>
  <c r="AQ39" i="3"/>
  <c r="AT43" i="21436"/>
  <c r="AQ105" i="3"/>
  <c r="AT212" i="2"/>
  <c r="AT160" i="2"/>
  <c r="AQ24" i="21411"/>
  <c r="G276" i="21409"/>
  <c r="AQ84" i="21423"/>
  <c r="AQ51" i="21430"/>
  <c r="AQ85" i="21429"/>
  <c r="AT49" i="21427"/>
  <c r="AQ60" i="21400"/>
  <c r="AT126" i="21398"/>
  <c r="AT58" i="21430"/>
  <c r="AQ147" i="21398"/>
  <c r="AT53" i="21400"/>
  <c r="AQ18" i="21414"/>
  <c r="AQ193" i="21398"/>
  <c r="G269" i="21409"/>
  <c r="AP45" i="21425"/>
  <c r="AQ66" i="21436"/>
  <c r="AQ54" i="21423"/>
  <c r="AQ103" i="21430"/>
  <c r="AT72" i="3"/>
  <c r="AQ49" i="2"/>
  <c r="AT158" i="3"/>
  <c r="AQ97" i="21430"/>
  <c r="AQ54" i="21400"/>
  <c r="AT156" i="3"/>
  <c r="AT71" i="21436"/>
  <c r="AT6" i="3"/>
  <c r="AP29" i="21425"/>
  <c r="AT138" i="3"/>
  <c r="AQ145" i="21398"/>
  <c r="AT55" i="21414"/>
  <c r="AQ22" i="21436"/>
  <c r="AT31" i="21423"/>
  <c r="AT111" i="21423"/>
  <c r="AQ28" i="21435"/>
  <c r="AT224" i="2"/>
  <c r="AQ12" i="21410"/>
  <c r="AQ22" i="21429"/>
  <c r="AQ10" i="21410"/>
  <c r="AQ96" i="21424"/>
  <c r="AT85" i="21424"/>
  <c r="AT36" i="21426"/>
  <c r="AQ33" i="21398"/>
  <c r="AQ89" i="21429"/>
  <c r="AQ15" i="21418"/>
  <c r="AQ12" i="21427"/>
  <c r="AT42" i="21430"/>
  <c r="AT15" i="21420"/>
  <c r="AQ159" i="2"/>
  <c r="AT35" i="21400"/>
  <c r="AT27" i="21427"/>
  <c r="AQ5" i="21398"/>
  <c r="AQ73" i="21430"/>
  <c r="AQ179" i="3"/>
  <c r="AQ221" i="21398"/>
  <c r="AQ14" i="21422"/>
  <c r="AQ74" i="21435"/>
  <c r="AQ143" i="2"/>
  <c r="AT134" i="2"/>
  <c r="AQ127" i="3"/>
  <c r="AQ29" i="2"/>
  <c r="AT54" i="21426"/>
  <c r="AQ75" i="21426"/>
  <c r="AT22" i="3"/>
  <c r="AQ73" i="3"/>
  <c r="AT71" i="21435"/>
  <c r="AQ32" i="21423"/>
  <c r="AQ35" i="21430"/>
  <c r="AT21" i="21421"/>
  <c r="AP43" i="21425"/>
  <c r="AQ23" i="21419"/>
  <c r="AT128" i="2"/>
  <c r="AT80" i="21430"/>
  <c r="AQ135" i="2"/>
  <c r="AT44" i="21419"/>
  <c r="AQ20" i="21429"/>
  <c r="AT42" i="3"/>
  <c r="AQ63" i="21426"/>
  <c r="AS46" i="21425"/>
  <c r="AT18" i="21430"/>
  <c r="AT216" i="2"/>
  <c r="AQ24" i="21410"/>
  <c r="AQ43" i="21430"/>
  <c r="AQ167" i="3"/>
  <c r="AQ33" i="21418"/>
  <c r="AQ74" i="21436"/>
  <c r="AQ82" i="21436"/>
  <c r="AT16" i="21419"/>
  <c r="AQ33" i="21429"/>
  <c r="AT44" i="21430"/>
  <c r="AQ213" i="2"/>
  <c r="AT8" i="21426"/>
  <c r="AT82" i="21426"/>
  <c r="AQ122" i="21424"/>
  <c r="AQ41" i="21418"/>
  <c r="AQ11" i="21428"/>
  <c r="AT19" i="21399"/>
  <c r="AQ41" i="21398"/>
  <c r="AQ185" i="21398"/>
  <c r="AT54" i="21430"/>
  <c r="AT56" i="21426"/>
  <c r="AT39" i="21427"/>
  <c r="AP11" i="21425"/>
  <c r="AQ20" i="21420"/>
  <c r="AT54" i="2"/>
  <c r="AQ33" i="21426"/>
  <c r="AT35" i="21424"/>
  <c r="AQ85" i="21428"/>
  <c r="AT29" i="21410"/>
  <c r="AQ20" i="21424"/>
  <c r="AQ16" i="21435"/>
  <c r="AT11" i="21400"/>
  <c r="AQ81" i="21430"/>
  <c r="AT101" i="21424"/>
  <c r="AT13" i="21427"/>
  <c r="AT45" i="21436"/>
  <c r="AQ43" i="21398"/>
  <c r="AT17" i="21429"/>
  <c r="AQ27" i="21426"/>
  <c r="AT73" i="21423"/>
  <c r="AT198" i="2"/>
  <c r="AT101" i="21423"/>
  <c r="AT32" i="21429"/>
  <c r="AT22" i="21430"/>
  <c r="AQ51" i="21426"/>
  <c r="AT22" i="21426"/>
  <c r="AQ55" i="21428"/>
  <c r="AQ109" i="3"/>
  <c r="AQ30" i="21422"/>
  <c r="AQ104" i="21424"/>
  <c r="AQ114" i="21424"/>
  <c r="AQ47" i="21428"/>
  <c r="AT154" i="2"/>
  <c r="AT15" i="21436"/>
  <c r="AQ36" i="21399"/>
  <c r="AQ171" i="21398"/>
  <c r="AQ16" i="21420"/>
  <c r="G225" i="21409"/>
  <c r="AQ11" i="21426"/>
  <c r="AQ241" i="21398"/>
  <c r="AQ81" i="21426"/>
  <c r="AQ35" i="21418"/>
  <c r="AT50" i="21428"/>
  <c r="AQ12" i="21400"/>
  <c r="G266" i="21409"/>
  <c r="AT9" i="21436"/>
  <c r="AQ223" i="2"/>
  <c r="AT79" i="21436"/>
  <c r="AT150" i="3"/>
  <c r="AT76" i="21426"/>
  <c r="AT246" i="21398"/>
  <c r="AT24" i="21428"/>
  <c r="AQ127" i="21398"/>
  <c r="AT109" i="21423"/>
  <c r="AT40" i="3"/>
  <c r="AT79" i="21423"/>
  <c r="AQ48" i="21427"/>
  <c r="AT56" i="21428"/>
  <c r="AT38" i="21426"/>
  <c r="AT90" i="21429"/>
  <c r="AQ76" i="21424"/>
  <c r="AT11" i="21422"/>
  <c r="AT78" i="21430"/>
  <c r="AQ139" i="2"/>
  <c r="AT28" i="21419"/>
  <c r="AQ60" i="21423"/>
  <c r="AQ67" i="3"/>
  <c r="AT27" i="21423"/>
  <c r="AT15" i="21411"/>
  <c r="AQ55" i="21398"/>
  <c r="AP41" i="21425"/>
  <c r="AQ37" i="21430"/>
  <c r="AQ191" i="21398"/>
  <c r="AQ52" i="21436"/>
  <c r="AS12" i="21425"/>
  <c r="AT64" i="3"/>
  <c r="AT122" i="21398"/>
  <c r="AT148" i="2"/>
  <c r="AT77" i="21423"/>
  <c r="AT60" i="3"/>
  <c r="G299" i="21409"/>
  <c r="AT216" i="21398"/>
  <c r="AQ183" i="21398"/>
  <c r="AT68" i="21426"/>
  <c r="AT61" i="21436"/>
  <c r="AQ52" i="21422"/>
  <c r="AQ117" i="21398"/>
  <c r="AT99" i="21424"/>
  <c r="AT30" i="21430"/>
  <c r="AQ31" i="21398"/>
  <c r="AT46" i="3"/>
  <c r="AQ30" i="21427"/>
  <c r="AQ44" i="21436"/>
  <c r="G255" i="21409"/>
  <c r="AQ51" i="2"/>
  <c r="AT72" i="21428"/>
  <c r="AP57" i="21425"/>
  <c r="AQ153" i="3"/>
  <c r="AT21" i="21423"/>
  <c r="AT46" i="21428"/>
  <c r="AT49" i="21436"/>
  <c r="AQ14" i="21429"/>
  <c r="AT57" i="21400"/>
  <c r="AT34" i="21426"/>
  <c r="AT12" i="21430"/>
  <c r="AQ23" i="21418"/>
  <c r="AT94" i="21429"/>
  <c r="AQ36" i="21400"/>
  <c r="AQ159" i="3"/>
  <c r="AT106" i="21428"/>
  <c r="AQ137" i="2"/>
  <c r="AQ167" i="21398"/>
  <c r="AT152" i="2"/>
  <c r="AT13" i="21411"/>
  <c r="G177" i="21409"/>
  <c r="AQ101" i="3"/>
  <c r="AT14" i="21426"/>
  <c r="AQ279" i="21417"/>
  <c r="AQ213" i="21417"/>
  <c r="AT32" i="21417"/>
  <c r="AQ39" i="21417"/>
  <c r="AT26" i="21417"/>
  <c r="AQ219" i="21417"/>
  <c r="AT212" i="21417"/>
  <c r="AQ135" i="21417"/>
  <c r="AT108" i="21430"/>
  <c r="AQ289" i="21417"/>
  <c r="AQ207" i="21417"/>
  <c r="AT308" i="21417"/>
  <c r="AQ59" i="21417"/>
  <c r="AT314" i="21417"/>
  <c r="AQ95" i="21417"/>
  <c r="AT270" i="21417"/>
  <c r="AT30" i="21417"/>
  <c r="AT160" i="21417"/>
  <c r="AT52" i="21417"/>
  <c r="AQ319" i="21417"/>
  <c r="AT250" i="21417"/>
  <c r="AT184" i="21417"/>
  <c r="AQ337" i="21417"/>
  <c r="AQ87" i="21417"/>
  <c r="AQ253" i="21417"/>
  <c r="AQ225" i="21417"/>
  <c r="AT14" i="21417"/>
  <c r="AQ275" i="21417"/>
  <c r="AQ235" i="21417"/>
  <c r="AQ223" i="21417"/>
  <c r="AQ55" i="21417"/>
  <c r="AT178" i="21417"/>
  <c r="AT210" i="21417"/>
  <c r="AT202" i="21417"/>
  <c r="AT110" i="21417"/>
  <c r="AQ117" i="21417"/>
  <c r="AT208" i="21417"/>
  <c r="AQ271" i="21417"/>
  <c r="AQ265" i="21417"/>
  <c r="AQ57" i="21417"/>
  <c r="AQ197" i="21417"/>
  <c r="AQ257" i="21417"/>
  <c r="AT96" i="21417"/>
  <c r="AQ23" i="21417"/>
  <c r="AT180" i="21417"/>
  <c r="AQ129" i="21417"/>
  <c r="AT60" i="21417"/>
  <c r="AQ215" i="21417"/>
  <c r="AQ105" i="21417"/>
  <c r="AT338" i="21417"/>
  <c r="AQ41" i="21417"/>
  <c r="AQ329" i="21417"/>
  <c r="AT328" i="21417"/>
  <c r="AQ67" i="21417"/>
  <c r="AT118" i="21417"/>
  <c r="AT188" i="21417"/>
  <c r="AT76" i="21417"/>
  <c r="AQ63" i="21417"/>
  <c r="AQ315" i="21417"/>
  <c r="AQ229" i="21417"/>
  <c r="AT320" i="21417"/>
  <c r="AT190" i="21417"/>
  <c r="AT94" i="21417"/>
  <c r="AQ43" i="21417"/>
  <c r="AQ83" i="21417"/>
  <c r="AT100" i="21417"/>
  <c r="AQ281" i="21417"/>
  <c r="AQ77" i="21417"/>
  <c r="AQ209" i="21417"/>
  <c r="AQ49" i="21417"/>
  <c r="AT88" i="21417"/>
  <c r="AQ11" i="21417"/>
  <c r="AT22" i="21417"/>
  <c r="AT340" i="21417"/>
  <c r="AQ17" i="21417"/>
  <c r="AQ45" i="21417"/>
  <c r="AQ333" i="21417"/>
  <c r="AT64" i="21417"/>
  <c r="AT310" i="21417"/>
  <c r="AT130" i="21417"/>
  <c r="AQ331" i="21417"/>
  <c r="AT220" i="21417"/>
  <c r="AQ137" i="21417"/>
  <c r="AQ191" i="21417"/>
  <c r="AQ317" i="21417"/>
  <c r="AQ123" i="21417"/>
  <c r="AT330" i="21417"/>
  <c r="AQ155" i="21417"/>
  <c r="AT318" i="21417"/>
  <c r="AQ297" i="21417"/>
  <c r="AQ175" i="21417"/>
  <c r="AT102" i="21417"/>
  <c r="AT230" i="21417"/>
  <c r="AT36" i="21417"/>
  <c r="AQ303" i="21417"/>
  <c r="AQ299" i="21417"/>
  <c r="AT154" i="21417"/>
  <c r="AT298" i="21417"/>
  <c r="AT306" i="21417"/>
  <c r="AT312" i="21417"/>
  <c r="AQ113" i="21417"/>
  <c r="AQ203" i="21417"/>
  <c r="AQ261" i="21417"/>
  <c r="AQ231" i="21417"/>
  <c r="AT316" i="21417"/>
  <c r="AT268" i="21417"/>
  <c r="AQ107" i="21417"/>
  <c r="AQ325" i="21417"/>
  <c r="AT38" i="21417"/>
  <c r="AT248" i="21417"/>
  <c r="AT24" i="21417"/>
  <c r="AQ339" i="21417"/>
  <c r="AQ91" i="21417"/>
  <c r="AQ173" i="21417"/>
  <c r="AQ51" i="21417"/>
  <c r="AQ181" i="21417"/>
  <c r="AT150" i="21417"/>
  <c r="AQ199" i="21417"/>
  <c r="AQ25" i="21417"/>
  <c r="AT186" i="21417"/>
  <c r="AQ263" i="21417"/>
  <c r="AQ233" i="21417"/>
  <c r="AQ133" i="21417"/>
  <c r="AT28" i="21417"/>
  <c r="AT226" i="21417"/>
  <c r="AT260" i="21417"/>
  <c r="AQ21" i="21417"/>
  <c r="AT148" i="21417"/>
  <c r="AQ153" i="21417"/>
  <c r="AT224" i="21417"/>
  <c r="AT46" i="21417"/>
  <c r="AT170" i="21417"/>
  <c r="AT284" i="21417"/>
  <c r="AQ179" i="21417"/>
  <c r="AQ283" i="21417"/>
  <c r="AT302" i="21417"/>
  <c r="AT92" i="21417"/>
  <c r="AQ163" i="21417"/>
  <c r="AQ187" i="21417"/>
  <c r="AT158" i="21417"/>
  <c r="AQ33" i="21417"/>
  <c r="AT126" i="21417"/>
  <c r="AQ295" i="21417"/>
  <c r="AT136" i="21417"/>
  <c r="AT54" i="21417"/>
  <c r="AQ89" i="21417"/>
  <c r="AT264" i="21417"/>
  <c r="AQ61" i="21417"/>
  <c r="AQ35" i="21417"/>
  <c r="AQ285" i="21417"/>
  <c r="AT90" i="21417"/>
  <c r="AT256" i="21417"/>
  <c r="AT262" i="21417"/>
  <c r="AQ47" i="21417"/>
  <c r="AT34" i="21417"/>
  <c r="AT282" i="21417"/>
  <c r="AT9" i="21422"/>
  <c r="AT152" i="21417"/>
  <c r="AQ121" i="21417"/>
  <c r="AQ119" i="21417"/>
  <c r="AQ125" i="21417"/>
  <c r="AQ293" i="21417"/>
  <c r="AQ53" i="21417"/>
  <c r="AT104" i="21417"/>
  <c r="AQ19" i="21417"/>
  <c r="AQ9" i="21417"/>
  <c r="AQ167" i="21417"/>
  <c r="AQ313" i="21417"/>
  <c r="AT138" i="21417"/>
  <c r="AT50" i="21417"/>
  <c r="AQ273" i="21417"/>
  <c r="AT172" i="21417"/>
  <c r="AT278" i="21417"/>
  <c r="AT204" i="21417"/>
  <c r="AQ177" i="21417"/>
  <c r="AQ103" i="21417"/>
  <c r="AT246" i="21417"/>
  <c r="AT108" i="21417"/>
  <c r="AQ31" i="21417"/>
  <c r="AT128" i="21417"/>
  <c r="AT200" i="21417"/>
  <c r="AQ287" i="21417"/>
  <c r="AT234" i="21417"/>
  <c r="AT106" i="21417"/>
  <c r="AT98" i="21417"/>
  <c r="AT288" i="21417"/>
  <c r="AQ189" i="21417"/>
  <c r="AQ149" i="21417"/>
  <c r="AQ227" i="21417"/>
  <c r="AT48" i="21417"/>
  <c r="AT336" i="21417"/>
  <c r="AQ183" i="21417"/>
  <c r="AQ93" i="21417"/>
  <c r="AT236" i="21417"/>
  <c r="AT16" i="21417"/>
  <c r="AT182" i="21417"/>
  <c r="AT286" i="21417"/>
  <c r="AT134" i="21417"/>
  <c r="AT162" i="21417"/>
  <c r="AT66" i="21417"/>
  <c r="AT116" i="21417"/>
  <c r="AT86" i="21417"/>
  <c r="AT120" i="21417"/>
  <c r="AQ185" i="21417"/>
  <c r="AQ131" i="21417"/>
  <c r="AQ269" i="21417"/>
  <c r="AQ321" i="21417"/>
  <c r="AQ267" i="21417"/>
  <c r="AQ159" i="21417"/>
  <c r="AQ323" i="21417"/>
  <c r="AT84" i="21417"/>
  <c r="AQ171" i="21417"/>
  <c r="AQ139" i="21417"/>
  <c r="AQ85" i="21417"/>
  <c r="AT272" i="21417"/>
  <c r="AQ301" i="21417"/>
  <c r="AQ307" i="21417"/>
  <c r="AQ251" i="21417"/>
  <c r="AT228" i="21417"/>
  <c r="AT304" i="21417"/>
  <c r="AQ245" i="21417"/>
  <c r="AT214" i="21417"/>
  <c r="AT196" i="21417"/>
  <c r="AT40" i="21417"/>
  <c r="AT292" i="21417"/>
  <c r="AQ291" i="21417"/>
  <c r="AQ327" i="21417"/>
  <c r="AQ221" i="21417"/>
  <c r="AQ195" i="21417"/>
  <c r="AQ75" i="21417"/>
  <c r="AT266" i="21417"/>
  <c r="AQ341" i="21417"/>
  <c r="AT206" i="21417"/>
  <c r="AT20" i="21417"/>
  <c r="AT124" i="21417"/>
  <c r="AQ247" i="21417"/>
  <c r="AT114" i="21417"/>
  <c r="AQ27" i="21417"/>
  <c r="AT194" i="21417"/>
  <c r="AQ161" i="21417"/>
  <c r="AT174" i="21417"/>
  <c r="AT10" i="21417"/>
  <c r="AT74" i="21417"/>
  <c r="AQ99" i="21417"/>
  <c r="AQ29" i="21417"/>
  <c r="AQ157" i="21417"/>
  <c r="AT222" i="21417"/>
  <c r="AT324" i="21417"/>
  <c r="AQ305" i="21417"/>
  <c r="AT216" i="21417"/>
  <c r="AQ127" i="21417"/>
  <c r="AT166" i="21417"/>
  <c r="AQ211" i="21417"/>
  <c r="AT192" i="21417"/>
  <c r="AT122" i="21417"/>
  <c r="AT294" i="21417"/>
  <c r="AQ165" i="21417"/>
  <c r="AQ311" i="21417"/>
  <c r="AQ151" i="21417"/>
  <c r="AT326" i="21417"/>
  <c r="AT290" i="21417"/>
  <c r="AQ109" i="21417"/>
  <c r="AT80" i="21417"/>
  <c r="AQ37" i="21417"/>
  <c r="AT12" i="21417"/>
  <c r="AT258" i="21417"/>
  <c r="AQ15" i="21417"/>
  <c r="AQ201" i="21417"/>
  <c r="AT164" i="21417"/>
  <c r="AT332" i="21417"/>
  <c r="AQ237" i="21417"/>
  <c r="AT322" i="21417"/>
  <c r="AT296" i="21417"/>
  <c r="AT156" i="21417"/>
  <c r="AQ101" i="21417"/>
  <c r="AT56" i="21417"/>
  <c r="AQ335" i="21417"/>
  <c r="AQ115" i="21417"/>
  <c r="AT70" i="21417"/>
  <c r="AT18" i="21417"/>
  <c r="AQ13" i="21417"/>
  <c r="AT274" i="21417"/>
  <c r="AQ193" i="21417"/>
  <c r="AQ111" i="21417"/>
  <c r="AQ65" i="21417"/>
  <c r="AT44" i="21417"/>
  <c r="AT232" i="21417"/>
  <c r="AQ97" i="21417"/>
  <c r="AT112" i="21417"/>
  <c r="AT42" i="21417"/>
  <c r="AT276" i="21417"/>
  <c r="AQ109" i="21430"/>
  <c r="AQ71" i="21417"/>
  <c r="AT252" i="21417"/>
  <c r="AT198" i="21417"/>
  <c r="AT300" i="21417"/>
  <c r="AQ169" i="21417"/>
  <c r="AQ277" i="21417"/>
  <c r="AQ205" i="21417"/>
  <c r="AQ259" i="21417"/>
  <c r="AT168" i="21417"/>
  <c r="AQ249" i="21417"/>
  <c r="AQ255" i="21417"/>
  <c r="AQ217" i="21417"/>
  <c r="AT280" i="21417"/>
  <c r="AT132" i="21417"/>
  <c r="AT334" i="21417"/>
  <c r="AT62" i="21417"/>
  <c r="AT58" i="21417"/>
  <c r="AT176" i="21417"/>
  <c r="AT254" i="21417"/>
  <c r="AT218" i="21417"/>
  <c r="AQ309" i="21417"/>
  <c r="AT238" i="21417"/>
  <c r="AQ239" i="21417"/>
  <c r="AQ317" i="21415"/>
  <c r="AQ337" i="21415"/>
  <c r="AQ243" i="21415"/>
  <c r="AQ229" i="21415"/>
  <c r="AT310" i="21415"/>
  <c r="AQ59" i="21415"/>
  <c r="AT206" i="21415"/>
  <c r="AQ195" i="21415"/>
  <c r="AT268" i="21415"/>
  <c r="AT52" i="21415"/>
  <c r="AT48" i="21415"/>
  <c r="AT286" i="21415"/>
  <c r="AQ97" i="21415"/>
  <c r="AQ149" i="21415"/>
  <c r="AQ105" i="21415"/>
  <c r="AQ329" i="21415"/>
  <c r="AQ201" i="21415"/>
  <c r="AQ227" i="21415"/>
  <c r="AT158" i="21415"/>
  <c r="AT44" i="21415"/>
  <c r="AQ49" i="21415"/>
  <c r="AQ175" i="21415"/>
  <c r="AT334" i="21415"/>
  <c r="AT24" i="21415"/>
  <c r="AT6" i="21415"/>
  <c r="AT34" i="21415"/>
  <c r="AT266" i="21415"/>
  <c r="AQ173" i="21415"/>
  <c r="AT106" i="21415"/>
  <c r="AQ165" i="21415"/>
  <c r="AT242" i="21415"/>
  <c r="AT262" i="21415"/>
  <c r="AQ61" i="21415"/>
  <c r="AQ17" i="21415"/>
  <c r="AT272" i="21415"/>
  <c r="AQ271" i="21415"/>
  <c r="AQ167" i="21415"/>
  <c r="AQ91" i="21415"/>
  <c r="AT104" i="21415"/>
  <c r="AQ21" i="21415"/>
  <c r="AT120" i="21415"/>
  <c r="AQ179" i="21415"/>
  <c r="AT292" i="21415"/>
  <c r="AQ55" i="21415"/>
  <c r="AT264" i="21415"/>
  <c r="AT214" i="21415"/>
  <c r="AQ333" i="21415"/>
  <c r="AQ203" i="21415"/>
  <c r="AT284" i="21415"/>
  <c r="AT162" i="21415"/>
  <c r="AQ325" i="21415"/>
  <c r="AT228" i="21415"/>
  <c r="AQ219" i="21415"/>
  <c r="AT320" i="21415"/>
  <c r="AT198" i="21415"/>
  <c r="AT278" i="21415"/>
  <c r="AT184" i="21415"/>
  <c r="AT144" i="21415"/>
  <c r="AT146" i="21415"/>
  <c r="AQ185" i="21415"/>
  <c r="AQ297" i="21415"/>
  <c r="AT132" i="21415"/>
  <c r="AT26" i="21415"/>
  <c r="AQ123" i="21415"/>
  <c r="AT102" i="21415"/>
  <c r="AQ43" i="21415"/>
  <c r="AQ31" i="21415"/>
  <c r="AT76" i="21415"/>
  <c r="AQ181" i="21415"/>
  <c r="AT246" i="21415"/>
  <c r="AT200" i="21415"/>
  <c r="AQ11" i="21415"/>
  <c r="AQ117" i="21415"/>
  <c r="AQ67" i="21415"/>
  <c r="AQ139" i="21415"/>
  <c r="AT280" i="21415"/>
  <c r="AQ171" i="21415"/>
  <c r="AT300" i="21415"/>
  <c r="AT172" i="21415"/>
  <c r="AQ225" i="21415"/>
  <c r="AQ133" i="21415"/>
  <c r="AQ73" i="21415"/>
  <c r="AQ261" i="21415"/>
  <c r="AT20" i="21415"/>
  <c r="AQ299" i="21415"/>
  <c r="AQ279" i="21415"/>
  <c r="AT222" i="21415"/>
  <c r="AQ41" i="21415"/>
  <c r="AQ223" i="21415"/>
  <c r="AT130" i="21415"/>
  <c r="AT118" i="21415"/>
  <c r="AT166" i="21415"/>
  <c r="AQ63" i="21415"/>
  <c r="AQ263" i="21415"/>
  <c r="AQ323" i="21415"/>
  <c r="AQ169" i="21415"/>
  <c r="AQ303" i="21415"/>
  <c r="AT14" i="21415"/>
  <c r="AQ293" i="21415"/>
  <c r="AQ157" i="21415"/>
  <c r="AQ269" i="21415"/>
  <c r="AT142" i="21415"/>
  <c r="AQ103" i="21415"/>
  <c r="AQ145" i="21415"/>
  <c r="AT326" i="21415"/>
  <c r="AT148" i="21415"/>
  <c r="AT112" i="21415"/>
  <c r="AT12" i="21415"/>
  <c r="AQ307" i="21415"/>
  <c r="AT88" i="21415"/>
  <c r="AQ143" i="21415"/>
  <c r="AT298" i="21415"/>
  <c r="AQ321" i="21415"/>
  <c r="AQ191" i="21415"/>
  <c r="AQ33" i="21415"/>
  <c r="AT208" i="21415"/>
  <c r="AT194" i="21415"/>
  <c r="AT54" i="21415"/>
  <c r="AT36" i="21415"/>
  <c r="AQ283" i="21415"/>
  <c r="AT248" i="21415"/>
  <c r="AT98" i="21415"/>
  <c r="AQ111" i="21415"/>
  <c r="AQ267" i="21415"/>
  <c r="AQ289" i="21415"/>
  <c r="AQ39" i="21415"/>
  <c r="AQ93" i="21415"/>
  <c r="AQ205" i="21415"/>
  <c r="AT56" i="21415"/>
  <c r="AQ315" i="21415"/>
  <c r="AQ211" i="21415"/>
  <c r="AT256" i="21415"/>
  <c r="AT84" i="21415"/>
  <c r="AQ115" i="21415"/>
  <c r="AT258" i="21415"/>
  <c r="AT110" i="21415"/>
  <c r="AQ255" i="21415"/>
  <c r="AT108" i="21415"/>
  <c r="AQ89" i="21415"/>
  <c r="AQ251" i="21415"/>
  <c r="AT178" i="21415"/>
  <c r="AQ95" i="21415"/>
  <c r="AT128" i="21415"/>
  <c r="AQ127" i="21415"/>
  <c r="AQ81" i="21415"/>
  <c r="AT254" i="21415"/>
  <c r="AQ5" i="21415"/>
  <c r="AT252" i="21415"/>
  <c r="AQ9" i="21415"/>
  <c r="AQ13" i="21415"/>
  <c r="AT322" i="21415"/>
  <c r="AT28" i="21415"/>
  <c r="AT30" i="21415"/>
  <c r="AT204" i="21415"/>
  <c r="AT18" i="21415"/>
  <c r="AQ177" i="21415"/>
  <c r="AT306" i="21415"/>
  <c r="AT182" i="21415"/>
  <c r="AT294" i="21415"/>
  <c r="AT62" i="21415"/>
  <c r="AQ121" i="21415"/>
  <c r="AQ187" i="21415"/>
  <c r="AQ319" i="21415"/>
  <c r="AT90" i="21415"/>
  <c r="AT224" i="21415"/>
  <c r="AQ163" i="21415"/>
  <c r="AQ29" i="21415"/>
  <c r="AQ131" i="21415"/>
  <c r="AQ125" i="21415"/>
  <c r="AT314" i="21415"/>
  <c r="AT176" i="21415"/>
  <c r="AT66" i="21415"/>
  <c r="AQ19" i="21415"/>
  <c r="AQ207" i="21415"/>
  <c r="AQ311" i="21415"/>
  <c r="AQ119" i="21415"/>
  <c r="AT180" i="21415"/>
  <c r="AQ247" i="21415"/>
  <c r="AQ37" i="21415"/>
  <c r="AT42" i="21415"/>
  <c r="AQ79" i="21415"/>
  <c r="AT288" i="21415"/>
  <c r="AQ197" i="21415"/>
  <c r="AT174" i="21415"/>
  <c r="AT58" i="21415"/>
  <c r="AQ199" i="21415"/>
  <c r="AQ193" i="21415"/>
  <c r="AQ159" i="21415"/>
  <c r="AQ99" i="21415"/>
  <c r="AQ221" i="21415"/>
  <c r="AT308" i="21415"/>
  <c r="AT260" i="21415"/>
  <c r="AT304" i="21415"/>
  <c r="AT136" i="21415"/>
  <c r="AT186" i="21415"/>
  <c r="AT312" i="21415"/>
  <c r="AT218" i="21415"/>
  <c r="AQ313" i="21415"/>
  <c r="AT212" i="21415"/>
  <c r="AT282" i="21415"/>
  <c r="AQ287" i="21415"/>
  <c r="AT38" i="21415"/>
  <c r="AT92" i="21415"/>
  <c r="AT32" i="21415"/>
  <c r="AQ57" i="21415"/>
  <c r="AT8" i="21415"/>
  <c r="AQ253" i="21415"/>
  <c r="AT328" i="21415"/>
  <c r="AQ47" i="21415"/>
  <c r="AT220" i="21415"/>
  <c r="AT196" i="21415"/>
  <c r="AQ35" i="21415"/>
  <c r="AQ305" i="21415"/>
  <c r="AT46" i="21415"/>
  <c r="AQ135" i="21415"/>
  <c r="AT122" i="21415"/>
  <c r="AQ53" i="21415"/>
  <c r="AT188" i="21415"/>
  <c r="AT114" i="21415"/>
  <c r="AT250" i="21415"/>
  <c r="AQ257" i="21415"/>
  <c r="AT164" i="21415"/>
  <c r="AQ331" i="21415"/>
  <c r="AQ265" i="21415"/>
  <c r="AT190" i="21415"/>
  <c r="AT72" i="21415"/>
  <c r="AQ335" i="21415"/>
  <c r="AQ309" i="21415"/>
  <c r="AT86" i="21415"/>
  <c r="AQ189" i="21415"/>
  <c r="AT216" i="21415"/>
  <c r="AT16" i="21415"/>
  <c r="AT296" i="21415"/>
  <c r="AT324" i="21415"/>
  <c r="AT126" i="21415"/>
  <c r="AQ291" i="21415"/>
  <c r="AT22" i="21415"/>
  <c r="AQ101" i="21415"/>
  <c r="AQ217" i="21415"/>
  <c r="AQ327" i="21415"/>
  <c r="AQ281" i="21415"/>
  <c r="AQ241" i="21415"/>
  <c r="AQ85" i="21415"/>
  <c r="AQ7" i="21415"/>
  <c r="AQ147" i="21415"/>
  <c r="AT336" i="21415"/>
  <c r="AQ161" i="21415"/>
  <c r="AQ51" i="21415"/>
  <c r="AQ129" i="21415"/>
  <c r="AQ249" i="21415"/>
  <c r="AQ137" i="21415"/>
  <c r="AT116" i="21415"/>
  <c r="AT134" i="21415"/>
  <c r="AQ209" i="21415"/>
  <c r="AT86" i="21426"/>
  <c r="AQ27" i="21415"/>
  <c r="AQ25" i="21415"/>
  <c r="AQ71" i="21415"/>
  <c r="AQ87" i="21415"/>
  <c r="AT244" i="21415"/>
  <c r="AQ277" i="21415"/>
  <c r="AQ213" i="21415"/>
  <c r="AQ141" i="21415"/>
  <c r="AT50" i="21415"/>
  <c r="AT60" i="21415"/>
  <c r="AQ107" i="21415"/>
  <c r="AT330" i="21415"/>
  <c r="AQ275" i="21415"/>
  <c r="AT168" i="21415"/>
  <c r="AT202" i="21415"/>
  <c r="AQ301" i="21415"/>
  <c r="AQ295" i="21415"/>
  <c r="AT160" i="21415"/>
  <c r="AT170" i="21415"/>
  <c r="AT274" i="21415"/>
  <c r="AQ109" i="21415"/>
  <c r="AT70" i="21415"/>
  <c r="AT100" i="21415"/>
  <c r="AT82" i="21415"/>
  <c r="AQ183" i="21415"/>
  <c r="AT226" i="21415"/>
  <c r="AQ45" i="21415"/>
  <c r="AT270" i="21415"/>
  <c r="AQ285" i="21415"/>
  <c r="AQ23" i="21415"/>
  <c r="AT332" i="21415"/>
  <c r="AQ15" i="21415"/>
  <c r="AT80" i="21415"/>
  <c r="AQ113" i="21415"/>
  <c r="AQ259" i="21415"/>
  <c r="AQ215" i="21415"/>
  <c r="AT276" i="21415"/>
  <c r="AT40" i="21415"/>
  <c r="AT318" i="21415"/>
  <c r="AT140" i="21415"/>
  <c r="AT316" i="21415"/>
  <c r="AT192" i="21415"/>
  <c r="AT94" i="21415"/>
  <c r="AT302" i="21415"/>
  <c r="AQ273" i="21415"/>
  <c r="AQ245" i="21415"/>
  <c r="AT96" i="21415"/>
  <c r="AT10" i="21415"/>
  <c r="AQ83" i="21415"/>
  <c r="AT210" i="21415"/>
  <c r="AT138" i="21415"/>
  <c r="AT290" i="21415"/>
  <c r="AT124" i="21415"/>
  <c r="AT230" i="21415"/>
  <c r="AT232" i="21415"/>
  <c r="AQ340" i="21416"/>
  <c r="AT335" i="21416"/>
  <c r="AQ32" i="21416"/>
  <c r="AQ276" i="21416"/>
  <c r="AT93" i="21416"/>
  <c r="AQ60" i="21416"/>
  <c r="AQ330" i="21416"/>
  <c r="AT223" i="21416"/>
  <c r="AQ40" i="21416"/>
  <c r="AT157" i="21416"/>
  <c r="AQ62" i="21416"/>
  <c r="AT287" i="21416"/>
  <c r="AT323" i="21416"/>
  <c r="AQ306" i="21416"/>
  <c r="AQ204" i="21416"/>
  <c r="AT139" i="21416"/>
  <c r="AQ20" i="21416"/>
  <c r="AT225" i="21416"/>
  <c r="AT61" i="21416"/>
  <c r="AQ220" i="21416"/>
  <c r="AT229" i="21416"/>
  <c r="AQ26" i="21416"/>
  <c r="AT175" i="21416"/>
  <c r="AQ44" i="21416"/>
  <c r="AT39" i="21416"/>
  <c r="AQ176" i="21416"/>
  <c r="AT289" i="21416"/>
  <c r="AT189" i="21416"/>
  <c r="AQ14" i="21416"/>
  <c r="AQ58" i="21416"/>
  <c r="AT99" i="21416"/>
  <c r="AQ308" i="21416"/>
  <c r="AT133" i="21416"/>
  <c r="AT341" i="21416"/>
  <c r="AQ52" i="21416"/>
  <c r="AT271" i="21416"/>
  <c r="AQ142" i="21416"/>
  <c r="AQ172" i="21416"/>
  <c r="AT129" i="21416"/>
  <c r="AT317" i="21416"/>
  <c r="AT131" i="21416"/>
  <c r="AT159" i="21416"/>
  <c r="AQ108" i="21416"/>
  <c r="AT219" i="21416"/>
  <c r="AT83" i="21416"/>
  <c r="AQ328" i="21416"/>
  <c r="AT215" i="21416"/>
  <c r="AT327" i="21416"/>
  <c r="AT315" i="21416"/>
  <c r="AQ22" i="21416"/>
  <c r="AT259" i="21416"/>
  <c r="AT135" i="21416"/>
  <c r="AQ24" i="21416"/>
  <c r="AQ34" i="21416"/>
  <c r="AT267" i="21416"/>
  <c r="AQ68" i="21416"/>
  <c r="AQ230" i="21416"/>
  <c r="AQ222" i="21416"/>
  <c r="AQ270" i="21416"/>
  <c r="AT57" i="21416"/>
  <c r="AT163" i="21416"/>
  <c r="AQ294" i="21416"/>
  <c r="AT203" i="21416"/>
  <c r="AT91" i="21416"/>
  <c r="AT233" i="21416"/>
  <c r="AQ80" i="21416"/>
  <c r="AT111" i="21416"/>
  <c r="AQ64" i="21416"/>
  <c r="AQ118" i="21416"/>
  <c r="AQ126" i="21416"/>
  <c r="AQ184" i="21416"/>
  <c r="AQ310" i="21416"/>
  <c r="AT19" i="21416"/>
  <c r="AQ214" i="21416"/>
  <c r="AT255" i="21416"/>
  <c r="AT237" i="21416"/>
  <c r="AQ334" i="21416"/>
  <c r="AQ96" i="21416"/>
  <c r="AQ30" i="21416"/>
  <c r="AT321" i="21416"/>
  <c r="AQ168" i="21416"/>
  <c r="AQ38" i="21416"/>
  <c r="AT63" i="21416"/>
  <c r="AT109" i="21416"/>
  <c r="AT115" i="21416"/>
  <c r="AQ192" i="21416"/>
  <c r="AQ194" i="21416"/>
  <c r="AT67" i="21416"/>
  <c r="AQ254" i="21416"/>
  <c r="AQ120" i="21416"/>
  <c r="AT55" i="21416"/>
  <c r="AT25" i="21416"/>
  <c r="AT73" i="21416"/>
  <c r="AQ290" i="21416"/>
  <c r="AT107" i="21416"/>
  <c r="AQ250" i="21416"/>
  <c r="AT191" i="21416"/>
  <c r="AQ182" i="21416"/>
  <c r="AQ166" i="21416"/>
  <c r="AQ46" i="21416"/>
  <c r="AT113" i="21416"/>
  <c r="AQ48" i="21416"/>
  <c r="AQ318" i="21416"/>
  <c r="AQ54" i="21416"/>
  <c r="AT295" i="21416"/>
  <c r="AT141" i="21416"/>
  <c r="AT125" i="21416"/>
  <c r="AT119" i="21416"/>
  <c r="AQ256" i="21416"/>
  <c r="AQ112" i="21416"/>
  <c r="AQ344" i="21416"/>
  <c r="AQ296" i="21416"/>
  <c r="AT79" i="21416"/>
  <c r="AT339" i="21416"/>
  <c r="AT201" i="21416"/>
  <c r="AT53" i="21416"/>
  <c r="AQ144" i="21416"/>
  <c r="AT333" i="21416"/>
  <c r="AQ232" i="21416"/>
  <c r="AT169" i="21416"/>
  <c r="AQ252" i="21416"/>
  <c r="AT281" i="21416"/>
  <c r="AQ174" i="21416"/>
  <c r="AQ262" i="21416"/>
  <c r="AT211" i="21416"/>
  <c r="AQ280" i="21416"/>
  <c r="AT45" i="21416"/>
  <c r="AQ156" i="21416"/>
  <c r="AT117" i="21416"/>
  <c r="AQ300" i="21416"/>
  <c r="AT147" i="21416"/>
  <c r="AT51" i="21416"/>
  <c r="AT181" i="21416"/>
  <c r="AQ92" i="21416"/>
  <c r="AQ146" i="21416"/>
  <c r="AQ198" i="21416"/>
  <c r="AQ234" i="21416"/>
  <c r="AT165" i="21416"/>
  <c r="AT199" i="21416"/>
  <c r="AQ314" i="21416"/>
  <c r="AT127" i="21416"/>
  <c r="AT49" i="21416"/>
  <c r="AT227" i="21416"/>
  <c r="AQ12" i="21416"/>
  <c r="AT69" i="21416"/>
  <c r="AQ110" i="21416"/>
  <c r="AQ268" i="21416"/>
  <c r="AQ218" i="21416"/>
  <c r="AT297" i="21416"/>
  <c r="AQ238" i="21416"/>
  <c r="AT101" i="21416"/>
  <c r="AT301" i="21416"/>
  <c r="AT37" i="21416"/>
  <c r="AT123" i="21416"/>
  <c r="AQ248" i="21416"/>
  <c r="AT23" i="21416"/>
  <c r="AT231" i="21416"/>
  <c r="AQ284" i="21416"/>
  <c r="AT263" i="21416"/>
  <c r="AT273" i="21416"/>
  <c r="AQ148" i="21416"/>
  <c r="AQ66" i="21416"/>
  <c r="AT145" i="21416"/>
  <c r="AQ130" i="21416"/>
  <c r="AT143" i="21416"/>
  <c r="AT185" i="21416"/>
  <c r="AQ272" i="21416"/>
  <c r="AT311" i="21416"/>
  <c r="AT291" i="21416"/>
  <c r="AQ50" i="21416"/>
  <c r="AT151" i="21416"/>
  <c r="AT171" i="21416"/>
  <c r="AQ228" i="21416"/>
  <c r="AT187" i="21416"/>
  <c r="AT21" i="21416"/>
  <c r="AT213" i="21416"/>
  <c r="AT275" i="21416"/>
  <c r="AQ212" i="21416"/>
  <c r="AQ152" i="21416"/>
  <c r="AT279" i="21416"/>
  <c r="AQ342" i="21416"/>
  <c r="AT217" i="21416"/>
  <c r="AT95" i="21416"/>
  <c r="AT329" i="21416"/>
  <c r="AT261" i="21416"/>
  <c r="AQ282" i="21416"/>
  <c r="AQ104" i="21416"/>
  <c r="AQ178" i="21416"/>
  <c r="AT209" i="21416"/>
  <c r="AT77" i="21416"/>
  <c r="AT235" i="21416"/>
  <c r="AQ42" i="21416"/>
  <c r="AT205" i="21416"/>
  <c r="AT47" i="21416"/>
  <c r="AT177" i="21416"/>
  <c r="AT103" i="21416"/>
  <c r="AT239" i="21416"/>
  <c r="AT167" i="21416"/>
  <c r="AQ74" i="21416"/>
  <c r="AT13" i="21416"/>
  <c r="AQ292" i="21416"/>
  <c r="AT309" i="21416"/>
  <c r="AQ78" i="21416"/>
  <c r="AT6" i="21419"/>
  <c r="AT313" i="21416"/>
  <c r="AQ316" i="21416"/>
  <c r="AT269" i="21416"/>
  <c r="AT303" i="21416"/>
  <c r="AQ196" i="21416"/>
  <c r="AT257" i="21416"/>
  <c r="AQ332" i="21416"/>
  <c r="AQ128" i="21416"/>
  <c r="AQ122" i="21416"/>
  <c r="AT33" i="21416"/>
  <c r="AT299" i="21416"/>
  <c r="AQ134" i="21416"/>
  <c r="AT137" i="21416"/>
  <c r="AQ226" i="21416"/>
  <c r="AQ202" i="21416"/>
  <c r="AQ94" i="21416"/>
  <c r="AT31" i="21416"/>
  <c r="AQ154" i="21416"/>
  <c r="AT29" i="21416"/>
  <c r="AT183" i="21416"/>
  <c r="AQ304" i="21416"/>
  <c r="AQ150" i="21416"/>
  <c r="AQ274" i="21416"/>
  <c r="AQ298" i="21416"/>
  <c r="AQ140" i="21416"/>
  <c r="AT331" i="21416"/>
  <c r="AT193" i="21416"/>
  <c r="AQ86" i="21416"/>
  <c r="AQ100" i="21416"/>
  <c r="AQ286" i="21416"/>
  <c r="AT89" i="21416"/>
  <c r="AQ236" i="21416"/>
  <c r="AT41" i="21416"/>
  <c r="AQ278" i="21416"/>
  <c r="AT283" i="21416"/>
  <c r="AT161" i="21416"/>
  <c r="AQ164" i="21416"/>
  <c r="AQ114" i="21416"/>
  <c r="AT337" i="21416"/>
  <c r="AT307" i="21416"/>
  <c r="AQ16" i="21416"/>
  <c r="AQ188" i="21416"/>
  <c r="AQ216" i="21416"/>
  <c r="AT207" i="21416"/>
  <c r="AQ36" i="21416"/>
  <c r="AT17" i="21416"/>
  <c r="AT149" i="21416"/>
  <c r="AQ260" i="21416"/>
  <c r="AT319" i="21416"/>
  <c r="AQ56" i="21416"/>
  <c r="AT59" i="21416"/>
  <c r="AT87" i="21416"/>
  <c r="AQ180" i="21416"/>
  <c r="AQ160" i="21416"/>
  <c r="AQ132" i="21416"/>
  <c r="AQ18" i="21416"/>
  <c r="AQ258" i="21416"/>
  <c r="AQ162" i="21416"/>
  <c r="AQ320" i="21416"/>
  <c r="AQ336" i="21416"/>
  <c r="AQ136" i="21416"/>
  <c r="AT293" i="21416"/>
  <c r="AQ124" i="21416"/>
  <c r="AT27" i="21416"/>
  <c r="AT221" i="21416"/>
  <c r="AQ88" i="21416"/>
  <c r="AT35" i="21416"/>
  <c r="AQ98" i="21416"/>
  <c r="AQ28" i="21416"/>
  <c r="AQ115" i="21428"/>
  <c r="AQ240" i="21416"/>
  <c r="AT179" i="21416"/>
  <c r="AT121" i="21416"/>
  <c r="AQ186" i="21416"/>
  <c r="AT153" i="21416"/>
  <c r="AQ210" i="21416"/>
  <c r="AT15" i="21416"/>
  <c r="AT197" i="21416"/>
  <c r="AT285" i="21416"/>
  <c r="AQ90" i="21416"/>
  <c r="AT277" i="21416"/>
  <c r="AQ266" i="21416"/>
  <c r="AQ322" i="21416"/>
  <c r="AQ102" i="21416"/>
  <c r="AQ190" i="21416"/>
  <c r="AQ326" i="21416"/>
  <c r="AQ288" i="21416"/>
  <c r="AT325" i="21416"/>
  <c r="AQ116" i="21416"/>
  <c r="AT343" i="21416"/>
  <c r="AQ70" i="21416"/>
  <c r="AT155" i="21416"/>
  <c r="AQ138" i="21416"/>
  <c r="AT305" i="21416"/>
  <c r="AT97" i="21416"/>
  <c r="AQ338" i="21416"/>
  <c r="AQ200" i="21416"/>
  <c r="AQ302" i="21416"/>
  <c r="AQ264" i="21416"/>
  <c r="AT173" i="21416"/>
  <c r="AT253" i="21416"/>
  <c r="AQ312" i="21416"/>
  <c r="AQ170" i="21416"/>
  <c r="AT195" i="21416"/>
  <c r="AT105" i="21416"/>
  <c r="AT251" i="21416"/>
  <c r="AQ5" i="21419"/>
  <c r="AQ158" i="21416"/>
  <c r="AT43" i="21416"/>
  <c r="AT65" i="21416"/>
  <c r="AQ324" i="21416"/>
  <c r="AQ224" i="21416"/>
  <c r="AQ206" i="21416"/>
  <c r="AQ106" i="21416"/>
  <c r="AT265" i="21416"/>
  <c r="AQ208" i="21416"/>
  <c r="AT114" i="21428"/>
  <c r="AQ242" i="21416"/>
  <c r="AT241" i="21416"/>
  <c r="AT156" i="21415"/>
  <c r="AQ155" i="21415"/>
  <c r="AT150" i="21415"/>
  <c r="AT154" i="21415"/>
  <c r="AQ153" i="21415"/>
  <c r="AT152" i="21415"/>
  <c r="AQ151" i="21415"/>
  <c r="AQ107" i="108"/>
  <c r="AQ269" i="108"/>
  <c r="AQ67" i="108"/>
  <c r="AT188" i="108"/>
  <c r="AQ97" i="108"/>
  <c r="AQ227" i="108"/>
  <c r="AT184" i="108"/>
  <c r="AQ293" i="108"/>
  <c r="AT330" i="108"/>
  <c r="AT272" i="108"/>
  <c r="AQ87" i="108"/>
  <c r="AQ51" i="108"/>
  <c r="AQ217" i="108"/>
  <c r="AT198" i="108"/>
  <c r="AT104" i="108"/>
  <c r="AQ127" i="108"/>
  <c r="AT30" i="108"/>
  <c r="AQ199" i="108"/>
  <c r="AT298" i="108"/>
  <c r="AT106" i="108"/>
  <c r="AT50" i="108"/>
  <c r="AT306" i="108"/>
  <c r="AQ33" i="108"/>
  <c r="AT102" i="108"/>
  <c r="AQ15" i="108"/>
  <c r="AT34" i="108"/>
  <c r="AT270" i="108"/>
  <c r="AT290" i="108"/>
  <c r="AQ211" i="108"/>
  <c r="AQ181" i="108"/>
  <c r="AQ27" i="108"/>
  <c r="AT200" i="108"/>
  <c r="AT318" i="108"/>
  <c r="AQ139" i="108"/>
  <c r="AQ335" i="108"/>
  <c r="AQ185" i="108"/>
  <c r="AQ261" i="108"/>
  <c r="AQ29" i="108"/>
  <c r="AT128" i="108"/>
  <c r="AQ177" i="108"/>
  <c r="AQ231" i="108"/>
  <c r="AQ271" i="108"/>
  <c r="AT316" i="108"/>
  <c r="AQ205" i="108"/>
  <c r="AQ93" i="108"/>
  <c r="AT254" i="108"/>
  <c r="AT276" i="108"/>
  <c r="AT88" i="108"/>
  <c r="AT338" i="108"/>
  <c r="AQ167" i="108"/>
  <c r="AQ213" i="108"/>
  <c r="AT182" i="108"/>
  <c r="AT216" i="108"/>
  <c r="AT84" i="108"/>
  <c r="AQ119" i="108"/>
  <c r="AT286" i="108"/>
  <c r="AT48" i="108"/>
  <c r="AT170" i="108"/>
  <c r="AT204" i="108"/>
  <c r="AT76" i="108"/>
  <c r="AT54" i="108"/>
  <c r="AT334" i="108"/>
  <c r="AQ43" i="108"/>
  <c r="AQ23" i="108"/>
  <c r="AQ311" i="108"/>
  <c r="AT266" i="108"/>
  <c r="AT194" i="108"/>
  <c r="AQ49" i="108"/>
  <c r="AQ259" i="108"/>
  <c r="AT180" i="108"/>
  <c r="AQ277" i="108"/>
  <c r="AT108" i="108"/>
  <c r="AT24" i="108"/>
  <c r="AT192" i="108"/>
  <c r="AQ251" i="108"/>
  <c r="AT178" i="108"/>
  <c r="AT208" i="108"/>
  <c r="AQ9" i="108"/>
  <c r="AQ11" i="108"/>
  <c r="AT36" i="108"/>
  <c r="AQ319" i="108"/>
  <c r="AQ295" i="108"/>
  <c r="AT264" i="108"/>
  <c r="AQ35" i="108"/>
  <c r="AQ179" i="108"/>
  <c r="AQ135" i="108"/>
  <c r="AQ183" i="108"/>
  <c r="AT288" i="108"/>
  <c r="AQ255" i="108"/>
  <c r="AT246" i="108"/>
  <c r="AQ57" i="108"/>
  <c r="AT328" i="108"/>
  <c r="AT320" i="108"/>
  <c r="AQ291" i="108"/>
  <c r="AT218" i="108"/>
  <c r="AT110" i="108"/>
  <c r="AT38" i="108"/>
  <c r="AT340" i="108"/>
  <c r="AQ225" i="108"/>
  <c r="AT314" i="108"/>
  <c r="AQ133" i="108"/>
  <c r="AQ14" i="21431"/>
  <c r="AT28" i="108"/>
  <c r="AT140" i="108"/>
  <c r="AQ117" i="108"/>
  <c r="AQ5" i="108"/>
  <c r="AT90" i="108"/>
  <c r="AQ343" i="108"/>
  <c r="AQ143" i="108"/>
  <c r="AQ297" i="108"/>
  <c r="AT96" i="108"/>
  <c r="AT26" i="108"/>
  <c r="AT256" i="108"/>
  <c r="AT14" i="108"/>
  <c r="AT308" i="108"/>
  <c r="AT42" i="108"/>
  <c r="AT6" i="108"/>
  <c r="AQ315" i="108"/>
  <c r="AQ115" i="108"/>
  <c r="AT176" i="108"/>
  <c r="AQ171" i="108"/>
  <c r="AQ61" i="108"/>
  <c r="AQ7" i="108"/>
  <c r="AT60" i="108"/>
  <c r="AT212" i="108"/>
  <c r="AT332" i="108"/>
  <c r="AQ59" i="108"/>
  <c r="AT248" i="108"/>
  <c r="AT186" i="108"/>
  <c r="AT16" i="108"/>
  <c r="AT46" i="108"/>
  <c r="AQ41" i="108"/>
  <c r="AQ197" i="108"/>
  <c r="AT262" i="108"/>
  <c r="AT40" i="108"/>
  <c r="AT122" i="108"/>
  <c r="AT280" i="108"/>
  <c r="AT118" i="108"/>
  <c r="AQ289" i="108"/>
  <c r="AQ275" i="108"/>
  <c r="AT56" i="108"/>
  <c r="AT292" i="108"/>
  <c r="AT66" i="108"/>
  <c r="AQ19" i="108"/>
  <c r="AQ263" i="108"/>
  <c r="AQ307" i="108"/>
  <c r="AQ121" i="108"/>
  <c r="AQ137" i="108"/>
  <c r="AQ125" i="108"/>
  <c r="AQ331" i="108"/>
  <c r="AT238" i="108"/>
  <c r="AT80" i="108"/>
  <c r="AQ113" i="108"/>
  <c r="AT10" i="108"/>
  <c r="AQ309" i="108"/>
  <c r="AQ91" i="108"/>
  <c r="AT294" i="108"/>
  <c r="AQ189" i="108"/>
  <c r="AQ301" i="108"/>
  <c r="AT302" i="108"/>
  <c r="AQ305" i="108"/>
  <c r="AQ73" i="108"/>
  <c r="AT112" i="108"/>
  <c r="AT278" i="108"/>
  <c r="AT32" i="108"/>
  <c r="AQ31" i="108"/>
  <c r="AT86" i="108"/>
  <c r="AT162" i="108"/>
  <c r="AT70" i="108"/>
  <c r="AT8" i="108"/>
  <c r="AQ283" i="108"/>
  <c r="AQ341" i="108"/>
  <c r="AT136" i="108"/>
  <c r="AQ175" i="108"/>
  <c r="AT138" i="108"/>
  <c r="AT116" i="108"/>
  <c r="AQ85" i="108"/>
  <c r="AQ221" i="108"/>
  <c r="AQ323" i="108"/>
  <c r="AQ165" i="108"/>
  <c r="AT284" i="108"/>
  <c r="AT20" i="108"/>
  <c r="AQ191" i="108"/>
  <c r="AQ25" i="108"/>
  <c r="AQ63" i="108"/>
  <c r="AQ129" i="108"/>
  <c r="AQ329" i="108"/>
  <c r="AT92" i="108"/>
  <c r="AT72" i="108"/>
  <c r="AT52" i="108"/>
  <c r="AQ249" i="108"/>
  <c r="AT202" i="108"/>
  <c r="AQ13" i="108"/>
  <c r="AT296" i="108"/>
  <c r="AQ83" i="108"/>
  <c r="AT9" i="21399"/>
  <c r="AQ195" i="108"/>
  <c r="AQ299" i="108"/>
  <c r="AT230" i="108"/>
  <c r="AT214" i="108"/>
  <c r="AQ303" i="108"/>
  <c r="AQ187" i="108"/>
  <c r="AT206" i="108"/>
  <c r="AT130" i="108"/>
  <c r="AQ345" i="108"/>
  <c r="AT164" i="108"/>
  <c r="AQ55" i="108"/>
  <c r="AT166" i="108"/>
  <c r="AQ223" i="108"/>
  <c r="AT282" i="108"/>
  <c r="AT44" i="108"/>
  <c r="AT174" i="108"/>
  <c r="AQ89" i="108"/>
  <c r="AQ237" i="108"/>
  <c r="AT190" i="108"/>
  <c r="AT18" i="108"/>
  <c r="AQ193" i="108"/>
  <c r="AQ281" i="108"/>
  <c r="AT274" i="108"/>
  <c r="AT224" i="108"/>
  <c r="AT250" i="108"/>
  <c r="AT12" i="108"/>
  <c r="AT58" i="108"/>
  <c r="AQ169" i="108"/>
  <c r="AQ37" i="108"/>
  <c r="AQ273" i="108"/>
  <c r="AQ321" i="108"/>
  <c r="AQ313" i="108"/>
  <c r="AQ101" i="108"/>
  <c r="AQ109" i="108"/>
  <c r="AT144" i="108"/>
  <c r="AT134" i="108"/>
  <c r="AQ95" i="108"/>
  <c r="AQ45" i="108"/>
  <c r="AQ201" i="108"/>
  <c r="AQ203" i="108"/>
  <c r="AT124" i="108"/>
  <c r="AQ111" i="108"/>
  <c r="AQ173" i="108"/>
  <c r="AQ287" i="108"/>
  <c r="AT220" i="108"/>
  <c r="AQ229" i="108"/>
  <c r="AQ21" i="108"/>
  <c r="AQ53" i="108"/>
  <c r="AQ79" i="108"/>
  <c r="AQ123" i="108"/>
  <c r="AQ105" i="108"/>
  <c r="AT142" i="108"/>
  <c r="AT172" i="108"/>
  <c r="AQ17" i="108"/>
  <c r="AQ163" i="108"/>
  <c r="AQ99" i="108"/>
  <c r="AT228" i="108"/>
  <c r="AT322" i="108"/>
  <c r="AQ325" i="108"/>
  <c r="AQ131" i="108"/>
  <c r="AQ145" i="108"/>
  <c r="AQ265" i="108"/>
  <c r="AT252" i="108"/>
  <c r="AT268" i="108"/>
  <c r="AQ47" i="108"/>
  <c r="AQ103" i="108"/>
  <c r="AT324" i="108"/>
  <c r="AQ267" i="108"/>
  <c r="AT120" i="108"/>
  <c r="AT258" i="108"/>
  <c r="AQ285" i="108"/>
  <c r="AT100" i="108"/>
  <c r="AQ257" i="108"/>
  <c r="AS86" i="21425"/>
  <c r="AT62" i="108"/>
  <c r="AQ209" i="108"/>
  <c r="AQ253" i="108"/>
  <c r="AQ81" i="108"/>
  <c r="AT126" i="108"/>
  <c r="AQ337" i="108"/>
  <c r="AQ219" i="108"/>
  <c r="AT222" i="108"/>
  <c r="AT22" i="108"/>
  <c r="AT232" i="108"/>
  <c r="AT168" i="108"/>
  <c r="AT326" i="108"/>
  <c r="AT210" i="108"/>
  <c r="AT300" i="108"/>
  <c r="AT260" i="108"/>
  <c r="AT344" i="108"/>
  <c r="AQ233" i="108"/>
  <c r="AQ317" i="108"/>
  <c r="AT226" i="108"/>
  <c r="AT98" i="108"/>
  <c r="AT312" i="108"/>
  <c r="AQ71" i="108"/>
  <c r="AQ39" i="108"/>
  <c r="AQ333" i="108"/>
  <c r="AT304" i="108"/>
  <c r="AQ327" i="108"/>
  <c r="AQ279" i="108"/>
  <c r="AT196" i="108"/>
  <c r="AQ141" i="108"/>
  <c r="AQ207" i="108"/>
  <c r="AT132" i="108"/>
  <c r="AT82" i="108"/>
  <c r="AT114" i="108"/>
  <c r="AQ215" i="108"/>
  <c r="AT236" i="108"/>
  <c r="AQ339" i="108"/>
  <c r="AT310" i="108"/>
  <c r="AT94" i="108"/>
  <c r="AT336" i="108"/>
  <c r="AT342" i="108"/>
  <c r="AC14" i="21426" l="1"/>
  <c r="E177" i="21409"/>
  <c r="AC106" i="21428"/>
  <c r="AC94" i="21429"/>
  <c r="AC294" i="21415"/>
  <c r="AT133" i="21423"/>
  <c r="AC12" i="21430"/>
  <c r="AC133" i="21423" s="1"/>
  <c r="AC34" i="21426"/>
  <c r="AC49" i="21436"/>
  <c r="AC46" i="21428"/>
  <c r="AC21" i="21423"/>
  <c r="AQ4" i="21400"/>
  <c r="AQ6" i="21414"/>
  <c r="AC72" i="21428"/>
  <c r="E255" i="21409"/>
  <c r="AC99" i="21424"/>
  <c r="AC255" i="21416"/>
  <c r="AQ42" i="21420"/>
  <c r="AC61" i="21436"/>
  <c r="AC247" i="21416"/>
  <c r="S155" i="21408" s="1"/>
  <c r="E299" i="21409"/>
  <c r="AC77" i="21423"/>
  <c r="AT95" i="21435"/>
  <c r="AC27" i="21423"/>
  <c r="AT7" i="21421"/>
  <c r="AT344" i="21417"/>
  <c r="AC216" i="21415"/>
  <c r="AC38" i="21426"/>
  <c r="AC56" i="21428"/>
  <c r="AC79" i="21423"/>
  <c r="AC109" i="21423"/>
  <c r="AC24" i="21428"/>
  <c r="AC76" i="21426"/>
  <c r="AC79" i="21436"/>
  <c r="E266" i="21409"/>
  <c r="AC50" i="21428"/>
  <c r="AC177" i="21416"/>
  <c r="E225" i="21409"/>
  <c r="AC290" i="21415"/>
  <c r="AC182" i="21415"/>
  <c r="AC22" i="21430"/>
  <c r="AC32" i="21429"/>
  <c r="AC101" i="21423"/>
  <c r="AC73" i="21423"/>
  <c r="AC17" i="21429"/>
  <c r="AC172" i="21415"/>
  <c r="AC45" i="21436"/>
  <c r="AC101" i="21424"/>
  <c r="AC35" i="21424"/>
  <c r="AC297" i="21416"/>
  <c r="AC39" i="21427"/>
  <c r="AC56" i="21426"/>
  <c r="AC54" i="21430"/>
  <c r="AQ132" i="21424"/>
  <c r="AC186" i="108"/>
  <c r="AT91" i="21436"/>
  <c r="AC44" i="21430"/>
  <c r="AT139" i="21423"/>
  <c r="AC18" i="21430"/>
  <c r="AC139" i="21423" s="1"/>
  <c r="AB46" i="21425"/>
  <c r="AT39" i="21420"/>
  <c r="AC280" i="21415"/>
  <c r="AQ102" i="21434"/>
  <c r="AC71" i="21435"/>
  <c r="AQ68" i="21427"/>
  <c r="AC54" i="21426"/>
  <c r="AQ10" i="21421"/>
  <c r="AC27" i="21427"/>
  <c r="AC35" i="21400"/>
  <c r="AC42" i="21430"/>
  <c r="AQ347" i="21415"/>
  <c r="AC36" i="21426"/>
  <c r="AC85" i="21424"/>
  <c r="AT92" i="21426"/>
  <c r="AQ4" i="21411"/>
  <c r="AQ6" i="21412"/>
  <c r="AQ8" i="21412"/>
  <c r="AQ6" i="21411"/>
  <c r="AT348" i="108"/>
  <c r="AC111" i="21423"/>
  <c r="AC31" i="21423"/>
  <c r="AT51" i="21399"/>
  <c r="AT46" i="21418" s="1"/>
  <c r="AC71" i="21436"/>
  <c r="AT9" i="21414"/>
  <c r="AT7" i="21400"/>
  <c r="AC58" i="21430"/>
  <c r="AC49" i="21427"/>
  <c r="AC227" i="21416"/>
  <c r="AC114" i="21428"/>
  <c r="AC11" i="21416" s="1"/>
  <c r="AT11" i="21416"/>
  <c r="AC43" i="21436"/>
  <c r="AQ138" i="21423"/>
  <c r="AT89" i="21436"/>
  <c r="AC6" i="21426"/>
  <c r="AC121" i="21423"/>
  <c r="AC72" i="21430"/>
  <c r="AQ349" i="108"/>
  <c r="AC25" i="21427"/>
  <c r="AT141" i="21423"/>
  <c r="AQ95" i="21426"/>
  <c r="AC37" i="21424"/>
  <c r="E104" i="21409"/>
  <c r="AC293" i="21416"/>
  <c r="AQ30" i="21411"/>
  <c r="AC49" i="21435"/>
  <c r="AC17" i="21400"/>
  <c r="AQ91" i="21426"/>
  <c r="AC199" i="21416"/>
  <c r="AC265" i="21416"/>
  <c r="AT105" i="21433"/>
  <c r="AT44" i="21418"/>
  <c r="AT4" i="3"/>
  <c r="AC125" i="21424"/>
  <c r="AC4" i="21428" s="1"/>
  <c r="AT4" i="21428"/>
  <c r="AC252" i="21415"/>
  <c r="AC47" i="21424"/>
  <c r="AQ93" i="21426"/>
  <c r="AC39" i="21424"/>
  <c r="AT29" i="21411"/>
  <c r="AC233" i="21416"/>
  <c r="AC13" i="21423"/>
  <c r="AC59" i="21423"/>
  <c r="AT4" i="21430"/>
  <c r="AC125" i="21423"/>
  <c r="AC4" i="21430" s="1"/>
  <c r="AC165" i="21416"/>
  <c r="AB44" i="21425"/>
  <c r="AC41" i="21414"/>
  <c r="AQ87" i="21426"/>
  <c r="AC45" i="21400"/>
  <c r="AC31" i="21436"/>
  <c r="AC246" i="21415"/>
  <c r="AC63" i="21436"/>
  <c r="AC64" i="21428"/>
  <c r="AQ36" i="21421"/>
  <c r="AC87" i="21423"/>
  <c r="AC91" i="21416"/>
  <c r="AC33" i="21400"/>
  <c r="AC30" i="21429"/>
  <c r="AC203" i="21416"/>
  <c r="E51" i="21409"/>
  <c r="AQ40" i="21420"/>
  <c r="E58" i="21409"/>
  <c r="AC31" i="21424"/>
  <c r="AC77" i="21424"/>
  <c r="AC68" i="21430"/>
  <c r="AQ45" i="21418"/>
  <c r="AC111" i="21424"/>
  <c r="AT59" i="21422"/>
  <c r="AP87" i="21425"/>
  <c r="AC163" i="21416"/>
  <c r="E62" i="21409"/>
  <c r="AC30" i="21426"/>
  <c r="AQ4" i="21414"/>
  <c r="AT27" i="21411"/>
  <c r="AC276" i="21415"/>
  <c r="AC261" i="21416"/>
  <c r="AC71" i="21423"/>
  <c r="AC85" i="21435"/>
  <c r="AC48" i="21429"/>
  <c r="AC65" i="21436"/>
  <c r="E227" i="21409"/>
  <c r="AC164" i="21415"/>
  <c r="AT131" i="21424"/>
  <c r="AC10" i="21428"/>
  <c r="AC131" i="21424" s="1"/>
  <c r="AC102" i="21430"/>
  <c r="AC59" i="21436"/>
  <c r="AC64" i="21430"/>
  <c r="AC41" i="21427"/>
  <c r="AC51" i="21423"/>
  <c r="AQ61" i="21419"/>
  <c r="AQ138" i="21424"/>
  <c r="AC16" i="21426"/>
  <c r="E314" i="21409"/>
  <c r="AQ134" i="21423"/>
  <c r="AC62" i="21429"/>
  <c r="AT57" i="21422"/>
  <c r="AC178" i="21415"/>
  <c r="AC74" i="21430"/>
  <c r="AT52" i="21419"/>
  <c r="AC119" i="21423"/>
  <c r="AC296" i="21417"/>
  <c r="AC146" i="21415"/>
  <c r="E229" i="21409"/>
  <c r="AC21" i="21400"/>
  <c r="AC53" i="21427"/>
  <c r="AC117" i="21423"/>
  <c r="AC250" i="21415"/>
  <c r="AC13" i="21429"/>
  <c r="E322" i="21409"/>
  <c r="AT7" i="21411"/>
  <c r="AT9" i="21412"/>
  <c r="AT5" i="21399"/>
  <c r="AT133" i="21424"/>
  <c r="AC12" i="21428"/>
  <c r="AC133" i="21424" s="1"/>
  <c r="AC54" i="21429"/>
  <c r="E70" i="21409"/>
  <c r="AC158" i="108"/>
  <c r="AB86" i="21425"/>
  <c r="AC4" i="108" s="1"/>
  <c r="AT4" i="108"/>
  <c r="AC40" i="21430"/>
  <c r="E323" i="21409"/>
  <c r="AC267" i="21416"/>
  <c r="AC27" i="21414"/>
  <c r="AC144" i="21415"/>
  <c r="AC184" i="21415"/>
  <c r="AB42" i="21425"/>
  <c r="AC19" i="21435"/>
  <c r="AC35" i="21414"/>
  <c r="AC251" i="21416"/>
  <c r="AC117" i="21424"/>
  <c r="AC217" i="21416"/>
  <c r="AT7" i="21399"/>
  <c r="E217" i="21409"/>
  <c r="AC66" i="21430"/>
  <c r="AT9" i="21416"/>
  <c r="AC112" i="21428"/>
  <c r="AC9" i="21416" s="1"/>
  <c r="AC49" i="21423"/>
  <c r="AT351" i="21416"/>
  <c r="AT7" i="21420"/>
  <c r="AQ8" i="21416"/>
  <c r="AC48" i="21428"/>
  <c r="AC75" i="21423"/>
  <c r="AC29" i="21424"/>
  <c r="E76" i="21409"/>
  <c r="AQ140" i="21423"/>
  <c r="AC278" i="21415"/>
  <c r="AC47" i="21436"/>
  <c r="AC8" i="21428"/>
  <c r="AC129" i="21424" s="1"/>
  <c r="AT129" i="21424"/>
  <c r="AT5" i="21422"/>
  <c r="AT61" i="21422"/>
  <c r="AC64" i="21429"/>
  <c r="AQ54" i="21399"/>
  <c r="AB58" i="21425"/>
  <c r="AC35" i="21427"/>
  <c r="AC61" i="21435"/>
  <c r="AC279" i="21416"/>
  <c r="AC52" i="21426"/>
  <c r="AC23" i="21435"/>
  <c r="E60" i="21409"/>
  <c r="AC35" i="21435"/>
  <c r="E106" i="21409"/>
  <c r="AC102" i="21428"/>
  <c r="E39" i="21409"/>
  <c r="AC33" i="21435"/>
  <c r="AC45" i="21427"/>
  <c r="AC51" i="21435"/>
  <c r="AC83" i="21424"/>
  <c r="AC29" i="21423"/>
  <c r="AC195" i="21416"/>
  <c r="AT60" i="21419"/>
  <c r="E273" i="21409"/>
  <c r="AC75" i="21424"/>
  <c r="AC29" i="21427"/>
  <c r="AC89" i="21424"/>
  <c r="AC31" i="21435"/>
  <c r="E317" i="21409"/>
  <c r="AC29" i="21436"/>
  <c r="AB62" i="21425"/>
  <c r="AC31" i="21400"/>
  <c r="AQ128" i="21424"/>
  <c r="AS4" i="21425"/>
  <c r="AC87" i="21435"/>
  <c r="AB4" i="21425" s="1"/>
  <c r="AC56" i="21429"/>
  <c r="AT39" i="21421"/>
  <c r="AC50" i="21430"/>
  <c r="AC72" i="21429"/>
  <c r="AC89" i="21423"/>
  <c r="AC66" i="21429"/>
  <c r="AC69" i="21436"/>
  <c r="AC270" i="21415"/>
  <c r="AC33" i="21423"/>
  <c r="AC60" i="21430"/>
  <c r="AQ343" i="21417"/>
  <c r="AQ6" i="21421"/>
  <c r="AT31" i="21411"/>
  <c r="AC74" i="21426"/>
  <c r="AC67" i="21427" s="1"/>
  <c r="AT67" i="21427"/>
  <c r="AC275" i="21416"/>
  <c r="AC222" i="108"/>
  <c r="AC215" i="21416"/>
  <c r="AC281" i="21416"/>
  <c r="AC256" i="21415"/>
  <c r="AT101" i="21434"/>
  <c r="AC52" i="21430"/>
  <c r="AC57" i="21435"/>
  <c r="AC43" i="21424"/>
  <c r="AC284" i="21415"/>
  <c r="AQ55" i="21419"/>
  <c r="E262" i="21409"/>
  <c r="AT4" i="21426"/>
  <c r="AC87" i="21436"/>
  <c r="AC4" i="21426" s="1"/>
  <c r="AC62" i="21428"/>
  <c r="AC17" i="21427"/>
  <c r="E320" i="21409"/>
  <c r="AB38" i="21425"/>
  <c r="AC45" i="21424"/>
  <c r="AC81" i="21435"/>
  <c r="AC115" i="21424"/>
  <c r="E44" i="21409"/>
  <c r="AC43" i="21435"/>
  <c r="AC63" i="21427"/>
  <c r="AC283" i="21416"/>
  <c r="AC220" i="21415"/>
  <c r="AT135" i="21423"/>
  <c r="E91" i="21409"/>
  <c r="AQ8" i="21420"/>
  <c r="AQ352" i="21416"/>
  <c r="AC61" i="21423"/>
  <c r="E92" i="21409"/>
  <c r="AC46" i="21426"/>
  <c r="AQ51" i="21419"/>
  <c r="AQ8" i="21399"/>
  <c r="AC260" i="21417"/>
  <c r="AC38" i="21428"/>
  <c r="AC169" i="21416"/>
  <c r="AB48" i="21425"/>
  <c r="AB68" i="21425"/>
  <c r="AC73" i="21436"/>
  <c r="AC76" i="21430"/>
  <c r="AQ38" i="21420"/>
  <c r="AC17" i="21414"/>
  <c r="AC253" i="21416"/>
  <c r="AC60" i="21428"/>
  <c r="AT350" i="108"/>
  <c r="AC173" i="21416"/>
  <c r="AT5" i="21421"/>
  <c r="AT342" i="21417"/>
  <c r="AC96" i="21430"/>
  <c r="AT96" i="21426"/>
  <c r="AC52" i="21428"/>
  <c r="E45" i="21409"/>
  <c r="AT5" i="21420"/>
  <c r="AT349" i="21416"/>
  <c r="AC214" i="21415"/>
  <c r="AC274" i="21415"/>
  <c r="AQ136" i="21423"/>
  <c r="AT62" i="21419"/>
  <c r="AC170" i="21415"/>
  <c r="AC187" i="21416"/>
  <c r="AS88" i="21425"/>
  <c r="AQ58" i="21422"/>
  <c r="AC27" i="21435"/>
  <c r="AT90" i="21426"/>
  <c r="AQ42" i="21421"/>
  <c r="AC160" i="21415"/>
  <c r="AC62" i="21430"/>
  <c r="E209" i="21409"/>
  <c r="E38" i="21409"/>
  <c r="AT347" i="21416"/>
  <c r="AC13" i="21435"/>
  <c r="AC55" i="21424"/>
  <c r="AC21" i="21414"/>
  <c r="AC92" i="21415"/>
  <c r="AC38" i="21415"/>
  <c r="E313" i="21409"/>
  <c r="AS90" i="21425"/>
  <c r="AC38" i="21429"/>
  <c r="AS94" i="21425"/>
  <c r="AQ4" i="21416"/>
  <c r="AC264" i="21415"/>
  <c r="AC92" i="21430"/>
  <c r="AC97" i="21423"/>
  <c r="AC37" i="21400"/>
  <c r="AC51" i="21427"/>
  <c r="AC89" i="21416"/>
  <c r="AC171" i="21416"/>
  <c r="AQ54" i="21422"/>
  <c r="AC42" i="21426"/>
  <c r="AC83" i="21436"/>
  <c r="AT137" i="21423"/>
  <c r="AT57" i="21399"/>
  <c r="E108" i="21409"/>
  <c r="E260" i="21409"/>
  <c r="AB34" i="21425"/>
  <c r="AC282" i="21415"/>
  <c r="AC33" i="21424"/>
  <c r="AC20" i="21428"/>
  <c r="AC141" i="21424" s="1"/>
  <c r="AT141" i="21424"/>
  <c r="AC43" i="21414"/>
  <c r="AC52" i="21429"/>
  <c r="AC99" i="21423"/>
  <c r="AQ49" i="21419"/>
  <c r="AC80" i="21428"/>
  <c r="AC6" i="21428"/>
  <c r="AC127" i="21424" s="1"/>
  <c r="AT127" i="21424"/>
  <c r="AC40" i="21426"/>
  <c r="AQ132" i="21423"/>
  <c r="AQ34" i="21421"/>
  <c r="AB74" i="21425"/>
  <c r="AQ130" i="21423"/>
  <c r="E264" i="21409"/>
  <c r="AC40" i="21429"/>
  <c r="AC29" i="21400"/>
  <c r="AC41" i="21435"/>
  <c r="AC76" i="21428"/>
  <c r="AC41" i="21423"/>
  <c r="AC13" i="21431"/>
  <c r="AC228" i="108"/>
  <c r="AC168" i="21415"/>
  <c r="AT93" i="21435"/>
  <c r="AB10" i="21425"/>
  <c r="AC93" i="21435" s="1"/>
  <c r="AC151" i="21416"/>
  <c r="AC123" i="21423"/>
  <c r="E37" i="21409"/>
  <c r="AC67" i="21424"/>
  <c r="E66" i="21409"/>
  <c r="AC91" i="21423"/>
  <c r="AC78" i="21428"/>
  <c r="AC73" i="21424"/>
  <c r="AB56" i="21425"/>
  <c r="AC292" i="21415"/>
  <c r="AC218" i="21415"/>
  <c r="AT93" i="21436"/>
  <c r="AC10" i="21426"/>
  <c r="AC93" i="21436" s="1"/>
  <c r="AT54" i="21419"/>
  <c r="AC271" i="21416"/>
  <c r="AC72" i="21426"/>
  <c r="AC65" i="21423"/>
  <c r="E319" i="21409"/>
  <c r="AC67" i="21423"/>
  <c r="AQ346" i="21416"/>
  <c r="AC201" i="21416"/>
  <c r="AQ5" i="21428"/>
  <c r="AT48" i="21419"/>
  <c r="E271" i="21409"/>
  <c r="AC115" i="21423"/>
  <c r="AC87" i="21424"/>
  <c r="AC79" i="21424"/>
  <c r="AC226" i="108"/>
  <c r="AC54" i="21428"/>
  <c r="AC39" i="21400"/>
  <c r="E213" i="21409"/>
  <c r="AQ136" i="21424"/>
  <c r="AC154" i="21415"/>
  <c r="AC248" i="21415"/>
  <c r="AC25" i="21400"/>
  <c r="AC25" i="21424"/>
  <c r="AC14" i="21428"/>
  <c r="AC135" i="21424" s="1"/>
  <c r="AT135" i="21424"/>
  <c r="E48" i="21409"/>
  <c r="AB50" i="21425"/>
  <c r="AT53" i="21399"/>
  <c r="AC58" i="21428"/>
  <c r="AC97" i="21424"/>
  <c r="AC74" i="21429"/>
  <c r="AC291" i="21416"/>
  <c r="AC189" i="21416"/>
  <c r="AQ56" i="21399"/>
  <c r="AC244" i="21415"/>
  <c r="AC249" i="21416"/>
  <c r="E226" i="21409"/>
  <c r="AC295" i="21416"/>
  <c r="AC55" i="21436"/>
  <c r="AC232" i="21415"/>
  <c r="AC70" i="21429"/>
  <c r="AT137" i="21424"/>
  <c r="AC16" i="21428"/>
  <c r="AC137" i="21424" s="1"/>
  <c r="AT41" i="21420"/>
  <c r="AT4" i="2"/>
  <c r="AC7" i="21429"/>
  <c r="AC260" i="21415"/>
  <c r="AC289" i="21416"/>
  <c r="AC15" i="21429"/>
  <c r="AC155" i="21416"/>
  <c r="AC53" i="21423"/>
  <c r="AC66" i="21428"/>
  <c r="E263" i="21409"/>
  <c r="AQ6" i="21422"/>
  <c r="AB54" i="21425"/>
  <c r="E224" i="21409"/>
  <c r="AQ6" i="21400"/>
  <c r="AQ8" i="21414"/>
  <c r="AC39" i="21435"/>
  <c r="AQ53" i="21419"/>
  <c r="AT4" i="21398"/>
  <c r="AB20" i="21425"/>
  <c r="E311" i="21409"/>
  <c r="AC51" i="21436"/>
  <c r="AT98" i="21429"/>
  <c r="AT7" i="21416"/>
  <c r="AC25" i="21414"/>
  <c r="AC58" i="21429"/>
  <c r="AC32" i="21426"/>
  <c r="AC31" i="21427"/>
  <c r="AC49" i="21414"/>
  <c r="AC44" i="21429"/>
  <c r="AC185" i="21416"/>
  <c r="AC113" i="21424"/>
  <c r="AC105" i="21424"/>
  <c r="AS92" i="21425"/>
  <c r="AC19" i="21400"/>
  <c r="E302" i="21409"/>
  <c r="AC7" i="21427"/>
  <c r="AC40" i="21428"/>
  <c r="AC37" i="21427"/>
  <c r="AC272" i="21415"/>
  <c r="AQ38" i="21421"/>
  <c r="AC175" i="21416"/>
  <c r="AQ60" i="21399"/>
  <c r="AC31" i="21414"/>
  <c r="AB52" i="21425"/>
  <c r="AQ56" i="21422"/>
  <c r="AT4" i="21419"/>
  <c r="AQ4" i="21412"/>
  <c r="AQ10" i="21416"/>
  <c r="AC43" i="21400"/>
  <c r="AC23" i="21414"/>
  <c r="AC34" i="21428"/>
  <c r="AC73" i="21435"/>
  <c r="AC65" i="21424"/>
  <c r="AT7" i="21412"/>
  <c r="AT5" i="21411"/>
  <c r="E103" i="21409"/>
  <c r="AT56" i="21419"/>
  <c r="AC57" i="21423"/>
  <c r="AC96" i="21429"/>
  <c r="AQ38" i="21412"/>
  <c r="AC32" i="21430"/>
  <c r="E107" i="21409"/>
  <c r="AT37" i="21412"/>
  <c r="AC39" i="21423"/>
  <c r="AC229" i="21416"/>
  <c r="AT5" i="21412"/>
  <c r="AC83" i="21435"/>
  <c r="AC71" i="21424"/>
  <c r="AC46" i="21429"/>
  <c r="AC262" i="21415"/>
  <c r="AB70" i="21425"/>
  <c r="E231" i="21409"/>
  <c r="AC50" i="21426"/>
  <c r="AC121" i="21424"/>
  <c r="AC103" i="21423"/>
  <c r="AQ52" i="21399"/>
  <c r="AC242" i="21415"/>
  <c r="AQ140" i="21424"/>
  <c r="AC268" i="21417"/>
  <c r="E230" i="21409"/>
  <c r="AC15" i="21400"/>
  <c r="AT53" i="21422"/>
  <c r="AT43" i="21420" s="1"/>
  <c r="AC191" i="21416"/>
  <c r="AT7" i="21414"/>
  <c r="AT5" i="21400"/>
  <c r="AC49" i="21424"/>
  <c r="AC61" i="21424"/>
  <c r="AC86" i="21426"/>
  <c r="AC4" i="21415" s="1"/>
  <c r="AT4" i="21415"/>
  <c r="AC37" i="21435"/>
  <c r="AC288" i="21415"/>
  <c r="AC27" i="21424"/>
  <c r="AC26" i="21430"/>
  <c r="AT94" i="21426"/>
  <c r="AC12" i="21415"/>
  <c r="AC94" i="21426" s="1"/>
  <c r="AQ4" i="21422"/>
  <c r="AC225" i="21416"/>
  <c r="AB24" i="21425"/>
  <c r="AC13" i="21424"/>
  <c r="AT110" i="21430"/>
  <c r="AC27" i="21436"/>
  <c r="AC33" i="21436"/>
  <c r="AC224" i="108"/>
  <c r="AC106" i="21430"/>
  <c r="AC6" i="21417" s="1"/>
  <c r="AT6" i="21417"/>
  <c r="AT63" i="21422"/>
  <c r="AC45" i="21423"/>
  <c r="AT143" i="21424"/>
  <c r="AC22" i="21428"/>
  <c r="AC143" i="21424" s="1"/>
  <c r="AC23" i="21427"/>
  <c r="AQ4" i="21420"/>
  <c r="AQ348" i="21416"/>
  <c r="AT5" i="21414"/>
  <c r="AC36" i="21428"/>
  <c r="AC41" i="21436"/>
  <c r="AQ64" i="21422"/>
  <c r="AC37" i="21423"/>
  <c r="E71" i="21409"/>
  <c r="AC91" i="21424"/>
  <c r="AC69" i="21435"/>
  <c r="AC86" i="21428"/>
  <c r="AC69" i="21424"/>
  <c r="AC6" i="21430"/>
  <c r="AC127" i="21423" s="1"/>
  <c r="AT127" i="21423"/>
  <c r="AT43" i="21410"/>
  <c r="AT39" i="21412"/>
  <c r="AC148" i="21415"/>
  <c r="AT55" i="21399"/>
  <c r="AC266" i="21415"/>
  <c r="E272" i="21409"/>
  <c r="AC43" i="21427"/>
  <c r="AC45" i="21414"/>
  <c r="E274" i="21409"/>
  <c r="AC94" i="21430"/>
  <c r="AC74" i="21428"/>
  <c r="AB32" i="21425"/>
  <c r="E268" i="21409"/>
  <c r="E304" i="21409"/>
  <c r="AC49" i="21400"/>
  <c r="AB18" i="21425"/>
  <c r="AC57" i="21436"/>
  <c r="AC37" i="21414"/>
  <c r="AC8" i="21430"/>
  <c r="AC129" i="21423" s="1"/>
  <c r="AT129" i="21423"/>
  <c r="AC70" i="21428"/>
  <c r="E99" i="21409"/>
  <c r="E43" i="21409"/>
  <c r="AC23" i="21436"/>
  <c r="AC292" i="108"/>
  <c r="AQ40" i="21421"/>
  <c r="AC95" i="21423"/>
  <c r="AQ32" i="21411"/>
  <c r="AC6" i="21415"/>
  <c r="AT88" i="21426"/>
  <c r="AC273" i="21416"/>
  <c r="AC93" i="21424"/>
  <c r="AC19" i="21429"/>
  <c r="AQ58" i="21399"/>
  <c r="AT9" i="21420"/>
  <c r="AT353" i="21416"/>
  <c r="E214" i="21409"/>
  <c r="AC81" i="21423"/>
  <c r="AT41" i="21421"/>
  <c r="AC239" i="21416"/>
  <c r="AC27" i="21400"/>
  <c r="AC272" i="108"/>
  <c r="AC68" i="21429"/>
  <c r="AC55" i="21423"/>
  <c r="AT91" i="21435"/>
  <c r="AC287" i="21416"/>
  <c r="AC65" i="21427"/>
  <c r="AT50" i="21419"/>
  <c r="E68" i="21409"/>
  <c r="E324" i="21409"/>
  <c r="AQ63" i="21419"/>
  <c r="AC37" i="21436"/>
  <c r="AC113" i="21423"/>
  <c r="AC19" i="21414"/>
  <c r="AT4" i="21418"/>
  <c r="AQ36" i="21420"/>
  <c r="E80" i="21409"/>
  <c r="AQ8" i="21422"/>
  <c r="AQ4" i="21421" s="1"/>
  <c r="AC119" i="21424"/>
  <c r="E40" i="21409"/>
  <c r="AC75" i="21436"/>
  <c r="AC33" i="21414"/>
  <c r="AC180" i="21415"/>
  <c r="AC47" i="21400"/>
  <c r="AC28" i="21430"/>
  <c r="AQ89" i="21426"/>
  <c r="AB36" i="21425"/>
  <c r="AC263" i="21416"/>
  <c r="AC47" i="21423"/>
  <c r="AC105" i="21423"/>
  <c r="AC77" i="21436"/>
  <c r="E89" i="21409"/>
  <c r="AC12" i="21426"/>
  <c r="AC95" i="21436" s="1"/>
  <c r="AT95" i="21436"/>
  <c r="AC277" i="21416"/>
  <c r="AC157" i="21416"/>
  <c r="AC63" i="21435"/>
  <c r="AC123" i="21424"/>
  <c r="AC13" i="21400"/>
  <c r="E154" i="21409"/>
  <c r="AC270" i="21417"/>
  <c r="AC59" i="21435"/>
  <c r="AC58" i="21426"/>
  <c r="E303" i="21409"/>
  <c r="AC69" i="21423"/>
  <c r="AQ128" i="21423"/>
  <c r="AC28" i="21426"/>
  <c r="AC15" i="21414"/>
  <c r="AC220" i="21398"/>
  <c r="AQ8" i="21421"/>
  <c r="AQ345" i="21417"/>
  <c r="AC47" i="21435"/>
  <c r="AC46" i="21430"/>
  <c r="E159" i="21409"/>
  <c r="AT346" i="21415"/>
  <c r="AC285" i="21416"/>
  <c r="E102" i="21409"/>
  <c r="AC103" i="21424"/>
  <c r="AC75" i="21435"/>
  <c r="AQ130" i="21424"/>
  <c r="AC10" i="21430"/>
  <c r="AC131" i="21423" s="1"/>
  <c r="AT131" i="21423"/>
  <c r="E94" i="21409"/>
  <c r="AC14" i="21415"/>
  <c r="AC231" i="21416"/>
  <c r="AC70" i="21430"/>
  <c r="AC70" i="21426"/>
  <c r="AC39" i="21436"/>
  <c r="AC21" i="21424"/>
  <c r="AC47" i="21414"/>
  <c r="AC34" i="21430"/>
  <c r="AQ134" i="21424"/>
  <c r="AC223" i="21416"/>
  <c r="AC67" i="21436"/>
  <c r="AC104" i="21430"/>
  <c r="AC4" i="21417" s="1"/>
  <c r="AT4" i="21417"/>
  <c r="AB40" i="21425"/>
  <c r="AQ44" i="21410"/>
  <c r="AQ40" i="21412"/>
  <c r="AQ6" i="21399"/>
  <c r="AC197" i="21416"/>
  <c r="AC57" i="21424"/>
  <c r="AT42" i="21418"/>
  <c r="AT9" i="21421"/>
  <c r="AC41" i="21424"/>
  <c r="AC13" i="21436"/>
  <c r="AC257" i="21416"/>
  <c r="AC79" i="21435"/>
  <c r="AC80" i="21429"/>
  <c r="AC65" i="21435"/>
  <c r="AC59" i="21424"/>
  <c r="AC39" i="21414"/>
  <c r="E256" i="21409"/>
  <c r="V7" i="21408"/>
  <c r="AC66" i="21426"/>
  <c r="AC45" i="21435"/>
  <c r="E223" i="21409"/>
  <c r="E301" i="21409"/>
  <c r="AC77" i="21435"/>
  <c r="AC21" i="21427"/>
  <c r="AQ106" i="21433"/>
  <c r="AC9" i="21429"/>
  <c r="AT8" i="21417"/>
  <c r="AC108" i="21430"/>
  <c r="AC8" i="21417" s="1"/>
  <c r="AC44" i="21428"/>
  <c r="E321" i="21409"/>
  <c r="AC42" i="21428"/>
  <c r="AQ62" i="21422"/>
  <c r="E318" i="21409"/>
  <c r="AC286" i="21415"/>
  <c r="AC269" i="21416"/>
  <c r="AC153" i="21416"/>
  <c r="AC95" i="21424"/>
  <c r="AC166" i="21415"/>
  <c r="AC29" i="21435"/>
  <c r="J124" i="21408" s="1"/>
  <c r="AC35" i="21436"/>
  <c r="AT139" i="21424"/>
  <c r="AC85" i="21423"/>
  <c r="AQ62" i="21399"/>
  <c r="AQ59" i="21419"/>
  <c r="AC268" i="21415"/>
  <c r="AC55" i="21435"/>
  <c r="E315" i="21409"/>
  <c r="AT345" i="21416"/>
  <c r="E270" i="21409"/>
  <c r="AC48" i="21426"/>
  <c r="AQ36" i="21412"/>
  <c r="AC42" i="21429"/>
  <c r="AT35" i="21412"/>
  <c r="AB66" i="21425"/>
  <c r="AC60" i="21429"/>
  <c r="AQ60" i="21422"/>
  <c r="AC23" i="21400"/>
  <c r="AQ88" i="21436"/>
  <c r="AC47" i="21427"/>
  <c r="E207" i="21409"/>
  <c r="AC220" i="108"/>
  <c r="AT35" i="21421"/>
  <c r="AT37" i="21420"/>
  <c r="AT89" i="21435"/>
  <c r="AB6" i="21425"/>
  <c r="AB30" i="21425"/>
  <c r="AC272" i="21417"/>
  <c r="AQ10" i="21420"/>
  <c r="AQ354" i="21416"/>
  <c r="AC67" i="21435"/>
  <c r="AC83" i="21423"/>
  <c r="AC19" i="21436"/>
  <c r="AC56" i="21430"/>
  <c r="E316" i="21409"/>
  <c r="AT37" i="21421"/>
  <c r="AB72" i="21425"/>
  <c r="AC84" i="21428"/>
  <c r="AQ57" i="21419"/>
  <c r="AQ6" i="21420"/>
  <c r="AQ350" i="21416"/>
  <c r="AT55" i="21422"/>
  <c r="AQ5" i="21417"/>
  <c r="AC222" i="21415"/>
  <c r="AC44" i="21426"/>
  <c r="AC240" i="21415"/>
  <c r="AC11" i="21429"/>
  <c r="AC109" i="21424"/>
  <c r="AC50" i="21429"/>
  <c r="AC34" i="21429"/>
  <c r="AQ43" i="21418"/>
  <c r="AT41" i="21412"/>
  <c r="AT7" i="21422"/>
  <c r="AC152" i="21415"/>
  <c r="R20" i="21402" s="1"/>
  <c r="AC68" i="21428"/>
  <c r="AB60" i="21425"/>
  <c r="AC43" i="21423"/>
  <c r="AQ142" i="21424"/>
  <c r="E228" i="21409"/>
  <c r="AC51" i="21424"/>
  <c r="I104" i="21408" s="1"/>
  <c r="AT59" i="21399"/>
  <c r="AC35" i="21423"/>
  <c r="AT116" i="21428"/>
  <c r="AQ28" i="21411"/>
  <c r="AC93" i="21423"/>
  <c r="AC53" i="21424"/>
  <c r="AC296" i="21415"/>
  <c r="AT61" i="21399"/>
  <c r="AT58" i="21419"/>
  <c r="AQ7" i="21417"/>
  <c r="AQ111" i="21430"/>
  <c r="AC167" i="21416"/>
  <c r="AB78" i="21425"/>
  <c r="AQ4" i="21399"/>
  <c r="E53" i="21409"/>
  <c r="AC179" i="21416"/>
  <c r="AC85" i="21436"/>
  <c r="AB26" i="21425"/>
  <c r="E210" i="21409"/>
  <c r="I184" i="21408"/>
  <c r="AM61" i="21408"/>
  <c r="AM102" i="21408"/>
  <c r="I62" i="21408"/>
  <c r="G18" i="21402"/>
  <c r="I27" i="21408"/>
  <c r="G26" i="21407"/>
  <c r="I15" i="21408"/>
  <c r="J153" i="3"/>
  <c r="C156" i="3"/>
  <c r="C7" i="21414"/>
  <c r="C5" i="21400"/>
  <c r="G38" i="21402"/>
  <c r="I44" i="21408"/>
  <c r="I10" i="21408"/>
  <c r="I287" i="21408"/>
  <c r="I256" i="21408"/>
  <c r="G31" i="21407"/>
  <c r="AJ116" i="21408"/>
  <c r="AJ19" i="21408"/>
  <c r="AJ107" i="21408"/>
  <c r="AJ87" i="21408"/>
  <c r="O50" i="21407"/>
  <c r="S350" i="21408"/>
  <c r="S132" i="21408"/>
  <c r="S220" i="21408"/>
  <c r="Q57" i="21402"/>
  <c r="S93" i="21408"/>
  <c r="Q5" i="21402"/>
  <c r="S238" i="21408"/>
  <c r="S7" i="21408"/>
  <c r="S251" i="21408"/>
  <c r="S223" i="21408"/>
  <c r="S228" i="21408"/>
  <c r="O58" i="21407"/>
  <c r="S168" i="21408"/>
  <c r="S158" i="21408"/>
  <c r="S114" i="21408"/>
  <c r="S346" i="21408"/>
  <c r="S90" i="21408"/>
  <c r="S79" i="21408"/>
  <c r="S139" i="21408"/>
  <c r="S47" i="21408"/>
  <c r="S87" i="21408"/>
  <c r="S23" i="21408"/>
  <c r="S103" i="21408"/>
  <c r="S135" i="21408"/>
  <c r="S216" i="21408"/>
  <c r="S54" i="21408"/>
  <c r="S150" i="21408"/>
  <c r="S159" i="21408"/>
  <c r="S211" i="21408"/>
  <c r="S110" i="21408"/>
  <c r="S71" i="21408"/>
  <c r="S187" i="21408"/>
  <c r="S188" i="21408" s="1"/>
  <c r="S222" i="21408"/>
  <c r="Q20" i="21402"/>
  <c r="S34" i="21408"/>
  <c r="Q42" i="21402"/>
  <c r="S25" i="21408"/>
  <c r="S107" i="21408"/>
  <c r="S256" i="21408"/>
  <c r="O60" i="21407"/>
  <c r="S141" i="21408"/>
  <c r="S210" i="21408"/>
  <c r="S203" i="21408"/>
  <c r="S301" i="21408"/>
  <c r="S291" i="21408"/>
  <c r="O32" i="21407"/>
  <c r="Q3" i="21402"/>
  <c r="S237" i="21408"/>
  <c r="S173" i="21408"/>
  <c r="Q58" i="21402"/>
  <c r="Q18" i="21402"/>
  <c r="S9" i="21408"/>
  <c r="Q38" i="21402"/>
  <c r="S171" i="21408"/>
  <c r="S123" i="21408"/>
  <c r="S253" i="21408"/>
  <c r="S152" i="21408"/>
  <c r="S57" i="21408"/>
  <c r="S154" i="21408"/>
  <c r="S20" i="21408"/>
  <c r="S255" i="21408"/>
  <c r="Q19" i="21402"/>
  <c r="Q61" i="21402"/>
  <c r="S245" i="21408"/>
  <c r="O28" i="21407" s="1"/>
  <c r="S16" i="21408"/>
  <c r="S94" i="21408"/>
  <c r="S5" i="21408"/>
  <c r="S207" i="21408"/>
  <c r="S97" i="21408"/>
  <c r="S130" i="21408"/>
  <c r="Q71" i="21402"/>
  <c r="Q25" i="21402"/>
  <c r="S49" i="21408"/>
  <c r="S55" i="21408"/>
  <c r="S67" i="21408"/>
  <c r="S19" i="21408"/>
  <c r="S69" i="21408"/>
  <c r="S28" i="21408"/>
  <c r="S85" i="21408"/>
  <c r="S82" i="21408"/>
  <c r="S185" i="21408"/>
  <c r="S118" i="21408"/>
  <c r="S76" i="21408"/>
  <c r="S137" i="21408"/>
  <c r="O26" i="21407"/>
  <c r="O6" i="21407"/>
  <c r="Q36" i="21402"/>
  <c r="S165" i="21408"/>
  <c r="S254" i="21408"/>
  <c r="O44" i="21407"/>
  <c r="S77" i="21408"/>
  <c r="S192" i="21408"/>
  <c r="S151" i="21408"/>
  <c r="S8" i="21408"/>
  <c r="S287" i="21408"/>
  <c r="S172" i="21408"/>
  <c r="S92" i="21408"/>
  <c r="S73" i="21408"/>
  <c r="O59" i="21407"/>
  <c r="S224" i="21408"/>
  <c r="S258" i="21408"/>
  <c r="Q56" i="21402"/>
  <c r="O47" i="21407"/>
  <c r="O38" i="21407"/>
  <c r="S184" i="21408"/>
  <c r="S218" i="21408"/>
  <c r="O15" i="21407"/>
  <c r="O30" i="21407"/>
  <c r="Q21" i="21402"/>
  <c r="S115" i="21408"/>
  <c r="S182" i="21408"/>
  <c r="Q33" i="21402"/>
  <c r="S101" i="21408"/>
  <c r="S72" i="21408"/>
  <c r="S219" i="21408"/>
  <c r="S260" i="21408"/>
  <c r="S108" i="21408"/>
  <c r="O34" i="21407"/>
  <c r="S89" i="21408"/>
  <c r="S304" i="21408"/>
  <c r="S205" i="21408"/>
  <c r="Q40" i="21402"/>
  <c r="S10" i="21408"/>
  <c r="O31" i="21407"/>
  <c r="S169" i="21408"/>
  <c r="S18" i="21408"/>
  <c r="O9" i="21407"/>
  <c r="Q67" i="21402"/>
  <c r="S148" i="21408"/>
  <c r="S202" i="21408"/>
  <c r="S215" i="21408"/>
  <c r="O54" i="21407"/>
  <c r="S177" i="21408"/>
  <c r="S288" i="21408"/>
  <c r="S13" i="21408"/>
  <c r="S286" i="21408"/>
  <c r="S24" i="21408"/>
  <c r="S44" i="21408"/>
  <c r="S88" i="21408"/>
  <c r="S212" i="21408"/>
  <c r="Q34" i="21402"/>
  <c r="S75" i="21408"/>
  <c r="F59" i="21407"/>
  <c r="H217" i="21408"/>
  <c r="F23" i="21402"/>
  <c r="H127" i="21408"/>
  <c r="F20" i="21407"/>
  <c r="H223" i="21408"/>
  <c r="H99" i="21408"/>
  <c r="H85" i="21408"/>
  <c r="H107" i="21408"/>
  <c r="H290" i="21408"/>
  <c r="F18" i="21402"/>
  <c r="H74" i="21408"/>
  <c r="H179" i="21408"/>
  <c r="H160" i="21408"/>
  <c r="F41" i="21407"/>
  <c r="H14" i="21408"/>
  <c r="H207" i="21408"/>
  <c r="H192" i="21408"/>
  <c r="H154" i="21408"/>
  <c r="F12" i="21407"/>
  <c r="F52" i="21402"/>
  <c r="F43" i="21402"/>
  <c r="H140" i="21408"/>
  <c r="F69" i="21402"/>
  <c r="H151" i="21408"/>
  <c r="H258" i="21408"/>
  <c r="F68" i="21402"/>
  <c r="H184" i="21408"/>
  <c r="H117" i="21408"/>
  <c r="F41" i="21402"/>
  <c r="H252" i="21408"/>
  <c r="H247" i="21408"/>
  <c r="H86" i="21408"/>
  <c r="H122" i="21408"/>
  <c r="H202" i="21408"/>
  <c r="F59" i="21402"/>
  <c r="F15" i="21407"/>
  <c r="H9" i="21408"/>
  <c r="G83" i="21408"/>
  <c r="H33" i="21408"/>
  <c r="H143" i="21408"/>
  <c r="H173" i="21408"/>
  <c r="H44" i="21408"/>
  <c r="H10" i="21408"/>
  <c r="H92" i="21408"/>
  <c r="H45" i="21408"/>
  <c r="H138" i="21408"/>
  <c r="H249" i="21408"/>
  <c r="H139" i="21408"/>
  <c r="F55" i="21402"/>
  <c r="H303" i="21408"/>
  <c r="H135" i="21408"/>
  <c r="H255" i="21408"/>
  <c r="H224" i="21408"/>
  <c r="H102" i="21408"/>
  <c r="F19" i="21402"/>
  <c r="H237" i="21408"/>
  <c r="H13" i="21408"/>
  <c r="H134" i="21408"/>
  <c r="H169" i="21408"/>
  <c r="F44" i="21407"/>
  <c r="F54" i="21407"/>
  <c r="H100" i="21408"/>
  <c r="F22" i="21402"/>
  <c r="H167" i="21408"/>
  <c r="H245" i="21408"/>
  <c r="F28" i="21407" s="1"/>
  <c r="H75" i="21408"/>
  <c r="F54" i="21402"/>
  <c r="F10" i="21407"/>
  <c r="F72" i="21402"/>
  <c r="H150" i="21408"/>
  <c r="F58" i="21402"/>
  <c r="F50" i="21402"/>
  <c r="F50" i="21407"/>
  <c r="H80" i="21408"/>
  <c r="F5" i="21402"/>
  <c r="H228" i="21408"/>
  <c r="F60" i="21402"/>
  <c r="H161" i="21408"/>
  <c r="F5" i="21407"/>
  <c r="H157" i="21408"/>
  <c r="H259" i="21408"/>
  <c r="H111" i="21408"/>
  <c r="H177" i="21408"/>
  <c r="H11" i="21408"/>
  <c r="H185" i="21408"/>
  <c r="H101" i="21408"/>
  <c r="H141" i="21408"/>
  <c r="H112" i="21408"/>
  <c r="H170" i="21408"/>
  <c r="H95" i="21408"/>
  <c r="H64" i="21408"/>
  <c r="F42" i="21402"/>
  <c r="H205" i="21408"/>
  <c r="H20" i="21408"/>
  <c r="H146" i="21408"/>
  <c r="F57" i="21407"/>
  <c r="H103" i="21408"/>
  <c r="F56" i="21402"/>
  <c r="H79" i="21408"/>
  <c r="H204" i="21408"/>
  <c r="H286" i="21408"/>
  <c r="H208" i="21408"/>
  <c r="H181" i="21408"/>
  <c r="F24" i="21402"/>
  <c r="F20" i="21402"/>
  <c r="H165" i="21408"/>
  <c r="H203" i="21408"/>
  <c r="F16" i="21402"/>
  <c r="H189" i="21408"/>
  <c r="H190" i="21408" s="1"/>
  <c r="H49" i="21408"/>
  <c r="H58" i="21408"/>
  <c r="H191" i="21408"/>
  <c r="H166" i="21408"/>
  <c r="H345" i="21408"/>
  <c r="H231" i="21408"/>
  <c r="H148" i="21408"/>
  <c r="F51" i="21402"/>
  <c r="H182" i="21408"/>
  <c r="H240" i="21408"/>
  <c r="H88" i="21408"/>
  <c r="H114" i="21408"/>
  <c r="F6" i="21402"/>
  <c r="F53" i="21402"/>
  <c r="H119" i="21408"/>
  <c r="H21" i="21408"/>
  <c r="H142" i="21408"/>
  <c r="H31" i="21408"/>
  <c r="H110" i="21408"/>
  <c r="F17" i="21402"/>
  <c r="H132" i="21408"/>
  <c r="F22" i="21407"/>
  <c r="H153" i="21408"/>
  <c r="H187" i="21408"/>
  <c r="H188" i="21408" s="1"/>
  <c r="F8" i="21402"/>
  <c r="F21" i="21407"/>
  <c r="H7" i="21408"/>
  <c r="H18" i="21408"/>
  <c r="H350" i="21408"/>
  <c r="H116" i="21408"/>
  <c r="H250" i="21408"/>
  <c r="H5" i="21408"/>
  <c r="F4" i="21402"/>
  <c r="H12" i="21408"/>
  <c r="H222" i="21408"/>
  <c r="H70" i="21408"/>
  <c r="H219" i="21408"/>
  <c r="F31" i="21407"/>
  <c r="H32" i="21408"/>
  <c r="F53" i="21407"/>
  <c r="F58" i="21407"/>
  <c r="H4" i="21408"/>
  <c r="H48" i="21408"/>
  <c r="H201" i="21408"/>
  <c r="H62" i="21408"/>
  <c r="H206" i="21408"/>
  <c r="F21" i="21402"/>
  <c r="H145" i="21408"/>
  <c r="F37" i="21402"/>
  <c r="H144" i="21408"/>
  <c r="H218" i="21408"/>
  <c r="H65" i="21408"/>
  <c r="H232" i="21408"/>
  <c r="H108" i="21408"/>
  <c r="F49" i="21407"/>
  <c r="F42" i="21407"/>
  <c r="F34" i="21402"/>
  <c r="H25" i="21408"/>
  <c r="H46" i="21408"/>
  <c r="F43" i="21407"/>
  <c r="H109" i="21408"/>
  <c r="F6" i="21407"/>
  <c r="H66" i="21408"/>
  <c r="H251" i="21408"/>
  <c r="H84" i="21408"/>
  <c r="H346" i="21408"/>
  <c r="H77" i="21408"/>
  <c r="H229" i="21408"/>
  <c r="H22" i="21408"/>
  <c r="F32" i="21407"/>
  <c r="H238" i="21408"/>
  <c r="H96" i="21408"/>
  <c r="H63" i="21408"/>
  <c r="H288" i="21408"/>
  <c r="H125" i="21408"/>
  <c r="H246" i="21408"/>
  <c r="F70" i="21402"/>
  <c r="H137" i="21408"/>
  <c r="H126" i="21408"/>
  <c r="F35" i="21402"/>
  <c r="H93" i="21408"/>
  <c r="H220" i="21408"/>
  <c r="F37" i="21407"/>
  <c r="H105" i="21408"/>
  <c r="H55" i="21408"/>
  <c r="H26" i="21408"/>
  <c r="H193" i="21408"/>
  <c r="H67" i="21408"/>
  <c r="H233" i="21408"/>
  <c r="H168" i="21408"/>
  <c r="H152" i="21408"/>
  <c r="H73" i="21408"/>
  <c r="H53" i="21408"/>
  <c r="H163" i="21408"/>
  <c r="H349" i="21408"/>
  <c r="H164" i="21408"/>
  <c r="H76" i="21408"/>
  <c r="H158" i="21408"/>
  <c r="H81" i="21408"/>
  <c r="H30" i="21408"/>
  <c r="H68" i="21408"/>
  <c r="F57" i="21402"/>
  <c r="H344" i="21408"/>
  <c r="F56" i="21407"/>
  <c r="H56" i="21408"/>
  <c r="H294" i="21408"/>
  <c r="H171" i="21408"/>
  <c r="H47" i="21408"/>
  <c r="F26" i="21407"/>
  <c r="H200" i="21408"/>
  <c r="H57" i="21408"/>
  <c r="H97" i="21408"/>
  <c r="F9" i="21407"/>
  <c r="F30" i="21407"/>
  <c r="H215" i="21408"/>
  <c r="H216" i="21408"/>
  <c r="H106" i="21408"/>
  <c r="H28" i="21408"/>
  <c r="H260" i="21408"/>
  <c r="F67" i="21402"/>
  <c r="F8" i="21407"/>
  <c r="H183" i="21408"/>
  <c r="H91" i="21408"/>
  <c r="H343" i="21408"/>
  <c r="H347" i="21408" s="1"/>
  <c r="H210" i="21408"/>
  <c r="H72" i="21408"/>
  <c r="H94" i="21408"/>
  <c r="F71" i="21402"/>
  <c r="F19" i="21407"/>
  <c r="H121" i="21408"/>
  <c r="H211" i="21408"/>
  <c r="H213" i="21408"/>
  <c r="H123" i="21408"/>
  <c r="H16" i="21408"/>
  <c r="F9" i="21402"/>
  <c r="H71" i="21408"/>
  <c r="F36" i="21402"/>
  <c r="H155" i="21408"/>
  <c r="H87" i="21408"/>
  <c r="H23" i="21408"/>
  <c r="F24" i="21407"/>
  <c r="H156" i="21408"/>
  <c r="H52" i="21408"/>
  <c r="F10" i="21402"/>
  <c r="F32" i="21402"/>
  <c r="H115" i="21408"/>
  <c r="H120" i="21408"/>
  <c r="F49" i="21402"/>
  <c r="H212" i="21408"/>
  <c r="F40" i="21402"/>
  <c r="H172" i="21408"/>
  <c r="H19" i="21408"/>
  <c r="F33" i="21402"/>
  <c r="H301" i="21408"/>
  <c r="H8" i="21408"/>
  <c r="H356" i="21408"/>
  <c r="F15" i="21402"/>
  <c r="H60" i="21408"/>
  <c r="H59" i="21408"/>
  <c r="F25" i="21402"/>
  <c r="F46" i="21407"/>
  <c r="H178" i="21408"/>
  <c r="F38" i="21402"/>
  <c r="H227" i="21408"/>
  <c r="H15" i="21408"/>
  <c r="H61" i="21408"/>
  <c r="F40" i="21407"/>
  <c r="H133" i="21408"/>
  <c r="H159" i="21408"/>
  <c r="F38" i="21407"/>
  <c r="H226" i="21408"/>
  <c r="H128" i="21408"/>
  <c r="H256" i="21408"/>
  <c r="H221" i="21408"/>
  <c r="H51" i="21408"/>
  <c r="H104" i="21408"/>
  <c r="H131" i="21408"/>
  <c r="F60" i="21407"/>
  <c r="H287" i="21408"/>
  <c r="F26" i="21402"/>
  <c r="F4" i="21407"/>
  <c r="H289" i="21408"/>
  <c r="H257" i="21408"/>
  <c r="H24" i="21408"/>
  <c r="H82" i="21408"/>
  <c r="H34" i="21408"/>
  <c r="F47" i="21407"/>
  <c r="H351" i="21408"/>
  <c r="H90" i="21408"/>
  <c r="H180" i="21408"/>
  <c r="H147" i="21408"/>
  <c r="H253" i="21408"/>
  <c r="F16" i="21407"/>
  <c r="H54" i="21408"/>
  <c r="H27" i="21408"/>
  <c r="H17" i="21408"/>
  <c r="H136" i="21408"/>
  <c r="H113" i="21408"/>
  <c r="H248" i="21408"/>
  <c r="H162" i="21408"/>
  <c r="H118" i="21408"/>
  <c r="H98" i="21408"/>
  <c r="H130" i="21408"/>
  <c r="H50" i="21408"/>
  <c r="F14" i="21407"/>
  <c r="H174" i="21408"/>
  <c r="H6" i="21408"/>
  <c r="H254" i="21408"/>
  <c r="H89" i="21408"/>
  <c r="H300" i="21408"/>
  <c r="H124" i="21408"/>
  <c r="F3" i="21402"/>
  <c r="F36" i="21407"/>
  <c r="H304" i="21408"/>
  <c r="H225" i="21408"/>
  <c r="H149" i="21408"/>
  <c r="H186" i="21408"/>
  <c r="H69" i="21408"/>
  <c r="F55" i="21407"/>
  <c r="F51" i="21407"/>
  <c r="K189" i="21408"/>
  <c r="K190" i="21408" s="1"/>
  <c r="I25" i="21402"/>
  <c r="K258" i="21408"/>
  <c r="K154" i="21408"/>
  <c r="K187" i="21408"/>
  <c r="K188" i="21408" s="1"/>
  <c r="K250" i="21408"/>
  <c r="I18" i="21402"/>
  <c r="K152" i="21408"/>
  <c r="K260" i="21408"/>
  <c r="K124" i="21408"/>
  <c r="K240" i="21408"/>
  <c r="K171" i="21408"/>
  <c r="K53" i="21408"/>
  <c r="K254" i="21408"/>
  <c r="K210" i="21408"/>
  <c r="K140" i="21408"/>
  <c r="K127" i="21408"/>
  <c r="K164" i="21408"/>
  <c r="K33" i="21408"/>
  <c r="K100" i="21408"/>
  <c r="K18" i="21408"/>
  <c r="K88" i="21408"/>
  <c r="K286" i="21408"/>
  <c r="K112" i="21408"/>
  <c r="K119" i="21408"/>
  <c r="K294" i="21408"/>
  <c r="K202" i="21408"/>
  <c r="K29" i="21408"/>
  <c r="K247" i="21408"/>
  <c r="K79" i="21408"/>
  <c r="K51" i="21408"/>
  <c r="I57" i="21402"/>
  <c r="K48" i="21408"/>
  <c r="K160" i="21408"/>
  <c r="K65" i="21408"/>
  <c r="K205" i="21408"/>
  <c r="I17" i="21402"/>
  <c r="I49" i="21402"/>
  <c r="K106" i="21408"/>
  <c r="K109" i="21408"/>
  <c r="I20" i="21402"/>
  <c r="K55" i="21408"/>
  <c r="K163" i="21408"/>
  <c r="J245" i="21408"/>
  <c r="J51" i="21408"/>
  <c r="J165" i="21408"/>
  <c r="J187" i="21408"/>
  <c r="J188" i="21408" s="1"/>
  <c r="J50" i="21408"/>
  <c r="L113" i="21408"/>
  <c r="L22" i="21408"/>
  <c r="L192" i="21408"/>
  <c r="L124" i="21408"/>
  <c r="L106" i="21408"/>
  <c r="H50" i="21407"/>
  <c r="L5" i="21408"/>
  <c r="L186" i="21408"/>
  <c r="J18" i="21402"/>
  <c r="L12" i="21408"/>
  <c r="H37" i="21407"/>
  <c r="H16" i="21407"/>
  <c r="L258" i="21408"/>
  <c r="J72" i="21402"/>
  <c r="H9" i="21407"/>
  <c r="H43" i="21407"/>
  <c r="K83" i="21408"/>
  <c r="L259" i="21408"/>
  <c r="L180" i="21408"/>
  <c r="L287" i="21408"/>
  <c r="L59" i="21408"/>
  <c r="H57" i="21407"/>
  <c r="H46" i="21407"/>
  <c r="L253" i="21408"/>
  <c r="J19" i="21402"/>
  <c r="L54" i="21408"/>
  <c r="L82" i="21408"/>
  <c r="J56" i="21402"/>
  <c r="L224" i="21408"/>
  <c r="H47" i="21407"/>
  <c r="L84" i="21408"/>
  <c r="L105" i="21408"/>
  <c r="L228" i="21408"/>
  <c r="L168" i="21408"/>
  <c r="L101" i="21408"/>
  <c r="L260" i="21408"/>
  <c r="H44" i="21407"/>
  <c r="L133" i="21408"/>
  <c r="L57" i="21408"/>
  <c r="L78" i="21408"/>
  <c r="L46" i="21408"/>
  <c r="L204" i="21408"/>
  <c r="H21" i="21407"/>
  <c r="H5" i="21407"/>
  <c r="J24" i="21402"/>
  <c r="L217" i="21408"/>
  <c r="L178" i="21408"/>
  <c r="L150" i="21408"/>
  <c r="L75" i="21408"/>
  <c r="L14" i="21408"/>
  <c r="L130" i="21408"/>
  <c r="L218" i="21408"/>
  <c r="L247" i="21408"/>
  <c r="J55" i="21402"/>
  <c r="L127" i="21408"/>
  <c r="H19" i="21407"/>
  <c r="H14" i="21407"/>
  <c r="L156" i="21408"/>
  <c r="L69" i="21408"/>
  <c r="L112" i="21408"/>
  <c r="L181" i="21408"/>
  <c r="L111" i="21408"/>
  <c r="J52" i="21402"/>
  <c r="L205" i="21408"/>
  <c r="L344" i="21408"/>
  <c r="J69" i="21402"/>
  <c r="L8" i="21408"/>
  <c r="AL147" i="21408"/>
  <c r="AL85" i="21408"/>
  <c r="I56" i="21408"/>
  <c r="I71" i="21408"/>
  <c r="I135" i="21408"/>
  <c r="I181" i="21408"/>
  <c r="I223" i="21408"/>
  <c r="I116" i="21408"/>
  <c r="I228" i="21408"/>
  <c r="I98" i="21408"/>
  <c r="G39" i="21402"/>
  <c r="G43" i="21407"/>
  <c r="I300" i="21408"/>
  <c r="I219" i="21408"/>
  <c r="G60" i="21402"/>
  <c r="I208" i="21408"/>
  <c r="I123" i="21408"/>
  <c r="I178" i="21408"/>
  <c r="I255" i="21408"/>
  <c r="I166" i="21408"/>
  <c r="G21" i="21407"/>
  <c r="I240" i="21408"/>
  <c r="G57" i="21402"/>
  <c r="I157" i="21408"/>
  <c r="G8" i="21402"/>
  <c r="G23" i="21402"/>
  <c r="I259" i="21408"/>
  <c r="I138" i="21408"/>
  <c r="I128" i="21408"/>
  <c r="G52" i="21402"/>
  <c r="I218" i="21408"/>
  <c r="I168" i="21408"/>
  <c r="I291" i="21408"/>
  <c r="I131" i="21408"/>
  <c r="I189" i="21408"/>
  <c r="I190" i="21408" s="1"/>
  <c r="G20" i="21402"/>
  <c r="I192" i="21408"/>
  <c r="I152" i="21408"/>
  <c r="I125" i="21408"/>
  <c r="G55" i="21402"/>
  <c r="I134" i="21408"/>
  <c r="G37" i="21402"/>
  <c r="I226" i="21408"/>
  <c r="I200" i="21408"/>
  <c r="I246" i="21408"/>
  <c r="I290" i="21408"/>
  <c r="I113" i="21408"/>
  <c r="G51" i="21402"/>
  <c r="G36" i="21407"/>
  <c r="G47" i="21407"/>
  <c r="I91" i="21408"/>
  <c r="I7" i="21408"/>
  <c r="I303" i="21408"/>
  <c r="I215" i="21408"/>
  <c r="I21" i="21408"/>
  <c r="G5" i="21402"/>
  <c r="I14" i="21408"/>
  <c r="I132" i="21408"/>
  <c r="G4" i="21402"/>
  <c r="G8" i="21407"/>
  <c r="G59" i="21402"/>
  <c r="I252" i="21408"/>
  <c r="G9" i="21407"/>
  <c r="I33" i="21408"/>
  <c r="G56" i="21402"/>
  <c r="G19" i="21407"/>
  <c r="I17" i="21408"/>
  <c r="G72" i="21402"/>
  <c r="J40" i="21402"/>
  <c r="H36" i="21407"/>
  <c r="L249" i="21408"/>
  <c r="J68" i="21402"/>
  <c r="L94" i="21408"/>
  <c r="J36" i="21402"/>
  <c r="L350" i="21408"/>
  <c r="L162" i="21408"/>
  <c r="L219" i="21408"/>
  <c r="L19" i="21408"/>
  <c r="L160" i="21408"/>
  <c r="H22" i="21407"/>
  <c r="J67" i="21402"/>
  <c r="L237" i="21408"/>
  <c r="L73" i="21408"/>
  <c r="L286" i="21408"/>
  <c r="L67" i="21408"/>
  <c r="L31" i="21408"/>
  <c r="L11" i="21408"/>
  <c r="L141" i="21408"/>
  <c r="L153" i="21408"/>
  <c r="J20" i="21402"/>
  <c r="L174" i="21408"/>
  <c r="L110" i="21408"/>
  <c r="H26" i="21407"/>
  <c r="L16" i="21408"/>
  <c r="J15" i="21402"/>
  <c r="L191" i="21408"/>
  <c r="L166" i="21408"/>
  <c r="L233" i="21408"/>
  <c r="L177" i="21408"/>
  <c r="L301" i="21408"/>
  <c r="L182" i="21408"/>
  <c r="L30" i="21408"/>
  <c r="L87" i="21408"/>
  <c r="H24" i="21407"/>
  <c r="L189" i="21408"/>
  <c r="L190" i="21408" s="1"/>
  <c r="J3" i="21402"/>
  <c r="L32" i="21408"/>
  <c r="L343" i="21408"/>
  <c r="L347" i="21408" s="1"/>
  <c r="L28" i="21408"/>
  <c r="L289" i="21408"/>
  <c r="L137" i="21408"/>
  <c r="H4" i="21407"/>
  <c r="H51" i="21407"/>
  <c r="L167" i="21408"/>
  <c r="L24" i="21408"/>
  <c r="L27" i="21408"/>
  <c r="J54" i="21402"/>
  <c r="L72" i="21408"/>
  <c r="J53" i="21402"/>
  <c r="J6" i="21402"/>
  <c r="L161" i="21408"/>
  <c r="J22" i="21402"/>
  <c r="J25" i="21402"/>
  <c r="H38" i="21407"/>
  <c r="J70" i="21402"/>
  <c r="L104" i="21408"/>
  <c r="L212" i="21408"/>
  <c r="L187" i="21408"/>
  <c r="L188" i="21408" s="1"/>
  <c r="J16" i="21402"/>
  <c r="L119" i="21408"/>
  <c r="L97" i="21408"/>
  <c r="L251" i="21408"/>
  <c r="L245" i="21408"/>
  <c r="H28" i="21407" s="1"/>
  <c r="J21" i="21402"/>
  <c r="L102" i="21408"/>
  <c r="L226" i="21408"/>
  <c r="K15" i="21408"/>
  <c r="K138" i="21408"/>
  <c r="I3" i="21402"/>
  <c r="K219" i="21408"/>
  <c r="K137" i="21408"/>
  <c r="K253" i="21408"/>
  <c r="I24" i="21402"/>
  <c r="K346" i="21408"/>
  <c r="K59" i="21408"/>
  <c r="K149" i="21408"/>
  <c r="I55" i="21402"/>
  <c r="K34" i="21408"/>
  <c r="I54" i="21402"/>
  <c r="K86" i="21408"/>
  <c r="K6" i="21408"/>
  <c r="K52" i="21408"/>
  <c r="K181" i="21408"/>
  <c r="K183" i="21408"/>
  <c r="K31" i="21408"/>
  <c r="K123" i="21408"/>
  <c r="K72" i="21408"/>
  <c r="K257" i="21408"/>
  <c r="K56" i="21408"/>
  <c r="K57" i="21408"/>
  <c r="K82" i="21408"/>
  <c r="K288" i="21408"/>
  <c r="K217" i="21408"/>
  <c r="I53" i="21402"/>
  <c r="K207" i="21408"/>
  <c r="K49" i="21408"/>
  <c r="K108" i="21408"/>
  <c r="I35" i="21402"/>
  <c r="K45" i="21408"/>
  <c r="K121" i="21408"/>
  <c r="K222" i="21408"/>
  <c r="K115" i="21408"/>
  <c r="K32" i="21408"/>
  <c r="K89" i="21408"/>
  <c r="K161" i="21408"/>
  <c r="K150" i="21408"/>
  <c r="K69" i="21408"/>
  <c r="I43" i="21402"/>
  <c r="K255" i="21408"/>
  <c r="I67" i="21402"/>
  <c r="K11" i="21408"/>
  <c r="K63" i="21408"/>
  <c r="K215" i="21408"/>
  <c r="K225" i="21408"/>
  <c r="I16" i="21402"/>
  <c r="K237" i="21408"/>
  <c r="K173" i="21408"/>
  <c r="K102" i="21408"/>
  <c r="K343" i="21408"/>
  <c r="K347" i="21408" s="1"/>
  <c r="K182" i="21408"/>
  <c r="K142" i="21408"/>
  <c r="K128" i="21408"/>
  <c r="I72" i="21402"/>
  <c r="K130" i="21408"/>
  <c r="I50" i="21402"/>
  <c r="K30" i="21408"/>
  <c r="K220" i="21408"/>
  <c r="K289" i="21408"/>
  <c r="I23" i="21402"/>
  <c r="K9" i="21408"/>
  <c r="K301" i="21408"/>
  <c r="K54" i="21408"/>
  <c r="K238" i="21408"/>
  <c r="K126" i="21408"/>
  <c r="I34" i="21402"/>
  <c r="K129" i="21408"/>
  <c r="K110" i="21408"/>
  <c r="K50" i="21408"/>
  <c r="K67" i="21408"/>
  <c r="I5" i="21402"/>
  <c r="K91" i="21408"/>
  <c r="K8" i="21408"/>
  <c r="K64" i="21408"/>
  <c r="K90" i="21408"/>
  <c r="K118" i="21408"/>
  <c r="L24" i="21407"/>
  <c r="P68" i="21408"/>
  <c r="P6" i="21408"/>
  <c r="P250" i="21408"/>
  <c r="P87" i="21408"/>
  <c r="P117" i="21408"/>
  <c r="P159" i="21408"/>
  <c r="N24" i="21402"/>
  <c r="P34" i="21408"/>
  <c r="P253" i="21408"/>
  <c r="N72" i="21402"/>
  <c r="P232" i="21408"/>
  <c r="L40" i="21407"/>
  <c r="P189" i="21408"/>
  <c r="P190" i="21408" s="1"/>
  <c r="L22" i="21407"/>
  <c r="P151" i="21408"/>
  <c r="L51" i="21407"/>
  <c r="P110" i="21408"/>
  <c r="P29" i="21408"/>
  <c r="P84" i="21408"/>
  <c r="N21" i="21402"/>
  <c r="P100" i="21408"/>
  <c r="P213" i="21408"/>
  <c r="P260" i="21408"/>
  <c r="P203" i="21408"/>
  <c r="P230" i="21408"/>
  <c r="N33" i="21402"/>
  <c r="N50" i="21402"/>
  <c r="N67" i="21402"/>
  <c r="P95" i="21408"/>
  <c r="P181" i="21408"/>
  <c r="N40" i="21402"/>
  <c r="P170" i="21408"/>
  <c r="P113" i="21408"/>
  <c r="P72" i="21408"/>
  <c r="P177" i="21408"/>
  <c r="N68" i="21402"/>
  <c r="N70" i="21402"/>
  <c r="P76" i="21408"/>
  <c r="P79" i="21408"/>
  <c r="P257" i="21408"/>
  <c r="P217" i="21408"/>
  <c r="P226" i="21408"/>
  <c r="L57" i="21407"/>
  <c r="P206" i="21408"/>
  <c r="P134" i="21408"/>
  <c r="P344" i="21408"/>
  <c r="N36" i="21402"/>
  <c r="P112" i="21408"/>
  <c r="P59" i="21408"/>
  <c r="P161" i="21408"/>
  <c r="P231" i="21408"/>
  <c r="P182" i="21408"/>
  <c r="P130" i="21408"/>
  <c r="P172" i="21408"/>
  <c r="P254" i="21408"/>
  <c r="P133" i="21408"/>
  <c r="P288" i="21408"/>
  <c r="L43" i="21407"/>
  <c r="P185" i="21408"/>
  <c r="P208" i="21408"/>
  <c r="P96" i="21408"/>
  <c r="P301" i="21408"/>
  <c r="P304" i="21408"/>
  <c r="N23" i="21402"/>
  <c r="P251" i="21408"/>
  <c r="P200" i="21408"/>
  <c r="P187" i="21408"/>
  <c r="P188" i="21408" s="1"/>
  <c r="P8" i="21408"/>
  <c r="P49" i="21408"/>
  <c r="L14" i="21407"/>
  <c r="P167" i="21408"/>
  <c r="P225" i="21408"/>
  <c r="P238" i="21408"/>
  <c r="P63" i="21408"/>
  <c r="P15" i="21408"/>
  <c r="L16" i="21407"/>
  <c r="P164" i="21408"/>
  <c r="P122" i="21408"/>
  <c r="P125" i="21408"/>
  <c r="P155" i="21408"/>
  <c r="P166" i="21408"/>
  <c r="P204" i="21408"/>
  <c r="L20" i="21407"/>
  <c r="P70" i="21408"/>
  <c r="N38" i="21402"/>
  <c r="P300" i="21408"/>
  <c r="L10" i="21407"/>
  <c r="P162" i="21408"/>
  <c r="N10" i="21402"/>
  <c r="P221" i="21408"/>
  <c r="P52" i="21408"/>
  <c r="P259" i="21408"/>
  <c r="P23" i="21408"/>
  <c r="P129" i="21408"/>
  <c r="P286" i="21408"/>
  <c r="P18" i="21408"/>
  <c r="P201" i="21408"/>
  <c r="P160" i="21408"/>
  <c r="P141" i="21408"/>
  <c r="P28" i="21408"/>
  <c r="P50" i="21408"/>
  <c r="N69" i="21402"/>
  <c r="L36" i="21407"/>
  <c r="P255" i="21408"/>
  <c r="P136" i="21408"/>
  <c r="P10" i="21408"/>
  <c r="P71" i="21408"/>
  <c r="P24" i="21408"/>
  <c r="P21" i="21408"/>
  <c r="P90" i="21408"/>
  <c r="P216" i="21408"/>
  <c r="P73" i="21408"/>
  <c r="P46" i="21408"/>
  <c r="L32" i="21407"/>
  <c r="N49" i="21402"/>
  <c r="P5" i="21408"/>
  <c r="P153" i="21408"/>
  <c r="P118" i="21408"/>
  <c r="P61" i="21408"/>
  <c r="N51" i="21402"/>
  <c r="L38" i="21407"/>
  <c r="P294" i="21408"/>
  <c r="P156" i="21408"/>
  <c r="P109" i="21408"/>
  <c r="L26" i="21407"/>
  <c r="L6" i="21407"/>
  <c r="P346" i="21408"/>
  <c r="L44" i="21407"/>
  <c r="N61" i="21402"/>
  <c r="P218" i="21408"/>
  <c r="P54" i="21408"/>
  <c r="N32" i="21402"/>
  <c r="P173" i="21408"/>
  <c r="L60" i="21407"/>
  <c r="N42" i="21402"/>
  <c r="P58" i="21408"/>
  <c r="N16" i="21402"/>
  <c r="P31" i="21408"/>
  <c r="P143" i="21408"/>
  <c r="P205" i="21408"/>
  <c r="P92" i="21408"/>
  <c r="P146" i="21408"/>
  <c r="L50" i="21407"/>
  <c r="P246" i="21408"/>
  <c r="P224" i="21408"/>
  <c r="N17" i="21402"/>
  <c r="P139" i="21408"/>
  <c r="P220" i="21408"/>
  <c r="P124" i="21408"/>
  <c r="P211" i="21408"/>
  <c r="P142" i="21408"/>
  <c r="P149" i="21408"/>
  <c r="N4" i="21402"/>
  <c r="P45" i="21408"/>
  <c r="L59" i="21407"/>
  <c r="P247" i="21408"/>
  <c r="P193" i="21408"/>
  <c r="N5" i="21402"/>
  <c r="P165" i="21408"/>
  <c r="P191" i="21408"/>
  <c r="L34" i="21407"/>
  <c r="P184" i="21408"/>
  <c r="P115" i="21408"/>
  <c r="P145" i="21408"/>
  <c r="N59" i="21402"/>
  <c r="P75" i="21408"/>
  <c r="P103" i="21408"/>
  <c r="P210" i="21408"/>
  <c r="P27" i="21408"/>
  <c r="N26" i="21402"/>
  <c r="P248" i="21408"/>
  <c r="P9" i="21408"/>
  <c r="L15" i="21407"/>
  <c r="P135" i="21408"/>
  <c r="P168" i="21408"/>
  <c r="P16" i="21408"/>
  <c r="P123" i="21408"/>
  <c r="P47" i="21408"/>
  <c r="P258" i="21408"/>
  <c r="O83" i="21408"/>
  <c r="P86" i="21408"/>
  <c r="N71" i="21402"/>
  <c r="P44" i="21408"/>
  <c r="N53" i="21402"/>
  <c r="P99" i="21408"/>
  <c r="L41" i="21407"/>
  <c r="P132" i="21408"/>
  <c r="N41" i="21402"/>
  <c r="P202" i="21408"/>
  <c r="P351" i="21408"/>
  <c r="P186" i="21408"/>
  <c r="P350" i="21408"/>
  <c r="P12" i="21408"/>
  <c r="P349" i="21408"/>
  <c r="P192" i="21408"/>
  <c r="P147" i="21408"/>
  <c r="N37" i="21402"/>
  <c r="P89" i="21408"/>
  <c r="P30" i="21408"/>
  <c r="P233" i="21408"/>
  <c r="P215" i="21408"/>
  <c r="L9" i="21407"/>
  <c r="P65" i="21408"/>
  <c r="P17" i="21408"/>
  <c r="P106" i="21408"/>
  <c r="P4" i="21408"/>
  <c r="N15" i="21402"/>
  <c r="P20" i="21408"/>
  <c r="P249" i="21408"/>
  <c r="P174" i="21408"/>
  <c r="P240" i="21408"/>
  <c r="P69" i="21408"/>
  <c r="P222" i="21408"/>
  <c r="N43" i="21402"/>
  <c r="P178" i="21408"/>
  <c r="P66" i="21408"/>
  <c r="P183" i="21408"/>
  <c r="P51" i="21408"/>
  <c r="P152" i="21408"/>
  <c r="P57" i="21408"/>
  <c r="L42" i="21407"/>
  <c r="P228" i="21408"/>
  <c r="P88" i="21408"/>
  <c r="P245" i="21408"/>
  <c r="L28" i="21407" s="1"/>
  <c r="L47" i="21407"/>
  <c r="P107" i="21408"/>
  <c r="P148" i="21408"/>
  <c r="P93" i="21408"/>
  <c r="P229" i="21408"/>
  <c r="L31" i="21407"/>
  <c r="P55" i="21408"/>
  <c r="P56" i="21408"/>
  <c r="L8" i="21407"/>
  <c r="L49" i="21407"/>
  <c r="P290" i="21408"/>
  <c r="N19" i="21402"/>
  <c r="P80" i="21408"/>
  <c r="N55" i="21402"/>
  <c r="P127" i="21408"/>
  <c r="L21" i="21407"/>
  <c r="N9" i="21402"/>
  <c r="P256" i="21408"/>
  <c r="P108" i="21408"/>
  <c r="N22" i="21402"/>
  <c r="L53" i="21407"/>
  <c r="P33" i="21408"/>
  <c r="P289" i="21408"/>
  <c r="L58" i="21407"/>
  <c r="L46" i="21407"/>
  <c r="N60" i="21402"/>
  <c r="N20" i="21402"/>
  <c r="P14" i="21408"/>
  <c r="P212" i="21408"/>
  <c r="P207" i="21408"/>
  <c r="P343" i="21408"/>
  <c r="P347" i="21408" s="1"/>
  <c r="P77" i="21408"/>
  <c r="P128" i="21408"/>
  <c r="N3" i="21402"/>
  <c r="N6" i="21402"/>
  <c r="L37" i="21407"/>
  <c r="P94" i="21408"/>
  <c r="P154" i="21408"/>
  <c r="P131" i="21408"/>
  <c r="P62" i="21408"/>
  <c r="N39" i="21402"/>
  <c r="P98" i="21408"/>
  <c r="P102" i="21408"/>
  <c r="L55" i="21407"/>
  <c r="P169" i="21408"/>
  <c r="P104" i="21408"/>
  <c r="P7" i="21408"/>
  <c r="P64" i="21408"/>
  <c r="P179" i="21408"/>
  <c r="P91" i="21408"/>
  <c r="P119" i="21408"/>
  <c r="P32" i="21408"/>
  <c r="P158" i="21408"/>
  <c r="P78" i="21408"/>
  <c r="P48" i="21408"/>
  <c r="P138" i="21408"/>
  <c r="N56" i="21402"/>
  <c r="P303" i="21408"/>
  <c r="P219" i="21408"/>
  <c r="P150" i="21408"/>
  <c r="N35" i="21402"/>
  <c r="P356" i="21408"/>
  <c r="N8" i="21402"/>
  <c r="P126" i="21408"/>
  <c r="P287" i="21408"/>
  <c r="P121" i="21408"/>
  <c r="P26" i="21408"/>
  <c r="N57" i="21402"/>
  <c r="L19" i="21407"/>
  <c r="N34" i="21402"/>
  <c r="N52" i="21402"/>
  <c r="P116" i="21408"/>
  <c r="P11" i="21408"/>
  <c r="P81" i="21408"/>
  <c r="P223" i="21408"/>
  <c r="P120" i="21408"/>
  <c r="P74" i="21408"/>
  <c r="P137" i="21408"/>
  <c r="P227" i="21408"/>
  <c r="P67" i="21408"/>
  <c r="N25" i="21402"/>
  <c r="P25" i="21408"/>
  <c r="L56" i="21407"/>
  <c r="P53" i="21408"/>
  <c r="P97" i="21408"/>
  <c r="M252" i="21408"/>
  <c r="M177" i="21408"/>
  <c r="I34" i="21407"/>
  <c r="K10" i="21402"/>
  <c r="M141" i="21408"/>
  <c r="I50" i="21407"/>
  <c r="M356" i="21408"/>
  <c r="M49" i="21408"/>
  <c r="M74" i="21408"/>
  <c r="M151" i="21408"/>
  <c r="K24" i="21402"/>
  <c r="M349" i="21408"/>
  <c r="M301" i="21408"/>
  <c r="M56" i="21408"/>
  <c r="I43" i="21407"/>
  <c r="M92" i="21408"/>
  <c r="M73" i="21408"/>
  <c r="I26" i="21407"/>
  <c r="M102" i="21408"/>
  <c r="K43" i="21402"/>
  <c r="M229" i="21408"/>
  <c r="M167" i="21408"/>
  <c r="M231" i="21408"/>
  <c r="M218" i="21408"/>
  <c r="M33" i="21408"/>
  <c r="I46" i="21407"/>
  <c r="M20" i="21408"/>
  <c r="M346" i="21408"/>
  <c r="M52" i="21408"/>
  <c r="M121" i="21408"/>
  <c r="M110" i="21408"/>
  <c r="I31" i="21407"/>
  <c r="M72" i="21408"/>
  <c r="K61" i="21402"/>
  <c r="M131" i="21408"/>
  <c r="M343" i="21408"/>
  <c r="M347" i="21408" s="1"/>
  <c r="M183" i="21408"/>
  <c r="M25" i="21408"/>
  <c r="M210" i="21408"/>
  <c r="M248" i="21408"/>
  <c r="M21" i="21408"/>
  <c r="M81" i="21408"/>
  <c r="K67" i="21402"/>
  <c r="M286" i="21408"/>
  <c r="M7" i="21408"/>
  <c r="I24" i="21407"/>
  <c r="M163" i="21408"/>
  <c r="M249" i="21408"/>
  <c r="M150" i="21408"/>
  <c r="I38" i="21407"/>
  <c r="M9" i="21408"/>
  <c r="M143" i="21408"/>
  <c r="M124" i="21408"/>
  <c r="M180" i="21408"/>
  <c r="M19" i="21408"/>
  <c r="I5" i="21407"/>
  <c r="M14" i="21408"/>
  <c r="M11" i="21408"/>
  <c r="M100" i="21408"/>
  <c r="M132" i="21408"/>
  <c r="M213" i="21408"/>
  <c r="M64" i="21408"/>
  <c r="K52" i="21402"/>
  <c r="M294" i="21408"/>
  <c r="K9" i="21402"/>
  <c r="K5" i="21402"/>
  <c r="M192" i="21408"/>
  <c r="M114" i="21408"/>
  <c r="M351" i="21408"/>
  <c r="M173" i="21408"/>
  <c r="I44" i="21407"/>
  <c r="K56" i="21402"/>
  <c r="I56" i="21407"/>
  <c r="M93" i="21408"/>
  <c r="M171" i="21408"/>
  <c r="M32" i="21408"/>
  <c r="I49" i="21407"/>
  <c r="K18" i="21402"/>
  <c r="M237" i="21408"/>
  <c r="M204" i="21408"/>
  <c r="I36" i="21407"/>
  <c r="M103" i="21408"/>
  <c r="M28" i="21408"/>
  <c r="M90" i="21408"/>
  <c r="M288" i="21408"/>
  <c r="M46" i="21408"/>
  <c r="M344" i="21408"/>
  <c r="M212" i="21408"/>
  <c r="M160" i="21408"/>
  <c r="K69" i="21402"/>
  <c r="M126" i="21408"/>
  <c r="M138" i="21408"/>
  <c r="M123" i="21408"/>
  <c r="M232" i="21408"/>
  <c r="M106" i="21408"/>
  <c r="K54" i="21402"/>
  <c r="M206" i="21408"/>
  <c r="I9" i="21407"/>
  <c r="M260" i="21408"/>
  <c r="M94" i="21408"/>
  <c r="M247" i="21408"/>
  <c r="M87" i="21408"/>
  <c r="I60" i="21407"/>
  <c r="M63" i="21408"/>
  <c r="M258" i="21408"/>
  <c r="M15" i="21408"/>
  <c r="M146" i="21408"/>
  <c r="M79" i="21408"/>
  <c r="K16" i="21402"/>
  <c r="M178" i="21408"/>
  <c r="M134" i="21408"/>
  <c r="M22" i="21408"/>
  <c r="M48" i="21408"/>
  <c r="M257" i="21408"/>
  <c r="K49" i="21402"/>
  <c r="M256" i="21408"/>
  <c r="K51" i="21402"/>
  <c r="M205" i="21408"/>
  <c r="M254" i="21408"/>
  <c r="M44" i="21408"/>
  <c r="M109" i="21408"/>
  <c r="M101" i="21408"/>
  <c r="M142" i="21408"/>
  <c r="M217" i="21408"/>
  <c r="M118" i="21408"/>
  <c r="M170" i="21408"/>
  <c r="M17" i="21408"/>
  <c r="I19" i="21407"/>
  <c r="M222" i="21408"/>
  <c r="I37" i="21407"/>
  <c r="M201" i="21408"/>
  <c r="M152" i="21408"/>
  <c r="M251" i="21408"/>
  <c r="M203" i="21408"/>
  <c r="M29" i="21408"/>
  <c r="M86" i="21408"/>
  <c r="K8" i="21402"/>
  <c r="M80" i="21408"/>
  <c r="I57" i="21407"/>
  <c r="M89" i="21408"/>
  <c r="M202" i="21408"/>
  <c r="M149" i="21408"/>
  <c r="M240" i="21408"/>
  <c r="K39" i="21402"/>
  <c r="M130" i="21408"/>
  <c r="I54" i="21407"/>
  <c r="M187" i="21408"/>
  <c r="M188" i="21408" s="1"/>
  <c r="M208" i="21408"/>
  <c r="M27" i="21408"/>
  <c r="I41" i="21407"/>
  <c r="M147" i="21408"/>
  <c r="K32" i="21402"/>
  <c r="I20" i="21407"/>
  <c r="K71" i="21402"/>
  <c r="K35" i="21402"/>
  <c r="I47" i="21407"/>
  <c r="M227" i="21408"/>
  <c r="M250" i="21408"/>
  <c r="K6" i="21402"/>
  <c r="M78" i="21408"/>
  <c r="M77" i="21408"/>
  <c r="M91" i="21408"/>
  <c r="M189" i="21408"/>
  <c r="M190" i="21408" s="1"/>
  <c r="M51" i="21408"/>
  <c r="K33" i="21402"/>
  <c r="M287" i="21408"/>
  <c r="M200" i="21408"/>
  <c r="K36" i="21402"/>
  <c r="K19" i="21402"/>
  <c r="M139" i="21408"/>
  <c r="M111" i="21408"/>
  <c r="M127" i="21408"/>
  <c r="M69" i="21408"/>
  <c r="M112" i="21408"/>
  <c r="M50" i="21408"/>
  <c r="M71" i="21408"/>
  <c r="I58" i="21407"/>
  <c r="M166" i="21408"/>
  <c r="M57" i="21408"/>
  <c r="M116" i="21408"/>
  <c r="M224" i="21408"/>
  <c r="M238" i="21408"/>
  <c r="M207" i="21408"/>
  <c r="K25" i="21402"/>
  <c r="I42" i="21407"/>
  <c r="K20" i="21402"/>
  <c r="M153" i="21408"/>
  <c r="M76" i="21408"/>
  <c r="M120" i="21408"/>
  <c r="M220" i="21408"/>
  <c r="K70" i="21402"/>
  <c r="K55" i="21402"/>
  <c r="M219" i="21408"/>
  <c r="I10" i="21407"/>
  <c r="M228" i="21408"/>
  <c r="K34" i="21402"/>
  <c r="K15" i="21402"/>
  <c r="M96" i="21408"/>
  <c r="M16" i="21408"/>
  <c r="M215" i="21408"/>
  <c r="M145" i="21408"/>
  <c r="M5" i="21408"/>
  <c r="M104" i="21408"/>
  <c r="M119" i="21408"/>
  <c r="M99" i="21408"/>
  <c r="M18" i="21408"/>
  <c r="M174" i="21408"/>
  <c r="I21" i="21407"/>
  <c r="M162" i="21408"/>
  <c r="M291" i="21408"/>
  <c r="K41" i="21402"/>
  <c r="M246" i="21408"/>
  <c r="M4" i="21408"/>
  <c r="M253" i="21408"/>
  <c r="M181" i="21408"/>
  <c r="K4" i="21402"/>
  <c r="M154" i="21408"/>
  <c r="M140" i="21408"/>
  <c r="M34" i="21408"/>
  <c r="M53" i="21408"/>
  <c r="M58" i="21408"/>
  <c r="M62" i="21408"/>
  <c r="M255" i="21408"/>
  <c r="K57" i="21402"/>
  <c r="M47" i="21408"/>
  <c r="M230" i="21408"/>
  <c r="M129" i="21408"/>
  <c r="M117" i="21408"/>
  <c r="I14" i="21407"/>
  <c r="M161" i="21408"/>
  <c r="M226" i="21408"/>
  <c r="M137" i="21408"/>
  <c r="M350" i="21408"/>
  <c r="M75" i="21408"/>
  <c r="M179" i="21408"/>
  <c r="L83" i="21408"/>
  <c r="M10" i="21408"/>
  <c r="M26" i="21408"/>
  <c r="M23" i="21408"/>
  <c r="M182" i="21408"/>
  <c r="M31" i="21408"/>
  <c r="M113" i="21408"/>
  <c r="M193" i="21408"/>
  <c r="M148" i="21408"/>
  <c r="AC89" i="21436"/>
  <c r="M245" i="21408"/>
  <c r="I28" i="21407" s="1"/>
  <c r="M303" i="21408"/>
  <c r="M98" i="21408"/>
  <c r="M60" i="21408"/>
  <c r="I40" i="21407"/>
  <c r="M85" i="21408"/>
  <c r="I55" i="21407"/>
  <c r="M115" i="21408"/>
  <c r="M259" i="21408"/>
  <c r="M191" i="21408"/>
  <c r="M168" i="21408"/>
  <c r="I16" i="21407"/>
  <c r="K42" i="21402"/>
  <c r="M304" i="21408"/>
  <c r="M88" i="21408"/>
  <c r="I6" i="21407"/>
  <c r="M135" i="21408"/>
  <c r="M70" i="21408"/>
  <c r="I8" i="21407"/>
  <c r="I4" i="21407"/>
  <c r="K3" i="21402"/>
  <c r="I15" i="21407"/>
  <c r="I51" i="21407"/>
  <c r="M128" i="21408"/>
  <c r="I59" i="21407"/>
  <c r="M156" i="21408"/>
  <c r="K26" i="21402"/>
  <c r="M105" i="21408"/>
  <c r="M211" i="21408"/>
  <c r="M122" i="21408"/>
  <c r="I32" i="21407"/>
  <c r="K40" i="21402"/>
  <c r="M67" i="21408"/>
  <c r="K37" i="21402"/>
  <c r="M12" i="21408"/>
  <c r="K68" i="21402"/>
  <c r="M54" i="21408"/>
  <c r="I53" i="21407"/>
  <c r="M158" i="21408"/>
  <c r="M186" i="21408"/>
  <c r="M157" i="21408"/>
  <c r="M24" i="21408"/>
  <c r="M290" i="21408"/>
  <c r="K53" i="21402"/>
  <c r="M223" i="21408"/>
  <c r="K59" i="21402"/>
  <c r="M185" i="21408"/>
  <c r="M289" i="21408"/>
  <c r="M61" i="21408"/>
  <c r="K58" i="21402"/>
  <c r="M13" i="21408"/>
  <c r="M68" i="21408"/>
  <c r="M95" i="21408"/>
  <c r="M45" i="21408"/>
  <c r="I22" i="21407"/>
  <c r="M8" i="21408"/>
  <c r="M66" i="21408"/>
  <c r="M84" i="21408"/>
  <c r="M155" i="21408"/>
  <c r="I30" i="21407"/>
  <c r="M97" i="21408"/>
  <c r="M159" i="21408"/>
  <c r="M107" i="21408"/>
  <c r="M125" i="21408"/>
  <c r="K72" i="21402"/>
  <c r="M184" i="21408"/>
  <c r="M300" i="21408"/>
  <c r="M144" i="21408"/>
  <c r="M172" i="21408"/>
  <c r="K38" i="21402"/>
  <c r="M30" i="21408"/>
  <c r="M65" i="21408"/>
  <c r="M233" i="21408"/>
  <c r="M136" i="21408"/>
  <c r="M59" i="21408"/>
  <c r="K23" i="21402"/>
  <c r="K22" i="21402"/>
  <c r="M108" i="21408"/>
  <c r="M225" i="21408"/>
  <c r="M55" i="21408"/>
  <c r="M169" i="21408"/>
  <c r="M6" i="21408"/>
  <c r="M82" i="21408"/>
  <c r="M216" i="21408"/>
  <c r="K60" i="21402"/>
  <c r="M221" i="21408"/>
  <c r="K17" i="21402"/>
  <c r="K21" i="21402"/>
  <c r="M345" i="21408"/>
  <c r="M133" i="21408"/>
  <c r="M164" i="21408"/>
  <c r="K50" i="21402"/>
  <c r="M165" i="21408"/>
  <c r="O169" i="21408"/>
  <c r="O225" i="21408"/>
  <c r="O85" i="21408"/>
  <c r="O26" i="21408"/>
  <c r="O95" i="21408"/>
  <c r="M53" i="21402"/>
  <c r="O179" i="21408"/>
  <c r="M26" i="21402"/>
  <c r="O59" i="21408"/>
  <c r="O258" i="21408"/>
  <c r="O184" i="21408"/>
  <c r="M32" i="21402"/>
  <c r="K8" i="21407"/>
  <c r="M20" i="21402"/>
  <c r="O71" i="21408"/>
  <c r="O61" i="21408"/>
  <c r="O125" i="21408"/>
  <c r="O143" i="21408"/>
  <c r="O150" i="21408"/>
  <c r="M42" i="21402"/>
  <c r="K58" i="21407"/>
  <c r="O10" i="21408"/>
  <c r="O249" i="21408"/>
  <c r="O294" i="21408"/>
  <c r="O63" i="21408"/>
  <c r="O181" i="21408"/>
  <c r="M10" i="21402"/>
  <c r="M50" i="21402"/>
  <c r="O21" i="21408"/>
  <c r="O287" i="21408"/>
  <c r="K47" i="21407"/>
  <c r="O54" i="21408"/>
  <c r="O75" i="21408"/>
  <c r="O346" i="21408"/>
  <c r="O45" i="21408"/>
  <c r="O206" i="21408"/>
  <c r="M68" i="21402"/>
  <c r="O111" i="21408"/>
  <c r="O6" i="21408"/>
  <c r="O238" i="21408"/>
  <c r="O104" i="21408"/>
  <c r="O232" i="21408"/>
  <c r="O166" i="21408"/>
  <c r="O93" i="21408"/>
  <c r="M52" i="21402"/>
  <c r="O120" i="21408"/>
  <c r="O135" i="21408"/>
  <c r="M4" i="21402"/>
  <c r="O260" i="21408"/>
  <c r="M40" i="21402"/>
  <c r="O115" i="21408"/>
  <c r="O30" i="21408"/>
  <c r="O183" i="21408"/>
  <c r="K55" i="21407"/>
  <c r="O117" i="21408"/>
  <c r="O90" i="21408"/>
  <c r="O22" i="21408"/>
  <c r="K43" i="21407"/>
  <c r="O231" i="21408"/>
  <c r="O137" i="21408"/>
  <c r="K60" i="21407"/>
  <c r="O101" i="21408"/>
  <c r="O159" i="21408"/>
  <c r="O191" i="21408"/>
  <c r="O201" i="21408"/>
  <c r="O12" i="21408"/>
  <c r="M51" i="21402"/>
  <c r="O252" i="21408"/>
  <c r="O222" i="21408"/>
  <c r="O86" i="21408"/>
  <c r="K9" i="21407"/>
  <c r="M21" i="21402"/>
  <c r="O192" i="21408"/>
  <c r="O165" i="21408"/>
  <c r="O142" i="21408"/>
  <c r="M55" i="21402"/>
  <c r="O108" i="21408"/>
  <c r="K6" i="21407"/>
  <c r="AM141" i="21408"/>
  <c r="AM202" i="21408"/>
  <c r="AM288" i="21408"/>
  <c r="AM259" i="21408"/>
  <c r="AM178" i="21408"/>
  <c r="AM117" i="21408"/>
  <c r="AM208" i="21408"/>
  <c r="AM109" i="21408"/>
  <c r="AE20" i="21407"/>
  <c r="AM177" i="21408"/>
  <c r="AM14" i="21408"/>
  <c r="AM180" i="21408"/>
  <c r="AM44" i="21408"/>
  <c r="AM23" i="21408"/>
  <c r="AM75" i="21408"/>
  <c r="AM167" i="21408"/>
  <c r="AM123" i="21408"/>
  <c r="AK37" i="21402"/>
  <c r="AM21" i="21408"/>
  <c r="AE49" i="21407"/>
  <c r="AM131" i="21408"/>
  <c r="AM140" i="21408"/>
  <c r="AE57" i="21407"/>
  <c r="AM59" i="21408"/>
  <c r="AM5" i="21408"/>
  <c r="AM34" i="21408"/>
  <c r="AK69" i="21402"/>
  <c r="AE31" i="21407"/>
  <c r="AM246" i="21408"/>
  <c r="AM128" i="21408"/>
  <c r="AM87" i="21408"/>
  <c r="AM219" i="21408"/>
  <c r="AM210" i="21408"/>
  <c r="AE60" i="21407"/>
  <c r="AM4" i="21408"/>
  <c r="AE15" i="21407"/>
  <c r="AM16" i="21408"/>
  <c r="AK3" i="21402"/>
  <c r="AM24" i="21408"/>
  <c r="AM179" i="21408"/>
  <c r="AM237" i="21408"/>
  <c r="AM125" i="21408"/>
  <c r="AK25" i="21402"/>
  <c r="AM77" i="21408"/>
  <c r="AM33" i="21408"/>
  <c r="AM99" i="21408"/>
  <c r="AM53" i="21408"/>
  <c r="AM170" i="21408"/>
  <c r="AM138" i="21408"/>
  <c r="AM45" i="21408"/>
  <c r="AK53" i="21402"/>
  <c r="AM56" i="21408"/>
  <c r="AM74" i="21408"/>
  <c r="AM151" i="21408"/>
  <c r="AM162" i="21408"/>
  <c r="AM206" i="21408"/>
  <c r="AM213" i="21408"/>
  <c r="AM169" i="21408"/>
  <c r="AM227" i="21408"/>
  <c r="AM78" i="21408"/>
  <c r="AM258" i="21408"/>
  <c r="AM232" i="21408"/>
  <c r="AK15" i="21402"/>
  <c r="AK22" i="21402"/>
  <c r="AM73" i="21408"/>
  <c r="K96" i="21408"/>
  <c r="I22" i="21402"/>
  <c r="K95" i="21408"/>
  <c r="K185" i="21408"/>
  <c r="K172" i="21408"/>
  <c r="K206" i="21408"/>
  <c r="K148" i="21408"/>
  <c r="I69" i="21402"/>
  <c r="K290" i="21408"/>
  <c r="K300" i="21408"/>
  <c r="K104" i="21408"/>
  <c r="K212" i="21408"/>
  <c r="K351" i="21408"/>
  <c r="K103" i="21408"/>
  <c r="K287" i="21408"/>
  <c r="K201" i="21408"/>
  <c r="I40" i="21402"/>
  <c r="K224" i="21408"/>
  <c r="K134" i="21408"/>
  <c r="I42" i="21402"/>
  <c r="I32" i="21402"/>
  <c r="K179" i="21408"/>
  <c r="K24" i="21408"/>
  <c r="K4" i="21408"/>
  <c r="I61" i="21402"/>
  <c r="K174" i="21408"/>
  <c r="K165" i="21408"/>
  <c r="K135" i="21408"/>
  <c r="K211" i="21408"/>
  <c r="K94" i="21408"/>
  <c r="K204" i="21408"/>
  <c r="K223" i="21408"/>
  <c r="K177" i="21408"/>
  <c r="K122" i="21408"/>
  <c r="K77" i="21408"/>
  <c r="I37" i="21402"/>
  <c r="K61" i="21408"/>
  <c r="K167" i="21408"/>
  <c r="K14" i="21408"/>
  <c r="K162" i="21408"/>
  <c r="K232" i="21408"/>
  <c r="I68" i="21402"/>
  <c r="K156" i="21408"/>
  <c r="K7" i="21408"/>
  <c r="K159" i="21408"/>
  <c r="K230" i="21408"/>
  <c r="K226" i="21408"/>
  <c r="K25" i="21408"/>
  <c r="K221" i="21408"/>
  <c r="I60" i="21402"/>
  <c r="K245" i="21408"/>
  <c r="K116" i="21408"/>
  <c r="K26" i="21408"/>
  <c r="I8" i="21402"/>
  <c r="J260" i="21408"/>
  <c r="J6" i="21408"/>
  <c r="J213" i="21408"/>
  <c r="H23" i="21402"/>
  <c r="J130" i="21408"/>
  <c r="L256" i="21408"/>
  <c r="J37" i="21402"/>
  <c r="L80" i="21408"/>
  <c r="L303" i="21408"/>
  <c r="J71" i="21402"/>
  <c r="H32" i="21407"/>
  <c r="L230" i="21408"/>
  <c r="L116" i="21408"/>
  <c r="H40" i="21407"/>
  <c r="L184" i="21408"/>
  <c r="L210" i="21408"/>
  <c r="J8" i="21402"/>
  <c r="L138" i="21408"/>
  <c r="H20" i="21407"/>
  <c r="L25" i="21408"/>
  <c r="L158" i="21408"/>
  <c r="L34" i="21408"/>
  <c r="H53" i="21407"/>
  <c r="L79" i="21408"/>
  <c r="L288" i="21408"/>
  <c r="L246" i="21408"/>
  <c r="L346" i="21408"/>
  <c r="L26" i="21408"/>
  <c r="J43" i="21402"/>
  <c r="L4" i="21408"/>
  <c r="L81" i="21408"/>
  <c r="L227" i="21408"/>
  <c r="L103" i="21408"/>
  <c r="L122" i="21408"/>
  <c r="L238" i="21408"/>
  <c r="J23" i="21402"/>
  <c r="L155" i="21408"/>
  <c r="L117" i="21408"/>
  <c r="L159" i="21408"/>
  <c r="L163" i="21408"/>
  <c r="L232" i="21408"/>
  <c r="L45" i="21408"/>
  <c r="J17" i="21402"/>
  <c r="L109" i="21408"/>
  <c r="L71" i="21408"/>
  <c r="L148" i="21408"/>
  <c r="L92" i="21408"/>
  <c r="L294" i="21408"/>
  <c r="L99" i="21408"/>
  <c r="L173" i="21408"/>
  <c r="J33" i="21402"/>
  <c r="L240" i="21408"/>
  <c r="L51" i="21408"/>
  <c r="H15" i="21407"/>
  <c r="L121" i="21408"/>
  <c r="H31" i="21407"/>
  <c r="H58" i="21407"/>
  <c r="L131" i="21408"/>
  <c r="L120" i="21408"/>
  <c r="L77" i="21408"/>
  <c r="L349" i="21408"/>
  <c r="L7" i="21408"/>
  <c r="L145" i="21408"/>
  <c r="L185" i="21408"/>
  <c r="H59" i="21407"/>
  <c r="L44" i="21408"/>
  <c r="J57" i="21402"/>
  <c r="L125" i="21408"/>
  <c r="L143" i="21408"/>
  <c r="L151" i="21408"/>
  <c r="L216" i="21408"/>
  <c r="J34" i="21402"/>
  <c r="AL80" i="21408"/>
  <c r="I52" i="21408"/>
  <c r="I183" i="21408"/>
  <c r="I109" i="21408"/>
  <c r="I193" i="21408"/>
  <c r="G61" i="21402"/>
  <c r="G9" i="21402"/>
  <c r="I257" i="21408"/>
  <c r="I69" i="21408"/>
  <c r="I119" i="21408"/>
  <c r="I57" i="21408"/>
  <c r="I350" i="21408"/>
  <c r="I301" i="21408"/>
  <c r="I29" i="21408"/>
  <c r="I5" i="21408"/>
  <c r="I9" i="21408"/>
  <c r="G14" i="21407"/>
  <c r="G25" i="21402"/>
  <c r="I304" i="21408"/>
  <c r="I237" i="21408"/>
  <c r="I102" i="21408"/>
  <c r="I101" i="21408"/>
  <c r="I74" i="21408"/>
  <c r="I11" i="21408"/>
  <c r="I345" i="21408"/>
  <c r="G49" i="21402"/>
  <c r="G50" i="21407"/>
  <c r="I140" i="21408"/>
  <c r="I151" i="21408"/>
  <c r="I99" i="21408"/>
  <c r="I59" i="21408"/>
  <c r="I174" i="21408"/>
  <c r="I142" i="21408"/>
  <c r="I26" i="21408"/>
  <c r="I159" i="21408"/>
  <c r="I155" i="21408"/>
  <c r="I148" i="21408"/>
  <c r="I70" i="21408"/>
  <c r="I111" i="21408"/>
  <c r="I205" i="21408"/>
  <c r="I117" i="21408"/>
  <c r="I25" i="21408"/>
  <c r="G68" i="21402"/>
  <c r="G57" i="21407"/>
  <c r="I61" i="21408"/>
  <c r="I47" i="21408"/>
  <c r="I84" i="21408"/>
  <c r="I289" i="21408"/>
  <c r="G51" i="21407"/>
  <c r="I90" i="21408"/>
  <c r="G44" i="21407"/>
  <c r="G70" i="21402"/>
  <c r="G16" i="21402"/>
  <c r="I230" i="21408"/>
  <c r="I23" i="21408"/>
  <c r="I130" i="21408"/>
  <c r="I16" i="21408"/>
  <c r="I250" i="21408"/>
  <c r="I97" i="21408"/>
  <c r="I100" i="21408"/>
  <c r="I163" i="21408"/>
  <c r="I180" i="21408"/>
  <c r="I129" i="21408"/>
  <c r="I165" i="21408"/>
  <c r="G30" i="21407"/>
  <c r="I202" i="21408"/>
  <c r="I286" i="21408"/>
  <c r="P26" i="21407"/>
  <c r="T150" i="21408"/>
  <c r="P32" i="21407"/>
  <c r="P37" i="21407"/>
  <c r="T290" i="21408"/>
  <c r="T50" i="21408"/>
  <c r="T66" i="21408"/>
  <c r="T212" i="21408"/>
  <c r="T185" i="21408"/>
  <c r="T123" i="21408"/>
  <c r="P44" i="21407"/>
  <c r="T346" i="21408"/>
  <c r="T183" i="21408"/>
  <c r="T301" i="21408"/>
  <c r="P38" i="21407"/>
  <c r="T160" i="21408"/>
  <c r="P42" i="21407"/>
  <c r="P46" i="21407"/>
  <c r="T303" i="21408"/>
  <c r="R41" i="21402"/>
  <c r="T107" i="21408"/>
  <c r="T124" i="21408"/>
  <c r="T186" i="21408"/>
  <c r="T111" i="21408"/>
  <c r="T16" i="21408"/>
  <c r="T9" i="21408"/>
  <c r="T232" i="21408"/>
  <c r="P20" i="21407"/>
  <c r="T34" i="21408"/>
  <c r="T231" i="21408"/>
  <c r="P5" i="21407"/>
  <c r="T252" i="21408"/>
  <c r="T106" i="21408"/>
  <c r="T217" i="21408"/>
  <c r="R70" i="21402"/>
  <c r="T245" i="21408"/>
  <c r="P28" i="21407" s="1"/>
  <c r="T181" i="21408"/>
  <c r="T72" i="21408"/>
  <c r="T177" i="21408"/>
  <c r="T144" i="21408"/>
  <c r="S83" i="21408"/>
  <c r="P34" i="21407"/>
  <c r="T93" i="21408"/>
  <c r="T351" i="21408"/>
  <c r="T91" i="21408"/>
  <c r="P9" i="21407"/>
  <c r="T75" i="21408"/>
  <c r="T130" i="21408"/>
  <c r="T19" i="21408"/>
  <c r="T202" i="21408"/>
  <c r="T105" i="21408"/>
  <c r="T81" i="21408"/>
  <c r="T287" i="21408"/>
  <c r="R3" i="21402"/>
  <c r="R26" i="21402"/>
  <c r="T128" i="21408"/>
  <c r="T114" i="21408"/>
  <c r="T17" i="21408"/>
  <c r="T20" i="21408"/>
  <c r="T155" i="21408"/>
  <c r="T51" i="21408"/>
  <c r="T62" i="21408"/>
  <c r="R59" i="21402"/>
  <c r="T230" i="21408"/>
  <c r="R25" i="21402"/>
  <c r="R10" i="21402"/>
  <c r="T220" i="21408"/>
  <c r="T60" i="21408"/>
  <c r="T227" i="21408"/>
  <c r="T246" i="21408"/>
  <c r="P4" i="21407"/>
  <c r="P31" i="21407"/>
  <c r="T108" i="21408"/>
  <c r="T225" i="21408"/>
  <c r="P49" i="21407"/>
  <c r="T74" i="21408"/>
  <c r="T94" i="21408"/>
  <c r="T95" i="21408"/>
  <c r="T200" i="21408"/>
  <c r="T164" i="21408"/>
  <c r="T49" i="21408"/>
  <c r="T71" i="21408"/>
  <c r="T55" i="21408"/>
  <c r="T79" i="21408"/>
  <c r="T228" i="21408"/>
  <c r="T97" i="21408"/>
  <c r="R32" i="21402"/>
  <c r="T224" i="21408"/>
  <c r="T99" i="21408"/>
  <c r="T45" i="21408"/>
  <c r="T24" i="21408"/>
  <c r="T247" i="21408"/>
  <c r="T203" i="21408"/>
  <c r="T156" i="21408"/>
  <c r="T103" i="21408"/>
  <c r="R17" i="21402"/>
  <c r="T117" i="21408"/>
  <c r="T140" i="21408"/>
  <c r="T80" i="21408"/>
  <c r="T102" i="21408"/>
  <c r="R5" i="21402"/>
  <c r="T109" i="21408"/>
  <c r="T222" i="21408"/>
  <c r="T21" i="21408"/>
  <c r="T8" i="21408"/>
  <c r="R22" i="21402"/>
  <c r="T73" i="21408"/>
  <c r="T148" i="21408"/>
  <c r="R33" i="21402"/>
  <c r="T82" i="21408"/>
  <c r="T248" i="21408"/>
  <c r="T30" i="21408"/>
  <c r="P50" i="21407"/>
  <c r="T255" i="21408"/>
  <c r="P56" i="21407"/>
  <c r="R68" i="21402"/>
  <c r="P6" i="21407"/>
  <c r="R19" i="21402"/>
  <c r="T254" i="21408"/>
  <c r="T44" i="21408"/>
  <c r="R24" i="21402"/>
  <c r="T25" i="21408"/>
  <c r="T215" i="21408"/>
  <c r="R49" i="21402"/>
  <c r="R36" i="21402"/>
  <c r="T208" i="21408"/>
  <c r="T98" i="21408"/>
  <c r="T136" i="21408"/>
  <c r="T251" i="21408"/>
  <c r="T67" i="21408"/>
  <c r="P41" i="21407"/>
  <c r="R56" i="21402"/>
  <c r="T170" i="21408"/>
  <c r="T120" i="21408"/>
  <c r="T31" i="21408"/>
  <c r="T221" i="21408"/>
  <c r="T7" i="21408"/>
  <c r="R53" i="21402"/>
  <c r="T350" i="21408"/>
  <c r="R4" i="21402"/>
  <c r="T259" i="21408"/>
  <c r="R38" i="21402"/>
  <c r="T344" i="21408"/>
  <c r="T138" i="21408"/>
  <c r="T115" i="21408"/>
  <c r="T131" i="21408"/>
  <c r="P21" i="21407"/>
  <c r="T149" i="21408"/>
  <c r="T345" i="21408"/>
  <c r="T146" i="21408"/>
  <c r="T69" i="21408"/>
  <c r="T151" i="21408"/>
  <c r="T237" i="21408"/>
  <c r="T10" i="21408"/>
  <c r="P55" i="21407"/>
  <c r="T68" i="21408"/>
  <c r="T137" i="21408"/>
  <c r="T121" i="21408"/>
  <c r="T88" i="21408"/>
  <c r="T187" i="21408"/>
  <c r="T188" i="21408" s="1"/>
  <c r="T23" i="21408"/>
  <c r="R67" i="21402"/>
  <c r="T223" i="21408"/>
  <c r="P19" i="21407"/>
  <c r="T147" i="21408"/>
  <c r="P59" i="21407"/>
  <c r="AM27" i="21408"/>
  <c r="AM287" i="21408"/>
  <c r="AM343" i="21408"/>
  <c r="AM347" i="21408" s="1"/>
  <c r="AM139" i="21408"/>
  <c r="AK72" i="21402"/>
  <c r="AM32" i="21408"/>
  <c r="AM18" i="21408"/>
  <c r="AE59" i="21407"/>
  <c r="AM150" i="21408"/>
  <c r="AM20" i="21408"/>
  <c r="AK24" i="21402"/>
  <c r="AK16" i="21402"/>
  <c r="AM112" i="21408"/>
  <c r="AK43" i="21402"/>
  <c r="AM17" i="21408"/>
  <c r="AE53" i="21407"/>
  <c r="AM48" i="21408"/>
  <c r="AM291" i="21408"/>
  <c r="AM104" i="21408"/>
  <c r="AK54" i="21402"/>
  <c r="AE9" i="21407"/>
  <c r="AK32" i="21402"/>
  <c r="AE55" i="21407"/>
  <c r="AM250" i="21408"/>
  <c r="AM215" i="21408"/>
  <c r="AM66" i="21408"/>
  <c r="AK40" i="21402"/>
  <c r="AE51" i="21407"/>
  <c r="AK23" i="21402"/>
  <c r="AK41" i="21402"/>
  <c r="AK5" i="21402"/>
  <c r="AK59" i="21402"/>
  <c r="AM12" i="21408"/>
  <c r="AM80" i="21408"/>
  <c r="AM224" i="21408"/>
  <c r="AK35" i="21402"/>
  <c r="AM101" i="21408"/>
  <c r="AM143" i="21408"/>
  <c r="AK49" i="21402"/>
  <c r="AM346" i="21408"/>
  <c r="AM124" i="21408"/>
  <c r="AE36" i="21407"/>
  <c r="AM147" i="21408"/>
  <c r="AM6" i="21408"/>
  <c r="AM121" i="21408"/>
  <c r="AL71" i="21408"/>
  <c r="AL346" i="21408"/>
  <c r="AL246" i="21408"/>
  <c r="AL301" i="21408"/>
  <c r="AL33" i="21408"/>
  <c r="AJ68" i="21402"/>
  <c r="AD55" i="21407"/>
  <c r="AL230" i="21408"/>
  <c r="AL96" i="21408"/>
  <c r="AJ34" i="21402"/>
  <c r="AL100" i="21408"/>
  <c r="AJ50" i="21402"/>
  <c r="AD5" i="21407"/>
  <c r="AL240" i="21408"/>
  <c r="AL25" i="21408"/>
  <c r="AD41" i="21407"/>
  <c r="AL133" i="21408"/>
  <c r="AL22" i="21408"/>
  <c r="AJ6" i="21402"/>
  <c r="AL140" i="21408"/>
  <c r="AL23" i="21408"/>
  <c r="AD49" i="21407"/>
  <c r="AL79" i="21408"/>
  <c r="AL205" i="21408"/>
  <c r="AL52" i="21408"/>
  <c r="AL65" i="21408"/>
  <c r="AL208" i="21408"/>
  <c r="AL174" i="21408"/>
  <c r="AL101" i="21408"/>
  <c r="AJ37" i="21402"/>
  <c r="AD57" i="21407"/>
  <c r="AL63" i="21408"/>
  <c r="AL179" i="21408"/>
  <c r="AL288" i="21408"/>
  <c r="AD59" i="21407"/>
  <c r="AL183" i="21408"/>
  <c r="AJ60" i="21402"/>
  <c r="AL184" i="21408"/>
  <c r="AL8" i="21408"/>
  <c r="AL66" i="21408"/>
  <c r="AL216" i="21408"/>
  <c r="AL118" i="21408"/>
  <c r="AL14" i="21408"/>
  <c r="AL351" i="21408"/>
  <c r="AD36" i="21407"/>
  <c r="AL219" i="21408"/>
  <c r="AJ9" i="21402"/>
  <c r="AL350" i="21408"/>
  <c r="AJ72" i="21402"/>
  <c r="AL237" i="21408"/>
  <c r="AL45" i="21408"/>
  <c r="AL144" i="21408"/>
  <c r="AD24" i="21407"/>
  <c r="AL108" i="21408"/>
  <c r="AL173" i="21408"/>
  <c r="AJ22" i="21402"/>
  <c r="AL227" i="21408"/>
  <c r="AL91" i="21408"/>
  <c r="AD4" i="21407"/>
  <c r="AL92" i="21408"/>
  <c r="AL212" i="21408"/>
  <c r="AJ51" i="21402"/>
  <c r="AJ49" i="21402"/>
  <c r="AL57" i="21408"/>
  <c r="AL34" i="21408"/>
  <c r="AL114" i="21408"/>
  <c r="AL81" i="21408"/>
  <c r="AL187" i="21408"/>
  <c r="AL188" i="21408" s="1"/>
  <c r="AD43" i="21407"/>
  <c r="AL26" i="21408"/>
  <c r="AL228" i="21408"/>
  <c r="AJ16" i="21402"/>
  <c r="AL6" i="21408"/>
  <c r="AK83" i="21408"/>
  <c r="AL31" i="21408"/>
  <c r="AL139" i="21408"/>
  <c r="AL256" i="21408"/>
  <c r="AL132" i="21408"/>
  <c r="AL151" i="21408"/>
  <c r="AL215" i="21408"/>
  <c r="AL20" i="21408"/>
  <c r="AL168" i="21408"/>
  <c r="AL113" i="21408"/>
  <c r="AL12" i="21408"/>
  <c r="AL73" i="21408"/>
  <c r="AL134" i="21408"/>
  <c r="AL9" i="21408"/>
  <c r="AL112" i="21408"/>
  <c r="AL94" i="21408"/>
  <c r="AL248" i="21408"/>
  <c r="AL159" i="21408"/>
  <c r="AL150" i="21408"/>
  <c r="AD8" i="21407"/>
  <c r="AL90" i="21408"/>
  <c r="AL181" i="21408"/>
  <c r="AL155" i="21408"/>
  <c r="AJ32" i="21402"/>
  <c r="AL15" i="21408"/>
  <c r="AL107" i="21408"/>
  <c r="AL70" i="21408"/>
  <c r="AL287" i="21408"/>
  <c r="AL51" i="21408"/>
  <c r="AL136" i="21408"/>
  <c r="AL44" i="21408"/>
  <c r="AL142" i="21408"/>
  <c r="AL16" i="21408"/>
  <c r="AL169" i="21408"/>
  <c r="AL19" i="21408"/>
  <c r="AD20" i="21407"/>
  <c r="AL203" i="21408"/>
  <c r="AD58" i="21407"/>
  <c r="AL290" i="21408"/>
  <c r="AL148" i="21408"/>
  <c r="AL204" i="21408"/>
  <c r="AL54" i="21408"/>
  <c r="AL46" i="21408"/>
  <c r="AL182" i="21408"/>
  <c r="AL75" i="21408"/>
  <c r="AL162" i="21408"/>
  <c r="AD14" i="21407"/>
  <c r="AD56" i="21407"/>
  <c r="AJ61" i="21402"/>
  <c r="AD47" i="21407"/>
  <c r="AL135" i="21408"/>
  <c r="AL138" i="21408"/>
  <c r="AL163" i="21408"/>
  <c r="AL122" i="21408"/>
  <c r="AL116" i="21408"/>
  <c r="AL255" i="21408"/>
  <c r="AL87" i="21408"/>
  <c r="AL200" i="21408"/>
  <c r="AD51" i="21407"/>
  <c r="AL128" i="21408"/>
  <c r="AL165" i="21408"/>
  <c r="AD26" i="21407"/>
  <c r="AJ33" i="21402"/>
  <c r="AL153" i="21408"/>
  <c r="AL252" i="21408"/>
  <c r="AD6" i="21407"/>
  <c r="AL223" i="21408"/>
  <c r="AJ40" i="21402"/>
  <c r="AL110" i="21408"/>
  <c r="AL220" i="21408"/>
  <c r="AD54" i="21407"/>
  <c r="AL247" i="21408"/>
  <c r="AL32" i="21408"/>
  <c r="AJ18" i="21402"/>
  <c r="AL161" i="21408"/>
  <c r="AL30" i="21408"/>
  <c r="AJ23" i="21402"/>
  <c r="AL21" i="21408"/>
  <c r="AL231" i="21408"/>
  <c r="AD40" i="21407"/>
  <c r="AL146" i="21408"/>
  <c r="AL69" i="21408"/>
  <c r="AL64" i="21408"/>
  <c r="AL53" i="21408"/>
  <c r="AL105" i="21408"/>
  <c r="AL62" i="21408"/>
  <c r="AD22" i="21407"/>
  <c r="AJ38" i="21402"/>
  <c r="AD38" i="21407"/>
  <c r="AL160" i="21408"/>
  <c r="AL260" i="21408"/>
  <c r="AL344" i="21408"/>
  <c r="AL93" i="21408"/>
  <c r="AL193" i="21408"/>
  <c r="AL119" i="21408"/>
  <c r="AJ20" i="21402"/>
  <c r="AL201" i="21408"/>
  <c r="AL192" i="21408"/>
  <c r="AL4" i="21408"/>
  <c r="AJ36" i="21402"/>
  <c r="AJ3" i="21402"/>
  <c r="AL245" i="21408"/>
  <c r="AD28" i="21407" s="1"/>
  <c r="AL222" i="21408"/>
  <c r="AJ52" i="21402"/>
  <c r="AL217" i="21408"/>
  <c r="AL257" i="21408"/>
  <c r="AJ41" i="21402"/>
  <c r="AL98" i="21408"/>
  <c r="AL152" i="21408"/>
  <c r="AL72" i="21408"/>
  <c r="AL303" i="21408"/>
  <c r="AL89" i="21408"/>
  <c r="AL58" i="21408"/>
  <c r="AL178" i="21408"/>
  <c r="AL59" i="21408"/>
  <c r="AL300" i="21408"/>
  <c r="AL111" i="21408"/>
  <c r="AL210" i="21408"/>
  <c r="AD50" i="21407"/>
  <c r="AL304" i="21408"/>
  <c r="AL345" i="21408"/>
  <c r="AL55" i="21408"/>
  <c r="AL99" i="21408"/>
  <c r="AL233" i="21408"/>
  <c r="AJ4" i="21402"/>
  <c r="AL189" i="21408"/>
  <c r="AL190" i="21408" s="1"/>
  <c r="AL50" i="21408"/>
  <c r="AL49" i="21408"/>
  <c r="AD9" i="21407"/>
  <c r="AJ43" i="21402"/>
  <c r="AL127" i="21408"/>
  <c r="AD53" i="21407"/>
  <c r="AL180" i="21408"/>
  <c r="AL124" i="21408"/>
  <c r="AJ59" i="21402"/>
  <c r="AL86" i="21408"/>
  <c r="AJ17" i="21402"/>
  <c r="AL109" i="21408"/>
  <c r="AL10" i="21408"/>
  <c r="AL67" i="21408"/>
  <c r="AL24" i="21408"/>
  <c r="AL88" i="21408"/>
  <c r="AL229" i="21408"/>
  <c r="AJ55" i="21402"/>
  <c r="AL120" i="21408"/>
  <c r="AL294" i="21408"/>
  <c r="AL61" i="21408"/>
  <c r="AD44" i="21407"/>
  <c r="AL27" i="21408"/>
  <c r="AL60" i="21408"/>
  <c r="AL13" i="21408"/>
  <c r="AL103" i="21408"/>
  <c r="AJ21" i="21402"/>
  <c r="AL102" i="21408"/>
  <c r="AL84" i="21408"/>
  <c r="AL286" i="21408"/>
  <c r="AJ35" i="21402"/>
  <c r="AL232" i="21408"/>
  <c r="AL289" i="21408"/>
  <c r="AL48" i="21408"/>
  <c r="AL123" i="21408"/>
  <c r="AL291" i="21408"/>
  <c r="AD34" i="21407"/>
  <c r="AL28" i="21408"/>
  <c r="AJ69" i="21402"/>
  <c r="AL191" i="21408"/>
  <c r="AL82" i="21408"/>
  <c r="AL129" i="21408"/>
  <c r="AL121" i="21408"/>
  <c r="AL253" i="21408"/>
  <c r="AJ53" i="21402"/>
  <c r="AL258" i="21408"/>
  <c r="AJ70" i="21402"/>
  <c r="AJ58" i="21402"/>
  <c r="AJ25" i="21402"/>
  <c r="AJ56" i="21402"/>
  <c r="AL131" i="21408"/>
  <c r="AL143" i="21408"/>
  <c r="AL172" i="21408"/>
  <c r="AL115" i="21408"/>
  <c r="AD30" i="21407"/>
  <c r="AL157" i="21408"/>
  <c r="AL125" i="21408"/>
  <c r="AL356" i="21408"/>
  <c r="AJ39" i="21402"/>
  <c r="AL29" i="21408"/>
  <c r="AL130" i="21408"/>
  <c r="AL164" i="21408"/>
  <c r="AL254" i="21408"/>
  <c r="AL213" i="21408"/>
  <c r="AL77" i="21408"/>
  <c r="AD10" i="21407"/>
  <c r="AL76" i="21408"/>
  <c r="AL251" i="21408"/>
  <c r="AL126" i="21408"/>
  <c r="AL186" i="21408"/>
  <c r="AD31" i="21407"/>
  <c r="AL259" i="21408"/>
  <c r="AL149" i="21408"/>
  <c r="AJ54" i="21402"/>
  <c r="AD32" i="21407"/>
  <c r="AL170" i="21408"/>
  <c r="AL95" i="21408"/>
  <c r="AL224" i="21408"/>
  <c r="AJ24" i="21402"/>
  <c r="AL250" i="21408"/>
  <c r="AL249" i="21408"/>
  <c r="AL74" i="21408"/>
  <c r="AL137" i="21408"/>
  <c r="AL11" i="21408"/>
  <c r="AJ8" i="21402"/>
  <c r="AJ10" i="21402"/>
  <c r="AD37" i="21407"/>
  <c r="AJ71" i="21402"/>
  <c r="AL238" i="21408"/>
  <c r="AL56" i="21408"/>
  <c r="AJ57" i="21402"/>
  <c r="AD15" i="21407"/>
  <c r="AL218" i="21408"/>
  <c r="AL185" i="21408"/>
  <c r="AL97" i="21408"/>
  <c r="AD21" i="21407"/>
  <c r="AL5" i="21408"/>
  <c r="AL167" i="21408"/>
  <c r="AL349" i="21408"/>
  <c r="AL17" i="21408"/>
  <c r="AL207" i="21408"/>
  <c r="AJ67" i="21402"/>
  <c r="AL211" i="21408"/>
  <c r="AL104" i="21408"/>
  <c r="AD19" i="21407"/>
  <c r="AL68" i="21408"/>
  <c r="AL117" i="21408"/>
  <c r="AJ19" i="21402"/>
  <c r="AL18" i="21408"/>
  <c r="AL206" i="21408"/>
  <c r="AL166" i="21408"/>
  <c r="AL141" i="21408"/>
  <c r="AL78" i="21408"/>
  <c r="AD46" i="21407"/>
  <c r="AJ15" i="21402"/>
  <c r="AD60" i="21407"/>
  <c r="AL177" i="21408"/>
  <c r="AL47" i="21408"/>
  <c r="AL226" i="21408"/>
  <c r="AL106" i="21408"/>
  <c r="AD42" i="21407"/>
  <c r="AL225" i="21408"/>
  <c r="AL145" i="21408"/>
  <c r="AD16" i="21407"/>
  <c r="AL156" i="21408"/>
  <c r="AL221" i="21408"/>
  <c r="AL154" i="21408"/>
  <c r="AL343" i="21408"/>
  <c r="AL347" i="21408" s="1"/>
  <c r="AJ5" i="21402"/>
  <c r="AL171" i="21408"/>
  <c r="AL7" i="21408"/>
  <c r="AL158" i="21408"/>
  <c r="AJ42" i="21402"/>
  <c r="T39" i="21402"/>
  <c r="V55" i="21408"/>
  <c r="V121" i="21408"/>
  <c r="V187" i="21408"/>
  <c r="V188" i="21408" s="1"/>
  <c r="V15" i="21408"/>
  <c r="T57" i="21402"/>
  <c r="V53" i="21408"/>
  <c r="T26" i="21402"/>
  <c r="V286" i="21408"/>
  <c r="V222" i="21408"/>
  <c r="V260" i="21408"/>
  <c r="V351" i="21408"/>
  <c r="V224" i="21408"/>
  <c r="T50" i="21402"/>
  <c r="V89" i="21408"/>
  <c r="V4" i="21408"/>
  <c r="T15" i="21402"/>
  <c r="V174" i="21408"/>
  <c r="T43" i="21402"/>
  <c r="V76" i="21408"/>
  <c r="V223" i="21408"/>
  <c r="T61" i="21402"/>
  <c r="V100" i="21408"/>
  <c r="T16" i="21402"/>
  <c r="V104" i="21408"/>
  <c r="V86" i="21408"/>
  <c r="T55" i="21402"/>
  <c r="V57" i="21408"/>
  <c r="V114" i="21408"/>
  <c r="V238" i="21408"/>
  <c r="T59" i="21402"/>
  <c r="V152" i="21408"/>
  <c r="V344" i="21408"/>
  <c r="V66" i="21408"/>
  <c r="V71" i="21408"/>
  <c r="V201" i="21408"/>
  <c r="V28" i="21408"/>
  <c r="V48" i="21408"/>
  <c r="T71" i="21402"/>
  <c r="V61" i="21408"/>
  <c r="V102" i="21408"/>
  <c r="V258" i="21408"/>
  <c r="AE50" i="21407"/>
  <c r="AM204" i="21408"/>
  <c r="AM9" i="21408"/>
  <c r="AK18" i="21402"/>
  <c r="AM115" i="21408"/>
  <c r="AM218" i="21408"/>
  <c r="AM129" i="21408"/>
  <c r="AK67" i="21402"/>
  <c r="AM49" i="21408"/>
  <c r="AM256" i="21408"/>
  <c r="AM95" i="21408"/>
  <c r="AM260" i="21408"/>
  <c r="AM304" i="21408"/>
  <c r="AM154" i="21408"/>
  <c r="AM51" i="21408"/>
  <c r="AM31" i="21408"/>
  <c r="AE4" i="21407"/>
  <c r="AK60" i="21402"/>
  <c r="AM217" i="21408"/>
  <c r="AM220" i="21408"/>
  <c r="AK70" i="21402"/>
  <c r="AM83" i="21408"/>
  <c r="AE16" i="21407"/>
  <c r="AK50" i="21402"/>
  <c r="AE26" i="21407"/>
  <c r="AM26" i="21408"/>
  <c r="AM57" i="21408"/>
  <c r="AM72" i="21408"/>
  <c r="AK9" i="21402"/>
  <c r="AM19" i="21408"/>
  <c r="AM160" i="21408"/>
  <c r="AM134" i="21408"/>
  <c r="AM96" i="21408"/>
  <c r="AM301" i="21408"/>
  <c r="AM289" i="21408"/>
  <c r="AM290" i="21408"/>
  <c r="AM142" i="21408"/>
  <c r="AM225" i="21408"/>
  <c r="AM119" i="21408"/>
  <c r="AM254" i="21408"/>
  <c r="AK19" i="21402"/>
  <c r="AK36" i="21402"/>
  <c r="AM144" i="21408"/>
  <c r="AM84" i="21408"/>
  <c r="AM168" i="21408"/>
  <c r="AE30" i="21407"/>
  <c r="AE56" i="21407"/>
  <c r="AE6" i="21407"/>
  <c r="K12" i="21407"/>
  <c r="AK8" i="21402"/>
  <c r="AM165" i="21408"/>
  <c r="AM350" i="21408"/>
  <c r="AM86" i="21408"/>
  <c r="AM68" i="21408"/>
  <c r="AM92" i="21408"/>
  <c r="AM63" i="21408"/>
  <c r="AK61" i="21402"/>
  <c r="AM183" i="21408"/>
  <c r="AM60" i="21408"/>
  <c r="AM146" i="21408"/>
  <c r="AM88" i="21408"/>
  <c r="AK33" i="21402"/>
  <c r="AM356" i="21408"/>
  <c r="K114" i="21408"/>
  <c r="K23" i="21408"/>
  <c r="K76" i="21408"/>
  <c r="K180" i="21408"/>
  <c r="K46" i="21408"/>
  <c r="K19" i="21408"/>
  <c r="I9" i="21402"/>
  <c r="K291" i="21408"/>
  <c r="K120" i="21408"/>
  <c r="I41" i="21402"/>
  <c r="K117" i="21408"/>
  <c r="K200" i="21408"/>
  <c r="K218" i="21408"/>
  <c r="K132" i="21408"/>
  <c r="I21" i="21402"/>
  <c r="K259" i="21408"/>
  <c r="I39" i="21402"/>
  <c r="K62" i="21408"/>
  <c r="K85" i="21408"/>
  <c r="K229" i="21408"/>
  <c r="I36" i="21402"/>
  <c r="K151" i="21408"/>
  <c r="K246" i="21408"/>
  <c r="K303" i="21408"/>
  <c r="K107" i="21408"/>
  <c r="K111" i="21408"/>
  <c r="K47" i="21408"/>
  <c r="I38" i="21402"/>
  <c r="K168" i="21408"/>
  <c r="I6" i="21402"/>
  <c r="K252" i="21408"/>
  <c r="K139" i="21408"/>
  <c r="I70" i="21402"/>
  <c r="K356" i="21408"/>
  <c r="K251" i="21408"/>
  <c r="K203" i="21408"/>
  <c r="K249" i="21408"/>
  <c r="K184" i="21408"/>
  <c r="K101" i="21408"/>
  <c r="I58" i="21402"/>
  <c r="K21" i="21408"/>
  <c r="K349" i="21408"/>
  <c r="K256" i="21408"/>
  <c r="K345" i="21408"/>
  <c r="K87" i="21408"/>
  <c r="K131" i="21408"/>
  <c r="K227" i="21408"/>
  <c r="K125" i="21408"/>
  <c r="K81" i="21408"/>
  <c r="K98" i="21408"/>
  <c r="I26" i="21402"/>
  <c r="I59" i="21402"/>
  <c r="K147" i="21408"/>
  <c r="J92" i="21408"/>
  <c r="J123" i="21408"/>
  <c r="J218" i="21408"/>
  <c r="J256" i="21408"/>
  <c r="L356" i="21408"/>
  <c r="L257" i="21408"/>
  <c r="L63" i="21408"/>
  <c r="L6" i="21408"/>
  <c r="L304" i="21408"/>
  <c r="L47" i="21408"/>
  <c r="L66" i="21408"/>
  <c r="H8" i="21407"/>
  <c r="L208" i="21408"/>
  <c r="H60" i="21407"/>
  <c r="L126" i="21408"/>
  <c r="L154" i="21408"/>
  <c r="L211" i="21408"/>
  <c r="L91" i="21408"/>
  <c r="L17" i="21408"/>
  <c r="H34" i="21407"/>
  <c r="L10" i="21408"/>
  <c r="L147" i="21408"/>
  <c r="L207" i="21408"/>
  <c r="J10" i="21402"/>
  <c r="L345" i="21408"/>
  <c r="J49" i="21402"/>
  <c r="L300" i="21408"/>
  <c r="L76" i="21408"/>
  <c r="J61" i="21402"/>
  <c r="L171" i="21408"/>
  <c r="L193" i="21408"/>
  <c r="L291" i="21408"/>
  <c r="J59" i="21402"/>
  <c r="L169" i="21408"/>
  <c r="L114" i="21408"/>
  <c r="L250" i="21408"/>
  <c r="L50" i="21408"/>
  <c r="L179" i="21408"/>
  <c r="J4" i="21402"/>
  <c r="L95" i="21408"/>
  <c r="L58" i="21408"/>
  <c r="L86" i="21408"/>
  <c r="L223" i="21408"/>
  <c r="H55" i="21407"/>
  <c r="L215" i="21408"/>
  <c r="L118" i="21408"/>
  <c r="L152" i="21408"/>
  <c r="L157" i="21408"/>
  <c r="L136" i="21408"/>
  <c r="L29" i="21408"/>
  <c r="L225" i="21408"/>
  <c r="L65" i="21408"/>
  <c r="L144" i="21408"/>
  <c r="L60" i="21408"/>
  <c r="L254" i="21408"/>
  <c r="L96" i="21408"/>
  <c r="L93" i="21408"/>
  <c r="L55" i="21408"/>
  <c r="L85" i="21408"/>
  <c r="L231" i="21408"/>
  <c r="L33" i="21408"/>
  <c r="L18" i="21408"/>
  <c r="L89" i="21408"/>
  <c r="L252" i="21408"/>
  <c r="J60" i="21402"/>
  <c r="L201" i="21408"/>
  <c r="L146" i="21408"/>
  <c r="L23" i="21408"/>
  <c r="L202" i="21408"/>
  <c r="L206" i="21408"/>
  <c r="J51" i="21402"/>
  <c r="L140" i="21408"/>
  <c r="G40" i="21407"/>
  <c r="I187" i="21408"/>
  <c r="I188" i="21408" s="1"/>
  <c r="I77" i="21408"/>
  <c r="I229" i="21408"/>
  <c r="I107" i="21408"/>
  <c r="G15" i="21402"/>
  <c r="G4" i="21407"/>
  <c r="I238" i="21408"/>
  <c r="G35" i="21402"/>
  <c r="G69" i="21402"/>
  <c r="I210" i="21408"/>
  <c r="I50" i="21408"/>
  <c r="I158" i="21408"/>
  <c r="I232" i="21408"/>
  <c r="G41" i="21407"/>
  <c r="I186" i="21408"/>
  <c r="I153" i="21408"/>
  <c r="I288" i="21408"/>
  <c r="I115" i="21408"/>
  <c r="I216" i="21408"/>
  <c r="I68" i="21408"/>
  <c r="I60" i="21408"/>
  <c r="I103" i="21408"/>
  <c r="I114" i="21408"/>
  <c r="I349" i="21408"/>
  <c r="G53" i="21407"/>
  <c r="I12" i="21408"/>
  <c r="I63" i="21408"/>
  <c r="I19" i="21408"/>
  <c r="I162" i="21408"/>
  <c r="I169" i="21408"/>
  <c r="I227" i="21408"/>
  <c r="I177" i="21408"/>
  <c r="I156" i="21408"/>
  <c r="I8" i="21408"/>
  <c r="G24" i="21407"/>
  <c r="G41" i="21402"/>
  <c r="G24" i="21402"/>
  <c r="I185" i="21408"/>
  <c r="I112" i="21408"/>
  <c r="G60" i="21407"/>
  <c r="I139" i="21408"/>
  <c r="I106" i="21408"/>
  <c r="I105" i="21408"/>
  <c r="G46" i="21407"/>
  <c r="G38" i="21407"/>
  <c r="I22" i="21408"/>
  <c r="G5" i="21407"/>
  <c r="I144" i="21408"/>
  <c r="I146" i="21408"/>
  <c r="I58" i="21408"/>
  <c r="I78" i="21408"/>
  <c r="I72" i="21408"/>
  <c r="G32" i="21402"/>
  <c r="G53" i="21402"/>
  <c r="I143" i="21408"/>
  <c r="I32" i="21408"/>
  <c r="I55" i="21408"/>
  <c r="I124" i="21408"/>
  <c r="G6" i="21407"/>
  <c r="I92" i="21408"/>
  <c r="G59" i="21407"/>
  <c r="I253" i="21408"/>
  <c r="I247" i="21408"/>
  <c r="I4" i="21408"/>
  <c r="N33" i="21408"/>
  <c r="N118" i="21408"/>
  <c r="L70" i="21402"/>
  <c r="N124" i="21408"/>
  <c r="L60" i="21402"/>
  <c r="G20" i="21407"/>
  <c r="G10" i="21402"/>
  <c r="I76" i="21408"/>
  <c r="I245" i="21408"/>
  <c r="G28" i="21407" s="1"/>
  <c r="G71" i="21402"/>
  <c r="I121" i="21408"/>
  <c r="I88" i="21408"/>
  <c r="I222" i="21408"/>
  <c r="I351" i="21408"/>
  <c r="I53" i="21408"/>
  <c r="I137" i="21408"/>
  <c r="I346" i="21408"/>
  <c r="I231" i="21408"/>
  <c r="G54" i="21407"/>
  <c r="I34" i="21408"/>
  <c r="I93" i="21408"/>
  <c r="I79" i="21408"/>
  <c r="I249" i="21408"/>
  <c r="I220" i="21408"/>
  <c r="I118" i="21408"/>
  <c r="I66" i="21408"/>
  <c r="I179" i="21408"/>
  <c r="I49" i="21408"/>
  <c r="I343" i="21408"/>
  <c r="I347" i="21408" s="1"/>
  <c r="I154" i="21408"/>
  <c r="G10" i="21407"/>
  <c r="I356" i="21408"/>
  <c r="G17" i="21402"/>
  <c r="I96" i="21408"/>
  <c r="I213" i="21408"/>
  <c r="I89" i="21408"/>
  <c r="I251" i="21408"/>
  <c r="I204" i="21408"/>
  <c r="G50" i="21402"/>
  <c r="I18" i="21408"/>
  <c r="G55" i="21407"/>
  <c r="G21" i="21402"/>
  <c r="I126" i="21408"/>
  <c r="G56" i="21407"/>
  <c r="I20" i="21408"/>
  <c r="I182" i="21408"/>
  <c r="I81" i="21408"/>
  <c r="I95" i="21408"/>
  <c r="I221" i="21408"/>
  <c r="I136" i="21408"/>
  <c r="I122" i="21408"/>
  <c r="I206" i="21408"/>
  <c r="I51" i="21408"/>
  <c r="I54" i="21408"/>
  <c r="I260" i="21408"/>
  <c r="I64" i="21408"/>
  <c r="I170" i="21408"/>
  <c r="I133" i="21408"/>
  <c r="I217" i="21408"/>
  <c r="G42" i="21407"/>
  <c r="G22" i="21407"/>
  <c r="I120" i="21408"/>
  <c r="I258" i="21408"/>
  <c r="I150" i="21408"/>
  <c r="I87" i="21408"/>
  <c r="G6" i="21402"/>
  <c r="I212" i="21408"/>
  <c r="G3" i="21402"/>
  <c r="I161" i="21408"/>
  <c r="I73" i="21408"/>
  <c r="I6" i="21408"/>
  <c r="I172" i="21408"/>
  <c r="I201" i="21408"/>
  <c r="G43" i="21402"/>
  <c r="I30" i="21408"/>
  <c r="G36" i="21402"/>
  <c r="G33" i="21402"/>
  <c r="I224" i="21408"/>
  <c r="J67" i="21408"/>
  <c r="J74" i="21408"/>
  <c r="J95" i="21408"/>
  <c r="H50" i="21402"/>
  <c r="J70" i="21408"/>
  <c r="J249" i="21408"/>
  <c r="J216" i="21408"/>
  <c r="J26" i="21408"/>
  <c r="J90" i="21408"/>
  <c r="J167" i="21408"/>
  <c r="J168" i="21408"/>
  <c r="H42" i="21402"/>
  <c r="H68" i="21402"/>
  <c r="J13" i="21408"/>
  <c r="J59" i="21408"/>
  <c r="J254" i="21408"/>
  <c r="J98" i="21408"/>
  <c r="J248" i="21408"/>
  <c r="J221" i="21408"/>
  <c r="J106" i="21408"/>
  <c r="J246" i="21408"/>
  <c r="J121" i="21408"/>
  <c r="J173" i="21408"/>
  <c r="H8" i="21402"/>
  <c r="J104" i="21408"/>
  <c r="J9" i="21408"/>
  <c r="J115" i="21408"/>
  <c r="J189" i="21408"/>
  <c r="J190" i="21408" s="1"/>
  <c r="J154" i="21408"/>
  <c r="J247" i="21408"/>
  <c r="J181" i="21408"/>
  <c r="J46" i="21408"/>
  <c r="J19" i="21408"/>
  <c r="J159" i="21408"/>
  <c r="J288" i="21408"/>
  <c r="H37" i="21402"/>
  <c r="J69" i="21408"/>
  <c r="H17" i="21402"/>
  <c r="J185" i="21408"/>
  <c r="J17" i="21408"/>
  <c r="J303" i="21408"/>
  <c r="J162" i="21408"/>
  <c r="J22" i="21408"/>
  <c r="J207" i="21408"/>
  <c r="I83" i="21408"/>
  <c r="J93" i="21408"/>
  <c r="J87" i="21408"/>
  <c r="J225" i="21408"/>
  <c r="J102" i="21408"/>
  <c r="H9" i="21402"/>
  <c r="J30" i="21408"/>
  <c r="J135" i="21408"/>
  <c r="J160" i="21408"/>
  <c r="J68" i="21408"/>
  <c r="J304" i="21408"/>
  <c r="J118" i="21408"/>
  <c r="J56" i="21408"/>
  <c r="J133" i="21408"/>
  <c r="J110" i="21408"/>
  <c r="J25" i="21408"/>
  <c r="J148" i="21408"/>
  <c r="J231" i="21408"/>
  <c r="J166" i="21408"/>
  <c r="H49" i="21402"/>
  <c r="J45" i="21408"/>
  <c r="J220" i="21408"/>
  <c r="J251" i="21408"/>
  <c r="J136" i="21408"/>
  <c r="J139" i="21408"/>
  <c r="H10" i="21402"/>
  <c r="H60" i="21402"/>
  <c r="J204" i="21408"/>
  <c r="H26" i="21402"/>
  <c r="J11" i="21408"/>
  <c r="J255" i="21408"/>
  <c r="J128" i="21408"/>
  <c r="J86" i="21408"/>
  <c r="J232" i="21408"/>
  <c r="J109" i="21408"/>
  <c r="J250" i="21408"/>
  <c r="J146" i="21408"/>
  <c r="J132" i="21408"/>
  <c r="J171" i="21408"/>
  <c r="J237" i="21408"/>
  <c r="J155" i="21408"/>
  <c r="H24" i="21402"/>
  <c r="J84" i="21408"/>
  <c r="J72" i="21408"/>
  <c r="J158" i="21408"/>
  <c r="J206" i="21408"/>
  <c r="J113" i="21408"/>
  <c r="H39" i="21402"/>
  <c r="H58" i="21402"/>
  <c r="J12" i="21408"/>
  <c r="J47" i="21408"/>
  <c r="H4" i="21402"/>
  <c r="J5" i="21408"/>
  <c r="H55" i="21402"/>
  <c r="J226" i="21408"/>
  <c r="H22" i="21402"/>
  <c r="J177" i="21408"/>
  <c r="J257" i="21408"/>
  <c r="J55" i="21408"/>
  <c r="J131" i="21408"/>
  <c r="J27" i="21408"/>
  <c r="J193" i="21408"/>
  <c r="H38" i="21402"/>
  <c r="J33" i="21408"/>
  <c r="J15" i="21408"/>
  <c r="H41" i="21402"/>
  <c r="J180" i="21408"/>
  <c r="J125" i="21408"/>
  <c r="J172" i="21408"/>
  <c r="H34" i="21402"/>
  <c r="J212" i="21408"/>
  <c r="J4" i="21408"/>
  <c r="J201" i="21408"/>
  <c r="J141" i="21408"/>
  <c r="J65" i="21408"/>
  <c r="J161" i="21408"/>
  <c r="J140" i="21408"/>
  <c r="J150" i="21408"/>
  <c r="J103" i="21408"/>
  <c r="J224" i="21408"/>
  <c r="J76" i="21408"/>
  <c r="H71" i="21402"/>
  <c r="J233" i="21408"/>
  <c r="J230" i="21408"/>
  <c r="J60" i="21408"/>
  <c r="J143" i="21408"/>
  <c r="J286" i="21408"/>
  <c r="J350" i="21408"/>
  <c r="H67" i="21402"/>
  <c r="J351" i="21408"/>
  <c r="J29" i="21408"/>
  <c r="J164" i="21408"/>
  <c r="J127" i="21408"/>
  <c r="H35" i="21402"/>
  <c r="J137" i="21408"/>
  <c r="J163" i="21408"/>
  <c r="H61" i="21402"/>
  <c r="J142" i="21408"/>
  <c r="J169" i="21408"/>
  <c r="J28" i="21408"/>
  <c r="J184" i="21408"/>
  <c r="J301" i="21408"/>
  <c r="J122" i="21408"/>
  <c r="J138" i="21408"/>
  <c r="J101" i="21408"/>
  <c r="J126" i="21408"/>
  <c r="J105" i="21408"/>
  <c r="J57" i="21408"/>
  <c r="J153" i="21408"/>
  <c r="J202" i="21408"/>
  <c r="J156" i="21408"/>
  <c r="H72" i="21402"/>
  <c r="J219" i="21408"/>
  <c r="H56" i="21402"/>
  <c r="J229" i="21408"/>
  <c r="J356" i="21408"/>
  <c r="J77" i="21408"/>
  <c r="J345" i="21408"/>
  <c r="J120" i="21408"/>
  <c r="H33" i="21402"/>
  <c r="J300" i="21408"/>
  <c r="J66" i="21408"/>
  <c r="H51" i="21402"/>
  <c r="J210" i="21408"/>
  <c r="H69" i="21402"/>
  <c r="J89" i="21408"/>
  <c r="J191" i="21408"/>
  <c r="J290" i="21408"/>
  <c r="J182" i="21408"/>
  <c r="J346" i="21408"/>
  <c r="J94" i="21408"/>
  <c r="H25" i="21402"/>
  <c r="J183" i="21408"/>
  <c r="J217" i="21408"/>
  <c r="H6" i="21402"/>
  <c r="H59" i="21402"/>
  <c r="H57" i="21402"/>
  <c r="J287" i="21408"/>
  <c r="J223" i="21408"/>
  <c r="H15" i="21402"/>
  <c r="J129" i="21408"/>
  <c r="H40" i="21402"/>
  <c r="J73" i="21408"/>
  <c r="J108" i="21408"/>
  <c r="J14" i="21408"/>
  <c r="J8" i="21408"/>
  <c r="J24" i="21408"/>
  <c r="J31" i="21408"/>
  <c r="J52" i="21408"/>
  <c r="J48" i="21408"/>
  <c r="J114" i="21408"/>
  <c r="J208" i="21408"/>
  <c r="J32" i="21408"/>
  <c r="H19" i="21402"/>
  <c r="H54" i="21402"/>
  <c r="J79" i="21408"/>
  <c r="J186" i="21408"/>
  <c r="H18" i="21402"/>
  <c r="J294" i="21408"/>
  <c r="H32" i="21402"/>
  <c r="J178" i="21408"/>
  <c r="J96" i="21408"/>
  <c r="J258" i="21408"/>
  <c r="J78" i="21408"/>
  <c r="J205" i="21408"/>
  <c r="J81" i="21408"/>
  <c r="J53" i="21408"/>
  <c r="J228" i="21408"/>
  <c r="J259" i="21408"/>
  <c r="J152" i="21408"/>
  <c r="J111" i="21408"/>
  <c r="J88" i="21408"/>
  <c r="J100" i="21408"/>
  <c r="J149" i="21408"/>
  <c r="J215" i="21408"/>
  <c r="J252" i="21408"/>
  <c r="J192" i="21408"/>
  <c r="J344" i="21408"/>
  <c r="J85" i="21408"/>
  <c r="J7" i="21408"/>
  <c r="J117" i="21408"/>
  <c r="J16" i="21408"/>
  <c r="J116" i="21408"/>
  <c r="H53" i="21402"/>
  <c r="J203" i="21408"/>
  <c r="J82" i="21408"/>
  <c r="J291" i="21408"/>
  <c r="H43" i="21402"/>
  <c r="H20" i="21402"/>
  <c r="J20" i="21408"/>
  <c r="J119" i="21408"/>
  <c r="J112" i="21408"/>
  <c r="J18" i="21408"/>
  <c r="J63" i="21408"/>
  <c r="J107" i="21408"/>
  <c r="J145" i="21408"/>
  <c r="J80" i="21408"/>
  <c r="J21" i="21408"/>
  <c r="J10" i="21408"/>
  <c r="J349" i="21408"/>
  <c r="J97" i="21408"/>
  <c r="H52" i="21402"/>
  <c r="J147" i="21408"/>
  <c r="J253" i="21408"/>
  <c r="J211" i="21408"/>
  <c r="H5" i="21402"/>
  <c r="J144" i="21408"/>
  <c r="H36" i="21402"/>
  <c r="J64" i="21408"/>
  <c r="H70" i="21402"/>
  <c r="H16" i="21402"/>
  <c r="J23" i="21408"/>
  <c r="H3" i="21402"/>
  <c r="J134" i="21408"/>
  <c r="J54" i="21408"/>
  <c r="J222" i="21408"/>
  <c r="J151" i="21408"/>
  <c r="H21" i="21402"/>
  <c r="J61" i="21408"/>
  <c r="J34" i="21408"/>
  <c r="J157" i="21408"/>
  <c r="J58" i="21408"/>
  <c r="J174" i="21408"/>
  <c r="J238" i="21408"/>
  <c r="J62" i="21408"/>
  <c r="J44" i="21408"/>
  <c r="J240" i="21408"/>
  <c r="J343" i="21408"/>
  <c r="J347" i="21408" s="1"/>
  <c r="J91" i="21408"/>
  <c r="J49" i="21408"/>
  <c r="J170" i="21408"/>
  <c r="J227" i="21408"/>
  <c r="J179" i="21408"/>
  <c r="K298" i="21408"/>
  <c r="K299" i="21408" s="1"/>
  <c r="K293" i="21408"/>
  <c r="L293" i="21408"/>
  <c r="L298" i="21408"/>
  <c r="L299" i="21408" s="1"/>
  <c r="L43" i="21408"/>
  <c r="L42" i="21408" s="1"/>
  <c r="L41" i="21408" s="1"/>
  <c r="M104" i="21430"/>
  <c r="M4" i="21417" s="1"/>
  <c r="AY104" i="21430"/>
  <c r="AY4" i="21417" s="1"/>
  <c r="AX106" i="21430"/>
  <c r="AX6" i="21417" s="1"/>
  <c r="AW106" i="21430"/>
  <c r="AW6" i="21417" s="1"/>
  <c r="C108" i="21430"/>
  <c r="C8" i="21417" s="1"/>
  <c r="P51" i="21407" l="1"/>
  <c r="T172" i="21408"/>
  <c r="T206" i="21408"/>
  <c r="V9" i="21408"/>
  <c r="V69" i="21408"/>
  <c r="V13" i="21408"/>
  <c r="V217" i="21408"/>
  <c r="V130" i="21408"/>
  <c r="V200" i="21408"/>
  <c r="V193" i="21408"/>
  <c r="V256" i="21408"/>
  <c r="V33" i="21408"/>
  <c r="V93" i="21408"/>
  <c r="T38" i="21402"/>
  <c r="T60" i="21402"/>
  <c r="V246" i="21408"/>
  <c r="V127" i="21408"/>
  <c r="T42" i="21402"/>
  <c r="V14" i="21408"/>
  <c r="V149" i="21408"/>
  <c r="V113" i="21408"/>
  <c r="V225" i="21408"/>
  <c r="V356" i="21408"/>
  <c r="V228" i="21408"/>
  <c r="V72" i="21408"/>
  <c r="V23" i="21408"/>
  <c r="V160" i="21408"/>
  <c r="V141" i="21408"/>
  <c r="V142" i="21408"/>
  <c r="V163" i="21408"/>
  <c r="T18" i="21402"/>
  <c r="V85" i="21408"/>
  <c r="V47" i="21408"/>
  <c r="V181" i="21408"/>
  <c r="V49" i="21408"/>
  <c r="V177" i="21408"/>
  <c r="V180" i="21408"/>
  <c r="V75" i="21408"/>
  <c r="V90" i="21408"/>
  <c r="V91" i="21408"/>
  <c r="V30" i="21408"/>
  <c r="V67" i="21408"/>
  <c r="V287" i="21408"/>
  <c r="T10" i="21402"/>
  <c r="V128" i="21408"/>
  <c r="V185" i="21408"/>
  <c r="V97" i="21408"/>
  <c r="T36" i="21402"/>
  <c r="T3" i="21402"/>
  <c r="V46" i="21408"/>
  <c r="V119" i="21408"/>
  <c r="V150" i="21408"/>
  <c r="V151" i="21408"/>
  <c r="V179" i="21408"/>
  <c r="V132" i="21408"/>
  <c r="V24" i="21408"/>
  <c r="V133" i="21408"/>
  <c r="V136" i="21408"/>
  <c r="V50" i="21408"/>
  <c r="V158" i="21408"/>
  <c r="T34" i="21402"/>
  <c r="V60" i="21408"/>
  <c r="V125" i="21408"/>
  <c r="V202" i="21408"/>
  <c r="T20" i="21402"/>
  <c r="T37" i="21402"/>
  <c r="V184" i="21408"/>
  <c r="V124" i="21408"/>
  <c r="V289" i="21408"/>
  <c r="V346" i="21408"/>
  <c r="V64" i="21408"/>
  <c r="V101" i="21408"/>
  <c r="V74" i="21408"/>
  <c r="V171" i="21408"/>
  <c r="V294" i="21408"/>
  <c r="V293" i="21408" s="1"/>
  <c r="T33" i="21402"/>
  <c r="V117" i="21408"/>
  <c r="V189" i="21408"/>
  <c r="V190" i="21408" s="1"/>
  <c r="V173" i="21408"/>
  <c r="V164" i="21408"/>
  <c r="T72" i="21402"/>
  <c r="V145" i="21408"/>
  <c r="V32" i="21408"/>
  <c r="V165" i="21408"/>
  <c r="V139" i="21408"/>
  <c r="V79" i="21408"/>
  <c r="V107" i="21408"/>
  <c r="V288" i="21408"/>
  <c r="T49" i="21402"/>
  <c r="V144" i="21408"/>
  <c r="T40" i="21402"/>
  <c r="V220" i="21408"/>
  <c r="V208" i="21408"/>
  <c r="V78" i="21408"/>
  <c r="V259" i="21408"/>
  <c r="V345" i="21408"/>
  <c r="V108" i="21408"/>
  <c r="V56" i="21408"/>
  <c r="V229" i="21408"/>
  <c r="T25" i="21402"/>
  <c r="V249" i="21408"/>
  <c r="V88" i="21408"/>
  <c r="V154" i="21408"/>
  <c r="V250" i="21408"/>
  <c r="V122" i="21408"/>
  <c r="T19" i="21402"/>
  <c r="V203" i="21408"/>
  <c r="V16" i="21408"/>
  <c r="V204" i="21408"/>
  <c r="T68" i="21402"/>
  <c r="V59" i="21408"/>
  <c r="T41" i="21402"/>
  <c r="V155" i="21408"/>
  <c r="V350" i="21408"/>
  <c r="V116" i="21408"/>
  <c r="V92" i="21408"/>
  <c r="V22" i="21408"/>
  <c r="V226" i="21408"/>
  <c r="V112" i="21408"/>
  <c r="T6" i="21402"/>
  <c r="T58" i="21402"/>
  <c r="V20" i="21408"/>
  <c r="V232" i="21408"/>
  <c r="V166" i="21408"/>
  <c r="V183" i="21408"/>
  <c r="V137" i="21408"/>
  <c r="V143" i="21408"/>
  <c r="V129" i="21408"/>
  <c r="V118" i="21408"/>
  <c r="T24" i="21402"/>
  <c r="V182" i="21408"/>
  <c r="V170" i="21408"/>
  <c r="V167" i="21408"/>
  <c r="V25" i="21408"/>
  <c r="V219" i="21408"/>
  <c r="V44" i="21408"/>
  <c r="V303" i="21408"/>
  <c r="V29" i="21408"/>
  <c r="V21" i="21408"/>
  <c r="V80" i="21408"/>
  <c r="V300" i="21408"/>
  <c r="V126" i="21408"/>
  <c r="T22" i="21402"/>
  <c r="V65" i="21408"/>
  <c r="V248" i="21408"/>
  <c r="V6" i="21408"/>
  <c r="T56" i="21402"/>
  <c r="V162" i="21408"/>
  <c r="V95" i="21408"/>
  <c r="V191" i="21408"/>
  <c r="V103" i="21408"/>
  <c r="V106" i="21408"/>
  <c r="V253" i="21408"/>
  <c r="V115" i="21408"/>
  <c r="V58" i="21408"/>
  <c r="V213" i="21408"/>
  <c r="V304" i="21408"/>
  <c r="V255" i="21408"/>
  <c r="T4" i="21402"/>
  <c r="V94" i="21408"/>
  <c r="T69" i="21402"/>
  <c r="V81" i="21408"/>
  <c r="T9" i="21402"/>
  <c r="V120" i="21408"/>
  <c r="V207" i="21408"/>
  <c r="T17" i="21402"/>
  <c r="V77" i="21408"/>
  <c r="V157" i="21408"/>
  <c r="V96" i="21408"/>
  <c r="V186" i="21408"/>
  <c r="V252" i="21408"/>
  <c r="V99" i="21408"/>
  <c r="V70" i="21408"/>
  <c r="V138" i="21408"/>
  <c r="V31" i="21408"/>
  <c r="V11" i="21408"/>
  <c r="V140" i="21408"/>
  <c r="V218" i="21408"/>
  <c r="V51" i="21408"/>
  <c r="V233" i="21408"/>
  <c r="V27" i="21408"/>
  <c r="V205" i="21408"/>
  <c r="V105" i="21408"/>
  <c r="V290" i="21408"/>
  <c r="V168" i="21408"/>
  <c r="V148" i="21408"/>
  <c r="V19" i="21408"/>
  <c r="V257" i="21408"/>
  <c r="V5" i="21408"/>
  <c r="V161" i="21408"/>
  <c r="V301" i="21408"/>
  <c r="V221" i="21408"/>
  <c r="V26" i="21408"/>
  <c r="U83" i="21408"/>
  <c r="V230" i="21408"/>
  <c r="V231" i="21408"/>
  <c r="T32" i="21402"/>
  <c r="V17" i="21408"/>
  <c r="V146" i="21408"/>
  <c r="V82" i="21408"/>
  <c r="T51" i="21402"/>
  <c r="V18" i="21408"/>
  <c r="V349" i="21408"/>
  <c r="V110" i="21408"/>
  <c r="T23" i="21402"/>
  <c r="V73" i="21408"/>
  <c r="V159" i="21408"/>
  <c r="V8" i="21408"/>
  <c r="V247" i="21408"/>
  <c r="T52" i="21402"/>
  <c r="V45" i="21408"/>
  <c r="V43" i="21408" s="1"/>
  <c r="V42" i="21408" s="1"/>
  <c r="V41" i="21408" s="1"/>
  <c r="V63" i="21408"/>
  <c r="V240" i="21408"/>
  <c r="V192" i="21408"/>
  <c r="V135" i="21408"/>
  <c r="V211" i="21408"/>
  <c r="V343" i="21408"/>
  <c r="V347" i="21408" s="1"/>
  <c r="V216" i="21408"/>
  <c r="V131" i="21408"/>
  <c r="V178" i="21408"/>
  <c r="V68" i="21408"/>
  <c r="V245" i="21408"/>
  <c r="T35" i="21402"/>
  <c r="V111" i="21408"/>
  <c r="V251" i="21408"/>
  <c r="T21" i="21402"/>
  <c r="T5" i="21402"/>
  <c r="V34" i="21408"/>
  <c r="V109" i="21408"/>
  <c r="V206" i="21408"/>
  <c r="V134" i="21408"/>
  <c r="V169" i="21408"/>
  <c r="T8" i="21402"/>
  <c r="V10" i="21408"/>
  <c r="T53" i="21402"/>
  <c r="V212" i="21408"/>
  <c r="V62" i="21408"/>
  <c r="T54" i="21402"/>
  <c r="V123" i="21408"/>
  <c r="T258" i="21408"/>
  <c r="T216" i="21408"/>
  <c r="P43" i="21407"/>
  <c r="T89" i="21408"/>
  <c r="T129" i="21408"/>
  <c r="T165" i="21408"/>
  <c r="T180" i="21408"/>
  <c r="T192" i="21408"/>
  <c r="T288" i="21408"/>
  <c r="T238" i="21408"/>
  <c r="R43" i="21402"/>
  <c r="T32" i="21408"/>
  <c r="T158" i="21408"/>
  <c r="T240" i="21408"/>
  <c r="T253" i="21408"/>
  <c r="T125" i="21408"/>
  <c r="T53" i="21408"/>
  <c r="P58" i="21407"/>
  <c r="T22" i="21408"/>
  <c r="R50" i="21402"/>
  <c r="R23" i="21402"/>
  <c r="P53" i="21407"/>
  <c r="P16" i="21407"/>
  <c r="T286" i="21408"/>
  <c r="R39" i="21402"/>
  <c r="T110" i="21408"/>
  <c r="R42" i="21402"/>
  <c r="T163" i="21408"/>
  <c r="T213" i="21408"/>
  <c r="T356" i="21408"/>
  <c r="T179" i="21408"/>
  <c r="T77" i="21408"/>
  <c r="T173" i="21408"/>
  <c r="T54" i="21408"/>
  <c r="T260" i="21408"/>
  <c r="R52" i="21402"/>
  <c r="T90" i="21408"/>
  <c r="T112" i="21408"/>
  <c r="T6" i="21408"/>
  <c r="R54" i="21402"/>
  <c r="P47" i="21407"/>
  <c r="T92" i="21408"/>
  <c r="T189" i="21408"/>
  <c r="T190" i="21408" s="1"/>
  <c r="T174" i="21408"/>
  <c r="R15" i="21402"/>
  <c r="T116" i="21408"/>
  <c r="T132" i="21408"/>
  <c r="R51" i="21402"/>
  <c r="T204" i="21408"/>
  <c r="T171" i="21408"/>
  <c r="T96" i="21408"/>
  <c r="T52" i="21408"/>
  <c r="R55" i="21402"/>
  <c r="R9" i="21402"/>
  <c r="P10" i="21407"/>
  <c r="T226" i="21408"/>
  <c r="T65" i="21408"/>
  <c r="P8" i="21407"/>
  <c r="R37" i="21402"/>
  <c r="R72" i="21402"/>
  <c r="R58" i="21402"/>
  <c r="T27" i="21408"/>
  <c r="P15" i="21407"/>
  <c r="T4" i="21408"/>
  <c r="T304" i="21408"/>
  <c r="T14" i="21408"/>
  <c r="T256" i="21408"/>
  <c r="T139" i="21408"/>
  <c r="T233" i="21408"/>
  <c r="T193" i="21408"/>
  <c r="R71" i="21402"/>
  <c r="T70" i="21408"/>
  <c r="T33" i="21408"/>
  <c r="R35" i="21402"/>
  <c r="T182" i="21408"/>
  <c r="T76" i="21408"/>
  <c r="T84" i="21408"/>
  <c r="T191" i="21408"/>
  <c r="T126" i="21408"/>
  <c r="T100" i="21408"/>
  <c r="T12" i="21408"/>
  <c r="T57" i="21408"/>
  <c r="T343" i="21408"/>
  <c r="T347" i="21408" s="1"/>
  <c r="T162" i="21408"/>
  <c r="T28" i="21408"/>
  <c r="T154" i="21408"/>
  <c r="R16" i="21402"/>
  <c r="T63" i="21408"/>
  <c r="T15" i="21408"/>
  <c r="T5" i="21408"/>
  <c r="T167" i="21408"/>
  <c r="R60" i="21402"/>
  <c r="R21" i="21402"/>
  <c r="T201" i="21408"/>
  <c r="P22" i="21407"/>
  <c r="T29" i="21408"/>
  <c r="T135" i="21408"/>
  <c r="P14" i="21407"/>
  <c r="T142" i="21408"/>
  <c r="T11" i="21408"/>
  <c r="T184" i="21408"/>
  <c r="T178" i="21408"/>
  <c r="T166" i="21408"/>
  <c r="T207" i="21408"/>
  <c r="T152" i="21408"/>
  <c r="T291" i="21408"/>
  <c r="T134" i="21408"/>
  <c r="R8" i="21402"/>
  <c r="T13" i="21408"/>
  <c r="T56" i="21408"/>
  <c r="R18" i="21402"/>
  <c r="T104" i="21408"/>
  <c r="R61" i="21402"/>
  <c r="T141" i="21408"/>
  <c r="R34" i="21402"/>
  <c r="T157" i="21408"/>
  <c r="T218" i="21408"/>
  <c r="T133" i="21408"/>
  <c r="T349" i="21408"/>
  <c r="T118" i="21408"/>
  <c r="T229" i="21408"/>
  <c r="T86" i="21408"/>
  <c r="T18" i="21408"/>
  <c r="T113" i="21408"/>
  <c r="T119" i="21408"/>
  <c r="T249" i="21408"/>
  <c r="R57" i="21402"/>
  <c r="T159" i="21408"/>
  <c r="T47" i="21408"/>
  <c r="T169" i="21408"/>
  <c r="R40" i="21402"/>
  <c r="T46" i="21408"/>
  <c r="T78" i="21408"/>
  <c r="T101" i="21408"/>
  <c r="T289" i="21408"/>
  <c r="P30" i="21407"/>
  <c r="T59" i="21408"/>
  <c r="P40" i="21407"/>
  <c r="T143" i="21408"/>
  <c r="T153" i="21408"/>
  <c r="T205" i="21408"/>
  <c r="T61" i="21408"/>
  <c r="T300" i="21408"/>
  <c r="T257" i="21408"/>
  <c r="T127" i="21408"/>
  <c r="T64" i="21408"/>
  <c r="P54" i="21407"/>
  <c r="T26" i="21408"/>
  <c r="R69" i="21402"/>
  <c r="T48" i="21408"/>
  <c r="P57" i="21407"/>
  <c r="T58" i="21408"/>
  <c r="T250" i="21408"/>
  <c r="T211" i="21408"/>
  <c r="P36" i="21407"/>
  <c r="T219" i="21408"/>
  <c r="P24" i="21407"/>
  <c r="T87" i="21408"/>
  <c r="T168" i="21408"/>
  <c r="P60" i="21407"/>
  <c r="T145" i="21408"/>
  <c r="T85" i="21408"/>
  <c r="Q49" i="21402"/>
  <c r="S162" i="21408"/>
  <c r="S167" i="21408"/>
  <c r="S95" i="21408"/>
  <c r="S240" i="21408"/>
  <c r="O42" i="21407"/>
  <c r="S180" i="21408"/>
  <c r="R83" i="21408"/>
  <c r="Q10" i="21402"/>
  <c r="S160" i="21408"/>
  <c r="S124" i="21408"/>
  <c r="Q43" i="21402"/>
  <c r="S189" i="21408"/>
  <c r="S190" i="21408" s="1"/>
  <c r="O5" i="21407"/>
  <c r="Q69" i="21402"/>
  <c r="S60" i="21408"/>
  <c r="S289" i="21408"/>
  <c r="S64" i="21408"/>
  <c r="S91" i="21408"/>
  <c r="O16" i="21407"/>
  <c r="S345" i="21408"/>
  <c r="S48" i="21408"/>
  <c r="S104" i="21408"/>
  <c r="S70" i="21408"/>
  <c r="S80" i="21408"/>
  <c r="O8" i="21407"/>
  <c r="S126" i="21408"/>
  <c r="S294" i="21408"/>
  <c r="Q4" i="21402"/>
  <c r="O22" i="21407"/>
  <c r="O36" i="21407"/>
  <c r="S111" i="21408"/>
  <c r="O20" i="21407"/>
  <c r="S174" i="21408"/>
  <c r="S300" i="21408"/>
  <c r="S208" i="21408"/>
  <c r="Q9" i="21402"/>
  <c r="S131" i="21408"/>
  <c r="S66" i="21408"/>
  <c r="S138" i="21408"/>
  <c r="S179" i="21408"/>
  <c r="O51" i="21407"/>
  <c r="S106" i="21408"/>
  <c r="S246" i="21408"/>
  <c r="S231" i="21408"/>
  <c r="S303" i="21408"/>
  <c r="S30" i="21408"/>
  <c r="Q68" i="21402"/>
  <c r="S6" i="21408"/>
  <c r="S84" i="21408"/>
  <c r="S74" i="21408"/>
  <c r="Q50" i="21402"/>
  <c r="S149" i="21408"/>
  <c r="S78" i="21408"/>
  <c r="Q54" i="21402"/>
  <c r="Q60" i="21402"/>
  <c r="S252" i="21408"/>
  <c r="S229" i="21408"/>
  <c r="S116" i="21408"/>
  <c r="S156" i="21408"/>
  <c r="S22" i="21408"/>
  <c r="O56" i="21407"/>
  <c r="S31" i="21408"/>
  <c r="S122" i="21408"/>
  <c r="S99" i="21408"/>
  <c r="S112" i="21408"/>
  <c r="S128" i="21408"/>
  <c r="O49" i="21407"/>
  <c r="S201" i="21408"/>
  <c r="S200" i="21408"/>
  <c r="S206" i="21408"/>
  <c r="Q70" i="21402"/>
  <c r="S140" i="21408"/>
  <c r="S81" i="21408"/>
  <c r="Q59" i="21402"/>
  <c r="S65" i="21408"/>
  <c r="S249" i="21408"/>
  <c r="O21" i="21407"/>
  <c r="S117" i="21408"/>
  <c r="S11" i="21408"/>
  <c r="S161" i="21408"/>
  <c r="S351" i="21408"/>
  <c r="S248" i="21408"/>
  <c r="S21" i="21408"/>
  <c r="S290" i="21408"/>
  <c r="Q32" i="21402"/>
  <c r="S186" i="21408"/>
  <c r="S213" i="21408"/>
  <c r="S183" i="21408"/>
  <c r="S133" i="21408"/>
  <c r="S113" i="21408"/>
  <c r="O37" i="21407"/>
  <c r="O14" i="21407"/>
  <c r="S163" i="21408"/>
  <c r="Q26" i="21402"/>
  <c r="S146" i="21408"/>
  <c r="S62" i="21408"/>
  <c r="S136" i="21408"/>
  <c r="S45" i="21408"/>
  <c r="S43" i="21408" s="1"/>
  <c r="S42" i="21408" s="1"/>
  <c r="S41" i="21408" s="1"/>
  <c r="S12" i="21408"/>
  <c r="S349" i="21408"/>
  <c r="S232" i="21408"/>
  <c r="Q17" i="21402"/>
  <c r="S227" i="21408"/>
  <c r="Q22" i="21402"/>
  <c r="Q53" i="21402"/>
  <c r="S59" i="21408"/>
  <c r="S164" i="21408"/>
  <c r="S134" i="21408"/>
  <c r="S26" i="21408"/>
  <c r="O24" i="21407"/>
  <c r="S61" i="21408"/>
  <c r="S50" i="21408"/>
  <c r="S120" i="21408"/>
  <c r="S32" i="21408"/>
  <c r="Q8" i="21402"/>
  <c r="S33" i="21408"/>
  <c r="S58" i="21408"/>
  <c r="S225" i="21408"/>
  <c r="S244" i="21408" s="1"/>
  <c r="S243" i="21408" s="1"/>
  <c r="S242" i="21408" s="1"/>
  <c r="S247" i="21408"/>
  <c r="Q51" i="21402"/>
  <c r="O10" i="21407"/>
  <c r="Q6" i="21402"/>
  <c r="O40" i="21407"/>
  <c r="S56" i="21408"/>
  <c r="S53" i="21408"/>
  <c r="S226" i="21408"/>
  <c r="S52" i="21408"/>
  <c r="Q41" i="21402"/>
  <c r="S143" i="21408"/>
  <c r="S105" i="21408"/>
  <c r="S250" i="21408"/>
  <c r="S259" i="21408"/>
  <c r="S204" i="21408"/>
  <c r="S86" i="21408"/>
  <c r="S181" i="21408"/>
  <c r="Q72" i="21402"/>
  <c r="S170" i="21408"/>
  <c r="S102" i="21408"/>
  <c r="S221" i="21408"/>
  <c r="S100" i="21408"/>
  <c r="Q15" i="21402"/>
  <c r="O46" i="21407"/>
  <c r="S14" i="21408"/>
  <c r="S127" i="21408"/>
  <c r="S129" i="21408"/>
  <c r="O57" i="21407"/>
  <c r="S27" i="21408"/>
  <c r="Q52" i="21402"/>
  <c r="S178" i="21408"/>
  <c r="S191" i="21408"/>
  <c r="O53" i="21407"/>
  <c r="S233" i="21408"/>
  <c r="Q16" i="21402"/>
  <c r="S145" i="21408"/>
  <c r="S257" i="21408"/>
  <c r="Q55" i="21402"/>
  <c r="S344" i="21408"/>
  <c r="S125" i="21408"/>
  <c r="S46" i="21408"/>
  <c r="S98" i="21408"/>
  <c r="S63" i="21408"/>
  <c r="S153" i="21408"/>
  <c r="O43" i="21407"/>
  <c r="Q23" i="21402"/>
  <c r="O41" i="21407"/>
  <c r="S17" i="21408"/>
  <c r="Q37" i="21402"/>
  <c r="S51" i="21408"/>
  <c r="S68" i="21408"/>
  <c r="S157" i="21408"/>
  <c r="O4" i="21407"/>
  <c r="O19" i="21407"/>
  <c r="Q35" i="21402"/>
  <c r="Q39" i="21402"/>
  <c r="S29" i="21408"/>
  <c r="S343" i="21408"/>
  <c r="S347" i="21408" s="1"/>
  <c r="S142" i="21408"/>
  <c r="S96" i="21408"/>
  <c r="O55" i="21407"/>
  <c r="S15" i="21408"/>
  <c r="S121" i="21408"/>
  <c r="Q24" i="21402"/>
  <c r="I65" i="21408"/>
  <c r="L164" i="21408"/>
  <c r="J38" i="21402"/>
  <c r="L48" i="21408"/>
  <c r="AC89" i="21435"/>
  <c r="L203" i="21408"/>
  <c r="H30" i="21407"/>
  <c r="L21" i="21408"/>
  <c r="L70" i="21408"/>
  <c r="L49" i="21408"/>
  <c r="J41" i="21402"/>
  <c r="L172" i="21408"/>
  <c r="L248" i="21408"/>
  <c r="L62" i="21408"/>
  <c r="H49" i="21407"/>
  <c r="L220" i="21408"/>
  <c r="L74" i="21408"/>
  <c r="L115" i="21408"/>
  <c r="H6" i="21407"/>
  <c r="H41" i="21407"/>
  <c r="L351" i="21408"/>
  <c r="L123" i="21408"/>
  <c r="L135" i="21408"/>
  <c r="L142" i="21408"/>
  <c r="L213" i="21408"/>
  <c r="J35" i="21402"/>
  <c r="L129" i="21408"/>
  <c r="L107" i="21408"/>
  <c r="L165" i="21408"/>
  <c r="L200" i="21408"/>
  <c r="L90" i="21408"/>
  <c r="J32" i="21402"/>
  <c r="L13" i="21408"/>
  <c r="L170" i="21408"/>
  <c r="L222" i="21408"/>
  <c r="H54" i="21407"/>
  <c r="L15" i="21408"/>
  <c r="J5" i="21402"/>
  <c r="L53" i="21408"/>
  <c r="L20" i="21408"/>
  <c r="J39" i="21402"/>
  <c r="L290" i="21408"/>
  <c r="L56" i="21408"/>
  <c r="J9" i="21402"/>
  <c r="L68" i="21408"/>
  <c r="L52" i="21408"/>
  <c r="L100" i="21408"/>
  <c r="L229" i="21408"/>
  <c r="L98" i="21408"/>
  <c r="H42" i="21407"/>
  <c r="L255" i="21408"/>
  <c r="L149" i="21408"/>
  <c r="L61" i="21408"/>
  <c r="J42" i="21402"/>
  <c r="J26" i="21402"/>
  <c r="L9" i="21408"/>
  <c r="L108" i="21408"/>
  <c r="L134" i="21408"/>
  <c r="L132" i="21408"/>
  <c r="L88" i="21408"/>
  <c r="L221" i="21408"/>
  <c r="L139" i="21408"/>
  <c r="J58" i="21402"/>
  <c r="J50" i="21402"/>
  <c r="L183" i="21408"/>
  <c r="H56" i="21407"/>
  <c r="H10" i="21407"/>
  <c r="L64" i="21408"/>
  <c r="L128" i="21408"/>
  <c r="K169" i="21408"/>
  <c r="K10" i="21408"/>
  <c r="K113" i="21408"/>
  <c r="K5" i="21408"/>
  <c r="K213" i="21408"/>
  <c r="K209" i="21408" s="1"/>
  <c r="I71" i="21402"/>
  <c r="K158" i="21408"/>
  <c r="K231" i="21408"/>
  <c r="J83" i="21408"/>
  <c r="K228" i="21408"/>
  <c r="K27" i="21408"/>
  <c r="I4" i="21402"/>
  <c r="K141" i="21408"/>
  <c r="K80" i="21408"/>
  <c r="I52" i="21402"/>
  <c r="I15" i="21402"/>
  <c r="K105" i="21408"/>
  <c r="K145" i="21408"/>
  <c r="K84" i="21408"/>
  <c r="I19" i="21402"/>
  <c r="K157" i="21408"/>
  <c r="K12" i="21408"/>
  <c r="K136" i="21408"/>
  <c r="K16" i="21408"/>
  <c r="K170" i="21408"/>
  <c r="K44" i="21408"/>
  <c r="K17" i="21408"/>
  <c r="K92" i="21408"/>
  <c r="K70" i="21408"/>
  <c r="K153" i="21408"/>
  <c r="K71" i="21408"/>
  <c r="K144" i="21408"/>
  <c r="K93" i="21408"/>
  <c r="K78" i="21408"/>
  <c r="K13" i="21408"/>
  <c r="K97" i="21408"/>
  <c r="K66" i="21408"/>
  <c r="K20" i="21408"/>
  <c r="I33" i="21402"/>
  <c r="K304" i="21408"/>
  <c r="K22" i="21408"/>
  <c r="K73" i="21408"/>
  <c r="I51" i="21402"/>
  <c r="K216" i="21408"/>
  <c r="I56" i="21402"/>
  <c r="K166" i="21408"/>
  <c r="K60" i="21408"/>
  <c r="K192" i="21408"/>
  <c r="K28" i="21408"/>
  <c r="I10" i="21402"/>
  <c r="K186" i="21408"/>
  <c r="K133" i="21408"/>
  <c r="K75" i="21408"/>
  <c r="K68" i="21408"/>
  <c r="K146" i="21408"/>
  <c r="K248" i="21408"/>
  <c r="K208" i="21408"/>
  <c r="K74" i="21408"/>
  <c r="K233" i="21408"/>
  <c r="K143" i="21408"/>
  <c r="K99" i="21408"/>
  <c r="K58" i="21408"/>
  <c r="K178" i="21408"/>
  <c r="K155" i="21408"/>
  <c r="K193" i="21408"/>
  <c r="K191" i="21408"/>
  <c r="K350" i="21408"/>
  <c r="G37" i="21407"/>
  <c r="G42" i="21402"/>
  <c r="AH49" i="21402"/>
  <c r="AJ46" i="21408"/>
  <c r="AJ179" i="21408"/>
  <c r="AH41" i="21402"/>
  <c r="AJ33" i="21408"/>
  <c r="AJ30" i="21408"/>
  <c r="AB31" i="21407"/>
  <c r="AJ303" i="21408"/>
  <c r="AH35" i="21402"/>
  <c r="AJ260" i="21408"/>
  <c r="AH60" i="21402"/>
  <c r="AJ82" i="21408"/>
  <c r="AJ163" i="21408"/>
  <c r="AJ103" i="21408"/>
  <c r="AH68" i="21402"/>
  <c r="AJ252" i="21408"/>
  <c r="AB5" i="21407"/>
  <c r="AJ133" i="21408"/>
  <c r="AJ63" i="21408"/>
  <c r="AJ127" i="21408"/>
  <c r="AJ64" i="21408"/>
  <c r="AJ45" i="21408"/>
  <c r="AJ192" i="21408"/>
  <c r="AJ122" i="21408"/>
  <c r="AB20" i="21407"/>
  <c r="AH33" i="21402"/>
  <c r="AJ206" i="21408"/>
  <c r="AJ159" i="21408"/>
  <c r="AJ227" i="21408"/>
  <c r="AJ118" i="21408"/>
  <c r="AJ18" i="21408"/>
  <c r="AJ304" i="21408"/>
  <c r="AH54" i="21402"/>
  <c r="AH57" i="21402"/>
  <c r="AJ71" i="21408"/>
  <c r="AB44" i="21407"/>
  <c r="AJ256" i="21408"/>
  <c r="AH3" i="21402"/>
  <c r="AB32" i="21407"/>
  <c r="AJ154" i="21408"/>
  <c r="AJ101" i="21408"/>
  <c r="AH21" i="21402"/>
  <c r="AJ138" i="21408"/>
  <c r="AJ34" i="21408"/>
  <c r="AH43" i="21402"/>
  <c r="AJ155" i="21408"/>
  <c r="AB42" i="21407"/>
  <c r="AJ75" i="21408"/>
  <c r="AJ29" i="21408"/>
  <c r="AJ257" i="21408"/>
  <c r="AJ10" i="21408"/>
  <c r="AJ132" i="21408"/>
  <c r="AB58" i="21407"/>
  <c r="AJ126" i="21408"/>
  <c r="AJ288" i="21408"/>
  <c r="AJ183" i="21408"/>
  <c r="AJ229" i="21408"/>
  <c r="AH71" i="21402"/>
  <c r="AJ115" i="21408"/>
  <c r="AH25" i="21402"/>
  <c r="AH53" i="21402"/>
  <c r="AH16" i="21402"/>
  <c r="AJ104" i="21408"/>
  <c r="AB15" i="21407"/>
  <c r="AH40" i="21402"/>
  <c r="AJ349" i="21408"/>
  <c r="AJ162" i="21408"/>
  <c r="AJ130" i="21408"/>
  <c r="AJ77" i="21408"/>
  <c r="AJ187" i="21408"/>
  <c r="AJ188" i="21408" s="1"/>
  <c r="AJ238" i="21408"/>
  <c r="AJ131" i="21408"/>
  <c r="AB53" i="21407"/>
  <c r="AJ289" i="21408"/>
  <c r="AB40" i="21407"/>
  <c r="AJ15" i="21408"/>
  <c r="AJ140" i="21408"/>
  <c r="AJ228" i="21408"/>
  <c r="AB41" i="21407"/>
  <c r="AJ287" i="21408"/>
  <c r="AJ51" i="21408"/>
  <c r="AJ166" i="21408"/>
  <c r="AH17" i="21402"/>
  <c r="AJ81" i="21408"/>
  <c r="AJ258" i="21408"/>
  <c r="AJ344" i="21408"/>
  <c r="AJ178" i="21408"/>
  <c r="AJ108" i="21408"/>
  <c r="AJ76" i="21408"/>
  <c r="AJ137" i="21408"/>
  <c r="AH59" i="21402"/>
  <c r="AB34" i="21407"/>
  <c r="AB56" i="21407"/>
  <c r="AH8" i="21402"/>
  <c r="AJ23" i="21408"/>
  <c r="AH19" i="21402"/>
  <c r="AJ356" i="21408"/>
  <c r="AJ102" i="21408"/>
  <c r="AJ114" i="21408"/>
  <c r="AB8" i="21407"/>
  <c r="AJ111" i="21408"/>
  <c r="AH51" i="21402"/>
  <c r="AJ32" i="21408"/>
  <c r="AH5" i="21402"/>
  <c r="AJ135" i="21408"/>
  <c r="AJ4" i="21408"/>
  <c r="AJ149" i="21408"/>
  <c r="AJ345" i="21408"/>
  <c r="AJ106" i="21408"/>
  <c r="AJ67" i="21408"/>
  <c r="AJ13" i="21408"/>
  <c r="AH37" i="21402"/>
  <c r="AJ28" i="21408"/>
  <c r="AJ185" i="21408"/>
  <c r="AJ8" i="21408"/>
  <c r="AB46" i="21407"/>
  <c r="AJ25" i="21408"/>
  <c r="AJ112" i="21408"/>
  <c r="AJ171" i="21408"/>
  <c r="AJ100" i="21408"/>
  <c r="AJ291" i="21408"/>
  <c r="AJ301" i="21408"/>
  <c r="AJ221" i="21408"/>
  <c r="AJ56" i="21408"/>
  <c r="AJ157" i="21408"/>
  <c r="AJ11" i="21408"/>
  <c r="AJ86" i="21408"/>
  <c r="AJ134" i="21408"/>
  <c r="AH55" i="21402"/>
  <c r="AB24" i="21407"/>
  <c r="AJ351" i="21408"/>
  <c r="AH42" i="21402"/>
  <c r="AB55" i="21407"/>
  <c r="AJ167" i="21408"/>
  <c r="AJ294" i="21408"/>
  <c r="AJ94" i="21408"/>
  <c r="AJ346" i="21408"/>
  <c r="AJ204" i="21408"/>
  <c r="AJ55" i="21408"/>
  <c r="AH70" i="21402"/>
  <c r="AH24" i="21402"/>
  <c r="AJ250" i="21408"/>
  <c r="AH38" i="21402"/>
  <c r="AJ189" i="21408"/>
  <c r="AJ190" i="21408" s="1"/>
  <c r="AH32" i="21402"/>
  <c r="AB50" i="21407"/>
  <c r="AJ143" i="21408"/>
  <c r="AH50" i="21402"/>
  <c r="H12" i="21407"/>
  <c r="AJ121" i="21408"/>
  <c r="AJ85" i="21408"/>
  <c r="AJ92" i="21408"/>
  <c r="AJ124" i="21408"/>
  <c r="AJ246" i="21408"/>
  <c r="AJ253" i="21408"/>
  <c r="AH20" i="21402"/>
  <c r="AH22" i="21402"/>
  <c r="AJ91" i="21408"/>
  <c r="AJ5" i="21408"/>
  <c r="AB30" i="21407"/>
  <c r="AJ160" i="21408"/>
  <c r="AJ226" i="21408"/>
  <c r="AJ286" i="21408"/>
  <c r="AJ151" i="21408"/>
  <c r="AJ150" i="21408"/>
  <c r="AJ61" i="21408"/>
  <c r="AB10" i="21407"/>
  <c r="AJ186" i="21408"/>
  <c r="AJ174" i="21408"/>
  <c r="AJ62" i="21408"/>
  <c r="AJ105" i="21408"/>
  <c r="AJ97" i="21408"/>
  <c r="AJ44" i="21408"/>
  <c r="AJ110" i="21408"/>
  <c r="AJ50" i="21408"/>
  <c r="AJ207" i="21408"/>
  <c r="AJ53" i="21408"/>
  <c r="AJ193" i="21408"/>
  <c r="AJ123" i="21408"/>
  <c r="AJ191" i="21408"/>
  <c r="AJ54" i="21408"/>
  <c r="AJ205" i="21408"/>
  <c r="AJ31" i="21408"/>
  <c r="AJ7" i="21408"/>
  <c r="AJ128" i="21408"/>
  <c r="AJ219" i="21408"/>
  <c r="AJ6" i="21408"/>
  <c r="AJ80" i="21408"/>
  <c r="AJ165" i="21408"/>
  <c r="AB38" i="21407"/>
  <c r="AJ59" i="21408"/>
  <c r="AJ237" i="21408"/>
  <c r="AJ72" i="21408"/>
  <c r="AJ21" i="21408"/>
  <c r="AH58" i="21402"/>
  <c r="AH72" i="21402"/>
  <c r="AJ172" i="21408"/>
  <c r="AJ231" i="21408"/>
  <c r="AJ48" i="21408"/>
  <c r="AJ240" i="21408"/>
  <c r="AJ254" i="21408"/>
  <c r="AJ350" i="21408"/>
  <c r="AJ144" i="21408"/>
  <c r="AJ152" i="21408"/>
  <c r="AB22" i="21407"/>
  <c r="AJ184" i="21408"/>
  <c r="AJ99" i="21408"/>
  <c r="AJ129" i="21408"/>
  <c r="AJ148" i="21408"/>
  <c r="AH10" i="21402"/>
  <c r="AH69" i="21402"/>
  <c r="AJ173" i="21408"/>
  <c r="AJ47" i="21408"/>
  <c r="AJ168" i="21408"/>
  <c r="AB37" i="21407"/>
  <c r="AH61" i="21402"/>
  <c r="AB9" i="21407"/>
  <c r="AJ201" i="21408"/>
  <c r="AJ14" i="21408"/>
  <c r="AH18" i="21402"/>
  <c r="AJ20" i="21408"/>
  <c r="AJ212" i="21408"/>
  <c r="AJ70" i="21408"/>
  <c r="AH34" i="21402"/>
  <c r="AJ208" i="21408"/>
  <c r="AJ57" i="21408"/>
  <c r="AJ164" i="21408"/>
  <c r="AJ251" i="21408"/>
  <c r="AJ93" i="21408"/>
  <c r="AB54" i="21407"/>
  <c r="AB60" i="21407"/>
  <c r="AJ170" i="21408"/>
  <c r="AJ225" i="21408"/>
  <c r="AJ177" i="21408"/>
  <c r="AJ223" i="21408"/>
  <c r="AB26" i="21407"/>
  <c r="AB14" i="21407"/>
  <c r="AJ125" i="21408"/>
  <c r="AJ210" i="21408"/>
  <c r="AJ24" i="21408"/>
  <c r="AJ181" i="21408"/>
  <c r="AJ113" i="21408"/>
  <c r="AJ141" i="21408"/>
  <c r="AB47" i="21407"/>
  <c r="AJ65" i="21408"/>
  <c r="AH15" i="21402"/>
  <c r="AJ222" i="21408"/>
  <c r="AJ146" i="21408"/>
  <c r="AJ216" i="21408"/>
  <c r="AB36" i="21407"/>
  <c r="AJ217" i="21408"/>
  <c r="AJ17" i="21408"/>
  <c r="AJ343" i="21408"/>
  <c r="AJ347" i="21408" s="1"/>
  <c r="AB59" i="21407"/>
  <c r="AJ169" i="21408"/>
  <c r="AJ27" i="21408"/>
  <c r="AJ66" i="21408"/>
  <c r="AJ9" i="21408"/>
  <c r="AB57" i="21407"/>
  <c r="AJ202" i="21408"/>
  <c r="AJ142" i="21408"/>
  <c r="AJ156" i="21408"/>
  <c r="AJ74" i="21408"/>
  <c r="AI83" i="21408"/>
  <c r="AJ230" i="21408"/>
  <c r="AH6" i="21402"/>
  <c r="AJ139" i="21408"/>
  <c r="AB51" i="21407"/>
  <c r="AJ98" i="21408"/>
  <c r="AJ200" i="21408"/>
  <c r="AJ73" i="21408"/>
  <c r="AJ68" i="21408"/>
  <c r="AJ248" i="21408"/>
  <c r="AJ22" i="21408"/>
  <c r="AH67" i="21402"/>
  <c r="AJ52" i="21408"/>
  <c r="AJ120" i="21408"/>
  <c r="AJ158" i="21408"/>
  <c r="AH26" i="21402"/>
  <c r="AB49" i="21407"/>
  <c r="AJ95" i="21408"/>
  <c r="AJ218" i="21408"/>
  <c r="AJ60" i="21408"/>
  <c r="AH39" i="21402"/>
  <c r="AJ69" i="21408"/>
  <c r="AB6" i="21407"/>
  <c r="AJ153" i="21408"/>
  <c r="AJ89" i="21408"/>
  <c r="AJ136" i="21408"/>
  <c r="AJ78" i="21408"/>
  <c r="AJ220" i="21408"/>
  <c r="AJ232" i="21408"/>
  <c r="AB21" i="21407"/>
  <c r="AH4" i="21402"/>
  <c r="AH23" i="21402"/>
  <c r="AJ224" i="21408"/>
  <c r="AJ203" i="21408"/>
  <c r="AJ79" i="21408"/>
  <c r="AB16" i="21407"/>
  <c r="AJ88" i="21408"/>
  <c r="AJ109" i="21408"/>
  <c r="AJ117" i="21408"/>
  <c r="AJ300" i="21408"/>
  <c r="AJ58" i="21408"/>
  <c r="AJ249" i="21408"/>
  <c r="AJ26" i="21408"/>
  <c r="AJ96" i="21408"/>
  <c r="AJ12" i="21408"/>
  <c r="AJ211" i="21408"/>
  <c r="AJ161" i="21408"/>
  <c r="AJ145" i="21408"/>
  <c r="AJ147" i="21408"/>
  <c r="AJ213" i="21408"/>
  <c r="AB4" i="21407"/>
  <c r="AJ180" i="21408"/>
  <c r="AJ245" i="21408"/>
  <c r="AB28" i="21407" s="1"/>
  <c r="AJ233" i="21408"/>
  <c r="AH56" i="21402"/>
  <c r="AB43" i="21407"/>
  <c r="AJ90" i="21408"/>
  <c r="AB19" i="21407"/>
  <c r="AH9" i="21402"/>
  <c r="AJ182" i="21408"/>
  <c r="AH36" i="21402"/>
  <c r="AJ119" i="21408"/>
  <c r="AJ16" i="21408"/>
  <c r="AJ290" i="21408"/>
  <c r="AH52" i="21402"/>
  <c r="AJ247" i="21408"/>
  <c r="AJ84" i="21408"/>
  <c r="AJ49" i="21408"/>
  <c r="AJ215" i="21408"/>
  <c r="AJ259" i="21408"/>
  <c r="AJ255" i="21408"/>
  <c r="AC88" i="21426"/>
  <c r="T122" i="21408"/>
  <c r="T161" i="21408"/>
  <c r="T210" i="21408"/>
  <c r="R6" i="21402"/>
  <c r="T294" i="21408"/>
  <c r="J99" i="21408"/>
  <c r="J289" i="21408"/>
  <c r="J200" i="21408"/>
  <c r="J75" i="21408"/>
  <c r="J71" i="21408"/>
  <c r="T244" i="21408"/>
  <c r="T243" i="21408" s="1"/>
  <c r="T242" i="21408" s="1"/>
  <c r="K43" i="21408"/>
  <c r="K42" i="21408" s="1"/>
  <c r="K41" i="21408" s="1"/>
  <c r="AL202" i="21408"/>
  <c r="K344" i="21408"/>
  <c r="G40" i="21402"/>
  <c r="N255" i="21408"/>
  <c r="N178" i="21408"/>
  <c r="J36" i="21407"/>
  <c r="N121" i="21408"/>
  <c r="J20" i="21407"/>
  <c r="N259" i="21408"/>
  <c r="N301" i="21408"/>
  <c r="N112" i="21408"/>
  <c r="N304" i="21408"/>
  <c r="J8" i="21407"/>
  <c r="N287" i="21408"/>
  <c r="N148" i="21408"/>
  <c r="N344" i="21408"/>
  <c r="N203" i="21408"/>
  <c r="N114" i="21408"/>
  <c r="N218" i="21408"/>
  <c r="N237" i="21408"/>
  <c r="J50" i="21407"/>
  <c r="N248" i="21408"/>
  <c r="J59" i="21407"/>
  <c r="N4" i="21408"/>
  <c r="N3" i="21408" s="1"/>
  <c r="N222" i="21408"/>
  <c r="N8" i="21408"/>
  <c r="N107" i="21408"/>
  <c r="L17" i="21402"/>
  <c r="N162" i="21408"/>
  <c r="N346" i="21408"/>
  <c r="N143" i="21408"/>
  <c r="J47" i="21407"/>
  <c r="N64" i="21408"/>
  <c r="N65" i="21408"/>
  <c r="N97" i="21408"/>
  <c r="N169" i="21408"/>
  <c r="N345" i="21408"/>
  <c r="N49" i="21408"/>
  <c r="N71" i="21408"/>
  <c r="N154" i="21408"/>
  <c r="N111" i="21408"/>
  <c r="N350" i="21408"/>
  <c r="N168" i="21408"/>
  <c r="N223" i="21408"/>
  <c r="N356" i="21408"/>
  <c r="N9" i="21408"/>
  <c r="N257" i="21408"/>
  <c r="N81" i="21408"/>
  <c r="N141" i="21408"/>
  <c r="N142" i="21408"/>
  <c r="N86" i="21408"/>
  <c r="N225" i="21408"/>
  <c r="N132" i="21408"/>
  <c r="J38" i="21407"/>
  <c r="N238" i="21408"/>
  <c r="L55" i="21402"/>
  <c r="N26" i="21408"/>
  <c r="N30" i="21408"/>
  <c r="N80" i="21408"/>
  <c r="N106" i="21408"/>
  <c r="J4" i="21407"/>
  <c r="N343" i="21408"/>
  <c r="N347" i="21408" s="1"/>
  <c r="N19" i="21408"/>
  <c r="N20" i="21408"/>
  <c r="J41" i="21407"/>
  <c r="J49" i="21407"/>
  <c r="L23" i="21402"/>
  <c r="N122" i="21408"/>
  <c r="J15" i="21407"/>
  <c r="N93" i="21408"/>
  <c r="N75" i="21408"/>
  <c r="N74" i="21408"/>
  <c r="N173" i="21408"/>
  <c r="N150" i="21408"/>
  <c r="N7" i="21408"/>
  <c r="N12" i="21408"/>
  <c r="N145" i="21408"/>
  <c r="N240" i="21408"/>
  <c r="N300" i="21408"/>
  <c r="N133" i="21408"/>
  <c r="N167" i="21408"/>
  <c r="J53" i="21407"/>
  <c r="N183" i="21408"/>
  <c r="N233" i="21408"/>
  <c r="J44" i="21407"/>
  <c r="N189" i="21408"/>
  <c r="N190" i="21408" s="1"/>
  <c r="N149" i="21408"/>
  <c r="N14" i="21408"/>
  <c r="N156" i="21408"/>
  <c r="N25" i="21408"/>
  <c r="N99" i="21408"/>
  <c r="N219" i="21408"/>
  <c r="N52" i="21408"/>
  <c r="J5" i="21407"/>
  <c r="N70" i="21408"/>
  <c r="N140" i="21408"/>
  <c r="J26" i="21407"/>
  <c r="L67" i="21402"/>
  <c r="N210" i="21408"/>
  <c r="N181" i="21408"/>
  <c r="N193" i="21408"/>
  <c r="N180" i="21408"/>
  <c r="J6" i="21407"/>
  <c r="L35" i="21402"/>
  <c r="N88" i="21408"/>
  <c r="N251" i="21408"/>
  <c r="N95" i="21408"/>
  <c r="L18" i="21402"/>
  <c r="N58" i="21408"/>
  <c r="N216" i="21408"/>
  <c r="N123" i="21408"/>
  <c r="J22" i="21407"/>
  <c r="N137" i="21408"/>
  <c r="N23" i="21408"/>
  <c r="N116" i="21408"/>
  <c r="N98" i="21408"/>
  <c r="N10" i="21408"/>
  <c r="N147" i="21408"/>
  <c r="N249" i="21408"/>
  <c r="J40" i="21407"/>
  <c r="N254" i="21408"/>
  <c r="N135" i="21408"/>
  <c r="N256" i="21408"/>
  <c r="N110" i="21408"/>
  <c r="L10" i="21402"/>
  <c r="N212" i="21408"/>
  <c r="N85" i="21408"/>
  <c r="L50" i="21402"/>
  <c r="N247" i="21408"/>
  <c r="N228" i="21408"/>
  <c r="N258" i="21408"/>
  <c r="L24" i="21402"/>
  <c r="N103" i="21408"/>
  <c r="L38" i="21402"/>
  <c r="L3" i="21402"/>
  <c r="N101" i="21408"/>
  <c r="N260" i="21408"/>
  <c r="L72" i="21402"/>
  <c r="N208" i="21408"/>
  <c r="N206" i="21408"/>
  <c r="L54" i="21402"/>
  <c r="N29" i="21408"/>
  <c r="N60" i="21408"/>
  <c r="L42" i="21402"/>
  <c r="N288" i="21408"/>
  <c r="N164" i="21408"/>
  <c r="N220" i="21408"/>
  <c r="J31" i="21407"/>
  <c r="N226" i="21408"/>
  <c r="N63" i="21408"/>
  <c r="N87" i="21408"/>
  <c r="N34" i="21408"/>
  <c r="N11" i="21408"/>
  <c r="N224" i="21408"/>
  <c r="J32" i="21407"/>
  <c r="N204" i="21408"/>
  <c r="N172" i="21408"/>
  <c r="N166" i="21408"/>
  <c r="J14" i="21407"/>
  <c r="L58" i="21402"/>
  <c r="N51" i="21408"/>
  <c r="J43" i="21407"/>
  <c r="L56" i="21402"/>
  <c r="N32" i="21408"/>
  <c r="L51" i="21402"/>
  <c r="N127" i="21408"/>
  <c r="L59" i="21402"/>
  <c r="J16" i="21407"/>
  <c r="L71" i="21402"/>
  <c r="N136" i="21408"/>
  <c r="N24" i="21408"/>
  <c r="L4" i="21402"/>
  <c r="L34" i="21402"/>
  <c r="N89" i="21408"/>
  <c r="N5" i="21408"/>
  <c r="J51" i="21407"/>
  <c r="N102" i="21408"/>
  <c r="J21" i="21407"/>
  <c r="N185" i="21408"/>
  <c r="L15" i="21402"/>
  <c r="N57" i="21408"/>
  <c r="N53" i="21408"/>
  <c r="L43" i="21402"/>
  <c r="N290" i="21408"/>
  <c r="L32" i="21402"/>
  <c r="L61" i="21402"/>
  <c r="N202" i="21408"/>
  <c r="N289" i="21408"/>
  <c r="N92" i="21408"/>
  <c r="N50" i="21408"/>
  <c r="N69" i="21408"/>
  <c r="N146" i="21408"/>
  <c r="N184" i="21408"/>
  <c r="L68" i="21402"/>
  <c r="J19" i="21407"/>
  <c r="N16" i="21408"/>
  <c r="N31" i="21408"/>
  <c r="N130" i="21408"/>
  <c r="N131" i="21408"/>
  <c r="N96" i="21408"/>
  <c r="N191" i="21408"/>
  <c r="L53" i="21402"/>
  <c r="L39" i="21402"/>
  <c r="N161" i="21408"/>
  <c r="N54" i="21408"/>
  <c r="L22" i="21402"/>
  <c r="N205" i="21408"/>
  <c r="N13" i="21408"/>
  <c r="N207" i="21408"/>
  <c r="N152" i="21408"/>
  <c r="N201" i="21408"/>
  <c r="N119" i="21408"/>
  <c r="N200" i="21408"/>
  <c r="L41" i="21402"/>
  <c r="N144" i="21408"/>
  <c r="N227" i="21408"/>
  <c r="N79" i="21408"/>
  <c r="N109" i="21408"/>
  <c r="N125" i="21408"/>
  <c r="N139" i="21408"/>
  <c r="L20" i="21402"/>
  <c r="N61" i="21408"/>
  <c r="L8" i="21402"/>
  <c r="N62" i="21408"/>
  <c r="N105" i="21408"/>
  <c r="N46" i="21408"/>
  <c r="N231" i="21408"/>
  <c r="N128" i="21408"/>
  <c r="L33" i="21402"/>
  <c r="N76" i="21408"/>
  <c r="N294" i="21408"/>
  <c r="N104" i="21408"/>
  <c r="N155" i="21408"/>
  <c r="N153" i="21408"/>
  <c r="N250" i="21408"/>
  <c r="N246" i="21408"/>
  <c r="N22" i="21408"/>
  <c r="J37" i="21407"/>
  <c r="N253" i="21408"/>
  <c r="J60" i="21407"/>
  <c r="N55" i="21408"/>
  <c r="N82" i="21408"/>
  <c r="N18" i="21408"/>
  <c r="N66" i="21408"/>
  <c r="L49" i="21402"/>
  <c r="N27" i="21408"/>
  <c r="N303" i="21408"/>
  <c r="L37" i="21402"/>
  <c r="N187" i="21408"/>
  <c r="N188" i="21408" s="1"/>
  <c r="N28" i="21408"/>
  <c r="N77" i="21408"/>
  <c r="N90" i="21408"/>
  <c r="N158" i="21408"/>
  <c r="L5" i="21402"/>
  <c r="L19" i="21402"/>
  <c r="L40" i="21402"/>
  <c r="J46" i="21407"/>
  <c r="N72" i="21408"/>
  <c r="L57" i="21402"/>
  <c r="N177" i="21408"/>
  <c r="J57" i="21407"/>
  <c r="N68" i="21408"/>
  <c r="N160" i="21408"/>
  <c r="L25" i="21402"/>
  <c r="J58" i="21407"/>
  <c r="N229" i="21408"/>
  <c r="N151" i="21408"/>
  <c r="N113" i="21408"/>
  <c r="L36" i="21402"/>
  <c r="N73" i="21408"/>
  <c r="N56" i="21408"/>
  <c r="N120" i="21408"/>
  <c r="N230" i="21408"/>
  <c r="N211" i="21408"/>
  <c r="J34" i="21407"/>
  <c r="N134" i="21408"/>
  <c r="N21" i="21408"/>
  <c r="N286" i="21408"/>
  <c r="N159" i="21408"/>
  <c r="L69" i="21402"/>
  <c r="J42" i="21407"/>
  <c r="L9" i="21402"/>
  <c r="N179" i="21408"/>
  <c r="N108" i="21408"/>
  <c r="N117" i="21408"/>
  <c r="J24" i="21407"/>
  <c r="N245" i="21408"/>
  <c r="J28" i="21407" s="1"/>
  <c r="L26" i="21402"/>
  <c r="J56" i="21407"/>
  <c r="N221" i="21408"/>
  <c r="N78" i="21408"/>
  <c r="N44" i="21408"/>
  <c r="N43" i="21408" s="1"/>
  <c r="N42" i="21408" s="1"/>
  <c r="N41" i="21408" s="1"/>
  <c r="N15" i="21408"/>
  <c r="N291" i="21408"/>
  <c r="L52" i="21402"/>
  <c r="N192" i="21408"/>
  <c r="N59" i="21408"/>
  <c r="N126" i="21408"/>
  <c r="N215" i="21408"/>
  <c r="N217" i="21408"/>
  <c r="N67" i="21408"/>
  <c r="N252" i="21408"/>
  <c r="N138" i="21408"/>
  <c r="N17" i="21408"/>
  <c r="J54" i="21407"/>
  <c r="N84" i="21408"/>
  <c r="L21" i="21402"/>
  <c r="L16" i="21402"/>
  <c r="N171" i="21408"/>
  <c r="J30" i="21407"/>
  <c r="N6" i="21408"/>
  <c r="N157" i="21408"/>
  <c r="N349" i="21408"/>
  <c r="N47" i="21408"/>
  <c r="N213" i="21408"/>
  <c r="N186" i="21408"/>
  <c r="N232" i="21408"/>
  <c r="N115" i="21408"/>
  <c r="N91" i="21408"/>
  <c r="M83" i="21408"/>
  <c r="N48" i="21408"/>
  <c r="J55" i="21407"/>
  <c r="N163" i="21408"/>
  <c r="N94" i="21408"/>
  <c r="N170" i="21408"/>
  <c r="J9" i="21407"/>
  <c r="N45" i="21408"/>
  <c r="N165" i="21408"/>
  <c r="N182" i="21408"/>
  <c r="N174" i="21408"/>
  <c r="N100" i="21408"/>
  <c r="N351" i="21408"/>
  <c r="L6" i="21402"/>
  <c r="N129" i="21408"/>
  <c r="J10" i="21407"/>
  <c r="AJ26" i="21402"/>
  <c r="G67" i="21402"/>
  <c r="V172" i="21408"/>
  <c r="V84" i="21408"/>
  <c r="V291" i="21408"/>
  <c r="V227" i="21408"/>
  <c r="T67" i="21402"/>
  <c r="V153" i="21408"/>
  <c r="V147" i="21408"/>
  <c r="V156" i="21408"/>
  <c r="V52" i="21408"/>
  <c r="V254" i="21408"/>
  <c r="V54" i="21408"/>
  <c r="V215" i="21408"/>
  <c r="V237" i="21408"/>
  <c r="V98" i="21408"/>
  <c r="V12" i="21408"/>
  <c r="V87" i="21408"/>
  <c r="V210" i="21408"/>
  <c r="T70" i="21402"/>
  <c r="S217" i="21408"/>
  <c r="S4" i="21408"/>
  <c r="S119" i="21408"/>
  <c r="S166" i="21408"/>
  <c r="S193" i="21408"/>
  <c r="S147" i="21408"/>
  <c r="S356" i="21408"/>
  <c r="S109" i="21408"/>
  <c r="S230" i="21408"/>
  <c r="S144" i="21408"/>
  <c r="R82" i="21408"/>
  <c r="R184" i="21408"/>
  <c r="R163" i="21408"/>
  <c r="R120" i="21408"/>
  <c r="R96" i="21408"/>
  <c r="R25" i="21408"/>
  <c r="R291" i="21408"/>
  <c r="R113" i="21408"/>
  <c r="R126" i="21408"/>
  <c r="R124" i="21408"/>
  <c r="P41" i="21402"/>
  <c r="R9" i="21408"/>
  <c r="N21" i="21407"/>
  <c r="R157" i="21408"/>
  <c r="N20" i="21407"/>
  <c r="R56" i="21408"/>
  <c r="R171" i="21408"/>
  <c r="N56" i="21407"/>
  <c r="R97" i="21408"/>
  <c r="R129" i="21408"/>
  <c r="R111" i="21408"/>
  <c r="R247" i="21408"/>
  <c r="R75" i="21408"/>
  <c r="R288" i="21408"/>
  <c r="P40" i="21402"/>
  <c r="P8" i="21402"/>
  <c r="R127" i="21408"/>
  <c r="R87" i="21408"/>
  <c r="R345" i="21408"/>
  <c r="R141" i="21408"/>
  <c r="R179" i="21408"/>
  <c r="R45" i="21408"/>
  <c r="N42" i="21407"/>
  <c r="R218" i="21408"/>
  <c r="R119" i="21408"/>
  <c r="R253" i="21408"/>
  <c r="N46" i="21407"/>
  <c r="P53" i="21402"/>
  <c r="R140" i="21408"/>
  <c r="R170" i="21408"/>
  <c r="R189" i="21408"/>
  <c r="R190" i="21408" s="1"/>
  <c r="N55" i="21407"/>
  <c r="R70" i="21408"/>
  <c r="R139" i="21408"/>
  <c r="R47" i="21408"/>
  <c r="R7" i="21408"/>
  <c r="P3" i="21402"/>
  <c r="R227" i="21408"/>
  <c r="P61" i="21402"/>
  <c r="R99" i="21408"/>
  <c r="R221" i="21408"/>
  <c r="R211" i="21408"/>
  <c r="R102" i="21408"/>
  <c r="R27" i="21408"/>
  <c r="R183" i="21408"/>
  <c r="R213" i="21408"/>
  <c r="R130" i="21408"/>
  <c r="R200" i="21408"/>
  <c r="R257" i="21408"/>
  <c r="P57" i="21402"/>
  <c r="R23" i="21408"/>
  <c r="R80" i="21408"/>
  <c r="N40" i="21407"/>
  <c r="R73" i="21408"/>
  <c r="R159" i="21408"/>
  <c r="P72" i="21402"/>
  <c r="P24" i="21402"/>
  <c r="P67" i="21402"/>
  <c r="R55" i="21408"/>
  <c r="R29" i="21408"/>
  <c r="R203" i="21408"/>
  <c r="R71" i="21408"/>
  <c r="R109" i="21408"/>
  <c r="R245" i="21408"/>
  <c r="N28" i="21407" s="1"/>
  <c r="R14" i="21408"/>
  <c r="R148" i="21408"/>
  <c r="N16" i="21407"/>
  <c r="R91" i="21408"/>
  <c r="P34" i="21402"/>
  <c r="R208" i="21408"/>
  <c r="R178" i="21408"/>
  <c r="R252" i="21408"/>
  <c r="R68" i="21408"/>
  <c r="R60" i="21408"/>
  <c r="R167" i="21408"/>
  <c r="R251" i="21408"/>
  <c r="R24" i="21408"/>
  <c r="R132" i="21408"/>
  <c r="R90" i="21408"/>
  <c r="P6" i="21402"/>
  <c r="R15" i="21408"/>
  <c r="R152" i="21408"/>
  <c r="N31" i="21407"/>
  <c r="R161" i="21408"/>
  <c r="R351" i="21408"/>
  <c r="R62" i="21408"/>
  <c r="R155" i="21408"/>
  <c r="N22" i="21407"/>
  <c r="R206" i="21408"/>
  <c r="R172" i="21408"/>
  <c r="R122" i="21408"/>
  <c r="R145" i="21408"/>
  <c r="R89" i="21408"/>
  <c r="R153" i="21408"/>
  <c r="R286" i="21408"/>
  <c r="R78" i="21408"/>
  <c r="R128" i="21408"/>
  <c r="R168" i="21408"/>
  <c r="Q83" i="21408"/>
  <c r="R49" i="21408"/>
  <c r="R202" i="21408"/>
  <c r="R349" i="21408"/>
  <c r="R88" i="21408"/>
  <c r="P69" i="21402"/>
  <c r="R233" i="21408"/>
  <c r="R58" i="21408"/>
  <c r="R182" i="21408"/>
  <c r="R158" i="21408"/>
  <c r="R215" i="21408"/>
  <c r="P33" i="21402"/>
  <c r="P49" i="21402"/>
  <c r="R11" i="21408"/>
  <c r="N60" i="21407"/>
  <c r="R105" i="21408"/>
  <c r="N47" i="21407"/>
  <c r="R147" i="21408"/>
  <c r="R6" i="21408"/>
  <c r="R4" i="21408"/>
  <c r="R154" i="21408"/>
  <c r="R248" i="21408"/>
  <c r="R193" i="21408"/>
  <c r="R177" i="21408"/>
  <c r="R44" i="21408"/>
  <c r="R259" i="21408"/>
  <c r="N53" i="21407"/>
  <c r="N6" i="21407"/>
  <c r="N34" i="21407"/>
  <c r="R123" i="21408"/>
  <c r="R5" i="21408"/>
  <c r="R150" i="21408"/>
  <c r="R64" i="21408"/>
  <c r="R30" i="21408"/>
  <c r="N49" i="21407"/>
  <c r="R32" i="21408"/>
  <c r="R303" i="21408"/>
  <c r="R156" i="21408"/>
  <c r="N30" i="21407"/>
  <c r="R131" i="21408"/>
  <c r="R151" i="21408"/>
  <c r="P56" i="21402"/>
  <c r="R289" i="21408"/>
  <c r="R66" i="21408"/>
  <c r="R77" i="21408"/>
  <c r="R19" i="21408"/>
  <c r="R294" i="21408"/>
  <c r="R33" i="21408"/>
  <c r="R52" i="21408"/>
  <c r="R166" i="21408"/>
  <c r="R231" i="21408"/>
  <c r="R160" i="21408"/>
  <c r="P22" i="21402"/>
  <c r="P26" i="21402"/>
  <c r="R223" i="21408"/>
  <c r="P70" i="21402"/>
  <c r="R138" i="21408"/>
  <c r="R343" i="21408"/>
  <c r="R347" i="21408" s="1"/>
  <c r="P68" i="21402"/>
  <c r="N37" i="21407"/>
  <c r="P60" i="21402"/>
  <c r="R344" i="21408"/>
  <c r="R137" i="21408"/>
  <c r="P37" i="21402"/>
  <c r="R121" i="21408"/>
  <c r="R79" i="21408"/>
  <c r="R54" i="21408"/>
  <c r="N9" i="21407"/>
  <c r="R225" i="21408"/>
  <c r="R101" i="21408"/>
  <c r="R174" i="21408"/>
  <c r="N57" i="21407"/>
  <c r="P15" i="21402"/>
  <c r="P59" i="21402"/>
  <c r="R50" i="21408"/>
  <c r="R116" i="21408"/>
  <c r="R237" i="21408"/>
  <c r="R125" i="21408"/>
  <c r="P9" i="21402"/>
  <c r="R217" i="21408"/>
  <c r="R301" i="21408"/>
  <c r="R216" i="21408"/>
  <c r="N14" i="21407"/>
  <c r="R136" i="21408"/>
  <c r="R290" i="21408"/>
  <c r="P17" i="21402"/>
  <c r="R65" i="21408"/>
  <c r="N54" i="21407"/>
  <c r="R226" i="21408"/>
  <c r="R256" i="21408"/>
  <c r="R300" i="21408"/>
  <c r="P55" i="21402"/>
  <c r="R180" i="21408"/>
  <c r="N15" i="21407"/>
  <c r="R61" i="21408"/>
  <c r="P42" i="21402"/>
  <c r="R146" i="21408"/>
  <c r="R13" i="21408"/>
  <c r="R162" i="21408"/>
  <c r="R31" i="21408"/>
  <c r="R22" i="21408"/>
  <c r="R93" i="21408"/>
  <c r="N41" i="21407"/>
  <c r="R169" i="21408"/>
  <c r="P54" i="21402"/>
  <c r="R18" i="21408"/>
  <c r="R95" i="21408"/>
  <c r="R76" i="21408"/>
  <c r="R207" i="21408"/>
  <c r="N58" i="21407"/>
  <c r="R104" i="21408"/>
  <c r="N32" i="21407"/>
  <c r="R142" i="21408"/>
  <c r="R224" i="21408"/>
  <c r="R59" i="21408"/>
  <c r="P38" i="21402"/>
  <c r="R81" i="21408"/>
  <c r="R107" i="21408"/>
  <c r="R220" i="21408"/>
  <c r="R186" i="21408"/>
  <c r="R212" i="21408"/>
  <c r="R57" i="21408"/>
  <c r="R187" i="21408"/>
  <c r="R188" i="21408" s="1"/>
  <c r="N10" i="21407"/>
  <c r="N59" i="21407"/>
  <c r="R86" i="21408"/>
  <c r="P43" i="21402"/>
  <c r="N19" i="21407"/>
  <c r="R67" i="21408"/>
  <c r="R249" i="21408"/>
  <c r="R20" i="21408"/>
  <c r="N43" i="21407"/>
  <c r="R222" i="21408"/>
  <c r="R228" i="21408"/>
  <c r="R118" i="21408"/>
  <c r="P20" i="21402"/>
  <c r="R48" i="21408"/>
  <c r="R240" i="21408"/>
  <c r="N50" i="21407"/>
  <c r="R8" i="21408"/>
  <c r="P51" i="21402"/>
  <c r="R17" i="21408"/>
  <c r="R69" i="21408"/>
  <c r="R255" i="21408"/>
  <c r="R26" i="21408"/>
  <c r="R92" i="21408"/>
  <c r="R350" i="21408"/>
  <c r="R210" i="21408"/>
  <c r="R304" i="21408"/>
  <c r="R133" i="21408"/>
  <c r="N44" i="21407"/>
  <c r="R106" i="21408"/>
  <c r="R74" i="21408"/>
  <c r="P32" i="21402"/>
  <c r="R191" i="21408"/>
  <c r="R135" i="21408"/>
  <c r="N5" i="21407"/>
  <c r="P50" i="21402"/>
  <c r="P10" i="21402"/>
  <c r="R117" i="21408"/>
  <c r="P58" i="21402"/>
  <c r="R98" i="21408"/>
  <c r="R229" i="21408"/>
  <c r="R246" i="21408"/>
  <c r="R181" i="21408"/>
  <c r="R346" i="21408"/>
  <c r="R173" i="21408"/>
  <c r="R356" i="21408"/>
  <c r="P23" i="21402"/>
  <c r="R144" i="21408"/>
  <c r="R232" i="21408"/>
  <c r="R230" i="21408"/>
  <c r="P36" i="21402"/>
  <c r="N26" i="21407"/>
  <c r="R114" i="21408"/>
  <c r="P35" i="21402"/>
  <c r="R149" i="21408"/>
  <c r="R103" i="21408"/>
  <c r="R201" i="21408"/>
  <c r="P18" i="21402"/>
  <c r="R16" i="21408"/>
  <c r="R12" i="21408"/>
  <c r="R258" i="21408"/>
  <c r="R100" i="21408"/>
  <c r="R204" i="21408"/>
  <c r="R72" i="21408"/>
  <c r="R260" i="21408"/>
  <c r="R53" i="21408"/>
  <c r="R115" i="21408"/>
  <c r="R287" i="21408"/>
  <c r="N51" i="21407"/>
  <c r="N8" i="21407"/>
  <c r="P52" i="21402"/>
  <c r="R34" i="21408"/>
  <c r="R165" i="21408"/>
  <c r="R108" i="21408"/>
  <c r="N4" i="21407"/>
  <c r="N38" i="21407"/>
  <c r="R164" i="21408"/>
  <c r="R205" i="21408"/>
  <c r="R238" i="21408"/>
  <c r="R10" i="21408"/>
  <c r="R254" i="21408"/>
  <c r="P25" i="21402"/>
  <c r="R110" i="21408"/>
  <c r="N36" i="21407"/>
  <c r="P71" i="21402"/>
  <c r="R134" i="21408"/>
  <c r="R85" i="21408"/>
  <c r="P39" i="21402"/>
  <c r="R63" i="21408"/>
  <c r="P21" i="21402"/>
  <c r="P16" i="21402"/>
  <c r="N24" i="21407"/>
  <c r="R192" i="21408"/>
  <c r="R112" i="21408"/>
  <c r="R46" i="21408"/>
  <c r="P5" i="21402"/>
  <c r="R84" i="21408"/>
  <c r="R21" i="21408"/>
  <c r="R185" i="21408"/>
  <c r="P4" i="21402"/>
  <c r="R250" i="21408"/>
  <c r="R51" i="21408"/>
  <c r="R143" i="21408"/>
  <c r="P19" i="21402"/>
  <c r="R28" i="21408"/>
  <c r="R94" i="21408"/>
  <c r="R219" i="21408"/>
  <c r="I344" i="21408"/>
  <c r="AE24" i="21407"/>
  <c r="AE32" i="21407"/>
  <c r="AM126" i="21408"/>
  <c r="AK20" i="21402"/>
  <c r="AM155" i="21408"/>
  <c r="AM8" i="21408"/>
  <c r="AM13" i="21408"/>
  <c r="AM122" i="21408"/>
  <c r="AM132" i="21408"/>
  <c r="AM344" i="21408"/>
  <c r="AE14" i="21407"/>
  <c r="AM174" i="21408"/>
  <c r="AM247" i="21408"/>
  <c r="AK34" i="21402"/>
  <c r="AM113" i="21408"/>
  <c r="AM149" i="21408"/>
  <c r="AK52" i="21402"/>
  <c r="AM200" i="21408"/>
  <c r="AM186" i="21408"/>
  <c r="AM52" i="21408"/>
  <c r="AM46" i="21408"/>
  <c r="AM156" i="21408"/>
  <c r="AM145" i="21408"/>
  <c r="AM100" i="21408"/>
  <c r="AM255" i="21408"/>
  <c r="AM207" i="21408"/>
  <c r="AM185" i="21408"/>
  <c r="AM253" i="21408"/>
  <c r="AM212" i="21408"/>
  <c r="AM108" i="21408"/>
  <c r="AE37" i="21407"/>
  <c r="AM25" i="21408"/>
  <c r="AM171" i="21408"/>
  <c r="AM153" i="21408"/>
  <c r="AM50" i="21408"/>
  <c r="AK57" i="21402"/>
  <c r="AM114" i="21408"/>
  <c r="AM257" i="21408"/>
  <c r="AM222" i="21408"/>
  <c r="AE19" i="21407"/>
  <c r="AM15" i="21408"/>
  <c r="AE54" i="21407"/>
  <c r="AK55" i="21402"/>
  <c r="AK58" i="21402"/>
  <c r="AM211" i="21408"/>
  <c r="AM173" i="21408"/>
  <c r="AM30" i="21408"/>
  <c r="AE41" i="21407"/>
  <c r="AM10" i="21408"/>
  <c r="AK10" i="21402"/>
  <c r="AM184" i="21408"/>
  <c r="AM251" i="21408"/>
  <c r="AM29" i="21408"/>
  <c r="AM201" i="21408"/>
  <c r="AE43" i="21407"/>
  <c r="AM166" i="21408"/>
  <c r="AE42" i="21407"/>
  <c r="AM300" i="21408"/>
  <c r="AM137" i="21408"/>
  <c r="AM221" i="21408"/>
  <c r="AE8" i="21407"/>
  <c r="AM82" i="21408"/>
  <c r="AM118" i="21408"/>
  <c r="AM248" i="21408"/>
  <c r="AE10" i="21407"/>
  <c r="AM116" i="21408"/>
  <c r="AM238" i="21408"/>
  <c r="AM64" i="21408"/>
  <c r="AM351" i="21408"/>
  <c r="AM182" i="21408"/>
  <c r="AM103" i="21408"/>
  <c r="AE44" i="21407"/>
  <c r="AM193" i="21408"/>
  <c r="AM70" i="21408"/>
  <c r="AM91" i="21408"/>
  <c r="AM240" i="21408"/>
  <c r="AM90" i="21408"/>
  <c r="AE46" i="21407"/>
  <c r="AK17" i="21402"/>
  <c r="AM181" i="21408"/>
  <c r="AM187" i="21408"/>
  <c r="AM188" i="21408" s="1"/>
  <c r="AM192" i="21408"/>
  <c r="AK38" i="21402"/>
  <c r="AM47" i="21408"/>
  <c r="AK26" i="21402"/>
  <c r="AM98" i="21408"/>
  <c r="AM303" i="21408"/>
  <c r="AM226" i="21408"/>
  <c r="AM58" i="21408"/>
  <c r="AE47" i="21407"/>
  <c r="AK71" i="21402"/>
  <c r="AE38" i="21407"/>
  <c r="AM106" i="21408"/>
  <c r="AM136" i="21408"/>
  <c r="AM67" i="21408"/>
  <c r="AM233" i="21408"/>
  <c r="AM97" i="21408"/>
  <c r="AM11" i="21408"/>
  <c r="AM349" i="21408"/>
  <c r="AM345" i="21408"/>
  <c r="AK56" i="21402"/>
  <c r="AM55" i="21408"/>
  <c r="AM228" i="21408"/>
  <c r="AE5" i="21407"/>
  <c r="AM76" i="21408"/>
  <c r="AM7" i="21408"/>
  <c r="AK42" i="21402"/>
  <c r="AM62" i="21408"/>
  <c r="AM93" i="21408"/>
  <c r="AM164" i="21408"/>
  <c r="AM172" i="21408"/>
  <c r="AK68" i="21402"/>
  <c r="AM85" i="21408"/>
  <c r="AE58" i="21407"/>
  <c r="AE21" i="21407"/>
  <c r="AM157" i="21408"/>
  <c r="AM245" i="21408"/>
  <c r="AE28" i="21407" s="1"/>
  <c r="AM71" i="21408"/>
  <c r="AM89" i="21408"/>
  <c r="AM81" i="21408"/>
  <c r="AM230" i="21408"/>
  <c r="AK4" i="21402"/>
  <c r="AM133" i="21408"/>
  <c r="AM130" i="21408"/>
  <c r="AM54" i="21408"/>
  <c r="AM152" i="21408"/>
  <c r="AM203" i="21408"/>
  <c r="AM120" i="21408"/>
  <c r="AM294" i="21408"/>
  <c r="AM79" i="21408"/>
  <c r="AM249" i="21408"/>
  <c r="AM229" i="21408"/>
  <c r="AM22" i="21408"/>
  <c r="AK6" i="21402"/>
  <c r="AM286" i="21408"/>
  <c r="AM94" i="21408"/>
  <c r="AM191" i="21408"/>
  <c r="AM158" i="21408"/>
  <c r="AM111" i="21408"/>
  <c r="AE34" i="21407"/>
  <c r="AM252" i="21408"/>
  <c r="AM107" i="21408"/>
  <c r="AM223" i="21408"/>
  <c r="AM28" i="21408"/>
  <c r="AM135" i="21408"/>
  <c r="AL83" i="21408"/>
  <c r="AE22" i="21407"/>
  <c r="AM231" i="21408"/>
  <c r="AM69" i="21408"/>
  <c r="AM127" i="21408"/>
  <c r="AM159" i="21408"/>
  <c r="AM65" i="21408"/>
  <c r="AK21" i="21402"/>
  <c r="AM216" i="21408"/>
  <c r="AM205" i="21408"/>
  <c r="AE40" i="21407"/>
  <c r="AM110" i="21408"/>
  <c r="AM189" i="21408"/>
  <c r="AM190" i="21408" s="1"/>
  <c r="AM163" i="21408"/>
  <c r="AM148" i="21408"/>
  <c r="AM161" i="21408"/>
  <c r="AK51" i="21402"/>
  <c r="AM105" i="21408"/>
  <c r="AK39" i="21402"/>
  <c r="I141" i="21408"/>
  <c r="I175" i="21408" s="1"/>
  <c r="I176" i="21408" s="1"/>
  <c r="I248" i="21408"/>
  <c r="I127" i="21408"/>
  <c r="G22" i="21402"/>
  <c r="G15" i="21407"/>
  <c r="I86" i="21408"/>
  <c r="G32" i="21407"/>
  <c r="I145" i="21408"/>
  <c r="I254" i="21408"/>
  <c r="I48" i="21408"/>
  <c r="I160" i="21408"/>
  <c r="G58" i="21402"/>
  <c r="G26" i="21402"/>
  <c r="I167" i="21408"/>
  <c r="G34" i="21407"/>
  <c r="I28" i="21408"/>
  <c r="I85" i="21408"/>
  <c r="I80" i="21408"/>
  <c r="I173" i="21408"/>
  <c r="G49" i="21407"/>
  <c r="I203" i="21408"/>
  <c r="I108" i="21408"/>
  <c r="I233" i="21408"/>
  <c r="G19" i="21402"/>
  <c r="I149" i="21408"/>
  <c r="G34" i="21402"/>
  <c r="I45" i="21408"/>
  <c r="I43" i="21408" s="1"/>
  <c r="I42" i="21408" s="1"/>
  <c r="I41" i="21408" s="1"/>
  <c r="I164" i="21408"/>
  <c r="H83" i="21408"/>
  <c r="I82" i="21408"/>
  <c r="I67" i="21408"/>
  <c r="I46" i="21408"/>
  <c r="I31" i="21408"/>
  <c r="I110" i="21408"/>
  <c r="I225" i="21408"/>
  <c r="I191" i="21408"/>
  <c r="G16" i="21407"/>
  <c r="G58" i="21407"/>
  <c r="I75" i="21408"/>
  <c r="I294" i="21408"/>
  <c r="I24" i="21408"/>
  <c r="I207" i="21408"/>
  <c r="G54" i="21402"/>
  <c r="I171" i="21408"/>
  <c r="I13" i="21408"/>
  <c r="I94" i="21408"/>
  <c r="I147" i="21408"/>
  <c r="I211" i="21408"/>
  <c r="P171" i="21408"/>
  <c r="N54" i="21402"/>
  <c r="P105" i="21408"/>
  <c r="P19" i="21408"/>
  <c r="P291" i="21408"/>
  <c r="P60" i="21408"/>
  <c r="N58" i="21402"/>
  <c r="P237" i="21408"/>
  <c r="P163" i="21408"/>
  <c r="L4" i="21407"/>
  <c r="P140" i="21408"/>
  <c r="P175" i="21408" s="1"/>
  <c r="P176" i="21408" s="1"/>
  <c r="L54" i="21407"/>
  <c r="L30" i="21407"/>
  <c r="P111" i="21408"/>
  <c r="P252" i="21408"/>
  <c r="P144" i="21408"/>
  <c r="P345" i="21408"/>
  <c r="P180" i="21408"/>
  <c r="P13" i="21408"/>
  <c r="P114" i="21408"/>
  <c r="N18" i="21402"/>
  <c r="L5" i="21407"/>
  <c r="P82" i="21408"/>
  <c r="P157" i="21408"/>
  <c r="P85" i="21408"/>
  <c r="P22" i="21408"/>
  <c r="P101" i="21408"/>
  <c r="U14" i="21408"/>
  <c r="S8" i="21402"/>
  <c r="U185" i="21408"/>
  <c r="Q34" i="21407"/>
  <c r="U102" i="21408"/>
  <c r="U150" i="21408"/>
  <c r="U230" i="21408"/>
  <c r="U294" i="21408"/>
  <c r="U52" i="21408"/>
  <c r="S54" i="21402"/>
  <c r="U288" i="21408"/>
  <c r="U5" i="21408"/>
  <c r="S56" i="21402"/>
  <c r="U67" i="21408"/>
  <c r="U111" i="21408"/>
  <c r="U99" i="21408"/>
  <c r="S67" i="21402"/>
  <c r="S38" i="21402"/>
  <c r="S41" i="21402"/>
  <c r="U345" i="21408"/>
  <c r="U51" i="21408"/>
  <c r="U122" i="21408"/>
  <c r="U180" i="21408"/>
  <c r="U9" i="21408"/>
  <c r="U87" i="21408"/>
  <c r="U46" i="21408"/>
  <c r="U134" i="21408"/>
  <c r="U152" i="21408"/>
  <c r="U115" i="21408"/>
  <c r="Q41" i="21407"/>
  <c r="U141" i="21408"/>
  <c r="U232" i="21408"/>
  <c r="U95" i="21408"/>
  <c r="S26" i="21402"/>
  <c r="U240" i="21408"/>
  <c r="S53" i="21402"/>
  <c r="U186" i="21408"/>
  <c r="S10" i="21402"/>
  <c r="U256" i="21408"/>
  <c r="U59" i="21408"/>
  <c r="U19" i="21408"/>
  <c r="U173" i="21408"/>
  <c r="U25" i="21408"/>
  <c r="U117" i="21408"/>
  <c r="S43" i="21402"/>
  <c r="Q40" i="21407"/>
  <c r="U119" i="21408"/>
  <c r="U4" i="21408"/>
  <c r="U50" i="21408"/>
  <c r="S36" i="21402"/>
  <c r="Q24" i="21407"/>
  <c r="S52" i="21402"/>
  <c r="U249" i="21408"/>
  <c r="U98" i="21408"/>
  <c r="U177" i="21408"/>
  <c r="U72" i="21408"/>
  <c r="U56" i="21408"/>
  <c r="U91" i="21408"/>
  <c r="U135" i="21408"/>
  <c r="U48" i="21408"/>
  <c r="U286" i="21408"/>
  <c r="U10" i="21408"/>
  <c r="U248" i="21408"/>
  <c r="U66" i="21408"/>
  <c r="U11" i="21408"/>
  <c r="U202" i="21408"/>
  <c r="U109" i="21408"/>
  <c r="U164" i="21408"/>
  <c r="U139" i="21408"/>
  <c r="U23" i="21408"/>
  <c r="U57" i="21408"/>
  <c r="U251" i="21408"/>
  <c r="U144" i="21408"/>
  <c r="U206" i="21408"/>
  <c r="U154" i="21408"/>
  <c r="U168" i="21408"/>
  <c r="U45" i="21408"/>
  <c r="U207" i="21408"/>
  <c r="U304" i="21408"/>
  <c r="S19" i="21402"/>
  <c r="Q38" i="21407"/>
  <c r="U47" i="21408"/>
  <c r="U349" i="21408"/>
  <c r="Q10" i="21407"/>
  <c r="U217" i="21408"/>
  <c r="U15" i="21408"/>
  <c r="S33" i="21402"/>
  <c r="U76" i="21408"/>
  <c r="U125" i="21408"/>
  <c r="U18" i="21408"/>
  <c r="S3" i="21402"/>
  <c r="U61" i="21408"/>
  <c r="U121" i="21408"/>
  <c r="U253" i="21408"/>
  <c r="Q4" i="21407"/>
  <c r="U189" i="21408"/>
  <c r="U190" i="21408" s="1"/>
  <c r="U166" i="21408"/>
  <c r="S42" i="21402"/>
  <c r="U146" i="21408"/>
  <c r="U112" i="21408"/>
  <c r="U53" i="21408"/>
  <c r="U106" i="21408"/>
  <c r="Q19" i="21407"/>
  <c r="U128" i="21408"/>
  <c r="S60" i="21402"/>
  <c r="S57" i="21402"/>
  <c r="U86" i="21408"/>
  <c r="S22" i="21402"/>
  <c r="U110" i="21408"/>
  <c r="U116" i="21408"/>
  <c r="U82" i="21408"/>
  <c r="U13" i="21408"/>
  <c r="Q59" i="21407"/>
  <c r="U104" i="21408"/>
  <c r="U172" i="21408"/>
  <c r="U303" i="21408"/>
  <c r="U216" i="21408"/>
  <c r="Q44" i="21407"/>
  <c r="U151" i="21408"/>
  <c r="U20" i="21408"/>
  <c r="U252" i="21408"/>
  <c r="U148" i="21408"/>
  <c r="S72" i="21402"/>
  <c r="U81" i="21408"/>
  <c r="S4" i="21402"/>
  <c r="U28" i="21408"/>
  <c r="U147" i="21408"/>
  <c r="U182" i="21408"/>
  <c r="U200" i="21408"/>
  <c r="U233" i="21408"/>
  <c r="U346" i="21408"/>
  <c r="S20" i="21402"/>
  <c r="U259" i="21408"/>
  <c r="U178" i="21408"/>
  <c r="U120" i="21408"/>
  <c r="S6" i="21402"/>
  <c r="U94" i="21408"/>
  <c r="U350" i="21408"/>
  <c r="Q9" i="21407"/>
  <c r="U16" i="21408"/>
  <c r="U205" i="21408"/>
  <c r="U212" i="21408"/>
  <c r="U96" i="21408"/>
  <c r="U132" i="21408"/>
  <c r="U153" i="21408"/>
  <c r="U124" i="21408"/>
  <c r="U114" i="21408"/>
  <c r="U123" i="21408"/>
  <c r="S40" i="21402"/>
  <c r="U75" i="21408"/>
  <c r="U193" i="21408"/>
  <c r="U78" i="21408"/>
  <c r="U258" i="21408"/>
  <c r="S21" i="21402"/>
  <c r="S37" i="21402"/>
  <c r="U22" i="21408"/>
  <c r="U184" i="21408"/>
  <c r="U183" i="21408"/>
  <c r="U21" i="21408"/>
  <c r="J12" i="21407"/>
  <c r="U65" i="21408"/>
  <c r="U174" i="21408"/>
  <c r="U113" i="21408"/>
  <c r="S39" i="21402"/>
  <c r="S15" i="21402"/>
  <c r="Q16" i="21407"/>
  <c r="U6" i="21408"/>
  <c r="Q5" i="21407"/>
  <c r="S16" i="21402"/>
  <c r="U142" i="21408"/>
  <c r="U79" i="21408"/>
  <c r="U131" i="21408"/>
  <c r="U221" i="21408"/>
  <c r="U237" i="21408"/>
  <c r="U215" i="21408"/>
  <c r="U74" i="21408"/>
  <c r="Q49" i="21407"/>
  <c r="U219" i="21408"/>
  <c r="U140" i="21408"/>
  <c r="U92" i="21408"/>
  <c r="U238" i="21408"/>
  <c r="Q42" i="21407"/>
  <c r="T83" i="21408"/>
  <c r="U187" i="21408"/>
  <c r="U188" i="21408" s="1"/>
  <c r="U101" i="21408"/>
  <c r="U27" i="21408"/>
  <c r="U68" i="21408"/>
  <c r="U171" i="21408"/>
  <c r="U44" i="21408"/>
  <c r="U43" i="21408" s="1"/>
  <c r="U42" i="21408" s="1"/>
  <c r="U41" i="21408" s="1"/>
  <c r="U245" i="21408"/>
  <c r="Q28" i="21407" s="1"/>
  <c r="U105" i="21408"/>
  <c r="U162" i="21408"/>
  <c r="Q26" i="21407"/>
  <c r="Q14" i="21407"/>
  <c r="Q22" i="21407"/>
  <c r="U228" i="21408"/>
  <c r="Q46" i="21407"/>
  <c r="U138" i="21408"/>
  <c r="U71" i="21408"/>
  <c r="U77" i="21408"/>
  <c r="U300" i="21408"/>
  <c r="U351" i="21408"/>
  <c r="S24" i="21402"/>
  <c r="U7" i="21408"/>
  <c r="U181" i="21408"/>
  <c r="U88" i="21408"/>
  <c r="U169" i="21408"/>
  <c r="Q31" i="21407"/>
  <c r="S50" i="21402"/>
  <c r="Q8" i="21407"/>
  <c r="U289" i="21408"/>
  <c r="Q30" i="21407"/>
  <c r="U133" i="21408"/>
  <c r="U201" i="21408"/>
  <c r="U247" i="21408"/>
  <c r="Q56" i="21407"/>
  <c r="U69" i="21408"/>
  <c r="U179" i="21408"/>
  <c r="S68" i="21402"/>
  <c r="U246" i="21408"/>
  <c r="S58" i="21402"/>
  <c r="U63" i="21408"/>
  <c r="U84" i="21408"/>
  <c r="Q32" i="21407"/>
  <c r="U62" i="21408"/>
  <c r="U204" i="21408"/>
  <c r="U208" i="21408"/>
  <c r="U54" i="21408"/>
  <c r="U34" i="21408"/>
  <c r="S18" i="21402"/>
  <c r="U126" i="21408"/>
  <c r="U257" i="21408"/>
  <c r="S61" i="21402"/>
  <c r="U31" i="21408"/>
  <c r="U118" i="21408"/>
  <c r="U26" i="21408"/>
  <c r="U137" i="21408"/>
  <c r="U213" i="21408"/>
  <c r="U90" i="21408"/>
  <c r="Q36" i="21407"/>
  <c r="Q6" i="21407"/>
  <c r="U158" i="21408"/>
  <c r="U8" i="21408"/>
  <c r="U290" i="21408"/>
  <c r="U343" i="21408"/>
  <c r="U347" i="21408" s="1"/>
  <c r="S69" i="21402"/>
  <c r="U143" i="21408"/>
  <c r="S23" i="21402"/>
  <c r="Q53" i="21407"/>
  <c r="U211" i="21408"/>
  <c r="U156" i="21408"/>
  <c r="U33" i="21408"/>
  <c r="U192" i="21408"/>
  <c r="S71" i="21402"/>
  <c r="U136" i="21408"/>
  <c r="Q37" i="21407"/>
  <c r="U100" i="21408"/>
  <c r="U108" i="21408"/>
  <c r="U85" i="21408"/>
  <c r="Q21" i="21407"/>
  <c r="U223" i="21408"/>
  <c r="S51" i="21402"/>
  <c r="S35" i="21402"/>
  <c r="U89" i="21408"/>
  <c r="Q15" i="21407"/>
  <c r="Q55" i="21407"/>
  <c r="U129" i="21408"/>
  <c r="Q57" i="21407"/>
  <c r="Q54" i="21407"/>
  <c r="U55" i="21408"/>
  <c r="S49" i="21402"/>
  <c r="U130" i="21408"/>
  <c r="U344" i="21408"/>
  <c r="Q43" i="21407"/>
  <c r="U229" i="21408"/>
  <c r="U203" i="21408"/>
  <c r="U226" i="21408"/>
  <c r="U163" i="21408"/>
  <c r="U356" i="21408"/>
  <c r="U149" i="21408"/>
  <c r="U254" i="21408"/>
  <c r="U287" i="21408"/>
  <c r="Q47" i="21407"/>
  <c r="U161" i="21408"/>
  <c r="S59" i="21402"/>
  <c r="U227" i="21408"/>
  <c r="U165" i="21408"/>
  <c r="U301" i="21408"/>
  <c r="Q60" i="21407"/>
  <c r="Q50" i="21407"/>
  <c r="U159" i="21408"/>
  <c r="U224" i="21408"/>
  <c r="U222" i="21408"/>
  <c r="S55" i="21402"/>
  <c r="U107" i="21408"/>
  <c r="U70" i="21408"/>
  <c r="S70" i="21402"/>
  <c r="U127" i="21408"/>
  <c r="U225" i="21408"/>
  <c r="U32" i="21408"/>
  <c r="U29" i="21408"/>
  <c r="S5" i="21402"/>
  <c r="U170" i="21408"/>
  <c r="U167" i="21408"/>
  <c r="U155" i="21408"/>
  <c r="U260" i="21408"/>
  <c r="Q51" i="21407"/>
  <c r="U157" i="21408"/>
  <c r="S34" i="21402"/>
  <c r="U250" i="21408"/>
  <c r="U17" i="21408"/>
  <c r="U24" i="21408"/>
  <c r="U97" i="21408"/>
  <c r="U103" i="21408"/>
  <c r="U60" i="21408"/>
  <c r="U210" i="21408"/>
  <c r="Q58" i="21407"/>
  <c r="U64" i="21408"/>
  <c r="U191" i="21408"/>
  <c r="U12" i="21408"/>
  <c r="S25" i="21402"/>
  <c r="U30" i="21408"/>
  <c r="U80" i="21408"/>
  <c r="U145" i="21408"/>
  <c r="S9" i="21402"/>
  <c r="U255" i="21408"/>
  <c r="S32" i="21402"/>
  <c r="U291" i="21408"/>
  <c r="S17" i="21402"/>
  <c r="U58" i="21408"/>
  <c r="U73" i="21408"/>
  <c r="U93" i="21408"/>
  <c r="U49" i="21408"/>
  <c r="U220" i="21408"/>
  <c r="U218" i="21408"/>
  <c r="U160" i="21408"/>
  <c r="U231" i="21408"/>
  <c r="Q20" i="21407"/>
  <c r="H78" i="21408"/>
  <c r="H29" i="21408"/>
  <c r="H3" i="21408" s="1"/>
  <c r="F39" i="21402"/>
  <c r="H291" i="21408"/>
  <c r="F61" i="21402"/>
  <c r="H129" i="21408"/>
  <c r="H230" i="21408"/>
  <c r="F34" i="21407"/>
  <c r="O51" i="21408"/>
  <c r="O157" i="21408"/>
  <c r="O218" i="21408"/>
  <c r="O202" i="21408"/>
  <c r="O148" i="21408"/>
  <c r="O9" i="21408"/>
  <c r="O200" i="21408"/>
  <c r="M5" i="21402"/>
  <c r="O303" i="21408"/>
  <c r="O193" i="21408"/>
  <c r="O171" i="21408"/>
  <c r="O153" i="21408"/>
  <c r="O18" i="21408"/>
  <c r="M54" i="21402"/>
  <c r="K10" i="21407"/>
  <c r="M16" i="21402"/>
  <c r="M19" i="21402"/>
  <c r="O55" i="21408"/>
  <c r="O64" i="21408"/>
  <c r="O92" i="21408"/>
  <c r="O29" i="21408"/>
  <c r="O227" i="21408"/>
  <c r="O156" i="21408"/>
  <c r="O288" i="21408"/>
  <c r="K19" i="21407"/>
  <c r="O130" i="21408"/>
  <c r="O140" i="21408"/>
  <c r="O129" i="21408"/>
  <c r="O146" i="21408"/>
  <c r="O47" i="21408"/>
  <c r="M57" i="21402"/>
  <c r="O105" i="21408"/>
  <c r="O88" i="21408"/>
  <c r="O237" i="21408"/>
  <c r="M58" i="21402"/>
  <c r="M67" i="21402"/>
  <c r="O48" i="21408"/>
  <c r="M23" i="21402"/>
  <c r="O304" i="21408"/>
  <c r="O259" i="21408"/>
  <c r="O20" i="21408"/>
  <c r="O87" i="21408"/>
  <c r="O139" i="21408"/>
  <c r="O164" i="21408"/>
  <c r="O240" i="21408"/>
  <c r="M33" i="21402"/>
  <c r="O76" i="21408"/>
  <c r="M3" i="21402"/>
  <c r="K46" i="21407"/>
  <c r="O229" i="21408"/>
  <c r="M60" i="21402"/>
  <c r="O110" i="21408"/>
  <c r="O151" i="21408"/>
  <c r="O67" i="21408"/>
  <c r="K42" i="21407"/>
  <c r="M8" i="21402"/>
  <c r="O72" i="21408"/>
  <c r="M61" i="21402"/>
  <c r="O128" i="21408"/>
  <c r="O99" i="21408"/>
  <c r="O172" i="21408"/>
  <c r="O79" i="21408"/>
  <c r="K4" i="21407"/>
  <c r="O246" i="21408"/>
  <c r="O221" i="21408"/>
  <c r="O106" i="21408"/>
  <c r="O168" i="21408"/>
  <c r="O174" i="21408"/>
  <c r="O189" i="21408"/>
  <c r="O190" i="21408" s="1"/>
  <c r="O25" i="21408"/>
  <c r="O58" i="21408"/>
  <c r="O31" i="21408"/>
  <c r="O136" i="21408"/>
  <c r="O127" i="21408"/>
  <c r="M25" i="21402"/>
  <c r="O103" i="21408"/>
  <c r="K5" i="21407"/>
  <c r="O81" i="21408"/>
  <c r="K41" i="21407"/>
  <c r="O82" i="21408"/>
  <c r="O204" i="21408"/>
  <c r="O53" i="21408"/>
  <c r="O255" i="21408"/>
  <c r="O254" i="21408"/>
  <c r="O15" i="21408"/>
  <c r="M34" i="21402"/>
  <c r="O211" i="21408"/>
  <c r="O126" i="21408"/>
  <c r="K57" i="21407"/>
  <c r="O170" i="21408"/>
  <c r="O133" i="21408"/>
  <c r="K40" i="21407"/>
  <c r="O49" i="21408"/>
  <c r="O256" i="21408"/>
  <c r="O251" i="21408"/>
  <c r="O66" i="21408"/>
  <c r="O212" i="21408"/>
  <c r="K36" i="21407"/>
  <c r="O27" i="21408"/>
  <c r="K32" i="21407"/>
  <c r="O118" i="21408"/>
  <c r="O33" i="21408"/>
  <c r="O345" i="21408"/>
  <c r="M15" i="21402"/>
  <c r="K56" i="21407"/>
  <c r="M36" i="21402"/>
  <c r="O248" i="21408"/>
  <c r="O250" i="21408"/>
  <c r="O116" i="21408"/>
  <c r="O301" i="21408"/>
  <c r="O245" i="21408"/>
  <c r="K28" i="21407" s="1"/>
  <c r="O100" i="21408"/>
  <c r="K24" i="21407"/>
  <c r="O23" i="21408"/>
  <c r="O247" i="21408"/>
  <c r="O94" i="21408"/>
  <c r="N83" i="21408"/>
  <c r="O185" i="21408"/>
  <c r="M71" i="21402"/>
  <c r="O52" i="21408"/>
  <c r="K31" i="21407"/>
  <c r="O162" i="21408"/>
  <c r="O60" i="21408"/>
  <c r="O147" i="21408"/>
  <c r="O223" i="21408"/>
  <c r="K16" i="21407"/>
  <c r="O215" i="21408"/>
  <c r="O131" i="21408"/>
  <c r="O134" i="21408"/>
  <c r="O107" i="21408"/>
  <c r="O187" i="21408"/>
  <c r="O188" i="21408" s="1"/>
  <c r="O228" i="21408"/>
  <c r="O132" i="21408"/>
  <c r="O34" i="21408"/>
  <c r="O77" i="21408"/>
  <c r="O141" i="21408"/>
  <c r="O65" i="21408"/>
  <c r="O73" i="21408"/>
  <c r="O62" i="21408"/>
  <c r="O216" i="21408"/>
  <c r="M41" i="21402"/>
  <c r="O122" i="21408"/>
  <c r="O5" i="21408"/>
  <c r="O177" i="21408"/>
  <c r="O109" i="21408"/>
  <c r="O46" i="21408"/>
  <c r="O154" i="21408"/>
  <c r="K53" i="21407"/>
  <c r="O163" i="21408"/>
  <c r="O286" i="21408"/>
  <c r="K20" i="21407"/>
  <c r="O56" i="21408"/>
  <c r="M59" i="21402"/>
  <c r="O97" i="21408"/>
  <c r="O161" i="21408"/>
  <c r="O74" i="21408"/>
  <c r="M6" i="21402"/>
  <c r="O28" i="21408"/>
  <c r="O257" i="21408"/>
  <c r="M24" i="21402"/>
  <c r="K14" i="21407"/>
  <c r="O290" i="21408"/>
  <c r="K51" i="21407"/>
  <c r="O89" i="21408"/>
  <c r="M18" i="21402"/>
  <c r="O351" i="21408"/>
  <c r="O210" i="21408"/>
  <c r="M22" i="21402"/>
  <c r="O220" i="21408"/>
  <c r="O180" i="21408"/>
  <c r="K30" i="21407"/>
  <c r="O356" i="21408"/>
  <c r="K44" i="21407"/>
  <c r="M35" i="21402"/>
  <c r="O121" i="21408"/>
  <c r="M38" i="21402"/>
  <c r="O149" i="21408"/>
  <c r="O91" i="21408"/>
  <c r="O186" i="21408"/>
  <c r="O350" i="21408"/>
  <c r="O343" i="21408"/>
  <c r="O347" i="21408" s="1"/>
  <c r="O219" i="21408"/>
  <c r="K49" i="21407"/>
  <c r="O57" i="21408"/>
  <c r="O226" i="21408"/>
  <c r="O84" i="21408"/>
  <c r="O124" i="21408"/>
  <c r="M69" i="21402"/>
  <c r="O69" i="21408"/>
  <c r="K37" i="21407"/>
  <c r="O7" i="21408"/>
  <c r="O96" i="21408"/>
  <c r="O344" i="21408"/>
  <c r="O349" i="21408"/>
  <c r="O289" i="21408"/>
  <c r="O112" i="21408"/>
  <c r="O138" i="21408"/>
  <c r="K59" i="21407"/>
  <c r="M43" i="21402"/>
  <c r="O14" i="21408"/>
  <c r="O291" i="21408"/>
  <c r="O300" i="21408"/>
  <c r="O113" i="21408"/>
  <c r="O102" i="21408"/>
  <c r="O182" i="21408"/>
  <c r="M9" i="21402"/>
  <c r="O68" i="21408"/>
  <c r="O80" i="21408"/>
  <c r="O78" i="21408"/>
  <c r="K54" i="21407"/>
  <c r="O8" i="21408"/>
  <c r="O155" i="21408"/>
  <c r="O44" i="21408"/>
  <c r="O43" i="21408" s="1"/>
  <c r="O42" i="21408" s="1"/>
  <c r="O41" i="21408" s="1"/>
  <c r="O11" i="21408"/>
  <c r="M17" i="21402"/>
  <c r="M70" i="21402"/>
  <c r="O178" i="21408"/>
  <c r="O224" i="21408"/>
  <c r="O173" i="21408"/>
  <c r="O145" i="21408"/>
  <c r="M56" i="21402"/>
  <c r="O160" i="21408"/>
  <c r="O233" i="21408"/>
  <c r="M39" i="21402"/>
  <c r="K26" i="21407"/>
  <c r="O207" i="21408"/>
  <c r="O70" i="21408"/>
  <c r="K50" i="21407"/>
  <c r="M37" i="21402"/>
  <c r="O205" i="21408"/>
  <c r="O98" i="21408"/>
  <c r="O208" i="21408"/>
  <c r="O253" i="21408"/>
  <c r="O158" i="21408"/>
  <c r="O32" i="21408"/>
  <c r="K15" i="21407"/>
  <c r="O167" i="21408"/>
  <c r="K21" i="21407"/>
  <c r="O144" i="21408"/>
  <c r="O119" i="21408"/>
  <c r="O17" i="21408"/>
  <c r="O4" i="21408"/>
  <c r="O203" i="21408"/>
  <c r="O123" i="21408"/>
  <c r="O50" i="21408"/>
  <c r="O217" i="21408"/>
  <c r="O19" i="21408"/>
  <c r="O13" i="21408"/>
  <c r="M49" i="21402"/>
  <c r="O230" i="21408"/>
  <c r="K22" i="21407"/>
  <c r="O152" i="21408"/>
  <c r="O24" i="21408"/>
  <c r="O16" i="21408"/>
  <c r="M72" i="21402"/>
  <c r="O114" i="21408"/>
  <c r="K34" i="21407"/>
  <c r="O213" i="21408"/>
  <c r="K38" i="21407"/>
  <c r="L175" i="21408"/>
  <c r="L176" i="21408" s="1"/>
  <c r="H175" i="21408"/>
  <c r="H176" i="21408" s="1"/>
  <c r="P43" i="21408"/>
  <c r="P42" i="21408" s="1"/>
  <c r="P41" i="21408" s="1"/>
  <c r="C158" i="3"/>
  <c r="C160" i="3" s="1"/>
  <c r="C162" i="3" s="1"/>
  <c r="C9" i="21414"/>
  <c r="J157" i="3"/>
  <c r="C7" i="21400"/>
  <c r="J6" i="21414"/>
  <c r="J4" i="21400"/>
  <c r="H43" i="21408"/>
  <c r="H42" i="21408" s="1"/>
  <c r="H41" i="21408" s="1"/>
  <c r="AM209" i="21408"/>
  <c r="AM175" i="21408"/>
  <c r="AM176" i="21408" s="1"/>
  <c r="AM3" i="21408"/>
  <c r="AM244" i="21408"/>
  <c r="AM243" i="21408" s="1"/>
  <c r="AM242" i="21408" s="1"/>
  <c r="AL43" i="21408"/>
  <c r="AL42" i="21408" s="1"/>
  <c r="AL41" i="21408" s="1"/>
  <c r="AL244" i="21408"/>
  <c r="AL243" i="21408" s="1"/>
  <c r="AL242" i="21408" s="1"/>
  <c r="AL3" i="21408"/>
  <c r="L209" i="21408"/>
  <c r="O298" i="21408"/>
  <c r="O299" i="21408" s="1"/>
  <c r="O293" i="21408"/>
  <c r="K244" i="21408"/>
  <c r="K243" i="21408" s="1"/>
  <c r="K242" i="21408" s="1"/>
  <c r="H293" i="21408"/>
  <c r="H298" i="21408"/>
  <c r="H299" i="21408" s="1"/>
  <c r="S209" i="21408"/>
  <c r="S298" i="21408"/>
  <c r="S299" i="21408" s="1"/>
  <c r="S293" i="21408"/>
  <c r="J3" i="21408"/>
  <c r="I209" i="21408"/>
  <c r="AL298" i="21408"/>
  <c r="AL299" i="21408" s="1"/>
  <c r="AL293" i="21408"/>
  <c r="AL209" i="21408"/>
  <c r="J209" i="21408"/>
  <c r="M175" i="21408"/>
  <c r="M176" i="21408" s="1"/>
  <c r="M3" i="21408"/>
  <c r="P3" i="21408"/>
  <c r="P298" i="21408"/>
  <c r="P299" i="21408" s="1"/>
  <c r="P293" i="21408"/>
  <c r="I244" i="21408"/>
  <c r="I243" i="21408" s="1"/>
  <c r="I242" i="21408" s="1"/>
  <c r="H209" i="21408"/>
  <c r="J244" i="21408"/>
  <c r="J243" i="21408" s="1"/>
  <c r="J242" i="21408" s="1"/>
  <c r="J293" i="21408"/>
  <c r="J298" i="21408"/>
  <c r="J299" i="21408" s="1"/>
  <c r="K3" i="21408"/>
  <c r="AM43" i="21408"/>
  <c r="AM42" i="21408" s="1"/>
  <c r="AM41" i="21408" s="1"/>
  <c r="M244" i="21408"/>
  <c r="M243" i="21408" s="1"/>
  <c r="M242" i="21408" s="1"/>
  <c r="M43" i="21408"/>
  <c r="M42" i="21408" s="1"/>
  <c r="M41" i="21408" s="1"/>
  <c r="M293" i="21408"/>
  <c r="M298" i="21408"/>
  <c r="M299" i="21408" s="1"/>
  <c r="P244" i="21408"/>
  <c r="P243" i="21408" s="1"/>
  <c r="P242" i="21408" s="1"/>
  <c r="J43" i="21408"/>
  <c r="J42" i="21408" s="1"/>
  <c r="J41" i="21408" s="1"/>
  <c r="I3" i="21408"/>
  <c r="AL175" i="21408"/>
  <c r="AL176" i="21408" s="1"/>
  <c r="T43" i="21408"/>
  <c r="T42" i="21408" s="1"/>
  <c r="T41" i="21408" s="1"/>
  <c r="J175" i="21408"/>
  <c r="J176" i="21408" s="1"/>
  <c r="M209" i="21408"/>
  <c r="P209" i="21408"/>
  <c r="K175" i="21408"/>
  <c r="K176" i="21408" s="1"/>
  <c r="H244" i="21408"/>
  <c r="H243" i="21408" s="1"/>
  <c r="H242" i="21408" s="1"/>
  <c r="AX108" i="21430"/>
  <c r="AX8" i="21417" s="1"/>
  <c r="AW108" i="21430"/>
  <c r="AW8" i="21417" s="1"/>
  <c r="M106" i="21430"/>
  <c r="M6" i="21417" s="1"/>
  <c r="AY106" i="21430"/>
  <c r="AY6" i="21417" s="1"/>
  <c r="T3" i="21408" l="1"/>
  <c r="V244" i="21408"/>
  <c r="V243" i="21408" s="1"/>
  <c r="V242" i="21408" s="1"/>
  <c r="V298" i="21408"/>
  <c r="V299" i="21408" s="1"/>
  <c r="V175" i="21408"/>
  <c r="V176" i="21408" s="1"/>
  <c r="V3" i="21408"/>
  <c r="V209" i="21408"/>
  <c r="T209" i="21408"/>
  <c r="T175" i="21408"/>
  <c r="T176" i="21408" s="1"/>
  <c r="S3" i="21408"/>
  <c r="U209" i="21408"/>
  <c r="S175" i="21408"/>
  <c r="S176" i="21408" s="1"/>
  <c r="R43" i="21408"/>
  <c r="R42" i="21408" s="1"/>
  <c r="R41" i="21408" s="1"/>
  <c r="AJ43" i="21408"/>
  <c r="AJ42" i="21408" s="1"/>
  <c r="AJ41" i="21408" s="1"/>
  <c r="AJ244" i="21408"/>
  <c r="AJ243" i="21408" s="1"/>
  <c r="AJ242" i="21408" s="1"/>
  <c r="O209" i="21408"/>
  <c r="O244" i="21408"/>
  <c r="O243" i="21408" s="1"/>
  <c r="O242" i="21408" s="1"/>
  <c r="O175" i="21408"/>
  <c r="O176" i="21408" s="1"/>
  <c r="I293" i="21408"/>
  <c r="I298" i="21408"/>
  <c r="I299" i="21408" s="1"/>
  <c r="R298" i="21408"/>
  <c r="R299" i="21408" s="1"/>
  <c r="R293" i="21408"/>
  <c r="R244" i="21408"/>
  <c r="R243" i="21408" s="1"/>
  <c r="R242" i="21408" s="1"/>
  <c r="R175" i="21408"/>
  <c r="R176" i="21408" s="1"/>
  <c r="N175" i="21408"/>
  <c r="N176" i="21408" s="1"/>
  <c r="AJ175" i="21408"/>
  <c r="AJ176" i="21408" s="1"/>
  <c r="O3" i="21408"/>
  <c r="U175" i="21408"/>
  <c r="U176" i="21408" s="1"/>
  <c r="U3" i="21408"/>
  <c r="U298" i="21408"/>
  <c r="U299" i="21408" s="1"/>
  <c r="U293" i="21408"/>
  <c r="N244" i="21408"/>
  <c r="N243" i="21408" s="1"/>
  <c r="N242" i="21408" s="1"/>
  <c r="N293" i="21408"/>
  <c r="N298" i="21408"/>
  <c r="N299" i="21408" s="1"/>
  <c r="N209" i="21408"/>
  <c r="T298" i="21408"/>
  <c r="T299" i="21408" s="1"/>
  <c r="T293" i="21408"/>
  <c r="U244" i="21408"/>
  <c r="U243" i="21408" s="1"/>
  <c r="U242" i="21408" s="1"/>
  <c r="AJ209" i="21408"/>
  <c r="AJ293" i="21408"/>
  <c r="AJ298" i="21408"/>
  <c r="AJ299" i="21408" s="1"/>
  <c r="AM298" i="21408"/>
  <c r="AM299" i="21408" s="1"/>
  <c r="AM293" i="21408"/>
  <c r="R209" i="21408"/>
  <c r="R3" i="21408"/>
  <c r="AJ3" i="21408"/>
  <c r="L3" i="21408"/>
  <c r="L244" i="21408"/>
  <c r="L243" i="21408" s="1"/>
  <c r="L242" i="21408" s="1"/>
  <c r="C164" i="3"/>
  <c r="C166" i="3" s="1"/>
  <c r="C168" i="3" s="1"/>
  <c r="C170" i="3" s="1"/>
  <c r="C172" i="3" s="1"/>
  <c r="AX162" i="3"/>
  <c r="J161" i="3"/>
  <c r="AW162" i="3"/>
  <c r="J10" i="21414"/>
  <c r="J8" i="21400"/>
  <c r="AY108" i="21430"/>
  <c r="AY8" i="21417" s="1"/>
  <c r="M108" i="21430"/>
  <c r="M8" i="21417" s="1"/>
  <c r="AW161" i="3" l="1"/>
  <c r="AX161" i="3"/>
  <c r="J160" i="3"/>
  <c r="AY162" i="3"/>
  <c r="M162" i="3"/>
  <c r="C174" i="3"/>
  <c r="AX172" i="3"/>
  <c r="AW172" i="3"/>
  <c r="Q166" i="21408"/>
  <c r="Q108" i="21408"/>
  <c r="AZ161" i="3" l="1"/>
  <c r="AY172" i="3"/>
  <c r="M172" i="3"/>
  <c r="AX160" i="3"/>
  <c r="AW160" i="3"/>
  <c r="C176" i="3"/>
  <c r="AW174" i="3"/>
  <c r="AX174" i="3"/>
  <c r="Q99" i="21408"/>
  <c r="Q120" i="21408"/>
  <c r="Q303" i="21408"/>
  <c r="M51" i="21407"/>
  <c r="Q215" i="21408"/>
  <c r="Q250" i="21408"/>
  <c r="Q143" i="21408"/>
  <c r="Q167" i="21408"/>
  <c r="Q200" i="21408"/>
  <c r="Q29" i="21408"/>
  <c r="Q203" i="21408"/>
  <c r="M16" i="21407"/>
  <c r="Q192" i="21408"/>
  <c r="Q259" i="21408"/>
  <c r="O42" i="21402"/>
  <c r="Q22" i="21408"/>
  <c r="Q154" i="21408"/>
  <c r="Q15" i="21408"/>
  <c r="Q50" i="21408"/>
  <c r="Q248" i="21408"/>
  <c r="Q123" i="21408"/>
  <c r="Q63" i="21408"/>
  <c r="O50" i="21402"/>
  <c r="M59" i="21407"/>
  <c r="Q53" i="21408"/>
  <c r="Q301" i="21408"/>
  <c r="M60" i="21407"/>
  <c r="O22" i="21402"/>
  <c r="Q28" i="21408"/>
  <c r="Q161" i="21408"/>
  <c r="Q206" i="21408"/>
  <c r="Q94" i="21408"/>
  <c r="M41" i="21407"/>
  <c r="Q257" i="21408"/>
  <c r="Q78" i="21408"/>
  <c r="Q121" i="21408"/>
  <c r="O70" i="21402"/>
  <c r="M5" i="21407"/>
  <c r="Q131" i="21408"/>
  <c r="Q247" i="21408"/>
  <c r="O5" i="21402"/>
  <c r="Q233" i="21408"/>
  <c r="Q58" i="21408"/>
  <c r="Q164" i="21408"/>
  <c r="O3" i="21402"/>
  <c r="Q231" i="21408"/>
  <c r="Q201" i="21408"/>
  <c r="Q249" i="21408"/>
  <c r="M30" i="21407"/>
  <c r="Q213" i="21408"/>
  <c r="Q93" i="21408"/>
  <c r="Q240" i="21408"/>
  <c r="Q4" i="21408"/>
  <c r="O25" i="21402"/>
  <c r="Q8" i="21408"/>
  <c r="Q85" i="21408"/>
  <c r="Q60" i="21408"/>
  <c r="Q180" i="21408"/>
  <c r="Q64" i="21408"/>
  <c r="Q258" i="21408"/>
  <c r="Q149" i="21408"/>
  <c r="Q151" i="21408"/>
  <c r="Q12" i="21408"/>
  <c r="Q216" i="21408"/>
  <c r="Q260" i="21408"/>
  <c r="Q70" i="21408"/>
  <c r="Q207" i="21408"/>
  <c r="Q122" i="21408"/>
  <c r="Q49" i="21408"/>
  <c r="Q168" i="21408"/>
  <c r="Q287" i="21408"/>
  <c r="Q157" i="21408"/>
  <c r="Q27" i="21408"/>
  <c r="Q140" i="21408"/>
  <c r="M32" i="21407"/>
  <c r="O26" i="21402"/>
  <c r="Q252" i="21408"/>
  <c r="Q18" i="21408"/>
  <c r="Q147" i="21408"/>
  <c r="Q116" i="21408"/>
  <c r="O55" i="21402"/>
  <c r="Q76" i="21408"/>
  <c r="O15" i="21402"/>
  <c r="Q228" i="21408"/>
  <c r="Q219" i="21408"/>
  <c r="Q156" i="21408"/>
  <c r="Q106" i="21408"/>
  <c r="Q179" i="21408"/>
  <c r="Q148" i="21408"/>
  <c r="O51" i="21402"/>
  <c r="Q286" i="21408"/>
  <c r="O24" i="21402"/>
  <c r="Q124" i="21408"/>
  <c r="M31" i="21407"/>
  <c r="Q208" i="21408"/>
  <c r="Q52" i="21408"/>
  <c r="M34" i="21407"/>
  <c r="Q132" i="21408"/>
  <c r="O35" i="21402"/>
  <c r="Q177" i="21408"/>
  <c r="Q255" i="21408"/>
  <c r="M38" i="21407"/>
  <c r="M8" i="21407"/>
  <c r="O9" i="21402"/>
  <c r="O6" i="21402"/>
  <c r="Q128" i="21408"/>
  <c r="Q163" i="21408"/>
  <c r="Q245" i="21408"/>
  <c r="Q23" i="21408"/>
  <c r="O59" i="21402"/>
  <c r="Q21" i="21408"/>
  <c r="O56" i="21402"/>
  <c r="Q67" i="21408"/>
  <c r="O68" i="21402"/>
  <c r="M9" i="21407"/>
  <c r="M4" i="21407"/>
  <c r="M21" i="21407"/>
  <c r="Q91" i="21408"/>
  <c r="Q26" i="21408"/>
  <c r="P83" i="21408"/>
  <c r="Q227" i="21408"/>
  <c r="Q24" i="21408"/>
  <c r="Q133" i="21408"/>
  <c r="Q115" i="21408"/>
  <c r="M26" i="21407"/>
  <c r="M46" i="21407"/>
  <c r="Q16" i="21408"/>
  <c r="O21" i="21402"/>
  <c r="Q290" i="21408"/>
  <c r="Q97" i="21408"/>
  <c r="Q125" i="21408"/>
  <c r="Q145" i="21408"/>
  <c r="M19" i="21407"/>
  <c r="Q119" i="21408"/>
  <c r="Q345" i="21408"/>
  <c r="Q105" i="21408"/>
  <c r="O72" i="21402"/>
  <c r="O18" i="21402"/>
  <c r="M47" i="21407"/>
  <c r="Q11" i="21408"/>
  <c r="M36" i="21407"/>
  <c r="Q218" i="21408"/>
  <c r="Q25" i="21408"/>
  <c r="O38" i="21402"/>
  <c r="Q172" i="21408"/>
  <c r="Q89" i="21408"/>
  <c r="Q205" i="21408"/>
  <c r="Q142" i="21408"/>
  <c r="Q48" i="21408"/>
  <c r="Q137" i="21408"/>
  <c r="Q139" i="21408"/>
  <c r="Q158" i="21408"/>
  <c r="Q14" i="21408"/>
  <c r="Q82" i="21408"/>
  <c r="Q34" i="21408"/>
  <c r="M40" i="21407"/>
  <c r="Q294" i="21408"/>
  <c r="Q293" i="21408" s="1"/>
  <c r="Q251" i="21408"/>
  <c r="M20" i="21407"/>
  <c r="Q110" i="21408"/>
  <c r="O8" i="21402"/>
  <c r="O69" i="21402"/>
  <c r="O4" i="21402"/>
  <c r="Q68" i="21408"/>
  <c r="Q95" i="21408"/>
  <c r="Q88" i="21408"/>
  <c r="Q31" i="21408"/>
  <c r="Q141" i="21408"/>
  <c r="Q114" i="21408"/>
  <c r="O17" i="21402"/>
  <c r="O53" i="21402"/>
  <c r="O61" i="21402"/>
  <c r="Q204" i="21408"/>
  <c r="Q254" i="21408"/>
  <c r="O49" i="21402"/>
  <c r="M54" i="21407"/>
  <c r="Q253" i="21408"/>
  <c r="O20" i="21402"/>
  <c r="Q44" i="21408"/>
  <c r="O71" i="21402"/>
  <c r="O37" i="21402"/>
  <c r="Q237" i="21408"/>
  <c r="M15" i="21407"/>
  <c r="Q351" i="21408"/>
  <c r="Q113" i="21408"/>
  <c r="Q134" i="21408"/>
  <c r="Q343" i="21408"/>
  <c r="Q153" i="21408"/>
  <c r="Q100" i="21408"/>
  <c r="Q126" i="21408"/>
  <c r="Q32" i="21408"/>
  <c r="O34" i="21402"/>
  <c r="Q220" i="21408"/>
  <c r="Q225" i="21408"/>
  <c r="Q79" i="21408"/>
  <c r="Q7" i="21408"/>
  <c r="Q193" i="21408"/>
  <c r="Q129" i="21408"/>
  <c r="Q189" i="21408"/>
  <c r="Q190" i="21408" s="1"/>
  <c r="Q217" i="21408"/>
  <c r="O57" i="21402"/>
  <c r="Q155" i="21408"/>
  <c r="Q169" i="21408"/>
  <c r="Q112" i="21408"/>
  <c r="Q17" i="21408"/>
  <c r="Q66" i="21408"/>
  <c r="Q109" i="21408"/>
  <c r="O23" i="21402"/>
  <c r="Q210" i="21408"/>
  <c r="Q229" i="21408"/>
  <c r="Q160" i="21408"/>
  <c r="Q81" i="21408"/>
  <c r="Q246" i="21408"/>
  <c r="Q6" i="21408"/>
  <c r="Q75" i="21408"/>
  <c r="Q92" i="21408"/>
  <c r="M53" i="21407"/>
  <c r="Q77" i="21408"/>
  <c r="Q102" i="21408"/>
  <c r="Q350" i="21408"/>
  <c r="Q138" i="21408"/>
  <c r="Q33" i="21408"/>
  <c r="M58" i="21407"/>
  <c r="M22" i="21407"/>
  <c r="O33" i="21402"/>
  <c r="Q304" i="21408"/>
  <c r="Q185" i="21408"/>
  <c r="Q232" i="21408"/>
  <c r="M50" i="21407"/>
  <c r="O19" i="21402"/>
  <c r="Q152" i="21408"/>
  <c r="Q127" i="21408"/>
  <c r="O16" i="21402"/>
  <c r="Q55" i="21408"/>
  <c r="Q184" i="21408"/>
  <c r="Q212" i="21408"/>
  <c r="Q80" i="21408"/>
  <c r="Q346" i="21408"/>
  <c r="M49" i="21407"/>
  <c r="M14" i="21407"/>
  <c r="Q173" i="21408"/>
  <c r="Q202" i="21408"/>
  <c r="Q59" i="21408"/>
  <c r="O54" i="21402"/>
  <c r="Q74" i="21408"/>
  <c r="Q226" i="21408"/>
  <c r="Q288" i="21408"/>
  <c r="O41" i="21402"/>
  <c r="M42" i="21407"/>
  <c r="M44" i="21407"/>
  <c r="Q300" i="21408"/>
  <c r="Q101" i="21408"/>
  <c r="Q9" i="21408"/>
  <c r="Q178" i="21408"/>
  <c r="Q87" i="21408"/>
  <c r="Q47" i="21408"/>
  <c r="M37" i="21407"/>
  <c r="Q56" i="21408"/>
  <c r="Q57" i="21408"/>
  <c r="Q19" i="21408"/>
  <c r="Q54" i="21408"/>
  <c r="Q51" i="21408"/>
  <c r="Q256" i="21408"/>
  <c r="M43" i="21407"/>
  <c r="Q349" i="21408"/>
  <c r="O60" i="21402"/>
  <c r="Q171" i="21408"/>
  <c r="Q344" i="21408"/>
  <c r="Q13" i="21408"/>
  <c r="Q183" i="21408"/>
  <c r="Q181" i="21408"/>
  <c r="O58" i="21402"/>
  <c r="Q30" i="21408"/>
  <c r="Q103" i="21408"/>
  <c r="Q46" i="21408"/>
  <c r="Q162" i="21408"/>
  <c r="Q221" i="21408"/>
  <c r="M55" i="21407"/>
  <c r="Q98" i="21408"/>
  <c r="O40" i="21402"/>
  <c r="Q71" i="21408"/>
  <c r="M24" i="21407"/>
  <c r="Q238" i="21408"/>
  <c r="Q61" i="21408"/>
  <c r="M56" i="21407"/>
  <c r="Q230" i="21408"/>
  <c r="Q211" i="21408"/>
  <c r="Q104" i="21408"/>
  <c r="Q165" i="21408"/>
  <c r="O10" i="21402"/>
  <c r="O39" i="21402"/>
  <c r="O36" i="21402"/>
  <c r="M57" i="21407"/>
  <c r="M10" i="21407"/>
  <c r="Q223" i="21408"/>
  <c r="Q182" i="21408"/>
  <c r="Q174" i="21408"/>
  <c r="Q191" i="21408"/>
  <c r="Q62" i="21408"/>
  <c r="Q5" i="21408"/>
  <c r="O67" i="21402"/>
  <c r="Q65" i="21408"/>
  <c r="Q150" i="21408"/>
  <c r="Q135" i="21408"/>
  <c r="Q118" i="21408"/>
  <c r="Q222" i="21408"/>
  <c r="M6" i="21407"/>
  <c r="Q146" i="21408"/>
  <c r="Q130" i="21408"/>
  <c r="Q187" i="21408"/>
  <c r="Q117" i="21408"/>
  <c r="O43" i="21402"/>
  <c r="Q170" i="21408"/>
  <c r="Q72" i="21408"/>
  <c r="Q73" i="21408"/>
  <c r="Q111" i="21408"/>
  <c r="Q289" i="21408"/>
  <c r="Q20" i="21408"/>
  <c r="Q86" i="21408"/>
  <c r="Q90" i="21408"/>
  <c r="Q291" i="21408"/>
  <c r="Q356" i="21408"/>
  <c r="Q96" i="21408"/>
  <c r="Q144" i="21408"/>
  <c r="Q10" i="21408"/>
  <c r="Q84" i="21408"/>
  <c r="Q69" i="21408"/>
  <c r="O52" i="21402"/>
  <c r="Q107" i="21408"/>
  <c r="O32" i="21402"/>
  <c r="Q224" i="21408"/>
  <c r="Q136" i="21408"/>
  <c r="Q159" i="21408"/>
  <c r="Q186" i="21408"/>
  <c r="Q45" i="21408"/>
  <c r="AZ160" i="3" l="1"/>
  <c r="M174" i="3"/>
  <c r="AY174" i="3"/>
  <c r="C178" i="3"/>
  <c r="C180" i="3" s="1"/>
  <c r="AX176" i="3"/>
  <c r="AW176" i="3"/>
  <c r="Q347" i="21408"/>
  <c r="M28" i="21407"/>
  <c r="Q298" i="21408"/>
  <c r="Q188" i="21408"/>
  <c r="Q209" i="21408"/>
  <c r="Q3" i="21408"/>
  <c r="Q244" i="21408"/>
  <c r="Q243" i="21408" s="1"/>
  <c r="Q175" i="21408"/>
  <c r="Q43" i="21408"/>
  <c r="C182" i="3" l="1"/>
  <c r="J181" i="3"/>
  <c r="AW181" i="3" s="1"/>
  <c r="AZ181" i="3" s="1"/>
  <c r="AW180" i="3"/>
  <c r="AX180" i="3"/>
  <c r="M180" i="3" s="1"/>
  <c r="AY176" i="3"/>
  <c r="M176" i="3"/>
  <c r="Q299" i="21408"/>
  <c r="E232" i="21409"/>
  <c r="E325" i="21409"/>
  <c r="Q242" i="21408"/>
  <c r="Q42" i="21408"/>
  <c r="Q176" i="21408"/>
  <c r="AY180" i="3" l="1"/>
  <c r="AW182" i="3"/>
  <c r="C184" i="3"/>
  <c r="C186" i="3" s="1"/>
  <c r="J182" i="3"/>
  <c r="AX182" i="3"/>
  <c r="Q41" i="21408"/>
  <c r="AK151" i="21408" l="1"/>
  <c r="G151" i="21408" s="1"/>
  <c r="AZ182" i="3"/>
  <c r="M182" i="3"/>
  <c r="AK172" i="21408" s="1"/>
  <c r="G172" i="21408" s="1"/>
  <c r="AK69" i="21408"/>
  <c r="G69" i="21408" s="1"/>
  <c r="AK203" i="21408"/>
  <c r="G203" i="21408" s="1"/>
  <c r="AC34" i="21407"/>
  <c r="C34" i="21407" s="1"/>
  <c r="AK232" i="21408"/>
  <c r="G232" i="21408" s="1"/>
  <c r="AK140" i="21408"/>
  <c r="G140" i="21408" s="1"/>
  <c r="AI57" i="21402"/>
  <c r="AK219" i="21408"/>
  <c r="G219" i="21408" s="1"/>
  <c r="AI4" i="21402"/>
  <c r="E4" i="21402" s="1"/>
  <c r="AK231" i="21408"/>
  <c r="G231" i="21408" s="1"/>
  <c r="AK229" i="21408"/>
  <c r="G229" i="21408" s="1"/>
  <c r="AK16" i="21408"/>
  <c r="G16" i="21408" s="1"/>
  <c r="AK47" i="21408"/>
  <c r="G47" i="21408" s="1"/>
  <c r="AK294" i="21408"/>
  <c r="AK183" i="21408"/>
  <c r="G183" i="21408" s="1"/>
  <c r="AK62" i="21408"/>
  <c r="G62" i="21408" s="1"/>
  <c r="AK14" i="21408"/>
  <c r="G14" i="21408" s="1"/>
  <c r="AK301" i="21408"/>
  <c r="G301" i="21408" s="1"/>
  <c r="AI26" i="21402"/>
  <c r="AI5" i="21402"/>
  <c r="E5" i="21402" s="1"/>
  <c r="AK133" i="21408"/>
  <c r="G133" i="21408" s="1"/>
  <c r="AC37" i="21407"/>
  <c r="C37" i="21407" s="1"/>
  <c r="AK168" i="21408"/>
  <c r="G168" i="21408" s="1"/>
  <c r="AK171" i="21408"/>
  <c r="G171" i="21408" s="1"/>
  <c r="AK250" i="21408"/>
  <c r="G250" i="21408" s="1"/>
  <c r="AI68" i="21402"/>
  <c r="AC15" i="21407"/>
  <c r="C15" i="21407" s="1"/>
  <c r="AK161" i="21408"/>
  <c r="G161" i="21408" s="1"/>
  <c r="AK9" i="21408"/>
  <c r="G9" i="21408" s="1"/>
  <c r="AK51" i="21408"/>
  <c r="G51" i="21408" s="1"/>
  <c r="AK145" i="21408"/>
  <c r="G145" i="21408" s="1"/>
  <c r="AK162" i="21408"/>
  <c r="G162" i="21408" s="1"/>
  <c r="AK255" i="21408"/>
  <c r="G255" i="21408" s="1"/>
  <c r="AK181" i="21408"/>
  <c r="G181" i="21408" s="1"/>
  <c r="AK6" i="21408"/>
  <c r="G6" i="21408" s="1"/>
  <c r="AK225" i="21408"/>
  <c r="G225" i="21408" s="1"/>
  <c r="AK76" i="21408"/>
  <c r="G76" i="21408" s="1"/>
  <c r="AK179" i="21408"/>
  <c r="G179" i="21408" s="1"/>
  <c r="AI41" i="21402"/>
  <c r="AK258" i="21408"/>
  <c r="G258" i="21408" s="1"/>
  <c r="AK184" i="21408"/>
  <c r="G184" i="21408" s="1"/>
  <c r="I12" i="21407"/>
  <c r="C12" i="21407" s="1"/>
  <c r="AK157" i="21408"/>
  <c r="G157" i="21408" s="1"/>
  <c r="AK19" i="21408"/>
  <c r="G19" i="21408" s="1"/>
  <c r="AK346" i="21408"/>
  <c r="G346" i="21408" s="1"/>
  <c r="AC53" i="21407"/>
  <c r="C53" i="21407" s="1"/>
  <c r="AI16" i="21402"/>
  <c r="AK81" i="21408"/>
  <c r="G81" i="21408" s="1"/>
  <c r="AC6" i="21407"/>
  <c r="C6" i="21407" s="1"/>
  <c r="AI33" i="21402"/>
  <c r="AK49" i="21408"/>
  <c r="G49" i="21408" s="1"/>
  <c r="AK257" i="21408"/>
  <c r="G257" i="21408" s="1"/>
  <c r="AI9" i="21402"/>
  <c r="AK119" i="21408"/>
  <c r="G119" i="21408" s="1"/>
  <c r="AK21" i="21408"/>
  <c r="G21" i="21408" s="1"/>
  <c r="AK191" i="21408"/>
  <c r="G191" i="21408" s="1"/>
  <c r="AK146" i="21408"/>
  <c r="G146" i="21408" s="1"/>
  <c r="AI67" i="21402"/>
  <c r="AK351" i="21408"/>
  <c r="G351" i="21408" s="1"/>
  <c r="AK109" i="21408"/>
  <c r="G109" i="21408" s="1"/>
  <c r="AC55" i="21407"/>
  <c r="C55" i="21407" s="1"/>
  <c r="AK158" i="21408"/>
  <c r="G158" i="21408" s="1"/>
  <c r="AK136" i="21408"/>
  <c r="G136" i="21408" s="1"/>
  <c r="AK125" i="21408"/>
  <c r="G125" i="21408" s="1"/>
  <c r="AC31" i="21407"/>
  <c r="C31" i="21407" s="1"/>
  <c r="AC51" i="21407"/>
  <c r="C51" i="21407" s="1"/>
  <c r="AK303" i="21408"/>
  <c r="G303" i="21408" s="1"/>
  <c r="AC21" i="21407"/>
  <c r="C21" i="21407" s="1"/>
  <c r="AK135" i="21408"/>
  <c r="G135" i="21408" s="1"/>
  <c r="AK30" i="21408"/>
  <c r="G30" i="21408" s="1"/>
  <c r="AK238" i="21408"/>
  <c r="G238" i="21408" s="1"/>
  <c r="AC19" i="21407"/>
  <c r="C19" i="21407" s="1"/>
  <c r="AK10" i="21408"/>
  <c r="G10" i="21408" s="1"/>
  <c r="AK344" i="21408"/>
  <c r="G344" i="21408" s="1"/>
  <c r="AK95" i="21408"/>
  <c r="G95" i="21408" s="1"/>
  <c r="AK163" i="21408"/>
  <c r="G163" i="21408" s="1"/>
  <c r="AK15" i="21408"/>
  <c r="G15" i="21408" s="1"/>
  <c r="AK259" i="21408"/>
  <c r="G259" i="21408" s="1"/>
  <c r="AK34" i="21408"/>
  <c r="G34" i="21408" s="1"/>
  <c r="AI22" i="21402"/>
  <c r="AI70" i="21402"/>
  <c r="AK178" i="21408"/>
  <c r="G178" i="21408" s="1"/>
  <c r="AK159" i="21408"/>
  <c r="G159" i="21408" s="1"/>
  <c r="AK156" i="21408"/>
  <c r="G156" i="21408" s="1"/>
  <c r="AK170" i="21408"/>
  <c r="G170" i="21408" s="1"/>
  <c r="AK187" i="21408"/>
  <c r="AK248" i="21408"/>
  <c r="G248" i="21408" s="1"/>
  <c r="AK90" i="21408"/>
  <c r="G90" i="21408" s="1"/>
  <c r="AK20" i="21408"/>
  <c r="G20" i="21408" s="1"/>
  <c r="AI17" i="21402"/>
  <c r="AI20" i="21402"/>
  <c r="AK254" i="21408"/>
  <c r="G254" i="21408" s="1"/>
  <c r="AK206" i="21408"/>
  <c r="G206" i="21408" s="1"/>
  <c r="AK4" i="21408"/>
  <c r="AK260" i="21408"/>
  <c r="G260" i="21408" s="1"/>
  <c r="AK5" i="21408"/>
  <c r="G5" i="21408" s="1"/>
  <c r="AK154" i="21408"/>
  <c r="G154" i="21408" s="1"/>
  <c r="AK152" i="21408"/>
  <c r="G152" i="21408" s="1"/>
  <c r="AK350" i="21408"/>
  <c r="G350" i="21408" s="1"/>
  <c r="AK77" i="21408"/>
  <c r="G77" i="21408" s="1"/>
  <c r="AI54" i="21402"/>
  <c r="AI52" i="21402"/>
  <c r="AK155" i="21408"/>
  <c r="G155" i="21408" s="1"/>
  <c r="AK289" i="21408"/>
  <c r="G289" i="21408" s="1"/>
  <c r="AC54" i="21407"/>
  <c r="C54" i="21407" s="1"/>
  <c r="AK44" i="21408"/>
  <c r="AK223" i="21408"/>
  <c r="G223" i="21408" s="1"/>
  <c r="AK26" i="21408"/>
  <c r="G26" i="21408" s="1"/>
  <c r="AK137" i="21408"/>
  <c r="G137" i="21408" s="1"/>
  <c r="AK186" i="21408"/>
  <c r="G186" i="21408" s="1"/>
  <c r="AK189" i="21408"/>
  <c r="AK201" i="21408"/>
  <c r="G201" i="21408" s="1"/>
  <c r="AK45" i="21408"/>
  <c r="G45" i="21408" s="1"/>
  <c r="AC60" i="21407"/>
  <c r="C60" i="21407" s="1"/>
  <c r="AK79" i="21408"/>
  <c r="G79" i="21408" s="1"/>
  <c r="AK64" i="21408"/>
  <c r="G64" i="21408" s="1"/>
  <c r="AK356" i="21408"/>
  <c r="G356" i="21408" s="1"/>
  <c r="G112" i="21409"/>
  <c r="G98" i="21409"/>
  <c r="G84" i="21409"/>
  <c r="G73" i="21409"/>
  <c r="G64" i="21409"/>
  <c r="G259" i="21409"/>
  <c r="G55" i="21409"/>
  <c r="G184" i="21409"/>
  <c r="G46" i="21409"/>
  <c r="G110" i="21409"/>
  <c r="G186" i="21409"/>
  <c r="G97" i="21409"/>
  <c r="G57" i="21409"/>
  <c r="G87" i="21409"/>
  <c r="G63" i="21409"/>
  <c r="G61" i="21409"/>
  <c r="G189" i="21409"/>
  <c r="G101" i="21409"/>
  <c r="G47" i="21409"/>
  <c r="G220" i="21409"/>
  <c r="G115" i="21409"/>
  <c r="G67" i="21409"/>
  <c r="G74" i="21409"/>
  <c r="G93" i="21409"/>
  <c r="G54" i="21409"/>
  <c r="G306" i="21409"/>
  <c r="G90" i="21409"/>
  <c r="G307" i="21409"/>
  <c r="G56" i="21409"/>
  <c r="G188" i="21409"/>
  <c r="G308" i="21409"/>
  <c r="G300" i="21409"/>
  <c r="AI69" i="21402" l="1"/>
  <c r="AK54" i="21408"/>
  <c r="G54" i="21408" s="1"/>
  <c r="AY182" i="3"/>
  <c r="AK101" i="21408"/>
  <c r="G101" i="21408" s="1"/>
  <c r="AK345" i="21408"/>
  <c r="G345" i="21408" s="1"/>
  <c r="AK85" i="21408"/>
  <c r="G85" i="21408" s="1"/>
  <c r="AC26" i="21407"/>
  <c r="C26" i="21407" s="1"/>
  <c r="AK111" i="21408"/>
  <c r="G111" i="21408" s="1"/>
  <c r="E300" i="21409"/>
  <c r="E308" i="21409"/>
  <c r="E188" i="21409"/>
  <c r="E56" i="21409"/>
  <c r="E307" i="21409"/>
  <c r="E90" i="21409"/>
  <c r="E306" i="21409"/>
  <c r="E54" i="21409"/>
  <c r="E93" i="21409"/>
  <c r="E74" i="21409"/>
  <c r="E67" i="21409"/>
  <c r="E115" i="21409"/>
  <c r="E220" i="21409"/>
  <c r="E47" i="21409"/>
  <c r="E101" i="21409"/>
  <c r="E189" i="21409"/>
  <c r="E61" i="21409"/>
  <c r="E63" i="21409"/>
  <c r="E87" i="21409"/>
  <c r="E57" i="21409"/>
  <c r="E97" i="21409"/>
  <c r="E186" i="21409"/>
  <c r="E110" i="21409"/>
  <c r="E46" i="21409"/>
  <c r="E184" i="21409"/>
  <c r="E55" i="21409"/>
  <c r="E259" i="21409"/>
  <c r="E64" i="21409"/>
  <c r="E73" i="21409"/>
  <c r="E84" i="21409"/>
  <c r="E98" i="21409"/>
  <c r="E112" i="21409"/>
  <c r="E9" i="21402"/>
  <c r="D9" i="21402"/>
  <c r="E22" i="21402"/>
  <c r="D22" i="21402"/>
  <c r="AI51" i="21402"/>
  <c r="AC57" i="21407"/>
  <c r="C57" i="21407" s="1"/>
  <c r="AC46" i="21407"/>
  <c r="C46" i="21407" s="1"/>
  <c r="AK237" i="21408"/>
  <c r="G237" i="21408" s="1"/>
  <c r="AI39" i="21402"/>
  <c r="AK218" i="21408"/>
  <c r="G218" i="21408" s="1"/>
  <c r="AI58" i="21402"/>
  <c r="AC24" i="21407"/>
  <c r="C24" i="21407" s="1"/>
  <c r="AK169" i="21408"/>
  <c r="G169" i="21408" s="1"/>
  <c r="AK114" i="21408"/>
  <c r="G114" i="21408" s="1"/>
  <c r="AC42" i="21407"/>
  <c r="C42" i="21407" s="1"/>
  <c r="AK80" i="21408"/>
  <c r="G80" i="21408" s="1"/>
  <c r="AK220" i="21408"/>
  <c r="G220" i="21408" s="1"/>
  <c r="AK138" i="21408"/>
  <c r="G138" i="21408" s="1"/>
  <c r="AK55" i="21408"/>
  <c r="G55" i="21408" s="1"/>
  <c r="AK98" i="21408"/>
  <c r="G98" i="21408" s="1"/>
  <c r="AK245" i="21408"/>
  <c r="AK224" i="21408"/>
  <c r="G224" i="21408" s="1"/>
  <c r="AI6" i="21402"/>
  <c r="E6" i="21402" s="1"/>
  <c r="AK139" i="21408"/>
  <c r="G139" i="21408" s="1"/>
  <c r="AK32" i="21408"/>
  <c r="G32" i="21408" s="1"/>
  <c r="AK240" i="21408"/>
  <c r="G240" i="21408" s="1"/>
  <c r="AK68" i="21408"/>
  <c r="G68" i="21408" s="1"/>
  <c r="AK200" i="21408"/>
  <c r="G200" i="21408" s="1"/>
  <c r="AK300" i="21408"/>
  <c r="G300" i="21408" s="1"/>
  <c r="AC56" i="21407"/>
  <c r="C56" i="21407" s="1"/>
  <c r="D54" i="21402"/>
  <c r="E54" i="21402"/>
  <c r="AK190" i="21408"/>
  <c r="G190" i="21408" s="1"/>
  <c r="G189" i="21408"/>
  <c r="D16" i="21402"/>
  <c r="E16" i="21402"/>
  <c r="E41" i="21402"/>
  <c r="D41" i="21402"/>
  <c r="E26" i="21402"/>
  <c r="D26" i="21402"/>
  <c r="E57" i="21402"/>
  <c r="D57" i="21402"/>
  <c r="E69" i="21402"/>
  <c r="D69" i="21402"/>
  <c r="AC20" i="21407"/>
  <c r="C20" i="21407" s="1"/>
  <c r="AK91" i="21408"/>
  <c r="G91" i="21408" s="1"/>
  <c r="AK211" i="21408"/>
  <c r="G211" i="21408" s="1"/>
  <c r="AI49" i="21402"/>
  <c r="AK210" i="21408"/>
  <c r="AC38" i="21407"/>
  <c r="C38" i="21407" s="1"/>
  <c r="AK123" i="21408"/>
  <c r="G123" i="21408" s="1"/>
  <c r="AK291" i="21408"/>
  <c r="G291" i="21408" s="1"/>
  <c r="AK57" i="21408"/>
  <c r="G57" i="21408" s="1"/>
  <c r="AI40" i="21402"/>
  <c r="AI59" i="21402"/>
  <c r="AI19" i="21402"/>
  <c r="AK113" i="21408"/>
  <c r="G113" i="21408" s="1"/>
  <c r="AC10" i="21407"/>
  <c r="C10" i="21407" s="1"/>
  <c r="AK28" i="21408"/>
  <c r="G28" i="21408" s="1"/>
  <c r="E20" i="21402"/>
  <c r="D20" i="21402"/>
  <c r="AK43" i="21408"/>
  <c r="G44" i="21408"/>
  <c r="E52" i="21402"/>
  <c r="D52" i="21402"/>
  <c r="G4" i="21408"/>
  <c r="E17" i="21402"/>
  <c r="D17" i="21402"/>
  <c r="AK188" i="21408"/>
  <c r="G188" i="21408" s="1"/>
  <c r="G187" i="21408"/>
  <c r="D67" i="21402"/>
  <c r="E67" i="21402"/>
  <c r="D33" i="21402"/>
  <c r="E33" i="21402"/>
  <c r="D68" i="21402"/>
  <c r="E68" i="21402"/>
  <c r="AK298" i="21408"/>
  <c r="AK293" i="21408"/>
  <c r="G293" i="21408" s="1"/>
  <c r="G294" i="21408"/>
  <c r="AK122" i="21408"/>
  <c r="G122" i="21408" s="1"/>
  <c r="AK256" i="21408"/>
  <c r="G256" i="21408" s="1"/>
  <c r="AK117" i="21408"/>
  <c r="G117" i="21408" s="1"/>
  <c r="AK72" i="21408"/>
  <c r="G72" i="21408" s="1"/>
  <c r="AI24" i="21402"/>
  <c r="AK52" i="21408"/>
  <c r="G52" i="21408" s="1"/>
  <c r="AK126" i="21408"/>
  <c r="G126" i="21408" s="1"/>
  <c r="AK70" i="21408"/>
  <c r="G70" i="21408" s="1"/>
  <c r="AK165" i="21408"/>
  <c r="G165" i="21408" s="1"/>
  <c r="AK287" i="21408"/>
  <c r="G287" i="21408" s="1"/>
  <c r="AK22" i="21408"/>
  <c r="G22" i="21408" s="1"/>
  <c r="AK96" i="21408"/>
  <c r="G96" i="21408" s="1"/>
  <c r="AK92" i="21408"/>
  <c r="G92" i="21408" s="1"/>
  <c r="AC44" i="21407"/>
  <c r="C44" i="21407" s="1"/>
  <c r="AK227" i="21408"/>
  <c r="G227" i="21408" s="1"/>
  <c r="AK46" i="21408"/>
  <c r="G46" i="21408" s="1"/>
  <c r="AK253" i="21408"/>
  <c r="G253" i="21408" s="1"/>
  <c r="AK24" i="21408"/>
  <c r="G24" i="21408" s="1"/>
  <c r="AK102" i="21408"/>
  <c r="G102" i="21408" s="1"/>
  <c r="AK160" i="21408"/>
  <c r="G160" i="21408" s="1"/>
  <c r="AK67" i="21408"/>
  <c r="G67" i="21408" s="1"/>
  <c r="AC40" i="21407"/>
  <c r="C40" i="21407" s="1"/>
  <c r="AK108" i="21408"/>
  <c r="G108" i="21408" s="1"/>
  <c r="AK27" i="21408"/>
  <c r="G27" i="21408" s="1"/>
  <c r="AJ83" i="21408"/>
  <c r="AI61" i="21402"/>
  <c r="AC49" i="21407"/>
  <c r="C49" i="21407" s="1"/>
  <c r="AK63" i="21408"/>
  <c r="G63" i="21408" s="1"/>
  <c r="AK128" i="21408"/>
  <c r="AK115" i="21408"/>
  <c r="G115" i="21408" s="1"/>
  <c r="AC43" i="21407"/>
  <c r="C43" i="21407" s="1"/>
  <c r="AK18" i="21408"/>
  <c r="G18" i="21408" s="1"/>
  <c r="AK89" i="21408"/>
  <c r="G89" i="21408" s="1"/>
  <c r="AK129" i="21408"/>
  <c r="G129" i="21408" s="1"/>
  <c r="AK11" i="21408"/>
  <c r="G11" i="21408" s="1"/>
  <c r="AC4" i="21407"/>
  <c r="C4" i="21407" s="1"/>
  <c r="AK207" i="21408"/>
  <c r="G207" i="21408" s="1"/>
  <c r="AK164" i="21408"/>
  <c r="G164" i="21408" s="1"/>
  <c r="AK221" i="21408"/>
  <c r="G221" i="21408" s="1"/>
  <c r="AK127" i="21408"/>
  <c r="G127" i="21408" s="1"/>
  <c r="AK202" i="21408"/>
  <c r="G202" i="21408" s="1"/>
  <c r="AI35" i="21402"/>
  <c r="AK192" i="21408"/>
  <c r="G192" i="21408" s="1"/>
  <c r="AK132" i="21408"/>
  <c r="G132" i="21408" s="1"/>
  <c r="AK173" i="21408"/>
  <c r="G173" i="21408" s="1"/>
  <c r="AC58" i="21407"/>
  <c r="C58" i="21407" s="1"/>
  <c r="AK166" i="21408"/>
  <c r="G166" i="21408" s="1"/>
  <c r="AI42" i="21402"/>
  <c r="AK13" i="21408"/>
  <c r="G13" i="21408" s="1"/>
  <c r="AK212" i="21408"/>
  <c r="G212" i="21408" s="1"/>
  <c r="AC16" i="21407"/>
  <c r="C16" i="21407" s="1"/>
  <c r="AK204" i="21408"/>
  <c r="G204" i="21408" s="1"/>
  <c r="AK60" i="21408"/>
  <c r="G60" i="21408" s="1"/>
  <c r="AK87" i="21408"/>
  <c r="G87" i="21408" s="1"/>
  <c r="AI10" i="21402"/>
  <c r="AK61" i="21408"/>
  <c r="G61" i="21408" s="1"/>
  <c r="AK142" i="21408"/>
  <c r="G142" i="21408" s="1"/>
  <c r="AK230" i="21408"/>
  <c r="G230" i="21408" s="1"/>
  <c r="AK144" i="21408"/>
  <c r="G144" i="21408" s="1"/>
  <c r="AK286" i="21408"/>
  <c r="G286" i="21408" s="1"/>
  <c r="AK88" i="21408"/>
  <c r="G88" i="21408" s="1"/>
  <c r="AI18" i="21402"/>
  <c r="AI34" i="21402"/>
  <c r="AI36" i="21402"/>
  <c r="AK228" i="21408"/>
  <c r="G228" i="21408" s="1"/>
  <c r="AK217" i="21408"/>
  <c r="G217" i="21408" s="1"/>
  <c r="AC41" i="21407"/>
  <c r="C41" i="21407" s="1"/>
  <c r="AC22" i="21407"/>
  <c r="C22" i="21407" s="1"/>
  <c r="AK143" i="21408"/>
  <c r="G143" i="21408" s="1"/>
  <c r="AK215" i="21408"/>
  <c r="AK112" i="21408"/>
  <c r="G112" i="21408" s="1"/>
  <c r="AK23" i="21408"/>
  <c r="G23" i="21408" s="1"/>
  <c r="AK110" i="21408"/>
  <c r="G110" i="21408" s="1"/>
  <c r="AK106" i="21408"/>
  <c r="G106" i="21408" s="1"/>
  <c r="AK213" i="21408"/>
  <c r="G213" i="21408" s="1"/>
  <c r="AK208" i="21408"/>
  <c r="G208" i="21408" s="1"/>
  <c r="AI21" i="21402"/>
  <c r="AI37" i="21402"/>
  <c r="AK343" i="21408"/>
  <c r="AK120" i="21408"/>
  <c r="G120" i="21408" s="1"/>
  <c r="AK104" i="21408"/>
  <c r="G104" i="21408" s="1"/>
  <c r="AC32" i="21407"/>
  <c r="C32" i="21407" s="1"/>
  <c r="AK8" i="21408"/>
  <c r="G8" i="21408" s="1"/>
  <c r="AK251" i="21408"/>
  <c r="G251" i="21408" s="1"/>
  <c r="AC30" i="21407"/>
  <c r="C30" i="21407" s="1"/>
  <c r="AI43" i="21402"/>
  <c r="AK193" i="21408"/>
  <c r="G193" i="21408" s="1"/>
  <c r="AI23" i="21402"/>
  <c r="AI60" i="21402"/>
  <c r="AC47" i="21407"/>
  <c r="C47" i="21407" s="1"/>
  <c r="AK216" i="21408"/>
  <c r="G216" i="21408" s="1"/>
  <c r="AK233" i="21408"/>
  <c r="G233" i="21408" s="1"/>
  <c r="AK249" i="21408"/>
  <c r="G249" i="21408" s="1"/>
  <c r="AK174" i="21408"/>
  <c r="G174" i="21408" s="1"/>
  <c r="AK252" i="21408"/>
  <c r="G252" i="21408" s="1"/>
  <c r="AK100" i="21408"/>
  <c r="G100" i="21408" s="1"/>
  <c r="AK185" i="21408"/>
  <c r="G185" i="21408" s="1"/>
  <c r="AC5" i="21407"/>
  <c r="C5" i="21407" s="1"/>
  <c r="AC59" i="21407"/>
  <c r="C59" i="21407" s="1"/>
  <c r="AK53" i="21408"/>
  <c r="G53" i="21408" s="1"/>
  <c r="AK177" i="21408"/>
  <c r="G177" i="21408" s="1"/>
  <c r="AK65" i="21408"/>
  <c r="G65" i="21408" s="1"/>
  <c r="AK105" i="21408"/>
  <c r="G105" i="21408" s="1"/>
  <c r="AK182" i="21408"/>
  <c r="G182" i="21408" s="1"/>
  <c r="AK7" i="21408"/>
  <c r="G7" i="21408" s="1"/>
  <c r="AK130" i="21408"/>
  <c r="G130" i="21408" s="1"/>
  <c r="AK246" i="21408"/>
  <c r="G246" i="21408" s="1"/>
  <c r="AK222" i="21408"/>
  <c r="G222" i="21408" s="1"/>
  <c r="AI71" i="21402"/>
  <c r="AI3" i="21402"/>
  <c r="E3" i="21402" s="1"/>
  <c r="AI25" i="21402"/>
  <c r="AK247" i="21408"/>
  <c r="G247" i="21408" s="1"/>
  <c r="AK226" i="21408"/>
  <c r="G226" i="21408" s="1"/>
  <c r="AK150" i="21408"/>
  <c r="G150" i="21408" s="1"/>
  <c r="AC36" i="21407"/>
  <c r="C36" i="21407" s="1"/>
  <c r="AK147" i="21408"/>
  <c r="G147" i="21408" s="1"/>
  <c r="AK71" i="21408"/>
  <c r="G71" i="21408" s="1"/>
  <c r="AK94" i="21408"/>
  <c r="G94" i="21408" s="1"/>
  <c r="AK180" i="21408"/>
  <c r="G180" i="21408" s="1"/>
  <c r="AK78" i="21408"/>
  <c r="G78" i="21408" s="1"/>
  <c r="AK131" i="21408"/>
  <c r="G131" i="21408" s="1"/>
  <c r="AC9" i="21407"/>
  <c r="C9" i="21407" s="1"/>
  <c r="AK290" i="21408"/>
  <c r="G290" i="21408" s="1"/>
  <c r="AK12" i="21408"/>
  <c r="G12" i="21408" s="1"/>
  <c r="AK59" i="21408"/>
  <c r="G59" i="21408" s="1"/>
  <c r="AI56" i="21402"/>
  <c r="AI15" i="21402"/>
  <c r="AK124" i="21408"/>
  <c r="G124" i="21408" s="1"/>
  <c r="AK31" i="21408"/>
  <c r="G31" i="21408" s="1"/>
  <c r="AK153" i="21408"/>
  <c r="G153" i="21408" s="1"/>
  <c r="AK349" i="21408"/>
  <c r="G349" i="21408" s="1"/>
  <c r="AK33" i="21408"/>
  <c r="G33" i="21408" s="1"/>
  <c r="AK288" i="21408"/>
  <c r="G288" i="21408" s="1"/>
  <c r="AI72" i="21402"/>
  <c r="AK99" i="21408"/>
  <c r="G99" i="21408" s="1"/>
  <c r="AK134" i="21408"/>
  <c r="G134" i="21408" s="1"/>
  <c r="AI8" i="21402"/>
  <c r="AK304" i="21408"/>
  <c r="G304" i="21408" s="1"/>
  <c r="AK93" i="21408"/>
  <c r="G93" i="21408" s="1"/>
  <c r="AK73" i="21408"/>
  <c r="G73" i="21408" s="1"/>
  <c r="AI55" i="21402"/>
  <c r="AK82" i="21408"/>
  <c r="G82" i="21408" s="1"/>
  <c r="AK141" i="21408"/>
  <c r="G141" i="21408" s="1"/>
  <c r="AK48" i="21408"/>
  <c r="G48" i="21408" s="1"/>
  <c r="AK97" i="21408"/>
  <c r="G97" i="21408" s="1"/>
  <c r="D70" i="21402"/>
  <c r="E70" i="21402"/>
  <c r="AK66" i="21408"/>
  <c r="G66" i="21408" s="1"/>
  <c r="AC8" i="21407"/>
  <c r="C8" i="21407" s="1"/>
  <c r="AK205" i="21408"/>
  <c r="G205" i="21408" s="1"/>
  <c r="AK29" i="21408"/>
  <c r="G29" i="21408" s="1"/>
  <c r="AK148" i="21408"/>
  <c r="G148" i="21408" s="1"/>
  <c r="AK75" i="21408"/>
  <c r="G75" i="21408" s="1"/>
  <c r="AK149" i="21408"/>
  <c r="G149" i="21408" s="1"/>
  <c r="AK116" i="21408"/>
  <c r="G116" i="21408" s="1"/>
  <c r="AK74" i="21408"/>
  <c r="G74" i="21408" s="1"/>
  <c r="AK107" i="21408"/>
  <c r="G107" i="21408" s="1"/>
  <c r="AK84" i="21408"/>
  <c r="G84" i="21408" s="1"/>
  <c r="AK86" i="21408"/>
  <c r="G86" i="21408" s="1"/>
  <c r="AK121" i="21408"/>
  <c r="G121" i="21408" s="1"/>
  <c r="AK25" i="21408"/>
  <c r="G25" i="21408" s="1"/>
  <c r="AK17" i="21408"/>
  <c r="G17" i="21408" s="1"/>
  <c r="AC50" i="21407"/>
  <c r="C50" i="21407" s="1"/>
  <c r="AK118" i="21408"/>
  <c r="G118" i="21408" s="1"/>
  <c r="AI38" i="21402"/>
  <c r="AK56" i="21408"/>
  <c r="G56" i="21408" s="1"/>
  <c r="AI50" i="21402"/>
  <c r="AK103" i="21408"/>
  <c r="G103" i="21408" s="1"/>
  <c r="AK167" i="21408"/>
  <c r="G167" i="21408" s="1"/>
  <c r="AK58" i="21408"/>
  <c r="G58" i="21408" s="1"/>
  <c r="AC14" i="21407"/>
  <c r="C14" i="21407" s="1"/>
  <c r="AK50" i="21408"/>
  <c r="G50" i="21408" s="1"/>
  <c r="AI32" i="21402"/>
  <c r="AI53" i="21402"/>
  <c r="G149" i="21409"/>
  <c r="G218" i="21409"/>
  <c r="G42" i="21409"/>
  <c r="G69" i="21409"/>
  <c r="G119" i="21409"/>
  <c r="G49" i="21409"/>
  <c r="G86" i="21409"/>
  <c r="G156" i="21409"/>
  <c r="G65" i="21409"/>
  <c r="G150" i="21409"/>
  <c r="G253" i="21409"/>
  <c r="G158" i="21409"/>
  <c r="G153" i="21409"/>
  <c r="G105" i="21409"/>
  <c r="G83" i="21409"/>
  <c r="G81" i="21409"/>
  <c r="G152" i="21409"/>
  <c r="G187" i="21409"/>
  <c r="G182" i="21409"/>
  <c r="G95" i="21409"/>
  <c r="G221" i="21409"/>
  <c r="G312" i="21409"/>
  <c r="G77" i="21409"/>
  <c r="G59" i="21409"/>
  <c r="G109" i="21409"/>
  <c r="G82" i="21409"/>
  <c r="G111" i="21409"/>
  <c r="G79" i="21409"/>
  <c r="G185" i="21409"/>
  <c r="G254" i="21409"/>
  <c r="G75" i="21409"/>
  <c r="G50" i="21409"/>
  <c r="G113" i="21409"/>
  <c r="G100" i="21409"/>
  <c r="G161" i="21409"/>
  <c r="G96" i="21409"/>
  <c r="G157" i="21409"/>
  <c r="G183" i="21409"/>
  <c r="G85" i="21409"/>
  <c r="G72" i="21409"/>
  <c r="G215" i="21409"/>
  <c r="G116" i="21409"/>
  <c r="G78" i="21409"/>
  <c r="G88" i="21409"/>
  <c r="G52" i="21409"/>
  <c r="G211" i="21409"/>
  <c r="G114" i="21409"/>
  <c r="E114" i="21409" l="1"/>
  <c r="E211" i="21409"/>
  <c r="E52" i="21409"/>
  <c r="E88" i="21409"/>
  <c r="E78" i="21409"/>
  <c r="E116" i="21409"/>
  <c r="E215" i="21409"/>
  <c r="E72" i="21409"/>
  <c r="E85" i="21409"/>
  <c r="E183" i="21409"/>
  <c r="E157" i="21409"/>
  <c r="E96" i="21409"/>
  <c r="E161" i="21409"/>
  <c r="E100" i="21409"/>
  <c r="E113" i="21409"/>
  <c r="E50" i="21409"/>
  <c r="E75" i="21409"/>
  <c r="E254" i="21409"/>
  <c r="E185" i="21409"/>
  <c r="E79" i="21409"/>
  <c r="E111" i="21409"/>
  <c r="E82" i="21409"/>
  <c r="E109" i="21409"/>
  <c r="E59" i="21409"/>
  <c r="E77" i="21409"/>
  <c r="E312" i="21409"/>
  <c r="E221" i="21409"/>
  <c r="E95" i="21409"/>
  <c r="E182" i="21409"/>
  <c r="E187" i="21409"/>
  <c r="E152" i="21409"/>
  <c r="E81" i="21409"/>
  <c r="E83" i="21409"/>
  <c r="E105" i="21409"/>
  <c r="E153" i="21409"/>
  <c r="E158" i="21409"/>
  <c r="E253" i="21409"/>
  <c r="E150" i="21409"/>
  <c r="E65" i="21409"/>
  <c r="E156" i="21409"/>
  <c r="E86" i="21409"/>
  <c r="E49" i="21409"/>
  <c r="E119" i="21409"/>
  <c r="E69" i="21409"/>
  <c r="E42" i="21409"/>
  <c r="E218" i="21409"/>
  <c r="E149" i="21409"/>
  <c r="E72" i="21402"/>
  <c r="D72" i="21402"/>
  <c r="D43" i="21402"/>
  <c r="E43" i="21402"/>
  <c r="E37" i="21402"/>
  <c r="D37" i="21402"/>
  <c r="AK244" i="21408"/>
  <c r="G215" i="21408"/>
  <c r="E18" i="21402"/>
  <c r="D18" i="21402"/>
  <c r="C7" i="21407"/>
  <c r="E55" i="21402"/>
  <c r="D55" i="21402"/>
  <c r="D23" i="21402"/>
  <c r="E23" i="21402"/>
  <c r="E36" i="21402"/>
  <c r="D36" i="21402"/>
  <c r="D42" i="21402"/>
  <c r="E42" i="21402"/>
  <c r="E19" i="21402"/>
  <c r="D19" i="21402"/>
  <c r="E49" i="21402"/>
  <c r="D49" i="21402"/>
  <c r="E56" i="21402"/>
  <c r="D56" i="21402"/>
  <c r="D50" i="21402"/>
  <c r="E50" i="21402"/>
  <c r="E15" i="21402"/>
  <c r="D15" i="21402"/>
  <c r="D25" i="21402"/>
  <c r="E25" i="21402"/>
  <c r="AK347" i="21408"/>
  <c r="G347" i="21408" s="1"/>
  <c r="G343" i="21408"/>
  <c r="D34" i="21402"/>
  <c r="E34" i="21402"/>
  <c r="E10" i="21402"/>
  <c r="D10" i="21402"/>
  <c r="E59" i="21402"/>
  <c r="D59" i="21402"/>
  <c r="E58" i="21402"/>
  <c r="D58" i="21402"/>
  <c r="E35" i="21402"/>
  <c r="D35" i="21402"/>
  <c r="D61" i="21402"/>
  <c r="E61" i="21402"/>
  <c r="AK299" i="21408"/>
  <c r="G299" i="21408" s="1"/>
  <c r="G298" i="21408"/>
  <c r="AK3" i="21408"/>
  <c r="AK42" i="21408"/>
  <c r="G43" i="21408"/>
  <c r="E40" i="21402"/>
  <c r="D40" i="21402"/>
  <c r="D53" i="21402"/>
  <c r="E53" i="21402"/>
  <c r="E32" i="21402"/>
  <c r="D32" i="21402"/>
  <c r="E38" i="21402"/>
  <c r="D38" i="21402"/>
  <c r="E8" i="21402"/>
  <c r="D8" i="21402"/>
  <c r="D71" i="21402"/>
  <c r="E71" i="21402"/>
  <c r="D60" i="21402"/>
  <c r="E60" i="21402"/>
  <c r="D21" i="21402"/>
  <c r="E21" i="21402"/>
  <c r="AK175" i="21408"/>
  <c r="G128" i="21408"/>
  <c r="E24" i="21402"/>
  <c r="D24" i="21402"/>
  <c r="AK209" i="21408"/>
  <c r="G209" i="21408" s="1"/>
  <c r="G210" i="21408"/>
  <c r="AC28" i="21407"/>
  <c r="C28" i="21407" s="1"/>
  <c r="G245" i="21408"/>
  <c r="E39" i="21402"/>
  <c r="D39" i="21402"/>
  <c r="E51" i="21402"/>
  <c r="D51" i="21402"/>
  <c r="G258" i="21409"/>
  <c r="G181" i="21409"/>
  <c r="G305" i="21409"/>
  <c r="G257" i="21409"/>
  <c r="G148" i="21409"/>
  <c r="G309" i="21409"/>
  <c r="G41" i="21409"/>
  <c r="G118" i="21409"/>
  <c r="E118" i="21409" l="1"/>
  <c r="E41" i="21409"/>
  <c r="E120" i="21409" s="1"/>
  <c r="E309" i="21409"/>
  <c r="E148" i="21409"/>
  <c r="E162" i="21409" s="1"/>
  <c r="E257" i="21409"/>
  <c r="E305" i="21409"/>
  <c r="E181" i="21409"/>
  <c r="E258" i="21409"/>
  <c r="E279" i="21409" s="1"/>
  <c r="AK176" i="21408"/>
  <c r="G176" i="21408" s="1"/>
  <c r="G175" i="21408"/>
  <c r="AK243" i="21408"/>
  <c r="G244" i="21408"/>
  <c r="AK41" i="21408"/>
  <c r="G41" i="21408" s="1"/>
  <c r="G42" i="21408"/>
  <c r="G180" i="21409"/>
  <c r="E180" i="21409" l="1"/>
  <c r="AK242" i="21408"/>
  <c r="G242" i="21408" s="1"/>
  <c r="G243" i="21408"/>
  <c r="G179" i="21409"/>
  <c r="G178" i="21409"/>
  <c r="E178" i="21409" l="1"/>
  <c r="E190" i="21409" s="1"/>
  <c r="E347" i="21409" s="1"/>
  <c r="E179" i="2140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miusuario</author>
    <author>Juan Francisco Martinez</author>
  </authors>
  <commentList>
    <comment ref="C112" authorId="0" shapeId="0" xr:uid="{00000000-0006-0000-2200-000001000000}">
      <text>
        <r>
          <rPr>
            <b/>
            <sz val="9"/>
            <color indexed="81"/>
            <rFont val="Tahoma"/>
            <family val="2"/>
          </rPr>
          <t>miusuario:</t>
        </r>
        <r>
          <rPr>
            <sz val="9"/>
            <color indexed="81"/>
            <rFont val="Tahoma"/>
            <family val="2"/>
          </rPr>
          <t xml:space="preserve">
Incluye dos conjuntos
</t>
        </r>
      </text>
    </comment>
    <comment ref="C114" authorId="1" shapeId="0" xr:uid="{00000000-0006-0000-2200-000002000000}">
      <text>
        <r>
          <rPr>
            <b/>
            <sz val="9"/>
            <color indexed="81"/>
            <rFont val="Tahoma"/>
            <family val="2"/>
          </rPr>
          <t>incluye dos conjuntos</t>
        </r>
        <r>
          <rPr>
            <sz val="9"/>
            <color indexed="81"/>
            <rFont val="Tahoma"/>
            <family val="2"/>
          </rPr>
          <t xml:space="preserve">
</t>
        </r>
      </text>
    </comment>
    <comment ref="C116" authorId="1" shapeId="0" xr:uid="{00000000-0006-0000-2200-000003000000}">
      <text>
        <r>
          <rPr>
            <b/>
            <sz val="9"/>
            <color indexed="81"/>
            <rFont val="Tahoma"/>
            <family val="2"/>
          </rPr>
          <t>incluye dos conjuntos</t>
        </r>
      </text>
    </comment>
  </commentList>
</comments>
</file>

<file path=xl/sharedStrings.xml><?xml version="1.0" encoding="utf-8"?>
<sst xmlns="http://schemas.openxmlformats.org/spreadsheetml/2006/main" count="22553" uniqueCount="5066">
  <si>
    <t>6-S.02</t>
  </si>
  <si>
    <t>6-S.03</t>
  </si>
  <si>
    <t>6-S.04</t>
  </si>
  <si>
    <t>6-S.06</t>
  </si>
  <si>
    <t>6-S.07</t>
  </si>
  <si>
    <t>6-S.08</t>
  </si>
  <si>
    <t>6-S.09</t>
  </si>
  <si>
    <t>6-S.11</t>
  </si>
  <si>
    <t>Total Parcial 6-S</t>
  </si>
  <si>
    <t>6-I. ALIMENTACIÓN- CONEXIONES DE CATENARIA Y SECCIONADORES - INSTALACION</t>
  </si>
  <si>
    <t>6-I.02</t>
  </si>
  <si>
    <t>6-I.03</t>
  </si>
  <si>
    <t>6-I.04</t>
  </si>
  <si>
    <t>6-I.05</t>
  </si>
  <si>
    <t>6-I.07</t>
  </si>
  <si>
    <t>Total Parcial 6-I</t>
  </si>
  <si>
    <t>TOTAL 6 ALIMENTACIÓN - CONEXIONES DE CATENARIA Y SECCIONADORES</t>
  </si>
  <si>
    <t>7 PROTECCIONES</t>
  </si>
  <si>
    <t>7-S. PROTECCIONES - SUMINISTRO DE MATERIALES</t>
  </si>
  <si>
    <t>7-S.01</t>
  </si>
  <si>
    <t>7-S.02</t>
  </si>
  <si>
    <t>7-S.03</t>
  </si>
  <si>
    <t>7-S.04</t>
  </si>
  <si>
    <t>7-S.05</t>
  </si>
  <si>
    <t>7-S.06</t>
  </si>
  <si>
    <t>7-S.07</t>
  </si>
  <si>
    <t>7-S.08</t>
  </si>
  <si>
    <t>7-S.09</t>
  </si>
  <si>
    <t>7-S.10</t>
  </si>
  <si>
    <t>7-S.11</t>
  </si>
  <si>
    <t>7-S.12</t>
  </si>
  <si>
    <t>7-S.13</t>
  </si>
  <si>
    <t>7-S.14</t>
  </si>
  <si>
    <t>Total Parcial 7-S</t>
  </si>
  <si>
    <t>7-I. PROTECCIONES - INSTALACION</t>
  </si>
  <si>
    <t>7-I.01</t>
  </si>
  <si>
    <t>7-I.02</t>
  </si>
  <si>
    <t>7-I.03</t>
  </si>
  <si>
    <t>7-I.04</t>
  </si>
  <si>
    <t>7-I.05</t>
  </si>
  <si>
    <t>7-I.06</t>
  </si>
  <si>
    <t>7-I.07</t>
  </si>
  <si>
    <t>7-I.08</t>
  </si>
  <si>
    <t>7-I.09</t>
  </si>
  <si>
    <t>7-I.10</t>
  </si>
  <si>
    <t>7-I.11</t>
  </si>
  <si>
    <t>7-I.12</t>
  </si>
  <si>
    <t>7-I.13</t>
  </si>
  <si>
    <t>7-I.14</t>
  </si>
  <si>
    <t>7-I.15</t>
  </si>
  <si>
    <t>7-I.16</t>
  </si>
  <si>
    <t>Total Parcial 7-I</t>
  </si>
  <si>
    <t>TOTAL 7 PROTECCIONES</t>
  </si>
  <si>
    <t>TOTAL CAPÍTULO  CATENARIA</t>
  </si>
  <si>
    <t>Suplemento de ménsula en poste hasta 5m. de gálibo</t>
  </si>
  <si>
    <t>INSTALACIÓN</t>
  </si>
  <si>
    <t>MATERIALES</t>
  </si>
  <si>
    <t>Suplemento por cimentación en roca, con micropilotes o sistema de perforación de roca para poste Tipo C1 a C4</t>
  </si>
  <si>
    <t>Suplemento por cimentación  en roca, con micropilotes o sistema de perforación de roca para poste Tipo C5 a C7</t>
  </si>
  <si>
    <t xml:space="preserve">Acopio, izado y nivelado de poste de SSEE. </t>
  </si>
  <si>
    <t>1.6. Silletas en pórtico dobles</t>
  </si>
  <si>
    <t>CIMENTACIONES:</t>
  </si>
  <si>
    <t>POSTES Y SILLETAS:</t>
  </si>
  <si>
    <t>P.Entrevía (a restar)</t>
  </si>
  <si>
    <t>Soporte de giro para dos o tres ménsulas en poste. Incluye herrajes y tornillería necesarios para su fijación al poste o al soporte.</t>
  </si>
  <si>
    <t>Soporte de giro para dos o tres ménsulas en silleta. Incluye herrajes y tornillería necesarios para su fijación al soporte.</t>
  </si>
  <si>
    <t>3.3 Doble retorno</t>
  </si>
  <si>
    <t>4.5. Anclajes cr</t>
  </si>
  <si>
    <t>4.6.Anclajes 2cr</t>
  </si>
  <si>
    <t>Soporte en túnel para una ménsula. Incluye silleta, dos jabalcones, elementos de fijación a túnel, herrajes y tornillería necesarios.</t>
  </si>
  <si>
    <t>Soporte en túnel para dos ménsulas. Incluye silleta, dos jabalcones, elementos de fijación a túnel, herrajes y tornillería necesarios.</t>
  </si>
  <si>
    <t>Acopio, izado y nivelado de pórtico rígido tipo PR1</t>
  </si>
  <si>
    <t>Acopio, izado y nivelado de pórtico rígido tipo PR2</t>
  </si>
  <si>
    <t>Acopio, izado y nivelado de pórtico rígido tipo PR3</t>
  </si>
  <si>
    <t>Acopio, izado y nivelado de pórtico rígido tipo PR4</t>
  </si>
  <si>
    <t>Acopio y montaje de silleta en túnel para una ménsula</t>
  </si>
  <si>
    <t>Acopio y montaje de silleta en túnel para dos ménsulas</t>
  </si>
  <si>
    <t>Acopio y montaje de silleta en PR para  una ménsula</t>
  </si>
  <si>
    <t>Acopio y montaje de silleta en PR para  dos ménsulas</t>
  </si>
  <si>
    <t>Catenaria Bz-70 y HC-100 Cu-Ag</t>
  </si>
  <si>
    <t>Péndola equipotencial de bucle Bz-10</t>
  </si>
  <si>
    <t>Péndola equipotencial de bucle Bz-10 para falso sustentador</t>
  </si>
  <si>
    <t>Falso sustentador Bz-25</t>
  </si>
  <si>
    <t>Acopio, tendido, regulado y pendolado de catenaria al aire libre, incluyendo la colocación del falso sustentador y el ajuste de ménsulas.</t>
  </si>
  <si>
    <t>Acopio, tendido, regulado y pendolado de catenaria en túnel, incluyendo la colocación del falso sustentador y el ajuste de ménsulas.</t>
  </si>
  <si>
    <t>Anclaje de feeder de refuerzo en túnel</t>
  </si>
  <si>
    <t>Apoyo de un feeder de refuerzo en túnel</t>
  </si>
  <si>
    <t>Silleta para feeder de refuerzo suspendido en cabeza de poste</t>
  </si>
  <si>
    <t>Silleta para feeder  de refuerzo apoyado en cabeza de poste</t>
  </si>
  <si>
    <t>Suspensión de feeder de refuerzo con aisladores en V</t>
  </si>
  <si>
    <t>Conexión feeder de refuerzo a catenaria</t>
  </si>
  <si>
    <t>Acopio, tendido, tensado y regulado de feeder de refuerzo,  incluyendo el montaje de la cadena de aisladores y pinza de suspensión en cruceta del poste</t>
  </si>
  <si>
    <t>Conexión de feeder de refuerzo a catenaria</t>
  </si>
  <si>
    <t>Cable de retorno de subestación</t>
  </si>
  <si>
    <t>Conexión de cable para retorno de subestación a carril.</t>
  </si>
  <si>
    <t>Aislamiento intermedio de sustentador Bz-70</t>
  </si>
  <si>
    <t>Aislador de sección en catenaria de 25kV AC., incluidos aislador de HC y sustentador.</t>
  </si>
  <si>
    <t>Seccionador monopolar de apertura en carga con puesta a tierra, incluido el aparellaje necesario para su conexionado a la catenaria.</t>
  </si>
  <si>
    <t>Cable para la alimentación de los motores de los seccionadores</t>
  </si>
  <si>
    <t xml:space="preserve">Conexión de cable de retorno de SSEE a carril </t>
  </si>
  <si>
    <t>Acopio e Instalación de cable para alimentación de los motores de seccionadores incluida la apertura y cierre de tapas de canaletas, ejecución de zanjas, y todos los materiales y trabajos necesarios</t>
  </si>
  <si>
    <t>Puesta a tierra de poste en andén</t>
  </si>
  <si>
    <t>Conjunto de ménsula de cola elevada</t>
  </si>
  <si>
    <t>Apoyo para feeder en cabeza de poste</t>
  </si>
  <si>
    <t>Péndola equipotencial de bucle con cable Bz-10</t>
  </si>
  <si>
    <t>Péndola equipotencial de bucle con cable Bz-10 para falso sustentador</t>
  </si>
  <si>
    <t>Punto fijo</t>
  </si>
  <si>
    <t>Conexión en perfil de túnel para dos silletas</t>
  </si>
  <si>
    <t>Anclaje de catenaria con regulación de tensión en túnel</t>
  </si>
  <si>
    <t>Anclaje de catenaria sin regulación de tensión en túnel</t>
  </si>
  <si>
    <t>Punto fijo en túnel</t>
  </si>
  <si>
    <t>Conjunto de conexiones de seccionamiento</t>
  </si>
  <si>
    <t>Puesta en paralelo de carriles</t>
  </si>
  <si>
    <t>Conexión de poste a carril</t>
  </si>
  <si>
    <t>Puesta en paralelo de cables de retorno en túnel con doble conexión a carril</t>
  </si>
  <si>
    <t>M de cable de retorno de subestación</t>
  </si>
  <si>
    <t>Conexión de poste o anclaje a cable colector en viaducto</t>
  </si>
  <si>
    <t>Puenteo de junta de dilatación</t>
  </si>
  <si>
    <t>Conexión de cable colector a carril</t>
  </si>
  <si>
    <t>Seccionador monopolar de AV</t>
  </si>
  <si>
    <t>Seccionador monopolar de AC</t>
  </si>
  <si>
    <t>Conjunto de autoválvula</t>
  </si>
  <si>
    <t>Conjunto de conexiones de colas en L.A.</t>
  </si>
  <si>
    <t>M1</t>
  </si>
  <si>
    <t>M2</t>
  </si>
  <si>
    <t>M3</t>
  </si>
  <si>
    <t>D1</t>
  </si>
  <si>
    <t>D2</t>
  </si>
  <si>
    <t>D3</t>
  </si>
  <si>
    <t>H1</t>
  </si>
  <si>
    <t>H2</t>
  </si>
  <si>
    <t>H3</t>
  </si>
  <si>
    <t>E1</t>
  </si>
  <si>
    <t>E2</t>
  </si>
  <si>
    <t>E3</t>
  </si>
  <si>
    <t>B1</t>
  </si>
  <si>
    <t>B2</t>
  </si>
  <si>
    <t>B3</t>
  </si>
  <si>
    <t>A/S</t>
  </si>
  <si>
    <t>S1</t>
  </si>
  <si>
    <t>EMT-T</t>
  </si>
  <si>
    <t>P90</t>
  </si>
  <si>
    <t>P50</t>
  </si>
  <si>
    <t>EMT-1</t>
  </si>
  <si>
    <t>EMT-2</t>
  </si>
  <si>
    <t>COD.</t>
  </si>
  <si>
    <t>Ud</t>
  </si>
  <si>
    <t>PRECIO UNITARIO</t>
  </si>
  <si>
    <t>Suplemento por cimentación  en roca, con micropilotes o sistema de perforación de roca  para anclaje</t>
  </si>
  <si>
    <t>m.</t>
  </si>
  <si>
    <t>Acopio y montaje de tirante de anclaje</t>
  </si>
  <si>
    <t>Colocación de bulón en poste</t>
  </si>
  <si>
    <t>Premontaje, acopio, montaje y ajuste de una ménsula de vía general</t>
  </si>
  <si>
    <t>Premontaje, acopio, montaje y ajuste de doble ménsula de vía general</t>
  </si>
  <si>
    <t>Premontaje, acopio, montaje y ajuste de triple ménsula de vía general</t>
  </si>
  <si>
    <t>Premontaje, acopio, montaje y ajuste de una ménsula de túnel</t>
  </si>
  <si>
    <t>Desmontaje, modificación y nuevo montaje por modificación del trazado de vía, incluyendo los elementos de transporte y demás elementos auxiliares para su perfecto funcionamiento</t>
  </si>
  <si>
    <t>km</t>
  </si>
  <si>
    <t>Anclaje de catenaria con regulación de tensión</t>
  </si>
  <si>
    <t>Anclaje de catenaria sin regulación de tensión</t>
  </si>
  <si>
    <t>Conjunto de punto fijo</t>
  </si>
  <si>
    <t>Conjunto de punto fijo en túnel</t>
  </si>
  <si>
    <t>Despendolado y pendolado de catenaria por modificación del trazado de la vía incluyendo la retirada de péndolas desmontadas a parque y todas las operaciones y elementos auxiliares necesarios para el correcto funcionamiento de la catenaria.</t>
  </si>
  <si>
    <t>Anclaje de catenaria sin compensar en vía general</t>
  </si>
  <si>
    <t>Anclaje de una catenaria sin compensar en túnel</t>
  </si>
  <si>
    <t>Acopio, montaje y regulación de un equipo de anclaje de catenaria compensada al aire libre.</t>
  </si>
  <si>
    <t>Acopio, montaje y regulación de un equipo de anclaje de catenaria compensada en túnel</t>
  </si>
  <si>
    <t>Acopio y montaje de equipo de regulación mecánica tipo TENSOREX a instalar en túneles de gálibo reducido.</t>
  </si>
  <si>
    <t>Suplemento por montaje de cadena en V</t>
  </si>
  <si>
    <t>Conexión en perfil de túnel para una silleta</t>
  </si>
  <si>
    <t>m</t>
  </si>
  <si>
    <t>Seccionador monopolar de apertura en vacío, incluido el aparellaje necesario para su conexionado  a la catenaria.</t>
  </si>
  <si>
    <t>Acopio y montaje de aislamiento intermedio en sustentador, hilo de contacto o feeder</t>
  </si>
  <si>
    <t>Acopio y montaje de aislador de sección</t>
  </si>
  <si>
    <t>Acopio y montaje de seccionador unipolar</t>
  </si>
  <si>
    <t>Puesta a tierra de armaduras en PS</t>
  </si>
  <si>
    <t>Puenteo de juntas de dilatación</t>
  </si>
  <si>
    <t>Superficie equipotencial en accionamiento en poste</t>
  </si>
  <si>
    <t>Conjunto de autoválvula, incluyendo los elementos de sujección al poste o pórtico.</t>
  </si>
  <si>
    <t>Aislamiento de sustentador y feederes en pasos superiores y zonas de gálibo reducido.</t>
  </si>
  <si>
    <t>Instalación de cable colector</t>
  </si>
  <si>
    <t>Acopio y montaje de conexión de estructura a cable colector en viaducto</t>
  </si>
  <si>
    <t>Acopio y montaje de conexión de paso superior a carril</t>
  </si>
  <si>
    <t>Acopio y montaje de puesta en paralelo entre carriles</t>
  </si>
  <si>
    <t>Acopio y montaje de conexión de poste a carril</t>
  </si>
  <si>
    <t>Acopio y montaje de conexión de los soportes metálicos en túnel al cable colector</t>
  </si>
  <si>
    <t>Acopio y montaje de conexión entre carriles de dos vías en túnel</t>
  </si>
  <si>
    <t>Acopio y montaje de conexión de poste o anclaje a cable colector en viaducto</t>
  </si>
  <si>
    <t>Acopio y montaje de puenteo de junta de dilatación en viaducto</t>
  </si>
  <si>
    <t>Acopio y montaje de conexión de cable colector a carril</t>
  </si>
  <si>
    <t>Acopio y montaje de superficie equipotencial en poste</t>
  </si>
  <si>
    <t>Acopio y montaje de superficie equipotencial para los seccionadores de un pórtico.</t>
  </si>
  <si>
    <t>Acopio y montaje de autoválvula</t>
  </si>
  <si>
    <t>Instalación de aislamiento de sustentador y feeder en pasos superiores y zonas de gálibo reducido.</t>
  </si>
  <si>
    <t>Suministro y montaje de placa aislante de 2x1 m para protección de paramentos excesivamente próximos.</t>
  </si>
  <si>
    <t>Construcción de nicho de 2x1x0,15 para instalación de placa aislante de protección, incluido marco de aluminio o acero inoxidable para evacuación de aguas.</t>
  </si>
  <si>
    <t>DESCRIPCION</t>
  </si>
  <si>
    <t>TOTAL</t>
  </si>
  <si>
    <t>Conjunto de pica de tierra sencilla</t>
  </si>
  <si>
    <t>Puesta a tierra de armaduras en pasos superiores</t>
  </si>
  <si>
    <t>MEDICION</t>
  </si>
  <si>
    <t>Placa de anclaje de poste en viaducto</t>
  </si>
  <si>
    <t>Placa de anclaje de tirante en viaducto</t>
  </si>
  <si>
    <t>Cimentación cilíndrica para anclaje de sustentador, retorno o feeder, incluyendo las armaduras, hormigón, encofrados… necesarios para su total terminación, ejecutada desde la vía, en terreno normal.</t>
  </si>
  <si>
    <t>Cimentación cilíndrica para anclaje de hilo de contacto, incluyendo las armaduras, hormigón, encofrados… necesarios para su total terminación, ejecutada desde la vía, en terreno normal.</t>
  </si>
  <si>
    <t>Montaje de placa de anclaje de poste en viaducto</t>
  </si>
  <si>
    <t>Montaje de placa de anclaje de tirante en viaducto</t>
  </si>
  <si>
    <t>1-PERFILES</t>
  </si>
  <si>
    <t>1.1. Cimentaciones para poste</t>
  </si>
  <si>
    <t>1.2. Placas de anclaje en viaducto</t>
  </si>
  <si>
    <t>1.3. Postes</t>
  </si>
  <si>
    <t>1.4. Silletas en túnel Sencillas</t>
  </si>
  <si>
    <t>1.4.1. Silletas en túnel dobles</t>
  </si>
  <si>
    <t>1.5. Silletas en pórtico sencillas</t>
  </si>
  <si>
    <t>2-MENSULAS</t>
  </si>
  <si>
    <t>COEF. MEN.</t>
  </si>
  <si>
    <t>3.1. Catenaria</t>
  </si>
  <si>
    <t>3.2 Retorno</t>
  </si>
  <si>
    <t>3.4. Positivo</t>
  </si>
  <si>
    <t>COEF. CAT.</t>
  </si>
  <si>
    <t>4-CANTONES</t>
  </si>
  <si>
    <t>4.1 tirantes</t>
  </si>
  <si>
    <t>4.2. Cim. Anclaje</t>
  </si>
  <si>
    <t>4.3. Anclajes cp</t>
  </si>
  <si>
    <t>4.3. Anclajes CAT (PF)</t>
  </si>
  <si>
    <t>4.3. PF</t>
  </si>
  <si>
    <t>4.7. Anclajes fp</t>
  </si>
  <si>
    <t>CONTROL</t>
  </si>
  <si>
    <t>S2</t>
  </si>
  <si>
    <t>HEB-240</t>
  </si>
  <si>
    <t>HEB-260</t>
  </si>
  <si>
    <t>HEB-300</t>
  </si>
  <si>
    <t>HEB-280</t>
  </si>
  <si>
    <t>Suplemento ménsulas hasta gálibo de 5m.</t>
  </si>
  <si>
    <t>S1T</t>
  </si>
  <si>
    <t>Cimentación cilíndrica para poste C1 a C4, incluyendo las armaduras, hormigón, encofrados… necesarios para su total terminación ejecutada desde la vía, en terreno normal.</t>
  </si>
  <si>
    <t>Cimentación cilíndrica para poste C5 A C7, incluyendo las armaduras, hormigón, encofrados… necesarios para su total terminación ejecutada desde la vía, en terreno normal.</t>
  </si>
  <si>
    <t xml:space="preserve"> LÍNEA AÉREA DE CONTACTO</t>
  </si>
  <si>
    <t>1. CIMENTACIONES</t>
  </si>
  <si>
    <t>1-S. CIMENTACIONES - Suministro de materiales</t>
  </si>
  <si>
    <t>1-S.01</t>
  </si>
  <si>
    <t>1-S.02</t>
  </si>
  <si>
    <t>1-S.03</t>
  </si>
  <si>
    <t>Total Parcial 1-S</t>
  </si>
  <si>
    <t>1-I. CIMENTACIONES - INSTALACION</t>
  </si>
  <si>
    <t>1-I.01</t>
  </si>
  <si>
    <t>1-I.02</t>
  </si>
  <si>
    <t>1-I.04</t>
  </si>
  <si>
    <t>1-I.05</t>
  </si>
  <si>
    <t>1-I.06</t>
  </si>
  <si>
    <t>1-I.07</t>
  </si>
  <si>
    <t>1-I.08</t>
  </si>
  <si>
    <t>1-I.09</t>
  </si>
  <si>
    <t>1-I.10</t>
  </si>
  <si>
    <t>Total Parcial 1-I</t>
  </si>
  <si>
    <t>TOTAL 1 CIMENTACIONES</t>
  </si>
  <si>
    <t>2 POSTES, PÓRTICOS Y SILLETAS</t>
  </si>
  <si>
    <t>2-S. POSTES, PÓRTICOS Y SILLETAS DE ANCLAJE - SUMINISTRO DE MATERIALES</t>
  </si>
  <si>
    <t>2-S.01</t>
  </si>
  <si>
    <t>2-S.02</t>
  </si>
  <si>
    <t>2-S.03</t>
  </si>
  <si>
    <t>2-S.04</t>
  </si>
  <si>
    <t>2-S.05</t>
  </si>
  <si>
    <t>2-S.06</t>
  </si>
  <si>
    <t>2-S.07</t>
  </si>
  <si>
    <t>2-S.08</t>
  </si>
  <si>
    <t>2-S.09</t>
  </si>
  <si>
    <t>2-S.10</t>
  </si>
  <si>
    <t>2-S.11</t>
  </si>
  <si>
    <t>2-S.12</t>
  </si>
  <si>
    <t>2-S.13</t>
  </si>
  <si>
    <t>2-S.14</t>
  </si>
  <si>
    <t>2-S.15</t>
  </si>
  <si>
    <t>2-S.16</t>
  </si>
  <si>
    <t>2-S.17</t>
  </si>
  <si>
    <t>2-S.18</t>
  </si>
  <si>
    <t>2-S.19</t>
  </si>
  <si>
    <t>2-S.20</t>
  </si>
  <si>
    <t>2-S.21</t>
  </si>
  <si>
    <t>2-S.22</t>
  </si>
  <si>
    <t>2-S.23</t>
  </si>
  <si>
    <t>2-S.24</t>
  </si>
  <si>
    <t>Total Parcial 2-S</t>
  </si>
  <si>
    <t>2-I.01</t>
  </si>
  <si>
    <t>2-I.02</t>
  </si>
  <si>
    <t>2-I.03</t>
  </si>
  <si>
    <t>2-I.04</t>
  </si>
  <si>
    <t>2-I.10</t>
  </si>
  <si>
    <t>2-I.11</t>
  </si>
  <si>
    <t>2-I.12</t>
  </si>
  <si>
    <t>2-I.13</t>
  </si>
  <si>
    <t>2-I.16</t>
  </si>
  <si>
    <t>2-I.17</t>
  </si>
  <si>
    <t>Total Parcial 2-I</t>
  </si>
  <si>
    <t>TOTAL 2 POSTES, PÓRTICOS Y SILLETAS</t>
  </si>
  <si>
    <t>3 EQUIPAMIENTO DE SISTEMA DE CATENARIA</t>
  </si>
  <si>
    <t>3-S. EQUIPAMIENTO DE SISTEMA DE CATENARIA MENSULAS - SUMINISTRO DE MATERIALES</t>
  </si>
  <si>
    <t>3-S.01</t>
  </si>
  <si>
    <t>3-S.02</t>
  </si>
  <si>
    <t>3-S.03</t>
  </si>
  <si>
    <t>3-S.04</t>
  </si>
  <si>
    <t>3-S.05</t>
  </si>
  <si>
    <t>Total Parcial 3-S</t>
  </si>
  <si>
    <t>3-I. EQUIPAMIENTO DE SISTEMA DE CATENARIA -MENSULAS- INSTALACION</t>
  </si>
  <si>
    <t>3-I.01</t>
  </si>
  <si>
    <t>3-I.02</t>
  </si>
  <si>
    <t>3-I.03</t>
  </si>
  <si>
    <t>3-I.04</t>
  </si>
  <si>
    <t>3-I.05</t>
  </si>
  <si>
    <t>Total Parcial 3-I</t>
  </si>
  <si>
    <t>TOTAL 3 EQUIPAMIENTO DE SISTEMA DE CATENARIA</t>
  </si>
  <si>
    <t>4 CATENARIA</t>
  </si>
  <si>
    <t>4-S. CATENARIA - SUMINISTRO DE MATERIALES</t>
  </si>
  <si>
    <t>4-S.01</t>
  </si>
  <si>
    <t>4-S.02</t>
  </si>
  <si>
    <t>4-S.03</t>
  </si>
  <si>
    <t>4-S.04</t>
  </si>
  <si>
    <t>4-S.05</t>
  </si>
  <si>
    <t>4-S.06</t>
  </si>
  <si>
    <t>4-S.07</t>
  </si>
  <si>
    <t>4-S.08</t>
  </si>
  <si>
    <t>4-S.09</t>
  </si>
  <si>
    <t>4-S.10</t>
  </si>
  <si>
    <t>4-S.11</t>
  </si>
  <si>
    <t>Total Parcial 4-S</t>
  </si>
  <si>
    <t>4-I. CATENARIA - INSTALACION</t>
  </si>
  <si>
    <t>4-I.01</t>
  </si>
  <si>
    <t>4-I.02</t>
  </si>
  <si>
    <t>4-I.03</t>
  </si>
  <si>
    <t>4-I.04</t>
  </si>
  <si>
    <t>4-I.05</t>
  </si>
  <si>
    <t>4-I.06</t>
  </si>
  <si>
    <t>4-I.07</t>
  </si>
  <si>
    <t>4-I.08</t>
  </si>
  <si>
    <t>Total Parcial 4-I</t>
  </si>
  <si>
    <t>TOTAL 4 CATENARIA</t>
  </si>
  <si>
    <t>5 FEEDERES Y CABLES DE RETORNO</t>
  </si>
  <si>
    <t>5-S. FEEDERES Y CABLES DE RETORNO - SUMINISTRO DE MATERIALES</t>
  </si>
  <si>
    <t>5-S.01</t>
  </si>
  <si>
    <t>5-S.02</t>
  </si>
  <si>
    <t>5-S.03</t>
  </si>
  <si>
    <t>5-S.04</t>
  </si>
  <si>
    <t>5-S.05</t>
  </si>
  <si>
    <t>5-S.06</t>
  </si>
  <si>
    <t>5-S.07</t>
  </si>
  <si>
    <t>5-S.08</t>
  </si>
  <si>
    <t>5-S.09</t>
  </si>
  <si>
    <t>5-S.10</t>
  </si>
  <si>
    <t>5-S.11</t>
  </si>
  <si>
    <t>5-S.12</t>
  </si>
  <si>
    <t>5-S.13</t>
  </si>
  <si>
    <t>5-S.14</t>
  </si>
  <si>
    <t>5-S.15</t>
  </si>
  <si>
    <t>5-S.16</t>
  </si>
  <si>
    <t>5-S.17</t>
  </si>
  <si>
    <t>5-S.18</t>
  </si>
  <si>
    <t>5-S.19</t>
  </si>
  <si>
    <t>5-S.20</t>
  </si>
  <si>
    <t>5-S.21</t>
  </si>
  <si>
    <t>5-S.22</t>
  </si>
  <si>
    <t>5-S.23</t>
  </si>
  <si>
    <t>Total Parcial 5-S</t>
  </si>
  <si>
    <t>5-I. FEEDERES Y CABLES DE RETORNO - INSTALACION</t>
  </si>
  <si>
    <t>5-I.02</t>
  </si>
  <si>
    <t>5-I.03</t>
  </si>
  <si>
    <t>5-I.04</t>
  </si>
  <si>
    <t>5-I.05</t>
  </si>
  <si>
    <t>5-I.07</t>
  </si>
  <si>
    <t>5-I.08</t>
  </si>
  <si>
    <t>5-I.09</t>
  </si>
  <si>
    <t>Total Parcial 5-I</t>
  </si>
  <si>
    <t>TOTAL 5 FEEDERES Y CABLES DE RETORNO</t>
  </si>
  <si>
    <t>6 ALIMENTACIÓN - CONEXIONES DE CATENARIA Y SECCIONADORES</t>
  </si>
  <si>
    <t>6-S. ALIMENTACIÓN- CONEXIONES DE CATENARIA Y SECCIONADORES - SUMINISTRO DE MATERIALES</t>
  </si>
  <si>
    <t>6-S.01</t>
  </si>
  <si>
    <t>3- LONGITUD DE VIA</t>
  </si>
  <si>
    <t>Anclajes en poste sin tirante (a restar)</t>
  </si>
  <si>
    <t>5-I.06a</t>
  </si>
  <si>
    <t>Instalación de cable de cobre aislado 26/45kV 1x300 mm2 instalado en zanja, incluida pp. de zanja</t>
  </si>
  <si>
    <t>5-I.06b</t>
  </si>
  <si>
    <t>Instalación de cable de cobre aislado 26/45kV 2.(1x300) mm2 instalado en zanja, incluida pp. de zanja</t>
  </si>
  <si>
    <t>5-I.06c</t>
  </si>
  <si>
    <t>Instalación de cable de cobre aislado 26/45kV 4.(1x300) mm2 instalado en zanja, incluida pp. de zanja</t>
  </si>
  <si>
    <t>6-S.10a</t>
  </si>
  <si>
    <t>6-S.10b</t>
  </si>
  <si>
    <t>6-S.10c</t>
  </si>
  <si>
    <t>6-I.01a</t>
  </si>
  <si>
    <t>Instalación de cable de cobre aislado 0,6/1kV 3.(1x300) en zanja, incluída la ejecución de la misma</t>
  </si>
  <si>
    <t>6-I.01b</t>
  </si>
  <si>
    <t>Instalación de cable de cobre aislado 0,6/1kV 4.(1x300) en zanja, incluída la ejecución de la misma</t>
  </si>
  <si>
    <t>6-I.06a</t>
  </si>
  <si>
    <t>6-I.06b</t>
  </si>
  <si>
    <t>6-I.06c</t>
  </si>
  <si>
    <t>Cable retorno LA-280</t>
  </si>
  <si>
    <t>Feeder de refuerzo LA-280</t>
  </si>
  <si>
    <t>Cola de anclaje de un cable de retorno LA-280</t>
  </si>
  <si>
    <t>Cola de anclaje de dos cables de retorno LA-280</t>
  </si>
  <si>
    <t>Cola de anclaje de feeder de refuerzo LA-280</t>
  </si>
  <si>
    <t>Anclaje de un cable de retorno LA-280 en túnel</t>
  </si>
  <si>
    <t>Anclaje de dos cables de retorno LA-280 en túnel</t>
  </si>
  <si>
    <t>Suspensión de un cable de retorno LA-280 en poste</t>
  </si>
  <si>
    <t>Suspensión de dos cables de retorno LA-280 en poste</t>
  </si>
  <si>
    <t>Suspensión de dos cables de retorno LA-280 en túnel</t>
  </si>
  <si>
    <t>Cadena de suspensión de feeder LA-280 en silleta</t>
  </si>
  <si>
    <t>Acopio, tendido, tensado y regulado de dos cables de retorno LA-280, incluyendo el montaje de la pinza de suspensión en poste</t>
  </si>
  <si>
    <t>Acopio, tendido, tensado y regulado de un cable de retorno LA-280, incluyendo el montaje de la pinza de suspensión en silleta de túnel</t>
  </si>
  <si>
    <t>Acopio, tendido, tensado y regulado de dos cables de retorno LA-280, incluyendo el montaje de la pinza de suspensión en silleta de túnel</t>
  </si>
  <si>
    <t>Instalación de paso de feeder aéreo desnudo LA-280 a feeder aislado de aluminio Afumex 300 mm2 incluyendo botellas terminales tubos, tubos flexibles de acero inoxicable, arquetas, etc hasta dejar el cable en perfectas condiciones de funcionamiento.</t>
  </si>
  <si>
    <t>Cable de feeder de alimentación Cu-300</t>
  </si>
  <si>
    <t>Cola de anclaje de feeder Cu-300</t>
  </si>
  <si>
    <t>Cable de cobre aislado aislado para 25/45 kV de 300 mm2 de sección, incluida p.p. De empalmes y perchas.</t>
  </si>
  <si>
    <t>2-I.05</t>
  </si>
  <si>
    <t>2-I.06</t>
  </si>
  <si>
    <t>2-I.08</t>
  </si>
  <si>
    <t>2-I.09</t>
  </si>
  <si>
    <t>2-I.14</t>
  </si>
  <si>
    <t>2-I.15</t>
  </si>
  <si>
    <t>Acopio, izado y nivelado de poste 2HEB-320 para pórticos PR-3 / PR-4</t>
  </si>
  <si>
    <t>Acopio, izado y nivelado de poste Especial 2HEB-320 de anclaje en topera</t>
  </si>
  <si>
    <t>3-S.06</t>
  </si>
  <si>
    <t>3-I.06</t>
  </si>
  <si>
    <t>Premontaje, acopio, montaje y ajuste de suplemento ménsulas hasta gálibo de 5m.</t>
  </si>
  <si>
    <t>5-I.01</t>
  </si>
  <si>
    <t>Acopio, tendido, tensado y regulado de un cable de retorno LA-280, incluyendo el montaje de la pinza de suspensión en poste</t>
  </si>
  <si>
    <t>6-S.05</t>
  </si>
  <si>
    <t>Aislamiento intermedio de HC-100 Cu-Ag</t>
  </si>
  <si>
    <t>Instalación de Pórtico de alimentación para 2 cables de llegada, incluídos los 2 pórticos de 3m y los transversales, n.i. los postes ni los seccionadores</t>
  </si>
  <si>
    <t>Instalación de Pórtico de alimentación para 4 cables de llegada, incluídos los 2 pórticos de 5m y los transversales, n.i. los postes ni los seccionadores</t>
  </si>
  <si>
    <t>6-S.12</t>
  </si>
  <si>
    <t>UD</t>
  </si>
  <si>
    <t>Detector de tensión</t>
  </si>
  <si>
    <t>6-I.08</t>
  </si>
  <si>
    <t>Instalación de detector de tensión</t>
  </si>
  <si>
    <t>Instalación de puesta en paralelo de 2 vías (incluye el montaje de crucetas y cables transversales)</t>
  </si>
  <si>
    <t>Poste  2HEB-320 para pórticos PR-3 / PR-4</t>
  </si>
  <si>
    <t>Poste Especial para pórtico de SSEE</t>
  </si>
  <si>
    <t>Poste Especial 2HEB-320 de anclaje en topera</t>
  </si>
  <si>
    <t>Poste 2HEB-550 para pórticos DE 40M</t>
  </si>
  <si>
    <t>2-I. POSTES, PÓRTICOS Y SILLETAS DE ANCLAJE - INSTALACION</t>
  </si>
  <si>
    <t>2-I.07</t>
  </si>
  <si>
    <t>Acopio, izado y nivelado de poste 2HEB-550 para pórticos DE 40M</t>
  </si>
  <si>
    <t>Acopio, izado y nivelado de pórtico rígido tipo PR5 DE 40M</t>
  </si>
  <si>
    <t>Acopio, izado y nivelado de poste HEB-220 a HEB-260</t>
  </si>
  <si>
    <t>Acopio, izado y nivelado de poste HEB-280 a HEB-320</t>
  </si>
  <si>
    <t>1-I.03a</t>
  </si>
  <si>
    <t>1-I.03b</t>
  </si>
  <si>
    <t>1-I.03c</t>
  </si>
  <si>
    <t>Cimentación especial para poste de Pórtico de 20 a 25 m., incluyendo las armaduras, hormigón, encofrados…necesarios para su total terminación ejecutada desde la vía, en terreno normal.</t>
  </si>
  <si>
    <t>Cimentación especial para poste de Pórtico de 25 a 30 m., incluyendo las armaduras, hormigón, encofrados…necesarios para su total terminación ejecutada desde la vía, en terreno normal.</t>
  </si>
  <si>
    <t>Cimentación especial para poste de Pórtico de 30 a 40 m., incluyendo las armaduras, hormigón, encofrados…necesarios para su total terminación ejecutada desde la vía, en terreno normal.</t>
  </si>
  <si>
    <t>2-I.18</t>
  </si>
  <si>
    <t>Instalación de suplemento de ménsula (hasta 5m de gálibo) en poste</t>
  </si>
  <si>
    <t>S2T</t>
  </si>
  <si>
    <t>Foundation</t>
  </si>
  <si>
    <t>Anchorage</t>
  </si>
  <si>
    <t>Sectionning</t>
  </si>
  <si>
    <t>Pole Type</t>
  </si>
  <si>
    <t>Cantilevers</t>
  </si>
  <si>
    <t>Supports</t>
  </si>
  <si>
    <t>Portals</t>
  </si>
  <si>
    <t>Wind Deflection</t>
  </si>
  <si>
    <t>TIPO</t>
  </si>
  <si>
    <t>NÚMERO</t>
  </si>
  <si>
    <t>BC-1101</t>
  </si>
  <si>
    <t>BC-2001</t>
  </si>
  <si>
    <t>BC-1401</t>
  </si>
  <si>
    <t>BC-1501</t>
  </si>
  <si>
    <t>RECUENTO DE CONJUNTOS DE CATENARIA</t>
  </si>
  <si>
    <t>Nº plano</t>
  </si>
  <si>
    <t>Referencia</t>
  </si>
  <si>
    <t>Descripción</t>
  </si>
  <si>
    <t>C-101</t>
  </si>
  <si>
    <t>C-102</t>
  </si>
  <si>
    <t>C-130</t>
  </si>
  <si>
    <t>C-131</t>
  </si>
  <si>
    <t>C-132</t>
  </si>
  <si>
    <t>C-134</t>
  </si>
  <si>
    <t>C-201</t>
  </si>
  <si>
    <t>C-202</t>
  </si>
  <si>
    <t>C-203</t>
  </si>
  <si>
    <t>C-204</t>
  </si>
  <si>
    <t>C-205</t>
  </si>
  <si>
    <t>C-206</t>
  </si>
  <si>
    <t>C-207</t>
  </si>
  <si>
    <t>C-208</t>
  </si>
  <si>
    <t>C-209</t>
  </si>
  <si>
    <t>C-210</t>
  </si>
  <si>
    <t>C-211</t>
  </si>
  <si>
    <t>C-220</t>
  </si>
  <si>
    <t>C-221</t>
  </si>
  <si>
    <t>Señalizacion de poste y placa de peligro de muerte</t>
  </si>
  <si>
    <t>Protección antiescalada para poste en estación.</t>
  </si>
  <si>
    <t>C-250</t>
  </si>
  <si>
    <t>C-251</t>
  </si>
  <si>
    <t>C-252</t>
  </si>
  <si>
    <t>C-253</t>
  </si>
  <si>
    <t>C-254</t>
  </si>
  <si>
    <t>C-255</t>
  </si>
  <si>
    <t>C-256</t>
  </si>
  <si>
    <t>C-257</t>
  </si>
  <si>
    <t>C-258</t>
  </si>
  <si>
    <t>C-259</t>
  </si>
  <si>
    <t>C-260</t>
  </si>
  <si>
    <t>C-261</t>
  </si>
  <si>
    <t>Semipórtico B7</t>
  </si>
  <si>
    <t>C-263</t>
  </si>
  <si>
    <t>C-264</t>
  </si>
  <si>
    <t>C-265</t>
  </si>
  <si>
    <t>C-266</t>
  </si>
  <si>
    <t>C-270</t>
  </si>
  <si>
    <t>C-271</t>
  </si>
  <si>
    <t>C-272</t>
  </si>
  <si>
    <t>C-273</t>
  </si>
  <si>
    <t>C-274</t>
  </si>
  <si>
    <t>Soporte para una ménsula en B7</t>
  </si>
  <si>
    <t>C-275</t>
  </si>
  <si>
    <t>Soporte para dos ménsulas en B7</t>
  </si>
  <si>
    <t>C-276</t>
  </si>
  <si>
    <t>Soporte en túnel para una ménsula</t>
  </si>
  <si>
    <t>C-280</t>
  </si>
  <si>
    <t>Tirante de anclaje</t>
  </si>
  <si>
    <t>C-281</t>
  </si>
  <si>
    <t>C-282</t>
  </si>
  <si>
    <t>C-283</t>
  </si>
  <si>
    <t>C-284</t>
  </si>
  <si>
    <t>C-285</t>
  </si>
  <si>
    <t>C-301</t>
  </si>
  <si>
    <t>Conjunto de ménsula dentro en poste</t>
  </si>
  <si>
    <t>C-302</t>
  </si>
  <si>
    <t>C-303</t>
  </si>
  <si>
    <t>Conjunto de ménsula fuera en poste</t>
  </si>
  <si>
    <t>C-304</t>
  </si>
  <si>
    <t>C-305</t>
  </si>
  <si>
    <t>C-306</t>
  </si>
  <si>
    <t>C-307</t>
  </si>
  <si>
    <t>Conjunto de ménsula de cola elevada en poste</t>
  </si>
  <si>
    <t>C-308</t>
  </si>
  <si>
    <t>C-309</t>
  </si>
  <si>
    <t>C-310</t>
  </si>
  <si>
    <t>C-313</t>
  </si>
  <si>
    <t>C-400</t>
  </si>
  <si>
    <t>C-401</t>
  </si>
  <si>
    <t>C-402</t>
  </si>
  <si>
    <t>C-403</t>
  </si>
  <si>
    <t>C-404</t>
  </si>
  <si>
    <t>C-407</t>
  </si>
  <si>
    <t>Anclaje de catenaria sin regulación de la tensión en poste abierto</t>
  </si>
  <si>
    <t>C-411</t>
  </si>
  <si>
    <t>C-414</t>
  </si>
  <si>
    <t>C-415</t>
  </si>
  <si>
    <t>C-416</t>
  </si>
  <si>
    <t>C-417</t>
  </si>
  <si>
    <t>C-418</t>
  </si>
  <si>
    <t>Soporte para un equipo de tensorex sencillo en túnel</t>
  </si>
  <si>
    <t>C-500</t>
  </si>
  <si>
    <t>Km de cable  LA-280</t>
  </si>
  <si>
    <t>C-501</t>
  </si>
  <si>
    <t>C-503</t>
  </si>
  <si>
    <t>Cadena de suspensión de un feeder LA-280/380 en silleta</t>
  </si>
  <si>
    <t>C-504</t>
  </si>
  <si>
    <t>C-505</t>
  </si>
  <si>
    <t>C-506</t>
  </si>
  <si>
    <t>C-511</t>
  </si>
  <si>
    <t>C-514</t>
  </si>
  <si>
    <t>C-515</t>
  </si>
  <si>
    <t>Conjunto de apoyo de un FN en túnel</t>
  </si>
  <si>
    <t>C-516</t>
  </si>
  <si>
    <t>Apoyo en silleta de ménsula de un FN en túnel</t>
  </si>
  <si>
    <t>C-517</t>
  </si>
  <si>
    <t>Silleta de suspensión de un feeder en PR para pórticos de LPN60/80</t>
  </si>
  <si>
    <t>C-518</t>
  </si>
  <si>
    <t>Silleta de suspensión de un feeder en PR para pórticos de LPN100</t>
  </si>
  <si>
    <t>C-519</t>
  </si>
  <si>
    <t>Silleta de suspensión de 2 feederes en PR para pórticos de LPN60/80</t>
  </si>
  <si>
    <t>C-520</t>
  </si>
  <si>
    <t>Silleta de suspensión de dos feederes en PR para pórticos de LPN100</t>
  </si>
  <si>
    <t>C-521</t>
  </si>
  <si>
    <t>Anclaje de feeder LA-280 en túnel</t>
  </si>
  <si>
    <t>C-551</t>
  </si>
  <si>
    <t>C-552</t>
  </si>
  <si>
    <t>Km de cable colector de cobre 50</t>
  </si>
  <si>
    <t>C-553</t>
  </si>
  <si>
    <t>C-554</t>
  </si>
  <si>
    <t>C-556</t>
  </si>
  <si>
    <t>C-559</t>
  </si>
  <si>
    <t>C-560</t>
  </si>
  <si>
    <t>C-600</t>
  </si>
  <si>
    <t>C-601</t>
  </si>
  <si>
    <t>C-602</t>
  </si>
  <si>
    <t>Conjunto de conexión entre sustentadores (P90,P50,…)</t>
  </si>
  <si>
    <t>C-605</t>
  </si>
  <si>
    <t>C-606</t>
  </si>
  <si>
    <t>C-607</t>
  </si>
  <si>
    <t>C-608</t>
  </si>
  <si>
    <t>C-609</t>
  </si>
  <si>
    <t>C-610</t>
  </si>
  <si>
    <t>C-611</t>
  </si>
  <si>
    <t>C-612</t>
  </si>
  <si>
    <t>C-613</t>
  </si>
  <si>
    <t>Accionamiento y transmisión para seccionador en poste (Tipo Eléctrico)</t>
  </si>
  <si>
    <t>C-620</t>
  </si>
  <si>
    <t>Superficie equipotencial en poste con accionamiento</t>
  </si>
  <si>
    <t>C-621</t>
  </si>
  <si>
    <t>C-622</t>
  </si>
  <si>
    <t>C-623</t>
  </si>
  <si>
    <t>C-624</t>
  </si>
  <si>
    <t>Conexión en perfil de tunel para una silleta</t>
  </si>
  <si>
    <t>Conexión de anclaje compensado de catenaria en túnel.</t>
  </si>
  <si>
    <t>Conexión de anclaje de catenaria sin compensar en túnel.</t>
  </si>
  <si>
    <t>Conexión de punto fijo en túnel</t>
  </si>
  <si>
    <t>Conexión en Perfil de Túnel de Barandilla</t>
  </si>
  <si>
    <t>C-711</t>
  </si>
  <si>
    <t>Puesta a tierra  de estrutura en viaducto (de barandilla a poste)</t>
  </si>
  <si>
    <t>W1</t>
  </si>
  <si>
    <t>W2</t>
  </si>
  <si>
    <t>W3</t>
  </si>
  <si>
    <t>A1</t>
  </si>
  <si>
    <t>A2</t>
  </si>
  <si>
    <t>A3</t>
  </si>
  <si>
    <t>S/A</t>
  </si>
  <si>
    <t>A</t>
  </si>
  <si>
    <t>AnMC</t>
  </si>
  <si>
    <t>AnMC/PL</t>
  </si>
  <si>
    <t>CP+AnMC</t>
  </si>
  <si>
    <t>FP+AnMC</t>
  </si>
  <si>
    <t>AnM</t>
  </si>
  <si>
    <t>AnM/PL</t>
  </si>
  <si>
    <t>Anchorage Foundation</t>
  </si>
  <si>
    <t>Arm Type</t>
  </si>
  <si>
    <t>Sectioning Feeding</t>
  </si>
  <si>
    <t>Arm Angle</t>
  </si>
  <si>
    <t>Return Support</t>
  </si>
  <si>
    <t>HEB-320LL</t>
  </si>
  <si>
    <t>EMT-1T</t>
  </si>
  <si>
    <t>EMT-2T</t>
  </si>
  <si>
    <t>EMT-TT</t>
  </si>
  <si>
    <t>C-001</t>
  </si>
  <si>
    <t>Placa de anclaje para  tirante en viaducto  (i. PL-AN)</t>
  </si>
  <si>
    <t/>
  </si>
  <si>
    <t>6121</t>
  </si>
  <si>
    <t>6127</t>
  </si>
  <si>
    <t>C-262a</t>
  </si>
  <si>
    <t>-</t>
  </si>
  <si>
    <t>C-262b</t>
  </si>
  <si>
    <t>6125</t>
  </si>
  <si>
    <t>Pórtico de alimentación y PP  de 3 m para timoneria</t>
  </si>
  <si>
    <t>Pórtico de alimentación y PP  de 3 m sin timoneria</t>
  </si>
  <si>
    <t>6126</t>
  </si>
  <si>
    <t>Pórtico de alimentación y PP  de 5m, para timonería</t>
  </si>
  <si>
    <t>Pórtico de alimentación y PP de 5m, sin timonería prevista</t>
  </si>
  <si>
    <t>6122</t>
  </si>
  <si>
    <t>6123</t>
  </si>
  <si>
    <t>6124</t>
  </si>
  <si>
    <t>6129</t>
  </si>
  <si>
    <t>Suplemento para ménsula en poste de hasta 5m de gálibo</t>
  </si>
  <si>
    <t>6128</t>
  </si>
  <si>
    <t>6130</t>
  </si>
  <si>
    <t>6132</t>
  </si>
  <si>
    <t>6134</t>
  </si>
  <si>
    <t>6131</t>
  </si>
  <si>
    <t>Conjunto de ménsula dentro en túnel</t>
  </si>
  <si>
    <t>6133</t>
  </si>
  <si>
    <t>Conjunto de ménsula fuera en túnel</t>
  </si>
  <si>
    <t>6136</t>
  </si>
  <si>
    <t>Conjunto de ménsula de c.e. en túnel</t>
  </si>
  <si>
    <t>Conjunto de ménsula dentro en pr</t>
  </si>
  <si>
    <t>Conjunto de ménsula fuera en pr</t>
  </si>
  <si>
    <t>Conjunto de ménsula de cola elevada en pr</t>
  </si>
  <si>
    <t>6135</t>
  </si>
  <si>
    <t>Soporte de giro de dos o tres ménsulas en poste</t>
  </si>
  <si>
    <t>C-320</t>
  </si>
  <si>
    <t>Variación por brazo en curva ligera</t>
  </si>
  <si>
    <t>C-321</t>
  </si>
  <si>
    <t>Variación por brazo en curva fuerte</t>
  </si>
  <si>
    <t>C-322</t>
  </si>
  <si>
    <t>Variación por brazo en eje l.a.</t>
  </si>
  <si>
    <t>C-323</t>
  </si>
  <si>
    <t>Variación por brazo de aguja</t>
  </si>
  <si>
    <t>Km de 1xBz-70+1x HC-120 Cu-Ag</t>
  </si>
  <si>
    <t>6140</t>
  </si>
  <si>
    <t>6141</t>
  </si>
  <si>
    <t>Conjunto de falso sustentador (bz-25)</t>
  </si>
  <si>
    <t>6142</t>
  </si>
  <si>
    <t>6143</t>
  </si>
  <si>
    <t>6144</t>
  </si>
  <si>
    <t>6145</t>
  </si>
  <si>
    <t>6146</t>
  </si>
  <si>
    <t>6148</t>
  </si>
  <si>
    <t>6147</t>
  </si>
  <si>
    <t>C-430d</t>
  </si>
  <si>
    <t>Km de 1xBz-70+1x HC-100 Cu-Ag(sidings)</t>
  </si>
  <si>
    <t>C-431d</t>
  </si>
  <si>
    <t>Péndola equipotencial de bucle con cable Bz-10-SIDINGS</t>
  </si>
  <si>
    <t>C-432d</t>
  </si>
  <si>
    <t>Anclaje de catenaria con regulación de la tensión para catenaria ligera</t>
  </si>
  <si>
    <t>C-433d</t>
  </si>
  <si>
    <t>Anclaje de catenaria sin regulación de la tensión para catenaria ligera</t>
  </si>
  <si>
    <t>C-440d</t>
  </si>
  <si>
    <t>Km de catenaria rígida</t>
  </si>
  <si>
    <t>Km de Feeder de Alimentación Cu-300</t>
  </si>
  <si>
    <t>C-502.1</t>
  </si>
  <si>
    <t>km de cable de cobre aislado RHZ1FA3Z1-25/45 KV de 1x300 mm2 i. pp. de empalmes</t>
  </si>
  <si>
    <t>C-502.2</t>
  </si>
  <si>
    <t>Paso de FN LA-280 a cable aislado incluido cola de anclaje de fn</t>
  </si>
  <si>
    <t>6155</t>
  </si>
  <si>
    <t>6156</t>
  </si>
  <si>
    <t>Silleta para feeder suspendido en cabeza de poste</t>
  </si>
  <si>
    <t>Suspensión de feeder de refuerzo con cadena en "V"</t>
  </si>
  <si>
    <t>6151</t>
  </si>
  <si>
    <t>Conjunto de cola de anclaje de feeder LA-280 en poste</t>
  </si>
  <si>
    <t>Cola de Anclaje de Cu-300</t>
  </si>
  <si>
    <t>6158</t>
  </si>
  <si>
    <t>6159</t>
  </si>
  <si>
    <t>6153</t>
  </si>
  <si>
    <t>Km de cable colector L-76</t>
  </si>
  <si>
    <t>6154</t>
  </si>
  <si>
    <t>Conjunto de suspensión de cable de retorno LA-280 en poste</t>
  </si>
  <si>
    <t>6150</t>
  </si>
  <si>
    <t>6152</t>
  </si>
  <si>
    <t>C-570</t>
  </si>
  <si>
    <t>6160</t>
  </si>
  <si>
    <t>6161</t>
  </si>
  <si>
    <t>6162</t>
  </si>
  <si>
    <t>C-603</t>
  </si>
  <si>
    <t>6188</t>
  </si>
  <si>
    <t>C-604</t>
  </si>
  <si>
    <t>6163</t>
  </si>
  <si>
    <t>Conjunto de aislamiento intermedio en sustentador bz-70</t>
  </si>
  <si>
    <t>Conjunto de aislamiento intermedio en HC 120 mm2</t>
  </si>
  <si>
    <t>Aislamiento intermedio feeder LA-280</t>
  </si>
  <si>
    <t>6164</t>
  </si>
  <si>
    <t>Equipamiento para zona neutra con Aisladores de sección en catenaria de 25KV AC</t>
  </si>
  <si>
    <t>Seccionador monopolar de AC con PAT</t>
  </si>
  <si>
    <t>Earthing device en túnel</t>
  </si>
  <si>
    <t>6170</t>
  </si>
  <si>
    <t>6176</t>
  </si>
  <si>
    <t>Aparellaje de seccionador monopolar en túnel</t>
  </si>
  <si>
    <t>C-625</t>
  </si>
  <si>
    <t>Aparellaje de dispositivo de puesta a tierra en túnel</t>
  </si>
  <si>
    <t>C-631</t>
  </si>
  <si>
    <t>Aparellaje de pórtico de alimentación (ssee) y puesta en paralelo de 2 vías</t>
  </si>
  <si>
    <t>C-632</t>
  </si>
  <si>
    <t>Aparellaje de puesta en paralelo de dos vías, i. transversales</t>
  </si>
  <si>
    <t>6177</t>
  </si>
  <si>
    <t>C-633</t>
  </si>
  <si>
    <t>Aparellaje de pórtico de alimentación (ssee) y puesta en paralelo de 3 vías</t>
  </si>
  <si>
    <t>6178</t>
  </si>
  <si>
    <t>C-634</t>
  </si>
  <si>
    <t>C-640</t>
  </si>
  <si>
    <t>C-641</t>
  </si>
  <si>
    <t>Accionamiento y transmisión para seccionador en pórtico de FEEDERES</t>
  </si>
  <si>
    <t>C-642</t>
  </si>
  <si>
    <t>Accionamiento y transmisión para seccionador en TÚNEL</t>
  </si>
  <si>
    <t>6186</t>
  </si>
  <si>
    <t>C-643</t>
  </si>
  <si>
    <t>6187</t>
  </si>
  <si>
    <t>C-644</t>
  </si>
  <si>
    <t>Superficies equipotenciales en pórticos de PP (3m.)</t>
  </si>
  <si>
    <t>C-645</t>
  </si>
  <si>
    <t>Superficies equipotenciales en pórticos de ZN (5m)</t>
  </si>
  <si>
    <t>C-646</t>
  </si>
  <si>
    <t>C-647</t>
  </si>
  <si>
    <t>Detector de tensión de 25 kV</t>
  </si>
  <si>
    <t>6180</t>
  </si>
  <si>
    <t>C-700</t>
  </si>
  <si>
    <t>6181</t>
  </si>
  <si>
    <t>C-701</t>
  </si>
  <si>
    <t>6182</t>
  </si>
  <si>
    <t>C-702</t>
  </si>
  <si>
    <t>C-703</t>
  </si>
  <si>
    <t>C-704</t>
  </si>
  <si>
    <t>C-705</t>
  </si>
  <si>
    <t>C-706</t>
  </si>
  <si>
    <t>6183</t>
  </si>
  <si>
    <t>C-707</t>
  </si>
  <si>
    <t>C-708</t>
  </si>
  <si>
    <t>6184</t>
  </si>
  <si>
    <t>C-709</t>
  </si>
  <si>
    <t>C-710</t>
  </si>
  <si>
    <t>Aislamiento de sustentador en pasos superiores</t>
  </si>
  <si>
    <t>C-711B</t>
  </si>
  <si>
    <t>Aislamiento de feederes en pasos superiores</t>
  </si>
  <si>
    <t>C-712</t>
  </si>
  <si>
    <t>6185</t>
  </si>
  <si>
    <t>C-713</t>
  </si>
  <si>
    <t>C-714</t>
  </si>
  <si>
    <t>C-720d</t>
  </si>
  <si>
    <t>Viseras para pasos superiores ( 1 por vía)</t>
  </si>
  <si>
    <t>C-721d</t>
  </si>
  <si>
    <t>Pórtico para protección de catenaria en pasos a nivel</t>
  </si>
  <si>
    <t>C-722d</t>
  </si>
  <si>
    <t>Pantalla para postes en andén</t>
  </si>
  <si>
    <t>C-723d</t>
  </si>
  <si>
    <t>Manta aislante de 2x1m de 15 mm</t>
  </si>
  <si>
    <t>C-731d</t>
  </si>
  <si>
    <t>CR-B10</t>
  </si>
  <si>
    <t>Barra de 10 m de catenaria rígida</t>
  </si>
  <si>
    <t>CR-BS</t>
  </si>
  <si>
    <t>Barra de seccionamiento</t>
  </si>
  <si>
    <t>CR-BT</t>
  </si>
  <si>
    <t>Barra de transición</t>
  </si>
  <si>
    <t>CR-CONEX-2</t>
  </si>
  <si>
    <t>Conjunto de conexiones entre dos barras de catenaria rígida (solapes)</t>
  </si>
  <si>
    <t>CR-PF</t>
  </si>
  <si>
    <t>Conjunto de punto fijo para catenaria rígida.</t>
  </si>
  <si>
    <t>CR-S1</t>
  </si>
  <si>
    <t>Conjunto de suspensión para una vía de techo plano hasta 6,5 metros</t>
  </si>
  <si>
    <t>CAT.</t>
  </si>
  <si>
    <t>FOUNDATIONS</t>
  </si>
  <si>
    <t>RAIL CAT.</t>
  </si>
  <si>
    <t>CANTILEVERS</t>
  </si>
  <si>
    <t>O.C.S</t>
  </si>
  <si>
    <t>FEEDER/RETURN</t>
  </si>
  <si>
    <t>PROTECTIONS</t>
  </si>
  <si>
    <t>Código</t>
  </si>
  <si>
    <t>ANCLAJES</t>
  </si>
  <si>
    <t>VIADUCTO</t>
  </si>
  <si>
    <t>MANUAL</t>
  </si>
  <si>
    <t>HEB-260L</t>
  </si>
  <si>
    <t>HEB-280L</t>
  </si>
  <si>
    <t>HEB-300L</t>
  </si>
  <si>
    <t>HEB-320L</t>
  </si>
  <si>
    <t>2HEB-320(A)</t>
  </si>
  <si>
    <t>HEB-320LL(P)</t>
  </si>
  <si>
    <t xml:space="preserve">SENALIZ. </t>
  </si>
  <si>
    <t>ANTIESCALADA</t>
  </si>
  <si>
    <t>FÓRMULA</t>
  </si>
  <si>
    <t>OBSERV.</t>
  </si>
  <si>
    <t>B7</t>
  </si>
  <si>
    <t>(2x)</t>
  </si>
  <si>
    <t>(/2)</t>
  </si>
  <si>
    <t>PRA-3</t>
  </si>
  <si>
    <t>PRA-5</t>
  </si>
  <si>
    <t>SILLETAS</t>
  </si>
  <si>
    <t>SUPL-5</t>
  </si>
  <si>
    <t>PÓRTICOS-F</t>
  </si>
  <si>
    <t xml:space="preserve">Suplemento para Tirante de HC </t>
  </si>
  <si>
    <t>Suplemento para Tirante de CR</t>
  </si>
  <si>
    <t>Suplemento para Tirante de Sust Y PF</t>
  </si>
  <si>
    <t>Suplemento para Tirante de  Feeder Positivo</t>
  </si>
  <si>
    <t>FP/Tunnel</t>
  </si>
  <si>
    <t>C-277</t>
  </si>
  <si>
    <t>SOPORTES DE GIRO</t>
  </si>
  <si>
    <t>EMT-1P</t>
  </si>
  <si>
    <t>EMT-2P</t>
  </si>
  <si>
    <t>EMT-TP</t>
  </si>
  <si>
    <t>Soporte de giro de dos ménsulas en silleta de  túnel</t>
  </si>
  <si>
    <t>Soporte de giro de dos ménsulas en silleta de pórtico</t>
  </si>
  <si>
    <t xml:space="preserve">CHECK </t>
  </si>
  <si>
    <t>CP+AnMC*</t>
  </si>
  <si>
    <t>FP+AnMC*</t>
  </si>
  <si>
    <t>CP/TUNNEL</t>
  </si>
  <si>
    <t>FP/TUNNEL</t>
  </si>
  <si>
    <t>CABLES</t>
  </si>
  <si>
    <t>CHECK</t>
  </si>
  <si>
    <t>OCS Sidings</t>
  </si>
  <si>
    <t>*S/A*</t>
  </si>
  <si>
    <t>Conexión de cable colector L-76 a poste (en viaducto)</t>
  </si>
  <si>
    <t>PL*</t>
  </si>
  <si>
    <t>Cola de anclaje de cable de retorno LA-280 en poste (SENCILLA)</t>
  </si>
  <si>
    <t>2x</t>
  </si>
  <si>
    <t>Anclaje de cable de retorno LA-280 en túnel (SENCILLA)</t>
  </si>
  <si>
    <t>SS/EE</t>
  </si>
  <si>
    <t>IO*</t>
  </si>
  <si>
    <t>SECT-I</t>
  </si>
  <si>
    <t>SECT-I-ZN</t>
  </si>
  <si>
    <t>SECCIONADORES</t>
  </si>
  <si>
    <t>PROTECCIONES</t>
  </si>
  <si>
    <t>SEÑALES</t>
  </si>
  <si>
    <t>APARELLAJES</t>
  </si>
  <si>
    <t>ACCIONAMIENTOS</t>
  </si>
  <si>
    <t>S.EQUIP.</t>
  </si>
  <si>
    <t>AUTOVALV.</t>
  </si>
  <si>
    <t>AnMP</t>
  </si>
  <si>
    <t>MP</t>
  </si>
  <si>
    <t>MP/Tunnel</t>
  </si>
  <si>
    <t>MP/TUNNEL</t>
  </si>
  <si>
    <t>Disc/IO</t>
  </si>
  <si>
    <t>ED/T</t>
  </si>
  <si>
    <t>FS/PP-2</t>
  </si>
  <si>
    <t>Disc/t</t>
  </si>
  <si>
    <t>FS/1D</t>
  </si>
  <si>
    <t>.-Las cuentas de pp solo se hacen en v1</t>
  </si>
  <si>
    <t>PP-2</t>
  </si>
  <si>
    <t>FS-1</t>
  </si>
  <si>
    <t>FS-1d</t>
  </si>
  <si>
    <t>Aparellaje de pórtico de puesta en paralelo de 4 vías</t>
  </si>
  <si>
    <t>PP-4</t>
  </si>
  <si>
    <t>FS/PP-3</t>
  </si>
  <si>
    <t>S1T / S2T</t>
  </si>
  <si>
    <t>A/S-Diag</t>
  </si>
  <si>
    <t>Mid Point</t>
  </si>
  <si>
    <t>C-505b</t>
  </si>
  <si>
    <t>Silleta para feeder apoyado en cabeza de poste</t>
  </si>
  <si>
    <t>AnMC/Tunnel</t>
  </si>
  <si>
    <t>2HEB-240</t>
  </si>
  <si>
    <t>2HEB-260</t>
  </si>
  <si>
    <t>AnM/Tunnel</t>
  </si>
  <si>
    <t>HEB-260 (CP)</t>
  </si>
  <si>
    <t>HEB-280 (CP)</t>
  </si>
  <si>
    <t>HEB-300 (CP)</t>
  </si>
  <si>
    <t>HEB-260 V</t>
  </si>
  <si>
    <t>HEB-280 V</t>
  </si>
  <si>
    <t>2HEB-260 V</t>
  </si>
  <si>
    <t>HEB-240 V</t>
  </si>
  <si>
    <t>HEB-300 V</t>
  </si>
  <si>
    <t>2HEB-240 V</t>
  </si>
  <si>
    <t>C-203-CP</t>
  </si>
  <si>
    <t>Aislador de sección en catenaria de 25KV</t>
  </si>
  <si>
    <t>C-614</t>
  </si>
  <si>
    <t>C-630</t>
  </si>
  <si>
    <t>Aparellaje de seccionador de alimentacion para 1 via con cable desnudo.</t>
  </si>
  <si>
    <t>C-202-V</t>
  </si>
  <si>
    <t>C-203-VCP</t>
  </si>
  <si>
    <t>C-204-CP</t>
  </si>
  <si>
    <t>C-204-V</t>
  </si>
  <si>
    <t>C-204-VCP</t>
  </si>
  <si>
    <t>C-205-CP</t>
  </si>
  <si>
    <t>C-205-V</t>
  </si>
  <si>
    <t>C-205-VCP</t>
  </si>
  <si>
    <t>C-212</t>
  </si>
  <si>
    <t>C-213</t>
  </si>
  <si>
    <t>C-213-V</t>
  </si>
  <si>
    <t>C-214</t>
  </si>
  <si>
    <t>C-214-V</t>
  </si>
  <si>
    <t>C-215</t>
  </si>
  <si>
    <t>C-216</t>
  </si>
  <si>
    <t>C-217</t>
  </si>
  <si>
    <t>CONJUNTOS</t>
  </si>
  <si>
    <t>1-S.04</t>
  </si>
  <si>
    <t>1-S.05</t>
  </si>
  <si>
    <t>Placa de anclaje de tirante sencilla (pl-an)</t>
  </si>
  <si>
    <t>Placa de anclaje de tirante doble (pl-an2)</t>
  </si>
  <si>
    <t>C-203-V</t>
  </si>
  <si>
    <t>C-303/306/309</t>
  </si>
  <si>
    <t>Cable colector L-76</t>
  </si>
  <si>
    <t>Puesta a tierra de estructura en viaducto (Barandilla a poste)</t>
  </si>
  <si>
    <t>2-S.03E</t>
  </si>
  <si>
    <t>7-S.15</t>
  </si>
  <si>
    <t>7-S.16</t>
  </si>
  <si>
    <t>2-S.01a</t>
  </si>
  <si>
    <t>2-S.01b</t>
  </si>
  <si>
    <t>2-S.01c</t>
  </si>
  <si>
    <t>Poste Tipo HEB-220 de 8.2 m. de altura</t>
  </si>
  <si>
    <t>Poste Tipo HEB-220 de 8.2 m. de altura - compensacion</t>
  </si>
  <si>
    <t>2-S.02c</t>
  </si>
  <si>
    <t>Poste Tipo HEB-240 de 8.2 m. de altura - compensacion</t>
  </si>
  <si>
    <t>2-S.02a</t>
  </si>
  <si>
    <t>2-S.02b</t>
  </si>
  <si>
    <t>C-202-VCP</t>
  </si>
  <si>
    <t>Poste Tipo HEB-240 de 8.2 m. de altura</t>
  </si>
  <si>
    <t>Poste Tipo HEB-260 de 8.2 m. de altura</t>
  </si>
  <si>
    <t>2-S.03a</t>
  </si>
  <si>
    <t>2-S.03b</t>
  </si>
  <si>
    <t>Poste Tipo HEB-260 de 8.2 m. de altura - compensacion</t>
  </si>
  <si>
    <t>2-S.03c</t>
  </si>
  <si>
    <t>Poste Tipo HEB-280 de 8.2 m. de altura</t>
  </si>
  <si>
    <t>Poste Tipo HEB-300 de 8.2 m. de altura</t>
  </si>
  <si>
    <t>Poste Especial 2HEB-240 DE S.E.  de 8.2 m. de altura</t>
  </si>
  <si>
    <t>Poste Especial 2HEB-260 DE S.E.  de 8.2 m. de altura</t>
  </si>
  <si>
    <t>2-S.02E</t>
  </si>
  <si>
    <t>2-S.04a</t>
  </si>
  <si>
    <t>2-S.04b</t>
  </si>
  <si>
    <t>Poste Tipo HEB-280 de 8.2 m. de altura - compensacion</t>
  </si>
  <si>
    <t>2-S.05a</t>
  </si>
  <si>
    <t>2-S.05b</t>
  </si>
  <si>
    <t>2-S.04c</t>
  </si>
  <si>
    <t>2-S.05c</t>
  </si>
  <si>
    <t>Poste Tipo HEB-300 de 8.2 m. de altura - compensacion</t>
  </si>
  <si>
    <t>Conjunto de tirante de anclaje. (GENÉRICO)</t>
  </si>
  <si>
    <t>2-S.24a</t>
  </si>
  <si>
    <t>Conjunto de tirante de anclaje. Tipo1</t>
  </si>
  <si>
    <t>Conjunto de tirante de anclaje. Tipo2</t>
  </si>
  <si>
    <t>2-S.24b</t>
  </si>
  <si>
    <t>Conjunto de ménsula dentro (genérico)</t>
  </si>
  <si>
    <t>3-S.01a</t>
  </si>
  <si>
    <t>3-S.01b</t>
  </si>
  <si>
    <t>3-S.01c</t>
  </si>
  <si>
    <t>Conjunto de ménsula dentro en trayecto</t>
  </si>
  <si>
    <t>Conjunto de ménsula dentro en pórtico</t>
  </si>
  <si>
    <t>Conjunto de ménsula fuera (genérico)</t>
  </si>
  <si>
    <t>Conjunto de ménsula fuera en trayecto</t>
  </si>
  <si>
    <t>Conjunto de ménsula fuera en pórtico</t>
  </si>
  <si>
    <t>C-311</t>
  </si>
  <si>
    <t>3-S.02a</t>
  </si>
  <si>
    <t>3-S.02b</t>
  </si>
  <si>
    <t>3-S.02c</t>
  </si>
  <si>
    <t>3-S.03a</t>
  </si>
  <si>
    <t>3-S.03b</t>
  </si>
  <si>
    <t>3-S.03c</t>
  </si>
  <si>
    <t>Conjunto de ménsula de cola elevada en trayecto</t>
  </si>
  <si>
    <t>Conjunto de ménsula de cola elevada en túnel</t>
  </si>
  <si>
    <t>Conjunto de ménsula de cola elevada en pórtico</t>
  </si>
  <si>
    <t>6-S.02a</t>
  </si>
  <si>
    <t>6-S.02b</t>
  </si>
  <si>
    <t>Conexión de seccionamiento</t>
  </si>
  <si>
    <t>Conexión de colas de l.aire</t>
  </si>
  <si>
    <t>Conexión de aguja p-90</t>
  </si>
  <si>
    <t>6-S.07a</t>
  </si>
  <si>
    <t>6-S.07b</t>
  </si>
  <si>
    <t>Seccionador monopolar de apertura en vacío, incluido el aparellaje EN TÚNEL</t>
  </si>
  <si>
    <t>6-S.10d</t>
  </si>
  <si>
    <t>7-S.07a</t>
  </si>
  <si>
    <t>7-S.07b</t>
  </si>
  <si>
    <t>7-S.07c</t>
  </si>
  <si>
    <t>7-S.07d</t>
  </si>
  <si>
    <t>Conexión en perfil de túnel (para anclaje compensado)</t>
  </si>
  <si>
    <t>Conexión en perfil de túnel (para anclaje sin compensar)</t>
  </si>
  <si>
    <t>Conexión en perfil de túnel (para punto fijo)</t>
  </si>
  <si>
    <t>Conexión en perfil de túnel (para barandilla)</t>
  </si>
  <si>
    <t>Superficie equipotencial de accionamiento en pórtico (3m)</t>
  </si>
  <si>
    <t>7-S.14a</t>
  </si>
  <si>
    <t>Superficie equipotencial de accionamiento en pórtico (5m)</t>
  </si>
  <si>
    <t>C-281 / C-282</t>
  </si>
  <si>
    <t>C-283 / C-284</t>
  </si>
  <si>
    <t xml:space="preserve">Pórtico de alimentación y pp para 2 vías, incluídos los 2 pórticos de 3m , los transversales y los seccionadores, n.i. los postes </t>
  </si>
  <si>
    <t>Puesta en paralelo de 2 vías (crucetas, seccionadores y cables transversales)</t>
  </si>
  <si>
    <t>Puesta en paralelo de 4 vías (crucetas, seccionadores y cables transversales)</t>
  </si>
  <si>
    <t>C-302;C-305;C-308</t>
  </si>
  <si>
    <t>C-130;C-131;C-132</t>
  </si>
  <si>
    <t>C-201-V</t>
  </si>
  <si>
    <t>C-201-CP</t>
  </si>
  <si>
    <t>C-201-VCP</t>
  </si>
  <si>
    <t>5-S.19b</t>
  </si>
  <si>
    <t>Silleta de suspensión de feeder de refuerzo en PR (lpn-60)</t>
  </si>
  <si>
    <t>Silleta de suspensión de feeder de refuerzo en PR (lpn-100)</t>
  </si>
  <si>
    <t>2-S.20a</t>
  </si>
  <si>
    <t>2-S.20b</t>
  </si>
  <si>
    <t>Soporte de longitud variable en B-7 para una ménsula. Incluye una silleta, un jabalcón, los herrajes y la tornillería necesarios.</t>
  </si>
  <si>
    <t>2-S.21a</t>
  </si>
  <si>
    <t>2-S.21b</t>
  </si>
  <si>
    <t>Soporte de longitud variable en B-7 para dos ménsulas. Incluye una silleta, un jabalcón, los herrajes y la tornillería necesarios.</t>
  </si>
  <si>
    <t>C-711;C-711b</t>
  </si>
  <si>
    <t>7-S.17</t>
  </si>
  <si>
    <t>7-S.18</t>
  </si>
  <si>
    <t>7-S.19</t>
  </si>
  <si>
    <t>7-S.20</t>
  </si>
  <si>
    <t>7-S.21</t>
  </si>
  <si>
    <t>Señales de fin de catenaria, zona neutra etc.</t>
  </si>
  <si>
    <t>AnRW</t>
  </si>
  <si>
    <t>AnFW</t>
  </si>
  <si>
    <t>AnRW/Tunnel</t>
  </si>
  <si>
    <t>RW1</t>
  </si>
  <si>
    <t>RW2</t>
  </si>
  <si>
    <t>RW1 / RW2 (2x)</t>
  </si>
  <si>
    <t>CONTROLES PARA COMPROBAR LOS RECUENTOS DE TRAYECTO</t>
  </si>
  <si>
    <t>No multiplicado por 2</t>
  </si>
  <si>
    <t>Dividido entre 2</t>
  </si>
  <si>
    <t>Simple Spike Earth</t>
  </si>
  <si>
    <t>Pole Anchors in Underbridge (Viaduct) (HEB-220 to HEB-240)</t>
  </si>
  <si>
    <t>Pole Anchors in Underbridge (Viaduct)  (HEB-260 a HEB-300)</t>
  </si>
  <si>
    <t>Pole Anchors in Underbridge (Viaduct)  (HEB-320)</t>
  </si>
  <si>
    <t>Pole Signal and Dead Dangerous Signal</t>
  </si>
  <si>
    <t>Anticlimbing Protection for pole in Station</t>
  </si>
  <si>
    <t>Semi-Portal B7</t>
  </si>
  <si>
    <t>Support for cantilever in Semi-Portal B7</t>
  </si>
  <si>
    <t>Support for two cantilevers in Semi-Portal B7</t>
  </si>
  <si>
    <t>Support for cantilever in Tunnel</t>
  </si>
  <si>
    <t>Support for two cantilevers in Tunnel</t>
  </si>
  <si>
    <t>Extension Bracket  for Cantilever in Pole until 5m Axis Track Distance</t>
  </si>
  <si>
    <t>Tie Anchor</t>
  </si>
  <si>
    <t>CW Tie Anchor</t>
  </si>
  <si>
    <t>Return Wire Tie Anchor</t>
  </si>
  <si>
    <t>MW and Mid Point Extension Tie Anchor</t>
  </si>
  <si>
    <t xml:space="preserve">Feeder Wire Extension Tie Anchor </t>
  </si>
  <si>
    <t>Extension Tie Anchor in UnderBridge (Viaduct)</t>
  </si>
  <si>
    <t>Cantilever Pull-off in pole</t>
  </si>
  <si>
    <t>Cantilever Push-off in pole</t>
  </si>
  <si>
    <t>Termination Cantilever in pole</t>
  </si>
  <si>
    <t>Cantilever Pull-off in tunnel</t>
  </si>
  <si>
    <t>Cantilever Push-off in tunnel</t>
  </si>
  <si>
    <t>Termination Cantilever in tunnel</t>
  </si>
  <si>
    <t>Cantilever Pull-off in portal</t>
  </si>
  <si>
    <t>Cantilever Push-off in portal</t>
  </si>
  <si>
    <t>Termination Cantilever in portal</t>
  </si>
  <si>
    <t>Swivel Support for two or three cantilevers in pole</t>
  </si>
  <si>
    <t>Swivel Support for two or three cantilevers in tunnel</t>
  </si>
  <si>
    <t>Swivel Support for two or three cantilevers in portal</t>
  </si>
  <si>
    <t>Arm Variation for curves</t>
  </si>
  <si>
    <t>Arm Variation for small curves</t>
  </si>
  <si>
    <t>Arm Variation for insulated overlap axis</t>
  </si>
  <si>
    <t>Arm Variation for turnouts</t>
  </si>
  <si>
    <t>Km 1xBz-70+1x HC-120 Cu-Ag</t>
  </si>
  <si>
    <t>Equipotential Dropper Bz-10</t>
  </si>
  <si>
    <t>Equipotential Dropper Bz-10 for Stitch Wire</t>
  </si>
  <si>
    <t>Stitch wire Bz-25</t>
  </si>
  <si>
    <t>Catenary Anchor with Automatic Tension Device</t>
  </si>
  <si>
    <t>Catenary Anchor without Automatic Tension Device</t>
  </si>
  <si>
    <t>Tunnel Catenary Anchor with Automatic Tension Device</t>
  </si>
  <si>
    <t>Tunnel Catenary Anchor without Automatic Tension Device</t>
  </si>
  <si>
    <t>Tunnel Mid Point</t>
  </si>
  <si>
    <t>Tensorex Catenary Anchor</t>
  </si>
  <si>
    <t>Tensorex Catenary Anchor Support</t>
  </si>
  <si>
    <t>Catenary Anchor without Automatic Tension Device (depots)</t>
  </si>
  <si>
    <t>Catenary Anchor with Automatic Tension Device (depots)</t>
  </si>
  <si>
    <t>Equipotential Dropper Bz-10 (depots)</t>
  </si>
  <si>
    <t>Km 1xBz-70+1x HC-100 Cu-Ag (depots)</t>
  </si>
  <si>
    <t xml:space="preserve">Km Overhead Catenary Rigid </t>
  </si>
  <si>
    <t>Km LA-280 wire</t>
  </si>
  <si>
    <t>Km Cu-300 wire</t>
  </si>
  <si>
    <t>Transition Feeder LA-280 to cable incluido cola de anclaje de fn</t>
  </si>
  <si>
    <t>Support for suspension feeder at pole top</t>
  </si>
  <si>
    <t>Support for suspension feeder and support feeder at pole top</t>
  </si>
  <si>
    <t>Isolament for support feeder at pole top</t>
  </si>
  <si>
    <t>Isolament for suspension feeder LA-280 at support</t>
  </si>
  <si>
    <t>Isolament for "V" suspension feeder</t>
  </si>
  <si>
    <t>Isolament for support Feeder in Tunnel</t>
  </si>
  <si>
    <t>Support for Reinforcement Feeder in tunnel</t>
  </si>
  <si>
    <t>Support for two cantilevers in Portal Structure (LPN Section 60-80)</t>
  </si>
  <si>
    <t>Support for cantilever in Portal Structure (LPN Section 100)</t>
  </si>
  <si>
    <t>Support for two cantilevers in Portal Structure (LPN Section 100)</t>
  </si>
  <si>
    <t>Support for cantilever in Portal Structure (LPN Section 60-80)</t>
  </si>
  <si>
    <t>Support for suspension feeder in portal  LPN 100</t>
  </si>
  <si>
    <t>Support for suspension feeder in portal  LPN 60/80</t>
  </si>
  <si>
    <t>Support for suspension of 2 feeders in portal LPN 100</t>
  </si>
  <si>
    <t>Support for suspension of 2 feeders in portal LPN 60/80</t>
  </si>
  <si>
    <t>Km Earth wire L-76</t>
  </si>
  <si>
    <t>Km Earth wire Cu-50</t>
  </si>
  <si>
    <t>Conection Earth wire L-76 to pole (underbridge)</t>
  </si>
  <si>
    <t>Suspension return wire LA-280 at pole</t>
  </si>
  <si>
    <t>Reinforcement Feeder LA-280 Anchor</t>
  </si>
  <si>
    <t>Feeder Cu-300 Anchor</t>
  </si>
  <si>
    <t>Reinforcement Feeder LA-280 Anchor in Tunnel</t>
  </si>
  <si>
    <t>Return wire LA-280 Anchor (Single)</t>
  </si>
  <si>
    <t>Return wire LA-280 Anchor in tunnel (Single)</t>
  </si>
  <si>
    <t>Conection reinforcement feeder to catenary</t>
  </si>
  <si>
    <t>Turnover Connections (P90,P50,…)</t>
  </si>
  <si>
    <t>Overlap Connections</t>
  </si>
  <si>
    <t>Insulated Overlap Connections</t>
  </si>
  <si>
    <t>M Return wire to Tranformer Station</t>
  </si>
  <si>
    <t>Conexión de cable de retorno de SSEE, ZN o SP a los carriles</t>
  </si>
  <si>
    <t>Connection return wire TS, NZ or SP to tracks</t>
  </si>
  <si>
    <t>Intermediate Isolament in Messenger wire Bz-70</t>
  </si>
  <si>
    <t>Intermediate Isolament in Contact wire CW-120</t>
  </si>
  <si>
    <t>Intermediate Isolament in Feeder wire LA-280</t>
  </si>
  <si>
    <t>Section Insulator</t>
  </si>
  <si>
    <t>Disconnector 25 KV 2500 A</t>
  </si>
  <si>
    <t>Disconnector 3 colums 25 KV 2500 A</t>
  </si>
  <si>
    <t>Surge Arrester</t>
  </si>
  <si>
    <t>Voltage Detector</t>
  </si>
  <si>
    <t>Load Breaker 25 KV 2500 A with vacuun chamber</t>
  </si>
  <si>
    <t>Load Breaker 25 KV 2500 A with vacuun chamber with Earth Connection</t>
  </si>
  <si>
    <t>Connections of Disconnector  (without feeder)</t>
  </si>
  <si>
    <t>Connections of Disconnector  (with feeder)</t>
  </si>
  <si>
    <t>Connections of Load Breaker with earth connection for feeder connection 1 track with cable ¿?</t>
  </si>
  <si>
    <t>Connections of Disconnector in tunnel</t>
  </si>
  <si>
    <t>Connections of Earthing Device in tunnel</t>
  </si>
  <si>
    <t>Connections of Disconnector for feeder TS connection 1 track with cable</t>
  </si>
  <si>
    <t>Connections of Disconnector for feeder TS connection 1 track with wire</t>
  </si>
  <si>
    <t>Connections of TS feeding portal for 2 tracks</t>
  </si>
  <si>
    <t>Connections of TS feeding portal for 3 tracks</t>
  </si>
  <si>
    <t>Connections of paralelling portal for 2 tracks</t>
  </si>
  <si>
    <t>Connections of paralelling portal for 4 tracks</t>
  </si>
  <si>
    <t>Motor Drive and Transmission for Disconector/Load Breaker in pole</t>
  </si>
  <si>
    <t>Motor Drive and Transmission for Disconector/Load Breaker in portal</t>
  </si>
  <si>
    <t>Motor Drive and Transmission for Disconector/Load Breaker in tunnel</t>
  </si>
  <si>
    <t>Tracks Paralelling Connections</t>
  </si>
  <si>
    <t>Connections Pole to Tracks</t>
  </si>
  <si>
    <t>Connections Tunnel Cantilevers Support to Earthing Tunnel Net</t>
  </si>
  <si>
    <t>Connections Catenary Anchor (w Autom Device) in tunnel to Earthing Tunnel Net</t>
  </si>
  <si>
    <t>Connections Catenary Anchor (wout Autom Device) in tunnel to Earthing Tunnel Net</t>
  </si>
  <si>
    <t>Connections Mid point to Earthing Tunnel Net</t>
  </si>
  <si>
    <t>Connections Rail Tunnel to Earthing Tunnel Net</t>
  </si>
  <si>
    <t>Tracks Paralelling Connections in Tunnel</t>
  </si>
  <si>
    <t>Connections Viaduct Dilatation joints Bridgin</t>
  </si>
  <si>
    <t>Connections Pole to Earth Wire in underbridge</t>
  </si>
  <si>
    <t>Connections Earth Wire to rail</t>
  </si>
  <si>
    <t>Equipotential Surface for Pole</t>
  </si>
  <si>
    <t>Equipotential Surface for Portal 3m</t>
  </si>
  <si>
    <t>Equipotential Surface for Portal 5m</t>
  </si>
  <si>
    <t>Messenger isolement in Overbridges</t>
  </si>
  <si>
    <t>Feeder Isolement in Overbridges</t>
  </si>
  <si>
    <t xml:space="preserve">Connections Rail to Earthing Underbridge Net </t>
  </si>
  <si>
    <t>Connections Rail to Earthing Overbridge Net</t>
  </si>
  <si>
    <t>Connections Pole to Rail in plattform</t>
  </si>
  <si>
    <t>Portal for catenary protection in Level Crossing</t>
  </si>
  <si>
    <t>Protection for poles in platform</t>
  </si>
  <si>
    <t>Protection for Overbridges ( 1 for track)</t>
  </si>
  <si>
    <t>Isolated protection de 2x1m wide 15 mm</t>
  </si>
  <si>
    <t>Bar 10 m Overhead Catenary Rigid</t>
  </si>
  <si>
    <t>Bar of Overlap OCR</t>
  </si>
  <si>
    <t>Connections between OCR Bars</t>
  </si>
  <si>
    <t>Mid Point for OCR</t>
  </si>
  <si>
    <t>Bar of Transition from Flexible OCS to OCR</t>
  </si>
  <si>
    <t>Support for OCR in Flat Roof</t>
  </si>
  <si>
    <t>Description</t>
  </si>
  <si>
    <t>DESCRIPTION</t>
  </si>
  <si>
    <t>1. FOUNDATION</t>
  </si>
  <si>
    <t>1-S. FOUNDATIONS- Materials supply</t>
  </si>
  <si>
    <t>Earthing rod assembly</t>
  </si>
  <si>
    <t>Tie rod anchoring plate on viaduct</t>
  </si>
  <si>
    <t>Single tie rod anchoring plate (pl-an)</t>
  </si>
  <si>
    <t>Double tie rod anchoring plate (pl-an2)</t>
  </si>
  <si>
    <t>Total Partial 1-S</t>
  </si>
  <si>
    <t>1-I. FOUNDATIONS - INSTALATION</t>
  </si>
  <si>
    <t>Cylindrical foundation for feeder wire, return wire and midpoint anchoring, including armor, concrete, formwork ... All necessary for full execution, executed from the track, in normal soil.</t>
  </si>
  <si>
    <t>Cylindrical foundation for contact wire and messenger wire anchoring, including armor, concrete, formwork ... All necessary for full execution, executed from the track, in normal soil.</t>
  </si>
  <si>
    <t>Mast anchor plate installation for mast in viaduct</t>
  </si>
  <si>
    <t>Tie rod anchoring plate in viaduct installacion</t>
  </si>
  <si>
    <t xml:space="preserve">
Supplement for foundation on rock with micro piles or rock drilling system for anchoring</t>
  </si>
  <si>
    <t>Total Partial 1-I</t>
  </si>
  <si>
    <t>TOTAL 1 FOUNDATION</t>
  </si>
  <si>
    <t>2 PORTALS, MAST AND SUPPORTS</t>
  </si>
  <si>
    <t>Varible lenght support on B-7 for one cantilever.Included one support, strut tube, steelworks, nuts and bolt necessary.</t>
  </si>
  <si>
    <t>Variable lenght support on B-7 for two cantilevers. Include one support, strut tube, steelworks, nuts and bolts necessary.</t>
  </si>
  <si>
    <t>Tunnel support for one cantilever. Include support, two strut tubes, attachament elements to tunnels, steelsworks,nuts and bolts necessary.</t>
  </si>
  <si>
    <t>Tunnel support for two cantilevers. Include support, two strut tubes, attachment elements to tunnel, steelworks, nuts and bolts necessary.</t>
  </si>
  <si>
    <t>Tie rod equipment. (general)</t>
  </si>
  <si>
    <t>Tie rod equipment. Type 1</t>
  </si>
  <si>
    <t>Tie rod equipment. Type 2</t>
  </si>
  <si>
    <t>Total Partial 2-S</t>
  </si>
  <si>
    <t>3 OVERHEAD CATENARY SYSTEM EQUIPMENT</t>
  </si>
  <si>
    <t>3-S. CANTILEVERS EQUIPMENT - MATERIALS SUPPLY</t>
  </si>
  <si>
    <t>Pull-off cantilever equipment (general)</t>
  </si>
  <si>
    <t>Pull-off cantilever equipment in open line</t>
  </si>
  <si>
    <t>Pull-off cantilever equipment in tunnel</t>
  </si>
  <si>
    <t>Pull-off cantilever equipment in portal</t>
  </si>
  <si>
    <t>Push-off cantilever equipment (general)</t>
  </si>
  <si>
    <t>Push-off cantilever equipment in open line</t>
  </si>
  <si>
    <t>Push-off cantilever equipment in tunnel</t>
  </si>
  <si>
    <t>Push-off cantilever equipment in portal</t>
  </si>
  <si>
    <t>Termination cantilever equipment (general)</t>
  </si>
  <si>
    <t>Termination cantilever in open line</t>
  </si>
  <si>
    <t>Termination cantilever in tunnel</t>
  </si>
  <si>
    <t>Termination cantilever in portal</t>
  </si>
  <si>
    <t>Swivel for two or three cantilevers on support. Include steelworks, nuts and bolts necessary for the support attachment.</t>
  </si>
  <si>
    <t>Supplement for cantilevers (distance &lt; 5 m).</t>
  </si>
  <si>
    <t>Total Partial 3-S</t>
  </si>
  <si>
    <t>4 CATENARY</t>
  </si>
  <si>
    <t>4-S. CATENARY - MATERIALS SUPPLY</t>
  </si>
  <si>
    <t>Messenger wire Bz-70 and contact wire 120 Cu-Ag</t>
  </si>
  <si>
    <t>Equipotential dropper Bz-10</t>
  </si>
  <si>
    <t>Equipotential dropper Bz-10 for stitch wire</t>
  </si>
  <si>
    <t>Catenary anchor with automatic tensioning device</t>
  </si>
  <si>
    <t>Catenary anchor without automatic tensioning device</t>
  </si>
  <si>
    <t>Midpoint equipment</t>
  </si>
  <si>
    <t>Catenary anchor with automatic tensioning device in tunnel</t>
  </si>
  <si>
    <t>Catenary anchor without automatic tensioning device in tunnel</t>
  </si>
  <si>
    <t>Midpoint equipment in tunnel</t>
  </si>
  <si>
    <t>Total Partial 4-S</t>
  </si>
  <si>
    <t>5 FEEDERS AND RETURN WIRES</t>
  </si>
  <si>
    <t>5-S. FEEDERES AND RETURN WIRES - MATERIALS SUPPLY</t>
  </si>
  <si>
    <t>Return wire LA-280</t>
  </si>
  <si>
    <t>Feeder LA-280</t>
  </si>
  <si>
    <t>Feeder Cu-300</t>
  </si>
  <si>
    <t>Return wire anchor for one wire LA-280</t>
  </si>
  <si>
    <t>Return wire anchor for two wires LA-280</t>
  </si>
  <si>
    <t>Feeder anchor for one wire LA-280</t>
  </si>
  <si>
    <t>Feeder anchor for one wire Cu-300</t>
  </si>
  <si>
    <t>Return wire anchor for one wire LA-280 in tunnel</t>
  </si>
  <si>
    <t>Return wire anchor for two wires LA-280 in tunnel</t>
  </si>
  <si>
    <t>Feeder anchor for one wire LA-280 in tunnel</t>
  </si>
  <si>
    <t>Suspension for two return wire (LA-280) in tunnel</t>
  </si>
  <si>
    <t xml:space="preserve">Support for suspension feeder in portal  LPN 60/80 </t>
  </si>
  <si>
    <t>Total Partial 5-S</t>
  </si>
  <si>
    <t>6 FEEDERS- CONNECTIONS TO CATENARY AND SWITCHERS</t>
  </si>
  <si>
    <t>6-S. FEEDERS- CONNECTIONS TO CATENARY AND SWITCHERS - MATERIALS SUPPLY</t>
  </si>
  <si>
    <t>Substation return wire</t>
  </si>
  <si>
    <t>Overlap connection</t>
  </si>
  <si>
    <t xml:space="preserve">
Cable for feeding engines disconnectors</t>
  </si>
  <si>
    <t>Voltage detector</t>
  </si>
  <si>
    <t>Total Partial 6-S</t>
  </si>
  <si>
    <t>7 PROTECTIONS</t>
  </si>
  <si>
    <t>7-S. PROTECTIONS - MATERIALS SUPPLY</t>
  </si>
  <si>
    <t>Rail paralleling connections</t>
  </si>
  <si>
    <t>Support connection in tunnel</t>
  </si>
  <si>
    <t>Connection in tunnel(for automatic tensioning device anchor)</t>
  </si>
  <si>
    <t>Connection in tunnel (for fixed anchor)</t>
  </si>
  <si>
    <t>Connection in tunnel (for midpoint)</t>
  </si>
  <si>
    <t>Connection in tunner (for handrail)</t>
  </si>
  <si>
    <t>Connection in tunnel for 2 supports</t>
  </si>
  <si>
    <t>Return wire paralleling in tunnel with 2 connections to rail</t>
  </si>
  <si>
    <t>Expansion joint jumper</t>
  </si>
  <si>
    <t>Connection from earthing wire to rail</t>
  </si>
  <si>
    <t>Equipotential surface for worker operation on portal ( 3 m lenght)</t>
  </si>
  <si>
    <t>Equipotential surface for worker operation on portal ( 5 m lenght)</t>
  </si>
  <si>
    <t>Messenger wire and feeder isolement in overbridges and low clearance areas.</t>
  </si>
  <si>
    <t>Overbridge protection ( 1 per track)</t>
  </si>
  <si>
    <t>Portal for catenary protections in level crossing</t>
  </si>
  <si>
    <t>Blanket isolation of  2x1m with15 mm thickness</t>
  </si>
  <si>
    <t>Signals (catenary finish, neutral zone,... )</t>
  </si>
  <si>
    <t>Total Partial 7-S</t>
  </si>
  <si>
    <t>TOTAL CHAPTER  CATENARY</t>
  </si>
  <si>
    <t>Pole anchoring plate on viaduct</t>
  </si>
  <si>
    <t>Cylindrical foundation for C1 to C4 Pole, including armor, concrete, formwork ... All necessary for full execution from the track, in normal soil.</t>
  </si>
  <si>
    <t>Cylindrical foundation for C5 to C7 Pole, including armor, concrete, formwork ... All necessary for full execution from the track, in normal soil.</t>
  </si>
  <si>
    <t>Special foundation for 20 to 25 m Pole on gantry., including armor, concrete, formwork ... All necessary for full execution from the track, normal soil.</t>
  </si>
  <si>
    <t>Special foundation for 25 to 30 m Pole on gantry., including armor, concrete, formwork ... All necessary for full execution from the track, normal soil.</t>
  </si>
  <si>
    <t>Special foundation for 30 to 40 m Pole on gantry., including armor, concrete, formwork ... All necessary for full execution from the track, normal soil.</t>
  </si>
  <si>
    <t xml:space="preserve">
Supplement for foundation on rock with micro piles or rock drilling system for Pole Type C1 to C4</t>
  </si>
  <si>
    <t xml:space="preserve">
Supplement for foundation on rock with micro piles or rock drilling system for Pole Type C5 to C7</t>
  </si>
  <si>
    <t>2-S. PoleS, PORTALS AND ANCHORING SUPPORTS - MATERIALS SUPPLY</t>
  </si>
  <si>
    <t>Pole  HEB-220 (8.2 m. height)</t>
  </si>
  <si>
    <t>Pole HEB-220 (7,6 m height in viaduct)</t>
  </si>
  <si>
    <t>Pole HEB-220 (8.2 m with automatic tensioning device)</t>
  </si>
  <si>
    <t>Pole HEB-220 (7.6 m height in viaduct with automatic tensioning device)</t>
  </si>
  <si>
    <t>Pole HEB-240 (8.2 m height)</t>
  </si>
  <si>
    <t>Pole HEB-240 (7.6 m height in viaduct)</t>
  </si>
  <si>
    <t>Pole HEB-240 (8.2 m height with automatic tensioning device)</t>
  </si>
  <si>
    <t>Pole HEB-240 (7.6 m height in viaduct with automatic tensioning device)</t>
  </si>
  <si>
    <t>Pole 2HEB-240 (8.2 m height)</t>
  </si>
  <si>
    <t>Pole HEB-260 (8.2 m height)</t>
  </si>
  <si>
    <t>Pole HEB-260 (7.6 m height in viaduct)</t>
  </si>
  <si>
    <t>Pole HEB-260 (8.2 m height with automatic tensioning device)</t>
  </si>
  <si>
    <t>Pole HEB-260 (7.6 m height in viaduct with automatic tensioning device)</t>
  </si>
  <si>
    <t>Pole 2HEB-260 (8.2 m height)</t>
  </si>
  <si>
    <t>Pole HEB-280 (8.2 m height)</t>
  </si>
  <si>
    <t>Pole HEB-280 (7.6 m height in viaduct)</t>
  </si>
  <si>
    <t>Pole HEB-280 (8.2 m height with automatic tensioning device)</t>
  </si>
  <si>
    <t>Pole HEB-280 (8.2 m height in viaduct with automatic tensioning device)</t>
  </si>
  <si>
    <t>Pole HEB-300 (8.2 m height)</t>
  </si>
  <si>
    <t>Pole HEB-300 (7.6 m height in viaduct)</t>
  </si>
  <si>
    <t>Pole HEB-300 de (8.2 m height with automatic tensioning device)</t>
  </si>
  <si>
    <t>Pole HEB-300 (7.6 m height in viaduct with automatic tensioning device)</t>
  </si>
  <si>
    <t>Pole HEB-240 (9.2 m height)</t>
  </si>
  <si>
    <t>Pole HEB-260 (9.2 m height)</t>
  </si>
  <si>
    <t>Pole HEB-280 (9.2 m height)</t>
  </si>
  <si>
    <t>Pole HEB-320 (9.2 m height)</t>
  </si>
  <si>
    <t>Pole 2HEB-320 (for anchoring on buffer stop)</t>
  </si>
  <si>
    <t>Pole  2HEB-320 for portal PR-3 / PR-4</t>
  </si>
  <si>
    <t>Pole 2HEB-550 for 40 m lenght portals</t>
  </si>
  <si>
    <t>Pole for special portals on substations</t>
  </si>
  <si>
    <t>Supplement for cantilever on Pole (&lt;5 m lenght)</t>
  </si>
  <si>
    <t>Acopio, izado y nivelado de Polee HEB-220 a HEB-260</t>
  </si>
  <si>
    <t>Acopio, izado y nivelado de Polee HEB-280 a HEB-320</t>
  </si>
  <si>
    <t>Acopio, izado y nivelado de Polee Especial 2HEB-320 de anclaje en topera</t>
  </si>
  <si>
    <t>Acopio, izado y nivelado de Polee 2HEB-320 para pórticos PR-3 / PR-4</t>
  </si>
  <si>
    <t>Acopio, izado y nivelado de Polee 2HEB-550 para pórticos DE 40M</t>
  </si>
  <si>
    <t xml:space="preserve">Acopio, izado y nivelado de Polee de SSEE. </t>
  </si>
  <si>
    <t>Instalación de suplemento de ménsula (hasta 5m de gálibo) en Polee</t>
  </si>
  <si>
    <t>Colocación de bulón en Polee</t>
  </si>
  <si>
    <t>TOTAL 2 PoleES, PÓRTICOS Y SILLETAS</t>
  </si>
  <si>
    <t>Swivel for two or three cantilevers on Pole. Include steelworks,nuts and bolts necessary to Pole attachment.</t>
  </si>
  <si>
    <t>Suspension for one return wire (LA-280) on Pole</t>
  </si>
  <si>
    <t>Suspension for two return wire (LA-280) on Pole</t>
  </si>
  <si>
    <t>Acopio, tendido, tensado y regulado de un cable de retorno LA-280, incluyendo el montaje de la pinza de suspensión en Polee</t>
  </si>
  <si>
    <t>Acopio, tendido, tensado y regulado de dos cables de retorno LA-280, incluyendo el montaje de la pinza de suspensión en Polee</t>
  </si>
  <si>
    <t>Acopio, tendido, tensado y regulado de feeder de refuerzo,  incluyendo el montaje de la cadena de aisladores y pinza de suspensión en cruceta del Polee</t>
  </si>
  <si>
    <t>Instalación de Pórtico de alimentación para 2 cables de llegada, incluídos los 2 pórticos de 3m y los transversales, n.i. los Polees ni los seccionadores</t>
  </si>
  <si>
    <t>Instalación de Pórtico de alimentación para 4 cables de llegada, incluídos los 2 pórticos de 5m y los transversales, n.i. los Polees ni los seccionadores</t>
  </si>
  <si>
    <t>Earthing connection on viaduct (Handrail or Pole)</t>
  </si>
  <si>
    <t>Pole earthing on platform</t>
  </si>
  <si>
    <t>Rail to Pole connection</t>
  </si>
  <si>
    <t>Connection from Pole to earthing wire in viaduct</t>
  </si>
  <si>
    <t>Equipotential surface for worker operation on Pole</t>
  </si>
  <si>
    <t>Autovalve assembly, including fasteners to the Pole or gantry.</t>
  </si>
  <si>
    <t>Cover for Pole on platform</t>
  </si>
  <si>
    <t>Acopio y montaje de conexión de Polee a carril</t>
  </si>
  <si>
    <t>Acopio y montaje de conexión de Polee o anclaje a cable colector en viaducto</t>
  </si>
  <si>
    <t>Acopio y montaje de superficie equipotencial en Polee</t>
  </si>
  <si>
    <t>Isolated cable for 25/45 kV of Cu 300 mm2 section, included earthing connection and fasteners.</t>
  </si>
  <si>
    <t>km Isolated cable RHZ1FA3Z1-25/45 KV Cu 1x300 mm2 with unions</t>
  </si>
  <si>
    <t>Feeding Portal and Paralelling Portal for 2 tracks, including 2 portals of 3 m with disconectors</t>
  </si>
  <si>
    <t>Feeding Portal and Paralelling Portal for 3 tracks, including 2 portals of 3 m with disconectors</t>
  </si>
  <si>
    <t xml:space="preserve">Pórtico de alimentación y pp para 3 vías, incluídos los 2 pórticos de 5 m, los seccionadores y los transversales, n.i. los postes </t>
  </si>
  <si>
    <t>Paralelling Conection for 2 tracks, including supports, disconectors and wires</t>
  </si>
  <si>
    <t>Paralelling Conection for 4 tracks, including supports, disconectors and wires</t>
  </si>
  <si>
    <t>Armor earthing with overbridge</t>
  </si>
  <si>
    <t>SurgeA</t>
  </si>
  <si>
    <t>LoadB</t>
  </si>
  <si>
    <t>VoltageD</t>
  </si>
  <si>
    <t>Embankment</t>
  </si>
  <si>
    <t>Anchorage foundation</t>
  </si>
  <si>
    <t>1.6. Pórticos (m)</t>
  </si>
  <si>
    <t>ED</t>
  </si>
  <si>
    <t>Matrix Relation</t>
  </si>
  <si>
    <t>PL;M3;M5;M6</t>
  </si>
  <si>
    <t>*0 V</t>
  </si>
  <si>
    <t>Indicar cada cola</t>
  </si>
  <si>
    <t>Date</t>
  </si>
  <si>
    <t>PLAIN TERRAIN</t>
  </si>
  <si>
    <t>PT</t>
  </si>
  <si>
    <t>EMBANKMENT</t>
  </si>
  <si>
    <t>Matrix</t>
  </si>
  <si>
    <t>STRAIGH ARM PH</t>
  </si>
  <si>
    <t>CURVE ARM BC</t>
  </si>
  <si>
    <t>Description changes</t>
  </si>
  <si>
    <t>Nº Revision</t>
  </si>
  <si>
    <t>You must use these formula in row6 and column as you can see, AC, AD, AE</t>
  </si>
  <si>
    <t>Suspensión de cable de retorno LA-280 en hastial de túnel</t>
  </si>
  <si>
    <t>Suspensión de cable de retorno LA-280 en silleta túnel</t>
  </si>
  <si>
    <t xml:space="preserve">RW1T-S o RW2T-SC / RW2T-S (2x) </t>
  </si>
  <si>
    <t>C-559b</t>
  </si>
  <si>
    <t>PH-Q</t>
  </si>
  <si>
    <t>PH-C</t>
  </si>
  <si>
    <t>Se pone 1 por cada cola</t>
  </si>
  <si>
    <t>Se pone 1 por cada 2 colas -- 2x</t>
  </si>
  <si>
    <t>Suspension for one return wire (LA-280) in tunnel in support</t>
  </si>
  <si>
    <t>Suspensión de un cable de retorno LA-280 en túnel en silleta</t>
  </si>
  <si>
    <t>Suspensión de un cable de retorno LA-280 en túnel en techo</t>
  </si>
  <si>
    <t>5-S.14b</t>
  </si>
  <si>
    <t>Suspension for one return wire (LA-280) in tunnel in ceiling</t>
  </si>
  <si>
    <t>Aparellaje para seccionador monopolar en poste con feeder</t>
  </si>
  <si>
    <t xml:space="preserve">Aparellaje de conjunto de seccionador monopolar  y Earthing Device en mismo poste (Sin feeder) </t>
  </si>
  <si>
    <t>6-S.07c</t>
  </si>
  <si>
    <t>Disconnector, Connections and transmission mortor drive   (without feeder)</t>
  </si>
  <si>
    <t>Disconnector, Connections and transmission mortor drive in tunnel</t>
  </si>
  <si>
    <t>Earthing device, Connections and transmission mortor drive   in tunnel</t>
  </si>
  <si>
    <t>Disconnector and Earthing Device in same pole, Connections and transmission mortor drive   (without feeder)</t>
  </si>
  <si>
    <t>Load Breaker with earth conection, Connections and transmission mortor drive</t>
  </si>
  <si>
    <t>Equipo Puesta a tierra (Earthing device)</t>
  </si>
  <si>
    <t>Straigh Arm</t>
  </si>
  <si>
    <t>Curve Arm</t>
  </si>
  <si>
    <t>Angled Arm</t>
  </si>
  <si>
    <t>Angled Curve Arm</t>
  </si>
  <si>
    <t>PH</t>
  </si>
  <si>
    <t>BC</t>
  </si>
  <si>
    <t>POLIGONAL ARM PH-Q</t>
  </si>
  <si>
    <t>POLIGONAL ARM PH-C</t>
  </si>
  <si>
    <t>CONEXIONES</t>
  </si>
  <si>
    <t>SUSPENSIONES</t>
  </si>
  <si>
    <t>BRAZOS MENS</t>
  </si>
  <si>
    <t>Connections of Disconnector &amp; Earthing Device in same plo</t>
  </si>
  <si>
    <t>Earthing Device</t>
  </si>
  <si>
    <t>Suspension return wire LA-280 in support in tunnel</t>
  </si>
  <si>
    <t>Suspension return wire LA-280 in ceiling in tunnel</t>
  </si>
  <si>
    <t>RW1T-c o RW2T-SC/ RW2T-c (2x)</t>
  </si>
  <si>
    <t>PH-950</t>
  </si>
  <si>
    <t>PH-1000</t>
  </si>
  <si>
    <t>PH-1050</t>
  </si>
  <si>
    <t>PH-1100</t>
  </si>
  <si>
    <t>PH-1150</t>
  </si>
  <si>
    <t>PH-1200</t>
  </si>
  <si>
    <t>PH-1250</t>
  </si>
  <si>
    <t>PH-1300</t>
  </si>
  <si>
    <t>PH-1350</t>
  </si>
  <si>
    <t>PH-1400</t>
  </si>
  <si>
    <t>PH-1450</t>
  </si>
  <si>
    <t>PH-1500</t>
  </si>
  <si>
    <t>IO</t>
  </si>
  <si>
    <t>Aparellaje para acometida de feeder en poste para 1 vía (incluido paso aislado a desnudo)</t>
  </si>
  <si>
    <t>Aparellaje para acometida de feeder a depot (incluido paso aislado a desnudo con pat y bajada a tierra)</t>
  </si>
  <si>
    <t>Feeding Portal and Paralelling Portal for 3 m used with Transmission Mechanism</t>
  </si>
  <si>
    <t>Feeding Portal and Paralelling Portal for 3 m used without Transmission Mechanism</t>
  </si>
  <si>
    <t>Feeding Portal and Paralelling Portal for 5m used with Transmission Mechanism</t>
  </si>
  <si>
    <t>Feeding Portal and Paralelling Portal for 5m used without Transmission Mechanism</t>
  </si>
  <si>
    <t>2-S.02f</t>
  </si>
  <si>
    <t>Poste Especial 2HEB-240 DE S.E.  de 7.6 m. de altura - viaducto</t>
  </si>
  <si>
    <t>2-S.03f</t>
  </si>
  <si>
    <t>Poste Especial 2HEB-260 DE S.E.  de 7.6 m. de altura - viaducto</t>
  </si>
  <si>
    <t>Poste Tipo HEB-220 de 7.6 m. de altura - viaducto</t>
  </si>
  <si>
    <t>Poste Tipo HEB-220 de 7.6 m. de altura - viaducto y compensacion</t>
  </si>
  <si>
    <t>Poste Tipo HEB-240 de 7.6 m. de altura - viaducto</t>
  </si>
  <si>
    <t>Poste Tipo HEB-240 de 7.6 m. de altura - viaducto y compensacion</t>
  </si>
  <si>
    <t>Poste Tipo HEB-260 de 7.6 m. de altura - viaducto</t>
  </si>
  <si>
    <t>Poste Tipo HEB-260 de 7.6 m. de altura - viaducto y compensacion</t>
  </si>
  <si>
    <t>Poste Tipo HEB-280 de 7.6 m. de altura - viaducto</t>
  </si>
  <si>
    <t>Poste Tipo HEB-280 de 7.6 m. de altura - viaducto y compensacion</t>
  </si>
  <si>
    <t>Poste Tipo HEB-300 de 7.6 m. de altura - viaducto</t>
  </si>
  <si>
    <t>Poste Tipo HEB-300 de 7.6 m. de altura - viaducto y compensacion</t>
  </si>
  <si>
    <t>20-1.05</t>
  </si>
  <si>
    <t>2HEB-320L</t>
  </si>
  <si>
    <t>2HEB-280 V</t>
  </si>
  <si>
    <t>Disc</t>
  </si>
  <si>
    <t>2HEB-300 V (CP)</t>
  </si>
  <si>
    <t>C-218-V</t>
  </si>
  <si>
    <t>C-219-VCP</t>
  </si>
  <si>
    <t>2-S.04d</t>
  </si>
  <si>
    <t>Poste Tipo 2HEB-280 de 7.6 m. de altura - viaducto</t>
  </si>
  <si>
    <t>2-S.05d</t>
  </si>
  <si>
    <t>Poste Tipo 2HEB-300 de 7.6 m. de altura - viaducto y compensacion</t>
  </si>
  <si>
    <t>Poste Especial para B7</t>
  </si>
  <si>
    <t>Pole 2HEB-300 (7.6 m height in viaduct with automatic tensioning device)</t>
  </si>
  <si>
    <t>Pole 2HEB-280 (7.6 m height in viaduct)</t>
  </si>
  <si>
    <t>Pole for special semi portals B7</t>
  </si>
  <si>
    <t>C-212-B7</t>
  </si>
  <si>
    <t>2-S.13b</t>
  </si>
  <si>
    <t>Pole 2HEB-240 (7.6 m height)</t>
  </si>
  <si>
    <t>Pole 2HEB-260 (7.6 m height)</t>
  </si>
  <si>
    <t>CALCULAR:</t>
  </si>
  <si>
    <t>CTRL+ALT+F9</t>
  </si>
  <si>
    <t>AnRW2</t>
  </si>
  <si>
    <t>AnM_L</t>
  </si>
  <si>
    <t>AnMC_L</t>
  </si>
  <si>
    <t>C3R</t>
  </si>
  <si>
    <t>C4R</t>
  </si>
  <si>
    <t>C7R</t>
  </si>
  <si>
    <t>C5R</t>
  </si>
  <si>
    <t>C3_L</t>
  </si>
  <si>
    <t>C4_L</t>
  </si>
  <si>
    <t>HEB-240 VL</t>
  </si>
  <si>
    <t>HEB-260 VL</t>
  </si>
  <si>
    <t>C2H-240_L</t>
  </si>
  <si>
    <t>C5_L</t>
  </si>
  <si>
    <t>C6_L</t>
  </si>
  <si>
    <t>C7_L</t>
  </si>
  <si>
    <t>PI FOUNDATION</t>
  </si>
  <si>
    <t>HEB-280 VL</t>
  </si>
  <si>
    <t>HEB-300 VL</t>
  </si>
  <si>
    <t>AnRW / AnRW2</t>
  </si>
  <si>
    <t>Equipo tensorex  (2 tensorex en BD)</t>
  </si>
  <si>
    <t>dist-CR</t>
  </si>
  <si>
    <t>T-2A-INT-2</t>
  </si>
  <si>
    <t>PLT-1</t>
  </si>
  <si>
    <t>PLT-2</t>
  </si>
  <si>
    <t>PLT-3</t>
  </si>
  <si>
    <t>PLT-4</t>
  </si>
  <si>
    <t>Silleta en L para HEB-240</t>
  </si>
  <si>
    <t>Silleta en L para HEB-280, 300 y 320</t>
  </si>
  <si>
    <t>Distanciador de cable de retorno en postes con anclaje compensado</t>
  </si>
  <si>
    <t>Poste HEB-240L de base a definir y altura a definir según viaducto</t>
  </si>
  <si>
    <t>Rejilla de CP en viaducto</t>
  </si>
  <si>
    <t>Cimentación Tipo Puente, confirmar si se va a realizar</t>
  </si>
  <si>
    <t>PLT-A</t>
  </si>
  <si>
    <t>Silleta en L para Anclaje, confirmar si se va a realizar</t>
  </si>
  <si>
    <t>Tirante intermedio para anclajes de longitud 2 m</t>
  </si>
  <si>
    <t>Rejilla en viaducto</t>
  </si>
  <si>
    <t>RECUENTO DE CONJUNTOS y PIEZAS ESPECIALES DE CATENARIA</t>
  </si>
  <si>
    <t>CP/TX*</t>
  </si>
  <si>
    <t>4-S.12</t>
  </si>
  <si>
    <t>Tensorex equipment in tunnel</t>
  </si>
  <si>
    <t>Tensorex equipment in pole</t>
  </si>
  <si>
    <t>C-420</t>
  </si>
  <si>
    <t>Soporte para un equipo de tensorex sencillo en poste</t>
  </si>
  <si>
    <t>Silleta en L para 2HEB-240</t>
  </si>
  <si>
    <t>Poste HEB-260L de base a definir y altura a definir según viaducto</t>
  </si>
  <si>
    <t>Poste HEB-280L de base a definir y altura a definir según viaducto</t>
  </si>
  <si>
    <t>Poste HEB-300L de base a definir y altura a definir según viaducto</t>
  </si>
  <si>
    <t>Silleta en L para HEB-260</t>
  </si>
  <si>
    <t>REJ</t>
  </si>
  <si>
    <t>C4RT</t>
  </si>
  <si>
    <t>C3RT</t>
  </si>
  <si>
    <t>C5RT</t>
  </si>
  <si>
    <t>Edited by</t>
  </si>
  <si>
    <t>C7RT</t>
  </si>
  <si>
    <t>PL3</t>
  </si>
  <si>
    <t>Soporte para poste HEB-240 en viaducto existente, de acuerdo al plano GAS0164.</t>
  </si>
  <si>
    <t>GAS0164</t>
  </si>
  <si>
    <t>PL4</t>
  </si>
  <si>
    <t>Soporte para poste HEB-260 en viaducto existente, de acuerdo al plano GAS0164.</t>
  </si>
  <si>
    <t>VIADUCTO EXISTENTE</t>
  </si>
  <si>
    <t>PL5</t>
  </si>
  <si>
    <t>Soporte para poste HEB-280 en viaducto existente, de acuerdo al plano GAS0164.</t>
  </si>
  <si>
    <t>PL6</t>
  </si>
  <si>
    <t>Soporte para poste HEB-300 en viaducto existente, de acuerdo al plano GAS0164.</t>
  </si>
  <si>
    <t>PL2H240</t>
  </si>
  <si>
    <t>Soporte para poste 2xHEB-240 en viaducto existente, de acuerdo al plano GAS0164.</t>
  </si>
  <si>
    <t>PL2H280</t>
  </si>
  <si>
    <t>Soporte para poste 2xHEB-280 en viaducto existente, de acuerdo al plano GAS0164.</t>
  </si>
  <si>
    <t>PL2H300</t>
  </si>
  <si>
    <t>Soporte para poste 2xHEB-300 en viaducto existente, de acuerdo al plano GAS0164.</t>
  </si>
  <si>
    <t>W4</t>
  </si>
  <si>
    <t>W5</t>
  </si>
  <si>
    <t>WD3</t>
  </si>
  <si>
    <t>Soporte para poste HEB-240 en canaleta de drenaje existente.</t>
  </si>
  <si>
    <t>WD4</t>
  </si>
  <si>
    <t>Soporte para poste HEB-260 en canaleta de drenaje existente.</t>
  </si>
  <si>
    <t>WD5</t>
  </si>
  <si>
    <t>Soporte para poste HEB-280 en canaleta de drenaje existente.</t>
  </si>
  <si>
    <t>C-202-VL</t>
  </si>
  <si>
    <t>C-203-VL</t>
  </si>
  <si>
    <t>C-204-VL</t>
  </si>
  <si>
    <t>C-205-VL</t>
  </si>
  <si>
    <t>C-218-VL</t>
  </si>
  <si>
    <t>C-219-VL</t>
  </si>
  <si>
    <t>Soporte para una ménsula en Pórtico Rígido para pórtico tipo B/C</t>
  </si>
  <si>
    <t>Soporte para dos ménsulas en Pórtico Rígido para pórtico tipo B/C</t>
  </si>
  <si>
    <t>Soporte para una ménsula en Pórtico Rígido para pórtico tipo D</t>
  </si>
  <si>
    <t>Soporte para dos ménsulas en Pórtico Rígido para pórtico tipo D</t>
  </si>
  <si>
    <t>C-272b</t>
  </si>
  <si>
    <t>Soporte para una ménsula en Pórtico Rígido para pórtico tipo E</t>
  </si>
  <si>
    <t>C-273b</t>
  </si>
  <si>
    <t>Soporte para dos ménsulas en Pórtico Rígido para pórtico tipo E</t>
  </si>
  <si>
    <t>Soporte en túnel para dos ménsulas (2*)</t>
  </si>
  <si>
    <t>CP/TX-W</t>
  </si>
  <si>
    <t>C-419</t>
  </si>
  <si>
    <t>Soporte para un equipo de tensorex sencillo en pared</t>
  </si>
  <si>
    <t>ud</t>
  </si>
  <si>
    <r>
      <t>Pórtico rígido tipo A (de 9 a 11 m)</t>
    </r>
    <r>
      <rPr>
        <sz val="11"/>
        <color indexed="10"/>
        <rFont val="ISOCPEUR"/>
        <family val="2"/>
      </rPr>
      <t xml:space="preserve"> </t>
    </r>
  </si>
  <si>
    <t>2-S.14b</t>
  </si>
  <si>
    <t>Pórtico rígido tipo A (de 11 a 13 m)</t>
  </si>
  <si>
    <t>2-S.14c</t>
  </si>
  <si>
    <t>Portico rígido tipo B (de 13 a 15 m)</t>
  </si>
  <si>
    <t>Pórtico rígido tipo B (de 15 a 17 m)</t>
  </si>
  <si>
    <t>2-S.15b</t>
  </si>
  <si>
    <t>Pórtico rígido tipo B (de 17 a 19 m)</t>
  </si>
  <si>
    <t>Pórtico Rígido Tipo tipo C (de 19 a 21 m)</t>
  </si>
  <si>
    <t>2-S.16b</t>
  </si>
  <si>
    <t>Pórtico Rígido Tipo C (de 21 a 23 m)</t>
  </si>
  <si>
    <t>2-S.16c</t>
  </si>
  <si>
    <t>Pórtico Rígido Tipo D (de 23 a 25 m)</t>
  </si>
  <si>
    <t>Pórtico Rígido Tipo E (de 25 a 30 m)</t>
  </si>
  <si>
    <t>Pórtico Rígido Tipo E (de 30 a 34m)</t>
  </si>
  <si>
    <t>2-S.18b</t>
  </si>
  <si>
    <t>Pórtico Rígido Tipo F (de 34 a 40m)</t>
  </si>
  <si>
    <t>2-S.18c</t>
  </si>
  <si>
    <t>Pórtico Rígido Tipo F (de 40 a 45m)</t>
  </si>
  <si>
    <t>Soporte de longitud variable en PR-B/C para una ménsula. Incluye una silleta, un jabalcón, los herrajes y la tornillería necesarios. (angular 60-80)</t>
  </si>
  <si>
    <t>Soporte de longitud variable en PR-D para una ménsula. Angular 100</t>
  </si>
  <si>
    <t>2-S.20a1</t>
  </si>
  <si>
    <t>Soporte de longitud variable en PR-E para una ménsula. Angular 100</t>
  </si>
  <si>
    <t>Soporte de longitud variable en PR B/C para dos ménsulas. Incluye una silleta, un jabalcón, los herrajes y la tornillería necesarios. (angular 60 a 80)</t>
  </si>
  <si>
    <t>Soporte de longitud variable en PR D para dos ménsulas. Incluye una silleta, un jabalcón, los herrajes y la tornillería necesarios. (angular 100)</t>
  </si>
  <si>
    <t>2-S.21a1</t>
  </si>
  <si>
    <t>Soporte de longitud variable en PR E para dos ménsulas. Incluye una silleta, un jabalcón, los herrajes y la tornillería necesarios. (angular 100)</t>
  </si>
  <si>
    <t>2-S.22b</t>
  </si>
  <si>
    <t>2-S.23b</t>
  </si>
  <si>
    <t>Equipo Tensorex para compensación de catenaria formado por dos módulos de tensión automática sin contrapesos, incluidos aisladores, cables y piecerío necesario en TUNEL</t>
  </si>
  <si>
    <t>4-S.11b</t>
  </si>
  <si>
    <t>Equipo Tensorex para compensación de catenaria formado por dos módulos de tensión automática sin contrapesos, incluidos aisladores, cables y piecerío necesario en MURO</t>
  </si>
  <si>
    <t>Equipo Tensorex para compensación de catenaria formado por dos módulos de tensión automática sin contrapesos, incluidos aisladores, cables y piecerío necesario en POSTE</t>
  </si>
  <si>
    <t>2-S.02a1</t>
  </si>
  <si>
    <t>Poste Tipo HEB-240 - VL en viaducto existente</t>
  </si>
  <si>
    <t>2-S.03a1</t>
  </si>
  <si>
    <t>Poste Tipo HEB-260 - VL en viaducto existente</t>
  </si>
  <si>
    <t>2-S.04a1</t>
  </si>
  <si>
    <t>Poste Tipo HEB-280 VL en viaducto existente</t>
  </si>
  <si>
    <t>2-S.04d1</t>
  </si>
  <si>
    <t>Poste Tipo 2HEB-280 VL en viaducto existente</t>
  </si>
  <si>
    <t>2-S.05a1</t>
  </si>
  <si>
    <t>Poste Tipo HEB-300 VL en viaducto existente</t>
  </si>
  <si>
    <t>2-S.05d1</t>
  </si>
  <si>
    <t>Poste Tipo 2HEB-300 VL en viaducto existente</t>
  </si>
  <si>
    <t>Pole HEB-240-VL in existing viaduct</t>
  </si>
  <si>
    <t>Pole HEB-260 VL in existing viaduct</t>
  </si>
  <si>
    <t>Pole HEB-280 VL in existing viaduct</t>
  </si>
  <si>
    <t>Pole HEB-300 VL in existing viaduct</t>
  </si>
  <si>
    <t>Pole 2HEB-300 VL in existing viaduct</t>
  </si>
  <si>
    <t xml:space="preserve">Portal type to (from 9 to 11 m) </t>
  </si>
  <si>
    <t>Portal type to (from 11 to 13 m)</t>
  </si>
  <si>
    <t>Portico rígido tipo B (from 13 to 15 m)</t>
  </si>
  <si>
    <t>Portal type B (from 15 to 17 m)</t>
  </si>
  <si>
    <t>Portal type B (from 17 to 19 m)</t>
  </si>
  <si>
    <t>Portal type tipo C (from 19 to 21 m)</t>
  </si>
  <si>
    <t>Portal type C (from 21 to 23 m)</t>
  </si>
  <si>
    <t>Portal type D (from 23 to 25 m)</t>
  </si>
  <si>
    <t>Portal type E (from 25 to 30 m)</t>
  </si>
  <si>
    <t>Portal type E (from 30 to 34m)</t>
  </si>
  <si>
    <t>Portal type F (from 34 to 40m)</t>
  </si>
  <si>
    <t>Portal type F (from 40 to 45m)</t>
  </si>
  <si>
    <t>Variable lenght support on PR-B/C for one cantilever. Included the support, strut tube, steelworks, nuts and bolts used. (LPN 60-80)</t>
  </si>
  <si>
    <t>Variable lenght support on PR-D to 4 for one cantilever. (LPN 100)</t>
  </si>
  <si>
    <t>Variable lenght support on PR-E to 4 for one cantilever. (LPN 100)</t>
  </si>
  <si>
    <t>Variable lenght support on PR-B/C for two cantilevers.Include one support, strut tube, steelworks, nuts and bolt necessary. (LPN 60 to 80)</t>
  </si>
  <si>
    <t>Varible lenght support on PR D for two cantilevers. Include one support, strut tube, steelworks, nuts and bolts necessary. (LPN 100)</t>
  </si>
  <si>
    <t>Varible lenght support on PR E for two cantilevers. Include one support, strut tube, steelworks, nuts and bolts necessary. (LPN 100)</t>
  </si>
  <si>
    <t>2-I. POLES, PÓRTICOS Y SILLETAS DE ANCLAJE - INSTALACION</t>
  </si>
  <si>
    <t>Tensorex equipment in WALL</t>
  </si>
  <si>
    <t>Soporte para dos aisladores de apoyo en pórtico tipo (B/C)</t>
  </si>
  <si>
    <t>Soporte para dos aisladores de apoyo en pórtico tipo (D)</t>
  </si>
  <si>
    <t>Soporte para dos aisladores de apoyo en pórtico tipo (E)</t>
  </si>
  <si>
    <t>C-635a</t>
  </si>
  <si>
    <t>C-635b</t>
  </si>
  <si>
    <t>C-635c</t>
  </si>
  <si>
    <t>Conjunto de anclaje de poste en viaducto (HEB-220 a HEB-240) (taladrando el tablero)</t>
  </si>
  <si>
    <t xml:space="preserve">Conjunto de anclaje de poste en viaducto (HEB-260 a HEB-300) (taladrando el tablero) </t>
  </si>
  <si>
    <t xml:space="preserve">Conjunto de anclaje de poste en viaducto (HEB-320) (taladrando el tablero)  </t>
  </si>
  <si>
    <t>Poste Tipo HEB-240 de 9 a 10 m. de altura</t>
  </si>
  <si>
    <t>Poste Tipo HEB-260 de 9 a10 m. de altura</t>
  </si>
  <si>
    <t>Poste Tipo HEB-280 de 9 a 10 m. de altura</t>
  </si>
  <si>
    <t>Poste Tipo HEB-320 de 9 a10 m. de altura</t>
  </si>
  <si>
    <t>(puntas de feeder) FS-1 + 2xFS/PP-2 + 2xFS/PP-3</t>
  </si>
  <si>
    <t>6-S.08a</t>
  </si>
  <si>
    <t>Load Breaker, Connections and transmission mortor drive in tunnel</t>
  </si>
  <si>
    <t>C-625a</t>
  </si>
  <si>
    <t xml:space="preserve">Aparellaje de  Earthing Device en poste (Sin feeder) </t>
  </si>
  <si>
    <t>ED+Disc</t>
  </si>
  <si>
    <t>C-625b</t>
  </si>
  <si>
    <t>Earthing device en poste, incluido el aparellaje necesario para su conexionado  a la catenaria.</t>
  </si>
  <si>
    <t>6-S.07d</t>
  </si>
  <si>
    <t>Seccionador monopolar de apertura en vacío y Earthing device en poste, incluido el aparellaje necesario para su conexionado  a la catenaria.</t>
  </si>
  <si>
    <t xml:space="preserve">Earthing Device in pole, Connections and transmission mortor drive </t>
  </si>
  <si>
    <t>AnMC-RT</t>
  </si>
  <si>
    <t>Overhead Cable</t>
  </si>
  <si>
    <t>Current Transformer</t>
  </si>
  <si>
    <t>CurrentT</t>
  </si>
  <si>
    <t>AnM-RT</t>
  </si>
  <si>
    <t>2HEB-320</t>
  </si>
  <si>
    <t>ED/T + ED</t>
  </si>
  <si>
    <t>LoadB/PP</t>
  </si>
  <si>
    <t>Approved by KEDMOR</t>
  </si>
  <si>
    <t>HEB-450LL</t>
  </si>
  <si>
    <t>C-213-CP</t>
  </si>
  <si>
    <t>C-219-V</t>
  </si>
  <si>
    <t>2HEB-280</t>
  </si>
  <si>
    <t>C-218</t>
  </si>
  <si>
    <t>C-202-CP</t>
  </si>
  <si>
    <t>C-214-L</t>
  </si>
  <si>
    <t>Poste Tipo HEB-300 de 9 a 10 m. de altura</t>
  </si>
  <si>
    <t>Pole HEB-300 (9.2 m height)</t>
  </si>
  <si>
    <t>S-1T-W</t>
  </si>
  <si>
    <t>S-2T-W</t>
  </si>
  <si>
    <t>S-1T-H</t>
  </si>
  <si>
    <t>S-2T-H</t>
  </si>
  <si>
    <t>AnMC/W</t>
  </si>
  <si>
    <t>AnM/W</t>
  </si>
  <si>
    <t>2W3</t>
  </si>
  <si>
    <t>W7</t>
  </si>
  <si>
    <t>S-1T-R</t>
  </si>
  <si>
    <t>S-2T-R</t>
  </si>
  <si>
    <t>WT3</t>
  </si>
  <si>
    <t>WT4</t>
  </si>
  <si>
    <t>WT5</t>
  </si>
  <si>
    <t>HEB-160 AT</t>
  </si>
  <si>
    <t>Soporte en muro para Tierra Armada</t>
  </si>
  <si>
    <t>Transformador de Intensidad</t>
  </si>
  <si>
    <t>C-213-L</t>
  </si>
  <si>
    <t>2HEB-240L</t>
  </si>
  <si>
    <t>2HEB-260L</t>
  </si>
  <si>
    <t>HEB-300LL</t>
  </si>
  <si>
    <t>2-S.02g</t>
  </si>
  <si>
    <t>2-S.06a</t>
  </si>
  <si>
    <t>2-S.07a</t>
  </si>
  <si>
    <t>2-S.08a</t>
  </si>
  <si>
    <t>2-S.08b</t>
  </si>
  <si>
    <t>C-209-LL</t>
  </si>
  <si>
    <t>Poste Tipo HEB-300 de x m. de altura</t>
  </si>
  <si>
    <t>Poste Especial 2HEB-240 DE S.E.  de 8.2 m. de altura y compensación</t>
  </si>
  <si>
    <t>Pole 2HEB-240 (7.6 m height with automatic tensioning device)</t>
  </si>
  <si>
    <t>Pole HEB-300 (x m height)</t>
  </si>
  <si>
    <t>Poste Tipo 2HEB-240 de 9 a 10 m. de altura</t>
  </si>
  <si>
    <t>Pole 2HEB-240 (9.2 m height)</t>
  </si>
  <si>
    <t>Poste Tipo 2HEB-260 de 9 a10 m. de altura</t>
  </si>
  <si>
    <t>Pole 2HEB-260 (9.2 m height)</t>
  </si>
  <si>
    <t>Soporte para poste 2HEB-240 en canaleta de drenaje existente.</t>
  </si>
  <si>
    <t>2W4</t>
  </si>
  <si>
    <t>2W7</t>
  </si>
  <si>
    <t>2WT3</t>
  </si>
  <si>
    <t>Soporte en cabeza de muro para poste 2HEB-240 en muro existente.</t>
  </si>
  <si>
    <t>2WT4</t>
  </si>
  <si>
    <t>Soporte en cabeza de muro para poste HEB-240 en muro existente.</t>
  </si>
  <si>
    <t>Soporte en cabeza de muro para poste HEB-260 en muro existente.</t>
  </si>
  <si>
    <t>Soporte en cabeza de muro para poste 2HEB-260 en muro existente.</t>
  </si>
  <si>
    <t>Soporte en cabeza de muro para poste HEB-280 en muro existente.</t>
  </si>
  <si>
    <t>Soporte en cabeza de muro para poste HEB-320L en muro existente.</t>
  </si>
  <si>
    <t>WT7</t>
  </si>
  <si>
    <t>2WT7</t>
  </si>
  <si>
    <t>Soporte en cabeza de muro para poste 2HEB-320L en muro existente.</t>
  </si>
  <si>
    <t>2WD3</t>
  </si>
  <si>
    <t>Soporte para poste 2HEB-260 en canaleta de drenaje existente.</t>
  </si>
  <si>
    <t>2WD4</t>
  </si>
  <si>
    <t>WD7</t>
  </si>
  <si>
    <t>Soporte para poste 2HEB-320L en canaleta de drenaje existente.</t>
  </si>
  <si>
    <t>2WD7</t>
  </si>
  <si>
    <t>Cimentacion Tipo AnM &amp; Soporte en L</t>
  </si>
  <si>
    <t>Cimentacion Tipo AnMC &amp; Soporte en L</t>
  </si>
  <si>
    <t>Placa de anclaje para tirante en canaleta de drenaje existente.</t>
  </si>
  <si>
    <t>Placa de anclaje en cabez de muro para tirante en muro existente.</t>
  </si>
  <si>
    <t>AnM/WT</t>
  </si>
  <si>
    <t>AnMC/WT</t>
  </si>
  <si>
    <t>AnM/WD</t>
  </si>
  <si>
    <t>AnMC/WD</t>
  </si>
  <si>
    <t>FOUNDATION IN L</t>
  </si>
  <si>
    <t>ANCLAJES EN TUNEL</t>
  </si>
  <si>
    <t>AnM/TX</t>
  </si>
  <si>
    <t>Anclaje en tunel / muro Tensorex</t>
  </si>
  <si>
    <t>Anclaje en tunel OCS CP / FP</t>
  </si>
  <si>
    <t>Anclaje en tunel CR / FN / MP</t>
  </si>
  <si>
    <t>ANCLAJE TX TUNEL / MURO</t>
  </si>
  <si>
    <t>Comprobacion</t>
  </si>
  <si>
    <t>Placa de anclaje para tirante en muro existente.</t>
  </si>
  <si>
    <t>Suplemento para Tirante en viaducto y AnRW2</t>
  </si>
  <si>
    <t>CP/Tunnel &amp; CP/TX-T</t>
  </si>
  <si>
    <t>TIRANTES</t>
  </si>
  <si>
    <t>PORTICOS</t>
  </si>
  <si>
    <t>POSTES</t>
  </si>
  <si>
    <t>TENSOREX</t>
  </si>
  <si>
    <t>COMPENSACION</t>
  </si>
  <si>
    <t>AISLAMIENTO</t>
  </si>
  <si>
    <t>AISLADOR SECCION</t>
  </si>
  <si>
    <t>(láminas de aire)</t>
  </si>
  <si>
    <t>C-276-H</t>
  </si>
  <si>
    <t>C-276-R</t>
  </si>
  <si>
    <t>C-276-W</t>
  </si>
  <si>
    <t>2-S.22c</t>
  </si>
  <si>
    <t>2-S.23c</t>
  </si>
  <si>
    <t>2-S.22d</t>
  </si>
  <si>
    <t>2-S.23d</t>
  </si>
  <si>
    <t>Soporte en muro para una ménsula tipo W. Incluye silleta, jabalcones, elementos de fijación a túnel, herrajes y tornillería necesarios.</t>
  </si>
  <si>
    <t>Soporte en muro para dos ménsulas tipo W. Incluye silleta,  jabalcones, elementos de fijación a túnel, herrajes y tornillería necesarios.</t>
  </si>
  <si>
    <t>Soporte en muro para una ménsula tipo R. Incluye silleta, jabalcones, elementos de fijación a túnel, herrajes y tornillería necesarios.</t>
  </si>
  <si>
    <t>Soporte en muro para dos ménsulas tipo R. Incluye silleta,  jabalcones, elementos de fijación a túnel, herrajes y tornillería necesarios.</t>
  </si>
  <si>
    <t>Soporte en muro para una ménsula tipo H. Incluye silleta, jabalcones, elementos de fijación a túnel, herrajes y tornillería necesarios.</t>
  </si>
  <si>
    <t>Soporte en muro para dos ménsulas tipo H. Incluye silleta,  jabalcones, elementos de fijación a túnel, herrajes y tornillería necesarios.</t>
  </si>
  <si>
    <t>Wall H support for two cantilevers. Include support, attachment elements to tunnel, steelworks, nuts and bolts necessary.</t>
  </si>
  <si>
    <t>Wall H support for one cantilevers. Include support, attachment elements to tunnel, steelworks, nuts and bolts necessary.</t>
  </si>
  <si>
    <t>Wall Wsupport for one cantilevers. Include support, attachment elements to tunnel, steelworks, nuts and bolts necessary.</t>
  </si>
  <si>
    <t>Wall W support for two cantilevers. Include support, attachment elements to tunnel, steelworks, nuts and bolts necessary.</t>
  </si>
  <si>
    <t>Wall R support for one cantilevers. Include support,attachment elements to tunnel, steelworks, nuts and bolts necessary.</t>
  </si>
  <si>
    <t>Wall R support for two cantilevers. Include support, attachment elements to tunnel, steelworks, nuts and bolts necessary.</t>
  </si>
  <si>
    <t>C-219-CP</t>
  </si>
  <si>
    <t>Poste Tipo 2HEB-300 de 8.2 m. de altura - compensacion</t>
  </si>
  <si>
    <t>Pole 2HEB-300 (8.2 m height with automatic tensioning device)</t>
  </si>
  <si>
    <t>2-S.05e</t>
  </si>
  <si>
    <t>2-S.04e</t>
  </si>
  <si>
    <t>Poste Tipo 2HEB-280 de 8.2 m. de altura</t>
  </si>
  <si>
    <t>Pole 2HEB-280 (8.2 m height)</t>
  </si>
  <si>
    <t>SUPPORTS IN DRENAIGE</t>
  </si>
  <si>
    <t>C-648</t>
  </si>
  <si>
    <t>6-S.13</t>
  </si>
  <si>
    <t>6-S.14</t>
  </si>
  <si>
    <t>Equipamiento ZN con Aisladores de Seccion</t>
  </si>
  <si>
    <t>Section Insulator Neutral Zone</t>
  </si>
  <si>
    <t>PL2H260</t>
  </si>
  <si>
    <t>Soporte para poste 2xHEB-260 en viaducto existente, de acuerdo al plano GAS0164.</t>
  </si>
  <si>
    <t>Accionamiento y transmisión para seccionador en portico Cat Estacion</t>
  </si>
  <si>
    <t>LoadB/PP-pr</t>
  </si>
  <si>
    <t>Aparellaje de conjunto de seccionador monopolar  AV en poste (Sin feeder)</t>
  </si>
  <si>
    <t>Aparellaje tipo de conjunto de seccionador monopolar  AV en portico Catenaria Estacion</t>
  </si>
  <si>
    <t>Aparellaje de conjunto de seccionador monopolar  AC en poste (Sin feeder)</t>
  </si>
  <si>
    <t>Aparellaje tipo de conjunto de seccionador monopolar  AC en portico Catenaria Estacion</t>
  </si>
  <si>
    <t>Connections of Load Breaker  (without feeder)</t>
  </si>
  <si>
    <t>Motor Drive and Transmission for Disconector/Load Breaker in OCS portal</t>
  </si>
  <si>
    <t>Connections of Disconnector  in OCS portal (without feeder)</t>
  </si>
  <si>
    <t>Connections of Load Breaker in OCS portal (without feeder)</t>
  </si>
  <si>
    <t xml:space="preserve">(puestas en paralelo) LoadB/PP* + 1xPP-2 + 5xPP-4 + 1xFS/PP-2 + 3xFS/PP-3 </t>
  </si>
  <si>
    <t>C-636</t>
  </si>
  <si>
    <t>C-637</t>
  </si>
  <si>
    <t>C-640b</t>
  </si>
  <si>
    <t>6-S.07e</t>
  </si>
  <si>
    <t>Seccionador monopolar de apertura en vacío en portico Catenaria, incluido el aparellaje necesario para su conexionado  a la catenaria.</t>
  </si>
  <si>
    <t>Disconnector, Connections and transmission mortor drive in catenary portal  (without feeder)</t>
  </si>
  <si>
    <t>6-S.08b</t>
  </si>
  <si>
    <t>Load Breaker, Connections and transmission mortor drive in catenary portal</t>
  </si>
  <si>
    <t>Load Breaker, Connections and transmission mortor drive in pole</t>
  </si>
  <si>
    <t>Disconnector, Connections and transmission mortor drive, transition cable</t>
  </si>
  <si>
    <t>Seccionador monopolar de apertura en vacio, incluido el aparellaje necesario para su conexionado a la catenaria desnudo a aislado.</t>
  </si>
  <si>
    <t>Seccionador monopolar de Apertura en Carga, incluido el aparellaje EN TÚNEL</t>
  </si>
  <si>
    <t>Seccionador monopolar de Apertura en Carga en poste, incluido el aparellaje necesario para su conexionado a la catenaria.</t>
  </si>
  <si>
    <t>Seccionador monopolar de Apertura en Carga en portico Catenaria, incluido el aparellaje necesario para su conexionado a la catenaria.</t>
  </si>
  <si>
    <t>6-S.07f</t>
  </si>
  <si>
    <t>Disc/t + LoadB/t</t>
  </si>
  <si>
    <t>Seccionador monopolar de AV en túnel</t>
  </si>
  <si>
    <t>C-638</t>
  </si>
  <si>
    <t>Soporte lateral para poste HEB-240 en muro existente.</t>
  </si>
  <si>
    <t>Soporte lateral para poste 2HEB-240 en muro existente.</t>
  </si>
  <si>
    <t>Soporte lateral para poste HEB-260 en muro existente.</t>
  </si>
  <si>
    <t>Soporte lateral para poste 2HEB-260 en muro existente.</t>
  </si>
  <si>
    <t>Soporte lateral para poste HEB-280 en muro existente.</t>
  </si>
  <si>
    <t>Soporte lateral para poste HEB-320L en muro existente.</t>
  </si>
  <si>
    <t>Soporte lateral para poste 2HEB-320L en muro existente.</t>
  </si>
  <si>
    <t>Soporte en muro para una ménsula Tipo W</t>
  </si>
  <si>
    <t>Soporte en muro para dos ménsulas Tipo W (2*)</t>
  </si>
  <si>
    <t>Soporte en muro para dos ménsulas Tipo H (2*)</t>
  </si>
  <si>
    <t>Soporte en muro para una ménsula Tipo H</t>
  </si>
  <si>
    <t>Soporte en muro para dos ménsulas Tipo R (2*)</t>
  </si>
  <si>
    <t>Soporte en muro para una ménsula Tipo R</t>
  </si>
  <si>
    <t>C-207-CP</t>
  </si>
  <si>
    <t>C-208-CP</t>
  </si>
  <si>
    <t>C-212-ESP</t>
  </si>
  <si>
    <t>2-S.07b</t>
  </si>
  <si>
    <t>Poste Tipo HEB-260 de 9 a10 m. de altura y compensacion</t>
  </si>
  <si>
    <t>Pole HEB-260 (9.2 m height  with automatic tensioning device)</t>
  </si>
  <si>
    <t>Pole HEB-300 (9.2 m height  with automatic tensioning device)</t>
  </si>
  <si>
    <t>Poste Tipo HEB-280 de 9 a10 m. de altura y compensacion</t>
  </si>
  <si>
    <t>2-S.08c</t>
  </si>
  <si>
    <t>2-S.13c</t>
  </si>
  <si>
    <t>Poste Especial 450LL</t>
  </si>
  <si>
    <t>Pole for special 450LL</t>
  </si>
  <si>
    <t>31/0172018</t>
  </si>
  <si>
    <t>A.O.</t>
  </si>
  <si>
    <t>Overcrossing</t>
  </si>
  <si>
    <t>Bretelle</t>
  </si>
  <si>
    <t xml:space="preserve">Hashalom </t>
  </si>
  <si>
    <t>Station</t>
  </si>
  <si>
    <t>Hahagana</t>
  </si>
  <si>
    <t>93-1.11</t>
  </si>
  <si>
    <t>94-1.01</t>
  </si>
  <si>
    <t>94-1.02</t>
  </si>
  <si>
    <t>94-1.03</t>
  </si>
  <si>
    <t>94-1.04</t>
  </si>
  <si>
    <t>94-1.05</t>
  </si>
  <si>
    <t>94-1.06</t>
  </si>
  <si>
    <t>94-1.07</t>
  </si>
  <si>
    <t>94-1.08</t>
  </si>
  <si>
    <t>94-1.09</t>
  </si>
  <si>
    <t>94-1.10</t>
  </si>
  <si>
    <t>94-1.11</t>
  </si>
  <si>
    <t>94-1.12</t>
  </si>
  <si>
    <t>94-1.13</t>
  </si>
  <si>
    <t>94-1.14</t>
  </si>
  <si>
    <t>95-1.01</t>
  </si>
  <si>
    <t>95-1.02</t>
  </si>
  <si>
    <t>95-1.03</t>
  </si>
  <si>
    <t>95-1.04</t>
  </si>
  <si>
    <t>95-1.05</t>
  </si>
  <si>
    <t>95-1.06</t>
  </si>
  <si>
    <t>95-1.07</t>
  </si>
  <si>
    <t>95-1.08</t>
  </si>
  <si>
    <t>95-1.09</t>
  </si>
  <si>
    <t>95-1.10</t>
  </si>
  <si>
    <t>95-1.11</t>
  </si>
  <si>
    <t>95-1.12</t>
  </si>
  <si>
    <t>95-1.13</t>
  </si>
  <si>
    <t>95-1.14</t>
  </si>
  <si>
    <t>95-1.15</t>
  </si>
  <si>
    <t>95-1.16</t>
  </si>
  <si>
    <t>95-1.17</t>
  </si>
  <si>
    <t>95-1.18</t>
  </si>
  <si>
    <t>95-1.19</t>
  </si>
  <si>
    <t>95-1.20</t>
  </si>
  <si>
    <t>95-1.21</t>
  </si>
  <si>
    <t>95-1.22</t>
  </si>
  <si>
    <t>95-1.23</t>
  </si>
  <si>
    <t>96-1.01</t>
  </si>
  <si>
    <t>96-1.02</t>
  </si>
  <si>
    <t>96-1.03</t>
  </si>
  <si>
    <t>96-1.04</t>
  </si>
  <si>
    <t>96-1.05</t>
  </si>
  <si>
    <t>96-1.06</t>
  </si>
  <si>
    <t>96-1.07</t>
  </si>
  <si>
    <t>96-1.08</t>
  </si>
  <si>
    <t>96-1.09</t>
  </si>
  <si>
    <t>96-1.10</t>
  </si>
  <si>
    <t>96-1.11</t>
  </si>
  <si>
    <t>96-1.12</t>
  </si>
  <si>
    <t>96-1.13</t>
  </si>
  <si>
    <t>96-1.14</t>
  </si>
  <si>
    <t>96-1.15</t>
  </si>
  <si>
    <t>96-1.16</t>
  </si>
  <si>
    <t>96-1.17</t>
  </si>
  <si>
    <t>96-1.18</t>
  </si>
  <si>
    <t>96-1.19</t>
  </si>
  <si>
    <t>96-1.20</t>
  </si>
  <si>
    <t>96-1.21</t>
  </si>
  <si>
    <t>96-1.22</t>
  </si>
  <si>
    <t>96-1.23</t>
  </si>
  <si>
    <t>97-1.01</t>
  </si>
  <si>
    <t>97-1.02</t>
  </si>
  <si>
    <t>97-1.03</t>
  </si>
  <si>
    <t>97-1.04</t>
  </si>
  <si>
    <t>97-1.05</t>
  </si>
  <si>
    <t>97-1.06</t>
  </si>
  <si>
    <t>97-1.07</t>
  </si>
  <si>
    <t>97-1.08</t>
  </si>
  <si>
    <t>97-1.09</t>
  </si>
  <si>
    <t>97-1.10</t>
  </si>
  <si>
    <t>97-1.11</t>
  </si>
  <si>
    <t>93-1.12</t>
  </si>
  <si>
    <t>93-1.13</t>
  </si>
  <si>
    <t>93-1.14</t>
  </si>
  <si>
    <t>93-1.15</t>
  </si>
  <si>
    <t>93-1.16</t>
  </si>
  <si>
    <t>93-1.17</t>
  </si>
  <si>
    <t>93-1.18</t>
  </si>
  <si>
    <t>93-1.19</t>
  </si>
  <si>
    <t>93-1.20</t>
  </si>
  <si>
    <t>93-1.21</t>
  </si>
  <si>
    <t>93-1.22</t>
  </si>
  <si>
    <t>93-1.23</t>
  </si>
  <si>
    <t>93-1.24</t>
  </si>
  <si>
    <t>94-1.15</t>
  </si>
  <si>
    <t>94-1.16</t>
  </si>
  <si>
    <t>94-1.17</t>
  </si>
  <si>
    <t>94-1.18</t>
  </si>
  <si>
    <t>94-1.19</t>
  </si>
  <si>
    <t>94-1.20</t>
  </si>
  <si>
    <t>94-1.21</t>
  </si>
  <si>
    <t>94-1.22</t>
  </si>
  <si>
    <t>94-1.23</t>
  </si>
  <si>
    <t>94-1.24</t>
  </si>
  <si>
    <t>93-2.12</t>
  </si>
  <si>
    <t>93-2.13</t>
  </si>
  <si>
    <t>93-2.14</t>
  </si>
  <si>
    <t>93-2.15</t>
  </si>
  <si>
    <t>93-2.16</t>
  </si>
  <si>
    <t>93-2.17</t>
  </si>
  <si>
    <t>93-2.18</t>
  </si>
  <si>
    <t>93-2.19</t>
  </si>
  <si>
    <t>93-2.20</t>
  </si>
  <si>
    <t>93-2.21</t>
  </si>
  <si>
    <t>93-2.22</t>
  </si>
  <si>
    <t>93-2.23</t>
  </si>
  <si>
    <t>93-2.24</t>
  </si>
  <si>
    <t>94-2.01</t>
  </si>
  <si>
    <t>94-2.02</t>
  </si>
  <si>
    <t>94-2.03</t>
  </si>
  <si>
    <t>94-2.04</t>
  </si>
  <si>
    <t>94-2.05</t>
  </si>
  <si>
    <t>94-2.06</t>
  </si>
  <si>
    <t>94-2.07</t>
  </si>
  <si>
    <t>94-2.08</t>
  </si>
  <si>
    <t>94-2.09</t>
  </si>
  <si>
    <t>94-2.10</t>
  </si>
  <si>
    <t>94-2.11</t>
  </si>
  <si>
    <t>94-2.12</t>
  </si>
  <si>
    <t>94-2.13</t>
  </si>
  <si>
    <t>94-2.14</t>
  </si>
  <si>
    <t>94-2.15</t>
  </si>
  <si>
    <t>94-2.16</t>
  </si>
  <si>
    <t>94-2.17</t>
  </si>
  <si>
    <t>94-2.18</t>
  </si>
  <si>
    <t>94-2.19</t>
  </si>
  <si>
    <t>94-2.20</t>
  </si>
  <si>
    <t>94-2.21</t>
  </si>
  <si>
    <t>94-2.22</t>
  </si>
  <si>
    <t>94-2.23</t>
  </si>
  <si>
    <t>94-2.24</t>
  </si>
  <si>
    <t>95-2.01</t>
  </si>
  <si>
    <t>95-2.02</t>
  </si>
  <si>
    <t>95-2.03</t>
  </si>
  <si>
    <t>95-2.04</t>
  </si>
  <si>
    <t>95-2.05</t>
  </si>
  <si>
    <t>95-2.06</t>
  </si>
  <si>
    <t>95-2.07</t>
  </si>
  <si>
    <t>95-2.08</t>
  </si>
  <si>
    <t>95-2.09</t>
  </si>
  <si>
    <t>95-2.10</t>
  </si>
  <si>
    <t>95-2.11</t>
  </si>
  <si>
    <t>95-2.12</t>
  </si>
  <si>
    <t>95-2.13</t>
  </si>
  <si>
    <t>95-2.14</t>
  </si>
  <si>
    <t>95-2.15</t>
  </si>
  <si>
    <t>95-2.16</t>
  </si>
  <si>
    <t>95-2.17</t>
  </si>
  <si>
    <t>95-2.18</t>
  </si>
  <si>
    <t>95-2.19</t>
  </si>
  <si>
    <t>95-2.20</t>
  </si>
  <si>
    <t>95-2.21</t>
  </si>
  <si>
    <t>95-2.22</t>
  </si>
  <si>
    <t>95-2.23</t>
  </si>
  <si>
    <t>96-2.01</t>
  </si>
  <si>
    <t>96-2.02</t>
  </si>
  <si>
    <t>96-2.03</t>
  </si>
  <si>
    <t>96-2.04</t>
  </si>
  <si>
    <t>96-2.05</t>
  </si>
  <si>
    <t>96-2.06</t>
  </si>
  <si>
    <t>96-2.07</t>
  </si>
  <si>
    <t>96-2.08</t>
  </si>
  <si>
    <t>96-2.09</t>
  </si>
  <si>
    <t>96-2.10</t>
  </si>
  <si>
    <t>96-2.11</t>
  </si>
  <si>
    <t>96-2.12</t>
  </si>
  <si>
    <t>96-2.13</t>
  </si>
  <si>
    <t>96-2.14</t>
  </si>
  <si>
    <t>96-2.15</t>
  </si>
  <si>
    <t>96-2.16</t>
  </si>
  <si>
    <t>96-2.17</t>
  </si>
  <si>
    <t>96-2.18</t>
  </si>
  <si>
    <t>96-2.19</t>
  </si>
  <si>
    <t>96-2.20</t>
  </si>
  <si>
    <t>96-2.21</t>
  </si>
  <si>
    <t>96-2.22</t>
  </si>
  <si>
    <t>96-2.23</t>
  </si>
  <si>
    <t>97-2.01</t>
  </si>
  <si>
    <t>97-2.02</t>
  </si>
  <si>
    <t>97-2.03</t>
  </si>
  <si>
    <t>97-2.04</t>
  </si>
  <si>
    <t>97-2.05</t>
  </si>
  <si>
    <t>97-2.06</t>
  </si>
  <si>
    <t>93-3.12</t>
  </si>
  <si>
    <t>93-3.13</t>
  </si>
  <si>
    <t>93-3.14</t>
  </si>
  <si>
    <t>93-3.15</t>
  </si>
  <si>
    <t>93-3.16</t>
  </si>
  <si>
    <t>93-3.17</t>
  </si>
  <si>
    <t>93-3.18</t>
  </si>
  <si>
    <t>93-3.19</t>
  </si>
  <si>
    <t>93-3.20</t>
  </si>
  <si>
    <t>93-3.21</t>
  </si>
  <si>
    <t>93-3.22</t>
  </si>
  <si>
    <t>93-3.23</t>
  </si>
  <si>
    <t>93-3.24</t>
  </si>
  <si>
    <t>94-3.01</t>
  </si>
  <si>
    <t>94-3.02</t>
  </si>
  <si>
    <t>94-3.03</t>
  </si>
  <si>
    <t>94-3.04</t>
  </si>
  <si>
    <t>94-3.05</t>
  </si>
  <si>
    <t>94-3.06</t>
  </si>
  <si>
    <t>94-3.07</t>
  </si>
  <si>
    <t>94-3.08</t>
  </si>
  <si>
    <t>94-3.09</t>
  </si>
  <si>
    <t>94-3.10</t>
  </si>
  <si>
    <t>94-3.11</t>
  </si>
  <si>
    <t>94-3.12</t>
  </si>
  <si>
    <t>94-3.13</t>
  </si>
  <si>
    <t>94-3.14</t>
  </si>
  <si>
    <t>94-3.15</t>
  </si>
  <si>
    <t>94-3.16</t>
  </si>
  <si>
    <t>94-3.17</t>
  </si>
  <si>
    <t>94-3.18</t>
  </si>
  <si>
    <t>94-3.19</t>
  </si>
  <si>
    <t>94-3.20</t>
  </si>
  <si>
    <t>94-3.21</t>
  </si>
  <si>
    <t>94-3.22</t>
  </si>
  <si>
    <t>94-3.23</t>
  </si>
  <si>
    <t>95-3.01</t>
  </si>
  <si>
    <t>95-3.02</t>
  </si>
  <si>
    <t>95-3.03</t>
  </si>
  <si>
    <t>95-3.04</t>
  </si>
  <si>
    <t>95-3.05</t>
  </si>
  <si>
    <t>95-3.06</t>
  </si>
  <si>
    <t>95-3.07</t>
  </si>
  <si>
    <t>95-3.08</t>
  </si>
  <si>
    <t>95-3.09</t>
  </si>
  <si>
    <t>95-3.10</t>
  </si>
  <si>
    <t>95-3.11</t>
  </si>
  <si>
    <t>95-3.12</t>
  </si>
  <si>
    <t>95-3.13</t>
  </si>
  <si>
    <t>95-3.14</t>
  </si>
  <si>
    <t>95-3.15</t>
  </si>
  <si>
    <t>95-3.16</t>
  </si>
  <si>
    <t>95-3.17</t>
  </si>
  <si>
    <t>95-3.18</t>
  </si>
  <si>
    <t>95-3.19</t>
  </si>
  <si>
    <t>95-3.20</t>
  </si>
  <si>
    <t>95-3.21</t>
  </si>
  <si>
    <t>95-3.22</t>
  </si>
  <si>
    <t>95-3.23</t>
  </si>
  <si>
    <t>96-3.01</t>
  </si>
  <si>
    <t>96-3.02</t>
  </si>
  <si>
    <t>96-3.03</t>
  </si>
  <si>
    <t>96-3.04</t>
  </si>
  <si>
    <t>96-3.05</t>
  </si>
  <si>
    <t>96-3.06</t>
  </si>
  <si>
    <t>96-3.07</t>
  </si>
  <si>
    <t>96-3.08</t>
  </si>
  <si>
    <t>96-3.09</t>
  </si>
  <si>
    <t>96-3.10</t>
  </si>
  <si>
    <t>96-3.11</t>
  </si>
  <si>
    <t>96-3.12</t>
  </si>
  <si>
    <t>96-3.13</t>
  </si>
  <si>
    <t>96-3.14</t>
  </si>
  <si>
    <t>96-3.15</t>
  </si>
  <si>
    <t>96-3.16</t>
  </si>
  <si>
    <t>96-3.17</t>
  </si>
  <si>
    <t>96-3.18</t>
  </si>
  <si>
    <t>96-3.19</t>
  </si>
  <si>
    <t>96-3.20</t>
  </si>
  <si>
    <t>96-3.21</t>
  </si>
  <si>
    <t>96-3.22</t>
  </si>
  <si>
    <t>97-3.01</t>
  </si>
  <si>
    <t>97-3.02</t>
  </si>
  <si>
    <t>97-3.03</t>
  </si>
  <si>
    <t>97-3.04</t>
  </si>
  <si>
    <t>97-3.05</t>
  </si>
  <si>
    <t>HEB-260_s</t>
  </si>
  <si>
    <t>PR1B</t>
  </si>
  <si>
    <t>A/S S/A</t>
  </si>
  <si>
    <t>RW2T-S</t>
  </si>
  <si>
    <t>S/A A/S-Diag</t>
  </si>
  <si>
    <t>Double Cross</t>
  </si>
  <si>
    <t>S/A AnMP</t>
  </si>
  <si>
    <t>S/A A/S</t>
  </si>
  <si>
    <t>A/S-Diag MP</t>
  </si>
  <si>
    <t>PR1D</t>
  </si>
  <si>
    <t>HEB-240_s</t>
  </si>
  <si>
    <t xml:space="preserve">S/A AnMP </t>
  </si>
  <si>
    <t>A/S-DiaG MP</t>
  </si>
  <si>
    <t>A/S-Diag S/A</t>
  </si>
  <si>
    <t>S/A S/A A/S-Diag</t>
  </si>
  <si>
    <t>HEB-360LL</t>
  </si>
  <si>
    <t>PR1C</t>
  </si>
  <si>
    <t>PR1E</t>
  </si>
  <si>
    <t>97-3.06</t>
  </si>
  <si>
    <t>RW2T-SC</t>
  </si>
  <si>
    <t>S/A A/S S/A</t>
  </si>
  <si>
    <t>DISC/IO-pr</t>
  </si>
  <si>
    <t>97-2.07</t>
  </si>
  <si>
    <t>97-2.08</t>
  </si>
  <si>
    <t>97-2.09</t>
  </si>
  <si>
    <t>97-2.10</t>
  </si>
  <si>
    <t>97-2.11</t>
  </si>
  <si>
    <t>97-2.12</t>
  </si>
  <si>
    <t>Disc/IO-pr</t>
  </si>
  <si>
    <t>97-3.07</t>
  </si>
  <si>
    <t>97-3.08</t>
  </si>
  <si>
    <t xml:space="preserve">S/A </t>
  </si>
  <si>
    <t>97-3.09</t>
  </si>
  <si>
    <t>97-3.10</t>
  </si>
  <si>
    <t>97-3.11</t>
  </si>
  <si>
    <t xml:space="preserve">TA University </t>
  </si>
  <si>
    <t>90-1.16</t>
  </si>
  <si>
    <t>90-2.16</t>
  </si>
  <si>
    <t>90-1.17</t>
  </si>
  <si>
    <t>90-1.18</t>
  </si>
  <si>
    <t>90-1.19</t>
  </si>
  <si>
    <t>90-1.20</t>
  </si>
  <si>
    <t>90-1.21</t>
  </si>
  <si>
    <t>90-1.22</t>
  </si>
  <si>
    <t>91-1.01</t>
  </si>
  <si>
    <t>91-1.02</t>
  </si>
  <si>
    <t>91-1.03</t>
  </si>
  <si>
    <t>91-1.04</t>
  </si>
  <si>
    <t>91-1.05</t>
  </si>
  <si>
    <t>90-2.17</t>
  </si>
  <si>
    <t>90-2.18</t>
  </si>
  <si>
    <t>90-2.19</t>
  </si>
  <si>
    <t>90-2.20</t>
  </si>
  <si>
    <t>90-2.21</t>
  </si>
  <si>
    <t>90-2.22</t>
  </si>
  <si>
    <t>91-2.01</t>
  </si>
  <si>
    <t>91-2.02</t>
  </si>
  <si>
    <t>91-2.03</t>
  </si>
  <si>
    <t>91-2.04</t>
  </si>
  <si>
    <t>91-2.05</t>
  </si>
  <si>
    <t>91-1.06</t>
  </si>
  <si>
    <t>91-1.07</t>
  </si>
  <si>
    <t>91-1.08</t>
  </si>
  <si>
    <t>91-1.09</t>
  </si>
  <si>
    <t>91-1.10</t>
  </si>
  <si>
    <t>91-1.11</t>
  </si>
  <si>
    <t>91-1.12</t>
  </si>
  <si>
    <t>91-1.13</t>
  </si>
  <si>
    <t>91-1.14</t>
  </si>
  <si>
    <t>91-1.15</t>
  </si>
  <si>
    <t>91-1.16</t>
  </si>
  <si>
    <t>91-1.17</t>
  </si>
  <si>
    <t>91-1.18</t>
  </si>
  <si>
    <t>Bridge</t>
  </si>
  <si>
    <t>91-2.06</t>
  </si>
  <si>
    <t>91-2.07</t>
  </si>
  <si>
    <t>91-2.08</t>
  </si>
  <si>
    <t>91-2.09</t>
  </si>
  <si>
    <t>91-2.10</t>
  </si>
  <si>
    <t>91-2.11</t>
  </si>
  <si>
    <t>91-2.12</t>
  </si>
  <si>
    <t>91-2.13</t>
  </si>
  <si>
    <t>91-2.14</t>
  </si>
  <si>
    <t>91-2.15</t>
  </si>
  <si>
    <t>91-2.16</t>
  </si>
  <si>
    <t>91-2.17</t>
  </si>
  <si>
    <t>91-2.18</t>
  </si>
  <si>
    <t>91-2.19</t>
  </si>
  <si>
    <t>91-2.20</t>
  </si>
  <si>
    <t>90-3.18</t>
  </si>
  <si>
    <t>90-3.19</t>
  </si>
  <si>
    <t>90-3.20</t>
  </si>
  <si>
    <t>90-3.21</t>
  </si>
  <si>
    <t>90-3.22</t>
  </si>
  <si>
    <t>91-3.01</t>
  </si>
  <si>
    <t>91-3.02</t>
  </si>
  <si>
    <t>91-3.03</t>
  </si>
  <si>
    <t>91-3.04</t>
  </si>
  <si>
    <t>91-3.05</t>
  </si>
  <si>
    <t>91-3.06</t>
  </si>
  <si>
    <t>91-3.07</t>
  </si>
  <si>
    <t>91-3.08</t>
  </si>
  <si>
    <t>91-3.09</t>
  </si>
  <si>
    <t>91-3.10</t>
  </si>
  <si>
    <t>91-3.11</t>
  </si>
  <si>
    <t>91-3.12</t>
  </si>
  <si>
    <t>91-3.13</t>
  </si>
  <si>
    <t>91-3.14</t>
  </si>
  <si>
    <t>91-3.15</t>
  </si>
  <si>
    <t>91-3.16</t>
  </si>
  <si>
    <t>91-3.17</t>
  </si>
  <si>
    <t>91-3.18</t>
  </si>
  <si>
    <t>91-3.19</t>
  </si>
  <si>
    <t>91-3.20</t>
  </si>
  <si>
    <t>90-4.17</t>
  </si>
  <si>
    <t>90-4.18</t>
  </si>
  <si>
    <t>90-4.19</t>
  </si>
  <si>
    <t>90-4.20</t>
  </si>
  <si>
    <t>90-4.21</t>
  </si>
  <si>
    <t>90-4.22</t>
  </si>
  <si>
    <t>91-4.01</t>
  </si>
  <si>
    <t>91-4.02</t>
  </si>
  <si>
    <t>91-4.03</t>
  </si>
  <si>
    <t>91-4.04</t>
  </si>
  <si>
    <t>91-4.05</t>
  </si>
  <si>
    <t>91-4.06</t>
  </si>
  <si>
    <t>91-4.07</t>
  </si>
  <si>
    <t>91-4.08</t>
  </si>
  <si>
    <t>91-4.09</t>
  </si>
  <si>
    <t>91-4.10</t>
  </si>
  <si>
    <t>91-4.11</t>
  </si>
  <si>
    <t>91-4.12</t>
  </si>
  <si>
    <t>91-4.13</t>
  </si>
  <si>
    <t>91-4.14</t>
  </si>
  <si>
    <t>91-4.15</t>
  </si>
  <si>
    <t>91-4.16</t>
  </si>
  <si>
    <t>91-4.17</t>
  </si>
  <si>
    <t>91-4.18</t>
  </si>
  <si>
    <t>91-4.19</t>
  </si>
  <si>
    <t>91-4.20</t>
  </si>
  <si>
    <t>91-4.21</t>
  </si>
  <si>
    <t>91-4.22</t>
  </si>
  <si>
    <t>91-4.23</t>
  </si>
  <si>
    <t>91-4.24</t>
  </si>
  <si>
    <t>91-1.19</t>
  </si>
  <si>
    <t>91-1.20</t>
  </si>
  <si>
    <t>91-1.21</t>
  </si>
  <si>
    <t>91-1.22</t>
  </si>
  <si>
    <t>91-1.23</t>
  </si>
  <si>
    <t>91-1.24</t>
  </si>
  <si>
    <t>92-1.01</t>
  </si>
  <si>
    <t>92-1.02</t>
  </si>
  <si>
    <t>92-1.03</t>
  </si>
  <si>
    <t>92-1.04</t>
  </si>
  <si>
    <t>91-2.21</t>
  </si>
  <si>
    <t>91-2.22</t>
  </si>
  <si>
    <t>91-2.23</t>
  </si>
  <si>
    <t>91-2.24</t>
  </si>
  <si>
    <t>92-2.01</t>
  </si>
  <si>
    <t>92-2.02</t>
  </si>
  <si>
    <t>92-2.03</t>
  </si>
  <si>
    <t>92-2.04</t>
  </si>
  <si>
    <t>91-3.21</t>
  </si>
  <si>
    <t>91-3.22</t>
  </si>
  <si>
    <t>91-3.23</t>
  </si>
  <si>
    <t>91-3.24</t>
  </si>
  <si>
    <t>92-3.01</t>
  </si>
  <si>
    <t>92-3.02</t>
  </si>
  <si>
    <t>92-3.03</t>
  </si>
  <si>
    <t>92-3.04</t>
  </si>
  <si>
    <t>TSO-02</t>
  </si>
  <si>
    <t>TSO-03</t>
  </si>
  <si>
    <t>92-4.01</t>
  </si>
  <si>
    <t>92-4.02</t>
  </si>
  <si>
    <t>92-4.03</t>
  </si>
  <si>
    <t>92-4.04</t>
  </si>
  <si>
    <t>91-51.13</t>
  </si>
  <si>
    <t>91-52.19</t>
  </si>
  <si>
    <t>91-53.18</t>
  </si>
  <si>
    <t>91-53.19</t>
  </si>
  <si>
    <t>91-53.20</t>
  </si>
  <si>
    <t>91-53.21</t>
  </si>
  <si>
    <t>91-53.22</t>
  </si>
  <si>
    <t>91-53.23</t>
  </si>
  <si>
    <t>91-53.24</t>
  </si>
  <si>
    <t>350</t>
  </si>
  <si>
    <t>0</t>
  </si>
  <si>
    <t>400</t>
  </si>
  <si>
    <t>Type</t>
  </si>
  <si>
    <t>KP</t>
  </si>
  <si>
    <t>height 1</t>
  </si>
  <si>
    <t>height 2</t>
  </si>
  <si>
    <t>Electric Gauge</t>
  </si>
  <si>
    <t>Clearence from TOR</t>
  </si>
  <si>
    <t>CW Height</t>
  </si>
  <si>
    <t>MW Height</t>
  </si>
  <si>
    <t xml:space="preserve">Hashalom Station (North) </t>
  </si>
  <si>
    <t xml:space="preserve">Hashalom Station (South) </t>
  </si>
  <si>
    <t>92-1.05</t>
  </si>
  <si>
    <t>92-1.06</t>
  </si>
  <si>
    <t>92-1.07</t>
  </si>
  <si>
    <t>92-1.08</t>
  </si>
  <si>
    <t>92-1.09</t>
  </si>
  <si>
    <t>92-1.10</t>
  </si>
  <si>
    <t>92-1.11</t>
  </si>
  <si>
    <t>92-1.12</t>
  </si>
  <si>
    <t>92-1.13</t>
  </si>
  <si>
    <t>92-1.14</t>
  </si>
  <si>
    <t>92-1.15</t>
  </si>
  <si>
    <t>92-1.16</t>
  </si>
  <si>
    <t>92-1.17</t>
  </si>
  <si>
    <t>92-1.18</t>
  </si>
  <si>
    <t>92-1.19</t>
  </si>
  <si>
    <t>92-1.20</t>
  </si>
  <si>
    <t>92-1.21</t>
  </si>
  <si>
    <t>92-1.22</t>
  </si>
  <si>
    <t>92-2.05</t>
  </si>
  <si>
    <t>92-2.06</t>
  </si>
  <si>
    <t>92-2.07</t>
  </si>
  <si>
    <t>92-2.08</t>
  </si>
  <si>
    <t>92-2.09</t>
  </si>
  <si>
    <t>92-2.10</t>
  </si>
  <si>
    <t>92-2.11</t>
  </si>
  <si>
    <t>92-2.12</t>
  </si>
  <si>
    <t>92-2.13</t>
  </si>
  <si>
    <t>92-2.14</t>
  </si>
  <si>
    <t>92-2.15</t>
  </si>
  <si>
    <t>92-2.16</t>
  </si>
  <si>
    <t>92-2.17</t>
  </si>
  <si>
    <t>92-2.18</t>
  </si>
  <si>
    <t>92-2.19</t>
  </si>
  <si>
    <t>92-2.20</t>
  </si>
  <si>
    <t>92-3.05</t>
  </si>
  <si>
    <t>92-3.06</t>
  </si>
  <si>
    <t>92-3.07</t>
  </si>
  <si>
    <t>92-3.08</t>
  </si>
  <si>
    <t>92-3.09</t>
  </si>
  <si>
    <t>92-3.10</t>
  </si>
  <si>
    <t>92-3.11</t>
  </si>
  <si>
    <t>92-3.12</t>
  </si>
  <si>
    <t>92-3.13</t>
  </si>
  <si>
    <t>92-3.14</t>
  </si>
  <si>
    <t>92-3.15</t>
  </si>
  <si>
    <t>92-3.16</t>
  </si>
  <si>
    <t>92-3.17</t>
  </si>
  <si>
    <t>92-3.18</t>
  </si>
  <si>
    <t>92-3.19</t>
  </si>
  <si>
    <t>92-3.20</t>
  </si>
  <si>
    <t>92-4.05</t>
  </si>
  <si>
    <t>92-4.06</t>
  </si>
  <si>
    <t>92-4.07</t>
  </si>
  <si>
    <t>92-4.08</t>
  </si>
  <si>
    <t>92-4.09</t>
  </si>
  <si>
    <t>92-4.10</t>
  </si>
  <si>
    <t>92-4.11</t>
  </si>
  <si>
    <t>92-4.12</t>
  </si>
  <si>
    <t>92-4.13</t>
  </si>
  <si>
    <t>92-4.14</t>
  </si>
  <si>
    <t>92-4.15</t>
  </si>
  <si>
    <t>92-4.16</t>
  </si>
  <si>
    <t>92-4.17</t>
  </si>
  <si>
    <t>92-4.18</t>
  </si>
  <si>
    <t>92-4.19</t>
  </si>
  <si>
    <t>92-4.20</t>
  </si>
  <si>
    <t>92-4.21</t>
  </si>
  <si>
    <t>96-3.23</t>
  </si>
  <si>
    <t>97-3.05BIS</t>
  </si>
  <si>
    <t>97-2.05BIS</t>
  </si>
  <si>
    <t>97-1.05BIS</t>
  </si>
  <si>
    <t xml:space="preserve">                                                                                                                                                                                                                                                                                                                                                                                                                                                                                                                                                                                                                                                                                                                                                                                                                                                                                                                                                                                                                                                                                                                                                                                                                                                                                                                                                                                                                                                                                                                                                                                                                                                                                                                                                                                                                                                                                                                                                                                                                                                                                                                                                                                                                                                                                                                                                                                                                                                                                                                                                                                                                                                                                                                                                                                                                                                                                                                                                                                                                                                                                                                                                                                                                                                                                                                                                                                                                                                                                                                                                                                                                                                                                                                                                                                                                                                                                                                                                                                                                                                                                                                                                                                                                                                                                                                                                                                                                                                                                                                                                                                                                                                                                                                                                                                                                                                                                                                                                                                                                                                                                                                                                                                                                                                                                                                                                                                                                                                                                                                                                                                                                                                                                                                                                                                                                                                                                                                                                                                                                                                                                                                                                                                                                                                                                                                                                                                                                                                                                                                                                                                                                                                                                                                                                                                                                  </t>
  </si>
  <si>
    <t>TSO-01</t>
  </si>
  <si>
    <t>S-1T-B2</t>
  </si>
  <si>
    <t>S-1T-B3</t>
  </si>
  <si>
    <t>S-1T-B1</t>
  </si>
  <si>
    <t>PROFILE TRACK 2</t>
  </si>
  <si>
    <t>94-3.24</t>
  </si>
  <si>
    <t>NON DEFINED</t>
  </si>
  <si>
    <t>Initial electrification Layout of executive pack 06</t>
  </si>
  <si>
    <t>Layout Hahagana Station Update (KP 96+024.11 - 97+422.00)</t>
  </si>
  <si>
    <t>Layout Update between TLV Hahagana to TLV Central Savidor</t>
  </si>
  <si>
    <t>RefX_Tracks_EP06_01 Update, Name profiles and K.P. Update</t>
  </si>
  <si>
    <t>Via 1 TSA-THA</t>
  </si>
  <si>
    <t>Via 2 TSA-THA</t>
  </si>
  <si>
    <t>Via 3 TSA-THA</t>
  </si>
  <si>
    <t>Via 4 HER-TSA</t>
  </si>
  <si>
    <t>Via 6 TSA</t>
  </si>
  <si>
    <t>94-3.17BIS</t>
  </si>
  <si>
    <t>96-3.15BIS</t>
  </si>
  <si>
    <t>96-5.16</t>
  </si>
  <si>
    <t>96-5.16BIS</t>
  </si>
  <si>
    <t>TRACK 1 RISHPON-HERZLIYA</t>
  </si>
  <si>
    <t>TRACK 2 RISHPON-HERZLIYA</t>
  </si>
  <si>
    <t>TRACK 1 HERZLIYA</t>
  </si>
  <si>
    <t>TRACK 2 HERZLIYA</t>
  </si>
  <si>
    <t>TRACK 3 HERZLIYA</t>
  </si>
  <si>
    <t>TRACK 4 HERZLIYA</t>
  </si>
  <si>
    <t>TRACK 2 HERZLIYA-TLV SAVIDOR</t>
  </si>
  <si>
    <t>TRACK 3 HERZLIYA-TLV SAVIDOR</t>
  </si>
  <si>
    <t>TRACK 51 HERZLIYA-TLV SAVIDOR</t>
  </si>
  <si>
    <t>TRACK 52 HERZLIYA-TLV SAVIDOR</t>
  </si>
  <si>
    <t>TRACK 53 HERZLIYA-TLV SAVIDOR</t>
  </si>
  <si>
    <t>TRACK 1 TLV SAVIDOR</t>
  </si>
  <si>
    <t>TRACK 2 TLV SAVIDOR</t>
  </si>
  <si>
    <t>TRACK 4 TLV SAVIDOR</t>
  </si>
  <si>
    <t>TRACK 5 TLV SAVIDOR</t>
  </si>
  <si>
    <t>TRACK 6 TLV SAVIDOR</t>
  </si>
  <si>
    <t>TRACK 2 TLV SAVIDOR-TLV HAHAGANA</t>
  </si>
  <si>
    <t>TRACK 3 TLV SAVIDOR-TLV HAHAGANA</t>
  </si>
  <si>
    <t>Via 1 RIS-HER</t>
  </si>
  <si>
    <t>Via 2 RIS-HER</t>
  </si>
  <si>
    <t>Via 1 HER</t>
  </si>
  <si>
    <t>Via 2 HER</t>
  </si>
  <si>
    <t>Via 3 HER</t>
  </si>
  <si>
    <t>Via 4 HER</t>
  </si>
  <si>
    <t>Via 5 HER</t>
  </si>
  <si>
    <t>Via 6 HER</t>
  </si>
  <si>
    <t>Via 1 HER-TSA</t>
  </si>
  <si>
    <t>Via 2 HER-TSA</t>
  </si>
  <si>
    <t>Via 3 HER-TSA</t>
  </si>
  <si>
    <t>Via 51 HER-TSA</t>
  </si>
  <si>
    <t>Via 52 HER-TSA</t>
  </si>
  <si>
    <t>Via 1 TSA</t>
  </si>
  <si>
    <t>Via 2 TSA</t>
  </si>
  <si>
    <t>Via 5 THA-HOLOM</t>
  </si>
  <si>
    <t>Via 3 TSA</t>
  </si>
  <si>
    <t>Via 4 TSA</t>
  </si>
  <si>
    <t>Via 5 TSA</t>
  </si>
  <si>
    <t>Via 4 THA-HOLOM</t>
  </si>
  <si>
    <t>96-4.16BIS</t>
  </si>
  <si>
    <t>Silleta de Ménsula sencilla en Viga tipo 2 de Estación Hashalom</t>
  </si>
  <si>
    <t>Silleta de Ménsula sencilla en Viga tipo 3 de Estación Hashalom</t>
  </si>
  <si>
    <t>Silleta de Ménsula sencilla en Viga tipo 1 de Estación Hahagana</t>
  </si>
  <si>
    <t>Via 53 HER-TSA</t>
  </si>
  <si>
    <t>Poste HEB-240 altura a definir segun posicion</t>
  </si>
  <si>
    <t>HEB-260 (CP)_s</t>
  </si>
  <si>
    <t>Poste HEB-260 (CP) altura a definir segun posicion</t>
  </si>
  <si>
    <t>Poste HEB-260 altura a definir segun posicion</t>
  </si>
  <si>
    <t>HEB-280 (CP)_s</t>
  </si>
  <si>
    <t>Poste HEB-280 (CP) altura a definir segun posicion</t>
  </si>
  <si>
    <t>HEB-300L_s</t>
  </si>
  <si>
    <t>Poste HEB-200L altura a definir segun posicion</t>
  </si>
  <si>
    <t>SOP-TEN-X</t>
  </si>
  <si>
    <t>Soporte de tensorex en tunel doble</t>
  </si>
  <si>
    <t>SOP-TEN</t>
  </si>
  <si>
    <t>Soporte de tensorex en tunel SENCILL0 (recuentos 2x en CP-TX-T)</t>
  </si>
  <si>
    <t>PLT-M3</t>
  </si>
  <si>
    <t>Soporte de transición en viaducto para poste HEM-240</t>
  </si>
  <si>
    <t>PLT-M4</t>
  </si>
  <si>
    <t>Soporte de transición en viaducto para poste 2HEB-300</t>
  </si>
  <si>
    <t>PLT-M5</t>
  </si>
  <si>
    <t>Soporte de transición en viaducto para poste HEB-240</t>
  </si>
  <si>
    <t>96-1.21BIS</t>
  </si>
  <si>
    <t>SCR_PROT1</t>
  </si>
  <si>
    <t>SCR_PROT2</t>
  </si>
  <si>
    <t>Pantalla de protección para silleta de pórtico para 1 ménsula</t>
  </si>
  <si>
    <t>Pantalla de protección para silleta de pórtico para 2 ménsula</t>
  </si>
  <si>
    <t>BCE-1500</t>
  </si>
  <si>
    <t>BTC-2000</t>
  </si>
  <si>
    <t>Via 1 
RIS-HER</t>
  </si>
  <si>
    <t>Via 2 
RIS-HER</t>
  </si>
  <si>
    <t>Via 1 
HER-TSA</t>
  </si>
  <si>
    <t>Via 2 
HER-TSA</t>
  </si>
  <si>
    <t>Via 3 
HER-TSA</t>
  </si>
  <si>
    <t>Via 4 
HER-TSA</t>
  </si>
  <si>
    <t>Via 51 
HER-TSA</t>
  </si>
  <si>
    <t>Via 52 
HER-TSA</t>
  </si>
  <si>
    <t>Via 53 
HER-TSA</t>
  </si>
  <si>
    <t>Via 1 
TSA-THA</t>
  </si>
  <si>
    <t>Via 2 
TSA-THA</t>
  </si>
  <si>
    <t>Via 3 
TSA-THA</t>
  </si>
  <si>
    <t>Via 4 
THA-HOLOM</t>
  </si>
  <si>
    <t>Via 5 
THA-HOLOM</t>
  </si>
  <si>
    <t xml:space="preserve"> ARMS</t>
  </si>
  <si>
    <t>CS</t>
  </si>
  <si>
    <t>Silleta en L para AnMC</t>
  </si>
  <si>
    <t>Silleta en L para AnM</t>
  </si>
  <si>
    <t>Observaciones</t>
  </si>
  <si>
    <t>Cross Switch (Aguja Cruzada)</t>
  </si>
  <si>
    <t>Tangencial Switch (Aguja Tangencial)</t>
  </si>
  <si>
    <t>P50(CS)</t>
  </si>
  <si>
    <t>P40(CS)</t>
  </si>
  <si>
    <t>P50(CS) A/S</t>
  </si>
  <si>
    <t xml:space="preserve">P0(CS) </t>
  </si>
  <si>
    <t>P60(CS)</t>
  </si>
  <si>
    <t>P65(CS)</t>
  </si>
  <si>
    <t>P22(CS)</t>
  </si>
  <si>
    <t>P30(CS) A/S</t>
  </si>
  <si>
    <t>P65(CS) S/A A/S</t>
  </si>
  <si>
    <t>P70(CS)</t>
  </si>
  <si>
    <t>TgS</t>
  </si>
  <si>
    <t>96-4.17</t>
  </si>
  <si>
    <t>96-4.18</t>
  </si>
  <si>
    <t>96-4.19</t>
  </si>
  <si>
    <t>96-4.20</t>
  </si>
  <si>
    <t>96-4.21</t>
  </si>
  <si>
    <t>96-4.22</t>
  </si>
  <si>
    <t>96-4.23</t>
  </si>
  <si>
    <t>96-5.17</t>
  </si>
  <si>
    <t>96-5.18</t>
  </si>
  <si>
    <t>96-5.19</t>
  </si>
  <si>
    <t>96-5.20</t>
  </si>
  <si>
    <t>96-5.21</t>
  </si>
  <si>
    <t>96-5.22</t>
  </si>
  <si>
    <t>96-5.23</t>
  </si>
  <si>
    <t>97-5.01</t>
  </si>
  <si>
    <t>97-5.02</t>
  </si>
  <si>
    <t>97-5.03</t>
  </si>
  <si>
    <t>97-5.04</t>
  </si>
  <si>
    <t>97-5.05</t>
  </si>
  <si>
    <t>97-5.06</t>
  </si>
  <si>
    <t>97-5.07</t>
  </si>
  <si>
    <t>97-5.08</t>
  </si>
  <si>
    <t>97-5.09</t>
  </si>
  <si>
    <t>97-5.10</t>
  </si>
  <si>
    <t>97-5.11</t>
  </si>
  <si>
    <t>97-5.12</t>
  </si>
  <si>
    <t>97-5.13</t>
  </si>
  <si>
    <t>97-5.14</t>
  </si>
  <si>
    <t>97-5.15</t>
  </si>
  <si>
    <t>97-5.16</t>
  </si>
  <si>
    <t>97-5.17</t>
  </si>
  <si>
    <t>97-5.18</t>
  </si>
  <si>
    <t>97-5.19</t>
  </si>
  <si>
    <t>S-1TB3</t>
  </si>
  <si>
    <t>S-1TB1</t>
  </si>
  <si>
    <t>S/A S/A</t>
  </si>
  <si>
    <t>P50 A/S</t>
  </si>
  <si>
    <t>FW25</t>
  </si>
  <si>
    <t>97-4.01</t>
  </si>
  <si>
    <t>97-4.02</t>
  </si>
  <si>
    <t>97-4.03</t>
  </si>
  <si>
    <t>97-4.04</t>
  </si>
  <si>
    <t>97-4.05</t>
  </si>
  <si>
    <t>97-4.06</t>
  </si>
  <si>
    <t>97-4.07</t>
  </si>
  <si>
    <t>97-4.08</t>
  </si>
  <si>
    <t>97-4.09</t>
  </si>
  <si>
    <t>97-4.10</t>
  </si>
  <si>
    <t>97-4.11</t>
  </si>
  <si>
    <t>97-4.12</t>
  </si>
  <si>
    <t>97-4.13</t>
  </si>
  <si>
    <t>97-4.14</t>
  </si>
  <si>
    <t>97-4.15</t>
  </si>
  <si>
    <t>97-4.16</t>
  </si>
  <si>
    <t>97-4.17</t>
  </si>
  <si>
    <t>97-4.18</t>
  </si>
  <si>
    <t>97-4.19</t>
  </si>
  <si>
    <t xml:space="preserve">EMT-2 </t>
  </si>
  <si>
    <t>90-1.07</t>
  </si>
  <si>
    <t>90-2.07</t>
  </si>
  <si>
    <t>90-3.07</t>
  </si>
  <si>
    <t>90-4.07</t>
  </si>
  <si>
    <t>90-1.08</t>
  </si>
  <si>
    <t>90-1.09</t>
  </si>
  <si>
    <t>90-1.10</t>
  </si>
  <si>
    <t>90-1.11</t>
  </si>
  <si>
    <t>90-1.12</t>
  </si>
  <si>
    <t>90-1.13</t>
  </si>
  <si>
    <t>90-1.14</t>
  </si>
  <si>
    <t>90-1.15</t>
  </si>
  <si>
    <t>92-1.23</t>
  </si>
  <si>
    <t>92-1.24</t>
  </si>
  <si>
    <t>92-1.25</t>
  </si>
  <si>
    <t>92-1.26</t>
  </si>
  <si>
    <t>92-1.27</t>
  </si>
  <si>
    <t>93-1.01</t>
  </si>
  <si>
    <t>93-1.02</t>
  </si>
  <si>
    <t>93-1.03</t>
  </si>
  <si>
    <t>93-1.04</t>
  </si>
  <si>
    <t>93-1.05</t>
  </si>
  <si>
    <t>93-1.06</t>
  </si>
  <si>
    <t>93-1.07</t>
  </si>
  <si>
    <t>93-1.08</t>
  </si>
  <si>
    <t>93-1.09</t>
  </si>
  <si>
    <t>93-1.10</t>
  </si>
  <si>
    <t>93-1.10BIS</t>
  </si>
  <si>
    <t>93-1.09BIS</t>
  </si>
  <si>
    <t>93-1.03BIS</t>
  </si>
  <si>
    <t>93-1.06BIS</t>
  </si>
  <si>
    <t>TA Center Savidor</t>
  </si>
  <si>
    <t>Overpass</t>
  </si>
  <si>
    <t>POLE TRACK 2</t>
  </si>
  <si>
    <t xml:space="preserve">A/S-Diag </t>
  </si>
  <si>
    <t>Modification in the next profiles:</t>
  </si>
  <si>
    <t>93-1.11 profile with 2 cantilever in S/A</t>
  </si>
  <si>
    <t>93-1.12 profile with A/S-Diag with FP/Tunnel on Post bridge</t>
  </si>
  <si>
    <t>90-2.08</t>
  </si>
  <si>
    <t>90-2.09</t>
  </si>
  <si>
    <t>90-2.10</t>
  </si>
  <si>
    <t>90-2.11</t>
  </si>
  <si>
    <t>90-2.12</t>
  </si>
  <si>
    <t>90-2.13</t>
  </si>
  <si>
    <t>90-2.14</t>
  </si>
  <si>
    <t>90-2.15</t>
  </si>
  <si>
    <t>POLE TRACK 1</t>
  </si>
  <si>
    <t>92-4.22</t>
  </si>
  <si>
    <t>92-4.23</t>
  </si>
  <si>
    <t>92-4.23BIS</t>
  </si>
  <si>
    <t>92-4.24</t>
  </si>
  <si>
    <t>93-4.09BIS</t>
  </si>
  <si>
    <t>93-4.10BIS</t>
  </si>
  <si>
    <t>93-4.10</t>
  </si>
  <si>
    <t>93-4.11</t>
  </si>
  <si>
    <t>93-2.11 change number to 93-4.11</t>
  </si>
  <si>
    <t>92-4.25</t>
  </si>
  <si>
    <t>92-4.26</t>
  </si>
  <si>
    <t>92-4.27</t>
  </si>
  <si>
    <t>93-4.01</t>
  </si>
  <si>
    <t>93-4.02</t>
  </si>
  <si>
    <t>93-4.03</t>
  </si>
  <si>
    <t>93-4.04</t>
  </si>
  <si>
    <t>93-4.05</t>
  </si>
  <si>
    <t>93-4.06</t>
  </si>
  <si>
    <t>93-4.07</t>
  </si>
  <si>
    <t>93-4.08</t>
  </si>
  <si>
    <t>93-4.09</t>
  </si>
  <si>
    <t>90-3.08</t>
  </si>
  <si>
    <t>90-3.09</t>
  </si>
  <si>
    <t>90-3.10</t>
  </si>
  <si>
    <t>90-3.11</t>
  </si>
  <si>
    <t>90-3.12</t>
  </si>
  <si>
    <t>90-3.13</t>
  </si>
  <si>
    <t>90-3.14</t>
  </si>
  <si>
    <t>90-3.15</t>
  </si>
  <si>
    <t>TUN-07</t>
  </si>
  <si>
    <t>92-5.21</t>
  </si>
  <si>
    <t>92-5.22</t>
  </si>
  <si>
    <t>92-5.23BIS</t>
  </si>
  <si>
    <t>92-5.24</t>
  </si>
  <si>
    <t>93-6.11</t>
  </si>
  <si>
    <t>92-5.25</t>
  </si>
  <si>
    <t>92-5.26</t>
  </si>
  <si>
    <t>92-5.27</t>
  </si>
  <si>
    <t>93-5.01</t>
  </si>
  <si>
    <t>93-5.02</t>
  </si>
  <si>
    <t>93-5.03</t>
  </si>
  <si>
    <t>93-5.04</t>
  </si>
  <si>
    <t>93-5.05</t>
  </si>
  <si>
    <t>93-5.06</t>
  </si>
  <si>
    <t>93-5.07</t>
  </si>
  <si>
    <t>93-5.08</t>
  </si>
  <si>
    <t>93-5.09</t>
  </si>
  <si>
    <t>93-5.09BIS</t>
  </si>
  <si>
    <t>93-6.10</t>
  </si>
  <si>
    <t>POLE TRACK 4</t>
  </si>
  <si>
    <t>93-3.11 profile with 2 cantilever in S/A and change number to 93-6.11</t>
  </si>
  <si>
    <t>93-3.12 profile with A/S-Diag with CP/TX-P on HEB-280_s (CP), under overcrossing</t>
  </si>
  <si>
    <t>90-4.08</t>
  </si>
  <si>
    <t>90-4.09</t>
  </si>
  <si>
    <t>90-4.10</t>
  </si>
  <si>
    <t>90-4.11</t>
  </si>
  <si>
    <t>90-4.12</t>
  </si>
  <si>
    <t>90-4.13</t>
  </si>
  <si>
    <t>90-4.14</t>
  </si>
  <si>
    <t>90-4.15</t>
  </si>
  <si>
    <t xml:space="preserve">MP </t>
  </si>
  <si>
    <t xml:space="preserve">A/S </t>
  </si>
  <si>
    <t>TUN-04</t>
  </si>
  <si>
    <t xml:space="preserve">PR1B </t>
  </si>
  <si>
    <t>IO AnRW</t>
  </si>
  <si>
    <t>S/A MP</t>
  </si>
  <si>
    <t>TUN-08</t>
  </si>
  <si>
    <t>AnMP AnMP</t>
  </si>
  <si>
    <t>92-6.21</t>
  </si>
  <si>
    <t>92-6.22</t>
  </si>
  <si>
    <t>92-5.23</t>
  </si>
  <si>
    <t>92-6.23</t>
  </si>
  <si>
    <t>92-6.24</t>
  </si>
  <si>
    <t>92-6.25</t>
  </si>
  <si>
    <t>92-6.26</t>
  </si>
  <si>
    <t>92-6.27</t>
  </si>
  <si>
    <t>93-6.01</t>
  </si>
  <si>
    <t>93-6.02</t>
  </si>
  <si>
    <t>93-6.03</t>
  </si>
  <si>
    <t>93-6.04</t>
  </si>
  <si>
    <t>93-6.05</t>
  </si>
  <si>
    <t>93-6.06</t>
  </si>
  <si>
    <t>93-6.07</t>
  </si>
  <si>
    <t>93-6.08</t>
  </si>
  <si>
    <t>93-6.09</t>
  </si>
  <si>
    <t>-1644</t>
  </si>
  <si>
    <t>-800</t>
  </si>
  <si>
    <t>-1654</t>
  </si>
  <si>
    <t>92-2.24</t>
  </si>
  <si>
    <t>92-2.25</t>
  </si>
  <si>
    <t>92-2.26</t>
  </si>
  <si>
    <t>92-2.27</t>
  </si>
  <si>
    <t>93-2.01</t>
  </si>
  <si>
    <t>93-2.02</t>
  </si>
  <si>
    <t>93-2.03</t>
  </si>
  <si>
    <t>93-2.04</t>
  </si>
  <si>
    <t>93-2.05</t>
  </si>
  <si>
    <t>93-2.06</t>
  </si>
  <si>
    <t>93-2.07</t>
  </si>
  <si>
    <t>93-2.08</t>
  </si>
  <si>
    <t>92-3.25</t>
  </si>
  <si>
    <t>92-3.26</t>
  </si>
  <si>
    <t>92-3.27</t>
  </si>
  <si>
    <t>91-51.14</t>
  </si>
  <si>
    <t>91-51.15</t>
  </si>
  <si>
    <t>91-51.16</t>
  </si>
  <si>
    <t>91-51.17</t>
  </si>
  <si>
    <t>91-51.18</t>
  </si>
  <si>
    <t>91-51.19</t>
  </si>
  <si>
    <t>91-51.20</t>
  </si>
  <si>
    <t>91-51.21</t>
  </si>
  <si>
    <t>91-51.22</t>
  </si>
  <si>
    <t>91-51.23</t>
  </si>
  <si>
    <t>91-51.24</t>
  </si>
  <si>
    <t>92-51.01</t>
  </si>
  <si>
    <t>92-51.02</t>
  </si>
  <si>
    <t>92-51.03</t>
  </si>
  <si>
    <t>92-51.04</t>
  </si>
  <si>
    <t>92-51.05</t>
  </si>
  <si>
    <t>92-51.06</t>
  </si>
  <si>
    <t>92-51.07</t>
  </si>
  <si>
    <t>91-52.20</t>
  </si>
  <si>
    <t>91-52.21</t>
  </si>
  <si>
    <t>91-52.22</t>
  </si>
  <si>
    <t>91-52.23</t>
  </si>
  <si>
    <t>91-52.24</t>
  </si>
  <si>
    <t>92-52.01</t>
  </si>
  <si>
    <t>92-52.02</t>
  </si>
  <si>
    <t>92-53.01</t>
  </si>
  <si>
    <t>92-53.02</t>
  </si>
  <si>
    <t>92-53.03</t>
  </si>
  <si>
    <t>92-53.04</t>
  </si>
  <si>
    <t>92-53.05</t>
  </si>
  <si>
    <t xml:space="preserve">Layout Update between TLV University to TLV Hahagana </t>
  </si>
  <si>
    <t>LoadB/IO-pr</t>
  </si>
  <si>
    <t>LoadB/IO</t>
  </si>
  <si>
    <t>(láminas de aire con AC)</t>
  </si>
  <si>
    <t>Aparellaje de conjunto de seccionador monopolar  AC en poste (Sin feeder) para seccionamiento de Lámina de aire</t>
  </si>
  <si>
    <t xml:space="preserve">Aparellaje tipo de conjunto de seccionador monopolar  AC en portico para Seccionamiento de lámina de aire </t>
  </si>
  <si>
    <t>MP-ISusp</t>
  </si>
  <si>
    <t>MP-Isusp</t>
  </si>
  <si>
    <t>MW/CW-ISusp</t>
  </si>
  <si>
    <t>DISC/NS + DISC/IO* + DISC/PP*</t>
  </si>
  <si>
    <t>DISC/NS + DISC/IO + DISC/PP</t>
  </si>
  <si>
    <t>Conjunto aislado de suspensión en pórtico para cola de Punto Fijo</t>
  </si>
  <si>
    <t xml:space="preserve">Conjunto aislado de suspensión en pórtico para cola de Catenaria </t>
  </si>
  <si>
    <t>Update name and type of disconnerctors according Sectioning Diagram (New LoadB/iO to Insulated Overlap with Load Breaker</t>
  </si>
  <si>
    <t>Insulated Suspension to Midpoint and MW/CW  (MP-Isusp and MW/CW-ISusp)</t>
  </si>
  <si>
    <t>Use Insulated Overlap with 4 S/A</t>
  </si>
  <si>
    <t>Use tangencila Switch</t>
  </si>
  <si>
    <t>Use Insulated Overlap with 4 S/A and 2S/A</t>
  </si>
  <si>
    <t>A/S P50(CS)</t>
  </si>
  <si>
    <t>PHC-1500</t>
  </si>
  <si>
    <t>P65(CS) A/S</t>
  </si>
  <si>
    <t>P35(CS)</t>
  </si>
  <si>
    <t xml:space="preserve">P50(CS) </t>
  </si>
  <si>
    <t>779</t>
  </si>
  <si>
    <t>600</t>
  </si>
  <si>
    <t>-400</t>
  </si>
  <si>
    <t>DB</t>
  </si>
  <si>
    <t>DA</t>
  </si>
  <si>
    <t>D</t>
  </si>
  <si>
    <t>DBA</t>
  </si>
  <si>
    <t>DAB</t>
  </si>
  <si>
    <t>A or D</t>
  </si>
  <si>
    <t>Distrubition of the geotechnical gropus Soils</t>
  </si>
  <si>
    <t>AnMC-R</t>
  </si>
  <si>
    <t>AnM-R</t>
  </si>
  <si>
    <t>EMT-E</t>
  </si>
  <si>
    <t>Conjunto de ménsula dentro en poste sin tubo de atirantado</t>
  </si>
  <si>
    <t>EMT-2R</t>
  </si>
  <si>
    <t>EMT-ET</t>
  </si>
  <si>
    <t>Conjunto de ménsula dentro en poste sin tubo de atirantado en túnel</t>
  </si>
  <si>
    <t>EMT-EP</t>
  </si>
  <si>
    <t>Conjunto de ménsula dentro en poste sin tubo de atirantado en pr</t>
  </si>
  <si>
    <t>EMT-1RH</t>
  </si>
  <si>
    <t>EMT-2RH</t>
  </si>
  <si>
    <t>Conjunto de ménsula fuera en poste altura cw y mw reducida</t>
  </si>
  <si>
    <t>Conjunto de ménsula dentro en poste altura cw y mw reducida</t>
  </si>
  <si>
    <t>Conjunto de ménsula fuera en poste con péndola rígida</t>
  </si>
  <si>
    <t>EMT-1S</t>
  </si>
  <si>
    <t>EMT-2S</t>
  </si>
  <si>
    <t>EMT-ES</t>
  </si>
  <si>
    <t>EMT-TS</t>
  </si>
  <si>
    <t>Conjunto de ménsula dentro en soporte tipo S-1T-W/R/H</t>
  </si>
  <si>
    <t>Conjunto de ménsula fuera en soporte tipo S-1T-W/R/H</t>
  </si>
  <si>
    <t>Conjunto de ménsula fuera en soporte tipo S-1T-W/R/H sin tubo de atirantado</t>
  </si>
  <si>
    <t>Conjunto de ménsul de ciola elevada tipo S-1T-W/R/H</t>
  </si>
  <si>
    <t>ü</t>
  </si>
  <si>
    <t>Unique solutions by KEDMOR TLV Savidor Center to TLV Hahagana</t>
  </si>
  <si>
    <t>Unique Solution</t>
  </si>
  <si>
    <t>SCRP1_PRB</t>
  </si>
  <si>
    <t>SCRP2_PRB</t>
  </si>
  <si>
    <t>SCRP2_PRD</t>
  </si>
  <si>
    <t>SCRP1_PRD</t>
  </si>
  <si>
    <t>Disc/PP</t>
  </si>
  <si>
    <t>P30(CS)</t>
  </si>
  <si>
    <t>P50(CS) S/A</t>
  </si>
  <si>
    <t>SCRP1_PRC</t>
  </si>
  <si>
    <t>SCRP1_PRE</t>
  </si>
  <si>
    <t>SCRP2_PRE</t>
  </si>
  <si>
    <t>SCRP2_PRC</t>
  </si>
  <si>
    <t>Pantalla de protección para silleta de pórtico PRB para 1 ménsula</t>
  </si>
  <si>
    <t>Pantalla de protección para silleta de pórtico PRB para 2 ménsula</t>
  </si>
  <si>
    <t>Pantalla de protección para silleta de pórtico PRC para 1 ménsula</t>
  </si>
  <si>
    <t>Pantalla de protección para silleta de pórtico PRC para 2 ménsula</t>
  </si>
  <si>
    <t>Pantalla de protección para silleta de pórtico PRD para 1 ménsula</t>
  </si>
  <si>
    <t>Pantalla de protección para silleta de pórtico PRD para 2 ménsula</t>
  </si>
  <si>
    <t>Pantalla de protección para silleta de pórtico PRE para 1 ménsula</t>
  </si>
  <si>
    <t>Pantalla de protección para silleta de pórtico PRE para 2 ménsula</t>
  </si>
  <si>
    <t>93-3.01</t>
  </si>
  <si>
    <t>93-3.02</t>
  </si>
  <si>
    <t>93-3.03</t>
  </si>
  <si>
    <t>93-3.04</t>
  </si>
  <si>
    <t>93-3.05</t>
  </si>
  <si>
    <t>93-3.06</t>
  </si>
  <si>
    <t>93-3.07</t>
  </si>
  <si>
    <t>93-3.08</t>
  </si>
  <si>
    <t>93-3.09</t>
  </si>
  <si>
    <t>93-3.09BIS</t>
  </si>
  <si>
    <t>OCS Update</t>
  </si>
  <si>
    <t>S.D.</t>
  </si>
  <si>
    <t>DW6932</t>
  </si>
  <si>
    <t>DW6931</t>
  </si>
  <si>
    <t>DW6933</t>
  </si>
  <si>
    <t>DW6999</t>
  </si>
  <si>
    <t>Unique solutions by KEDMOR from KP94 to 97</t>
  </si>
  <si>
    <t>WA7</t>
  </si>
  <si>
    <t>SUPPORTS IN LATERAL WALLS</t>
  </si>
  <si>
    <t>SUPPORTS IN TOP WALLS</t>
  </si>
  <si>
    <t>WA6</t>
  </si>
  <si>
    <t>WH4</t>
  </si>
  <si>
    <t>WH5</t>
  </si>
  <si>
    <t>WH6</t>
  </si>
  <si>
    <t>WH7</t>
  </si>
  <si>
    <t>2WH3</t>
  </si>
  <si>
    <t>2WH4</t>
  </si>
  <si>
    <t>Soporte lateral especial con tirantes para poste HEB-300 en muro existente.</t>
  </si>
  <si>
    <t>Soporte lateral especial con tirantes para poste HEB-320 en muro existente.</t>
  </si>
  <si>
    <t>Soporte lateral especial con 3 apoyos para poste HEB-260 en muro existente.</t>
  </si>
  <si>
    <t>Soporte lateral especial con 3 apoyos para poste HEB-280 en muro existente.</t>
  </si>
  <si>
    <t>Soporte lateral especial con 3 apoyos para poste HEB-300 en muro existente.</t>
  </si>
  <si>
    <t>Soporte lateral especial con 3 apoyos para poste HEB-320 en muro existente.</t>
  </si>
  <si>
    <t>Soporte lateral especial con 3 apoyos para poste 2HEB-240 en muro existente.</t>
  </si>
  <si>
    <t>Soporte lateral especial con 3 apoyos para poste 2HEB-260 en muro existente.</t>
  </si>
  <si>
    <t>Update type of disconnerctors according Sectioning Diagram Rev11</t>
  </si>
  <si>
    <t>Special supports have been included in the counts sheet (WA6, WA7, and WHX)</t>
  </si>
  <si>
    <t>Implement L Foundation according KEDMOR Unique solution between KP93 to 97</t>
  </si>
  <si>
    <t>C8R</t>
  </si>
  <si>
    <t>C8RT</t>
  </si>
  <si>
    <t>C9R</t>
  </si>
  <si>
    <t>C9RT</t>
  </si>
  <si>
    <t>DW6937</t>
  </si>
  <si>
    <t>DW6936</t>
  </si>
  <si>
    <t>DW6942</t>
  </si>
  <si>
    <t>Change WA7 by C7R in profile 97-3.03 and 97-3.04</t>
  </si>
  <si>
    <t>TRACK 3 TLV SAVIDOR</t>
  </si>
  <si>
    <t>KEDMOR Unique solution Profile 93-2.12 according DW 6950</t>
  </si>
  <si>
    <t>RW1T-S</t>
  </si>
  <si>
    <t>RW1T-C</t>
  </si>
  <si>
    <t>Update EMF solutions Hahagana Station</t>
  </si>
  <si>
    <t>AnMC-RL</t>
  </si>
  <si>
    <t>DW6984</t>
  </si>
  <si>
    <t>AnM-RL</t>
  </si>
  <si>
    <t>DW6965</t>
  </si>
  <si>
    <t>DW6930</t>
  </si>
  <si>
    <t>DW6919
DW6921</t>
  </si>
  <si>
    <t>90-1.06</t>
  </si>
  <si>
    <t>90-1.04</t>
  </si>
  <si>
    <t>90-1.05</t>
  </si>
  <si>
    <t>90-1.01</t>
  </si>
  <si>
    <t>90-1.02</t>
  </si>
  <si>
    <t>90-1.03</t>
  </si>
  <si>
    <t>89-1.21</t>
  </si>
  <si>
    <t>89-1.20</t>
  </si>
  <si>
    <t>89-2.20</t>
  </si>
  <si>
    <t>89-2.21</t>
  </si>
  <si>
    <t>90-2.01</t>
  </si>
  <si>
    <t>90-2.02</t>
  </si>
  <si>
    <t>90-2.03</t>
  </si>
  <si>
    <t>90-2.04</t>
  </si>
  <si>
    <t>90-2.05</t>
  </si>
  <si>
    <t>90-2.06</t>
  </si>
  <si>
    <t>89-3.01</t>
  </si>
  <si>
    <t>89-3.20</t>
  </si>
  <si>
    <t>89-3.21</t>
  </si>
  <si>
    <t>89-3.02</t>
  </si>
  <si>
    <t>89-3.03</t>
  </si>
  <si>
    <t>89-3.04</t>
  </si>
  <si>
    <t>89-3.05</t>
  </si>
  <si>
    <t>89-3.06</t>
  </si>
  <si>
    <t>89-4.20</t>
  </si>
  <si>
    <t>89-4.21</t>
  </si>
  <si>
    <t>89-4.01</t>
  </si>
  <si>
    <t>89-4.02</t>
  </si>
  <si>
    <t>89-4.03</t>
  </si>
  <si>
    <t>89-4.04</t>
  </si>
  <si>
    <t>89-4.05</t>
  </si>
  <si>
    <t>89-4.06</t>
  </si>
  <si>
    <t>MP A/S</t>
  </si>
  <si>
    <t>AnMP S/A</t>
  </si>
  <si>
    <t>DW6933
DW6965</t>
  </si>
  <si>
    <t>DW6931
DW6965</t>
  </si>
  <si>
    <t>Drainage Work</t>
  </si>
  <si>
    <t>Update portal type of profiles 97-1.03-97-3.03 and 97-1.04-97-3.04</t>
  </si>
  <si>
    <t>TSA-01</t>
  </si>
  <si>
    <t>TSA-02</t>
  </si>
  <si>
    <t>TSA-03</t>
  </si>
  <si>
    <t>TSA-04</t>
  </si>
  <si>
    <t>TSA-05</t>
  </si>
  <si>
    <t>TSA-07</t>
  </si>
  <si>
    <t>TSA-11</t>
  </si>
  <si>
    <t>TSA-12</t>
  </si>
  <si>
    <t>TSA-14</t>
  </si>
  <si>
    <t>TSA-B02</t>
  </si>
  <si>
    <t>TSA-10</t>
  </si>
  <si>
    <t>TSA-16</t>
  </si>
  <si>
    <t>TSA-B01</t>
  </si>
  <si>
    <t>TSA-09</t>
  </si>
  <si>
    <t>TSA-17</t>
  </si>
  <si>
    <t>TSA-08</t>
  </si>
  <si>
    <t>TSA-18</t>
  </si>
  <si>
    <t>TSA-21</t>
  </si>
  <si>
    <t>TSA-27</t>
  </si>
  <si>
    <t>TSA-20</t>
  </si>
  <si>
    <t>TSA-28</t>
  </si>
  <si>
    <t>TSA-23</t>
  </si>
  <si>
    <t>TSA-25</t>
  </si>
  <si>
    <t>TSA-29</t>
  </si>
  <si>
    <t>THA-01</t>
  </si>
  <si>
    <t>THA-05</t>
  </si>
  <si>
    <t>THA-BF03</t>
  </si>
  <si>
    <t>THA-BF01</t>
  </si>
  <si>
    <t>THA-BF04</t>
  </si>
  <si>
    <t>THA-02</t>
  </si>
  <si>
    <t>THA-06</t>
  </si>
  <si>
    <t>THA-08</t>
  </si>
  <si>
    <t>THA-03</t>
  </si>
  <si>
    <t>THA-07</t>
  </si>
  <si>
    <t>THA-BF02</t>
  </si>
  <si>
    <t>THA-BF06</t>
  </si>
  <si>
    <t>THA-09</t>
  </si>
  <si>
    <t>THA-12</t>
  </si>
  <si>
    <t>THA-14</t>
  </si>
  <si>
    <t>THA-11</t>
  </si>
  <si>
    <t>THA-13</t>
  </si>
  <si>
    <t>HLZ-F1.5</t>
  </si>
  <si>
    <t>HLZ-F1.4</t>
  </si>
  <si>
    <t>Update disconnector names (TCS&amp;THG) according ISR requirement</t>
  </si>
  <si>
    <t>Rename disconnector names (TCS&amp;THG) according last name</t>
  </si>
  <si>
    <t>UN2-B01</t>
  </si>
  <si>
    <t>86-1.09</t>
  </si>
  <si>
    <t>86-1.10</t>
  </si>
  <si>
    <t>86-1.11</t>
  </si>
  <si>
    <t>86-1.12</t>
  </si>
  <si>
    <t>86-1.13</t>
  </si>
  <si>
    <t>86-1.14</t>
  </si>
  <si>
    <t>86-1.15</t>
  </si>
  <si>
    <t>86-1.16</t>
  </si>
  <si>
    <t>86-1.17</t>
  </si>
  <si>
    <t>86-1.18</t>
  </si>
  <si>
    <t>86-1.19</t>
  </si>
  <si>
    <t>86-1.20</t>
  </si>
  <si>
    <t>86-1.21</t>
  </si>
  <si>
    <t>86-1.22</t>
  </si>
  <si>
    <t>87-1.01</t>
  </si>
  <si>
    <t>87-1.02</t>
  </si>
  <si>
    <t>87-1.03</t>
  </si>
  <si>
    <t>87-1.04</t>
  </si>
  <si>
    <t>87-1.05</t>
  </si>
  <si>
    <t>87-1.06</t>
  </si>
  <si>
    <t>87-1.07</t>
  </si>
  <si>
    <t>87-1.08</t>
  </si>
  <si>
    <t>87-1.09</t>
  </si>
  <si>
    <t>87-1.10</t>
  </si>
  <si>
    <t>87-1.11</t>
  </si>
  <si>
    <t>87-1.12</t>
  </si>
  <si>
    <t>87-1.13</t>
  </si>
  <si>
    <t>87-1.14</t>
  </si>
  <si>
    <t>87-1.15</t>
  </si>
  <si>
    <t>87-1.16</t>
  </si>
  <si>
    <t>87-1.17</t>
  </si>
  <si>
    <t>88-1.01</t>
  </si>
  <si>
    <t>88-1.02</t>
  </si>
  <si>
    <t>88-1.03</t>
  </si>
  <si>
    <t>88-1.04</t>
  </si>
  <si>
    <t>88-1.05</t>
  </si>
  <si>
    <t>88-1.06</t>
  </si>
  <si>
    <t>88-1.07</t>
  </si>
  <si>
    <t>88-1.08</t>
  </si>
  <si>
    <t>88-1.09</t>
  </si>
  <si>
    <t>88-1.10</t>
  </si>
  <si>
    <t>88-1.11</t>
  </si>
  <si>
    <t>88-1.12</t>
  </si>
  <si>
    <t>88-1.13</t>
  </si>
  <si>
    <t>88-1.14</t>
  </si>
  <si>
    <t>88-1.15</t>
  </si>
  <si>
    <t>88-1.16</t>
  </si>
  <si>
    <t>88-1.17</t>
  </si>
  <si>
    <t>88-1.18</t>
  </si>
  <si>
    <t>88-1.19</t>
  </si>
  <si>
    <t>88-1.20</t>
  </si>
  <si>
    <t>89-1.01</t>
  </si>
  <si>
    <t>89-1.02</t>
  </si>
  <si>
    <t>89-1.03</t>
  </si>
  <si>
    <t>89-1.04</t>
  </si>
  <si>
    <t>89-1.05</t>
  </si>
  <si>
    <t>89-1.06</t>
  </si>
  <si>
    <t>89-1.07</t>
  </si>
  <si>
    <t>89-1.08</t>
  </si>
  <si>
    <t>89-1.09</t>
  </si>
  <si>
    <t>89-1.10</t>
  </si>
  <si>
    <t>89-1.11</t>
  </si>
  <si>
    <t>89-1.12</t>
  </si>
  <si>
    <t>89-1.13</t>
  </si>
  <si>
    <t>89-1.14</t>
  </si>
  <si>
    <t>89-1.15</t>
  </si>
  <si>
    <t>89-1.16</t>
  </si>
  <si>
    <t>89-1.17</t>
  </si>
  <si>
    <t>89-1.18</t>
  </si>
  <si>
    <t>89-1.19</t>
  </si>
  <si>
    <t>S/A S/A A/S</t>
  </si>
  <si>
    <t>UN2-NS1</t>
  </si>
  <si>
    <t>UN2-NS5</t>
  </si>
  <si>
    <t>UN2-B02</t>
  </si>
  <si>
    <t>UN2-B03</t>
  </si>
  <si>
    <t>UN2-NS9</t>
  </si>
  <si>
    <t>LoadB/NS</t>
  </si>
  <si>
    <t>Drainage Works</t>
  </si>
  <si>
    <t>PHC-1150</t>
  </si>
  <si>
    <t>TBA-01</t>
  </si>
  <si>
    <t>TBA-07</t>
  </si>
  <si>
    <t>RW1-T</t>
  </si>
  <si>
    <t>FP+AnMC
FP+AnMC</t>
  </si>
  <si>
    <t>AnRW 
AnRW</t>
  </si>
  <si>
    <t>RW1T
RW1T
RW1T</t>
  </si>
  <si>
    <t>UN2-NS2</t>
  </si>
  <si>
    <t>UN2-NS6</t>
  </si>
  <si>
    <t>UN2-NS10</t>
  </si>
  <si>
    <t>UN2-B04</t>
  </si>
  <si>
    <t>86-2.09</t>
  </si>
  <si>
    <t>86-2.10</t>
  </si>
  <si>
    <t>86-2.11</t>
  </si>
  <si>
    <t>86-2.12</t>
  </si>
  <si>
    <t>86-2.13</t>
  </si>
  <si>
    <t>86-2.14</t>
  </si>
  <si>
    <t>86-2.15</t>
  </si>
  <si>
    <t>86-2.16</t>
  </si>
  <si>
    <t>86-2.17</t>
  </si>
  <si>
    <t>86-2.18</t>
  </si>
  <si>
    <t>86-2.19</t>
  </si>
  <si>
    <t>86-2.20</t>
  </si>
  <si>
    <t>86-2.21</t>
  </si>
  <si>
    <t>86-2.22</t>
  </si>
  <si>
    <t>87-2.01</t>
  </si>
  <si>
    <t>87-2.02</t>
  </si>
  <si>
    <t>87-2.03</t>
  </si>
  <si>
    <t>87-2.04</t>
  </si>
  <si>
    <t>87-2.05</t>
  </si>
  <si>
    <t>87-2.06</t>
  </si>
  <si>
    <t>87-2.07</t>
  </si>
  <si>
    <t>87-2.08</t>
  </si>
  <si>
    <t>87-2.09</t>
  </si>
  <si>
    <t>87-2.10</t>
  </si>
  <si>
    <t>87-2.11</t>
  </si>
  <si>
    <t>87-2.12</t>
  </si>
  <si>
    <t>87-2.13</t>
  </si>
  <si>
    <t>87-2.14</t>
  </si>
  <si>
    <t>87-2.15</t>
  </si>
  <si>
    <t>87-2.16</t>
  </si>
  <si>
    <t>87-2.17</t>
  </si>
  <si>
    <t>88-2.01</t>
  </si>
  <si>
    <t>88-2.02</t>
  </si>
  <si>
    <t>88-2.03</t>
  </si>
  <si>
    <t>88-2.04</t>
  </si>
  <si>
    <t>88-2.05</t>
  </si>
  <si>
    <t>88-2.06</t>
  </si>
  <si>
    <t>88-2.07</t>
  </si>
  <si>
    <t>88-2.08</t>
  </si>
  <si>
    <t>88-2.09</t>
  </si>
  <si>
    <t>88-2.10</t>
  </si>
  <si>
    <t>88-2.11</t>
  </si>
  <si>
    <t>88-2.12</t>
  </si>
  <si>
    <t>88-2.13</t>
  </si>
  <si>
    <t>88-2.14</t>
  </si>
  <si>
    <t>88-2.15</t>
  </si>
  <si>
    <t>88-2.16</t>
  </si>
  <si>
    <t>88-2.17</t>
  </si>
  <si>
    <t>88-2.18</t>
  </si>
  <si>
    <t>88-2.19</t>
  </si>
  <si>
    <t>88-2.20</t>
  </si>
  <si>
    <t>89-2.01</t>
  </si>
  <si>
    <t>89-2.02</t>
  </si>
  <si>
    <t>89-2.03</t>
  </si>
  <si>
    <t>89-2.04</t>
  </si>
  <si>
    <t>89-2.05</t>
  </si>
  <si>
    <t>89-2.06</t>
  </si>
  <si>
    <t>89-2.07</t>
  </si>
  <si>
    <t>89-2.08</t>
  </si>
  <si>
    <t>89-2.09</t>
  </si>
  <si>
    <t>89-2.10</t>
  </si>
  <si>
    <t>89-2.11</t>
  </si>
  <si>
    <t>89-2.12</t>
  </si>
  <si>
    <t>89-2.13</t>
  </si>
  <si>
    <t>89-2.14</t>
  </si>
  <si>
    <t>89-2.15</t>
  </si>
  <si>
    <t>89-2.16</t>
  </si>
  <si>
    <t>89-2.17</t>
  </si>
  <si>
    <t>89-2.18</t>
  </si>
  <si>
    <t>89-2.19</t>
  </si>
  <si>
    <t>TBA-02</t>
  </si>
  <si>
    <t>TBA-06</t>
  </si>
  <si>
    <t>S3</t>
  </si>
  <si>
    <t>S/A P50(CS)</t>
  </si>
  <si>
    <t>TBA-08</t>
  </si>
  <si>
    <t>86-3.09</t>
  </si>
  <si>
    <t>86-3.10</t>
  </si>
  <si>
    <t>86-3.11</t>
  </si>
  <si>
    <t>86-3.12</t>
  </si>
  <si>
    <t>86-3.13</t>
  </si>
  <si>
    <t>86-3.14</t>
  </si>
  <si>
    <t>86-3.15</t>
  </si>
  <si>
    <t>86-3.16</t>
  </si>
  <si>
    <t>86-3.17</t>
  </si>
  <si>
    <t>86-3.18</t>
  </si>
  <si>
    <t>86-3.19</t>
  </si>
  <si>
    <t>86-3.20</t>
  </si>
  <si>
    <t>86-3.21</t>
  </si>
  <si>
    <t>86-3.22</t>
  </si>
  <si>
    <t>87-3.01</t>
  </si>
  <si>
    <t>87-3.02</t>
  </si>
  <si>
    <t>87-3.03</t>
  </si>
  <si>
    <t>87-3.04</t>
  </si>
  <si>
    <t>87-3.05</t>
  </si>
  <si>
    <t>87-3.06</t>
  </si>
  <si>
    <t>87-3.07</t>
  </si>
  <si>
    <t>87-3.08</t>
  </si>
  <si>
    <t>87-3.09</t>
  </si>
  <si>
    <t>87-3.10</t>
  </si>
  <si>
    <t>87-3.11</t>
  </si>
  <si>
    <t>87-3.12</t>
  </si>
  <si>
    <t>87-3.13</t>
  </si>
  <si>
    <t>87-3.14</t>
  </si>
  <si>
    <t>87-3.15</t>
  </si>
  <si>
    <t>87-3.16</t>
  </si>
  <si>
    <t>87-3.17</t>
  </si>
  <si>
    <t>88-3.01</t>
  </si>
  <si>
    <t>88-3.02</t>
  </si>
  <si>
    <t>88-3.03</t>
  </si>
  <si>
    <t>88-3.04</t>
  </si>
  <si>
    <t>88-3.05</t>
  </si>
  <si>
    <t>88-3.06</t>
  </si>
  <si>
    <t>88-3.07</t>
  </si>
  <si>
    <t>88-3.08</t>
  </si>
  <si>
    <t>88-3.09</t>
  </si>
  <si>
    <t>88-3.10</t>
  </si>
  <si>
    <t>88-3.11</t>
  </si>
  <si>
    <t>88-3.12</t>
  </si>
  <si>
    <t>88-3.13</t>
  </si>
  <si>
    <t>88-3.14</t>
  </si>
  <si>
    <t>88-3.15</t>
  </si>
  <si>
    <t>88-3.16</t>
  </si>
  <si>
    <t>88-3.17</t>
  </si>
  <si>
    <t>88-3.18</t>
  </si>
  <si>
    <t>88-3.19</t>
  </si>
  <si>
    <t>88-3.20</t>
  </si>
  <si>
    <t>89-3.07</t>
  </si>
  <si>
    <t>89-3.08</t>
  </si>
  <si>
    <t>89-3.09</t>
  </si>
  <si>
    <t>89-3.10</t>
  </si>
  <si>
    <t>89-3.11</t>
  </si>
  <si>
    <t>89-3.12</t>
  </si>
  <si>
    <t>89-3.13</t>
  </si>
  <si>
    <t>89-3.14</t>
  </si>
  <si>
    <t>89-3.15</t>
  </si>
  <si>
    <t>89-3.16</t>
  </si>
  <si>
    <t>89-3.17</t>
  </si>
  <si>
    <t>89-3.18</t>
  </si>
  <si>
    <t>89-3.19</t>
  </si>
  <si>
    <t>UN2-NS3</t>
  </si>
  <si>
    <t>UN2-NS7</t>
  </si>
  <si>
    <t>UN2-NS11</t>
  </si>
  <si>
    <t>86-4.09</t>
  </si>
  <si>
    <t>86-4.10</t>
  </si>
  <si>
    <t>86-4.11</t>
  </si>
  <si>
    <t>86-4.12</t>
  </si>
  <si>
    <t>86-4.13</t>
  </si>
  <si>
    <t>86-4.14</t>
  </si>
  <si>
    <t>86-4.15</t>
  </si>
  <si>
    <t>86-4.16</t>
  </si>
  <si>
    <t>86-4.17</t>
  </si>
  <si>
    <t>86-4.18</t>
  </si>
  <si>
    <t>86-4.19</t>
  </si>
  <si>
    <t>86-4.20</t>
  </si>
  <si>
    <t>86-4.21</t>
  </si>
  <si>
    <t>86-4.22</t>
  </si>
  <si>
    <t>87-4.01</t>
  </si>
  <si>
    <t>87-4.02</t>
  </si>
  <si>
    <t>87-4.03</t>
  </si>
  <si>
    <t>87-4.04</t>
  </si>
  <si>
    <t>87-4.05</t>
  </si>
  <si>
    <t>87-4.06</t>
  </si>
  <si>
    <t>87-4.07</t>
  </si>
  <si>
    <t>87-4.08</t>
  </si>
  <si>
    <t>87-4.09</t>
  </si>
  <si>
    <t>87-4.10</t>
  </si>
  <si>
    <t>87-4.11</t>
  </si>
  <si>
    <t>87-4.12</t>
  </si>
  <si>
    <t>87-4.13</t>
  </si>
  <si>
    <t>87-4.14</t>
  </si>
  <si>
    <t>87-4.15</t>
  </si>
  <si>
    <t>87-4.16</t>
  </si>
  <si>
    <t>87-4.17</t>
  </si>
  <si>
    <t>88-4.01</t>
  </si>
  <si>
    <t>88-4.02</t>
  </si>
  <si>
    <t>88-4.03</t>
  </si>
  <si>
    <t>88-4.04</t>
  </si>
  <si>
    <t>88-4.05</t>
  </si>
  <si>
    <t>88-4.06</t>
  </si>
  <si>
    <t>88-4.07</t>
  </si>
  <si>
    <t>88-4.08</t>
  </si>
  <si>
    <t>88-4.09</t>
  </si>
  <si>
    <t>88-4.10</t>
  </si>
  <si>
    <t>88-4.11</t>
  </si>
  <si>
    <t>88-4.12</t>
  </si>
  <si>
    <t>88-4.13</t>
  </si>
  <si>
    <t>88-4.14</t>
  </si>
  <si>
    <t>88-4.15</t>
  </si>
  <si>
    <t>88-4.16</t>
  </si>
  <si>
    <t>88-4.17</t>
  </si>
  <si>
    <t>88-4.18</t>
  </si>
  <si>
    <t>88-4.19</t>
  </si>
  <si>
    <t>88-4.20</t>
  </si>
  <si>
    <t>89-4.07</t>
  </si>
  <si>
    <t>89-4.08</t>
  </si>
  <si>
    <t>89-4.09</t>
  </si>
  <si>
    <t>89-4.10</t>
  </si>
  <si>
    <t>89-4.11</t>
  </si>
  <si>
    <t>89-4.12</t>
  </si>
  <si>
    <t>89-4.13</t>
  </si>
  <si>
    <t>89-4.14</t>
  </si>
  <si>
    <t>89-4.15</t>
  </si>
  <si>
    <t>89-4.16</t>
  </si>
  <si>
    <t>89-4.17</t>
  </si>
  <si>
    <t>89-4.18</t>
  </si>
  <si>
    <t>89-4.19</t>
  </si>
  <si>
    <t>TBA-03</t>
  </si>
  <si>
    <t>TBA-09</t>
  </si>
  <si>
    <t>S/A P55(CS)</t>
  </si>
  <si>
    <t>TBA-04</t>
  </si>
  <si>
    <t>S/A P50(CS) AnMP</t>
  </si>
  <si>
    <t>TBA-12</t>
  </si>
  <si>
    <t>THS-BF01</t>
  </si>
  <si>
    <t>THS-BF02</t>
  </si>
  <si>
    <t>THS-BF03</t>
  </si>
  <si>
    <t>THS-BF04</t>
  </si>
  <si>
    <t>THS-BF05</t>
  </si>
  <si>
    <t>THS-BF06</t>
  </si>
  <si>
    <t>TSA-BF01</t>
  </si>
  <si>
    <t>AnRW AnRW</t>
  </si>
  <si>
    <t>TSA-BF05</t>
  </si>
  <si>
    <t>93+443,45
93+458,45</t>
  </si>
  <si>
    <t>AnM-RL
AnM-RL</t>
  </si>
  <si>
    <t>TSA-BF06</t>
  </si>
  <si>
    <t xml:space="preserve">Update bypass disconnector at TLV Hashalom and TLV Savidor Center Stations </t>
  </si>
  <si>
    <t xml:space="preserve">Change profile 92-4,23 to profile type HEB-320L with gantry PR1C </t>
  </si>
  <si>
    <t>AnRW2 track 1</t>
  </si>
  <si>
    <t>Update return wire anchor  TLV Hashalom, TLV Savidor Center Stations and TLV Hahagana</t>
  </si>
  <si>
    <t>TRACK 1 HERZLIYA-TLV SAVIDOR</t>
  </si>
  <si>
    <t>THA-10</t>
  </si>
  <si>
    <t>Update Unique solutions by KEDMOR from profile 94-1.19 to 97-1.05BIS</t>
  </si>
  <si>
    <t>WS5</t>
  </si>
  <si>
    <t>DW6947</t>
  </si>
  <si>
    <t>Poste HEB-280 con soporte lateral en muro existente</t>
  </si>
  <si>
    <t>TUN-03</t>
  </si>
  <si>
    <t>UN2-NS4</t>
  </si>
  <si>
    <t>UN2-B05</t>
  </si>
  <si>
    <t>UN2-B06</t>
  </si>
  <si>
    <t>UN2-NS8</t>
  </si>
  <si>
    <t>UN2-NS12</t>
  </si>
  <si>
    <t>TRACK 4 HERZLIYA-TLV SAVIDOR</t>
  </si>
  <si>
    <t>DW6938</t>
  </si>
  <si>
    <t>DW6919
DW6938</t>
  </si>
  <si>
    <t>Update Unique solutions by KEDMOR  profiles of Track 1 TLV SAVIDOR - TLV HAHAGANA</t>
  </si>
  <si>
    <t>Correction profile 97-3.05BIS</t>
  </si>
  <si>
    <t>90-4.01</t>
  </si>
  <si>
    <t>90-4.02</t>
  </si>
  <si>
    <t>90-4.03</t>
  </si>
  <si>
    <t>90-4.04</t>
  </si>
  <si>
    <t>90-4.05</t>
  </si>
  <si>
    <t>90-4.06</t>
  </si>
  <si>
    <t>90-3.01</t>
  </si>
  <si>
    <t>90-3.02</t>
  </si>
  <si>
    <t>90-3.03</t>
  </si>
  <si>
    <t>90-3.04</t>
  </si>
  <si>
    <t>90-3.05</t>
  </si>
  <si>
    <t>90-3.06</t>
  </si>
  <si>
    <t>Update correction elevation OCS on profiles with variation of CW Height</t>
  </si>
  <si>
    <t>WB7</t>
  </si>
  <si>
    <t>DW6943</t>
  </si>
  <si>
    <t>S/A A/S AnMP</t>
  </si>
  <si>
    <t xml:space="preserve">Update MP profile 96-2.06 </t>
  </si>
  <si>
    <t>31/012019</t>
  </si>
  <si>
    <t>Update correction variation of CW Height on Hahagana Station</t>
  </si>
  <si>
    <t>2MP S/A</t>
  </si>
  <si>
    <t>2,8
2,8</t>
  </si>
  <si>
    <t>DW6984
DW6936
DW6984</t>
  </si>
  <si>
    <t>Update Layout profiles KP 86+842 to 88+416</t>
  </si>
  <si>
    <t>RW1-C</t>
  </si>
  <si>
    <t>Profile 96-1.06 and 96-1.07 changes to S-1T-H, 96-3.06 Aand 96-3.07 changes to S-2T-H</t>
  </si>
  <si>
    <t>C7R_L</t>
  </si>
  <si>
    <t>HR Track 1 RA'AN-HER, HR Track 2 RA'AN-HER</t>
  </si>
  <si>
    <t>85-1.02</t>
  </si>
  <si>
    <t>85-1.03</t>
  </si>
  <si>
    <t>85-1.04</t>
  </si>
  <si>
    <t>85-1.05</t>
  </si>
  <si>
    <t>85-1.06</t>
  </si>
  <si>
    <t>85-1.07</t>
  </si>
  <si>
    <t>85-1.08</t>
  </si>
  <si>
    <t>85-1.09</t>
  </si>
  <si>
    <t>85-1.10</t>
  </si>
  <si>
    <t>85-1.11</t>
  </si>
  <si>
    <t>85-1.12</t>
  </si>
  <si>
    <t>85-1.13</t>
  </si>
  <si>
    <t>85-1.14</t>
  </si>
  <si>
    <t>85-1.15</t>
  </si>
  <si>
    <t>85-1.16</t>
  </si>
  <si>
    <t>85-1.17</t>
  </si>
  <si>
    <t>85-1.18</t>
  </si>
  <si>
    <t>85-1.19</t>
  </si>
  <si>
    <t>85-1.20</t>
  </si>
  <si>
    <t>86-1.01</t>
  </si>
  <si>
    <t>86-1.02</t>
  </si>
  <si>
    <t>86-1.03</t>
  </si>
  <si>
    <t>86-1.04</t>
  </si>
  <si>
    <t>86-1.05</t>
  </si>
  <si>
    <t>86-1.06</t>
  </si>
  <si>
    <t>86-1.07</t>
  </si>
  <si>
    <t>86-1.08</t>
  </si>
  <si>
    <t>Pit Electricla Optical</t>
  </si>
  <si>
    <t>85-2.02</t>
  </si>
  <si>
    <t>85-2.03</t>
  </si>
  <si>
    <t>85-2.04</t>
  </si>
  <si>
    <t>85-2.05</t>
  </si>
  <si>
    <t>85-2.06</t>
  </si>
  <si>
    <t>85-2.07</t>
  </si>
  <si>
    <t>85-2.08</t>
  </si>
  <si>
    <t>85-2.09</t>
  </si>
  <si>
    <t>85-2.10</t>
  </si>
  <si>
    <t>85-2.11</t>
  </si>
  <si>
    <t>85-2.12</t>
  </si>
  <si>
    <t>85-2.13</t>
  </si>
  <si>
    <t>85-2.14</t>
  </si>
  <si>
    <t>85-2.15</t>
  </si>
  <si>
    <t>85-2.16</t>
  </si>
  <si>
    <t>85-2.17</t>
  </si>
  <si>
    <t>85-2.18</t>
  </si>
  <si>
    <t>85-2.19</t>
  </si>
  <si>
    <t>85-2.20</t>
  </si>
  <si>
    <t>86-2.01</t>
  </si>
  <si>
    <t>86-2.02</t>
  </si>
  <si>
    <t>86-2.03</t>
  </si>
  <si>
    <t>86-2.04</t>
  </si>
  <si>
    <t>86-2.05</t>
  </si>
  <si>
    <t>86-2.06</t>
  </si>
  <si>
    <t>86-2.07</t>
  </si>
  <si>
    <t>86-2.08</t>
  </si>
  <si>
    <t>85-3.02</t>
  </si>
  <si>
    <t>85-3.03</t>
  </si>
  <si>
    <t>85-3.04</t>
  </si>
  <si>
    <t>85-3.05</t>
  </si>
  <si>
    <t>85-3.06</t>
  </si>
  <si>
    <t>85-3.07</t>
  </si>
  <si>
    <t>85-3.08</t>
  </si>
  <si>
    <t>85-3.09</t>
  </si>
  <si>
    <t>85-3.10</t>
  </si>
  <si>
    <t>85-3.11</t>
  </si>
  <si>
    <t>85-3.12</t>
  </si>
  <si>
    <t>85-3.13</t>
  </si>
  <si>
    <t>85-3.14</t>
  </si>
  <si>
    <t>85-3.15</t>
  </si>
  <si>
    <t>85-3.16</t>
  </si>
  <si>
    <t>85-3.17</t>
  </si>
  <si>
    <t>85-3.18</t>
  </si>
  <si>
    <t>85-3.19</t>
  </si>
  <si>
    <t>85-3.20</t>
  </si>
  <si>
    <t>86-3.01</t>
  </si>
  <si>
    <t>86-3.02</t>
  </si>
  <si>
    <t>86-3.03</t>
  </si>
  <si>
    <t>86-3.04</t>
  </si>
  <si>
    <t>86-3.05</t>
  </si>
  <si>
    <t>86-3.06</t>
  </si>
  <si>
    <t>86-3.07</t>
  </si>
  <si>
    <t>86-3.08</t>
  </si>
  <si>
    <t>HER-21</t>
  </si>
  <si>
    <t>85-4.02</t>
  </si>
  <si>
    <t>85-4.03</t>
  </si>
  <si>
    <t>85-4.04</t>
  </si>
  <si>
    <t>85-4.05</t>
  </si>
  <si>
    <t>85-4.06</t>
  </si>
  <si>
    <t>85-4.07</t>
  </si>
  <si>
    <t>85-4.08</t>
  </si>
  <si>
    <t>85-4.09</t>
  </si>
  <si>
    <t>85-4.10</t>
  </si>
  <si>
    <t>85-4.11</t>
  </si>
  <si>
    <t>85-4.12</t>
  </si>
  <si>
    <t>85-4.13</t>
  </si>
  <si>
    <t>85-4.14</t>
  </si>
  <si>
    <t>85-4.15</t>
  </si>
  <si>
    <t>85-4.16</t>
  </si>
  <si>
    <t>85-4.17</t>
  </si>
  <si>
    <t>85-4.18</t>
  </si>
  <si>
    <t>85-4.19</t>
  </si>
  <si>
    <t>85-4.20</t>
  </si>
  <si>
    <t>86-4.01</t>
  </si>
  <si>
    <t>86-4.02</t>
  </si>
  <si>
    <t>86-4.03</t>
  </si>
  <si>
    <t>86-4.04</t>
  </si>
  <si>
    <t>86-4.05</t>
  </si>
  <si>
    <t>86-4.06</t>
  </si>
  <si>
    <t>86-4.07</t>
  </si>
  <si>
    <t>86-4.08</t>
  </si>
  <si>
    <t>HER-22</t>
  </si>
  <si>
    <t>90-5.13</t>
  </si>
  <si>
    <t>90-5.14</t>
  </si>
  <si>
    <t>TRACK 5 BNEI BRAK-HERZLIYA</t>
  </si>
  <si>
    <t>TRACK 1 RA'ANNANA-HERZLIYA</t>
  </si>
  <si>
    <t>79-1.11</t>
  </si>
  <si>
    <t>Undepass (Tunnel)</t>
  </si>
  <si>
    <t>RPN-NS2</t>
  </si>
  <si>
    <t>RPN-NS4</t>
  </si>
  <si>
    <t>RPN-NS6</t>
  </si>
  <si>
    <t>RPN-B01</t>
  </si>
  <si>
    <t>RPN-B02</t>
  </si>
  <si>
    <t>RPN-FP6A</t>
  </si>
  <si>
    <t>79-2.11</t>
  </si>
  <si>
    <t>79-2.12</t>
  </si>
  <si>
    <t>79-2.13</t>
  </si>
  <si>
    <t>79-2.14</t>
  </si>
  <si>
    <t>79-2.15</t>
  </si>
  <si>
    <t>79-2.16</t>
  </si>
  <si>
    <t>79-2.17</t>
  </si>
  <si>
    <t>79-2.18</t>
  </si>
  <si>
    <t>79-2.19</t>
  </si>
  <si>
    <t>79-2.20</t>
  </si>
  <si>
    <t>79-2.21</t>
  </si>
  <si>
    <t>79-2.22</t>
  </si>
  <si>
    <t>80-2.01</t>
  </si>
  <si>
    <t>80-2.02</t>
  </si>
  <si>
    <t>80-2.03</t>
  </si>
  <si>
    <t>80-2.04</t>
  </si>
  <si>
    <t>80-2.05</t>
  </si>
  <si>
    <t>80-2.06</t>
  </si>
  <si>
    <t>80-2.07</t>
  </si>
  <si>
    <t>80-2.08</t>
  </si>
  <si>
    <t>80-2.09</t>
  </si>
  <si>
    <t>80-2.10</t>
  </si>
  <si>
    <t>80-2.11</t>
  </si>
  <si>
    <t>80-2.12</t>
  </si>
  <si>
    <t>80-2.13</t>
  </si>
  <si>
    <t>80-2.14</t>
  </si>
  <si>
    <t>80-2.15</t>
  </si>
  <si>
    <t>80-2.16</t>
  </si>
  <si>
    <t>80-2.17</t>
  </si>
  <si>
    <t>80-2.18</t>
  </si>
  <si>
    <t>80-2.19</t>
  </si>
  <si>
    <t>81-2.01</t>
  </si>
  <si>
    <t>81-2.02</t>
  </si>
  <si>
    <t>81-2.03</t>
  </si>
  <si>
    <t>81-2.04</t>
  </si>
  <si>
    <t>81-2.05</t>
  </si>
  <si>
    <t>81-2.06</t>
  </si>
  <si>
    <t>81-2.07</t>
  </si>
  <si>
    <t>81-2.08</t>
  </si>
  <si>
    <t>81-2.09</t>
  </si>
  <si>
    <t>81-2.10</t>
  </si>
  <si>
    <t>81-2.11</t>
  </si>
  <si>
    <t>81-2.12</t>
  </si>
  <si>
    <t>81-2.13</t>
  </si>
  <si>
    <t>81-2.14</t>
  </si>
  <si>
    <t>81-2.15</t>
  </si>
  <si>
    <t>81-2.16</t>
  </si>
  <si>
    <t>81-2.17</t>
  </si>
  <si>
    <t>81-2.18</t>
  </si>
  <si>
    <t>81-2.19</t>
  </si>
  <si>
    <t>81-2.20</t>
  </si>
  <si>
    <t>82-2.01</t>
  </si>
  <si>
    <t>82-2.02</t>
  </si>
  <si>
    <t>82-2.03</t>
  </si>
  <si>
    <t>82-2.04</t>
  </si>
  <si>
    <t>82-2.05</t>
  </si>
  <si>
    <t>82-2.06</t>
  </si>
  <si>
    <t>82-2.07</t>
  </si>
  <si>
    <t>82-2.08</t>
  </si>
  <si>
    <t>2xFW-25</t>
  </si>
  <si>
    <t>FW-25</t>
  </si>
  <si>
    <t>NS UNIVERSITY 2</t>
  </si>
  <si>
    <t>NS TS RISHPON</t>
  </si>
  <si>
    <t>79-1.12</t>
  </si>
  <si>
    <t>79-1.13</t>
  </si>
  <si>
    <t>79-1.14</t>
  </si>
  <si>
    <t>79-1.15</t>
  </si>
  <si>
    <t>79-1.16</t>
  </si>
  <si>
    <t>79-1.17</t>
  </si>
  <si>
    <t>79-1.18</t>
  </si>
  <si>
    <t>79-1.19</t>
  </si>
  <si>
    <t>79-1.20</t>
  </si>
  <si>
    <t>79-1.21</t>
  </si>
  <si>
    <t>79-1.22</t>
  </si>
  <si>
    <t>80-1.01</t>
  </si>
  <si>
    <t>80-1.02</t>
  </si>
  <si>
    <t>80-1.03</t>
  </si>
  <si>
    <t>80-1.04</t>
  </si>
  <si>
    <t>80-1.05</t>
  </si>
  <si>
    <t>80-1.06</t>
  </si>
  <si>
    <t>80-1.07</t>
  </si>
  <si>
    <t>80-1.08</t>
  </si>
  <si>
    <t>80-1.09</t>
  </si>
  <si>
    <t>80-1.10</t>
  </si>
  <si>
    <t>80-1.11</t>
  </si>
  <si>
    <t>80-1.12</t>
  </si>
  <si>
    <t>80-1.13</t>
  </si>
  <si>
    <t>80-1.14</t>
  </si>
  <si>
    <t>80-1.15</t>
  </si>
  <si>
    <t>80-1.16</t>
  </si>
  <si>
    <t>80-1.17</t>
  </si>
  <si>
    <t>80-1.18</t>
  </si>
  <si>
    <t>80-1.19</t>
  </si>
  <si>
    <t>81-1.01</t>
  </si>
  <si>
    <t>81-1.02</t>
  </si>
  <si>
    <t>81-1.03</t>
  </si>
  <si>
    <t>81-1.04</t>
  </si>
  <si>
    <t>81-1.05</t>
  </si>
  <si>
    <t>81-1.06</t>
  </si>
  <si>
    <t>81-1.07</t>
  </si>
  <si>
    <t>81-1.08</t>
  </si>
  <si>
    <t>81-1.09</t>
  </si>
  <si>
    <t>81-1.10</t>
  </si>
  <si>
    <t>81-1.11</t>
  </si>
  <si>
    <t>81-1.12</t>
  </si>
  <si>
    <t>81-1.13</t>
  </si>
  <si>
    <t>81-1.14</t>
  </si>
  <si>
    <t>81-1.15</t>
  </si>
  <si>
    <t>81-1.16</t>
  </si>
  <si>
    <t>81-1.17</t>
  </si>
  <si>
    <t>81-1.18</t>
  </si>
  <si>
    <t>81-1.19</t>
  </si>
  <si>
    <t>81-1.20</t>
  </si>
  <si>
    <t>82-1.01</t>
  </si>
  <si>
    <t>82-1.02</t>
  </si>
  <si>
    <t>82-1.03</t>
  </si>
  <si>
    <t>82-1.04</t>
  </si>
  <si>
    <t>82-1.05</t>
  </si>
  <si>
    <t>82-1.06</t>
  </si>
  <si>
    <t>82-1.07</t>
  </si>
  <si>
    <t>82-1.08</t>
  </si>
  <si>
    <t>Doble Cross 
Undepass (Tunnel)</t>
  </si>
  <si>
    <t>RPN-NS1</t>
  </si>
  <si>
    <t>RPN-NS3</t>
  </si>
  <si>
    <t>RPN-FP5A</t>
  </si>
  <si>
    <t>RPN-NS5</t>
  </si>
  <si>
    <t>12-1.18</t>
  </si>
  <si>
    <t>12-2.18</t>
  </si>
  <si>
    <t>12-1.19</t>
  </si>
  <si>
    <t>12-1.20</t>
  </si>
  <si>
    <t>12-1.21</t>
  </si>
  <si>
    <t>12-1.22</t>
  </si>
  <si>
    <t>12-1.23</t>
  </si>
  <si>
    <t>12-1.24</t>
  </si>
  <si>
    <t>12-1.25</t>
  </si>
  <si>
    <t>12-1.26</t>
  </si>
  <si>
    <t>12-1.27</t>
  </si>
  <si>
    <t>12-1.28</t>
  </si>
  <si>
    <t>12-1.29</t>
  </si>
  <si>
    <t>13-1.01</t>
  </si>
  <si>
    <t>13-1.02</t>
  </si>
  <si>
    <t>13-1.03</t>
  </si>
  <si>
    <t>13-1.04</t>
  </si>
  <si>
    <t>13-1.05</t>
  </si>
  <si>
    <t>13-1.06</t>
  </si>
  <si>
    <t>13-1.07</t>
  </si>
  <si>
    <t>13-1.08</t>
  </si>
  <si>
    <t>13-1.09</t>
  </si>
  <si>
    <t>13-1.10</t>
  </si>
  <si>
    <t>13-1.11</t>
  </si>
  <si>
    <t>13-1.12</t>
  </si>
  <si>
    <t>13-1.13</t>
  </si>
  <si>
    <t>13-1.14</t>
  </si>
  <si>
    <t>13-1.15</t>
  </si>
  <si>
    <t>13-1.16</t>
  </si>
  <si>
    <t>13-1.17</t>
  </si>
  <si>
    <t>13-1.18</t>
  </si>
  <si>
    <t>14-1.01</t>
  </si>
  <si>
    <t>14-1.02</t>
  </si>
  <si>
    <t>14+122,93
82+550,00</t>
  </si>
  <si>
    <t>NS HERZLIYA</t>
  </si>
  <si>
    <t>HE2-NS1</t>
  </si>
  <si>
    <t>HE2-NS3</t>
  </si>
  <si>
    <t>HE2-NS5</t>
  </si>
  <si>
    <t>Soil Classification
Final Pk</t>
  </si>
  <si>
    <t xml:space="preserve">
Initial PK</t>
  </si>
  <si>
    <t xml:space="preserve">
Clasification</t>
  </si>
  <si>
    <t>PT or K
Final Pk</t>
  </si>
  <si>
    <t>RPN-FP7A</t>
  </si>
  <si>
    <t>12-2.19</t>
  </si>
  <si>
    <t>12-2.20</t>
  </si>
  <si>
    <t>12-2.21</t>
  </si>
  <si>
    <t>12-2.22</t>
  </si>
  <si>
    <t>12-2.23</t>
  </si>
  <si>
    <t>12-2.24</t>
  </si>
  <si>
    <t>12-2.25</t>
  </si>
  <si>
    <t>12-2.26</t>
  </si>
  <si>
    <t>12-2.27</t>
  </si>
  <si>
    <t>12-2.28</t>
  </si>
  <si>
    <t>12-2.29</t>
  </si>
  <si>
    <t>13-2.01</t>
  </si>
  <si>
    <t>13-2.02</t>
  </si>
  <si>
    <t>13-2.03</t>
  </si>
  <si>
    <t>13-2.04</t>
  </si>
  <si>
    <t>13-2.05</t>
  </si>
  <si>
    <t>13-2.06</t>
  </si>
  <si>
    <t>13-2.07</t>
  </si>
  <si>
    <t>13-2.08</t>
  </si>
  <si>
    <t>13-2.09</t>
  </si>
  <si>
    <t>13-2.10</t>
  </si>
  <si>
    <t>13-2.11</t>
  </si>
  <si>
    <t>13-2.12</t>
  </si>
  <si>
    <t>13-2.13</t>
  </si>
  <si>
    <t>13-2.14</t>
  </si>
  <si>
    <t>13-2.15</t>
  </si>
  <si>
    <t>13-2.16</t>
  </si>
  <si>
    <t>13-2.17</t>
  </si>
  <si>
    <t>13-2.18</t>
  </si>
  <si>
    <t>14-2.01</t>
  </si>
  <si>
    <t>14-2.02</t>
  </si>
  <si>
    <t>CP+AnMC IO</t>
  </si>
  <si>
    <t>P50(CS) S/A A/S</t>
  </si>
  <si>
    <t xml:space="preserve">S/A P50(CS) </t>
  </si>
  <si>
    <t xml:space="preserve">Update Layout Savidor Next profiles: 92-1.21 New AnMC anchor, 92-1.22 change pole to 2HEB-260 (CP), 92-1.23 change pole to 2HEB-260 </t>
  </si>
  <si>
    <t>HE2-NS2</t>
  </si>
  <si>
    <t>HE2-NS4</t>
  </si>
  <si>
    <t>HE2-NS6</t>
  </si>
  <si>
    <t>HE2-B01</t>
  </si>
  <si>
    <t>RPN-FP8A</t>
  </si>
  <si>
    <t>POLE TRACK 3</t>
  </si>
  <si>
    <t>14+130,26
82+550,00</t>
  </si>
  <si>
    <t>C4R_L</t>
  </si>
  <si>
    <t>C3R_L</t>
  </si>
  <si>
    <t>RW2T-C</t>
  </si>
  <si>
    <t>RW2
RW2T-C</t>
  </si>
  <si>
    <t>C5R_L</t>
  </si>
  <si>
    <t>6000</t>
  </si>
  <si>
    <t>83-1.01</t>
  </si>
  <si>
    <t>83-1.02</t>
  </si>
  <si>
    <t>83-1.03</t>
  </si>
  <si>
    <t>83-1.04</t>
  </si>
  <si>
    <t>83-1.05</t>
  </si>
  <si>
    <t>HER-03</t>
  </si>
  <si>
    <t>83-1.06</t>
  </si>
  <si>
    <t>83-1.07</t>
  </si>
  <si>
    <t>83-1.08</t>
  </si>
  <si>
    <t>83-1.09</t>
  </si>
  <si>
    <t>83-1.10</t>
  </si>
  <si>
    <t>83-1.11</t>
  </si>
  <si>
    <t>83-1.12</t>
  </si>
  <si>
    <t>83-1.13</t>
  </si>
  <si>
    <t>83-1.14</t>
  </si>
  <si>
    <t>83-1.15</t>
  </si>
  <si>
    <t>83-1.16</t>
  </si>
  <si>
    <t>83-1.17</t>
  </si>
  <si>
    <t>83-1.18</t>
  </si>
  <si>
    <t>83-1.19</t>
  </si>
  <si>
    <t>83-1.20</t>
  </si>
  <si>
    <t>84-1.01</t>
  </si>
  <si>
    <t>84-1.02</t>
  </si>
  <si>
    <t>84-1.03</t>
  </si>
  <si>
    <t>84-1.04</t>
  </si>
  <si>
    <t>84-1.05</t>
  </si>
  <si>
    <t>84-1.06</t>
  </si>
  <si>
    <t>84-1.07</t>
  </si>
  <si>
    <t>84-1.08</t>
  </si>
  <si>
    <t>84-1.09</t>
  </si>
  <si>
    <t>84-1.10</t>
  </si>
  <si>
    <t>84-1.11</t>
  </si>
  <si>
    <t>84-1.12</t>
  </si>
  <si>
    <t>84-1.13</t>
  </si>
  <si>
    <t>84-1.14</t>
  </si>
  <si>
    <t>84-1.15</t>
  </si>
  <si>
    <t>84-1.16</t>
  </si>
  <si>
    <t>84-1.17</t>
  </si>
  <si>
    <t>84-1.18</t>
  </si>
  <si>
    <t>84-1.19</t>
  </si>
  <si>
    <t>84-1.20</t>
  </si>
  <si>
    <t>P50(CS) A/S-Diag</t>
  </si>
  <si>
    <t>HER-07</t>
  </si>
  <si>
    <t>A/S-Diag P50(CS)</t>
  </si>
  <si>
    <t xml:space="preserve">Level Cross Station </t>
  </si>
  <si>
    <t>Footbridge (O.C.)</t>
  </si>
  <si>
    <t>Herzliya</t>
  </si>
  <si>
    <t>UnderPass Station</t>
  </si>
  <si>
    <t>OverCrossing</t>
  </si>
  <si>
    <t>HER-17</t>
  </si>
  <si>
    <t>83-2.01</t>
  </si>
  <si>
    <t>83-2.02</t>
  </si>
  <si>
    <t>83-2.03</t>
  </si>
  <si>
    <t>83-2.04</t>
  </si>
  <si>
    <t>83-2.05</t>
  </si>
  <si>
    <t>83-2.06</t>
  </si>
  <si>
    <t>83-2.07</t>
  </si>
  <si>
    <t>83-2.08</t>
  </si>
  <si>
    <t>83-2.09</t>
  </si>
  <si>
    <t>83-2.10</t>
  </si>
  <si>
    <t>83-2.11</t>
  </si>
  <si>
    <t>83-2.12</t>
  </si>
  <si>
    <t>83-2.13</t>
  </si>
  <si>
    <t>83-2.14</t>
  </si>
  <si>
    <t>83-2.15</t>
  </si>
  <si>
    <t>83-2.16</t>
  </si>
  <si>
    <t>83-2.17</t>
  </si>
  <si>
    <t>83-2.18</t>
  </si>
  <si>
    <t>83-2.19</t>
  </si>
  <si>
    <t>83-2.20</t>
  </si>
  <si>
    <t>84-2.01</t>
  </si>
  <si>
    <t>84-2.02</t>
  </si>
  <si>
    <t>84-2.03</t>
  </si>
  <si>
    <t>84-2.04</t>
  </si>
  <si>
    <t>84-2.05</t>
  </si>
  <si>
    <t>84-2.06</t>
  </si>
  <si>
    <t>84-2.07</t>
  </si>
  <si>
    <t>84-2.08</t>
  </si>
  <si>
    <t>84-2.09</t>
  </si>
  <si>
    <t>84-2.10</t>
  </si>
  <si>
    <t>84-2.11</t>
  </si>
  <si>
    <t>84-2.12</t>
  </si>
  <si>
    <t>84-2.13</t>
  </si>
  <si>
    <t>84-2.14</t>
  </si>
  <si>
    <t>84-2.15</t>
  </si>
  <si>
    <t>84-2.16</t>
  </si>
  <si>
    <t>84-2.17</t>
  </si>
  <si>
    <t>84-2.18</t>
  </si>
  <si>
    <t>84-2.19</t>
  </si>
  <si>
    <t>84-2.20</t>
  </si>
  <si>
    <t>85-2.01</t>
  </si>
  <si>
    <t>4000</t>
  </si>
  <si>
    <t>HER-04</t>
  </si>
  <si>
    <t>HER-B04</t>
  </si>
  <si>
    <t>A/S-Diag 
P50(CS) S/A</t>
  </si>
  <si>
    <t>A/S S/A P50(CS)</t>
  </si>
  <si>
    <t>278
287</t>
  </si>
  <si>
    <t>HER-10</t>
  </si>
  <si>
    <t>HER-12</t>
  </si>
  <si>
    <t>S/A P50(CS) MP</t>
  </si>
  <si>
    <t>P50(CS) S/A AnMP</t>
  </si>
  <si>
    <t>83-3.04</t>
  </si>
  <si>
    <t>83-3.05</t>
  </si>
  <si>
    <t>83-3.06</t>
  </si>
  <si>
    <t>83-3.07</t>
  </si>
  <si>
    <t>83-3.08</t>
  </si>
  <si>
    <t>83-3.09</t>
  </si>
  <si>
    <t>83-3.10</t>
  </si>
  <si>
    <t>83-3.11</t>
  </si>
  <si>
    <t>83-3.12</t>
  </si>
  <si>
    <t>83-3.13</t>
  </si>
  <si>
    <t>83-3.14</t>
  </si>
  <si>
    <t>83-3.15</t>
  </si>
  <si>
    <t>83-3.16</t>
  </si>
  <si>
    <t>83-3.17</t>
  </si>
  <si>
    <t>83-3.18</t>
  </si>
  <si>
    <t>83-3.19</t>
  </si>
  <si>
    <t>83-3.20</t>
  </si>
  <si>
    <t>84-3.01</t>
  </si>
  <si>
    <t>84-3.02</t>
  </si>
  <si>
    <t>84-3.03</t>
  </si>
  <si>
    <t>84-3.04</t>
  </si>
  <si>
    <t>84-3.05</t>
  </si>
  <si>
    <t>84-3.06</t>
  </si>
  <si>
    <t>84-3.07</t>
  </si>
  <si>
    <t>84-3.08</t>
  </si>
  <si>
    <t>84-3.09</t>
  </si>
  <si>
    <t>84-3.10</t>
  </si>
  <si>
    <t>84-3.11</t>
  </si>
  <si>
    <t>84-3.12</t>
  </si>
  <si>
    <t>84-3.13</t>
  </si>
  <si>
    <t>84-3.14</t>
  </si>
  <si>
    <t>HER-B03</t>
  </si>
  <si>
    <t>HER-11</t>
  </si>
  <si>
    <t>82-4.09</t>
  </si>
  <si>
    <t>82-4.10</t>
  </si>
  <si>
    <t>82-4.11</t>
  </si>
  <si>
    <t>82-4.12</t>
  </si>
  <si>
    <t>82-4.13</t>
  </si>
  <si>
    <t>82-4.14</t>
  </si>
  <si>
    <t>82-4.15</t>
  </si>
  <si>
    <t>82-4.16</t>
  </si>
  <si>
    <t>82-4.17</t>
  </si>
  <si>
    <t>83-4.01</t>
  </si>
  <si>
    <t>83-4.02</t>
  </si>
  <si>
    <t>83-4.03</t>
  </si>
  <si>
    <t>83-4.04</t>
  </si>
  <si>
    <t>83-4.05</t>
  </si>
  <si>
    <t>83-4.06</t>
  </si>
  <si>
    <t>83-4.07</t>
  </si>
  <si>
    <t>83-4.08</t>
  </si>
  <si>
    <t>83-4.09</t>
  </si>
  <si>
    <t>83-4.10</t>
  </si>
  <si>
    <t>83-4.11</t>
  </si>
  <si>
    <t>83-4.12</t>
  </si>
  <si>
    <t>83-4.13</t>
  </si>
  <si>
    <t>83-4.14</t>
  </si>
  <si>
    <t>83-4.15</t>
  </si>
  <si>
    <t>83-4.16</t>
  </si>
  <si>
    <t>83-4.17</t>
  </si>
  <si>
    <t>83-4.18</t>
  </si>
  <si>
    <t>83-4.19</t>
  </si>
  <si>
    <t>83-4.20</t>
  </si>
  <si>
    <t>84-4.01</t>
  </si>
  <si>
    <t>84-4.02</t>
  </si>
  <si>
    <t>84-4.03</t>
  </si>
  <si>
    <t>84-4.04</t>
  </si>
  <si>
    <t>84-4.05</t>
  </si>
  <si>
    <t>84-4.06</t>
  </si>
  <si>
    <t>84-4.07</t>
  </si>
  <si>
    <t>84-4.08</t>
  </si>
  <si>
    <t>84-4.09</t>
  </si>
  <si>
    <t>84-4.10</t>
  </si>
  <si>
    <t>84-4.11</t>
  </si>
  <si>
    <t>84-4.12</t>
  </si>
  <si>
    <t>84-4.13</t>
  </si>
  <si>
    <t>84-4.14</t>
  </si>
  <si>
    <t>84-4.15</t>
  </si>
  <si>
    <t>84-4.16</t>
  </si>
  <si>
    <t>84-4.17</t>
  </si>
  <si>
    <t>84-4.18</t>
  </si>
  <si>
    <t>84-4.19</t>
  </si>
  <si>
    <t>84-4.20</t>
  </si>
  <si>
    <t>84-4.14BIS</t>
  </si>
  <si>
    <t>HER-01</t>
  </si>
  <si>
    <t xml:space="preserve">IO </t>
  </si>
  <si>
    <t xml:space="preserve">A/S-Diag
MP P50(CS) </t>
  </si>
  <si>
    <t>CP+AnMC
287</t>
  </si>
  <si>
    <t>S/A P50(CS)
AnMP</t>
  </si>
  <si>
    <t>HER-B01</t>
  </si>
  <si>
    <t>HER-08</t>
  </si>
  <si>
    <t>HER-14</t>
  </si>
  <si>
    <t>A/S-Diag
A/S-Diag</t>
  </si>
  <si>
    <t>84-4.15BIS</t>
  </si>
  <si>
    <t>84-4.16BIS</t>
  </si>
  <si>
    <t>84-4.17BIS</t>
  </si>
  <si>
    <t>84-4.18BIS</t>
  </si>
  <si>
    <t>HER-18</t>
  </si>
  <si>
    <t>82-5.12</t>
  </si>
  <si>
    <t>82-5.13</t>
  </si>
  <si>
    <t>82-5.14</t>
  </si>
  <si>
    <t>82-5.15</t>
  </si>
  <si>
    <t>82-5.16</t>
  </si>
  <si>
    <t>82-5.17</t>
  </si>
  <si>
    <t>83-5.01</t>
  </si>
  <si>
    <t>83-5.02</t>
  </si>
  <si>
    <t>83-5.03</t>
  </si>
  <si>
    <t>83-5.04</t>
  </si>
  <si>
    <t>83-5.05</t>
  </si>
  <si>
    <t>83-5.06</t>
  </si>
  <si>
    <t>83-5.07</t>
  </si>
  <si>
    <t>83-5.08</t>
  </si>
  <si>
    <t>83-5.09</t>
  </si>
  <si>
    <t>83-5.10</t>
  </si>
  <si>
    <t>83-5.11</t>
  </si>
  <si>
    <t>83-5.12</t>
  </si>
  <si>
    <t>83-5.13</t>
  </si>
  <si>
    <t>83-5.14</t>
  </si>
  <si>
    <t>83-5.15</t>
  </si>
  <si>
    <t>83-5.16</t>
  </si>
  <si>
    <t>83-5.17</t>
  </si>
  <si>
    <t>83-5.18</t>
  </si>
  <si>
    <t>83-5.19</t>
  </si>
  <si>
    <t>83-5.20</t>
  </si>
  <si>
    <t>84-5.01</t>
  </si>
  <si>
    <t>84-5.02</t>
  </si>
  <si>
    <t>84-5.03</t>
  </si>
  <si>
    <t>84-5.04</t>
  </si>
  <si>
    <t>84-5.05</t>
  </si>
  <si>
    <t>84-5.06</t>
  </si>
  <si>
    <t>84-5.07</t>
  </si>
  <si>
    <t>84-5.08</t>
  </si>
  <si>
    <t>84-5.09</t>
  </si>
  <si>
    <t>84-5.10</t>
  </si>
  <si>
    <t>84-5.11</t>
  </si>
  <si>
    <t>84-5.12</t>
  </si>
  <si>
    <t>84-5.13</t>
  </si>
  <si>
    <t>84-5.14</t>
  </si>
  <si>
    <t>84-5.15</t>
  </si>
  <si>
    <t>84-5.15BIS</t>
  </si>
  <si>
    <t>84-5.16BIS</t>
  </si>
  <si>
    <t>84-5.17BIS</t>
  </si>
  <si>
    <t>84-5.18BIS</t>
  </si>
  <si>
    <t>2000</t>
  </si>
  <si>
    <t>AnMP
S/A P50(CS)</t>
  </si>
  <si>
    <t xml:space="preserve">A/S-Diag
P50(CS) S/A MP </t>
  </si>
  <si>
    <t>HER-09</t>
  </si>
  <si>
    <t>HER-15</t>
  </si>
  <si>
    <t>POLE TRACK 6</t>
  </si>
  <si>
    <t>82-6.09</t>
  </si>
  <si>
    <t>3000</t>
  </si>
  <si>
    <t>82-6.10</t>
  </si>
  <si>
    <t>82-6.11</t>
  </si>
  <si>
    <t>82-6.12</t>
  </si>
  <si>
    <t>82-6.13</t>
  </si>
  <si>
    <t>82-6.14</t>
  </si>
  <si>
    <t>82-6.15</t>
  </si>
  <si>
    <t>82-6.16</t>
  </si>
  <si>
    <t>82-6.17</t>
  </si>
  <si>
    <t>83-6.01</t>
  </si>
  <si>
    <t>83-6.02</t>
  </si>
  <si>
    <t>83-6.03</t>
  </si>
  <si>
    <t>83-6.04</t>
  </si>
  <si>
    <t>83-6.05</t>
  </si>
  <si>
    <t>83-6.06</t>
  </si>
  <si>
    <t>83-6.07</t>
  </si>
  <si>
    <t>83-6.08</t>
  </si>
  <si>
    <t>83-6.09</t>
  </si>
  <si>
    <t>83-6.10</t>
  </si>
  <si>
    <t>83-6.11</t>
  </si>
  <si>
    <t>83-6.12</t>
  </si>
  <si>
    <t>83-6.13</t>
  </si>
  <si>
    <t>83-6.14</t>
  </si>
  <si>
    <t>83-6.15</t>
  </si>
  <si>
    <t>83-6.16</t>
  </si>
  <si>
    <t>83-6.17</t>
  </si>
  <si>
    <t>83-6.18</t>
  </si>
  <si>
    <t>83-6.19</t>
  </si>
  <si>
    <t>83-6.20</t>
  </si>
  <si>
    <t>84-6.01</t>
  </si>
  <si>
    <t>84-6.02</t>
  </si>
  <si>
    <t>84-6.03</t>
  </si>
  <si>
    <t>84-6.04</t>
  </si>
  <si>
    <t>84-6.05</t>
  </si>
  <si>
    <t>84-6.06</t>
  </si>
  <si>
    <t>84-6.07</t>
  </si>
  <si>
    <t>84-6.08</t>
  </si>
  <si>
    <t>84-6.09</t>
  </si>
  <si>
    <t>84-6.10</t>
  </si>
  <si>
    <t>84-6.11</t>
  </si>
  <si>
    <t>84-6.12</t>
  </si>
  <si>
    <t>84-6.13</t>
  </si>
  <si>
    <t>84-6.14</t>
  </si>
  <si>
    <t>84-6.17</t>
  </si>
  <si>
    <t>84-6.17BIS</t>
  </si>
  <si>
    <t>84-6.19</t>
  </si>
  <si>
    <t>84-6.20</t>
  </si>
  <si>
    <t>85-6.01</t>
  </si>
  <si>
    <t>84-6.18BIS</t>
  </si>
  <si>
    <t>HER-02</t>
  </si>
  <si>
    <t>HER-05</t>
  </si>
  <si>
    <t>HER-B02</t>
  </si>
  <si>
    <t>P50(CS)
A/S-Diag A/S</t>
  </si>
  <si>
    <t>277</t>
  </si>
  <si>
    <t>287</t>
  </si>
  <si>
    <t>A/S A/S-Diag</t>
  </si>
  <si>
    <t>A/S-Diag
S/A P50(CS)</t>
  </si>
  <si>
    <t>A/S S/A S/A A/S</t>
  </si>
  <si>
    <t>HER-16</t>
  </si>
  <si>
    <t>HER-20</t>
  </si>
  <si>
    <t>Via 5 HER-TSA</t>
  </si>
  <si>
    <t>Via 5 BBR-HER</t>
  </si>
  <si>
    <t>Via 1 BBR-TUN</t>
  </si>
  <si>
    <t>Via 2 BBR-TUN</t>
  </si>
  <si>
    <t>2-2.06</t>
  </si>
  <si>
    <t>1+400,00
89+808,00</t>
  </si>
  <si>
    <t>1-1.01</t>
  </si>
  <si>
    <t>1-1.02</t>
  </si>
  <si>
    <t>1-1.13</t>
  </si>
  <si>
    <t>1-1.12</t>
  </si>
  <si>
    <t>1-1.11</t>
  </si>
  <si>
    <t>1-1.10</t>
  </si>
  <si>
    <t>1-1.09</t>
  </si>
  <si>
    <t>1-1.08</t>
  </si>
  <si>
    <t>1-1.07</t>
  </si>
  <si>
    <t>1-1.06</t>
  </si>
  <si>
    <t>1-1.05</t>
  </si>
  <si>
    <t>1-1.04</t>
  </si>
  <si>
    <t>1-1.03</t>
  </si>
  <si>
    <t>2-2.01</t>
  </si>
  <si>
    <t>2-2.02</t>
  </si>
  <si>
    <t>2-2.05</t>
  </si>
  <si>
    <t>2-2.04</t>
  </si>
  <si>
    <t>2-2.03</t>
  </si>
  <si>
    <t>K.P. CHANGE</t>
  </si>
  <si>
    <t>NS UNIVERSITY 1</t>
  </si>
  <si>
    <t>Railway Bridge</t>
  </si>
  <si>
    <t>UnderPass</t>
  </si>
  <si>
    <t>(Tunnel)</t>
  </si>
  <si>
    <t>Water Line (Drainage)</t>
  </si>
  <si>
    <t>UN1-NS6</t>
  </si>
  <si>
    <t>UN1-NS4</t>
  </si>
  <si>
    <t>UN1-NS2</t>
  </si>
  <si>
    <t>UN1-B02</t>
  </si>
  <si>
    <t>UN1-B01</t>
  </si>
  <si>
    <t>TUN-02</t>
  </si>
  <si>
    <t>TUN-06</t>
  </si>
  <si>
    <t>UN1-NS5</t>
  </si>
  <si>
    <t>UN1-NS3</t>
  </si>
  <si>
    <t>UN1-NS1</t>
  </si>
  <si>
    <t>2-1.06</t>
  </si>
  <si>
    <t>2-1.05</t>
  </si>
  <si>
    <t>2-1.04</t>
  </si>
  <si>
    <t>2-1.03</t>
  </si>
  <si>
    <t>2-1.02</t>
  </si>
  <si>
    <t>2-1.01</t>
  </si>
  <si>
    <t>1-2.13</t>
  </si>
  <si>
    <t>1-2.12</t>
  </si>
  <si>
    <t>1-2.11</t>
  </si>
  <si>
    <t>1-2.10</t>
  </si>
  <si>
    <t>1-2.09</t>
  </si>
  <si>
    <t>1-2.08</t>
  </si>
  <si>
    <t>1-2.07</t>
  </si>
  <si>
    <t>1-2.06</t>
  </si>
  <si>
    <t>1-2.05</t>
  </si>
  <si>
    <t>1-2.04</t>
  </si>
  <si>
    <t>1-2.03</t>
  </si>
  <si>
    <t>1-2.02</t>
  </si>
  <si>
    <t>1-2.01</t>
  </si>
  <si>
    <t>TUN-01</t>
  </si>
  <si>
    <t>TUN-05</t>
  </si>
  <si>
    <t>0-5.01</t>
  </si>
  <si>
    <t>0-5.02</t>
  </si>
  <si>
    <t>0-5.11</t>
  </si>
  <si>
    <t>0-5.10</t>
  </si>
  <si>
    <t>0-5.09</t>
  </si>
  <si>
    <t>0-5.08</t>
  </si>
  <si>
    <t>0-5.07</t>
  </si>
  <si>
    <t>0-5.06</t>
  </si>
  <si>
    <t>0-5.05</t>
  </si>
  <si>
    <t>0-5.04</t>
  </si>
  <si>
    <t>0-5.03</t>
  </si>
  <si>
    <t>89-5.10</t>
  </si>
  <si>
    <t>89-5.09</t>
  </si>
  <si>
    <t>89-5.08</t>
  </si>
  <si>
    <t>89-5.07</t>
  </si>
  <si>
    <t>89-5.06BIS</t>
  </si>
  <si>
    <t>89-5.11</t>
  </si>
  <si>
    <t>1-5.01</t>
  </si>
  <si>
    <t>1-5.02</t>
  </si>
  <si>
    <t>1-5.10</t>
  </si>
  <si>
    <t>1-5.09</t>
  </si>
  <si>
    <t>1-5.08</t>
  </si>
  <si>
    <t>1-5.07</t>
  </si>
  <si>
    <t>1-5.06</t>
  </si>
  <si>
    <t>1-5.05</t>
  </si>
  <si>
    <t>1-5.04</t>
  </si>
  <si>
    <t>1-5.03</t>
  </si>
  <si>
    <t>TBA-13</t>
  </si>
  <si>
    <t>TBA-10</t>
  </si>
  <si>
    <t>TRACK 2 RA'ANNANA-HERZLIYA</t>
  </si>
  <si>
    <t>C8R_L</t>
  </si>
  <si>
    <t>Via 1 
RAAN-HER</t>
  </si>
  <si>
    <t>Via 2 
RAAN-HER</t>
  </si>
  <si>
    <t>Via 5
HER-TSA</t>
  </si>
  <si>
    <t>Via 5
BBR-HER</t>
  </si>
  <si>
    <t>Via 1
BBR-TUN</t>
  </si>
  <si>
    <t>Via 2
BBR-TUN</t>
  </si>
  <si>
    <t>Via 1 RA'AN-HER</t>
  </si>
  <si>
    <t>Via 2 RA'AN-HER</t>
  </si>
  <si>
    <t>-2304</t>
  </si>
  <si>
    <t>TRACK6 HERZLIYA</t>
  </si>
  <si>
    <t>EMT-P</t>
  </si>
  <si>
    <t>S1 (Diag)</t>
  </si>
  <si>
    <t>EMT-1P(Diag)</t>
  </si>
  <si>
    <t>TRACK 5 HERZLIYA</t>
  </si>
  <si>
    <t>TRACK 1 BNEI BRAK-HERZLIYA</t>
  </si>
  <si>
    <t>PHQ-1150</t>
  </si>
  <si>
    <t>MP AnMP</t>
  </si>
  <si>
    <t xml:space="preserve">Update New EW (Equipotenciality Wire) Anchors on Hashalom and Hahagana Station by EMF </t>
  </si>
  <si>
    <t>S/A P40(CS)</t>
  </si>
  <si>
    <t>A/S-Diag MP S/A</t>
  </si>
  <si>
    <t>A/S-Diag AnMP</t>
  </si>
  <si>
    <t>-10000</t>
  </si>
  <si>
    <t>PR1A</t>
  </si>
  <si>
    <t>PR1F</t>
  </si>
  <si>
    <t>Semipórtico atirantado de 8 a 20m</t>
  </si>
  <si>
    <t>SP1R</t>
  </si>
  <si>
    <r>
      <t>Pórtico rígido &lt; 11,4 m</t>
    </r>
    <r>
      <rPr>
        <sz val="11"/>
        <color indexed="10"/>
        <rFont val="ISOCPEUR"/>
        <family val="2"/>
      </rPr>
      <t xml:space="preserve"> </t>
    </r>
  </si>
  <si>
    <t>Portico rígido de 11,4 a 17,70 m</t>
  </si>
  <si>
    <t>Pórtico rígido de 17,70 a 20,7 m</t>
  </si>
  <si>
    <t>Pórtico rígido de 20,7 a 23,7 m</t>
  </si>
  <si>
    <t>Pórtico rígido de 23,7 a 34 m</t>
  </si>
  <si>
    <t>Pórtico rígido de 34 a 40 m</t>
  </si>
  <si>
    <t xml:space="preserve">Portal Structure &lt; 11,4 m </t>
  </si>
  <si>
    <t>Portal Structure between 11,4 to 17,7 m</t>
  </si>
  <si>
    <t>Portal Structure between 17,7 to 20,7 m</t>
  </si>
  <si>
    <t>Portal Structure between 20,7 to 23,7 m</t>
  </si>
  <si>
    <t>Portal Structure between 23,7 to 34 m</t>
  </si>
  <si>
    <t>Portal Structure between 34 to 40 m</t>
  </si>
  <si>
    <t>Semi-Pórtal with anchor between 8m to 20m</t>
  </si>
  <si>
    <t>PHC-2000</t>
  </si>
  <si>
    <t>PHQ-950</t>
  </si>
  <si>
    <t>PHQ-1000</t>
  </si>
  <si>
    <t>PHQ-1050</t>
  </si>
  <si>
    <t>PHQ-1100</t>
  </si>
  <si>
    <t>PHQ-1200</t>
  </si>
  <si>
    <t>PHQ-1250</t>
  </si>
  <si>
    <t>PHQ-1300</t>
  </si>
  <si>
    <t>PHQ-1350</t>
  </si>
  <si>
    <t>PHQ-1400</t>
  </si>
  <si>
    <t>PHQ-1450</t>
  </si>
  <si>
    <t>PHQ-2000</t>
  </si>
  <si>
    <t>PHC-950</t>
  </si>
  <si>
    <t>PHC-1000</t>
  </si>
  <si>
    <t>PHC-1050</t>
  </si>
  <si>
    <t>PHC-1100</t>
  </si>
  <si>
    <t>PHC-1200</t>
  </si>
  <si>
    <t>PHC-1250</t>
  </si>
  <si>
    <t>PHC-1300</t>
  </si>
  <si>
    <t>PHC-1350</t>
  </si>
  <si>
    <t>PHC-1400</t>
  </si>
  <si>
    <t>PHC-1450</t>
  </si>
  <si>
    <t>82-1.10</t>
  </si>
  <si>
    <t>82-1.11</t>
  </si>
  <si>
    <t>82-1.12</t>
  </si>
  <si>
    <t>82-1.13</t>
  </si>
  <si>
    <t>82-1.14</t>
  </si>
  <si>
    <t>82-1.15</t>
  </si>
  <si>
    <t>82-1.16</t>
  </si>
  <si>
    <t>82-1.17</t>
  </si>
  <si>
    <t>82-2.10</t>
  </si>
  <si>
    <t>82-2.11</t>
  </si>
  <si>
    <t>82-2.12</t>
  </si>
  <si>
    <t>82-2.13</t>
  </si>
  <si>
    <t>82-2.14</t>
  </si>
  <si>
    <t>82-2.15</t>
  </si>
  <si>
    <t>82-2.16</t>
  </si>
  <si>
    <t>82-2.17</t>
  </si>
  <si>
    <t>PP/2</t>
  </si>
  <si>
    <t>FS/PP2</t>
  </si>
  <si>
    <t>Disc/PP-pr</t>
  </si>
  <si>
    <t xml:space="preserve"> LoadB + LoadB/t + LoadB/IO + LoadB/IO-pr+LoadB/NS</t>
  </si>
  <si>
    <t>Aparellaje de conjunto de seccionador monopolar  AC en poste (Sin feeder) para seccionamiento de zona neutra</t>
  </si>
  <si>
    <t>DISC/IO-pr + DISC/PP-pr + DISC-pr</t>
  </si>
  <si>
    <t>92-1,24 change Anchor AnMP to AnMC to +kp, 92-2.26 it/s removed MP, and 93-1.01 it's removed Anchor AnMP</t>
  </si>
  <si>
    <t>Update CW and MW Height by New Footbridge PB211 on KP 83+100</t>
  </si>
  <si>
    <t>Update Layout Sheet Color Legend by minimun gauge 2,50 meters approveb by ISR</t>
  </si>
  <si>
    <t xml:space="preserve">New track page on Layout Sheet: HR Track 1 BBR-TUN, HR Track 2 BBR-TUN, HR Track 5 HER-BBR, HR Track 5 HER-TSA, </t>
  </si>
  <si>
    <t>Update Profiles 97-3.01 and 97-3.02 to Layout Sheet7 DW6986</t>
  </si>
  <si>
    <t>Update Layout Sheet Measurements Sheet</t>
  </si>
  <si>
    <t>DW6925</t>
  </si>
  <si>
    <t>Update DW type to WS5 special solution by Kedmor (DW6925)</t>
  </si>
  <si>
    <t>DW6919
DW6923</t>
  </si>
  <si>
    <t>Update OCS Layout Insulated Overlap anchor K.P. 96+728 to 97+800</t>
  </si>
  <si>
    <t>Update soluiton foundation profile 97-3.01 to C8R</t>
  </si>
  <si>
    <t>Update correction elevation OCS Insulated Overlap 5 Span between profiles 94-1.08----94-1.10, 3 tacks</t>
  </si>
  <si>
    <t>Update OCS Tensioning Equipment on prefiles: 92-1.07, 92-1.18, 92-4.18 and 92-51.06</t>
  </si>
  <si>
    <t>Update Unique Solution by Kedmor Profiles: 97-1.01, 97-3.01, 96-3.01 and 96-3.02</t>
  </si>
  <si>
    <t>Update OCS Layout Bretelle  and Diagonals between K.P. 96+273 to 96+567</t>
  </si>
  <si>
    <t>Update OCS Layout Bretelle  and Diagonals between K.P. 93+729 to 94+059</t>
  </si>
  <si>
    <t>HE2-B02</t>
  </si>
  <si>
    <t>Update OCS Foundation by Kedmor solution</t>
  </si>
  <si>
    <t>Electrical Optical Pit</t>
  </si>
  <si>
    <t>DW6950</t>
  </si>
  <si>
    <t>DW5045</t>
  </si>
  <si>
    <t>DW6918</t>
  </si>
  <si>
    <t>DW6986</t>
  </si>
  <si>
    <t>DW6989</t>
  </si>
  <si>
    <t>DW6941</t>
  </si>
  <si>
    <t>DW6940</t>
  </si>
  <si>
    <t>DW6916</t>
  </si>
  <si>
    <t xml:space="preserve">HEB-240L </t>
  </si>
  <si>
    <t>Update OCS Foundation by Kedmor solution, Profiles 96-1.01 to 96-1.05 and 96-1.08 to 96-1.15 with unique solution WS5 (HEB-280L)</t>
  </si>
  <si>
    <t>Update OCS Layout at University Station because New Roof Station</t>
  </si>
  <si>
    <t>MW/CW-Isusp</t>
  </si>
  <si>
    <t>Update OCS Layout profiles 95-3.15 and 95-3.18</t>
  </si>
  <si>
    <t>84-6.15</t>
  </si>
  <si>
    <t>84-6.15BIS</t>
  </si>
  <si>
    <t>84-6.16BIS</t>
  </si>
  <si>
    <t>SA</t>
  </si>
  <si>
    <t>MP S/A S/A</t>
  </si>
  <si>
    <t>AnMP S/A A/S-Diag</t>
  </si>
  <si>
    <t>Update OCS Layout profiles 96-2.05, 96-2.06 and 96-2.07</t>
  </si>
  <si>
    <t>S/A P50(CS)
A/S-Diag AnMP</t>
  </si>
  <si>
    <t>84-T.17</t>
  </si>
  <si>
    <t>TRACK 5 HERZLIYA-TLV SAVIDOR</t>
  </si>
  <si>
    <t>TRACK 2 BNEI BRAK-HERZLIYA</t>
  </si>
  <si>
    <t>A/S-Diag A/S</t>
  </si>
  <si>
    <t xml:space="preserve"> S/A</t>
  </si>
  <si>
    <t>85-3.01</t>
  </si>
  <si>
    <t>A/S-Diag A/S-Diag</t>
  </si>
  <si>
    <t>A/S-Diag S/A A/S</t>
  </si>
  <si>
    <t xml:space="preserve">Update foundation solutions profiles 93-1.10, and profiles 96-5.16, 96-5.17 with Anchor type AnM with specila solution DW6999 </t>
  </si>
  <si>
    <t>BTC-1651</t>
  </si>
  <si>
    <t xml:space="preserve">Update OCS Layout Savidor Central Station and Height MW - Stagger of Hashalon Station  </t>
  </si>
  <si>
    <t>DW6999
DW6926</t>
  </si>
  <si>
    <t>DW6924</t>
  </si>
  <si>
    <t>Update OCS Foundation by Kedmor solutions Profiles 96-1.18&amp;96-1.16, 96-5.20 and 96-4.20</t>
  </si>
  <si>
    <t>PH-650</t>
  </si>
  <si>
    <t>PH-800</t>
  </si>
  <si>
    <t>BCE-950E</t>
  </si>
  <si>
    <t>BTC-1400</t>
  </si>
  <si>
    <t>Update Cross Coupling Type pole to HEB-300LL</t>
  </si>
  <si>
    <t>THA-B01</t>
  </si>
  <si>
    <t>IO FP+AnMC</t>
  </si>
  <si>
    <t>Update new provisional Layout at University Station by installation of new roof by phases</t>
  </si>
  <si>
    <t>RW2T-C
RW2T-C</t>
  </si>
  <si>
    <t>RW1T-C
RW1T-C</t>
  </si>
  <si>
    <t>Changes position of RW2 and RW1 side ayalon highway sounth</t>
  </si>
  <si>
    <t>HER-B05</t>
  </si>
  <si>
    <t xml:space="preserve">TSA-BF02 </t>
  </si>
  <si>
    <t>TSA-BF03 TSA-BF04</t>
  </si>
  <si>
    <t>TSA-BF07</t>
  </si>
  <si>
    <t>TSA-13</t>
  </si>
  <si>
    <t xml:space="preserve">Update and re-name disconnector Bypass Feeder (EMF) and Section Insulator at Savidor Station </t>
  </si>
  <si>
    <t>IO CP+AnMC</t>
  </si>
  <si>
    <t>Update Kedmor solution profiles 95-1.21.22.23 and Portal profiles 94-1.18 - 94-3.18</t>
  </si>
  <si>
    <t>CP/TX-P/1100</t>
  </si>
  <si>
    <t>CP/TX-P/1350</t>
  </si>
  <si>
    <t>CP+TX-P/1100</t>
  </si>
  <si>
    <t>CP/TX-W/1350</t>
  </si>
  <si>
    <t>CP+AnMC / FP+AnMC / CP/TX-P*</t>
  </si>
  <si>
    <t>CP+AnMC / FP+AnMC / AnMP / CP/TX-P*</t>
  </si>
  <si>
    <t>CP/TX-P*</t>
  </si>
  <si>
    <t>CP/TX-W*</t>
  </si>
  <si>
    <t>CP/TX-T*</t>
  </si>
  <si>
    <t>CP/TX-T/1100</t>
  </si>
  <si>
    <t>CP/TX-T/1350</t>
  </si>
  <si>
    <t>CP/TX-W/1100</t>
  </si>
  <si>
    <t>Update and identification type of Tensorex C+ (1100/1350)</t>
  </si>
  <si>
    <t>Tubo para isntalación de señal</t>
  </si>
  <si>
    <t>Update OCS Kedmor Special Solution Profiles: 94-1.07 to 95-1.05 with WS5 DW6925</t>
  </si>
  <si>
    <t>T-SIGN included in Neutral Section areas</t>
  </si>
  <si>
    <t>VERSION</t>
  </si>
  <si>
    <t>FOR EP-01 TO EP-14 AND EP-16 (VB=33M/S). CANTILEVER DISTANCE TO TRACK UP TO 3.50M. HEIGHT≤10M</t>
  </si>
  <si>
    <t>Calculation reference</t>
  </si>
  <si>
    <t>Paragraph</t>
  </si>
  <si>
    <t>Straight</t>
  </si>
  <si>
    <t>R≥10,000m</t>
  </si>
  <si>
    <t>10,000m &gt; R ≥ 2,800m</t>
  </si>
  <si>
    <t>2,800m &gt; R ≥ 1,000m</t>
  </si>
  <si>
    <t>1,000m &gt; R ≥ 500m</t>
  </si>
  <si>
    <t>(span 67m)</t>
  </si>
  <si>
    <t>(span 60m)</t>
  </si>
  <si>
    <t>(span 50m)</t>
  </si>
  <si>
    <t>(span 36m)</t>
  </si>
  <si>
    <t>P9.5.1.1</t>
  </si>
  <si>
    <t>GT</t>
  </si>
  <si>
    <t>P9.5.1.2</t>
  </si>
  <si>
    <t>P9.5.1.3</t>
  </si>
  <si>
    <t>P9.5.1.4</t>
  </si>
  <si>
    <t>P9.5.1.5</t>
  </si>
  <si>
    <r>
      <t>HEB-260</t>
    </r>
    <r>
      <rPr>
        <vertAlign val="superscript"/>
        <sz val="11"/>
        <color theme="1"/>
        <rFont val="Calibri"/>
        <family val="2"/>
        <scheme val="minor"/>
      </rPr>
      <t>1</t>
    </r>
  </si>
  <si>
    <t>P9.5.1.6</t>
  </si>
  <si>
    <t>P9.5.1.7</t>
  </si>
  <si>
    <t>P9.5.1.8</t>
  </si>
  <si>
    <t>P9.5.1.9</t>
  </si>
  <si>
    <t>3 C</t>
  </si>
  <si>
    <t>X</t>
  </si>
  <si>
    <t>FOR EP-15 (VB=36M/S). CANTILEVER DISTANCE TO TRACK UP TO 3.50M. HEIGHT≤10M</t>
  </si>
  <si>
    <t>P9.5.3.1</t>
  </si>
  <si>
    <t>P9.5.3.2</t>
  </si>
  <si>
    <t>P9.5.3.3</t>
  </si>
  <si>
    <t>P9.5.3.4</t>
  </si>
  <si>
    <t>P9.5.3.5</t>
  </si>
  <si>
    <r>
      <t>HEB-280</t>
    </r>
    <r>
      <rPr>
        <vertAlign val="superscript"/>
        <sz val="11"/>
        <color theme="1"/>
        <rFont val="Calibri"/>
        <family val="2"/>
        <scheme val="minor"/>
      </rPr>
      <t>1</t>
    </r>
  </si>
  <si>
    <t>P9.5.3.6</t>
  </si>
  <si>
    <t>P9.5.3.7</t>
  </si>
  <si>
    <t>P9.5.3.8</t>
  </si>
  <si>
    <t>P9.5.3.9</t>
  </si>
  <si>
    <t>FOR EP-01 TO EP-14 AND EP-16 (VB=33M/S). CANTILEVER DISTANCE TO TRACK UP TO 4.00M. HEIGHT≤10M</t>
  </si>
  <si>
    <t>P9.5.4.1</t>
  </si>
  <si>
    <t>P9.5.4.2</t>
  </si>
  <si>
    <t>P9.5.4.3</t>
  </si>
  <si>
    <t>P9.5.4.4</t>
  </si>
  <si>
    <t>P9.5.4.5</t>
  </si>
  <si>
    <t>P9.5.4.6</t>
  </si>
  <si>
    <t>P9.5.4.7</t>
  </si>
  <si>
    <t>P9.5.4.8</t>
  </si>
  <si>
    <t>P9.5.4.9</t>
  </si>
  <si>
    <t>FOR EP-15 (VB=36M/S). CANTILEVER DISTANCE TO TRACK UP TO 4.00M. HEIGHT≤10M</t>
  </si>
  <si>
    <t>P9.5.6.1</t>
  </si>
  <si>
    <t>P9.5.6.2</t>
  </si>
  <si>
    <t>P9.5.6.3</t>
  </si>
  <si>
    <t>P9.5.6.4</t>
  </si>
  <si>
    <t>P9.5.6.5</t>
  </si>
  <si>
    <t>HEB-280*</t>
  </si>
  <si>
    <t>2HEB-240*</t>
  </si>
  <si>
    <t>P9.5.6.6</t>
  </si>
  <si>
    <t>P9.5.6.7</t>
  </si>
  <si>
    <t>P9.5.6.8</t>
  </si>
  <si>
    <t>P9.5.6.9</t>
  </si>
  <si>
    <t>FOR EP-01 TO EP-14 AND EP-16 (VB=33M/S). CANTILEVER DISTANCE TO TRACK UP TO 3.50M. HEIGHT≤20M</t>
  </si>
  <si>
    <t>P9.5.7.1</t>
  </si>
  <si>
    <t>P9.5.7.2</t>
  </si>
  <si>
    <t>P9.5.7.3</t>
  </si>
  <si>
    <t>P9.5.7.4</t>
  </si>
  <si>
    <t>P9.5.7.5</t>
  </si>
  <si>
    <t>P9.5.7.6</t>
  </si>
  <si>
    <t>P9.5.7.7</t>
  </si>
  <si>
    <t>P9.5.7.8</t>
  </si>
  <si>
    <t>P9.5.7.9</t>
  </si>
  <si>
    <t>FOR EP-01 TO EP-14 AND EP-16 (VB=33M/S). CANTILEVER DISTANCE TO TRACK UP TO 4.00M. HEIGHT≤20M</t>
  </si>
  <si>
    <t>P9.5.8.1</t>
  </si>
  <si>
    <t>P9.5.8.2</t>
  </si>
  <si>
    <t>P9.5.8.3</t>
  </si>
  <si>
    <t>P9.5.8.4</t>
  </si>
  <si>
    <t>P9.5.8.5</t>
  </si>
  <si>
    <t>P9.5.8.6</t>
  </si>
  <si>
    <t>P9.5.8.7</t>
  </si>
  <si>
    <t>P9.5.8.8</t>
  </si>
  <si>
    <t>P9.5.8.9</t>
  </si>
  <si>
    <t>FOR EP-01 TO EP-14 AND EP-16 (VB=33M/S). CANTILEVER DISTANCE TO TRACK UP TO 3.50M. HEIGHT≤30M</t>
  </si>
  <si>
    <t>P9.5.9.1</t>
  </si>
  <si>
    <t>P9.5.9.2</t>
  </si>
  <si>
    <t>P9.5.9.3</t>
  </si>
  <si>
    <t>P9.5.9.4</t>
  </si>
  <si>
    <t>P9.5.9.5</t>
  </si>
  <si>
    <t>P9.5.9.6</t>
  </si>
  <si>
    <t>P9.5.9.7</t>
  </si>
  <si>
    <t>P9.5.9.8</t>
  </si>
  <si>
    <t>P9.5.9.9</t>
  </si>
  <si>
    <t>FOR EP-01 TO EP-14 AND EP-16 (VB=33M/S). CANTILEVER DISTANCE TO TRACK UP TO 4.00M. HEIGHT≤30M</t>
  </si>
  <si>
    <t>P9.5.10.1</t>
  </si>
  <si>
    <t>P9.5.10.2</t>
  </si>
  <si>
    <t>P9.5.10.3</t>
  </si>
  <si>
    <t>P9.5.10.4</t>
  </si>
  <si>
    <t>P9.5.10.5</t>
  </si>
  <si>
    <t>P9.5.10.6</t>
  </si>
  <si>
    <t>P9.5.10.7</t>
  </si>
  <si>
    <t>P9.5.10.8</t>
  </si>
  <si>
    <t>P9.5.10.9</t>
  </si>
  <si>
    <t>ANCHOR TO POLE WITHOUT ANCHOR TIE</t>
  </si>
  <si>
    <t>P9.5.11.1</t>
  </si>
  <si>
    <t>P9.5.11.2</t>
  </si>
  <si>
    <t>P9.5.11.3</t>
  </si>
  <si>
    <t>P9.5.11.4</t>
  </si>
  <si>
    <t>POLES AT END OF TRACK</t>
  </si>
  <si>
    <t xml:space="preserve">FOR EP-01 TO EP-14 AND EP-16 (VB=33M/S). MAXIMUM SPAN LENGTH OF 60M </t>
  </si>
  <si>
    <t>POLE TYPE</t>
  </si>
  <si>
    <t>P11.1</t>
  </si>
  <si>
    <t>All</t>
  </si>
  <si>
    <t>POLES IN FEEDERS LINE</t>
  </si>
  <si>
    <t>FOR EP-01 TO EP-14 (VB=33M/S). CANTILEVER DISTANCE TO TRACK UP TO 3.50M</t>
  </si>
  <si>
    <t>P12.3.1.1</t>
  </si>
  <si>
    <t>HEB-280LL</t>
  </si>
  <si>
    <t>P12.3.1.2</t>
  </si>
  <si>
    <t>HEB-300 LL</t>
  </si>
  <si>
    <t>P12.3.1.3</t>
  </si>
  <si>
    <t>P12.3.1.4</t>
  </si>
  <si>
    <t>P12.3.1.5</t>
  </si>
  <si>
    <t>P12.3.1.6</t>
  </si>
  <si>
    <t>P12.3.1.7</t>
  </si>
  <si>
    <t>P12.3.1.8</t>
  </si>
  <si>
    <t>P12.3.1.9</t>
  </si>
  <si>
    <t>500m &gt; R ≥ 300m</t>
  </si>
  <si>
    <t>300m &gt; R ≥ 150m</t>
  </si>
  <si>
    <t>(span 27m)</t>
  </si>
  <si>
    <t>(span 23m)</t>
  </si>
  <si>
    <t>P9.5.2.1</t>
  </si>
  <si>
    <t>P9.5.2.2</t>
  </si>
  <si>
    <t>P9.5.2.3</t>
  </si>
  <si>
    <t>P9.5.2.4</t>
  </si>
  <si>
    <t>P9.5.2.5</t>
  </si>
  <si>
    <t>P9.5.2.6</t>
  </si>
  <si>
    <t>2HEB-300</t>
  </si>
  <si>
    <t>P9.5.2.7</t>
  </si>
  <si>
    <t>P9.5.2.8</t>
  </si>
  <si>
    <t>P9.5.2.9</t>
  </si>
  <si>
    <t>EP-01 to EP-14 and EP-16 (Vb=33m/s). Cantilever distance to track up to 3.50m. Height ≤10m</t>
  </si>
  <si>
    <t>EP-01 to EP-14 and EP-16 (Vb=33m/s). Cantilever distance to track up to 4.00m. Height ≤10m</t>
  </si>
  <si>
    <t>Configuration</t>
  </si>
  <si>
    <t>(span 65m)</t>
  </si>
  <si>
    <t xml:space="preserve"> Portal PR1-A</t>
  </si>
  <si>
    <t>Conf. 0</t>
  </si>
  <si>
    <t>Conf. 1</t>
  </si>
  <si>
    <t>Conf. 2</t>
  </si>
  <si>
    <t>Conf. 3</t>
  </si>
  <si>
    <t xml:space="preserve"> Portal PR1-B</t>
  </si>
  <si>
    <t>HEB-320PL</t>
  </si>
  <si>
    <t xml:space="preserve"> Portal PR1-C</t>
  </si>
  <si>
    <t>HEB-360L</t>
  </si>
  <si>
    <t xml:space="preserve"> Portal PR1-D</t>
  </si>
  <si>
    <t>Conf. 4</t>
  </si>
  <si>
    <t xml:space="preserve"> Portal PR1-E</t>
  </si>
  <si>
    <t>T-SIGN FOUND.</t>
  </si>
  <si>
    <t>Update layout profiles 97-X.1, 97-X.2</t>
  </si>
  <si>
    <t>Appendix 7 WITHOUT SCADA</t>
  </si>
  <si>
    <t>Appendix 7.1 WITH SCADA</t>
  </si>
  <si>
    <t>Appendix 8 PORTALS</t>
  </si>
  <si>
    <t>App.7.1</t>
  </si>
  <si>
    <t>App.7</t>
  </si>
  <si>
    <t>App.8</t>
  </si>
  <si>
    <t>V01</t>
  </si>
  <si>
    <t>A A/S</t>
  </si>
  <si>
    <t>App.8.1</t>
  </si>
  <si>
    <t>App.8.2</t>
  </si>
  <si>
    <t>App.8.3</t>
  </si>
  <si>
    <t>V02</t>
  </si>
  <si>
    <t>Appendix 8.2 Funicular Calculation</t>
  </si>
  <si>
    <t>2HEB-300F</t>
  </si>
  <si>
    <t>2HEB-260F</t>
  </si>
  <si>
    <t>P8.7</t>
  </si>
  <si>
    <t>Survey</t>
  </si>
  <si>
    <t>Profile</t>
  </si>
  <si>
    <t>Other KP</t>
  </si>
  <si>
    <t>T-SIGN</t>
  </si>
  <si>
    <t>Pole Calculation Reference included</t>
  </si>
  <si>
    <t xml:space="preserve">Update and re-name disconnector Herzliya Station </t>
  </si>
  <si>
    <t>Anchorage KP</t>
  </si>
  <si>
    <t xml:space="preserve">Electric Optical Pit </t>
  </si>
  <si>
    <t>85-4.01</t>
  </si>
  <si>
    <t>Soil B</t>
  </si>
  <si>
    <t>Soil A</t>
  </si>
  <si>
    <t>Soil D</t>
  </si>
  <si>
    <t>Soil C</t>
  </si>
  <si>
    <t>Update position some Insulated Overlap Disconectors according DRR T#3070-I</t>
  </si>
  <si>
    <t>Update OCS Height of Profiles 96-1.20 and 96-4.20 to 0.55m</t>
  </si>
  <si>
    <t>Update foundation type to poles HEB-320LL, HEB-320LL(P) AND HEB-320LL (CP) to C11LR; Update foundation type C8R to C2H-320R</t>
  </si>
  <si>
    <t>DW6948</t>
  </si>
  <si>
    <t>K</t>
  </si>
  <si>
    <t>Soil E</t>
  </si>
  <si>
    <t>Soil F</t>
  </si>
  <si>
    <t>N.D.</t>
  </si>
  <si>
    <t>C10R</t>
  </si>
  <si>
    <t>C11R</t>
  </si>
  <si>
    <t>2C3R</t>
  </si>
  <si>
    <t>2C4R</t>
  </si>
  <si>
    <t>2C4FR</t>
  </si>
  <si>
    <t>C12FR</t>
  </si>
  <si>
    <t>C10RT</t>
  </si>
  <si>
    <t>C11RT</t>
  </si>
  <si>
    <t>2C3RT</t>
  </si>
  <si>
    <t>2C4RT</t>
  </si>
  <si>
    <t>2C4FRT</t>
  </si>
  <si>
    <t>C12FRT</t>
  </si>
  <si>
    <t>2C3R_L</t>
  </si>
  <si>
    <t>2C4R_L</t>
  </si>
  <si>
    <t>C9R_L</t>
  </si>
  <si>
    <t>Cimentación para Poste 2HEB-300F: C12FR</t>
  </si>
  <si>
    <t>Cimentación para Poste 2HEB-300F: C12FRT</t>
  </si>
  <si>
    <t>Cimentación para Poste 2HEB-260F: 2C4FR</t>
  </si>
  <si>
    <t>Cimentación para Poste 2HEB-260F: 2C4FRT</t>
  </si>
  <si>
    <t>Foundation for POLE 2HEB-300F: C12FR</t>
  </si>
  <si>
    <t>Foundation for POLE 2HEB-300F: C12FRT</t>
  </si>
  <si>
    <t>Foundation for POLE 2HEB-260F: 2C4FR</t>
  </si>
  <si>
    <t>Foundation for POLE 2HEB-260F: 2C4FRT</t>
  </si>
  <si>
    <t>HEADSPAN</t>
  </si>
  <si>
    <t>Pórtico Funicular</t>
  </si>
  <si>
    <t>Head Span for Depot Zones</t>
  </si>
  <si>
    <t>Solucion especial unica de un perfil asociada a un plano DWXXXX</t>
  </si>
  <si>
    <t>Cimentacion o Solucion especial pendiente de Definir (para control de ejecución)</t>
  </si>
  <si>
    <t>Revision:</t>
  </si>
  <si>
    <t>SEÑALIZACION (EQUIPOS), NS, FIN DE CAT, ETC.</t>
  </si>
  <si>
    <t>SIGNALS NS, Catenary End, …</t>
  </si>
  <si>
    <t xml:space="preserve">Section Insulator for Neutral Section fro OCS 25KV AC </t>
  </si>
  <si>
    <t>BTC-1550</t>
  </si>
  <si>
    <t>BTC-1350</t>
  </si>
  <si>
    <t>App.8.4</t>
  </si>
  <si>
    <t>Poles without SCADA</t>
  </si>
  <si>
    <t>Poles with SCADA</t>
  </si>
  <si>
    <t>Poles for OCS Portal</t>
  </si>
  <si>
    <t>Poles for HeadSpan (Funicular)</t>
  </si>
  <si>
    <t>Portal Calculation with fixed point anchors</t>
  </si>
  <si>
    <t>Poles for OCS Portal with SCADA</t>
  </si>
  <si>
    <t>Portal Calculation with RW anchors</t>
  </si>
  <si>
    <t>Pole T-SIGN</t>
  </si>
  <si>
    <t>PHQ-1500</t>
  </si>
  <si>
    <t>BC-1450</t>
  </si>
  <si>
    <t>BC-1500</t>
  </si>
  <si>
    <t>DW6923</t>
  </si>
  <si>
    <t>Update Hahagana FP/Tunnel solution according DW6923</t>
  </si>
  <si>
    <t>Update OCS Foundation in workbook by EP06 Designation Table (SEM-ER-EP6-OCS_FOUN-DD-6900-05 by Kedmor)</t>
  </si>
  <si>
    <t>Update OCS Foundation names and Depth in workbook by EP06 Designation Table (SEM-ER-EP6-OCS_FOUN-DD-6900-06 by Kedmor)</t>
  </si>
  <si>
    <t>HEB-360PL</t>
  </si>
  <si>
    <t>(/3)</t>
  </si>
  <si>
    <t>2PR1D</t>
  </si>
  <si>
    <t>Pórtico rígido mayor de 34 metros con 3 apoyos</t>
  </si>
  <si>
    <t>Porta Strucutre larger tahn 34 m with 3 profiles</t>
  </si>
  <si>
    <t>29/072019</t>
  </si>
  <si>
    <t>Overhead Cable
THA-BF05</t>
  </si>
  <si>
    <t>Update KEDMOR special solutions, change Support special solution IDs 96-1.17 and 96-1.18</t>
  </si>
  <si>
    <t>Update stagger for IDs 96-2.16, 96-2.09 and 96-1.08</t>
  </si>
  <si>
    <t>TCD-002724-01</t>
  </si>
  <si>
    <t>DW6952</t>
  </si>
  <si>
    <t>Updated WT solution from ID93-6.03 to 93-6.09B after AMY MATOM approval and DW6952</t>
  </si>
  <si>
    <t>Update portal location of profiles 94-x.22 and 98-x.05</t>
  </si>
  <si>
    <t>Update portal location of profiles 94-x.22 and 94-x.23</t>
  </si>
  <si>
    <t>Update ID94-1.20 L foundation and from ID94-1.21 to ID95-1.05 with DW6925</t>
  </si>
  <si>
    <t>Poste HEB-240 (8,2m)</t>
  </si>
  <si>
    <t>Pole HEB-240 (8,2m)</t>
  </si>
  <si>
    <t>Poste HEB-240 V VIADUCTO (7,6m)</t>
  </si>
  <si>
    <t>Poste HEB-260 (8,2m)</t>
  </si>
  <si>
    <t>Poste HEB-260 (CP) PERFIL COMPENSACIÓN (8,2m)</t>
  </si>
  <si>
    <t>Poste HEB-260 V VIADUCTO (7,6m)</t>
  </si>
  <si>
    <t>Poste HEB-280 (8,2m)</t>
  </si>
  <si>
    <t>Poste HEB-280 (CP) PERFIL COMPENSACIÓN (8,2m)</t>
  </si>
  <si>
    <t>Poste HEB-280 V VIADUCTO (7,6m)</t>
  </si>
  <si>
    <t>Poste HEB-300 (8,2m)</t>
  </si>
  <si>
    <t>Poste HEB-300 (CP) PERFIL COMPENSACIÓN (8,2m)</t>
  </si>
  <si>
    <t>Poste HEB-300 V  VIADUCTO (7,6m)</t>
  </si>
  <si>
    <t>Pole HEB-240 V BRIDGE (7,6m)</t>
  </si>
  <si>
    <t>Pole HEB-260 (8,2m)</t>
  </si>
  <si>
    <t>Pole HEB-260 (CP) COMPENSATED PROFILE (8,2m)</t>
  </si>
  <si>
    <t>Pole HEB-260 V BRIDGE (7,6m)</t>
  </si>
  <si>
    <t>Pole HEB-280 (8,2m)</t>
  </si>
  <si>
    <t>Pole HEB-280 (CP) COMPENSATED PROFILE (8,2m)</t>
  </si>
  <si>
    <t>Pole HEB-280 V BRIDGE (7,6m)</t>
  </si>
  <si>
    <t>Pole HEB-300 (8,2m)</t>
  </si>
  <si>
    <t>Pole HEB-300 (CP) COMPENSATED PROFILE (8,2m)</t>
  </si>
  <si>
    <t>Pole HEB-300 V BRIDGE (7,6m)</t>
  </si>
  <si>
    <t>Poste HEB-240L LARGO (10,5m)</t>
  </si>
  <si>
    <t>Poste HEB-260L LARGO (10,5m)</t>
  </si>
  <si>
    <t>Poste HEB-280L LARGO (10,5m)</t>
  </si>
  <si>
    <t>Poste HEB-300L LARGO (10,5m)</t>
  </si>
  <si>
    <t>Pole HEB-240L LARGE (10,5m)</t>
  </si>
  <si>
    <t>Pole HEB-260L LARGE (10,5m)</t>
  </si>
  <si>
    <t>Pole HEB-280L LARGE (10,5m)</t>
  </si>
  <si>
    <t>Pole HEB-300L LARGE (10,5m)</t>
  </si>
  <si>
    <t>Poste HEB-300LL EXTRA LARGO (&gt;10,5m)</t>
  </si>
  <si>
    <t>Pole HEB-300LL EXTRA LARGE (&gt;10,5m)</t>
  </si>
  <si>
    <t>Poste HEB-320L LARGO (10,5m)</t>
  </si>
  <si>
    <t>Poste HEB-320PL LARGO (10,5m)</t>
  </si>
  <si>
    <t>Poste HEB-320LL EXTRA LARGO (&gt;10,5m)</t>
  </si>
  <si>
    <t>Poste HEB-320LL(P) EXTRA LARGO (&gt;10,5m) PÓRTICO FEEDER</t>
  </si>
  <si>
    <t>Poste HEB-360L  LARGO (10,5m)</t>
  </si>
  <si>
    <t>Poste HEB-360PL  LARGO (10,5m)</t>
  </si>
  <si>
    <t>Poste HEB-360LL EXTRA LARGO (&gt;10,5m) B7</t>
  </si>
  <si>
    <t xml:space="preserve">Poste HEB-450LL EXTRA LARGO (&gt;10,5m) SEMIPÓRTICO 3 VÍAS </t>
  </si>
  <si>
    <t>Pole HEB-320L LARGE (10,5m)</t>
  </si>
  <si>
    <t>Pole HEB-320PL LARGE (10,5m)</t>
  </si>
  <si>
    <t>Pole HEB-320LL EXTRA LARGE (&gt;10,5m)</t>
  </si>
  <si>
    <t>Pole HEB-320LL(P) EXTRA LARGE (&gt;10,5m) GANTRY FEEDER</t>
  </si>
  <si>
    <t>Pole HEB-360L LARGE (10,5m)</t>
  </si>
  <si>
    <t>Pole HEB-360PL LARGE (10,5m)</t>
  </si>
  <si>
    <t>Pole HEB-360LL EXTRA LARGE (&gt;10,5m) B7</t>
  </si>
  <si>
    <t>Pole HEB-450LL EXTRA LARGE (&gt;10,5m) SEMIPORTAL 3 TRACKS</t>
  </si>
  <si>
    <t xml:space="preserve">2HEB-300 </t>
  </si>
  <si>
    <t>Poste 2HEB-240 DOBLE (8,2m)</t>
  </si>
  <si>
    <t xml:space="preserve">Poste 2HEB-240 V DOBLE - VIADUCTO </t>
  </si>
  <si>
    <t>Poste 2HEB-240L DOBLE Y LARGO (10,5m)</t>
  </si>
  <si>
    <t>Poste 2HEB-260 DOBLE (8,2m)</t>
  </si>
  <si>
    <t>Poste 2HEB-260 V DOBLE - VIADUCTO</t>
  </si>
  <si>
    <t>Poste 2HEB-260L DOBLE Y LARGO (10,5m)</t>
  </si>
  <si>
    <t>Poste 2HEB-280 DOBLE (8,2m)</t>
  </si>
  <si>
    <t>Poste 2HEB-280 V DOBLE - VIADUCTO</t>
  </si>
  <si>
    <t>Poste 2HEB-300 DOBLE (8,2m)</t>
  </si>
  <si>
    <t xml:space="preserve">Poste 2HEB-300 V (CP) DOBLE - VIADUCTO PERFIL COMPENSACIÓN </t>
  </si>
  <si>
    <t xml:space="preserve">Poste 2HEB-320(A) DOBLE (8,2m) ANCLAJE EN TOPERA </t>
  </si>
  <si>
    <t>Poste 2HEB-320L DOBLE LARGO (&gt;10,5m)</t>
  </si>
  <si>
    <t>Pole 2HEB-240 DOUBLE (8,2m)</t>
  </si>
  <si>
    <t>Pole 2HEB-240 V DOUBLE - BRIDGE</t>
  </si>
  <si>
    <t>Pole 2HEB-240L DOUBLE AND LARGE (10,5m)</t>
  </si>
  <si>
    <t>Pole 2HEB-260 DOUBLE (8,2m)</t>
  </si>
  <si>
    <t>Pole 2HEB-260 V DOUBLE - BRIDGE</t>
  </si>
  <si>
    <t>Pole 2HEB-260L DOUBLE AND LARGE (10,5m)</t>
  </si>
  <si>
    <t>Pole 2HEB-280 DOUBLE (8,2m)</t>
  </si>
  <si>
    <t>Pole 2HEB-280 V DOUBLE - BRIDGE</t>
  </si>
  <si>
    <t>Pole 2HEB-300 (CP) DOUBLE (8,2m)</t>
  </si>
  <si>
    <t>Pole 2HEB-300 V (CP) DOUBLE - BRIDGE COMPENSATED PROFILE</t>
  </si>
  <si>
    <t>Pole 2HEB-320(A) DOUBLE (8,2m) END LINE TRACK ANCHOR</t>
  </si>
  <si>
    <t>Pole 2HEB-320L DOUBLE LARGE (&gt;10,5m)</t>
  </si>
  <si>
    <t>2HEB-360LL</t>
  </si>
  <si>
    <t xml:space="preserve">Poste 2HEB-360LL DOBLE EXTRA LARGO (&gt;10,5m) SEMIPÓRTICO 3 VÍAS </t>
  </si>
  <si>
    <t>Pole 2HEB-360LL DOUBLE EXTRA LARGE (&gt;10,5m) SEMIPORTAL 3 TRACKS</t>
  </si>
  <si>
    <t>2HEB-550LL</t>
  </si>
  <si>
    <t>Poste 2HEB-550LL DOBLE EXTRA LARGO (14m) PÓRTICO CON TIRANTES &gt;34m</t>
  </si>
  <si>
    <t>Pole 2HEB-550LL DOUBLE EXTRA LARGE (14m) PORTAL WITH TIES &gt;34m</t>
  </si>
  <si>
    <t>Poste 2HEB-260F DOBLE (12m) FUNICULAR</t>
  </si>
  <si>
    <t>Poste 2HEB-300F DOBLE (12m) FUNICULAR</t>
  </si>
  <si>
    <t>HEB-240-HLG</t>
  </si>
  <si>
    <t>Poste HEB-240-HLG PÓRTICO LIMITADOR DE ALTURA</t>
  </si>
  <si>
    <t>CP-HLG</t>
  </si>
  <si>
    <t>Poste CILINDRICO PÓRTICO LIMITADOR DE ALTURA</t>
  </si>
  <si>
    <t>T-SIGN ROAD</t>
  </si>
  <si>
    <t>Tubo para isntalación de señal de carretera</t>
  </si>
  <si>
    <t>Pole 2HEB-260F DOBLE (12m) FUNICULAR</t>
  </si>
  <si>
    <t>Pole 2HEB-300F DOBLE (12m) FUNICULAR</t>
  </si>
  <si>
    <t>Pole HEB-240-HLG HEIGHT LIMITING GANTRY</t>
  </si>
  <si>
    <t>Pole CP-HLG HEIGHT LIMITING GANTRY</t>
  </si>
  <si>
    <t>V11A</t>
  </si>
  <si>
    <t>V01B</t>
  </si>
  <si>
    <t xml:space="preserve"> Portal 2PR1-D</t>
  </si>
  <si>
    <t>94-1.12.2</t>
  </si>
  <si>
    <t>94-1.12.1</t>
  </si>
  <si>
    <t>94-1.13.1</t>
  </si>
  <si>
    <t>94-1.13.2</t>
  </si>
  <si>
    <t>94-1.13.3</t>
  </si>
  <si>
    <t>94-1.13.4</t>
  </si>
  <si>
    <t>94-1.13.5</t>
  </si>
  <si>
    <t>94-1.14.1</t>
  </si>
  <si>
    <t>94-1.14.2</t>
  </si>
  <si>
    <t>94-1.14.3</t>
  </si>
  <si>
    <t>94-1.14.4</t>
  </si>
  <si>
    <t>94-1.14.5</t>
  </si>
  <si>
    <t>94-1.14.6</t>
  </si>
  <si>
    <t>94-1.15.1</t>
  </si>
  <si>
    <t>94-1.15.2</t>
  </si>
  <si>
    <t>94-1.15.3</t>
  </si>
  <si>
    <t>94-1.15.4</t>
  </si>
  <si>
    <t>94-1.15.5</t>
  </si>
  <si>
    <t>94-1.16.1</t>
  </si>
  <si>
    <t>94-1.16.2</t>
  </si>
  <si>
    <t>94-1.16.3</t>
  </si>
  <si>
    <t>94-1.16.4</t>
  </si>
  <si>
    <t>94-1.16.5</t>
  </si>
  <si>
    <t>94-1.16.6</t>
  </si>
  <si>
    <t>94-1.17.1</t>
  </si>
  <si>
    <t>Station South</t>
  </si>
  <si>
    <t>Station North</t>
  </si>
  <si>
    <t>OCR SUPPORT</t>
  </si>
  <si>
    <t>94-2.12.1</t>
  </si>
  <si>
    <t>94-2.13.1</t>
  </si>
  <si>
    <t>94-2.13.2</t>
  </si>
  <si>
    <t>94-2.13.3</t>
  </si>
  <si>
    <t>94-2.13.4</t>
  </si>
  <si>
    <t>94-2.13.5</t>
  </si>
  <si>
    <t>94-2.14.1</t>
  </si>
  <si>
    <t>94-2.14.2</t>
  </si>
  <si>
    <t>94-2.14.3</t>
  </si>
  <si>
    <t>94-2.14.4</t>
  </si>
  <si>
    <t>94-2.14.5</t>
  </si>
  <si>
    <t>94-2.15.1</t>
  </si>
  <si>
    <t>94-2.15.2</t>
  </si>
  <si>
    <t>94-2.15.3</t>
  </si>
  <si>
    <t>94-2.15.4</t>
  </si>
  <si>
    <t>94-2.15.5</t>
  </si>
  <si>
    <t>94-2.15.6</t>
  </si>
  <si>
    <t>94-2.16.1</t>
  </si>
  <si>
    <t>94-2.16.2</t>
  </si>
  <si>
    <t>94-2.16.3</t>
  </si>
  <si>
    <t>94-2.16.4</t>
  </si>
  <si>
    <t>94-2.16.5</t>
  </si>
  <si>
    <t>94-2.16.6</t>
  </si>
  <si>
    <t>94-2.17.1</t>
  </si>
  <si>
    <t>94-2.17.2</t>
  </si>
  <si>
    <t xml:space="preserve">Updated Layout in Hashalom Station  OCR </t>
  </si>
  <si>
    <t xml:space="preserve">Include HEB-360PL for Portal Structure large than 34 m with 3 profiles (portal name 2PR1D) </t>
  </si>
  <si>
    <t>Changed location  Bypass Disconnector THA-BF05 and THA-BF06, both to ID 97-1.01 (97+030)</t>
  </si>
  <si>
    <t>Include HEB-300LL foundation depth according Designation Table (SEM-ER-EP6-OCS_FOUN-DD-6900-07 by Kedmor)</t>
  </si>
  <si>
    <t>DW6948 and Update Depth Found C11LRT to 5,00 m.</t>
  </si>
  <si>
    <t>Updated T-SIGN FOUND. Depth 1,20m</t>
  </si>
  <si>
    <t>92-6.23BIS</t>
  </si>
  <si>
    <t>TCD-002724</t>
  </si>
  <si>
    <t>S2-R</t>
  </si>
  <si>
    <t xml:space="preserve"> Portal PR1-F</t>
  </si>
  <si>
    <t>Conf. 5</t>
  </si>
  <si>
    <t>Conf. 6</t>
  </si>
  <si>
    <t>New Feeder 25 Kv Anchor profiles 79-1.18 and 79-2.18, TS Rishpon to Track 1 and 2 to EP07 (77+730 to 81+257)</t>
  </si>
  <si>
    <t>V08F</t>
  </si>
  <si>
    <t>HEB-400PL</t>
  </si>
  <si>
    <t>Poste HEB-400PL  LARGO (10,5m)</t>
  </si>
  <si>
    <t>HEB-450PL</t>
  </si>
  <si>
    <t>Poste HEB-450PL  LARGO (10,5m)</t>
  </si>
  <si>
    <t>HEB-500PL</t>
  </si>
  <si>
    <t>Poste HEB-500PL  LARGO (10,5m)</t>
  </si>
  <si>
    <t>Pole HEB-400PL LARGE (10,5m)</t>
  </si>
  <si>
    <t>Pole HEB-450PL LARGE (10,5m)</t>
  </si>
  <si>
    <t>Pole HEB-500PL LARGE (10,5m)</t>
  </si>
  <si>
    <t>Appendix 8 Portal Calculation with fixed point anchors</t>
  </si>
  <si>
    <t>C13R</t>
  </si>
  <si>
    <t>C13RT</t>
  </si>
  <si>
    <t>C13R_L</t>
  </si>
  <si>
    <t>2C7R</t>
  </si>
  <si>
    <t>C10R_L</t>
  </si>
  <si>
    <t>C11R_L</t>
  </si>
  <si>
    <t>C12R_L</t>
  </si>
  <si>
    <t>2C7RT</t>
  </si>
  <si>
    <t>DW6955</t>
  </si>
  <si>
    <t>Updated Kedmor Solution profile 95-1.14 HEB-320L with W7 DW6939</t>
  </si>
  <si>
    <t>Updated Savidor station special solution according DW6953-6954</t>
  </si>
  <si>
    <t xml:space="preserve">Cimentación para Poste 2HEB-360LL: 2C7R. Diámetro= 1 m. </t>
  </si>
  <si>
    <t xml:space="preserve">Cimentación para Poste 2HEB-360LL: 2C7RT. Diámetro= 1 m. </t>
  </si>
  <si>
    <t>Updated Pole calculations Sheet by New version Appendix 8: Portal Calculation V8F (with and without SCADA) and Appendix 7.1: Pole with SCADA From Risphon to Savidor and Holon Tracks</t>
  </si>
  <si>
    <t>Gewis</t>
  </si>
  <si>
    <t>200*200*200/560</t>
  </si>
  <si>
    <t>250*250/500</t>
  </si>
  <si>
    <t>200*200*200/300*300</t>
  </si>
  <si>
    <t>500/250</t>
  </si>
  <si>
    <t>600/300</t>
  </si>
  <si>
    <t>500/200</t>
  </si>
  <si>
    <t>200*200/500</t>
  </si>
  <si>
    <t>200*200*200/520</t>
  </si>
  <si>
    <t>260*260/220*220</t>
  </si>
  <si>
    <t>220*220*220/225*225</t>
  </si>
  <si>
    <t>210*210*210/200*200*200</t>
  </si>
  <si>
    <t>200/300</t>
  </si>
  <si>
    <r>
      <t>13</t>
    </r>
    <r>
      <rPr>
        <sz val="10"/>
        <rFont val="Calibri"/>
        <family val="2"/>
      </rPr>
      <t>Ø25</t>
    </r>
  </si>
  <si>
    <t>Ø12@200</t>
  </si>
  <si>
    <t>Ø</t>
  </si>
  <si>
    <t>Ø@</t>
  </si>
  <si>
    <t>12Ø25</t>
  </si>
  <si>
    <t>13Ø25</t>
  </si>
  <si>
    <t>Ø8@200</t>
  </si>
  <si>
    <t>DW6906</t>
  </si>
  <si>
    <t>10Ø20</t>
  </si>
  <si>
    <t>DW6909</t>
  </si>
  <si>
    <t>DW6903</t>
  </si>
  <si>
    <t>8Ø18</t>
  </si>
  <si>
    <t>Ø8@250</t>
  </si>
  <si>
    <t>DW6902</t>
  </si>
  <si>
    <t>DW6901</t>
  </si>
  <si>
    <t>DW6910</t>
  </si>
  <si>
    <t>DW6905</t>
  </si>
  <si>
    <t>DW6913</t>
  </si>
  <si>
    <t>DW6911</t>
  </si>
  <si>
    <t>C12R</t>
  </si>
  <si>
    <t>NEW</t>
  </si>
  <si>
    <t>C12RT</t>
  </si>
  <si>
    <t>C3RT_L</t>
  </si>
  <si>
    <t>C4RT_L</t>
  </si>
  <si>
    <t>C5RT_L</t>
  </si>
  <si>
    <t>C7RT_L</t>
  </si>
  <si>
    <t>C8RT_L</t>
  </si>
  <si>
    <t>C9RT_L</t>
  </si>
  <si>
    <t>C10RT_L</t>
  </si>
  <si>
    <t>C11RT_L</t>
  </si>
  <si>
    <t>C12RT_L</t>
  </si>
  <si>
    <t>C13RT_L</t>
  </si>
  <si>
    <t>2C3RT_L</t>
  </si>
  <si>
    <t>2C4RT_L</t>
  </si>
  <si>
    <t>2C7R_L</t>
  </si>
  <si>
    <t>2C7RT_L</t>
  </si>
  <si>
    <t>2C4FR_L</t>
  </si>
  <si>
    <t>2C4FRT_L</t>
  </si>
  <si>
    <t>C12FR_L</t>
  </si>
  <si>
    <t>C12FRT_L</t>
  </si>
  <si>
    <t xml:space="preserve">Foundation for POLE HEB-300, HEB-300L, HEB-300LL, HEB-320L, y HEB-320PL: C7R. Diameter= 1 m. </t>
  </si>
  <si>
    <t xml:space="preserve">Foundation for POLE HEB-300, HEB-300L, HEB-300LL, HEB-320L, y HEB-320PL: C7RT. Diameter= 1 m. </t>
  </si>
  <si>
    <t xml:space="preserve">Cimentación en L para Poste 2HEB-360LL: 2C7R. Diámetro= 1 m. </t>
  </si>
  <si>
    <t xml:space="preserve">Cimentación en L para Poste 2HEB-360LL: 2C7RT. Diámetro= 1 m. </t>
  </si>
  <si>
    <t>Cimentación en L para Poste 2HEB-260F: 2C4FR</t>
  </si>
  <si>
    <t>Cimentación en L para Poste 2HEB-260F: 2C4FRT</t>
  </si>
  <si>
    <t>Cimentación en L para Poste 2HEB-300F: C12FR</t>
  </si>
  <si>
    <t>Cimentación en L para Poste 2HEB-300F: C12FRT</t>
  </si>
  <si>
    <t xml:space="preserve">L Foundation for POLE HEB-300, HEB-300L, HEB-300LL, HEB-320L, y HEB-320PL: C7R. Diameter= 1 m. </t>
  </si>
  <si>
    <t xml:space="preserve">L Foundation for POLE HEB-300, HEB-300L, HEB-300LL, HEB-320L, y HEB-320PL: C7RT. Diameter= 1 m. </t>
  </si>
  <si>
    <t>L Foundation for POLE 2HEB-260F: 2C4FR</t>
  </si>
  <si>
    <t>L Foundation for POLE 2HEB-260F: 2C4FRT</t>
  </si>
  <si>
    <t>L Foundation for POLE 2HEB-300F: C12FR</t>
  </si>
  <si>
    <t>L Foundation for POLE 2HEB-300F: C12FRT</t>
  </si>
  <si>
    <t xml:space="preserve">L Foundation for POLE 2HEB-360LL: 2C7R. Diameter= 1 m. </t>
  </si>
  <si>
    <t xml:space="preserve">L Foundation for POLE 2HEB-360LL: 2C7RT. Diameter= 1 m. </t>
  </si>
  <si>
    <t xml:space="preserve">Cimentación para Poste HEB-240: C3R. Diámetro= 0,75 m. </t>
  </si>
  <si>
    <t xml:space="preserve">Foundation for POLE HEB-240: C3R. Diameter= 0,75 m. </t>
  </si>
  <si>
    <t xml:space="preserve">Cimentación para Poste HEB-240: C3RT. Diámetro= 0,75 m. </t>
  </si>
  <si>
    <t xml:space="preserve">Foundation for POLE HEB-240: C3RT. Diameter= 0,75 m. </t>
  </si>
  <si>
    <t>Cimentación para Poste HEB-260 y HEB-260L: C4R. Diámetro= 0,75 m</t>
  </si>
  <si>
    <t>Foundation for POLE HEB-260 and HEB-260L: C4R. Diameter= 0,75 m.</t>
  </si>
  <si>
    <t>Cimentación para Poste HEB-260 y HEB-260L: C4RT. Diámetro= 0,75 m</t>
  </si>
  <si>
    <t>Foundation for POLE HEB-260 and HEB-260L: C4RT. Diameter= 0,75 m.</t>
  </si>
  <si>
    <t xml:space="preserve">Cimentación para Poste HEB-280 y HEB-280L: C5R. Diámetro= 1 m. </t>
  </si>
  <si>
    <t xml:space="preserve">Foundation for POLE HEB-280 and HEB-280L: C5R. Diameter= 1 m. </t>
  </si>
  <si>
    <t xml:space="preserve">Cimentación para Poste HEB-280 y HEB-280L: C5RT. Diámetro= 1 m. </t>
  </si>
  <si>
    <t xml:space="preserve">Foundation for POLE HEB-280 and HEB-280L: C5RT. Diameter= 1 m. </t>
  </si>
  <si>
    <t xml:space="preserve">Cimentación para Poste HEB-300, HEB-300L, HEB-300LL, HEB-320L, y HEB-320PL: C7R. Diámetro= 1 m. </t>
  </si>
  <si>
    <t xml:space="preserve">Cimentación para Poste HEB-300, HEB-300L, HEB-300LL, HEB-320L, y HEB-320PL: C7RT. Diámetro= 1 m. </t>
  </si>
  <si>
    <t xml:space="preserve">Cimentación para Poste 2HEB-320, 2HEB-320A, 2HEB-320L: C8R. Diámetro= 1,2 m. </t>
  </si>
  <si>
    <t xml:space="preserve">Foundation for POLE 2HEB-320, 2HEB-320A, 2HEB-320L: C8R . Diameter= 1,2 m. </t>
  </si>
  <si>
    <t xml:space="preserve">Cimentación para Poste 2HEB-320, 2HEB-320A, 2HEB-320L: C8RT. Diámetro= 1,2 m. </t>
  </si>
  <si>
    <t xml:space="preserve">Foundation for POLE 2HEB-320, 2HEB-320A, 2HEB-320L: C8RT . Diameter= 1,2 m. </t>
  </si>
  <si>
    <t xml:space="preserve">Cimentación para Poste HEB-360L; HEB-360PL, HEB-320LL, HEB-320LL(P), HEB-360LL: C9R. Diámetro= 1 m. </t>
  </si>
  <si>
    <t xml:space="preserve">Foundation for POLE HEB-360L; HEB-360PL, HEB-320LL, HEB-320LL(P), HEB-360LL: C9R. Diameter= 1 m. </t>
  </si>
  <si>
    <t xml:space="preserve">Cimentación para Poste HEB-360L; HEB-360PL, HEB-320LL, HEB-320LL(P), HEB-360LL: C9RT. Diámetro= 1 m. </t>
  </si>
  <si>
    <t xml:space="preserve">Foundation for POLE HEB-360L; HEB-360PL, HEB-320LL, HEB-320LL(P), HEB-360LL: C9RT. Diameter= 1 m. </t>
  </si>
  <si>
    <t xml:space="preserve">Cimentación para Poste HEB-450LL: C10R. Diámetro= 1,2 m. </t>
  </si>
  <si>
    <t xml:space="preserve">Foundation for POLE HEB-450LL: C10R. Diameter= 1,2 m. </t>
  </si>
  <si>
    <t xml:space="preserve">Cimentación para Poste HEB-450LL: C10RT. Diámetro= 1,2 m. </t>
  </si>
  <si>
    <t xml:space="preserve">Foundation for POLE HEB-450LL: C10RT. Diameter= 1,2 m. </t>
  </si>
  <si>
    <t xml:space="preserve">Cimentación para Poste HEB-400PL: C11R. Diámetro= 1 m. </t>
  </si>
  <si>
    <t xml:space="preserve">Foundation for POLE HEB-400PL: C11R. Diameter= 1 m. </t>
  </si>
  <si>
    <t xml:space="preserve">Cimentación para Poste HEB-400PL: C11RT. Diámetro= 1 m. </t>
  </si>
  <si>
    <t xml:space="preserve">Foundation for POLE HEB-400PL: C11RT. Diameter= 1 m. </t>
  </si>
  <si>
    <t xml:space="preserve">Cimentación para Poste HEB-450PL: C12RT. Diámetro= 1 m. </t>
  </si>
  <si>
    <t xml:space="preserve">Foundation for POLE HEB-450PL: C12RT. Diameter= 1 m. </t>
  </si>
  <si>
    <t xml:space="preserve">Cimentación para Poste HEB-500PL: C13RT. Diámetro= 1 m. </t>
  </si>
  <si>
    <t xml:space="preserve">Foundation for POLE HEB-500PL: C13RT. Diameter= 1 m. </t>
  </si>
  <si>
    <t xml:space="preserve">Cimentación para Poste 2HEB-240, 2HEB-240L: 2C3R. Diámetro= 1 m. </t>
  </si>
  <si>
    <t xml:space="preserve">Foundation for POLE 2HEB-240, 2HEB-240L: 2C3R. Diameter= 1 m. </t>
  </si>
  <si>
    <t xml:space="preserve">Cimentación para Poste 2HEB-240, 2HEB-240L: 2C3RT. Diámetro= 1 m. </t>
  </si>
  <si>
    <t xml:space="preserve">Foundation for POLE 2HEB-240, 2HEB-240L: 2C3RT. Diameter= 1 m. </t>
  </si>
  <si>
    <t xml:space="preserve">Cimentación para Poste 2HEB-260, 2HEB-260L: 2C4R. Diámetro= 1 m. </t>
  </si>
  <si>
    <t xml:space="preserve">Foundation for POLE 2HEB-260, 2HEB-260L: 2C4R. Diameter= 1 m. </t>
  </si>
  <si>
    <t xml:space="preserve">Cimentación para Poste 2HEB-260, 2HEB-260L: 2C4RT. Diámetro= 1 m. </t>
  </si>
  <si>
    <t xml:space="preserve">Foundation for POLE 2HEB-260, 2HEB-260L: 2C4RT. Diameter= 1 m. </t>
  </si>
  <si>
    <t>Cimentación para T-SIGN: Ø750*1700. Diámetro= 0,750 m. Depth=1,7 m.</t>
  </si>
  <si>
    <t>Foundation for T-SIGN: Ø750*1700. Diameter= 0,750 m. Depth=1,7 m.</t>
  </si>
  <si>
    <t xml:space="preserve">Cimentación: AnMC. Diámetro= 0,75 m. </t>
  </si>
  <si>
    <t>Foundation: AnMC. Diameter= 0,75 m. Depth=2,5 m. GEWI= Ø16-L=2m. Nº=4. Concrete=1,104 m3.</t>
  </si>
  <si>
    <t xml:space="preserve">Cimentación: AnMC-R. Diámetro= 0,75 m. </t>
  </si>
  <si>
    <t>Foundation: AnMCR. Diameter= 0,75 m. Depth=3,5 m. GEWI= Ø16-L=2m. Nº=4. Long. Armor=8 Ø18. Transv. Armor=16 Ø8. Steel Weight =65,1 kg. Concrete=1,546 m3.</t>
  </si>
  <si>
    <t xml:space="preserve">Cimentación: AnMC-RT. Diámetro= 0,75 m. </t>
  </si>
  <si>
    <t>Foundation: AnMCRT. Diameter= 0,75 m. Depth=3,5 m. GEWI= Ø16-L=2m. Nº=4. Long. Armor=8 Ø18. Transv. Armor=16 Ø8. Steel Weight =65,1 kg. Concrete=1,546 m3.</t>
  </si>
  <si>
    <t xml:space="preserve">Cimentación: AnM. Diámetro= 0,75 m. </t>
  </si>
  <si>
    <t>Foundation: AnM. Diameter= 0,75 m. Depth=2,4 m. GEWI= Ø16-L=2m. Nº=4. Concrete=1,060 m3.</t>
  </si>
  <si>
    <t>Cimentación: AnM-R. Diámetro= 0,75 m.</t>
  </si>
  <si>
    <t>Foundation: AnMR. Diameter= 0,75 m. Depth=3 m. GEWI= Ø16-L=2m. Nº=4. Long. Armor=8 Ø18. Transv. Armor=16 Ø8. Steel Weight =65,1 kg. Concrete=1,325 m3.</t>
  </si>
  <si>
    <t xml:space="preserve">Cimentación: AnM-RT. Diámetro= 0,75 m. </t>
  </si>
  <si>
    <t>Foundation: AnM-RT. Diameter= 0,75 m. Depth=3 m. GEWI= Ø16-L=2m. Nº=4. Long. Armor=8 Ø18. Transv. Armor=16 Ø8. Steel Weight =65,1 kg. Concrete=1,325 m3.</t>
  </si>
  <si>
    <t xml:space="preserve">Cimentación en L para Poste HEB-240: C3R. Diámetro= 0,75 m. </t>
  </si>
  <si>
    <t xml:space="preserve">L Foundation for POLE HEB-240: C3R. Diameter= 0,75 m. </t>
  </si>
  <si>
    <t xml:space="preserve">Cimentación en L para Poste HEB-240: C3RT. Diámetro= 0,75 m. </t>
  </si>
  <si>
    <t xml:space="preserve">L Foundation for POLE HEB-240: C3RT. Diameter= 0,75 m. </t>
  </si>
  <si>
    <t>Cimentación en L para Poste HEB-260 y HEB-260L: C4R. Diámetro= 0,75 m</t>
  </si>
  <si>
    <t>L Foundation for POLE HEB-260 and HEB-260L: C4R. Diameter= 0,75 m.</t>
  </si>
  <si>
    <t>Cimentación en L para Poste HEB-260 y HEB-260L: C4RT. Diámetro= 0,75 m</t>
  </si>
  <si>
    <t>L Foundation for POLE HEB-260 and HEB-260L: C4RT. Diameter= 0,75 m.</t>
  </si>
  <si>
    <t xml:space="preserve">Cimentación en L para Poste HEB-280 y HEB-280L: C5R. Diámetro= 1 m. </t>
  </si>
  <si>
    <t xml:space="preserve">L Foundation for POLE HEB-280 and HEB-280L: C5R. Diameter= 1 m. </t>
  </si>
  <si>
    <t xml:space="preserve">Cimentación en L para Poste HEB-280 y HEB-280L: C5RT. Diámetro= 1 m. </t>
  </si>
  <si>
    <t xml:space="preserve">L Foundation for POLE HEB-280 and HEB-280L: C5RT. Diameter= 1 m. </t>
  </si>
  <si>
    <t xml:space="preserve">Cimentación en L para Poste HEB-300, HEB-300L, HEB-300LL, HEB-320L, y HEB-320PL: C7R. Diámetro= 1 m. </t>
  </si>
  <si>
    <t xml:space="preserve">Cimentación en L para Poste HEB-300, HEB-300L, HEB-300LL, HEB-320L, y HEB-320PL: C7RT. Diámetro= 1 m. </t>
  </si>
  <si>
    <t xml:space="preserve">Cimentación en L para Poste 2HEB-320, 2HEB-320A, 2HEB-320L: C8R. Diámetro= 1,2 m. </t>
  </si>
  <si>
    <t xml:space="preserve">L Foundation for POLE 2HEB-320, 2HEB-320A, 2HEB-320L: C8R . Diameter= 1,2 m. </t>
  </si>
  <si>
    <t xml:space="preserve">Cimentación en L para Poste 2HEB-320, 2HEB-320A, 2HEB-320L: C8RT. Diámetro= 1,2 m. </t>
  </si>
  <si>
    <t xml:space="preserve">L Foundation for POLE 2HEB-320, 2HEB-320A, 2HEB-320L: C8RT . Diameter= 1,2 m. </t>
  </si>
  <si>
    <t xml:space="preserve">Cimentación en L para Poste HEB-360L; HEB-360PL, HEB-320LL, HEB-320LL(P), HEB-360LL: C9R. Diámetro= 1 m. </t>
  </si>
  <si>
    <t xml:space="preserve">L Foundation for POLE HEB-360L; HEB-360PL, HEB-320LL, HEB-320LL(P), HEB-360LL: C9R. Diameter= 1 m. </t>
  </si>
  <si>
    <t xml:space="preserve">Cimentación en L para Poste HEB-360L; HEB-360PL, HEB-320LL, HEB-320LL(P), HEB-360LL: C9RT. Diámetro= 1 m. </t>
  </si>
  <si>
    <t xml:space="preserve">L Foundation for POLE HEB-360L; HEB-360PL, HEB-320LL, HEB-320LL(P), HEB-360LL: C9RT. Diameter= 1 m. </t>
  </si>
  <si>
    <t xml:space="preserve">Cimentación en L para Poste HEB-450LL: C10R. Diámetro= 1,2 m. </t>
  </si>
  <si>
    <t xml:space="preserve">L Foundation for POLE HEB-450LL: C10R. Diameter= 1,2 m. </t>
  </si>
  <si>
    <t xml:space="preserve">Cimentación en L para Poste HEB-450LL: C10RT. Diámetro= 1,2 m. </t>
  </si>
  <si>
    <t xml:space="preserve">L Foundation for POLE HEB-450LL: C10RT. Diameter= 1,2 m. </t>
  </si>
  <si>
    <t xml:space="preserve">Cimentación en L para Poste HEB-400PL: C11R. Diámetro= 1 m. </t>
  </si>
  <si>
    <t xml:space="preserve">L Foundation for POLE HEB-400PL: C11R. Diameter= 1 m. </t>
  </si>
  <si>
    <t xml:space="preserve">Cimentación en L para Poste HEB-400PL: C11RT. Diámetro= 1 m. </t>
  </si>
  <si>
    <t xml:space="preserve">L Foundation for POLE HEB-400PL: C11RT. Diameter= 1 m. </t>
  </si>
  <si>
    <t xml:space="preserve">Cimentación en L para Poste HEB-450PL: C12RT. Diámetro= 1 m. </t>
  </si>
  <si>
    <t xml:space="preserve">L Foundation for POLE HEB-450PL: C12RT. Diameter= 1 m. </t>
  </si>
  <si>
    <t xml:space="preserve">Cimentación en L para Poste HEB-500PL: C13RT. Diámetro= 1 m. </t>
  </si>
  <si>
    <t xml:space="preserve">L Foundation for POLE HEB-500PL: C13RT. Diameter= 1 m. </t>
  </si>
  <si>
    <t xml:space="preserve">Cimentación en L para Poste 2HEB-240, 2HEB-240L: 2C3R. Diámetro= 1 m. </t>
  </si>
  <si>
    <t xml:space="preserve">L Foundation for POLE 2HEB-240, 2HEB-240L: 2C3R. Diameter= 1 m. </t>
  </si>
  <si>
    <t xml:space="preserve">Cimentación en L para Poste 2HEB-240, 2HEB-240L: 2C3RT. Diámetro= 1 m. </t>
  </si>
  <si>
    <t xml:space="preserve">L Foundation for POLE 2HEB-240, 2HEB-240L: 2C3RT. Diameter= 1 m. </t>
  </si>
  <si>
    <t xml:space="preserve">Cimentación en L para Poste 2HEB-260, 2HEB-260L: 2C4R. Diámetro= 1 m. </t>
  </si>
  <si>
    <t xml:space="preserve">L Foundation for POLE 2HEB-260, 2HEB-260L: 2C4R. Diameter= 1 m. </t>
  </si>
  <si>
    <t xml:space="preserve">Cimentación en L para Poste 2HEB-260, 2HEB-260L: 2C4RT. Diámetro= 1 m. </t>
  </si>
  <si>
    <t xml:space="preserve">L Foundation for POLE 2HEB-260, 2HEB-260L: 2C4RT. </t>
  </si>
  <si>
    <t>Theorical Cant (mm)</t>
  </si>
  <si>
    <t>Track Layout (m)</t>
  </si>
  <si>
    <t>Span (m)</t>
  </si>
  <si>
    <t>Current 
Cant (mm)</t>
  </si>
  <si>
    <t>Current Track Layout (m)</t>
  </si>
  <si>
    <t>Current 
Span (m)</t>
  </si>
  <si>
    <t>Stagger (cm)</t>
  </si>
  <si>
    <t>Catenary height (m)</t>
  </si>
  <si>
    <t>Elevation CW (m)</t>
  </si>
  <si>
    <t>Track KP</t>
  </si>
  <si>
    <t>Pole Gauge Location (mm)</t>
  </si>
  <si>
    <t>Rail-Pole Distance (mm)</t>
  </si>
  <si>
    <t>CW height (m)</t>
  </si>
  <si>
    <t>Soil 
Found</t>
  </si>
  <si>
    <t>Depth 
Pole F. (m)</t>
  </si>
  <si>
    <t>Depth Anchor F. (m)</t>
  </si>
  <si>
    <t>Pole Calculation
Reference</t>
  </si>
  <si>
    <t>Height Cant. Support (mm)</t>
  </si>
  <si>
    <t>EP06</t>
  </si>
  <si>
    <t>DW6960/6961</t>
  </si>
  <si>
    <t>Updated drainage special solution according DW6960-6961 from ID 93-1.23 to 94-1.05</t>
  </si>
  <si>
    <t>DW6927</t>
  </si>
  <si>
    <t>DW6949</t>
  </si>
  <si>
    <t>Updated drainage special solution according DW6927 from ID 93-1.09BIS to 93-1.11</t>
  </si>
  <si>
    <t xml:space="preserve">AnMP AnMP </t>
  </si>
  <si>
    <t>PHQ- 1150</t>
  </si>
  <si>
    <t>PHQ- 1450</t>
  </si>
  <si>
    <t>BTC-1450</t>
  </si>
  <si>
    <t>Plain Terrain</t>
  </si>
  <si>
    <t>Diam.</t>
  </si>
  <si>
    <t>Gewis Nº</t>
  </si>
  <si>
    <t>Long. Reinforc.</t>
  </si>
  <si>
    <t>Transv. Reinforc.</t>
  </si>
  <si>
    <t>Found.
Drawing</t>
  </si>
  <si>
    <t xml:space="preserve">Update poles and portal type on profiles 94-X.18 </t>
  </si>
  <si>
    <t>CP+AnMC
CP+AnMC</t>
  </si>
  <si>
    <t>Update OCS profile 95-1.13 to Portal Support</t>
  </si>
  <si>
    <t>AnM-R
AnM-R</t>
  </si>
  <si>
    <t>DW6929</t>
  </si>
  <si>
    <t>DW6915</t>
  </si>
  <si>
    <t>2PRD</t>
  </si>
  <si>
    <t>TRACK 5</t>
  </si>
  <si>
    <t>DW6912</t>
  </si>
  <si>
    <t>MW/MC-ISusp</t>
  </si>
  <si>
    <t>DW6928</t>
  </si>
  <si>
    <t>DW6962</t>
  </si>
  <si>
    <t>2xDW6962</t>
  </si>
  <si>
    <t>Update SCADA cable Anchors</t>
  </si>
  <si>
    <t xml:space="preserve">Update OCS Layout Herzliya Station </t>
  </si>
  <si>
    <t>Terrain Geometry</t>
  </si>
  <si>
    <t>A/S-Diag AnRW</t>
  </si>
  <si>
    <t>DW6963</t>
  </si>
  <si>
    <t>DW6964</t>
  </si>
  <si>
    <t>92-4.20BIS</t>
  </si>
  <si>
    <t>92-6.23BIS1</t>
  </si>
  <si>
    <t>Change porfile 94-2.11 to HEB-280L for ByPass Feeder</t>
  </si>
  <si>
    <t>Updated KEDMOR special solution from Hahagana to Savidor Station</t>
  </si>
  <si>
    <t>Updated Foundations Depth according SEM-ER-E06-OCS_FOUN-DD-6900-10</t>
  </si>
  <si>
    <t>AnMC-W</t>
  </si>
  <si>
    <t>DW6927
DW6999</t>
  </si>
  <si>
    <t>Portal</t>
  </si>
  <si>
    <t>Production dates</t>
  </si>
  <si>
    <t>23/07/1019</t>
  </si>
  <si>
    <t>16/07/1019</t>
  </si>
  <si>
    <t>03/07/1019</t>
  </si>
  <si>
    <t>06/06/1019</t>
  </si>
  <si>
    <t>13/06/1019</t>
  </si>
  <si>
    <t>Pole/Support</t>
  </si>
  <si>
    <t>CP+AnMC
FP+AnMC</t>
  </si>
  <si>
    <t>DW6928
DW6999</t>
  </si>
  <si>
    <t>93-6.09BIS</t>
  </si>
  <si>
    <t>79-1.11BIS</t>
  </si>
  <si>
    <t>79-1.18BIS</t>
  </si>
  <si>
    <t>79-2.11BIS</t>
  </si>
  <si>
    <t>79-2.18BIS</t>
  </si>
  <si>
    <t>12-1.18BIS</t>
  </si>
  <si>
    <t>12-1.24BIS</t>
  </si>
  <si>
    <t>12-2.18BIS</t>
  </si>
  <si>
    <t>12-2.24BIS</t>
  </si>
  <si>
    <t>86-1.10BIS</t>
  </si>
  <si>
    <t>86-1.16BIS</t>
  </si>
  <si>
    <t>86-2.10BIS</t>
  </si>
  <si>
    <t>86-2.16BIS</t>
  </si>
  <si>
    <t>86-3.10BIS</t>
  </si>
  <si>
    <t>86-3.16BIS</t>
  </si>
  <si>
    <t>86-4.10BIS</t>
  </si>
  <si>
    <t>86-4.16BIS</t>
  </si>
  <si>
    <t>2-1.06BIS</t>
  </si>
  <si>
    <t>1-1.13BIS</t>
  </si>
  <si>
    <t>2-2.06BIS</t>
  </si>
  <si>
    <t>1-2.13BIS</t>
  </si>
  <si>
    <t>Ejecutado</t>
  </si>
  <si>
    <t>No printable column
For KEDMOR help</t>
  </si>
  <si>
    <t>Yellow: New
Yellow: Revised
White: Approved</t>
  </si>
  <si>
    <t>TRACK 5 TLV HAHAGANA-HOLON</t>
  </si>
  <si>
    <t>TRACK 4 TLV HAHAGANA-HOLON</t>
  </si>
  <si>
    <t>Distribution/Gewi</t>
  </si>
  <si>
    <t xml:space="preserve"> P67(CS)</t>
  </si>
  <si>
    <t>TRACK 1 TLV SAVIDOR-TLV HAHAGANA</t>
  </si>
  <si>
    <t>r</t>
  </si>
  <si>
    <t>R</t>
  </si>
  <si>
    <t>P39(CS)</t>
  </si>
  <si>
    <t>P37(CS)</t>
  </si>
  <si>
    <t>P21(CS)</t>
  </si>
  <si>
    <t>DW6946</t>
  </si>
  <si>
    <t>Updated KEDMOR special solution for ID94-1.18 DW6942</t>
  </si>
  <si>
    <t>DW6954
DW6957</t>
  </si>
  <si>
    <t>DW6953
DW6956</t>
  </si>
  <si>
    <t>Updated KEDMOR special solution for ID92-3.27, 93-3.01, 93-5.07 and 93-5.09 with DW6953-6954-6956-6957</t>
  </si>
  <si>
    <t>New Profiles 92-4.20BIS and 92-6.23BIS1 to Over Head Crossing Bypass Feeder on Savidor</t>
  </si>
  <si>
    <t>BTC-1451</t>
  </si>
  <si>
    <t>BC-1350</t>
  </si>
  <si>
    <t>BC-1150</t>
  </si>
  <si>
    <t>PH-870</t>
  </si>
  <si>
    <t>DW6944</t>
  </si>
  <si>
    <t>DW6970</t>
  </si>
  <si>
    <t>DW6944/6971</t>
  </si>
  <si>
    <t>Updated KEDMOR validation for BNEI BRAK Underpass DW6999</t>
  </si>
  <si>
    <t>Updated KEDMOR validation for Hashalom OCR support DW6944, DW6970 and DW6971</t>
  </si>
  <si>
    <t>Updated poles according new Scada Ring design</t>
  </si>
  <si>
    <t>DW6968</t>
  </si>
  <si>
    <t>DW6969</t>
  </si>
  <si>
    <t xml:space="preserve">Updated position KP13+060, profiles 13-1.02 and 13-2.02 </t>
  </si>
  <si>
    <t>Updated profiles 90-X.20 and 90-X.21 New Modification requested by VATAL for the University Station</t>
  </si>
  <si>
    <t>DW6980</t>
  </si>
  <si>
    <t>P51(CS)</t>
  </si>
  <si>
    <t>A/S P59(CS)</t>
  </si>
  <si>
    <t>EMT-TRH</t>
  </si>
  <si>
    <t>PH-750</t>
  </si>
  <si>
    <t>PHQ-750</t>
  </si>
  <si>
    <t>PH-700</t>
  </si>
  <si>
    <t>PHQ-650</t>
  </si>
  <si>
    <t>PH-520</t>
  </si>
  <si>
    <t>s</t>
  </si>
  <si>
    <t>.</t>
  </si>
  <si>
    <t>BTC-1551</t>
  </si>
  <si>
    <t>BTC-1501</t>
  </si>
  <si>
    <t>BTC_1651</t>
  </si>
  <si>
    <t>C5SRT</t>
  </si>
  <si>
    <t>App.7-V11D-P9.5.2.6</t>
  </si>
  <si>
    <t>2C3SRT</t>
  </si>
  <si>
    <t>App.7-V11D-P9.5.2.5</t>
  </si>
  <si>
    <t>C9SRT</t>
  </si>
  <si>
    <t>App.8-V08H-P10.7.4.1</t>
  </si>
  <si>
    <t>App.7-V11D-P9.5.2.1</t>
  </si>
  <si>
    <t>App.7-V11D-P9.5.2.3</t>
  </si>
  <si>
    <t>C4SRT</t>
  </si>
  <si>
    <t>App.7-V11D-P9.5.2.2</t>
  </si>
  <si>
    <r>
      <t>A</t>
    </r>
    <r>
      <rPr>
        <b/>
        <sz val="10"/>
        <rFont val="Arial"/>
        <family val="2"/>
      </rPr>
      <t>nRW</t>
    </r>
  </si>
  <si>
    <t>App.8-V08H-P10.3</t>
  </si>
  <si>
    <t>App.7-V11D-P9.5.2.4</t>
  </si>
  <si>
    <t>SCADA RING END(BBR)</t>
  </si>
  <si>
    <t>App.7-V11D-P9.5.2.</t>
  </si>
  <si>
    <t>C7SR</t>
  </si>
  <si>
    <t>2C3SR</t>
  </si>
  <si>
    <t>C5SR</t>
  </si>
  <si>
    <t>App.7-V11D-P9.5.1.6</t>
  </si>
  <si>
    <t>App.7-V11D-P9.5.1.1</t>
  </si>
  <si>
    <t>App.7-V11D-P9.5.1.3</t>
  </si>
  <si>
    <t>App.7-V11D-P9.5.1.2</t>
  </si>
  <si>
    <t>24/042020</t>
  </si>
  <si>
    <t>Update Soil Found and Terrain Geometric of TRACK's: 1-2 BBR-TUN and 5 BBR-HER, also update Depth Pole and Acnhor foundation with OCS</t>
  </si>
  <si>
    <t>Foundations EP07 Designation Tables_02; Profiles 1-2.03 and 1-2.03 new AnRW Anchor.</t>
  </si>
  <si>
    <t xml:space="preserve"> The value of SH has been changed to 0.90 meters for the profiles 83-X.18 and 83-X.19</t>
  </si>
  <si>
    <t>Profile 85-3.02 have been corrected to single cantilever EMT-2; 90-4.13 position of OCS line on circles cantilever have been corrected.</t>
  </si>
  <si>
    <t xml:space="preserve">UnderPass </t>
  </si>
  <si>
    <t>Update position OCS Poles by affection of New UnderPass Light Railway Tel Aviv, between KP 1+631 to 1+496</t>
  </si>
  <si>
    <t>Update changes on profiles 90-4.15 and 90-5.15</t>
  </si>
  <si>
    <t xml:space="preserve">Update position profile 90-1.20; 5 meter to +KP, Without AnRW </t>
  </si>
  <si>
    <t xml:space="preserve"> </t>
  </si>
  <si>
    <t>Update OCS Poles Layout by new underpass of Light Train TelAviv on KP 1+550, Track 1 and 2 to Bnei Brack EP07</t>
  </si>
  <si>
    <t>1-1.05BIS</t>
  </si>
  <si>
    <t>1-2.05BIS</t>
  </si>
  <si>
    <t>Update OCS Foundation and Pole.</t>
  </si>
  <si>
    <t>DW7002</t>
  </si>
  <si>
    <t>DW7003</t>
  </si>
  <si>
    <t xml:space="preserve">Unique Solution </t>
  </si>
  <si>
    <t>DW7001</t>
  </si>
  <si>
    <t>DW7031-A</t>
  </si>
  <si>
    <t>DW7032-A</t>
  </si>
  <si>
    <t>DW7035-A</t>
  </si>
  <si>
    <t>DW7036-A</t>
  </si>
  <si>
    <t xml:space="preserve">Update Unique Solution on Bridges: KP 10+450, 90+130 and UnderPAss: KP 89+960 </t>
  </si>
  <si>
    <t>Update Poles type and Feeder from Holtz on Track 4 and 5, overlap EP06-EP08</t>
  </si>
  <si>
    <t xml:space="preserve">2HEB-240L </t>
  </si>
  <si>
    <t>97-5.07BIS</t>
  </si>
  <si>
    <t>2HBE-240</t>
  </si>
  <si>
    <t>Update KEDMOR solution and type pole profiles 89-1/2.05, 89-1/2.06, 90-1/2.01 and 90-1/2.08</t>
  </si>
  <si>
    <t>Update due to construction consideration/limitations on site….changes location disconn. TUN-01/02 and THA-11/12</t>
  </si>
  <si>
    <t>CP</t>
  </si>
  <si>
    <t>MW and CW height adjustment between profiles (93-X.24, 94-X.01 and 94-X.02), due to the new Emek Bracha Overcrossing at PK 94+030</t>
  </si>
  <si>
    <t>90-1.16b</t>
  </si>
  <si>
    <t>90-2.16b</t>
  </si>
  <si>
    <t>P80(TgS)</t>
  </si>
  <si>
    <t>90-3.16b</t>
  </si>
  <si>
    <t>P52(CS) A/S</t>
  </si>
  <si>
    <t>PHQ-1650</t>
  </si>
  <si>
    <t>BTC-1250</t>
  </si>
  <si>
    <t>90-4.12b</t>
  </si>
  <si>
    <t>P48(CS)</t>
  </si>
  <si>
    <t>A/S AnMP S/A</t>
  </si>
  <si>
    <t>90-4.16a</t>
  </si>
  <si>
    <t>90-4.16b</t>
  </si>
  <si>
    <t>P39(CS) A/S</t>
  </si>
  <si>
    <t>P50(CS) MPA</t>
  </si>
  <si>
    <t>S/A AnMP A/S-Diag</t>
  </si>
  <si>
    <t>P65</t>
  </si>
  <si>
    <t>88-4.15BIS</t>
  </si>
  <si>
    <t>App.7-V11J-P.13.3</t>
  </si>
  <si>
    <t>S2/B7</t>
  </si>
  <si>
    <t>Update due Modifications and Changes on Tracks and Platform on University Station and New Turnout in TELBARCUH KP88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</si>
</sst>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4" formatCode="_-* #,##0.00\ &quot;€&quot;_-;\-* #,##0.00\ &quot;€&quot;_-;_-* &quot;-&quot;??\ &quot;€&quot;_-;_-@_-"/>
    <numFmt numFmtId="164" formatCode="&quot;€&quot;#,##0.00_);[Red]\(&quot;€&quot;#,##0.00\)"/>
    <numFmt numFmtId="165" formatCode="_(&quot;€&quot;* #,##0.00_);_(&quot;€&quot;* \(#,##0.00\);_(&quot;€&quot;* &quot;-&quot;??_);_(@_)"/>
    <numFmt numFmtId="166" formatCode="0.0"/>
    <numFmt numFmtId="167" formatCode="0.000"/>
    <numFmt numFmtId="168" formatCode="0.0000"/>
    <numFmt numFmtId="169" formatCode="#\+##0"/>
    <numFmt numFmtId="170" formatCode="#\+##0.0"/>
    <numFmt numFmtId="171" formatCode="000\+000.00"/>
    <numFmt numFmtId="172" formatCode="##\+##0.0"/>
    <numFmt numFmtId="173" formatCode="00\+000.00"/>
    <numFmt numFmtId="174" formatCode="#,##0.00\ _€"/>
    <numFmt numFmtId="175" formatCode="\-"/>
    <numFmt numFmtId="176" formatCode="#,##0.00\ &quot;m&quot;"/>
    <numFmt numFmtId="177" formatCode="&quot;d&quot;#0&quot;mm&quot;"/>
    <numFmt numFmtId="178" formatCode="###\+##0.00"/>
  </numFmts>
  <fonts count="136">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b/>
      <sz val="20"/>
      <name val="Arial"/>
      <family val="2"/>
    </font>
    <font>
      <b/>
      <sz val="14"/>
      <name val="Arial"/>
      <family val="2"/>
    </font>
    <font>
      <b/>
      <sz val="9"/>
      <color indexed="12"/>
      <name val="Weidemann Bk BT"/>
      <family val="1"/>
    </font>
    <font>
      <b/>
      <sz val="9"/>
      <name val="Weidemann Bk BT"/>
      <family val="1"/>
    </font>
    <font>
      <sz val="9"/>
      <name val="Weidemann Bk BT"/>
      <family val="1"/>
    </font>
    <font>
      <sz val="10"/>
      <name val="Weidemann Bk BT"/>
      <family val="1"/>
    </font>
    <font>
      <b/>
      <sz val="10"/>
      <name val="Weidemann Bk BT"/>
      <family val="1"/>
    </font>
    <font>
      <b/>
      <sz val="10"/>
      <color indexed="62"/>
      <name val="Weidemann Bk BT"/>
      <family val="1"/>
    </font>
    <font>
      <sz val="10"/>
      <name val="Weidemann Bk BT"/>
      <family val="1"/>
    </font>
    <font>
      <sz val="10"/>
      <name val="Arial"/>
      <family val="2"/>
    </font>
    <font>
      <sz val="11"/>
      <color indexed="8"/>
      <name val="Calibri"/>
      <family val="2"/>
    </font>
    <font>
      <sz val="11"/>
      <color indexed="9"/>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20"/>
      <name val="Calibri"/>
      <family val="2"/>
    </font>
    <font>
      <sz val="11"/>
      <color indexed="60"/>
      <name val="Calibri"/>
      <family val="2"/>
    </font>
    <font>
      <b/>
      <sz val="11"/>
      <color indexed="63"/>
      <name val="Calibri"/>
      <family val="2"/>
    </font>
    <font>
      <sz val="11"/>
      <color indexed="10"/>
      <name val="Calibri"/>
      <family val="2"/>
    </font>
    <font>
      <i/>
      <sz val="11"/>
      <color indexed="23"/>
      <name val="Calibri"/>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u/>
      <sz val="10"/>
      <color indexed="12"/>
      <name val="Arial"/>
      <family val="2"/>
    </font>
    <font>
      <sz val="10"/>
      <color indexed="62"/>
      <name val="Mona Lisa Recut"/>
    </font>
    <font>
      <sz val="10"/>
      <name val="Mona Lisa Recut"/>
    </font>
    <font>
      <sz val="10"/>
      <color indexed="62"/>
      <name val="Weidemann Bk BT"/>
      <family val="1"/>
    </font>
    <font>
      <sz val="10"/>
      <color indexed="10"/>
      <name val="Weidemann Bk BT"/>
      <family val="1"/>
    </font>
    <font>
      <b/>
      <u/>
      <sz val="16"/>
      <color indexed="18"/>
      <name val="Stylus BT"/>
      <family val="2"/>
    </font>
    <font>
      <b/>
      <sz val="10"/>
      <name val="Stylus BT"/>
      <family val="2"/>
    </font>
    <font>
      <sz val="10"/>
      <color indexed="14"/>
      <name val="Arial"/>
      <family val="2"/>
    </font>
    <font>
      <b/>
      <sz val="10"/>
      <color indexed="14"/>
      <name val="Arial"/>
      <family val="2"/>
    </font>
    <font>
      <sz val="10"/>
      <name val="Arial"/>
      <family val="2"/>
    </font>
    <font>
      <sz val="11"/>
      <color indexed="8"/>
      <name val="Futura Lt BT"/>
      <family val="2"/>
    </font>
    <font>
      <b/>
      <sz val="9"/>
      <color indexed="12"/>
      <name val="Futura Lt BT"/>
      <family val="2"/>
    </font>
    <font>
      <b/>
      <sz val="9"/>
      <name val="Futura Lt BT"/>
      <family val="2"/>
    </font>
    <font>
      <b/>
      <sz val="9"/>
      <color indexed="9"/>
      <name val="Futura Lt BT"/>
      <family val="2"/>
    </font>
    <font>
      <sz val="9"/>
      <name val="Futura Lt BT"/>
      <family val="2"/>
    </font>
    <font>
      <sz val="10"/>
      <name val="Futura Lt BT"/>
      <family val="2"/>
    </font>
    <font>
      <b/>
      <sz val="10"/>
      <name val="Futura Lt BT"/>
      <family val="2"/>
    </font>
    <font>
      <b/>
      <sz val="15"/>
      <color indexed="62"/>
      <name val="Calibri"/>
      <family val="2"/>
    </font>
    <font>
      <b/>
      <sz val="13"/>
      <color indexed="62"/>
      <name val="Calibri"/>
      <family val="2"/>
    </font>
    <font>
      <b/>
      <sz val="11"/>
      <color indexed="62"/>
      <name val="Calibri"/>
      <family val="2"/>
    </font>
    <font>
      <sz val="11"/>
      <name val="Cambria"/>
      <family val="1"/>
    </font>
    <font>
      <b/>
      <sz val="18"/>
      <color indexed="62"/>
      <name val="Cambria"/>
      <family val="2"/>
    </font>
    <font>
      <sz val="9"/>
      <name val="Arial"/>
      <family val="2"/>
    </font>
    <font>
      <b/>
      <sz val="9"/>
      <name val="Arial"/>
      <family val="2"/>
    </font>
    <font>
      <sz val="9"/>
      <name val="Arial (WC)"/>
      <family val="2"/>
      <charset val="204"/>
    </font>
    <font>
      <b/>
      <u/>
      <sz val="10"/>
      <name val="Arial"/>
      <family val="2"/>
    </font>
    <font>
      <sz val="10"/>
      <color indexed="8"/>
      <name val="Arial"/>
      <family val="2"/>
    </font>
    <font>
      <sz val="10"/>
      <name val="ISOCPEUR"/>
      <family val="2"/>
    </font>
    <font>
      <b/>
      <sz val="10"/>
      <name val="ISOCPEUR"/>
      <family val="2"/>
    </font>
    <font>
      <sz val="11"/>
      <name val="ISOCPEUR"/>
      <family val="2"/>
    </font>
    <font>
      <sz val="11"/>
      <color indexed="10"/>
      <name val="ISOCPEUR"/>
      <family val="2"/>
    </font>
    <font>
      <i/>
      <sz val="10"/>
      <name val="ISOCPEUR"/>
      <family val="2"/>
    </font>
    <font>
      <sz val="11"/>
      <color indexed="8"/>
      <name val="ISOCPEUR"/>
      <family val="2"/>
    </font>
    <font>
      <b/>
      <sz val="14"/>
      <color indexed="48"/>
      <name val="ISOCPEUR"/>
      <family val="2"/>
    </font>
    <font>
      <b/>
      <i/>
      <sz val="10"/>
      <name val="ISOCPEUR"/>
      <family val="2"/>
    </font>
    <font>
      <b/>
      <sz val="11"/>
      <color indexed="8"/>
      <name val="ISOCPEUR"/>
      <family val="2"/>
    </font>
    <font>
      <i/>
      <sz val="11"/>
      <color indexed="8"/>
      <name val="ISOCPEUR"/>
      <family val="2"/>
    </font>
    <font>
      <i/>
      <u/>
      <sz val="11"/>
      <color indexed="8"/>
      <name val="ISOCPEUR"/>
      <family val="2"/>
    </font>
    <font>
      <i/>
      <u/>
      <sz val="11"/>
      <name val="ISOCPEUR"/>
      <family val="2"/>
    </font>
    <font>
      <b/>
      <sz val="11"/>
      <color rgb="FFFF0000"/>
      <name val="ISOCPEUR"/>
      <family val="2"/>
    </font>
    <font>
      <sz val="11"/>
      <color rgb="FFFF0000"/>
      <name val="ISOCPEUR"/>
      <family val="2"/>
    </font>
    <font>
      <b/>
      <sz val="11"/>
      <color rgb="FF002060"/>
      <name val="ISOCPEUR"/>
      <family val="2"/>
    </font>
    <font>
      <b/>
      <i/>
      <u/>
      <sz val="11"/>
      <color theme="0"/>
      <name val="ISOCPEUR"/>
      <family val="2"/>
    </font>
    <font>
      <i/>
      <sz val="9"/>
      <name val="Futura Lt BT"/>
      <family val="2"/>
    </font>
    <font>
      <sz val="11"/>
      <color rgb="FFFF0000"/>
      <name val="Calibri"/>
      <family val="2"/>
    </font>
    <font>
      <b/>
      <sz val="11"/>
      <name val="Arial"/>
      <family val="2"/>
    </font>
    <font>
      <sz val="8"/>
      <color indexed="8"/>
      <name val="ISOCPEUR"/>
      <family val="2"/>
    </font>
    <font>
      <b/>
      <sz val="11"/>
      <color theme="1"/>
      <name val="Calibri"/>
      <family val="2"/>
      <scheme val="minor"/>
    </font>
    <font>
      <b/>
      <sz val="11"/>
      <color rgb="FFFF0000"/>
      <name val="Calibri"/>
      <family val="2"/>
    </font>
    <font>
      <sz val="10"/>
      <color rgb="FFFF0000"/>
      <name val="ISOCPEUR"/>
      <family val="2"/>
    </font>
    <font>
      <i/>
      <sz val="10"/>
      <color rgb="FFFF0000"/>
      <name val="ISOCPEUR"/>
      <family val="2"/>
    </font>
    <font>
      <b/>
      <sz val="9"/>
      <color indexed="81"/>
      <name val="Tahoma"/>
      <family val="2"/>
    </font>
    <font>
      <sz val="9"/>
      <color indexed="81"/>
      <name val="Tahoma"/>
      <family val="2"/>
    </font>
    <font>
      <i/>
      <sz val="9"/>
      <color theme="5"/>
      <name val="Futura Lt BT"/>
      <family val="2"/>
    </font>
    <font>
      <b/>
      <i/>
      <sz val="9"/>
      <color theme="0"/>
      <name val="Futura Lt BT"/>
      <family val="2"/>
    </font>
    <font>
      <sz val="10"/>
      <color rgb="FF0070C0"/>
      <name val="Arial"/>
      <family val="2"/>
    </font>
    <font>
      <sz val="11"/>
      <color rgb="FF002060"/>
      <name val="ISOCPEUR"/>
      <family val="2"/>
    </font>
    <font>
      <sz val="18"/>
      <color theme="3"/>
      <name val="Cambria"/>
      <family val="2"/>
      <scheme val="major"/>
    </font>
    <font>
      <b/>
      <sz val="13"/>
      <color theme="3"/>
      <name val="Calibri"/>
      <family val="2"/>
      <scheme val="minor"/>
    </font>
    <font>
      <b/>
      <sz val="11"/>
      <color theme="3"/>
      <name val="Calibri"/>
      <family val="2"/>
      <scheme val="minor"/>
    </font>
    <font>
      <sz val="11"/>
      <color rgb="FF9C0006"/>
      <name val="Calibri"/>
      <family val="2"/>
      <scheme val="minor"/>
    </font>
    <font>
      <b/>
      <sz val="11"/>
      <color rgb="FF3F3F3F"/>
      <name val="Calibri"/>
      <family val="2"/>
      <scheme val="minor"/>
    </font>
    <font>
      <b/>
      <sz val="11"/>
      <color rgb="FFFA7D00"/>
      <name val="Calibri"/>
      <family val="2"/>
      <scheme val="minor"/>
    </font>
    <font>
      <i/>
      <sz val="11"/>
      <color rgb="FF7F7F7F"/>
      <name val="Calibri"/>
      <family val="2"/>
      <scheme val="minor"/>
    </font>
    <font>
      <sz val="11"/>
      <color theme="0"/>
      <name val="Calibri"/>
      <family val="2"/>
      <scheme val="minor"/>
    </font>
    <font>
      <sz val="10"/>
      <color theme="0" tint="-0.34998626667073579"/>
      <name val="Arial"/>
      <family val="2"/>
    </font>
    <font>
      <b/>
      <sz val="11"/>
      <color theme="0"/>
      <name val="Calibri"/>
      <family val="2"/>
      <scheme val="minor"/>
    </font>
    <font>
      <sz val="11"/>
      <color rgb="FFFA7D00"/>
      <name val="Calibri"/>
      <family val="2"/>
      <scheme val="minor"/>
    </font>
    <font>
      <sz val="11"/>
      <color rgb="FF3F3F76"/>
      <name val="Calibri"/>
      <family val="2"/>
      <scheme val="minor"/>
    </font>
    <font>
      <sz val="11"/>
      <color rgb="FF9C5700"/>
      <name val="Calibri"/>
      <family val="2"/>
      <scheme val="minor"/>
    </font>
    <font>
      <sz val="11"/>
      <color rgb="FFFF0000"/>
      <name val="Calibri"/>
      <family val="2"/>
      <scheme val="minor"/>
    </font>
    <font>
      <sz val="10"/>
      <color theme="0" tint="-0.499984740745262"/>
      <name val="Arial"/>
      <family val="2"/>
    </font>
    <font>
      <sz val="10"/>
      <color theme="0" tint="-0.249977111117893"/>
      <name val="Arial"/>
      <family val="2"/>
    </font>
    <font>
      <b/>
      <sz val="10"/>
      <color theme="0" tint="-0.499984740745262"/>
      <name val="Arial"/>
      <family val="2"/>
    </font>
    <font>
      <sz val="10"/>
      <color rgb="FFFF0000"/>
      <name val="Arial"/>
      <family val="2"/>
    </font>
    <font>
      <b/>
      <sz val="10"/>
      <color rgb="FF00B050"/>
      <name val="Wingdings"/>
      <charset val="2"/>
    </font>
    <font>
      <b/>
      <sz val="10"/>
      <name val="Wingdings"/>
      <charset val="2"/>
    </font>
    <font>
      <u/>
      <sz val="10"/>
      <name val="Arial"/>
      <family val="2"/>
    </font>
    <font>
      <sz val="10"/>
      <color theme="0"/>
      <name val="Arial"/>
      <family val="2"/>
    </font>
    <font>
      <sz val="10"/>
      <name val="Wingdings"/>
      <charset val="2"/>
    </font>
    <font>
      <b/>
      <sz val="12"/>
      <name val="ISOCPEUR"/>
      <family val="2"/>
    </font>
    <font>
      <sz val="11"/>
      <color rgb="FF0070C0"/>
      <name val="Calibri"/>
      <family val="2"/>
      <scheme val="minor"/>
    </font>
    <font>
      <vertAlign val="superscript"/>
      <sz val="11"/>
      <color theme="1"/>
      <name val="Calibri"/>
      <family val="2"/>
      <scheme val="minor"/>
    </font>
    <font>
      <b/>
      <sz val="14"/>
      <color theme="1"/>
      <name val="Calibri"/>
      <family val="2"/>
      <scheme val="minor"/>
    </font>
    <font>
      <sz val="18"/>
      <name val="Arial"/>
      <family val="2"/>
    </font>
    <font>
      <b/>
      <u/>
      <sz val="10"/>
      <color rgb="FFFF0000"/>
      <name val="Arial"/>
      <family val="2"/>
    </font>
    <font>
      <b/>
      <sz val="11"/>
      <color rgb="FFFF0000"/>
      <name val="Calibri"/>
      <family val="2"/>
      <scheme val="minor"/>
    </font>
    <font>
      <b/>
      <sz val="10"/>
      <color rgb="FFFF0000"/>
      <name val="Arial"/>
      <family val="2"/>
    </font>
    <font>
      <sz val="10"/>
      <color rgb="FF00CC00"/>
      <name val="Arial"/>
      <family val="2"/>
    </font>
    <font>
      <u/>
      <sz val="11"/>
      <color indexed="8"/>
      <name val="ISOCPEUR"/>
      <family val="2"/>
    </font>
    <font>
      <b/>
      <sz val="12"/>
      <color rgb="FFFF0000"/>
      <name val="Arial"/>
      <family val="2"/>
    </font>
    <font>
      <strike/>
      <sz val="10"/>
      <name val="Arial"/>
      <family val="2"/>
    </font>
    <font>
      <strike/>
      <sz val="11"/>
      <color rgb="FF0070C0"/>
      <name val="Calibri"/>
      <family val="2"/>
      <scheme val="minor"/>
    </font>
    <font>
      <sz val="10"/>
      <name val="Calibri"/>
      <family val="2"/>
    </font>
    <font>
      <b/>
      <sz val="16"/>
      <name val="Arial"/>
      <family val="2"/>
    </font>
    <font>
      <sz val="10"/>
      <color theme="0" tint="-0.34998626667073579"/>
      <name val="Wingdings"/>
      <charset val="2"/>
    </font>
    <font>
      <sz val="11"/>
      <color rgb="FF00CC00"/>
      <name val="ISOCPEUR"/>
      <family val="2"/>
    </font>
    <font>
      <sz val="8"/>
      <name val="Arial"/>
    </font>
    <font>
      <b/>
      <sz val="10"/>
      <color rgb="FF00CC00"/>
      <name val="Wingdings"/>
      <charset val="2"/>
    </font>
    <font>
      <sz val="11"/>
      <color indexed="8"/>
      <name val="Wingdings"/>
      <charset val="2"/>
    </font>
    <font>
      <b/>
      <sz val="10"/>
      <color rgb="FF92D050"/>
      <name val="Wingdings"/>
      <charset val="2"/>
    </font>
    <font>
      <sz val="11"/>
      <name val="Calibri"/>
      <family val="2"/>
    </font>
    <font>
      <u/>
      <sz val="11"/>
      <color indexed="8"/>
      <name val="Calibri"/>
      <family val="2"/>
    </font>
  </fonts>
  <fills count="122">
    <fill>
      <patternFill patternType="none"/>
    </fill>
    <fill>
      <patternFill patternType="gray125"/>
    </fill>
    <fill>
      <patternFill patternType="solid">
        <fgColor indexed="22"/>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9"/>
      </patternFill>
    </fill>
    <fill>
      <patternFill patternType="solid">
        <fgColor indexed="43"/>
      </patternFill>
    </fill>
    <fill>
      <patternFill patternType="solid">
        <fgColor indexed="44"/>
      </patternFill>
    </fill>
    <fill>
      <patternFill patternType="solid">
        <fgColor indexed="11"/>
      </patternFill>
    </fill>
    <fill>
      <patternFill patternType="solid">
        <fgColor indexed="51"/>
      </patternFill>
    </fill>
    <fill>
      <patternFill patternType="solid">
        <fgColor indexed="49"/>
      </patternFill>
    </fill>
    <fill>
      <patternFill patternType="solid">
        <fgColor indexed="55"/>
      </patternFill>
    </fill>
    <fill>
      <patternFill patternType="solid">
        <fgColor indexed="30"/>
      </patternFill>
    </fill>
    <fill>
      <patternFill patternType="solid">
        <fgColor indexed="36"/>
      </patternFill>
    </fill>
    <fill>
      <patternFill patternType="solid">
        <fgColor indexed="5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solid">
        <fgColor indexed="62"/>
      </patternFill>
    </fill>
    <fill>
      <patternFill patternType="solid">
        <fgColor indexed="46"/>
        <bgColor indexed="64"/>
      </patternFill>
    </fill>
    <fill>
      <patternFill patternType="solid">
        <fgColor indexed="41"/>
        <bgColor indexed="64"/>
      </patternFill>
    </fill>
    <fill>
      <patternFill patternType="solid">
        <fgColor indexed="10"/>
        <bgColor indexed="64"/>
      </patternFill>
    </fill>
    <fill>
      <patternFill patternType="solid">
        <fgColor indexed="22"/>
        <bgColor indexed="64"/>
      </patternFill>
    </fill>
    <fill>
      <patternFill patternType="solid">
        <fgColor indexed="42"/>
        <bgColor indexed="64"/>
      </patternFill>
    </fill>
    <fill>
      <patternFill patternType="solid">
        <fgColor indexed="11"/>
        <bgColor indexed="64"/>
      </patternFill>
    </fill>
    <fill>
      <patternFill patternType="solid">
        <fgColor rgb="FF00B0F0"/>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99FF33"/>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rgb="FFEAEAEA"/>
        <bgColor indexed="64"/>
      </patternFill>
    </fill>
    <fill>
      <patternFill patternType="solid">
        <fgColor rgb="FFC00000"/>
        <bgColor indexed="64"/>
      </patternFill>
    </fill>
    <fill>
      <patternFill patternType="solid">
        <fgColor rgb="FF66FF33"/>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7"/>
        <bgColor indexed="64"/>
      </patternFill>
    </fill>
    <fill>
      <patternFill patternType="solid">
        <fgColor theme="7" tint="0.39997558519241921"/>
        <bgColor indexed="64"/>
      </patternFill>
    </fill>
    <fill>
      <patternFill patternType="solid">
        <fgColor theme="4"/>
        <bgColor indexed="64"/>
      </patternFill>
    </fill>
    <fill>
      <patternFill patternType="solid">
        <fgColor theme="4" tint="0.59999389629810485"/>
        <bgColor indexed="64"/>
      </patternFill>
    </fill>
    <fill>
      <patternFill patternType="solid">
        <fgColor rgb="FF92D050"/>
        <bgColor indexed="64"/>
      </patternFill>
    </fill>
    <fill>
      <patternFill patternType="solid">
        <fgColor rgb="FFFFC000"/>
        <bgColor indexed="64"/>
      </patternFill>
    </fill>
    <fill>
      <patternFill patternType="solid">
        <fgColor theme="0"/>
        <bgColor indexed="64"/>
      </patternFill>
    </fill>
    <fill>
      <patternFill patternType="solid">
        <fgColor theme="9" tint="-0.249977111117893"/>
        <bgColor indexed="64"/>
      </patternFill>
    </fill>
    <fill>
      <patternFill patternType="solid">
        <fgColor rgb="FF00B050"/>
        <bgColor indexed="64"/>
      </patternFill>
    </fill>
    <fill>
      <patternFill patternType="solid">
        <fgColor rgb="FFFFCC99"/>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2" tint="-0.499984740745262"/>
        <bgColor indexed="64"/>
      </patternFill>
    </fill>
    <fill>
      <patternFill patternType="solid">
        <fgColor theme="0" tint="-0.34998626667073579"/>
        <bgColor indexed="64"/>
      </patternFill>
    </fill>
    <fill>
      <gradientFill degree="90">
        <stop position="0">
          <color rgb="FFFFC000"/>
        </stop>
        <stop position="1">
          <color rgb="FF00B050"/>
        </stop>
      </gradientFill>
    </fill>
    <fill>
      <patternFill patternType="solid">
        <fgColor rgb="FFFFFF99"/>
        <bgColor indexed="64"/>
      </patternFill>
    </fill>
    <fill>
      <patternFill patternType="solid">
        <fgColor rgb="FFFFC7CE"/>
      </patternFill>
    </fill>
    <fill>
      <patternFill patternType="solid">
        <fgColor rgb="FFF2F2F2"/>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A5A5A5"/>
      </patternFill>
    </fill>
    <fill>
      <patternFill patternType="solid">
        <fgColor rgb="FFFFCC99"/>
      </patternFill>
    </fill>
    <fill>
      <patternFill patternType="solid">
        <fgColor rgb="FFFFEB9C"/>
      </patternFill>
    </fill>
    <fill>
      <patternFill patternType="solid">
        <fgColor rgb="FFFFFFCC"/>
      </patternFill>
    </fill>
    <fill>
      <patternFill patternType="solid">
        <fgColor theme="2" tint="-0.249977111117893"/>
        <bgColor indexed="64"/>
      </patternFill>
    </fill>
    <fill>
      <patternFill patternType="solid">
        <fgColor theme="9"/>
        <bgColor indexed="64"/>
      </patternFill>
    </fill>
    <fill>
      <patternFill patternType="solid">
        <fgColor theme="9" tint="0.39997558519241921"/>
        <bgColor indexed="64"/>
      </patternFill>
    </fill>
    <fill>
      <patternFill patternType="solid">
        <fgColor rgb="FF00FF00"/>
        <bgColor indexed="64"/>
      </patternFill>
    </fill>
    <fill>
      <patternFill patternType="solid">
        <fgColor rgb="FFCCFFCC"/>
        <bgColor indexed="64"/>
      </patternFill>
    </fill>
    <fill>
      <patternFill patternType="solid">
        <fgColor rgb="FF339966"/>
        <bgColor indexed="64"/>
      </patternFill>
    </fill>
    <fill>
      <patternFill patternType="solid">
        <fgColor theme="5"/>
        <bgColor indexed="64"/>
      </patternFill>
    </fill>
    <fill>
      <gradientFill degree="90">
        <stop position="0">
          <color rgb="FFFFC000"/>
        </stop>
        <stop position="1">
          <color rgb="FF339966"/>
        </stop>
      </gradientFill>
    </fill>
    <fill>
      <patternFill patternType="solid">
        <fgColor theme="3" tint="0.59999389629810485"/>
        <bgColor indexed="64"/>
      </patternFill>
    </fill>
    <fill>
      <patternFill patternType="solid">
        <fgColor rgb="FFFF7C80"/>
        <bgColor indexed="64"/>
      </patternFill>
    </fill>
    <fill>
      <patternFill patternType="solid">
        <fgColor rgb="FFFFCCCC"/>
        <bgColor indexed="64"/>
      </patternFill>
    </fill>
    <fill>
      <patternFill patternType="solid">
        <fgColor rgb="FF00CC00"/>
        <bgColor indexed="64"/>
      </patternFill>
    </fill>
    <fill>
      <patternFill patternType="solid">
        <fgColor rgb="FFD6E3BC"/>
        <bgColor indexed="64"/>
      </patternFill>
    </fill>
    <fill>
      <patternFill patternType="solid">
        <fgColor rgb="FF8DB3E2"/>
        <bgColor indexed="64"/>
      </patternFill>
    </fill>
    <fill>
      <patternFill patternType="solid">
        <fgColor rgb="FFFABF8F"/>
        <bgColor indexed="64"/>
      </patternFill>
    </fill>
    <fill>
      <patternFill patternType="solid">
        <fgColor rgb="FFE5B8B7"/>
        <bgColor indexed="64"/>
      </patternFill>
    </fill>
    <fill>
      <patternFill patternType="solid">
        <fgColor rgb="FFA6A6A6"/>
        <bgColor indexed="64"/>
      </patternFill>
    </fill>
    <fill>
      <patternFill patternType="solid">
        <fgColor rgb="FFFFFFFF"/>
        <bgColor indexed="64"/>
      </patternFill>
    </fill>
    <fill>
      <patternFill patternType="solid">
        <fgColor rgb="FFDAEEF3"/>
        <bgColor indexed="64"/>
      </patternFill>
    </fill>
    <fill>
      <patternFill patternType="solid">
        <fgColor theme="0" tint="-0.249977111117893"/>
        <bgColor indexed="64"/>
      </patternFill>
    </fill>
    <fill>
      <patternFill patternType="darkGray">
        <fgColor theme="0"/>
        <bgColor theme="0" tint="-0.249977111117893"/>
      </patternFill>
    </fill>
    <fill>
      <patternFill patternType="solid">
        <fgColor theme="6" tint="-0.249977111117893"/>
        <bgColor indexed="64"/>
      </patternFill>
    </fill>
    <fill>
      <patternFill patternType="solid">
        <fgColor rgb="FFFECEFC"/>
        <bgColor indexed="64"/>
      </patternFill>
    </fill>
    <fill>
      <patternFill patternType="solid">
        <fgColor rgb="FFFBF3C5"/>
        <bgColor indexed="64"/>
      </patternFill>
    </fill>
    <fill>
      <patternFill patternType="solid">
        <fgColor rgb="FFCCECFF"/>
        <bgColor indexed="64"/>
      </patternFill>
    </fill>
    <fill>
      <patternFill patternType="solid">
        <fgColor theme="3" tint="0.39997558519241921"/>
        <bgColor indexed="64"/>
      </patternFill>
    </fill>
    <fill>
      <patternFill patternType="solid">
        <fgColor rgb="FF99CCFF"/>
        <bgColor indexed="64"/>
      </patternFill>
    </fill>
  </fills>
  <borders count="15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medium">
        <color indexed="64"/>
      </left>
      <right style="medium">
        <color indexed="64"/>
      </right>
      <top/>
      <bottom style="medium">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18"/>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18"/>
      </bottom>
      <diagonal/>
    </border>
    <border>
      <left/>
      <right style="thin">
        <color indexed="64"/>
      </right>
      <top style="thin">
        <color indexed="64"/>
      </top>
      <bottom style="thin">
        <color indexed="18"/>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style="thin">
        <color indexed="22"/>
      </left>
      <right style="thin">
        <color indexed="64"/>
      </right>
      <top style="thin">
        <color indexed="22"/>
      </top>
      <bottom style="thin">
        <color indexed="22"/>
      </bottom>
      <diagonal/>
    </border>
    <border>
      <left style="thin">
        <color indexed="22"/>
      </left>
      <right style="thin">
        <color indexed="64"/>
      </right>
      <top style="thin">
        <color indexed="22"/>
      </top>
      <bottom style="thin">
        <color indexed="64"/>
      </bottom>
      <diagonal/>
    </border>
    <border>
      <left/>
      <right/>
      <top style="thin">
        <color indexed="64"/>
      </top>
      <bottom/>
      <diagonal/>
    </border>
    <border>
      <left style="thin">
        <color indexed="22"/>
      </left>
      <right/>
      <top style="thin">
        <color indexed="22"/>
      </top>
      <bottom style="thin">
        <color indexed="22"/>
      </bottom>
      <diagonal/>
    </border>
    <border>
      <left style="thin">
        <color indexed="22"/>
      </left>
      <right style="thin">
        <color indexed="64"/>
      </right>
      <top style="thin">
        <color indexed="64"/>
      </top>
      <bottom/>
      <diagonal/>
    </border>
    <border>
      <left style="thin">
        <color indexed="64"/>
      </left>
      <right style="thin">
        <color indexed="64"/>
      </right>
      <top style="thin">
        <color indexed="22"/>
      </top>
      <bottom style="thin">
        <color indexed="64"/>
      </bottom>
      <diagonal/>
    </border>
    <border>
      <left style="thin">
        <color indexed="64"/>
      </left>
      <right style="thin">
        <color indexed="64"/>
      </right>
      <top style="thin">
        <color indexed="22"/>
      </top>
      <bottom style="thin">
        <color indexed="22"/>
      </bottom>
      <diagonal/>
    </border>
    <border>
      <left style="thin">
        <color indexed="64"/>
      </left>
      <right/>
      <top style="thin">
        <color indexed="22"/>
      </top>
      <bottom style="thin">
        <color indexed="64"/>
      </bottom>
      <diagonal/>
    </border>
    <border>
      <left style="thin">
        <color indexed="64"/>
      </left>
      <right/>
      <top/>
      <bottom style="thin">
        <color indexed="22"/>
      </bottom>
      <diagonal/>
    </border>
    <border>
      <left style="thin">
        <color indexed="64"/>
      </left>
      <right/>
      <top style="thin">
        <color indexed="22"/>
      </top>
      <bottom style="thin">
        <color indexed="22"/>
      </bottom>
      <diagonal/>
    </border>
    <border>
      <left/>
      <right/>
      <top style="thin">
        <color indexed="22"/>
      </top>
      <bottom style="thin">
        <color indexed="22"/>
      </bottom>
      <diagonal/>
    </border>
    <border>
      <left style="thin">
        <color indexed="64"/>
      </left>
      <right/>
      <top style="thin">
        <color indexed="64"/>
      </top>
      <bottom style="thin">
        <color indexed="22"/>
      </bottom>
      <diagonal/>
    </border>
    <border>
      <left/>
      <right style="thin">
        <color indexed="22"/>
      </right>
      <top style="thin">
        <color indexed="64"/>
      </top>
      <bottom/>
      <diagonal/>
    </border>
    <border>
      <left/>
      <right/>
      <top style="thin">
        <color indexed="64"/>
      </top>
      <bottom style="thin">
        <color indexed="64"/>
      </bottom>
      <diagonal/>
    </border>
    <border>
      <left style="thin">
        <color indexed="64"/>
      </left>
      <right/>
      <top style="thin">
        <color indexed="22"/>
      </top>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22"/>
      </top>
      <bottom/>
      <diagonal/>
    </border>
    <border>
      <left style="thin">
        <color indexed="64"/>
      </left>
      <right style="thin">
        <color indexed="64"/>
      </right>
      <top/>
      <bottom style="thin">
        <color indexed="22"/>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thin">
        <color indexed="64"/>
      </top>
      <bottom style="thin">
        <color indexed="64"/>
      </bottom>
      <diagonal/>
    </border>
    <border>
      <left/>
      <right style="medium">
        <color indexed="64"/>
      </right>
      <top/>
      <bottom style="medium">
        <color indexed="64"/>
      </bottom>
      <diagonal/>
    </border>
    <border>
      <left/>
      <right/>
      <top style="medium">
        <color indexed="64"/>
      </top>
      <bottom/>
      <diagonal/>
    </border>
    <border>
      <left style="thin">
        <color indexed="64"/>
      </left>
      <right style="thin">
        <color indexed="22"/>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dotted">
        <color indexed="64"/>
      </top>
      <bottom style="thin">
        <color indexed="64"/>
      </bottom>
      <diagonal/>
    </border>
    <border>
      <left/>
      <right style="thin">
        <color indexed="64"/>
      </right>
      <top style="dotted">
        <color indexed="64"/>
      </top>
      <bottom style="thin">
        <color indexed="64"/>
      </bottom>
      <diagonal/>
    </border>
    <border>
      <left style="thin">
        <color indexed="64"/>
      </left>
      <right style="thin">
        <color indexed="64"/>
      </right>
      <top/>
      <bottom style="dotted">
        <color indexed="64"/>
      </bottom>
      <diagonal/>
    </border>
    <border>
      <left/>
      <right style="thin">
        <color indexed="64"/>
      </right>
      <top/>
      <bottom style="dotted">
        <color indexed="64"/>
      </bottom>
      <diagonal/>
    </border>
    <border>
      <left/>
      <right/>
      <top/>
      <bottom style="dotted">
        <color indexed="64"/>
      </bottom>
      <diagonal/>
    </border>
    <border>
      <left/>
      <right/>
      <top style="thin">
        <color indexed="22"/>
      </top>
      <bottom/>
      <diagonal/>
    </border>
    <border>
      <left style="thin">
        <color indexed="64"/>
      </left>
      <right style="thin">
        <color indexed="64"/>
      </right>
      <top style="dotted">
        <color indexed="64"/>
      </top>
      <bottom/>
      <diagonal/>
    </border>
    <border>
      <left/>
      <right/>
      <top style="dotted">
        <color indexed="64"/>
      </top>
      <bottom/>
      <diagonal/>
    </border>
    <border>
      <left/>
      <right style="thin">
        <color indexed="64"/>
      </right>
      <top style="dotted">
        <color indexed="64"/>
      </top>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22"/>
      </top>
      <bottom style="thin">
        <color indexed="22"/>
      </bottom>
      <diagonal/>
    </border>
    <border>
      <left style="medium">
        <color indexed="64"/>
      </left>
      <right style="medium">
        <color indexed="64"/>
      </right>
      <top/>
      <bottom/>
      <diagonal/>
    </border>
    <border>
      <left style="thin">
        <color indexed="64"/>
      </left>
      <right/>
      <top style="dotted">
        <color indexed="64"/>
      </top>
      <bottom style="thin">
        <color indexed="64"/>
      </bottom>
      <diagonal/>
    </border>
    <border>
      <left style="thin">
        <color auto="1"/>
      </left>
      <right style="thin">
        <color auto="1"/>
      </right>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22"/>
      </bottom>
      <diagonal/>
    </border>
    <border>
      <left style="thin">
        <color indexed="64"/>
      </left>
      <right/>
      <top style="thin">
        <color indexed="64"/>
      </top>
      <bottom style="dotted">
        <color indexed="64"/>
      </bottom>
      <diagonal/>
    </border>
    <border>
      <left style="thin">
        <color indexed="64"/>
      </left>
      <right/>
      <top style="dotted">
        <color indexed="64"/>
      </top>
      <bottom style="dotted">
        <color indexed="64"/>
      </bottom>
      <diagonal/>
    </border>
    <border>
      <left style="thin">
        <color indexed="64"/>
      </left>
      <right/>
      <top style="thin">
        <color indexed="64"/>
      </top>
      <bottom style="thin">
        <color indexed="22"/>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22"/>
      </left>
      <right style="thin">
        <color indexed="64"/>
      </right>
      <top style="thin">
        <color indexed="64"/>
      </top>
      <bottom style="thin">
        <color indexed="22"/>
      </bottom>
      <diagonal/>
    </border>
    <border>
      <left style="thin">
        <color indexed="64"/>
      </left>
      <right style="thin">
        <color indexed="64"/>
      </right>
      <top style="thin">
        <color indexed="64"/>
      </top>
      <bottom style="thin">
        <color indexed="22"/>
      </bottom>
      <diagonal/>
    </border>
    <border>
      <left style="thin">
        <color indexed="64"/>
      </left>
      <right style="thin">
        <color indexed="64"/>
      </right>
      <top/>
      <bottom style="thin">
        <color indexed="64"/>
      </bottom>
      <diagonal/>
    </border>
    <border>
      <left style="thin">
        <color indexed="64"/>
      </left>
      <right style="thin">
        <color indexed="64"/>
      </right>
      <top/>
      <bottom style="thin">
        <color indexed="22"/>
      </bottom>
      <diagonal/>
    </border>
    <border>
      <left style="thin">
        <color indexed="22"/>
      </left>
      <right style="thin">
        <color indexed="64"/>
      </right>
      <top/>
      <bottom style="thin">
        <color indexed="22"/>
      </bottom>
      <diagonal/>
    </border>
    <border>
      <left style="thin">
        <color indexed="22"/>
      </left>
      <right style="thin">
        <color indexed="64"/>
      </right>
      <top style="thin">
        <color indexed="22"/>
      </top>
      <bottom/>
      <diagonal/>
    </border>
    <border>
      <left style="thin">
        <color indexed="22"/>
      </left>
      <right style="thin">
        <color indexed="64"/>
      </right>
      <top/>
      <bottom/>
      <diagonal/>
    </border>
    <border>
      <left style="thin">
        <color indexed="22"/>
      </left>
      <right style="thin">
        <color indexed="64"/>
      </right>
      <top style="thin">
        <color indexed="64"/>
      </top>
      <bottom style="thin">
        <color indexed="64"/>
      </bottom>
      <diagonal/>
    </border>
    <border>
      <left/>
      <right style="thin">
        <color indexed="64"/>
      </right>
      <top style="thin">
        <color indexed="64"/>
      </top>
      <bottom style="thin">
        <color indexed="22"/>
      </bottom>
      <diagonal/>
    </border>
    <border>
      <left/>
      <right style="thin">
        <color indexed="64"/>
      </right>
      <top style="thin">
        <color indexed="22"/>
      </top>
      <bottom style="thin">
        <color indexed="64"/>
      </bottom>
      <diagonal/>
    </border>
    <border>
      <left style="thin">
        <color indexed="64"/>
      </left>
      <right style="thin">
        <color indexed="64"/>
      </right>
      <top style="thin">
        <color indexed="22"/>
      </top>
      <bottom style="thin">
        <color indexed="64"/>
      </bottom>
      <diagonal/>
    </border>
    <border>
      <left style="thin">
        <color indexed="64"/>
      </left>
      <right/>
      <top style="thin">
        <color indexed="22"/>
      </top>
      <bottom style="thin">
        <color indexed="22"/>
      </bottom>
      <diagonal/>
    </border>
    <border>
      <left style="thin">
        <color indexed="64"/>
      </left>
      <right style="thin">
        <color indexed="64"/>
      </right>
      <top style="thin">
        <color indexed="22"/>
      </top>
      <bottom style="thin">
        <color indexed="22"/>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thin">
        <color auto="1"/>
      </left>
      <right/>
      <top style="thin">
        <color auto="1"/>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double">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rgb="FF000000"/>
      </left>
      <right style="medium">
        <color indexed="64"/>
      </right>
      <top style="thin">
        <color rgb="FF000000"/>
      </top>
      <bottom style="thin">
        <color rgb="FF000000"/>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560">
    <xf numFmtId="0" fontId="0" fillId="0" borderId="0"/>
    <xf numFmtId="0" fontId="16" fillId="2" borderId="0" applyNumberFormat="0" applyBorder="0" applyAlignment="0" applyProtection="0"/>
    <xf numFmtId="0" fontId="16" fillId="3" borderId="0" applyNumberFormat="0" applyBorder="0" applyAlignment="0" applyProtection="0"/>
    <xf numFmtId="0" fontId="16" fillId="4" borderId="0" applyNumberFormat="0" applyBorder="0" applyAlignment="0" applyProtection="0"/>
    <xf numFmtId="0" fontId="16" fillId="2" borderId="0" applyNumberFormat="0" applyBorder="0" applyAlignment="0" applyProtection="0"/>
    <xf numFmtId="0" fontId="16" fillId="5" borderId="0" applyNumberFormat="0" applyBorder="0" applyAlignment="0" applyProtection="0"/>
    <xf numFmtId="0" fontId="16" fillId="3"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6"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2" borderId="0" applyNumberFormat="0" applyBorder="0" applyAlignment="0" applyProtection="0"/>
    <xf numFmtId="0" fontId="16" fillId="10" borderId="0" applyNumberFormat="0" applyBorder="0" applyAlignment="0" applyProtection="0"/>
    <xf numFmtId="0" fontId="16" fillId="11" borderId="0" applyNumberFormat="0" applyBorder="0" applyAlignment="0" applyProtection="0"/>
    <xf numFmtId="0" fontId="16" fillId="2" borderId="0" applyNumberFormat="0" applyBorder="0" applyAlignment="0" applyProtection="0"/>
    <xf numFmtId="0" fontId="16" fillId="12" borderId="0" applyNumberFormat="0" applyBorder="0" applyAlignment="0" applyProtection="0"/>
    <xf numFmtId="0" fontId="16" fillId="3"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13"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9"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2"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0" fontId="17" fillId="15" borderId="0" applyNumberFormat="0" applyBorder="0" applyAlignment="0" applyProtection="0"/>
    <xf numFmtId="0" fontId="17" fillId="10" borderId="0" applyNumberFormat="0" applyBorder="0" applyAlignment="0" applyProtection="0"/>
    <xf numFmtId="0" fontId="17" fillId="11" borderId="0" applyNumberFormat="0" applyBorder="0" applyAlignment="0" applyProtection="0"/>
    <xf numFmtId="0" fontId="17" fillId="16" borderId="0" applyNumberFormat="0" applyBorder="0" applyAlignment="0" applyProtection="0"/>
    <xf numFmtId="0" fontId="17" fillId="15" borderId="0" applyNumberFormat="0" applyBorder="0" applyAlignment="0" applyProtection="0"/>
    <xf numFmtId="0" fontId="17" fillId="3"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7" fillId="15"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7" fillId="22" borderId="0" applyNumberFormat="0" applyBorder="0" applyAlignment="0" applyProtection="0"/>
    <xf numFmtId="0" fontId="17" fillId="15" borderId="0" applyNumberFormat="0" applyBorder="0" applyAlignment="0" applyProtection="0"/>
    <xf numFmtId="0" fontId="17" fillId="23" borderId="0" applyNumberFormat="0" applyBorder="0" applyAlignment="0" applyProtection="0"/>
    <xf numFmtId="0" fontId="24" fillId="7" borderId="0" applyNumberFormat="0" applyBorder="0" applyAlignment="0" applyProtection="0"/>
    <xf numFmtId="0" fontId="18" fillId="8" borderId="0" applyNumberFormat="0" applyBorder="0" applyAlignment="0" applyProtection="0"/>
    <xf numFmtId="0" fontId="18" fillId="8" borderId="0" applyNumberFormat="0" applyBorder="0" applyAlignment="0" applyProtection="0"/>
    <xf numFmtId="0" fontId="18" fillId="8" borderId="0" applyNumberFormat="0" applyBorder="0" applyAlignment="0" applyProtection="0"/>
    <xf numFmtId="0" fontId="18" fillId="8" borderId="0" applyNumberFormat="0" applyBorder="0" applyAlignment="0" applyProtection="0"/>
    <xf numFmtId="0" fontId="18" fillId="8" borderId="0" applyNumberFormat="0" applyBorder="0" applyAlignment="0" applyProtection="0"/>
    <xf numFmtId="0" fontId="18" fillId="8" borderId="0" applyNumberFormat="0" applyBorder="0" applyAlignment="0" applyProtection="0"/>
    <xf numFmtId="0" fontId="18" fillId="8" borderId="0" applyNumberFormat="0" applyBorder="0" applyAlignment="0" applyProtection="0"/>
    <xf numFmtId="0" fontId="18" fillId="8" borderId="0" applyNumberFormat="0" applyBorder="0" applyAlignment="0" applyProtection="0"/>
    <xf numFmtId="0" fontId="18" fillId="8" borderId="0" applyNumberFormat="0" applyBorder="0" applyAlignment="0" applyProtection="0"/>
    <xf numFmtId="0" fontId="18" fillId="8" borderId="0" applyNumberFormat="0" applyBorder="0" applyAlignment="0" applyProtection="0"/>
    <xf numFmtId="0" fontId="18" fillId="8" borderId="0" applyNumberFormat="0" applyBorder="0" applyAlignment="0" applyProtection="0"/>
    <xf numFmtId="0" fontId="18" fillId="8" borderId="0" applyNumberFormat="0" applyBorder="0" applyAlignment="0" applyProtection="0"/>
    <xf numFmtId="0" fontId="18" fillId="8" borderId="0" applyNumberFormat="0" applyBorder="0" applyAlignment="0" applyProtection="0"/>
    <xf numFmtId="0" fontId="18" fillId="8" borderId="0" applyNumberFormat="0" applyBorder="0" applyAlignment="0" applyProtection="0"/>
    <xf numFmtId="0" fontId="18" fillId="8" borderId="0" applyNumberFormat="0" applyBorder="0" applyAlignment="0" applyProtection="0"/>
    <xf numFmtId="0" fontId="18" fillId="8" borderId="0" applyNumberFormat="0" applyBorder="0" applyAlignment="0" applyProtection="0"/>
    <xf numFmtId="0" fontId="18" fillId="8" borderId="0" applyNumberFormat="0" applyBorder="0" applyAlignment="0" applyProtection="0"/>
    <xf numFmtId="0" fontId="18" fillId="8" borderId="0" applyNumberFormat="0" applyBorder="0" applyAlignment="0" applyProtection="0"/>
    <xf numFmtId="0" fontId="19" fillId="24" borderId="1" applyNumberFormat="0" applyAlignment="0" applyProtection="0"/>
    <xf numFmtId="0" fontId="19" fillId="2" borderId="1" applyNumberFormat="0" applyAlignment="0" applyProtection="0"/>
    <xf numFmtId="0" fontId="19" fillId="2" borderId="1" applyNumberFormat="0" applyAlignment="0" applyProtection="0"/>
    <xf numFmtId="0" fontId="19" fillId="2" borderId="1" applyNumberFormat="0" applyAlignment="0" applyProtection="0"/>
    <xf numFmtId="0" fontId="19" fillId="2" borderId="1" applyNumberFormat="0" applyAlignment="0" applyProtection="0"/>
    <xf numFmtId="0" fontId="19" fillId="2" borderId="1" applyNumberFormat="0" applyAlignment="0" applyProtection="0"/>
    <xf numFmtId="0" fontId="19" fillId="2" borderId="1" applyNumberFormat="0" applyAlignment="0" applyProtection="0"/>
    <xf numFmtId="0" fontId="19" fillId="2" borderId="1" applyNumberFormat="0" applyAlignment="0" applyProtection="0"/>
    <xf numFmtId="0" fontId="19" fillId="2" borderId="1" applyNumberFormat="0" applyAlignment="0" applyProtection="0"/>
    <xf numFmtId="0" fontId="19" fillId="2" borderId="1" applyNumberFormat="0" applyAlignment="0" applyProtection="0"/>
    <xf numFmtId="0" fontId="19" fillId="2" borderId="1" applyNumberFormat="0" applyAlignment="0" applyProtection="0"/>
    <xf numFmtId="0" fontId="19" fillId="2" borderId="1" applyNumberFormat="0" applyAlignment="0" applyProtection="0"/>
    <xf numFmtId="0" fontId="19" fillId="2" borderId="1" applyNumberFormat="0" applyAlignment="0" applyProtection="0"/>
    <xf numFmtId="0" fontId="19" fillId="2" borderId="1" applyNumberFormat="0" applyAlignment="0" applyProtection="0"/>
    <xf numFmtId="0" fontId="19" fillId="2" borderId="1" applyNumberFormat="0" applyAlignment="0" applyProtection="0"/>
    <xf numFmtId="0" fontId="19" fillId="2" borderId="1" applyNumberFormat="0" applyAlignment="0" applyProtection="0"/>
    <xf numFmtId="0" fontId="19" fillId="2" borderId="1" applyNumberFormat="0" applyAlignment="0" applyProtection="0"/>
    <xf numFmtId="0" fontId="19" fillId="2" borderId="1" applyNumberFormat="0" applyAlignment="0" applyProtection="0"/>
    <xf numFmtId="0" fontId="19" fillId="2" borderId="1" applyNumberFormat="0" applyAlignment="0" applyProtection="0"/>
    <xf numFmtId="0" fontId="20" fillId="16" borderId="2" applyNumberFormat="0" applyAlignment="0" applyProtection="0"/>
    <xf numFmtId="0" fontId="20" fillId="16" borderId="2" applyNumberFormat="0" applyAlignment="0" applyProtection="0"/>
    <xf numFmtId="0" fontId="20" fillId="16" borderId="2" applyNumberFormat="0" applyAlignment="0" applyProtection="0"/>
    <xf numFmtId="0" fontId="20" fillId="16" borderId="2" applyNumberFormat="0" applyAlignment="0" applyProtection="0"/>
    <xf numFmtId="0" fontId="20" fillId="16" borderId="2" applyNumberFormat="0" applyAlignment="0" applyProtection="0"/>
    <xf numFmtId="0" fontId="20" fillId="16" borderId="2" applyNumberFormat="0" applyAlignment="0" applyProtection="0"/>
    <xf numFmtId="0" fontId="20" fillId="16" borderId="2" applyNumberFormat="0" applyAlignment="0" applyProtection="0"/>
    <xf numFmtId="0" fontId="20" fillId="16" borderId="2" applyNumberFormat="0" applyAlignment="0" applyProtection="0"/>
    <xf numFmtId="0" fontId="20" fillId="16" borderId="2" applyNumberFormat="0" applyAlignment="0" applyProtection="0"/>
    <xf numFmtId="0" fontId="20" fillId="16" borderId="2" applyNumberFormat="0" applyAlignment="0" applyProtection="0"/>
    <xf numFmtId="0" fontId="20" fillId="16" borderId="2" applyNumberFormat="0" applyAlignment="0" applyProtection="0"/>
    <xf numFmtId="0" fontId="20" fillId="16" borderId="2" applyNumberFormat="0" applyAlignment="0" applyProtection="0"/>
    <xf numFmtId="0" fontId="20" fillId="16" borderId="2" applyNumberFormat="0" applyAlignment="0" applyProtection="0"/>
    <xf numFmtId="0" fontId="20" fillId="16" borderId="2" applyNumberFormat="0" applyAlignment="0" applyProtection="0"/>
    <xf numFmtId="0" fontId="20" fillId="16" borderId="2" applyNumberFormat="0" applyAlignment="0" applyProtection="0"/>
    <xf numFmtId="0" fontId="20" fillId="16" borderId="2" applyNumberFormat="0" applyAlignment="0" applyProtection="0"/>
    <xf numFmtId="0" fontId="20" fillId="16" borderId="2" applyNumberFormat="0" applyAlignment="0" applyProtection="0"/>
    <xf numFmtId="0" fontId="20" fillId="16" borderId="2" applyNumberFormat="0" applyAlignment="0" applyProtection="0"/>
    <xf numFmtId="0" fontId="21" fillId="0" borderId="3" applyNumberFormat="0" applyFill="0" applyAlignment="0" applyProtection="0"/>
    <xf numFmtId="0" fontId="21" fillId="0" borderId="3" applyNumberFormat="0" applyFill="0" applyAlignment="0" applyProtection="0"/>
    <xf numFmtId="0" fontId="21" fillId="0" borderId="3" applyNumberFormat="0" applyFill="0" applyAlignment="0" applyProtection="0"/>
    <xf numFmtId="0" fontId="21" fillId="0" borderId="3" applyNumberFormat="0" applyFill="0" applyAlignment="0" applyProtection="0"/>
    <xf numFmtId="0" fontId="21" fillId="0" borderId="3" applyNumberFormat="0" applyFill="0" applyAlignment="0" applyProtection="0"/>
    <xf numFmtId="0" fontId="21" fillId="0" borderId="3" applyNumberFormat="0" applyFill="0" applyAlignment="0" applyProtection="0"/>
    <xf numFmtId="0" fontId="21" fillId="0" borderId="3" applyNumberFormat="0" applyFill="0" applyAlignment="0" applyProtection="0"/>
    <xf numFmtId="0" fontId="21" fillId="0" borderId="3" applyNumberFormat="0" applyFill="0" applyAlignment="0" applyProtection="0"/>
    <xf numFmtId="0" fontId="21" fillId="0" borderId="3" applyNumberFormat="0" applyFill="0" applyAlignment="0" applyProtection="0"/>
    <xf numFmtId="0" fontId="21" fillId="0" borderId="3" applyNumberFormat="0" applyFill="0" applyAlignment="0" applyProtection="0"/>
    <xf numFmtId="0" fontId="21" fillId="0" borderId="3" applyNumberFormat="0" applyFill="0" applyAlignment="0" applyProtection="0"/>
    <xf numFmtId="0" fontId="21" fillId="0" borderId="3" applyNumberFormat="0" applyFill="0" applyAlignment="0" applyProtection="0"/>
    <xf numFmtId="0" fontId="21" fillId="0" borderId="3" applyNumberFormat="0" applyFill="0" applyAlignment="0" applyProtection="0"/>
    <xf numFmtId="0" fontId="21" fillId="0" borderId="3" applyNumberFormat="0" applyFill="0" applyAlignment="0" applyProtection="0"/>
    <xf numFmtId="0" fontId="21" fillId="0" borderId="3" applyNumberFormat="0" applyFill="0" applyAlignment="0" applyProtection="0"/>
    <xf numFmtId="0" fontId="21" fillId="0" borderId="3" applyNumberFormat="0" applyFill="0" applyAlignment="0" applyProtection="0"/>
    <xf numFmtId="0" fontId="21" fillId="0" borderId="3" applyNumberFormat="0" applyFill="0" applyAlignment="0" applyProtection="0"/>
    <xf numFmtId="0" fontId="21" fillId="0" borderId="3" applyNumberFormat="0" applyFill="0" applyAlignment="0" applyProtection="0"/>
    <xf numFmtId="0" fontId="20" fillId="16" borderId="2" applyNumberFormat="0" applyAlignment="0" applyProtection="0"/>
    <xf numFmtId="0" fontId="20" fillId="16" borderId="2" applyNumberFormat="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17" fillId="23" borderId="0" applyNumberFormat="0" applyBorder="0" applyAlignment="0" applyProtection="0"/>
    <xf numFmtId="0" fontId="23" fillId="3" borderId="1" applyNumberFormat="0" applyAlignment="0" applyProtection="0"/>
    <xf numFmtId="0" fontId="23" fillId="3" borderId="1" applyNumberFormat="0" applyAlignment="0" applyProtection="0"/>
    <xf numFmtId="0" fontId="23" fillId="3" borderId="1" applyNumberFormat="0" applyAlignment="0" applyProtection="0"/>
    <xf numFmtId="0" fontId="23" fillId="3" borderId="1" applyNumberFormat="0" applyAlignment="0" applyProtection="0"/>
    <xf numFmtId="0" fontId="23" fillId="3" borderId="1" applyNumberFormat="0" applyAlignment="0" applyProtection="0"/>
    <xf numFmtId="0" fontId="23" fillId="3" borderId="1" applyNumberFormat="0" applyAlignment="0" applyProtection="0"/>
    <xf numFmtId="0" fontId="23" fillId="3" borderId="1" applyNumberFormat="0" applyAlignment="0" applyProtection="0"/>
    <xf numFmtId="0" fontId="23" fillId="3" borderId="1" applyNumberFormat="0" applyAlignment="0" applyProtection="0"/>
    <xf numFmtId="0" fontId="23" fillId="3" borderId="1" applyNumberFormat="0" applyAlignment="0" applyProtection="0"/>
    <xf numFmtId="0" fontId="23" fillId="3" borderId="1" applyNumberFormat="0" applyAlignment="0" applyProtection="0"/>
    <xf numFmtId="0" fontId="23" fillId="3" borderId="1" applyNumberFormat="0" applyAlignment="0" applyProtection="0"/>
    <xf numFmtId="0" fontId="23" fillId="3" borderId="1" applyNumberFormat="0" applyAlignment="0" applyProtection="0"/>
    <xf numFmtId="0" fontId="23" fillId="3" borderId="1" applyNumberFormat="0" applyAlignment="0" applyProtection="0"/>
    <xf numFmtId="0" fontId="23" fillId="3" borderId="1" applyNumberFormat="0" applyAlignment="0" applyProtection="0"/>
    <xf numFmtId="0" fontId="23" fillId="3" borderId="1" applyNumberFormat="0" applyAlignment="0" applyProtection="0"/>
    <xf numFmtId="0" fontId="23" fillId="3" borderId="1" applyNumberFormat="0" applyAlignment="0" applyProtection="0"/>
    <xf numFmtId="0" fontId="23" fillId="3" borderId="1" applyNumberFormat="0" applyAlignment="0" applyProtection="0"/>
    <xf numFmtId="0" fontId="23" fillId="3" borderId="1" applyNumberFormat="0" applyAlignment="0" applyProtection="0"/>
    <xf numFmtId="165" fontId="4" fillId="0" borderId="0" applyFont="0" applyFill="0" applyBorder="0" applyAlignment="0" applyProtection="0"/>
    <xf numFmtId="165" fontId="42"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0" fontId="28" fillId="0" borderId="0" applyNumberFormat="0" applyFill="0" applyBorder="0" applyAlignment="0" applyProtection="0"/>
    <xf numFmtId="0" fontId="18" fillId="8" borderId="0" applyNumberFormat="0" applyBorder="0" applyAlignment="0" applyProtection="0"/>
    <xf numFmtId="0" fontId="18" fillId="8" borderId="0" applyNumberFormat="0" applyBorder="0" applyAlignment="0" applyProtection="0"/>
    <xf numFmtId="0" fontId="50" fillId="0" borderId="5" applyNumberFormat="0" applyFill="0" applyAlignment="0" applyProtection="0"/>
    <xf numFmtId="0" fontId="50" fillId="0" borderId="5" applyNumberFormat="0" applyFill="0" applyAlignment="0" applyProtection="0"/>
    <xf numFmtId="0" fontId="51" fillId="0" borderId="6" applyNumberFormat="0" applyFill="0" applyAlignment="0" applyProtection="0"/>
    <xf numFmtId="0" fontId="52" fillId="0" borderId="7" applyNumberFormat="0" applyFill="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33" fillId="0" borderId="0" applyNumberFormat="0" applyFill="0" applyBorder="0" applyAlignment="0" applyProtection="0">
      <alignment vertical="top"/>
      <protection locked="0"/>
    </xf>
    <xf numFmtId="0" fontId="24" fillId="7" borderId="0" applyNumberFormat="0" applyBorder="0" applyAlignment="0" applyProtection="0"/>
    <xf numFmtId="0" fontId="24" fillId="7" borderId="0" applyNumberFormat="0" applyBorder="0" applyAlignment="0" applyProtection="0"/>
    <xf numFmtId="0" fontId="24" fillId="7" borderId="0" applyNumberFormat="0" applyBorder="0" applyAlignment="0" applyProtection="0"/>
    <xf numFmtId="0" fontId="24" fillId="7" borderId="0" applyNumberFormat="0" applyBorder="0" applyAlignment="0" applyProtection="0"/>
    <xf numFmtId="0" fontId="24" fillId="7" borderId="0" applyNumberFormat="0" applyBorder="0" applyAlignment="0" applyProtection="0"/>
    <xf numFmtId="0" fontId="24" fillId="7" borderId="0" applyNumberFormat="0" applyBorder="0" applyAlignment="0" applyProtection="0"/>
    <xf numFmtId="0" fontId="24" fillId="7" borderId="0" applyNumberFormat="0" applyBorder="0" applyAlignment="0" applyProtection="0"/>
    <xf numFmtId="0" fontId="24" fillId="7" borderId="0" applyNumberFormat="0" applyBorder="0" applyAlignment="0" applyProtection="0"/>
    <xf numFmtId="0" fontId="24" fillId="7" borderId="0" applyNumberFormat="0" applyBorder="0" applyAlignment="0" applyProtection="0"/>
    <xf numFmtId="0" fontId="24" fillId="7" borderId="0" applyNumberFormat="0" applyBorder="0" applyAlignment="0" applyProtection="0"/>
    <xf numFmtId="0" fontId="24" fillId="7" borderId="0" applyNumberFormat="0" applyBorder="0" applyAlignment="0" applyProtection="0"/>
    <xf numFmtId="0" fontId="24" fillId="7" borderId="0" applyNumberFormat="0" applyBorder="0" applyAlignment="0" applyProtection="0"/>
    <xf numFmtId="0" fontId="24" fillId="7" borderId="0" applyNumberFormat="0" applyBorder="0" applyAlignment="0" applyProtection="0"/>
    <xf numFmtId="0" fontId="24" fillId="7" borderId="0" applyNumberFormat="0" applyBorder="0" applyAlignment="0" applyProtection="0"/>
    <xf numFmtId="0" fontId="24" fillId="7" borderId="0" applyNumberFormat="0" applyBorder="0" applyAlignment="0" applyProtection="0"/>
    <xf numFmtId="0" fontId="24" fillId="7" borderId="0" applyNumberFormat="0" applyBorder="0" applyAlignment="0" applyProtection="0"/>
    <xf numFmtId="0" fontId="24" fillId="7" borderId="0" applyNumberFormat="0" applyBorder="0" applyAlignment="0" applyProtection="0"/>
    <xf numFmtId="0" fontId="24" fillId="7" borderId="0" applyNumberFormat="0" applyBorder="0" applyAlignment="0" applyProtection="0"/>
    <xf numFmtId="0" fontId="23" fillId="3" borderId="1" applyNumberFormat="0" applyAlignment="0" applyProtection="0"/>
    <xf numFmtId="0" fontId="23" fillId="3" borderId="1" applyNumberFormat="0" applyAlignment="0" applyProtection="0"/>
    <xf numFmtId="0" fontId="21" fillId="0" borderId="3" applyNumberFormat="0" applyFill="0" applyAlignment="0" applyProtection="0"/>
    <xf numFmtId="0" fontId="21" fillId="0" borderId="3" applyNumberFormat="0" applyFill="0" applyAlignment="0" applyProtection="0"/>
    <xf numFmtId="0" fontId="25" fillId="11" borderId="0" applyNumberFormat="0" applyBorder="0" applyAlignment="0" applyProtection="0"/>
    <xf numFmtId="0" fontId="25" fillId="11" borderId="0" applyNumberFormat="0" applyBorder="0" applyAlignment="0" applyProtection="0"/>
    <xf numFmtId="0" fontId="25" fillId="11" borderId="0" applyNumberFormat="0" applyBorder="0" applyAlignment="0" applyProtection="0"/>
    <xf numFmtId="0" fontId="25" fillId="11" borderId="0" applyNumberFormat="0" applyBorder="0" applyAlignment="0" applyProtection="0"/>
    <xf numFmtId="0" fontId="25" fillId="11" borderId="0" applyNumberFormat="0" applyBorder="0" applyAlignment="0" applyProtection="0"/>
    <xf numFmtId="0" fontId="25" fillId="11" borderId="0" applyNumberFormat="0" applyBorder="0" applyAlignment="0" applyProtection="0"/>
    <xf numFmtId="0" fontId="25" fillId="11" borderId="0" applyNumberFormat="0" applyBorder="0" applyAlignment="0" applyProtection="0"/>
    <xf numFmtId="0" fontId="25" fillId="11" borderId="0" applyNumberFormat="0" applyBorder="0" applyAlignment="0" applyProtection="0"/>
    <xf numFmtId="0" fontId="25" fillId="11" borderId="0" applyNumberFormat="0" applyBorder="0" applyAlignment="0" applyProtection="0"/>
    <xf numFmtId="0" fontId="25" fillId="11" borderId="0" applyNumberFormat="0" applyBorder="0" applyAlignment="0" applyProtection="0"/>
    <xf numFmtId="0" fontId="25" fillId="11" borderId="0" applyNumberFormat="0" applyBorder="0" applyAlignment="0" applyProtection="0"/>
    <xf numFmtId="0" fontId="25" fillId="11" borderId="0" applyNumberFormat="0" applyBorder="0" applyAlignment="0" applyProtection="0"/>
    <xf numFmtId="0" fontId="25" fillId="11" borderId="0" applyNumberFormat="0" applyBorder="0" applyAlignment="0" applyProtection="0"/>
    <xf numFmtId="0" fontId="25" fillId="11" borderId="0" applyNumberFormat="0" applyBorder="0" applyAlignment="0" applyProtection="0"/>
    <xf numFmtId="0" fontId="25" fillId="11" borderId="0" applyNumberFormat="0" applyBorder="0" applyAlignment="0" applyProtection="0"/>
    <xf numFmtId="0" fontId="25" fillId="11" borderId="0" applyNumberFormat="0" applyBorder="0" applyAlignment="0" applyProtection="0"/>
    <xf numFmtId="0" fontId="25" fillId="11" borderId="0" applyNumberFormat="0" applyBorder="0" applyAlignment="0" applyProtection="0"/>
    <xf numFmtId="0" fontId="25" fillId="11" borderId="0" applyNumberFormat="0" applyBorder="0" applyAlignment="0" applyProtection="0"/>
    <xf numFmtId="0" fontId="25" fillId="11" borderId="0" applyNumberFormat="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53" fillId="0" borderId="0"/>
    <xf numFmtId="0" fontId="53" fillId="0" borderId="0"/>
    <xf numFmtId="0" fontId="53" fillId="0" borderId="0"/>
    <xf numFmtId="0" fontId="53" fillId="0" borderId="0"/>
    <xf numFmtId="0" fontId="53" fillId="0" borderId="0"/>
    <xf numFmtId="0" fontId="53" fillId="0" borderId="0"/>
    <xf numFmtId="0" fontId="15"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15" fillId="0" borderId="0"/>
    <xf numFmtId="0" fontId="53" fillId="0" borderId="0"/>
    <xf numFmtId="0" fontId="15" fillId="0" borderId="0"/>
    <xf numFmtId="0" fontId="15" fillId="0" borderId="0"/>
    <xf numFmtId="0" fontId="53" fillId="0" borderId="0"/>
    <xf numFmtId="0" fontId="53" fillId="0" borderId="0"/>
    <xf numFmtId="0" fontId="15" fillId="0" borderId="0"/>
    <xf numFmtId="0" fontId="15" fillId="0" borderId="0"/>
    <xf numFmtId="0" fontId="15" fillId="0" borderId="0"/>
    <xf numFmtId="0" fontId="15" fillId="0" borderId="0"/>
    <xf numFmtId="0" fontId="15" fillId="0" borderId="0"/>
    <xf numFmtId="0" fontId="16" fillId="0" borderId="0"/>
    <xf numFmtId="0" fontId="59" fillId="0" borderId="0"/>
    <xf numFmtId="0" fontId="15" fillId="4" borderId="8" applyNumberFormat="0" applyFont="0" applyAlignment="0" applyProtection="0"/>
    <xf numFmtId="0" fontId="15" fillId="4" borderId="8" applyNumberFormat="0" applyFont="0" applyAlignment="0" applyProtection="0"/>
    <xf numFmtId="0" fontId="15" fillId="4" borderId="8" applyNumberFormat="0" applyFont="0" applyAlignment="0" applyProtection="0"/>
    <xf numFmtId="0" fontId="15" fillId="4" borderId="8" applyNumberFormat="0" applyFont="0" applyAlignment="0" applyProtection="0"/>
    <xf numFmtId="0" fontId="15" fillId="4" borderId="8" applyNumberFormat="0" applyFont="0" applyAlignment="0" applyProtection="0"/>
    <xf numFmtId="0" fontId="15" fillId="4" borderId="8" applyNumberFormat="0" applyFont="0" applyAlignment="0" applyProtection="0"/>
    <xf numFmtId="0" fontId="15" fillId="4" borderId="8" applyNumberFormat="0" applyFont="0" applyAlignment="0" applyProtection="0"/>
    <xf numFmtId="0" fontId="15" fillId="4" borderId="8" applyNumberFormat="0" applyFont="0" applyAlignment="0" applyProtection="0"/>
    <xf numFmtId="0" fontId="15" fillId="4" borderId="8" applyNumberFormat="0" applyFont="0" applyAlignment="0" applyProtection="0"/>
    <xf numFmtId="0" fontId="15" fillId="4" borderId="8" applyNumberFormat="0" applyFont="0" applyAlignment="0" applyProtection="0"/>
    <xf numFmtId="0" fontId="15" fillId="4" borderId="8" applyNumberFormat="0" applyFont="0" applyAlignment="0" applyProtection="0"/>
    <xf numFmtId="0" fontId="15" fillId="4" borderId="8" applyNumberFormat="0" applyFont="0" applyAlignment="0" applyProtection="0"/>
    <xf numFmtId="0" fontId="15" fillId="4" borderId="8" applyNumberFormat="0" applyFont="0" applyAlignment="0" applyProtection="0"/>
    <xf numFmtId="0" fontId="15" fillId="4" borderId="8" applyNumberFormat="0" applyFont="0" applyAlignment="0" applyProtection="0"/>
    <xf numFmtId="0" fontId="15" fillId="4" borderId="8" applyNumberFormat="0" applyFont="0" applyAlignment="0" applyProtection="0"/>
    <xf numFmtId="0" fontId="15" fillId="4" borderId="8" applyNumberFormat="0" applyFont="0" applyAlignment="0" applyProtection="0"/>
    <xf numFmtId="0" fontId="15" fillId="4" borderId="8" applyNumberFormat="0" applyFont="0" applyAlignment="0" applyProtection="0"/>
    <xf numFmtId="0" fontId="15" fillId="4" borderId="8" applyNumberFormat="0" applyFont="0" applyAlignment="0" applyProtection="0"/>
    <xf numFmtId="0" fontId="15" fillId="4" borderId="8" applyNumberFormat="0" applyFont="0" applyAlignment="0" applyProtection="0"/>
    <xf numFmtId="0" fontId="53" fillId="4" borderId="9" applyNumberFormat="0" applyFont="0" applyAlignment="0" applyProtection="0"/>
    <xf numFmtId="0" fontId="53" fillId="4" borderId="9" applyNumberFormat="0" applyFont="0" applyAlignment="0" applyProtection="0"/>
    <xf numFmtId="0" fontId="26" fillId="24" borderId="10" applyNumberFormat="0" applyAlignment="0" applyProtection="0"/>
    <xf numFmtId="9" fontId="53" fillId="0" borderId="0" applyFont="0" applyFill="0" applyBorder="0" applyAlignment="0" applyProtection="0"/>
    <xf numFmtId="9" fontId="53" fillId="0" borderId="0" applyFont="0" applyFill="0" applyBorder="0" applyAlignment="0" applyProtection="0"/>
    <xf numFmtId="9" fontId="53" fillId="0" borderId="0" applyFont="0" applyFill="0" applyBorder="0" applyAlignment="0" applyProtection="0"/>
    <xf numFmtId="9" fontId="53" fillId="0" borderId="0" applyFont="0" applyFill="0" applyBorder="0" applyAlignment="0" applyProtection="0"/>
    <xf numFmtId="9" fontId="53" fillId="0" borderId="0" applyFont="0" applyFill="0" applyBorder="0" applyAlignment="0" applyProtection="0"/>
    <xf numFmtId="9" fontId="53" fillId="0" borderId="0" applyFont="0" applyFill="0" applyBorder="0" applyAlignment="0" applyProtection="0"/>
    <xf numFmtId="9" fontId="53" fillId="0" borderId="0" applyFont="0" applyFill="0" applyBorder="0" applyAlignment="0" applyProtection="0"/>
    <xf numFmtId="9" fontId="53" fillId="0" borderId="0" applyFont="0" applyFill="0" applyBorder="0" applyAlignment="0" applyProtection="0"/>
    <xf numFmtId="9" fontId="53"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53" fillId="0" borderId="0" applyFont="0" applyFill="0" applyBorder="0" applyAlignment="0" applyProtection="0"/>
    <xf numFmtId="9" fontId="53" fillId="0" borderId="0" applyFont="0" applyFill="0" applyBorder="0" applyAlignment="0" applyProtection="0"/>
    <xf numFmtId="9" fontId="53" fillId="0" borderId="0" applyFont="0" applyFill="0" applyBorder="0" applyAlignment="0" applyProtection="0"/>
    <xf numFmtId="9" fontId="53" fillId="0" borderId="0" applyFont="0" applyFill="0" applyBorder="0" applyAlignment="0" applyProtection="0"/>
    <xf numFmtId="9" fontId="53" fillId="0" borderId="0" applyFont="0" applyFill="0" applyBorder="0" applyAlignment="0" applyProtection="0"/>
    <xf numFmtId="9" fontId="53" fillId="0" borderId="0" applyFont="0" applyFill="0" applyBorder="0" applyAlignment="0" applyProtection="0"/>
    <xf numFmtId="9" fontId="53" fillId="0" borderId="0" applyFont="0" applyFill="0" applyBorder="0" applyAlignment="0" applyProtection="0"/>
    <xf numFmtId="9" fontId="53" fillId="0" borderId="0" applyFont="0" applyFill="0" applyBorder="0" applyAlignment="0" applyProtection="0"/>
    <xf numFmtId="9" fontId="53" fillId="0" borderId="0" applyFont="0" applyFill="0" applyBorder="0" applyAlignment="0" applyProtection="0"/>
    <xf numFmtId="9" fontId="53" fillId="0" borderId="0" applyFont="0" applyFill="0" applyBorder="0" applyAlignment="0" applyProtection="0"/>
    <xf numFmtId="0" fontId="26" fillId="2" borderId="10" applyNumberFormat="0" applyAlignment="0" applyProtection="0"/>
    <xf numFmtId="0" fontId="26" fillId="2" borderId="10" applyNumberFormat="0" applyAlignment="0" applyProtection="0"/>
    <xf numFmtId="0" fontId="26" fillId="2" borderId="10" applyNumberFormat="0" applyAlignment="0" applyProtection="0"/>
    <xf numFmtId="0" fontId="26" fillId="2" borderId="10" applyNumberFormat="0" applyAlignment="0" applyProtection="0"/>
    <xf numFmtId="0" fontId="26" fillId="2" borderId="10" applyNumberFormat="0" applyAlignment="0" applyProtection="0"/>
    <xf numFmtId="0" fontId="26" fillId="2" borderId="10" applyNumberFormat="0" applyAlignment="0" applyProtection="0"/>
    <xf numFmtId="0" fontId="26" fillId="2" borderId="10" applyNumberFormat="0" applyAlignment="0" applyProtection="0"/>
    <xf numFmtId="0" fontId="26" fillId="2" borderId="10" applyNumberFormat="0" applyAlignment="0" applyProtection="0"/>
    <xf numFmtId="0" fontId="26" fillId="2" borderId="10" applyNumberFormat="0" applyAlignment="0" applyProtection="0"/>
    <xf numFmtId="0" fontId="26" fillId="2" borderId="10" applyNumberFormat="0" applyAlignment="0" applyProtection="0"/>
    <xf numFmtId="0" fontId="26" fillId="2" borderId="10" applyNumberFormat="0" applyAlignment="0" applyProtection="0"/>
    <xf numFmtId="0" fontId="26" fillId="2" borderId="10" applyNumberFormat="0" applyAlignment="0" applyProtection="0"/>
    <xf numFmtId="0" fontId="26" fillId="2" borderId="10" applyNumberFormat="0" applyAlignment="0" applyProtection="0"/>
    <xf numFmtId="0" fontId="26" fillId="2" borderId="10" applyNumberFormat="0" applyAlignment="0" applyProtection="0"/>
    <xf numFmtId="0" fontId="26" fillId="2" borderId="10" applyNumberFormat="0" applyAlignment="0" applyProtection="0"/>
    <xf numFmtId="0" fontId="26" fillId="2" borderId="10" applyNumberFormat="0" applyAlignment="0" applyProtection="0"/>
    <xf numFmtId="0" fontId="26" fillId="2" borderId="10" applyNumberFormat="0" applyAlignment="0" applyProtection="0"/>
    <xf numFmtId="0" fontId="26" fillId="2" borderId="10" applyNumberFormat="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54" fillId="0" borderId="0" applyNumberFormat="0" applyFill="0" applyBorder="0" applyAlignment="0" applyProtection="0"/>
    <xf numFmtId="0" fontId="30" fillId="0" borderId="4" applyNumberFormat="0" applyFill="0" applyAlignment="0" applyProtection="0"/>
    <xf numFmtId="0" fontId="30" fillId="0" borderId="4" applyNumberFormat="0" applyFill="0" applyAlignment="0" applyProtection="0"/>
    <xf numFmtId="0" fontId="30" fillId="0" borderId="4" applyNumberFormat="0" applyFill="0" applyAlignment="0" applyProtection="0"/>
    <xf numFmtId="0" fontId="30" fillId="0" borderId="4" applyNumberFormat="0" applyFill="0" applyAlignment="0" applyProtection="0"/>
    <xf numFmtId="0" fontId="30" fillId="0" borderId="4" applyNumberFormat="0" applyFill="0" applyAlignment="0" applyProtection="0"/>
    <xf numFmtId="0" fontId="30" fillId="0" borderId="4" applyNumberFormat="0" applyFill="0" applyAlignment="0" applyProtection="0"/>
    <xf numFmtId="0" fontId="30" fillId="0" borderId="4" applyNumberFormat="0" applyFill="0" applyAlignment="0" applyProtection="0"/>
    <xf numFmtId="0" fontId="30" fillId="0" borderId="4" applyNumberFormat="0" applyFill="0" applyAlignment="0" applyProtection="0"/>
    <xf numFmtId="0" fontId="30" fillId="0" borderId="4" applyNumberFormat="0" applyFill="0" applyAlignment="0" applyProtection="0"/>
    <xf numFmtId="0" fontId="30" fillId="0" borderId="4" applyNumberFormat="0" applyFill="0" applyAlignment="0" applyProtection="0"/>
    <xf numFmtId="0" fontId="30" fillId="0" borderId="4" applyNumberFormat="0" applyFill="0" applyAlignment="0" applyProtection="0"/>
    <xf numFmtId="0" fontId="30" fillId="0" borderId="4" applyNumberFormat="0" applyFill="0" applyAlignment="0" applyProtection="0"/>
    <xf numFmtId="0" fontId="30" fillId="0" borderId="4" applyNumberFormat="0" applyFill="0" applyAlignment="0" applyProtection="0"/>
    <xf numFmtId="0" fontId="30" fillId="0" borderId="4" applyNumberFormat="0" applyFill="0" applyAlignment="0" applyProtection="0"/>
    <xf numFmtId="0" fontId="30" fillId="0" borderId="4" applyNumberFormat="0" applyFill="0" applyAlignment="0" applyProtection="0"/>
    <xf numFmtId="0" fontId="30" fillId="0" borderId="4" applyNumberFormat="0" applyFill="0" applyAlignment="0" applyProtection="0"/>
    <xf numFmtId="0" fontId="30" fillId="0" borderId="4" applyNumberFormat="0" applyFill="0" applyAlignment="0" applyProtection="0"/>
    <xf numFmtId="0" fontId="30" fillId="0" borderId="4" applyNumberFormat="0" applyFill="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31" fillId="0" borderId="6" applyNumberFormat="0" applyFill="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2" fillId="0" borderId="11" applyNumberFormat="0" applyFill="0" applyAlignment="0" applyProtection="0"/>
    <xf numFmtId="0" fontId="22" fillId="0" borderId="11" applyNumberFormat="0" applyFill="0" applyAlignment="0" applyProtection="0"/>
    <xf numFmtId="0" fontId="22" fillId="0" borderId="11" applyNumberFormat="0" applyFill="0" applyAlignment="0" applyProtection="0"/>
    <xf numFmtId="0" fontId="22" fillId="0" borderId="11" applyNumberFormat="0" applyFill="0" applyAlignment="0" applyProtection="0"/>
    <xf numFmtId="0" fontId="22" fillId="0" borderId="11" applyNumberFormat="0" applyFill="0" applyAlignment="0" applyProtection="0"/>
    <xf numFmtId="0" fontId="22" fillId="0" borderId="11" applyNumberFormat="0" applyFill="0" applyAlignment="0" applyProtection="0"/>
    <xf numFmtId="0" fontId="22" fillId="0" borderId="11" applyNumberFormat="0" applyFill="0" applyAlignment="0" applyProtection="0"/>
    <xf numFmtId="0" fontId="22" fillId="0" borderId="11" applyNumberFormat="0" applyFill="0" applyAlignment="0" applyProtection="0"/>
    <xf numFmtId="0" fontId="22" fillId="0" borderId="11" applyNumberFormat="0" applyFill="0" applyAlignment="0" applyProtection="0"/>
    <xf numFmtId="0" fontId="22" fillId="0" borderId="11" applyNumberFormat="0" applyFill="0" applyAlignment="0" applyProtection="0"/>
    <xf numFmtId="0" fontId="22" fillId="0" borderId="11" applyNumberFormat="0" applyFill="0" applyAlignment="0" applyProtection="0"/>
    <xf numFmtId="0" fontId="22" fillId="0" borderId="11" applyNumberFormat="0" applyFill="0" applyAlignment="0" applyProtection="0"/>
    <xf numFmtId="0" fontId="22" fillId="0" borderId="11" applyNumberFormat="0" applyFill="0" applyAlignment="0" applyProtection="0"/>
    <xf numFmtId="0" fontId="22" fillId="0" borderId="11" applyNumberFormat="0" applyFill="0" applyAlignment="0" applyProtection="0"/>
    <xf numFmtId="0" fontId="22" fillId="0" borderId="11" applyNumberFormat="0" applyFill="0" applyAlignment="0" applyProtection="0"/>
    <xf numFmtId="0" fontId="22" fillId="0" borderId="11" applyNumberFormat="0" applyFill="0" applyAlignment="0" applyProtection="0"/>
    <xf numFmtId="0" fontId="22" fillId="0" borderId="11" applyNumberFormat="0" applyFill="0" applyAlignment="0" applyProtection="0"/>
    <xf numFmtId="0" fontId="22" fillId="0" borderId="11" applyNumberFormat="0" applyFill="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32" fillId="0" borderId="12" applyNumberFormat="0" applyFill="0" applyAlignment="0" applyProtection="0"/>
    <xf numFmtId="0" fontId="32" fillId="0" borderId="12" applyNumberFormat="0" applyFill="0" applyAlignment="0" applyProtection="0"/>
    <xf numFmtId="0" fontId="32" fillId="0" borderId="12" applyNumberFormat="0" applyFill="0" applyAlignment="0" applyProtection="0"/>
    <xf numFmtId="0" fontId="32" fillId="0" borderId="12" applyNumberFormat="0" applyFill="0" applyAlignment="0" applyProtection="0"/>
    <xf numFmtId="0" fontId="32" fillId="0" borderId="12" applyNumberFormat="0" applyFill="0" applyAlignment="0" applyProtection="0"/>
    <xf numFmtId="0" fontId="32" fillId="0" borderId="12" applyNumberFormat="0" applyFill="0" applyAlignment="0" applyProtection="0"/>
    <xf numFmtId="0" fontId="32" fillId="0" borderId="12" applyNumberFormat="0" applyFill="0" applyAlignment="0" applyProtection="0"/>
    <xf numFmtId="0" fontId="32" fillId="0" borderId="12" applyNumberFormat="0" applyFill="0" applyAlignment="0" applyProtection="0"/>
    <xf numFmtId="0" fontId="32" fillId="0" borderId="12" applyNumberFormat="0" applyFill="0" applyAlignment="0" applyProtection="0"/>
    <xf numFmtId="0" fontId="32" fillId="0" borderId="12" applyNumberFormat="0" applyFill="0" applyAlignment="0" applyProtection="0"/>
    <xf numFmtId="0" fontId="32" fillId="0" borderId="12" applyNumberFormat="0" applyFill="0" applyAlignment="0" applyProtection="0"/>
    <xf numFmtId="0" fontId="32" fillId="0" borderId="12" applyNumberFormat="0" applyFill="0" applyAlignment="0" applyProtection="0"/>
    <xf numFmtId="0" fontId="32" fillId="0" borderId="12" applyNumberFormat="0" applyFill="0" applyAlignment="0" applyProtection="0"/>
    <xf numFmtId="0" fontId="32" fillId="0" borderId="12" applyNumberFormat="0" applyFill="0" applyAlignment="0" applyProtection="0"/>
    <xf numFmtId="0" fontId="32" fillId="0" borderId="12" applyNumberFormat="0" applyFill="0" applyAlignment="0" applyProtection="0"/>
    <xf numFmtId="0" fontId="32" fillId="0" borderId="12" applyNumberFormat="0" applyFill="0" applyAlignment="0" applyProtection="0"/>
    <xf numFmtId="0" fontId="32" fillId="0" borderId="12" applyNumberFormat="0" applyFill="0" applyAlignment="0" applyProtection="0"/>
    <xf numFmtId="0" fontId="32" fillId="0" borderId="12" applyNumberFormat="0" applyFill="0" applyAlignment="0" applyProtection="0"/>
    <xf numFmtId="0" fontId="32" fillId="0" borderId="12" applyNumberFormat="0" applyFill="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4" fillId="0" borderId="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4" borderId="8" applyNumberFormat="0" applyFont="0" applyAlignment="0" applyProtection="0"/>
    <xf numFmtId="0" fontId="4" fillId="4" borderId="8" applyNumberFormat="0" applyFont="0" applyAlignment="0" applyProtection="0"/>
    <xf numFmtId="0" fontId="4" fillId="4" borderId="8" applyNumberFormat="0" applyFont="0" applyAlignment="0" applyProtection="0"/>
    <xf numFmtId="0" fontId="4" fillId="4" borderId="8" applyNumberFormat="0" applyFont="0" applyAlignment="0" applyProtection="0"/>
    <xf numFmtId="0" fontId="4" fillId="4" borderId="8" applyNumberFormat="0" applyFont="0" applyAlignment="0" applyProtection="0"/>
    <xf numFmtId="0" fontId="4" fillId="4" borderId="8" applyNumberFormat="0" applyFont="0" applyAlignment="0" applyProtection="0"/>
    <xf numFmtId="0" fontId="4" fillId="4" borderId="8" applyNumberFormat="0" applyFont="0" applyAlignment="0" applyProtection="0"/>
    <xf numFmtId="0" fontId="4" fillId="4" borderId="8" applyNumberFormat="0" applyFont="0" applyAlignment="0" applyProtection="0"/>
    <xf numFmtId="0" fontId="4" fillId="4" borderId="8" applyNumberFormat="0" applyFont="0" applyAlignment="0" applyProtection="0"/>
    <xf numFmtId="0" fontId="4" fillId="4" borderId="8" applyNumberFormat="0" applyFont="0" applyAlignment="0" applyProtection="0"/>
    <xf numFmtId="0" fontId="4" fillId="4" borderId="8" applyNumberFormat="0" applyFont="0" applyAlignment="0" applyProtection="0"/>
    <xf numFmtId="0" fontId="4" fillId="4" borderId="8" applyNumberFormat="0" applyFont="0" applyAlignment="0" applyProtection="0"/>
    <xf numFmtId="0" fontId="4" fillId="4" borderId="8" applyNumberFormat="0" applyFont="0" applyAlignment="0" applyProtection="0"/>
    <xf numFmtId="0" fontId="4" fillId="4" borderId="8" applyNumberFormat="0" applyFont="0" applyAlignment="0" applyProtection="0"/>
    <xf numFmtId="0" fontId="4" fillId="4" borderId="8" applyNumberFormat="0" applyFont="0" applyAlignment="0" applyProtection="0"/>
    <xf numFmtId="0" fontId="4" fillId="4" borderId="8" applyNumberFormat="0" applyFont="0" applyAlignment="0" applyProtection="0"/>
    <xf numFmtId="0" fontId="4" fillId="4" borderId="8" applyNumberFormat="0" applyFont="0" applyAlignment="0" applyProtection="0"/>
    <xf numFmtId="0" fontId="4" fillId="4" borderId="8" applyNumberFormat="0" applyFont="0" applyAlignment="0" applyProtection="0"/>
    <xf numFmtId="0" fontId="4" fillId="4" borderId="8"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0" fontId="90" fillId="0" borderId="0" applyNumberFormat="0" applyFill="0" applyBorder="0" applyAlignment="0" applyProtection="0"/>
    <xf numFmtId="0" fontId="91" fillId="0" borderId="89" applyNumberFormat="0" applyFill="0" applyAlignment="0" applyProtection="0"/>
    <xf numFmtId="0" fontId="92" fillId="0" borderId="90" applyNumberFormat="0" applyFill="0" applyAlignment="0" applyProtection="0"/>
    <xf numFmtId="0" fontId="93" fillId="65" borderId="0" applyNumberFormat="0" applyBorder="0" applyAlignment="0" applyProtection="0"/>
    <xf numFmtId="0" fontId="94" fillId="66" borderId="91" applyNumberFormat="0" applyAlignment="0" applyProtection="0"/>
    <xf numFmtId="0" fontId="95" fillId="66" borderId="92" applyNumberFormat="0" applyAlignment="0" applyProtection="0"/>
    <xf numFmtId="0" fontId="96" fillId="0" borderId="0" applyNumberFormat="0" applyFill="0" applyBorder="0" applyAlignment="0" applyProtection="0"/>
    <xf numFmtId="0" fontId="97" fillId="67" borderId="0" applyNumberFormat="0" applyBorder="0" applyAlignment="0" applyProtection="0"/>
    <xf numFmtId="0" fontId="3" fillId="68" borderId="0" applyNumberFormat="0" applyBorder="0" applyAlignment="0" applyProtection="0"/>
    <xf numFmtId="0" fontId="3" fillId="69" borderId="0" applyNumberFormat="0" applyBorder="0" applyAlignment="0" applyProtection="0"/>
    <xf numFmtId="0" fontId="97" fillId="71" borderId="0" applyNumberFormat="0" applyBorder="0" applyAlignment="0" applyProtection="0"/>
    <xf numFmtId="0" fontId="3" fillId="72" borderId="0" applyNumberFormat="0" applyBorder="0" applyAlignment="0" applyProtection="0"/>
    <xf numFmtId="0" fontId="3" fillId="73" borderId="0" applyNumberFormat="0" applyBorder="0" applyAlignment="0" applyProtection="0"/>
    <xf numFmtId="0" fontId="97" fillId="75" borderId="0" applyNumberFormat="0" applyBorder="0" applyAlignment="0" applyProtection="0"/>
    <xf numFmtId="0" fontId="3" fillId="76" borderId="0" applyNumberFormat="0" applyBorder="0" applyAlignment="0" applyProtection="0"/>
    <xf numFmtId="0" fontId="3" fillId="77" borderId="0" applyNumberFormat="0" applyBorder="0" applyAlignment="0" applyProtection="0"/>
    <xf numFmtId="0" fontId="97" fillId="79" borderId="0" applyNumberFormat="0" applyBorder="0" applyAlignment="0" applyProtection="0"/>
    <xf numFmtId="0" fontId="3" fillId="80" borderId="0" applyNumberFormat="0" applyBorder="0" applyAlignment="0" applyProtection="0"/>
    <xf numFmtId="0" fontId="3" fillId="81" borderId="0" applyNumberFormat="0" applyBorder="0" applyAlignment="0" applyProtection="0"/>
    <xf numFmtId="0" fontId="97" fillId="83" borderId="0" applyNumberFormat="0" applyBorder="0" applyAlignment="0" applyProtection="0"/>
    <xf numFmtId="0" fontId="3" fillId="84" borderId="0" applyNumberFormat="0" applyBorder="0" applyAlignment="0" applyProtection="0"/>
    <xf numFmtId="0" fontId="3" fillId="85" borderId="0" applyNumberFormat="0" applyBorder="0" applyAlignment="0" applyProtection="0"/>
    <xf numFmtId="0" fontId="97" fillId="87" borderId="0" applyNumberFormat="0" applyBorder="0" applyAlignment="0" applyProtection="0"/>
    <xf numFmtId="0" fontId="3" fillId="88" borderId="0" applyNumberFormat="0" applyBorder="0" applyAlignment="0" applyProtection="0"/>
    <xf numFmtId="0" fontId="3" fillId="89" borderId="0" applyNumberFormat="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0" fontId="3" fillId="0" borderId="0"/>
    <xf numFmtId="0" fontId="3" fillId="70" borderId="0" applyNumberFormat="0" applyBorder="0" applyAlignment="0" applyProtection="0"/>
    <xf numFmtId="0" fontId="3" fillId="74" borderId="0" applyNumberFormat="0" applyBorder="0" applyAlignment="0" applyProtection="0"/>
    <xf numFmtId="0" fontId="3" fillId="78" borderId="0" applyNumberFormat="0" applyBorder="0" applyAlignment="0" applyProtection="0"/>
    <xf numFmtId="0" fontId="3" fillId="82" borderId="0" applyNumberFormat="0" applyBorder="0" applyAlignment="0" applyProtection="0"/>
    <xf numFmtId="0" fontId="3" fillId="86" borderId="0" applyNumberFormat="0" applyBorder="0" applyAlignment="0" applyProtection="0"/>
    <xf numFmtId="0" fontId="3" fillId="90" borderId="0" applyNumberFormat="0" applyBorder="0" applyAlignment="0" applyProtection="0"/>
    <xf numFmtId="0" fontId="99" fillId="91" borderId="93" applyNumberFormat="0" applyAlignment="0" applyProtection="0"/>
    <xf numFmtId="0" fontId="100" fillId="0" borderId="94" applyNumberFormat="0" applyFill="0" applyAlignment="0" applyProtection="0"/>
    <xf numFmtId="0" fontId="92" fillId="0" borderId="0" applyNumberFormat="0" applyFill="0" applyBorder="0" applyAlignment="0" applyProtection="0"/>
    <xf numFmtId="0" fontId="101" fillId="92" borderId="92" applyNumberFormat="0" applyAlignment="0" applyProtection="0"/>
    <xf numFmtId="0" fontId="102" fillId="93" borderId="0" applyNumberFormat="0" applyBorder="0" applyAlignment="0" applyProtection="0"/>
    <xf numFmtId="0" fontId="3" fillId="94" borderId="95" applyNumberFormat="0" applyFont="0" applyAlignment="0" applyProtection="0"/>
    <xf numFmtId="0" fontId="103" fillId="0" borderId="0" applyNumberFormat="0" applyFill="0" applyBorder="0" applyAlignment="0" applyProtection="0"/>
    <xf numFmtId="0" fontId="80" fillId="0" borderId="96" applyNumberFormat="0" applyFill="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0" fontId="3" fillId="68" borderId="0" applyNumberFormat="0" applyBorder="0" applyAlignment="0" applyProtection="0"/>
    <xf numFmtId="0" fontId="3" fillId="69" borderId="0" applyNumberFormat="0" applyBorder="0" applyAlignment="0" applyProtection="0"/>
    <xf numFmtId="0" fontId="3" fillId="72" borderId="0" applyNumberFormat="0" applyBorder="0" applyAlignment="0" applyProtection="0"/>
    <xf numFmtId="0" fontId="3" fillId="73" borderId="0" applyNumberFormat="0" applyBorder="0" applyAlignment="0" applyProtection="0"/>
    <xf numFmtId="0" fontId="3" fillId="76" borderId="0" applyNumberFormat="0" applyBorder="0" applyAlignment="0" applyProtection="0"/>
    <xf numFmtId="0" fontId="3" fillId="77" borderId="0" applyNumberFormat="0" applyBorder="0" applyAlignment="0" applyProtection="0"/>
    <xf numFmtId="0" fontId="3" fillId="80" borderId="0" applyNumberFormat="0" applyBorder="0" applyAlignment="0" applyProtection="0"/>
    <xf numFmtId="0" fontId="3" fillId="81" borderId="0" applyNumberFormat="0" applyBorder="0" applyAlignment="0" applyProtection="0"/>
    <xf numFmtId="0" fontId="3" fillId="84" borderId="0" applyNumberFormat="0" applyBorder="0" applyAlignment="0" applyProtection="0"/>
    <xf numFmtId="0" fontId="3" fillId="85" borderId="0" applyNumberFormat="0" applyBorder="0" applyAlignment="0" applyProtection="0"/>
    <xf numFmtId="0" fontId="3" fillId="88" borderId="0" applyNumberFormat="0" applyBorder="0" applyAlignment="0" applyProtection="0"/>
    <xf numFmtId="0" fontId="3" fillId="89" borderId="0" applyNumberFormat="0" applyBorder="0" applyAlignment="0" applyProtection="0"/>
    <xf numFmtId="0" fontId="3" fillId="0" borderId="0"/>
    <xf numFmtId="0" fontId="3" fillId="70" borderId="0" applyNumberFormat="0" applyBorder="0" applyAlignment="0" applyProtection="0"/>
    <xf numFmtId="0" fontId="3" fillId="74" borderId="0" applyNumberFormat="0" applyBorder="0" applyAlignment="0" applyProtection="0"/>
    <xf numFmtId="0" fontId="3" fillId="78" borderId="0" applyNumberFormat="0" applyBorder="0" applyAlignment="0" applyProtection="0"/>
    <xf numFmtId="0" fontId="3" fillId="82" borderId="0" applyNumberFormat="0" applyBorder="0" applyAlignment="0" applyProtection="0"/>
    <xf numFmtId="0" fontId="3" fillId="86" borderId="0" applyNumberFormat="0" applyBorder="0" applyAlignment="0" applyProtection="0"/>
    <xf numFmtId="0" fontId="3" fillId="90" borderId="0" applyNumberFormat="0" applyBorder="0" applyAlignment="0" applyProtection="0"/>
    <xf numFmtId="0" fontId="3" fillId="94" borderId="95" applyNumberFormat="0" applyFont="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0" fontId="2" fillId="68" borderId="0" applyNumberFormat="0" applyBorder="0" applyAlignment="0" applyProtection="0"/>
    <xf numFmtId="0" fontId="2" fillId="69" borderId="0" applyNumberFormat="0" applyBorder="0" applyAlignment="0" applyProtection="0"/>
    <xf numFmtId="0" fontId="2" fillId="72" borderId="0" applyNumberFormat="0" applyBorder="0" applyAlignment="0" applyProtection="0"/>
    <xf numFmtId="0" fontId="2" fillId="73" borderId="0" applyNumberFormat="0" applyBorder="0" applyAlignment="0" applyProtection="0"/>
    <xf numFmtId="0" fontId="2" fillId="76" borderId="0" applyNumberFormat="0" applyBorder="0" applyAlignment="0" applyProtection="0"/>
    <xf numFmtId="0" fontId="2" fillId="77" borderId="0" applyNumberFormat="0" applyBorder="0" applyAlignment="0" applyProtection="0"/>
    <xf numFmtId="0" fontId="2" fillId="80" borderId="0" applyNumberFormat="0" applyBorder="0" applyAlignment="0" applyProtection="0"/>
    <xf numFmtId="0" fontId="2" fillId="81" borderId="0" applyNumberFormat="0" applyBorder="0" applyAlignment="0" applyProtection="0"/>
    <xf numFmtId="0" fontId="2" fillId="84" borderId="0" applyNumberFormat="0" applyBorder="0" applyAlignment="0" applyProtection="0"/>
    <xf numFmtId="0" fontId="2" fillId="85" borderId="0" applyNumberFormat="0" applyBorder="0" applyAlignment="0" applyProtection="0"/>
    <xf numFmtId="0" fontId="2" fillId="88" borderId="0" applyNumberFormat="0" applyBorder="0" applyAlignment="0" applyProtection="0"/>
    <xf numFmtId="0" fontId="2" fillId="89" borderId="0" applyNumberFormat="0" applyBorder="0" applyAlignment="0" applyProtection="0"/>
    <xf numFmtId="0" fontId="2" fillId="0" borderId="0"/>
    <xf numFmtId="0" fontId="2" fillId="70" borderId="0" applyNumberFormat="0" applyBorder="0" applyAlignment="0" applyProtection="0"/>
    <xf numFmtId="0" fontId="2" fillId="74" borderId="0" applyNumberFormat="0" applyBorder="0" applyAlignment="0" applyProtection="0"/>
    <xf numFmtId="0" fontId="2" fillId="78" borderId="0" applyNumberFormat="0" applyBorder="0" applyAlignment="0" applyProtection="0"/>
    <xf numFmtId="0" fontId="2" fillId="82" borderId="0" applyNumberFormat="0" applyBorder="0" applyAlignment="0" applyProtection="0"/>
    <xf numFmtId="0" fontId="2" fillId="86" borderId="0" applyNumberFormat="0" applyBorder="0" applyAlignment="0" applyProtection="0"/>
    <xf numFmtId="0" fontId="2" fillId="90" borderId="0" applyNumberFormat="0" applyBorder="0" applyAlignment="0" applyProtection="0"/>
    <xf numFmtId="0" fontId="2" fillId="94" borderId="95" applyNumberFormat="0" applyFont="0" applyAlignment="0" applyProtection="0"/>
    <xf numFmtId="0" fontId="2" fillId="68" borderId="0" applyNumberFormat="0" applyBorder="0" applyAlignment="0" applyProtection="0"/>
    <xf numFmtId="0" fontId="2" fillId="69" borderId="0" applyNumberFormat="0" applyBorder="0" applyAlignment="0" applyProtection="0"/>
    <xf numFmtId="0" fontId="2" fillId="72" borderId="0" applyNumberFormat="0" applyBorder="0" applyAlignment="0" applyProtection="0"/>
    <xf numFmtId="0" fontId="2" fillId="73" borderId="0" applyNumberFormat="0" applyBorder="0" applyAlignment="0" applyProtection="0"/>
    <xf numFmtId="0" fontId="2" fillId="76" borderId="0" applyNumberFormat="0" applyBorder="0" applyAlignment="0" applyProtection="0"/>
    <xf numFmtId="0" fontId="2" fillId="77" borderId="0" applyNumberFormat="0" applyBorder="0" applyAlignment="0" applyProtection="0"/>
    <xf numFmtId="0" fontId="2" fillId="80" borderId="0" applyNumberFormat="0" applyBorder="0" applyAlignment="0" applyProtection="0"/>
    <xf numFmtId="0" fontId="2" fillId="81" borderId="0" applyNumberFormat="0" applyBorder="0" applyAlignment="0" applyProtection="0"/>
    <xf numFmtId="0" fontId="2" fillId="84" borderId="0" applyNumberFormat="0" applyBorder="0" applyAlignment="0" applyProtection="0"/>
    <xf numFmtId="0" fontId="2" fillId="85" borderId="0" applyNumberFormat="0" applyBorder="0" applyAlignment="0" applyProtection="0"/>
    <xf numFmtId="0" fontId="2" fillId="88" borderId="0" applyNumberFormat="0" applyBorder="0" applyAlignment="0" applyProtection="0"/>
    <xf numFmtId="0" fontId="2" fillId="89" borderId="0" applyNumberFormat="0" applyBorder="0" applyAlignment="0" applyProtection="0"/>
    <xf numFmtId="0" fontId="2" fillId="0" borderId="0"/>
    <xf numFmtId="0" fontId="2" fillId="70" borderId="0" applyNumberFormat="0" applyBorder="0" applyAlignment="0" applyProtection="0"/>
    <xf numFmtId="0" fontId="2" fillId="74" borderId="0" applyNumberFormat="0" applyBorder="0" applyAlignment="0" applyProtection="0"/>
    <xf numFmtId="0" fontId="2" fillId="78" borderId="0" applyNumberFormat="0" applyBorder="0" applyAlignment="0" applyProtection="0"/>
    <xf numFmtId="0" fontId="2" fillId="82" borderId="0" applyNumberFormat="0" applyBorder="0" applyAlignment="0" applyProtection="0"/>
    <xf numFmtId="0" fontId="2" fillId="86" borderId="0" applyNumberFormat="0" applyBorder="0" applyAlignment="0" applyProtection="0"/>
    <xf numFmtId="0" fontId="2" fillId="90" borderId="0" applyNumberFormat="0" applyBorder="0" applyAlignment="0" applyProtection="0"/>
    <xf numFmtId="0" fontId="2" fillId="94" borderId="95" applyNumberFormat="0" applyFont="0" applyAlignment="0" applyProtection="0"/>
    <xf numFmtId="0" fontId="2" fillId="0" borderId="0"/>
    <xf numFmtId="0" fontId="16" fillId="6"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9" borderId="0" applyNumberFormat="0" applyBorder="0" applyAlignment="0" applyProtection="0"/>
    <xf numFmtId="0" fontId="16" fillId="5" borderId="0" applyNumberFormat="0" applyBorder="0" applyAlignment="0" applyProtection="0"/>
    <xf numFmtId="0" fontId="16" fillId="3" borderId="0" applyNumberFormat="0" applyBorder="0" applyAlignment="0" applyProtection="0"/>
    <xf numFmtId="0" fontId="2" fillId="68" borderId="0" applyNumberFormat="0" applyBorder="0" applyAlignment="0" applyProtection="0"/>
    <xf numFmtId="0" fontId="2" fillId="72" borderId="0" applyNumberFormat="0" applyBorder="0" applyAlignment="0" applyProtection="0"/>
    <xf numFmtId="0" fontId="2" fillId="76" borderId="0" applyNumberFormat="0" applyBorder="0" applyAlignment="0" applyProtection="0"/>
    <xf numFmtId="0" fontId="2" fillId="80" borderId="0" applyNumberFormat="0" applyBorder="0" applyAlignment="0" applyProtection="0"/>
    <xf numFmtId="0" fontId="2" fillId="84" borderId="0" applyNumberFormat="0" applyBorder="0" applyAlignment="0" applyProtection="0"/>
    <xf numFmtId="0" fontId="2" fillId="88" borderId="0" applyNumberFormat="0" applyBorder="0" applyAlignment="0" applyProtection="0"/>
    <xf numFmtId="0" fontId="16" fillId="12" borderId="0" applyNumberFormat="0" applyBorder="0" applyAlignment="0" applyProtection="0"/>
    <xf numFmtId="0" fontId="16" fillId="10" borderId="0" applyNumberFormat="0" applyBorder="0" applyAlignment="0" applyProtection="0"/>
    <xf numFmtId="0" fontId="16" fillId="13" borderId="0" applyNumberFormat="0" applyBorder="0" applyAlignment="0" applyProtection="0"/>
    <xf numFmtId="0" fontId="16" fillId="9" borderId="0" applyNumberFormat="0" applyBorder="0" applyAlignment="0" applyProtection="0"/>
    <xf numFmtId="0" fontId="16" fillId="12" borderId="0" applyNumberFormat="0" applyBorder="0" applyAlignment="0" applyProtection="0"/>
    <xf numFmtId="0" fontId="16" fillId="14" borderId="0" applyNumberFormat="0" applyBorder="0" applyAlignment="0" applyProtection="0"/>
    <xf numFmtId="0" fontId="2" fillId="69" borderId="0" applyNumberFormat="0" applyBorder="0" applyAlignment="0" applyProtection="0"/>
    <xf numFmtId="0" fontId="2" fillId="73" borderId="0" applyNumberFormat="0" applyBorder="0" applyAlignment="0" applyProtection="0"/>
    <xf numFmtId="0" fontId="2" fillId="77" borderId="0" applyNumberFormat="0" applyBorder="0" applyAlignment="0" applyProtection="0"/>
    <xf numFmtId="0" fontId="2" fillId="81" borderId="0" applyNumberFormat="0" applyBorder="0" applyAlignment="0" applyProtection="0"/>
    <xf numFmtId="0" fontId="2" fillId="85" borderId="0" applyNumberFormat="0" applyBorder="0" applyAlignment="0" applyProtection="0"/>
    <xf numFmtId="0" fontId="2" fillId="89" borderId="0" applyNumberFormat="0" applyBorder="0" applyAlignment="0" applyProtection="0"/>
    <xf numFmtId="0" fontId="17" fillId="17" borderId="0" applyNumberFormat="0" applyBorder="0" applyAlignment="0" applyProtection="0"/>
    <xf numFmtId="0" fontId="17" fillId="10" borderId="0" applyNumberFormat="0" applyBorder="0" applyAlignment="0" applyProtection="0"/>
    <xf numFmtId="0" fontId="17" fillId="13" borderId="0" applyNumberFormat="0" applyBorder="0" applyAlignment="0" applyProtection="0"/>
    <xf numFmtId="0" fontId="17" fillId="18" borderId="0" applyNumberFormat="0" applyBorder="0" applyAlignment="0" applyProtection="0"/>
    <xf numFmtId="0" fontId="17" fillId="15" borderId="0" applyNumberFormat="0" applyBorder="0" applyAlignment="0" applyProtection="0"/>
    <xf numFmtId="0" fontId="17" fillId="19" borderId="0" applyNumberFormat="0" applyBorder="0" applyAlignment="0" applyProtection="0"/>
    <xf numFmtId="0" fontId="2" fillId="70" borderId="0" applyNumberFormat="0" applyBorder="0" applyAlignment="0" applyProtection="0"/>
    <xf numFmtId="0" fontId="2" fillId="74" borderId="0" applyNumberFormat="0" applyBorder="0" applyAlignment="0" applyProtection="0"/>
    <xf numFmtId="0" fontId="2" fillId="78" borderId="0" applyNumberFormat="0" applyBorder="0" applyAlignment="0" applyProtection="0"/>
    <xf numFmtId="0" fontId="2" fillId="82" borderId="0" applyNumberFormat="0" applyBorder="0" applyAlignment="0" applyProtection="0"/>
    <xf numFmtId="0" fontId="2" fillId="86" borderId="0" applyNumberFormat="0" applyBorder="0" applyAlignment="0" applyProtection="0"/>
    <xf numFmtId="0" fontId="2" fillId="90" borderId="0" applyNumberFormat="0" applyBorder="0" applyAlignment="0" applyProtection="0"/>
    <xf numFmtId="0" fontId="17" fillId="25"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7" fillId="18" borderId="0" applyNumberFormat="0" applyBorder="0" applyAlignment="0" applyProtection="0"/>
    <xf numFmtId="0" fontId="17" fillId="15" borderId="0" applyNumberFormat="0" applyBorder="0" applyAlignment="0" applyProtection="0"/>
    <xf numFmtId="0" fontId="17" fillId="23" borderId="0" applyNumberFormat="0" applyBorder="0" applyAlignment="0" applyProtection="0"/>
    <xf numFmtId="0" fontId="24" fillId="7" borderId="0" applyNumberFormat="0" applyBorder="0" applyAlignment="0" applyProtection="0"/>
    <xf numFmtId="0" fontId="19" fillId="2" borderId="1" applyNumberFormat="0" applyAlignment="0" applyProtection="0"/>
    <xf numFmtId="0" fontId="20" fillId="16" borderId="2" applyNumberFormat="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0" fontId="28" fillId="0" borderId="0" applyNumberFormat="0" applyFill="0" applyBorder="0" applyAlignment="0" applyProtection="0"/>
    <xf numFmtId="0" fontId="18" fillId="8" borderId="0" applyNumberFormat="0" applyBorder="0" applyAlignment="0" applyProtection="0"/>
    <xf numFmtId="0" fontId="50" fillId="0" borderId="5" applyNumberFormat="0" applyFill="0" applyAlignment="0" applyProtection="0"/>
    <xf numFmtId="0" fontId="31" fillId="0" borderId="6" applyNumberFormat="0" applyFill="0" applyAlignment="0" applyProtection="0"/>
    <xf numFmtId="0" fontId="22" fillId="0" borderId="11" applyNumberFormat="0" applyFill="0" applyAlignment="0" applyProtection="0"/>
    <xf numFmtId="0" fontId="52" fillId="0" borderId="0" applyNumberFormat="0" applyFill="0" applyBorder="0" applyAlignment="0" applyProtection="0"/>
    <xf numFmtId="0" fontId="23" fillId="3" borderId="1" applyNumberFormat="0" applyAlignment="0" applyProtection="0"/>
    <xf numFmtId="0" fontId="21" fillId="0" borderId="3" applyNumberFormat="0" applyFill="0" applyAlignment="0" applyProtection="0"/>
    <xf numFmtId="0" fontId="25" fillId="11" borderId="0" applyNumberFormat="0" applyBorder="0" applyAlignment="0" applyProtection="0"/>
    <xf numFmtId="0" fontId="4" fillId="0" borderId="0"/>
    <xf numFmtId="0" fontId="2" fillId="94" borderId="95" applyNumberFormat="0" applyFont="0" applyAlignment="0" applyProtection="0"/>
    <xf numFmtId="0" fontId="53" fillId="4" borderId="9" applyNumberFormat="0" applyFont="0" applyAlignment="0" applyProtection="0"/>
    <xf numFmtId="0" fontId="26" fillId="2" borderId="10" applyNumberFormat="0" applyAlignment="0" applyProtection="0"/>
    <xf numFmtId="0" fontId="29" fillId="0" borderId="0" applyNumberFormat="0" applyFill="0" applyBorder="0" applyAlignment="0" applyProtection="0"/>
    <xf numFmtId="0" fontId="32" fillId="0" borderId="12" applyNumberFormat="0" applyFill="0" applyAlignment="0" applyProtection="0"/>
    <xf numFmtId="0" fontId="27" fillId="0" borderId="0" applyNumberFormat="0" applyFill="0" applyBorder="0" applyAlignment="0" applyProtection="0"/>
    <xf numFmtId="0" fontId="2" fillId="68" borderId="0" applyNumberFormat="0" applyBorder="0" applyAlignment="0" applyProtection="0"/>
    <xf numFmtId="0" fontId="2" fillId="69" borderId="0" applyNumberFormat="0" applyBorder="0" applyAlignment="0" applyProtection="0"/>
    <xf numFmtId="0" fontId="2" fillId="72" borderId="0" applyNumberFormat="0" applyBorder="0" applyAlignment="0" applyProtection="0"/>
    <xf numFmtId="0" fontId="2" fillId="73" borderId="0" applyNumberFormat="0" applyBorder="0" applyAlignment="0" applyProtection="0"/>
    <xf numFmtId="0" fontId="2" fillId="76" borderId="0" applyNumberFormat="0" applyBorder="0" applyAlignment="0" applyProtection="0"/>
    <xf numFmtId="0" fontId="2" fillId="77" borderId="0" applyNumberFormat="0" applyBorder="0" applyAlignment="0" applyProtection="0"/>
    <xf numFmtId="0" fontId="2" fillId="80" borderId="0" applyNumberFormat="0" applyBorder="0" applyAlignment="0" applyProtection="0"/>
    <xf numFmtId="0" fontId="2" fillId="81" borderId="0" applyNumberFormat="0" applyBorder="0" applyAlignment="0" applyProtection="0"/>
    <xf numFmtId="0" fontId="2" fillId="84" borderId="0" applyNumberFormat="0" applyBorder="0" applyAlignment="0" applyProtection="0"/>
    <xf numFmtId="0" fontId="2" fillId="85" borderId="0" applyNumberFormat="0" applyBorder="0" applyAlignment="0" applyProtection="0"/>
    <xf numFmtId="0" fontId="2" fillId="88" borderId="0" applyNumberFormat="0" applyBorder="0" applyAlignment="0" applyProtection="0"/>
    <xf numFmtId="0" fontId="2" fillId="89" borderId="0" applyNumberFormat="0" applyBorder="0" applyAlignment="0" applyProtection="0"/>
    <xf numFmtId="0" fontId="2" fillId="0" borderId="0"/>
    <xf numFmtId="0" fontId="2" fillId="70" borderId="0" applyNumberFormat="0" applyBorder="0" applyAlignment="0" applyProtection="0"/>
    <xf numFmtId="0" fontId="2" fillId="74" borderId="0" applyNumberFormat="0" applyBorder="0" applyAlignment="0" applyProtection="0"/>
    <xf numFmtId="0" fontId="2" fillId="78" borderId="0" applyNumberFormat="0" applyBorder="0" applyAlignment="0" applyProtection="0"/>
    <xf numFmtId="0" fontId="2" fillId="82" borderId="0" applyNumberFormat="0" applyBorder="0" applyAlignment="0" applyProtection="0"/>
    <xf numFmtId="0" fontId="2" fillId="86" borderId="0" applyNumberFormat="0" applyBorder="0" applyAlignment="0" applyProtection="0"/>
    <xf numFmtId="0" fontId="2" fillId="90" borderId="0" applyNumberFormat="0" applyBorder="0" applyAlignment="0" applyProtection="0"/>
    <xf numFmtId="0" fontId="2" fillId="94" borderId="95" applyNumberFormat="0" applyFont="0" applyAlignment="0" applyProtection="0"/>
    <xf numFmtId="0" fontId="2" fillId="68" borderId="0" applyNumberFormat="0" applyBorder="0" applyAlignment="0" applyProtection="0"/>
    <xf numFmtId="0" fontId="2" fillId="69" borderId="0" applyNumberFormat="0" applyBorder="0" applyAlignment="0" applyProtection="0"/>
    <xf numFmtId="0" fontId="2" fillId="72" borderId="0" applyNumberFormat="0" applyBorder="0" applyAlignment="0" applyProtection="0"/>
    <xf numFmtId="0" fontId="2" fillId="73" borderId="0" applyNumberFormat="0" applyBorder="0" applyAlignment="0" applyProtection="0"/>
    <xf numFmtId="0" fontId="2" fillId="76" borderId="0" applyNumberFormat="0" applyBorder="0" applyAlignment="0" applyProtection="0"/>
    <xf numFmtId="0" fontId="2" fillId="77" borderId="0" applyNumberFormat="0" applyBorder="0" applyAlignment="0" applyProtection="0"/>
    <xf numFmtId="0" fontId="2" fillId="80" borderId="0" applyNumberFormat="0" applyBorder="0" applyAlignment="0" applyProtection="0"/>
    <xf numFmtId="0" fontId="2" fillId="81" borderId="0" applyNumberFormat="0" applyBorder="0" applyAlignment="0" applyProtection="0"/>
    <xf numFmtId="0" fontId="2" fillId="84" borderId="0" applyNumberFormat="0" applyBorder="0" applyAlignment="0" applyProtection="0"/>
    <xf numFmtId="0" fontId="2" fillId="85" borderId="0" applyNumberFormat="0" applyBorder="0" applyAlignment="0" applyProtection="0"/>
    <xf numFmtId="0" fontId="2" fillId="88" borderId="0" applyNumberFormat="0" applyBorder="0" applyAlignment="0" applyProtection="0"/>
    <xf numFmtId="0" fontId="2" fillId="89" borderId="0" applyNumberFormat="0" applyBorder="0" applyAlignment="0" applyProtection="0"/>
    <xf numFmtId="0" fontId="2" fillId="0" borderId="0"/>
    <xf numFmtId="0" fontId="2" fillId="70" borderId="0" applyNumberFormat="0" applyBorder="0" applyAlignment="0" applyProtection="0"/>
    <xf numFmtId="0" fontId="2" fillId="74" borderId="0" applyNumberFormat="0" applyBorder="0" applyAlignment="0" applyProtection="0"/>
    <xf numFmtId="0" fontId="2" fillId="78" borderId="0" applyNumberFormat="0" applyBorder="0" applyAlignment="0" applyProtection="0"/>
    <xf numFmtId="0" fontId="2" fillId="82" borderId="0" applyNumberFormat="0" applyBorder="0" applyAlignment="0" applyProtection="0"/>
    <xf numFmtId="0" fontId="2" fillId="86" borderId="0" applyNumberFormat="0" applyBorder="0" applyAlignment="0" applyProtection="0"/>
    <xf numFmtId="0" fontId="2" fillId="90" borderId="0" applyNumberFormat="0" applyBorder="0" applyAlignment="0" applyProtection="0"/>
    <xf numFmtId="0" fontId="2" fillId="94" borderId="95" applyNumberFormat="0" applyFont="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0" fontId="32" fillId="0" borderId="143" applyNumberFormat="0" applyFill="0" applyAlignment="0" applyProtection="0"/>
    <xf numFmtId="0" fontId="32" fillId="0" borderId="143" applyNumberFormat="0" applyFill="0" applyAlignment="0" applyProtection="0"/>
    <xf numFmtId="0" fontId="32" fillId="0" borderId="143" applyNumberFormat="0" applyFill="0" applyAlignment="0" applyProtection="0"/>
    <xf numFmtId="0" fontId="32" fillId="0" borderId="143" applyNumberFormat="0" applyFill="0" applyAlignment="0" applyProtection="0"/>
    <xf numFmtId="0" fontId="32" fillId="0" borderId="143" applyNumberFormat="0" applyFill="0" applyAlignment="0" applyProtection="0"/>
    <xf numFmtId="0" fontId="32" fillId="0" borderId="143" applyNumberFormat="0" applyFill="0" applyAlignment="0" applyProtection="0"/>
    <xf numFmtId="0" fontId="32" fillId="0" borderId="143" applyNumberFormat="0" applyFill="0" applyAlignment="0" applyProtection="0"/>
    <xf numFmtId="0" fontId="32" fillId="0" borderId="143" applyNumberFormat="0" applyFill="0" applyAlignment="0" applyProtection="0"/>
    <xf numFmtId="0" fontId="32" fillId="0" borderId="143" applyNumberFormat="0" applyFill="0" applyAlignment="0" applyProtection="0"/>
    <xf numFmtId="0" fontId="32" fillId="0" borderId="143" applyNumberFormat="0" applyFill="0" applyAlignment="0" applyProtection="0"/>
    <xf numFmtId="0" fontId="32" fillId="0" borderId="143" applyNumberFormat="0" applyFill="0" applyAlignment="0" applyProtection="0"/>
    <xf numFmtId="0" fontId="32" fillId="0" borderId="143" applyNumberFormat="0" applyFill="0" applyAlignment="0" applyProtection="0"/>
    <xf numFmtId="0" fontId="32" fillId="0" borderId="143" applyNumberFormat="0" applyFill="0" applyAlignment="0" applyProtection="0"/>
    <xf numFmtId="0" fontId="32" fillId="0" borderId="143" applyNumberFormat="0" applyFill="0" applyAlignment="0" applyProtection="0"/>
    <xf numFmtId="0" fontId="32" fillId="0" borderId="143" applyNumberFormat="0" applyFill="0" applyAlignment="0" applyProtection="0"/>
    <xf numFmtId="0" fontId="32" fillId="0" borderId="143" applyNumberFormat="0" applyFill="0" applyAlignment="0" applyProtection="0"/>
    <xf numFmtId="0" fontId="32" fillId="0" borderId="143" applyNumberFormat="0" applyFill="0" applyAlignment="0" applyProtection="0"/>
    <xf numFmtId="0" fontId="32" fillId="0" borderId="143" applyNumberFormat="0" applyFill="0" applyAlignment="0" applyProtection="0"/>
    <xf numFmtId="0" fontId="32" fillId="0" borderId="143" applyNumberFormat="0" applyFill="0" applyAlignment="0" applyProtection="0"/>
    <xf numFmtId="0" fontId="26" fillId="2" borderId="142" applyNumberFormat="0" applyAlignment="0" applyProtection="0"/>
    <xf numFmtId="0" fontId="26" fillId="2" borderId="142" applyNumberFormat="0" applyAlignment="0" applyProtection="0"/>
    <xf numFmtId="0" fontId="26" fillId="2" borderId="142" applyNumberFormat="0" applyAlignment="0" applyProtection="0"/>
    <xf numFmtId="0" fontId="26" fillId="2" borderId="142" applyNumberFormat="0" applyAlignment="0" applyProtection="0"/>
    <xf numFmtId="0" fontId="26" fillId="2" borderId="142" applyNumberFormat="0" applyAlignment="0" applyProtection="0"/>
    <xf numFmtId="0" fontId="26" fillId="2" borderId="142" applyNumberFormat="0" applyAlignment="0" applyProtection="0"/>
    <xf numFmtId="0" fontId="26" fillId="2" borderId="142" applyNumberFormat="0" applyAlignment="0" applyProtection="0"/>
    <xf numFmtId="0" fontId="26" fillId="2" borderId="142" applyNumberFormat="0" applyAlignment="0" applyProtection="0"/>
    <xf numFmtId="0" fontId="26" fillId="2" borderId="142" applyNumberFormat="0" applyAlignment="0" applyProtection="0"/>
    <xf numFmtId="0" fontId="26" fillId="2" borderId="142" applyNumberFormat="0" applyAlignment="0" applyProtection="0"/>
    <xf numFmtId="0" fontId="26" fillId="2" borderId="142" applyNumberFormat="0" applyAlignment="0" applyProtection="0"/>
    <xf numFmtId="0" fontId="26" fillId="2" borderId="142" applyNumberFormat="0" applyAlignment="0" applyProtection="0"/>
    <xf numFmtId="0" fontId="26" fillId="2" borderId="142" applyNumberFormat="0" applyAlignment="0" applyProtection="0"/>
    <xf numFmtId="0" fontId="26" fillId="2" borderId="142" applyNumberFormat="0" applyAlignment="0" applyProtection="0"/>
    <xf numFmtId="0" fontId="26" fillId="2" borderId="142" applyNumberFormat="0" applyAlignment="0" applyProtection="0"/>
    <xf numFmtId="0" fontId="26" fillId="2" borderId="142" applyNumberFormat="0" applyAlignment="0" applyProtection="0"/>
    <xf numFmtId="0" fontId="26" fillId="2" borderId="142" applyNumberFormat="0" applyAlignment="0" applyProtection="0"/>
    <xf numFmtId="0" fontId="26" fillId="2" borderId="142" applyNumberFormat="0" applyAlignment="0" applyProtection="0"/>
    <xf numFmtId="0" fontId="53" fillId="4" borderId="141" applyNumberFormat="0" applyFont="0" applyAlignment="0" applyProtection="0"/>
    <xf numFmtId="0" fontId="26" fillId="24" borderId="142" applyNumberFormat="0" applyAlignment="0" applyProtection="0"/>
    <xf numFmtId="0" fontId="23" fillId="3" borderId="140" applyNumberFormat="0" applyAlignment="0" applyProtection="0"/>
    <xf numFmtId="0" fontId="23" fillId="3" borderId="140" applyNumberFormat="0" applyAlignment="0" applyProtection="0"/>
    <xf numFmtId="0" fontId="23" fillId="3" borderId="140" applyNumberFormat="0" applyAlignment="0" applyProtection="0"/>
    <xf numFmtId="0" fontId="23" fillId="3" borderId="140" applyNumberFormat="0" applyAlignment="0" applyProtection="0"/>
    <xf numFmtId="0" fontId="23" fillId="3" borderId="140" applyNumberFormat="0" applyAlignment="0" applyProtection="0"/>
    <xf numFmtId="0" fontId="23" fillId="3" borderId="140" applyNumberFormat="0" applyAlignment="0" applyProtection="0"/>
    <xf numFmtId="0" fontId="23" fillId="3" borderId="140" applyNumberFormat="0" applyAlignment="0" applyProtection="0"/>
    <xf numFmtId="0" fontId="23" fillId="3" borderId="140" applyNumberFormat="0" applyAlignment="0" applyProtection="0"/>
    <xf numFmtId="0" fontId="23" fillId="3" borderId="140" applyNumberFormat="0" applyAlignment="0" applyProtection="0"/>
    <xf numFmtId="0" fontId="23" fillId="3" borderId="140" applyNumberFormat="0" applyAlignment="0" applyProtection="0"/>
    <xf numFmtId="0" fontId="23" fillId="3" borderId="140" applyNumberFormat="0" applyAlignment="0" applyProtection="0"/>
    <xf numFmtId="0" fontId="23" fillId="3" borderId="140" applyNumberFormat="0" applyAlignment="0" applyProtection="0"/>
    <xf numFmtId="0" fontId="19" fillId="24" borderId="135" applyNumberFormat="0" applyAlignment="0" applyProtection="0"/>
    <xf numFmtId="0" fontId="19" fillId="2" borderId="135" applyNumberFormat="0" applyAlignment="0" applyProtection="0"/>
    <xf numFmtId="0" fontId="19" fillId="2" borderId="135" applyNumberFormat="0" applyAlignment="0" applyProtection="0"/>
    <xf numFmtId="0" fontId="19" fillId="2" borderId="135" applyNumberFormat="0" applyAlignment="0" applyProtection="0"/>
    <xf numFmtId="0" fontId="19" fillId="2" borderId="135" applyNumberFormat="0" applyAlignment="0" applyProtection="0"/>
    <xf numFmtId="0" fontId="19" fillId="2" borderId="135" applyNumberFormat="0" applyAlignment="0" applyProtection="0"/>
    <xf numFmtId="0" fontId="19" fillId="2" borderId="135" applyNumberFormat="0" applyAlignment="0" applyProtection="0"/>
    <xf numFmtId="0" fontId="19" fillId="2" borderId="135" applyNumberFormat="0" applyAlignment="0" applyProtection="0"/>
    <xf numFmtId="0" fontId="19" fillId="2" borderId="135" applyNumberFormat="0" applyAlignment="0" applyProtection="0"/>
    <xf numFmtId="0" fontId="19" fillId="2" borderId="135" applyNumberFormat="0" applyAlignment="0" applyProtection="0"/>
    <xf numFmtId="0" fontId="19" fillId="2" borderId="135" applyNumberFormat="0" applyAlignment="0" applyProtection="0"/>
    <xf numFmtId="0" fontId="19" fillId="2" borderId="135" applyNumberFormat="0" applyAlignment="0" applyProtection="0"/>
    <xf numFmtId="0" fontId="19" fillId="2" borderId="135" applyNumberFormat="0" applyAlignment="0" applyProtection="0"/>
    <xf numFmtId="0" fontId="19" fillId="2" borderId="135" applyNumberFormat="0" applyAlignment="0" applyProtection="0"/>
    <xf numFmtId="0" fontId="19" fillId="2" borderId="135" applyNumberFormat="0" applyAlignment="0" applyProtection="0"/>
    <xf numFmtId="0" fontId="19" fillId="2" borderId="135" applyNumberFormat="0" applyAlignment="0" applyProtection="0"/>
    <xf numFmtId="0" fontId="19" fillId="2" borderId="135" applyNumberFormat="0" applyAlignment="0" applyProtection="0"/>
    <xf numFmtId="0" fontId="19" fillId="2" borderId="135" applyNumberFormat="0" applyAlignment="0" applyProtection="0"/>
    <xf numFmtId="0" fontId="19" fillId="2" borderId="135" applyNumberFormat="0" applyAlignment="0" applyProtection="0"/>
    <xf numFmtId="0" fontId="19" fillId="2" borderId="140" applyNumberFormat="0" applyAlignment="0" applyProtection="0"/>
    <xf numFmtId="0" fontId="19" fillId="2" borderId="140" applyNumberFormat="0" applyAlignment="0" applyProtection="0"/>
    <xf numFmtId="0" fontId="19" fillId="2" borderId="140" applyNumberFormat="0" applyAlignment="0" applyProtection="0"/>
    <xf numFmtId="0" fontId="19" fillId="2" borderId="140" applyNumberFormat="0" applyAlignment="0" applyProtection="0"/>
    <xf numFmtId="0" fontId="19" fillId="2" borderId="140" applyNumberFormat="0" applyAlignment="0" applyProtection="0"/>
    <xf numFmtId="0" fontId="19" fillId="2" borderId="140" applyNumberFormat="0" applyAlignment="0" applyProtection="0"/>
    <xf numFmtId="0" fontId="19" fillId="2" borderId="140" applyNumberFormat="0" applyAlignment="0" applyProtection="0"/>
    <xf numFmtId="0" fontId="19" fillId="2" borderId="140" applyNumberFormat="0" applyAlignment="0" applyProtection="0"/>
    <xf numFmtId="0" fontId="19" fillId="2" borderId="140" applyNumberFormat="0" applyAlignment="0" applyProtection="0"/>
    <xf numFmtId="0" fontId="19" fillId="2" borderId="140" applyNumberFormat="0" applyAlignment="0" applyProtection="0"/>
    <xf numFmtId="0" fontId="19" fillId="2" borderId="140" applyNumberFormat="0" applyAlignment="0" applyProtection="0"/>
    <xf numFmtId="0" fontId="19" fillId="2" borderId="140" applyNumberFormat="0" applyAlignment="0" applyProtection="0"/>
    <xf numFmtId="0" fontId="19" fillId="2" borderId="140" applyNumberFormat="0" applyAlignment="0" applyProtection="0"/>
    <xf numFmtId="0" fontId="19" fillId="2" borderId="140" applyNumberFormat="0" applyAlignment="0" applyProtection="0"/>
    <xf numFmtId="0" fontId="19" fillId="2" borderId="140" applyNumberFormat="0" applyAlignment="0" applyProtection="0"/>
    <xf numFmtId="0" fontId="19" fillId="2" borderId="140" applyNumberFormat="0" applyAlignment="0" applyProtection="0"/>
    <xf numFmtId="0" fontId="23" fillId="3" borderId="135" applyNumberFormat="0" applyAlignment="0" applyProtection="0"/>
    <xf numFmtId="0" fontId="23" fillId="3" borderId="135" applyNumberFormat="0" applyAlignment="0" applyProtection="0"/>
    <xf numFmtId="0" fontId="23" fillId="3" borderId="135" applyNumberFormat="0" applyAlignment="0" applyProtection="0"/>
    <xf numFmtId="0" fontId="23" fillId="3" borderId="135" applyNumberFormat="0" applyAlignment="0" applyProtection="0"/>
    <xf numFmtId="0" fontId="23" fillId="3" borderId="135" applyNumberFormat="0" applyAlignment="0" applyProtection="0"/>
    <xf numFmtId="0" fontId="23" fillId="3" borderId="135" applyNumberFormat="0" applyAlignment="0" applyProtection="0"/>
    <xf numFmtId="0" fontId="23" fillId="3" borderId="135" applyNumberFormat="0" applyAlignment="0" applyProtection="0"/>
    <xf numFmtId="0" fontId="23" fillId="3" borderId="135" applyNumberFormat="0" applyAlignment="0" applyProtection="0"/>
    <xf numFmtId="0" fontId="23" fillId="3" borderId="135" applyNumberFormat="0" applyAlignment="0" applyProtection="0"/>
    <xf numFmtId="0" fontId="23" fillId="3" borderId="135" applyNumberFormat="0" applyAlignment="0" applyProtection="0"/>
    <xf numFmtId="0" fontId="23" fillId="3" borderId="135" applyNumberFormat="0" applyAlignment="0" applyProtection="0"/>
    <xf numFmtId="0" fontId="23" fillId="3" borderId="135" applyNumberFormat="0" applyAlignment="0" applyProtection="0"/>
    <xf numFmtId="0" fontId="23" fillId="3" borderId="135" applyNumberFormat="0" applyAlignment="0" applyProtection="0"/>
    <xf numFmtId="0" fontId="23" fillId="3" borderId="135" applyNumberFormat="0" applyAlignment="0" applyProtection="0"/>
    <xf numFmtId="0" fontId="23" fillId="3" borderId="135" applyNumberFormat="0" applyAlignment="0" applyProtection="0"/>
    <xf numFmtId="0" fontId="23" fillId="3" borderId="135" applyNumberFormat="0" applyAlignment="0" applyProtection="0"/>
    <xf numFmtId="0" fontId="23" fillId="3" borderId="135" applyNumberFormat="0" applyAlignment="0" applyProtection="0"/>
    <xf numFmtId="0" fontId="23" fillId="3" borderId="135" applyNumberFormat="0" applyAlignment="0" applyProtection="0"/>
    <xf numFmtId="0" fontId="19" fillId="2" borderId="140" applyNumberFormat="0" applyAlignment="0" applyProtection="0"/>
    <xf numFmtId="0" fontId="19" fillId="24" borderId="140" applyNumberFormat="0" applyAlignment="0" applyProtection="0"/>
    <xf numFmtId="0" fontId="23" fillId="3" borderId="135" applyNumberFormat="0" applyAlignment="0" applyProtection="0"/>
    <xf numFmtId="0" fontId="23" fillId="3" borderId="135" applyNumberFormat="0" applyAlignment="0" applyProtection="0"/>
    <xf numFmtId="0" fontId="4" fillId="4" borderId="136" applyNumberFormat="0" applyFont="0" applyAlignment="0" applyProtection="0"/>
    <xf numFmtId="0" fontId="4" fillId="4" borderId="136" applyNumberFormat="0" applyFont="0" applyAlignment="0" applyProtection="0"/>
    <xf numFmtId="0" fontId="4" fillId="4" borderId="136" applyNumberFormat="0" applyFont="0" applyAlignment="0" applyProtection="0"/>
    <xf numFmtId="0" fontId="4" fillId="4" borderId="136" applyNumberFormat="0" applyFont="0" applyAlignment="0" applyProtection="0"/>
    <xf numFmtId="0" fontId="4" fillId="4" borderId="136" applyNumberFormat="0" applyFont="0" applyAlignment="0" applyProtection="0"/>
    <xf numFmtId="0" fontId="4" fillId="4" borderId="136" applyNumberFormat="0" applyFont="0" applyAlignment="0" applyProtection="0"/>
    <xf numFmtId="0" fontId="4" fillId="4" borderId="136" applyNumberFormat="0" applyFont="0" applyAlignment="0" applyProtection="0"/>
    <xf numFmtId="0" fontId="4" fillId="4" borderId="136" applyNumberFormat="0" applyFont="0" applyAlignment="0" applyProtection="0"/>
    <xf numFmtId="0" fontId="4" fillId="4" borderId="136" applyNumberFormat="0" applyFont="0" applyAlignment="0" applyProtection="0"/>
    <xf numFmtId="0" fontId="4" fillId="4" borderId="136" applyNumberFormat="0" applyFont="0" applyAlignment="0" applyProtection="0"/>
    <xf numFmtId="0" fontId="4" fillId="4" borderId="136" applyNumberFormat="0" applyFont="0" applyAlignment="0" applyProtection="0"/>
    <xf numFmtId="0" fontId="4" fillId="4" borderId="136" applyNumberFormat="0" applyFont="0" applyAlignment="0" applyProtection="0"/>
    <xf numFmtId="0" fontId="4" fillId="4" borderId="136" applyNumberFormat="0" applyFont="0" applyAlignment="0" applyProtection="0"/>
    <xf numFmtId="0" fontId="4" fillId="4" borderId="136" applyNumberFormat="0" applyFont="0" applyAlignment="0" applyProtection="0"/>
    <xf numFmtId="0" fontId="4" fillId="4" borderId="136" applyNumberFormat="0" applyFont="0" applyAlignment="0" applyProtection="0"/>
    <xf numFmtId="0" fontId="4" fillId="4" borderId="136" applyNumberFormat="0" applyFont="0" applyAlignment="0" applyProtection="0"/>
    <xf numFmtId="0" fontId="4" fillId="4" borderId="136" applyNumberFormat="0" applyFont="0" applyAlignment="0" applyProtection="0"/>
    <xf numFmtId="0" fontId="4" fillId="4" borderId="136" applyNumberFormat="0" applyFont="0" applyAlignment="0" applyProtection="0"/>
    <xf numFmtId="0" fontId="4" fillId="4" borderId="136" applyNumberFormat="0" applyFont="0" applyAlignment="0" applyProtection="0"/>
    <xf numFmtId="0" fontId="53" fillId="4" borderId="137" applyNumberFormat="0" applyFont="0" applyAlignment="0" applyProtection="0"/>
    <xf numFmtId="0" fontId="53" fillId="4" borderId="137" applyNumberFormat="0" applyFont="0" applyAlignment="0" applyProtection="0"/>
    <xf numFmtId="0" fontId="26" fillId="24" borderId="138" applyNumberFormat="0" applyAlignment="0" applyProtection="0"/>
    <xf numFmtId="0" fontId="26" fillId="2" borderId="138" applyNumberFormat="0" applyAlignment="0" applyProtection="0"/>
    <xf numFmtId="0" fontId="26" fillId="2" borderId="138" applyNumberFormat="0" applyAlignment="0" applyProtection="0"/>
    <xf numFmtId="0" fontId="26" fillId="2" borderId="138" applyNumberFormat="0" applyAlignment="0" applyProtection="0"/>
    <xf numFmtId="0" fontId="26" fillId="2" borderId="138" applyNumberFormat="0" applyAlignment="0" applyProtection="0"/>
    <xf numFmtId="0" fontId="26" fillId="2" borderId="138" applyNumberFormat="0" applyAlignment="0" applyProtection="0"/>
    <xf numFmtId="0" fontId="26" fillId="2" borderId="138" applyNumberFormat="0" applyAlignment="0" applyProtection="0"/>
    <xf numFmtId="0" fontId="26" fillId="2" borderId="138" applyNumberFormat="0" applyAlignment="0" applyProtection="0"/>
    <xf numFmtId="0" fontId="26" fillId="2" borderId="138" applyNumberFormat="0" applyAlignment="0" applyProtection="0"/>
    <xf numFmtId="0" fontId="26" fillId="2" borderId="138" applyNumberFormat="0" applyAlignment="0" applyProtection="0"/>
    <xf numFmtId="0" fontId="26" fillId="2" borderId="138" applyNumberFormat="0" applyAlignment="0" applyProtection="0"/>
    <xf numFmtId="0" fontId="26" fillId="2" borderId="138" applyNumberFormat="0" applyAlignment="0" applyProtection="0"/>
    <xf numFmtId="0" fontId="26" fillId="2" borderId="138" applyNumberFormat="0" applyAlignment="0" applyProtection="0"/>
    <xf numFmtId="0" fontId="26" fillId="2" borderId="138" applyNumberFormat="0" applyAlignment="0" applyProtection="0"/>
    <xf numFmtId="0" fontId="26" fillId="2" borderId="138" applyNumberFormat="0" applyAlignment="0" applyProtection="0"/>
    <xf numFmtId="0" fontId="26" fillId="2" borderId="138" applyNumberFormat="0" applyAlignment="0" applyProtection="0"/>
    <xf numFmtId="0" fontId="26" fillId="2" borderId="138" applyNumberFormat="0" applyAlignment="0" applyProtection="0"/>
    <xf numFmtId="0" fontId="26" fillId="2" borderId="138" applyNumberFormat="0" applyAlignment="0" applyProtection="0"/>
    <xf numFmtId="0" fontId="26" fillId="2" borderId="138" applyNumberFormat="0" applyAlignment="0" applyProtection="0"/>
    <xf numFmtId="0" fontId="32" fillId="0" borderId="139" applyNumberFormat="0" applyFill="0" applyAlignment="0" applyProtection="0"/>
    <xf numFmtId="0" fontId="32" fillId="0" borderId="139" applyNumberFormat="0" applyFill="0" applyAlignment="0" applyProtection="0"/>
    <xf numFmtId="0" fontId="32" fillId="0" borderId="139" applyNumberFormat="0" applyFill="0" applyAlignment="0" applyProtection="0"/>
    <xf numFmtId="0" fontId="32" fillId="0" borderId="139" applyNumberFormat="0" applyFill="0" applyAlignment="0" applyProtection="0"/>
    <xf numFmtId="0" fontId="32" fillId="0" borderId="139" applyNumberFormat="0" applyFill="0" applyAlignment="0" applyProtection="0"/>
    <xf numFmtId="0" fontId="32" fillId="0" borderId="139" applyNumberFormat="0" applyFill="0" applyAlignment="0" applyProtection="0"/>
    <xf numFmtId="0" fontId="32" fillId="0" borderId="139" applyNumberFormat="0" applyFill="0" applyAlignment="0" applyProtection="0"/>
    <xf numFmtId="0" fontId="32" fillId="0" borderId="139" applyNumberFormat="0" applyFill="0" applyAlignment="0" applyProtection="0"/>
    <xf numFmtId="0" fontId="32" fillId="0" borderId="139" applyNumberFormat="0" applyFill="0" applyAlignment="0" applyProtection="0"/>
    <xf numFmtId="0" fontId="32" fillId="0" borderId="139" applyNumberFormat="0" applyFill="0" applyAlignment="0" applyProtection="0"/>
    <xf numFmtId="0" fontId="32" fillId="0" borderId="139" applyNumberFormat="0" applyFill="0" applyAlignment="0" applyProtection="0"/>
    <xf numFmtId="0" fontId="32" fillId="0" borderId="139" applyNumberFormat="0" applyFill="0" applyAlignment="0" applyProtection="0"/>
    <xf numFmtId="0" fontId="32" fillId="0" borderId="139" applyNumberFormat="0" applyFill="0" applyAlignment="0" applyProtection="0"/>
    <xf numFmtId="0" fontId="32" fillId="0" borderId="139" applyNumberFormat="0" applyFill="0" applyAlignment="0" applyProtection="0"/>
    <xf numFmtId="0" fontId="32" fillId="0" borderId="139" applyNumberFormat="0" applyFill="0" applyAlignment="0" applyProtection="0"/>
    <xf numFmtId="0" fontId="32" fillId="0" borderId="139" applyNumberFormat="0" applyFill="0" applyAlignment="0" applyProtection="0"/>
    <xf numFmtId="0" fontId="32" fillId="0" borderId="139" applyNumberFormat="0" applyFill="0" applyAlignment="0" applyProtection="0"/>
    <xf numFmtId="0" fontId="32" fillId="0" borderId="139" applyNumberFormat="0" applyFill="0" applyAlignment="0" applyProtection="0"/>
    <xf numFmtId="0" fontId="32" fillId="0" borderId="139" applyNumberFormat="0" applyFill="0" applyAlignment="0" applyProtection="0"/>
    <xf numFmtId="0" fontId="4" fillId="4" borderId="136" applyNumberFormat="0" applyFont="0" applyAlignment="0" applyProtection="0"/>
    <xf numFmtId="0" fontId="4" fillId="4" borderId="136" applyNumberFormat="0" applyFont="0" applyAlignment="0" applyProtection="0"/>
    <xf numFmtId="0" fontId="4" fillId="4" borderId="136" applyNumberFormat="0" applyFont="0" applyAlignment="0" applyProtection="0"/>
    <xf numFmtId="0" fontId="4" fillId="4" borderId="136" applyNumberFormat="0" applyFont="0" applyAlignment="0" applyProtection="0"/>
    <xf numFmtId="0" fontId="4" fillId="4" borderId="136" applyNumberFormat="0" applyFont="0" applyAlignment="0" applyProtection="0"/>
    <xf numFmtId="0" fontId="4" fillId="4" borderId="136" applyNumberFormat="0" applyFont="0" applyAlignment="0" applyProtection="0"/>
    <xf numFmtId="0" fontId="4" fillId="4" borderId="136" applyNumberFormat="0" applyFont="0" applyAlignment="0" applyProtection="0"/>
    <xf numFmtId="0" fontId="4" fillId="4" borderId="136" applyNumberFormat="0" applyFont="0" applyAlignment="0" applyProtection="0"/>
    <xf numFmtId="0" fontId="4" fillId="4" borderId="136" applyNumberFormat="0" applyFont="0" applyAlignment="0" applyProtection="0"/>
    <xf numFmtId="0" fontId="4" fillId="4" borderId="136" applyNumberFormat="0" applyFont="0" applyAlignment="0" applyProtection="0"/>
    <xf numFmtId="0" fontId="4" fillId="4" borderId="136" applyNumberFormat="0" applyFont="0" applyAlignment="0" applyProtection="0"/>
    <xf numFmtId="0" fontId="4" fillId="4" borderId="136" applyNumberFormat="0" applyFont="0" applyAlignment="0" applyProtection="0"/>
    <xf numFmtId="0" fontId="4" fillId="4" borderId="136" applyNumberFormat="0" applyFont="0" applyAlignment="0" applyProtection="0"/>
    <xf numFmtId="0" fontId="4" fillId="4" borderId="136" applyNumberFormat="0" applyFont="0" applyAlignment="0" applyProtection="0"/>
    <xf numFmtId="0" fontId="4" fillId="4" borderId="136" applyNumberFormat="0" applyFont="0" applyAlignment="0" applyProtection="0"/>
    <xf numFmtId="0" fontId="4" fillId="4" borderId="136" applyNumberFormat="0" applyFont="0" applyAlignment="0" applyProtection="0"/>
    <xf numFmtId="0" fontId="4" fillId="4" borderId="136" applyNumberFormat="0" applyFont="0" applyAlignment="0" applyProtection="0"/>
    <xf numFmtId="0" fontId="4" fillId="4" borderId="136" applyNumberFormat="0" applyFont="0" applyAlignment="0" applyProtection="0"/>
    <xf numFmtId="0" fontId="4" fillId="4" borderId="136" applyNumberFormat="0" applyFont="0" applyAlignment="0" applyProtection="0"/>
    <xf numFmtId="0" fontId="23" fillId="3" borderId="140" applyNumberFormat="0" applyAlignment="0" applyProtection="0"/>
    <xf numFmtId="0" fontId="1" fillId="68" borderId="0" applyNumberFormat="0" applyBorder="0" applyAlignment="0" applyProtection="0"/>
    <xf numFmtId="0" fontId="1" fillId="69" borderId="0" applyNumberFormat="0" applyBorder="0" applyAlignment="0" applyProtection="0"/>
    <xf numFmtId="0" fontId="1" fillId="72" borderId="0" applyNumberFormat="0" applyBorder="0" applyAlignment="0" applyProtection="0"/>
    <xf numFmtId="0" fontId="1" fillId="73" borderId="0" applyNumberFormat="0" applyBorder="0" applyAlignment="0" applyProtection="0"/>
    <xf numFmtId="0" fontId="1" fillId="76" borderId="0" applyNumberFormat="0" applyBorder="0" applyAlignment="0" applyProtection="0"/>
    <xf numFmtId="0" fontId="1" fillId="77" borderId="0" applyNumberFormat="0" applyBorder="0" applyAlignment="0" applyProtection="0"/>
    <xf numFmtId="0" fontId="23" fillId="3" borderId="140" applyNumberFormat="0" applyAlignment="0" applyProtection="0"/>
    <xf numFmtId="0" fontId="1" fillId="80" borderId="0" applyNumberFormat="0" applyBorder="0" applyAlignment="0" applyProtection="0"/>
    <xf numFmtId="0" fontId="1" fillId="81" borderId="0" applyNumberFormat="0" applyBorder="0" applyAlignment="0" applyProtection="0"/>
    <xf numFmtId="0" fontId="23" fillId="3" borderId="140" applyNumberFormat="0" applyAlignment="0" applyProtection="0"/>
    <xf numFmtId="0" fontId="1" fillId="84" borderId="0" applyNumberFormat="0" applyBorder="0" applyAlignment="0" applyProtection="0"/>
    <xf numFmtId="0" fontId="1" fillId="85" borderId="0" applyNumberFormat="0" applyBorder="0" applyAlignment="0" applyProtection="0"/>
    <xf numFmtId="0" fontId="23" fillId="3" borderId="140" applyNumberFormat="0" applyAlignment="0" applyProtection="0"/>
    <xf numFmtId="0" fontId="1" fillId="88" borderId="0" applyNumberFormat="0" applyBorder="0" applyAlignment="0" applyProtection="0"/>
    <xf numFmtId="0" fontId="1" fillId="89" borderId="0" applyNumberFormat="0" applyBorder="0" applyAlignment="0" applyProtection="0"/>
    <xf numFmtId="0" fontId="1" fillId="0" borderId="0"/>
    <xf numFmtId="0" fontId="1" fillId="70" borderId="0" applyNumberFormat="0" applyBorder="0" applyAlignment="0" applyProtection="0"/>
    <xf numFmtId="0" fontId="1" fillId="74" borderId="0" applyNumberFormat="0" applyBorder="0" applyAlignment="0" applyProtection="0"/>
    <xf numFmtId="0" fontId="1" fillId="78" borderId="0" applyNumberFormat="0" applyBorder="0" applyAlignment="0" applyProtection="0"/>
    <xf numFmtId="0" fontId="1" fillId="82" borderId="0" applyNumberFormat="0" applyBorder="0" applyAlignment="0" applyProtection="0"/>
    <xf numFmtId="0" fontId="1" fillId="86" borderId="0" applyNumberFormat="0" applyBorder="0" applyAlignment="0" applyProtection="0"/>
    <xf numFmtId="0" fontId="1" fillId="90" borderId="0" applyNumberFormat="0" applyBorder="0" applyAlignment="0" applyProtection="0"/>
    <xf numFmtId="0" fontId="19" fillId="2" borderId="140" applyNumberFormat="0" applyAlignment="0" applyProtection="0"/>
    <xf numFmtId="0" fontId="1" fillId="94" borderId="95" applyNumberFormat="0" applyFont="0" applyAlignment="0" applyProtection="0"/>
    <xf numFmtId="0" fontId="1" fillId="68" borderId="0" applyNumberFormat="0" applyBorder="0" applyAlignment="0" applyProtection="0"/>
    <xf numFmtId="0" fontId="1" fillId="69" borderId="0" applyNumberFormat="0" applyBorder="0" applyAlignment="0" applyProtection="0"/>
    <xf numFmtId="0" fontId="1" fillId="72" borderId="0" applyNumberFormat="0" applyBorder="0" applyAlignment="0" applyProtection="0"/>
    <xf numFmtId="0" fontId="1" fillId="73" borderId="0" applyNumberFormat="0" applyBorder="0" applyAlignment="0" applyProtection="0"/>
    <xf numFmtId="0" fontId="1" fillId="76" borderId="0" applyNumberFormat="0" applyBorder="0" applyAlignment="0" applyProtection="0"/>
    <xf numFmtId="0" fontId="1" fillId="77" borderId="0" applyNumberFormat="0" applyBorder="0" applyAlignment="0" applyProtection="0"/>
    <xf numFmtId="0" fontId="1" fillId="80" borderId="0" applyNumberFormat="0" applyBorder="0" applyAlignment="0" applyProtection="0"/>
    <xf numFmtId="0" fontId="1" fillId="81" borderId="0" applyNumberFormat="0" applyBorder="0" applyAlignment="0" applyProtection="0"/>
    <xf numFmtId="0" fontId="1" fillId="84" borderId="0" applyNumberFormat="0" applyBorder="0" applyAlignment="0" applyProtection="0"/>
    <xf numFmtId="0" fontId="1" fillId="85" borderId="0" applyNumberFormat="0" applyBorder="0" applyAlignment="0" applyProtection="0"/>
    <xf numFmtId="0" fontId="1" fillId="88" borderId="0" applyNumberFormat="0" applyBorder="0" applyAlignment="0" applyProtection="0"/>
    <xf numFmtId="0" fontId="1" fillId="89" borderId="0" applyNumberFormat="0" applyBorder="0" applyAlignment="0" applyProtection="0"/>
    <xf numFmtId="0" fontId="1" fillId="0" borderId="0"/>
    <xf numFmtId="0" fontId="1" fillId="70" borderId="0" applyNumberFormat="0" applyBorder="0" applyAlignment="0" applyProtection="0"/>
    <xf numFmtId="0" fontId="1" fillId="74" borderId="0" applyNumberFormat="0" applyBorder="0" applyAlignment="0" applyProtection="0"/>
    <xf numFmtId="0" fontId="1" fillId="78" borderId="0" applyNumberFormat="0" applyBorder="0" applyAlignment="0" applyProtection="0"/>
    <xf numFmtId="0" fontId="1" fillId="82" borderId="0" applyNumberFormat="0" applyBorder="0" applyAlignment="0" applyProtection="0"/>
    <xf numFmtId="0" fontId="1" fillId="86" borderId="0" applyNumberFormat="0" applyBorder="0" applyAlignment="0" applyProtection="0"/>
    <xf numFmtId="0" fontId="1" fillId="90" borderId="0" applyNumberFormat="0" applyBorder="0" applyAlignment="0" applyProtection="0"/>
    <xf numFmtId="0" fontId="1" fillId="94" borderId="95" applyNumberFormat="0" applyFont="0" applyAlignment="0" applyProtection="0"/>
    <xf numFmtId="0" fontId="1" fillId="68" borderId="0" applyNumberFormat="0" applyBorder="0" applyAlignment="0" applyProtection="0"/>
    <xf numFmtId="0" fontId="1" fillId="69" borderId="0" applyNumberFormat="0" applyBorder="0" applyAlignment="0" applyProtection="0"/>
    <xf numFmtId="0" fontId="1" fillId="72" borderId="0" applyNumberFormat="0" applyBorder="0" applyAlignment="0" applyProtection="0"/>
    <xf numFmtId="0" fontId="1" fillId="73" borderId="0" applyNumberFormat="0" applyBorder="0" applyAlignment="0" applyProtection="0"/>
    <xf numFmtId="0" fontId="1" fillId="76" borderId="0" applyNumberFormat="0" applyBorder="0" applyAlignment="0" applyProtection="0"/>
    <xf numFmtId="0" fontId="1" fillId="77" borderId="0" applyNumberFormat="0" applyBorder="0" applyAlignment="0" applyProtection="0"/>
    <xf numFmtId="0" fontId="1" fillId="80" borderId="0" applyNumberFormat="0" applyBorder="0" applyAlignment="0" applyProtection="0"/>
    <xf numFmtId="0" fontId="1" fillId="81" borderId="0" applyNumberFormat="0" applyBorder="0" applyAlignment="0" applyProtection="0"/>
    <xf numFmtId="0" fontId="1" fillId="84" borderId="0" applyNumberFormat="0" applyBorder="0" applyAlignment="0" applyProtection="0"/>
    <xf numFmtId="0" fontId="1" fillId="85" borderId="0" applyNumberFormat="0" applyBorder="0" applyAlignment="0" applyProtection="0"/>
    <xf numFmtId="0" fontId="1" fillId="88" borderId="0" applyNumberFormat="0" applyBorder="0" applyAlignment="0" applyProtection="0"/>
    <xf numFmtId="0" fontId="1" fillId="89" borderId="0" applyNumberFormat="0" applyBorder="0" applyAlignment="0" applyProtection="0"/>
    <xf numFmtId="0" fontId="1" fillId="0" borderId="0"/>
    <xf numFmtId="0" fontId="1" fillId="70" borderId="0" applyNumberFormat="0" applyBorder="0" applyAlignment="0" applyProtection="0"/>
    <xf numFmtId="0" fontId="1" fillId="74" borderId="0" applyNumberFormat="0" applyBorder="0" applyAlignment="0" applyProtection="0"/>
    <xf numFmtId="0" fontId="1" fillId="78" borderId="0" applyNumberFormat="0" applyBorder="0" applyAlignment="0" applyProtection="0"/>
    <xf numFmtId="0" fontId="1" fillId="82" borderId="0" applyNumberFormat="0" applyBorder="0" applyAlignment="0" applyProtection="0"/>
    <xf numFmtId="0" fontId="1" fillId="86" borderId="0" applyNumberFormat="0" applyBorder="0" applyAlignment="0" applyProtection="0"/>
    <xf numFmtId="0" fontId="1" fillId="90" borderId="0" applyNumberFormat="0" applyBorder="0" applyAlignment="0" applyProtection="0"/>
    <xf numFmtId="0" fontId="1" fillId="94" borderId="95" applyNumberFormat="0" applyFont="0" applyAlignment="0" applyProtection="0"/>
    <xf numFmtId="0" fontId="1" fillId="68" borderId="0" applyNumberFormat="0" applyBorder="0" applyAlignment="0" applyProtection="0"/>
    <xf numFmtId="0" fontId="1" fillId="69" borderId="0" applyNumberFormat="0" applyBorder="0" applyAlignment="0" applyProtection="0"/>
    <xf numFmtId="0" fontId="1" fillId="72" borderId="0" applyNumberFormat="0" applyBorder="0" applyAlignment="0" applyProtection="0"/>
    <xf numFmtId="0" fontId="1" fillId="73" borderId="0" applyNumberFormat="0" applyBorder="0" applyAlignment="0" applyProtection="0"/>
    <xf numFmtId="0" fontId="1" fillId="76" borderId="0" applyNumberFormat="0" applyBorder="0" applyAlignment="0" applyProtection="0"/>
    <xf numFmtId="0" fontId="1" fillId="77" borderId="0" applyNumberFormat="0" applyBorder="0" applyAlignment="0" applyProtection="0"/>
    <xf numFmtId="0" fontId="1" fillId="80" borderId="0" applyNumberFormat="0" applyBorder="0" applyAlignment="0" applyProtection="0"/>
    <xf numFmtId="0" fontId="1" fillId="81" borderId="0" applyNumberFormat="0" applyBorder="0" applyAlignment="0" applyProtection="0"/>
    <xf numFmtId="0" fontId="1" fillId="84" borderId="0" applyNumberFormat="0" applyBorder="0" applyAlignment="0" applyProtection="0"/>
    <xf numFmtId="0" fontId="1" fillId="85" borderId="0" applyNumberFormat="0" applyBorder="0" applyAlignment="0" applyProtection="0"/>
    <xf numFmtId="0" fontId="1" fillId="88" borderId="0" applyNumberFormat="0" applyBorder="0" applyAlignment="0" applyProtection="0"/>
    <xf numFmtId="0" fontId="1" fillId="89" borderId="0" applyNumberFormat="0" applyBorder="0" applyAlignment="0" applyProtection="0"/>
    <xf numFmtId="0" fontId="1" fillId="0" borderId="0"/>
    <xf numFmtId="0" fontId="1" fillId="70" borderId="0" applyNumberFormat="0" applyBorder="0" applyAlignment="0" applyProtection="0"/>
    <xf numFmtId="0" fontId="1" fillId="74" borderId="0" applyNumberFormat="0" applyBorder="0" applyAlignment="0" applyProtection="0"/>
    <xf numFmtId="0" fontId="1" fillId="78" borderId="0" applyNumberFormat="0" applyBorder="0" applyAlignment="0" applyProtection="0"/>
    <xf numFmtId="0" fontId="1" fillId="82" borderId="0" applyNumberFormat="0" applyBorder="0" applyAlignment="0" applyProtection="0"/>
    <xf numFmtId="0" fontId="1" fillId="86" borderId="0" applyNumberFormat="0" applyBorder="0" applyAlignment="0" applyProtection="0"/>
    <xf numFmtId="0" fontId="1" fillId="90" borderId="0" applyNumberFormat="0" applyBorder="0" applyAlignment="0" applyProtection="0"/>
    <xf numFmtId="0" fontId="1" fillId="94" borderId="95" applyNumberFormat="0" applyFont="0" applyAlignment="0" applyProtection="0"/>
    <xf numFmtId="0" fontId="1" fillId="0" borderId="0"/>
    <xf numFmtId="0" fontId="1" fillId="68" borderId="0" applyNumberFormat="0" applyBorder="0" applyAlignment="0" applyProtection="0"/>
    <xf numFmtId="0" fontId="1" fillId="72" borderId="0" applyNumberFormat="0" applyBorder="0" applyAlignment="0" applyProtection="0"/>
    <xf numFmtId="0" fontId="1" fillId="76" borderId="0" applyNumberFormat="0" applyBorder="0" applyAlignment="0" applyProtection="0"/>
    <xf numFmtId="0" fontId="1" fillId="80" borderId="0" applyNumberFormat="0" applyBorder="0" applyAlignment="0" applyProtection="0"/>
    <xf numFmtId="0" fontId="1" fillId="84" borderId="0" applyNumberFormat="0" applyBorder="0" applyAlignment="0" applyProtection="0"/>
    <xf numFmtId="0" fontId="1" fillId="88" borderId="0" applyNumberFormat="0" applyBorder="0" applyAlignment="0" applyProtection="0"/>
    <xf numFmtId="0" fontId="1" fillId="69" borderId="0" applyNumberFormat="0" applyBorder="0" applyAlignment="0" applyProtection="0"/>
    <xf numFmtId="0" fontId="1" fillId="73" borderId="0" applyNumberFormat="0" applyBorder="0" applyAlignment="0" applyProtection="0"/>
    <xf numFmtId="0" fontId="1" fillId="77" borderId="0" applyNumberFormat="0" applyBorder="0" applyAlignment="0" applyProtection="0"/>
    <xf numFmtId="0" fontId="1" fillId="81" borderId="0" applyNumberFormat="0" applyBorder="0" applyAlignment="0" applyProtection="0"/>
    <xf numFmtId="0" fontId="1" fillId="85" borderId="0" applyNumberFormat="0" applyBorder="0" applyAlignment="0" applyProtection="0"/>
    <xf numFmtId="0" fontId="1" fillId="89" borderId="0" applyNumberFormat="0" applyBorder="0" applyAlignment="0" applyProtection="0"/>
    <xf numFmtId="0" fontId="53" fillId="4" borderId="141" applyNumberFormat="0" applyFont="0" applyAlignment="0" applyProtection="0"/>
    <xf numFmtId="0" fontId="1" fillId="70" borderId="0" applyNumberFormat="0" applyBorder="0" applyAlignment="0" applyProtection="0"/>
    <xf numFmtId="0" fontId="1" fillId="74" borderId="0" applyNumberFormat="0" applyBorder="0" applyAlignment="0" applyProtection="0"/>
    <xf numFmtId="0" fontId="1" fillId="78" borderId="0" applyNumberFormat="0" applyBorder="0" applyAlignment="0" applyProtection="0"/>
    <xf numFmtId="0" fontId="1" fillId="82" borderId="0" applyNumberFormat="0" applyBorder="0" applyAlignment="0" applyProtection="0"/>
    <xf numFmtId="0" fontId="1" fillId="86" borderId="0" applyNumberFormat="0" applyBorder="0" applyAlignment="0" applyProtection="0"/>
    <xf numFmtId="0" fontId="1" fillId="90" borderId="0" applyNumberFormat="0" applyBorder="0" applyAlignment="0" applyProtection="0"/>
    <xf numFmtId="0" fontId="23" fillId="3" borderId="140" applyNumberFormat="0" applyAlignment="0" applyProtection="0"/>
    <xf numFmtId="0" fontId="23" fillId="3" borderId="140" applyNumberFormat="0" applyAlignment="0" applyProtection="0"/>
    <xf numFmtId="0" fontId="23" fillId="3" borderId="140" applyNumberFormat="0" applyAlignment="0" applyProtection="0"/>
    <xf numFmtId="0" fontId="23" fillId="3" borderId="140" applyNumberFormat="0" applyAlignment="0" applyProtection="0"/>
    <xf numFmtId="0" fontId="19" fillId="2" borderId="135" applyNumberFormat="0" applyAlignment="0" applyProtection="0"/>
    <xf numFmtId="0" fontId="23" fillId="3" borderId="135" applyNumberFormat="0" applyAlignment="0" applyProtection="0"/>
    <xf numFmtId="0" fontId="1" fillId="94" borderId="95" applyNumberFormat="0" applyFont="0" applyAlignment="0" applyProtection="0"/>
    <xf numFmtId="0" fontId="53" fillId="4" borderId="137" applyNumberFormat="0" applyFont="0" applyAlignment="0" applyProtection="0"/>
    <xf numFmtId="0" fontId="26" fillId="2" borderId="138" applyNumberFormat="0" applyAlignment="0" applyProtection="0"/>
    <xf numFmtId="0" fontId="32" fillId="0" borderId="139" applyNumberFormat="0" applyFill="0" applyAlignment="0" applyProtection="0"/>
    <xf numFmtId="0" fontId="1" fillId="68" borderId="0" applyNumberFormat="0" applyBorder="0" applyAlignment="0" applyProtection="0"/>
    <xf numFmtId="0" fontId="1" fillId="69" borderId="0" applyNumberFormat="0" applyBorder="0" applyAlignment="0" applyProtection="0"/>
    <xf numFmtId="0" fontId="1" fillId="72" borderId="0" applyNumberFormat="0" applyBorder="0" applyAlignment="0" applyProtection="0"/>
    <xf numFmtId="0" fontId="1" fillId="73" borderId="0" applyNumberFormat="0" applyBorder="0" applyAlignment="0" applyProtection="0"/>
    <xf numFmtId="0" fontId="1" fillId="76" borderId="0" applyNumberFormat="0" applyBorder="0" applyAlignment="0" applyProtection="0"/>
    <xf numFmtId="0" fontId="1" fillId="77" borderId="0" applyNumberFormat="0" applyBorder="0" applyAlignment="0" applyProtection="0"/>
    <xf numFmtId="0" fontId="1" fillId="80" borderId="0" applyNumberFormat="0" applyBorder="0" applyAlignment="0" applyProtection="0"/>
    <xf numFmtId="0" fontId="1" fillId="81" borderId="0" applyNumberFormat="0" applyBorder="0" applyAlignment="0" applyProtection="0"/>
    <xf numFmtId="0" fontId="1" fillId="84" borderId="0" applyNumberFormat="0" applyBorder="0" applyAlignment="0" applyProtection="0"/>
    <xf numFmtId="0" fontId="1" fillId="85" borderId="0" applyNumberFormat="0" applyBorder="0" applyAlignment="0" applyProtection="0"/>
    <xf numFmtId="0" fontId="1" fillId="88" borderId="0" applyNumberFormat="0" applyBorder="0" applyAlignment="0" applyProtection="0"/>
    <xf numFmtId="0" fontId="1" fillId="89" borderId="0" applyNumberFormat="0" applyBorder="0" applyAlignment="0" applyProtection="0"/>
    <xf numFmtId="0" fontId="1" fillId="0" borderId="0"/>
    <xf numFmtId="0" fontId="1" fillId="70" borderId="0" applyNumberFormat="0" applyBorder="0" applyAlignment="0" applyProtection="0"/>
    <xf numFmtId="0" fontId="1" fillId="74" borderId="0" applyNumberFormat="0" applyBorder="0" applyAlignment="0" applyProtection="0"/>
    <xf numFmtId="0" fontId="1" fillId="78" borderId="0" applyNumberFormat="0" applyBorder="0" applyAlignment="0" applyProtection="0"/>
    <xf numFmtId="0" fontId="1" fillId="82" borderId="0" applyNumberFormat="0" applyBorder="0" applyAlignment="0" applyProtection="0"/>
    <xf numFmtId="0" fontId="1" fillId="86" borderId="0" applyNumberFormat="0" applyBorder="0" applyAlignment="0" applyProtection="0"/>
    <xf numFmtId="0" fontId="1" fillId="90" borderId="0" applyNumberFormat="0" applyBorder="0" applyAlignment="0" applyProtection="0"/>
    <xf numFmtId="0" fontId="1" fillId="94" borderId="95" applyNumberFormat="0" applyFont="0" applyAlignment="0" applyProtection="0"/>
    <xf numFmtId="0" fontId="1" fillId="68" borderId="0" applyNumberFormat="0" applyBorder="0" applyAlignment="0" applyProtection="0"/>
    <xf numFmtId="0" fontId="1" fillId="69" borderId="0" applyNumberFormat="0" applyBorder="0" applyAlignment="0" applyProtection="0"/>
    <xf numFmtId="0" fontId="1" fillId="72" borderId="0" applyNumberFormat="0" applyBorder="0" applyAlignment="0" applyProtection="0"/>
    <xf numFmtId="0" fontId="1" fillId="73" borderId="0" applyNumberFormat="0" applyBorder="0" applyAlignment="0" applyProtection="0"/>
    <xf numFmtId="0" fontId="1" fillId="76" borderId="0" applyNumberFormat="0" applyBorder="0" applyAlignment="0" applyProtection="0"/>
    <xf numFmtId="0" fontId="1" fillId="77" borderId="0" applyNumberFormat="0" applyBorder="0" applyAlignment="0" applyProtection="0"/>
    <xf numFmtId="0" fontId="1" fillId="80" borderId="0" applyNumberFormat="0" applyBorder="0" applyAlignment="0" applyProtection="0"/>
    <xf numFmtId="0" fontId="1" fillId="81" borderId="0" applyNumberFormat="0" applyBorder="0" applyAlignment="0" applyProtection="0"/>
    <xf numFmtId="0" fontId="1" fillId="84" borderId="0" applyNumberFormat="0" applyBorder="0" applyAlignment="0" applyProtection="0"/>
    <xf numFmtId="0" fontId="1" fillId="85" borderId="0" applyNumberFormat="0" applyBorder="0" applyAlignment="0" applyProtection="0"/>
    <xf numFmtId="0" fontId="1" fillId="88" borderId="0" applyNumberFormat="0" applyBorder="0" applyAlignment="0" applyProtection="0"/>
    <xf numFmtId="0" fontId="1" fillId="89" borderId="0" applyNumberFormat="0" applyBorder="0" applyAlignment="0" applyProtection="0"/>
    <xf numFmtId="0" fontId="1" fillId="0" borderId="0"/>
    <xf numFmtId="0" fontId="1" fillId="70" borderId="0" applyNumberFormat="0" applyBorder="0" applyAlignment="0" applyProtection="0"/>
    <xf numFmtId="0" fontId="1" fillId="74" borderId="0" applyNumberFormat="0" applyBorder="0" applyAlignment="0" applyProtection="0"/>
    <xf numFmtId="0" fontId="1" fillId="78" borderId="0" applyNumberFormat="0" applyBorder="0" applyAlignment="0" applyProtection="0"/>
    <xf numFmtId="0" fontId="1" fillId="82" borderId="0" applyNumberFormat="0" applyBorder="0" applyAlignment="0" applyProtection="0"/>
    <xf numFmtId="0" fontId="1" fillId="86" borderId="0" applyNumberFormat="0" applyBorder="0" applyAlignment="0" applyProtection="0"/>
    <xf numFmtId="0" fontId="1" fillId="90" borderId="0" applyNumberFormat="0" applyBorder="0" applyAlignment="0" applyProtection="0"/>
    <xf numFmtId="0" fontId="1" fillId="94" borderId="95" applyNumberFormat="0" applyFont="0" applyAlignment="0" applyProtection="0"/>
    <xf numFmtId="0" fontId="19" fillId="2" borderId="140" applyNumberFormat="0" applyAlignment="0" applyProtection="0"/>
    <xf numFmtId="0" fontId="23" fillId="3" borderId="140" applyNumberFormat="0" applyAlignment="0" applyProtection="0"/>
    <xf numFmtId="0" fontId="53" fillId="4" borderId="141" applyNumberFormat="0" applyFont="0" applyAlignment="0" applyProtection="0"/>
    <xf numFmtId="0" fontId="26" fillId="2" borderId="142" applyNumberFormat="0" applyAlignment="0" applyProtection="0"/>
    <xf numFmtId="0" fontId="32" fillId="0" borderId="143" applyNumberFormat="0" applyFill="0" applyAlignment="0" applyProtection="0"/>
  </cellStyleXfs>
  <cellXfs count="1722">
    <xf numFmtId="0" fontId="0" fillId="0" borderId="0" xfId="0"/>
    <xf numFmtId="0" fontId="11" fillId="0" borderId="16" xfId="676" applyFont="1" applyBorder="1" applyAlignment="1">
      <alignment horizontal="center" vertical="center" wrapText="1"/>
    </xf>
    <xf numFmtId="4" fontId="11" fillId="0" borderId="20" xfId="676" applyNumberFormat="1" applyFont="1" applyBorder="1" applyAlignment="1">
      <alignment horizontal="center" vertical="center" wrapText="1"/>
    </xf>
    <xf numFmtId="0" fontId="14" fillId="0" borderId="0" xfId="0" applyFont="1"/>
    <xf numFmtId="0" fontId="34" fillId="0" borderId="0" xfId="0" applyFont="1" applyAlignment="1">
      <alignment horizontal="center"/>
    </xf>
    <xf numFmtId="0" fontId="35" fillId="0" borderId="0" xfId="0" applyFont="1"/>
    <xf numFmtId="0" fontId="36" fillId="0" borderId="22" xfId="0" applyFont="1" applyBorder="1" applyAlignment="1">
      <alignment horizontal="center"/>
    </xf>
    <xf numFmtId="1" fontId="36" fillId="0" borderId="23" xfId="0" applyNumberFormat="1" applyFont="1" applyBorder="1" applyAlignment="1">
      <alignment horizontal="center"/>
    </xf>
    <xf numFmtId="1" fontId="36" fillId="0" borderId="20" xfId="0" applyNumberFormat="1" applyFont="1" applyBorder="1" applyAlignment="1">
      <alignment horizontal="center"/>
    </xf>
    <xf numFmtId="167" fontId="36" fillId="0" borderId="20" xfId="0" applyNumberFormat="1" applyFont="1" applyBorder="1" applyAlignment="1">
      <alignment horizontal="center"/>
    </xf>
    <xf numFmtId="0" fontId="36" fillId="0" borderId="23" xfId="0" applyFont="1" applyBorder="1" applyAlignment="1">
      <alignment horizontal="center"/>
    </xf>
    <xf numFmtId="0" fontId="36" fillId="0" borderId="0" xfId="0" applyFont="1" applyAlignment="1">
      <alignment horizontal="center"/>
    </xf>
    <xf numFmtId="1" fontId="36" fillId="27" borderId="20" xfId="0" applyNumberFormat="1" applyFont="1" applyFill="1" applyBorder="1" applyAlignment="1">
      <alignment horizontal="center"/>
    </xf>
    <xf numFmtId="168" fontId="36" fillId="27" borderId="20" xfId="0" applyNumberFormat="1" applyFont="1" applyFill="1" applyBorder="1" applyAlignment="1">
      <alignment horizontal="center"/>
    </xf>
    <xf numFmtId="0" fontId="36" fillId="27" borderId="20" xfId="0" applyFont="1" applyFill="1" applyBorder="1" applyAlignment="1">
      <alignment horizontal="center"/>
    </xf>
    <xf numFmtId="1" fontId="36" fillId="28" borderId="23" xfId="0" applyNumberFormat="1" applyFont="1" applyFill="1" applyBorder="1" applyAlignment="1">
      <alignment horizontal="center"/>
    </xf>
    <xf numFmtId="167" fontId="36" fillId="0" borderId="19" xfId="0" applyNumberFormat="1" applyFont="1" applyBorder="1" applyAlignment="1">
      <alignment horizontal="center"/>
    </xf>
    <xf numFmtId="167" fontId="36" fillId="0" borderId="23" xfId="0" applyNumberFormat="1" applyFont="1" applyBorder="1" applyAlignment="1">
      <alignment horizontal="center"/>
    </xf>
    <xf numFmtId="0" fontId="14" fillId="0" borderId="24" xfId="0" applyFont="1" applyBorder="1"/>
    <xf numFmtId="0" fontId="36" fillId="0" borderId="19" xfId="0" applyFont="1" applyBorder="1" applyAlignment="1">
      <alignment horizontal="center"/>
    </xf>
    <xf numFmtId="0" fontId="14" fillId="0" borderId="25" xfId="0" applyFont="1" applyBorder="1"/>
    <xf numFmtId="0" fontId="14" fillId="29" borderId="26" xfId="0" applyFont="1" applyFill="1" applyBorder="1" applyAlignment="1">
      <alignment horizontal="left" indent="1"/>
    </xf>
    <xf numFmtId="0" fontId="14" fillId="0" borderId="24" xfId="0" applyFont="1" applyBorder="1" applyAlignment="1">
      <alignment horizontal="left" indent="2"/>
    </xf>
    <xf numFmtId="0" fontId="14" fillId="0" borderId="24" xfId="0" applyFont="1" applyBorder="1" applyAlignment="1">
      <alignment horizontal="left" indent="4"/>
    </xf>
    <xf numFmtId="0" fontId="14" fillId="0" borderId="24" xfId="0" applyFont="1" applyBorder="1" applyAlignment="1">
      <alignment horizontal="left" indent="1"/>
    </xf>
    <xf numFmtId="0" fontId="14" fillId="0" borderId="26" xfId="0" applyFont="1" applyBorder="1" applyAlignment="1">
      <alignment horizontal="left" indent="2"/>
    </xf>
    <xf numFmtId="0" fontId="14" fillId="0" borderId="26" xfId="0" applyFont="1" applyBorder="1" applyAlignment="1">
      <alignment horizontal="left" indent="1"/>
    </xf>
    <xf numFmtId="0" fontId="14" fillId="0" borderId="25" xfId="0" applyFont="1" applyBorder="1" applyAlignment="1">
      <alignment horizontal="left" indent="2"/>
    </xf>
    <xf numFmtId="0" fontId="14" fillId="0" borderId="27" xfId="0" applyFont="1" applyBorder="1" applyAlignment="1">
      <alignment horizontal="left" indent="2"/>
    </xf>
    <xf numFmtId="0" fontId="36" fillId="0" borderId="28" xfId="0" applyFont="1" applyBorder="1" applyAlignment="1">
      <alignment horizontal="center"/>
    </xf>
    <xf numFmtId="1" fontId="36" fillId="0" borderId="19" xfId="0" applyNumberFormat="1" applyFont="1" applyBorder="1" applyAlignment="1">
      <alignment horizontal="center"/>
    </xf>
    <xf numFmtId="1" fontId="36" fillId="27" borderId="29" xfId="0" applyNumberFormat="1" applyFont="1" applyFill="1" applyBorder="1" applyAlignment="1">
      <alignment horizontal="center"/>
    </xf>
    <xf numFmtId="167" fontId="36" fillId="0" borderId="29" xfId="0" applyNumberFormat="1" applyFont="1" applyBorder="1" applyAlignment="1">
      <alignment horizontal="center"/>
    </xf>
    <xf numFmtId="168" fontId="36" fillId="27" borderId="29" xfId="0" applyNumberFormat="1" applyFont="1" applyFill="1" applyBorder="1" applyAlignment="1">
      <alignment horizontal="center"/>
    </xf>
    <xf numFmtId="1" fontId="36" fillId="0" borderId="29" xfId="0" applyNumberFormat="1" applyFont="1" applyBorder="1" applyAlignment="1">
      <alignment horizontal="center"/>
    </xf>
    <xf numFmtId="0" fontId="36" fillId="27" borderId="29" xfId="0" applyFont="1" applyFill="1" applyBorder="1" applyAlignment="1">
      <alignment horizontal="center"/>
    </xf>
    <xf numFmtId="0" fontId="39" fillId="0" borderId="0" xfId="0" applyFont="1" applyAlignment="1">
      <alignment horizontal="left"/>
    </xf>
    <xf numFmtId="0" fontId="47" fillId="0" borderId="16" xfId="676" applyFont="1" applyBorder="1" applyAlignment="1">
      <alignment horizontal="left" vertical="center" wrapText="1" indent="1"/>
    </xf>
    <xf numFmtId="0" fontId="55" fillId="0" borderId="0" xfId="0" applyFont="1"/>
    <xf numFmtId="0" fontId="57" fillId="0" borderId="0" xfId="0" applyFont="1"/>
    <xf numFmtId="0" fontId="0" fillId="0" borderId="0" xfId="0" applyAlignment="1">
      <alignment horizontal="left"/>
    </xf>
    <xf numFmtId="0" fontId="61" fillId="0" borderId="0" xfId="0" applyFont="1" applyAlignment="1">
      <alignment horizontal="center" vertical="center"/>
    </xf>
    <xf numFmtId="0" fontId="60" fillId="0" borderId="0" xfId="0" applyFont="1" applyAlignment="1">
      <alignment horizontal="center" vertical="center"/>
    </xf>
    <xf numFmtId="0" fontId="60" fillId="0" borderId="0" xfId="0" applyFont="1" applyAlignment="1">
      <alignment vertical="center"/>
    </xf>
    <xf numFmtId="0" fontId="64" fillId="0" borderId="0" xfId="0" applyFont="1" applyAlignment="1">
      <alignment horizontal="left" vertical="center" indent="1"/>
    </xf>
    <xf numFmtId="0" fontId="67" fillId="0" borderId="0" xfId="0" applyFont="1" applyAlignment="1">
      <alignment horizontal="left" vertical="center" indent="1"/>
    </xf>
    <xf numFmtId="0" fontId="61" fillId="0" borderId="0" xfId="0" applyFont="1" applyAlignment="1">
      <alignment vertical="center"/>
    </xf>
    <xf numFmtId="0" fontId="64" fillId="0" borderId="0" xfId="0" applyFont="1" applyAlignment="1">
      <alignment horizontal="left" vertical="center"/>
    </xf>
    <xf numFmtId="0" fontId="64" fillId="0" borderId="0" xfId="0" applyFont="1" applyAlignment="1">
      <alignment vertical="center"/>
    </xf>
    <xf numFmtId="0" fontId="68" fillId="0" borderId="48" xfId="677" applyFont="1" applyBorder="1" applyAlignment="1">
      <alignment horizontal="center" vertical="center" wrapText="1"/>
    </xf>
    <xf numFmtId="0" fontId="68" fillId="0" borderId="49" xfId="677" applyFont="1" applyBorder="1" applyAlignment="1">
      <alignment horizontal="center" vertical="center" wrapText="1"/>
    </xf>
    <xf numFmtId="0" fontId="68" fillId="33" borderId="20" xfId="677" applyFont="1" applyFill="1" applyBorder="1" applyAlignment="1">
      <alignment horizontal="center" vertical="center" wrapText="1"/>
    </xf>
    <xf numFmtId="0" fontId="65" fillId="0" borderId="43" xfId="677" applyFont="1" applyBorder="1" applyAlignment="1">
      <alignment horizontal="center" wrapText="1"/>
    </xf>
    <xf numFmtId="0" fontId="64" fillId="0" borderId="0" xfId="0" applyFont="1" applyAlignment="1">
      <alignment horizontal="center" vertical="center"/>
    </xf>
    <xf numFmtId="0" fontId="45" fillId="0" borderId="16" xfId="676" applyFont="1" applyBorder="1" applyAlignment="1">
      <alignment horizontal="center" vertical="center" wrapText="1"/>
    </xf>
    <xf numFmtId="0" fontId="46" fillId="0" borderId="16" xfId="676" applyFont="1" applyBorder="1" applyAlignment="1">
      <alignment horizontal="center" vertical="center" wrapText="1"/>
    </xf>
    <xf numFmtId="0" fontId="9" fillId="0" borderId="16" xfId="676" applyFont="1" applyBorder="1" applyAlignment="1">
      <alignment horizontal="center" vertical="center" wrapText="1"/>
    </xf>
    <xf numFmtId="0" fontId="46" fillId="0" borderId="16" xfId="676" applyFont="1" applyBorder="1" applyAlignment="1">
      <alignment horizontal="left" vertical="center" wrapText="1" indent="1"/>
    </xf>
    <xf numFmtId="0" fontId="45" fillId="0" borderId="16" xfId="676" applyFont="1" applyBorder="1" applyAlignment="1">
      <alignment horizontal="left" vertical="center" wrapText="1" indent="1"/>
    </xf>
    <xf numFmtId="0" fontId="47" fillId="0" borderId="16" xfId="676" applyFont="1" applyBorder="1" applyAlignment="1">
      <alignment horizontal="center" vertical="center" wrapText="1"/>
    </xf>
    <xf numFmtId="0" fontId="10" fillId="0" borderId="16" xfId="676" applyFont="1" applyBorder="1" applyAlignment="1">
      <alignment horizontal="center" vertical="center" wrapText="1"/>
    </xf>
    <xf numFmtId="0" fontId="45" fillId="0" borderId="20" xfId="676" applyFont="1" applyBorder="1" applyAlignment="1">
      <alignment horizontal="center" vertical="center" wrapText="1"/>
    </xf>
    <xf numFmtId="0" fontId="48" fillId="0" borderId="16" xfId="676" applyFont="1" applyBorder="1" applyAlignment="1">
      <alignment horizontal="center" vertical="center" wrapText="1"/>
    </xf>
    <xf numFmtId="4" fontId="11" fillId="0" borderId="16" xfId="676" applyNumberFormat="1" applyFont="1" applyBorder="1" applyAlignment="1">
      <alignment horizontal="center" vertical="center" wrapText="1"/>
    </xf>
    <xf numFmtId="0" fontId="48" fillId="0" borderId="20" xfId="676" applyFont="1" applyBorder="1" applyAlignment="1">
      <alignment horizontal="center" vertical="center" wrapText="1"/>
    </xf>
    <xf numFmtId="4" fontId="11" fillId="0" borderId="0" xfId="676" applyNumberFormat="1" applyFont="1" applyAlignment="1">
      <alignment horizontal="center" vertical="center" wrapText="1"/>
    </xf>
    <xf numFmtId="0" fontId="49" fillId="0" borderId="16" xfId="676" applyFont="1" applyBorder="1" applyAlignment="1">
      <alignment horizontal="center" vertical="center" wrapText="1"/>
    </xf>
    <xf numFmtId="4" fontId="12" fillId="0" borderId="18" xfId="676" applyNumberFormat="1" applyFont="1" applyBorder="1" applyAlignment="1">
      <alignment horizontal="center" vertical="center" wrapText="1"/>
    </xf>
    <xf numFmtId="0" fontId="49" fillId="0" borderId="20" xfId="676" applyFont="1" applyBorder="1" applyAlignment="1">
      <alignment horizontal="center" vertical="center" wrapText="1"/>
    </xf>
    <xf numFmtId="0" fontId="12" fillId="0" borderId="16" xfId="676" applyFont="1" applyBorder="1" applyAlignment="1">
      <alignment horizontal="center" vertical="center" wrapText="1"/>
    </xf>
    <xf numFmtId="0" fontId="47" fillId="0" borderId="20" xfId="676" applyFont="1" applyBorder="1" applyAlignment="1">
      <alignment horizontal="center" vertical="center" wrapText="1"/>
    </xf>
    <xf numFmtId="4" fontId="37" fillId="0" borderId="19" xfId="676" applyNumberFormat="1" applyFont="1" applyBorder="1" applyAlignment="1">
      <alignment horizontal="center" vertical="center" wrapText="1"/>
    </xf>
    <xf numFmtId="4" fontId="11" fillId="0" borderId="19" xfId="676" applyNumberFormat="1" applyFont="1" applyBorder="1" applyAlignment="1">
      <alignment horizontal="center" vertical="center" wrapText="1"/>
    </xf>
    <xf numFmtId="4" fontId="12" fillId="0" borderId="13" xfId="676" applyNumberFormat="1" applyFont="1" applyBorder="1" applyAlignment="1">
      <alignment horizontal="center" vertical="center" wrapText="1"/>
    </xf>
    <xf numFmtId="167" fontId="48" fillId="0" borderId="16" xfId="676" applyNumberFormat="1" applyFont="1" applyBorder="1" applyAlignment="1">
      <alignment horizontal="center" vertical="center" wrapText="1"/>
    </xf>
    <xf numFmtId="1" fontId="48" fillId="0" borderId="16" xfId="676" applyNumberFormat="1" applyFont="1" applyBorder="1" applyAlignment="1">
      <alignment horizontal="center" vertical="center" wrapText="1"/>
    </xf>
    <xf numFmtId="0" fontId="47" fillId="0" borderId="21" xfId="676" applyFont="1" applyBorder="1" applyAlignment="1">
      <alignment horizontal="center" vertical="center" wrapText="1"/>
    </xf>
    <xf numFmtId="2" fontId="48" fillId="0" borderId="16" xfId="676" applyNumberFormat="1" applyFont="1" applyBorder="1" applyAlignment="1">
      <alignment horizontal="center" vertical="center" wrapText="1"/>
    </xf>
    <xf numFmtId="0" fontId="47" fillId="0" borderId="19" xfId="676" applyFont="1" applyBorder="1" applyAlignment="1">
      <alignment horizontal="center" vertical="center" wrapText="1"/>
    </xf>
    <xf numFmtId="0" fontId="47" fillId="0" borderId="33" xfId="676" applyFont="1" applyBorder="1" applyAlignment="1">
      <alignment horizontal="center" vertical="center" wrapText="1"/>
    </xf>
    <xf numFmtId="0" fontId="11" fillId="0" borderId="19" xfId="676" applyFont="1" applyBorder="1" applyAlignment="1">
      <alignment horizontal="center" vertical="center" wrapText="1"/>
    </xf>
    <xf numFmtId="0" fontId="47" fillId="0" borderId="28" xfId="676" applyFont="1" applyBorder="1" applyAlignment="1">
      <alignment horizontal="center" vertical="center" wrapText="1"/>
    </xf>
    <xf numFmtId="0" fontId="47" fillId="0" borderId="29" xfId="676" applyFont="1" applyBorder="1" applyAlignment="1">
      <alignment horizontal="center" vertical="center" wrapText="1"/>
    </xf>
    <xf numFmtId="164" fontId="13" fillId="0" borderId="13" xfId="676" applyNumberFormat="1" applyFont="1" applyBorder="1" applyAlignment="1">
      <alignment horizontal="center" vertical="center" wrapText="1"/>
    </xf>
    <xf numFmtId="0" fontId="44" fillId="0" borderId="16" xfId="676" applyFont="1" applyBorder="1" applyAlignment="1">
      <alignment horizontal="left" vertical="center" wrapText="1" indent="1"/>
    </xf>
    <xf numFmtId="0" fontId="47" fillId="0" borderId="20" xfId="676" applyFont="1" applyBorder="1" applyAlignment="1">
      <alignment horizontal="left" vertical="center" wrapText="1" indent="1"/>
    </xf>
    <xf numFmtId="0" fontId="47" fillId="0" borderId="21" xfId="676" applyFont="1" applyBorder="1" applyAlignment="1">
      <alignment horizontal="left" vertical="center" wrapText="1" indent="1"/>
    </xf>
    <xf numFmtId="0" fontId="47" fillId="0" borderId="19" xfId="676" applyFont="1" applyBorder="1" applyAlignment="1">
      <alignment horizontal="left" vertical="center" wrapText="1" indent="1"/>
    </xf>
    <xf numFmtId="0" fontId="47" fillId="0" borderId="33" xfId="676" applyFont="1" applyBorder="1" applyAlignment="1">
      <alignment horizontal="left" vertical="center" wrapText="1" indent="1"/>
    </xf>
    <xf numFmtId="0" fontId="44" fillId="0" borderId="29" xfId="676" applyFont="1" applyBorder="1" applyAlignment="1">
      <alignment horizontal="left" vertical="center" wrapText="1" indent="1"/>
    </xf>
    <xf numFmtId="0" fontId="47" fillId="37" borderId="16" xfId="676" applyFont="1" applyFill="1" applyBorder="1" applyAlignment="1">
      <alignment horizontal="center" vertical="center" wrapText="1"/>
    </xf>
    <xf numFmtId="0" fontId="47" fillId="37" borderId="16" xfId="676" applyFont="1" applyFill="1" applyBorder="1" applyAlignment="1">
      <alignment horizontal="left" vertical="center" wrapText="1" indent="1"/>
    </xf>
    <xf numFmtId="166" fontId="48" fillId="0" borderId="20" xfId="676" applyNumberFormat="1" applyFont="1" applyBorder="1" applyAlignment="1">
      <alignment horizontal="center" vertical="center" wrapText="1"/>
    </xf>
    <xf numFmtId="0" fontId="48" fillId="37" borderId="16" xfId="676" applyFont="1" applyFill="1" applyBorder="1" applyAlignment="1">
      <alignment horizontal="left" vertical="center" wrapText="1" indent="1"/>
    </xf>
    <xf numFmtId="0" fontId="38" fillId="0" borderId="53" xfId="676" applyFont="1" applyBorder="1" applyAlignment="1">
      <alignment horizontal="left" vertical="center" wrapText="1"/>
    </xf>
    <xf numFmtId="0" fontId="38" fillId="0" borderId="29" xfId="676" applyFont="1" applyBorder="1" applyAlignment="1">
      <alignment horizontal="left" vertical="center" wrapText="1"/>
    </xf>
    <xf numFmtId="0" fontId="16" fillId="0" borderId="0" xfId="676" applyAlignment="1">
      <alignment vertical="center" wrapText="1"/>
    </xf>
    <xf numFmtId="0" fontId="43" fillId="0" borderId="53" xfId="676" applyFont="1" applyBorder="1" applyAlignment="1">
      <alignment vertical="center" wrapText="1"/>
    </xf>
    <xf numFmtId="0" fontId="16" fillId="0" borderId="0" xfId="676" applyAlignment="1">
      <alignment horizontal="left" vertical="center" wrapText="1"/>
    </xf>
    <xf numFmtId="0" fontId="43" fillId="0" borderId="0" xfId="676" applyFont="1" applyAlignment="1">
      <alignment vertical="center" wrapText="1"/>
    </xf>
    <xf numFmtId="0" fontId="27" fillId="0" borderId="0" xfId="676" applyFont="1" applyAlignment="1">
      <alignment vertical="center" wrapText="1"/>
    </xf>
    <xf numFmtId="0" fontId="43" fillId="0" borderId="0" xfId="676" applyFont="1" applyAlignment="1">
      <alignment wrapText="1"/>
    </xf>
    <xf numFmtId="0" fontId="16" fillId="0" borderId="0" xfId="676" applyAlignment="1">
      <alignment wrapText="1"/>
    </xf>
    <xf numFmtId="0" fontId="38" fillId="0" borderId="53" xfId="676" applyFont="1" applyBorder="1" applyAlignment="1">
      <alignment horizontal="left" vertical="center" wrapText="1" indent="1"/>
    </xf>
    <xf numFmtId="0" fontId="43" fillId="0" borderId="53" xfId="676" applyFont="1" applyBorder="1" applyAlignment="1">
      <alignment horizontal="left" vertical="center" wrapText="1" indent="1"/>
    </xf>
    <xf numFmtId="0" fontId="43" fillId="0" borderId="0" xfId="676" applyFont="1" applyAlignment="1">
      <alignment horizontal="left" vertical="center" wrapText="1" indent="1"/>
    </xf>
    <xf numFmtId="0" fontId="43" fillId="0" borderId="0" xfId="676" applyFont="1" applyAlignment="1">
      <alignment horizontal="left" vertical="center" wrapText="1" indent="2"/>
    </xf>
    <xf numFmtId="0" fontId="43" fillId="0" borderId="0" xfId="676" applyFont="1" applyAlignment="1">
      <alignment horizontal="left" wrapText="1" indent="2"/>
    </xf>
    <xf numFmtId="0" fontId="44" fillId="44" borderId="67" xfId="676" applyFont="1" applyFill="1" applyBorder="1" applyAlignment="1">
      <alignment horizontal="center" vertical="center" wrapText="1"/>
    </xf>
    <xf numFmtId="0" fontId="44" fillId="44" borderId="67" xfId="676" applyFont="1" applyFill="1" applyBorder="1" applyAlignment="1">
      <alignment horizontal="left" vertical="center" wrapText="1" indent="1"/>
    </xf>
    <xf numFmtId="0" fontId="8" fillId="44" borderId="15" xfId="676" applyFont="1" applyFill="1" applyBorder="1" applyAlignment="1">
      <alignment horizontal="center" vertical="center" wrapText="1"/>
    </xf>
    <xf numFmtId="0" fontId="44" fillId="44" borderId="15" xfId="676" applyFont="1" applyFill="1" applyBorder="1" applyAlignment="1">
      <alignment horizontal="center" vertical="center" wrapText="1"/>
    </xf>
    <xf numFmtId="0" fontId="48" fillId="37" borderId="20" xfId="676" applyFont="1" applyFill="1" applyBorder="1" applyAlignment="1">
      <alignment horizontal="center" vertical="center" wrapText="1"/>
    </xf>
    <xf numFmtId="1" fontId="48" fillId="37" borderId="16" xfId="676" applyNumberFormat="1" applyFont="1" applyFill="1" applyBorder="1" applyAlignment="1">
      <alignment horizontal="center" vertical="center" wrapText="1"/>
    </xf>
    <xf numFmtId="1" fontId="48" fillId="42" borderId="16" xfId="676" applyNumberFormat="1" applyFont="1" applyFill="1" applyBorder="1" applyAlignment="1">
      <alignment horizontal="center" vertical="center" wrapText="1"/>
    </xf>
    <xf numFmtId="0" fontId="11" fillId="0" borderId="29" xfId="676" applyFont="1" applyBorder="1" applyAlignment="1">
      <alignment horizontal="center" vertical="center" wrapText="1"/>
    </xf>
    <xf numFmtId="1" fontId="48" fillId="0" borderId="29" xfId="676" applyNumberFormat="1" applyFont="1" applyBorder="1" applyAlignment="1">
      <alignment horizontal="center" vertical="center" wrapText="1"/>
    </xf>
    <xf numFmtId="0" fontId="47" fillId="0" borderId="29" xfId="676" applyFont="1" applyBorder="1" applyAlignment="1">
      <alignment horizontal="left" vertical="center" wrapText="1" indent="1"/>
    </xf>
    <xf numFmtId="4" fontId="11" fillId="0" borderId="29" xfId="676" applyNumberFormat="1" applyFont="1" applyBorder="1" applyAlignment="1">
      <alignment horizontal="center" vertical="center" wrapText="1"/>
    </xf>
    <xf numFmtId="167" fontId="48" fillId="0" borderId="29" xfId="676" applyNumberFormat="1" applyFont="1" applyBorder="1" applyAlignment="1">
      <alignment horizontal="center" vertical="center" wrapText="1"/>
    </xf>
    <xf numFmtId="4" fontId="12" fillId="0" borderId="69" xfId="676" applyNumberFormat="1" applyFont="1" applyBorder="1" applyAlignment="1">
      <alignment horizontal="center" vertical="center" wrapText="1"/>
    </xf>
    <xf numFmtId="0" fontId="45" fillId="0" borderId="29" xfId="676" applyFont="1" applyBorder="1" applyAlignment="1">
      <alignment horizontal="left" vertical="center" wrapText="1" indent="1"/>
    </xf>
    <xf numFmtId="0" fontId="48" fillId="42" borderId="20" xfId="676" applyFont="1" applyFill="1" applyBorder="1" applyAlignment="1">
      <alignment horizontal="center" vertical="center" wrapText="1"/>
    </xf>
    <xf numFmtId="0" fontId="48" fillId="37" borderId="16" xfId="676" applyFont="1" applyFill="1" applyBorder="1" applyAlignment="1">
      <alignment horizontal="center" vertical="center" wrapText="1"/>
    </xf>
    <xf numFmtId="0" fontId="4" fillId="0" borderId="0" xfId="0" applyFont="1"/>
    <xf numFmtId="166" fontId="36" fillId="0" borderId="23" xfId="0" applyNumberFormat="1" applyFont="1" applyBorder="1" applyAlignment="1">
      <alignment horizontal="center"/>
    </xf>
    <xf numFmtId="0" fontId="16" fillId="0" borderId="0" xfId="676" applyAlignment="1">
      <alignment horizontal="left" vertical="center" wrapText="1" indent="1"/>
    </xf>
    <xf numFmtId="0" fontId="16" fillId="0" borderId="0" xfId="676" applyAlignment="1">
      <alignment horizontal="left" wrapText="1" indent="1"/>
    </xf>
    <xf numFmtId="0" fontId="78" fillId="31" borderId="13" xfId="0" applyFont="1" applyFill="1" applyBorder="1" applyAlignment="1" applyProtection="1">
      <alignment horizontal="center"/>
      <protection locked="0"/>
    </xf>
    <xf numFmtId="0" fontId="11" fillId="0" borderId="24" xfId="0" applyFont="1" applyBorder="1" applyAlignment="1">
      <alignment horizontal="left" indent="2"/>
    </xf>
    <xf numFmtId="0" fontId="16" fillId="0" borderId="0" xfId="676" applyAlignment="1" applyProtection="1">
      <alignment vertical="center" wrapText="1"/>
      <protection locked="0"/>
    </xf>
    <xf numFmtId="0" fontId="43" fillId="0" borderId="0" xfId="676" applyFont="1" applyAlignment="1" applyProtection="1">
      <alignment vertical="center" wrapText="1"/>
      <protection locked="0"/>
    </xf>
    <xf numFmtId="0" fontId="44" fillId="44" borderId="15" xfId="676" applyFont="1" applyFill="1" applyBorder="1" applyAlignment="1" applyProtection="1">
      <alignment horizontal="center" vertical="center" wrapText="1"/>
      <protection locked="0"/>
    </xf>
    <xf numFmtId="0" fontId="46" fillId="0" borderId="16" xfId="676" applyFont="1" applyBorder="1" applyAlignment="1" applyProtection="1">
      <alignment horizontal="center" vertical="center" wrapText="1"/>
      <protection locked="0"/>
    </xf>
    <xf numFmtId="0" fontId="45" fillId="0" borderId="16" xfId="676" applyFont="1" applyBorder="1" applyAlignment="1" applyProtection="1">
      <alignment horizontal="center" vertical="center" wrapText="1"/>
      <protection locked="0"/>
    </xf>
    <xf numFmtId="0" fontId="47" fillId="0" borderId="16" xfId="676" applyFont="1" applyBorder="1" applyAlignment="1" applyProtection="1">
      <alignment horizontal="center" vertical="center" wrapText="1"/>
      <protection locked="0"/>
    </xf>
    <xf numFmtId="0" fontId="45" fillId="0" borderId="20" xfId="676" applyFont="1" applyBorder="1" applyAlignment="1" applyProtection="1">
      <alignment horizontal="center" vertical="center" wrapText="1"/>
      <protection locked="0"/>
    </xf>
    <xf numFmtId="0" fontId="48" fillId="0" borderId="20" xfId="676" applyFont="1" applyBorder="1" applyAlignment="1" applyProtection="1">
      <alignment horizontal="center" vertical="center" wrapText="1"/>
      <protection locked="0"/>
    </xf>
    <xf numFmtId="0" fontId="49" fillId="0" borderId="20" xfId="676" applyFont="1" applyBorder="1" applyAlignment="1" applyProtection="1">
      <alignment horizontal="center" vertical="center" wrapText="1"/>
      <protection locked="0"/>
    </xf>
    <xf numFmtId="0" fontId="49" fillId="0" borderId="16" xfId="676" applyFont="1" applyBorder="1" applyAlignment="1" applyProtection="1">
      <alignment horizontal="center" vertical="center" wrapText="1"/>
      <protection locked="0"/>
    </xf>
    <xf numFmtId="0" fontId="48" fillId="0" borderId="16" xfId="676" applyFont="1" applyBorder="1" applyAlignment="1" applyProtection="1">
      <alignment horizontal="center" vertical="center" wrapText="1"/>
      <protection locked="0"/>
    </xf>
    <xf numFmtId="0" fontId="48" fillId="37" borderId="20" xfId="676" applyFont="1" applyFill="1" applyBorder="1" applyAlignment="1" applyProtection="1">
      <alignment horizontal="center" vertical="center" wrapText="1"/>
      <protection locked="0"/>
    </xf>
    <xf numFmtId="166" fontId="48" fillId="0" borderId="20" xfId="676" applyNumberFormat="1" applyFont="1" applyBorder="1" applyAlignment="1" applyProtection="1">
      <alignment horizontal="center" vertical="center" wrapText="1"/>
      <protection locked="0"/>
    </xf>
    <xf numFmtId="167" fontId="48" fillId="0" borderId="16" xfId="676" applyNumberFormat="1" applyFont="1" applyBorder="1" applyAlignment="1" applyProtection="1">
      <alignment horizontal="center" vertical="center" wrapText="1"/>
      <protection locked="0"/>
    </xf>
    <xf numFmtId="1" fontId="48" fillId="0" borderId="16" xfId="676" applyNumberFormat="1" applyFont="1" applyBorder="1" applyAlignment="1" applyProtection="1">
      <alignment horizontal="center" vertical="center" wrapText="1"/>
      <protection locked="0"/>
    </xf>
    <xf numFmtId="1" fontId="48" fillId="37" borderId="16" xfId="676" applyNumberFormat="1" applyFont="1" applyFill="1" applyBorder="1" applyAlignment="1" applyProtection="1">
      <alignment horizontal="center" vertical="center" wrapText="1"/>
      <protection locked="0"/>
    </xf>
    <xf numFmtId="1" fontId="48" fillId="0" borderId="29" xfId="676" applyNumberFormat="1" applyFont="1" applyBorder="1" applyAlignment="1" applyProtection="1">
      <alignment horizontal="center" vertical="center" wrapText="1"/>
      <protection locked="0"/>
    </xf>
    <xf numFmtId="167" fontId="48" fillId="0" borderId="29" xfId="676" applyNumberFormat="1" applyFont="1" applyBorder="1" applyAlignment="1" applyProtection="1">
      <alignment horizontal="center" vertical="center" wrapText="1"/>
      <protection locked="0"/>
    </xf>
    <xf numFmtId="0" fontId="43" fillId="0" borderId="0" xfId="676" applyFont="1" applyAlignment="1" applyProtection="1">
      <alignment wrapText="1"/>
      <protection locked="0"/>
    </xf>
    <xf numFmtId="0" fontId="0" fillId="0" borderId="0" xfId="0" applyAlignment="1">
      <alignment horizontal="center" vertical="center"/>
    </xf>
    <xf numFmtId="0" fontId="0" fillId="0" borderId="20" xfId="0" applyBorder="1" applyAlignment="1">
      <alignment horizontal="center" vertical="center"/>
    </xf>
    <xf numFmtId="0" fontId="55" fillId="0" borderId="0" xfId="886" applyFont="1"/>
    <xf numFmtId="0" fontId="56" fillId="0" borderId="13" xfId="886" applyFont="1" applyBorder="1" applyAlignment="1">
      <alignment horizontal="center"/>
    </xf>
    <xf numFmtId="0" fontId="55" fillId="0" borderId="30" xfId="886" applyFont="1" applyBorder="1" applyAlignment="1">
      <alignment horizontal="center"/>
    </xf>
    <xf numFmtId="0" fontId="55" fillId="0" borderId="0" xfId="0" quotePrefix="1" applyFont="1"/>
    <xf numFmtId="0" fontId="82" fillId="0" borderId="0" xfId="0" applyFont="1" applyAlignment="1">
      <alignment vertical="center"/>
    </xf>
    <xf numFmtId="0" fontId="66" fillId="0" borderId="0" xfId="0" applyFont="1" applyAlignment="1">
      <alignment vertical="center"/>
    </xf>
    <xf numFmtId="166" fontId="60" fillId="0" borderId="0" xfId="0" applyNumberFormat="1" applyFont="1" applyAlignment="1">
      <alignment vertical="center"/>
    </xf>
    <xf numFmtId="0" fontId="60" fillId="0" borderId="20" xfId="0" applyFont="1" applyBorder="1" applyAlignment="1">
      <alignment vertical="center"/>
    </xf>
    <xf numFmtId="0" fontId="64" fillId="0" borderId="20" xfId="0" applyFont="1" applyBorder="1" applyAlignment="1">
      <alignment horizontal="center" vertical="center"/>
    </xf>
    <xf numFmtId="0" fontId="60" fillId="0" borderId="20" xfId="0" applyFont="1" applyBorder="1" applyAlignment="1">
      <alignment horizontal="center" vertical="center"/>
    </xf>
    <xf numFmtId="0" fontId="82" fillId="0" borderId="20" xfId="0" applyFont="1" applyBorder="1" applyAlignment="1">
      <alignment horizontal="center" vertical="center" wrapText="1"/>
    </xf>
    <xf numFmtId="0" fontId="82" fillId="0" borderId="20" xfId="0" applyFont="1" applyBorder="1" applyAlignment="1">
      <alignment horizontal="center" vertical="center"/>
    </xf>
    <xf numFmtId="0" fontId="82" fillId="0" borderId="20" xfId="0" applyFont="1" applyBorder="1" applyAlignment="1">
      <alignment vertical="center"/>
    </xf>
    <xf numFmtId="0" fontId="82" fillId="0" borderId="20" xfId="0" applyFont="1" applyBorder="1" applyAlignment="1">
      <alignment vertical="center" wrapText="1"/>
    </xf>
    <xf numFmtId="0" fontId="83" fillId="0" borderId="20" xfId="0" applyFont="1" applyBorder="1" applyAlignment="1">
      <alignment horizontal="center" vertical="center"/>
    </xf>
    <xf numFmtId="0" fontId="83" fillId="0" borderId="0" xfId="0" applyFont="1" applyAlignment="1">
      <alignment horizontal="left" vertical="center" indent="1"/>
    </xf>
    <xf numFmtId="166" fontId="4" fillId="0" borderId="20" xfId="0" applyNumberFormat="1" applyFont="1" applyBorder="1" applyAlignment="1" applyProtection="1">
      <alignment horizontal="center" vertical="center"/>
      <protection locked="0"/>
    </xf>
    <xf numFmtId="0" fontId="4" fillId="0" borderId="20" xfId="0" applyFont="1" applyBorder="1" applyAlignment="1">
      <alignment horizontal="center" vertical="center" wrapText="1"/>
    </xf>
    <xf numFmtId="0" fontId="4" fillId="0" borderId="0" xfId="0" applyFont="1" applyAlignment="1" applyProtection="1">
      <alignment horizontal="center" vertical="center"/>
      <protection locked="0"/>
    </xf>
    <xf numFmtId="171" fontId="4" fillId="0" borderId="20" xfId="0" applyNumberFormat="1" applyFont="1" applyBorder="1" applyAlignment="1" applyProtection="1">
      <alignment horizontal="center" vertical="center"/>
      <protection locked="0"/>
    </xf>
    <xf numFmtId="173" fontId="4" fillId="0" borderId="20" xfId="0" applyNumberFormat="1" applyFont="1" applyBorder="1" applyAlignment="1">
      <alignment horizontal="center" vertical="center"/>
    </xf>
    <xf numFmtId="166" fontId="4" fillId="0" borderId="20" xfId="0" applyNumberFormat="1" applyFont="1" applyBorder="1" applyAlignment="1">
      <alignment horizontal="center" vertical="center"/>
    </xf>
    <xf numFmtId="49" fontId="4" fillId="0" borderId="20" xfId="0" applyNumberFormat="1" applyFont="1" applyBorder="1" applyAlignment="1">
      <alignment horizontal="center" vertical="center"/>
    </xf>
    <xf numFmtId="169" fontId="4" fillId="0" borderId="0" xfId="0" applyNumberFormat="1" applyFont="1" applyAlignment="1" applyProtection="1">
      <alignment horizontal="center" vertical="center"/>
      <protection locked="0"/>
    </xf>
    <xf numFmtId="49" fontId="4" fillId="0" borderId="0" xfId="0" applyNumberFormat="1" applyFont="1" applyAlignment="1">
      <alignment horizontal="center" vertical="center"/>
    </xf>
    <xf numFmtId="171" fontId="4" fillId="0" borderId="0" xfId="0" applyNumberFormat="1" applyFont="1" applyAlignment="1" applyProtection="1">
      <alignment horizontal="center" vertical="center"/>
      <protection locked="0"/>
    </xf>
    <xf numFmtId="1" fontId="4" fillId="0" borderId="0" xfId="0" applyNumberFormat="1" applyFont="1" applyAlignment="1" applyProtection="1">
      <alignment horizontal="center" vertical="center"/>
      <protection locked="0"/>
    </xf>
    <xf numFmtId="0" fontId="4" fillId="0" borderId="0" xfId="0" applyFont="1" applyAlignment="1">
      <alignment horizontal="center" vertical="center"/>
    </xf>
    <xf numFmtId="1" fontId="4" fillId="0" borderId="0" xfId="0" applyNumberFormat="1" applyFont="1" applyAlignment="1">
      <alignment horizontal="center" vertical="center"/>
    </xf>
    <xf numFmtId="49" fontId="4" fillId="0" borderId="0" xfId="0" quotePrefix="1" applyNumberFormat="1" applyFont="1" applyAlignment="1">
      <alignment horizontal="center" vertical="center"/>
    </xf>
    <xf numFmtId="0" fontId="4" fillId="0" borderId="0" xfId="876" applyAlignment="1" applyProtection="1">
      <alignment horizontal="center" vertical="center"/>
      <protection locked="0"/>
    </xf>
    <xf numFmtId="166" fontId="4" fillId="0" borderId="0" xfId="0" applyNumberFormat="1" applyFont="1" applyAlignment="1">
      <alignment horizontal="center" vertical="center"/>
    </xf>
    <xf numFmtId="49" fontId="4" fillId="0" borderId="20" xfId="0" applyNumberFormat="1" applyFont="1" applyBorder="1" applyAlignment="1" applyProtection="1">
      <alignment horizontal="center" vertical="center" wrapText="1"/>
      <protection locked="0"/>
    </xf>
    <xf numFmtId="173" fontId="4" fillId="0" borderId="0" xfId="0" applyNumberFormat="1" applyFont="1" applyAlignment="1">
      <alignment horizontal="center" vertical="center"/>
    </xf>
    <xf numFmtId="3" fontId="4" fillId="0" borderId="20" xfId="0" applyNumberFormat="1" applyFont="1" applyBorder="1" applyAlignment="1" applyProtection="1">
      <alignment horizontal="center" vertical="center"/>
      <protection locked="0"/>
    </xf>
    <xf numFmtId="0" fontId="66" fillId="0" borderId="0" xfId="876" applyFont="1" applyAlignment="1">
      <alignment horizontal="left" vertical="center"/>
    </xf>
    <xf numFmtId="0" fontId="60" fillId="0" borderId="0" xfId="876" applyFont="1" applyAlignment="1">
      <alignment horizontal="left" vertical="center"/>
    </xf>
    <xf numFmtId="0" fontId="60" fillId="0" borderId="0" xfId="876" applyFont="1" applyAlignment="1">
      <alignment horizontal="left" vertical="center" indent="1"/>
    </xf>
    <xf numFmtId="0" fontId="61" fillId="0" borderId="0" xfId="876" applyFont="1" applyAlignment="1">
      <alignment horizontal="center" vertical="center"/>
    </xf>
    <xf numFmtId="0" fontId="60" fillId="0" borderId="0" xfId="876" applyFont="1" applyAlignment="1">
      <alignment horizontal="center" vertical="center"/>
    </xf>
    <xf numFmtId="0" fontId="60" fillId="0" borderId="0" xfId="876" applyFont="1" applyAlignment="1">
      <alignment vertical="center"/>
    </xf>
    <xf numFmtId="0" fontId="61" fillId="33" borderId="20" xfId="876" applyFont="1" applyFill="1" applyBorder="1" applyAlignment="1">
      <alignment horizontal="center" vertical="center"/>
    </xf>
    <xf numFmtId="0" fontId="61" fillId="33" borderId="20" xfId="876" applyFont="1" applyFill="1" applyBorder="1" applyAlignment="1">
      <alignment horizontal="left" vertical="center"/>
    </xf>
    <xf numFmtId="0" fontId="61" fillId="33" borderId="20" xfId="876" applyFont="1" applyFill="1" applyBorder="1" applyAlignment="1">
      <alignment horizontal="left" vertical="center" indent="1"/>
    </xf>
    <xf numFmtId="0" fontId="61" fillId="0" borderId="0" xfId="876" applyFont="1" applyAlignment="1">
      <alignment vertical="center"/>
    </xf>
    <xf numFmtId="0" fontId="65" fillId="0" borderId="20" xfId="677" applyFont="1" applyBorder="1" applyAlignment="1">
      <alignment horizontal="center" vertical="center" wrapText="1"/>
    </xf>
    <xf numFmtId="0" fontId="65" fillId="0" borderId="44" xfId="677" applyFont="1" applyBorder="1" applyAlignment="1">
      <alignment horizontal="left" vertical="center" wrapText="1" indent="1"/>
    </xf>
    <xf numFmtId="0" fontId="65" fillId="0" borderId="72" xfId="677" applyFont="1" applyBorder="1" applyAlignment="1">
      <alignment horizontal="center" vertical="center" wrapText="1"/>
    </xf>
    <xf numFmtId="0" fontId="60" fillId="0" borderId="53" xfId="876" applyFont="1" applyBorder="1" applyAlignment="1">
      <alignment horizontal="center" vertical="center"/>
    </xf>
    <xf numFmtId="0" fontId="65" fillId="0" borderId="44" xfId="677" applyFont="1" applyBorder="1" applyAlignment="1">
      <alignment horizontal="left" vertical="center" wrapText="1"/>
    </xf>
    <xf numFmtId="0" fontId="62" fillId="58" borderId="73" xfId="677" applyFont="1" applyFill="1" applyBorder="1" applyAlignment="1">
      <alignment horizontal="left" vertical="center" wrapText="1" indent="1"/>
    </xf>
    <xf numFmtId="0" fontId="60" fillId="58" borderId="74" xfId="876" applyFont="1" applyFill="1" applyBorder="1" applyAlignment="1">
      <alignment horizontal="center" vertical="center"/>
    </xf>
    <xf numFmtId="0" fontId="60" fillId="58" borderId="75" xfId="876" applyFont="1" applyFill="1" applyBorder="1" applyAlignment="1">
      <alignment horizontal="center" vertical="center"/>
    </xf>
    <xf numFmtId="0" fontId="65" fillId="34" borderId="28" xfId="677" applyFont="1" applyFill="1" applyBorder="1" applyAlignment="1">
      <alignment horizontal="left" vertical="center" wrapText="1"/>
    </xf>
    <xf numFmtId="0" fontId="62" fillId="58" borderId="76" xfId="677" applyFont="1" applyFill="1" applyBorder="1" applyAlignment="1">
      <alignment horizontal="left" vertical="center" wrapText="1" indent="1"/>
    </xf>
    <xf numFmtId="0" fontId="64" fillId="0" borderId="0" xfId="876" applyFont="1" applyAlignment="1">
      <alignment vertical="center"/>
    </xf>
    <xf numFmtId="0" fontId="60" fillId="58" borderId="77" xfId="876" applyFont="1" applyFill="1" applyBorder="1" applyAlignment="1">
      <alignment horizontal="center" vertical="center"/>
    </xf>
    <xf numFmtId="0" fontId="60" fillId="58" borderId="78" xfId="876" applyFont="1" applyFill="1" applyBorder="1" applyAlignment="1">
      <alignment horizontal="center" vertical="center"/>
    </xf>
    <xf numFmtId="0" fontId="65" fillId="34" borderId="19" xfId="677" applyFont="1" applyFill="1" applyBorder="1" applyAlignment="1">
      <alignment horizontal="left" vertical="center" wrapText="1"/>
    </xf>
    <xf numFmtId="0" fontId="62" fillId="58" borderId="79" xfId="677" applyFont="1" applyFill="1" applyBorder="1" applyAlignment="1">
      <alignment horizontal="left" vertical="center" wrapText="1" indent="1"/>
    </xf>
    <xf numFmtId="0" fontId="60" fillId="58" borderId="80" xfId="876" applyFont="1" applyFill="1" applyBorder="1" applyAlignment="1">
      <alignment horizontal="center" vertical="center"/>
    </xf>
    <xf numFmtId="0" fontId="60" fillId="58" borderId="81" xfId="876" applyFont="1" applyFill="1" applyBorder="1" applyAlignment="1">
      <alignment horizontal="center" vertical="center"/>
    </xf>
    <xf numFmtId="0" fontId="65" fillId="40" borderId="73" xfId="677" applyFont="1" applyFill="1" applyBorder="1" applyAlignment="1">
      <alignment horizontal="left" vertical="center" wrapText="1" indent="1"/>
    </xf>
    <xf numFmtId="0" fontId="60" fillId="40" borderId="74" xfId="876" applyFont="1" applyFill="1" applyBorder="1" applyAlignment="1">
      <alignment horizontal="center" vertical="center"/>
    </xf>
    <xf numFmtId="0" fontId="60" fillId="40" borderId="75" xfId="876" applyFont="1" applyFill="1" applyBorder="1" applyAlignment="1">
      <alignment horizontal="center" vertical="center"/>
    </xf>
    <xf numFmtId="0" fontId="65" fillId="40" borderId="76" xfId="677" applyFont="1" applyFill="1" applyBorder="1" applyAlignment="1">
      <alignment horizontal="left" vertical="center" wrapText="1" indent="1"/>
    </xf>
    <xf numFmtId="0" fontId="60" fillId="40" borderId="77" xfId="876" applyFont="1" applyFill="1" applyBorder="1" applyAlignment="1">
      <alignment horizontal="center" vertical="center"/>
    </xf>
    <xf numFmtId="0" fontId="60" fillId="40" borderId="78" xfId="876" applyFont="1" applyFill="1" applyBorder="1" applyAlignment="1">
      <alignment horizontal="center" vertical="center"/>
    </xf>
    <xf numFmtId="0" fontId="65" fillId="40" borderId="79" xfId="677" applyFont="1" applyFill="1" applyBorder="1" applyAlignment="1">
      <alignment horizontal="left" vertical="center" wrapText="1" indent="1"/>
    </xf>
    <xf numFmtId="0" fontId="60" fillId="40" borderId="80" xfId="876" applyFont="1" applyFill="1" applyBorder="1" applyAlignment="1">
      <alignment horizontal="center" vertical="center"/>
    </xf>
    <xf numFmtId="0" fontId="60" fillId="40" borderId="81" xfId="876" applyFont="1" applyFill="1" applyBorder="1" applyAlignment="1">
      <alignment horizontal="center" vertical="center"/>
    </xf>
    <xf numFmtId="0" fontId="65" fillId="40" borderId="82" xfId="677" applyFont="1" applyFill="1" applyBorder="1" applyAlignment="1">
      <alignment horizontal="left" vertical="center" wrapText="1" indent="1"/>
    </xf>
    <xf numFmtId="0" fontId="60" fillId="40" borderId="84" xfId="876" applyFont="1" applyFill="1" applyBorder="1" applyAlignment="1">
      <alignment horizontal="center" vertical="center"/>
    </xf>
    <xf numFmtId="0" fontId="60" fillId="40" borderId="83" xfId="876" applyFont="1" applyFill="1" applyBorder="1" applyAlignment="1">
      <alignment horizontal="center" vertical="center"/>
    </xf>
    <xf numFmtId="0" fontId="65" fillId="0" borderId="40" xfId="677" applyFont="1" applyBorder="1" applyAlignment="1">
      <alignment horizontal="left" vertical="center" wrapText="1"/>
    </xf>
    <xf numFmtId="0" fontId="60" fillId="0" borderId="42" xfId="876" applyFont="1" applyBorder="1" applyAlignment="1">
      <alignment horizontal="center" vertical="center"/>
    </xf>
    <xf numFmtId="0" fontId="60" fillId="0" borderId="28" xfId="876" applyFont="1" applyBorder="1" applyAlignment="1">
      <alignment horizontal="center" vertical="center"/>
    </xf>
    <xf numFmtId="0" fontId="65" fillId="0" borderId="46" xfId="677" applyFont="1" applyBorder="1" applyAlignment="1">
      <alignment horizontal="center" vertical="center" wrapText="1"/>
    </xf>
    <xf numFmtId="0" fontId="60" fillId="54" borderId="0" xfId="876" applyFont="1" applyFill="1" applyAlignment="1">
      <alignment horizontal="center" vertical="center"/>
    </xf>
    <xf numFmtId="0" fontId="60" fillId="54" borderId="19" xfId="876" applyFont="1" applyFill="1" applyBorder="1" applyAlignment="1">
      <alignment horizontal="center" vertical="center"/>
    </xf>
    <xf numFmtId="0" fontId="60" fillId="43" borderId="0" xfId="876" applyFont="1" applyFill="1" applyAlignment="1">
      <alignment horizontal="center" vertical="center"/>
    </xf>
    <xf numFmtId="0" fontId="60" fillId="43" borderId="19" xfId="876" applyFont="1" applyFill="1" applyBorder="1" applyAlignment="1">
      <alignment horizontal="center" vertical="center"/>
    </xf>
    <xf numFmtId="0" fontId="60" fillId="0" borderId="19" xfId="876" applyFont="1" applyBorder="1" applyAlignment="1">
      <alignment horizontal="center" vertical="center"/>
    </xf>
    <xf numFmtId="0" fontId="65" fillId="0" borderId="59" xfId="677" applyFont="1" applyBorder="1" applyAlignment="1">
      <alignment horizontal="center" vertical="center" wrapText="1"/>
    </xf>
    <xf numFmtId="0" fontId="65" fillId="0" borderId="45" xfId="677" applyFont="1" applyBorder="1" applyAlignment="1">
      <alignment horizontal="center" vertical="center" wrapText="1"/>
    </xf>
    <xf numFmtId="0" fontId="65" fillId="0" borderId="41" xfId="677" applyFont="1" applyBorder="1" applyAlignment="1">
      <alignment horizontal="left" vertical="center" wrapText="1"/>
    </xf>
    <xf numFmtId="0" fontId="68" fillId="36" borderId="51" xfId="677" applyFont="1" applyFill="1" applyBorder="1" applyAlignment="1">
      <alignment horizontal="center" vertical="center" wrapText="1"/>
    </xf>
    <xf numFmtId="0" fontId="68" fillId="37" borderId="47" xfId="677" applyFont="1" applyFill="1" applyBorder="1" applyAlignment="1">
      <alignment horizontal="center" vertical="center" wrapText="1"/>
    </xf>
    <xf numFmtId="0" fontId="68" fillId="36" borderId="26" xfId="677" applyFont="1" applyFill="1" applyBorder="1" applyAlignment="1">
      <alignment horizontal="center" vertical="center" wrapText="1"/>
    </xf>
    <xf numFmtId="0" fontId="68" fillId="0" borderId="47" xfId="677" applyFont="1" applyBorder="1" applyAlignment="1">
      <alignment horizontal="center" vertical="center" wrapText="1"/>
    </xf>
    <xf numFmtId="0" fontId="65" fillId="0" borderId="40" xfId="677" applyFont="1" applyBorder="1" applyAlignment="1">
      <alignment horizontal="left" vertical="center"/>
    </xf>
    <xf numFmtId="0" fontId="68" fillId="35" borderId="49" xfId="677" applyFont="1" applyFill="1" applyBorder="1" applyAlignment="1">
      <alignment horizontal="center" vertical="center" wrapText="1"/>
    </xf>
    <xf numFmtId="0" fontId="60" fillId="35" borderId="42" xfId="876" applyFont="1" applyFill="1" applyBorder="1" applyAlignment="1">
      <alignment horizontal="center" vertical="center"/>
    </xf>
    <xf numFmtId="0" fontId="60" fillId="35" borderId="28" xfId="876" applyFont="1" applyFill="1" applyBorder="1" applyAlignment="1">
      <alignment horizontal="center" vertical="center"/>
    </xf>
    <xf numFmtId="0" fontId="65" fillId="35" borderId="46" xfId="677" applyFont="1" applyFill="1" applyBorder="1" applyAlignment="1">
      <alignment horizontal="center" vertical="center" wrapText="1"/>
    </xf>
    <xf numFmtId="0" fontId="60" fillId="35" borderId="0" xfId="876" applyFont="1" applyFill="1" applyAlignment="1">
      <alignment horizontal="center" vertical="center"/>
    </xf>
    <xf numFmtId="0" fontId="60" fillId="35" borderId="19" xfId="876" applyFont="1" applyFill="1" applyBorder="1" applyAlignment="1">
      <alignment horizontal="center" vertical="center"/>
    </xf>
    <xf numFmtId="0" fontId="65" fillId="35" borderId="45" xfId="677" applyFont="1" applyFill="1" applyBorder="1" applyAlignment="1">
      <alignment horizontal="center" vertical="center" wrapText="1"/>
    </xf>
    <xf numFmtId="0" fontId="68" fillId="0" borderId="54" xfId="677" applyFont="1" applyBorder="1" applyAlignment="1">
      <alignment horizontal="center" vertical="center" wrapText="1"/>
    </xf>
    <xf numFmtId="166" fontId="60" fillId="0" borderId="42" xfId="876" applyNumberFormat="1" applyFont="1" applyBorder="1" applyAlignment="1">
      <alignment horizontal="center" vertical="center"/>
    </xf>
    <xf numFmtId="166" fontId="60" fillId="0" borderId="28" xfId="876" applyNumberFormat="1" applyFont="1" applyBorder="1" applyAlignment="1">
      <alignment horizontal="center" vertical="center"/>
    </xf>
    <xf numFmtId="166" fontId="60" fillId="0" borderId="0" xfId="876" applyNumberFormat="1" applyFont="1" applyAlignment="1">
      <alignment horizontal="center" vertical="center"/>
    </xf>
    <xf numFmtId="0" fontId="60" fillId="40" borderId="0" xfId="876" applyFont="1" applyFill="1" applyAlignment="1">
      <alignment horizontal="center" vertical="center"/>
    </xf>
    <xf numFmtId="0" fontId="60" fillId="40" borderId="19" xfId="876" applyFont="1" applyFill="1" applyBorder="1" applyAlignment="1">
      <alignment horizontal="center" vertical="center"/>
    </xf>
    <xf numFmtId="0" fontId="60" fillId="40" borderId="26" xfId="876" applyFont="1" applyFill="1" applyBorder="1" applyAlignment="1">
      <alignment vertical="center"/>
    </xf>
    <xf numFmtId="0" fontId="68" fillId="0" borderId="24" xfId="677" applyFont="1" applyBorder="1" applyAlignment="1">
      <alignment horizontal="center" vertical="center" wrapText="1"/>
    </xf>
    <xf numFmtId="0" fontId="68" fillId="0" borderId="0" xfId="677" applyFont="1" applyAlignment="1">
      <alignment horizontal="center" vertical="center" wrapText="1"/>
    </xf>
    <xf numFmtId="0" fontId="68" fillId="33" borderId="51" xfId="677" applyFont="1" applyFill="1" applyBorder="1" applyAlignment="1">
      <alignment horizontal="center" vertical="center" wrapText="1"/>
    </xf>
    <xf numFmtId="0" fontId="68" fillId="40" borderId="49" xfId="677" applyFont="1" applyFill="1" applyBorder="1" applyAlignment="1">
      <alignment horizontal="center" vertical="center" wrapText="1"/>
    </xf>
    <xf numFmtId="0" fontId="68" fillId="40" borderId="47" xfId="677" applyFont="1" applyFill="1" applyBorder="1" applyAlignment="1">
      <alignment horizontal="center" vertical="center" wrapText="1"/>
    </xf>
    <xf numFmtId="0" fontId="60" fillId="0" borderId="0" xfId="876" quotePrefix="1" applyFont="1" applyAlignment="1">
      <alignment horizontal="center" vertical="center" wrapText="1"/>
    </xf>
    <xf numFmtId="0" fontId="60" fillId="0" borderId="0" xfId="876" applyFont="1" applyAlignment="1">
      <alignment horizontal="left" vertical="center" indent="3"/>
    </xf>
    <xf numFmtId="0" fontId="60" fillId="0" borderId="0" xfId="876" applyFont="1" applyAlignment="1">
      <alignment horizontal="left" vertical="center" indent="2"/>
    </xf>
    <xf numFmtId="0" fontId="47" fillId="41" borderId="20" xfId="676" applyFont="1" applyFill="1" applyBorder="1" applyAlignment="1">
      <alignment horizontal="center" vertical="center" wrapText="1"/>
    </xf>
    <xf numFmtId="0" fontId="65" fillId="41" borderId="20" xfId="677" applyFont="1" applyFill="1" applyBorder="1" applyAlignment="1">
      <alignment horizontal="left" vertical="center" wrapText="1" indent="1"/>
    </xf>
    <xf numFmtId="0" fontId="48" fillId="41" borderId="20" xfId="676" applyFont="1" applyFill="1" applyBorder="1" applyAlignment="1">
      <alignment horizontal="center" vertical="center" wrapText="1"/>
    </xf>
    <xf numFmtId="0" fontId="48" fillId="41" borderId="20" xfId="676" applyFont="1" applyFill="1" applyBorder="1" applyAlignment="1" applyProtection="1">
      <alignment horizontal="center" vertical="center" wrapText="1"/>
      <protection locked="0"/>
    </xf>
    <xf numFmtId="0" fontId="65" fillId="0" borderId="20" xfId="677" applyFont="1" applyBorder="1" applyAlignment="1">
      <alignment horizontal="left" vertical="center" wrapText="1" indent="1"/>
    </xf>
    <xf numFmtId="0" fontId="48" fillId="0" borderId="30" xfId="676" applyFont="1" applyBorder="1" applyAlignment="1">
      <alignment horizontal="center" vertical="center" wrapText="1"/>
    </xf>
    <xf numFmtId="0" fontId="47" fillId="41" borderId="30" xfId="676" applyFont="1" applyFill="1" applyBorder="1" applyAlignment="1">
      <alignment horizontal="center" vertical="center" wrapText="1"/>
    </xf>
    <xf numFmtId="0" fontId="47" fillId="41" borderId="16" xfId="676" applyFont="1" applyFill="1" applyBorder="1" applyAlignment="1">
      <alignment horizontal="left" vertical="center" wrapText="1" indent="1"/>
    </xf>
    <xf numFmtId="0" fontId="47" fillId="41" borderId="16" xfId="676" applyFont="1" applyFill="1" applyBorder="1" applyAlignment="1">
      <alignment horizontal="center" vertical="center" wrapText="1"/>
    </xf>
    <xf numFmtId="0" fontId="47" fillId="41" borderId="19" xfId="676" applyFont="1" applyFill="1" applyBorder="1" applyAlignment="1">
      <alignment horizontal="center" vertical="center" wrapText="1"/>
    </xf>
    <xf numFmtId="0" fontId="74" fillId="59" borderId="24" xfId="677" applyFont="1" applyFill="1" applyBorder="1" applyAlignment="1">
      <alignment horizontal="center" vertical="center" wrapText="1"/>
    </xf>
    <xf numFmtId="0" fontId="74" fillId="34" borderId="24" xfId="677" applyFont="1" applyFill="1" applyBorder="1" applyAlignment="1">
      <alignment horizontal="center" vertical="center" wrapText="1"/>
    </xf>
    <xf numFmtId="0" fontId="74" fillId="59" borderId="48" xfId="677" applyFont="1" applyFill="1" applyBorder="1" applyAlignment="1">
      <alignment horizontal="center" vertical="center" wrapText="1"/>
    </xf>
    <xf numFmtId="0" fontId="62" fillId="40" borderId="51" xfId="677" applyFont="1" applyFill="1" applyBorder="1" applyAlignment="1">
      <alignment horizontal="left" vertical="center" wrapText="1"/>
    </xf>
    <xf numFmtId="0" fontId="62" fillId="40" borderId="48" xfId="677" applyFont="1" applyFill="1" applyBorder="1" applyAlignment="1">
      <alignment horizontal="left" vertical="center" wrapText="1"/>
    </xf>
    <xf numFmtId="0" fontId="62" fillId="40" borderId="24" xfId="677" applyFont="1" applyFill="1" applyBorder="1" applyAlignment="1">
      <alignment horizontal="left" vertical="center" wrapText="1"/>
    </xf>
    <xf numFmtId="0" fontId="62" fillId="40" borderId="27" xfId="677" applyFont="1" applyFill="1" applyBorder="1" applyAlignment="1">
      <alignment horizontal="left" vertical="center" wrapText="1"/>
    </xf>
    <xf numFmtId="0" fontId="62" fillId="34" borderId="48" xfId="677" applyFont="1" applyFill="1" applyBorder="1" applyAlignment="1">
      <alignment horizontal="left" vertical="center" wrapText="1"/>
    </xf>
    <xf numFmtId="0" fontId="68" fillId="35" borderId="47" xfId="677" applyFont="1" applyFill="1" applyBorder="1" applyAlignment="1">
      <alignment horizontal="center" vertical="center" wrapText="1"/>
    </xf>
    <xf numFmtId="0" fontId="68" fillId="35" borderId="51" xfId="677" applyFont="1" applyFill="1" applyBorder="1" applyAlignment="1">
      <alignment horizontal="center" vertical="center" wrapText="1"/>
    </xf>
    <xf numFmtId="0" fontId="68" fillId="38" borderId="49" xfId="677" applyFont="1" applyFill="1" applyBorder="1" applyAlignment="1">
      <alignment horizontal="center" vertical="center" wrapText="1"/>
    </xf>
    <xf numFmtId="0" fontId="68" fillId="38" borderId="85" xfId="677" applyFont="1" applyFill="1" applyBorder="1" applyAlignment="1">
      <alignment horizontal="center" vertical="center" wrapText="1"/>
    </xf>
    <xf numFmtId="0" fontId="68" fillId="33" borderId="26" xfId="677" applyFont="1" applyFill="1" applyBorder="1" applyAlignment="1">
      <alignment horizontal="center" vertical="center" wrapText="1"/>
    </xf>
    <xf numFmtId="0" fontId="68" fillId="33" borderId="25" xfId="677" applyFont="1" applyFill="1" applyBorder="1" applyAlignment="1">
      <alignment horizontal="center" vertical="center" wrapText="1"/>
    </xf>
    <xf numFmtId="0" fontId="65" fillId="0" borderId="49" xfId="677" applyFont="1" applyBorder="1" applyAlignment="1">
      <alignment horizontal="center" vertical="center" wrapText="1"/>
    </xf>
    <xf numFmtId="0" fontId="68" fillId="41" borderId="49" xfId="677" applyFont="1" applyFill="1" applyBorder="1" applyAlignment="1">
      <alignment horizontal="center" vertical="center" wrapText="1"/>
    </xf>
    <xf numFmtId="0" fontId="62" fillId="58" borderId="73" xfId="677" applyFont="1" applyFill="1" applyBorder="1" applyAlignment="1">
      <alignment horizontal="center" vertical="center" wrapText="1"/>
    </xf>
    <xf numFmtId="0" fontId="62" fillId="58" borderId="76" xfId="677" applyFont="1" applyFill="1" applyBorder="1" applyAlignment="1">
      <alignment horizontal="center" vertical="center" wrapText="1"/>
    </xf>
    <xf numFmtId="0" fontId="62" fillId="58" borderId="79" xfId="677" applyFont="1" applyFill="1" applyBorder="1" applyAlignment="1">
      <alignment horizontal="center" vertical="center" wrapText="1"/>
    </xf>
    <xf numFmtId="0" fontId="65" fillId="40" borderId="73" xfId="677" applyFont="1" applyFill="1" applyBorder="1" applyAlignment="1">
      <alignment horizontal="center" vertical="center" wrapText="1"/>
    </xf>
    <xf numFmtId="0" fontId="65" fillId="40" borderId="79" xfId="677" applyFont="1" applyFill="1" applyBorder="1" applyAlignment="1">
      <alignment horizontal="center" vertical="center" wrapText="1"/>
    </xf>
    <xf numFmtId="0" fontId="65" fillId="40" borderId="82" xfId="677" applyFont="1" applyFill="1" applyBorder="1" applyAlignment="1">
      <alignment horizontal="center" vertical="center" wrapText="1"/>
    </xf>
    <xf numFmtId="0" fontId="65" fillId="40" borderId="76" xfId="677" applyFont="1" applyFill="1" applyBorder="1" applyAlignment="1">
      <alignment horizontal="center" vertical="center" wrapText="1"/>
    </xf>
    <xf numFmtId="0" fontId="65" fillId="54" borderId="46" xfId="677" applyFont="1" applyFill="1" applyBorder="1" applyAlignment="1">
      <alignment horizontal="left" vertical="center" wrapText="1" indent="1"/>
    </xf>
    <xf numFmtId="0" fontId="65" fillId="54" borderId="46" xfId="677" applyFont="1" applyFill="1" applyBorder="1" applyAlignment="1">
      <alignment horizontal="center" vertical="center" wrapText="1"/>
    </xf>
    <xf numFmtId="0" fontId="65" fillId="43" borderId="46" xfId="677" applyFont="1" applyFill="1" applyBorder="1" applyAlignment="1">
      <alignment horizontal="left" vertical="center" wrapText="1" indent="1"/>
    </xf>
    <xf numFmtId="0" fontId="65" fillId="43" borderId="46" xfId="677" applyFont="1" applyFill="1" applyBorder="1" applyAlignment="1">
      <alignment horizontal="center" vertical="center" wrapText="1"/>
    </xf>
    <xf numFmtId="0" fontId="65" fillId="0" borderId="46" xfId="677" applyFont="1" applyBorder="1" applyAlignment="1">
      <alignment horizontal="left" vertical="center" wrapText="1" indent="1"/>
    </xf>
    <xf numFmtId="0" fontId="65" fillId="0" borderId="59" xfId="677" applyFont="1" applyBorder="1" applyAlignment="1">
      <alignment horizontal="left" vertical="center" wrapText="1" indent="1"/>
    </xf>
    <xf numFmtId="0" fontId="65" fillId="0" borderId="45" xfId="677" applyFont="1" applyBorder="1" applyAlignment="1">
      <alignment horizontal="left" vertical="center" wrapText="1" indent="1"/>
    </xf>
    <xf numFmtId="0" fontId="65" fillId="35" borderId="45" xfId="677" applyFont="1" applyFill="1" applyBorder="1" applyAlignment="1">
      <alignment horizontal="left" vertical="center" wrapText="1" indent="1"/>
    </xf>
    <xf numFmtId="0" fontId="65" fillId="35" borderId="46" xfId="677" applyFont="1" applyFill="1" applyBorder="1" applyAlignment="1">
      <alignment horizontal="left" vertical="center" wrapText="1" indent="1"/>
    </xf>
    <xf numFmtId="0" fontId="65" fillId="0" borderId="22" xfId="677" applyFont="1" applyBorder="1" applyAlignment="1">
      <alignment horizontal="left" vertical="center" wrapText="1" indent="1"/>
    </xf>
    <xf numFmtId="0" fontId="65" fillId="40" borderId="23" xfId="677" applyFont="1" applyFill="1" applyBorder="1" applyAlignment="1">
      <alignment horizontal="left" vertical="center" wrapText="1" indent="1"/>
    </xf>
    <xf numFmtId="0" fontId="65" fillId="40" borderId="46" xfId="677" applyFont="1" applyFill="1" applyBorder="1" applyAlignment="1">
      <alignment horizontal="left" vertical="center" wrapText="1" indent="1"/>
    </xf>
    <xf numFmtId="0" fontId="65" fillId="40" borderId="46" xfId="677" applyFont="1" applyFill="1" applyBorder="1" applyAlignment="1">
      <alignment horizontal="center" vertical="center" wrapText="1"/>
    </xf>
    <xf numFmtId="0" fontId="65" fillId="0" borderId="23" xfId="677" applyFont="1" applyBorder="1" applyAlignment="1">
      <alignment horizontal="left" vertical="center" wrapText="1" indent="1"/>
    </xf>
    <xf numFmtId="0" fontId="65" fillId="40" borderId="45" xfId="677" applyFont="1" applyFill="1" applyBorder="1" applyAlignment="1">
      <alignment horizontal="center" vertical="center" wrapText="1"/>
    </xf>
    <xf numFmtId="0" fontId="65" fillId="40" borderId="45" xfId="677" applyFont="1" applyFill="1" applyBorder="1" applyAlignment="1">
      <alignment horizontal="left" vertical="center" wrapText="1" indent="1"/>
    </xf>
    <xf numFmtId="0" fontId="65" fillId="40" borderId="20" xfId="677" applyFont="1" applyFill="1" applyBorder="1" applyAlignment="1">
      <alignment horizontal="center" vertical="center" wrapText="1"/>
    </xf>
    <xf numFmtId="0" fontId="65" fillId="40" borderId="20" xfId="677" applyFont="1" applyFill="1" applyBorder="1" applyAlignment="1">
      <alignment horizontal="left" vertical="center" wrapText="1" indent="1"/>
    </xf>
    <xf numFmtId="0" fontId="65" fillId="0" borderId="23" xfId="677" applyFont="1" applyBorder="1" applyAlignment="1">
      <alignment horizontal="center" vertical="center" wrapText="1"/>
    </xf>
    <xf numFmtId="0" fontId="65" fillId="41" borderId="45" xfId="677" applyFont="1" applyFill="1" applyBorder="1" applyAlignment="1">
      <alignment horizontal="center" vertical="center" wrapText="1"/>
    </xf>
    <xf numFmtId="0" fontId="65" fillId="41" borderId="45" xfId="677" applyFont="1" applyFill="1" applyBorder="1" applyAlignment="1">
      <alignment horizontal="left" vertical="center" wrapText="1" indent="1"/>
    </xf>
    <xf numFmtId="0" fontId="62" fillId="0" borderId="20" xfId="677" applyFont="1" applyBorder="1" applyAlignment="1">
      <alignment horizontal="left" vertical="center" wrapText="1" indent="1"/>
    </xf>
    <xf numFmtId="0" fontId="62" fillId="40" borderId="73" xfId="677" applyFont="1" applyFill="1" applyBorder="1" applyAlignment="1">
      <alignment horizontal="left" vertical="center" wrapText="1" indent="1"/>
    </xf>
    <xf numFmtId="0" fontId="71" fillId="40" borderId="76" xfId="677" quotePrefix="1" applyFont="1" applyFill="1" applyBorder="1" applyAlignment="1">
      <alignment horizontal="left" vertical="center" wrapText="1" indent="1"/>
    </xf>
    <xf numFmtId="0" fontId="62" fillId="40" borderId="79" xfId="677" applyFont="1" applyFill="1" applyBorder="1" applyAlignment="1">
      <alignment horizontal="left" vertical="center" wrapText="1" indent="1"/>
    </xf>
    <xf numFmtId="0" fontId="62" fillId="40" borderId="82" xfId="677" applyFont="1" applyFill="1" applyBorder="1" applyAlignment="1">
      <alignment horizontal="left" vertical="center" wrapText="1" indent="1"/>
    </xf>
    <xf numFmtId="0" fontId="62" fillId="40" borderId="76" xfId="677" applyFont="1" applyFill="1" applyBorder="1" applyAlignment="1">
      <alignment horizontal="left" vertical="center" wrapText="1" indent="1"/>
    </xf>
    <xf numFmtId="0" fontId="62" fillId="54" borderId="46" xfId="677" applyFont="1" applyFill="1" applyBorder="1" applyAlignment="1">
      <alignment horizontal="left" vertical="center" wrapText="1" indent="1"/>
    </xf>
    <xf numFmtId="0" fontId="62" fillId="43" borderId="46" xfId="677" applyFont="1" applyFill="1" applyBorder="1" applyAlignment="1">
      <alignment horizontal="left" vertical="center" wrapText="1" indent="1"/>
    </xf>
    <xf numFmtId="0" fontId="62" fillId="0" borderId="46" xfId="677" applyFont="1" applyBorder="1" applyAlignment="1">
      <alignment horizontal="left" vertical="center" wrapText="1" indent="1"/>
    </xf>
    <xf numFmtId="0" fontId="62" fillId="0" borderId="59" xfId="677" applyFont="1" applyBorder="1" applyAlignment="1">
      <alignment horizontal="left" vertical="center" wrapText="1" indent="1"/>
    </xf>
    <xf numFmtId="0" fontId="62" fillId="0" borderId="45" xfId="677" applyFont="1" applyBorder="1" applyAlignment="1">
      <alignment horizontal="left" vertical="center" wrapText="1" indent="1"/>
    </xf>
    <xf numFmtId="0" fontId="62" fillId="35" borderId="45" xfId="677" applyFont="1" applyFill="1" applyBorder="1" applyAlignment="1">
      <alignment horizontal="left" vertical="center" wrapText="1" indent="1"/>
    </xf>
    <xf numFmtId="0" fontId="62" fillId="35" borderId="22" xfId="677" applyFont="1" applyFill="1" applyBorder="1" applyAlignment="1">
      <alignment horizontal="left" vertical="center" wrapText="1" indent="1"/>
    </xf>
    <xf numFmtId="0" fontId="71" fillId="35" borderId="46" xfId="677" quotePrefix="1" applyFont="1" applyFill="1" applyBorder="1" applyAlignment="1">
      <alignment horizontal="left" vertical="center" wrapText="1" indent="1"/>
    </xf>
    <xf numFmtId="0" fontId="62" fillId="0" borderId="22" xfId="677" applyFont="1" applyBorder="1" applyAlignment="1">
      <alignment horizontal="left" vertical="center" wrapText="1" indent="1"/>
    </xf>
    <xf numFmtId="0" fontId="62" fillId="35" borderId="46" xfId="677" applyFont="1" applyFill="1" applyBorder="1" applyAlignment="1">
      <alignment horizontal="left" vertical="center" wrapText="1" indent="1"/>
    </xf>
    <xf numFmtId="0" fontId="71" fillId="35" borderId="45" xfId="677" quotePrefix="1" applyFont="1" applyFill="1" applyBorder="1" applyAlignment="1">
      <alignment horizontal="left" vertical="center" wrapText="1" indent="1"/>
    </xf>
    <xf numFmtId="0" fontId="62" fillId="40" borderId="23" xfId="677" applyFont="1" applyFill="1" applyBorder="1" applyAlignment="1">
      <alignment horizontal="left" vertical="center" wrapText="1" indent="1"/>
    </xf>
    <xf numFmtId="0" fontId="62" fillId="0" borderId="23" xfId="677" applyFont="1" applyBorder="1" applyAlignment="1">
      <alignment horizontal="left" vertical="center" wrapText="1" indent="1"/>
    </xf>
    <xf numFmtId="0" fontId="62" fillId="40" borderId="45" xfId="677" applyFont="1" applyFill="1" applyBorder="1" applyAlignment="1">
      <alignment horizontal="left" vertical="center" wrapText="1" indent="1"/>
    </xf>
    <xf numFmtId="0" fontId="62" fillId="40" borderId="20" xfId="677" applyFont="1" applyFill="1" applyBorder="1" applyAlignment="1">
      <alignment horizontal="left" vertical="center" wrapText="1" indent="1"/>
    </xf>
    <xf numFmtId="0" fontId="62" fillId="40" borderId="46" xfId="677" applyFont="1" applyFill="1" applyBorder="1" applyAlignment="1">
      <alignment horizontal="left" vertical="center" wrapText="1" indent="1"/>
    </xf>
    <xf numFmtId="0" fontId="60" fillId="0" borderId="22" xfId="876" applyFont="1" applyBorder="1" applyAlignment="1">
      <alignment horizontal="left" vertical="center" indent="1"/>
    </xf>
    <xf numFmtId="0" fontId="62" fillId="0" borderId="23" xfId="876" applyFont="1" applyBorder="1" applyAlignment="1">
      <alignment horizontal="left" vertical="center" indent="1"/>
    </xf>
    <xf numFmtId="0" fontId="62" fillId="41" borderId="45" xfId="677" applyFont="1" applyFill="1" applyBorder="1" applyAlignment="1">
      <alignment horizontal="left" vertical="center" wrapText="1" indent="1"/>
    </xf>
    <xf numFmtId="0" fontId="38" fillId="0" borderId="26" xfId="676" applyFont="1" applyBorder="1" applyAlignment="1">
      <alignment horizontal="left" vertical="center" wrapText="1"/>
    </xf>
    <xf numFmtId="0" fontId="43" fillId="0" borderId="26" xfId="676" applyFont="1" applyBorder="1" applyAlignment="1">
      <alignment horizontal="left" vertical="center" wrapText="1"/>
    </xf>
    <xf numFmtId="0" fontId="44" fillId="44" borderId="68" xfId="676" applyFont="1" applyFill="1" applyBorder="1" applyAlignment="1">
      <alignment horizontal="left" vertical="center" wrapText="1"/>
    </xf>
    <xf numFmtId="0" fontId="8" fillId="44" borderId="15" xfId="676" applyFont="1" applyFill="1" applyBorder="1" applyAlignment="1">
      <alignment horizontal="left" vertical="center" wrapText="1" indent="1"/>
    </xf>
    <xf numFmtId="0" fontId="45" fillId="0" borderId="30" xfId="676" applyFont="1" applyBorder="1" applyAlignment="1">
      <alignment horizontal="left" vertical="center" wrapText="1"/>
    </xf>
    <xf numFmtId="0" fontId="9" fillId="0" borderId="16" xfId="676" applyFont="1" applyBorder="1" applyAlignment="1">
      <alignment horizontal="left" vertical="center" wrapText="1" indent="1"/>
    </xf>
    <xf numFmtId="0" fontId="47" fillId="0" borderId="30" xfId="676" applyFont="1" applyBorder="1" applyAlignment="1">
      <alignment horizontal="left" vertical="center" wrapText="1"/>
    </xf>
    <xf numFmtId="0" fontId="81" fillId="43" borderId="0" xfId="676" applyFont="1" applyFill="1" applyAlignment="1">
      <alignment horizontal="left" vertical="center" wrapText="1"/>
    </xf>
    <xf numFmtId="0" fontId="10" fillId="0" borderId="16" xfId="676" applyFont="1" applyBorder="1" applyAlignment="1">
      <alignment horizontal="left" vertical="center" wrapText="1" indent="1"/>
    </xf>
    <xf numFmtId="0" fontId="11" fillId="0" borderId="16" xfId="676" applyFont="1" applyBorder="1" applyAlignment="1">
      <alignment horizontal="left" vertical="center" wrapText="1" indent="1"/>
    </xf>
    <xf numFmtId="0" fontId="11" fillId="0" borderId="26" xfId="676" applyFont="1" applyBorder="1" applyAlignment="1">
      <alignment horizontal="left" vertical="center" wrapText="1" indent="1"/>
    </xf>
    <xf numFmtId="0" fontId="11" fillId="0" borderId="20" xfId="676" applyFont="1" applyBorder="1" applyAlignment="1">
      <alignment horizontal="left" vertical="center" wrapText="1" indent="1"/>
    </xf>
    <xf numFmtId="0" fontId="47" fillId="0" borderId="20" xfId="676" applyFont="1" applyBorder="1" applyAlignment="1">
      <alignment horizontal="left" vertical="center" wrapText="1"/>
    </xf>
    <xf numFmtId="0" fontId="12" fillId="0" borderId="17" xfId="676" applyFont="1" applyBorder="1" applyAlignment="1">
      <alignment horizontal="left" vertical="center" wrapText="1" indent="1"/>
    </xf>
    <xf numFmtId="0" fontId="12" fillId="0" borderId="16" xfId="676" applyFont="1" applyBorder="1" applyAlignment="1">
      <alignment horizontal="left" vertical="center" wrapText="1" indent="1"/>
    </xf>
    <xf numFmtId="4" fontId="11" fillId="0" borderId="16" xfId="676" applyNumberFormat="1" applyFont="1" applyBorder="1" applyAlignment="1">
      <alignment horizontal="left" vertical="center" wrapText="1" indent="1"/>
    </xf>
    <xf numFmtId="0" fontId="47" fillId="41" borderId="30" xfId="676" applyFont="1" applyFill="1" applyBorder="1" applyAlignment="1">
      <alignment horizontal="left" vertical="center" wrapText="1"/>
    </xf>
    <xf numFmtId="0" fontId="11" fillId="41" borderId="16" xfId="676" applyFont="1" applyFill="1" applyBorder="1" applyAlignment="1">
      <alignment horizontal="left" vertical="center" wrapText="1" indent="1"/>
    </xf>
    <xf numFmtId="0" fontId="76" fillId="0" borderId="30" xfId="676" applyFont="1" applyBorder="1" applyAlignment="1">
      <alignment horizontal="left" vertical="center" wrapText="1"/>
    </xf>
    <xf numFmtId="0" fontId="86" fillId="0" borderId="30" xfId="676" applyFont="1" applyBorder="1" applyAlignment="1">
      <alignment horizontal="left" vertical="center" wrapText="1"/>
    </xf>
    <xf numFmtId="0" fontId="76" fillId="41" borderId="30" xfId="676" applyFont="1" applyFill="1" applyBorder="1" applyAlignment="1">
      <alignment horizontal="left" vertical="center" wrapText="1"/>
    </xf>
    <xf numFmtId="4" fontId="11" fillId="41" borderId="16" xfId="676" applyNumberFormat="1" applyFont="1" applyFill="1" applyBorder="1" applyAlignment="1">
      <alignment horizontal="left" vertical="center" wrapText="1" indent="1"/>
    </xf>
    <xf numFmtId="0" fontId="47" fillId="41" borderId="20" xfId="676" applyFont="1" applyFill="1" applyBorder="1" applyAlignment="1">
      <alignment horizontal="left" vertical="center" wrapText="1"/>
    </xf>
    <xf numFmtId="0" fontId="11" fillId="41" borderId="20" xfId="676" applyFont="1" applyFill="1" applyBorder="1" applyAlignment="1">
      <alignment horizontal="left" vertical="center" wrapText="1" indent="1"/>
    </xf>
    <xf numFmtId="0" fontId="77" fillId="0" borderId="0" xfId="676" applyFont="1" applyAlignment="1">
      <alignment horizontal="left" vertical="center" wrapText="1"/>
    </xf>
    <xf numFmtId="0" fontId="76" fillId="37" borderId="30" xfId="676" applyFont="1" applyFill="1" applyBorder="1" applyAlignment="1">
      <alignment horizontal="left" vertical="center" wrapText="1"/>
    </xf>
    <xf numFmtId="0" fontId="11" fillId="0" borderId="17" xfId="676" applyFont="1" applyBorder="1" applyAlignment="1">
      <alignment horizontal="left" vertical="center" wrapText="1" indent="1"/>
    </xf>
    <xf numFmtId="0" fontId="27" fillId="0" borderId="0" xfId="676" applyFont="1" applyAlignment="1">
      <alignment horizontal="left" vertical="center" wrapText="1"/>
    </xf>
    <xf numFmtId="0" fontId="37" fillId="0" borderId="16" xfId="676" applyFont="1" applyBorder="1" applyAlignment="1">
      <alignment horizontal="left" vertical="center" wrapText="1" indent="1"/>
    </xf>
    <xf numFmtId="0" fontId="47" fillId="0" borderId="32" xfId="676" applyFont="1" applyBorder="1" applyAlignment="1">
      <alignment horizontal="left" vertical="center" wrapText="1"/>
    </xf>
    <xf numFmtId="0" fontId="11" fillId="0" borderId="21" xfId="676" applyFont="1" applyBorder="1" applyAlignment="1">
      <alignment horizontal="left" vertical="center" wrapText="1" indent="1"/>
    </xf>
    <xf numFmtId="0" fontId="47" fillId="37" borderId="30" xfId="676" applyFont="1" applyFill="1" applyBorder="1" applyAlignment="1">
      <alignment horizontal="left" vertical="center" wrapText="1"/>
    </xf>
    <xf numFmtId="4" fontId="11" fillId="37" borderId="16" xfId="676" applyNumberFormat="1" applyFont="1" applyFill="1" applyBorder="1" applyAlignment="1">
      <alignment horizontal="left" vertical="center" wrapText="1" indent="1"/>
    </xf>
    <xf numFmtId="0" fontId="11" fillId="0" borderId="29" xfId="676" applyFont="1" applyBorder="1" applyAlignment="1">
      <alignment horizontal="left" vertical="center" wrapText="1" indent="1"/>
    </xf>
    <xf numFmtId="4" fontId="11" fillId="0" borderId="29" xfId="676" applyNumberFormat="1" applyFont="1" applyBorder="1" applyAlignment="1">
      <alignment horizontal="left" vertical="center" wrapText="1" indent="1"/>
    </xf>
    <xf numFmtId="0" fontId="12" fillId="0" borderId="53" xfId="676" applyFont="1" applyBorder="1" applyAlignment="1">
      <alignment horizontal="left" vertical="center" wrapText="1" indent="1"/>
    </xf>
    <xf numFmtId="0" fontId="47" fillId="0" borderId="23" xfId="676" applyFont="1" applyBorder="1" applyAlignment="1">
      <alignment horizontal="left" vertical="center" wrapText="1"/>
    </xf>
    <xf numFmtId="0" fontId="47" fillId="0" borderId="22" xfId="676" applyFont="1" applyBorder="1" applyAlignment="1">
      <alignment horizontal="left" vertical="center" wrapText="1"/>
    </xf>
    <xf numFmtId="0" fontId="11" fillId="0" borderId="19" xfId="676" applyFont="1" applyBorder="1" applyAlignment="1">
      <alignment horizontal="left" vertical="center" wrapText="1" indent="1"/>
    </xf>
    <xf numFmtId="4" fontId="11" fillId="0" borderId="21" xfId="676" applyNumberFormat="1" applyFont="1" applyBorder="1" applyAlignment="1">
      <alignment horizontal="left" vertical="center" wrapText="1" indent="1"/>
    </xf>
    <xf numFmtId="0" fontId="47" fillId="37" borderId="20" xfId="676" applyFont="1" applyFill="1" applyBorder="1" applyAlignment="1">
      <alignment horizontal="left" vertical="center" wrapText="1"/>
    </xf>
    <xf numFmtId="0" fontId="11" fillId="37" borderId="17" xfId="676" applyFont="1" applyFill="1" applyBorder="1" applyAlignment="1">
      <alignment horizontal="left" vertical="center" wrapText="1" indent="1"/>
    </xf>
    <xf numFmtId="0" fontId="43" fillId="0" borderId="0" xfId="676" applyFont="1" applyAlignment="1">
      <alignment horizontal="left" vertical="center" wrapText="1"/>
    </xf>
    <xf numFmtId="0" fontId="48" fillId="42" borderId="20" xfId="676" applyFont="1" applyFill="1" applyBorder="1" applyAlignment="1" applyProtection="1">
      <alignment horizontal="center" vertical="center" wrapText="1"/>
      <protection locked="0"/>
    </xf>
    <xf numFmtId="0" fontId="87" fillId="42" borderId="30" xfId="676" applyFont="1" applyFill="1" applyBorder="1" applyAlignment="1">
      <alignment horizontal="left" vertical="center" wrapText="1"/>
    </xf>
    <xf numFmtId="0" fontId="48" fillId="37" borderId="20" xfId="676" quotePrefix="1" applyFont="1" applyFill="1" applyBorder="1" applyAlignment="1">
      <alignment horizontal="center" vertical="center" wrapText="1"/>
    </xf>
    <xf numFmtId="0" fontId="45" fillId="42" borderId="20" xfId="676" applyFont="1" applyFill="1" applyBorder="1" applyAlignment="1" applyProtection="1">
      <alignment horizontal="center" vertical="center" wrapText="1"/>
      <protection locked="0"/>
    </xf>
    <xf numFmtId="0" fontId="76" fillId="42" borderId="30" xfId="676" applyFont="1" applyFill="1" applyBorder="1" applyAlignment="1">
      <alignment horizontal="left" vertical="center" wrapText="1"/>
    </xf>
    <xf numFmtId="0" fontId="0" fillId="0" borderId="20" xfId="0" applyBorder="1" applyAlignment="1">
      <alignment horizontal="center" vertical="center" wrapText="1"/>
    </xf>
    <xf numFmtId="0" fontId="62" fillId="58" borderId="82" xfId="677" applyFont="1" applyFill="1" applyBorder="1" applyAlignment="1">
      <alignment horizontal="left" vertical="center" wrapText="1" indent="1"/>
    </xf>
    <xf numFmtId="0" fontId="62" fillId="58" borderId="86" xfId="677" applyFont="1" applyFill="1" applyBorder="1" applyAlignment="1">
      <alignment horizontal="left" vertical="center" wrapText="1" indent="1"/>
    </xf>
    <xf numFmtId="0" fontId="62" fillId="58" borderId="86" xfId="677" applyFont="1" applyFill="1" applyBorder="1" applyAlignment="1">
      <alignment horizontal="center" vertical="center" wrapText="1"/>
    </xf>
    <xf numFmtId="0" fontId="60" fillId="58" borderId="87" xfId="876" applyFont="1" applyFill="1" applyBorder="1" applyAlignment="1">
      <alignment horizontal="center" vertical="center"/>
    </xf>
    <xf numFmtId="0" fontId="60" fillId="58" borderId="88" xfId="876" applyFont="1" applyFill="1" applyBorder="1" applyAlignment="1">
      <alignment horizontal="center" vertical="center"/>
    </xf>
    <xf numFmtId="0" fontId="62" fillId="58" borderId="82" xfId="677" applyFont="1" applyFill="1" applyBorder="1" applyAlignment="1">
      <alignment horizontal="center" vertical="center" wrapText="1"/>
    </xf>
    <xf numFmtId="0" fontId="60" fillId="58" borderId="84" xfId="876" applyFont="1" applyFill="1" applyBorder="1" applyAlignment="1">
      <alignment horizontal="center" vertical="center"/>
    </xf>
    <xf numFmtId="0" fontId="60" fillId="58" borderId="83" xfId="876" applyFont="1" applyFill="1" applyBorder="1" applyAlignment="1">
      <alignment horizontal="center" vertical="center"/>
    </xf>
    <xf numFmtId="0" fontId="0" fillId="0" borderId="0" xfId="0" applyAlignment="1">
      <alignment horizontal="center"/>
    </xf>
    <xf numFmtId="0" fontId="0" fillId="0" borderId="20" xfId="0" applyBorder="1"/>
    <xf numFmtId="0" fontId="0" fillId="0" borderId="20" xfId="0" applyBorder="1" applyAlignment="1">
      <alignment horizontal="center"/>
    </xf>
    <xf numFmtId="0" fontId="62" fillId="40" borderId="86" xfId="677" applyFont="1" applyFill="1" applyBorder="1" applyAlignment="1">
      <alignment horizontal="left" vertical="center" wrapText="1" indent="1"/>
    </xf>
    <xf numFmtId="0" fontId="65" fillId="40" borderId="86" xfId="677" applyFont="1" applyFill="1" applyBorder="1" applyAlignment="1">
      <alignment horizontal="left" vertical="center" wrapText="1" indent="1"/>
    </xf>
    <xf numFmtId="0" fontId="65" fillId="40" borderId="86" xfId="677" applyFont="1" applyFill="1" applyBorder="1" applyAlignment="1">
      <alignment horizontal="center" vertical="center" wrapText="1"/>
    </xf>
    <xf numFmtId="0" fontId="60" fillId="40" borderId="87" xfId="876" applyFont="1" applyFill="1" applyBorder="1" applyAlignment="1">
      <alignment horizontal="center" vertical="center"/>
    </xf>
    <xf numFmtId="0" fontId="60" fillId="40" borderId="88" xfId="876" applyFont="1" applyFill="1" applyBorder="1" applyAlignment="1">
      <alignment horizontal="center" vertical="center"/>
    </xf>
    <xf numFmtId="0" fontId="89" fillId="59" borderId="24" xfId="677" applyFont="1" applyFill="1" applyBorder="1" applyAlignment="1">
      <alignment horizontal="center" vertical="center" wrapText="1"/>
    </xf>
    <xf numFmtId="0" fontId="62" fillId="58" borderId="23" xfId="677" applyFont="1" applyFill="1" applyBorder="1" applyAlignment="1">
      <alignment horizontal="left" vertical="center" wrapText="1" indent="1"/>
    </xf>
    <xf numFmtId="0" fontId="68" fillId="0" borderId="27" xfId="677" applyFont="1" applyBorder="1" applyAlignment="1">
      <alignment horizontal="center" vertical="center" wrapText="1"/>
    </xf>
    <xf numFmtId="0" fontId="68" fillId="0" borderId="25" xfId="677" applyFont="1" applyBorder="1" applyAlignment="1">
      <alignment horizontal="center" vertical="center" wrapText="1"/>
    </xf>
    <xf numFmtId="0" fontId="76" fillId="43" borderId="30" xfId="676" applyFont="1" applyFill="1" applyBorder="1" applyAlignment="1">
      <alignment horizontal="left" vertical="center" wrapText="1"/>
    </xf>
    <xf numFmtId="0" fontId="47" fillId="43" borderId="20" xfId="676" applyFont="1" applyFill="1" applyBorder="1" applyAlignment="1">
      <alignment horizontal="left" vertical="center" wrapText="1"/>
    </xf>
    <xf numFmtId="169" fontId="4" fillId="61" borderId="20" xfId="0" applyNumberFormat="1" applyFont="1" applyFill="1" applyBorder="1" applyAlignment="1" applyProtection="1">
      <alignment horizontal="center" vertical="center"/>
      <protection locked="0"/>
    </xf>
    <xf numFmtId="49" fontId="4" fillId="61" borderId="20" xfId="0" applyNumberFormat="1" applyFont="1" applyFill="1" applyBorder="1" applyAlignment="1" applyProtection="1">
      <alignment horizontal="center" vertical="center"/>
      <protection locked="0"/>
    </xf>
    <xf numFmtId="173" fontId="4" fillId="61" borderId="20" xfId="0" applyNumberFormat="1" applyFont="1" applyFill="1" applyBorder="1" applyAlignment="1" applyProtection="1">
      <alignment horizontal="center" vertical="center"/>
      <protection locked="0"/>
    </xf>
    <xf numFmtId="0" fontId="4" fillId="61" borderId="20" xfId="0" applyFont="1" applyFill="1" applyBorder="1" applyAlignment="1" applyProtection="1">
      <alignment horizontal="center" vertical="center"/>
      <protection locked="0"/>
    </xf>
    <xf numFmtId="1" fontId="4" fillId="61" borderId="20" xfId="0" applyNumberFormat="1" applyFont="1" applyFill="1" applyBorder="1" applyAlignment="1" applyProtection="1">
      <alignment horizontal="center" vertical="center"/>
      <protection locked="0"/>
    </xf>
    <xf numFmtId="166" fontId="4" fillId="61" borderId="20" xfId="0" applyNumberFormat="1" applyFont="1" applyFill="1" applyBorder="1" applyAlignment="1" applyProtection="1">
      <alignment horizontal="center" vertical="center"/>
      <protection locked="0"/>
    </xf>
    <xf numFmtId="0" fontId="4" fillId="61" borderId="20" xfId="0" applyFont="1" applyFill="1" applyBorder="1" applyAlignment="1">
      <alignment horizontal="center" vertical="center"/>
    </xf>
    <xf numFmtId="1" fontId="4" fillId="61" borderId="20" xfId="0" applyNumberFormat="1" applyFont="1" applyFill="1" applyBorder="1" applyAlignment="1">
      <alignment horizontal="center" vertical="center"/>
    </xf>
    <xf numFmtId="2" fontId="4" fillId="61" borderId="20" xfId="0" applyNumberFormat="1" applyFont="1" applyFill="1" applyBorder="1" applyAlignment="1" applyProtection="1">
      <alignment horizontal="center" vertical="center"/>
      <protection locked="0"/>
    </xf>
    <xf numFmtId="171" fontId="4" fillId="61" borderId="20" xfId="0" applyNumberFormat="1" applyFont="1" applyFill="1" applyBorder="1" applyAlignment="1" applyProtection="1">
      <alignment horizontal="center" vertical="center"/>
      <protection locked="0"/>
    </xf>
    <xf numFmtId="169" fontId="4" fillId="60" borderId="20" xfId="0" applyNumberFormat="1" applyFont="1" applyFill="1" applyBorder="1" applyAlignment="1" applyProtection="1">
      <alignment horizontal="center" vertical="center"/>
      <protection locked="0"/>
    </xf>
    <xf numFmtId="49" fontId="4" fillId="60" borderId="20" xfId="0" applyNumberFormat="1" applyFont="1" applyFill="1" applyBorder="1" applyAlignment="1" applyProtection="1">
      <alignment horizontal="center" vertical="center"/>
      <protection locked="0"/>
    </xf>
    <xf numFmtId="173" fontId="4" fillId="60" borderId="20" xfId="0" applyNumberFormat="1" applyFont="1" applyFill="1" applyBorder="1" applyAlignment="1" applyProtection="1">
      <alignment horizontal="center" vertical="center"/>
      <protection locked="0"/>
    </xf>
    <xf numFmtId="1" fontId="4" fillId="60" borderId="20" xfId="0" applyNumberFormat="1" applyFont="1" applyFill="1" applyBorder="1" applyAlignment="1" applyProtection="1">
      <alignment horizontal="center" vertical="center"/>
      <protection locked="0"/>
    </xf>
    <xf numFmtId="0" fontId="4" fillId="60" borderId="20" xfId="0" applyFont="1" applyFill="1" applyBorder="1" applyAlignment="1">
      <alignment horizontal="center" vertical="center"/>
    </xf>
    <xf numFmtId="1" fontId="4" fillId="60" borderId="20" xfId="0" applyNumberFormat="1" applyFont="1" applyFill="1" applyBorder="1" applyAlignment="1">
      <alignment horizontal="center" vertical="center"/>
    </xf>
    <xf numFmtId="173" fontId="4" fillId="60" borderId="20" xfId="0" applyNumberFormat="1" applyFont="1" applyFill="1" applyBorder="1" applyAlignment="1">
      <alignment horizontal="center" vertical="center"/>
    </xf>
    <xf numFmtId="173" fontId="4" fillId="64" borderId="20" xfId="0" applyNumberFormat="1" applyFont="1" applyFill="1" applyBorder="1" applyAlignment="1">
      <alignment horizontal="center" vertical="center"/>
    </xf>
    <xf numFmtId="173" fontId="4" fillId="61" borderId="20" xfId="0" applyNumberFormat="1" applyFont="1" applyFill="1" applyBorder="1" applyAlignment="1">
      <alignment horizontal="center" vertical="center"/>
    </xf>
    <xf numFmtId="166" fontId="4" fillId="61" borderId="20" xfId="0" applyNumberFormat="1" applyFont="1" applyFill="1" applyBorder="1" applyAlignment="1">
      <alignment horizontal="center" vertical="center"/>
    </xf>
    <xf numFmtId="49" fontId="4" fillId="64" borderId="20" xfId="0" quotePrefix="1" applyNumberFormat="1" applyFont="1" applyFill="1" applyBorder="1" applyAlignment="1" applyProtection="1">
      <alignment horizontal="center" vertical="center"/>
      <protection locked="0"/>
    </xf>
    <xf numFmtId="49" fontId="4" fillId="0" borderId="20" xfId="0" quotePrefix="1" applyNumberFormat="1" applyFont="1" applyBorder="1" applyAlignment="1">
      <alignment horizontal="center" vertical="center"/>
    </xf>
    <xf numFmtId="171" fontId="4" fillId="0" borderId="20" xfId="0" quotePrefix="1" applyNumberFormat="1" applyFont="1" applyBorder="1" applyAlignment="1" applyProtection="1">
      <alignment horizontal="center" vertical="center"/>
      <protection locked="0"/>
    </xf>
    <xf numFmtId="49" fontId="4" fillId="61" borderId="20" xfId="0" quotePrefix="1" applyNumberFormat="1" applyFont="1" applyFill="1" applyBorder="1" applyAlignment="1" applyProtection="1">
      <alignment horizontal="center" vertical="center"/>
      <protection locked="0"/>
    </xf>
    <xf numFmtId="0" fontId="4" fillId="54" borderId="20" xfId="0" applyFont="1" applyFill="1" applyBorder="1" applyAlignment="1">
      <alignment horizontal="center" vertical="center"/>
    </xf>
    <xf numFmtId="49" fontId="4" fillId="54" borderId="20" xfId="0" quotePrefix="1" applyNumberFormat="1" applyFont="1" applyFill="1" applyBorder="1" applyAlignment="1">
      <alignment horizontal="center" vertical="center"/>
    </xf>
    <xf numFmtId="171" fontId="4" fillId="54" borderId="20" xfId="0" quotePrefix="1" applyNumberFormat="1" applyFont="1" applyFill="1" applyBorder="1" applyAlignment="1" applyProtection="1">
      <alignment horizontal="center" vertical="center"/>
      <protection locked="0"/>
    </xf>
    <xf numFmtId="0" fontId="4" fillId="42" borderId="20" xfId="0" applyFont="1" applyFill="1" applyBorder="1" applyAlignment="1" applyProtection="1">
      <alignment horizontal="center" vertical="center"/>
      <protection locked="0"/>
    </xf>
    <xf numFmtId="49" fontId="4" fillId="54" borderId="20" xfId="0" applyNumberFormat="1" applyFont="1" applyFill="1" applyBorder="1" applyAlignment="1" applyProtection="1">
      <alignment horizontal="center" vertical="center"/>
      <protection locked="0"/>
    </xf>
    <xf numFmtId="171" fontId="4" fillId="64" borderId="20" xfId="0" applyNumberFormat="1" applyFont="1" applyFill="1" applyBorder="1" applyAlignment="1" applyProtection="1">
      <alignment horizontal="center" vertical="center"/>
      <protection locked="0"/>
    </xf>
    <xf numFmtId="2" fontId="4" fillId="61" borderId="20" xfId="0" applyNumberFormat="1" applyFont="1" applyFill="1" applyBorder="1" applyAlignment="1">
      <alignment horizontal="center" vertical="center"/>
    </xf>
    <xf numFmtId="49" fontId="4" fillId="0" borderId="20" xfId="0" applyNumberFormat="1" applyFont="1" applyBorder="1" applyAlignment="1" applyProtection="1">
      <alignment horizontal="center" vertical="center"/>
      <protection locked="0"/>
    </xf>
    <xf numFmtId="173" fontId="4" fillId="0" borderId="20" xfId="0" applyNumberFormat="1" applyFont="1" applyBorder="1" applyAlignment="1" applyProtection="1">
      <alignment horizontal="center" vertical="center"/>
      <protection locked="0"/>
    </xf>
    <xf numFmtId="1" fontId="4" fillId="0" borderId="20" xfId="0" applyNumberFormat="1" applyFont="1" applyBorder="1" applyAlignment="1" applyProtection="1">
      <alignment horizontal="center" vertical="center"/>
      <protection locked="0"/>
    </xf>
    <xf numFmtId="1" fontId="4" fillId="0" borderId="20" xfId="0" applyNumberFormat="1" applyFont="1" applyBorder="1" applyAlignment="1">
      <alignment horizontal="center" vertical="center"/>
    </xf>
    <xf numFmtId="169" fontId="4" fillId="0" borderId="20" xfId="0" applyNumberFormat="1" applyFont="1" applyBorder="1" applyAlignment="1" applyProtection="1">
      <alignment horizontal="center" vertical="center"/>
      <protection locked="0"/>
    </xf>
    <xf numFmtId="49" fontId="4" fillId="54" borderId="20" xfId="0" quotePrefix="1" applyNumberFormat="1" applyFont="1" applyFill="1" applyBorder="1" applyAlignment="1" applyProtection="1">
      <alignment horizontal="center" vertical="center"/>
      <protection locked="0"/>
    </xf>
    <xf numFmtId="173" fontId="98" fillId="0" borderId="20" xfId="0" applyNumberFormat="1" applyFont="1" applyBorder="1" applyAlignment="1" applyProtection="1">
      <alignment horizontal="center" vertical="center"/>
      <protection locked="0"/>
    </xf>
    <xf numFmtId="0" fontId="98" fillId="0" borderId="20" xfId="0" applyFont="1" applyBorder="1" applyAlignment="1" applyProtection="1">
      <alignment horizontal="center" vertical="center"/>
      <protection locked="0"/>
    </xf>
    <xf numFmtId="1" fontId="98" fillId="0" borderId="20" xfId="0" applyNumberFormat="1" applyFont="1" applyBorder="1" applyAlignment="1" applyProtection="1">
      <alignment horizontal="center" vertical="center"/>
      <protection locked="0"/>
    </xf>
    <xf numFmtId="2" fontId="4" fillId="0" borderId="0" xfId="0" applyNumberFormat="1" applyFont="1" applyAlignment="1">
      <alignment horizontal="center" vertical="center"/>
    </xf>
    <xf numFmtId="2" fontId="4" fillId="0" borderId="20" xfId="0" applyNumberFormat="1" applyFont="1" applyBorder="1" applyAlignment="1">
      <alignment horizontal="center" vertical="center"/>
    </xf>
    <xf numFmtId="2" fontId="4" fillId="60" borderId="20" xfId="0" applyNumberFormat="1" applyFont="1" applyFill="1" applyBorder="1" applyAlignment="1">
      <alignment horizontal="center" vertical="center"/>
    </xf>
    <xf numFmtId="2" fontId="4" fillId="64" borderId="20" xfId="0" applyNumberFormat="1" applyFont="1" applyFill="1" applyBorder="1" applyAlignment="1">
      <alignment horizontal="center" vertical="center"/>
    </xf>
    <xf numFmtId="2" fontId="4" fillId="0" borderId="0" xfId="0" applyNumberFormat="1" applyFont="1" applyAlignment="1" applyProtection="1">
      <alignment horizontal="center" vertical="center"/>
      <protection locked="0"/>
    </xf>
    <xf numFmtId="169" fontId="4" fillId="61" borderId="20" xfId="0" applyNumberFormat="1" applyFont="1" applyFill="1" applyBorder="1" applyAlignment="1" applyProtection="1">
      <alignment horizontal="center" vertical="center" wrapText="1"/>
      <protection locked="0"/>
    </xf>
    <xf numFmtId="0" fontId="88" fillId="61" borderId="20" xfId="0" applyFont="1" applyFill="1" applyBorder="1" applyAlignment="1" applyProtection="1">
      <alignment horizontal="center" vertical="center"/>
      <protection locked="0"/>
    </xf>
    <xf numFmtId="49" fontId="4" fillId="61" borderId="20" xfId="0" applyNumberFormat="1" applyFont="1" applyFill="1" applyBorder="1" applyAlignment="1" applyProtection="1">
      <alignment horizontal="center" vertical="center" wrapText="1"/>
      <protection locked="0"/>
    </xf>
    <xf numFmtId="169" fontId="4" fillId="53" borderId="20" xfId="0" applyNumberFormat="1" applyFont="1" applyFill="1" applyBorder="1" applyAlignment="1" applyProtection="1">
      <alignment horizontal="center" vertical="center"/>
      <protection locked="0"/>
    </xf>
    <xf numFmtId="173" fontId="4" fillId="53" borderId="20" xfId="0" applyNumberFormat="1" applyFont="1" applyFill="1" applyBorder="1" applyAlignment="1" applyProtection="1">
      <alignment horizontal="center" vertical="center"/>
      <protection locked="0"/>
    </xf>
    <xf numFmtId="0" fontId="4" fillId="53" borderId="20" xfId="0" applyFont="1" applyFill="1" applyBorder="1" applyAlignment="1" applyProtection="1">
      <alignment horizontal="center" vertical="center"/>
      <protection locked="0"/>
    </xf>
    <xf numFmtId="1" fontId="4" fillId="53" borderId="20" xfId="0" applyNumberFormat="1" applyFont="1" applyFill="1" applyBorder="1" applyAlignment="1" applyProtection="1">
      <alignment horizontal="center" vertical="center"/>
      <protection locked="0"/>
    </xf>
    <xf numFmtId="2" fontId="4" fillId="53" borderId="20" xfId="0" applyNumberFormat="1" applyFont="1" applyFill="1" applyBorder="1" applyAlignment="1" applyProtection="1">
      <alignment horizontal="center" vertical="center"/>
      <protection locked="0"/>
    </xf>
    <xf numFmtId="0" fontId="4" fillId="53" borderId="20" xfId="0" applyFont="1" applyFill="1" applyBorder="1" applyAlignment="1">
      <alignment horizontal="center" vertical="center"/>
    </xf>
    <xf numFmtId="49" fontId="4" fillId="53" borderId="20" xfId="0" applyNumberFormat="1" applyFont="1" applyFill="1" applyBorder="1" applyAlignment="1" applyProtection="1">
      <alignment horizontal="center" vertical="center"/>
      <protection locked="0"/>
    </xf>
    <xf numFmtId="1" fontId="4" fillId="53" borderId="20" xfId="0" applyNumberFormat="1" applyFont="1" applyFill="1" applyBorder="1" applyAlignment="1">
      <alignment horizontal="center" vertical="center"/>
    </xf>
    <xf numFmtId="0" fontId="4" fillId="53" borderId="20" xfId="876" applyFill="1" applyBorder="1" applyAlignment="1" applyProtection="1">
      <alignment horizontal="center" vertical="center"/>
      <protection locked="0"/>
    </xf>
    <xf numFmtId="166" fontId="4" fillId="53" borderId="20" xfId="0" applyNumberFormat="1" applyFont="1" applyFill="1" applyBorder="1" applyAlignment="1" applyProtection="1">
      <alignment horizontal="center" vertical="center"/>
      <protection locked="0"/>
    </xf>
    <xf numFmtId="49" fontId="4" fillId="53" borderId="20" xfId="0" applyNumberFormat="1" applyFont="1" applyFill="1" applyBorder="1" applyAlignment="1" applyProtection="1">
      <alignment horizontal="center" vertical="center" wrapText="1"/>
      <protection locked="0"/>
    </xf>
    <xf numFmtId="173" fontId="4" fillId="53" borderId="20" xfId="0" applyNumberFormat="1" applyFont="1" applyFill="1" applyBorder="1" applyAlignment="1">
      <alignment horizontal="center" vertical="center"/>
    </xf>
    <xf numFmtId="2" fontId="4" fillId="53" borderId="20" xfId="0" applyNumberFormat="1" applyFont="1" applyFill="1" applyBorder="1" applyAlignment="1">
      <alignment horizontal="center" vertical="center"/>
    </xf>
    <xf numFmtId="0" fontId="4" fillId="0" borderId="20" xfId="0" applyFont="1" applyBorder="1" applyAlignment="1">
      <alignment horizontal="center"/>
    </xf>
    <xf numFmtId="0" fontId="0" fillId="0" borderId="34" xfId="0" applyBorder="1" applyAlignment="1">
      <alignment horizontal="center" vertical="center"/>
    </xf>
    <xf numFmtId="0" fontId="0" fillId="0" borderId="14" xfId="0" applyBorder="1" applyAlignment="1">
      <alignment horizontal="center" vertical="center"/>
    </xf>
    <xf numFmtId="173" fontId="0" fillId="0" borderId="0" xfId="0" applyNumberFormat="1" applyAlignment="1">
      <alignment horizontal="center" vertical="center"/>
    </xf>
    <xf numFmtId="173" fontId="0" fillId="0" borderId="14" xfId="0" applyNumberFormat="1" applyBorder="1" applyAlignment="1">
      <alignment horizontal="center" vertical="center"/>
    </xf>
    <xf numFmtId="167" fontId="0" fillId="0" borderId="0" xfId="0" applyNumberFormat="1" applyAlignment="1">
      <alignment horizontal="center" vertical="center"/>
    </xf>
    <xf numFmtId="167" fontId="0" fillId="0" borderId="14" xfId="0" applyNumberFormat="1" applyBorder="1" applyAlignment="1">
      <alignment horizontal="center" vertical="center"/>
    </xf>
    <xf numFmtId="167" fontId="4" fillId="0" borderId="0" xfId="0" applyNumberFormat="1" applyFont="1" applyAlignment="1">
      <alignment horizontal="center" vertical="center"/>
    </xf>
    <xf numFmtId="167" fontId="0" fillId="0" borderId="39" xfId="0" applyNumberFormat="1" applyBorder="1" applyAlignment="1">
      <alignment horizontal="center" vertical="center"/>
    </xf>
    <xf numFmtId="2" fontId="4" fillId="0" borderId="20" xfId="0" applyNumberFormat="1" applyFont="1" applyBorder="1" applyAlignment="1" applyProtection="1">
      <alignment horizontal="center" vertical="center"/>
      <protection locked="0"/>
    </xf>
    <xf numFmtId="49" fontId="4" fillId="0" borderId="20" xfId="0" quotePrefix="1" applyNumberFormat="1" applyFont="1" applyBorder="1" applyAlignment="1" applyProtection="1">
      <alignment horizontal="center" vertical="center"/>
      <protection locked="0"/>
    </xf>
    <xf numFmtId="2" fontId="4" fillId="60" borderId="20" xfId="0" applyNumberFormat="1" applyFont="1" applyFill="1" applyBorder="1" applyAlignment="1" applyProtection="1">
      <alignment horizontal="center" vertical="center"/>
      <protection locked="0"/>
    </xf>
    <xf numFmtId="0" fontId="4" fillId="60" borderId="20" xfId="0" applyFont="1" applyFill="1" applyBorder="1" applyAlignment="1" applyProtection="1">
      <alignment horizontal="center" vertical="center"/>
      <protection locked="0"/>
    </xf>
    <xf numFmtId="169" fontId="4" fillId="64" borderId="20" xfId="0" applyNumberFormat="1" applyFont="1" applyFill="1" applyBorder="1" applyAlignment="1" applyProtection="1">
      <alignment horizontal="center" vertical="center"/>
      <protection locked="0"/>
    </xf>
    <xf numFmtId="173" fontId="4" fillId="64" borderId="20" xfId="0" applyNumberFormat="1" applyFont="1" applyFill="1" applyBorder="1" applyAlignment="1" applyProtection="1">
      <alignment horizontal="center" vertical="center"/>
      <protection locked="0"/>
    </xf>
    <xf numFmtId="0" fontId="4" fillId="64" borderId="20" xfId="0" applyFont="1" applyFill="1" applyBorder="1" applyAlignment="1" applyProtection="1">
      <alignment horizontal="center" vertical="center"/>
      <protection locked="0"/>
    </xf>
    <xf numFmtId="1" fontId="4" fillId="64" borderId="20" xfId="0" applyNumberFormat="1" applyFont="1" applyFill="1" applyBorder="1" applyAlignment="1" applyProtection="1">
      <alignment horizontal="center" vertical="center"/>
      <protection locked="0"/>
    </xf>
    <xf numFmtId="1" fontId="4" fillId="64" borderId="20" xfId="0" applyNumberFormat="1" applyFont="1" applyFill="1" applyBorder="1" applyAlignment="1">
      <alignment horizontal="center" vertical="center"/>
    </xf>
    <xf numFmtId="2" fontId="4" fillId="64" borderId="20" xfId="0" applyNumberFormat="1" applyFont="1" applyFill="1" applyBorder="1" applyAlignment="1" applyProtection="1">
      <alignment horizontal="center" vertical="center"/>
      <protection locked="0"/>
    </xf>
    <xf numFmtId="49" fontId="4" fillId="64" borderId="20" xfId="0" applyNumberFormat="1" applyFont="1" applyFill="1" applyBorder="1" applyAlignment="1" applyProtection="1">
      <alignment horizontal="center" vertical="center"/>
      <protection locked="0"/>
    </xf>
    <xf numFmtId="0" fontId="4" fillId="64" borderId="20" xfId="0" applyFont="1" applyFill="1" applyBorder="1" applyAlignment="1">
      <alignment horizontal="center" vertical="center"/>
    </xf>
    <xf numFmtId="0" fontId="4" fillId="42" borderId="20" xfId="0" applyFont="1" applyFill="1" applyBorder="1" applyAlignment="1">
      <alignment horizontal="center" vertical="center"/>
    </xf>
    <xf numFmtId="0" fontId="4" fillId="0" borderId="20" xfId="876" applyBorder="1" applyAlignment="1" applyProtection="1">
      <alignment horizontal="center" vertical="center"/>
      <protection locked="0"/>
    </xf>
    <xf numFmtId="173" fontId="98" fillId="64" borderId="20" xfId="0" applyNumberFormat="1" applyFont="1" applyFill="1" applyBorder="1" applyAlignment="1" applyProtection="1">
      <alignment horizontal="center" vertical="center"/>
      <protection locked="0"/>
    </xf>
    <xf numFmtId="0" fontId="98" fillId="64" borderId="20" xfId="0" applyFont="1" applyFill="1" applyBorder="1" applyAlignment="1" applyProtection="1">
      <alignment horizontal="center" vertical="center"/>
      <protection locked="0"/>
    </xf>
    <xf numFmtId="2" fontId="98" fillId="0" borderId="20" xfId="0" applyNumberFormat="1" applyFont="1" applyBorder="1" applyAlignment="1" applyProtection="1">
      <alignment horizontal="center" vertical="center"/>
      <protection locked="0"/>
    </xf>
    <xf numFmtId="0" fontId="98" fillId="0" borderId="20" xfId="0" applyFont="1" applyBorder="1" applyAlignment="1">
      <alignment horizontal="center" vertical="center"/>
    </xf>
    <xf numFmtId="2" fontId="98" fillId="0" borderId="20" xfId="0" applyNumberFormat="1" applyFont="1" applyBorder="1" applyAlignment="1">
      <alignment horizontal="center" vertical="center"/>
    </xf>
    <xf numFmtId="49" fontId="98" fillId="0" borderId="20" xfId="0" applyNumberFormat="1" applyFont="1" applyBorder="1" applyAlignment="1">
      <alignment horizontal="center" vertical="center"/>
    </xf>
    <xf numFmtId="2" fontId="98" fillId="64" borderId="20" xfId="0" applyNumberFormat="1" applyFont="1" applyFill="1" applyBorder="1" applyAlignment="1">
      <alignment horizontal="center" vertical="center"/>
    </xf>
    <xf numFmtId="173" fontId="4" fillId="50" borderId="20" xfId="0" applyNumberFormat="1" applyFont="1" applyFill="1" applyBorder="1" applyAlignment="1" applyProtection="1">
      <alignment horizontal="center" vertical="center"/>
      <protection locked="0"/>
    </xf>
    <xf numFmtId="0" fontId="4" fillId="50" borderId="20" xfId="0" applyFont="1" applyFill="1" applyBorder="1" applyAlignment="1" applyProtection="1">
      <alignment horizontal="center" vertical="center"/>
      <protection locked="0"/>
    </xf>
    <xf numFmtId="1" fontId="4" fillId="50" borderId="20" xfId="0" applyNumberFormat="1" applyFont="1" applyFill="1" applyBorder="1" applyAlignment="1" applyProtection="1">
      <alignment horizontal="center" vertical="center"/>
      <protection locked="0"/>
    </xf>
    <xf numFmtId="2" fontId="4" fillId="50" borderId="20" xfId="0" applyNumberFormat="1" applyFont="1" applyFill="1" applyBorder="1" applyAlignment="1" applyProtection="1">
      <alignment horizontal="center" vertical="center"/>
      <protection locked="0"/>
    </xf>
    <xf numFmtId="0" fontId="4" fillId="50" borderId="20" xfId="0" applyFont="1" applyFill="1" applyBorder="1" applyAlignment="1">
      <alignment horizontal="center" vertical="center"/>
    </xf>
    <xf numFmtId="173" fontId="4" fillId="50" borderId="20" xfId="0" applyNumberFormat="1" applyFont="1" applyFill="1" applyBorder="1" applyAlignment="1">
      <alignment horizontal="center" vertical="center"/>
    </xf>
    <xf numFmtId="171" fontId="4" fillId="50" borderId="20" xfId="0" applyNumberFormat="1" applyFont="1" applyFill="1" applyBorder="1" applyAlignment="1" applyProtection="1">
      <alignment horizontal="center" vertical="center"/>
      <protection locked="0"/>
    </xf>
    <xf numFmtId="166" fontId="4" fillId="64" borderId="20" xfId="0" applyNumberFormat="1" applyFont="1" applyFill="1" applyBorder="1" applyAlignment="1">
      <alignment horizontal="center" vertical="center"/>
    </xf>
    <xf numFmtId="2" fontId="4" fillId="50" borderId="20" xfId="0" applyNumberFormat="1" applyFont="1" applyFill="1" applyBorder="1" applyAlignment="1">
      <alignment horizontal="center" vertical="center"/>
    </xf>
    <xf numFmtId="0" fontId="4" fillId="0" borderId="26" xfId="0" applyFont="1" applyBorder="1" applyAlignment="1" applyProtection="1">
      <alignment horizontal="center" vertical="center"/>
      <protection locked="0"/>
    </xf>
    <xf numFmtId="0" fontId="61" fillId="0" borderId="53" xfId="876" applyFont="1" applyBorder="1" applyAlignment="1">
      <alignment horizontal="center" vertical="center"/>
    </xf>
    <xf numFmtId="0" fontId="61" fillId="40" borderId="74" xfId="876" applyFont="1" applyFill="1" applyBorder="1" applyAlignment="1">
      <alignment horizontal="center" vertical="center"/>
    </xf>
    <xf numFmtId="0" fontId="61" fillId="40" borderId="77" xfId="876" applyFont="1" applyFill="1" applyBorder="1" applyAlignment="1">
      <alignment horizontal="center" vertical="center"/>
    </xf>
    <xf numFmtId="0" fontId="61" fillId="40" borderId="80" xfId="876" applyFont="1" applyFill="1" applyBorder="1" applyAlignment="1">
      <alignment horizontal="center" vertical="center"/>
    </xf>
    <xf numFmtId="0" fontId="61" fillId="40" borderId="84" xfId="876" applyFont="1" applyFill="1" applyBorder="1" applyAlignment="1">
      <alignment horizontal="center" vertical="center"/>
    </xf>
    <xf numFmtId="0" fontId="61" fillId="40" borderId="87" xfId="876" applyFont="1" applyFill="1" applyBorder="1" applyAlignment="1">
      <alignment horizontal="center" vertical="center"/>
    </xf>
    <xf numFmtId="0" fontId="61" fillId="0" borderId="42" xfId="876" applyFont="1" applyBorder="1" applyAlignment="1">
      <alignment horizontal="center" vertical="center"/>
    </xf>
    <xf numFmtId="0" fontId="61" fillId="43" borderId="0" xfId="876" applyFont="1" applyFill="1" applyAlignment="1">
      <alignment horizontal="center" vertical="center"/>
    </xf>
    <xf numFmtId="0" fontId="61" fillId="54" borderId="0" xfId="876" applyFont="1" applyFill="1" applyAlignment="1">
      <alignment horizontal="center" vertical="center"/>
    </xf>
    <xf numFmtId="0" fontId="61" fillId="0" borderId="25" xfId="876" applyFont="1" applyBorder="1" applyAlignment="1">
      <alignment horizontal="center" vertical="center"/>
    </xf>
    <xf numFmtId="0" fontId="61" fillId="0" borderId="24" xfId="876" applyFont="1" applyBorder="1" applyAlignment="1">
      <alignment horizontal="center" vertical="center"/>
    </xf>
    <xf numFmtId="0" fontId="61" fillId="35" borderId="42" xfId="876" applyFont="1" applyFill="1" applyBorder="1" applyAlignment="1">
      <alignment horizontal="center" vertical="center"/>
    </xf>
    <xf numFmtId="0" fontId="61" fillId="35" borderId="0" xfId="876" applyFont="1" applyFill="1" applyAlignment="1">
      <alignment horizontal="center" vertical="center"/>
    </xf>
    <xf numFmtId="0" fontId="61" fillId="35" borderId="24" xfId="876" applyFont="1" applyFill="1" applyBorder="1" applyAlignment="1">
      <alignment horizontal="center" vertical="center"/>
    </xf>
    <xf numFmtId="0" fontId="61" fillId="40" borderId="0" xfId="876" applyFont="1" applyFill="1" applyAlignment="1">
      <alignment horizontal="center" vertical="center"/>
    </xf>
    <xf numFmtId="2" fontId="61" fillId="0" borderId="0" xfId="876" applyNumberFormat="1" applyFont="1" applyAlignment="1">
      <alignment horizontal="center" vertical="center"/>
    </xf>
    <xf numFmtId="0" fontId="61" fillId="96" borderId="20" xfId="876" applyFont="1" applyFill="1" applyBorder="1" applyAlignment="1">
      <alignment horizontal="center" vertical="center"/>
    </xf>
    <xf numFmtId="0" fontId="61" fillId="61" borderId="20" xfId="876" applyFont="1" applyFill="1" applyBorder="1" applyAlignment="1">
      <alignment horizontal="center" vertical="center"/>
    </xf>
    <xf numFmtId="0" fontId="61" fillId="101" borderId="20" xfId="876" applyFont="1" applyFill="1" applyBorder="1" applyAlignment="1">
      <alignment horizontal="center" vertical="center"/>
    </xf>
    <xf numFmtId="0" fontId="61" fillId="51" borderId="20" xfId="876" applyFont="1" applyFill="1" applyBorder="1" applyAlignment="1">
      <alignment horizontal="center" vertical="center"/>
    </xf>
    <xf numFmtId="0" fontId="61" fillId="62" borderId="20" xfId="876" applyFont="1" applyFill="1" applyBorder="1" applyAlignment="1">
      <alignment horizontal="center" vertical="center"/>
    </xf>
    <xf numFmtId="0" fontId="61" fillId="100" borderId="20" xfId="876" applyFont="1" applyFill="1" applyBorder="1" applyAlignment="1">
      <alignment horizontal="center" vertical="center"/>
    </xf>
    <xf numFmtId="0" fontId="61" fillId="49" borderId="20" xfId="876" applyFont="1" applyFill="1" applyBorder="1" applyAlignment="1">
      <alignment horizontal="center" vertical="center"/>
    </xf>
    <xf numFmtId="0" fontId="61" fillId="41" borderId="0" xfId="876" applyFont="1" applyFill="1" applyAlignment="1">
      <alignment horizontal="center" vertical="center"/>
    </xf>
    <xf numFmtId="0" fontId="60" fillId="41" borderId="0" xfId="876" applyFont="1" applyFill="1" applyAlignment="1">
      <alignment horizontal="center" vertical="center"/>
    </xf>
    <xf numFmtId="0" fontId="61" fillId="40" borderId="42" xfId="876" applyFont="1" applyFill="1" applyBorder="1" applyAlignment="1">
      <alignment horizontal="center" vertical="center"/>
    </xf>
    <xf numFmtId="0" fontId="60" fillId="40" borderId="42" xfId="876" applyFont="1" applyFill="1" applyBorder="1" applyAlignment="1">
      <alignment horizontal="center" vertical="center"/>
    </xf>
    <xf numFmtId="0" fontId="60" fillId="0" borderId="29" xfId="876" applyFont="1" applyBorder="1" applyAlignment="1">
      <alignment horizontal="center" vertical="center"/>
    </xf>
    <xf numFmtId="0" fontId="61" fillId="0" borderId="19" xfId="876" applyFont="1" applyBorder="1" applyAlignment="1">
      <alignment horizontal="center" vertical="center"/>
    </xf>
    <xf numFmtId="0" fontId="64" fillId="0" borderId="20" xfId="0" applyFont="1" applyBorder="1" applyAlignment="1">
      <alignment horizontal="left" vertical="center" indent="1"/>
    </xf>
    <xf numFmtId="2" fontId="4" fillId="42" borderId="20" xfId="0" applyNumberFormat="1" applyFont="1" applyFill="1" applyBorder="1" applyAlignment="1" applyProtection="1">
      <alignment horizontal="center" vertical="center"/>
      <protection locked="0"/>
    </xf>
    <xf numFmtId="2" fontId="4" fillId="42" borderId="20" xfId="0" applyNumberFormat="1" applyFont="1" applyFill="1" applyBorder="1" applyAlignment="1">
      <alignment horizontal="center" vertical="center"/>
    </xf>
    <xf numFmtId="0" fontId="55" fillId="0" borderId="20" xfId="886" applyFont="1" applyBorder="1" applyAlignment="1">
      <alignment horizontal="center"/>
    </xf>
    <xf numFmtId="0" fontId="61" fillId="96" borderId="20" xfId="876" applyFont="1" applyFill="1" applyBorder="1" applyAlignment="1">
      <alignment horizontal="center" vertical="center" wrapText="1"/>
    </xf>
    <xf numFmtId="0" fontId="61" fillId="101" borderId="20" xfId="876" applyFont="1" applyFill="1" applyBorder="1" applyAlignment="1">
      <alignment horizontal="center" vertical="center" wrapText="1"/>
    </xf>
    <xf numFmtId="0" fontId="61" fillId="62" borderId="20" xfId="876" applyFont="1" applyFill="1" applyBorder="1" applyAlignment="1">
      <alignment horizontal="center" vertical="center" wrapText="1"/>
    </xf>
    <xf numFmtId="0" fontId="61" fillId="100" borderId="20" xfId="876" applyFont="1" applyFill="1" applyBorder="1" applyAlignment="1">
      <alignment horizontal="center" vertical="center" wrapText="1"/>
    </xf>
    <xf numFmtId="0" fontId="61" fillId="49" borderId="20" xfId="876" applyFont="1" applyFill="1" applyBorder="1" applyAlignment="1">
      <alignment horizontal="center" vertical="center" wrapText="1"/>
    </xf>
    <xf numFmtId="0" fontId="55" fillId="0" borderId="0" xfId="886" applyFont="1" applyAlignment="1">
      <alignment horizontal="center" vertical="center"/>
    </xf>
    <xf numFmtId="0" fontId="55" fillId="0" borderId="29" xfId="886" applyFont="1" applyBorder="1" applyAlignment="1">
      <alignment horizontal="center" vertical="center"/>
    </xf>
    <xf numFmtId="0" fontId="55" fillId="0" borderId="20" xfId="886" applyFont="1" applyBorder="1" applyAlignment="1">
      <alignment vertical="center"/>
    </xf>
    <xf numFmtId="0" fontId="82" fillId="0" borderId="20" xfId="0" applyFont="1" applyBorder="1" applyAlignment="1">
      <alignment horizontal="left" vertical="center" wrapText="1"/>
    </xf>
    <xf numFmtId="0" fontId="4" fillId="0" borderId="20" xfId="886" applyBorder="1" applyAlignment="1">
      <alignment horizontal="center"/>
    </xf>
    <xf numFmtId="0" fontId="82" fillId="0" borderId="20" xfId="0" applyFont="1" applyBorder="1" applyAlignment="1">
      <alignment horizontal="left" vertical="center"/>
    </xf>
    <xf numFmtId="0" fontId="83" fillId="0" borderId="22" xfId="0" applyFont="1" applyBorder="1" applyAlignment="1">
      <alignment horizontal="center" vertical="center"/>
    </xf>
    <xf numFmtId="0" fontId="83" fillId="0" borderId="23" xfId="0" applyFont="1" applyBorder="1" applyAlignment="1">
      <alignment horizontal="center" vertical="center"/>
    </xf>
    <xf numFmtId="0" fontId="83" fillId="0" borderId="30" xfId="0" applyFont="1" applyBorder="1" applyAlignment="1">
      <alignment horizontal="center" vertical="center"/>
    </xf>
    <xf numFmtId="0" fontId="61" fillId="100" borderId="23" xfId="876" applyFont="1" applyFill="1" applyBorder="1" applyAlignment="1">
      <alignment horizontal="center" vertical="center" wrapText="1"/>
    </xf>
    <xf numFmtId="0" fontId="65" fillId="40" borderId="49" xfId="677" applyFont="1" applyFill="1" applyBorder="1" applyAlignment="1">
      <alignment horizontal="center" vertical="center" wrapText="1"/>
    </xf>
    <xf numFmtId="0" fontId="65" fillId="0" borderId="97" xfId="677" applyFont="1" applyBorder="1" applyAlignment="1">
      <alignment horizontal="center" vertical="center" wrapText="1"/>
    </xf>
    <xf numFmtId="0" fontId="65" fillId="40" borderId="97" xfId="677" applyFont="1" applyFill="1" applyBorder="1" applyAlignment="1">
      <alignment horizontal="center" vertical="center" wrapText="1"/>
    </xf>
    <xf numFmtId="0" fontId="82" fillId="0" borderId="23" xfId="0" applyFont="1" applyBorder="1" applyAlignment="1">
      <alignment vertical="center"/>
    </xf>
    <xf numFmtId="49" fontId="4" fillId="57" borderId="20" xfId="0" quotePrefix="1" applyNumberFormat="1" applyFont="1" applyFill="1" applyBorder="1" applyAlignment="1">
      <alignment horizontal="center" vertical="center"/>
    </xf>
    <xf numFmtId="171" fontId="4" fillId="57" borderId="20" xfId="0" quotePrefix="1" applyNumberFormat="1" applyFont="1" applyFill="1" applyBorder="1" applyAlignment="1" applyProtection="1">
      <alignment horizontal="center" vertical="center"/>
      <protection locked="0"/>
    </xf>
    <xf numFmtId="49" fontId="4" fillId="57" borderId="20" xfId="0" applyNumberFormat="1" applyFont="1" applyFill="1" applyBorder="1" applyAlignment="1" applyProtection="1">
      <alignment horizontal="center" vertical="center"/>
      <protection locked="0"/>
    </xf>
    <xf numFmtId="0" fontId="4" fillId="57" borderId="20" xfId="0" applyFont="1" applyFill="1" applyBorder="1" applyAlignment="1">
      <alignment horizontal="center" vertical="center"/>
    </xf>
    <xf numFmtId="0" fontId="5" fillId="0" borderId="20" xfId="0" applyFont="1" applyBorder="1" applyAlignment="1" applyProtection="1">
      <alignment horizontal="center" vertical="center"/>
      <protection locked="0"/>
    </xf>
    <xf numFmtId="0" fontId="4" fillId="0" borderId="20" xfId="0" quotePrefix="1" applyFont="1" applyBorder="1" applyAlignment="1">
      <alignment horizontal="center" vertical="center"/>
    </xf>
    <xf numFmtId="173" fontId="104" fillId="0" borderId="20" xfId="0" applyNumberFormat="1" applyFont="1" applyBorder="1" applyAlignment="1" applyProtection="1">
      <alignment horizontal="center" vertical="center"/>
      <protection locked="0"/>
    </xf>
    <xf numFmtId="0" fontId="104" fillId="0" borderId="20" xfId="0" applyFont="1" applyBorder="1" applyAlignment="1" applyProtection="1">
      <alignment horizontal="center" vertical="center"/>
      <protection locked="0"/>
    </xf>
    <xf numFmtId="1" fontId="104" fillId="0" borderId="20" xfId="0" applyNumberFormat="1" applyFont="1" applyBorder="1" applyAlignment="1" applyProtection="1">
      <alignment horizontal="center" vertical="center"/>
      <protection locked="0"/>
    </xf>
    <xf numFmtId="2" fontId="104" fillId="0" borderId="20" xfId="0" applyNumberFormat="1" applyFont="1" applyBorder="1" applyAlignment="1" applyProtection="1">
      <alignment horizontal="center" vertical="center"/>
      <protection locked="0"/>
    </xf>
    <xf numFmtId="0" fontId="104" fillId="0" borderId="20" xfId="0" applyFont="1" applyBorder="1" applyAlignment="1">
      <alignment horizontal="center" vertical="center"/>
    </xf>
    <xf numFmtId="0" fontId="4" fillId="61" borderId="20" xfId="0" quotePrefix="1" applyFont="1" applyFill="1" applyBorder="1" applyAlignment="1">
      <alignment horizontal="center" vertical="center"/>
    </xf>
    <xf numFmtId="0" fontId="4" fillId="64" borderId="20" xfId="0" quotePrefix="1" applyFont="1" applyFill="1" applyBorder="1" applyAlignment="1">
      <alignment horizontal="center" vertical="center"/>
    </xf>
    <xf numFmtId="0" fontId="5" fillId="0" borderId="20" xfId="0" applyFont="1" applyBorder="1" applyAlignment="1">
      <alignment horizontal="center" vertical="center"/>
    </xf>
    <xf numFmtId="173" fontId="4" fillId="0" borderId="20" xfId="0" quotePrefix="1" applyNumberFormat="1" applyFont="1" applyBorder="1" applyAlignment="1" applyProtection="1">
      <alignment horizontal="center" vertical="center"/>
      <protection locked="0"/>
    </xf>
    <xf numFmtId="1" fontId="4" fillId="0" borderId="20" xfId="0" quotePrefix="1" applyNumberFormat="1" applyFont="1" applyBorder="1" applyAlignment="1" applyProtection="1">
      <alignment horizontal="center" vertical="center"/>
      <protection locked="0"/>
    </xf>
    <xf numFmtId="173" fontId="98" fillId="0" borderId="20" xfId="0" applyNumberFormat="1" applyFont="1" applyBorder="1" applyAlignment="1">
      <alignment horizontal="center" vertical="center"/>
    </xf>
    <xf numFmtId="2" fontId="104" fillId="0" borderId="20" xfId="0" applyNumberFormat="1" applyFont="1" applyBorder="1" applyAlignment="1">
      <alignment horizontal="center" vertical="center"/>
    </xf>
    <xf numFmtId="2" fontId="105" fillId="0" borderId="20" xfId="0" applyNumberFormat="1" applyFont="1" applyBorder="1" applyAlignment="1" applyProtection="1">
      <alignment horizontal="center" vertical="center"/>
      <protection locked="0"/>
    </xf>
    <xf numFmtId="173" fontId="105" fillId="0" borderId="20" xfId="0" applyNumberFormat="1" applyFont="1" applyBorder="1" applyAlignment="1">
      <alignment horizontal="center" vertical="center"/>
    </xf>
    <xf numFmtId="0" fontId="5" fillId="61" borderId="20" xfId="0" applyFont="1" applyFill="1" applyBorder="1" applyAlignment="1" applyProtection="1">
      <alignment horizontal="center" vertical="center"/>
      <protection locked="0"/>
    </xf>
    <xf numFmtId="0" fontId="5" fillId="64" borderId="20" xfId="0" applyFont="1" applyFill="1" applyBorder="1" applyAlignment="1" applyProtection="1">
      <alignment horizontal="center" vertical="center"/>
      <protection locked="0"/>
    </xf>
    <xf numFmtId="0" fontId="4" fillId="63" borderId="20" xfId="0" quotePrefix="1" applyFont="1" applyFill="1" applyBorder="1" applyAlignment="1">
      <alignment horizontal="center" vertical="center"/>
    </xf>
    <xf numFmtId="0" fontId="4" fillId="57" borderId="20" xfId="0" quotePrefix="1" applyFont="1" applyFill="1" applyBorder="1" applyAlignment="1">
      <alignment horizontal="center" vertical="center"/>
    </xf>
    <xf numFmtId="0" fontId="4" fillId="102" borderId="20" xfId="0" quotePrefix="1" applyFont="1" applyFill="1" applyBorder="1" applyAlignment="1">
      <alignment horizontal="center" vertical="center"/>
    </xf>
    <xf numFmtId="0" fontId="68" fillId="35" borderId="54" xfId="677" applyFont="1" applyFill="1" applyBorder="1" applyAlignment="1">
      <alignment horizontal="center" vertical="center" wrapText="1"/>
    </xf>
    <xf numFmtId="0" fontId="71" fillId="35" borderId="59" xfId="677" quotePrefix="1" applyFont="1" applyFill="1" applyBorder="1" applyAlignment="1">
      <alignment horizontal="left" vertical="center" wrapText="1" indent="1"/>
    </xf>
    <xf numFmtId="0" fontId="65" fillId="35" borderId="59" xfId="677" applyFont="1" applyFill="1" applyBorder="1" applyAlignment="1">
      <alignment horizontal="left" vertical="center" wrapText="1" indent="1"/>
    </xf>
    <xf numFmtId="0" fontId="65" fillId="35" borderId="59" xfId="677" applyFont="1" applyFill="1" applyBorder="1" applyAlignment="1">
      <alignment horizontal="center" vertical="center" wrapText="1"/>
    </xf>
    <xf numFmtId="0" fontId="68" fillId="33" borderId="48" xfId="677" applyFont="1" applyFill="1" applyBorder="1" applyAlignment="1">
      <alignment horizontal="center" vertical="center" wrapText="1"/>
    </xf>
    <xf numFmtId="0" fontId="65" fillId="0" borderId="0" xfId="677" applyFont="1" applyAlignment="1">
      <alignment horizontal="center" vertical="center" wrapText="1"/>
    </xf>
    <xf numFmtId="0" fontId="65" fillId="0" borderId="42" xfId="677" applyFont="1" applyBorder="1" applyAlignment="1">
      <alignment horizontal="center" vertical="center" wrapText="1"/>
    </xf>
    <xf numFmtId="0" fontId="65" fillId="0" borderId="19" xfId="677" applyFont="1" applyBorder="1" applyAlignment="1">
      <alignment horizontal="center" vertical="center" wrapText="1"/>
    </xf>
    <xf numFmtId="0" fontId="65" fillId="0" borderId="28" xfId="677" applyFont="1" applyBorder="1" applyAlignment="1">
      <alignment horizontal="center" vertical="center" wrapText="1"/>
    </xf>
    <xf numFmtId="0" fontId="107" fillId="0" borderId="20" xfId="0" applyFont="1" applyBorder="1" applyAlignment="1">
      <alignment horizontal="center"/>
    </xf>
    <xf numFmtId="0" fontId="109" fillId="64" borderId="20" xfId="0" applyFont="1" applyFill="1" applyBorder="1" applyAlignment="1" applyProtection="1">
      <alignment horizontal="center" vertical="center"/>
      <protection locked="0"/>
    </xf>
    <xf numFmtId="171" fontId="4" fillId="61" borderId="20" xfId="0" quotePrefix="1" applyNumberFormat="1" applyFont="1" applyFill="1" applyBorder="1" applyAlignment="1" applyProtection="1">
      <alignment horizontal="center" vertical="center"/>
      <protection locked="0"/>
    </xf>
    <xf numFmtId="0" fontId="109" fillId="61" borderId="20" xfId="0" applyFont="1" applyFill="1" applyBorder="1" applyAlignment="1" applyProtection="1">
      <alignment horizontal="center" vertical="center"/>
      <protection locked="0"/>
    </xf>
    <xf numFmtId="173" fontId="5" fillId="61" borderId="20" xfId="0" applyNumberFormat="1" applyFont="1" applyFill="1" applyBorder="1" applyAlignment="1">
      <alignment horizontal="center" vertical="center"/>
    </xf>
    <xf numFmtId="49" fontId="4" fillId="61" borderId="20" xfId="0" applyNumberFormat="1" applyFont="1" applyFill="1" applyBorder="1" applyAlignment="1">
      <alignment horizontal="center" vertical="center"/>
    </xf>
    <xf numFmtId="3" fontId="4" fillId="61" borderId="20" xfId="0" applyNumberFormat="1" applyFont="1" applyFill="1" applyBorder="1" applyAlignment="1" applyProtection="1">
      <alignment horizontal="center" vertical="center"/>
      <protection locked="0"/>
    </xf>
    <xf numFmtId="3" fontId="4" fillId="50" borderId="20" xfId="0" applyNumberFormat="1" applyFont="1" applyFill="1" applyBorder="1" applyAlignment="1" applyProtection="1">
      <alignment horizontal="center" vertical="center"/>
      <protection locked="0"/>
    </xf>
    <xf numFmtId="0" fontId="41" fillId="0" borderId="20" xfId="0" applyFont="1" applyBorder="1" applyAlignment="1" applyProtection="1">
      <alignment horizontal="center" vertical="center"/>
      <protection locked="0"/>
    </xf>
    <xf numFmtId="0" fontId="41" fillId="0" borderId="20" xfId="0" applyFont="1" applyBorder="1" applyAlignment="1">
      <alignment horizontal="center" vertical="center"/>
    </xf>
    <xf numFmtId="3" fontId="4" fillId="53" borderId="20" xfId="0" applyNumberFormat="1" applyFont="1" applyFill="1" applyBorder="1" applyAlignment="1" applyProtection="1">
      <alignment horizontal="center" vertical="center"/>
      <protection locked="0"/>
    </xf>
    <xf numFmtId="0" fontId="41" fillId="53" borderId="20" xfId="0" applyFont="1" applyFill="1" applyBorder="1" applyAlignment="1" applyProtection="1">
      <alignment horizontal="center" vertical="center"/>
      <protection locked="0"/>
    </xf>
    <xf numFmtId="0" fontId="40" fillId="53" borderId="20" xfId="0" applyFont="1" applyFill="1" applyBorder="1" applyAlignment="1">
      <alignment horizontal="center" vertical="center"/>
    </xf>
    <xf numFmtId="0" fontId="106" fillId="0" borderId="20" xfId="0" applyFont="1" applyBorder="1" applyAlignment="1" applyProtection="1">
      <alignment horizontal="center" vertical="center"/>
      <protection locked="0"/>
    </xf>
    <xf numFmtId="3" fontId="104" fillId="0" borderId="20" xfId="0" applyNumberFormat="1" applyFont="1" applyBorder="1" applyAlignment="1" applyProtection="1">
      <alignment horizontal="center" vertical="center"/>
      <protection locked="0"/>
    </xf>
    <xf numFmtId="0" fontId="40" fillId="0" borderId="20" xfId="0" applyFont="1" applyBorder="1" applyAlignment="1">
      <alignment horizontal="center" vertical="center"/>
    </xf>
    <xf numFmtId="173" fontId="4" fillId="0" borderId="0" xfId="0" applyNumberFormat="1" applyFont="1" applyAlignment="1" applyProtection="1">
      <alignment horizontal="center" vertical="center"/>
      <protection locked="0"/>
    </xf>
    <xf numFmtId="49" fontId="4" fillId="0" borderId="0" xfId="0" applyNumberFormat="1" applyFont="1" applyAlignment="1" applyProtection="1">
      <alignment horizontal="center" vertical="center"/>
      <protection locked="0"/>
    </xf>
    <xf numFmtId="49" fontId="4" fillId="54" borderId="20" xfId="0" applyNumberFormat="1" applyFont="1" applyFill="1" applyBorder="1" applyAlignment="1">
      <alignment horizontal="center" vertical="center"/>
    </xf>
    <xf numFmtId="49" fontId="4" fillId="57" borderId="20" xfId="0" applyNumberFormat="1" applyFont="1" applyFill="1" applyBorder="1" applyAlignment="1">
      <alignment horizontal="center" vertical="center"/>
    </xf>
    <xf numFmtId="49" fontId="4" fillId="50" borderId="20" xfId="0" applyNumberFormat="1" applyFont="1" applyFill="1" applyBorder="1" applyAlignment="1">
      <alignment horizontal="center" vertical="center"/>
    </xf>
    <xf numFmtId="49" fontId="4" fillId="53" borderId="20" xfId="0" applyNumberFormat="1" applyFont="1" applyFill="1" applyBorder="1" applyAlignment="1">
      <alignment horizontal="center" vertical="center"/>
    </xf>
    <xf numFmtId="0" fontId="4" fillId="61" borderId="20" xfId="876" applyFill="1" applyBorder="1" applyAlignment="1" applyProtection="1">
      <alignment horizontal="center" vertical="center"/>
      <protection locked="0"/>
    </xf>
    <xf numFmtId="0" fontId="88" fillId="0" borderId="20" xfId="0" applyFont="1" applyBorder="1" applyAlignment="1" applyProtection="1">
      <alignment horizontal="center" vertical="center"/>
      <protection locked="0"/>
    </xf>
    <xf numFmtId="171" fontId="4" fillId="50" borderId="20" xfId="0" quotePrefix="1" applyNumberFormat="1" applyFont="1" applyFill="1" applyBorder="1" applyAlignment="1" applyProtection="1">
      <alignment horizontal="center" vertical="center"/>
      <protection locked="0"/>
    </xf>
    <xf numFmtId="49" fontId="4" fillId="50" borderId="20" xfId="0" applyNumberFormat="1" applyFont="1" applyFill="1" applyBorder="1" applyAlignment="1" applyProtection="1">
      <alignment horizontal="center" vertical="center"/>
      <protection locked="0"/>
    </xf>
    <xf numFmtId="173" fontId="5" fillId="61" borderId="20" xfId="0" applyNumberFormat="1" applyFont="1" applyFill="1" applyBorder="1" applyAlignment="1" applyProtection="1">
      <alignment horizontal="center" vertical="center"/>
      <protection locked="0"/>
    </xf>
    <xf numFmtId="170" fontId="4" fillId="0" borderId="0" xfId="0" applyNumberFormat="1" applyFont="1" applyAlignment="1" applyProtection="1">
      <alignment horizontal="center" vertical="center"/>
      <protection locked="0"/>
    </xf>
    <xf numFmtId="3" fontId="4" fillId="0" borderId="0" xfId="0" applyNumberFormat="1" applyFont="1" applyAlignment="1" applyProtection="1">
      <alignment horizontal="center" vertical="center"/>
      <protection locked="0"/>
    </xf>
    <xf numFmtId="2" fontId="4" fillId="0" borderId="17" xfId="0" applyNumberFormat="1" applyFont="1" applyBorder="1" applyAlignment="1" applyProtection="1">
      <alignment horizontal="center" vertical="center"/>
      <protection locked="0"/>
    </xf>
    <xf numFmtId="173" fontId="4" fillId="0" borderId="17" xfId="0" applyNumberFormat="1" applyFont="1" applyBorder="1" applyAlignment="1">
      <alignment horizontal="center" vertical="center"/>
    </xf>
    <xf numFmtId="171" fontId="4" fillId="64" borderId="20" xfId="0" quotePrefix="1" applyNumberFormat="1" applyFont="1" applyFill="1" applyBorder="1" applyAlignment="1" applyProtection="1">
      <alignment horizontal="center" vertical="center"/>
      <protection locked="0"/>
    </xf>
    <xf numFmtId="0" fontId="108" fillId="64" borderId="20" xfId="0" applyFont="1" applyFill="1" applyBorder="1" applyAlignment="1" applyProtection="1">
      <alignment horizontal="center" vertical="center"/>
      <protection locked="0"/>
    </xf>
    <xf numFmtId="0" fontId="62" fillId="34" borderId="24" xfId="677" applyFont="1" applyFill="1" applyBorder="1" applyAlignment="1">
      <alignment horizontal="left" vertical="center" wrapText="1"/>
    </xf>
    <xf numFmtId="0" fontId="60" fillId="58" borderId="99" xfId="876" applyFont="1" applyFill="1" applyBorder="1" applyAlignment="1">
      <alignment horizontal="center" vertical="center"/>
    </xf>
    <xf numFmtId="2" fontId="4" fillId="55" borderId="20" xfId="0" quotePrefix="1" applyNumberFormat="1" applyFont="1" applyFill="1" applyBorder="1" applyAlignment="1" applyProtection="1">
      <alignment horizontal="center" vertical="center"/>
      <protection locked="0"/>
    </xf>
    <xf numFmtId="2" fontId="0" fillId="0" borderId="20" xfId="0" applyNumberFormat="1" applyBorder="1" applyAlignment="1">
      <alignment horizontal="center" vertical="center"/>
    </xf>
    <xf numFmtId="0" fontId="4" fillId="0" borderId="20" xfId="0" applyFont="1" applyBorder="1" applyAlignment="1" applyProtection="1">
      <alignment horizontal="center" vertical="center"/>
      <protection locked="0"/>
    </xf>
    <xf numFmtId="49" fontId="4" fillId="64" borderId="20" xfId="0" applyNumberFormat="1" applyFont="1" applyFill="1" applyBorder="1" applyAlignment="1">
      <alignment horizontal="center" vertical="center"/>
    </xf>
    <xf numFmtId="3" fontId="4" fillId="64" borderId="20" xfId="0" applyNumberFormat="1" applyFont="1" applyFill="1" applyBorder="1" applyAlignment="1" applyProtection="1">
      <alignment horizontal="center" vertical="center"/>
      <protection locked="0"/>
    </xf>
    <xf numFmtId="49" fontId="4" fillId="42" borderId="20" xfId="0" applyNumberFormat="1" applyFont="1" applyFill="1" applyBorder="1" applyAlignment="1" applyProtection="1">
      <alignment horizontal="center" vertical="center"/>
      <protection locked="0"/>
    </xf>
    <xf numFmtId="49" fontId="4" fillId="0" borderId="0" xfId="0" quotePrefix="1" applyNumberFormat="1" applyFont="1" applyAlignment="1" applyProtection="1">
      <alignment horizontal="center" vertical="center"/>
      <protection locked="0"/>
    </xf>
    <xf numFmtId="169" fontId="4" fillId="0" borderId="0" xfId="0" applyNumberFormat="1" applyFont="1" applyAlignment="1" applyProtection="1">
      <alignment horizontal="center" vertical="center" wrapText="1"/>
      <protection locked="0"/>
    </xf>
    <xf numFmtId="0" fontId="4" fillId="0" borderId="20" xfId="0" applyFont="1" applyBorder="1" applyAlignment="1" applyProtection="1">
      <alignment horizontal="center" vertical="center" wrapText="1"/>
      <protection locked="0"/>
    </xf>
    <xf numFmtId="0" fontId="4" fillId="61" borderId="20" xfId="0" applyFont="1" applyFill="1" applyBorder="1" applyAlignment="1" applyProtection="1">
      <alignment horizontal="center" vertical="center" wrapText="1"/>
      <protection locked="0"/>
    </xf>
    <xf numFmtId="1" fontId="4" fillId="54" borderId="20" xfId="0" applyNumberFormat="1" applyFont="1" applyFill="1" applyBorder="1" applyAlignment="1" applyProtection="1">
      <alignment horizontal="center" vertical="center"/>
      <protection locked="0"/>
    </xf>
    <xf numFmtId="0" fontId="4" fillId="46" borderId="20" xfId="0" applyFont="1" applyFill="1" applyBorder="1" applyAlignment="1">
      <alignment horizontal="center" vertical="center"/>
    </xf>
    <xf numFmtId="1" fontId="4" fillId="46" borderId="20" xfId="0" applyNumberFormat="1" applyFont="1" applyFill="1" applyBorder="1" applyAlignment="1" applyProtection="1">
      <alignment horizontal="center" vertical="center"/>
      <protection locked="0"/>
    </xf>
    <xf numFmtId="173" fontId="4" fillId="46" borderId="20" xfId="0" applyNumberFormat="1" applyFont="1" applyFill="1" applyBorder="1" applyAlignment="1" applyProtection="1">
      <alignment horizontal="center" vertical="center"/>
      <protection locked="0"/>
    </xf>
    <xf numFmtId="1" fontId="4" fillId="46" borderId="20" xfId="0" applyNumberFormat="1" applyFont="1" applyFill="1" applyBorder="1" applyAlignment="1">
      <alignment horizontal="center" vertical="center"/>
    </xf>
    <xf numFmtId="2" fontId="4" fillId="46" borderId="20" xfId="0" applyNumberFormat="1" applyFont="1" applyFill="1" applyBorder="1" applyAlignment="1">
      <alignment horizontal="center" vertical="center"/>
    </xf>
    <xf numFmtId="173" fontId="4" fillId="46" borderId="20" xfId="0" applyNumberFormat="1" applyFont="1" applyFill="1" applyBorder="1" applyAlignment="1">
      <alignment horizontal="center" vertical="center"/>
    </xf>
    <xf numFmtId="0" fontId="4" fillId="46" borderId="20" xfId="0" applyFont="1" applyFill="1" applyBorder="1" applyAlignment="1" applyProtection="1">
      <alignment horizontal="center" vertical="center"/>
      <protection locked="0"/>
    </xf>
    <xf numFmtId="2" fontId="4" fillId="46" borderId="20" xfId="0" applyNumberFormat="1" applyFont="1" applyFill="1" applyBorder="1" applyAlignment="1" applyProtection="1">
      <alignment horizontal="center" vertical="center"/>
      <protection locked="0"/>
    </xf>
    <xf numFmtId="169" fontId="4" fillId="0" borderId="20" xfId="0" quotePrefix="1" applyNumberFormat="1" applyFont="1" applyBorder="1" applyAlignment="1" applyProtection="1">
      <alignment horizontal="center" vertical="center"/>
      <protection locked="0"/>
    </xf>
    <xf numFmtId="1" fontId="4" fillId="64" borderId="20" xfId="0" quotePrefix="1" applyNumberFormat="1" applyFont="1" applyFill="1" applyBorder="1" applyAlignment="1" applyProtection="1">
      <alignment horizontal="center" vertical="center"/>
      <protection locked="0"/>
    </xf>
    <xf numFmtId="49" fontId="4" fillId="46" borderId="20" xfId="0" applyNumberFormat="1" applyFont="1" applyFill="1" applyBorder="1" applyAlignment="1" applyProtection="1">
      <alignment horizontal="center" vertical="center"/>
      <protection locked="0"/>
    </xf>
    <xf numFmtId="0" fontId="4" fillId="32" borderId="20" xfId="0" applyFont="1" applyFill="1" applyBorder="1" applyAlignment="1">
      <alignment horizontal="center" vertical="center"/>
    </xf>
    <xf numFmtId="1" fontId="4" fillId="32" borderId="20" xfId="0" quotePrefix="1" applyNumberFormat="1" applyFont="1" applyFill="1" applyBorder="1" applyAlignment="1" applyProtection="1">
      <alignment horizontal="center" vertical="center"/>
      <protection locked="0"/>
    </xf>
    <xf numFmtId="173" fontId="4" fillId="32" borderId="20" xfId="0" applyNumberFormat="1" applyFont="1" applyFill="1" applyBorder="1" applyAlignment="1" applyProtection="1">
      <alignment horizontal="center" vertical="center"/>
      <protection locked="0"/>
    </xf>
    <xf numFmtId="1" fontId="4" fillId="32" borderId="20" xfId="0" applyNumberFormat="1" applyFont="1" applyFill="1" applyBorder="1" applyAlignment="1">
      <alignment horizontal="center" vertical="center"/>
    </xf>
    <xf numFmtId="2" fontId="4" fillId="32" borderId="20" xfId="0" applyNumberFormat="1" applyFont="1" applyFill="1" applyBorder="1" applyAlignment="1">
      <alignment horizontal="center" vertical="center"/>
    </xf>
    <xf numFmtId="0" fontId="4" fillId="32" borderId="20" xfId="0" applyFont="1" applyFill="1" applyBorder="1" applyAlignment="1" applyProtection="1">
      <alignment horizontal="center" vertical="center"/>
      <protection locked="0"/>
    </xf>
    <xf numFmtId="1" fontId="4" fillId="32" borderId="20" xfId="0" applyNumberFormat="1" applyFont="1" applyFill="1" applyBorder="1" applyAlignment="1" applyProtection="1">
      <alignment horizontal="center" vertical="center"/>
      <protection locked="0"/>
    </xf>
    <xf numFmtId="2" fontId="4" fillId="32" borderId="20" xfId="0" applyNumberFormat="1" applyFont="1" applyFill="1" applyBorder="1" applyAlignment="1" applyProtection="1">
      <alignment horizontal="center" vertical="center"/>
      <protection locked="0"/>
    </xf>
    <xf numFmtId="49" fontId="4" fillId="32" borderId="20" xfId="0" applyNumberFormat="1" applyFont="1" applyFill="1" applyBorder="1" applyAlignment="1" applyProtection="1">
      <alignment horizontal="center" vertical="center"/>
      <protection locked="0"/>
    </xf>
    <xf numFmtId="169" fontId="4" fillId="46" borderId="20" xfId="0" applyNumberFormat="1" applyFont="1" applyFill="1" applyBorder="1" applyAlignment="1" applyProtection="1">
      <alignment horizontal="center" vertical="center"/>
      <protection locked="0"/>
    </xf>
    <xf numFmtId="1" fontId="4" fillId="54" borderId="20" xfId="0" quotePrefix="1" applyNumberFormat="1" applyFont="1" applyFill="1" applyBorder="1" applyAlignment="1" applyProtection="1">
      <alignment horizontal="center" vertical="center"/>
      <protection locked="0"/>
    </xf>
    <xf numFmtId="0" fontId="4" fillId="64" borderId="20" xfId="0" applyFont="1" applyFill="1" applyBorder="1" applyAlignment="1" applyProtection="1">
      <alignment horizontal="center" vertical="center" wrapText="1"/>
      <protection locked="0"/>
    </xf>
    <xf numFmtId="0" fontId="109" fillId="32" borderId="20" xfId="0" applyFont="1" applyFill="1" applyBorder="1" applyAlignment="1" applyProtection="1">
      <alignment horizontal="center" vertical="center"/>
      <protection locked="0"/>
    </xf>
    <xf numFmtId="0" fontId="109" fillId="0" borderId="20" xfId="0" applyFont="1" applyBorder="1" applyAlignment="1" applyProtection="1">
      <alignment horizontal="center" vertical="center"/>
      <protection locked="0"/>
    </xf>
    <xf numFmtId="0" fontId="109" fillId="60" borderId="20" xfId="0" applyFont="1" applyFill="1" applyBorder="1" applyAlignment="1" applyProtection="1">
      <alignment horizontal="center" vertical="center"/>
      <protection locked="0"/>
    </xf>
    <xf numFmtId="0" fontId="5" fillId="46" borderId="20" xfId="0" applyFont="1" applyFill="1" applyBorder="1" applyAlignment="1" applyProtection="1">
      <alignment horizontal="center" vertical="center"/>
      <protection locked="0"/>
    </xf>
    <xf numFmtId="0" fontId="109" fillId="53" borderId="20" xfId="0" applyFont="1" applyFill="1" applyBorder="1" applyAlignment="1" applyProtection="1">
      <alignment horizontal="center" vertical="center"/>
      <protection locked="0"/>
    </xf>
    <xf numFmtId="0" fontId="4" fillId="50" borderId="20" xfId="0" quotePrefix="1" applyFont="1" applyFill="1" applyBorder="1" applyAlignment="1">
      <alignment horizontal="center" vertical="center"/>
    </xf>
    <xf numFmtId="0" fontId="5" fillId="61" borderId="20" xfId="0" applyFont="1" applyFill="1" applyBorder="1" applyAlignment="1">
      <alignment horizontal="center" vertical="center"/>
    </xf>
    <xf numFmtId="0" fontId="4" fillId="61" borderId="20" xfId="0" applyFont="1" applyFill="1" applyBorder="1" applyAlignment="1">
      <alignment horizontal="center" vertical="center" wrapText="1"/>
    </xf>
    <xf numFmtId="49" fontId="5" fillId="0" borderId="20" xfId="0" applyNumberFormat="1" applyFont="1" applyBorder="1" applyAlignment="1" applyProtection="1">
      <alignment horizontal="center" vertical="center"/>
      <protection locked="0"/>
    </xf>
    <xf numFmtId="171" fontId="4" fillId="0" borderId="20" xfId="0" applyNumberFormat="1" applyFont="1" applyBorder="1" applyAlignment="1">
      <alignment horizontal="center" vertical="center"/>
    </xf>
    <xf numFmtId="174" fontId="4" fillId="0" borderId="20" xfId="0" applyNumberFormat="1" applyFont="1" applyBorder="1" applyAlignment="1">
      <alignment horizontal="center" vertical="center"/>
    </xf>
    <xf numFmtId="174" fontId="4" fillId="0" borderId="0" xfId="0" applyNumberFormat="1" applyFont="1" applyAlignment="1" applyProtection="1">
      <alignment horizontal="center" vertical="center"/>
      <protection locked="0"/>
    </xf>
    <xf numFmtId="0" fontId="5" fillId="0" borderId="0" xfId="0" applyFont="1" applyAlignment="1" applyProtection="1">
      <alignment horizontal="center" vertical="center"/>
      <protection locked="0"/>
    </xf>
    <xf numFmtId="49" fontId="4" fillId="100" borderId="20" xfId="0" applyNumberFormat="1" applyFont="1" applyFill="1" applyBorder="1" applyAlignment="1">
      <alignment horizontal="center" vertical="center"/>
    </xf>
    <xf numFmtId="0" fontId="4" fillId="32" borderId="20" xfId="0" quotePrefix="1" applyFont="1" applyFill="1" applyBorder="1" applyAlignment="1">
      <alignment horizontal="center" vertical="center"/>
    </xf>
    <xf numFmtId="0" fontId="4" fillId="53" borderId="20" xfId="0" quotePrefix="1" applyFont="1" applyFill="1" applyBorder="1" applyAlignment="1">
      <alignment horizontal="center" vertical="center"/>
    </xf>
    <xf numFmtId="0" fontId="4" fillId="61" borderId="20" xfId="0" quotePrefix="1" applyFont="1" applyFill="1" applyBorder="1" applyAlignment="1" applyProtection="1">
      <alignment horizontal="center" vertical="center"/>
      <protection locked="0"/>
    </xf>
    <xf numFmtId="49" fontId="4" fillId="53" borderId="20" xfId="0" quotePrefix="1" applyNumberFormat="1" applyFont="1" applyFill="1" applyBorder="1" applyAlignment="1" applyProtection="1">
      <alignment horizontal="center" vertical="center"/>
      <protection locked="0"/>
    </xf>
    <xf numFmtId="0" fontId="4" fillId="60" borderId="20" xfId="0" quotePrefix="1" applyFont="1" applyFill="1" applyBorder="1" applyAlignment="1">
      <alignment horizontal="center" vertical="center"/>
    </xf>
    <xf numFmtId="2" fontId="4" fillId="0" borderId="20" xfId="0" quotePrefix="1" applyNumberFormat="1" applyFont="1" applyBorder="1" applyAlignment="1" applyProtection="1">
      <alignment horizontal="center" vertical="center"/>
      <protection locked="0"/>
    </xf>
    <xf numFmtId="2" fontId="4" fillId="64" borderId="20" xfId="0" quotePrefix="1" applyNumberFormat="1" applyFont="1" applyFill="1" applyBorder="1" applyAlignment="1" applyProtection="1">
      <alignment horizontal="center" vertical="center"/>
      <protection locked="0"/>
    </xf>
    <xf numFmtId="2" fontId="4" fillId="50" borderId="20" xfId="0" quotePrefix="1" applyNumberFormat="1" applyFont="1" applyFill="1" applyBorder="1" applyAlignment="1" applyProtection="1">
      <alignment horizontal="center" vertical="center"/>
      <protection locked="0"/>
    </xf>
    <xf numFmtId="2" fontId="4" fillId="61" borderId="20" xfId="0" quotePrefix="1" applyNumberFormat="1" applyFont="1" applyFill="1" applyBorder="1" applyAlignment="1" applyProtection="1">
      <alignment horizontal="center" vertical="center"/>
      <protection locked="0"/>
    </xf>
    <xf numFmtId="0" fontId="4" fillId="0" borderId="0" xfId="0" applyFont="1" applyAlignment="1" applyProtection="1">
      <alignment horizontal="center" vertical="center" wrapText="1"/>
      <protection locked="0"/>
    </xf>
    <xf numFmtId="0" fontId="4" fillId="52" borderId="20" xfId="0" applyFont="1" applyFill="1" applyBorder="1" applyAlignment="1">
      <alignment horizontal="center" vertical="center"/>
    </xf>
    <xf numFmtId="0" fontId="5" fillId="52" borderId="20" xfId="0" applyFont="1" applyFill="1" applyBorder="1" applyAlignment="1">
      <alignment horizontal="center" vertical="center"/>
    </xf>
    <xf numFmtId="2" fontId="5" fillId="52" borderId="20" xfId="0" applyNumberFormat="1" applyFont="1" applyFill="1" applyBorder="1" applyAlignment="1">
      <alignment horizontal="center" vertical="center"/>
    </xf>
    <xf numFmtId="2" fontId="5" fillId="61" borderId="20" xfId="0" applyNumberFormat="1" applyFont="1" applyFill="1" applyBorder="1" applyAlignment="1">
      <alignment horizontal="center" vertical="center"/>
    </xf>
    <xf numFmtId="2" fontId="5" fillId="0" borderId="20" xfId="0" applyNumberFormat="1" applyFont="1" applyBorder="1" applyAlignment="1">
      <alignment horizontal="center" vertical="center"/>
    </xf>
    <xf numFmtId="0" fontId="4" fillId="0" borderId="0" xfId="0" applyFont="1" applyAlignment="1">
      <alignment horizontal="center" vertical="center" wrapText="1"/>
    </xf>
    <xf numFmtId="166" fontId="4" fillId="46" borderId="20" xfId="0" applyNumberFormat="1" applyFont="1" applyFill="1" applyBorder="1" applyAlignment="1">
      <alignment horizontal="center" vertical="center"/>
    </xf>
    <xf numFmtId="0" fontId="109" fillId="46" borderId="20" xfId="0" applyFont="1" applyFill="1" applyBorder="1" applyAlignment="1" applyProtection="1">
      <alignment horizontal="center" vertical="center"/>
      <protection locked="0"/>
    </xf>
    <xf numFmtId="1" fontId="4" fillId="0" borderId="20" xfId="0" applyNumberFormat="1" applyFont="1" applyBorder="1" applyAlignment="1">
      <alignment horizontal="center" vertical="center" wrapText="1"/>
    </xf>
    <xf numFmtId="0" fontId="4" fillId="0" borderId="20" xfId="0" quotePrefix="1" applyFont="1" applyBorder="1" applyAlignment="1" applyProtection="1">
      <alignment horizontal="center" vertical="center"/>
      <protection locked="0"/>
    </xf>
    <xf numFmtId="3" fontId="4" fillId="46" borderId="20" xfId="0" applyNumberFormat="1" applyFont="1" applyFill="1" applyBorder="1" applyAlignment="1" applyProtection="1">
      <alignment horizontal="center" vertical="center"/>
      <protection locked="0"/>
    </xf>
    <xf numFmtId="49" fontId="4" fillId="46" borderId="20" xfId="0" applyNumberFormat="1" applyFont="1" applyFill="1" applyBorder="1" applyAlignment="1">
      <alignment horizontal="center" vertical="center"/>
    </xf>
    <xf numFmtId="49" fontId="4" fillId="32" borderId="20" xfId="0" applyNumberFormat="1" applyFont="1" applyFill="1" applyBorder="1" applyAlignment="1">
      <alignment horizontal="center" vertical="center"/>
    </xf>
    <xf numFmtId="3" fontId="4" fillId="32" borderId="20" xfId="0" applyNumberFormat="1" applyFont="1" applyFill="1" applyBorder="1" applyAlignment="1" applyProtection="1">
      <alignment horizontal="center" vertical="center"/>
      <protection locked="0"/>
    </xf>
    <xf numFmtId="49" fontId="4" fillId="32" borderId="20" xfId="0" quotePrefix="1" applyNumberFormat="1" applyFont="1" applyFill="1" applyBorder="1" applyAlignment="1">
      <alignment horizontal="center" vertical="center"/>
    </xf>
    <xf numFmtId="169" fontId="4" fillId="32" borderId="20" xfId="0" applyNumberFormat="1" applyFont="1" applyFill="1" applyBorder="1" applyAlignment="1" applyProtection="1">
      <alignment horizontal="center" vertical="center"/>
      <protection locked="0"/>
    </xf>
    <xf numFmtId="49" fontId="4" fillId="32" borderId="20" xfId="0" quotePrefix="1" applyNumberFormat="1" applyFont="1" applyFill="1" applyBorder="1" applyAlignment="1" applyProtection="1">
      <alignment horizontal="center" vertical="center"/>
      <protection locked="0"/>
    </xf>
    <xf numFmtId="49" fontId="4" fillId="64" borderId="20" xfId="0" quotePrefix="1" applyNumberFormat="1" applyFont="1" applyFill="1" applyBorder="1" applyAlignment="1">
      <alignment horizontal="center" vertical="center"/>
    </xf>
    <xf numFmtId="0" fontId="5" fillId="0" borderId="20" xfId="0" applyFont="1" applyBorder="1" applyAlignment="1">
      <alignment horizontal="center" vertical="center" wrapText="1"/>
    </xf>
    <xf numFmtId="49" fontId="4" fillId="60" borderId="20" xfId="0" quotePrefix="1" applyNumberFormat="1" applyFont="1" applyFill="1" applyBorder="1" applyAlignment="1" applyProtection="1">
      <alignment horizontal="center" vertical="center"/>
      <protection locked="0"/>
    </xf>
    <xf numFmtId="0" fontId="4" fillId="54" borderId="20" xfId="0" quotePrefix="1" applyFont="1" applyFill="1" applyBorder="1" applyAlignment="1">
      <alignment horizontal="center" vertical="center"/>
    </xf>
    <xf numFmtId="175" fontId="4" fillId="0" borderId="20" xfId="0" applyNumberFormat="1" applyFont="1" applyBorder="1" applyAlignment="1">
      <alignment horizontal="center" vertical="center"/>
    </xf>
    <xf numFmtId="49" fontId="98" fillId="0" borderId="20" xfId="0" quotePrefix="1" applyNumberFormat="1" applyFont="1" applyBorder="1" applyAlignment="1">
      <alignment horizontal="center" vertical="center"/>
    </xf>
    <xf numFmtId="49" fontId="4" fillId="52" borderId="20" xfId="0" applyNumberFormat="1" applyFont="1" applyFill="1" applyBorder="1" applyAlignment="1">
      <alignment horizontal="center" vertical="center"/>
    </xf>
    <xf numFmtId="173" fontId="4" fillId="52" borderId="20" xfId="0" applyNumberFormat="1" applyFont="1" applyFill="1" applyBorder="1" applyAlignment="1" applyProtection="1">
      <alignment horizontal="center" vertical="center"/>
      <protection locked="0"/>
    </xf>
    <xf numFmtId="1" fontId="4" fillId="52" borderId="20" xfId="0" applyNumberFormat="1" applyFont="1" applyFill="1" applyBorder="1" applyAlignment="1" applyProtection="1">
      <alignment horizontal="center" vertical="center"/>
      <protection locked="0"/>
    </xf>
    <xf numFmtId="2" fontId="4" fillId="52" borderId="20" xfId="0" applyNumberFormat="1" applyFont="1" applyFill="1" applyBorder="1" applyAlignment="1" applyProtection="1">
      <alignment horizontal="center" vertical="center"/>
      <protection locked="0"/>
    </xf>
    <xf numFmtId="0" fontId="4" fillId="52" borderId="20" xfId="0" applyFont="1" applyFill="1" applyBorder="1" applyAlignment="1" applyProtection="1">
      <alignment horizontal="center" vertical="center"/>
      <protection locked="0"/>
    </xf>
    <xf numFmtId="1" fontId="4" fillId="52" borderId="20" xfId="0" applyNumberFormat="1" applyFont="1" applyFill="1" applyBorder="1" applyAlignment="1">
      <alignment horizontal="center" vertical="center"/>
    </xf>
    <xf numFmtId="3" fontId="4" fillId="52" borderId="20" xfId="0" applyNumberFormat="1" applyFont="1" applyFill="1" applyBorder="1" applyAlignment="1" applyProtection="1">
      <alignment horizontal="center" vertical="center"/>
      <protection locked="0"/>
    </xf>
    <xf numFmtId="2" fontId="4" fillId="52" borderId="20" xfId="0" applyNumberFormat="1" applyFont="1" applyFill="1" applyBorder="1" applyAlignment="1">
      <alignment horizontal="center" vertical="center"/>
    </xf>
    <xf numFmtId="49" fontId="4" fillId="61" borderId="20" xfId="0" quotePrefix="1" applyNumberFormat="1" applyFont="1" applyFill="1" applyBorder="1" applyAlignment="1">
      <alignment horizontal="center" vertical="center"/>
    </xf>
    <xf numFmtId="0" fontId="109" fillId="52" borderId="20" xfId="0" applyFont="1" applyFill="1" applyBorder="1" applyAlignment="1" applyProtection="1">
      <alignment horizontal="center" vertical="center"/>
      <protection locked="0"/>
    </xf>
    <xf numFmtId="49" fontId="4" fillId="60" borderId="20" xfId="0" applyNumberFormat="1" applyFont="1" applyFill="1" applyBorder="1" applyAlignment="1">
      <alignment horizontal="center" vertical="center"/>
    </xf>
    <xf numFmtId="49" fontId="4" fillId="60" borderId="20" xfId="0" quotePrefix="1" applyNumberFormat="1" applyFont="1" applyFill="1" applyBorder="1" applyAlignment="1">
      <alignment horizontal="center" vertical="center"/>
    </xf>
    <xf numFmtId="3" fontId="98" fillId="0" borderId="20" xfId="0" applyNumberFormat="1" applyFont="1" applyBorder="1" applyAlignment="1" applyProtection="1">
      <alignment horizontal="center" vertical="center"/>
      <protection locked="0"/>
    </xf>
    <xf numFmtId="0" fontId="98" fillId="0" borderId="0" xfId="0" applyFont="1" applyAlignment="1">
      <alignment horizontal="center" vertical="center"/>
    </xf>
    <xf numFmtId="49" fontId="4" fillId="52" borderId="20" xfId="0" applyNumberFormat="1" applyFont="1" applyFill="1" applyBorder="1" applyAlignment="1" applyProtection="1">
      <alignment horizontal="center" vertical="center"/>
      <protection locked="0"/>
    </xf>
    <xf numFmtId="173" fontId="4" fillId="52" borderId="20" xfId="0" applyNumberFormat="1" applyFont="1" applyFill="1" applyBorder="1" applyAlignment="1">
      <alignment horizontal="center" vertical="center"/>
    </xf>
    <xf numFmtId="2" fontId="110" fillId="0" borderId="20" xfId="0" applyNumberFormat="1" applyFont="1" applyBorder="1" applyAlignment="1" applyProtection="1">
      <alignment horizontal="center" vertical="center"/>
      <protection locked="0"/>
    </xf>
    <xf numFmtId="3" fontId="4" fillId="60" borderId="20" xfId="0" applyNumberFormat="1" applyFont="1" applyFill="1" applyBorder="1" applyAlignment="1" applyProtection="1">
      <alignment horizontal="center" vertical="center"/>
      <protection locked="0"/>
    </xf>
    <xf numFmtId="166" fontId="4" fillId="60" borderId="20" xfId="0" applyNumberFormat="1" applyFont="1" applyFill="1" applyBorder="1" applyAlignment="1">
      <alignment horizontal="center" vertical="center"/>
    </xf>
    <xf numFmtId="2" fontId="110" fillId="60" borderId="20" xfId="0" applyNumberFormat="1" applyFont="1" applyFill="1" applyBorder="1" applyAlignment="1" applyProtection="1">
      <alignment horizontal="center" vertical="center"/>
      <protection locked="0"/>
    </xf>
    <xf numFmtId="0" fontId="61" fillId="42" borderId="20" xfId="876" applyFont="1" applyFill="1" applyBorder="1" applyAlignment="1">
      <alignment horizontal="center" vertical="center"/>
    </xf>
    <xf numFmtId="173" fontId="5" fillId="0" borderId="20" xfId="0" applyNumberFormat="1" applyFont="1" applyBorder="1" applyAlignment="1">
      <alignment horizontal="center" vertical="center" wrapText="1"/>
    </xf>
    <xf numFmtId="173" fontId="4" fillId="32" borderId="20" xfId="0" applyNumberFormat="1" applyFont="1" applyFill="1" applyBorder="1" applyAlignment="1">
      <alignment horizontal="center" vertical="center"/>
    </xf>
    <xf numFmtId="0" fontId="4" fillId="46" borderId="20" xfId="0" quotePrefix="1" applyFont="1" applyFill="1" applyBorder="1" applyAlignment="1">
      <alignment horizontal="center" vertical="center"/>
    </xf>
    <xf numFmtId="0" fontId="4" fillId="0" borderId="0" xfId="0" quotePrefix="1" applyFont="1" applyAlignment="1">
      <alignment horizontal="center" vertical="center"/>
    </xf>
    <xf numFmtId="2" fontId="104" fillId="0" borderId="0" xfId="0" applyNumberFormat="1" applyFont="1" applyAlignment="1">
      <alignment horizontal="center" vertical="center"/>
    </xf>
    <xf numFmtId="0" fontId="61" fillId="42" borderId="20" xfId="876" applyFont="1" applyFill="1" applyBorder="1" applyAlignment="1">
      <alignment horizontal="center" vertical="center" wrapText="1"/>
    </xf>
    <xf numFmtId="0" fontId="68" fillId="43" borderId="49" xfId="677" applyFont="1" applyFill="1" applyBorder="1" applyAlignment="1">
      <alignment horizontal="center" vertical="center" wrapText="1"/>
    </xf>
    <xf numFmtId="0" fontId="65" fillId="43" borderId="49" xfId="677" applyFont="1" applyFill="1" applyBorder="1" applyAlignment="1">
      <alignment horizontal="center" vertical="center" wrapText="1"/>
    </xf>
    <xf numFmtId="0" fontId="62" fillId="43" borderId="59" xfId="677" applyFont="1" applyFill="1" applyBorder="1" applyAlignment="1">
      <alignment horizontal="left" vertical="center" wrapText="1" indent="1"/>
    </xf>
    <xf numFmtId="0" fontId="65" fillId="43" borderId="59" xfId="677" applyFont="1" applyFill="1" applyBorder="1" applyAlignment="1">
      <alignment horizontal="left" vertical="center" wrapText="1" indent="1"/>
    </xf>
    <xf numFmtId="0" fontId="65" fillId="43" borderId="97" xfId="677" applyFont="1" applyFill="1" applyBorder="1" applyAlignment="1">
      <alignment horizontal="center" vertical="center" wrapText="1"/>
    </xf>
    <xf numFmtId="0" fontId="68" fillId="43" borderId="51" xfId="677" applyFont="1" applyFill="1" applyBorder="1" applyAlignment="1">
      <alignment horizontal="center" vertical="center" wrapText="1"/>
    </xf>
    <xf numFmtId="0" fontId="61" fillId="43" borderId="42" xfId="876" applyFont="1" applyFill="1" applyBorder="1" applyAlignment="1">
      <alignment horizontal="center" vertical="center"/>
    </xf>
    <xf numFmtId="0" fontId="60" fillId="43" borderId="42" xfId="876" applyFont="1" applyFill="1" applyBorder="1" applyAlignment="1">
      <alignment horizontal="center" vertical="center"/>
    </xf>
    <xf numFmtId="0" fontId="60" fillId="43" borderId="28" xfId="876" applyFont="1" applyFill="1" applyBorder="1" applyAlignment="1">
      <alignment horizontal="center" vertical="center"/>
    </xf>
    <xf numFmtId="0" fontId="75" fillId="43" borderId="22" xfId="677" quotePrefix="1" applyFont="1" applyFill="1" applyBorder="1" applyAlignment="1">
      <alignment horizontal="left" vertical="center" wrapText="1" indent="1"/>
    </xf>
    <xf numFmtId="0" fontId="65" fillId="43" borderId="22" xfId="677" applyFont="1" applyFill="1" applyBorder="1" applyAlignment="1">
      <alignment horizontal="left" vertical="center" wrapText="1" indent="1"/>
    </xf>
    <xf numFmtId="0" fontId="68" fillId="43" borderId="24" xfId="677" applyFont="1" applyFill="1" applyBorder="1" applyAlignment="1">
      <alignment horizontal="center" vertical="center" wrapText="1"/>
    </xf>
    <xf numFmtId="0" fontId="65" fillId="43" borderId="22" xfId="677" applyFont="1" applyFill="1" applyBorder="1" applyAlignment="1">
      <alignment horizontal="center" vertical="center" wrapText="1"/>
    </xf>
    <xf numFmtId="0" fontId="61" fillId="43" borderId="25" xfId="876" applyFont="1" applyFill="1" applyBorder="1" applyAlignment="1">
      <alignment horizontal="center" vertical="center"/>
    </xf>
    <xf numFmtId="2" fontId="98" fillId="0" borderId="0" xfId="0" applyNumberFormat="1" applyFont="1" applyAlignment="1">
      <alignment horizontal="center" vertical="center"/>
    </xf>
    <xf numFmtId="0" fontId="111" fillId="0" borderId="20" xfId="0" applyFont="1" applyBorder="1" applyAlignment="1" applyProtection="1">
      <alignment horizontal="center" vertical="center"/>
      <protection locked="0"/>
    </xf>
    <xf numFmtId="0" fontId="55" fillId="0" borderId="20" xfId="886" applyFont="1" applyBorder="1" applyAlignment="1">
      <alignment horizontal="center" vertical="center"/>
    </xf>
    <xf numFmtId="0" fontId="4" fillId="64" borderId="20" xfId="0" applyFont="1" applyFill="1" applyBorder="1" applyAlignment="1">
      <alignment horizontal="center" vertical="center" wrapText="1"/>
    </xf>
    <xf numFmtId="0" fontId="4" fillId="50" borderId="20" xfId="0" applyFont="1" applyFill="1" applyBorder="1" applyAlignment="1">
      <alignment horizontal="center" vertical="center" wrapText="1"/>
    </xf>
    <xf numFmtId="0" fontId="98" fillId="0" borderId="20" xfId="0" applyFont="1" applyBorder="1" applyAlignment="1">
      <alignment horizontal="center" vertical="center" wrapText="1"/>
    </xf>
    <xf numFmtId="1" fontId="4" fillId="0" borderId="0" xfId="0" applyNumberFormat="1" applyFont="1" applyAlignment="1">
      <alignment horizontal="center" vertical="center" wrapText="1"/>
    </xf>
    <xf numFmtId="0" fontId="4" fillId="0" borderId="0" xfId="886" applyAlignment="1">
      <alignment horizontal="center" vertical="center"/>
    </xf>
    <xf numFmtId="0" fontId="55" fillId="0" borderId="0" xfId="0" applyFont="1" applyAlignment="1">
      <alignment horizontal="center" vertical="center"/>
    </xf>
    <xf numFmtId="0" fontId="57" fillId="0" borderId="0" xfId="0" applyFont="1" applyAlignment="1">
      <alignment horizontal="center" vertical="center"/>
    </xf>
    <xf numFmtId="173" fontId="4" fillId="61" borderId="20" xfId="0" applyNumberFormat="1" applyFont="1" applyFill="1" applyBorder="1" applyAlignment="1">
      <alignment horizontal="center" vertical="center" wrapText="1"/>
    </xf>
    <xf numFmtId="173" fontId="4" fillId="50" borderId="20" xfId="0" applyNumberFormat="1" applyFont="1" applyFill="1" applyBorder="1" applyAlignment="1">
      <alignment horizontal="center" vertical="center" wrapText="1"/>
    </xf>
    <xf numFmtId="173" fontId="4" fillId="0" borderId="20" xfId="0" applyNumberFormat="1" applyFont="1" applyBorder="1" applyAlignment="1">
      <alignment horizontal="center" vertical="center" wrapText="1"/>
    </xf>
    <xf numFmtId="173" fontId="4" fillId="64" borderId="20" xfId="0" applyNumberFormat="1" applyFont="1" applyFill="1" applyBorder="1" applyAlignment="1">
      <alignment horizontal="center" vertical="center" wrapText="1"/>
    </xf>
    <xf numFmtId="173" fontId="98" fillId="0" borderId="20" xfId="0" applyNumberFormat="1" applyFont="1" applyBorder="1" applyAlignment="1">
      <alignment horizontal="center" vertical="center" wrapText="1"/>
    </xf>
    <xf numFmtId="173" fontId="4" fillId="0" borderId="17" xfId="0" applyNumberFormat="1" applyFont="1" applyBorder="1" applyAlignment="1" applyProtection="1">
      <alignment horizontal="center" vertical="center"/>
      <protection locked="0"/>
    </xf>
    <xf numFmtId="173" fontId="4" fillId="61" borderId="20" xfId="0" quotePrefix="1" applyNumberFormat="1" applyFont="1" applyFill="1" applyBorder="1" applyAlignment="1">
      <alignment horizontal="center" vertical="center" wrapText="1"/>
    </xf>
    <xf numFmtId="173" fontId="4" fillId="0" borderId="20" xfId="0" quotePrefix="1" applyNumberFormat="1" applyFont="1" applyBorder="1" applyAlignment="1">
      <alignment horizontal="center" vertical="center" wrapText="1"/>
    </xf>
    <xf numFmtId="173" fontId="4" fillId="0" borderId="0" xfId="0" applyNumberFormat="1" applyFont="1" applyAlignment="1">
      <alignment horizontal="center" vertical="center" wrapText="1"/>
    </xf>
    <xf numFmtId="173" fontId="4" fillId="0" borderId="0" xfId="0" quotePrefix="1" applyNumberFormat="1" applyFont="1" applyAlignment="1">
      <alignment horizontal="center" vertical="center" wrapText="1"/>
    </xf>
    <xf numFmtId="173" fontId="98" fillId="0" borderId="0" xfId="0" applyNumberFormat="1" applyFont="1" applyAlignment="1">
      <alignment horizontal="center" vertical="center"/>
    </xf>
    <xf numFmtId="171" fontId="4" fillId="0" borderId="0" xfId="0" applyNumberFormat="1" applyFont="1" applyAlignment="1">
      <alignment horizontal="center" vertical="center"/>
    </xf>
    <xf numFmtId="1" fontId="4" fillId="61" borderId="20" xfId="0" applyNumberFormat="1" applyFont="1" applyFill="1" applyBorder="1" applyAlignment="1">
      <alignment horizontal="center" vertical="center" wrapText="1"/>
    </xf>
    <xf numFmtId="1" fontId="4" fillId="64" borderId="20" xfId="0" applyNumberFormat="1" applyFont="1" applyFill="1" applyBorder="1" applyAlignment="1">
      <alignment horizontal="center" vertical="center" wrapText="1"/>
    </xf>
    <xf numFmtId="1" fontId="4" fillId="50" borderId="20" xfId="0" applyNumberFormat="1" applyFont="1" applyFill="1" applyBorder="1" applyAlignment="1">
      <alignment horizontal="center" vertical="center" wrapText="1"/>
    </xf>
    <xf numFmtId="1" fontId="4" fillId="50" borderId="20" xfId="0" applyNumberFormat="1" applyFont="1" applyFill="1" applyBorder="1" applyAlignment="1">
      <alignment horizontal="center" vertical="center"/>
    </xf>
    <xf numFmtId="0" fontId="4" fillId="50" borderId="20" xfId="0" applyFont="1" applyFill="1" applyBorder="1" applyAlignment="1" applyProtection="1">
      <alignment horizontal="center" vertical="center" wrapText="1"/>
      <protection locked="0"/>
    </xf>
    <xf numFmtId="0" fontId="61" fillId="43" borderId="24" xfId="876" applyFont="1" applyFill="1" applyBorder="1" applyAlignment="1">
      <alignment horizontal="center" vertical="center"/>
    </xf>
    <xf numFmtId="0" fontId="61" fillId="40" borderId="24" xfId="876" applyFont="1" applyFill="1" applyBorder="1" applyAlignment="1">
      <alignment horizontal="center" vertical="center"/>
    </xf>
    <xf numFmtId="0" fontId="61" fillId="40" borderId="26" xfId="876" applyFont="1" applyFill="1" applyBorder="1" applyAlignment="1">
      <alignment horizontal="center" vertical="center"/>
    </xf>
    <xf numFmtId="2" fontId="61" fillId="0" borderId="24" xfId="876" applyNumberFormat="1" applyFont="1" applyBorder="1" applyAlignment="1">
      <alignment horizontal="center" vertical="center"/>
    </xf>
    <xf numFmtId="0" fontId="61" fillId="43" borderId="26" xfId="876" applyFont="1" applyFill="1" applyBorder="1" applyAlignment="1">
      <alignment horizontal="center" vertical="center"/>
    </xf>
    <xf numFmtId="2" fontId="4" fillId="64" borderId="20" xfId="0" applyNumberFormat="1" applyFont="1" applyFill="1" applyBorder="1" applyAlignment="1">
      <alignment horizontal="center" vertical="center" wrapText="1"/>
    </xf>
    <xf numFmtId="0" fontId="113" fillId="0" borderId="0" xfId="876" applyFont="1" applyAlignment="1">
      <alignment horizontal="center" vertical="center"/>
    </xf>
    <xf numFmtId="0" fontId="113" fillId="33" borderId="20" xfId="876" applyFont="1" applyFill="1" applyBorder="1" applyAlignment="1">
      <alignment horizontal="center" vertical="center"/>
    </xf>
    <xf numFmtId="0" fontId="113" fillId="0" borderId="20" xfId="876" applyFont="1" applyBorder="1" applyAlignment="1">
      <alignment horizontal="center" vertical="center"/>
    </xf>
    <xf numFmtId="0" fontId="113" fillId="58" borderId="73" xfId="876" applyFont="1" applyFill="1" applyBorder="1" applyAlignment="1">
      <alignment horizontal="center" vertical="center"/>
    </xf>
    <xf numFmtId="0" fontId="113" fillId="58" borderId="76" xfId="876" applyFont="1" applyFill="1" applyBorder="1" applyAlignment="1">
      <alignment horizontal="center" vertical="center"/>
    </xf>
    <xf numFmtId="0" fontId="113" fillId="40" borderId="73" xfId="876" applyFont="1" applyFill="1" applyBorder="1" applyAlignment="1">
      <alignment horizontal="center" vertical="center"/>
    </xf>
    <xf numFmtId="0" fontId="113" fillId="40" borderId="76" xfId="876" applyFont="1" applyFill="1" applyBorder="1" applyAlignment="1">
      <alignment horizontal="center" vertical="center"/>
    </xf>
    <xf numFmtId="0" fontId="113" fillId="40" borderId="79" xfId="876" applyFont="1" applyFill="1" applyBorder="1" applyAlignment="1">
      <alignment horizontal="center" vertical="center"/>
    </xf>
    <xf numFmtId="0" fontId="113" fillId="40" borderId="82" xfId="876" applyFont="1" applyFill="1" applyBorder="1" applyAlignment="1">
      <alignment horizontal="center" vertical="center"/>
    </xf>
    <xf numFmtId="0" fontId="113" fillId="58" borderId="86" xfId="876" applyFont="1" applyFill="1" applyBorder="1" applyAlignment="1">
      <alignment horizontal="center" vertical="center"/>
    </xf>
    <xf numFmtId="0" fontId="113" fillId="58" borderId="79" xfId="876" applyFont="1" applyFill="1" applyBorder="1" applyAlignment="1">
      <alignment horizontal="center" vertical="center"/>
    </xf>
    <xf numFmtId="0" fontId="113" fillId="58" borderId="82" xfId="876" applyFont="1" applyFill="1" applyBorder="1" applyAlignment="1">
      <alignment horizontal="center" vertical="center"/>
    </xf>
    <xf numFmtId="0" fontId="113" fillId="0" borderId="22" xfId="876" applyFont="1" applyBorder="1" applyAlignment="1">
      <alignment horizontal="center" vertical="center"/>
    </xf>
    <xf numFmtId="0" fontId="113" fillId="43" borderId="23" xfId="876" applyFont="1" applyFill="1" applyBorder="1" applyAlignment="1">
      <alignment horizontal="center" vertical="center"/>
    </xf>
    <xf numFmtId="0" fontId="113" fillId="0" borderId="23" xfId="876" applyFont="1" applyBorder="1" applyAlignment="1">
      <alignment horizontal="center" vertical="center"/>
    </xf>
    <xf numFmtId="0" fontId="113" fillId="54" borderId="23" xfId="876" applyFont="1" applyFill="1" applyBorder="1" applyAlignment="1">
      <alignment horizontal="center" vertical="center"/>
    </xf>
    <xf numFmtId="0" fontId="113" fillId="35" borderId="22" xfId="876" applyFont="1" applyFill="1" applyBorder="1" applyAlignment="1">
      <alignment horizontal="center" vertical="center"/>
    </xf>
    <xf numFmtId="0" fontId="113" fillId="35" borderId="23" xfId="876" applyFont="1" applyFill="1" applyBorder="1" applyAlignment="1">
      <alignment horizontal="center" vertical="center"/>
    </xf>
    <xf numFmtId="0" fontId="113" fillId="0" borderId="42" xfId="876" applyFont="1" applyBorder="1" applyAlignment="1">
      <alignment horizontal="center" vertical="center"/>
    </xf>
    <xf numFmtId="0" fontId="113" fillId="0" borderId="24" xfId="876" applyFont="1" applyBorder="1" applyAlignment="1">
      <alignment horizontal="center" vertical="center"/>
    </xf>
    <xf numFmtId="0" fontId="113" fillId="35" borderId="24" xfId="876" applyFont="1" applyFill="1" applyBorder="1" applyAlignment="1">
      <alignment horizontal="center" vertical="center"/>
    </xf>
    <xf numFmtId="0" fontId="113" fillId="0" borderId="25" xfId="876" applyFont="1" applyBorder="1" applyAlignment="1">
      <alignment horizontal="center" vertical="center"/>
    </xf>
    <xf numFmtId="2" fontId="113" fillId="0" borderId="25" xfId="876" applyNumberFormat="1" applyFont="1" applyBorder="1" applyAlignment="1">
      <alignment horizontal="center" vertical="center"/>
    </xf>
    <xf numFmtId="0" fontId="113" fillId="35" borderId="25" xfId="876" applyFont="1" applyFill="1" applyBorder="1" applyAlignment="1">
      <alignment horizontal="center" vertical="center"/>
    </xf>
    <xf numFmtId="0" fontId="113" fillId="43" borderId="25" xfId="876" applyFont="1" applyFill="1" applyBorder="1" applyAlignment="1">
      <alignment horizontal="center" vertical="center"/>
    </xf>
    <xf numFmtId="0" fontId="113" fillId="43" borderId="24" xfId="876" applyFont="1" applyFill="1" applyBorder="1" applyAlignment="1">
      <alignment horizontal="center" vertical="center"/>
    </xf>
    <xf numFmtId="0" fontId="113" fillId="40" borderId="24" xfId="876" applyFont="1" applyFill="1" applyBorder="1" applyAlignment="1">
      <alignment horizontal="center" vertical="center"/>
    </xf>
    <xf numFmtId="0" fontId="113" fillId="40" borderId="26" xfId="876" applyFont="1" applyFill="1" applyBorder="1" applyAlignment="1">
      <alignment horizontal="center" vertical="center"/>
    </xf>
    <xf numFmtId="0" fontId="113" fillId="40" borderId="23" xfId="876" applyFont="1" applyFill="1" applyBorder="1" applyAlignment="1">
      <alignment horizontal="center" vertical="center"/>
    </xf>
    <xf numFmtId="0" fontId="113" fillId="40" borderId="22" xfId="876" applyFont="1" applyFill="1" applyBorder="1" applyAlignment="1">
      <alignment horizontal="center" vertical="center"/>
    </xf>
    <xf numFmtId="0" fontId="75" fillId="35" borderId="23" xfId="677" quotePrefix="1" applyFont="1" applyFill="1" applyBorder="1" applyAlignment="1">
      <alignment horizontal="left" vertical="center" wrapText="1" indent="1"/>
    </xf>
    <xf numFmtId="0" fontId="4" fillId="60" borderId="20" xfId="0" applyFont="1" applyFill="1" applyBorder="1" applyAlignment="1">
      <alignment horizontal="center" vertical="center" wrapText="1"/>
    </xf>
    <xf numFmtId="0" fontId="4" fillId="55" borderId="0" xfId="0" applyFont="1" applyFill="1" applyAlignment="1" applyProtection="1">
      <alignment horizontal="center" vertical="center"/>
      <protection locked="0"/>
    </xf>
    <xf numFmtId="0" fontId="4" fillId="43" borderId="0" xfId="0" applyFont="1" applyFill="1" applyAlignment="1" applyProtection="1">
      <alignment horizontal="center" vertical="center"/>
      <protection locked="0"/>
    </xf>
    <xf numFmtId="0" fontId="65" fillId="0" borderId="0" xfId="677" applyFont="1" applyAlignment="1">
      <alignment horizontal="left" vertical="center" wrapText="1" indent="1"/>
    </xf>
    <xf numFmtId="0" fontId="68" fillId="35" borderId="48" xfId="677" applyFont="1" applyFill="1" applyBorder="1" applyAlignment="1">
      <alignment horizontal="center" vertical="center" wrapText="1"/>
    </xf>
    <xf numFmtId="0" fontId="65" fillId="59" borderId="24" xfId="677" applyFont="1" applyFill="1" applyBorder="1" applyAlignment="1">
      <alignment horizontal="center" vertical="center" wrapText="1"/>
    </xf>
    <xf numFmtId="0" fontId="80" fillId="0" borderId="0" xfId="0" applyFont="1" applyAlignment="1">
      <alignment horizontal="center" vertical="center"/>
    </xf>
    <xf numFmtId="49" fontId="114" fillId="0" borderId="0" xfId="0" applyNumberFormat="1" applyFont="1" applyAlignment="1">
      <alignment horizontal="center" vertical="center"/>
    </xf>
    <xf numFmtId="0" fontId="0" fillId="107" borderId="20" xfId="0" applyFill="1" applyBorder="1" applyAlignment="1">
      <alignment horizontal="center" vertical="center" wrapText="1"/>
    </xf>
    <xf numFmtId="0" fontId="0" fillId="53" borderId="20" xfId="0" applyFill="1" applyBorder="1" applyAlignment="1">
      <alignment horizontal="center" vertical="center" wrapText="1"/>
    </xf>
    <xf numFmtId="0" fontId="0" fillId="108" borderId="20" xfId="0" applyFill="1" applyBorder="1" applyAlignment="1">
      <alignment horizontal="center" vertical="center" wrapText="1"/>
    </xf>
    <xf numFmtId="0" fontId="0" fillId="109" borderId="20" xfId="0" applyFill="1" applyBorder="1" applyAlignment="1">
      <alignment horizontal="center" vertical="center" wrapText="1"/>
    </xf>
    <xf numFmtId="0" fontId="0" fillId="110" borderId="20" xfId="0" applyFill="1" applyBorder="1" applyAlignment="1">
      <alignment horizontal="center" vertical="center" wrapText="1"/>
    </xf>
    <xf numFmtId="0" fontId="0" fillId="111" borderId="20" xfId="0" applyFill="1" applyBorder="1" applyAlignment="1">
      <alignment horizontal="center" vertical="center" wrapText="1"/>
    </xf>
    <xf numFmtId="0" fontId="0" fillId="53" borderId="20" xfId="0" applyFill="1" applyBorder="1" applyAlignment="1">
      <alignment horizontal="center" vertical="center"/>
    </xf>
    <xf numFmtId="0" fontId="0" fillId="108" borderId="20" xfId="0" applyFill="1" applyBorder="1" applyAlignment="1">
      <alignment horizontal="center" vertical="center"/>
    </xf>
    <xf numFmtId="0" fontId="0" fillId="110" borderId="20" xfId="0" applyFill="1" applyBorder="1" applyAlignment="1">
      <alignment horizontal="center" vertical="center"/>
    </xf>
    <xf numFmtId="0" fontId="0" fillId="109" borderId="20" xfId="0" applyFill="1" applyBorder="1" applyAlignment="1">
      <alignment horizontal="center" vertical="center"/>
    </xf>
    <xf numFmtId="0" fontId="0" fillId="111" borderId="20" xfId="0" applyFill="1" applyBorder="1" applyAlignment="1">
      <alignment horizontal="center" vertical="center"/>
    </xf>
    <xf numFmtId="0" fontId="0" fillId="112" borderId="20" xfId="0" applyFill="1" applyBorder="1" applyAlignment="1">
      <alignment horizontal="center" vertical="center"/>
    </xf>
    <xf numFmtId="0" fontId="0" fillId="113" borderId="20" xfId="0" applyFill="1" applyBorder="1" applyAlignment="1">
      <alignment horizontal="center" vertical="center"/>
    </xf>
    <xf numFmtId="0" fontId="0" fillId="107" borderId="20" xfId="0" applyFill="1" applyBorder="1" applyAlignment="1">
      <alignment horizontal="center" vertical="center"/>
    </xf>
    <xf numFmtId="0" fontId="0" fillId="48" borderId="20" xfId="0" applyFill="1" applyBorder="1" applyAlignment="1">
      <alignment horizontal="center" vertical="center" wrapText="1"/>
    </xf>
    <xf numFmtId="0" fontId="0" fillId="36" borderId="20" xfId="0" applyFill="1" applyBorder="1" applyAlignment="1">
      <alignment horizontal="center" vertical="center" wrapText="1"/>
    </xf>
    <xf numFmtId="0" fontId="0" fillId="99" borderId="20" xfId="0" applyFill="1" applyBorder="1" applyAlignment="1">
      <alignment horizontal="center" vertical="center" wrapText="1"/>
    </xf>
    <xf numFmtId="0" fontId="80" fillId="0" borderId="20" xfId="0" applyFont="1" applyBorder="1" applyAlignment="1">
      <alignment horizontal="center" vertical="center" wrapText="1"/>
    </xf>
    <xf numFmtId="0" fontId="80" fillId="0" borderId="20" xfId="0" applyFont="1" applyBorder="1" applyAlignment="1">
      <alignment horizontal="justify" vertical="center" wrapText="1"/>
    </xf>
    <xf numFmtId="0" fontId="80" fillId="0" borderId="20" xfId="0" applyFont="1" applyBorder="1" applyAlignment="1">
      <alignment horizontal="center" vertical="center"/>
    </xf>
    <xf numFmtId="0" fontId="0" fillId="0" borderId="0" xfId="0" applyAlignment="1">
      <alignment vertical="center"/>
    </xf>
    <xf numFmtId="0" fontId="0" fillId="0" borderId="22" xfId="0" applyBorder="1" applyAlignment="1">
      <alignment vertical="center"/>
    </xf>
    <xf numFmtId="0" fontId="4" fillId="0" borderId="0" xfId="0" applyFont="1" applyAlignment="1">
      <alignment vertical="center"/>
    </xf>
    <xf numFmtId="0" fontId="4" fillId="0" borderId="0" xfId="0" applyFont="1" applyAlignment="1">
      <alignment horizontal="right" vertical="center"/>
    </xf>
    <xf numFmtId="0" fontId="0" fillId="0" borderId="20" xfId="0" applyBorder="1" applyAlignment="1">
      <alignment vertical="center"/>
    </xf>
    <xf numFmtId="0" fontId="80" fillId="114" borderId="20" xfId="0" applyFont="1" applyFill="1" applyBorder="1" applyAlignment="1">
      <alignment horizontal="center" vertical="center" wrapText="1"/>
    </xf>
    <xf numFmtId="0" fontId="80" fillId="114" borderId="20" xfId="0" applyFont="1" applyFill="1" applyBorder="1" applyAlignment="1">
      <alignment horizontal="justify" vertical="center" wrapText="1"/>
    </xf>
    <xf numFmtId="0" fontId="80" fillId="114" borderId="100" xfId="0" applyFont="1" applyFill="1" applyBorder="1" applyAlignment="1">
      <alignment horizontal="center" vertical="center" wrapText="1"/>
    </xf>
    <xf numFmtId="0" fontId="80" fillId="114" borderId="100" xfId="0" applyFont="1" applyFill="1" applyBorder="1" applyAlignment="1">
      <alignment horizontal="justify" vertical="center" wrapText="1"/>
    </xf>
    <xf numFmtId="0" fontId="118" fillId="53" borderId="20" xfId="0" applyFont="1" applyFill="1" applyBorder="1" applyAlignment="1">
      <alignment horizontal="center" vertical="center" wrapText="1"/>
    </xf>
    <xf numFmtId="0" fontId="118" fillId="110" borderId="20" xfId="0" applyFont="1" applyFill="1" applyBorder="1" applyAlignment="1">
      <alignment horizontal="center" vertical="center" wrapText="1"/>
    </xf>
    <xf numFmtId="0" fontId="118" fillId="108" borderId="20" xfId="0" applyFont="1" applyFill="1" applyBorder="1" applyAlignment="1">
      <alignment horizontal="center" vertical="center" wrapText="1"/>
    </xf>
    <xf numFmtId="0" fontId="118" fillId="111" borderId="20" xfId="0" applyFont="1" applyFill="1" applyBorder="1" applyAlignment="1">
      <alignment horizontal="center" vertical="center" wrapText="1"/>
    </xf>
    <xf numFmtId="0" fontId="118" fillId="109" borderId="20" xfId="0" applyFont="1" applyFill="1" applyBorder="1" applyAlignment="1">
      <alignment horizontal="center" vertical="center" wrapText="1"/>
    </xf>
    <xf numFmtId="0" fontId="118" fillId="113" borderId="20" xfId="0" applyFont="1" applyFill="1" applyBorder="1" applyAlignment="1">
      <alignment horizontal="center" vertical="center" wrapText="1"/>
    </xf>
    <xf numFmtId="0" fontId="118" fillId="0" borderId="20" xfId="0" applyFont="1" applyBorder="1" applyAlignment="1">
      <alignment horizontal="center" vertical="center" wrapText="1"/>
    </xf>
    <xf numFmtId="0" fontId="4" fillId="53" borderId="20" xfId="0" applyFont="1" applyFill="1" applyBorder="1" applyAlignment="1">
      <alignment horizontal="center" vertical="center" wrapText="1"/>
    </xf>
    <xf numFmtId="0" fontId="4" fillId="108" borderId="20" xfId="0" applyFont="1" applyFill="1" applyBorder="1" applyAlignment="1">
      <alignment horizontal="center" vertical="center" wrapText="1"/>
    </xf>
    <xf numFmtId="0" fontId="119" fillId="114" borderId="100" xfId="0" applyFont="1" applyFill="1" applyBorder="1" applyAlignment="1">
      <alignment horizontal="justify" vertical="center" wrapText="1"/>
    </xf>
    <xf numFmtId="0" fontId="119" fillId="114" borderId="20" xfId="0" applyFont="1" applyFill="1" applyBorder="1" applyAlignment="1">
      <alignment horizontal="justify" vertical="center" wrapText="1"/>
    </xf>
    <xf numFmtId="0" fontId="120" fillId="53" borderId="20" xfId="0" applyFont="1" applyFill="1" applyBorder="1" applyAlignment="1">
      <alignment horizontal="center" vertical="center" wrapText="1"/>
    </xf>
    <xf numFmtId="0" fontId="120" fillId="110" borderId="20" xfId="0" applyFont="1" applyFill="1" applyBorder="1" applyAlignment="1">
      <alignment horizontal="center" vertical="center" wrapText="1"/>
    </xf>
    <xf numFmtId="0" fontId="120" fillId="108" borderId="20" xfId="0" applyFont="1" applyFill="1" applyBorder="1" applyAlignment="1">
      <alignment horizontal="center" vertical="center" wrapText="1"/>
    </xf>
    <xf numFmtId="0" fontId="120" fillId="111" borderId="20" xfId="0" applyFont="1" applyFill="1" applyBorder="1" applyAlignment="1">
      <alignment horizontal="center" vertical="center" wrapText="1"/>
    </xf>
    <xf numFmtId="0" fontId="120" fillId="109" borderId="20" xfId="0" applyFont="1" applyFill="1" applyBorder="1" applyAlignment="1">
      <alignment horizontal="center" vertical="center" wrapText="1"/>
    </xf>
    <xf numFmtId="0" fontId="120" fillId="113" borderId="20" xfId="0" applyFont="1" applyFill="1" applyBorder="1" applyAlignment="1">
      <alignment horizontal="center" vertical="center" wrapText="1"/>
    </xf>
    <xf numFmtId="0" fontId="120" fillId="0" borderId="20" xfId="0" applyFont="1" applyBorder="1" applyAlignment="1">
      <alignment horizontal="center" vertical="center" wrapText="1"/>
    </xf>
    <xf numFmtId="49" fontId="4" fillId="0" borderId="26" xfId="0" applyNumberFormat="1" applyFont="1" applyBorder="1" applyAlignment="1" applyProtection="1">
      <alignment horizontal="center" vertical="center"/>
      <protection locked="0"/>
    </xf>
    <xf numFmtId="0" fontId="4" fillId="56" borderId="20" xfId="0" applyFont="1" applyFill="1" applyBorder="1" applyAlignment="1">
      <alignment horizontal="center" vertical="center"/>
    </xf>
    <xf numFmtId="0" fontId="5" fillId="56" borderId="20" xfId="0" applyFont="1" applyFill="1" applyBorder="1" applyAlignment="1">
      <alignment horizontal="center" vertical="center"/>
    </xf>
    <xf numFmtId="2" fontId="5" fillId="56" borderId="20" xfId="0" applyNumberFormat="1" applyFont="1" applyFill="1" applyBorder="1" applyAlignment="1">
      <alignment horizontal="center" vertical="center"/>
    </xf>
    <xf numFmtId="0" fontId="4" fillId="46" borderId="20" xfId="0" applyFont="1" applyFill="1" applyBorder="1" applyAlignment="1">
      <alignment horizontal="center" vertical="center" wrapText="1"/>
    </xf>
    <xf numFmtId="173" fontId="5" fillId="97" borderId="20" xfId="0" applyNumberFormat="1" applyFont="1" applyFill="1" applyBorder="1" applyAlignment="1">
      <alignment horizontal="center" vertical="center" wrapText="1"/>
    </xf>
    <xf numFmtId="1" fontId="5" fillId="97" borderId="20" xfId="0" applyNumberFormat="1" applyFont="1" applyFill="1" applyBorder="1" applyAlignment="1">
      <alignment horizontal="center" vertical="center" wrapText="1"/>
    </xf>
    <xf numFmtId="173" fontId="5" fillId="95" borderId="20" xfId="0" applyNumberFormat="1" applyFont="1" applyFill="1" applyBorder="1" applyAlignment="1">
      <alignment horizontal="center" vertical="center" wrapText="1"/>
    </xf>
    <xf numFmtId="1" fontId="5" fillId="95" borderId="20" xfId="0" applyNumberFormat="1" applyFont="1" applyFill="1" applyBorder="1" applyAlignment="1">
      <alignment horizontal="center" vertical="center" wrapText="1"/>
    </xf>
    <xf numFmtId="3" fontId="4" fillId="0" borderId="26" xfId="0" applyNumberFormat="1" applyFont="1" applyBorder="1" applyAlignment="1" applyProtection="1">
      <alignment horizontal="center" vertical="center"/>
      <protection locked="0"/>
    </xf>
    <xf numFmtId="1" fontId="4" fillId="0" borderId="26" xfId="0" applyNumberFormat="1" applyFont="1" applyBorder="1" applyAlignment="1" applyProtection="1">
      <alignment horizontal="center" vertical="center"/>
      <protection locked="0"/>
    </xf>
    <xf numFmtId="1" fontId="4" fillId="60" borderId="26" xfId="0" applyNumberFormat="1" applyFont="1" applyFill="1" applyBorder="1" applyAlignment="1" applyProtection="1">
      <alignment horizontal="center" vertical="center"/>
      <protection locked="0"/>
    </xf>
    <xf numFmtId="0" fontId="4" fillId="60" borderId="26" xfId="0" applyFont="1" applyFill="1" applyBorder="1" applyAlignment="1" applyProtection="1">
      <alignment horizontal="center" vertical="center"/>
      <protection locked="0"/>
    </xf>
    <xf numFmtId="49" fontId="4" fillId="0" borderId="104" xfId="0" applyNumberFormat="1" applyFont="1" applyBorder="1" applyAlignment="1" applyProtection="1">
      <alignment horizontal="center" vertical="center"/>
      <protection locked="0"/>
    </xf>
    <xf numFmtId="2" fontId="4" fillId="0" borderId="103" xfId="0" applyNumberFormat="1" applyFont="1" applyBorder="1" applyAlignment="1" applyProtection="1">
      <alignment horizontal="center" vertical="center"/>
      <protection locked="0"/>
    </xf>
    <xf numFmtId="49" fontId="4" fillId="0" borderId="103" xfId="0" applyNumberFormat="1" applyFont="1" applyBorder="1" applyAlignment="1" applyProtection="1">
      <alignment horizontal="center" vertical="center"/>
      <protection locked="0"/>
    </xf>
    <xf numFmtId="0" fontId="4" fillId="0" borderId="104" xfId="0" applyFont="1" applyBorder="1" applyAlignment="1" applyProtection="1">
      <alignment horizontal="center" vertical="center"/>
      <protection locked="0"/>
    </xf>
    <xf numFmtId="1" fontId="4" fillId="0" borderId="104" xfId="0" applyNumberFormat="1" applyFont="1" applyBorder="1" applyAlignment="1" applyProtection="1">
      <alignment horizontal="center" vertical="center"/>
      <protection locked="0"/>
    </xf>
    <xf numFmtId="166" fontId="4" fillId="0" borderId="104" xfId="0" applyNumberFormat="1" applyFont="1" applyBorder="1" applyAlignment="1">
      <alignment horizontal="center" vertical="center"/>
    </xf>
    <xf numFmtId="0" fontId="4" fillId="0" borderId="104" xfId="0" applyFont="1" applyBorder="1" applyAlignment="1">
      <alignment horizontal="center" vertical="center"/>
    </xf>
    <xf numFmtId="1" fontId="4" fillId="0" borderId="104" xfId="0" applyNumberFormat="1" applyFont="1" applyBorder="1" applyAlignment="1">
      <alignment horizontal="center" vertical="center"/>
    </xf>
    <xf numFmtId="49" fontId="4" fillId="0" borderId="104" xfId="0" applyNumberFormat="1" applyFont="1" applyBorder="1" applyAlignment="1">
      <alignment horizontal="center" vertical="center"/>
    </xf>
    <xf numFmtId="49" fontId="4" fillId="60" borderId="104" xfId="0" applyNumberFormat="1" applyFont="1" applyFill="1" applyBorder="1" applyAlignment="1">
      <alignment horizontal="center" vertical="center"/>
    </xf>
    <xf numFmtId="2" fontId="4" fillId="60" borderId="103" xfId="0" applyNumberFormat="1" applyFont="1" applyFill="1" applyBorder="1" applyAlignment="1" applyProtection="1">
      <alignment horizontal="center" vertical="center"/>
      <protection locked="0"/>
    </xf>
    <xf numFmtId="166" fontId="4" fillId="60" borderId="104" xfId="0" applyNumberFormat="1" applyFont="1" applyFill="1" applyBorder="1" applyAlignment="1">
      <alignment horizontal="center" vertical="center"/>
    </xf>
    <xf numFmtId="0" fontId="4" fillId="60" borderId="103" xfId="0" applyFont="1" applyFill="1" applyBorder="1" applyAlignment="1" applyProtection="1">
      <alignment horizontal="center" vertical="center"/>
      <protection locked="0"/>
    </xf>
    <xf numFmtId="0" fontId="4" fillId="60" borderId="104" xfId="0" applyFont="1" applyFill="1" applyBorder="1" applyAlignment="1" applyProtection="1">
      <alignment horizontal="center" vertical="center"/>
      <protection locked="0"/>
    </xf>
    <xf numFmtId="0" fontId="4" fillId="60" borderId="104" xfId="0" applyFont="1" applyFill="1" applyBorder="1" applyAlignment="1">
      <alignment horizontal="center" vertical="center"/>
    </xf>
    <xf numFmtId="0" fontId="4" fillId="61" borderId="98" xfId="0" applyFont="1" applyFill="1" applyBorder="1" applyAlignment="1">
      <alignment horizontal="center" vertical="center"/>
    </xf>
    <xf numFmtId="169" fontId="4" fillId="0" borderId="100" xfId="0" applyNumberFormat="1" applyFont="1" applyBorder="1" applyAlignment="1" applyProtection="1">
      <alignment horizontal="center" vertical="center"/>
      <protection locked="0"/>
    </xf>
    <xf numFmtId="173" fontId="4" fillId="0" borderId="100" xfId="0" applyNumberFormat="1" applyFont="1" applyBorder="1" applyAlignment="1" applyProtection="1">
      <alignment horizontal="center" vertical="center"/>
      <protection locked="0"/>
    </xf>
    <xf numFmtId="49" fontId="4" fillId="0" borderId="100" xfId="0" applyNumberFormat="1" applyFont="1" applyBorder="1" applyAlignment="1" applyProtection="1">
      <alignment horizontal="center" vertical="center"/>
      <protection locked="0"/>
    </xf>
    <xf numFmtId="0" fontId="4" fillId="0" borderId="100" xfId="0" applyFont="1" applyBorder="1" applyAlignment="1">
      <alignment horizontal="center" vertical="center"/>
    </xf>
    <xf numFmtId="49" fontId="4" fillId="0" borderId="100" xfId="0" applyNumberFormat="1" applyFont="1" applyBorder="1" applyAlignment="1">
      <alignment horizontal="center" vertical="center"/>
    </xf>
    <xf numFmtId="0" fontId="4" fillId="0" borderId="100" xfId="0" applyFont="1" applyBorder="1" applyAlignment="1" applyProtection="1">
      <alignment horizontal="center" vertical="center"/>
      <protection locked="0"/>
    </xf>
    <xf numFmtId="173" fontId="4" fillId="60" borderId="100" xfId="0" applyNumberFormat="1" applyFont="1" applyFill="1" applyBorder="1" applyAlignment="1" applyProtection="1">
      <alignment horizontal="center" vertical="center"/>
      <protection locked="0"/>
    </xf>
    <xf numFmtId="0" fontId="4" fillId="64" borderId="100" xfId="0" applyFont="1" applyFill="1" applyBorder="1" applyAlignment="1">
      <alignment horizontal="center" vertical="center"/>
    </xf>
    <xf numFmtId="49" fontId="4" fillId="64" borderId="100" xfId="0" applyNumberFormat="1" applyFont="1" applyFill="1" applyBorder="1" applyAlignment="1" applyProtection="1">
      <alignment horizontal="center" vertical="center"/>
      <protection locked="0"/>
    </xf>
    <xf numFmtId="173" fontId="4" fillId="64" borderId="100" xfId="0" applyNumberFormat="1" applyFont="1" applyFill="1" applyBorder="1" applyAlignment="1" applyProtection="1">
      <alignment horizontal="center" vertical="center"/>
      <protection locked="0"/>
    </xf>
    <xf numFmtId="49" fontId="4" fillId="0" borderId="100" xfId="0" quotePrefix="1" applyNumberFormat="1" applyFont="1" applyBorder="1" applyAlignment="1">
      <alignment horizontal="center" vertical="center"/>
    </xf>
    <xf numFmtId="49" fontId="4" fillId="0" borderId="100" xfId="0" quotePrefix="1" applyNumberFormat="1" applyFont="1" applyBorder="1" applyAlignment="1" applyProtection="1">
      <alignment horizontal="center" vertical="center"/>
      <protection locked="0"/>
    </xf>
    <xf numFmtId="1" fontId="4" fillId="0" borderId="100" xfId="0" applyNumberFormat="1" applyFont="1" applyBorder="1" applyAlignment="1">
      <alignment horizontal="center" vertical="center"/>
    </xf>
    <xf numFmtId="49" fontId="4" fillId="0" borderId="100" xfId="0" applyNumberFormat="1" applyFont="1" applyBorder="1" applyAlignment="1" applyProtection="1">
      <alignment horizontal="center" vertical="center" wrapText="1"/>
      <protection locked="0"/>
    </xf>
    <xf numFmtId="0" fontId="4" fillId="46" borderId="100" xfId="0" applyFont="1" applyFill="1" applyBorder="1" applyAlignment="1">
      <alignment horizontal="center" vertical="center"/>
    </xf>
    <xf numFmtId="49" fontId="4" fillId="46" borderId="100" xfId="0" applyNumberFormat="1" applyFont="1" applyFill="1" applyBorder="1" applyAlignment="1" applyProtection="1">
      <alignment horizontal="center" vertical="center"/>
      <protection locked="0"/>
    </xf>
    <xf numFmtId="173" fontId="4" fillId="46" borderId="100" xfId="0" applyNumberFormat="1" applyFont="1" applyFill="1" applyBorder="1" applyAlignment="1" applyProtection="1">
      <alignment horizontal="center" vertical="center"/>
      <protection locked="0"/>
    </xf>
    <xf numFmtId="0" fontId="4" fillId="52" borderId="100" xfId="0" applyFont="1" applyFill="1" applyBorder="1" applyAlignment="1">
      <alignment horizontal="center" vertical="center"/>
    </xf>
    <xf numFmtId="49" fontId="4" fillId="52" borderId="100" xfId="0" quotePrefix="1" applyNumberFormat="1" applyFont="1" applyFill="1" applyBorder="1" applyAlignment="1">
      <alignment horizontal="center" vertical="center"/>
    </xf>
    <xf numFmtId="173" fontId="4" fillId="52" borderId="100" xfId="0" applyNumberFormat="1" applyFont="1" applyFill="1" applyBorder="1" applyAlignment="1" applyProtection="1">
      <alignment horizontal="center" vertical="center"/>
      <protection locked="0"/>
    </xf>
    <xf numFmtId="49" fontId="4" fillId="52" borderId="100" xfId="0" applyNumberFormat="1" applyFont="1" applyFill="1" applyBorder="1" applyAlignment="1" applyProtection="1">
      <alignment horizontal="center" vertical="center"/>
      <protection locked="0"/>
    </xf>
    <xf numFmtId="0" fontId="4" fillId="52" borderId="100" xfId="0" applyFont="1" applyFill="1" applyBorder="1" applyAlignment="1" applyProtection="1">
      <alignment horizontal="center" vertical="center"/>
      <protection locked="0"/>
    </xf>
    <xf numFmtId="49" fontId="4" fillId="64" borderId="100" xfId="0" quotePrefix="1" applyNumberFormat="1" applyFont="1" applyFill="1" applyBorder="1" applyAlignment="1" applyProtection="1">
      <alignment horizontal="center" vertical="center"/>
      <protection locked="0"/>
    </xf>
    <xf numFmtId="1" fontId="4" fillId="64" borderId="100" xfId="0" applyNumberFormat="1" applyFont="1" applyFill="1" applyBorder="1" applyAlignment="1">
      <alignment horizontal="center" vertical="center"/>
    </xf>
    <xf numFmtId="0" fontId="4" fillId="61" borderId="100" xfId="0" applyFont="1" applyFill="1" applyBorder="1" applyAlignment="1">
      <alignment horizontal="center" vertical="center"/>
    </xf>
    <xf numFmtId="49" fontId="4" fillId="61" borderId="100" xfId="0" quotePrefix="1" applyNumberFormat="1" applyFont="1" applyFill="1" applyBorder="1" applyAlignment="1">
      <alignment horizontal="center" vertical="center"/>
    </xf>
    <xf numFmtId="173" fontId="4" fillId="61" borderId="100" xfId="0" applyNumberFormat="1" applyFont="1" applyFill="1" applyBorder="1" applyAlignment="1" applyProtection="1">
      <alignment horizontal="center" vertical="center"/>
      <protection locked="0"/>
    </xf>
    <xf numFmtId="0" fontId="4" fillId="61" borderId="100" xfId="0" applyFont="1" applyFill="1" applyBorder="1" applyAlignment="1" applyProtection="1">
      <alignment horizontal="center" vertical="center"/>
      <protection locked="0"/>
    </xf>
    <xf numFmtId="49" fontId="4" fillId="46" borderId="100" xfId="0" quotePrefix="1" applyNumberFormat="1" applyFont="1" applyFill="1" applyBorder="1" applyAlignment="1" applyProtection="1">
      <alignment horizontal="center" vertical="center"/>
      <protection locked="0"/>
    </xf>
    <xf numFmtId="1" fontId="4" fillId="46" borderId="100" xfId="0" applyNumberFormat="1" applyFont="1" applyFill="1" applyBorder="1" applyAlignment="1">
      <alignment horizontal="center" vertical="center"/>
    </xf>
    <xf numFmtId="0" fontId="4" fillId="46" borderId="100" xfId="0" applyFont="1" applyFill="1" applyBorder="1" applyAlignment="1" applyProtection="1">
      <alignment horizontal="center" vertical="center"/>
      <protection locked="0"/>
    </xf>
    <xf numFmtId="49" fontId="4" fillId="61" borderId="100" xfId="0" quotePrefix="1" applyNumberFormat="1" applyFont="1" applyFill="1" applyBorder="1" applyAlignment="1" applyProtection="1">
      <alignment horizontal="center" vertical="center"/>
      <protection locked="0"/>
    </xf>
    <xf numFmtId="49" fontId="4" fillId="61" borderId="100" xfId="0" applyNumberFormat="1" applyFont="1" applyFill="1" applyBorder="1" applyAlignment="1" applyProtection="1">
      <alignment horizontal="center" vertical="center"/>
      <protection locked="0"/>
    </xf>
    <xf numFmtId="169" fontId="4" fillId="61" borderId="100" xfId="0" applyNumberFormat="1" applyFont="1" applyFill="1" applyBorder="1" applyAlignment="1" applyProtection="1">
      <alignment horizontal="center" vertical="center"/>
      <protection locked="0"/>
    </xf>
    <xf numFmtId="1" fontId="4" fillId="61" borderId="100" xfId="0" applyNumberFormat="1" applyFont="1" applyFill="1" applyBorder="1" applyAlignment="1">
      <alignment horizontal="center" vertical="center"/>
    </xf>
    <xf numFmtId="49" fontId="4" fillId="61" borderId="100" xfId="0" applyNumberFormat="1" applyFont="1" applyFill="1" applyBorder="1" applyAlignment="1">
      <alignment horizontal="center" vertical="center"/>
    </xf>
    <xf numFmtId="1" fontId="4" fillId="0" borderId="100" xfId="0" applyNumberFormat="1" applyFont="1" applyBorder="1" applyAlignment="1" applyProtection="1">
      <alignment horizontal="center" vertical="center"/>
      <protection locked="0"/>
    </xf>
    <xf numFmtId="0" fontId="4" fillId="60" borderId="100" xfId="0" applyFont="1" applyFill="1" applyBorder="1" applyAlignment="1">
      <alignment horizontal="center" vertical="center"/>
    </xf>
    <xf numFmtId="49" fontId="4" fillId="60" borderId="100" xfId="0" applyNumberFormat="1" applyFont="1" applyFill="1" applyBorder="1" applyAlignment="1">
      <alignment horizontal="center" vertical="center"/>
    </xf>
    <xf numFmtId="1" fontId="4" fillId="60" borderId="100" xfId="0" applyNumberFormat="1" applyFont="1" applyFill="1" applyBorder="1" applyAlignment="1" applyProtection="1">
      <alignment horizontal="center" vertical="center"/>
      <protection locked="0"/>
    </xf>
    <xf numFmtId="0" fontId="4" fillId="60" borderId="100" xfId="0" applyFont="1" applyFill="1" applyBorder="1" applyAlignment="1" applyProtection="1">
      <alignment horizontal="center" vertical="center"/>
      <protection locked="0"/>
    </xf>
    <xf numFmtId="173" fontId="5" fillId="105" borderId="20" xfId="0" applyNumberFormat="1" applyFont="1" applyFill="1" applyBorder="1" applyAlignment="1">
      <alignment horizontal="center" vertical="center" wrapText="1"/>
    </xf>
    <xf numFmtId="1" fontId="5" fillId="105" borderId="20" xfId="0" applyNumberFormat="1" applyFont="1" applyFill="1" applyBorder="1" applyAlignment="1">
      <alignment horizontal="center" vertical="center" wrapText="1"/>
    </xf>
    <xf numFmtId="0" fontId="4" fillId="104" borderId="20" xfId="0" applyFont="1" applyFill="1" applyBorder="1" applyAlignment="1">
      <alignment horizontal="center" vertical="center"/>
    </xf>
    <xf numFmtId="2" fontId="4" fillId="104" borderId="20" xfId="0" applyNumberFormat="1" applyFont="1" applyFill="1" applyBorder="1" applyAlignment="1">
      <alignment horizontal="center" vertical="center"/>
    </xf>
    <xf numFmtId="171" fontId="5" fillId="105" borderId="20" xfId="0" applyNumberFormat="1" applyFont="1" applyFill="1" applyBorder="1" applyAlignment="1">
      <alignment horizontal="center" vertical="center" wrapText="1"/>
    </xf>
    <xf numFmtId="173" fontId="5" fillId="104" borderId="20" xfId="0" applyNumberFormat="1" applyFont="1" applyFill="1" applyBorder="1" applyAlignment="1">
      <alignment horizontal="center" vertical="center" wrapText="1"/>
    </xf>
    <xf numFmtId="1" fontId="5" fillId="104" borderId="20" xfId="0" applyNumberFormat="1" applyFont="1" applyFill="1" applyBorder="1" applyAlignment="1">
      <alignment horizontal="center" vertical="center" wrapText="1"/>
    </xf>
    <xf numFmtId="173" fontId="5" fillId="45" borderId="20" xfId="0" applyNumberFormat="1" applyFont="1" applyFill="1" applyBorder="1" applyAlignment="1">
      <alignment horizontal="center" vertical="center" wrapText="1"/>
    </xf>
    <xf numFmtId="174" fontId="5" fillId="45" borderId="20" xfId="0" applyNumberFormat="1" applyFont="1" applyFill="1" applyBorder="1" applyAlignment="1">
      <alignment horizontal="center" vertical="center" wrapText="1"/>
    </xf>
    <xf numFmtId="171" fontId="5" fillId="45" borderId="20" xfId="0" applyNumberFormat="1" applyFont="1" applyFill="1" applyBorder="1" applyAlignment="1">
      <alignment horizontal="center" vertical="center" wrapText="1"/>
    </xf>
    <xf numFmtId="169" fontId="5" fillId="30" borderId="20" xfId="0" applyNumberFormat="1" applyFont="1" applyFill="1" applyBorder="1" applyAlignment="1" applyProtection="1">
      <alignment horizontal="center" vertical="center" wrapText="1"/>
      <protection locked="0"/>
    </xf>
    <xf numFmtId="173" fontId="5" fillId="30" borderId="20" xfId="0" applyNumberFormat="1" applyFont="1" applyFill="1" applyBorder="1" applyAlignment="1" applyProtection="1">
      <alignment horizontal="center" vertical="center" wrapText="1"/>
      <protection locked="0"/>
    </xf>
    <xf numFmtId="166" fontId="5" fillId="30" borderId="20" xfId="0" applyNumberFormat="1" applyFont="1" applyFill="1" applyBorder="1" applyAlignment="1" applyProtection="1">
      <alignment horizontal="center" vertical="center" wrapText="1"/>
      <protection locked="0"/>
    </xf>
    <xf numFmtId="1" fontId="5" fillId="30" borderId="20" xfId="0" applyNumberFormat="1" applyFont="1" applyFill="1" applyBorder="1" applyAlignment="1" applyProtection="1">
      <alignment horizontal="center" vertical="center" wrapText="1"/>
      <protection locked="0"/>
    </xf>
    <xf numFmtId="2" fontId="5" fillId="30" borderId="20" xfId="0" applyNumberFormat="1" applyFont="1" applyFill="1" applyBorder="1" applyAlignment="1" applyProtection="1">
      <alignment horizontal="center" vertical="center" wrapText="1"/>
      <protection locked="0"/>
    </xf>
    <xf numFmtId="0" fontId="5" fillId="30" borderId="20" xfId="0" applyFont="1" applyFill="1" applyBorder="1" applyAlignment="1" applyProtection="1">
      <alignment horizontal="center" vertical="center" wrapText="1" shrinkToFit="1"/>
      <protection locked="0"/>
    </xf>
    <xf numFmtId="172" fontId="4" fillId="0" borderId="20" xfId="0" applyNumberFormat="1" applyFont="1" applyBorder="1" applyAlignment="1" applyProtection="1">
      <alignment horizontal="center" vertical="center"/>
      <protection locked="0"/>
    </xf>
    <xf numFmtId="0" fontId="4" fillId="98" borderId="20" xfId="0" applyFont="1" applyFill="1" applyBorder="1" applyAlignment="1" applyProtection="1">
      <alignment horizontal="center" vertical="center"/>
      <protection locked="0"/>
    </xf>
    <xf numFmtId="0" fontId="4" fillId="31" borderId="20" xfId="0" applyFont="1" applyFill="1" applyBorder="1" applyAlignment="1" applyProtection="1">
      <alignment horizontal="center" vertical="center"/>
      <protection locked="0"/>
    </xf>
    <xf numFmtId="169" fontId="4" fillId="50" borderId="20" xfId="0" applyNumberFormat="1" applyFont="1" applyFill="1" applyBorder="1" applyAlignment="1" applyProtection="1">
      <alignment horizontal="center" vertical="center"/>
      <protection locked="0"/>
    </xf>
    <xf numFmtId="170" fontId="4" fillId="64" borderId="20" xfId="0" applyNumberFormat="1" applyFont="1" applyFill="1" applyBorder="1" applyAlignment="1" applyProtection="1">
      <alignment horizontal="center" vertical="center"/>
      <protection locked="0"/>
    </xf>
    <xf numFmtId="0" fontId="109" fillId="50" borderId="20" xfId="0" applyFont="1" applyFill="1" applyBorder="1" applyAlignment="1" applyProtection="1">
      <alignment horizontal="center" vertical="center"/>
      <protection locked="0"/>
    </xf>
    <xf numFmtId="173" fontId="5" fillId="99" borderId="20" xfId="0" applyNumberFormat="1" applyFont="1" applyFill="1" applyBorder="1" applyAlignment="1" applyProtection="1">
      <alignment horizontal="center" vertical="center" wrapText="1"/>
      <protection locked="0"/>
    </xf>
    <xf numFmtId="166" fontId="5" fillId="99" borderId="20" xfId="0" applyNumberFormat="1" applyFont="1" applyFill="1" applyBorder="1" applyAlignment="1" applyProtection="1">
      <alignment horizontal="center" vertical="center" wrapText="1"/>
      <protection locked="0"/>
    </xf>
    <xf numFmtId="3" fontId="5" fillId="99" borderId="20" xfId="0" applyNumberFormat="1" applyFont="1" applyFill="1" applyBorder="1" applyAlignment="1" applyProtection="1">
      <alignment horizontal="center" vertical="center" wrapText="1"/>
      <protection locked="0"/>
    </xf>
    <xf numFmtId="2" fontId="5" fillId="99" borderId="20" xfId="0" applyNumberFormat="1" applyFont="1" applyFill="1" applyBorder="1" applyAlignment="1" applyProtection="1">
      <alignment horizontal="center" vertical="center" wrapText="1"/>
      <protection locked="0"/>
    </xf>
    <xf numFmtId="0" fontId="5" fillId="99" borderId="20" xfId="0" applyFont="1" applyFill="1" applyBorder="1" applyAlignment="1" applyProtection="1">
      <alignment horizontal="center" vertical="center" wrapText="1" shrinkToFit="1"/>
      <protection locked="0"/>
    </xf>
    <xf numFmtId="170" fontId="4" fillId="0" borderId="20" xfId="0" applyNumberFormat="1" applyFont="1" applyBorder="1" applyAlignment="1" applyProtection="1">
      <alignment horizontal="center" vertical="center"/>
      <protection locked="0"/>
    </xf>
    <xf numFmtId="173" fontId="5" fillId="99" borderId="20" xfId="0" applyNumberFormat="1" applyFont="1" applyFill="1" applyBorder="1" applyAlignment="1">
      <alignment horizontal="center" vertical="center" wrapText="1"/>
    </xf>
    <xf numFmtId="2" fontId="5" fillId="99" borderId="20" xfId="0" applyNumberFormat="1" applyFont="1" applyFill="1" applyBorder="1" applyAlignment="1">
      <alignment horizontal="center" vertical="center" wrapText="1"/>
    </xf>
    <xf numFmtId="1" fontId="5" fillId="99" borderId="20" xfId="0" applyNumberFormat="1" applyFont="1" applyFill="1" applyBorder="1" applyAlignment="1">
      <alignment horizontal="center" vertical="center" wrapText="1"/>
    </xf>
    <xf numFmtId="0" fontId="4" fillId="98" borderId="20" xfId="0" applyFont="1" applyFill="1" applyBorder="1" applyAlignment="1">
      <alignment horizontal="center" vertical="center"/>
    </xf>
    <xf numFmtId="2" fontId="4" fillId="98" borderId="20" xfId="0" applyNumberFormat="1" applyFont="1" applyFill="1" applyBorder="1" applyAlignment="1">
      <alignment horizontal="center" vertical="center"/>
    </xf>
    <xf numFmtId="173" fontId="5" fillId="50" borderId="20" xfId="0" applyNumberFormat="1" applyFont="1" applyFill="1" applyBorder="1" applyAlignment="1">
      <alignment horizontal="center" vertical="center" wrapText="1"/>
    </xf>
    <xf numFmtId="166" fontId="5" fillId="50" borderId="20" xfId="0" applyNumberFormat="1" applyFont="1" applyFill="1" applyBorder="1" applyAlignment="1">
      <alignment horizontal="center" vertical="center" wrapText="1"/>
    </xf>
    <xf numFmtId="0" fontId="5" fillId="26" borderId="20" xfId="0" applyFont="1" applyFill="1" applyBorder="1" applyAlignment="1">
      <alignment horizontal="center" vertical="center"/>
    </xf>
    <xf numFmtId="2" fontId="5" fillId="26" borderId="20" xfId="0" applyNumberFormat="1" applyFont="1" applyFill="1" applyBorder="1" applyAlignment="1">
      <alignment horizontal="center" vertical="center"/>
    </xf>
    <xf numFmtId="1" fontId="5" fillId="99" borderId="20" xfId="0" applyNumberFormat="1" applyFont="1" applyFill="1" applyBorder="1" applyAlignment="1" applyProtection="1">
      <alignment horizontal="center" vertical="center" wrapText="1"/>
      <protection locked="0"/>
    </xf>
    <xf numFmtId="0" fontId="5" fillId="61" borderId="98" xfId="0" applyFont="1" applyFill="1" applyBorder="1" applyAlignment="1">
      <alignment horizontal="center" vertical="center"/>
    </xf>
    <xf numFmtId="0" fontId="5" fillId="61" borderId="0" xfId="0" applyFont="1" applyFill="1" applyAlignment="1">
      <alignment horizontal="center" vertical="center"/>
    </xf>
    <xf numFmtId="2" fontId="5" fillId="61" borderId="98" xfId="0" applyNumberFormat="1" applyFont="1" applyFill="1" applyBorder="1" applyAlignment="1">
      <alignment horizontal="center" vertical="center"/>
    </xf>
    <xf numFmtId="0" fontId="65" fillId="0" borderId="52" xfId="677" applyFont="1" applyBorder="1" applyAlignment="1">
      <alignment horizontal="center" vertical="center" wrapText="1"/>
    </xf>
    <xf numFmtId="0" fontId="65" fillId="0" borderId="25" xfId="677" applyFont="1" applyBorder="1" applyAlignment="1">
      <alignment horizontal="center" vertical="center" wrapText="1"/>
    </xf>
    <xf numFmtId="0" fontId="65" fillId="0" borderId="24" xfId="677" applyFont="1" applyBorder="1" applyAlignment="1">
      <alignment horizontal="center" vertical="center" wrapText="1"/>
    </xf>
    <xf numFmtId="0" fontId="65" fillId="40" borderId="23" xfId="677" applyFont="1" applyFill="1" applyBorder="1" applyAlignment="1">
      <alignment horizontal="center" vertical="center" wrapText="1"/>
    </xf>
    <xf numFmtId="0" fontId="65" fillId="43" borderId="50" xfId="677" applyFont="1" applyFill="1" applyBorder="1" applyAlignment="1">
      <alignment horizontal="center" vertical="center" wrapText="1"/>
    </xf>
    <xf numFmtId="0" fontId="65" fillId="0" borderId="50" xfId="677" applyFont="1" applyBorder="1" applyAlignment="1">
      <alignment horizontal="center" vertical="center" wrapText="1"/>
    </xf>
    <xf numFmtId="0" fontId="73" fillId="0" borderId="50" xfId="677" applyFont="1" applyBorder="1" applyAlignment="1">
      <alignment horizontal="center" vertical="center" wrapText="1"/>
    </xf>
    <xf numFmtId="0" fontId="65" fillId="40" borderId="50" xfId="677" applyFont="1" applyFill="1" applyBorder="1" applyAlignment="1">
      <alignment horizontal="center" vertical="center" wrapText="1"/>
    </xf>
    <xf numFmtId="0" fontId="4" fillId="0" borderId="24" xfId="0" applyFont="1" applyBorder="1" applyAlignment="1">
      <alignment vertical="center" wrapText="1"/>
    </xf>
    <xf numFmtId="0" fontId="4" fillId="0" borderId="0" xfId="0" applyFont="1" applyAlignment="1">
      <alignment vertical="center" wrapText="1"/>
    </xf>
    <xf numFmtId="0" fontId="0" fillId="0" borderId="0" xfId="0" applyAlignment="1">
      <alignment vertical="center" wrapText="1"/>
    </xf>
    <xf numFmtId="2" fontId="121" fillId="0" borderId="20" xfId="0" applyNumberFormat="1" applyFont="1" applyBorder="1" applyAlignment="1">
      <alignment horizontal="center" vertical="center"/>
    </xf>
    <xf numFmtId="174" fontId="5" fillId="95" borderId="20" xfId="0" applyNumberFormat="1" applyFont="1" applyFill="1" applyBorder="1" applyAlignment="1">
      <alignment horizontal="center" vertical="center" wrapText="1"/>
    </xf>
    <xf numFmtId="0" fontId="122" fillId="40" borderId="76" xfId="677" quotePrefix="1" applyFont="1" applyFill="1" applyBorder="1" applyAlignment="1">
      <alignment horizontal="left" vertical="center" wrapText="1"/>
    </xf>
    <xf numFmtId="0" fontId="62" fillId="43" borderId="24" xfId="677" applyFont="1" applyFill="1" applyBorder="1" applyAlignment="1">
      <alignment horizontal="center" vertical="center" wrapText="1"/>
    </xf>
    <xf numFmtId="0" fontId="62" fillId="43" borderId="76" xfId="677" applyFont="1" applyFill="1" applyBorder="1" applyAlignment="1">
      <alignment horizontal="left" vertical="center" wrapText="1" indent="1"/>
    </xf>
    <xf numFmtId="0" fontId="62" fillId="43" borderId="76" xfId="677" applyFont="1" applyFill="1" applyBorder="1" applyAlignment="1">
      <alignment horizontal="center" vertical="center" wrapText="1"/>
    </xf>
    <xf numFmtId="0" fontId="62" fillId="43" borderId="24" xfId="677" applyFont="1" applyFill="1" applyBorder="1" applyAlignment="1">
      <alignment horizontal="left" vertical="center" wrapText="1"/>
    </xf>
    <xf numFmtId="0" fontId="62" fillId="43" borderId="23" xfId="677" applyFont="1" applyFill="1" applyBorder="1" applyAlignment="1">
      <alignment horizontal="left" vertical="center" wrapText="1" indent="1"/>
    </xf>
    <xf numFmtId="0" fontId="62" fillId="43" borderId="23" xfId="677" applyFont="1" applyFill="1" applyBorder="1" applyAlignment="1">
      <alignment horizontal="center" vertical="center" wrapText="1"/>
    </xf>
    <xf numFmtId="0" fontId="65" fillId="34" borderId="25" xfId="677" applyFont="1" applyFill="1" applyBorder="1" applyAlignment="1">
      <alignment horizontal="center" vertical="center" wrapText="1"/>
    </xf>
    <xf numFmtId="0" fontId="69" fillId="34" borderId="24" xfId="677" applyFont="1" applyFill="1" applyBorder="1" applyAlignment="1">
      <alignment horizontal="center" vertical="center" wrapText="1"/>
    </xf>
    <xf numFmtId="0" fontId="70" fillId="34" borderId="24" xfId="677" applyFont="1" applyFill="1" applyBorder="1" applyAlignment="1">
      <alignment horizontal="center" vertical="center" wrapText="1"/>
    </xf>
    <xf numFmtId="0" fontId="70" fillId="59" borderId="24" xfId="677" applyFont="1" applyFill="1" applyBorder="1" applyAlignment="1">
      <alignment horizontal="center" vertical="center" wrapText="1"/>
    </xf>
    <xf numFmtId="0" fontId="74" fillId="59" borderId="105" xfId="677" applyFont="1" applyFill="1" applyBorder="1" applyAlignment="1">
      <alignment horizontal="center" vertical="center" wrapText="1"/>
    </xf>
    <xf numFmtId="0" fontId="65" fillId="34" borderId="24" xfId="677" applyFont="1" applyFill="1" applyBorder="1" applyAlignment="1">
      <alignment horizontal="center" vertical="center" wrapText="1"/>
    </xf>
    <xf numFmtId="0" fontId="62" fillId="40" borderId="106" xfId="677" applyFont="1" applyFill="1" applyBorder="1" applyAlignment="1">
      <alignment horizontal="left" vertical="center" wrapText="1" indent="1"/>
    </xf>
    <xf numFmtId="0" fontId="71" fillId="40" borderId="107" xfId="677" quotePrefix="1" applyFont="1" applyFill="1" applyBorder="1" applyAlignment="1">
      <alignment horizontal="left" vertical="center" wrapText="1" indent="1"/>
    </xf>
    <xf numFmtId="0" fontId="62" fillId="40" borderId="99" xfId="677" applyFont="1" applyFill="1" applyBorder="1" applyAlignment="1">
      <alignment horizontal="left" vertical="center" wrapText="1" indent="1"/>
    </xf>
    <xf numFmtId="0" fontId="62" fillId="40" borderId="108" xfId="677" applyFont="1" applyFill="1" applyBorder="1" applyAlignment="1">
      <alignment horizontal="left" vertical="center" wrapText="1"/>
    </xf>
    <xf numFmtId="0" fontId="62" fillId="40" borderId="105" xfId="677" applyFont="1" applyFill="1" applyBorder="1" applyAlignment="1">
      <alignment horizontal="left" vertical="center" wrapText="1"/>
    </xf>
    <xf numFmtId="0" fontId="62" fillId="40" borderId="109" xfId="677" applyFont="1" applyFill="1" applyBorder="1" applyAlignment="1">
      <alignment horizontal="left" vertical="center" wrapText="1"/>
    </xf>
    <xf numFmtId="0" fontId="62" fillId="34" borderId="108" xfId="677" applyFont="1" applyFill="1" applyBorder="1" applyAlignment="1">
      <alignment horizontal="left" vertical="center" wrapText="1"/>
    </xf>
    <xf numFmtId="0" fontId="62" fillId="34" borderId="105" xfId="677" applyFont="1" applyFill="1" applyBorder="1" applyAlignment="1">
      <alignment horizontal="left" vertical="center" wrapText="1"/>
    </xf>
    <xf numFmtId="0" fontId="62" fillId="34" borderId="105" xfId="677" applyFont="1" applyFill="1" applyBorder="1" applyAlignment="1">
      <alignment horizontal="center" vertical="center" wrapText="1"/>
    </xf>
    <xf numFmtId="0" fontId="65" fillId="0" borderId="108" xfId="677" applyFont="1" applyBorder="1" applyAlignment="1">
      <alignment horizontal="center" vertical="center" wrapText="1"/>
    </xf>
    <xf numFmtId="0" fontId="65" fillId="0" borderId="105" xfId="677" applyFont="1" applyBorder="1" applyAlignment="1">
      <alignment horizontal="center" vertical="center" wrapText="1"/>
    </xf>
    <xf numFmtId="0" fontId="65" fillId="0" borderId="54" xfId="677" applyFont="1" applyBorder="1" applyAlignment="1">
      <alignment horizontal="center" vertical="center" wrapText="1"/>
    </xf>
    <xf numFmtId="0" fontId="65" fillId="0" borderId="47" xfId="677" applyFont="1" applyBorder="1" applyAlignment="1">
      <alignment horizontal="center" vertical="center" wrapText="1"/>
    </xf>
    <xf numFmtId="0" fontId="65" fillId="36" borderId="108" xfId="677" applyFont="1" applyFill="1" applyBorder="1" applyAlignment="1">
      <alignment horizontal="center" vertical="center" wrapText="1"/>
    </xf>
    <xf numFmtId="0" fontId="65" fillId="36" borderId="47" xfId="677" applyFont="1" applyFill="1" applyBorder="1" applyAlignment="1">
      <alignment horizontal="center" vertical="center" wrapText="1"/>
    </xf>
    <xf numFmtId="0" fontId="73" fillId="0" borderId="108" xfId="677" applyFont="1" applyBorder="1" applyAlignment="1">
      <alignment horizontal="center" vertical="center" wrapText="1"/>
    </xf>
    <xf numFmtId="0" fontId="73" fillId="0" borderId="49" xfId="677" applyFont="1" applyBorder="1" applyAlignment="1">
      <alignment horizontal="center" vertical="center" wrapText="1"/>
    </xf>
    <xf numFmtId="0" fontId="65" fillId="36" borderId="49" xfId="677" applyFont="1" applyFill="1" applyBorder="1" applyAlignment="1">
      <alignment horizontal="center" vertical="center" wrapText="1"/>
    </xf>
    <xf numFmtId="0" fontId="70" fillId="35" borderId="108" xfId="677" quotePrefix="1" applyFont="1" applyFill="1" applyBorder="1" applyAlignment="1">
      <alignment horizontal="left" vertical="center" wrapText="1"/>
    </xf>
    <xf numFmtId="0" fontId="65" fillId="35" borderId="49" xfId="677" applyFont="1" applyFill="1" applyBorder="1" applyAlignment="1">
      <alignment horizontal="center" vertical="center" wrapText="1"/>
    </xf>
    <xf numFmtId="0" fontId="70" fillId="35" borderId="49" xfId="677" quotePrefix="1" applyFont="1" applyFill="1" applyBorder="1" applyAlignment="1">
      <alignment horizontal="left" vertical="center" wrapText="1"/>
    </xf>
    <xf numFmtId="0" fontId="65" fillId="35" borderId="47" xfId="677" applyFont="1" applyFill="1" applyBorder="1" applyAlignment="1">
      <alignment horizontal="center" vertical="center" wrapText="1"/>
    </xf>
    <xf numFmtId="0" fontId="72" fillId="0" borderId="54" xfId="677" applyFont="1" applyBorder="1" applyAlignment="1">
      <alignment horizontal="center" vertical="center" wrapText="1"/>
    </xf>
    <xf numFmtId="0" fontId="72" fillId="0" borderId="25" xfId="677" applyFont="1" applyBorder="1" applyAlignment="1">
      <alignment horizontal="center" vertical="center" wrapText="1"/>
    </xf>
    <xf numFmtId="0" fontId="72" fillId="0" borderId="49" xfId="677" applyFont="1" applyBorder="1" applyAlignment="1">
      <alignment horizontal="center" vertical="center" wrapText="1"/>
    </xf>
    <xf numFmtId="0" fontId="72" fillId="0" borderId="47" xfId="677" applyFont="1" applyBorder="1" applyAlignment="1">
      <alignment horizontal="center" vertical="center" wrapText="1"/>
    </xf>
    <xf numFmtId="0" fontId="65" fillId="0" borderId="109" xfId="677" applyFont="1" applyBorder="1" applyAlignment="1">
      <alignment horizontal="center" vertical="center" wrapText="1"/>
    </xf>
    <xf numFmtId="0" fontId="65" fillId="37" borderId="108" xfId="677" applyFont="1" applyFill="1" applyBorder="1" applyAlignment="1">
      <alignment horizontal="center" vertical="center" wrapText="1"/>
    </xf>
    <xf numFmtId="0" fontId="65" fillId="37" borderId="49" xfId="677" applyFont="1" applyFill="1" applyBorder="1" applyAlignment="1">
      <alignment horizontal="center" vertical="center" wrapText="1"/>
    </xf>
    <xf numFmtId="0" fontId="79" fillId="37" borderId="49" xfId="677" applyFont="1" applyFill="1" applyBorder="1" applyAlignment="1">
      <alignment horizontal="center" vertical="center" wrapText="1"/>
    </xf>
    <xf numFmtId="0" fontId="70" fillId="35" borderId="54" xfId="677" quotePrefix="1" applyFont="1" applyFill="1" applyBorder="1" applyAlignment="1">
      <alignment horizontal="left" vertical="center" wrapText="1"/>
    </xf>
    <xf numFmtId="0" fontId="65" fillId="0" borderId="110" xfId="677" applyFont="1" applyBorder="1" applyAlignment="1">
      <alignment horizontal="center" vertical="center" wrapText="1"/>
    </xf>
    <xf numFmtId="0" fontId="75" fillId="39" borderId="109" xfId="677" quotePrefix="1" applyFont="1" applyFill="1" applyBorder="1" applyAlignment="1">
      <alignment horizontal="left" vertical="center" wrapText="1"/>
    </xf>
    <xf numFmtId="0" fontId="60" fillId="35" borderId="24" xfId="876" applyFont="1" applyFill="1" applyBorder="1" applyAlignment="1">
      <alignment horizontal="center" vertical="center"/>
    </xf>
    <xf numFmtId="0" fontId="62" fillId="0" borderId="109" xfId="677" applyFont="1" applyBorder="1" applyAlignment="1">
      <alignment horizontal="left" vertical="center" wrapText="1" indent="1"/>
    </xf>
    <xf numFmtId="0" fontId="62" fillId="0" borderId="49" xfId="677" applyFont="1" applyBorder="1" applyAlignment="1">
      <alignment horizontal="left" vertical="center" wrapText="1"/>
    </xf>
    <xf numFmtId="0" fontId="60" fillId="0" borderId="24" xfId="876" applyFont="1" applyBorder="1" applyAlignment="1">
      <alignment horizontal="center" vertical="center"/>
    </xf>
    <xf numFmtId="0" fontId="70" fillId="0" borderId="24" xfId="677" quotePrefix="1" applyFont="1" applyBorder="1" applyAlignment="1">
      <alignment horizontal="left" vertical="center" wrapText="1"/>
    </xf>
    <xf numFmtId="0" fontId="70" fillId="35" borderId="105" xfId="677" quotePrefix="1" applyFont="1" applyFill="1" applyBorder="1" applyAlignment="1">
      <alignment horizontal="left" vertical="center" wrapText="1"/>
    </xf>
    <xf numFmtId="0" fontId="65" fillId="43" borderId="54" xfId="677" applyFont="1" applyFill="1" applyBorder="1" applyAlignment="1">
      <alignment horizontal="center" vertical="center" wrapText="1"/>
    </xf>
    <xf numFmtId="0" fontId="70" fillId="35" borderId="47" xfId="677" quotePrefix="1" applyFont="1" applyFill="1" applyBorder="1" applyAlignment="1">
      <alignment horizontal="left" vertical="center" wrapText="1"/>
    </xf>
    <xf numFmtId="0" fontId="75" fillId="39" borderId="26" xfId="677" quotePrefix="1" applyFont="1" applyFill="1" applyBorder="1" applyAlignment="1">
      <alignment horizontal="left" vertical="center" wrapText="1"/>
    </xf>
    <xf numFmtId="0" fontId="65" fillId="40" borderId="105" xfId="677" applyFont="1" applyFill="1" applyBorder="1" applyAlignment="1">
      <alignment horizontal="center" vertical="center" wrapText="1"/>
    </xf>
    <xf numFmtId="0" fontId="65" fillId="40" borderId="47" xfId="677" applyFont="1" applyFill="1" applyBorder="1" applyAlignment="1">
      <alignment horizontal="center" vertical="center" wrapText="1"/>
    </xf>
    <xf numFmtId="0" fontId="65" fillId="40" borderId="26" xfId="677" applyFont="1" applyFill="1" applyBorder="1" applyAlignment="1">
      <alignment horizontal="center" vertical="center" wrapText="1"/>
    </xf>
    <xf numFmtId="0" fontId="62" fillId="0" borderId="108" xfId="677" applyFont="1" applyBorder="1" applyAlignment="1">
      <alignment horizontal="left" vertical="center" wrapText="1"/>
    </xf>
    <xf numFmtId="0" fontId="62" fillId="0" borderId="105" xfId="677" applyFont="1" applyBorder="1" applyAlignment="1">
      <alignment horizontal="left" vertical="center" wrapText="1"/>
    </xf>
    <xf numFmtId="0" fontId="65" fillId="43" borderId="108" xfId="677" applyFont="1" applyFill="1" applyBorder="1" applyAlignment="1">
      <alignment horizontal="center" vertical="center" wrapText="1"/>
    </xf>
    <xf numFmtId="0" fontId="65" fillId="41" borderId="49" xfId="677" applyFont="1" applyFill="1" applyBorder="1" applyAlignment="1">
      <alignment horizontal="center" vertical="center" wrapText="1"/>
    </xf>
    <xf numFmtId="0" fontId="65" fillId="41" borderId="47" xfId="677" applyFont="1" applyFill="1" applyBorder="1" applyAlignment="1">
      <alignment horizontal="center" vertical="center" wrapText="1"/>
    </xf>
    <xf numFmtId="0" fontId="70" fillId="40" borderId="108" xfId="677" quotePrefix="1" applyFont="1" applyFill="1" applyBorder="1" applyAlignment="1">
      <alignment horizontal="left" vertical="center" wrapText="1"/>
    </xf>
    <xf numFmtId="0" fontId="65" fillId="34" borderId="111" xfId="677" applyFont="1" applyFill="1" applyBorder="1" applyAlignment="1">
      <alignment horizontal="left" vertical="center" wrapText="1"/>
    </xf>
    <xf numFmtId="0" fontId="65" fillId="0" borderId="112" xfId="677" applyFont="1" applyBorder="1" applyAlignment="1">
      <alignment horizontal="left" vertical="center" wrapText="1"/>
    </xf>
    <xf numFmtId="0" fontId="60" fillId="0" borderId="19" xfId="876" applyFont="1" applyBorder="1" applyAlignment="1">
      <alignment horizontal="left" vertical="center"/>
    </xf>
    <xf numFmtId="0" fontId="62" fillId="0" borderId="113" xfId="677" applyFont="1" applyBorder="1" applyAlignment="1">
      <alignment horizontal="left" vertical="center" wrapText="1" indent="1"/>
    </xf>
    <xf numFmtId="0" fontId="65" fillId="0" borderId="113" xfId="677" applyFont="1" applyBorder="1" applyAlignment="1">
      <alignment horizontal="center" vertical="center" wrapText="1"/>
    </xf>
    <xf numFmtId="0" fontId="65" fillId="0" borderId="113" xfId="677" applyFont="1" applyBorder="1" applyAlignment="1">
      <alignment horizontal="left" vertical="center" wrapText="1" indent="1"/>
    </xf>
    <xf numFmtId="0" fontId="113" fillId="0" borderId="114" xfId="876" applyFont="1" applyBorder="1" applyAlignment="1">
      <alignment horizontal="center" vertical="center"/>
    </xf>
    <xf numFmtId="0" fontId="61" fillId="0" borderId="110" xfId="876" applyFont="1" applyBorder="1" applyAlignment="1">
      <alignment horizontal="center" vertical="center"/>
    </xf>
    <xf numFmtId="0" fontId="60" fillId="0" borderId="110" xfId="876" applyFont="1" applyBorder="1" applyAlignment="1">
      <alignment horizontal="center" vertical="center"/>
    </xf>
    <xf numFmtId="0" fontId="60" fillId="0" borderId="111" xfId="876" applyFont="1" applyBorder="1" applyAlignment="1">
      <alignment horizontal="center" vertical="center"/>
    </xf>
    <xf numFmtId="0" fontId="65" fillId="0" borderId="112" xfId="677" applyFont="1" applyBorder="1" applyAlignment="1">
      <alignment horizontal="left" vertical="center"/>
    </xf>
    <xf numFmtId="0" fontId="61" fillId="0" borderId="109" xfId="876" applyFont="1" applyBorder="1" applyAlignment="1">
      <alignment horizontal="center" vertical="center"/>
    </xf>
    <xf numFmtId="0" fontId="71" fillId="35" borderId="113" xfId="677" quotePrefix="1" applyFont="1" applyFill="1" applyBorder="1" applyAlignment="1">
      <alignment horizontal="left" vertical="center" wrapText="1" indent="1"/>
    </xf>
    <xf numFmtId="0" fontId="65" fillId="35" borderId="113" xfId="677" applyFont="1" applyFill="1" applyBorder="1" applyAlignment="1">
      <alignment horizontal="center" vertical="center" wrapText="1"/>
    </xf>
    <xf numFmtId="0" fontId="65" fillId="35" borderId="113" xfId="677" applyFont="1" applyFill="1" applyBorder="1" applyAlignment="1">
      <alignment horizontal="left" vertical="center" wrapText="1" indent="1"/>
    </xf>
    <xf numFmtId="0" fontId="65" fillId="35" borderId="112" xfId="677" applyFont="1" applyFill="1" applyBorder="1" applyAlignment="1">
      <alignment horizontal="left" vertical="center" wrapText="1"/>
    </xf>
    <xf numFmtId="0" fontId="113" fillId="35" borderId="114" xfId="876" applyFont="1" applyFill="1" applyBorder="1" applyAlignment="1">
      <alignment horizontal="center" vertical="center"/>
    </xf>
    <xf numFmtId="0" fontId="61" fillId="35" borderId="110" xfId="876" applyFont="1" applyFill="1" applyBorder="1" applyAlignment="1">
      <alignment horizontal="center" vertical="center"/>
    </xf>
    <xf numFmtId="0" fontId="60" fillId="35" borderId="110" xfId="876" applyFont="1" applyFill="1" applyBorder="1" applyAlignment="1">
      <alignment horizontal="center" vertical="center"/>
    </xf>
    <xf numFmtId="0" fontId="60" fillId="35" borderId="111" xfId="876" applyFont="1" applyFill="1" applyBorder="1" applyAlignment="1">
      <alignment horizontal="center" vertical="center"/>
    </xf>
    <xf numFmtId="0" fontId="65" fillId="35" borderId="40" xfId="677" applyFont="1" applyFill="1" applyBorder="1" applyAlignment="1">
      <alignment horizontal="left" vertical="center" wrapText="1"/>
    </xf>
    <xf numFmtId="0" fontId="62" fillId="35" borderId="114" xfId="677" applyFont="1" applyFill="1" applyBorder="1" applyAlignment="1">
      <alignment horizontal="left" vertical="center" wrapText="1" indent="1"/>
    </xf>
    <xf numFmtId="0" fontId="71" fillId="35" borderId="115" xfId="677" quotePrefix="1" applyFont="1" applyFill="1" applyBorder="1" applyAlignment="1">
      <alignment horizontal="left" vertical="center" wrapText="1" indent="1"/>
    </xf>
    <xf numFmtId="0" fontId="65" fillId="35" borderId="115" xfId="677" applyFont="1" applyFill="1" applyBorder="1" applyAlignment="1">
      <alignment horizontal="center" vertical="center" wrapText="1"/>
    </xf>
    <xf numFmtId="0" fontId="65" fillId="35" borderId="115" xfId="677" applyFont="1" applyFill="1" applyBorder="1" applyAlignment="1">
      <alignment horizontal="left" vertical="center" wrapText="1" indent="1"/>
    </xf>
    <xf numFmtId="0" fontId="65" fillId="35" borderId="41" xfId="677" applyFont="1" applyFill="1" applyBorder="1" applyAlignment="1">
      <alignment horizontal="left" vertical="center" wrapText="1"/>
    </xf>
    <xf numFmtId="0" fontId="62" fillId="0" borderId="115" xfId="677" applyFont="1" applyBorder="1" applyAlignment="1">
      <alignment horizontal="left" vertical="center" wrapText="1" indent="1"/>
    </xf>
    <xf numFmtId="0" fontId="65" fillId="0" borderId="115" xfId="677" applyFont="1" applyBorder="1" applyAlignment="1">
      <alignment horizontal="center" vertical="center" wrapText="1"/>
    </xf>
    <xf numFmtId="0" fontId="65" fillId="0" borderId="115" xfId="677" applyFont="1" applyBorder="1" applyAlignment="1">
      <alignment horizontal="left" vertical="center" wrapText="1" indent="1"/>
    </xf>
    <xf numFmtId="0" fontId="65" fillId="0" borderId="116" xfId="677" applyFont="1" applyBorder="1" applyAlignment="1">
      <alignment horizontal="left" vertical="center" wrapText="1"/>
    </xf>
    <xf numFmtId="0" fontId="65" fillId="0" borderId="117" xfId="677" applyFont="1" applyBorder="1" applyAlignment="1">
      <alignment horizontal="left" vertical="center" wrapText="1"/>
    </xf>
    <xf numFmtId="0" fontId="65" fillId="0" borderId="114" xfId="677" applyFont="1" applyBorder="1" applyAlignment="1">
      <alignment horizontal="center" vertical="center" wrapText="1"/>
    </xf>
    <xf numFmtId="0" fontId="62" fillId="0" borderId="114" xfId="677" applyFont="1" applyBorder="1" applyAlignment="1">
      <alignment horizontal="left" vertical="center" wrapText="1" indent="1"/>
    </xf>
    <xf numFmtId="0" fontId="65" fillId="0" borderId="114" xfId="677" applyFont="1" applyBorder="1" applyAlignment="1">
      <alignment horizontal="left" vertical="center" wrapText="1" indent="1"/>
    </xf>
    <xf numFmtId="0" fontId="62" fillId="0" borderId="25" xfId="677" applyFont="1" applyBorder="1" applyAlignment="1">
      <alignment horizontal="left" vertical="center" wrapText="1" indent="1"/>
    </xf>
    <xf numFmtId="0" fontId="62" fillId="0" borderId="24" xfId="677" applyFont="1" applyBorder="1" applyAlignment="1">
      <alignment horizontal="left" vertical="center" wrapText="1" indent="1"/>
    </xf>
    <xf numFmtId="0" fontId="65" fillId="0" borderId="118" xfId="677" applyFont="1" applyBorder="1" applyAlignment="1">
      <alignment horizontal="left" vertical="center" wrapText="1"/>
    </xf>
    <xf numFmtId="0" fontId="65" fillId="0" borderId="111" xfId="677" applyFont="1" applyBorder="1" applyAlignment="1">
      <alignment horizontal="center" vertical="center" wrapText="1"/>
    </xf>
    <xf numFmtId="0" fontId="113" fillId="0" borderId="109" xfId="876" applyFont="1" applyBorder="1" applyAlignment="1">
      <alignment horizontal="center" vertical="center"/>
    </xf>
    <xf numFmtId="0" fontId="113" fillId="35" borderId="109" xfId="876" applyFont="1" applyFill="1" applyBorder="1" applyAlignment="1">
      <alignment horizontal="center" vertical="center"/>
    </xf>
    <xf numFmtId="0" fontId="61" fillId="35" borderId="109" xfId="876" applyFont="1" applyFill="1" applyBorder="1" applyAlignment="1">
      <alignment horizontal="center" vertical="center"/>
    </xf>
    <xf numFmtId="0" fontId="65" fillId="35" borderId="117" xfId="677" applyFont="1" applyFill="1" applyBorder="1" applyAlignment="1">
      <alignment horizontal="left" vertical="center" wrapText="1"/>
    </xf>
    <xf numFmtId="0" fontId="65" fillId="35" borderId="118" xfId="677" applyFont="1" applyFill="1" applyBorder="1" applyAlignment="1">
      <alignment horizontal="left" vertical="center" wrapText="1"/>
    </xf>
    <xf numFmtId="0" fontId="61" fillId="43" borderId="103" xfId="876" applyFont="1" applyFill="1" applyBorder="1" applyAlignment="1">
      <alignment horizontal="center" vertical="center"/>
    </xf>
    <xf numFmtId="0" fontId="61" fillId="43" borderId="110" xfId="876" applyFont="1" applyFill="1" applyBorder="1" applyAlignment="1">
      <alignment horizontal="center" vertical="center"/>
    </xf>
    <xf numFmtId="0" fontId="60" fillId="43" borderId="103" xfId="876" applyFont="1" applyFill="1" applyBorder="1" applyAlignment="1">
      <alignment horizontal="center" vertical="center"/>
    </xf>
    <xf numFmtId="0" fontId="65" fillId="38" borderId="116" xfId="677" applyFont="1" applyFill="1" applyBorder="1" applyAlignment="1">
      <alignment horizontal="left" vertical="center" wrapText="1"/>
    </xf>
    <xf numFmtId="0" fontId="65" fillId="38" borderId="40" xfId="677" applyFont="1" applyFill="1" applyBorder="1" applyAlignment="1">
      <alignment horizontal="left" vertical="center" wrapText="1"/>
    </xf>
    <xf numFmtId="0" fontId="65" fillId="38" borderId="41" xfId="677" applyFont="1" applyFill="1" applyBorder="1" applyAlignment="1">
      <alignment horizontal="left" vertical="center" wrapText="1"/>
    </xf>
    <xf numFmtId="0" fontId="65" fillId="40" borderId="40" xfId="677" applyFont="1" applyFill="1" applyBorder="1" applyAlignment="1">
      <alignment horizontal="left" vertical="center" wrapText="1"/>
    </xf>
    <xf numFmtId="0" fontId="113" fillId="40" borderId="109" xfId="876" applyFont="1" applyFill="1" applyBorder="1" applyAlignment="1">
      <alignment horizontal="center" vertical="center"/>
    </xf>
    <xf numFmtId="0" fontId="61" fillId="40" borderId="109" xfId="876" applyFont="1" applyFill="1" applyBorder="1" applyAlignment="1">
      <alignment horizontal="center" vertical="center"/>
    </xf>
    <xf numFmtId="0" fontId="61" fillId="40" borderId="110" xfId="876" applyFont="1" applyFill="1" applyBorder="1" applyAlignment="1">
      <alignment horizontal="center" vertical="center"/>
    </xf>
    <xf numFmtId="0" fontId="60" fillId="40" borderId="110" xfId="876" applyFont="1" applyFill="1" applyBorder="1" applyAlignment="1">
      <alignment horizontal="center" vertical="center"/>
    </xf>
    <xf numFmtId="0" fontId="60" fillId="40" borderId="111" xfId="876" applyFont="1" applyFill="1" applyBorder="1" applyAlignment="1">
      <alignment horizontal="center" vertical="center"/>
    </xf>
    <xf numFmtId="0" fontId="65" fillId="40" borderId="41" xfId="677" applyFont="1" applyFill="1" applyBorder="1" applyAlignment="1">
      <alignment horizontal="left" vertical="center" wrapText="1"/>
    </xf>
    <xf numFmtId="0" fontId="61" fillId="40" borderId="103" xfId="876" applyFont="1" applyFill="1" applyBorder="1" applyAlignment="1">
      <alignment horizontal="center" vertical="center"/>
    </xf>
    <xf numFmtId="0" fontId="60" fillId="40" borderId="103" xfId="876" applyFont="1" applyFill="1" applyBorder="1" applyAlignment="1">
      <alignment horizontal="center" vertical="center"/>
    </xf>
    <xf numFmtId="0" fontId="60" fillId="40" borderId="104" xfId="876" applyFont="1" applyFill="1" applyBorder="1" applyAlignment="1">
      <alignment horizontal="center" vertical="center"/>
    </xf>
    <xf numFmtId="0" fontId="65" fillId="40" borderId="119" xfId="677" applyFont="1" applyFill="1" applyBorder="1" applyAlignment="1">
      <alignment horizontal="left" vertical="center" wrapText="1"/>
    </xf>
    <xf numFmtId="0" fontId="62" fillId="0" borderId="41" xfId="677" applyFont="1" applyBorder="1" applyAlignment="1">
      <alignment horizontal="left" vertical="center" wrapText="1"/>
    </xf>
    <xf numFmtId="0" fontId="60" fillId="0" borderId="113" xfId="876" applyFont="1" applyBorder="1" applyAlignment="1">
      <alignment horizontal="left" vertical="center" indent="1"/>
    </xf>
    <xf numFmtId="0" fontId="60" fillId="0" borderId="115" xfId="876" applyFont="1" applyBorder="1" applyAlignment="1">
      <alignment horizontal="left" vertical="center" indent="1"/>
    </xf>
    <xf numFmtId="0" fontId="62" fillId="43" borderId="113" xfId="677" applyFont="1" applyFill="1" applyBorder="1" applyAlignment="1">
      <alignment horizontal="left" vertical="center" wrapText="1" indent="1"/>
    </xf>
    <xf numFmtId="0" fontId="65" fillId="43" borderId="113" xfId="677" applyFont="1" applyFill="1" applyBorder="1" applyAlignment="1">
      <alignment horizontal="center" vertical="center" wrapText="1"/>
    </xf>
    <xf numFmtId="0" fontId="65" fillId="43" borderId="113" xfId="677" applyFont="1" applyFill="1" applyBorder="1" applyAlignment="1">
      <alignment horizontal="left" vertical="center" wrapText="1" indent="1"/>
    </xf>
    <xf numFmtId="0" fontId="62" fillId="40" borderId="115" xfId="677" applyFont="1" applyFill="1" applyBorder="1" applyAlignment="1">
      <alignment horizontal="left" vertical="center" wrapText="1" indent="1"/>
    </xf>
    <xf numFmtId="0" fontId="65" fillId="40" borderId="115" xfId="677" applyFont="1" applyFill="1" applyBorder="1" applyAlignment="1">
      <alignment horizontal="left" vertical="center" wrapText="1" indent="1"/>
    </xf>
    <xf numFmtId="0" fontId="113" fillId="41" borderId="114" xfId="876" applyFont="1" applyFill="1" applyBorder="1" applyAlignment="1">
      <alignment horizontal="center" vertical="center"/>
    </xf>
    <xf numFmtId="0" fontId="60" fillId="41" borderId="110" xfId="876" applyFont="1" applyFill="1" applyBorder="1" applyAlignment="1">
      <alignment horizontal="center" vertical="center"/>
    </xf>
    <xf numFmtId="0" fontId="60" fillId="41" borderId="111" xfId="876" applyFont="1" applyFill="1" applyBorder="1" applyAlignment="1">
      <alignment horizontal="center" vertical="center"/>
    </xf>
    <xf numFmtId="0" fontId="65" fillId="41" borderId="41" xfId="677" applyFont="1" applyFill="1" applyBorder="1" applyAlignment="1">
      <alignment horizontal="left" vertical="center" wrapText="1"/>
    </xf>
    <xf numFmtId="0" fontId="71" fillId="40" borderId="113" xfId="677" quotePrefix="1" applyFont="1" applyFill="1" applyBorder="1" applyAlignment="1">
      <alignment horizontal="left" vertical="center" wrapText="1" indent="1"/>
    </xf>
    <xf numFmtId="0" fontId="65" fillId="40" borderId="113" xfId="677" applyFont="1" applyFill="1" applyBorder="1" applyAlignment="1">
      <alignment horizontal="center" vertical="center" wrapText="1"/>
    </xf>
    <xf numFmtId="0" fontId="65" fillId="40" borderId="113" xfId="677" applyFont="1" applyFill="1" applyBorder="1" applyAlignment="1">
      <alignment horizontal="left" vertical="center" wrapText="1" indent="1"/>
    </xf>
    <xf numFmtId="0" fontId="65" fillId="40" borderId="120" xfId="677" applyFont="1" applyFill="1" applyBorder="1" applyAlignment="1">
      <alignment horizontal="left" vertical="center" wrapText="1"/>
    </xf>
    <xf numFmtId="0" fontId="65" fillId="40" borderId="97" xfId="677" applyFont="1" applyFill="1" applyBorder="1" applyAlignment="1">
      <alignment horizontal="left" vertical="center" wrapText="1"/>
    </xf>
    <xf numFmtId="0" fontId="113" fillId="40" borderId="114" xfId="876" applyFont="1" applyFill="1" applyBorder="1" applyAlignment="1">
      <alignment horizontal="center" vertical="center"/>
    </xf>
    <xf numFmtId="0" fontId="65" fillId="40" borderId="121" xfId="677" applyFont="1" applyFill="1" applyBorder="1" applyAlignment="1">
      <alignment horizontal="left" vertical="center" wrapText="1"/>
    </xf>
    <xf numFmtId="0" fontId="4" fillId="0" borderId="20" xfId="0" applyFont="1" applyBorder="1" applyAlignment="1">
      <alignment horizontal="left" vertical="center"/>
    </xf>
    <xf numFmtId="0" fontId="0" fillId="0" borderId="20" xfId="0" applyBorder="1" applyAlignment="1">
      <alignment horizontal="left" vertical="center"/>
    </xf>
    <xf numFmtId="0" fontId="4" fillId="0" borderId="20" xfId="0" applyFont="1" applyBorder="1" applyAlignment="1">
      <alignment horizontal="left" vertical="center" wrapText="1"/>
    </xf>
    <xf numFmtId="0" fontId="0" fillId="0" borderId="20" xfId="0" applyBorder="1" applyAlignment="1">
      <alignment horizontal="left" vertical="center" wrapText="1"/>
    </xf>
    <xf numFmtId="0" fontId="4" fillId="32" borderId="20" xfId="0" applyFont="1" applyFill="1" applyBorder="1" applyAlignment="1">
      <alignment horizontal="center" vertical="center" wrapText="1"/>
    </xf>
    <xf numFmtId="1" fontId="113" fillId="0" borderId="22" xfId="876" applyNumberFormat="1" applyFont="1" applyBorder="1" applyAlignment="1">
      <alignment horizontal="center" vertical="center"/>
    </xf>
    <xf numFmtId="1" fontId="113" fillId="0" borderId="23" xfId="876" applyNumberFormat="1" applyFont="1" applyBorder="1" applyAlignment="1">
      <alignment horizontal="center" vertical="center"/>
    </xf>
    <xf numFmtId="1" fontId="113" fillId="0" borderId="114" xfId="876" applyNumberFormat="1" applyFont="1" applyBorder="1" applyAlignment="1">
      <alignment horizontal="center" vertical="center"/>
    </xf>
    <xf numFmtId="169" fontId="4" fillId="50" borderId="20" xfId="0" applyNumberFormat="1" applyFont="1" applyFill="1" applyBorder="1" applyAlignment="1" applyProtection="1">
      <alignment horizontal="center" vertical="center" wrapText="1"/>
      <protection locked="0"/>
    </xf>
    <xf numFmtId="0" fontId="62" fillId="43" borderId="122" xfId="677" applyFont="1" applyFill="1" applyBorder="1" applyAlignment="1">
      <alignment horizontal="left" vertical="center" wrapText="1" indent="1"/>
    </xf>
    <xf numFmtId="0" fontId="65" fillId="43" borderId="122" xfId="677" applyFont="1" applyFill="1" applyBorder="1" applyAlignment="1">
      <alignment horizontal="center" vertical="center" wrapText="1"/>
    </xf>
    <xf numFmtId="0" fontId="65" fillId="43" borderId="122" xfId="677" applyFont="1" applyFill="1" applyBorder="1" applyAlignment="1">
      <alignment horizontal="left" vertical="center" wrapText="1" indent="1"/>
    </xf>
    <xf numFmtId="0" fontId="113" fillId="43" borderId="114" xfId="876" applyFont="1" applyFill="1" applyBorder="1" applyAlignment="1">
      <alignment horizontal="center" vertical="center"/>
    </xf>
    <xf numFmtId="0" fontId="60" fillId="43" borderId="110" xfId="876" applyFont="1" applyFill="1" applyBorder="1" applyAlignment="1">
      <alignment horizontal="center" vertical="center"/>
    </xf>
    <xf numFmtId="0" fontId="60" fillId="43" borderId="111" xfId="876" applyFont="1" applyFill="1" applyBorder="1" applyAlignment="1">
      <alignment horizontal="center" vertical="center"/>
    </xf>
    <xf numFmtId="0" fontId="62" fillId="116" borderId="45" xfId="677" applyFont="1" applyFill="1" applyBorder="1" applyAlignment="1">
      <alignment horizontal="left" vertical="center" wrapText="1" indent="1"/>
    </xf>
    <xf numFmtId="0" fontId="65" fillId="116" borderId="45" xfId="677" applyFont="1" applyFill="1" applyBorder="1" applyAlignment="1">
      <alignment horizontal="center" vertical="center" wrapText="1"/>
    </xf>
    <xf numFmtId="0" fontId="65" fillId="116" borderId="45" xfId="677" applyFont="1" applyFill="1" applyBorder="1" applyAlignment="1">
      <alignment horizontal="left" vertical="center" wrapText="1" indent="1"/>
    </xf>
    <xf numFmtId="0" fontId="113" fillId="116" borderId="114" xfId="876" applyFont="1" applyFill="1" applyBorder="1" applyAlignment="1">
      <alignment horizontal="center" vertical="center"/>
    </xf>
    <xf numFmtId="0" fontId="61" fillId="116" borderId="110" xfId="876" applyFont="1" applyFill="1" applyBorder="1" applyAlignment="1">
      <alignment horizontal="center" vertical="center"/>
    </xf>
    <xf numFmtId="0" fontId="60" fillId="116" borderId="110" xfId="876" applyFont="1" applyFill="1" applyBorder="1" applyAlignment="1">
      <alignment horizontal="center" vertical="center"/>
    </xf>
    <xf numFmtId="0" fontId="60" fillId="116" borderId="111" xfId="876" applyFont="1" applyFill="1" applyBorder="1" applyAlignment="1">
      <alignment horizontal="center" vertical="center"/>
    </xf>
    <xf numFmtId="0" fontId="68" fillId="0" borderId="123" xfId="677" applyFont="1" applyBorder="1" applyAlignment="1">
      <alignment horizontal="center" vertical="center" wrapText="1"/>
    </xf>
    <xf numFmtId="0" fontId="65" fillId="0" borderId="123" xfId="677" applyFont="1" applyBorder="1" applyAlignment="1">
      <alignment horizontal="center" vertical="center" wrapText="1"/>
    </xf>
    <xf numFmtId="0" fontId="62" fillId="0" borderId="124" xfId="677" applyFont="1" applyBorder="1" applyAlignment="1">
      <alignment horizontal="left" vertical="center" wrapText="1" indent="1"/>
    </xf>
    <xf numFmtId="0" fontId="65" fillId="0" borderId="124" xfId="677" applyFont="1" applyBorder="1" applyAlignment="1">
      <alignment horizontal="center" vertical="center" wrapText="1"/>
    </xf>
    <xf numFmtId="0" fontId="65" fillId="0" borderId="124" xfId="677" applyFont="1" applyBorder="1" applyAlignment="1">
      <alignment horizontal="left" vertical="center" wrapText="1" indent="1"/>
    </xf>
    <xf numFmtId="0" fontId="62" fillId="116" borderId="124" xfId="677" applyFont="1" applyFill="1" applyBorder="1" applyAlignment="1">
      <alignment horizontal="left" vertical="center" wrapText="1" indent="1"/>
    </xf>
    <xf numFmtId="0" fontId="65" fillId="116" borderId="124" xfId="677" applyFont="1" applyFill="1" applyBorder="1" applyAlignment="1">
      <alignment horizontal="center" vertical="center" wrapText="1"/>
    </xf>
    <xf numFmtId="0" fontId="65" fillId="116" borderId="124" xfId="677" applyFont="1" applyFill="1" applyBorder="1" applyAlignment="1">
      <alignment horizontal="left" vertical="center" wrapText="1" indent="1"/>
    </xf>
    <xf numFmtId="0" fontId="113" fillId="116" borderId="23" xfId="876" applyFont="1" applyFill="1" applyBorder="1" applyAlignment="1">
      <alignment horizontal="center" vertical="center"/>
    </xf>
    <xf numFmtId="0" fontId="61" fillId="116" borderId="0" xfId="876" applyFont="1" applyFill="1" applyAlignment="1">
      <alignment horizontal="center" vertical="center"/>
    </xf>
    <xf numFmtId="0" fontId="60" fillId="116" borderId="0" xfId="876" applyFont="1" applyFill="1" applyAlignment="1">
      <alignment horizontal="center" vertical="center"/>
    </xf>
    <xf numFmtId="0" fontId="60" fillId="116" borderId="19" xfId="876" applyFont="1" applyFill="1" applyBorder="1" applyAlignment="1">
      <alignment horizontal="center" vertical="center"/>
    </xf>
    <xf numFmtId="0" fontId="113" fillId="43" borderId="82" xfId="876" applyFont="1" applyFill="1" applyBorder="1" applyAlignment="1">
      <alignment horizontal="center" vertical="center"/>
    </xf>
    <xf numFmtId="0" fontId="60" fillId="43" borderId="77" xfId="876" applyFont="1" applyFill="1" applyBorder="1" applyAlignment="1">
      <alignment horizontal="center" vertical="center"/>
    </xf>
    <xf numFmtId="0" fontId="60" fillId="43" borderId="78" xfId="876" applyFont="1" applyFill="1" applyBorder="1" applyAlignment="1">
      <alignment horizontal="center" vertical="center"/>
    </xf>
    <xf numFmtId="0" fontId="60" fillId="43" borderId="19" xfId="876" applyFont="1" applyFill="1" applyBorder="1" applyAlignment="1">
      <alignment horizontal="left" vertical="center"/>
    </xf>
    <xf numFmtId="0" fontId="113" fillId="43" borderId="79" xfId="876" applyFont="1" applyFill="1" applyBorder="1" applyAlignment="1">
      <alignment horizontal="center" vertical="center"/>
    </xf>
    <xf numFmtId="0" fontId="124" fillId="0" borderId="0" xfId="0" applyFont="1" applyAlignment="1">
      <alignment horizontal="right" vertical="center"/>
    </xf>
    <xf numFmtId="49" fontId="125" fillId="0" borderId="0" xfId="0" applyNumberFormat="1" applyFont="1" applyAlignment="1">
      <alignment horizontal="center" vertical="center"/>
    </xf>
    <xf numFmtId="0" fontId="124" fillId="0" borderId="0" xfId="0" applyFont="1" applyAlignment="1">
      <alignment vertical="center"/>
    </xf>
    <xf numFmtId="0" fontId="124" fillId="0" borderId="0" xfId="0" applyFont="1" applyAlignment="1">
      <alignment horizontal="center" vertical="center"/>
    </xf>
    <xf numFmtId="0" fontId="4" fillId="99" borderId="20" xfId="0" applyFont="1" applyFill="1" applyBorder="1" applyAlignment="1">
      <alignment horizontal="center" vertical="center" wrapText="1"/>
    </xf>
    <xf numFmtId="1" fontId="4" fillId="61" borderId="0" xfId="0" applyNumberFormat="1" applyFont="1" applyFill="1" applyAlignment="1" applyProtection="1">
      <alignment horizontal="center" vertical="center"/>
      <protection locked="0"/>
    </xf>
    <xf numFmtId="0" fontId="4" fillId="61" borderId="0" xfId="0" applyFont="1" applyFill="1" applyAlignment="1" applyProtection="1">
      <alignment horizontal="center" vertical="center"/>
      <protection locked="0"/>
    </xf>
    <xf numFmtId="0" fontId="4" fillId="64" borderId="0" xfId="0" applyFont="1" applyFill="1" applyAlignment="1" applyProtection="1">
      <alignment horizontal="center" vertical="center"/>
      <protection locked="0"/>
    </xf>
    <xf numFmtId="0" fontId="121" fillId="0" borderId="20" xfId="0" applyFont="1" applyBorder="1" applyAlignment="1">
      <alignment horizontal="center" vertical="center"/>
    </xf>
    <xf numFmtId="0" fontId="109" fillId="0" borderId="26" xfId="0" applyFont="1" applyBorder="1" applyAlignment="1" applyProtection="1">
      <alignment horizontal="center" vertical="center"/>
      <protection locked="0"/>
    </xf>
    <xf numFmtId="0" fontId="109" fillId="60" borderId="26" xfId="0" applyFont="1" applyFill="1" applyBorder="1" applyAlignment="1" applyProtection="1">
      <alignment horizontal="center" vertical="center"/>
      <protection locked="0"/>
    </xf>
    <xf numFmtId="0" fontId="109" fillId="50" borderId="20" xfId="0" applyFont="1" applyFill="1" applyBorder="1" applyAlignment="1" applyProtection="1">
      <alignment horizontal="center" vertical="center" wrapText="1"/>
      <protection locked="0"/>
    </xf>
    <xf numFmtId="49" fontId="103" fillId="0" borderId="0" xfId="0" applyNumberFormat="1" applyFont="1" applyAlignment="1">
      <alignment horizontal="center" vertical="center"/>
    </xf>
    <xf numFmtId="0" fontId="80" fillId="114" borderId="114" xfId="0" applyFont="1" applyFill="1" applyBorder="1" applyAlignment="1">
      <alignment horizontal="center" vertical="center" wrapText="1"/>
    </xf>
    <xf numFmtId="0" fontId="4" fillId="47" borderId="20" xfId="0" applyFont="1" applyFill="1" applyBorder="1" applyAlignment="1">
      <alignment horizontal="center" vertical="center" wrapText="1"/>
    </xf>
    <xf numFmtId="0" fontId="0" fillId="108" borderId="61" xfId="0" applyFill="1" applyBorder="1" applyAlignment="1">
      <alignment horizontal="center" vertical="center" wrapText="1"/>
    </xf>
    <xf numFmtId="0" fontId="0" fillId="48" borderId="61" xfId="0" applyFill="1" applyBorder="1" applyAlignment="1">
      <alignment horizontal="center" vertical="center" wrapText="1"/>
    </xf>
    <xf numFmtId="0" fontId="0" fillId="48" borderId="62" xfId="0" applyFill="1" applyBorder="1" applyAlignment="1">
      <alignment horizontal="center" vertical="center" wrapText="1"/>
    </xf>
    <xf numFmtId="0" fontId="0" fillId="48" borderId="58" xfId="0" applyFill="1" applyBorder="1" applyAlignment="1">
      <alignment horizontal="center" vertical="center" wrapText="1"/>
    </xf>
    <xf numFmtId="0" fontId="0" fillId="108" borderId="31" xfId="0" applyFill="1" applyBorder="1" applyAlignment="1">
      <alignment horizontal="center" vertical="center" wrapText="1"/>
    </xf>
    <xf numFmtId="0" fontId="0" fillId="48" borderId="31" xfId="0" applyFill="1" applyBorder="1" applyAlignment="1">
      <alignment horizontal="center" vertical="center" wrapText="1"/>
    </xf>
    <xf numFmtId="0" fontId="0" fillId="48" borderId="63" xfId="0" applyFill="1" applyBorder="1" applyAlignment="1">
      <alignment horizontal="center" vertical="center" wrapText="1"/>
    </xf>
    <xf numFmtId="0" fontId="0" fillId="36" borderId="62" xfId="0" applyFill="1" applyBorder="1" applyAlignment="1">
      <alignment horizontal="center" vertical="center" wrapText="1"/>
    </xf>
    <xf numFmtId="0" fontId="0" fillId="36" borderId="58" xfId="0" applyFill="1" applyBorder="1" applyAlignment="1">
      <alignment horizontal="center" vertical="center" wrapText="1"/>
    </xf>
    <xf numFmtId="0" fontId="0" fillId="36" borderId="63" xfId="0" applyFill="1" applyBorder="1" applyAlignment="1">
      <alignment horizontal="center" vertical="center" wrapText="1"/>
    </xf>
    <xf numFmtId="0" fontId="0" fillId="50" borderId="61" xfId="0" applyFill="1" applyBorder="1" applyAlignment="1">
      <alignment horizontal="center" vertical="center" wrapText="1"/>
    </xf>
    <xf numFmtId="0" fontId="0" fillId="53" borderId="61" xfId="0" applyFill="1" applyBorder="1" applyAlignment="1">
      <alignment horizontal="center" vertical="center" wrapText="1"/>
    </xf>
    <xf numFmtId="0" fontId="0" fillId="50" borderId="20" xfId="0" applyFill="1" applyBorder="1" applyAlignment="1">
      <alignment horizontal="center" vertical="center" wrapText="1"/>
    </xf>
    <xf numFmtId="0" fontId="0" fillId="50" borderId="31" xfId="0" applyFill="1" applyBorder="1" applyAlignment="1">
      <alignment horizontal="center" vertical="center" wrapText="1"/>
    </xf>
    <xf numFmtId="0" fontId="0" fillId="53" borderId="31" xfId="0" applyFill="1" applyBorder="1" applyAlignment="1">
      <alignment horizontal="center" vertical="center" wrapText="1"/>
    </xf>
    <xf numFmtId="0" fontId="0" fillId="36" borderId="61" xfId="0" applyFill="1" applyBorder="1" applyAlignment="1">
      <alignment horizontal="center" vertical="center" wrapText="1"/>
    </xf>
    <xf numFmtId="0" fontId="0" fillId="36" borderId="31" xfId="0" applyFill="1" applyBorder="1" applyAlignment="1">
      <alignment horizontal="center" vertical="center" wrapText="1"/>
    </xf>
    <xf numFmtId="0" fontId="0" fillId="117" borderId="61" xfId="0" applyFill="1" applyBorder="1" applyAlignment="1">
      <alignment horizontal="center" vertical="center" wrapText="1"/>
    </xf>
    <xf numFmtId="0" fontId="0" fillId="117" borderId="62" xfId="0" applyFill="1" applyBorder="1" applyAlignment="1">
      <alignment horizontal="center" vertical="center" wrapText="1"/>
    </xf>
    <xf numFmtId="0" fontId="0" fillId="117" borderId="20" xfId="0" applyFill="1" applyBorder="1" applyAlignment="1">
      <alignment horizontal="center" vertical="center" wrapText="1"/>
    </xf>
    <xf numFmtId="0" fontId="0" fillId="117" borderId="58" xfId="0" applyFill="1" applyBorder="1" applyAlignment="1">
      <alignment horizontal="center" vertical="center" wrapText="1"/>
    </xf>
    <xf numFmtId="0" fontId="0" fillId="117" borderId="31" xfId="0" applyFill="1" applyBorder="1" applyAlignment="1">
      <alignment horizontal="center" vertical="center" wrapText="1"/>
    </xf>
    <xf numFmtId="0" fontId="0" fillId="117" borderId="63" xfId="0" applyFill="1" applyBorder="1" applyAlignment="1">
      <alignment horizontal="center" vertical="center" wrapText="1"/>
    </xf>
    <xf numFmtId="0" fontId="0" fillId="118" borderId="61" xfId="0" applyFill="1" applyBorder="1" applyAlignment="1">
      <alignment horizontal="center" vertical="center" wrapText="1"/>
    </xf>
    <xf numFmtId="0" fontId="0" fillId="118" borderId="62" xfId="0" applyFill="1" applyBorder="1" applyAlignment="1">
      <alignment horizontal="center" vertical="center" wrapText="1"/>
    </xf>
    <xf numFmtId="0" fontId="0" fillId="118" borderId="20" xfId="0" applyFill="1" applyBorder="1" applyAlignment="1">
      <alignment horizontal="center" vertical="center" wrapText="1"/>
    </xf>
    <xf numFmtId="0" fontId="0" fillId="118" borderId="58" xfId="0" applyFill="1" applyBorder="1" applyAlignment="1">
      <alignment horizontal="center" vertical="center" wrapText="1"/>
    </xf>
    <xf numFmtId="0" fontId="0" fillId="118" borderId="31" xfId="0" applyFill="1" applyBorder="1" applyAlignment="1">
      <alignment horizontal="center" vertical="center" wrapText="1"/>
    </xf>
    <xf numFmtId="0" fontId="0" fillId="118" borderId="63" xfId="0" applyFill="1" applyBorder="1" applyAlignment="1">
      <alignment horizontal="center" vertical="center" wrapText="1"/>
    </xf>
    <xf numFmtId="0" fontId="80" fillId="0" borderId="61" xfId="0" applyFont="1" applyBorder="1" applyAlignment="1">
      <alignment horizontal="center" vertical="center" wrapText="1"/>
    </xf>
    <xf numFmtId="0" fontId="80" fillId="0" borderId="31" xfId="0" applyFont="1" applyBorder="1" applyAlignment="1">
      <alignment horizontal="center" vertical="center" wrapText="1"/>
    </xf>
    <xf numFmtId="0" fontId="80" fillId="0" borderId="125" xfId="0" applyFont="1" applyBorder="1" applyAlignment="1">
      <alignment horizontal="center" vertical="center" wrapText="1"/>
    </xf>
    <xf numFmtId="0" fontId="0" fillId="119" borderId="61" xfId="0" applyFill="1" applyBorder="1" applyAlignment="1">
      <alignment horizontal="center" vertical="center" wrapText="1"/>
    </xf>
    <xf numFmtId="0" fontId="0" fillId="119" borderId="62" xfId="0" applyFill="1" applyBorder="1" applyAlignment="1">
      <alignment horizontal="center" vertical="center" wrapText="1"/>
    </xf>
    <xf numFmtId="0" fontId="0" fillId="119" borderId="20" xfId="0" applyFill="1" applyBorder="1" applyAlignment="1">
      <alignment horizontal="center" vertical="center" wrapText="1"/>
    </xf>
    <xf numFmtId="0" fontId="0" fillId="119" borderId="58" xfId="0" applyFill="1" applyBorder="1" applyAlignment="1">
      <alignment horizontal="center" vertical="center" wrapText="1"/>
    </xf>
    <xf numFmtId="0" fontId="0" fillId="119" borderId="31" xfId="0" applyFill="1" applyBorder="1" applyAlignment="1">
      <alignment horizontal="center" vertical="center" wrapText="1"/>
    </xf>
    <xf numFmtId="0" fontId="0" fillId="119" borderId="63" xfId="0" applyFill="1" applyBorder="1" applyAlignment="1">
      <alignment horizontal="center" vertical="center" wrapText="1"/>
    </xf>
    <xf numFmtId="0" fontId="0" fillId="99" borderId="58" xfId="0" applyFill="1" applyBorder="1" applyAlignment="1">
      <alignment horizontal="center" vertical="center" wrapText="1"/>
    </xf>
    <xf numFmtId="0" fontId="0" fillId="99" borderId="31" xfId="0" applyFill="1" applyBorder="1" applyAlignment="1">
      <alignment horizontal="center" vertical="center" wrapText="1"/>
    </xf>
    <xf numFmtId="0" fontId="0" fillId="99" borderId="63" xfId="0" applyFill="1" applyBorder="1" applyAlignment="1">
      <alignment horizontal="center" vertical="center" wrapText="1"/>
    </xf>
    <xf numFmtId="0" fontId="4" fillId="0" borderId="20" xfId="0" applyFont="1" applyBorder="1" applyAlignment="1">
      <alignment horizontal="center" vertical="center"/>
    </xf>
    <xf numFmtId="0" fontId="0" fillId="33" borderId="20" xfId="0" applyFill="1" applyBorder="1" applyAlignment="1">
      <alignment horizontal="center" vertical="center"/>
    </xf>
    <xf numFmtId="0" fontId="107" fillId="33" borderId="20" xfId="0" applyFont="1" applyFill="1" applyBorder="1" applyAlignment="1">
      <alignment horizontal="center" vertical="center"/>
    </xf>
    <xf numFmtId="0" fontId="4" fillId="33" borderId="20" xfId="0" applyFont="1" applyFill="1" applyBorder="1" applyAlignment="1">
      <alignment horizontal="center" vertical="center"/>
    </xf>
    <xf numFmtId="0" fontId="126" fillId="33" borderId="20" xfId="0" applyFont="1" applyFill="1" applyBorder="1" applyAlignment="1">
      <alignment horizontal="center" vertical="center"/>
    </xf>
    <xf numFmtId="0" fontId="4" fillId="35" borderId="20" xfId="0" applyFont="1" applyFill="1" applyBorder="1" applyAlignment="1">
      <alignment horizontal="center" vertical="center"/>
    </xf>
    <xf numFmtId="0" fontId="126" fillId="35" borderId="20" xfId="0" applyFont="1" applyFill="1" applyBorder="1" applyAlignment="1">
      <alignment horizontal="center" vertical="center"/>
    </xf>
    <xf numFmtId="176" fontId="0" fillId="33" borderId="20" xfId="0" applyNumberFormat="1" applyFill="1" applyBorder="1" applyAlignment="1">
      <alignment horizontal="center" vertical="center"/>
    </xf>
    <xf numFmtId="177" fontId="0" fillId="33" borderId="20" xfId="0" applyNumberFormat="1" applyFill="1" applyBorder="1" applyAlignment="1">
      <alignment horizontal="center" vertical="center"/>
    </xf>
    <xf numFmtId="2" fontId="4" fillId="33" borderId="20" xfId="0" applyNumberFormat="1" applyFont="1" applyFill="1" applyBorder="1" applyAlignment="1">
      <alignment horizontal="center" vertical="center"/>
    </xf>
    <xf numFmtId="2" fontId="121" fillId="33" borderId="20" xfId="0" applyNumberFormat="1" applyFont="1" applyFill="1" applyBorder="1" applyAlignment="1">
      <alignment horizontal="center" vertical="center"/>
    </xf>
    <xf numFmtId="2" fontId="0" fillId="33" borderId="20" xfId="0" applyNumberFormat="1" applyFill="1" applyBorder="1" applyAlignment="1">
      <alignment horizontal="center" vertical="center"/>
    </xf>
    <xf numFmtId="0" fontId="0" fillId="0" borderId="104" xfId="0" applyBorder="1" applyAlignment="1">
      <alignment horizontal="center" vertical="center"/>
    </xf>
    <xf numFmtId="0" fontId="121" fillId="33" borderId="20" xfId="0" applyFont="1" applyFill="1" applyBorder="1" applyAlignment="1">
      <alignment horizontal="center" vertical="center"/>
    </xf>
    <xf numFmtId="0" fontId="5" fillId="97" borderId="20" xfId="0" applyFont="1" applyFill="1" applyBorder="1" applyAlignment="1">
      <alignment horizontal="center" vertical="center" wrapText="1"/>
    </xf>
    <xf numFmtId="2" fontId="5" fillId="97" borderId="20" xfId="0" applyNumberFormat="1" applyFont="1" applyFill="1" applyBorder="1" applyAlignment="1">
      <alignment horizontal="center" vertical="center" wrapText="1"/>
    </xf>
    <xf numFmtId="0" fontId="5" fillId="95" borderId="20" xfId="0" applyFont="1" applyFill="1" applyBorder="1" applyAlignment="1">
      <alignment horizontal="center" vertical="center" wrapText="1"/>
    </xf>
    <xf numFmtId="2" fontId="5" fillId="95" borderId="20" xfId="0" applyNumberFormat="1" applyFont="1" applyFill="1" applyBorder="1" applyAlignment="1">
      <alignment horizontal="center" vertical="center" wrapText="1"/>
    </xf>
    <xf numFmtId="0" fontId="5" fillId="105" borderId="20" xfId="0" applyFont="1" applyFill="1" applyBorder="1" applyAlignment="1">
      <alignment horizontal="center" vertical="center" wrapText="1"/>
    </xf>
    <xf numFmtId="2" fontId="5" fillId="105" borderId="20" xfId="0" applyNumberFormat="1" applyFont="1" applyFill="1" applyBorder="1" applyAlignment="1">
      <alignment horizontal="center" vertical="center" wrapText="1"/>
    </xf>
    <xf numFmtId="0" fontId="5" fillId="45" borderId="20" xfId="0" applyFont="1" applyFill="1" applyBorder="1" applyAlignment="1">
      <alignment horizontal="center" vertical="center" wrapText="1"/>
    </xf>
    <xf numFmtId="2" fontId="5" fillId="45" borderId="20" xfId="0" applyNumberFormat="1" applyFont="1" applyFill="1" applyBorder="1" applyAlignment="1">
      <alignment horizontal="center" vertical="center" wrapText="1"/>
    </xf>
    <xf numFmtId="0" fontId="5" fillId="30" borderId="20" xfId="0" applyFont="1" applyFill="1" applyBorder="1" applyAlignment="1" applyProtection="1">
      <alignment horizontal="center" vertical="center" wrapText="1"/>
      <protection locked="0"/>
    </xf>
    <xf numFmtId="0" fontId="5" fillId="99" borderId="20" xfId="0" applyFont="1" applyFill="1" applyBorder="1" applyAlignment="1" applyProtection="1">
      <alignment horizontal="center" vertical="center" wrapText="1"/>
      <protection locked="0"/>
    </xf>
    <xf numFmtId="0" fontId="5" fillId="99" borderId="20" xfId="0" applyFont="1" applyFill="1" applyBorder="1" applyAlignment="1">
      <alignment horizontal="center" vertical="center" wrapText="1"/>
    </xf>
    <xf numFmtId="0" fontId="5" fillId="50" borderId="20" xfId="0" applyFont="1" applyFill="1" applyBorder="1" applyAlignment="1">
      <alignment horizontal="center" vertical="center" wrapText="1"/>
    </xf>
    <xf numFmtId="2" fontId="5" fillId="50" borderId="20" xfId="0" applyNumberFormat="1" applyFont="1" applyFill="1" applyBorder="1" applyAlignment="1">
      <alignment horizontal="center" vertical="center" wrapText="1"/>
    </xf>
    <xf numFmtId="0" fontId="112" fillId="0" borderId="0" xfId="0" applyFont="1" applyAlignment="1" applyProtection="1">
      <alignment horizontal="center" vertical="center"/>
      <protection locked="0"/>
    </xf>
    <xf numFmtId="0" fontId="112" fillId="0" borderId="0" xfId="0" applyFont="1" applyAlignment="1">
      <alignment horizontal="center" vertical="center"/>
    </xf>
    <xf numFmtId="0" fontId="123" fillId="0" borderId="104" xfId="0" quotePrefix="1" applyFont="1" applyBorder="1" applyAlignment="1">
      <alignment horizontal="center" vertical="center"/>
    </xf>
    <xf numFmtId="1" fontId="4" fillId="46" borderId="100" xfId="0" applyNumberFormat="1" applyFont="1" applyFill="1" applyBorder="1" applyAlignment="1" applyProtection="1">
      <alignment horizontal="center" vertical="center"/>
      <protection locked="0"/>
    </xf>
    <xf numFmtId="0" fontId="5" fillId="120" borderId="20" xfId="0" applyFont="1" applyFill="1" applyBorder="1" applyAlignment="1">
      <alignment horizontal="center" vertical="center" wrapText="1"/>
    </xf>
    <xf numFmtId="0" fontId="0" fillId="99" borderId="20" xfId="0" applyFill="1" applyBorder="1" applyAlignment="1">
      <alignment horizontal="center" vertical="center"/>
    </xf>
    <xf numFmtId="2" fontId="0" fillId="99" borderId="20" xfId="0" applyNumberFormat="1" applyFill="1" applyBorder="1" applyAlignment="1">
      <alignment horizontal="center" vertical="center" wrapText="1"/>
    </xf>
    <xf numFmtId="0" fontId="4" fillId="99" borderId="20" xfId="0" applyFont="1" applyFill="1" applyBorder="1" applyAlignment="1">
      <alignment horizontal="center" vertical="center"/>
    </xf>
    <xf numFmtId="173" fontId="4" fillId="42" borderId="20" xfId="0" applyNumberFormat="1" applyFont="1" applyFill="1" applyBorder="1" applyAlignment="1" applyProtection="1">
      <alignment horizontal="center" vertical="center"/>
      <protection locked="0"/>
    </xf>
    <xf numFmtId="1" fontId="4" fillId="42" borderId="20" xfId="0" applyNumberFormat="1" applyFont="1" applyFill="1" applyBorder="1" applyAlignment="1" applyProtection="1">
      <alignment horizontal="center" vertical="center"/>
      <protection locked="0"/>
    </xf>
    <xf numFmtId="173" fontId="4" fillId="42" borderId="20" xfId="0" applyNumberFormat="1" applyFont="1" applyFill="1" applyBorder="1" applyAlignment="1">
      <alignment horizontal="center" vertical="center"/>
    </xf>
    <xf numFmtId="3" fontId="4" fillId="42" borderId="20" xfId="0" applyNumberFormat="1" applyFont="1" applyFill="1" applyBorder="1" applyAlignment="1" applyProtection="1">
      <alignment horizontal="center" vertical="center"/>
      <protection locked="0"/>
    </xf>
    <xf numFmtId="49" fontId="4" fillId="42" borderId="20" xfId="0" quotePrefix="1" applyNumberFormat="1" applyFont="1" applyFill="1" applyBorder="1" applyAlignment="1">
      <alignment horizontal="center" vertical="center"/>
    </xf>
    <xf numFmtId="49" fontId="4" fillId="42" borderId="20" xfId="0" applyNumberFormat="1" applyFont="1" applyFill="1" applyBorder="1" applyAlignment="1">
      <alignment horizontal="center" vertical="center"/>
    </xf>
    <xf numFmtId="0" fontId="4" fillId="55" borderId="26" xfId="0" applyFont="1" applyFill="1" applyBorder="1" applyAlignment="1">
      <alignment horizontal="center" vertical="center" wrapText="1"/>
    </xf>
    <xf numFmtId="0" fontId="4" fillId="55" borderId="53" xfId="0" applyFont="1" applyFill="1" applyBorder="1" applyAlignment="1">
      <alignment horizontal="center" vertical="center" wrapText="1"/>
    </xf>
    <xf numFmtId="0" fontId="4" fillId="55" borderId="29" xfId="0" applyFont="1" applyFill="1" applyBorder="1" applyAlignment="1">
      <alignment horizontal="center" vertical="center" wrapText="1"/>
    </xf>
    <xf numFmtId="0" fontId="0" fillId="55" borderId="0" xfId="0" applyFill="1" applyAlignment="1">
      <alignment horizontal="center" vertical="center"/>
    </xf>
    <xf numFmtId="0" fontId="0" fillId="55" borderId="30" xfId="0" applyFill="1" applyBorder="1" applyAlignment="1">
      <alignment horizontal="center" vertical="center"/>
    </xf>
    <xf numFmtId="0" fontId="4" fillId="55" borderId="20" xfId="0" applyFont="1" applyFill="1" applyBorder="1" applyAlignment="1">
      <alignment horizontal="center" vertical="center"/>
    </xf>
    <xf numFmtId="0" fontId="0" fillId="55" borderId="20" xfId="0" applyFill="1" applyBorder="1" applyAlignment="1">
      <alignment horizontal="center" vertical="center"/>
    </xf>
    <xf numFmtId="0" fontId="0" fillId="55" borderId="26" xfId="0" applyFill="1" applyBorder="1" applyAlignment="1">
      <alignment horizontal="center" vertical="center"/>
    </xf>
    <xf numFmtId="0" fontId="4" fillId="55" borderId="0" xfId="0" applyFont="1" applyFill="1" applyAlignment="1">
      <alignment horizontal="center" vertical="center"/>
    </xf>
    <xf numFmtId="0" fontId="0" fillId="55" borderId="0" xfId="0" applyFill="1"/>
    <xf numFmtId="0" fontId="117" fillId="55" borderId="23" xfId="0" applyFont="1" applyFill="1" applyBorder="1" applyAlignment="1">
      <alignment vertical="center" textRotation="180"/>
    </xf>
    <xf numFmtId="0" fontId="117" fillId="55" borderId="100" xfId="0" applyFont="1" applyFill="1" applyBorder="1" applyAlignment="1">
      <alignment vertical="center" textRotation="180"/>
    </xf>
    <xf numFmtId="0" fontId="4" fillId="55" borderId="0" xfId="0" applyFont="1" applyFill="1"/>
    <xf numFmtId="0" fontId="0" fillId="55" borderId="0" xfId="0" applyFill="1" applyAlignment="1">
      <alignment horizontal="center" vertical="center" wrapText="1"/>
    </xf>
    <xf numFmtId="0" fontId="0" fillId="55" borderId="0" xfId="0" applyFill="1" applyAlignment="1">
      <alignment horizontal="center"/>
    </xf>
    <xf numFmtId="0" fontId="4" fillId="55" borderId="0" xfId="0" applyFont="1" applyFill="1" applyAlignment="1">
      <alignment horizontal="center"/>
    </xf>
    <xf numFmtId="0" fontId="120" fillId="55" borderId="0" xfId="0" applyFont="1" applyFill="1" applyAlignment="1">
      <alignment horizontal="center" vertical="center"/>
    </xf>
    <xf numFmtId="2" fontId="4" fillId="61" borderId="20" xfId="0" applyNumberFormat="1" applyFont="1" applyFill="1" applyBorder="1" applyAlignment="1" applyProtection="1">
      <alignment horizontal="left" vertical="center" indent="2"/>
      <protection locked="0"/>
    </xf>
    <xf numFmtId="49" fontId="4" fillId="42" borderId="20" xfId="0" quotePrefix="1" applyNumberFormat="1" applyFont="1" applyFill="1" applyBorder="1" applyAlignment="1" applyProtection="1">
      <alignment horizontal="center" vertical="center"/>
      <protection locked="0"/>
    </xf>
    <xf numFmtId="49" fontId="4" fillId="42" borderId="20" xfId="0" applyNumberFormat="1" applyFont="1" applyFill="1" applyBorder="1" applyAlignment="1" applyProtection="1">
      <alignment horizontal="center" vertical="center" wrapText="1"/>
      <protection locked="0"/>
    </xf>
    <xf numFmtId="0" fontId="109" fillId="42" borderId="20" xfId="0" applyFont="1" applyFill="1" applyBorder="1" applyAlignment="1" applyProtection="1">
      <alignment horizontal="center" vertical="center"/>
      <protection locked="0"/>
    </xf>
    <xf numFmtId="2" fontId="4" fillId="0" borderId="20" xfId="0" quotePrefix="1" applyNumberFormat="1" applyFont="1" applyBorder="1" applyAlignment="1">
      <alignment horizontal="center" vertical="center"/>
    </xf>
    <xf numFmtId="2" fontId="4" fillId="0" borderId="20" xfId="0" applyNumberFormat="1" applyFont="1" applyBorder="1" applyAlignment="1" applyProtection="1">
      <alignment horizontal="center"/>
      <protection locked="0"/>
    </xf>
    <xf numFmtId="49" fontId="109" fillId="32" borderId="20" xfId="0" applyNumberFormat="1" applyFont="1" applyFill="1" applyBorder="1" applyAlignment="1" applyProtection="1">
      <alignment horizontal="center" vertical="center"/>
      <protection locked="0"/>
    </xf>
    <xf numFmtId="49" fontId="109" fillId="0" borderId="20" xfId="0" applyNumberFormat="1" applyFont="1" applyBorder="1" applyAlignment="1" applyProtection="1">
      <alignment horizontal="center" vertical="center"/>
      <protection locked="0"/>
    </xf>
    <xf numFmtId="0" fontId="109" fillId="0" borderId="0" xfId="0" applyFont="1" applyAlignment="1" applyProtection="1">
      <alignment horizontal="center" vertical="center"/>
      <protection locked="0"/>
    </xf>
    <xf numFmtId="0" fontId="109" fillId="0" borderId="0" xfId="0" applyFont="1" applyAlignment="1">
      <alignment horizontal="center" vertical="center"/>
    </xf>
    <xf numFmtId="1" fontId="109" fillId="0" borderId="0" xfId="0" applyNumberFormat="1" applyFont="1" applyAlignment="1" applyProtection="1">
      <alignment horizontal="center" vertical="center"/>
      <protection locked="0"/>
    </xf>
    <xf numFmtId="2" fontId="109" fillId="61" borderId="20" xfId="0" applyNumberFormat="1" applyFont="1" applyFill="1" applyBorder="1" applyAlignment="1" applyProtection="1">
      <alignment horizontal="center" vertical="center"/>
      <protection locked="0"/>
    </xf>
    <xf numFmtId="2" fontId="109" fillId="64" borderId="20" xfId="0" applyNumberFormat="1" applyFont="1" applyFill="1" applyBorder="1" applyAlignment="1" applyProtection="1">
      <alignment horizontal="center" vertical="center"/>
      <protection locked="0"/>
    </xf>
    <xf numFmtId="2" fontId="109" fillId="0" borderId="20" xfId="0" applyNumberFormat="1" applyFont="1" applyBorder="1" applyAlignment="1" applyProtection="1">
      <alignment horizontal="center" vertical="center"/>
      <protection locked="0"/>
    </xf>
    <xf numFmtId="49" fontId="109" fillId="61" borderId="20" xfId="0" applyNumberFormat="1" applyFont="1" applyFill="1" applyBorder="1" applyAlignment="1" applyProtection="1">
      <alignment horizontal="center" vertical="center"/>
      <protection locked="0"/>
    </xf>
    <xf numFmtId="49" fontId="109" fillId="64" borderId="20" xfId="0" applyNumberFormat="1" applyFont="1" applyFill="1" applyBorder="1" applyAlignment="1" applyProtection="1">
      <alignment horizontal="center" vertical="center"/>
      <protection locked="0"/>
    </xf>
    <xf numFmtId="0" fontId="109" fillId="32" borderId="20" xfId="0" applyFont="1" applyFill="1" applyBorder="1" applyAlignment="1">
      <alignment horizontal="center" vertical="center"/>
    </xf>
    <xf numFmtId="0" fontId="109" fillId="0" borderId="20" xfId="0" applyFont="1" applyBorder="1" applyAlignment="1">
      <alignment horizontal="center" vertical="center"/>
    </xf>
    <xf numFmtId="0" fontId="109" fillId="46" borderId="20" xfId="0" applyFont="1" applyFill="1" applyBorder="1" applyAlignment="1">
      <alignment horizontal="center" vertical="center"/>
    </xf>
    <xf numFmtId="49" fontId="109" fillId="46" borderId="20" xfId="0" applyNumberFormat="1" applyFont="1" applyFill="1" applyBorder="1" applyAlignment="1" applyProtection="1">
      <alignment horizontal="center" vertical="center"/>
      <protection locked="0"/>
    </xf>
    <xf numFmtId="49" fontId="109" fillId="52" borderId="20" xfId="0" applyNumberFormat="1" applyFont="1" applyFill="1" applyBorder="1" applyAlignment="1" applyProtection="1">
      <alignment horizontal="center" vertical="center"/>
      <protection locked="0"/>
    </xf>
    <xf numFmtId="49" fontId="109" fillId="0" borderId="0" xfId="0" applyNumberFormat="1" applyFont="1" applyAlignment="1" applyProtection="1">
      <alignment horizontal="center" vertical="center"/>
      <protection locked="0"/>
    </xf>
    <xf numFmtId="0" fontId="109" fillId="64" borderId="20" xfId="0" applyFont="1" applyFill="1" applyBorder="1" applyAlignment="1">
      <alignment horizontal="center" vertical="center"/>
    </xf>
    <xf numFmtId="0" fontId="5" fillId="103" borderId="20" xfId="0" applyFont="1" applyFill="1" applyBorder="1" applyAlignment="1">
      <alignment horizontal="center" vertical="center" wrapText="1"/>
    </xf>
    <xf numFmtId="0" fontId="5" fillId="103" borderId="20" xfId="0" applyFont="1" applyFill="1" applyBorder="1" applyAlignment="1" applyProtection="1">
      <alignment horizontal="center" vertical="center" wrapText="1"/>
      <protection locked="0"/>
    </xf>
    <xf numFmtId="169" fontId="5" fillId="103" borderId="20" xfId="0" applyNumberFormat="1" applyFont="1" applyFill="1" applyBorder="1" applyAlignment="1" applyProtection="1">
      <alignment horizontal="center" vertical="center" wrapText="1"/>
      <protection locked="0"/>
    </xf>
    <xf numFmtId="14" fontId="4" fillId="0" borderId="0" xfId="0" applyNumberFormat="1" applyFont="1" applyAlignment="1">
      <alignment horizontal="center" vertical="center"/>
    </xf>
    <xf numFmtId="14" fontId="4" fillId="0" borderId="0" xfId="0" applyNumberFormat="1" applyFont="1" applyAlignment="1" applyProtection="1">
      <alignment horizontal="center" vertical="center"/>
      <protection locked="0"/>
    </xf>
    <xf numFmtId="14" fontId="4" fillId="0" borderId="0" xfId="0" applyNumberFormat="1" applyFont="1" applyAlignment="1" applyProtection="1">
      <alignment horizontal="center" vertical="center" wrapText="1"/>
      <protection locked="0"/>
    </xf>
    <xf numFmtId="14" fontId="98" fillId="0" borderId="0" xfId="0" applyNumberFormat="1" applyFont="1" applyAlignment="1">
      <alignment horizontal="center" vertical="center"/>
    </xf>
    <xf numFmtId="173" fontId="5" fillId="0" borderId="20" xfId="0" applyNumberFormat="1" applyFont="1" applyBorder="1" applyAlignment="1">
      <alignment horizontal="center" vertical="center"/>
    </xf>
    <xf numFmtId="0" fontId="4" fillId="106" borderId="20" xfId="0" applyFont="1" applyFill="1" applyBorder="1" applyAlignment="1">
      <alignment horizontal="center" vertical="center"/>
    </xf>
    <xf numFmtId="14" fontId="4" fillId="53" borderId="20" xfId="0" applyNumberFormat="1" applyFont="1" applyFill="1" applyBorder="1" applyAlignment="1">
      <alignment horizontal="center" vertical="center"/>
    </xf>
    <xf numFmtId="14" fontId="4" fillId="44" borderId="20" xfId="0" applyNumberFormat="1" applyFont="1" applyFill="1" applyBorder="1" applyAlignment="1">
      <alignment horizontal="center" vertical="center"/>
    </xf>
    <xf numFmtId="0" fontId="109" fillId="0" borderId="20" xfId="0" quotePrefix="1" applyFont="1" applyBorder="1" applyAlignment="1" applyProtection="1">
      <alignment horizontal="center" vertical="center"/>
      <protection locked="0"/>
    </xf>
    <xf numFmtId="173" fontId="4" fillId="0" borderId="20" xfId="0" applyNumberFormat="1" applyFont="1" applyBorder="1" applyAlignment="1" applyProtection="1">
      <alignment horizontal="center" vertical="center" wrapText="1"/>
      <protection locked="0"/>
    </xf>
    <xf numFmtId="2" fontId="128" fillId="0" borderId="20" xfId="0" applyNumberFormat="1" applyFont="1" applyBorder="1" applyAlignment="1" applyProtection="1">
      <alignment horizontal="center" vertical="center"/>
      <protection locked="0"/>
    </xf>
    <xf numFmtId="2" fontId="98" fillId="0" borderId="23" xfId="0" applyNumberFormat="1" applyFont="1" applyBorder="1" applyAlignment="1" applyProtection="1">
      <alignment horizontal="center" vertical="center"/>
      <protection locked="0"/>
    </xf>
    <xf numFmtId="14" fontId="98" fillId="0" borderId="20" xfId="0" applyNumberFormat="1" applyFont="1" applyBorder="1" applyAlignment="1" applyProtection="1">
      <alignment horizontal="center" vertical="center"/>
      <protection locked="0"/>
    </xf>
    <xf numFmtId="0" fontId="98" fillId="0" borderId="20" xfId="0" applyFont="1" applyBorder="1" applyAlignment="1" applyProtection="1">
      <alignment horizontal="center" vertical="center" wrapText="1"/>
      <protection locked="0"/>
    </xf>
    <xf numFmtId="0" fontId="5" fillId="98" borderId="20" xfId="0" applyFont="1" applyFill="1" applyBorder="1" applyAlignment="1">
      <alignment horizontal="center" vertical="center"/>
    </xf>
    <xf numFmtId="0" fontId="5" fillId="98" borderId="20" xfId="0" applyFont="1" applyFill="1" applyBorder="1" applyAlignment="1" applyProtection="1">
      <alignment horizontal="center" vertical="center"/>
      <protection locked="0"/>
    </xf>
    <xf numFmtId="0" fontId="5" fillId="31" borderId="20" xfId="0" applyFont="1" applyFill="1" applyBorder="1" applyAlignment="1" applyProtection="1">
      <alignment horizontal="center" vertical="center"/>
      <protection locked="0"/>
    </xf>
    <xf numFmtId="2" fontId="5" fillId="42" borderId="20" xfId="0" applyNumberFormat="1" applyFont="1" applyFill="1" applyBorder="1" applyAlignment="1">
      <alignment horizontal="center" vertical="center"/>
    </xf>
    <xf numFmtId="2" fontId="5" fillId="104" borderId="20" xfId="0" applyNumberFormat="1" applyFont="1" applyFill="1" applyBorder="1" applyAlignment="1">
      <alignment horizontal="center" vertical="center"/>
    </xf>
    <xf numFmtId="2" fontId="98" fillId="0" borderId="20" xfId="0" quotePrefix="1" applyNumberFormat="1" applyFont="1" applyBorder="1" applyAlignment="1">
      <alignment horizontal="center" vertical="center"/>
    </xf>
    <xf numFmtId="2" fontId="4" fillId="0" borderId="20" xfId="0" applyNumberFormat="1" applyFont="1" applyBorder="1" applyAlignment="1">
      <alignment horizontal="center" vertical="center" wrapText="1"/>
    </xf>
    <xf numFmtId="2" fontId="4" fillId="60" borderId="20" xfId="0" applyNumberFormat="1" applyFont="1" applyFill="1" applyBorder="1" applyAlignment="1">
      <alignment horizontal="center" vertical="center" wrapText="1"/>
    </xf>
    <xf numFmtId="0" fontId="129" fillId="58" borderId="76" xfId="677" applyFont="1" applyFill="1" applyBorder="1" applyAlignment="1">
      <alignment horizontal="left" vertical="center" wrapText="1" indent="1"/>
    </xf>
    <xf numFmtId="0" fontId="129" fillId="58" borderId="82" xfId="677" applyFont="1" applyFill="1" applyBorder="1" applyAlignment="1">
      <alignment horizontal="left" vertical="center" wrapText="1" indent="1"/>
    </xf>
    <xf numFmtId="0" fontId="4" fillId="43" borderId="20" xfId="0" applyFont="1" applyFill="1" applyBorder="1" applyAlignment="1">
      <alignment horizontal="center" vertical="center"/>
    </xf>
    <xf numFmtId="178" fontId="4" fillId="55" borderId="20" xfId="0" applyNumberFormat="1" applyFont="1" applyFill="1" applyBorder="1" applyAlignment="1">
      <alignment horizontal="center" vertical="center"/>
    </xf>
    <xf numFmtId="0" fontId="4" fillId="55" borderId="20" xfId="0" quotePrefix="1" applyFont="1" applyFill="1" applyBorder="1" applyAlignment="1">
      <alignment horizontal="center" vertical="center"/>
    </xf>
    <xf numFmtId="173" fontId="4" fillId="55" borderId="20" xfId="0" applyNumberFormat="1" applyFont="1" applyFill="1" applyBorder="1" applyAlignment="1">
      <alignment horizontal="center" vertical="center"/>
    </xf>
    <xf numFmtId="1" fontId="4" fillId="55" borderId="20" xfId="0" applyNumberFormat="1" applyFont="1" applyFill="1" applyBorder="1" applyAlignment="1">
      <alignment horizontal="center" vertical="center"/>
    </xf>
    <xf numFmtId="2" fontId="4" fillId="55" borderId="20" xfId="0" applyNumberFormat="1" applyFont="1" applyFill="1" applyBorder="1" applyAlignment="1">
      <alignment horizontal="center" vertical="center"/>
    </xf>
    <xf numFmtId="0" fontId="4" fillId="55" borderId="20" xfId="0" applyFont="1" applyFill="1" applyBorder="1" applyAlignment="1" applyProtection="1">
      <alignment horizontal="center" vertical="center"/>
      <protection locked="0"/>
    </xf>
    <xf numFmtId="2" fontId="4" fillId="55" borderId="20" xfId="0" applyNumberFormat="1" applyFont="1" applyFill="1" applyBorder="1" applyAlignment="1" applyProtection="1">
      <alignment horizontal="center" vertical="center"/>
      <protection locked="0"/>
    </xf>
    <xf numFmtId="0" fontId="109" fillId="55" borderId="20" xfId="0" applyFont="1" applyFill="1" applyBorder="1" applyAlignment="1" applyProtection="1">
      <alignment horizontal="center" vertical="center"/>
      <protection locked="0"/>
    </xf>
    <xf numFmtId="14" fontId="4" fillId="55" borderId="20" xfId="0" applyNumberFormat="1" applyFont="1" applyFill="1" applyBorder="1" applyAlignment="1">
      <alignment horizontal="center" vertical="center"/>
    </xf>
    <xf numFmtId="2" fontId="98" fillId="55" borderId="20" xfId="0" applyNumberFormat="1" applyFont="1" applyFill="1" applyBorder="1" applyAlignment="1">
      <alignment horizontal="center" vertical="center"/>
    </xf>
    <xf numFmtId="0" fontId="109" fillId="55" borderId="20" xfId="0" applyFont="1" applyFill="1" applyBorder="1" applyAlignment="1">
      <alignment horizontal="center" vertical="center"/>
    </xf>
    <xf numFmtId="49" fontId="4" fillId="55" borderId="20" xfId="0" quotePrefix="1" applyNumberFormat="1" applyFont="1" applyFill="1" applyBorder="1" applyAlignment="1" applyProtection="1">
      <alignment horizontal="center" vertical="center"/>
      <protection locked="0"/>
    </xf>
    <xf numFmtId="173" fontId="4" fillId="55" borderId="20" xfId="0" applyNumberFormat="1" applyFont="1" applyFill="1" applyBorder="1" applyAlignment="1" applyProtection="1">
      <alignment horizontal="center" vertical="center"/>
      <protection locked="0"/>
    </xf>
    <xf numFmtId="169" fontId="4" fillId="55" borderId="20" xfId="0" applyNumberFormat="1" applyFont="1" applyFill="1" applyBorder="1" applyAlignment="1" applyProtection="1">
      <alignment horizontal="center" vertical="center"/>
      <protection locked="0"/>
    </xf>
    <xf numFmtId="49" fontId="4" fillId="55" borderId="20" xfId="0" applyNumberFormat="1" applyFont="1" applyFill="1" applyBorder="1" applyAlignment="1" applyProtection="1">
      <alignment horizontal="center" vertical="center"/>
      <protection locked="0"/>
    </xf>
    <xf numFmtId="1" fontId="4" fillId="55" borderId="20" xfId="0" quotePrefix="1" applyNumberFormat="1" applyFont="1" applyFill="1" applyBorder="1" applyAlignment="1" applyProtection="1">
      <alignment horizontal="center" vertical="center"/>
      <protection locked="0"/>
    </xf>
    <xf numFmtId="49" fontId="4" fillId="55" borderId="20" xfId="0" quotePrefix="1" applyNumberFormat="1" applyFont="1" applyFill="1" applyBorder="1" applyAlignment="1">
      <alignment horizontal="center" vertical="center"/>
    </xf>
    <xf numFmtId="49" fontId="4" fillId="55" borderId="20" xfId="0" applyNumberFormat="1" applyFont="1" applyFill="1" applyBorder="1" applyAlignment="1">
      <alignment horizontal="center" vertical="center"/>
    </xf>
    <xf numFmtId="1" fontId="4" fillId="55" borderId="20" xfId="0" applyNumberFormat="1" applyFont="1" applyFill="1" applyBorder="1" applyAlignment="1" applyProtection="1">
      <alignment horizontal="center" vertical="center"/>
      <protection locked="0"/>
    </xf>
    <xf numFmtId="0" fontId="4" fillId="55" borderId="20" xfId="0" applyFont="1" applyFill="1" applyBorder="1" applyAlignment="1">
      <alignment horizontal="center" vertical="center" wrapText="1"/>
    </xf>
    <xf numFmtId="2" fontId="4" fillId="55" borderId="20" xfId="0" applyNumberFormat="1" applyFont="1" applyFill="1" applyBorder="1" applyAlignment="1">
      <alignment horizontal="center" vertical="center" wrapText="1"/>
    </xf>
    <xf numFmtId="0" fontId="5" fillId="104" borderId="20" xfId="0" applyFont="1" applyFill="1" applyBorder="1" applyAlignment="1">
      <alignment horizontal="center" vertical="center" wrapText="1"/>
    </xf>
    <xf numFmtId="2" fontId="5" fillId="104" borderId="20" xfId="0" applyNumberFormat="1" applyFont="1" applyFill="1" applyBorder="1" applyAlignment="1">
      <alignment horizontal="center" vertical="center" wrapText="1"/>
    </xf>
    <xf numFmtId="14" fontId="4" fillId="0" borderId="20" xfId="0" applyNumberFormat="1" applyFont="1" applyBorder="1" applyAlignment="1">
      <alignment horizontal="center" vertical="center"/>
    </xf>
    <xf numFmtId="0" fontId="4" fillId="32" borderId="114" xfId="0" applyFont="1" applyFill="1" applyBorder="1" applyAlignment="1">
      <alignment horizontal="center" vertical="center"/>
    </xf>
    <xf numFmtId="1" fontId="4" fillId="32" borderId="114" xfId="0" applyNumberFormat="1" applyFont="1" applyFill="1" applyBorder="1" applyAlignment="1" applyProtection="1">
      <alignment horizontal="center" vertical="center"/>
      <protection locked="0"/>
    </xf>
    <xf numFmtId="173" fontId="4" fillId="32" borderId="114" xfId="0" applyNumberFormat="1" applyFont="1" applyFill="1" applyBorder="1" applyAlignment="1" applyProtection="1">
      <alignment horizontal="center" vertical="center"/>
      <protection locked="0"/>
    </xf>
    <xf numFmtId="1" fontId="4" fillId="32" borderId="114" xfId="0" applyNumberFormat="1" applyFont="1" applyFill="1" applyBorder="1" applyAlignment="1">
      <alignment horizontal="center" vertical="center"/>
    </xf>
    <xf numFmtId="2" fontId="4" fillId="32" borderId="114" xfId="0" applyNumberFormat="1" applyFont="1" applyFill="1" applyBorder="1" applyAlignment="1">
      <alignment horizontal="center" vertical="center"/>
    </xf>
    <xf numFmtId="0" fontId="4" fillId="32" borderId="114" xfId="0" applyFont="1" applyFill="1" applyBorder="1" applyAlignment="1" applyProtection="1">
      <alignment horizontal="center" vertical="center"/>
      <protection locked="0"/>
    </xf>
    <xf numFmtId="173" fontId="4" fillId="32" borderId="114" xfId="0" applyNumberFormat="1" applyFont="1" applyFill="1" applyBorder="1" applyAlignment="1">
      <alignment horizontal="center" vertical="center"/>
    </xf>
    <xf numFmtId="2" fontId="4" fillId="32" borderId="114" xfId="0" applyNumberFormat="1" applyFont="1" applyFill="1" applyBorder="1" applyAlignment="1" applyProtection="1">
      <alignment horizontal="center" vertical="center"/>
      <protection locked="0"/>
    </xf>
    <xf numFmtId="0" fontId="4" fillId="32" borderId="114" xfId="0" quotePrefix="1" applyFont="1" applyFill="1" applyBorder="1" applyAlignment="1">
      <alignment horizontal="center" vertical="center"/>
    </xf>
    <xf numFmtId="0" fontId="109" fillId="32" borderId="114" xfId="0" applyFont="1" applyFill="1" applyBorder="1" applyAlignment="1" applyProtection="1">
      <alignment horizontal="center" vertical="center"/>
      <protection locked="0"/>
    </xf>
    <xf numFmtId="14" fontId="4" fillId="53" borderId="114" xfId="0" applyNumberFormat="1" applyFont="1" applyFill="1" applyBorder="1" applyAlignment="1">
      <alignment horizontal="center" vertical="center"/>
    </xf>
    <xf numFmtId="14" fontId="4" fillId="44" borderId="114" xfId="0" applyNumberFormat="1" applyFont="1" applyFill="1" applyBorder="1" applyAlignment="1">
      <alignment horizontal="center" vertical="center"/>
    </xf>
    <xf numFmtId="0" fontId="4" fillId="0" borderId="110" xfId="0" applyFont="1" applyBorder="1" applyAlignment="1" applyProtection="1">
      <alignment horizontal="center" vertical="center"/>
      <protection locked="0"/>
    </xf>
    <xf numFmtId="0" fontId="4" fillId="0" borderId="110" xfId="0" applyFont="1" applyBorder="1" applyAlignment="1">
      <alignment horizontal="center" vertical="center"/>
    </xf>
    <xf numFmtId="178" fontId="4" fillId="0" borderId="20" xfId="0" applyNumberFormat="1" applyFont="1" applyBorder="1" applyAlignment="1">
      <alignment horizontal="center" vertical="center"/>
    </xf>
    <xf numFmtId="0" fontId="131" fillId="0" borderId="20" xfId="0" applyFont="1" applyBorder="1" applyAlignment="1" applyProtection="1">
      <alignment horizontal="center" vertical="center"/>
      <protection locked="0"/>
    </xf>
    <xf numFmtId="0" fontId="131" fillId="46" borderId="20" xfId="0" applyFont="1" applyFill="1" applyBorder="1" applyAlignment="1" applyProtection="1">
      <alignment horizontal="center" vertical="center"/>
      <protection locked="0"/>
    </xf>
    <xf numFmtId="0" fontId="4" fillId="0" borderId="134" xfId="0" applyFont="1" applyBorder="1" applyAlignment="1">
      <alignment horizontal="center" vertical="center"/>
    </xf>
    <xf numFmtId="0" fontId="4" fillId="0" borderId="134" xfId="0" quotePrefix="1" applyFont="1" applyBorder="1" applyAlignment="1">
      <alignment horizontal="center" vertical="center"/>
    </xf>
    <xf numFmtId="173" fontId="4" fillId="0" borderId="134" xfId="0" applyNumberFormat="1" applyFont="1" applyBorder="1" applyAlignment="1">
      <alignment horizontal="center" vertical="center"/>
    </xf>
    <xf numFmtId="1" fontId="4" fillId="0" borderId="134" xfId="0" applyNumberFormat="1" applyFont="1" applyBorder="1" applyAlignment="1">
      <alignment horizontal="center" vertical="center"/>
    </xf>
    <xf numFmtId="2" fontId="4" fillId="0" borderId="134" xfId="0" applyNumberFormat="1" applyFont="1" applyBorder="1" applyAlignment="1">
      <alignment horizontal="center" vertical="center"/>
    </xf>
    <xf numFmtId="0" fontId="109" fillId="0" borderId="134" xfId="0" applyFont="1" applyBorder="1" applyAlignment="1" applyProtection="1">
      <alignment horizontal="center" vertical="center"/>
      <protection locked="0"/>
    </xf>
    <xf numFmtId="0" fontId="4" fillId="0" borderId="114" xfId="0" applyFont="1" applyBorder="1" applyAlignment="1">
      <alignment horizontal="center" vertical="center"/>
    </xf>
    <xf numFmtId="0" fontId="4" fillId="0" borderId="114" xfId="0" quotePrefix="1" applyFont="1" applyBorder="1" applyAlignment="1">
      <alignment horizontal="center" vertical="center"/>
    </xf>
    <xf numFmtId="173" fontId="4" fillId="0" borderId="114" xfId="0" applyNumberFormat="1" applyFont="1" applyBorder="1" applyAlignment="1">
      <alignment horizontal="center" vertical="center"/>
    </xf>
    <xf numFmtId="1" fontId="4" fillId="0" borderId="114" xfId="0" applyNumberFormat="1" applyFont="1" applyBorder="1" applyAlignment="1">
      <alignment horizontal="center" vertical="center"/>
    </xf>
    <xf numFmtId="2" fontId="4" fillId="0" borderId="114" xfId="0" applyNumberFormat="1" applyFont="1" applyBorder="1" applyAlignment="1">
      <alignment horizontal="center" vertical="center"/>
    </xf>
    <xf numFmtId="0" fontId="131" fillId="32" borderId="20" xfId="0" applyFont="1" applyFill="1" applyBorder="1" applyAlignment="1" applyProtection="1">
      <alignment horizontal="center" vertical="center"/>
      <protection locked="0"/>
    </xf>
    <xf numFmtId="0" fontId="131" fillId="0" borderId="134" xfId="0" applyFont="1" applyBorder="1" applyAlignment="1" applyProtection="1">
      <alignment horizontal="center" vertical="center"/>
      <protection locked="0"/>
    </xf>
    <xf numFmtId="169" fontId="4" fillId="0" borderId="134" xfId="0" applyNumberFormat="1" applyFont="1" applyBorder="1" applyAlignment="1" applyProtection="1">
      <alignment horizontal="center" vertical="center"/>
      <protection locked="0"/>
    </xf>
    <xf numFmtId="49" fontId="4" fillId="0" borderId="134" xfId="0" applyNumberFormat="1" applyFont="1" applyBorder="1" applyAlignment="1" applyProtection="1">
      <alignment horizontal="center" vertical="center"/>
      <protection locked="0"/>
    </xf>
    <xf numFmtId="173" fontId="4" fillId="0" borderId="134" xfId="0" applyNumberFormat="1" applyFont="1" applyBorder="1" applyAlignment="1" applyProtection="1">
      <alignment horizontal="center" vertical="center"/>
      <protection locked="0"/>
    </xf>
    <xf numFmtId="0" fontId="4" fillId="0" borderId="134" xfId="0" applyFont="1" applyBorder="1" applyAlignment="1" applyProtection="1">
      <alignment horizontal="center" vertical="center"/>
      <protection locked="0"/>
    </xf>
    <xf numFmtId="1" fontId="4" fillId="0" borderId="134" xfId="0" applyNumberFormat="1" applyFont="1" applyBorder="1" applyAlignment="1" applyProtection="1">
      <alignment horizontal="center" vertical="center"/>
      <protection locked="0"/>
    </xf>
    <xf numFmtId="2" fontId="4" fillId="0" borderId="134" xfId="0" applyNumberFormat="1" applyFont="1" applyBorder="1" applyAlignment="1" applyProtection="1">
      <alignment horizontal="center" vertical="center"/>
      <protection locked="0"/>
    </xf>
    <xf numFmtId="169" fontId="4" fillId="0" borderId="114" xfId="0" applyNumberFormat="1" applyFont="1" applyBorder="1" applyAlignment="1" applyProtection="1">
      <alignment horizontal="center" vertical="center"/>
      <protection locked="0"/>
    </xf>
    <xf numFmtId="49" fontId="4" fillId="0" borderId="114" xfId="0" quotePrefix="1" applyNumberFormat="1" applyFont="1" applyBorder="1" applyAlignment="1" applyProtection="1">
      <alignment horizontal="center" vertical="center"/>
      <protection locked="0"/>
    </xf>
    <xf numFmtId="173" fontId="4" fillId="0" borderId="114" xfId="0" applyNumberFormat="1" applyFont="1" applyBorder="1" applyAlignment="1" applyProtection="1">
      <alignment horizontal="center" vertical="center"/>
      <protection locked="0"/>
    </xf>
    <xf numFmtId="0" fontId="4" fillId="0" borderId="114" xfId="0" applyFont="1" applyBorder="1" applyAlignment="1" applyProtection="1">
      <alignment horizontal="center" vertical="center"/>
      <protection locked="0"/>
    </xf>
    <xf numFmtId="1" fontId="4" fillId="0" borderId="114" xfId="0" applyNumberFormat="1" applyFont="1" applyBorder="1" applyAlignment="1" applyProtection="1">
      <alignment horizontal="center" vertical="center"/>
      <protection locked="0"/>
    </xf>
    <xf numFmtId="2" fontId="4" fillId="0" borderId="114" xfId="0" applyNumberFormat="1" applyFont="1" applyBorder="1" applyAlignment="1" applyProtection="1">
      <alignment horizontal="center" vertical="center"/>
      <protection locked="0"/>
    </xf>
    <xf numFmtId="14" fontId="0" fillId="0" borderId="19" xfId="0" applyNumberFormat="1" applyBorder="1" applyAlignment="1">
      <alignment horizontal="center" vertical="center"/>
    </xf>
    <xf numFmtId="173" fontId="4" fillId="43" borderId="20" xfId="0" applyNumberFormat="1" applyFont="1" applyFill="1" applyBorder="1" applyAlignment="1">
      <alignment horizontal="center" vertical="center"/>
    </xf>
    <xf numFmtId="173" fontId="4" fillId="43" borderId="20" xfId="0" applyNumberFormat="1" applyFont="1" applyFill="1" applyBorder="1" applyAlignment="1" applyProtection="1">
      <alignment horizontal="center" vertical="center"/>
      <protection locked="0"/>
    </xf>
    <xf numFmtId="0" fontId="4" fillId="43" borderId="20" xfId="0" applyFont="1" applyFill="1" applyBorder="1" applyAlignment="1" applyProtection="1">
      <alignment horizontal="center" vertical="center"/>
      <protection locked="0"/>
    </xf>
    <xf numFmtId="0" fontId="108" fillId="0" borderId="20" xfId="0" applyFont="1" applyBorder="1" applyAlignment="1" applyProtection="1">
      <alignment horizontal="center" vertical="center"/>
      <protection locked="0"/>
    </xf>
    <xf numFmtId="0" fontId="4" fillId="97" borderId="20" xfId="0" applyFont="1" applyFill="1" applyBorder="1" applyAlignment="1">
      <alignment horizontal="center" vertical="center"/>
    </xf>
    <xf numFmtId="173" fontId="4" fillId="97" borderId="20" xfId="0" applyNumberFormat="1" applyFont="1" applyFill="1" applyBorder="1" applyAlignment="1">
      <alignment horizontal="center" vertical="center"/>
    </xf>
    <xf numFmtId="1" fontId="4" fillId="97" borderId="20" xfId="0" applyNumberFormat="1" applyFont="1" applyFill="1" applyBorder="1" applyAlignment="1">
      <alignment horizontal="center" vertical="center"/>
    </xf>
    <xf numFmtId="2" fontId="4" fillId="97" borderId="20" xfId="0" applyNumberFormat="1" applyFont="1" applyFill="1" applyBorder="1" applyAlignment="1">
      <alignment horizontal="center" vertical="center"/>
    </xf>
    <xf numFmtId="0" fontId="131" fillId="97" borderId="20" xfId="0" applyFont="1" applyFill="1" applyBorder="1" applyAlignment="1" applyProtection="1">
      <alignment horizontal="center" vertical="center"/>
      <protection locked="0"/>
    </xf>
    <xf numFmtId="1" fontId="98" fillId="0" borderId="20" xfId="0" applyNumberFormat="1" applyFont="1" applyBorder="1" applyAlignment="1">
      <alignment horizontal="center" vertical="center"/>
    </xf>
    <xf numFmtId="169" fontId="16" fillId="12" borderId="20" xfId="1099" applyNumberFormat="1" applyBorder="1" applyAlignment="1" applyProtection="1">
      <alignment horizontal="center" vertical="center"/>
      <protection locked="0"/>
    </xf>
    <xf numFmtId="49" fontId="16" fillId="12" borderId="20" xfId="1099" applyNumberFormat="1" applyBorder="1" applyAlignment="1" applyProtection="1">
      <alignment horizontal="center" vertical="center"/>
      <protection locked="0"/>
    </xf>
    <xf numFmtId="173" fontId="16" fillId="12" borderId="20" xfId="1099" applyNumberFormat="1" applyBorder="1" applyAlignment="1" applyProtection="1">
      <alignment horizontal="center" vertical="center"/>
      <protection locked="0"/>
    </xf>
    <xf numFmtId="1" fontId="16" fillId="12" borderId="20" xfId="1099" applyNumberFormat="1" applyBorder="1" applyAlignment="1">
      <alignment horizontal="center" vertical="center"/>
    </xf>
    <xf numFmtId="2" fontId="16" fillId="12" borderId="20" xfId="1099" applyNumberFormat="1" applyBorder="1" applyAlignment="1" applyProtection="1">
      <alignment horizontal="center" vertical="center"/>
      <protection locked="0"/>
    </xf>
    <xf numFmtId="0" fontId="16" fillId="12" borderId="20" xfId="1099" applyBorder="1" applyAlignment="1">
      <alignment horizontal="center" vertical="center"/>
    </xf>
    <xf numFmtId="0" fontId="16" fillId="12" borderId="20" xfId="1099" applyBorder="1" applyAlignment="1" applyProtection="1">
      <alignment horizontal="center" vertical="center"/>
      <protection locked="0"/>
    </xf>
    <xf numFmtId="2" fontId="16" fillId="12" borderId="20" xfId="1099" applyNumberFormat="1" applyBorder="1" applyAlignment="1">
      <alignment horizontal="center" vertical="center"/>
    </xf>
    <xf numFmtId="173" fontId="16" fillId="12" borderId="20" xfId="1099" applyNumberFormat="1" applyBorder="1" applyAlignment="1">
      <alignment horizontal="center" vertical="center"/>
    </xf>
    <xf numFmtId="0" fontId="16" fillId="12" borderId="0" xfId="1099" applyBorder="1" applyAlignment="1" applyProtection="1">
      <alignment horizontal="center" vertical="center"/>
      <protection locked="0"/>
    </xf>
    <xf numFmtId="14" fontId="16" fillId="12" borderId="20" xfId="1099" applyNumberFormat="1" applyBorder="1" applyAlignment="1">
      <alignment horizontal="center" vertical="center"/>
    </xf>
    <xf numFmtId="0" fontId="16" fillId="12" borderId="0" xfId="1099" applyAlignment="1">
      <alignment horizontal="center" vertical="center"/>
    </xf>
    <xf numFmtId="169" fontId="16" fillId="10" borderId="20" xfId="1100" applyNumberFormat="1" applyBorder="1" applyAlignment="1" applyProtection="1">
      <alignment horizontal="center" vertical="center"/>
      <protection locked="0"/>
    </xf>
    <xf numFmtId="49" fontId="16" fillId="10" borderId="20" xfId="1100" applyNumberFormat="1" applyBorder="1" applyAlignment="1" applyProtection="1">
      <alignment horizontal="center" vertical="center"/>
      <protection locked="0"/>
    </xf>
    <xf numFmtId="173" fontId="16" fillId="10" borderId="20" xfId="1100" applyNumberFormat="1" applyBorder="1" applyAlignment="1" applyProtection="1">
      <alignment horizontal="center" vertical="center"/>
      <protection locked="0"/>
    </xf>
    <xf numFmtId="1" fontId="16" fillId="10" borderId="20" xfId="1100" applyNumberFormat="1" applyBorder="1" applyAlignment="1">
      <alignment horizontal="center" vertical="center"/>
    </xf>
    <xf numFmtId="2" fontId="16" fillId="10" borderId="20" xfId="1100" applyNumberFormat="1" applyBorder="1" applyAlignment="1" applyProtection="1">
      <alignment horizontal="center" vertical="center"/>
      <protection locked="0"/>
    </xf>
    <xf numFmtId="0" fontId="16" fillId="10" borderId="20" xfId="1100" applyBorder="1" applyAlignment="1">
      <alignment horizontal="center" vertical="center"/>
    </xf>
    <xf numFmtId="0" fontId="16" fillId="10" borderId="20" xfId="1100" applyBorder="1" applyAlignment="1" applyProtection="1">
      <alignment horizontal="center" vertical="center"/>
      <protection locked="0"/>
    </xf>
    <xf numFmtId="2" fontId="16" fillId="10" borderId="20" xfId="1100" applyNumberFormat="1" applyBorder="1" applyAlignment="1">
      <alignment horizontal="center" vertical="center"/>
    </xf>
    <xf numFmtId="173" fontId="16" fillId="10" borderId="20" xfId="1100" applyNumberFormat="1" applyBorder="1" applyAlignment="1">
      <alignment horizontal="center" vertical="center"/>
    </xf>
    <xf numFmtId="0" fontId="16" fillId="10" borderId="0" xfId="1100" applyBorder="1" applyAlignment="1" applyProtection="1">
      <alignment horizontal="center" vertical="center"/>
      <protection locked="0"/>
    </xf>
    <xf numFmtId="14" fontId="16" fillId="10" borderId="20" xfId="1100" applyNumberFormat="1" applyBorder="1" applyAlignment="1">
      <alignment horizontal="center" vertical="center"/>
    </xf>
    <xf numFmtId="0" fontId="16" fillId="10" borderId="0" xfId="1100" applyAlignment="1">
      <alignment horizontal="center" vertical="center"/>
    </xf>
    <xf numFmtId="1" fontId="16" fillId="12" borderId="20" xfId="1099" applyNumberFormat="1" applyBorder="1" applyAlignment="1" applyProtection="1">
      <alignment horizontal="center" vertical="center"/>
      <protection locked="0"/>
    </xf>
    <xf numFmtId="1" fontId="16" fillId="12" borderId="20" xfId="1099" quotePrefix="1" applyNumberFormat="1" applyBorder="1" applyAlignment="1" applyProtection="1">
      <alignment horizontal="center" vertical="center"/>
      <protection locked="0"/>
    </xf>
    <xf numFmtId="169" fontId="16" fillId="12" borderId="20" xfId="1103" applyNumberFormat="1" applyBorder="1" applyAlignment="1" applyProtection="1">
      <alignment horizontal="center" vertical="center"/>
      <protection locked="0"/>
    </xf>
    <xf numFmtId="1" fontId="16" fillId="12" borderId="20" xfId="1103" quotePrefix="1" applyNumberFormat="1" applyBorder="1" applyAlignment="1" applyProtection="1">
      <alignment horizontal="center" vertical="center"/>
      <protection locked="0"/>
    </xf>
    <xf numFmtId="173" fontId="16" fillId="12" borderId="20" xfId="1103" applyNumberFormat="1" applyBorder="1" applyAlignment="1" applyProtection="1">
      <alignment horizontal="center" vertical="center"/>
      <protection locked="0"/>
    </xf>
    <xf numFmtId="1" fontId="16" fillId="12" borderId="20" xfId="1103" applyNumberFormat="1" applyBorder="1" applyAlignment="1">
      <alignment horizontal="center" vertical="center"/>
    </xf>
    <xf numFmtId="2" fontId="16" fillId="12" borderId="20" xfId="1103" applyNumberFormat="1" applyBorder="1" applyAlignment="1" applyProtection="1">
      <alignment horizontal="center" vertical="center"/>
      <protection locked="0"/>
    </xf>
    <xf numFmtId="0" fontId="16" fillId="12" borderId="20" xfId="1103" applyBorder="1" applyAlignment="1">
      <alignment horizontal="center" vertical="center"/>
    </xf>
    <xf numFmtId="0" fontId="16" fillId="12" borderId="20" xfId="1103" applyBorder="1" applyAlignment="1" applyProtection="1">
      <alignment horizontal="center" vertical="center"/>
      <protection locked="0"/>
    </xf>
    <xf numFmtId="2" fontId="16" fillId="12" borderId="20" xfId="1103" applyNumberFormat="1" applyBorder="1" applyAlignment="1">
      <alignment horizontal="center" vertical="center"/>
    </xf>
    <xf numFmtId="173" fontId="16" fillId="12" borderId="20" xfId="1103" applyNumberFormat="1" applyBorder="1" applyAlignment="1">
      <alignment horizontal="center" vertical="center"/>
    </xf>
    <xf numFmtId="0" fontId="16" fillId="12" borderId="0" xfId="1103" applyBorder="1" applyAlignment="1" applyProtection="1">
      <alignment horizontal="center" vertical="center"/>
      <protection locked="0"/>
    </xf>
    <xf numFmtId="14" fontId="16" fillId="12" borderId="20" xfId="1103" applyNumberFormat="1" applyBorder="1" applyAlignment="1">
      <alignment horizontal="center" vertical="center"/>
    </xf>
    <xf numFmtId="0" fontId="16" fillId="12" borderId="0" xfId="1103" applyAlignment="1">
      <alignment horizontal="center" vertical="center"/>
    </xf>
    <xf numFmtId="169" fontId="16" fillId="12" borderId="20" xfId="119" applyNumberFormat="1" applyBorder="1" applyAlignment="1" applyProtection="1">
      <alignment horizontal="center" vertical="center"/>
      <protection locked="0"/>
    </xf>
    <xf numFmtId="1" fontId="16" fillId="12" borderId="20" xfId="119" quotePrefix="1" applyNumberFormat="1" applyBorder="1" applyAlignment="1" applyProtection="1">
      <alignment horizontal="center" vertical="center"/>
      <protection locked="0"/>
    </xf>
    <xf numFmtId="173" fontId="16" fillId="12" borderId="20" xfId="119" applyNumberFormat="1" applyBorder="1" applyAlignment="1" applyProtection="1">
      <alignment horizontal="center" vertical="center"/>
      <protection locked="0"/>
    </xf>
    <xf numFmtId="1" fontId="16" fillId="12" borderId="20" xfId="119" applyNumberFormat="1" applyBorder="1" applyAlignment="1">
      <alignment horizontal="center" vertical="center"/>
    </xf>
    <xf numFmtId="2" fontId="16" fillId="12" borderId="20" xfId="119" applyNumberFormat="1" applyBorder="1" applyAlignment="1" applyProtection="1">
      <alignment horizontal="center" vertical="center"/>
      <protection locked="0"/>
    </xf>
    <xf numFmtId="0" fontId="16" fillId="12" borderId="20" xfId="119" applyBorder="1" applyAlignment="1">
      <alignment horizontal="center" vertical="center"/>
    </xf>
    <xf numFmtId="0" fontId="16" fillId="12" borderId="20" xfId="119" applyBorder="1" applyAlignment="1" applyProtection="1">
      <alignment horizontal="center" vertical="center"/>
      <protection locked="0"/>
    </xf>
    <xf numFmtId="2" fontId="16" fillId="12" borderId="20" xfId="119" applyNumberFormat="1" applyBorder="1" applyAlignment="1">
      <alignment horizontal="center" vertical="center"/>
    </xf>
    <xf numFmtId="173" fontId="16" fillId="12" borderId="20" xfId="119" applyNumberFormat="1" applyBorder="1" applyAlignment="1">
      <alignment horizontal="center" vertical="center"/>
    </xf>
    <xf numFmtId="0" fontId="16" fillId="12" borderId="0" xfId="119" applyBorder="1" applyAlignment="1" applyProtection="1">
      <alignment horizontal="center" vertical="center"/>
      <protection locked="0"/>
    </xf>
    <xf numFmtId="14" fontId="16" fillId="12" borderId="20" xfId="119" applyNumberFormat="1" applyBorder="1" applyAlignment="1">
      <alignment horizontal="center" vertical="center"/>
    </xf>
    <xf numFmtId="0" fontId="16" fillId="12" borderId="0" xfId="119" applyAlignment="1">
      <alignment horizontal="center" vertical="center"/>
    </xf>
    <xf numFmtId="49" fontId="16" fillId="12" borderId="20" xfId="1099" quotePrefix="1" applyNumberFormat="1" applyBorder="1" applyAlignment="1" applyProtection="1">
      <alignment horizontal="center" vertical="center"/>
      <protection locked="0"/>
    </xf>
    <xf numFmtId="49" fontId="16" fillId="12" borderId="20" xfId="1099" quotePrefix="1" applyNumberFormat="1" applyBorder="1" applyAlignment="1">
      <alignment horizontal="center" vertical="center"/>
    </xf>
    <xf numFmtId="3" fontId="16" fillId="12" borderId="20" xfId="1099" applyNumberFormat="1" applyBorder="1" applyAlignment="1" applyProtection="1">
      <alignment horizontal="center" vertical="center"/>
      <protection locked="0"/>
    </xf>
    <xf numFmtId="0" fontId="16" fillId="12" borderId="20" xfId="1099" applyNumberFormat="1" applyBorder="1" applyAlignment="1" applyProtection="1">
      <alignment horizontal="center" vertical="center"/>
      <protection locked="0"/>
    </xf>
    <xf numFmtId="0" fontId="16" fillId="13" borderId="20" xfId="1101" applyBorder="1" applyAlignment="1">
      <alignment horizontal="center" vertical="center"/>
    </xf>
    <xf numFmtId="49" fontId="16" fillId="13" borderId="20" xfId="1101" quotePrefix="1" applyNumberFormat="1" applyBorder="1" applyAlignment="1">
      <alignment horizontal="center" vertical="center"/>
    </xf>
    <xf numFmtId="173" fontId="16" fillId="13" borderId="20" xfId="1101" applyNumberFormat="1" applyBorder="1" applyAlignment="1" applyProtection="1">
      <alignment horizontal="center" vertical="center"/>
      <protection locked="0"/>
    </xf>
    <xf numFmtId="1" fontId="16" fillId="13" borderId="20" xfId="1101" applyNumberFormat="1" applyBorder="1" applyAlignment="1" applyProtection="1">
      <alignment horizontal="center" vertical="center"/>
      <protection locked="0"/>
    </xf>
    <xf numFmtId="2" fontId="16" fillId="13" borderId="20" xfId="1101" applyNumberFormat="1" applyBorder="1" applyAlignment="1" applyProtection="1">
      <alignment horizontal="center" vertical="center"/>
      <protection locked="0"/>
    </xf>
    <xf numFmtId="1" fontId="16" fillId="13" borderId="20" xfId="1101" applyNumberFormat="1" applyBorder="1" applyAlignment="1">
      <alignment horizontal="center" vertical="center"/>
    </xf>
    <xf numFmtId="0" fontId="16" fillId="13" borderId="20" xfId="1101" applyBorder="1" applyAlignment="1" applyProtection="1">
      <alignment horizontal="center" vertical="center"/>
      <protection locked="0"/>
    </xf>
    <xf numFmtId="0" fontId="16" fillId="13" borderId="144" xfId="1101" applyBorder="1" applyAlignment="1">
      <alignment horizontal="center" vertical="center" wrapText="1"/>
    </xf>
    <xf numFmtId="49" fontId="16" fillId="13" borderId="20" xfId="1101" applyNumberFormat="1" applyBorder="1" applyAlignment="1" applyProtection="1">
      <alignment horizontal="center" vertical="center"/>
      <protection locked="0"/>
    </xf>
    <xf numFmtId="2" fontId="16" fillId="13" borderId="20" xfId="1101" applyNumberFormat="1" applyBorder="1" applyAlignment="1">
      <alignment horizontal="center" vertical="center"/>
    </xf>
    <xf numFmtId="0" fontId="16" fillId="13" borderId="20" xfId="1101" applyNumberFormat="1" applyBorder="1" applyAlignment="1" applyProtection="1">
      <alignment horizontal="center" vertical="center"/>
      <protection locked="0"/>
    </xf>
    <xf numFmtId="0" fontId="16" fillId="13" borderId="0" xfId="1101" applyBorder="1" applyAlignment="1" applyProtection="1">
      <alignment horizontal="center" vertical="center"/>
      <protection locked="0"/>
    </xf>
    <xf numFmtId="14" fontId="16" fillId="13" borderId="20" xfId="1101" applyNumberFormat="1" applyBorder="1" applyAlignment="1">
      <alignment horizontal="center" vertical="center"/>
    </xf>
    <xf numFmtId="0" fontId="16" fillId="13" borderId="0" xfId="1101" applyAlignment="1">
      <alignment horizontal="center" vertical="center"/>
    </xf>
    <xf numFmtId="3" fontId="16" fillId="13" borderId="20" xfId="1101" applyNumberFormat="1" applyBorder="1" applyAlignment="1" applyProtection="1">
      <alignment horizontal="center" vertical="center"/>
      <protection locked="0"/>
    </xf>
    <xf numFmtId="169" fontId="16" fillId="13" borderId="20" xfId="1101" applyNumberFormat="1" applyBorder="1" applyAlignment="1" applyProtection="1">
      <alignment horizontal="center" vertical="center"/>
      <protection locked="0"/>
    </xf>
    <xf numFmtId="49" fontId="16" fillId="13" borderId="20" xfId="1101" quotePrefix="1" applyNumberFormat="1" applyBorder="1" applyAlignment="1" applyProtection="1">
      <alignment horizontal="center" vertical="center"/>
      <protection locked="0"/>
    </xf>
    <xf numFmtId="1" fontId="16" fillId="13" borderId="20" xfId="1101" quotePrefix="1" applyNumberFormat="1" applyBorder="1" applyAlignment="1" applyProtection="1">
      <alignment horizontal="center" vertical="center"/>
      <protection locked="0"/>
    </xf>
    <xf numFmtId="166" fontId="16" fillId="12" borderId="20" xfId="1099" applyNumberFormat="1" applyBorder="1" applyAlignment="1">
      <alignment horizontal="center" vertical="center"/>
    </xf>
    <xf numFmtId="0" fontId="16" fillId="12" borderId="20" xfId="1099" quotePrefix="1" applyBorder="1" applyAlignment="1">
      <alignment horizontal="center" vertical="center"/>
    </xf>
    <xf numFmtId="49" fontId="16" fillId="12" borderId="20" xfId="1099" applyNumberFormat="1" applyBorder="1" applyAlignment="1">
      <alignment horizontal="center" vertical="center"/>
    </xf>
    <xf numFmtId="0" fontId="16" fillId="12" borderId="20" xfId="1099" applyBorder="1" applyAlignment="1">
      <alignment horizontal="center" vertical="center" wrapText="1"/>
    </xf>
    <xf numFmtId="166" fontId="16" fillId="12" borderId="20" xfId="1099" applyNumberFormat="1" applyBorder="1" applyAlignment="1">
      <alignment horizontal="center" vertical="center" wrapText="1"/>
    </xf>
    <xf numFmtId="49" fontId="16" fillId="12" borderId="20" xfId="1099" applyNumberFormat="1" applyBorder="1" applyAlignment="1" applyProtection="1">
      <alignment horizontal="center" vertical="center" wrapText="1"/>
      <protection locked="0"/>
    </xf>
    <xf numFmtId="0" fontId="16" fillId="12" borderId="20" xfId="1099" applyBorder="1" applyAlignment="1" applyProtection="1">
      <alignment horizontal="center" vertical="center" wrapText="1"/>
      <protection locked="0"/>
    </xf>
    <xf numFmtId="49" fontId="16" fillId="12" borderId="104" xfId="1099" applyNumberFormat="1" applyBorder="1" applyAlignment="1" applyProtection="1">
      <alignment horizontal="center" vertical="center"/>
      <protection locked="0"/>
    </xf>
    <xf numFmtId="49" fontId="16" fillId="12" borderId="26" xfId="1099" applyNumberFormat="1" applyBorder="1" applyAlignment="1" applyProtection="1">
      <alignment horizontal="center" vertical="center"/>
      <protection locked="0"/>
    </xf>
    <xf numFmtId="2" fontId="16" fillId="12" borderId="103" xfId="1099" applyNumberFormat="1" applyBorder="1" applyAlignment="1" applyProtection="1">
      <alignment horizontal="center" vertical="center"/>
      <protection locked="0"/>
    </xf>
    <xf numFmtId="0" fontId="16" fillId="12" borderId="104" xfId="1099" applyBorder="1" applyAlignment="1">
      <alignment horizontal="center" vertical="center"/>
    </xf>
    <xf numFmtId="0" fontId="16" fillId="12" borderId="26" xfId="1099" applyBorder="1" applyAlignment="1" applyProtection="1">
      <alignment horizontal="center" vertical="center"/>
      <protection locked="0"/>
    </xf>
    <xf numFmtId="49" fontId="16" fillId="12" borderId="103" xfId="1099" applyNumberFormat="1" applyBorder="1" applyAlignment="1" applyProtection="1">
      <alignment horizontal="center" vertical="center"/>
      <protection locked="0"/>
    </xf>
    <xf numFmtId="0" fontId="16" fillId="12" borderId="104" xfId="1099" applyBorder="1" applyAlignment="1" applyProtection="1">
      <alignment horizontal="center" vertical="center"/>
      <protection locked="0"/>
    </xf>
    <xf numFmtId="3" fontId="16" fillId="12" borderId="26" xfId="1099" applyNumberFormat="1" applyBorder="1" applyAlignment="1" applyProtection="1">
      <alignment horizontal="center" vertical="center"/>
      <protection locked="0"/>
    </xf>
    <xf numFmtId="1" fontId="16" fillId="12" borderId="104" xfId="1099" applyNumberFormat="1" applyBorder="1" applyAlignment="1" applyProtection="1">
      <alignment horizontal="center" vertical="center"/>
      <protection locked="0"/>
    </xf>
    <xf numFmtId="1" fontId="16" fillId="12" borderId="26" xfId="1099" applyNumberFormat="1" applyBorder="1" applyAlignment="1" applyProtection="1">
      <alignment horizontal="center" vertical="center"/>
      <protection locked="0"/>
    </xf>
    <xf numFmtId="166" fontId="16" fillId="12" borderId="104" xfId="1099" applyNumberFormat="1" applyBorder="1" applyAlignment="1">
      <alignment horizontal="center" vertical="center"/>
    </xf>
    <xf numFmtId="2" fontId="16" fillId="12" borderId="104" xfId="1099" applyNumberFormat="1" applyBorder="1" applyAlignment="1">
      <alignment horizontal="center" vertical="center"/>
    </xf>
    <xf numFmtId="0" fontId="16" fillId="12" borderId="104" xfId="1099" applyBorder="1" applyAlignment="1">
      <alignment horizontal="center" vertical="center" wrapText="1"/>
    </xf>
    <xf numFmtId="1" fontId="16" fillId="12" borderId="104" xfId="1099" applyNumberFormat="1" applyBorder="1" applyAlignment="1">
      <alignment horizontal="center" vertical="center"/>
    </xf>
    <xf numFmtId="0" fontId="16" fillId="12" borderId="26" xfId="1099" applyBorder="1" applyAlignment="1">
      <alignment horizontal="center" vertical="center"/>
    </xf>
    <xf numFmtId="14" fontId="0" fillId="0" borderId="20" xfId="0" quotePrefix="1" applyNumberFormat="1" applyBorder="1" applyAlignment="1">
      <alignment horizontal="center" vertical="center"/>
    </xf>
    <xf numFmtId="0" fontId="58" fillId="103" borderId="35" xfId="0" applyFont="1" applyFill="1" applyBorder="1" applyAlignment="1">
      <alignment horizontal="center" vertical="center"/>
    </xf>
    <xf numFmtId="0" fontId="58" fillId="103" borderId="61" xfId="0" applyFont="1" applyFill="1" applyBorder="1" applyAlignment="1">
      <alignment horizontal="center" vertical="center"/>
    </xf>
    <xf numFmtId="0" fontId="58" fillId="103" borderId="62" xfId="0" applyFont="1" applyFill="1" applyBorder="1" applyAlignment="1">
      <alignment horizontal="center" vertical="center"/>
    </xf>
    <xf numFmtId="0" fontId="0" fillId="0" borderId="37" xfId="0" applyBorder="1"/>
    <xf numFmtId="14" fontId="0" fillId="0" borderId="31" xfId="0" applyNumberFormat="1" applyBorder="1" applyAlignment="1">
      <alignment horizontal="center" vertical="center"/>
    </xf>
    <xf numFmtId="0" fontId="4" fillId="0" borderId="31" xfId="0" applyFont="1" applyBorder="1" applyAlignment="1">
      <alignment horizontal="left" vertical="center"/>
    </xf>
    <xf numFmtId="0" fontId="132" fillId="12" borderId="20" xfId="1099" applyFont="1" applyBorder="1" applyAlignment="1" applyProtection="1">
      <alignment horizontal="center" vertical="center"/>
      <protection locked="0"/>
    </xf>
    <xf numFmtId="0" fontId="132" fillId="12" borderId="26" xfId="1099" applyFont="1" applyBorder="1" applyAlignment="1" applyProtection="1">
      <alignment horizontal="center" vertical="center"/>
      <protection locked="0"/>
    </xf>
    <xf numFmtId="0" fontId="4" fillId="106" borderId="20" xfId="0" quotePrefix="1" applyFont="1" applyFill="1" applyBorder="1" applyAlignment="1">
      <alignment horizontal="center" vertical="center"/>
    </xf>
    <xf numFmtId="0" fontId="4" fillId="0" borderId="58" xfId="0" applyFont="1" applyBorder="1" applyAlignment="1">
      <alignment horizontal="center" vertical="center"/>
    </xf>
    <xf numFmtId="14" fontId="0" fillId="0" borderId="29" xfId="0" applyNumberFormat="1" applyBorder="1" applyAlignment="1">
      <alignment horizontal="center" vertical="center"/>
    </xf>
    <xf numFmtId="14" fontId="0" fillId="0" borderId="20" xfId="0" applyNumberFormat="1" applyBorder="1" applyAlignment="1">
      <alignment horizontal="center" vertical="center"/>
    </xf>
    <xf numFmtId="0" fontId="0" fillId="0" borderId="37" xfId="0" applyBorder="1" applyAlignment="1">
      <alignment horizontal="center" vertical="center"/>
    </xf>
    <xf numFmtId="0" fontId="0" fillId="0" borderId="58" xfId="0" applyBorder="1" applyAlignment="1">
      <alignment horizontal="center" vertical="center"/>
    </xf>
    <xf numFmtId="0" fontId="131" fillId="53" borderId="20" xfId="0" applyFont="1" applyFill="1" applyBorder="1" applyAlignment="1" applyProtection="1">
      <alignment horizontal="center" vertical="center"/>
      <protection locked="0"/>
    </xf>
    <xf numFmtId="0" fontId="109" fillId="53" borderId="114" xfId="0" applyFont="1" applyFill="1" applyBorder="1" applyAlignment="1" applyProtection="1">
      <alignment horizontal="center" vertical="center"/>
      <protection locked="0"/>
    </xf>
    <xf numFmtId="0" fontId="133" fillId="0" borderId="20" xfId="0" applyFont="1" applyBorder="1" applyAlignment="1" applyProtection="1">
      <alignment horizontal="center" vertical="center"/>
      <protection locked="0"/>
    </xf>
    <xf numFmtId="0" fontId="133" fillId="0" borderId="20" xfId="0" applyFont="1" applyBorder="1" applyAlignment="1">
      <alignment horizontal="center" vertical="center"/>
    </xf>
    <xf numFmtId="0" fontId="133" fillId="0" borderId="114" xfId="0" applyFont="1" applyBorder="1" applyAlignment="1" applyProtection="1">
      <alignment horizontal="center" vertical="center"/>
      <protection locked="0"/>
    </xf>
    <xf numFmtId="0" fontId="133" fillId="46" borderId="20" xfId="0" applyFont="1" applyFill="1" applyBorder="1" applyAlignment="1" applyProtection="1">
      <alignment horizontal="center" vertical="center"/>
      <protection locked="0"/>
    </xf>
    <xf numFmtId="0" fontId="133" fillId="46" borderId="20" xfId="0" applyFont="1" applyFill="1" applyBorder="1" applyAlignment="1">
      <alignment horizontal="center" vertical="center"/>
    </xf>
    <xf numFmtId="14" fontId="0" fillId="0" borderId="0" xfId="0" applyNumberFormat="1" applyAlignment="1">
      <alignment horizontal="center" vertical="center"/>
    </xf>
    <xf numFmtId="0" fontId="4" fillId="0" borderId="0" xfId="0" applyFont="1" applyAlignment="1">
      <alignment horizontal="left" vertical="center"/>
    </xf>
    <xf numFmtId="0" fontId="0" fillId="0" borderId="38" xfId="0" applyBorder="1" applyAlignment="1">
      <alignment horizontal="center" vertical="center"/>
    </xf>
    <xf numFmtId="0" fontId="0" fillId="0" borderId="63" xfId="0" applyBorder="1" applyAlignment="1">
      <alignment horizontal="center" vertical="center"/>
    </xf>
    <xf numFmtId="0" fontId="109" fillId="98" borderId="20" xfId="0" applyFont="1" applyFill="1" applyBorder="1" applyAlignment="1" applyProtection="1">
      <alignment horizontal="center" vertical="center"/>
      <protection locked="0"/>
    </xf>
    <xf numFmtId="0" fontId="109" fillId="121" borderId="20" xfId="0" applyFont="1" applyFill="1" applyBorder="1" applyAlignment="1" applyProtection="1">
      <alignment horizontal="center" vertical="center"/>
      <protection locked="0"/>
    </xf>
    <xf numFmtId="0" fontId="107" fillId="0" borderId="20" xfId="0" applyFont="1" applyBorder="1" applyAlignment="1">
      <alignment horizontal="center" vertical="center"/>
    </xf>
    <xf numFmtId="49" fontId="107" fillId="61" borderId="20" xfId="0" applyNumberFormat="1" applyFont="1" applyFill="1" applyBorder="1" applyAlignment="1" applyProtection="1">
      <alignment horizontal="center" vertical="center"/>
      <protection locked="0"/>
    </xf>
    <xf numFmtId="0" fontId="107" fillId="61" borderId="20" xfId="0" applyFont="1" applyFill="1" applyBorder="1" applyAlignment="1">
      <alignment horizontal="center" vertical="center"/>
    </xf>
    <xf numFmtId="0" fontId="110" fillId="61" borderId="20" xfId="0" applyFont="1" applyFill="1" applyBorder="1" applyAlignment="1">
      <alignment horizontal="center" vertical="center"/>
    </xf>
    <xf numFmtId="0" fontId="110" fillId="61" borderId="20" xfId="0" applyFont="1" applyFill="1" applyBorder="1" applyAlignment="1" applyProtection="1">
      <alignment horizontal="center" vertical="center"/>
      <protection locked="0"/>
    </xf>
    <xf numFmtId="49" fontId="107" fillId="64" borderId="20" xfId="0" applyNumberFormat="1" applyFont="1" applyFill="1" applyBorder="1" applyAlignment="1" applyProtection="1">
      <alignment horizontal="center" vertical="center"/>
      <protection locked="0"/>
    </xf>
    <xf numFmtId="0" fontId="88" fillId="64" borderId="20" xfId="0" applyFont="1" applyFill="1" applyBorder="1" applyAlignment="1" applyProtection="1">
      <alignment horizontal="center" vertical="center"/>
      <protection locked="0"/>
    </xf>
    <xf numFmtId="169" fontId="16" fillId="0" borderId="20" xfId="1099" applyNumberFormat="1" applyFill="1" applyBorder="1" applyAlignment="1" applyProtection="1">
      <alignment horizontal="center" vertical="center"/>
      <protection locked="0"/>
    </xf>
    <xf numFmtId="0" fontId="16" fillId="0" borderId="20" xfId="1099" applyFill="1" applyBorder="1" applyAlignment="1">
      <alignment horizontal="center" vertical="center"/>
    </xf>
    <xf numFmtId="173" fontId="16" fillId="0" borderId="20" xfId="1099" applyNumberFormat="1" applyFill="1" applyBorder="1" applyAlignment="1" applyProtection="1">
      <alignment horizontal="center" vertical="center"/>
      <protection locked="0"/>
    </xf>
    <xf numFmtId="0" fontId="16" fillId="0" borderId="20" xfId="1099" applyFill="1" applyBorder="1" applyAlignment="1" applyProtection="1">
      <alignment horizontal="center" vertical="center"/>
      <protection locked="0"/>
    </xf>
    <xf numFmtId="1" fontId="16" fillId="0" borderId="20" xfId="1099" applyNumberFormat="1" applyFill="1" applyBorder="1" applyAlignment="1" applyProtection="1">
      <alignment horizontal="center" vertical="center"/>
      <protection locked="0"/>
    </xf>
    <xf numFmtId="2" fontId="16" fillId="0" borderId="20" xfId="1099" applyNumberFormat="1" applyFill="1" applyBorder="1" applyAlignment="1">
      <alignment horizontal="center" vertical="center"/>
    </xf>
    <xf numFmtId="1" fontId="16" fillId="0" borderId="20" xfId="1099" applyNumberFormat="1" applyFill="1" applyBorder="1" applyAlignment="1">
      <alignment horizontal="center" vertical="center"/>
    </xf>
    <xf numFmtId="2" fontId="16" fillId="0" borderId="20" xfId="1099" applyNumberFormat="1" applyFill="1" applyBorder="1" applyAlignment="1" applyProtection="1">
      <alignment horizontal="center" vertical="center"/>
      <protection locked="0"/>
    </xf>
    <xf numFmtId="0" fontId="134" fillId="0" borderId="20" xfId="1099" applyFont="1" applyFill="1" applyBorder="1" applyAlignment="1">
      <alignment horizontal="center" vertical="center"/>
    </xf>
    <xf numFmtId="0" fontId="110" fillId="0" borderId="20" xfId="0" applyFont="1" applyBorder="1" applyAlignment="1">
      <alignment horizontal="center" vertical="center"/>
    </xf>
    <xf numFmtId="0" fontId="110" fillId="0" borderId="20" xfId="0" applyFont="1" applyBorder="1" applyAlignment="1" applyProtection="1">
      <alignment horizontal="center" vertical="center"/>
      <protection locked="0"/>
    </xf>
    <xf numFmtId="0" fontId="135" fillId="0" borderId="20" xfId="1099" applyFont="1" applyFill="1" applyBorder="1" applyAlignment="1" applyProtection="1">
      <alignment horizontal="center" vertical="center"/>
      <protection locked="0"/>
    </xf>
    <xf numFmtId="0" fontId="16" fillId="61" borderId="20" xfId="1099" applyFill="1" applyBorder="1" applyAlignment="1">
      <alignment horizontal="center" vertical="center"/>
    </xf>
    <xf numFmtId="0" fontId="134" fillId="61" borderId="20" xfId="1099" applyFont="1" applyFill="1" applyBorder="1" applyAlignment="1">
      <alignment horizontal="center" vertical="center"/>
    </xf>
    <xf numFmtId="173" fontId="16" fillId="61" borderId="20" xfId="1099" applyNumberFormat="1" applyFill="1" applyBorder="1" applyAlignment="1">
      <alignment horizontal="center" vertical="center"/>
    </xf>
    <xf numFmtId="1" fontId="16" fillId="61" borderId="20" xfId="1099" applyNumberFormat="1" applyFill="1" applyBorder="1" applyAlignment="1">
      <alignment horizontal="center" vertical="center"/>
    </xf>
    <xf numFmtId="2" fontId="16" fillId="61" borderId="20" xfId="1099" applyNumberFormat="1" applyFill="1" applyBorder="1" applyAlignment="1">
      <alignment horizontal="center" vertical="center"/>
    </xf>
    <xf numFmtId="0" fontId="16" fillId="61" borderId="20" xfId="1099" applyFill="1" applyBorder="1" applyAlignment="1" applyProtection="1">
      <alignment horizontal="center" vertical="center"/>
      <protection locked="0"/>
    </xf>
    <xf numFmtId="0" fontId="135" fillId="61" borderId="20" xfId="1099" applyFont="1" applyFill="1" applyBorder="1" applyAlignment="1">
      <alignment horizontal="center" vertical="center"/>
    </xf>
    <xf numFmtId="2" fontId="16" fillId="61" borderId="20" xfId="1099" applyNumberFormat="1" applyFill="1" applyBorder="1" applyAlignment="1" applyProtection="1">
      <alignment horizontal="center" vertical="center"/>
      <protection locked="0"/>
    </xf>
    <xf numFmtId="0" fontId="107" fillId="64" borderId="20" xfId="0" applyFont="1" applyFill="1" applyBorder="1" applyAlignment="1">
      <alignment horizontal="center" vertical="center"/>
    </xf>
    <xf numFmtId="2" fontId="98" fillId="0" borderId="0" xfId="0" applyNumberFormat="1" applyFont="1" applyAlignment="1" applyProtection="1">
      <alignment horizontal="center" vertical="center"/>
      <protection locked="0"/>
    </xf>
    <xf numFmtId="14" fontId="0" fillId="0" borderId="125" xfId="0" applyNumberFormat="1" applyBorder="1" applyAlignment="1">
      <alignment horizontal="center" vertical="center"/>
    </xf>
    <xf numFmtId="14" fontId="0" fillId="0" borderId="114" xfId="0" applyNumberFormat="1" applyBorder="1" applyAlignment="1">
      <alignment horizontal="center" vertical="center"/>
    </xf>
    <xf numFmtId="0" fontId="0" fillId="0" borderId="147" xfId="0" applyBorder="1" applyAlignment="1">
      <alignment horizontal="center" vertical="center"/>
    </xf>
    <xf numFmtId="0" fontId="0" fillId="0" borderId="149" xfId="0" applyBorder="1" applyAlignment="1">
      <alignment horizontal="center" vertical="center"/>
    </xf>
    <xf numFmtId="0" fontId="0" fillId="0" borderId="148" xfId="0" applyBorder="1" applyAlignment="1">
      <alignment horizontal="center" vertical="center"/>
    </xf>
    <xf numFmtId="14" fontId="4" fillId="0" borderId="125" xfId="0" applyNumberFormat="1" applyFont="1" applyBorder="1" applyAlignment="1">
      <alignment horizontal="center" vertical="center"/>
    </xf>
    <xf numFmtId="14" fontId="4" fillId="0" borderId="114" xfId="0" applyNumberFormat="1" applyFont="1" applyBorder="1" applyAlignment="1">
      <alignment horizontal="center" vertical="center"/>
    </xf>
    <xf numFmtId="0" fontId="0" fillId="0" borderId="145" xfId="0" applyBorder="1" applyAlignment="1">
      <alignment horizontal="center" vertical="center"/>
    </xf>
    <xf numFmtId="0" fontId="0" fillId="0" borderId="127" xfId="0" applyBorder="1" applyAlignment="1">
      <alignment horizontal="center" vertical="center"/>
    </xf>
    <xf numFmtId="0" fontId="0" fillId="0" borderId="146" xfId="0" applyBorder="1" applyAlignment="1">
      <alignment horizontal="center" vertical="center"/>
    </xf>
    <xf numFmtId="0" fontId="4" fillId="0" borderId="147" xfId="0" applyFont="1" applyBorder="1" applyAlignment="1">
      <alignment horizontal="center" vertical="center"/>
    </xf>
    <xf numFmtId="0" fontId="4" fillId="0" borderId="149" xfId="0" applyFont="1" applyBorder="1" applyAlignment="1">
      <alignment horizontal="center" vertical="center"/>
    </xf>
    <xf numFmtId="0" fontId="4" fillId="0" borderId="148" xfId="0" applyFont="1" applyBorder="1" applyAlignment="1">
      <alignment horizontal="center" vertical="center"/>
    </xf>
    <xf numFmtId="14" fontId="0" fillId="0" borderId="23" xfId="0" applyNumberFormat="1" applyBorder="1" applyAlignment="1">
      <alignment horizontal="center" vertical="center"/>
    </xf>
    <xf numFmtId="14" fontId="0" fillId="0" borderId="20" xfId="0" applyNumberFormat="1" applyBorder="1" applyAlignment="1">
      <alignment horizontal="center" vertical="center"/>
    </xf>
    <xf numFmtId="0" fontId="4" fillId="0" borderId="58" xfId="0" applyFont="1" applyBorder="1" applyAlignment="1">
      <alignment horizontal="center" vertical="center"/>
    </xf>
    <xf numFmtId="0" fontId="0" fillId="0" borderId="37" xfId="0" applyBorder="1" applyAlignment="1">
      <alignment horizontal="center" vertical="center"/>
    </xf>
    <xf numFmtId="14" fontId="0" fillId="0" borderId="132" xfId="0" applyNumberFormat="1" applyBorder="1" applyAlignment="1">
      <alignment horizontal="center" vertical="center"/>
    </xf>
    <xf numFmtId="14" fontId="0" fillId="0" borderId="111" xfId="0" applyNumberFormat="1" applyBorder="1" applyAlignment="1">
      <alignment horizontal="center" vertical="center"/>
    </xf>
    <xf numFmtId="14" fontId="0" fillId="0" borderId="29" xfId="0" applyNumberFormat="1" applyBorder="1" applyAlignment="1">
      <alignment horizontal="center" vertical="center"/>
    </xf>
    <xf numFmtId="0" fontId="0" fillId="0" borderId="58" xfId="0" applyBorder="1" applyAlignment="1">
      <alignment horizontal="center" vertical="center"/>
    </xf>
    <xf numFmtId="14" fontId="0" fillId="0" borderId="58" xfId="0" quotePrefix="1" applyNumberFormat="1" applyBorder="1" applyAlignment="1">
      <alignment horizontal="center" vertical="center"/>
    </xf>
    <xf numFmtId="14" fontId="0" fillId="0" borderId="58" xfId="0" applyNumberFormat="1" applyBorder="1" applyAlignment="1">
      <alignment horizontal="center" vertical="center"/>
    </xf>
    <xf numFmtId="0" fontId="127" fillId="103" borderId="17" xfId="0" applyFont="1" applyFill="1" applyBorder="1" applyAlignment="1">
      <alignment horizontal="center" vertical="center"/>
    </xf>
    <xf numFmtId="0" fontId="5" fillId="97" borderId="20" xfId="0" applyFont="1" applyFill="1" applyBorder="1" applyAlignment="1">
      <alignment horizontal="center" vertical="center" wrapText="1"/>
    </xf>
    <xf numFmtId="2" fontId="5" fillId="97" borderId="20" xfId="0" applyNumberFormat="1" applyFont="1" applyFill="1" applyBorder="1" applyAlignment="1">
      <alignment horizontal="center" vertical="center" wrapText="1"/>
    </xf>
    <xf numFmtId="0" fontId="6" fillId="56" borderId="20" xfId="0" applyFont="1" applyFill="1" applyBorder="1" applyAlignment="1">
      <alignment horizontal="center" vertical="center"/>
    </xf>
    <xf numFmtId="0" fontId="5" fillId="95" borderId="20" xfId="0" applyFont="1" applyFill="1" applyBorder="1" applyAlignment="1">
      <alignment horizontal="center" vertical="center" wrapText="1"/>
    </xf>
    <xf numFmtId="2" fontId="5" fillId="95" borderId="20" xfId="0" applyNumberFormat="1" applyFont="1" applyFill="1" applyBorder="1" applyAlignment="1">
      <alignment horizontal="center" vertical="center" wrapText="1"/>
    </xf>
    <xf numFmtId="0" fontId="6" fillId="61" borderId="20" xfId="0" applyFont="1" applyFill="1" applyBorder="1" applyAlignment="1">
      <alignment horizontal="center" vertical="center"/>
    </xf>
    <xf numFmtId="0" fontId="5" fillId="105" borderId="20" xfId="0" applyFont="1" applyFill="1" applyBorder="1" applyAlignment="1">
      <alignment horizontal="center" vertical="center" wrapText="1"/>
    </xf>
    <xf numFmtId="0" fontId="6" fillId="104" borderId="20" xfId="0" applyFont="1" applyFill="1" applyBorder="1" applyAlignment="1">
      <alignment horizontal="center" vertical="center"/>
    </xf>
    <xf numFmtId="2" fontId="5" fillId="105" borderId="20" xfId="0" applyNumberFormat="1" applyFont="1" applyFill="1" applyBorder="1" applyAlignment="1">
      <alignment horizontal="center" vertical="center" wrapText="1"/>
    </xf>
    <xf numFmtId="0" fontId="127" fillId="103" borderId="110" xfId="0" applyFont="1" applyFill="1" applyBorder="1" applyAlignment="1">
      <alignment horizontal="center" vertical="center"/>
    </xf>
    <xf numFmtId="0" fontId="5" fillId="104" borderId="20" xfId="0" applyFont="1" applyFill="1" applyBorder="1" applyAlignment="1">
      <alignment horizontal="center" vertical="center" wrapText="1"/>
    </xf>
    <xf numFmtId="2" fontId="5" fillId="104" borderId="20" xfId="0" applyNumberFormat="1" applyFont="1" applyFill="1" applyBorder="1" applyAlignment="1">
      <alignment horizontal="center" vertical="center" wrapText="1"/>
    </xf>
    <xf numFmtId="0" fontId="6" fillId="42" borderId="20" xfId="0" applyFont="1" applyFill="1" applyBorder="1" applyAlignment="1">
      <alignment horizontal="center" vertical="center"/>
    </xf>
    <xf numFmtId="0" fontId="5" fillId="45" borderId="20" xfId="0" applyFont="1" applyFill="1" applyBorder="1" applyAlignment="1">
      <alignment horizontal="center" vertical="center" wrapText="1"/>
    </xf>
    <xf numFmtId="2" fontId="5" fillId="45" borderId="20" xfId="0" applyNumberFormat="1" applyFont="1" applyFill="1" applyBorder="1" applyAlignment="1">
      <alignment horizontal="center" vertical="center" wrapText="1"/>
    </xf>
    <xf numFmtId="0" fontId="6" fillId="51" borderId="20" xfId="0" applyFont="1" applyFill="1" applyBorder="1" applyAlignment="1">
      <alignment horizontal="center" vertical="center"/>
    </xf>
    <xf numFmtId="0" fontId="127" fillId="103" borderId="17" xfId="0" applyFont="1" applyFill="1" applyBorder="1" applyAlignment="1" applyProtection="1">
      <alignment horizontal="center" vertical="center"/>
      <protection locked="0"/>
    </xf>
    <xf numFmtId="0" fontId="6" fillId="100" borderId="20" xfId="0" applyFont="1" applyFill="1" applyBorder="1" applyAlignment="1" applyProtection="1">
      <alignment horizontal="center" vertical="center"/>
      <protection locked="0"/>
    </xf>
    <xf numFmtId="0" fontId="4" fillId="0" borderId="0" xfId="0" applyFont="1" applyAlignment="1" applyProtection="1">
      <alignment horizontal="center" vertical="center"/>
      <protection locked="0"/>
    </xf>
    <xf numFmtId="0" fontId="5" fillId="30" borderId="20" xfId="0" applyFont="1" applyFill="1" applyBorder="1" applyAlignment="1" applyProtection="1">
      <alignment horizontal="center" vertical="center" wrapText="1"/>
      <protection locked="0"/>
    </xf>
    <xf numFmtId="0" fontId="5" fillId="99" borderId="20" xfId="0" applyFont="1" applyFill="1" applyBorder="1" applyAlignment="1" applyProtection="1">
      <alignment horizontal="center" vertical="center" wrapText="1"/>
      <protection locked="0"/>
    </xf>
    <xf numFmtId="0" fontId="6" fillId="100" borderId="20" xfId="0" applyFont="1" applyFill="1" applyBorder="1" applyAlignment="1">
      <alignment horizontal="center" vertical="center"/>
    </xf>
    <xf numFmtId="0" fontId="5" fillId="0" borderId="20" xfId="0" applyFont="1" applyBorder="1" applyAlignment="1">
      <alignment horizontal="center" vertical="center"/>
    </xf>
    <xf numFmtId="0" fontId="5" fillId="99" borderId="20" xfId="0" applyFont="1" applyFill="1" applyBorder="1" applyAlignment="1">
      <alignment horizontal="center" vertical="center" wrapText="1"/>
    </xf>
    <xf numFmtId="0" fontId="5" fillId="50" borderId="20" xfId="0" applyFont="1" applyFill="1" applyBorder="1" applyAlignment="1">
      <alignment horizontal="center" vertical="center" wrapText="1"/>
    </xf>
    <xf numFmtId="2" fontId="5" fillId="50" borderId="20" xfId="0" applyNumberFormat="1" applyFont="1" applyFill="1" applyBorder="1" applyAlignment="1">
      <alignment horizontal="center" vertical="center" wrapText="1"/>
    </xf>
    <xf numFmtId="0" fontId="6" fillId="49" borderId="20" xfId="0" applyFont="1" applyFill="1" applyBorder="1" applyAlignment="1">
      <alignment horizontal="center" vertical="center"/>
    </xf>
    <xf numFmtId="0" fontId="65" fillId="36" borderId="25" xfId="677" applyFont="1" applyFill="1" applyBorder="1" applyAlignment="1">
      <alignment horizontal="center" vertical="center" wrapText="1"/>
    </xf>
    <xf numFmtId="0" fontId="65" fillId="36" borderId="24" xfId="677" applyFont="1" applyFill="1" applyBorder="1" applyAlignment="1">
      <alignment horizontal="center" vertical="center" wrapText="1"/>
    </xf>
    <xf numFmtId="0" fontId="65" fillId="36" borderId="105" xfId="677" applyFont="1" applyFill="1" applyBorder="1" applyAlignment="1">
      <alignment horizontal="center" vertical="center" wrapText="1"/>
    </xf>
    <xf numFmtId="0" fontId="74" fillId="34" borderId="22" xfId="677" applyFont="1" applyFill="1" applyBorder="1" applyAlignment="1">
      <alignment horizontal="center" vertical="center" wrapText="1"/>
    </xf>
    <xf numFmtId="0" fontId="74" fillId="34" borderId="23" xfId="677" applyFont="1" applyFill="1" applyBorder="1" applyAlignment="1">
      <alignment horizontal="center" vertical="center" wrapText="1"/>
    </xf>
    <xf numFmtId="0" fontId="74" fillId="34" borderId="30" xfId="677" applyFont="1" applyFill="1" applyBorder="1" applyAlignment="1">
      <alignment horizontal="center" vertical="center" wrapText="1"/>
    </xf>
    <xf numFmtId="0" fontId="89" fillId="59" borderId="59" xfId="677" applyFont="1" applyFill="1" applyBorder="1" applyAlignment="1">
      <alignment horizontal="center" vertical="center" wrapText="1"/>
    </xf>
    <xf numFmtId="0" fontId="89" fillId="59" borderId="23" xfId="677" applyFont="1" applyFill="1" applyBorder="1" applyAlignment="1">
      <alignment horizontal="center" vertical="center" wrapText="1"/>
    </xf>
    <xf numFmtId="0" fontId="62" fillId="34" borderId="23" xfId="677" applyFont="1" applyFill="1" applyBorder="1" applyAlignment="1">
      <alignment horizontal="center" vertical="center" wrapText="1"/>
    </xf>
    <xf numFmtId="0" fontId="62" fillId="34" borderId="60" xfId="677" applyFont="1" applyFill="1" applyBorder="1" applyAlignment="1">
      <alignment horizontal="center" vertical="center" wrapText="1"/>
    </xf>
    <xf numFmtId="0" fontId="80" fillId="114" borderId="100" xfId="0" applyFont="1" applyFill="1" applyBorder="1" applyAlignment="1">
      <alignment horizontal="center" vertical="center"/>
    </xf>
    <xf numFmtId="0" fontId="80" fillId="114" borderId="20" xfId="0" applyFont="1" applyFill="1" applyBorder="1" applyAlignment="1">
      <alignment horizontal="center" vertical="center"/>
    </xf>
    <xf numFmtId="0" fontId="80" fillId="114" borderId="100" xfId="0" applyFont="1" applyFill="1" applyBorder="1" applyAlignment="1">
      <alignment horizontal="center" vertical="center" wrapText="1"/>
    </xf>
    <xf numFmtId="0" fontId="80" fillId="114" borderId="20" xfId="0" applyFont="1" applyFill="1" applyBorder="1" applyAlignment="1">
      <alignment horizontal="center" vertical="center" wrapText="1"/>
    </xf>
    <xf numFmtId="0" fontId="80" fillId="114" borderId="100" xfId="0" applyFont="1" applyFill="1" applyBorder="1" applyAlignment="1">
      <alignment horizontal="justify" vertical="center" wrapText="1"/>
    </xf>
    <xf numFmtId="0" fontId="80" fillId="114" borderId="20" xfId="0" applyFont="1" applyFill="1" applyBorder="1" applyAlignment="1">
      <alignment horizontal="justify" vertical="center" wrapText="1"/>
    </xf>
    <xf numFmtId="0" fontId="5" fillId="106" borderId="34" xfId="0" applyFont="1" applyFill="1" applyBorder="1" applyAlignment="1">
      <alignment horizontal="center" vertical="center"/>
    </xf>
    <xf numFmtId="0" fontId="5" fillId="106" borderId="14" xfId="0" applyFont="1" applyFill="1" applyBorder="1" applyAlignment="1">
      <alignment horizontal="center" vertical="center"/>
    </xf>
    <xf numFmtId="0" fontId="5" fillId="106" borderId="39" xfId="0" applyFont="1" applyFill="1" applyBorder="1" applyAlignment="1">
      <alignment horizontal="center" vertical="center"/>
    </xf>
    <xf numFmtId="0" fontId="80" fillId="0" borderId="126" xfId="0" applyFont="1" applyBorder="1" applyAlignment="1">
      <alignment horizontal="center" vertical="center"/>
    </xf>
    <xf numFmtId="0" fontId="80" fillId="0" borderId="127" xfId="0" applyFont="1" applyBorder="1" applyAlignment="1">
      <alignment horizontal="center" vertical="center"/>
    </xf>
    <xf numFmtId="0" fontId="80" fillId="0" borderId="128" xfId="0" applyFont="1" applyBorder="1" applyAlignment="1">
      <alignment horizontal="center" vertical="center"/>
    </xf>
    <xf numFmtId="0" fontId="0" fillId="0" borderId="22" xfId="0" applyBorder="1" applyAlignment="1">
      <alignment horizontal="center" vertical="center"/>
    </xf>
    <xf numFmtId="0" fontId="0" fillId="0" borderId="100" xfId="0" applyBorder="1" applyAlignment="1">
      <alignment horizontal="center" vertical="center"/>
    </xf>
    <xf numFmtId="0" fontId="80" fillId="0" borderId="36" xfId="0" applyFont="1" applyBorder="1" applyAlignment="1">
      <alignment horizontal="center" vertical="center"/>
    </xf>
    <xf numFmtId="0" fontId="80" fillId="0" borderId="104" xfId="0" applyFont="1" applyBorder="1" applyAlignment="1">
      <alignment horizontal="center" vertical="center"/>
    </xf>
    <xf numFmtId="0" fontId="80" fillId="0" borderId="15" xfId="0" applyFont="1" applyBorder="1" applyAlignment="1">
      <alignment horizontal="center" vertical="center"/>
    </xf>
    <xf numFmtId="0" fontId="80" fillId="0" borderId="130" xfId="0" applyFont="1" applyBorder="1" applyAlignment="1">
      <alignment horizontal="center" vertical="center"/>
    </xf>
    <xf numFmtId="0" fontId="80" fillId="0" borderId="19" xfId="0" applyFont="1" applyBorder="1" applyAlignment="1">
      <alignment horizontal="center" vertical="center"/>
    </xf>
    <xf numFmtId="0" fontId="80" fillId="0" borderId="67" xfId="0" applyFont="1" applyBorder="1" applyAlignment="1">
      <alignment horizontal="center" vertical="center"/>
    </xf>
    <xf numFmtId="0" fontId="0" fillId="0" borderId="129" xfId="0" applyBorder="1" applyAlignment="1">
      <alignment horizontal="center" vertical="center"/>
    </xf>
    <xf numFmtId="0" fontId="0" fillId="0" borderId="98" xfId="0" applyBorder="1" applyAlignment="1">
      <alignment horizontal="center" vertical="center"/>
    </xf>
    <xf numFmtId="0" fontId="0" fillId="0" borderId="18" xfId="0" applyBorder="1" applyAlignment="1">
      <alignment horizontal="center" vertical="center"/>
    </xf>
    <xf numFmtId="0" fontId="80" fillId="0" borderId="35" xfId="0" applyFont="1" applyBorder="1" applyAlignment="1">
      <alignment horizontal="center" vertical="center"/>
    </xf>
    <xf numFmtId="0" fontId="80" fillId="0" borderId="37" xfId="0" applyFont="1" applyBorder="1" applyAlignment="1">
      <alignment horizontal="center" vertical="center"/>
    </xf>
    <xf numFmtId="0" fontId="80" fillId="0" borderId="38" xfId="0" applyFont="1" applyBorder="1" applyAlignment="1">
      <alignment horizontal="center" vertical="center"/>
    </xf>
    <xf numFmtId="0" fontId="5" fillId="114" borderId="34" xfId="0" applyFont="1" applyFill="1" applyBorder="1" applyAlignment="1">
      <alignment horizontal="center" vertical="center"/>
    </xf>
    <xf numFmtId="0" fontId="5" fillId="114" borderId="14" xfId="0" applyFont="1" applyFill="1" applyBorder="1" applyAlignment="1">
      <alignment horizontal="center" vertical="center"/>
    </xf>
    <xf numFmtId="0" fontId="5" fillId="114" borderId="39" xfId="0" applyFont="1" applyFill="1" applyBorder="1" applyAlignment="1">
      <alignment horizontal="center" vertical="center"/>
    </xf>
    <xf numFmtId="0" fontId="117" fillId="32" borderId="34" xfId="0" applyFont="1" applyFill="1" applyBorder="1" applyAlignment="1">
      <alignment horizontal="center" vertical="center"/>
    </xf>
    <xf numFmtId="0" fontId="117" fillId="32" borderId="14" xfId="0" applyFont="1" applyFill="1" applyBorder="1" applyAlignment="1">
      <alignment horizontal="center" vertical="center"/>
    </xf>
    <xf numFmtId="0" fontId="117" fillId="32" borderId="39" xfId="0" applyFont="1" applyFill="1" applyBorder="1" applyAlignment="1">
      <alignment horizontal="center" vertical="center"/>
    </xf>
    <xf numFmtId="0" fontId="80" fillId="114" borderId="101" xfId="0" applyFont="1" applyFill="1" applyBorder="1" applyAlignment="1">
      <alignment horizontal="center" vertical="center" wrapText="1"/>
    </xf>
    <xf numFmtId="0" fontId="80" fillId="114" borderId="102" xfId="0" applyFont="1" applyFill="1" applyBorder="1" applyAlignment="1">
      <alignment horizontal="center" vertical="center" wrapText="1"/>
    </xf>
    <xf numFmtId="0" fontId="0" fillId="115" borderId="23" xfId="0" applyFill="1" applyBorder="1" applyAlignment="1">
      <alignment horizontal="center" vertical="center"/>
    </xf>
    <xf numFmtId="0" fontId="0" fillId="115" borderId="100" xfId="0" applyFill="1" applyBorder="1" applyAlignment="1">
      <alignment horizontal="center" vertical="center"/>
    </xf>
    <xf numFmtId="0" fontId="80" fillId="114" borderId="23" xfId="0" applyFont="1" applyFill="1" applyBorder="1" applyAlignment="1">
      <alignment horizontal="center" vertical="center" wrapText="1"/>
    </xf>
    <xf numFmtId="0" fontId="116" fillId="43" borderId="0" xfId="0" applyFont="1" applyFill="1" applyAlignment="1">
      <alignment horizontal="center" vertical="center"/>
    </xf>
    <xf numFmtId="0" fontId="117" fillId="32" borderId="26" xfId="0" applyFont="1" applyFill="1" applyBorder="1" applyAlignment="1">
      <alignment horizontal="center" vertical="center"/>
    </xf>
    <xf numFmtId="0" fontId="117" fillId="32" borderId="103" xfId="0" applyFont="1" applyFill="1" applyBorder="1" applyAlignment="1">
      <alignment horizontal="center" vertical="center"/>
    </xf>
    <xf numFmtId="0" fontId="117" fillId="32" borderId="104" xfId="0" applyFont="1" applyFill="1" applyBorder="1" applyAlignment="1">
      <alignment horizontal="center" vertical="center"/>
    </xf>
    <xf numFmtId="0" fontId="4" fillId="0" borderId="0" xfId="0" applyFont="1" applyAlignment="1">
      <alignment horizontal="center" vertical="center" wrapText="1"/>
    </xf>
    <xf numFmtId="0" fontId="0" fillId="0" borderId="0" xfId="0" applyAlignment="1">
      <alignment horizontal="center" vertical="center" wrapText="1"/>
    </xf>
    <xf numFmtId="0" fontId="80" fillId="114" borderId="131" xfId="0" applyFont="1" applyFill="1" applyBorder="1" applyAlignment="1">
      <alignment horizontal="center" vertical="center" wrapText="1"/>
    </xf>
    <xf numFmtId="0" fontId="0" fillId="0" borderId="20" xfId="0" applyBorder="1" applyAlignment="1">
      <alignment horizontal="center" vertical="center"/>
    </xf>
    <xf numFmtId="0" fontId="117" fillId="0" borderId="132" xfId="0" applyFont="1" applyBorder="1" applyAlignment="1">
      <alignment horizontal="center" vertical="center" textRotation="180"/>
    </xf>
    <xf numFmtId="0" fontId="117" fillId="0" borderId="19" xfId="0" applyFont="1" applyBorder="1" applyAlignment="1">
      <alignment horizontal="center" vertical="center" textRotation="180"/>
    </xf>
    <xf numFmtId="0" fontId="117" fillId="0" borderId="23" xfId="0" applyFont="1" applyBorder="1" applyAlignment="1">
      <alignment horizontal="center" vertical="center" textRotation="180"/>
    </xf>
    <xf numFmtId="0" fontId="117" fillId="0" borderId="114" xfId="0" applyFont="1" applyBorder="1" applyAlignment="1">
      <alignment horizontal="center" vertical="center" textRotation="180"/>
    </xf>
    <xf numFmtId="0" fontId="4" fillId="55" borderId="24" xfId="0" applyFont="1" applyFill="1" applyBorder="1" applyAlignment="1">
      <alignment horizontal="center" vertical="center"/>
    </xf>
    <xf numFmtId="0" fontId="4" fillId="55" borderId="0" xfId="0" applyFont="1" applyFill="1" applyAlignment="1">
      <alignment horizontal="center" vertical="center"/>
    </xf>
    <xf numFmtId="0" fontId="5" fillId="120" borderId="20" xfId="0" applyFont="1" applyFill="1" applyBorder="1" applyAlignment="1">
      <alignment horizontal="center" vertical="center" wrapText="1"/>
    </xf>
    <xf numFmtId="2" fontId="0" fillId="55" borderId="131" xfId="0" applyNumberFormat="1" applyFill="1" applyBorder="1" applyAlignment="1">
      <alignment horizontal="center" vertical="center"/>
    </xf>
    <xf numFmtId="2" fontId="0" fillId="55" borderId="133" xfId="0" applyNumberFormat="1" applyFill="1" applyBorder="1" applyAlignment="1">
      <alignment horizontal="center" vertical="center"/>
    </xf>
    <xf numFmtId="0" fontId="55" fillId="0" borderId="20" xfId="886" applyFont="1" applyBorder="1" applyAlignment="1">
      <alignment horizontal="center" vertical="center"/>
    </xf>
    <xf numFmtId="0" fontId="7" fillId="0" borderId="26" xfId="886" applyFont="1" applyBorder="1" applyAlignment="1">
      <alignment horizontal="center" vertical="center"/>
    </xf>
    <xf numFmtId="0" fontId="7" fillId="0" borderId="53" xfId="886" applyFont="1" applyBorder="1" applyAlignment="1">
      <alignment horizontal="center" vertical="center"/>
    </xf>
    <xf numFmtId="0" fontId="7" fillId="0" borderId="29" xfId="886" applyFont="1" applyBorder="1" applyAlignment="1">
      <alignment horizontal="center" vertical="center"/>
    </xf>
    <xf numFmtId="0" fontId="55" fillId="0" borderId="20" xfId="886" applyFont="1" applyBorder="1" applyAlignment="1">
      <alignment horizontal="center"/>
    </xf>
    <xf numFmtId="0" fontId="55" fillId="0" borderId="20" xfId="886" applyFont="1" applyBorder="1" applyAlignment="1">
      <alignment horizontal="left"/>
    </xf>
    <xf numFmtId="0" fontId="55" fillId="0" borderId="30" xfId="886" applyFont="1" applyBorder="1" applyAlignment="1">
      <alignment horizontal="center"/>
    </xf>
    <xf numFmtId="0" fontId="78" fillId="30" borderId="34" xfId="0" applyFont="1" applyFill="1" applyBorder="1" applyAlignment="1" applyProtection="1">
      <alignment horizontal="center" vertical="center" wrapText="1"/>
      <protection locked="0"/>
    </xf>
    <xf numFmtId="0" fontId="78" fillId="30" borderId="14" xfId="0" applyFont="1" applyFill="1" applyBorder="1" applyAlignment="1" applyProtection="1">
      <alignment horizontal="center" vertical="center" wrapText="1"/>
      <protection locked="0"/>
    </xf>
    <xf numFmtId="0" fontId="78" fillId="30" borderId="39" xfId="0" applyFont="1" applyFill="1" applyBorder="1" applyAlignment="1" applyProtection="1">
      <alignment horizontal="center" vertical="center" wrapText="1"/>
      <protection locked="0"/>
    </xf>
    <xf numFmtId="0" fontId="4" fillId="43" borderId="0" xfId="0" applyFont="1" applyFill="1" applyAlignment="1">
      <alignment horizontal="left"/>
    </xf>
    <xf numFmtId="0" fontId="7" fillId="0" borderId="35" xfId="886" applyFont="1" applyBorder="1" applyAlignment="1">
      <alignment horizontal="center" vertical="center"/>
    </xf>
    <xf numFmtId="0" fontId="7" fillId="0" borderId="61" xfId="886" applyFont="1" applyBorder="1" applyAlignment="1">
      <alignment horizontal="center" vertical="center"/>
    </xf>
    <xf numFmtId="0" fontId="7" fillId="0" borderId="62" xfId="886" applyFont="1" applyBorder="1" applyAlignment="1">
      <alignment horizontal="center" vertical="center"/>
    </xf>
    <xf numFmtId="0" fontId="7" fillId="0" borderId="38" xfId="886" applyFont="1" applyBorder="1" applyAlignment="1">
      <alignment horizontal="center" vertical="center"/>
    </xf>
    <xf numFmtId="0" fontId="7" fillId="0" borderId="31" xfId="886" applyFont="1" applyBorder="1" applyAlignment="1">
      <alignment horizontal="center" vertical="center"/>
    </xf>
    <xf numFmtId="0" fontId="7" fillId="0" borderId="63" xfId="886" applyFont="1" applyBorder="1" applyAlignment="1">
      <alignment horizontal="center" vertical="center"/>
    </xf>
    <xf numFmtId="0" fontId="78" fillId="0" borderId="35" xfId="886" applyFont="1" applyBorder="1" applyAlignment="1">
      <alignment horizontal="center" vertical="center"/>
    </xf>
    <xf numFmtId="0" fontId="78" fillId="0" borderId="61" xfId="886" applyFont="1" applyBorder="1" applyAlignment="1">
      <alignment horizontal="center" vertical="center"/>
    </xf>
    <xf numFmtId="0" fontId="78" fillId="0" borderId="62" xfId="886" applyFont="1" applyBorder="1" applyAlignment="1">
      <alignment horizontal="center" vertical="center"/>
    </xf>
    <xf numFmtId="0" fontId="78" fillId="0" borderId="38" xfId="886" applyFont="1" applyBorder="1" applyAlignment="1">
      <alignment horizontal="center" vertical="center"/>
    </xf>
    <xf numFmtId="0" fontId="78" fillId="0" borderId="31" xfId="886" applyFont="1" applyBorder="1" applyAlignment="1">
      <alignment horizontal="center" vertical="center"/>
    </xf>
    <xf numFmtId="0" fontId="78" fillId="0" borderId="63" xfId="886" applyFont="1" applyBorder="1" applyAlignment="1">
      <alignment horizontal="center" vertical="center"/>
    </xf>
    <xf numFmtId="0" fontId="78" fillId="0" borderId="56" xfId="886" applyFont="1" applyBorder="1" applyAlignment="1">
      <alignment horizontal="center" vertical="center"/>
    </xf>
    <xf numFmtId="0" fontId="78" fillId="0" borderId="71" xfId="886" applyFont="1" applyBorder="1" applyAlignment="1">
      <alignment horizontal="center" vertical="center"/>
    </xf>
    <xf numFmtId="0" fontId="78" fillId="0" borderId="57" xfId="886" applyFont="1" applyBorder="1" applyAlignment="1">
      <alignment horizontal="center" vertical="center"/>
    </xf>
    <xf numFmtId="0" fontId="78" fillId="0" borderId="55" xfId="886" applyFont="1" applyBorder="1" applyAlignment="1">
      <alignment horizontal="center" vertical="center"/>
    </xf>
    <xf numFmtId="0" fontId="78" fillId="0" borderId="64" xfId="886" applyFont="1" applyBorder="1" applyAlignment="1">
      <alignment horizontal="center" vertical="center"/>
    </xf>
    <xf numFmtId="0" fontId="78" fillId="0" borderId="70" xfId="886" applyFont="1" applyBorder="1" applyAlignment="1">
      <alignment horizontal="center" vertical="center"/>
    </xf>
    <xf numFmtId="0" fontId="56" fillId="0" borderId="65" xfId="886" applyFont="1" applyBorder="1" applyAlignment="1">
      <alignment horizontal="center"/>
    </xf>
    <xf numFmtId="0" fontId="56" fillId="0" borderId="66" xfId="886" applyFont="1" applyBorder="1" applyAlignment="1">
      <alignment horizontal="center"/>
    </xf>
  </cellXfs>
  <cellStyles count="1560">
    <cellStyle name="20% - Accent1" xfId="942" xr:uid="{00000000-0005-0000-0000-000000000000}"/>
    <cellStyle name="20% - Accent1 2" xfId="1" xr:uid="{00000000-0005-0000-0000-000001000000}"/>
    <cellStyle name="20% - Accent1 3" xfId="1087" xr:uid="{00000000-0005-0000-0000-000002000000}"/>
    <cellStyle name="20% - Accent1 4" xfId="1401" xr:uid="{00000000-0005-0000-0000-000003000000}"/>
    <cellStyle name="20% - Accent2" xfId="945" xr:uid="{00000000-0005-0000-0000-000004000000}"/>
    <cellStyle name="20% - Accent2 2" xfId="2" xr:uid="{00000000-0005-0000-0000-000005000000}"/>
    <cellStyle name="20% - Accent2 3" xfId="1088" xr:uid="{00000000-0005-0000-0000-000006000000}"/>
    <cellStyle name="20% - Accent2 4" xfId="1403" xr:uid="{00000000-0005-0000-0000-000007000000}"/>
    <cellStyle name="20% - Accent3" xfId="948" xr:uid="{00000000-0005-0000-0000-000008000000}"/>
    <cellStyle name="20% - Accent3 2" xfId="3" xr:uid="{00000000-0005-0000-0000-000009000000}"/>
    <cellStyle name="20% - Accent3 3" xfId="1089" xr:uid="{00000000-0005-0000-0000-00000A000000}"/>
    <cellStyle name="20% - Accent3 4" xfId="1405" xr:uid="{00000000-0005-0000-0000-00000B000000}"/>
    <cellStyle name="20% - Accent4" xfId="951" xr:uid="{00000000-0005-0000-0000-00000C000000}"/>
    <cellStyle name="20% - Accent4 2" xfId="4" xr:uid="{00000000-0005-0000-0000-00000D000000}"/>
    <cellStyle name="20% - Accent4 3" xfId="1090" xr:uid="{00000000-0005-0000-0000-00000E000000}"/>
    <cellStyle name="20% - Accent4 4" xfId="1408" xr:uid="{00000000-0005-0000-0000-00000F000000}"/>
    <cellStyle name="20% - Accent5" xfId="954" xr:uid="{00000000-0005-0000-0000-000010000000}"/>
    <cellStyle name="20% - Accent5 2" xfId="5" xr:uid="{00000000-0005-0000-0000-000011000000}"/>
    <cellStyle name="20% - Accent5 3" xfId="1091" xr:uid="{00000000-0005-0000-0000-000012000000}"/>
    <cellStyle name="20% - Accent5 4" xfId="1411" xr:uid="{00000000-0005-0000-0000-000013000000}"/>
    <cellStyle name="20% - Accent6" xfId="957" xr:uid="{00000000-0005-0000-0000-000014000000}"/>
    <cellStyle name="20% - Accent6 2" xfId="6" xr:uid="{00000000-0005-0000-0000-000015000000}"/>
    <cellStyle name="20% - Accent6 3" xfId="1092" xr:uid="{00000000-0005-0000-0000-000016000000}"/>
    <cellStyle name="20% - Accent6 4" xfId="1414" xr:uid="{00000000-0005-0000-0000-000017000000}"/>
    <cellStyle name="20% - Énfasis1 10" xfId="7" xr:uid="{00000000-0005-0000-0000-000018000000}"/>
    <cellStyle name="20% - Énfasis1 11" xfId="8" xr:uid="{00000000-0005-0000-0000-000019000000}"/>
    <cellStyle name="20% - Énfasis1 12" xfId="9" xr:uid="{00000000-0005-0000-0000-00001A000000}"/>
    <cellStyle name="20% - Énfasis1 13" xfId="10" xr:uid="{00000000-0005-0000-0000-00001B000000}"/>
    <cellStyle name="20% - Énfasis1 14" xfId="11" xr:uid="{00000000-0005-0000-0000-00001C000000}"/>
    <cellStyle name="20% - Énfasis1 15" xfId="12" xr:uid="{00000000-0005-0000-0000-00001D000000}"/>
    <cellStyle name="20% - Énfasis1 16" xfId="13" xr:uid="{00000000-0005-0000-0000-00001E000000}"/>
    <cellStyle name="20% - Énfasis1 17" xfId="14" xr:uid="{00000000-0005-0000-0000-00001F000000}"/>
    <cellStyle name="20% - Énfasis1 18" xfId="15" xr:uid="{00000000-0005-0000-0000-000020000000}"/>
    <cellStyle name="20% - Énfasis1 19" xfId="16" xr:uid="{00000000-0005-0000-0000-000021000000}"/>
    <cellStyle name="20% - Énfasis1 2" xfId="17" xr:uid="{00000000-0005-0000-0000-000022000000}"/>
    <cellStyle name="20% - Énfasis1 20" xfId="1000" xr:uid="{00000000-0005-0000-0000-000023000000}"/>
    <cellStyle name="20% - Énfasis1 20 2" xfId="1181" xr:uid="{00000000-0005-0000-0000-000024000000}"/>
    <cellStyle name="20% - Énfasis1 20 2 2" xfId="1535" xr:uid="{00000000-0005-0000-0000-000025000000}"/>
    <cellStyle name="20% - Énfasis1 20 3" xfId="1066" xr:uid="{00000000-0005-0000-0000-000026000000}"/>
    <cellStyle name="20% - Énfasis1 20 3 2" xfId="1465" xr:uid="{00000000-0005-0000-0000-000027000000}"/>
    <cellStyle name="20% - Énfasis1 20 4" xfId="1425" xr:uid="{00000000-0005-0000-0000-000028000000}"/>
    <cellStyle name="20% - Énfasis1 21" xfId="1093" xr:uid="{00000000-0005-0000-0000-000029000000}"/>
    <cellStyle name="20% - Énfasis1 21 2" xfId="1486" xr:uid="{00000000-0005-0000-0000-00002A000000}"/>
    <cellStyle name="20% - Énfasis1 22" xfId="1161" xr:uid="{00000000-0005-0000-0000-00002B000000}"/>
    <cellStyle name="20% - Énfasis1 22 2" xfId="1515" xr:uid="{00000000-0005-0000-0000-00002C000000}"/>
    <cellStyle name="20% - Énfasis1 23" xfId="1046" xr:uid="{00000000-0005-0000-0000-00002D000000}"/>
    <cellStyle name="20% - Énfasis1 23 2" xfId="1445" xr:uid="{00000000-0005-0000-0000-00002E000000}"/>
    <cellStyle name="20% - Énfasis1 3" xfId="18" xr:uid="{00000000-0005-0000-0000-00002F000000}"/>
    <cellStyle name="20% - Énfasis1 4" xfId="19" xr:uid="{00000000-0005-0000-0000-000030000000}"/>
    <cellStyle name="20% - Énfasis1 5" xfId="20" xr:uid="{00000000-0005-0000-0000-000031000000}"/>
    <cellStyle name="20% - Énfasis1 6" xfId="21" xr:uid="{00000000-0005-0000-0000-000032000000}"/>
    <cellStyle name="20% - Énfasis1 7" xfId="22" xr:uid="{00000000-0005-0000-0000-000033000000}"/>
    <cellStyle name="20% - Énfasis1 8" xfId="23" xr:uid="{00000000-0005-0000-0000-000034000000}"/>
    <cellStyle name="20% - Énfasis1 9" xfId="24" xr:uid="{00000000-0005-0000-0000-000035000000}"/>
    <cellStyle name="20% - Énfasis2 10" xfId="25" xr:uid="{00000000-0005-0000-0000-000036000000}"/>
    <cellStyle name="20% - Énfasis2 11" xfId="26" xr:uid="{00000000-0005-0000-0000-000037000000}"/>
    <cellStyle name="20% - Énfasis2 12" xfId="27" xr:uid="{00000000-0005-0000-0000-000038000000}"/>
    <cellStyle name="20% - Énfasis2 13" xfId="28" xr:uid="{00000000-0005-0000-0000-000039000000}"/>
    <cellStyle name="20% - Énfasis2 14" xfId="29" xr:uid="{00000000-0005-0000-0000-00003A000000}"/>
    <cellStyle name="20% - Énfasis2 15" xfId="30" xr:uid="{00000000-0005-0000-0000-00003B000000}"/>
    <cellStyle name="20% - Énfasis2 16" xfId="31" xr:uid="{00000000-0005-0000-0000-00003C000000}"/>
    <cellStyle name="20% - Énfasis2 17" xfId="32" xr:uid="{00000000-0005-0000-0000-00003D000000}"/>
    <cellStyle name="20% - Énfasis2 18" xfId="33" xr:uid="{00000000-0005-0000-0000-00003E000000}"/>
    <cellStyle name="20% - Énfasis2 19" xfId="34" xr:uid="{00000000-0005-0000-0000-00003F000000}"/>
    <cellStyle name="20% - Énfasis2 2" xfId="35" xr:uid="{00000000-0005-0000-0000-000040000000}"/>
    <cellStyle name="20% - Énfasis2 20" xfId="1002" xr:uid="{00000000-0005-0000-0000-000041000000}"/>
    <cellStyle name="20% - Énfasis2 20 2" xfId="1183" xr:uid="{00000000-0005-0000-0000-000042000000}"/>
    <cellStyle name="20% - Énfasis2 20 2 2" xfId="1537" xr:uid="{00000000-0005-0000-0000-000043000000}"/>
    <cellStyle name="20% - Énfasis2 20 3" xfId="1068" xr:uid="{00000000-0005-0000-0000-000044000000}"/>
    <cellStyle name="20% - Énfasis2 20 3 2" xfId="1467" xr:uid="{00000000-0005-0000-0000-000045000000}"/>
    <cellStyle name="20% - Énfasis2 20 4" xfId="1427" xr:uid="{00000000-0005-0000-0000-000046000000}"/>
    <cellStyle name="20% - Énfasis2 21" xfId="1094" xr:uid="{00000000-0005-0000-0000-000047000000}"/>
    <cellStyle name="20% - Énfasis2 21 2" xfId="1487" xr:uid="{00000000-0005-0000-0000-000048000000}"/>
    <cellStyle name="20% - Énfasis2 22" xfId="1163" xr:uid="{00000000-0005-0000-0000-000049000000}"/>
    <cellStyle name="20% - Énfasis2 22 2" xfId="1517" xr:uid="{00000000-0005-0000-0000-00004A000000}"/>
    <cellStyle name="20% - Énfasis2 23" xfId="1048" xr:uid="{00000000-0005-0000-0000-00004B000000}"/>
    <cellStyle name="20% - Énfasis2 23 2" xfId="1447" xr:uid="{00000000-0005-0000-0000-00004C000000}"/>
    <cellStyle name="20% - Énfasis2 3" xfId="36" xr:uid="{00000000-0005-0000-0000-00004D000000}"/>
    <cellStyle name="20% - Énfasis2 4" xfId="37" xr:uid="{00000000-0005-0000-0000-00004E000000}"/>
    <cellStyle name="20% - Énfasis2 5" xfId="38" xr:uid="{00000000-0005-0000-0000-00004F000000}"/>
    <cellStyle name="20% - Énfasis2 6" xfId="39" xr:uid="{00000000-0005-0000-0000-000050000000}"/>
    <cellStyle name="20% - Énfasis2 7" xfId="40" xr:uid="{00000000-0005-0000-0000-000051000000}"/>
    <cellStyle name="20% - Énfasis2 8" xfId="41" xr:uid="{00000000-0005-0000-0000-000052000000}"/>
    <cellStyle name="20% - Énfasis2 9" xfId="42" xr:uid="{00000000-0005-0000-0000-000053000000}"/>
    <cellStyle name="20% - Énfasis3 10" xfId="43" xr:uid="{00000000-0005-0000-0000-000054000000}"/>
    <cellStyle name="20% - Énfasis3 11" xfId="44" xr:uid="{00000000-0005-0000-0000-000055000000}"/>
    <cellStyle name="20% - Énfasis3 12" xfId="45" xr:uid="{00000000-0005-0000-0000-000056000000}"/>
    <cellStyle name="20% - Énfasis3 13" xfId="46" xr:uid="{00000000-0005-0000-0000-000057000000}"/>
    <cellStyle name="20% - Énfasis3 14" xfId="47" xr:uid="{00000000-0005-0000-0000-000058000000}"/>
    <cellStyle name="20% - Énfasis3 15" xfId="48" xr:uid="{00000000-0005-0000-0000-000059000000}"/>
    <cellStyle name="20% - Énfasis3 16" xfId="49" xr:uid="{00000000-0005-0000-0000-00005A000000}"/>
    <cellStyle name="20% - Énfasis3 17" xfId="50" xr:uid="{00000000-0005-0000-0000-00005B000000}"/>
    <cellStyle name="20% - Énfasis3 18" xfId="51" xr:uid="{00000000-0005-0000-0000-00005C000000}"/>
    <cellStyle name="20% - Énfasis3 19" xfId="52" xr:uid="{00000000-0005-0000-0000-00005D000000}"/>
    <cellStyle name="20% - Énfasis3 2" xfId="53" xr:uid="{00000000-0005-0000-0000-00005E000000}"/>
    <cellStyle name="20% - Énfasis3 20" xfId="1004" xr:uid="{00000000-0005-0000-0000-00005F000000}"/>
    <cellStyle name="20% - Énfasis3 20 2" xfId="1185" xr:uid="{00000000-0005-0000-0000-000060000000}"/>
    <cellStyle name="20% - Énfasis3 20 2 2" xfId="1539" xr:uid="{00000000-0005-0000-0000-000061000000}"/>
    <cellStyle name="20% - Énfasis3 20 3" xfId="1070" xr:uid="{00000000-0005-0000-0000-000062000000}"/>
    <cellStyle name="20% - Énfasis3 20 3 2" xfId="1469" xr:uid="{00000000-0005-0000-0000-000063000000}"/>
    <cellStyle name="20% - Énfasis3 20 4" xfId="1429" xr:uid="{00000000-0005-0000-0000-000064000000}"/>
    <cellStyle name="20% - Énfasis3 21" xfId="1095" xr:uid="{00000000-0005-0000-0000-000065000000}"/>
    <cellStyle name="20% - Énfasis3 21 2" xfId="1488" xr:uid="{00000000-0005-0000-0000-000066000000}"/>
    <cellStyle name="20% - Énfasis3 22" xfId="1165" xr:uid="{00000000-0005-0000-0000-000067000000}"/>
    <cellStyle name="20% - Énfasis3 22 2" xfId="1519" xr:uid="{00000000-0005-0000-0000-000068000000}"/>
    <cellStyle name="20% - Énfasis3 23" xfId="1050" xr:uid="{00000000-0005-0000-0000-000069000000}"/>
    <cellStyle name="20% - Énfasis3 23 2" xfId="1449" xr:uid="{00000000-0005-0000-0000-00006A000000}"/>
    <cellStyle name="20% - Énfasis3 3" xfId="54" xr:uid="{00000000-0005-0000-0000-00006B000000}"/>
    <cellStyle name="20% - Énfasis3 4" xfId="55" xr:uid="{00000000-0005-0000-0000-00006C000000}"/>
    <cellStyle name="20% - Énfasis3 5" xfId="56" xr:uid="{00000000-0005-0000-0000-00006D000000}"/>
    <cellStyle name="20% - Énfasis3 6" xfId="57" xr:uid="{00000000-0005-0000-0000-00006E000000}"/>
    <cellStyle name="20% - Énfasis3 7" xfId="58" xr:uid="{00000000-0005-0000-0000-00006F000000}"/>
    <cellStyle name="20% - Énfasis3 8" xfId="59" xr:uid="{00000000-0005-0000-0000-000070000000}"/>
    <cellStyle name="20% - Énfasis3 9" xfId="60" xr:uid="{00000000-0005-0000-0000-000071000000}"/>
    <cellStyle name="20% - Énfasis4 10" xfId="61" xr:uid="{00000000-0005-0000-0000-000072000000}"/>
    <cellStyle name="20% - Énfasis4 11" xfId="62" xr:uid="{00000000-0005-0000-0000-000073000000}"/>
    <cellStyle name="20% - Énfasis4 12" xfId="63" xr:uid="{00000000-0005-0000-0000-000074000000}"/>
    <cellStyle name="20% - Énfasis4 13" xfId="64" xr:uid="{00000000-0005-0000-0000-000075000000}"/>
    <cellStyle name="20% - Énfasis4 14" xfId="65" xr:uid="{00000000-0005-0000-0000-000076000000}"/>
    <cellStyle name="20% - Énfasis4 15" xfId="66" xr:uid="{00000000-0005-0000-0000-000077000000}"/>
    <cellStyle name="20% - Énfasis4 16" xfId="67" xr:uid="{00000000-0005-0000-0000-000078000000}"/>
    <cellStyle name="20% - Énfasis4 17" xfId="68" xr:uid="{00000000-0005-0000-0000-000079000000}"/>
    <cellStyle name="20% - Énfasis4 18" xfId="69" xr:uid="{00000000-0005-0000-0000-00007A000000}"/>
    <cellStyle name="20% - Énfasis4 19" xfId="70" xr:uid="{00000000-0005-0000-0000-00007B000000}"/>
    <cellStyle name="20% - Énfasis4 2" xfId="71" xr:uid="{00000000-0005-0000-0000-00007C000000}"/>
    <cellStyle name="20% - Énfasis4 20" xfId="1006" xr:uid="{00000000-0005-0000-0000-00007D000000}"/>
    <cellStyle name="20% - Énfasis4 20 2" xfId="1187" xr:uid="{00000000-0005-0000-0000-00007E000000}"/>
    <cellStyle name="20% - Énfasis4 20 2 2" xfId="1541" xr:uid="{00000000-0005-0000-0000-00007F000000}"/>
    <cellStyle name="20% - Énfasis4 20 3" xfId="1072" xr:uid="{00000000-0005-0000-0000-000080000000}"/>
    <cellStyle name="20% - Énfasis4 20 3 2" xfId="1471" xr:uid="{00000000-0005-0000-0000-000081000000}"/>
    <cellStyle name="20% - Énfasis4 20 4" xfId="1431" xr:uid="{00000000-0005-0000-0000-000082000000}"/>
    <cellStyle name="20% - Énfasis4 21" xfId="1096" xr:uid="{00000000-0005-0000-0000-000083000000}"/>
    <cellStyle name="20% - Énfasis4 21 2" xfId="1489" xr:uid="{00000000-0005-0000-0000-000084000000}"/>
    <cellStyle name="20% - Énfasis4 22" xfId="1167" xr:uid="{00000000-0005-0000-0000-000085000000}"/>
    <cellStyle name="20% - Énfasis4 22 2" xfId="1521" xr:uid="{00000000-0005-0000-0000-000086000000}"/>
    <cellStyle name="20% - Énfasis4 23" xfId="1052" xr:uid="{00000000-0005-0000-0000-000087000000}"/>
    <cellStyle name="20% - Énfasis4 23 2" xfId="1451" xr:uid="{00000000-0005-0000-0000-000088000000}"/>
    <cellStyle name="20% - Énfasis4 3" xfId="72" xr:uid="{00000000-0005-0000-0000-000089000000}"/>
    <cellStyle name="20% - Énfasis4 4" xfId="73" xr:uid="{00000000-0005-0000-0000-00008A000000}"/>
    <cellStyle name="20% - Énfasis4 5" xfId="74" xr:uid="{00000000-0005-0000-0000-00008B000000}"/>
    <cellStyle name="20% - Énfasis4 6" xfId="75" xr:uid="{00000000-0005-0000-0000-00008C000000}"/>
    <cellStyle name="20% - Énfasis4 7" xfId="76" xr:uid="{00000000-0005-0000-0000-00008D000000}"/>
    <cellStyle name="20% - Énfasis4 8" xfId="77" xr:uid="{00000000-0005-0000-0000-00008E000000}"/>
    <cellStyle name="20% - Énfasis4 9" xfId="78" xr:uid="{00000000-0005-0000-0000-00008F000000}"/>
    <cellStyle name="20% - Énfasis5 10" xfId="79" xr:uid="{00000000-0005-0000-0000-000090000000}"/>
    <cellStyle name="20% - Énfasis5 11" xfId="80" xr:uid="{00000000-0005-0000-0000-000091000000}"/>
    <cellStyle name="20% - Énfasis5 12" xfId="81" xr:uid="{00000000-0005-0000-0000-000092000000}"/>
    <cellStyle name="20% - Énfasis5 13" xfId="82" xr:uid="{00000000-0005-0000-0000-000093000000}"/>
    <cellStyle name="20% - Énfasis5 14" xfId="83" xr:uid="{00000000-0005-0000-0000-000094000000}"/>
    <cellStyle name="20% - Énfasis5 15" xfId="84" xr:uid="{00000000-0005-0000-0000-000095000000}"/>
    <cellStyle name="20% - Énfasis5 16" xfId="85" xr:uid="{00000000-0005-0000-0000-000096000000}"/>
    <cellStyle name="20% - Énfasis5 17" xfId="86" xr:uid="{00000000-0005-0000-0000-000097000000}"/>
    <cellStyle name="20% - Énfasis5 18" xfId="87" xr:uid="{00000000-0005-0000-0000-000098000000}"/>
    <cellStyle name="20% - Énfasis5 19" xfId="88" xr:uid="{00000000-0005-0000-0000-000099000000}"/>
    <cellStyle name="20% - Énfasis5 2" xfId="89" xr:uid="{00000000-0005-0000-0000-00009A000000}"/>
    <cellStyle name="20% - Énfasis5 20" xfId="1008" xr:uid="{00000000-0005-0000-0000-00009B000000}"/>
    <cellStyle name="20% - Énfasis5 20 2" xfId="1189" xr:uid="{00000000-0005-0000-0000-00009C000000}"/>
    <cellStyle name="20% - Énfasis5 20 2 2" xfId="1543" xr:uid="{00000000-0005-0000-0000-00009D000000}"/>
    <cellStyle name="20% - Énfasis5 20 3" xfId="1074" xr:uid="{00000000-0005-0000-0000-00009E000000}"/>
    <cellStyle name="20% - Énfasis5 20 3 2" xfId="1473" xr:uid="{00000000-0005-0000-0000-00009F000000}"/>
    <cellStyle name="20% - Énfasis5 20 4" xfId="1433" xr:uid="{00000000-0005-0000-0000-0000A0000000}"/>
    <cellStyle name="20% - Énfasis5 21" xfId="1097" xr:uid="{00000000-0005-0000-0000-0000A1000000}"/>
    <cellStyle name="20% - Énfasis5 21 2" xfId="1490" xr:uid="{00000000-0005-0000-0000-0000A2000000}"/>
    <cellStyle name="20% - Énfasis5 22" xfId="1169" xr:uid="{00000000-0005-0000-0000-0000A3000000}"/>
    <cellStyle name="20% - Énfasis5 22 2" xfId="1523" xr:uid="{00000000-0005-0000-0000-0000A4000000}"/>
    <cellStyle name="20% - Énfasis5 23" xfId="1054" xr:uid="{00000000-0005-0000-0000-0000A5000000}"/>
    <cellStyle name="20% - Énfasis5 23 2" xfId="1453" xr:uid="{00000000-0005-0000-0000-0000A6000000}"/>
    <cellStyle name="20% - Énfasis5 3" xfId="90" xr:uid="{00000000-0005-0000-0000-0000A7000000}"/>
    <cellStyle name="20% - Énfasis5 4" xfId="91" xr:uid="{00000000-0005-0000-0000-0000A8000000}"/>
    <cellStyle name="20% - Énfasis5 5" xfId="92" xr:uid="{00000000-0005-0000-0000-0000A9000000}"/>
    <cellStyle name="20% - Énfasis5 6" xfId="93" xr:uid="{00000000-0005-0000-0000-0000AA000000}"/>
    <cellStyle name="20% - Énfasis5 7" xfId="94" xr:uid="{00000000-0005-0000-0000-0000AB000000}"/>
    <cellStyle name="20% - Énfasis5 8" xfId="95" xr:uid="{00000000-0005-0000-0000-0000AC000000}"/>
    <cellStyle name="20% - Énfasis5 9" xfId="96" xr:uid="{00000000-0005-0000-0000-0000AD000000}"/>
    <cellStyle name="20% - Énfasis6 10" xfId="97" xr:uid="{00000000-0005-0000-0000-0000AE000000}"/>
    <cellStyle name="20% - Énfasis6 11" xfId="98" xr:uid="{00000000-0005-0000-0000-0000AF000000}"/>
    <cellStyle name="20% - Énfasis6 12" xfId="99" xr:uid="{00000000-0005-0000-0000-0000B0000000}"/>
    <cellStyle name="20% - Énfasis6 13" xfId="100" xr:uid="{00000000-0005-0000-0000-0000B1000000}"/>
    <cellStyle name="20% - Énfasis6 14" xfId="101" xr:uid="{00000000-0005-0000-0000-0000B2000000}"/>
    <cellStyle name="20% - Énfasis6 15" xfId="102" xr:uid="{00000000-0005-0000-0000-0000B3000000}"/>
    <cellStyle name="20% - Énfasis6 16" xfId="103" xr:uid="{00000000-0005-0000-0000-0000B4000000}"/>
    <cellStyle name="20% - Énfasis6 17" xfId="104" xr:uid="{00000000-0005-0000-0000-0000B5000000}"/>
    <cellStyle name="20% - Énfasis6 18" xfId="105" xr:uid="{00000000-0005-0000-0000-0000B6000000}"/>
    <cellStyle name="20% - Énfasis6 19" xfId="106" xr:uid="{00000000-0005-0000-0000-0000B7000000}"/>
    <cellStyle name="20% - Énfasis6 2" xfId="107" xr:uid="{00000000-0005-0000-0000-0000B8000000}"/>
    <cellStyle name="20% - Énfasis6 20" xfId="1010" xr:uid="{00000000-0005-0000-0000-0000B9000000}"/>
    <cellStyle name="20% - Énfasis6 20 2" xfId="1191" xr:uid="{00000000-0005-0000-0000-0000BA000000}"/>
    <cellStyle name="20% - Énfasis6 20 2 2" xfId="1545" xr:uid="{00000000-0005-0000-0000-0000BB000000}"/>
    <cellStyle name="20% - Énfasis6 20 3" xfId="1076" xr:uid="{00000000-0005-0000-0000-0000BC000000}"/>
    <cellStyle name="20% - Énfasis6 20 3 2" xfId="1475" xr:uid="{00000000-0005-0000-0000-0000BD000000}"/>
    <cellStyle name="20% - Énfasis6 20 4" xfId="1435" xr:uid="{00000000-0005-0000-0000-0000BE000000}"/>
    <cellStyle name="20% - Énfasis6 21" xfId="1098" xr:uid="{00000000-0005-0000-0000-0000BF000000}"/>
    <cellStyle name="20% - Énfasis6 21 2" xfId="1491" xr:uid="{00000000-0005-0000-0000-0000C0000000}"/>
    <cellStyle name="20% - Énfasis6 22" xfId="1171" xr:uid="{00000000-0005-0000-0000-0000C1000000}"/>
    <cellStyle name="20% - Énfasis6 22 2" xfId="1525" xr:uid="{00000000-0005-0000-0000-0000C2000000}"/>
    <cellStyle name="20% - Énfasis6 23" xfId="1056" xr:uid="{00000000-0005-0000-0000-0000C3000000}"/>
    <cellStyle name="20% - Énfasis6 23 2" xfId="1455" xr:uid="{00000000-0005-0000-0000-0000C4000000}"/>
    <cellStyle name="20% - Énfasis6 3" xfId="108" xr:uid="{00000000-0005-0000-0000-0000C5000000}"/>
    <cellStyle name="20% - Énfasis6 4" xfId="109" xr:uid="{00000000-0005-0000-0000-0000C6000000}"/>
    <cellStyle name="20% - Énfasis6 5" xfId="110" xr:uid="{00000000-0005-0000-0000-0000C7000000}"/>
    <cellStyle name="20% - Énfasis6 6" xfId="111" xr:uid="{00000000-0005-0000-0000-0000C8000000}"/>
    <cellStyle name="20% - Énfasis6 7" xfId="112" xr:uid="{00000000-0005-0000-0000-0000C9000000}"/>
    <cellStyle name="20% - Énfasis6 8" xfId="113" xr:uid="{00000000-0005-0000-0000-0000CA000000}"/>
    <cellStyle name="20% - Énfasis6 9" xfId="114" xr:uid="{00000000-0005-0000-0000-0000CB000000}"/>
    <cellStyle name="40% - Accent1" xfId="943" xr:uid="{00000000-0005-0000-0000-0000CC000000}"/>
    <cellStyle name="40% - Accent1 2" xfId="115" xr:uid="{00000000-0005-0000-0000-0000CD000000}"/>
    <cellStyle name="40% - Accent1 3" xfId="1099" xr:uid="{00000000-0005-0000-0000-0000CE000000}"/>
    <cellStyle name="40% - Accent1 4" xfId="1402" xr:uid="{00000000-0005-0000-0000-0000CF000000}"/>
    <cellStyle name="40% - Accent2" xfId="946" xr:uid="{00000000-0005-0000-0000-0000D0000000}"/>
    <cellStyle name="40% - Accent2 2" xfId="116" xr:uid="{00000000-0005-0000-0000-0000D1000000}"/>
    <cellStyle name="40% - Accent2 3" xfId="1100" xr:uid="{00000000-0005-0000-0000-0000D2000000}"/>
    <cellStyle name="40% - Accent2 4" xfId="1404" xr:uid="{00000000-0005-0000-0000-0000D3000000}"/>
    <cellStyle name="40% - Accent3" xfId="949" xr:uid="{00000000-0005-0000-0000-0000D4000000}"/>
    <cellStyle name="40% - Accent3 2" xfId="117" xr:uid="{00000000-0005-0000-0000-0000D5000000}"/>
    <cellStyle name="40% - Accent3 3" xfId="1101" xr:uid="{00000000-0005-0000-0000-0000D6000000}"/>
    <cellStyle name="40% - Accent3 4" xfId="1406" xr:uid="{00000000-0005-0000-0000-0000D7000000}"/>
    <cellStyle name="40% - Accent4" xfId="952" xr:uid="{00000000-0005-0000-0000-0000D8000000}"/>
    <cellStyle name="40% - Accent4 2" xfId="118" xr:uid="{00000000-0005-0000-0000-0000D9000000}"/>
    <cellStyle name="40% - Accent4 3" xfId="1102" xr:uid="{00000000-0005-0000-0000-0000DA000000}"/>
    <cellStyle name="40% - Accent4 4" xfId="1409" xr:uid="{00000000-0005-0000-0000-0000DB000000}"/>
    <cellStyle name="40% - Accent5" xfId="955" xr:uid="{00000000-0005-0000-0000-0000DC000000}"/>
    <cellStyle name="40% - Accent5 2" xfId="119" xr:uid="{00000000-0005-0000-0000-0000DD000000}"/>
    <cellStyle name="40% - Accent5 3" xfId="1103" xr:uid="{00000000-0005-0000-0000-0000DE000000}"/>
    <cellStyle name="40% - Accent5 4" xfId="1412" xr:uid="{00000000-0005-0000-0000-0000DF000000}"/>
    <cellStyle name="40% - Accent6" xfId="958" xr:uid="{00000000-0005-0000-0000-0000E0000000}"/>
    <cellStyle name="40% - Accent6 2" xfId="120" xr:uid="{00000000-0005-0000-0000-0000E1000000}"/>
    <cellStyle name="40% - Accent6 3" xfId="1104" xr:uid="{00000000-0005-0000-0000-0000E2000000}"/>
    <cellStyle name="40% - Accent6 4" xfId="1415" xr:uid="{00000000-0005-0000-0000-0000E3000000}"/>
    <cellStyle name="40% - Énfasis1 10" xfId="121" xr:uid="{00000000-0005-0000-0000-0000E4000000}"/>
    <cellStyle name="40% - Énfasis1 11" xfId="122" xr:uid="{00000000-0005-0000-0000-0000E5000000}"/>
    <cellStyle name="40% - Énfasis1 12" xfId="123" xr:uid="{00000000-0005-0000-0000-0000E6000000}"/>
    <cellStyle name="40% - Énfasis1 13" xfId="124" xr:uid="{00000000-0005-0000-0000-0000E7000000}"/>
    <cellStyle name="40% - Énfasis1 14" xfId="125" xr:uid="{00000000-0005-0000-0000-0000E8000000}"/>
    <cellStyle name="40% - Énfasis1 15" xfId="126" xr:uid="{00000000-0005-0000-0000-0000E9000000}"/>
    <cellStyle name="40% - Énfasis1 16" xfId="127" xr:uid="{00000000-0005-0000-0000-0000EA000000}"/>
    <cellStyle name="40% - Énfasis1 17" xfId="128" xr:uid="{00000000-0005-0000-0000-0000EB000000}"/>
    <cellStyle name="40% - Énfasis1 18" xfId="129" xr:uid="{00000000-0005-0000-0000-0000EC000000}"/>
    <cellStyle name="40% - Énfasis1 19" xfId="130" xr:uid="{00000000-0005-0000-0000-0000ED000000}"/>
    <cellStyle name="40% - Énfasis1 2" xfId="131" xr:uid="{00000000-0005-0000-0000-0000EE000000}"/>
    <cellStyle name="40% - Énfasis1 20" xfId="1001" xr:uid="{00000000-0005-0000-0000-0000EF000000}"/>
    <cellStyle name="40% - Énfasis1 20 2" xfId="1182" xr:uid="{00000000-0005-0000-0000-0000F0000000}"/>
    <cellStyle name="40% - Énfasis1 20 2 2" xfId="1536" xr:uid="{00000000-0005-0000-0000-0000F1000000}"/>
    <cellStyle name="40% - Énfasis1 20 3" xfId="1067" xr:uid="{00000000-0005-0000-0000-0000F2000000}"/>
    <cellStyle name="40% - Énfasis1 20 3 2" xfId="1466" xr:uid="{00000000-0005-0000-0000-0000F3000000}"/>
    <cellStyle name="40% - Énfasis1 20 4" xfId="1426" xr:uid="{00000000-0005-0000-0000-0000F4000000}"/>
    <cellStyle name="40% - Énfasis1 21" xfId="1105" xr:uid="{00000000-0005-0000-0000-0000F5000000}"/>
    <cellStyle name="40% - Énfasis1 21 2" xfId="1492" xr:uid="{00000000-0005-0000-0000-0000F6000000}"/>
    <cellStyle name="40% - Énfasis1 22" xfId="1162" xr:uid="{00000000-0005-0000-0000-0000F7000000}"/>
    <cellStyle name="40% - Énfasis1 22 2" xfId="1516" xr:uid="{00000000-0005-0000-0000-0000F8000000}"/>
    <cellStyle name="40% - Énfasis1 23" xfId="1047" xr:uid="{00000000-0005-0000-0000-0000F9000000}"/>
    <cellStyle name="40% - Énfasis1 23 2" xfId="1446" xr:uid="{00000000-0005-0000-0000-0000FA000000}"/>
    <cellStyle name="40% - Énfasis1 3" xfId="132" xr:uid="{00000000-0005-0000-0000-0000FB000000}"/>
    <cellStyle name="40% - Énfasis1 4" xfId="133" xr:uid="{00000000-0005-0000-0000-0000FC000000}"/>
    <cellStyle name="40% - Énfasis1 5" xfId="134" xr:uid="{00000000-0005-0000-0000-0000FD000000}"/>
    <cellStyle name="40% - Énfasis1 6" xfId="135" xr:uid="{00000000-0005-0000-0000-0000FE000000}"/>
    <cellStyle name="40% - Énfasis1 7" xfId="136" xr:uid="{00000000-0005-0000-0000-0000FF000000}"/>
    <cellStyle name="40% - Énfasis1 8" xfId="137" xr:uid="{00000000-0005-0000-0000-000000010000}"/>
    <cellStyle name="40% - Énfasis1 9" xfId="138" xr:uid="{00000000-0005-0000-0000-000001010000}"/>
    <cellStyle name="40% - Énfasis2 10" xfId="139" xr:uid="{00000000-0005-0000-0000-000002010000}"/>
    <cellStyle name="40% - Énfasis2 11" xfId="140" xr:uid="{00000000-0005-0000-0000-000003010000}"/>
    <cellStyle name="40% - Énfasis2 12" xfId="141" xr:uid="{00000000-0005-0000-0000-000004010000}"/>
    <cellStyle name="40% - Énfasis2 13" xfId="142" xr:uid="{00000000-0005-0000-0000-000005010000}"/>
    <cellStyle name="40% - Énfasis2 14" xfId="143" xr:uid="{00000000-0005-0000-0000-000006010000}"/>
    <cellStyle name="40% - Énfasis2 15" xfId="144" xr:uid="{00000000-0005-0000-0000-000007010000}"/>
    <cellStyle name="40% - Énfasis2 16" xfId="145" xr:uid="{00000000-0005-0000-0000-000008010000}"/>
    <cellStyle name="40% - Énfasis2 17" xfId="146" xr:uid="{00000000-0005-0000-0000-000009010000}"/>
    <cellStyle name="40% - Énfasis2 18" xfId="147" xr:uid="{00000000-0005-0000-0000-00000A010000}"/>
    <cellStyle name="40% - Énfasis2 19" xfId="148" xr:uid="{00000000-0005-0000-0000-00000B010000}"/>
    <cellStyle name="40% - Énfasis2 2" xfId="149" xr:uid="{00000000-0005-0000-0000-00000C010000}"/>
    <cellStyle name="40% - Énfasis2 20" xfId="1003" xr:uid="{00000000-0005-0000-0000-00000D010000}"/>
    <cellStyle name="40% - Énfasis2 20 2" xfId="1184" xr:uid="{00000000-0005-0000-0000-00000E010000}"/>
    <cellStyle name="40% - Énfasis2 20 2 2" xfId="1538" xr:uid="{00000000-0005-0000-0000-00000F010000}"/>
    <cellStyle name="40% - Énfasis2 20 3" xfId="1069" xr:uid="{00000000-0005-0000-0000-000010010000}"/>
    <cellStyle name="40% - Énfasis2 20 3 2" xfId="1468" xr:uid="{00000000-0005-0000-0000-000011010000}"/>
    <cellStyle name="40% - Énfasis2 20 4" xfId="1428" xr:uid="{00000000-0005-0000-0000-000012010000}"/>
    <cellStyle name="40% - Énfasis2 21" xfId="1106" xr:uid="{00000000-0005-0000-0000-000013010000}"/>
    <cellStyle name="40% - Énfasis2 21 2" xfId="1493" xr:uid="{00000000-0005-0000-0000-000014010000}"/>
    <cellStyle name="40% - Énfasis2 22" xfId="1164" xr:uid="{00000000-0005-0000-0000-000015010000}"/>
    <cellStyle name="40% - Énfasis2 22 2" xfId="1518" xr:uid="{00000000-0005-0000-0000-000016010000}"/>
    <cellStyle name="40% - Énfasis2 23" xfId="1049" xr:uid="{00000000-0005-0000-0000-000017010000}"/>
    <cellStyle name="40% - Énfasis2 23 2" xfId="1448" xr:uid="{00000000-0005-0000-0000-000018010000}"/>
    <cellStyle name="40% - Énfasis2 3" xfId="150" xr:uid="{00000000-0005-0000-0000-000019010000}"/>
    <cellStyle name="40% - Énfasis2 4" xfId="151" xr:uid="{00000000-0005-0000-0000-00001A010000}"/>
    <cellStyle name="40% - Énfasis2 5" xfId="152" xr:uid="{00000000-0005-0000-0000-00001B010000}"/>
    <cellStyle name="40% - Énfasis2 6" xfId="153" xr:uid="{00000000-0005-0000-0000-00001C010000}"/>
    <cellStyle name="40% - Énfasis2 7" xfId="154" xr:uid="{00000000-0005-0000-0000-00001D010000}"/>
    <cellStyle name="40% - Énfasis2 8" xfId="155" xr:uid="{00000000-0005-0000-0000-00001E010000}"/>
    <cellStyle name="40% - Énfasis2 9" xfId="156" xr:uid="{00000000-0005-0000-0000-00001F010000}"/>
    <cellStyle name="40% - Énfasis3 10" xfId="157" xr:uid="{00000000-0005-0000-0000-000020010000}"/>
    <cellStyle name="40% - Énfasis3 11" xfId="158" xr:uid="{00000000-0005-0000-0000-000021010000}"/>
    <cellStyle name="40% - Énfasis3 12" xfId="159" xr:uid="{00000000-0005-0000-0000-000022010000}"/>
    <cellStyle name="40% - Énfasis3 13" xfId="160" xr:uid="{00000000-0005-0000-0000-000023010000}"/>
    <cellStyle name="40% - Énfasis3 14" xfId="161" xr:uid="{00000000-0005-0000-0000-000024010000}"/>
    <cellStyle name="40% - Énfasis3 15" xfId="162" xr:uid="{00000000-0005-0000-0000-000025010000}"/>
    <cellStyle name="40% - Énfasis3 16" xfId="163" xr:uid="{00000000-0005-0000-0000-000026010000}"/>
    <cellStyle name="40% - Énfasis3 17" xfId="164" xr:uid="{00000000-0005-0000-0000-000027010000}"/>
    <cellStyle name="40% - Énfasis3 18" xfId="165" xr:uid="{00000000-0005-0000-0000-000028010000}"/>
    <cellStyle name="40% - Énfasis3 19" xfId="166" xr:uid="{00000000-0005-0000-0000-000029010000}"/>
    <cellStyle name="40% - Énfasis3 2" xfId="167" xr:uid="{00000000-0005-0000-0000-00002A010000}"/>
    <cellStyle name="40% - Énfasis3 20" xfId="1005" xr:uid="{00000000-0005-0000-0000-00002B010000}"/>
    <cellStyle name="40% - Énfasis3 20 2" xfId="1186" xr:uid="{00000000-0005-0000-0000-00002C010000}"/>
    <cellStyle name="40% - Énfasis3 20 2 2" xfId="1540" xr:uid="{00000000-0005-0000-0000-00002D010000}"/>
    <cellStyle name="40% - Énfasis3 20 3" xfId="1071" xr:uid="{00000000-0005-0000-0000-00002E010000}"/>
    <cellStyle name="40% - Énfasis3 20 3 2" xfId="1470" xr:uid="{00000000-0005-0000-0000-00002F010000}"/>
    <cellStyle name="40% - Énfasis3 20 4" xfId="1430" xr:uid="{00000000-0005-0000-0000-000030010000}"/>
    <cellStyle name="40% - Énfasis3 21" xfId="1107" xr:uid="{00000000-0005-0000-0000-000031010000}"/>
    <cellStyle name="40% - Énfasis3 21 2" xfId="1494" xr:uid="{00000000-0005-0000-0000-000032010000}"/>
    <cellStyle name="40% - Énfasis3 22" xfId="1166" xr:uid="{00000000-0005-0000-0000-000033010000}"/>
    <cellStyle name="40% - Énfasis3 22 2" xfId="1520" xr:uid="{00000000-0005-0000-0000-000034010000}"/>
    <cellStyle name="40% - Énfasis3 23" xfId="1051" xr:uid="{00000000-0005-0000-0000-000035010000}"/>
    <cellStyle name="40% - Énfasis3 23 2" xfId="1450" xr:uid="{00000000-0005-0000-0000-000036010000}"/>
    <cellStyle name="40% - Énfasis3 3" xfId="168" xr:uid="{00000000-0005-0000-0000-000037010000}"/>
    <cellStyle name="40% - Énfasis3 4" xfId="169" xr:uid="{00000000-0005-0000-0000-000038010000}"/>
    <cellStyle name="40% - Énfasis3 5" xfId="170" xr:uid="{00000000-0005-0000-0000-000039010000}"/>
    <cellStyle name="40% - Énfasis3 6" xfId="171" xr:uid="{00000000-0005-0000-0000-00003A010000}"/>
    <cellStyle name="40% - Énfasis3 7" xfId="172" xr:uid="{00000000-0005-0000-0000-00003B010000}"/>
    <cellStyle name="40% - Énfasis3 8" xfId="173" xr:uid="{00000000-0005-0000-0000-00003C010000}"/>
    <cellStyle name="40% - Énfasis3 9" xfId="174" xr:uid="{00000000-0005-0000-0000-00003D010000}"/>
    <cellStyle name="40% - Énfasis4 10" xfId="175" xr:uid="{00000000-0005-0000-0000-00003E010000}"/>
    <cellStyle name="40% - Énfasis4 11" xfId="176" xr:uid="{00000000-0005-0000-0000-00003F010000}"/>
    <cellStyle name="40% - Énfasis4 12" xfId="177" xr:uid="{00000000-0005-0000-0000-000040010000}"/>
    <cellStyle name="40% - Énfasis4 13" xfId="178" xr:uid="{00000000-0005-0000-0000-000041010000}"/>
    <cellStyle name="40% - Énfasis4 14" xfId="179" xr:uid="{00000000-0005-0000-0000-000042010000}"/>
    <cellStyle name="40% - Énfasis4 15" xfId="180" xr:uid="{00000000-0005-0000-0000-000043010000}"/>
    <cellStyle name="40% - Énfasis4 16" xfId="181" xr:uid="{00000000-0005-0000-0000-000044010000}"/>
    <cellStyle name="40% - Énfasis4 17" xfId="182" xr:uid="{00000000-0005-0000-0000-000045010000}"/>
    <cellStyle name="40% - Énfasis4 18" xfId="183" xr:uid="{00000000-0005-0000-0000-000046010000}"/>
    <cellStyle name="40% - Énfasis4 19" xfId="184" xr:uid="{00000000-0005-0000-0000-000047010000}"/>
    <cellStyle name="40% - Énfasis4 2" xfId="185" xr:uid="{00000000-0005-0000-0000-000048010000}"/>
    <cellStyle name="40% - Énfasis4 20" xfId="1007" xr:uid="{00000000-0005-0000-0000-000049010000}"/>
    <cellStyle name="40% - Énfasis4 20 2" xfId="1188" xr:uid="{00000000-0005-0000-0000-00004A010000}"/>
    <cellStyle name="40% - Énfasis4 20 2 2" xfId="1542" xr:uid="{00000000-0005-0000-0000-00004B010000}"/>
    <cellStyle name="40% - Énfasis4 20 3" xfId="1073" xr:uid="{00000000-0005-0000-0000-00004C010000}"/>
    <cellStyle name="40% - Énfasis4 20 3 2" xfId="1472" xr:uid="{00000000-0005-0000-0000-00004D010000}"/>
    <cellStyle name="40% - Énfasis4 20 4" xfId="1432" xr:uid="{00000000-0005-0000-0000-00004E010000}"/>
    <cellStyle name="40% - Énfasis4 21" xfId="1108" xr:uid="{00000000-0005-0000-0000-00004F010000}"/>
    <cellStyle name="40% - Énfasis4 21 2" xfId="1495" xr:uid="{00000000-0005-0000-0000-000050010000}"/>
    <cellStyle name="40% - Énfasis4 22" xfId="1168" xr:uid="{00000000-0005-0000-0000-000051010000}"/>
    <cellStyle name="40% - Énfasis4 22 2" xfId="1522" xr:uid="{00000000-0005-0000-0000-000052010000}"/>
    <cellStyle name="40% - Énfasis4 23" xfId="1053" xr:uid="{00000000-0005-0000-0000-000053010000}"/>
    <cellStyle name="40% - Énfasis4 23 2" xfId="1452" xr:uid="{00000000-0005-0000-0000-000054010000}"/>
    <cellStyle name="40% - Énfasis4 3" xfId="186" xr:uid="{00000000-0005-0000-0000-000055010000}"/>
    <cellStyle name="40% - Énfasis4 4" xfId="187" xr:uid="{00000000-0005-0000-0000-000056010000}"/>
    <cellStyle name="40% - Énfasis4 5" xfId="188" xr:uid="{00000000-0005-0000-0000-000057010000}"/>
    <cellStyle name="40% - Énfasis4 6" xfId="189" xr:uid="{00000000-0005-0000-0000-000058010000}"/>
    <cellStyle name="40% - Énfasis4 7" xfId="190" xr:uid="{00000000-0005-0000-0000-000059010000}"/>
    <cellStyle name="40% - Énfasis4 8" xfId="191" xr:uid="{00000000-0005-0000-0000-00005A010000}"/>
    <cellStyle name="40% - Énfasis4 9" xfId="192" xr:uid="{00000000-0005-0000-0000-00005B010000}"/>
    <cellStyle name="40% - Énfasis5 10" xfId="193" xr:uid="{00000000-0005-0000-0000-00005C010000}"/>
    <cellStyle name="40% - Énfasis5 11" xfId="194" xr:uid="{00000000-0005-0000-0000-00005D010000}"/>
    <cellStyle name="40% - Énfasis5 12" xfId="195" xr:uid="{00000000-0005-0000-0000-00005E010000}"/>
    <cellStyle name="40% - Énfasis5 13" xfId="196" xr:uid="{00000000-0005-0000-0000-00005F010000}"/>
    <cellStyle name="40% - Énfasis5 14" xfId="197" xr:uid="{00000000-0005-0000-0000-000060010000}"/>
    <cellStyle name="40% - Énfasis5 15" xfId="198" xr:uid="{00000000-0005-0000-0000-000061010000}"/>
    <cellStyle name="40% - Énfasis5 16" xfId="199" xr:uid="{00000000-0005-0000-0000-000062010000}"/>
    <cellStyle name="40% - Énfasis5 17" xfId="200" xr:uid="{00000000-0005-0000-0000-000063010000}"/>
    <cellStyle name="40% - Énfasis5 18" xfId="201" xr:uid="{00000000-0005-0000-0000-000064010000}"/>
    <cellStyle name="40% - Énfasis5 19" xfId="202" xr:uid="{00000000-0005-0000-0000-000065010000}"/>
    <cellStyle name="40% - Énfasis5 2" xfId="203" xr:uid="{00000000-0005-0000-0000-000066010000}"/>
    <cellStyle name="40% - Énfasis5 20" xfId="1009" xr:uid="{00000000-0005-0000-0000-000067010000}"/>
    <cellStyle name="40% - Énfasis5 20 2" xfId="1190" xr:uid="{00000000-0005-0000-0000-000068010000}"/>
    <cellStyle name="40% - Énfasis5 20 2 2" xfId="1544" xr:uid="{00000000-0005-0000-0000-000069010000}"/>
    <cellStyle name="40% - Énfasis5 20 3" xfId="1075" xr:uid="{00000000-0005-0000-0000-00006A010000}"/>
    <cellStyle name="40% - Énfasis5 20 3 2" xfId="1474" xr:uid="{00000000-0005-0000-0000-00006B010000}"/>
    <cellStyle name="40% - Énfasis5 20 4" xfId="1434" xr:uid="{00000000-0005-0000-0000-00006C010000}"/>
    <cellStyle name="40% - Énfasis5 21" xfId="1109" xr:uid="{00000000-0005-0000-0000-00006D010000}"/>
    <cellStyle name="40% - Énfasis5 21 2" xfId="1496" xr:uid="{00000000-0005-0000-0000-00006E010000}"/>
    <cellStyle name="40% - Énfasis5 22" xfId="1170" xr:uid="{00000000-0005-0000-0000-00006F010000}"/>
    <cellStyle name="40% - Énfasis5 22 2" xfId="1524" xr:uid="{00000000-0005-0000-0000-000070010000}"/>
    <cellStyle name="40% - Énfasis5 23" xfId="1055" xr:uid="{00000000-0005-0000-0000-000071010000}"/>
    <cellStyle name="40% - Énfasis5 23 2" xfId="1454" xr:uid="{00000000-0005-0000-0000-000072010000}"/>
    <cellStyle name="40% - Énfasis5 3" xfId="204" xr:uid="{00000000-0005-0000-0000-000073010000}"/>
    <cellStyle name="40% - Énfasis5 4" xfId="205" xr:uid="{00000000-0005-0000-0000-000074010000}"/>
    <cellStyle name="40% - Énfasis5 5" xfId="206" xr:uid="{00000000-0005-0000-0000-000075010000}"/>
    <cellStyle name="40% - Énfasis5 6" xfId="207" xr:uid="{00000000-0005-0000-0000-000076010000}"/>
    <cellStyle name="40% - Énfasis5 7" xfId="208" xr:uid="{00000000-0005-0000-0000-000077010000}"/>
    <cellStyle name="40% - Énfasis5 8" xfId="209" xr:uid="{00000000-0005-0000-0000-000078010000}"/>
    <cellStyle name="40% - Énfasis5 9" xfId="210" xr:uid="{00000000-0005-0000-0000-000079010000}"/>
    <cellStyle name="40% - Énfasis6 10" xfId="211" xr:uid="{00000000-0005-0000-0000-00007A010000}"/>
    <cellStyle name="40% - Énfasis6 11" xfId="212" xr:uid="{00000000-0005-0000-0000-00007B010000}"/>
    <cellStyle name="40% - Énfasis6 12" xfId="213" xr:uid="{00000000-0005-0000-0000-00007C010000}"/>
    <cellStyle name="40% - Énfasis6 13" xfId="214" xr:uid="{00000000-0005-0000-0000-00007D010000}"/>
    <cellStyle name="40% - Énfasis6 14" xfId="215" xr:uid="{00000000-0005-0000-0000-00007E010000}"/>
    <cellStyle name="40% - Énfasis6 15" xfId="216" xr:uid="{00000000-0005-0000-0000-00007F010000}"/>
    <cellStyle name="40% - Énfasis6 16" xfId="217" xr:uid="{00000000-0005-0000-0000-000080010000}"/>
    <cellStyle name="40% - Énfasis6 17" xfId="218" xr:uid="{00000000-0005-0000-0000-000081010000}"/>
    <cellStyle name="40% - Énfasis6 18" xfId="219" xr:uid="{00000000-0005-0000-0000-000082010000}"/>
    <cellStyle name="40% - Énfasis6 19" xfId="220" xr:uid="{00000000-0005-0000-0000-000083010000}"/>
    <cellStyle name="40% - Énfasis6 2" xfId="221" xr:uid="{00000000-0005-0000-0000-000084010000}"/>
    <cellStyle name="40% - Énfasis6 20" xfId="1011" xr:uid="{00000000-0005-0000-0000-000085010000}"/>
    <cellStyle name="40% - Énfasis6 20 2" xfId="1192" xr:uid="{00000000-0005-0000-0000-000086010000}"/>
    <cellStyle name="40% - Énfasis6 20 2 2" xfId="1546" xr:uid="{00000000-0005-0000-0000-000087010000}"/>
    <cellStyle name="40% - Énfasis6 20 3" xfId="1077" xr:uid="{00000000-0005-0000-0000-000088010000}"/>
    <cellStyle name="40% - Énfasis6 20 3 2" xfId="1476" xr:uid="{00000000-0005-0000-0000-000089010000}"/>
    <cellStyle name="40% - Énfasis6 20 4" xfId="1436" xr:uid="{00000000-0005-0000-0000-00008A010000}"/>
    <cellStyle name="40% - Énfasis6 21" xfId="1110" xr:uid="{00000000-0005-0000-0000-00008B010000}"/>
    <cellStyle name="40% - Énfasis6 21 2" xfId="1497" xr:uid="{00000000-0005-0000-0000-00008C010000}"/>
    <cellStyle name="40% - Énfasis6 22" xfId="1172" xr:uid="{00000000-0005-0000-0000-00008D010000}"/>
    <cellStyle name="40% - Énfasis6 22 2" xfId="1526" xr:uid="{00000000-0005-0000-0000-00008E010000}"/>
    <cellStyle name="40% - Énfasis6 23" xfId="1057" xr:uid="{00000000-0005-0000-0000-00008F010000}"/>
    <cellStyle name="40% - Énfasis6 23 2" xfId="1456" xr:uid="{00000000-0005-0000-0000-000090010000}"/>
    <cellStyle name="40% - Énfasis6 3" xfId="222" xr:uid="{00000000-0005-0000-0000-000091010000}"/>
    <cellStyle name="40% - Énfasis6 4" xfId="223" xr:uid="{00000000-0005-0000-0000-000092010000}"/>
    <cellStyle name="40% - Énfasis6 5" xfId="224" xr:uid="{00000000-0005-0000-0000-000093010000}"/>
    <cellStyle name="40% - Énfasis6 6" xfId="225" xr:uid="{00000000-0005-0000-0000-000094010000}"/>
    <cellStyle name="40% - Énfasis6 7" xfId="226" xr:uid="{00000000-0005-0000-0000-000095010000}"/>
    <cellStyle name="40% - Énfasis6 8" xfId="227" xr:uid="{00000000-0005-0000-0000-000096010000}"/>
    <cellStyle name="40% - Énfasis6 9" xfId="228" xr:uid="{00000000-0005-0000-0000-000097010000}"/>
    <cellStyle name="60% - Accent1" xfId="235" xr:uid="{00000000-0005-0000-0000-000098010000}"/>
    <cellStyle name="60% - Accent1 2" xfId="229" xr:uid="{00000000-0005-0000-0000-000099010000}"/>
    <cellStyle name="60% - Accent1 3" xfId="1111" xr:uid="{00000000-0005-0000-0000-00009A010000}"/>
    <cellStyle name="60% - Accent2" xfId="254" xr:uid="{00000000-0005-0000-0000-00009B010000}"/>
    <cellStyle name="60% - Accent2 2" xfId="230" xr:uid="{00000000-0005-0000-0000-00009C010000}"/>
    <cellStyle name="60% - Accent2 3" xfId="1112" xr:uid="{00000000-0005-0000-0000-00009D010000}"/>
    <cellStyle name="60% - Accent3" xfId="273" xr:uid="{00000000-0005-0000-0000-00009E010000}"/>
    <cellStyle name="60% - Accent3 2" xfId="231" xr:uid="{00000000-0005-0000-0000-00009F010000}"/>
    <cellStyle name="60% - Accent3 3" xfId="1113" xr:uid="{00000000-0005-0000-0000-0000A0010000}"/>
    <cellStyle name="60% - Accent4" xfId="292" xr:uid="{00000000-0005-0000-0000-0000A1010000}"/>
    <cellStyle name="60% - Accent4 2" xfId="232" xr:uid="{00000000-0005-0000-0000-0000A2010000}"/>
    <cellStyle name="60% - Accent4 3" xfId="1114" xr:uid="{00000000-0005-0000-0000-0000A3010000}"/>
    <cellStyle name="60% - Accent5" xfId="311" xr:uid="{00000000-0005-0000-0000-0000A4010000}"/>
    <cellStyle name="60% - Accent5 2" xfId="233" xr:uid="{00000000-0005-0000-0000-0000A5010000}"/>
    <cellStyle name="60% - Accent5 3" xfId="1115" xr:uid="{00000000-0005-0000-0000-0000A6010000}"/>
    <cellStyle name="60% - Accent6" xfId="330" xr:uid="{00000000-0005-0000-0000-0000A7010000}"/>
    <cellStyle name="60% - Accent6 2" xfId="234" xr:uid="{00000000-0005-0000-0000-0000A8010000}"/>
    <cellStyle name="60% - Accent6 3" xfId="1116" xr:uid="{00000000-0005-0000-0000-0000A9010000}"/>
    <cellStyle name="60% - Énfasis1 10" xfId="236" xr:uid="{00000000-0005-0000-0000-0000AA010000}"/>
    <cellStyle name="60% - Énfasis1 11" xfId="237" xr:uid="{00000000-0005-0000-0000-0000AB010000}"/>
    <cellStyle name="60% - Énfasis1 12" xfId="238" xr:uid="{00000000-0005-0000-0000-0000AC010000}"/>
    <cellStyle name="60% - Énfasis1 13" xfId="239" xr:uid="{00000000-0005-0000-0000-0000AD010000}"/>
    <cellStyle name="60% - Énfasis1 14" xfId="240" xr:uid="{00000000-0005-0000-0000-0000AE010000}"/>
    <cellStyle name="60% - Énfasis1 15" xfId="241" xr:uid="{00000000-0005-0000-0000-0000AF010000}"/>
    <cellStyle name="60% - Énfasis1 16" xfId="242" xr:uid="{00000000-0005-0000-0000-0000B0010000}"/>
    <cellStyle name="60% - Énfasis1 17" xfId="243" xr:uid="{00000000-0005-0000-0000-0000B1010000}"/>
    <cellStyle name="60% - Énfasis1 18" xfId="244" xr:uid="{00000000-0005-0000-0000-0000B2010000}"/>
    <cellStyle name="60% - Énfasis1 19" xfId="245" xr:uid="{00000000-0005-0000-0000-0000B3010000}"/>
    <cellStyle name="60% - Énfasis1 2" xfId="246" xr:uid="{00000000-0005-0000-0000-0000B4010000}"/>
    <cellStyle name="60% - Énfasis1 20" xfId="973" xr:uid="{00000000-0005-0000-0000-0000B5010000}"/>
    <cellStyle name="60% - Énfasis1 20 2" xfId="1013" xr:uid="{00000000-0005-0000-0000-0000B6010000}"/>
    <cellStyle name="60% - Énfasis1 20 2 2" xfId="1194" xr:uid="{00000000-0005-0000-0000-0000B7010000}"/>
    <cellStyle name="60% - Énfasis1 20 2 2 2" xfId="1548" xr:uid="{00000000-0005-0000-0000-0000B8010000}"/>
    <cellStyle name="60% - Énfasis1 20 2 3" xfId="1079" xr:uid="{00000000-0005-0000-0000-0000B9010000}"/>
    <cellStyle name="60% - Énfasis1 20 2 3 2" xfId="1478" xr:uid="{00000000-0005-0000-0000-0000BA010000}"/>
    <cellStyle name="60% - Énfasis1 20 2 4" xfId="1438" xr:uid="{00000000-0005-0000-0000-0000BB010000}"/>
    <cellStyle name="60% - Énfasis1 20 3" xfId="1174" xr:uid="{00000000-0005-0000-0000-0000BC010000}"/>
    <cellStyle name="60% - Énfasis1 20 3 2" xfId="1528" xr:uid="{00000000-0005-0000-0000-0000BD010000}"/>
    <cellStyle name="60% - Énfasis1 20 4" xfId="1059" xr:uid="{00000000-0005-0000-0000-0000BE010000}"/>
    <cellStyle name="60% - Énfasis1 20 4 2" xfId="1458" xr:uid="{00000000-0005-0000-0000-0000BF010000}"/>
    <cellStyle name="60% - Énfasis1 20 5" xfId="1417" xr:uid="{00000000-0005-0000-0000-0000C0010000}"/>
    <cellStyle name="60% - Énfasis1 21" xfId="1117" xr:uid="{00000000-0005-0000-0000-0000C1010000}"/>
    <cellStyle name="60% - Énfasis1 21 2" xfId="1499" xr:uid="{00000000-0005-0000-0000-0000C2010000}"/>
    <cellStyle name="60% - Énfasis1 3" xfId="247" xr:uid="{00000000-0005-0000-0000-0000C3010000}"/>
    <cellStyle name="60% - Énfasis1 4" xfId="248" xr:uid="{00000000-0005-0000-0000-0000C4010000}"/>
    <cellStyle name="60% - Énfasis1 5" xfId="249" xr:uid="{00000000-0005-0000-0000-0000C5010000}"/>
    <cellStyle name="60% - Énfasis1 6" xfId="250" xr:uid="{00000000-0005-0000-0000-0000C6010000}"/>
    <cellStyle name="60% - Énfasis1 7" xfId="251" xr:uid="{00000000-0005-0000-0000-0000C7010000}"/>
    <cellStyle name="60% - Énfasis1 8" xfId="252" xr:uid="{00000000-0005-0000-0000-0000C8010000}"/>
    <cellStyle name="60% - Énfasis1 9" xfId="253" xr:uid="{00000000-0005-0000-0000-0000C9010000}"/>
    <cellStyle name="60% - Énfasis2 10" xfId="255" xr:uid="{00000000-0005-0000-0000-0000CA010000}"/>
    <cellStyle name="60% - Énfasis2 11" xfId="256" xr:uid="{00000000-0005-0000-0000-0000CB010000}"/>
    <cellStyle name="60% - Énfasis2 12" xfId="257" xr:uid="{00000000-0005-0000-0000-0000CC010000}"/>
    <cellStyle name="60% - Énfasis2 13" xfId="258" xr:uid="{00000000-0005-0000-0000-0000CD010000}"/>
    <cellStyle name="60% - Énfasis2 14" xfId="259" xr:uid="{00000000-0005-0000-0000-0000CE010000}"/>
    <cellStyle name="60% - Énfasis2 15" xfId="260" xr:uid="{00000000-0005-0000-0000-0000CF010000}"/>
    <cellStyle name="60% - Énfasis2 16" xfId="261" xr:uid="{00000000-0005-0000-0000-0000D0010000}"/>
    <cellStyle name="60% - Énfasis2 17" xfId="262" xr:uid="{00000000-0005-0000-0000-0000D1010000}"/>
    <cellStyle name="60% - Énfasis2 18" xfId="263" xr:uid="{00000000-0005-0000-0000-0000D2010000}"/>
    <cellStyle name="60% - Énfasis2 19" xfId="264" xr:uid="{00000000-0005-0000-0000-0000D3010000}"/>
    <cellStyle name="60% - Énfasis2 2" xfId="265" xr:uid="{00000000-0005-0000-0000-0000D4010000}"/>
    <cellStyle name="60% - Énfasis2 20" xfId="974" xr:uid="{00000000-0005-0000-0000-0000D5010000}"/>
    <cellStyle name="60% - Énfasis2 20 2" xfId="1014" xr:uid="{00000000-0005-0000-0000-0000D6010000}"/>
    <cellStyle name="60% - Énfasis2 20 2 2" xfId="1195" xr:uid="{00000000-0005-0000-0000-0000D7010000}"/>
    <cellStyle name="60% - Énfasis2 20 2 2 2" xfId="1549" xr:uid="{00000000-0005-0000-0000-0000D8010000}"/>
    <cellStyle name="60% - Énfasis2 20 2 3" xfId="1080" xr:uid="{00000000-0005-0000-0000-0000D9010000}"/>
    <cellStyle name="60% - Énfasis2 20 2 3 2" xfId="1479" xr:uid="{00000000-0005-0000-0000-0000DA010000}"/>
    <cellStyle name="60% - Énfasis2 20 2 4" xfId="1439" xr:uid="{00000000-0005-0000-0000-0000DB010000}"/>
    <cellStyle name="60% - Énfasis2 20 3" xfId="1175" xr:uid="{00000000-0005-0000-0000-0000DC010000}"/>
    <cellStyle name="60% - Énfasis2 20 3 2" xfId="1529" xr:uid="{00000000-0005-0000-0000-0000DD010000}"/>
    <cellStyle name="60% - Énfasis2 20 4" xfId="1060" xr:uid="{00000000-0005-0000-0000-0000DE010000}"/>
    <cellStyle name="60% - Énfasis2 20 4 2" xfId="1459" xr:uid="{00000000-0005-0000-0000-0000DF010000}"/>
    <cellStyle name="60% - Énfasis2 20 5" xfId="1418" xr:uid="{00000000-0005-0000-0000-0000E0010000}"/>
    <cellStyle name="60% - Énfasis2 21" xfId="1118" xr:uid="{00000000-0005-0000-0000-0000E1010000}"/>
    <cellStyle name="60% - Énfasis2 21 2" xfId="1500" xr:uid="{00000000-0005-0000-0000-0000E2010000}"/>
    <cellStyle name="60% - Énfasis2 3" xfId="266" xr:uid="{00000000-0005-0000-0000-0000E3010000}"/>
    <cellStyle name="60% - Énfasis2 4" xfId="267" xr:uid="{00000000-0005-0000-0000-0000E4010000}"/>
    <cellStyle name="60% - Énfasis2 5" xfId="268" xr:uid="{00000000-0005-0000-0000-0000E5010000}"/>
    <cellStyle name="60% - Énfasis2 6" xfId="269" xr:uid="{00000000-0005-0000-0000-0000E6010000}"/>
    <cellStyle name="60% - Énfasis2 7" xfId="270" xr:uid="{00000000-0005-0000-0000-0000E7010000}"/>
    <cellStyle name="60% - Énfasis2 8" xfId="271" xr:uid="{00000000-0005-0000-0000-0000E8010000}"/>
    <cellStyle name="60% - Énfasis2 9" xfId="272" xr:uid="{00000000-0005-0000-0000-0000E9010000}"/>
    <cellStyle name="60% - Énfasis3 10" xfId="274" xr:uid="{00000000-0005-0000-0000-0000EA010000}"/>
    <cellStyle name="60% - Énfasis3 11" xfId="275" xr:uid="{00000000-0005-0000-0000-0000EB010000}"/>
    <cellStyle name="60% - Énfasis3 12" xfId="276" xr:uid="{00000000-0005-0000-0000-0000EC010000}"/>
    <cellStyle name="60% - Énfasis3 13" xfId="277" xr:uid="{00000000-0005-0000-0000-0000ED010000}"/>
    <cellStyle name="60% - Énfasis3 14" xfId="278" xr:uid="{00000000-0005-0000-0000-0000EE010000}"/>
    <cellStyle name="60% - Énfasis3 15" xfId="279" xr:uid="{00000000-0005-0000-0000-0000EF010000}"/>
    <cellStyle name="60% - Énfasis3 16" xfId="280" xr:uid="{00000000-0005-0000-0000-0000F0010000}"/>
    <cellStyle name="60% - Énfasis3 17" xfId="281" xr:uid="{00000000-0005-0000-0000-0000F1010000}"/>
    <cellStyle name="60% - Énfasis3 18" xfId="282" xr:uid="{00000000-0005-0000-0000-0000F2010000}"/>
    <cellStyle name="60% - Énfasis3 19" xfId="283" xr:uid="{00000000-0005-0000-0000-0000F3010000}"/>
    <cellStyle name="60% - Énfasis3 2" xfId="284" xr:uid="{00000000-0005-0000-0000-0000F4010000}"/>
    <cellStyle name="60% - Énfasis3 20" xfId="975" xr:uid="{00000000-0005-0000-0000-0000F5010000}"/>
    <cellStyle name="60% - Énfasis3 20 2" xfId="1015" xr:uid="{00000000-0005-0000-0000-0000F6010000}"/>
    <cellStyle name="60% - Énfasis3 20 2 2" xfId="1196" xr:uid="{00000000-0005-0000-0000-0000F7010000}"/>
    <cellStyle name="60% - Énfasis3 20 2 2 2" xfId="1550" xr:uid="{00000000-0005-0000-0000-0000F8010000}"/>
    <cellStyle name="60% - Énfasis3 20 2 3" xfId="1081" xr:uid="{00000000-0005-0000-0000-0000F9010000}"/>
    <cellStyle name="60% - Énfasis3 20 2 3 2" xfId="1480" xr:uid="{00000000-0005-0000-0000-0000FA010000}"/>
    <cellStyle name="60% - Énfasis3 20 2 4" xfId="1440" xr:uid="{00000000-0005-0000-0000-0000FB010000}"/>
    <cellStyle name="60% - Énfasis3 20 3" xfId="1176" xr:uid="{00000000-0005-0000-0000-0000FC010000}"/>
    <cellStyle name="60% - Énfasis3 20 3 2" xfId="1530" xr:uid="{00000000-0005-0000-0000-0000FD010000}"/>
    <cellStyle name="60% - Énfasis3 20 4" xfId="1061" xr:uid="{00000000-0005-0000-0000-0000FE010000}"/>
    <cellStyle name="60% - Énfasis3 20 4 2" xfId="1460" xr:uid="{00000000-0005-0000-0000-0000FF010000}"/>
    <cellStyle name="60% - Énfasis3 20 5" xfId="1419" xr:uid="{00000000-0005-0000-0000-000000020000}"/>
    <cellStyle name="60% - Énfasis3 21" xfId="1119" xr:uid="{00000000-0005-0000-0000-000001020000}"/>
    <cellStyle name="60% - Énfasis3 21 2" xfId="1501" xr:uid="{00000000-0005-0000-0000-000002020000}"/>
    <cellStyle name="60% - Énfasis3 3" xfId="285" xr:uid="{00000000-0005-0000-0000-000003020000}"/>
    <cellStyle name="60% - Énfasis3 4" xfId="286" xr:uid="{00000000-0005-0000-0000-000004020000}"/>
    <cellStyle name="60% - Énfasis3 5" xfId="287" xr:uid="{00000000-0005-0000-0000-000005020000}"/>
    <cellStyle name="60% - Énfasis3 6" xfId="288" xr:uid="{00000000-0005-0000-0000-000006020000}"/>
    <cellStyle name="60% - Énfasis3 7" xfId="289" xr:uid="{00000000-0005-0000-0000-000007020000}"/>
    <cellStyle name="60% - Énfasis3 8" xfId="290" xr:uid="{00000000-0005-0000-0000-000008020000}"/>
    <cellStyle name="60% - Énfasis3 9" xfId="291" xr:uid="{00000000-0005-0000-0000-000009020000}"/>
    <cellStyle name="60% - Énfasis4 10" xfId="293" xr:uid="{00000000-0005-0000-0000-00000A020000}"/>
    <cellStyle name="60% - Énfasis4 11" xfId="294" xr:uid="{00000000-0005-0000-0000-00000B020000}"/>
    <cellStyle name="60% - Énfasis4 12" xfId="295" xr:uid="{00000000-0005-0000-0000-00000C020000}"/>
    <cellStyle name="60% - Énfasis4 13" xfId="296" xr:uid="{00000000-0005-0000-0000-00000D020000}"/>
    <cellStyle name="60% - Énfasis4 14" xfId="297" xr:uid="{00000000-0005-0000-0000-00000E020000}"/>
    <cellStyle name="60% - Énfasis4 15" xfId="298" xr:uid="{00000000-0005-0000-0000-00000F020000}"/>
    <cellStyle name="60% - Énfasis4 16" xfId="299" xr:uid="{00000000-0005-0000-0000-000010020000}"/>
    <cellStyle name="60% - Énfasis4 17" xfId="300" xr:uid="{00000000-0005-0000-0000-000011020000}"/>
    <cellStyle name="60% - Énfasis4 18" xfId="301" xr:uid="{00000000-0005-0000-0000-000012020000}"/>
    <cellStyle name="60% - Énfasis4 19" xfId="302" xr:uid="{00000000-0005-0000-0000-000013020000}"/>
    <cellStyle name="60% - Énfasis4 2" xfId="303" xr:uid="{00000000-0005-0000-0000-000014020000}"/>
    <cellStyle name="60% - Énfasis4 20" xfId="976" xr:uid="{00000000-0005-0000-0000-000015020000}"/>
    <cellStyle name="60% - Énfasis4 20 2" xfId="1016" xr:uid="{00000000-0005-0000-0000-000016020000}"/>
    <cellStyle name="60% - Énfasis4 20 2 2" xfId="1197" xr:uid="{00000000-0005-0000-0000-000017020000}"/>
    <cellStyle name="60% - Énfasis4 20 2 2 2" xfId="1551" xr:uid="{00000000-0005-0000-0000-000018020000}"/>
    <cellStyle name="60% - Énfasis4 20 2 3" xfId="1082" xr:uid="{00000000-0005-0000-0000-000019020000}"/>
    <cellStyle name="60% - Énfasis4 20 2 3 2" xfId="1481" xr:uid="{00000000-0005-0000-0000-00001A020000}"/>
    <cellStyle name="60% - Énfasis4 20 2 4" xfId="1441" xr:uid="{00000000-0005-0000-0000-00001B020000}"/>
    <cellStyle name="60% - Énfasis4 20 3" xfId="1177" xr:uid="{00000000-0005-0000-0000-00001C020000}"/>
    <cellStyle name="60% - Énfasis4 20 3 2" xfId="1531" xr:uid="{00000000-0005-0000-0000-00001D020000}"/>
    <cellStyle name="60% - Énfasis4 20 4" xfId="1062" xr:uid="{00000000-0005-0000-0000-00001E020000}"/>
    <cellStyle name="60% - Énfasis4 20 4 2" xfId="1461" xr:uid="{00000000-0005-0000-0000-00001F020000}"/>
    <cellStyle name="60% - Énfasis4 20 5" xfId="1420" xr:uid="{00000000-0005-0000-0000-000020020000}"/>
    <cellStyle name="60% - Énfasis4 21" xfId="1120" xr:uid="{00000000-0005-0000-0000-000021020000}"/>
    <cellStyle name="60% - Énfasis4 21 2" xfId="1502" xr:uid="{00000000-0005-0000-0000-000022020000}"/>
    <cellStyle name="60% - Énfasis4 3" xfId="304" xr:uid="{00000000-0005-0000-0000-000023020000}"/>
    <cellStyle name="60% - Énfasis4 4" xfId="305" xr:uid="{00000000-0005-0000-0000-000024020000}"/>
    <cellStyle name="60% - Énfasis4 5" xfId="306" xr:uid="{00000000-0005-0000-0000-000025020000}"/>
    <cellStyle name="60% - Énfasis4 6" xfId="307" xr:uid="{00000000-0005-0000-0000-000026020000}"/>
    <cellStyle name="60% - Énfasis4 7" xfId="308" xr:uid="{00000000-0005-0000-0000-000027020000}"/>
    <cellStyle name="60% - Énfasis4 8" xfId="309" xr:uid="{00000000-0005-0000-0000-000028020000}"/>
    <cellStyle name="60% - Énfasis4 9" xfId="310" xr:uid="{00000000-0005-0000-0000-000029020000}"/>
    <cellStyle name="60% - Énfasis5 10" xfId="312" xr:uid="{00000000-0005-0000-0000-00002A020000}"/>
    <cellStyle name="60% - Énfasis5 11" xfId="313" xr:uid="{00000000-0005-0000-0000-00002B020000}"/>
    <cellStyle name="60% - Énfasis5 12" xfId="314" xr:uid="{00000000-0005-0000-0000-00002C020000}"/>
    <cellStyle name="60% - Énfasis5 13" xfId="315" xr:uid="{00000000-0005-0000-0000-00002D020000}"/>
    <cellStyle name="60% - Énfasis5 14" xfId="316" xr:uid="{00000000-0005-0000-0000-00002E020000}"/>
    <cellStyle name="60% - Énfasis5 15" xfId="317" xr:uid="{00000000-0005-0000-0000-00002F020000}"/>
    <cellStyle name="60% - Énfasis5 16" xfId="318" xr:uid="{00000000-0005-0000-0000-000030020000}"/>
    <cellStyle name="60% - Énfasis5 17" xfId="319" xr:uid="{00000000-0005-0000-0000-000031020000}"/>
    <cellStyle name="60% - Énfasis5 18" xfId="320" xr:uid="{00000000-0005-0000-0000-000032020000}"/>
    <cellStyle name="60% - Énfasis5 19" xfId="321" xr:uid="{00000000-0005-0000-0000-000033020000}"/>
    <cellStyle name="60% - Énfasis5 2" xfId="322" xr:uid="{00000000-0005-0000-0000-000034020000}"/>
    <cellStyle name="60% - Énfasis5 20" xfId="977" xr:uid="{00000000-0005-0000-0000-000035020000}"/>
    <cellStyle name="60% - Énfasis5 20 2" xfId="1017" xr:uid="{00000000-0005-0000-0000-000036020000}"/>
    <cellStyle name="60% - Énfasis5 20 2 2" xfId="1198" xr:uid="{00000000-0005-0000-0000-000037020000}"/>
    <cellStyle name="60% - Énfasis5 20 2 2 2" xfId="1552" xr:uid="{00000000-0005-0000-0000-000038020000}"/>
    <cellStyle name="60% - Énfasis5 20 2 3" xfId="1083" xr:uid="{00000000-0005-0000-0000-000039020000}"/>
    <cellStyle name="60% - Énfasis5 20 2 3 2" xfId="1482" xr:uid="{00000000-0005-0000-0000-00003A020000}"/>
    <cellStyle name="60% - Énfasis5 20 2 4" xfId="1442" xr:uid="{00000000-0005-0000-0000-00003B020000}"/>
    <cellStyle name="60% - Énfasis5 20 3" xfId="1178" xr:uid="{00000000-0005-0000-0000-00003C020000}"/>
    <cellStyle name="60% - Énfasis5 20 3 2" xfId="1532" xr:uid="{00000000-0005-0000-0000-00003D020000}"/>
    <cellStyle name="60% - Énfasis5 20 4" xfId="1063" xr:uid="{00000000-0005-0000-0000-00003E020000}"/>
    <cellStyle name="60% - Énfasis5 20 4 2" xfId="1462" xr:uid="{00000000-0005-0000-0000-00003F020000}"/>
    <cellStyle name="60% - Énfasis5 20 5" xfId="1421" xr:uid="{00000000-0005-0000-0000-000040020000}"/>
    <cellStyle name="60% - Énfasis5 21" xfId="1121" xr:uid="{00000000-0005-0000-0000-000041020000}"/>
    <cellStyle name="60% - Énfasis5 21 2" xfId="1503" xr:uid="{00000000-0005-0000-0000-000042020000}"/>
    <cellStyle name="60% - Énfasis5 3" xfId="323" xr:uid="{00000000-0005-0000-0000-000043020000}"/>
    <cellStyle name="60% - Énfasis5 4" xfId="324" xr:uid="{00000000-0005-0000-0000-000044020000}"/>
    <cellStyle name="60% - Énfasis5 5" xfId="325" xr:uid="{00000000-0005-0000-0000-000045020000}"/>
    <cellStyle name="60% - Énfasis5 6" xfId="326" xr:uid="{00000000-0005-0000-0000-000046020000}"/>
    <cellStyle name="60% - Énfasis5 7" xfId="327" xr:uid="{00000000-0005-0000-0000-000047020000}"/>
    <cellStyle name="60% - Énfasis5 8" xfId="328" xr:uid="{00000000-0005-0000-0000-000048020000}"/>
    <cellStyle name="60% - Énfasis5 9" xfId="329" xr:uid="{00000000-0005-0000-0000-000049020000}"/>
    <cellStyle name="60% - Énfasis6 10" xfId="331" xr:uid="{00000000-0005-0000-0000-00004A020000}"/>
    <cellStyle name="60% - Énfasis6 11" xfId="332" xr:uid="{00000000-0005-0000-0000-00004B020000}"/>
    <cellStyle name="60% - Énfasis6 12" xfId="333" xr:uid="{00000000-0005-0000-0000-00004C020000}"/>
    <cellStyle name="60% - Énfasis6 13" xfId="334" xr:uid="{00000000-0005-0000-0000-00004D020000}"/>
    <cellStyle name="60% - Énfasis6 14" xfId="335" xr:uid="{00000000-0005-0000-0000-00004E020000}"/>
    <cellStyle name="60% - Énfasis6 15" xfId="336" xr:uid="{00000000-0005-0000-0000-00004F020000}"/>
    <cellStyle name="60% - Énfasis6 16" xfId="337" xr:uid="{00000000-0005-0000-0000-000050020000}"/>
    <cellStyle name="60% - Énfasis6 17" xfId="338" xr:uid="{00000000-0005-0000-0000-000051020000}"/>
    <cellStyle name="60% - Énfasis6 18" xfId="339" xr:uid="{00000000-0005-0000-0000-000052020000}"/>
    <cellStyle name="60% - Énfasis6 19" xfId="340" xr:uid="{00000000-0005-0000-0000-000053020000}"/>
    <cellStyle name="60% - Énfasis6 2" xfId="341" xr:uid="{00000000-0005-0000-0000-000054020000}"/>
    <cellStyle name="60% - Énfasis6 20" xfId="978" xr:uid="{00000000-0005-0000-0000-000055020000}"/>
    <cellStyle name="60% - Énfasis6 20 2" xfId="1018" xr:uid="{00000000-0005-0000-0000-000056020000}"/>
    <cellStyle name="60% - Énfasis6 20 2 2" xfId="1199" xr:uid="{00000000-0005-0000-0000-000057020000}"/>
    <cellStyle name="60% - Énfasis6 20 2 2 2" xfId="1553" xr:uid="{00000000-0005-0000-0000-000058020000}"/>
    <cellStyle name="60% - Énfasis6 20 2 3" xfId="1084" xr:uid="{00000000-0005-0000-0000-000059020000}"/>
    <cellStyle name="60% - Énfasis6 20 2 3 2" xfId="1483" xr:uid="{00000000-0005-0000-0000-00005A020000}"/>
    <cellStyle name="60% - Énfasis6 20 2 4" xfId="1443" xr:uid="{00000000-0005-0000-0000-00005B020000}"/>
    <cellStyle name="60% - Énfasis6 20 3" xfId="1179" xr:uid="{00000000-0005-0000-0000-00005C020000}"/>
    <cellStyle name="60% - Énfasis6 20 3 2" xfId="1533" xr:uid="{00000000-0005-0000-0000-00005D020000}"/>
    <cellStyle name="60% - Énfasis6 20 4" xfId="1064" xr:uid="{00000000-0005-0000-0000-00005E020000}"/>
    <cellStyle name="60% - Énfasis6 20 4 2" xfId="1463" xr:uid="{00000000-0005-0000-0000-00005F020000}"/>
    <cellStyle name="60% - Énfasis6 20 5" xfId="1422" xr:uid="{00000000-0005-0000-0000-000060020000}"/>
    <cellStyle name="60% - Énfasis6 21" xfId="1122" xr:uid="{00000000-0005-0000-0000-000061020000}"/>
    <cellStyle name="60% - Énfasis6 21 2" xfId="1504" xr:uid="{00000000-0005-0000-0000-000062020000}"/>
    <cellStyle name="60% - Énfasis6 3" xfId="342" xr:uid="{00000000-0005-0000-0000-000063020000}"/>
    <cellStyle name="60% - Énfasis6 4" xfId="343" xr:uid="{00000000-0005-0000-0000-000064020000}"/>
    <cellStyle name="60% - Énfasis6 5" xfId="344" xr:uid="{00000000-0005-0000-0000-000065020000}"/>
    <cellStyle name="60% - Énfasis6 6" xfId="345" xr:uid="{00000000-0005-0000-0000-000066020000}"/>
    <cellStyle name="60% - Énfasis6 7" xfId="346" xr:uid="{00000000-0005-0000-0000-000067020000}"/>
    <cellStyle name="60% - Énfasis6 8" xfId="347" xr:uid="{00000000-0005-0000-0000-000068020000}"/>
    <cellStyle name="60% - Énfasis6 9" xfId="348" xr:uid="{00000000-0005-0000-0000-000069020000}"/>
    <cellStyle name="Accent1" xfId="941" xr:uid="{00000000-0005-0000-0000-00006A020000}"/>
    <cellStyle name="Accent1 2" xfId="349" xr:uid="{00000000-0005-0000-0000-00006B020000}"/>
    <cellStyle name="Accent1 3" xfId="1123" xr:uid="{00000000-0005-0000-0000-00006C020000}"/>
    <cellStyle name="Accent2" xfId="944" xr:uid="{00000000-0005-0000-0000-00006D020000}"/>
    <cellStyle name="Accent2 2" xfId="350" xr:uid="{00000000-0005-0000-0000-00006E020000}"/>
    <cellStyle name="Accent2 3" xfId="1124" xr:uid="{00000000-0005-0000-0000-00006F020000}"/>
    <cellStyle name="Accent3" xfId="947" xr:uid="{00000000-0005-0000-0000-000070020000}"/>
    <cellStyle name="Accent3 2" xfId="351" xr:uid="{00000000-0005-0000-0000-000071020000}"/>
    <cellStyle name="Accent3 3" xfId="1125" xr:uid="{00000000-0005-0000-0000-000072020000}"/>
    <cellStyle name="Accent4" xfId="950" xr:uid="{00000000-0005-0000-0000-000073020000}"/>
    <cellStyle name="Accent4 2" xfId="352" xr:uid="{00000000-0005-0000-0000-000074020000}"/>
    <cellStyle name="Accent4 3" xfId="1126" xr:uid="{00000000-0005-0000-0000-000075020000}"/>
    <cellStyle name="Accent5" xfId="953" xr:uid="{00000000-0005-0000-0000-000076020000}"/>
    <cellStyle name="Accent5 2" xfId="353" xr:uid="{00000000-0005-0000-0000-000077020000}"/>
    <cellStyle name="Accent5 3" xfId="1127" xr:uid="{00000000-0005-0000-0000-000078020000}"/>
    <cellStyle name="Accent6" xfId="956" xr:uid="{00000000-0005-0000-0000-000079020000}"/>
    <cellStyle name="Accent6 2" xfId="354" xr:uid="{00000000-0005-0000-0000-00007A020000}"/>
    <cellStyle name="Accent6 3" xfId="1128" xr:uid="{00000000-0005-0000-0000-00007B020000}"/>
    <cellStyle name="Bad" xfId="937" xr:uid="{00000000-0005-0000-0000-00007C020000}"/>
    <cellStyle name="Bad 2" xfId="355" xr:uid="{00000000-0005-0000-0000-00007D020000}"/>
    <cellStyle name="Bad 3" xfId="1129" xr:uid="{00000000-0005-0000-0000-00007E020000}"/>
    <cellStyle name="Buena 10" xfId="356" xr:uid="{00000000-0005-0000-0000-00007F020000}"/>
    <cellStyle name="Buena 11" xfId="357" xr:uid="{00000000-0005-0000-0000-000080020000}"/>
    <cellStyle name="Buena 12" xfId="358" xr:uid="{00000000-0005-0000-0000-000081020000}"/>
    <cellStyle name="Buena 13" xfId="359" xr:uid="{00000000-0005-0000-0000-000082020000}"/>
    <cellStyle name="Buena 14" xfId="360" xr:uid="{00000000-0005-0000-0000-000083020000}"/>
    <cellStyle name="Buena 15" xfId="361" xr:uid="{00000000-0005-0000-0000-000084020000}"/>
    <cellStyle name="Buena 16" xfId="362" xr:uid="{00000000-0005-0000-0000-000085020000}"/>
    <cellStyle name="Buena 17" xfId="363" xr:uid="{00000000-0005-0000-0000-000086020000}"/>
    <cellStyle name="Buena 18" xfId="364" xr:uid="{00000000-0005-0000-0000-000087020000}"/>
    <cellStyle name="Buena 19" xfId="365" xr:uid="{00000000-0005-0000-0000-000088020000}"/>
    <cellStyle name="Buena 2" xfId="366" xr:uid="{00000000-0005-0000-0000-000089020000}"/>
    <cellStyle name="Buena 3" xfId="367" xr:uid="{00000000-0005-0000-0000-00008A020000}"/>
    <cellStyle name="Buena 4" xfId="368" xr:uid="{00000000-0005-0000-0000-00008B020000}"/>
    <cellStyle name="Buena 5" xfId="369" xr:uid="{00000000-0005-0000-0000-00008C020000}"/>
    <cellStyle name="Buena 6" xfId="370" xr:uid="{00000000-0005-0000-0000-00008D020000}"/>
    <cellStyle name="Buena 7" xfId="371" xr:uid="{00000000-0005-0000-0000-00008E020000}"/>
    <cellStyle name="Buena 8" xfId="372" xr:uid="{00000000-0005-0000-0000-00008F020000}"/>
    <cellStyle name="Buena 9" xfId="373" xr:uid="{00000000-0005-0000-0000-000090020000}"/>
    <cellStyle name="Calculation" xfId="939" xr:uid="{00000000-0005-0000-0000-000091020000}"/>
    <cellStyle name="Calculation 2" xfId="374" xr:uid="{00000000-0005-0000-0000-000092020000}"/>
    <cellStyle name="Calculation 2 2" xfId="1265" xr:uid="{00000000-0005-0000-0000-000093020000}"/>
    <cellStyle name="Calculation 2 3" xfId="1319" xr:uid="{00000000-0005-0000-0000-000094020000}"/>
    <cellStyle name="Calculation 3" xfId="1130" xr:uid="{00000000-0005-0000-0000-000095020000}"/>
    <cellStyle name="Calculation 3 2" xfId="1509" xr:uid="{00000000-0005-0000-0000-000096020000}"/>
    <cellStyle name="Calculation 3 3" xfId="1555" xr:uid="{00000000-0005-0000-0000-000097020000}"/>
    <cellStyle name="Cálculo 10" xfId="375" xr:uid="{00000000-0005-0000-0000-000098020000}"/>
    <cellStyle name="Cálculo 10 2" xfId="1266" xr:uid="{00000000-0005-0000-0000-000099020000}"/>
    <cellStyle name="Cálculo 10 3" xfId="1318" xr:uid="{00000000-0005-0000-0000-00009A020000}"/>
    <cellStyle name="Cálculo 11" xfId="376" xr:uid="{00000000-0005-0000-0000-00009B020000}"/>
    <cellStyle name="Cálculo 11 2" xfId="1267" xr:uid="{00000000-0005-0000-0000-00009C020000}"/>
    <cellStyle name="Cálculo 11 3" xfId="1423" xr:uid="{00000000-0005-0000-0000-00009D020000}"/>
    <cellStyle name="Cálculo 12" xfId="377" xr:uid="{00000000-0005-0000-0000-00009E020000}"/>
    <cellStyle name="Cálculo 12 2" xfId="1268" xr:uid="{00000000-0005-0000-0000-00009F020000}"/>
    <cellStyle name="Cálculo 12 3" xfId="1299" xr:uid="{00000000-0005-0000-0000-0000A0020000}"/>
    <cellStyle name="Cálculo 13" xfId="378" xr:uid="{00000000-0005-0000-0000-0000A1020000}"/>
    <cellStyle name="Cálculo 13 2" xfId="1269" xr:uid="{00000000-0005-0000-0000-0000A2020000}"/>
    <cellStyle name="Cálculo 13 3" xfId="1298" xr:uid="{00000000-0005-0000-0000-0000A3020000}"/>
    <cellStyle name="Cálculo 14" xfId="379" xr:uid="{00000000-0005-0000-0000-0000A4020000}"/>
    <cellStyle name="Cálculo 14 2" xfId="1270" xr:uid="{00000000-0005-0000-0000-0000A5020000}"/>
    <cellStyle name="Cálculo 14 3" xfId="1297" xr:uid="{00000000-0005-0000-0000-0000A6020000}"/>
    <cellStyle name="Cálculo 15" xfId="380" xr:uid="{00000000-0005-0000-0000-0000A7020000}"/>
    <cellStyle name="Cálculo 15 2" xfId="1271" xr:uid="{00000000-0005-0000-0000-0000A8020000}"/>
    <cellStyle name="Cálculo 15 3" xfId="1296" xr:uid="{00000000-0005-0000-0000-0000A9020000}"/>
    <cellStyle name="Cálculo 16" xfId="381" xr:uid="{00000000-0005-0000-0000-0000AA020000}"/>
    <cellStyle name="Cálculo 16 2" xfId="1272" xr:uid="{00000000-0005-0000-0000-0000AB020000}"/>
    <cellStyle name="Cálculo 16 3" xfId="1295" xr:uid="{00000000-0005-0000-0000-0000AC020000}"/>
    <cellStyle name="Cálculo 17" xfId="382" xr:uid="{00000000-0005-0000-0000-0000AD020000}"/>
    <cellStyle name="Cálculo 17 2" xfId="1273" xr:uid="{00000000-0005-0000-0000-0000AE020000}"/>
    <cellStyle name="Cálculo 17 3" xfId="1294" xr:uid="{00000000-0005-0000-0000-0000AF020000}"/>
    <cellStyle name="Cálculo 18" xfId="383" xr:uid="{00000000-0005-0000-0000-0000B0020000}"/>
    <cellStyle name="Cálculo 18 2" xfId="1274" xr:uid="{00000000-0005-0000-0000-0000B1020000}"/>
    <cellStyle name="Cálculo 18 3" xfId="1293" xr:uid="{00000000-0005-0000-0000-0000B2020000}"/>
    <cellStyle name="Cálculo 19" xfId="384" xr:uid="{00000000-0005-0000-0000-0000B3020000}"/>
    <cellStyle name="Cálculo 19 2" xfId="1275" xr:uid="{00000000-0005-0000-0000-0000B4020000}"/>
    <cellStyle name="Cálculo 19 3" xfId="1292" xr:uid="{00000000-0005-0000-0000-0000B5020000}"/>
    <cellStyle name="Cálculo 2" xfId="385" xr:uid="{00000000-0005-0000-0000-0000B6020000}"/>
    <cellStyle name="Cálculo 2 2" xfId="1276" xr:uid="{00000000-0005-0000-0000-0000B7020000}"/>
    <cellStyle name="Cálculo 2 3" xfId="1291" xr:uid="{00000000-0005-0000-0000-0000B8020000}"/>
    <cellStyle name="Cálculo 3" xfId="386" xr:uid="{00000000-0005-0000-0000-0000B9020000}"/>
    <cellStyle name="Cálculo 3 2" xfId="1277" xr:uid="{00000000-0005-0000-0000-0000BA020000}"/>
    <cellStyle name="Cálculo 3 3" xfId="1290" xr:uid="{00000000-0005-0000-0000-0000BB020000}"/>
    <cellStyle name="Cálculo 4" xfId="387" xr:uid="{00000000-0005-0000-0000-0000BC020000}"/>
    <cellStyle name="Cálculo 4 2" xfId="1278" xr:uid="{00000000-0005-0000-0000-0000BD020000}"/>
    <cellStyle name="Cálculo 4 3" xfId="1289" xr:uid="{00000000-0005-0000-0000-0000BE020000}"/>
    <cellStyle name="Cálculo 5" xfId="388" xr:uid="{00000000-0005-0000-0000-0000BF020000}"/>
    <cellStyle name="Cálculo 5 2" xfId="1279" xr:uid="{00000000-0005-0000-0000-0000C0020000}"/>
    <cellStyle name="Cálculo 5 3" xfId="1288" xr:uid="{00000000-0005-0000-0000-0000C1020000}"/>
    <cellStyle name="Cálculo 6" xfId="389" xr:uid="{00000000-0005-0000-0000-0000C2020000}"/>
    <cellStyle name="Cálculo 6 2" xfId="1280" xr:uid="{00000000-0005-0000-0000-0000C3020000}"/>
    <cellStyle name="Cálculo 6 3" xfId="1287" xr:uid="{00000000-0005-0000-0000-0000C4020000}"/>
    <cellStyle name="Cálculo 7" xfId="390" xr:uid="{00000000-0005-0000-0000-0000C5020000}"/>
    <cellStyle name="Cálculo 7 2" xfId="1281" xr:uid="{00000000-0005-0000-0000-0000C6020000}"/>
    <cellStyle name="Cálculo 7 3" xfId="1286" xr:uid="{00000000-0005-0000-0000-0000C7020000}"/>
    <cellStyle name="Cálculo 8" xfId="391" xr:uid="{00000000-0005-0000-0000-0000C8020000}"/>
    <cellStyle name="Cálculo 8 2" xfId="1282" xr:uid="{00000000-0005-0000-0000-0000C9020000}"/>
    <cellStyle name="Cálculo 8 3" xfId="1285" xr:uid="{00000000-0005-0000-0000-0000CA020000}"/>
    <cellStyle name="Cálculo 9" xfId="392" xr:uid="{00000000-0005-0000-0000-0000CB020000}"/>
    <cellStyle name="Cálculo 9 2" xfId="1283" xr:uid="{00000000-0005-0000-0000-0000CC020000}"/>
    <cellStyle name="Cálculo 9 3" xfId="1284" xr:uid="{00000000-0005-0000-0000-0000CD020000}"/>
    <cellStyle name="Celda de comprobación" xfId="429" builtinId="23" customBuiltin="1"/>
    <cellStyle name="Celda de comprobación 10" xfId="393" xr:uid="{00000000-0005-0000-0000-0000CF020000}"/>
    <cellStyle name="Celda de comprobación 11" xfId="394" xr:uid="{00000000-0005-0000-0000-0000D0020000}"/>
    <cellStyle name="Celda de comprobación 12" xfId="395" xr:uid="{00000000-0005-0000-0000-0000D1020000}"/>
    <cellStyle name="Celda de comprobación 13" xfId="396" xr:uid="{00000000-0005-0000-0000-0000D2020000}"/>
    <cellStyle name="Celda de comprobación 14" xfId="397" xr:uid="{00000000-0005-0000-0000-0000D3020000}"/>
    <cellStyle name="Celda de comprobación 15" xfId="398" xr:uid="{00000000-0005-0000-0000-0000D4020000}"/>
    <cellStyle name="Celda de comprobación 16" xfId="399" xr:uid="{00000000-0005-0000-0000-0000D5020000}"/>
    <cellStyle name="Celda de comprobación 17" xfId="400" xr:uid="{00000000-0005-0000-0000-0000D6020000}"/>
    <cellStyle name="Celda de comprobación 18" xfId="401" xr:uid="{00000000-0005-0000-0000-0000D7020000}"/>
    <cellStyle name="Celda de comprobación 19" xfId="402" xr:uid="{00000000-0005-0000-0000-0000D8020000}"/>
    <cellStyle name="Celda de comprobación 2" xfId="403" xr:uid="{00000000-0005-0000-0000-0000D9020000}"/>
    <cellStyle name="Celda de comprobación 20" xfId="979" xr:uid="{00000000-0005-0000-0000-0000DA020000}"/>
    <cellStyle name="Celda de comprobación 3" xfId="404" xr:uid="{00000000-0005-0000-0000-0000DB020000}"/>
    <cellStyle name="Celda de comprobación 4" xfId="405" xr:uid="{00000000-0005-0000-0000-0000DC020000}"/>
    <cellStyle name="Celda de comprobación 5" xfId="406" xr:uid="{00000000-0005-0000-0000-0000DD020000}"/>
    <cellStyle name="Celda de comprobación 6" xfId="407" xr:uid="{00000000-0005-0000-0000-0000DE020000}"/>
    <cellStyle name="Celda de comprobación 7" xfId="408" xr:uid="{00000000-0005-0000-0000-0000DF020000}"/>
    <cellStyle name="Celda de comprobación 8" xfId="409" xr:uid="{00000000-0005-0000-0000-0000E0020000}"/>
    <cellStyle name="Celda de comprobación 9" xfId="410" xr:uid="{00000000-0005-0000-0000-0000E1020000}"/>
    <cellStyle name="Celda vinculada" xfId="612" builtinId="24" customBuiltin="1"/>
    <cellStyle name="Celda vinculada 10" xfId="411" xr:uid="{00000000-0005-0000-0000-0000E3020000}"/>
    <cellStyle name="Celda vinculada 11" xfId="412" xr:uid="{00000000-0005-0000-0000-0000E4020000}"/>
    <cellStyle name="Celda vinculada 12" xfId="413" xr:uid="{00000000-0005-0000-0000-0000E5020000}"/>
    <cellStyle name="Celda vinculada 13" xfId="414" xr:uid="{00000000-0005-0000-0000-0000E6020000}"/>
    <cellStyle name="Celda vinculada 14" xfId="415" xr:uid="{00000000-0005-0000-0000-0000E7020000}"/>
    <cellStyle name="Celda vinculada 15" xfId="416" xr:uid="{00000000-0005-0000-0000-0000E8020000}"/>
    <cellStyle name="Celda vinculada 16" xfId="417" xr:uid="{00000000-0005-0000-0000-0000E9020000}"/>
    <cellStyle name="Celda vinculada 17" xfId="418" xr:uid="{00000000-0005-0000-0000-0000EA020000}"/>
    <cellStyle name="Celda vinculada 18" xfId="419" xr:uid="{00000000-0005-0000-0000-0000EB020000}"/>
    <cellStyle name="Celda vinculada 19" xfId="420" xr:uid="{00000000-0005-0000-0000-0000EC020000}"/>
    <cellStyle name="Celda vinculada 2" xfId="421" xr:uid="{00000000-0005-0000-0000-0000ED020000}"/>
    <cellStyle name="Celda vinculada 20" xfId="980" xr:uid="{00000000-0005-0000-0000-0000EE020000}"/>
    <cellStyle name="Celda vinculada 3" xfId="422" xr:uid="{00000000-0005-0000-0000-0000EF020000}"/>
    <cellStyle name="Celda vinculada 4" xfId="423" xr:uid="{00000000-0005-0000-0000-0000F0020000}"/>
    <cellStyle name="Celda vinculada 5" xfId="424" xr:uid="{00000000-0005-0000-0000-0000F1020000}"/>
    <cellStyle name="Celda vinculada 6" xfId="425" xr:uid="{00000000-0005-0000-0000-0000F2020000}"/>
    <cellStyle name="Celda vinculada 7" xfId="426" xr:uid="{00000000-0005-0000-0000-0000F3020000}"/>
    <cellStyle name="Celda vinculada 8" xfId="427" xr:uid="{00000000-0005-0000-0000-0000F4020000}"/>
    <cellStyle name="Celda vinculada 9" xfId="428" xr:uid="{00000000-0005-0000-0000-0000F5020000}"/>
    <cellStyle name="Check Cell 2" xfId="430" xr:uid="{00000000-0005-0000-0000-0000F6020000}"/>
    <cellStyle name="Check Cell 3" xfId="1131" xr:uid="{00000000-0005-0000-0000-0000F7020000}"/>
    <cellStyle name="Encabezado 4" xfId="589" builtinId="19" customBuiltin="1"/>
    <cellStyle name="Encabezado 4 10" xfId="431" xr:uid="{00000000-0005-0000-0000-0000F9020000}"/>
    <cellStyle name="Encabezado 4 11" xfId="432" xr:uid="{00000000-0005-0000-0000-0000FA020000}"/>
    <cellStyle name="Encabezado 4 12" xfId="433" xr:uid="{00000000-0005-0000-0000-0000FB020000}"/>
    <cellStyle name="Encabezado 4 13" xfId="434" xr:uid="{00000000-0005-0000-0000-0000FC020000}"/>
    <cellStyle name="Encabezado 4 14" xfId="435" xr:uid="{00000000-0005-0000-0000-0000FD020000}"/>
    <cellStyle name="Encabezado 4 15" xfId="436" xr:uid="{00000000-0005-0000-0000-0000FE020000}"/>
    <cellStyle name="Encabezado 4 16" xfId="437" xr:uid="{00000000-0005-0000-0000-0000FF020000}"/>
    <cellStyle name="Encabezado 4 17" xfId="438" xr:uid="{00000000-0005-0000-0000-000000030000}"/>
    <cellStyle name="Encabezado 4 18" xfId="439" xr:uid="{00000000-0005-0000-0000-000001030000}"/>
    <cellStyle name="Encabezado 4 19" xfId="440" xr:uid="{00000000-0005-0000-0000-000002030000}"/>
    <cellStyle name="Encabezado 4 2" xfId="441" xr:uid="{00000000-0005-0000-0000-000003030000}"/>
    <cellStyle name="Encabezado 4 20" xfId="981" xr:uid="{00000000-0005-0000-0000-000004030000}"/>
    <cellStyle name="Encabezado 4 3" xfId="442" xr:uid="{00000000-0005-0000-0000-000005030000}"/>
    <cellStyle name="Encabezado 4 4" xfId="443" xr:uid="{00000000-0005-0000-0000-000006030000}"/>
    <cellStyle name="Encabezado 4 5" xfId="444" xr:uid="{00000000-0005-0000-0000-000007030000}"/>
    <cellStyle name="Encabezado 4 6" xfId="445" xr:uid="{00000000-0005-0000-0000-000008030000}"/>
    <cellStyle name="Encabezado 4 7" xfId="446" xr:uid="{00000000-0005-0000-0000-000009030000}"/>
    <cellStyle name="Encabezado 4 8" xfId="447" xr:uid="{00000000-0005-0000-0000-00000A030000}"/>
    <cellStyle name="Encabezado 4 9" xfId="448" xr:uid="{00000000-0005-0000-0000-00000B030000}"/>
    <cellStyle name="Énfasis1 10" xfId="449" xr:uid="{00000000-0005-0000-0000-00000C030000}"/>
    <cellStyle name="Énfasis1 11" xfId="450" xr:uid="{00000000-0005-0000-0000-00000D030000}"/>
    <cellStyle name="Énfasis1 12" xfId="451" xr:uid="{00000000-0005-0000-0000-00000E030000}"/>
    <cellStyle name="Énfasis1 13" xfId="452" xr:uid="{00000000-0005-0000-0000-00000F030000}"/>
    <cellStyle name="Énfasis1 14" xfId="453" xr:uid="{00000000-0005-0000-0000-000010030000}"/>
    <cellStyle name="Énfasis1 15" xfId="454" xr:uid="{00000000-0005-0000-0000-000011030000}"/>
    <cellStyle name="Énfasis1 16" xfId="455" xr:uid="{00000000-0005-0000-0000-000012030000}"/>
    <cellStyle name="Énfasis1 17" xfId="456" xr:uid="{00000000-0005-0000-0000-000013030000}"/>
    <cellStyle name="Énfasis1 18" xfId="457" xr:uid="{00000000-0005-0000-0000-000014030000}"/>
    <cellStyle name="Énfasis1 19" xfId="458" xr:uid="{00000000-0005-0000-0000-000015030000}"/>
    <cellStyle name="Énfasis1 2" xfId="459" xr:uid="{00000000-0005-0000-0000-000016030000}"/>
    <cellStyle name="Énfasis1 3" xfId="460" xr:uid="{00000000-0005-0000-0000-000017030000}"/>
    <cellStyle name="Énfasis1 4" xfId="461" xr:uid="{00000000-0005-0000-0000-000018030000}"/>
    <cellStyle name="Énfasis1 5" xfId="462" xr:uid="{00000000-0005-0000-0000-000019030000}"/>
    <cellStyle name="Énfasis1 6" xfId="463" xr:uid="{00000000-0005-0000-0000-00001A030000}"/>
    <cellStyle name="Énfasis1 7" xfId="464" xr:uid="{00000000-0005-0000-0000-00001B030000}"/>
    <cellStyle name="Énfasis1 8" xfId="465" xr:uid="{00000000-0005-0000-0000-00001C030000}"/>
    <cellStyle name="Énfasis1 9" xfId="466" xr:uid="{00000000-0005-0000-0000-00001D030000}"/>
    <cellStyle name="Énfasis2 10" xfId="467" xr:uid="{00000000-0005-0000-0000-00001E030000}"/>
    <cellStyle name="Énfasis2 11" xfId="468" xr:uid="{00000000-0005-0000-0000-00001F030000}"/>
    <cellStyle name="Énfasis2 12" xfId="469" xr:uid="{00000000-0005-0000-0000-000020030000}"/>
    <cellStyle name="Énfasis2 13" xfId="470" xr:uid="{00000000-0005-0000-0000-000021030000}"/>
    <cellStyle name="Énfasis2 14" xfId="471" xr:uid="{00000000-0005-0000-0000-000022030000}"/>
    <cellStyle name="Énfasis2 15" xfId="472" xr:uid="{00000000-0005-0000-0000-000023030000}"/>
    <cellStyle name="Énfasis2 16" xfId="473" xr:uid="{00000000-0005-0000-0000-000024030000}"/>
    <cellStyle name="Énfasis2 17" xfId="474" xr:uid="{00000000-0005-0000-0000-000025030000}"/>
    <cellStyle name="Énfasis2 18" xfId="475" xr:uid="{00000000-0005-0000-0000-000026030000}"/>
    <cellStyle name="Énfasis2 19" xfId="476" xr:uid="{00000000-0005-0000-0000-000027030000}"/>
    <cellStyle name="Énfasis2 2" xfId="477" xr:uid="{00000000-0005-0000-0000-000028030000}"/>
    <cellStyle name="Énfasis2 3" xfId="478" xr:uid="{00000000-0005-0000-0000-000029030000}"/>
    <cellStyle name="Énfasis2 4" xfId="479" xr:uid="{00000000-0005-0000-0000-00002A030000}"/>
    <cellStyle name="Énfasis2 5" xfId="480" xr:uid="{00000000-0005-0000-0000-00002B030000}"/>
    <cellStyle name="Énfasis2 6" xfId="481" xr:uid="{00000000-0005-0000-0000-00002C030000}"/>
    <cellStyle name="Énfasis2 7" xfId="482" xr:uid="{00000000-0005-0000-0000-00002D030000}"/>
    <cellStyle name="Énfasis2 8" xfId="483" xr:uid="{00000000-0005-0000-0000-00002E030000}"/>
    <cellStyle name="Énfasis2 9" xfId="484" xr:uid="{00000000-0005-0000-0000-00002F030000}"/>
    <cellStyle name="Énfasis3 10" xfId="485" xr:uid="{00000000-0005-0000-0000-000030030000}"/>
    <cellStyle name="Énfasis3 11" xfId="486" xr:uid="{00000000-0005-0000-0000-000031030000}"/>
    <cellStyle name="Énfasis3 12" xfId="487" xr:uid="{00000000-0005-0000-0000-000032030000}"/>
    <cellStyle name="Énfasis3 13" xfId="488" xr:uid="{00000000-0005-0000-0000-000033030000}"/>
    <cellStyle name="Énfasis3 14" xfId="489" xr:uid="{00000000-0005-0000-0000-000034030000}"/>
    <cellStyle name="Énfasis3 15" xfId="490" xr:uid="{00000000-0005-0000-0000-000035030000}"/>
    <cellStyle name="Énfasis3 16" xfId="491" xr:uid="{00000000-0005-0000-0000-000036030000}"/>
    <cellStyle name="Énfasis3 17" xfId="492" xr:uid="{00000000-0005-0000-0000-000037030000}"/>
    <cellStyle name="Énfasis3 18" xfId="493" xr:uid="{00000000-0005-0000-0000-000038030000}"/>
    <cellStyle name="Énfasis3 19" xfId="494" xr:uid="{00000000-0005-0000-0000-000039030000}"/>
    <cellStyle name="Énfasis3 2" xfId="495" xr:uid="{00000000-0005-0000-0000-00003A030000}"/>
    <cellStyle name="Énfasis3 3" xfId="496" xr:uid="{00000000-0005-0000-0000-00003B030000}"/>
    <cellStyle name="Énfasis3 4" xfId="497" xr:uid="{00000000-0005-0000-0000-00003C030000}"/>
    <cellStyle name="Énfasis3 5" xfId="498" xr:uid="{00000000-0005-0000-0000-00003D030000}"/>
    <cellStyle name="Énfasis3 6" xfId="499" xr:uid="{00000000-0005-0000-0000-00003E030000}"/>
    <cellStyle name="Énfasis3 7" xfId="500" xr:uid="{00000000-0005-0000-0000-00003F030000}"/>
    <cellStyle name="Énfasis3 8" xfId="501" xr:uid="{00000000-0005-0000-0000-000040030000}"/>
    <cellStyle name="Énfasis3 9" xfId="502" xr:uid="{00000000-0005-0000-0000-000041030000}"/>
    <cellStyle name="Énfasis4 10" xfId="503" xr:uid="{00000000-0005-0000-0000-000042030000}"/>
    <cellStyle name="Énfasis4 11" xfId="504" xr:uid="{00000000-0005-0000-0000-000043030000}"/>
    <cellStyle name="Énfasis4 12" xfId="505" xr:uid="{00000000-0005-0000-0000-000044030000}"/>
    <cellStyle name="Énfasis4 13" xfId="506" xr:uid="{00000000-0005-0000-0000-000045030000}"/>
    <cellStyle name="Énfasis4 14" xfId="507" xr:uid="{00000000-0005-0000-0000-000046030000}"/>
    <cellStyle name="Énfasis4 15" xfId="508" xr:uid="{00000000-0005-0000-0000-000047030000}"/>
    <cellStyle name="Énfasis4 16" xfId="509" xr:uid="{00000000-0005-0000-0000-000048030000}"/>
    <cellStyle name="Énfasis4 17" xfId="510" xr:uid="{00000000-0005-0000-0000-000049030000}"/>
    <cellStyle name="Énfasis4 18" xfId="511" xr:uid="{00000000-0005-0000-0000-00004A030000}"/>
    <cellStyle name="Énfasis4 19" xfId="512" xr:uid="{00000000-0005-0000-0000-00004B030000}"/>
    <cellStyle name="Énfasis4 2" xfId="513" xr:uid="{00000000-0005-0000-0000-00004C030000}"/>
    <cellStyle name="Énfasis4 3" xfId="514" xr:uid="{00000000-0005-0000-0000-00004D030000}"/>
    <cellStyle name="Énfasis4 4" xfId="515" xr:uid="{00000000-0005-0000-0000-00004E030000}"/>
    <cellStyle name="Énfasis4 5" xfId="516" xr:uid="{00000000-0005-0000-0000-00004F030000}"/>
    <cellStyle name="Énfasis4 6" xfId="517" xr:uid="{00000000-0005-0000-0000-000050030000}"/>
    <cellStyle name="Énfasis4 7" xfId="518" xr:uid="{00000000-0005-0000-0000-000051030000}"/>
    <cellStyle name="Énfasis4 8" xfId="519" xr:uid="{00000000-0005-0000-0000-000052030000}"/>
    <cellStyle name="Énfasis4 9" xfId="520" xr:uid="{00000000-0005-0000-0000-000053030000}"/>
    <cellStyle name="Énfasis5 10" xfId="521" xr:uid="{00000000-0005-0000-0000-000054030000}"/>
    <cellStyle name="Énfasis5 11" xfId="522" xr:uid="{00000000-0005-0000-0000-000055030000}"/>
    <cellStyle name="Énfasis5 12" xfId="523" xr:uid="{00000000-0005-0000-0000-000056030000}"/>
    <cellStyle name="Énfasis5 13" xfId="524" xr:uid="{00000000-0005-0000-0000-000057030000}"/>
    <cellStyle name="Énfasis5 14" xfId="525" xr:uid="{00000000-0005-0000-0000-000058030000}"/>
    <cellStyle name="Énfasis5 15" xfId="526" xr:uid="{00000000-0005-0000-0000-000059030000}"/>
    <cellStyle name="Énfasis5 16" xfId="527" xr:uid="{00000000-0005-0000-0000-00005A030000}"/>
    <cellStyle name="Énfasis5 17" xfId="528" xr:uid="{00000000-0005-0000-0000-00005B030000}"/>
    <cellStyle name="Énfasis5 18" xfId="529" xr:uid="{00000000-0005-0000-0000-00005C030000}"/>
    <cellStyle name="Énfasis5 19" xfId="530" xr:uid="{00000000-0005-0000-0000-00005D030000}"/>
    <cellStyle name="Énfasis5 2" xfId="531" xr:uid="{00000000-0005-0000-0000-00005E030000}"/>
    <cellStyle name="Énfasis5 3" xfId="532" xr:uid="{00000000-0005-0000-0000-00005F030000}"/>
    <cellStyle name="Énfasis5 4" xfId="533" xr:uid="{00000000-0005-0000-0000-000060030000}"/>
    <cellStyle name="Énfasis5 5" xfId="534" xr:uid="{00000000-0005-0000-0000-000061030000}"/>
    <cellStyle name="Énfasis5 6" xfId="535" xr:uid="{00000000-0005-0000-0000-000062030000}"/>
    <cellStyle name="Énfasis5 7" xfId="536" xr:uid="{00000000-0005-0000-0000-000063030000}"/>
    <cellStyle name="Énfasis5 8" xfId="537" xr:uid="{00000000-0005-0000-0000-000064030000}"/>
    <cellStyle name="Énfasis5 9" xfId="538" xr:uid="{00000000-0005-0000-0000-000065030000}"/>
    <cellStyle name="Énfasis6 10" xfId="539" xr:uid="{00000000-0005-0000-0000-000066030000}"/>
    <cellStyle name="Énfasis6 11" xfId="540" xr:uid="{00000000-0005-0000-0000-000067030000}"/>
    <cellStyle name="Énfasis6 12" xfId="541" xr:uid="{00000000-0005-0000-0000-000068030000}"/>
    <cellStyle name="Énfasis6 13" xfId="542" xr:uid="{00000000-0005-0000-0000-000069030000}"/>
    <cellStyle name="Énfasis6 14" xfId="543" xr:uid="{00000000-0005-0000-0000-00006A030000}"/>
    <cellStyle name="Énfasis6 15" xfId="544" xr:uid="{00000000-0005-0000-0000-00006B030000}"/>
    <cellStyle name="Énfasis6 16" xfId="545" xr:uid="{00000000-0005-0000-0000-00006C030000}"/>
    <cellStyle name="Énfasis6 17" xfId="546" xr:uid="{00000000-0005-0000-0000-00006D030000}"/>
    <cellStyle name="Énfasis6 18" xfId="547" xr:uid="{00000000-0005-0000-0000-00006E030000}"/>
    <cellStyle name="Énfasis6 19" xfId="548" xr:uid="{00000000-0005-0000-0000-00006F030000}"/>
    <cellStyle name="Énfasis6 2" xfId="549" xr:uid="{00000000-0005-0000-0000-000070030000}"/>
    <cellStyle name="Énfasis6 3" xfId="550" xr:uid="{00000000-0005-0000-0000-000071030000}"/>
    <cellStyle name="Énfasis6 4" xfId="551" xr:uid="{00000000-0005-0000-0000-000072030000}"/>
    <cellStyle name="Énfasis6 5" xfId="552" xr:uid="{00000000-0005-0000-0000-000073030000}"/>
    <cellStyle name="Énfasis6 6" xfId="553" xr:uid="{00000000-0005-0000-0000-000074030000}"/>
    <cellStyle name="Énfasis6 7" xfId="554" xr:uid="{00000000-0005-0000-0000-000075030000}"/>
    <cellStyle name="Énfasis6 8" xfId="555" xr:uid="{00000000-0005-0000-0000-000076030000}"/>
    <cellStyle name="Énfasis6 9" xfId="556" xr:uid="{00000000-0005-0000-0000-000077030000}"/>
    <cellStyle name="Entrada" xfId="610" builtinId="20" customBuiltin="1"/>
    <cellStyle name="Entrada 10" xfId="557" xr:uid="{00000000-0005-0000-0000-000079030000}"/>
    <cellStyle name="Entrada 10 2" xfId="1300" xr:uid="{00000000-0005-0000-0000-00007A030000}"/>
    <cellStyle name="Entrada 10 3" xfId="1264" xr:uid="{00000000-0005-0000-0000-00007B030000}"/>
    <cellStyle name="Entrada 11" xfId="558" xr:uid="{00000000-0005-0000-0000-00007C030000}"/>
    <cellStyle name="Entrada 11 2" xfId="1301" xr:uid="{00000000-0005-0000-0000-00007D030000}"/>
    <cellStyle name="Entrada 11 3" xfId="1263" xr:uid="{00000000-0005-0000-0000-00007E030000}"/>
    <cellStyle name="Entrada 12" xfId="559" xr:uid="{00000000-0005-0000-0000-00007F030000}"/>
    <cellStyle name="Entrada 12 2" xfId="1302" xr:uid="{00000000-0005-0000-0000-000080030000}"/>
    <cellStyle name="Entrada 12 3" xfId="1262" xr:uid="{00000000-0005-0000-0000-000081030000}"/>
    <cellStyle name="Entrada 13" xfId="560" xr:uid="{00000000-0005-0000-0000-000082030000}"/>
    <cellStyle name="Entrada 13 2" xfId="1303" xr:uid="{00000000-0005-0000-0000-000083030000}"/>
    <cellStyle name="Entrada 13 3" xfId="1261" xr:uid="{00000000-0005-0000-0000-000084030000}"/>
    <cellStyle name="Entrada 14" xfId="561" xr:uid="{00000000-0005-0000-0000-000085030000}"/>
    <cellStyle name="Entrada 14 2" xfId="1304" xr:uid="{00000000-0005-0000-0000-000086030000}"/>
    <cellStyle name="Entrada 14 3" xfId="1260" xr:uid="{00000000-0005-0000-0000-000087030000}"/>
    <cellStyle name="Entrada 15" xfId="562" xr:uid="{00000000-0005-0000-0000-000088030000}"/>
    <cellStyle name="Entrada 15 2" xfId="1305" xr:uid="{00000000-0005-0000-0000-000089030000}"/>
    <cellStyle name="Entrada 15 3" xfId="1259" xr:uid="{00000000-0005-0000-0000-00008A030000}"/>
    <cellStyle name="Entrada 16" xfId="563" xr:uid="{00000000-0005-0000-0000-00008B030000}"/>
    <cellStyle name="Entrada 16 2" xfId="1306" xr:uid="{00000000-0005-0000-0000-00008C030000}"/>
    <cellStyle name="Entrada 16 3" xfId="1508" xr:uid="{00000000-0005-0000-0000-00008D030000}"/>
    <cellStyle name="Entrada 17" xfId="564" xr:uid="{00000000-0005-0000-0000-00008E030000}"/>
    <cellStyle name="Entrada 17 2" xfId="1307" xr:uid="{00000000-0005-0000-0000-00008F030000}"/>
    <cellStyle name="Entrada 17 3" xfId="1258" xr:uid="{00000000-0005-0000-0000-000090030000}"/>
    <cellStyle name="Entrada 18" xfId="565" xr:uid="{00000000-0005-0000-0000-000091030000}"/>
    <cellStyle name="Entrada 18 2" xfId="1308" xr:uid="{00000000-0005-0000-0000-000092030000}"/>
    <cellStyle name="Entrada 18 3" xfId="1400" xr:uid="{00000000-0005-0000-0000-000093030000}"/>
    <cellStyle name="Entrada 19" xfId="566" xr:uid="{00000000-0005-0000-0000-000094030000}"/>
    <cellStyle name="Entrada 19 2" xfId="1309" xr:uid="{00000000-0005-0000-0000-000095030000}"/>
    <cellStyle name="Entrada 19 3" xfId="1507" xr:uid="{00000000-0005-0000-0000-000096030000}"/>
    <cellStyle name="Entrada 2" xfId="567" xr:uid="{00000000-0005-0000-0000-000097030000}"/>
    <cellStyle name="Entrada 2 2" xfId="1310" xr:uid="{00000000-0005-0000-0000-000098030000}"/>
    <cellStyle name="Entrada 2 3" xfId="1257" xr:uid="{00000000-0005-0000-0000-000099030000}"/>
    <cellStyle name="Entrada 20" xfId="982" xr:uid="{00000000-0005-0000-0000-00009A030000}"/>
    <cellStyle name="Entrada 3" xfId="568" xr:uid="{00000000-0005-0000-0000-00009B030000}"/>
    <cellStyle name="Entrada 3 2" xfId="1311" xr:uid="{00000000-0005-0000-0000-00009C030000}"/>
    <cellStyle name="Entrada 3 3" xfId="1413" xr:uid="{00000000-0005-0000-0000-00009D030000}"/>
    <cellStyle name="Entrada 4" xfId="569" xr:uid="{00000000-0005-0000-0000-00009E030000}"/>
    <cellStyle name="Entrada 4 2" xfId="1312" xr:uid="{00000000-0005-0000-0000-00009F030000}"/>
    <cellStyle name="Entrada 4 3" xfId="1506" xr:uid="{00000000-0005-0000-0000-0000A0030000}"/>
    <cellStyle name="Entrada 5" xfId="570" xr:uid="{00000000-0005-0000-0000-0000A1030000}"/>
    <cellStyle name="Entrada 5 2" xfId="1313" xr:uid="{00000000-0005-0000-0000-0000A2030000}"/>
    <cellStyle name="Entrada 5 3" xfId="1256" xr:uid="{00000000-0005-0000-0000-0000A3030000}"/>
    <cellStyle name="Entrada 6" xfId="571" xr:uid="{00000000-0005-0000-0000-0000A4030000}"/>
    <cellStyle name="Entrada 6 2" xfId="1314" xr:uid="{00000000-0005-0000-0000-0000A5030000}"/>
    <cellStyle name="Entrada 6 3" xfId="1410" xr:uid="{00000000-0005-0000-0000-0000A6030000}"/>
    <cellStyle name="Entrada 7" xfId="572" xr:uid="{00000000-0005-0000-0000-0000A7030000}"/>
    <cellStyle name="Entrada 7 2" xfId="1315" xr:uid="{00000000-0005-0000-0000-0000A8030000}"/>
    <cellStyle name="Entrada 7 3" xfId="1505" xr:uid="{00000000-0005-0000-0000-0000A9030000}"/>
    <cellStyle name="Entrada 8" xfId="573" xr:uid="{00000000-0005-0000-0000-0000AA030000}"/>
    <cellStyle name="Entrada 8 2" xfId="1316" xr:uid="{00000000-0005-0000-0000-0000AB030000}"/>
    <cellStyle name="Entrada 8 3" xfId="1255" xr:uid="{00000000-0005-0000-0000-0000AC030000}"/>
    <cellStyle name="Entrada 9" xfId="574" xr:uid="{00000000-0005-0000-0000-0000AD030000}"/>
    <cellStyle name="Entrada 9 2" xfId="1317" xr:uid="{00000000-0005-0000-0000-0000AE030000}"/>
    <cellStyle name="Entrada 9 3" xfId="1407" xr:uid="{00000000-0005-0000-0000-0000AF030000}"/>
    <cellStyle name="Euro" xfId="575" xr:uid="{00000000-0005-0000-0000-0000B0030000}"/>
    <cellStyle name="Euro 2" xfId="576" xr:uid="{00000000-0005-0000-0000-0000B1030000}"/>
    <cellStyle name="Euro 2 2" xfId="577" xr:uid="{00000000-0005-0000-0000-0000B2030000}"/>
    <cellStyle name="Euro 2 2 2" xfId="871" xr:uid="{00000000-0005-0000-0000-0000B3030000}"/>
    <cellStyle name="Euro 2 2 2 2" xfId="929" xr:uid="{00000000-0005-0000-0000-0000B4030000}"/>
    <cellStyle name="Euro 2 2 2 2 2" xfId="995" xr:uid="{00000000-0005-0000-0000-0000B5030000}"/>
    <cellStyle name="Euro 2 2 2 2 2 2" xfId="1041" xr:uid="{00000000-0005-0000-0000-0000B6030000}"/>
    <cellStyle name="Euro 2 2 2 2 3" xfId="967" xr:uid="{00000000-0005-0000-0000-0000B7030000}"/>
    <cellStyle name="Euro 2 2 2 2 3 2" xfId="1132" xr:uid="{00000000-0005-0000-0000-0000B8030000}"/>
    <cellStyle name="Euro 2 2 2 2 4" xfId="1028" xr:uid="{00000000-0005-0000-0000-0000B9030000}"/>
    <cellStyle name="Euro 2 2 2 2 5" xfId="1209" xr:uid="{00000000-0005-0000-0000-0000BA030000}"/>
    <cellStyle name="Euro 2 2 3" xfId="923" xr:uid="{00000000-0005-0000-0000-0000BB030000}"/>
    <cellStyle name="Euro 2 2 3 2" xfId="989" xr:uid="{00000000-0005-0000-0000-0000BC030000}"/>
    <cellStyle name="Euro 2 2 3 2 2" xfId="1035" xr:uid="{00000000-0005-0000-0000-0000BD030000}"/>
    <cellStyle name="Euro 2 2 3 3" xfId="961" xr:uid="{00000000-0005-0000-0000-0000BE030000}"/>
    <cellStyle name="Euro 2 2 3 3 2" xfId="1133" xr:uid="{00000000-0005-0000-0000-0000BF030000}"/>
    <cellStyle name="Euro 2 2 3 4" xfId="1022" xr:uid="{00000000-0005-0000-0000-0000C0030000}"/>
    <cellStyle name="Euro 2 2 3 5" xfId="1203" xr:uid="{00000000-0005-0000-0000-0000C1030000}"/>
    <cellStyle name="Euro 2 3" xfId="870" xr:uid="{00000000-0005-0000-0000-0000C2030000}"/>
    <cellStyle name="Euro 2 3 2" xfId="928" xr:uid="{00000000-0005-0000-0000-0000C3030000}"/>
    <cellStyle name="Euro 2 3 2 2" xfId="994" xr:uid="{00000000-0005-0000-0000-0000C4030000}"/>
    <cellStyle name="Euro 2 3 2 2 2" xfId="1040" xr:uid="{00000000-0005-0000-0000-0000C5030000}"/>
    <cellStyle name="Euro 2 3 2 3" xfId="966" xr:uid="{00000000-0005-0000-0000-0000C6030000}"/>
    <cellStyle name="Euro 2 3 2 3 2" xfId="1134" xr:uid="{00000000-0005-0000-0000-0000C7030000}"/>
    <cellStyle name="Euro 2 3 2 4" xfId="1027" xr:uid="{00000000-0005-0000-0000-0000C8030000}"/>
    <cellStyle name="Euro 2 3 2 5" xfId="1208" xr:uid="{00000000-0005-0000-0000-0000C9030000}"/>
    <cellStyle name="Euro 2 4" xfId="922" xr:uid="{00000000-0005-0000-0000-0000CA030000}"/>
    <cellStyle name="Euro 2 4 2" xfId="988" xr:uid="{00000000-0005-0000-0000-0000CB030000}"/>
    <cellStyle name="Euro 2 4 2 2" xfId="1034" xr:uid="{00000000-0005-0000-0000-0000CC030000}"/>
    <cellStyle name="Euro 2 4 3" xfId="960" xr:uid="{00000000-0005-0000-0000-0000CD030000}"/>
    <cellStyle name="Euro 2 4 3 2" xfId="1135" xr:uid="{00000000-0005-0000-0000-0000CE030000}"/>
    <cellStyle name="Euro 2 4 4" xfId="1021" xr:uid="{00000000-0005-0000-0000-0000CF030000}"/>
    <cellStyle name="Euro 2 4 5" xfId="1202" xr:uid="{00000000-0005-0000-0000-0000D0030000}"/>
    <cellStyle name="Euro 3" xfId="578" xr:uid="{00000000-0005-0000-0000-0000D1030000}"/>
    <cellStyle name="Euro 3 2" xfId="579" xr:uid="{00000000-0005-0000-0000-0000D2030000}"/>
    <cellStyle name="Euro 3 2 2" xfId="873" xr:uid="{00000000-0005-0000-0000-0000D3030000}"/>
    <cellStyle name="Euro 3 2 2 2" xfId="931" xr:uid="{00000000-0005-0000-0000-0000D4030000}"/>
    <cellStyle name="Euro 3 2 2 2 2" xfId="997" xr:uid="{00000000-0005-0000-0000-0000D5030000}"/>
    <cellStyle name="Euro 3 2 2 2 2 2" xfId="1043" xr:uid="{00000000-0005-0000-0000-0000D6030000}"/>
    <cellStyle name="Euro 3 2 2 2 3" xfId="969" xr:uid="{00000000-0005-0000-0000-0000D7030000}"/>
    <cellStyle name="Euro 3 2 2 2 3 2" xfId="1136" xr:uid="{00000000-0005-0000-0000-0000D8030000}"/>
    <cellStyle name="Euro 3 2 2 2 4" xfId="1030" xr:uid="{00000000-0005-0000-0000-0000D9030000}"/>
    <cellStyle name="Euro 3 2 2 2 5" xfId="1211" xr:uid="{00000000-0005-0000-0000-0000DA030000}"/>
    <cellStyle name="Euro 3 2 3" xfId="925" xr:uid="{00000000-0005-0000-0000-0000DB030000}"/>
    <cellStyle name="Euro 3 2 3 2" xfId="991" xr:uid="{00000000-0005-0000-0000-0000DC030000}"/>
    <cellStyle name="Euro 3 2 3 2 2" xfId="1037" xr:uid="{00000000-0005-0000-0000-0000DD030000}"/>
    <cellStyle name="Euro 3 2 3 3" xfId="963" xr:uid="{00000000-0005-0000-0000-0000DE030000}"/>
    <cellStyle name="Euro 3 2 3 3 2" xfId="1137" xr:uid="{00000000-0005-0000-0000-0000DF030000}"/>
    <cellStyle name="Euro 3 2 3 4" xfId="1024" xr:uid="{00000000-0005-0000-0000-0000E0030000}"/>
    <cellStyle name="Euro 3 2 3 5" xfId="1205" xr:uid="{00000000-0005-0000-0000-0000E1030000}"/>
    <cellStyle name="Euro 3 3" xfId="872" xr:uid="{00000000-0005-0000-0000-0000E2030000}"/>
    <cellStyle name="Euro 3 3 2" xfId="930" xr:uid="{00000000-0005-0000-0000-0000E3030000}"/>
    <cellStyle name="Euro 3 3 2 2" xfId="996" xr:uid="{00000000-0005-0000-0000-0000E4030000}"/>
    <cellStyle name="Euro 3 3 2 2 2" xfId="1042" xr:uid="{00000000-0005-0000-0000-0000E5030000}"/>
    <cellStyle name="Euro 3 3 2 3" xfId="968" xr:uid="{00000000-0005-0000-0000-0000E6030000}"/>
    <cellStyle name="Euro 3 3 2 3 2" xfId="1138" xr:uid="{00000000-0005-0000-0000-0000E7030000}"/>
    <cellStyle name="Euro 3 3 2 4" xfId="1029" xr:uid="{00000000-0005-0000-0000-0000E8030000}"/>
    <cellStyle name="Euro 3 3 2 5" xfId="1210" xr:uid="{00000000-0005-0000-0000-0000E9030000}"/>
    <cellStyle name="Euro 3 4" xfId="924" xr:uid="{00000000-0005-0000-0000-0000EA030000}"/>
    <cellStyle name="Euro 3 4 2" xfId="990" xr:uid="{00000000-0005-0000-0000-0000EB030000}"/>
    <cellStyle name="Euro 3 4 2 2" xfId="1036" xr:uid="{00000000-0005-0000-0000-0000EC030000}"/>
    <cellStyle name="Euro 3 4 3" xfId="962" xr:uid="{00000000-0005-0000-0000-0000ED030000}"/>
    <cellStyle name="Euro 3 4 3 2" xfId="1139" xr:uid="{00000000-0005-0000-0000-0000EE030000}"/>
    <cellStyle name="Euro 3 4 4" xfId="1023" xr:uid="{00000000-0005-0000-0000-0000EF030000}"/>
    <cellStyle name="Euro 3 4 5" xfId="1204" xr:uid="{00000000-0005-0000-0000-0000F0030000}"/>
    <cellStyle name="Euro 4" xfId="580" xr:uid="{00000000-0005-0000-0000-0000F1030000}"/>
    <cellStyle name="Euro 4 2" xfId="874" xr:uid="{00000000-0005-0000-0000-0000F2030000}"/>
    <cellStyle name="Euro 4 2 2" xfId="932" xr:uid="{00000000-0005-0000-0000-0000F3030000}"/>
    <cellStyle name="Euro 4 2 2 2" xfId="998" xr:uid="{00000000-0005-0000-0000-0000F4030000}"/>
    <cellStyle name="Euro 4 2 2 2 2" xfId="1044" xr:uid="{00000000-0005-0000-0000-0000F5030000}"/>
    <cellStyle name="Euro 4 2 2 3" xfId="970" xr:uid="{00000000-0005-0000-0000-0000F6030000}"/>
    <cellStyle name="Euro 4 2 2 3 2" xfId="1140" xr:uid="{00000000-0005-0000-0000-0000F7030000}"/>
    <cellStyle name="Euro 4 2 2 4" xfId="1031" xr:uid="{00000000-0005-0000-0000-0000F8030000}"/>
    <cellStyle name="Euro 4 2 2 5" xfId="1212" xr:uid="{00000000-0005-0000-0000-0000F9030000}"/>
    <cellStyle name="Euro 4 3" xfId="926" xr:uid="{00000000-0005-0000-0000-0000FA030000}"/>
    <cellStyle name="Euro 4 3 2" xfId="992" xr:uid="{00000000-0005-0000-0000-0000FB030000}"/>
    <cellStyle name="Euro 4 3 2 2" xfId="1038" xr:uid="{00000000-0005-0000-0000-0000FC030000}"/>
    <cellStyle name="Euro 4 3 3" xfId="964" xr:uid="{00000000-0005-0000-0000-0000FD030000}"/>
    <cellStyle name="Euro 4 3 3 2" xfId="1141" xr:uid="{00000000-0005-0000-0000-0000FE030000}"/>
    <cellStyle name="Euro 4 3 4" xfId="1025" xr:uid="{00000000-0005-0000-0000-0000FF030000}"/>
    <cellStyle name="Euro 4 3 5" xfId="1206" xr:uid="{00000000-0005-0000-0000-000000040000}"/>
    <cellStyle name="Euro 5" xfId="581" xr:uid="{00000000-0005-0000-0000-000001040000}"/>
    <cellStyle name="Euro 5 2" xfId="875" xr:uid="{00000000-0005-0000-0000-000002040000}"/>
    <cellStyle name="Euro 5 2 2" xfId="933" xr:uid="{00000000-0005-0000-0000-000003040000}"/>
    <cellStyle name="Euro 5 2 2 2" xfId="999" xr:uid="{00000000-0005-0000-0000-000004040000}"/>
    <cellStyle name="Euro 5 2 2 2 2" xfId="1045" xr:uid="{00000000-0005-0000-0000-000005040000}"/>
    <cellStyle name="Euro 5 2 2 3" xfId="971" xr:uid="{00000000-0005-0000-0000-000006040000}"/>
    <cellStyle name="Euro 5 2 2 3 2" xfId="1142" xr:uid="{00000000-0005-0000-0000-000007040000}"/>
    <cellStyle name="Euro 5 2 2 4" xfId="1032" xr:uid="{00000000-0005-0000-0000-000008040000}"/>
    <cellStyle name="Euro 5 2 2 5" xfId="1213" xr:uid="{00000000-0005-0000-0000-000009040000}"/>
    <cellStyle name="Euro 5 3" xfId="927" xr:uid="{00000000-0005-0000-0000-00000A040000}"/>
    <cellStyle name="Euro 5 3 2" xfId="993" xr:uid="{00000000-0005-0000-0000-00000B040000}"/>
    <cellStyle name="Euro 5 3 2 2" xfId="1039" xr:uid="{00000000-0005-0000-0000-00000C040000}"/>
    <cellStyle name="Euro 5 3 3" xfId="965" xr:uid="{00000000-0005-0000-0000-00000D040000}"/>
    <cellStyle name="Euro 5 3 3 2" xfId="1143" xr:uid="{00000000-0005-0000-0000-00000E040000}"/>
    <cellStyle name="Euro 5 3 4" xfId="1026" xr:uid="{00000000-0005-0000-0000-00000F040000}"/>
    <cellStyle name="Euro 5 3 5" xfId="1207" xr:uid="{00000000-0005-0000-0000-000010040000}"/>
    <cellStyle name="Euro 6" xfId="921" xr:uid="{00000000-0005-0000-0000-000011040000}"/>
    <cellStyle name="Euro 6 2" xfId="987" xr:uid="{00000000-0005-0000-0000-000012040000}"/>
    <cellStyle name="Euro 6 2 2" xfId="1033" xr:uid="{00000000-0005-0000-0000-000013040000}"/>
    <cellStyle name="Euro 6 3" xfId="959" xr:uid="{00000000-0005-0000-0000-000014040000}"/>
    <cellStyle name="Euro 6 3 2" xfId="1144" xr:uid="{00000000-0005-0000-0000-000015040000}"/>
    <cellStyle name="Euro 6 4" xfId="1020" xr:uid="{00000000-0005-0000-0000-000016040000}"/>
    <cellStyle name="Euro 6 5" xfId="1201" xr:uid="{00000000-0005-0000-0000-000017040000}"/>
    <cellStyle name="Explanatory Text" xfId="940" xr:uid="{00000000-0005-0000-0000-000018040000}"/>
    <cellStyle name="Explanatory Text 2" xfId="582" xr:uid="{00000000-0005-0000-0000-000019040000}"/>
    <cellStyle name="Explanatory Text 3" xfId="1145" xr:uid="{00000000-0005-0000-0000-00001A040000}"/>
    <cellStyle name="Good" xfId="583" xr:uid="{00000000-0005-0000-0000-00001B040000}"/>
    <cellStyle name="Good 2" xfId="584" xr:uid="{00000000-0005-0000-0000-00001C040000}"/>
    <cellStyle name="Good 3" xfId="1146" xr:uid="{00000000-0005-0000-0000-00001D040000}"/>
    <cellStyle name="Heading 1" xfId="585" xr:uid="{00000000-0005-0000-0000-00001E040000}"/>
    <cellStyle name="Heading 1 2" xfId="586" xr:uid="{00000000-0005-0000-0000-00001F040000}"/>
    <cellStyle name="Heading 1 3" xfId="1147" xr:uid="{00000000-0005-0000-0000-000020040000}"/>
    <cellStyle name="Heading 2" xfId="935" xr:uid="{00000000-0005-0000-0000-000021040000}"/>
    <cellStyle name="Heading 2 2" xfId="587" xr:uid="{00000000-0005-0000-0000-000022040000}"/>
    <cellStyle name="Heading 2 3" xfId="1148" xr:uid="{00000000-0005-0000-0000-000023040000}"/>
    <cellStyle name="Heading 3" xfId="936" xr:uid="{00000000-0005-0000-0000-000024040000}"/>
    <cellStyle name="Heading 3 2" xfId="588" xr:uid="{00000000-0005-0000-0000-000025040000}"/>
    <cellStyle name="Heading 3 3" xfId="1149" xr:uid="{00000000-0005-0000-0000-000026040000}"/>
    <cellStyle name="Heading 4 2" xfId="590" xr:uid="{00000000-0005-0000-0000-000027040000}"/>
    <cellStyle name="Heading 4 3" xfId="1150" xr:uid="{00000000-0005-0000-0000-000028040000}"/>
    <cellStyle name="Hipervínculo 2" xfId="591" xr:uid="{00000000-0005-0000-0000-000029040000}"/>
    <cellStyle name="Incorrecto 10" xfId="592" xr:uid="{00000000-0005-0000-0000-00002A040000}"/>
    <cellStyle name="Incorrecto 11" xfId="593" xr:uid="{00000000-0005-0000-0000-00002B040000}"/>
    <cellStyle name="Incorrecto 12" xfId="594" xr:uid="{00000000-0005-0000-0000-00002C040000}"/>
    <cellStyle name="Incorrecto 13" xfId="595" xr:uid="{00000000-0005-0000-0000-00002D040000}"/>
    <cellStyle name="Incorrecto 14" xfId="596" xr:uid="{00000000-0005-0000-0000-00002E040000}"/>
    <cellStyle name="Incorrecto 15" xfId="597" xr:uid="{00000000-0005-0000-0000-00002F040000}"/>
    <cellStyle name="Incorrecto 16" xfId="598" xr:uid="{00000000-0005-0000-0000-000030040000}"/>
    <cellStyle name="Incorrecto 17" xfId="599" xr:uid="{00000000-0005-0000-0000-000031040000}"/>
    <cellStyle name="Incorrecto 18" xfId="600" xr:uid="{00000000-0005-0000-0000-000032040000}"/>
    <cellStyle name="Incorrecto 19" xfId="601" xr:uid="{00000000-0005-0000-0000-000033040000}"/>
    <cellStyle name="Incorrecto 2" xfId="602" xr:uid="{00000000-0005-0000-0000-000034040000}"/>
    <cellStyle name="Incorrecto 3" xfId="603" xr:uid="{00000000-0005-0000-0000-000035040000}"/>
    <cellStyle name="Incorrecto 4" xfId="604" xr:uid="{00000000-0005-0000-0000-000036040000}"/>
    <cellStyle name="Incorrecto 5" xfId="605" xr:uid="{00000000-0005-0000-0000-000037040000}"/>
    <cellStyle name="Incorrecto 6" xfId="606" xr:uid="{00000000-0005-0000-0000-000038040000}"/>
    <cellStyle name="Incorrecto 7" xfId="607" xr:uid="{00000000-0005-0000-0000-000039040000}"/>
    <cellStyle name="Incorrecto 8" xfId="608" xr:uid="{00000000-0005-0000-0000-00003A040000}"/>
    <cellStyle name="Incorrecto 9" xfId="609" xr:uid="{00000000-0005-0000-0000-00003B040000}"/>
    <cellStyle name="Input 2" xfId="611" xr:uid="{00000000-0005-0000-0000-00003C040000}"/>
    <cellStyle name="Input 2 2" xfId="1321" xr:uid="{00000000-0005-0000-0000-00003D040000}"/>
    <cellStyle name="Input 2 3" xfId="1253" xr:uid="{00000000-0005-0000-0000-00003E040000}"/>
    <cellStyle name="Input 3" xfId="1151" xr:uid="{00000000-0005-0000-0000-00003F040000}"/>
    <cellStyle name="Input 3 2" xfId="1510" xr:uid="{00000000-0005-0000-0000-000040040000}"/>
    <cellStyle name="Input 3 3" xfId="1556" xr:uid="{00000000-0005-0000-0000-000041040000}"/>
    <cellStyle name="Linked Cell 2" xfId="613" xr:uid="{00000000-0005-0000-0000-000042040000}"/>
    <cellStyle name="Linked Cell 3" xfId="1152" xr:uid="{00000000-0005-0000-0000-000043040000}"/>
    <cellStyle name="Neutral" xfId="614" builtinId="28" customBuiltin="1"/>
    <cellStyle name="Neutral 10" xfId="615" xr:uid="{00000000-0005-0000-0000-000045040000}"/>
    <cellStyle name="Neutral 11" xfId="616" xr:uid="{00000000-0005-0000-0000-000046040000}"/>
    <cellStyle name="Neutral 12" xfId="617" xr:uid="{00000000-0005-0000-0000-000047040000}"/>
    <cellStyle name="Neutral 13" xfId="618" xr:uid="{00000000-0005-0000-0000-000048040000}"/>
    <cellStyle name="Neutral 14" xfId="619" xr:uid="{00000000-0005-0000-0000-000049040000}"/>
    <cellStyle name="Neutral 15" xfId="620" xr:uid="{00000000-0005-0000-0000-00004A040000}"/>
    <cellStyle name="Neutral 16" xfId="621" xr:uid="{00000000-0005-0000-0000-00004B040000}"/>
    <cellStyle name="Neutral 17" xfId="622" xr:uid="{00000000-0005-0000-0000-00004C040000}"/>
    <cellStyle name="Neutral 18" xfId="623" xr:uid="{00000000-0005-0000-0000-00004D040000}"/>
    <cellStyle name="Neutral 19" xfId="624" xr:uid="{00000000-0005-0000-0000-00004E040000}"/>
    <cellStyle name="Neutral 2" xfId="625" xr:uid="{00000000-0005-0000-0000-00004F040000}"/>
    <cellStyle name="Neutral 20" xfId="983" xr:uid="{00000000-0005-0000-0000-000050040000}"/>
    <cellStyle name="Neutral 20 2" xfId="1153" xr:uid="{00000000-0005-0000-0000-000051040000}"/>
    <cellStyle name="Neutral 3" xfId="626" xr:uid="{00000000-0005-0000-0000-000052040000}"/>
    <cellStyle name="Neutral 4" xfId="627" xr:uid="{00000000-0005-0000-0000-000053040000}"/>
    <cellStyle name="Neutral 5" xfId="628" xr:uid="{00000000-0005-0000-0000-000054040000}"/>
    <cellStyle name="Neutral 6" xfId="629" xr:uid="{00000000-0005-0000-0000-000055040000}"/>
    <cellStyle name="Neutral 7" xfId="630" xr:uid="{00000000-0005-0000-0000-000056040000}"/>
    <cellStyle name="Neutral 8" xfId="631" xr:uid="{00000000-0005-0000-0000-000057040000}"/>
    <cellStyle name="Neutral 9" xfId="632" xr:uid="{00000000-0005-0000-0000-000058040000}"/>
    <cellStyle name="Normal" xfId="0" builtinId="0"/>
    <cellStyle name="Normal 10" xfId="633" xr:uid="{00000000-0005-0000-0000-00005A040000}"/>
    <cellStyle name="Normal 10 2" xfId="876" xr:uid="{00000000-0005-0000-0000-00005B040000}"/>
    <cellStyle name="Normal 11" xfId="634" xr:uid="{00000000-0005-0000-0000-00005C040000}"/>
    <cellStyle name="Normal 11 2" xfId="877" xr:uid="{00000000-0005-0000-0000-00005D040000}"/>
    <cellStyle name="Normal 12" xfId="635" xr:uid="{00000000-0005-0000-0000-00005E040000}"/>
    <cellStyle name="Normal 12 2" xfId="878" xr:uid="{00000000-0005-0000-0000-00005F040000}"/>
    <cellStyle name="Normal 13" xfId="636" xr:uid="{00000000-0005-0000-0000-000060040000}"/>
    <cellStyle name="Normal 13 2" xfId="879" xr:uid="{00000000-0005-0000-0000-000061040000}"/>
    <cellStyle name="Normal 14" xfId="637" xr:uid="{00000000-0005-0000-0000-000062040000}"/>
    <cellStyle name="Normal 14 2" xfId="880" xr:uid="{00000000-0005-0000-0000-000063040000}"/>
    <cellStyle name="Normal 15" xfId="638" xr:uid="{00000000-0005-0000-0000-000064040000}"/>
    <cellStyle name="Normal 15 2" xfId="881" xr:uid="{00000000-0005-0000-0000-000065040000}"/>
    <cellStyle name="Normal 16" xfId="639" xr:uid="{00000000-0005-0000-0000-000066040000}"/>
    <cellStyle name="Normal 16 2" xfId="882" xr:uid="{00000000-0005-0000-0000-000067040000}"/>
    <cellStyle name="Normal 17" xfId="640" xr:uid="{00000000-0005-0000-0000-000068040000}"/>
    <cellStyle name="Normal 17 2" xfId="883" xr:uid="{00000000-0005-0000-0000-000069040000}"/>
    <cellStyle name="Normal 18" xfId="641" xr:uid="{00000000-0005-0000-0000-00006A040000}"/>
    <cellStyle name="Normal 18 2" xfId="884" xr:uid="{00000000-0005-0000-0000-00006B040000}"/>
    <cellStyle name="Normal 19" xfId="642" xr:uid="{00000000-0005-0000-0000-00006C040000}"/>
    <cellStyle name="Normal 19 2" xfId="885" xr:uid="{00000000-0005-0000-0000-00006D040000}"/>
    <cellStyle name="Normal 2" xfId="643" xr:uid="{00000000-0005-0000-0000-00006E040000}"/>
    <cellStyle name="Normal 2 2" xfId="886" xr:uid="{00000000-0005-0000-0000-00006F040000}"/>
    <cellStyle name="Normal 20" xfId="644" xr:uid="{00000000-0005-0000-0000-000070040000}"/>
    <cellStyle name="Normal 20 2" xfId="887" xr:uid="{00000000-0005-0000-0000-000071040000}"/>
    <cellStyle name="Normal 21" xfId="645" xr:uid="{00000000-0005-0000-0000-000072040000}"/>
    <cellStyle name="Normal 21 2" xfId="888" xr:uid="{00000000-0005-0000-0000-000073040000}"/>
    <cellStyle name="Normal 22" xfId="646" xr:uid="{00000000-0005-0000-0000-000074040000}"/>
    <cellStyle name="Normal 22 2" xfId="889" xr:uid="{00000000-0005-0000-0000-000075040000}"/>
    <cellStyle name="Normal 23" xfId="647" xr:uid="{00000000-0005-0000-0000-000076040000}"/>
    <cellStyle name="Normal 23 2" xfId="890" xr:uid="{00000000-0005-0000-0000-000077040000}"/>
    <cellStyle name="Normal 24" xfId="648" xr:uid="{00000000-0005-0000-0000-000078040000}"/>
    <cellStyle name="Normal 25" xfId="649" xr:uid="{00000000-0005-0000-0000-000079040000}"/>
    <cellStyle name="Normal 26" xfId="650" xr:uid="{00000000-0005-0000-0000-00007A040000}"/>
    <cellStyle name="Normal 27" xfId="651" xr:uid="{00000000-0005-0000-0000-00007B040000}"/>
    <cellStyle name="Normal 28" xfId="652" xr:uid="{00000000-0005-0000-0000-00007C040000}"/>
    <cellStyle name="Normal 29" xfId="653" xr:uid="{00000000-0005-0000-0000-00007D040000}"/>
    <cellStyle name="Normal 3" xfId="654" xr:uid="{00000000-0005-0000-0000-00007E040000}"/>
    <cellStyle name="Normal 3 2" xfId="891" xr:uid="{00000000-0005-0000-0000-00007F040000}"/>
    <cellStyle name="Normal 30" xfId="655" xr:uid="{00000000-0005-0000-0000-000080040000}"/>
    <cellStyle name="Normal 31" xfId="656" xr:uid="{00000000-0005-0000-0000-000081040000}"/>
    <cellStyle name="Normal 32" xfId="657" xr:uid="{00000000-0005-0000-0000-000082040000}"/>
    <cellStyle name="Normal 33" xfId="658" xr:uid="{00000000-0005-0000-0000-000083040000}"/>
    <cellStyle name="Normal 34" xfId="659" xr:uid="{00000000-0005-0000-0000-000084040000}"/>
    <cellStyle name="Normal 35" xfId="660" xr:uid="{00000000-0005-0000-0000-000085040000}"/>
    <cellStyle name="Normal 36" xfId="661" xr:uid="{00000000-0005-0000-0000-000086040000}"/>
    <cellStyle name="Normal 37" xfId="662" xr:uid="{00000000-0005-0000-0000-000087040000}"/>
    <cellStyle name="Normal 38" xfId="663" xr:uid="{00000000-0005-0000-0000-000088040000}"/>
    <cellStyle name="Normal 39" xfId="664" xr:uid="{00000000-0005-0000-0000-000089040000}"/>
    <cellStyle name="Normal 4" xfId="665" xr:uid="{00000000-0005-0000-0000-00008A040000}"/>
    <cellStyle name="Normal 4 2" xfId="892" xr:uid="{00000000-0005-0000-0000-00008B040000}"/>
    <cellStyle name="Normal 40" xfId="666" xr:uid="{00000000-0005-0000-0000-00008C040000}"/>
    <cellStyle name="Normal 41" xfId="667" xr:uid="{00000000-0005-0000-0000-00008D040000}"/>
    <cellStyle name="Normal 41 2" xfId="668" xr:uid="{00000000-0005-0000-0000-00008E040000}"/>
    <cellStyle name="Normal 41 2 2" xfId="894" xr:uid="{00000000-0005-0000-0000-00008F040000}"/>
    <cellStyle name="Normal 41 3" xfId="893" xr:uid="{00000000-0005-0000-0000-000090040000}"/>
    <cellStyle name="Normal 42" xfId="669" xr:uid="{00000000-0005-0000-0000-000091040000}"/>
    <cellStyle name="Normal 42 2" xfId="670" xr:uid="{00000000-0005-0000-0000-000092040000}"/>
    <cellStyle name="Normal 43" xfId="869" xr:uid="{00000000-0005-0000-0000-000093040000}"/>
    <cellStyle name="Normal 44" xfId="972" xr:uid="{00000000-0005-0000-0000-000094040000}"/>
    <cellStyle name="Normal 44 2" xfId="1012" xr:uid="{00000000-0005-0000-0000-000095040000}"/>
    <cellStyle name="Normal 44 2 2" xfId="1193" xr:uid="{00000000-0005-0000-0000-000096040000}"/>
    <cellStyle name="Normal 44 2 2 2" xfId="1547" xr:uid="{00000000-0005-0000-0000-000097040000}"/>
    <cellStyle name="Normal 44 2 3" xfId="1078" xr:uid="{00000000-0005-0000-0000-000098040000}"/>
    <cellStyle name="Normal 44 2 3 2" xfId="1477" xr:uid="{00000000-0005-0000-0000-000099040000}"/>
    <cellStyle name="Normal 44 2 4" xfId="1437" xr:uid="{00000000-0005-0000-0000-00009A040000}"/>
    <cellStyle name="Normal 44 3" xfId="1154" xr:uid="{00000000-0005-0000-0000-00009B040000}"/>
    <cellStyle name="Normal 44 4" xfId="1173" xr:uid="{00000000-0005-0000-0000-00009C040000}"/>
    <cellStyle name="Normal 44 4 2" xfId="1527" xr:uid="{00000000-0005-0000-0000-00009D040000}"/>
    <cellStyle name="Normal 44 5" xfId="1058" xr:uid="{00000000-0005-0000-0000-00009E040000}"/>
    <cellStyle name="Normal 44 5 2" xfId="1457" xr:uid="{00000000-0005-0000-0000-00009F040000}"/>
    <cellStyle name="Normal 44 6" xfId="1416" xr:uid="{00000000-0005-0000-0000-0000A0040000}"/>
    <cellStyle name="Normal 45" xfId="1086" xr:uid="{00000000-0005-0000-0000-0000A1040000}"/>
    <cellStyle name="Normal 45 2" xfId="1485" xr:uid="{00000000-0005-0000-0000-0000A2040000}"/>
    <cellStyle name="Normal 5" xfId="671" xr:uid="{00000000-0005-0000-0000-0000A3040000}"/>
    <cellStyle name="Normal 5 2" xfId="895" xr:uid="{00000000-0005-0000-0000-0000A4040000}"/>
    <cellStyle name="Normal 6" xfId="672" xr:uid="{00000000-0005-0000-0000-0000A5040000}"/>
    <cellStyle name="Normal 6 2" xfId="896" xr:uid="{00000000-0005-0000-0000-0000A6040000}"/>
    <cellStyle name="Normal 7" xfId="673" xr:uid="{00000000-0005-0000-0000-0000A7040000}"/>
    <cellStyle name="Normal 7 2" xfId="897" xr:uid="{00000000-0005-0000-0000-0000A8040000}"/>
    <cellStyle name="Normal 8" xfId="674" xr:uid="{00000000-0005-0000-0000-0000A9040000}"/>
    <cellStyle name="Normal 8 2" xfId="898" xr:uid="{00000000-0005-0000-0000-0000AA040000}"/>
    <cellStyle name="Normal 9" xfId="675" xr:uid="{00000000-0005-0000-0000-0000AB040000}"/>
    <cellStyle name="Normal 9 2" xfId="899" xr:uid="{00000000-0005-0000-0000-0000AC040000}"/>
    <cellStyle name="Normal_Plantilla Mediciones" xfId="676" xr:uid="{00000000-0005-0000-0000-0000AD040000}"/>
    <cellStyle name="Normal_Recuento Conjuntos" xfId="677" xr:uid="{00000000-0005-0000-0000-0000AE040000}"/>
    <cellStyle name="Notas" xfId="697" builtinId="10" customBuiltin="1"/>
    <cellStyle name="Notas 10" xfId="678" xr:uid="{00000000-0005-0000-0000-0000B0040000}"/>
    <cellStyle name="Notas 10 2" xfId="900" xr:uid="{00000000-0005-0000-0000-0000B1040000}"/>
    <cellStyle name="Notas 10 2 2" xfId="1381" xr:uid="{00000000-0005-0000-0000-0000B2040000}"/>
    <cellStyle name="Notas 10 3" xfId="1322" xr:uid="{00000000-0005-0000-0000-0000B3040000}"/>
    <cellStyle name="Notas 11" xfId="679" xr:uid="{00000000-0005-0000-0000-0000B4040000}"/>
    <cellStyle name="Notas 11 2" xfId="901" xr:uid="{00000000-0005-0000-0000-0000B5040000}"/>
    <cellStyle name="Notas 11 2 2" xfId="1382" xr:uid="{00000000-0005-0000-0000-0000B6040000}"/>
    <cellStyle name="Notas 11 3" xfId="1323" xr:uid="{00000000-0005-0000-0000-0000B7040000}"/>
    <cellStyle name="Notas 12" xfId="680" xr:uid="{00000000-0005-0000-0000-0000B8040000}"/>
    <cellStyle name="Notas 12 2" xfId="902" xr:uid="{00000000-0005-0000-0000-0000B9040000}"/>
    <cellStyle name="Notas 12 2 2" xfId="1383" xr:uid="{00000000-0005-0000-0000-0000BA040000}"/>
    <cellStyle name="Notas 12 3" xfId="1324" xr:uid="{00000000-0005-0000-0000-0000BB040000}"/>
    <cellStyle name="Notas 13" xfId="681" xr:uid="{00000000-0005-0000-0000-0000BC040000}"/>
    <cellStyle name="Notas 13 2" xfId="903" xr:uid="{00000000-0005-0000-0000-0000BD040000}"/>
    <cellStyle name="Notas 13 2 2" xfId="1384" xr:uid="{00000000-0005-0000-0000-0000BE040000}"/>
    <cellStyle name="Notas 13 3" xfId="1325" xr:uid="{00000000-0005-0000-0000-0000BF040000}"/>
    <cellStyle name="Notas 14" xfId="682" xr:uid="{00000000-0005-0000-0000-0000C0040000}"/>
    <cellStyle name="Notas 14 2" xfId="904" xr:uid="{00000000-0005-0000-0000-0000C1040000}"/>
    <cellStyle name="Notas 14 2 2" xfId="1385" xr:uid="{00000000-0005-0000-0000-0000C2040000}"/>
    <cellStyle name="Notas 14 3" xfId="1326" xr:uid="{00000000-0005-0000-0000-0000C3040000}"/>
    <cellStyle name="Notas 15" xfId="683" xr:uid="{00000000-0005-0000-0000-0000C4040000}"/>
    <cellStyle name="Notas 15 2" xfId="905" xr:uid="{00000000-0005-0000-0000-0000C5040000}"/>
    <cellStyle name="Notas 15 2 2" xfId="1386" xr:uid="{00000000-0005-0000-0000-0000C6040000}"/>
    <cellStyle name="Notas 15 3" xfId="1327" xr:uid="{00000000-0005-0000-0000-0000C7040000}"/>
    <cellStyle name="Notas 16" xfId="684" xr:uid="{00000000-0005-0000-0000-0000C8040000}"/>
    <cellStyle name="Notas 16 2" xfId="906" xr:uid="{00000000-0005-0000-0000-0000C9040000}"/>
    <cellStyle name="Notas 16 2 2" xfId="1387" xr:uid="{00000000-0005-0000-0000-0000CA040000}"/>
    <cellStyle name="Notas 16 3" xfId="1328" xr:uid="{00000000-0005-0000-0000-0000CB040000}"/>
    <cellStyle name="Notas 17" xfId="685" xr:uid="{00000000-0005-0000-0000-0000CC040000}"/>
    <cellStyle name="Notas 17 2" xfId="907" xr:uid="{00000000-0005-0000-0000-0000CD040000}"/>
    <cellStyle name="Notas 17 2 2" xfId="1388" xr:uid="{00000000-0005-0000-0000-0000CE040000}"/>
    <cellStyle name="Notas 17 3" xfId="1329" xr:uid="{00000000-0005-0000-0000-0000CF040000}"/>
    <cellStyle name="Notas 18" xfId="686" xr:uid="{00000000-0005-0000-0000-0000D0040000}"/>
    <cellStyle name="Notas 18 2" xfId="908" xr:uid="{00000000-0005-0000-0000-0000D1040000}"/>
    <cellStyle name="Notas 18 2 2" xfId="1389" xr:uid="{00000000-0005-0000-0000-0000D2040000}"/>
    <cellStyle name="Notas 18 3" xfId="1330" xr:uid="{00000000-0005-0000-0000-0000D3040000}"/>
    <cellStyle name="Notas 19" xfId="687" xr:uid="{00000000-0005-0000-0000-0000D4040000}"/>
    <cellStyle name="Notas 19 2" xfId="909" xr:uid="{00000000-0005-0000-0000-0000D5040000}"/>
    <cellStyle name="Notas 19 2 2" xfId="1390" xr:uid="{00000000-0005-0000-0000-0000D6040000}"/>
    <cellStyle name="Notas 19 3" xfId="1331" xr:uid="{00000000-0005-0000-0000-0000D7040000}"/>
    <cellStyle name="Notas 2" xfId="688" xr:uid="{00000000-0005-0000-0000-0000D8040000}"/>
    <cellStyle name="Notas 2 2" xfId="910" xr:uid="{00000000-0005-0000-0000-0000D9040000}"/>
    <cellStyle name="Notas 2 2 2" xfId="1391" xr:uid="{00000000-0005-0000-0000-0000DA040000}"/>
    <cellStyle name="Notas 2 3" xfId="1332" xr:uid="{00000000-0005-0000-0000-0000DB040000}"/>
    <cellStyle name="Notas 20" xfId="689" xr:uid="{00000000-0005-0000-0000-0000DC040000}"/>
    <cellStyle name="Notas 20 2" xfId="911" xr:uid="{00000000-0005-0000-0000-0000DD040000}"/>
    <cellStyle name="Notas 20 2 2" xfId="1392" xr:uid="{00000000-0005-0000-0000-0000DE040000}"/>
    <cellStyle name="Notas 20 3" xfId="1333" xr:uid="{00000000-0005-0000-0000-0000DF040000}"/>
    <cellStyle name="Notas 21" xfId="984" xr:uid="{00000000-0005-0000-0000-0000E0040000}"/>
    <cellStyle name="Notas 21 2" xfId="1019" xr:uid="{00000000-0005-0000-0000-0000E1040000}"/>
    <cellStyle name="Notas 21 2 2" xfId="1200" xr:uid="{00000000-0005-0000-0000-0000E2040000}"/>
    <cellStyle name="Notas 21 2 2 2" xfId="1554" xr:uid="{00000000-0005-0000-0000-0000E3040000}"/>
    <cellStyle name="Notas 21 2 3" xfId="1085" xr:uid="{00000000-0005-0000-0000-0000E4040000}"/>
    <cellStyle name="Notas 21 2 3 2" xfId="1484" xr:uid="{00000000-0005-0000-0000-0000E5040000}"/>
    <cellStyle name="Notas 21 2 4" xfId="1444" xr:uid="{00000000-0005-0000-0000-0000E6040000}"/>
    <cellStyle name="Notas 21 3" xfId="1180" xr:uid="{00000000-0005-0000-0000-0000E7040000}"/>
    <cellStyle name="Notas 21 3 2" xfId="1534" xr:uid="{00000000-0005-0000-0000-0000E8040000}"/>
    <cellStyle name="Notas 21 4" xfId="1065" xr:uid="{00000000-0005-0000-0000-0000E9040000}"/>
    <cellStyle name="Notas 21 4 2" xfId="1464" xr:uid="{00000000-0005-0000-0000-0000EA040000}"/>
    <cellStyle name="Notas 21 5" xfId="1424" xr:uid="{00000000-0005-0000-0000-0000EB040000}"/>
    <cellStyle name="Notas 22" xfId="1155" xr:uid="{00000000-0005-0000-0000-0000EC040000}"/>
    <cellStyle name="Notas 22 2" xfId="1511" xr:uid="{00000000-0005-0000-0000-0000ED040000}"/>
    <cellStyle name="Notas 3" xfId="690" xr:uid="{00000000-0005-0000-0000-0000EE040000}"/>
    <cellStyle name="Notas 3 2" xfId="912" xr:uid="{00000000-0005-0000-0000-0000EF040000}"/>
    <cellStyle name="Notas 3 2 2" xfId="1393" xr:uid="{00000000-0005-0000-0000-0000F0040000}"/>
    <cellStyle name="Notas 3 3" xfId="1334" xr:uid="{00000000-0005-0000-0000-0000F1040000}"/>
    <cellStyle name="Notas 4" xfId="691" xr:uid="{00000000-0005-0000-0000-0000F2040000}"/>
    <cellStyle name="Notas 4 2" xfId="913" xr:uid="{00000000-0005-0000-0000-0000F3040000}"/>
    <cellStyle name="Notas 4 2 2" xfId="1394" xr:uid="{00000000-0005-0000-0000-0000F4040000}"/>
    <cellStyle name="Notas 4 3" xfId="1335" xr:uid="{00000000-0005-0000-0000-0000F5040000}"/>
    <cellStyle name="Notas 5" xfId="692" xr:uid="{00000000-0005-0000-0000-0000F6040000}"/>
    <cellStyle name="Notas 5 2" xfId="914" xr:uid="{00000000-0005-0000-0000-0000F7040000}"/>
    <cellStyle name="Notas 5 2 2" xfId="1395" xr:uid="{00000000-0005-0000-0000-0000F8040000}"/>
    <cellStyle name="Notas 5 3" xfId="1336" xr:uid="{00000000-0005-0000-0000-0000F9040000}"/>
    <cellStyle name="Notas 6" xfId="693" xr:uid="{00000000-0005-0000-0000-0000FA040000}"/>
    <cellStyle name="Notas 6 2" xfId="915" xr:uid="{00000000-0005-0000-0000-0000FB040000}"/>
    <cellStyle name="Notas 6 2 2" xfId="1396" xr:uid="{00000000-0005-0000-0000-0000FC040000}"/>
    <cellStyle name="Notas 6 3" xfId="1337" xr:uid="{00000000-0005-0000-0000-0000FD040000}"/>
    <cellStyle name="Notas 7" xfId="694" xr:uid="{00000000-0005-0000-0000-0000FE040000}"/>
    <cellStyle name="Notas 7 2" xfId="916" xr:uid="{00000000-0005-0000-0000-0000FF040000}"/>
    <cellStyle name="Notas 7 2 2" xfId="1397" xr:uid="{00000000-0005-0000-0000-000000050000}"/>
    <cellStyle name="Notas 7 3" xfId="1338" xr:uid="{00000000-0005-0000-0000-000001050000}"/>
    <cellStyle name="Notas 8" xfId="695" xr:uid="{00000000-0005-0000-0000-000002050000}"/>
    <cellStyle name="Notas 8 2" xfId="917" xr:uid="{00000000-0005-0000-0000-000003050000}"/>
    <cellStyle name="Notas 8 2 2" xfId="1398" xr:uid="{00000000-0005-0000-0000-000004050000}"/>
    <cellStyle name="Notas 8 3" xfId="1339" xr:uid="{00000000-0005-0000-0000-000005050000}"/>
    <cellStyle name="Notas 9" xfId="696" xr:uid="{00000000-0005-0000-0000-000006050000}"/>
    <cellStyle name="Notas 9 2" xfId="918" xr:uid="{00000000-0005-0000-0000-000007050000}"/>
    <cellStyle name="Notas 9 2 2" xfId="1399" xr:uid="{00000000-0005-0000-0000-000008050000}"/>
    <cellStyle name="Notas 9 3" xfId="1340" xr:uid="{00000000-0005-0000-0000-000009050000}"/>
    <cellStyle name="Note 2" xfId="698" xr:uid="{00000000-0005-0000-0000-00000A050000}"/>
    <cellStyle name="Note 2 2" xfId="1342" xr:uid="{00000000-0005-0000-0000-00000B050000}"/>
    <cellStyle name="Note 2 3" xfId="1251" xr:uid="{00000000-0005-0000-0000-00000C050000}"/>
    <cellStyle name="Note 3" xfId="1156" xr:uid="{00000000-0005-0000-0000-00000D050000}"/>
    <cellStyle name="Note 3 2" xfId="1512" xr:uid="{00000000-0005-0000-0000-00000E050000}"/>
    <cellStyle name="Note 3 3" xfId="1557" xr:uid="{00000000-0005-0000-0000-00000F050000}"/>
    <cellStyle name="Output" xfId="938" xr:uid="{00000000-0005-0000-0000-000010050000}"/>
    <cellStyle name="Output 2" xfId="699" xr:uid="{00000000-0005-0000-0000-000011050000}"/>
    <cellStyle name="Output 2 2" xfId="1343" xr:uid="{00000000-0005-0000-0000-000012050000}"/>
    <cellStyle name="Output 2 3" xfId="1252" xr:uid="{00000000-0005-0000-0000-000013050000}"/>
    <cellStyle name="Output 3" xfId="1157" xr:uid="{00000000-0005-0000-0000-000014050000}"/>
    <cellStyle name="Output 3 2" xfId="1513" xr:uid="{00000000-0005-0000-0000-000015050000}"/>
    <cellStyle name="Output 3 3" xfId="1558" xr:uid="{00000000-0005-0000-0000-000016050000}"/>
    <cellStyle name="Porcentual 10" xfId="700" xr:uid="{00000000-0005-0000-0000-000017050000}"/>
    <cellStyle name="Porcentual 11" xfId="701" xr:uid="{00000000-0005-0000-0000-000018050000}"/>
    <cellStyle name="Porcentual 12" xfId="702" xr:uid="{00000000-0005-0000-0000-000019050000}"/>
    <cellStyle name="Porcentual 13" xfId="703" xr:uid="{00000000-0005-0000-0000-00001A050000}"/>
    <cellStyle name="Porcentual 14" xfId="704" xr:uid="{00000000-0005-0000-0000-00001B050000}"/>
    <cellStyle name="Porcentual 15" xfId="705" xr:uid="{00000000-0005-0000-0000-00001C050000}"/>
    <cellStyle name="Porcentual 16" xfId="706" xr:uid="{00000000-0005-0000-0000-00001D050000}"/>
    <cellStyle name="Porcentual 17" xfId="707" xr:uid="{00000000-0005-0000-0000-00001E050000}"/>
    <cellStyle name="Porcentual 18" xfId="708" xr:uid="{00000000-0005-0000-0000-00001F050000}"/>
    <cellStyle name="Porcentual 19" xfId="709" xr:uid="{00000000-0005-0000-0000-000020050000}"/>
    <cellStyle name="Porcentual 19 2" xfId="710" xr:uid="{00000000-0005-0000-0000-000021050000}"/>
    <cellStyle name="Porcentual 19 2 2" xfId="920" xr:uid="{00000000-0005-0000-0000-000022050000}"/>
    <cellStyle name="Porcentual 19 3" xfId="919" xr:uid="{00000000-0005-0000-0000-000023050000}"/>
    <cellStyle name="Porcentual 2" xfId="711" xr:uid="{00000000-0005-0000-0000-000024050000}"/>
    <cellStyle name="Porcentual 20" xfId="712" xr:uid="{00000000-0005-0000-0000-000025050000}"/>
    <cellStyle name="Porcentual 20 2" xfId="713" xr:uid="{00000000-0005-0000-0000-000026050000}"/>
    <cellStyle name="Porcentual 3" xfId="714" xr:uid="{00000000-0005-0000-0000-000027050000}"/>
    <cellStyle name="Porcentual 4" xfId="715" xr:uid="{00000000-0005-0000-0000-000028050000}"/>
    <cellStyle name="Porcentual 5" xfId="716" xr:uid="{00000000-0005-0000-0000-000029050000}"/>
    <cellStyle name="Porcentual 6" xfId="717" xr:uid="{00000000-0005-0000-0000-00002A050000}"/>
    <cellStyle name="Porcentual 7" xfId="718" xr:uid="{00000000-0005-0000-0000-00002B050000}"/>
    <cellStyle name="Porcentual 8" xfId="719" xr:uid="{00000000-0005-0000-0000-00002C050000}"/>
    <cellStyle name="Porcentual 9" xfId="720" xr:uid="{00000000-0005-0000-0000-00002D050000}"/>
    <cellStyle name="Salida 10" xfId="721" xr:uid="{00000000-0005-0000-0000-00002E050000}"/>
    <cellStyle name="Salida 10 2" xfId="1344" xr:uid="{00000000-0005-0000-0000-00002F050000}"/>
    <cellStyle name="Salida 10 3" xfId="1250" xr:uid="{00000000-0005-0000-0000-000030050000}"/>
    <cellStyle name="Salida 11" xfId="722" xr:uid="{00000000-0005-0000-0000-000031050000}"/>
    <cellStyle name="Salida 11 2" xfId="1345" xr:uid="{00000000-0005-0000-0000-000032050000}"/>
    <cellStyle name="Salida 11 3" xfId="1249" xr:uid="{00000000-0005-0000-0000-000033050000}"/>
    <cellStyle name="Salida 12" xfId="723" xr:uid="{00000000-0005-0000-0000-000034050000}"/>
    <cellStyle name="Salida 12 2" xfId="1346" xr:uid="{00000000-0005-0000-0000-000035050000}"/>
    <cellStyle name="Salida 12 3" xfId="1248" xr:uid="{00000000-0005-0000-0000-000036050000}"/>
    <cellStyle name="Salida 13" xfId="724" xr:uid="{00000000-0005-0000-0000-000037050000}"/>
    <cellStyle name="Salida 13 2" xfId="1347" xr:uid="{00000000-0005-0000-0000-000038050000}"/>
    <cellStyle name="Salida 13 3" xfId="1247" xr:uid="{00000000-0005-0000-0000-000039050000}"/>
    <cellStyle name="Salida 14" xfId="725" xr:uid="{00000000-0005-0000-0000-00003A050000}"/>
    <cellStyle name="Salida 14 2" xfId="1348" xr:uid="{00000000-0005-0000-0000-00003B050000}"/>
    <cellStyle name="Salida 14 3" xfId="1246" xr:uid="{00000000-0005-0000-0000-00003C050000}"/>
    <cellStyle name="Salida 15" xfId="726" xr:uid="{00000000-0005-0000-0000-00003D050000}"/>
    <cellStyle name="Salida 15 2" xfId="1349" xr:uid="{00000000-0005-0000-0000-00003E050000}"/>
    <cellStyle name="Salida 15 3" xfId="1245" xr:uid="{00000000-0005-0000-0000-00003F050000}"/>
    <cellStyle name="Salida 16" xfId="727" xr:uid="{00000000-0005-0000-0000-000040050000}"/>
    <cellStyle name="Salida 16 2" xfId="1350" xr:uid="{00000000-0005-0000-0000-000041050000}"/>
    <cellStyle name="Salida 16 3" xfId="1244" xr:uid="{00000000-0005-0000-0000-000042050000}"/>
    <cellStyle name="Salida 17" xfId="728" xr:uid="{00000000-0005-0000-0000-000043050000}"/>
    <cellStyle name="Salida 17 2" xfId="1351" xr:uid="{00000000-0005-0000-0000-000044050000}"/>
    <cellStyle name="Salida 17 3" xfId="1243" xr:uid="{00000000-0005-0000-0000-000045050000}"/>
    <cellStyle name="Salida 18" xfId="729" xr:uid="{00000000-0005-0000-0000-000046050000}"/>
    <cellStyle name="Salida 18 2" xfId="1352" xr:uid="{00000000-0005-0000-0000-000047050000}"/>
    <cellStyle name="Salida 18 3" xfId="1242" xr:uid="{00000000-0005-0000-0000-000048050000}"/>
    <cellStyle name="Salida 19" xfId="730" xr:uid="{00000000-0005-0000-0000-000049050000}"/>
    <cellStyle name="Salida 19 2" xfId="1353" xr:uid="{00000000-0005-0000-0000-00004A050000}"/>
    <cellStyle name="Salida 19 3" xfId="1241" xr:uid="{00000000-0005-0000-0000-00004B050000}"/>
    <cellStyle name="Salida 2" xfId="731" xr:uid="{00000000-0005-0000-0000-00004C050000}"/>
    <cellStyle name="Salida 2 2" xfId="1354" xr:uid="{00000000-0005-0000-0000-00004D050000}"/>
    <cellStyle name="Salida 2 3" xfId="1240" xr:uid="{00000000-0005-0000-0000-00004E050000}"/>
    <cellStyle name="Salida 3" xfId="732" xr:uid="{00000000-0005-0000-0000-00004F050000}"/>
    <cellStyle name="Salida 3 2" xfId="1355" xr:uid="{00000000-0005-0000-0000-000050050000}"/>
    <cellStyle name="Salida 3 3" xfId="1239" xr:uid="{00000000-0005-0000-0000-000051050000}"/>
    <cellStyle name="Salida 4" xfId="733" xr:uid="{00000000-0005-0000-0000-000052050000}"/>
    <cellStyle name="Salida 4 2" xfId="1356" xr:uid="{00000000-0005-0000-0000-000053050000}"/>
    <cellStyle name="Salida 4 3" xfId="1238" xr:uid="{00000000-0005-0000-0000-000054050000}"/>
    <cellStyle name="Salida 5" xfId="734" xr:uid="{00000000-0005-0000-0000-000055050000}"/>
    <cellStyle name="Salida 5 2" xfId="1357" xr:uid="{00000000-0005-0000-0000-000056050000}"/>
    <cellStyle name="Salida 5 3" xfId="1237" xr:uid="{00000000-0005-0000-0000-000057050000}"/>
    <cellStyle name="Salida 6" xfId="735" xr:uid="{00000000-0005-0000-0000-000058050000}"/>
    <cellStyle name="Salida 6 2" xfId="1358" xr:uid="{00000000-0005-0000-0000-000059050000}"/>
    <cellStyle name="Salida 6 3" xfId="1236" xr:uid="{00000000-0005-0000-0000-00005A050000}"/>
    <cellStyle name="Salida 7" xfId="736" xr:uid="{00000000-0005-0000-0000-00005B050000}"/>
    <cellStyle name="Salida 7 2" xfId="1359" xr:uid="{00000000-0005-0000-0000-00005C050000}"/>
    <cellStyle name="Salida 7 3" xfId="1235" xr:uid="{00000000-0005-0000-0000-00005D050000}"/>
    <cellStyle name="Salida 8" xfId="737" xr:uid="{00000000-0005-0000-0000-00005E050000}"/>
    <cellStyle name="Salida 8 2" xfId="1360" xr:uid="{00000000-0005-0000-0000-00005F050000}"/>
    <cellStyle name="Salida 8 3" xfId="1234" xr:uid="{00000000-0005-0000-0000-000060050000}"/>
    <cellStyle name="Salida 9" xfId="738" xr:uid="{00000000-0005-0000-0000-000061050000}"/>
    <cellStyle name="Salida 9 2" xfId="1361" xr:uid="{00000000-0005-0000-0000-000062050000}"/>
    <cellStyle name="Salida 9 3" xfId="1233" xr:uid="{00000000-0005-0000-0000-000063050000}"/>
    <cellStyle name="Texto de advertencia" xfId="867" builtinId="11" customBuiltin="1"/>
    <cellStyle name="Texto de advertencia 10" xfId="739" xr:uid="{00000000-0005-0000-0000-000065050000}"/>
    <cellStyle name="Texto de advertencia 11" xfId="740" xr:uid="{00000000-0005-0000-0000-000066050000}"/>
    <cellStyle name="Texto de advertencia 12" xfId="741" xr:uid="{00000000-0005-0000-0000-000067050000}"/>
    <cellStyle name="Texto de advertencia 13" xfId="742" xr:uid="{00000000-0005-0000-0000-000068050000}"/>
    <cellStyle name="Texto de advertencia 14" xfId="743" xr:uid="{00000000-0005-0000-0000-000069050000}"/>
    <cellStyle name="Texto de advertencia 15" xfId="744" xr:uid="{00000000-0005-0000-0000-00006A050000}"/>
    <cellStyle name="Texto de advertencia 16" xfId="745" xr:uid="{00000000-0005-0000-0000-00006B050000}"/>
    <cellStyle name="Texto de advertencia 17" xfId="746" xr:uid="{00000000-0005-0000-0000-00006C050000}"/>
    <cellStyle name="Texto de advertencia 18" xfId="747" xr:uid="{00000000-0005-0000-0000-00006D050000}"/>
    <cellStyle name="Texto de advertencia 19" xfId="748" xr:uid="{00000000-0005-0000-0000-00006E050000}"/>
    <cellStyle name="Texto de advertencia 2" xfId="749" xr:uid="{00000000-0005-0000-0000-00006F050000}"/>
    <cellStyle name="Texto de advertencia 20" xfId="985" xr:uid="{00000000-0005-0000-0000-000070050000}"/>
    <cellStyle name="Texto de advertencia 3" xfId="750" xr:uid="{00000000-0005-0000-0000-000071050000}"/>
    <cellStyle name="Texto de advertencia 4" xfId="751" xr:uid="{00000000-0005-0000-0000-000072050000}"/>
    <cellStyle name="Texto de advertencia 5" xfId="752" xr:uid="{00000000-0005-0000-0000-000073050000}"/>
    <cellStyle name="Texto de advertencia 6" xfId="753" xr:uid="{00000000-0005-0000-0000-000074050000}"/>
    <cellStyle name="Texto de advertencia 7" xfId="754" xr:uid="{00000000-0005-0000-0000-000075050000}"/>
    <cellStyle name="Texto de advertencia 8" xfId="755" xr:uid="{00000000-0005-0000-0000-000076050000}"/>
    <cellStyle name="Texto de advertencia 9" xfId="756" xr:uid="{00000000-0005-0000-0000-000077050000}"/>
    <cellStyle name="Texto explicativo 10" xfId="757" xr:uid="{00000000-0005-0000-0000-000078050000}"/>
    <cellStyle name="Texto explicativo 11" xfId="758" xr:uid="{00000000-0005-0000-0000-000079050000}"/>
    <cellStyle name="Texto explicativo 12" xfId="759" xr:uid="{00000000-0005-0000-0000-00007A050000}"/>
    <cellStyle name="Texto explicativo 13" xfId="760" xr:uid="{00000000-0005-0000-0000-00007B050000}"/>
    <cellStyle name="Texto explicativo 14" xfId="761" xr:uid="{00000000-0005-0000-0000-00007C050000}"/>
    <cellStyle name="Texto explicativo 15" xfId="762" xr:uid="{00000000-0005-0000-0000-00007D050000}"/>
    <cellStyle name="Texto explicativo 16" xfId="763" xr:uid="{00000000-0005-0000-0000-00007E050000}"/>
    <cellStyle name="Texto explicativo 17" xfId="764" xr:uid="{00000000-0005-0000-0000-00007F050000}"/>
    <cellStyle name="Texto explicativo 18" xfId="765" xr:uid="{00000000-0005-0000-0000-000080050000}"/>
    <cellStyle name="Texto explicativo 19" xfId="766" xr:uid="{00000000-0005-0000-0000-000081050000}"/>
    <cellStyle name="Texto explicativo 2" xfId="767" xr:uid="{00000000-0005-0000-0000-000082050000}"/>
    <cellStyle name="Texto explicativo 3" xfId="768" xr:uid="{00000000-0005-0000-0000-000083050000}"/>
    <cellStyle name="Texto explicativo 4" xfId="769" xr:uid="{00000000-0005-0000-0000-000084050000}"/>
    <cellStyle name="Texto explicativo 5" xfId="770" xr:uid="{00000000-0005-0000-0000-000085050000}"/>
    <cellStyle name="Texto explicativo 6" xfId="771" xr:uid="{00000000-0005-0000-0000-000086050000}"/>
    <cellStyle name="Texto explicativo 7" xfId="772" xr:uid="{00000000-0005-0000-0000-000087050000}"/>
    <cellStyle name="Texto explicativo 8" xfId="773" xr:uid="{00000000-0005-0000-0000-000088050000}"/>
    <cellStyle name="Texto explicativo 9" xfId="774" xr:uid="{00000000-0005-0000-0000-000089050000}"/>
    <cellStyle name="Title" xfId="934" xr:uid="{00000000-0005-0000-0000-00008A050000}"/>
    <cellStyle name="Title 2" xfId="775" xr:uid="{00000000-0005-0000-0000-00008B050000}"/>
    <cellStyle name="Title 3" xfId="1158" xr:uid="{00000000-0005-0000-0000-00008C050000}"/>
    <cellStyle name="Título 1 10" xfId="776" xr:uid="{00000000-0005-0000-0000-00008D050000}"/>
    <cellStyle name="Título 1 11" xfId="777" xr:uid="{00000000-0005-0000-0000-00008E050000}"/>
    <cellStyle name="Título 1 12" xfId="778" xr:uid="{00000000-0005-0000-0000-00008F050000}"/>
    <cellStyle name="Título 1 13" xfId="779" xr:uid="{00000000-0005-0000-0000-000090050000}"/>
    <cellStyle name="Título 1 14" xfId="780" xr:uid="{00000000-0005-0000-0000-000091050000}"/>
    <cellStyle name="Título 1 15" xfId="781" xr:uid="{00000000-0005-0000-0000-000092050000}"/>
    <cellStyle name="Título 1 16" xfId="782" xr:uid="{00000000-0005-0000-0000-000093050000}"/>
    <cellStyle name="Título 1 17" xfId="783" xr:uid="{00000000-0005-0000-0000-000094050000}"/>
    <cellStyle name="Título 1 18" xfId="784" xr:uid="{00000000-0005-0000-0000-000095050000}"/>
    <cellStyle name="Título 1 19" xfId="785" xr:uid="{00000000-0005-0000-0000-000096050000}"/>
    <cellStyle name="Título 1 2" xfId="786" xr:uid="{00000000-0005-0000-0000-000097050000}"/>
    <cellStyle name="Título 1 3" xfId="787" xr:uid="{00000000-0005-0000-0000-000098050000}"/>
    <cellStyle name="Título 1 4" xfId="788" xr:uid="{00000000-0005-0000-0000-000099050000}"/>
    <cellStyle name="Título 1 5" xfId="789" xr:uid="{00000000-0005-0000-0000-00009A050000}"/>
    <cellStyle name="Título 1 6" xfId="790" xr:uid="{00000000-0005-0000-0000-00009B050000}"/>
    <cellStyle name="Título 1 7" xfId="791" xr:uid="{00000000-0005-0000-0000-00009C050000}"/>
    <cellStyle name="Título 1 8" xfId="792" xr:uid="{00000000-0005-0000-0000-00009D050000}"/>
    <cellStyle name="Título 1 9" xfId="793" xr:uid="{00000000-0005-0000-0000-00009E050000}"/>
    <cellStyle name="Título 10" xfId="794" xr:uid="{00000000-0005-0000-0000-00009F050000}"/>
    <cellStyle name="Título 11" xfId="795" xr:uid="{00000000-0005-0000-0000-0000A0050000}"/>
    <cellStyle name="Título 12" xfId="796" xr:uid="{00000000-0005-0000-0000-0000A1050000}"/>
    <cellStyle name="Título 13" xfId="797" xr:uid="{00000000-0005-0000-0000-0000A2050000}"/>
    <cellStyle name="Título 14" xfId="798" xr:uid="{00000000-0005-0000-0000-0000A3050000}"/>
    <cellStyle name="Título 15" xfId="799" xr:uid="{00000000-0005-0000-0000-0000A4050000}"/>
    <cellStyle name="Título 16" xfId="800" xr:uid="{00000000-0005-0000-0000-0000A5050000}"/>
    <cellStyle name="Título 17" xfId="801" xr:uid="{00000000-0005-0000-0000-0000A6050000}"/>
    <cellStyle name="Título 18" xfId="802" xr:uid="{00000000-0005-0000-0000-0000A7050000}"/>
    <cellStyle name="Título 19" xfId="803" xr:uid="{00000000-0005-0000-0000-0000A8050000}"/>
    <cellStyle name="Título 2 10" xfId="804" xr:uid="{00000000-0005-0000-0000-0000A9050000}"/>
    <cellStyle name="Título 2 11" xfId="805" xr:uid="{00000000-0005-0000-0000-0000AA050000}"/>
    <cellStyle name="Título 2 12" xfId="806" xr:uid="{00000000-0005-0000-0000-0000AB050000}"/>
    <cellStyle name="Título 2 13" xfId="807" xr:uid="{00000000-0005-0000-0000-0000AC050000}"/>
    <cellStyle name="Título 2 14" xfId="808" xr:uid="{00000000-0005-0000-0000-0000AD050000}"/>
    <cellStyle name="Título 2 15" xfId="809" xr:uid="{00000000-0005-0000-0000-0000AE050000}"/>
    <cellStyle name="Título 2 16" xfId="810" xr:uid="{00000000-0005-0000-0000-0000AF050000}"/>
    <cellStyle name="Título 2 17" xfId="811" xr:uid="{00000000-0005-0000-0000-0000B0050000}"/>
    <cellStyle name="Título 2 18" xfId="812" xr:uid="{00000000-0005-0000-0000-0000B1050000}"/>
    <cellStyle name="Título 2 19" xfId="813" xr:uid="{00000000-0005-0000-0000-0000B2050000}"/>
    <cellStyle name="Título 2 2" xfId="814" xr:uid="{00000000-0005-0000-0000-0000B3050000}"/>
    <cellStyle name="Título 2 3" xfId="815" xr:uid="{00000000-0005-0000-0000-0000B4050000}"/>
    <cellStyle name="Título 2 4" xfId="816" xr:uid="{00000000-0005-0000-0000-0000B5050000}"/>
    <cellStyle name="Título 2 5" xfId="817" xr:uid="{00000000-0005-0000-0000-0000B6050000}"/>
    <cellStyle name="Título 2 6" xfId="818" xr:uid="{00000000-0005-0000-0000-0000B7050000}"/>
    <cellStyle name="Título 2 7" xfId="819" xr:uid="{00000000-0005-0000-0000-0000B8050000}"/>
    <cellStyle name="Título 2 8" xfId="820" xr:uid="{00000000-0005-0000-0000-0000B9050000}"/>
    <cellStyle name="Título 2 9" xfId="821" xr:uid="{00000000-0005-0000-0000-0000BA050000}"/>
    <cellStyle name="Título 20" xfId="822" xr:uid="{00000000-0005-0000-0000-0000BB050000}"/>
    <cellStyle name="Título 21" xfId="823" xr:uid="{00000000-0005-0000-0000-0000BC050000}"/>
    <cellStyle name="Título 3 10" xfId="824" xr:uid="{00000000-0005-0000-0000-0000BD050000}"/>
    <cellStyle name="Título 3 11" xfId="825" xr:uid="{00000000-0005-0000-0000-0000BE050000}"/>
    <cellStyle name="Título 3 12" xfId="826" xr:uid="{00000000-0005-0000-0000-0000BF050000}"/>
    <cellStyle name="Título 3 13" xfId="827" xr:uid="{00000000-0005-0000-0000-0000C0050000}"/>
    <cellStyle name="Título 3 14" xfId="828" xr:uid="{00000000-0005-0000-0000-0000C1050000}"/>
    <cellStyle name="Título 3 15" xfId="829" xr:uid="{00000000-0005-0000-0000-0000C2050000}"/>
    <cellStyle name="Título 3 16" xfId="830" xr:uid="{00000000-0005-0000-0000-0000C3050000}"/>
    <cellStyle name="Título 3 17" xfId="831" xr:uid="{00000000-0005-0000-0000-0000C4050000}"/>
    <cellStyle name="Título 3 18" xfId="832" xr:uid="{00000000-0005-0000-0000-0000C5050000}"/>
    <cellStyle name="Título 3 19" xfId="833" xr:uid="{00000000-0005-0000-0000-0000C6050000}"/>
    <cellStyle name="Título 3 2" xfId="834" xr:uid="{00000000-0005-0000-0000-0000C7050000}"/>
    <cellStyle name="Título 3 3" xfId="835" xr:uid="{00000000-0005-0000-0000-0000C8050000}"/>
    <cellStyle name="Título 3 4" xfId="836" xr:uid="{00000000-0005-0000-0000-0000C9050000}"/>
    <cellStyle name="Título 3 5" xfId="837" xr:uid="{00000000-0005-0000-0000-0000CA050000}"/>
    <cellStyle name="Título 3 6" xfId="838" xr:uid="{00000000-0005-0000-0000-0000CB050000}"/>
    <cellStyle name="Título 3 7" xfId="839" xr:uid="{00000000-0005-0000-0000-0000CC050000}"/>
    <cellStyle name="Título 3 8" xfId="840" xr:uid="{00000000-0005-0000-0000-0000CD050000}"/>
    <cellStyle name="Título 3 9" xfId="841" xr:uid="{00000000-0005-0000-0000-0000CE050000}"/>
    <cellStyle name="Título 4" xfId="842" xr:uid="{00000000-0005-0000-0000-0000CF050000}"/>
    <cellStyle name="Título 5" xfId="843" xr:uid="{00000000-0005-0000-0000-0000D0050000}"/>
    <cellStyle name="Título 6" xfId="844" xr:uid="{00000000-0005-0000-0000-0000D1050000}"/>
    <cellStyle name="Título 7" xfId="845" xr:uid="{00000000-0005-0000-0000-0000D2050000}"/>
    <cellStyle name="Título 8" xfId="846" xr:uid="{00000000-0005-0000-0000-0000D3050000}"/>
    <cellStyle name="Título 9" xfId="847" xr:uid="{00000000-0005-0000-0000-0000D4050000}"/>
    <cellStyle name="Total" xfId="848" builtinId="25" customBuiltin="1"/>
    <cellStyle name="Total 10" xfId="849" xr:uid="{00000000-0005-0000-0000-0000D6050000}"/>
    <cellStyle name="Total 10 2" xfId="1363" xr:uid="{00000000-0005-0000-0000-0000D7050000}"/>
    <cellStyle name="Total 10 3" xfId="1231" xr:uid="{00000000-0005-0000-0000-0000D8050000}"/>
    <cellStyle name="Total 11" xfId="850" xr:uid="{00000000-0005-0000-0000-0000D9050000}"/>
    <cellStyle name="Total 11 2" xfId="1364" xr:uid="{00000000-0005-0000-0000-0000DA050000}"/>
    <cellStyle name="Total 11 3" xfId="1230" xr:uid="{00000000-0005-0000-0000-0000DB050000}"/>
    <cellStyle name="Total 12" xfId="851" xr:uid="{00000000-0005-0000-0000-0000DC050000}"/>
    <cellStyle name="Total 12 2" xfId="1365" xr:uid="{00000000-0005-0000-0000-0000DD050000}"/>
    <cellStyle name="Total 12 3" xfId="1229" xr:uid="{00000000-0005-0000-0000-0000DE050000}"/>
    <cellStyle name="Total 13" xfId="852" xr:uid="{00000000-0005-0000-0000-0000DF050000}"/>
    <cellStyle name="Total 13 2" xfId="1366" xr:uid="{00000000-0005-0000-0000-0000E0050000}"/>
    <cellStyle name="Total 13 3" xfId="1228" xr:uid="{00000000-0005-0000-0000-0000E1050000}"/>
    <cellStyle name="Total 14" xfId="853" xr:uid="{00000000-0005-0000-0000-0000E2050000}"/>
    <cellStyle name="Total 14 2" xfId="1367" xr:uid="{00000000-0005-0000-0000-0000E3050000}"/>
    <cellStyle name="Total 14 3" xfId="1227" xr:uid="{00000000-0005-0000-0000-0000E4050000}"/>
    <cellStyle name="Total 15" xfId="854" xr:uid="{00000000-0005-0000-0000-0000E5050000}"/>
    <cellStyle name="Total 15 2" xfId="1368" xr:uid="{00000000-0005-0000-0000-0000E6050000}"/>
    <cellStyle name="Total 15 3" xfId="1226" xr:uid="{00000000-0005-0000-0000-0000E7050000}"/>
    <cellStyle name="Total 16" xfId="855" xr:uid="{00000000-0005-0000-0000-0000E8050000}"/>
    <cellStyle name="Total 16 2" xfId="1369" xr:uid="{00000000-0005-0000-0000-0000E9050000}"/>
    <cellStyle name="Total 16 3" xfId="1225" xr:uid="{00000000-0005-0000-0000-0000EA050000}"/>
    <cellStyle name="Total 17" xfId="856" xr:uid="{00000000-0005-0000-0000-0000EB050000}"/>
    <cellStyle name="Total 17 2" xfId="1370" xr:uid="{00000000-0005-0000-0000-0000EC050000}"/>
    <cellStyle name="Total 17 3" xfId="1224" xr:uid="{00000000-0005-0000-0000-0000ED050000}"/>
    <cellStyle name="Total 18" xfId="857" xr:uid="{00000000-0005-0000-0000-0000EE050000}"/>
    <cellStyle name="Total 18 2" xfId="1371" xr:uid="{00000000-0005-0000-0000-0000EF050000}"/>
    <cellStyle name="Total 18 3" xfId="1223" xr:uid="{00000000-0005-0000-0000-0000F0050000}"/>
    <cellStyle name="Total 19" xfId="858" xr:uid="{00000000-0005-0000-0000-0000F1050000}"/>
    <cellStyle name="Total 19 2" xfId="1372" xr:uid="{00000000-0005-0000-0000-0000F2050000}"/>
    <cellStyle name="Total 19 3" xfId="1222" xr:uid="{00000000-0005-0000-0000-0000F3050000}"/>
    <cellStyle name="Total 2" xfId="859" xr:uid="{00000000-0005-0000-0000-0000F4050000}"/>
    <cellStyle name="Total 2 2" xfId="1373" xr:uid="{00000000-0005-0000-0000-0000F5050000}"/>
    <cellStyle name="Total 2 3" xfId="1221" xr:uid="{00000000-0005-0000-0000-0000F6050000}"/>
    <cellStyle name="Total 20" xfId="986" xr:uid="{00000000-0005-0000-0000-0000F7050000}"/>
    <cellStyle name="Total 20 2" xfId="1159" xr:uid="{00000000-0005-0000-0000-0000F8050000}"/>
    <cellStyle name="Total 20 2 2" xfId="1514" xr:uid="{00000000-0005-0000-0000-0000F9050000}"/>
    <cellStyle name="Total 20 2 3" xfId="1559" xr:uid="{00000000-0005-0000-0000-0000FA050000}"/>
    <cellStyle name="Total 3" xfId="860" xr:uid="{00000000-0005-0000-0000-0000FB050000}"/>
    <cellStyle name="Total 3 2" xfId="1374" xr:uid="{00000000-0005-0000-0000-0000FC050000}"/>
    <cellStyle name="Total 3 3" xfId="1220" xr:uid="{00000000-0005-0000-0000-0000FD050000}"/>
    <cellStyle name="Total 4" xfId="861" xr:uid="{00000000-0005-0000-0000-0000FE050000}"/>
    <cellStyle name="Total 4 2" xfId="1375" xr:uid="{00000000-0005-0000-0000-0000FF050000}"/>
    <cellStyle name="Total 4 3" xfId="1219" xr:uid="{00000000-0005-0000-0000-000000060000}"/>
    <cellStyle name="Total 5" xfId="862" xr:uid="{00000000-0005-0000-0000-000001060000}"/>
    <cellStyle name="Total 5 2" xfId="1376" xr:uid="{00000000-0005-0000-0000-000002060000}"/>
    <cellStyle name="Total 5 3" xfId="1218" xr:uid="{00000000-0005-0000-0000-000003060000}"/>
    <cellStyle name="Total 6" xfId="863" xr:uid="{00000000-0005-0000-0000-000004060000}"/>
    <cellStyle name="Total 6 2" xfId="1377" xr:uid="{00000000-0005-0000-0000-000005060000}"/>
    <cellStyle name="Total 6 3" xfId="1217" xr:uid="{00000000-0005-0000-0000-000006060000}"/>
    <cellStyle name="Total 7" xfId="864" xr:uid="{00000000-0005-0000-0000-000007060000}"/>
    <cellStyle name="Total 7 2" xfId="1378" xr:uid="{00000000-0005-0000-0000-000008060000}"/>
    <cellStyle name="Total 7 3" xfId="1216" xr:uid="{00000000-0005-0000-0000-000009060000}"/>
    <cellStyle name="Total 8" xfId="865" xr:uid="{00000000-0005-0000-0000-00000A060000}"/>
    <cellStyle name="Total 8 2" xfId="1379" xr:uid="{00000000-0005-0000-0000-00000B060000}"/>
    <cellStyle name="Total 8 3" xfId="1215" xr:uid="{00000000-0005-0000-0000-00000C060000}"/>
    <cellStyle name="Total 9" xfId="866" xr:uid="{00000000-0005-0000-0000-00000D060000}"/>
    <cellStyle name="Total 9 2" xfId="1380" xr:uid="{00000000-0005-0000-0000-00000E060000}"/>
    <cellStyle name="Total 9 3" xfId="1214" xr:uid="{00000000-0005-0000-0000-00000F060000}"/>
    <cellStyle name="Warning Text 2" xfId="868" xr:uid="{00000000-0005-0000-0000-000010060000}"/>
    <cellStyle name="Warning Text 3" xfId="1160" xr:uid="{00000000-0005-0000-0000-000011060000}"/>
    <cellStyle name="Ввод  2" xfId="1320" xr:uid="{00000000-0005-0000-0000-000012060000}"/>
    <cellStyle name="Ввод  3" xfId="1254" xr:uid="{00000000-0005-0000-0000-000013060000}"/>
    <cellStyle name="Итог 2" xfId="1362" xr:uid="{00000000-0005-0000-0000-000014060000}"/>
    <cellStyle name="Итог 3" xfId="1232" xr:uid="{00000000-0005-0000-0000-000015060000}"/>
    <cellStyle name="Примечание 2" xfId="1341" xr:uid="{00000000-0005-0000-0000-000016060000}"/>
    <cellStyle name="Примечание 3" xfId="1498" xr:uid="{00000000-0005-0000-0000-000017060000}"/>
  </cellStyles>
  <dxfs count="1422">
    <dxf>
      <font>
        <b/>
        <i val="0"/>
        <color rgb="FF00FF00"/>
      </font>
    </dxf>
    <dxf>
      <font>
        <b/>
        <i val="0"/>
        <color rgb="FF00B0F0"/>
      </font>
    </dxf>
    <dxf>
      <font>
        <b/>
        <i val="0"/>
        <color rgb="FF7030A0"/>
      </font>
    </dxf>
    <dxf>
      <font>
        <color rgb="FF7030A0"/>
      </font>
    </dxf>
    <dxf>
      <font>
        <b/>
        <i val="0"/>
        <color rgb="FF00B0F0"/>
      </font>
    </dxf>
    <dxf>
      <font>
        <b/>
        <i val="0"/>
        <color rgb="FFFFC000"/>
      </font>
    </dxf>
    <dxf>
      <font>
        <color theme="3"/>
      </font>
    </dxf>
    <dxf>
      <font>
        <color rgb="FF7030A0"/>
      </font>
    </dxf>
    <dxf>
      <font>
        <color rgb="FF00B050"/>
      </font>
    </dxf>
    <dxf>
      <font>
        <b/>
        <i val="0"/>
        <color rgb="FFFFC000"/>
      </font>
    </dxf>
    <dxf>
      <font>
        <color rgb="FF7030A0"/>
      </font>
    </dxf>
    <dxf>
      <font>
        <b/>
        <i val="0"/>
        <color rgb="FF00B0F0"/>
      </font>
    </dxf>
    <dxf>
      <font>
        <b/>
        <i val="0"/>
        <color rgb="FFFFC000"/>
      </font>
    </dxf>
    <dxf>
      <font>
        <color theme="3"/>
      </font>
    </dxf>
    <dxf>
      <font>
        <color rgb="FF7030A0"/>
      </font>
    </dxf>
    <dxf>
      <font>
        <color rgb="FF00B050"/>
      </font>
    </dxf>
    <dxf>
      <font>
        <b/>
        <i val="0"/>
        <color rgb="FFFFC000"/>
      </font>
    </dxf>
    <dxf>
      <font>
        <color rgb="FF7030A0"/>
      </font>
    </dxf>
    <dxf>
      <font>
        <color rgb="FF00B050"/>
      </font>
    </dxf>
    <dxf>
      <font>
        <b/>
        <i val="0"/>
        <color rgb="FFFFC000"/>
      </font>
    </dxf>
    <dxf>
      <font>
        <color rgb="FF7030A0"/>
      </font>
    </dxf>
    <dxf>
      <font>
        <b/>
        <i val="0"/>
        <color rgb="FF00B0F0"/>
      </font>
    </dxf>
    <dxf>
      <font>
        <b/>
        <i val="0"/>
        <color rgb="FFFFC000"/>
      </font>
    </dxf>
    <dxf>
      <font>
        <color theme="3"/>
      </font>
    </dxf>
    <dxf>
      <font>
        <b/>
        <i val="0"/>
        <color rgb="FF00FF00"/>
      </font>
    </dxf>
    <dxf>
      <font>
        <b/>
        <i val="0"/>
        <color rgb="FF00B0F0"/>
      </font>
    </dxf>
    <dxf>
      <font>
        <b/>
        <i val="0"/>
        <color rgb="FF7030A0"/>
      </font>
    </dxf>
    <dxf>
      <font>
        <b/>
        <i val="0"/>
        <color rgb="FF00FF00"/>
      </font>
    </dxf>
    <dxf>
      <font>
        <b/>
        <i val="0"/>
        <color rgb="FF00B0F0"/>
      </font>
    </dxf>
    <dxf>
      <font>
        <b/>
        <i val="0"/>
        <color rgb="FF7030A0"/>
      </font>
    </dxf>
    <dxf>
      <font>
        <color rgb="FF7030A0"/>
      </font>
    </dxf>
    <dxf>
      <font>
        <b/>
        <i val="0"/>
        <color rgb="FF00B0F0"/>
      </font>
    </dxf>
    <dxf>
      <font>
        <b/>
        <i val="0"/>
        <color rgb="FFFFC000"/>
      </font>
    </dxf>
    <dxf>
      <font>
        <color theme="3"/>
      </font>
    </dxf>
    <dxf>
      <font>
        <color rgb="FF7030A0"/>
      </font>
    </dxf>
    <dxf>
      <font>
        <color rgb="FF00B050"/>
      </font>
    </dxf>
    <dxf>
      <font>
        <b/>
        <i val="0"/>
        <color rgb="FFFFC000"/>
      </font>
    </dxf>
    <dxf>
      <font>
        <color rgb="FF7030A0"/>
      </font>
    </dxf>
    <dxf>
      <font>
        <b/>
        <i val="0"/>
        <color rgb="FF00B0F0"/>
      </font>
    </dxf>
    <dxf>
      <font>
        <b/>
        <i val="0"/>
        <color rgb="FFFFC000"/>
      </font>
    </dxf>
    <dxf>
      <font>
        <color theme="3"/>
      </font>
    </dxf>
    <dxf>
      <font>
        <color rgb="FF7030A0"/>
      </font>
    </dxf>
    <dxf>
      <font>
        <color rgb="FF00B050"/>
      </font>
    </dxf>
    <dxf>
      <font>
        <b/>
        <i val="0"/>
        <color rgb="FFFFC000"/>
      </font>
    </dxf>
    <dxf>
      <font>
        <b/>
        <i val="0"/>
        <color rgb="FFFF0000"/>
      </font>
    </dxf>
    <dxf>
      <font>
        <b/>
        <i val="0"/>
        <color rgb="FFFF0000"/>
      </font>
    </dxf>
    <dxf>
      <font>
        <color rgb="FF7030A0"/>
      </font>
    </dxf>
    <dxf>
      <font>
        <color rgb="FF00B0F0"/>
      </font>
    </dxf>
    <dxf>
      <font>
        <color rgb="FF00CC00"/>
      </font>
    </dxf>
    <dxf>
      <font>
        <color rgb="FFFFC000"/>
      </font>
    </dxf>
    <dxf>
      <font>
        <b/>
        <i val="0"/>
        <color rgb="FFFFFF00"/>
      </font>
    </dxf>
    <dxf>
      <font>
        <color theme="3" tint="0.39994506668294322"/>
      </font>
    </dxf>
    <dxf>
      <font>
        <color rgb="FFFF33CC"/>
      </font>
    </dxf>
    <dxf>
      <font>
        <color theme="2" tint="-0.499984740745262"/>
      </font>
    </dxf>
    <dxf>
      <font>
        <color theme="5" tint="-0.24994659260841701"/>
      </font>
    </dxf>
    <dxf>
      <font>
        <color theme="2" tint="-0.499984740745262"/>
      </font>
    </dxf>
    <dxf>
      <font>
        <color rgb="FF7030A0"/>
      </font>
    </dxf>
    <dxf>
      <font>
        <color rgb="FF00B0F0"/>
      </font>
    </dxf>
    <dxf>
      <font>
        <color rgb="FF00B050"/>
      </font>
    </dxf>
    <dxf>
      <font>
        <color rgb="FF7030A0"/>
      </font>
    </dxf>
    <dxf>
      <font>
        <color rgb="FF00B050"/>
      </font>
    </dxf>
    <dxf>
      <font>
        <b/>
        <i val="0"/>
        <color rgb="FFFFC000"/>
      </font>
    </dxf>
    <dxf>
      <font>
        <color rgb="FF7030A0"/>
      </font>
    </dxf>
    <dxf>
      <font>
        <b/>
        <i val="0"/>
        <color rgb="FF00B0F0"/>
      </font>
    </dxf>
    <dxf>
      <font>
        <b/>
        <i val="0"/>
        <color rgb="FFFFC000"/>
      </font>
    </dxf>
    <dxf>
      <font>
        <color theme="3"/>
      </font>
    </dxf>
    <dxf>
      <font>
        <color rgb="FF7030A0"/>
      </font>
    </dxf>
    <dxf>
      <font>
        <color rgb="FF00B0F0"/>
      </font>
    </dxf>
    <dxf>
      <font>
        <color rgb="FF00CC00"/>
      </font>
    </dxf>
    <dxf>
      <font>
        <color rgb="FFFFC000"/>
      </font>
    </dxf>
    <dxf>
      <font>
        <b/>
        <i val="0"/>
        <color rgb="FFFFFF00"/>
      </font>
    </dxf>
    <dxf>
      <font>
        <color theme="3" tint="0.39994506668294322"/>
      </font>
    </dxf>
    <dxf>
      <font>
        <color rgb="FFFF33CC"/>
      </font>
    </dxf>
    <dxf>
      <font>
        <color theme="2" tint="-0.499984740745262"/>
      </font>
    </dxf>
    <dxf>
      <font>
        <color theme="5" tint="-0.24994659260841701"/>
      </font>
    </dxf>
    <dxf>
      <font>
        <color theme="2" tint="-0.499984740745262"/>
      </font>
    </dxf>
    <dxf>
      <font>
        <color rgb="FF7030A0"/>
      </font>
    </dxf>
    <dxf>
      <font>
        <color rgb="FF00B0F0"/>
      </font>
    </dxf>
    <dxf>
      <font>
        <color rgb="FF00B050"/>
      </font>
    </dxf>
    <dxf>
      <font>
        <color rgb="FF7030A0"/>
      </font>
    </dxf>
    <dxf>
      <font>
        <color rgb="FF00B050"/>
      </font>
    </dxf>
    <dxf>
      <font>
        <b/>
        <i val="0"/>
        <color rgb="FFFFC000"/>
      </font>
    </dxf>
    <dxf>
      <font>
        <color rgb="FF7030A0"/>
      </font>
    </dxf>
    <dxf>
      <font>
        <b/>
        <i val="0"/>
        <color rgb="FF00B0F0"/>
      </font>
    </dxf>
    <dxf>
      <font>
        <b/>
        <i val="0"/>
        <color rgb="FFFFC000"/>
      </font>
    </dxf>
    <dxf>
      <font>
        <color theme="3"/>
      </font>
    </dxf>
    <dxf>
      <font>
        <color rgb="FF7030A0"/>
      </font>
    </dxf>
    <dxf>
      <font>
        <color rgb="FF00B0F0"/>
      </font>
    </dxf>
    <dxf>
      <font>
        <color rgb="FF00CC00"/>
      </font>
    </dxf>
    <dxf>
      <font>
        <color rgb="FFFFC000"/>
      </font>
    </dxf>
    <dxf>
      <font>
        <b/>
        <i val="0"/>
        <color rgb="FFFFFF00"/>
      </font>
    </dxf>
    <dxf>
      <font>
        <color theme="3" tint="0.39994506668294322"/>
      </font>
    </dxf>
    <dxf>
      <font>
        <color rgb="FFFF33CC"/>
      </font>
    </dxf>
    <dxf>
      <font>
        <color theme="2" tint="-0.499984740745262"/>
      </font>
    </dxf>
    <dxf>
      <font>
        <color theme="5" tint="-0.24994659260841701"/>
      </font>
    </dxf>
    <dxf>
      <font>
        <color theme="2" tint="-0.499984740745262"/>
      </font>
    </dxf>
    <dxf>
      <font>
        <color rgb="FF7030A0"/>
      </font>
    </dxf>
    <dxf>
      <font>
        <color rgb="FF00B0F0"/>
      </font>
    </dxf>
    <dxf>
      <font>
        <color rgb="FF00B050"/>
      </font>
    </dxf>
    <dxf>
      <font>
        <color rgb="FF7030A0"/>
      </font>
    </dxf>
    <dxf>
      <font>
        <color rgb="FF00B0F0"/>
      </font>
    </dxf>
    <dxf>
      <font>
        <color rgb="FF00CC00"/>
      </font>
    </dxf>
    <dxf>
      <font>
        <color rgb="FFFFC000"/>
      </font>
    </dxf>
    <dxf>
      <font>
        <b/>
        <i val="0"/>
        <color rgb="FFFFFF00"/>
      </font>
    </dxf>
    <dxf>
      <font>
        <color theme="3" tint="0.39994506668294322"/>
      </font>
    </dxf>
    <dxf>
      <font>
        <color rgb="FFFF33CC"/>
      </font>
    </dxf>
    <dxf>
      <font>
        <color theme="2" tint="-0.499984740745262"/>
      </font>
    </dxf>
    <dxf>
      <font>
        <color theme="5" tint="-0.24994659260841701"/>
      </font>
    </dxf>
    <dxf>
      <font>
        <color theme="2" tint="-0.499984740745262"/>
      </font>
    </dxf>
    <dxf>
      <font>
        <color rgb="FF7030A0"/>
      </font>
    </dxf>
    <dxf>
      <font>
        <color rgb="FF00B0F0"/>
      </font>
    </dxf>
    <dxf>
      <font>
        <color rgb="FF00B050"/>
      </font>
    </dxf>
    <dxf>
      <font>
        <color rgb="FF7030A0"/>
      </font>
    </dxf>
    <dxf>
      <font>
        <color rgb="FF00B0F0"/>
      </font>
    </dxf>
    <dxf>
      <font>
        <color rgb="FF00CC00"/>
      </font>
    </dxf>
    <dxf>
      <font>
        <color rgb="FFFFC000"/>
      </font>
    </dxf>
    <dxf>
      <font>
        <b/>
        <i val="0"/>
        <color rgb="FFFFFF00"/>
      </font>
    </dxf>
    <dxf>
      <font>
        <color theme="3" tint="0.39994506668294322"/>
      </font>
    </dxf>
    <dxf>
      <font>
        <color rgb="FFFF33CC"/>
      </font>
    </dxf>
    <dxf>
      <font>
        <color theme="2" tint="-0.499984740745262"/>
      </font>
    </dxf>
    <dxf>
      <font>
        <color theme="5" tint="-0.24994659260841701"/>
      </font>
    </dxf>
    <dxf>
      <font>
        <color theme="2" tint="-0.499984740745262"/>
      </font>
    </dxf>
    <dxf>
      <font>
        <color rgb="FF7030A0"/>
      </font>
    </dxf>
    <dxf>
      <font>
        <color rgb="FF00B0F0"/>
      </font>
    </dxf>
    <dxf>
      <font>
        <color rgb="FF00B050"/>
      </font>
    </dxf>
    <dxf>
      <font>
        <b/>
        <i val="0"/>
        <color rgb="FF00FF00"/>
      </font>
    </dxf>
    <dxf>
      <font>
        <b/>
        <i val="0"/>
        <color rgb="FF00B0F0"/>
      </font>
    </dxf>
    <dxf>
      <font>
        <b/>
        <i val="0"/>
        <color rgb="FF7030A0"/>
      </font>
    </dxf>
    <dxf>
      <font>
        <b/>
        <i val="0"/>
        <color rgb="FFFF0000"/>
      </font>
    </dxf>
    <dxf>
      <font>
        <b/>
        <i val="0"/>
        <color rgb="FFFF0000"/>
      </font>
    </dxf>
    <dxf>
      <font>
        <color rgb="FF7030A0"/>
      </font>
    </dxf>
    <dxf>
      <font>
        <color rgb="FF00B0F0"/>
      </font>
    </dxf>
    <dxf>
      <font>
        <color rgb="FF00CC00"/>
      </font>
    </dxf>
    <dxf>
      <font>
        <color rgb="FFFFC000"/>
      </font>
    </dxf>
    <dxf>
      <font>
        <b/>
        <i val="0"/>
        <color rgb="FFFFFF00"/>
      </font>
    </dxf>
    <dxf>
      <font>
        <color theme="3" tint="0.39994506668294322"/>
      </font>
    </dxf>
    <dxf>
      <font>
        <color rgb="FFFF33CC"/>
      </font>
    </dxf>
    <dxf>
      <font>
        <color theme="2" tint="-0.499984740745262"/>
      </font>
    </dxf>
    <dxf>
      <font>
        <color theme="5" tint="-0.24994659260841701"/>
      </font>
    </dxf>
    <dxf>
      <font>
        <color theme="2" tint="-0.499984740745262"/>
      </font>
    </dxf>
    <dxf>
      <font>
        <color rgb="FF7030A0"/>
      </font>
    </dxf>
    <dxf>
      <font>
        <color rgb="FF00B0F0"/>
      </font>
    </dxf>
    <dxf>
      <font>
        <color rgb="FF00B050"/>
      </font>
    </dxf>
    <dxf>
      <font>
        <b/>
        <i val="0"/>
        <color rgb="FF00FF00"/>
      </font>
    </dxf>
    <dxf>
      <font>
        <b/>
        <i val="0"/>
        <color rgb="FF00B0F0"/>
      </font>
    </dxf>
    <dxf>
      <font>
        <b/>
        <i val="0"/>
        <color rgb="FF7030A0"/>
      </font>
    </dxf>
    <dxf>
      <font>
        <b/>
        <i val="0"/>
        <color rgb="FFFF0000"/>
      </font>
    </dxf>
    <dxf>
      <font>
        <b/>
        <i val="0"/>
        <color rgb="FFFF0000"/>
      </font>
    </dxf>
    <dxf>
      <font>
        <b/>
        <i val="0"/>
        <color rgb="FFFF0000"/>
      </font>
    </dxf>
    <dxf>
      <font>
        <b/>
        <i val="0"/>
        <color rgb="FFFF0000"/>
      </font>
    </dxf>
    <dxf>
      <font>
        <color rgb="FF7030A0"/>
      </font>
    </dxf>
    <dxf>
      <font>
        <color rgb="FF00B050"/>
      </font>
    </dxf>
    <dxf>
      <font>
        <b/>
        <i val="0"/>
        <color rgb="FFFFC000"/>
      </font>
    </dxf>
    <dxf>
      <font>
        <color rgb="FF7030A0"/>
      </font>
    </dxf>
    <dxf>
      <font>
        <b/>
        <i val="0"/>
        <color rgb="FF00B0F0"/>
      </font>
    </dxf>
    <dxf>
      <font>
        <b/>
        <i val="0"/>
        <color rgb="FFFFC000"/>
      </font>
    </dxf>
    <dxf>
      <font>
        <color theme="3"/>
      </font>
    </dxf>
    <dxf>
      <font>
        <color rgb="FF7030A0"/>
      </font>
    </dxf>
    <dxf>
      <font>
        <color rgb="FF00B050"/>
      </font>
    </dxf>
    <dxf>
      <font>
        <b/>
        <i val="0"/>
        <color rgb="FFFFC000"/>
      </font>
    </dxf>
    <dxf>
      <font>
        <color rgb="FF7030A0"/>
      </font>
    </dxf>
    <dxf>
      <font>
        <b/>
        <i val="0"/>
        <color rgb="FF00B0F0"/>
      </font>
    </dxf>
    <dxf>
      <font>
        <b/>
        <i val="0"/>
        <color rgb="FFFFC000"/>
      </font>
    </dxf>
    <dxf>
      <font>
        <color theme="3"/>
      </font>
    </dxf>
    <dxf>
      <font>
        <color rgb="FF7030A0"/>
      </font>
    </dxf>
    <dxf>
      <font>
        <color rgb="FF00B0F0"/>
      </font>
    </dxf>
    <dxf>
      <font>
        <color rgb="FF00CC00"/>
      </font>
    </dxf>
    <dxf>
      <font>
        <color rgb="FFFFC000"/>
      </font>
    </dxf>
    <dxf>
      <font>
        <b/>
        <i val="0"/>
        <color rgb="FFFFFF00"/>
      </font>
    </dxf>
    <dxf>
      <font>
        <color theme="3" tint="0.39994506668294322"/>
      </font>
    </dxf>
    <dxf>
      <font>
        <color rgb="FFFF33CC"/>
      </font>
    </dxf>
    <dxf>
      <font>
        <color theme="2" tint="-0.499984740745262"/>
      </font>
    </dxf>
    <dxf>
      <font>
        <color theme="5" tint="-0.24994659260841701"/>
      </font>
    </dxf>
    <dxf>
      <font>
        <color theme="2" tint="-0.499984740745262"/>
      </font>
    </dxf>
    <dxf>
      <font>
        <color rgb="FF7030A0"/>
      </font>
    </dxf>
    <dxf>
      <font>
        <color rgb="FF00B0F0"/>
      </font>
    </dxf>
    <dxf>
      <font>
        <color rgb="FF00B050"/>
      </font>
    </dxf>
    <dxf>
      <font>
        <b/>
        <i val="0"/>
        <color rgb="FF00FF00"/>
      </font>
    </dxf>
    <dxf>
      <font>
        <b/>
        <i val="0"/>
        <color rgb="FF00B0F0"/>
      </font>
    </dxf>
    <dxf>
      <font>
        <b/>
        <i val="0"/>
        <color rgb="FF7030A0"/>
      </font>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rgb="FFFF0000"/>
        </patternFill>
      </fill>
    </dxf>
    <dxf>
      <fill>
        <patternFill>
          <bgColor rgb="FFFF0000"/>
        </patternFill>
      </fill>
    </dxf>
    <dxf>
      <font>
        <color rgb="FF00CC00"/>
      </font>
    </dxf>
    <dxf>
      <fill>
        <patternFill>
          <bgColor rgb="FFFF0000"/>
        </patternFill>
      </fill>
    </dxf>
    <dxf>
      <fill>
        <patternFill>
          <bgColor rgb="FFFF0000"/>
        </patternFill>
      </fill>
    </dxf>
    <dxf>
      <font>
        <color rgb="FF00CC00"/>
      </font>
    </dxf>
    <dxf>
      <font>
        <b/>
        <i val="0"/>
      </font>
    </dxf>
    <dxf>
      <font>
        <color theme="0"/>
      </font>
    </dxf>
    <dxf>
      <font>
        <color theme="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ont>
        <b/>
        <i val="0"/>
      </font>
    </dxf>
    <dxf>
      <fill>
        <patternFill>
          <bgColor rgb="FFFF0000"/>
        </patternFill>
      </fill>
    </dxf>
    <dxf>
      <fill>
        <patternFill>
          <bgColor rgb="FFFF0000"/>
        </patternFill>
      </fill>
    </dxf>
    <dxf>
      <fill>
        <patternFill>
          <bgColor rgb="FFFF0000"/>
        </patternFill>
      </fill>
    </dxf>
    <dxf>
      <fill>
        <patternFill>
          <bgColor rgb="FFFF0000"/>
        </patternFill>
      </fill>
    </dxf>
    <dxf>
      <font>
        <color rgb="FF00CC00"/>
      </font>
    </dxf>
    <dxf>
      <font>
        <color rgb="FF00CC00"/>
      </font>
    </dxf>
    <dxf>
      <font>
        <color theme="0"/>
      </font>
    </dxf>
    <dxf>
      <fill>
        <patternFill>
          <bgColor rgb="FFFF0000"/>
        </patternFill>
      </fill>
    </dxf>
    <dxf>
      <fill>
        <patternFill>
          <bgColor rgb="FFFF0000"/>
        </patternFill>
      </fill>
    </dxf>
    <dxf>
      <font>
        <color rgb="FF00CC00"/>
      </font>
    </dxf>
    <dxf>
      <font>
        <color theme="0"/>
      </font>
    </dxf>
    <dxf>
      <fill>
        <patternFill>
          <bgColor rgb="FFFF0000"/>
        </patternFill>
      </fill>
    </dxf>
    <dxf>
      <fill>
        <patternFill>
          <bgColor rgb="FFFF0000"/>
        </patternFill>
      </fill>
    </dxf>
    <dxf>
      <font>
        <color rgb="FF00CC00"/>
      </font>
    </dxf>
    <dxf>
      <font>
        <color rgb="FF00CC00"/>
      </font>
    </dxf>
    <dxf>
      <font>
        <color rgb="FFFFFF00"/>
      </font>
      <fill>
        <patternFill>
          <bgColor rgb="FFFFFF00"/>
        </patternFill>
      </fill>
    </dxf>
    <dxf>
      <font>
        <color theme="0"/>
      </font>
    </dxf>
    <dxf>
      <fill>
        <patternFill patternType="solid">
          <bgColor theme="0"/>
        </patternFill>
      </fill>
    </dxf>
    <dxf>
      <fill>
        <patternFill patternType="none">
          <bgColor auto="1"/>
        </patternFill>
      </fill>
    </dxf>
    <dxf>
      <fill>
        <patternFill>
          <bgColor rgb="FFFF0000"/>
        </patternFill>
      </fill>
    </dxf>
    <dxf>
      <fill>
        <patternFill>
          <bgColor rgb="FFFF0000"/>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patternType="solid">
          <bgColor theme="0"/>
        </patternFill>
      </fill>
    </dxf>
    <dxf>
      <fill>
        <patternFill patternType="solid">
          <bgColor theme="0"/>
        </patternFill>
      </fill>
    </dxf>
    <dxf>
      <font>
        <b/>
        <i val="0"/>
      </font>
    </dxf>
    <dxf>
      <font>
        <color rgb="FF00CC00"/>
      </font>
    </dxf>
    <dxf>
      <font>
        <color rgb="FFFFFF00"/>
      </font>
      <fill>
        <patternFill>
          <bgColor rgb="FFFFFF00"/>
        </patternFill>
      </fill>
    </dxf>
    <dxf>
      <font>
        <color theme="0"/>
      </font>
    </dxf>
    <dxf>
      <fill>
        <patternFill>
          <bgColor rgb="FFFF0000"/>
        </patternFill>
      </fill>
    </dxf>
    <dxf>
      <fill>
        <patternFill>
          <bgColor rgb="FFFF000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b/>
        <i val="0"/>
      </font>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color theme="0"/>
      </font>
    </dxf>
    <dxf>
      <fill>
        <patternFill>
          <bgColor rgb="FFFF0000"/>
        </patternFill>
      </fill>
    </dxf>
    <dxf>
      <fill>
        <patternFill>
          <bgColor rgb="FFFF0000"/>
        </patternFill>
      </fill>
    </dxf>
    <dxf>
      <font>
        <color rgb="FF00CC00"/>
      </font>
    </dxf>
    <dxf>
      <font>
        <color theme="0"/>
      </font>
    </dxf>
    <dxf>
      <font>
        <color rgb="FF00CC00"/>
      </font>
    </dxf>
    <dxf>
      <fill>
        <patternFill>
          <bgColor rgb="FFFF0000"/>
        </patternFill>
      </fill>
    </dxf>
    <dxf>
      <fill>
        <patternFill>
          <bgColor rgb="FFFF0000"/>
        </patternFill>
      </fill>
    </dxf>
    <dxf>
      <font>
        <color rgb="FF00CC00"/>
      </font>
    </dxf>
    <dxf>
      <font>
        <color rgb="FFFFFF00"/>
      </font>
      <fill>
        <patternFill>
          <bgColor rgb="FFFFFF00"/>
        </patternFill>
      </fill>
    </dxf>
    <dxf>
      <font>
        <color theme="0"/>
      </font>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bgColor rgb="FFFF0000"/>
        </patternFill>
      </fill>
    </dxf>
    <dxf>
      <fill>
        <patternFill>
          <bgColor rgb="FFFF0000"/>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b/>
        <i val="0"/>
      </font>
    </dxf>
    <dxf>
      <fill>
        <patternFill patternType="solid">
          <bgColor theme="0"/>
        </patternFill>
      </fill>
    </dxf>
    <dxf>
      <fill>
        <patternFill patternType="solid">
          <bgColor theme="0"/>
        </patternFill>
      </fill>
    </dxf>
    <dxf>
      <fill>
        <patternFill patternType="solid">
          <bgColor theme="0"/>
        </patternFill>
      </fill>
    </dxf>
    <dxf>
      <font>
        <color theme="0"/>
      </font>
    </dxf>
    <dxf>
      <fill>
        <patternFill>
          <bgColor rgb="FFFF0000"/>
        </patternFill>
      </fill>
    </dxf>
    <dxf>
      <fill>
        <patternFill>
          <bgColor rgb="FFFF0000"/>
        </patternFill>
      </fill>
    </dxf>
    <dxf>
      <font>
        <color rgb="FF00CC00"/>
      </font>
    </dxf>
    <dxf>
      <font>
        <color theme="0"/>
      </font>
    </dxf>
    <dxf>
      <font>
        <color rgb="FF00CC00"/>
      </font>
    </dxf>
    <dxf>
      <fill>
        <patternFill>
          <bgColor rgb="FFFF0000"/>
        </patternFill>
      </fill>
    </dxf>
    <dxf>
      <fill>
        <patternFill>
          <bgColor rgb="FFFF0000"/>
        </patternFill>
      </fill>
    </dxf>
    <dxf>
      <font>
        <color rgb="FF00CC00"/>
      </font>
    </dxf>
    <dxf>
      <font>
        <color rgb="FFFFFF00"/>
      </font>
      <fill>
        <patternFill>
          <bgColor rgb="FFFFFF00"/>
        </patternFill>
      </fill>
    </dxf>
    <dxf>
      <font>
        <color theme="0"/>
      </font>
    </dxf>
    <dxf>
      <fill>
        <patternFill patternType="solid">
          <bgColor theme="0"/>
        </patternFill>
      </fill>
    </dxf>
    <dxf>
      <fill>
        <patternFill patternType="solid">
          <bgColor theme="0"/>
        </patternFill>
      </fill>
    </dxf>
    <dxf>
      <fill>
        <patternFill patternType="solid">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b/>
        <i val="0"/>
      </font>
    </dxf>
    <dxf>
      <fill>
        <patternFill patternType="solid">
          <bgColor theme="0"/>
        </patternFill>
      </fill>
    </dxf>
    <dxf>
      <font>
        <color theme="0"/>
      </font>
    </dxf>
    <dxf>
      <fill>
        <patternFill>
          <bgColor rgb="FFFF0000"/>
        </patternFill>
      </fill>
    </dxf>
    <dxf>
      <fill>
        <patternFill>
          <bgColor rgb="FFFF0000"/>
        </patternFill>
      </fill>
    </dxf>
    <dxf>
      <font>
        <color rgb="FF00CC00"/>
      </font>
    </dxf>
    <dxf>
      <font>
        <color theme="0"/>
      </font>
    </dxf>
    <dxf>
      <fill>
        <patternFill>
          <bgColor rgb="FFFF0000"/>
        </patternFill>
      </fill>
    </dxf>
    <dxf>
      <fill>
        <patternFill>
          <bgColor rgb="FFFF0000"/>
        </patternFill>
      </fill>
    </dxf>
    <dxf>
      <font>
        <color rgb="FF00CC0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ill>
        <patternFill patternType="solid">
          <bgColor theme="0"/>
        </patternFill>
      </fill>
    </dxf>
    <dxf>
      <fill>
        <patternFill patternType="solid">
          <bgColor theme="0"/>
        </patternFill>
      </fill>
    </dxf>
    <dxf>
      <font>
        <b/>
        <i val="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ont>
        <b/>
        <i val="0"/>
      </font>
    </dxf>
    <dxf>
      <font>
        <color rgb="FF00CC00"/>
      </font>
    </dxf>
    <dxf>
      <font>
        <color rgb="FFFFFF00"/>
      </font>
      <fill>
        <patternFill>
          <bgColor rgb="FFFFFF00"/>
        </patternFill>
      </fill>
    </dxf>
    <dxf>
      <font>
        <color theme="0"/>
      </font>
    </dxf>
    <dxf>
      <fill>
        <patternFill>
          <bgColor rgb="FFFF0000"/>
        </patternFill>
      </fill>
    </dxf>
    <dxf>
      <fill>
        <patternFill>
          <bgColor rgb="FFFF0000"/>
        </patternFill>
      </fill>
    </dxf>
    <dxf>
      <font>
        <b/>
        <i val="0"/>
      </font>
    </dxf>
    <dxf>
      <font>
        <color rgb="FF00CC00"/>
      </font>
    </dxf>
    <dxf>
      <font>
        <color rgb="FFFFFF00"/>
      </font>
      <fill>
        <patternFill>
          <bgColor rgb="FFFFFF00"/>
        </patternFill>
      </fill>
    </dxf>
    <dxf>
      <font>
        <color theme="0"/>
      </font>
    </dxf>
    <dxf>
      <fill>
        <patternFill>
          <bgColor rgb="FFFF0000"/>
        </patternFill>
      </fill>
    </dxf>
    <dxf>
      <fill>
        <patternFill>
          <bgColor rgb="FFFF000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b/>
        <i val="0"/>
      </font>
    </dxf>
    <dxf>
      <font>
        <color theme="0"/>
      </font>
    </dxf>
    <dxf>
      <fill>
        <patternFill>
          <bgColor rgb="FFFF0000"/>
        </patternFill>
      </fill>
    </dxf>
    <dxf>
      <fill>
        <patternFill>
          <bgColor rgb="FFFF0000"/>
        </patternFill>
      </fill>
    </dxf>
    <dxf>
      <font>
        <color rgb="FF00CC00"/>
      </font>
    </dxf>
    <dxf>
      <font>
        <color theme="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ill>
        <patternFill patternType="solid">
          <bgColor theme="0"/>
        </patternFill>
      </fill>
    </dxf>
    <dxf>
      <fill>
        <patternFill patternType="solid">
          <bgColor theme="0"/>
        </patternFill>
      </fill>
    </dxf>
    <dxf>
      <fill>
        <patternFill patternType="solid">
          <bgColor theme="0"/>
        </patternFill>
      </fill>
    </dxf>
    <dxf>
      <font>
        <color theme="0"/>
      </font>
    </dxf>
    <dxf>
      <fill>
        <patternFill>
          <bgColor rgb="FFFF0000"/>
        </patternFill>
      </fill>
    </dxf>
    <dxf>
      <fill>
        <patternFill>
          <bgColor rgb="FFFF0000"/>
        </patternFill>
      </fill>
    </dxf>
    <dxf>
      <font>
        <b/>
        <i val="0"/>
      </font>
    </dxf>
    <dxf>
      <font>
        <color theme="0"/>
      </font>
    </dxf>
    <dxf>
      <font>
        <color theme="0"/>
      </font>
    </dxf>
    <dxf>
      <fill>
        <patternFill>
          <bgColor rgb="FFFF0000"/>
        </patternFill>
      </fill>
    </dxf>
    <dxf>
      <fill>
        <patternFill>
          <bgColor rgb="FFFF0000"/>
        </patternFill>
      </fill>
    </dxf>
    <dxf>
      <font>
        <color rgb="FF00CC00"/>
      </font>
    </dxf>
    <dxf>
      <font>
        <color rgb="FF00CC00"/>
      </font>
    </dxf>
    <dxf>
      <font>
        <color rgb="FFFFFF00"/>
      </font>
      <fill>
        <patternFill>
          <bgColor rgb="FFFFFF00"/>
        </patternFill>
      </fill>
    </dxf>
    <dxf>
      <font>
        <color theme="0"/>
      </font>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bgColor rgb="FFFF0000"/>
        </patternFill>
      </fill>
    </dxf>
    <dxf>
      <fill>
        <patternFill>
          <bgColor rgb="FFFF0000"/>
        </patternFill>
      </fill>
    </dxf>
    <dxf>
      <font>
        <color theme="0" tint="-0.14996795556505021"/>
      </font>
      <fill>
        <patternFill>
          <bgColor theme="0" tint="-0.14996795556505021"/>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b/>
        <i val="0"/>
      </font>
    </dxf>
    <dxf>
      <font>
        <color theme="0"/>
      </font>
    </dxf>
    <dxf>
      <font>
        <color theme="0"/>
      </font>
    </dxf>
    <dxf>
      <fill>
        <patternFill>
          <bgColor rgb="FFFF0000"/>
        </patternFill>
      </fill>
    </dxf>
    <dxf>
      <fill>
        <patternFill>
          <bgColor rgb="FFFF0000"/>
        </patternFill>
      </fill>
    </dxf>
    <dxf>
      <font>
        <color rgb="FF00CC00"/>
      </font>
    </dxf>
    <dxf>
      <font>
        <color rgb="FF00CC00"/>
      </font>
    </dxf>
    <dxf>
      <font>
        <color rgb="FFFFFF00"/>
      </font>
      <fill>
        <patternFill>
          <bgColor rgb="FFFFFF00"/>
        </patternFill>
      </fill>
    </dxf>
    <dxf>
      <font>
        <color theme="0"/>
      </font>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bgColor rgb="FFFF0000"/>
        </patternFill>
      </fill>
    </dxf>
    <dxf>
      <fill>
        <patternFill>
          <bgColor rgb="FFFF000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b/>
        <i val="0"/>
      </font>
    </dxf>
    <dxf>
      <font>
        <color theme="0"/>
      </font>
    </dxf>
    <dxf>
      <font>
        <color theme="0"/>
      </font>
    </dxf>
    <dxf>
      <fill>
        <patternFill>
          <bgColor rgb="FFFF0000"/>
        </patternFill>
      </fill>
    </dxf>
    <dxf>
      <fill>
        <patternFill>
          <bgColor rgb="FFFF0000"/>
        </patternFill>
      </fill>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ont>
        <b/>
        <i val="0"/>
      </font>
    </dxf>
    <dxf>
      <font>
        <color theme="0"/>
      </font>
    </dxf>
    <dxf>
      <font>
        <color theme="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ont>
        <b/>
        <i val="0"/>
      </font>
    </dxf>
    <dxf>
      <font>
        <color rgb="FF00CC00"/>
      </font>
    </dxf>
    <dxf>
      <font>
        <color rgb="FFFFFF00"/>
      </font>
      <fill>
        <patternFill>
          <bgColor rgb="FFFFFF00"/>
        </patternFill>
      </fill>
    </dxf>
    <dxf>
      <font>
        <color theme="0"/>
      </font>
    </dxf>
    <dxf>
      <fill>
        <patternFill>
          <bgColor rgb="FFFF0000"/>
        </patternFill>
      </fill>
    </dxf>
    <dxf>
      <fill>
        <patternFill>
          <bgColor rgb="FFFF000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b/>
        <i val="0"/>
      </font>
    </dxf>
    <dxf>
      <font>
        <color theme="0"/>
      </font>
    </dxf>
    <dxf>
      <fill>
        <patternFill>
          <bgColor rgb="FFFF0000"/>
        </patternFill>
      </fill>
    </dxf>
    <dxf>
      <fill>
        <patternFill>
          <bgColor rgb="FFFF0000"/>
        </patternFill>
      </fill>
    </dxf>
    <dxf>
      <font>
        <color theme="0"/>
      </font>
    </dxf>
    <dxf>
      <font>
        <color rgb="FF00CC0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b/>
        <i val="0"/>
      </font>
    </dxf>
    <dxf>
      <font>
        <color theme="0"/>
      </font>
    </dxf>
    <dxf>
      <fill>
        <patternFill>
          <bgColor rgb="FFFF0000"/>
        </patternFill>
      </fill>
    </dxf>
    <dxf>
      <fill>
        <patternFill>
          <bgColor rgb="FFFF0000"/>
        </patternFill>
      </fill>
    </dxf>
    <dxf>
      <font>
        <color theme="0"/>
      </font>
    </dxf>
    <dxf>
      <font>
        <color rgb="FF00CC0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dxf>
    <dxf>
      <fill>
        <patternFill>
          <bgColor rgb="FFFF0000"/>
        </patternFill>
      </fill>
    </dxf>
    <dxf>
      <fill>
        <patternFill>
          <bgColor rgb="FFFF0000"/>
        </patternFill>
      </fill>
    </dxf>
    <dxf>
      <font>
        <color theme="0"/>
      </font>
    </dxf>
    <dxf>
      <font>
        <color rgb="FF00CC00"/>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patternType="solid">
          <bgColor theme="0"/>
        </patternFill>
      </fill>
    </dxf>
    <dxf>
      <fill>
        <patternFill patternType="solid">
          <bgColor theme="0"/>
        </patternFill>
      </fill>
    </dxf>
    <dxf>
      <font>
        <b/>
        <i val="0"/>
      </font>
    </dxf>
    <dxf>
      <font>
        <color rgb="FF00CC00"/>
      </font>
    </dxf>
    <dxf>
      <fill>
        <patternFill>
          <bgColor rgb="FFFF0000"/>
        </patternFill>
      </fill>
    </dxf>
    <dxf>
      <fill>
        <patternFill>
          <bgColor rgb="FFFF0000"/>
        </patternFill>
      </fill>
    </dxf>
    <dxf>
      <font>
        <color theme="0"/>
      </font>
    </dxf>
    <dxf>
      <font>
        <color theme="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color auto="1"/>
      </font>
      <fill>
        <patternFill>
          <bgColor rgb="FFFF0000"/>
        </patternFill>
      </fill>
    </dxf>
    <dxf>
      <font>
        <b/>
        <i val="0"/>
      </font>
    </dxf>
    <dxf>
      <font>
        <color auto="1"/>
      </font>
      <fill>
        <patternFill>
          <bgColor rgb="FFFF0000"/>
        </patternFill>
      </fill>
    </dxf>
    <dxf>
      <font>
        <color rgb="FF00CC00"/>
      </font>
    </dxf>
    <dxf>
      <font>
        <color rgb="FFFFFF00"/>
      </font>
      <fill>
        <patternFill>
          <bgColor rgb="FFFFFF00"/>
        </patternFill>
      </fill>
    </dxf>
    <dxf>
      <font>
        <color theme="0"/>
      </font>
    </dxf>
    <dxf>
      <fill>
        <patternFill patternType="solid">
          <bgColor theme="0"/>
        </patternFill>
      </fill>
    </dxf>
    <dxf>
      <font>
        <color auto="1"/>
      </font>
      <fill>
        <patternFill>
          <bgColor rgb="FFFF0000"/>
        </patternFill>
      </fill>
    </dxf>
    <dxf>
      <fill>
        <patternFill>
          <bgColor rgb="FFFF0000"/>
        </patternFill>
      </fill>
    </dxf>
    <dxf>
      <fill>
        <patternFill>
          <bgColor rgb="FFFF0000"/>
        </patternFill>
      </fill>
    </dxf>
    <dxf>
      <fill>
        <patternFill patternType="solid">
          <bgColor theme="0"/>
        </patternFill>
      </fill>
    </dxf>
    <dxf>
      <font>
        <b/>
        <i val="0"/>
      </font>
    </dxf>
    <dxf>
      <font>
        <color rgb="FF00CC00"/>
      </font>
    </dxf>
    <dxf>
      <fill>
        <patternFill>
          <bgColor rgb="FFFF0000"/>
        </patternFill>
      </fill>
    </dxf>
    <dxf>
      <fill>
        <patternFill>
          <bgColor rgb="FFFF0000"/>
        </patternFill>
      </fill>
    </dxf>
    <dxf>
      <font>
        <color theme="0"/>
      </font>
    </dxf>
    <dxf>
      <font>
        <color theme="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ill>
        <patternFill>
          <bgColor rgb="FFFF0000"/>
        </patternFill>
      </fill>
    </dxf>
    <dxf>
      <font>
        <color theme="0"/>
      </font>
    </dxf>
    <dxf>
      <fill>
        <patternFill patternType="solid">
          <bgColor theme="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ont>
        <b/>
        <i val="0"/>
      </font>
    </dxf>
    <dxf>
      <font>
        <color rgb="FF00CC00"/>
      </font>
    </dxf>
    <dxf>
      <fill>
        <patternFill>
          <bgColor rgb="FFFF0000"/>
        </patternFill>
      </fill>
    </dxf>
    <dxf>
      <fill>
        <patternFill>
          <bgColor rgb="FFFF0000"/>
        </patternFill>
      </fill>
    </dxf>
    <dxf>
      <font>
        <color theme="0"/>
      </font>
    </dxf>
    <dxf>
      <font>
        <color theme="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rgb="FFFF0000"/>
        </patternFill>
      </fill>
    </dxf>
    <dxf>
      <fill>
        <patternFill>
          <bgColor rgb="FFFF0000"/>
        </patternFill>
      </fill>
    </dxf>
    <dxf>
      <font>
        <color rgb="FF00CC00"/>
      </font>
    </dxf>
    <dxf>
      <fill>
        <patternFill>
          <bgColor rgb="FFFF0000"/>
        </patternFill>
      </fill>
    </dxf>
    <dxf>
      <fill>
        <patternFill>
          <bgColor rgb="FFFF0000"/>
        </patternFill>
      </fill>
    </dxf>
    <dxf>
      <font>
        <color theme="0"/>
      </font>
    </dxf>
    <dxf>
      <font>
        <color rgb="FF00CC00"/>
      </font>
    </dxf>
    <dxf>
      <fill>
        <patternFill>
          <bgColor rgb="FFFF0000"/>
        </patternFill>
      </fill>
    </dxf>
    <dxf>
      <fill>
        <patternFill>
          <bgColor rgb="FFFF0000"/>
        </patternFill>
      </fill>
    </dxf>
    <dxf>
      <font>
        <b/>
        <i val="0"/>
      </font>
    </dxf>
    <dxf>
      <font>
        <color rgb="FF00CC00"/>
      </font>
    </dxf>
    <dxf>
      <fill>
        <patternFill>
          <bgColor rgb="FFFF0000"/>
        </patternFill>
      </fill>
    </dxf>
    <dxf>
      <fill>
        <patternFill>
          <bgColor rgb="FFFF0000"/>
        </patternFill>
      </fill>
    </dxf>
    <dxf>
      <font>
        <color theme="0"/>
      </font>
    </dxf>
    <dxf>
      <font>
        <color theme="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b/>
        <i val="0"/>
      </font>
    </dxf>
    <dxf>
      <font>
        <color rgb="FF00CC00"/>
      </font>
    </dxf>
    <dxf>
      <fill>
        <patternFill>
          <bgColor rgb="FFFF0000"/>
        </patternFill>
      </fill>
    </dxf>
    <dxf>
      <fill>
        <patternFill>
          <bgColor rgb="FFFF0000"/>
        </patternFill>
      </fill>
    </dxf>
    <dxf>
      <font>
        <color theme="0"/>
      </font>
    </dxf>
    <dxf>
      <font>
        <color theme="0"/>
      </font>
    </dxf>
    <dxf>
      <font>
        <color rgb="FF00CC00"/>
      </font>
    </dxf>
    <dxf>
      <fill>
        <patternFill>
          <bgColor rgb="FFFF0000"/>
        </patternFill>
      </fill>
    </dxf>
    <dxf>
      <fill>
        <patternFill>
          <bgColor rgb="FFFF0000"/>
        </patternFill>
      </fill>
    </dxf>
    <dxf>
      <font>
        <color theme="0"/>
      </font>
    </dxf>
    <dxf>
      <font>
        <color theme="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b/>
        <i val="0"/>
      </font>
    </dxf>
    <dxf>
      <fill>
        <patternFill>
          <bgColor rgb="FFFF0000"/>
        </patternFill>
      </fill>
    </dxf>
    <dxf>
      <fill>
        <patternFill>
          <bgColor rgb="FFFF0000"/>
        </patternFill>
      </fill>
    </dxf>
    <dxf>
      <font>
        <b/>
        <i val="0"/>
      </font>
    </dxf>
    <dxf>
      <fill>
        <patternFill>
          <bgColor rgb="FFFF0000"/>
        </patternFill>
      </fill>
    </dxf>
    <dxf>
      <fill>
        <patternFill>
          <bgColor rgb="FFFF0000"/>
        </patternFill>
      </fill>
    </dxf>
    <dxf>
      <fill>
        <patternFill>
          <bgColor rgb="FFFF0000"/>
        </patternFill>
      </fill>
    </dxf>
    <dxf>
      <fill>
        <patternFill>
          <bgColor rgb="FFFF0000"/>
        </patternFill>
      </fill>
    </dxf>
    <dxf>
      <font>
        <b/>
        <i val="0"/>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dxf>
    <dxf>
      <fill>
        <patternFill>
          <bgColor rgb="FFFF0000"/>
        </patternFill>
      </fill>
    </dxf>
    <dxf>
      <fill>
        <patternFill>
          <bgColor rgb="FFFF0000"/>
        </patternFill>
      </fill>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ont>
        <b/>
        <i val="0"/>
      </font>
    </dxf>
    <dxf>
      <fill>
        <patternFill>
          <bgColor rgb="FFFF0000"/>
        </patternFill>
      </fill>
    </dxf>
    <dxf>
      <fill>
        <patternFill>
          <bgColor rgb="FFFF0000"/>
        </patternFill>
      </fill>
    </dxf>
    <dxf>
      <font>
        <b/>
        <i val="0"/>
      </font>
    </dxf>
    <dxf>
      <fill>
        <patternFill>
          <bgColor rgb="FFFF0000"/>
        </patternFill>
      </fill>
    </dxf>
    <dxf>
      <fill>
        <patternFill>
          <bgColor rgb="FFFF0000"/>
        </patternFill>
      </fill>
    </dxf>
    <dxf>
      <font>
        <b/>
        <i val="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ont>
        <b/>
        <i val="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ont>
        <b/>
        <i val="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theme="0"/>
        </patternFill>
      </fill>
    </dxf>
    <dxf>
      <font>
        <b/>
        <i val="0"/>
      </font>
    </dxf>
    <dxf>
      <font>
        <color rgb="FF00CC00"/>
      </font>
    </dxf>
    <dxf>
      <fill>
        <patternFill>
          <bgColor rgb="FFFF0000"/>
        </patternFill>
      </fill>
    </dxf>
    <dxf>
      <fill>
        <patternFill>
          <bgColor rgb="FFFF0000"/>
        </patternFill>
      </fill>
    </dxf>
    <dxf>
      <font>
        <color theme="0"/>
      </font>
    </dxf>
    <dxf>
      <font>
        <color theme="0"/>
      </font>
    </dxf>
    <dxf>
      <font>
        <color rgb="FF00CC00"/>
      </font>
    </dxf>
    <dxf>
      <fill>
        <patternFill>
          <bgColor rgb="FFFF0000"/>
        </patternFill>
      </fill>
    </dxf>
    <dxf>
      <fill>
        <patternFill>
          <bgColor rgb="FFFF0000"/>
        </patternFill>
      </fill>
    </dxf>
    <dxf>
      <font>
        <color theme="0"/>
      </font>
    </dxf>
    <dxf>
      <font>
        <color theme="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ont>
        <b/>
        <i val="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ont>
        <b/>
        <i val="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ont>
        <b/>
        <i val="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ont>
        <b/>
        <i val="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ont>
        <b/>
        <i val="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ont>
        <b/>
        <i val="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ont>
        <b/>
        <i val="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ont>
        <b/>
        <i val="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ont>
        <b/>
        <i val="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ont>
        <b/>
        <i val="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ont>
        <b/>
        <i val="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ont>
        <b/>
        <i val="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ont>
        <b/>
        <i val="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b/>
        <i val="0"/>
      </font>
    </dxf>
    <dxf>
      <font>
        <color rgb="FF00CC00"/>
      </font>
    </dxf>
    <dxf>
      <fill>
        <patternFill>
          <bgColor rgb="FFFF0000"/>
        </patternFill>
      </fill>
    </dxf>
    <dxf>
      <fill>
        <patternFill>
          <bgColor rgb="FFFF0000"/>
        </patternFill>
      </fill>
    </dxf>
    <dxf>
      <font>
        <color theme="0"/>
      </font>
    </dxf>
    <dxf>
      <font>
        <color theme="0"/>
      </font>
    </dxf>
    <dxf>
      <font>
        <color rgb="FF00CC00"/>
      </font>
    </dxf>
    <dxf>
      <fill>
        <patternFill>
          <bgColor rgb="FFFF0000"/>
        </patternFill>
      </fill>
    </dxf>
    <dxf>
      <fill>
        <patternFill>
          <bgColor rgb="FFFF0000"/>
        </patternFill>
      </fill>
    </dxf>
    <dxf>
      <font>
        <color theme="0"/>
      </font>
    </dxf>
    <dxf>
      <font>
        <color theme="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ont>
        <color theme="0"/>
      </font>
    </dxf>
    <dxf>
      <font>
        <b/>
        <i val="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ont>
        <b/>
        <i val="0"/>
      </font>
    </dxf>
    <dxf>
      <font>
        <color rgb="FF00CC00"/>
      </font>
    </dxf>
    <dxf>
      <font>
        <color rgb="FFFFFF00"/>
      </font>
      <fill>
        <patternFill>
          <bgColor rgb="FFFFFF00"/>
        </patternFill>
      </fill>
    </dxf>
    <dxf>
      <font>
        <color theme="0"/>
      </font>
    </dxf>
    <dxf>
      <fill>
        <patternFill>
          <bgColor rgb="FFFF0000"/>
        </patternFill>
      </fill>
    </dxf>
    <dxf>
      <fill>
        <patternFill>
          <bgColor rgb="FFFF0000"/>
        </patternFill>
      </fill>
    </dxf>
    <dxf>
      <font>
        <b/>
        <i val="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ont>
        <b/>
        <i val="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ont>
        <b/>
        <i val="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b/>
        <i val="0"/>
      </font>
    </dxf>
    <dxf>
      <font>
        <color rgb="FF00CC00"/>
      </font>
    </dxf>
    <dxf>
      <fill>
        <patternFill>
          <bgColor rgb="FFFF0000"/>
        </patternFill>
      </fill>
    </dxf>
    <dxf>
      <fill>
        <patternFill>
          <bgColor rgb="FFFF0000"/>
        </patternFill>
      </fill>
    </dxf>
    <dxf>
      <font>
        <color theme="0"/>
      </font>
    </dxf>
    <dxf>
      <font>
        <color theme="0"/>
      </font>
    </dxf>
    <dxf>
      <font>
        <color rgb="FF00CC00"/>
      </font>
    </dxf>
    <dxf>
      <fill>
        <patternFill>
          <bgColor rgb="FFFF0000"/>
        </patternFill>
      </fill>
    </dxf>
    <dxf>
      <fill>
        <patternFill>
          <bgColor rgb="FFFF0000"/>
        </patternFill>
      </fill>
    </dxf>
    <dxf>
      <font>
        <color theme="0"/>
      </font>
    </dxf>
    <dxf>
      <font>
        <color theme="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ont>
        <color theme="0"/>
      </font>
    </dxf>
    <dxf>
      <font>
        <b/>
        <i val="0"/>
      </font>
    </dxf>
    <dxf>
      <font>
        <color theme="0"/>
      </font>
    </dxf>
    <dxf>
      <font>
        <color rgb="FF00CC00"/>
      </font>
    </dxf>
    <dxf>
      <fill>
        <patternFill>
          <bgColor rgb="FFFF0000"/>
        </patternFill>
      </fill>
    </dxf>
    <dxf>
      <fill>
        <patternFill>
          <bgColor rgb="FFFF0000"/>
        </patternFill>
      </fill>
    </dxf>
    <dxf>
      <font>
        <color theme="0"/>
      </font>
    </dxf>
    <dxf>
      <font>
        <color rgb="FF00CC00"/>
      </font>
    </dxf>
    <dxf>
      <fill>
        <patternFill>
          <bgColor rgb="FFFF0000"/>
        </patternFill>
      </fill>
    </dxf>
    <dxf>
      <fill>
        <patternFill>
          <bgColor rgb="FFFF0000"/>
        </patternFill>
      </fill>
    </dxf>
    <dxf>
      <font>
        <color theme="0"/>
      </font>
    </dxf>
    <dxf>
      <font>
        <color theme="0"/>
      </font>
    </dxf>
    <dxf>
      <font>
        <color theme="0"/>
      </font>
    </dxf>
    <dxf>
      <font>
        <color rgb="FF00CC00"/>
      </font>
    </dxf>
    <dxf>
      <fill>
        <patternFill>
          <bgColor rgb="FFFF0000"/>
        </patternFill>
      </fill>
    </dxf>
    <dxf>
      <fill>
        <patternFill>
          <bgColor rgb="FFFF0000"/>
        </patternFill>
      </fill>
    </dxf>
    <dxf>
      <font>
        <color theme="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ont>
        <b/>
        <i val="0"/>
      </font>
    </dxf>
    <dxf>
      <font>
        <color theme="0"/>
      </font>
    </dxf>
    <dxf>
      <font>
        <color theme="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ont>
        <b/>
        <i val="0"/>
      </font>
    </dxf>
    <dxf>
      <font>
        <color rgb="FF00CC00"/>
      </font>
    </dxf>
    <dxf>
      <fill>
        <patternFill>
          <bgColor rgb="FFFF0000"/>
        </patternFill>
      </fill>
    </dxf>
    <dxf>
      <fill>
        <patternFill>
          <bgColor rgb="FFFF0000"/>
        </patternFill>
      </fill>
    </dxf>
    <dxf>
      <font>
        <color theme="0"/>
      </font>
    </dxf>
    <dxf>
      <font>
        <color theme="0"/>
      </font>
    </dxf>
    <dxf>
      <font>
        <color theme="0"/>
      </font>
    </dxf>
    <dxf>
      <font>
        <color rgb="FF00CC00"/>
      </font>
    </dxf>
    <dxf>
      <fill>
        <patternFill>
          <bgColor rgb="FFFF0000"/>
        </patternFill>
      </fill>
    </dxf>
    <dxf>
      <fill>
        <patternFill>
          <bgColor rgb="FFFF0000"/>
        </patternFill>
      </fill>
    </dxf>
    <dxf>
      <font>
        <color theme="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ont>
        <color theme="0"/>
      </font>
    </dxf>
    <dxf>
      <font>
        <color theme="0"/>
      </font>
    </dxf>
    <dxf>
      <font>
        <b/>
        <i val="0"/>
      </font>
    </dxf>
    <dxf>
      <font>
        <color rgb="FF00CC00"/>
      </font>
    </dxf>
    <dxf>
      <fill>
        <patternFill>
          <bgColor rgb="FFFF0000"/>
        </patternFill>
      </fill>
    </dxf>
    <dxf>
      <fill>
        <patternFill>
          <bgColor rgb="FFFF0000"/>
        </patternFill>
      </fill>
    </dxf>
    <dxf>
      <font>
        <color theme="0"/>
      </font>
    </dxf>
    <dxf>
      <font>
        <color theme="0"/>
      </font>
    </dxf>
    <dxf>
      <font>
        <color rgb="FF00CC00"/>
      </font>
    </dxf>
    <dxf>
      <font>
        <color rgb="FFFFFF00"/>
      </font>
      <fill>
        <patternFill>
          <bgColor rgb="FFFFFF00"/>
        </patternFill>
      </fill>
    </dxf>
    <dxf>
      <font>
        <color theme="0"/>
      </font>
    </dxf>
    <dxf>
      <fill>
        <patternFill patternType="solid">
          <bgColor theme="0"/>
        </patternFill>
      </fill>
    </dxf>
    <dxf>
      <fill>
        <patternFill patternType="solid">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dxf>
    <dxf>
      <font>
        <color rgb="FF00CC00"/>
      </font>
    </dxf>
    <dxf>
      <fill>
        <patternFill>
          <bgColor rgb="FFFF0000"/>
        </patternFill>
      </fill>
    </dxf>
    <dxf>
      <fill>
        <patternFill>
          <bgColor rgb="FFFF0000"/>
        </patternFill>
      </fill>
    </dxf>
    <dxf>
      <font>
        <color theme="0"/>
      </font>
    </dxf>
    <dxf>
      <font>
        <color theme="0"/>
      </font>
    </dxf>
    <dxf>
      <fill>
        <patternFill>
          <bgColor rgb="FFFF0000"/>
        </patternFill>
      </fill>
    </dxf>
    <dxf>
      <fill>
        <patternFill>
          <bgColor rgb="FFFF0000"/>
        </patternFill>
      </fill>
    </dxf>
    <dxf>
      <font>
        <color theme="0"/>
      </font>
    </dxf>
    <dxf>
      <font>
        <color rgb="FF00CC00"/>
      </font>
    </dxf>
    <dxf>
      <fill>
        <patternFill>
          <bgColor rgb="FFFF0000"/>
        </patternFill>
      </fill>
    </dxf>
    <dxf>
      <fill>
        <patternFill>
          <bgColor rgb="FFFF0000"/>
        </patternFill>
      </fill>
    </dxf>
    <dxf>
      <font>
        <color theme="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ont>
        <color theme="0"/>
      </font>
    </dxf>
    <dxf>
      <font>
        <color theme="0"/>
      </font>
    </dxf>
    <dxf>
      <font>
        <b/>
        <i val="0"/>
      </font>
    </dxf>
    <dxf>
      <font>
        <color rgb="FF00CC00"/>
      </font>
    </dxf>
    <dxf>
      <fill>
        <patternFill>
          <bgColor rgb="FFFF0000"/>
        </patternFill>
      </fill>
    </dxf>
    <dxf>
      <fill>
        <patternFill>
          <bgColor rgb="FFFF0000"/>
        </patternFill>
      </fill>
    </dxf>
    <dxf>
      <font>
        <color theme="0"/>
      </font>
    </dxf>
    <dxf>
      <font>
        <color rgb="FF00CC00"/>
      </font>
    </dxf>
    <dxf>
      <fill>
        <patternFill>
          <bgColor rgb="FFFF0000"/>
        </patternFill>
      </fill>
    </dxf>
    <dxf>
      <fill>
        <patternFill>
          <bgColor rgb="FFFF0000"/>
        </patternFill>
      </fill>
    </dxf>
    <dxf>
      <font>
        <color theme="0"/>
      </font>
    </dxf>
    <dxf>
      <font>
        <color rgb="FF00CC00"/>
      </font>
    </dxf>
    <dxf>
      <fill>
        <patternFill>
          <bgColor rgb="FFFF0000"/>
        </patternFill>
      </fill>
    </dxf>
    <dxf>
      <fill>
        <patternFill>
          <bgColor rgb="FFFF0000"/>
        </patternFill>
      </fill>
    </dxf>
    <dxf>
      <font>
        <color theme="0"/>
      </font>
    </dxf>
    <dxf>
      <font>
        <color rgb="FF00CC00"/>
      </font>
    </dxf>
    <dxf>
      <font>
        <color rgb="FFFFFF00"/>
      </font>
      <fill>
        <patternFill>
          <bgColor rgb="FFFFFF00"/>
        </patternFill>
      </fill>
    </dxf>
    <dxf>
      <font>
        <color theme="0"/>
      </font>
    </dxf>
    <dxf>
      <fill>
        <patternFill patternType="solid">
          <bgColor theme="0"/>
        </patternFill>
      </fill>
    </dxf>
    <dxf>
      <font>
        <b/>
        <i val="0"/>
      </font>
    </dxf>
    <dxf>
      <font>
        <color theme="0"/>
      </font>
    </dxf>
    <dxf>
      <font>
        <color rgb="FF00CC00"/>
      </font>
    </dxf>
    <dxf>
      <fill>
        <patternFill>
          <bgColor rgb="FFFF0000"/>
        </patternFill>
      </fill>
    </dxf>
    <dxf>
      <fill>
        <patternFill>
          <bgColor rgb="FFFF0000"/>
        </patternFill>
      </fill>
    </dxf>
    <dxf>
      <font>
        <color theme="0"/>
      </font>
    </dxf>
    <dxf>
      <font>
        <color theme="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ont>
        <b/>
        <i val="0"/>
      </font>
    </dxf>
    <dxf>
      <font>
        <color rgb="FF00CC00"/>
      </font>
    </dxf>
    <dxf>
      <fill>
        <patternFill>
          <bgColor rgb="FFFF0000"/>
        </patternFill>
      </fill>
    </dxf>
    <dxf>
      <fill>
        <patternFill>
          <bgColor rgb="FFFF0000"/>
        </patternFill>
      </fill>
    </dxf>
    <dxf>
      <font>
        <color theme="0"/>
      </font>
    </dxf>
    <dxf>
      <font>
        <color theme="0"/>
      </font>
    </dxf>
    <dxf>
      <font>
        <color rgb="FF00CC00"/>
      </font>
    </dxf>
    <dxf>
      <fill>
        <patternFill>
          <bgColor rgb="FFFF0000"/>
        </patternFill>
      </fill>
    </dxf>
    <dxf>
      <fill>
        <patternFill>
          <bgColor rgb="FFFF0000"/>
        </patternFill>
      </fill>
    </dxf>
    <dxf>
      <font>
        <color theme="0"/>
      </font>
    </dxf>
    <dxf>
      <font>
        <color theme="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ont>
        <b/>
        <i val="0"/>
      </font>
    </dxf>
    <dxf>
      <font>
        <color rgb="FF00CC00"/>
      </font>
    </dxf>
    <dxf>
      <fill>
        <patternFill>
          <bgColor rgb="FFFF0000"/>
        </patternFill>
      </fill>
    </dxf>
    <dxf>
      <fill>
        <patternFill>
          <bgColor rgb="FFFF0000"/>
        </patternFill>
      </fill>
    </dxf>
    <dxf>
      <font>
        <color theme="0"/>
      </font>
    </dxf>
    <dxf>
      <font>
        <color theme="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ont>
        <b/>
        <i val="0"/>
      </font>
    </dxf>
    <dxf>
      <font>
        <color theme="0"/>
      </font>
    </dxf>
    <dxf>
      <font>
        <color rgb="FF00CC00"/>
      </font>
    </dxf>
    <dxf>
      <font>
        <color rgb="FFFFFF00"/>
      </font>
      <fill>
        <patternFill>
          <bgColor rgb="FFFFFF00"/>
        </patternFill>
      </fill>
    </dxf>
    <dxf>
      <font>
        <color theme="0"/>
      </font>
    </dxf>
    <dxf>
      <fill>
        <patternFill patternType="solid">
          <bgColor theme="0"/>
        </patternFill>
      </fill>
    </dxf>
    <dxf>
      <fill>
        <patternFill>
          <bgColor rgb="FFFF0000"/>
        </patternFill>
      </fill>
    </dxf>
    <dxf>
      <fill>
        <patternFill>
          <bgColor rgb="FFFF0000"/>
        </patternFill>
      </fill>
    </dxf>
    <dxf>
      <font>
        <color theme="0"/>
      </font>
    </dxf>
  </dxfs>
  <tableStyles count="0" defaultTableStyle="TableStyleMedium9" defaultPivotStyle="PivotStyleLight16"/>
  <colors>
    <mruColors>
      <color rgb="FFFFFF99"/>
      <color rgb="FF99CCFF"/>
      <color rgb="FF6699FF"/>
      <color rgb="FF00FF00"/>
      <color rgb="FF00CC00"/>
      <color rgb="FFFFCCCC"/>
      <color rgb="FF99FF33"/>
      <color rgb="FFFFCCFF"/>
      <color rgb="FFFF5050"/>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3.tiff"/><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4.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4.png"/></Relationships>
</file>

<file path=xl/drawings/_rels/vmlDrawing4.v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4.png"/></Relationships>
</file>

<file path=xl/drawings/_rels/vmlDrawing5.v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4.png"/></Relationships>
</file>

<file path=xl/drawings/_rels/vmlDrawing6.v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4.png"/></Relationships>
</file>

<file path=xl/drawings/_rels/vmlDrawing7.v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4.png"/></Relationships>
</file>

<file path=xl/drawings/_rels/vmlDrawing8.v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4.png"/></Relationships>
</file>

<file path=xl/drawings/_rels/vmlDrawing9.v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4.png"/></Relationships>
</file>

<file path=xl/drawings/_rels/vmlDrawing10.v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4.pn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4.png"/></Relationships>
</file>

<file path=xl/drawings/_rels/vmlDrawing12.v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4.png"/></Relationships>
</file>

<file path=xl/drawings/_rels/vmlDrawing13.v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4.png"/></Relationships>
</file>

<file path=xl/drawings/_rels/vmlDrawing14.v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4.png"/></Relationships>
</file>

<file path=xl/drawings/_rels/vmlDrawing15.v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4.png"/></Relationships>
</file>

<file path=xl/drawings/_rels/vmlDrawing16.v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4.png"/></Relationships>
</file>

<file path=xl/drawings/_rels/vmlDrawing17.v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5.jpeg"/></Relationships>
</file>

<file path=xl/drawings/_rels/vmlDrawing18.v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5.jpeg"/></Relationships>
</file>

<file path=xl/drawings/_rels/vmlDrawing19.v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4.png"/></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4.png"/></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4.png"/></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4.png"/></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4.png"/></Relationships>
</file>

<file path=xl/drawings/_rels/vmlDrawing24.v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4.png"/></Relationships>
</file>

<file path=xl/drawings/_rels/vmlDrawing25.v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4.png"/></Relationships>
</file>

<file path=xl/drawings/_rels/vmlDrawing26.v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4.png"/></Relationships>
</file>

<file path=xl/drawings/_rels/vmlDrawing27.v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4.png"/></Relationships>
</file>

<file path=xl/drawings/_rels/vmlDrawing28.v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4.png"/></Relationships>
</file>

<file path=xl/drawings/_rels/vmlDrawing29.v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4.png"/></Relationships>
</file>

<file path=xl/drawings/_rels/vmlDrawing30.v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4.png"/></Relationships>
</file>

<file path=xl/drawings/_rels/vmlDrawing31.v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4.png"/></Relationships>
</file>

<file path=xl/drawings/_rels/vmlDrawing32.v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4.png"/></Relationships>
</file>

<file path=xl/drawings/_rels/vmlDrawing33.v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jpe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6</xdr:col>
      <xdr:colOff>495300</xdr:colOff>
      <xdr:row>8</xdr:row>
      <xdr:rowOff>219075</xdr:rowOff>
    </xdr:from>
    <xdr:to>
      <xdr:col>23</xdr:col>
      <xdr:colOff>213089</xdr:colOff>
      <xdr:row>10</xdr:row>
      <xdr:rowOff>172811</xdr:rowOff>
    </xdr:to>
    <xdr:sp macro="" textlink="">
      <xdr:nvSpPr>
        <xdr:cNvPr id="1025" name="AutoShape 1">
          <a:extLst>
            <a:ext uri="{FF2B5EF4-FFF2-40B4-BE49-F238E27FC236}">
              <a16:creationId xmlns:a16="http://schemas.microsoft.com/office/drawing/2014/main" id="{00000000-0008-0000-0000-000001040000}"/>
            </a:ext>
          </a:extLst>
        </xdr:cNvPr>
        <xdr:cNvSpPr>
          <a:spLocks noChangeAspect="1" noChangeArrowheads="1"/>
        </xdr:cNvSpPr>
      </xdr:nvSpPr>
      <xdr:spPr bwMode="auto">
        <a:xfrm>
          <a:off x="8896350" y="2571750"/>
          <a:ext cx="15678150" cy="552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77602</xdr:colOff>
      <xdr:row>131</xdr:row>
      <xdr:rowOff>112485</xdr:rowOff>
    </xdr:from>
    <xdr:to>
      <xdr:col>15</xdr:col>
      <xdr:colOff>399559</xdr:colOff>
      <xdr:row>134</xdr:row>
      <xdr:rowOff>54142</xdr:rowOff>
    </xdr:to>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602" y="29275314"/>
          <a:ext cx="23509073" cy="845714"/>
        </a:xfrm>
        <a:prstGeom prst="rect">
          <a:avLst/>
        </a:prstGeom>
      </xdr:spPr>
    </xdr:pic>
    <xdr:clientData/>
  </xdr:twoCellAnchor>
  <xdr:twoCellAnchor editAs="oneCell">
    <xdr:from>
      <xdr:col>6</xdr:col>
      <xdr:colOff>495300</xdr:colOff>
      <xdr:row>8</xdr:row>
      <xdr:rowOff>219075</xdr:rowOff>
    </xdr:from>
    <xdr:to>
      <xdr:col>23</xdr:col>
      <xdr:colOff>209279</xdr:colOff>
      <xdr:row>10</xdr:row>
      <xdr:rowOff>169001</xdr:rowOff>
    </xdr:to>
    <xdr:sp macro="" textlink="">
      <xdr:nvSpPr>
        <xdr:cNvPr id="4" name="AutoShape 1">
          <a:extLst>
            <a:ext uri="{FF2B5EF4-FFF2-40B4-BE49-F238E27FC236}">
              <a16:creationId xmlns:a16="http://schemas.microsoft.com/office/drawing/2014/main" id="{080AD355-E727-4742-B751-6268FE598F44}"/>
            </a:ext>
          </a:extLst>
        </xdr:cNvPr>
        <xdr:cNvSpPr>
          <a:spLocks noChangeAspect="1" noChangeArrowheads="1"/>
        </xdr:cNvSpPr>
      </xdr:nvSpPr>
      <xdr:spPr bwMode="auto">
        <a:xfrm>
          <a:off x="13173075" y="2867025"/>
          <a:ext cx="15643589" cy="582386"/>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77602</xdr:colOff>
      <xdr:row>131</xdr:row>
      <xdr:rowOff>112485</xdr:rowOff>
    </xdr:from>
    <xdr:to>
      <xdr:col>15</xdr:col>
      <xdr:colOff>403369</xdr:colOff>
      <xdr:row>134</xdr:row>
      <xdr:rowOff>57952</xdr:rowOff>
    </xdr:to>
    <xdr:pic>
      <xdr:nvPicPr>
        <xdr:cNvPr id="5" name="Imagen 2">
          <a:extLst>
            <a:ext uri="{FF2B5EF4-FFF2-40B4-BE49-F238E27FC236}">
              <a16:creationId xmlns:a16="http://schemas.microsoft.com/office/drawing/2014/main" id="{765FAAF0-5F49-4D59-B491-F3B4BE7F9AA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602" y="38660160"/>
          <a:ext cx="22829532" cy="85605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11</xdr:col>
      <xdr:colOff>606020</xdr:colOff>
      <xdr:row>11</xdr:row>
      <xdr:rowOff>22413</xdr:rowOff>
    </xdr:from>
    <xdr:ext cx="8886825" cy="828676"/>
    <xdr:sp macro="" textlink="">
      <xdr:nvSpPr>
        <xdr:cNvPr id="2" name="CuadroTexto 1">
          <a:extLst>
            <a:ext uri="{FF2B5EF4-FFF2-40B4-BE49-F238E27FC236}">
              <a16:creationId xmlns:a16="http://schemas.microsoft.com/office/drawing/2014/main" id="{07F422BB-7CFA-4C90-BD6E-42C3C0B0193F}"/>
            </a:ext>
          </a:extLst>
        </xdr:cNvPr>
        <xdr:cNvSpPr txBox="1"/>
      </xdr:nvSpPr>
      <xdr:spPr>
        <a:xfrm>
          <a:off x="9270327" y="1433949"/>
          <a:ext cx="8886825" cy="82867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non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 </a:t>
          </a:r>
          <a:r>
            <a:rPr lang="en-US" sz="1100" b="0">
              <a:solidFill>
                <a:schemeClr val="dk1"/>
              </a:solidFill>
              <a:effectLst/>
              <a:latin typeface="+mn-lt"/>
              <a:ea typeface="+mn-ea"/>
              <a:cs typeface="+mn-cs"/>
            </a:rPr>
            <a:t>THE RANGE IN THE RELATION RADIUS / MAX. SPAN IS CLASSIFY ON THE SIDE OF THE SAFETY.</a:t>
          </a:r>
          <a:endParaRPr lang="es-ES" sz="1100"/>
        </a:p>
        <a:p>
          <a:r>
            <a:rPr lang="es-ES" sz="1100"/>
            <a:t>- </a:t>
          </a:r>
          <a:r>
            <a:rPr lang="en-US" sz="1100" b="0" baseline="30000">
              <a:solidFill>
                <a:schemeClr val="dk1"/>
              </a:solidFill>
              <a:effectLst/>
              <a:latin typeface="+mn-lt"/>
              <a:ea typeface="+mn-ea"/>
              <a:cs typeface="+mn-cs"/>
            </a:rPr>
            <a:t>1</a:t>
          </a:r>
          <a:r>
            <a:rPr lang="en-US" sz="1100" b="0">
              <a:solidFill>
                <a:schemeClr val="dk1"/>
              </a:solidFill>
              <a:effectLst/>
              <a:latin typeface="+mn-lt"/>
              <a:ea typeface="+mn-ea"/>
              <a:cs typeface="+mn-cs"/>
            </a:rPr>
            <a:t> IN </a:t>
          </a:r>
          <a:r>
            <a:rPr lang="es-ES" sz="1100"/>
            <a:t>CASE SPAN BETWEEN S/AX AND AN/S &lt;55M, THEN THE POLE WILL BE 2HEB-240</a:t>
          </a:r>
        </a:p>
        <a:p>
          <a:r>
            <a:rPr lang="es-ES" sz="1100"/>
            <a:t>- </a:t>
          </a:r>
          <a:r>
            <a:rPr lang="en-US" sz="1100" b="0" baseline="30000">
              <a:solidFill>
                <a:schemeClr val="dk1"/>
              </a:solidFill>
              <a:effectLst/>
              <a:latin typeface="+mn-lt"/>
              <a:ea typeface="+mn-ea"/>
              <a:cs typeface="+mn-cs"/>
            </a:rPr>
            <a:t>1</a:t>
          </a:r>
          <a:r>
            <a:rPr lang="en-US" sz="1100" b="0">
              <a:solidFill>
                <a:schemeClr val="dk1"/>
              </a:solidFill>
              <a:effectLst/>
              <a:latin typeface="+mn-lt"/>
              <a:ea typeface="+mn-ea"/>
              <a:cs typeface="+mn-cs"/>
            </a:rPr>
            <a:t> IN</a:t>
          </a:r>
          <a:r>
            <a:rPr lang="en-US" sz="1100" b="0" baseline="0">
              <a:solidFill>
                <a:schemeClr val="dk1"/>
              </a:solidFill>
              <a:effectLst/>
              <a:latin typeface="+mn-lt"/>
              <a:ea typeface="+mn-ea"/>
              <a:cs typeface="+mn-cs"/>
            </a:rPr>
            <a:t> </a:t>
          </a:r>
          <a:r>
            <a:rPr lang="es-ES" sz="1100"/>
            <a:t>CASE SPAN BETWEEN S/AX AND AN/S&gt;55M AND CANTILEVER DISTANCE TO TRACK OVER 3.30M, THEN THE POLE WILL BE HEB-280</a:t>
          </a:r>
        </a:p>
        <a:p>
          <a:endParaRPr lang="es-ES" sz="1100"/>
        </a:p>
      </xdr:txBody>
    </xdr:sp>
    <xdr:clientData/>
  </xdr:oneCellAnchor>
  <xdr:oneCellAnchor>
    <xdr:from>
      <xdr:col>12</xdr:col>
      <xdr:colOff>69414</xdr:colOff>
      <xdr:row>24</xdr:row>
      <xdr:rowOff>0</xdr:rowOff>
    </xdr:from>
    <xdr:ext cx="8886825" cy="657226"/>
    <xdr:sp macro="" textlink="">
      <xdr:nvSpPr>
        <xdr:cNvPr id="3" name="CuadroTexto 2">
          <a:extLst>
            <a:ext uri="{FF2B5EF4-FFF2-40B4-BE49-F238E27FC236}">
              <a16:creationId xmlns:a16="http://schemas.microsoft.com/office/drawing/2014/main" id="{4E522D99-6F3A-4741-B3A7-DC51155A9F56}"/>
            </a:ext>
          </a:extLst>
        </xdr:cNvPr>
        <xdr:cNvSpPr txBox="1"/>
      </xdr:nvSpPr>
      <xdr:spPr>
        <a:xfrm>
          <a:off x="9341944" y="4108373"/>
          <a:ext cx="8886825" cy="65722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non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 </a:t>
          </a:r>
          <a:r>
            <a:rPr lang="en-US" sz="1100" b="0">
              <a:solidFill>
                <a:schemeClr val="dk1"/>
              </a:solidFill>
              <a:effectLst/>
              <a:latin typeface="+mn-lt"/>
              <a:ea typeface="+mn-ea"/>
              <a:cs typeface="+mn-cs"/>
            </a:rPr>
            <a:t>THE RANGE IN THE RELATION RADIUS / MAX. SPAN IS CLASSIFY ON THE SIDE OF THE SAFETY.</a:t>
          </a:r>
          <a:endParaRPr lang="es-ES" sz="1100"/>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 </a:t>
          </a:r>
          <a:r>
            <a:rPr lang="en-US" sz="1100" b="0" baseline="30000">
              <a:solidFill>
                <a:schemeClr val="dk1"/>
              </a:solidFill>
              <a:effectLst/>
              <a:latin typeface="+mn-lt"/>
              <a:ea typeface="+mn-ea"/>
              <a:cs typeface="+mn-cs"/>
            </a:rPr>
            <a:t>1</a:t>
          </a:r>
          <a:r>
            <a:rPr lang="en-US" sz="1100" b="0">
              <a:solidFill>
                <a:schemeClr val="dk1"/>
              </a:solidFill>
              <a:effectLst/>
              <a:latin typeface="+mn-lt"/>
              <a:ea typeface="+mn-ea"/>
              <a:cs typeface="+mn-cs"/>
            </a:rPr>
            <a:t> IN CASE SPAN BETWEEN S/AX AND AN/S &lt;55M, THEN THE POLE WILL BE 2HEB-240A</a:t>
          </a:r>
          <a:endParaRPr lang="es-ES">
            <a:effectLst/>
          </a:endParaRPr>
        </a:p>
        <a:p>
          <a:endParaRPr lang="es-ES" sz="1100"/>
        </a:p>
      </xdr:txBody>
    </xdr:sp>
    <xdr:clientData/>
  </xdr:oneCellAnchor>
  <xdr:oneCellAnchor>
    <xdr:from>
      <xdr:col>12</xdr:col>
      <xdr:colOff>34447</xdr:colOff>
      <xdr:row>37</xdr:row>
      <xdr:rowOff>34428</xdr:rowOff>
    </xdr:from>
    <xdr:ext cx="8505824" cy="619126"/>
    <xdr:sp macro="" textlink="">
      <xdr:nvSpPr>
        <xdr:cNvPr id="4" name="CuadroTexto 3">
          <a:extLst>
            <a:ext uri="{FF2B5EF4-FFF2-40B4-BE49-F238E27FC236}">
              <a16:creationId xmlns:a16="http://schemas.microsoft.com/office/drawing/2014/main" id="{453B1D03-83F5-4287-AB08-FC01341B373C}"/>
            </a:ext>
          </a:extLst>
        </xdr:cNvPr>
        <xdr:cNvSpPr txBox="1"/>
      </xdr:nvSpPr>
      <xdr:spPr>
        <a:xfrm>
          <a:off x="9306977" y="6839639"/>
          <a:ext cx="8505824" cy="61912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non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 </a:t>
          </a:r>
          <a:r>
            <a:rPr lang="en-US" sz="1100" b="0">
              <a:solidFill>
                <a:schemeClr val="dk1"/>
              </a:solidFill>
              <a:effectLst/>
              <a:latin typeface="+mn-lt"/>
              <a:ea typeface="+mn-ea"/>
              <a:cs typeface="+mn-cs"/>
            </a:rPr>
            <a:t>THE RANGE IN THE RELATION RADIUS / MAX. SPAN IS CLASSIFY ON THE SIDE OF THE SAFETY.</a:t>
          </a:r>
          <a:endParaRPr lang="es-ES" sz="1100">
            <a:solidFill>
              <a:schemeClr val="dk1"/>
            </a:solidFill>
            <a:effectLst/>
            <a:latin typeface="+mn-lt"/>
            <a:ea typeface="+mn-ea"/>
            <a:cs typeface="+mn-cs"/>
          </a:endParaRPr>
        </a:p>
        <a:p>
          <a:r>
            <a:rPr lang="es-ES" sz="1100">
              <a:solidFill>
                <a:schemeClr val="dk1"/>
              </a:solidFill>
              <a:effectLst/>
              <a:latin typeface="+mn-lt"/>
              <a:ea typeface="+mn-ea"/>
              <a:cs typeface="+mn-cs"/>
            </a:rPr>
            <a:t>- </a:t>
          </a:r>
          <a:r>
            <a:rPr lang="en-US" sz="1100" b="0" baseline="30000">
              <a:solidFill>
                <a:schemeClr val="dk1"/>
              </a:solidFill>
              <a:effectLst/>
              <a:latin typeface="+mn-lt"/>
              <a:ea typeface="+mn-ea"/>
              <a:cs typeface="+mn-cs"/>
            </a:rPr>
            <a:t>1</a:t>
          </a:r>
          <a:r>
            <a:rPr lang="en-US" sz="1100" b="0">
              <a:solidFill>
                <a:schemeClr val="dk1"/>
              </a:solidFill>
              <a:effectLst/>
              <a:latin typeface="+mn-lt"/>
              <a:ea typeface="+mn-ea"/>
              <a:cs typeface="+mn-cs"/>
            </a:rPr>
            <a:t> IN CASE SPAN BETWEEN S/AX AND AN/S &lt;55M, THEN THE POLE WILL BE 2HEB-240. FOR OTHER CASE AN SPECIFIC STUDY HAS TO BE DONE.</a:t>
          </a:r>
          <a:endParaRPr lang="es-ES" sz="1100">
            <a:solidFill>
              <a:schemeClr val="dk1"/>
            </a:solidFill>
            <a:effectLst/>
            <a:latin typeface="+mn-lt"/>
            <a:ea typeface="+mn-ea"/>
            <a:cs typeface="+mn-cs"/>
          </a:endParaRPr>
        </a:p>
        <a:p>
          <a:endParaRPr lang="es-ES" sz="1100"/>
        </a:p>
      </xdr:txBody>
    </xdr:sp>
    <xdr:clientData/>
  </xdr:oneCellAnchor>
  <xdr:oneCellAnchor>
    <xdr:from>
      <xdr:col>10</xdr:col>
      <xdr:colOff>24652</xdr:colOff>
      <xdr:row>51</xdr:row>
      <xdr:rowOff>22412</xdr:rowOff>
    </xdr:from>
    <xdr:ext cx="8505824" cy="619126"/>
    <xdr:sp macro="" textlink="">
      <xdr:nvSpPr>
        <xdr:cNvPr id="5" name="CuadroTexto 4">
          <a:extLst>
            <a:ext uri="{FF2B5EF4-FFF2-40B4-BE49-F238E27FC236}">
              <a16:creationId xmlns:a16="http://schemas.microsoft.com/office/drawing/2014/main" id="{9CE0262B-0EC9-45D8-A8F2-933C48BAC8B2}"/>
            </a:ext>
          </a:extLst>
        </xdr:cNvPr>
        <xdr:cNvSpPr txBox="1"/>
      </xdr:nvSpPr>
      <xdr:spPr>
        <a:xfrm>
          <a:off x="8731623" y="9939618"/>
          <a:ext cx="8505824" cy="61912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non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 </a:t>
          </a:r>
          <a:r>
            <a:rPr lang="en-US" sz="1100" b="0">
              <a:solidFill>
                <a:schemeClr val="dk1"/>
              </a:solidFill>
              <a:effectLst/>
              <a:latin typeface="+mn-lt"/>
              <a:ea typeface="+mn-ea"/>
              <a:cs typeface="+mn-cs"/>
            </a:rPr>
            <a:t>THE RANGE IN THE RELATION RADIUS / MAX. SPAN IS CLASSIFY ON THE SIDE OF THE SAFETY.</a:t>
          </a:r>
          <a:endParaRPr lang="es-ES" sz="1100">
            <a:solidFill>
              <a:schemeClr val="dk1"/>
            </a:solidFill>
            <a:effectLst/>
            <a:latin typeface="+mn-lt"/>
            <a:ea typeface="+mn-ea"/>
            <a:cs typeface="+mn-cs"/>
          </a:endParaRPr>
        </a:p>
        <a:p>
          <a:r>
            <a:rPr lang="es-ES" sz="1100">
              <a:solidFill>
                <a:schemeClr val="dk1"/>
              </a:solidFill>
              <a:effectLst/>
              <a:latin typeface="+mn-lt"/>
              <a:ea typeface="+mn-ea"/>
              <a:cs typeface="+mn-cs"/>
            </a:rPr>
            <a:t>- </a:t>
          </a:r>
          <a:r>
            <a:rPr lang="en-US" sz="1100" b="0">
              <a:solidFill>
                <a:schemeClr val="dk1"/>
              </a:solidFill>
              <a:effectLst/>
              <a:latin typeface="+mn-lt"/>
              <a:ea typeface="+mn-ea"/>
              <a:cs typeface="+mn-cs"/>
            </a:rPr>
            <a:t>* IN CASE SPAN BETWEEN S/AX AND AN/S &lt;55M, THEN THE POLE WILL BE 2HEB-240A. FOR OTHER CASE AN SPECIFIC STUDY HAS TO BE DONE.</a:t>
          </a:r>
          <a:endParaRPr lang="es-ES" sz="1100">
            <a:solidFill>
              <a:schemeClr val="dk1"/>
            </a:solidFill>
            <a:effectLst/>
            <a:latin typeface="+mn-lt"/>
            <a:ea typeface="+mn-ea"/>
            <a:cs typeface="+mn-cs"/>
          </a:endParaRPr>
        </a:p>
      </xdr:txBody>
    </xdr:sp>
    <xdr:clientData/>
  </xdr:oneCellAnchor>
  <xdr:oneCellAnchor>
    <xdr:from>
      <xdr:col>10</xdr:col>
      <xdr:colOff>28013</xdr:colOff>
      <xdr:row>64</xdr:row>
      <xdr:rowOff>38660</xdr:rowOff>
    </xdr:from>
    <xdr:ext cx="8505824" cy="809627"/>
    <xdr:sp macro="" textlink="">
      <xdr:nvSpPr>
        <xdr:cNvPr id="6" name="CuadroTexto 5">
          <a:extLst>
            <a:ext uri="{FF2B5EF4-FFF2-40B4-BE49-F238E27FC236}">
              <a16:creationId xmlns:a16="http://schemas.microsoft.com/office/drawing/2014/main" id="{5A49E266-B17B-4606-A1FC-5278D033A62B}"/>
            </a:ext>
          </a:extLst>
        </xdr:cNvPr>
        <xdr:cNvSpPr txBox="1"/>
      </xdr:nvSpPr>
      <xdr:spPr>
        <a:xfrm>
          <a:off x="8734984" y="12555631"/>
          <a:ext cx="8505824" cy="809627"/>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non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 </a:t>
          </a:r>
          <a:r>
            <a:rPr lang="en-US" sz="1100" b="0">
              <a:solidFill>
                <a:schemeClr val="dk1"/>
              </a:solidFill>
              <a:effectLst/>
              <a:latin typeface="+mn-lt"/>
              <a:ea typeface="+mn-ea"/>
              <a:cs typeface="+mn-cs"/>
            </a:rPr>
            <a:t>THE RANGE IN THE RELATION RADIUS / MAX. SPAN IS CLASSIFY ON THE SIDE OF THE SAFETY.</a:t>
          </a:r>
          <a:endParaRPr lang="en-GB" sz="1100" b="0">
            <a:solidFill>
              <a:schemeClr val="dk1"/>
            </a:solidFill>
            <a:effectLst/>
            <a:latin typeface="+mn-lt"/>
            <a:ea typeface="+mn-ea"/>
            <a:cs typeface="+mn-cs"/>
          </a:endParaRPr>
        </a:p>
        <a:p>
          <a:r>
            <a:rPr lang="es-ES" sz="1100">
              <a:solidFill>
                <a:schemeClr val="dk1"/>
              </a:solidFill>
              <a:effectLst/>
              <a:latin typeface="+mn-lt"/>
              <a:ea typeface="+mn-ea"/>
              <a:cs typeface="+mn-cs"/>
            </a:rPr>
            <a:t>- </a:t>
          </a:r>
          <a:r>
            <a:rPr lang="en-US" sz="1100" b="0" baseline="30000">
              <a:solidFill>
                <a:schemeClr val="dk1"/>
              </a:solidFill>
              <a:effectLst/>
              <a:latin typeface="+mn-lt"/>
              <a:ea typeface="+mn-ea"/>
              <a:cs typeface="+mn-cs"/>
            </a:rPr>
            <a:t>1</a:t>
          </a:r>
          <a:r>
            <a:rPr lang="en-US" sz="1100" b="0">
              <a:solidFill>
                <a:schemeClr val="dk1"/>
              </a:solidFill>
              <a:effectLst/>
              <a:latin typeface="+mn-lt"/>
              <a:ea typeface="+mn-ea"/>
              <a:cs typeface="+mn-cs"/>
            </a:rPr>
            <a:t> IN CASE SPAN BETWEEN S/AX AND AN/S &lt;55M, THEN THE POLE WILL BE 2HEB-240A</a:t>
          </a:r>
        </a:p>
        <a:p>
          <a:r>
            <a:rPr lang="en-US" sz="1100" b="0">
              <a:solidFill>
                <a:schemeClr val="dk1"/>
              </a:solidFill>
              <a:effectLst/>
              <a:latin typeface="+mn-lt"/>
              <a:ea typeface="+mn-ea"/>
              <a:cs typeface="+mn-cs"/>
            </a:rPr>
            <a:t>- </a:t>
          </a:r>
          <a:r>
            <a:rPr lang="en-US" sz="1100" b="0" baseline="30000">
              <a:solidFill>
                <a:schemeClr val="dk1"/>
              </a:solidFill>
              <a:effectLst/>
              <a:latin typeface="+mn-lt"/>
              <a:ea typeface="+mn-ea"/>
              <a:cs typeface="+mn-cs"/>
            </a:rPr>
            <a:t>1</a:t>
          </a:r>
          <a:r>
            <a:rPr lang="en-US" sz="1100" b="0">
              <a:solidFill>
                <a:schemeClr val="dk1"/>
              </a:solidFill>
              <a:effectLst/>
              <a:latin typeface="+mn-lt"/>
              <a:ea typeface="+mn-ea"/>
              <a:cs typeface="+mn-cs"/>
            </a:rPr>
            <a:t> IN CASE SPAN BETWEEN S/AX AND AN/S&gt;55M AND CANTILEVER DISTANCE TO TRACK OVER 3.30M, THEN THE POLE WILL BE HEB-280A</a:t>
          </a:r>
          <a:endParaRPr lang="es-ES" sz="1100">
            <a:solidFill>
              <a:schemeClr val="dk1"/>
            </a:solidFill>
            <a:effectLst/>
            <a:latin typeface="+mn-lt"/>
            <a:ea typeface="+mn-ea"/>
            <a:cs typeface="+mn-cs"/>
          </a:endParaRPr>
        </a:p>
        <a:p>
          <a:endParaRPr lang="es-ES" sz="1100">
            <a:solidFill>
              <a:schemeClr val="dk1"/>
            </a:solidFill>
            <a:effectLst/>
            <a:latin typeface="+mn-lt"/>
            <a:ea typeface="+mn-ea"/>
            <a:cs typeface="+mn-cs"/>
          </a:endParaRPr>
        </a:p>
      </xdr:txBody>
    </xdr:sp>
    <xdr:clientData/>
  </xdr:oneCellAnchor>
  <xdr:oneCellAnchor>
    <xdr:from>
      <xdr:col>10</xdr:col>
      <xdr:colOff>3922</xdr:colOff>
      <xdr:row>77</xdr:row>
      <xdr:rowOff>11206</xdr:rowOff>
    </xdr:from>
    <xdr:ext cx="8505824" cy="809627"/>
    <xdr:sp macro="" textlink="">
      <xdr:nvSpPr>
        <xdr:cNvPr id="7" name="CuadroTexto 6">
          <a:extLst>
            <a:ext uri="{FF2B5EF4-FFF2-40B4-BE49-F238E27FC236}">
              <a16:creationId xmlns:a16="http://schemas.microsoft.com/office/drawing/2014/main" id="{1522DEB4-0924-4569-A0FF-BB7BC60989F2}"/>
            </a:ext>
          </a:extLst>
        </xdr:cNvPr>
        <xdr:cNvSpPr txBox="1"/>
      </xdr:nvSpPr>
      <xdr:spPr>
        <a:xfrm>
          <a:off x="8710893" y="15161559"/>
          <a:ext cx="8505824" cy="809627"/>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non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 </a:t>
          </a:r>
          <a:r>
            <a:rPr lang="en-US" sz="1100" b="0">
              <a:solidFill>
                <a:schemeClr val="dk1"/>
              </a:solidFill>
              <a:effectLst/>
              <a:latin typeface="+mn-lt"/>
              <a:ea typeface="+mn-ea"/>
              <a:cs typeface="+mn-cs"/>
            </a:rPr>
            <a:t>THE RANGE IN THE RELATION RADIUS / MAX. SPAN IS CLASSIFY ON THE SIDE OF THE SAFETY.</a:t>
          </a:r>
          <a:endParaRPr lang="en-GB" sz="1100" b="0">
            <a:solidFill>
              <a:schemeClr val="dk1"/>
            </a:solidFill>
            <a:effectLst/>
            <a:latin typeface="+mn-lt"/>
            <a:ea typeface="+mn-ea"/>
            <a:cs typeface="+mn-cs"/>
          </a:endParaRPr>
        </a:p>
        <a:p>
          <a:r>
            <a:rPr lang="es-ES" sz="1100">
              <a:solidFill>
                <a:schemeClr val="dk1"/>
              </a:solidFill>
              <a:effectLst/>
              <a:latin typeface="+mn-lt"/>
              <a:ea typeface="+mn-ea"/>
              <a:cs typeface="+mn-cs"/>
            </a:rPr>
            <a:t>- </a:t>
          </a:r>
          <a:r>
            <a:rPr lang="en-US" sz="1100" b="0" baseline="30000">
              <a:solidFill>
                <a:schemeClr val="dk1"/>
              </a:solidFill>
              <a:effectLst/>
              <a:latin typeface="+mn-lt"/>
              <a:ea typeface="+mn-ea"/>
              <a:cs typeface="+mn-cs"/>
            </a:rPr>
            <a:t>1</a:t>
          </a:r>
          <a:r>
            <a:rPr lang="en-US" sz="1100" b="0">
              <a:solidFill>
                <a:schemeClr val="dk1"/>
              </a:solidFill>
              <a:effectLst/>
              <a:latin typeface="+mn-lt"/>
              <a:ea typeface="+mn-ea"/>
              <a:cs typeface="+mn-cs"/>
            </a:rPr>
            <a:t> IN CASE SPAN BETWEEN S/AX AND AN/S &lt;55M, THEN THE POLE WILL BE 2HEB-240A. FOR OTHER CASE AN SPECIFIC STUDY HAS TO BE DONE.</a:t>
          </a:r>
          <a:endParaRPr lang="es-ES" sz="1100">
            <a:solidFill>
              <a:schemeClr val="dk1"/>
            </a:solidFill>
            <a:effectLst/>
            <a:latin typeface="+mn-lt"/>
            <a:ea typeface="+mn-ea"/>
            <a:cs typeface="+mn-cs"/>
          </a:endParaRPr>
        </a:p>
      </xdr:txBody>
    </xdr:sp>
    <xdr:clientData/>
  </xdr:oneCellAnchor>
  <xdr:oneCellAnchor>
    <xdr:from>
      <xdr:col>10</xdr:col>
      <xdr:colOff>8403</xdr:colOff>
      <xdr:row>90</xdr:row>
      <xdr:rowOff>11206</xdr:rowOff>
    </xdr:from>
    <xdr:ext cx="8505824" cy="809627"/>
    <xdr:sp macro="" textlink="">
      <xdr:nvSpPr>
        <xdr:cNvPr id="8" name="CuadroTexto 7">
          <a:extLst>
            <a:ext uri="{FF2B5EF4-FFF2-40B4-BE49-F238E27FC236}">
              <a16:creationId xmlns:a16="http://schemas.microsoft.com/office/drawing/2014/main" id="{8F50613A-7B26-44B8-A349-B12801707EE2}"/>
            </a:ext>
          </a:extLst>
        </xdr:cNvPr>
        <xdr:cNvSpPr txBox="1"/>
      </xdr:nvSpPr>
      <xdr:spPr>
        <a:xfrm>
          <a:off x="8715374" y="17794941"/>
          <a:ext cx="8505824" cy="809627"/>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non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 </a:t>
          </a:r>
          <a:r>
            <a:rPr lang="en-US" sz="1100" b="0">
              <a:solidFill>
                <a:schemeClr val="dk1"/>
              </a:solidFill>
              <a:effectLst/>
              <a:latin typeface="+mn-lt"/>
              <a:ea typeface="+mn-ea"/>
              <a:cs typeface="+mn-cs"/>
            </a:rPr>
            <a:t>THE RANGE IN THE RELATION RADIUS / MAX. SPAN IS CLASSIFY ON THE SIDE OF THE SAFETY.</a:t>
          </a:r>
          <a:endParaRPr lang="en-GB" sz="1100" b="0">
            <a:solidFill>
              <a:schemeClr val="dk1"/>
            </a:solidFill>
            <a:effectLst/>
            <a:latin typeface="+mn-lt"/>
            <a:ea typeface="+mn-ea"/>
            <a:cs typeface="+mn-cs"/>
          </a:endParaRPr>
        </a:p>
        <a:p>
          <a:r>
            <a:rPr lang="es-ES" sz="1100">
              <a:solidFill>
                <a:schemeClr val="dk1"/>
              </a:solidFill>
              <a:effectLst/>
              <a:latin typeface="+mn-lt"/>
              <a:ea typeface="+mn-ea"/>
              <a:cs typeface="+mn-cs"/>
            </a:rPr>
            <a:t>- </a:t>
          </a:r>
          <a:r>
            <a:rPr lang="en-US" sz="1100" b="0" baseline="30000">
              <a:solidFill>
                <a:schemeClr val="dk1"/>
              </a:solidFill>
              <a:effectLst/>
              <a:latin typeface="+mn-lt"/>
              <a:ea typeface="+mn-ea"/>
              <a:cs typeface="+mn-cs"/>
            </a:rPr>
            <a:t>1</a:t>
          </a:r>
          <a:r>
            <a:rPr lang="en-US" sz="1100" b="0">
              <a:solidFill>
                <a:schemeClr val="dk1"/>
              </a:solidFill>
              <a:effectLst/>
              <a:latin typeface="+mn-lt"/>
              <a:ea typeface="+mn-ea"/>
              <a:cs typeface="+mn-cs"/>
            </a:rPr>
            <a:t> IN CASE SPAN BETWEEN S/AX AND AN/S &lt;55M, THEN THE POLE WILL BE 2HEB-240A</a:t>
          </a:r>
        </a:p>
        <a:p>
          <a:r>
            <a:rPr lang="en-US" sz="1100" b="0">
              <a:solidFill>
                <a:schemeClr val="dk1"/>
              </a:solidFill>
              <a:effectLst/>
              <a:latin typeface="+mn-lt"/>
              <a:ea typeface="+mn-ea"/>
              <a:cs typeface="+mn-cs"/>
            </a:rPr>
            <a:t>- </a:t>
          </a:r>
          <a:r>
            <a:rPr lang="en-US" sz="1100" b="0" baseline="30000">
              <a:solidFill>
                <a:schemeClr val="dk1"/>
              </a:solidFill>
              <a:effectLst/>
              <a:latin typeface="+mn-lt"/>
              <a:ea typeface="+mn-ea"/>
              <a:cs typeface="+mn-cs"/>
            </a:rPr>
            <a:t>1</a:t>
          </a:r>
          <a:r>
            <a:rPr lang="en-US" sz="1100" b="0">
              <a:solidFill>
                <a:schemeClr val="dk1"/>
              </a:solidFill>
              <a:effectLst/>
              <a:latin typeface="+mn-lt"/>
              <a:ea typeface="+mn-ea"/>
              <a:cs typeface="+mn-cs"/>
            </a:rPr>
            <a:t> IN CASE SPAN BETWEEN S/AX AND AN/S&gt;55M AND CANTILEVER DISTANCE TO TRACK OVER 3.30M, THEN THE POLE WILL BE HEB-280A</a:t>
          </a:r>
          <a:endParaRPr lang="es-ES" sz="1100">
            <a:solidFill>
              <a:schemeClr val="dk1"/>
            </a:solidFill>
            <a:effectLst/>
            <a:latin typeface="+mn-lt"/>
            <a:ea typeface="+mn-ea"/>
            <a:cs typeface="+mn-cs"/>
          </a:endParaRPr>
        </a:p>
        <a:p>
          <a:endParaRPr lang="es-ES" sz="1100">
            <a:solidFill>
              <a:schemeClr val="dk1"/>
            </a:solidFill>
            <a:effectLst/>
            <a:latin typeface="+mn-lt"/>
            <a:ea typeface="+mn-ea"/>
            <a:cs typeface="+mn-cs"/>
          </a:endParaRPr>
        </a:p>
      </xdr:txBody>
    </xdr:sp>
    <xdr:clientData/>
  </xdr:oneCellAnchor>
  <xdr:oneCellAnchor>
    <xdr:from>
      <xdr:col>10</xdr:col>
      <xdr:colOff>59950</xdr:colOff>
      <xdr:row>103</xdr:row>
      <xdr:rowOff>27454</xdr:rowOff>
    </xdr:from>
    <xdr:ext cx="8505824" cy="809627"/>
    <xdr:sp macro="" textlink="">
      <xdr:nvSpPr>
        <xdr:cNvPr id="9" name="CuadroTexto 8">
          <a:extLst>
            <a:ext uri="{FF2B5EF4-FFF2-40B4-BE49-F238E27FC236}">
              <a16:creationId xmlns:a16="http://schemas.microsoft.com/office/drawing/2014/main" id="{58D9C08F-DBD4-4DCD-AD6B-4018258F135F}"/>
            </a:ext>
          </a:extLst>
        </xdr:cNvPr>
        <xdr:cNvSpPr txBox="1"/>
      </xdr:nvSpPr>
      <xdr:spPr>
        <a:xfrm>
          <a:off x="8766921" y="20444572"/>
          <a:ext cx="8505824" cy="809627"/>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non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 </a:t>
          </a:r>
          <a:r>
            <a:rPr lang="en-US" sz="1100" b="0">
              <a:solidFill>
                <a:schemeClr val="dk1"/>
              </a:solidFill>
              <a:effectLst/>
              <a:latin typeface="+mn-lt"/>
              <a:ea typeface="+mn-ea"/>
              <a:cs typeface="+mn-cs"/>
            </a:rPr>
            <a:t>THE RANGE IN THE RELATION RADIUS / MAX. SPAN IS CLASSIFY ON THE SIDE OF THE SAFETY.</a:t>
          </a:r>
          <a:endParaRPr lang="en-GB" sz="1100" b="0">
            <a:solidFill>
              <a:schemeClr val="dk1"/>
            </a:solidFill>
            <a:effectLst/>
            <a:latin typeface="+mn-lt"/>
            <a:ea typeface="+mn-ea"/>
            <a:cs typeface="+mn-cs"/>
          </a:endParaRPr>
        </a:p>
        <a:p>
          <a:r>
            <a:rPr lang="es-ES" sz="1100">
              <a:solidFill>
                <a:schemeClr val="dk1"/>
              </a:solidFill>
              <a:effectLst/>
              <a:latin typeface="+mn-lt"/>
              <a:ea typeface="+mn-ea"/>
              <a:cs typeface="+mn-cs"/>
            </a:rPr>
            <a:t>- </a:t>
          </a:r>
          <a:r>
            <a:rPr lang="en-US" sz="1100" b="0" baseline="30000">
              <a:solidFill>
                <a:schemeClr val="dk1"/>
              </a:solidFill>
              <a:effectLst/>
              <a:latin typeface="+mn-lt"/>
              <a:ea typeface="+mn-ea"/>
              <a:cs typeface="+mn-cs"/>
            </a:rPr>
            <a:t>1</a:t>
          </a:r>
          <a:r>
            <a:rPr lang="en-US" sz="1100" b="0">
              <a:solidFill>
                <a:schemeClr val="dk1"/>
              </a:solidFill>
              <a:effectLst/>
              <a:latin typeface="+mn-lt"/>
              <a:ea typeface="+mn-ea"/>
              <a:cs typeface="+mn-cs"/>
            </a:rPr>
            <a:t> IN CASE SPAN BETWEEN S/AX AND AN/S &lt;55M, THEN THE POLE WILL BE 2HEB-240A. FOR OTHER CASE AN SPECIFIC STUDY HAS TO BE DONE.</a:t>
          </a:r>
          <a:endParaRPr lang="es-ES" sz="1100">
            <a:solidFill>
              <a:schemeClr val="dk1"/>
            </a:solidFill>
            <a:effectLst/>
            <a:latin typeface="+mn-lt"/>
            <a:ea typeface="+mn-ea"/>
            <a:cs typeface="+mn-cs"/>
          </a:endParaRPr>
        </a:p>
      </xdr:txBody>
    </xdr:sp>
    <xdr:clientData/>
  </xdr:oneCellAnchor>
  <xdr:oneCellAnchor>
    <xdr:from>
      <xdr:col>10</xdr:col>
      <xdr:colOff>20170</xdr:colOff>
      <xdr:row>116</xdr:row>
      <xdr:rowOff>153521</xdr:rowOff>
    </xdr:from>
    <xdr:ext cx="8505824" cy="809627"/>
    <xdr:sp macro="" textlink="">
      <xdr:nvSpPr>
        <xdr:cNvPr id="10" name="CuadroTexto 9">
          <a:extLst>
            <a:ext uri="{FF2B5EF4-FFF2-40B4-BE49-F238E27FC236}">
              <a16:creationId xmlns:a16="http://schemas.microsoft.com/office/drawing/2014/main" id="{58BFC078-D1B0-4704-93AF-547E73F68D43}"/>
            </a:ext>
          </a:extLst>
        </xdr:cNvPr>
        <xdr:cNvSpPr txBox="1"/>
      </xdr:nvSpPr>
      <xdr:spPr>
        <a:xfrm>
          <a:off x="8727141" y="23282462"/>
          <a:ext cx="8505824" cy="809627"/>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non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 </a:t>
          </a:r>
          <a:r>
            <a:rPr lang="en-US" sz="1100" b="0">
              <a:solidFill>
                <a:schemeClr val="dk1"/>
              </a:solidFill>
              <a:effectLst/>
              <a:latin typeface="+mn-lt"/>
              <a:ea typeface="+mn-ea"/>
              <a:cs typeface="+mn-cs"/>
            </a:rPr>
            <a:t>THE RANGE IN THE RELATION RADIUS / MAX. SPAN IS CLASSIFY ON THE SIDE OF THE SAFETY.</a:t>
          </a:r>
          <a:endParaRPr lang="es-ES" sz="1100">
            <a:solidFill>
              <a:schemeClr val="dk1"/>
            </a:solidFill>
            <a:effectLst/>
            <a:latin typeface="+mn-lt"/>
            <a:ea typeface="+mn-ea"/>
            <a:cs typeface="+mn-cs"/>
          </a:endParaRPr>
        </a:p>
        <a:p>
          <a:endParaRPr lang="es-ES" sz="1100">
            <a:solidFill>
              <a:schemeClr val="dk1"/>
            </a:solidFill>
            <a:effectLst/>
            <a:latin typeface="+mn-lt"/>
            <a:ea typeface="+mn-ea"/>
            <a:cs typeface="+mn-cs"/>
          </a:endParaRPr>
        </a:p>
      </xdr:txBody>
    </xdr:sp>
    <xdr:clientData/>
  </xdr:oneCellAnchor>
  <xdr:oneCellAnchor>
    <xdr:from>
      <xdr:col>12</xdr:col>
      <xdr:colOff>19611</xdr:colOff>
      <xdr:row>148</xdr:row>
      <xdr:rowOff>112059</xdr:rowOff>
    </xdr:from>
    <xdr:ext cx="8886825" cy="828676"/>
    <xdr:sp macro="" textlink="">
      <xdr:nvSpPr>
        <xdr:cNvPr id="13" name="CuadroTexto 12">
          <a:extLst>
            <a:ext uri="{FF2B5EF4-FFF2-40B4-BE49-F238E27FC236}">
              <a16:creationId xmlns:a16="http://schemas.microsoft.com/office/drawing/2014/main" id="{C848DA97-FEEA-4676-8EDA-89EAA18D2C09}"/>
            </a:ext>
          </a:extLst>
        </xdr:cNvPr>
        <xdr:cNvSpPr txBox="1"/>
      </xdr:nvSpPr>
      <xdr:spPr>
        <a:xfrm>
          <a:off x="9219640" y="40991118"/>
          <a:ext cx="8886825" cy="82867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none" rtlCol="0" anchor="t">
          <a:noAutofit/>
        </a:bodyPr>
        <a:lstStyle/>
        <a:p>
          <a:r>
            <a:rPr lang="en-US" sz="1100">
              <a:solidFill>
                <a:schemeClr val="tx1"/>
              </a:solidFill>
              <a:effectLst/>
              <a:latin typeface="+mn-lt"/>
              <a:ea typeface="+mn-ea"/>
              <a:cs typeface="+mn-cs"/>
            </a:rPr>
            <a:t>- THE ADDITIONAL SCADA CABLES ARE ATTACHED TO THE POLE</a:t>
          </a:r>
        </a:p>
        <a:p>
          <a:r>
            <a:rPr lang="en-US" sz="1100">
              <a:solidFill>
                <a:schemeClr val="dk1"/>
              </a:solidFill>
              <a:effectLst/>
              <a:latin typeface="+mn-lt"/>
              <a:ea typeface="+mn-ea"/>
              <a:cs typeface="+mn-cs"/>
            </a:rPr>
            <a:t>- </a:t>
          </a:r>
          <a:r>
            <a:rPr lang="en-US" sz="1100" b="0">
              <a:solidFill>
                <a:schemeClr val="dk1"/>
              </a:solidFill>
              <a:effectLst/>
              <a:latin typeface="+mn-lt"/>
              <a:ea typeface="+mn-ea"/>
              <a:cs typeface="+mn-cs"/>
            </a:rPr>
            <a:t>THE RANGE IN THE RELATION RADIUS / MAX. SPAN IS CLASSIFY ON THE SIDE OF THE SAFETY.</a:t>
          </a:r>
          <a:endParaRPr lang="es-ES" sz="1100"/>
        </a:p>
        <a:p>
          <a:r>
            <a:rPr lang="es-ES" sz="1100"/>
            <a:t>- </a:t>
          </a:r>
          <a:r>
            <a:rPr lang="en-US" sz="1100" b="0" baseline="30000">
              <a:solidFill>
                <a:schemeClr val="dk1"/>
              </a:solidFill>
              <a:effectLst/>
              <a:latin typeface="+mn-lt"/>
              <a:ea typeface="+mn-ea"/>
              <a:cs typeface="+mn-cs"/>
            </a:rPr>
            <a:t>1</a:t>
          </a:r>
          <a:r>
            <a:rPr lang="en-US" sz="1100" b="0">
              <a:solidFill>
                <a:schemeClr val="dk1"/>
              </a:solidFill>
              <a:effectLst/>
              <a:latin typeface="+mn-lt"/>
              <a:ea typeface="+mn-ea"/>
              <a:cs typeface="+mn-cs"/>
            </a:rPr>
            <a:t> IN </a:t>
          </a:r>
          <a:r>
            <a:rPr lang="es-ES" sz="1100"/>
            <a:t>CASE SPAN BETWEEN S/AX AND AN/S &lt;55M, THEN THE POLE WILL BE 2HEB-240</a:t>
          </a:r>
        </a:p>
        <a:p>
          <a:endParaRPr lang="es-ES" sz="1100"/>
        </a:p>
      </xdr:txBody>
    </xdr:sp>
    <xdr:clientData/>
  </xdr:oneCellAnchor>
  <xdr:oneCellAnchor>
    <xdr:from>
      <xdr:col>12</xdr:col>
      <xdr:colOff>32498</xdr:colOff>
      <xdr:row>161</xdr:row>
      <xdr:rowOff>132790</xdr:rowOff>
    </xdr:from>
    <xdr:ext cx="8886825" cy="828676"/>
    <xdr:sp macro="" textlink="">
      <xdr:nvSpPr>
        <xdr:cNvPr id="14" name="CuadroTexto 13">
          <a:extLst>
            <a:ext uri="{FF2B5EF4-FFF2-40B4-BE49-F238E27FC236}">
              <a16:creationId xmlns:a16="http://schemas.microsoft.com/office/drawing/2014/main" id="{7052D226-0E23-4120-92A1-331812B3B76A}"/>
            </a:ext>
          </a:extLst>
        </xdr:cNvPr>
        <xdr:cNvSpPr txBox="1"/>
      </xdr:nvSpPr>
      <xdr:spPr>
        <a:xfrm>
          <a:off x="9232527" y="43667643"/>
          <a:ext cx="8886825" cy="82867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wrap="non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 THE ADDITIONAL SCADA CABLES ARE ATTACHED TO THE POLE</a:t>
          </a:r>
          <a:endParaRPr lang="es-E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 </a:t>
          </a:r>
          <a:r>
            <a:rPr lang="en-US" sz="1100" b="0">
              <a:solidFill>
                <a:schemeClr val="dk1"/>
              </a:solidFill>
              <a:effectLst/>
              <a:latin typeface="+mn-lt"/>
              <a:ea typeface="+mn-ea"/>
              <a:cs typeface="+mn-cs"/>
            </a:rPr>
            <a:t>THE RANGE IN THE RELATION RADIUS / MAX. SPAN IS CLASSIFY ON THE SIDE OF THE SAFETY.</a:t>
          </a:r>
          <a:endParaRPr lang="es-ES" sz="1100"/>
        </a:p>
        <a:p>
          <a:r>
            <a:rPr lang="es-ES" sz="1100"/>
            <a:t>- </a:t>
          </a:r>
          <a:r>
            <a:rPr lang="en-US" sz="1100" b="0" baseline="30000">
              <a:solidFill>
                <a:schemeClr val="dk1"/>
              </a:solidFill>
              <a:effectLst/>
              <a:latin typeface="+mn-lt"/>
              <a:ea typeface="+mn-ea"/>
              <a:cs typeface="+mn-cs"/>
            </a:rPr>
            <a:t>1</a:t>
          </a:r>
          <a:r>
            <a:rPr lang="en-US" sz="1100" b="0">
              <a:solidFill>
                <a:schemeClr val="dk1"/>
              </a:solidFill>
              <a:effectLst/>
              <a:latin typeface="+mn-lt"/>
              <a:ea typeface="+mn-ea"/>
              <a:cs typeface="+mn-cs"/>
            </a:rPr>
            <a:t> IN </a:t>
          </a:r>
          <a:r>
            <a:rPr lang="es-ES" sz="1100"/>
            <a:t>CASE SPAN BETWEEN S/AX AND AN/S &lt;55M, THEN THE POLE WILL BE 2HEB-240. FOR</a:t>
          </a:r>
          <a:r>
            <a:rPr lang="es-ES" sz="1100" baseline="0"/>
            <a:t> OTHER CASE A SPECIFIC STUDY HAS TO BE DONE.</a:t>
          </a:r>
          <a:endParaRPr lang="es-ES" sz="1100"/>
        </a:p>
        <a:p>
          <a:endParaRPr lang="es-ES" sz="1100"/>
        </a:p>
      </xdr:txBody>
    </xdr:sp>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23.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vmlDrawing" Target="../drawings/vmlDrawing24.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vmlDrawing" Target="../drawings/vmlDrawing25.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vmlDrawing" Target="../drawings/vmlDrawing26.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27.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vmlDrawing" Target="../drawings/vmlDrawing28.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vmlDrawing" Target="../drawings/vmlDrawing29.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4.v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2"/>
  <dimension ref="A1:G441"/>
  <sheetViews>
    <sheetView showGridLines="0" view="pageBreakPreview" zoomScale="80" zoomScaleNormal="80" zoomScaleSheetLayoutView="80" workbookViewId="0">
      <pane ySplit="1" topLeftCell="A104" activePane="bottomLeft" state="frozen"/>
      <selection activeCell="AL39" sqref="AL39"/>
      <selection pane="bottomLeft" activeCell="G124" sqref="G124"/>
    </sheetView>
  </sheetViews>
  <sheetFormatPr baseColWidth="10" defaultColWidth="11.453125" defaultRowHeight="12.5"/>
  <cols>
    <col min="1" max="1" width="15" customWidth="1"/>
    <col min="2" max="2" width="17.36328125" customWidth="1"/>
    <col min="3" max="3" width="123.54296875" customWidth="1"/>
    <col min="4" max="4" width="11.08984375" bestFit="1" customWidth="1"/>
    <col min="5" max="5" width="14.90625" bestFit="1" customWidth="1"/>
    <col min="6" max="6" width="8.36328125" customWidth="1"/>
    <col min="7" max="7" width="38.54296875" bestFit="1" customWidth="1"/>
    <col min="8" max="8" width="8.453125" customWidth="1"/>
    <col min="9" max="9" width="22.90625" bestFit="1" customWidth="1"/>
    <col min="10" max="10" width="8.08984375" customWidth="1"/>
    <col min="11" max="11" width="25.6328125" bestFit="1" customWidth="1"/>
    <col min="12" max="12" width="8.453125" customWidth="1"/>
    <col min="13" max="13" width="12.453125" bestFit="1" customWidth="1"/>
  </cols>
  <sheetData>
    <row r="1" spans="1:7" ht="35.25" customHeight="1">
      <c r="A1" s="1520" t="s">
        <v>1377</v>
      </c>
      <c r="B1" s="1521" t="s">
        <v>1369</v>
      </c>
      <c r="C1" s="1521" t="s">
        <v>1376</v>
      </c>
      <c r="D1" s="1522" t="s">
        <v>1523</v>
      </c>
    </row>
    <row r="2" spans="1:7" ht="24.75" customHeight="1">
      <c r="A2" s="1592">
        <v>0</v>
      </c>
      <c r="B2" s="1519">
        <v>43125</v>
      </c>
      <c r="C2" s="1147" t="s">
        <v>2403</v>
      </c>
      <c r="D2" s="1597" t="s">
        <v>1850</v>
      </c>
    </row>
    <row r="3" spans="1:7" ht="24.75" customHeight="1">
      <c r="A3" s="1592"/>
      <c r="B3" s="1519" t="s">
        <v>1849</v>
      </c>
      <c r="C3" s="1146" t="s">
        <v>2404</v>
      </c>
      <c r="D3" s="1597"/>
    </row>
    <row r="4" spans="1:7" ht="24.75" customHeight="1">
      <c r="A4" s="1592">
        <v>1</v>
      </c>
      <c r="B4" s="1531">
        <v>43192</v>
      </c>
      <c r="C4" s="1146" t="s">
        <v>2405</v>
      </c>
      <c r="D4" s="1598" t="s">
        <v>1850</v>
      </c>
      <c r="G4" s="40"/>
    </row>
    <row r="5" spans="1:7" ht="24.75" customHeight="1">
      <c r="A5" s="1592"/>
      <c r="B5" s="1531">
        <v>43235</v>
      </c>
      <c r="C5" s="1147" t="s">
        <v>2406</v>
      </c>
      <c r="D5" s="1598"/>
    </row>
    <row r="6" spans="1:7" ht="24.75" customHeight="1">
      <c r="A6" s="1592"/>
      <c r="B6" s="1590">
        <v>43278</v>
      </c>
      <c r="C6" s="1146" t="s">
        <v>2754</v>
      </c>
      <c r="D6" s="1598"/>
    </row>
    <row r="7" spans="1:7" ht="24.75" customHeight="1">
      <c r="A7" s="1592"/>
      <c r="B7" s="1590"/>
      <c r="C7" s="1146" t="s">
        <v>2609</v>
      </c>
      <c r="D7" s="1598"/>
    </row>
    <row r="8" spans="1:7" ht="24.75" customHeight="1">
      <c r="A8" s="1592"/>
      <c r="B8" s="1590"/>
      <c r="C8" s="1146" t="s">
        <v>2610</v>
      </c>
      <c r="D8" s="1598"/>
    </row>
    <row r="9" spans="1:7" ht="24.75" customHeight="1">
      <c r="A9" s="1592"/>
      <c r="B9" s="1590"/>
      <c r="C9" s="1146" t="s">
        <v>2671</v>
      </c>
      <c r="D9" s="1598"/>
    </row>
    <row r="10" spans="1:7" ht="24.75" customHeight="1">
      <c r="A10" s="1592"/>
      <c r="B10" s="1590"/>
      <c r="C10" s="1146" t="s">
        <v>2611</v>
      </c>
      <c r="D10" s="1598"/>
    </row>
    <row r="11" spans="1:7" ht="24.75" customHeight="1">
      <c r="A11" s="1592"/>
      <c r="B11" s="1590"/>
      <c r="C11" s="1146" t="s">
        <v>2672</v>
      </c>
      <c r="D11" s="1598"/>
    </row>
    <row r="12" spans="1:7" ht="24.75" customHeight="1">
      <c r="A12" s="1592"/>
      <c r="B12" s="1590"/>
      <c r="C12" s="1144" t="s">
        <v>2629</v>
      </c>
      <c r="D12" s="1598"/>
    </row>
    <row r="13" spans="1:7" ht="24.75" customHeight="1">
      <c r="A13" s="1592"/>
      <c r="B13" s="1590">
        <v>43653</v>
      </c>
      <c r="C13" s="1146" t="s">
        <v>2767</v>
      </c>
      <c r="D13" s="1598"/>
    </row>
    <row r="14" spans="1:7" ht="24.75" customHeight="1">
      <c r="A14" s="1592"/>
      <c r="B14" s="1590"/>
      <c r="C14" s="1146" t="s">
        <v>2768</v>
      </c>
      <c r="D14" s="1598"/>
    </row>
    <row r="15" spans="1:7" ht="24.75" customHeight="1">
      <c r="A15" s="1592"/>
      <c r="B15" s="1531">
        <v>43301</v>
      </c>
      <c r="C15" s="1146" t="s">
        <v>2786</v>
      </c>
      <c r="D15" s="1598"/>
    </row>
    <row r="16" spans="1:7" s="149" customFormat="1" ht="24.75" customHeight="1">
      <c r="A16" s="1532">
        <v>2</v>
      </c>
      <c r="B16" s="1531">
        <v>43320</v>
      </c>
      <c r="C16" s="1144" t="s">
        <v>2810</v>
      </c>
      <c r="D16" s="1533" t="s">
        <v>1850</v>
      </c>
    </row>
    <row r="17" spans="1:4" ht="24.75" customHeight="1">
      <c r="A17" s="1532">
        <v>3</v>
      </c>
      <c r="B17" s="1531">
        <v>43321</v>
      </c>
      <c r="C17" s="1144" t="s">
        <v>2841</v>
      </c>
      <c r="D17" s="1533" t="s">
        <v>1850</v>
      </c>
    </row>
    <row r="18" spans="1:4" s="149" customFormat="1" ht="24.75" customHeight="1">
      <c r="A18" s="1592">
        <v>4</v>
      </c>
      <c r="B18" s="1531">
        <v>43380</v>
      </c>
      <c r="C18" s="1144" t="s">
        <v>2847</v>
      </c>
      <c r="D18" s="1533" t="s">
        <v>2842</v>
      </c>
    </row>
    <row r="19" spans="1:4" ht="24.75" customHeight="1">
      <c r="A19" s="1592"/>
      <c r="B19" s="1590">
        <v>43381</v>
      </c>
      <c r="C19" s="1145" t="s">
        <v>2866</v>
      </c>
      <c r="D19" s="1596" t="s">
        <v>1850</v>
      </c>
    </row>
    <row r="20" spans="1:4" ht="24.75" customHeight="1">
      <c r="A20" s="1592"/>
      <c r="B20" s="1590"/>
      <c r="C20" s="1145" t="s">
        <v>2867</v>
      </c>
      <c r="D20" s="1596"/>
    </row>
    <row r="21" spans="1:4" ht="24.75" customHeight="1">
      <c r="A21" s="1592">
        <v>5</v>
      </c>
      <c r="B21" s="1590">
        <v>43402</v>
      </c>
      <c r="C21" s="1145" t="s">
        <v>2969</v>
      </c>
      <c r="D21" s="1596" t="s">
        <v>2842</v>
      </c>
    </row>
    <row r="22" spans="1:4" ht="24.75" customHeight="1">
      <c r="A22" s="1592"/>
      <c r="B22" s="1590"/>
      <c r="C22" s="1145" t="s">
        <v>2876</v>
      </c>
      <c r="D22" s="1596"/>
    </row>
    <row r="23" spans="1:4" ht="24.75" customHeight="1">
      <c r="A23" s="1592"/>
      <c r="B23" s="1590"/>
      <c r="C23" s="1145" t="s">
        <v>2868</v>
      </c>
      <c r="D23" s="1596"/>
    </row>
    <row r="24" spans="1:4" ht="24.75" customHeight="1">
      <c r="A24" s="1592"/>
      <c r="B24" s="1531">
        <v>43422</v>
      </c>
      <c r="C24" s="1145" t="s">
        <v>2878</v>
      </c>
      <c r="D24" s="1533" t="s">
        <v>2842</v>
      </c>
    </row>
    <row r="25" spans="1:4" ht="24.75" customHeight="1">
      <c r="A25" s="1592"/>
      <c r="B25" s="1531">
        <v>43430</v>
      </c>
      <c r="C25" s="1145" t="s">
        <v>2925</v>
      </c>
      <c r="D25" s="1533" t="s">
        <v>1850</v>
      </c>
    </row>
    <row r="26" spans="1:4" ht="24.65" customHeight="1">
      <c r="A26" s="1592"/>
      <c r="B26" s="1531">
        <v>43451</v>
      </c>
      <c r="C26" s="1145" t="s">
        <v>2970</v>
      </c>
      <c r="D26" s="1533" t="s">
        <v>2842</v>
      </c>
    </row>
    <row r="27" spans="1:4" ht="24.65" customHeight="1">
      <c r="A27" s="1592"/>
      <c r="B27" s="1590">
        <v>43480</v>
      </c>
      <c r="C27" s="1144" t="s">
        <v>3286</v>
      </c>
      <c r="D27" s="1533" t="s">
        <v>1850</v>
      </c>
    </row>
    <row r="28" spans="1:4" ht="24.65" customHeight="1">
      <c r="A28" s="1592"/>
      <c r="B28" s="1590"/>
      <c r="C28" s="1144" t="s">
        <v>3291</v>
      </c>
      <c r="D28" s="1533" t="s">
        <v>2842</v>
      </c>
    </row>
    <row r="29" spans="1:4" ht="24.65" customHeight="1">
      <c r="A29" s="1592"/>
      <c r="B29" s="1590"/>
      <c r="C29" s="1144" t="s">
        <v>4160</v>
      </c>
      <c r="D29" s="1533" t="s">
        <v>1850</v>
      </c>
    </row>
    <row r="30" spans="1:4" ht="24.65" customHeight="1">
      <c r="A30" s="1592"/>
      <c r="B30" s="1531">
        <v>43482</v>
      </c>
      <c r="C30" s="1144" t="s">
        <v>3304</v>
      </c>
      <c r="D30" s="1533" t="s">
        <v>2842</v>
      </c>
    </row>
    <row r="31" spans="1:4" ht="24.65" customHeight="1">
      <c r="A31" s="1592"/>
      <c r="B31" s="1531">
        <v>43488</v>
      </c>
      <c r="C31" s="1145" t="s">
        <v>3305</v>
      </c>
      <c r="D31" s="1533" t="s">
        <v>1850</v>
      </c>
    </row>
    <row r="32" spans="1:4" ht="24.65" customHeight="1">
      <c r="A32" s="1592"/>
      <c r="B32" s="1531">
        <v>43494</v>
      </c>
      <c r="C32" s="1145" t="s">
        <v>4162</v>
      </c>
      <c r="D32" s="1533" t="s">
        <v>1850</v>
      </c>
    </row>
    <row r="33" spans="1:4" ht="24.75" customHeight="1">
      <c r="A33" s="1592">
        <v>6</v>
      </c>
      <c r="B33" s="1531">
        <v>43424</v>
      </c>
      <c r="C33" s="1144" t="s">
        <v>2881</v>
      </c>
      <c r="D33" s="1596" t="s">
        <v>1850</v>
      </c>
    </row>
    <row r="34" spans="1:4" ht="24.65" customHeight="1">
      <c r="A34" s="1592"/>
      <c r="B34" s="1590">
        <v>43475</v>
      </c>
      <c r="C34" s="1144" t="s">
        <v>3285</v>
      </c>
      <c r="D34" s="1596"/>
    </row>
    <row r="35" spans="1:4" ht="24.65" customHeight="1">
      <c r="A35" s="1592"/>
      <c r="B35" s="1590"/>
      <c r="C35" s="1144" t="s">
        <v>3288</v>
      </c>
      <c r="D35" s="1596"/>
    </row>
    <row r="36" spans="1:4" ht="24.65" customHeight="1">
      <c r="A36" s="1592"/>
      <c r="B36" s="1531">
        <v>43481</v>
      </c>
      <c r="C36" s="1144" t="s">
        <v>4169</v>
      </c>
      <c r="D36" s="1596"/>
    </row>
    <row r="37" spans="1:4" ht="24.65" customHeight="1">
      <c r="A37" s="1592"/>
      <c r="B37" s="1531">
        <v>43493</v>
      </c>
      <c r="C37" s="1145" t="s">
        <v>3318</v>
      </c>
      <c r="D37" s="1596"/>
    </row>
    <row r="38" spans="1:4" ht="24.65" customHeight="1">
      <c r="A38" s="1592"/>
      <c r="B38" s="1590">
        <v>43495</v>
      </c>
      <c r="C38" s="1144" t="s">
        <v>4171</v>
      </c>
      <c r="D38" s="1596"/>
    </row>
    <row r="39" spans="1:4" ht="24.65" customHeight="1">
      <c r="A39" s="1592"/>
      <c r="B39" s="1590"/>
      <c r="C39" s="1144" t="s">
        <v>3322</v>
      </c>
      <c r="D39" s="1596"/>
    </row>
    <row r="40" spans="1:4" ht="24.65" customHeight="1">
      <c r="A40" s="1592"/>
      <c r="B40" s="1590" t="s">
        <v>3323</v>
      </c>
      <c r="C40" s="1144" t="s">
        <v>3328</v>
      </c>
      <c r="D40" s="1596"/>
    </row>
    <row r="41" spans="1:4" ht="24.65" customHeight="1">
      <c r="A41" s="1592"/>
      <c r="B41" s="1590"/>
      <c r="C41" s="1144" t="s">
        <v>3324</v>
      </c>
      <c r="D41" s="1596"/>
    </row>
    <row r="42" spans="1:4" ht="24.65" customHeight="1">
      <c r="A42" s="1592"/>
      <c r="B42" s="1531">
        <v>43501</v>
      </c>
      <c r="C42" s="1145" t="s">
        <v>3330</v>
      </c>
      <c r="D42" s="1596"/>
    </row>
    <row r="43" spans="1:4" ht="24.65" customHeight="1">
      <c r="A43" s="1592"/>
      <c r="B43" s="1590">
        <v>43509</v>
      </c>
      <c r="C43" s="1144" t="s">
        <v>4161</v>
      </c>
      <c r="D43" s="1596"/>
    </row>
    <row r="44" spans="1:4" ht="24.65" customHeight="1">
      <c r="A44" s="1592"/>
      <c r="B44" s="1590"/>
      <c r="C44" s="401" t="s">
        <v>3332</v>
      </c>
      <c r="D44" s="1596"/>
    </row>
    <row r="45" spans="1:4" ht="24.65" customHeight="1">
      <c r="A45" s="1592"/>
      <c r="B45" s="1590">
        <v>43516</v>
      </c>
      <c r="C45" s="854" t="s">
        <v>3659</v>
      </c>
      <c r="D45" s="1596"/>
    </row>
    <row r="46" spans="1:4" ht="24.65" customHeight="1">
      <c r="A46" s="1592"/>
      <c r="B46" s="1590"/>
      <c r="C46" s="854" t="s">
        <v>4158</v>
      </c>
      <c r="D46" s="1596"/>
    </row>
    <row r="47" spans="1:4" ht="24.65" customHeight="1">
      <c r="A47" s="1592"/>
      <c r="B47" s="1531">
        <v>43524</v>
      </c>
      <c r="C47" s="1144" t="s">
        <v>4163</v>
      </c>
      <c r="D47" s="1596"/>
    </row>
    <row r="48" spans="1:4" ht="24.65" customHeight="1">
      <c r="A48" s="1592"/>
      <c r="B48" s="1531">
        <v>43535</v>
      </c>
      <c r="C48" s="1144" t="s">
        <v>4092</v>
      </c>
      <c r="D48" s="1596"/>
    </row>
    <row r="49" spans="1:4" ht="24.65" customHeight="1">
      <c r="A49" s="1592"/>
      <c r="B49" s="1531">
        <v>43536</v>
      </c>
      <c r="C49" s="1144" t="s">
        <v>4159</v>
      </c>
      <c r="D49" s="1596"/>
    </row>
    <row r="50" spans="1:4" ht="24.65" customHeight="1">
      <c r="A50" s="1592"/>
      <c r="B50" s="1531">
        <v>43537</v>
      </c>
      <c r="C50" s="1144" t="s">
        <v>4173</v>
      </c>
      <c r="D50" s="1596"/>
    </row>
    <row r="51" spans="1:4" ht="24.65" customHeight="1">
      <c r="A51" s="1592"/>
      <c r="B51" s="1590">
        <v>43549</v>
      </c>
      <c r="C51" s="1144" t="s">
        <v>4165</v>
      </c>
      <c r="D51" s="1596"/>
    </row>
    <row r="52" spans="1:4" ht="24.65" customHeight="1">
      <c r="A52" s="1592"/>
      <c r="B52" s="1590"/>
      <c r="C52" s="1144" t="s">
        <v>4172</v>
      </c>
      <c r="D52" s="1596"/>
    </row>
    <row r="53" spans="1:4" ht="24.65" customHeight="1">
      <c r="A53" s="1592"/>
      <c r="B53" s="1590"/>
      <c r="C53" s="1144" t="s">
        <v>4167</v>
      </c>
      <c r="D53" s="1596"/>
    </row>
    <row r="54" spans="1:4" ht="24.65" customHeight="1">
      <c r="A54" s="1592"/>
      <c r="B54" s="1590"/>
      <c r="C54" s="1144" t="s">
        <v>4170</v>
      </c>
      <c r="D54" s="1596"/>
    </row>
    <row r="55" spans="1:4" ht="24.65" customHeight="1">
      <c r="A55" s="1523"/>
      <c r="B55" s="401"/>
      <c r="C55" s="1144" t="s">
        <v>4168</v>
      </c>
      <c r="D55" s="1596"/>
    </row>
    <row r="56" spans="1:4" ht="24.65" customHeight="1">
      <c r="A56" s="1592">
        <v>7</v>
      </c>
      <c r="B56" s="1531">
        <v>43550</v>
      </c>
      <c r="C56" s="1144" t="s">
        <v>4175</v>
      </c>
      <c r="D56" s="1596" t="s">
        <v>1850</v>
      </c>
    </row>
    <row r="57" spans="1:4" ht="24.65" customHeight="1">
      <c r="A57" s="1592"/>
      <c r="B57" s="1590">
        <v>43558</v>
      </c>
      <c r="C57" s="1144" t="s">
        <v>4186</v>
      </c>
      <c r="D57" s="1596"/>
    </row>
    <row r="58" spans="1:4" ht="24.65" customHeight="1">
      <c r="A58" s="1592"/>
      <c r="B58" s="1590"/>
      <c r="C58" s="1144" t="s">
        <v>4187</v>
      </c>
      <c r="D58" s="1596"/>
    </row>
    <row r="59" spans="1:4" ht="24.65" customHeight="1">
      <c r="A59" s="1592"/>
      <c r="B59" s="1531">
        <v>43560</v>
      </c>
      <c r="C59" s="1144" t="s">
        <v>4189</v>
      </c>
      <c r="D59" s="1596"/>
    </row>
    <row r="60" spans="1:4" ht="23.25" customHeight="1">
      <c r="A60" s="1592">
        <v>8</v>
      </c>
      <c r="B60" s="1531">
        <v>43563</v>
      </c>
      <c r="C60" s="1144" t="s">
        <v>4196</v>
      </c>
      <c r="D60" s="1596" t="s">
        <v>1850</v>
      </c>
    </row>
    <row r="61" spans="1:4" ht="23.25" customHeight="1">
      <c r="A61" s="1592"/>
      <c r="B61" s="1531"/>
      <c r="C61" s="1144" t="s">
        <v>4206</v>
      </c>
      <c r="D61" s="1596"/>
    </row>
    <row r="62" spans="1:4" ht="23.25" customHeight="1">
      <c r="A62" s="1592"/>
      <c r="B62" s="1531">
        <v>43584</v>
      </c>
      <c r="C62" s="1144" t="s">
        <v>4208</v>
      </c>
      <c r="D62" s="1596"/>
    </row>
    <row r="63" spans="1:4" ht="24.65" customHeight="1">
      <c r="A63" s="1592"/>
      <c r="B63" s="1531">
        <v>43585</v>
      </c>
      <c r="C63" s="1144" t="s">
        <v>4211</v>
      </c>
      <c r="D63" s="1533" t="s">
        <v>2842</v>
      </c>
    </row>
    <row r="64" spans="1:4" ht="24.65" customHeight="1">
      <c r="A64" s="1592"/>
      <c r="B64" s="1590">
        <v>43616</v>
      </c>
      <c r="C64" s="1144" t="s">
        <v>4245</v>
      </c>
      <c r="D64" s="1596" t="s">
        <v>1850</v>
      </c>
    </row>
    <row r="65" spans="1:4" ht="24.65" customHeight="1">
      <c r="A65" s="1592"/>
      <c r="B65" s="1590"/>
      <c r="C65" s="1144" t="s">
        <v>4216</v>
      </c>
      <c r="D65" s="1596"/>
    </row>
    <row r="66" spans="1:4" ht="24.65" customHeight="1">
      <c r="A66" s="1592"/>
      <c r="B66" s="1590"/>
      <c r="C66" s="1144" t="s">
        <v>4219</v>
      </c>
      <c r="D66" s="1596"/>
    </row>
    <row r="67" spans="1:4" ht="24.65" customHeight="1">
      <c r="A67" s="1592"/>
      <c r="B67" s="1590"/>
      <c r="C67" s="1144" t="s">
        <v>4222</v>
      </c>
      <c r="D67" s="1596"/>
    </row>
    <row r="68" spans="1:4" ht="24.65" customHeight="1">
      <c r="A68" s="1592"/>
      <c r="B68" s="1590"/>
      <c r="C68" s="1144" t="s">
        <v>4228</v>
      </c>
      <c r="D68" s="1596"/>
    </row>
    <row r="69" spans="1:4" ht="24.65" customHeight="1">
      <c r="A69" s="1592"/>
      <c r="B69" s="1590"/>
      <c r="C69" s="1144" t="s">
        <v>4422</v>
      </c>
      <c r="D69" s="1596"/>
    </row>
    <row r="70" spans="1:4" ht="24.65" customHeight="1">
      <c r="A70" s="1592"/>
      <c r="B70" s="1590"/>
      <c r="C70" s="1144" t="s">
        <v>4430</v>
      </c>
      <c r="D70" s="1596"/>
    </row>
    <row r="71" spans="1:4" ht="24.65" customHeight="1">
      <c r="A71" s="1592"/>
      <c r="B71" s="1531">
        <v>43622</v>
      </c>
      <c r="C71" s="1144" t="s">
        <v>4230</v>
      </c>
      <c r="D71" s="1596"/>
    </row>
    <row r="72" spans="1:4" ht="24.65" customHeight="1">
      <c r="A72" s="1592"/>
      <c r="B72" s="1531">
        <v>43626</v>
      </c>
      <c r="C72" s="1144" t="s">
        <v>4243</v>
      </c>
      <c r="D72" s="1596"/>
    </row>
    <row r="73" spans="1:4" ht="24.65" customHeight="1">
      <c r="A73" s="1592"/>
      <c r="B73" s="1531">
        <v>43637</v>
      </c>
      <c r="C73" s="1144" t="s">
        <v>4246</v>
      </c>
      <c r="D73" s="1533" t="s">
        <v>1850</v>
      </c>
    </row>
    <row r="74" spans="1:4" ht="24.65" customHeight="1">
      <c r="A74" s="1592"/>
      <c r="B74" s="1531">
        <v>43637</v>
      </c>
      <c r="C74" s="1144" t="s">
        <v>4431</v>
      </c>
      <c r="D74" s="1596" t="s">
        <v>1850</v>
      </c>
    </row>
    <row r="75" spans="1:4" ht="24.65" customHeight="1">
      <c r="A75" s="1592"/>
      <c r="B75" s="1531">
        <v>43642</v>
      </c>
      <c r="C75" s="1144" t="s">
        <v>4400</v>
      </c>
      <c r="D75" s="1596"/>
    </row>
    <row r="76" spans="1:4" ht="24.65" customHeight="1">
      <c r="A76" s="1592"/>
      <c r="B76" s="1531">
        <v>43647</v>
      </c>
      <c r="C76" s="1144" t="s">
        <v>4421</v>
      </c>
      <c r="D76" s="1533" t="s">
        <v>2842</v>
      </c>
    </row>
    <row r="77" spans="1:4" ht="23.25" customHeight="1">
      <c r="A77" s="1592"/>
      <c r="B77" s="1590">
        <v>43649</v>
      </c>
      <c r="C77" s="1144" t="s">
        <v>4432</v>
      </c>
      <c r="D77" s="1596" t="s">
        <v>1850</v>
      </c>
    </row>
    <row r="78" spans="1:4" ht="23.25" customHeight="1">
      <c r="A78" s="1592"/>
      <c r="B78" s="1590"/>
      <c r="C78" s="1144" t="s">
        <v>4486</v>
      </c>
      <c r="D78" s="1596"/>
    </row>
    <row r="79" spans="1:4" ht="24.65" customHeight="1">
      <c r="A79" s="1583">
        <v>9</v>
      </c>
      <c r="B79" s="1590">
        <v>43650</v>
      </c>
      <c r="C79" s="1144" t="s">
        <v>4495</v>
      </c>
      <c r="D79" s="1591" t="s">
        <v>1850</v>
      </c>
    </row>
    <row r="80" spans="1:4" ht="24.65" customHeight="1">
      <c r="A80" s="1584"/>
      <c r="B80" s="1590"/>
      <c r="C80" s="1144" t="s">
        <v>4654</v>
      </c>
      <c r="D80" s="1591"/>
    </row>
    <row r="81" spans="1:4" ht="24.65" customHeight="1">
      <c r="A81" s="1584"/>
      <c r="B81" s="1531">
        <v>43655</v>
      </c>
      <c r="C81" s="1144" t="s">
        <v>4487</v>
      </c>
      <c r="D81" s="1529" t="s">
        <v>1850</v>
      </c>
    </row>
    <row r="82" spans="1:4" ht="24.65" customHeight="1">
      <c r="A82" s="1584"/>
      <c r="B82" s="1531">
        <v>43658</v>
      </c>
      <c r="C82" s="1144" t="s">
        <v>4496</v>
      </c>
      <c r="D82" s="1529" t="s">
        <v>1850</v>
      </c>
    </row>
    <row r="83" spans="1:4" ht="24.65" customHeight="1">
      <c r="A83" s="1584"/>
      <c r="B83" s="1531">
        <v>43670</v>
      </c>
      <c r="C83" s="1144" t="s">
        <v>4485</v>
      </c>
      <c r="D83" s="1533" t="s">
        <v>2842</v>
      </c>
    </row>
    <row r="84" spans="1:4" ht="24.65" customHeight="1">
      <c r="A84" s="1584"/>
      <c r="B84" s="1531">
        <v>43670</v>
      </c>
      <c r="C84" s="1144" t="s">
        <v>4653</v>
      </c>
      <c r="D84" s="1533" t="s">
        <v>2842</v>
      </c>
    </row>
    <row r="85" spans="1:4" ht="24.65" customHeight="1">
      <c r="A85" s="1584"/>
      <c r="B85" s="1590">
        <v>43671</v>
      </c>
      <c r="C85" s="1144" t="s">
        <v>4500</v>
      </c>
      <c r="D85" s="1591" t="s">
        <v>1850</v>
      </c>
    </row>
    <row r="86" spans="1:4" ht="24.65" customHeight="1">
      <c r="A86" s="1584"/>
      <c r="B86" s="1590"/>
      <c r="C86" s="1144" t="s">
        <v>4651</v>
      </c>
      <c r="D86" s="1591"/>
    </row>
    <row r="87" spans="1:4" ht="24.65" customHeight="1">
      <c r="A87" s="1584"/>
      <c r="B87" s="1239" t="s">
        <v>4493</v>
      </c>
      <c r="C87" s="1144" t="s">
        <v>4652</v>
      </c>
      <c r="D87" s="1529" t="s">
        <v>1850</v>
      </c>
    </row>
    <row r="88" spans="1:4" ht="24.65" customHeight="1">
      <c r="A88" s="1584"/>
      <c r="B88" s="1531">
        <v>43681</v>
      </c>
      <c r="C88" s="1144" t="s">
        <v>4499</v>
      </c>
      <c r="D88" s="1533" t="s">
        <v>2842</v>
      </c>
    </row>
    <row r="89" spans="1:4" ht="24.65" customHeight="1">
      <c r="A89" s="1584"/>
      <c r="B89" s="1531">
        <v>43682</v>
      </c>
      <c r="C89" s="1144" t="s">
        <v>4501</v>
      </c>
      <c r="D89" s="1529" t="s">
        <v>1850</v>
      </c>
    </row>
    <row r="90" spans="1:4" ht="24.65" customHeight="1">
      <c r="A90" s="1584"/>
      <c r="B90" s="1531">
        <v>43682</v>
      </c>
      <c r="C90" s="1144" t="s">
        <v>4502</v>
      </c>
      <c r="D90" s="1533" t="s">
        <v>2842</v>
      </c>
    </row>
    <row r="91" spans="1:4" ht="24.65" customHeight="1">
      <c r="A91" s="1584"/>
      <c r="B91" s="1531">
        <v>43704</v>
      </c>
      <c r="C91" s="1144" t="s">
        <v>4655</v>
      </c>
      <c r="D91" s="1533" t="s">
        <v>2842</v>
      </c>
    </row>
    <row r="92" spans="1:4" ht="24.65" customHeight="1">
      <c r="A92" s="1585"/>
      <c r="B92" s="1531">
        <v>43705</v>
      </c>
      <c r="C92" s="1144" t="s">
        <v>4650</v>
      </c>
      <c r="D92" s="1533" t="s">
        <v>1850</v>
      </c>
    </row>
    <row r="93" spans="1:4" ht="24.65" customHeight="1">
      <c r="A93" s="1592">
        <v>10</v>
      </c>
      <c r="B93" s="1530">
        <v>43740</v>
      </c>
      <c r="C93" s="1144" t="s">
        <v>4683</v>
      </c>
      <c r="D93" s="1533" t="s">
        <v>2842</v>
      </c>
    </row>
    <row r="94" spans="1:4" ht="28.5" customHeight="1">
      <c r="A94" s="1592"/>
      <c r="B94" s="1593">
        <v>43747</v>
      </c>
      <c r="C94" s="1146" t="s">
        <v>4687</v>
      </c>
      <c r="D94" s="1578" t="s">
        <v>1850</v>
      </c>
    </row>
    <row r="95" spans="1:4" ht="24.65" customHeight="1">
      <c r="A95" s="1592"/>
      <c r="B95" s="1594"/>
      <c r="C95" s="1144" t="s">
        <v>4662</v>
      </c>
      <c r="D95" s="1580"/>
    </row>
    <row r="96" spans="1:4" ht="24.65" customHeight="1">
      <c r="A96" s="1592"/>
      <c r="B96" s="1414">
        <v>43767</v>
      </c>
      <c r="C96" s="1144" t="s">
        <v>4684</v>
      </c>
      <c r="D96" s="1533" t="s">
        <v>2842</v>
      </c>
    </row>
    <row r="97" spans="1:4" ht="24.65" customHeight="1">
      <c r="A97" s="1592"/>
      <c r="B97" s="1530">
        <v>43774</v>
      </c>
      <c r="C97" s="1144" t="s">
        <v>4875</v>
      </c>
      <c r="D97" s="1533" t="s">
        <v>2842</v>
      </c>
    </row>
    <row r="98" spans="1:4" ht="24.65" customHeight="1">
      <c r="A98" s="1592"/>
      <c r="B98" s="1530">
        <v>43782</v>
      </c>
      <c r="C98" s="1144" t="s">
        <v>4878</v>
      </c>
      <c r="D98" s="1533" t="s">
        <v>2842</v>
      </c>
    </row>
    <row r="99" spans="1:4" ht="24.65" customHeight="1">
      <c r="A99" s="1592"/>
      <c r="B99" s="1595">
        <v>43780</v>
      </c>
      <c r="C99" s="1144" t="s">
        <v>4903</v>
      </c>
      <c r="D99" s="1591" t="s">
        <v>1850</v>
      </c>
    </row>
    <row r="100" spans="1:4" ht="24.65" customHeight="1">
      <c r="A100" s="1592"/>
      <c r="B100" s="1595"/>
      <c r="C100" s="1144" t="s">
        <v>4910</v>
      </c>
      <c r="D100" s="1591"/>
    </row>
    <row r="101" spans="1:4" ht="24.65" customHeight="1">
      <c r="A101" s="1592"/>
      <c r="B101" s="1595"/>
      <c r="C101" s="1144" t="s">
        <v>4889</v>
      </c>
      <c r="D101" s="1591"/>
    </row>
    <row r="102" spans="1:4" ht="24.65" customHeight="1">
      <c r="A102" s="1592"/>
      <c r="B102" s="1595"/>
      <c r="C102" s="1144" t="s">
        <v>4891</v>
      </c>
      <c r="D102" s="1591"/>
    </row>
    <row r="103" spans="1:4" ht="24.65" customHeight="1">
      <c r="A103" s="1592"/>
      <c r="B103" s="1595"/>
      <c r="C103" s="1144" t="s">
        <v>4902</v>
      </c>
      <c r="D103" s="1591"/>
    </row>
    <row r="104" spans="1:4" ht="24.65" customHeight="1">
      <c r="A104" s="1592"/>
      <c r="B104" s="1595"/>
      <c r="C104" s="1144" t="s">
        <v>4964</v>
      </c>
      <c r="D104" s="1591"/>
    </row>
    <row r="105" spans="1:4" ht="24.65" customHeight="1">
      <c r="A105" s="1592"/>
      <c r="B105" s="1530">
        <v>43797</v>
      </c>
      <c r="C105" s="1144" t="s">
        <v>4912</v>
      </c>
      <c r="D105" s="1533" t="s">
        <v>2842</v>
      </c>
    </row>
    <row r="106" spans="1:4" ht="24.65" customHeight="1">
      <c r="A106" s="1592"/>
      <c r="B106" s="1530">
        <v>43800</v>
      </c>
      <c r="C106" s="1144" t="s">
        <v>4911</v>
      </c>
      <c r="D106" s="1533" t="s">
        <v>2842</v>
      </c>
    </row>
    <row r="107" spans="1:4" ht="24.65" customHeight="1">
      <c r="A107" s="1583">
        <v>11</v>
      </c>
      <c r="B107" s="1531">
        <v>43815</v>
      </c>
      <c r="C107" s="1144" t="s">
        <v>4960</v>
      </c>
      <c r="D107" s="1533" t="s">
        <v>2842</v>
      </c>
    </row>
    <row r="108" spans="1:4" ht="28.5" customHeight="1">
      <c r="A108" s="1584"/>
      <c r="B108" s="1531">
        <v>43829</v>
      </c>
      <c r="C108" s="1144" t="s">
        <v>4963</v>
      </c>
      <c r="D108" s="1533" t="s">
        <v>2842</v>
      </c>
    </row>
    <row r="109" spans="1:4" ht="24.65" customHeight="1">
      <c r="A109" s="1584"/>
      <c r="B109" s="1531">
        <v>43836</v>
      </c>
      <c r="C109" s="1144" t="s">
        <v>4972</v>
      </c>
      <c r="D109" s="1533" t="s">
        <v>2842</v>
      </c>
    </row>
    <row r="110" spans="1:4" ht="24.65" customHeight="1">
      <c r="A110" s="1584"/>
      <c r="B110" s="1531">
        <v>43842</v>
      </c>
      <c r="C110" s="1144" t="s">
        <v>4973</v>
      </c>
      <c r="D110" s="1533" t="s">
        <v>2842</v>
      </c>
    </row>
    <row r="111" spans="1:4" ht="24.65" customHeight="1">
      <c r="A111" s="1584"/>
      <c r="B111" s="1531">
        <v>43849</v>
      </c>
      <c r="C111" s="1144" t="s">
        <v>4974</v>
      </c>
      <c r="D111" s="1533" t="s">
        <v>2842</v>
      </c>
    </row>
    <row r="112" spans="1:4" ht="24.65" customHeight="1">
      <c r="A112" s="1584"/>
      <c r="B112" s="1576">
        <v>43866</v>
      </c>
      <c r="C112" s="1144" t="s">
        <v>4977</v>
      </c>
      <c r="D112" s="1578" t="s">
        <v>1850</v>
      </c>
    </row>
    <row r="113" spans="1:4" ht="24.65" customHeight="1">
      <c r="A113" s="1584"/>
      <c r="B113" s="1577"/>
      <c r="C113" s="1144" t="s">
        <v>4978</v>
      </c>
      <c r="D113" s="1579"/>
    </row>
    <row r="114" spans="1:4" ht="24.65" customHeight="1">
      <c r="A114" s="1584"/>
      <c r="B114" s="1581" t="s">
        <v>5015</v>
      </c>
      <c r="C114" s="1144" t="s">
        <v>5016</v>
      </c>
      <c r="D114" s="1579"/>
    </row>
    <row r="115" spans="1:4" ht="24.65" customHeight="1">
      <c r="A115" s="1584"/>
      <c r="B115" s="1582"/>
      <c r="C115" s="1144" t="s">
        <v>5017</v>
      </c>
      <c r="D115" s="1580"/>
    </row>
    <row r="116" spans="1:4" ht="24.65" customHeight="1">
      <c r="A116" s="1585"/>
      <c r="B116" s="1531">
        <v>43962</v>
      </c>
      <c r="C116" s="1144" t="s">
        <v>5018</v>
      </c>
      <c r="D116" s="1529" t="s">
        <v>1850</v>
      </c>
    </row>
    <row r="117" spans="1:4" ht="24.65" customHeight="1">
      <c r="A117" s="1583">
        <v>12</v>
      </c>
      <c r="B117" s="1531">
        <v>43986</v>
      </c>
      <c r="C117" s="1144" t="s">
        <v>5019</v>
      </c>
      <c r="D117" s="1586" t="s">
        <v>1850</v>
      </c>
    </row>
    <row r="118" spans="1:4" ht="24.65" customHeight="1">
      <c r="A118" s="1584"/>
      <c r="B118" s="1576">
        <v>43990</v>
      </c>
      <c r="C118" s="1144" t="s">
        <v>5021</v>
      </c>
      <c r="D118" s="1587"/>
    </row>
    <row r="119" spans="1:4" ht="24.65" customHeight="1">
      <c r="A119" s="1584"/>
      <c r="B119" s="1589"/>
      <c r="C119" s="1144" t="s">
        <v>5022</v>
      </c>
      <c r="D119" s="1587"/>
    </row>
    <row r="120" spans="1:4" ht="24.65" customHeight="1">
      <c r="A120" s="1585"/>
      <c r="B120" s="1577"/>
      <c r="C120" s="1144" t="s">
        <v>5023</v>
      </c>
      <c r="D120" s="1588"/>
    </row>
    <row r="121" spans="1:4" ht="24.65" customHeight="1">
      <c r="A121" s="1532">
        <v>13</v>
      </c>
      <c r="B121" s="1531">
        <v>44069</v>
      </c>
      <c r="C121" s="1144" t="s">
        <v>5025</v>
      </c>
      <c r="D121" s="1533" t="s">
        <v>1850</v>
      </c>
    </row>
    <row r="122" spans="1:4" ht="24.65" customHeight="1">
      <c r="A122" s="1583">
        <v>14</v>
      </c>
      <c r="B122" s="1531">
        <v>44138</v>
      </c>
      <c r="C122" s="1144" t="s">
        <v>5028</v>
      </c>
      <c r="D122" s="1578" t="s">
        <v>1850</v>
      </c>
    </row>
    <row r="123" spans="1:4" ht="24.65" customHeight="1">
      <c r="A123" s="1584"/>
      <c r="B123" s="1531">
        <v>44271</v>
      </c>
      <c r="C123" s="1144" t="s">
        <v>5037</v>
      </c>
      <c r="D123" s="1579"/>
    </row>
    <row r="124" spans="1:4" ht="24.65" customHeight="1">
      <c r="A124" s="1584"/>
      <c r="B124" s="1531">
        <v>44326</v>
      </c>
      <c r="C124" s="1144" t="s">
        <v>5038</v>
      </c>
      <c r="D124" s="1579"/>
    </row>
    <row r="125" spans="1:4" ht="24.65" customHeight="1">
      <c r="A125" s="1584"/>
      <c r="B125" s="1531">
        <v>44407</v>
      </c>
      <c r="C125" s="1144" t="s">
        <v>5042</v>
      </c>
      <c r="D125" s="1579"/>
    </row>
    <row r="126" spans="1:4" ht="24.65" customHeight="1">
      <c r="A126" s="1585"/>
      <c r="B126" s="1531">
        <v>44432</v>
      </c>
      <c r="C126" s="1144" t="s">
        <v>5043</v>
      </c>
      <c r="D126" s="1580"/>
    </row>
    <row r="127" spans="1:4" ht="24.65" customHeight="1">
      <c r="A127" s="1532">
        <v>15</v>
      </c>
      <c r="B127" s="1531">
        <v>44980</v>
      </c>
      <c r="C127" s="1144" t="s">
        <v>5045</v>
      </c>
      <c r="D127" s="1533" t="s">
        <v>1850</v>
      </c>
    </row>
    <row r="128" spans="1:4" ht="24.65" customHeight="1" thickBot="1">
      <c r="A128" s="1543">
        <v>16</v>
      </c>
      <c r="B128" s="1524">
        <v>45343</v>
      </c>
      <c r="C128" s="1525" t="s">
        <v>5065</v>
      </c>
      <c r="D128" s="1544" t="s">
        <v>1850</v>
      </c>
    </row>
    <row r="129" spans="1:4" ht="24.65" customHeight="1">
      <c r="A129" s="149"/>
      <c r="B129" s="1541"/>
      <c r="C129" s="1542"/>
      <c r="D129" s="149"/>
    </row>
    <row r="130" spans="1:4" ht="24.65" customHeight="1">
      <c r="A130" s="149"/>
      <c r="B130" s="1541"/>
      <c r="C130" s="1542"/>
      <c r="D130" s="149"/>
    </row>
    <row r="131" spans="1:4" ht="24.65" customHeight="1">
      <c r="A131" s="149"/>
      <c r="B131" s="1541"/>
      <c r="C131" s="1542"/>
      <c r="D131" s="149"/>
    </row>
    <row r="132" spans="1:4" ht="24.65" customHeight="1"/>
    <row r="133" spans="1:4" ht="24.65" customHeight="1"/>
    <row r="134" spans="1:4" ht="24.65" customHeight="1"/>
    <row r="135" spans="1:4" ht="24.65" customHeight="1"/>
    <row r="136" spans="1:4" ht="24.65" customHeight="1"/>
    <row r="137" spans="1:4" ht="24.65" customHeight="1"/>
    <row r="138" spans="1:4" ht="24.65" customHeight="1"/>
    <row r="139" spans="1:4" ht="24.65" customHeight="1"/>
    <row r="140" spans="1:4" ht="24.65" customHeight="1"/>
    <row r="141" spans="1:4" ht="24.65" customHeight="1"/>
    <row r="142" spans="1:4" ht="24.65" customHeight="1"/>
    <row r="143" spans="1:4" ht="24.65" customHeight="1"/>
    <row r="441" spans="2:2">
      <c r="B441" t="s">
        <v>1450</v>
      </c>
    </row>
  </sheetData>
  <mergeCells count="50">
    <mergeCell ref="B40:B41"/>
    <mergeCell ref="B34:B35"/>
    <mergeCell ref="B38:B39"/>
    <mergeCell ref="B51:B54"/>
    <mergeCell ref="B43:B44"/>
    <mergeCell ref="D2:D3"/>
    <mergeCell ref="D4:D15"/>
    <mergeCell ref="D33:D55"/>
    <mergeCell ref="A2:A3"/>
    <mergeCell ref="B6:B12"/>
    <mergeCell ref="A4:A15"/>
    <mergeCell ref="B13:B14"/>
    <mergeCell ref="D19:D20"/>
    <mergeCell ref="A21:A32"/>
    <mergeCell ref="B21:B23"/>
    <mergeCell ref="D21:D23"/>
    <mergeCell ref="B27:B29"/>
    <mergeCell ref="A18:A20"/>
    <mergeCell ref="B19:B20"/>
    <mergeCell ref="A33:A54"/>
    <mergeCell ref="B45:B46"/>
    <mergeCell ref="D56:D59"/>
    <mergeCell ref="D60:D62"/>
    <mergeCell ref="D64:D72"/>
    <mergeCell ref="D74:D75"/>
    <mergeCell ref="A56:A59"/>
    <mergeCell ref="B64:B70"/>
    <mergeCell ref="B57:B58"/>
    <mergeCell ref="A60:A78"/>
    <mergeCell ref="B77:B78"/>
    <mergeCell ref="D77:D78"/>
    <mergeCell ref="A79:A92"/>
    <mergeCell ref="B85:B86"/>
    <mergeCell ref="D85:D86"/>
    <mergeCell ref="B79:B80"/>
    <mergeCell ref="D94:D95"/>
    <mergeCell ref="D79:D80"/>
    <mergeCell ref="A93:A106"/>
    <mergeCell ref="B94:B95"/>
    <mergeCell ref="D99:D104"/>
    <mergeCell ref="B99:B104"/>
    <mergeCell ref="B112:B113"/>
    <mergeCell ref="D112:D115"/>
    <mergeCell ref="B114:B115"/>
    <mergeCell ref="A107:A116"/>
    <mergeCell ref="A122:A126"/>
    <mergeCell ref="D122:D126"/>
    <mergeCell ref="D117:D120"/>
    <mergeCell ref="A117:A120"/>
    <mergeCell ref="B118:B120"/>
  </mergeCells>
  <printOptions horizontalCentered="1"/>
  <pageMargins left="0.39370078740157483" right="0.39370078740157483" top="0.74803149606299213" bottom="0.74803149606299213" header="0.31496062992125984" footer="0.31496062992125984"/>
  <pageSetup paperSize="9" scale="56" fitToWidth="0" fitToHeight="0" orientation="portrait" r:id="rId1"/>
  <headerFooter alignWithMargins="0">
    <oddHeader>&amp;L&amp;G&amp;CLAYOUT EP06 
CONTROL SHEET&amp;R&amp;G</oddHeader>
    <oddFooter>&amp;L&amp;F&amp;C&amp;D&amp;RPage &amp;P of &amp;N</odd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9">
    <tabColor theme="9"/>
    <pageSetUpPr fitToPage="1"/>
  </sheetPr>
  <dimension ref="A1:BG2165"/>
  <sheetViews>
    <sheetView view="pageBreakPreview" zoomScale="70" zoomScaleNormal="85" zoomScaleSheetLayoutView="70" workbookViewId="0">
      <pane xSplit="2" ySplit="3" topLeftCell="C85" activePane="bottomRight" state="frozen"/>
      <selection activeCell="G124" sqref="G124"/>
      <selection pane="topRight" activeCell="G124" sqref="G124"/>
      <selection pane="bottomLeft" activeCell="G124" sqref="G124"/>
      <selection pane="bottomRight" activeCell="G124" sqref="G124"/>
    </sheetView>
  </sheetViews>
  <sheetFormatPr baseColWidth="10" defaultColWidth="11.453125" defaultRowHeight="15.75" customHeight="1"/>
  <cols>
    <col min="1" max="1" width="20.6328125" style="178" customWidth="1"/>
    <col min="2" max="2" width="12.6328125" style="178" customWidth="1"/>
    <col min="3" max="3" width="12.6328125" style="184" customWidth="1"/>
    <col min="4" max="5" width="12.6328125" style="178" hidden="1" customWidth="1"/>
    <col min="6" max="6" width="12.6328125" style="178" customWidth="1"/>
    <col min="7" max="7" width="12.6328125" style="454" customWidth="1"/>
    <col min="8" max="8" width="18.6328125" style="178" customWidth="1"/>
    <col min="9" max="9" width="12.6328125" style="178" customWidth="1"/>
    <col min="10" max="10" width="12.6328125" style="184" customWidth="1"/>
    <col min="11" max="11" width="12.6328125" style="178" customWidth="1"/>
    <col min="12" max="13" width="14.6328125" style="178" customWidth="1"/>
    <col min="14" max="16" width="8.6328125" style="178" hidden="1" customWidth="1"/>
    <col min="17" max="19" width="12.6328125" style="178" hidden="1" customWidth="1"/>
    <col min="20" max="28" width="8.6328125" style="178" hidden="1" customWidth="1"/>
    <col min="29" max="31" width="10.6328125" style="178" hidden="1" customWidth="1"/>
    <col min="32" max="32" width="13.54296875" style="178" hidden="1" customWidth="1"/>
    <col min="33" max="33" width="12.6328125" style="184" hidden="1" customWidth="1"/>
    <col min="34" max="36" width="12.6328125" style="178" hidden="1" customWidth="1"/>
    <col min="37" max="37" width="12.6328125" style="178" customWidth="1"/>
    <col min="38" max="39" width="12.6328125" style="178" hidden="1" customWidth="1"/>
    <col min="40" max="42" width="8.6328125" style="169" hidden="1" customWidth="1"/>
    <col min="43" max="46" width="8.6328125" style="458" hidden="1" customWidth="1"/>
    <col min="47" max="48" width="8.6328125" style="169" hidden="1" customWidth="1"/>
    <col min="49" max="50" width="12.6328125" style="169" customWidth="1"/>
    <col min="51" max="52" width="12.6328125" style="458" customWidth="1"/>
    <col min="53" max="53" width="12.6328125" style="169" customWidth="1"/>
    <col min="54" max="54" width="21.6328125" style="178" customWidth="1"/>
    <col min="55" max="55" width="18" style="178" customWidth="1"/>
    <col min="56" max="59" width="14.54296875" style="1323" customWidth="1"/>
    <col min="60" max="60" width="11.453125" style="178" customWidth="1"/>
    <col min="61" max="16384" width="11.453125" style="178"/>
  </cols>
  <sheetData>
    <row r="1" spans="1:59" ht="35.25" customHeight="1">
      <c r="A1" s="1602" t="s">
        <v>2416</v>
      </c>
      <c r="B1" s="1602"/>
      <c r="C1" s="1602"/>
      <c r="D1" s="1602"/>
      <c r="E1" s="1602"/>
      <c r="F1" s="1602"/>
      <c r="G1" s="1602"/>
      <c r="H1" s="1602"/>
      <c r="I1" s="1602"/>
      <c r="J1" s="1602"/>
      <c r="K1" s="1602"/>
      <c r="L1" s="1602"/>
      <c r="M1" s="1602"/>
      <c r="N1" s="1602"/>
      <c r="O1" s="1602"/>
      <c r="P1" s="1602"/>
      <c r="Q1" s="1602"/>
      <c r="R1" s="1602"/>
      <c r="S1" s="1602"/>
      <c r="T1" s="1602"/>
      <c r="U1" s="1602"/>
      <c r="V1" s="1602"/>
      <c r="W1" s="1602"/>
      <c r="X1" s="1602"/>
      <c r="Y1" s="1602"/>
      <c r="Z1" s="1602"/>
      <c r="AA1" s="1602"/>
      <c r="AB1" s="1602"/>
      <c r="AC1" s="1602"/>
      <c r="AD1" s="1602"/>
      <c r="AE1" s="1602"/>
      <c r="AF1" s="1602"/>
      <c r="AG1" s="1602"/>
      <c r="AH1" s="1602"/>
      <c r="AI1" s="1602"/>
      <c r="AJ1" s="1602"/>
      <c r="AK1" s="1602"/>
      <c r="AL1" s="1602"/>
      <c r="AM1" s="1602"/>
      <c r="AN1" s="1602"/>
      <c r="AO1" s="1602"/>
      <c r="AP1" s="1602"/>
      <c r="AQ1" s="1602"/>
      <c r="AR1" s="1602"/>
      <c r="AS1" s="1602"/>
      <c r="AT1" s="1602"/>
      <c r="AU1" s="1602"/>
      <c r="AV1" s="1602"/>
      <c r="AW1" s="1602"/>
      <c r="AX1" s="1602"/>
      <c r="AY1" s="1602"/>
      <c r="AZ1" s="1602"/>
      <c r="BA1" s="1602"/>
      <c r="BB1" s="1602"/>
      <c r="BC1" s="693" t="s">
        <v>4947</v>
      </c>
      <c r="BD1" s="1599" t="s">
        <v>4916</v>
      </c>
      <c r="BE1" s="1599"/>
      <c r="BF1" s="1599"/>
      <c r="BG1" s="1599"/>
    </row>
    <row r="2" spans="1:59" s="699" customFormat="1" ht="42" customHeight="1">
      <c r="A2" s="1253" t="s">
        <v>4417</v>
      </c>
      <c r="B2" s="1253" t="s">
        <v>4418</v>
      </c>
      <c r="C2" s="882" t="s">
        <v>2315</v>
      </c>
      <c r="D2" s="1253" t="s">
        <v>4419</v>
      </c>
      <c r="E2" s="1253" t="s">
        <v>4855</v>
      </c>
      <c r="F2" s="1253" t="s">
        <v>4856</v>
      </c>
      <c r="G2" s="1253" t="s">
        <v>4857</v>
      </c>
      <c r="H2" s="1253" t="s">
        <v>455</v>
      </c>
      <c r="I2" s="1253" t="s">
        <v>454</v>
      </c>
      <c r="J2" s="1253" t="s">
        <v>4423</v>
      </c>
      <c r="K2" s="1253" t="s">
        <v>1362</v>
      </c>
      <c r="L2" s="1253" t="s">
        <v>456</v>
      </c>
      <c r="M2" s="1253" t="s">
        <v>453</v>
      </c>
      <c r="N2" s="1600" t="s">
        <v>457</v>
      </c>
      <c r="O2" s="1600"/>
      <c r="P2" s="1600"/>
      <c r="Q2" s="1253" t="s">
        <v>4858</v>
      </c>
      <c r="R2" s="1253" t="s">
        <v>4859</v>
      </c>
      <c r="S2" s="1253" t="s">
        <v>4860</v>
      </c>
      <c r="T2" s="1600" t="s">
        <v>4861</v>
      </c>
      <c r="U2" s="1600"/>
      <c r="V2" s="1600"/>
      <c r="W2" s="1600" t="s">
        <v>4862</v>
      </c>
      <c r="X2" s="1600"/>
      <c r="Y2" s="1600"/>
      <c r="Z2" s="1600" t="s">
        <v>4863</v>
      </c>
      <c r="AA2" s="1600"/>
      <c r="AB2" s="1600"/>
      <c r="AC2" s="1600" t="s">
        <v>628</v>
      </c>
      <c r="AD2" s="1600"/>
      <c r="AE2" s="1600"/>
      <c r="AF2" s="1253" t="s">
        <v>4872</v>
      </c>
      <c r="AG2" s="882" t="s">
        <v>4864</v>
      </c>
      <c r="AH2" s="1253" t="s">
        <v>4865</v>
      </c>
      <c r="AI2" s="1253" t="s">
        <v>4866</v>
      </c>
      <c r="AJ2" s="1253" t="s">
        <v>629</v>
      </c>
      <c r="AK2" s="1253" t="s">
        <v>458</v>
      </c>
      <c r="AL2" s="1253" t="s">
        <v>459</v>
      </c>
      <c r="AM2" s="1253" t="s">
        <v>631</v>
      </c>
      <c r="AN2" s="1600" t="s">
        <v>4867</v>
      </c>
      <c r="AO2" s="1600"/>
      <c r="AP2" s="1600"/>
      <c r="AQ2" s="1601" t="s">
        <v>460</v>
      </c>
      <c r="AR2" s="1601"/>
      <c r="AS2" s="1601"/>
      <c r="AT2" s="1600" t="s">
        <v>630</v>
      </c>
      <c r="AU2" s="1600"/>
      <c r="AV2" s="1600"/>
      <c r="AW2" s="1253" t="s">
        <v>4868</v>
      </c>
      <c r="AX2" s="1253" t="s">
        <v>4904</v>
      </c>
      <c r="AY2" s="1254" t="s">
        <v>4869</v>
      </c>
      <c r="AZ2" s="1254" t="s">
        <v>4870</v>
      </c>
      <c r="BA2" s="1253" t="s">
        <v>1670</v>
      </c>
      <c r="BB2" s="1253" t="s">
        <v>4871</v>
      </c>
      <c r="BC2" s="693" t="s">
        <v>4948</v>
      </c>
      <c r="BD2" s="1320" t="s">
        <v>453</v>
      </c>
      <c r="BE2" s="1320" t="s">
        <v>4922</v>
      </c>
      <c r="BF2" s="1320" t="s">
        <v>4915</v>
      </c>
      <c r="BG2" s="1320" t="s">
        <v>457</v>
      </c>
    </row>
    <row r="3" spans="1:59" ht="15.75" customHeight="1">
      <c r="A3" s="1239"/>
      <c r="B3" s="1239"/>
      <c r="C3" s="171"/>
      <c r="D3" s="1239"/>
      <c r="E3" s="1239"/>
      <c r="F3" s="172"/>
      <c r="G3" s="1239"/>
      <c r="H3" s="1239"/>
      <c r="I3" s="1239"/>
      <c r="J3" s="171"/>
      <c r="K3" s="1239"/>
      <c r="L3" s="1239"/>
      <c r="M3" s="1239"/>
      <c r="N3" s="878" t="s">
        <v>123</v>
      </c>
      <c r="O3" s="878" t="s">
        <v>124</v>
      </c>
      <c r="P3" s="878" t="s">
        <v>125</v>
      </c>
      <c r="Q3" s="1239"/>
      <c r="R3" s="1239"/>
      <c r="S3" s="1239"/>
      <c r="T3" s="879" t="s">
        <v>126</v>
      </c>
      <c r="U3" s="879" t="s">
        <v>127</v>
      </c>
      <c r="V3" s="879" t="s">
        <v>128</v>
      </c>
      <c r="W3" s="879" t="s">
        <v>129</v>
      </c>
      <c r="X3" s="879" t="s">
        <v>130</v>
      </c>
      <c r="Y3" s="879" t="s">
        <v>131</v>
      </c>
      <c r="Z3" s="879" t="s">
        <v>132</v>
      </c>
      <c r="AA3" s="879" t="s">
        <v>133</v>
      </c>
      <c r="AB3" s="879" t="s">
        <v>134</v>
      </c>
      <c r="AC3" s="879" t="s">
        <v>135</v>
      </c>
      <c r="AD3" s="879" t="s">
        <v>136</v>
      </c>
      <c r="AE3" s="879" t="s">
        <v>137</v>
      </c>
      <c r="AF3" s="1239"/>
      <c r="AG3" s="171"/>
      <c r="AH3" s="1239"/>
      <c r="AI3" s="1239"/>
      <c r="AJ3" s="1239"/>
      <c r="AK3" s="1239"/>
      <c r="AL3" s="1239"/>
      <c r="AM3" s="1239"/>
      <c r="AN3" s="879" t="s">
        <v>129</v>
      </c>
      <c r="AO3" s="879" t="s">
        <v>130</v>
      </c>
      <c r="AP3" s="879" t="s">
        <v>131</v>
      </c>
      <c r="AQ3" s="880" t="s">
        <v>613</v>
      </c>
      <c r="AR3" s="880" t="s">
        <v>614</v>
      </c>
      <c r="AS3" s="880" t="s">
        <v>615</v>
      </c>
      <c r="AT3" s="880" t="s">
        <v>616</v>
      </c>
      <c r="AU3" s="879" t="s">
        <v>617</v>
      </c>
      <c r="AV3" s="879" t="s">
        <v>618</v>
      </c>
      <c r="AW3" s="1239"/>
      <c r="AX3" s="1239"/>
      <c r="AY3" s="455"/>
      <c r="AZ3" s="455"/>
      <c r="BA3" s="1239"/>
      <c r="BB3" s="1239"/>
      <c r="BD3" s="1239"/>
      <c r="BE3" s="1239"/>
      <c r="BF3" s="1239"/>
      <c r="BG3" s="1239"/>
    </row>
    <row r="4" spans="1:59" ht="15.75" customHeight="1">
      <c r="A4" s="658" t="s">
        <v>3518</v>
      </c>
      <c r="B4" s="706"/>
      <c r="C4" s="660"/>
      <c r="D4" s="664"/>
      <c r="E4" s="664"/>
      <c r="F4" s="658"/>
      <c r="G4" s="665"/>
      <c r="H4" s="658"/>
      <c r="I4" s="661"/>
      <c r="J4" s="660">
        <f>C5-7.5</f>
        <v>79572.53</v>
      </c>
      <c r="K4" s="663" t="s">
        <v>2787</v>
      </c>
      <c r="L4" s="663"/>
      <c r="M4" s="663"/>
      <c r="N4" s="658"/>
      <c r="O4" s="658"/>
      <c r="P4" s="663"/>
      <c r="Q4" s="663"/>
      <c r="R4" s="663"/>
      <c r="S4" s="665"/>
      <c r="T4" s="663"/>
      <c r="U4" s="663"/>
      <c r="V4" s="663"/>
      <c r="W4" s="663"/>
      <c r="X4" s="663"/>
      <c r="Y4" s="663"/>
      <c r="Z4" s="663"/>
      <c r="AA4" s="663"/>
      <c r="AB4" s="663"/>
      <c r="AC4" s="663"/>
      <c r="AD4" s="663"/>
      <c r="AE4" s="663"/>
      <c r="AF4" s="663"/>
      <c r="AG4" s="660"/>
      <c r="AH4" s="663"/>
      <c r="AI4" s="707"/>
      <c r="AJ4" s="663"/>
      <c r="AK4" s="658"/>
      <c r="AL4" s="663"/>
      <c r="AM4" s="663"/>
      <c r="AN4" s="662"/>
      <c r="AO4" s="658"/>
      <c r="AP4" s="658"/>
      <c r="AQ4" s="665"/>
      <c r="AR4" s="665"/>
      <c r="AS4" s="665"/>
      <c r="AT4" s="665"/>
      <c r="AU4" s="663"/>
      <c r="AV4" s="663"/>
      <c r="AW4" s="663" t="str">
        <f>VLOOKUP(J4,'Foundation Calculation'!$A$2:$C$33,3,1)</f>
        <v>Soil B</v>
      </c>
      <c r="AX4" s="663" t="str">
        <f>VLOOKUP(J4,'Foundation Calculation'!$E$2:$G$33,3,1)</f>
        <v>PT</v>
      </c>
      <c r="AY4" s="665"/>
      <c r="AZ4" s="665">
        <f>IF(AX4="PT",VLOOKUP(K4,'Foundation Calculation'!$K$2:$R$40,VLOOKUP(AW4,'Foundation Calculation'!$I$2:$J$8,2,FALSE),0),IF(AX4="K",VLOOKUP(K4,'Foundation Calculation'!$K$42:$R$80,VLOOKUP(AW4,'Foundation Calculation'!$I$2:$J$8,2,FALSE),0),""))</f>
        <v>3.9</v>
      </c>
      <c r="BA4" s="670" t="s">
        <v>2809</v>
      </c>
      <c r="BB4" s="658"/>
      <c r="BC4" s="169"/>
      <c r="BD4" s="1329"/>
      <c r="BE4" s="1330"/>
      <c r="BF4" s="1330"/>
      <c r="BG4" s="1330"/>
    </row>
    <row r="5" spans="1:59" ht="15.75" customHeight="1">
      <c r="A5" s="658"/>
      <c r="B5" s="706" t="s">
        <v>3448</v>
      </c>
      <c r="C5" s="660">
        <v>79580.03</v>
      </c>
      <c r="D5" s="664"/>
      <c r="E5" s="664"/>
      <c r="F5" s="658">
        <v>-2300</v>
      </c>
      <c r="G5" s="665"/>
      <c r="H5" s="658" t="s">
        <v>138</v>
      </c>
      <c r="I5" s="661" t="s">
        <v>623</v>
      </c>
      <c r="J5" s="660"/>
      <c r="K5" s="663"/>
      <c r="L5" s="663" t="s">
        <v>632</v>
      </c>
      <c r="M5" s="663" t="str">
        <f>IF(AX5="PT",VLOOKUP(L5,'Foundation Calculation'!$V$2:$X$40,VLOOKUP(AX5,'Foundation Calculation'!$I$10:$J$13,2,FALSE),0),IF(AX5="K",VLOOKUP(L5,'Foundation Calculation'!$V$42:$X$80,VLOOKUP(AX5,'Foundation Calculation'!$I$10:$J$13,2,FALSE),0),""))</f>
        <v>C9R</v>
      </c>
      <c r="N5" s="658" t="s">
        <v>144</v>
      </c>
      <c r="O5" s="658"/>
      <c r="P5" s="663"/>
      <c r="Q5" s="663"/>
      <c r="R5" s="663"/>
      <c r="S5" s="665"/>
      <c r="T5" s="663">
        <v>30</v>
      </c>
      <c r="U5" s="663"/>
      <c r="V5" s="663"/>
      <c r="W5" s="663">
        <v>1.4</v>
      </c>
      <c r="X5" s="663"/>
      <c r="Y5" s="663"/>
      <c r="Z5" s="663"/>
      <c r="AA5" s="663"/>
      <c r="AB5" s="663"/>
      <c r="AC5" s="663" t="s">
        <v>1405</v>
      </c>
      <c r="AD5" s="663"/>
      <c r="AE5" s="663"/>
      <c r="AF5" s="663"/>
      <c r="AG5" s="660"/>
      <c r="AH5" s="663"/>
      <c r="AI5" s="707"/>
      <c r="AJ5" s="663" t="s">
        <v>3515</v>
      </c>
      <c r="AK5" s="658"/>
      <c r="AL5" s="663"/>
      <c r="AM5" s="663" t="s">
        <v>1043</v>
      </c>
      <c r="AN5" s="662">
        <v>5.5</v>
      </c>
      <c r="AO5" s="658"/>
      <c r="AP5" s="658"/>
      <c r="AQ5" s="665"/>
      <c r="AR5" s="665"/>
      <c r="AS5" s="665"/>
      <c r="AT5" s="665"/>
      <c r="AU5" s="663"/>
      <c r="AV5" s="663"/>
      <c r="AW5" s="663" t="str">
        <f>VLOOKUP(C5,'Foundation Calculation'!$A$2:$C$33,3,1)</f>
        <v>Soil B</v>
      </c>
      <c r="AX5" s="663" t="str">
        <f>VLOOKUP(C5,'Foundation Calculation'!$E$2:$G$33,3,1)</f>
        <v>PT</v>
      </c>
      <c r="AY5" s="665">
        <f>IF(AX5="PT",VLOOKUP(L5,'Foundation Calculation'!$K$2:$R$40,VLOOKUP(AW5,'Foundation Calculation'!$I$2:$J$8,2,FALSE),0),IF(AX5="K",VLOOKUP(L5,'Foundation Calculation'!$K$42:$R$80,VLOOKUP(AW5,'Foundation Calculation'!$I$2:$J$8,2,FALSE),0),""))</f>
        <v>4.4000000000000004</v>
      </c>
      <c r="AZ5" s="665"/>
      <c r="BA5" s="670" t="s">
        <v>2809</v>
      </c>
      <c r="BB5" s="684" t="str">
        <f>Pole_Calculations!A141</f>
        <v>App.7-V11A-P12.3.1.6</v>
      </c>
      <c r="BC5" s="169"/>
      <c r="BD5" s="1329"/>
      <c r="BE5" s="1329"/>
      <c r="BF5" s="1330"/>
      <c r="BG5" s="1329"/>
    </row>
    <row r="6" spans="1:59" ht="15.75" customHeight="1">
      <c r="A6" s="658"/>
      <c r="B6" s="706"/>
      <c r="C6" s="660"/>
      <c r="D6" s="664"/>
      <c r="E6" s="664"/>
      <c r="F6" s="658"/>
      <c r="G6" s="665">
        <v>53</v>
      </c>
      <c r="H6" s="658"/>
      <c r="I6" s="661"/>
      <c r="J6" s="660"/>
      <c r="K6" s="663"/>
      <c r="L6" s="663"/>
      <c r="M6" s="663"/>
      <c r="N6" s="658"/>
      <c r="O6" s="658"/>
      <c r="P6" s="663"/>
      <c r="Q6" s="663"/>
      <c r="R6" s="663"/>
      <c r="S6" s="665"/>
      <c r="T6" s="663"/>
      <c r="U6" s="663"/>
      <c r="V6" s="663"/>
      <c r="W6" s="663"/>
      <c r="X6" s="663"/>
      <c r="Y6" s="663"/>
      <c r="Z6" s="663"/>
      <c r="AA6" s="663"/>
      <c r="AB6" s="663"/>
      <c r="AC6" s="663"/>
      <c r="AD6" s="663"/>
      <c r="AE6" s="663"/>
      <c r="AF6" s="663"/>
      <c r="AG6" s="660"/>
      <c r="AH6" s="663"/>
      <c r="AI6" s="707"/>
      <c r="AJ6" s="663"/>
      <c r="AK6" s="658"/>
      <c r="AL6" s="663"/>
      <c r="AM6" s="666"/>
      <c r="AN6" s="662"/>
      <c r="AO6" s="658"/>
      <c r="AP6" s="658"/>
      <c r="AQ6" s="665">
        <f>+FL_2($U$9,$T$5,$G$6,1200,9.28,-1*$F$9)</f>
        <v>-0.34777802580696315</v>
      </c>
      <c r="AR6" s="665"/>
      <c r="AS6" s="665"/>
      <c r="AT6" s="665"/>
      <c r="AU6" s="663"/>
      <c r="AV6" s="663"/>
      <c r="AW6" s="665"/>
      <c r="AX6" s="665"/>
      <c r="AY6" s="665"/>
      <c r="AZ6" s="665"/>
      <c r="BA6" s="670"/>
      <c r="BB6" s="658"/>
      <c r="BC6" s="169"/>
      <c r="BD6" s="1330"/>
      <c r="BE6" s="1330"/>
      <c r="BF6" s="1330"/>
      <c r="BG6" s="1330"/>
    </row>
    <row r="7" spans="1:59" ht="15.75" customHeight="1">
      <c r="A7" s="658"/>
      <c r="B7" s="706" t="s">
        <v>4926</v>
      </c>
      <c r="C7" s="660">
        <f>C9-25</f>
        <v>79608.03</v>
      </c>
      <c r="D7" s="664"/>
      <c r="E7" s="664"/>
      <c r="F7" s="658"/>
      <c r="G7" s="665"/>
      <c r="H7" s="658"/>
      <c r="I7" s="661"/>
      <c r="J7" s="660"/>
      <c r="K7" s="663"/>
      <c r="L7" s="663" t="s">
        <v>4420</v>
      </c>
      <c r="M7" s="663" t="s">
        <v>4399</v>
      </c>
      <c r="N7" s="658"/>
      <c r="O7" s="658"/>
      <c r="P7" s="663"/>
      <c r="Q7" s="663"/>
      <c r="R7" s="663"/>
      <c r="S7" s="665"/>
      <c r="T7" s="663"/>
      <c r="U7" s="663"/>
      <c r="V7" s="663"/>
      <c r="W7" s="663"/>
      <c r="X7" s="663"/>
      <c r="Y7" s="663"/>
      <c r="Z7" s="663"/>
      <c r="AA7" s="663"/>
      <c r="AB7" s="663"/>
      <c r="AC7" s="663"/>
      <c r="AD7" s="663"/>
      <c r="AE7" s="663"/>
      <c r="AF7" s="663"/>
      <c r="AG7" s="660"/>
      <c r="AH7" s="663"/>
      <c r="AI7" s="707"/>
      <c r="AJ7" s="663"/>
      <c r="AK7" s="658"/>
      <c r="AL7" s="663"/>
      <c r="AM7" s="666"/>
      <c r="AN7" s="662"/>
      <c r="AO7" s="658"/>
      <c r="AP7" s="658"/>
      <c r="AQ7" s="665"/>
      <c r="AR7" s="665"/>
      <c r="AS7" s="665"/>
      <c r="AT7" s="665"/>
      <c r="AU7" s="663"/>
      <c r="AV7" s="663"/>
      <c r="AW7" s="663" t="str">
        <f>VLOOKUP(C7,'Foundation Calculation'!$A$2:$C$33,3,1)</f>
        <v>Soil B</v>
      </c>
      <c r="AX7" s="663" t="str">
        <f>VLOOKUP(C7,'Foundation Calculation'!$E$2:$G$33,3,1)</f>
        <v>PT</v>
      </c>
      <c r="AY7" s="665">
        <v>1.2</v>
      </c>
      <c r="AZ7" s="665"/>
      <c r="BA7" s="670" t="s">
        <v>2809</v>
      </c>
      <c r="BB7" s="658"/>
      <c r="BC7" s="169"/>
      <c r="BD7" s="1329"/>
      <c r="BE7" s="1329"/>
      <c r="BF7" s="1330"/>
      <c r="BG7" s="1330"/>
    </row>
    <row r="8" spans="1:59" ht="15.75" customHeight="1">
      <c r="A8" s="658"/>
      <c r="B8" s="706"/>
      <c r="C8" s="660"/>
      <c r="D8" s="664"/>
      <c r="E8" s="664"/>
      <c r="F8" s="658"/>
      <c r="G8" s="665"/>
      <c r="H8" s="658"/>
      <c r="I8" s="661"/>
      <c r="J8" s="660"/>
      <c r="K8" s="663"/>
      <c r="L8" s="663"/>
      <c r="M8" s="663"/>
      <c r="N8" s="658"/>
      <c r="O8" s="658"/>
      <c r="P8" s="663"/>
      <c r="Q8" s="663"/>
      <c r="R8" s="663"/>
      <c r="S8" s="665"/>
      <c r="T8" s="663"/>
      <c r="U8" s="663"/>
      <c r="V8" s="663"/>
      <c r="W8" s="663"/>
      <c r="X8" s="663"/>
      <c r="Y8" s="663"/>
      <c r="Z8" s="663"/>
      <c r="AA8" s="663"/>
      <c r="AB8" s="663"/>
      <c r="AC8" s="663"/>
      <c r="AD8" s="663"/>
      <c r="AE8" s="663"/>
      <c r="AF8" s="663"/>
      <c r="AG8" s="660"/>
      <c r="AH8" s="663"/>
      <c r="AI8" s="707"/>
      <c r="AJ8" s="663"/>
      <c r="AK8" s="658"/>
      <c r="AL8" s="663"/>
      <c r="AM8" s="666"/>
      <c r="AN8" s="662"/>
      <c r="AO8" s="658"/>
      <c r="AP8" s="658"/>
      <c r="AQ8" s="665"/>
      <c r="AR8" s="665"/>
      <c r="AS8" s="665"/>
      <c r="AT8" s="665"/>
      <c r="AU8" s="663"/>
      <c r="AV8" s="663"/>
      <c r="AW8" s="665"/>
      <c r="AX8" s="665"/>
      <c r="AY8" s="665"/>
      <c r="AZ8" s="665"/>
      <c r="BA8" s="670"/>
      <c r="BB8" s="658"/>
      <c r="BC8" s="169"/>
      <c r="BD8" s="1330"/>
      <c r="BE8" s="1330"/>
      <c r="BF8" s="1330"/>
      <c r="BG8" s="1330"/>
    </row>
    <row r="9" spans="1:59" ht="15.75" customHeight="1">
      <c r="A9" s="658" t="s">
        <v>3578</v>
      </c>
      <c r="B9" s="708" t="s">
        <v>3519</v>
      </c>
      <c r="C9" s="660">
        <f>+$C$5+$G$6</f>
        <v>79633.03</v>
      </c>
      <c r="D9" s="664"/>
      <c r="E9" s="664"/>
      <c r="F9" s="658">
        <v>-2300</v>
      </c>
      <c r="G9" s="665"/>
      <c r="H9" s="658" t="s">
        <v>619</v>
      </c>
      <c r="I9" s="661" t="s">
        <v>1429</v>
      </c>
      <c r="J9" s="660"/>
      <c r="K9" s="663"/>
      <c r="L9" s="663" t="s">
        <v>632</v>
      </c>
      <c r="M9" s="663" t="str">
        <f>IF(AX9="PT",VLOOKUP(L9,'Foundation Calculation'!$V$2:$X$40,VLOOKUP(AX9,'Foundation Calculation'!$I$10:$J$13,2,FALSE),0),IF(AX9="K",VLOOKUP(L9,'Foundation Calculation'!$V$42:$X$80,VLOOKUP(AX9,'Foundation Calculation'!$I$10:$J$13,2,FALSE),0),""))</f>
        <v>C9R</v>
      </c>
      <c r="N9" s="658" t="s">
        <v>140</v>
      </c>
      <c r="O9" s="658" t="s">
        <v>144</v>
      </c>
      <c r="P9" s="663"/>
      <c r="Q9" s="663"/>
      <c r="R9" s="663"/>
      <c r="S9" s="665"/>
      <c r="T9" s="663">
        <v>35</v>
      </c>
      <c r="U9" s="663">
        <v>-10</v>
      </c>
      <c r="V9" s="663"/>
      <c r="W9" s="663">
        <v>1.4</v>
      </c>
      <c r="X9" s="663">
        <v>2.2999999999999998</v>
      </c>
      <c r="Y9" s="663"/>
      <c r="Z9" s="663">
        <v>0.45</v>
      </c>
      <c r="AA9" s="663"/>
      <c r="AB9" s="663"/>
      <c r="AC9" s="663"/>
      <c r="AD9" s="663"/>
      <c r="AE9" s="663"/>
      <c r="AF9" s="663"/>
      <c r="AG9" s="660"/>
      <c r="AH9" s="663"/>
      <c r="AI9" s="707"/>
      <c r="AJ9" s="663" t="s">
        <v>3048</v>
      </c>
      <c r="AK9" s="658"/>
      <c r="AL9" s="663"/>
      <c r="AM9" s="663" t="s">
        <v>1043</v>
      </c>
      <c r="AN9" s="662">
        <v>5.5</v>
      </c>
      <c r="AO9" s="658"/>
      <c r="AP9" s="658"/>
      <c r="AQ9" s="665"/>
      <c r="AR9" s="665"/>
      <c r="AS9" s="665"/>
      <c r="AT9" s="665">
        <f>+ab($U$9,$T$5,$U$13,$G$6,47,-1*$F$9,1200)</f>
        <v>13.27828500397268</v>
      </c>
      <c r="AU9" s="663"/>
      <c r="AV9" s="663"/>
      <c r="AW9" s="663" t="str">
        <f>VLOOKUP(C9,'Foundation Calculation'!$A$2:$C$33,3,1)</f>
        <v>Soil B</v>
      </c>
      <c r="AX9" s="663" t="str">
        <f>VLOOKUP(C9,'Foundation Calculation'!$E$2:$G$33,3,1)</f>
        <v>PT</v>
      </c>
      <c r="AY9" s="665">
        <f>IF(AX9="PT",VLOOKUP(L9,'Foundation Calculation'!$K$2:$R$40,VLOOKUP(AW9,'Foundation Calculation'!$I$2:$J$8,2,FALSE),0),IF(AX9="K",VLOOKUP(L9,'Foundation Calculation'!$K$42:$R$80,VLOOKUP(AW9,'Foundation Calculation'!$I$2:$J$8,2,FALSE),0),""))</f>
        <v>4.4000000000000004</v>
      </c>
      <c r="AZ9" s="665"/>
      <c r="BA9" s="670" t="s">
        <v>2809</v>
      </c>
      <c r="BB9" s="658" t="str">
        <f>Pole_Calculations!A140</f>
        <v>App.7-V11A-P12.3.1.5</v>
      </c>
      <c r="BC9" s="169"/>
      <c r="BD9" s="1329"/>
      <c r="BE9" s="1329"/>
      <c r="BF9" s="1330"/>
      <c r="BG9" s="1329"/>
    </row>
    <row r="10" spans="1:59" ht="15.75" customHeight="1">
      <c r="A10" s="658"/>
      <c r="B10" s="706"/>
      <c r="C10" s="660"/>
      <c r="D10" s="664"/>
      <c r="E10" s="664"/>
      <c r="F10" s="658"/>
      <c r="G10" s="665">
        <v>42</v>
      </c>
      <c r="H10" s="658"/>
      <c r="I10" s="664"/>
      <c r="J10" s="660"/>
      <c r="K10" s="663"/>
      <c r="L10" s="663"/>
      <c r="M10" s="663"/>
      <c r="N10" s="658"/>
      <c r="O10" s="658"/>
      <c r="P10" s="663"/>
      <c r="Q10" s="663"/>
      <c r="R10" s="663"/>
      <c r="S10" s="665"/>
      <c r="T10" s="663"/>
      <c r="U10" s="663"/>
      <c r="V10" s="663"/>
      <c r="W10" s="663"/>
      <c r="X10" s="663"/>
      <c r="Y10" s="663"/>
      <c r="Z10" s="663"/>
      <c r="AA10" s="663"/>
      <c r="AB10" s="663"/>
      <c r="AC10" s="663"/>
      <c r="AD10" s="663"/>
      <c r="AE10" s="663"/>
      <c r="AF10" s="663"/>
      <c r="AG10" s="660"/>
      <c r="AH10" s="663"/>
      <c r="AI10" s="707"/>
      <c r="AJ10" s="658" t="s">
        <v>1360</v>
      </c>
      <c r="AK10" s="658"/>
      <c r="AL10" s="663"/>
      <c r="AM10" s="666"/>
      <c r="AN10" s="662"/>
      <c r="AO10" s="658"/>
      <c r="AP10" s="658"/>
      <c r="AQ10" s="665">
        <f>+FL_1($T$13,$T$9,47,1200,9.28,-1*$F$13)</f>
        <v>0.44347918540609288</v>
      </c>
      <c r="AR10" s="665"/>
      <c r="AS10" s="665"/>
      <c r="AT10" s="665"/>
      <c r="AU10" s="663"/>
      <c r="AV10" s="663"/>
      <c r="AW10" s="665"/>
      <c r="AX10" s="665"/>
      <c r="AY10" s="665"/>
      <c r="AZ10" s="665"/>
      <c r="BA10" s="670"/>
      <c r="BB10" s="658"/>
      <c r="BC10" s="169"/>
      <c r="BD10" s="1330"/>
      <c r="BE10" s="1330"/>
      <c r="BF10" s="1330"/>
      <c r="BG10" s="1330"/>
    </row>
    <row r="11" spans="1:59" ht="15.75" customHeight="1">
      <c r="A11" s="658"/>
      <c r="B11" s="708" t="s">
        <v>3520</v>
      </c>
      <c r="C11" s="660">
        <f>+$C$9+$G$10</f>
        <v>79675.03</v>
      </c>
      <c r="D11" s="664"/>
      <c r="E11" s="664"/>
      <c r="F11" s="658">
        <v>-2300</v>
      </c>
      <c r="G11" s="665"/>
      <c r="H11" s="658"/>
      <c r="I11" s="661"/>
      <c r="J11" s="660"/>
      <c r="K11" s="663"/>
      <c r="L11" s="663" t="s">
        <v>1699</v>
      </c>
      <c r="M11" s="663" t="str">
        <f>IF(AX11="PT",VLOOKUP(L11,'Foundation Calculation'!$V$2:$X$40,VLOOKUP(AX11,'Foundation Calculation'!$I$10:$J$13,2,FALSE),0),IF(AX11="K",VLOOKUP(L11,'Foundation Calculation'!$V$42:$X$80,VLOOKUP(AX11,'Foundation Calculation'!$I$10:$J$13,2,FALSE),0),""))</f>
        <v>C7R</v>
      </c>
      <c r="N11" s="658"/>
      <c r="O11" s="658"/>
      <c r="P11" s="663"/>
      <c r="Q11" s="663"/>
      <c r="R11" s="663"/>
      <c r="S11" s="665"/>
      <c r="T11" s="663"/>
      <c r="U11" s="663"/>
      <c r="V11" s="663"/>
      <c r="W11" s="663"/>
      <c r="X11" s="663"/>
      <c r="Y11" s="663"/>
      <c r="Z11" s="663"/>
      <c r="AA11" s="663"/>
      <c r="AB11" s="663"/>
      <c r="AC11" s="663"/>
      <c r="AD11" s="663"/>
      <c r="AE11" s="663"/>
      <c r="AF11" s="663"/>
      <c r="AG11" s="660"/>
      <c r="AH11" s="663"/>
      <c r="AI11" s="707"/>
      <c r="AJ11" s="663"/>
      <c r="AK11" s="658"/>
      <c r="AL11" s="663"/>
      <c r="AM11" s="663" t="s">
        <v>1043</v>
      </c>
      <c r="AN11" s="662"/>
      <c r="AO11" s="658"/>
      <c r="AP11" s="658"/>
      <c r="AQ11" s="665"/>
      <c r="AR11" s="665"/>
      <c r="AS11" s="665"/>
      <c r="AT11" s="665"/>
      <c r="AU11" s="663"/>
      <c r="AV11" s="663"/>
      <c r="AW11" s="663" t="str">
        <f>VLOOKUP(C11,'Foundation Calculation'!$A$2:$C$33,3,1)</f>
        <v>Soil B</v>
      </c>
      <c r="AX11" s="663" t="str">
        <f>VLOOKUP(C11,'Foundation Calculation'!$E$2:$G$33,3,1)</f>
        <v>PT</v>
      </c>
      <c r="AY11" s="665">
        <f>IF(AX11="PT",VLOOKUP(L11,'Foundation Calculation'!$K$2:$R$40,VLOOKUP(AW11,'Foundation Calculation'!$I$2:$J$8,2,FALSE),0),IF(AX11="K",VLOOKUP(L11,'Foundation Calculation'!$K$42:$R$80,VLOOKUP(AW11,'Foundation Calculation'!$I$2:$J$8,2,FALSE),0),""))</f>
        <v>4.4000000000000004</v>
      </c>
      <c r="AZ11" s="665"/>
      <c r="BA11" s="670" t="s">
        <v>2809</v>
      </c>
      <c r="BB11" s="658" t="str">
        <f>Pole_Calculations!A136</f>
        <v>App.7-V11A-P12.3.1.1</v>
      </c>
      <c r="BC11" s="169"/>
      <c r="BD11" s="1329"/>
      <c r="BE11" s="1329"/>
      <c r="BF11" s="1330"/>
      <c r="BG11" s="1330"/>
    </row>
    <row r="12" spans="1:59" ht="15.75" customHeight="1">
      <c r="A12" s="709"/>
      <c r="B12" s="666"/>
      <c r="C12" s="660"/>
      <c r="D12" s="666"/>
      <c r="E12" s="666"/>
      <c r="F12" s="666"/>
      <c r="G12" s="665">
        <v>5</v>
      </c>
      <c r="H12" s="666"/>
      <c r="I12" s="661"/>
      <c r="J12" s="660"/>
      <c r="K12" s="663"/>
      <c r="L12" s="666"/>
      <c r="M12" s="663"/>
      <c r="N12" s="658"/>
      <c r="O12" s="658"/>
      <c r="P12" s="666"/>
      <c r="Q12" s="663"/>
      <c r="R12" s="663"/>
      <c r="S12" s="665"/>
      <c r="T12" s="663"/>
      <c r="U12" s="663"/>
      <c r="V12" s="663"/>
      <c r="W12" s="663"/>
      <c r="X12" s="663"/>
      <c r="Y12" s="663"/>
      <c r="Z12" s="663"/>
      <c r="AA12" s="663"/>
      <c r="AB12" s="663"/>
      <c r="AC12" s="663"/>
      <c r="AD12" s="663"/>
      <c r="AE12" s="663"/>
      <c r="AF12" s="663"/>
      <c r="AG12" s="660"/>
      <c r="AH12" s="663"/>
      <c r="AI12" s="707"/>
      <c r="AJ12" s="666"/>
      <c r="AK12" s="666"/>
      <c r="AL12" s="666"/>
      <c r="AM12" s="666"/>
      <c r="AN12" s="665"/>
      <c r="AO12" s="658"/>
      <c r="AP12" s="658"/>
      <c r="AQ12" s="665"/>
      <c r="AR12" s="665"/>
      <c r="AS12" s="665"/>
      <c r="AT12" s="665"/>
      <c r="AU12" s="663"/>
      <c r="AV12" s="663"/>
      <c r="AW12" s="665"/>
      <c r="AX12" s="665"/>
      <c r="AY12" s="665"/>
      <c r="AZ12" s="665"/>
      <c r="BA12" s="1303"/>
      <c r="BB12" s="709"/>
      <c r="BC12" s="169"/>
      <c r="BD12" s="1330"/>
      <c r="BE12" s="1330"/>
      <c r="BF12" s="1330"/>
      <c r="BG12" s="1330"/>
    </row>
    <row r="13" spans="1:59" ht="15.75" customHeight="1">
      <c r="A13" s="658" t="s">
        <v>3579</v>
      </c>
      <c r="B13" s="710" t="s">
        <v>3521</v>
      </c>
      <c r="C13" s="660">
        <f>+$C$11+$G$12</f>
        <v>79680.03</v>
      </c>
      <c r="D13" s="666"/>
      <c r="E13" s="666"/>
      <c r="F13" s="658">
        <v>-2300</v>
      </c>
      <c r="G13" s="665"/>
      <c r="H13" s="666" t="s">
        <v>619</v>
      </c>
      <c r="I13" s="661" t="s">
        <v>1429</v>
      </c>
      <c r="J13" s="739"/>
      <c r="K13" s="658"/>
      <c r="L13" s="663" t="s">
        <v>632</v>
      </c>
      <c r="M13" s="663" t="str">
        <f>IF(AX13="PT",VLOOKUP(L13,'Foundation Calculation'!$V$2:$X$40,VLOOKUP(AX13,'Foundation Calculation'!$I$10:$J$13,2,FALSE),0),IF(AX13="K",VLOOKUP(L13,'Foundation Calculation'!$V$42:$X$80,VLOOKUP(AX13,'Foundation Calculation'!$I$10:$J$13,2,FALSE),0),""))</f>
        <v>C9R</v>
      </c>
      <c r="N13" s="658" t="s">
        <v>144</v>
      </c>
      <c r="O13" s="658" t="s">
        <v>140</v>
      </c>
      <c r="P13" s="666"/>
      <c r="Q13" s="663"/>
      <c r="R13" s="663"/>
      <c r="S13" s="665"/>
      <c r="T13" s="663">
        <v>35</v>
      </c>
      <c r="U13" s="663">
        <v>-10</v>
      </c>
      <c r="V13" s="663"/>
      <c r="W13" s="663">
        <v>1.4</v>
      </c>
      <c r="X13" s="663">
        <v>2.2999999999999998</v>
      </c>
      <c r="Y13" s="663"/>
      <c r="Z13" s="663"/>
      <c r="AA13" s="663">
        <v>0.45</v>
      </c>
      <c r="AB13" s="663"/>
      <c r="AC13" s="663" t="str">
        <f>IF(OR(AT13&gt;8,AT13&lt;-8),"PH",IF(OR(AT13&gt;5,AT13&lt;-5),"PH-Q",IF(OR(AT13&gt;1,AT13&lt;-1),"PH-C")))</f>
        <v>PH</v>
      </c>
      <c r="AD13" s="663"/>
      <c r="AE13" s="663"/>
      <c r="AF13" s="663"/>
      <c r="AG13" s="660"/>
      <c r="AH13" s="663"/>
      <c r="AI13" s="707"/>
      <c r="AJ13" s="663" t="s">
        <v>3048</v>
      </c>
      <c r="AK13" s="666"/>
      <c r="AL13" s="666"/>
      <c r="AM13" s="666" t="s">
        <v>1043</v>
      </c>
      <c r="AN13" s="662">
        <v>5.5</v>
      </c>
      <c r="AO13" s="666"/>
      <c r="AP13" s="666"/>
      <c r="AQ13" s="665"/>
      <c r="AR13" s="665"/>
      <c r="AS13" s="665"/>
      <c r="AT13" s="665">
        <f>+ab($T$13,$T$9,$T$15,47,$G$14,-1*$F$13,1200)</f>
        <v>8.8546428952121907</v>
      </c>
      <c r="AU13" s="663"/>
      <c r="AV13" s="663"/>
      <c r="AW13" s="663" t="str">
        <f>VLOOKUP(C13,'Foundation Calculation'!$A$2:$C$33,3,1)</f>
        <v>Soil B</v>
      </c>
      <c r="AX13" s="663" t="str">
        <f>VLOOKUP(C13,'Foundation Calculation'!$E$2:$G$33,3,1)</f>
        <v>PT</v>
      </c>
      <c r="AY13" s="665">
        <f>IF(AX13="PT",VLOOKUP(L13,'Foundation Calculation'!$K$2:$R$40,VLOOKUP(AW13,'Foundation Calculation'!$I$2:$J$8,2,FALSE),0),IF(AX13="K",VLOOKUP(L13,'Foundation Calculation'!$K$42:$R$80,VLOOKUP(AW13,'Foundation Calculation'!$I$2:$J$8,2,FALSE),0),""))</f>
        <v>4.4000000000000004</v>
      </c>
      <c r="AZ13" s="665"/>
      <c r="BA13" s="670" t="s">
        <v>2809</v>
      </c>
      <c r="BB13" s="658" t="str">
        <f>Pole_Calculations!A140</f>
        <v>App.7-V11A-P12.3.1.5</v>
      </c>
      <c r="BC13" s="169"/>
      <c r="BD13" s="1329"/>
      <c r="BE13" s="1329"/>
      <c r="BF13" s="1330"/>
      <c r="BG13" s="1329"/>
    </row>
    <row r="14" spans="1:59" ht="15.75" customHeight="1">
      <c r="A14" s="709"/>
      <c r="B14" s="666"/>
      <c r="C14" s="660"/>
      <c r="D14" s="666"/>
      <c r="E14" s="666"/>
      <c r="F14" s="666"/>
      <c r="G14" s="665">
        <v>47</v>
      </c>
      <c r="H14" s="666"/>
      <c r="I14" s="664"/>
      <c r="J14" s="660"/>
      <c r="K14" s="663"/>
      <c r="L14" s="666"/>
      <c r="M14" s="666"/>
      <c r="N14" s="666"/>
      <c r="O14" s="666"/>
      <c r="P14" s="666"/>
      <c r="Q14" s="663"/>
      <c r="R14" s="663"/>
      <c r="S14" s="665"/>
      <c r="T14" s="663"/>
      <c r="U14" s="663"/>
      <c r="V14" s="663"/>
      <c r="W14" s="663"/>
      <c r="X14" s="663"/>
      <c r="Y14" s="663"/>
      <c r="Z14" s="663"/>
      <c r="AA14" s="663"/>
      <c r="AB14" s="663"/>
      <c r="AC14" s="663"/>
      <c r="AD14" s="663"/>
      <c r="AE14" s="663"/>
      <c r="AF14" s="663"/>
      <c r="AG14" s="660"/>
      <c r="AH14" s="663"/>
      <c r="AI14" s="707"/>
      <c r="AJ14" s="666"/>
      <c r="AK14" s="666"/>
      <c r="AL14" s="666"/>
      <c r="AM14" s="666"/>
      <c r="AN14" s="665"/>
      <c r="AO14" s="666"/>
      <c r="AP14" s="666"/>
      <c r="AQ14" s="665">
        <f>+FL_1($U$15,$U$13,$G$14,1200,9.28,-1*$F$15)</f>
        <v>-2.9416265174591671E-2</v>
      </c>
      <c r="AR14" s="665"/>
      <c r="AS14" s="665"/>
      <c r="AT14" s="665"/>
      <c r="AU14" s="663"/>
      <c r="AV14" s="663"/>
      <c r="AW14" s="665"/>
      <c r="AX14" s="665"/>
      <c r="AY14" s="665"/>
      <c r="AZ14" s="665"/>
      <c r="BA14" s="1303"/>
      <c r="BB14" s="709"/>
      <c r="BC14" s="169"/>
      <c r="BD14" s="1330"/>
      <c r="BE14" s="1330"/>
      <c r="BF14" s="1330"/>
      <c r="BG14" s="1330"/>
    </row>
    <row r="15" spans="1:59" ht="15.75" customHeight="1">
      <c r="A15" s="709"/>
      <c r="B15" s="710" t="s">
        <v>3522</v>
      </c>
      <c r="C15" s="660">
        <f>+$C$13+$G$14</f>
        <v>79727.03</v>
      </c>
      <c r="D15" s="666"/>
      <c r="E15" s="666"/>
      <c r="F15" s="661">
        <f>-(743^2)/(79966.17-C15)</f>
        <v>-2308.4762064062948</v>
      </c>
      <c r="G15" s="665"/>
      <c r="H15" s="666" t="s">
        <v>619</v>
      </c>
      <c r="I15" s="661"/>
      <c r="J15" s="660"/>
      <c r="K15" s="666"/>
      <c r="L15" s="663" t="s">
        <v>632</v>
      </c>
      <c r="M15" s="663" t="str">
        <f>IF(AX15="PT",VLOOKUP(L15,'Foundation Calculation'!$V$2:$X$40,VLOOKUP(AX15,'Foundation Calculation'!$I$10:$J$13,2,FALSE),0),IF(AX15="K",VLOOKUP(L15,'Foundation Calculation'!$V$42:$X$80,VLOOKUP(AX15,'Foundation Calculation'!$I$10:$J$13,2,FALSE),0),""))</f>
        <v>C9R</v>
      </c>
      <c r="N15" s="658" t="s">
        <v>140</v>
      </c>
      <c r="O15" s="658" t="s">
        <v>144</v>
      </c>
      <c r="P15" s="666"/>
      <c r="Q15" s="663"/>
      <c r="R15" s="663"/>
      <c r="S15" s="665"/>
      <c r="T15" s="663">
        <v>30</v>
      </c>
      <c r="U15" s="663">
        <v>-15</v>
      </c>
      <c r="V15" s="663"/>
      <c r="W15" s="663">
        <v>1.4</v>
      </c>
      <c r="X15" s="663">
        <v>2.2999999999999998</v>
      </c>
      <c r="Y15" s="663"/>
      <c r="Z15" s="663">
        <v>0.45</v>
      </c>
      <c r="AA15" s="663"/>
      <c r="AB15" s="663"/>
      <c r="AC15" s="663"/>
      <c r="AD15" s="663"/>
      <c r="AE15" s="663"/>
      <c r="AF15" s="663"/>
      <c r="AG15" s="660"/>
      <c r="AH15" s="663"/>
      <c r="AI15" s="707"/>
      <c r="AJ15" s="663" t="s">
        <v>3515</v>
      </c>
      <c r="AK15" s="666"/>
      <c r="AL15" s="666"/>
      <c r="AM15" s="666" t="s">
        <v>1043</v>
      </c>
      <c r="AN15" s="662">
        <v>5.5</v>
      </c>
      <c r="AO15" s="666"/>
      <c r="AP15" s="666"/>
      <c r="AQ15" s="665"/>
      <c r="AR15" s="665"/>
      <c r="AS15" s="665"/>
      <c r="AT15" s="665">
        <f>+ab($T$15,$T$13,$T$21,$G$14,47,-1*$F$15,1200)</f>
        <v>9.8466290237844998</v>
      </c>
      <c r="AU15" s="663"/>
      <c r="AV15" s="663"/>
      <c r="AW15" s="663" t="str">
        <f>VLOOKUP(C15,'Foundation Calculation'!$A$2:$C$33,3,1)</f>
        <v>Soil B</v>
      </c>
      <c r="AX15" s="663" t="str">
        <f>VLOOKUP(C15,'Foundation Calculation'!$E$2:$G$33,3,1)</f>
        <v>PT</v>
      </c>
      <c r="AY15" s="665">
        <f>IF(AX15="PT",VLOOKUP(L15,'Foundation Calculation'!$K$2:$R$40,VLOOKUP(AW15,'Foundation Calculation'!$I$2:$J$8,2,FALSE),0),IF(AX15="K",VLOOKUP(L15,'Foundation Calculation'!$K$42:$R$80,VLOOKUP(AW15,'Foundation Calculation'!$I$2:$J$8,2,FALSE),0),""))</f>
        <v>4.4000000000000004</v>
      </c>
      <c r="AZ15" s="665"/>
      <c r="BA15" s="670" t="s">
        <v>2809</v>
      </c>
      <c r="BB15" s="658" t="str">
        <f>Pole_Calculations!A140</f>
        <v>App.7-V11A-P12.3.1.5</v>
      </c>
      <c r="BC15" s="169"/>
      <c r="BD15" s="1329"/>
      <c r="BE15" s="1329"/>
      <c r="BF15" s="1330"/>
      <c r="BG15" s="1329"/>
    </row>
    <row r="16" spans="1:59" ht="15.75" customHeight="1">
      <c r="A16" s="709"/>
      <c r="B16" s="666"/>
      <c r="C16" s="660"/>
      <c r="D16" s="666"/>
      <c r="E16" s="666"/>
      <c r="F16" s="666"/>
      <c r="G16" s="665">
        <v>5</v>
      </c>
      <c r="H16" s="666"/>
      <c r="I16" s="661"/>
      <c r="J16" s="660"/>
      <c r="K16" s="666"/>
      <c r="L16" s="666"/>
      <c r="M16" s="666"/>
      <c r="N16" s="658"/>
      <c r="O16" s="666"/>
      <c r="P16" s="666"/>
      <c r="Q16" s="663"/>
      <c r="R16" s="663"/>
      <c r="S16" s="665"/>
      <c r="T16" s="663"/>
      <c r="U16" s="663"/>
      <c r="V16" s="663"/>
      <c r="W16" s="663"/>
      <c r="X16" s="663"/>
      <c r="Y16" s="663"/>
      <c r="Z16" s="663"/>
      <c r="AA16" s="663"/>
      <c r="AB16" s="663"/>
      <c r="AC16" s="663"/>
      <c r="AD16" s="663"/>
      <c r="AE16" s="663"/>
      <c r="AF16" s="663"/>
      <c r="AG16" s="660"/>
      <c r="AH16" s="663"/>
      <c r="AI16" s="707"/>
      <c r="AJ16" s="666"/>
      <c r="AK16" s="666"/>
      <c r="AL16" s="663"/>
      <c r="AM16" s="666"/>
      <c r="AN16" s="665"/>
      <c r="AO16" s="666"/>
      <c r="AP16" s="666"/>
      <c r="AQ16" s="665">
        <f>+FL_1($T$21,$T$15,47,1200,9.28,-1*$F$21)</f>
        <v>0.41743008038868334</v>
      </c>
      <c r="AR16" s="665"/>
      <c r="AS16" s="665"/>
      <c r="AT16" s="665"/>
      <c r="AU16" s="663"/>
      <c r="AV16" s="663"/>
      <c r="AW16" s="665"/>
      <c r="AX16" s="665"/>
      <c r="AY16" s="665"/>
      <c r="AZ16" s="665"/>
      <c r="BA16" s="1303"/>
      <c r="BB16" s="709"/>
      <c r="BC16" s="169"/>
      <c r="BD16" s="1330"/>
      <c r="BE16" s="1330"/>
      <c r="BF16" s="1330"/>
      <c r="BG16" s="1330"/>
    </row>
    <row r="17" spans="1:59" ht="15.75" customHeight="1">
      <c r="A17" s="658" t="s">
        <v>3580</v>
      </c>
      <c r="B17" s="710" t="s">
        <v>3523</v>
      </c>
      <c r="C17" s="660">
        <f>+$C$15+$G$16</f>
        <v>79732.03</v>
      </c>
      <c r="D17" s="666"/>
      <c r="E17" s="666"/>
      <c r="F17" s="661">
        <f>-(743^2)/(79966.17-C17)</f>
        <v>-2357.7731271888674</v>
      </c>
      <c r="G17" s="665"/>
      <c r="H17" s="666"/>
      <c r="I17" s="661" t="s">
        <v>1040</v>
      </c>
      <c r="J17" s="660"/>
      <c r="K17" s="666"/>
      <c r="L17" s="663" t="s">
        <v>823</v>
      </c>
      <c r="M17" s="663" t="str">
        <f>IF(AX17="PT",VLOOKUP(L17,'Foundation Calculation'!$V$2:$X$40,VLOOKUP(AX17,'Foundation Calculation'!$I$10:$J$13,2,FALSE),0),IF(AX17="K",VLOOKUP(L17,'Foundation Calculation'!$V$42:$X$80,VLOOKUP(AX17,'Foundation Calculation'!$I$10:$J$13,2,FALSE),0),""))</f>
        <v>C9R</v>
      </c>
      <c r="N17" s="666"/>
      <c r="O17" s="666"/>
      <c r="P17" s="666"/>
      <c r="Q17" s="663"/>
      <c r="R17" s="663"/>
      <c r="S17" s="665"/>
      <c r="T17" s="663"/>
      <c r="U17" s="663"/>
      <c r="V17" s="663"/>
      <c r="W17" s="663"/>
      <c r="X17" s="663"/>
      <c r="Y17" s="663"/>
      <c r="Z17" s="663"/>
      <c r="AA17" s="663"/>
      <c r="AB17" s="663"/>
      <c r="AC17" s="663"/>
      <c r="AD17" s="663"/>
      <c r="AE17" s="663"/>
      <c r="AF17" s="663"/>
      <c r="AG17" s="660"/>
      <c r="AH17" s="663"/>
      <c r="AI17" s="707"/>
      <c r="AJ17" s="666" t="s">
        <v>4153</v>
      </c>
      <c r="AK17" s="666"/>
      <c r="AL17" s="666"/>
      <c r="AM17" s="666" t="s">
        <v>1043</v>
      </c>
      <c r="AN17" s="665"/>
      <c r="AO17" s="666"/>
      <c r="AP17" s="666"/>
      <c r="AQ17" s="665"/>
      <c r="AR17" s="665"/>
      <c r="AS17" s="665"/>
      <c r="AT17" s="665"/>
      <c r="AU17" s="663"/>
      <c r="AV17" s="663"/>
      <c r="AW17" s="663" t="str">
        <f>VLOOKUP(C17,'Foundation Calculation'!$A$2:$C$33,3,1)</f>
        <v>Soil B</v>
      </c>
      <c r="AX17" s="663" t="str">
        <f>VLOOKUP(C17,'Foundation Calculation'!$E$2:$G$33,3,1)</f>
        <v>PT</v>
      </c>
      <c r="AY17" s="665">
        <f>IF(AX17="PT",VLOOKUP(L17,'Foundation Calculation'!$K$2:$R$40,VLOOKUP(AW17,'Foundation Calculation'!$I$2:$J$8,2,FALSE),0),IF(AX17="K",VLOOKUP(L17,'Foundation Calculation'!$K$42:$R$80,VLOOKUP(AW17,'Foundation Calculation'!$I$2:$J$8,2,FALSE),0),""))</f>
        <v>4.4000000000000004</v>
      </c>
      <c r="AZ17" s="665"/>
      <c r="BA17" s="670" t="s">
        <v>2809</v>
      </c>
      <c r="BB17" s="658" t="str">
        <f>Pole_Calculations!A136</f>
        <v>App.7-V11A-P12.3.1.1</v>
      </c>
      <c r="BC17" s="169"/>
      <c r="BD17" s="1329"/>
      <c r="BE17" s="1329"/>
      <c r="BF17" s="1330"/>
      <c r="BG17" s="1330"/>
    </row>
    <row r="18" spans="1:59" ht="15.75" customHeight="1">
      <c r="A18" s="658"/>
      <c r="B18" s="666"/>
      <c r="C18" s="660"/>
      <c r="D18" s="666"/>
      <c r="E18" s="666"/>
      <c r="F18" s="666"/>
      <c r="G18" s="665">
        <v>3</v>
      </c>
      <c r="H18" s="666"/>
      <c r="I18" s="664"/>
      <c r="J18" s="660"/>
      <c r="K18" s="666"/>
      <c r="L18" s="666"/>
      <c r="M18" s="666"/>
      <c r="N18" s="658"/>
      <c r="O18" s="666"/>
      <c r="P18" s="666"/>
      <c r="Q18" s="663"/>
      <c r="R18" s="663"/>
      <c r="S18" s="665"/>
      <c r="T18" s="663"/>
      <c r="U18" s="663"/>
      <c r="V18" s="663"/>
      <c r="W18" s="663"/>
      <c r="X18" s="663"/>
      <c r="Y18" s="663"/>
      <c r="Z18" s="663"/>
      <c r="AA18" s="663"/>
      <c r="AB18" s="663"/>
      <c r="AC18" s="663"/>
      <c r="AD18" s="663"/>
      <c r="AE18" s="663"/>
      <c r="AF18" s="663"/>
      <c r="AG18" s="660"/>
      <c r="AH18" s="663"/>
      <c r="AI18" s="707"/>
      <c r="AJ18" s="658" t="s">
        <v>1360</v>
      </c>
      <c r="AK18" s="666"/>
      <c r="AL18" s="666"/>
      <c r="AM18" s="666"/>
      <c r="AN18" s="665"/>
      <c r="AO18" s="666"/>
      <c r="AP18" s="666"/>
      <c r="AQ18" s="665"/>
      <c r="AR18" s="665"/>
      <c r="AS18" s="665"/>
      <c r="AT18" s="665"/>
      <c r="AU18" s="663"/>
      <c r="AV18" s="663"/>
      <c r="AW18" s="665"/>
      <c r="AX18" s="665"/>
      <c r="AY18" s="665"/>
      <c r="AZ18" s="665"/>
      <c r="BA18" s="1303"/>
      <c r="BB18" s="658"/>
      <c r="BC18" s="169"/>
      <c r="BD18" s="1330"/>
      <c r="BE18" s="1330"/>
      <c r="BF18" s="1330"/>
      <c r="BG18" s="1330"/>
    </row>
    <row r="19" spans="1:59" ht="15.75" customHeight="1">
      <c r="A19" s="658"/>
      <c r="B19" s="710" t="s">
        <v>3524</v>
      </c>
      <c r="C19" s="660">
        <f>+$C$17+$G$18</f>
        <v>79735.03</v>
      </c>
      <c r="D19" s="666"/>
      <c r="E19" s="666"/>
      <c r="F19" s="661">
        <f>-(743^2)/(79966.17-C19)</f>
        <v>-2388.3750108159616</v>
      </c>
      <c r="G19" s="665"/>
      <c r="H19" s="666"/>
      <c r="I19" s="664"/>
      <c r="J19" s="660"/>
      <c r="K19" s="666"/>
      <c r="L19" s="663" t="s">
        <v>823</v>
      </c>
      <c r="M19" s="663" t="str">
        <f>IF(AX19="PT",VLOOKUP(L19,'Foundation Calculation'!$V$2:$X$40,VLOOKUP(AX19,'Foundation Calculation'!$I$10:$J$13,2,FALSE),0),IF(AX19="K",VLOOKUP(L19,'Foundation Calculation'!$V$42:$X$80,VLOOKUP(AX19,'Foundation Calculation'!$I$10:$J$13,2,FALSE),0),""))</f>
        <v>C9R</v>
      </c>
      <c r="N19" s="666"/>
      <c r="O19" s="666"/>
      <c r="P19" s="666"/>
      <c r="Q19" s="663"/>
      <c r="R19" s="663"/>
      <c r="S19" s="665"/>
      <c r="T19" s="663"/>
      <c r="U19" s="663"/>
      <c r="V19" s="663"/>
      <c r="W19" s="663"/>
      <c r="X19" s="663"/>
      <c r="Y19" s="663"/>
      <c r="Z19" s="663"/>
      <c r="AA19" s="663"/>
      <c r="AB19" s="663"/>
      <c r="AC19" s="663"/>
      <c r="AD19" s="663"/>
      <c r="AE19" s="663"/>
      <c r="AF19" s="663"/>
      <c r="AG19" s="660"/>
      <c r="AH19" s="663"/>
      <c r="AI19" s="707"/>
      <c r="AJ19" s="663"/>
      <c r="AK19" s="666"/>
      <c r="AL19" s="666"/>
      <c r="AM19" s="666" t="s">
        <v>1043</v>
      </c>
      <c r="AN19" s="665"/>
      <c r="AO19" s="666"/>
      <c r="AP19" s="666"/>
      <c r="AQ19" s="665"/>
      <c r="AR19" s="665"/>
      <c r="AS19" s="665"/>
      <c r="AT19" s="665"/>
      <c r="AU19" s="663"/>
      <c r="AV19" s="663"/>
      <c r="AW19" s="663" t="str">
        <f>VLOOKUP(C19,'Foundation Calculation'!$A$2:$C$33,3,1)</f>
        <v>Soil B</v>
      </c>
      <c r="AX19" s="663" t="str">
        <f>VLOOKUP(C19,'Foundation Calculation'!$E$2:$G$33,3,1)</f>
        <v>PT</v>
      </c>
      <c r="AY19" s="665">
        <f>IF(AX19="PT",VLOOKUP(L19,'Foundation Calculation'!$K$2:$R$40,VLOOKUP(AW19,'Foundation Calculation'!$I$2:$J$8,2,FALSE),0),IF(AX19="K",VLOOKUP(L19,'Foundation Calculation'!$K$42:$R$80,VLOOKUP(AW19,'Foundation Calculation'!$I$2:$J$8,2,FALSE),0),""))</f>
        <v>4.4000000000000004</v>
      </c>
      <c r="AZ19" s="665"/>
      <c r="BA19" s="670" t="s">
        <v>2809</v>
      </c>
      <c r="BB19" s="658" t="str">
        <f>Pole_Calculations!A136</f>
        <v>App.7-V11A-P12.3.1.1</v>
      </c>
      <c r="BC19" s="169"/>
      <c r="BD19" s="1329"/>
      <c r="BE19" s="1329"/>
      <c r="BF19" s="1330"/>
      <c r="BG19" s="1330"/>
    </row>
    <row r="20" spans="1:59" ht="15.75" customHeight="1">
      <c r="A20" s="647" t="s">
        <v>3049</v>
      </c>
      <c r="B20" s="657"/>
      <c r="C20" s="649"/>
      <c r="D20" s="657"/>
      <c r="E20" s="657"/>
      <c r="F20" s="657"/>
      <c r="G20" s="654">
        <v>39</v>
      </c>
      <c r="H20" s="647"/>
      <c r="I20" s="650" t="s">
        <v>1040</v>
      </c>
      <c r="J20" s="649">
        <f>C21-7.5</f>
        <v>79766.53</v>
      </c>
      <c r="K20" s="657" t="s">
        <v>2788</v>
      </c>
      <c r="L20" s="657"/>
      <c r="M20" s="657"/>
      <c r="N20" s="657"/>
      <c r="O20" s="657"/>
      <c r="P20" s="657"/>
      <c r="Q20" s="653"/>
      <c r="R20" s="653"/>
      <c r="S20" s="654"/>
      <c r="T20" s="653"/>
      <c r="U20" s="653"/>
      <c r="V20" s="653"/>
      <c r="W20" s="653"/>
      <c r="X20" s="653"/>
      <c r="Y20" s="653"/>
      <c r="Z20" s="653"/>
      <c r="AA20" s="653"/>
      <c r="AB20" s="653"/>
      <c r="AC20" s="653"/>
      <c r="AD20" s="653"/>
      <c r="AE20" s="653"/>
      <c r="AF20" s="653"/>
      <c r="AG20" s="649"/>
      <c r="AH20" s="653"/>
      <c r="AI20" s="704"/>
      <c r="AJ20" s="647"/>
      <c r="AK20" s="657"/>
      <c r="AL20" s="657"/>
      <c r="AM20" s="653"/>
      <c r="AN20" s="654"/>
      <c r="AO20" s="657"/>
      <c r="AP20" s="657"/>
      <c r="AQ20" s="654">
        <f>+FL_1($T$21,$T$15,47,1200,9.28,-1*$F$21)</f>
        <v>0.41743008038868334</v>
      </c>
      <c r="AR20" s="654"/>
      <c r="AS20" s="654"/>
      <c r="AT20" s="654"/>
      <c r="AU20" s="653"/>
      <c r="AV20" s="653"/>
      <c r="AW20" s="653" t="str">
        <f>VLOOKUP(J20,'Foundation Calculation'!$A$2:$C$33,3,1)</f>
        <v>Soil B</v>
      </c>
      <c r="AX20" s="653" t="str">
        <f>VLOOKUP(J20,'Foundation Calculation'!$E$2:$G$33,3,1)</f>
        <v>PT</v>
      </c>
      <c r="AY20" s="654"/>
      <c r="AZ20" s="654">
        <f>IF(AX20="PT",VLOOKUP(K20,'Foundation Calculation'!$K$2:$R$40,VLOOKUP(AW20,'Foundation Calculation'!$I$2:$J$8,2,FALSE),0),IF(AX20="K",VLOOKUP(K20,'Foundation Calculation'!$K$42:$R$80,VLOOKUP(AW20,'Foundation Calculation'!$I$2:$J$8,2,FALSE),0),""))</f>
        <v>2.8</v>
      </c>
      <c r="BA20" s="701" t="s">
        <v>2809</v>
      </c>
      <c r="BB20" s="647"/>
      <c r="BC20" s="169"/>
      <c r="BD20" s="1329"/>
      <c r="BE20" s="1330"/>
      <c r="BF20" s="1330"/>
      <c r="BG20" s="1330"/>
    </row>
    <row r="21" spans="1:59" ht="15.75" customHeight="1">
      <c r="A21" s="658" t="s">
        <v>3581</v>
      </c>
      <c r="B21" s="710" t="s">
        <v>3525</v>
      </c>
      <c r="C21" s="660">
        <f>+$C$19+$G$20</f>
        <v>79774.03</v>
      </c>
      <c r="D21" s="666"/>
      <c r="E21" s="666"/>
      <c r="F21" s="661">
        <f>-(743^2)/(79966.17-C21)</f>
        <v>-2873.1601956906511</v>
      </c>
      <c r="G21" s="665"/>
      <c r="H21" s="666" t="s">
        <v>619</v>
      </c>
      <c r="I21" s="664" t="s">
        <v>1429</v>
      </c>
      <c r="J21" s="660"/>
      <c r="K21" s="666"/>
      <c r="L21" s="663" t="s">
        <v>1697</v>
      </c>
      <c r="M21" s="663" t="str">
        <f>IF(AX21="PT",VLOOKUP(L21,'Foundation Calculation'!$V$2:$X$40,VLOOKUP(AX21,'Foundation Calculation'!$I$10:$J$13,2,FALSE),0),IF(AX21="K",VLOOKUP(L21,'Foundation Calculation'!$V$42:$X$80,VLOOKUP(AX21,'Foundation Calculation'!$I$10:$J$13,2,FALSE),0),""))</f>
        <v>2C3R</v>
      </c>
      <c r="N21" s="658" t="s">
        <v>144</v>
      </c>
      <c r="O21" s="658" t="s">
        <v>140</v>
      </c>
      <c r="P21" s="666"/>
      <c r="Q21" s="663"/>
      <c r="R21" s="663"/>
      <c r="S21" s="665"/>
      <c r="T21" s="663">
        <v>30</v>
      </c>
      <c r="U21" s="663">
        <v>-15</v>
      </c>
      <c r="V21" s="663"/>
      <c r="W21" s="663">
        <v>1.4</v>
      </c>
      <c r="X21" s="663">
        <v>2.2999999999999998</v>
      </c>
      <c r="Y21" s="663"/>
      <c r="Z21" s="663"/>
      <c r="AA21" s="663">
        <v>0.45</v>
      </c>
      <c r="AB21" s="663"/>
      <c r="AC21" s="663" t="str">
        <f>IF(OR(AT21&gt;8,AT21&lt;-8),"PH",IF(OR(AT21&gt;5,AT21&lt;-5),"PH-Q",IF(OR(AT21&gt;1,AT21&lt;-1),"PH-C")))</f>
        <v>PH</v>
      </c>
      <c r="AD21" s="663"/>
      <c r="AE21" s="663"/>
      <c r="AF21" s="663"/>
      <c r="AG21" s="660"/>
      <c r="AH21" s="663"/>
      <c r="AI21" s="707"/>
      <c r="AJ21" s="663" t="s">
        <v>3048</v>
      </c>
      <c r="AK21" s="666"/>
      <c r="AL21" s="666"/>
      <c r="AM21" s="666" t="s">
        <v>1043</v>
      </c>
      <c r="AN21" s="662">
        <v>5.5</v>
      </c>
      <c r="AO21" s="666"/>
      <c r="AP21" s="666"/>
      <c r="AQ21" s="665"/>
      <c r="AR21" s="665"/>
      <c r="AS21" s="665"/>
      <c r="AT21" s="665">
        <f>+ab($T$21,$T$15,$T$25,47,$G$24,-1*$F$21,1200)</f>
        <v>9.8499760605308353</v>
      </c>
      <c r="AU21" s="663"/>
      <c r="AV21" s="663"/>
      <c r="AW21" s="663" t="str">
        <f>VLOOKUP(C21,'Foundation Calculation'!$A$2:$C$33,3,1)</f>
        <v>Soil B</v>
      </c>
      <c r="AX21" s="663" t="str">
        <f>VLOOKUP(C21,'Foundation Calculation'!$E$2:$G$33,3,1)</f>
        <v>PT</v>
      </c>
      <c r="AY21" s="665">
        <f>IF(AX21="PT",VLOOKUP(L21,'Foundation Calculation'!$K$2:$R$40,VLOOKUP(AW21,'Foundation Calculation'!$I$2:$J$8,2,FALSE),0),IF(AX21="K",VLOOKUP(L21,'Foundation Calculation'!$K$42:$R$80,VLOOKUP(AW21,'Foundation Calculation'!$I$2:$J$8,2,FALSE),0),""))</f>
        <v>3.5</v>
      </c>
      <c r="AZ21" s="665"/>
      <c r="BA21" s="670" t="s">
        <v>2809</v>
      </c>
      <c r="BB21" s="658" t="str">
        <f>Pole_Calculations!A19</f>
        <v>App.7-V11A-P9.5.1.5</v>
      </c>
      <c r="BC21" s="169"/>
      <c r="BD21" s="1329"/>
      <c r="BE21" s="1329"/>
      <c r="BF21" s="1330"/>
      <c r="BG21" s="1329"/>
    </row>
    <row r="22" spans="1:59" ht="15.75" customHeight="1">
      <c r="A22" s="658"/>
      <c r="B22" s="710"/>
      <c r="C22" s="660"/>
      <c r="D22" s="666"/>
      <c r="E22" s="666"/>
      <c r="F22" s="661"/>
      <c r="G22" s="665"/>
      <c r="H22" s="666"/>
      <c r="I22" s="661" t="s">
        <v>1040</v>
      </c>
      <c r="J22" s="660">
        <f>C21+7.5</f>
        <v>79781.53</v>
      </c>
      <c r="K22" s="666" t="s">
        <v>2788</v>
      </c>
      <c r="L22" s="663"/>
      <c r="M22" s="663"/>
      <c r="N22" s="658"/>
      <c r="O22" s="658"/>
      <c r="P22" s="666"/>
      <c r="Q22" s="663"/>
      <c r="R22" s="663"/>
      <c r="S22" s="665"/>
      <c r="T22" s="663"/>
      <c r="U22" s="663"/>
      <c r="V22" s="663"/>
      <c r="W22" s="663"/>
      <c r="X22" s="663"/>
      <c r="Y22" s="663"/>
      <c r="Z22" s="663"/>
      <c r="AA22" s="663"/>
      <c r="AB22" s="663"/>
      <c r="AC22" s="663"/>
      <c r="AD22" s="663"/>
      <c r="AE22" s="663"/>
      <c r="AF22" s="663"/>
      <c r="AG22" s="660"/>
      <c r="AH22" s="663"/>
      <c r="AI22" s="707"/>
      <c r="AJ22" s="663"/>
      <c r="AK22" s="666"/>
      <c r="AL22" s="666"/>
      <c r="AM22" s="666"/>
      <c r="AN22" s="662"/>
      <c r="AO22" s="666"/>
      <c r="AP22" s="666"/>
      <c r="AQ22" s="665"/>
      <c r="AR22" s="665"/>
      <c r="AS22" s="665"/>
      <c r="AT22" s="665"/>
      <c r="AU22" s="663"/>
      <c r="AV22" s="663"/>
      <c r="AW22" s="663" t="str">
        <f>VLOOKUP(J22,'Foundation Calculation'!$A$2:$C$33,3,1)</f>
        <v>Soil B</v>
      </c>
      <c r="AX22" s="663" t="str">
        <f>VLOOKUP(J22,'Foundation Calculation'!$E$2:$G$33,3,1)</f>
        <v>PT</v>
      </c>
      <c r="AY22" s="665"/>
      <c r="AZ22" s="665">
        <f>IF(AX22="PT",VLOOKUP(K22,'Foundation Calculation'!$K$2:$R$40,VLOOKUP(AW22,'Foundation Calculation'!$I$2:$J$8,2,FALSE),0),IF(AX22="K",VLOOKUP(K22,'Foundation Calculation'!$K$42:$R$80,VLOOKUP(AW22,'Foundation Calculation'!$I$2:$J$8,2,FALSE),0),""))</f>
        <v>2.8</v>
      </c>
      <c r="BA22" s="670" t="s">
        <v>2809</v>
      </c>
      <c r="BB22" s="658"/>
      <c r="BC22" s="169"/>
      <c r="BD22" s="1329"/>
      <c r="BE22" s="1330"/>
      <c r="BF22" s="1330"/>
      <c r="BG22" s="1330"/>
    </row>
    <row r="23" spans="1:59" ht="15.75" customHeight="1">
      <c r="A23" s="658"/>
      <c r="B23" s="710" t="s">
        <v>4927</v>
      </c>
      <c r="C23" s="660">
        <f>C21+25</f>
        <v>79799.03</v>
      </c>
      <c r="D23" s="666"/>
      <c r="E23" s="666"/>
      <c r="F23" s="661"/>
      <c r="G23" s="665"/>
      <c r="H23" s="666"/>
      <c r="I23" s="664"/>
      <c r="J23" s="660"/>
      <c r="K23" s="666"/>
      <c r="L23" s="663" t="s">
        <v>4420</v>
      </c>
      <c r="M23" s="663" t="s">
        <v>4399</v>
      </c>
      <c r="N23" s="658"/>
      <c r="O23" s="658"/>
      <c r="P23" s="666"/>
      <c r="Q23" s="663"/>
      <c r="R23" s="663"/>
      <c r="S23" s="665"/>
      <c r="T23" s="663"/>
      <c r="U23" s="663"/>
      <c r="V23" s="663"/>
      <c r="W23" s="663"/>
      <c r="X23" s="663"/>
      <c r="Y23" s="663"/>
      <c r="Z23" s="663"/>
      <c r="AA23" s="663"/>
      <c r="AB23" s="663"/>
      <c r="AC23" s="663"/>
      <c r="AD23" s="663"/>
      <c r="AE23" s="663"/>
      <c r="AF23" s="663"/>
      <c r="AG23" s="660"/>
      <c r="AH23" s="663"/>
      <c r="AI23" s="707"/>
      <c r="AJ23" s="663"/>
      <c r="AK23" s="666"/>
      <c r="AL23" s="666"/>
      <c r="AM23" s="666"/>
      <c r="AN23" s="662"/>
      <c r="AO23" s="666"/>
      <c r="AP23" s="666"/>
      <c r="AQ23" s="665"/>
      <c r="AR23" s="665"/>
      <c r="AS23" s="665"/>
      <c r="AT23" s="665"/>
      <c r="AU23" s="663"/>
      <c r="AV23" s="663"/>
      <c r="AW23" s="663" t="str">
        <f>VLOOKUP(C23,'Foundation Calculation'!$A$2:$C$33,3,1)</f>
        <v>Soil B</v>
      </c>
      <c r="AX23" s="663" t="str">
        <f>VLOOKUP(C23,'Foundation Calculation'!$E$2:$G$33,3,1)</f>
        <v>PT</v>
      </c>
      <c r="AY23" s="665">
        <v>1.2</v>
      </c>
      <c r="AZ23" s="665"/>
      <c r="BA23" s="670" t="s">
        <v>2809</v>
      </c>
      <c r="BB23" s="658"/>
      <c r="BC23" s="169"/>
      <c r="BD23" s="1329"/>
      <c r="BE23" s="1329"/>
      <c r="BF23" s="1330"/>
      <c r="BG23" s="1330"/>
    </row>
    <row r="24" spans="1:59" ht="15.75" customHeight="1">
      <c r="A24" s="709"/>
      <c r="B24" s="666"/>
      <c r="C24" s="660"/>
      <c r="D24" s="666"/>
      <c r="E24" s="666"/>
      <c r="F24" s="666"/>
      <c r="G24" s="665">
        <v>53</v>
      </c>
      <c r="H24" s="666"/>
      <c r="I24" s="664"/>
      <c r="J24" s="660"/>
      <c r="K24" s="666"/>
      <c r="L24" s="666"/>
      <c r="M24" s="666"/>
      <c r="N24" s="666"/>
      <c r="O24" s="666"/>
      <c r="P24" s="666"/>
      <c r="Q24" s="663"/>
      <c r="R24" s="663"/>
      <c r="S24" s="665"/>
      <c r="T24" s="663"/>
      <c r="U24" s="663"/>
      <c r="V24" s="663"/>
      <c r="W24" s="663"/>
      <c r="X24" s="663"/>
      <c r="Y24" s="663"/>
      <c r="Z24" s="663"/>
      <c r="AA24" s="663"/>
      <c r="AB24" s="663"/>
      <c r="AC24" s="663"/>
      <c r="AD24" s="663"/>
      <c r="AE24" s="663"/>
      <c r="AF24" s="663"/>
      <c r="AG24" s="660"/>
      <c r="AH24" s="663"/>
      <c r="AI24" s="707"/>
      <c r="AJ24" s="658" t="s">
        <v>1360</v>
      </c>
      <c r="AK24" s="666"/>
      <c r="AL24" s="666"/>
      <c r="AM24" s="666"/>
      <c r="AN24" s="665"/>
      <c r="AO24" s="666"/>
      <c r="AP24" s="666"/>
      <c r="AQ24" s="665">
        <f>+FL_2($T$25,$T$21,$G$24,1200,9.28,-1*$F$25)</f>
        <v>-0.11177212912091716</v>
      </c>
      <c r="AR24" s="665"/>
      <c r="AS24" s="665"/>
      <c r="AT24" s="665"/>
      <c r="AU24" s="663"/>
      <c r="AV24" s="663"/>
      <c r="AW24" s="666"/>
      <c r="AX24" s="665"/>
      <c r="AY24" s="665"/>
      <c r="AZ24" s="665"/>
      <c r="BA24" s="1303"/>
      <c r="BB24" s="709"/>
      <c r="BC24" s="169"/>
      <c r="BD24" s="1330"/>
      <c r="BE24" s="1330"/>
      <c r="BF24" s="1330"/>
      <c r="BG24" s="1330"/>
    </row>
    <row r="25" spans="1:59" ht="15.75" customHeight="1">
      <c r="A25" s="709"/>
      <c r="B25" s="710" t="s">
        <v>3526</v>
      </c>
      <c r="C25" s="660">
        <f>+$C$21+$G$24</f>
        <v>79827.03</v>
      </c>
      <c r="D25" s="666"/>
      <c r="E25" s="666"/>
      <c r="F25" s="661">
        <f>-(743^2)/(79966.17-C25)</f>
        <v>-3967.579416415138</v>
      </c>
      <c r="G25" s="665"/>
      <c r="H25" s="666" t="s">
        <v>138</v>
      </c>
      <c r="I25" s="664" t="s">
        <v>623</v>
      </c>
      <c r="J25" s="660"/>
      <c r="K25" s="666"/>
      <c r="L25" s="666" t="s">
        <v>819</v>
      </c>
      <c r="M25" s="663" t="str">
        <f>IF(AX25="PT",VLOOKUP(L25,'Foundation Calculation'!$V$2:$X$40,VLOOKUP(AX25,'Foundation Calculation'!$I$10:$J$13,2,FALSE),0),IF(AX25="K",VLOOKUP(L25,'Foundation Calculation'!$V$42:$X$80,VLOOKUP(AX25,'Foundation Calculation'!$I$10:$J$13,2,FALSE),0),""))</f>
        <v>C5R</v>
      </c>
      <c r="N25" s="658" t="s">
        <v>144</v>
      </c>
      <c r="O25" s="666"/>
      <c r="P25" s="666"/>
      <c r="Q25" s="663"/>
      <c r="R25" s="663"/>
      <c r="S25" s="665"/>
      <c r="T25" s="663">
        <v>20</v>
      </c>
      <c r="U25" s="663"/>
      <c r="V25" s="663"/>
      <c r="W25" s="663">
        <v>1.4</v>
      </c>
      <c r="X25" s="663"/>
      <c r="Y25" s="663"/>
      <c r="Z25" s="663"/>
      <c r="AA25" s="663"/>
      <c r="AB25" s="663"/>
      <c r="AC25" s="663" t="str">
        <f>IF(OR(AT25&gt;8,AT25&lt;-8),"PH",IF(OR(AT25&gt;5,AT25&lt;-5),"PH-Q",IF(OR(AT25&gt;1,AT25&lt;-1),"PH-C")))</f>
        <v>PH</v>
      </c>
      <c r="AD25" s="663"/>
      <c r="AE25" s="663"/>
      <c r="AF25" s="663"/>
      <c r="AG25" s="660"/>
      <c r="AH25" s="663"/>
      <c r="AI25" s="707"/>
      <c r="AJ25" s="666" t="s">
        <v>3516</v>
      </c>
      <c r="AK25" s="666"/>
      <c r="AL25" s="666"/>
      <c r="AM25" s="666" t="s">
        <v>1043</v>
      </c>
      <c r="AN25" s="662">
        <v>5.5</v>
      </c>
      <c r="AO25" s="666"/>
      <c r="AP25" s="666"/>
      <c r="AQ25" s="665"/>
      <c r="AR25" s="665"/>
      <c r="AS25" s="665"/>
      <c r="AT25" s="665">
        <f>+ab($T$25,$T$21,$T$27,$G$24,$G$26,-1*$F$25,1200)</f>
        <v>18.681241509099721</v>
      </c>
      <c r="AU25" s="663"/>
      <c r="AV25" s="663"/>
      <c r="AW25" s="663" t="str">
        <f>VLOOKUP(C25,'Foundation Calculation'!$A$2:$C$33,3,1)</f>
        <v>Soil B</v>
      </c>
      <c r="AX25" s="663" t="str">
        <f>VLOOKUP(C25,'Foundation Calculation'!$E$2:$G$33,3,1)</f>
        <v>PT</v>
      </c>
      <c r="AY25" s="665">
        <f>IF(AX25="PT",VLOOKUP(L25,'Foundation Calculation'!$K$2:$R$40,VLOOKUP(AW25,'Foundation Calculation'!$I$2:$J$8,2,FALSE),0),IF(AX25="K",VLOOKUP(L25,'Foundation Calculation'!$K$42:$R$80,VLOOKUP(AW25,'Foundation Calculation'!$I$2:$J$8,2,FALSE),0),""))</f>
        <v>3.5</v>
      </c>
      <c r="AZ25" s="665"/>
      <c r="BA25" s="670" t="s">
        <v>2809</v>
      </c>
      <c r="BB25" s="709" t="str">
        <f>Pole_Calculations!A20</f>
        <v>App.7-V11A-P9.5.1.6</v>
      </c>
      <c r="BC25" s="169"/>
      <c r="BD25" s="1329"/>
      <c r="BE25" s="1329"/>
      <c r="BF25" s="1330"/>
      <c r="BG25" s="1329"/>
    </row>
    <row r="26" spans="1:59" ht="15.75" customHeight="1">
      <c r="A26" s="658" t="s">
        <v>3518</v>
      </c>
      <c r="B26" s="666"/>
      <c r="C26" s="660"/>
      <c r="D26" s="666"/>
      <c r="E26" s="666"/>
      <c r="F26" s="666"/>
      <c r="G26" s="665">
        <v>55</v>
      </c>
      <c r="H26" s="666"/>
      <c r="I26" s="664"/>
      <c r="J26" s="660">
        <f>C25+7.5</f>
        <v>79834.53</v>
      </c>
      <c r="K26" s="666" t="s">
        <v>2787</v>
      </c>
      <c r="L26" s="666"/>
      <c r="M26" s="666"/>
      <c r="N26" s="666"/>
      <c r="O26" s="666"/>
      <c r="P26" s="666"/>
      <c r="Q26" s="663"/>
      <c r="R26" s="663"/>
      <c r="S26" s="665"/>
      <c r="T26" s="663"/>
      <c r="U26" s="663"/>
      <c r="V26" s="663"/>
      <c r="W26" s="663"/>
      <c r="X26" s="663"/>
      <c r="Y26" s="663"/>
      <c r="Z26" s="663"/>
      <c r="AA26" s="663"/>
      <c r="AB26" s="663"/>
      <c r="AC26" s="663"/>
      <c r="AD26" s="663"/>
      <c r="AE26" s="663"/>
      <c r="AF26" s="663"/>
      <c r="AG26" s="660"/>
      <c r="AH26" s="663"/>
      <c r="AI26" s="707"/>
      <c r="AJ26" s="666"/>
      <c r="AK26" s="666"/>
      <c r="AL26" s="666"/>
      <c r="AM26" s="666"/>
      <c r="AN26" s="665"/>
      <c r="AO26" s="666"/>
      <c r="AP26" s="666"/>
      <c r="AQ26" s="665">
        <f>+FL_1($T$27,$T$25,$G$26,1200,9.28,-1*$F$27)</f>
        <v>0.48744688053477969</v>
      </c>
      <c r="AR26" s="665"/>
      <c r="AS26" s="665"/>
      <c r="AT26" s="665"/>
      <c r="AU26" s="663"/>
      <c r="AV26" s="663"/>
      <c r="AW26" s="663" t="str">
        <f>VLOOKUP(J26,'Foundation Calculation'!$A$2:$C$33,3,1)</f>
        <v>Soil B</v>
      </c>
      <c r="AX26" s="663" t="str">
        <f>VLOOKUP(J26,'Foundation Calculation'!$E$2:$G$33,3,1)</f>
        <v>PT</v>
      </c>
      <c r="AY26" s="665"/>
      <c r="AZ26" s="665">
        <f>IF(AX26="PT",VLOOKUP(K26,'Foundation Calculation'!$K$2:$R$40,VLOOKUP(AW26,'Foundation Calculation'!$I$2:$J$8,2,FALSE),0),IF(AX26="K",VLOOKUP(K26,'Foundation Calculation'!$K$42:$R$80,VLOOKUP(AW26,'Foundation Calculation'!$I$2:$J$8,2,FALSE),0),""))</f>
        <v>3.9</v>
      </c>
      <c r="BA26" s="670" t="s">
        <v>2809</v>
      </c>
      <c r="BB26" s="658"/>
      <c r="BC26" s="169"/>
      <c r="BD26" s="1329"/>
      <c r="BE26" s="1330"/>
      <c r="BF26" s="1330"/>
      <c r="BG26" s="1330"/>
    </row>
    <row r="27" spans="1:59" ht="15.75" customHeight="1">
      <c r="A27" s="449"/>
      <c r="B27" s="485" t="s">
        <v>3527</v>
      </c>
      <c r="C27" s="446">
        <f>+$C$25+$G$26</f>
        <v>79882.03</v>
      </c>
      <c r="D27" s="445"/>
      <c r="E27" s="445"/>
      <c r="F27" s="448">
        <f>-(743^2)/(79966.17-C27)</f>
        <v>-6561.0767768006162</v>
      </c>
      <c r="G27" s="484"/>
      <c r="H27" s="445"/>
      <c r="I27" s="445"/>
      <c r="J27" s="446"/>
      <c r="K27" s="445"/>
      <c r="L27" s="445" t="s">
        <v>818</v>
      </c>
      <c r="M27" s="638" t="str">
        <f>IF(AX27="PT",VLOOKUP(L27,'Foundation Calculation'!$V$2:$X$40,VLOOKUP(AX27,'Foundation Calculation'!$I$10:$J$13,2,FALSE),0),IF(AX27="K",VLOOKUP(L27,'Foundation Calculation'!$V$42:$X$80,VLOOKUP(AX27,'Foundation Calculation'!$I$10:$J$13,2,FALSE),0),""))</f>
        <v>C4R</v>
      </c>
      <c r="N27" s="445" t="s">
        <v>144</v>
      </c>
      <c r="O27" s="445"/>
      <c r="P27" s="445"/>
      <c r="Q27" s="638"/>
      <c r="R27" s="638"/>
      <c r="S27" s="484"/>
      <c r="T27" s="638">
        <v>30</v>
      </c>
      <c r="U27" s="638"/>
      <c r="V27" s="638"/>
      <c r="W27" s="638">
        <v>1.4</v>
      </c>
      <c r="X27" s="638"/>
      <c r="Y27" s="638"/>
      <c r="Z27" s="638"/>
      <c r="AA27" s="638"/>
      <c r="AB27" s="638"/>
      <c r="AC27" s="638" t="str">
        <f>IF(OR(AT27&gt;8,AT27&lt;-8),"PH",IF(OR(AT27&gt;5,AT27&lt;-5),"PH-Q",IF(OR(AT27&gt;1,AT27&lt;-1),"PH-C")))</f>
        <v>PH</v>
      </c>
      <c r="AD27" s="638"/>
      <c r="AE27" s="638"/>
      <c r="AF27" s="638"/>
      <c r="AG27" s="446"/>
      <c r="AH27" s="638"/>
      <c r="AI27" s="185"/>
      <c r="AJ27" s="445" t="s">
        <v>3516</v>
      </c>
      <c r="AK27" s="445"/>
      <c r="AL27" s="445"/>
      <c r="AM27" s="445" t="s">
        <v>1043</v>
      </c>
      <c r="AN27" s="484">
        <v>5.5</v>
      </c>
      <c r="AO27" s="445"/>
      <c r="AP27" s="445"/>
      <c r="AQ27" s="484"/>
      <c r="AR27" s="484"/>
      <c r="AS27" s="484"/>
      <c r="AT27" s="484">
        <f>+ab($T$27,$T$25,$T$29,$G$26,$G$28,-1*$F$27,1200)</f>
        <v>8.726277249889387</v>
      </c>
      <c r="AU27" s="638"/>
      <c r="AV27" s="638"/>
      <c r="AW27" s="638" t="str">
        <f>VLOOKUP(C27,'Foundation Calculation'!$A$2:$C$33,3,1)</f>
        <v>Soil B</v>
      </c>
      <c r="AX27" s="638" t="str">
        <f>VLOOKUP(C27,'Foundation Calculation'!$E$2:$G$33,3,1)</f>
        <v>PT</v>
      </c>
      <c r="AY27" s="484">
        <f>IF(AX27="PT",VLOOKUP(L27,'Foundation Calculation'!$K$2:$R$40,VLOOKUP(AW27,'Foundation Calculation'!$I$2:$J$8,2,FALSE),0),IF(AX27="K",VLOOKUP(L27,'Foundation Calculation'!$K$42:$R$80,VLOOKUP(AW27,'Foundation Calculation'!$I$2:$J$8,2,FALSE),0),""))</f>
        <v>3.5</v>
      </c>
      <c r="AZ27" s="484"/>
      <c r="BA27" s="671" t="s">
        <v>2809</v>
      </c>
      <c r="BB27" s="449" t="str">
        <f>Pole_Calculations!A15</f>
        <v>App.7-V11A-P9.5.1.1</v>
      </c>
      <c r="BC27" s="169"/>
      <c r="BD27" s="1329"/>
      <c r="BE27" s="1329"/>
      <c r="BF27" s="1330"/>
      <c r="BG27" s="1329"/>
    </row>
    <row r="28" spans="1:59" ht="15.75" customHeight="1">
      <c r="A28" s="449"/>
      <c r="B28" s="447"/>
      <c r="C28" s="446"/>
      <c r="D28" s="638"/>
      <c r="E28" s="638"/>
      <c r="F28" s="447"/>
      <c r="G28" s="484">
        <v>50</v>
      </c>
      <c r="H28" s="445"/>
      <c r="I28" s="445"/>
      <c r="J28" s="446"/>
      <c r="K28" s="445"/>
      <c r="L28" s="445"/>
      <c r="M28" s="445"/>
      <c r="N28" s="445"/>
      <c r="O28" s="445"/>
      <c r="P28" s="445"/>
      <c r="Q28" s="638"/>
      <c r="R28" s="638"/>
      <c r="S28" s="484"/>
      <c r="T28" s="638"/>
      <c r="U28" s="638"/>
      <c r="V28" s="638"/>
      <c r="W28" s="638"/>
      <c r="X28" s="638"/>
      <c r="Y28" s="638"/>
      <c r="Z28" s="638"/>
      <c r="AA28" s="638"/>
      <c r="AB28" s="638"/>
      <c r="AC28" s="638"/>
      <c r="AD28" s="638"/>
      <c r="AE28" s="638"/>
      <c r="AF28" s="638"/>
      <c r="AG28" s="446"/>
      <c r="AH28" s="638"/>
      <c r="AI28" s="185"/>
      <c r="AJ28" s="445"/>
      <c r="AK28" s="445"/>
      <c r="AL28" s="638"/>
      <c r="AM28" s="445"/>
      <c r="AN28" s="484"/>
      <c r="AO28" s="445"/>
      <c r="AP28" s="445"/>
      <c r="AQ28" s="484">
        <f>+FL_2($T$29,$T$27,$G$28,1200,9.28,-1*$F$29)</f>
        <v>-0.34720180860526284</v>
      </c>
      <c r="AR28" s="484"/>
      <c r="AS28" s="484"/>
      <c r="AT28" s="484"/>
      <c r="AU28" s="638"/>
      <c r="AV28" s="638"/>
      <c r="AW28" s="484"/>
      <c r="AX28" s="484"/>
      <c r="AY28" s="484"/>
      <c r="AZ28" s="484"/>
      <c r="BA28" s="1304"/>
      <c r="BB28" s="449"/>
      <c r="BC28" s="169"/>
      <c r="BD28" s="1330"/>
      <c r="BE28" s="1330"/>
      <c r="BF28" s="1330"/>
      <c r="BG28" s="1330"/>
    </row>
    <row r="29" spans="1:59" ht="15.75" customHeight="1">
      <c r="A29" s="449"/>
      <c r="B29" s="435" t="s">
        <v>3528</v>
      </c>
      <c r="C29" s="446">
        <f>+$C$27+$G$28</f>
        <v>79932.03</v>
      </c>
      <c r="D29" s="638"/>
      <c r="E29" s="638"/>
      <c r="F29" s="448">
        <f>-(743^2)/(79966.17-C29)</f>
        <v>-16170.152314001447</v>
      </c>
      <c r="G29" s="484"/>
      <c r="H29" s="638"/>
      <c r="I29" s="638"/>
      <c r="J29" s="446"/>
      <c r="K29" s="638"/>
      <c r="L29" s="445" t="s">
        <v>818</v>
      </c>
      <c r="M29" s="638" t="str">
        <f>IF(AX29="PT",VLOOKUP(L29,'Foundation Calculation'!$V$2:$X$40,VLOOKUP(AX29,'Foundation Calculation'!$I$10:$J$13,2,FALSE),0),IF(AX29="K",VLOOKUP(L29,'Foundation Calculation'!$V$42:$X$80,VLOOKUP(AX29,'Foundation Calculation'!$I$10:$J$13,2,FALSE),0),""))</f>
        <v>C4R</v>
      </c>
      <c r="N29" s="1239" t="s">
        <v>143</v>
      </c>
      <c r="O29" s="1239"/>
      <c r="P29" s="638"/>
      <c r="Q29" s="638"/>
      <c r="R29" s="638"/>
      <c r="S29" s="484"/>
      <c r="T29" s="638">
        <v>-30</v>
      </c>
      <c r="U29" s="638"/>
      <c r="V29" s="638"/>
      <c r="W29" s="638">
        <v>1.4</v>
      </c>
      <c r="X29" s="638"/>
      <c r="Y29" s="638"/>
      <c r="Z29" s="638"/>
      <c r="AA29" s="638"/>
      <c r="AB29" s="638"/>
      <c r="AC29" s="638" t="str">
        <f>IF(OR(AT29&gt;8,AT29&lt;-8),"PH",IF(OR(AT29&gt;5,AT29&lt;-5),"PH-Q",IF(OR(AT29&gt;1,AT29&lt;-1),"PH-C")))</f>
        <v>PH</v>
      </c>
      <c r="AD29" s="638"/>
      <c r="AE29" s="638"/>
      <c r="AF29" s="638"/>
      <c r="AG29" s="446"/>
      <c r="AH29" s="638"/>
      <c r="AI29" s="185"/>
      <c r="AJ29" s="445" t="s">
        <v>3516</v>
      </c>
      <c r="AK29" s="1239"/>
      <c r="AL29" s="638"/>
      <c r="AM29" s="638" t="s">
        <v>1043</v>
      </c>
      <c r="AN29" s="455">
        <v>5.5</v>
      </c>
      <c r="AO29" s="1239"/>
      <c r="AP29" s="445"/>
      <c r="AQ29" s="484"/>
      <c r="AR29" s="484"/>
      <c r="AS29" s="484"/>
      <c r="AT29" s="484">
        <f>+ab($T$29,$T$27,$T$31,$G$28,$G$30,-1*$F$29,1200)</f>
        <v>-8.6917750569324337</v>
      </c>
      <c r="AU29" s="638"/>
      <c r="AV29" s="638"/>
      <c r="AW29" s="638" t="str">
        <f>VLOOKUP(C29,'Foundation Calculation'!$A$2:$C$33,3,1)</f>
        <v>Soil B</v>
      </c>
      <c r="AX29" s="638" t="str">
        <f>VLOOKUP(C29,'Foundation Calculation'!$E$2:$G$33,3,1)</f>
        <v>PT</v>
      </c>
      <c r="AY29" s="484">
        <f>IF(AX29="PT",VLOOKUP(L29,'Foundation Calculation'!$K$2:$R$40,VLOOKUP(AW29,'Foundation Calculation'!$I$2:$J$8,2,FALSE),0),IF(AX29="K",VLOOKUP(L29,'Foundation Calculation'!$K$42:$R$80,VLOOKUP(AW29,'Foundation Calculation'!$I$2:$J$8,2,FALSE),0),""))</f>
        <v>3.5</v>
      </c>
      <c r="AZ29" s="484"/>
      <c r="BA29" s="671" t="s">
        <v>2809</v>
      </c>
      <c r="BB29" s="449" t="str">
        <f>Pole_Calculations!A15</f>
        <v>App.7-V11A-P9.5.1.1</v>
      </c>
      <c r="BC29" s="169"/>
      <c r="BD29" s="1329"/>
      <c r="BE29" s="1329"/>
      <c r="BF29" s="1330"/>
      <c r="BG29" s="1329"/>
    </row>
    <row r="30" spans="1:59" ht="15.75" customHeight="1">
      <c r="A30" s="449"/>
      <c r="B30" s="173"/>
      <c r="C30" s="446"/>
      <c r="D30" s="638"/>
      <c r="E30" s="638"/>
      <c r="F30" s="447"/>
      <c r="G30" s="484">
        <v>50</v>
      </c>
      <c r="H30" s="638"/>
      <c r="I30" s="638"/>
      <c r="J30" s="446"/>
      <c r="K30" s="638"/>
      <c r="L30" s="445"/>
      <c r="M30" s="445"/>
      <c r="N30" s="1239"/>
      <c r="O30" s="1239"/>
      <c r="P30" s="638"/>
      <c r="Q30" s="638"/>
      <c r="R30" s="638"/>
      <c r="S30" s="484"/>
      <c r="T30" s="638"/>
      <c r="U30" s="638"/>
      <c r="V30" s="638"/>
      <c r="W30" s="638"/>
      <c r="X30" s="638"/>
      <c r="Y30" s="638"/>
      <c r="Z30" s="638"/>
      <c r="AA30" s="638"/>
      <c r="AB30" s="638"/>
      <c r="AC30" s="638"/>
      <c r="AD30" s="638"/>
      <c r="AE30" s="638"/>
      <c r="AF30" s="638"/>
      <c r="AG30" s="446"/>
      <c r="AH30" s="638"/>
      <c r="AI30" s="185"/>
      <c r="AJ30" s="445"/>
      <c r="AK30" s="1239"/>
      <c r="AL30" s="638"/>
      <c r="AM30" s="638"/>
      <c r="AN30" s="455"/>
      <c r="AO30" s="1239"/>
      <c r="AP30" s="445"/>
      <c r="AQ30" s="484">
        <f>+FL_1($T$31,$T$29,$G$30,1200,9.28,-1*$F$31)</f>
        <v>0.37593390799999998</v>
      </c>
      <c r="AR30" s="484"/>
      <c r="AS30" s="484"/>
      <c r="AT30" s="484"/>
      <c r="AU30" s="638"/>
      <c r="AV30" s="638"/>
      <c r="AW30" s="484"/>
      <c r="AX30" s="484"/>
      <c r="AY30" s="484"/>
      <c r="AZ30" s="484"/>
      <c r="BA30" s="1304"/>
      <c r="BB30" s="449"/>
      <c r="BC30" s="169"/>
      <c r="BD30" s="1330"/>
      <c r="BE30" s="1330"/>
      <c r="BF30" s="1330"/>
      <c r="BG30" s="1330"/>
    </row>
    <row r="31" spans="1:59" ht="15.75" customHeight="1">
      <c r="A31" s="449"/>
      <c r="B31" s="435" t="s">
        <v>3529</v>
      </c>
      <c r="C31" s="446">
        <f>+$C$29+$G$30</f>
        <v>79982.03</v>
      </c>
      <c r="D31" s="638"/>
      <c r="E31" s="638"/>
      <c r="F31" s="447">
        <v>0</v>
      </c>
      <c r="G31" s="484"/>
      <c r="H31" s="638"/>
      <c r="I31" s="1239"/>
      <c r="J31" s="446"/>
      <c r="K31" s="638"/>
      <c r="L31" s="445" t="s">
        <v>818</v>
      </c>
      <c r="M31" s="638" t="str">
        <f>IF(AX31="PT",VLOOKUP(L31,'Foundation Calculation'!$V$2:$X$40,VLOOKUP(AX31,'Foundation Calculation'!$I$10:$J$13,2,FALSE),0),IF(AX31="K",VLOOKUP(L31,'Foundation Calculation'!$V$42:$X$80,VLOOKUP(AX31,'Foundation Calculation'!$I$10:$J$13,2,FALSE),0),""))</f>
        <v>C4R</v>
      </c>
      <c r="N31" s="1239" t="s">
        <v>144</v>
      </c>
      <c r="O31" s="1239"/>
      <c r="P31" s="638"/>
      <c r="Q31" s="638"/>
      <c r="R31" s="638"/>
      <c r="S31" s="484"/>
      <c r="T31" s="638">
        <v>35</v>
      </c>
      <c r="U31" s="638"/>
      <c r="V31" s="638"/>
      <c r="W31" s="638">
        <v>1.4</v>
      </c>
      <c r="X31" s="638"/>
      <c r="Y31" s="638"/>
      <c r="Z31" s="638"/>
      <c r="AA31" s="638"/>
      <c r="AB31" s="638"/>
      <c r="AC31" s="638" t="str">
        <f>IF(OR(AT31&gt;8,AT31&lt;-8),"PH",IF(OR(AT31&gt;5,AT31&lt;-5),"PH-Q",IF(OR(AT31&gt;1,AT31&lt;-1),"PH-C")))</f>
        <v>PH-Q</v>
      </c>
      <c r="AD31" s="638"/>
      <c r="AE31" s="638"/>
      <c r="AF31" s="638"/>
      <c r="AG31" s="446"/>
      <c r="AH31" s="638"/>
      <c r="AI31" s="638"/>
      <c r="AJ31" s="445" t="s">
        <v>3516</v>
      </c>
      <c r="AK31" s="1239"/>
      <c r="AL31" s="638"/>
      <c r="AM31" s="638" t="s">
        <v>1043</v>
      </c>
      <c r="AN31" s="455">
        <v>5.5</v>
      </c>
      <c r="AO31" s="1239"/>
      <c r="AP31" s="445"/>
      <c r="AQ31" s="484"/>
      <c r="AR31" s="484"/>
      <c r="AS31" s="484"/>
      <c r="AT31" s="484">
        <f>+ab($T$31,$T$29,$T$33,$G$30,$G$32,-1*$F$31,1200)</f>
        <v>7.0710038601060328</v>
      </c>
      <c r="AU31" s="638"/>
      <c r="AV31" s="638"/>
      <c r="AW31" s="638" t="str">
        <f>VLOOKUP(C31,'Foundation Calculation'!$A$2:$C$33,3,1)</f>
        <v>Soil B</v>
      </c>
      <c r="AX31" s="638" t="str">
        <f>VLOOKUP(C31,'Foundation Calculation'!$E$2:$G$33,3,1)</f>
        <v>PT</v>
      </c>
      <c r="AY31" s="484">
        <f>IF(AX31="PT",VLOOKUP(L31,'Foundation Calculation'!$K$2:$R$40,VLOOKUP(AW31,'Foundation Calculation'!$I$2:$J$8,2,FALSE),0),IF(AX31="K",VLOOKUP(L31,'Foundation Calculation'!$K$42:$R$80,VLOOKUP(AW31,'Foundation Calculation'!$I$2:$J$8,2,FALSE),0),""))</f>
        <v>3.5</v>
      </c>
      <c r="AZ31" s="484"/>
      <c r="BA31" s="671" t="s">
        <v>2809</v>
      </c>
      <c r="BB31" s="449" t="str">
        <f>Pole_Calculations!A15</f>
        <v>App.7-V11A-P9.5.1.1</v>
      </c>
      <c r="BC31" s="169"/>
      <c r="BD31" s="1329"/>
      <c r="BE31" s="1329"/>
      <c r="BF31" s="1330"/>
      <c r="BG31" s="1329"/>
    </row>
    <row r="32" spans="1:59" ht="15.75" customHeight="1">
      <c r="A32" s="447"/>
      <c r="B32" s="173"/>
      <c r="C32" s="446"/>
      <c r="D32" s="638"/>
      <c r="E32" s="638"/>
      <c r="F32" s="447"/>
      <c r="G32" s="484">
        <v>50</v>
      </c>
      <c r="H32" s="1239"/>
      <c r="I32" s="1239"/>
      <c r="J32" s="446"/>
      <c r="K32" s="638"/>
      <c r="L32" s="445"/>
      <c r="M32" s="445"/>
      <c r="N32" s="1239"/>
      <c r="O32" s="1239"/>
      <c r="P32" s="638"/>
      <c r="Q32" s="638"/>
      <c r="R32" s="638"/>
      <c r="S32" s="484"/>
      <c r="T32" s="638"/>
      <c r="U32" s="638"/>
      <c r="V32" s="638"/>
      <c r="W32" s="638"/>
      <c r="X32" s="638"/>
      <c r="Y32" s="638"/>
      <c r="Z32" s="638"/>
      <c r="AA32" s="638"/>
      <c r="AB32" s="638"/>
      <c r="AC32" s="638"/>
      <c r="AD32" s="638"/>
      <c r="AE32" s="638"/>
      <c r="AF32" s="638"/>
      <c r="AG32" s="446"/>
      <c r="AH32" s="638"/>
      <c r="AI32" s="638"/>
      <c r="AJ32" s="445"/>
      <c r="AK32" s="1239"/>
      <c r="AL32" s="638"/>
      <c r="AM32" s="638"/>
      <c r="AN32" s="455"/>
      <c r="AO32" s="1239"/>
      <c r="AP32" s="445"/>
      <c r="AQ32" s="484">
        <f>+FL_2($T$33,$T$31,$G$32,1200,9.28,-1*$F$33)</f>
        <v>-0.36839079999999996</v>
      </c>
      <c r="AR32" s="484"/>
      <c r="AS32" s="484"/>
      <c r="AT32" s="484"/>
      <c r="AU32" s="638"/>
      <c r="AV32" s="638"/>
      <c r="AW32" s="484"/>
      <c r="AX32" s="484"/>
      <c r="AY32" s="484"/>
      <c r="AZ32" s="484"/>
      <c r="BA32" s="671"/>
      <c r="BB32" s="447"/>
      <c r="BC32" s="169"/>
      <c r="BD32" s="1330"/>
      <c r="BE32" s="1330"/>
      <c r="BF32" s="1330"/>
      <c r="BG32" s="1330"/>
    </row>
    <row r="33" spans="1:59" ht="15.75" customHeight="1">
      <c r="A33" s="1239"/>
      <c r="B33" s="435" t="s">
        <v>3530</v>
      </c>
      <c r="C33" s="446">
        <f>+$C$31+$G$32</f>
        <v>80032.03</v>
      </c>
      <c r="D33" s="638"/>
      <c r="E33" s="638"/>
      <c r="F33" s="447">
        <v>0</v>
      </c>
      <c r="G33" s="484"/>
      <c r="H33" s="1239"/>
      <c r="I33" s="1239"/>
      <c r="J33" s="446"/>
      <c r="K33" s="638"/>
      <c r="L33" s="445" t="s">
        <v>818</v>
      </c>
      <c r="M33" s="638" t="str">
        <f>IF(AX33="PT",VLOOKUP(L33,'Foundation Calculation'!$V$2:$X$40,VLOOKUP(AX33,'Foundation Calculation'!$I$10:$J$13,2,FALSE),0),IF(AX33="K",VLOOKUP(L33,'Foundation Calculation'!$V$42:$X$80,VLOOKUP(AX33,'Foundation Calculation'!$I$10:$J$13,2,FALSE),0),""))</f>
        <v>C4R</v>
      </c>
      <c r="N33" s="1239" t="s">
        <v>143</v>
      </c>
      <c r="O33" s="1239"/>
      <c r="P33" s="638"/>
      <c r="Q33" s="638"/>
      <c r="R33" s="638"/>
      <c r="S33" s="484"/>
      <c r="T33" s="638">
        <v>-35</v>
      </c>
      <c r="U33" s="638"/>
      <c r="V33" s="638"/>
      <c r="W33" s="638">
        <v>1.4</v>
      </c>
      <c r="X33" s="638"/>
      <c r="Y33" s="638"/>
      <c r="Z33" s="638"/>
      <c r="AA33" s="638"/>
      <c r="AB33" s="638"/>
      <c r="AC33" s="638" t="str">
        <f>IF(OR(AT33&gt;8,AT33&lt;-8),"PH",IF(OR(AT33&gt;5,AT33&lt;-5),"PH-Q",IF(OR(AT33&gt;1,AT33&lt;-1),"PH-C")))</f>
        <v>PH-Q</v>
      </c>
      <c r="AD33" s="638"/>
      <c r="AE33" s="638"/>
      <c r="AF33" s="638"/>
      <c r="AG33" s="446"/>
      <c r="AH33" s="638"/>
      <c r="AI33" s="185"/>
      <c r="AJ33" s="445" t="s">
        <v>3516</v>
      </c>
      <c r="AK33" s="1239"/>
      <c r="AL33" s="638"/>
      <c r="AM33" s="638" t="s">
        <v>1043</v>
      </c>
      <c r="AN33" s="455">
        <v>5.5</v>
      </c>
      <c r="AO33" s="1239"/>
      <c r="AP33" s="1239"/>
      <c r="AQ33" s="484"/>
      <c r="AR33" s="484"/>
      <c r="AS33" s="484"/>
      <c r="AT33" s="484">
        <f>+ab($T$33,$T$31,$T$35,$G$32,$G$34,-1*$F$33,1200)</f>
        <v>-6.9272958141091951</v>
      </c>
      <c r="AU33" s="638"/>
      <c r="AV33" s="638"/>
      <c r="AW33" s="638" t="str">
        <f>VLOOKUP(C33,'Foundation Calculation'!$A$2:$C$33,3,1)</f>
        <v>Soil B</v>
      </c>
      <c r="AX33" s="638" t="str">
        <f>VLOOKUP(C33,'Foundation Calculation'!$E$2:$G$33,3,1)</f>
        <v>PT</v>
      </c>
      <c r="AY33" s="484">
        <f>IF(AX33="PT",VLOOKUP(L33,'Foundation Calculation'!$K$2:$R$40,VLOOKUP(AW33,'Foundation Calculation'!$I$2:$J$8,2,FALSE),0),IF(AX33="K",VLOOKUP(L33,'Foundation Calculation'!$K$42:$R$80,VLOOKUP(AW33,'Foundation Calculation'!$I$2:$J$8,2,FALSE),0),""))</f>
        <v>3.5</v>
      </c>
      <c r="AZ33" s="484"/>
      <c r="BA33" s="671" t="s">
        <v>2809</v>
      </c>
      <c r="BB33" s="1239" t="str">
        <f>Pole_Calculations!A15</f>
        <v>App.7-V11A-P9.5.1.1</v>
      </c>
      <c r="BC33" s="169"/>
      <c r="BD33" s="1329"/>
      <c r="BE33" s="1329"/>
      <c r="BF33" s="1330"/>
      <c r="BG33" s="1329"/>
    </row>
    <row r="34" spans="1:59" ht="15.75" customHeight="1">
      <c r="A34" s="1239"/>
      <c r="B34" s="173"/>
      <c r="C34" s="446"/>
      <c r="D34" s="638"/>
      <c r="E34" s="638"/>
      <c r="F34" s="447"/>
      <c r="G34" s="484">
        <v>51.6</v>
      </c>
      <c r="H34" s="638"/>
      <c r="I34" s="1239"/>
      <c r="J34" s="446"/>
      <c r="K34" s="638"/>
      <c r="L34" s="445"/>
      <c r="M34" s="445"/>
      <c r="N34" s="1239"/>
      <c r="O34" s="1239"/>
      <c r="P34" s="638"/>
      <c r="Q34" s="638"/>
      <c r="R34" s="638"/>
      <c r="S34" s="484"/>
      <c r="T34" s="638"/>
      <c r="U34" s="638"/>
      <c r="V34" s="638"/>
      <c r="W34" s="638"/>
      <c r="X34" s="638"/>
      <c r="Y34" s="638"/>
      <c r="Z34" s="638"/>
      <c r="AA34" s="638"/>
      <c r="AB34" s="638"/>
      <c r="AC34" s="638"/>
      <c r="AD34" s="638"/>
      <c r="AE34" s="638"/>
      <c r="AF34" s="638"/>
      <c r="AG34" s="446"/>
      <c r="AH34" s="638"/>
      <c r="AI34" s="185"/>
      <c r="AJ34" s="445"/>
      <c r="AK34" s="1239"/>
      <c r="AL34" s="638"/>
      <c r="AM34" s="638"/>
      <c r="AN34" s="455"/>
      <c r="AO34" s="1239"/>
      <c r="AP34" s="1239"/>
      <c r="AQ34" s="484">
        <f>+FL_1($T$35,$T$33,$G$34,1200,9.28,-1*$F$35)</f>
        <v>0.37636791776744183</v>
      </c>
      <c r="AR34" s="484"/>
      <c r="AS34" s="484"/>
      <c r="AT34" s="484"/>
      <c r="AU34" s="638"/>
      <c r="AV34" s="638"/>
      <c r="AW34" s="484"/>
      <c r="AX34" s="484"/>
      <c r="AY34" s="484"/>
      <c r="AZ34" s="484"/>
      <c r="BA34" s="671"/>
      <c r="BB34" s="1239"/>
      <c r="BC34" s="169"/>
      <c r="BD34" s="1330"/>
      <c r="BE34" s="1330"/>
      <c r="BF34" s="1330"/>
      <c r="BG34" s="1330"/>
    </row>
    <row r="35" spans="1:59" ht="15.75" customHeight="1">
      <c r="A35" s="1239"/>
      <c r="B35" s="435" t="s">
        <v>3531</v>
      </c>
      <c r="C35" s="446">
        <f>+$C$33+$G$34</f>
        <v>80083.63</v>
      </c>
      <c r="D35" s="638"/>
      <c r="E35" s="638"/>
      <c r="F35" s="447">
        <v>0</v>
      </c>
      <c r="G35" s="484"/>
      <c r="H35" s="1239"/>
      <c r="I35" s="1239"/>
      <c r="J35" s="446"/>
      <c r="K35" s="638"/>
      <c r="L35" s="445" t="s">
        <v>818</v>
      </c>
      <c r="M35" s="638" t="str">
        <f>IF(AX35="PT",VLOOKUP(L35,'Foundation Calculation'!$V$2:$X$40,VLOOKUP(AX35,'Foundation Calculation'!$I$10:$J$13,2,FALSE),0),IF(AX35="K",VLOOKUP(L35,'Foundation Calculation'!$V$42:$X$80,VLOOKUP(AX35,'Foundation Calculation'!$I$10:$J$13,2,FALSE),0),""))</f>
        <v>C4R</v>
      </c>
      <c r="N35" s="1239" t="s">
        <v>144</v>
      </c>
      <c r="O35" s="638"/>
      <c r="P35" s="638"/>
      <c r="Q35" s="638"/>
      <c r="R35" s="638"/>
      <c r="S35" s="484"/>
      <c r="T35" s="638">
        <v>35</v>
      </c>
      <c r="U35" s="638"/>
      <c r="V35" s="638"/>
      <c r="W35" s="638">
        <v>1.4</v>
      </c>
      <c r="X35" s="638"/>
      <c r="Y35" s="638"/>
      <c r="Z35" s="638"/>
      <c r="AA35" s="638"/>
      <c r="AB35" s="638"/>
      <c r="AC35" s="638" t="str">
        <f>IF(OR(AT35&gt;8,AT35&lt;-8),"PH",IF(OR(AT35&gt;5,AT35&lt;-5),"PH-Q",IF(OR(AT35&gt;1,AT35&lt;-1),"PH-C")))</f>
        <v>PH-Q</v>
      </c>
      <c r="AD35" s="638"/>
      <c r="AE35" s="638"/>
      <c r="AF35" s="638"/>
      <c r="AG35" s="446"/>
      <c r="AH35" s="638"/>
      <c r="AI35" s="185"/>
      <c r="AJ35" s="445" t="s">
        <v>3516</v>
      </c>
      <c r="AK35" s="1239"/>
      <c r="AL35" s="638"/>
      <c r="AM35" s="638" t="s">
        <v>1043</v>
      </c>
      <c r="AN35" s="455">
        <v>5.5</v>
      </c>
      <c r="AO35" s="1239"/>
      <c r="AP35" s="1239"/>
      <c r="AQ35" s="484"/>
      <c r="AR35" s="484"/>
      <c r="AS35" s="484"/>
      <c r="AT35" s="484">
        <f>+ab($T$35,$T$33,$T$37,$G$34,$G$36,-1*$F$35,1200)</f>
        <v>7.4434390522948606</v>
      </c>
      <c r="AU35" s="638"/>
      <c r="AV35" s="638"/>
      <c r="AW35" s="638" t="str">
        <f>VLOOKUP(C35,'Foundation Calculation'!$A$2:$C$33,3,1)</f>
        <v>Soil B</v>
      </c>
      <c r="AX35" s="638" t="str">
        <f>VLOOKUP(C35,'Foundation Calculation'!$E$2:$G$33,3,1)</f>
        <v>PT</v>
      </c>
      <c r="AY35" s="484">
        <f>IF(AX35="PT",VLOOKUP(L35,'Foundation Calculation'!$K$2:$R$40,VLOOKUP(AW35,'Foundation Calculation'!$I$2:$J$8,2,FALSE),0),IF(AX35="K",VLOOKUP(L35,'Foundation Calculation'!$K$42:$R$80,VLOOKUP(AW35,'Foundation Calculation'!$I$2:$J$8,2,FALSE),0),""))</f>
        <v>3.5</v>
      </c>
      <c r="AZ35" s="484"/>
      <c r="BA35" s="671" t="s">
        <v>2809</v>
      </c>
      <c r="BB35" s="1239" t="str">
        <f>Pole_Calculations!A15</f>
        <v>App.7-V11A-P9.5.1.1</v>
      </c>
      <c r="BC35" s="169"/>
      <c r="BD35" s="1329"/>
      <c r="BE35" s="1329"/>
      <c r="BF35" s="1330"/>
      <c r="BG35" s="1329"/>
    </row>
    <row r="36" spans="1:59" ht="15.75" customHeight="1">
      <c r="A36" s="1239"/>
      <c r="B36" s="173"/>
      <c r="C36" s="446"/>
      <c r="D36" s="447"/>
      <c r="E36" s="447"/>
      <c r="F36" s="1239"/>
      <c r="G36" s="484">
        <v>58</v>
      </c>
      <c r="H36" s="638"/>
      <c r="I36" s="1239"/>
      <c r="J36" s="446"/>
      <c r="K36" s="638"/>
      <c r="L36" s="445"/>
      <c r="M36" s="445"/>
      <c r="N36" s="1239"/>
      <c r="O36" s="1239"/>
      <c r="P36" s="638"/>
      <c r="Q36" s="638"/>
      <c r="R36" s="638"/>
      <c r="S36" s="484"/>
      <c r="T36" s="638"/>
      <c r="U36" s="638"/>
      <c r="V36" s="638"/>
      <c r="W36" s="638"/>
      <c r="X36" s="638"/>
      <c r="Y36" s="638"/>
      <c r="Z36" s="638"/>
      <c r="AA36" s="638"/>
      <c r="AB36" s="638"/>
      <c r="AC36" s="638"/>
      <c r="AD36" s="638"/>
      <c r="AE36" s="638"/>
      <c r="AF36" s="638"/>
      <c r="AG36" s="446"/>
      <c r="AH36" s="638"/>
      <c r="AI36" s="185"/>
      <c r="AJ36" s="445"/>
      <c r="AK36" s="1239"/>
      <c r="AL36" s="638"/>
      <c r="AM36" s="638"/>
      <c r="AN36" s="455"/>
      <c r="AO36" s="1239"/>
      <c r="AP36" s="1239"/>
      <c r="AQ36" s="484">
        <f>+FL_2($T$37,$T$35,$G$36,1200,9.28,-1*$F$37)</f>
        <v>-0.41936333972413792</v>
      </c>
      <c r="AR36" s="484"/>
      <c r="AS36" s="484"/>
      <c r="AT36" s="484"/>
      <c r="AU36" s="638"/>
      <c r="AV36" s="638"/>
      <c r="AW36" s="484"/>
      <c r="AX36" s="484"/>
      <c r="AY36" s="484"/>
      <c r="AZ36" s="484"/>
      <c r="BA36" s="671"/>
      <c r="BB36" s="1239"/>
      <c r="BC36" s="169"/>
      <c r="BD36" s="1330"/>
      <c r="BE36" s="1330"/>
      <c r="BF36" s="1330"/>
      <c r="BG36" s="1330"/>
    </row>
    <row r="37" spans="1:59" ht="15.75" customHeight="1">
      <c r="A37" s="1239"/>
      <c r="B37" s="435" t="s">
        <v>3532</v>
      </c>
      <c r="C37" s="446">
        <f>+$C$35+$G$36</f>
        <v>80141.63</v>
      </c>
      <c r="D37" s="447"/>
      <c r="E37" s="447"/>
      <c r="F37" s="447">
        <v>0</v>
      </c>
      <c r="G37" s="484"/>
      <c r="H37" s="1239"/>
      <c r="I37" s="1239"/>
      <c r="J37" s="446"/>
      <c r="K37" s="638"/>
      <c r="L37" s="445" t="s">
        <v>818</v>
      </c>
      <c r="M37" s="638" t="str">
        <f>IF(AX37="PT",VLOOKUP(L37,'Foundation Calculation'!$V$2:$X$40,VLOOKUP(AX37,'Foundation Calculation'!$I$10:$J$13,2,FALSE),0),IF(AX37="K",VLOOKUP(L37,'Foundation Calculation'!$V$42:$X$80,VLOOKUP(AX37,'Foundation Calculation'!$I$10:$J$13,2,FALSE),0),""))</f>
        <v>C4R</v>
      </c>
      <c r="N37" s="1239" t="s">
        <v>143</v>
      </c>
      <c r="O37" s="1239"/>
      <c r="P37" s="638"/>
      <c r="Q37" s="638"/>
      <c r="R37" s="638"/>
      <c r="S37" s="484"/>
      <c r="T37" s="638">
        <v>-35</v>
      </c>
      <c r="U37" s="638"/>
      <c r="V37" s="638"/>
      <c r="W37" s="638">
        <v>1.4</v>
      </c>
      <c r="X37" s="638"/>
      <c r="Y37" s="638"/>
      <c r="Z37" s="638"/>
      <c r="AA37" s="638"/>
      <c r="AB37" s="638"/>
      <c r="AC37" s="638" t="str">
        <f>IF(OR(AT37&gt;8,AT37&lt;-8),"PH",IF(OR(AT37&gt;5,AT37&lt;-5),"PH-Q",IF(OR(AT37&gt;1,AT37&lt;-1),"PH-C")))</f>
        <v>PH-Q</v>
      </c>
      <c r="AD37" s="638"/>
      <c r="AE37" s="638"/>
      <c r="AF37" s="638"/>
      <c r="AG37" s="446"/>
      <c r="AH37" s="638"/>
      <c r="AI37" s="185"/>
      <c r="AJ37" s="445" t="s">
        <v>3516</v>
      </c>
      <c r="AK37" s="1239"/>
      <c r="AL37" s="638"/>
      <c r="AM37" s="638" t="s">
        <v>1043</v>
      </c>
      <c r="AN37" s="455">
        <v>5.5</v>
      </c>
      <c r="AO37" s="1239"/>
      <c r="AP37" s="1239"/>
      <c r="AQ37" s="484"/>
      <c r="AR37" s="484"/>
      <c r="AS37" s="484"/>
      <c r="AT37" s="484">
        <f>+ab($T$37,$T$35,$T$39,$G$36,$G$38,-1*$F$37,1200)</f>
        <v>-7.6922470268995049</v>
      </c>
      <c r="AU37" s="638"/>
      <c r="AV37" s="638"/>
      <c r="AW37" s="638" t="str">
        <f>VLOOKUP(C37,'Foundation Calculation'!$A$2:$C$33,3,1)</f>
        <v>Soil B</v>
      </c>
      <c r="AX37" s="638" t="str">
        <f>VLOOKUP(C37,'Foundation Calculation'!$E$2:$G$33,3,1)</f>
        <v>PT</v>
      </c>
      <c r="AY37" s="484">
        <f>IF(AX37="PT",VLOOKUP(L37,'Foundation Calculation'!$K$2:$R$40,VLOOKUP(AW37,'Foundation Calculation'!$I$2:$J$8,2,FALSE),0),IF(AX37="K",VLOOKUP(L37,'Foundation Calculation'!$K$42:$R$80,VLOOKUP(AW37,'Foundation Calculation'!$I$2:$J$8,2,FALSE),0),""))</f>
        <v>3.5</v>
      </c>
      <c r="AZ37" s="484"/>
      <c r="BA37" s="671" t="s">
        <v>2809</v>
      </c>
      <c r="BB37" s="1239" t="str">
        <f>Pole_Calculations!A15</f>
        <v>App.7-V11A-P9.5.1.1</v>
      </c>
      <c r="BC37" s="169"/>
      <c r="BD37" s="1329"/>
      <c r="BE37" s="1329"/>
      <c r="BF37" s="1330"/>
      <c r="BG37" s="1329"/>
    </row>
    <row r="38" spans="1:59" ht="15.75" customHeight="1">
      <c r="A38" s="1239"/>
      <c r="B38" s="173"/>
      <c r="C38" s="446"/>
      <c r="D38" s="447"/>
      <c r="E38" s="447"/>
      <c r="F38" s="1239"/>
      <c r="G38" s="484">
        <v>55</v>
      </c>
      <c r="H38" s="168"/>
      <c r="I38" s="448"/>
      <c r="J38" s="446">
        <f>C39-7.5</f>
        <v>80189.13</v>
      </c>
      <c r="K38" s="638" t="s">
        <v>2788</v>
      </c>
      <c r="L38" s="445"/>
      <c r="M38" s="445"/>
      <c r="N38" s="1239"/>
      <c r="O38" s="1239"/>
      <c r="P38" s="638"/>
      <c r="Q38" s="638"/>
      <c r="R38" s="638"/>
      <c r="S38" s="484"/>
      <c r="T38" s="638"/>
      <c r="U38" s="638"/>
      <c r="V38" s="638"/>
      <c r="W38" s="638"/>
      <c r="X38" s="638"/>
      <c r="Y38" s="638"/>
      <c r="Z38" s="638"/>
      <c r="AA38" s="638"/>
      <c r="AB38" s="638"/>
      <c r="AC38" s="638"/>
      <c r="AD38" s="638"/>
      <c r="AE38" s="638"/>
      <c r="AF38" s="638"/>
      <c r="AG38" s="446"/>
      <c r="AH38" s="638"/>
      <c r="AI38" s="185"/>
      <c r="AJ38" s="638"/>
      <c r="AK38" s="1239"/>
      <c r="AL38" s="638"/>
      <c r="AM38" s="638"/>
      <c r="AN38" s="455"/>
      <c r="AO38" s="1239"/>
      <c r="AP38" s="1239"/>
      <c r="AQ38" s="484">
        <f>+FL_2($T$39,$T$37,$G$38,1200,9.28,-1*$F$39)</f>
        <v>-0.39714735709090898</v>
      </c>
      <c r="AR38" s="484"/>
      <c r="AS38" s="484"/>
      <c r="AT38" s="484"/>
      <c r="AU38" s="638"/>
      <c r="AV38" s="638"/>
      <c r="AW38" s="638" t="str">
        <f>VLOOKUP(J38,'Foundation Calculation'!$A$2:$C$33,3,1)</f>
        <v>Soil B</v>
      </c>
      <c r="AX38" s="638" t="str">
        <f>VLOOKUP(J38,'Foundation Calculation'!$E$2:$G$33,3,1)</f>
        <v>PT</v>
      </c>
      <c r="AY38" s="484"/>
      <c r="AZ38" s="484">
        <f>IF(AX38="PT",VLOOKUP(K38,'Foundation Calculation'!$K$2:$R$40,VLOOKUP(AW38,'Foundation Calculation'!$I$2:$J$8,2,FALSE),0),IF(AX38="K",VLOOKUP(K38,'Foundation Calculation'!$K$42:$R$80,VLOOKUP(AW38,'Foundation Calculation'!$I$2:$J$8,2,FALSE),0),""))</f>
        <v>2.8</v>
      </c>
      <c r="BA38" s="671" t="s">
        <v>2809</v>
      </c>
      <c r="BB38" s="1239"/>
      <c r="BC38" s="169"/>
      <c r="BD38" s="1329"/>
      <c r="BE38" s="1330"/>
      <c r="BF38" s="1330"/>
      <c r="BG38" s="1330"/>
    </row>
    <row r="39" spans="1:59" ht="15.75" customHeight="1">
      <c r="A39" s="1239"/>
      <c r="B39" s="435" t="s">
        <v>3533</v>
      </c>
      <c r="C39" s="446">
        <f>+$C$37+$G$38</f>
        <v>80196.63</v>
      </c>
      <c r="D39" s="447"/>
      <c r="E39" s="447"/>
      <c r="F39" s="447">
        <v>0</v>
      </c>
      <c r="G39" s="484"/>
      <c r="H39" s="638" t="s">
        <v>873</v>
      </c>
      <c r="I39" s="448"/>
      <c r="J39" s="446"/>
      <c r="K39" s="638"/>
      <c r="L39" s="445" t="s">
        <v>818</v>
      </c>
      <c r="M39" s="638" t="str">
        <f>IF(AX39="PT",VLOOKUP(L39,'Foundation Calculation'!$V$2:$X$40,VLOOKUP(AX39,'Foundation Calculation'!$I$10:$J$13,2,FALSE),0),IF(AX39="K",VLOOKUP(L39,'Foundation Calculation'!$V$42:$X$80,VLOOKUP(AX39,'Foundation Calculation'!$I$10:$J$13,2,FALSE),0),""))</f>
        <v>C4R</v>
      </c>
      <c r="N39" s="1239" t="s">
        <v>144</v>
      </c>
      <c r="O39" s="638"/>
      <c r="P39" s="638"/>
      <c r="Q39" s="638"/>
      <c r="R39" s="638"/>
      <c r="S39" s="484"/>
      <c r="T39" s="638">
        <v>35</v>
      </c>
      <c r="U39" s="638"/>
      <c r="V39" s="638"/>
      <c r="W39" s="638">
        <v>1.4</v>
      </c>
      <c r="X39" s="638"/>
      <c r="Y39" s="638"/>
      <c r="Z39" s="638"/>
      <c r="AA39" s="638"/>
      <c r="AB39" s="638"/>
      <c r="AC39" s="638" t="str">
        <f>IF(OR(AT39&gt;8,AT39&lt;-8),"PH",IF(OR(AT39&gt;5,AT39&lt;-5),"PH-Q",IF(OR(AT39&gt;1,AT39&lt;-1),"PH-C")))</f>
        <v>PH-Q</v>
      </c>
      <c r="AD39" s="638"/>
      <c r="AE39" s="638"/>
      <c r="AF39" s="638"/>
      <c r="AG39" s="446"/>
      <c r="AH39" s="638"/>
      <c r="AI39" s="185"/>
      <c r="AJ39" s="445" t="s">
        <v>3516</v>
      </c>
      <c r="AK39" s="1239"/>
      <c r="AL39" s="638"/>
      <c r="AM39" s="638" t="s">
        <v>1043</v>
      </c>
      <c r="AN39" s="455">
        <v>5.5</v>
      </c>
      <c r="AO39" s="1239"/>
      <c r="AP39" s="1239"/>
      <c r="AQ39" s="484"/>
      <c r="AR39" s="484"/>
      <c r="AS39" s="484"/>
      <c r="AT39" s="484">
        <f>+ab($T$39,$T$37,$T$41,$G$38,$G$40,-1*$F$39,1200)</f>
        <v>7.4955682572493121</v>
      </c>
      <c r="AU39" s="638"/>
      <c r="AV39" s="638"/>
      <c r="AW39" s="638" t="str">
        <f>VLOOKUP(C39,'Foundation Calculation'!$A$2:$C$33,3,1)</f>
        <v>Soil B</v>
      </c>
      <c r="AX39" s="638" t="str">
        <f>VLOOKUP(C39,'Foundation Calculation'!$E$2:$G$33,3,1)</f>
        <v>PT</v>
      </c>
      <c r="AY39" s="484">
        <f>IF(AX39="PT",VLOOKUP(L39,'Foundation Calculation'!$K$2:$R$40,VLOOKUP(AW39,'Foundation Calculation'!$I$2:$J$8,2,FALSE),0),IF(AX39="K",VLOOKUP(L39,'Foundation Calculation'!$K$42:$R$80,VLOOKUP(AW39,'Foundation Calculation'!$I$2:$J$8,2,FALSE),0),""))</f>
        <v>3.5</v>
      </c>
      <c r="AZ39" s="484"/>
      <c r="BA39" s="671" t="s">
        <v>2809</v>
      </c>
      <c r="BB39" s="1239" t="str">
        <f>Pole_Calculations!A17</f>
        <v>App.7-V11A-P9.5.1.3</v>
      </c>
      <c r="BC39" s="169"/>
      <c r="BD39" s="1329"/>
      <c r="BE39" s="1329"/>
      <c r="BF39" s="1330"/>
      <c r="BG39" s="1329"/>
    </row>
    <row r="40" spans="1:59" ht="15.75" customHeight="1">
      <c r="A40" s="1239"/>
      <c r="B40" s="173"/>
      <c r="C40" s="446"/>
      <c r="D40" s="447"/>
      <c r="E40" s="447"/>
      <c r="F40" s="1239"/>
      <c r="G40" s="484">
        <v>55</v>
      </c>
      <c r="H40" s="1239"/>
      <c r="I40" s="448">
        <f>C41-C5</f>
        <v>671.60000000000582</v>
      </c>
      <c r="J40" s="446"/>
      <c r="K40" s="638"/>
      <c r="L40" s="638"/>
      <c r="M40" s="445"/>
      <c r="N40" s="1239"/>
      <c r="O40" s="1239"/>
      <c r="P40" s="638"/>
      <c r="Q40" s="638"/>
      <c r="R40" s="638"/>
      <c r="S40" s="484"/>
      <c r="T40" s="638"/>
      <c r="U40" s="638"/>
      <c r="V40" s="638"/>
      <c r="W40" s="638"/>
      <c r="X40" s="638"/>
      <c r="Y40" s="638"/>
      <c r="Z40" s="638"/>
      <c r="AA40" s="638"/>
      <c r="AB40" s="638"/>
      <c r="AC40" s="638"/>
      <c r="AD40" s="638"/>
      <c r="AE40" s="638"/>
      <c r="AF40" s="638"/>
      <c r="AG40" s="446"/>
      <c r="AH40" s="638"/>
      <c r="AI40" s="185"/>
      <c r="AJ40" s="638"/>
      <c r="AK40" s="1239"/>
      <c r="AL40" s="638"/>
      <c r="AM40" s="638"/>
      <c r="AN40" s="455"/>
      <c r="AO40" s="1239"/>
      <c r="AP40" s="1239"/>
      <c r="AQ40" s="484">
        <f>+FL_1($T$41,$T$39,$G$40,1200,9.28,-1*$F$41)</f>
        <v>0.39714735709090898</v>
      </c>
      <c r="AR40" s="484"/>
      <c r="AS40" s="484"/>
      <c r="AT40" s="484"/>
      <c r="AU40" s="638"/>
      <c r="AV40" s="638"/>
      <c r="AW40" s="638"/>
      <c r="AX40" s="638"/>
      <c r="AY40" s="484"/>
      <c r="AZ40" s="484"/>
      <c r="BA40" s="671"/>
      <c r="BB40" s="1239"/>
      <c r="BC40" s="169"/>
      <c r="BD40" s="1330"/>
      <c r="BE40" s="1330"/>
      <c r="BF40" s="1330"/>
      <c r="BG40" s="1330"/>
    </row>
    <row r="41" spans="1:59" ht="15.75" customHeight="1">
      <c r="A41" s="1239"/>
      <c r="B41" s="435" t="s">
        <v>3534</v>
      </c>
      <c r="C41" s="446">
        <f>+$C$39+$G$40</f>
        <v>80251.63</v>
      </c>
      <c r="D41" s="447"/>
      <c r="E41" s="447"/>
      <c r="F41" s="447">
        <v>0</v>
      </c>
      <c r="G41" s="484"/>
      <c r="H41" s="638" t="s">
        <v>874</v>
      </c>
      <c r="I41" s="448"/>
      <c r="J41" s="446"/>
      <c r="K41" s="638"/>
      <c r="L41" s="445" t="s">
        <v>818</v>
      </c>
      <c r="M41" s="638" t="str">
        <f>IF(AX41="PT",VLOOKUP(L41,'Foundation Calculation'!$V$2:$X$40,VLOOKUP(AX41,'Foundation Calculation'!$I$10:$J$13,2,FALSE),0),IF(AX41="K",VLOOKUP(L41,'Foundation Calculation'!$V$42:$X$80,VLOOKUP(AX41,'Foundation Calculation'!$I$10:$J$13,2,FALSE),0),""))</f>
        <v>C4R</v>
      </c>
      <c r="N41" s="1239" t="s">
        <v>143</v>
      </c>
      <c r="O41" s="638"/>
      <c r="P41" s="638"/>
      <c r="Q41" s="638"/>
      <c r="R41" s="638"/>
      <c r="S41" s="484"/>
      <c r="T41" s="638">
        <v>-35</v>
      </c>
      <c r="U41" s="638"/>
      <c r="V41" s="638"/>
      <c r="W41" s="638">
        <v>1.4</v>
      </c>
      <c r="X41" s="638"/>
      <c r="Y41" s="638"/>
      <c r="Z41" s="638"/>
      <c r="AA41" s="638"/>
      <c r="AB41" s="638"/>
      <c r="AC41" s="638" t="str">
        <f>IF(OR(AT41&gt;8,AT41&lt;-8),"PH",IF(OR(AT41&gt;5,AT41&lt;-5),"PH-Q",IF(OR(AT41&gt;1,AT41&lt;-1),"PH-C")))</f>
        <v>PH-Q</v>
      </c>
      <c r="AD41" s="638"/>
      <c r="AE41" s="638"/>
      <c r="AF41" s="638"/>
      <c r="AG41" s="446"/>
      <c r="AH41" s="638"/>
      <c r="AI41" s="185"/>
      <c r="AJ41" s="445" t="s">
        <v>3516</v>
      </c>
      <c r="AK41" s="1239"/>
      <c r="AL41" s="638"/>
      <c r="AM41" s="638" t="s">
        <v>1043</v>
      </c>
      <c r="AN41" s="455">
        <v>5.5</v>
      </c>
      <c r="AO41" s="1239"/>
      <c r="AP41" s="1239"/>
      <c r="AQ41" s="484"/>
      <c r="AR41" s="484"/>
      <c r="AS41" s="484"/>
      <c r="AT41" s="484">
        <f>+ab($T$41,$T$39,$T$43,$G$40,$G$42,-1*$F$41,1200)</f>
        <v>-7.1424424584170572</v>
      </c>
      <c r="AU41" s="638"/>
      <c r="AV41" s="638"/>
      <c r="AW41" s="638" t="str">
        <f>VLOOKUP(C41,'Foundation Calculation'!$A$2:$C$33,3,1)</f>
        <v>Soil B</v>
      </c>
      <c r="AX41" s="638" t="str">
        <f>VLOOKUP(C41,'Foundation Calculation'!$E$2:$G$33,3,1)</f>
        <v>PT</v>
      </c>
      <c r="AY41" s="484">
        <f>IF(AX41="PT",VLOOKUP(L41,'Foundation Calculation'!$K$2:$R$40,VLOOKUP(AW41,'Foundation Calculation'!$I$2:$J$8,2,FALSE),0),IF(AX41="K",VLOOKUP(L41,'Foundation Calculation'!$K$42:$R$80,VLOOKUP(AW41,'Foundation Calculation'!$I$2:$J$8,2,FALSE),0),""))</f>
        <v>3.5</v>
      </c>
      <c r="AZ41" s="484"/>
      <c r="BA41" s="671" t="s">
        <v>2809</v>
      </c>
      <c r="BB41" s="1239" t="str">
        <f>Pole_Calculations!A16</f>
        <v>App.7-V11A-P9.5.1.2</v>
      </c>
      <c r="BC41" s="169"/>
      <c r="BD41" s="1329"/>
      <c r="BE41" s="1329"/>
      <c r="BF41" s="1330"/>
      <c r="BG41" s="1329"/>
    </row>
    <row r="42" spans="1:59" ht="15.75" customHeight="1">
      <c r="A42" s="647" t="s">
        <v>3449</v>
      </c>
      <c r="B42" s="705"/>
      <c r="C42" s="649"/>
      <c r="D42" s="648"/>
      <c r="E42" s="648"/>
      <c r="F42" s="647"/>
      <c r="G42" s="654">
        <v>50</v>
      </c>
      <c r="H42" s="653"/>
      <c r="I42" s="650">
        <f>C67-C41</f>
        <v>689</v>
      </c>
      <c r="J42" s="649"/>
      <c r="K42" s="653"/>
      <c r="L42" s="653"/>
      <c r="M42" s="653"/>
      <c r="N42" s="647"/>
      <c r="O42" s="647"/>
      <c r="P42" s="653"/>
      <c r="Q42" s="653"/>
      <c r="R42" s="653"/>
      <c r="S42" s="654"/>
      <c r="T42" s="653"/>
      <c r="U42" s="653"/>
      <c r="V42" s="653"/>
      <c r="W42" s="653"/>
      <c r="X42" s="653"/>
      <c r="Y42" s="653"/>
      <c r="Z42" s="653"/>
      <c r="AA42" s="653"/>
      <c r="AB42" s="653"/>
      <c r="AC42" s="653"/>
      <c r="AD42" s="653"/>
      <c r="AE42" s="653"/>
      <c r="AF42" s="653"/>
      <c r="AG42" s="649"/>
      <c r="AH42" s="653"/>
      <c r="AI42" s="704"/>
      <c r="AJ42" s="653"/>
      <c r="AK42" s="647"/>
      <c r="AL42" s="653"/>
      <c r="AM42" s="653"/>
      <c r="AN42" s="651"/>
      <c r="AO42" s="647"/>
      <c r="AP42" s="647"/>
      <c r="AQ42" s="654">
        <f>+FL_1($T$43,$T$41,$G$42,1200,9.28,-1*$F$43)</f>
        <v>0.36839079999999996</v>
      </c>
      <c r="AR42" s="654"/>
      <c r="AS42" s="654"/>
      <c r="AT42" s="654"/>
      <c r="AU42" s="653"/>
      <c r="AV42" s="653"/>
      <c r="AW42" s="653"/>
      <c r="AX42" s="653"/>
      <c r="AY42" s="654"/>
      <c r="AZ42" s="654"/>
      <c r="BA42" s="701"/>
      <c r="BB42" s="647"/>
      <c r="BC42" s="169"/>
      <c r="BD42" s="1330"/>
      <c r="BE42" s="1330"/>
      <c r="BF42" s="1330"/>
      <c r="BG42" s="1330"/>
    </row>
    <row r="43" spans="1:59" ht="15.75" customHeight="1">
      <c r="A43" s="1239"/>
      <c r="B43" s="435" t="s">
        <v>3535</v>
      </c>
      <c r="C43" s="446">
        <f>+$C$41+$G$42</f>
        <v>80301.63</v>
      </c>
      <c r="D43" s="447"/>
      <c r="E43" s="447"/>
      <c r="F43" s="447">
        <v>0</v>
      </c>
      <c r="G43" s="484"/>
      <c r="H43" s="638" t="s">
        <v>873</v>
      </c>
      <c r="I43" s="448"/>
      <c r="J43" s="446"/>
      <c r="K43" s="638"/>
      <c r="L43" s="445" t="s">
        <v>818</v>
      </c>
      <c r="M43" s="638" t="str">
        <f>IF(AX43="PT",VLOOKUP(L43,'Foundation Calculation'!$V$2:$X$40,VLOOKUP(AX43,'Foundation Calculation'!$I$10:$J$13,2,FALSE),0),IF(AX43="K",VLOOKUP(L43,'Foundation Calculation'!$V$42:$X$80,VLOOKUP(AX43,'Foundation Calculation'!$I$10:$J$13,2,FALSE),0),""))</f>
        <v>C4R</v>
      </c>
      <c r="N43" s="1239" t="s">
        <v>144</v>
      </c>
      <c r="O43" s="1239"/>
      <c r="P43" s="638"/>
      <c r="Q43" s="638"/>
      <c r="R43" s="638"/>
      <c r="S43" s="484"/>
      <c r="T43" s="638">
        <v>35</v>
      </c>
      <c r="U43" s="638"/>
      <c r="V43" s="638"/>
      <c r="W43" s="638">
        <v>1.4</v>
      </c>
      <c r="X43" s="638"/>
      <c r="Y43" s="638"/>
      <c r="Z43" s="638"/>
      <c r="AA43" s="638"/>
      <c r="AB43" s="638"/>
      <c r="AC43" s="638" t="str">
        <f>IF(OR(AT43&gt;8,AT43&lt;-8),"PH",IF(OR(AT43&gt;5,AT43&lt;-5),"PH-Q",IF(OR(AT43&gt;1,AT43&lt;-1),"PH-C")))</f>
        <v>PH-Q</v>
      </c>
      <c r="AD43" s="638"/>
      <c r="AE43" s="638"/>
      <c r="AF43" s="638"/>
      <c r="AG43" s="446"/>
      <c r="AH43" s="638"/>
      <c r="AI43" s="185"/>
      <c r="AJ43" s="445" t="s">
        <v>3516</v>
      </c>
      <c r="AK43" s="1239"/>
      <c r="AL43" s="638"/>
      <c r="AM43" s="638" t="s">
        <v>1043</v>
      </c>
      <c r="AN43" s="455">
        <v>5.5</v>
      </c>
      <c r="AO43" s="1239"/>
      <c r="AP43" s="1239"/>
      <c r="AQ43" s="484"/>
      <c r="AR43" s="484"/>
      <c r="AS43" s="484"/>
      <c r="AT43" s="484">
        <f>+ab($T$43,$T$41,$T$45,$G$42,$G$44,-1*$F$43,1200)</f>
        <v>6.4650205683818722</v>
      </c>
      <c r="AU43" s="638"/>
      <c r="AV43" s="638"/>
      <c r="AW43" s="638" t="str">
        <f>VLOOKUP(C43,'Foundation Calculation'!$A$2:$C$33,3,1)</f>
        <v>Soil B</v>
      </c>
      <c r="AX43" s="638" t="str">
        <f>VLOOKUP(C43,'Foundation Calculation'!$E$2:$G$33,3,1)</f>
        <v>PT</v>
      </c>
      <c r="AY43" s="484">
        <f>IF(AX43="PT",VLOOKUP(L43,'Foundation Calculation'!$K$2:$R$40,VLOOKUP(AW43,'Foundation Calculation'!$I$2:$J$8,2,FALSE),0),IF(AX43="K",VLOOKUP(L43,'Foundation Calculation'!$K$42:$R$80,VLOOKUP(AW43,'Foundation Calculation'!$I$2:$J$8,2,FALSE),0),""))</f>
        <v>3.5</v>
      </c>
      <c r="AZ43" s="484"/>
      <c r="BA43" s="671" t="s">
        <v>2809</v>
      </c>
      <c r="BB43" s="1239" t="str">
        <f>Pole_Calculations!A17</f>
        <v>App.7-V11A-P9.5.1.3</v>
      </c>
      <c r="BC43" s="169"/>
      <c r="BD43" s="1329"/>
      <c r="BE43" s="1329"/>
      <c r="BF43" s="1330"/>
      <c r="BG43" s="1329"/>
    </row>
    <row r="44" spans="1:59" ht="15.75" customHeight="1">
      <c r="A44" s="1239"/>
      <c r="B44" s="173"/>
      <c r="C44" s="446"/>
      <c r="D44" s="447"/>
      <c r="E44" s="447"/>
      <c r="F44" s="1239"/>
      <c r="G44" s="484">
        <v>45</v>
      </c>
      <c r="H44" s="638"/>
      <c r="I44" s="448"/>
      <c r="J44" s="446">
        <f>C43+7.5</f>
        <v>80309.13</v>
      </c>
      <c r="K44" s="638" t="s">
        <v>2788</v>
      </c>
      <c r="L44" s="638"/>
      <c r="M44" s="638"/>
      <c r="N44" s="1239"/>
      <c r="O44" s="1239"/>
      <c r="P44" s="638"/>
      <c r="Q44" s="638"/>
      <c r="R44" s="638"/>
      <c r="S44" s="484"/>
      <c r="T44" s="638"/>
      <c r="U44" s="638"/>
      <c r="V44" s="638"/>
      <c r="W44" s="638"/>
      <c r="X44" s="638"/>
      <c r="Y44" s="638"/>
      <c r="Z44" s="638"/>
      <c r="AA44" s="638"/>
      <c r="AB44" s="638"/>
      <c r="AC44" s="638"/>
      <c r="AD44" s="638"/>
      <c r="AE44" s="638"/>
      <c r="AF44" s="638"/>
      <c r="AG44" s="446"/>
      <c r="AH44" s="638"/>
      <c r="AI44" s="185"/>
      <c r="AJ44" s="638"/>
      <c r="AK44" s="1239"/>
      <c r="AL44" s="638"/>
      <c r="AM44" s="638"/>
      <c r="AN44" s="455"/>
      <c r="AO44" s="1239"/>
      <c r="AP44" s="1239"/>
      <c r="AQ44" s="484">
        <f>+FL_2($T$45,$T$43,$G$44,1200,9.28,-1*$F$45)</f>
        <v>-0.35219954355555555</v>
      </c>
      <c r="AR44" s="484"/>
      <c r="AS44" s="484"/>
      <c r="AT44" s="484"/>
      <c r="AU44" s="638"/>
      <c r="AV44" s="638"/>
      <c r="AW44" s="638" t="str">
        <f>VLOOKUP(J44,'Foundation Calculation'!$A$2:$C$33,3,1)</f>
        <v>Soil B</v>
      </c>
      <c r="AX44" s="638" t="str">
        <f>VLOOKUP(J44,'Foundation Calculation'!$E$2:$G$33,3,1)</f>
        <v>PT</v>
      </c>
      <c r="AY44" s="484"/>
      <c r="AZ44" s="484">
        <f>IF(AX44="PT",VLOOKUP(K44,'Foundation Calculation'!$K$2:$R$40,VLOOKUP(AW44,'Foundation Calculation'!$I$2:$J$8,2,FALSE),0),IF(AX44="K",VLOOKUP(K44,'Foundation Calculation'!$K$42:$R$80,VLOOKUP(AW44,'Foundation Calculation'!$I$2:$J$8,2,FALSE),0),""))</f>
        <v>2.8</v>
      </c>
      <c r="BA44" s="671" t="s">
        <v>2809</v>
      </c>
      <c r="BB44" s="1239"/>
      <c r="BC44" s="169"/>
      <c r="BD44" s="1329"/>
      <c r="BE44" s="1330"/>
      <c r="BF44" s="1330"/>
      <c r="BG44" s="1330"/>
    </row>
    <row r="45" spans="1:59" ht="15.75" customHeight="1">
      <c r="A45" s="1239"/>
      <c r="B45" s="435" t="s">
        <v>3536</v>
      </c>
      <c r="C45" s="446">
        <f>+$C$43+$G$44</f>
        <v>80346.63</v>
      </c>
      <c r="D45" s="447"/>
      <c r="E45" s="447"/>
      <c r="F45" s="447">
        <v>0</v>
      </c>
      <c r="G45" s="484"/>
      <c r="H45" s="638"/>
      <c r="I45" s="172"/>
      <c r="J45" s="446"/>
      <c r="K45" s="638"/>
      <c r="L45" s="445" t="s">
        <v>818</v>
      </c>
      <c r="M45" s="638" t="str">
        <f>IF(AX45="PT",VLOOKUP(L45,'Foundation Calculation'!$V$2:$X$40,VLOOKUP(AX45,'Foundation Calculation'!$I$10:$J$13,2,FALSE),0),IF(AX45="K",VLOOKUP(L45,'Foundation Calculation'!$V$42:$X$80,VLOOKUP(AX45,'Foundation Calculation'!$I$10:$J$13,2,FALSE),0),""))</f>
        <v>C4R</v>
      </c>
      <c r="N45" s="1239" t="s">
        <v>143</v>
      </c>
      <c r="O45" s="1239"/>
      <c r="P45" s="638"/>
      <c r="Q45" s="638"/>
      <c r="R45" s="638"/>
      <c r="S45" s="484"/>
      <c r="T45" s="638">
        <v>-35</v>
      </c>
      <c r="U45" s="638"/>
      <c r="V45" s="638"/>
      <c r="W45" s="638">
        <v>1.4</v>
      </c>
      <c r="X45" s="638"/>
      <c r="Y45" s="638"/>
      <c r="Z45" s="638"/>
      <c r="AA45" s="638"/>
      <c r="AB45" s="638"/>
      <c r="AC45" s="638" t="str">
        <f>IF(OR(AT45&gt;8,AT45&lt;-8),"PH",IF(OR(AT45&gt;5,AT45&lt;-5),"PH-Q",IF(OR(AT45&gt;1,AT45&lt;-1),"PH-C")))</f>
        <v>PH-Q</v>
      </c>
      <c r="AD45" s="638"/>
      <c r="AE45" s="638"/>
      <c r="AF45" s="638"/>
      <c r="AG45" s="446"/>
      <c r="AH45" s="638"/>
      <c r="AI45" s="185"/>
      <c r="AJ45" s="445" t="s">
        <v>3516</v>
      </c>
      <c r="AK45" s="1239"/>
      <c r="AL45" s="638"/>
      <c r="AM45" s="638" t="s">
        <v>1043</v>
      </c>
      <c r="AN45" s="455">
        <v>5.5</v>
      </c>
      <c r="AO45" s="1239"/>
      <c r="AP45" s="1239"/>
      <c r="AQ45" s="484"/>
      <c r="AR45" s="484"/>
      <c r="AS45" s="484"/>
      <c r="AT45" s="484">
        <f>+ab($T$45,$T$43,$T$47,$G$44,$G$46,-1*$F$45,1200)</f>
        <v>-6.4650411729017883</v>
      </c>
      <c r="AU45" s="638"/>
      <c r="AV45" s="638"/>
      <c r="AW45" s="638" t="str">
        <f>VLOOKUP(C45,'Foundation Calculation'!$A$2:$C$33,3,1)</f>
        <v>Soil B</v>
      </c>
      <c r="AX45" s="638" t="str">
        <f>VLOOKUP(C45,'Foundation Calculation'!$E$2:$G$33,3,1)</f>
        <v>PT</v>
      </c>
      <c r="AY45" s="484">
        <f>IF(AX45="PT",VLOOKUP(L45,'Foundation Calculation'!$K$2:$R$40,VLOOKUP(AW45,'Foundation Calculation'!$I$2:$J$8,2,FALSE),0),IF(AX45="K",VLOOKUP(L45,'Foundation Calculation'!$K$42:$R$80,VLOOKUP(AW45,'Foundation Calculation'!$I$2:$J$8,2,FALSE),0),""))</f>
        <v>3.5</v>
      </c>
      <c r="AZ45" s="484"/>
      <c r="BA45" s="671" t="s">
        <v>2809</v>
      </c>
      <c r="BB45" s="1239" t="str">
        <f>Pole_Calculations!A15</f>
        <v>App.7-V11A-P9.5.1.1</v>
      </c>
      <c r="BC45" s="169"/>
      <c r="BD45" s="1329"/>
      <c r="BE45" s="1329"/>
      <c r="BF45" s="1330"/>
      <c r="BG45" s="1329"/>
    </row>
    <row r="46" spans="1:59" ht="15.75" customHeight="1">
      <c r="A46" s="1239"/>
      <c r="B46" s="1239"/>
      <c r="C46" s="1239"/>
      <c r="D46" s="1239"/>
      <c r="E46" s="1239"/>
      <c r="F46" s="1239"/>
      <c r="G46" s="455">
        <v>50</v>
      </c>
      <c r="H46" s="638"/>
      <c r="I46" s="638"/>
      <c r="J46" s="446"/>
      <c r="K46" s="638"/>
      <c r="L46" s="638"/>
      <c r="M46" s="638"/>
      <c r="N46" s="1239"/>
      <c r="O46" s="1239"/>
      <c r="P46" s="638"/>
      <c r="Q46" s="638"/>
      <c r="R46" s="638"/>
      <c r="S46" s="484"/>
      <c r="T46" s="638"/>
      <c r="U46" s="638"/>
      <c r="V46" s="638"/>
      <c r="W46" s="638"/>
      <c r="X46" s="638"/>
      <c r="Y46" s="638"/>
      <c r="Z46" s="638"/>
      <c r="AA46" s="638"/>
      <c r="AB46" s="638"/>
      <c r="AC46" s="638"/>
      <c r="AD46" s="638"/>
      <c r="AE46" s="638"/>
      <c r="AF46" s="638"/>
      <c r="AG46" s="446"/>
      <c r="AH46" s="638"/>
      <c r="AI46" s="185"/>
      <c r="AJ46" s="638"/>
      <c r="AK46" s="1239"/>
      <c r="AL46" s="638"/>
      <c r="AM46" s="638"/>
      <c r="AN46" s="455"/>
      <c r="AO46" s="1239"/>
      <c r="AP46" s="1239"/>
      <c r="AQ46" s="484">
        <f>+FL_1($T$47,$T$45,$G$46,1200,9.28,-1*$F$47)</f>
        <v>0.36839079999999996</v>
      </c>
      <c r="AR46" s="484"/>
      <c r="AS46" s="484"/>
      <c r="AT46" s="484"/>
      <c r="AU46" s="638"/>
      <c r="AV46" s="638"/>
      <c r="AW46" s="638"/>
      <c r="AX46" s="638"/>
      <c r="AY46" s="484"/>
      <c r="AZ46" s="484"/>
      <c r="BA46" s="671"/>
      <c r="BB46" s="1239"/>
      <c r="BC46" s="169"/>
      <c r="BD46" s="1330"/>
      <c r="BE46" s="1330"/>
      <c r="BF46" s="1330"/>
      <c r="BG46" s="1330"/>
    </row>
    <row r="47" spans="1:59" ht="15.75" customHeight="1">
      <c r="A47" s="1239"/>
      <c r="B47" s="572" t="s">
        <v>3537</v>
      </c>
      <c r="C47" s="171">
        <f>+$C$45+$G$46</f>
        <v>80396.63</v>
      </c>
      <c r="D47" s="1239"/>
      <c r="E47" s="1239"/>
      <c r="F47" s="447">
        <v>0</v>
      </c>
      <c r="G47" s="455"/>
      <c r="H47" s="1239"/>
      <c r="I47" s="1239"/>
      <c r="J47" s="446"/>
      <c r="K47" s="638"/>
      <c r="L47" s="445" t="s">
        <v>818</v>
      </c>
      <c r="M47" s="638" t="str">
        <f>IF(AX47="PT",VLOOKUP(L47,'Foundation Calculation'!$V$2:$X$40,VLOOKUP(AX47,'Foundation Calculation'!$I$10:$J$13,2,FALSE),0),IF(AX47="K",VLOOKUP(L47,'Foundation Calculation'!$V$42:$X$80,VLOOKUP(AX47,'Foundation Calculation'!$I$10:$J$13,2,FALSE),0),""))</f>
        <v>C4R</v>
      </c>
      <c r="N47" s="1239" t="s">
        <v>144</v>
      </c>
      <c r="O47" s="1239"/>
      <c r="P47" s="638"/>
      <c r="Q47" s="638"/>
      <c r="R47" s="638"/>
      <c r="S47" s="484"/>
      <c r="T47" s="638">
        <v>35</v>
      </c>
      <c r="U47" s="638"/>
      <c r="V47" s="638"/>
      <c r="W47" s="638">
        <v>1.4</v>
      </c>
      <c r="X47" s="638"/>
      <c r="Y47" s="638"/>
      <c r="Z47" s="638"/>
      <c r="AA47" s="638"/>
      <c r="AB47" s="638"/>
      <c r="AC47" s="638" t="str">
        <f>IF(OR(AT47&gt;8,AT47&lt;-8),"PH",IF(OR(AT47&gt;5,AT47&lt;-5),"PH-Q",IF(OR(AT47&gt;1,AT47&lt;-1),"PH-C")))</f>
        <v>PH-Q</v>
      </c>
      <c r="AD47" s="638"/>
      <c r="AE47" s="638"/>
      <c r="AF47" s="638"/>
      <c r="AG47" s="446"/>
      <c r="AH47" s="638"/>
      <c r="AI47" s="185"/>
      <c r="AJ47" s="445" t="s">
        <v>3516</v>
      </c>
      <c r="AK47" s="1239"/>
      <c r="AL47" s="638"/>
      <c r="AM47" s="638" t="s">
        <v>1043</v>
      </c>
      <c r="AN47" s="455">
        <v>5.5</v>
      </c>
      <c r="AO47" s="1239"/>
      <c r="AP47" s="1239"/>
      <c r="AQ47" s="484"/>
      <c r="AR47" s="484"/>
      <c r="AS47" s="484"/>
      <c r="AT47" s="484">
        <f>+ab($T$47,$T$45,$T$49,$G$46,$G$48,-1*$F$47,1200)</f>
        <v>6.820891075690624</v>
      </c>
      <c r="AU47" s="638"/>
      <c r="AV47" s="638"/>
      <c r="AW47" s="638" t="str">
        <f>VLOOKUP(C47,'Foundation Calculation'!$A$2:$C$33,3,1)</f>
        <v>Soil B</v>
      </c>
      <c r="AX47" s="638" t="str">
        <f>VLOOKUP(C47,'Foundation Calculation'!$E$2:$G$33,3,1)</f>
        <v>PT</v>
      </c>
      <c r="AY47" s="484">
        <f>IF(AX47="PT",VLOOKUP(L47,'Foundation Calculation'!$K$2:$R$40,VLOOKUP(AW47,'Foundation Calculation'!$I$2:$J$8,2,FALSE),0),IF(AX47="K",VLOOKUP(L47,'Foundation Calculation'!$K$42:$R$80,VLOOKUP(AW47,'Foundation Calculation'!$I$2:$J$8,2,FALSE),0),""))</f>
        <v>3.5</v>
      </c>
      <c r="AZ47" s="484"/>
      <c r="BA47" s="671" t="s">
        <v>2809</v>
      </c>
      <c r="BB47" s="1239" t="str">
        <f>Pole_Calculations!A15</f>
        <v>App.7-V11A-P9.5.1.1</v>
      </c>
      <c r="BC47" s="169"/>
      <c r="BD47" s="1329"/>
      <c r="BE47" s="1329"/>
      <c r="BF47" s="1330"/>
      <c r="BG47" s="1329"/>
    </row>
    <row r="48" spans="1:59" ht="15.75" customHeight="1">
      <c r="A48" s="647" t="s">
        <v>3449</v>
      </c>
      <c r="B48" s="653"/>
      <c r="C48" s="653"/>
      <c r="D48" s="653"/>
      <c r="E48" s="653"/>
      <c r="F48" s="653"/>
      <c r="G48" s="654">
        <v>50</v>
      </c>
      <c r="H48" s="647"/>
      <c r="I48" s="647"/>
      <c r="J48" s="649"/>
      <c r="K48" s="653"/>
      <c r="L48" s="653"/>
      <c r="M48" s="653"/>
      <c r="N48" s="647"/>
      <c r="O48" s="647"/>
      <c r="P48" s="653"/>
      <c r="Q48" s="653"/>
      <c r="R48" s="653"/>
      <c r="S48" s="654"/>
      <c r="T48" s="653"/>
      <c r="U48" s="653"/>
      <c r="V48" s="653"/>
      <c r="W48" s="653"/>
      <c r="X48" s="653"/>
      <c r="Y48" s="653"/>
      <c r="Z48" s="653"/>
      <c r="AA48" s="653"/>
      <c r="AB48" s="653"/>
      <c r="AC48" s="653"/>
      <c r="AD48" s="653"/>
      <c r="AE48" s="653"/>
      <c r="AF48" s="653"/>
      <c r="AG48" s="649"/>
      <c r="AH48" s="653"/>
      <c r="AI48" s="704"/>
      <c r="AJ48" s="653"/>
      <c r="AK48" s="647"/>
      <c r="AL48" s="653"/>
      <c r="AM48" s="653"/>
      <c r="AN48" s="651"/>
      <c r="AO48" s="647"/>
      <c r="AP48" s="647"/>
      <c r="AQ48" s="654">
        <f>+FL_2($T$49,$T$47,$G$48,1200,9.28,-1*$F$49)</f>
        <v>-0.36839079999999996</v>
      </c>
      <c r="AR48" s="654"/>
      <c r="AS48" s="654"/>
      <c r="AT48" s="654"/>
      <c r="AU48" s="653"/>
      <c r="AV48" s="653"/>
      <c r="AW48" s="653"/>
      <c r="AX48" s="653"/>
      <c r="AY48" s="654"/>
      <c r="AZ48" s="654"/>
      <c r="BA48" s="701"/>
      <c r="BB48" s="647"/>
      <c r="BC48" s="169"/>
      <c r="BD48" s="1330"/>
      <c r="BE48" s="1330"/>
      <c r="BF48" s="1330"/>
      <c r="BG48" s="1330"/>
    </row>
    <row r="49" spans="1:59" ht="15.75" customHeight="1">
      <c r="A49" s="638"/>
      <c r="B49" s="703" t="s">
        <v>3538</v>
      </c>
      <c r="C49" s="446">
        <f>+$C$47+$G$48</f>
        <v>80446.63</v>
      </c>
      <c r="D49" s="638"/>
      <c r="E49" s="638"/>
      <c r="F49" s="447">
        <v>0</v>
      </c>
      <c r="G49" s="484"/>
      <c r="H49" s="638"/>
      <c r="I49" s="638"/>
      <c r="J49" s="446"/>
      <c r="K49" s="638"/>
      <c r="L49" s="445" t="s">
        <v>818</v>
      </c>
      <c r="M49" s="638" t="str">
        <f>IF(AX49="PT",VLOOKUP(L49,'Foundation Calculation'!$V$2:$X$40,VLOOKUP(AX49,'Foundation Calculation'!$I$10:$J$13,2,FALSE),0),IF(AX49="K",VLOOKUP(L49,'Foundation Calculation'!$V$42:$X$80,VLOOKUP(AX49,'Foundation Calculation'!$I$10:$J$13,2,FALSE),0),""))</f>
        <v>C4R</v>
      </c>
      <c r="N49" s="1239" t="s">
        <v>143</v>
      </c>
      <c r="O49" s="1239"/>
      <c r="P49" s="638"/>
      <c r="Q49" s="638"/>
      <c r="R49" s="638"/>
      <c r="S49" s="484"/>
      <c r="T49" s="638">
        <v>-35</v>
      </c>
      <c r="U49" s="638"/>
      <c r="V49" s="638"/>
      <c r="W49" s="638">
        <v>1.4</v>
      </c>
      <c r="X49" s="638"/>
      <c r="Y49" s="638"/>
      <c r="Z49" s="638"/>
      <c r="AA49" s="638"/>
      <c r="AB49" s="638"/>
      <c r="AC49" s="638" t="str">
        <f>IF(OR(AT49&gt;8,AT49&lt;-8),"PH",IF(OR(AT49&gt;5,AT49&lt;-5),"PH-Q",IF(OR(AT49&gt;1,AT49&lt;-1),"PH-C")))</f>
        <v>PH-Q</v>
      </c>
      <c r="AD49" s="638"/>
      <c r="AE49" s="638"/>
      <c r="AF49" s="638"/>
      <c r="AG49" s="446"/>
      <c r="AH49" s="638"/>
      <c r="AI49" s="185"/>
      <c r="AJ49" s="445" t="s">
        <v>3516</v>
      </c>
      <c r="AK49" s="1239"/>
      <c r="AL49" s="638"/>
      <c r="AM49" s="638" t="s">
        <v>1043</v>
      </c>
      <c r="AN49" s="455">
        <v>5.5</v>
      </c>
      <c r="AO49" s="1239"/>
      <c r="AP49" s="1239"/>
      <c r="AQ49" s="484"/>
      <c r="AR49" s="484"/>
      <c r="AS49" s="484"/>
      <c r="AT49" s="484">
        <f>+ab($T$49,$T$47,$T$51,$G$48,$G$50,-1*$F$49,1200)</f>
        <v>-6.8209152065487553</v>
      </c>
      <c r="AU49" s="638"/>
      <c r="AV49" s="638"/>
      <c r="AW49" s="638" t="str">
        <f>VLOOKUP(C49,'Foundation Calculation'!$A$2:$C$33,3,1)</f>
        <v>Soil B</v>
      </c>
      <c r="AX49" s="638" t="str">
        <f>VLOOKUP(C49,'Foundation Calculation'!$E$2:$G$33,3,1)</f>
        <v>PT</v>
      </c>
      <c r="AY49" s="484">
        <f>IF(AX49="PT",VLOOKUP(L49,'Foundation Calculation'!$K$2:$R$40,VLOOKUP(AW49,'Foundation Calculation'!$I$2:$J$8,2,FALSE),0),IF(AX49="K",VLOOKUP(L49,'Foundation Calculation'!$K$42:$R$80,VLOOKUP(AW49,'Foundation Calculation'!$I$2:$J$8,2,FALSE),0),""))</f>
        <v>3.5</v>
      </c>
      <c r="AZ49" s="484"/>
      <c r="BA49" s="671" t="s">
        <v>2809</v>
      </c>
      <c r="BB49" s="638" t="str">
        <f>Pole_Calculations!A15</f>
        <v>App.7-V11A-P9.5.1.1</v>
      </c>
      <c r="BC49" s="169"/>
      <c r="BD49" s="1329"/>
      <c r="BE49" s="1329"/>
      <c r="BF49" s="1330"/>
      <c r="BG49" s="1329"/>
    </row>
    <row r="50" spans="1:59" ht="15.75" customHeight="1">
      <c r="A50" s="647" t="s">
        <v>3449</v>
      </c>
      <c r="B50" s="653"/>
      <c r="C50" s="653"/>
      <c r="D50" s="653"/>
      <c r="E50" s="653"/>
      <c r="F50" s="653"/>
      <c r="G50" s="654">
        <v>50</v>
      </c>
      <c r="H50" s="653"/>
      <c r="I50" s="653"/>
      <c r="J50" s="649"/>
      <c r="K50" s="653"/>
      <c r="L50" s="653"/>
      <c r="M50" s="653"/>
      <c r="N50" s="647"/>
      <c r="O50" s="647"/>
      <c r="P50" s="653"/>
      <c r="Q50" s="653"/>
      <c r="R50" s="653"/>
      <c r="S50" s="654"/>
      <c r="T50" s="653"/>
      <c r="U50" s="653"/>
      <c r="V50" s="653"/>
      <c r="W50" s="653"/>
      <c r="X50" s="653"/>
      <c r="Y50" s="653"/>
      <c r="Z50" s="653"/>
      <c r="AA50" s="653"/>
      <c r="AB50" s="653"/>
      <c r="AC50" s="653"/>
      <c r="AD50" s="653"/>
      <c r="AE50" s="653"/>
      <c r="AF50" s="653"/>
      <c r="AG50" s="649"/>
      <c r="AH50" s="653"/>
      <c r="AI50" s="704"/>
      <c r="AJ50" s="653"/>
      <c r="AK50" s="647"/>
      <c r="AL50" s="653"/>
      <c r="AM50" s="653"/>
      <c r="AN50" s="651"/>
      <c r="AO50" s="647"/>
      <c r="AP50" s="647"/>
      <c r="AQ50" s="654">
        <f>+FL_1($T$51,$T$49,$G$50,1200,9.28,-1*$F$51)</f>
        <v>0.36839079999999996</v>
      </c>
      <c r="AR50" s="654"/>
      <c r="AS50" s="654"/>
      <c r="AT50" s="654"/>
      <c r="AU50" s="653"/>
      <c r="AV50" s="653"/>
      <c r="AW50" s="653"/>
      <c r="AX50" s="653"/>
      <c r="AY50" s="654"/>
      <c r="AZ50" s="654"/>
      <c r="BA50" s="701"/>
      <c r="BB50" s="647"/>
      <c r="BC50" s="169"/>
      <c r="BD50" s="1330"/>
      <c r="BE50" s="1330"/>
      <c r="BF50" s="1330"/>
      <c r="BG50" s="1330"/>
    </row>
    <row r="51" spans="1:59" ht="15.75" customHeight="1">
      <c r="A51" s="1239"/>
      <c r="B51" s="435" t="s">
        <v>3539</v>
      </c>
      <c r="C51" s="446">
        <f>+$C$49+$G$50</f>
        <v>80496.63</v>
      </c>
      <c r="D51" s="447"/>
      <c r="E51" s="447"/>
      <c r="F51" s="447">
        <v>0</v>
      </c>
      <c r="G51" s="484"/>
      <c r="H51" s="638"/>
      <c r="I51" s="638"/>
      <c r="J51" s="446"/>
      <c r="K51" s="638"/>
      <c r="L51" s="445" t="s">
        <v>818</v>
      </c>
      <c r="M51" s="638" t="str">
        <f>IF(AX51="PT",VLOOKUP(L51,'Foundation Calculation'!$V$2:$X$40,VLOOKUP(AX51,'Foundation Calculation'!$I$10:$J$13,2,FALSE),0),IF(AX51="K",VLOOKUP(L51,'Foundation Calculation'!$V$42:$X$80,VLOOKUP(AX51,'Foundation Calculation'!$I$10:$J$13,2,FALSE),0),""))</f>
        <v>C4R</v>
      </c>
      <c r="N51" s="1239" t="s">
        <v>144</v>
      </c>
      <c r="O51" s="1239"/>
      <c r="P51" s="638"/>
      <c r="Q51" s="638"/>
      <c r="R51" s="638"/>
      <c r="S51" s="484"/>
      <c r="T51" s="638">
        <v>35</v>
      </c>
      <c r="U51" s="638"/>
      <c r="V51" s="638"/>
      <c r="W51" s="638">
        <v>1.4</v>
      </c>
      <c r="X51" s="638"/>
      <c r="Y51" s="638"/>
      <c r="Z51" s="638"/>
      <c r="AA51" s="638"/>
      <c r="AB51" s="638"/>
      <c r="AC51" s="638" t="str">
        <f>IF(OR(AT51&gt;8,AT51&lt;-8),"PH",IF(OR(AT51&gt;5,AT51&lt;-5),"PH-Q",IF(OR(AT51&gt;1,AT51&lt;-1),"PH-C")))</f>
        <v>PH-Q</v>
      </c>
      <c r="AD51" s="638"/>
      <c r="AE51" s="638"/>
      <c r="AF51" s="638"/>
      <c r="AG51" s="446"/>
      <c r="AH51" s="638"/>
      <c r="AI51" s="185"/>
      <c r="AJ51" s="445" t="s">
        <v>3516</v>
      </c>
      <c r="AK51" s="1239"/>
      <c r="AL51" s="638"/>
      <c r="AM51" s="638" t="s">
        <v>1043</v>
      </c>
      <c r="AN51" s="455">
        <v>5.5</v>
      </c>
      <c r="AO51" s="1239"/>
      <c r="AP51" s="1239"/>
      <c r="AQ51" s="484"/>
      <c r="AR51" s="484"/>
      <c r="AS51" s="484"/>
      <c r="AT51" s="484">
        <f>+ab($T$51,$T$49,$T$53,$G$50,$G$52,-1*$F$51,1200)</f>
        <v>6.820891075690624</v>
      </c>
      <c r="AU51" s="638"/>
      <c r="AV51" s="638"/>
      <c r="AW51" s="638" t="str">
        <f>VLOOKUP(C51,'Foundation Calculation'!$A$2:$C$33,3,1)</f>
        <v>Soil B</v>
      </c>
      <c r="AX51" s="638" t="str">
        <f>VLOOKUP(C51,'Foundation Calculation'!$E$2:$G$33,3,1)</f>
        <v>PT</v>
      </c>
      <c r="AY51" s="484">
        <f>IF(AX51="PT",VLOOKUP(L51,'Foundation Calculation'!$K$2:$R$40,VLOOKUP(AW51,'Foundation Calculation'!$I$2:$J$8,2,FALSE),0),IF(AX51="K",VLOOKUP(L51,'Foundation Calculation'!$K$42:$R$80,VLOOKUP(AW51,'Foundation Calculation'!$I$2:$J$8,2,FALSE),0),""))</f>
        <v>3.5</v>
      </c>
      <c r="AZ51" s="484"/>
      <c r="BA51" s="671" t="s">
        <v>2809</v>
      </c>
      <c r="BB51" s="1239" t="str">
        <f>Pole_Calculations!A15</f>
        <v>App.7-V11A-P9.5.1.1</v>
      </c>
      <c r="BC51" s="169"/>
      <c r="BD51" s="1329"/>
      <c r="BE51" s="1329"/>
      <c r="BF51" s="1330"/>
      <c r="BG51" s="1329"/>
    </row>
    <row r="52" spans="1:59" ht="15.75" customHeight="1">
      <c r="A52" s="1239"/>
      <c r="B52" s="173"/>
      <c r="C52" s="446"/>
      <c r="D52" s="447"/>
      <c r="E52" s="447"/>
      <c r="F52" s="1239"/>
      <c r="G52" s="484">
        <v>50</v>
      </c>
      <c r="H52" s="638"/>
      <c r="I52" s="447"/>
      <c r="J52" s="446"/>
      <c r="K52" s="638"/>
      <c r="L52" s="638"/>
      <c r="M52" s="638"/>
      <c r="N52" s="1239"/>
      <c r="O52" s="1239"/>
      <c r="P52" s="638"/>
      <c r="Q52" s="638"/>
      <c r="R52" s="638"/>
      <c r="S52" s="484"/>
      <c r="T52" s="638"/>
      <c r="U52" s="638"/>
      <c r="V52" s="638"/>
      <c r="W52" s="638"/>
      <c r="X52" s="638"/>
      <c r="Y52" s="638"/>
      <c r="Z52" s="638"/>
      <c r="AA52" s="638"/>
      <c r="AB52" s="638"/>
      <c r="AC52" s="638"/>
      <c r="AD52" s="638"/>
      <c r="AE52" s="638"/>
      <c r="AF52" s="638"/>
      <c r="AG52" s="446"/>
      <c r="AH52" s="638"/>
      <c r="AI52" s="185"/>
      <c r="AJ52" s="638"/>
      <c r="AK52" s="1239"/>
      <c r="AL52" s="638"/>
      <c r="AM52" s="638"/>
      <c r="AN52" s="455"/>
      <c r="AO52" s="1239"/>
      <c r="AP52" s="1239"/>
      <c r="AQ52" s="484">
        <f>+FL_2($T$53,$T$51,$G$52,1200,9.28,-1*$F$53)</f>
        <v>-0.36839079999999996</v>
      </c>
      <c r="AR52" s="484"/>
      <c r="AS52" s="484"/>
      <c r="AT52" s="484"/>
      <c r="AU52" s="638"/>
      <c r="AV52" s="638"/>
      <c r="AW52" s="638"/>
      <c r="AX52" s="638"/>
      <c r="AY52" s="484"/>
      <c r="AZ52" s="484"/>
      <c r="BA52" s="671"/>
      <c r="BB52" s="1239"/>
      <c r="BC52" s="169"/>
      <c r="BD52" s="1330"/>
      <c r="BE52" s="1330"/>
      <c r="BF52" s="1330"/>
      <c r="BG52" s="1330"/>
    </row>
    <row r="53" spans="1:59" ht="15.75" customHeight="1">
      <c r="A53" s="1239"/>
      <c r="B53" s="435" t="s">
        <v>3540</v>
      </c>
      <c r="C53" s="446">
        <f>+$C$51+$G$52</f>
        <v>80546.63</v>
      </c>
      <c r="D53" s="447"/>
      <c r="E53" s="447"/>
      <c r="F53" s="447">
        <v>0</v>
      </c>
      <c r="G53" s="484"/>
      <c r="H53" s="638"/>
      <c r="I53" s="167"/>
      <c r="J53" s="446"/>
      <c r="K53" s="638"/>
      <c r="L53" s="445" t="s">
        <v>818</v>
      </c>
      <c r="M53" s="638" t="str">
        <f>IF(AX53="PT",VLOOKUP(L53,'Foundation Calculation'!$V$2:$X$40,VLOOKUP(AX53,'Foundation Calculation'!$I$10:$J$13,2,FALSE),0),IF(AX53="K",VLOOKUP(L53,'Foundation Calculation'!$V$42:$X$80,VLOOKUP(AX53,'Foundation Calculation'!$I$10:$J$13,2,FALSE),0),""))</f>
        <v>C4R</v>
      </c>
      <c r="N53" s="1239" t="s">
        <v>143</v>
      </c>
      <c r="O53" s="1239"/>
      <c r="P53" s="638"/>
      <c r="Q53" s="638"/>
      <c r="R53" s="638"/>
      <c r="S53" s="484"/>
      <c r="T53" s="638">
        <v>-35</v>
      </c>
      <c r="U53" s="638"/>
      <c r="V53" s="638"/>
      <c r="W53" s="638">
        <v>1.4</v>
      </c>
      <c r="X53" s="638"/>
      <c r="Y53" s="638"/>
      <c r="Z53" s="638"/>
      <c r="AA53" s="638"/>
      <c r="AB53" s="638"/>
      <c r="AC53" s="638" t="str">
        <f>IF(OR(AT53&gt;8,AT53&lt;-8),"PH",IF(OR(AT53&gt;5,AT53&lt;-5),"PH-Q",IF(OR(AT53&gt;1,AT53&lt;-1),"PH-C")))</f>
        <v>PH-Q</v>
      </c>
      <c r="AD53" s="638"/>
      <c r="AE53" s="638"/>
      <c r="AF53" s="638"/>
      <c r="AG53" s="446"/>
      <c r="AH53" s="638"/>
      <c r="AI53" s="185"/>
      <c r="AJ53" s="445" t="s">
        <v>3516</v>
      </c>
      <c r="AK53" s="1239"/>
      <c r="AL53" s="638"/>
      <c r="AM53" s="638" t="s">
        <v>1043</v>
      </c>
      <c r="AN53" s="455">
        <v>5.5</v>
      </c>
      <c r="AO53" s="1239"/>
      <c r="AP53" s="1239"/>
      <c r="AQ53" s="484"/>
      <c r="AR53" s="484"/>
      <c r="AS53" s="484"/>
      <c r="AT53" s="484">
        <f>+ab($T$53,$T$51,$T$55,$G$52,$G$54,-1*$F$53,1200)</f>
        <v>-7.1424424584170572</v>
      </c>
      <c r="AU53" s="638"/>
      <c r="AV53" s="638"/>
      <c r="AW53" s="638" t="str">
        <f>VLOOKUP(C53,'Foundation Calculation'!$A$2:$C$33,3,1)</f>
        <v>Soil B</v>
      </c>
      <c r="AX53" s="638" t="str">
        <f>VLOOKUP(C53,'Foundation Calculation'!$E$2:$G$33,3,1)</f>
        <v>PT</v>
      </c>
      <c r="AY53" s="484">
        <f>IF(AX53="PT",VLOOKUP(L53,'Foundation Calculation'!$K$2:$R$40,VLOOKUP(AW53,'Foundation Calculation'!$I$2:$J$8,2,FALSE),0),IF(AX53="K",VLOOKUP(L53,'Foundation Calculation'!$K$42:$R$80,VLOOKUP(AW53,'Foundation Calculation'!$I$2:$J$8,2,FALSE),0),""))</f>
        <v>3.5</v>
      </c>
      <c r="AZ53" s="484"/>
      <c r="BA53" s="671" t="s">
        <v>2809</v>
      </c>
      <c r="BB53" s="1239" t="str">
        <f>Pole_Calculations!A15</f>
        <v>App.7-V11A-P9.5.1.1</v>
      </c>
      <c r="BC53" s="169"/>
      <c r="BD53" s="1329"/>
      <c r="BE53" s="1329"/>
      <c r="BF53" s="1330"/>
      <c r="BG53" s="1329"/>
    </row>
    <row r="54" spans="1:59" ht="15.75" customHeight="1">
      <c r="A54" s="1239"/>
      <c r="B54" s="173"/>
      <c r="C54" s="446"/>
      <c r="D54" s="447"/>
      <c r="E54" s="447"/>
      <c r="F54" s="1239"/>
      <c r="G54" s="484">
        <v>55</v>
      </c>
      <c r="H54" s="638"/>
      <c r="I54" s="638"/>
      <c r="J54" s="446"/>
      <c r="K54" s="638"/>
      <c r="L54" s="638"/>
      <c r="M54" s="638"/>
      <c r="N54" s="1239"/>
      <c r="O54" s="1239"/>
      <c r="P54" s="638"/>
      <c r="Q54" s="638"/>
      <c r="R54" s="638"/>
      <c r="S54" s="484"/>
      <c r="T54" s="638"/>
      <c r="U54" s="638"/>
      <c r="V54" s="638"/>
      <c r="W54" s="638"/>
      <c r="X54" s="638"/>
      <c r="Y54" s="638"/>
      <c r="Z54" s="638"/>
      <c r="AA54" s="638"/>
      <c r="AB54" s="638"/>
      <c r="AC54" s="638"/>
      <c r="AD54" s="638"/>
      <c r="AE54" s="638"/>
      <c r="AF54" s="638"/>
      <c r="AG54" s="446"/>
      <c r="AH54" s="638"/>
      <c r="AI54" s="185"/>
      <c r="AJ54" s="638"/>
      <c r="AK54" s="1239"/>
      <c r="AL54" s="638"/>
      <c r="AM54" s="638"/>
      <c r="AN54" s="455"/>
      <c r="AO54" s="1239"/>
      <c r="AP54" s="1239"/>
      <c r="AQ54" s="484">
        <f>+FL_2($T$55,$T$53,$G$54,1200,9.28,-1*$F$55)</f>
        <v>-0.39714735709090898</v>
      </c>
      <c r="AR54" s="484"/>
      <c r="AS54" s="484"/>
      <c r="AT54" s="484"/>
      <c r="AU54" s="638"/>
      <c r="AV54" s="638"/>
      <c r="AW54" s="638"/>
      <c r="AX54" s="638"/>
      <c r="AY54" s="484"/>
      <c r="AZ54" s="484"/>
      <c r="BA54" s="671"/>
      <c r="BB54" s="1239"/>
      <c r="BC54" s="169"/>
      <c r="BD54" s="1330"/>
      <c r="BE54" s="1330"/>
      <c r="BF54" s="1330"/>
      <c r="BG54" s="1330"/>
    </row>
    <row r="55" spans="1:59" ht="15.75" customHeight="1">
      <c r="A55" s="1239"/>
      <c r="B55" s="435" t="s">
        <v>3541</v>
      </c>
      <c r="C55" s="446">
        <f>+$C$53+$G$54</f>
        <v>80601.63</v>
      </c>
      <c r="D55" s="447"/>
      <c r="E55" s="447"/>
      <c r="F55" s="447">
        <v>0</v>
      </c>
      <c r="G55" s="484"/>
      <c r="H55" s="638"/>
      <c r="I55" s="638"/>
      <c r="J55" s="446"/>
      <c r="K55" s="638"/>
      <c r="L55" s="445" t="s">
        <v>818</v>
      </c>
      <c r="M55" s="638" t="str">
        <f>IF(AX55="PT",VLOOKUP(L55,'Foundation Calculation'!$V$2:$X$40,VLOOKUP(AX55,'Foundation Calculation'!$I$10:$J$13,2,FALSE),0),IF(AX55="K",VLOOKUP(L55,'Foundation Calculation'!$V$42:$X$80,VLOOKUP(AX55,'Foundation Calculation'!$I$10:$J$13,2,FALSE),0),""))</f>
        <v>C4R</v>
      </c>
      <c r="N55" s="1239" t="s">
        <v>144</v>
      </c>
      <c r="O55" s="1239"/>
      <c r="P55" s="638"/>
      <c r="Q55" s="638"/>
      <c r="R55" s="638"/>
      <c r="S55" s="484"/>
      <c r="T55" s="638">
        <v>35</v>
      </c>
      <c r="U55" s="638"/>
      <c r="V55" s="638"/>
      <c r="W55" s="638">
        <v>1.4</v>
      </c>
      <c r="X55" s="638"/>
      <c r="Y55" s="638"/>
      <c r="Z55" s="638"/>
      <c r="AA55" s="638"/>
      <c r="AB55" s="638"/>
      <c r="AC55" s="638" t="str">
        <f>IF(OR(AT55&gt;8,AT55&lt;-8),"PH",IF(OR(AT55&gt;5,AT55&lt;-5),"PH-Q",IF(OR(AT55&gt;1,AT55&lt;-1),"PH-C")))</f>
        <v>PH-Q</v>
      </c>
      <c r="AD55" s="638"/>
      <c r="AE55" s="638"/>
      <c r="AF55" s="638"/>
      <c r="AG55" s="446"/>
      <c r="AH55" s="638"/>
      <c r="AI55" s="185"/>
      <c r="AJ55" s="445" t="s">
        <v>3516</v>
      </c>
      <c r="AK55" s="1239"/>
      <c r="AL55" s="638"/>
      <c r="AM55" s="638" t="s">
        <v>1043</v>
      </c>
      <c r="AN55" s="455">
        <v>5.5</v>
      </c>
      <c r="AO55" s="1239"/>
      <c r="AP55" s="1239"/>
      <c r="AQ55" s="484"/>
      <c r="AR55" s="484"/>
      <c r="AS55" s="484"/>
      <c r="AT55" s="484">
        <f>+ab($T$55,$T$53,$T$57,$G$54,$G$56,-1*$F$55,1200)</f>
        <v>7.8175137683875535</v>
      </c>
      <c r="AU55" s="638"/>
      <c r="AV55" s="638"/>
      <c r="AW55" s="638" t="str">
        <f>VLOOKUP(C55,'Foundation Calculation'!$A$2:$C$33,3,1)</f>
        <v>Soil B</v>
      </c>
      <c r="AX55" s="638" t="str">
        <f>VLOOKUP(C55,'Foundation Calculation'!$E$2:$G$33,3,1)</f>
        <v>PT</v>
      </c>
      <c r="AY55" s="484">
        <f>IF(AX55="PT",VLOOKUP(L55,'Foundation Calculation'!$K$2:$R$40,VLOOKUP(AW55,'Foundation Calculation'!$I$2:$J$8,2,FALSE),0),IF(AX55="K",VLOOKUP(L55,'Foundation Calculation'!$K$42:$R$80,VLOOKUP(AW55,'Foundation Calculation'!$I$2:$J$8,2,FALSE),0),""))</f>
        <v>3.5</v>
      </c>
      <c r="AZ55" s="484"/>
      <c r="BA55" s="671" t="s">
        <v>2809</v>
      </c>
      <c r="BB55" s="1239" t="str">
        <f>Pole_Calculations!A15</f>
        <v>App.7-V11A-P9.5.1.1</v>
      </c>
      <c r="BC55" s="169"/>
      <c r="BD55" s="1329"/>
      <c r="BE55" s="1329"/>
      <c r="BF55" s="1330"/>
      <c r="BG55" s="1329"/>
    </row>
    <row r="56" spans="1:59" ht="15.75" customHeight="1">
      <c r="A56" s="1239"/>
      <c r="B56" s="173"/>
      <c r="C56" s="446"/>
      <c r="D56" s="447"/>
      <c r="E56" s="447"/>
      <c r="F56" s="1239"/>
      <c r="G56" s="484">
        <v>60</v>
      </c>
      <c r="H56" s="571"/>
      <c r="I56" s="638"/>
      <c r="J56" s="446"/>
      <c r="K56" s="638"/>
      <c r="L56" s="638"/>
      <c r="M56" s="638"/>
      <c r="N56" s="1239"/>
      <c r="O56" s="1239"/>
      <c r="P56" s="638"/>
      <c r="Q56" s="638"/>
      <c r="R56" s="638"/>
      <c r="S56" s="484"/>
      <c r="T56" s="638"/>
      <c r="U56" s="638"/>
      <c r="V56" s="638"/>
      <c r="W56" s="638"/>
      <c r="X56" s="638"/>
      <c r="Y56" s="638"/>
      <c r="Z56" s="638"/>
      <c r="AA56" s="638"/>
      <c r="AB56" s="638"/>
      <c r="AC56" s="638"/>
      <c r="AD56" s="638"/>
      <c r="AE56" s="638"/>
      <c r="AF56" s="638"/>
      <c r="AG56" s="446"/>
      <c r="AH56" s="638"/>
      <c r="AI56" s="185"/>
      <c r="AJ56" s="638"/>
      <c r="AK56" s="1239"/>
      <c r="AL56" s="638"/>
      <c r="AM56" s="638"/>
      <c r="AN56" s="455"/>
      <c r="AO56" s="1239"/>
      <c r="AP56" s="1239"/>
      <c r="AQ56" s="484">
        <f>+FL_2($T$57,$T$55,$G$56,1200,9.28,-1*$F$57)</f>
        <v>-0.43600286799999999</v>
      </c>
      <c r="AR56" s="484"/>
      <c r="AS56" s="484"/>
      <c r="AT56" s="484"/>
      <c r="AU56" s="638"/>
      <c r="AV56" s="638"/>
      <c r="AW56" s="638"/>
      <c r="AX56" s="638"/>
      <c r="AY56" s="484"/>
      <c r="AZ56" s="484"/>
      <c r="BA56" s="671"/>
      <c r="BB56" s="1239"/>
      <c r="BC56" s="169"/>
      <c r="BD56" s="1330"/>
      <c r="BE56" s="1330"/>
      <c r="BF56" s="1330"/>
      <c r="BG56" s="1330"/>
    </row>
    <row r="57" spans="1:59" ht="15.75" customHeight="1">
      <c r="A57" s="1239"/>
      <c r="B57" s="435" t="s">
        <v>3542</v>
      </c>
      <c r="C57" s="446">
        <f>+$C$55+$G$56</f>
        <v>80661.63</v>
      </c>
      <c r="D57" s="447"/>
      <c r="E57" s="447"/>
      <c r="F57" s="447">
        <v>0</v>
      </c>
      <c r="G57" s="484"/>
      <c r="H57" s="1239"/>
      <c r="I57" s="1239"/>
      <c r="J57" s="446"/>
      <c r="K57" s="638"/>
      <c r="L57" s="445" t="s">
        <v>818</v>
      </c>
      <c r="M57" s="638" t="str">
        <f>IF(AX57="PT",VLOOKUP(L57,'Foundation Calculation'!$V$2:$X$40,VLOOKUP(AX57,'Foundation Calculation'!$I$10:$J$13,2,FALSE),0),IF(AX57="K",VLOOKUP(L57,'Foundation Calculation'!$V$42:$X$80,VLOOKUP(AX57,'Foundation Calculation'!$I$10:$J$13,2,FALSE),0),""))</f>
        <v>C4R</v>
      </c>
      <c r="N57" s="1239" t="s">
        <v>143</v>
      </c>
      <c r="O57" s="1239"/>
      <c r="P57" s="638"/>
      <c r="Q57" s="638"/>
      <c r="R57" s="638"/>
      <c r="S57" s="484"/>
      <c r="T57" s="638">
        <v>-35</v>
      </c>
      <c r="U57" s="638"/>
      <c r="V57" s="638"/>
      <c r="W57" s="638">
        <v>1.4</v>
      </c>
      <c r="X57" s="638"/>
      <c r="Y57" s="638"/>
      <c r="Z57" s="638"/>
      <c r="AA57" s="638"/>
      <c r="AB57" s="638"/>
      <c r="AC57" s="638" t="str">
        <f>IF(OR(AT57&gt;8,AT57&lt;-8),"PH",IF(OR(AT57&gt;5,AT57&lt;-5),"PH-Q",IF(OR(AT57&gt;1,AT57&lt;-1),"PH-C")))</f>
        <v>PH</v>
      </c>
      <c r="AD57" s="638"/>
      <c r="AE57" s="638"/>
      <c r="AF57" s="638"/>
      <c r="AG57" s="446"/>
      <c r="AH57" s="638"/>
      <c r="AI57" s="185"/>
      <c r="AJ57" s="445" t="s">
        <v>3516</v>
      </c>
      <c r="AK57" s="1239"/>
      <c r="AL57" s="638"/>
      <c r="AM57" s="638" t="s">
        <v>1043</v>
      </c>
      <c r="AN57" s="455">
        <v>5.5</v>
      </c>
      <c r="AO57" s="1239"/>
      <c r="AP57" s="1239"/>
      <c r="AQ57" s="484"/>
      <c r="AR57" s="484"/>
      <c r="AS57" s="484"/>
      <c r="AT57" s="484">
        <f>+ab($T$57,$T$55,$T$59,$G$56,$G$58,-1*$F$57,1200)</f>
        <v>-8.4664207780936191</v>
      </c>
      <c r="AU57" s="638"/>
      <c r="AV57" s="638"/>
      <c r="AW57" s="638" t="str">
        <f>VLOOKUP(C57,'Foundation Calculation'!$A$2:$C$33,3,1)</f>
        <v>Soil B</v>
      </c>
      <c r="AX57" s="638" t="str">
        <f>VLOOKUP(C57,'Foundation Calculation'!$E$2:$G$33,3,1)</f>
        <v>PT</v>
      </c>
      <c r="AY57" s="484">
        <f>IF(AX57="PT",VLOOKUP(L57,'Foundation Calculation'!$K$2:$R$40,VLOOKUP(AW57,'Foundation Calculation'!$I$2:$J$8,2,FALSE),0),IF(AX57="K",VLOOKUP(L57,'Foundation Calculation'!$K$42:$R$80,VLOOKUP(AW57,'Foundation Calculation'!$I$2:$J$8,2,FALSE),0),""))</f>
        <v>3.5</v>
      </c>
      <c r="AZ57" s="484"/>
      <c r="BA57" s="671" t="s">
        <v>2809</v>
      </c>
      <c r="BB57" s="1239" t="str">
        <f>Pole_Calculations!A15</f>
        <v>App.7-V11A-P9.5.1.1</v>
      </c>
      <c r="BC57" s="169"/>
      <c r="BD57" s="1329"/>
      <c r="BE57" s="1329"/>
      <c r="BF57" s="1330"/>
      <c r="BG57" s="1329"/>
    </row>
    <row r="58" spans="1:59" ht="15.75" customHeight="1">
      <c r="A58" s="1239"/>
      <c r="B58" s="173"/>
      <c r="C58" s="446"/>
      <c r="D58" s="447"/>
      <c r="E58" s="447"/>
      <c r="F58" s="1239"/>
      <c r="G58" s="484">
        <v>60</v>
      </c>
      <c r="H58" s="1239"/>
      <c r="I58" s="1239"/>
      <c r="J58" s="446"/>
      <c r="K58" s="638"/>
      <c r="L58" s="638"/>
      <c r="M58" s="638"/>
      <c r="N58" s="1239"/>
      <c r="O58" s="1239"/>
      <c r="P58" s="638"/>
      <c r="Q58" s="638"/>
      <c r="R58" s="638"/>
      <c r="S58" s="484"/>
      <c r="T58" s="638"/>
      <c r="U58" s="638"/>
      <c r="V58" s="638"/>
      <c r="W58" s="638"/>
      <c r="X58" s="638"/>
      <c r="Y58" s="638"/>
      <c r="Z58" s="638"/>
      <c r="AA58" s="638"/>
      <c r="AB58" s="638"/>
      <c r="AC58" s="638"/>
      <c r="AD58" s="638"/>
      <c r="AE58" s="638"/>
      <c r="AF58" s="638"/>
      <c r="AG58" s="446"/>
      <c r="AH58" s="638"/>
      <c r="AI58" s="185"/>
      <c r="AJ58" s="638"/>
      <c r="AK58" s="1239"/>
      <c r="AL58" s="638"/>
      <c r="AM58" s="638"/>
      <c r="AN58" s="455"/>
      <c r="AO58" s="1239"/>
      <c r="AP58" s="1239"/>
      <c r="AQ58" s="484">
        <f>+FL_2($T$59,$T$57,$G$58,1200,9.28,-1*$F$59)</f>
        <v>-0.44888002800000004</v>
      </c>
      <c r="AR58" s="484"/>
      <c r="AS58" s="484"/>
      <c r="AT58" s="484"/>
      <c r="AU58" s="638"/>
      <c r="AV58" s="638"/>
      <c r="AW58" s="638"/>
      <c r="AX58" s="638"/>
      <c r="AY58" s="484"/>
      <c r="AZ58" s="484"/>
      <c r="BA58" s="671"/>
      <c r="BB58" s="1239"/>
      <c r="BC58" s="169"/>
      <c r="BD58" s="1330"/>
      <c r="BE58" s="1330"/>
      <c r="BF58" s="1330"/>
      <c r="BG58" s="1330"/>
    </row>
    <row r="59" spans="1:59" ht="15.75" customHeight="1">
      <c r="A59" s="1239"/>
      <c r="B59" s="435" t="s">
        <v>3543</v>
      </c>
      <c r="C59" s="446">
        <f>+$C$57+$G$58</f>
        <v>80721.63</v>
      </c>
      <c r="D59" s="447"/>
      <c r="E59" s="447"/>
      <c r="F59" s="447">
        <v>0</v>
      </c>
      <c r="G59" s="484"/>
      <c r="H59" s="1239"/>
      <c r="I59" s="1239"/>
      <c r="J59" s="446"/>
      <c r="K59" s="638"/>
      <c r="L59" s="445" t="s">
        <v>818</v>
      </c>
      <c r="M59" s="638" t="str">
        <f>IF(AX59="PT",VLOOKUP(L59,'Foundation Calculation'!$V$2:$X$40,VLOOKUP(AX59,'Foundation Calculation'!$I$10:$J$13,2,FALSE),0),IF(AX59="K",VLOOKUP(L59,'Foundation Calculation'!$V$42:$X$80,VLOOKUP(AX59,'Foundation Calculation'!$I$10:$J$13,2,FALSE),0),""))</f>
        <v>C4R</v>
      </c>
      <c r="N59" s="1239" t="s">
        <v>144</v>
      </c>
      <c r="O59" s="1239"/>
      <c r="P59" s="638"/>
      <c r="Q59" s="638"/>
      <c r="R59" s="638"/>
      <c r="S59" s="484"/>
      <c r="T59" s="638">
        <v>30</v>
      </c>
      <c r="U59" s="638"/>
      <c r="V59" s="638"/>
      <c r="W59" s="638">
        <v>1.4</v>
      </c>
      <c r="X59" s="638"/>
      <c r="Y59" s="638"/>
      <c r="Z59" s="638"/>
      <c r="AA59" s="638"/>
      <c r="AB59" s="638"/>
      <c r="AC59" s="638" t="str">
        <f>IF(OR(AT59&gt;8,AT59&lt;-8),"PH",IF(OR(AT59&gt;5,AT59&lt;-5),"PH-Q",IF(OR(AT59&gt;1,AT59&lt;-1),"PH-C")))</f>
        <v>PH</v>
      </c>
      <c r="AD59" s="638"/>
      <c r="AE59" s="638"/>
      <c r="AF59" s="638"/>
      <c r="AG59" s="446"/>
      <c r="AH59" s="638"/>
      <c r="AI59" s="185"/>
      <c r="AJ59" s="445" t="s">
        <v>3516</v>
      </c>
      <c r="AK59" s="1239"/>
      <c r="AL59" s="638"/>
      <c r="AM59" s="638" t="s">
        <v>1043</v>
      </c>
      <c r="AN59" s="455">
        <v>5.5</v>
      </c>
      <c r="AO59" s="1239"/>
      <c r="AP59" s="1239"/>
      <c r="AQ59" s="484"/>
      <c r="AR59" s="484"/>
      <c r="AS59" s="484"/>
      <c r="AT59" s="484">
        <f>+ab($T$59,$T$57,$T$61,$G$58,$G$60,-1*$F$59,1200)</f>
        <v>9.5063995410137085</v>
      </c>
      <c r="AU59" s="638"/>
      <c r="AV59" s="638"/>
      <c r="AW59" s="638" t="str">
        <f>VLOOKUP(C59,'Foundation Calculation'!$A$2:$C$33,3,1)</f>
        <v>Soil B</v>
      </c>
      <c r="AX59" s="638" t="str">
        <f>VLOOKUP(C59,'Foundation Calculation'!$E$2:$G$33,3,1)</f>
        <v>PT</v>
      </c>
      <c r="AY59" s="484">
        <f>IF(AX59="PT",VLOOKUP(L59,'Foundation Calculation'!$K$2:$R$40,VLOOKUP(AW59,'Foundation Calculation'!$I$2:$J$8,2,FALSE),0),IF(AX59="K",VLOOKUP(L59,'Foundation Calculation'!$K$42:$R$80,VLOOKUP(AW59,'Foundation Calculation'!$I$2:$J$8,2,FALSE),0),""))</f>
        <v>3.5</v>
      </c>
      <c r="AZ59" s="484"/>
      <c r="BA59" s="671" t="s">
        <v>2809</v>
      </c>
      <c r="BB59" s="1239" t="str">
        <f>Pole_Calculations!A15</f>
        <v>App.7-V11A-P9.5.1.1</v>
      </c>
      <c r="BC59" s="169"/>
      <c r="BD59" s="1329"/>
      <c r="BE59" s="1329"/>
      <c r="BF59" s="1330"/>
      <c r="BG59" s="1329"/>
    </row>
    <row r="60" spans="1:59" ht="15.75" customHeight="1">
      <c r="A60" s="1239"/>
      <c r="B60" s="173"/>
      <c r="C60" s="446"/>
      <c r="D60" s="447"/>
      <c r="E60" s="447"/>
      <c r="F60" s="1239"/>
      <c r="G60" s="484">
        <v>60</v>
      </c>
      <c r="H60" s="1239"/>
      <c r="I60" s="448"/>
      <c r="J60" s="446">
        <f>C61-7.5</f>
        <v>80774.13</v>
      </c>
      <c r="K60" s="638" t="s">
        <v>2787</v>
      </c>
      <c r="L60" s="638"/>
      <c r="M60" s="638"/>
      <c r="N60" s="638"/>
      <c r="O60" s="1239"/>
      <c r="P60" s="638"/>
      <c r="Q60" s="638"/>
      <c r="R60" s="638"/>
      <c r="S60" s="484"/>
      <c r="T60" s="638"/>
      <c r="U60" s="638"/>
      <c r="V60" s="638"/>
      <c r="W60" s="638"/>
      <c r="X60" s="638"/>
      <c r="Y60" s="638"/>
      <c r="Z60" s="638"/>
      <c r="AA60" s="638"/>
      <c r="AB60" s="638"/>
      <c r="AC60" s="638"/>
      <c r="AD60" s="638"/>
      <c r="AE60" s="638"/>
      <c r="AF60" s="638"/>
      <c r="AG60" s="446"/>
      <c r="AH60" s="638"/>
      <c r="AI60" s="185"/>
      <c r="AJ60" s="638"/>
      <c r="AK60" s="1239"/>
      <c r="AL60" s="638"/>
      <c r="AM60" s="638"/>
      <c r="AN60" s="455"/>
      <c r="AO60" s="1239"/>
      <c r="AP60" s="1239"/>
      <c r="AQ60" s="484">
        <f>+FL_1($T$61,$T$59,$G$60,1200,9.28,-1*$F$61)</f>
        <v>0.42732829999999999</v>
      </c>
      <c r="AR60" s="484"/>
      <c r="AS60" s="484"/>
      <c r="AT60" s="484"/>
      <c r="AU60" s="638"/>
      <c r="AV60" s="638"/>
      <c r="AW60" s="638" t="str">
        <f>VLOOKUP(J60,'Foundation Calculation'!$A$2:$C$33,3,1)</f>
        <v>Soil B</v>
      </c>
      <c r="AX60" s="638" t="str">
        <f>VLOOKUP(J60,'Foundation Calculation'!$E$2:$G$33,3,1)</f>
        <v>PT</v>
      </c>
      <c r="AY60" s="484"/>
      <c r="AZ60" s="484">
        <f>IF(AX60="PT",VLOOKUP(K60,'Foundation Calculation'!$K$2:$R$40,VLOOKUP(AW60,'Foundation Calculation'!$I$2:$J$8,2,FALSE),0),IF(AX60="K",VLOOKUP(K60,'Foundation Calculation'!$K$42:$R$80,VLOOKUP(AW60,'Foundation Calculation'!$I$2:$J$8,2,FALSE),0),""))</f>
        <v>3.9</v>
      </c>
      <c r="BA60" s="671" t="s">
        <v>2809</v>
      </c>
      <c r="BB60" s="1239"/>
      <c r="BC60" s="169"/>
      <c r="BD60" s="1329"/>
      <c r="BE60" s="1330"/>
      <c r="BF60" s="1330"/>
      <c r="BG60" s="1330"/>
    </row>
    <row r="61" spans="1:59" ht="15.75" customHeight="1">
      <c r="A61" s="1239"/>
      <c r="B61" s="435" t="s">
        <v>3544</v>
      </c>
      <c r="C61" s="446">
        <f>+$C$59+$G$60</f>
        <v>80781.63</v>
      </c>
      <c r="D61" s="447"/>
      <c r="E61" s="447"/>
      <c r="F61" s="447">
        <v>0</v>
      </c>
      <c r="G61" s="484"/>
      <c r="H61" s="638" t="s">
        <v>138</v>
      </c>
      <c r="I61" s="447" t="s">
        <v>623</v>
      </c>
      <c r="J61" s="446"/>
      <c r="K61" s="638"/>
      <c r="L61" s="638" t="s">
        <v>818</v>
      </c>
      <c r="M61" s="638" t="str">
        <f>IF(AX61="PT",VLOOKUP(L61,'Foundation Calculation'!$V$2:$X$40,VLOOKUP(AX61,'Foundation Calculation'!$I$10:$J$13,2,FALSE),0),IF(AX61="K",VLOOKUP(L61,'Foundation Calculation'!$V$42:$X$80,VLOOKUP(AX61,'Foundation Calculation'!$I$10:$J$13,2,FALSE),0),""))</f>
        <v>C4R</v>
      </c>
      <c r="N61" s="1239" t="s">
        <v>143</v>
      </c>
      <c r="O61" s="1239"/>
      <c r="P61" s="638"/>
      <c r="Q61" s="638"/>
      <c r="R61" s="638"/>
      <c r="S61" s="484"/>
      <c r="T61" s="638">
        <v>-25</v>
      </c>
      <c r="U61" s="638"/>
      <c r="V61" s="638"/>
      <c r="W61" s="638">
        <v>1.4</v>
      </c>
      <c r="X61" s="638"/>
      <c r="Y61" s="638"/>
      <c r="Z61" s="638"/>
      <c r="AA61" s="638"/>
      <c r="AB61" s="638"/>
      <c r="AC61" s="638" t="str">
        <f>IF(OR(AT61&gt;8,AT61&lt;-8),"PH",IF(OR(AT61&gt;5,AT61&lt;-5),"PH-Q",IF(OR(AT61&gt;1,AT61&lt;-1),"PH-C")))</f>
        <v>PH</v>
      </c>
      <c r="AD61" s="638"/>
      <c r="AE61" s="638"/>
      <c r="AF61" s="638"/>
      <c r="AG61" s="446"/>
      <c r="AH61" s="638"/>
      <c r="AI61" s="185"/>
      <c r="AJ61" s="445" t="s">
        <v>3516</v>
      </c>
      <c r="AK61" s="1239"/>
      <c r="AL61" s="638"/>
      <c r="AM61" s="638" t="s">
        <v>1043</v>
      </c>
      <c r="AN61" s="455">
        <v>5.5</v>
      </c>
      <c r="AO61" s="1239"/>
      <c r="AP61" s="1239"/>
      <c r="AQ61" s="484"/>
      <c r="AR61" s="484"/>
      <c r="AS61" s="484"/>
      <c r="AT61" s="484">
        <f>+ab($T$61,$T$59,$T$63,$G$60,$G$62,-1*$F$61,1200)</f>
        <v>-9.3785576796244428</v>
      </c>
      <c r="AU61" s="638"/>
      <c r="AV61" s="638"/>
      <c r="AW61" s="638" t="str">
        <f>VLOOKUP(C61,'Foundation Calculation'!$A$2:$C$33,3,1)</f>
        <v>Soil B</v>
      </c>
      <c r="AX61" s="638" t="str">
        <f>VLOOKUP(C61,'Foundation Calculation'!$E$2:$G$33,3,1)</f>
        <v>PT</v>
      </c>
      <c r="AY61" s="484">
        <f>IF(AX61="PT",VLOOKUP(L61,'Foundation Calculation'!$K$2:$R$40,VLOOKUP(AW61,'Foundation Calculation'!$I$2:$J$8,2,FALSE),0),IF(AX61="K",VLOOKUP(L61,'Foundation Calculation'!$K$42:$R$80,VLOOKUP(AW61,'Foundation Calculation'!$I$2:$J$8,2,FALSE),0),""))</f>
        <v>3.5</v>
      </c>
      <c r="AZ61" s="484"/>
      <c r="BA61" s="671" t="s">
        <v>2809</v>
      </c>
      <c r="BB61" s="1239" t="str">
        <f>Pole_Calculations!A20</f>
        <v>App.7-V11A-P9.5.1.6</v>
      </c>
      <c r="BC61" s="169"/>
      <c r="BD61" s="1329"/>
      <c r="BE61" s="1329"/>
      <c r="BF61" s="1330"/>
      <c r="BG61" s="1329"/>
    </row>
    <row r="62" spans="1:59" ht="15.75" customHeight="1">
      <c r="A62" s="1239"/>
      <c r="B62" s="173"/>
      <c r="C62" s="446"/>
      <c r="D62" s="173"/>
      <c r="E62" s="447"/>
      <c r="F62" s="447"/>
      <c r="G62" s="484">
        <v>54</v>
      </c>
      <c r="H62" s="1239"/>
      <c r="I62" s="448" t="s">
        <v>1471</v>
      </c>
      <c r="J62" s="171">
        <f>C63-7.5</f>
        <v>80828.13</v>
      </c>
      <c r="K62" s="1239" t="s">
        <v>2788</v>
      </c>
      <c r="L62" s="638"/>
      <c r="M62" s="638"/>
      <c r="N62" s="638"/>
      <c r="O62" s="1239"/>
      <c r="P62" s="1239"/>
      <c r="Q62" s="638"/>
      <c r="R62" s="638"/>
      <c r="S62" s="484"/>
      <c r="T62" s="638"/>
      <c r="U62" s="638"/>
      <c r="V62" s="638"/>
      <c r="W62" s="638"/>
      <c r="X62" s="638"/>
      <c r="Y62" s="638"/>
      <c r="Z62" s="638"/>
      <c r="AA62" s="638"/>
      <c r="AB62" s="638"/>
      <c r="AC62" s="638"/>
      <c r="AD62" s="638"/>
      <c r="AE62" s="638"/>
      <c r="AF62" s="638"/>
      <c r="AG62" s="446"/>
      <c r="AH62" s="638"/>
      <c r="AI62" s="638"/>
      <c r="AJ62" s="185"/>
      <c r="AK62" s="638"/>
      <c r="AL62" s="638"/>
      <c r="AM62" s="638"/>
      <c r="AN62" s="455"/>
      <c r="AO62" s="1239"/>
      <c r="AP62" s="1239"/>
      <c r="AQ62" s="484">
        <f>+FL_2($U$63,$T$61,$G$62,1200,9.28,-1*$F$63)</f>
        <v>-0.36735608829629618</v>
      </c>
      <c r="AR62" s="484"/>
      <c r="AS62" s="484"/>
      <c r="AT62" s="484"/>
      <c r="AU62" s="638"/>
      <c r="AV62" s="638"/>
      <c r="AW62" s="638" t="str">
        <f>VLOOKUP(J62,'Foundation Calculation'!$A$2:$C$33,3,1)</f>
        <v>Soil B</v>
      </c>
      <c r="AX62" s="638" t="str">
        <f>VLOOKUP(J62,'Foundation Calculation'!$E$2:$G$33,3,1)</f>
        <v>PT</v>
      </c>
      <c r="AY62" s="484"/>
      <c r="AZ62" s="484">
        <f>IF(AX62="PT",VLOOKUP(K62,'Foundation Calculation'!$K$2:$R$40,VLOOKUP(AW62,'Foundation Calculation'!$I$2:$J$8,2,FALSE),0),IF(AX62="K",VLOOKUP(K62,'Foundation Calculation'!$K$42:$R$80,VLOOKUP(AW62,'Foundation Calculation'!$I$2:$J$8,2,FALSE),0),""))</f>
        <v>2.8</v>
      </c>
      <c r="BA62" s="671" t="s">
        <v>2809</v>
      </c>
      <c r="BB62" s="1239"/>
      <c r="BC62" s="169"/>
      <c r="BD62" s="1329"/>
      <c r="BE62" s="1330"/>
      <c r="BF62" s="1330"/>
      <c r="BG62" s="1330"/>
    </row>
    <row r="63" spans="1:59" ht="15.75" customHeight="1">
      <c r="A63" s="1239"/>
      <c r="B63" s="435" t="s">
        <v>3545</v>
      </c>
      <c r="C63" s="446">
        <f>+$C$61+$G$62</f>
        <v>80835.63</v>
      </c>
      <c r="D63" s="173"/>
      <c r="E63" s="447"/>
      <c r="F63" s="447">
        <v>0</v>
      </c>
      <c r="G63" s="484"/>
      <c r="H63" s="638" t="s">
        <v>619</v>
      </c>
      <c r="I63" s="447"/>
      <c r="J63" s="171"/>
      <c r="K63" s="638"/>
      <c r="L63" s="638" t="s">
        <v>1697</v>
      </c>
      <c r="M63" s="638" t="str">
        <f>IF(AX63="PT",VLOOKUP(L63,'Foundation Calculation'!$V$2:$X$40,VLOOKUP(AX63,'Foundation Calculation'!$I$10:$J$13,2,FALSE),0),IF(AX63="K",VLOOKUP(L63,'Foundation Calculation'!$V$42:$X$80,VLOOKUP(AX63,'Foundation Calculation'!$I$10:$J$13,2,FALSE),0),""))</f>
        <v>2C3R</v>
      </c>
      <c r="N63" s="1239" t="s">
        <v>140</v>
      </c>
      <c r="O63" s="1239" t="s">
        <v>144</v>
      </c>
      <c r="P63" s="1239"/>
      <c r="Q63" s="638"/>
      <c r="R63" s="638"/>
      <c r="S63" s="484"/>
      <c r="T63" s="638">
        <v>35</v>
      </c>
      <c r="U63" s="638">
        <v>15</v>
      </c>
      <c r="V63" s="638"/>
      <c r="W63" s="638">
        <v>1.4</v>
      </c>
      <c r="X63" s="638">
        <v>2.2999999999999998</v>
      </c>
      <c r="Y63" s="638"/>
      <c r="Z63" s="638">
        <v>0.45</v>
      </c>
      <c r="AA63" s="638"/>
      <c r="AB63" s="638"/>
      <c r="AC63" s="638"/>
      <c r="AD63" s="638"/>
      <c r="AE63" s="638"/>
      <c r="AF63" s="638"/>
      <c r="AG63" s="446"/>
      <c r="AH63" s="638"/>
      <c r="AI63" s="638"/>
      <c r="AJ63" s="445" t="s">
        <v>3516</v>
      </c>
      <c r="AK63" s="638"/>
      <c r="AL63" s="638"/>
      <c r="AM63" s="638" t="s">
        <v>1043</v>
      </c>
      <c r="AN63" s="455">
        <v>5.5</v>
      </c>
      <c r="AO63" s="1239"/>
      <c r="AP63" s="1239"/>
      <c r="AQ63" s="484"/>
      <c r="AR63" s="484"/>
      <c r="AS63" s="484"/>
      <c r="AT63" s="484">
        <f>+ab($U$63,$T$61,$U$65,$G$62,$G$64,-1*$F$63,1200)</f>
        <v>11.247353355807903</v>
      </c>
      <c r="AU63" s="638"/>
      <c r="AV63" s="638"/>
      <c r="AW63" s="638" t="str">
        <f>VLOOKUP(C63,'Foundation Calculation'!$A$2:$C$33,3,1)</f>
        <v>Soil B</v>
      </c>
      <c r="AX63" s="638" t="str">
        <f>VLOOKUP(C63,'Foundation Calculation'!$E$2:$G$33,3,1)</f>
        <v>PT</v>
      </c>
      <c r="AY63" s="484">
        <f>IF(AX63="PT",VLOOKUP(L63,'Foundation Calculation'!$K$2:$R$40,VLOOKUP(AW63,'Foundation Calculation'!$I$2:$J$8,2,FALSE),0),IF(AX63="K",VLOOKUP(L63,'Foundation Calculation'!$K$42:$R$80,VLOOKUP(AW63,'Foundation Calculation'!$I$2:$J$8,2,FALSE),0),""))</f>
        <v>3.5</v>
      </c>
      <c r="AZ63" s="484"/>
      <c r="BA63" s="671" t="s">
        <v>2809</v>
      </c>
      <c r="BB63" s="1239" t="str">
        <f>Pole_Calculations!A19</f>
        <v>App.7-V11A-P9.5.1.5</v>
      </c>
      <c r="BC63" s="169"/>
      <c r="BD63" s="1329"/>
      <c r="BE63" s="1329"/>
      <c r="BF63" s="1330"/>
      <c r="BG63" s="1329"/>
    </row>
    <row r="64" spans="1:59" ht="15.75" customHeight="1">
      <c r="A64" s="1239"/>
      <c r="B64" s="173"/>
      <c r="C64" s="446"/>
      <c r="D64" s="173"/>
      <c r="E64" s="447"/>
      <c r="F64" s="447"/>
      <c r="G64" s="484">
        <v>53</v>
      </c>
      <c r="H64" s="1239"/>
      <c r="I64" s="448" t="s">
        <v>1471</v>
      </c>
      <c r="J64" s="171">
        <f>C63+7.5</f>
        <v>80843.13</v>
      </c>
      <c r="K64" s="1239" t="s">
        <v>2788</v>
      </c>
      <c r="L64" s="638"/>
      <c r="M64" s="638"/>
      <c r="N64" s="638"/>
      <c r="O64" s="1239"/>
      <c r="P64" s="1239"/>
      <c r="Q64" s="638"/>
      <c r="R64" s="638"/>
      <c r="S64" s="484"/>
      <c r="T64" s="638"/>
      <c r="U64" s="638"/>
      <c r="V64" s="638"/>
      <c r="W64" s="638"/>
      <c r="X64" s="638"/>
      <c r="Y64" s="638"/>
      <c r="Z64" s="638"/>
      <c r="AA64" s="638"/>
      <c r="AB64" s="638"/>
      <c r="AC64" s="638"/>
      <c r="AD64" s="638"/>
      <c r="AE64" s="638"/>
      <c r="AF64" s="638"/>
      <c r="AG64" s="446"/>
      <c r="AH64" s="638"/>
      <c r="AI64" s="638"/>
      <c r="AJ64" s="185"/>
      <c r="AK64" s="638"/>
      <c r="AL64" s="638"/>
      <c r="AM64" s="638"/>
      <c r="AN64" s="455"/>
      <c r="AO64" s="1239"/>
      <c r="AP64" s="1239"/>
      <c r="AQ64" s="484">
        <f>+FL_1($U$65,$U$63,$G$64,1200,9.28,-1*$F$65)</f>
        <v>0.2290795396226416</v>
      </c>
      <c r="AR64" s="484"/>
      <c r="AS64" s="484"/>
      <c r="AT64" s="484"/>
      <c r="AU64" s="638"/>
      <c r="AV64" s="638"/>
      <c r="AW64" s="638" t="str">
        <f>VLOOKUP(J64,'Foundation Calculation'!$A$2:$C$33,3,1)</f>
        <v>Soil B</v>
      </c>
      <c r="AX64" s="638" t="str">
        <f>VLOOKUP(J64,'Foundation Calculation'!$E$2:$G$33,3,1)</f>
        <v>PT</v>
      </c>
      <c r="AY64" s="484"/>
      <c r="AZ64" s="484">
        <f>IF(AX64="PT",VLOOKUP(K64,'Foundation Calculation'!$K$2:$R$40,VLOOKUP(AW64,'Foundation Calculation'!$I$2:$J$8,2,FALSE),0),IF(AX64="K",VLOOKUP(K64,'Foundation Calculation'!$K$42:$R$80,VLOOKUP(AW64,'Foundation Calculation'!$I$2:$J$8,2,FALSE),0),""))</f>
        <v>2.8</v>
      </c>
      <c r="BA64" s="671" t="s">
        <v>2809</v>
      </c>
      <c r="BB64" s="1239"/>
      <c r="BC64" s="169"/>
      <c r="BD64" s="1329"/>
      <c r="BE64" s="1330"/>
      <c r="BF64" s="1330"/>
      <c r="BG64" s="1330"/>
    </row>
    <row r="65" spans="1:59" ht="15.75" customHeight="1">
      <c r="A65" s="1239"/>
      <c r="B65" s="435" t="s">
        <v>3546</v>
      </c>
      <c r="C65" s="446">
        <f>+$C$63+$G$64</f>
        <v>80888.63</v>
      </c>
      <c r="D65" s="173"/>
      <c r="E65" s="447"/>
      <c r="F65" s="447">
        <v>0</v>
      </c>
      <c r="G65" s="484"/>
      <c r="H65" s="638" t="s">
        <v>619</v>
      </c>
      <c r="I65" s="447"/>
      <c r="J65" s="446"/>
      <c r="K65" s="638"/>
      <c r="L65" s="638" t="s">
        <v>1697</v>
      </c>
      <c r="M65" s="638" t="str">
        <f>IF(AX65="PT",VLOOKUP(L65,'Foundation Calculation'!$V$2:$X$40,VLOOKUP(AX65,'Foundation Calculation'!$I$10:$J$13,2,FALSE),0),IF(AX65="K",VLOOKUP(L65,'Foundation Calculation'!$V$42:$X$80,VLOOKUP(AX65,'Foundation Calculation'!$I$10:$J$13,2,FALSE),0),""))</f>
        <v>2C3R</v>
      </c>
      <c r="N65" s="1239" t="s">
        <v>143</v>
      </c>
      <c r="O65" s="1239" t="s">
        <v>140</v>
      </c>
      <c r="P65" s="1239"/>
      <c r="Q65" s="638"/>
      <c r="R65" s="638"/>
      <c r="S65" s="484"/>
      <c r="T65" s="638">
        <v>-15</v>
      </c>
      <c r="U65" s="638">
        <v>-35</v>
      </c>
      <c r="V65" s="638"/>
      <c r="W65" s="638">
        <v>1.4</v>
      </c>
      <c r="X65" s="638">
        <v>2.2999999999999998</v>
      </c>
      <c r="Y65" s="638"/>
      <c r="Z65" s="638"/>
      <c r="AA65" s="638">
        <v>0.45</v>
      </c>
      <c r="AB65" s="638"/>
      <c r="AC65" s="638" t="str">
        <f>IF(OR(AT65&gt;8,AT65&lt;-8),"PH",IF(OR(AT65&gt;5,AT65&lt;-5),"PH-Q",IF(OR(AT65&gt;1,AT65&lt;-1),"PH-C")))</f>
        <v>PH</v>
      </c>
      <c r="AD65" s="638"/>
      <c r="AE65" s="638"/>
      <c r="AF65" s="638"/>
      <c r="AG65" s="446"/>
      <c r="AH65" s="638"/>
      <c r="AI65" s="638"/>
      <c r="AJ65" s="445" t="s">
        <v>3516</v>
      </c>
      <c r="AK65" s="638"/>
      <c r="AL65" s="638"/>
      <c r="AM65" s="638" t="s">
        <v>1043</v>
      </c>
      <c r="AN65" s="455">
        <v>5.5</v>
      </c>
      <c r="AO65" s="1239"/>
      <c r="AP65" s="1239"/>
      <c r="AQ65" s="484"/>
      <c r="AR65" s="484"/>
      <c r="AS65" s="484"/>
      <c r="AT65" s="484">
        <f>+ab($T$65,$T$63,$T$67,$G$64,$G$66,-1*$F$65,1200)</f>
        <v>-11.064972795239489</v>
      </c>
      <c r="AU65" s="638"/>
      <c r="AV65" s="638"/>
      <c r="AW65" s="638" t="str">
        <f>VLOOKUP(C65,'Foundation Calculation'!$A$2:$C$33,3,1)</f>
        <v>Soil B</v>
      </c>
      <c r="AX65" s="638" t="str">
        <f>VLOOKUP(C65,'Foundation Calculation'!$E$2:$G$33,3,1)</f>
        <v>PT</v>
      </c>
      <c r="AY65" s="484">
        <f>IF(AX65="PT",VLOOKUP(L65,'Foundation Calculation'!$K$2:$R$40,VLOOKUP(AW65,'Foundation Calculation'!$I$2:$J$8,2,FALSE),0),IF(AX65="K",VLOOKUP(L65,'Foundation Calculation'!$K$42:$R$80,VLOOKUP(AW65,'Foundation Calculation'!$I$2:$J$8,2,FALSE),0),""))</f>
        <v>3.5</v>
      </c>
      <c r="AZ65" s="484"/>
      <c r="BA65" s="671" t="s">
        <v>2809</v>
      </c>
      <c r="BB65" s="1239" t="str">
        <f>Pole_Calculations!A19</f>
        <v>App.7-V11A-P9.5.1.5</v>
      </c>
      <c r="BC65" s="169"/>
      <c r="BD65" s="1329"/>
      <c r="BE65" s="1329"/>
      <c r="BF65" s="1330"/>
      <c r="BG65" s="1329"/>
    </row>
    <row r="66" spans="1:59" ht="15.75" customHeight="1">
      <c r="A66" s="1239"/>
      <c r="B66" s="173"/>
      <c r="C66" s="446"/>
      <c r="D66" s="173"/>
      <c r="E66" s="447"/>
      <c r="F66" s="447"/>
      <c r="G66" s="484">
        <v>52</v>
      </c>
      <c r="H66" s="638"/>
      <c r="I66" s="447"/>
      <c r="J66" s="446"/>
      <c r="K66" s="638"/>
      <c r="L66" s="638"/>
      <c r="M66" s="638"/>
      <c r="N66" s="1239"/>
      <c r="O66" s="1239"/>
      <c r="P66" s="1239"/>
      <c r="Q66" s="638"/>
      <c r="R66" s="638"/>
      <c r="S66" s="484"/>
      <c r="T66" s="638"/>
      <c r="U66" s="638"/>
      <c r="V66" s="638"/>
      <c r="W66" s="638"/>
      <c r="X66" s="638"/>
      <c r="Y66" s="638"/>
      <c r="Z66" s="638"/>
      <c r="AA66" s="638"/>
      <c r="AB66" s="638"/>
      <c r="AC66" s="638"/>
      <c r="AD66" s="638"/>
      <c r="AE66" s="638"/>
      <c r="AF66" s="638"/>
      <c r="AG66" s="446"/>
      <c r="AH66" s="638"/>
      <c r="AI66" s="638"/>
      <c r="AJ66" s="445"/>
      <c r="AK66" s="638"/>
      <c r="AL66" s="638"/>
      <c r="AM66" s="638"/>
      <c r="AN66" s="455"/>
      <c r="AO66" s="1239"/>
      <c r="AP66" s="1239"/>
      <c r="AQ66" s="484">
        <f>+FL_1($T$67,$T$65,$G$66,1200,9.28,-1*$F$67)</f>
        <v>0.34964416153846151</v>
      </c>
      <c r="AR66" s="484"/>
      <c r="AS66" s="484"/>
      <c r="AT66" s="484"/>
      <c r="AU66" s="638"/>
      <c r="AV66" s="638"/>
      <c r="AW66" s="638"/>
      <c r="AX66" s="638"/>
      <c r="AY66" s="484"/>
      <c r="AZ66" s="484"/>
      <c r="BA66" s="671"/>
      <c r="BB66" s="1239"/>
      <c r="BC66" s="169"/>
      <c r="BD66" s="1330"/>
      <c r="BE66" s="1330"/>
      <c r="BF66" s="1330"/>
      <c r="BG66" s="1330"/>
    </row>
    <row r="67" spans="1:59" ht="15.75" customHeight="1">
      <c r="A67" s="1239"/>
      <c r="B67" s="435" t="s">
        <v>3547</v>
      </c>
      <c r="C67" s="446">
        <f>+$C$65+$G$66</f>
        <v>80940.63</v>
      </c>
      <c r="D67" s="173"/>
      <c r="E67" s="447"/>
      <c r="F67" s="447">
        <v>0</v>
      </c>
      <c r="G67" s="484"/>
      <c r="H67" s="638" t="s">
        <v>138</v>
      </c>
      <c r="I67" s="447" t="s">
        <v>623</v>
      </c>
      <c r="J67" s="446"/>
      <c r="K67" s="638"/>
      <c r="L67" s="638" t="s">
        <v>818</v>
      </c>
      <c r="M67" s="638" t="str">
        <f>IF(AX67="PT",VLOOKUP(L67,'Foundation Calculation'!$V$2:$X$40,VLOOKUP(AX67,'Foundation Calculation'!$I$10:$J$13,2,FALSE),0),IF(AX67="K",VLOOKUP(L67,'Foundation Calculation'!$V$42:$X$80,VLOOKUP(AX67,'Foundation Calculation'!$I$10:$J$13,2,FALSE),0),""))</f>
        <v>C4R</v>
      </c>
      <c r="N67" s="1239" t="s">
        <v>144</v>
      </c>
      <c r="O67" s="1239"/>
      <c r="P67" s="1239"/>
      <c r="Q67" s="638"/>
      <c r="R67" s="638"/>
      <c r="S67" s="484"/>
      <c r="T67" s="638">
        <v>25</v>
      </c>
      <c r="U67" s="638"/>
      <c r="V67" s="638"/>
      <c r="W67" s="638">
        <v>1.4</v>
      </c>
      <c r="X67" s="638"/>
      <c r="Y67" s="638"/>
      <c r="Z67" s="638"/>
      <c r="AA67" s="638"/>
      <c r="AB67" s="638"/>
      <c r="AC67" s="638" t="str">
        <f>IF(OR(AT67&gt;8,AT67&lt;-8),"PH",IF(OR(AT67&gt;5,AT67&lt;-5),"PH-Q",IF(OR(AT67&gt;1,AT67&lt;-1),"PH-C")))</f>
        <v>PH</v>
      </c>
      <c r="AD67" s="638"/>
      <c r="AE67" s="638"/>
      <c r="AF67" s="638"/>
      <c r="AG67" s="446"/>
      <c r="AH67" s="638"/>
      <c r="AI67" s="638"/>
      <c r="AJ67" s="445" t="s">
        <v>3516</v>
      </c>
      <c r="AK67" s="638"/>
      <c r="AL67" s="638"/>
      <c r="AM67" s="638" t="s">
        <v>1043</v>
      </c>
      <c r="AN67" s="455">
        <v>5.5</v>
      </c>
      <c r="AO67" s="1239"/>
      <c r="AP67" s="1239"/>
      <c r="AQ67" s="484"/>
      <c r="AR67" s="484"/>
      <c r="AS67" s="484"/>
      <c r="AT67" s="484">
        <f>+ab($T$67,$T$65,$T$69,$G$66,$G$68,-1*$F$67,1200)</f>
        <v>10.099262246888893</v>
      </c>
      <c r="AU67" s="638"/>
      <c r="AV67" s="638"/>
      <c r="AW67" s="638" t="str">
        <f>VLOOKUP(C67,'Foundation Calculation'!$A$2:$C$33,3,1)</f>
        <v>Soil B</v>
      </c>
      <c r="AX67" s="638" t="str">
        <f>VLOOKUP(C67,'Foundation Calculation'!$E$2:$G$33,3,1)</f>
        <v>PT</v>
      </c>
      <c r="AY67" s="484">
        <f>IF(AX67="PT",VLOOKUP(L67,'Foundation Calculation'!$K$2:$R$40,VLOOKUP(AW67,'Foundation Calculation'!$I$2:$J$8,2,FALSE),0),IF(AX67="K",VLOOKUP(L67,'Foundation Calculation'!$K$42:$R$80,VLOOKUP(AW67,'Foundation Calculation'!$I$2:$J$8,2,FALSE),0),""))</f>
        <v>3.5</v>
      </c>
      <c r="AZ67" s="484"/>
      <c r="BA67" s="671" t="s">
        <v>2809</v>
      </c>
      <c r="BB67" s="1239" t="str">
        <f>Pole_Calculations!A20</f>
        <v>App.7-V11A-P9.5.1.6</v>
      </c>
      <c r="BC67" s="169"/>
      <c r="BD67" s="1329"/>
      <c r="BE67" s="1329"/>
      <c r="BF67" s="1330"/>
      <c r="BG67" s="1329"/>
    </row>
    <row r="68" spans="1:59" ht="15.75" customHeight="1">
      <c r="A68" s="1239"/>
      <c r="B68" s="173"/>
      <c r="C68" s="446"/>
      <c r="D68" s="173"/>
      <c r="E68" s="447"/>
      <c r="F68" s="447"/>
      <c r="G68" s="484">
        <v>54</v>
      </c>
      <c r="H68" s="638"/>
      <c r="I68" s="447"/>
      <c r="J68" s="446">
        <f>C67+7.5</f>
        <v>80948.13</v>
      </c>
      <c r="K68" s="638" t="s">
        <v>2787</v>
      </c>
      <c r="L68" s="638"/>
      <c r="M68" s="638"/>
      <c r="N68" s="1239"/>
      <c r="O68" s="1239"/>
      <c r="P68" s="1239"/>
      <c r="Q68" s="638"/>
      <c r="R68" s="638"/>
      <c r="S68" s="484"/>
      <c r="T68" s="638"/>
      <c r="U68" s="638"/>
      <c r="V68" s="638"/>
      <c r="W68" s="638"/>
      <c r="X68" s="638"/>
      <c r="Y68" s="638"/>
      <c r="Z68" s="638"/>
      <c r="AA68" s="638"/>
      <c r="AB68" s="638"/>
      <c r="AC68" s="638"/>
      <c r="AD68" s="638"/>
      <c r="AE68" s="638"/>
      <c r="AF68" s="638"/>
      <c r="AG68" s="446"/>
      <c r="AH68" s="638"/>
      <c r="AI68" s="638"/>
      <c r="AJ68" s="185"/>
      <c r="AK68" s="638"/>
      <c r="AL68" s="638"/>
      <c r="AM68" s="638"/>
      <c r="AN68" s="455"/>
      <c r="AO68" s="1239"/>
      <c r="AP68" s="1239"/>
      <c r="AQ68" s="484">
        <f>+FL_2($T$69,$T$67,$G$68,1200,9.28,-1*$F$69)</f>
        <v>-0.4117011986666666</v>
      </c>
      <c r="AR68" s="484"/>
      <c r="AS68" s="484"/>
      <c r="AT68" s="484"/>
      <c r="AU68" s="638"/>
      <c r="AV68" s="638"/>
      <c r="AW68" s="638" t="str">
        <f>VLOOKUP(J68,'Foundation Calculation'!$A$2:$C$33,3,1)</f>
        <v>Soil B</v>
      </c>
      <c r="AX68" s="638" t="str">
        <f>VLOOKUP(J68,'Foundation Calculation'!$E$2:$G$33,3,1)</f>
        <v>PT</v>
      </c>
      <c r="AY68" s="484"/>
      <c r="AZ68" s="484">
        <f>IF(AX68="PT",VLOOKUP(K68,'Foundation Calculation'!$K$2:$R$40,VLOOKUP(AW68,'Foundation Calculation'!$I$2:$J$8,2,FALSE),0),IF(AX68="K",VLOOKUP(K68,'Foundation Calculation'!$K$42:$R$80,VLOOKUP(AW68,'Foundation Calculation'!$I$2:$J$8,2,FALSE),0),""))</f>
        <v>3.9</v>
      </c>
      <c r="BA68" s="671" t="s">
        <v>2809</v>
      </c>
      <c r="BB68" s="1239"/>
      <c r="BC68" s="169"/>
      <c r="BD68" s="1329"/>
      <c r="BE68" s="1330"/>
      <c r="BF68" s="1330"/>
      <c r="BG68" s="1330"/>
    </row>
    <row r="69" spans="1:59" ht="15.75" customHeight="1">
      <c r="A69" s="1239"/>
      <c r="B69" s="435" t="s">
        <v>3548</v>
      </c>
      <c r="C69" s="446">
        <f>+$C$67+$G$68</f>
        <v>80994.63</v>
      </c>
      <c r="D69" s="173"/>
      <c r="E69" s="447"/>
      <c r="F69" s="447">
        <v>0</v>
      </c>
      <c r="G69" s="484"/>
      <c r="H69" s="638"/>
      <c r="I69" s="447"/>
      <c r="J69" s="446"/>
      <c r="K69" s="638"/>
      <c r="L69" s="445" t="s">
        <v>818</v>
      </c>
      <c r="M69" s="638" t="str">
        <f>IF(AX69="PT",VLOOKUP(L69,'Foundation Calculation'!$V$2:$X$40,VLOOKUP(AX69,'Foundation Calculation'!$I$10:$J$13,2,FALSE),0),IF(AX69="K",VLOOKUP(L69,'Foundation Calculation'!$V$42:$X$80,VLOOKUP(AX69,'Foundation Calculation'!$I$10:$J$13,2,FALSE),0),""))</f>
        <v>C4R</v>
      </c>
      <c r="N69" s="1239" t="s">
        <v>143</v>
      </c>
      <c r="O69" s="1239"/>
      <c r="P69" s="1239"/>
      <c r="Q69" s="638"/>
      <c r="R69" s="638"/>
      <c r="S69" s="484"/>
      <c r="T69" s="638">
        <v>-35</v>
      </c>
      <c r="U69" s="638"/>
      <c r="V69" s="638"/>
      <c r="W69" s="638">
        <v>1.4</v>
      </c>
      <c r="X69" s="638"/>
      <c r="Y69" s="638"/>
      <c r="Z69" s="638"/>
      <c r="AA69" s="638"/>
      <c r="AB69" s="638"/>
      <c r="AC69" s="638" t="str">
        <f>IF(OR(AT69&gt;8,AT69&lt;-8),"PH",IF(OR(AT69&gt;5,AT69&lt;-5),"PH-Q",IF(OR(AT69&gt;1,AT69&lt;-1),"PH-C")))</f>
        <v>PH-Q</v>
      </c>
      <c r="AD69" s="638"/>
      <c r="AE69" s="638"/>
      <c r="AF69" s="638"/>
      <c r="AG69" s="446"/>
      <c r="AH69" s="638"/>
      <c r="AI69" s="638"/>
      <c r="AJ69" s="445" t="s">
        <v>3516</v>
      </c>
      <c r="AK69" s="638"/>
      <c r="AL69" s="638"/>
      <c r="AM69" s="638" t="s">
        <v>1043</v>
      </c>
      <c r="AN69" s="455">
        <v>5.5</v>
      </c>
      <c r="AO69" s="1239"/>
      <c r="AP69" s="1239"/>
      <c r="AQ69" s="484"/>
      <c r="AR69" s="484"/>
      <c r="AS69" s="484"/>
      <c r="AT69" s="484">
        <f>+ab($T$69,$T$67,$T$71,$G$68,$G$70,-1*$F$69,1200)</f>
        <v>-7.825549651194633</v>
      </c>
      <c r="AU69" s="638"/>
      <c r="AV69" s="638"/>
      <c r="AW69" s="638" t="str">
        <f>VLOOKUP(C69,'Foundation Calculation'!$A$2:$C$33,3,1)</f>
        <v>Soil B</v>
      </c>
      <c r="AX69" s="638" t="str">
        <f>VLOOKUP(C69,'Foundation Calculation'!$E$2:$G$33,3,1)</f>
        <v>PT</v>
      </c>
      <c r="AY69" s="484">
        <f>IF(AX69="PT",VLOOKUP(L69,'Foundation Calculation'!$K$2:$R$40,VLOOKUP(AW69,'Foundation Calculation'!$I$2:$J$8,2,FALSE),0),IF(AX69="K",VLOOKUP(L69,'Foundation Calculation'!$K$42:$R$80,VLOOKUP(AW69,'Foundation Calculation'!$I$2:$J$8,2,FALSE),0),""))</f>
        <v>3.5</v>
      </c>
      <c r="AZ69" s="484"/>
      <c r="BA69" s="671" t="s">
        <v>2809</v>
      </c>
      <c r="BB69" s="1239" t="str">
        <f>Pole_Calculations!A15</f>
        <v>App.7-V11A-P9.5.1.1</v>
      </c>
      <c r="BC69" s="169"/>
      <c r="BD69" s="1329"/>
      <c r="BE69" s="1329"/>
      <c r="BF69" s="1330"/>
      <c r="BG69" s="1329"/>
    </row>
    <row r="70" spans="1:59" ht="15.75" customHeight="1">
      <c r="A70" s="1239"/>
      <c r="B70" s="173"/>
      <c r="C70" s="446"/>
      <c r="D70" s="173"/>
      <c r="E70" s="447"/>
      <c r="F70" s="447"/>
      <c r="G70" s="484">
        <v>52.8</v>
      </c>
      <c r="H70" s="638"/>
      <c r="I70" s="447"/>
      <c r="J70" s="446"/>
      <c r="K70" s="638"/>
      <c r="L70" s="638"/>
      <c r="M70" s="638"/>
      <c r="N70" s="638"/>
      <c r="O70" s="1239"/>
      <c r="P70" s="1239"/>
      <c r="Q70" s="638"/>
      <c r="R70" s="638"/>
      <c r="S70" s="484"/>
      <c r="T70" s="638"/>
      <c r="U70" s="638"/>
      <c r="V70" s="638"/>
      <c r="W70" s="638"/>
      <c r="X70" s="638"/>
      <c r="Y70" s="638"/>
      <c r="Z70" s="638"/>
      <c r="AA70" s="638"/>
      <c r="AB70" s="638"/>
      <c r="AC70" s="638"/>
      <c r="AD70" s="638"/>
      <c r="AE70" s="638"/>
      <c r="AF70" s="638"/>
      <c r="AG70" s="446"/>
      <c r="AH70" s="638"/>
      <c r="AI70" s="638"/>
      <c r="AJ70" s="185"/>
      <c r="AK70" s="638"/>
      <c r="AL70" s="638"/>
      <c r="AM70" s="638"/>
      <c r="AN70" s="455"/>
      <c r="AO70" s="1239"/>
      <c r="AP70" s="1239"/>
      <c r="AQ70" s="484">
        <f>+FL_1($T$71,$T$69,$G$70,1200,9.28,-1*$F$71)</f>
        <v>0.3831312698181818</v>
      </c>
      <c r="AR70" s="484"/>
      <c r="AS70" s="484"/>
      <c r="AT70" s="484"/>
      <c r="AU70" s="638"/>
      <c r="AV70" s="638"/>
      <c r="AW70" s="638"/>
      <c r="AX70" s="638"/>
      <c r="AY70" s="484"/>
      <c r="AZ70" s="484"/>
      <c r="BA70" s="671"/>
      <c r="BB70" s="1239"/>
      <c r="BC70" s="169"/>
      <c r="BD70" s="1330"/>
      <c r="BE70" s="1330"/>
      <c r="BF70" s="1330"/>
      <c r="BG70" s="1330"/>
    </row>
    <row r="71" spans="1:59" ht="15.75" customHeight="1">
      <c r="A71" s="1239"/>
      <c r="B71" s="435" t="s">
        <v>3549</v>
      </c>
      <c r="C71" s="446">
        <f>+$C$69+$G$70</f>
        <v>81047.430000000008</v>
      </c>
      <c r="D71" s="173"/>
      <c r="E71" s="447"/>
      <c r="F71" s="447">
        <v>0</v>
      </c>
      <c r="G71" s="484"/>
      <c r="H71" s="638"/>
      <c r="I71" s="447"/>
      <c r="J71" s="446"/>
      <c r="K71" s="638"/>
      <c r="L71" s="445" t="s">
        <v>818</v>
      </c>
      <c r="M71" s="638" t="str">
        <f>IF(AX71="PT",VLOOKUP(L71,'Foundation Calculation'!$V$2:$X$40,VLOOKUP(AX71,'Foundation Calculation'!$I$10:$J$13,2,FALSE),0),IF(AX71="K",VLOOKUP(L71,'Foundation Calculation'!$V$42:$X$80,VLOOKUP(AX71,'Foundation Calculation'!$I$10:$J$13,2,FALSE),0),""))</f>
        <v>C4R</v>
      </c>
      <c r="N71" s="1239" t="s">
        <v>144</v>
      </c>
      <c r="O71" s="1239"/>
      <c r="P71" s="1239"/>
      <c r="Q71" s="638"/>
      <c r="R71" s="638"/>
      <c r="S71" s="484"/>
      <c r="T71" s="638">
        <v>35</v>
      </c>
      <c r="U71" s="638"/>
      <c r="V71" s="638"/>
      <c r="W71" s="638">
        <v>1.4</v>
      </c>
      <c r="X71" s="638"/>
      <c r="Y71" s="638"/>
      <c r="Z71" s="638"/>
      <c r="AA71" s="638"/>
      <c r="AB71" s="638"/>
      <c r="AC71" s="638" t="str">
        <f>IF(OR(AT71&gt;8,AT71&lt;-8),"PH",IF(OR(AT71&gt;5,AT71&lt;-5),"PH-Q",IF(OR(AT71&gt;1,AT71&lt;-1),"PH-C")))</f>
        <v>PH-Q</v>
      </c>
      <c r="AD71" s="638"/>
      <c r="AE71" s="638"/>
      <c r="AF71" s="638"/>
      <c r="AG71" s="446"/>
      <c r="AH71" s="638"/>
      <c r="AI71" s="638"/>
      <c r="AJ71" s="445" t="s">
        <v>3516</v>
      </c>
      <c r="AK71" s="638"/>
      <c r="AL71" s="638"/>
      <c r="AM71" s="638" t="s">
        <v>1043</v>
      </c>
      <c r="AN71" s="455">
        <v>5.5</v>
      </c>
      <c r="AO71" s="1239"/>
      <c r="AP71" s="1239"/>
      <c r="AQ71" s="484"/>
      <c r="AR71" s="484"/>
      <c r="AS71" s="484"/>
      <c r="AT71" s="484">
        <f>+ab($T$71,$T$69,$T$73,$G$70,$G$72,-1*$F$71,1200)</f>
        <v>6.7846003143623212</v>
      </c>
      <c r="AU71" s="638"/>
      <c r="AV71" s="638"/>
      <c r="AW71" s="638" t="str">
        <f>VLOOKUP(C71,'Foundation Calculation'!$A$2:$C$33,3,1)</f>
        <v>Soil B</v>
      </c>
      <c r="AX71" s="638" t="str">
        <f>VLOOKUP(C71,'Foundation Calculation'!$E$2:$G$33,3,1)</f>
        <v>PT</v>
      </c>
      <c r="AY71" s="484">
        <f>IF(AX71="PT",VLOOKUP(L71,'Foundation Calculation'!$K$2:$R$40,VLOOKUP(AW71,'Foundation Calculation'!$I$2:$J$8,2,FALSE),0),IF(AX71="K",VLOOKUP(L71,'Foundation Calculation'!$K$42:$R$80,VLOOKUP(AW71,'Foundation Calculation'!$I$2:$J$8,2,FALSE),0),""))</f>
        <v>3.5</v>
      </c>
      <c r="AZ71" s="484"/>
      <c r="BA71" s="671" t="s">
        <v>2809</v>
      </c>
      <c r="BB71" s="1239" t="str">
        <f>Pole_Calculations!A15</f>
        <v>App.7-V11A-P9.5.1.1</v>
      </c>
      <c r="BC71" s="169"/>
      <c r="BD71" s="1329"/>
      <c r="BE71" s="1329"/>
      <c r="BF71" s="1330"/>
      <c r="BG71" s="1329"/>
    </row>
    <row r="72" spans="1:59" ht="15.75" customHeight="1">
      <c r="A72" s="1239"/>
      <c r="B72" s="173"/>
      <c r="C72" s="446"/>
      <c r="D72" s="173"/>
      <c r="E72" s="447"/>
      <c r="F72" s="447"/>
      <c r="G72" s="484">
        <v>47</v>
      </c>
      <c r="H72" s="638"/>
      <c r="I72" s="447"/>
      <c r="J72" s="446"/>
      <c r="K72" s="638"/>
      <c r="L72" s="638"/>
      <c r="M72" s="638"/>
      <c r="N72" s="638"/>
      <c r="O72" s="1239"/>
      <c r="P72" s="1239"/>
      <c r="Q72" s="638"/>
      <c r="R72" s="638"/>
      <c r="S72" s="484"/>
      <c r="T72" s="638"/>
      <c r="U72" s="638"/>
      <c r="V72" s="638"/>
      <c r="W72" s="638"/>
      <c r="X72" s="638"/>
      <c r="Y72" s="638"/>
      <c r="Z72" s="638"/>
      <c r="AA72" s="638"/>
      <c r="AB72" s="638"/>
      <c r="AC72" s="638"/>
      <c r="AD72" s="638"/>
      <c r="AE72" s="638"/>
      <c r="AF72" s="638"/>
      <c r="AG72" s="446"/>
      <c r="AH72" s="638"/>
      <c r="AI72" s="638"/>
      <c r="AJ72" s="185"/>
      <c r="AK72" s="638"/>
      <c r="AL72" s="638"/>
      <c r="AM72" s="638"/>
      <c r="AN72" s="455"/>
      <c r="AO72" s="1239"/>
      <c r="AP72" s="1239"/>
      <c r="AQ72" s="484">
        <f>+FL_1($T$73,$T$71,$G$72,1200,9.28,-1*$F$73)</f>
        <v>0.35695465849645375</v>
      </c>
      <c r="AR72" s="484"/>
      <c r="AS72" s="484"/>
      <c r="AT72" s="484"/>
      <c r="AU72" s="638"/>
      <c r="AV72" s="638"/>
      <c r="AW72" s="638"/>
      <c r="AX72" s="638"/>
      <c r="AY72" s="484"/>
      <c r="AZ72" s="484"/>
      <c r="BA72" s="671"/>
      <c r="BB72" s="1239"/>
      <c r="BC72" s="169"/>
      <c r="BD72" s="1330"/>
      <c r="BE72" s="1330"/>
      <c r="BF72" s="1330"/>
      <c r="BG72" s="1330"/>
    </row>
    <row r="73" spans="1:59" ht="15.75" customHeight="1">
      <c r="A73" s="1239"/>
      <c r="B73" s="435" t="s">
        <v>3550</v>
      </c>
      <c r="C73" s="446">
        <f>+$C$71+$G$72</f>
        <v>81094.430000000008</v>
      </c>
      <c r="D73" s="173"/>
      <c r="E73" s="447"/>
      <c r="F73" s="447">
        <v>0</v>
      </c>
      <c r="G73" s="484"/>
      <c r="H73" s="1239"/>
      <c r="I73" s="448"/>
      <c r="J73" s="171"/>
      <c r="K73" s="638"/>
      <c r="L73" s="445" t="s">
        <v>818</v>
      </c>
      <c r="M73" s="638" t="str">
        <f>IF(AX73="PT",VLOOKUP(L73,'Foundation Calculation'!$V$2:$X$40,VLOOKUP(AX73,'Foundation Calculation'!$I$10:$J$13,2,FALSE),0),IF(AX73="K",VLOOKUP(L73,'Foundation Calculation'!$V$42:$X$80,VLOOKUP(AX73,'Foundation Calculation'!$I$10:$J$13,2,FALSE),0),""))</f>
        <v>C4R</v>
      </c>
      <c r="N73" s="1239" t="s">
        <v>143</v>
      </c>
      <c r="O73" s="1239"/>
      <c r="P73" s="1239"/>
      <c r="Q73" s="638"/>
      <c r="R73" s="638"/>
      <c r="S73" s="484"/>
      <c r="T73" s="638">
        <v>-35</v>
      </c>
      <c r="U73" s="638"/>
      <c r="V73" s="638"/>
      <c r="W73" s="638">
        <v>1.4</v>
      </c>
      <c r="X73" s="638"/>
      <c r="Y73" s="638"/>
      <c r="Z73" s="638"/>
      <c r="AA73" s="638"/>
      <c r="AB73" s="638"/>
      <c r="AC73" s="638" t="str">
        <f>IF(OR(AT73&gt;8,AT73&lt;-8),"PH",IF(OR(AT73&gt;5,AT73&lt;-5),"PH-Q",IF(OR(AT73&gt;1,AT73&lt;-1),"PH-C")))</f>
        <v>PH-Q</v>
      </c>
      <c r="AD73" s="638"/>
      <c r="AE73" s="638"/>
      <c r="AF73" s="638"/>
      <c r="AG73" s="446"/>
      <c r="AH73" s="638"/>
      <c r="AI73" s="638"/>
      <c r="AJ73" s="445" t="s">
        <v>3516</v>
      </c>
      <c r="AK73" s="638"/>
      <c r="AL73" s="638"/>
      <c r="AM73" s="638" t="s">
        <v>1043</v>
      </c>
      <c r="AN73" s="455">
        <v>5.5</v>
      </c>
      <c r="AO73" s="1239"/>
      <c r="AP73" s="1239"/>
      <c r="AQ73" s="484"/>
      <c r="AR73" s="484"/>
      <c r="AS73" s="484"/>
      <c r="AT73" s="484">
        <f>+ab($T$73,$T$71,$T$75,$G$72,$G$74,-1*$F$73,1200)</f>
        <v>-6.4151781535653143</v>
      </c>
      <c r="AU73" s="638"/>
      <c r="AV73" s="638"/>
      <c r="AW73" s="638" t="str">
        <f>VLOOKUP(C73,'Foundation Calculation'!$A$2:$C$33,3,1)</f>
        <v>Soil B</v>
      </c>
      <c r="AX73" s="638" t="str">
        <f>VLOOKUP(C73,'Foundation Calculation'!$E$2:$G$33,3,1)</f>
        <v>PT</v>
      </c>
      <c r="AY73" s="484">
        <f>IF(AX73="PT",VLOOKUP(L73,'Foundation Calculation'!$K$2:$R$40,VLOOKUP(AW73,'Foundation Calculation'!$I$2:$J$8,2,FALSE),0),IF(AX73="K",VLOOKUP(L73,'Foundation Calculation'!$K$42:$R$80,VLOOKUP(AW73,'Foundation Calculation'!$I$2:$J$8,2,FALSE),0),""))</f>
        <v>3.5</v>
      </c>
      <c r="AZ73" s="484"/>
      <c r="BA73" s="671" t="s">
        <v>2809</v>
      </c>
      <c r="BB73" s="1239" t="str">
        <f>Pole_Calculations!A15</f>
        <v>App.7-V11A-P9.5.1.1</v>
      </c>
      <c r="BC73" s="169"/>
      <c r="BD73" s="1329"/>
      <c r="BE73" s="1329"/>
      <c r="BF73" s="1330"/>
      <c r="BG73" s="1329"/>
    </row>
    <row r="74" spans="1:59" ht="15.75" customHeight="1">
      <c r="A74" s="1239"/>
      <c r="B74" s="173"/>
      <c r="C74" s="446"/>
      <c r="D74" s="173"/>
      <c r="E74" s="447"/>
      <c r="F74" s="447"/>
      <c r="G74" s="484">
        <v>47</v>
      </c>
      <c r="H74" s="1239"/>
      <c r="I74" s="448"/>
      <c r="J74" s="171"/>
      <c r="K74" s="638"/>
      <c r="L74" s="638"/>
      <c r="M74" s="638"/>
      <c r="N74" s="1239"/>
      <c r="O74" s="1239"/>
      <c r="P74" s="1239"/>
      <c r="Q74" s="638"/>
      <c r="R74" s="638"/>
      <c r="S74" s="484"/>
      <c r="T74" s="638"/>
      <c r="U74" s="638"/>
      <c r="V74" s="638"/>
      <c r="W74" s="638"/>
      <c r="X74" s="638"/>
      <c r="Y74" s="638"/>
      <c r="Z74" s="638"/>
      <c r="AA74" s="638"/>
      <c r="AB74" s="638"/>
      <c r="AC74" s="638"/>
      <c r="AD74" s="638"/>
      <c r="AE74" s="638"/>
      <c r="AF74" s="638"/>
      <c r="AG74" s="446"/>
      <c r="AH74" s="638"/>
      <c r="AI74" s="638"/>
      <c r="AJ74" s="185"/>
      <c r="AK74" s="638"/>
      <c r="AL74" s="638"/>
      <c r="AM74" s="638"/>
      <c r="AN74" s="455"/>
      <c r="AO74" s="1239"/>
      <c r="AP74" s="1239"/>
      <c r="AQ74" s="484">
        <f>+FL_2($T$75,$T$73,$G$74,1200,9.28,-1*$F$75)</f>
        <v>-0.35695465849645375</v>
      </c>
      <c r="AR74" s="484"/>
      <c r="AS74" s="484"/>
      <c r="AT74" s="484"/>
      <c r="AU74" s="638"/>
      <c r="AV74" s="638"/>
      <c r="AW74" s="638"/>
      <c r="AX74" s="638"/>
      <c r="AY74" s="484"/>
      <c r="AZ74" s="484"/>
      <c r="BA74" s="671"/>
      <c r="BB74" s="1239"/>
      <c r="BC74" s="169"/>
      <c r="BD74" s="1330"/>
      <c r="BE74" s="1330"/>
      <c r="BF74" s="1330"/>
      <c r="BG74" s="1330"/>
    </row>
    <row r="75" spans="1:59" ht="15.75" customHeight="1">
      <c r="A75" s="1239"/>
      <c r="B75" s="435" t="s">
        <v>3551</v>
      </c>
      <c r="C75" s="446">
        <f>+$C$73+$G$74</f>
        <v>81141.430000000008</v>
      </c>
      <c r="D75" s="173"/>
      <c r="E75" s="447"/>
      <c r="F75" s="447">
        <v>0</v>
      </c>
      <c r="G75" s="484"/>
      <c r="H75" s="1239"/>
      <c r="I75" s="448"/>
      <c r="J75" s="171"/>
      <c r="K75" s="638"/>
      <c r="L75" s="445" t="s">
        <v>818</v>
      </c>
      <c r="M75" s="638" t="str">
        <f>IF(AX75="PT",VLOOKUP(L75,'Foundation Calculation'!$V$2:$X$40,VLOOKUP(AX75,'Foundation Calculation'!$I$10:$J$13,2,FALSE),0),IF(AX75="K",VLOOKUP(L75,'Foundation Calculation'!$V$42:$X$80,VLOOKUP(AX75,'Foundation Calculation'!$I$10:$J$13,2,FALSE),0),""))</f>
        <v>C4R</v>
      </c>
      <c r="N75" s="1239" t="s">
        <v>144</v>
      </c>
      <c r="O75" s="1239"/>
      <c r="P75" s="1239"/>
      <c r="Q75" s="638"/>
      <c r="R75" s="638"/>
      <c r="S75" s="484"/>
      <c r="T75" s="638">
        <v>35</v>
      </c>
      <c r="U75" s="638"/>
      <c r="V75" s="638"/>
      <c r="W75" s="638">
        <v>1.4</v>
      </c>
      <c r="X75" s="638"/>
      <c r="Y75" s="638"/>
      <c r="Z75" s="638"/>
      <c r="AA75" s="638"/>
      <c r="AB75" s="638"/>
      <c r="AC75" s="638" t="str">
        <f>IF(OR(AT75&gt;8,AT75&lt;-8),"PH",IF(OR(AT75&gt;5,AT75&lt;-5),"PH-Q",IF(OR(AT75&gt;1,AT75&lt;-1),"PH-C")))</f>
        <v>PH-Q</v>
      </c>
      <c r="AD75" s="638"/>
      <c r="AE75" s="638"/>
      <c r="AF75" s="638"/>
      <c r="AG75" s="446"/>
      <c r="AH75" s="638"/>
      <c r="AI75" s="638"/>
      <c r="AJ75" s="445" t="s">
        <v>3516</v>
      </c>
      <c r="AK75" s="638"/>
      <c r="AL75" s="638"/>
      <c r="AM75" s="638" t="s">
        <v>1043</v>
      </c>
      <c r="AN75" s="455">
        <v>5.5</v>
      </c>
      <c r="AO75" s="1239"/>
      <c r="AP75" s="1239"/>
      <c r="AQ75" s="484"/>
      <c r="AR75" s="484"/>
      <c r="AS75" s="484"/>
      <c r="AT75" s="484">
        <f>+ab($T$75,$T$73,$T$77,$G$74,$G$76,-1*$F$75,1200)</f>
        <v>6.6506651471526173</v>
      </c>
      <c r="AU75" s="638"/>
      <c r="AV75" s="638"/>
      <c r="AW75" s="638" t="str">
        <f>VLOOKUP(C75,'Foundation Calculation'!$A$2:$C$33,3,1)</f>
        <v>Soil B</v>
      </c>
      <c r="AX75" s="638" t="str">
        <f>VLOOKUP(C75,'Foundation Calculation'!$E$2:$G$33,3,1)</f>
        <v>PT</v>
      </c>
      <c r="AY75" s="484">
        <f>IF(AX75="PT",VLOOKUP(L75,'Foundation Calculation'!$K$2:$R$40,VLOOKUP(AW75,'Foundation Calculation'!$I$2:$J$8,2,FALSE),0),IF(AX75="K",VLOOKUP(L75,'Foundation Calculation'!$K$42:$R$80,VLOOKUP(AW75,'Foundation Calculation'!$I$2:$J$8,2,FALSE),0),""))</f>
        <v>3.5</v>
      </c>
      <c r="AZ75" s="484"/>
      <c r="BA75" s="671" t="s">
        <v>2809</v>
      </c>
      <c r="BB75" s="1239" t="str">
        <f>Pole_Calculations!A15</f>
        <v>App.7-V11A-P9.5.1.1</v>
      </c>
      <c r="BC75" s="169"/>
      <c r="BD75" s="1329"/>
      <c r="BE75" s="1329"/>
      <c r="BF75" s="1330"/>
      <c r="BG75" s="1329"/>
    </row>
    <row r="76" spans="1:59" ht="15.75" customHeight="1">
      <c r="A76" s="1239"/>
      <c r="B76" s="173"/>
      <c r="C76" s="446"/>
      <c r="D76" s="173"/>
      <c r="E76" s="447"/>
      <c r="F76" s="447"/>
      <c r="G76" s="484">
        <v>47</v>
      </c>
      <c r="H76" s="1239"/>
      <c r="I76" s="448"/>
      <c r="J76" s="171"/>
      <c r="K76" s="638"/>
      <c r="L76" s="638"/>
      <c r="M76" s="638"/>
      <c r="N76" s="1239"/>
      <c r="O76" s="1239"/>
      <c r="P76" s="1239"/>
      <c r="Q76" s="638"/>
      <c r="R76" s="638"/>
      <c r="S76" s="484"/>
      <c r="T76" s="638"/>
      <c r="U76" s="638"/>
      <c r="V76" s="638"/>
      <c r="W76" s="638"/>
      <c r="X76" s="638"/>
      <c r="Y76" s="638"/>
      <c r="Z76" s="638"/>
      <c r="AA76" s="638"/>
      <c r="AB76" s="638"/>
      <c r="AC76" s="638"/>
      <c r="AD76" s="638"/>
      <c r="AE76" s="638"/>
      <c r="AF76" s="638"/>
      <c r="AG76" s="446"/>
      <c r="AH76" s="638"/>
      <c r="AI76" s="638"/>
      <c r="AJ76" s="638"/>
      <c r="AK76" s="638"/>
      <c r="AL76" s="638"/>
      <c r="AM76" s="638"/>
      <c r="AN76" s="455"/>
      <c r="AO76" s="1239"/>
      <c r="AP76" s="1239"/>
      <c r="AQ76" s="484">
        <f>+FL_1($T$77,$T$75,$G$76,1200,9.28,-1*$F$77)</f>
        <v>0.37415578829886048</v>
      </c>
      <c r="AR76" s="484"/>
      <c r="AS76" s="484"/>
      <c r="AT76" s="484"/>
      <c r="AU76" s="638"/>
      <c r="AV76" s="638"/>
      <c r="AW76" s="638"/>
      <c r="AX76" s="638"/>
      <c r="AY76" s="484"/>
      <c r="AZ76" s="484"/>
      <c r="BA76" s="671"/>
      <c r="BB76" s="1239"/>
      <c r="BC76" s="169"/>
      <c r="BD76" s="1330"/>
      <c r="BE76" s="1330"/>
      <c r="BF76" s="1330"/>
      <c r="BG76" s="1330"/>
    </row>
    <row r="77" spans="1:59" ht="15.75" customHeight="1">
      <c r="A77" s="1239"/>
      <c r="B77" s="435" t="s">
        <v>3552</v>
      </c>
      <c r="C77" s="446">
        <f>+$C$75+$G$76</f>
        <v>81188.430000000008</v>
      </c>
      <c r="D77" s="173"/>
      <c r="E77" s="447"/>
      <c r="F77" s="448">
        <f>(694^2)/(C77-81145.09)</f>
        <v>11112.96723580704</v>
      </c>
      <c r="G77" s="484"/>
      <c r="H77" s="1239"/>
      <c r="I77" s="448"/>
      <c r="J77" s="171"/>
      <c r="K77" s="638"/>
      <c r="L77" s="445" t="s">
        <v>818</v>
      </c>
      <c r="M77" s="638" t="str">
        <f>IF(AX77="PT",VLOOKUP(L77,'Foundation Calculation'!$V$2:$X$40,VLOOKUP(AX77,'Foundation Calculation'!$I$10:$J$13,2,FALSE),0),IF(AX77="K",VLOOKUP(L77,'Foundation Calculation'!$V$42:$X$80,VLOOKUP(AX77,'Foundation Calculation'!$I$10:$J$13,2,FALSE),0),""))</f>
        <v>C4R</v>
      </c>
      <c r="N77" s="1239" t="s">
        <v>143</v>
      </c>
      <c r="O77" s="1239"/>
      <c r="P77" s="1239"/>
      <c r="Q77" s="638"/>
      <c r="R77" s="638"/>
      <c r="S77" s="484"/>
      <c r="T77" s="638">
        <v>-30</v>
      </c>
      <c r="U77" s="638"/>
      <c r="V77" s="638"/>
      <c r="W77" s="638">
        <v>1.4</v>
      </c>
      <c r="X77" s="638"/>
      <c r="Y77" s="638"/>
      <c r="Z77" s="638"/>
      <c r="AA77" s="638"/>
      <c r="AB77" s="638"/>
      <c r="AC77" s="638" t="str">
        <f>IF(OR(AT77&gt;8,AT77&lt;-8),"PH",IF(OR(AT77&gt;5,AT77&lt;-5),"PH-Q",IF(OR(AT77&gt;1,AT77&lt;-1),"PH-C")))</f>
        <v>PH</v>
      </c>
      <c r="AD77" s="638"/>
      <c r="AE77" s="638"/>
      <c r="AF77" s="638"/>
      <c r="AG77" s="446"/>
      <c r="AH77" s="638"/>
      <c r="AI77" s="638"/>
      <c r="AJ77" s="445" t="s">
        <v>3516</v>
      </c>
      <c r="AK77" s="638"/>
      <c r="AL77" s="638"/>
      <c r="AM77" s="638" t="s">
        <v>1043</v>
      </c>
      <c r="AN77" s="455">
        <v>5.5</v>
      </c>
      <c r="AO77" s="1239"/>
      <c r="AP77" s="1239"/>
      <c r="AQ77" s="484"/>
      <c r="AR77" s="484"/>
      <c r="AS77" s="484"/>
      <c r="AT77" s="484">
        <f>+ab($T$77,$T$75,$T$79,$G$76,$G$78,-1*$F$77,1200)</f>
        <v>-9.4200703446948957</v>
      </c>
      <c r="AU77" s="638"/>
      <c r="AV77" s="638"/>
      <c r="AW77" s="638" t="str">
        <f>VLOOKUP(C77,'Foundation Calculation'!$A$2:$C$33,3,1)</f>
        <v>Soil B</v>
      </c>
      <c r="AX77" s="638" t="str">
        <f>VLOOKUP(C77,'Foundation Calculation'!$E$2:$G$33,3,1)</f>
        <v>PT</v>
      </c>
      <c r="AY77" s="484">
        <f>IF(AX77="PT",VLOOKUP(L77,'Foundation Calculation'!$K$2:$R$40,VLOOKUP(AW77,'Foundation Calculation'!$I$2:$J$8,2,FALSE),0),IF(AX77="K",VLOOKUP(L77,'Foundation Calculation'!$K$42:$R$80,VLOOKUP(AW77,'Foundation Calculation'!$I$2:$J$8,2,FALSE),0),""))</f>
        <v>3.5</v>
      </c>
      <c r="AZ77" s="484"/>
      <c r="BA77" s="671" t="s">
        <v>2809</v>
      </c>
      <c r="BB77" s="1239" t="str">
        <f>Pole_Calculations!A15</f>
        <v>App.7-V11A-P9.5.1.1</v>
      </c>
      <c r="BC77" s="169"/>
      <c r="BD77" s="1329"/>
      <c r="BE77" s="1329"/>
      <c r="BF77" s="1330"/>
      <c r="BG77" s="1329"/>
    </row>
    <row r="78" spans="1:59" ht="15.75" customHeight="1">
      <c r="A78" s="1239"/>
      <c r="B78" s="173"/>
      <c r="C78" s="446"/>
      <c r="D78" s="173"/>
      <c r="E78" s="447"/>
      <c r="F78" s="447"/>
      <c r="G78" s="484">
        <v>47</v>
      </c>
      <c r="H78" s="1239"/>
      <c r="I78" s="448"/>
      <c r="J78" s="171"/>
      <c r="K78" s="638"/>
      <c r="L78" s="638"/>
      <c r="M78" s="638"/>
      <c r="N78" s="638"/>
      <c r="O78" s="1239"/>
      <c r="P78" s="1239"/>
      <c r="Q78" s="638"/>
      <c r="R78" s="638"/>
      <c r="S78" s="484"/>
      <c r="T78" s="638"/>
      <c r="U78" s="638"/>
      <c r="V78" s="638"/>
      <c r="W78" s="638"/>
      <c r="X78" s="638"/>
      <c r="Y78" s="638"/>
      <c r="Z78" s="638"/>
      <c r="AA78" s="638"/>
      <c r="AB78" s="638"/>
      <c r="AC78" s="638"/>
      <c r="AD78" s="638"/>
      <c r="AE78" s="638"/>
      <c r="AF78" s="638"/>
      <c r="AG78" s="446"/>
      <c r="AH78" s="638"/>
      <c r="AI78" s="638"/>
      <c r="AJ78" s="638"/>
      <c r="AK78" s="638"/>
      <c r="AL78" s="638"/>
      <c r="AM78" s="638"/>
      <c r="AN78" s="455"/>
      <c r="AO78" s="1239"/>
      <c r="AP78" s="1239"/>
      <c r="AQ78" s="484">
        <f>+FL_2($T$79,$T$77,$G$78,1200,9.28,-1*$F$79)</f>
        <v>-0.41560805248259874</v>
      </c>
      <c r="AR78" s="484"/>
      <c r="AS78" s="484"/>
      <c r="AT78" s="484"/>
      <c r="AU78" s="638"/>
      <c r="AV78" s="638"/>
      <c r="AW78" s="638"/>
      <c r="AX78" s="638"/>
      <c r="AY78" s="484"/>
      <c r="AZ78" s="484"/>
      <c r="BA78" s="671"/>
      <c r="BB78" s="1239"/>
      <c r="BC78" s="169"/>
      <c r="BD78" s="1330"/>
      <c r="BE78" s="1330"/>
      <c r="BF78" s="1330"/>
      <c r="BG78" s="1330"/>
    </row>
    <row r="79" spans="1:59" ht="15.75" customHeight="1">
      <c r="A79" s="1239"/>
      <c r="B79" s="435" t="s">
        <v>3553</v>
      </c>
      <c r="C79" s="446">
        <f>+$C$77+$G$78</f>
        <v>81235.430000000008</v>
      </c>
      <c r="D79" s="173"/>
      <c r="E79" s="447"/>
      <c r="F79" s="448">
        <f>(694^2)/(C79-81145.09)</f>
        <v>5331.3703785691941</v>
      </c>
      <c r="G79" s="484"/>
      <c r="H79" s="1239"/>
      <c r="I79" s="448"/>
      <c r="J79" s="171"/>
      <c r="K79" s="638"/>
      <c r="L79" s="445" t="s">
        <v>818</v>
      </c>
      <c r="M79" s="638" t="str">
        <f>IF(AX79="PT",VLOOKUP(L79,'Foundation Calculation'!$V$2:$X$40,VLOOKUP(AX79,'Foundation Calculation'!$I$10:$J$13,2,FALSE),0),IF(AX79="K",VLOOKUP(L79,'Foundation Calculation'!$V$42:$X$80,VLOOKUP(AX79,'Foundation Calculation'!$I$10:$J$13,2,FALSE),0),""))</f>
        <v>C4R</v>
      </c>
      <c r="N79" s="1239" t="s">
        <v>143</v>
      </c>
      <c r="O79" s="1239"/>
      <c r="P79" s="1239"/>
      <c r="Q79" s="638"/>
      <c r="R79" s="638"/>
      <c r="S79" s="484"/>
      <c r="T79" s="638">
        <v>-20</v>
      </c>
      <c r="U79" s="638"/>
      <c r="V79" s="638"/>
      <c r="W79" s="638">
        <v>1.4</v>
      </c>
      <c r="X79" s="638"/>
      <c r="Y79" s="638"/>
      <c r="Z79" s="638"/>
      <c r="AA79" s="638"/>
      <c r="AB79" s="638"/>
      <c r="AC79" s="638" t="str">
        <f>IF(OR(AT79&gt;8,AT79&lt;-8),"PH",IF(OR(AT79&gt;5,AT79&lt;-5),"PH-Q",IF(OR(AT79&gt;1,AT79&lt;-1),"PH-C")))</f>
        <v>PH</v>
      </c>
      <c r="AD79" s="638"/>
      <c r="AE79" s="638"/>
      <c r="AF79" s="638"/>
      <c r="AG79" s="446"/>
      <c r="AH79" s="638"/>
      <c r="AI79" s="638"/>
      <c r="AJ79" s="445" t="s">
        <v>3516</v>
      </c>
      <c r="AK79" s="638"/>
      <c r="AL79" s="638"/>
      <c r="AM79" s="638" t="s">
        <v>1043</v>
      </c>
      <c r="AN79" s="455">
        <v>5.5</v>
      </c>
      <c r="AO79" s="1239"/>
      <c r="AP79" s="1239"/>
      <c r="AQ79" s="484"/>
      <c r="AR79" s="484"/>
      <c r="AS79" s="484"/>
      <c r="AT79" s="484">
        <f>+ab($T$79,$T$77,$T$83,$G$78,44.6,-1*$F$79,1200)</f>
        <v>-27.393398566532401</v>
      </c>
      <c r="AU79" s="638"/>
      <c r="AV79" s="638"/>
      <c r="AW79" s="638" t="str">
        <f>VLOOKUP(C79,'Foundation Calculation'!$A$2:$C$33,3,1)</f>
        <v>Soil B</v>
      </c>
      <c r="AX79" s="638" t="str">
        <f>VLOOKUP(C79,'Foundation Calculation'!$E$2:$G$33,3,1)</f>
        <v>PT</v>
      </c>
      <c r="AY79" s="484">
        <f>IF(AX79="PT",VLOOKUP(L79,'Foundation Calculation'!$K$2:$R$40,VLOOKUP(AW79,'Foundation Calculation'!$I$2:$J$8,2,FALSE),0),IF(AX79="K",VLOOKUP(L79,'Foundation Calculation'!$K$42:$R$80,VLOOKUP(AW79,'Foundation Calculation'!$I$2:$J$8,2,FALSE),0),""))</f>
        <v>3.5</v>
      </c>
      <c r="AZ79" s="484"/>
      <c r="BA79" s="671" t="s">
        <v>2809</v>
      </c>
      <c r="BB79" s="1239" t="str">
        <f>Pole_Calculations!A15</f>
        <v>App.7-V11A-P9.5.1.1</v>
      </c>
      <c r="BC79" s="169"/>
      <c r="BD79" s="1329"/>
      <c r="BE79" s="1329"/>
      <c r="BF79" s="1330"/>
      <c r="BG79" s="1329"/>
    </row>
    <row r="80" spans="1:59" ht="15.75" customHeight="1">
      <c r="A80" s="1239"/>
      <c r="B80" s="173"/>
      <c r="C80" s="446"/>
      <c r="D80" s="173"/>
      <c r="E80" s="447"/>
      <c r="F80" s="447"/>
      <c r="G80" s="484">
        <v>22.3</v>
      </c>
      <c r="H80" s="1239"/>
      <c r="I80" s="448"/>
      <c r="J80" s="171"/>
      <c r="K80" s="638"/>
      <c r="L80" s="638"/>
      <c r="M80" s="638"/>
      <c r="N80" s="638"/>
      <c r="O80" s="1239"/>
      <c r="P80" s="1239"/>
      <c r="Q80" s="638"/>
      <c r="R80" s="638"/>
      <c r="S80" s="484"/>
      <c r="T80" s="638"/>
      <c r="U80" s="638"/>
      <c r="V80" s="638"/>
      <c r="W80" s="638"/>
      <c r="X80" s="638"/>
      <c r="Y80" s="638"/>
      <c r="Z80" s="638"/>
      <c r="AA80" s="638"/>
      <c r="AB80" s="638"/>
      <c r="AC80" s="638"/>
      <c r="AD80" s="638"/>
      <c r="AE80" s="638"/>
      <c r="AF80" s="638"/>
      <c r="AG80" s="446"/>
      <c r="AH80" s="638"/>
      <c r="AI80" s="638"/>
      <c r="AJ80" s="638"/>
      <c r="AK80" s="638"/>
      <c r="AL80" s="638"/>
      <c r="AM80" s="638"/>
      <c r="AN80" s="455"/>
      <c r="AO80" s="1239"/>
      <c r="AP80" s="1239"/>
      <c r="AQ80" s="484"/>
      <c r="AR80" s="484"/>
      <c r="AS80" s="484"/>
      <c r="AT80" s="484"/>
      <c r="AU80" s="638"/>
      <c r="AV80" s="638"/>
      <c r="AW80" s="638"/>
      <c r="AX80" s="638"/>
      <c r="AY80" s="484"/>
      <c r="AZ80" s="484"/>
      <c r="BA80" s="671"/>
      <c r="BB80" s="1239"/>
      <c r="BC80" s="169"/>
      <c r="BD80" s="1330"/>
      <c r="BE80" s="1330"/>
      <c r="BF80" s="1330"/>
      <c r="BG80" s="1330"/>
    </row>
    <row r="81" spans="1:59" ht="15.75" customHeight="1">
      <c r="A81" s="1239"/>
      <c r="B81" s="435" t="s">
        <v>3554</v>
      </c>
      <c r="C81" s="446">
        <f>+$C$79+$G$80</f>
        <v>81257.73000000001</v>
      </c>
      <c r="D81" s="173"/>
      <c r="E81" s="447"/>
      <c r="F81" s="448">
        <f>(694^2)/(C81-81145.09)</f>
        <v>4275.8877840903788</v>
      </c>
      <c r="G81" s="484"/>
      <c r="H81" s="1239"/>
      <c r="I81" s="448" t="s">
        <v>1040</v>
      </c>
      <c r="J81" s="171"/>
      <c r="K81" s="638"/>
      <c r="L81" s="638" t="s">
        <v>823</v>
      </c>
      <c r="M81" s="638" t="str">
        <f>IF(AX81="PT",VLOOKUP(L81,'Foundation Calculation'!$V$2:$X$40,VLOOKUP(AX81,'Foundation Calculation'!$I$10:$J$13,2,FALSE),0),IF(AX81="K",VLOOKUP(L81,'Foundation Calculation'!$V$42:$X$80,VLOOKUP(AX81,'Foundation Calculation'!$I$10:$J$13,2,FALSE),0),""))</f>
        <v>C9R</v>
      </c>
      <c r="N81" s="1239"/>
      <c r="O81" s="1239"/>
      <c r="P81" s="1239"/>
      <c r="Q81" s="638"/>
      <c r="R81" s="638"/>
      <c r="S81" s="484"/>
      <c r="T81" s="638"/>
      <c r="U81" s="638"/>
      <c r="V81" s="638"/>
      <c r="W81" s="638"/>
      <c r="X81" s="638"/>
      <c r="Y81" s="638"/>
      <c r="Z81" s="638"/>
      <c r="AA81" s="638"/>
      <c r="AB81" s="638"/>
      <c r="AC81" s="638"/>
      <c r="AD81" s="638"/>
      <c r="AE81" s="638"/>
      <c r="AF81" s="638"/>
      <c r="AG81" s="446"/>
      <c r="AH81" s="638"/>
      <c r="AI81" s="638"/>
      <c r="AJ81" s="638"/>
      <c r="AK81" s="638"/>
      <c r="AL81" s="638"/>
      <c r="AM81" s="638" t="s">
        <v>1043</v>
      </c>
      <c r="AN81" s="455"/>
      <c r="AO81" s="1239"/>
      <c r="AP81" s="1239"/>
      <c r="AQ81" s="484"/>
      <c r="AR81" s="484"/>
      <c r="AS81" s="484"/>
      <c r="AT81" s="484"/>
      <c r="AU81" s="638"/>
      <c r="AV81" s="638"/>
      <c r="AW81" s="638" t="str">
        <f>VLOOKUP(C81,'Foundation Calculation'!$A$2:$C$33,3,1)</f>
        <v>Soil B</v>
      </c>
      <c r="AX81" s="638" t="str">
        <f>VLOOKUP(C81,'Foundation Calculation'!$E$2:$G$33,3,1)</f>
        <v>PT</v>
      </c>
      <c r="AY81" s="484">
        <f>IF(AX81="PT",VLOOKUP(L81,'Foundation Calculation'!$K$2:$R$40,VLOOKUP(AW81,'Foundation Calculation'!$I$2:$J$8,2,FALSE),0),IF(AX81="K",VLOOKUP(L81,'Foundation Calculation'!$K$42:$R$80,VLOOKUP(AW81,'Foundation Calculation'!$I$2:$J$8,2,FALSE),0),""))</f>
        <v>4.4000000000000004</v>
      </c>
      <c r="AZ81" s="484"/>
      <c r="BA81" s="671" t="s">
        <v>2809</v>
      </c>
      <c r="BB81" s="1239" t="str">
        <f>Pole_Calculations!A136</f>
        <v>App.7-V11A-P12.3.1.1</v>
      </c>
      <c r="BC81" s="169"/>
      <c r="BD81" s="1329"/>
      <c r="BE81" s="1329"/>
      <c r="BF81" s="1330"/>
      <c r="BG81" s="1330"/>
    </row>
    <row r="82" spans="1:59" ht="15.75" customHeight="1">
      <c r="A82" s="1239"/>
      <c r="B82" s="173"/>
      <c r="C82" s="446"/>
      <c r="D82" s="173"/>
      <c r="E82" s="447"/>
      <c r="F82" s="447"/>
      <c r="G82" s="484">
        <v>22.3</v>
      </c>
      <c r="H82" s="638"/>
      <c r="I82" s="447"/>
      <c r="J82" s="446">
        <f>C81+7.5</f>
        <v>81265.23000000001</v>
      </c>
      <c r="K82" s="638" t="s">
        <v>2788</v>
      </c>
      <c r="L82" s="638"/>
      <c r="M82" s="638"/>
      <c r="N82" s="1239"/>
      <c r="O82" s="1239"/>
      <c r="P82" s="1239"/>
      <c r="Q82" s="638"/>
      <c r="R82" s="638"/>
      <c r="S82" s="484"/>
      <c r="T82" s="638"/>
      <c r="U82" s="638"/>
      <c r="V82" s="638"/>
      <c r="W82" s="638"/>
      <c r="X82" s="638"/>
      <c r="Y82" s="638"/>
      <c r="Z82" s="638"/>
      <c r="AA82" s="638"/>
      <c r="AB82" s="638"/>
      <c r="AC82" s="638"/>
      <c r="AD82" s="638"/>
      <c r="AE82" s="638"/>
      <c r="AF82" s="638"/>
      <c r="AG82" s="446"/>
      <c r="AH82" s="638"/>
      <c r="AI82" s="638"/>
      <c r="AJ82" s="638"/>
      <c r="AK82" s="638"/>
      <c r="AL82" s="638"/>
      <c r="AM82" s="638"/>
      <c r="AN82" s="455"/>
      <c r="AO82" s="1239"/>
      <c r="AP82" s="1239"/>
      <c r="AQ82" s="484">
        <f>+FL_2($T$83,$T$79,44.6,1200,9.28,-1*$F$83)</f>
        <v>-0.32262189556152815</v>
      </c>
      <c r="AR82" s="484"/>
      <c r="AS82" s="484"/>
      <c r="AT82" s="484"/>
      <c r="AU82" s="638"/>
      <c r="AV82" s="638"/>
      <c r="AW82" s="638" t="str">
        <f>VLOOKUP(J82,'Foundation Calculation'!$A$2:$C$33,3,1)</f>
        <v>Soil B</v>
      </c>
      <c r="AX82" s="638" t="str">
        <f>VLOOKUP(J82,'Foundation Calculation'!$E$2:$G$33,3,1)</f>
        <v>PT</v>
      </c>
      <c r="AY82" s="484"/>
      <c r="AZ82" s="484">
        <f>IF(AX82="PT",VLOOKUP(K82,'Foundation Calculation'!$K$2:$R$40,VLOOKUP(AW82,'Foundation Calculation'!$I$2:$J$8,2,FALSE),0),IF(AX82="K",VLOOKUP(K82,'Foundation Calculation'!$K$42:$R$80,VLOOKUP(AW82,'Foundation Calculation'!$I$2:$J$8,2,FALSE),0),""))</f>
        <v>2.8</v>
      </c>
      <c r="BA82" s="671" t="s">
        <v>2809</v>
      </c>
      <c r="BB82" s="1239"/>
      <c r="BC82" s="169"/>
      <c r="BD82" s="1329"/>
      <c r="BE82" s="1330"/>
      <c r="BF82" s="1330"/>
      <c r="BG82" s="1330"/>
    </row>
    <row r="83" spans="1:59" ht="15.75" customHeight="1">
      <c r="A83" s="1239"/>
      <c r="B83" s="435" t="s">
        <v>3555</v>
      </c>
      <c r="C83" s="446">
        <f>+$C$81+$G$82</f>
        <v>81280.030000000013</v>
      </c>
      <c r="D83" s="173"/>
      <c r="E83" s="447"/>
      <c r="F83" s="448">
        <f>(694^2)/(C83-81145.09)</f>
        <v>3569.2604120345322</v>
      </c>
      <c r="G83" s="484"/>
      <c r="H83" s="638"/>
      <c r="I83" s="447"/>
      <c r="J83" s="446"/>
      <c r="K83" s="638"/>
      <c r="L83" s="638" t="s">
        <v>229</v>
      </c>
      <c r="M83" s="638" t="str">
        <f>IF(AX83="PT",VLOOKUP(L83,'Foundation Calculation'!$V$2:$X$40,VLOOKUP(AX83,'Foundation Calculation'!$I$10:$J$13,2,FALSE),0),IF(AX83="K",VLOOKUP(L83,'Foundation Calculation'!$V$42:$X$80,VLOOKUP(AX83,'Foundation Calculation'!$I$10:$J$13,2,FALSE),0),""))</f>
        <v>C3R</v>
      </c>
      <c r="N83" s="1239" t="s">
        <v>143</v>
      </c>
      <c r="O83" s="1239"/>
      <c r="P83" s="1239"/>
      <c r="Q83" s="638"/>
      <c r="R83" s="638"/>
      <c r="S83" s="484"/>
      <c r="T83" s="638">
        <v>-20</v>
      </c>
      <c r="U83" s="638"/>
      <c r="V83" s="638"/>
      <c r="W83" s="638">
        <v>1.4</v>
      </c>
      <c r="X83" s="638"/>
      <c r="Y83" s="638"/>
      <c r="Z83" s="638"/>
      <c r="AA83" s="638"/>
      <c r="AB83" s="638"/>
      <c r="AC83" s="638" t="str">
        <f>IF(OR(AT83&gt;8,AT83&lt;-8),"PH",IF(OR(AT83&gt;5,AT83&lt;-5),"PH-Q",IF(OR(AT83&gt;1,AT83&lt;-1),"PH-C")))</f>
        <v>PH</v>
      </c>
      <c r="AD83" s="638"/>
      <c r="AE83" s="638"/>
      <c r="AF83" s="638"/>
      <c r="AG83" s="446"/>
      <c r="AH83" s="638"/>
      <c r="AI83" s="638"/>
      <c r="AJ83" s="638"/>
      <c r="AK83" s="638"/>
      <c r="AL83" s="638"/>
      <c r="AM83" s="638" t="s">
        <v>1043</v>
      </c>
      <c r="AN83" s="455">
        <v>5.5</v>
      </c>
      <c r="AO83" s="1239"/>
      <c r="AP83" s="1239"/>
      <c r="AQ83" s="484"/>
      <c r="AR83" s="484"/>
      <c r="AS83" s="484"/>
      <c r="AT83" s="484">
        <f>+ab($T$83,$T$81,$T$85,$G$82,$G$84,-1*$F$83,1200)</f>
        <v>-10.993529170177069</v>
      </c>
      <c r="AU83" s="638"/>
      <c r="AV83" s="638"/>
      <c r="AW83" s="638" t="str">
        <f>VLOOKUP(C83,'Foundation Calculation'!$A$2:$C$33,3,1)</f>
        <v>Soil B</v>
      </c>
      <c r="AX83" s="638" t="str">
        <f>VLOOKUP(C83,'Foundation Calculation'!$E$2:$G$33,3,1)</f>
        <v>PT</v>
      </c>
      <c r="AY83" s="484">
        <f>IF(AX83="PT",VLOOKUP(L83,'Foundation Calculation'!$K$2:$R$40,VLOOKUP(AW83,'Foundation Calculation'!$I$2:$J$8,2,FALSE),0),IF(AX83="K",VLOOKUP(L83,'Foundation Calculation'!$K$42:$R$80,VLOOKUP(AW83,'Foundation Calculation'!$I$2:$J$8,2,FALSE),0),""))</f>
        <v>3.5</v>
      </c>
      <c r="AZ83" s="484"/>
      <c r="BA83" s="671" t="s">
        <v>2809</v>
      </c>
      <c r="BB83" s="1239" t="str">
        <f>Pole_Calculations!A15</f>
        <v>App.7-V11A-P9.5.1.1</v>
      </c>
      <c r="BC83" s="169"/>
      <c r="BD83" s="1329"/>
      <c r="BE83" s="1329"/>
      <c r="BF83" s="1330"/>
      <c r="BG83" s="1329"/>
    </row>
    <row r="84" spans="1:59" ht="15.75" customHeight="1">
      <c r="A84" s="1239"/>
      <c r="B84" s="173"/>
      <c r="C84" s="446"/>
      <c r="D84" s="173"/>
      <c r="E84" s="447"/>
      <c r="F84" s="447"/>
      <c r="G84" s="484">
        <v>50.8</v>
      </c>
      <c r="H84" s="1239"/>
      <c r="I84" s="448"/>
      <c r="J84" s="171">
        <f>C85-7.5</f>
        <v>81323.330000000016</v>
      </c>
      <c r="K84" s="638" t="s">
        <v>2788</v>
      </c>
      <c r="L84" s="638"/>
      <c r="M84" s="638"/>
      <c r="N84" s="1239"/>
      <c r="O84" s="1239"/>
      <c r="P84" s="1239"/>
      <c r="Q84" s="638"/>
      <c r="R84" s="638"/>
      <c r="S84" s="484"/>
      <c r="T84" s="638"/>
      <c r="U84" s="638"/>
      <c r="V84" s="638"/>
      <c r="W84" s="638"/>
      <c r="X84" s="638"/>
      <c r="Y84" s="638"/>
      <c r="Z84" s="638"/>
      <c r="AA84" s="638"/>
      <c r="AB84" s="638"/>
      <c r="AC84" s="638"/>
      <c r="AD84" s="638"/>
      <c r="AE84" s="638"/>
      <c r="AF84" s="638"/>
      <c r="AG84" s="446"/>
      <c r="AH84" s="638"/>
      <c r="AI84" s="638"/>
      <c r="AJ84" s="638"/>
      <c r="AK84" s="638"/>
      <c r="AL84" s="638"/>
      <c r="AM84" s="638"/>
      <c r="AN84" s="455"/>
      <c r="AO84" s="1239"/>
      <c r="AP84" s="1239"/>
      <c r="AQ84" s="484">
        <f>+FL_2($T$85,$T$83,$G$84,1200,9.28,-1*$F$85)</f>
        <v>-0.3800556635178497</v>
      </c>
      <c r="AR84" s="484"/>
      <c r="AS84" s="484"/>
      <c r="AT84" s="484"/>
      <c r="AU84" s="638"/>
      <c r="AV84" s="638"/>
      <c r="AW84" s="638" t="str">
        <f>VLOOKUP(J84,'Foundation Calculation'!$A$2:$C$33,3,1)</f>
        <v>Soil B</v>
      </c>
      <c r="AX84" s="638" t="str">
        <f>VLOOKUP(J84,'Foundation Calculation'!$E$2:$G$33,3,1)</f>
        <v>PT</v>
      </c>
      <c r="AY84" s="484"/>
      <c r="AZ84" s="484">
        <f>IF(AX84="PT",VLOOKUP(K84,'Foundation Calculation'!$K$2:$R$40,VLOOKUP(AW84,'Foundation Calculation'!$I$2:$J$8,2,FALSE),0),IF(AX84="K",VLOOKUP(K84,'Foundation Calculation'!$K$42:$R$80,VLOOKUP(AW84,'Foundation Calculation'!$I$2:$J$8,2,FALSE),0),""))</f>
        <v>2.8</v>
      </c>
      <c r="BA84" s="671" t="s">
        <v>2809</v>
      </c>
      <c r="BB84" s="1239"/>
      <c r="BC84" s="169"/>
      <c r="BD84" s="1329"/>
      <c r="BE84" s="1330"/>
      <c r="BF84" s="1330"/>
      <c r="BG84" s="1330"/>
    </row>
    <row r="85" spans="1:59" ht="15.75" customHeight="1">
      <c r="A85" s="1239"/>
      <c r="B85" s="435" t="s">
        <v>3556</v>
      </c>
      <c r="C85" s="446">
        <f>+$C$83+$G$84</f>
        <v>81330.830000000016</v>
      </c>
      <c r="D85" s="173"/>
      <c r="E85" s="447"/>
      <c r="F85" s="448">
        <f>(694^2)/(C85-81145.09)</f>
        <v>2593.0655755354187</v>
      </c>
      <c r="G85" s="484"/>
      <c r="H85" s="1239" t="s">
        <v>873</v>
      </c>
      <c r="I85" s="448"/>
      <c r="J85" s="171"/>
      <c r="K85" s="638"/>
      <c r="L85" s="638" t="s">
        <v>230</v>
      </c>
      <c r="M85" s="638" t="str">
        <f>IF(AX85="PT",VLOOKUP(L85,'Foundation Calculation'!$V$2:$X$40,VLOOKUP(AX85,'Foundation Calculation'!$I$10:$J$13,2,FALSE),0),IF(AX85="K",VLOOKUP(L85,'Foundation Calculation'!$V$42:$X$80,VLOOKUP(AX85,'Foundation Calculation'!$I$10:$J$13,2,FALSE),0),""))</f>
        <v>C4R</v>
      </c>
      <c r="N85" s="1239" t="s">
        <v>143</v>
      </c>
      <c r="O85" s="1239"/>
      <c r="P85" s="1239"/>
      <c r="Q85" s="638"/>
      <c r="R85" s="638"/>
      <c r="S85" s="484"/>
      <c r="T85" s="638">
        <v>-30</v>
      </c>
      <c r="U85" s="638"/>
      <c r="V85" s="638"/>
      <c r="W85" s="638">
        <v>1.4</v>
      </c>
      <c r="X85" s="638"/>
      <c r="Y85" s="638"/>
      <c r="Z85" s="638"/>
      <c r="AA85" s="638"/>
      <c r="AB85" s="638"/>
      <c r="AC85" s="638" t="str">
        <f>IF(OR(AT85&gt;8,AT85&lt;-8),"PH",IF(OR(AT85&gt;5,AT85&lt;-5),"PH-Q",IF(OR(AT85&gt;1,AT85&lt;-1),"PH-C")))</f>
        <v>PH</v>
      </c>
      <c r="AD85" s="638"/>
      <c r="AE85" s="638"/>
      <c r="AF85" s="638"/>
      <c r="AG85" s="446"/>
      <c r="AH85" s="638"/>
      <c r="AI85" s="638"/>
      <c r="AJ85" s="638"/>
      <c r="AK85" s="638"/>
      <c r="AL85" s="638"/>
      <c r="AM85" s="638" t="s">
        <v>1043</v>
      </c>
      <c r="AN85" s="455">
        <v>5.5</v>
      </c>
      <c r="AO85" s="1239"/>
      <c r="AP85" s="1239"/>
      <c r="AQ85" s="484"/>
      <c r="AR85" s="484"/>
      <c r="AS85" s="484"/>
      <c r="AT85" s="484">
        <f>+ab($T$85,$T$83,$T$87,$G$84,$G$86,-1*$F$85,1200)</f>
        <v>-8.6325330968559584</v>
      </c>
      <c r="AU85" s="638"/>
      <c r="AV85" s="638"/>
      <c r="AW85" s="638" t="str">
        <f>VLOOKUP(C85,'Foundation Calculation'!$A$2:$C$33,3,1)</f>
        <v>Soil B</v>
      </c>
      <c r="AX85" s="638" t="str">
        <f>VLOOKUP(C85,'Foundation Calculation'!$E$2:$G$33,3,1)</f>
        <v>PT</v>
      </c>
      <c r="AY85" s="484">
        <f>IF(AX85="PT",VLOOKUP(L85,'Foundation Calculation'!$K$2:$R$40,VLOOKUP(AW85,'Foundation Calculation'!$I$2:$J$8,2,FALSE),0),IF(AX85="K",VLOOKUP(L85,'Foundation Calculation'!$K$42:$R$80,VLOOKUP(AW85,'Foundation Calculation'!$I$2:$J$8,2,FALSE),0),""))</f>
        <v>3.5</v>
      </c>
      <c r="AZ85" s="484"/>
      <c r="BA85" s="671" t="s">
        <v>2809</v>
      </c>
      <c r="BB85" s="1239" t="str">
        <f>Pole_Calculations!A17</f>
        <v>App.7-V11A-P9.5.1.3</v>
      </c>
      <c r="BC85" s="169"/>
      <c r="BD85" s="1329"/>
      <c r="BE85" s="1329"/>
      <c r="BF85" s="1330"/>
      <c r="BG85" s="1329"/>
    </row>
    <row r="86" spans="1:59" ht="15.75" customHeight="1">
      <c r="A86" s="1239"/>
      <c r="B86" s="173"/>
      <c r="C86" s="446"/>
      <c r="D86" s="173"/>
      <c r="E86" s="447"/>
      <c r="F86" s="447"/>
      <c r="G86" s="484">
        <v>53.4</v>
      </c>
      <c r="H86" s="1239"/>
      <c r="I86" s="448">
        <f>C87-C61</f>
        <v>602.60000000000582</v>
      </c>
      <c r="J86" s="171"/>
      <c r="K86" s="638"/>
      <c r="L86" s="638"/>
      <c r="M86" s="638"/>
      <c r="N86" s="638"/>
      <c r="O86" s="1239"/>
      <c r="P86" s="1239"/>
      <c r="Q86" s="638"/>
      <c r="R86" s="638"/>
      <c r="S86" s="484"/>
      <c r="T86" s="638"/>
      <c r="U86" s="638"/>
      <c r="V86" s="638"/>
      <c r="W86" s="638"/>
      <c r="X86" s="638"/>
      <c r="Y86" s="638"/>
      <c r="Z86" s="638"/>
      <c r="AA86" s="638"/>
      <c r="AB86" s="638"/>
      <c r="AC86" s="638"/>
      <c r="AD86" s="638"/>
      <c r="AE86" s="638"/>
      <c r="AF86" s="638"/>
      <c r="AG86" s="446"/>
      <c r="AH86" s="638"/>
      <c r="AI86" s="638"/>
      <c r="AJ86" s="638"/>
      <c r="AK86" s="638"/>
      <c r="AL86" s="638"/>
      <c r="AM86" s="638"/>
      <c r="AN86" s="455"/>
      <c r="AO86" s="1239"/>
      <c r="AP86" s="1239"/>
      <c r="AQ86" s="484">
        <f>+FL_2($T$87,$T$85,$G$86,1200,9.28,-1*$F$87)</f>
        <v>-0.39866236304947644</v>
      </c>
      <c r="AR86" s="484"/>
      <c r="AS86" s="484"/>
      <c r="AT86" s="484"/>
      <c r="AU86" s="638"/>
      <c r="AV86" s="638"/>
      <c r="AW86" s="638"/>
      <c r="AX86" s="638"/>
      <c r="AY86" s="484"/>
      <c r="AZ86" s="484"/>
      <c r="BA86" s="671"/>
      <c r="BB86" s="1239"/>
      <c r="BC86" s="169"/>
      <c r="BD86" s="1330"/>
      <c r="BE86" s="1330"/>
      <c r="BF86" s="1330"/>
      <c r="BG86" s="1330"/>
    </row>
    <row r="87" spans="1:59" ht="15.75" customHeight="1">
      <c r="A87" s="1239"/>
      <c r="B87" s="435" t="s">
        <v>3557</v>
      </c>
      <c r="C87" s="446">
        <f>+$C$85+$G$86</f>
        <v>81384.23000000001</v>
      </c>
      <c r="D87" s="173"/>
      <c r="E87" s="447"/>
      <c r="F87" s="448">
        <f>(694^2)/(C87-81145.09)</f>
        <v>2014.0336204732453</v>
      </c>
      <c r="G87" s="484"/>
      <c r="H87" s="1239" t="s">
        <v>874</v>
      </c>
      <c r="I87" s="448"/>
      <c r="J87" s="171"/>
      <c r="K87" s="638"/>
      <c r="L87" s="638" t="s">
        <v>230</v>
      </c>
      <c r="M87" s="638" t="str">
        <f>IF(AX87="PT",VLOOKUP(L87,'Foundation Calculation'!$V$2:$X$40,VLOOKUP(AX87,'Foundation Calculation'!$I$10:$J$13,2,FALSE),0),IF(AX87="K",VLOOKUP(L87,'Foundation Calculation'!$V$42:$X$80,VLOOKUP(AX87,'Foundation Calculation'!$I$10:$J$13,2,FALSE),0),""))</f>
        <v>C4R</v>
      </c>
      <c r="N87" s="1239" t="s">
        <v>143</v>
      </c>
      <c r="O87" s="1239"/>
      <c r="P87" s="1239"/>
      <c r="Q87" s="638"/>
      <c r="R87" s="638"/>
      <c r="S87" s="484"/>
      <c r="T87" s="638">
        <v>-30</v>
      </c>
      <c r="U87" s="638"/>
      <c r="V87" s="638"/>
      <c r="W87" s="638">
        <v>1.4</v>
      </c>
      <c r="X87" s="638"/>
      <c r="Y87" s="638"/>
      <c r="Z87" s="638"/>
      <c r="AA87" s="638"/>
      <c r="AB87" s="638"/>
      <c r="AC87" s="638" t="str">
        <f>IF(OR(AT87&gt;8,AT87&lt;-8),"PH",IF(OR(AT87&gt;5,AT87&lt;-5),"PH-Q",IF(OR(AT87&gt;1,AT87&lt;-1),"PH-C")))</f>
        <v>PH-Q</v>
      </c>
      <c r="AD87" s="638"/>
      <c r="AE87" s="638"/>
      <c r="AF87" s="638"/>
      <c r="AG87" s="446"/>
      <c r="AH87" s="638"/>
      <c r="AI87" s="638"/>
      <c r="AJ87" s="638"/>
      <c r="AK87" s="638"/>
      <c r="AL87" s="638"/>
      <c r="AM87" s="638" t="s">
        <v>1043</v>
      </c>
      <c r="AN87" s="455">
        <v>5.5</v>
      </c>
      <c r="AO87" s="1239"/>
      <c r="AP87" s="1239"/>
      <c r="AQ87" s="484"/>
      <c r="AR87" s="484"/>
      <c r="AS87" s="484"/>
      <c r="AT87" s="484">
        <f>+ab($T$87,$T$85,$T$89,$G$86,$G$88,-1*$F$87,1200)</f>
        <v>-7.2126569006857526</v>
      </c>
      <c r="AU87" s="638"/>
      <c r="AV87" s="638"/>
      <c r="AW87" s="638" t="str">
        <f>VLOOKUP(C87,'Foundation Calculation'!$A$2:$C$33,3,1)</f>
        <v>Soil B</v>
      </c>
      <c r="AX87" s="638" t="str">
        <f>VLOOKUP(C87,'Foundation Calculation'!$E$2:$G$33,3,1)</f>
        <v>PT</v>
      </c>
      <c r="AY87" s="484">
        <f>IF(AX87="PT",VLOOKUP(L87,'Foundation Calculation'!$K$2:$R$40,VLOOKUP(AW87,'Foundation Calculation'!$I$2:$J$8,2,FALSE),0),IF(AX87="K",VLOOKUP(L87,'Foundation Calculation'!$K$42:$R$80,VLOOKUP(AW87,'Foundation Calculation'!$I$2:$J$8,2,FALSE),0),""))</f>
        <v>3.5</v>
      </c>
      <c r="AZ87" s="484"/>
      <c r="BA87" s="671" t="s">
        <v>2809</v>
      </c>
      <c r="BB87" s="1239" t="str">
        <f>Pole_Calculations!A16</f>
        <v>App.7-V11A-P9.5.1.2</v>
      </c>
      <c r="BC87" s="169"/>
      <c r="BD87" s="1329"/>
      <c r="BE87" s="1329"/>
      <c r="BF87" s="1330"/>
      <c r="BG87" s="1329"/>
    </row>
    <row r="88" spans="1:59" ht="15.75" customHeight="1">
      <c r="A88" s="1239"/>
      <c r="B88" s="173"/>
      <c r="C88" s="446"/>
      <c r="D88" s="173"/>
      <c r="E88" s="447"/>
      <c r="F88" s="447"/>
      <c r="G88" s="484">
        <v>53.2</v>
      </c>
      <c r="H88" s="1239"/>
      <c r="I88" s="448">
        <f>C111-C87</f>
        <v>646.29999999998836</v>
      </c>
      <c r="J88" s="171"/>
      <c r="K88" s="638"/>
      <c r="L88" s="638"/>
      <c r="M88" s="638"/>
      <c r="N88" s="638"/>
      <c r="O88" s="1239"/>
      <c r="P88" s="1239"/>
      <c r="Q88" s="638"/>
      <c r="R88" s="638"/>
      <c r="S88" s="484"/>
      <c r="T88" s="638"/>
      <c r="U88" s="638"/>
      <c r="V88" s="638"/>
      <c r="W88" s="638"/>
      <c r="X88" s="638"/>
      <c r="Y88" s="638"/>
      <c r="Z88" s="638"/>
      <c r="AA88" s="638"/>
      <c r="AB88" s="638"/>
      <c r="AC88" s="638"/>
      <c r="AD88" s="638"/>
      <c r="AE88" s="638"/>
      <c r="AF88" s="638"/>
      <c r="AG88" s="446"/>
      <c r="AH88" s="638"/>
      <c r="AI88" s="638"/>
      <c r="AJ88" s="638"/>
      <c r="AK88" s="638"/>
      <c r="AL88" s="638"/>
      <c r="AM88" s="638"/>
      <c r="AN88" s="455"/>
      <c r="AO88" s="1239"/>
      <c r="AP88" s="1239"/>
      <c r="AQ88" s="484">
        <f>+FL_2($T$89,$T$87,$G$88,1200,9.28,-1*$F$89)</f>
        <v>-0.397045164063898</v>
      </c>
      <c r="AR88" s="484"/>
      <c r="AS88" s="484"/>
      <c r="AT88" s="484"/>
      <c r="AU88" s="638"/>
      <c r="AV88" s="638"/>
      <c r="AW88" s="638"/>
      <c r="AX88" s="638"/>
      <c r="AY88" s="484"/>
      <c r="AZ88" s="484"/>
      <c r="BA88" s="671"/>
      <c r="BB88" s="1239"/>
      <c r="BC88" s="169"/>
      <c r="BD88" s="1330"/>
      <c r="BE88" s="1330"/>
      <c r="BF88" s="1330"/>
      <c r="BG88" s="1330"/>
    </row>
    <row r="89" spans="1:59" ht="15.75" customHeight="1">
      <c r="A89" s="1239"/>
      <c r="B89" s="435" t="s">
        <v>3558</v>
      </c>
      <c r="C89" s="446">
        <f>+$C$87+$G$88</f>
        <v>81437.430000000008</v>
      </c>
      <c r="D89" s="173"/>
      <c r="E89" s="447"/>
      <c r="F89" s="447">
        <v>2004</v>
      </c>
      <c r="G89" s="484"/>
      <c r="H89" s="1239" t="s">
        <v>873</v>
      </c>
      <c r="I89" s="448"/>
      <c r="J89" s="171"/>
      <c r="K89" s="638"/>
      <c r="L89" s="638" t="s">
        <v>230</v>
      </c>
      <c r="M89" s="638" t="str">
        <f>IF(AX89="PT",VLOOKUP(L89,'Foundation Calculation'!$V$2:$X$40,VLOOKUP(AX89,'Foundation Calculation'!$I$10:$J$13,2,FALSE),0),IF(AX89="K",VLOOKUP(L89,'Foundation Calculation'!$V$42:$X$80,VLOOKUP(AX89,'Foundation Calculation'!$I$10:$J$13,2,FALSE),0),""))</f>
        <v>C4R</v>
      </c>
      <c r="N89" s="1239" t="s">
        <v>143</v>
      </c>
      <c r="O89" s="638"/>
      <c r="P89" s="638"/>
      <c r="Q89" s="638"/>
      <c r="R89" s="638"/>
      <c r="S89" s="484"/>
      <c r="T89" s="638">
        <v>-30</v>
      </c>
      <c r="U89" s="638"/>
      <c r="V89" s="638"/>
      <c r="W89" s="638">
        <v>1.4</v>
      </c>
      <c r="X89" s="638"/>
      <c r="Y89" s="638"/>
      <c r="Z89" s="638"/>
      <c r="AA89" s="638"/>
      <c r="AB89" s="638"/>
      <c r="AC89" s="638" t="str">
        <f>IF(OR(AT89&gt;8,AT89&lt;-8),"PH",IF(OR(AT89&gt;5,AT89&lt;-5),"PH-Q",IF(OR(AT89&gt;1,AT89&lt;-1),"PH-C")))</f>
        <v>PH-Q</v>
      </c>
      <c r="AD89" s="638"/>
      <c r="AE89" s="638"/>
      <c r="AF89" s="638"/>
      <c r="AG89" s="446"/>
      <c r="AH89" s="638"/>
      <c r="AI89" s="638"/>
      <c r="AJ89" s="638"/>
      <c r="AK89" s="638"/>
      <c r="AL89" s="638"/>
      <c r="AM89" s="638" t="s">
        <v>1043</v>
      </c>
      <c r="AN89" s="455">
        <v>5.5</v>
      </c>
      <c r="AO89" s="1239"/>
      <c r="AP89" s="1239"/>
      <c r="AQ89" s="484"/>
      <c r="AR89" s="484"/>
      <c r="AS89" s="484"/>
      <c r="AT89" s="484">
        <f>+ab($T$89,$T$87,$T$91,$G$88,$G$90,-1*$F$89,1200)</f>
        <v>-7.2375654033235168</v>
      </c>
      <c r="AU89" s="638"/>
      <c r="AV89" s="638"/>
      <c r="AW89" s="638" t="str">
        <f>VLOOKUP(C89,'Foundation Calculation'!$A$2:$C$33,3,1)</f>
        <v>Soil B</v>
      </c>
      <c r="AX89" s="638" t="str">
        <f>VLOOKUP(C89,'Foundation Calculation'!$E$2:$G$33,3,1)</f>
        <v>PT</v>
      </c>
      <c r="AY89" s="484">
        <f>IF(AX89="PT",VLOOKUP(L89,'Foundation Calculation'!$K$2:$R$40,VLOOKUP(AW89,'Foundation Calculation'!$I$2:$J$8,2,FALSE),0),IF(AX89="K",VLOOKUP(L89,'Foundation Calculation'!$K$42:$R$80,VLOOKUP(AW89,'Foundation Calculation'!$I$2:$J$8,2,FALSE),0),""))</f>
        <v>3.5</v>
      </c>
      <c r="AZ89" s="484"/>
      <c r="BA89" s="671" t="s">
        <v>2809</v>
      </c>
      <c r="BB89" s="1239" t="str">
        <f>Pole_Calculations!A17</f>
        <v>App.7-V11A-P9.5.1.3</v>
      </c>
      <c r="BC89" s="169"/>
      <c r="BD89" s="1329"/>
      <c r="BE89" s="1329"/>
      <c r="BF89" s="1330"/>
      <c r="BG89" s="1329"/>
    </row>
    <row r="90" spans="1:59" ht="15.75" customHeight="1">
      <c r="A90" s="1239"/>
      <c r="B90" s="173"/>
      <c r="C90" s="446"/>
      <c r="D90" s="173"/>
      <c r="E90" s="447"/>
      <c r="F90" s="447"/>
      <c r="G90" s="484">
        <v>52.5</v>
      </c>
      <c r="H90" s="1239"/>
      <c r="I90" s="448"/>
      <c r="J90" s="171">
        <f>C89+7.5</f>
        <v>81444.930000000008</v>
      </c>
      <c r="K90" s="638" t="s">
        <v>2788</v>
      </c>
      <c r="L90" s="638"/>
      <c r="M90" s="638"/>
      <c r="N90" s="1239"/>
      <c r="O90" s="1239"/>
      <c r="P90" s="1239"/>
      <c r="Q90" s="638"/>
      <c r="R90" s="638"/>
      <c r="S90" s="484"/>
      <c r="T90" s="638"/>
      <c r="U90" s="638"/>
      <c r="V90" s="638"/>
      <c r="W90" s="638"/>
      <c r="X90" s="638"/>
      <c r="Y90" s="638"/>
      <c r="Z90" s="638"/>
      <c r="AA90" s="638"/>
      <c r="AB90" s="638"/>
      <c r="AC90" s="638"/>
      <c r="AD90" s="638"/>
      <c r="AE90" s="638"/>
      <c r="AF90" s="638"/>
      <c r="AG90" s="446"/>
      <c r="AH90" s="638"/>
      <c r="AI90" s="638"/>
      <c r="AJ90" s="638"/>
      <c r="AK90" s="638"/>
      <c r="AL90" s="638"/>
      <c r="AM90" s="638"/>
      <c r="AN90" s="455"/>
      <c r="AO90" s="1239"/>
      <c r="AP90" s="1239"/>
      <c r="AQ90" s="484">
        <f>+FL_2($T$91,$T$89,$G$90,1200,9.28,-1*$F$91)</f>
        <v>-0.39450834340447538</v>
      </c>
      <c r="AR90" s="484"/>
      <c r="AS90" s="484"/>
      <c r="AT90" s="484"/>
      <c r="AU90" s="638"/>
      <c r="AV90" s="638"/>
      <c r="AW90" s="638" t="str">
        <f>VLOOKUP(J90,'Foundation Calculation'!$A$2:$C$33,3,1)</f>
        <v>Soil B</v>
      </c>
      <c r="AX90" s="638" t="str">
        <f>VLOOKUP(J90,'Foundation Calculation'!$E$2:$G$33,3,1)</f>
        <v>PT</v>
      </c>
      <c r="AY90" s="484"/>
      <c r="AZ90" s="484">
        <f>IF(AX90="PT",VLOOKUP(K90,'Foundation Calculation'!$K$2:$R$40,VLOOKUP(AW90,'Foundation Calculation'!$I$2:$J$8,2,FALSE),0),IF(AX90="K",VLOOKUP(K90,'Foundation Calculation'!$K$42:$R$80,VLOOKUP(AW90,'Foundation Calculation'!$I$2:$J$8,2,FALSE),0),""))</f>
        <v>2.8</v>
      </c>
      <c r="BA90" s="671" t="s">
        <v>2809</v>
      </c>
      <c r="BB90" s="1239"/>
      <c r="BC90" s="169"/>
      <c r="BD90" s="1329"/>
      <c r="BE90" s="1330"/>
      <c r="BF90" s="1330"/>
      <c r="BG90" s="1330"/>
    </row>
    <row r="91" spans="1:59" ht="15.75" customHeight="1">
      <c r="A91" s="1239"/>
      <c r="B91" s="435" t="s">
        <v>3559</v>
      </c>
      <c r="C91" s="446">
        <f>+$C$89+$G$90</f>
        <v>81489.930000000008</v>
      </c>
      <c r="D91" s="173"/>
      <c r="E91" s="447"/>
      <c r="F91" s="447">
        <v>2004</v>
      </c>
      <c r="G91" s="484"/>
      <c r="H91" s="1239"/>
      <c r="I91" s="448"/>
      <c r="J91" s="171"/>
      <c r="K91" s="638"/>
      <c r="L91" s="638" t="s">
        <v>230</v>
      </c>
      <c r="M91" s="638" t="str">
        <f>IF(AX91="PT",VLOOKUP(L91,'Foundation Calculation'!$V$2:$X$40,VLOOKUP(AX91,'Foundation Calculation'!$I$10:$J$13,2,FALSE),0),IF(AX91="K",VLOOKUP(L91,'Foundation Calculation'!$V$42:$X$80,VLOOKUP(AX91,'Foundation Calculation'!$I$10:$J$13,2,FALSE),0),""))</f>
        <v>C4R</v>
      </c>
      <c r="N91" s="1239" t="s">
        <v>143</v>
      </c>
      <c r="O91" s="638"/>
      <c r="P91" s="638"/>
      <c r="Q91" s="638"/>
      <c r="R91" s="638"/>
      <c r="S91" s="484"/>
      <c r="T91" s="638">
        <v>-30</v>
      </c>
      <c r="U91" s="638"/>
      <c r="V91" s="638"/>
      <c r="W91" s="638">
        <v>1.4</v>
      </c>
      <c r="X91" s="638"/>
      <c r="Y91" s="638"/>
      <c r="Z91" s="638"/>
      <c r="AA91" s="638"/>
      <c r="AB91" s="638"/>
      <c r="AC91" s="638" t="str">
        <f t="shared" ref="AC91:AC125" si="0">IF(OR(AT91&gt;8,AT91&lt;-8),"PH",IF(OR(AT91&gt;5,AT91&lt;-5),"PH-Q",IF(OR(AT91&gt;1,AT91&lt;-1),"PH-C")))</f>
        <v>PH-Q</v>
      </c>
      <c r="AD91" s="638"/>
      <c r="AE91" s="638"/>
      <c r="AF91" s="638"/>
      <c r="AG91" s="446"/>
      <c r="AH91" s="638"/>
      <c r="AI91" s="638"/>
      <c r="AJ91" s="638"/>
      <c r="AK91" s="638"/>
      <c r="AL91" s="638"/>
      <c r="AM91" s="638" t="s">
        <v>1043</v>
      </c>
      <c r="AN91" s="455">
        <v>5.42</v>
      </c>
      <c r="AO91" s="1239"/>
      <c r="AP91" s="1239"/>
      <c r="AQ91" s="484"/>
      <c r="AR91" s="484"/>
      <c r="AS91" s="484"/>
      <c r="AT91" s="484">
        <f>+ab($T$91,$T$89,$T$93,$G$90,$G$92,-1*$F$91,1200)</f>
        <v>-7.7370967150072936</v>
      </c>
      <c r="AU91" s="638"/>
      <c r="AV91" s="638"/>
      <c r="AW91" s="638" t="str">
        <f>VLOOKUP(C91,'Foundation Calculation'!$A$2:$C$33,3,1)</f>
        <v>Soil B</v>
      </c>
      <c r="AX91" s="638" t="str">
        <f>VLOOKUP(C91,'Foundation Calculation'!$E$2:$G$33,3,1)</f>
        <v>PT</v>
      </c>
      <c r="AY91" s="484">
        <f>IF(AX91="PT",VLOOKUP(L91,'Foundation Calculation'!$K$2:$R$40,VLOOKUP(AW91,'Foundation Calculation'!$I$2:$J$8,2,FALSE),0),IF(AX91="K",VLOOKUP(L91,'Foundation Calculation'!$K$42:$R$80,VLOOKUP(AW91,'Foundation Calculation'!$I$2:$J$8,2,FALSE),0),""))</f>
        <v>3.5</v>
      </c>
      <c r="AZ91" s="484"/>
      <c r="BA91" s="671" t="s">
        <v>2809</v>
      </c>
      <c r="BB91" s="1239" t="str">
        <f>Pole_Calculations!A15</f>
        <v>App.7-V11A-P9.5.1.1</v>
      </c>
      <c r="BC91" s="169"/>
      <c r="BD91" s="1329"/>
      <c r="BE91" s="1329"/>
      <c r="BF91" s="1330"/>
      <c r="BG91" s="1329"/>
    </row>
    <row r="92" spans="1:59" ht="15.75" customHeight="1">
      <c r="A92" s="1239"/>
      <c r="B92" s="173"/>
      <c r="C92" s="446"/>
      <c r="D92" s="173"/>
      <c r="E92" s="447"/>
      <c r="F92" s="447"/>
      <c r="G92" s="484">
        <v>46.3</v>
      </c>
      <c r="H92" s="1239"/>
      <c r="I92" s="448"/>
      <c r="J92" s="171"/>
      <c r="K92" s="638"/>
      <c r="L92" s="638"/>
      <c r="M92" s="638"/>
      <c r="N92" s="1239"/>
      <c r="O92" s="1239"/>
      <c r="P92" s="1239"/>
      <c r="Q92" s="638"/>
      <c r="R92" s="638"/>
      <c r="S92" s="484"/>
      <c r="T92" s="638"/>
      <c r="U92" s="638"/>
      <c r="V92" s="638"/>
      <c r="W92" s="638"/>
      <c r="X92" s="638"/>
      <c r="Y92" s="638"/>
      <c r="Z92" s="638"/>
      <c r="AA92" s="638"/>
      <c r="AB92" s="638"/>
      <c r="AC92" s="638"/>
      <c r="AD92" s="638"/>
      <c r="AE92" s="638"/>
      <c r="AF92" s="638"/>
      <c r="AG92" s="446"/>
      <c r="AH92" s="638"/>
      <c r="AI92" s="638"/>
      <c r="AJ92" s="638"/>
      <c r="AK92" s="638"/>
      <c r="AL92" s="638"/>
      <c r="AM92" s="638"/>
      <c r="AN92" s="455"/>
      <c r="AO92" s="1239"/>
      <c r="AP92" s="1239"/>
      <c r="AQ92" s="484">
        <f>+FL_2($T$93,$T$91,$G$92,1200,9.28,-1*$F$93)</f>
        <v>-0.37350570688312423</v>
      </c>
      <c r="AR92" s="484"/>
      <c r="AS92" s="484"/>
      <c r="AT92" s="484"/>
      <c r="AU92" s="638"/>
      <c r="AV92" s="638"/>
      <c r="AW92" s="638"/>
      <c r="AX92" s="638"/>
      <c r="AY92" s="484"/>
      <c r="AZ92" s="484"/>
      <c r="BA92" s="671"/>
      <c r="BB92" s="1239"/>
      <c r="BC92" s="169"/>
      <c r="BD92" s="1330"/>
      <c r="BE92" s="1330"/>
      <c r="BF92" s="1330"/>
      <c r="BG92" s="1330"/>
    </row>
    <row r="93" spans="1:59" ht="15.75" customHeight="1">
      <c r="A93" s="1239"/>
      <c r="B93" s="435" t="s">
        <v>3560</v>
      </c>
      <c r="C93" s="446">
        <f>+$C$91+$G$92</f>
        <v>81536.23000000001</v>
      </c>
      <c r="D93" s="173"/>
      <c r="E93" s="447"/>
      <c r="F93" s="447">
        <v>2004</v>
      </c>
      <c r="G93" s="484"/>
      <c r="H93" s="1239"/>
      <c r="I93" s="448"/>
      <c r="J93" s="171"/>
      <c r="K93" s="638"/>
      <c r="L93" s="638" t="s">
        <v>230</v>
      </c>
      <c r="M93" s="638" t="str">
        <f>IF(AX93="PT",VLOOKUP(L93,'Foundation Calculation'!$V$2:$X$40,VLOOKUP(AX93,'Foundation Calculation'!$I$10:$J$13,2,FALSE),0),IF(AX93="K",VLOOKUP(L93,'Foundation Calculation'!$V$42:$X$80,VLOOKUP(AX93,'Foundation Calculation'!$I$10:$J$13,2,FALSE),0),""))</f>
        <v>C4R</v>
      </c>
      <c r="N93" s="1239" t="s">
        <v>143</v>
      </c>
      <c r="O93" s="1239"/>
      <c r="P93" s="1239"/>
      <c r="Q93" s="638"/>
      <c r="R93" s="638"/>
      <c r="S93" s="484"/>
      <c r="T93" s="638">
        <v>-30</v>
      </c>
      <c r="U93" s="638"/>
      <c r="V93" s="638"/>
      <c r="W93" s="638">
        <v>1.4</v>
      </c>
      <c r="X93" s="638"/>
      <c r="Y93" s="638"/>
      <c r="Z93" s="638"/>
      <c r="AA93" s="638"/>
      <c r="AB93" s="638"/>
      <c r="AC93" s="638" t="str">
        <f t="shared" si="0"/>
        <v>PH-Q</v>
      </c>
      <c r="AD93" s="638"/>
      <c r="AE93" s="638"/>
      <c r="AF93" s="638"/>
      <c r="AG93" s="446"/>
      <c r="AH93" s="638"/>
      <c r="AI93" s="638"/>
      <c r="AJ93" s="638"/>
      <c r="AK93" s="638"/>
      <c r="AL93" s="638"/>
      <c r="AM93" s="638" t="s">
        <v>1043</v>
      </c>
      <c r="AN93" s="455">
        <v>5.32</v>
      </c>
      <c r="AO93" s="1239"/>
      <c r="AP93" s="1239"/>
      <c r="AQ93" s="484"/>
      <c r="AR93" s="484"/>
      <c r="AS93" s="484"/>
      <c r="AT93" s="484">
        <f>+ab($T$93,$T$91,$T$95,$G$92,$G$94,-1*$F$93,1200)</f>
        <v>-7.9845411102740655</v>
      </c>
      <c r="AU93" s="638"/>
      <c r="AV93" s="638"/>
      <c r="AW93" s="638" t="str">
        <f>VLOOKUP(C93,'Foundation Calculation'!$A$2:$C$33,3,1)</f>
        <v>Soil B</v>
      </c>
      <c r="AX93" s="638" t="str">
        <f>VLOOKUP(C93,'Foundation Calculation'!$E$2:$G$33,3,1)</f>
        <v>PT</v>
      </c>
      <c r="AY93" s="484">
        <f>IF(AX93="PT",VLOOKUP(L93,'Foundation Calculation'!$K$2:$R$40,VLOOKUP(AW93,'Foundation Calculation'!$I$2:$J$8,2,FALSE),0),IF(AX93="K",VLOOKUP(L93,'Foundation Calculation'!$K$42:$R$80,VLOOKUP(AW93,'Foundation Calculation'!$I$2:$J$8,2,FALSE),0),""))</f>
        <v>3.5</v>
      </c>
      <c r="AZ93" s="484"/>
      <c r="BA93" s="671" t="s">
        <v>2809</v>
      </c>
      <c r="BB93" s="1239" t="str">
        <f>Pole_Calculations!A15</f>
        <v>App.7-V11A-P9.5.1.1</v>
      </c>
      <c r="BC93" s="169"/>
      <c r="BD93" s="1329"/>
      <c r="BE93" s="1329"/>
      <c r="BF93" s="1330"/>
      <c r="BG93" s="1329"/>
    </row>
    <row r="94" spans="1:59" ht="15.75" customHeight="1">
      <c r="A94" s="1239"/>
      <c r="B94" s="173"/>
      <c r="C94" s="446"/>
      <c r="D94" s="173"/>
      <c r="E94" s="447"/>
      <c r="F94" s="447"/>
      <c r="G94" s="484">
        <v>49.4</v>
      </c>
      <c r="H94" s="1239"/>
      <c r="I94" s="448"/>
      <c r="J94" s="171"/>
      <c r="K94" s="638"/>
      <c r="L94" s="638"/>
      <c r="M94" s="638"/>
      <c r="N94" s="1239"/>
      <c r="O94" s="1239"/>
      <c r="P94" s="1239"/>
      <c r="Q94" s="638"/>
      <c r="R94" s="638"/>
      <c r="S94" s="484"/>
      <c r="T94" s="638"/>
      <c r="U94" s="638"/>
      <c r="V94" s="638"/>
      <c r="W94" s="638"/>
      <c r="X94" s="638"/>
      <c r="Y94" s="638"/>
      <c r="Z94" s="638"/>
      <c r="AA94" s="638"/>
      <c r="AB94" s="638"/>
      <c r="AC94" s="638"/>
      <c r="AD94" s="638"/>
      <c r="AE94" s="638"/>
      <c r="AF94" s="638"/>
      <c r="AG94" s="446"/>
      <c r="AH94" s="638"/>
      <c r="AI94" s="638"/>
      <c r="AJ94" s="638"/>
      <c r="AK94" s="638"/>
      <c r="AL94" s="638"/>
      <c r="AM94" s="638"/>
      <c r="AN94" s="455"/>
      <c r="AO94" s="1239"/>
      <c r="AP94" s="1239"/>
      <c r="AQ94" s="484">
        <f>+FL_2($T$95,$T$93,$G$94,1200,9.28,-1*$F$95)</f>
        <v>-0.41288884016258853</v>
      </c>
      <c r="AR94" s="484"/>
      <c r="AS94" s="484"/>
      <c r="AT94" s="484"/>
      <c r="AU94" s="638"/>
      <c r="AV94" s="638"/>
      <c r="AW94" s="638"/>
      <c r="AX94" s="638"/>
      <c r="AY94" s="484"/>
      <c r="AZ94" s="484"/>
      <c r="BA94" s="671"/>
      <c r="BB94" s="1239"/>
      <c r="BC94" s="169"/>
      <c r="BD94" s="1330"/>
      <c r="BE94" s="1330"/>
      <c r="BF94" s="1330"/>
      <c r="BG94" s="1330"/>
    </row>
    <row r="95" spans="1:59" ht="15.75" customHeight="1">
      <c r="A95" s="1239"/>
      <c r="B95" s="435" t="s">
        <v>3561</v>
      </c>
      <c r="C95" s="446">
        <f>+$C$93+$G$94</f>
        <v>81585.63</v>
      </c>
      <c r="D95" s="173"/>
      <c r="E95" s="447"/>
      <c r="F95" s="448">
        <f>(694^2)/(81779.85-C95)</f>
        <v>2479.8475955102313</v>
      </c>
      <c r="G95" s="484"/>
      <c r="H95" s="1239"/>
      <c r="I95" s="448"/>
      <c r="J95" s="171"/>
      <c r="K95" s="638"/>
      <c r="L95" s="638" t="s">
        <v>230</v>
      </c>
      <c r="M95" s="638" t="str">
        <f>IF(AX95="PT",VLOOKUP(L95,'Foundation Calculation'!$V$2:$X$40,VLOOKUP(AX95,'Foundation Calculation'!$I$10:$J$13,2,FALSE),0),IF(AX95="K",VLOOKUP(L95,'Foundation Calculation'!$V$42:$X$80,VLOOKUP(AX95,'Foundation Calculation'!$I$10:$J$13,2,FALSE),0),""))</f>
        <v>C4R</v>
      </c>
      <c r="N95" s="1239" t="s">
        <v>143</v>
      </c>
      <c r="O95" s="1239"/>
      <c r="P95" s="1239"/>
      <c r="Q95" s="638"/>
      <c r="R95" s="638"/>
      <c r="S95" s="484"/>
      <c r="T95" s="638">
        <v>-30</v>
      </c>
      <c r="U95" s="638"/>
      <c r="V95" s="638"/>
      <c r="W95" s="638">
        <v>1.2</v>
      </c>
      <c r="X95" s="638"/>
      <c r="Y95" s="638"/>
      <c r="Z95" s="638"/>
      <c r="AA95" s="638"/>
      <c r="AB95" s="638"/>
      <c r="AC95" s="638" t="str">
        <f t="shared" si="0"/>
        <v>PH</v>
      </c>
      <c r="AD95" s="638"/>
      <c r="AE95" s="638"/>
      <c r="AF95" s="638"/>
      <c r="AG95" s="446"/>
      <c r="AH95" s="638"/>
      <c r="AI95" s="638"/>
      <c r="AJ95" s="638"/>
      <c r="AK95" s="638"/>
      <c r="AL95" s="638"/>
      <c r="AM95" s="638" t="s">
        <v>1043</v>
      </c>
      <c r="AN95" s="455">
        <v>5.22</v>
      </c>
      <c r="AO95" s="1239"/>
      <c r="AP95" s="1239"/>
      <c r="AQ95" s="484"/>
      <c r="AR95" s="484"/>
      <c r="AS95" s="484"/>
      <c r="AT95" s="484">
        <f>+ab($T$95,$T$93,$T$97,$G$94,$G$96,-1*$F$95,1200)</f>
        <v>-8.677348528654953</v>
      </c>
      <c r="AU95" s="638"/>
      <c r="AV95" s="638"/>
      <c r="AW95" s="638" t="str">
        <f>VLOOKUP(C95,'Foundation Calculation'!$A$2:$C$33,3,1)</f>
        <v>Soil B</v>
      </c>
      <c r="AX95" s="638" t="str">
        <f>VLOOKUP(C95,'Foundation Calculation'!$E$2:$G$33,3,1)</f>
        <v>PT</v>
      </c>
      <c r="AY95" s="484">
        <f>IF(AX95="PT",VLOOKUP(L95,'Foundation Calculation'!$K$2:$R$40,VLOOKUP(AW95,'Foundation Calculation'!$I$2:$J$8,2,FALSE),0),IF(AX95="K",VLOOKUP(L95,'Foundation Calculation'!$K$42:$R$80,VLOOKUP(AW95,'Foundation Calculation'!$I$2:$J$8,2,FALSE),0),""))</f>
        <v>3.5</v>
      </c>
      <c r="AZ95" s="484"/>
      <c r="BA95" s="671" t="s">
        <v>2809</v>
      </c>
      <c r="BB95" s="1239" t="str">
        <f>Pole_Calculations!A15</f>
        <v>App.7-V11A-P9.5.1.1</v>
      </c>
      <c r="BC95" s="169"/>
      <c r="BD95" s="1329"/>
      <c r="BE95" s="1329"/>
      <c r="BF95" s="1330"/>
      <c r="BG95" s="1329"/>
    </row>
    <row r="96" spans="1:59" ht="15.75" customHeight="1">
      <c r="A96" s="1239"/>
      <c r="B96" s="173"/>
      <c r="C96" s="446"/>
      <c r="D96" s="173"/>
      <c r="E96" s="447"/>
      <c r="F96" s="447"/>
      <c r="G96" s="484">
        <v>49.4</v>
      </c>
      <c r="H96" s="1239"/>
      <c r="I96" s="448"/>
      <c r="J96" s="171"/>
      <c r="K96" s="638"/>
      <c r="L96" s="638"/>
      <c r="M96" s="638"/>
      <c r="N96" s="638"/>
      <c r="O96" s="1239"/>
      <c r="P96" s="1239"/>
      <c r="Q96" s="638"/>
      <c r="R96" s="638"/>
      <c r="S96" s="484"/>
      <c r="T96" s="638"/>
      <c r="U96" s="638"/>
      <c r="V96" s="638"/>
      <c r="W96" s="638"/>
      <c r="X96" s="638"/>
      <c r="Y96" s="638"/>
      <c r="Z96" s="638"/>
      <c r="AA96" s="638"/>
      <c r="AB96" s="638"/>
      <c r="AC96" s="638"/>
      <c r="AD96" s="638"/>
      <c r="AE96" s="638"/>
      <c r="AF96" s="638"/>
      <c r="AG96" s="446"/>
      <c r="AH96" s="638"/>
      <c r="AI96" s="638"/>
      <c r="AJ96" s="638"/>
      <c r="AK96" s="638"/>
      <c r="AL96" s="638"/>
      <c r="AM96" s="638"/>
      <c r="AN96" s="455"/>
      <c r="AO96" s="1239"/>
      <c r="AP96" s="1239"/>
      <c r="AQ96" s="484">
        <f>+FL_2($T$97,$T$95,$G$96,1200,9.28,-1*$F$97)</f>
        <v>-0.39851315053272435</v>
      </c>
      <c r="AR96" s="484"/>
      <c r="AS96" s="484"/>
      <c r="AT96" s="484"/>
      <c r="AU96" s="638"/>
      <c r="AV96" s="638"/>
      <c r="AW96" s="638"/>
      <c r="AX96" s="638"/>
      <c r="AY96" s="484"/>
      <c r="AZ96" s="484"/>
      <c r="BA96" s="671"/>
      <c r="BB96" s="1239"/>
      <c r="BC96" s="169"/>
      <c r="BD96" s="1330"/>
      <c r="BE96" s="1330"/>
      <c r="BF96" s="1330"/>
      <c r="BG96" s="1330"/>
    </row>
    <row r="97" spans="1:59" ht="15.75" customHeight="1">
      <c r="A97" s="1239"/>
      <c r="B97" s="435" t="s">
        <v>3562</v>
      </c>
      <c r="C97" s="446">
        <f>+$C$95+$G$96</f>
        <v>81635.03</v>
      </c>
      <c r="D97" s="173"/>
      <c r="E97" s="447"/>
      <c r="F97" s="448">
        <f>(694^2)/(81779.85-C97)</f>
        <v>3325.7561110342272</v>
      </c>
      <c r="G97" s="484"/>
      <c r="H97" s="1239"/>
      <c r="I97" s="448"/>
      <c r="J97" s="171"/>
      <c r="K97" s="638"/>
      <c r="L97" s="638" t="s">
        <v>229</v>
      </c>
      <c r="M97" s="638" t="str">
        <f>IF(AX97="PT",VLOOKUP(L97,'Foundation Calculation'!$V$2:$X$40,VLOOKUP(AX97,'Foundation Calculation'!$I$10:$J$13,2,FALSE),0),IF(AX97="K",VLOOKUP(L97,'Foundation Calculation'!$V$42:$X$80,VLOOKUP(AX97,'Foundation Calculation'!$I$10:$J$13,2,FALSE),0),""))</f>
        <v>C3R</v>
      </c>
      <c r="N97" s="1239" t="s">
        <v>143</v>
      </c>
      <c r="O97" s="1239"/>
      <c r="P97" s="1239"/>
      <c r="Q97" s="638"/>
      <c r="R97" s="638"/>
      <c r="S97" s="484"/>
      <c r="T97" s="638">
        <v>-20</v>
      </c>
      <c r="U97" s="638"/>
      <c r="V97" s="638"/>
      <c r="W97" s="638">
        <v>1</v>
      </c>
      <c r="X97" s="638"/>
      <c r="Y97" s="638"/>
      <c r="Z97" s="638"/>
      <c r="AA97" s="638"/>
      <c r="AB97" s="638"/>
      <c r="AC97" s="638" t="str">
        <f t="shared" si="0"/>
        <v>PH</v>
      </c>
      <c r="AD97" s="638"/>
      <c r="AE97" s="638"/>
      <c r="AF97" s="638"/>
      <c r="AG97" s="446"/>
      <c r="AH97" s="638"/>
      <c r="AI97" s="638"/>
      <c r="AJ97" s="638"/>
      <c r="AK97" s="638"/>
      <c r="AL97" s="638"/>
      <c r="AM97" s="638" t="s">
        <v>1043</v>
      </c>
      <c r="AN97" s="455">
        <v>5.15</v>
      </c>
      <c r="AO97" s="1239"/>
      <c r="AP97" s="1239"/>
      <c r="AQ97" s="484"/>
      <c r="AR97" s="484"/>
      <c r="AS97" s="484"/>
      <c r="AT97" s="484">
        <f>+ab($T$97,$T$95,$T$99,$G$96,$G$98,-1*$F$97,1200)</f>
        <v>-13.97185287571134</v>
      </c>
      <c r="AU97" s="638"/>
      <c r="AV97" s="638"/>
      <c r="AW97" s="638" t="str">
        <f>VLOOKUP(C97,'Foundation Calculation'!$A$2:$C$33,3,1)</f>
        <v>Soil B</v>
      </c>
      <c r="AX97" s="638" t="str">
        <f>VLOOKUP(C97,'Foundation Calculation'!$E$2:$G$33,3,1)</f>
        <v>PT</v>
      </c>
      <c r="AY97" s="484">
        <f>IF(AX97="PT",VLOOKUP(L97,'Foundation Calculation'!$K$2:$R$40,VLOOKUP(AW97,'Foundation Calculation'!$I$2:$J$8,2,FALSE),0),IF(AX97="K",VLOOKUP(L97,'Foundation Calculation'!$K$42:$R$80,VLOOKUP(AW97,'Foundation Calculation'!$I$2:$J$8,2,FALSE),0),""))</f>
        <v>3.5</v>
      </c>
      <c r="AZ97" s="484"/>
      <c r="BA97" s="671" t="s">
        <v>2809</v>
      </c>
      <c r="BB97" s="1239" t="str">
        <f>Pole_Calculations!A15</f>
        <v>App.7-V11A-P9.5.1.1</v>
      </c>
      <c r="BC97" s="169"/>
      <c r="BD97" s="1329"/>
      <c r="BE97" s="1329"/>
      <c r="BF97" s="1330"/>
      <c r="BG97" s="1329"/>
    </row>
    <row r="98" spans="1:59" ht="15.75" customHeight="1">
      <c r="A98" s="488" t="s">
        <v>1851</v>
      </c>
      <c r="B98" s="639"/>
      <c r="C98" s="489"/>
      <c r="D98" s="639"/>
      <c r="E98" s="491"/>
      <c r="F98" s="491"/>
      <c r="G98" s="493">
        <v>53.6</v>
      </c>
      <c r="H98" s="495"/>
      <c r="I98" s="492"/>
      <c r="J98" s="431"/>
      <c r="K98" s="490"/>
      <c r="L98" s="490"/>
      <c r="M98" s="490"/>
      <c r="N98" s="495"/>
      <c r="O98" s="495"/>
      <c r="P98" s="495"/>
      <c r="Q98" s="490"/>
      <c r="R98" s="490"/>
      <c r="S98" s="493"/>
      <c r="T98" s="490"/>
      <c r="U98" s="490"/>
      <c r="V98" s="490"/>
      <c r="W98" s="490"/>
      <c r="X98" s="490"/>
      <c r="Y98" s="490"/>
      <c r="Z98" s="490"/>
      <c r="AA98" s="490"/>
      <c r="AB98" s="490"/>
      <c r="AC98" s="490"/>
      <c r="AD98" s="490"/>
      <c r="AE98" s="490"/>
      <c r="AF98" s="490"/>
      <c r="AG98" s="489"/>
      <c r="AH98" s="490"/>
      <c r="AI98" s="490"/>
      <c r="AJ98" s="490"/>
      <c r="AK98" s="490"/>
      <c r="AL98" s="490"/>
      <c r="AM98" s="490"/>
      <c r="AN98" s="457"/>
      <c r="AO98" s="495"/>
      <c r="AP98" s="495"/>
      <c r="AQ98" s="493">
        <f>+FL_2($T$99,$T$97,$G$98,1200,9.28,-1*$F$99)</f>
        <v>-0.40970308624214269</v>
      </c>
      <c r="AR98" s="493"/>
      <c r="AS98" s="493"/>
      <c r="AT98" s="493"/>
      <c r="AU98" s="490"/>
      <c r="AV98" s="490"/>
      <c r="AW98" s="490"/>
      <c r="AX98" s="490"/>
      <c r="AY98" s="493"/>
      <c r="AZ98" s="493"/>
      <c r="BA98" s="602"/>
      <c r="BB98" s="488"/>
      <c r="BC98" s="169"/>
      <c r="BD98" s="1330"/>
      <c r="BE98" s="1330"/>
      <c r="BF98" s="1330"/>
      <c r="BG98" s="1330"/>
    </row>
    <row r="99" spans="1:59" ht="15.75" customHeight="1">
      <c r="A99" s="1239"/>
      <c r="B99" s="435" t="s">
        <v>3563</v>
      </c>
      <c r="C99" s="446">
        <f>+$C$97+$G$98</f>
        <v>81688.63</v>
      </c>
      <c r="D99" s="173"/>
      <c r="E99" s="447"/>
      <c r="F99" s="448">
        <f>(694^2)/(81779.85-C99)</f>
        <v>5279.9386099538897</v>
      </c>
      <c r="G99" s="484"/>
      <c r="H99" s="1239"/>
      <c r="I99" s="448"/>
      <c r="J99" s="171"/>
      <c r="K99" s="638"/>
      <c r="L99" s="638" t="s">
        <v>229</v>
      </c>
      <c r="M99" s="638" t="str">
        <f>IF(AX99="PT",VLOOKUP(L99,'Foundation Calculation'!$V$2:$X$40,VLOOKUP(AX99,'Foundation Calculation'!$I$10:$J$13,2,FALSE),0),IF(AX99="K",VLOOKUP(L99,'Foundation Calculation'!$V$42:$X$80,VLOOKUP(AX99,'Foundation Calculation'!$I$10:$J$13,2,FALSE),0),""))</f>
        <v>C3R</v>
      </c>
      <c r="N99" s="1239" t="s">
        <v>143</v>
      </c>
      <c r="O99" s="1239"/>
      <c r="P99" s="1239"/>
      <c r="Q99" s="638"/>
      <c r="R99" s="638"/>
      <c r="S99" s="484"/>
      <c r="T99" s="638">
        <v>-20</v>
      </c>
      <c r="U99" s="638"/>
      <c r="V99" s="638"/>
      <c r="W99" s="638">
        <v>1</v>
      </c>
      <c r="X99" s="638"/>
      <c r="Y99" s="638"/>
      <c r="Z99" s="638"/>
      <c r="AA99" s="638"/>
      <c r="AB99" s="638"/>
      <c r="AC99" s="638" t="str">
        <f t="shared" si="0"/>
        <v>PH</v>
      </c>
      <c r="AD99" s="638"/>
      <c r="AE99" s="638"/>
      <c r="AF99" s="638"/>
      <c r="AG99" s="446"/>
      <c r="AH99" s="638"/>
      <c r="AI99" s="638"/>
      <c r="AJ99" s="638"/>
      <c r="AK99" s="638"/>
      <c r="AL99" s="638"/>
      <c r="AM99" s="638" t="s">
        <v>1043</v>
      </c>
      <c r="AN99" s="455">
        <v>5.15</v>
      </c>
      <c r="AO99" s="1239"/>
      <c r="AP99" s="1239"/>
      <c r="AQ99" s="484"/>
      <c r="AR99" s="484"/>
      <c r="AS99" s="484"/>
      <c r="AT99" s="484">
        <f>+ab($T$99,$T$97,$T$101,$G$98,$G$100,-1*$F$99,1200)</f>
        <v>-10.24580542817217</v>
      </c>
      <c r="AU99" s="638"/>
      <c r="AV99" s="638"/>
      <c r="AW99" s="638" t="str">
        <f>VLOOKUP(C99,'Foundation Calculation'!$A$2:$C$33,3,1)</f>
        <v>Soil B</v>
      </c>
      <c r="AX99" s="638" t="str">
        <f>VLOOKUP(C99,'Foundation Calculation'!$E$2:$G$33,3,1)</f>
        <v>PT</v>
      </c>
      <c r="AY99" s="484">
        <f>IF(AX99="PT",VLOOKUP(L99,'Foundation Calculation'!$K$2:$R$40,VLOOKUP(AW99,'Foundation Calculation'!$I$2:$J$8,2,FALSE),0),IF(AX99="K",VLOOKUP(L99,'Foundation Calculation'!$K$42:$R$80,VLOOKUP(AW99,'Foundation Calculation'!$I$2:$J$8,2,FALSE),0),""))</f>
        <v>3.5</v>
      </c>
      <c r="AZ99" s="484"/>
      <c r="BA99" s="671" t="s">
        <v>2809</v>
      </c>
      <c r="BB99" s="1239" t="str">
        <f>Pole_Calculations!A15</f>
        <v>App.7-V11A-P9.5.1.1</v>
      </c>
      <c r="BC99" s="169"/>
      <c r="BD99" s="1329"/>
      <c r="BE99" s="1329"/>
      <c r="BF99" s="1330"/>
      <c r="BG99" s="1329"/>
    </row>
    <row r="100" spans="1:59" ht="15.75" customHeight="1">
      <c r="A100" s="1239"/>
      <c r="B100" s="173"/>
      <c r="C100" s="446"/>
      <c r="D100" s="173"/>
      <c r="E100" s="447"/>
      <c r="F100" s="447"/>
      <c r="G100" s="484">
        <v>53.9</v>
      </c>
      <c r="H100" s="1239"/>
      <c r="I100" s="448"/>
      <c r="J100" s="171"/>
      <c r="K100" s="638"/>
      <c r="L100" s="638"/>
      <c r="M100" s="638"/>
      <c r="N100" s="1239"/>
      <c r="O100" s="1239"/>
      <c r="P100" s="1239"/>
      <c r="Q100" s="638"/>
      <c r="R100" s="638"/>
      <c r="S100" s="484"/>
      <c r="T100" s="638"/>
      <c r="U100" s="638"/>
      <c r="V100" s="638"/>
      <c r="W100" s="638"/>
      <c r="X100" s="638"/>
      <c r="Y100" s="638"/>
      <c r="Z100" s="638"/>
      <c r="AA100" s="638"/>
      <c r="AB100" s="638"/>
      <c r="AC100" s="638"/>
      <c r="AD100" s="638"/>
      <c r="AE100" s="638"/>
      <c r="AF100" s="638"/>
      <c r="AG100" s="446"/>
      <c r="AH100" s="638"/>
      <c r="AI100" s="638"/>
      <c r="AJ100" s="638"/>
      <c r="AK100" s="638"/>
      <c r="AL100" s="638"/>
      <c r="AM100" s="638"/>
      <c r="AN100" s="455"/>
      <c r="AO100" s="1239"/>
      <c r="AP100" s="1239"/>
      <c r="AQ100" s="484">
        <f>+FL_1($T$101,$T$99,$G$100,1200,9.28,-1*$F$101)</f>
        <v>0.37493799924164462</v>
      </c>
      <c r="AR100" s="484"/>
      <c r="AS100" s="484"/>
      <c r="AT100" s="484"/>
      <c r="AU100" s="638"/>
      <c r="AV100" s="638"/>
      <c r="AW100" s="638"/>
      <c r="AX100" s="638"/>
      <c r="AY100" s="484"/>
      <c r="AZ100" s="484"/>
      <c r="BA100" s="671"/>
      <c r="BB100" s="1239"/>
      <c r="BC100" s="169"/>
      <c r="BD100" s="1330"/>
      <c r="BE100" s="1330"/>
      <c r="BF100" s="1330"/>
      <c r="BG100" s="1330"/>
    </row>
    <row r="101" spans="1:59" ht="15.75" customHeight="1">
      <c r="A101" s="1239"/>
      <c r="B101" s="435" t="s">
        <v>3564</v>
      </c>
      <c r="C101" s="446">
        <f>+$C$99+$G$100</f>
        <v>81742.53</v>
      </c>
      <c r="D101" s="173"/>
      <c r="E101" s="447"/>
      <c r="F101" s="448">
        <f>(694^2)/(81779.85-C101)</f>
        <v>12905.573419075827</v>
      </c>
      <c r="G101" s="484"/>
      <c r="H101" s="1239"/>
      <c r="I101" s="448"/>
      <c r="J101" s="171"/>
      <c r="K101" s="638"/>
      <c r="L101" s="638" t="s">
        <v>229</v>
      </c>
      <c r="M101" s="638" t="str">
        <f>IF(AX101="PT",VLOOKUP(L101,'Foundation Calculation'!$V$2:$X$40,VLOOKUP(AX101,'Foundation Calculation'!$I$10:$J$13,2,FALSE),0),IF(AX101="K",VLOOKUP(L101,'Foundation Calculation'!$V$42:$X$80,VLOOKUP(AX101,'Foundation Calculation'!$I$10:$J$13,2,FALSE),0),""))</f>
        <v>C3R</v>
      </c>
      <c r="N101" s="1239" t="s">
        <v>144</v>
      </c>
      <c r="O101" s="1239"/>
      <c r="P101" s="1239"/>
      <c r="Q101" s="638"/>
      <c r="R101" s="638"/>
      <c r="S101" s="484"/>
      <c r="T101" s="638">
        <v>25</v>
      </c>
      <c r="U101" s="638"/>
      <c r="V101" s="638"/>
      <c r="W101" s="638">
        <v>1.2</v>
      </c>
      <c r="X101" s="638"/>
      <c r="Y101" s="638"/>
      <c r="Z101" s="638"/>
      <c r="AA101" s="638"/>
      <c r="AB101" s="638"/>
      <c r="AC101" s="638" t="str">
        <f t="shared" si="0"/>
        <v>PH</v>
      </c>
      <c r="AD101" s="638"/>
      <c r="AE101" s="638"/>
      <c r="AF101" s="638"/>
      <c r="AG101" s="446"/>
      <c r="AH101" s="638"/>
      <c r="AI101" s="638"/>
      <c r="AJ101" s="638"/>
      <c r="AK101" s="638"/>
      <c r="AL101" s="638"/>
      <c r="AM101" s="638" t="s">
        <v>1043</v>
      </c>
      <c r="AN101" s="455">
        <v>5.15</v>
      </c>
      <c r="AO101" s="1239"/>
      <c r="AP101" s="1239"/>
      <c r="AQ101" s="484"/>
      <c r="AR101" s="484"/>
      <c r="AS101" s="484"/>
      <c r="AT101" s="484">
        <f>+ab($T$101,$T$99,$T$103,$G$100,$G$102,-1*$F$101,1200)</f>
        <v>13.513323720859246</v>
      </c>
      <c r="AU101" s="638"/>
      <c r="AV101" s="638"/>
      <c r="AW101" s="638" t="str">
        <f>VLOOKUP(C101,'Foundation Calculation'!$A$2:$C$33,3,1)</f>
        <v>Soil B</v>
      </c>
      <c r="AX101" s="638" t="str">
        <f>VLOOKUP(C101,'Foundation Calculation'!$E$2:$G$33,3,1)</f>
        <v>PT</v>
      </c>
      <c r="AY101" s="484">
        <f>IF(AX101="PT",VLOOKUP(L101,'Foundation Calculation'!$K$2:$R$40,VLOOKUP(AW101,'Foundation Calculation'!$I$2:$J$8,2,FALSE),0),IF(AX101="K",VLOOKUP(L101,'Foundation Calculation'!$K$42:$R$80,VLOOKUP(AW101,'Foundation Calculation'!$I$2:$J$8,2,FALSE),0),""))</f>
        <v>3.5</v>
      </c>
      <c r="AZ101" s="484"/>
      <c r="BA101" s="671" t="s">
        <v>2809</v>
      </c>
      <c r="BB101" s="1239" t="str">
        <f>Pole_Calculations!A15</f>
        <v>App.7-V11A-P9.5.1.1</v>
      </c>
      <c r="BC101" s="169"/>
      <c r="BD101" s="1329"/>
      <c r="BE101" s="1329"/>
      <c r="BF101" s="1330"/>
      <c r="BG101" s="1329"/>
    </row>
    <row r="102" spans="1:59" ht="15.75" customHeight="1">
      <c r="A102" s="1239"/>
      <c r="B102" s="173"/>
      <c r="C102" s="446"/>
      <c r="D102" s="173"/>
      <c r="E102" s="447"/>
      <c r="F102" s="447"/>
      <c r="G102" s="484">
        <v>60</v>
      </c>
      <c r="H102" s="1239"/>
      <c r="I102" s="448"/>
      <c r="J102" s="171"/>
      <c r="K102" s="638"/>
      <c r="L102" s="638"/>
      <c r="M102" s="638"/>
      <c r="N102" s="638"/>
      <c r="O102" s="1239"/>
      <c r="P102" s="1239"/>
      <c r="Q102" s="638"/>
      <c r="R102" s="638"/>
      <c r="S102" s="484"/>
      <c r="T102" s="638"/>
      <c r="U102" s="638"/>
      <c r="V102" s="638"/>
      <c r="W102" s="638"/>
      <c r="X102" s="638"/>
      <c r="Y102" s="638"/>
      <c r="Z102" s="638"/>
      <c r="AA102" s="638"/>
      <c r="AB102" s="638"/>
      <c r="AC102" s="638"/>
      <c r="AD102" s="638"/>
      <c r="AE102" s="638"/>
      <c r="AF102" s="638"/>
      <c r="AG102" s="446"/>
      <c r="AH102" s="638"/>
      <c r="AI102" s="638"/>
      <c r="AJ102" s="638"/>
      <c r="AK102" s="638"/>
      <c r="AL102" s="638"/>
      <c r="AM102" s="638"/>
      <c r="AN102" s="455"/>
      <c r="AO102" s="1239"/>
      <c r="AP102" s="1239"/>
      <c r="AQ102" s="484">
        <f>+FL_2($T$103,$T$101,$G$102,1200,9.28,-1*$F$103)</f>
        <v>-0.46265517199999995</v>
      </c>
      <c r="AR102" s="484"/>
      <c r="AS102" s="484"/>
      <c r="AT102" s="484"/>
      <c r="AU102" s="638"/>
      <c r="AV102" s="638"/>
      <c r="AW102" s="638"/>
      <c r="AX102" s="638"/>
      <c r="AY102" s="484"/>
      <c r="AZ102" s="484"/>
      <c r="BA102" s="671"/>
      <c r="BB102" s="1239"/>
      <c r="BC102" s="169"/>
      <c r="BD102" s="1330"/>
      <c r="BE102" s="1330"/>
      <c r="BF102" s="1330"/>
      <c r="BG102" s="1330"/>
    </row>
    <row r="103" spans="1:59" ht="15.75" customHeight="1">
      <c r="A103" s="1239"/>
      <c r="B103" s="435" t="s">
        <v>3565</v>
      </c>
      <c r="C103" s="446">
        <f>+$C$101+$G$102</f>
        <v>81802.53</v>
      </c>
      <c r="D103" s="173"/>
      <c r="E103" s="447"/>
      <c r="F103" s="447">
        <v>0</v>
      </c>
      <c r="G103" s="484"/>
      <c r="H103" s="1239"/>
      <c r="I103" s="448"/>
      <c r="J103" s="171"/>
      <c r="K103" s="638"/>
      <c r="L103" s="638" t="s">
        <v>229</v>
      </c>
      <c r="M103" s="638" t="str">
        <f>IF(AX103="PT",VLOOKUP(L103,'Foundation Calculation'!$V$2:$X$40,VLOOKUP(AX103,'Foundation Calculation'!$I$10:$J$13,2,FALSE),0),IF(AX103="K",VLOOKUP(L103,'Foundation Calculation'!$V$42:$X$80,VLOOKUP(AX103,'Foundation Calculation'!$I$10:$J$13,2,FALSE),0),""))</f>
        <v>C3R</v>
      </c>
      <c r="N103" s="1239" t="s">
        <v>143</v>
      </c>
      <c r="O103" s="1239"/>
      <c r="P103" s="1239"/>
      <c r="Q103" s="638"/>
      <c r="R103" s="638"/>
      <c r="S103" s="484"/>
      <c r="T103" s="638">
        <v>-35</v>
      </c>
      <c r="U103" s="638"/>
      <c r="V103" s="638"/>
      <c r="W103" s="638">
        <v>1.4</v>
      </c>
      <c r="X103" s="638"/>
      <c r="Y103" s="638"/>
      <c r="Z103" s="638"/>
      <c r="AA103" s="638"/>
      <c r="AB103" s="638"/>
      <c r="AC103" s="638" t="str">
        <f t="shared" si="0"/>
        <v>PH</v>
      </c>
      <c r="AD103" s="638"/>
      <c r="AE103" s="638"/>
      <c r="AF103" s="638"/>
      <c r="AG103" s="446"/>
      <c r="AH103" s="638"/>
      <c r="AI103" s="638"/>
      <c r="AJ103" s="638"/>
      <c r="AK103" s="638"/>
      <c r="AL103" s="638"/>
      <c r="AM103" s="638" t="s">
        <v>1043</v>
      </c>
      <c r="AN103" s="455">
        <v>5.15</v>
      </c>
      <c r="AO103" s="1239"/>
      <c r="AP103" s="1239"/>
      <c r="AQ103" s="484"/>
      <c r="AR103" s="484"/>
      <c r="AS103" s="484"/>
      <c r="AT103" s="484">
        <f>+ab($T$103,$T$101,$T$105,$G$102,$G$104,-1*$F$103,1200)</f>
        <v>-8.7870630701144865</v>
      </c>
      <c r="AU103" s="638"/>
      <c r="AV103" s="638"/>
      <c r="AW103" s="638" t="str">
        <f>VLOOKUP(C103,'Foundation Calculation'!$A$2:$C$33,3,1)</f>
        <v>Soil B</v>
      </c>
      <c r="AX103" s="638" t="str">
        <f>VLOOKUP(C103,'Foundation Calculation'!$E$2:$G$33,3,1)</f>
        <v>PT</v>
      </c>
      <c r="AY103" s="484">
        <f>IF(AX103="PT",VLOOKUP(L103,'Foundation Calculation'!$K$2:$R$40,VLOOKUP(AW103,'Foundation Calculation'!$I$2:$J$8,2,FALSE),0),IF(AX103="K",VLOOKUP(L103,'Foundation Calculation'!$K$42:$R$80,VLOOKUP(AW103,'Foundation Calculation'!$I$2:$J$8,2,FALSE),0),""))</f>
        <v>3.5</v>
      </c>
      <c r="AZ103" s="484"/>
      <c r="BA103" s="671" t="s">
        <v>2809</v>
      </c>
      <c r="BB103" s="1239" t="str">
        <f>Pole_Calculations!A15</f>
        <v>App.7-V11A-P9.5.1.1</v>
      </c>
      <c r="BC103" s="169"/>
      <c r="BD103" s="1329"/>
      <c r="BE103" s="1329"/>
      <c r="BF103" s="1330"/>
      <c r="BG103" s="1329"/>
    </row>
    <row r="104" spans="1:59" ht="15.75" customHeight="1">
      <c r="A104" s="1239"/>
      <c r="B104" s="173"/>
      <c r="C104" s="446"/>
      <c r="D104" s="173"/>
      <c r="E104" s="447"/>
      <c r="F104" s="447"/>
      <c r="G104" s="484">
        <v>60</v>
      </c>
      <c r="H104" s="638"/>
      <c r="I104" s="448"/>
      <c r="J104" s="171">
        <f>C105-7.5</f>
        <v>81855.03</v>
      </c>
      <c r="K104" s="638" t="s">
        <v>2787</v>
      </c>
      <c r="L104" s="638"/>
      <c r="M104" s="638"/>
      <c r="N104" s="638"/>
      <c r="O104" s="571"/>
      <c r="P104" s="1239"/>
      <c r="Q104" s="638"/>
      <c r="R104" s="638"/>
      <c r="S104" s="484"/>
      <c r="T104" s="638"/>
      <c r="U104" s="638"/>
      <c r="V104" s="638"/>
      <c r="W104" s="638"/>
      <c r="X104" s="638"/>
      <c r="Y104" s="638"/>
      <c r="Z104" s="638"/>
      <c r="AA104" s="638"/>
      <c r="AB104" s="638"/>
      <c r="AC104" s="638"/>
      <c r="AD104" s="638"/>
      <c r="AE104" s="638"/>
      <c r="AF104" s="638"/>
      <c r="AG104" s="446"/>
      <c r="AH104" s="638"/>
      <c r="AI104" s="638"/>
      <c r="AJ104" s="638"/>
      <c r="AK104" s="638"/>
      <c r="AL104" s="638"/>
      <c r="AM104" s="638"/>
      <c r="AN104" s="455"/>
      <c r="AO104" s="1239"/>
      <c r="AP104" s="1239"/>
      <c r="AQ104" s="484">
        <f>+FL_1($T$105,$T$103,$G$104,1200,9.28,-1*$F$105)</f>
        <v>0.43600286799999999</v>
      </c>
      <c r="AR104" s="484"/>
      <c r="AS104" s="484"/>
      <c r="AT104" s="484"/>
      <c r="AU104" s="638"/>
      <c r="AV104" s="638"/>
      <c r="AW104" s="638" t="str">
        <f>VLOOKUP(J104,'Foundation Calculation'!$A$2:$C$33,3,1)</f>
        <v>Soil B</v>
      </c>
      <c r="AX104" s="638" t="str">
        <f>VLOOKUP(J104,'Foundation Calculation'!$E$2:$G$33,3,1)</f>
        <v>PT</v>
      </c>
      <c r="AY104" s="484"/>
      <c r="AZ104" s="484">
        <f>IF(AX104="PT",VLOOKUP(K104,'Foundation Calculation'!$K$2:$R$40,VLOOKUP(AW104,'Foundation Calculation'!$I$2:$J$8,2,FALSE),0),IF(AX104="K",VLOOKUP(K104,'Foundation Calculation'!$K$42:$R$80,VLOOKUP(AW104,'Foundation Calculation'!$I$2:$J$8,2,FALSE),0),""))</f>
        <v>3.9</v>
      </c>
      <c r="BA104" s="671" t="s">
        <v>2809</v>
      </c>
      <c r="BB104" s="1239"/>
      <c r="BC104" s="169"/>
      <c r="BD104" s="1329"/>
      <c r="BE104" s="1330"/>
      <c r="BF104" s="1330"/>
      <c r="BG104" s="1330"/>
    </row>
    <row r="105" spans="1:59" ht="15.75" customHeight="1">
      <c r="A105" s="1239"/>
      <c r="B105" s="435" t="s">
        <v>3566</v>
      </c>
      <c r="C105" s="446">
        <f>+$C$103+$G$104</f>
        <v>81862.53</v>
      </c>
      <c r="D105" s="173"/>
      <c r="E105" s="447"/>
      <c r="F105" s="447">
        <v>0</v>
      </c>
      <c r="G105" s="484"/>
      <c r="H105" s="1239" t="s">
        <v>138</v>
      </c>
      <c r="I105" s="448" t="s">
        <v>623</v>
      </c>
      <c r="J105" s="171"/>
      <c r="K105" s="638"/>
      <c r="L105" s="638" t="s">
        <v>898</v>
      </c>
      <c r="M105" s="638" t="str">
        <f>IF(AX105="PT",VLOOKUP(L105,'Foundation Calculation'!$V$2:$X$40,VLOOKUP(AX105,'Foundation Calculation'!$I$10:$J$13,2,FALSE),0),IF(AX105="K",VLOOKUP(L105,'Foundation Calculation'!$V$42:$X$80,VLOOKUP(AX105,'Foundation Calculation'!$I$10:$J$13,2,FALSE),0),""))</f>
        <v>C4R</v>
      </c>
      <c r="N105" s="1239" t="s">
        <v>144</v>
      </c>
      <c r="O105" s="1239"/>
      <c r="P105" s="1239"/>
      <c r="Q105" s="638"/>
      <c r="R105" s="638"/>
      <c r="S105" s="484"/>
      <c r="T105" s="638">
        <v>35</v>
      </c>
      <c r="U105" s="638"/>
      <c r="V105" s="638"/>
      <c r="W105" s="638">
        <v>1.4</v>
      </c>
      <c r="X105" s="638"/>
      <c r="Y105" s="638"/>
      <c r="Z105" s="638"/>
      <c r="AA105" s="638"/>
      <c r="AB105" s="638"/>
      <c r="AC105" s="638" t="str">
        <f t="shared" si="0"/>
        <v>PH-Q</v>
      </c>
      <c r="AD105" s="638"/>
      <c r="AE105" s="638"/>
      <c r="AF105" s="638"/>
      <c r="AG105" s="446"/>
      <c r="AH105" s="638"/>
      <c r="AI105" s="638"/>
      <c r="AJ105" s="638"/>
      <c r="AK105" s="638"/>
      <c r="AL105" s="638"/>
      <c r="AM105" s="638" t="s">
        <v>1043</v>
      </c>
      <c r="AN105" s="455">
        <v>5.15</v>
      </c>
      <c r="AO105" s="1239"/>
      <c r="AP105" s="1239"/>
      <c r="AQ105" s="484"/>
      <c r="AR105" s="484"/>
      <c r="AS105" s="484"/>
      <c r="AT105" s="484">
        <f>+ab($T$105,$T$103,$U$107,$G$104,$G$106,-1*$F$105,1200)</f>
        <v>7.8901106586011114</v>
      </c>
      <c r="AU105" s="638"/>
      <c r="AV105" s="638"/>
      <c r="AW105" s="638" t="str">
        <f>VLOOKUP(C105,'Foundation Calculation'!$A$2:$C$33,3,1)</f>
        <v>Soil B</v>
      </c>
      <c r="AX105" s="638" t="str">
        <f>VLOOKUP(C105,'Foundation Calculation'!$E$2:$G$33,3,1)</f>
        <v>PT</v>
      </c>
      <c r="AY105" s="484">
        <f>IF(AX105="PT",VLOOKUP(L105,'Foundation Calculation'!$K$2:$R$40,VLOOKUP(AW105,'Foundation Calculation'!$I$2:$J$8,2,FALSE),0),IF(AX105="K",VLOOKUP(L105,'Foundation Calculation'!$K$42:$R$80,VLOOKUP(AW105,'Foundation Calculation'!$I$2:$J$8,2,FALSE),0),""))</f>
        <v>3.5</v>
      </c>
      <c r="AZ105" s="484"/>
      <c r="BA105" s="671" t="s">
        <v>2809</v>
      </c>
      <c r="BB105" s="1239" t="str">
        <f>Pole_Calculations!A20</f>
        <v>App.7-V11A-P9.5.1.6</v>
      </c>
      <c r="BC105" s="169"/>
      <c r="BD105" s="1329"/>
      <c r="BE105" s="1329"/>
      <c r="BF105" s="1330"/>
      <c r="BG105" s="1329"/>
    </row>
    <row r="106" spans="1:59" ht="15.75" customHeight="1">
      <c r="A106" s="1239"/>
      <c r="B106" s="173"/>
      <c r="C106" s="446"/>
      <c r="D106" s="173"/>
      <c r="E106" s="447"/>
      <c r="F106" s="447"/>
      <c r="G106" s="484">
        <v>56</v>
      </c>
      <c r="H106" s="1239"/>
      <c r="I106" s="448"/>
      <c r="J106" s="171"/>
      <c r="K106" s="638"/>
      <c r="L106" s="638"/>
      <c r="M106" s="638"/>
      <c r="N106" s="1239"/>
      <c r="O106" s="1239"/>
      <c r="P106" s="1239"/>
      <c r="Q106" s="638"/>
      <c r="R106" s="638"/>
      <c r="S106" s="484"/>
      <c r="T106" s="638"/>
      <c r="U106" s="638"/>
      <c r="V106" s="638"/>
      <c r="W106" s="638"/>
      <c r="X106" s="638"/>
      <c r="Y106" s="638"/>
      <c r="Z106" s="638"/>
      <c r="AA106" s="638"/>
      <c r="AB106" s="638"/>
      <c r="AC106" s="638"/>
      <c r="AD106" s="638"/>
      <c r="AE106" s="638"/>
      <c r="AF106" s="638"/>
      <c r="AG106" s="446"/>
      <c r="AH106" s="638"/>
      <c r="AI106" s="638"/>
      <c r="AJ106" s="638"/>
      <c r="AK106" s="638"/>
      <c r="AL106" s="638"/>
      <c r="AM106" s="638"/>
      <c r="AN106" s="455"/>
      <c r="AO106" s="1239"/>
      <c r="AP106" s="1239"/>
      <c r="AQ106" s="484">
        <f>+FL_1($U$107,$T$105,$G$106,1200,9.28,-1*$F$107)</f>
        <v>0.40417036800000006</v>
      </c>
      <c r="AR106" s="484"/>
      <c r="AS106" s="484"/>
      <c r="AT106" s="484"/>
      <c r="AU106" s="638"/>
      <c r="AV106" s="638"/>
      <c r="AW106" s="638"/>
      <c r="AX106" s="638"/>
      <c r="AY106" s="484"/>
      <c r="AZ106" s="484"/>
      <c r="BA106" s="671"/>
      <c r="BB106" s="1239"/>
      <c r="BC106" s="169"/>
      <c r="BD106" s="1330"/>
      <c r="BE106" s="1330"/>
      <c r="BF106" s="1330"/>
      <c r="BG106" s="1330"/>
    </row>
    <row r="107" spans="1:59" ht="15.75" customHeight="1">
      <c r="A107" s="1239"/>
      <c r="B107" s="435" t="s">
        <v>3567</v>
      </c>
      <c r="C107" s="446">
        <f>+$C$105+$G$106</f>
        <v>81918.53</v>
      </c>
      <c r="D107" s="173"/>
      <c r="E107" s="447"/>
      <c r="F107" s="447">
        <v>0</v>
      </c>
      <c r="G107" s="484"/>
      <c r="H107" s="1239" t="s">
        <v>619</v>
      </c>
      <c r="I107" s="448"/>
      <c r="J107" s="171"/>
      <c r="K107" s="638"/>
      <c r="L107" s="638" t="s">
        <v>230</v>
      </c>
      <c r="M107" s="638" t="str">
        <f>IF(AX107="PT",VLOOKUP(L107,'Foundation Calculation'!$V$2:$X$40,VLOOKUP(AX107,'Foundation Calculation'!$I$10:$J$13,2,FALSE),0),IF(AX107="K",VLOOKUP(L107,'Foundation Calculation'!$V$42:$X$80,VLOOKUP(AX107,'Foundation Calculation'!$I$10:$J$13,2,FALSE),0),""))</f>
        <v>C4R</v>
      </c>
      <c r="N107" s="1239" t="s">
        <v>140</v>
      </c>
      <c r="O107" s="1239" t="s">
        <v>143</v>
      </c>
      <c r="P107" s="1239"/>
      <c r="Q107" s="638"/>
      <c r="R107" s="638"/>
      <c r="S107" s="484"/>
      <c r="T107" s="638">
        <v>-15</v>
      </c>
      <c r="U107" s="638">
        <v>-35</v>
      </c>
      <c r="V107" s="638"/>
      <c r="W107" s="638">
        <v>1.4</v>
      </c>
      <c r="X107" s="638">
        <v>2.2999999999999998</v>
      </c>
      <c r="Y107" s="638"/>
      <c r="Z107" s="638">
        <v>0.5</v>
      </c>
      <c r="AA107" s="638"/>
      <c r="AB107" s="638"/>
      <c r="AC107" s="638"/>
      <c r="AD107" s="638"/>
      <c r="AE107" s="638"/>
      <c r="AF107" s="638"/>
      <c r="AG107" s="446"/>
      <c r="AH107" s="638"/>
      <c r="AI107" s="638"/>
      <c r="AJ107" s="638"/>
      <c r="AK107" s="638"/>
      <c r="AL107" s="638"/>
      <c r="AM107" s="638" t="s">
        <v>1043</v>
      </c>
      <c r="AN107" s="455">
        <v>5.15</v>
      </c>
      <c r="AO107" s="1239"/>
      <c r="AP107" s="1239"/>
      <c r="AQ107" s="484"/>
      <c r="AR107" s="484"/>
      <c r="AS107" s="484"/>
      <c r="AT107" s="484">
        <f>+ab($U$107,$T$105,$U$109,$G$106,$G$108,-1*$F$107,1200)</f>
        <v>-8.8831469962905913</v>
      </c>
      <c r="AU107" s="638"/>
      <c r="AV107" s="638"/>
      <c r="AW107" s="638" t="str">
        <f>VLOOKUP(C107,'Foundation Calculation'!$A$2:$C$33,3,1)</f>
        <v>Soil B</v>
      </c>
      <c r="AX107" s="638" t="str">
        <f>VLOOKUP(C107,'Foundation Calculation'!$E$2:$G$33,3,1)</f>
        <v>PT</v>
      </c>
      <c r="AY107" s="484">
        <f>IF(AX107="PT",VLOOKUP(L107,'Foundation Calculation'!$K$2:$R$40,VLOOKUP(AW107,'Foundation Calculation'!$I$2:$J$8,2,FALSE),0),IF(AX107="K",VLOOKUP(L107,'Foundation Calculation'!$K$42:$R$80,VLOOKUP(AW107,'Foundation Calculation'!$I$2:$J$8,2,FALSE),0),""))</f>
        <v>3.5</v>
      </c>
      <c r="AZ107" s="484"/>
      <c r="BA107" s="671" t="s">
        <v>2809</v>
      </c>
      <c r="BB107" s="1239" t="str">
        <f>Pole_Calculations!A19</f>
        <v>App.7-V11A-P9.5.1.5</v>
      </c>
      <c r="BC107" s="169"/>
      <c r="BD107" s="1329"/>
      <c r="BE107" s="1329"/>
      <c r="BF107" s="1330"/>
      <c r="BG107" s="1329"/>
    </row>
    <row r="108" spans="1:59" ht="15.75" customHeight="1">
      <c r="A108" s="1239"/>
      <c r="B108" s="173"/>
      <c r="C108" s="446"/>
      <c r="D108" s="173"/>
      <c r="E108" s="447"/>
      <c r="F108" s="447"/>
      <c r="G108" s="484">
        <v>56</v>
      </c>
      <c r="H108" s="1239"/>
      <c r="I108" s="448"/>
      <c r="J108" s="171"/>
      <c r="K108" s="638"/>
      <c r="L108" s="638"/>
      <c r="M108" s="638"/>
      <c r="N108" s="1239"/>
      <c r="O108" s="1239"/>
      <c r="P108" s="1239"/>
      <c r="Q108" s="638"/>
      <c r="R108" s="638"/>
      <c r="S108" s="484"/>
      <c r="T108" s="638"/>
      <c r="U108" s="638"/>
      <c r="V108" s="638"/>
      <c r="W108" s="638"/>
      <c r="X108" s="638"/>
      <c r="Y108" s="638"/>
      <c r="Z108" s="638"/>
      <c r="AA108" s="638"/>
      <c r="AB108" s="638"/>
      <c r="AC108" s="638"/>
      <c r="AD108" s="638"/>
      <c r="AE108" s="638"/>
      <c r="AF108" s="638"/>
      <c r="AG108" s="446"/>
      <c r="AH108" s="638"/>
      <c r="AI108" s="638"/>
      <c r="AJ108" s="638"/>
      <c r="AK108" s="638"/>
      <c r="AL108" s="638"/>
      <c r="AM108" s="638"/>
      <c r="AN108" s="455"/>
      <c r="AO108" s="1239"/>
      <c r="AP108" s="1239"/>
      <c r="AQ108" s="484">
        <f>+FL_1($U$109,$U$107,$G$108,1200,9.28,-1*$F$109)</f>
        <v>0.25468936666666664</v>
      </c>
      <c r="AR108" s="484"/>
      <c r="AS108" s="484"/>
      <c r="AT108" s="484"/>
      <c r="AU108" s="638"/>
      <c r="AV108" s="638"/>
      <c r="AW108" s="638"/>
      <c r="AX108" s="638"/>
      <c r="AY108" s="484"/>
      <c r="AZ108" s="484"/>
      <c r="BA108" s="671"/>
      <c r="BB108" s="1239"/>
      <c r="BC108" s="169"/>
      <c r="BD108" s="1330"/>
      <c r="BE108" s="1330"/>
      <c r="BF108" s="1330"/>
      <c r="BG108" s="1330"/>
    </row>
    <row r="109" spans="1:59" ht="15.75" customHeight="1">
      <c r="A109" s="1239"/>
      <c r="B109" s="435" t="s">
        <v>3568</v>
      </c>
      <c r="C109" s="446">
        <f>+$C$107+$G$108</f>
        <v>81974.53</v>
      </c>
      <c r="D109" s="173"/>
      <c r="E109" s="447"/>
      <c r="F109" s="447">
        <v>0</v>
      </c>
      <c r="G109" s="484"/>
      <c r="H109" s="1239" t="s">
        <v>619</v>
      </c>
      <c r="I109" s="447"/>
      <c r="J109" s="171"/>
      <c r="K109" s="638"/>
      <c r="L109" s="638" t="s">
        <v>230</v>
      </c>
      <c r="M109" s="638" t="str">
        <f>IF(AX109="PT",VLOOKUP(L109,'Foundation Calculation'!$V$2:$X$40,VLOOKUP(AX109,'Foundation Calculation'!$I$10:$J$13,2,FALSE),0),IF(AX109="K",VLOOKUP(L109,'Foundation Calculation'!$V$42:$X$80,VLOOKUP(AX109,'Foundation Calculation'!$I$10:$J$13,2,FALSE),0),""))</f>
        <v>C4R</v>
      </c>
      <c r="N109" s="1239" t="s">
        <v>144</v>
      </c>
      <c r="O109" s="1239" t="s">
        <v>140</v>
      </c>
      <c r="P109" s="1239"/>
      <c r="Q109" s="638"/>
      <c r="R109" s="638"/>
      <c r="S109" s="484"/>
      <c r="T109" s="638">
        <v>35</v>
      </c>
      <c r="U109" s="638">
        <v>15</v>
      </c>
      <c r="V109" s="638"/>
      <c r="W109" s="638">
        <v>1.4</v>
      </c>
      <c r="X109" s="638">
        <v>2.2999999999999998</v>
      </c>
      <c r="Y109" s="638"/>
      <c r="Z109" s="638"/>
      <c r="AA109" s="638">
        <v>0.5</v>
      </c>
      <c r="AB109" s="638"/>
      <c r="AC109" s="638" t="str">
        <f t="shared" si="0"/>
        <v>PH</v>
      </c>
      <c r="AD109" s="638"/>
      <c r="AE109" s="638"/>
      <c r="AF109" s="638"/>
      <c r="AG109" s="446"/>
      <c r="AH109" s="638"/>
      <c r="AI109" s="638"/>
      <c r="AJ109" s="638"/>
      <c r="AK109" s="638"/>
      <c r="AL109" s="638"/>
      <c r="AM109" s="638" t="s">
        <v>1043</v>
      </c>
      <c r="AN109" s="455">
        <v>5.15</v>
      </c>
      <c r="AO109" s="1239"/>
      <c r="AP109" s="1239"/>
      <c r="AQ109" s="484"/>
      <c r="AR109" s="484"/>
      <c r="AS109" s="484"/>
      <c r="AT109" s="484">
        <f>+ab($T$109,$T$107,$T$111,$G$108,$G$110,-1*$F$109,1200)</f>
        <v>8.8831013076179417</v>
      </c>
      <c r="AU109" s="638"/>
      <c r="AV109" s="638"/>
      <c r="AW109" s="638" t="str">
        <f>VLOOKUP(C109,'Foundation Calculation'!$A$2:$C$33,3,1)</f>
        <v>Soil B</v>
      </c>
      <c r="AX109" s="638" t="str">
        <f>VLOOKUP(C109,'Foundation Calculation'!$E$2:$G$33,3,1)</f>
        <v>PT</v>
      </c>
      <c r="AY109" s="484">
        <f>IF(AX109="PT",VLOOKUP(L109,'Foundation Calculation'!$K$2:$R$40,VLOOKUP(AW109,'Foundation Calculation'!$I$2:$J$8,2,FALSE),0),IF(AX109="K",VLOOKUP(L109,'Foundation Calculation'!$K$42:$R$80,VLOOKUP(AW109,'Foundation Calculation'!$I$2:$J$8,2,FALSE),0),""))</f>
        <v>3.5</v>
      </c>
      <c r="AZ109" s="484"/>
      <c r="BA109" s="671" t="s">
        <v>2809</v>
      </c>
      <c r="BB109" s="1239" t="str">
        <f>Pole_Calculations!A19</f>
        <v>App.7-V11A-P9.5.1.5</v>
      </c>
      <c r="BC109" s="169"/>
      <c r="BD109" s="1329"/>
      <c r="BE109" s="1329"/>
      <c r="BF109" s="1330"/>
      <c r="BG109" s="1329"/>
    </row>
    <row r="110" spans="1:59" ht="15.75" customHeight="1">
      <c r="A110" s="1239"/>
      <c r="B110" s="173"/>
      <c r="C110" s="446"/>
      <c r="D110" s="173"/>
      <c r="E110" s="447"/>
      <c r="F110" s="447"/>
      <c r="G110" s="484">
        <v>56</v>
      </c>
      <c r="H110" s="1239"/>
      <c r="I110" s="448"/>
      <c r="J110" s="171"/>
      <c r="K110" s="638"/>
      <c r="L110" s="638"/>
      <c r="M110" s="638"/>
      <c r="N110" s="638"/>
      <c r="O110" s="1239"/>
      <c r="P110" s="1239"/>
      <c r="Q110" s="638"/>
      <c r="R110" s="638"/>
      <c r="S110" s="484"/>
      <c r="T110" s="638"/>
      <c r="U110" s="638"/>
      <c r="V110" s="638"/>
      <c r="W110" s="638"/>
      <c r="X110" s="638"/>
      <c r="Y110" s="638"/>
      <c r="Z110" s="638"/>
      <c r="AA110" s="638"/>
      <c r="AB110" s="638"/>
      <c r="AC110" s="638"/>
      <c r="AD110" s="638"/>
      <c r="AE110" s="638"/>
      <c r="AF110" s="638"/>
      <c r="AG110" s="446"/>
      <c r="AH110" s="638"/>
      <c r="AI110" s="638"/>
      <c r="AJ110" s="638"/>
      <c r="AK110" s="638"/>
      <c r="AL110" s="638"/>
      <c r="AM110" s="638"/>
      <c r="AN110" s="455"/>
      <c r="AO110" s="1239"/>
      <c r="AP110" s="1239"/>
      <c r="AQ110" s="484">
        <f>+FL_1($T$111,$T$109,$G$110,1200,9.28,-1*$F$111)</f>
        <v>0.40417036800000006</v>
      </c>
      <c r="AR110" s="484"/>
      <c r="AS110" s="484"/>
      <c r="AT110" s="484"/>
      <c r="AU110" s="638"/>
      <c r="AV110" s="638"/>
      <c r="AW110" s="638"/>
      <c r="AX110" s="638"/>
      <c r="AY110" s="484"/>
      <c r="AZ110" s="484"/>
      <c r="BA110" s="671"/>
      <c r="BB110" s="1239"/>
      <c r="BC110" s="169"/>
      <c r="BD110" s="1330"/>
      <c r="BE110" s="1330"/>
      <c r="BF110" s="1330"/>
      <c r="BG110" s="1330"/>
    </row>
    <row r="111" spans="1:59" ht="15.75" customHeight="1">
      <c r="A111" s="1239"/>
      <c r="B111" s="435" t="s">
        <v>3569</v>
      </c>
      <c r="C111" s="446">
        <f>+$C$109+$G$110</f>
        <v>82030.53</v>
      </c>
      <c r="D111" s="447"/>
      <c r="E111" s="638"/>
      <c r="F111" s="447">
        <v>0</v>
      </c>
      <c r="G111" s="484"/>
      <c r="H111" s="1239" t="s">
        <v>138</v>
      </c>
      <c r="I111" s="448" t="s">
        <v>623</v>
      </c>
      <c r="J111" s="171"/>
      <c r="K111" s="638"/>
      <c r="L111" s="638" t="s">
        <v>898</v>
      </c>
      <c r="M111" s="638" t="str">
        <f>IF(AX111="PT",VLOOKUP(L111,'Foundation Calculation'!$V$2:$X$40,VLOOKUP(AX111,'Foundation Calculation'!$I$10:$J$13,2,FALSE),0),IF(AX111="K",VLOOKUP(L111,'Foundation Calculation'!$V$42:$X$80,VLOOKUP(AX111,'Foundation Calculation'!$I$10:$J$13,2,FALSE),0),""))</f>
        <v>C4R</v>
      </c>
      <c r="N111" s="1239" t="s">
        <v>143</v>
      </c>
      <c r="O111" s="1239"/>
      <c r="P111" s="1239"/>
      <c r="Q111" s="638"/>
      <c r="R111" s="638"/>
      <c r="S111" s="484"/>
      <c r="T111" s="638">
        <v>-35</v>
      </c>
      <c r="U111" s="638"/>
      <c r="V111" s="638"/>
      <c r="W111" s="638">
        <v>1.4</v>
      </c>
      <c r="X111" s="638"/>
      <c r="Y111" s="638"/>
      <c r="Z111" s="638"/>
      <c r="AA111" s="638"/>
      <c r="AB111" s="638"/>
      <c r="AC111" s="638" t="str">
        <f t="shared" si="0"/>
        <v>PH-Q</v>
      </c>
      <c r="AD111" s="638"/>
      <c r="AE111" s="638"/>
      <c r="AF111" s="638"/>
      <c r="AG111" s="446"/>
      <c r="AH111" s="638"/>
      <c r="AI111" s="638"/>
      <c r="AJ111" s="638"/>
      <c r="AK111" s="638"/>
      <c r="AL111" s="638"/>
      <c r="AM111" s="638" t="s">
        <v>1043</v>
      </c>
      <c r="AN111" s="455">
        <v>5.15</v>
      </c>
      <c r="AO111" s="1239"/>
      <c r="AP111" s="1239"/>
      <c r="AQ111" s="484"/>
      <c r="AR111" s="484"/>
      <c r="AS111" s="484"/>
      <c r="AT111" s="484">
        <f>+ab($T$111,$T$109,$T$113,$G$110,$G$112,-1*$F$111,1200)</f>
        <v>-7.6970119667141104</v>
      </c>
      <c r="AU111" s="638"/>
      <c r="AV111" s="638"/>
      <c r="AW111" s="638" t="str">
        <f>VLOOKUP(C111,'Foundation Calculation'!$A$2:$C$33,3,1)</f>
        <v>Soil A</v>
      </c>
      <c r="AX111" s="638" t="str">
        <f>VLOOKUP(C111,'Foundation Calculation'!$E$2:$G$33,3,1)</f>
        <v>PT</v>
      </c>
      <c r="AY111" s="484">
        <f>IF(AX111="PT",VLOOKUP(L111,'Foundation Calculation'!$K$2:$R$40,VLOOKUP(AW111,'Foundation Calculation'!$I$2:$J$8,2,FALSE),0),IF(AX111="K",VLOOKUP(L111,'Foundation Calculation'!$K$42:$R$80,VLOOKUP(AW111,'Foundation Calculation'!$I$2:$J$8,2,FALSE),0),""))</f>
        <v>3.5</v>
      </c>
      <c r="AZ111" s="484"/>
      <c r="BA111" s="671" t="s">
        <v>2809</v>
      </c>
      <c r="BB111" s="1239" t="str">
        <f>Pole_Calculations!A20</f>
        <v>App.7-V11A-P9.5.1.6</v>
      </c>
      <c r="BC111" s="169"/>
      <c r="BD111" s="1329"/>
      <c r="BE111" s="1329"/>
      <c r="BF111" s="1330"/>
      <c r="BG111" s="1329"/>
    </row>
    <row r="112" spans="1:59" ht="15.75" customHeight="1">
      <c r="A112" s="647" t="s">
        <v>3049</v>
      </c>
      <c r="B112" s="705"/>
      <c r="C112" s="649"/>
      <c r="D112" s="648"/>
      <c r="E112" s="653"/>
      <c r="F112" s="648"/>
      <c r="G112" s="654">
        <v>57</v>
      </c>
      <c r="H112" s="647"/>
      <c r="I112" s="650"/>
      <c r="J112" s="652">
        <f>C111+7.5</f>
        <v>82038.03</v>
      </c>
      <c r="K112" s="653" t="s">
        <v>2787</v>
      </c>
      <c r="L112" s="653"/>
      <c r="M112" s="653"/>
      <c r="N112" s="647"/>
      <c r="O112" s="647"/>
      <c r="P112" s="647"/>
      <c r="Q112" s="653"/>
      <c r="R112" s="653"/>
      <c r="S112" s="654"/>
      <c r="T112" s="653"/>
      <c r="U112" s="653"/>
      <c r="V112" s="653"/>
      <c r="W112" s="653"/>
      <c r="X112" s="653"/>
      <c r="Y112" s="653"/>
      <c r="Z112" s="653"/>
      <c r="AA112" s="653"/>
      <c r="AB112" s="653"/>
      <c r="AC112" s="653"/>
      <c r="AD112" s="653"/>
      <c r="AE112" s="653"/>
      <c r="AF112" s="653"/>
      <c r="AG112" s="649"/>
      <c r="AH112" s="653"/>
      <c r="AI112" s="653"/>
      <c r="AJ112" s="653"/>
      <c r="AK112" s="653"/>
      <c r="AL112" s="653"/>
      <c r="AM112" s="653"/>
      <c r="AN112" s="651"/>
      <c r="AO112" s="647"/>
      <c r="AP112" s="647"/>
      <c r="AQ112" s="654">
        <f>+FL_1($T$113,$T$111,$G$112,1200,9.28,-1*$F$113)</f>
        <v>0.41158010919298244</v>
      </c>
      <c r="AR112" s="654"/>
      <c r="AS112" s="654"/>
      <c r="AT112" s="654"/>
      <c r="AU112" s="653"/>
      <c r="AV112" s="653"/>
      <c r="AW112" s="653" t="str">
        <f>VLOOKUP(J112,'Foundation Calculation'!$A$2:$C$33,3,1)</f>
        <v>Soil A</v>
      </c>
      <c r="AX112" s="653" t="str">
        <f>VLOOKUP(J112,'Foundation Calculation'!$E$2:$G$33,3,1)</f>
        <v>PT</v>
      </c>
      <c r="AY112" s="654"/>
      <c r="AZ112" s="654">
        <f>IF(AX112="PT",VLOOKUP(K112,'Foundation Calculation'!$K$2:$R$40,VLOOKUP(AW112,'Foundation Calculation'!$I$2:$J$8,2,FALSE),0),IF(AX112="K",VLOOKUP(K112,'Foundation Calculation'!$K$42:$R$80,VLOOKUP(AW112,'Foundation Calculation'!$I$2:$J$8,2,FALSE),0),""))</f>
        <v>3.3</v>
      </c>
      <c r="BA112" s="701" t="s">
        <v>2809</v>
      </c>
      <c r="BB112" s="647"/>
      <c r="BC112" s="169"/>
      <c r="BD112" s="1329"/>
      <c r="BE112" s="1330"/>
      <c r="BF112" s="1330"/>
      <c r="BG112" s="1330"/>
    </row>
    <row r="113" spans="1:59" ht="15.75" customHeight="1">
      <c r="A113" s="1239"/>
      <c r="B113" s="435" t="s">
        <v>3570</v>
      </c>
      <c r="C113" s="446">
        <f>+$C$111+$G$112</f>
        <v>82087.53</v>
      </c>
      <c r="D113" s="447"/>
      <c r="E113" s="638"/>
      <c r="F113" s="447">
        <v>0</v>
      </c>
      <c r="G113" s="484"/>
      <c r="H113" s="1239"/>
      <c r="I113" s="448"/>
      <c r="J113" s="171"/>
      <c r="K113" s="638"/>
      <c r="L113" s="638" t="s">
        <v>229</v>
      </c>
      <c r="M113" s="638" t="str">
        <f>IF(AX113="PT",VLOOKUP(L113,'Foundation Calculation'!$V$2:$X$40,VLOOKUP(AX113,'Foundation Calculation'!$I$10:$J$13,2,FALSE),0),IF(AX113="K",VLOOKUP(L113,'Foundation Calculation'!$V$42:$X$80,VLOOKUP(AX113,'Foundation Calculation'!$I$10:$J$13,2,FALSE),0),""))</f>
        <v>C3R</v>
      </c>
      <c r="N113" s="1239" t="s">
        <v>144</v>
      </c>
      <c r="O113" s="1239"/>
      <c r="P113" s="1239"/>
      <c r="Q113" s="638"/>
      <c r="R113" s="638"/>
      <c r="S113" s="484"/>
      <c r="T113" s="638">
        <v>35</v>
      </c>
      <c r="U113" s="638"/>
      <c r="V113" s="638"/>
      <c r="W113" s="638">
        <v>1.2</v>
      </c>
      <c r="X113" s="638"/>
      <c r="Y113" s="638"/>
      <c r="Z113" s="638"/>
      <c r="AA113" s="638"/>
      <c r="AB113" s="638"/>
      <c r="AC113" s="638" t="str">
        <f t="shared" si="0"/>
        <v>PH-Q</v>
      </c>
      <c r="AD113" s="638"/>
      <c r="AE113" s="638"/>
      <c r="AF113" s="638"/>
      <c r="AG113" s="446"/>
      <c r="AH113" s="638"/>
      <c r="AI113" s="638"/>
      <c r="AJ113" s="638"/>
      <c r="AK113" s="638"/>
      <c r="AL113" s="638"/>
      <c r="AM113" s="638" t="s">
        <v>1043</v>
      </c>
      <c r="AN113" s="455">
        <v>5.15</v>
      </c>
      <c r="AO113" s="1239"/>
      <c r="AP113" s="1239"/>
      <c r="AQ113" s="484"/>
      <c r="AR113" s="484"/>
      <c r="AS113" s="484"/>
      <c r="AT113" s="484">
        <f>+ab($T$113,$T$111,$T$115,$G$112,$G$114,-1*$F$113,1200)</f>
        <v>7.8116697168714806</v>
      </c>
      <c r="AU113" s="638"/>
      <c r="AV113" s="638"/>
      <c r="AW113" s="638" t="str">
        <f>VLOOKUP(C113,'Foundation Calculation'!$A$2:$C$33,3,1)</f>
        <v>Soil A</v>
      </c>
      <c r="AX113" s="638" t="str">
        <f>VLOOKUP(C113,'Foundation Calculation'!$E$2:$G$33,3,1)</f>
        <v>PT</v>
      </c>
      <c r="AY113" s="484">
        <f>IF(AX113="PT",VLOOKUP(L113,'Foundation Calculation'!$K$2:$R$40,VLOOKUP(AW113,'Foundation Calculation'!$I$2:$J$8,2,FALSE),0),IF(AX113="K",VLOOKUP(L113,'Foundation Calculation'!$K$42:$R$80,VLOOKUP(AW113,'Foundation Calculation'!$I$2:$J$8,2,FALSE),0),""))</f>
        <v>3.5</v>
      </c>
      <c r="AZ113" s="484"/>
      <c r="BA113" s="671" t="s">
        <v>2809</v>
      </c>
      <c r="BB113" s="1239" t="str">
        <f>Pole_Calculations!A15</f>
        <v>App.7-V11A-P9.5.1.1</v>
      </c>
      <c r="BC113" s="169"/>
      <c r="BD113" s="1329"/>
      <c r="BE113" s="1329"/>
      <c r="BF113" s="1330"/>
      <c r="BG113" s="1329"/>
    </row>
    <row r="114" spans="1:59" ht="15.75" customHeight="1">
      <c r="A114" s="1239"/>
      <c r="B114" s="173"/>
      <c r="C114" s="446"/>
      <c r="D114" s="447"/>
      <c r="E114" s="638"/>
      <c r="F114" s="447"/>
      <c r="G114" s="484">
        <v>57.7</v>
      </c>
      <c r="H114" s="1239"/>
      <c r="I114" s="448"/>
      <c r="J114" s="171"/>
      <c r="K114" s="638"/>
      <c r="L114" s="638"/>
      <c r="M114" s="638"/>
      <c r="N114" s="1239"/>
      <c r="O114" s="1239"/>
      <c r="P114" s="1239"/>
      <c r="Q114" s="638"/>
      <c r="R114" s="638"/>
      <c r="S114" s="484"/>
      <c r="T114" s="638"/>
      <c r="U114" s="638"/>
      <c r="V114" s="638"/>
      <c r="W114" s="638"/>
      <c r="X114" s="638"/>
      <c r="Y114" s="638"/>
      <c r="Z114" s="638"/>
      <c r="AA114" s="638"/>
      <c r="AB114" s="638"/>
      <c r="AC114" s="638"/>
      <c r="AD114" s="638"/>
      <c r="AE114" s="638"/>
      <c r="AF114" s="638"/>
      <c r="AG114" s="446"/>
      <c r="AH114" s="638"/>
      <c r="AI114" s="638"/>
      <c r="AJ114" s="638"/>
      <c r="AK114" s="638"/>
      <c r="AL114" s="638"/>
      <c r="AM114" s="638"/>
      <c r="AN114" s="455"/>
      <c r="AO114" s="1239"/>
      <c r="AP114" s="1239"/>
      <c r="AQ114" s="484">
        <f>+FL_2($T$115,$T$113,$G$114,1200,9.28,-1*$F$115)</f>
        <v>-0.41698989511727325</v>
      </c>
      <c r="AR114" s="484"/>
      <c r="AS114" s="484"/>
      <c r="AT114" s="484"/>
      <c r="AU114" s="638"/>
      <c r="AV114" s="638"/>
      <c r="AW114" s="638"/>
      <c r="AX114" s="638"/>
      <c r="AY114" s="484"/>
      <c r="AZ114" s="484"/>
      <c r="BA114" s="671"/>
      <c r="BB114" s="1239"/>
      <c r="BC114" s="169"/>
      <c r="BD114" s="1330"/>
      <c r="BE114" s="1330"/>
      <c r="BF114" s="1330"/>
      <c r="BG114" s="1330"/>
    </row>
    <row r="115" spans="1:59" ht="15.75" customHeight="1">
      <c r="A115" s="1239"/>
      <c r="B115" s="435" t="s">
        <v>3571</v>
      </c>
      <c r="C115" s="446">
        <f>+$C$113+$G$114</f>
        <v>82145.23</v>
      </c>
      <c r="D115" s="447"/>
      <c r="E115" s="638"/>
      <c r="F115" s="447">
        <v>0</v>
      </c>
      <c r="G115" s="484"/>
      <c r="H115" s="1239"/>
      <c r="I115" s="448"/>
      <c r="J115" s="171"/>
      <c r="K115" s="638"/>
      <c r="L115" s="638" t="s">
        <v>818</v>
      </c>
      <c r="M115" s="638" t="str">
        <f>IF(AX115="PT",VLOOKUP(L115,'Foundation Calculation'!$V$2:$X$40,VLOOKUP(AX115,'Foundation Calculation'!$I$10:$J$13,2,FALSE),0),IF(AX115="K",VLOOKUP(L115,'Foundation Calculation'!$V$42:$X$80,VLOOKUP(AX115,'Foundation Calculation'!$I$10:$J$13,2,FALSE),0),""))</f>
        <v>C4R</v>
      </c>
      <c r="N115" s="1239" t="s">
        <v>143</v>
      </c>
      <c r="O115" s="1239"/>
      <c r="P115" s="1239"/>
      <c r="Q115" s="638"/>
      <c r="R115" s="638"/>
      <c r="S115" s="484"/>
      <c r="T115" s="638">
        <v>-35</v>
      </c>
      <c r="U115" s="638"/>
      <c r="V115" s="638"/>
      <c r="W115" s="638">
        <v>1</v>
      </c>
      <c r="X115" s="638"/>
      <c r="Y115" s="638"/>
      <c r="Z115" s="638"/>
      <c r="AA115" s="638"/>
      <c r="AB115" s="638"/>
      <c r="AC115" s="638" t="str">
        <f t="shared" si="0"/>
        <v>PH</v>
      </c>
      <c r="AD115" s="638"/>
      <c r="AE115" s="638"/>
      <c r="AF115" s="638"/>
      <c r="AG115" s="446"/>
      <c r="AH115" s="638"/>
      <c r="AI115" s="638"/>
      <c r="AJ115" s="638"/>
      <c r="AK115" s="638"/>
      <c r="AL115" s="638"/>
      <c r="AM115" s="638" t="s">
        <v>1043</v>
      </c>
      <c r="AN115" s="455">
        <v>5.15</v>
      </c>
      <c r="AO115" s="1239"/>
      <c r="AP115" s="1239"/>
      <c r="AQ115" s="484"/>
      <c r="AR115" s="484"/>
      <c r="AS115" s="484"/>
      <c r="AT115" s="484">
        <f>+ab($T$115,$T$113,$T$117,$G$114,$G$116,-1*$F$115,1200)</f>
        <v>-8.0106769243027891</v>
      </c>
      <c r="AU115" s="638"/>
      <c r="AV115" s="638"/>
      <c r="AW115" s="638" t="str">
        <f>VLOOKUP(C115,'Foundation Calculation'!$A$2:$C$33,3,1)</f>
        <v>Soil A</v>
      </c>
      <c r="AX115" s="638" t="str">
        <f>VLOOKUP(C115,'Foundation Calculation'!$E$2:$G$33,3,1)</f>
        <v>PT</v>
      </c>
      <c r="AY115" s="484">
        <f>IF(AX115="PT",VLOOKUP(L115,'Foundation Calculation'!$K$2:$R$40,VLOOKUP(AW115,'Foundation Calculation'!$I$2:$J$8,2,FALSE),0),IF(AX115="K",VLOOKUP(L115,'Foundation Calculation'!$K$42:$R$80,VLOOKUP(AW115,'Foundation Calculation'!$I$2:$J$8,2,FALSE),0),""))</f>
        <v>3.5</v>
      </c>
      <c r="AZ115" s="484"/>
      <c r="BA115" s="671" t="s">
        <v>2809</v>
      </c>
      <c r="BB115" s="1239" t="str">
        <f>Pole_Calculations!A15</f>
        <v>App.7-V11A-P9.5.1.1</v>
      </c>
      <c r="BC115" s="169"/>
      <c r="BD115" s="1329"/>
      <c r="BE115" s="1329"/>
      <c r="BF115" s="1330"/>
      <c r="BG115" s="1329"/>
    </row>
    <row r="116" spans="1:59" ht="15.75" customHeight="1">
      <c r="A116" s="488" t="s">
        <v>1851</v>
      </c>
      <c r="B116" s="639"/>
      <c r="C116" s="489"/>
      <c r="D116" s="491"/>
      <c r="E116" s="490"/>
      <c r="F116" s="491"/>
      <c r="G116" s="493">
        <v>60</v>
      </c>
      <c r="H116" s="495"/>
      <c r="I116" s="492"/>
      <c r="J116" s="431"/>
      <c r="K116" s="490"/>
      <c r="L116" s="490"/>
      <c r="M116" s="490"/>
      <c r="N116" s="495"/>
      <c r="O116" s="495"/>
      <c r="P116" s="495"/>
      <c r="Q116" s="490"/>
      <c r="R116" s="490"/>
      <c r="S116" s="493"/>
      <c r="T116" s="490"/>
      <c r="U116" s="490"/>
      <c r="V116" s="490"/>
      <c r="W116" s="490"/>
      <c r="X116" s="490"/>
      <c r="Y116" s="490"/>
      <c r="Z116" s="490"/>
      <c r="AA116" s="490"/>
      <c r="AB116" s="490"/>
      <c r="AC116" s="490"/>
      <c r="AD116" s="490"/>
      <c r="AE116" s="490"/>
      <c r="AF116" s="490"/>
      <c r="AG116" s="489"/>
      <c r="AH116" s="490"/>
      <c r="AI116" s="490"/>
      <c r="AJ116" s="490"/>
      <c r="AK116" s="490"/>
      <c r="AL116" s="490"/>
      <c r="AM116" s="490"/>
      <c r="AN116" s="457"/>
      <c r="AO116" s="495"/>
      <c r="AP116" s="495"/>
      <c r="AQ116" s="493">
        <f>+FL_1($T$117,$T$115,$G$116,1200,9.28,-1*$F$117)</f>
        <v>0.43600286799999999</v>
      </c>
      <c r="AR116" s="493"/>
      <c r="AS116" s="493"/>
      <c r="AT116" s="493"/>
      <c r="AU116" s="490"/>
      <c r="AV116" s="490"/>
      <c r="AW116" s="490"/>
      <c r="AX116" s="490"/>
      <c r="AY116" s="493"/>
      <c r="AZ116" s="493"/>
      <c r="BA116" s="602"/>
      <c r="BB116" s="488"/>
      <c r="BC116" s="169"/>
      <c r="BD116" s="1330"/>
      <c r="BE116" s="1330"/>
      <c r="BF116" s="1330"/>
      <c r="BG116" s="1330"/>
    </row>
    <row r="117" spans="1:59" ht="15.75" customHeight="1">
      <c r="A117" s="1239"/>
      <c r="B117" s="435" t="s">
        <v>3572</v>
      </c>
      <c r="C117" s="446">
        <f>+$C$115+$G$116</f>
        <v>82205.23</v>
      </c>
      <c r="D117" s="447"/>
      <c r="E117" s="638"/>
      <c r="F117" s="447">
        <v>0</v>
      </c>
      <c r="G117" s="484"/>
      <c r="H117" s="1239"/>
      <c r="I117" s="448"/>
      <c r="J117" s="171"/>
      <c r="K117" s="638"/>
      <c r="L117" s="638" t="s">
        <v>229</v>
      </c>
      <c r="M117" s="638" t="str">
        <f>IF(AX117="PT",VLOOKUP(L117,'Foundation Calculation'!$V$2:$X$40,VLOOKUP(AX117,'Foundation Calculation'!$I$10:$J$13,2,FALSE),0),IF(AX117="K",VLOOKUP(L117,'Foundation Calculation'!$V$42:$X$80,VLOOKUP(AX117,'Foundation Calculation'!$I$10:$J$13,2,FALSE),0),""))</f>
        <v>C3R</v>
      </c>
      <c r="N117" s="1239" t="s">
        <v>144</v>
      </c>
      <c r="O117" s="1239"/>
      <c r="P117" s="1239"/>
      <c r="Q117" s="638"/>
      <c r="R117" s="638"/>
      <c r="S117" s="484"/>
      <c r="T117" s="638">
        <v>35</v>
      </c>
      <c r="U117" s="638"/>
      <c r="V117" s="638"/>
      <c r="W117" s="638">
        <v>1</v>
      </c>
      <c r="X117" s="638"/>
      <c r="Y117" s="638"/>
      <c r="Z117" s="638"/>
      <c r="AA117" s="638"/>
      <c r="AB117" s="638"/>
      <c r="AC117" s="638" t="str">
        <f t="shared" si="0"/>
        <v>PH</v>
      </c>
      <c r="AD117" s="638"/>
      <c r="AE117" s="638"/>
      <c r="AF117" s="638"/>
      <c r="AG117" s="446"/>
      <c r="AH117" s="638"/>
      <c r="AI117" s="638"/>
      <c r="AJ117" s="638"/>
      <c r="AK117" s="638"/>
      <c r="AL117" s="638"/>
      <c r="AM117" s="638" t="s">
        <v>1043</v>
      </c>
      <c r="AN117" s="455">
        <v>5.15</v>
      </c>
      <c r="AO117" s="1239"/>
      <c r="AP117" s="1239"/>
      <c r="AQ117" s="484"/>
      <c r="AR117" s="484"/>
      <c r="AS117" s="484"/>
      <c r="AT117" s="484">
        <f>+ab($T$117,$T$115,$T$119,$G$116,$G$118,-1*$F$117,1200)</f>
        <v>8.1681606014296726</v>
      </c>
      <c r="AU117" s="638"/>
      <c r="AV117" s="638"/>
      <c r="AW117" s="638" t="str">
        <f>VLOOKUP(C117,'Foundation Calculation'!$A$2:$C$33,3,1)</f>
        <v>Soil A</v>
      </c>
      <c r="AX117" s="638" t="str">
        <f>VLOOKUP(C117,'Foundation Calculation'!$E$2:$G$33,3,1)</f>
        <v>PT</v>
      </c>
      <c r="AY117" s="484">
        <f>IF(AX117="PT",VLOOKUP(L117,'Foundation Calculation'!$K$2:$R$40,VLOOKUP(AW117,'Foundation Calculation'!$I$2:$J$8,2,FALSE),0),IF(AX117="K",VLOOKUP(L117,'Foundation Calculation'!$K$42:$R$80,VLOOKUP(AW117,'Foundation Calculation'!$I$2:$J$8,2,FALSE),0),""))</f>
        <v>3.5</v>
      </c>
      <c r="AZ117" s="484"/>
      <c r="BA117" s="671" t="s">
        <v>2809</v>
      </c>
      <c r="BB117" s="1239" t="str">
        <f>Pole_Calculations!A15</f>
        <v>App.7-V11A-P9.5.1.1</v>
      </c>
      <c r="BC117" s="169"/>
      <c r="BD117" s="1329"/>
      <c r="BE117" s="1329"/>
      <c r="BF117" s="1330"/>
      <c r="BG117" s="1329"/>
    </row>
    <row r="118" spans="1:59" ht="15.75" customHeight="1">
      <c r="A118" s="1239"/>
      <c r="B118" s="173"/>
      <c r="C118" s="446"/>
      <c r="D118" s="447"/>
      <c r="E118" s="638"/>
      <c r="F118" s="447"/>
      <c r="G118" s="484">
        <v>60</v>
      </c>
      <c r="H118" s="1239"/>
      <c r="I118" s="448"/>
      <c r="J118" s="171"/>
      <c r="K118" s="638"/>
      <c r="L118" s="638"/>
      <c r="M118" s="638"/>
      <c r="N118" s="1239"/>
      <c r="O118" s="1239"/>
      <c r="P118" s="1239"/>
      <c r="Q118" s="638"/>
      <c r="R118" s="638"/>
      <c r="S118" s="484"/>
      <c r="T118" s="638"/>
      <c r="U118" s="638"/>
      <c r="V118" s="638"/>
      <c r="W118" s="638"/>
      <c r="X118" s="638"/>
      <c r="Y118" s="638"/>
      <c r="Z118" s="638"/>
      <c r="AA118" s="638"/>
      <c r="AB118" s="638"/>
      <c r="AC118" s="638"/>
      <c r="AD118" s="638"/>
      <c r="AE118" s="638"/>
      <c r="AF118" s="638"/>
      <c r="AG118" s="446"/>
      <c r="AH118" s="638"/>
      <c r="AI118" s="638"/>
      <c r="AJ118" s="638"/>
      <c r="AK118" s="638"/>
      <c r="AL118" s="638"/>
      <c r="AM118" s="638"/>
      <c r="AN118" s="455"/>
      <c r="AO118" s="1239"/>
      <c r="AP118" s="1239"/>
      <c r="AQ118" s="484">
        <f>+FL_2($T$119,$T$117,$G$118,1200,9.28,-1*$F$119)</f>
        <v>-0.43600286799999999</v>
      </c>
      <c r="AR118" s="484"/>
      <c r="AS118" s="484"/>
      <c r="AT118" s="484"/>
      <c r="AU118" s="638"/>
      <c r="AV118" s="638"/>
      <c r="AW118" s="638"/>
      <c r="AX118" s="638"/>
      <c r="AY118" s="484"/>
      <c r="AZ118" s="484"/>
      <c r="BA118" s="671"/>
      <c r="BB118" s="1239"/>
      <c r="BC118" s="169"/>
      <c r="BD118" s="1330"/>
      <c r="BE118" s="1330"/>
      <c r="BF118" s="1330"/>
      <c r="BG118" s="1330"/>
    </row>
    <row r="119" spans="1:59" ht="15.75" customHeight="1">
      <c r="A119" s="1239"/>
      <c r="B119" s="435" t="s">
        <v>3573</v>
      </c>
      <c r="C119" s="446">
        <f>+$C$117+$G$118</f>
        <v>82265.23</v>
      </c>
      <c r="D119" s="447"/>
      <c r="E119" s="638"/>
      <c r="F119" s="447">
        <v>0</v>
      </c>
      <c r="G119" s="484"/>
      <c r="H119" s="1239"/>
      <c r="I119" s="448"/>
      <c r="J119" s="171"/>
      <c r="K119" s="638"/>
      <c r="L119" s="638" t="s">
        <v>229</v>
      </c>
      <c r="M119" s="638" t="str">
        <f>IF(AX119="PT",VLOOKUP(L119,'Foundation Calculation'!$V$2:$X$40,VLOOKUP(AX119,'Foundation Calculation'!$I$10:$J$13,2,FALSE),0),IF(AX119="K",VLOOKUP(L119,'Foundation Calculation'!$V$42:$X$80,VLOOKUP(AX119,'Foundation Calculation'!$I$10:$J$13,2,FALSE),0),""))</f>
        <v>C3R</v>
      </c>
      <c r="N119" s="1239" t="s">
        <v>143</v>
      </c>
      <c r="O119" s="1239"/>
      <c r="P119" s="1239"/>
      <c r="Q119" s="638"/>
      <c r="R119" s="638"/>
      <c r="S119" s="484"/>
      <c r="T119" s="638">
        <v>-35</v>
      </c>
      <c r="U119" s="638"/>
      <c r="V119" s="638"/>
      <c r="W119" s="638">
        <v>1.2</v>
      </c>
      <c r="X119" s="638"/>
      <c r="Y119" s="638"/>
      <c r="Z119" s="638"/>
      <c r="AA119" s="638"/>
      <c r="AB119" s="638"/>
      <c r="AC119" s="638" t="str">
        <f t="shared" si="0"/>
        <v>PH</v>
      </c>
      <c r="AD119" s="638"/>
      <c r="AE119" s="638"/>
      <c r="AF119" s="638"/>
      <c r="AG119" s="446"/>
      <c r="AH119" s="638"/>
      <c r="AI119" s="638"/>
      <c r="AJ119" s="638"/>
      <c r="AK119" s="638"/>
      <c r="AL119" s="638"/>
      <c r="AM119" s="638" t="s">
        <v>1043</v>
      </c>
      <c r="AN119" s="455">
        <v>5.23</v>
      </c>
      <c r="AO119" s="1239"/>
      <c r="AP119" s="1239"/>
      <c r="AQ119" s="484"/>
      <c r="AR119" s="484"/>
      <c r="AS119" s="484"/>
      <c r="AT119" s="484">
        <f>+ab($T$119,$T$117,$T$121,$G$118,$G$120,-1*$F$119,1200)</f>
        <v>-8.1682020423530854</v>
      </c>
      <c r="AU119" s="638"/>
      <c r="AV119" s="638"/>
      <c r="AW119" s="638" t="str">
        <f>VLOOKUP(C119,'Foundation Calculation'!$A$2:$C$33,3,1)</f>
        <v>Soil A</v>
      </c>
      <c r="AX119" s="638" t="str">
        <f>VLOOKUP(C119,'Foundation Calculation'!$E$2:$G$33,3,1)</f>
        <v>PT</v>
      </c>
      <c r="AY119" s="484">
        <f>IF(AX119="PT",VLOOKUP(L119,'Foundation Calculation'!$K$2:$R$40,VLOOKUP(AW119,'Foundation Calculation'!$I$2:$J$8,2,FALSE),0),IF(AX119="K",VLOOKUP(L119,'Foundation Calculation'!$K$42:$R$80,VLOOKUP(AW119,'Foundation Calculation'!$I$2:$J$8,2,FALSE),0),""))</f>
        <v>3.5</v>
      </c>
      <c r="AZ119" s="484"/>
      <c r="BA119" s="671" t="s">
        <v>2809</v>
      </c>
      <c r="BB119" s="1239" t="str">
        <f>Pole_Calculations!A15</f>
        <v>App.7-V11A-P9.5.1.1</v>
      </c>
      <c r="BC119" s="169"/>
      <c r="BD119" s="1329"/>
      <c r="BE119" s="1329"/>
      <c r="BF119" s="1330"/>
      <c r="BG119" s="1329"/>
    </row>
    <row r="120" spans="1:59" ht="15.75" customHeight="1">
      <c r="A120" s="1239"/>
      <c r="B120" s="173"/>
      <c r="C120" s="446"/>
      <c r="D120" s="447"/>
      <c r="E120" s="638"/>
      <c r="F120" s="447"/>
      <c r="G120" s="484">
        <v>60</v>
      </c>
      <c r="H120" s="1239"/>
      <c r="I120" s="448"/>
      <c r="J120" s="171">
        <f>C121-7.5</f>
        <v>82317.73</v>
      </c>
      <c r="K120" s="638" t="s">
        <v>2788</v>
      </c>
      <c r="L120" s="638"/>
      <c r="M120" s="638"/>
      <c r="N120" s="1239"/>
      <c r="O120" s="1239"/>
      <c r="P120" s="1239"/>
      <c r="Q120" s="638"/>
      <c r="R120" s="638"/>
      <c r="S120" s="484"/>
      <c r="T120" s="638"/>
      <c r="U120" s="638"/>
      <c r="V120" s="638"/>
      <c r="W120" s="638"/>
      <c r="X120" s="638"/>
      <c r="Y120" s="638"/>
      <c r="Z120" s="638"/>
      <c r="AA120" s="638"/>
      <c r="AB120" s="638"/>
      <c r="AC120" s="638"/>
      <c r="AD120" s="638"/>
      <c r="AE120" s="638"/>
      <c r="AF120" s="638"/>
      <c r="AG120" s="446"/>
      <c r="AH120" s="638"/>
      <c r="AI120" s="638"/>
      <c r="AJ120" s="638"/>
      <c r="AK120" s="638"/>
      <c r="AL120" s="638"/>
      <c r="AM120" s="638"/>
      <c r="AN120" s="455"/>
      <c r="AO120" s="1239"/>
      <c r="AP120" s="1239"/>
      <c r="AQ120" s="484">
        <f>+FL_1($T$121,$T$119,$G$120,1200,9.28,-1*$F$121)</f>
        <v>0.43600286799999999</v>
      </c>
      <c r="AR120" s="484"/>
      <c r="AS120" s="484"/>
      <c r="AT120" s="484"/>
      <c r="AU120" s="638"/>
      <c r="AV120" s="638"/>
      <c r="AW120" s="638" t="str">
        <f>VLOOKUP(J120,'Foundation Calculation'!$A$2:$C$33,3,1)</f>
        <v>Soil A</v>
      </c>
      <c r="AX120" s="638" t="str">
        <f>VLOOKUP(J120,'Foundation Calculation'!$E$2:$G$33,3,1)</f>
        <v>PT</v>
      </c>
      <c r="AY120" s="484"/>
      <c r="AZ120" s="484">
        <f>IF(AX120="PT",VLOOKUP(K120,'Foundation Calculation'!$K$2:$R$40,VLOOKUP(AW120,'Foundation Calculation'!$I$2:$J$8,2,FALSE),0),IF(AX120="K",VLOOKUP(K120,'Foundation Calculation'!$K$42:$R$80,VLOOKUP(AW120,'Foundation Calculation'!$I$2:$J$8,2,FALSE),0),""))</f>
        <v>2.8</v>
      </c>
      <c r="BA120" s="671" t="s">
        <v>2809</v>
      </c>
      <c r="BB120" s="1239"/>
      <c r="BC120" s="169"/>
      <c r="BD120" s="1329"/>
      <c r="BE120" s="1330"/>
      <c r="BF120" s="1330"/>
      <c r="BG120" s="1330"/>
    </row>
    <row r="121" spans="1:59" ht="15.75" customHeight="1">
      <c r="A121" s="1239"/>
      <c r="B121" s="435" t="s">
        <v>3574</v>
      </c>
      <c r="C121" s="446">
        <f>+$C$119+$G$120</f>
        <v>82325.23</v>
      </c>
      <c r="D121" s="447"/>
      <c r="E121" s="638"/>
      <c r="F121" s="447">
        <v>0</v>
      </c>
      <c r="G121" s="484"/>
      <c r="H121" s="1239" t="s">
        <v>873</v>
      </c>
      <c r="I121" s="448"/>
      <c r="J121" s="171"/>
      <c r="K121" s="638"/>
      <c r="L121" s="638" t="s">
        <v>230</v>
      </c>
      <c r="M121" s="638" t="str">
        <f>IF(AX121="PT",VLOOKUP(L121,'Foundation Calculation'!$V$2:$X$40,VLOOKUP(AX121,'Foundation Calculation'!$I$10:$J$13,2,FALSE),0),IF(AX121="K",VLOOKUP(L121,'Foundation Calculation'!$V$42:$X$80,VLOOKUP(AX121,'Foundation Calculation'!$I$10:$J$13,2,FALSE),0),""))</f>
        <v>C4R</v>
      </c>
      <c r="N121" s="1239" t="s">
        <v>144</v>
      </c>
      <c r="O121" s="1239"/>
      <c r="P121" s="1239"/>
      <c r="Q121" s="638"/>
      <c r="R121" s="638"/>
      <c r="S121" s="484"/>
      <c r="T121" s="638">
        <v>35</v>
      </c>
      <c r="U121" s="638"/>
      <c r="V121" s="638"/>
      <c r="W121" s="638">
        <v>1.4</v>
      </c>
      <c r="X121" s="638"/>
      <c r="Y121" s="638"/>
      <c r="Z121" s="638"/>
      <c r="AA121" s="638"/>
      <c r="AB121" s="638"/>
      <c r="AC121" s="638" t="str">
        <f t="shared" si="0"/>
        <v>PH</v>
      </c>
      <c r="AD121" s="638"/>
      <c r="AE121" s="638"/>
      <c r="AF121" s="638"/>
      <c r="AG121" s="446"/>
      <c r="AH121" s="638"/>
      <c r="AI121" s="638"/>
      <c r="AJ121" s="638"/>
      <c r="AK121" s="638"/>
      <c r="AL121" s="638"/>
      <c r="AM121" s="638" t="s">
        <v>1043</v>
      </c>
      <c r="AN121" s="455">
        <v>5.33</v>
      </c>
      <c r="AO121" s="1239"/>
      <c r="AP121" s="1239"/>
      <c r="AQ121" s="484"/>
      <c r="AR121" s="484"/>
      <c r="AS121" s="484"/>
      <c r="AT121" s="484">
        <f>+ab($T$121,$T$119,$T$123,$G$120,$G$122,-1*$F$121,1200)</f>
        <v>8.4663762783987284</v>
      </c>
      <c r="AU121" s="638"/>
      <c r="AV121" s="638"/>
      <c r="AW121" s="638" t="str">
        <f>VLOOKUP(C121,'Foundation Calculation'!$A$2:$C$33,3,1)</f>
        <v>Soil A</v>
      </c>
      <c r="AX121" s="638" t="str">
        <f>VLOOKUP(C121,'Foundation Calculation'!$E$2:$G$33,3,1)</f>
        <v>PT</v>
      </c>
      <c r="AY121" s="484">
        <f>IF(AX121="PT",VLOOKUP(L121,'Foundation Calculation'!$K$2:$R$40,VLOOKUP(AW121,'Foundation Calculation'!$I$2:$J$8,2,FALSE),0),IF(AX121="K",VLOOKUP(L121,'Foundation Calculation'!$K$42:$R$80,VLOOKUP(AW121,'Foundation Calculation'!$I$2:$J$8,2,FALSE),0),""))</f>
        <v>3.5</v>
      </c>
      <c r="AZ121" s="484"/>
      <c r="BA121" s="671" t="s">
        <v>2809</v>
      </c>
      <c r="BB121" s="1239" t="str">
        <f>Pole_Calculations!A17</f>
        <v>App.7-V11A-P9.5.1.3</v>
      </c>
      <c r="BC121" s="169"/>
      <c r="BD121" s="1329"/>
      <c r="BE121" s="1329"/>
      <c r="BF121" s="1330"/>
      <c r="BG121" s="1329"/>
    </row>
    <row r="122" spans="1:59" ht="15.75" customHeight="1">
      <c r="A122" s="1239"/>
      <c r="B122" s="173"/>
      <c r="C122" s="446"/>
      <c r="D122" s="447"/>
      <c r="E122" s="638"/>
      <c r="F122" s="447"/>
      <c r="G122" s="484">
        <v>60</v>
      </c>
      <c r="H122" s="1239"/>
      <c r="I122" s="448">
        <f>C123-C105</f>
        <v>522.69999999999709</v>
      </c>
      <c r="J122" s="171"/>
      <c r="K122" s="638"/>
      <c r="L122" s="638"/>
      <c r="M122" s="638"/>
      <c r="N122" s="1239"/>
      <c r="O122" s="1239"/>
      <c r="P122" s="1239"/>
      <c r="Q122" s="638"/>
      <c r="R122" s="638"/>
      <c r="S122" s="484"/>
      <c r="T122" s="638"/>
      <c r="U122" s="638"/>
      <c r="V122" s="638"/>
      <c r="W122" s="638"/>
      <c r="X122" s="638"/>
      <c r="Y122" s="638"/>
      <c r="Z122" s="638"/>
      <c r="AA122" s="638"/>
      <c r="AB122" s="638"/>
      <c r="AC122" s="638"/>
      <c r="AD122" s="638"/>
      <c r="AE122" s="638"/>
      <c r="AF122" s="638"/>
      <c r="AG122" s="446"/>
      <c r="AH122" s="638"/>
      <c r="AI122" s="638"/>
      <c r="AJ122" s="638"/>
      <c r="AK122" s="638"/>
      <c r="AL122" s="638"/>
      <c r="AM122" s="638"/>
      <c r="AN122" s="455"/>
      <c r="AO122" s="1239"/>
      <c r="AP122" s="1239"/>
      <c r="AQ122" s="484">
        <f>+FL_2($T$123,$T$121,$G$122,1200,9.28,-1*$F$123)</f>
        <v>-0.40375352266866016</v>
      </c>
      <c r="AR122" s="484"/>
      <c r="AS122" s="484"/>
      <c r="AT122" s="484"/>
      <c r="AU122" s="638"/>
      <c r="AV122" s="638"/>
      <c r="AW122" s="638"/>
      <c r="AX122" s="638"/>
      <c r="AY122" s="484"/>
      <c r="AZ122" s="484"/>
      <c r="BA122" s="671"/>
      <c r="BB122" s="1239"/>
      <c r="BC122" s="169"/>
      <c r="BD122" s="1330"/>
      <c r="BE122" s="1330"/>
      <c r="BF122" s="1330"/>
      <c r="BG122" s="1330"/>
    </row>
    <row r="123" spans="1:59" ht="15.75" customHeight="1">
      <c r="A123" s="1239"/>
      <c r="B123" s="435" t="s">
        <v>3575</v>
      </c>
      <c r="C123" s="446">
        <f>+$C$121+$G$122</f>
        <v>82385.23</v>
      </c>
      <c r="D123" s="447"/>
      <c r="E123" s="638"/>
      <c r="F123" s="448">
        <f>(346^2)/(82383.58-C123)</f>
        <v>-72555.151515407473</v>
      </c>
      <c r="G123" s="484"/>
      <c r="H123" s="1239" t="s">
        <v>874</v>
      </c>
      <c r="I123" s="448"/>
      <c r="J123" s="171"/>
      <c r="K123" s="638"/>
      <c r="L123" s="638" t="s">
        <v>229</v>
      </c>
      <c r="M123" s="638" t="str">
        <f>IF(AX123="PT",VLOOKUP(L123,'Foundation Calculation'!$V$2:$X$40,VLOOKUP(AX123,'Foundation Calculation'!$I$10:$J$13,2,FALSE),0),IF(AX123="K",VLOOKUP(L123,'Foundation Calculation'!$V$42:$X$80,VLOOKUP(AX123,'Foundation Calculation'!$I$10:$J$13,2,FALSE),0),""))</f>
        <v>C3R</v>
      </c>
      <c r="N123" s="1239" t="s">
        <v>143</v>
      </c>
      <c r="O123" s="1239"/>
      <c r="P123" s="1239"/>
      <c r="Q123" s="638"/>
      <c r="R123" s="638"/>
      <c r="S123" s="484"/>
      <c r="T123" s="638">
        <v>-30</v>
      </c>
      <c r="U123" s="638"/>
      <c r="V123" s="638"/>
      <c r="W123" s="638">
        <v>1.4</v>
      </c>
      <c r="X123" s="638"/>
      <c r="Y123" s="638"/>
      <c r="Z123" s="638"/>
      <c r="AA123" s="638"/>
      <c r="AB123" s="638"/>
      <c r="AC123" s="638" t="str">
        <f t="shared" si="0"/>
        <v>PH</v>
      </c>
      <c r="AD123" s="638"/>
      <c r="AE123" s="638"/>
      <c r="AF123" s="638"/>
      <c r="AG123" s="446"/>
      <c r="AH123" s="638"/>
      <c r="AI123" s="638"/>
      <c r="AJ123" s="638"/>
      <c r="AK123" s="638"/>
      <c r="AL123" s="638"/>
      <c r="AM123" s="638" t="s">
        <v>1043</v>
      </c>
      <c r="AN123" s="455">
        <v>5.42</v>
      </c>
      <c r="AO123" s="1239"/>
      <c r="AP123" s="1239"/>
      <c r="AQ123" s="484"/>
      <c r="AR123" s="484"/>
      <c r="AS123" s="484"/>
      <c r="AT123" s="484">
        <f>+ab($T$123,$T$121,$T$125,$G$122,$G$124,-1*$F$123,1200)</f>
        <v>-10.349192685894236</v>
      </c>
      <c r="AU123" s="638"/>
      <c r="AV123" s="638"/>
      <c r="AW123" s="638" t="str">
        <f>VLOOKUP(C123,'Foundation Calculation'!$A$2:$C$33,3,1)</f>
        <v>Soil A</v>
      </c>
      <c r="AX123" s="638" t="str">
        <f>VLOOKUP(C123,'Foundation Calculation'!$E$2:$G$33,3,1)</f>
        <v>PT</v>
      </c>
      <c r="AY123" s="484">
        <f>IF(AX123="PT",VLOOKUP(L123,'Foundation Calculation'!$K$2:$R$40,VLOOKUP(AW123,'Foundation Calculation'!$I$2:$J$8,2,FALSE),0),IF(AX123="K",VLOOKUP(L123,'Foundation Calculation'!$K$42:$R$80,VLOOKUP(AW123,'Foundation Calculation'!$I$2:$J$8,2,FALSE),0),""))</f>
        <v>3.5</v>
      </c>
      <c r="AZ123" s="484"/>
      <c r="BA123" s="671" t="s">
        <v>2809</v>
      </c>
      <c r="BB123" s="1239" t="str">
        <f>Pole_Calculations!A16</f>
        <v>App.7-V11A-P9.5.1.2</v>
      </c>
      <c r="BC123" s="169"/>
      <c r="BD123" s="1329"/>
      <c r="BE123" s="1329"/>
      <c r="BF123" s="1330"/>
      <c r="BG123" s="1329"/>
    </row>
    <row r="124" spans="1:59" ht="15.75" customHeight="1">
      <c r="A124" s="1239"/>
      <c r="B124" s="173"/>
      <c r="C124" s="446"/>
      <c r="D124" s="447"/>
      <c r="E124" s="638"/>
      <c r="F124" s="447"/>
      <c r="G124" s="484">
        <v>60</v>
      </c>
      <c r="H124" s="1239"/>
      <c r="I124" s="448">
        <v>599</v>
      </c>
      <c r="J124" s="171"/>
      <c r="K124" s="638"/>
      <c r="L124" s="638"/>
      <c r="M124" s="638"/>
      <c r="N124" s="1239"/>
      <c r="O124" s="1239"/>
      <c r="P124" s="1239"/>
      <c r="Q124" s="638"/>
      <c r="R124" s="638"/>
      <c r="S124" s="484"/>
      <c r="T124" s="638"/>
      <c r="U124" s="638"/>
      <c r="V124" s="638"/>
      <c r="W124" s="638"/>
      <c r="X124" s="638"/>
      <c r="Y124" s="638"/>
      <c r="Z124" s="638"/>
      <c r="AA124" s="638"/>
      <c r="AB124" s="638"/>
      <c r="AC124" s="638"/>
      <c r="AD124" s="638"/>
      <c r="AE124" s="638"/>
      <c r="AF124" s="638"/>
      <c r="AG124" s="446"/>
      <c r="AH124" s="638"/>
      <c r="AI124" s="638"/>
      <c r="AJ124" s="638"/>
      <c r="AK124" s="638"/>
      <c r="AL124" s="638"/>
      <c r="AM124" s="638"/>
      <c r="AN124" s="455"/>
      <c r="AO124" s="1239"/>
      <c r="AP124" s="1239"/>
      <c r="AQ124" s="484">
        <f>+FL_2($T$125,$T$123,$G$124,1200,9.28,-1*$F$125)</f>
        <v>-0.5793787945311919</v>
      </c>
      <c r="AR124" s="484"/>
      <c r="AS124" s="484"/>
      <c r="AT124" s="484"/>
      <c r="AU124" s="638"/>
      <c r="AV124" s="638"/>
      <c r="AW124" s="638"/>
      <c r="AX124" s="638"/>
      <c r="AY124" s="484"/>
      <c r="AZ124" s="484"/>
      <c r="BA124" s="671"/>
      <c r="BB124" s="1239"/>
      <c r="BC124" s="169"/>
      <c r="BD124" s="1330"/>
      <c r="BE124" s="1330"/>
      <c r="BF124" s="1330"/>
      <c r="BG124" s="1330"/>
    </row>
    <row r="125" spans="1:59" ht="15.75" customHeight="1">
      <c r="A125" s="1239"/>
      <c r="B125" s="435" t="s">
        <v>3576</v>
      </c>
      <c r="C125" s="446">
        <f>+$C$123+$G$124</f>
        <v>82445.23</v>
      </c>
      <c r="D125" s="447"/>
      <c r="E125" s="638"/>
      <c r="F125" s="447">
        <v>-3000</v>
      </c>
      <c r="G125" s="484"/>
      <c r="H125" s="1239" t="s">
        <v>873</v>
      </c>
      <c r="I125" s="448"/>
      <c r="J125" s="171"/>
      <c r="K125" s="638"/>
      <c r="L125" s="638" t="s">
        <v>230</v>
      </c>
      <c r="M125" s="638" t="str">
        <f>IF(AX125="PT",VLOOKUP(L125,'Foundation Calculation'!$V$2:$X$40,VLOOKUP(AX125,'Foundation Calculation'!$I$10:$J$13,2,FALSE),0),IF(AX125="K",VLOOKUP(L125,'Foundation Calculation'!$V$42:$X$80,VLOOKUP(AX125,'Foundation Calculation'!$I$10:$J$13,2,FALSE),0),""))</f>
        <v>C4R</v>
      </c>
      <c r="N125" s="1239" t="s">
        <v>144</v>
      </c>
      <c r="O125" s="1239"/>
      <c r="P125" s="1239"/>
      <c r="Q125" s="638"/>
      <c r="R125" s="638"/>
      <c r="S125" s="484"/>
      <c r="T125" s="638">
        <v>20</v>
      </c>
      <c r="U125" s="638"/>
      <c r="V125" s="638"/>
      <c r="W125" s="638">
        <v>1.4</v>
      </c>
      <c r="X125" s="638"/>
      <c r="Y125" s="638"/>
      <c r="Z125" s="638"/>
      <c r="AA125" s="638"/>
      <c r="AB125" s="638"/>
      <c r="AC125" s="638" t="str">
        <f t="shared" si="0"/>
        <v>PH-Q</v>
      </c>
      <c r="AD125" s="638"/>
      <c r="AE125" s="638"/>
      <c r="AF125" s="638"/>
      <c r="AG125" s="446"/>
      <c r="AH125" s="638"/>
      <c r="AI125" s="638"/>
      <c r="AJ125" s="638"/>
      <c r="AK125" s="638"/>
      <c r="AL125" s="638"/>
      <c r="AM125" s="638" t="s">
        <v>1043</v>
      </c>
      <c r="AN125" s="455">
        <v>5.5</v>
      </c>
      <c r="AO125" s="1239"/>
      <c r="AP125" s="1239"/>
      <c r="AQ125" s="484"/>
      <c r="AR125" s="484"/>
      <c r="AS125" s="484"/>
      <c r="AT125" s="484">
        <f>+ab($T$125,$T$123,$T$127,$G$124,$G$126,-1*$F$125,1200)</f>
        <v>5.2189543079995184</v>
      </c>
      <c r="AU125" s="638"/>
      <c r="AV125" s="638"/>
      <c r="AW125" s="638" t="str">
        <f>VLOOKUP(C125,'Foundation Calculation'!$A$2:$C$33,3,1)</f>
        <v>Soil A</v>
      </c>
      <c r="AX125" s="638" t="str">
        <f>VLOOKUP(C125,'Foundation Calculation'!$E$2:$G$33,3,1)</f>
        <v>PT</v>
      </c>
      <c r="AY125" s="484">
        <f>IF(AX125="PT",VLOOKUP(L125,'Foundation Calculation'!$K$2:$R$40,VLOOKUP(AW125,'Foundation Calculation'!$I$2:$J$8,2,FALSE),0),IF(AX125="K",VLOOKUP(L125,'Foundation Calculation'!$K$42:$R$80,VLOOKUP(AW125,'Foundation Calculation'!$I$2:$J$8,2,FALSE),0),""))</f>
        <v>3.5</v>
      </c>
      <c r="AZ125" s="484"/>
      <c r="BA125" s="671" t="s">
        <v>2809</v>
      </c>
      <c r="BB125" s="1239" t="str">
        <f>Pole_Calculations!A17</f>
        <v>App.7-V11A-P9.5.1.3</v>
      </c>
      <c r="BC125" s="169"/>
      <c r="BD125" s="1329"/>
      <c r="BE125" s="1329"/>
      <c r="BF125" s="1330"/>
      <c r="BG125" s="1329"/>
    </row>
    <row r="126" spans="1:59" ht="15.75" customHeight="1">
      <c r="A126" s="1239"/>
      <c r="B126" s="173"/>
      <c r="C126" s="446"/>
      <c r="D126" s="447"/>
      <c r="E126" s="638"/>
      <c r="F126" s="447"/>
      <c r="G126" s="484">
        <v>60</v>
      </c>
      <c r="H126" s="1239"/>
      <c r="I126" s="448"/>
      <c r="J126" s="171">
        <f>C125+7.5</f>
        <v>82452.73</v>
      </c>
      <c r="K126" s="638" t="s">
        <v>2788</v>
      </c>
      <c r="L126" s="638"/>
      <c r="M126" s="638"/>
      <c r="N126" s="1239"/>
      <c r="O126" s="1239"/>
      <c r="P126" s="1239"/>
      <c r="Q126" s="638"/>
      <c r="R126" s="638"/>
      <c r="S126" s="484"/>
      <c r="T126" s="638"/>
      <c r="U126" s="638"/>
      <c r="V126" s="638"/>
      <c r="W126" s="638"/>
      <c r="X126" s="638"/>
      <c r="Y126" s="638"/>
      <c r="Z126" s="638"/>
      <c r="AA126" s="638"/>
      <c r="AB126" s="638"/>
      <c r="AC126" s="638"/>
      <c r="AD126" s="638"/>
      <c r="AE126" s="638"/>
      <c r="AF126" s="638"/>
      <c r="AG126" s="446"/>
      <c r="AH126" s="638"/>
      <c r="AI126" s="638"/>
      <c r="AJ126" s="638"/>
      <c r="AK126" s="638"/>
      <c r="AL126" s="638"/>
      <c r="AM126" s="638"/>
      <c r="AN126" s="455"/>
      <c r="AO126" s="1239"/>
      <c r="AP126" s="1239"/>
      <c r="AQ126" s="484">
        <f>+FL_2($T$127,$T$125,$G$126,1200,9.28,-1*$F$127)</f>
        <v>-0.4428994186666666</v>
      </c>
      <c r="AR126" s="484"/>
      <c r="AS126" s="484"/>
      <c r="AT126" s="484"/>
      <c r="AU126" s="638"/>
      <c r="AV126" s="638"/>
      <c r="AW126" s="638" t="str">
        <f>VLOOKUP(J126,'Foundation Calculation'!$A$2:$C$33,3,1)</f>
        <v>Soil A</v>
      </c>
      <c r="AX126" s="638" t="str">
        <f>VLOOKUP(J126,'Foundation Calculation'!$E$2:$G$33,3,1)</f>
        <v>PT</v>
      </c>
      <c r="AY126" s="484"/>
      <c r="AZ126" s="484">
        <f>IF(AX126="PT",VLOOKUP(K126,'Foundation Calculation'!$K$2:$R$40,VLOOKUP(AW126,'Foundation Calculation'!$I$2:$J$8,2,FALSE),0),IF(AX126="K",VLOOKUP(K126,'Foundation Calculation'!$K$42:$R$80,VLOOKUP(AW126,'Foundation Calculation'!$I$2:$J$8,2,FALSE),0),""))</f>
        <v>2.8</v>
      </c>
      <c r="BA126" s="671" t="s">
        <v>2809</v>
      </c>
      <c r="BB126" s="1239"/>
      <c r="BC126" s="169"/>
      <c r="BD126" s="1329"/>
      <c r="BE126" s="1330"/>
      <c r="BF126" s="1330"/>
      <c r="BG126" s="1330"/>
    </row>
    <row r="127" spans="1:59" ht="15.75" customHeight="1">
      <c r="A127" s="501"/>
      <c r="B127" s="716" t="str">
        <f>'HR Track 4 HER'!B6</f>
        <v>82-4.09</v>
      </c>
      <c r="C127" s="451">
        <f>'HR Track 4 HER'!C6</f>
        <v>82505.23</v>
      </c>
      <c r="D127" s="453">
        <f>'HR Track 4 HER'!D6</f>
        <v>0</v>
      </c>
      <c r="E127" s="452">
        <f>'HR Track 4 HER'!E6</f>
        <v>0</v>
      </c>
      <c r="F127" s="453">
        <f>'HR Track 4 HER'!F6</f>
        <v>0</v>
      </c>
      <c r="G127" s="500">
        <f>'HR Track 4 HER'!G6</f>
        <v>0</v>
      </c>
      <c r="H127" s="453">
        <f>'HR Track 4 HER'!H6</f>
        <v>0</v>
      </c>
      <c r="I127" s="501" t="str">
        <f>'HR Track 4 HER'!I6</f>
        <v>AnRW2</v>
      </c>
      <c r="J127" s="583"/>
      <c r="K127" s="452"/>
      <c r="L127" s="452" t="str">
        <f>'HR Track 4 HER'!L6</f>
        <v>HEB-240</v>
      </c>
      <c r="M127" s="452" t="str">
        <f>'HR Track 4 HER'!M6</f>
        <v>C3R</v>
      </c>
      <c r="N127" s="501" t="str">
        <f>'HR Track 4 HER'!N6</f>
        <v>EMT-1</v>
      </c>
      <c r="O127" s="501">
        <f>'HR Track 4 HER'!O6</f>
        <v>0</v>
      </c>
      <c r="P127" s="501">
        <f>'HR Track 4 HER'!P6</f>
        <v>0</v>
      </c>
      <c r="Q127" s="452">
        <f>'HR Track 4 HER'!Q6</f>
        <v>0</v>
      </c>
      <c r="R127" s="452">
        <f>'HR Track 4 HER'!R6</f>
        <v>0</v>
      </c>
      <c r="S127" s="500">
        <f>'HR Track 4 HER'!S6</f>
        <v>0</v>
      </c>
      <c r="T127" s="452">
        <f>'HR Track 4 HER'!T6</f>
        <v>-30</v>
      </c>
      <c r="U127" s="452">
        <f>'HR Track 4 HER'!U6</f>
        <v>0</v>
      </c>
      <c r="V127" s="452">
        <f>'HR Track 4 HER'!V6</f>
        <v>0</v>
      </c>
      <c r="W127" s="452">
        <f>'HR Track 4 HER'!W6</f>
        <v>1.4</v>
      </c>
      <c r="X127" s="452">
        <f>'HR Track 4 HER'!X6</f>
        <v>0</v>
      </c>
      <c r="Y127" s="452">
        <f>'HR Track 4 HER'!Y6</f>
        <v>0</v>
      </c>
      <c r="Z127" s="452">
        <f>'HR Track 4 HER'!Z6</f>
        <v>0</v>
      </c>
      <c r="AA127" s="452">
        <f>'HR Track 4 HER'!AA6</f>
        <v>0</v>
      </c>
      <c r="AB127" s="452">
        <f>'HR Track 4 HER'!AB6</f>
        <v>0</v>
      </c>
      <c r="AC127" s="452" t="str">
        <f>'HR Track 4 HER'!AC6</f>
        <v>PH</v>
      </c>
      <c r="AD127" s="452">
        <f>'HR Track 4 HER'!AD6</f>
        <v>0</v>
      </c>
      <c r="AE127" s="452">
        <f>'HR Track 4 HER'!AE6</f>
        <v>0</v>
      </c>
      <c r="AF127" s="452">
        <f>'HR Track 4 HER'!AF6</f>
        <v>0</v>
      </c>
      <c r="AG127" s="451">
        <f>'HR Track 4 HER'!AG6</f>
        <v>0</v>
      </c>
      <c r="AH127" s="452">
        <f>'HR Track 4 HER'!AH6</f>
        <v>0</v>
      </c>
      <c r="AI127" s="452">
        <f>'HR Track 4 HER'!AI6</f>
        <v>0</v>
      </c>
      <c r="AJ127" s="452">
        <f>'HR Track 4 HER'!AJ6</f>
        <v>0</v>
      </c>
      <c r="AK127" s="452">
        <f>'HR Track 4 HER'!AK6</f>
        <v>0</v>
      </c>
      <c r="AL127" s="452">
        <f>'HR Track 4 HER'!AL6</f>
        <v>0</v>
      </c>
      <c r="AM127" s="452" t="str">
        <f>'HR Track 4 HER'!AM6</f>
        <v>RW2</v>
      </c>
      <c r="AN127" s="500">
        <f>'HR Track 4 HER'!AN6</f>
        <v>5.5</v>
      </c>
      <c r="AO127" s="452">
        <f>'HR Track 4 HER'!AO6</f>
        <v>0</v>
      </c>
      <c r="AP127" s="452">
        <f>'HR Track 4 HER'!AP6</f>
        <v>0</v>
      </c>
      <c r="AQ127" s="452">
        <f>'HR Track 4 HER'!AQ6</f>
        <v>0</v>
      </c>
      <c r="AR127" s="452">
        <f>'HR Track 4 HER'!AR6</f>
        <v>0</v>
      </c>
      <c r="AS127" s="452">
        <f>'HR Track 4 HER'!AS6</f>
        <v>0</v>
      </c>
      <c r="AT127" s="452">
        <f>'HR Track 4 HER'!AT6</f>
        <v>-10.352747389609581</v>
      </c>
      <c r="AU127" s="452">
        <f>'HR Track 4 HER'!AU6</f>
        <v>0</v>
      </c>
      <c r="AV127" s="452">
        <f>'HR Track 4 HER'!AV6</f>
        <v>0</v>
      </c>
      <c r="AW127" s="452" t="str">
        <f>'HR Track 4 HER'!AW6</f>
        <v>Soil A</v>
      </c>
      <c r="AX127" s="452" t="str">
        <f>'HR Track 4 HER'!AX6</f>
        <v>PT</v>
      </c>
      <c r="AY127" s="500">
        <f>'HR Track 4 HER'!AY6</f>
        <v>3.5</v>
      </c>
      <c r="AZ127" s="500"/>
      <c r="BA127" s="1333" t="str">
        <f>'HR Track 4 HER'!BA6</f>
        <v>ü</v>
      </c>
      <c r="BB127" s="452" t="str">
        <f>'HR Track 4 HER'!BB6</f>
        <v>App.7-V11A-P9.5.1.1</v>
      </c>
      <c r="BC127" s="1334">
        <f>'HR Track 4 HER'!BC6</f>
        <v>0</v>
      </c>
      <c r="BD127" s="1335">
        <f>'HR Track 4 HER'!BD6</f>
        <v>0</v>
      </c>
      <c r="BE127" s="1335">
        <f>'HR Track 4 HER'!BE6</f>
        <v>0</v>
      </c>
      <c r="BF127" s="1335">
        <f>'HR Track 4 HER'!BF6</f>
        <v>0</v>
      </c>
      <c r="BG127" s="1335">
        <f>'HR Track 4 HER'!BG6</f>
        <v>0</v>
      </c>
    </row>
    <row r="128" spans="1:59" ht="15.75" customHeight="1">
      <c r="A128" s="501"/>
      <c r="B128" s="716">
        <f>'HR Track 4 HER'!B7</f>
        <v>0</v>
      </c>
      <c r="C128" s="451">
        <f>'HR Track 4 HER'!C7</f>
        <v>0</v>
      </c>
      <c r="D128" s="453">
        <f>'HR Track 4 HER'!D7</f>
        <v>0</v>
      </c>
      <c r="E128" s="452">
        <f>'HR Track 4 HER'!E7</f>
        <v>0</v>
      </c>
      <c r="F128" s="453">
        <f>'HR Track 4 HER'!F7</f>
        <v>0</v>
      </c>
      <c r="G128" s="500">
        <f>'HR Track 4 HER'!G7</f>
        <v>60</v>
      </c>
      <c r="H128" s="453">
        <f>'HR Track 4 HER'!H7</f>
        <v>0</v>
      </c>
      <c r="I128" s="501">
        <f>'HR Track 4 HER'!I7</f>
        <v>0</v>
      </c>
      <c r="J128" s="583"/>
      <c r="K128" s="452"/>
      <c r="L128" s="452">
        <f>'HR Track 4 HER'!L7</f>
        <v>0</v>
      </c>
      <c r="M128" s="452">
        <f>'HR Track 4 HER'!M7</f>
        <v>0</v>
      </c>
      <c r="N128" s="501">
        <f>'HR Track 4 HER'!N7</f>
        <v>0</v>
      </c>
      <c r="O128" s="501">
        <f>'HR Track 4 HER'!O7</f>
        <v>0</v>
      </c>
      <c r="P128" s="501">
        <f>'HR Track 4 HER'!P7</f>
        <v>0</v>
      </c>
      <c r="Q128" s="452">
        <f>'HR Track 4 HER'!Q7</f>
        <v>0</v>
      </c>
      <c r="R128" s="452">
        <f>'HR Track 4 HER'!R7</f>
        <v>0</v>
      </c>
      <c r="S128" s="500">
        <f>'HR Track 4 HER'!S7</f>
        <v>0</v>
      </c>
      <c r="T128" s="452">
        <f>'HR Track 4 HER'!T7</f>
        <v>0</v>
      </c>
      <c r="U128" s="452">
        <f>'HR Track 4 HER'!U7</f>
        <v>0</v>
      </c>
      <c r="V128" s="452">
        <f>'HR Track 4 HER'!V7</f>
        <v>0</v>
      </c>
      <c r="W128" s="452">
        <f>'HR Track 4 HER'!W7</f>
        <v>0</v>
      </c>
      <c r="X128" s="452">
        <f>'HR Track 4 HER'!X7</f>
        <v>0</v>
      </c>
      <c r="Y128" s="452">
        <f>'HR Track 4 HER'!Y7</f>
        <v>0</v>
      </c>
      <c r="Z128" s="452">
        <f>'HR Track 4 HER'!Z7</f>
        <v>0</v>
      </c>
      <c r="AA128" s="452">
        <f>'HR Track 4 HER'!AA7</f>
        <v>0</v>
      </c>
      <c r="AB128" s="452">
        <f>'HR Track 4 HER'!AB7</f>
        <v>0</v>
      </c>
      <c r="AC128" s="452">
        <f>'HR Track 4 HER'!AC7</f>
        <v>0</v>
      </c>
      <c r="AD128" s="452">
        <f>'HR Track 4 HER'!AD7</f>
        <v>0</v>
      </c>
      <c r="AE128" s="452">
        <f>'HR Track 4 HER'!AE7</f>
        <v>0</v>
      </c>
      <c r="AF128" s="452">
        <f>'HR Track 4 HER'!AF7</f>
        <v>0</v>
      </c>
      <c r="AG128" s="451">
        <f>'HR Track 4 HER'!AG7</f>
        <v>0</v>
      </c>
      <c r="AH128" s="452">
        <f>'HR Track 4 HER'!AH7</f>
        <v>0</v>
      </c>
      <c r="AI128" s="452">
        <f>'HR Track 4 HER'!AI7</f>
        <v>0</v>
      </c>
      <c r="AJ128" s="452">
        <f>'HR Track 4 HER'!AJ7</f>
        <v>0</v>
      </c>
      <c r="AK128" s="452">
        <f>'HR Track 4 HER'!AK7</f>
        <v>0</v>
      </c>
      <c r="AL128" s="452">
        <f>'HR Track 4 HER'!AL7</f>
        <v>0</v>
      </c>
      <c r="AM128" s="452">
        <f>'HR Track 4 HER'!AM7</f>
        <v>0</v>
      </c>
      <c r="AN128" s="500">
        <f>'HR Track 4 HER'!AN7</f>
        <v>0</v>
      </c>
      <c r="AO128" s="452">
        <f>'HR Track 4 HER'!AO7</f>
        <v>0</v>
      </c>
      <c r="AP128" s="452">
        <f>'HR Track 4 HER'!AP7</f>
        <v>0</v>
      </c>
      <c r="AQ128" s="452">
        <f>'HR Track 4 HER'!AQ7</f>
        <v>-0.39823740222285853</v>
      </c>
      <c r="AR128" s="452">
        <f>'HR Track 4 HER'!AR7</f>
        <v>0</v>
      </c>
      <c r="AS128" s="452">
        <f>'HR Track 4 HER'!AS7</f>
        <v>0</v>
      </c>
      <c r="AT128" s="452">
        <f>'HR Track 4 HER'!AT7</f>
        <v>0</v>
      </c>
      <c r="AU128" s="452">
        <f>'HR Track 4 HER'!AU7</f>
        <v>0</v>
      </c>
      <c r="AV128" s="452">
        <f>'HR Track 4 HER'!AV7</f>
        <v>0</v>
      </c>
      <c r="AW128" s="452" t="str">
        <f>'HR Track 4 HER'!AW7</f>
        <v>Soil A</v>
      </c>
      <c r="AX128" s="452" t="str">
        <f>'HR Track 4 HER'!AX7</f>
        <v>PT</v>
      </c>
      <c r="AY128" s="500">
        <f>'HR Track 4 HER'!AY7</f>
        <v>0</v>
      </c>
      <c r="AZ128" s="500"/>
      <c r="BA128" s="1333" t="str">
        <f>'HR Track 4 HER'!BA7</f>
        <v>ü</v>
      </c>
      <c r="BB128" s="452">
        <f>'HR Track 4 HER'!BB7</f>
        <v>0</v>
      </c>
      <c r="BC128" s="1334">
        <f>'HR Track 4 HER'!BC7</f>
        <v>0</v>
      </c>
      <c r="BD128" s="1335">
        <f>'HR Track 4 HER'!BD7</f>
        <v>0</v>
      </c>
      <c r="BE128" s="1335">
        <f>'HR Track 4 HER'!BE7</f>
        <v>0</v>
      </c>
      <c r="BF128" s="1335">
        <f>'HR Track 4 HER'!BF7</f>
        <v>0</v>
      </c>
      <c r="BG128" s="1335">
        <f>'HR Track 4 HER'!BG7</f>
        <v>0</v>
      </c>
    </row>
    <row r="129" spans="1:59" ht="15.75" customHeight="1">
      <c r="A129" s="501"/>
      <c r="B129" s="716" t="str">
        <f>'HR Track 4 HER'!B8</f>
        <v>82-4.10</v>
      </c>
      <c r="C129" s="451">
        <f>'HR Track 4 HER'!C8</f>
        <v>82565.23</v>
      </c>
      <c r="D129" s="453">
        <f>'HR Track 4 HER'!D8</f>
        <v>0</v>
      </c>
      <c r="E129" s="452">
        <f>'HR Track 4 HER'!E8</f>
        <v>0</v>
      </c>
      <c r="F129" s="453">
        <f>'HR Track 4 HER'!F8</f>
        <v>25097.693920390557</v>
      </c>
      <c r="G129" s="500">
        <f>'HR Track 4 HER'!G8</f>
        <v>0</v>
      </c>
      <c r="H129" s="453">
        <f>'HR Track 4 HER'!H8</f>
        <v>0</v>
      </c>
      <c r="I129" s="501" t="str">
        <f>'HR Track 4 HER'!I8</f>
        <v>AnRW</v>
      </c>
      <c r="J129" s="583"/>
      <c r="K129" s="452"/>
      <c r="L129" s="452" t="str">
        <f>'HR Track 4 HER'!L8</f>
        <v>HEB-240</v>
      </c>
      <c r="M129" s="452" t="str">
        <f>'HR Track 4 HER'!M8</f>
        <v>C3R</v>
      </c>
      <c r="N129" s="501" t="str">
        <f>'HR Track 4 HER'!N8</f>
        <v>EMT-1</v>
      </c>
      <c r="O129" s="501">
        <f>'HR Track 4 HER'!O8</f>
        <v>0</v>
      </c>
      <c r="P129" s="501">
        <f>'HR Track 4 HER'!P8</f>
        <v>0</v>
      </c>
      <c r="Q129" s="452">
        <f>'HR Track 4 HER'!Q8</f>
        <v>0</v>
      </c>
      <c r="R129" s="452">
        <f>'HR Track 4 HER'!R8</f>
        <v>0</v>
      </c>
      <c r="S129" s="500">
        <f>'HR Track 4 HER'!S8</f>
        <v>0</v>
      </c>
      <c r="T129" s="452">
        <f>'HR Track 4 HER'!T8</f>
        <v>-30</v>
      </c>
      <c r="U129" s="452">
        <f>'HR Track 4 HER'!U8</f>
        <v>0</v>
      </c>
      <c r="V129" s="452">
        <f>'HR Track 4 HER'!V8</f>
        <v>0</v>
      </c>
      <c r="W129" s="452">
        <f>'HR Track 4 HER'!W8</f>
        <v>1.4</v>
      </c>
      <c r="X129" s="452">
        <f>'HR Track 4 HER'!X8</f>
        <v>0</v>
      </c>
      <c r="Y129" s="452">
        <f>'HR Track 4 HER'!Y8</f>
        <v>0</v>
      </c>
      <c r="Z129" s="452">
        <f>'HR Track 4 HER'!Z8</f>
        <v>0</v>
      </c>
      <c r="AA129" s="452">
        <f>'HR Track 4 HER'!AA8</f>
        <v>0</v>
      </c>
      <c r="AB129" s="452">
        <f>'HR Track 4 HER'!AB8</f>
        <v>0</v>
      </c>
      <c r="AC129" s="452" t="str">
        <f>'HR Track 4 HER'!AC8</f>
        <v>PH</v>
      </c>
      <c r="AD129" s="452">
        <f>'HR Track 4 HER'!AD8</f>
        <v>0</v>
      </c>
      <c r="AE129" s="452">
        <f>'HR Track 4 HER'!AE8</f>
        <v>0</v>
      </c>
      <c r="AF129" s="452">
        <f>'HR Track 4 HER'!AF8</f>
        <v>0</v>
      </c>
      <c r="AG129" s="451">
        <f>'HR Track 4 HER'!AG8</f>
        <v>0</v>
      </c>
      <c r="AH129" s="452">
        <f>'HR Track 4 HER'!AH8</f>
        <v>0</v>
      </c>
      <c r="AI129" s="452">
        <f>'HR Track 4 HER'!AI8</f>
        <v>0</v>
      </c>
      <c r="AJ129" s="452">
        <f>'HR Track 4 HER'!AJ8</f>
        <v>0</v>
      </c>
      <c r="AK129" s="452">
        <f>'HR Track 4 HER'!AK8</f>
        <v>0</v>
      </c>
      <c r="AL129" s="452">
        <f>'HR Track 4 HER'!AL8</f>
        <v>0</v>
      </c>
      <c r="AM129" s="452" t="str">
        <f>'HR Track 4 HER'!AM8</f>
        <v>RW1</v>
      </c>
      <c r="AN129" s="500">
        <f>'HR Track 4 HER'!AN8</f>
        <v>5.5</v>
      </c>
      <c r="AO129" s="452">
        <f>'HR Track 4 HER'!AO8</f>
        <v>0</v>
      </c>
      <c r="AP129" s="452">
        <f>'HR Track 4 HER'!AP8</f>
        <v>0</v>
      </c>
      <c r="AQ129" s="452">
        <f>'HR Track 4 HER'!AQ8</f>
        <v>0</v>
      </c>
      <c r="AR129" s="452">
        <f>'HR Track 4 HER'!AR8</f>
        <v>0</v>
      </c>
      <c r="AS129" s="452">
        <f>'HR Track 4 HER'!AS8</f>
        <v>0</v>
      </c>
      <c r="AT129" s="452">
        <f>'HR Track 4 HER'!AT8</f>
        <v>-9.1800752562926444</v>
      </c>
      <c r="AU129" s="452">
        <f>'HR Track 4 HER'!AU8</f>
        <v>0</v>
      </c>
      <c r="AV129" s="452">
        <f>'HR Track 4 HER'!AV8</f>
        <v>0</v>
      </c>
      <c r="AW129" s="452" t="str">
        <f>'HR Track 4 HER'!AW8</f>
        <v>Soil A</v>
      </c>
      <c r="AX129" s="452" t="str">
        <f>'HR Track 4 HER'!AX8</f>
        <v>PT</v>
      </c>
      <c r="AY129" s="500">
        <f>'HR Track 4 HER'!AY8</f>
        <v>3.5</v>
      </c>
      <c r="AZ129" s="500"/>
      <c r="BA129" s="1333" t="str">
        <f>'HR Track 4 HER'!BA8</f>
        <v>ü</v>
      </c>
      <c r="BB129" s="452" t="str">
        <f>'HR Track 4 HER'!BB8</f>
        <v>App.7-V11A-P9.5.1.1</v>
      </c>
      <c r="BC129" s="1334">
        <f>'HR Track 4 HER'!BC8</f>
        <v>0</v>
      </c>
      <c r="BD129" s="1335">
        <f>'HR Track 4 HER'!BD8</f>
        <v>0</v>
      </c>
      <c r="BE129" s="1335">
        <f>'HR Track 4 HER'!BE8</f>
        <v>0</v>
      </c>
      <c r="BF129" s="1335">
        <f>'HR Track 4 HER'!BF8</f>
        <v>0</v>
      </c>
      <c r="BG129" s="1335">
        <f>'HR Track 4 HER'!BG8</f>
        <v>0</v>
      </c>
    </row>
    <row r="130" spans="1:59" ht="15.75" customHeight="1">
      <c r="A130" s="501"/>
      <c r="B130" s="716">
        <f>'HR Track 4 HER'!B9</f>
        <v>0</v>
      </c>
      <c r="C130" s="451">
        <f>'HR Track 4 HER'!C9</f>
        <v>0</v>
      </c>
      <c r="D130" s="453">
        <f>'HR Track 4 HER'!D9</f>
        <v>0</v>
      </c>
      <c r="E130" s="452">
        <f>'HR Track 4 HER'!E9</f>
        <v>0</v>
      </c>
      <c r="F130" s="453">
        <f>'HR Track 4 HER'!F9</f>
        <v>0</v>
      </c>
      <c r="G130" s="500">
        <f>'HR Track 4 HER'!G9</f>
        <v>60</v>
      </c>
      <c r="H130" s="453">
        <f>'HR Track 4 HER'!H9</f>
        <v>0</v>
      </c>
      <c r="I130" s="501">
        <f>'HR Track 4 HER'!I9</f>
        <v>0</v>
      </c>
      <c r="J130" s="583"/>
      <c r="K130" s="452"/>
      <c r="L130" s="452">
        <f>'HR Track 4 HER'!L9</f>
        <v>0</v>
      </c>
      <c r="M130" s="452">
        <f>'HR Track 4 HER'!M9</f>
        <v>0</v>
      </c>
      <c r="N130" s="501">
        <f>'HR Track 4 HER'!N9</f>
        <v>0</v>
      </c>
      <c r="O130" s="501">
        <f>'HR Track 4 HER'!O9</f>
        <v>0</v>
      </c>
      <c r="P130" s="501">
        <f>'HR Track 4 HER'!P9</f>
        <v>0</v>
      </c>
      <c r="Q130" s="452">
        <f>'HR Track 4 HER'!Q9</f>
        <v>0</v>
      </c>
      <c r="R130" s="452">
        <f>'HR Track 4 HER'!R9</f>
        <v>0</v>
      </c>
      <c r="S130" s="500">
        <f>'HR Track 4 HER'!S9</f>
        <v>0</v>
      </c>
      <c r="T130" s="452">
        <f>'HR Track 4 HER'!T9</f>
        <v>0</v>
      </c>
      <c r="U130" s="452">
        <f>'HR Track 4 HER'!U9</f>
        <v>0</v>
      </c>
      <c r="V130" s="452">
        <f>'HR Track 4 HER'!V9</f>
        <v>0</v>
      </c>
      <c r="W130" s="452">
        <f>'HR Track 4 HER'!W9</f>
        <v>0</v>
      </c>
      <c r="X130" s="452">
        <f>'HR Track 4 HER'!X9</f>
        <v>0</v>
      </c>
      <c r="Y130" s="452">
        <f>'HR Track 4 HER'!Y9</f>
        <v>0</v>
      </c>
      <c r="Z130" s="452">
        <f>'HR Track 4 HER'!Z9</f>
        <v>0</v>
      </c>
      <c r="AA130" s="452">
        <f>'HR Track 4 HER'!AA9</f>
        <v>0</v>
      </c>
      <c r="AB130" s="452">
        <f>'HR Track 4 HER'!AB9</f>
        <v>0</v>
      </c>
      <c r="AC130" s="452">
        <f>'HR Track 4 HER'!AC9</f>
        <v>0</v>
      </c>
      <c r="AD130" s="452">
        <f>'HR Track 4 HER'!AD9</f>
        <v>0</v>
      </c>
      <c r="AE130" s="452">
        <f>'HR Track 4 HER'!AE9</f>
        <v>0</v>
      </c>
      <c r="AF130" s="452">
        <f>'HR Track 4 HER'!AF9</f>
        <v>0</v>
      </c>
      <c r="AG130" s="451">
        <f>'HR Track 4 HER'!AG9</f>
        <v>0</v>
      </c>
      <c r="AH130" s="452">
        <f>'HR Track 4 HER'!AH9</f>
        <v>0</v>
      </c>
      <c r="AI130" s="452">
        <f>'HR Track 4 HER'!AI9</f>
        <v>0</v>
      </c>
      <c r="AJ130" s="452">
        <f>'HR Track 4 HER'!AJ9</f>
        <v>0</v>
      </c>
      <c r="AK130" s="452">
        <f>'HR Track 4 HER'!AK9</f>
        <v>0</v>
      </c>
      <c r="AL130" s="452">
        <f>'HR Track 4 HER'!AL9</f>
        <v>0</v>
      </c>
      <c r="AM130" s="452">
        <f>'HR Track 4 HER'!AM9</f>
        <v>0</v>
      </c>
      <c r="AN130" s="500">
        <f>'HR Track 4 HER'!AN9</f>
        <v>0</v>
      </c>
      <c r="AO130" s="452">
        <f>'HR Track 4 HER'!AO9</f>
        <v>0</v>
      </c>
      <c r="AP130" s="452">
        <f>'HR Track 4 HER'!AP9</f>
        <v>0</v>
      </c>
      <c r="AQ130" s="452">
        <f>'HR Track 4 HER'!AQ9</f>
        <v>0.44443186236415178</v>
      </c>
      <c r="AR130" s="452">
        <f>'HR Track 4 HER'!AR9</f>
        <v>0</v>
      </c>
      <c r="AS130" s="452">
        <f>'HR Track 4 HER'!AS9</f>
        <v>0</v>
      </c>
      <c r="AT130" s="452">
        <f>'HR Track 4 HER'!AT9</f>
        <v>0</v>
      </c>
      <c r="AU130" s="452">
        <f>'HR Track 4 HER'!AU9</f>
        <v>0</v>
      </c>
      <c r="AV130" s="452">
        <f>'HR Track 4 HER'!AV9</f>
        <v>0</v>
      </c>
      <c r="AW130" s="452">
        <f>'HR Track 4 HER'!AW9</f>
        <v>0</v>
      </c>
      <c r="AX130" s="452">
        <f>'HR Track 4 HER'!AX9</f>
        <v>0</v>
      </c>
      <c r="AY130" s="500">
        <f>'HR Track 4 HER'!AY9</f>
        <v>0</v>
      </c>
      <c r="AZ130" s="500"/>
      <c r="BA130" s="1333">
        <f>'HR Track 4 HER'!BA9</f>
        <v>0</v>
      </c>
      <c r="BB130" s="452">
        <f>'HR Track 4 HER'!BB9</f>
        <v>0</v>
      </c>
      <c r="BC130" s="1334">
        <f>'HR Track 4 HER'!BC9</f>
        <v>0</v>
      </c>
      <c r="BD130" s="1335">
        <f>'HR Track 4 HER'!BD9</f>
        <v>0</v>
      </c>
      <c r="BE130" s="1335">
        <f>'HR Track 4 HER'!BE9</f>
        <v>0</v>
      </c>
      <c r="BF130" s="1335">
        <f>'HR Track 4 HER'!BF9</f>
        <v>0</v>
      </c>
      <c r="BG130" s="1335">
        <f>'HR Track 4 HER'!BG9</f>
        <v>0</v>
      </c>
    </row>
    <row r="131" spans="1:59" ht="15.75" customHeight="1">
      <c r="A131" s="501"/>
      <c r="B131" s="716" t="str">
        <f>'HR Track 4 HER'!B10</f>
        <v>82-4.11</v>
      </c>
      <c r="C131" s="451">
        <f>'HR Track 4 HER'!C10</f>
        <v>82625.23</v>
      </c>
      <c r="D131" s="453">
        <f>'HR Track 4 HER'!D10</f>
        <v>0</v>
      </c>
      <c r="E131" s="452">
        <f>'HR Track 4 HER'!E10</f>
        <v>0</v>
      </c>
      <c r="F131" s="453" t="str">
        <f>'HR Track 4 HER'!F10</f>
        <v>4000</v>
      </c>
      <c r="G131" s="500">
        <f>'HR Track 4 HER'!G10</f>
        <v>0</v>
      </c>
      <c r="H131" s="453" t="str">
        <f>'HR Track 4 HER'!H10</f>
        <v>A/S</v>
      </c>
      <c r="I131" s="501" t="str">
        <f>'HR Track 4 HER'!I10</f>
        <v>TRACK 5</v>
      </c>
      <c r="J131" s="583"/>
      <c r="K131" s="452"/>
      <c r="L131" s="452" t="str">
        <f>'HR Track 4 HER'!L10</f>
        <v>HEB-280 (CP)</v>
      </c>
      <c r="M131" s="452" t="str">
        <f>'HR Track 4 HER'!M10</f>
        <v>C5R</v>
      </c>
      <c r="N131" s="501" t="str">
        <f>'HR Track 4 HER'!N10</f>
        <v>EMT-2</v>
      </c>
      <c r="O131" s="501">
        <f>'HR Track 4 HER'!O10</f>
        <v>0</v>
      </c>
      <c r="P131" s="501">
        <f>'HR Track 4 HER'!P10</f>
        <v>0</v>
      </c>
      <c r="Q131" s="452">
        <f>'HR Track 4 HER'!Q10</f>
        <v>0</v>
      </c>
      <c r="R131" s="452">
        <f>'HR Track 4 HER'!R10</f>
        <v>0</v>
      </c>
      <c r="S131" s="500">
        <f>'HR Track 4 HER'!S10</f>
        <v>0</v>
      </c>
      <c r="T131" s="452">
        <f>'HR Track 4 HER'!T10</f>
        <v>20</v>
      </c>
      <c r="U131" s="452">
        <f>'HR Track 4 HER'!U10</f>
        <v>0</v>
      </c>
      <c r="V131" s="452">
        <f>'HR Track 4 HER'!V10</f>
        <v>0</v>
      </c>
      <c r="W131" s="452">
        <f>'HR Track 4 HER'!W10</f>
        <v>1.4</v>
      </c>
      <c r="X131" s="452">
        <f>'HR Track 4 HER'!X10</f>
        <v>0</v>
      </c>
      <c r="Y131" s="452">
        <f>'HR Track 4 HER'!Y10</f>
        <v>0</v>
      </c>
      <c r="Z131" s="452">
        <f>'HR Track 4 HER'!Z10</f>
        <v>0</v>
      </c>
      <c r="AA131" s="452">
        <f>'HR Track 4 HER'!AA10</f>
        <v>0</v>
      </c>
      <c r="AB131" s="452">
        <f>'HR Track 4 HER'!AB10</f>
        <v>0</v>
      </c>
      <c r="AC131" s="452" t="str">
        <f>'HR Track 4 HER'!AC10</f>
        <v>PH</v>
      </c>
      <c r="AD131" s="452">
        <f>'HR Track 4 HER'!AD10</f>
        <v>0</v>
      </c>
      <c r="AE131" s="452">
        <f>'HR Track 4 HER'!AE10</f>
        <v>0</v>
      </c>
      <c r="AF131" s="452">
        <f>'HR Track 4 HER'!AF10</f>
        <v>0</v>
      </c>
      <c r="AG131" s="451">
        <f>'HR Track 4 HER'!AG10</f>
        <v>0</v>
      </c>
      <c r="AH131" s="452">
        <f>'HR Track 4 HER'!AH10</f>
        <v>0</v>
      </c>
      <c r="AI131" s="452">
        <f>'HR Track 4 HER'!AI10</f>
        <v>0</v>
      </c>
      <c r="AJ131" s="452">
        <f>'HR Track 4 HER'!AJ10</f>
        <v>0</v>
      </c>
      <c r="AK131" s="452">
        <f>'HR Track 4 HER'!AK10</f>
        <v>0</v>
      </c>
      <c r="AL131" s="452">
        <f>'HR Track 4 HER'!AL10</f>
        <v>0</v>
      </c>
      <c r="AM131" s="452" t="str">
        <f>'HR Track 4 HER'!AM10</f>
        <v>RW1</v>
      </c>
      <c r="AN131" s="500">
        <f>'HR Track 4 HER'!AN10</f>
        <v>5.5</v>
      </c>
      <c r="AO131" s="452">
        <f>'HR Track 4 HER'!AO10</f>
        <v>0</v>
      </c>
      <c r="AP131" s="452">
        <f>'HR Track 4 HER'!AP10</f>
        <v>0</v>
      </c>
      <c r="AQ131" s="452">
        <f>'HR Track 4 HER'!AQ10</f>
        <v>0</v>
      </c>
      <c r="AR131" s="452">
        <f>'HR Track 4 HER'!AR10</f>
        <v>0</v>
      </c>
      <c r="AS131" s="452">
        <f>'HR Track 4 HER'!AS10</f>
        <v>0</v>
      </c>
      <c r="AT131" s="452">
        <f>'HR Track 4 HER'!AT10</f>
        <v>-8.787039116470563</v>
      </c>
      <c r="AU131" s="452">
        <f>'HR Track 4 HER'!AU10</f>
        <v>0</v>
      </c>
      <c r="AV131" s="452">
        <f>'HR Track 4 HER'!AV10</f>
        <v>0</v>
      </c>
      <c r="AW131" s="452" t="str">
        <f>'HR Track 4 HER'!AW10</f>
        <v>Soil A</v>
      </c>
      <c r="AX131" s="452" t="str">
        <f>'HR Track 4 HER'!AX10</f>
        <v>PT</v>
      </c>
      <c r="AY131" s="500">
        <f>'HR Track 4 HER'!AY10</f>
        <v>3.5</v>
      </c>
      <c r="AZ131" s="500"/>
      <c r="BA131" s="1333" t="str">
        <f>'HR Track 4 HER'!BA10</f>
        <v>ü</v>
      </c>
      <c r="BB131" s="452" t="str">
        <f>'HR Track 4 HER'!BB10</f>
        <v>App.7-V11A-P9.5.4.6</v>
      </c>
      <c r="BC131" s="1334">
        <f>'HR Track 4 HER'!BC10</f>
        <v>0</v>
      </c>
      <c r="BD131" s="1335">
        <f>'HR Track 4 HER'!BD10</f>
        <v>0</v>
      </c>
      <c r="BE131" s="1335">
        <f>'HR Track 4 HER'!BE10</f>
        <v>0</v>
      </c>
      <c r="BF131" s="1335">
        <f>'HR Track 4 HER'!BF10</f>
        <v>0</v>
      </c>
      <c r="BG131" s="1335">
        <f>'HR Track 4 HER'!BG10</f>
        <v>0</v>
      </c>
    </row>
    <row r="132" spans="1:59" ht="15.75" customHeight="1">
      <c r="A132" s="501"/>
      <c r="B132" s="716">
        <f>'HR Track 4 HER'!B11</f>
        <v>0</v>
      </c>
      <c r="C132" s="451">
        <f>'HR Track 4 HER'!C11</f>
        <v>0</v>
      </c>
      <c r="D132" s="453">
        <f>'HR Track 4 HER'!D11</f>
        <v>0</v>
      </c>
      <c r="E132" s="452">
        <f>'HR Track 4 HER'!E11</f>
        <v>0</v>
      </c>
      <c r="F132" s="453">
        <f>'HR Track 4 HER'!F11</f>
        <v>0</v>
      </c>
      <c r="G132" s="500">
        <f>'HR Track 4 HER'!G11</f>
        <v>60</v>
      </c>
      <c r="H132" s="453">
        <f>'HR Track 4 HER'!H11</f>
        <v>0</v>
      </c>
      <c r="I132" s="501">
        <f>'HR Track 4 HER'!I11</f>
        <v>0</v>
      </c>
      <c r="J132" s="583"/>
      <c r="K132" s="452"/>
      <c r="L132" s="452">
        <f>'HR Track 4 HER'!L11</f>
        <v>0</v>
      </c>
      <c r="M132" s="452">
        <f>'HR Track 4 HER'!M11</f>
        <v>0</v>
      </c>
      <c r="N132" s="501">
        <f>'HR Track 4 HER'!N11</f>
        <v>0</v>
      </c>
      <c r="O132" s="501">
        <f>'HR Track 4 HER'!O11</f>
        <v>0</v>
      </c>
      <c r="P132" s="501">
        <f>'HR Track 4 HER'!P11</f>
        <v>0</v>
      </c>
      <c r="Q132" s="452">
        <f>'HR Track 4 HER'!Q11</f>
        <v>0</v>
      </c>
      <c r="R132" s="452">
        <f>'HR Track 4 HER'!R11</f>
        <v>0</v>
      </c>
      <c r="S132" s="500">
        <f>'HR Track 4 HER'!S11</f>
        <v>0</v>
      </c>
      <c r="T132" s="452">
        <f>'HR Track 4 HER'!T11</f>
        <v>0</v>
      </c>
      <c r="U132" s="452">
        <f>'HR Track 4 HER'!U11</f>
        <v>0</v>
      </c>
      <c r="V132" s="452">
        <f>'HR Track 4 HER'!V11</f>
        <v>0</v>
      </c>
      <c r="W132" s="452">
        <f>'HR Track 4 HER'!W11</f>
        <v>0</v>
      </c>
      <c r="X132" s="452">
        <f>'HR Track 4 HER'!X11</f>
        <v>0</v>
      </c>
      <c r="Y132" s="452">
        <f>'HR Track 4 HER'!Y11</f>
        <v>0</v>
      </c>
      <c r="Z132" s="452">
        <f>'HR Track 4 HER'!Z11</f>
        <v>0</v>
      </c>
      <c r="AA132" s="452">
        <f>'HR Track 4 HER'!AA11</f>
        <v>0</v>
      </c>
      <c r="AB132" s="452">
        <f>'HR Track 4 HER'!AB11</f>
        <v>0</v>
      </c>
      <c r="AC132" s="452">
        <f>'HR Track 4 HER'!AC11</f>
        <v>0</v>
      </c>
      <c r="AD132" s="452">
        <f>'HR Track 4 HER'!AD11</f>
        <v>0</v>
      </c>
      <c r="AE132" s="452">
        <f>'HR Track 4 HER'!AE11</f>
        <v>0</v>
      </c>
      <c r="AF132" s="452">
        <f>'HR Track 4 HER'!AF11</f>
        <v>0</v>
      </c>
      <c r="AG132" s="451">
        <f>'HR Track 4 HER'!AG11</f>
        <v>0</v>
      </c>
      <c r="AH132" s="452">
        <f>'HR Track 4 HER'!AH11</f>
        <v>0</v>
      </c>
      <c r="AI132" s="452">
        <f>'HR Track 4 HER'!AI11</f>
        <v>0</v>
      </c>
      <c r="AJ132" s="452">
        <f>'HR Track 4 HER'!AJ11</f>
        <v>0</v>
      </c>
      <c r="AK132" s="452">
        <f>'HR Track 4 HER'!AK11</f>
        <v>0</v>
      </c>
      <c r="AL132" s="452">
        <f>'HR Track 4 HER'!AL11</f>
        <v>0</v>
      </c>
      <c r="AM132" s="452">
        <f>'HR Track 4 HER'!AM11</f>
        <v>0</v>
      </c>
      <c r="AN132" s="500">
        <f>'HR Track 4 HER'!AN11</f>
        <v>0</v>
      </c>
      <c r="AO132" s="452">
        <f>'HR Track 4 HER'!AO11</f>
        <v>0</v>
      </c>
      <c r="AP132" s="452">
        <f>'HR Track 4 HER'!AP11</f>
        <v>0</v>
      </c>
      <c r="AQ132" s="452">
        <f>'HR Track 4 HER'!AQ11</f>
        <v>0.4428994186666666</v>
      </c>
      <c r="AR132" s="452">
        <f>'HR Track 4 HER'!AR11</f>
        <v>0</v>
      </c>
      <c r="AS132" s="452">
        <f>'HR Track 4 HER'!AS11</f>
        <v>0</v>
      </c>
      <c r="AT132" s="452">
        <f>'HR Track 4 HER'!AT11</f>
        <v>0</v>
      </c>
      <c r="AU132" s="452">
        <f>'HR Track 4 HER'!AU11</f>
        <v>0</v>
      </c>
      <c r="AV132" s="452">
        <f>'HR Track 4 HER'!AV11</f>
        <v>0</v>
      </c>
      <c r="AW132" s="452">
        <f>'HR Track 4 HER'!AW11</f>
        <v>0</v>
      </c>
      <c r="AX132" s="452">
        <f>'HR Track 4 HER'!AX11</f>
        <v>0</v>
      </c>
      <c r="AY132" s="500">
        <f>'HR Track 4 HER'!AY11</f>
        <v>0</v>
      </c>
      <c r="AZ132" s="500"/>
      <c r="BA132" s="1333">
        <f>'HR Track 4 HER'!BA11</f>
        <v>0</v>
      </c>
      <c r="BB132" s="452">
        <f>'HR Track 4 HER'!BB11</f>
        <v>0</v>
      </c>
      <c r="BC132" s="1334">
        <f>'HR Track 4 HER'!BC11</f>
        <v>0</v>
      </c>
      <c r="BD132" s="1335">
        <f>'HR Track 4 HER'!BD11</f>
        <v>0</v>
      </c>
      <c r="BE132" s="1335">
        <f>'HR Track 4 HER'!BE11</f>
        <v>0</v>
      </c>
      <c r="BF132" s="1335">
        <f>'HR Track 4 HER'!BF11</f>
        <v>0</v>
      </c>
      <c r="BG132" s="1335">
        <f>'HR Track 4 HER'!BG11</f>
        <v>0</v>
      </c>
    </row>
    <row r="133" spans="1:59" ht="15.75" customHeight="1">
      <c r="A133" s="501"/>
      <c r="B133" s="716" t="str">
        <f>'HR Track 4 HER'!B12</f>
        <v>82-4.12</v>
      </c>
      <c r="C133" s="451">
        <f>'HR Track 4 HER'!C12</f>
        <v>82685.23</v>
      </c>
      <c r="D133" s="453">
        <f>'HR Track 4 HER'!D12</f>
        <v>0</v>
      </c>
      <c r="E133" s="452">
        <f>'HR Track 4 HER'!E12</f>
        <v>0</v>
      </c>
      <c r="F133" s="453">
        <f>'HR Track 4 HER'!F12</f>
        <v>0</v>
      </c>
      <c r="G133" s="500">
        <f>'HR Track 4 HER'!G12</f>
        <v>0</v>
      </c>
      <c r="H133" s="453">
        <f>'HR Track 4 HER'!H12</f>
        <v>0</v>
      </c>
      <c r="I133" s="501">
        <f>'HR Track 4 HER'!I12</f>
        <v>0</v>
      </c>
      <c r="J133" s="583"/>
      <c r="K133" s="452"/>
      <c r="L133" s="452">
        <f>'HR Track 4 HER'!L12</f>
        <v>0</v>
      </c>
      <c r="M133" s="452">
        <f>'HR Track 4 HER'!M12</f>
        <v>0</v>
      </c>
      <c r="N133" s="501" t="str">
        <f>'HR Track 4 HER'!N12</f>
        <v>EMT-2P</v>
      </c>
      <c r="O133" s="501">
        <f>'HR Track 4 HER'!O12</f>
        <v>0</v>
      </c>
      <c r="P133" s="501">
        <f>'HR Track 4 HER'!P12</f>
        <v>0</v>
      </c>
      <c r="Q133" s="452">
        <f>'HR Track 4 HER'!Q12</f>
        <v>0</v>
      </c>
      <c r="R133" s="452">
        <f>'HR Track 4 HER'!R12</f>
        <v>0</v>
      </c>
      <c r="S133" s="500">
        <f>'HR Track 4 HER'!S12</f>
        <v>0</v>
      </c>
      <c r="T133" s="452">
        <f>'HR Track 4 HER'!T12</f>
        <v>30</v>
      </c>
      <c r="U133" s="452">
        <f>'HR Track 4 HER'!U12</f>
        <v>0</v>
      </c>
      <c r="V133" s="452">
        <f>'HR Track 4 HER'!V12</f>
        <v>0</v>
      </c>
      <c r="W133" s="452">
        <f>'HR Track 4 HER'!W12</f>
        <v>1.4</v>
      </c>
      <c r="X133" s="452">
        <f>'HR Track 4 HER'!X12</f>
        <v>0</v>
      </c>
      <c r="Y133" s="452">
        <f>'HR Track 4 HER'!Y12</f>
        <v>0</v>
      </c>
      <c r="Z133" s="452">
        <f>'HR Track 4 HER'!Z12</f>
        <v>0</v>
      </c>
      <c r="AA133" s="452">
        <f>'HR Track 4 HER'!AA12</f>
        <v>0</v>
      </c>
      <c r="AB133" s="452">
        <f>'HR Track 4 HER'!AB12</f>
        <v>0</v>
      </c>
      <c r="AC133" s="452" t="str">
        <f>'HR Track 4 HER'!AC12</f>
        <v>PH</v>
      </c>
      <c r="AD133" s="452">
        <f>'HR Track 4 HER'!AD12</f>
        <v>0</v>
      </c>
      <c r="AE133" s="452">
        <f>'HR Track 4 HER'!AE12</f>
        <v>0</v>
      </c>
      <c r="AF133" s="452">
        <f>'HR Track 4 HER'!AF12</f>
        <v>0</v>
      </c>
      <c r="AG133" s="451">
        <f>'HR Track 4 HER'!AG12</f>
        <v>0</v>
      </c>
      <c r="AH133" s="452">
        <f>'HR Track 4 HER'!AH12</f>
        <v>0</v>
      </c>
      <c r="AI133" s="452">
        <f>'HR Track 4 HER'!AI12</f>
        <v>0</v>
      </c>
      <c r="AJ133" s="452">
        <f>'HR Track 4 HER'!AJ12</f>
        <v>0</v>
      </c>
      <c r="AK133" s="452" t="str">
        <f>'HR Track 4 HER'!AK12</f>
        <v>S1</v>
      </c>
      <c r="AL133" s="452">
        <f>'HR Track 4 HER'!AL12</f>
        <v>0</v>
      </c>
      <c r="AM133" s="452">
        <f>'HR Track 4 HER'!AM12</f>
        <v>0</v>
      </c>
      <c r="AN133" s="500">
        <f>'HR Track 4 HER'!AN12</f>
        <v>5.5</v>
      </c>
      <c r="AO133" s="452">
        <f>'HR Track 4 HER'!AO12</f>
        <v>0</v>
      </c>
      <c r="AP133" s="452">
        <f>'HR Track 4 HER'!AP12</f>
        <v>0</v>
      </c>
      <c r="AQ133" s="452">
        <f>'HR Track 4 HER'!AQ12</f>
        <v>0</v>
      </c>
      <c r="AR133" s="452">
        <f>'HR Track 4 HER'!AR12</f>
        <v>0</v>
      </c>
      <c r="AS133" s="452">
        <f>'HR Track 4 HER'!AS12</f>
        <v>0</v>
      </c>
      <c r="AT133" s="452">
        <f>'HR Track 4 HER'!AT12</f>
        <v>9.9116886905950032</v>
      </c>
      <c r="AU133" s="452">
        <f>'HR Track 4 HER'!AU12</f>
        <v>0</v>
      </c>
      <c r="AV133" s="452">
        <f>'HR Track 4 HER'!AV12</f>
        <v>0</v>
      </c>
      <c r="AW133" s="452">
        <f>'HR Track 4 HER'!AW12</f>
        <v>0</v>
      </c>
      <c r="AX133" s="452">
        <f>'HR Track 4 HER'!AX12</f>
        <v>0</v>
      </c>
      <c r="AY133" s="500">
        <f>'HR Track 4 HER'!AY12</f>
        <v>0</v>
      </c>
      <c r="AZ133" s="500"/>
      <c r="BA133" s="1333">
        <f>'HR Track 4 HER'!BA12</f>
        <v>0</v>
      </c>
      <c r="BB133" s="452">
        <f>'HR Track 4 HER'!BB12</f>
        <v>0</v>
      </c>
      <c r="BC133" s="1334">
        <f>'HR Track 4 HER'!BC12</f>
        <v>0</v>
      </c>
      <c r="BD133" s="1335">
        <f>'HR Track 4 HER'!BD12</f>
        <v>0</v>
      </c>
      <c r="BE133" s="1335">
        <f>'HR Track 4 HER'!BE12</f>
        <v>0</v>
      </c>
      <c r="BF133" s="1335">
        <f>'HR Track 4 HER'!BF12</f>
        <v>0</v>
      </c>
      <c r="BG133" s="1335">
        <f>'HR Track 4 HER'!BG12</f>
        <v>0</v>
      </c>
    </row>
    <row r="134" spans="1:59" ht="15.75" customHeight="1">
      <c r="A134" s="501"/>
      <c r="B134" s="716">
        <f>'HR Track 4 HER'!B13</f>
        <v>0</v>
      </c>
      <c r="C134" s="451">
        <f>'HR Track 4 HER'!C13</f>
        <v>0</v>
      </c>
      <c r="D134" s="453">
        <f>'HR Track 4 HER'!D13</f>
        <v>0</v>
      </c>
      <c r="E134" s="452">
        <f>'HR Track 4 HER'!E13</f>
        <v>0</v>
      </c>
      <c r="F134" s="453">
        <f>'HR Track 4 HER'!F13</f>
        <v>0</v>
      </c>
      <c r="G134" s="500">
        <f>'HR Track 4 HER'!G13</f>
        <v>60</v>
      </c>
      <c r="H134" s="453">
        <f>'HR Track 4 HER'!H13</f>
        <v>0</v>
      </c>
      <c r="I134" s="501">
        <f>'HR Track 4 HER'!I13</f>
        <v>0</v>
      </c>
      <c r="J134" s="583"/>
      <c r="K134" s="452"/>
      <c r="L134" s="452">
        <f>'HR Track 4 HER'!L13</f>
        <v>0</v>
      </c>
      <c r="M134" s="452">
        <f>'HR Track 4 HER'!M13</f>
        <v>0</v>
      </c>
      <c r="N134" s="501">
        <f>'HR Track 4 HER'!N13</f>
        <v>0</v>
      </c>
      <c r="O134" s="501">
        <f>'HR Track 4 HER'!O13</f>
        <v>0</v>
      </c>
      <c r="P134" s="501">
        <f>'HR Track 4 HER'!P13</f>
        <v>0</v>
      </c>
      <c r="Q134" s="452">
        <f>'HR Track 4 HER'!Q13</f>
        <v>0</v>
      </c>
      <c r="R134" s="452">
        <f>'HR Track 4 HER'!R13</f>
        <v>0</v>
      </c>
      <c r="S134" s="500">
        <f>'HR Track 4 HER'!S13</f>
        <v>0</v>
      </c>
      <c r="T134" s="452">
        <f>'HR Track 4 HER'!T13</f>
        <v>0</v>
      </c>
      <c r="U134" s="452">
        <f>'HR Track 4 HER'!U13</f>
        <v>0</v>
      </c>
      <c r="V134" s="452">
        <f>'HR Track 4 HER'!V13</f>
        <v>0</v>
      </c>
      <c r="W134" s="452">
        <f>'HR Track 4 HER'!W13</f>
        <v>0</v>
      </c>
      <c r="X134" s="452">
        <f>'HR Track 4 HER'!X13</f>
        <v>0</v>
      </c>
      <c r="Y134" s="452">
        <f>'HR Track 4 HER'!Y13</f>
        <v>0</v>
      </c>
      <c r="Z134" s="452">
        <f>'HR Track 4 HER'!Z13</f>
        <v>0</v>
      </c>
      <c r="AA134" s="452">
        <f>'HR Track 4 HER'!AA13</f>
        <v>0</v>
      </c>
      <c r="AB134" s="452">
        <f>'HR Track 4 HER'!AB13</f>
        <v>0</v>
      </c>
      <c r="AC134" s="452">
        <f>'HR Track 4 HER'!AC13</f>
        <v>0</v>
      </c>
      <c r="AD134" s="452">
        <f>'HR Track 4 HER'!AD13</f>
        <v>0</v>
      </c>
      <c r="AE134" s="452">
        <f>'HR Track 4 HER'!AE13</f>
        <v>0</v>
      </c>
      <c r="AF134" s="452">
        <f>'HR Track 4 HER'!AF13</f>
        <v>0</v>
      </c>
      <c r="AG134" s="451">
        <f>'HR Track 4 HER'!AG13</f>
        <v>0</v>
      </c>
      <c r="AH134" s="452">
        <f>'HR Track 4 HER'!AH13</f>
        <v>0</v>
      </c>
      <c r="AI134" s="452">
        <f>'HR Track 4 HER'!AI13</f>
        <v>0</v>
      </c>
      <c r="AJ134" s="452">
        <f>'HR Track 4 HER'!AJ13</f>
        <v>0</v>
      </c>
      <c r="AK134" s="452">
        <f>'HR Track 4 HER'!AK13</f>
        <v>0</v>
      </c>
      <c r="AL134" s="452">
        <f>'HR Track 4 HER'!AL13</f>
        <v>0</v>
      </c>
      <c r="AM134" s="452">
        <f>'HR Track 4 HER'!AM13</f>
        <v>0</v>
      </c>
      <c r="AN134" s="500">
        <f>'HR Track 4 HER'!AN13</f>
        <v>0</v>
      </c>
      <c r="AO134" s="452">
        <f>'HR Track 4 HER'!AO13</f>
        <v>0</v>
      </c>
      <c r="AP134" s="452">
        <f>'HR Track 4 HER'!AP13</f>
        <v>0</v>
      </c>
      <c r="AQ134" s="452">
        <f>'HR Track 4 HER'!AQ13</f>
        <v>-0.44888002799999999</v>
      </c>
      <c r="AR134" s="452">
        <f>'HR Track 4 HER'!AR13</f>
        <v>0</v>
      </c>
      <c r="AS134" s="452">
        <f>'HR Track 4 HER'!AS13</f>
        <v>0</v>
      </c>
      <c r="AT134" s="452">
        <f>'HR Track 4 HER'!AT13</f>
        <v>0</v>
      </c>
      <c r="AU134" s="452">
        <f>'HR Track 4 HER'!AU13</f>
        <v>0</v>
      </c>
      <c r="AV134" s="452">
        <f>'HR Track 4 HER'!AV13</f>
        <v>0</v>
      </c>
      <c r="AW134" s="452">
        <f>'HR Track 4 HER'!AW13</f>
        <v>0</v>
      </c>
      <c r="AX134" s="452">
        <f>'HR Track 4 HER'!AX13</f>
        <v>0</v>
      </c>
      <c r="AY134" s="500">
        <f>'HR Track 4 HER'!AY13</f>
        <v>0</v>
      </c>
      <c r="AZ134" s="500"/>
      <c r="BA134" s="1333">
        <f>'HR Track 4 HER'!BA13</f>
        <v>0</v>
      </c>
      <c r="BB134" s="452">
        <f>'HR Track 4 HER'!BB13</f>
        <v>0</v>
      </c>
      <c r="BC134" s="1334">
        <f>'HR Track 4 HER'!BC13</f>
        <v>0</v>
      </c>
      <c r="BD134" s="1335">
        <f>'HR Track 4 HER'!BD13</f>
        <v>0</v>
      </c>
      <c r="BE134" s="1335">
        <f>'HR Track 4 HER'!BE13</f>
        <v>0</v>
      </c>
      <c r="BF134" s="1335">
        <f>'HR Track 4 HER'!BF13</f>
        <v>0</v>
      </c>
      <c r="BG134" s="1335">
        <f>'HR Track 4 HER'!BG13</f>
        <v>0</v>
      </c>
    </row>
    <row r="135" spans="1:59" ht="15.75" customHeight="1">
      <c r="A135" s="501"/>
      <c r="B135" s="716" t="str">
        <f>'HR Track 4 HER'!B14</f>
        <v>82-4.13</v>
      </c>
      <c r="C135" s="451">
        <f>'HR Track 4 HER'!C14</f>
        <v>82745.23</v>
      </c>
      <c r="D135" s="453">
        <f>'HR Track 4 HER'!D14</f>
        <v>0</v>
      </c>
      <c r="E135" s="452">
        <f>'HR Track 4 HER'!E14</f>
        <v>0</v>
      </c>
      <c r="F135" s="453">
        <f>'HR Track 4 HER'!F14</f>
        <v>0</v>
      </c>
      <c r="G135" s="500">
        <f>'HR Track 4 HER'!G14</f>
        <v>0</v>
      </c>
      <c r="H135" s="453">
        <f>'HR Track 4 HER'!H14</f>
        <v>0</v>
      </c>
      <c r="I135" s="501">
        <f>'HR Track 4 HER'!I14</f>
        <v>0</v>
      </c>
      <c r="J135" s="583"/>
      <c r="K135" s="452"/>
      <c r="L135" s="452">
        <f>'HR Track 4 HER'!L14</f>
        <v>0</v>
      </c>
      <c r="M135" s="452">
        <f>'HR Track 4 HER'!M14</f>
        <v>0</v>
      </c>
      <c r="N135" s="501" t="str">
        <f>'HR Track 4 HER'!N14</f>
        <v>EMT-1P</v>
      </c>
      <c r="O135" s="501">
        <f>'HR Track 4 HER'!O14</f>
        <v>0</v>
      </c>
      <c r="P135" s="501">
        <f>'HR Track 4 HER'!P14</f>
        <v>0</v>
      </c>
      <c r="Q135" s="452">
        <f>'HR Track 4 HER'!Q14</f>
        <v>0</v>
      </c>
      <c r="R135" s="452">
        <f>'HR Track 4 HER'!R14</f>
        <v>0</v>
      </c>
      <c r="S135" s="500">
        <f>'HR Track 4 HER'!S14</f>
        <v>0</v>
      </c>
      <c r="T135" s="452">
        <f>'HR Track 4 HER'!T14</f>
        <v>-35</v>
      </c>
      <c r="U135" s="452">
        <f>'HR Track 4 HER'!U14</f>
        <v>0</v>
      </c>
      <c r="V135" s="452">
        <f>'HR Track 4 HER'!V14</f>
        <v>0</v>
      </c>
      <c r="W135" s="452">
        <f>'HR Track 4 HER'!W14</f>
        <v>1.4</v>
      </c>
      <c r="X135" s="452">
        <f>'HR Track 4 HER'!X14</f>
        <v>0</v>
      </c>
      <c r="Y135" s="452">
        <f>'HR Track 4 HER'!Y14</f>
        <v>0</v>
      </c>
      <c r="Z135" s="452">
        <f>'HR Track 4 HER'!Z14</f>
        <v>0</v>
      </c>
      <c r="AA135" s="452">
        <f>'HR Track 4 HER'!AA14</f>
        <v>0</v>
      </c>
      <c r="AB135" s="452">
        <f>'HR Track 4 HER'!AB14</f>
        <v>0</v>
      </c>
      <c r="AC135" s="452" t="str">
        <f>'HR Track 4 HER'!AC14</f>
        <v>PH</v>
      </c>
      <c r="AD135" s="452">
        <f>'HR Track 4 HER'!AD14</f>
        <v>0</v>
      </c>
      <c r="AE135" s="452">
        <f>'HR Track 4 HER'!AE14</f>
        <v>0</v>
      </c>
      <c r="AF135" s="452">
        <f>'HR Track 4 HER'!AF14</f>
        <v>0</v>
      </c>
      <c r="AG135" s="451">
        <f>'HR Track 4 HER'!AG14</f>
        <v>0</v>
      </c>
      <c r="AH135" s="452">
        <f>'HR Track 4 HER'!AH14</f>
        <v>0</v>
      </c>
      <c r="AI135" s="452">
        <f>'HR Track 4 HER'!AI14</f>
        <v>0</v>
      </c>
      <c r="AJ135" s="452">
        <f>'HR Track 4 HER'!AJ14</f>
        <v>0</v>
      </c>
      <c r="AK135" s="452" t="str">
        <f>'HR Track 4 HER'!AK14</f>
        <v>S1</v>
      </c>
      <c r="AL135" s="452">
        <f>'HR Track 4 HER'!AL14</f>
        <v>0</v>
      </c>
      <c r="AM135" s="452">
        <f>'HR Track 4 HER'!AM14</f>
        <v>0</v>
      </c>
      <c r="AN135" s="500">
        <f>'HR Track 4 HER'!AN14</f>
        <v>5.5</v>
      </c>
      <c r="AO135" s="452">
        <f>'HR Track 4 HER'!AO14</f>
        <v>0</v>
      </c>
      <c r="AP135" s="452">
        <f>'HR Track 4 HER'!AP14</f>
        <v>0</v>
      </c>
      <c r="AQ135" s="452">
        <f>'HR Track 4 HER'!AQ14</f>
        <v>0</v>
      </c>
      <c r="AR135" s="452">
        <f>'HR Track 4 HER'!AR14</f>
        <v>0</v>
      </c>
      <c r="AS135" s="452">
        <f>'HR Track 4 HER'!AS14</f>
        <v>0</v>
      </c>
      <c r="AT135" s="452">
        <f>'HR Track 4 HER'!AT14</f>
        <v>-8.6083033211149758</v>
      </c>
      <c r="AU135" s="452">
        <f>'HR Track 4 HER'!AU14</f>
        <v>0</v>
      </c>
      <c r="AV135" s="452">
        <f>'HR Track 4 HER'!AV14</f>
        <v>0</v>
      </c>
      <c r="AW135" s="452">
        <f>'HR Track 4 HER'!AW14</f>
        <v>0</v>
      </c>
      <c r="AX135" s="452">
        <f>'HR Track 4 HER'!AX14</f>
        <v>0</v>
      </c>
      <c r="AY135" s="500">
        <f>'HR Track 4 HER'!AY14</f>
        <v>0</v>
      </c>
      <c r="AZ135" s="500"/>
      <c r="BA135" s="1333">
        <f>'HR Track 4 HER'!BA14</f>
        <v>0</v>
      </c>
      <c r="BB135" s="452">
        <f>'HR Track 4 HER'!BB14</f>
        <v>0</v>
      </c>
      <c r="BC135" s="1334">
        <f>'HR Track 4 HER'!BC14</f>
        <v>0</v>
      </c>
      <c r="BD135" s="1335">
        <f>'HR Track 4 HER'!BD14</f>
        <v>0</v>
      </c>
      <c r="BE135" s="1335">
        <f>'HR Track 4 HER'!BE14</f>
        <v>0</v>
      </c>
      <c r="BF135" s="1335">
        <f>'HR Track 4 HER'!BF14</f>
        <v>0</v>
      </c>
      <c r="BG135" s="1335">
        <f>'HR Track 4 HER'!BG14</f>
        <v>0</v>
      </c>
    </row>
    <row r="136" spans="1:59" ht="15.75" customHeight="1">
      <c r="A136" s="501"/>
      <c r="B136" s="716">
        <f>'HR Track 4 HER'!B15</f>
        <v>0</v>
      </c>
      <c r="C136" s="451">
        <f>'HR Track 4 HER'!C15</f>
        <v>0</v>
      </c>
      <c r="D136" s="453">
        <f>'HR Track 4 HER'!D15</f>
        <v>0</v>
      </c>
      <c r="E136" s="452">
        <f>'HR Track 4 HER'!E15</f>
        <v>0</v>
      </c>
      <c r="F136" s="453">
        <f>'HR Track 4 HER'!F15</f>
        <v>0</v>
      </c>
      <c r="G136" s="500">
        <f>'HR Track 4 HER'!G15</f>
        <v>62</v>
      </c>
      <c r="H136" s="453">
        <f>'HR Track 4 HER'!H15</f>
        <v>0</v>
      </c>
      <c r="I136" s="501">
        <f>'HR Track 4 HER'!I15</f>
        <v>0</v>
      </c>
      <c r="J136" s="583"/>
      <c r="K136" s="452"/>
      <c r="L136" s="452">
        <f>'HR Track 4 HER'!L15</f>
        <v>0</v>
      </c>
      <c r="M136" s="452">
        <f>'HR Track 4 HER'!M15</f>
        <v>0</v>
      </c>
      <c r="N136" s="501">
        <f>'HR Track 4 HER'!N15</f>
        <v>0</v>
      </c>
      <c r="O136" s="501">
        <f>'HR Track 4 HER'!O15</f>
        <v>0</v>
      </c>
      <c r="P136" s="501">
        <f>'HR Track 4 HER'!P15</f>
        <v>0</v>
      </c>
      <c r="Q136" s="452">
        <f>'HR Track 4 HER'!Q15</f>
        <v>0</v>
      </c>
      <c r="R136" s="452">
        <f>'HR Track 4 HER'!R15</f>
        <v>0</v>
      </c>
      <c r="S136" s="500">
        <f>'HR Track 4 HER'!S15</f>
        <v>0</v>
      </c>
      <c r="T136" s="452">
        <f>'HR Track 4 HER'!T15</f>
        <v>0</v>
      </c>
      <c r="U136" s="452">
        <f>'HR Track 4 HER'!U15</f>
        <v>0</v>
      </c>
      <c r="V136" s="452">
        <f>'HR Track 4 HER'!V15</f>
        <v>0</v>
      </c>
      <c r="W136" s="452">
        <f>'HR Track 4 HER'!W15</f>
        <v>0</v>
      </c>
      <c r="X136" s="452">
        <f>'HR Track 4 HER'!X15</f>
        <v>0</v>
      </c>
      <c r="Y136" s="452">
        <f>'HR Track 4 HER'!Y15</f>
        <v>0</v>
      </c>
      <c r="Z136" s="452">
        <f>'HR Track 4 HER'!Z15</f>
        <v>0</v>
      </c>
      <c r="AA136" s="452">
        <f>'HR Track 4 HER'!AA15</f>
        <v>0</v>
      </c>
      <c r="AB136" s="452">
        <f>'HR Track 4 HER'!AB15</f>
        <v>0</v>
      </c>
      <c r="AC136" s="452">
        <f>'HR Track 4 HER'!AC15</f>
        <v>0</v>
      </c>
      <c r="AD136" s="452">
        <f>'HR Track 4 HER'!AD15</f>
        <v>0</v>
      </c>
      <c r="AE136" s="452">
        <f>'HR Track 4 HER'!AE15</f>
        <v>0</v>
      </c>
      <c r="AF136" s="452">
        <f>'HR Track 4 HER'!AF15</f>
        <v>0</v>
      </c>
      <c r="AG136" s="451">
        <f>'HR Track 4 HER'!AG15</f>
        <v>0</v>
      </c>
      <c r="AH136" s="452">
        <f>'HR Track 4 HER'!AH15</f>
        <v>0</v>
      </c>
      <c r="AI136" s="452">
        <f>'HR Track 4 HER'!AI15</f>
        <v>0</v>
      </c>
      <c r="AJ136" s="452">
        <f>'HR Track 4 HER'!AJ15</f>
        <v>0</v>
      </c>
      <c r="AK136" s="452">
        <f>'HR Track 4 HER'!AK15</f>
        <v>0</v>
      </c>
      <c r="AL136" s="452">
        <f>'HR Track 4 HER'!AL15</f>
        <v>0</v>
      </c>
      <c r="AM136" s="452">
        <f>'HR Track 4 HER'!AM15</f>
        <v>0</v>
      </c>
      <c r="AN136" s="500">
        <f>'HR Track 4 HER'!AN15</f>
        <v>0</v>
      </c>
      <c r="AO136" s="452">
        <f>'HR Track 4 HER'!AO15</f>
        <v>0</v>
      </c>
      <c r="AP136" s="452">
        <f>'HR Track 4 HER'!AP15</f>
        <v>0</v>
      </c>
      <c r="AQ136" s="452">
        <f>'HR Track 4 HER'!AQ15</f>
        <v>0.45400350967741931</v>
      </c>
      <c r="AR136" s="452">
        <f>'HR Track 4 HER'!AR15</f>
        <v>0</v>
      </c>
      <c r="AS136" s="452">
        <f>'HR Track 4 HER'!AS15</f>
        <v>0</v>
      </c>
      <c r="AT136" s="452">
        <f>'HR Track 4 HER'!AT15</f>
        <v>0</v>
      </c>
      <c r="AU136" s="452">
        <f>'HR Track 4 HER'!AU15</f>
        <v>0</v>
      </c>
      <c r="AV136" s="452">
        <f>'HR Track 4 HER'!AV15</f>
        <v>0</v>
      </c>
      <c r="AW136" s="452">
        <f>'HR Track 4 HER'!AW15</f>
        <v>0</v>
      </c>
      <c r="AX136" s="452">
        <f>'HR Track 4 HER'!AX15</f>
        <v>0</v>
      </c>
      <c r="AY136" s="500">
        <f>'HR Track 4 HER'!AY15</f>
        <v>0</v>
      </c>
      <c r="AZ136" s="500"/>
      <c r="BA136" s="1333">
        <f>'HR Track 4 HER'!BA15</f>
        <v>0</v>
      </c>
      <c r="BB136" s="452">
        <f>'HR Track 4 HER'!BB15</f>
        <v>0</v>
      </c>
      <c r="BC136" s="1334">
        <f>'HR Track 4 HER'!BC15</f>
        <v>0</v>
      </c>
      <c r="BD136" s="1335">
        <f>'HR Track 4 HER'!BD15</f>
        <v>0</v>
      </c>
      <c r="BE136" s="1335">
        <f>'HR Track 4 HER'!BE15</f>
        <v>0</v>
      </c>
      <c r="BF136" s="1335">
        <f>'HR Track 4 HER'!BF15</f>
        <v>0</v>
      </c>
      <c r="BG136" s="1335">
        <f>'HR Track 4 HER'!BG15</f>
        <v>0</v>
      </c>
    </row>
    <row r="137" spans="1:59" ht="15.75" customHeight="1">
      <c r="A137" s="501"/>
      <c r="B137" s="716" t="str">
        <f>'HR Track 4 HER'!B16</f>
        <v>82-4.14</v>
      </c>
      <c r="C137" s="451">
        <f>'HR Track 4 HER'!C16</f>
        <v>82807.23</v>
      </c>
      <c r="D137" s="453">
        <f>'HR Track 4 HER'!D16</f>
        <v>0</v>
      </c>
      <c r="E137" s="452">
        <f>'HR Track 4 HER'!E16</f>
        <v>0</v>
      </c>
      <c r="F137" s="453">
        <f>'HR Track 4 HER'!F16</f>
        <v>0</v>
      </c>
      <c r="G137" s="500">
        <f>'HR Track 4 HER'!G16</f>
        <v>0</v>
      </c>
      <c r="H137" s="453">
        <f>'HR Track 4 HER'!H16</f>
        <v>0</v>
      </c>
      <c r="I137" s="501">
        <f>'HR Track 4 HER'!I16</f>
        <v>0</v>
      </c>
      <c r="J137" s="583"/>
      <c r="K137" s="452"/>
      <c r="L137" s="452">
        <f>'HR Track 4 HER'!L16</f>
        <v>0</v>
      </c>
      <c r="M137" s="452">
        <f>'HR Track 4 HER'!M16</f>
        <v>0</v>
      </c>
      <c r="N137" s="501" t="str">
        <f>'HR Track 4 HER'!N16</f>
        <v>EMT-2P</v>
      </c>
      <c r="O137" s="501">
        <f>'HR Track 4 HER'!O16</f>
        <v>0</v>
      </c>
      <c r="P137" s="501">
        <f>'HR Track 4 HER'!P16</f>
        <v>0</v>
      </c>
      <c r="Q137" s="452">
        <f>'HR Track 4 HER'!Q16</f>
        <v>0</v>
      </c>
      <c r="R137" s="452">
        <f>'HR Track 4 HER'!R16</f>
        <v>0</v>
      </c>
      <c r="S137" s="500">
        <f>'HR Track 4 HER'!S16</f>
        <v>0</v>
      </c>
      <c r="T137" s="452">
        <f>'HR Track 4 HER'!T16</f>
        <v>35</v>
      </c>
      <c r="U137" s="452">
        <f>'HR Track 4 HER'!U16</f>
        <v>0</v>
      </c>
      <c r="V137" s="452">
        <f>'HR Track 4 HER'!V16</f>
        <v>0</v>
      </c>
      <c r="W137" s="452">
        <f>'HR Track 4 HER'!W16</f>
        <v>1.4</v>
      </c>
      <c r="X137" s="452">
        <f>'HR Track 4 HER'!X16</f>
        <v>0</v>
      </c>
      <c r="Y137" s="452">
        <f>'HR Track 4 HER'!Y16</f>
        <v>0</v>
      </c>
      <c r="Z137" s="452">
        <f>'HR Track 4 HER'!Z16</f>
        <v>0</v>
      </c>
      <c r="AA137" s="452">
        <f>'HR Track 4 HER'!AA16</f>
        <v>0</v>
      </c>
      <c r="AB137" s="452">
        <f>'HR Track 4 HER'!AB16</f>
        <v>0</v>
      </c>
      <c r="AC137" s="452" t="str">
        <f>'HR Track 4 HER'!AC16</f>
        <v>PH</v>
      </c>
      <c r="AD137" s="452">
        <f>'HR Track 4 HER'!AD16</f>
        <v>0</v>
      </c>
      <c r="AE137" s="452">
        <f>'HR Track 4 HER'!AE16</f>
        <v>0</v>
      </c>
      <c r="AF137" s="452">
        <f>'HR Track 4 HER'!AF16</f>
        <v>0</v>
      </c>
      <c r="AG137" s="451">
        <f>'HR Track 4 HER'!AG16</f>
        <v>0</v>
      </c>
      <c r="AH137" s="452">
        <f>'HR Track 4 HER'!AH16</f>
        <v>0</v>
      </c>
      <c r="AI137" s="452">
        <f>'HR Track 4 HER'!AI16</f>
        <v>0</v>
      </c>
      <c r="AJ137" s="452">
        <f>'HR Track 4 HER'!AJ16</f>
        <v>0</v>
      </c>
      <c r="AK137" s="452" t="str">
        <f>'HR Track 4 HER'!AK16</f>
        <v>S1</v>
      </c>
      <c r="AL137" s="452">
        <f>'HR Track 4 HER'!AL16</f>
        <v>0</v>
      </c>
      <c r="AM137" s="452">
        <f>'HR Track 4 HER'!AM16</f>
        <v>0</v>
      </c>
      <c r="AN137" s="500">
        <f>'HR Track 4 HER'!AN16</f>
        <v>5.41</v>
      </c>
      <c r="AO137" s="452">
        <f>'HR Track 4 HER'!AO16</f>
        <v>0</v>
      </c>
      <c r="AP137" s="452">
        <f>'HR Track 4 HER'!AP16</f>
        <v>0</v>
      </c>
      <c r="AQ137" s="452">
        <f>'HR Track 4 HER'!AQ16</f>
        <v>0</v>
      </c>
      <c r="AR137" s="452">
        <f>'HR Track 4 HER'!AR16</f>
        <v>0</v>
      </c>
      <c r="AS137" s="452">
        <f>'HR Track 4 HER'!AS16</f>
        <v>0</v>
      </c>
      <c r="AT137" s="452">
        <f>'HR Track 4 HER'!AT16</f>
        <v>8.744294114244191</v>
      </c>
      <c r="AU137" s="452">
        <f>'HR Track 4 HER'!AU16</f>
        <v>0</v>
      </c>
      <c r="AV137" s="452">
        <f>'HR Track 4 HER'!AV16</f>
        <v>0</v>
      </c>
      <c r="AW137" s="452">
        <f>'HR Track 4 HER'!AW16</f>
        <v>0</v>
      </c>
      <c r="AX137" s="452">
        <f>'HR Track 4 HER'!AX16</f>
        <v>0</v>
      </c>
      <c r="AY137" s="500">
        <f>'HR Track 4 HER'!AY16</f>
        <v>0</v>
      </c>
      <c r="AZ137" s="500"/>
      <c r="BA137" s="1333">
        <f>'HR Track 4 HER'!BA16</f>
        <v>0</v>
      </c>
      <c r="BB137" s="452">
        <f>'HR Track 4 HER'!BB16</f>
        <v>0</v>
      </c>
      <c r="BC137" s="1334">
        <f>'HR Track 4 HER'!BC16</f>
        <v>0</v>
      </c>
      <c r="BD137" s="1335">
        <f>'HR Track 4 HER'!BD16</f>
        <v>0</v>
      </c>
      <c r="BE137" s="1335">
        <f>'HR Track 4 HER'!BE16</f>
        <v>0</v>
      </c>
      <c r="BF137" s="1335">
        <f>'HR Track 4 HER'!BF16</f>
        <v>0</v>
      </c>
      <c r="BG137" s="1335">
        <f>'HR Track 4 HER'!BG16</f>
        <v>0</v>
      </c>
    </row>
    <row r="138" spans="1:59" ht="15.75" customHeight="1">
      <c r="A138" s="501"/>
      <c r="B138" s="716">
        <f>'HR Track 4 HER'!B17</f>
        <v>0</v>
      </c>
      <c r="C138" s="451">
        <f>'HR Track 4 HER'!C17</f>
        <v>0</v>
      </c>
      <c r="D138" s="453">
        <f>'HR Track 4 HER'!D17</f>
        <v>0</v>
      </c>
      <c r="E138" s="452">
        <f>'HR Track 4 HER'!E17</f>
        <v>0</v>
      </c>
      <c r="F138" s="453">
        <f>'HR Track 4 HER'!F17</f>
        <v>0</v>
      </c>
      <c r="G138" s="500">
        <f>'HR Track 4 HER'!G17</f>
        <v>62</v>
      </c>
      <c r="H138" s="453">
        <f>'HR Track 4 HER'!H17</f>
        <v>0</v>
      </c>
      <c r="I138" s="501">
        <f>'HR Track 4 HER'!I17</f>
        <v>0</v>
      </c>
      <c r="J138" s="583"/>
      <c r="K138" s="452"/>
      <c r="L138" s="452">
        <f>'HR Track 4 HER'!L17</f>
        <v>0</v>
      </c>
      <c r="M138" s="452">
        <f>'HR Track 4 HER'!M17</f>
        <v>0</v>
      </c>
      <c r="N138" s="501">
        <f>'HR Track 4 HER'!N17</f>
        <v>0</v>
      </c>
      <c r="O138" s="501">
        <f>'HR Track 4 HER'!O17</f>
        <v>0</v>
      </c>
      <c r="P138" s="501">
        <f>'HR Track 4 HER'!P17</f>
        <v>0</v>
      </c>
      <c r="Q138" s="452">
        <f>'HR Track 4 HER'!Q17</f>
        <v>0</v>
      </c>
      <c r="R138" s="452">
        <f>'HR Track 4 HER'!R17</f>
        <v>0</v>
      </c>
      <c r="S138" s="500">
        <f>'HR Track 4 HER'!S17</f>
        <v>0</v>
      </c>
      <c r="T138" s="452">
        <f>'HR Track 4 HER'!T17</f>
        <v>0</v>
      </c>
      <c r="U138" s="452">
        <f>'HR Track 4 HER'!U17</f>
        <v>0</v>
      </c>
      <c r="V138" s="452">
        <f>'HR Track 4 HER'!V17</f>
        <v>0</v>
      </c>
      <c r="W138" s="452">
        <f>'HR Track 4 HER'!W17</f>
        <v>0</v>
      </c>
      <c r="X138" s="452">
        <f>'HR Track 4 HER'!X17</f>
        <v>0</v>
      </c>
      <c r="Y138" s="452">
        <f>'HR Track 4 HER'!Y17</f>
        <v>0</v>
      </c>
      <c r="Z138" s="452">
        <f>'HR Track 4 HER'!Z17</f>
        <v>0</v>
      </c>
      <c r="AA138" s="452">
        <f>'HR Track 4 HER'!AA17</f>
        <v>0</v>
      </c>
      <c r="AB138" s="452">
        <f>'HR Track 4 HER'!AB17</f>
        <v>0</v>
      </c>
      <c r="AC138" s="452">
        <f>'HR Track 4 HER'!AC17</f>
        <v>0</v>
      </c>
      <c r="AD138" s="452">
        <f>'HR Track 4 HER'!AD17</f>
        <v>0</v>
      </c>
      <c r="AE138" s="452">
        <f>'HR Track 4 HER'!AE17</f>
        <v>0</v>
      </c>
      <c r="AF138" s="452">
        <f>'HR Track 4 HER'!AF17</f>
        <v>0</v>
      </c>
      <c r="AG138" s="451">
        <f>'HR Track 4 HER'!AG17</f>
        <v>0</v>
      </c>
      <c r="AH138" s="452">
        <f>'HR Track 4 HER'!AH17</f>
        <v>0</v>
      </c>
      <c r="AI138" s="452">
        <f>'HR Track 4 HER'!AI17</f>
        <v>0</v>
      </c>
      <c r="AJ138" s="452">
        <f>'HR Track 4 HER'!AJ17</f>
        <v>0</v>
      </c>
      <c r="AK138" s="452">
        <f>'HR Track 4 HER'!AK17</f>
        <v>0</v>
      </c>
      <c r="AL138" s="452">
        <f>'HR Track 4 HER'!AL17</f>
        <v>0</v>
      </c>
      <c r="AM138" s="452">
        <f>'HR Track 4 HER'!AM17</f>
        <v>0</v>
      </c>
      <c r="AN138" s="500">
        <f>'HR Track 4 HER'!AN17</f>
        <v>0</v>
      </c>
      <c r="AO138" s="452">
        <f>'HR Track 4 HER'!AO17</f>
        <v>0</v>
      </c>
      <c r="AP138" s="452">
        <f>'HR Track 4 HER'!AP17</f>
        <v>0</v>
      </c>
      <c r="AQ138" s="452">
        <f>'HR Track 4 HER'!AQ17</f>
        <v>0.46765016498924739</v>
      </c>
      <c r="AR138" s="452">
        <f>'HR Track 4 HER'!AR17</f>
        <v>0</v>
      </c>
      <c r="AS138" s="452">
        <f>'HR Track 4 HER'!AS17</f>
        <v>0</v>
      </c>
      <c r="AT138" s="452">
        <f>'HR Track 4 HER'!AT17</f>
        <v>0</v>
      </c>
      <c r="AU138" s="452">
        <f>'HR Track 4 HER'!AU17</f>
        <v>0</v>
      </c>
      <c r="AV138" s="452">
        <f>'HR Track 4 HER'!AV17</f>
        <v>0</v>
      </c>
      <c r="AW138" s="452" t="str">
        <f>'HR Track 4 HER'!AW17</f>
        <v>Soil A</v>
      </c>
      <c r="AX138" s="452" t="str">
        <f>'HR Track 4 HER'!AX17</f>
        <v>PT</v>
      </c>
      <c r="AY138" s="500">
        <f>'HR Track 4 HER'!AY17</f>
        <v>0</v>
      </c>
      <c r="AZ138" s="500"/>
      <c r="BA138" s="1333" t="str">
        <f>'HR Track 4 HER'!BA17</f>
        <v>ü</v>
      </c>
      <c r="BB138" s="452">
        <f>'HR Track 4 HER'!BB17</f>
        <v>0</v>
      </c>
      <c r="BC138" s="1334">
        <f>'HR Track 4 HER'!BC17</f>
        <v>0</v>
      </c>
      <c r="BD138" s="1335">
        <f>'HR Track 4 HER'!BD17</f>
        <v>0</v>
      </c>
      <c r="BE138" s="1335">
        <f>'HR Track 4 HER'!BE17</f>
        <v>0</v>
      </c>
      <c r="BF138" s="1335">
        <f>'HR Track 4 HER'!BF17</f>
        <v>0</v>
      </c>
      <c r="BG138" s="1335">
        <f>'HR Track 4 HER'!BG17</f>
        <v>0</v>
      </c>
    </row>
    <row r="139" spans="1:59" ht="15.75" customHeight="1">
      <c r="A139" s="501"/>
      <c r="B139" s="716" t="str">
        <f>'HR Track 4 HER'!B18</f>
        <v>82-4.15</v>
      </c>
      <c r="C139" s="451">
        <f>'HR Track 4 HER'!C18</f>
        <v>82869.23</v>
      </c>
      <c r="D139" s="453">
        <f>'HR Track 4 HER'!D18</f>
        <v>0</v>
      </c>
      <c r="E139" s="452">
        <f>'HR Track 4 HER'!E18</f>
        <v>0</v>
      </c>
      <c r="F139" s="453" t="str">
        <f>'HR Track 4 HER'!F18</f>
        <v>0</v>
      </c>
      <c r="G139" s="500">
        <f>'HR Track 4 HER'!G18</f>
        <v>0</v>
      </c>
      <c r="H139" s="453" t="str">
        <f>'HR Track 4 HER'!H18</f>
        <v>S/A</v>
      </c>
      <c r="I139" s="501" t="str">
        <f>'HR Track 4 HER'!I18</f>
        <v>IO AnRW</v>
      </c>
      <c r="J139" s="583"/>
      <c r="K139" s="452"/>
      <c r="L139" s="452" t="str">
        <f>'HR Track 4 HER'!L18</f>
        <v>HEB-320L</v>
      </c>
      <c r="M139" s="452" t="str">
        <f>'HR Track 4 HER'!M18</f>
        <v>C7R</v>
      </c>
      <c r="N139" s="501" t="str">
        <f>'HR Track 4 HER'!N18</f>
        <v>EMT-T</v>
      </c>
      <c r="O139" s="501" t="str">
        <f>'HR Track 4 HER'!O18</f>
        <v>EMT-1</v>
      </c>
      <c r="P139" s="501">
        <f>'HR Track 4 HER'!P18</f>
        <v>0</v>
      </c>
      <c r="Q139" s="452">
        <f>'HR Track 4 HER'!Q18</f>
        <v>0</v>
      </c>
      <c r="R139" s="452">
        <f>'HR Track 4 HER'!R18</f>
        <v>0</v>
      </c>
      <c r="S139" s="500">
        <f>'HR Track 4 HER'!S18</f>
        <v>0</v>
      </c>
      <c r="T139" s="452">
        <f>'HR Track 4 HER'!T18</f>
        <v>15</v>
      </c>
      <c r="U139" s="452">
        <f>'HR Track 4 HER'!U18</f>
        <v>-30</v>
      </c>
      <c r="V139" s="452">
        <f>'HR Track 4 HER'!V18</f>
        <v>0</v>
      </c>
      <c r="W139" s="452">
        <f>'HR Track 4 HER'!W18</f>
        <v>1.4</v>
      </c>
      <c r="X139" s="452">
        <f>'HR Track 4 HER'!X18</f>
        <v>2.2999999999999998</v>
      </c>
      <c r="Y139" s="452">
        <f>'HR Track 4 HER'!Y18</f>
        <v>0</v>
      </c>
      <c r="Z139" s="452">
        <f>'HR Track 4 HER'!Z18</f>
        <v>0.51</v>
      </c>
      <c r="AA139" s="452">
        <f>'HR Track 4 HER'!AA18</f>
        <v>0</v>
      </c>
      <c r="AB139" s="452">
        <f>'HR Track 4 HER'!AB18</f>
        <v>0</v>
      </c>
      <c r="AC139" s="452">
        <f>'HR Track 4 HER'!AC18</f>
        <v>0</v>
      </c>
      <c r="AD139" s="452">
        <f>'HR Track 4 HER'!AD18</f>
        <v>0</v>
      </c>
      <c r="AE139" s="452">
        <f>'HR Track 4 HER'!AE18</f>
        <v>0</v>
      </c>
      <c r="AF139" s="452">
        <f>'HR Track 4 HER'!AF18</f>
        <v>0</v>
      </c>
      <c r="AG139" s="451">
        <f>'HR Track 4 HER'!AG18</f>
        <v>0</v>
      </c>
      <c r="AH139" s="452">
        <f>'HR Track 4 HER'!AH18</f>
        <v>0</v>
      </c>
      <c r="AI139" s="452">
        <f>'HR Track 4 HER'!AI18</f>
        <v>0</v>
      </c>
      <c r="AJ139" s="452" t="str">
        <f>'HR Track 4 HER'!AJ18</f>
        <v>Disc/IO-pr</v>
      </c>
      <c r="AK139" s="452">
        <f>'HR Track 4 HER'!AK18</f>
        <v>0</v>
      </c>
      <c r="AL139" s="452" t="str">
        <f>'HR Track 4 HER'!AL18</f>
        <v>PR1C</v>
      </c>
      <c r="AM139" s="452" t="str">
        <f>'HR Track 4 HER'!AM18</f>
        <v>RW1</v>
      </c>
      <c r="AN139" s="500">
        <f>'HR Track 4 HER'!AN18</f>
        <v>5.32</v>
      </c>
      <c r="AO139" s="452">
        <f>'HR Track 4 HER'!AO18</f>
        <v>0</v>
      </c>
      <c r="AP139" s="452">
        <f>'HR Track 4 HER'!AP18</f>
        <v>0</v>
      </c>
      <c r="AQ139" s="452">
        <f>'HR Track 4 HER'!AQ18</f>
        <v>0</v>
      </c>
      <c r="AR139" s="452">
        <f>'HR Track 4 HER'!AR18</f>
        <v>0</v>
      </c>
      <c r="AS139" s="452">
        <f>'HR Track 4 HER'!AS18</f>
        <v>0</v>
      </c>
      <c r="AT139" s="452">
        <f>'HR Track 4 HER'!AT18</f>
        <v>-14.481770598853728</v>
      </c>
      <c r="AU139" s="452">
        <f>'HR Track 4 HER'!AU18</f>
        <v>0</v>
      </c>
      <c r="AV139" s="452">
        <f>'HR Track 4 HER'!AV18</f>
        <v>0</v>
      </c>
      <c r="AW139" s="452" t="str">
        <f>'HR Track 4 HER'!AW18</f>
        <v>Soil A</v>
      </c>
      <c r="AX139" s="452" t="str">
        <f>'HR Track 4 HER'!AX18</f>
        <v>PT</v>
      </c>
      <c r="AY139" s="500">
        <f>'HR Track 4 HER'!AY18</f>
        <v>4</v>
      </c>
      <c r="AZ139" s="500"/>
      <c r="BA139" s="1333" t="str">
        <f>'HR Track 4 HER'!BA18</f>
        <v>ü</v>
      </c>
      <c r="BB139" s="452" t="str">
        <f>'HR Track 4 HER'!BB18</f>
        <v>App.8-V08F-P10.3</v>
      </c>
      <c r="BC139" s="1334">
        <f>'HR Track 4 HER'!BC18</f>
        <v>0</v>
      </c>
      <c r="BD139" s="1335">
        <f>'HR Track 4 HER'!BD18</f>
        <v>0</v>
      </c>
      <c r="BE139" s="1335">
        <f>'HR Track 4 HER'!BE18</f>
        <v>0</v>
      </c>
      <c r="BF139" s="1335">
        <f>'HR Track 4 HER'!BF18</f>
        <v>0</v>
      </c>
      <c r="BG139" s="1335">
        <f>'HR Track 4 HER'!BG18</f>
        <v>0</v>
      </c>
    </row>
    <row r="140" spans="1:59" ht="15.75" customHeight="1">
      <c r="A140" s="501"/>
      <c r="B140" s="716">
        <f>'HR Track 4 HER'!B19</f>
        <v>0</v>
      </c>
      <c r="C140" s="451">
        <f>'HR Track 4 HER'!C19</f>
        <v>0</v>
      </c>
      <c r="D140" s="453">
        <f>'HR Track 4 HER'!D19</f>
        <v>0</v>
      </c>
      <c r="E140" s="452">
        <f>'HR Track 4 HER'!E19</f>
        <v>0</v>
      </c>
      <c r="F140" s="453">
        <f>'HR Track 4 HER'!F19</f>
        <v>0</v>
      </c>
      <c r="G140" s="500">
        <f>'HR Track 4 HER'!G19</f>
        <v>60.4</v>
      </c>
      <c r="H140" s="453">
        <f>'HR Track 4 HER'!H19</f>
        <v>0</v>
      </c>
      <c r="I140" s="501">
        <f>'HR Track 4 HER'!I19</f>
        <v>0</v>
      </c>
      <c r="J140" s="583"/>
      <c r="K140" s="452"/>
      <c r="L140" s="452">
        <f>'HR Track 4 HER'!L19</f>
        <v>0</v>
      </c>
      <c r="M140" s="452">
        <f>'HR Track 4 HER'!M19</f>
        <v>0</v>
      </c>
      <c r="N140" s="501">
        <f>'HR Track 4 HER'!N19</f>
        <v>0</v>
      </c>
      <c r="O140" s="501">
        <f>'HR Track 4 HER'!O19</f>
        <v>0</v>
      </c>
      <c r="P140" s="501">
        <f>'HR Track 4 HER'!P19</f>
        <v>0</v>
      </c>
      <c r="Q140" s="452">
        <f>'HR Track 4 HER'!Q19</f>
        <v>0</v>
      </c>
      <c r="R140" s="452">
        <f>'HR Track 4 HER'!R19</f>
        <v>0</v>
      </c>
      <c r="S140" s="500">
        <f>'HR Track 4 HER'!S19</f>
        <v>0</v>
      </c>
      <c r="T140" s="452">
        <f>'HR Track 4 HER'!T19</f>
        <v>0</v>
      </c>
      <c r="U140" s="452">
        <f>'HR Track 4 HER'!U19</f>
        <v>0</v>
      </c>
      <c r="V140" s="452">
        <f>'HR Track 4 HER'!V19</f>
        <v>0</v>
      </c>
      <c r="W140" s="452">
        <f>'HR Track 4 HER'!W19</f>
        <v>0</v>
      </c>
      <c r="X140" s="452">
        <f>'HR Track 4 HER'!X19</f>
        <v>0</v>
      </c>
      <c r="Y140" s="452">
        <f>'HR Track 4 HER'!Y19</f>
        <v>0</v>
      </c>
      <c r="Z140" s="452">
        <f>'HR Track 4 HER'!Z19</f>
        <v>0</v>
      </c>
      <c r="AA140" s="452">
        <f>'HR Track 4 HER'!AA19</f>
        <v>0</v>
      </c>
      <c r="AB140" s="452">
        <f>'HR Track 4 HER'!AB19</f>
        <v>0</v>
      </c>
      <c r="AC140" s="452">
        <f>'HR Track 4 HER'!AC19</f>
        <v>0</v>
      </c>
      <c r="AD140" s="452">
        <f>'HR Track 4 HER'!AD19</f>
        <v>0</v>
      </c>
      <c r="AE140" s="452">
        <f>'HR Track 4 HER'!AE19</f>
        <v>0</v>
      </c>
      <c r="AF140" s="452">
        <f>'HR Track 4 HER'!AF19</f>
        <v>0</v>
      </c>
      <c r="AG140" s="451">
        <f>'HR Track 4 HER'!AG19</f>
        <v>0</v>
      </c>
      <c r="AH140" s="452">
        <f>'HR Track 4 HER'!AH19</f>
        <v>0</v>
      </c>
      <c r="AI140" s="452">
        <f>'HR Track 4 HER'!AI19</f>
        <v>0</v>
      </c>
      <c r="AJ140" s="452">
        <f>'HR Track 4 HER'!AJ19</f>
        <v>0</v>
      </c>
      <c r="AK140" s="452">
        <f>'HR Track 4 HER'!AK19</f>
        <v>0</v>
      </c>
      <c r="AL140" s="452">
        <f>'HR Track 4 HER'!AL19</f>
        <v>0</v>
      </c>
      <c r="AM140" s="452">
        <f>'HR Track 4 HER'!AM19</f>
        <v>0</v>
      </c>
      <c r="AN140" s="500">
        <f>'HR Track 4 HER'!AN19</f>
        <v>0</v>
      </c>
      <c r="AO140" s="452">
        <f>'HR Track 4 HER'!AO19</f>
        <v>0</v>
      </c>
      <c r="AP140" s="452">
        <f>'HR Track 4 HER'!AP19</f>
        <v>0</v>
      </c>
      <c r="AQ140" s="452">
        <f>'HR Track 4 HER'!AQ19</f>
        <v>0.1316430689713024</v>
      </c>
      <c r="AR140" s="452">
        <f>'HR Track 4 HER'!AR19</f>
        <v>0</v>
      </c>
      <c r="AS140" s="452">
        <f>'HR Track 4 HER'!AS19</f>
        <v>0</v>
      </c>
      <c r="AT140" s="452">
        <f>'HR Track 4 HER'!AT19</f>
        <v>0</v>
      </c>
      <c r="AU140" s="452">
        <f>'HR Track 4 HER'!AU19</f>
        <v>0</v>
      </c>
      <c r="AV140" s="452">
        <f>'HR Track 4 HER'!AV19</f>
        <v>0</v>
      </c>
      <c r="AW140" s="452">
        <f>'HR Track 4 HER'!AW19</f>
        <v>0</v>
      </c>
      <c r="AX140" s="452">
        <f>'HR Track 4 HER'!AX19</f>
        <v>0</v>
      </c>
      <c r="AY140" s="500">
        <f>'HR Track 4 HER'!AY19</f>
        <v>0</v>
      </c>
      <c r="AZ140" s="500"/>
      <c r="BA140" s="1333">
        <f>'HR Track 4 HER'!BA19</f>
        <v>0</v>
      </c>
      <c r="BB140" s="452">
        <f>'HR Track 4 HER'!BB19</f>
        <v>0</v>
      </c>
      <c r="BC140" s="1334">
        <f>'HR Track 4 HER'!BC19</f>
        <v>0</v>
      </c>
      <c r="BD140" s="1335">
        <f>'HR Track 4 HER'!BD19</f>
        <v>0</v>
      </c>
      <c r="BE140" s="1335">
        <f>'HR Track 4 HER'!BE19</f>
        <v>0</v>
      </c>
      <c r="BF140" s="1335">
        <f>'HR Track 4 HER'!BF19</f>
        <v>0</v>
      </c>
      <c r="BG140" s="1335">
        <f>'HR Track 4 HER'!BG19</f>
        <v>0</v>
      </c>
    </row>
    <row r="141" spans="1:59" ht="15.75" customHeight="1">
      <c r="A141" s="501"/>
      <c r="B141" s="716" t="str">
        <f>'HR Track 4 HER'!B20</f>
        <v>82-4.16</v>
      </c>
      <c r="C141" s="451">
        <f>'HR Track 4 HER'!C20</f>
        <v>82929.62999999999</v>
      </c>
      <c r="D141" s="453">
        <f>'HR Track 4 HER'!D20</f>
        <v>0</v>
      </c>
      <c r="E141" s="452">
        <f>'HR Track 4 HER'!E20</f>
        <v>0</v>
      </c>
      <c r="F141" s="453">
        <f>'HR Track 4 HER'!F20</f>
        <v>0</v>
      </c>
      <c r="G141" s="500">
        <f>'HR Track 4 HER'!G20</f>
        <v>0</v>
      </c>
      <c r="H141" s="453" t="str">
        <f>'HR Track 4 HER'!H20</f>
        <v>S/A</v>
      </c>
      <c r="I141" s="501">
        <f>'HR Track 4 HER'!I20</f>
        <v>0</v>
      </c>
      <c r="J141" s="583"/>
      <c r="K141" s="452"/>
      <c r="L141" s="452" t="str">
        <f>'HR Track 4 HER'!L20</f>
        <v>HEB-320L</v>
      </c>
      <c r="M141" s="452" t="str">
        <f>'HR Track 4 HER'!M20</f>
        <v>C7R</v>
      </c>
      <c r="N141" s="501" t="str">
        <f>'HR Track 4 HER'!N20</f>
        <v>EMT-2</v>
      </c>
      <c r="O141" s="501" t="str">
        <f>'HR Track 4 HER'!O20</f>
        <v>EMT-T</v>
      </c>
      <c r="P141" s="501">
        <f>'HR Track 4 HER'!P20</f>
        <v>0</v>
      </c>
      <c r="Q141" s="452">
        <f>'HR Track 4 HER'!Q20</f>
        <v>0</v>
      </c>
      <c r="R141" s="452">
        <f>'HR Track 4 HER'!R20</f>
        <v>0</v>
      </c>
      <c r="S141" s="500">
        <f>'HR Track 4 HER'!S20</f>
        <v>0</v>
      </c>
      <c r="T141" s="452">
        <f>'HR Track 4 HER'!T20</f>
        <v>30</v>
      </c>
      <c r="U141" s="452">
        <f>'HR Track 4 HER'!U20</f>
        <v>-15</v>
      </c>
      <c r="V141" s="452">
        <f>'HR Track 4 HER'!V20</f>
        <v>0</v>
      </c>
      <c r="W141" s="452">
        <f>'HR Track 4 HER'!W20</f>
        <v>1.4</v>
      </c>
      <c r="X141" s="452">
        <f>'HR Track 4 HER'!X20</f>
        <v>2.2999999999999998</v>
      </c>
      <c r="Y141" s="452">
        <f>'HR Track 4 HER'!Y20</f>
        <v>0</v>
      </c>
      <c r="Z141" s="452">
        <f>'HR Track 4 HER'!Z20</f>
        <v>0</v>
      </c>
      <c r="AA141" s="452">
        <f>'HR Track 4 HER'!AA20</f>
        <v>0.69</v>
      </c>
      <c r="AB141" s="452">
        <f>'HR Track 4 HER'!AB20</f>
        <v>0</v>
      </c>
      <c r="AC141" s="452" t="str">
        <f>'HR Track 4 HER'!AC20</f>
        <v>PH</v>
      </c>
      <c r="AD141" s="452">
        <f>'HR Track 4 HER'!AD20</f>
        <v>0</v>
      </c>
      <c r="AE141" s="452">
        <f>'HR Track 4 HER'!AE20</f>
        <v>0</v>
      </c>
      <c r="AF141" s="452">
        <f>'HR Track 4 HER'!AF20</f>
        <v>0</v>
      </c>
      <c r="AG141" s="451">
        <f>'HR Track 4 HER'!AG20</f>
        <v>0</v>
      </c>
      <c r="AH141" s="452">
        <f>'HR Track 4 HER'!AH20</f>
        <v>0</v>
      </c>
      <c r="AI141" s="452">
        <f>'HR Track 4 HER'!AI20</f>
        <v>0</v>
      </c>
      <c r="AJ141" s="452">
        <f>'HR Track 4 HER'!AJ20</f>
        <v>0</v>
      </c>
      <c r="AK141" s="452">
        <f>'HR Track 4 HER'!AK20</f>
        <v>0</v>
      </c>
      <c r="AL141" s="452" t="str">
        <f>'HR Track 4 HER'!AL20</f>
        <v>PR1C</v>
      </c>
      <c r="AM141" s="452" t="str">
        <f>'HR Track 4 HER'!AM20</f>
        <v>RW1</v>
      </c>
      <c r="AN141" s="500">
        <f>'HR Track 4 HER'!AN20</f>
        <v>5.23</v>
      </c>
      <c r="AO141" s="452">
        <f>'HR Track 4 HER'!AO20</f>
        <v>0</v>
      </c>
      <c r="AP141" s="452">
        <f>'HR Track 4 HER'!AP20</f>
        <v>0</v>
      </c>
      <c r="AQ141" s="452">
        <f>'HR Track 4 HER'!AQ20</f>
        <v>0</v>
      </c>
      <c r="AR141" s="452">
        <f>'HR Track 4 HER'!AR20</f>
        <v>0</v>
      </c>
      <c r="AS141" s="452">
        <f>'HR Track 4 HER'!AS20</f>
        <v>0</v>
      </c>
      <c r="AT141" s="452">
        <f>'HR Track 4 HER'!AT20</f>
        <v>12.988117434352784</v>
      </c>
      <c r="AU141" s="452">
        <f>'HR Track 4 HER'!AU20</f>
        <v>0</v>
      </c>
      <c r="AV141" s="452">
        <f>'HR Track 4 HER'!AV20</f>
        <v>0</v>
      </c>
      <c r="AW141" s="452" t="str">
        <f>'HR Track 4 HER'!AW20</f>
        <v>Soil A</v>
      </c>
      <c r="AX141" s="452" t="str">
        <f>'HR Track 4 HER'!AX20</f>
        <v>PT</v>
      </c>
      <c r="AY141" s="500">
        <f>'HR Track 4 HER'!AY20</f>
        <v>4</v>
      </c>
      <c r="AZ141" s="500"/>
      <c r="BA141" s="1333" t="str">
        <f>'HR Track 4 HER'!BA20</f>
        <v>ü</v>
      </c>
      <c r="BB141" s="452" t="str">
        <f>'HR Track 4 HER'!BB20</f>
        <v>App.8-V08F-P10.3</v>
      </c>
      <c r="BC141" s="1334">
        <f>'HR Track 4 HER'!BC20</f>
        <v>0</v>
      </c>
      <c r="BD141" s="1335">
        <f>'HR Track 4 HER'!BD20</f>
        <v>0</v>
      </c>
      <c r="BE141" s="1335">
        <f>'HR Track 4 HER'!BE20</f>
        <v>0</v>
      </c>
      <c r="BF141" s="1335">
        <f>'HR Track 4 HER'!BF20</f>
        <v>0</v>
      </c>
      <c r="BG141" s="1335">
        <f>'HR Track 4 HER'!BG20</f>
        <v>0</v>
      </c>
    </row>
    <row r="142" spans="1:59" ht="15.75" customHeight="1">
      <c r="A142" s="501"/>
      <c r="B142" s="716">
        <f>'HR Track 4 HER'!B21</f>
        <v>0</v>
      </c>
      <c r="C142" s="451">
        <f>'HR Track 4 HER'!C21</f>
        <v>0</v>
      </c>
      <c r="D142" s="453">
        <f>'HR Track 4 HER'!D21</f>
        <v>0</v>
      </c>
      <c r="E142" s="452">
        <f>'HR Track 4 HER'!E21</f>
        <v>0</v>
      </c>
      <c r="F142" s="453">
        <f>'HR Track 4 HER'!F21</f>
        <v>0</v>
      </c>
      <c r="G142" s="500">
        <f>'HR Track 4 HER'!G21</f>
        <v>54</v>
      </c>
      <c r="H142" s="453">
        <f>'HR Track 4 HER'!H21</f>
        <v>0</v>
      </c>
      <c r="I142" s="501">
        <f>'HR Track 4 HER'!I21</f>
        <v>0</v>
      </c>
      <c r="J142" s="583"/>
      <c r="K142" s="452"/>
      <c r="L142" s="452">
        <f>'HR Track 4 HER'!L21</f>
        <v>0</v>
      </c>
      <c r="M142" s="452">
        <f>'HR Track 4 HER'!M21</f>
        <v>0</v>
      </c>
      <c r="N142" s="501">
        <f>'HR Track 4 HER'!N21</f>
        <v>0</v>
      </c>
      <c r="O142" s="501">
        <f>'HR Track 4 HER'!O21</f>
        <v>0</v>
      </c>
      <c r="P142" s="501">
        <f>'HR Track 4 HER'!P21</f>
        <v>0</v>
      </c>
      <c r="Q142" s="452">
        <f>'HR Track 4 HER'!Q21</f>
        <v>0</v>
      </c>
      <c r="R142" s="452">
        <f>'HR Track 4 HER'!R21</f>
        <v>0</v>
      </c>
      <c r="S142" s="500">
        <f>'HR Track 4 HER'!S21</f>
        <v>0</v>
      </c>
      <c r="T142" s="452">
        <f>'HR Track 4 HER'!T21</f>
        <v>0</v>
      </c>
      <c r="U142" s="452">
        <f>'HR Track 4 HER'!U21</f>
        <v>0</v>
      </c>
      <c r="V142" s="452">
        <f>'HR Track 4 HER'!V21</f>
        <v>0</v>
      </c>
      <c r="W142" s="452">
        <f>'HR Track 4 HER'!W21</f>
        <v>0</v>
      </c>
      <c r="X142" s="452">
        <f>'HR Track 4 HER'!X21</f>
        <v>0</v>
      </c>
      <c r="Y142" s="452">
        <f>'HR Track 4 HER'!Y21</f>
        <v>0</v>
      </c>
      <c r="Z142" s="452">
        <f>'HR Track 4 HER'!Z21</f>
        <v>0</v>
      </c>
      <c r="AA142" s="452">
        <f>'HR Track 4 HER'!AA21</f>
        <v>0</v>
      </c>
      <c r="AB142" s="452">
        <f>'HR Track 4 HER'!AB21</f>
        <v>0</v>
      </c>
      <c r="AC142" s="452">
        <f>'HR Track 4 HER'!AC21</f>
        <v>0</v>
      </c>
      <c r="AD142" s="452">
        <f>'HR Track 4 HER'!AD21</f>
        <v>0</v>
      </c>
      <c r="AE142" s="452">
        <f>'HR Track 4 HER'!AE21</f>
        <v>0</v>
      </c>
      <c r="AF142" s="452">
        <f>'HR Track 4 HER'!AF21</f>
        <v>0</v>
      </c>
      <c r="AG142" s="451">
        <f>'HR Track 4 HER'!AG21</f>
        <v>0</v>
      </c>
      <c r="AH142" s="452">
        <f>'HR Track 4 HER'!AH21</f>
        <v>0</v>
      </c>
      <c r="AI142" s="452">
        <f>'HR Track 4 HER'!AI21</f>
        <v>0</v>
      </c>
      <c r="AJ142" s="452">
        <f>'HR Track 4 HER'!AJ21</f>
        <v>0</v>
      </c>
      <c r="AK142" s="452">
        <f>'HR Track 4 HER'!AK21</f>
        <v>0</v>
      </c>
      <c r="AL142" s="452">
        <f>'HR Track 4 HER'!AL21</f>
        <v>0</v>
      </c>
      <c r="AM142" s="452">
        <f>'HR Track 4 HER'!AM21</f>
        <v>0</v>
      </c>
      <c r="AN142" s="500">
        <f>'HR Track 4 HER'!AN21</f>
        <v>0</v>
      </c>
      <c r="AO142" s="452">
        <f>'HR Track 4 HER'!AO21</f>
        <v>0</v>
      </c>
      <c r="AP142" s="452">
        <f>'HR Track 4 HER'!AP21</f>
        <v>0</v>
      </c>
      <c r="AQ142" s="452">
        <f>'HR Track 4 HER'!AQ21</f>
        <v>-0.37802175327991644</v>
      </c>
      <c r="AR142" s="452">
        <f>'HR Track 4 HER'!AR21</f>
        <v>0</v>
      </c>
      <c r="AS142" s="452">
        <f>'HR Track 4 HER'!AS21</f>
        <v>0</v>
      </c>
      <c r="AT142" s="452">
        <f>'HR Track 4 HER'!AT21</f>
        <v>0</v>
      </c>
      <c r="AU142" s="452">
        <f>'HR Track 4 HER'!AU21</f>
        <v>0</v>
      </c>
      <c r="AV142" s="452">
        <f>'HR Track 4 HER'!AV21</f>
        <v>0</v>
      </c>
      <c r="AW142" s="452">
        <f>'HR Track 4 HER'!AW21</f>
        <v>0</v>
      </c>
      <c r="AX142" s="452">
        <f>'HR Track 4 HER'!AX21</f>
        <v>0</v>
      </c>
      <c r="AY142" s="500">
        <f>'HR Track 4 HER'!AY21</f>
        <v>0</v>
      </c>
      <c r="AZ142" s="500"/>
      <c r="BA142" s="1333">
        <f>'HR Track 4 HER'!BA21</f>
        <v>0</v>
      </c>
      <c r="BB142" s="452">
        <f>'HR Track 4 HER'!BB21</f>
        <v>0</v>
      </c>
      <c r="BC142" s="1334">
        <f>'HR Track 4 HER'!BC21</f>
        <v>0</v>
      </c>
      <c r="BD142" s="1335">
        <f>'HR Track 4 HER'!BD21</f>
        <v>0</v>
      </c>
      <c r="BE142" s="1335">
        <f>'HR Track 4 HER'!BE21</f>
        <v>0</v>
      </c>
      <c r="BF142" s="1335">
        <f>'HR Track 4 HER'!BF21</f>
        <v>0</v>
      </c>
      <c r="BG142" s="1335">
        <f>'HR Track 4 HER'!BG21</f>
        <v>0</v>
      </c>
    </row>
    <row r="143" spans="1:59" ht="15.75" customHeight="1">
      <c r="A143" s="501"/>
      <c r="B143" s="716" t="str">
        <f>'HR Track 4 HER'!B22</f>
        <v>82-4.17</v>
      </c>
      <c r="C143" s="451">
        <f>'HR Track 4 HER'!C22</f>
        <v>82983.809999999983</v>
      </c>
      <c r="D143" s="453">
        <f>'HR Track 4 HER'!D22</f>
        <v>0</v>
      </c>
      <c r="E143" s="452">
        <f>'HR Track 4 HER'!E22</f>
        <v>0</v>
      </c>
      <c r="F143" s="453">
        <f>'HR Track 4 HER'!F22</f>
        <v>10000</v>
      </c>
      <c r="G143" s="500">
        <f>'HR Track 4 HER'!G22</f>
        <v>0</v>
      </c>
      <c r="H143" s="453" t="str">
        <f>'HR Track 4 HER'!H22</f>
        <v>A/S</v>
      </c>
      <c r="I143" s="501" t="str">
        <f>'HR Track 4 HER'!I22</f>
        <v>CP+AnMC</v>
      </c>
      <c r="J143" s="583"/>
      <c r="K143" s="452"/>
      <c r="L143" s="452" t="str">
        <f>'HR Track 4 HER'!L22</f>
        <v>HEB-320L</v>
      </c>
      <c r="M143" s="452" t="str">
        <f>'HR Track 4 HER'!M22</f>
        <v>C7R</v>
      </c>
      <c r="N143" s="501" t="str">
        <f>'HR Track 4 HER'!N22</f>
        <v>EMT-1</v>
      </c>
      <c r="O143" s="501">
        <f>'HR Track 4 HER'!O22</f>
        <v>0</v>
      </c>
      <c r="P143" s="501">
        <f>'HR Track 4 HER'!P22</f>
        <v>0</v>
      </c>
      <c r="Q143" s="452">
        <f>'HR Track 4 HER'!Q22</f>
        <v>0</v>
      </c>
      <c r="R143" s="452">
        <f>'HR Track 4 HER'!R22</f>
        <v>0</v>
      </c>
      <c r="S143" s="500">
        <f>'HR Track 4 HER'!S22</f>
        <v>0</v>
      </c>
      <c r="T143" s="452">
        <f>'HR Track 4 HER'!T22</f>
        <v>-35</v>
      </c>
      <c r="U143" s="452">
        <f>'HR Track 4 HER'!U22</f>
        <v>0</v>
      </c>
      <c r="V143" s="452">
        <f>'HR Track 4 HER'!V22</f>
        <v>0</v>
      </c>
      <c r="W143" s="452">
        <f>'HR Track 4 HER'!W22</f>
        <v>1.2</v>
      </c>
      <c r="X143" s="452">
        <f>'HR Track 4 HER'!X22</f>
        <v>0</v>
      </c>
      <c r="Y143" s="452">
        <f>'HR Track 4 HER'!Y22</f>
        <v>0</v>
      </c>
      <c r="Z143" s="452">
        <f>'HR Track 4 HER'!Z22</f>
        <v>0</v>
      </c>
      <c r="AA143" s="452">
        <f>'HR Track 4 HER'!AA22</f>
        <v>0</v>
      </c>
      <c r="AB143" s="452">
        <f>'HR Track 4 HER'!AB22</f>
        <v>0</v>
      </c>
      <c r="AC143" s="452" t="str">
        <f>'HR Track 4 HER'!AC22</f>
        <v>PH-Q</v>
      </c>
      <c r="AD143" s="452">
        <f>'HR Track 4 HER'!AD22</f>
        <v>0</v>
      </c>
      <c r="AE143" s="452">
        <f>'HR Track 4 HER'!AE22</f>
        <v>0</v>
      </c>
      <c r="AF143" s="452">
        <f>'HR Track 4 HER'!AF22</f>
        <v>0</v>
      </c>
      <c r="AG143" s="451">
        <f>'HR Track 4 HER'!AG22</f>
        <v>0</v>
      </c>
      <c r="AH143" s="452">
        <f>'HR Track 4 HER'!AH22</f>
        <v>0</v>
      </c>
      <c r="AI143" s="452">
        <f>'HR Track 4 HER'!AI22</f>
        <v>0</v>
      </c>
      <c r="AJ143" s="452">
        <f>'HR Track 4 HER'!AJ22</f>
        <v>0</v>
      </c>
      <c r="AK143" s="452">
        <f>'HR Track 4 HER'!AK22</f>
        <v>0</v>
      </c>
      <c r="AL143" s="452" t="str">
        <f>'HR Track 4 HER'!AL22</f>
        <v>PR1C</v>
      </c>
      <c r="AM143" s="452" t="str">
        <f>'HR Track 4 HER'!AM22</f>
        <v>RW1</v>
      </c>
      <c r="AN143" s="500">
        <f>'HR Track 4 HER'!AN22</f>
        <v>5.15</v>
      </c>
      <c r="AO143" s="452">
        <f>'HR Track 4 HER'!AO22</f>
        <v>0</v>
      </c>
      <c r="AP143" s="452">
        <f>'HR Track 4 HER'!AP22</f>
        <v>0</v>
      </c>
      <c r="AQ143" s="452">
        <f>'HR Track 4 HER'!AQ22</f>
        <v>0</v>
      </c>
      <c r="AR143" s="452">
        <f>'HR Track 4 HER'!AR22</f>
        <v>0</v>
      </c>
      <c r="AS143" s="452">
        <f>'HR Track 4 HER'!AS22</f>
        <v>0</v>
      </c>
      <c r="AT143" s="452">
        <f>'HR Track 4 HER'!AT22</f>
        <v>-5.8220454110856892</v>
      </c>
      <c r="AU143" s="452">
        <f>'HR Track 4 HER'!AU22</f>
        <v>0</v>
      </c>
      <c r="AV143" s="452">
        <f>'HR Track 4 HER'!AV22</f>
        <v>0</v>
      </c>
      <c r="AW143" s="452" t="str">
        <f>'HR Track 4 HER'!AW22</f>
        <v>Soil A</v>
      </c>
      <c r="AX143" s="452" t="str">
        <f>'HR Track 4 HER'!AX22</f>
        <v>PT</v>
      </c>
      <c r="AY143" s="500">
        <f>'HR Track 4 HER'!AY22</f>
        <v>4</v>
      </c>
      <c r="AZ143" s="500"/>
      <c r="BA143" s="1333" t="str">
        <f>'HR Track 4 HER'!BA22</f>
        <v>ü</v>
      </c>
      <c r="BB143" s="452" t="str">
        <f>'HR Track 4 HER'!BB22</f>
        <v>App.8-V08F-P10.3</v>
      </c>
      <c r="BC143" s="1334">
        <f>'HR Track 4 HER'!BC22</f>
        <v>0</v>
      </c>
      <c r="BD143" s="1335">
        <f>'HR Track 4 HER'!BD22</f>
        <v>0</v>
      </c>
      <c r="BE143" s="1335">
        <f>'HR Track 4 HER'!BE22</f>
        <v>0</v>
      </c>
      <c r="BF143" s="1335">
        <f>'HR Track 4 HER'!BF22</f>
        <v>0</v>
      </c>
      <c r="BG143" s="1335">
        <f>'HR Track 4 HER'!BG22</f>
        <v>0</v>
      </c>
    </row>
    <row r="144" spans="1:59" ht="15.75" customHeight="1">
      <c r="S144" s="454"/>
      <c r="AN144" s="458"/>
      <c r="BA144" s="1305"/>
      <c r="BC144" s="169"/>
    </row>
    <row r="145" spans="19:55" ht="15.75" customHeight="1">
      <c r="S145" s="454"/>
      <c r="AN145" s="458"/>
      <c r="BA145" s="1305"/>
      <c r="BC145" s="169"/>
    </row>
    <row r="146" spans="19:55" ht="15.75" customHeight="1">
      <c r="S146" s="454"/>
      <c r="AN146" s="458"/>
      <c r="BA146" s="1305"/>
      <c r="BC146" s="169"/>
    </row>
    <row r="147" spans="19:55" ht="15.75" customHeight="1">
      <c r="S147" s="454"/>
      <c r="AN147" s="458"/>
      <c r="BA147" s="1305"/>
      <c r="BC147" s="169"/>
    </row>
    <row r="148" spans="19:55" ht="15.75" customHeight="1">
      <c r="S148" s="454"/>
      <c r="AN148" s="458"/>
      <c r="BA148" s="1305"/>
      <c r="BC148" s="169"/>
    </row>
    <row r="149" spans="19:55" ht="15.75" customHeight="1">
      <c r="S149" s="454"/>
      <c r="AN149" s="458"/>
      <c r="BA149" s="1305"/>
      <c r="BC149" s="169"/>
    </row>
    <row r="150" spans="19:55" ht="15.75" customHeight="1">
      <c r="S150" s="454"/>
      <c r="AN150" s="458"/>
      <c r="BA150" s="1305"/>
      <c r="BC150" s="169"/>
    </row>
    <row r="151" spans="19:55" ht="15.75" customHeight="1">
      <c r="S151" s="454"/>
      <c r="AN151" s="458"/>
      <c r="BA151" s="1305"/>
      <c r="BC151" s="169"/>
    </row>
    <row r="152" spans="19:55" ht="15.75" customHeight="1">
      <c r="S152" s="454"/>
      <c r="AN152" s="458"/>
      <c r="BA152" s="1305"/>
      <c r="BC152" s="169"/>
    </row>
    <row r="153" spans="19:55" ht="15.75" customHeight="1">
      <c r="S153" s="454"/>
      <c r="AN153" s="458"/>
      <c r="BA153" s="1305"/>
      <c r="BC153" s="169"/>
    </row>
    <row r="154" spans="19:55" ht="15.75" customHeight="1">
      <c r="S154" s="454"/>
      <c r="AN154" s="458"/>
      <c r="BA154" s="1305"/>
      <c r="BC154" s="169"/>
    </row>
    <row r="155" spans="19:55" ht="15.75" customHeight="1">
      <c r="S155" s="454"/>
      <c r="AN155" s="458"/>
      <c r="BA155" s="1305"/>
      <c r="BC155" s="169"/>
    </row>
    <row r="156" spans="19:55" ht="15.75" customHeight="1">
      <c r="S156" s="454"/>
      <c r="AN156" s="458"/>
      <c r="BA156" s="1305"/>
      <c r="BC156" s="169"/>
    </row>
    <row r="157" spans="19:55" ht="15.75" customHeight="1">
      <c r="S157" s="454"/>
      <c r="AN157" s="458"/>
      <c r="BA157" s="1305"/>
      <c r="BC157" s="169"/>
    </row>
    <row r="158" spans="19:55" ht="15.75" customHeight="1">
      <c r="S158" s="454"/>
      <c r="AN158" s="458"/>
      <c r="BA158" s="1305"/>
      <c r="BC158" s="169"/>
    </row>
    <row r="159" spans="19:55" ht="15.75" customHeight="1">
      <c r="S159" s="454"/>
      <c r="AN159" s="458"/>
      <c r="BA159" s="1305"/>
      <c r="BC159" s="169"/>
    </row>
    <row r="160" spans="19:55" ht="15.75" customHeight="1">
      <c r="S160" s="454"/>
      <c r="AN160" s="458"/>
      <c r="BA160" s="1305"/>
      <c r="BC160" s="169"/>
    </row>
    <row r="161" spans="19:55" ht="15.75" customHeight="1">
      <c r="S161" s="454"/>
      <c r="AN161" s="458"/>
      <c r="BA161" s="1305"/>
      <c r="BC161" s="169"/>
    </row>
    <row r="162" spans="19:55" ht="15.75" customHeight="1">
      <c r="S162" s="454"/>
      <c r="AN162" s="458"/>
      <c r="BA162" s="1305"/>
      <c r="BC162" s="169"/>
    </row>
    <row r="163" spans="19:55" ht="15.75" customHeight="1">
      <c r="S163" s="454"/>
      <c r="AN163" s="458"/>
      <c r="BA163" s="1305"/>
      <c r="BC163" s="169"/>
    </row>
    <row r="164" spans="19:55" ht="15.75" customHeight="1">
      <c r="S164" s="454"/>
      <c r="AN164" s="458"/>
      <c r="BA164" s="1305"/>
      <c r="BC164" s="169"/>
    </row>
    <row r="165" spans="19:55" ht="15.75" customHeight="1">
      <c r="S165" s="454"/>
      <c r="AN165" s="458"/>
      <c r="BA165" s="1305"/>
      <c r="BC165" s="169"/>
    </row>
    <row r="166" spans="19:55" ht="15.75" customHeight="1">
      <c r="S166" s="454"/>
      <c r="AN166" s="458"/>
      <c r="BA166" s="1305"/>
      <c r="BC166" s="169"/>
    </row>
    <row r="167" spans="19:55" ht="15.75" customHeight="1">
      <c r="S167" s="454"/>
      <c r="AN167" s="458"/>
      <c r="BA167" s="1305"/>
      <c r="BC167" s="169"/>
    </row>
    <row r="168" spans="19:55" ht="15.75" customHeight="1">
      <c r="S168" s="454"/>
      <c r="AN168" s="458"/>
      <c r="BA168" s="1305"/>
      <c r="BC168" s="169"/>
    </row>
    <row r="169" spans="19:55" ht="15.75" customHeight="1">
      <c r="S169" s="454"/>
      <c r="AN169" s="458"/>
      <c r="BA169" s="1305"/>
      <c r="BC169" s="169"/>
    </row>
    <row r="170" spans="19:55" ht="15.75" customHeight="1">
      <c r="S170" s="454"/>
      <c r="AN170" s="458"/>
      <c r="BA170" s="1305"/>
      <c r="BC170" s="169"/>
    </row>
    <row r="171" spans="19:55" ht="15.75" customHeight="1">
      <c r="S171" s="454"/>
      <c r="AN171" s="458"/>
      <c r="BA171" s="1305"/>
      <c r="BC171" s="169"/>
    </row>
    <row r="172" spans="19:55" ht="15.75" customHeight="1">
      <c r="S172" s="454"/>
      <c r="AN172" s="458"/>
      <c r="BA172" s="1305"/>
      <c r="BC172" s="169"/>
    </row>
    <row r="173" spans="19:55" ht="15.75" customHeight="1">
      <c r="S173" s="454"/>
      <c r="AN173" s="458"/>
      <c r="BA173" s="1305"/>
      <c r="BC173" s="169"/>
    </row>
    <row r="174" spans="19:55" ht="15.75" customHeight="1">
      <c r="S174" s="454"/>
      <c r="AN174" s="458"/>
      <c r="BA174" s="1305"/>
      <c r="BC174" s="169"/>
    </row>
    <row r="175" spans="19:55" ht="15.75" customHeight="1">
      <c r="S175" s="454"/>
      <c r="AN175" s="458"/>
      <c r="BA175" s="1305"/>
      <c r="BC175" s="169"/>
    </row>
    <row r="176" spans="19:55" ht="15.75" customHeight="1">
      <c r="S176" s="454"/>
      <c r="AN176" s="458"/>
      <c r="BA176" s="1305"/>
      <c r="BC176" s="169"/>
    </row>
    <row r="177" spans="19:55" ht="15.75" customHeight="1">
      <c r="S177" s="454"/>
      <c r="AN177" s="458"/>
      <c r="BA177" s="1305"/>
      <c r="BC177" s="169"/>
    </row>
    <row r="178" spans="19:55" ht="15.75" customHeight="1">
      <c r="S178" s="454"/>
      <c r="AN178" s="458"/>
      <c r="BA178" s="1305"/>
      <c r="BC178" s="169"/>
    </row>
    <row r="179" spans="19:55" ht="15.75" customHeight="1">
      <c r="S179" s="454"/>
      <c r="AN179" s="458"/>
      <c r="BA179" s="1305"/>
      <c r="BC179" s="169"/>
    </row>
    <row r="180" spans="19:55" ht="15.75" customHeight="1">
      <c r="S180" s="454"/>
      <c r="AN180" s="458"/>
      <c r="BA180" s="1305"/>
      <c r="BC180" s="169"/>
    </row>
    <row r="181" spans="19:55" ht="15.75" customHeight="1">
      <c r="S181" s="454"/>
      <c r="AN181" s="458"/>
      <c r="BA181" s="1305"/>
      <c r="BC181" s="169"/>
    </row>
    <row r="182" spans="19:55" ht="15.75" customHeight="1">
      <c r="S182" s="454"/>
      <c r="AN182" s="458"/>
      <c r="BA182" s="1305"/>
      <c r="BC182" s="169"/>
    </row>
    <row r="183" spans="19:55" ht="15.75" customHeight="1">
      <c r="S183" s="454"/>
      <c r="AN183" s="458"/>
      <c r="BA183" s="1305"/>
      <c r="BC183" s="169"/>
    </row>
    <row r="184" spans="19:55" ht="15.75" customHeight="1">
      <c r="S184" s="454"/>
      <c r="AN184" s="458"/>
      <c r="BA184" s="1305"/>
      <c r="BC184" s="169"/>
    </row>
    <row r="185" spans="19:55" ht="15.75" customHeight="1">
      <c r="S185" s="454"/>
      <c r="AN185" s="458"/>
      <c r="BA185" s="1305"/>
      <c r="BC185" s="169"/>
    </row>
    <row r="186" spans="19:55" ht="15.75" customHeight="1">
      <c r="S186" s="454"/>
      <c r="AN186" s="458"/>
      <c r="BA186" s="1305"/>
      <c r="BC186" s="169"/>
    </row>
    <row r="187" spans="19:55" ht="15.75" customHeight="1">
      <c r="S187" s="454"/>
      <c r="AN187" s="458"/>
      <c r="BA187" s="1305"/>
      <c r="BC187" s="169"/>
    </row>
    <row r="188" spans="19:55" ht="15.75" customHeight="1">
      <c r="S188" s="454"/>
      <c r="AN188" s="458"/>
      <c r="BA188" s="1305"/>
      <c r="BC188" s="169"/>
    </row>
    <row r="189" spans="19:55" ht="15.75" customHeight="1">
      <c r="S189" s="454"/>
      <c r="AN189" s="458"/>
      <c r="BA189" s="1305"/>
      <c r="BC189" s="169"/>
    </row>
    <row r="190" spans="19:55" ht="15.75" customHeight="1">
      <c r="S190" s="454"/>
      <c r="AN190" s="458"/>
      <c r="BA190" s="1305"/>
      <c r="BC190" s="169"/>
    </row>
    <row r="191" spans="19:55" ht="15.75" customHeight="1">
      <c r="S191" s="454"/>
      <c r="AN191" s="458"/>
      <c r="BA191" s="1305"/>
      <c r="BC191" s="169"/>
    </row>
    <row r="192" spans="19:55" ht="15.75" customHeight="1">
      <c r="S192" s="454"/>
      <c r="AN192" s="458"/>
      <c r="BA192" s="1305"/>
      <c r="BC192" s="169"/>
    </row>
    <row r="193" spans="19:55" ht="15.75" customHeight="1">
      <c r="S193" s="454"/>
      <c r="AN193" s="458"/>
      <c r="BA193" s="1305"/>
      <c r="BC193" s="169"/>
    </row>
    <row r="194" spans="19:55" ht="15.75" customHeight="1">
      <c r="S194" s="454"/>
      <c r="AN194" s="458"/>
      <c r="BA194" s="1305"/>
      <c r="BC194" s="169"/>
    </row>
    <row r="195" spans="19:55" ht="15.75" customHeight="1">
      <c r="S195" s="454"/>
      <c r="AN195" s="458"/>
      <c r="BA195" s="1305"/>
      <c r="BC195" s="169"/>
    </row>
    <row r="196" spans="19:55" ht="15.75" customHeight="1">
      <c r="S196" s="454"/>
      <c r="AN196" s="458"/>
      <c r="BA196" s="1305"/>
      <c r="BC196" s="169"/>
    </row>
    <row r="197" spans="19:55" ht="15.75" customHeight="1">
      <c r="S197" s="454"/>
      <c r="AN197" s="458"/>
      <c r="BA197" s="1305"/>
      <c r="BC197" s="169"/>
    </row>
    <row r="198" spans="19:55" ht="15.75" customHeight="1">
      <c r="S198" s="454"/>
      <c r="AN198" s="458"/>
      <c r="BA198" s="1305"/>
      <c r="BC198" s="169"/>
    </row>
    <row r="199" spans="19:55" ht="15.75" customHeight="1">
      <c r="S199" s="454"/>
      <c r="AN199" s="458"/>
      <c r="BA199" s="1305"/>
      <c r="BC199" s="169"/>
    </row>
    <row r="200" spans="19:55" ht="15.75" customHeight="1">
      <c r="S200" s="454"/>
      <c r="AN200" s="458"/>
      <c r="AV200" s="178"/>
      <c r="AW200" s="178"/>
      <c r="AX200" s="178"/>
      <c r="AY200" s="454"/>
      <c r="AZ200" s="454"/>
      <c r="BA200" s="1306"/>
      <c r="BC200" s="169"/>
    </row>
    <row r="201" spans="19:55" ht="15.75" customHeight="1">
      <c r="S201" s="454"/>
      <c r="AN201" s="458"/>
      <c r="AV201" s="178"/>
      <c r="AW201" s="178"/>
      <c r="AX201" s="178"/>
      <c r="AY201" s="454"/>
      <c r="AZ201" s="454"/>
      <c r="BA201" s="1306"/>
      <c r="BC201" s="169"/>
    </row>
    <row r="202" spans="19:55" ht="15.75" customHeight="1">
      <c r="S202" s="454"/>
      <c r="AN202" s="454"/>
      <c r="AO202" s="178"/>
      <c r="AP202" s="178"/>
      <c r="AQ202" s="454"/>
      <c r="AR202" s="454"/>
      <c r="AS202" s="454"/>
      <c r="AT202" s="454"/>
      <c r="AU202" s="178"/>
      <c r="AV202" s="178"/>
      <c r="AW202" s="178"/>
      <c r="AX202" s="178"/>
      <c r="AY202" s="454"/>
      <c r="AZ202" s="454"/>
      <c r="BA202" s="1306"/>
      <c r="BC202" s="169"/>
    </row>
    <row r="203" spans="19:55" ht="15.75" customHeight="1">
      <c r="S203" s="454"/>
      <c r="AN203" s="454"/>
      <c r="AO203" s="178"/>
      <c r="AP203" s="178"/>
      <c r="AQ203" s="454"/>
      <c r="AR203" s="454"/>
      <c r="AS203" s="454"/>
      <c r="AT203" s="454"/>
      <c r="AU203" s="178"/>
      <c r="AV203" s="178"/>
      <c r="AW203" s="178"/>
      <c r="AX203" s="178"/>
      <c r="AY203" s="454"/>
      <c r="AZ203" s="454"/>
      <c r="BA203" s="1306"/>
      <c r="BC203" s="169"/>
    </row>
    <row r="204" spans="19:55" ht="15.75" customHeight="1">
      <c r="S204" s="454"/>
      <c r="AN204" s="454"/>
      <c r="AO204" s="178"/>
      <c r="AP204" s="178"/>
      <c r="AQ204" s="454"/>
      <c r="AR204" s="454"/>
      <c r="AS204" s="454"/>
      <c r="AT204" s="454"/>
      <c r="AU204" s="178"/>
      <c r="AV204" s="178"/>
      <c r="AW204" s="178"/>
      <c r="AX204" s="178"/>
      <c r="AY204" s="454"/>
      <c r="AZ204" s="454"/>
      <c r="BA204" s="1306"/>
      <c r="BC204" s="169"/>
    </row>
    <row r="205" spans="19:55" ht="15.75" customHeight="1">
      <c r="S205" s="454"/>
      <c r="AN205" s="454"/>
      <c r="AO205" s="178"/>
      <c r="AP205" s="178"/>
      <c r="AQ205" s="454"/>
      <c r="AR205" s="454"/>
      <c r="AS205" s="454"/>
      <c r="AT205" s="454"/>
      <c r="AU205" s="178"/>
      <c r="BA205" s="1305"/>
      <c r="BC205" s="169"/>
    </row>
    <row r="206" spans="19:55" ht="15.75" customHeight="1">
      <c r="S206" s="454"/>
      <c r="AN206" s="454"/>
      <c r="AO206" s="178"/>
      <c r="AP206" s="178"/>
      <c r="AQ206" s="454"/>
      <c r="AR206" s="454"/>
      <c r="AS206" s="454"/>
      <c r="AT206" s="454"/>
      <c r="AU206" s="178"/>
      <c r="BA206" s="1305"/>
      <c r="BC206" s="169"/>
    </row>
    <row r="207" spans="19:55" ht="15.75" customHeight="1">
      <c r="S207" s="454"/>
      <c r="AN207" s="458"/>
      <c r="BA207" s="1305"/>
      <c r="BC207" s="169"/>
    </row>
    <row r="208" spans="19:55" ht="15.75" customHeight="1">
      <c r="S208" s="454"/>
      <c r="AN208" s="458"/>
      <c r="BA208" s="1305"/>
      <c r="BC208" s="169"/>
    </row>
    <row r="209" spans="19:55" ht="15.75" customHeight="1">
      <c r="S209" s="454"/>
      <c r="AN209" s="458"/>
      <c r="BA209" s="1305"/>
      <c r="BC209" s="169"/>
    </row>
    <row r="210" spans="19:55" ht="15.75" customHeight="1">
      <c r="S210" s="454"/>
      <c r="AN210" s="458"/>
      <c r="BA210" s="1305"/>
      <c r="BC210" s="169"/>
    </row>
    <row r="211" spans="19:55" ht="15.75" customHeight="1">
      <c r="S211" s="454"/>
      <c r="AN211" s="458"/>
      <c r="BA211" s="1305"/>
      <c r="BC211" s="169"/>
    </row>
    <row r="212" spans="19:55" ht="15.75" customHeight="1">
      <c r="S212" s="454"/>
      <c r="AN212" s="458"/>
      <c r="BA212" s="1305"/>
      <c r="BC212" s="169"/>
    </row>
    <row r="213" spans="19:55" ht="15.75" customHeight="1">
      <c r="S213" s="454"/>
      <c r="AN213" s="458"/>
      <c r="BA213" s="1305"/>
      <c r="BC213" s="169"/>
    </row>
    <row r="214" spans="19:55" ht="15.75" customHeight="1">
      <c r="S214" s="454"/>
      <c r="AN214" s="458"/>
      <c r="BA214" s="1305"/>
      <c r="BC214" s="169"/>
    </row>
    <row r="215" spans="19:55" ht="15.75" customHeight="1">
      <c r="S215" s="454"/>
      <c r="AN215" s="458"/>
      <c r="BA215" s="1305"/>
      <c r="BC215" s="169"/>
    </row>
    <row r="216" spans="19:55" ht="15.75" customHeight="1">
      <c r="S216" s="454"/>
      <c r="AN216" s="458"/>
      <c r="BA216" s="1305"/>
      <c r="BC216" s="169"/>
    </row>
    <row r="217" spans="19:55" ht="15.75" customHeight="1">
      <c r="S217" s="454"/>
      <c r="AN217" s="458"/>
      <c r="BA217" s="1305"/>
      <c r="BC217" s="169"/>
    </row>
    <row r="218" spans="19:55" ht="15.75" customHeight="1">
      <c r="S218" s="454"/>
      <c r="AN218" s="458"/>
      <c r="BA218" s="1305"/>
      <c r="BC218" s="169"/>
    </row>
    <row r="219" spans="19:55" ht="15.75" customHeight="1">
      <c r="S219" s="454"/>
      <c r="AN219" s="458"/>
      <c r="BA219" s="1305"/>
      <c r="BC219" s="169"/>
    </row>
    <row r="220" spans="19:55" ht="15.75" customHeight="1">
      <c r="S220" s="454"/>
      <c r="AN220" s="458"/>
      <c r="BA220" s="1305"/>
      <c r="BC220" s="169"/>
    </row>
    <row r="221" spans="19:55" ht="15.75" customHeight="1">
      <c r="S221" s="454"/>
      <c r="AN221" s="458"/>
      <c r="BA221" s="1305"/>
      <c r="BC221" s="169"/>
    </row>
    <row r="222" spans="19:55" ht="15.75" customHeight="1">
      <c r="S222" s="454"/>
      <c r="AN222" s="458"/>
      <c r="BA222" s="1305"/>
      <c r="BC222" s="169"/>
    </row>
    <row r="223" spans="19:55" ht="15.75" customHeight="1">
      <c r="S223" s="454"/>
      <c r="AN223" s="458"/>
      <c r="BA223" s="1305"/>
      <c r="BC223" s="169"/>
    </row>
    <row r="224" spans="19:55" ht="15.75" customHeight="1">
      <c r="S224" s="454"/>
      <c r="AN224" s="458"/>
      <c r="BA224" s="1305"/>
      <c r="BC224" s="169"/>
    </row>
    <row r="225" spans="19:55" ht="15.75" customHeight="1">
      <c r="S225" s="454"/>
      <c r="AN225" s="458"/>
      <c r="BA225" s="1305"/>
      <c r="BC225" s="169"/>
    </row>
    <row r="226" spans="19:55" ht="15.75" customHeight="1">
      <c r="S226" s="454"/>
      <c r="AN226" s="458"/>
      <c r="BA226" s="1305"/>
      <c r="BC226" s="169"/>
    </row>
    <row r="227" spans="19:55" ht="15.75" customHeight="1">
      <c r="S227" s="454"/>
      <c r="AN227" s="458"/>
      <c r="BA227" s="1305"/>
      <c r="BC227" s="169"/>
    </row>
    <row r="228" spans="19:55" ht="15.75" customHeight="1">
      <c r="S228" s="454"/>
      <c r="AN228" s="458"/>
      <c r="BA228" s="1305"/>
      <c r="BC228" s="169"/>
    </row>
    <row r="229" spans="19:55" ht="15.75" customHeight="1">
      <c r="S229" s="454"/>
      <c r="AN229" s="458"/>
      <c r="BA229" s="1305"/>
      <c r="BC229" s="169"/>
    </row>
    <row r="230" spans="19:55" ht="15.75" customHeight="1">
      <c r="S230" s="454"/>
      <c r="AN230" s="458"/>
      <c r="BA230" s="1305"/>
      <c r="BC230" s="169"/>
    </row>
    <row r="231" spans="19:55" ht="15.75" customHeight="1">
      <c r="S231" s="454"/>
      <c r="AN231" s="458"/>
      <c r="BA231" s="1305"/>
      <c r="BC231" s="169"/>
    </row>
    <row r="232" spans="19:55" ht="15.75" customHeight="1">
      <c r="S232" s="454"/>
      <c r="AN232" s="458"/>
      <c r="BA232" s="1305"/>
      <c r="BC232" s="169"/>
    </row>
    <row r="233" spans="19:55" ht="15.75" customHeight="1">
      <c r="S233" s="454"/>
      <c r="AN233" s="458"/>
      <c r="BA233" s="1305"/>
      <c r="BC233" s="169"/>
    </row>
    <row r="234" spans="19:55" ht="15.75" customHeight="1">
      <c r="S234" s="454"/>
      <c r="AN234" s="458"/>
      <c r="BA234" s="1305"/>
      <c r="BC234" s="169"/>
    </row>
    <row r="235" spans="19:55" ht="15.75" customHeight="1">
      <c r="S235" s="454"/>
      <c r="AN235" s="458"/>
      <c r="BA235" s="1305"/>
      <c r="BC235" s="169"/>
    </row>
    <row r="236" spans="19:55" ht="15.75" customHeight="1">
      <c r="S236" s="454"/>
      <c r="AN236" s="458"/>
      <c r="BA236" s="1305"/>
      <c r="BC236" s="169"/>
    </row>
    <row r="237" spans="19:55" ht="15.75" customHeight="1">
      <c r="S237" s="454"/>
      <c r="AN237" s="458"/>
      <c r="BA237" s="1305"/>
      <c r="BC237" s="169"/>
    </row>
    <row r="238" spans="19:55" ht="15.75" customHeight="1">
      <c r="S238" s="454"/>
      <c r="AN238" s="458"/>
      <c r="BA238" s="1305"/>
      <c r="BC238" s="169"/>
    </row>
    <row r="239" spans="19:55" ht="15.75" customHeight="1">
      <c r="S239" s="454"/>
      <c r="AN239" s="458"/>
      <c r="BA239" s="1305"/>
      <c r="BC239" s="169"/>
    </row>
    <row r="240" spans="19:55" ht="15.75" customHeight="1">
      <c r="S240" s="454"/>
      <c r="AN240" s="458"/>
      <c r="BA240" s="1305"/>
      <c r="BC240" s="169"/>
    </row>
    <row r="241" spans="19:55" ht="15.75" customHeight="1">
      <c r="S241" s="454"/>
      <c r="AN241" s="458"/>
      <c r="BA241" s="1305"/>
      <c r="BC241" s="169"/>
    </row>
    <row r="242" spans="19:55" ht="15.75" customHeight="1">
      <c r="S242" s="454"/>
      <c r="AN242" s="458"/>
      <c r="BA242" s="1305"/>
      <c r="BC242" s="169"/>
    </row>
    <row r="243" spans="19:55" ht="15.75" customHeight="1">
      <c r="S243" s="454"/>
      <c r="AN243" s="458"/>
      <c r="BA243" s="1305"/>
      <c r="BC243" s="169"/>
    </row>
    <row r="244" spans="19:55" ht="15.75" customHeight="1">
      <c r="S244" s="454"/>
      <c r="AN244" s="458"/>
      <c r="BA244" s="1305"/>
      <c r="BC244" s="169"/>
    </row>
    <row r="245" spans="19:55" ht="15.75" customHeight="1">
      <c r="S245" s="454"/>
      <c r="AN245" s="458"/>
      <c r="BA245" s="1305"/>
      <c r="BC245" s="169"/>
    </row>
    <row r="246" spans="19:55" ht="15.75" customHeight="1">
      <c r="S246" s="454"/>
      <c r="AN246" s="458"/>
      <c r="BA246" s="1305"/>
      <c r="BC246" s="169"/>
    </row>
    <row r="247" spans="19:55" ht="15.75" customHeight="1">
      <c r="S247" s="454"/>
      <c r="AN247" s="458"/>
      <c r="BA247" s="1305"/>
      <c r="BC247" s="169"/>
    </row>
    <row r="248" spans="19:55" ht="15.75" customHeight="1">
      <c r="S248" s="454"/>
      <c r="AN248" s="458"/>
      <c r="BA248" s="1305"/>
      <c r="BC248" s="169"/>
    </row>
    <row r="249" spans="19:55" ht="15.75" customHeight="1">
      <c r="S249" s="454"/>
      <c r="AN249" s="458"/>
      <c r="BA249" s="1305"/>
      <c r="BC249" s="169"/>
    </row>
    <row r="250" spans="19:55" ht="15.75" customHeight="1">
      <c r="S250" s="454"/>
      <c r="AN250" s="458"/>
      <c r="BA250" s="1305"/>
      <c r="BC250" s="169"/>
    </row>
    <row r="251" spans="19:55" ht="15.75" customHeight="1">
      <c r="S251" s="454"/>
      <c r="AN251" s="458"/>
      <c r="BA251" s="1305"/>
      <c r="BC251" s="169"/>
    </row>
    <row r="252" spans="19:55" ht="15.75" customHeight="1">
      <c r="S252" s="454"/>
      <c r="AN252" s="458"/>
      <c r="BA252" s="1305"/>
      <c r="BC252" s="169"/>
    </row>
    <row r="253" spans="19:55" ht="15.75" customHeight="1">
      <c r="S253" s="454"/>
      <c r="AN253" s="458"/>
      <c r="BA253" s="1305"/>
      <c r="BC253" s="169"/>
    </row>
    <row r="254" spans="19:55" ht="15.75" customHeight="1">
      <c r="S254" s="454"/>
      <c r="AN254" s="458"/>
      <c r="BA254" s="1305"/>
      <c r="BC254" s="169"/>
    </row>
    <row r="255" spans="19:55" ht="15.75" customHeight="1">
      <c r="S255" s="454"/>
      <c r="AN255" s="458"/>
      <c r="BA255" s="1305"/>
      <c r="BC255" s="169"/>
    </row>
    <row r="256" spans="19:55" ht="15.75" customHeight="1">
      <c r="S256" s="454"/>
      <c r="AN256" s="458"/>
      <c r="BA256" s="1305"/>
      <c r="BC256" s="169"/>
    </row>
    <row r="257" spans="19:55" ht="15.75" customHeight="1">
      <c r="S257" s="454"/>
      <c r="AN257" s="458"/>
      <c r="BA257" s="1305"/>
      <c r="BC257" s="169"/>
    </row>
    <row r="258" spans="19:55" ht="15.75" customHeight="1">
      <c r="S258" s="454"/>
      <c r="AN258" s="458"/>
      <c r="BA258" s="1305"/>
      <c r="BC258" s="169"/>
    </row>
    <row r="259" spans="19:55" ht="15.75" customHeight="1">
      <c r="S259" s="454"/>
      <c r="AN259" s="458"/>
      <c r="BA259" s="1305"/>
      <c r="BC259" s="169"/>
    </row>
    <row r="260" spans="19:55" ht="15.75" customHeight="1">
      <c r="S260" s="454"/>
      <c r="AN260" s="458"/>
      <c r="BA260" s="1305"/>
      <c r="BC260" s="169"/>
    </row>
    <row r="261" spans="19:55" ht="15.75" customHeight="1">
      <c r="S261" s="454"/>
      <c r="AN261" s="458"/>
      <c r="BA261" s="1305"/>
      <c r="BC261" s="169"/>
    </row>
    <row r="262" spans="19:55" ht="15.75" customHeight="1">
      <c r="S262" s="454"/>
      <c r="AN262" s="458"/>
      <c r="BA262" s="1305"/>
      <c r="BC262" s="169"/>
    </row>
    <row r="263" spans="19:55" ht="15.75" customHeight="1">
      <c r="S263" s="454"/>
      <c r="AN263" s="458"/>
      <c r="BA263" s="1305"/>
      <c r="BC263" s="169"/>
    </row>
    <row r="264" spans="19:55" ht="15.75" customHeight="1">
      <c r="S264" s="454"/>
      <c r="AN264" s="458"/>
      <c r="BA264" s="1305"/>
      <c r="BC264" s="169"/>
    </row>
    <row r="265" spans="19:55" ht="15.75" customHeight="1">
      <c r="S265" s="454"/>
      <c r="AN265" s="458"/>
      <c r="BA265" s="1305"/>
      <c r="BC265" s="169"/>
    </row>
    <row r="266" spans="19:55" ht="15.75" customHeight="1">
      <c r="S266" s="454"/>
      <c r="AN266" s="458"/>
      <c r="BA266" s="1305"/>
      <c r="BC266" s="169"/>
    </row>
    <row r="267" spans="19:55" ht="15.75" customHeight="1">
      <c r="S267" s="454"/>
      <c r="AN267" s="458"/>
      <c r="BA267" s="1305"/>
      <c r="BC267" s="169"/>
    </row>
    <row r="268" spans="19:55" ht="15.75" customHeight="1">
      <c r="S268" s="454"/>
      <c r="AN268" s="458"/>
      <c r="BA268" s="1305"/>
      <c r="BC268" s="169"/>
    </row>
    <row r="269" spans="19:55" ht="15.75" customHeight="1">
      <c r="S269" s="454"/>
      <c r="AN269" s="458"/>
      <c r="BA269" s="1305"/>
      <c r="BC269" s="169"/>
    </row>
    <row r="270" spans="19:55" ht="15.75" customHeight="1">
      <c r="S270" s="454"/>
      <c r="AN270" s="458"/>
      <c r="BA270" s="1305"/>
      <c r="BC270" s="169"/>
    </row>
    <row r="271" spans="19:55" ht="15.75" customHeight="1">
      <c r="S271" s="454"/>
      <c r="AN271" s="458"/>
      <c r="BA271" s="1305"/>
      <c r="BC271" s="169"/>
    </row>
    <row r="272" spans="19:55" ht="15.75" customHeight="1">
      <c r="S272" s="454"/>
      <c r="AN272" s="458"/>
      <c r="BA272" s="1305"/>
      <c r="BC272" s="169"/>
    </row>
    <row r="273" spans="19:55" ht="15.75" customHeight="1">
      <c r="S273" s="454"/>
      <c r="AN273" s="458"/>
      <c r="BA273" s="1305"/>
      <c r="BC273" s="169"/>
    </row>
    <row r="274" spans="19:55" ht="15.75" customHeight="1">
      <c r="S274" s="454"/>
      <c r="AN274" s="458"/>
      <c r="BA274" s="1305"/>
      <c r="BC274" s="169"/>
    </row>
    <row r="275" spans="19:55" ht="15.75" customHeight="1">
      <c r="S275" s="454"/>
      <c r="AN275" s="458"/>
      <c r="BA275" s="1305"/>
      <c r="BC275" s="169"/>
    </row>
    <row r="276" spans="19:55" ht="15.75" customHeight="1">
      <c r="S276" s="454"/>
      <c r="AN276" s="458"/>
      <c r="BA276" s="1305"/>
      <c r="BC276" s="169"/>
    </row>
    <row r="277" spans="19:55" ht="15.75" customHeight="1">
      <c r="S277" s="454"/>
      <c r="AN277" s="458"/>
      <c r="BA277" s="1305"/>
      <c r="BC277" s="169"/>
    </row>
    <row r="278" spans="19:55" ht="15.75" customHeight="1">
      <c r="S278" s="454"/>
      <c r="AN278" s="458"/>
      <c r="BA278" s="1305"/>
      <c r="BC278" s="169"/>
    </row>
    <row r="279" spans="19:55" ht="15.75" customHeight="1">
      <c r="S279" s="454"/>
      <c r="AN279" s="458"/>
      <c r="BA279" s="1305"/>
      <c r="BC279" s="169"/>
    </row>
    <row r="280" spans="19:55" ht="15.75" customHeight="1">
      <c r="S280" s="454"/>
      <c r="AN280" s="458"/>
      <c r="BA280" s="1305"/>
      <c r="BC280" s="169"/>
    </row>
    <row r="281" spans="19:55" ht="15.75" customHeight="1">
      <c r="S281" s="454"/>
      <c r="AN281" s="458"/>
      <c r="BA281" s="1305"/>
      <c r="BC281" s="169"/>
    </row>
    <row r="282" spans="19:55" ht="15.75" customHeight="1">
      <c r="S282" s="454"/>
      <c r="AN282" s="458"/>
      <c r="BA282" s="1305"/>
      <c r="BC282" s="169"/>
    </row>
    <row r="283" spans="19:55" ht="15.75" customHeight="1">
      <c r="S283" s="454"/>
      <c r="AN283" s="458"/>
      <c r="BA283" s="1305"/>
      <c r="BC283" s="169"/>
    </row>
    <row r="284" spans="19:55" ht="15.75" customHeight="1">
      <c r="S284" s="454"/>
      <c r="AN284" s="458"/>
      <c r="BA284" s="1305"/>
      <c r="BC284" s="169"/>
    </row>
    <row r="285" spans="19:55" ht="15.75" customHeight="1">
      <c r="S285" s="454"/>
      <c r="AN285" s="458"/>
      <c r="BA285" s="1305"/>
      <c r="BC285" s="169"/>
    </row>
    <row r="286" spans="19:55" ht="15.75" customHeight="1">
      <c r="S286" s="454"/>
      <c r="AN286" s="458"/>
      <c r="BA286" s="1305"/>
      <c r="BC286" s="169"/>
    </row>
    <row r="287" spans="19:55" ht="15.75" customHeight="1">
      <c r="S287" s="454"/>
      <c r="AN287" s="458"/>
      <c r="BA287" s="1305"/>
      <c r="BC287" s="169"/>
    </row>
    <row r="288" spans="19:55" ht="15.75" customHeight="1">
      <c r="S288" s="454"/>
      <c r="AN288" s="458"/>
      <c r="BA288" s="1305"/>
      <c r="BC288" s="169"/>
    </row>
    <row r="289" spans="19:55" ht="15.75" customHeight="1">
      <c r="S289" s="454"/>
      <c r="AN289" s="458"/>
      <c r="BA289" s="1305"/>
      <c r="BC289" s="169"/>
    </row>
    <row r="290" spans="19:55" ht="15.75" customHeight="1">
      <c r="S290" s="454"/>
      <c r="AN290" s="458"/>
      <c r="BA290" s="1305"/>
      <c r="BC290" s="169"/>
    </row>
    <row r="291" spans="19:55" ht="15.75" customHeight="1">
      <c r="S291" s="454"/>
      <c r="AN291" s="458"/>
      <c r="BA291" s="1305"/>
      <c r="BC291" s="169"/>
    </row>
    <row r="292" spans="19:55" ht="15.75" customHeight="1">
      <c r="S292" s="454"/>
      <c r="AN292" s="458"/>
      <c r="BA292" s="1305"/>
      <c r="BC292" s="169"/>
    </row>
    <row r="293" spans="19:55" ht="15.75" customHeight="1">
      <c r="S293" s="454"/>
      <c r="AN293" s="458"/>
      <c r="BA293" s="1305"/>
      <c r="BC293" s="169"/>
    </row>
    <row r="294" spans="19:55" ht="15.75" customHeight="1">
      <c r="S294" s="454"/>
      <c r="AN294" s="458"/>
      <c r="BA294" s="1305"/>
      <c r="BC294" s="169"/>
    </row>
    <row r="295" spans="19:55" ht="15.75" customHeight="1">
      <c r="S295" s="454"/>
      <c r="AN295" s="458"/>
      <c r="BA295" s="1305"/>
      <c r="BC295" s="169"/>
    </row>
    <row r="296" spans="19:55" ht="15.75" customHeight="1">
      <c r="S296" s="454"/>
      <c r="AN296" s="458"/>
      <c r="BA296" s="1305"/>
      <c r="BC296" s="169"/>
    </row>
    <row r="297" spans="19:55" ht="15.75" customHeight="1">
      <c r="S297" s="454"/>
      <c r="AN297" s="458"/>
      <c r="BA297" s="1305"/>
      <c r="BC297" s="169"/>
    </row>
    <row r="298" spans="19:55" ht="15.75" customHeight="1">
      <c r="S298" s="454"/>
      <c r="AN298" s="458"/>
      <c r="BA298" s="1305"/>
      <c r="BC298" s="169"/>
    </row>
    <row r="299" spans="19:55" ht="15.75" customHeight="1">
      <c r="S299" s="454"/>
      <c r="AN299" s="458"/>
      <c r="BA299" s="1305"/>
      <c r="BC299" s="169"/>
    </row>
    <row r="300" spans="19:55" ht="15.75" customHeight="1">
      <c r="S300" s="454"/>
      <c r="AN300" s="458"/>
      <c r="BA300" s="1305"/>
      <c r="BC300" s="169"/>
    </row>
    <row r="301" spans="19:55" ht="15.75" customHeight="1">
      <c r="S301" s="454"/>
      <c r="AN301" s="458"/>
      <c r="BA301" s="1305"/>
      <c r="BC301" s="169"/>
    </row>
    <row r="302" spans="19:55" ht="15.75" customHeight="1">
      <c r="S302" s="454"/>
      <c r="AN302" s="458"/>
      <c r="BA302" s="1305"/>
      <c r="BC302" s="169"/>
    </row>
    <row r="303" spans="19:55" ht="15.75" customHeight="1">
      <c r="S303" s="454"/>
      <c r="AN303" s="458"/>
      <c r="BA303" s="1305"/>
      <c r="BC303" s="169"/>
    </row>
    <row r="304" spans="19:55" ht="15.75" customHeight="1">
      <c r="S304" s="454"/>
      <c r="AN304" s="458"/>
      <c r="BA304" s="1305"/>
      <c r="BC304" s="169"/>
    </row>
    <row r="305" spans="19:55" ht="15.75" customHeight="1">
      <c r="S305" s="454"/>
      <c r="AN305" s="458"/>
      <c r="BA305" s="1305"/>
      <c r="BC305" s="169"/>
    </row>
    <row r="306" spans="19:55" ht="15.75" customHeight="1">
      <c r="S306" s="454"/>
      <c r="AN306" s="458"/>
      <c r="BA306" s="1305"/>
      <c r="BC306" s="169"/>
    </row>
    <row r="307" spans="19:55" ht="15.75" customHeight="1">
      <c r="S307" s="454"/>
      <c r="AN307" s="458"/>
      <c r="BA307" s="1305"/>
      <c r="BC307" s="169"/>
    </row>
    <row r="308" spans="19:55" ht="15.75" customHeight="1">
      <c r="S308" s="454"/>
      <c r="AN308" s="458"/>
      <c r="BA308" s="1305"/>
      <c r="BC308" s="169"/>
    </row>
    <row r="309" spans="19:55" ht="15.75" customHeight="1">
      <c r="S309" s="454"/>
      <c r="AN309" s="458"/>
      <c r="BA309" s="1305"/>
      <c r="BC309" s="169"/>
    </row>
    <row r="310" spans="19:55" ht="15.75" customHeight="1">
      <c r="S310" s="454"/>
      <c r="AN310" s="458"/>
      <c r="BA310" s="1305"/>
      <c r="BC310" s="169"/>
    </row>
    <row r="311" spans="19:55" ht="15.75" customHeight="1">
      <c r="S311" s="454"/>
      <c r="AN311" s="458"/>
      <c r="BA311" s="1305"/>
      <c r="BC311" s="169"/>
    </row>
    <row r="312" spans="19:55" ht="15.75" customHeight="1">
      <c r="S312" s="454"/>
      <c r="AN312" s="458"/>
      <c r="BA312" s="1305"/>
      <c r="BC312" s="169"/>
    </row>
    <row r="313" spans="19:55" ht="15.75" customHeight="1">
      <c r="S313" s="454"/>
      <c r="AN313" s="458"/>
      <c r="BA313" s="1305"/>
      <c r="BC313" s="169"/>
    </row>
    <row r="314" spans="19:55" ht="15.75" customHeight="1">
      <c r="S314" s="454"/>
      <c r="AN314" s="458"/>
      <c r="BA314" s="1305"/>
      <c r="BC314" s="169"/>
    </row>
    <row r="315" spans="19:55" ht="15.75" customHeight="1">
      <c r="S315" s="454"/>
      <c r="AN315" s="458"/>
      <c r="BA315" s="1305"/>
      <c r="BC315" s="169"/>
    </row>
    <row r="316" spans="19:55" ht="15.75" customHeight="1">
      <c r="S316" s="454"/>
      <c r="AN316" s="458"/>
      <c r="BA316" s="1305"/>
      <c r="BC316" s="169"/>
    </row>
    <row r="317" spans="19:55" ht="15.75" customHeight="1">
      <c r="S317" s="454"/>
      <c r="AN317" s="458"/>
      <c r="BA317" s="1305"/>
      <c r="BC317" s="169"/>
    </row>
    <row r="318" spans="19:55" ht="15.75" customHeight="1">
      <c r="S318" s="454"/>
      <c r="AN318" s="458"/>
      <c r="BA318" s="1305"/>
      <c r="BC318" s="169"/>
    </row>
    <row r="319" spans="19:55" ht="15.75" customHeight="1">
      <c r="S319" s="454"/>
      <c r="AN319" s="458"/>
      <c r="BA319" s="1305"/>
      <c r="BC319" s="169"/>
    </row>
    <row r="320" spans="19:55" ht="15.75" customHeight="1">
      <c r="S320" s="454"/>
      <c r="AN320" s="458"/>
      <c r="BA320" s="1305"/>
      <c r="BC320" s="169"/>
    </row>
    <row r="321" spans="19:55" ht="15.75" customHeight="1">
      <c r="S321" s="454"/>
      <c r="AN321" s="458"/>
      <c r="BA321" s="1305"/>
      <c r="BC321" s="169"/>
    </row>
    <row r="322" spans="19:55" ht="15.75" customHeight="1">
      <c r="S322" s="454"/>
      <c r="AN322" s="458"/>
      <c r="BA322" s="1305"/>
      <c r="BC322" s="169"/>
    </row>
    <row r="323" spans="19:55" ht="15.75" customHeight="1">
      <c r="S323" s="454"/>
      <c r="AN323" s="458"/>
      <c r="BA323" s="1305"/>
      <c r="BC323" s="169"/>
    </row>
    <row r="324" spans="19:55" ht="15.75" customHeight="1">
      <c r="S324" s="454"/>
      <c r="AN324" s="458"/>
      <c r="BA324" s="1305"/>
      <c r="BC324" s="169"/>
    </row>
    <row r="325" spans="19:55" ht="15.75" customHeight="1">
      <c r="S325" s="454"/>
      <c r="AN325" s="458"/>
      <c r="BA325" s="1305"/>
      <c r="BC325" s="169"/>
    </row>
    <row r="326" spans="19:55" ht="15.75" customHeight="1">
      <c r="S326" s="454"/>
      <c r="AN326" s="458"/>
      <c r="BA326" s="1305"/>
      <c r="BC326" s="169"/>
    </row>
    <row r="327" spans="19:55" ht="15.75" customHeight="1">
      <c r="S327" s="454"/>
      <c r="AN327" s="458"/>
      <c r="BA327" s="1305"/>
      <c r="BC327" s="169"/>
    </row>
    <row r="328" spans="19:55" ht="15.75" customHeight="1">
      <c r="S328" s="454"/>
      <c r="AN328" s="458"/>
      <c r="BA328" s="1305"/>
      <c r="BC328" s="169"/>
    </row>
    <row r="329" spans="19:55" ht="15.75" customHeight="1">
      <c r="S329" s="454"/>
      <c r="AN329" s="458"/>
      <c r="BA329" s="1305"/>
      <c r="BC329" s="169"/>
    </row>
    <row r="330" spans="19:55" ht="15.75" customHeight="1">
      <c r="S330" s="454"/>
      <c r="AN330" s="458"/>
      <c r="BA330" s="1305"/>
      <c r="BC330" s="169"/>
    </row>
    <row r="331" spans="19:55" ht="15.75" customHeight="1">
      <c r="S331" s="454"/>
      <c r="AN331" s="458"/>
      <c r="BA331" s="1305"/>
      <c r="BC331" s="169"/>
    </row>
    <row r="332" spans="19:55" ht="15.75" customHeight="1">
      <c r="S332" s="454"/>
      <c r="AN332" s="458"/>
      <c r="BA332" s="1305"/>
      <c r="BC332" s="169"/>
    </row>
    <row r="333" spans="19:55" ht="15.75" customHeight="1">
      <c r="S333" s="454"/>
      <c r="AN333" s="458"/>
      <c r="BA333" s="1305"/>
      <c r="BC333" s="169"/>
    </row>
    <row r="334" spans="19:55" ht="15.75" customHeight="1">
      <c r="S334" s="454"/>
      <c r="AN334" s="458"/>
      <c r="BA334" s="1305"/>
      <c r="BC334" s="169"/>
    </row>
    <row r="335" spans="19:55" ht="15.75" customHeight="1">
      <c r="S335" s="454"/>
      <c r="AN335" s="458"/>
      <c r="BA335" s="1305"/>
      <c r="BC335" s="169"/>
    </row>
    <row r="336" spans="19:55" ht="15.75" customHeight="1">
      <c r="S336" s="454"/>
      <c r="AN336" s="458"/>
      <c r="BA336" s="1305"/>
      <c r="BC336" s="169"/>
    </row>
    <row r="337" spans="19:55" ht="15.75" customHeight="1">
      <c r="S337" s="454"/>
      <c r="AN337" s="458"/>
      <c r="BA337" s="1305"/>
      <c r="BC337" s="169"/>
    </row>
    <row r="338" spans="19:55" ht="15.75" customHeight="1">
      <c r="S338" s="454"/>
      <c r="AN338" s="458"/>
      <c r="BA338" s="1305"/>
      <c r="BC338" s="169"/>
    </row>
    <row r="339" spans="19:55" ht="15.75" customHeight="1">
      <c r="S339" s="454"/>
      <c r="AN339" s="458"/>
      <c r="BA339" s="1305"/>
      <c r="BC339" s="169"/>
    </row>
    <row r="340" spans="19:55" ht="15.75" customHeight="1">
      <c r="S340" s="454"/>
      <c r="AN340" s="458"/>
      <c r="BA340" s="1305"/>
      <c r="BC340" s="169"/>
    </row>
    <row r="341" spans="19:55" ht="15.75" customHeight="1">
      <c r="S341" s="454"/>
      <c r="AN341" s="458"/>
      <c r="BA341" s="1305"/>
      <c r="BC341" s="169"/>
    </row>
    <row r="342" spans="19:55" ht="15.75" customHeight="1">
      <c r="S342" s="454"/>
      <c r="AN342" s="458"/>
      <c r="BA342" s="1305"/>
      <c r="BC342" s="169"/>
    </row>
    <row r="343" spans="19:55" ht="15.75" customHeight="1">
      <c r="S343" s="454"/>
      <c r="AN343" s="458"/>
      <c r="BA343" s="1305"/>
      <c r="BC343" s="169"/>
    </row>
    <row r="344" spans="19:55" ht="15.75" customHeight="1">
      <c r="S344" s="454"/>
      <c r="AN344" s="458"/>
      <c r="BA344" s="1305"/>
      <c r="BC344" s="169"/>
    </row>
    <row r="345" spans="19:55" ht="15.75" customHeight="1">
      <c r="S345" s="454"/>
      <c r="AN345" s="458"/>
      <c r="BA345" s="1305"/>
      <c r="BC345" s="169"/>
    </row>
    <row r="346" spans="19:55" ht="15.75" customHeight="1">
      <c r="S346" s="454"/>
      <c r="AN346" s="458"/>
      <c r="BA346" s="1305"/>
      <c r="BC346" s="169"/>
    </row>
    <row r="347" spans="19:55" ht="15.75" customHeight="1">
      <c r="S347" s="454"/>
      <c r="AN347" s="458"/>
      <c r="BA347" s="1305"/>
      <c r="BC347" s="169"/>
    </row>
    <row r="348" spans="19:55" ht="15.75" customHeight="1">
      <c r="S348" s="454"/>
      <c r="AN348" s="458"/>
      <c r="BA348" s="1305"/>
      <c r="BC348" s="169"/>
    </row>
    <row r="349" spans="19:55" ht="15.75" customHeight="1">
      <c r="S349" s="454"/>
      <c r="AN349" s="458"/>
      <c r="BA349" s="1305"/>
      <c r="BC349" s="169"/>
    </row>
    <row r="350" spans="19:55" ht="15.75" customHeight="1">
      <c r="S350" s="454"/>
      <c r="AN350" s="458"/>
      <c r="BA350" s="1305"/>
      <c r="BC350" s="169"/>
    </row>
    <row r="351" spans="19:55" ht="15.75" customHeight="1">
      <c r="S351" s="454"/>
      <c r="AN351" s="458"/>
      <c r="BA351" s="1305"/>
      <c r="BC351" s="169"/>
    </row>
    <row r="352" spans="19:55" ht="15.75" customHeight="1">
      <c r="S352" s="454"/>
      <c r="AN352" s="458"/>
      <c r="BA352" s="1305"/>
      <c r="BC352" s="169"/>
    </row>
    <row r="353" spans="19:55" ht="15.75" customHeight="1">
      <c r="S353" s="454"/>
      <c r="AN353" s="458"/>
      <c r="BA353" s="1305"/>
      <c r="BC353" s="169"/>
    </row>
    <row r="354" spans="19:55" ht="15.75" customHeight="1">
      <c r="S354" s="454"/>
      <c r="AN354" s="458"/>
      <c r="BA354" s="1305"/>
      <c r="BC354" s="169"/>
    </row>
    <row r="355" spans="19:55" ht="15.75" customHeight="1">
      <c r="S355" s="454"/>
      <c r="AN355" s="458"/>
      <c r="BA355" s="1305"/>
      <c r="BC355" s="169"/>
    </row>
    <row r="356" spans="19:55" ht="15.75" customHeight="1">
      <c r="S356" s="454"/>
      <c r="AN356" s="458"/>
      <c r="BA356" s="1305"/>
      <c r="BC356" s="169"/>
    </row>
    <row r="357" spans="19:55" ht="15.75" customHeight="1">
      <c r="S357" s="454"/>
      <c r="AN357" s="458"/>
      <c r="BA357" s="1305"/>
      <c r="BC357" s="169"/>
    </row>
    <row r="358" spans="19:55" ht="15.75" customHeight="1">
      <c r="S358" s="454"/>
      <c r="AN358" s="458"/>
      <c r="BA358" s="1305"/>
      <c r="BC358" s="169"/>
    </row>
    <row r="359" spans="19:55" ht="15.75" customHeight="1">
      <c r="S359" s="454"/>
      <c r="AN359" s="458"/>
      <c r="BA359" s="1305"/>
      <c r="BC359" s="169"/>
    </row>
    <row r="360" spans="19:55" ht="15.75" customHeight="1">
      <c r="S360" s="454"/>
      <c r="AN360" s="458"/>
      <c r="BA360" s="1305"/>
      <c r="BC360" s="169"/>
    </row>
    <row r="361" spans="19:55" ht="15.75" customHeight="1">
      <c r="S361" s="454"/>
      <c r="AN361" s="458"/>
      <c r="BA361" s="1305"/>
      <c r="BC361" s="169"/>
    </row>
    <row r="362" spans="19:55" ht="15.75" customHeight="1">
      <c r="S362" s="454"/>
      <c r="AN362" s="458"/>
      <c r="BA362" s="1305"/>
      <c r="BC362" s="169"/>
    </row>
    <row r="363" spans="19:55" ht="15.75" customHeight="1">
      <c r="S363" s="454"/>
      <c r="AN363" s="458"/>
      <c r="BA363" s="1305"/>
      <c r="BC363" s="169"/>
    </row>
    <row r="364" spans="19:55" ht="15.75" customHeight="1">
      <c r="S364" s="454"/>
      <c r="AN364" s="458"/>
      <c r="BA364" s="1305"/>
      <c r="BC364" s="169"/>
    </row>
    <row r="365" spans="19:55" ht="15.75" customHeight="1">
      <c r="S365" s="454"/>
      <c r="AN365" s="458"/>
      <c r="BA365" s="1305"/>
      <c r="BC365" s="169"/>
    </row>
    <row r="366" spans="19:55" ht="15.75" customHeight="1">
      <c r="S366" s="454"/>
      <c r="AN366" s="458"/>
      <c r="BA366" s="1305"/>
      <c r="BC366" s="169"/>
    </row>
    <row r="367" spans="19:55" ht="15.75" customHeight="1">
      <c r="S367" s="454"/>
      <c r="AN367" s="458"/>
      <c r="BA367" s="1305"/>
      <c r="BC367" s="169"/>
    </row>
    <row r="368" spans="19:55" ht="15.75" customHeight="1">
      <c r="S368" s="454"/>
      <c r="AN368" s="458"/>
      <c r="BA368" s="1305"/>
      <c r="BC368" s="169"/>
    </row>
    <row r="369" spans="19:55" ht="15.75" customHeight="1">
      <c r="S369" s="454"/>
      <c r="AN369" s="458"/>
      <c r="BA369" s="1305"/>
      <c r="BC369" s="169"/>
    </row>
    <row r="370" spans="19:55" ht="15.75" customHeight="1">
      <c r="S370" s="454"/>
      <c r="AN370" s="458"/>
      <c r="BA370" s="1305"/>
      <c r="BC370" s="169"/>
    </row>
    <row r="371" spans="19:55" ht="15.75" customHeight="1">
      <c r="S371" s="454"/>
      <c r="AN371" s="458"/>
      <c r="BA371" s="1305"/>
      <c r="BC371" s="169"/>
    </row>
    <row r="372" spans="19:55" ht="15.75" customHeight="1">
      <c r="S372" s="454"/>
      <c r="AN372" s="458"/>
      <c r="BA372" s="1305"/>
      <c r="BC372" s="169"/>
    </row>
    <row r="373" spans="19:55" ht="15.75" customHeight="1">
      <c r="S373" s="454"/>
      <c r="AN373" s="458"/>
      <c r="BA373" s="1305"/>
      <c r="BC373" s="169"/>
    </row>
    <row r="374" spans="19:55" ht="15.75" customHeight="1">
      <c r="S374" s="454"/>
      <c r="AN374" s="458"/>
      <c r="BA374" s="1305"/>
      <c r="BC374" s="169"/>
    </row>
    <row r="375" spans="19:55" ht="15.75" customHeight="1">
      <c r="S375" s="454"/>
      <c r="AN375" s="458"/>
      <c r="BA375" s="1305"/>
      <c r="BC375" s="169"/>
    </row>
    <row r="376" spans="19:55" ht="15.75" customHeight="1">
      <c r="S376" s="454"/>
      <c r="AN376" s="458"/>
      <c r="BA376" s="1305"/>
      <c r="BC376" s="169"/>
    </row>
    <row r="377" spans="19:55" ht="15.75" customHeight="1">
      <c r="S377" s="454"/>
      <c r="AN377" s="458"/>
      <c r="BA377" s="1305"/>
      <c r="BC377" s="169"/>
    </row>
    <row r="378" spans="19:55" ht="15.75" customHeight="1">
      <c r="S378" s="454"/>
      <c r="AN378" s="458"/>
      <c r="BA378" s="1305"/>
      <c r="BC378" s="169"/>
    </row>
    <row r="379" spans="19:55" ht="15.75" customHeight="1">
      <c r="S379" s="454"/>
      <c r="AN379" s="458"/>
      <c r="BA379" s="1305"/>
      <c r="BC379" s="169"/>
    </row>
    <row r="380" spans="19:55" ht="15.75" customHeight="1">
      <c r="S380" s="454"/>
      <c r="AN380" s="458"/>
      <c r="BA380" s="1305"/>
      <c r="BC380" s="169"/>
    </row>
    <row r="381" spans="19:55" ht="15.75" customHeight="1">
      <c r="S381" s="454"/>
      <c r="AN381" s="458"/>
      <c r="BA381" s="1305"/>
      <c r="BC381" s="169"/>
    </row>
    <row r="382" spans="19:55" ht="15.75" customHeight="1">
      <c r="S382" s="454"/>
      <c r="AN382" s="458"/>
      <c r="BA382" s="1305"/>
      <c r="BC382" s="169"/>
    </row>
    <row r="383" spans="19:55" ht="15.75" customHeight="1">
      <c r="S383" s="454"/>
      <c r="AN383" s="458"/>
      <c r="BA383" s="1305"/>
      <c r="BC383" s="169"/>
    </row>
    <row r="384" spans="19:55" ht="15.75" customHeight="1">
      <c r="S384" s="454"/>
      <c r="AN384" s="458"/>
      <c r="BA384" s="1305"/>
      <c r="BC384" s="169"/>
    </row>
    <row r="385" spans="19:55" ht="15.75" customHeight="1">
      <c r="S385" s="454"/>
      <c r="AN385" s="458"/>
      <c r="BA385" s="1305"/>
      <c r="BC385" s="169"/>
    </row>
    <row r="386" spans="19:55" ht="15.75" customHeight="1">
      <c r="S386" s="454"/>
      <c r="AN386" s="458"/>
      <c r="BA386" s="1305"/>
      <c r="BC386" s="169"/>
    </row>
    <row r="387" spans="19:55" ht="15.75" customHeight="1">
      <c r="S387" s="454"/>
      <c r="AN387" s="458"/>
      <c r="BA387" s="1305"/>
      <c r="BC387" s="169"/>
    </row>
    <row r="388" spans="19:55" ht="15.75" customHeight="1">
      <c r="S388" s="454"/>
      <c r="AN388" s="458"/>
      <c r="BA388" s="1305"/>
      <c r="BC388" s="169"/>
    </row>
    <row r="389" spans="19:55" ht="15.75" customHeight="1">
      <c r="S389" s="454"/>
      <c r="AN389" s="458"/>
      <c r="BA389" s="1305"/>
      <c r="BC389" s="169"/>
    </row>
    <row r="390" spans="19:55" ht="15.75" customHeight="1">
      <c r="S390" s="454"/>
      <c r="AN390" s="458"/>
      <c r="BA390" s="1305"/>
      <c r="BC390" s="169"/>
    </row>
    <row r="391" spans="19:55" ht="15.75" customHeight="1">
      <c r="S391" s="454"/>
      <c r="AN391" s="458"/>
      <c r="BA391" s="1305"/>
      <c r="BC391" s="169"/>
    </row>
    <row r="392" spans="19:55" ht="15.75" customHeight="1">
      <c r="S392" s="454"/>
      <c r="AN392" s="458"/>
      <c r="BA392" s="1305"/>
      <c r="BC392" s="169"/>
    </row>
    <row r="393" spans="19:55" ht="15.75" customHeight="1">
      <c r="S393" s="454"/>
      <c r="AN393" s="458"/>
      <c r="BA393" s="1305"/>
      <c r="BC393" s="169"/>
    </row>
    <row r="394" spans="19:55" ht="15.75" customHeight="1">
      <c r="S394" s="454"/>
      <c r="AN394" s="458"/>
      <c r="BA394" s="1305"/>
      <c r="BC394" s="169"/>
    </row>
    <row r="395" spans="19:55" ht="15.75" customHeight="1">
      <c r="S395" s="454"/>
      <c r="AN395" s="458"/>
      <c r="BA395" s="1305"/>
      <c r="BC395" s="169"/>
    </row>
    <row r="396" spans="19:55" ht="15.75" customHeight="1">
      <c r="S396" s="454"/>
      <c r="AN396" s="458"/>
      <c r="BA396" s="1305"/>
      <c r="BC396" s="169"/>
    </row>
    <row r="397" spans="19:55" ht="15.75" customHeight="1">
      <c r="S397" s="454"/>
      <c r="AN397" s="458"/>
      <c r="BA397" s="1305"/>
      <c r="BC397" s="169"/>
    </row>
    <row r="398" spans="19:55" ht="15.75" customHeight="1">
      <c r="S398" s="454"/>
      <c r="AN398" s="458"/>
      <c r="BA398" s="1305"/>
      <c r="BC398" s="169"/>
    </row>
    <row r="399" spans="19:55" ht="15.75" customHeight="1">
      <c r="S399" s="454"/>
      <c r="AN399" s="458"/>
      <c r="BA399" s="1305"/>
      <c r="BC399" s="169"/>
    </row>
    <row r="400" spans="19:55" ht="15.75" customHeight="1">
      <c r="S400" s="454"/>
      <c r="AN400" s="458"/>
      <c r="BA400" s="1305"/>
      <c r="BC400" s="169"/>
    </row>
    <row r="401" spans="19:55" ht="15.75" customHeight="1">
      <c r="S401" s="454"/>
      <c r="AN401" s="458"/>
      <c r="BA401" s="1305"/>
      <c r="BC401" s="169"/>
    </row>
    <row r="402" spans="19:55" ht="15.75" customHeight="1">
      <c r="S402" s="454"/>
      <c r="AN402" s="458"/>
      <c r="BA402" s="1305"/>
      <c r="BC402" s="169"/>
    </row>
    <row r="403" spans="19:55" ht="15.75" customHeight="1">
      <c r="S403" s="454"/>
      <c r="AN403" s="458"/>
      <c r="BA403" s="1305"/>
      <c r="BC403" s="169"/>
    </row>
    <row r="404" spans="19:55" ht="15.75" customHeight="1">
      <c r="S404" s="454"/>
      <c r="AN404" s="458"/>
      <c r="BA404" s="1305"/>
      <c r="BC404" s="169"/>
    </row>
    <row r="405" spans="19:55" ht="15.75" customHeight="1">
      <c r="S405" s="454"/>
      <c r="AN405" s="458"/>
      <c r="BA405" s="1305"/>
      <c r="BC405" s="169"/>
    </row>
    <row r="406" spans="19:55" ht="15.75" customHeight="1">
      <c r="S406" s="454"/>
      <c r="AN406" s="458"/>
      <c r="BA406" s="1305"/>
      <c r="BC406" s="169"/>
    </row>
    <row r="407" spans="19:55" ht="15.75" customHeight="1">
      <c r="S407" s="454"/>
      <c r="AN407" s="458"/>
      <c r="BA407" s="1305"/>
      <c r="BC407" s="169"/>
    </row>
    <row r="408" spans="19:55" ht="15.75" customHeight="1">
      <c r="S408" s="454"/>
      <c r="AN408" s="458"/>
      <c r="BA408" s="1305"/>
      <c r="BC408" s="169"/>
    </row>
    <row r="409" spans="19:55" ht="15.75" customHeight="1">
      <c r="S409" s="454"/>
      <c r="AN409" s="458"/>
      <c r="BA409" s="1305"/>
      <c r="BC409" s="169"/>
    </row>
    <row r="410" spans="19:55" ht="15.75" customHeight="1">
      <c r="S410" s="454"/>
      <c r="AN410" s="458"/>
      <c r="BA410" s="1305"/>
      <c r="BC410" s="169"/>
    </row>
    <row r="411" spans="19:55" ht="15.75" customHeight="1">
      <c r="S411" s="454"/>
      <c r="AN411" s="458"/>
      <c r="BA411" s="1305"/>
      <c r="BC411" s="169"/>
    </row>
    <row r="412" spans="19:55" ht="15.75" customHeight="1">
      <c r="S412" s="454"/>
      <c r="AN412" s="458"/>
      <c r="BA412" s="1305"/>
      <c r="BC412" s="169"/>
    </row>
    <row r="413" spans="19:55" ht="15.75" customHeight="1">
      <c r="S413" s="454"/>
      <c r="AN413" s="458"/>
      <c r="BA413" s="1305"/>
      <c r="BC413" s="169"/>
    </row>
    <row r="414" spans="19:55" ht="15.75" customHeight="1">
      <c r="S414" s="454"/>
      <c r="AN414" s="458"/>
      <c r="BA414" s="1305"/>
      <c r="BC414" s="169"/>
    </row>
    <row r="415" spans="19:55" ht="15.75" customHeight="1">
      <c r="S415" s="454"/>
      <c r="AN415" s="458"/>
      <c r="BA415" s="1305"/>
      <c r="BC415" s="169"/>
    </row>
    <row r="416" spans="19:55" ht="15.75" customHeight="1">
      <c r="S416" s="454"/>
      <c r="AN416" s="458"/>
      <c r="BA416" s="1305"/>
      <c r="BC416" s="169"/>
    </row>
    <row r="417" spans="19:55" ht="15.75" customHeight="1">
      <c r="S417" s="454"/>
      <c r="AN417" s="458"/>
      <c r="BA417" s="1305"/>
      <c r="BC417" s="169"/>
    </row>
    <row r="418" spans="19:55" ht="15.75" customHeight="1">
      <c r="S418" s="454"/>
      <c r="AN418" s="458"/>
      <c r="BA418" s="1305"/>
      <c r="BC418" s="169"/>
    </row>
    <row r="419" spans="19:55" ht="15.75" customHeight="1">
      <c r="S419" s="454"/>
      <c r="AN419" s="458"/>
      <c r="BA419" s="1305"/>
      <c r="BC419" s="169"/>
    </row>
    <row r="420" spans="19:55" ht="15.75" customHeight="1">
      <c r="S420" s="454"/>
      <c r="AN420" s="458"/>
      <c r="BA420" s="1305"/>
      <c r="BC420" s="169"/>
    </row>
    <row r="421" spans="19:55" ht="15.75" customHeight="1">
      <c r="S421" s="454"/>
      <c r="AN421" s="458"/>
      <c r="BA421" s="1305"/>
      <c r="BC421" s="169"/>
    </row>
    <row r="422" spans="19:55" ht="15.75" customHeight="1">
      <c r="S422" s="454"/>
      <c r="AN422" s="458"/>
      <c r="BA422" s="1305"/>
      <c r="BC422" s="169"/>
    </row>
    <row r="423" spans="19:55" ht="15.75" customHeight="1">
      <c r="S423" s="454"/>
      <c r="AN423" s="458"/>
      <c r="BA423" s="1305"/>
      <c r="BC423" s="169"/>
    </row>
    <row r="424" spans="19:55" ht="15.75" customHeight="1">
      <c r="S424" s="454"/>
      <c r="AN424" s="458"/>
      <c r="BA424" s="1305"/>
      <c r="BC424" s="169"/>
    </row>
    <row r="425" spans="19:55" ht="15.75" customHeight="1">
      <c r="S425" s="454"/>
      <c r="AN425" s="458"/>
      <c r="BA425" s="1305"/>
      <c r="BC425" s="169"/>
    </row>
    <row r="426" spans="19:55" ht="15.75" customHeight="1">
      <c r="S426" s="454"/>
      <c r="AN426" s="458"/>
      <c r="BA426" s="1305"/>
      <c r="BC426" s="169"/>
    </row>
    <row r="427" spans="19:55" ht="15.75" customHeight="1">
      <c r="S427" s="454"/>
      <c r="AN427" s="458"/>
      <c r="BA427" s="1305"/>
      <c r="BC427" s="169"/>
    </row>
    <row r="428" spans="19:55" ht="15.75" customHeight="1">
      <c r="S428" s="454"/>
      <c r="AN428" s="458"/>
      <c r="BA428" s="1305"/>
      <c r="BC428" s="169"/>
    </row>
    <row r="429" spans="19:55" ht="15.75" customHeight="1">
      <c r="S429" s="454"/>
      <c r="AN429" s="458"/>
      <c r="BA429" s="1305"/>
      <c r="BC429" s="169"/>
    </row>
    <row r="430" spans="19:55" ht="15.75" customHeight="1">
      <c r="S430" s="454"/>
      <c r="AN430" s="458"/>
      <c r="BA430" s="1305"/>
      <c r="BC430" s="169"/>
    </row>
    <row r="431" spans="19:55" ht="15.75" customHeight="1">
      <c r="S431" s="454"/>
      <c r="AN431" s="458"/>
      <c r="BA431" s="1305"/>
      <c r="BC431" s="169"/>
    </row>
    <row r="432" spans="19:55" ht="15.75" customHeight="1">
      <c r="S432" s="454"/>
      <c r="AN432" s="458"/>
      <c r="BA432" s="1305"/>
      <c r="BC432" s="169"/>
    </row>
    <row r="433" spans="19:55" ht="15.75" customHeight="1">
      <c r="S433" s="454"/>
      <c r="AN433" s="458"/>
      <c r="BA433" s="1305"/>
      <c r="BC433" s="169"/>
    </row>
    <row r="434" spans="19:55" ht="15.75" customHeight="1">
      <c r="S434" s="454"/>
      <c r="AN434" s="458"/>
      <c r="BA434" s="1305"/>
      <c r="BC434" s="169"/>
    </row>
    <row r="435" spans="19:55" ht="15.75" customHeight="1">
      <c r="S435" s="454"/>
      <c r="AN435" s="458"/>
      <c r="BA435" s="1305"/>
      <c r="BC435" s="169"/>
    </row>
    <row r="436" spans="19:55" ht="15.75" customHeight="1">
      <c r="S436" s="454"/>
      <c r="AN436" s="458"/>
      <c r="BA436" s="1305"/>
      <c r="BC436" s="169"/>
    </row>
    <row r="437" spans="19:55" ht="15.75" customHeight="1">
      <c r="S437" s="454"/>
      <c r="AN437" s="458"/>
      <c r="BA437" s="1305"/>
      <c r="BC437" s="169"/>
    </row>
    <row r="438" spans="19:55" ht="15.75" customHeight="1">
      <c r="S438" s="454"/>
      <c r="AN438" s="458"/>
      <c r="BA438" s="1305"/>
      <c r="BC438" s="169"/>
    </row>
    <row r="439" spans="19:55" ht="15.75" customHeight="1">
      <c r="S439" s="454"/>
      <c r="AN439" s="458"/>
      <c r="BA439" s="1305"/>
      <c r="BC439" s="169"/>
    </row>
    <row r="440" spans="19:55" ht="15.75" customHeight="1">
      <c r="S440" s="454"/>
      <c r="AN440" s="458"/>
      <c r="BA440" s="1305"/>
      <c r="BC440" s="169"/>
    </row>
    <row r="441" spans="19:55" ht="15.75" customHeight="1">
      <c r="S441" s="454"/>
      <c r="AN441" s="458"/>
      <c r="BA441" s="1305"/>
      <c r="BC441" s="169"/>
    </row>
    <row r="442" spans="19:55" ht="15.75" customHeight="1">
      <c r="S442" s="454"/>
      <c r="AN442" s="458"/>
      <c r="BA442" s="1305"/>
      <c r="BC442" s="169"/>
    </row>
    <row r="443" spans="19:55" ht="15.75" customHeight="1">
      <c r="S443" s="454"/>
      <c r="AN443" s="458"/>
      <c r="BA443" s="1305"/>
      <c r="BC443" s="169"/>
    </row>
    <row r="444" spans="19:55" ht="15.75" customHeight="1">
      <c r="S444" s="454"/>
      <c r="AN444" s="458"/>
      <c r="BA444" s="1305"/>
      <c r="BC444" s="169"/>
    </row>
    <row r="445" spans="19:55" ht="15.75" customHeight="1">
      <c r="S445" s="454"/>
      <c r="AN445" s="458"/>
      <c r="BA445" s="1305"/>
      <c r="BC445" s="169"/>
    </row>
    <row r="446" spans="19:55" ht="15.75" customHeight="1">
      <c r="S446" s="454"/>
      <c r="AN446" s="458"/>
      <c r="BA446" s="1305"/>
      <c r="BC446" s="169"/>
    </row>
    <row r="447" spans="19:55" ht="15.75" customHeight="1">
      <c r="S447" s="454"/>
      <c r="AN447" s="458"/>
      <c r="BA447" s="1305"/>
      <c r="BC447" s="169"/>
    </row>
    <row r="448" spans="19:55" ht="15.75" customHeight="1">
      <c r="S448" s="454"/>
      <c r="AN448" s="458"/>
      <c r="BA448" s="1305"/>
      <c r="BC448" s="169"/>
    </row>
    <row r="449" spans="19:55" ht="15.75" customHeight="1">
      <c r="S449" s="454"/>
      <c r="AN449" s="458"/>
      <c r="BA449" s="1305"/>
      <c r="BC449" s="169"/>
    </row>
    <row r="450" spans="19:55" ht="15.75" customHeight="1">
      <c r="S450" s="454"/>
      <c r="AN450" s="458"/>
      <c r="BA450" s="1305"/>
      <c r="BC450" s="169"/>
    </row>
    <row r="451" spans="19:55" ht="15.75" customHeight="1">
      <c r="S451" s="454"/>
      <c r="AN451" s="458"/>
      <c r="BA451" s="1305"/>
      <c r="BC451" s="169"/>
    </row>
    <row r="452" spans="19:55" ht="15.75" customHeight="1">
      <c r="S452" s="454"/>
      <c r="AN452" s="458"/>
      <c r="BA452" s="1305"/>
      <c r="BC452" s="169"/>
    </row>
    <row r="453" spans="19:55" ht="15.75" customHeight="1">
      <c r="S453" s="454"/>
      <c r="AN453" s="458"/>
      <c r="BA453" s="1305"/>
      <c r="BC453" s="169"/>
    </row>
    <row r="454" spans="19:55" ht="15.75" customHeight="1">
      <c r="S454" s="454"/>
      <c r="AN454" s="458"/>
      <c r="BA454" s="1305"/>
      <c r="BC454" s="169"/>
    </row>
    <row r="455" spans="19:55" ht="15.75" customHeight="1">
      <c r="S455" s="454"/>
      <c r="AN455" s="458"/>
      <c r="BA455" s="1305"/>
      <c r="BC455" s="169"/>
    </row>
    <row r="456" spans="19:55" ht="15.75" customHeight="1">
      <c r="S456" s="454"/>
      <c r="AN456" s="458"/>
      <c r="BA456" s="1305"/>
      <c r="BC456" s="169"/>
    </row>
    <row r="457" spans="19:55" ht="15.75" customHeight="1">
      <c r="S457" s="454"/>
      <c r="AN457" s="458"/>
      <c r="BA457" s="1305"/>
      <c r="BC457" s="169"/>
    </row>
    <row r="458" spans="19:55" ht="15.75" customHeight="1">
      <c r="S458" s="454"/>
      <c r="AN458" s="458"/>
      <c r="BA458" s="1305"/>
      <c r="BC458" s="169"/>
    </row>
    <row r="459" spans="19:55" ht="15.75" customHeight="1">
      <c r="S459" s="454"/>
      <c r="AN459" s="458"/>
      <c r="BA459" s="1305"/>
      <c r="BC459" s="169"/>
    </row>
    <row r="460" spans="19:55" ht="15.75" customHeight="1">
      <c r="S460" s="454"/>
      <c r="AN460" s="458"/>
      <c r="BA460" s="1305"/>
      <c r="BC460" s="169"/>
    </row>
    <row r="461" spans="19:55" ht="15.75" customHeight="1">
      <c r="S461" s="454"/>
      <c r="AN461" s="458"/>
      <c r="BA461" s="1305"/>
      <c r="BC461" s="169"/>
    </row>
    <row r="462" spans="19:55" ht="15.75" customHeight="1">
      <c r="S462" s="454"/>
      <c r="AN462" s="458"/>
      <c r="BA462" s="1305"/>
      <c r="BC462" s="169"/>
    </row>
    <row r="463" spans="19:55" ht="15.75" customHeight="1">
      <c r="S463" s="454"/>
      <c r="AN463" s="458"/>
      <c r="BA463" s="1305"/>
      <c r="BC463" s="169"/>
    </row>
    <row r="464" spans="19:55" ht="15.75" customHeight="1">
      <c r="S464" s="454"/>
      <c r="AN464" s="458"/>
      <c r="BA464" s="1305"/>
      <c r="BC464" s="169"/>
    </row>
    <row r="465" spans="19:55" ht="15.75" customHeight="1">
      <c r="S465" s="454"/>
      <c r="AN465" s="458"/>
      <c r="BA465" s="1305"/>
      <c r="BC465" s="169"/>
    </row>
    <row r="466" spans="19:55" ht="15.75" customHeight="1">
      <c r="S466" s="454"/>
      <c r="AN466" s="458"/>
      <c r="BA466" s="1305"/>
      <c r="BC466" s="169"/>
    </row>
    <row r="467" spans="19:55" ht="15.75" customHeight="1">
      <c r="S467" s="454"/>
      <c r="AN467" s="458"/>
      <c r="BA467" s="1305"/>
      <c r="BC467" s="169"/>
    </row>
    <row r="468" spans="19:55" ht="15.75" customHeight="1">
      <c r="S468" s="454"/>
      <c r="AN468" s="458"/>
      <c r="BA468" s="1305"/>
      <c r="BC468" s="169"/>
    </row>
    <row r="469" spans="19:55" ht="15.75" customHeight="1">
      <c r="S469" s="454"/>
      <c r="AN469" s="458"/>
      <c r="BA469" s="1305"/>
      <c r="BC469" s="169"/>
    </row>
    <row r="470" spans="19:55" ht="15.75" customHeight="1">
      <c r="S470" s="454"/>
      <c r="AN470" s="458"/>
      <c r="BA470" s="1305"/>
      <c r="BC470" s="169"/>
    </row>
    <row r="471" spans="19:55" ht="15.75" customHeight="1">
      <c r="S471" s="454"/>
      <c r="AN471" s="458"/>
      <c r="BA471" s="1305"/>
      <c r="BC471" s="169"/>
    </row>
    <row r="472" spans="19:55" ht="15.75" customHeight="1">
      <c r="S472" s="454"/>
      <c r="AN472" s="458"/>
      <c r="BA472" s="1305"/>
      <c r="BC472" s="169"/>
    </row>
    <row r="473" spans="19:55" ht="15.75" customHeight="1">
      <c r="S473" s="454"/>
      <c r="AN473" s="458"/>
      <c r="BA473" s="1305"/>
      <c r="BC473" s="169"/>
    </row>
    <row r="474" spans="19:55" ht="15.75" customHeight="1">
      <c r="S474" s="454"/>
      <c r="AN474" s="458"/>
      <c r="BA474" s="1305"/>
      <c r="BC474" s="169"/>
    </row>
    <row r="475" spans="19:55" ht="15.75" customHeight="1">
      <c r="S475" s="454"/>
      <c r="AN475" s="458"/>
      <c r="BA475" s="1305"/>
      <c r="BC475" s="169"/>
    </row>
    <row r="476" spans="19:55" ht="15.75" customHeight="1">
      <c r="S476" s="454"/>
      <c r="AN476" s="458"/>
      <c r="BA476" s="1305"/>
      <c r="BC476" s="169"/>
    </row>
    <row r="477" spans="19:55" ht="15.75" customHeight="1">
      <c r="S477" s="454"/>
      <c r="AN477" s="458"/>
      <c r="BA477" s="1305"/>
      <c r="BC477" s="169"/>
    </row>
    <row r="478" spans="19:55" ht="15.75" customHeight="1">
      <c r="S478" s="454"/>
      <c r="AN478" s="458"/>
      <c r="BA478" s="1305"/>
      <c r="BC478" s="169"/>
    </row>
    <row r="479" spans="19:55" ht="15.75" customHeight="1">
      <c r="S479" s="454"/>
      <c r="AN479" s="458"/>
      <c r="BA479" s="1305"/>
      <c r="BC479" s="169"/>
    </row>
    <row r="480" spans="19:55" ht="15.75" customHeight="1">
      <c r="S480" s="454"/>
      <c r="AN480" s="458"/>
      <c r="BA480" s="1305"/>
      <c r="BC480" s="169"/>
    </row>
    <row r="481" spans="19:55" ht="15.75" customHeight="1">
      <c r="S481" s="454"/>
      <c r="AN481" s="458"/>
      <c r="BA481" s="1305"/>
      <c r="BC481" s="169"/>
    </row>
    <row r="482" spans="19:55" ht="15.75" customHeight="1">
      <c r="S482" s="454"/>
      <c r="AN482" s="458"/>
      <c r="BA482" s="1305"/>
      <c r="BC482" s="169"/>
    </row>
    <row r="483" spans="19:55" ht="15.75" customHeight="1">
      <c r="S483" s="454"/>
      <c r="AN483" s="458"/>
      <c r="BA483" s="1305"/>
      <c r="BC483" s="169"/>
    </row>
    <row r="484" spans="19:55" ht="15.75" customHeight="1">
      <c r="S484" s="454"/>
      <c r="AN484" s="458"/>
      <c r="BA484" s="1305"/>
      <c r="BC484" s="169"/>
    </row>
    <row r="485" spans="19:55" ht="15.75" customHeight="1">
      <c r="S485" s="454"/>
      <c r="AN485" s="458"/>
      <c r="BA485" s="1305"/>
      <c r="BC485" s="169"/>
    </row>
    <row r="486" spans="19:55" ht="15.75" customHeight="1">
      <c r="S486" s="454"/>
      <c r="AN486" s="458"/>
      <c r="BA486" s="1305"/>
      <c r="BC486" s="169"/>
    </row>
    <row r="487" spans="19:55" ht="15.75" customHeight="1">
      <c r="S487" s="454"/>
      <c r="AN487" s="458"/>
      <c r="BA487" s="1305"/>
      <c r="BC487" s="169"/>
    </row>
    <row r="488" spans="19:55" ht="15.75" customHeight="1">
      <c r="S488" s="454"/>
      <c r="AN488" s="458"/>
      <c r="BA488" s="1305"/>
      <c r="BC488" s="169"/>
    </row>
    <row r="489" spans="19:55" ht="15.75" customHeight="1">
      <c r="S489" s="454"/>
      <c r="AN489" s="458"/>
      <c r="BA489" s="1305"/>
      <c r="BC489" s="169"/>
    </row>
    <row r="490" spans="19:55" ht="15.75" customHeight="1">
      <c r="S490" s="454"/>
      <c r="AN490" s="458"/>
      <c r="BA490" s="1305"/>
      <c r="BC490" s="169"/>
    </row>
    <row r="491" spans="19:55" ht="15.75" customHeight="1">
      <c r="S491" s="454"/>
      <c r="AN491" s="458"/>
      <c r="BA491" s="1305"/>
      <c r="BC491" s="169"/>
    </row>
    <row r="492" spans="19:55" ht="15.75" customHeight="1">
      <c r="S492" s="454"/>
      <c r="AN492" s="458"/>
      <c r="BA492" s="1305"/>
      <c r="BC492" s="169"/>
    </row>
    <row r="493" spans="19:55" ht="15.75" customHeight="1">
      <c r="S493" s="454"/>
      <c r="AN493" s="458"/>
      <c r="BA493" s="1305"/>
      <c r="BC493" s="169"/>
    </row>
    <row r="494" spans="19:55" ht="15.75" customHeight="1">
      <c r="S494" s="454"/>
      <c r="AN494" s="458"/>
      <c r="BA494" s="1305"/>
      <c r="BC494" s="169"/>
    </row>
    <row r="495" spans="19:55" ht="15.75" customHeight="1">
      <c r="S495" s="454"/>
      <c r="AN495" s="458"/>
      <c r="BA495" s="1305"/>
      <c r="BC495" s="169"/>
    </row>
    <row r="496" spans="19:55" ht="15.75" customHeight="1">
      <c r="S496" s="454"/>
      <c r="AN496" s="458"/>
      <c r="BA496" s="1305"/>
      <c r="BC496" s="169"/>
    </row>
    <row r="497" spans="19:55" ht="15.75" customHeight="1">
      <c r="S497" s="454"/>
      <c r="AN497" s="458"/>
      <c r="BA497" s="1305"/>
      <c r="BC497" s="169"/>
    </row>
    <row r="498" spans="19:55" ht="15.75" customHeight="1">
      <c r="S498" s="454"/>
      <c r="AN498" s="458"/>
      <c r="BA498" s="1305"/>
      <c r="BC498" s="169"/>
    </row>
    <row r="499" spans="19:55" ht="15.75" customHeight="1">
      <c r="S499" s="454"/>
      <c r="AN499" s="458"/>
      <c r="BA499" s="1305"/>
      <c r="BC499" s="169"/>
    </row>
    <row r="500" spans="19:55" ht="15.75" customHeight="1">
      <c r="S500" s="454"/>
      <c r="AN500" s="458"/>
      <c r="BA500" s="1305"/>
      <c r="BC500" s="169"/>
    </row>
    <row r="501" spans="19:55" ht="15.75" customHeight="1">
      <c r="S501" s="454"/>
      <c r="AN501" s="458"/>
      <c r="BA501" s="1305"/>
      <c r="BC501" s="169"/>
    </row>
    <row r="502" spans="19:55" ht="15.75" customHeight="1">
      <c r="S502" s="454"/>
      <c r="AN502" s="458"/>
      <c r="BA502" s="1305"/>
      <c r="BC502" s="169"/>
    </row>
    <row r="503" spans="19:55" ht="15.75" customHeight="1">
      <c r="S503" s="454"/>
      <c r="AN503" s="458"/>
      <c r="AV503" s="177"/>
      <c r="AW503" s="177"/>
      <c r="AX503" s="177"/>
      <c r="BA503" s="1307"/>
      <c r="BC503" s="169"/>
    </row>
    <row r="504" spans="19:55" ht="15.75" customHeight="1">
      <c r="S504" s="454"/>
      <c r="AN504" s="458"/>
      <c r="AV504" s="177"/>
      <c r="AW504" s="177"/>
      <c r="AX504" s="177"/>
      <c r="BA504" s="1307"/>
      <c r="BC504" s="169"/>
    </row>
    <row r="505" spans="19:55" ht="15.75" customHeight="1">
      <c r="S505" s="454"/>
      <c r="AN505" s="458"/>
      <c r="AU505" s="177"/>
      <c r="AV505" s="177"/>
      <c r="AW505" s="177"/>
      <c r="AX505" s="177"/>
      <c r="BA505" s="1307"/>
      <c r="BC505" s="169"/>
    </row>
    <row r="506" spans="19:55" ht="15.75" customHeight="1">
      <c r="S506" s="454"/>
      <c r="AN506" s="458"/>
      <c r="AU506" s="177"/>
      <c r="AV506" s="177"/>
      <c r="AW506" s="177"/>
      <c r="AX506" s="177"/>
      <c r="BA506" s="1307"/>
      <c r="BC506" s="169"/>
    </row>
    <row r="507" spans="19:55" ht="15.75" customHeight="1">
      <c r="S507" s="454"/>
      <c r="AN507" s="458"/>
      <c r="AU507" s="177"/>
      <c r="AV507" s="177"/>
      <c r="AW507" s="177"/>
      <c r="AX507" s="177"/>
      <c r="BA507" s="1307"/>
      <c r="BC507" s="169"/>
    </row>
    <row r="508" spans="19:55" ht="15.75" customHeight="1">
      <c r="S508" s="454"/>
      <c r="AN508" s="458"/>
      <c r="AU508" s="177"/>
      <c r="AV508" s="177"/>
      <c r="AW508" s="177"/>
      <c r="AX508" s="177"/>
      <c r="BA508" s="1307"/>
      <c r="BC508" s="169"/>
    </row>
    <row r="509" spans="19:55" ht="15.75" customHeight="1">
      <c r="S509" s="454"/>
      <c r="AN509" s="458"/>
      <c r="AU509" s="177"/>
      <c r="AV509" s="177"/>
      <c r="AW509" s="177"/>
      <c r="AX509" s="177"/>
      <c r="BA509" s="1307"/>
      <c r="BC509" s="169"/>
    </row>
    <row r="510" spans="19:55" ht="15.75" customHeight="1">
      <c r="S510" s="454"/>
      <c r="AN510" s="458"/>
      <c r="AU510" s="177"/>
      <c r="AV510" s="177"/>
      <c r="AW510" s="177"/>
      <c r="AX510" s="177"/>
      <c r="BA510" s="1307"/>
      <c r="BC510" s="169"/>
    </row>
    <row r="511" spans="19:55" ht="15.75" customHeight="1">
      <c r="S511" s="454"/>
      <c r="AN511" s="458"/>
      <c r="AU511" s="177"/>
      <c r="AV511" s="177"/>
      <c r="AW511" s="177"/>
      <c r="AX511" s="177"/>
      <c r="BA511" s="1307"/>
      <c r="BC511" s="169"/>
    </row>
    <row r="512" spans="19:55" ht="15.75" customHeight="1">
      <c r="S512" s="454"/>
      <c r="AN512" s="458"/>
      <c r="AU512" s="177"/>
      <c r="AV512" s="177"/>
      <c r="AW512" s="177"/>
      <c r="AX512" s="177"/>
      <c r="BA512" s="1307"/>
      <c r="BC512" s="169"/>
    </row>
    <row r="513" spans="19:55" ht="15.75" customHeight="1">
      <c r="S513" s="454"/>
      <c r="AN513" s="458"/>
      <c r="AU513" s="177"/>
      <c r="AV513" s="177"/>
      <c r="AW513" s="177"/>
      <c r="AX513" s="177"/>
      <c r="BA513" s="1307"/>
      <c r="BC513" s="169"/>
    </row>
    <row r="514" spans="19:55" ht="15.75" customHeight="1">
      <c r="S514" s="454"/>
      <c r="AN514" s="458"/>
      <c r="AU514" s="177"/>
      <c r="AV514" s="177"/>
      <c r="AW514" s="177"/>
      <c r="AX514" s="177"/>
      <c r="BA514" s="1307"/>
      <c r="BC514" s="169"/>
    </row>
    <row r="515" spans="19:55" ht="15.75" customHeight="1">
      <c r="S515" s="454"/>
      <c r="AN515" s="458"/>
      <c r="AU515" s="177"/>
      <c r="AV515" s="177"/>
      <c r="AW515" s="177"/>
      <c r="AX515" s="177"/>
      <c r="BA515" s="1307"/>
      <c r="BC515" s="169"/>
    </row>
    <row r="516" spans="19:55" ht="15.75" customHeight="1">
      <c r="S516" s="454"/>
      <c r="AN516" s="458"/>
      <c r="AU516" s="177"/>
      <c r="BA516" s="1305"/>
      <c r="BC516" s="169"/>
    </row>
    <row r="517" spans="19:55" ht="15.75" customHeight="1">
      <c r="S517" s="454"/>
      <c r="AN517" s="458"/>
      <c r="AU517" s="177"/>
      <c r="BA517" s="1305"/>
      <c r="BC517" s="169"/>
    </row>
    <row r="518" spans="19:55" ht="15.75" customHeight="1">
      <c r="S518" s="454"/>
      <c r="AN518" s="458"/>
      <c r="BA518" s="1305"/>
      <c r="BC518" s="169"/>
    </row>
    <row r="519" spans="19:55" ht="15.75" customHeight="1">
      <c r="S519" s="454"/>
      <c r="AN519" s="458"/>
      <c r="BA519" s="1305"/>
      <c r="BC519" s="169"/>
    </row>
    <row r="520" spans="19:55" ht="15.75" customHeight="1">
      <c r="S520" s="454"/>
      <c r="AN520" s="458"/>
      <c r="BA520" s="1305"/>
      <c r="BC520" s="169"/>
    </row>
    <row r="521" spans="19:55" ht="15.75" customHeight="1">
      <c r="S521" s="454"/>
      <c r="AN521" s="458"/>
      <c r="AV521" s="177"/>
      <c r="AW521" s="177"/>
      <c r="AX521" s="177"/>
      <c r="BA521" s="1307"/>
      <c r="BC521" s="169"/>
    </row>
    <row r="522" spans="19:55" ht="15.75" customHeight="1">
      <c r="S522" s="454"/>
      <c r="AN522" s="458"/>
      <c r="AV522" s="177"/>
      <c r="AW522" s="177"/>
      <c r="AX522" s="177"/>
      <c r="BA522" s="1307"/>
      <c r="BC522" s="169"/>
    </row>
    <row r="523" spans="19:55" ht="15.75" customHeight="1">
      <c r="S523" s="454"/>
      <c r="AN523" s="458"/>
      <c r="AU523" s="177"/>
      <c r="AV523" s="177"/>
      <c r="AW523" s="177"/>
      <c r="AX523" s="177"/>
      <c r="BA523" s="1307"/>
      <c r="BC523" s="169"/>
    </row>
    <row r="524" spans="19:55" ht="15.75" customHeight="1">
      <c r="S524" s="454"/>
      <c r="AN524" s="458"/>
      <c r="AU524" s="177"/>
      <c r="AV524" s="177"/>
      <c r="AW524" s="177"/>
      <c r="AX524" s="177"/>
      <c r="BA524" s="1307"/>
      <c r="BC524" s="169"/>
    </row>
    <row r="525" spans="19:55" ht="15.75" customHeight="1">
      <c r="S525" s="454"/>
      <c r="AN525" s="458"/>
      <c r="AU525" s="177"/>
      <c r="AV525" s="177"/>
      <c r="AW525" s="177"/>
      <c r="AX525" s="177"/>
      <c r="BA525" s="1307"/>
      <c r="BC525" s="169"/>
    </row>
    <row r="526" spans="19:55" ht="15.75" customHeight="1">
      <c r="S526" s="454"/>
      <c r="AN526" s="458"/>
      <c r="AU526" s="177"/>
      <c r="BA526" s="1305"/>
      <c r="BC526" s="169"/>
    </row>
    <row r="527" spans="19:55" ht="15.75" customHeight="1">
      <c r="S527" s="454"/>
      <c r="AN527" s="458"/>
      <c r="AU527" s="177"/>
      <c r="BA527" s="1305"/>
      <c r="BC527" s="169"/>
    </row>
    <row r="528" spans="19:55" ht="15.75" customHeight="1">
      <c r="S528" s="454"/>
      <c r="AN528" s="458"/>
      <c r="BA528" s="1305"/>
      <c r="BC528" s="169"/>
    </row>
    <row r="529" spans="19:55" ht="15.75" customHeight="1">
      <c r="S529" s="454"/>
      <c r="AN529" s="458"/>
      <c r="AV529" s="177"/>
      <c r="AW529" s="177"/>
      <c r="AX529" s="177"/>
      <c r="BA529" s="1307"/>
      <c r="BC529" s="169"/>
    </row>
    <row r="530" spans="19:55" ht="15.75" customHeight="1">
      <c r="S530" s="454"/>
      <c r="AN530" s="458"/>
      <c r="AV530" s="177"/>
      <c r="AW530" s="177"/>
      <c r="AX530" s="177"/>
      <c r="BA530" s="1307"/>
      <c r="BC530" s="169"/>
    </row>
    <row r="531" spans="19:55" ht="15.75" customHeight="1">
      <c r="S531" s="454"/>
      <c r="AN531" s="458"/>
      <c r="AU531" s="177"/>
      <c r="AV531" s="177"/>
      <c r="AW531" s="177"/>
      <c r="AX531" s="177"/>
      <c r="BA531" s="1307"/>
      <c r="BC531" s="169"/>
    </row>
    <row r="532" spans="19:55" ht="15.75" customHeight="1">
      <c r="S532" s="454"/>
      <c r="AN532" s="458"/>
      <c r="AU532" s="177"/>
      <c r="AV532" s="177"/>
      <c r="AW532" s="177"/>
      <c r="AX532" s="177"/>
      <c r="BA532" s="1307"/>
      <c r="BC532" s="169"/>
    </row>
    <row r="533" spans="19:55" ht="15.75" customHeight="1">
      <c r="S533" s="454"/>
      <c r="AN533" s="458"/>
      <c r="AU533" s="177"/>
      <c r="AV533" s="177"/>
      <c r="AW533" s="177"/>
      <c r="AX533" s="177"/>
      <c r="BA533" s="1307"/>
      <c r="BC533" s="169"/>
    </row>
    <row r="534" spans="19:55" ht="15.75" customHeight="1">
      <c r="S534" s="454"/>
      <c r="AN534" s="458"/>
      <c r="AU534" s="177"/>
      <c r="AV534" s="177"/>
      <c r="AW534" s="177"/>
      <c r="AX534" s="177"/>
      <c r="BA534" s="1307"/>
      <c r="BC534" s="169"/>
    </row>
    <row r="535" spans="19:55" ht="15.75" customHeight="1">
      <c r="S535" s="454"/>
      <c r="AN535" s="458"/>
      <c r="AU535" s="177"/>
      <c r="AV535" s="177"/>
      <c r="AW535" s="177"/>
      <c r="AX535" s="177"/>
      <c r="BA535" s="1307"/>
      <c r="BC535" s="169"/>
    </row>
    <row r="536" spans="19:55" ht="15.75" customHeight="1">
      <c r="S536" s="454"/>
      <c r="AN536" s="458"/>
      <c r="AU536" s="177"/>
      <c r="BA536" s="1305"/>
      <c r="BC536" s="169"/>
    </row>
    <row r="537" spans="19:55" ht="15.75" customHeight="1">
      <c r="S537" s="454"/>
      <c r="AN537" s="458"/>
      <c r="AU537" s="177"/>
      <c r="BA537" s="1305"/>
      <c r="BC537" s="169"/>
    </row>
    <row r="538" spans="19:55" ht="15.75" customHeight="1">
      <c r="S538" s="454"/>
      <c r="AN538" s="458"/>
      <c r="BA538" s="1305"/>
      <c r="BC538" s="169"/>
    </row>
    <row r="539" spans="19:55" ht="15.75" customHeight="1">
      <c r="S539" s="454"/>
      <c r="AN539" s="458"/>
      <c r="BA539" s="1305"/>
      <c r="BC539" s="169"/>
    </row>
    <row r="540" spans="19:55" ht="15.75" customHeight="1">
      <c r="S540" s="454"/>
      <c r="AN540" s="458"/>
      <c r="BA540" s="1305"/>
      <c r="BC540" s="169"/>
    </row>
    <row r="541" spans="19:55" ht="15.75" customHeight="1">
      <c r="S541" s="454"/>
      <c r="AN541" s="458"/>
      <c r="BA541" s="1305"/>
      <c r="BC541" s="169"/>
    </row>
    <row r="542" spans="19:55" ht="15.75" customHeight="1">
      <c r="S542" s="454"/>
      <c r="AN542" s="458"/>
      <c r="BA542" s="1305"/>
      <c r="BC542" s="169"/>
    </row>
    <row r="543" spans="19:55" ht="15.75" customHeight="1">
      <c r="S543" s="454"/>
      <c r="AN543" s="458"/>
      <c r="BA543" s="1305"/>
      <c r="BC543" s="169"/>
    </row>
    <row r="544" spans="19:55" ht="15.75" customHeight="1">
      <c r="S544" s="454"/>
      <c r="AN544" s="458"/>
      <c r="BA544" s="1305"/>
      <c r="BC544" s="169"/>
    </row>
    <row r="545" spans="19:55" ht="15.75" customHeight="1">
      <c r="S545" s="454"/>
      <c r="AN545" s="458"/>
      <c r="BA545" s="1305"/>
      <c r="BC545" s="169"/>
    </row>
    <row r="546" spans="19:55" ht="15.75" customHeight="1">
      <c r="S546" s="454"/>
      <c r="AN546" s="458"/>
      <c r="BA546" s="1305"/>
      <c r="BC546" s="169"/>
    </row>
    <row r="547" spans="19:55" ht="15.75" customHeight="1">
      <c r="S547" s="454"/>
      <c r="AN547" s="458"/>
      <c r="BA547" s="1305"/>
      <c r="BC547" s="169"/>
    </row>
    <row r="548" spans="19:55" ht="15.75" customHeight="1">
      <c r="S548" s="454"/>
      <c r="AN548" s="458"/>
      <c r="BA548" s="1305"/>
      <c r="BC548" s="169"/>
    </row>
    <row r="549" spans="19:55" ht="15.75" customHeight="1">
      <c r="S549" s="454"/>
      <c r="AN549" s="458"/>
      <c r="BA549" s="1305"/>
      <c r="BC549" s="169"/>
    </row>
    <row r="550" spans="19:55" ht="15.75" customHeight="1">
      <c r="S550" s="454"/>
      <c r="AN550" s="458"/>
      <c r="BA550" s="1305"/>
      <c r="BC550" s="169"/>
    </row>
    <row r="551" spans="19:55" ht="15.75" customHeight="1">
      <c r="S551" s="454"/>
      <c r="AN551" s="458"/>
      <c r="BA551" s="1305"/>
      <c r="BC551" s="169"/>
    </row>
    <row r="552" spans="19:55" ht="15.75" customHeight="1">
      <c r="S552" s="454"/>
      <c r="AN552" s="458"/>
      <c r="BA552" s="1305"/>
      <c r="BC552" s="169"/>
    </row>
    <row r="553" spans="19:55" ht="15.75" customHeight="1">
      <c r="S553" s="454"/>
      <c r="AN553" s="458"/>
      <c r="BA553" s="1305"/>
      <c r="BC553" s="169"/>
    </row>
    <row r="554" spans="19:55" ht="15.75" customHeight="1">
      <c r="S554" s="454"/>
      <c r="AN554" s="458"/>
      <c r="BA554" s="1305"/>
      <c r="BC554" s="169"/>
    </row>
    <row r="555" spans="19:55" ht="15.75" customHeight="1">
      <c r="S555" s="454"/>
      <c r="AN555" s="458"/>
      <c r="BA555" s="1305"/>
      <c r="BC555" s="169"/>
    </row>
    <row r="556" spans="19:55" ht="15.75" customHeight="1">
      <c r="S556" s="454"/>
      <c r="AN556" s="458"/>
      <c r="BA556" s="1305"/>
      <c r="BC556" s="169"/>
    </row>
    <row r="557" spans="19:55" ht="15.75" customHeight="1">
      <c r="S557" s="454"/>
      <c r="AN557" s="458"/>
      <c r="BA557" s="1305"/>
      <c r="BC557" s="169"/>
    </row>
    <row r="558" spans="19:55" ht="15.75" customHeight="1">
      <c r="S558" s="454"/>
      <c r="AN558" s="458"/>
      <c r="BA558" s="1305"/>
      <c r="BC558" s="169"/>
    </row>
    <row r="559" spans="19:55" ht="15.75" customHeight="1">
      <c r="S559" s="454"/>
      <c r="AN559" s="458"/>
      <c r="BA559" s="1305"/>
      <c r="BC559" s="169"/>
    </row>
    <row r="560" spans="19:55" ht="15.75" customHeight="1">
      <c r="S560" s="454"/>
      <c r="AN560" s="458"/>
      <c r="BA560" s="1305"/>
      <c r="BC560" s="169"/>
    </row>
    <row r="561" spans="19:55" ht="15.75" customHeight="1">
      <c r="S561" s="454"/>
      <c r="AN561" s="458"/>
      <c r="BA561" s="1305"/>
      <c r="BC561" s="169"/>
    </row>
    <row r="562" spans="19:55" ht="15.75" customHeight="1">
      <c r="S562" s="454"/>
      <c r="AN562" s="458"/>
      <c r="BA562" s="1305"/>
      <c r="BC562" s="169"/>
    </row>
    <row r="563" spans="19:55" ht="15.75" customHeight="1">
      <c r="S563" s="454"/>
      <c r="AN563" s="458"/>
      <c r="BA563" s="1305"/>
      <c r="BC563" s="169"/>
    </row>
    <row r="564" spans="19:55" ht="15.75" customHeight="1">
      <c r="S564" s="454"/>
      <c r="AN564" s="458"/>
      <c r="BA564" s="1305"/>
      <c r="BC564" s="169"/>
    </row>
    <row r="565" spans="19:55" ht="15.75" customHeight="1">
      <c r="S565" s="454"/>
      <c r="AN565" s="458"/>
      <c r="BA565" s="1305"/>
      <c r="BC565" s="169"/>
    </row>
    <row r="566" spans="19:55" ht="15.75" customHeight="1">
      <c r="S566" s="454"/>
      <c r="AN566" s="458"/>
      <c r="BA566" s="1305"/>
      <c r="BC566" s="169"/>
    </row>
    <row r="567" spans="19:55" ht="15.75" customHeight="1">
      <c r="S567" s="454"/>
      <c r="AN567" s="458"/>
      <c r="BA567" s="1305"/>
      <c r="BC567" s="169"/>
    </row>
    <row r="568" spans="19:55" ht="15.75" customHeight="1">
      <c r="S568" s="454"/>
      <c r="AN568" s="458"/>
      <c r="BA568" s="1305"/>
      <c r="BC568" s="169"/>
    </row>
    <row r="569" spans="19:55" ht="15.75" customHeight="1">
      <c r="S569" s="454"/>
      <c r="AN569" s="458"/>
      <c r="BA569" s="1305"/>
      <c r="BC569" s="169"/>
    </row>
    <row r="570" spans="19:55" ht="15.75" customHeight="1">
      <c r="S570" s="454"/>
      <c r="AN570" s="458"/>
      <c r="BA570" s="1305"/>
      <c r="BC570" s="169"/>
    </row>
    <row r="571" spans="19:55" ht="15.75" customHeight="1">
      <c r="S571" s="454"/>
      <c r="AN571" s="458"/>
      <c r="BA571" s="1305"/>
      <c r="BC571" s="169"/>
    </row>
    <row r="572" spans="19:55" ht="15.75" customHeight="1">
      <c r="S572" s="454"/>
      <c r="AN572" s="458"/>
      <c r="BA572" s="1305"/>
      <c r="BC572" s="169"/>
    </row>
    <row r="573" spans="19:55" ht="15.75" customHeight="1">
      <c r="S573" s="454"/>
      <c r="AN573" s="458"/>
      <c r="BA573" s="1305"/>
      <c r="BC573" s="169"/>
    </row>
    <row r="574" spans="19:55" ht="15.75" customHeight="1">
      <c r="S574" s="454"/>
      <c r="AN574" s="458"/>
      <c r="BA574" s="1305"/>
      <c r="BC574" s="169"/>
    </row>
    <row r="575" spans="19:55" ht="15.75" customHeight="1">
      <c r="S575" s="454"/>
      <c r="AN575" s="458"/>
      <c r="BA575" s="1305"/>
      <c r="BC575" s="169"/>
    </row>
    <row r="576" spans="19:55" ht="15.75" customHeight="1">
      <c r="S576" s="454"/>
      <c r="AN576" s="458"/>
      <c r="BA576" s="1305"/>
      <c r="BC576" s="169"/>
    </row>
    <row r="577" spans="19:55" ht="15.75" customHeight="1">
      <c r="S577" s="454"/>
      <c r="AN577" s="458"/>
      <c r="BA577" s="1305"/>
      <c r="BC577" s="169"/>
    </row>
    <row r="578" spans="19:55" ht="15.75" customHeight="1">
      <c r="S578" s="454"/>
      <c r="AN578" s="458"/>
      <c r="BA578" s="1305"/>
      <c r="BC578" s="169"/>
    </row>
    <row r="579" spans="19:55" ht="15.75" customHeight="1">
      <c r="S579" s="454"/>
      <c r="AN579" s="458"/>
      <c r="BA579" s="1305"/>
      <c r="BC579" s="169"/>
    </row>
    <row r="580" spans="19:55" ht="15.75" customHeight="1">
      <c r="S580" s="454"/>
      <c r="AN580" s="458"/>
      <c r="BA580" s="1305"/>
      <c r="BC580" s="169"/>
    </row>
    <row r="581" spans="19:55" ht="15.75" customHeight="1">
      <c r="S581" s="454"/>
      <c r="AN581" s="458"/>
      <c r="BA581" s="1305"/>
      <c r="BC581" s="169"/>
    </row>
    <row r="582" spans="19:55" ht="15.75" customHeight="1">
      <c r="S582" s="454"/>
      <c r="AN582" s="458"/>
      <c r="BA582" s="1305"/>
      <c r="BC582" s="169"/>
    </row>
    <row r="583" spans="19:55" ht="15.75" customHeight="1">
      <c r="S583" s="454"/>
      <c r="AN583" s="458"/>
      <c r="BA583" s="1305"/>
      <c r="BC583" s="169"/>
    </row>
    <row r="584" spans="19:55" ht="15.75" customHeight="1">
      <c r="S584" s="454"/>
      <c r="AN584" s="458"/>
      <c r="BA584" s="1305"/>
      <c r="BC584" s="169"/>
    </row>
    <row r="585" spans="19:55" ht="15.75" customHeight="1">
      <c r="S585" s="454"/>
      <c r="AN585" s="458"/>
      <c r="BA585" s="1305"/>
      <c r="BC585" s="169"/>
    </row>
    <row r="586" spans="19:55" ht="15.75" customHeight="1">
      <c r="S586" s="454"/>
      <c r="AN586" s="458"/>
      <c r="BA586" s="1305"/>
      <c r="BC586" s="169"/>
    </row>
    <row r="587" spans="19:55" ht="15.75" customHeight="1">
      <c r="S587" s="454"/>
      <c r="AN587" s="458"/>
      <c r="BA587" s="1305"/>
      <c r="BC587" s="169"/>
    </row>
    <row r="588" spans="19:55" ht="15.75" customHeight="1">
      <c r="S588" s="454"/>
      <c r="AN588" s="458"/>
      <c r="BA588" s="1305"/>
      <c r="BC588" s="169"/>
    </row>
    <row r="589" spans="19:55" ht="15.75" customHeight="1">
      <c r="S589" s="454"/>
      <c r="AN589" s="458"/>
      <c r="BA589" s="1305"/>
      <c r="BC589" s="169"/>
    </row>
    <row r="590" spans="19:55" ht="15.75" customHeight="1">
      <c r="S590" s="454"/>
      <c r="AN590" s="458"/>
      <c r="BA590" s="1305"/>
      <c r="BC590" s="169"/>
    </row>
    <row r="591" spans="19:55" ht="15.75" customHeight="1">
      <c r="S591" s="454"/>
      <c r="AN591" s="458"/>
      <c r="BA591" s="1305"/>
      <c r="BC591" s="169"/>
    </row>
    <row r="592" spans="19:55" ht="15.75" customHeight="1">
      <c r="S592" s="454"/>
      <c r="AN592" s="458"/>
      <c r="BA592" s="1305"/>
      <c r="BC592" s="169"/>
    </row>
    <row r="593" spans="19:55" ht="15.75" customHeight="1">
      <c r="S593" s="454"/>
      <c r="AN593" s="458"/>
      <c r="BA593" s="1305"/>
      <c r="BC593" s="169"/>
    </row>
    <row r="594" spans="19:55" ht="15.75" customHeight="1">
      <c r="S594" s="454"/>
      <c r="AN594" s="458"/>
      <c r="BA594" s="1305"/>
      <c r="BC594" s="169"/>
    </row>
    <row r="595" spans="19:55" ht="15.75" customHeight="1">
      <c r="S595" s="454"/>
      <c r="AN595" s="458"/>
      <c r="BA595" s="1305"/>
      <c r="BC595" s="169"/>
    </row>
    <row r="596" spans="19:55" ht="15.75" customHeight="1">
      <c r="S596" s="454"/>
      <c r="AN596" s="458"/>
      <c r="BA596" s="1305"/>
      <c r="BC596" s="169"/>
    </row>
    <row r="597" spans="19:55" ht="15.75" customHeight="1">
      <c r="S597" s="454"/>
      <c r="AN597" s="458"/>
      <c r="BA597" s="1305"/>
      <c r="BC597" s="169"/>
    </row>
    <row r="598" spans="19:55" ht="15.75" customHeight="1">
      <c r="S598" s="454"/>
      <c r="AN598" s="458"/>
      <c r="BA598" s="1305"/>
      <c r="BC598" s="169"/>
    </row>
    <row r="599" spans="19:55" ht="15.75" customHeight="1">
      <c r="S599" s="454"/>
      <c r="AN599" s="458"/>
      <c r="BA599" s="1305"/>
      <c r="BC599" s="169"/>
    </row>
    <row r="600" spans="19:55" ht="15.75" customHeight="1">
      <c r="S600" s="454"/>
      <c r="AN600" s="458"/>
      <c r="BA600" s="1305"/>
      <c r="BC600" s="169"/>
    </row>
    <row r="601" spans="19:55" ht="15.75" customHeight="1">
      <c r="S601" s="454"/>
      <c r="AN601" s="458"/>
      <c r="BA601" s="1305"/>
      <c r="BC601" s="169"/>
    </row>
    <row r="602" spans="19:55" ht="15.75" customHeight="1">
      <c r="S602" s="454"/>
      <c r="AN602" s="458"/>
      <c r="BA602" s="1305"/>
      <c r="BC602" s="169"/>
    </row>
    <row r="603" spans="19:55" ht="15.75" customHeight="1">
      <c r="S603" s="454"/>
      <c r="AN603" s="458"/>
      <c r="BA603" s="1305"/>
      <c r="BC603" s="169"/>
    </row>
    <row r="604" spans="19:55" ht="15.75" customHeight="1">
      <c r="S604" s="454"/>
      <c r="AN604" s="458"/>
      <c r="BA604" s="1305"/>
      <c r="BC604" s="169"/>
    </row>
    <row r="605" spans="19:55" ht="15.75" customHeight="1">
      <c r="S605" s="454"/>
      <c r="AN605" s="458"/>
      <c r="BA605" s="1305"/>
      <c r="BC605" s="169"/>
    </row>
    <row r="606" spans="19:55" ht="15.75" customHeight="1">
      <c r="S606" s="454"/>
      <c r="AN606" s="458"/>
      <c r="BA606" s="1305"/>
      <c r="BC606" s="169"/>
    </row>
    <row r="607" spans="19:55" ht="15.75" customHeight="1">
      <c r="S607" s="454"/>
      <c r="AN607" s="458"/>
      <c r="BA607" s="1305"/>
      <c r="BC607" s="169"/>
    </row>
    <row r="608" spans="19:55" ht="15.75" customHeight="1">
      <c r="S608" s="454"/>
      <c r="AN608" s="458"/>
      <c r="BA608" s="1305"/>
      <c r="BC608" s="169"/>
    </row>
    <row r="609" spans="19:55" ht="15.75" customHeight="1">
      <c r="S609" s="454"/>
      <c r="AN609" s="458"/>
      <c r="BA609" s="1305"/>
      <c r="BC609" s="169"/>
    </row>
    <row r="610" spans="19:55" ht="15.75" customHeight="1">
      <c r="S610" s="454"/>
      <c r="AN610" s="458"/>
      <c r="BA610" s="1305"/>
      <c r="BC610" s="169"/>
    </row>
    <row r="611" spans="19:55" ht="15.75" customHeight="1">
      <c r="S611" s="454"/>
      <c r="AN611" s="458"/>
      <c r="BA611" s="1305"/>
      <c r="BC611" s="169"/>
    </row>
    <row r="612" spans="19:55" ht="15.75" customHeight="1">
      <c r="S612" s="454"/>
      <c r="AN612" s="458"/>
      <c r="BA612" s="1305"/>
      <c r="BC612" s="169"/>
    </row>
    <row r="613" spans="19:55" ht="15.75" customHeight="1">
      <c r="S613" s="454"/>
      <c r="AN613" s="458"/>
      <c r="BA613" s="1305"/>
      <c r="BC613" s="169"/>
    </row>
    <row r="614" spans="19:55" ht="15.75" customHeight="1">
      <c r="S614" s="454"/>
      <c r="AN614" s="458"/>
      <c r="BA614" s="1305"/>
      <c r="BC614" s="169"/>
    </row>
    <row r="615" spans="19:55" ht="15.75" customHeight="1">
      <c r="S615" s="454"/>
      <c r="AN615" s="458"/>
      <c r="BA615" s="1305"/>
      <c r="BC615" s="169"/>
    </row>
    <row r="616" spans="19:55" ht="15.75" customHeight="1">
      <c r="S616" s="454"/>
      <c r="AN616" s="458"/>
      <c r="BA616" s="1305"/>
      <c r="BC616" s="169"/>
    </row>
    <row r="617" spans="19:55" ht="15.75" customHeight="1">
      <c r="S617" s="454"/>
      <c r="AN617" s="458"/>
      <c r="BA617" s="1305"/>
      <c r="BC617" s="169"/>
    </row>
    <row r="618" spans="19:55" ht="15.75" customHeight="1">
      <c r="S618" s="454"/>
      <c r="AN618" s="458"/>
      <c r="BA618" s="1305"/>
      <c r="BC618" s="169"/>
    </row>
    <row r="619" spans="19:55" ht="15.75" customHeight="1">
      <c r="S619" s="454"/>
      <c r="AN619" s="458"/>
      <c r="BA619" s="1305"/>
      <c r="BC619" s="169"/>
    </row>
    <row r="620" spans="19:55" ht="15.75" customHeight="1">
      <c r="S620" s="454"/>
      <c r="AN620" s="458"/>
      <c r="BA620" s="1305"/>
      <c r="BC620" s="169"/>
    </row>
    <row r="621" spans="19:55" ht="15.75" customHeight="1">
      <c r="S621" s="454"/>
      <c r="AN621" s="458"/>
      <c r="BA621" s="1305"/>
      <c r="BC621" s="169"/>
    </row>
    <row r="622" spans="19:55" ht="15.75" customHeight="1">
      <c r="S622" s="454"/>
      <c r="AN622" s="458"/>
      <c r="BA622" s="1305"/>
      <c r="BC622" s="169"/>
    </row>
    <row r="623" spans="19:55" ht="15.75" customHeight="1">
      <c r="S623" s="454"/>
      <c r="AN623" s="458"/>
      <c r="BA623" s="1305"/>
      <c r="BC623" s="169"/>
    </row>
    <row r="624" spans="19:55" ht="15.75" customHeight="1">
      <c r="S624" s="454"/>
      <c r="AN624" s="458"/>
      <c r="BA624" s="1305"/>
      <c r="BC624" s="169"/>
    </row>
    <row r="625" spans="19:55" ht="15.75" customHeight="1">
      <c r="S625" s="454"/>
      <c r="AN625" s="458"/>
      <c r="BA625" s="1305"/>
      <c r="BC625" s="169"/>
    </row>
    <row r="626" spans="19:55" ht="15.75" customHeight="1">
      <c r="S626" s="454"/>
      <c r="AN626" s="458"/>
      <c r="BA626" s="1305"/>
      <c r="BC626" s="169"/>
    </row>
    <row r="627" spans="19:55" ht="15.75" customHeight="1">
      <c r="S627" s="454"/>
      <c r="AN627" s="458"/>
      <c r="BA627" s="1305"/>
      <c r="BC627" s="169"/>
    </row>
    <row r="628" spans="19:55" ht="15.75" customHeight="1">
      <c r="S628" s="454"/>
      <c r="AN628" s="458"/>
      <c r="BA628" s="1305"/>
      <c r="BC628" s="169"/>
    </row>
    <row r="629" spans="19:55" ht="15.75" customHeight="1">
      <c r="S629" s="454"/>
      <c r="AN629" s="458"/>
      <c r="BA629" s="1305"/>
      <c r="BC629" s="169"/>
    </row>
    <row r="630" spans="19:55" ht="15.75" customHeight="1">
      <c r="S630" s="454"/>
      <c r="AN630" s="458"/>
      <c r="BA630" s="1305"/>
      <c r="BC630" s="169"/>
    </row>
    <row r="631" spans="19:55" ht="15.75" customHeight="1">
      <c r="S631" s="454"/>
      <c r="AN631" s="458"/>
      <c r="BA631" s="1305"/>
      <c r="BC631" s="169"/>
    </row>
    <row r="632" spans="19:55" ht="15.75" customHeight="1">
      <c r="S632" s="454"/>
      <c r="AN632" s="458"/>
      <c r="BA632" s="1305"/>
      <c r="BC632" s="169"/>
    </row>
    <row r="633" spans="19:55" ht="15.75" customHeight="1">
      <c r="S633" s="454"/>
      <c r="AN633" s="458"/>
      <c r="BA633" s="1305"/>
      <c r="BC633" s="169"/>
    </row>
    <row r="634" spans="19:55" ht="15.75" customHeight="1">
      <c r="S634" s="454"/>
      <c r="AN634" s="458"/>
      <c r="BA634" s="1305"/>
      <c r="BC634" s="169"/>
    </row>
    <row r="635" spans="19:55" ht="15.75" customHeight="1">
      <c r="S635" s="454"/>
      <c r="AN635" s="458"/>
      <c r="BA635" s="1305"/>
      <c r="BC635" s="169"/>
    </row>
    <row r="636" spans="19:55" ht="15.75" customHeight="1">
      <c r="S636" s="454"/>
      <c r="AN636" s="458"/>
      <c r="BA636" s="1305"/>
      <c r="BC636" s="169"/>
    </row>
    <row r="637" spans="19:55" ht="15.75" customHeight="1">
      <c r="S637" s="454"/>
      <c r="AN637" s="458"/>
      <c r="BA637" s="1305"/>
      <c r="BC637" s="169"/>
    </row>
    <row r="638" spans="19:55" ht="15.75" customHeight="1">
      <c r="S638" s="454"/>
      <c r="AN638" s="458"/>
      <c r="BA638" s="1305"/>
      <c r="BC638" s="169"/>
    </row>
    <row r="639" spans="19:55" ht="15.75" customHeight="1">
      <c r="S639" s="454"/>
      <c r="AN639" s="458"/>
      <c r="BA639" s="1305"/>
      <c r="BC639" s="169"/>
    </row>
    <row r="640" spans="19:55" ht="15.75" customHeight="1">
      <c r="S640" s="454"/>
      <c r="AN640" s="458"/>
      <c r="BA640" s="1305"/>
      <c r="BC640" s="169"/>
    </row>
    <row r="641" spans="19:55" ht="15.75" customHeight="1">
      <c r="S641" s="454"/>
      <c r="AN641" s="458"/>
      <c r="BA641" s="1305"/>
      <c r="BC641" s="169"/>
    </row>
    <row r="642" spans="19:55" ht="15.75" customHeight="1">
      <c r="S642" s="454"/>
      <c r="AN642" s="458"/>
      <c r="BA642" s="1305"/>
      <c r="BC642" s="169"/>
    </row>
    <row r="643" spans="19:55" ht="15.75" customHeight="1">
      <c r="S643" s="454"/>
      <c r="AN643" s="458"/>
      <c r="BA643" s="1305"/>
      <c r="BC643" s="169"/>
    </row>
    <row r="644" spans="19:55" ht="15.75" customHeight="1">
      <c r="S644" s="454"/>
      <c r="AN644" s="458"/>
      <c r="BA644" s="1305"/>
      <c r="BC644" s="169"/>
    </row>
    <row r="645" spans="19:55" ht="15.75" customHeight="1">
      <c r="S645" s="454"/>
      <c r="AN645" s="458"/>
      <c r="BA645" s="1305"/>
      <c r="BC645" s="169"/>
    </row>
    <row r="646" spans="19:55" ht="15.75" customHeight="1">
      <c r="S646" s="454"/>
      <c r="AN646" s="458"/>
      <c r="BA646" s="1305"/>
      <c r="BC646" s="169"/>
    </row>
    <row r="647" spans="19:55" ht="15.75" customHeight="1">
      <c r="S647" s="454"/>
      <c r="AN647" s="458"/>
      <c r="BA647" s="1305"/>
      <c r="BC647" s="169"/>
    </row>
    <row r="648" spans="19:55" ht="15.75" customHeight="1">
      <c r="S648" s="454"/>
      <c r="AN648" s="458"/>
      <c r="BA648" s="1305"/>
      <c r="BC648" s="169"/>
    </row>
    <row r="649" spans="19:55" ht="15.75" customHeight="1">
      <c r="S649" s="454"/>
      <c r="AN649" s="458"/>
      <c r="BA649" s="1305"/>
      <c r="BC649" s="169"/>
    </row>
    <row r="650" spans="19:55" ht="15.75" customHeight="1">
      <c r="S650" s="454"/>
      <c r="AN650" s="458"/>
      <c r="BA650" s="1305"/>
      <c r="BC650" s="169"/>
    </row>
    <row r="651" spans="19:55" ht="15.75" customHeight="1">
      <c r="S651" s="454"/>
      <c r="AN651" s="458"/>
      <c r="BA651" s="1305"/>
      <c r="BC651" s="169"/>
    </row>
    <row r="652" spans="19:55" ht="15.75" customHeight="1">
      <c r="S652" s="454"/>
      <c r="AN652" s="458"/>
      <c r="BA652" s="1305"/>
      <c r="BC652" s="169"/>
    </row>
    <row r="653" spans="19:55" ht="15.75" customHeight="1">
      <c r="S653" s="454"/>
      <c r="AN653" s="458"/>
      <c r="BA653" s="1305"/>
      <c r="BC653" s="169"/>
    </row>
    <row r="654" spans="19:55" ht="15.75" customHeight="1">
      <c r="S654" s="454"/>
      <c r="AN654" s="458"/>
      <c r="BA654" s="1305"/>
      <c r="BC654" s="169"/>
    </row>
    <row r="655" spans="19:55" ht="15.75" customHeight="1">
      <c r="S655" s="454"/>
      <c r="AN655" s="458"/>
      <c r="BA655" s="1305"/>
      <c r="BC655" s="169"/>
    </row>
    <row r="656" spans="19:55" ht="15.75" customHeight="1">
      <c r="S656" s="454"/>
      <c r="AN656" s="458"/>
      <c r="BA656" s="1305"/>
      <c r="BC656" s="169"/>
    </row>
    <row r="657" spans="19:55" ht="15.75" customHeight="1">
      <c r="S657" s="454"/>
      <c r="AN657" s="458"/>
      <c r="BA657" s="1305"/>
      <c r="BC657" s="169"/>
    </row>
    <row r="658" spans="19:55" ht="15.75" customHeight="1">
      <c r="S658" s="454"/>
      <c r="AN658" s="458"/>
      <c r="BA658" s="1305"/>
      <c r="BC658" s="169"/>
    </row>
    <row r="659" spans="19:55" ht="15.75" customHeight="1">
      <c r="S659" s="454"/>
      <c r="AN659" s="458"/>
      <c r="BA659" s="1305"/>
      <c r="BC659" s="169"/>
    </row>
    <row r="660" spans="19:55" ht="15.75" customHeight="1">
      <c r="S660" s="454"/>
      <c r="AN660" s="458"/>
      <c r="BA660" s="1305"/>
      <c r="BC660" s="169"/>
    </row>
    <row r="661" spans="19:55" ht="15.75" customHeight="1">
      <c r="S661" s="454"/>
      <c r="AN661" s="458"/>
      <c r="BA661" s="1305"/>
      <c r="BC661" s="169"/>
    </row>
    <row r="662" spans="19:55" ht="15.75" customHeight="1">
      <c r="S662" s="454"/>
      <c r="AN662" s="458"/>
      <c r="BA662" s="1305"/>
      <c r="BC662" s="169"/>
    </row>
    <row r="663" spans="19:55" ht="15.75" customHeight="1">
      <c r="S663" s="454"/>
      <c r="AN663" s="458"/>
      <c r="BA663" s="1305"/>
      <c r="BC663" s="169"/>
    </row>
    <row r="664" spans="19:55" ht="15.75" customHeight="1">
      <c r="S664" s="454"/>
      <c r="AN664" s="458"/>
      <c r="BA664" s="1305"/>
      <c r="BC664" s="169"/>
    </row>
    <row r="665" spans="19:55" ht="15.75" customHeight="1">
      <c r="S665" s="454"/>
      <c r="AN665" s="458"/>
      <c r="BA665" s="1305"/>
      <c r="BC665" s="169"/>
    </row>
    <row r="666" spans="19:55" ht="15.75" customHeight="1">
      <c r="S666" s="454"/>
      <c r="AN666" s="458"/>
      <c r="BA666" s="1305"/>
      <c r="BC666" s="169"/>
    </row>
    <row r="667" spans="19:55" ht="15.75" customHeight="1">
      <c r="S667" s="454"/>
      <c r="AN667" s="458"/>
      <c r="BA667" s="1305"/>
      <c r="BC667" s="169"/>
    </row>
    <row r="668" spans="19:55" ht="15.75" customHeight="1">
      <c r="S668" s="454"/>
      <c r="AN668" s="458"/>
      <c r="BA668" s="1305"/>
      <c r="BC668" s="169"/>
    </row>
    <row r="669" spans="19:55" ht="15.75" customHeight="1">
      <c r="S669" s="454"/>
      <c r="AN669" s="458"/>
      <c r="BA669" s="1305"/>
      <c r="BC669" s="169"/>
    </row>
    <row r="670" spans="19:55" ht="15.75" customHeight="1">
      <c r="S670" s="454"/>
      <c r="AN670" s="458"/>
      <c r="BA670" s="1305"/>
      <c r="BC670" s="169"/>
    </row>
    <row r="671" spans="19:55" ht="15.75" customHeight="1">
      <c r="S671" s="454"/>
      <c r="AN671" s="458"/>
      <c r="BA671" s="1305"/>
      <c r="BC671" s="169"/>
    </row>
    <row r="672" spans="19:55" ht="15.75" customHeight="1">
      <c r="S672" s="454"/>
      <c r="AN672" s="458"/>
      <c r="BA672" s="1305"/>
      <c r="BC672" s="169"/>
    </row>
    <row r="673" spans="19:55" ht="15.75" customHeight="1">
      <c r="S673" s="454"/>
      <c r="AN673" s="458"/>
      <c r="BA673" s="1305"/>
      <c r="BC673" s="169"/>
    </row>
    <row r="674" spans="19:55" ht="15.75" customHeight="1">
      <c r="S674" s="454"/>
      <c r="AN674" s="458"/>
      <c r="BA674" s="1305"/>
      <c r="BC674" s="169"/>
    </row>
    <row r="675" spans="19:55" ht="15.75" customHeight="1">
      <c r="S675" s="454"/>
      <c r="AN675" s="458"/>
      <c r="BA675" s="1305"/>
      <c r="BC675" s="169"/>
    </row>
    <row r="676" spans="19:55" ht="15.75" customHeight="1">
      <c r="S676" s="454"/>
      <c r="AN676" s="458"/>
      <c r="BA676" s="1305"/>
      <c r="BC676" s="169"/>
    </row>
    <row r="677" spans="19:55" ht="15.75" customHeight="1">
      <c r="S677" s="454"/>
      <c r="AN677" s="458"/>
      <c r="BA677" s="1305"/>
      <c r="BC677" s="169"/>
    </row>
    <row r="678" spans="19:55" ht="15.75" customHeight="1">
      <c r="S678" s="454"/>
      <c r="AN678" s="458"/>
      <c r="BA678" s="1305"/>
      <c r="BC678" s="169"/>
    </row>
    <row r="679" spans="19:55" ht="15.75" customHeight="1">
      <c r="S679" s="454"/>
      <c r="AN679" s="458"/>
      <c r="BA679" s="1305"/>
      <c r="BC679" s="169"/>
    </row>
    <row r="680" spans="19:55" ht="15.75" customHeight="1">
      <c r="S680" s="454"/>
      <c r="AN680" s="458"/>
      <c r="BA680" s="1305"/>
      <c r="BC680" s="169"/>
    </row>
    <row r="681" spans="19:55" ht="15.75" customHeight="1">
      <c r="S681" s="454"/>
      <c r="AN681" s="458"/>
      <c r="BA681" s="1305"/>
      <c r="BC681" s="169"/>
    </row>
    <row r="682" spans="19:55" ht="15.75" customHeight="1">
      <c r="S682" s="454"/>
      <c r="AN682" s="458"/>
      <c r="BA682" s="1305"/>
      <c r="BC682" s="169"/>
    </row>
    <row r="683" spans="19:55" ht="15.75" customHeight="1">
      <c r="S683" s="454"/>
      <c r="AN683" s="458"/>
      <c r="BA683" s="1305"/>
      <c r="BC683" s="169"/>
    </row>
    <row r="684" spans="19:55" ht="15.75" customHeight="1">
      <c r="S684" s="454"/>
      <c r="AN684" s="458"/>
      <c r="BA684" s="1305"/>
      <c r="BC684" s="169"/>
    </row>
    <row r="685" spans="19:55" ht="15.75" customHeight="1">
      <c r="S685" s="454"/>
      <c r="AN685" s="458"/>
      <c r="BA685" s="1305"/>
      <c r="BC685" s="169"/>
    </row>
    <row r="686" spans="19:55" ht="15.75" customHeight="1">
      <c r="S686" s="454"/>
      <c r="AN686" s="458"/>
      <c r="BA686" s="1305"/>
      <c r="BC686" s="169"/>
    </row>
    <row r="687" spans="19:55" ht="15.75" customHeight="1">
      <c r="S687" s="454"/>
      <c r="AN687" s="458"/>
      <c r="BA687" s="1305"/>
      <c r="BC687" s="169"/>
    </row>
    <row r="688" spans="19:55" ht="15.75" customHeight="1">
      <c r="S688" s="454"/>
      <c r="AN688" s="458"/>
      <c r="BA688" s="1305"/>
      <c r="BC688" s="169"/>
    </row>
    <row r="689" spans="19:55" ht="15.75" customHeight="1">
      <c r="S689" s="454"/>
      <c r="AN689" s="458"/>
      <c r="BA689" s="1305"/>
      <c r="BC689" s="169"/>
    </row>
    <row r="690" spans="19:55" ht="15.75" customHeight="1">
      <c r="S690" s="454"/>
      <c r="AN690" s="458"/>
      <c r="BA690" s="1305"/>
      <c r="BC690" s="169"/>
    </row>
    <row r="691" spans="19:55" ht="15.75" customHeight="1">
      <c r="S691" s="454"/>
      <c r="AN691" s="458"/>
      <c r="BA691" s="1305"/>
      <c r="BC691" s="169"/>
    </row>
    <row r="692" spans="19:55" ht="15.75" customHeight="1">
      <c r="S692" s="454"/>
      <c r="AN692" s="458"/>
      <c r="BA692" s="1305"/>
      <c r="BC692" s="169"/>
    </row>
    <row r="693" spans="19:55" ht="15.75" customHeight="1">
      <c r="S693" s="454"/>
      <c r="AN693" s="458"/>
      <c r="BA693" s="1305"/>
      <c r="BC693" s="169"/>
    </row>
    <row r="694" spans="19:55" ht="15.75" customHeight="1">
      <c r="S694" s="454"/>
      <c r="AN694" s="458"/>
      <c r="BA694" s="1305"/>
      <c r="BC694" s="169"/>
    </row>
    <row r="695" spans="19:55" ht="15.75" customHeight="1">
      <c r="S695" s="454"/>
      <c r="AN695" s="458"/>
      <c r="BA695" s="1305"/>
      <c r="BC695" s="169"/>
    </row>
    <row r="696" spans="19:55" ht="15.75" customHeight="1">
      <c r="S696" s="454"/>
      <c r="AN696" s="458"/>
      <c r="BA696" s="1305"/>
      <c r="BC696" s="169"/>
    </row>
    <row r="697" spans="19:55" ht="15.75" customHeight="1">
      <c r="S697" s="454"/>
      <c r="AN697" s="458"/>
      <c r="BA697" s="1305"/>
      <c r="BC697" s="169"/>
    </row>
    <row r="698" spans="19:55" ht="15.75" customHeight="1">
      <c r="S698" s="454"/>
      <c r="AN698" s="458"/>
      <c r="BA698" s="1305"/>
      <c r="BC698" s="169"/>
    </row>
    <row r="699" spans="19:55" ht="15.75" customHeight="1">
      <c r="S699" s="454"/>
      <c r="AN699" s="458"/>
      <c r="BA699" s="1305"/>
      <c r="BC699" s="169"/>
    </row>
    <row r="700" spans="19:55" ht="15.75" customHeight="1">
      <c r="S700" s="454"/>
      <c r="AN700" s="458"/>
      <c r="BA700" s="1305"/>
      <c r="BC700" s="169"/>
    </row>
    <row r="701" spans="19:55" ht="15.75" customHeight="1">
      <c r="S701" s="454"/>
      <c r="AN701" s="458"/>
      <c r="BA701" s="1305"/>
      <c r="BC701" s="169"/>
    </row>
    <row r="702" spans="19:55" ht="15.75" customHeight="1">
      <c r="S702" s="454"/>
      <c r="AN702" s="458"/>
      <c r="BA702" s="1305"/>
      <c r="BC702" s="169"/>
    </row>
    <row r="703" spans="19:55" ht="15.75" customHeight="1">
      <c r="S703" s="454"/>
      <c r="AN703" s="458"/>
      <c r="BA703" s="1305"/>
      <c r="BC703" s="169"/>
    </row>
    <row r="704" spans="19:55" ht="15.75" customHeight="1">
      <c r="S704" s="454"/>
      <c r="AN704" s="458"/>
      <c r="BA704" s="1305"/>
      <c r="BC704" s="169"/>
    </row>
    <row r="705" spans="19:55" ht="15.75" customHeight="1">
      <c r="S705" s="454"/>
      <c r="AN705" s="458"/>
      <c r="BA705" s="1305"/>
      <c r="BC705" s="169"/>
    </row>
    <row r="706" spans="19:55" ht="15.75" customHeight="1">
      <c r="S706" s="454"/>
      <c r="AN706" s="458"/>
      <c r="BA706" s="1305"/>
      <c r="BC706" s="169"/>
    </row>
    <row r="707" spans="19:55" ht="15.75" customHeight="1">
      <c r="S707" s="454"/>
      <c r="AN707" s="458"/>
      <c r="BA707" s="1305"/>
      <c r="BC707" s="169"/>
    </row>
    <row r="708" spans="19:55" ht="15.75" customHeight="1">
      <c r="S708" s="454"/>
      <c r="AN708" s="458"/>
      <c r="BA708" s="1305"/>
      <c r="BC708" s="169"/>
    </row>
    <row r="709" spans="19:55" ht="15.75" customHeight="1">
      <c r="S709" s="454"/>
      <c r="AN709" s="458"/>
      <c r="BA709" s="1305"/>
      <c r="BC709" s="169"/>
    </row>
    <row r="710" spans="19:55" ht="15.75" customHeight="1">
      <c r="S710" s="454"/>
      <c r="AN710" s="458"/>
      <c r="BA710" s="1305"/>
      <c r="BC710" s="169"/>
    </row>
    <row r="711" spans="19:55" ht="15.75" customHeight="1">
      <c r="S711" s="454"/>
      <c r="AN711" s="458"/>
      <c r="BA711" s="1305"/>
      <c r="BC711" s="169"/>
    </row>
    <row r="712" spans="19:55" ht="15.75" customHeight="1">
      <c r="S712" s="454"/>
      <c r="AN712" s="458"/>
      <c r="BA712" s="1305"/>
      <c r="BC712" s="169"/>
    </row>
    <row r="713" spans="19:55" ht="15.75" customHeight="1">
      <c r="S713" s="454"/>
      <c r="AN713" s="458"/>
      <c r="BA713" s="1305"/>
      <c r="BC713" s="169"/>
    </row>
    <row r="714" spans="19:55" ht="15.75" customHeight="1">
      <c r="S714" s="454"/>
      <c r="AN714" s="458"/>
      <c r="BA714" s="1305"/>
      <c r="BC714" s="169"/>
    </row>
    <row r="715" spans="19:55" ht="15.75" customHeight="1">
      <c r="S715" s="454"/>
      <c r="AN715" s="458"/>
      <c r="BA715" s="1305"/>
      <c r="BC715" s="169"/>
    </row>
    <row r="716" spans="19:55" ht="15.75" customHeight="1">
      <c r="S716" s="454"/>
      <c r="AN716" s="458"/>
      <c r="BA716" s="1305"/>
      <c r="BC716" s="169"/>
    </row>
    <row r="717" spans="19:55" ht="15.75" customHeight="1">
      <c r="S717" s="454"/>
      <c r="AN717" s="458"/>
      <c r="BA717" s="1305"/>
      <c r="BC717" s="169"/>
    </row>
    <row r="718" spans="19:55" ht="15.75" customHeight="1">
      <c r="S718" s="454"/>
      <c r="AN718" s="458"/>
      <c r="BA718" s="1305"/>
      <c r="BC718" s="169"/>
    </row>
    <row r="719" spans="19:55" ht="15.75" customHeight="1">
      <c r="S719" s="454"/>
      <c r="AN719" s="458"/>
      <c r="BA719" s="1305"/>
      <c r="BC719" s="169"/>
    </row>
    <row r="720" spans="19:55" ht="15.75" customHeight="1">
      <c r="S720" s="454"/>
      <c r="AN720" s="458"/>
      <c r="BA720" s="1305"/>
      <c r="BC720" s="169"/>
    </row>
    <row r="721" spans="19:55" ht="15.75" customHeight="1">
      <c r="S721" s="454"/>
      <c r="AN721" s="458"/>
      <c r="BA721" s="1305"/>
      <c r="BC721" s="169"/>
    </row>
    <row r="722" spans="19:55" ht="15.75" customHeight="1">
      <c r="S722" s="454"/>
      <c r="AN722" s="458"/>
      <c r="BA722" s="1305"/>
      <c r="BC722" s="169"/>
    </row>
    <row r="723" spans="19:55" ht="15.75" customHeight="1">
      <c r="S723" s="454"/>
      <c r="AN723" s="458"/>
      <c r="BA723" s="1305"/>
      <c r="BC723" s="169"/>
    </row>
    <row r="724" spans="19:55" ht="15.75" customHeight="1">
      <c r="S724" s="454"/>
      <c r="AN724" s="458"/>
      <c r="BA724" s="1305"/>
      <c r="BC724" s="169"/>
    </row>
    <row r="725" spans="19:55" ht="15.75" customHeight="1">
      <c r="S725" s="454"/>
      <c r="AN725" s="458"/>
      <c r="BA725" s="1305"/>
      <c r="BC725" s="169"/>
    </row>
    <row r="726" spans="19:55" ht="15.75" customHeight="1">
      <c r="S726" s="454"/>
      <c r="AN726" s="458"/>
      <c r="BA726" s="1305"/>
      <c r="BC726" s="169"/>
    </row>
    <row r="727" spans="19:55" ht="15.75" customHeight="1">
      <c r="S727" s="454"/>
      <c r="AN727" s="458"/>
      <c r="BA727" s="1305"/>
      <c r="BC727" s="169"/>
    </row>
    <row r="728" spans="19:55" ht="15.75" customHeight="1">
      <c r="S728" s="454"/>
      <c r="AN728" s="458"/>
      <c r="BA728" s="1305"/>
      <c r="BC728" s="169"/>
    </row>
    <row r="729" spans="19:55" ht="15.75" customHeight="1">
      <c r="S729" s="454"/>
      <c r="AN729" s="458"/>
      <c r="BA729" s="1305"/>
      <c r="BC729" s="169"/>
    </row>
    <row r="730" spans="19:55" ht="15.75" customHeight="1">
      <c r="S730" s="454"/>
      <c r="AN730" s="458"/>
      <c r="BA730" s="1305"/>
      <c r="BC730" s="169"/>
    </row>
    <row r="731" spans="19:55" ht="15.75" customHeight="1">
      <c r="S731" s="454"/>
      <c r="AN731" s="458"/>
      <c r="BA731" s="1305"/>
      <c r="BC731" s="169"/>
    </row>
    <row r="732" spans="19:55" ht="15.75" customHeight="1">
      <c r="S732" s="454"/>
      <c r="AN732" s="458"/>
      <c r="BA732" s="1305"/>
      <c r="BC732" s="169"/>
    </row>
    <row r="733" spans="19:55" ht="15.75" customHeight="1">
      <c r="S733" s="454"/>
      <c r="AN733" s="458"/>
      <c r="BA733" s="1305"/>
      <c r="BC733" s="169"/>
    </row>
    <row r="734" spans="19:55" ht="15.75" customHeight="1">
      <c r="S734" s="454"/>
      <c r="AN734" s="458"/>
      <c r="BA734" s="1305"/>
      <c r="BC734" s="169"/>
    </row>
    <row r="735" spans="19:55" ht="15.75" customHeight="1">
      <c r="S735" s="454"/>
      <c r="AN735" s="458"/>
      <c r="BA735" s="1305"/>
      <c r="BC735" s="169"/>
    </row>
    <row r="736" spans="19:55" ht="15.75" customHeight="1">
      <c r="S736" s="454"/>
      <c r="AN736" s="458"/>
      <c r="BA736" s="1305"/>
      <c r="BC736" s="169"/>
    </row>
    <row r="737" spans="19:55" ht="15.75" customHeight="1">
      <c r="S737" s="454"/>
      <c r="AN737" s="458"/>
      <c r="BA737" s="1305"/>
      <c r="BC737" s="169"/>
    </row>
    <row r="738" spans="19:55" ht="15.75" customHeight="1">
      <c r="S738" s="454"/>
      <c r="AN738" s="458"/>
      <c r="BA738" s="1305"/>
      <c r="BC738" s="169"/>
    </row>
    <row r="739" spans="19:55" ht="15.75" customHeight="1">
      <c r="S739" s="454"/>
      <c r="AN739" s="458"/>
      <c r="BA739" s="1305"/>
      <c r="BC739" s="169"/>
    </row>
    <row r="740" spans="19:55" ht="15.75" customHeight="1">
      <c r="S740" s="454"/>
      <c r="AN740" s="458"/>
      <c r="BA740" s="1305"/>
      <c r="BC740" s="169"/>
    </row>
    <row r="741" spans="19:55" ht="15.75" customHeight="1">
      <c r="S741" s="454"/>
      <c r="AN741" s="458"/>
      <c r="BA741" s="1305"/>
      <c r="BC741" s="169"/>
    </row>
    <row r="742" spans="19:55" ht="15.75" customHeight="1">
      <c r="S742" s="454"/>
      <c r="AN742" s="458"/>
      <c r="BA742" s="1305"/>
      <c r="BC742" s="169"/>
    </row>
    <row r="743" spans="19:55" ht="15.75" customHeight="1">
      <c r="S743" s="454"/>
      <c r="AN743" s="458"/>
      <c r="BA743" s="1305"/>
      <c r="BC743" s="169"/>
    </row>
    <row r="744" spans="19:55" ht="15.75" customHeight="1">
      <c r="S744" s="454"/>
      <c r="AN744" s="458"/>
      <c r="BA744" s="1305"/>
      <c r="BC744" s="169"/>
    </row>
    <row r="745" spans="19:55" ht="15.75" customHeight="1">
      <c r="S745" s="454"/>
      <c r="AN745" s="458"/>
      <c r="BA745" s="1305"/>
      <c r="BC745" s="169"/>
    </row>
    <row r="746" spans="19:55" ht="15.75" customHeight="1">
      <c r="S746" s="454"/>
      <c r="AN746" s="458"/>
      <c r="BA746" s="1305"/>
      <c r="BC746" s="169"/>
    </row>
    <row r="747" spans="19:55" ht="15.75" customHeight="1">
      <c r="S747" s="454"/>
      <c r="AN747" s="458"/>
      <c r="BA747" s="1305"/>
      <c r="BC747" s="169"/>
    </row>
    <row r="748" spans="19:55" ht="15.75" customHeight="1">
      <c r="S748" s="454"/>
      <c r="AN748" s="458"/>
      <c r="BA748" s="1305"/>
      <c r="BC748" s="169"/>
    </row>
    <row r="749" spans="19:55" ht="15.75" customHeight="1">
      <c r="S749" s="454"/>
      <c r="AN749" s="458"/>
      <c r="BA749" s="1305"/>
      <c r="BC749" s="169"/>
    </row>
    <row r="750" spans="19:55" ht="15.75" customHeight="1">
      <c r="S750" s="454"/>
      <c r="AN750" s="458"/>
      <c r="BA750" s="1305"/>
      <c r="BC750" s="169"/>
    </row>
    <row r="751" spans="19:55" ht="15.75" customHeight="1">
      <c r="S751" s="454"/>
      <c r="AN751" s="458"/>
      <c r="BA751" s="1305"/>
      <c r="BC751" s="169"/>
    </row>
    <row r="752" spans="19:55" ht="15.75" customHeight="1">
      <c r="S752" s="454"/>
      <c r="AN752" s="458"/>
      <c r="BA752" s="1305"/>
      <c r="BC752" s="169"/>
    </row>
    <row r="753" spans="19:55" ht="15.75" customHeight="1">
      <c r="S753" s="454"/>
      <c r="AN753" s="458"/>
      <c r="BA753" s="1305"/>
      <c r="BC753" s="169"/>
    </row>
    <row r="754" spans="19:55" ht="15.75" customHeight="1">
      <c r="S754" s="454"/>
      <c r="AN754" s="458"/>
      <c r="BA754" s="1305"/>
      <c r="BC754" s="169"/>
    </row>
    <row r="755" spans="19:55" ht="15.75" customHeight="1">
      <c r="S755" s="454"/>
      <c r="AN755" s="458"/>
      <c r="BA755" s="1305"/>
      <c r="BC755" s="169"/>
    </row>
    <row r="756" spans="19:55" ht="15.75" customHeight="1">
      <c r="S756" s="454"/>
      <c r="AN756" s="458"/>
      <c r="BA756" s="1305"/>
      <c r="BC756" s="169"/>
    </row>
    <row r="757" spans="19:55" ht="15.75" customHeight="1">
      <c r="S757" s="454"/>
      <c r="AN757" s="458"/>
      <c r="BA757" s="1305"/>
      <c r="BC757" s="169"/>
    </row>
    <row r="758" spans="19:55" ht="15.75" customHeight="1">
      <c r="S758" s="454"/>
      <c r="AN758" s="458"/>
      <c r="BA758" s="1305"/>
      <c r="BC758" s="169"/>
    </row>
    <row r="759" spans="19:55" ht="15.75" customHeight="1">
      <c r="S759" s="454"/>
      <c r="AN759" s="458"/>
      <c r="BA759" s="1305"/>
      <c r="BC759" s="169"/>
    </row>
    <row r="760" spans="19:55" ht="15.75" customHeight="1">
      <c r="S760" s="454"/>
      <c r="AN760" s="458"/>
      <c r="BA760" s="1305"/>
      <c r="BC760" s="169"/>
    </row>
    <row r="761" spans="19:55" ht="15.75" customHeight="1">
      <c r="S761" s="454"/>
      <c r="AN761" s="458"/>
      <c r="BA761" s="1305"/>
      <c r="BC761" s="169"/>
    </row>
    <row r="762" spans="19:55" ht="15.75" customHeight="1">
      <c r="S762" s="454"/>
      <c r="AN762" s="458"/>
      <c r="BA762" s="1305"/>
      <c r="BC762" s="169"/>
    </row>
    <row r="763" spans="19:55" ht="15.75" customHeight="1">
      <c r="S763" s="454"/>
      <c r="AN763" s="458"/>
      <c r="BA763" s="1305"/>
      <c r="BC763" s="169"/>
    </row>
    <row r="764" spans="19:55" ht="15.75" customHeight="1">
      <c r="S764" s="454"/>
      <c r="AN764" s="458"/>
      <c r="BA764" s="1305"/>
      <c r="BC764" s="169"/>
    </row>
    <row r="765" spans="19:55" ht="15.75" customHeight="1">
      <c r="S765" s="454"/>
      <c r="AN765" s="458"/>
      <c r="BA765" s="1305"/>
      <c r="BC765" s="169"/>
    </row>
    <row r="766" spans="19:55" ht="15.75" customHeight="1">
      <c r="S766" s="454"/>
      <c r="AN766" s="458"/>
      <c r="BA766" s="1305"/>
      <c r="BC766" s="169"/>
    </row>
    <row r="767" spans="19:55" ht="15.75" customHeight="1">
      <c r="S767" s="454"/>
      <c r="AN767" s="458"/>
      <c r="BA767" s="1305"/>
      <c r="BC767" s="169"/>
    </row>
    <row r="768" spans="19:55" ht="15.75" customHeight="1">
      <c r="S768" s="454"/>
      <c r="AN768" s="458"/>
      <c r="BA768" s="1305"/>
      <c r="BC768" s="169"/>
    </row>
    <row r="769" spans="19:55" ht="15.75" customHeight="1">
      <c r="S769" s="454"/>
      <c r="AN769" s="458"/>
      <c r="BA769" s="1305"/>
      <c r="BC769" s="169"/>
    </row>
    <row r="770" spans="19:55" ht="15.75" customHeight="1">
      <c r="S770" s="454"/>
      <c r="AN770" s="458"/>
      <c r="BA770" s="1305"/>
      <c r="BC770" s="169"/>
    </row>
    <row r="771" spans="19:55" ht="15.75" customHeight="1">
      <c r="S771" s="454"/>
      <c r="AN771" s="458"/>
      <c r="BA771" s="1305"/>
      <c r="BC771" s="169"/>
    </row>
    <row r="772" spans="19:55" ht="15.75" customHeight="1">
      <c r="S772" s="454"/>
      <c r="AN772" s="458"/>
      <c r="BA772" s="1305"/>
      <c r="BC772" s="169"/>
    </row>
    <row r="773" spans="19:55" ht="15.75" customHeight="1">
      <c r="S773" s="454"/>
      <c r="AN773" s="458"/>
      <c r="BA773" s="1305"/>
      <c r="BC773" s="169"/>
    </row>
    <row r="774" spans="19:55" ht="15.75" customHeight="1">
      <c r="S774" s="454"/>
      <c r="AN774" s="458"/>
      <c r="BA774" s="1305"/>
      <c r="BC774" s="169"/>
    </row>
    <row r="775" spans="19:55" ht="15.75" customHeight="1">
      <c r="S775" s="454"/>
      <c r="AN775" s="458"/>
      <c r="BA775" s="1305"/>
      <c r="BC775" s="169"/>
    </row>
    <row r="776" spans="19:55" ht="15.75" customHeight="1">
      <c r="S776" s="454"/>
      <c r="AN776" s="458"/>
      <c r="BA776" s="1305"/>
      <c r="BC776" s="169"/>
    </row>
    <row r="777" spans="19:55" ht="15.75" customHeight="1">
      <c r="S777" s="454"/>
      <c r="AN777" s="458"/>
      <c r="BA777" s="1305"/>
      <c r="BC777" s="169"/>
    </row>
    <row r="778" spans="19:55" ht="15.75" customHeight="1">
      <c r="S778" s="454"/>
      <c r="AN778" s="458"/>
      <c r="BA778" s="1305"/>
      <c r="BC778" s="169"/>
    </row>
    <row r="779" spans="19:55" ht="15.75" customHeight="1">
      <c r="S779" s="454"/>
      <c r="AN779" s="458"/>
      <c r="BA779" s="1305"/>
      <c r="BC779" s="169"/>
    </row>
    <row r="780" spans="19:55" ht="15.75" customHeight="1">
      <c r="S780" s="454"/>
      <c r="AN780" s="458"/>
      <c r="BA780" s="1305"/>
      <c r="BC780" s="169"/>
    </row>
    <row r="781" spans="19:55" ht="15.75" customHeight="1">
      <c r="S781" s="454"/>
      <c r="AN781" s="458"/>
      <c r="BA781" s="1305"/>
      <c r="BC781" s="169"/>
    </row>
    <row r="782" spans="19:55" ht="15.75" customHeight="1">
      <c r="S782" s="454"/>
      <c r="AN782" s="458"/>
      <c r="BA782" s="1305"/>
      <c r="BC782" s="169"/>
    </row>
    <row r="783" spans="19:55" ht="15.75" customHeight="1">
      <c r="S783" s="454"/>
      <c r="AN783" s="458"/>
      <c r="BA783" s="1305"/>
      <c r="BC783" s="169"/>
    </row>
    <row r="784" spans="19:55" ht="15.75" customHeight="1">
      <c r="S784" s="454"/>
      <c r="AN784" s="458"/>
      <c r="BA784" s="1305"/>
      <c r="BC784" s="169"/>
    </row>
    <row r="785" spans="19:55" ht="15.75" customHeight="1">
      <c r="S785" s="454"/>
      <c r="AN785" s="458"/>
      <c r="BA785" s="1305"/>
      <c r="BC785" s="169"/>
    </row>
    <row r="786" spans="19:55" ht="15.75" customHeight="1">
      <c r="S786" s="454"/>
      <c r="AN786" s="458"/>
      <c r="BA786" s="1305"/>
      <c r="BC786" s="169"/>
    </row>
    <row r="787" spans="19:55" ht="15.75" customHeight="1">
      <c r="S787" s="454"/>
      <c r="AN787" s="458"/>
      <c r="BA787" s="1305"/>
      <c r="BC787" s="169"/>
    </row>
    <row r="788" spans="19:55" ht="15.75" customHeight="1">
      <c r="S788" s="454"/>
      <c r="AN788" s="458"/>
      <c r="BA788" s="1305"/>
      <c r="BC788" s="169"/>
    </row>
    <row r="789" spans="19:55" ht="15.75" customHeight="1">
      <c r="S789" s="454"/>
      <c r="AN789" s="458"/>
      <c r="BA789" s="1305"/>
      <c r="BC789" s="169"/>
    </row>
    <row r="790" spans="19:55" ht="15.75" customHeight="1">
      <c r="S790" s="454"/>
      <c r="AN790" s="458"/>
      <c r="BA790" s="1305"/>
      <c r="BC790" s="169"/>
    </row>
    <row r="791" spans="19:55" ht="15.75" customHeight="1">
      <c r="S791" s="454"/>
      <c r="AN791" s="458"/>
      <c r="BA791" s="1305"/>
      <c r="BC791" s="169"/>
    </row>
    <row r="792" spans="19:55" ht="15.75" customHeight="1">
      <c r="S792" s="454"/>
      <c r="AN792" s="458"/>
      <c r="BA792" s="1305"/>
      <c r="BC792" s="169"/>
    </row>
    <row r="793" spans="19:55" ht="15.75" customHeight="1">
      <c r="S793" s="454"/>
      <c r="AN793" s="458"/>
      <c r="BA793" s="1305"/>
      <c r="BC793" s="169"/>
    </row>
    <row r="794" spans="19:55" ht="15.75" customHeight="1">
      <c r="S794" s="454"/>
      <c r="AN794" s="458"/>
      <c r="BA794" s="1305"/>
      <c r="BC794" s="169"/>
    </row>
    <row r="795" spans="19:55" ht="15.75" customHeight="1">
      <c r="S795" s="454"/>
      <c r="AN795" s="458"/>
      <c r="BA795" s="1305"/>
      <c r="BC795" s="169"/>
    </row>
    <row r="796" spans="19:55" ht="15.75" customHeight="1">
      <c r="S796" s="454"/>
      <c r="AN796" s="458"/>
      <c r="BA796" s="1305"/>
      <c r="BC796" s="169"/>
    </row>
    <row r="797" spans="19:55" ht="15.75" customHeight="1">
      <c r="S797" s="454"/>
      <c r="AN797" s="458"/>
      <c r="BA797" s="1305"/>
      <c r="BC797" s="169"/>
    </row>
    <row r="798" spans="19:55" ht="15.75" customHeight="1">
      <c r="S798" s="454"/>
      <c r="AN798" s="458"/>
      <c r="BA798" s="1305"/>
      <c r="BC798" s="169"/>
    </row>
    <row r="799" spans="19:55" ht="15.75" customHeight="1">
      <c r="S799" s="454"/>
      <c r="AN799" s="458"/>
      <c r="BA799" s="1305"/>
      <c r="BC799" s="169"/>
    </row>
    <row r="800" spans="19:55" ht="15.75" customHeight="1">
      <c r="S800" s="454"/>
      <c r="AN800" s="458"/>
      <c r="BA800" s="1305"/>
      <c r="BC800" s="169"/>
    </row>
    <row r="801" spans="19:55" ht="15.75" customHeight="1">
      <c r="S801" s="454"/>
      <c r="AN801" s="458"/>
      <c r="BA801" s="1305"/>
      <c r="BC801" s="169"/>
    </row>
    <row r="802" spans="19:55" ht="15.75" customHeight="1">
      <c r="S802" s="454"/>
      <c r="AN802" s="458"/>
      <c r="BA802" s="1305"/>
      <c r="BC802" s="169"/>
    </row>
    <row r="803" spans="19:55" ht="15.75" customHeight="1">
      <c r="S803" s="454"/>
      <c r="AN803" s="458"/>
      <c r="BA803" s="1305"/>
      <c r="BC803" s="169"/>
    </row>
    <row r="804" spans="19:55" ht="15.75" customHeight="1">
      <c r="S804" s="454"/>
      <c r="AN804" s="458"/>
      <c r="BA804" s="1305"/>
      <c r="BC804" s="169"/>
    </row>
    <row r="805" spans="19:55" ht="15.75" customHeight="1">
      <c r="S805" s="454"/>
      <c r="AN805" s="458"/>
      <c r="BA805" s="1305"/>
      <c r="BC805" s="169"/>
    </row>
    <row r="806" spans="19:55" ht="15.75" customHeight="1">
      <c r="S806" s="454"/>
      <c r="AN806" s="458"/>
      <c r="BA806" s="1305"/>
      <c r="BC806" s="169"/>
    </row>
    <row r="807" spans="19:55" ht="15.75" customHeight="1">
      <c r="S807" s="454"/>
      <c r="AN807" s="458"/>
      <c r="BA807" s="1305"/>
      <c r="BC807" s="169"/>
    </row>
    <row r="808" spans="19:55" ht="15.75" customHeight="1">
      <c r="S808" s="454"/>
      <c r="AN808" s="458"/>
      <c r="BA808" s="1305"/>
      <c r="BC808" s="169"/>
    </row>
    <row r="809" spans="19:55" ht="15.75" customHeight="1">
      <c r="S809" s="454"/>
      <c r="AN809" s="458"/>
      <c r="BA809" s="1305"/>
      <c r="BC809" s="169"/>
    </row>
    <row r="810" spans="19:55" ht="15.75" customHeight="1">
      <c r="S810" s="454"/>
      <c r="AN810" s="458"/>
      <c r="BA810" s="1305"/>
      <c r="BC810" s="169"/>
    </row>
    <row r="811" spans="19:55" ht="15.75" customHeight="1">
      <c r="S811" s="454"/>
      <c r="AN811" s="458"/>
      <c r="BA811" s="1305"/>
      <c r="BC811" s="169"/>
    </row>
    <row r="812" spans="19:55" ht="15.75" customHeight="1">
      <c r="S812" s="454"/>
      <c r="AN812" s="458"/>
      <c r="BA812" s="1305"/>
      <c r="BC812" s="169"/>
    </row>
    <row r="813" spans="19:55" ht="15.75" customHeight="1">
      <c r="S813" s="454"/>
      <c r="AN813" s="458"/>
      <c r="BA813" s="1305"/>
      <c r="BC813" s="169"/>
    </row>
    <row r="814" spans="19:55" ht="15.75" customHeight="1">
      <c r="S814" s="454"/>
      <c r="AN814" s="458"/>
      <c r="BA814" s="1305"/>
      <c r="BC814" s="169"/>
    </row>
    <row r="815" spans="19:55" ht="15.75" customHeight="1">
      <c r="S815" s="454"/>
      <c r="AN815" s="458"/>
      <c r="BA815" s="1305"/>
      <c r="BC815" s="169"/>
    </row>
    <row r="816" spans="19:55" ht="15.75" customHeight="1">
      <c r="S816" s="454"/>
      <c r="AN816" s="458"/>
      <c r="BA816" s="1305"/>
      <c r="BC816" s="169"/>
    </row>
    <row r="817" spans="19:55" ht="15.75" customHeight="1">
      <c r="S817" s="454"/>
      <c r="AN817" s="458"/>
      <c r="BA817" s="1305"/>
      <c r="BC817" s="169"/>
    </row>
    <row r="818" spans="19:55" ht="15.75" customHeight="1">
      <c r="S818" s="454"/>
      <c r="AN818" s="458"/>
      <c r="BA818" s="1305"/>
      <c r="BC818" s="169"/>
    </row>
    <row r="819" spans="19:55" ht="15.75" customHeight="1">
      <c r="S819" s="454"/>
      <c r="AN819" s="458"/>
      <c r="BA819" s="1305"/>
      <c r="BC819" s="169"/>
    </row>
    <row r="820" spans="19:55" ht="15.75" customHeight="1">
      <c r="S820" s="454"/>
      <c r="AN820" s="458"/>
      <c r="BA820" s="1305"/>
      <c r="BC820" s="169"/>
    </row>
    <row r="821" spans="19:55" ht="15.75" customHeight="1">
      <c r="S821" s="454"/>
      <c r="AN821" s="458"/>
      <c r="BA821" s="1305"/>
      <c r="BC821" s="169"/>
    </row>
    <row r="822" spans="19:55" ht="15.75" customHeight="1">
      <c r="S822" s="454"/>
      <c r="AN822" s="458"/>
      <c r="BA822" s="1305"/>
      <c r="BC822" s="169"/>
    </row>
    <row r="823" spans="19:55" ht="15.75" customHeight="1">
      <c r="S823" s="454"/>
      <c r="AN823" s="458"/>
      <c r="BA823" s="1305"/>
      <c r="BC823" s="169"/>
    </row>
    <row r="824" spans="19:55" ht="15.75" customHeight="1">
      <c r="S824" s="454"/>
      <c r="AN824" s="458"/>
      <c r="BA824" s="1305"/>
      <c r="BC824" s="169"/>
    </row>
    <row r="825" spans="19:55" ht="15.75" customHeight="1">
      <c r="S825" s="454"/>
      <c r="AN825" s="458"/>
      <c r="BA825" s="1305"/>
      <c r="BC825" s="169"/>
    </row>
    <row r="826" spans="19:55" ht="15.75" customHeight="1">
      <c r="S826" s="454"/>
      <c r="AN826" s="458"/>
      <c r="BA826" s="1305"/>
      <c r="BC826" s="169"/>
    </row>
    <row r="827" spans="19:55" ht="15.75" customHeight="1">
      <c r="S827" s="454"/>
      <c r="AN827" s="458"/>
      <c r="BA827" s="1305"/>
      <c r="BC827" s="169"/>
    </row>
    <row r="828" spans="19:55" ht="15.75" customHeight="1">
      <c r="S828" s="454"/>
      <c r="AN828" s="458"/>
      <c r="BA828" s="1305"/>
      <c r="BC828" s="169"/>
    </row>
    <row r="829" spans="19:55" ht="15.75" customHeight="1">
      <c r="S829" s="454"/>
      <c r="AN829" s="458"/>
      <c r="BA829" s="1305"/>
      <c r="BC829" s="169"/>
    </row>
    <row r="830" spans="19:55" ht="15.75" customHeight="1">
      <c r="S830" s="454"/>
      <c r="AN830" s="458"/>
      <c r="BA830" s="1305"/>
      <c r="BC830" s="169"/>
    </row>
    <row r="831" spans="19:55" ht="15.75" customHeight="1">
      <c r="S831" s="454"/>
      <c r="AN831" s="458"/>
      <c r="BA831" s="1305"/>
      <c r="BC831" s="169"/>
    </row>
    <row r="832" spans="19:55" ht="15.75" customHeight="1">
      <c r="S832" s="454"/>
      <c r="AN832" s="458"/>
      <c r="BA832" s="1305"/>
      <c r="BC832" s="169"/>
    </row>
    <row r="833" spans="19:55" ht="15.75" customHeight="1">
      <c r="S833" s="454"/>
      <c r="AN833" s="458"/>
      <c r="BA833" s="1305"/>
      <c r="BC833" s="169"/>
    </row>
    <row r="834" spans="19:55" ht="15.75" customHeight="1">
      <c r="S834" s="454"/>
      <c r="AN834" s="458"/>
      <c r="BA834" s="1305"/>
      <c r="BC834" s="169"/>
    </row>
    <row r="835" spans="19:55" ht="15.75" customHeight="1">
      <c r="S835" s="454"/>
      <c r="AN835" s="458"/>
      <c r="BA835" s="1305"/>
      <c r="BC835" s="169"/>
    </row>
    <row r="836" spans="19:55" ht="15.75" customHeight="1">
      <c r="S836" s="454"/>
      <c r="AN836" s="458"/>
      <c r="BA836" s="1305"/>
      <c r="BC836" s="169"/>
    </row>
    <row r="837" spans="19:55" ht="15.75" customHeight="1">
      <c r="S837" s="454"/>
      <c r="AN837" s="458"/>
      <c r="BA837" s="1305"/>
      <c r="BC837" s="169"/>
    </row>
    <row r="838" spans="19:55" ht="15.75" customHeight="1">
      <c r="S838" s="454"/>
      <c r="AN838" s="458"/>
      <c r="BA838" s="1305"/>
      <c r="BC838" s="169"/>
    </row>
    <row r="839" spans="19:55" ht="15.75" customHeight="1">
      <c r="S839" s="454"/>
      <c r="AN839" s="458"/>
      <c r="BA839" s="1305"/>
      <c r="BC839" s="169"/>
    </row>
    <row r="840" spans="19:55" ht="15.75" customHeight="1">
      <c r="S840" s="454"/>
      <c r="AN840" s="458"/>
      <c r="BA840" s="1305"/>
      <c r="BC840" s="169"/>
    </row>
    <row r="841" spans="19:55" ht="15.75" customHeight="1">
      <c r="S841" s="454"/>
      <c r="AN841" s="458"/>
      <c r="BA841" s="1305"/>
      <c r="BC841" s="169"/>
    </row>
    <row r="842" spans="19:55" ht="15.75" customHeight="1">
      <c r="S842" s="454"/>
      <c r="AN842" s="458"/>
      <c r="BA842" s="1305"/>
      <c r="BC842" s="169"/>
    </row>
    <row r="843" spans="19:55" ht="15.75" customHeight="1">
      <c r="S843" s="454"/>
      <c r="AN843" s="458"/>
      <c r="BA843" s="1305"/>
      <c r="BC843" s="169"/>
    </row>
    <row r="844" spans="19:55" ht="15.75" customHeight="1">
      <c r="S844" s="454"/>
      <c r="AN844" s="458"/>
      <c r="BA844" s="1305"/>
      <c r="BC844" s="169"/>
    </row>
    <row r="845" spans="19:55" ht="15.75" customHeight="1">
      <c r="S845" s="454"/>
      <c r="AN845" s="458"/>
      <c r="BA845" s="1305"/>
      <c r="BC845" s="169"/>
    </row>
    <row r="846" spans="19:55" ht="15.75" customHeight="1">
      <c r="S846" s="454"/>
      <c r="AN846" s="458"/>
      <c r="BA846" s="1305"/>
      <c r="BC846" s="169"/>
    </row>
    <row r="847" spans="19:55" ht="15.75" customHeight="1">
      <c r="S847" s="454"/>
      <c r="AN847" s="458"/>
      <c r="BA847" s="1305"/>
      <c r="BC847" s="169"/>
    </row>
    <row r="848" spans="19:55" ht="15.75" customHeight="1">
      <c r="S848" s="454"/>
      <c r="AN848" s="458"/>
      <c r="BA848" s="1305"/>
      <c r="BC848" s="169"/>
    </row>
    <row r="849" spans="19:55" ht="15.75" customHeight="1">
      <c r="S849" s="454"/>
      <c r="AN849" s="458"/>
      <c r="BA849" s="1305"/>
      <c r="BC849" s="169"/>
    </row>
    <row r="850" spans="19:55" ht="15.75" customHeight="1">
      <c r="S850" s="454"/>
      <c r="AN850" s="458"/>
      <c r="BA850" s="1305"/>
      <c r="BC850" s="169"/>
    </row>
    <row r="851" spans="19:55" ht="15.75" customHeight="1">
      <c r="S851" s="454"/>
      <c r="AN851" s="458"/>
      <c r="BA851" s="1305"/>
      <c r="BC851" s="169"/>
    </row>
    <row r="852" spans="19:55" ht="15.75" customHeight="1">
      <c r="S852" s="454"/>
      <c r="AN852" s="458"/>
      <c r="BA852" s="1305"/>
      <c r="BC852" s="169"/>
    </row>
    <row r="853" spans="19:55" ht="15.75" customHeight="1">
      <c r="S853" s="454"/>
      <c r="AN853" s="458"/>
      <c r="BA853" s="1305"/>
      <c r="BC853" s="169"/>
    </row>
    <row r="854" spans="19:55" ht="15.75" customHeight="1">
      <c r="S854" s="454"/>
      <c r="AN854" s="458"/>
      <c r="BA854" s="1305"/>
      <c r="BC854" s="169"/>
    </row>
    <row r="855" spans="19:55" ht="15.75" customHeight="1">
      <c r="S855" s="454"/>
      <c r="AN855" s="458"/>
      <c r="BA855" s="1305"/>
      <c r="BC855" s="169"/>
    </row>
    <row r="856" spans="19:55" ht="15.75" customHeight="1">
      <c r="S856" s="454"/>
      <c r="AN856" s="458"/>
      <c r="BA856" s="1305"/>
      <c r="BC856" s="169"/>
    </row>
    <row r="857" spans="19:55" ht="15.75" customHeight="1">
      <c r="S857" s="454"/>
      <c r="AN857" s="458"/>
      <c r="BA857" s="1305"/>
      <c r="BC857" s="169"/>
    </row>
    <row r="858" spans="19:55" ht="15.75" customHeight="1">
      <c r="S858" s="454"/>
      <c r="AN858" s="458"/>
      <c r="BA858" s="1305"/>
      <c r="BC858" s="169"/>
    </row>
    <row r="859" spans="19:55" ht="15.75" customHeight="1">
      <c r="S859" s="454"/>
      <c r="AN859" s="458"/>
      <c r="BA859" s="1305"/>
      <c r="BC859" s="169"/>
    </row>
    <row r="860" spans="19:55" ht="15.75" customHeight="1">
      <c r="S860" s="454"/>
      <c r="AN860" s="458"/>
      <c r="BA860" s="1305"/>
      <c r="BC860" s="169"/>
    </row>
    <row r="861" spans="19:55" ht="15.75" customHeight="1">
      <c r="S861" s="454"/>
      <c r="AN861" s="458"/>
      <c r="BA861" s="1305"/>
      <c r="BC861" s="169"/>
    </row>
    <row r="862" spans="19:55" ht="15.75" customHeight="1">
      <c r="S862" s="454"/>
      <c r="AN862" s="458"/>
      <c r="BA862" s="1305"/>
      <c r="BC862" s="169"/>
    </row>
    <row r="863" spans="19:55" ht="15.75" customHeight="1">
      <c r="S863" s="454"/>
      <c r="AN863" s="458"/>
      <c r="BA863" s="1305"/>
      <c r="BC863" s="169"/>
    </row>
    <row r="864" spans="19:55" ht="15.75" customHeight="1">
      <c r="S864" s="454"/>
      <c r="AN864" s="458"/>
      <c r="BA864" s="1305"/>
      <c r="BC864" s="169"/>
    </row>
    <row r="865" spans="19:55" ht="15.75" customHeight="1">
      <c r="S865" s="454"/>
      <c r="AN865" s="458"/>
      <c r="BA865" s="1305"/>
      <c r="BC865" s="169"/>
    </row>
    <row r="866" spans="19:55" ht="15.75" customHeight="1">
      <c r="S866" s="454"/>
      <c r="AN866" s="458"/>
      <c r="BA866" s="1305"/>
      <c r="BC866" s="169"/>
    </row>
    <row r="867" spans="19:55" ht="15.75" customHeight="1">
      <c r="S867" s="454"/>
      <c r="AN867" s="458"/>
      <c r="BA867" s="1305"/>
      <c r="BC867" s="169"/>
    </row>
    <row r="868" spans="19:55" ht="15.75" customHeight="1">
      <c r="S868" s="454"/>
      <c r="AN868" s="458"/>
      <c r="BA868" s="1305"/>
      <c r="BC868" s="169"/>
    </row>
    <row r="869" spans="19:55" ht="15.75" customHeight="1">
      <c r="S869" s="454"/>
      <c r="AN869" s="458"/>
      <c r="BA869" s="1305"/>
      <c r="BC869" s="169"/>
    </row>
    <row r="870" spans="19:55" ht="15.75" customHeight="1">
      <c r="S870" s="454"/>
      <c r="AN870" s="458"/>
      <c r="BA870" s="1305"/>
      <c r="BC870" s="169"/>
    </row>
    <row r="871" spans="19:55" ht="15.75" customHeight="1">
      <c r="S871" s="454"/>
      <c r="AN871" s="458"/>
      <c r="BA871" s="1305"/>
      <c r="BC871" s="169"/>
    </row>
    <row r="872" spans="19:55" ht="15.75" customHeight="1">
      <c r="S872" s="454"/>
      <c r="AN872" s="458"/>
      <c r="BA872" s="1305"/>
      <c r="BC872" s="169"/>
    </row>
    <row r="873" spans="19:55" ht="15.75" customHeight="1">
      <c r="S873" s="454"/>
      <c r="AN873" s="458"/>
      <c r="BA873" s="1305"/>
      <c r="BC873" s="169"/>
    </row>
    <row r="874" spans="19:55" ht="15.75" customHeight="1">
      <c r="S874" s="454"/>
      <c r="AN874" s="458"/>
      <c r="BA874" s="1305"/>
      <c r="BC874" s="169"/>
    </row>
    <row r="875" spans="19:55" ht="15.75" customHeight="1">
      <c r="S875" s="454"/>
      <c r="AN875" s="458"/>
      <c r="BA875" s="1305"/>
      <c r="BC875" s="169"/>
    </row>
    <row r="876" spans="19:55" ht="15.75" customHeight="1">
      <c r="S876" s="454"/>
      <c r="AN876" s="458"/>
      <c r="BA876" s="1305"/>
      <c r="BC876" s="169"/>
    </row>
    <row r="877" spans="19:55" ht="15.75" customHeight="1">
      <c r="S877" s="454"/>
      <c r="AN877" s="458"/>
      <c r="BA877" s="1305"/>
      <c r="BC877" s="169"/>
    </row>
    <row r="878" spans="19:55" ht="15.75" customHeight="1">
      <c r="S878" s="454"/>
      <c r="AN878" s="458"/>
      <c r="BA878" s="1305"/>
      <c r="BC878" s="169"/>
    </row>
    <row r="879" spans="19:55" ht="15.75" customHeight="1">
      <c r="S879" s="454"/>
      <c r="AN879" s="458"/>
      <c r="BA879" s="1305"/>
      <c r="BC879" s="169"/>
    </row>
    <row r="880" spans="19:55" ht="15.75" customHeight="1">
      <c r="S880" s="454"/>
      <c r="AN880" s="458"/>
      <c r="BA880" s="1305"/>
      <c r="BC880" s="169"/>
    </row>
    <row r="881" spans="19:55" ht="15.75" customHeight="1">
      <c r="S881" s="454"/>
      <c r="AN881" s="458"/>
      <c r="BA881" s="1305"/>
      <c r="BC881" s="169"/>
    </row>
    <row r="882" spans="19:55" ht="15.75" customHeight="1">
      <c r="S882" s="454"/>
      <c r="AN882" s="458"/>
      <c r="BA882" s="1305"/>
      <c r="BC882" s="169"/>
    </row>
    <row r="883" spans="19:55" ht="15.75" customHeight="1">
      <c r="S883" s="454"/>
      <c r="AN883" s="458"/>
      <c r="BA883" s="1305"/>
      <c r="BC883" s="169"/>
    </row>
    <row r="884" spans="19:55" ht="15.75" customHeight="1">
      <c r="S884" s="454"/>
      <c r="AN884" s="458"/>
      <c r="BA884" s="1305"/>
      <c r="BC884" s="169"/>
    </row>
    <row r="885" spans="19:55" ht="15.75" customHeight="1">
      <c r="S885" s="454"/>
      <c r="AN885" s="458"/>
      <c r="BA885" s="1305"/>
      <c r="BC885" s="169"/>
    </row>
    <row r="886" spans="19:55" ht="15.75" customHeight="1">
      <c r="S886" s="454"/>
      <c r="AN886" s="458"/>
      <c r="BA886" s="1305"/>
      <c r="BC886" s="169"/>
    </row>
    <row r="887" spans="19:55" ht="15.75" customHeight="1">
      <c r="S887" s="454"/>
      <c r="AN887" s="458"/>
      <c r="BA887" s="1305"/>
      <c r="BC887" s="169"/>
    </row>
    <row r="888" spans="19:55" ht="15.75" customHeight="1">
      <c r="S888" s="454"/>
      <c r="AN888" s="458"/>
      <c r="BA888" s="1305"/>
      <c r="BC888" s="169"/>
    </row>
    <row r="889" spans="19:55" ht="15.75" customHeight="1">
      <c r="S889" s="454"/>
      <c r="AN889" s="458"/>
      <c r="BA889" s="1305"/>
      <c r="BC889" s="169"/>
    </row>
    <row r="890" spans="19:55" ht="15.75" customHeight="1">
      <c r="S890" s="454"/>
      <c r="AN890" s="458"/>
      <c r="BA890" s="1305"/>
      <c r="BC890" s="169"/>
    </row>
    <row r="891" spans="19:55" ht="15.75" customHeight="1">
      <c r="S891" s="454"/>
      <c r="AN891" s="458"/>
      <c r="BA891" s="1305"/>
      <c r="BC891" s="169"/>
    </row>
    <row r="892" spans="19:55" ht="15.75" customHeight="1">
      <c r="S892" s="454"/>
      <c r="AN892" s="458"/>
      <c r="BA892" s="1305"/>
      <c r="BC892" s="169"/>
    </row>
    <row r="893" spans="19:55" ht="15.75" customHeight="1">
      <c r="S893" s="454"/>
      <c r="AN893" s="458"/>
      <c r="BA893" s="1305"/>
      <c r="BC893" s="169"/>
    </row>
    <row r="894" spans="19:55" ht="15.75" customHeight="1">
      <c r="S894" s="454"/>
      <c r="AN894" s="458"/>
      <c r="BA894" s="1305"/>
      <c r="BC894" s="169"/>
    </row>
    <row r="895" spans="19:55" ht="15.75" customHeight="1">
      <c r="S895" s="454"/>
      <c r="AN895" s="458"/>
      <c r="BA895" s="1305"/>
      <c r="BC895" s="169"/>
    </row>
    <row r="896" spans="19:55" ht="15.75" customHeight="1">
      <c r="S896" s="454"/>
      <c r="AN896" s="458"/>
      <c r="BA896" s="1305"/>
      <c r="BC896" s="169"/>
    </row>
    <row r="897" spans="19:55" ht="15.75" customHeight="1">
      <c r="S897" s="454"/>
      <c r="AN897" s="458"/>
      <c r="BA897" s="1305"/>
      <c r="BC897" s="169"/>
    </row>
    <row r="898" spans="19:55" ht="15.75" customHeight="1">
      <c r="S898" s="454"/>
      <c r="AN898" s="458"/>
      <c r="BA898" s="1305"/>
      <c r="BC898" s="169"/>
    </row>
    <row r="899" spans="19:55" ht="15.75" customHeight="1">
      <c r="S899" s="454"/>
      <c r="AN899" s="458"/>
      <c r="BA899" s="1305"/>
      <c r="BC899" s="169"/>
    </row>
    <row r="900" spans="19:55" ht="15.75" customHeight="1">
      <c r="S900" s="454"/>
      <c r="AN900" s="458"/>
      <c r="BA900" s="1305"/>
      <c r="BC900" s="169"/>
    </row>
    <row r="901" spans="19:55" ht="15.75" customHeight="1">
      <c r="S901" s="454"/>
      <c r="AN901" s="458"/>
      <c r="BA901" s="1305"/>
      <c r="BC901" s="169"/>
    </row>
    <row r="902" spans="19:55" ht="15.75" customHeight="1">
      <c r="S902" s="454"/>
      <c r="AN902" s="458"/>
      <c r="BA902" s="1305"/>
      <c r="BC902" s="169"/>
    </row>
    <row r="903" spans="19:55" ht="15.75" customHeight="1">
      <c r="S903" s="454"/>
      <c r="AN903" s="458"/>
      <c r="BA903" s="1305"/>
      <c r="BC903" s="169"/>
    </row>
    <row r="904" spans="19:55" ht="15.75" customHeight="1">
      <c r="S904" s="454"/>
      <c r="AN904" s="458"/>
      <c r="BA904" s="1305"/>
      <c r="BC904" s="169"/>
    </row>
    <row r="905" spans="19:55" ht="15.75" customHeight="1">
      <c r="S905" s="454"/>
      <c r="AN905" s="458"/>
      <c r="BA905" s="1305"/>
      <c r="BC905" s="169"/>
    </row>
    <row r="906" spans="19:55" ht="15.75" customHeight="1">
      <c r="S906" s="454"/>
      <c r="AN906" s="458"/>
      <c r="BA906" s="1305"/>
      <c r="BC906" s="169"/>
    </row>
    <row r="907" spans="19:55" ht="15.75" customHeight="1">
      <c r="S907" s="454"/>
      <c r="AN907" s="458"/>
      <c r="BA907" s="1305"/>
      <c r="BC907" s="169"/>
    </row>
    <row r="908" spans="19:55" ht="15.75" customHeight="1">
      <c r="S908" s="454"/>
      <c r="AN908" s="458"/>
      <c r="BA908" s="1305"/>
      <c r="BC908" s="169"/>
    </row>
    <row r="909" spans="19:55" ht="15.75" customHeight="1">
      <c r="S909" s="454"/>
      <c r="AN909" s="458"/>
      <c r="BA909" s="1305"/>
      <c r="BC909" s="169"/>
    </row>
    <row r="910" spans="19:55" ht="15.75" customHeight="1">
      <c r="S910" s="454"/>
      <c r="AN910" s="458"/>
      <c r="BA910" s="1305"/>
      <c r="BC910" s="169"/>
    </row>
    <row r="911" spans="19:55" ht="15.75" customHeight="1">
      <c r="S911" s="454"/>
      <c r="AN911" s="458"/>
      <c r="BA911" s="1305"/>
      <c r="BC911" s="169"/>
    </row>
    <row r="912" spans="19:55" ht="15.75" customHeight="1">
      <c r="S912" s="454"/>
      <c r="AN912" s="458"/>
      <c r="BA912" s="1305"/>
      <c r="BC912" s="169"/>
    </row>
    <row r="913" spans="19:55" ht="15.75" customHeight="1">
      <c r="S913" s="454"/>
      <c r="AN913" s="458"/>
      <c r="BA913" s="1305"/>
      <c r="BC913" s="169"/>
    </row>
    <row r="914" spans="19:55" ht="15.75" customHeight="1">
      <c r="S914" s="454"/>
      <c r="AN914" s="458"/>
      <c r="BA914" s="1305"/>
      <c r="BC914" s="169"/>
    </row>
    <row r="915" spans="19:55" ht="15.75" customHeight="1">
      <c r="S915" s="454"/>
      <c r="AN915" s="458"/>
      <c r="BA915" s="1305"/>
      <c r="BC915" s="169"/>
    </row>
    <row r="916" spans="19:55" ht="15.75" customHeight="1">
      <c r="S916" s="454"/>
      <c r="AN916" s="458"/>
      <c r="BA916" s="1305"/>
      <c r="BC916" s="169"/>
    </row>
    <row r="917" spans="19:55" ht="15.75" customHeight="1">
      <c r="S917" s="454"/>
      <c r="AN917" s="458"/>
      <c r="BA917" s="1305"/>
      <c r="BC917" s="169"/>
    </row>
    <row r="918" spans="19:55" ht="15.75" customHeight="1">
      <c r="S918" s="454"/>
      <c r="AN918" s="458"/>
      <c r="BA918" s="1305"/>
      <c r="BC918" s="169"/>
    </row>
    <row r="919" spans="19:55" ht="15.75" customHeight="1">
      <c r="S919" s="454"/>
      <c r="AN919" s="458"/>
      <c r="BA919" s="1305"/>
      <c r="BC919" s="169"/>
    </row>
    <row r="920" spans="19:55" ht="15.75" customHeight="1">
      <c r="S920" s="454"/>
      <c r="AN920" s="458"/>
      <c r="BA920" s="1305"/>
      <c r="BC920" s="169"/>
    </row>
    <row r="921" spans="19:55" ht="15.75" customHeight="1">
      <c r="S921" s="454"/>
      <c r="AN921" s="458"/>
      <c r="BA921" s="1305"/>
      <c r="BC921" s="169"/>
    </row>
    <row r="922" spans="19:55" ht="15.75" customHeight="1">
      <c r="S922" s="454"/>
      <c r="AN922" s="458"/>
      <c r="BA922" s="1305"/>
      <c r="BC922" s="169"/>
    </row>
    <row r="923" spans="19:55" ht="15.75" customHeight="1">
      <c r="S923" s="454"/>
      <c r="AN923" s="458"/>
      <c r="BA923" s="1305"/>
      <c r="BC923" s="169"/>
    </row>
    <row r="924" spans="19:55" ht="15.75" customHeight="1">
      <c r="S924" s="454"/>
      <c r="AN924" s="458"/>
      <c r="BA924" s="1305"/>
      <c r="BC924" s="169"/>
    </row>
    <row r="925" spans="19:55" ht="15.75" customHeight="1">
      <c r="S925" s="454"/>
      <c r="AN925" s="458"/>
      <c r="BA925" s="1305"/>
      <c r="BC925" s="169"/>
    </row>
    <row r="926" spans="19:55" ht="15.75" customHeight="1">
      <c r="S926" s="454"/>
      <c r="AN926" s="458"/>
      <c r="BA926" s="1305"/>
      <c r="BC926" s="169"/>
    </row>
    <row r="927" spans="19:55" ht="15.75" customHeight="1">
      <c r="S927" s="454"/>
      <c r="AN927" s="458"/>
      <c r="BA927" s="1305"/>
      <c r="BC927" s="169"/>
    </row>
    <row r="928" spans="19:55" ht="15.75" customHeight="1">
      <c r="S928" s="454"/>
      <c r="AN928" s="458"/>
      <c r="BA928" s="1305"/>
      <c r="BC928" s="169"/>
    </row>
    <row r="929" spans="19:55" ht="15.75" customHeight="1">
      <c r="S929" s="454"/>
      <c r="AN929" s="458"/>
      <c r="BA929" s="1305"/>
      <c r="BC929" s="169"/>
    </row>
    <row r="930" spans="19:55" ht="15.75" customHeight="1">
      <c r="S930" s="454"/>
      <c r="AN930" s="458"/>
      <c r="BA930" s="1305"/>
      <c r="BC930" s="169"/>
    </row>
    <row r="931" spans="19:55" ht="15.75" customHeight="1">
      <c r="S931" s="454"/>
      <c r="AN931" s="458"/>
      <c r="BA931" s="1305"/>
      <c r="BC931" s="169"/>
    </row>
    <row r="932" spans="19:55" ht="15.75" customHeight="1">
      <c r="S932" s="454"/>
      <c r="AN932" s="458"/>
      <c r="BA932" s="1305"/>
      <c r="BC932" s="169"/>
    </row>
    <row r="933" spans="19:55" ht="15.75" customHeight="1">
      <c r="S933" s="454"/>
      <c r="AN933" s="458"/>
      <c r="BA933" s="1305"/>
      <c r="BC933" s="169"/>
    </row>
    <row r="934" spans="19:55" ht="15.75" customHeight="1">
      <c r="S934" s="454"/>
      <c r="AN934" s="458"/>
      <c r="BA934" s="1305"/>
      <c r="BC934" s="169"/>
    </row>
    <row r="935" spans="19:55" ht="15.75" customHeight="1">
      <c r="S935" s="454"/>
      <c r="AN935" s="458"/>
      <c r="BA935" s="1305"/>
      <c r="BC935" s="169"/>
    </row>
    <row r="936" spans="19:55" ht="15.75" customHeight="1">
      <c r="S936" s="454"/>
      <c r="AN936" s="458"/>
      <c r="BA936" s="1305"/>
      <c r="BC936" s="169"/>
    </row>
    <row r="937" spans="19:55" ht="15.75" customHeight="1">
      <c r="S937" s="454"/>
      <c r="AN937" s="458"/>
      <c r="BA937" s="1305"/>
      <c r="BC937" s="169"/>
    </row>
    <row r="938" spans="19:55" ht="15.75" customHeight="1">
      <c r="S938" s="454"/>
      <c r="AN938" s="458"/>
      <c r="BA938" s="1305"/>
      <c r="BC938" s="169"/>
    </row>
    <row r="939" spans="19:55" ht="15.75" customHeight="1">
      <c r="S939" s="454"/>
      <c r="AN939" s="458"/>
      <c r="BA939" s="1305"/>
      <c r="BC939" s="169"/>
    </row>
    <row r="940" spans="19:55" ht="15.75" customHeight="1">
      <c r="S940" s="454"/>
      <c r="AN940" s="458"/>
      <c r="BA940" s="1305"/>
      <c r="BC940" s="169"/>
    </row>
    <row r="941" spans="19:55" ht="15.75" customHeight="1">
      <c r="S941" s="454"/>
      <c r="AN941" s="458"/>
      <c r="BA941" s="1305"/>
      <c r="BC941" s="169"/>
    </row>
    <row r="942" spans="19:55" ht="15.75" customHeight="1">
      <c r="S942" s="454"/>
      <c r="AN942" s="458"/>
      <c r="BA942" s="1305"/>
      <c r="BC942" s="169"/>
    </row>
    <row r="943" spans="19:55" ht="15.75" customHeight="1">
      <c r="S943" s="454"/>
      <c r="AN943" s="458"/>
      <c r="BA943" s="1305"/>
      <c r="BC943" s="169"/>
    </row>
    <row r="944" spans="19:55" ht="15.75" customHeight="1">
      <c r="S944" s="454"/>
      <c r="AN944" s="458"/>
      <c r="BA944" s="1305"/>
      <c r="BC944" s="169"/>
    </row>
    <row r="945" spans="19:55" ht="15.75" customHeight="1">
      <c r="S945" s="454"/>
      <c r="AN945" s="458"/>
      <c r="BA945" s="1305"/>
      <c r="BC945" s="169"/>
    </row>
    <row r="946" spans="19:55" ht="15.75" customHeight="1">
      <c r="S946" s="454"/>
      <c r="AN946" s="458"/>
      <c r="BA946" s="1305"/>
      <c r="BC946" s="169"/>
    </row>
    <row r="947" spans="19:55" ht="15.75" customHeight="1">
      <c r="S947" s="454"/>
      <c r="AN947" s="458"/>
      <c r="BA947" s="1305"/>
      <c r="BC947" s="169"/>
    </row>
    <row r="948" spans="19:55" ht="15.75" customHeight="1">
      <c r="S948" s="454"/>
      <c r="AN948" s="458"/>
      <c r="BA948" s="1305"/>
      <c r="BC948" s="169"/>
    </row>
    <row r="949" spans="19:55" ht="15.75" customHeight="1">
      <c r="S949" s="454"/>
      <c r="AN949" s="458"/>
      <c r="BA949" s="1305"/>
      <c r="BC949" s="169"/>
    </row>
    <row r="950" spans="19:55" ht="15.75" customHeight="1">
      <c r="S950" s="454"/>
      <c r="AN950" s="458"/>
      <c r="BA950" s="1305"/>
      <c r="BC950" s="169"/>
    </row>
    <row r="951" spans="19:55" ht="15.75" customHeight="1">
      <c r="S951" s="454"/>
      <c r="AN951" s="458"/>
      <c r="BA951" s="1305"/>
      <c r="BC951" s="169"/>
    </row>
    <row r="952" spans="19:55" ht="15.75" customHeight="1">
      <c r="S952" s="454"/>
      <c r="AN952" s="458"/>
      <c r="BA952" s="1305"/>
      <c r="BC952" s="169"/>
    </row>
    <row r="953" spans="19:55" ht="15.75" customHeight="1">
      <c r="S953" s="454"/>
      <c r="AN953" s="458"/>
      <c r="BA953" s="1305"/>
      <c r="BC953" s="169"/>
    </row>
    <row r="954" spans="19:55" ht="15.75" customHeight="1">
      <c r="S954" s="454"/>
      <c r="AN954" s="458"/>
      <c r="BA954" s="1305"/>
      <c r="BC954" s="169"/>
    </row>
    <row r="955" spans="19:55" ht="15.75" customHeight="1">
      <c r="S955" s="454"/>
      <c r="AN955" s="458"/>
      <c r="BA955" s="1305"/>
      <c r="BC955" s="169"/>
    </row>
    <row r="956" spans="19:55" ht="15.75" customHeight="1">
      <c r="S956" s="454"/>
      <c r="AN956" s="458"/>
      <c r="BA956" s="1305"/>
      <c r="BC956" s="169"/>
    </row>
    <row r="957" spans="19:55" ht="15.75" customHeight="1">
      <c r="S957" s="454"/>
      <c r="AN957" s="458"/>
      <c r="BA957" s="1305"/>
      <c r="BC957" s="169"/>
    </row>
    <row r="958" spans="19:55" ht="15.75" customHeight="1">
      <c r="S958" s="454"/>
      <c r="AN958" s="458"/>
      <c r="BA958" s="1305"/>
      <c r="BC958" s="169"/>
    </row>
    <row r="959" spans="19:55" ht="15.75" customHeight="1">
      <c r="S959" s="454"/>
      <c r="AN959" s="458"/>
      <c r="BA959" s="1305"/>
      <c r="BC959" s="169"/>
    </row>
    <row r="960" spans="19:55" ht="15.75" customHeight="1">
      <c r="S960" s="454"/>
      <c r="AN960" s="458"/>
      <c r="BA960" s="1305"/>
      <c r="BC960" s="169"/>
    </row>
    <row r="961" spans="19:55" ht="15.75" customHeight="1">
      <c r="S961" s="454"/>
      <c r="AN961" s="458"/>
      <c r="BA961" s="1305"/>
      <c r="BC961" s="169"/>
    </row>
    <row r="962" spans="19:55" ht="15.75" customHeight="1">
      <c r="S962" s="454"/>
      <c r="AN962" s="458"/>
      <c r="BA962" s="1305"/>
      <c r="BC962" s="169"/>
    </row>
    <row r="963" spans="19:55" ht="15.75" customHeight="1">
      <c r="S963" s="454"/>
      <c r="AN963" s="458"/>
      <c r="BA963" s="1305"/>
      <c r="BC963" s="169"/>
    </row>
    <row r="964" spans="19:55" ht="15.75" customHeight="1">
      <c r="S964" s="454"/>
      <c r="AN964" s="458"/>
      <c r="BA964" s="1305"/>
      <c r="BC964" s="169"/>
    </row>
    <row r="965" spans="19:55" ht="15.75" customHeight="1">
      <c r="S965" s="454"/>
      <c r="AN965" s="458"/>
      <c r="BA965" s="1305"/>
      <c r="BC965" s="169"/>
    </row>
    <row r="966" spans="19:55" ht="15.75" customHeight="1">
      <c r="S966" s="454"/>
      <c r="AN966" s="458"/>
      <c r="BA966" s="1305"/>
      <c r="BC966" s="169"/>
    </row>
    <row r="967" spans="19:55" ht="15.75" customHeight="1">
      <c r="S967" s="454"/>
      <c r="AN967" s="458"/>
      <c r="BA967" s="1305"/>
      <c r="BC967" s="169"/>
    </row>
    <row r="968" spans="19:55" ht="15.75" customHeight="1">
      <c r="S968" s="454"/>
      <c r="AN968" s="458"/>
      <c r="BA968" s="1305"/>
      <c r="BC968" s="169"/>
    </row>
    <row r="969" spans="19:55" ht="15.75" customHeight="1">
      <c r="S969" s="454"/>
      <c r="AN969" s="458"/>
      <c r="BA969" s="1305"/>
      <c r="BC969" s="169"/>
    </row>
    <row r="970" spans="19:55" ht="15.75" customHeight="1">
      <c r="S970" s="454"/>
      <c r="AN970" s="458"/>
      <c r="BA970" s="1305"/>
      <c r="BC970" s="169"/>
    </row>
    <row r="971" spans="19:55" ht="15.75" customHeight="1">
      <c r="S971" s="454"/>
      <c r="AN971" s="458"/>
      <c r="BA971" s="1305"/>
      <c r="BC971" s="169"/>
    </row>
    <row r="972" spans="19:55" ht="15.75" customHeight="1">
      <c r="S972" s="454"/>
      <c r="AN972" s="458"/>
      <c r="BA972" s="1305"/>
      <c r="BC972" s="169"/>
    </row>
    <row r="973" spans="19:55" ht="15.75" customHeight="1">
      <c r="S973" s="454"/>
      <c r="AN973" s="458"/>
      <c r="BA973" s="1305"/>
      <c r="BC973" s="169"/>
    </row>
    <row r="974" spans="19:55" ht="15.75" customHeight="1">
      <c r="S974" s="454"/>
      <c r="AN974" s="458"/>
      <c r="BA974" s="1305"/>
      <c r="BC974" s="169"/>
    </row>
    <row r="975" spans="19:55" ht="15.75" customHeight="1">
      <c r="S975" s="454"/>
      <c r="AN975" s="458"/>
      <c r="BA975" s="1305"/>
      <c r="BC975" s="169"/>
    </row>
    <row r="976" spans="19:55" ht="15.75" customHeight="1">
      <c r="S976" s="454"/>
      <c r="AN976" s="458"/>
      <c r="BA976" s="1305"/>
      <c r="BC976" s="169"/>
    </row>
    <row r="977" spans="19:55" ht="15.75" customHeight="1">
      <c r="S977" s="454"/>
      <c r="AN977" s="458"/>
      <c r="BA977" s="1305"/>
      <c r="BC977" s="169"/>
    </row>
    <row r="978" spans="19:55" ht="15.75" customHeight="1">
      <c r="S978" s="454"/>
      <c r="AN978" s="458"/>
      <c r="BA978" s="1305"/>
      <c r="BC978" s="169"/>
    </row>
    <row r="979" spans="19:55" ht="15.75" customHeight="1">
      <c r="S979" s="454"/>
      <c r="AN979" s="458"/>
      <c r="BA979" s="1305"/>
      <c r="BC979" s="169"/>
    </row>
    <row r="980" spans="19:55" ht="15.75" customHeight="1">
      <c r="S980" s="454"/>
      <c r="AN980" s="458"/>
      <c r="BA980" s="1305"/>
      <c r="BC980" s="169"/>
    </row>
    <row r="981" spans="19:55" ht="15.75" customHeight="1">
      <c r="S981" s="454"/>
      <c r="AN981" s="458"/>
      <c r="BA981" s="1305"/>
      <c r="BC981" s="169"/>
    </row>
    <row r="982" spans="19:55" ht="15.75" customHeight="1">
      <c r="S982" s="454"/>
      <c r="AN982" s="458"/>
      <c r="BA982" s="1305"/>
      <c r="BC982" s="169"/>
    </row>
    <row r="983" spans="19:55" ht="15.75" customHeight="1">
      <c r="S983" s="454"/>
      <c r="AN983" s="458"/>
      <c r="BA983" s="1305"/>
      <c r="BC983" s="169"/>
    </row>
    <row r="984" spans="19:55" ht="15.75" customHeight="1">
      <c r="S984" s="454"/>
      <c r="AN984" s="458"/>
      <c r="BA984" s="1305"/>
      <c r="BC984" s="169"/>
    </row>
    <row r="985" spans="19:55" ht="15.75" customHeight="1">
      <c r="S985" s="454"/>
      <c r="AN985" s="458"/>
      <c r="BA985" s="1305"/>
      <c r="BC985" s="169"/>
    </row>
    <row r="986" spans="19:55" ht="15.75" customHeight="1">
      <c r="S986" s="454"/>
      <c r="AN986" s="458"/>
      <c r="BA986" s="1305"/>
      <c r="BC986" s="169"/>
    </row>
    <row r="987" spans="19:55" ht="15.75" customHeight="1">
      <c r="S987" s="454"/>
      <c r="AN987" s="458"/>
      <c r="BA987" s="1305"/>
      <c r="BC987" s="169"/>
    </row>
    <row r="988" spans="19:55" ht="15.75" customHeight="1">
      <c r="S988" s="454"/>
      <c r="AN988" s="458"/>
      <c r="BA988" s="1305"/>
      <c r="BC988" s="169"/>
    </row>
    <row r="989" spans="19:55" ht="15.75" customHeight="1">
      <c r="S989" s="454"/>
      <c r="AN989" s="458"/>
      <c r="BA989" s="1305"/>
      <c r="BC989" s="169"/>
    </row>
    <row r="990" spans="19:55" ht="15.75" customHeight="1">
      <c r="S990" s="454"/>
      <c r="AN990" s="458"/>
      <c r="BA990" s="1305"/>
      <c r="BC990" s="169"/>
    </row>
    <row r="991" spans="19:55" ht="15.75" customHeight="1">
      <c r="S991" s="454"/>
      <c r="AN991" s="458"/>
      <c r="BA991" s="1305"/>
      <c r="BC991" s="169"/>
    </row>
    <row r="992" spans="19:55" ht="15.75" customHeight="1">
      <c r="S992" s="454"/>
      <c r="AN992" s="458"/>
      <c r="BA992" s="1305"/>
      <c r="BC992" s="169"/>
    </row>
    <row r="993" spans="19:55" ht="15.75" customHeight="1">
      <c r="S993" s="454"/>
      <c r="AN993" s="458"/>
      <c r="BA993" s="1305"/>
      <c r="BC993" s="169"/>
    </row>
    <row r="994" spans="19:55" ht="15.75" customHeight="1">
      <c r="S994" s="454"/>
      <c r="AN994" s="458"/>
      <c r="BA994" s="1305"/>
      <c r="BC994" s="169"/>
    </row>
    <row r="995" spans="19:55" ht="15.75" customHeight="1">
      <c r="S995" s="454"/>
      <c r="AN995" s="458"/>
      <c r="BA995" s="1305"/>
      <c r="BC995" s="169"/>
    </row>
    <row r="996" spans="19:55" ht="15.75" customHeight="1">
      <c r="S996" s="454"/>
      <c r="AN996" s="458"/>
      <c r="BA996" s="1305"/>
      <c r="BC996" s="169"/>
    </row>
    <row r="997" spans="19:55" ht="15.75" customHeight="1">
      <c r="S997" s="454"/>
      <c r="AN997" s="458"/>
      <c r="BA997" s="1305"/>
      <c r="BC997" s="169"/>
    </row>
    <row r="998" spans="19:55" ht="15.75" customHeight="1">
      <c r="S998" s="454"/>
      <c r="AN998" s="458"/>
      <c r="BA998" s="1305"/>
      <c r="BC998" s="169"/>
    </row>
    <row r="999" spans="19:55" ht="15.75" customHeight="1">
      <c r="S999" s="454"/>
      <c r="AN999" s="458"/>
      <c r="BA999" s="1305"/>
      <c r="BC999" s="169"/>
    </row>
    <row r="1000" spans="19:55" ht="15.75" customHeight="1">
      <c r="S1000" s="454"/>
      <c r="AN1000" s="458"/>
      <c r="BA1000" s="1305"/>
      <c r="BC1000" s="169"/>
    </row>
    <row r="1001" spans="19:55" ht="15.75" customHeight="1">
      <c r="S1001" s="454"/>
      <c r="AN1001" s="458"/>
      <c r="BA1001" s="1305"/>
      <c r="BC1001" s="169"/>
    </row>
    <row r="1002" spans="19:55" ht="15.75" customHeight="1">
      <c r="S1002" s="454"/>
      <c r="AN1002" s="458"/>
      <c r="BA1002" s="1305"/>
      <c r="BC1002" s="169"/>
    </row>
    <row r="1003" spans="19:55" ht="15.75" customHeight="1">
      <c r="S1003" s="454"/>
      <c r="AN1003" s="458"/>
      <c r="BA1003" s="1305"/>
      <c r="BC1003" s="169"/>
    </row>
    <row r="1004" spans="19:55" ht="15.75" customHeight="1">
      <c r="S1004" s="454"/>
      <c r="AN1004" s="458"/>
      <c r="BA1004" s="1305"/>
      <c r="BC1004" s="169"/>
    </row>
    <row r="1005" spans="19:55" ht="15.75" customHeight="1">
      <c r="S1005" s="454"/>
      <c r="AN1005" s="458"/>
      <c r="BA1005" s="1305"/>
      <c r="BC1005" s="169"/>
    </row>
    <row r="1006" spans="19:55" ht="15.75" customHeight="1">
      <c r="S1006" s="454"/>
      <c r="AN1006" s="458"/>
      <c r="BA1006" s="1305"/>
      <c r="BC1006" s="169"/>
    </row>
    <row r="1007" spans="19:55" ht="15.75" customHeight="1">
      <c r="S1007" s="454"/>
      <c r="AN1007" s="458"/>
      <c r="BA1007" s="1305"/>
      <c r="BC1007" s="169"/>
    </row>
    <row r="1008" spans="19:55" ht="15.75" customHeight="1">
      <c r="S1008" s="454"/>
      <c r="AN1008" s="458"/>
      <c r="BA1008" s="1305"/>
      <c r="BC1008" s="169"/>
    </row>
    <row r="1009" spans="19:55" ht="15.75" customHeight="1">
      <c r="S1009" s="454"/>
      <c r="AN1009" s="458"/>
      <c r="BA1009" s="1305"/>
      <c r="BC1009" s="169"/>
    </row>
    <row r="1010" spans="19:55" ht="15.75" customHeight="1">
      <c r="S1010" s="454"/>
      <c r="AN1010" s="458"/>
      <c r="BA1010" s="1305"/>
      <c r="BC1010" s="169"/>
    </row>
    <row r="1011" spans="19:55" ht="15.75" customHeight="1">
      <c r="S1011" s="454"/>
      <c r="AN1011" s="458"/>
      <c r="BA1011" s="1305"/>
      <c r="BC1011" s="169"/>
    </row>
    <row r="1012" spans="19:55" ht="15.75" customHeight="1">
      <c r="S1012" s="454"/>
      <c r="AN1012" s="458"/>
      <c r="BA1012" s="1305"/>
      <c r="BC1012" s="169"/>
    </row>
    <row r="1013" spans="19:55" ht="15.75" customHeight="1">
      <c r="S1013" s="454"/>
      <c r="AN1013" s="458"/>
      <c r="BA1013" s="1305"/>
      <c r="BC1013" s="169"/>
    </row>
    <row r="1014" spans="19:55" ht="15.75" customHeight="1">
      <c r="S1014" s="454"/>
      <c r="AN1014" s="458"/>
      <c r="BA1014" s="1305"/>
      <c r="BC1014" s="169"/>
    </row>
    <row r="1015" spans="19:55" ht="15.75" customHeight="1">
      <c r="S1015" s="454"/>
      <c r="AN1015" s="458"/>
      <c r="BA1015" s="1305"/>
      <c r="BC1015" s="169"/>
    </row>
    <row r="1016" spans="19:55" ht="15.75" customHeight="1">
      <c r="S1016" s="454"/>
      <c r="AN1016" s="458"/>
      <c r="BA1016" s="1305"/>
      <c r="BC1016" s="169"/>
    </row>
    <row r="1017" spans="19:55" ht="15.75" customHeight="1">
      <c r="S1017" s="454"/>
      <c r="AN1017" s="458"/>
      <c r="BA1017" s="1305"/>
      <c r="BC1017" s="169"/>
    </row>
    <row r="1018" spans="19:55" ht="15.75" customHeight="1">
      <c r="S1018" s="454"/>
      <c r="AN1018" s="458"/>
      <c r="BA1018" s="1305"/>
      <c r="BC1018" s="169"/>
    </row>
    <row r="1019" spans="19:55" ht="15.75" customHeight="1">
      <c r="S1019" s="454"/>
      <c r="AN1019" s="458"/>
      <c r="BA1019" s="1305"/>
      <c r="BC1019" s="169"/>
    </row>
    <row r="1020" spans="19:55" ht="15.75" customHeight="1">
      <c r="S1020" s="454"/>
      <c r="AN1020" s="458"/>
      <c r="BA1020" s="1305"/>
      <c r="BC1020" s="169"/>
    </row>
    <row r="1021" spans="19:55" ht="15.75" customHeight="1">
      <c r="S1021" s="454"/>
      <c r="AN1021" s="458"/>
      <c r="BA1021" s="1305"/>
      <c r="BC1021" s="169"/>
    </row>
    <row r="1022" spans="19:55" ht="15.75" customHeight="1">
      <c r="S1022" s="454"/>
      <c r="AN1022" s="458"/>
      <c r="BA1022" s="1305"/>
      <c r="BC1022" s="169"/>
    </row>
    <row r="1023" spans="19:55" ht="15.75" customHeight="1">
      <c r="S1023" s="454"/>
      <c r="AN1023" s="458"/>
      <c r="BA1023" s="1305"/>
      <c r="BC1023" s="169"/>
    </row>
    <row r="1024" spans="19:55" ht="15.75" customHeight="1">
      <c r="S1024" s="454"/>
      <c r="AN1024" s="458"/>
      <c r="BA1024" s="1305"/>
      <c r="BC1024" s="169"/>
    </row>
    <row r="1025" spans="19:55" ht="15.75" customHeight="1">
      <c r="S1025" s="454"/>
      <c r="AN1025" s="458"/>
      <c r="BA1025" s="1305"/>
      <c r="BC1025" s="169"/>
    </row>
    <row r="1026" spans="19:55" ht="15.75" customHeight="1">
      <c r="S1026" s="454"/>
      <c r="AN1026" s="458"/>
      <c r="BA1026" s="1305"/>
      <c r="BC1026" s="169"/>
    </row>
    <row r="1027" spans="19:55" ht="15.75" customHeight="1">
      <c r="S1027" s="454"/>
      <c r="AN1027" s="458"/>
      <c r="BA1027" s="1305"/>
      <c r="BC1027" s="169"/>
    </row>
    <row r="1028" spans="19:55" ht="15.75" customHeight="1">
      <c r="S1028" s="454"/>
      <c r="AN1028" s="458"/>
      <c r="BA1028" s="1305"/>
      <c r="BC1028" s="169"/>
    </row>
    <row r="1029" spans="19:55" ht="15.75" customHeight="1">
      <c r="S1029" s="454"/>
      <c r="AN1029" s="458"/>
      <c r="BA1029" s="1305"/>
      <c r="BC1029" s="169"/>
    </row>
    <row r="1030" spans="19:55" ht="15.75" customHeight="1">
      <c r="S1030" s="454"/>
      <c r="AN1030" s="458"/>
      <c r="BA1030" s="1305"/>
      <c r="BC1030" s="169"/>
    </row>
    <row r="1031" spans="19:55" ht="15.75" customHeight="1">
      <c r="S1031" s="454"/>
      <c r="AN1031" s="458"/>
      <c r="BA1031" s="1305"/>
      <c r="BC1031" s="169"/>
    </row>
    <row r="1032" spans="19:55" ht="15.75" customHeight="1">
      <c r="S1032" s="454"/>
      <c r="AN1032" s="458"/>
      <c r="BA1032" s="1305"/>
      <c r="BC1032" s="169"/>
    </row>
    <row r="1033" spans="19:55" ht="15.75" customHeight="1">
      <c r="S1033" s="454"/>
      <c r="AN1033" s="458"/>
      <c r="BA1033" s="1305"/>
      <c r="BC1033" s="169"/>
    </row>
    <row r="1034" spans="19:55" ht="15.75" customHeight="1">
      <c r="S1034" s="454"/>
      <c r="AN1034" s="458"/>
      <c r="BA1034" s="1305"/>
      <c r="BC1034" s="169"/>
    </row>
    <row r="1035" spans="19:55" ht="15.75" customHeight="1">
      <c r="S1035" s="454"/>
      <c r="AN1035" s="458"/>
      <c r="BA1035" s="1305"/>
      <c r="BC1035" s="169"/>
    </row>
    <row r="1036" spans="19:55" ht="15.75" customHeight="1">
      <c r="S1036" s="454"/>
      <c r="AN1036" s="458"/>
      <c r="BA1036" s="1305"/>
      <c r="BC1036" s="169"/>
    </row>
    <row r="1037" spans="19:55" ht="15.75" customHeight="1">
      <c r="S1037" s="454"/>
      <c r="AN1037" s="458"/>
      <c r="BA1037" s="1305"/>
      <c r="BC1037" s="169"/>
    </row>
    <row r="1038" spans="19:55" ht="15.75" customHeight="1">
      <c r="S1038" s="454"/>
      <c r="AN1038" s="458"/>
      <c r="BA1038" s="1305"/>
      <c r="BC1038" s="169"/>
    </row>
    <row r="1039" spans="19:55" ht="15.75" customHeight="1">
      <c r="S1039" s="454"/>
      <c r="AN1039" s="458"/>
      <c r="BA1039" s="1305"/>
      <c r="BC1039" s="169"/>
    </row>
    <row r="1040" spans="19:55" ht="15.75" customHeight="1">
      <c r="S1040" s="454"/>
      <c r="AN1040" s="458"/>
      <c r="BA1040" s="1305"/>
      <c r="BC1040" s="169"/>
    </row>
    <row r="1041" spans="19:55" ht="15.75" customHeight="1">
      <c r="S1041" s="454"/>
      <c r="AN1041" s="458"/>
      <c r="BA1041" s="1305"/>
      <c r="BC1041" s="169"/>
    </row>
    <row r="1042" spans="19:55" ht="15.75" customHeight="1">
      <c r="S1042" s="454"/>
      <c r="AN1042" s="458"/>
      <c r="BA1042" s="1305"/>
      <c r="BC1042" s="169"/>
    </row>
    <row r="1043" spans="19:55" ht="15.75" customHeight="1">
      <c r="S1043" s="454"/>
      <c r="AN1043" s="458"/>
      <c r="BA1043" s="1305"/>
      <c r="BC1043" s="169"/>
    </row>
    <row r="1044" spans="19:55" ht="15.75" customHeight="1">
      <c r="S1044" s="454"/>
      <c r="AN1044" s="458"/>
      <c r="BA1044" s="1305"/>
      <c r="BC1044" s="169"/>
    </row>
    <row r="1045" spans="19:55" ht="15.75" customHeight="1">
      <c r="S1045" s="454"/>
      <c r="AN1045" s="458"/>
      <c r="BA1045" s="1305"/>
      <c r="BC1045" s="169"/>
    </row>
    <row r="1046" spans="19:55" ht="15.75" customHeight="1">
      <c r="S1046" s="454"/>
      <c r="AN1046" s="458"/>
      <c r="BA1046" s="1305"/>
      <c r="BC1046" s="169"/>
    </row>
    <row r="1047" spans="19:55" ht="15.75" customHeight="1">
      <c r="S1047" s="454"/>
      <c r="AN1047" s="458"/>
      <c r="BA1047" s="1305"/>
      <c r="BC1047" s="169"/>
    </row>
    <row r="1048" spans="19:55" ht="15.75" customHeight="1">
      <c r="S1048" s="454"/>
      <c r="AN1048" s="458"/>
      <c r="BA1048" s="1305"/>
      <c r="BC1048" s="169"/>
    </row>
    <row r="1049" spans="19:55" ht="15.75" customHeight="1">
      <c r="S1049" s="454"/>
      <c r="AN1049" s="458"/>
      <c r="BA1049" s="1305"/>
      <c r="BC1049" s="169"/>
    </row>
    <row r="1050" spans="19:55" ht="15.75" customHeight="1">
      <c r="S1050" s="454"/>
      <c r="AN1050" s="458"/>
      <c r="BA1050" s="1305"/>
      <c r="BC1050" s="169"/>
    </row>
    <row r="1051" spans="19:55" ht="15.75" customHeight="1">
      <c r="S1051" s="454"/>
      <c r="AN1051" s="458"/>
      <c r="BA1051" s="1305"/>
      <c r="BC1051" s="169"/>
    </row>
    <row r="1052" spans="19:55" ht="15.75" customHeight="1">
      <c r="S1052" s="454"/>
      <c r="AN1052" s="458"/>
      <c r="BA1052" s="1305"/>
      <c r="BC1052" s="169"/>
    </row>
    <row r="1053" spans="19:55" ht="15.75" customHeight="1">
      <c r="S1053" s="454"/>
      <c r="AN1053" s="458"/>
      <c r="BA1053" s="1305"/>
      <c r="BC1053" s="169"/>
    </row>
    <row r="1054" spans="19:55" ht="15.75" customHeight="1">
      <c r="S1054" s="454"/>
      <c r="AN1054" s="458"/>
      <c r="BA1054" s="1305"/>
      <c r="BC1054" s="169"/>
    </row>
    <row r="1055" spans="19:55" ht="15.75" customHeight="1">
      <c r="S1055" s="454"/>
      <c r="AN1055" s="458"/>
      <c r="BA1055" s="1305"/>
      <c r="BC1055" s="169"/>
    </row>
    <row r="1056" spans="19:55" ht="15.75" customHeight="1">
      <c r="S1056" s="454"/>
      <c r="AN1056" s="458"/>
      <c r="BA1056" s="1305"/>
      <c r="BC1056" s="169"/>
    </row>
    <row r="1057" spans="19:55" ht="15.75" customHeight="1">
      <c r="S1057" s="454"/>
      <c r="AN1057" s="458"/>
      <c r="BA1057" s="1305"/>
      <c r="BC1057" s="169"/>
    </row>
    <row r="1058" spans="19:55" ht="15.75" customHeight="1">
      <c r="S1058" s="454"/>
      <c r="AN1058" s="458"/>
      <c r="BA1058" s="1305"/>
      <c r="BC1058" s="169"/>
    </row>
    <row r="1059" spans="19:55" ht="15.75" customHeight="1">
      <c r="S1059" s="454"/>
      <c r="AN1059" s="458"/>
      <c r="BA1059" s="1305"/>
      <c r="BC1059" s="169"/>
    </row>
    <row r="1060" spans="19:55" ht="15.75" customHeight="1">
      <c r="S1060" s="454"/>
      <c r="AN1060" s="458"/>
      <c r="BA1060" s="1305"/>
      <c r="BC1060" s="169"/>
    </row>
    <row r="1061" spans="19:55" ht="15.75" customHeight="1">
      <c r="S1061" s="454"/>
      <c r="AN1061" s="458"/>
      <c r="BA1061" s="1305"/>
      <c r="BC1061" s="169"/>
    </row>
    <row r="1062" spans="19:55" ht="15.75" customHeight="1">
      <c r="S1062" s="454"/>
      <c r="AN1062" s="458"/>
      <c r="BA1062" s="1305"/>
      <c r="BC1062" s="169"/>
    </row>
    <row r="1063" spans="19:55" ht="15.75" customHeight="1">
      <c r="S1063" s="454"/>
      <c r="AN1063" s="458"/>
      <c r="BA1063" s="1305"/>
      <c r="BC1063" s="169"/>
    </row>
    <row r="1064" spans="19:55" ht="15.75" customHeight="1">
      <c r="S1064" s="454"/>
      <c r="AN1064" s="458"/>
      <c r="BA1064" s="1305"/>
      <c r="BC1064" s="169"/>
    </row>
    <row r="1065" spans="19:55" ht="15.75" customHeight="1">
      <c r="S1065" s="454"/>
      <c r="AN1065" s="458"/>
      <c r="BA1065" s="1305"/>
      <c r="BC1065" s="169"/>
    </row>
    <row r="1066" spans="19:55" ht="15.75" customHeight="1">
      <c r="S1066" s="454"/>
      <c r="AN1066" s="458"/>
      <c r="BA1066" s="1305"/>
      <c r="BC1066" s="169"/>
    </row>
    <row r="1067" spans="19:55" ht="15.75" customHeight="1">
      <c r="S1067" s="454"/>
      <c r="AN1067" s="458"/>
      <c r="BA1067" s="1305"/>
      <c r="BC1067" s="169"/>
    </row>
    <row r="1068" spans="19:55" ht="15.75" customHeight="1">
      <c r="S1068" s="454"/>
      <c r="AN1068" s="458"/>
      <c r="BA1068" s="1305"/>
      <c r="BC1068" s="169"/>
    </row>
    <row r="1069" spans="19:55" ht="15.75" customHeight="1">
      <c r="S1069" s="454"/>
      <c r="AN1069" s="458"/>
      <c r="BA1069" s="1305"/>
      <c r="BC1069" s="169"/>
    </row>
    <row r="1070" spans="19:55" ht="15.75" customHeight="1">
      <c r="S1070" s="454"/>
      <c r="AN1070" s="458"/>
      <c r="BA1070" s="1305"/>
      <c r="BC1070" s="169"/>
    </row>
    <row r="1071" spans="19:55" ht="15.75" customHeight="1">
      <c r="S1071" s="454"/>
      <c r="AN1071" s="458"/>
      <c r="BA1071" s="1305"/>
      <c r="BC1071" s="169"/>
    </row>
    <row r="1072" spans="19:55" ht="15.75" customHeight="1">
      <c r="S1072" s="454"/>
      <c r="AN1072" s="458"/>
      <c r="BA1072" s="1305"/>
      <c r="BC1072" s="169"/>
    </row>
    <row r="1073" spans="19:55" ht="15.75" customHeight="1">
      <c r="S1073" s="454"/>
      <c r="AN1073" s="458"/>
      <c r="BA1073" s="1305"/>
      <c r="BC1073" s="169"/>
    </row>
    <row r="1074" spans="19:55" ht="15.75" customHeight="1">
      <c r="S1074" s="454"/>
      <c r="AN1074" s="458"/>
      <c r="BA1074" s="1305"/>
      <c r="BC1074" s="169"/>
    </row>
    <row r="1075" spans="19:55" ht="15.75" customHeight="1">
      <c r="S1075" s="454"/>
      <c r="AN1075" s="458"/>
      <c r="BA1075" s="1305"/>
      <c r="BC1075" s="169"/>
    </row>
    <row r="1076" spans="19:55" ht="15.75" customHeight="1">
      <c r="S1076" s="454"/>
      <c r="AN1076" s="458"/>
      <c r="BA1076" s="1305"/>
      <c r="BC1076" s="169"/>
    </row>
    <row r="1077" spans="19:55" ht="15.75" customHeight="1">
      <c r="S1077" s="454"/>
      <c r="AN1077" s="458"/>
      <c r="BA1077" s="1305"/>
      <c r="BC1077" s="169"/>
    </row>
    <row r="1078" spans="19:55" ht="15.75" customHeight="1">
      <c r="S1078" s="454"/>
      <c r="AN1078" s="458"/>
      <c r="BA1078" s="1305"/>
      <c r="BC1078" s="169"/>
    </row>
    <row r="1079" spans="19:55" ht="15.75" customHeight="1">
      <c r="S1079" s="454"/>
      <c r="AN1079" s="458"/>
      <c r="BA1079" s="1305"/>
      <c r="BC1079" s="169"/>
    </row>
    <row r="1080" spans="19:55" ht="15.75" customHeight="1">
      <c r="S1080" s="454"/>
      <c r="AN1080" s="458"/>
      <c r="BA1080" s="1305"/>
      <c r="BC1080" s="169"/>
    </row>
    <row r="1081" spans="19:55" ht="15.75" customHeight="1">
      <c r="S1081" s="454"/>
      <c r="AN1081" s="458"/>
      <c r="BA1081" s="1305"/>
      <c r="BC1081" s="169"/>
    </row>
    <row r="1082" spans="19:55" ht="15.75" customHeight="1">
      <c r="S1082" s="454"/>
      <c r="AN1082" s="458"/>
      <c r="BA1082" s="1305"/>
      <c r="BC1082" s="169"/>
    </row>
    <row r="1083" spans="19:55" ht="15.75" customHeight="1">
      <c r="S1083" s="454"/>
      <c r="AN1083" s="458"/>
      <c r="BA1083" s="1305"/>
      <c r="BC1083" s="169"/>
    </row>
    <row r="1084" spans="19:55" ht="15.75" customHeight="1">
      <c r="S1084" s="454"/>
      <c r="AN1084" s="458"/>
      <c r="BA1084" s="1305"/>
      <c r="BC1084" s="169"/>
    </row>
    <row r="1085" spans="19:55" ht="15.75" customHeight="1">
      <c r="S1085" s="454"/>
      <c r="AN1085" s="458"/>
      <c r="BA1085" s="1266"/>
      <c r="BC1085" s="169"/>
    </row>
    <row r="1086" spans="19:55" ht="15.75" customHeight="1">
      <c r="S1086" s="454"/>
      <c r="AN1086" s="458"/>
      <c r="BA1086" s="1266"/>
      <c r="BC1086" s="169"/>
    </row>
    <row r="1087" spans="19:55" ht="15.75" customHeight="1">
      <c r="S1087" s="454"/>
      <c r="AN1087" s="458"/>
      <c r="BA1087" s="1266"/>
      <c r="BC1087" s="169"/>
    </row>
    <row r="1088" spans="19:55" ht="15.75" customHeight="1">
      <c r="S1088" s="454"/>
      <c r="AN1088" s="458"/>
      <c r="BA1088" s="1266"/>
      <c r="BC1088" s="169"/>
    </row>
    <row r="1089" spans="19:55" ht="15.75" customHeight="1">
      <c r="S1089" s="454"/>
      <c r="AN1089" s="458"/>
      <c r="BA1089" s="1266"/>
      <c r="BC1089" s="169"/>
    </row>
    <row r="1090" spans="19:55" ht="15.75" customHeight="1">
      <c r="S1090" s="454"/>
      <c r="AN1090" s="458"/>
      <c r="BA1090" s="1266"/>
      <c r="BC1090" s="169"/>
    </row>
    <row r="1091" spans="19:55" ht="15.75" customHeight="1">
      <c r="S1091" s="454"/>
      <c r="AN1091" s="458"/>
      <c r="BA1091" s="1266"/>
      <c r="BC1091" s="169"/>
    </row>
    <row r="1092" spans="19:55" ht="15.75" customHeight="1">
      <c r="S1092" s="454"/>
      <c r="AN1092" s="458"/>
      <c r="BA1092" s="1266"/>
      <c r="BC1092" s="169"/>
    </row>
    <row r="1093" spans="19:55" ht="15.75" customHeight="1">
      <c r="S1093" s="454"/>
      <c r="AN1093" s="458"/>
      <c r="BA1093" s="1266"/>
      <c r="BC1093" s="169"/>
    </row>
    <row r="1094" spans="19:55" ht="15.75" customHeight="1">
      <c r="S1094" s="454"/>
      <c r="AN1094" s="458"/>
      <c r="BA1094" s="1266"/>
      <c r="BC1094" s="169"/>
    </row>
    <row r="1095" spans="19:55" ht="15.75" customHeight="1">
      <c r="S1095" s="454"/>
      <c r="AN1095" s="458"/>
      <c r="BA1095" s="1266"/>
      <c r="BC1095" s="169"/>
    </row>
    <row r="1096" spans="19:55" ht="15.75" customHeight="1">
      <c r="S1096" s="454"/>
      <c r="AN1096" s="458"/>
      <c r="BA1096" s="1266"/>
      <c r="BC1096" s="169"/>
    </row>
    <row r="1097" spans="19:55" ht="15.75" customHeight="1">
      <c r="S1097" s="454"/>
      <c r="AN1097" s="458"/>
      <c r="BA1097" s="1266"/>
      <c r="BC1097" s="169"/>
    </row>
    <row r="1098" spans="19:55" ht="15.75" customHeight="1">
      <c r="S1098" s="454"/>
      <c r="AN1098" s="458"/>
      <c r="BA1098" s="1266"/>
      <c r="BC1098" s="169"/>
    </row>
    <row r="1099" spans="19:55" ht="15.75" customHeight="1">
      <c r="S1099" s="454"/>
      <c r="AN1099" s="458"/>
      <c r="BA1099" s="1266"/>
      <c r="BC1099" s="169"/>
    </row>
    <row r="1100" spans="19:55" ht="15.75" customHeight="1">
      <c r="S1100" s="454"/>
      <c r="AN1100" s="458"/>
      <c r="BA1100" s="1266"/>
      <c r="BC1100" s="169"/>
    </row>
    <row r="1101" spans="19:55" ht="15.75" customHeight="1">
      <c r="S1101" s="454"/>
      <c r="AN1101" s="458"/>
      <c r="BA1101" s="1266"/>
      <c r="BC1101" s="169"/>
    </row>
    <row r="1102" spans="19:55" ht="15.75" customHeight="1">
      <c r="S1102" s="454"/>
      <c r="AN1102" s="458"/>
      <c r="BA1102" s="1266"/>
      <c r="BC1102" s="169"/>
    </row>
    <row r="1103" spans="19:55" ht="15.75" customHeight="1">
      <c r="S1103" s="454"/>
      <c r="AN1103" s="458"/>
      <c r="BA1103" s="1266"/>
      <c r="BC1103" s="169"/>
    </row>
    <row r="1104" spans="19:55" ht="15.75" customHeight="1">
      <c r="S1104" s="454"/>
      <c r="AN1104" s="458"/>
      <c r="BA1104" s="1266"/>
      <c r="BC1104" s="169"/>
    </row>
    <row r="1105" spans="19:55" ht="15.75" customHeight="1">
      <c r="S1105" s="454"/>
      <c r="AN1105" s="458"/>
      <c r="BA1105" s="1266"/>
      <c r="BC1105" s="169"/>
    </row>
    <row r="1106" spans="19:55" ht="15.75" customHeight="1">
      <c r="S1106" s="454"/>
      <c r="AN1106" s="458"/>
      <c r="BA1106" s="1266"/>
      <c r="BC1106" s="169"/>
    </row>
    <row r="1107" spans="19:55" ht="15.75" customHeight="1">
      <c r="S1107" s="454"/>
      <c r="AN1107" s="458"/>
      <c r="BA1107" s="1266"/>
      <c r="BC1107" s="169"/>
    </row>
    <row r="1108" spans="19:55" ht="15.75" customHeight="1">
      <c r="S1108" s="454"/>
      <c r="AN1108" s="458"/>
      <c r="BA1108" s="1266"/>
      <c r="BC1108" s="169"/>
    </row>
    <row r="1109" spans="19:55" ht="15.75" customHeight="1">
      <c r="S1109" s="454"/>
      <c r="AN1109" s="458"/>
      <c r="BA1109" s="1266"/>
      <c r="BC1109" s="169"/>
    </row>
    <row r="1110" spans="19:55" ht="15.75" customHeight="1">
      <c r="S1110" s="454"/>
      <c r="AN1110" s="458"/>
      <c r="BA1110" s="1266"/>
      <c r="BC1110" s="169"/>
    </row>
    <row r="1111" spans="19:55" ht="15.75" customHeight="1">
      <c r="S1111" s="454"/>
      <c r="AN1111" s="458"/>
      <c r="BA1111" s="1266"/>
      <c r="BC1111" s="169"/>
    </row>
    <row r="1112" spans="19:55" ht="15.75" customHeight="1">
      <c r="S1112" s="454"/>
      <c r="AN1112" s="458"/>
      <c r="BA1112" s="1266"/>
      <c r="BC1112" s="169"/>
    </row>
    <row r="1113" spans="19:55" ht="15.75" customHeight="1">
      <c r="S1113" s="454"/>
      <c r="AN1113" s="458"/>
      <c r="BA1113" s="1266"/>
      <c r="BC1113" s="169"/>
    </row>
    <row r="1114" spans="19:55" ht="15.75" customHeight="1">
      <c r="S1114" s="454"/>
      <c r="AN1114" s="458"/>
      <c r="BA1114" s="1266"/>
      <c r="BC1114" s="169"/>
    </row>
    <row r="1115" spans="19:55" ht="15.75" customHeight="1">
      <c r="S1115" s="454"/>
      <c r="AN1115" s="458"/>
      <c r="BA1115" s="1266"/>
      <c r="BC1115" s="169"/>
    </row>
    <row r="1116" spans="19:55" ht="15.75" customHeight="1">
      <c r="S1116" s="454"/>
      <c r="AN1116" s="458"/>
      <c r="BA1116" s="1266"/>
      <c r="BC1116" s="169"/>
    </row>
    <row r="1117" spans="19:55" ht="15.75" customHeight="1">
      <c r="S1117" s="454"/>
      <c r="AN1117" s="458"/>
      <c r="BA1117" s="1266"/>
      <c r="BC1117" s="169"/>
    </row>
    <row r="1118" spans="19:55" ht="15.75" customHeight="1">
      <c r="S1118" s="454"/>
      <c r="AN1118" s="458"/>
      <c r="BA1118" s="1266"/>
      <c r="BC1118" s="169"/>
    </row>
    <row r="1119" spans="19:55" ht="15.75" customHeight="1">
      <c r="S1119" s="454"/>
      <c r="AN1119" s="458"/>
      <c r="BA1119" s="1266"/>
      <c r="BC1119" s="169"/>
    </row>
    <row r="1120" spans="19:55" ht="15.75" customHeight="1">
      <c r="S1120" s="454"/>
      <c r="AN1120" s="458"/>
      <c r="BA1120" s="1266"/>
      <c r="BC1120" s="169"/>
    </row>
    <row r="1121" spans="19:55" ht="15.75" customHeight="1">
      <c r="S1121" s="454"/>
      <c r="AN1121" s="458"/>
      <c r="BA1121" s="1266"/>
      <c r="BC1121" s="169"/>
    </row>
    <row r="1122" spans="19:55" ht="15.75" customHeight="1">
      <c r="S1122" s="454"/>
      <c r="AN1122" s="458"/>
      <c r="BA1122" s="1266"/>
      <c r="BC1122" s="169"/>
    </row>
    <row r="1123" spans="19:55" ht="15.75" customHeight="1">
      <c r="S1123" s="454"/>
      <c r="AN1123" s="458"/>
      <c r="BA1123" s="1266"/>
      <c r="BC1123" s="169"/>
    </row>
    <row r="1124" spans="19:55" ht="15.75" customHeight="1">
      <c r="S1124" s="454"/>
      <c r="AN1124" s="458"/>
      <c r="BA1124" s="1266"/>
      <c r="BC1124" s="169"/>
    </row>
    <row r="1125" spans="19:55" ht="15.75" customHeight="1">
      <c r="S1125" s="454"/>
      <c r="AN1125" s="458"/>
      <c r="BA1125" s="1266"/>
      <c r="BC1125" s="169"/>
    </row>
    <row r="1126" spans="19:55" ht="15.75" customHeight="1">
      <c r="S1126" s="454"/>
      <c r="AN1126" s="458"/>
      <c r="BA1126" s="1266"/>
      <c r="BC1126" s="169"/>
    </row>
    <row r="1127" spans="19:55" ht="15.75" customHeight="1">
      <c r="S1127" s="454"/>
      <c r="AN1127" s="458"/>
      <c r="BA1127" s="1266"/>
      <c r="BC1127" s="169"/>
    </row>
    <row r="1128" spans="19:55" ht="15.75" customHeight="1">
      <c r="S1128" s="454"/>
      <c r="AN1128" s="458"/>
      <c r="BA1128" s="1266"/>
      <c r="BC1128" s="169"/>
    </row>
    <row r="1129" spans="19:55" ht="15.75" customHeight="1">
      <c r="S1129" s="454"/>
      <c r="AN1129" s="458"/>
      <c r="BA1129" s="1266"/>
      <c r="BC1129" s="169"/>
    </row>
    <row r="1130" spans="19:55" ht="15.75" customHeight="1">
      <c r="S1130" s="454"/>
      <c r="AN1130" s="458"/>
      <c r="BA1130" s="1266"/>
      <c r="BC1130" s="169"/>
    </row>
    <row r="1131" spans="19:55" ht="15.75" customHeight="1">
      <c r="S1131" s="454"/>
      <c r="AN1131" s="458"/>
      <c r="BA1131" s="1266"/>
      <c r="BC1131" s="169"/>
    </row>
    <row r="1132" spans="19:55" ht="15.75" customHeight="1">
      <c r="S1132" s="454"/>
      <c r="AN1132" s="458"/>
      <c r="BA1132" s="1266"/>
      <c r="BC1132" s="169"/>
    </row>
    <row r="1133" spans="19:55" ht="15.75" customHeight="1">
      <c r="S1133" s="454"/>
      <c r="AN1133" s="458"/>
      <c r="BA1133" s="1266"/>
      <c r="BC1133" s="169"/>
    </row>
    <row r="1134" spans="19:55" ht="15.75" customHeight="1">
      <c r="S1134" s="454"/>
      <c r="AN1134" s="458"/>
      <c r="BA1134" s="1266"/>
      <c r="BC1134" s="169"/>
    </row>
    <row r="1135" spans="19:55" ht="15.75" customHeight="1">
      <c r="S1135" s="454"/>
      <c r="AN1135" s="458"/>
      <c r="BA1135" s="1266"/>
      <c r="BC1135" s="169"/>
    </row>
    <row r="1136" spans="19:55" ht="15.75" customHeight="1">
      <c r="S1136" s="454"/>
      <c r="AN1136" s="458"/>
      <c r="BA1136" s="1266"/>
      <c r="BC1136" s="169"/>
    </row>
    <row r="1137" spans="19:55" ht="15.75" customHeight="1">
      <c r="S1137" s="454"/>
      <c r="AN1137" s="458"/>
      <c r="BA1137" s="1266"/>
      <c r="BC1137" s="169"/>
    </row>
    <row r="1138" spans="19:55" ht="15.75" customHeight="1">
      <c r="S1138" s="454"/>
      <c r="AN1138" s="458"/>
      <c r="BA1138" s="1266"/>
      <c r="BC1138" s="169"/>
    </row>
    <row r="1139" spans="19:55" ht="15.75" customHeight="1">
      <c r="S1139" s="454"/>
      <c r="AN1139" s="458"/>
      <c r="BA1139" s="1266"/>
      <c r="BC1139" s="169"/>
    </row>
    <row r="1140" spans="19:55" ht="15.75" customHeight="1">
      <c r="S1140" s="454"/>
      <c r="AN1140" s="458"/>
      <c r="BA1140" s="1266"/>
      <c r="BC1140" s="169"/>
    </row>
    <row r="1141" spans="19:55" ht="15.75" customHeight="1">
      <c r="S1141" s="454"/>
      <c r="AN1141" s="458"/>
      <c r="BA1141" s="1266"/>
      <c r="BC1141" s="169"/>
    </row>
    <row r="1142" spans="19:55" ht="15.75" customHeight="1">
      <c r="S1142" s="454"/>
      <c r="AN1142" s="458"/>
      <c r="BA1142" s="1266"/>
      <c r="BC1142" s="169"/>
    </row>
    <row r="1143" spans="19:55" ht="15.75" customHeight="1">
      <c r="S1143" s="454"/>
      <c r="AN1143" s="458"/>
      <c r="BA1143" s="1266"/>
      <c r="BC1143" s="169"/>
    </row>
    <row r="1144" spans="19:55" ht="15.75" customHeight="1">
      <c r="S1144" s="454"/>
      <c r="AN1144" s="458"/>
      <c r="BA1144" s="1266"/>
      <c r="BC1144" s="169"/>
    </row>
    <row r="1145" spans="19:55" ht="15.75" customHeight="1">
      <c r="S1145" s="454"/>
      <c r="AN1145" s="458"/>
      <c r="BA1145" s="1266"/>
      <c r="BC1145" s="169"/>
    </row>
    <row r="1146" spans="19:55" ht="15.75" customHeight="1">
      <c r="S1146" s="454"/>
      <c r="AN1146" s="458"/>
      <c r="BA1146" s="1266"/>
      <c r="BC1146" s="169"/>
    </row>
    <row r="1147" spans="19:55" ht="15.75" customHeight="1">
      <c r="S1147" s="454"/>
      <c r="AN1147" s="458"/>
      <c r="BA1147" s="1266"/>
      <c r="BC1147" s="169"/>
    </row>
    <row r="1148" spans="19:55" ht="15.75" customHeight="1">
      <c r="S1148" s="454"/>
      <c r="AN1148" s="458"/>
      <c r="BA1148" s="1266"/>
      <c r="BC1148" s="169"/>
    </row>
    <row r="1149" spans="19:55" ht="15.75" customHeight="1">
      <c r="S1149" s="454"/>
      <c r="AN1149" s="458"/>
      <c r="BA1149" s="1266"/>
      <c r="BC1149" s="169"/>
    </row>
    <row r="1150" spans="19:55" ht="15.75" customHeight="1">
      <c r="S1150" s="454"/>
      <c r="AN1150" s="458"/>
      <c r="BA1150" s="1266"/>
      <c r="BC1150" s="169"/>
    </row>
    <row r="1151" spans="19:55" ht="15.75" customHeight="1">
      <c r="S1151" s="454"/>
      <c r="AN1151" s="458"/>
      <c r="BA1151" s="1266"/>
      <c r="BC1151" s="169"/>
    </row>
    <row r="1152" spans="19:55" ht="15.75" customHeight="1">
      <c r="S1152" s="454"/>
      <c r="AN1152" s="458"/>
      <c r="BA1152" s="1266"/>
      <c r="BC1152" s="169"/>
    </row>
    <row r="1153" spans="19:55" ht="15.75" customHeight="1">
      <c r="S1153" s="454"/>
      <c r="AN1153" s="458"/>
      <c r="BA1153" s="1266"/>
      <c r="BC1153" s="169"/>
    </row>
    <row r="1154" spans="19:55" ht="15.75" customHeight="1">
      <c r="S1154" s="454"/>
      <c r="AN1154" s="458"/>
      <c r="BA1154" s="1266"/>
      <c r="BC1154" s="169"/>
    </row>
    <row r="1155" spans="19:55" ht="15.75" customHeight="1">
      <c r="S1155" s="454"/>
      <c r="AN1155" s="458"/>
      <c r="BA1155" s="1266"/>
      <c r="BC1155" s="169"/>
    </row>
    <row r="1156" spans="19:55" ht="15.75" customHeight="1">
      <c r="S1156" s="454"/>
      <c r="AN1156" s="458"/>
      <c r="BA1156" s="1266"/>
      <c r="BC1156" s="169"/>
    </row>
    <row r="1157" spans="19:55" ht="15.75" customHeight="1">
      <c r="S1157" s="454"/>
      <c r="AN1157" s="458"/>
      <c r="BA1157" s="1266"/>
      <c r="BC1157" s="169"/>
    </row>
    <row r="1158" spans="19:55" ht="15.75" customHeight="1">
      <c r="S1158" s="454"/>
      <c r="AN1158" s="458"/>
      <c r="BA1158" s="1266"/>
      <c r="BC1158" s="169"/>
    </row>
    <row r="1159" spans="19:55" ht="15.75" customHeight="1">
      <c r="S1159" s="454"/>
      <c r="AN1159" s="458"/>
      <c r="BA1159" s="1266"/>
      <c r="BC1159" s="169"/>
    </row>
    <row r="1160" spans="19:55" ht="15.75" customHeight="1">
      <c r="S1160" s="454"/>
      <c r="AN1160" s="458"/>
      <c r="BA1160" s="1266"/>
      <c r="BC1160" s="169"/>
    </row>
    <row r="1161" spans="19:55" ht="15.75" customHeight="1">
      <c r="S1161" s="454"/>
      <c r="AN1161" s="458"/>
      <c r="BA1161" s="1266"/>
      <c r="BC1161" s="169"/>
    </row>
    <row r="1162" spans="19:55" ht="15.75" customHeight="1">
      <c r="S1162" s="454"/>
      <c r="AN1162" s="458"/>
      <c r="BA1162" s="1266"/>
      <c r="BC1162" s="169"/>
    </row>
    <row r="1163" spans="19:55" ht="15.75" customHeight="1">
      <c r="S1163" s="454"/>
      <c r="AN1163" s="458"/>
      <c r="BA1163" s="1266"/>
      <c r="BC1163" s="169"/>
    </row>
    <row r="1164" spans="19:55" ht="15.75" customHeight="1">
      <c r="S1164" s="454"/>
      <c r="AN1164" s="458"/>
      <c r="BA1164" s="1266"/>
      <c r="BC1164" s="169"/>
    </row>
    <row r="1165" spans="19:55" ht="15.75" customHeight="1">
      <c r="S1165" s="454"/>
      <c r="AN1165" s="458"/>
      <c r="BA1165" s="1266"/>
      <c r="BC1165" s="169"/>
    </row>
    <row r="1166" spans="19:55" ht="15.75" customHeight="1">
      <c r="S1166" s="454"/>
      <c r="AN1166" s="458"/>
      <c r="BA1166" s="1266"/>
      <c r="BC1166" s="169"/>
    </row>
    <row r="1167" spans="19:55" ht="15.75" customHeight="1">
      <c r="S1167" s="454"/>
      <c r="AN1167" s="458"/>
      <c r="BA1167" s="1266"/>
      <c r="BC1167" s="169"/>
    </row>
    <row r="1168" spans="19:55" ht="15.75" customHeight="1">
      <c r="S1168" s="454"/>
      <c r="AN1168" s="458"/>
      <c r="BA1168" s="1266"/>
      <c r="BC1168" s="169"/>
    </row>
    <row r="1169" spans="19:55" ht="15.75" customHeight="1">
      <c r="S1169" s="454"/>
      <c r="AN1169" s="458"/>
      <c r="BA1169" s="1266"/>
      <c r="BC1169" s="169"/>
    </row>
    <row r="1170" spans="19:55" ht="15.75" customHeight="1">
      <c r="S1170" s="454"/>
      <c r="AN1170" s="458"/>
      <c r="BA1170" s="1266"/>
      <c r="BC1170" s="169"/>
    </row>
    <row r="1171" spans="19:55" ht="15.75" customHeight="1">
      <c r="S1171" s="454"/>
      <c r="AN1171" s="458"/>
      <c r="BA1171" s="1266"/>
      <c r="BC1171" s="169"/>
    </row>
    <row r="1172" spans="19:55" ht="15.75" customHeight="1">
      <c r="S1172" s="454"/>
      <c r="AN1172" s="458"/>
      <c r="BA1172" s="1266"/>
      <c r="BC1172" s="169"/>
    </row>
    <row r="1173" spans="19:55" ht="15.75" customHeight="1">
      <c r="S1173" s="454"/>
      <c r="AN1173" s="458"/>
      <c r="BA1173" s="1266"/>
      <c r="BC1173" s="169"/>
    </row>
    <row r="1174" spans="19:55" ht="15.75" customHeight="1">
      <c r="S1174" s="454"/>
      <c r="AN1174" s="458"/>
      <c r="BA1174" s="1266"/>
      <c r="BC1174" s="169"/>
    </row>
    <row r="1175" spans="19:55" ht="15.75" customHeight="1">
      <c r="S1175" s="454"/>
      <c r="AN1175" s="458"/>
      <c r="BA1175" s="1266"/>
      <c r="BC1175" s="169"/>
    </row>
    <row r="1176" spans="19:55" ht="15.75" customHeight="1">
      <c r="S1176" s="454"/>
      <c r="AN1176" s="458"/>
      <c r="BA1176" s="1266"/>
      <c r="BC1176" s="169"/>
    </row>
    <row r="1177" spans="19:55" ht="15.75" customHeight="1">
      <c r="S1177" s="454"/>
      <c r="AN1177" s="458"/>
      <c r="BA1177" s="1266"/>
      <c r="BC1177" s="169"/>
    </row>
    <row r="1178" spans="19:55" ht="15.75" customHeight="1">
      <c r="S1178" s="454"/>
      <c r="AN1178" s="458"/>
      <c r="BA1178" s="1266"/>
      <c r="BC1178" s="169"/>
    </row>
    <row r="1179" spans="19:55" ht="15.75" customHeight="1">
      <c r="S1179" s="454"/>
      <c r="AN1179" s="458"/>
      <c r="BA1179" s="1266"/>
      <c r="BC1179" s="169"/>
    </row>
    <row r="1180" spans="19:55" ht="15.75" customHeight="1">
      <c r="S1180" s="454"/>
      <c r="AN1180" s="458"/>
      <c r="BA1180" s="1266"/>
      <c r="BC1180" s="169"/>
    </row>
    <row r="1181" spans="19:55" ht="15.75" customHeight="1">
      <c r="S1181" s="454"/>
      <c r="AN1181" s="458"/>
      <c r="BA1181" s="1266"/>
      <c r="BC1181" s="169"/>
    </row>
    <row r="1182" spans="19:55" ht="15.75" customHeight="1">
      <c r="S1182" s="454"/>
      <c r="AN1182" s="458"/>
      <c r="BA1182" s="1266"/>
      <c r="BC1182" s="169"/>
    </row>
    <row r="1183" spans="19:55" ht="15.75" customHeight="1">
      <c r="S1183" s="454"/>
      <c r="AN1183" s="458"/>
      <c r="BA1183" s="1266"/>
      <c r="BC1183" s="169"/>
    </row>
    <row r="1184" spans="19:55" ht="15.75" customHeight="1">
      <c r="S1184" s="454"/>
      <c r="AN1184" s="458"/>
      <c r="BA1184" s="1266"/>
      <c r="BC1184" s="169"/>
    </row>
    <row r="1185" spans="19:55" ht="15.75" customHeight="1">
      <c r="S1185" s="454"/>
      <c r="AN1185" s="458"/>
      <c r="BA1185" s="1266"/>
      <c r="BC1185" s="169"/>
    </row>
    <row r="1186" spans="19:55" ht="15.75" customHeight="1">
      <c r="S1186" s="454"/>
      <c r="AN1186" s="458"/>
      <c r="BA1186" s="1266"/>
      <c r="BC1186" s="169"/>
    </row>
    <row r="1187" spans="19:55" ht="15.75" customHeight="1">
      <c r="S1187" s="454"/>
      <c r="AN1187" s="458"/>
      <c r="BA1187" s="1266"/>
      <c r="BC1187" s="169"/>
    </row>
    <row r="1188" spans="19:55" ht="15.75" customHeight="1">
      <c r="S1188" s="454"/>
      <c r="AN1188" s="458"/>
      <c r="BA1188" s="1266"/>
      <c r="BC1188" s="169"/>
    </row>
    <row r="1189" spans="19:55" ht="15.75" customHeight="1">
      <c r="S1189" s="454"/>
      <c r="AN1189" s="458"/>
      <c r="BA1189" s="1266"/>
      <c r="BC1189" s="169"/>
    </row>
    <row r="1190" spans="19:55" ht="15.75" customHeight="1">
      <c r="S1190" s="454"/>
      <c r="AN1190" s="458"/>
      <c r="BA1190" s="1266"/>
      <c r="BC1190" s="169"/>
    </row>
    <row r="1191" spans="19:55" ht="15.75" customHeight="1">
      <c r="S1191" s="454"/>
      <c r="AN1191" s="458"/>
      <c r="BA1191" s="1266"/>
      <c r="BC1191" s="169"/>
    </row>
    <row r="1192" spans="19:55" ht="15.75" customHeight="1">
      <c r="S1192" s="454"/>
      <c r="AN1192" s="458"/>
      <c r="BA1192" s="1266"/>
      <c r="BC1192" s="169"/>
    </row>
    <row r="1193" spans="19:55" ht="15.75" customHeight="1">
      <c r="S1193" s="454"/>
      <c r="AN1193" s="458"/>
      <c r="BA1193" s="1266"/>
      <c r="BC1193" s="169"/>
    </row>
    <row r="1194" spans="19:55" ht="15.75" customHeight="1">
      <c r="S1194" s="454"/>
      <c r="AN1194" s="458"/>
      <c r="BA1194" s="1266"/>
      <c r="BC1194" s="169"/>
    </row>
    <row r="1195" spans="19:55" ht="15.75" customHeight="1">
      <c r="S1195" s="454"/>
      <c r="AN1195" s="458"/>
      <c r="BA1195" s="1266"/>
      <c r="BC1195" s="169"/>
    </row>
    <row r="1196" spans="19:55" ht="15.75" customHeight="1">
      <c r="S1196" s="454"/>
      <c r="AN1196" s="458"/>
      <c r="BA1196" s="1266"/>
      <c r="BC1196" s="169"/>
    </row>
    <row r="1197" spans="19:55" ht="15.75" customHeight="1">
      <c r="S1197" s="454"/>
      <c r="AN1197" s="458"/>
      <c r="BA1197" s="1266"/>
      <c r="BC1197" s="169"/>
    </row>
    <row r="1198" spans="19:55" ht="15.75" customHeight="1">
      <c r="S1198" s="454"/>
      <c r="AN1198" s="458"/>
      <c r="BA1198" s="1266"/>
      <c r="BC1198" s="169"/>
    </row>
    <row r="1199" spans="19:55" ht="15.75" customHeight="1">
      <c r="S1199" s="454"/>
      <c r="AN1199" s="458"/>
      <c r="BA1199" s="1266"/>
      <c r="BC1199" s="169"/>
    </row>
    <row r="1200" spans="19:55" ht="15.75" customHeight="1">
      <c r="S1200" s="454"/>
      <c r="AN1200" s="458"/>
      <c r="BA1200" s="1266"/>
      <c r="BC1200" s="169"/>
    </row>
    <row r="1201" spans="19:55" ht="15.75" customHeight="1">
      <c r="S1201" s="454"/>
      <c r="AN1201" s="458"/>
      <c r="BA1201" s="1266"/>
      <c r="BC1201" s="169"/>
    </row>
    <row r="1202" spans="19:55" ht="15.75" customHeight="1">
      <c r="S1202" s="454"/>
      <c r="AN1202" s="458"/>
      <c r="BA1202" s="1266"/>
      <c r="BC1202" s="169"/>
    </row>
    <row r="1203" spans="19:55" ht="15.75" customHeight="1">
      <c r="S1203" s="454"/>
      <c r="AN1203" s="458"/>
      <c r="BA1203" s="1266"/>
      <c r="BC1203" s="169"/>
    </row>
    <row r="1204" spans="19:55" ht="15.75" customHeight="1">
      <c r="S1204" s="454"/>
      <c r="AN1204" s="458"/>
      <c r="BA1204" s="1266"/>
      <c r="BC1204" s="169"/>
    </row>
    <row r="1205" spans="19:55" ht="15.75" customHeight="1">
      <c r="S1205" s="454"/>
      <c r="AN1205" s="458"/>
      <c r="BA1205" s="1266"/>
      <c r="BC1205" s="169"/>
    </row>
    <row r="1206" spans="19:55" ht="15.75" customHeight="1">
      <c r="S1206" s="454"/>
      <c r="AN1206" s="458"/>
      <c r="BA1206" s="1266"/>
      <c r="BC1206" s="169"/>
    </row>
    <row r="1207" spans="19:55" ht="15.75" customHeight="1">
      <c r="S1207" s="454"/>
      <c r="AN1207" s="458"/>
      <c r="BA1207" s="1266"/>
      <c r="BC1207" s="169"/>
    </row>
    <row r="1208" spans="19:55" ht="15.75" customHeight="1">
      <c r="S1208" s="454"/>
      <c r="AN1208" s="458"/>
      <c r="BA1208" s="1266"/>
      <c r="BC1208" s="169"/>
    </row>
    <row r="1209" spans="19:55" ht="15.75" customHeight="1">
      <c r="S1209" s="454"/>
      <c r="AN1209" s="458"/>
      <c r="BA1209" s="1266"/>
      <c r="BC1209" s="169"/>
    </row>
    <row r="1210" spans="19:55" ht="15.75" customHeight="1">
      <c r="S1210" s="454"/>
      <c r="AN1210" s="458"/>
      <c r="BA1210" s="1266"/>
      <c r="BC1210" s="169"/>
    </row>
    <row r="1211" spans="19:55" ht="15.75" customHeight="1">
      <c r="S1211" s="454"/>
      <c r="AN1211" s="458"/>
      <c r="BA1211" s="1266"/>
      <c r="BC1211" s="169"/>
    </row>
    <row r="1212" spans="19:55" ht="15.75" customHeight="1">
      <c r="S1212" s="454"/>
      <c r="AN1212" s="458"/>
      <c r="BA1212" s="1266"/>
      <c r="BC1212" s="169"/>
    </row>
    <row r="1213" spans="19:55" ht="15.75" customHeight="1">
      <c r="S1213" s="454"/>
      <c r="AN1213" s="458"/>
      <c r="BA1213" s="1266"/>
      <c r="BC1213" s="169"/>
    </row>
    <row r="1214" spans="19:55" ht="15.75" customHeight="1">
      <c r="S1214" s="454"/>
      <c r="AN1214" s="458"/>
      <c r="BA1214" s="1266"/>
      <c r="BC1214" s="169"/>
    </row>
    <row r="1215" spans="19:55" ht="15.75" customHeight="1">
      <c r="S1215" s="454"/>
      <c r="AN1215" s="458"/>
      <c r="BA1215" s="1266"/>
      <c r="BC1215" s="169"/>
    </row>
    <row r="1216" spans="19:55" ht="15.75" customHeight="1">
      <c r="S1216" s="454"/>
      <c r="AN1216" s="458"/>
      <c r="BA1216" s="1266"/>
      <c r="BC1216" s="169"/>
    </row>
    <row r="1217" spans="19:55" ht="15.75" customHeight="1">
      <c r="S1217" s="454"/>
      <c r="AN1217" s="458"/>
      <c r="BA1217" s="1266"/>
      <c r="BC1217" s="169"/>
    </row>
    <row r="1218" spans="19:55" ht="15.75" customHeight="1">
      <c r="S1218" s="454"/>
      <c r="AN1218" s="458"/>
      <c r="BA1218" s="1266"/>
      <c r="BC1218" s="169"/>
    </row>
    <row r="1219" spans="19:55" ht="15.75" customHeight="1">
      <c r="S1219" s="454"/>
      <c r="AN1219" s="458"/>
      <c r="BA1219" s="1266"/>
      <c r="BC1219" s="169"/>
    </row>
    <row r="1220" spans="19:55" ht="15.75" customHeight="1">
      <c r="S1220" s="454"/>
      <c r="AN1220" s="458"/>
      <c r="BA1220" s="1266"/>
      <c r="BC1220" s="169"/>
    </row>
    <row r="1221" spans="19:55" ht="15.75" customHeight="1">
      <c r="S1221" s="454"/>
      <c r="AN1221" s="458"/>
      <c r="BA1221" s="1266"/>
      <c r="BC1221" s="169"/>
    </row>
    <row r="1222" spans="19:55" ht="15.75" customHeight="1">
      <c r="S1222" s="454"/>
      <c r="AN1222" s="458"/>
      <c r="BA1222" s="1266"/>
      <c r="BC1222" s="169"/>
    </row>
    <row r="1223" spans="19:55" ht="15.75" customHeight="1">
      <c r="S1223" s="454"/>
      <c r="AN1223" s="458"/>
      <c r="BA1223" s="1266"/>
      <c r="BC1223" s="169"/>
    </row>
    <row r="1224" spans="19:55" ht="15.75" customHeight="1">
      <c r="S1224" s="454"/>
      <c r="AN1224" s="458"/>
      <c r="BA1224" s="1266"/>
      <c r="BC1224" s="169"/>
    </row>
    <row r="1225" spans="19:55" ht="15.75" customHeight="1">
      <c r="S1225" s="454"/>
      <c r="AN1225" s="458"/>
      <c r="BA1225" s="1266"/>
      <c r="BC1225" s="169"/>
    </row>
    <row r="1226" spans="19:55" ht="15.75" customHeight="1">
      <c r="S1226" s="454"/>
      <c r="AN1226" s="458"/>
      <c r="BA1226" s="1266"/>
      <c r="BC1226" s="169"/>
    </row>
    <row r="1227" spans="19:55" ht="15.75" customHeight="1">
      <c r="S1227" s="454"/>
      <c r="AN1227" s="458"/>
      <c r="BA1227" s="1266"/>
      <c r="BC1227" s="169"/>
    </row>
    <row r="1228" spans="19:55" ht="15.75" customHeight="1">
      <c r="S1228" s="454"/>
      <c r="AN1228" s="458"/>
      <c r="BA1228" s="1266"/>
      <c r="BC1228" s="169"/>
    </row>
    <row r="1229" spans="19:55" ht="15.75" customHeight="1">
      <c r="S1229" s="454"/>
      <c r="AN1229" s="458"/>
      <c r="BA1229" s="1266"/>
      <c r="BC1229" s="169"/>
    </row>
    <row r="1230" spans="19:55" ht="15.75" customHeight="1">
      <c r="S1230" s="454"/>
      <c r="AN1230" s="458"/>
      <c r="BA1230" s="1266"/>
      <c r="BC1230" s="169"/>
    </row>
    <row r="1231" spans="19:55" ht="15.75" customHeight="1">
      <c r="S1231" s="454"/>
      <c r="AN1231" s="458"/>
      <c r="BA1231" s="1266"/>
      <c r="BC1231" s="169"/>
    </row>
    <row r="1232" spans="19:55" ht="15.75" customHeight="1">
      <c r="S1232" s="454"/>
      <c r="AN1232" s="458"/>
      <c r="BA1232" s="1266"/>
      <c r="BC1232" s="169"/>
    </row>
    <row r="1233" spans="19:55" ht="15.75" customHeight="1">
      <c r="S1233" s="454"/>
      <c r="AN1233" s="458"/>
      <c r="BA1233" s="1266"/>
      <c r="BC1233" s="169"/>
    </row>
    <row r="1234" spans="19:55" ht="15.75" customHeight="1">
      <c r="S1234" s="454"/>
      <c r="AN1234" s="458"/>
      <c r="BA1234" s="1266"/>
      <c r="BC1234" s="169"/>
    </row>
    <row r="1235" spans="19:55" ht="15.75" customHeight="1">
      <c r="S1235" s="454"/>
      <c r="AN1235" s="458"/>
      <c r="BA1235" s="1266"/>
      <c r="BC1235" s="169"/>
    </row>
    <row r="1236" spans="19:55" ht="15.75" customHeight="1">
      <c r="S1236" s="454"/>
      <c r="AN1236" s="458"/>
      <c r="BA1236" s="1266"/>
      <c r="BC1236" s="169"/>
    </row>
    <row r="1237" spans="19:55" ht="15.75" customHeight="1">
      <c r="S1237" s="454"/>
      <c r="AN1237" s="458"/>
      <c r="BA1237" s="1266"/>
      <c r="BC1237" s="169"/>
    </row>
    <row r="1238" spans="19:55" ht="15.75" customHeight="1">
      <c r="S1238" s="454"/>
      <c r="AN1238" s="458"/>
      <c r="BA1238" s="1266"/>
      <c r="BC1238" s="169"/>
    </row>
    <row r="1239" spans="19:55" ht="15.75" customHeight="1">
      <c r="S1239" s="454"/>
      <c r="AN1239" s="458"/>
      <c r="BA1239" s="1266"/>
      <c r="BC1239" s="169"/>
    </row>
    <row r="1240" spans="19:55" ht="15.75" customHeight="1">
      <c r="S1240" s="454"/>
      <c r="AN1240" s="458"/>
      <c r="BA1240" s="1266"/>
      <c r="BC1240" s="169"/>
    </row>
    <row r="1241" spans="19:55" ht="15.75" customHeight="1">
      <c r="S1241" s="454"/>
      <c r="AN1241" s="458"/>
      <c r="BA1241" s="1266"/>
      <c r="BC1241" s="169"/>
    </row>
    <row r="1242" spans="19:55" ht="15.75" customHeight="1">
      <c r="S1242" s="454"/>
      <c r="AN1242" s="458"/>
      <c r="BA1242" s="1266"/>
      <c r="BC1242" s="169"/>
    </row>
    <row r="1243" spans="19:55" ht="15.75" customHeight="1">
      <c r="S1243" s="454"/>
      <c r="AN1243" s="458"/>
      <c r="BA1243" s="1266"/>
      <c r="BC1243" s="169"/>
    </row>
    <row r="1244" spans="19:55" ht="15.75" customHeight="1">
      <c r="S1244" s="454"/>
      <c r="AN1244" s="458"/>
      <c r="BA1244" s="1266"/>
      <c r="BC1244" s="169"/>
    </row>
    <row r="1245" spans="19:55" ht="15.75" customHeight="1">
      <c r="S1245" s="454"/>
      <c r="AN1245" s="458"/>
      <c r="BA1245" s="1266"/>
      <c r="BC1245" s="169"/>
    </row>
    <row r="1246" spans="19:55" ht="15.75" customHeight="1">
      <c r="S1246" s="454"/>
      <c r="AN1246" s="458"/>
      <c r="BA1246" s="1266"/>
      <c r="BC1246" s="169"/>
    </row>
    <row r="1247" spans="19:55" ht="15.75" customHeight="1">
      <c r="S1247" s="454"/>
      <c r="AN1247" s="458"/>
      <c r="BA1247" s="1266"/>
      <c r="BC1247" s="169"/>
    </row>
    <row r="1248" spans="19:55" ht="15.75" customHeight="1">
      <c r="S1248" s="454"/>
      <c r="AN1248" s="458"/>
      <c r="BA1248" s="1266"/>
      <c r="BC1248" s="169"/>
    </row>
    <row r="1249" spans="19:55" ht="15.75" customHeight="1">
      <c r="S1249" s="454"/>
      <c r="AN1249" s="458"/>
      <c r="BA1249" s="1266"/>
      <c r="BC1249" s="169"/>
    </row>
    <row r="1250" spans="19:55" ht="15.75" customHeight="1">
      <c r="S1250" s="454"/>
      <c r="AN1250" s="458"/>
      <c r="BA1250" s="1266"/>
      <c r="BC1250" s="169"/>
    </row>
    <row r="1251" spans="19:55" ht="15.75" customHeight="1">
      <c r="S1251" s="454"/>
      <c r="AN1251" s="458"/>
      <c r="BA1251" s="1266"/>
      <c r="BC1251" s="169"/>
    </row>
    <row r="1252" spans="19:55" ht="15.75" customHeight="1">
      <c r="S1252" s="454"/>
      <c r="AN1252" s="458"/>
      <c r="BA1252" s="1266"/>
      <c r="BC1252" s="169"/>
    </row>
    <row r="1253" spans="19:55" ht="15.75" customHeight="1">
      <c r="S1253" s="454"/>
      <c r="AN1253" s="458"/>
      <c r="BA1253" s="1266"/>
      <c r="BC1253" s="169"/>
    </row>
    <row r="1254" spans="19:55" ht="15.75" customHeight="1">
      <c r="S1254" s="454"/>
      <c r="AN1254" s="458"/>
      <c r="BA1254" s="1266"/>
      <c r="BC1254" s="169"/>
    </row>
    <row r="1255" spans="19:55" ht="15.75" customHeight="1">
      <c r="S1255" s="454"/>
      <c r="AN1255" s="458"/>
      <c r="BA1255" s="1266"/>
      <c r="BC1255" s="169"/>
    </row>
    <row r="1256" spans="19:55" ht="15.75" customHeight="1">
      <c r="S1256" s="454"/>
      <c r="AN1256" s="458"/>
      <c r="BA1256" s="1266"/>
      <c r="BC1256" s="169"/>
    </row>
    <row r="1257" spans="19:55" ht="15.75" customHeight="1">
      <c r="S1257" s="454"/>
      <c r="AN1257" s="458"/>
      <c r="BA1257" s="1266"/>
      <c r="BC1257" s="169"/>
    </row>
    <row r="1258" spans="19:55" ht="15.75" customHeight="1">
      <c r="S1258" s="454"/>
      <c r="AN1258" s="458"/>
      <c r="BA1258" s="1266"/>
      <c r="BC1258" s="169"/>
    </row>
    <row r="1259" spans="19:55" ht="15.75" customHeight="1">
      <c r="S1259" s="454"/>
      <c r="AN1259" s="458"/>
      <c r="BA1259" s="1266"/>
      <c r="BC1259" s="169"/>
    </row>
    <row r="1260" spans="19:55" ht="15.75" customHeight="1">
      <c r="S1260" s="454"/>
      <c r="AN1260" s="458"/>
      <c r="BA1260" s="1266"/>
      <c r="BC1260" s="169"/>
    </row>
    <row r="1261" spans="19:55" ht="15.75" customHeight="1">
      <c r="S1261" s="454"/>
      <c r="AN1261" s="458"/>
      <c r="BA1261" s="1266"/>
      <c r="BC1261" s="169"/>
    </row>
    <row r="1262" spans="19:55" ht="15.75" customHeight="1">
      <c r="S1262" s="454"/>
      <c r="AN1262" s="458"/>
      <c r="BA1262" s="1266"/>
      <c r="BC1262" s="169"/>
    </row>
    <row r="1263" spans="19:55" ht="15.75" customHeight="1">
      <c r="S1263" s="454"/>
      <c r="AN1263" s="458"/>
      <c r="BA1263" s="1266"/>
      <c r="BC1263" s="169"/>
    </row>
    <row r="1264" spans="19:55" ht="15.75" customHeight="1">
      <c r="S1264" s="454"/>
      <c r="AN1264" s="458"/>
      <c r="BA1264" s="1266"/>
      <c r="BC1264" s="169"/>
    </row>
    <row r="1265" spans="19:55" ht="15.75" customHeight="1">
      <c r="S1265" s="454"/>
      <c r="AN1265" s="458"/>
      <c r="BA1265" s="1266"/>
      <c r="BC1265" s="169"/>
    </row>
    <row r="1266" spans="19:55" ht="15.75" customHeight="1">
      <c r="S1266" s="454"/>
      <c r="AN1266" s="458"/>
      <c r="BA1266" s="1266"/>
      <c r="BC1266" s="169"/>
    </row>
    <row r="1267" spans="19:55" ht="15.75" customHeight="1">
      <c r="S1267" s="454"/>
      <c r="AN1267" s="458"/>
      <c r="BA1267" s="1266"/>
      <c r="BC1267" s="169"/>
    </row>
    <row r="1268" spans="19:55" ht="15.75" customHeight="1">
      <c r="S1268" s="454"/>
      <c r="AN1268" s="458"/>
      <c r="BA1268" s="1266"/>
      <c r="BC1268" s="169"/>
    </row>
    <row r="1269" spans="19:55" ht="15.75" customHeight="1">
      <c r="S1269" s="454"/>
      <c r="AN1269" s="458"/>
      <c r="BA1269" s="1266"/>
      <c r="BC1269" s="169"/>
    </row>
    <row r="1270" spans="19:55" ht="15.75" customHeight="1">
      <c r="S1270" s="454"/>
      <c r="AN1270" s="458"/>
      <c r="BA1270" s="1266"/>
      <c r="BC1270" s="169"/>
    </row>
    <row r="1271" spans="19:55" ht="15.75" customHeight="1">
      <c r="S1271" s="454"/>
      <c r="AN1271" s="458"/>
      <c r="BA1271" s="1266"/>
      <c r="BC1271" s="169"/>
    </row>
    <row r="1272" spans="19:55" ht="15.75" customHeight="1">
      <c r="S1272" s="454"/>
      <c r="AN1272" s="458"/>
      <c r="BA1272" s="1266"/>
      <c r="BC1272" s="169"/>
    </row>
    <row r="1273" spans="19:55" ht="15.75" customHeight="1">
      <c r="S1273" s="454"/>
      <c r="AN1273" s="458"/>
      <c r="BA1273" s="1266"/>
      <c r="BC1273" s="169"/>
    </row>
    <row r="1274" spans="19:55" ht="15.75" customHeight="1">
      <c r="S1274" s="454"/>
      <c r="AN1274" s="458"/>
      <c r="BA1274" s="1266"/>
      <c r="BC1274" s="169"/>
    </row>
    <row r="1275" spans="19:55" ht="15.75" customHeight="1">
      <c r="S1275" s="454"/>
      <c r="AN1275" s="458"/>
      <c r="BA1275" s="1266"/>
      <c r="BC1275" s="169"/>
    </row>
    <row r="1276" spans="19:55" ht="15.75" customHeight="1">
      <c r="S1276" s="454"/>
      <c r="AN1276" s="458"/>
      <c r="BA1276" s="1266"/>
      <c r="BC1276" s="169"/>
    </row>
    <row r="1277" spans="19:55" ht="15.75" customHeight="1">
      <c r="S1277" s="454"/>
      <c r="AN1277" s="458"/>
      <c r="BA1277" s="1266"/>
      <c r="BC1277" s="169"/>
    </row>
    <row r="1278" spans="19:55" ht="15.75" customHeight="1">
      <c r="S1278" s="454"/>
      <c r="AN1278" s="458"/>
      <c r="BA1278" s="1266"/>
      <c r="BC1278" s="169"/>
    </row>
    <row r="1279" spans="19:55" ht="15.75" customHeight="1">
      <c r="S1279" s="454"/>
      <c r="AN1279" s="458"/>
      <c r="BA1279" s="1266"/>
      <c r="BC1279" s="169"/>
    </row>
    <row r="1280" spans="19:55" ht="15.75" customHeight="1">
      <c r="S1280" s="454"/>
      <c r="AN1280" s="458"/>
      <c r="BA1280" s="1266"/>
      <c r="BC1280" s="169"/>
    </row>
    <row r="1281" spans="19:55" ht="15.75" customHeight="1">
      <c r="S1281" s="454"/>
      <c r="AN1281" s="458"/>
      <c r="BA1281" s="1266"/>
      <c r="BC1281" s="169"/>
    </row>
    <row r="1282" spans="19:55" ht="15.75" customHeight="1">
      <c r="S1282" s="454"/>
      <c r="AN1282" s="458"/>
      <c r="BA1282" s="1266"/>
      <c r="BC1282" s="169"/>
    </row>
    <row r="1283" spans="19:55" ht="15.75" customHeight="1">
      <c r="S1283" s="454"/>
      <c r="AN1283" s="458"/>
      <c r="BA1283" s="1266"/>
      <c r="BC1283" s="169"/>
    </row>
    <row r="1284" spans="19:55" ht="15.75" customHeight="1">
      <c r="S1284" s="454"/>
      <c r="AN1284" s="458"/>
      <c r="BA1284" s="1266"/>
      <c r="BC1284" s="169"/>
    </row>
    <row r="1285" spans="19:55" ht="15.75" customHeight="1">
      <c r="S1285" s="454"/>
      <c r="AN1285" s="458"/>
      <c r="BA1285" s="1266"/>
      <c r="BC1285" s="169"/>
    </row>
    <row r="1286" spans="19:55" ht="15.75" customHeight="1">
      <c r="S1286" s="454"/>
      <c r="AN1286" s="458"/>
      <c r="BA1286" s="1266"/>
      <c r="BC1286" s="169"/>
    </row>
    <row r="1287" spans="19:55" ht="15.75" customHeight="1">
      <c r="S1287" s="454"/>
      <c r="AN1287" s="458"/>
      <c r="BA1287" s="1266"/>
      <c r="BC1287" s="169"/>
    </row>
    <row r="1288" spans="19:55" ht="15.75" customHeight="1">
      <c r="S1288" s="454"/>
      <c r="AN1288" s="458"/>
      <c r="BC1288" s="169"/>
    </row>
    <row r="1289" spans="19:55" ht="15.75" customHeight="1">
      <c r="S1289" s="454"/>
      <c r="AN1289" s="458"/>
      <c r="BC1289" s="169"/>
    </row>
    <row r="1290" spans="19:55" ht="15.75" customHeight="1">
      <c r="S1290" s="454"/>
      <c r="AN1290" s="458"/>
      <c r="BC1290" s="169"/>
    </row>
    <row r="1291" spans="19:55" ht="15.75" customHeight="1">
      <c r="S1291" s="454"/>
      <c r="AN1291" s="458"/>
      <c r="BC1291" s="169"/>
    </row>
    <row r="1292" spans="19:55" ht="15.75" customHeight="1">
      <c r="S1292" s="454"/>
      <c r="AN1292" s="458"/>
      <c r="BC1292" s="169"/>
    </row>
    <row r="1293" spans="19:55" ht="15.75" customHeight="1">
      <c r="S1293" s="454"/>
      <c r="AN1293" s="458"/>
      <c r="BC1293" s="169"/>
    </row>
    <row r="1294" spans="19:55" ht="15.75" customHeight="1">
      <c r="S1294" s="454"/>
      <c r="AN1294" s="458"/>
      <c r="BC1294" s="169"/>
    </row>
    <row r="1295" spans="19:55" ht="15.75" customHeight="1">
      <c r="S1295" s="454"/>
      <c r="AN1295" s="458"/>
      <c r="BC1295" s="169"/>
    </row>
    <row r="1296" spans="19:55" ht="15.75" customHeight="1">
      <c r="S1296" s="454"/>
      <c r="AN1296" s="458"/>
      <c r="BC1296" s="169"/>
    </row>
    <row r="1297" spans="19:55" ht="15.75" customHeight="1">
      <c r="S1297" s="454"/>
      <c r="AN1297" s="458"/>
      <c r="BC1297" s="169"/>
    </row>
    <row r="1298" spans="19:55" ht="15.75" customHeight="1">
      <c r="S1298" s="454"/>
      <c r="AN1298" s="458"/>
      <c r="BC1298" s="169"/>
    </row>
    <row r="1299" spans="19:55" ht="15.75" customHeight="1">
      <c r="S1299" s="454"/>
      <c r="AN1299" s="458"/>
      <c r="BC1299" s="169"/>
    </row>
    <row r="1300" spans="19:55" ht="15.75" customHeight="1">
      <c r="S1300" s="454"/>
      <c r="AN1300" s="458"/>
      <c r="BC1300" s="169"/>
    </row>
    <row r="1301" spans="19:55" ht="15.75" customHeight="1">
      <c r="S1301" s="454"/>
      <c r="AN1301" s="458"/>
      <c r="BC1301" s="169"/>
    </row>
    <row r="1302" spans="19:55" ht="15.75" customHeight="1">
      <c r="S1302" s="454"/>
      <c r="AN1302" s="458"/>
      <c r="BC1302" s="169"/>
    </row>
    <row r="1303" spans="19:55" ht="15.75" customHeight="1">
      <c r="S1303" s="454"/>
      <c r="AN1303" s="458"/>
      <c r="BC1303" s="169"/>
    </row>
    <row r="1304" spans="19:55" ht="15.75" customHeight="1">
      <c r="S1304" s="454"/>
      <c r="AN1304" s="458"/>
      <c r="BC1304" s="169"/>
    </row>
    <row r="1305" spans="19:55" ht="15.75" customHeight="1">
      <c r="S1305" s="454"/>
      <c r="AN1305" s="458"/>
      <c r="BC1305" s="169"/>
    </row>
    <row r="1306" spans="19:55" ht="15.75" customHeight="1">
      <c r="S1306" s="454"/>
      <c r="AN1306" s="458"/>
      <c r="BC1306" s="169"/>
    </row>
    <row r="1307" spans="19:55" ht="15.75" customHeight="1">
      <c r="S1307" s="454"/>
      <c r="AN1307" s="458"/>
      <c r="BC1307" s="169"/>
    </row>
    <row r="1308" spans="19:55" ht="15.75" customHeight="1">
      <c r="S1308" s="454"/>
      <c r="AN1308" s="458"/>
      <c r="BC1308" s="169"/>
    </row>
    <row r="1309" spans="19:55" ht="15.75" customHeight="1">
      <c r="S1309" s="454"/>
      <c r="AN1309" s="458"/>
      <c r="BC1309" s="169"/>
    </row>
    <row r="1310" spans="19:55" ht="15.75" customHeight="1">
      <c r="S1310" s="454"/>
      <c r="AN1310" s="458"/>
      <c r="BC1310" s="169"/>
    </row>
    <row r="1311" spans="19:55" ht="15.75" customHeight="1">
      <c r="S1311" s="454"/>
      <c r="AN1311" s="458"/>
      <c r="BC1311" s="169"/>
    </row>
    <row r="1312" spans="19:55" ht="15.75" customHeight="1">
      <c r="S1312" s="454"/>
      <c r="AN1312" s="458"/>
      <c r="BC1312" s="169"/>
    </row>
    <row r="1313" spans="19:55" ht="15.75" customHeight="1">
      <c r="S1313" s="454"/>
      <c r="AN1313" s="458"/>
      <c r="BC1313" s="169"/>
    </row>
    <row r="1314" spans="19:55" ht="15.75" customHeight="1">
      <c r="S1314" s="454"/>
      <c r="AN1314" s="458"/>
      <c r="BC1314" s="169"/>
    </row>
    <row r="1315" spans="19:55" ht="15.75" customHeight="1">
      <c r="S1315" s="454"/>
      <c r="AN1315" s="458"/>
      <c r="BC1315" s="169"/>
    </row>
    <row r="1316" spans="19:55" ht="15.75" customHeight="1">
      <c r="S1316" s="454"/>
      <c r="AN1316" s="458"/>
      <c r="BC1316" s="169"/>
    </row>
    <row r="1317" spans="19:55" ht="15.75" customHeight="1">
      <c r="S1317" s="454"/>
      <c r="AN1317" s="458"/>
      <c r="BC1317" s="169"/>
    </row>
    <row r="1318" spans="19:55" ht="15.75" customHeight="1">
      <c r="S1318" s="454"/>
      <c r="AN1318" s="458"/>
      <c r="BC1318" s="169"/>
    </row>
    <row r="1319" spans="19:55" ht="15.75" customHeight="1">
      <c r="S1319" s="454"/>
      <c r="AN1319" s="458"/>
      <c r="BC1319" s="169"/>
    </row>
    <row r="1320" spans="19:55" ht="15.75" customHeight="1">
      <c r="S1320" s="454"/>
      <c r="AN1320" s="458"/>
      <c r="BC1320" s="169"/>
    </row>
    <row r="1321" spans="19:55" ht="15.75" customHeight="1">
      <c r="S1321" s="454"/>
      <c r="AN1321" s="458"/>
      <c r="BC1321" s="169"/>
    </row>
    <row r="1322" spans="19:55" ht="15.75" customHeight="1">
      <c r="S1322" s="454"/>
      <c r="AN1322" s="458"/>
      <c r="BC1322" s="169"/>
    </row>
    <row r="1323" spans="19:55" ht="15.75" customHeight="1">
      <c r="S1323" s="454"/>
      <c r="AN1323" s="458"/>
      <c r="BC1323" s="169"/>
    </row>
    <row r="1324" spans="19:55" ht="15.75" customHeight="1">
      <c r="S1324" s="454"/>
      <c r="AN1324" s="458"/>
      <c r="BC1324" s="169"/>
    </row>
    <row r="1325" spans="19:55" ht="15.75" customHeight="1">
      <c r="S1325" s="454"/>
      <c r="AN1325" s="458"/>
      <c r="BC1325" s="169"/>
    </row>
    <row r="1326" spans="19:55" ht="15.75" customHeight="1">
      <c r="S1326" s="454"/>
      <c r="AN1326" s="458"/>
      <c r="BC1326" s="169"/>
    </row>
    <row r="1327" spans="19:55" ht="15.75" customHeight="1">
      <c r="S1327" s="454"/>
      <c r="AN1327" s="458"/>
      <c r="BC1327" s="169"/>
    </row>
    <row r="1328" spans="19:55" ht="15.75" customHeight="1">
      <c r="S1328" s="454"/>
      <c r="AN1328" s="458"/>
      <c r="BC1328" s="169"/>
    </row>
    <row r="1329" spans="19:55" ht="15.75" customHeight="1">
      <c r="S1329" s="454"/>
      <c r="AN1329" s="458"/>
      <c r="BC1329" s="169"/>
    </row>
    <row r="1330" spans="19:55" ht="15.75" customHeight="1">
      <c r="S1330" s="454"/>
      <c r="AN1330" s="458"/>
      <c r="BC1330" s="169"/>
    </row>
    <row r="1331" spans="19:55" ht="15.75" customHeight="1">
      <c r="S1331" s="454"/>
      <c r="AN1331" s="458"/>
      <c r="BC1331" s="169"/>
    </row>
    <row r="1332" spans="19:55" ht="15.75" customHeight="1">
      <c r="S1332" s="454"/>
      <c r="AN1332" s="458"/>
      <c r="BC1332" s="169"/>
    </row>
    <row r="1333" spans="19:55" ht="15.75" customHeight="1">
      <c r="S1333" s="454"/>
      <c r="AN1333" s="458"/>
      <c r="BC1333" s="169"/>
    </row>
    <row r="1334" spans="19:55" ht="15.75" customHeight="1">
      <c r="S1334" s="454"/>
      <c r="AN1334" s="458"/>
      <c r="BC1334" s="169"/>
    </row>
    <row r="1335" spans="19:55" ht="15.75" customHeight="1">
      <c r="S1335" s="454"/>
      <c r="AN1335" s="458"/>
      <c r="BC1335" s="169"/>
    </row>
    <row r="1336" spans="19:55" ht="15.75" customHeight="1">
      <c r="S1336" s="454"/>
      <c r="AN1336" s="458"/>
      <c r="BC1336" s="169"/>
    </row>
    <row r="1337" spans="19:55" ht="15.75" customHeight="1">
      <c r="S1337" s="454"/>
      <c r="AN1337" s="458"/>
      <c r="BC1337" s="169"/>
    </row>
    <row r="1338" spans="19:55" ht="15.75" customHeight="1">
      <c r="S1338" s="454"/>
      <c r="AN1338" s="458"/>
      <c r="BC1338" s="169"/>
    </row>
    <row r="1339" spans="19:55" ht="15.75" customHeight="1">
      <c r="S1339" s="454"/>
      <c r="AN1339" s="458"/>
      <c r="BC1339" s="169"/>
    </row>
    <row r="1340" spans="19:55" ht="15.75" customHeight="1">
      <c r="S1340" s="454"/>
      <c r="AN1340" s="458"/>
      <c r="BC1340" s="169"/>
    </row>
    <row r="1341" spans="19:55" ht="15.75" customHeight="1">
      <c r="S1341" s="454"/>
      <c r="AN1341" s="458"/>
      <c r="BC1341" s="169"/>
    </row>
    <row r="1342" spans="19:55" ht="15.75" customHeight="1">
      <c r="S1342" s="454"/>
      <c r="AN1342" s="458"/>
      <c r="BC1342" s="169"/>
    </row>
    <row r="1343" spans="19:55" ht="15.75" customHeight="1">
      <c r="S1343" s="454"/>
      <c r="AN1343" s="458"/>
      <c r="BC1343" s="169"/>
    </row>
    <row r="1344" spans="19:55" ht="15.75" customHeight="1">
      <c r="S1344" s="454"/>
      <c r="AN1344" s="458"/>
      <c r="BC1344" s="169"/>
    </row>
    <row r="1345" spans="19:55" ht="15.75" customHeight="1">
      <c r="S1345" s="454"/>
      <c r="AN1345" s="458"/>
      <c r="BC1345" s="169"/>
    </row>
    <row r="1346" spans="19:55" ht="15.75" customHeight="1">
      <c r="S1346" s="454"/>
      <c r="AN1346" s="458"/>
      <c r="BC1346" s="169"/>
    </row>
    <row r="1347" spans="19:55" ht="15.75" customHeight="1">
      <c r="S1347" s="454"/>
      <c r="AN1347" s="458"/>
      <c r="BC1347" s="169"/>
    </row>
    <row r="1348" spans="19:55" ht="15.75" customHeight="1">
      <c r="S1348" s="454"/>
      <c r="AN1348" s="458"/>
      <c r="BC1348" s="169"/>
    </row>
    <row r="1349" spans="19:55" ht="15.75" customHeight="1">
      <c r="S1349" s="454"/>
      <c r="AN1349" s="458"/>
      <c r="BC1349" s="169"/>
    </row>
    <row r="1350" spans="19:55" ht="15.75" customHeight="1">
      <c r="S1350" s="454"/>
      <c r="AN1350" s="458"/>
      <c r="BC1350" s="169"/>
    </row>
    <row r="1351" spans="19:55" ht="15.75" customHeight="1">
      <c r="S1351" s="454"/>
      <c r="AN1351" s="458"/>
      <c r="BC1351" s="169"/>
    </row>
    <row r="1352" spans="19:55" ht="15.75" customHeight="1">
      <c r="S1352" s="454"/>
      <c r="AN1352" s="458"/>
      <c r="BC1352" s="169"/>
    </row>
    <row r="1353" spans="19:55" ht="15.75" customHeight="1">
      <c r="S1353" s="454"/>
      <c r="AN1353" s="458"/>
      <c r="BC1353" s="169"/>
    </row>
    <row r="1354" spans="19:55" ht="15.75" customHeight="1">
      <c r="S1354" s="454"/>
      <c r="AN1354" s="458"/>
      <c r="BC1354" s="169"/>
    </row>
    <row r="1355" spans="19:55" ht="15.75" customHeight="1">
      <c r="S1355" s="454"/>
      <c r="AN1355" s="458"/>
      <c r="BC1355" s="169"/>
    </row>
    <row r="1356" spans="19:55" ht="15.75" customHeight="1">
      <c r="S1356" s="454"/>
      <c r="AN1356" s="458"/>
      <c r="BC1356" s="169"/>
    </row>
    <row r="1357" spans="19:55" ht="15.75" customHeight="1">
      <c r="S1357" s="454"/>
      <c r="AN1357" s="458"/>
      <c r="BC1357" s="169"/>
    </row>
    <row r="1358" spans="19:55" ht="15.75" customHeight="1">
      <c r="S1358" s="454"/>
      <c r="AN1358" s="458"/>
      <c r="BC1358" s="169"/>
    </row>
    <row r="1359" spans="19:55" ht="15.75" customHeight="1">
      <c r="S1359" s="454"/>
      <c r="AN1359" s="458"/>
      <c r="BC1359" s="169"/>
    </row>
    <row r="1360" spans="19:55" ht="15.75" customHeight="1">
      <c r="S1360" s="454"/>
      <c r="AN1360" s="458"/>
      <c r="BC1360" s="169"/>
    </row>
    <row r="1361" spans="19:55" ht="15.75" customHeight="1">
      <c r="S1361" s="454"/>
      <c r="AN1361" s="458"/>
      <c r="BC1361" s="169"/>
    </row>
    <row r="1362" spans="19:55" ht="15.75" customHeight="1">
      <c r="S1362" s="454"/>
      <c r="AN1362" s="458"/>
      <c r="BC1362" s="169"/>
    </row>
    <row r="1363" spans="19:55" ht="15.75" customHeight="1">
      <c r="S1363" s="454"/>
      <c r="AN1363" s="458"/>
      <c r="BC1363" s="169"/>
    </row>
    <row r="1364" spans="19:55" ht="15.75" customHeight="1">
      <c r="S1364" s="454"/>
      <c r="AN1364" s="458"/>
      <c r="BC1364" s="169"/>
    </row>
    <row r="1365" spans="19:55" ht="15.75" customHeight="1">
      <c r="S1365" s="454"/>
      <c r="AN1365" s="458"/>
      <c r="BC1365" s="169"/>
    </row>
    <row r="1366" spans="19:55" ht="15.75" customHeight="1">
      <c r="S1366" s="454"/>
      <c r="AN1366" s="458"/>
      <c r="BC1366" s="169"/>
    </row>
    <row r="1367" spans="19:55" ht="15.75" customHeight="1">
      <c r="S1367" s="454"/>
      <c r="AN1367" s="458"/>
      <c r="BC1367" s="169"/>
    </row>
    <row r="1368" spans="19:55" ht="15.75" customHeight="1">
      <c r="S1368" s="454"/>
      <c r="AN1368" s="458"/>
      <c r="BC1368" s="169"/>
    </row>
    <row r="1369" spans="19:55" ht="15.75" customHeight="1">
      <c r="S1369" s="454"/>
      <c r="AN1369" s="458"/>
      <c r="BC1369" s="169"/>
    </row>
    <row r="1370" spans="19:55" ht="15.75" customHeight="1">
      <c r="S1370" s="454"/>
      <c r="AN1370" s="458"/>
      <c r="BC1370" s="169"/>
    </row>
    <row r="1371" spans="19:55" ht="15.75" customHeight="1">
      <c r="S1371" s="454"/>
      <c r="AN1371" s="458"/>
      <c r="BC1371" s="169"/>
    </row>
    <row r="1372" spans="19:55" ht="15.75" customHeight="1">
      <c r="S1372" s="454"/>
      <c r="AN1372" s="458"/>
      <c r="BC1372" s="169"/>
    </row>
    <row r="1373" spans="19:55" ht="15.75" customHeight="1">
      <c r="S1373" s="454"/>
      <c r="AN1373" s="458"/>
      <c r="BC1373" s="169"/>
    </row>
    <row r="1374" spans="19:55" ht="15.75" customHeight="1">
      <c r="S1374" s="454"/>
      <c r="AN1374" s="458"/>
      <c r="BC1374" s="169"/>
    </row>
    <row r="1375" spans="19:55" ht="15.75" customHeight="1">
      <c r="S1375" s="454"/>
      <c r="AN1375" s="458"/>
      <c r="BC1375" s="169"/>
    </row>
    <row r="1376" spans="19:55" ht="15.75" customHeight="1">
      <c r="S1376" s="454"/>
      <c r="AN1376" s="458"/>
      <c r="BC1376" s="169"/>
    </row>
    <row r="1377" spans="19:55" ht="15.75" customHeight="1">
      <c r="S1377" s="454"/>
      <c r="AN1377" s="458"/>
      <c r="BC1377" s="169"/>
    </row>
    <row r="1378" spans="19:55" ht="15.75" customHeight="1">
      <c r="S1378" s="454"/>
      <c r="AN1378" s="458"/>
      <c r="BC1378" s="169"/>
    </row>
    <row r="1379" spans="19:55" ht="15.75" customHeight="1">
      <c r="S1379" s="454"/>
      <c r="AN1379" s="458"/>
      <c r="BC1379" s="169"/>
    </row>
    <row r="1380" spans="19:55" ht="15.75" customHeight="1">
      <c r="S1380" s="454"/>
      <c r="AN1380" s="458"/>
      <c r="BC1380" s="169"/>
    </row>
    <row r="1381" spans="19:55" ht="15.75" customHeight="1">
      <c r="S1381" s="454"/>
      <c r="AN1381" s="458"/>
      <c r="BC1381" s="169"/>
    </row>
    <row r="1382" spans="19:55" ht="15.75" customHeight="1">
      <c r="S1382" s="454"/>
      <c r="AN1382" s="458"/>
      <c r="BC1382" s="169"/>
    </row>
    <row r="1383" spans="19:55" ht="15.75" customHeight="1">
      <c r="S1383" s="454"/>
      <c r="AN1383" s="458"/>
      <c r="BC1383" s="169"/>
    </row>
    <row r="1384" spans="19:55" ht="15.75" customHeight="1">
      <c r="S1384" s="454"/>
      <c r="AN1384" s="458"/>
      <c r="BC1384" s="169"/>
    </row>
    <row r="1385" spans="19:55" ht="15.75" customHeight="1">
      <c r="S1385" s="454"/>
      <c r="AN1385" s="458"/>
      <c r="BC1385" s="169"/>
    </row>
    <row r="1386" spans="19:55" ht="15.75" customHeight="1">
      <c r="S1386" s="454"/>
      <c r="AN1386" s="458"/>
      <c r="BC1386" s="169"/>
    </row>
    <row r="1387" spans="19:55" ht="15.75" customHeight="1">
      <c r="S1387" s="454"/>
      <c r="AN1387" s="458"/>
      <c r="BC1387" s="169"/>
    </row>
    <row r="1388" spans="19:55" ht="15.75" customHeight="1">
      <c r="S1388" s="454"/>
      <c r="AN1388" s="458"/>
      <c r="BC1388" s="169"/>
    </row>
    <row r="1389" spans="19:55" ht="15.75" customHeight="1">
      <c r="S1389" s="454"/>
      <c r="AN1389" s="458"/>
      <c r="BC1389" s="169"/>
    </row>
    <row r="1390" spans="19:55" ht="15.75" customHeight="1">
      <c r="S1390" s="454"/>
      <c r="AN1390" s="458"/>
      <c r="BC1390" s="169"/>
    </row>
    <row r="1391" spans="19:55" ht="15.75" customHeight="1">
      <c r="S1391" s="454"/>
      <c r="AN1391" s="458"/>
      <c r="BC1391" s="169"/>
    </row>
    <row r="1392" spans="19:55" ht="15.75" customHeight="1">
      <c r="S1392" s="454"/>
      <c r="AN1392" s="458"/>
      <c r="BC1392" s="169"/>
    </row>
    <row r="1393" spans="19:55" ht="15.75" customHeight="1">
      <c r="S1393" s="454"/>
      <c r="AN1393" s="458"/>
      <c r="BC1393" s="169"/>
    </row>
    <row r="1394" spans="19:55" ht="15.75" customHeight="1">
      <c r="S1394" s="454"/>
      <c r="AN1394" s="458"/>
      <c r="BC1394" s="169"/>
    </row>
    <row r="1395" spans="19:55" ht="15.75" customHeight="1">
      <c r="S1395" s="454"/>
      <c r="AN1395" s="458"/>
      <c r="BC1395" s="169"/>
    </row>
    <row r="1396" spans="19:55" ht="15.75" customHeight="1">
      <c r="S1396" s="454"/>
      <c r="AN1396" s="458"/>
      <c r="BC1396" s="169"/>
    </row>
    <row r="1397" spans="19:55" ht="15.75" customHeight="1">
      <c r="S1397" s="454"/>
      <c r="AN1397" s="458"/>
      <c r="BC1397" s="169"/>
    </row>
    <row r="1398" spans="19:55" ht="15.75" customHeight="1">
      <c r="S1398" s="454"/>
      <c r="AN1398" s="458"/>
      <c r="BC1398" s="169"/>
    </row>
    <row r="1399" spans="19:55" ht="15.75" customHeight="1">
      <c r="S1399" s="454"/>
      <c r="AN1399" s="458"/>
      <c r="BC1399" s="169"/>
    </row>
    <row r="1400" spans="19:55" ht="15.75" customHeight="1">
      <c r="S1400" s="454"/>
      <c r="AN1400" s="458"/>
      <c r="BC1400" s="169"/>
    </row>
    <row r="1401" spans="19:55" ht="15.75" customHeight="1">
      <c r="S1401" s="454"/>
      <c r="AN1401" s="458"/>
      <c r="BC1401" s="169"/>
    </row>
    <row r="1402" spans="19:55" ht="15.75" customHeight="1">
      <c r="S1402" s="454"/>
      <c r="AN1402" s="458"/>
      <c r="BC1402" s="169"/>
    </row>
    <row r="1403" spans="19:55" ht="15.75" customHeight="1">
      <c r="S1403" s="454"/>
      <c r="AN1403" s="458"/>
      <c r="BC1403" s="169"/>
    </row>
    <row r="1404" spans="19:55" ht="15.75" customHeight="1">
      <c r="S1404" s="454"/>
      <c r="AN1404" s="458"/>
      <c r="BC1404" s="169"/>
    </row>
    <row r="1405" spans="19:55" ht="15.75" customHeight="1">
      <c r="S1405" s="454"/>
      <c r="AN1405" s="458"/>
      <c r="BC1405" s="169"/>
    </row>
    <row r="1406" spans="19:55" ht="15.75" customHeight="1">
      <c r="S1406" s="454"/>
      <c r="AN1406" s="458"/>
      <c r="BC1406" s="169"/>
    </row>
    <row r="1407" spans="19:55" ht="15.75" customHeight="1">
      <c r="S1407" s="454"/>
      <c r="AN1407" s="458"/>
      <c r="BC1407" s="169"/>
    </row>
    <row r="1408" spans="19:55" ht="15.75" customHeight="1">
      <c r="S1408" s="454"/>
      <c r="AN1408" s="458"/>
      <c r="BC1408" s="169"/>
    </row>
    <row r="1409" spans="19:55" ht="15.75" customHeight="1">
      <c r="S1409" s="454"/>
      <c r="AN1409" s="458"/>
      <c r="BC1409" s="169"/>
    </row>
    <row r="1410" spans="19:55" ht="15.75" customHeight="1">
      <c r="S1410" s="454"/>
      <c r="AN1410" s="458"/>
      <c r="BC1410" s="169"/>
    </row>
    <row r="1411" spans="19:55" ht="15.75" customHeight="1">
      <c r="S1411" s="454"/>
      <c r="AN1411" s="458"/>
      <c r="BC1411" s="169"/>
    </row>
    <row r="1412" spans="19:55" ht="15.75" customHeight="1">
      <c r="S1412" s="454"/>
      <c r="AN1412" s="458"/>
      <c r="BC1412" s="169"/>
    </row>
    <row r="1413" spans="19:55" ht="15.75" customHeight="1">
      <c r="S1413" s="454"/>
      <c r="AN1413" s="458"/>
      <c r="BC1413" s="169"/>
    </row>
    <row r="1414" spans="19:55" ht="15.75" customHeight="1">
      <c r="S1414" s="454"/>
      <c r="AN1414" s="458"/>
      <c r="BC1414" s="169"/>
    </row>
    <row r="1415" spans="19:55" ht="15.75" customHeight="1">
      <c r="S1415" s="454"/>
      <c r="AN1415" s="458"/>
      <c r="BC1415" s="169"/>
    </row>
    <row r="1416" spans="19:55" ht="15.75" customHeight="1">
      <c r="S1416" s="454"/>
      <c r="AN1416" s="458"/>
      <c r="BC1416" s="169"/>
    </row>
    <row r="1417" spans="19:55" ht="15.75" customHeight="1">
      <c r="S1417" s="454"/>
      <c r="AN1417" s="458"/>
      <c r="BC1417" s="169"/>
    </row>
    <row r="1418" spans="19:55" ht="15.75" customHeight="1">
      <c r="S1418" s="454"/>
      <c r="AN1418" s="458"/>
      <c r="BC1418" s="169"/>
    </row>
    <row r="1419" spans="19:55" ht="15.75" customHeight="1">
      <c r="S1419" s="454"/>
      <c r="AN1419" s="458"/>
      <c r="BC1419" s="169"/>
    </row>
    <row r="1420" spans="19:55" ht="15.75" customHeight="1">
      <c r="S1420" s="454"/>
      <c r="AN1420" s="458"/>
      <c r="BC1420" s="169"/>
    </row>
    <row r="1421" spans="19:55" ht="15.75" customHeight="1">
      <c r="S1421" s="454"/>
      <c r="AN1421" s="458"/>
      <c r="BC1421" s="169"/>
    </row>
    <row r="1422" spans="19:55" ht="15.75" customHeight="1">
      <c r="S1422" s="454"/>
      <c r="AN1422" s="458"/>
      <c r="BC1422" s="169"/>
    </row>
    <row r="1423" spans="19:55" ht="15.75" customHeight="1">
      <c r="S1423" s="454"/>
      <c r="AN1423" s="458"/>
      <c r="BC1423" s="169"/>
    </row>
    <row r="1424" spans="19:55" ht="15.75" customHeight="1">
      <c r="S1424" s="454"/>
      <c r="AN1424" s="458"/>
      <c r="BC1424" s="169"/>
    </row>
    <row r="1425" spans="19:55" ht="15.75" customHeight="1">
      <c r="S1425" s="454"/>
      <c r="AN1425" s="458"/>
      <c r="BC1425" s="169"/>
    </row>
    <row r="1426" spans="19:55" ht="15.75" customHeight="1">
      <c r="S1426" s="454"/>
      <c r="AN1426" s="458"/>
      <c r="BC1426" s="169"/>
    </row>
    <row r="1427" spans="19:55" ht="15.75" customHeight="1">
      <c r="S1427" s="454"/>
      <c r="AN1427" s="458"/>
      <c r="BC1427" s="169"/>
    </row>
    <row r="1428" spans="19:55" ht="15.75" customHeight="1">
      <c r="S1428" s="454"/>
      <c r="AN1428" s="458"/>
      <c r="BC1428" s="169"/>
    </row>
    <row r="1429" spans="19:55" ht="15.75" customHeight="1">
      <c r="S1429" s="454"/>
      <c r="AN1429" s="458"/>
      <c r="BC1429" s="169"/>
    </row>
    <row r="1430" spans="19:55" ht="15.75" customHeight="1">
      <c r="S1430" s="454"/>
      <c r="AN1430" s="458"/>
      <c r="BC1430" s="169"/>
    </row>
    <row r="1431" spans="19:55" ht="15.75" customHeight="1">
      <c r="S1431" s="454"/>
      <c r="AN1431" s="458"/>
      <c r="BC1431" s="169"/>
    </row>
    <row r="1432" spans="19:55" ht="15.75" customHeight="1">
      <c r="S1432" s="454"/>
      <c r="AN1432" s="458"/>
      <c r="BC1432" s="169"/>
    </row>
    <row r="1433" spans="19:55" ht="15.75" customHeight="1">
      <c r="S1433" s="454"/>
      <c r="AN1433" s="458"/>
      <c r="BC1433" s="169"/>
    </row>
    <row r="1434" spans="19:55" ht="15.75" customHeight="1">
      <c r="S1434" s="454"/>
      <c r="AN1434" s="458"/>
      <c r="BC1434" s="169"/>
    </row>
    <row r="1435" spans="19:55" ht="15.75" customHeight="1">
      <c r="S1435" s="454"/>
      <c r="AN1435" s="458"/>
      <c r="BC1435" s="169"/>
    </row>
    <row r="1436" spans="19:55" ht="15.75" customHeight="1">
      <c r="S1436" s="454"/>
      <c r="AN1436" s="458"/>
      <c r="BC1436" s="169"/>
    </row>
    <row r="1437" spans="19:55" ht="15.75" customHeight="1">
      <c r="S1437" s="454"/>
      <c r="AN1437" s="458"/>
      <c r="BC1437" s="169"/>
    </row>
    <row r="1438" spans="19:55" ht="15.75" customHeight="1">
      <c r="S1438" s="454"/>
      <c r="AN1438" s="458"/>
      <c r="BC1438" s="169"/>
    </row>
    <row r="1439" spans="19:55" ht="15.75" customHeight="1">
      <c r="S1439" s="454"/>
      <c r="AN1439" s="458"/>
      <c r="BC1439" s="169"/>
    </row>
    <row r="1440" spans="19:55" ht="15.75" customHeight="1">
      <c r="S1440" s="454"/>
      <c r="AN1440" s="458"/>
      <c r="BC1440" s="169"/>
    </row>
    <row r="1441" spans="19:55" ht="15.75" customHeight="1">
      <c r="S1441" s="454"/>
      <c r="AN1441" s="458"/>
      <c r="BC1441" s="169"/>
    </row>
    <row r="1442" spans="19:55" ht="15.75" customHeight="1">
      <c r="S1442" s="454"/>
      <c r="AN1442" s="458"/>
      <c r="BC1442" s="169"/>
    </row>
    <row r="1443" spans="19:55" ht="15.75" customHeight="1">
      <c r="S1443" s="454"/>
      <c r="AN1443" s="458"/>
      <c r="BC1443" s="169"/>
    </row>
    <row r="1444" spans="19:55" ht="15.75" customHeight="1">
      <c r="S1444" s="454"/>
      <c r="AN1444" s="458"/>
      <c r="BC1444" s="169"/>
    </row>
    <row r="1445" spans="19:55" ht="15.75" customHeight="1">
      <c r="S1445" s="454"/>
      <c r="AN1445" s="458"/>
      <c r="BC1445" s="169"/>
    </row>
    <row r="1446" spans="19:55" ht="15.75" customHeight="1">
      <c r="S1446" s="454"/>
      <c r="AN1446" s="458"/>
      <c r="BC1446" s="169"/>
    </row>
    <row r="1447" spans="19:55" ht="15.75" customHeight="1">
      <c r="S1447" s="454"/>
      <c r="AN1447" s="458"/>
      <c r="BC1447" s="169"/>
    </row>
    <row r="1448" spans="19:55" ht="15.75" customHeight="1">
      <c r="S1448" s="454"/>
      <c r="AN1448" s="458"/>
      <c r="BC1448" s="169"/>
    </row>
    <row r="1449" spans="19:55" ht="15.75" customHeight="1">
      <c r="S1449" s="454"/>
      <c r="AN1449" s="458"/>
      <c r="BC1449" s="169"/>
    </row>
    <row r="1450" spans="19:55" ht="15.75" customHeight="1">
      <c r="S1450" s="454"/>
      <c r="AN1450" s="458"/>
      <c r="BC1450" s="169"/>
    </row>
    <row r="1451" spans="19:55" ht="15.75" customHeight="1">
      <c r="S1451" s="454"/>
      <c r="AN1451" s="458"/>
      <c r="BC1451" s="169"/>
    </row>
    <row r="1452" spans="19:55" ht="15.75" customHeight="1">
      <c r="S1452" s="454"/>
      <c r="AN1452" s="458"/>
      <c r="BC1452" s="169"/>
    </row>
    <row r="1453" spans="19:55" ht="15.75" customHeight="1">
      <c r="S1453" s="454"/>
      <c r="AN1453" s="458"/>
      <c r="BC1453" s="169"/>
    </row>
    <row r="1454" spans="19:55" ht="15.75" customHeight="1">
      <c r="S1454" s="454"/>
      <c r="AN1454" s="458"/>
      <c r="BC1454" s="169"/>
    </row>
    <row r="1455" spans="19:55" ht="15.75" customHeight="1">
      <c r="S1455" s="454"/>
      <c r="AN1455" s="458"/>
      <c r="BC1455" s="169"/>
    </row>
    <row r="1456" spans="19:55" ht="15.75" customHeight="1">
      <c r="S1456" s="454"/>
      <c r="AN1456" s="458"/>
      <c r="BC1456" s="169"/>
    </row>
    <row r="1457" spans="19:55" ht="15.75" customHeight="1">
      <c r="S1457" s="454"/>
      <c r="AN1457" s="458"/>
      <c r="BC1457" s="169"/>
    </row>
    <row r="1458" spans="19:55" ht="15.75" customHeight="1">
      <c r="S1458" s="454"/>
      <c r="AN1458" s="458"/>
      <c r="BC1458" s="169"/>
    </row>
    <row r="1459" spans="19:55" ht="15.75" customHeight="1">
      <c r="S1459" s="454"/>
      <c r="AN1459" s="458"/>
      <c r="BC1459" s="169"/>
    </row>
    <row r="1460" spans="19:55" ht="15.75" customHeight="1">
      <c r="S1460" s="454"/>
      <c r="AN1460" s="458"/>
      <c r="BC1460" s="169"/>
    </row>
    <row r="1461" spans="19:55" ht="15.75" customHeight="1">
      <c r="S1461" s="454"/>
      <c r="AN1461" s="458"/>
      <c r="BC1461" s="169"/>
    </row>
    <row r="1462" spans="19:55" ht="15.75" customHeight="1">
      <c r="S1462" s="454"/>
      <c r="AN1462" s="458"/>
      <c r="BC1462" s="169"/>
    </row>
    <row r="1463" spans="19:55" ht="15.75" customHeight="1">
      <c r="S1463" s="454"/>
      <c r="AN1463" s="458"/>
      <c r="BC1463" s="169"/>
    </row>
    <row r="1464" spans="19:55" ht="15.75" customHeight="1">
      <c r="S1464" s="454"/>
      <c r="AN1464" s="458"/>
      <c r="BC1464" s="169"/>
    </row>
    <row r="1465" spans="19:55" ht="15.75" customHeight="1">
      <c r="S1465" s="454"/>
      <c r="AN1465" s="458"/>
      <c r="BC1465" s="169"/>
    </row>
    <row r="1466" spans="19:55" ht="15.75" customHeight="1">
      <c r="S1466" s="454"/>
      <c r="AN1466" s="458"/>
      <c r="BC1466" s="169"/>
    </row>
    <row r="1467" spans="19:55" ht="15.75" customHeight="1">
      <c r="S1467" s="454"/>
      <c r="AN1467" s="458"/>
      <c r="BC1467" s="169"/>
    </row>
    <row r="1468" spans="19:55" ht="15.75" customHeight="1">
      <c r="S1468" s="454"/>
      <c r="AN1468" s="458"/>
      <c r="BC1468" s="169"/>
    </row>
    <row r="1469" spans="19:55" ht="15.75" customHeight="1">
      <c r="S1469" s="454"/>
      <c r="AN1469" s="458"/>
      <c r="BC1469" s="169"/>
    </row>
    <row r="1470" spans="19:55" ht="15.75" customHeight="1">
      <c r="S1470" s="454"/>
      <c r="AN1470" s="458"/>
      <c r="BC1470" s="169"/>
    </row>
    <row r="1471" spans="19:55" ht="15.75" customHeight="1">
      <c r="S1471" s="454"/>
      <c r="AN1471" s="458"/>
      <c r="BC1471" s="169"/>
    </row>
    <row r="1472" spans="19:55" ht="15.75" customHeight="1">
      <c r="S1472" s="454"/>
      <c r="AN1472" s="458"/>
      <c r="BC1472" s="169"/>
    </row>
    <row r="1473" spans="19:55" ht="15.75" customHeight="1">
      <c r="S1473" s="454"/>
      <c r="AN1473" s="458"/>
      <c r="BC1473" s="169"/>
    </row>
    <row r="1474" spans="19:55" ht="15.75" customHeight="1">
      <c r="S1474" s="454"/>
      <c r="AN1474" s="458"/>
      <c r="BC1474" s="169"/>
    </row>
    <row r="1475" spans="19:55" ht="15.75" customHeight="1">
      <c r="S1475" s="454"/>
      <c r="AN1475" s="458"/>
      <c r="BC1475" s="169"/>
    </row>
    <row r="1476" spans="19:55" ht="15.75" customHeight="1">
      <c r="S1476" s="454"/>
      <c r="AN1476" s="458"/>
      <c r="BC1476" s="169"/>
    </row>
    <row r="1477" spans="19:55" ht="15.75" customHeight="1">
      <c r="S1477" s="454"/>
      <c r="AN1477" s="458"/>
      <c r="BC1477" s="169"/>
    </row>
    <row r="1478" spans="19:55" ht="15.75" customHeight="1">
      <c r="S1478" s="454"/>
      <c r="AN1478" s="458"/>
      <c r="BC1478" s="169"/>
    </row>
    <row r="1479" spans="19:55" ht="15.75" customHeight="1">
      <c r="S1479" s="454"/>
      <c r="AN1479" s="458"/>
      <c r="BC1479" s="169"/>
    </row>
    <row r="1480" spans="19:55" ht="15.75" customHeight="1">
      <c r="S1480" s="454"/>
      <c r="AN1480" s="458"/>
      <c r="BC1480" s="169"/>
    </row>
    <row r="1481" spans="19:55" ht="15.75" customHeight="1">
      <c r="S1481" s="454"/>
      <c r="AN1481" s="458"/>
      <c r="BC1481" s="169"/>
    </row>
    <row r="1482" spans="19:55" ht="15.75" customHeight="1">
      <c r="S1482" s="454"/>
      <c r="AN1482" s="458"/>
      <c r="BC1482" s="169"/>
    </row>
    <row r="1483" spans="19:55" ht="15.75" customHeight="1">
      <c r="S1483" s="454"/>
      <c r="AN1483" s="458"/>
      <c r="BC1483" s="169"/>
    </row>
    <row r="1484" spans="19:55" ht="15.75" customHeight="1">
      <c r="S1484" s="454"/>
      <c r="AN1484" s="458"/>
      <c r="BC1484" s="169"/>
    </row>
    <row r="1485" spans="19:55" ht="15.75" customHeight="1">
      <c r="S1485" s="454"/>
      <c r="AN1485" s="458"/>
      <c r="BC1485" s="169"/>
    </row>
    <row r="1486" spans="19:55" ht="15.75" customHeight="1">
      <c r="S1486" s="454"/>
      <c r="AN1486" s="458"/>
      <c r="BC1486" s="169"/>
    </row>
    <row r="1487" spans="19:55" ht="15.75" customHeight="1">
      <c r="S1487" s="454"/>
      <c r="AN1487" s="458"/>
      <c r="BC1487" s="169"/>
    </row>
    <row r="1488" spans="19:55" ht="15.75" customHeight="1">
      <c r="S1488" s="454"/>
      <c r="AN1488" s="458"/>
      <c r="BC1488" s="169"/>
    </row>
    <row r="1489" spans="19:55" ht="15.75" customHeight="1">
      <c r="S1489" s="454"/>
      <c r="AN1489" s="458"/>
      <c r="BC1489" s="169"/>
    </row>
    <row r="1490" spans="19:55" ht="15.75" customHeight="1">
      <c r="S1490" s="454"/>
      <c r="AN1490" s="458"/>
      <c r="BC1490" s="169"/>
    </row>
    <row r="1491" spans="19:55" ht="15.75" customHeight="1">
      <c r="S1491" s="454"/>
      <c r="AN1491" s="458"/>
      <c r="BC1491" s="169"/>
    </row>
    <row r="1492" spans="19:55" ht="15.75" customHeight="1">
      <c r="S1492" s="454"/>
      <c r="AN1492" s="458"/>
      <c r="BC1492" s="169"/>
    </row>
    <row r="1493" spans="19:55" ht="15.75" customHeight="1">
      <c r="S1493" s="454"/>
      <c r="AN1493" s="458"/>
      <c r="BC1493" s="169"/>
    </row>
    <row r="1494" spans="19:55" ht="15.75" customHeight="1">
      <c r="AN1494" s="458"/>
      <c r="BC1494" s="169"/>
    </row>
    <row r="1495" spans="19:55" ht="15.75" customHeight="1">
      <c r="AN1495" s="458"/>
      <c r="BC1495" s="169"/>
    </row>
    <row r="1496" spans="19:55" ht="15.75" customHeight="1">
      <c r="AN1496" s="458"/>
      <c r="BC1496" s="169"/>
    </row>
    <row r="1497" spans="19:55" ht="15.75" customHeight="1">
      <c r="AN1497" s="458"/>
      <c r="BC1497" s="169"/>
    </row>
    <row r="1498" spans="19:55" ht="15.75" customHeight="1">
      <c r="AN1498" s="458"/>
      <c r="BC1498" s="169"/>
    </row>
    <row r="1499" spans="19:55" ht="15.75" customHeight="1">
      <c r="AN1499" s="458"/>
      <c r="BC1499" s="169"/>
    </row>
    <row r="1500" spans="19:55" ht="15.75" customHeight="1">
      <c r="AN1500" s="458"/>
      <c r="BC1500" s="169"/>
    </row>
    <row r="1501" spans="19:55" ht="15.75" customHeight="1">
      <c r="AN1501" s="458"/>
      <c r="BC1501" s="169"/>
    </row>
    <row r="1502" spans="19:55" ht="15.75" customHeight="1">
      <c r="AN1502" s="458"/>
      <c r="BC1502" s="169"/>
    </row>
    <row r="1503" spans="19:55" ht="15.75" customHeight="1">
      <c r="AN1503" s="458"/>
      <c r="BC1503" s="169"/>
    </row>
    <row r="1504" spans="19:55" ht="15.75" customHeight="1">
      <c r="AN1504" s="458"/>
      <c r="BC1504" s="169"/>
    </row>
    <row r="1505" spans="40:55" ht="15.75" customHeight="1">
      <c r="AN1505" s="458"/>
      <c r="BC1505" s="169"/>
    </row>
    <row r="1506" spans="40:55" ht="15.75" customHeight="1">
      <c r="AN1506" s="458"/>
      <c r="BC1506" s="169"/>
    </row>
    <row r="1507" spans="40:55" ht="15.75" customHeight="1">
      <c r="AN1507" s="458"/>
      <c r="BC1507" s="169"/>
    </row>
    <row r="1508" spans="40:55" ht="15.75" customHeight="1">
      <c r="AN1508" s="458"/>
      <c r="BC1508" s="169"/>
    </row>
    <row r="1509" spans="40:55" ht="15.75" customHeight="1">
      <c r="AN1509" s="458"/>
      <c r="BC1509" s="169"/>
    </row>
    <row r="1510" spans="40:55" ht="15.75" customHeight="1">
      <c r="AN1510" s="458"/>
      <c r="BC1510" s="169"/>
    </row>
    <row r="1511" spans="40:55" ht="15.75" customHeight="1">
      <c r="AN1511" s="458"/>
      <c r="BC1511" s="169"/>
    </row>
    <row r="1512" spans="40:55" ht="15.75" customHeight="1">
      <c r="AN1512" s="458"/>
      <c r="BC1512" s="169"/>
    </row>
    <row r="1513" spans="40:55" ht="15.75" customHeight="1">
      <c r="AN1513" s="458"/>
      <c r="BC1513" s="169"/>
    </row>
    <row r="1514" spans="40:55" ht="15.75" customHeight="1">
      <c r="AN1514" s="458"/>
      <c r="BC1514" s="169"/>
    </row>
    <row r="1515" spans="40:55" ht="15.75" customHeight="1">
      <c r="AN1515" s="458"/>
      <c r="BC1515" s="169"/>
    </row>
    <row r="1516" spans="40:55" ht="15.75" customHeight="1">
      <c r="AN1516" s="458"/>
      <c r="BC1516" s="169"/>
    </row>
    <row r="1517" spans="40:55" ht="15.75" customHeight="1">
      <c r="AN1517" s="458"/>
      <c r="BC1517" s="169"/>
    </row>
    <row r="1518" spans="40:55" ht="15.75" customHeight="1">
      <c r="AN1518" s="458"/>
      <c r="BC1518" s="169"/>
    </row>
    <row r="1519" spans="40:55" ht="15.75" customHeight="1">
      <c r="AN1519" s="458"/>
      <c r="BC1519" s="169"/>
    </row>
    <row r="1520" spans="40:55" ht="15.75" customHeight="1">
      <c r="AN1520" s="458"/>
      <c r="BC1520" s="169"/>
    </row>
    <row r="1521" spans="40:55" ht="15.75" customHeight="1">
      <c r="AN1521" s="458"/>
      <c r="BC1521" s="169"/>
    </row>
    <row r="1522" spans="40:55" ht="15.75" customHeight="1">
      <c r="AN1522" s="458"/>
      <c r="BC1522" s="169"/>
    </row>
    <row r="1523" spans="40:55" ht="15.75" customHeight="1">
      <c r="AN1523" s="458"/>
      <c r="BC1523" s="169"/>
    </row>
    <row r="1524" spans="40:55" ht="15.75" customHeight="1">
      <c r="AN1524" s="458"/>
      <c r="BC1524" s="169"/>
    </row>
    <row r="1525" spans="40:55" ht="15.75" customHeight="1">
      <c r="AN1525" s="458"/>
      <c r="BC1525" s="169"/>
    </row>
    <row r="1526" spans="40:55" ht="15.75" customHeight="1">
      <c r="AN1526" s="458"/>
      <c r="BC1526" s="169"/>
    </row>
    <row r="1527" spans="40:55" ht="15.75" customHeight="1">
      <c r="AN1527" s="458"/>
      <c r="BC1527" s="169"/>
    </row>
    <row r="1528" spans="40:55" ht="15.75" customHeight="1">
      <c r="AN1528" s="458"/>
      <c r="BC1528" s="169"/>
    </row>
    <row r="1529" spans="40:55" ht="15.75" customHeight="1">
      <c r="AN1529" s="458"/>
      <c r="BC1529" s="169"/>
    </row>
    <row r="1530" spans="40:55" ht="15.75" customHeight="1">
      <c r="AN1530" s="458"/>
      <c r="BC1530" s="169"/>
    </row>
    <row r="1531" spans="40:55" ht="15.75" customHeight="1">
      <c r="AN1531" s="458"/>
      <c r="BC1531" s="169"/>
    </row>
    <row r="1532" spans="40:55" ht="15.75" customHeight="1">
      <c r="AN1532" s="458"/>
      <c r="BC1532" s="169"/>
    </row>
    <row r="1533" spans="40:55" ht="15.75" customHeight="1">
      <c r="AN1533" s="458"/>
      <c r="BC1533" s="169"/>
    </row>
    <row r="1534" spans="40:55" ht="15.75" customHeight="1">
      <c r="AN1534" s="458"/>
      <c r="BC1534" s="169"/>
    </row>
    <row r="1535" spans="40:55" ht="15.75" customHeight="1">
      <c r="AN1535" s="458"/>
      <c r="BC1535" s="169"/>
    </row>
    <row r="1536" spans="40:55" ht="15.75" customHeight="1">
      <c r="AN1536" s="458"/>
      <c r="BC1536" s="169"/>
    </row>
    <row r="1537" spans="40:55" ht="15.75" customHeight="1">
      <c r="AN1537" s="458"/>
      <c r="BC1537" s="169"/>
    </row>
    <row r="1538" spans="40:55" ht="15.75" customHeight="1">
      <c r="AN1538" s="458"/>
      <c r="BC1538" s="169"/>
    </row>
    <row r="1539" spans="40:55" ht="15.75" customHeight="1">
      <c r="AN1539" s="458"/>
      <c r="BC1539" s="169"/>
    </row>
    <row r="1540" spans="40:55" ht="15.75" customHeight="1">
      <c r="AN1540" s="458"/>
      <c r="BC1540" s="169"/>
    </row>
    <row r="1541" spans="40:55" ht="15.75" customHeight="1">
      <c r="AN1541" s="458"/>
      <c r="BC1541" s="169"/>
    </row>
    <row r="1542" spans="40:55" ht="15.75" customHeight="1">
      <c r="AN1542" s="458"/>
      <c r="BC1542" s="169"/>
    </row>
    <row r="1543" spans="40:55" ht="15.75" customHeight="1">
      <c r="AN1543" s="458"/>
      <c r="BC1543" s="169"/>
    </row>
    <row r="1544" spans="40:55" ht="15.75" customHeight="1">
      <c r="AN1544" s="458"/>
      <c r="BC1544" s="169"/>
    </row>
    <row r="1545" spans="40:55" ht="15.75" customHeight="1">
      <c r="AN1545" s="458"/>
      <c r="BC1545" s="169"/>
    </row>
    <row r="1546" spans="40:55" ht="15.75" customHeight="1">
      <c r="AN1546" s="458"/>
      <c r="BC1546" s="169"/>
    </row>
    <row r="1547" spans="40:55" ht="15.75" customHeight="1">
      <c r="AN1547" s="458"/>
      <c r="BC1547" s="169"/>
    </row>
    <row r="1548" spans="40:55" ht="15.75" customHeight="1">
      <c r="AN1548" s="458"/>
      <c r="BC1548" s="169"/>
    </row>
    <row r="1549" spans="40:55" ht="15.75" customHeight="1">
      <c r="AN1549" s="458"/>
      <c r="BC1549" s="169"/>
    </row>
    <row r="1550" spans="40:55" ht="15.75" customHeight="1">
      <c r="AN1550" s="458"/>
      <c r="BC1550" s="169"/>
    </row>
    <row r="1551" spans="40:55" ht="15.75" customHeight="1">
      <c r="AN1551" s="458"/>
      <c r="BC1551" s="169"/>
    </row>
    <row r="1552" spans="40:55" ht="15.75" customHeight="1">
      <c r="AN1552" s="458"/>
      <c r="BC1552" s="169"/>
    </row>
    <row r="1553" spans="40:55" ht="15.75" customHeight="1">
      <c r="AN1553" s="458"/>
      <c r="BC1553" s="169"/>
    </row>
    <row r="1554" spans="40:55" ht="15.75" customHeight="1">
      <c r="AN1554" s="458"/>
      <c r="BC1554" s="169"/>
    </row>
    <row r="1555" spans="40:55" ht="15.75" customHeight="1">
      <c r="AN1555" s="458"/>
      <c r="BC1555" s="169"/>
    </row>
    <row r="1556" spans="40:55" ht="15.75" customHeight="1">
      <c r="AN1556" s="458"/>
      <c r="BC1556" s="169"/>
    </row>
    <row r="1557" spans="40:55" ht="15.75" customHeight="1">
      <c r="AN1557" s="458"/>
      <c r="BC1557" s="169"/>
    </row>
    <row r="1558" spans="40:55" ht="15.75" customHeight="1">
      <c r="AN1558" s="458"/>
      <c r="BC1558" s="169"/>
    </row>
    <row r="1559" spans="40:55" ht="15.75" customHeight="1">
      <c r="AN1559" s="458"/>
      <c r="BC1559" s="169"/>
    </row>
    <row r="1560" spans="40:55" ht="15.75" customHeight="1">
      <c r="AN1560" s="458"/>
      <c r="BC1560" s="169"/>
    </row>
    <row r="1561" spans="40:55" ht="15.75" customHeight="1">
      <c r="AN1561" s="458"/>
      <c r="BC1561" s="169"/>
    </row>
    <row r="1562" spans="40:55" ht="15.75" customHeight="1">
      <c r="AN1562" s="458"/>
      <c r="BC1562" s="169"/>
    </row>
    <row r="1563" spans="40:55" ht="15.75" customHeight="1">
      <c r="AN1563" s="458"/>
      <c r="BC1563" s="169"/>
    </row>
    <row r="1564" spans="40:55" ht="15.75" customHeight="1">
      <c r="AN1564" s="458"/>
      <c r="BC1564" s="169"/>
    </row>
    <row r="1565" spans="40:55" ht="15.75" customHeight="1">
      <c r="AN1565" s="458"/>
      <c r="BC1565" s="169"/>
    </row>
    <row r="1566" spans="40:55" ht="15.75" customHeight="1">
      <c r="AN1566" s="458"/>
      <c r="BC1566" s="169"/>
    </row>
    <row r="1567" spans="40:55" ht="15.75" customHeight="1">
      <c r="AN1567" s="458"/>
      <c r="BC1567" s="169"/>
    </row>
    <row r="1568" spans="40:55" ht="15.75" customHeight="1">
      <c r="AN1568" s="458"/>
      <c r="BC1568" s="169"/>
    </row>
    <row r="1569" spans="40:55" ht="15.75" customHeight="1">
      <c r="AN1569" s="458"/>
      <c r="BC1569" s="169"/>
    </row>
    <row r="1570" spans="40:55" ht="15.75" customHeight="1">
      <c r="AN1570" s="458"/>
      <c r="BC1570" s="169"/>
    </row>
    <row r="1571" spans="40:55" ht="15.75" customHeight="1">
      <c r="AN1571" s="458"/>
      <c r="BC1571" s="169"/>
    </row>
    <row r="1572" spans="40:55" ht="15.75" customHeight="1">
      <c r="AN1572" s="458"/>
      <c r="BC1572" s="169"/>
    </row>
    <row r="1573" spans="40:55" ht="15.75" customHeight="1">
      <c r="AN1573" s="458"/>
      <c r="BC1573" s="169"/>
    </row>
    <row r="1574" spans="40:55" ht="15.75" customHeight="1">
      <c r="AN1574" s="458"/>
      <c r="BC1574" s="169"/>
    </row>
    <row r="1575" spans="40:55" ht="15.75" customHeight="1">
      <c r="AN1575" s="458"/>
      <c r="BC1575" s="169"/>
    </row>
    <row r="1576" spans="40:55" ht="15.75" customHeight="1">
      <c r="AN1576" s="458"/>
      <c r="BC1576" s="169"/>
    </row>
    <row r="1577" spans="40:55" ht="15.75" customHeight="1">
      <c r="AN1577" s="458"/>
      <c r="BC1577" s="169"/>
    </row>
    <row r="1578" spans="40:55" ht="15.75" customHeight="1">
      <c r="AN1578" s="458"/>
      <c r="BC1578" s="169"/>
    </row>
    <row r="1579" spans="40:55" ht="15.75" customHeight="1">
      <c r="AN1579" s="458"/>
      <c r="BC1579" s="169"/>
    </row>
    <row r="1580" spans="40:55" ht="15.75" customHeight="1">
      <c r="AN1580" s="458"/>
      <c r="BC1580" s="169"/>
    </row>
    <row r="1581" spans="40:55" ht="15.75" customHeight="1">
      <c r="AN1581" s="458"/>
      <c r="BC1581" s="169"/>
    </row>
    <row r="1582" spans="40:55" ht="15.75" customHeight="1">
      <c r="AN1582" s="458"/>
      <c r="BC1582" s="169"/>
    </row>
    <row r="1583" spans="40:55" ht="15.75" customHeight="1">
      <c r="AN1583" s="458"/>
      <c r="BC1583" s="169"/>
    </row>
    <row r="1584" spans="40:55" ht="15.75" customHeight="1">
      <c r="AN1584" s="458"/>
      <c r="BC1584" s="169"/>
    </row>
    <row r="1585" spans="40:55" ht="15.75" customHeight="1">
      <c r="AN1585" s="458"/>
      <c r="BC1585" s="169"/>
    </row>
    <row r="1586" spans="40:55" ht="15.75" customHeight="1">
      <c r="AN1586" s="458"/>
      <c r="BC1586" s="169"/>
    </row>
    <row r="1587" spans="40:55" ht="15.75" customHeight="1">
      <c r="AN1587" s="458"/>
      <c r="BC1587" s="169"/>
    </row>
    <row r="1588" spans="40:55" ht="15.75" customHeight="1">
      <c r="AN1588" s="458"/>
      <c r="BC1588" s="169"/>
    </row>
    <row r="1589" spans="40:55" ht="15.75" customHeight="1">
      <c r="AN1589" s="458"/>
      <c r="BC1589" s="169"/>
    </row>
    <row r="1590" spans="40:55" ht="15.75" customHeight="1">
      <c r="AN1590" s="458"/>
      <c r="BC1590" s="169"/>
    </row>
    <row r="1591" spans="40:55" ht="15.75" customHeight="1">
      <c r="AN1591" s="458"/>
      <c r="BC1591" s="169"/>
    </row>
    <row r="1592" spans="40:55" ht="15.75" customHeight="1">
      <c r="AN1592" s="458"/>
      <c r="BC1592" s="169"/>
    </row>
    <row r="1593" spans="40:55" ht="15.75" customHeight="1">
      <c r="AN1593" s="458"/>
      <c r="BC1593" s="169"/>
    </row>
    <row r="1594" spans="40:55" ht="15.75" customHeight="1">
      <c r="AN1594" s="458"/>
      <c r="BC1594" s="169"/>
    </row>
    <row r="1595" spans="40:55" ht="15.75" customHeight="1">
      <c r="AN1595" s="458"/>
      <c r="BC1595" s="169"/>
    </row>
    <row r="1596" spans="40:55" ht="15.75" customHeight="1">
      <c r="AN1596" s="458"/>
      <c r="BC1596" s="169"/>
    </row>
    <row r="1597" spans="40:55" ht="15.75" customHeight="1">
      <c r="AN1597" s="458"/>
      <c r="BC1597" s="169"/>
    </row>
    <row r="1598" spans="40:55" ht="15.75" customHeight="1">
      <c r="AN1598" s="458"/>
      <c r="BC1598" s="169"/>
    </row>
    <row r="1599" spans="40:55" ht="15.75" customHeight="1">
      <c r="AN1599" s="458"/>
      <c r="BC1599" s="169"/>
    </row>
    <row r="1600" spans="40:55" ht="15.75" customHeight="1">
      <c r="AN1600" s="458"/>
      <c r="BC1600" s="169"/>
    </row>
    <row r="1601" spans="40:55" ht="15.75" customHeight="1">
      <c r="AN1601" s="458"/>
      <c r="BC1601" s="169"/>
    </row>
    <row r="1602" spans="40:55" ht="15.75" customHeight="1">
      <c r="AN1602" s="458"/>
      <c r="BC1602" s="169"/>
    </row>
    <row r="1603" spans="40:55" ht="15.75" customHeight="1">
      <c r="AN1603" s="458"/>
      <c r="BC1603" s="169"/>
    </row>
    <row r="1604" spans="40:55" ht="15.75" customHeight="1">
      <c r="AN1604" s="458"/>
      <c r="BC1604" s="169"/>
    </row>
    <row r="1605" spans="40:55" ht="15.75" customHeight="1">
      <c r="AN1605" s="458"/>
      <c r="BC1605" s="169"/>
    </row>
    <row r="1606" spans="40:55" ht="15.75" customHeight="1">
      <c r="AN1606" s="458"/>
      <c r="BC1606" s="169"/>
    </row>
    <row r="1607" spans="40:55" ht="15.75" customHeight="1">
      <c r="AN1607" s="458"/>
      <c r="BC1607" s="169"/>
    </row>
    <row r="1608" spans="40:55" ht="15.75" customHeight="1">
      <c r="AN1608" s="458"/>
      <c r="BC1608" s="169"/>
    </row>
    <row r="1609" spans="40:55" ht="15.75" customHeight="1">
      <c r="AN1609" s="458"/>
      <c r="BC1609" s="169"/>
    </row>
    <row r="1610" spans="40:55" ht="15.75" customHeight="1">
      <c r="AN1610" s="458"/>
      <c r="BC1610" s="169"/>
    </row>
    <row r="1611" spans="40:55" ht="15.75" customHeight="1">
      <c r="AN1611" s="458"/>
      <c r="BC1611" s="169"/>
    </row>
    <row r="1612" spans="40:55" ht="15.75" customHeight="1">
      <c r="AN1612" s="458"/>
      <c r="BC1612" s="169"/>
    </row>
    <row r="1613" spans="40:55" ht="15.75" customHeight="1">
      <c r="AN1613" s="458"/>
      <c r="BC1613" s="169"/>
    </row>
    <row r="1614" spans="40:55" ht="15.75" customHeight="1">
      <c r="AN1614" s="458"/>
      <c r="BC1614" s="169"/>
    </row>
    <row r="1615" spans="40:55" ht="15.75" customHeight="1">
      <c r="AN1615" s="458"/>
      <c r="BC1615" s="169"/>
    </row>
    <row r="1616" spans="40:55" ht="15.75" customHeight="1">
      <c r="AN1616" s="458"/>
      <c r="BC1616" s="169"/>
    </row>
    <row r="1617" spans="40:55" ht="15.75" customHeight="1">
      <c r="AN1617" s="458"/>
      <c r="BC1617" s="169"/>
    </row>
    <row r="1618" spans="40:55" ht="15.75" customHeight="1">
      <c r="AN1618" s="458"/>
      <c r="BC1618" s="169"/>
    </row>
    <row r="1619" spans="40:55" ht="15.75" customHeight="1">
      <c r="AN1619" s="458"/>
      <c r="BC1619" s="169"/>
    </row>
    <row r="1620" spans="40:55" ht="15.75" customHeight="1">
      <c r="AN1620" s="458"/>
      <c r="BC1620" s="169"/>
    </row>
    <row r="1621" spans="40:55" ht="15.75" customHeight="1">
      <c r="AN1621" s="458"/>
      <c r="BC1621" s="169"/>
    </row>
    <row r="1622" spans="40:55" ht="15.75" customHeight="1">
      <c r="AN1622" s="458"/>
      <c r="BC1622" s="169"/>
    </row>
    <row r="1623" spans="40:55" ht="15.75" customHeight="1">
      <c r="AN1623" s="458"/>
      <c r="BC1623" s="169"/>
    </row>
    <row r="1624" spans="40:55" ht="15.75" customHeight="1">
      <c r="AN1624" s="458"/>
      <c r="BC1624" s="169"/>
    </row>
    <row r="1625" spans="40:55" ht="15.75" customHeight="1">
      <c r="AN1625" s="458"/>
      <c r="BC1625" s="169"/>
    </row>
    <row r="1626" spans="40:55" ht="15.75" customHeight="1">
      <c r="AN1626" s="458"/>
      <c r="BC1626" s="169"/>
    </row>
    <row r="1627" spans="40:55" ht="15.75" customHeight="1">
      <c r="AN1627" s="458"/>
      <c r="BC1627" s="169"/>
    </row>
    <row r="1628" spans="40:55" ht="15.75" customHeight="1">
      <c r="AN1628" s="458"/>
      <c r="BC1628" s="169"/>
    </row>
    <row r="1629" spans="40:55" ht="15.75" customHeight="1">
      <c r="AN1629" s="458"/>
      <c r="BC1629" s="169"/>
    </row>
    <row r="1630" spans="40:55" ht="15.75" customHeight="1">
      <c r="AN1630" s="458"/>
      <c r="BC1630" s="169"/>
    </row>
    <row r="1631" spans="40:55" ht="15.75" customHeight="1">
      <c r="AN1631" s="458"/>
      <c r="BC1631" s="169"/>
    </row>
    <row r="1632" spans="40:55" ht="15.75" customHeight="1">
      <c r="AN1632" s="458"/>
      <c r="BC1632" s="169"/>
    </row>
    <row r="1633" spans="40:55" ht="15.75" customHeight="1">
      <c r="AN1633" s="458"/>
      <c r="BC1633" s="169"/>
    </row>
    <row r="1634" spans="40:55" ht="15.75" customHeight="1">
      <c r="AN1634" s="458"/>
      <c r="BC1634" s="169"/>
    </row>
    <row r="1635" spans="40:55" ht="15.75" customHeight="1">
      <c r="AN1635" s="458"/>
      <c r="BC1635" s="169"/>
    </row>
    <row r="1636" spans="40:55" ht="15.75" customHeight="1">
      <c r="AN1636" s="458"/>
      <c r="BC1636" s="169"/>
    </row>
    <row r="1637" spans="40:55" ht="15.75" customHeight="1">
      <c r="AN1637" s="458"/>
      <c r="BC1637" s="169"/>
    </row>
    <row r="1638" spans="40:55" ht="15.75" customHeight="1">
      <c r="AN1638" s="458"/>
      <c r="BC1638" s="169"/>
    </row>
    <row r="1639" spans="40:55" ht="15.75" customHeight="1">
      <c r="AN1639" s="458"/>
      <c r="BC1639" s="169"/>
    </row>
    <row r="1640" spans="40:55" ht="15.75" customHeight="1">
      <c r="AN1640" s="458"/>
      <c r="BC1640" s="169"/>
    </row>
    <row r="1641" spans="40:55" ht="15.75" customHeight="1">
      <c r="AN1641" s="458"/>
      <c r="BC1641" s="169"/>
    </row>
    <row r="1642" spans="40:55" ht="15.75" customHeight="1">
      <c r="AN1642" s="458"/>
      <c r="BC1642" s="169"/>
    </row>
    <row r="1643" spans="40:55" ht="15.75" customHeight="1">
      <c r="AN1643" s="458"/>
      <c r="BC1643" s="169"/>
    </row>
    <row r="1644" spans="40:55" ht="15.75" customHeight="1">
      <c r="AN1644" s="458"/>
      <c r="BC1644" s="169"/>
    </row>
    <row r="1645" spans="40:55" ht="15.75" customHeight="1">
      <c r="AN1645" s="458"/>
      <c r="BC1645" s="169"/>
    </row>
    <row r="1646" spans="40:55" ht="15.75" customHeight="1">
      <c r="AN1646" s="458"/>
      <c r="BC1646" s="169"/>
    </row>
    <row r="1647" spans="40:55" ht="15.75" customHeight="1">
      <c r="AN1647" s="458"/>
      <c r="BC1647" s="169"/>
    </row>
    <row r="1648" spans="40:55" ht="15.75" customHeight="1">
      <c r="AN1648" s="458"/>
      <c r="BC1648" s="169"/>
    </row>
    <row r="1649" spans="40:55" ht="15.75" customHeight="1">
      <c r="AN1649" s="458"/>
      <c r="BC1649" s="169"/>
    </row>
    <row r="1650" spans="40:55" ht="15.75" customHeight="1">
      <c r="AN1650" s="458"/>
      <c r="BC1650" s="169"/>
    </row>
    <row r="1651" spans="40:55" ht="15.75" customHeight="1">
      <c r="AN1651" s="458"/>
      <c r="BC1651" s="169"/>
    </row>
    <row r="1652" spans="40:55" ht="15.75" customHeight="1">
      <c r="AN1652" s="458"/>
      <c r="BC1652" s="169"/>
    </row>
    <row r="1653" spans="40:55" ht="15.75" customHeight="1">
      <c r="AN1653" s="458"/>
      <c r="BC1653" s="169"/>
    </row>
    <row r="1654" spans="40:55" ht="15.75" customHeight="1">
      <c r="AN1654" s="458"/>
      <c r="BC1654" s="169"/>
    </row>
    <row r="1655" spans="40:55" ht="15.75" customHeight="1">
      <c r="AN1655" s="458"/>
      <c r="BC1655" s="169"/>
    </row>
    <row r="1656" spans="40:55" ht="15.75" customHeight="1">
      <c r="AN1656" s="458"/>
      <c r="BC1656" s="169"/>
    </row>
    <row r="1657" spans="40:55" ht="15.75" customHeight="1">
      <c r="AN1657" s="458"/>
      <c r="BC1657" s="169"/>
    </row>
    <row r="1658" spans="40:55" ht="15.75" customHeight="1">
      <c r="AN1658" s="458"/>
      <c r="BC1658" s="169"/>
    </row>
    <row r="1659" spans="40:55" ht="15.75" customHeight="1">
      <c r="AN1659" s="458"/>
      <c r="BC1659" s="169"/>
    </row>
    <row r="1660" spans="40:55" ht="15.75" customHeight="1">
      <c r="AN1660" s="458"/>
      <c r="BC1660" s="169"/>
    </row>
    <row r="1661" spans="40:55" ht="15.75" customHeight="1">
      <c r="AN1661" s="458"/>
      <c r="BC1661" s="169"/>
    </row>
    <row r="1662" spans="40:55" ht="15.75" customHeight="1">
      <c r="AN1662" s="458"/>
      <c r="BC1662" s="169"/>
    </row>
    <row r="1663" spans="40:55" ht="15.75" customHeight="1">
      <c r="AN1663" s="458"/>
      <c r="BC1663" s="169"/>
    </row>
    <row r="1664" spans="40:55" ht="15.75" customHeight="1">
      <c r="AN1664" s="458"/>
      <c r="BC1664" s="169"/>
    </row>
    <row r="1665" spans="40:55" ht="15.75" customHeight="1">
      <c r="AN1665" s="458"/>
      <c r="BC1665" s="169"/>
    </row>
    <row r="1666" spans="40:55" ht="15.75" customHeight="1">
      <c r="AN1666" s="458"/>
      <c r="BC1666" s="169"/>
    </row>
    <row r="1667" spans="40:55" ht="15.75" customHeight="1">
      <c r="AN1667" s="458"/>
      <c r="BC1667" s="169"/>
    </row>
    <row r="1668" spans="40:55" ht="15.75" customHeight="1">
      <c r="AN1668" s="458"/>
      <c r="BC1668" s="169"/>
    </row>
    <row r="1669" spans="40:55" ht="15.75" customHeight="1">
      <c r="AN1669" s="458"/>
      <c r="BC1669" s="169"/>
    </row>
    <row r="1670" spans="40:55" ht="15.75" customHeight="1">
      <c r="AN1670" s="458"/>
      <c r="BC1670" s="169"/>
    </row>
    <row r="1671" spans="40:55" ht="15.75" customHeight="1">
      <c r="AN1671" s="458"/>
      <c r="BC1671" s="169"/>
    </row>
    <row r="1672" spans="40:55" ht="15.75" customHeight="1">
      <c r="AN1672" s="458"/>
      <c r="BC1672" s="169"/>
    </row>
    <row r="1673" spans="40:55" ht="15.75" customHeight="1">
      <c r="AN1673" s="458"/>
      <c r="BC1673" s="169"/>
    </row>
    <row r="1674" spans="40:55" ht="15.75" customHeight="1">
      <c r="AN1674" s="458"/>
      <c r="BC1674" s="169"/>
    </row>
    <row r="1675" spans="40:55" ht="15.75" customHeight="1">
      <c r="AN1675" s="458"/>
      <c r="BC1675" s="169"/>
    </row>
    <row r="1676" spans="40:55" ht="15.75" customHeight="1">
      <c r="AN1676" s="458"/>
      <c r="BC1676" s="169"/>
    </row>
    <row r="1677" spans="40:55" ht="15.75" customHeight="1">
      <c r="AN1677" s="458"/>
      <c r="BC1677" s="169"/>
    </row>
    <row r="1678" spans="40:55" ht="15.75" customHeight="1">
      <c r="AN1678" s="458"/>
      <c r="BC1678" s="169"/>
    </row>
    <row r="1679" spans="40:55" ht="15.75" customHeight="1">
      <c r="AN1679" s="458"/>
      <c r="BC1679" s="169"/>
    </row>
    <row r="1680" spans="40:55" ht="15.75" customHeight="1">
      <c r="AN1680" s="458"/>
      <c r="BC1680" s="169"/>
    </row>
    <row r="1681" spans="40:55" ht="15.75" customHeight="1">
      <c r="AN1681" s="458"/>
      <c r="BC1681" s="169"/>
    </row>
    <row r="1682" spans="40:55" ht="15.75" customHeight="1">
      <c r="AN1682" s="458"/>
      <c r="BC1682" s="169"/>
    </row>
    <row r="1683" spans="40:55" ht="15.75" customHeight="1">
      <c r="AN1683" s="458"/>
      <c r="BC1683" s="169"/>
    </row>
    <row r="1684" spans="40:55" ht="15.75" customHeight="1">
      <c r="AN1684" s="458"/>
      <c r="BC1684" s="169"/>
    </row>
    <row r="1685" spans="40:55" ht="15.75" customHeight="1">
      <c r="AN1685" s="458"/>
      <c r="BC1685" s="169"/>
    </row>
    <row r="1686" spans="40:55" ht="15.75" customHeight="1">
      <c r="AN1686" s="458"/>
      <c r="BC1686" s="169"/>
    </row>
    <row r="1687" spans="40:55" ht="15.75" customHeight="1">
      <c r="AN1687" s="458"/>
      <c r="BC1687" s="169"/>
    </row>
    <row r="1688" spans="40:55" ht="15.75" customHeight="1">
      <c r="AN1688" s="458"/>
      <c r="BC1688" s="169"/>
    </row>
    <row r="1689" spans="40:55" ht="15.75" customHeight="1">
      <c r="AN1689" s="458"/>
      <c r="BC1689" s="169"/>
    </row>
    <row r="1690" spans="40:55" ht="15.75" customHeight="1">
      <c r="AN1690" s="458"/>
      <c r="BC1690" s="169"/>
    </row>
    <row r="1691" spans="40:55" ht="15.75" customHeight="1">
      <c r="AN1691" s="458"/>
      <c r="BC1691" s="169"/>
    </row>
    <row r="1692" spans="40:55" ht="15.75" customHeight="1">
      <c r="AN1692" s="458"/>
      <c r="BC1692" s="169"/>
    </row>
    <row r="1693" spans="40:55" ht="15.75" customHeight="1">
      <c r="AN1693" s="458"/>
      <c r="BC1693" s="169"/>
    </row>
    <row r="1694" spans="40:55" ht="15.75" customHeight="1">
      <c r="AN1694" s="458"/>
      <c r="BC1694" s="169"/>
    </row>
    <row r="1695" spans="40:55" ht="15.75" customHeight="1">
      <c r="AN1695" s="458"/>
      <c r="BC1695" s="169"/>
    </row>
    <row r="1696" spans="40:55" ht="15.75" customHeight="1">
      <c r="AN1696" s="458"/>
      <c r="BC1696" s="169"/>
    </row>
    <row r="1697" spans="40:55" ht="15.75" customHeight="1">
      <c r="AN1697" s="458"/>
      <c r="BC1697" s="169"/>
    </row>
    <row r="1698" spans="40:55" ht="15.75" customHeight="1">
      <c r="AN1698" s="458"/>
      <c r="BC1698" s="169"/>
    </row>
    <row r="1699" spans="40:55" ht="15.75" customHeight="1">
      <c r="AN1699" s="458"/>
      <c r="BC1699" s="169"/>
    </row>
    <row r="1700" spans="40:55" ht="15.75" customHeight="1">
      <c r="AN1700" s="458"/>
      <c r="BC1700" s="169"/>
    </row>
    <row r="1701" spans="40:55" ht="15.75" customHeight="1">
      <c r="AN1701" s="458"/>
      <c r="BC1701" s="169"/>
    </row>
    <row r="1702" spans="40:55" ht="15.75" customHeight="1">
      <c r="AN1702" s="458"/>
      <c r="BC1702" s="169"/>
    </row>
    <row r="1703" spans="40:55" ht="15.75" customHeight="1">
      <c r="AN1703" s="458"/>
      <c r="BC1703" s="169"/>
    </row>
    <row r="1704" spans="40:55" ht="15.75" customHeight="1">
      <c r="AN1704" s="458"/>
      <c r="BC1704" s="169"/>
    </row>
    <row r="1705" spans="40:55" ht="15.75" customHeight="1">
      <c r="AN1705" s="458"/>
      <c r="BC1705" s="169"/>
    </row>
    <row r="1706" spans="40:55" ht="15.75" customHeight="1">
      <c r="AN1706" s="458"/>
      <c r="BC1706" s="169"/>
    </row>
    <row r="1707" spans="40:55" ht="15.75" customHeight="1">
      <c r="AN1707" s="458"/>
      <c r="BC1707" s="169"/>
    </row>
    <row r="1708" spans="40:55" ht="15.75" customHeight="1">
      <c r="AN1708" s="458"/>
      <c r="BC1708" s="169"/>
    </row>
    <row r="1709" spans="40:55" ht="15.75" customHeight="1">
      <c r="AN1709" s="458"/>
      <c r="BC1709" s="169"/>
    </row>
    <row r="1710" spans="40:55" ht="15.75" customHeight="1">
      <c r="AN1710" s="458"/>
      <c r="BC1710" s="169"/>
    </row>
    <row r="1711" spans="40:55" ht="15.75" customHeight="1">
      <c r="AN1711" s="458"/>
      <c r="BC1711" s="169"/>
    </row>
    <row r="1712" spans="40:55" ht="15.75" customHeight="1">
      <c r="AN1712" s="458"/>
      <c r="BC1712" s="169"/>
    </row>
    <row r="1713" spans="40:55" ht="15.75" customHeight="1">
      <c r="AN1713" s="458"/>
      <c r="BC1713" s="169"/>
    </row>
    <row r="1714" spans="40:55" ht="15.75" customHeight="1">
      <c r="AN1714" s="458"/>
      <c r="BC1714" s="169"/>
    </row>
    <row r="1715" spans="40:55" ht="15.75" customHeight="1">
      <c r="AN1715" s="458"/>
      <c r="BC1715" s="169"/>
    </row>
    <row r="1716" spans="40:55" ht="15.75" customHeight="1">
      <c r="AN1716" s="458"/>
      <c r="BC1716" s="169"/>
    </row>
    <row r="1717" spans="40:55" ht="15.75" customHeight="1">
      <c r="AN1717" s="458"/>
      <c r="BC1717" s="169"/>
    </row>
    <row r="1718" spans="40:55" ht="15.75" customHeight="1">
      <c r="AN1718" s="458"/>
      <c r="BC1718" s="169"/>
    </row>
    <row r="1719" spans="40:55" ht="15.75" customHeight="1">
      <c r="AN1719" s="458"/>
      <c r="BC1719" s="169"/>
    </row>
    <row r="1720" spans="40:55" ht="15.75" customHeight="1">
      <c r="AN1720" s="458"/>
      <c r="BC1720" s="169"/>
    </row>
    <row r="1721" spans="40:55" ht="15.75" customHeight="1">
      <c r="AN1721" s="458"/>
      <c r="BC1721" s="169"/>
    </row>
    <row r="1722" spans="40:55" ht="15.75" customHeight="1">
      <c r="AN1722" s="458"/>
      <c r="BC1722" s="169"/>
    </row>
    <row r="1723" spans="40:55" ht="15.75" customHeight="1">
      <c r="AN1723" s="458"/>
      <c r="BC1723" s="169"/>
    </row>
    <row r="1724" spans="40:55" ht="15.75" customHeight="1">
      <c r="AN1724" s="458"/>
      <c r="BC1724" s="169"/>
    </row>
    <row r="1725" spans="40:55" ht="15.75" customHeight="1">
      <c r="AN1725" s="458"/>
      <c r="BC1725" s="169"/>
    </row>
    <row r="1726" spans="40:55" ht="15.75" customHeight="1">
      <c r="AN1726" s="458"/>
      <c r="BC1726" s="169"/>
    </row>
    <row r="1727" spans="40:55" ht="15.75" customHeight="1">
      <c r="AN1727" s="458"/>
      <c r="BC1727" s="169"/>
    </row>
    <row r="1728" spans="40:55" ht="15.75" customHeight="1">
      <c r="AN1728" s="458"/>
      <c r="BC1728" s="169"/>
    </row>
    <row r="1729" spans="40:55" ht="15.75" customHeight="1">
      <c r="AN1729" s="458"/>
      <c r="BC1729" s="169"/>
    </row>
    <row r="1730" spans="40:55" ht="15.75" customHeight="1">
      <c r="AN1730" s="458"/>
      <c r="BC1730" s="169"/>
    </row>
    <row r="1731" spans="40:55" ht="15.75" customHeight="1">
      <c r="AN1731" s="458"/>
      <c r="BC1731" s="169"/>
    </row>
    <row r="1732" spans="40:55" ht="15.75" customHeight="1">
      <c r="AN1732" s="458"/>
      <c r="BC1732" s="169"/>
    </row>
    <row r="1733" spans="40:55" ht="15.75" customHeight="1">
      <c r="AN1733" s="458"/>
      <c r="BC1733" s="169"/>
    </row>
    <row r="1734" spans="40:55" ht="15.75" customHeight="1">
      <c r="AN1734" s="458"/>
      <c r="BC1734" s="169"/>
    </row>
    <row r="1735" spans="40:55" ht="15.75" customHeight="1">
      <c r="AN1735" s="458"/>
      <c r="BC1735" s="169"/>
    </row>
    <row r="1736" spans="40:55" ht="15.75" customHeight="1">
      <c r="AN1736" s="458"/>
      <c r="BC1736" s="169"/>
    </row>
    <row r="1737" spans="40:55" ht="15.75" customHeight="1">
      <c r="AN1737" s="458"/>
      <c r="BC1737" s="169"/>
    </row>
    <row r="1738" spans="40:55" ht="15.75" customHeight="1">
      <c r="AN1738" s="458"/>
      <c r="BC1738" s="169"/>
    </row>
    <row r="1739" spans="40:55" ht="15.75" customHeight="1">
      <c r="AN1739" s="458"/>
      <c r="BC1739" s="169"/>
    </row>
    <row r="1740" spans="40:55" ht="15.75" customHeight="1">
      <c r="AN1740" s="458"/>
      <c r="BC1740" s="169"/>
    </row>
    <row r="1741" spans="40:55" ht="15.75" customHeight="1">
      <c r="AN1741" s="458"/>
      <c r="BC1741" s="169"/>
    </row>
    <row r="1742" spans="40:55" ht="15.75" customHeight="1">
      <c r="AN1742" s="458"/>
      <c r="BC1742" s="169"/>
    </row>
    <row r="1743" spans="40:55" ht="15.75" customHeight="1">
      <c r="AN1743" s="458"/>
      <c r="BC1743" s="169"/>
    </row>
    <row r="1744" spans="40:55" ht="15.75" customHeight="1">
      <c r="AN1744" s="458"/>
      <c r="BC1744" s="169"/>
    </row>
    <row r="1745" spans="40:55" ht="15.75" customHeight="1">
      <c r="AN1745" s="458"/>
      <c r="BC1745" s="169"/>
    </row>
    <row r="1746" spans="40:55" ht="15.75" customHeight="1">
      <c r="AN1746" s="458"/>
      <c r="BC1746" s="169"/>
    </row>
    <row r="1747" spans="40:55" ht="15.75" customHeight="1">
      <c r="AN1747" s="458"/>
      <c r="BC1747" s="169"/>
    </row>
    <row r="1748" spans="40:55" ht="15.75" customHeight="1">
      <c r="AN1748" s="458"/>
      <c r="BC1748" s="169"/>
    </row>
    <row r="1749" spans="40:55" ht="15.75" customHeight="1">
      <c r="AN1749" s="458"/>
      <c r="BC1749" s="169"/>
    </row>
    <row r="1750" spans="40:55" ht="15.75" customHeight="1">
      <c r="AN1750" s="458"/>
      <c r="BC1750" s="169"/>
    </row>
    <row r="1751" spans="40:55" ht="15.75" customHeight="1">
      <c r="AN1751" s="458"/>
      <c r="BC1751" s="169"/>
    </row>
    <row r="1752" spans="40:55" ht="15.75" customHeight="1">
      <c r="AN1752" s="458"/>
      <c r="BC1752" s="169"/>
    </row>
    <row r="1753" spans="40:55" ht="15.75" customHeight="1">
      <c r="AN1753" s="458"/>
      <c r="BC1753" s="169"/>
    </row>
    <row r="1754" spans="40:55" ht="15.75" customHeight="1">
      <c r="AN1754" s="458"/>
      <c r="BC1754" s="169"/>
    </row>
    <row r="1755" spans="40:55" ht="15.75" customHeight="1">
      <c r="AN1755" s="458"/>
      <c r="BC1755" s="169"/>
    </row>
    <row r="1756" spans="40:55" ht="15.75" customHeight="1">
      <c r="AN1756" s="458"/>
      <c r="BC1756" s="169"/>
    </row>
    <row r="1757" spans="40:55" ht="15.75" customHeight="1">
      <c r="AN1757" s="458"/>
      <c r="BC1757" s="169"/>
    </row>
    <row r="1758" spans="40:55" ht="15.75" customHeight="1">
      <c r="AN1758" s="458"/>
      <c r="BC1758" s="169"/>
    </row>
    <row r="1759" spans="40:55" ht="15.75" customHeight="1">
      <c r="AN1759" s="458"/>
      <c r="BC1759" s="169"/>
    </row>
    <row r="1760" spans="40:55" ht="15.75" customHeight="1">
      <c r="AN1760" s="458"/>
      <c r="BC1760" s="169"/>
    </row>
    <row r="1761" spans="40:55" ht="15.75" customHeight="1">
      <c r="AN1761" s="458"/>
      <c r="BC1761" s="169"/>
    </row>
    <row r="1762" spans="40:55" ht="15.75" customHeight="1">
      <c r="AN1762" s="458"/>
      <c r="BC1762" s="169"/>
    </row>
    <row r="1763" spans="40:55" ht="15.75" customHeight="1">
      <c r="AN1763" s="458"/>
      <c r="BC1763" s="169"/>
    </row>
    <row r="1764" spans="40:55" ht="15.75" customHeight="1">
      <c r="AN1764" s="458"/>
      <c r="BC1764" s="169"/>
    </row>
    <row r="1765" spans="40:55" ht="15.75" customHeight="1">
      <c r="AN1765" s="458"/>
      <c r="BC1765" s="169"/>
    </row>
    <row r="1766" spans="40:55" ht="15.75" customHeight="1">
      <c r="AN1766" s="458"/>
      <c r="BC1766" s="169"/>
    </row>
    <row r="1767" spans="40:55" ht="15.75" customHeight="1">
      <c r="AN1767" s="458"/>
      <c r="BC1767" s="169"/>
    </row>
    <row r="1768" spans="40:55" ht="15.75" customHeight="1">
      <c r="AN1768" s="458"/>
      <c r="BC1768" s="169"/>
    </row>
    <row r="1769" spans="40:55" ht="15.75" customHeight="1">
      <c r="AN1769" s="458"/>
      <c r="BC1769" s="169"/>
    </row>
    <row r="1770" spans="40:55" ht="15.75" customHeight="1">
      <c r="AN1770" s="458"/>
      <c r="BC1770" s="169"/>
    </row>
    <row r="1771" spans="40:55" ht="15.75" customHeight="1">
      <c r="AN1771" s="458"/>
      <c r="BC1771" s="169"/>
    </row>
    <row r="1772" spans="40:55" ht="15.75" customHeight="1">
      <c r="AN1772" s="458"/>
      <c r="BC1772" s="169"/>
    </row>
    <row r="1773" spans="40:55" ht="15.75" customHeight="1">
      <c r="AN1773" s="458"/>
      <c r="BC1773" s="169"/>
    </row>
    <row r="1774" spans="40:55" ht="15.75" customHeight="1">
      <c r="AN1774" s="458"/>
      <c r="BC1774" s="169"/>
    </row>
    <row r="1775" spans="40:55" ht="15.75" customHeight="1">
      <c r="AN1775" s="458"/>
      <c r="BC1775" s="169"/>
    </row>
    <row r="1776" spans="40:55" ht="15.75" customHeight="1">
      <c r="AN1776" s="458"/>
      <c r="BC1776" s="169"/>
    </row>
    <row r="1777" spans="40:55" ht="15.75" customHeight="1">
      <c r="AN1777" s="458"/>
      <c r="BC1777" s="169"/>
    </row>
    <row r="1778" spans="40:55" ht="15.75" customHeight="1">
      <c r="AN1778" s="458"/>
      <c r="BC1778" s="169"/>
    </row>
    <row r="1779" spans="40:55" ht="15.75" customHeight="1">
      <c r="AN1779" s="458"/>
      <c r="BC1779" s="169"/>
    </row>
    <row r="1780" spans="40:55" ht="15.75" customHeight="1">
      <c r="AN1780" s="458"/>
      <c r="BC1780" s="169"/>
    </row>
    <row r="1781" spans="40:55" ht="15.75" customHeight="1">
      <c r="AN1781" s="458"/>
      <c r="BC1781" s="169"/>
    </row>
    <row r="1782" spans="40:55" ht="15.75" customHeight="1">
      <c r="AN1782" s="458"/>
      <c r="BC1782" s="169"/>
    </row>
    <row r="1783" spans="40:55" ht="15.75" customHeight="1">
      <c r="AN1783" s="458"/>
      <c r="BC1783" s="169"/>
    </row>
    <row r="1784" spans="40:55" ht="15.75" customHeight="1">
      <c r="AN1784" s="458"/>
      <c r="BC1784" s="169"/>
    </row>
    <row r="1785" spans="40:55" ht="15.75" customHeight="1">
      <c r="AN1785" s="458"/>
      <c r="BC1785" s="169"/>
    </row>
    <row r="1786" spans="40:55" ht="15.75" customHeight="1">
      <c r="AN1786" s="458"/>
      <c r="BC1786" s="169"/>
    </row>
    <row r="1787" spans="40:55" ht="15.75" customHeight="1">
      <c r="AN1787" s="458"/>
      <c r="BC1787" s="169"/>
    </row>
    <row r="1788" spans="40:55" ht="15.75" customHeight="1">
      <c r="AN1788" s="458"/>
      <c r="BC1788" s="169"/>
    </row>
    <row r="1789" spans="40:55" ht="15.75" customHeight="1">
      <c r="AN1789" s="458"/>
      <c r="BC1789" s="169"/>
    </row>
    <row r="1790" spans="40:55" ht="15.75" customHeight="1">
      <c r="AN1790" s="458"/>
      <c r="BC1790" s="169"/>
    </row>
    <row r="1791" spans="40:55" ht="15.75" customHeight="1">
      <c r="AN1791" s="458"/>
      <c r="BC1791" s="169"/>
    </row>
    <row r="1792" spans="40:55" ht="15.75" customHeight="1">
      <c r="AN1792" s="458"/>
      <c r="BC1792" s="169"/>
    </row>
    <row r="1793" spans="40:55" ht="15.75" customHeight="1">
      <c r="AN1793" s="458"/>
      <c r="BC1793" s="169"/>
    </row>
    <row r="1794" spans="40:55" ht="15.75" customHeight="1">
      <c r="AN1794" s="458"/>
      <c r="BC1794" s="169"/>
    </row>
    <row r="1795" spans="40:55" ht="15.75" customHeight="1">
      <c r="AN1795" s="458"/>
      <c r="BC1795" s="169"/>
    </row>
    <row r="1796" spans="40:55" ht="15.75" customHeight="1">
      <c r="AN1796" s="458"/>
      <c r="BC1796" s="169"/>
    </row>
    <row r="1797" spans="40:55" ht="15.75" customHeight="1">
      <c r="AN1797" s="458"/>
      <c r="BC1797" s="169"/>
    </row>
    <row r="1798" spans="40:55" ht="15.75" customHeight="1">
      <c r="AN1798" s="458"/>
      <c r="BC1798" s="169"/>
    </row>
    <row r="1799" spans="40:55" ht="15.75" customHeight="1">
      <c r="AN1799" s="458"/>
      <c r="BC1799" s="169"/>
    </row>
    <row r="1800" spans="40:55" ht="15.75" customHeight="1">
      <c r="AN1800" s="458"/>
      <c r="BC1800" s="169"/>
    </row>
    <row r="1801" spans="40:55" ht="15.75" customHeight="1">
      <c r="AN1801" s="458"/>
      <c r="BC1801" s="169"/>
    </row>
    <row r="1802" spans="40:55" ht="15.75" customHeight="1">
      <c r="AN1802" s="458"/>
      <c r="BC1802" s="169"/>
    </row>
    <row r="1803" spans="40:55" ht="15.75" customHeight="1">
      <c r="AN1803" s="458"/>
      <c r="BC1803" s="169"/>
    </row>
    <row r="1804" spans="40:55" ht="15.75" customHeight="1">
      <c r="AN1804" s="458"/>
      <c r="BC1804" s="169"/>
    </row>
    <row r="1805" spans="40:55" ht="15.75" customHeight="1">
      <c r="AN1805" s="458"/>
      <c r="BC1805" s="169"/>
    </row>
    <row r="1806" spans="40:55" ht="15.75" customHeight="1">
      <c r="AN1806" s="458"/>
      <c r="BC1806" s="169"/>
    </row>
    <row r="1807" spans="40:55" ht="15.75" customHeight="1">
      <c r="AN1807" s="458"/>
      <c r="BC1807" s="169"/>
    </row>
    <row r="1808" spans="40:55" ht="15.75" customHeight="1">
      <c r="AN1808" s="458"/>
      <c r="BC1808" s="169"/>
    </row>
    <row r="1809" spans="40:55" ht="15.75" customHeight="1">
      <c r="AN1809" s="458"/>
      <c r="BC1809" s="169"/>
    </row>
    <row r="1810" spans="40:55" ht="15.75" customHeight="1">
      <c r="AN1810" s="458"/>
      <c r="BC1810" s="169"/>
    </row>
    <row r="1811" spans="40:55" ht="15.75" customHeight="1">
      <c r="AN1811" s="458"/>
      <c r="BC1811" s="169"/>
    </row>
    <row r="1812" spans="40:55" ht="15.75" customHeight="1">
      <c r="AN1812" s="458"/>
      <c r="BC1812" s="169"/>
    </row>
    <row r="1813" spans="40:55" ht="15.75" customHeight="1">
      <c r="AN1813" s="458"/>
      <c r="BC1813" s="169"/>
    </row>
    <row r="1814" spans="40:55" ht="15.75" customHeight="1">
      <c r="AN1814" s="458"/>
      <c r="BC1814" s="169"/>
    </row>
    <row r="1815" spans="40:55" ht="15.75" customHeight="1">
      <c r="AN1815" s="458"/>
      <c r="BC1815" s="169"/>
    </row>
    <row r="1816" spans="40:55" ht="15.75" customHeight="1">
      <c r="AN1816" s="458"/>
      <c r="BC1816" s="169"/>
    </row>
    <row r="1817" spans="40:55" ht="15.75" customHeight="1">
      <c r="AN1817" s="458"/>
      <c r="BC1817" s="169"/>
    </row>
    <row r="1818" spans="40:55" ht="15.75" customHeight="1">
      <c r="AN1818" s="458"/>
      <c r="BC1818" s="169"/>
    </row>
    <row r="1819" spans="40:55" ht="15.75" customHeight="1">
      <c r="AN1819" s="458"/>
      <c r="BC1819" s="169"/>
    </row>
    <row r="1820" spans="40:55" ht="15.75" customHeight="1">
      <c r="AN1820" s="458"/>
      <c r="BC1820" s="169"/>
    </row>
    <row r="1821" spans="40:55" ht="15.75" customHeight="1">
      <c r="AN1821" s="458"/>
      <c r="BC1821" s="169"/>
    </row>
    <row r="1822" spans="40:55" ht="15.75" customHeight="1">
      <c r="AN1822" s="458"/>
      <c r="BC1822" s="169"/>
    </row>
    <row r="1823" spans="40:55" ht="15.75" customHeight="1">
      <c r="AN1823" s="458"/>
      <c r="BC1823" s="169"/>
    </row>
    <row r="1824" spans="40:55" ht="15.75" customHeight="1">
      <c r="AN1824" s="458"/>
      <c r="BC1824" s="169"/>
    </row>
    <row r="1825" spans="40:55" ht="15.75" customHeight="1">
      <c r="AN1825" s="458"/>
      <c r="BC1825" s="169"/>
    </row>
    <row r="1826" spans="40:55" ht="15.75" customHeight="1">
      <c r="AN1826" s="458"/>
      <c r="BC1826" s="169"/>
    </row>
    <row r="1827" spans="40:55" ht="15.75" customHeight="1">
      <c r="AN1827" s="458"/>
      <c r="BC1827" s="169"/>
    </row>
    <row r="1828" spans="40:55" ht="15.75" customHeight="1">
      <c r="AN1828" s="458"/>
      <c r="BC1828" s="169"/>
    </row>
    <row r="1829" spans="40:55" ht="15.75" customHeight="1">
      <c r="AN1829" s="458"/>
      <c r="BC1829" s="169"/>
    </row>
    <row r="1830" spans="40:55" ht="15.75" customHeight="1">
      <c r="AN1830" s="458"/>
      <c r="BC1830" s="169"/>
    </row>
    <row r="1831" spans="40:55" ht="15.75" customHeight="1">
      <c r="AN1831" s="458"/>
      <c r="BC1831" s="169"/>
    </row>
    <row r="1832" spans="40:55" ht="15.75" customHeight="1">
      <c r="AN1832" s="458"/>
      <c r="BC1832" s="169"/>
    </row>
    <row r="1833" spans="40:55" ht="15.75" customHeight="1">
      <c r="AN1833" s="458"/>
      <c r="BC1833" s="169"/>
    </row>
    <row r="1834" spans="40:55" ht="15.75" customHeight="1">
      <c r="AN1834" s="458"/>
      <c r="BC1834" s="169"/>
    </row>
    <row r="1835" spans="40:55" ht="15.75" customHeight="1">
      <c r="AN1835" s="458"/>
      <c r="BC1835" s="169"/>
    </row>
    <row r="1836" spans="40:55" ht="15.75" customHeight="1">
      <c r="AN1836" s="458"/>
      <c r="BC1836" s="169"/>
    </row>
    <row r="1837" spans="40:55" ht="15.75" customHeight="1">
      <c r="AN1837" s="458"/>
      <c r="BC1837" s="169"/>
    </row>
    <row r="1838" spans="40:55" ht="15.75" customHeight="1">
      <c r="AN1838" s="458"/>
      <c r="BC1838" s="169"/>
    </row>
    <row r="1839" spans="40:55" ht="15.75" customHeight="1">
      <c r="AN1839" s="458"/>
      <c r="BC1839" s="169"/>
    </row>
    <row r="1840" spans="40:55" ht="15.75" customHeight="1">
      <c r="AN1840" s="458"/>
      <c r="BC1840" s="169"/>
    </row>
    <row r="1841" spans="40:55" ht="15.75" customHeight="1">
      <c r="AN1841" s="458"/>
      <c r="BC1841" s="169"/>
    </row>
    <row r="1842" spans="40:55" ht="15.75" customHeight="1">
      <c r="AN1842" s="458"/>
      <c r="BC1842" s="169"/>
    </row>
    <row r="1843" spans="40:55" ht="15.75" customHeight="1">
      <c r="AN1843" s="458"/>
      <c r="BC1843" s="169"/>
    </row>
    <row r="1844" spans="40:55" ht="15.75" customHeight="1">
      <c r="AN1844" s="458"/>
      <c r="BC1844" s="169"/>
    </row>
    <row r="1845" spans="40:55" ht="15.75" customHeight="1">
      <c r="AN1845" s="458"/>
      <c r="BC1845" s="169"/>
    </row>
    <row r="1846" spans="40:55" ht="15.75" customHeight="1">
      <c r="AN1846" s="458"/>
      <c r="BC1846" s="169"/>
    </row>
    <row r="1847" spans="40:55" ht="15.75" customHeight="1">
      <c r="AN1847" s="458"/>
      <c r="BC1847" s="169"/>
    </row>
    <row r="1848" spans="40:55" ht="15.75" customHeight="1">
      <c r="AN1848" s="458"/>
      <c r="BC1848" s="169"/>
    </row>
    <row r="1849" spans="40:55" ht="15.75" customHeight="1">
      <c r="AN1849" s="458"/>
      <c r="BC1849" s="169"/>
    </row>
    <row r="1850" spans="40:55" ht="15.75" customHeight="1">
      <c r="AN1850" s="458"/>
      <c r="BC1850" s="169"/>
    </row>
    <row r="1851" spans="40:55" ht="15.75" customHeight="1">
      <c r="AN1851" s="458"/>
      <c r="BC1851" s="169"/>
    </row>
    <row r="1852" spans="40:55" ht="15.75" customHeight="1">
      <c r="AN1852" s="458"/>
      <c r="BC1852" s="169"/>
    </row>
    <row r="1853" spans="40:55" ht="15.75" customHeight="1">
      <c r="AN1853" s="458"/>
      <c r="BC1853" s="169"/>
    </row>
    <row r="1854" spans="40:55" ht="15.75" customHeight="1">
      <c r="AN1854" s="458"/>
      <c r="BC1854" s="169"/>
    </row>
    <row r="1855" spans="40:55" ht="15.75" customHeight="1">
      <c r="AN1855" s="458"/>
      <c r="BC1855" s="169"/>
    </row>
    <row r="1856" spans="40:55" ht="15.75" customHeight="1">
      <c r="AN1856" s="458"/>
      <c r="BC1856" s="169"/>
    </row>
    <row r="1857" spans="40:55" ht="15.75" customHeight="1">
      <c r="AN1857" s="458"/>
      <c r="BC1857" s="169"/>
    </row>
    <row r="1858" spans="40:55" ht="15.75" customHeight="1">
      <c r="AN1858" s="458"/>
      <c r="BC1858" s="169"/>
    </row>
    <row r="1859" spans="40:55" ht="15.75" customHeight="1">
      <c r="AN1859" s="458"/>
      <c r="BC1859" s="169"/>
    </row>
    <row r="1860" spans="40:55" ht="15.75" customHeight="1">
      <c r="AN1860" s="458"/>
      <c r="BC1860" s="169"/>
    </row>
    <row r="1861" spans="40:55" ht="15.75" customHeight="1">
      <c r="AN1861" s="458"/>
      <c r="BC1861" s="169"/>
    </row>
    <row r="1862" spans="40:55" ht="15.75" customHeight="1">
      <c r="AN1862" s="458"/>
      <c r="BC1862" s="169"/>
    </row>
    <row r="1863" spans="40:55" ht="15.75" customHeight="1">
      <c r="AN1863" s="458"/>
      <c r="BC1863" s="169"/>
    </row>
    <row r="1864" spans="40:55" ht="15.75" customHeight="1">
      <c r="AN1864" s="458"/>
      <c r="BC1864" s="169"/>
    </row>
    <row r="1865" spans="40:55" ht="15.75" customHeight="1">
      <c r="AN1865" s="458"/>
      <c r="BC1865" s="169"/>
    </row>
    <row r="1866" spans="40:55" ht="15.75" customHeight="1">
      <c r="AN1866" s="458"/>
      <c r="BC1866" s="169"/>
    </row>
    <row r="1867" spans="40:55" ht="15.75" customHeight="1">
      <c r="AN1867" s="458"/>
      <c r="BC1867" s="169"/>
    </row>
    <row r="1868" spans="40:55" ht="15.75" customHeight="1">
      <c r="AN1868" s="458"/>
      <c r="BC1868" s="169"/>
    </row>
    <row r="1869" spans="40:55" ht="15.75" customHeight="1">
      <c r="AN1869" s="458"/>
      <c r="BC1869" s="169"/>
    </row>
    <row r="1870" spans="40:55" ht="15.75" customHeight="1">
      <c r="AN1870" s="458"/>
      <c r="BC1870" s="169"/>
    </row>
    <row r="1871" spans="40:55" ht="15.75" customHeight="1">
      <c r="AN1871" s="458"/>
      <c r="BC1871" s="169"/>
    </row>
    <row r="1872" spans="40:55" ht="15.75" customHeight="1">
      <c r="AN1872" s="458"/>
      <c r="BC1872" s="169"/>
    </row>
    <row r="1873" spans="40:55" ht="15.75" customHeight="1">
      <c r="AN1873" s="458"/>
      <c r="BC1873" s="169"/>
    </row>
    <row r="1874" spans="40:55" ht="15.75" customHeight="1">
      <c r="AN1874" s="458"/>
      <c r="BC1874" s="169"/>
    </row>
    <row r="1875" spans="40:55" ht="15.75" customHeight="1">
      <c r="AN1875" s="458"/>
      <c r="BC1875" s="169"/>
    </row>
    <row r="1876" spans="40:55" ht="15.75" customHeight="1">
      <c r="AN1876" s="458"/>
      <c r="BC1876" s="169"/>
    </row>
    <row r="1877" spans="40:55" ht="15.75" customHeight="1">
      <c r="AN1877" s="458"/>
      <c r="BC1877" s="169"/>
    </row>
    <row r="1878" spans="40:55" ht="15.75" customHeight="1">
      <c r="AN1878" s="458"/>
      <c r="BC1878" s="169"/>
    </row>
    <row r="1879" spans="40:55" ht="15.75" customHeight="1">
      <c r="AN1879" s="458"/>
      <c r="BC1879" s="169"/>
    </row>
    <row r="1880" spans="40:55" ht="15.75" customHeight="1">
      <c r="AN1880" s="458"/>
      <c r="BC1880" s="169"/>
    </row>
    <row r="1881" spans="40:55" ht="15.75" customHeight="1">
      <c r="AN1881" s="458"/>
      <c r="BC1881" s="169"/>
    </row>
    <row r="1882" spans="40:55" ht="15.75" customHeight="1">
      <c r="AN1882" s="458"/>
      <c r="BC1882" s="169"/>
    </row>
    <row r="1883" spans="40:55" ht="15.75" customHeight="1">
      <c r="AN1883" s="458"/>
      <c r="BC1883" s="169"/>
    </row>
    <row r="1884" spans="40:55" ht="15.75" customHeight="1">
      <c r="AN1884" s="458"/>
      <c r="BC1884" s="169"/>
    </row>
    <row r="1885" spans="40:55" ht="15.75" customHeight="1">
      <c r="AN1885" s="458"/>
      <c r="BC1885" s="169"/>
    </row>
    <row r="1886" spans="40:55" ht="15.75" customHeight="1">
      <c r="AN1886" s="458"/>
      <c r="BC1886" s="169"/>
    </row>
    <row r="1887" spans="40:55" ht="15.75" customHeight="1">
      <c r="AN1887" s="458"/>
      <c r="BC1887" s="169"/>
    </row>
    <row r="1888" spans="40:55" ht="15.75" customHeight="1">
      <c r="AN1888" s="458"/>
      <c r="BC1888" s="169"/>
    </row>
    <row r="1889" spans="40:55" ht="15.75" customHeight="1">
      <c r="AN1889" s="458"/>
      <c r="BC1889" s="169"/>
    </row>
    <row r="1890" spans="40:55" ht="15.75" customHeight="1">
      <c r="AN1890" s="458"/>
      <c r="BC1890" s="169"/>
    </row>
    <row r="1891" spans="40:55" ht="15.75" customHeight="1">
      <c r="AN1891" s="458"/>
      <c r="BC1891" s="169"/>
    </row>
    <row r="1892" spans="40:55" ht="15.75" customHeight="1">
      <c r="AN1892" s="458"/>
      <c r="BC1892" s="169"/>
    </row>
    <row r="1893" spans="40:55" ht="15.75" customHeight="1">
      <c r="AN1893" s="458"/>
      <c r="BC1893" s="169"/>
    </row>
    <row r="1894" spans="40:55" ht="15.75" customHeight="1">
      <c r="AN1894" s="458"/>
      <c r="BC1894" s="169"/>
    </row>
    <row r="1895" spans="40:55" ht="15.75" customHeight="1">
      <c r="AN1895" s="458"/>
      <c r="BC1895" s="169"/>
    </row>
    <row r="1896" spans="40:55" ht="15.75" customHeight="1">
      <c r="AN1896" s="458"/>
      <c r="BC1896" s="169"/>
    </row>
    <row r="1897" spans="40:55" ht="15.75" customHeight="1">
      <c r="AN1897" s="458"/>
      <c r="BC1897" s="169"/>
    </row>
    <row r="1898" spans="40:55" ht="15.75" customHeight="1">
      <c r="AN1898" s="458"/>
      <c r="BC1898" s="169"/>
    </row>
    <row r="1899" spans="40:55" ht="15.75" customHeight="1">
      <c r="AN1899" s="458"/>
      <c r="BC1899" s="169"/>
    </row>
    <row r="1900" spans="40:55" ht="15.75" customHeight="1">
      <c r="AN1900" s="458"/>
      <c r="BC1900" s="169"/>
    </row>
    <row r="1901" spans="40:55" ht="15.75" customHeight="1">
      <c r="AN1901" s="458"/>
      <c r="BC1901" s="169"/>
    </row>
    <row r="1902" spans="40:55" ht="15.75" customHeight="1">
      <c r="AN1902" s="458"/>
      <c r="BC1902" s="169"/>
    </row>
    <row r="1903" spans="40:55" ht="15.75" customHeight="1">
      <c r="AN1903" s="458"/>
      <c r="BC1903" s="169"/>
    </row>
    <row r="1904" spans="40:55" ht="15.75" customHeight="1">
      <c r="AN1904" s="458"/>
      <c r="BC1904" s="169"/>
    </row>
    <row r="1905" spans="40:55" ht="15.75" customHeight="1">
      <c r="AN1905" s="458"/>
      <c r="BC1905" s="169"/>
    </row>
    <row r="1906" spans="40:55" ht="15.75" customHeight="1">
      <c r="AN1906" s="458"/>
      <c r="BC1906" s="169"/>
    </row>
    <row r="1907" spans="40:55" ht="15.75" customHeight="1">
      <c r="AN1907" s="458"/>
      <c r="BC1907" s="169"/>
    </row>
    <row r="1908" spans="40:55" ht="15.75" customHeight="1">
      <c r="AN1908" s="458"/>
      <c r="BC1908" s="169"/>
    </row>
    <row r="1909" spans="40:55" ht="15.75" customHeight="1">
      <c r="AN1909" s="458"/>
      <c r="BC1909" s="169"/>
    </row>
    <row r="1910" spans="40:55" ht="15.75" customHeight="1">
      <c r="AN1910" s="458"/>
      <c r="BC1910" s="169"/>
    </row>
    <row r="1911" spans="40:55" ht="15.75" customHeight="1">
      <c r="AN1911" s="458"/>
      <c r="BC1911" s="169"/>
    </row>
    <row r="1912" spans="40:55" ht="15.75" customHeight="1">
      <c r="AN1912" s="458"/>
      <c r="BC1912" s="169"/>
    </row>
    <row r="1913" spans="40:55" ht="15.75" customHeight="1">
      <c r="AN1913" s="458"/>
      <c r="BC1913" s="169"/>
    </row>
    <row r="1914" spans="40:55" ht="15.75" customHeight="1">
      <c r="AN1914" s="458"/>
      <c r="BC1914" s="169"/>
    </row>
    <row r="1915" spans="40:55" ht="15.75" customHeight="1">
      <c r="AN1915" s="458"/>
      <c r="BC1915" s="169"/>
    </row>
    <row r="1916" spans="40:55" ht="15.75" customHeight="1">
      <c r="AN1916" s="458"/>
      <c r="BC1916" s="169"/>
    </row>
    <row r="1917" spans="40:55" ht="15.75" customHeight="1">
      <c r="AN1917" s="458"/>
      <c r="BC1917" s="169"/>
    </row>
    <row r="1918" spans="40:55" ht="15.75" customHeight="1">
      <c r="AN1918" s="458"/>
      <c r="BC1918" s="169"/>
    </row>
    <row r="1919" spans="40:55" ht="15.75" customHeight="1">
      <c r="AN1919" s="458"/>
      <c r="BC1919" s="169"/>
    </row>
    <row r="1920" spans="40:55" ht="15.75" customHeight="1">
      <c r="AN1920" s="458"/>
      <c r="BC1920" s="169"/>
    </row>
    <row r="1921" spans="40:55" ht="15.75" customHeight="1">
      <c r="AN1921" s="458"/>
      <c r="BC1921" s="169"/>
    </row>
    <row r="1922" spans="40:55" ht="15.75" customHeight="1">
      <c r="AN1922" s="458"/>
      <c r="BC1922" s="169"/>
    </row>
    <row r="1923" spans="40:55" ht="15.75" customHeight="1">
      <c r="AN1923" s="458"/>
      <c r="BC1923" s="169"/>
    </row>
    <row r="1924" spans="40:55" ht="15.75" customHeight="1">
      <c r="AN1924" s="458"/>
      <c r="BC1924" s="169"/>
    </row>
    <row r="1925" spans="40:55" ht="15.75" customHeight="1">
      <c r="AN1925" s="458"/>
      <c r="BC1925" s="169"/>
    </row>
    <row r="1926" spans="40:55" ht="15.75" customHeight="1">
      <c r="AN1926" s="458"/>
      <c r="BC1926" s="169"/>
    </row>
    <row r="1927" spans="40:55" ht="15.75" customHeight="1">
      <c r="AN1927" s="458"/>
      <c r="BC1927" s="169"/>
    </row>
    <row r="1928" spans="40:55" ht="15.75" customHeight="1">
      <c r="AN1928" s="458"/>
      <c r="BC1928" s="169"/>
    </row>
    <row r="1929" spans="40:55" ht="15.75" customHeight="1">
      <c r="AN1929" s="458"/>
      <c r="BC1929" s="169"/>
    </row>
    <row r="1930" spans="40:55" ht="15.75" customHeight="1">
      <c r="AN1930" s="458"/>
      <c r="BC1930" s="169"/>
    </row>
    <row r="1931" spans="40:55" ht="15.75" customHeight="1">
      <c r="AN1931" s="458"/>
      <c r="BC1931" s="169"/>
    </row>
    <row r="1932" spans="40:55" ht="15.75" customHeight="1">
      <c r="AN1932" s="458"/>
      <c r="BC1932" s="169"/>
    </row>
    <row r="1933" spans="40:55" ht="15.75" customHeight="1">
      <c r="AN1933" s="458"/>
      <c r="BC1933" s="169"/>
    </row>
    <row r="1934" spans="40:55" ht="15.75" customHeight="1">
      <c r="AN1934" s="458"/>
      <c r="BC1934" s="169"/>
    </row>
    <row r="1935" spans="40:55" ht="15.75" customHeight="1">
      <c r="AN1935" s="458"/>
      <c r="BC1935" s="169"/>
    </row>
    <row r="1936" spans="40:55" ht="15.75" customHeight="1">
      <c r="AN1936" s="458"/>
      <c r="BC1936" s="169"/>
    </row>
    <row r="1937" spans="40:55" ht="15.75" customHeight="1">
      <c r="AN1937" s="458"/>
      <c r="BC1937" s="169"/>
    </row>
    <row r="1938" spans="40:55" ht="15.75" customHeight="1">
      <c r="AN1938" s="458"/>
      <c r="BC1938" s="169"/>
    </row>
    <row r="1939" spans="40:55" ht="15.75" customHeight="1">
      <c r="AN1939" s="458"/>
      <c r="BC1939" s="169"/>
    </row>
    <row r="1940" spans="40:55" ht="15.75" customHeight="1">
      <c r="AN1940" s="458"/>
      <c r="BC1940" s="169"/>
    </row>
    <row r="1941" spans="40:55" ht="15.75" customHeight="1">
      <c r="AN1941" s="458"/>
      <c r="BC1941" s="169"/>
    </row>
    <row r="1942" spans="40:55" ht="15.75" customHeight="1">
      <c r="AN1942" s="458"/>
      <c r="BC1942" s="169"/>
    </row>
    <row r="1943" spans="40:55" ht="15.75" customHeight="1">
      <c r="AN1943" s="458"/>
      <c r="BC1943" s="169"/>
    </row>
    <row r="1944" spans="40:55" ht="15.75" customHeight="1">
      <c r="AN1944" s="458"/>
      <c r="BC1944" s="169"/>
    </row>
    <row r="1945" spans="40:55" ht="15.75" customHeight="1">
      <c r="AN1945" s="458"/>
      <c r="BC1945" s="169"/>
    </row>
    <row r="1946" spans="40:55" ht="15.75" customHeight="1">
      <c r="AN1946" s="458"/>
      <c r="BC1946" s="169"/>
    </row>
    <row r="1947" spans="40:55" ht="15.75" customHeight="1">
      <c r="AN1947" s="458"/>
      <c r="BC1947" s="169"/>
    </row>
    <row r="1948" spans="40:55" ht="15.75" customHeight="1">
      <c r="AN1948" s="458"/>
      <c r="BC1948" s="169"/>
    </row>
    <row r="1949" spans="40:55" ht="15.75" customHeight="1">
      <c r="AN1949" s="458"/>
      <c r="BC1949" s="169"/>
    </row>
    <row r="1950" spans="40:55" ht="15.75" customHeight="1">
      <c r="AN1950" s="458"/>
      <c r="BC1950" s="169"/>
    </row>
    <row r="1951" spans="40:55" ht="15.75" customHeight="1">
      <c r="AN1951" s="458"/>
      <c r="BC1951" s="169"/>
    </row>
    <row r="1952" spans="40:55" ht="15.75" customHeight="1">
      <c r="AN1952" s="458"/>
      <c r="BC1952" s="169"/>
    </row>
    <row r="1953" spans="40:55" ht="15.75" customHeight="1">
      <c r="AN1953" s="458"/>
      <c r="BC1953" s="169"/>
    </row>
    <row r="1954" spans="40:55" ht="15.75" customHeight="1">
      <c r="AN1954" s="458"/>
      <c r="BC1954" s="169"/>
    </row>
    <row r="1955" spans="40:55" ht="15.75" customHeight="1">
      <c r="AN1955" s="458"/>
      <c r="BC1955" s="169"/>
    </row>
    <row r="1956" spans="40:55" ht="15.75" customHeight="1">
      <c r="AN1956" s="458"/>
      <c r="BC1956" s="169"/>
    </row>
    <row r="1957" spans="40:55" ht="15.75" customHeight="1">
      <c r="AN1957" s="458"/>
      <c r="BC1957" s="169"/>
    </row>
    <row r="1958" spans="40:55" ht="15.75" customHeight="1">
      <c r="AN1958" s="458"/>
      <c r="BC1958" s="169"/>
    </row>
    <row r="1959" spans="40:55" ht="15.75" customHeight="1">
      <c r="AN1959" s="458"/>
      <c r="BC1959" s="169"/>
    </row>
    <row r="1960" spans="40:55" ht="15.75" customHeight="1">
      <c r="AN1960" s="458"/>
      <c r="BC1960" s="169"/>
    </row>
    <row r="1961" spans="40:55" ht="15.75" customHeight="1">
      <c r="AN1961" s="458"/>
      <c r="BC1961" s="169"/>
    </row>
    <row r="1962" spans="40:55" ht="15.75" customHeight="1">
      <c r="AN1962" s="458"/>
      <c r="BC1962" s="169"/>
    </row>
    <row r="1963" spans="40:55" ht="15.75" customHeight="1">
      <c r="AN1963" s="458"/>
      <c r="BC1963" s="169"/>
    </row>
    <row r="1964" spans="40:55" ht="15.75" customHeight="1">
      <c r="AN1964" s="458"/>
      <c r="BC1964" s="169"/>
    </row>
    <row r="1965" spans="40:55" ht="15.75" customHeight="1">
      <c r="AN1965" s="458"/>
      <c r="BC1965" s="169"/>
    </row>
    <row r="1966" spans="40:55" ht="15.75" customHeight="1">
      <c r="AN1966" s="458"/>
      <c r="BC1966" s="169"/>
    </row>
    <row r="1967" spans="40:55" ht="15.75" customHeight="1">
      <c r="AN1967" s="458"/>
      <c r="BC1967" s="169"/>
    </row>
    <row r="1968" spans="40:55" ht="15.75" customHeight="1">
      <c r="AN1968" s="458"/>
      <c r="BC1968" s="169"/>
    </row>
    <row r="1969" spans="40:55" ht="15.75" customHeight="1">
      <c r="AN1969" s="458"/>
      <c r="BC1969" s="169"/>
    </row>
    <row r="1970" spans="40:55" ht="15.75" customHeight="1">
      <c r="AN1970" s="458"/>
      <c r="BC1970" s="169"/>
    </row>
    <row r="1971" spans="40:55" ht="15.75" customHeight="1">
      <c r="AN1971" s="458"/>
      <c r="BC1971" s="169"/>
    </row>
    <row r="1972" spans="40:55" ht="15.75" customHeight="1">
      <c r="AN1972" s="458"/>
      <c r="BC1972" s="169"/>
    </row>
    <row r="1973" spans="40:55" ht="15.75" customHeight="1">
      <c r="AN1973" s="458"/>
      <c r="BC1973" s="169"/>
    </row>
    <row r="1974" spans="40:55" ht="15.75" customHeight="1">
      <c r="AN1974" s="458"/>
      <c r="BC1974" s="169"/>
    </row>
    <row r="1975" spans="40:55" ht="15.75" customHeight="1">
      <c r="AN1975" s="458"/>
      <c r="BC1975" s="169"/>
    </row>
    <row r="1976" spans="40:55" ht="15.75" customHeight="1">
      <c r="AN1976" s="458"/>
      <c r="BC1976" s="169"/>
    </row>
    <row r="1977" spans="40:55" ht="15.75" customHeight="1">
      <c r="AN1977" s="458"/>
      <c r="BC1977" s="169"/>
    </row>
    <row r="1978" spans="40:55" ht="15.75" customHeight="1">
      <c r="AN1978" s="458"/>
      <c r="BC1978" s="169"/>
    </row>
    <row r="1979" spans="40:55" ht="15.75" customHeight="1">
      <c r="AN1979" s="458"/>
      <c r="BC1979" s="169"/>
    </row>
    <row r="1980" spans="40:55" ht="15.75" customHeight="1">
      <c r="AN1980" s="458"/>
      <c r="BC1980" s="169"/>
    </row>
    <row r="1981" spans="40:55" ht="15.75" customHeight="1">
      <c r="AN1981" s="458"/>
      <c r="BC1981" s="169"/>
    </row>
    <row r="1982" spans="40:55" ht="15.75" customHeight="1">
      <c r="AN1982" s="458"/>
      <c r="BC1982" s="169"/>
    </row>
    <row r="1983" spans="40:55" ht="15.75" customHeight="1">
      <c r="AN1983" s="458"/>
      <c r="BC1983" s="169"/>
    </row>
    <row r="1984" spans="40:55" ht="15.75" customHeight="1">
      <c r="AN1984" s="458"/>
      <c r="BC1984" s="169"/>
    </row>
    <row r="1985" spans="40:55" ht="15.75" customHeight="1">
      <c r="AN1985" s="458"/>
      <c r="BC1985" s="169"/>
    </row>
    <row r="1986" spans="40:55" ht="15.75" customHeight="1">
      <c r="AN1986" s="458"/>
      <c r="BC1986" s="169"/>
    </row>
    <row r="1987" spans="40:55" ht="15.75" customHeight="1">
      <c r="AN1987" s="458"/>
      <c r="BC1987" s="169"/>
    </row>
    <row r="1988" spans="40:55" ht="15.75" customHeight="1">
      <c r="AN1988" s="458"/>
      <c r="BC1988" s="169"/>
    </row>
    <row r="1989" spans="40:55" ht="15.75" customHeight="1">
      <c r="AN1989" s="458"/>
      <c r="BC1989" s="169"/>
    </row>
    <row r="1990" spans="40:55" ht="15.75" customHeight="1">
      <c r="AN1990" s="458"/>
      <c r="BC1990" s="169"/>
    </row>
    <row r="1991" spans="40:55" ht="15.75" customHeight="1">
      <c r="AN1991" s="458"/>
    </row>
    <row r="1992" spans="40:55" ht="15.75" customHeight="1">
      <c r="AN1992" s="458"/>
    </row>
    <row r="1993" spans="40:55" ht="15.75" customHeight="1">
      <c r="AN1993" s="458"/>
    </row>
    <row r="1994" spans="40:55" ht="15.75" customHeight="1">
      <c r="AN1994" s="458"/>
    </row>
    <row r="1995" spans="40:55" ht="15.75" customHeight="1">
      <c r="AN1995" s="458"/>
    </row>
    <row r="1996" spans="40:55" ht="15.75" customHeight="1">
      <c r="AN1996" s="458"/>
    </row>
    <row r="1997" spans="40:55" ht="15.75" customHeight="1">
      <c r="AN1997" s="458"/>
    </row>
    <row r="1998" spans="40:55" ht="15.75" customHeight="1">
      <c r="AN1998" s="458"/>
    </row>
    <row r="1999" spans="40:55" ht="15.75" customHeight="1">
      <c r="AN1999" s="458"/>
    </row>
    <row r="2000" spans="40:55" ht="15.75" customHeight="1">
      <c r="AN2000" s="458"/>
    </row>
    <row r="2001" spans="40:40" ht="15.75" customHeight="1">
      <c r="AN2001" s="458"/>
    </row>
    <row r="2002" spans="40:40" ht="15.75" customHeight="1">
      <c r="AN2002" s="458"/>
    </row>
    <row r="2003" spans="40:40" ht="15.75" customHeight="1">
      <c r="AN2003" s="458"/>
    </row>
    <row r="2004" spans="40:40" ht="15.75" customHeight="1">
      <c r="AN2004" s="458"/>
    </row>
    <row r="2005" spans="40:40" ht="15.75" customHeight="1">
      <c r="AN2005" s="458"/>
    </row>
    <row r="2006" spans="40:40" ht="15.75" customHeight="1">
      <c r="AN2006" s="458"/>
    </row>
    <row r="2007" spans="40:40" ht="15.75" customHeight="1">
      <c r="AN2007" s="458"/>
    </row>
    <row r="2008" spans="40:40" ht="15.75" customHeight="1">
      <c r="AN2008" s="458"/>
    </row>
    <row r="2009" spans="40:40" ht="15.75" customHeight="1">
      <c r="AN2009" s="458"/>
    </row>
    <row r="2010" spans="40:40" ht="15.75" customHeight="1">
      <c r="AN2010" s="458"/>
    </row>
    <row r="2011" spans="40:40" ht="15.75" customHeight="1">
      <c r="AN2011" s="458"/>
    </row>
    <row r="2012" spans="40:40" ht="15.75" customHeight="1">
      <c r="AN2012" s="458"/>
    </row>
    <row r="2013" spans="40:40" ht="15.75" customHeight="1">
      <c r="AN2013" s="458"/>
    </row>
    <row r="2014" spans="40:40" ht="15.75" customHeight="1">
      <c r="AN2014" s="458"/>
    </row>
    <row r="2015" spans="40:40" ht="15.75" customHeight="1">
      <c r="AN2015" s="458"/>
    </row>
    <row r="2016" spans="40:40" ht="15.75" customHeight="1">
      <c r="AN2016" s="458"/>
    </row>
    <row r="2017" spans="40:40" ht="15.75" customHeight="1">
      <c r="AN2017" s="458"/>
    </row>
    <row r="2018" spans="40:40" ht="15.75" customHeight="1">
      <c r="AN2018" s="458"/>
    </row>
    <row r="2019" spans="40:40" ht="15.75" customHeight="1">
      <c r="AN2019" s="458"/>
    </row>
    <row r="2020" spans="40:40" ht="15.75" customHeight="1">
      <c r="AN2020" s="458"/>
    </row>
    <row r="2021" spans="40:40" ht="15.75" customHeight="1">
      <c r="AN2021" s="458"/>
    </row>
    <row r="2022" spans="40:40" ht="15.75" customHeight="1">
      <c r="AN2022" s="458"/>
    </row>
    <row r="2023" spans="40:40" ht="15.75" customHeight="1">
      <c r="AN2023" s="458"/>
    </row>
    <row r="2024" spans="40:40" ht="15.75" customHeight="1">
      <c r="AN2024" s="458"/>
    </row>
    <row r="2025" spans="40:40" ht="15.75" customHeight="1">
      <c r="AN2025" s="458"/>
    </row>
    <row r="2026" spans="40:40" ht="15.75" customHeight="1">
      <c r="AN2026" s="458"/>
    </row>
    <row r="2027" spans="40:40" ht="15.75" customHeight="1">
      <c r="AN2027" s="458"/>
    </row>
    <row r="2028" spans="40:40" ht="15.75" customHeight="1">
      <c r="AN2028" s="458"/>
    </row>
    <row r="2029" spans="40:40" ht="15.75" customHeight="1">
      <c r="AN2029" s="458"/>
    </row>
    <row r="2030" spans="40:40" ht="15.75" customHeight="1">
      <c r="AN2030" s="458"/>
    </row>
    <row r="2031" spans="40:40" ht="15.75" customHeight="1">
      <c r="AN2031" s="458"/>
    </row>
    <row r="2032" spans="40:40" ht="15.75" customHeight="1">
      <c r="AN2032" s="458"/>
    </row>
    <row r="2033" spans="40:40" ht="15.75" customHeight="1">
      <c r="AN2033" s="458"/>
    </row>
    <row r="2034" spans="40:40" ht="15.75" customHeight="1">
      <c r="AN2034" s="458"/>
    </row>
    <row r="2035" spans="40:40" ht="15.75" customHeight="1">
      <c r="AN2035" s="458"/>
    </row>
    <row r="2036" spans="40:40" ht="15.75" customHeight="1">
      <c r="AN2036" s="458"/>
    </row>
    <row r="2037" spans="40:40" ht="15.75" customHeight="1">
      <c r="AN2037" s="458"/>
    </row>
    <row r="2038" spans="40:40" ht="15.75" customHeight="1">
      <c r="AN2038" s="458"/>
    </row>
    <row r="2039" spans="40:40" ht="15.75" customHeight="1">
      <c r="AN2039" s="458"/>
    </row>
    <row r="2040" spans="40:40" ht="15.75" customHeight="1">
      <c r="AN2040" s="458"/>
    </row>
    <row r="2041" spans="40:40" ht="15.75" customHeight="1">
      <c r="AN2041" s="458"/>
    </row>
    <row r="2042" spans="40:40" ht="15.75" customHeight="1">
      <c r="AN2042" s="458"/>
    </row>
    <row r="2043" spans="40:40" ht="15.75" customHeight="1">
      <c r="AN2043" s="458"/>
    </row>
    <row r="2044" spans="40:40" ht="15.75" customHeight="1">
      <c r="AN2044" s="458"/>
    </row>
    <row r="2045" spans="40:40" ht="15.75" customHeight="1">
      <c r="AN2045" s="458"/>
    </row>
    <row r="2046" spans="40:40" ht="15.75" customHeight="1">
      <c r="AN2046" s="458"/>
    </row>
    <row r="2047" spans="40:40" ht="15.75" customHeight="1">
      <c r="AN2047" s="458"/>
    </row>
    <row r="2048" spans="40:40" ht="15.75" customHeight="1">
      <c r="AN2048" s="458"/>
    </row>
    <row r="2049" spans="40:40" ht="15.75" customHeight="1">
      <c r="AN2049" s="458"/>
    </row>
    <row r="2050" spans="40:40" ht="15.75" customHeight="1">
      <c r="AN2050" s="458"/>
    </row>
    <row r="2051" spans="40:40" ht="15.75" customHeight="1">
      <c r="AN2051" s="458"/>
    </row>
    <row r="2052" spans="40:40" ht="15.75" customHeight="1">
      <c r="AN2052" s="458"/>
    </row>
    <row r="2053" spans="40:40" ht="15.75" customHeight="1">
      <c r="AN2053" s="458"/>
    </row>
    <row r="2054" spans="40:40" ht="15.75" customHeight="1">
      <c r="AN2054" s="458"/>
    </row>
    <row r="2055" spans="40:40" ht="15.75" customHeight="1">
      <c r="AN2055" s="458"/>
    </row>
    <row r="2056" spans="40:40" ht="15.75" customHeight="1">
      <c r="AN2056" s="458"/>
    </row>
    <row r="2057" spans="40:40" ht="15.75" customHeight="1">
      <c r="AN2057" s="458"/>
    </row>
    <row r="2058" spans="40:40" ht="15.75" customHeight="1">
      <c r="AN2058" s="458"/>
    </row>
    <row r="2059" spans="40:40" ht="15.75" customHeight="1">
      <c r="AN2059" s="458"/>
    </row>
    <row r="2060" spans="40:40" ht="15.75" customHeight="1">
      <c r="AN2060" s="458"/>
    </row>
    <row r="2061" spans="40:40" ht="15.75" customHeight="1">
      <c r="AN2061" s="458"/>
    </row>
    <row r="2062" spans="40:40" ht="15.75" customHeight="1">
      <c r="AN2062" s="458"/>
    </row>
    <row r="2063" spans="40:40" ht="15.75" customHeight="1">
      <c r="AN2063" s="458"/>
    </row>
    <row r="2064" spans="40:40" ht="15.75" customHeight="1">
      <c r="AN2064" s="458"/>
    </row>
    <row r="2065" spans="40:40" ht="15.75" customHeight="1">
      <c r="AN2065" s="458"/>
    </row>
    <row r="2066" spans="40:40" ht="15.75" customHeight="1">
      <c r="AN2066" s="458"/>
    </row>
    <row r="2067" spans="40:40" ht="15.75" customHeight="1">
      <c r="AN2067" s="458"/>
    </row>
    <row r="2068" spans="40:40" ht="15.75" customHeight="1">
      <c r="AN2068" s="458"/>
    </row>
    <row r="2069" spans="40:40" ht="15.75" customHeight="1">
      <c r="AN2069" s="458"/>
    </row>
    <row r="2070" spans="40:40" ht="15.75" customHeight="1">
      <c r="AN2070" s="458"/>
    </row>
    <row r="2071" spans="40:40" ht="15.75" customHeight="1">
      <c r="AN2071" s="458"/>
    </row>
    <row r="2072" spans="40:40" ht="15.75" customHeight="1">
      <c r="AN2072" s="458"/>
    </row>
    <row r="2073" spans="40:40" ht="15.75" customHeight="1">
      <c r="AN2073" s="458"/>
    </row>
    <row r="2074" spans="40:40" ht="15.75" customHeight="1">
      <c r="AN2074" s="458"/>
    </row>
    <row r="2075" spans="40:40" ht="15.75" customHeight="1">
      <c r="AN2075" s="458"/>
    </row>
    <row r="2076" spans="40:40" ht="15.75" customHeight="1">
      <c r="AN2076" s="458"/>
    </row>
    <row r="2077" spans="40:40" ht="15.75" customHeight="1">
      <c r="AN2077" s="458"/>
    </row>
    <row r="2078" spans="40:40" ht="15.75" customHeight="1">
      <c r="AN2078" s="458"/>
    </row>
    <row r="2079" spans="40:40" ht="15.75" customHeight="1">
      <c r="AN2079" s="458"/>
    </row>
    <row r="2080" spans="40:40" ht="15.75" customHeight="1">
      <c r="AN2080" s="458"/>
    </row>
    <row r="2081" spans="40:40" ht="15.75" customHeight="1">
      <c r="AN2081" s="458"/>
    </row>
    <row r="2082" spans="40:40" ht="15.75" customHeight="1">
      <c r="AN2082" s="458"/>
    </row>
    <row r="2083" spans="40:40" ht="15.75" customHeight="1">
      <c r="AN2083" s="458"/>
    </row>
    <row r="2084" spans="40:40" ht="15.75" customHeight="1">
      <c r="AN2084" s="458"/>
    </row>
    <row r="2085" spans="40:40" ht="15.75" customHeight="1">
      <c r="AN2085" s="458"/>
    </row>
    <row r="2086" spans="40:40" ht="15.75" customHeight="1">
      <c r="AN2086" s="458"/>
    </row>
    <row r="2087" spans="40:40" ht="15.75" customHeight="1">
      <c r="AN2087" s="458"/>
    </row>
    <row r="2088" spans="40:40" ht="15.75" customHeight="1">
      <c r="AN2088" s="458"/>
    </row>
    <row r="2089" spans="40:40" ht="15.75" customHeight="1">
      <c r="AN2089" s="458"/>
    </row>
    <row r="2090" spans="40:40" ht="15.75" customHeight="1">
      <c r="AN2090" s="458"/>
    </row>
    <row r="2091" spans="40:40" ht="15.75" customHeight="1">
      <c r="AN2091" s="458"/>
    </row>
    <row r="2092" spans="40:40" ht="15.75" customHeight="1">
      <c r="AN2092" s="458"/>
    </row>
    <row r="2093" spans="40:40" ht="15.75" customHeight="1">
      <c r="AN2093" s="458"/>
    </row>
    <row r="2094" spans="40:40" ht="15.75" customHeight="1">
      <c r="AN2094" s="458"/>
    </row>
    <row r="2095" spans="40:40" ht="15.75" customHeight="1">
      <c r="AN2095" s="458"/>
    </row>
    <row r="2096" spans="40:40" ht="15.75" customHeight="1">
      <c r="AN2096" s="458"/>
    </row>
    <row r="2097" spans="40:40" ht="15.75" customHeight="1">
      <c r="AN2097" s="458"/>
    </row>
    <row r="2098" spans="40:40" ht="15.75" customHeight="1">
      <c r="AN2098" s="458"/>
    </row>
    <row r="2099" spans="40:40" ht="15.75" customHeight="1">
      <c r="AN2099" s="458"/>
    </row>
    <row r="2100" spans="40:40" ht="15.75" customHeight="1">
      <c r="AN2100" s="458"/>
    </row>
    <row r="2101" spans="40:40" ht="15.75" customHeight="1">
      <c r="AN2101" s="458"/>
    </row>
    <row r="2102" spans="40:40" ht="15.75" customHeight="1">
      <c r="AN2102" s="458"/>
    </row>
    <row r="2103" spans="40:40" ht="15.75" customHeight="1">
      <c r="AN2103" s="458"/>
    </row>
    <row r="2104" spans="40:40" ht="15.75" customHeight="1">
      <c r="AN2104" s="458"/>
    </row>
    <row r="2105" spans="40:40" ht="15.75" customHeight="1">
      <c r="AN2105" s="458"/>
    </row>
    <row r="2106" spans="40:40" ht="15.75" customHeight="1">
      <c r="AN2106" s="458"/>
    </row>
    <row r="2107" spans="40:40" ht="15.75" customHeight="1">
      <c r="AN2107" s="458"/>
    </row>
    <row r="2108" spans="40:40" ht="15.75" customHeight="1">
      <c r="AN2108" s="458"/>
    </row>
    <row r="2109" spans="40:40" ht="15.75" customHeight="1">
      <c r="AN2109" s="458"/>
    </row>
    <row r="2110" spans="40:40" ht="15.75" customHeight="1">
      <c r="AN2110" s="458"/>
    </row>
    <row r="2111" spans="40:40" ht="15.75" customHeight="1">
      <c r="AN2111" s="458"/>
    </row>
    <row r="2112" spans="40:40" ht="15.75" customHeight="1">
      <c r="AN2112" s="458"/>
    </row>
    <row r="2113" spans="40:40" ht="15.75" customHeight="1">
      <c r="AN2113" s="458"/>
    </row>
    <row r="2114" spans="40:40" ht="15.75" customHeight="1">
      <c r="AN2114" s="458"/>
    </row>
    <row r="2115" spans="40:40" ht="15.75" customHeight="1">
      <c r="AN2115" s="458"/>
    </row>
    <row r="2116" spans="40:40" ht="15.75" customHeight="1">
      <c r="AN2116" s="458"/>
    </row>
    <row r="2117" spans="40:40" ht="15.75" customHeight="1">
      <c r="AN2117" s="458"/>
    </row>
    <row r="2118" spans="40:40" ht="15.75" customHeight="1">
      <c r="AN2118" s="458"/>
    </row>
    <row r="2119" spans="40:40" ht="15.75" customHeight="1">
      <c r="AN2119" s="458"/>
    </row>
    <row r="2120" spans="40:40" ht="15.75" customHeight="1">
      <c r="AN2120" s="458"/>
    </row>
    <row r="2121" spans="40:40" ht="15.75" customHeight="1">
      <c r="AN2121" s="458"/>
    </row>
    <row r="2122" spans="40:40" ht="15.75" customHeight="1">
      <c r="AN2122" s="458"/>
    </row>
    <row r="2123" spans="40:40" ht="15.75" customHeight="1">
      <c r="AN2123" s="458"/>
    </row>
    <row r="2124" spans="40:40" ht="15.75" customHeight="1">
      <c r="AN2124" s="458"/>
    </row>
    <row r="2125" spans="40:40" ht="15.75" customHeight="1">
      <c r="AN2125" s="458"/>
    </row>
    <row r="2126" spans="40:40" ht="15.75" customHeight="1">
      <c r="AN2126" s="458"/>
    </row>
    <row r="2127" spans="40:40" ht="15.75" customHeight="1">
      <c r="AN2127" s="458"/>
    </row>
    <row r="2128" spans="40:40" ht="15.75" customHeight="1">
      <c r="AN2128" s="458"/>
    </row>
    <row r="2129" spans="40:40" ht="15.75" customHeight="1">
      <c r="AN2129" s="458"/>
    </row>
    <row r="2130" spans="40:40" ht="15.75" customHeight="1">
      <c r="AN2130" s="458"/>
    </row>
    <row r="2131" spans="40:40" ht="15.75" customHeight="1">
      <c r="AN2131" s="458"/>
    </row>
    <row r="2132" spans="40:40" ht="15.75" customHeight="1">
      <c r="AN2132" s="458"/>
    </row>
    <row r="2133" spans="40:40" ht="15.75" customHeight="1">
      <c r="AN2133" s="458"/>
    </row>
    <row r="2134" spans="40:40" ht="15.75" customHeight="1">
      <c r="AN2134" s="458"/>
    </row>
    <row r="2135" spans="40:40" ht="15.75" customHeight="1">
      <c r="AN2135" s="458"/>
    </row>
    <row r="2136" spans="40:40" ht="15.75" customHeight="1">
      <c r="AN2136" s="458"/>
    </row>
    <row r="2137" spans="40:40" ht="15.75" customHeight="1">
      <c r="AN2137" s="458"/>
    </row>
    <row r="2138" spans="40:40" ht="15.75" customHeight="1">
      <c r="AN2138" s="458"/>
    </row>
    <row r="2139" spans="40:40" ht="15.75" customHeight="1">
      <c r="AN2139" s="458"/>
    </row>
    <row r="2140" spans="40:40" ht="15.75" customHeight="1">
      <c r="AN2140" s="458"/>
    </row>
    <row r="2141" spans="40:40" ht="15.75" customHeight="1">
      <c r="AN2141" s="458"/>
    </row>
    <row r="2142" spans="40:40" ht="15.75" customHeight="1">
      <c r="AN2142" s="458"/>
    </row>
    <row r="2143" spans="40:40" ht="15.75" customHeight="1">
      <c r="AN2143" s="458"/>
    </row>
    <row r="2144" spans="40:40" ht="15.75" customHeight="1">
      <c r="AN2144" s="458"/>
    </row>
    <row r="2145" spans="40:40" ht="15.75" customHeight="1">
      <c r="AN2145" s="458"/>
    </row>
    <row r="2146" spans="40:40" ht="15.75" customHeight="1">
      <c r="AN2146" s="458"/>
    </row>
    <row r="2147" spans="40:40" ht="15.75" customHeight="1">
      <c r="AN2147" s="458"/>
    </row>
    <row r="2148" spans="40:40" ht="15.75" customHeight="1">
      <c r="AN2148" s="458"/>
    </row>
    <row r="2149" spans="40:40" ht="15.75" customHeight="1">
      <c r="AN2149" s="458"/>
    </row>
    <row r="2150" spans="40:40" ht="15.75" customHeight="1">
      <c r="AN2150" s="458"/>
    </row>
    <row r="2151" spans="40:40" ht="15.75" customHeight="1">
      <c r="AN2151" s="458"/>
    </row>
    <row r="2152" spans="40:40" ht="15.75" customHeight="1">
      <c r="AN2152" s="458"/>
    </row>
    <row r="2153" spans="40:40" ht="15.75" customHeight="1">
      <c r="AN2153" s="458"/>
    </row>
    <row r="2154" spans="40:40" ht="15.75" customHeight="1">
      <c r="AN2154" s="458"/>
    </row>
    <row r="2155" spans="40:40" ht="15.75" customHeight="1">
      <c r="AN2155" s="458"/>
    </row>
    <row r="2156" spans="40:40" ht="15.75" customHeight="1">
      <c r="AN2156" s="458"/>
    </row>
    <row r="2157" spans="40:40" ht="15.75" customHeight="1">
      <c r="AN2157" s="458"/>
    </row>
    <row r="2158" spans="40:40" ht="15.75" customHeight="1">
      <c r="AN2158" s="458"/>
    </row>
    <row r="2159" spans="40:40" ht="15.75" customHeight="1">
      <c r="AN2159" s="458"/>
    </row>
    <row r="2160" spans="40:40" ht="15.75" customHeight="1">
      <c r="AN2160" s="458"/>
    </row>
    <row r="2161" spans="40:40" ht="15.75" customHeight="1">
      <c r="AN2161" s="458"/>
    </row>
    <row r="2162" spans="40:40" ht="15.75" customHeight="1">
      <c r="AN2162" s="458"/>
    </row>
    <row r="2163" spans="40:40" ht="15.75" customHeight="1">
      <c r="AN2163" s="458"/>
    </row>
    <row r="2164" spans="40:40" ht="15.75" customHeight="1">
      <c r="AN2164" s="458"/>
    </row>
    <row r="2165" spans="40:40" ht="15.75" customHeight="1">
      <c r="AN2165" s="458"/>
    </row>
  </sheetData>
  <autoFilter ref="A2:BG143" xr:uid="{00000000-0009-0000-0000-000001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autoFilter>
  <mergeCells count="10">
    <mergeCell ref="BD1:BG1"/>
    <mergeCell ref="AN2:AP2"/>
    <mergeCell ref="AQ2:AS2"/>
    <mergeCell ref="AT2:AV2"/>
    <mergeCell ref="A1:BB1"/>
    <mergeCell ref="N2:P2"/>
    <mergeCell ref="T2:V2"/>
    <mergeCell ref="W2:Y2"/>
    <mergeCell ref="Z2:AB2"/>
    <mergeCell ref="AC2:AE2"/>
  </mergeCells>
  <conditionalFormatting sqref="A127:BB143">
    <cfRule type="cellIs" dxfId="1421" priority="15" operator="equal">
      <formula>0</formula>
    </cfRule>
  </conditionalFormatting>
  <conditionalFormatting sqref="B4:BA143 BC127:BG143">
    <cfRule type="expression" dxfId="1420" priority="12">
      <formula>$M4="NON DEFINED"</formula>
    </cfRule>
    <cfRule type="expression" dxfId="1419" priority="13">
      <formula>$AY4="N.D."</formula>
    </cfRule>
  </conditionalFormatting>
  <conditionalFormatting sqref="BD5:BE5 BG5 BD4 BD7:BE7 BD9:BE9 BD11:BE11 BD13:BE13 BD15:BE15 BD17:BE17 BD19:BE19 BD21:BE21 BD20 BD23:BE23 BD22 BD25:BE25 BD27:BE27 BD26 BD29:BE29 BD31:BE31 BD33:BE33 BD35:BE35 BD37:BE37 BD39:BE39 BD38 BD41:BE41 BD43:BE43 BD45:BE45 BD44 BD47:BE47 BD49:BE49 BD51:BE51 BD53:BE53 BD55:BE55 BD57:BE57 BD59:BE59 BD61:BE61 BD60 BD63:BE63 BD62 BD65:BE65 BD64 BD67:BE67 BD69:BE69 BD68 BD71:BE71 BD73:BE73 BD75:BE75 BD77:BE77 BD79:BE79 BD81:BE81 BD83:BE83 BD82 BD85:BE85 BD84 BD87:BE87 BD89:BE89 BD91:BE91 BD90 BD93:BE93 BD95:BE95 BD97:BE97 BD99:BE99 BD101:BE101 BD103:BE103 BD105:BE105 BD104 BD107:BE107 BD109:BE109 BD111:BE111 BD113:BE113 BD112 BD115:BE115 BD117:BE117 BD119:BE119 BD121:BE121 BD120 BD123:BE123 BD125:BE125 BD126 BG9 BG13 BG15 BG21 BG25 BG27 BG29 BG31 BG33 BG35 BG37 BG39 BG41 BG43 BG45 BG47 BG49 BG51 BG53 BG55 BG57 BG59 BG61 BG63 BG65 BG67 BG69 BG71 BG73 BG75 BG77 BG79 BG83 BG85 BG87 BG89 BG91 BG93 BG95 BG97 BG99 BG101 BG103 BG105 BG107 BG109 BG111 BG113 BG115 BG117 BG119 BG121 BG123 BG125">
    <cfRule type="containsBlanks" dxfId="1418" priority="9">
      <formula>LEN(TRIM(BD4))=0</formula>
    </cfRule>
  </conditionalFormatting>
  <conditionalFormatting sqref="BC4:BC126 BC144:BC1990">
    <cfRule type="containsText" dxfId="1417" priority="7" operator="containsText" text="a">
      <formula>NOT(ISERROR(SEARCH("a",BC4)))</formula>
    </cfRule>
    <cfRule type="containsText" dxfId="1416" priority="8" operator="containsText" text="R">
      <formula>NOT(ISERROR(SEARCH("R",BC4)))</formula>
    </cfRule>
  </conditionalFormatting>
  <conditionalFormatting sqref="BA4:BA143">
    <cfRule type="expression" dxfId="1415" priority="6">
      <formula>$BC4="R"</formula>
    </cfRule>
  </conditionalFormatting>
  <conditionalFormatting sqref="BC127:BG143">
    <cfRule type="cellIs" dxfId="1414" priority="5" operator="equal">
      <formula>0</formula>
    </cfRule>
  </conditionalFormatting>
  <conditionalFormatting sqref="AN4:AN143">
    <cfRule type="cellIs" dxfId="1413" priority="1" operator="notEqual">
      <formula>5.5</formula>
    </cfRule>
  </conditionalFormatting>
  <printOptions horizontalCentered="1" gridLines="1"/>
  <pageMargins left="0.39370078740157483" right="0.39370078740157483" top="0.78740157480314965" bottom="0.78740157480314965" header="0.31496062992125984" footer="0.31496062992125984"/>
  <pageSetup paperSize="9" scale="55" fitToHeight="0" orientation="landscape" r:id="rId1"/>
  <headerFooter alignWithMargins="0">
    <oddHeader>&amp;L&amp;G&amp;C
LAYOUT AND EQUIPMENT
EP06 TRACK 1 RIS-HER
KP78+500 - 82+550&amp;R&amp;G</oddHeader>
    <oddFooter>&amp;L&amp;G
&amp;F&amp;C&amp;D&amp;RPag &amp;P of &amp;N</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8">
    <tabColor theme="9"/>
    <pageSetUpPr fitToPage="1"/>
  </sheetPr>
  <dimension ref="A1:BG1957"/>
  <sheetViews>
    <sheetView view="pageBreakPreview" zoomScale="55" zoomScaleNormal="85" zoomScaleSheetLayoutView="55" workbookViewId="0">
      <pane xSplit="2" ySplit="3" topLeftCell="C4" activePane="bottomRight" state="frozen"/>
      <selection activeCell="G124" sqref="G124"/>
      <selection pane="topRight" activeCell="G124" sqref="G124"/>
      <selection pane="bottomLeft" activeCell="G124" sqref="G124"/>
      <selection pane="bottomRight" activeCell="G124" sqref="G124"/>
    </sheetView>
  </sheetViews>
  <sheetFormatPr baseColWidth="10" defaultColWidth="11.453125" defaultRowHeight="15.75" customHeight="1"/>
  <cols>
    <col min="1" max="1" width="20.6328125" style="178" customWidth="1"/>
    <col min="2" max="2" width="12.6328125" style="178" customWidth="1"/>
    <col min="3" max="3" width="12.6328125" style="184" customWidth="1"/>
    <col min="4" max="5" width="12.6328125" style="178" hidden="1" customWidth="1"/>
    <col min="6" max="6" width="12.6328125" style="178" customWidth="1"/>
    <col min="7" max="7" width="12.6328125" style="454" customWidth="1"/>
    <col min="8" max="8" width="18.6328125" style="178" customWidth="1"/>
    <col min="9" max="9" width="12.6328125" style="179" customWidth="1"/>
    <col min="10" max="10" width="12.6328125" style="184" customWidth="1"/>
    <col min="11" max="11" width="12.6328125" style="178" customWidth="1"/>
    <col min="12" max="13" width="14.6328125" style="178" customWidth="1"/>
    <col min="14" max="16" width="8.6328125" style="178" hidden="1" customWidth="1"/>
    <col min="17" max="19" width="12.6328125" style="178" hidden="1" customWidth="1"/>
    <col min="20" max="28" width="8.6328125" style="178" hidden="1" customWidth="1"/>
    <col min="29" max="31" width="10.6328125" style="178" hidden="1" customWidth="1"/>
    <col min="32" max="32" width="13.54296875" style="178" hidden="1" customWidth="1"/>
    <col min="33" max="33" width="12.6328125" style="184" hidden="1" customWidth="1"/>
    <col min="34" max="36" width="12.6328125" style="178" hidden="1" customWidth="1"/>
    <col min="37" max="38" width="12.6328125" style="178" customWidth="1"/>
    <col min="39" max="39" width="12.6328125" style="178" hidden="1" customWidth="1"/>
    <col min="40" max="40" width="8.6328125" style="458" hidden="1" customWidth="1"/>
    <col min="41" max="42" width="8.6328125" style="169" hidden="1" customWidth="1"/>
    <col min="43" max="46" width="8.6328125" style="458" hidden="1" customWidth="1"/>
    <col min="47" max="48" width="8.6328125" style="169" hidden="1" customWidth="1"/>
    <col min="49" max="53" width="12.6328125" style="169" customWidth="1"/>
    <col min="54" max="54" width="21.6328125" style="178" customWidth="1"/>
    <col min="55" max="55" width="18" style="178" customWidth="1"/>
    <col min="56" max="59" width="14.54296875" style="1323" customWidth="1"/>
    <col min="60" max="60" width="11.453125" style="178" customWidth="1"/>
    <col min="61" max="16384" width="11.453125" style="178"/>
  </cols>
  <sheetData>
    <row r="1" spans="1:59" ht="35.25" customHeight="1">
      <c r="A1" s="1602" t="s">
        <v>2417</v>
      </c>
      <c r="B1" s="1602"/>
      <c r="C1" s="1602"/>
      <c r="D1" s="1602"/>
      <c r="E1" s="1602"/>
      <c r="F1" s="1602"/>
      <c r="G1" s="1602"/>
      <c r="H1" s="1602"/>
      <c r="I1" s="1602"/>
      <c r="J1" s="1602"/>
      <c r="K1" s="1602"/>
      <c r="L1" s="1602"/>
      <c r="M1" s="1602"/>
      <c r="N1" s="1602"/>
      <c r="O1" s="1602"/>
      <c r="P1" s="1602"/>
      <c r="Q1" s="1602"/>
      <c r="R1" s="1602"/>
      <c r="S1" s="1602"/>
      <c r="T1" s="1602"/>
      <c r="U1" s="1602"/>
      <c r="V1" s="1602"/>
      <c r="W1" s="1602"/>
      <c r="X1" s="1602"/>
      <c r="Y1" s="1602"/>
      <c r="Z1" s="1602"/>
      <c r="AA1" s="1602"/>
      <c r="AB1" s="1602"/>
      <c r="AC1" s="1602"/>
      <c r="AD1" s="1602"/>
      <c r="AE1" s="1602"/>
      <c r="AF1" s="1602"/>
      <c r="AG1" s="1602"/>
      <c r="AH1" s="1602"/>
      <c r="AI1" s="1602"/>
      <c r="AJ1" s="1602"/>
      <c r="AK1" s="1602"/>
      <c r="AL1" s="1602"/>
      <c r="AM1" s="1602"/>
      <c r="AN1" s="1602"/>
      <c r="AO1" s="1602"/>
      <c r="AP1" s="1602"/>
      <c r="AQ1" s="1602"/>
      <c r="AR1" s="1602"/>
      <c r="AS1" s="1602"/>
      <c r="AT1" s="1602"/>
      <c r="AU1" s="1602"/>
      <c r="AV1" s="1602"/>
      <c r="AW1" s="1602"/>
      <c r="AX1" s="1602"/>
      <c r="AY1" s="1602"/>
      <c r="AZ1" s="1602"/>
      <c r="BA1" s="1602"/>
      <c r="BB1" s="1602"/>
      <c r="BC1" s="693" t="s">
        <v>4947</v>
      </c>
      <c r="BD1" s="1599" t="s">
        <v>4916</v>
      </c>
      <c r="BE1" s="1599"/>
      <c r="BF1" s="1599"/>
      <c r="BG1" s="1599"/>
    </row>
    <row r="2" spans="1:59" s="699" customFormat="1" ht="42" customHeight="1">
      <c r="A2" s="1253" t="s">
        <v>4417</v>
      </c>
      <c r="B2" s="1253" t="s">
        <v>4418</v>
      </c>
      <c r="C2" s="882" t="s">
        <v>2315</v>
      </c>
      <c r="D2" s="1253" t="s">
        <v>4419</v>
      </c>
      <c r="E2" s="1253" t="s">
        <v>4855</v>
      </c>
      <c r="F2" s="1253" t="s">
        <v>4856</v>
      </c>
      <c r="G2" s="1254" t="s">
        <v>4857</v>
      </c>
      <c r="H2" s="1253" t="s">
        <v>455</v>
      </c>
      <c r="I2" s="883" t="s">
        <v>454</v>
      </c>
      <c r="J2" s="883" t="s">
        <v>4423</v>
      </c>
      <c r="K2" s="1253" t="s">
        <v>1362</v>
      </c>
      <c r="L2" s="1253" t="s">
        <v>456</v>
      </c>
      <c r="M2" s="1253" t="s">
        <v>453</v>
      </c>
      <c r="N2" s="1600" t="s">
        <v>457</v>
      </c>
      <c r="O2" s="1600"/>
      <c r="P2" s="1600"/>
      <c r="Q2" s="1253" t="s">
        <v>4858</v>
      </c>
      <c r="R2" s="1253" t="s">
        <v>4859</v>
      </c>
      <c r="S2" s="1253" t="s">
        <v>4860</v>
      </c>
      <c r="T2" s="1600" t="s">
        <v>4861</v>
      </c>
      <c r="U2" s="1600"/>
      <c r="V2" s="1600"/>
      <c r="W2" s="1600" t="s">
        <v>4862</v>
      </c>
      <c r="X2" s="1600"/>
      <c r="Y2" s="1600"/>
      <c r="Z2" s="1600" t="s">
        <v>4863</v>
      </c>
      <c r="AA2" s="1600"/>
      <c r="AB2" s="1600"/>
      <c r="AC2" s="1600" t="s">
        <v>628</v>
      </c>
      <c r="AD2" s="1600"/>
      <c r="AE2" s="1600"/>
      <c r="AF2" s="1253" t="s">
        <v>4872</v>
      </c>
      <c r="AG2" s="882" t="s">
        <v>4864</v>
      </c>
      <c r="AH2" s="1253" t="s">
        <v>4865</v>
      </c>
      <c r="AI2" s="1253" t="s">
        <v>4866</v>
      </c>
      <c r="AJ2" s="1253" t="s">
        <v>629</v>
      </c>
      <c r="AK2" s="1253" t="s">
        <v>458</v>
      </c>
      <c r="AL2" s="1253" t="s">
        <v>459</v>
      </c>
      <c r="AM2" s="1253" t="s">
        <v>631</v>
      </c>
      <c r="AN2" s="1600" t="s">
        <v>4867</v>
      </c>
      <c r="AO2" s="1600"/>
      <c r="AP2" s="1600"/>
      <c r="AQ2" s="1601" t="s">
        <v>460</v>
      </c>
      <c r="AR2" s="1601"/>
      <c r="AS2" s="1601"/>
      <c r="AT2" s="1600" t="s">
        <v>630</v>
      </c>
      <c r="AU2" s="1600"/>
      <c r="AV2" s="1600"/>
      <c r="AW2" s="1253" t="s">
        <v>4868</v>
      </c>
      <c r="AX2" s="1253" t="s">
        <v>4904</v>
      </c>
      <c r="AY2" s="1253" t="s">
        <v>4869</v>
      </c>
      <c r="AZ2" s="1253" t="s">
        <v>4870</v>
      </c>
      <c r="BA2" s="1253" t="s">
        <v>1670</v>
      </c>
      <c r="BB2" s="1253" t="s">
        <v>4871</v>
      </c>
      <c r="BC2" s="693" t="s">
        <v>4948</v>
      </c>
      <c r="BD2" s="1320" t="s">
        <v>453</v>
      </c>
      <c r="BE2" s="1320" t="s">
        <v>4922</v>
      </c>
      <c r="BF2" s="1320" t="s">
        <v>4915</v>
      </c>
      <c r="BG2" s="1320" t="s">
        <v>457</v>
      </c>
    </row>
    <row r="3" spans="1:59" ht="15.75" customHeight="1">
      <c r="A3" s="1239"/>
      <c r="B3" s="1239"/>
      <c r="C3" s="171"/>
      <c r="D3" s="1239"/>
      <c r="E3" s="1239"/>
      <c r="F3" s="172"/>
      <c r="G3" s="455"/>
      <c r="H3" s="1239"/>
      <c r="I3" s="448"/>
      <c r="J3" s="171"/>
      <c r="K3" s="1239"/>
      <c r="L3" s="1239"/>
      <c r="M3" s="1239"/>
      <c r="N3" s="878" t="s">
        <v>123</v>
      </c>
      <c r="O3" s="878" t="s">
        <v>124</v>
      </c>
      <c r="P3" s="878" t="s">
        <v>125</v>
      </c>
      <c r="Q3" s="1239"/>
      <c r="R3" s="1239"/>
      <c r="S3" s="1239"/>
      <c r="T3" s="879" t="s">
        <v>126</v>
      </c>
      <c r="U3" s="879" t="s">
        <v>127</v>
      </c>
      <c r="V3" s="879" t="s">
        <v>128</v>
      </c>
      <c r="W3" s="879" t="s">
        <v>129</v>
      </c>
      <c r="X3" s="879" t="s">
        <v>130</v>
      </c>
      <c r="Y3" s="879" t="s">
        <v>131</v>
      </c>
      <c r="Z3" s="879" t="s">
        <v>132</v>
      </c>
      <c r="AA3" s="879" t="s">
        <v>133</v>
      </c>
      <c r="AB3" s="879" t="s">
        <v>134</v>
      </c>
      <c r="AC3" s="879" t="s">
        <v>135</v>
      </c>
      <c r="AD3" s="879" t="s">
        <v>136</v>
      </c>
      <c r="AE3" s="879" t="s">
        <v>137</v>
      </c>
      <c r="AF3" s="1239"/>
      <c r="AG3" s="171"/>
      <c r="AH3" s="1239"/>
      <c r="AI3" s="1239"/>
      <c r="AJ3" s="1239"/>
      <c r="AK3" s="1239"/>
      <c r="AL3" s="1239"/>
      <c r="AM3" s="1239"/>
      <c r="AN3" s="880" t="s">
        <v>129</v>
      </c>
      <c r="AO3" s="879" t="s">
        <v>130</v>
      </c>
      <c r="AP3" s="879" t="s">
        <v>131</v>
      </c>
      <c r="AQ3" s="880" t="s">
        <v>613</v>
      </c>
      <c r="AR3" s="880" t="s">
        <v>614</v>
      </c>
      <c r="AS3" s="880" t="s">
        <v>615</v>
      </c>
      <c r="AT3" s="880" t="s">
        <v>616</v>
      </c>
      <c r="AU3" s="879" t="s">
        <v>617</v>
      </c>
      <c r="AV3" s="879" t="s">
        <v>618</v>
      </c>
      <c r="AW3" s="1239"/>
      <c r="AX3" s="1239"/>
      <c r="AY3" s="1239"/>
      <c r="AZ3" s="1239"/>
      <c r="BA3" s="1239"/>
      <c r="BB3" s="1239"/>
      <c r="BD3" s="1239"/>
      <c r="BE3" s="1239"/>
      <c r="BF3" s="1239"/>
      <c r="BG3" s="1239"/>
    </row>
    <row r="4" spans="1:59" ht="15.75" customHeight="1">
      <c r="A4" s="658" t="s">
        <v>3518</v>
      </c>
      <c r="B4" s="706"/>
      <c r="C4" s="660"/>
      <c r="D4" s="664"/>
      <c r="E4" s="664"/>
      <c r="F4" s="658"/>
      <c r="G4" s="665"/>
      <c r="H4" s="658"/>
      <c r="I4" s="661"/>
      <c r="J4" s="660">
        <f>C5-7.5</f>
        <v>79572.53</v>
      </c>
      <c r="K4" s="663" t="s">
        <v>2787</v>
      </c>
      <c r="L4" s="663"/>
      <c r="M4" s="663"/>
      <c r="N4" s="658"/>
      <c r="O4" s="658"/>
      <c r="P4" s="663"/>
      <c r="Q4" s="663"/>
      <c r="R4" s="663"/>
      <c r="S4" s="665"/>
      <c r="T4" s="663"/>
      <c r="U4" s="663"/>
      <c r="V4" s="663"/>
      <c r="W4" s="663"/>
      <c r="X4" s="663"/>
      <c r="Y4" s="663"/>
      <c r="Z4" s="663"/>
      <c r="AA4" s="663"/>
      <c r="AB4" s="663"/>
      <c r="AC4" s="663"/>
      <c r="AD4" s="663"/>
      <c r="AE4" s="663"/>
      <c r="AF4" s="663"/>
      <c r="AG4" s="660"/>
      <c r="AH4" s="663"/>
      <c r="AI4" s="707"/>
      <c r="AJ4" s="663"/>
      <c r="AK4" s="658"/>
      <c r="AL4" s="663"/>
      <c r="AM4" s="663"/>
      <c r="AN4" s="662"/>
      <c r="AO4" s="658"/>
      <c r="AP4" s="658"/>
      <c r="AQ4" s="665"/>
      <c r="AR4" s="665"/>
      <c r="AS4" s="665"/>
      <c r="AT4" s="665"/>
      <c r="AU4" s="663"/>
      <c r="AV4" s="663"/>
      <c r="AW4" s="663" t="str">
        <f>VLOOKUP(J4,'Foundation Calculation'!$A$2:$C$33,3,1)</f>
        <v>Soil B</v>
      </c>
      <c r="AX4" s="663" t="str">
        <f>VLOOKUP(J4,'Foundation Calculation'!$E$2:$G$33,3,1)</f>
        <v>PT</v>
      </c>
      <c r="AY4" s="665"/>
      <c r="AZ4" s="665">
        <f>IF(AX4="PT",VLOOKUP(K4,'Foundation Calculation'!$K$2:$R$40,VLOOKUP(AW4,'Foundation Calculation'!$I$2:$J$8,2,FALSE),0),IF(AX4="K",VLOOKUP(K4,'Foundation Calculation'!$K$42:$R$80,VLOOKUP(AW4,'Foundation Calculation'!$I$2:$J$8,2,FALSE),0),""))</f>
        <v>3.9</v>
      </c>
      <c r="BA4" s="670" t="s">
        <v>2809</v>
      </c>
      <c r="BB4" s="658"/>
      <c r="BC4" s="169"/>
      <c r="BD4" s="1329"/>
      <c r="BE4" s="1330"/>
      <c r="BF4" s="1330"/>
      <c r="BG4" s="1330"/>
    </row>
    <row r="5" spans="1:59" ht="15.75" customHeight="1">
      <c r="A5" s="658"/>
      <c r="B5" s="706" t="s">
        <v>3456</v>
      </c>
      <c r="C5" s="660">
        <v>79580.03</v>
      </c>
      <c r="D5" s="664"/>
      <c r="E5" s="664"/>
      <c r="F5" s="666" t="s">
        <v>4083</v>
      </c>
      <c r="G5" s="665"/>
      <c r="H5" s="658" t="s">
        <v>138</v>
      </c>
      <c r="I5" s="661" t="s">
        <v>623</v>
      </c>
      <c r="J5" s="660"/>
      <c r="K5" s="663"/>
      <c r="L5" s="663" t="s">
        <v>632</v>
      </c>
      <c r="M5" s="663" t="str">
        <f>IF(AX5="PT",VLOOKUP(L5,'Foundation Calculation'!$V$2:$X$40,VLOOKUP(AX5,'Foundation Calculation'!$I$10:$J$13,2,FALSE),0),IF(AX5="K",VLOOKUP(L5,'Foundation Calculation'!$V$42:$X$80,VLOOKUP(AX5,'Foundation Calculation'!$I$10:$J$13,2,FALSE),0),""))</f>
        <v>C9R</v>
      </c>
      <c r="N5" s="658" t="s">
        <v>143</v>
      </c>
      <c r="O5" s="658"/>
      <c r="P5" s="663"/>
      <c r="Q5" s="663"/>
      <c r="R5" s="663"/>
      <c r="S5" s="665"/>
      <c r="T5" s="663">
        <v>-20</v>
      </c>
      <c r="U5" s="663"/>
      <c r="V5" s="663"/>
      <c r="W5" s="663">
        <v>1.4</v>
      </c>
      <c r="X5" s="663"/>
      <c r="Y5" s="663"/>
      <c r="Z5" s="663"/>
      <c r="AA5" s="663"/>
      <c r="AB5" s="663"/>
      <c r="AC5" s="663" t="s">
        <v>1405</v>
      </c>
      <c r="AD5" s="663"/>
      <c r="AE5" s="663"/>
      <c r="AF5" s="663"/>
      <c r="AG5" s="660"/>
      <c r="AH5" s="663"/>
      <c r="AI5" s="707"/>
      <c r="AJ5" s="663" t="s">
        <v>3515</v>
      </c>
      <c r="AK5" s="658"/>
      <c r="AL5" s="663"/>
      <c r="AM5" s="663" t="s">
        <v>1043</v>
      </c>
      <c r="AN5" s="662">
        <v>5.5</v>
      </c>
      <c r="AO5" s="658"/>
      <c r="AP5" s="658"/>
      <c r="AQ5" s="665"/>
      <c r="AR5" s="665"/>
      <c r="AS5" s="665"/>
      <c r="AT5" s="665"/>
      <c r="AU5" s="663"/>
      <c r="AV5" s="663"/>
      <c r="AW5" s="663" t="str">
        <f>VLOOKUP(C5,'Foundation Calculation'!$A$2:$C$33,3,1)</f>
        <v>Soil B</v>
      </c>
      <c r="AX5" s="663" t="str">
        <f>VLOOKUP(C5,'Foundation Calculation'!$E$2:$G$33,3,1)</f>
        <v>PT</v>
      </c>
      <c r="AY5" s="665">
        <f>IF(AX5="PT",VLOOKUP(L5,'Foundation Calculation'!$K$2:$R$40,VLOOKUP(AW5,'Foundation Calculation'!$I$2:$J$8,2,FALSE),0),IF(AX5="K",VLOOKUP(L5,'Foundation Calculation'!$K$42:$R$80,VLOOKUP(AW5,'Foundation Calculation'!$I$2:$J$8,2,FALSE),0),""))</f>
        <v>4.4000000000000004</v>
      </c>
      <c r="AZ5" s="665"/>
      <c r="BA5" s="670" t="s">
        <v>2809</v>
      </c>
      <c r="BB5" s="658" t="str">
        <f>Pole_Calculations!A141</f>
        <v>App.7-V11A-P12.3.1.6</v>
      </c>
      <c r="BC5" s="169"/>
      <c r="BD5" s="1329"/>
      <c r="BE5" s="1329"/>
      <c r="BF5" s="1330"/>
      <c r="BG5" s="1329"/>
    </row>
    <row r="6" spans="1:59" ht="15.75" customHeight="1">
      <c r="A6" s="658"/>
      <c r="B6" s="706"/>
      <c r="C6" s="660"/>
      <c r="D6" s="664"/>
      <c r="E6" s="664"/>
      <c r="F6" s="658"/>
      <c r="G6" s="665">
        <v>53</v>
      </c>
      <c r="H6" s="658"/>
      <c r="I6" s="661"/>
      <c r="J6" s="660"/>
      <c r="K6" s="663"/>
      <c r="L6" s="663"/>
      <c r="M6" s="663"/>
      <c r="N6" s="658"/>
      <c r="O6" s="658"/>
      <c r="P6" s="663"/>
      <c r="Q6" s="663"/>
      <c r="R6" s="663"/>
      <c r="S6" s="665"/>
      <c r="T6" s="663"/>
      <c r="U6" s="663"/>
      <c r="V6" s="663"/>
      <c r="W6" s="663"/>
      <c r="X6" s="663"/>
      <c r="Y6" s="663"/>
      <c r="Z6" s="663"/>
      <c r="AA6" s="663"/>
      <c r="AB6" s="663"/>
      <c r="AC6" s="663"/>
      <c r="AD6" s="663"/>
      <c r="AE6" s="663"/>
      <c r="AF6" s="663"/>
      <c r="AG6" s="660"/>
      <c r="AH6" s="663"/>
      <c r="AI6" s="707"/>
      <c r="AJ6" s="663"/>
      <c r="AK6" s="658"/>
      <c r="AL6" s="663"/>
      <c r="AM6" s="666"/>
      <c r="AN6" s="662"/>
      <c r="AO6" s="658"/>
      <c r="AP6" s="658"/>
      <c r="AQ6" s="665">
        <f>+FL_2($U$9,$T$5,$G$6,1200,9.28, 1*$F$9)</f>
        <v>-0.37438004462789232</v>
      </c>
      <c r="AR6" s="665"/>
      <c r="AS6" s="665"/>
      <c r="AT6" s="665"/>
      <c r="AU6" s="663"/>
      <c r="AV6" s="663"/>
      <c r="AW6" s="665"/>
      <c r="AX6" s="665"/>
      <c r="AY6" s="665"/>
      <c r="AZ6" s="665"/>
      <c r="BA6" s="670"/>
      <c r="BB6" s="658"/>
      <c r="BC6" s="169"/>
      <c r="BD6" s="1330"/>
      <c r="BE6" s="1330"/>
      <c r="BF6" s="1330"/>
      <c r="BG6" s="1330"/>
    </row>
    <row r="7" spans="1:59" ht="15.75" customHeight="1">
      <c r="A7" s="658"/>
      <c r="B7" s="706" t="s">
        <v>4928</v>
      </c>
      <c r="C7" s="660">
        <f>C9-25</f>
        <v>79608.03</v>
      </c>
      <c r="D7" s="664"/>
      <c r="E7" s="664"/>
      <c r="F7" s="658"/>
      <c r="G7" s="665"/>
      <c r="H7" s="658"/>
      <c r="I7" s="661"/>
      <c r="J7" s="660"/>
      <c r="K7" s="663"/>
      <c r="L7" s="663" t="s">
        <v>4420</v>
      </c>
      <c r="M7" s="663" t="s">
        <v>4399</v>
      </c>
      <c r="N7" s="658"/>
      <c r="O7" s="658"/>
      <c r="P7" s="663"/>
      <c r="Q7" s="663"/>
      <c r="R7" s="663"/>
      <c r="S7" s="665"/>
      <c r="T7" s="663"/>
      <c r="U7" s="663"/>
      <c r="V7" s="663"/>
      <c r="W7" s="663"/>
      <c r="X7" s="663"/>
      <c r="Y7" s="663"/>
      <c r="Z7" s="663"/>
      <c r="AA7" s="663"/>
      <c r="AB7" s="663"/>
      <c r="AC7" s="663"/>
      <c r="AD7" s="663"/>
      <c r="AE7" s="663"/>
      <c r="AF7" s="663"/>
      <c r="AG7" s="660"/>
      <c r="AH7" s="663"/>
      <c r="AI7" s="707"/>
      <c r="AJ7" s="663"/>
      <c r="AK7" s="658"/>
      <c r="AL7" s="663"/>
      <c r="AM7" s="666"/>
      <c r="AN7" s="662"/>
      <c r="AO7" s="658"/>
      <c r="AP7" s="658"/>
      <c r="AQ7" s="665"/>
      <c r="AR7" s="665"/>
      <c r="AS7" s="665"/>
      <c r="AT7" s="665"/>
      <c r="AU7" s="663"/>
      <c r="AV7" s="663"/>
      <c r="AW7" s="663" t="str">
        <f>VLOOKUP(C7,'Foundation Calculation'!$A$2:$C$33,3,1)</f>
        <v>Soil B</v>
      </c>
      <c r="AX7" s="663" t="str">
        <f>VLOOKUP(C7,'Foundation Calculation'!$E$2:$G$33,3,1)</f>
        <v>PT</v>
      </c>
      <c r="AY7" s="665">
        <v>1.2</v>
      </c>
      <c r="AZ7" s="665"/>
      <c r="BA7" s="670" t="s">
        <v>2809</v>
      </c>
      <c r="BB7" s="658"/>
      <c r="BC7" s="169"/>
      <c r="BD7" s="1329"/>
      <c r="BE7" s="1329"/>
      <c r="BF7" s="1330"/>
      <c r="BG7" s="1330"/>
    </row>
    <row r="8" spans="1:59" ht="15.75" customHeight="1">
      <c r="A8" s="658"/>
      <c r="B8" s="706"/>
      <c r="C8" s="660"/>
      <c r="D8" s="664"/>
      <c r="E8" s="664"/>
      <c r="F8" s="658"/>
      <c r="G8" s="665"/>
      <c r="H8" s="658"/>
      <c r="I8" s="661"/>
      <c r="J8" s="660"/>
      <c r="K8" s="663"/>
      <c r="L8" s="663"/>
      <c r="M8" s="663"/>
      <c r="N8" s="658"/>
      <c r="O8" s="658"/>
      <c r="P8" s="663"/>
      <c r="Q8" s="663"/>
      <c r="R8" s="663"/>
      <c r="S8" s="665"/>
      <c r="T8" s="663"/>
      <c r="U8" s="663"/>
      <c r="V8" s="663"/>
      <c r="W8" s="663"/>
      <c r="X8" s="663"/>
      <c r="Y8" s="663"/>
      <c r="Z8" s="663"/>
      <c r="AA8" s="663"/>
      <c r="AB8" s="663"/>
      <c r="AC8" s="663"/>
      <c r="AD8" s="663"/>
      <c r="AE8" s="663"/>
      <c r="AF8" s="663"/>
      <c r="AG8" s="660"/>
      <c r="AH8" s="663"/>
      <c r="AI8" s="707"/>
      <c r="AJ8" s="663"/>
      <c r="AK8" s="658"/>
      <c r="AL8" s="663"/>
      <c r="AM8" s="666"/>
      <c r="AN8" s="662"/>
      <c r="AO8" s="658"/>
      <c r="AP8" s="658"/>
      <c r="AQ8" s="665"/>
      <c r="AR8" s="665"/>
      <c r="AS8" s="665"/>
      <c r="AT8" s="665"/>
      <c r="AU8" s="663"/>
      <c r="AV8" s="663"/>
      <c r="AW8" s="665"/>
      <c r="AX8" s="665"/>
      <c r="AY8" s="665"/>
      <c r="AZ8" s="665"/>
      <c r="BA8" s="670"/>
      <c r="BB8" s="658"/>
      <c r="BC8" s="169"/>
      <c r="BD8" s="1330"/>
      <c r="BE8" s="1330"/>
      <c r="BF8" s="1330"/>
      <c r="BG8" s="1330"/>
    </row>
    <row r="9" spans="1:59" ht="15.75" customHeight="1">
      <c r="A9" s="658" t="s">
        <v>3450</v>
      </c>
      <c r="B9" s="708" t="s">
        <v>3457</v>
      </c>
      <c r="C9" s="660">
        <f>+$C$5+$G$6</f>
        <v>79633.03</v>
      </c>
      <c r="D9" s="664"/>
      <c r="E9" s="664"/>
      <c r="F9" s="666" t="s">
        <v>4083</v>
      </c>
      <c r="G9" s="665"/>
      <c r="H9" s="658" t="s">
        <v>619</v>
      </c>
      <c r="I9" s="661" t="s">
        <v>1429</v>
      </c>
      <c r="J9" s="660"/>
      <c r="K9" s="663"/>
      <c r="L9" s="663" t="s">
        <v>632</v>
      </c>
      <c r="M9" s="663" t="str">
        <f>IF(AX9="PT",VLOOKUP(L9,'Foundation Calculation'!$V$2:$X$40,VLOOKUP(AX9,'Foundation Calculation'!$I$10:$J$13,2,FALSE),0),IF(AX9="K",VLOOKUP(L9,'Foundation Calculation'!$V$42:$X$80,VLOOKUP(AX9,'Foundation Calculation'!$I$10:$J$13,2,FALSE),0),""))</f>
        <v>C9R</v>
      </c>
      <c r="N9" s="658" t="s">
        <v>140</v>
      </c>
      <c r="O9" s="658" t="s">
        <v>143</v>
      </c>
      <c r="P9" s="663"/>
      <c r="Q9" s="663"/>
      <c r="R9" s="663"/>
      <c r="S9" s="665"/>
      <c r="T9" s="663">
        <v>15</v>
      </c>
      <c r="U9" s="663">
        <v>-30</v>
      </c>
      <c r="V9" s="663"/>
      <c r="W9" s="663">
        <v>1.4</v>
      </c>
      <c r="X9" s="663">
        <v>2.2999999999999998</v>
      </c>
      <c r="Y9" s="663"/>
      <c r="Z9" s="663">
        <v>0.45</v>
      </c>
      <c r="AA9" s="663"/>
      <c r="AB9" s="663"/>
      <c r="AC9" s="663"/>
      <c r="AD9" s="663"/>
      <c r="AE9" s="663"/>
      <c r="AF9" s="663"/>
      <c r="AG9" s="660"/>
      <c r="AH9" s="663"/>
      <c r="AI9" s="707"/>
      <c r="AJ9" s="663" t="s">
        <v>3048</v>
      </c>
      <c r="AK9" s="658"/>
      <c r="AL9" s="663"/>
      <c r="AM9" s="663" t="s">
        <v>1043</v>
      </c>
      <c r="AN9" s="662">
        <v>5.5</v>
      </c>
      <c r="AO9" s="658"/>
      <c r="AP9" s="658"/>
      <c r="AQ9" s="665"/>
      <c r="AR9" s="665"/>
      <c r="AS9" s="665"/>
      <c r="AT9" s="665">
        <f>+ab($U$9,$T$5,$U$13,$G$6,47, 1*$F$9,1200)</f>
        <v>-8.0811037833740915</v>
      </c>
      <c r="AU9" s="663"/>
      <c r="AV9" s="663"/>
      <c r="AW9" s="663" t="str">
        <f>VLOOKUP(C9,'Foundation Calculation'!$A$2:$C$33,3,1)</f>
        <v>Soil B</v>
      </c>
      <c r="AX9" s="663" t="str">
        <f>VLOOKUP(C9,'Foundation Calculation'!$E$2:$G$33,3,1)</f>
        <v>PT</v>
      </c>
      <c r="AY9" s="665">
        <f>IF(AX9="PT",VLOOKUP(L9,'Foundation Calculation'!$K$2:$R$40,VLOOKUP(AW9,'Foundation Calculation'!$I$2:$J$8,2,FALSE),0),IF(AX9="K",VLOOKUP(L9,'Foundation Calculation'!$K$42:$R$80,VLOOKUP(AW9,'Foundation Calculation'!$I$2:$J$8,2,FALSE),0),""))</f>
        <v>4.4000000000000004</v>
      </c>
      <c r="AZ9" s="665"/>
      <c r="BA9" s="670" t="s">
        <v>2809</v>
      </c>
      <c r="BB9" s="658" t="str">
        <f>Pole_Calculations!A140</f>
        <v>App.7-V11A-P12.3.1.5</v>
      </c>
      <c r="BC9" s="169"/>
      <c r="BD9" s="1329"/>
      <c r="BE9" s="1329"/>
      <c r="BF9" s="1330"/>
      <c r="BG9" s="1329"/>
    </row>
    <row r="10" spans="1:59" ht="15.75" customHeight="1">
      <c r="A10" s="658"/>
      <c r="B10" s="706"/>
      <c r="C10" s="660"/>
      <c r="D10" s="664"/>
      <c r="E10" s="664"/>
      <c r="F10" s="658"/>
      <c r="G10" s="665">
        <v>42</v>
      </c>
      <c r="H10" s="658"/>
      <c r="I10" s="664"/>
      <c r="J10" s="660"/>
      <c r="K10" s="663"/>
      <c r="L10" s="663"/>
      <c r="M10" s="663"/>
      <c r="N10" s="658"/>
      <c r="O10" s="658"/>
      <c r="P10" s="663"/>
      <c r="Q10" s="663"/>
      <c r="R10" s="663"/>
      <c r="S10" s="665"/>
      <c r="T10" s="663"/>
      <c r="U10" s="663"/>
      <c r="V10" s="663"/>
      <c r="W10" s="663"/>
      <c r="X10" s="663"/>
      <c r="Y10" s="663"/>
      <c r="Z10" s="663"/>
      <c r="AA10" s="663"/>
      <c r="AB10" s="663"/>
      <c r="AC10" s="663"/>
      <c r="AD10" s="663"/>
      <c r="AE10" s="663"/>
      <c r="AF10" s="663"/>
      <c r="AG10" s="660"/>
      <c r="AH10" s="663"/>
      <c r="AI10" s="707"/>
      <c r="AJ10" s="658" t="s">
        <v>1360</v>
      </c>
      <c r="AK10" s="658"/>
      <c r="AL10" s="663"/>
      <c r="AM10" s="666"/>
      <c r="AN10" s="662"/>
      <c r="AO10" s="658"/>
      <c r="AP10" s="658"/>
      <c r="AQ10" s="665">
        <f>+FL_1($T$13,$T$9,47,1200,9.28, 1*$F$11)</f>
        <v>0.48338570394792235</v>
      </c>
      <c r="AR10" s="665"/>
      <c r="AS10" s="665"/>
      <c r="AT10" s="665"/>
      <c r="AU10" s="663"/>
      <c r="AV10" s="663"/>
      <c r="AW10" s="665"/>
      <c r="AX10" s="665"/>
      <c r="AY10" s="665"/>
      <c r="AZ10" s="665"/>
      <c r="BA10" s="670"/>
      <c r="BB10" s="658"/>
      <c r="BC10" s="169"/>
      <c r="BD10" s="1330"/>
      <c r="BE10" s="1330"/>
      <c r="BF10" s="1330"/>
      <c r="BG10" s="1330"/>
    </row>
    <row r="11" spans="1:59" ht="15.75" customHeight="1">
      <c r="A11" s="658" t="s">
        <v>3453</v>
      </c>
      <c r="B11" s="708" t="s">
        <v>3458</v>
      </c>
      <c r="C11" s="660">
        <f>+$C$9+$G$10</f>
        <v>79675.03</v>
      </c>
      <c r="D11" s="664"/>
      <c r="E11" s="664"/>
      <c r="F11" s="666" t="s">
        <v>4083</v>
      </c>
      <c r="G11" s="665"/>
      <c r="H11" s="658"/>
      <c r="I11" s="661"/>
      <c r="J11" s="660"/>
      <c r="K11" s="663"/>
      <c r="L11" s="663" t="s">
        <v>1699</v>
      </c>
      <c r="M11" s="663" t="str">
        <f>IF(AX11="PT",VLOOKUP(L11,'Foundation Calculation'!$V$2:$X$40,VLOOKUP(AX11,'Foundation Calculation'!$I$10:$J$13,2,FALSE),0),IF(AX11="K",VLOOKUP(L11,'Foundation Calculation'!$V$42:$X$80,VLOOKUP(AX11,'Foundation Calculation'!$I$10:$J$13,2,FALSE),0),""))</f>
        <v>C7R</v>
      </c>
      <c r="N11" s="658"/>
      <c r="O11" s="658"/>
      <c r="P11" s="663"/>
      <c r="Q11" s="663"/>
      <c r="R11" s="663"/>
      <c r="S11" s="665"/>
      <c r="T11" s="663"/>
      <c r="U11" s="663"/>
      <c r="V11" s="663"/>
      <c r="W11" s="663"/>
      <c r="X11" s="663"/>
      <c r="Y11" s="663"/>
      <c r="Z11" s="663"/>
      <c r="AA11" s="663"/>
      <c r="AB11" s="663"/>
      <c r="AC11" s="663"/>
      <c r="AD11" s="663"/>
      <c r="AE11" s="663"/>
      <c r="AF11" s="663"/>
      <c r="AG11" s="660"/>
      <c r="AH11" s="663"/>
      <c r="AI11" s="707"/>
      <c r="AJ11" s="663" t="s">
        <v>4152</v>
      </c>
      <c r="AK11" s="658"/>
      <c r="AL11" s="663"/>
      <c r="AM11" s="663" t="s">
        <v>1043</v>
      </c>
      <c r="AN11" s="662"/>
      <c r="AO11" s="658"/>
      <c r="AP11" s="658"/>
      <c r="AQ11" s="665"/>
      <c r="AR11" s="665"/>
      <c r="AS11" s="665"/>
      <c r="AT11" s="665"/>
      <c r="AU11" s="663"/>
      <c r="AV11" s="663"/>
      <c r="AW11" s="663" t="str">
        <f>VLOOKUP(C11,'Foundation Calculation'!$A$2:$C$33,3,1)</f>
        <v>Soil B</v>
      </c>
      <c r="AX11" s="663" t="str">
        <f>VLOOKUP(C11,'Foundation Calculation'!$E$2:$G$33,3,1)</f>
        <v>PT</v>
      </c>
      <c r="AY11" s="665">
        <f>IF(AX11="PT",VLOOKUP(L11,'Foundation Calculation'!$K$2:$R$40,VLOOKUP(AW11,'Foundation Calculation'!$I$2:$J$8,2,FALSE),0),IF(AX11="K",VLOOKUP(L11,'Foundation Calculation'!$K$42:$R$80,VLOOKUP(AW11,'Foundation Calculation'!$I$2:$J$8,2,FALSE),0),""))</f>
        <v>4.4000000000000004</v>
      </c>
      <c r="AZ11" s="665"/>
      <c r="BA11" s="670" t="s">
        <v>2809</v>
      </c>
      <c r="BB11" s="658" t="str">
        <f>Pole_Calculations!A136</f>
        <v>App.7-V11A-P12.3.1.1</v>
      </c>
      <c r="BC11" s="169"/>
      <c r="BD11" s="1329"/>
      <c r="BE11" s="1329"/>
      <c r="BF11" s="1330"/>
      <c r="BG11" s="1330"/>
    </row>
    <row r="12" spans="1:59" ht="15.75" customHeight="1">
      <c r="A12" s="709"/>
      <c r="B12" s="666"/>
      <c r="C12" s="660"/>
      <c r="D12" s="666"/>
      <c r="E12" s="666"/>
      <c r="F12" s="666"/>
      <c r="G12" s="665">
        <v>5</v>
      </c>
      <c r="H12" s="666"/>
      <c r="I12" s="661"/>
      <c r="J12" s="660"/>
      <c r="K12" s="663"/>
      <c r="L12" s="666"/>
      <c r="M12" s="666"/>
      <c r="N12" s="658"/>
      <c r="O12" s="658"/>
      <c r="P12" s="666"/>
      <c r="Q12" s="663"/>
      <c r="R12" s="663"/>
      <c r="S12" s="665"/>
      <c r="T12" s="663"/>
      <c r="U12" s="663"/>
      <c r="V12" s="663"/>
      <c r="W12" s="663"/>
      <c r="X12" s="663"/>
      <c r="Y12" s="663"/>
      <c r="Z12" s="663"/>
      <c r="AA12" s="663"/>
      <c r="AB12" s="663"/>
      <c r="AC12" s="663"/>
      <c r="AD12" s="663"/>
      <c r="AE12" s="663"/>
      <c r="AF12" s="663"/>
      <c r="AG12" s="660"/>
      <c r="AH12" s="663"/>
      <c r="AI12" s="707"/>
      <c r="AJ12" s="666"/>
      <c r="AK12" s="666"/>
      <c r="AL12" s="666"/>
      <c r="AM12" s="666"/>
      <c r="AN12" s="665"/>
      <c r="AO12" s="666"/>
      <c r="AP12" s="666"/>
      <c r="AQ12" s="665"/>
      <c r="AR12" s="665"/>
      <c r="AS12" s="665"/>
      <c r="AT12" s="665"/>
      <c r="AU12" s="663"/>
      <c r="AV12" s="663"/>
      <c r="AW12" s="665"/>
      <c r="AX12" s="665"/>
      <c r="AY12" s="665"/>
      <c r="AZ12" s="665"/>
      <c r="BA12" s="1303"/>
      <c r="BB12" s="709"/>
      <c r="BC12" s="169"/>
      <c r="BD12" s="1330"/>
      <c r="BE12" s="1330"/>
      <c r="BF12" s="1330"/>
      <c r="BG12" s="1330"/>
    </row>
    <row r="13" spans="1:59" ht="15.75" customHeight="1">
      <c r="A13" s="658" t="s">
        <v>3451</v>
      </c>
      <c r="B13" s="710" t="s">
        <v>3459</v>
      </c>
      <c r="C13" s="660">
        <f>+$C$11+$G$12</f>
        <v>79680.03</v>
      </c>
      <c r="D13" s="666"/>
      <c r="E13" s="666"/>
      <c r="F13" s="666" t="s">
        <v>4083</v>
      </c>
      <c r="G13" s="665"/>
      <c r="H13" s="666" t="s">
        <v>619</v>
      </c>
      <c r="I13" s="661" t="s">
        <v>1429</v>
      </c>
      <c r="J13" s="739"/>
      <c r="K13" s="658"/>
      <c r="L13" s="663" t="s">
        <v>632</v>
      </c>
      <c r="M13" s="663" t="str">
        <f>IF(AX13="PT",VLOOKUP(L13,'Foundation Calculation'!$V$2:$X$40,VLOOKUP(AX13,'Foundation Calculation'!$I$10:$J$13,2,FALSE),0),IF(AX13="K",VLOOKUP(L13,'Foundation Calculation'!$V$42:$X$80,VLOOKUP(AX13,'Foundation Calculation'!$I$10:$J$13,2,FALSE),0),""))</f>
        <v>C9R</v>
      </c>
      <c r="N13" s="658" t="s">
        <v>143</v>
      </c>
      <c r="O13" s="658" t="s">
        <v>140</v>
      </c>
      <c r="P13" s="666"/>
      <c r="Q13" s="663"/>
      <c r="R13" s="663"/>
      <c r="S13" s="665"/>
      <c r="T13" s="663">
        <v>15</v>
      </c>
      <c r="U13" s="663">
        <v>-30</v>
      </c>
      <c r="V13" s="663"/>
      <c r="W13" s="663">
        <v>1.4</v>
      </c>
      <c r="X13" s="663">
        <v>2.2999999999999998</v>
      </c>
      <c r="Y13" s="663"/>
      <c r="Z13" s="663"/>
      <c r="AA13" s="663">
        <v>0.45</v>
      </c>
      <c r="AB13" s="663"/>
      <c r="AC13" s="663" t="str">
        <f>IF(OR(AT13&gt;8,AT13&lt;-8),"PH",IF(OR(AT13&gt;5,AT13&lt;-5),"PH-Q",IF(OR(AT13&gt;1,AT13&lt;-1),"PH-C")))</f>
        <v>PH</v>
      </c>
      <c r="AD13" s="663"/>
      <c r="AE13" s="663"/>
      <c r="AF13" s="663"/>
      <c r="AG13" s="660"/>
      <c r="AH13" s="663"/>
      <c r="AI13" s="707"/>
      <c r="AJ13" s="663" t="s">
        <v>3048</v>
      </c>
      <c r="AK13" s="666"/>
      <c r="AL13" s="666"/>
      <c r="AM13" s="666" t="s">
        <v>1043</v>
      </c>
      <c r="AN13" s="662">
        <v>5.5</v>
      </c>
      <c r="AO13" s="666"/>
      <c r="AP13" s="666"/>
      <c r="AQ13" s="665"/>
      <c r="AR13" s="665"/>
      <c r="AS13" s="665"/>
      <c r="AT13" s="665">
        <f>+ab($T$13,$T$9,$T$15,47,$G$14, 1*$F$13,1200)</f>
        <v>-9.8268787247002454</v>
      </c>
      <c r="AU13" s="663"/>
      <c r="AV13" s="663"/>
      <c r="AW13" s="663" t="str">
        <f>VLOOKUP(C13,'Foundation Calculation'!$A$2:$C$33,3,1)</f>
        <v>Soil B</v>
      </c>
      <c r="AX13" s="663" t="str">
        <f>VLOOKUP(C13,'Foundation Calculation'!$E$2:$G$33,3,1)</f>
        <v>PT</v>
      </c>
      <c r="AY13" s="665">
        <f>IF(AX13="PT",VLOOKUP(L13,'Foundation Calculation'!$K$2:$R$40,VLOOKUP(AW13,'Foundation Calculation'!$I$2:$J$8,2,FALSE),0),IF(AX13="K",VLOOKUP(L13,'Foundation Calculation'!$K$42:$R$80,VLOOKUP(AW13,'Foundation Calculation'!$I$2:$J$8,2,FALSE),0),""))</f>
        <v>4.4000000000000004</v>
      </c>
      <c r="AZ13" s="665"/>
      <c r="BA13" s="670" t="s">
        <v>2809</v>
      </c>
      <c r="BB13" s="658" t="str">
        <f>Pole_Calculations!A140</f>
        <v>App.7-V11A-P12.3.1.5</v>
      </c>
      <c r="BC13" s="169"/>
      <c r="BD13" s="1329"/>
      <c r="BE13" s="1329"/>
      <c r="BF13" s="1330"/>
      <c r="BG13" s="1329"/>
    </row>
    <row r="14" spans="1:59" ht="15.75" customHeight="1">
      <c r="A14" s="709"/>
      <c r="B14" s="666"/>
      <c r="C14" s="660"/>
      <c r="D14" s="666"/>
      <c r="E14" s="666"/>
      <c r="F14" s="666"/>
      <c r="G14" s="665">
        <v>47</v>
      </c>
      <c r="H14" s="666"/>
      <c r="I14" s="664"/>
      <c r="J14" s="660"/>
      <c r="K14" s="663"/>
      <c r="L14" s="666"/>
      <c r="M14" s="663" t="str">
        <f>IF(AX14="PT",VLOOKUP(L14,'Foundation Calculation'!$V$2:$X$40,VLOOKUP(AX14,'Foundation Calculation'!$I$10:$J$13,2,FALSE),0),IF(AX14="K",VLOOKUP(L14,'Foundation Calculation'!$V$42:$X$80,VLOOKUP(AX14,'Foundation Calculation'!$I$10:$J$13,2,FALSE),0),""))</f>
        <v/>
      </c>
      <c r="N14" s="666"/>
      <c r="O14" s="666"/>
      <c r="P14" s="666"/>
      <c r="Q14" s="663"/>
      <c r="R14" s="663"/>
      <c r="S14" s="665"/>
      <c r="T14" s="663"/>
      <c r="U14" s="663"/>
      <c r="V14" s="663"/>
      <c r="W14" s="663"/>
      <c r="X14" s="663"/>
      <c r="Y14" s="663"/>
      <c r="Z14" s="663"/>
      <c r="AA14" s="663"/>
      <c r="AB14" s="663"/>
      <c r="AC14" s="663"/>
      <c r="AD14" s="663"/>
      <c r="AE14" s="663"/>
      <c r="AF14" s="663"/>
      <c r="AG14" s="660"/>
      <c r="AH14" s="663"/>
      <c r="AI14" s="707"/>
      <c r="AJ14" s="666"/>
      <c r="AK14" s="666"/>
      <c r="AL14" s="666"/>
      <c r="AM14" s="666"/>
      <c r="AN14" s="665"/>
      <c r="AO14" s="666"/>
      <c r="AP14" s="666"/>
      <c r="AQ14" s="665">
        <f>+FL_2($U$15,$U$13,$G$14,1200,9.28, 1*$F$15)</f>
        <v>-0.4203554567027854</v>
      </c>
      <c r="AR14" s="665"/>
      <c r="AS14" s="665"/>
      <c r="AT14" s="665"/>
      <c r="AU14" s="663"/>
      <c r="AV14" s="663"/>
      <c r="AW14" s="665"/>
      <c r="AX14" s="665"/>
      <c r="AY14" s="665"/>
      <c r="AZ14" s="665"/>
      <c r="BA14" s="1303"/>
      <c r="BB14" s="709"/>
      <c r="BC14" s="169"/>
      <c r="BD14" s="1330"/>
      <c r="BE14" s="1330"/>
      <c r="BF14" s="1330"/>
      <c r="BG14" s="1330"/>
    </row>
    <row r="15" spans="1:59" ht="15.75" customHeight="1">
      <c r="A15" s="709"/>
      <c r="B15" s="710" t="s">
        <v>3460</v>
      </c>
      <c r="C15" s="660">
        <f>+$C$13+$G$14</f>
        <v>79727.03</v>
      </c>
      <c r="D15" s="666"/>
      <c r="E15" s="666"/>
      <c r="F15" s="666" t="s">
        <v>4083</v>
      </c>
      <c r="G15" s="665"/>
      <c r="H15" s="666" t="s">
        <v>619</v>
      </c>
      <c r="I15" s="661"/>
      <c r="J15" s="660"/>
      <c r="K15" s="666"/>
      <c r="L15" s="663" t="s">
        <v>632</v>
      </c>
      <c r="M15" s="663" t="str">
        <f>IF(AX15="PT",VLOOKUP(L15,'Foundation Calculation'!$V$2:$X$40,VLOOKUP(AX15,'Foundation Calculation'!$I$10:$J$13,2,FALSE),0),IF(AX15="K",VLOOKUP(L15,'Foundation Calculation'!$V$42:$X$80,VLOOKUP(AX15,'Foundation Calculation'!$I$10:$J$13,2,FALSE),0),""))</f>
        <v>C9R</v>
      </c>
      <c r="N15" s="658" t="s">
        <v>140</v>
      </c>
      <c r="O15" s="658" t="s">
        <v>143</v>
      </c>
      <c r="P15" s="666"/>
      <c r="Q15" s="663"/>
      <c r="R15" s="663"/>
      <c r="S15" s="665"/>
      <c r="T15" s="663">
        <v>10</v>
      </c>
      <c r="U15" s="663">
        <v>-35</v>
      </c>
      <c r="V15" s="663"/>
      <c r="W15" s="663">
        <v>1.4</v>
      </c>
      <c r="X15" s="663">
        <v>2.2999999999999998</v>
      </c>
      <c r="Y15" s="663"/>
      <c r="Z15" s="663">
        <v>0.45</v>
      </c>
      <c r="AA15" s="663"/>
      <c r="AB15" s="663"/>
      <c r="AC15" s="663"/>
      <c r="AD15" s="663"/>
      <c r="AE15" s="663"/>
      <c r="AF15" s="663"/>
      <c r="AG15" s="660"/>
      <c r="AH15" s="663"/>
      <c r="AI15" s="707"/>
      <c r="AJ15" s="663" t="s">
        <v>3515</v>
      </c>
      <c r="AK15" s="666"/>
      <c r="AL15" s="666"/>
      <c r="AM15" s="666" t="s">
        <v>1043</v>
      </c>
      <c r="AN15" s="662">
        <v>5.5</v>
      </c>
      <c r="AO15" s="666"/>
      <c r="AP15" s="666"/>
      <c r="AQ15" s="665"/>
      <c r="AR15" s="665"/>
      <c r="AS15" s="665"/>
      <c r="AT15" s="665">
        <f>+ab($T$15,$T$13,$T$21,$G$14,47, 1*$F$15,1200)</f>
        <v>-8.8690465019914253</v>
      </c>
      <c r="AU15" s="663"/>
      <c r="AV15" s="663"/>
      <c r="AW15" s="663" t="str">
        <f>VLOOKUP(C15,'Foundation Calculation'!$A$2:$C$33,3,1)</f>
        <v>Soil B</v>
      </c>
      <c r="AX15" s="663" t="str">
        <f>VLOOKUP(C15,'Foundation Calculation'!$E$2:$G$33,3,1)</f>
        <v>PT</v>
      </c>
      <c r="AY15" s="665">
        <f>IF(AX15="PT",VLOOKUP(L15,'Foundation Calculation'!$K$2:$R$40,VLOOKUP(AW15,'Foundation Calculation'!$I$2:$J$8,2,FALSE),0),IF(AX15="K",VLOOKUP(L15,'Foundation Calculation'!$K$42:$R$80,VLOOKUP(AW15,'Foundation Calculation'!$I$2:$J$8,2,FALSE),0),""))</f>
        <v>4.4000000000000004</v>
      </c>
      <c r="AZ15" s="665"/>
      <c r="BA15" s="670" t="s">
        <v>2809</v>
      </c>
      <c r="BB15" s="658" t="str">
        <f>Pole_Calculations!A140</f>
        <v>App.7-V11A-P12.3.1.5</v>
      </c>
      <c r="BC15" s="169"/>
      <c r="BD15" s="1329"/>
      <c r="BE15" s="1329"/>
      <c r="BF15" s="1330"/>
      <c r="BG15" s="1329"/>
    </row>
    <row r="16" spans="1:59" ht="15.75" customHeight="1">
      <c r="A16" s="709"/>
      <c r="B16" s="666"/>
      <c r="C16" s="660"/>
      <c r="D16" s="666"/>
      <c r="E16" s="666"/>
      <c r="F16" s="666"/>
      <c r="G16" s="665">
        <v>5</v>
      </c>
      <c r="H16" s="666"/>
      <c r="I16" s="661"/>
      <c r="J16" s="660"/>
      <c r="K16" s="666"/>
      <c r="L16" s="666"/>
      <c r="M16" s="666"/>
      <c r="N16" s="658"/>
      <c r="O16" s="666"/>
      <c r="P16" s="666"/>
      <c r="Q16" s="663"/>
      <c r="R16" s="663"/>
      <c r="S16" s="665"/>
      <c r="T16" s="663"/>
      <c r="U16" s="663"/>
      <c r="V16" s="663"/>
      <c r="W16" s="663"/>
      <c r="X16" s="663"/>
      <c r="Y16" s="663"/>
      <c r="Z16" s="663"/>
      <c r="AA16" s="663"/>
      <c r="AB16" s="663"/>
      <c r="AC16" s="663"/>
      <c r="AD16" s="663"/>
      <c r="AE16" s="663"/>
      <c r="AF16" s="663"/>
      <c r="AG16" s="660"/>
      <c r="AH16" s="663"/>
      <c r="AI16" s="707"/>
      <c r="AJ16" s="658"/>
      <c r="AK16" s="666"/>
      <c r="AL16" s="663"/>
      <c r="AM16" s="666"/>
      <c r="AN16" s="665"/>
      <c r="AO16" s="666"/>
      <c r="AP16" s="666"/>
      <c r="AQ16" s="665">
        <f>+FL_1($T$21,$T$15,47,1200,9.28, 1*$F$17)</f>
        <v>0.43090129897302881</v>
      </c>
      <c r="AR16" s="665"/>
      <c r="AS16" s="665"/>
      <c r="AT16" s="665"/>
      <c r="AU16" s="663"/>
      <c r="AV16" s="663"/>
      <c r="AW16" s="665"/>
      <c r="AX16" s="665"/>
      <c r="AY16" s="665"/>
      <c r="AZ16" s="665"/>
      <c r="BA16" s="1303"/>
      <c r="BB16" s="709"/>
      <c r="BC16" s="169"/>
      <c r="BD16" s="1330"/>
      <c r="BE16" s="1330"/>
      <c r="BF16" s="1330"/>
      <c r="BG16" s="1330"/>
    </row>
    <row r="17" spans="1:59" ht="15.75" customHeight="1">
      <c r="A17" s="658" t="s">
        <v>3455</v>
      </c>
      <c r="B17" s="710" t="s">
        <v>3461</v>
      </c>
      <c r="C17" s="660">
        <f>+$C$15+$G$16</f>
        <v>79732.03</v>
      </c>
      <c r="D17" s="666"/>
      <c r="E17" s="666"/>
      <c r="F17" s="661">
        <f>-(744^2)/(79967.3-C17)</f>
        <v>-2352.7691588387402</v>
      </c>
      <c r="G17" s="665"/>
      <c r="H17" s="666"/>
      <c r="I17" s="661" t="s">
        <v>1040</v>
      </c>
      <c r="J17" s="660"/>
      <c r="K17" s="666"/>
      <c r="L17" s="663" t="s">
        <v>823</v>
      </c>
      <c r="M17" s="663" t="str">
        <f>IF(AX17="PT",VLOOKUP(L17,'Foundation Calculation'!$V$2:$X$40,VLOOKUP(AX17,'Foundation Calculation'!$I$10:$J$13,2,FALSE),0),IF(AX17="K",VLOOKUP(L17,'Foundation Calculation'!$V$42:$X$80,VLOOKUP(AX17,'Foundation Calculation'!$I$10:$J$13,2,FALSE),0),""))</f>
        <v>C9R</v>
      </c>
      <c r="N17" s="666"/>
      <c r="O17" s="666"/>
      <c r="P17" s="666"/>
      <c r="Q17" s="663"/>
      <c r="R17" s="663"/>
      <c r="S17" s="665"/>
      <c r="T17" s="663"/>
      <c r="U17" s="663"/>
      <c r="V17" s="663"/>
      <c r="W17" s="663"/>
      <c r="X17" s="663"/>
      <c r="Y17" s="663"/>
      <c r="Z17" s="663"/>
      <c r="AA17" s="663"/>
      <c r="AB17" s="663"/>
      <c r="AC17" s="663"/>
      <c r="AD17" s="663"/>
      <c r="AE17" s="663"/>
      <c r="AF17" s="663"/>
      <c r="AG17" s="660"/>
      <c r="AH17" s="663"/>
      <c r="AI17" s="707"/>
      <c r="AJ17" s="666" t="s">
        <v>4153</v>
      </c>
      <c r="AK17" s="666"/>
      <c r="AL17" s="666"/>
      <c r="AM17" s="666" t="s">
        <v>1043</v>
      </c>
      <c r="AN17" s="665"/>
      <c r="AO17" s="666"/>
      <c r="AP17" s="666"/>
      <c r="AQ17" s="665"/>
      <c r="AR17" s="665"/>
      <c r="AS17" s="665"/>
      <c r="AT17" s="665"/>
      <c r="AU17" s="663"/>
      <c r="AV17" s="663"/>
      <c r="AW17" s="663" t="str">
        <f>VLOOKUP(C17,'Foundation Calculation'!$A$2:$C$33,3,1)</f>
        <v>Soil B</v>
      </c>
      <c r="AX17" s="663" t="str">
        <f>VLOOKUP(C17,'Foundation Calculation'!$E$2:$G$33,3,1)</f>
        <v>PT</v>
      </c>
      <c r="AY17" s="665">
        <f>IF(AX17="PT",VLOOKUP(L17,'Foundation Calculation'!$K$2:$R$40,VLOOKUP(AW17,'Foundation Calculation'!$I$2:$J$8,2,FALSE),0),IF(AX17="K",VLOOKUP(L17,'Foundation Calculation'!$K$42:$R$80,VLOOKUP(AW17,'Foundation Calculation'!$I$2:$J$8,2,FALSE),0),""))</f>
        <v>4.4000000000000004</v>
      </c>
      <c r="AZ17" s="665"/>
      <c r="BA17" s="670" t="s">
        <v>2809</v>
      </c>
      <c r="BB17" s="658" t="str">
        <f>Pole_Calculations!A136</f>
        <v>App.7-V11A-P12.3.1.1</v>
      </c>
      <c r="BC17" s="169"/>
      <c r="BD17" s="1329"/>
      <c r="BE17" s="1329"/>
      <c r="BF17" s="1330"/>
      <c r="BG17" s="1330"/>
    </row>
    <row r="18" spans="1:59" ht="15.75" customHeight="1">
      <c r="A18" s="709"/>
      <c r="B18" s="666"/>
      <c r="C18" s="660"/>
      <c r="D18" s="666"/>
      <c r="E18" s="666"/>
      <c r="F18" s="666"/>
      <c r="G18" s="665">
        <v>3</v>
      </c>
      <c r="H18" s="666"/>
      <c r="I18" s="664"/>
      <c r="J18" s="660"/>
      <c r="K18" s="666"/>
      <c r="L18" s="666"/>
      <c r="M18" s="666"/>
      <c r="N18" s="658"/>
      <c r="O18" s="666"/>
      <c r="P18" s="666"/>
      <c r="Q18" s="663"/>
      <c r="R18" s="663"/>
      <c r="S18" s="665"/>
      <c r="T18" s="663"/>
      <c r="U18" s="663"/>
      <c r="V18" s="663"/>
      <c r="W18" s="663"/>
      <c r="X18" s="663"/>
      <c r="Y18" s="663"/>
      <c r="Z18" s="663"/>
      <c r="AA18" s="663"/>
      <c r="AB18" s="663"/>
      <c r="AC18" s="663"/>
      <c r="AD18" s="663"/>
      <c r="AE18" s="663"/>
      <c r="AF18" s="663"/>
      <c r="AG18" s="660"/>
      <c r="AH18" s="663"/>
      <c r="AI18" s="707"/>
      <c r="AJ18" s="658" t="s">
        <v>1360</v>
      </c>
      <c r="AK18" s="666"/>
      <c r="AL18" s="666"/>
      <c r="AM18" s="666"/>
      <c r="AN18" s="665"/>
      <c r="AO18" s="666"/>
      <c r="AP18" s="666"/>
      <c r="AQ18" s="665"/>
      <c r="AR18" s="665"/>
      <c r="AS18" s="665"/>
      <c r="AT18" s="665"/>
      <c r="AU18" s="663"/>
      <c r="AV18" s="663"/>
      <c r="AW18" s="665"/>
      <c r="AX18" s="665"/>
      <c r="AY18" s="665"/>
      <c r="AZ18" s="665"/>
      <c r="BA18" s="1303"/>
      <c r="BB18" s="658"/>
      <c r="BC18" s="169"/>
      <c r="BD18" s="1330"/>
      <c r="BE18" s="1330"/>
      <c r="BF18" s="1330"/>
      <c r="BG18" s="1330"/>
    </row>
    <row r="19" spans="1:59" ht="15.75" customHeight="1">
      <c r="A19" s="658" t="s">
        <v>3454</v>
      </c>
      <c r="B19" s="710" t="s">
        <v>3462</v>
      </c>
      <c r="C19" s="660">
        <f>+$C$17+$G$18</f>
        <v>79735.03</v>
      </c>
      <c r="D19" s="666"/>
      <c r="E19" s="666"/>
      <c r="F19" s="661">
        <f>-(744^2)/(79967.3-C19)</f>
        <v>-2383.157532182332</v>
      </c>
      <c r="G19" s="665"/>
      <c r="H19" s="666"/>
      <c r="I19" s="664"/>
      <c r="J19" s="660"/>
      <c r="K19" s="666"/>
      <c r="L19" s="663" t="s">
        <v>823</v>
      </c>
      <c r="M19" s="663" t="str">
        <f>IF(AX19="PT",VLOOKUP(L19,'Foundation Calculation'!$V$2:$X$40,VLOOKUP(AX19,'Foundation Calculation'!$I$10:$J$13,2,FALSE),0),IF(AX19="K",VLOOKUP(L19,'Foundation Calculation'!$V$42:$X$80,VLOOKUP(AX19,'Foundation Calculation'!$I$10:$J$13,2,FALSE),0),""))</f>
        <v>C9R</v>
      </c>
      <c r="N19" s="666"/>
      <c r="O19" s="666"/>
      <c r="P19" s="666"/>
      <c r="Q19" s="663"/>
      <c r="R19" s="663"/>
      <c r="S19" s="665"/>
      <c r="T19" s="663"/>
      <c r="U19" s="663"/>
      <c r="V19" s="663"/>
      <c r="W19" s="663"/>
      <c r="X19" s="663"/>
      <c r="Y19" s="663"/>
      <c r="Z19" s="663"/>
      <c r="AA19" s="663"/>
      <c r="AB19" s="663"/>
      <c r="AC19" s="663"/>
      <c r="AD19" s="663"/>
      <c r="AE19" s="663"/>
      <c r="AF19" s="663"/>
      <c r="AG19" s="660"/>
      <c r="AH19" s="663"/>
      <c r="AI19" s="707"/>
      <c r="AJ19" s="663"/>
      <c r="AK19" s="666"/>
      <c r="AL19" s="666"/>
      <c r="AM19" s="666" t="s">
        <v>1043</v>
      </c>
      <c r="AN19" s="665"/>
      <c r="AO19" s="666"/>
      <c r="AP19" s="666"/>
      <c r="AQ19" s="665"/>
      <c r="AR19" s="665"/>
      <c r="AS19" s="665"/>
      <c r="AT19" s="665"/>
      <c r="AU19" s="663"/>
      <c r="AV19" s="663"/>
      <c r="AW19" s="663" t="str">
        <f>VLOOKUP(C19,'Foundation Calculation'!$A$2:$C$33,3,1)</f>
        <v>Soil B</v>
      </c>
      <c r="AX19" s="663" t="str">
        <f>VLOOKUP(C19,'Foundation Calculation'!$E$2:$G$33,3,1)</f>
        <v>PT</v>
      </c>
      <c r="AY19" s="665">
        <f>IF(AX19="PT",VLOOKUP(L19,'Foundation Calculation'!$K$2:$R$40,VLOOKUP(AW19,'Foundation Calculation'!$I$2:$J$8,2,FALSE),0),IF(AX19="K",VLOOKUP(L19,'Foundation Calculation'!$K$42:$R$80,VLOOKUP(AW19,'Foundation Calculation'!$I$2:$J$8,2,FALSE),0),""))</f>
        <v>4.4000000000000004</v>
      </c>
      <c r="AZ19" s="665"/>
      <c r="BA19" s="670" t="s">
        <v>2809</v>
      </c>
      <c r="BB19" s="658" t="str">
        <f>Pole_Calculations!A136</f>
        <v>App.7-V11A-P12.3.1.1</v>
      </c>
      <c r="BC19" s="169"/>
      <c r="BD19" s="1329"/>
      <c r="BE19" s="1329"/>
      <c r="BF19" s="1330"/>
      <c r="BG19" s="1330"/>
    </row>
    <row r="20" spans="1:59" ht="15.75" customHeight="1">
      <c r="A20" s="647" t="s">
        <v>3049</v>
      </c>
      <c r="B20" s="657"/>
      <c r="C20" s="649"/>
      <c r="D20" s="657"/>
      <c r="E20" s="657"/>
      <c r="F20" s="657"/>
      <c r="G20" s="654">
        <v>39</v>
      </c>
      <c r="H20" s="647"/>
      <c r="I20" s="650" t="s">
        <v>1040</v>
      </c>
      <c r="J20" s="649">
        <f>C21-7.5</f>
        <v>79766.53</v>
      </c>
      <c r="K20" s="657" t="s">
        <v>2788</v>
      </c>
      <c r="L20" s="657"/>
      <c r="M20" s="657"/>
      <c r="N20" s="657"/>
      <c r="O20" s="657"/>
      <c r="P20" s="657"/>
      <c r="Q20" s="653"/>
      <c r="R20" s="653"/>
      <c r="S20" s="654"/>
      <c r="T20" s="653"/>
      <c r="U20" s="653"/>
      <c r="V20" s="653"/>
      <c r="W20" s="653"/>
      <c r="X20" s="653"/>
      <c r="Y20" s="653"/>
      <c r="Z20" s="653"/>
      <c r="AA20" s="653"/>
      <c r="AB20" s="653"/>
      <c r="AC20" s="653"/>
      <c r="AD20" s="653"/>
      <c r="AE20" s="653"/>
      <c r="AF20" s="653"/>
      <c r="AG20" s="649"/>
      <c r="AH20" s="653"/>
      <c r="AI20" s="704"/>
      <c r="AJ20" s="647"/>
      <c r="AK20" s="657"/>
      <c r="AL20" s="657"/>
      <c r="AM20" s="653"/>
      <c r="AN20" s="654"/>
      <c r="AO20" s="657"/>
      <c r="AP20" s="657"/>
      <c r="AQ20" s="654">
        <f>+FL_1($T$21,$T$15,47,1200,9.28, 1*$F$21)</f>
        <v>0.40994878259209849</v>
      </c>
      <c r="AR20" s="654"/>
      <c r="AS20" s="654"/>
      <c r="AT20" s="654"/>
      <c r="AU20" s="653"/>
      <c r="AV20" s="653"/>
      <c r="AW20" s="653" t="str">
        <f>VLOOKUP(J20,'Foundation Calculation'!$A$2:$C$33,3,1)</f>
        <v>Soil B</v>
      </c>
      <c r="AX20" s="653" t="str">
        <f>VLOOKUP(J20,'Foundation Calculation'!$E$2:$G$33,3,1)</f>
        <v>PT</v>
      </c>
      <c r="AY20" s="654"/>
      <c r="AZ20" s="654">
        <f>IF(AX20="PT",VLOOKUP(K20,'Foundation Calculation'!$K$2:$R$40,VLOOKUP(AW20,'Foundation Calculation'!$I$2:$J$8,2,FALSE),0),IF(AX20="K",VLOOKUP(K20,'Foundation Calculation'!$K$42:$R$80,VLOOKUP(AW20,'Foundation Calculation'!$I$2:$J$8,2,FALSE),0),""))</f>
        <v>2.8</v>
      </c>
      <c r="BA20" s="701" t="s">
        <v>2809</v>
      </c>
      <c r="BB20" s="647"/>
      <c r="BC20" s="169"/>
      <c r="BD20" s="1329"/>
      <c r="BE20" s="1330"/>
      <c r="BF20" s="1330"/>
      <c r="BG20" s="1330"/>
    </row>
    <row r="21" spans="1:59" ht="15.75" customHeight="1">
      <c r="A21" s="658" t="s">
        <v>3452</v>
      </c>
      <c r="B21" s="710" t="s">
        <v>3463</v>
      </c>
      <c r="C21" s="660">
        <f>+$C$19+$G$20</f>
        <v>79774.03</v>
      </c>
      <c r="D21" s="666"/>
      <c r="E21" s="666"/>
      <c r="F21" s="661">
        <f>-(744^2)/(79967.3-C21)</f>
        <v>-2864.0554664458441</v>
      </c>
      <c r="G21" s="665"/>
      <c r="H21" s="666" t="s">
        <v>619</v>
      </c>
      <c r="I21" s="664" t="s">
        <v>1429</v>
      </c>
      <c r="J21" s="660"/>
      <c r="K21" s="666"/>
      <c r="L21" s="663" t="s">
        <v>1697</v>
      </c>
      <c r="M21" s="663" t="str">
        <f>IF(AX21="PT",VLOOKUP(L21,'Foundation Calculation'!$V$2:$X$40,VLOOKUP(AX21,'Foundation Calculation'!$I$10:$J$13,2,FALSE),0),IF(AX21="K",VLOOKUP(L21,'Foundation Calculation'!$V$42:$X$80,VLOOKUP(AX21,'Foundation Calculation'!$I$10:$J$13,2,FALSE),0),""))</f>
        <v>2C3R</v>
      </c>
      <c r="N21" s="658" t="s">
        <v>143</v>
      </c>
      <c r="O21" s="658" t="s">
        <v>140</v>
      </c>
      <c r="P21" s="666"/>
      <c r="Q21" s="663"/>
      <c r="R21" s="663"/>
      <c r="S21" s="665"/>
      <c r="T21" s="663">
        <v>10</v>
      </c>
      <c r="U21" s="663">
        <v>-35</v>
      </c>
      <c r="V21" s="663"/>
      <c r="W21" s="663">
        <v>1.4</v>
      </c>
      <c r="X21" s="663">
        <v>2.2999999999999998</v>
      </c>
      <c r="Y21" s="663"/>
      <c r="Z21" s="663"/>
      <c r="AA21" s="663">
        <v>0.45</v>
      </c>
      <c r="AB21" s="663"/>
      <c r="AC21" s="663" t="str">
        <f>IF(OR(AT21&gt;8,AT21&lt;-8),"PH",IF(OR(AT21&gt;5,AT21&lt;-5),"PH-Q",IF(OR(AT21&gt;1,AT21&lt;-1),"PH-C")))</f>
        <v>PH</v>
      </c>
      <c r="AD21" s="663"/>
      <c r="AE21" s="663"/>
      <c r="AF21" s="663"/>
      <c r="AG21" s="660"/>
      <c r="AH21" s="663"/>
      <c r="AI21" s="707"/>
      <c r="AJ21" s="663" t="s">
        <v>3048</v>
      </c>
      <c r="AK21" s="666"/>
      <c r="AL21" s="666"/>
      <c r="AM21" s="666" t="s">
        <v>1043</v>
      </c>
      <c r="AN21" s="662">
        <v>5.5</v>
      </c>
      <c r="AO21" s="666"/>
      <c r="AP21" s="666"/>
      <c r="AQ21" s="665"/>
      <c r="AR21" s="665"/>
      <c r="AS21" s="665"/>
      <c r="AT21" s="665">
        <f>+ab($T$21,$T$15,$T$25,47,$G$24, 1*$F$21,1200)</f>
        <v>-15.84870857313493</v>
      </c>
      <c r="AU21" s="663"/>
      <c r="AV21" s="663"/>
      <c r="AW21" s="663" t="str">
        <f>VLOOKUP(C21,'Foundation Calculation'!$A$2:$C$33,3,1)</f>
        <v>Soil B</v>
      </c>
      <c r="AX21" s="663" t="str">
        <f>VLOOKUP(C21,'Foundation Calculation'!$E$2:$G$33,3,1)</f>
        <v>PT</v>
      </c>
      <c r="AY21" s="665">
        <f>IF(AX21="PT",VLOOKUP(L21,'Foundation Calculation'!$K$2:$R$40,VLOOKUP(AW21,'Foundation Calculation'!$I$2:$J$8,2,FALSE),0),IF(AX21="K",VLOOKUP(L21,'Foundation Calculation'!$K$42:$R$80,VLOOKUP(AW21,'Foundation Calculation'!$I$2:$J$8,2,FALSE),0),""))</f>
        <v>3.5</v>
      </c>
      <c r="AZ21" s="665"/>
      <c r="BA21" s="670" t="s">
        <v>2809</v>
      </c>
      <c r="BB21" s="658" t="str">
        <f>Pole_Calculations!A19</f>
        <v>App.7-V11A-P9.5.1.5</v>
      </c>
      <c r="BC21" s="169"/>
      <c r="BD21" s="1329"/>
      <c r="BE21" s="1329"/>
      <c r="BF21" s="1330"/>
      <c r="BG21" s="1329"/>
    </row>
    <row r="22" spans="1:59" ht="15.75" customHeight="1">
      <c r="A22" s="658"/>
      <c r="B22" s="710"/>
      <c r="C22" s="660"/>
      <c r="D22" s="666"/>
      <c r="E22" s="666"/>
      <c r="F22" s="661"/>
      <c r="G22" s="665"/>
      <c r="H22" s="666"/>
      <c r="I22" s="661" t="s">
        <v>1040</v>
      </c>
      <c r="J22" s="660">
        <f>C21+7.5</f>
        <v>79781.53</v>
      </c>
      <c r="K22" s="666" t="s">
        <v>2788</v>
      </c>
      <c r="L22" s="663"/>
      <c r="M22" s="663"/>
      <c r="N22" s="658"/>
      <c r="O22" s="658"/>
      <c r="P22" s="666"/>
      <c r="Q22" s="663"/>
      <c r="R22" s="663"/>
      <c r="S22" s="665"/>
      <c r="T22" s="663"/>
      <c r="U22" s="663"/>
      <c r="V22" s="663"/>
      <c r="W22" s="663"/>
      <c r="X22" s="663"/>
      <c r="Y22" s="663"/>
      <c r="Z22" s="663"/>
      <c r="AA22" s="663"/>
      <c r="AB22" s="663"/>
      <c r="AC22" s="663"/>
      <c r="AD22" s="663"/>
      <c r="AE22" s="663"/>
      <c r="AF22" s="663"/>
      <c r="AG22" s="660"/>
      <c r="AH22" s="663"/>
      <c r="AI22" s="707"/>
      <c r="AJ22" s="663"/>
      <c r="AK22" s="666"/>
      <c r="AL22" s="666"/>
      <c r="AM22" s="666"/>
      <c r="AN22" s="662"/>
      <c r="AO22" s="666"/>
      <c r="AP22" s="666"/>
      <c r="AQ22" s="665"/>
      <c r="AR22" s="665"/>
      <c r="AS22" s="665"/>
      <c r="AT22" s="665"/>
      <c r="AU22" s="663"/>
      <c r="AV22" s="663"/>
      <c r="AW22" s="663" t="str">
        <f>VLOOKUP(J22,'Foundation Calculation'!$A$2:$C$33,3,1)</f>
        <v>Soil B</v>
      </c>
      <c r="AX22" s="663" t="str">
        <f>VLOOKUP(J22,'Foundation Calculation'!$E$2:$G$33,3,1)</f>
        <v>PT</v>
      </c>
      <c r="AY22" s="665"/>
      <c r="AZ22" s="665">
        <f>IF(AX22="PT",VLOOKUP(K22,'Foundation Calculation'!$K$2:$R$40,VLOOKUP(AW22,'Foundation Calculation'!$I$2:$J$8,2,FALSE),0),IF(AX22="K",VLOOKUP(K22,'Foundation Calculation'!$K$42:$R$80,VLOOKUP(AW22,'Foundation Calculation'!$I$2:$J$8,2,FALSE),0),""))</f>
        <v>2.8</v>
      </c>
      <c r="BA22" s="670" t="s">
        <v>2809</v>
      </c>
      <c r="BB22" s="658"/>
      <c r="BC22" s="169"/>
      <c r="BD22" s="1329"/>
      <c r="BE22" s="1330"/>
      <c r="BF22" s="1330"/>
      <c r="BG22" s="1330"/>
    </row>
    <row r="23" spans="1:59" ht="15.75" customHeight="1">
      <c r="A23" s="658"/>
      <c r="B23" s="710" t="s">
        <v>4929</v>
      </c>
      <c r="C23" s="660">
        <f>C21+25</f>
        <v>79799.03</v>
      </c>
      <c r="D23" s="666"/>
      <c r="E23" s="666"/>
      <c r="F23" s="661"/>
      <c r="G23" s="665"/>
      <c r="H23" s="666"/>
      <c r="I23" s="664"/>
      <c r="J23" s="660"/>
      <c r="K23" s="666"/>
      <c r="L23" s="663" t="s">
        <v>4420</v>
      </c>
      <c r="M23" s="663" t="s">
        <v>4399</v>
      </c>
      <c r="N23" s="658"/>
      <c r="O23" s="658"/>
      <c r="P23" s="666"/>
      <c r="Q23" s="663"/>
      <c r="R23" s="663"/>
      <c r="S23" s="665"/>
      <c r="T23" s="663"/>
      <c r="U23" s="663"/>
      <c r="V23" s="663"/>
      <c r="W23" s="663"/>
      <c r="X23" s="663"/>
      <c r="Y23" s="663"/>
      <c r="Z23" s="663"/>
      <c r="AA23" s="663"/>
      <c r="AB23" s="663"/>
      <c r="AC23" s="663"/>
      <c r="AD23" s="663"/>
      <c r="AE23" s="663"/>
      <c r="AF23" s="663"/>
      <c r="AG23" s="660"/>
      <c r="AH23" s="663"/>
      <c r="AI23" s="707"/>
      <c r="AJ23" s="663"/>
      <c r="AK23" s="666"/>
      <c r="AL23" s="666"/>
      <c r="AM23" s="666"/>
      <c r="AN23" s="662"/>
      <c r="AO23" s="666"/>
      <c r="AP23" s="666"/>
      <c r="AQ23" s="665"/>
      <c r="AR23" s="665"/>
      <c r="AS23" s="665"/>
      <c r="AT23" s="665"/>
      <c r="AU23" s="663"/>
      <c r="AV23" s="663"/>
      <c r="AW23" s="663" t="str">
        <f>VLOOKUP(C23,'Foundation Calculation'!$A$2:$C$33,3,1)</f>
        <v>Soil B</v>
      </c>
      <c r="AX23" s="663" t="str">
        <f>VLOOKUP(C23,'Foundation Calculation'!$E$2:$G$33,3,1)</f>
        <v>PT</v>
      </c>
      <c r="AY23" s="665">
        <v>1.2</v>
      </c>
      <c r="AZ23" s="665"/>
      <c r="BA23" s="670" t="s">
        <v>2809</v>
      </c>
      <c r="BB23" s="658"/>
      <c r="BC23" s="169"/>
      <c r="BD23" s="1329"/>
      <c r="BE23" s="1329"/>
      <c r="BF23" s="1330"/>
      <c r="BG23" s="1330"/>
    </row>
    <row r="24" spans="1:59" ht="15.75" customHeight="1">
      <c r="A24" s="709"/>
      <c r="B24" s="666"/>
      <c r="C24" s="660"/>
      <c r="D24" s="666"/>
      <c r="E24" s="666"/>
      <c r="F24" s="666"/>
      <c r="G24" s="665">
        <v>53</v>
      </c>
      <c r="H24" s="666"/>
      <c r="I24" s="664"/>
      <c r="J24" s="660"/>
      <c r="K24" s="666"/>
      <c r="L24" s="666"/>
      <c r="M24" s="666"/>
      <c r="N24" s="666"/>
      <c r="O24" s="666"/>
      <c r="P24" s="666"/>
      <c r="Q24" s="663"/>
      <c r="R24" s="663"/>
      <c r="S24" s="665"/>
      <c r="T24" s="663"/>
      <c r="U24" s="663"/>
      <c r="V24" s="663"/>
      <c r="W24" s="663"/>
      <c r="X24" s="663"/>
      <c r="Y24" s="663"/>
      <c r="Z24" s="663"/>
      <c r="AA24" s="663"/>
      <c r="AB24" s="663"/>
      <c r="AC24" s="663"/>
      <c r="AD24" s="663"/>
      <c r="AE24" s="663"/>
      <c r="AF24" s="663"/>
      <c r="AG24" s="660"/>
      <c r="AH24" s="663"/>
      <c r="AI24" s="707"/>
      <c r="AJ24" s="658" t="s">
        <v>1360</v>
      </c>
      <c r="AK24" s="666"/>
      <c r="AL24" s="666"/>
      <c r="AM24" s="666"/>
      <c r="AN24" s="665"/>
      <c r="AO24" s="666"/>
      <c r="AP24" s="666"/>
      <c r="AQ24" s="665">
        <f>+FL_1($T$25,$T$21,$G$24,1200,9.28, 1*$F$25)</f>
        <v>0.32611788988348611</v>
      </c>
      <c r="AR24" s="665"/>
      <c r="AS24" s="665"/>
      <c r="AT24" s="665"/>
      <c r="AU24" s="663"/>
      <c r="AV24" s="663"/>
      <c r="AW24" s="666"/>
      <c r="AX24" s="665"/>
      <c r="AY24" s="665"/>
      <c r="AZ24" s="665"/>
      <c r="BA24" s="1303"/>
      <c r="BB24" s="709"/>
      <c r="BC24" s="169"/>
      <c r="BD24" s="1330"/>
      <c r="BE24" s="1330"/>
      <c r="BF24" s="1330"/>
      <c r="BG24" s="1330"/>
    </row>
    <row r="25" spans="1:59" ht="15.75" customHeight="1">
      <c r="A25" s="709"/>
      <c r="B25" s="710" t="s">
        <v>3464</v>
      </c>
      <c r="C25" s="660">
        <f>+$C$21+$G$24</f>
        <v>79827.03</v>
      </c>
      <c r="D25" s="666"/>
      <c r="E25" s="666"/>
      <c r="F25" s="661">
        <f>-(744^2)/(79967.3-C25)</f>
        <v>-3946.2180081270685</v>
      </c>
      <c r="G25" s="665"/>
      <c r="H25" s="666" t="s">
        <v>138</v>
      </c>
      <c r="I25" s="664" t="s">
        <v>623</v>
      </c>
      <c r="J25" s="660"/>
      <c r="K25" s="666"/>
      <c r="L25" s="666" t="s">
        <v>819</v>
      </c>
      <c r="M25" s="663" t="str">
        <f>IF(AX25="PT",VLOOKUP(L25,'Foundation Calculation'!$V$2:$X$40,VLOOKUP(AX25,'Foundation Calculation'!$I$10:$J$13,2,FALSE),0),IF(AX25="K",VLOOKUP(L25,'Foundation Calculation'!$V$42:$X$80,VLOOKUP(AX25,'Foundation Calculation'!$I$10:$J$13,2,FALSE),0),""))</f>
        <v>C5R</v>
      </c>
      <c r="N25" s="658" t="s">
        <v>143</v>
      </c>
      <c r="O25" s="666"/>
      <c r="P25" s="666"/>
      <c r="Q25" s="663"/>
      <c r="R25" s="663"/>
      <c r="S25" s="665"/>
      <c r="T25" s="663">
        <v>-20</v>
      </c>
      <c r="U25" s="663"/>
      <c r="V25" s="663"/>
      <c r="W25" s="663">
        <v>1.4</v>
      </c>
      <c r="X25" s="663"/>
      <c r="Y25" s="663"/>
      <c r="Z25" s="663"/>
      <c r="AA25" s="663"/>
      <c r="AB25" s="663"/>
      <c r="AC25" s="663"/>
      <c r="AD25" s="663"/>
      <c r="AE25" s="663"/>
      <c r="AF25" s="663"/>
      <c r="AG25" s="660"/>
      <c r="AH25" s="663"/>
      <c r="AI25" s="707"/>
      <c r="AJ25" s="666" t="s">
        <v>3516</v>
      </c>
      <c r="AK25" s="666"/>
      <c r="AL25" s="666"/>
      <c r="AM25" s="666" t="s">
        <v>1043</v>
      </c>
      <c r="AN25" s="662">
        <v>5.5</v>
      </c>
      <c r="AO25" s="666"/>
      <c r="AP25" s="666"/>
      <c r="AQ25" s="665"/>
      <c r="AR25" s="665"/>
      <c r="AS25" s="665"/>
      <c r="AT25" s="665">
        <f>+ab($T$25,$T$21,$T$27,$G$24,$G$26, 1*$F$25,1200)</f>
        <v>-10.818484474063069</v>
      </c>
      <c r="AU25" s="663"/>
      <c r="AV25" s="663"/>
      <c r="AW25" s="663" t="str">
        <f>VLOOKUP(C25,'Foundation Calculation'!$A$2:$C$33,3,1)</f>
        <v>Soil B</v>
      </c>
      <c r="AX25" s="663" t="str">
        <f>VLOOKUP(C25,'Foundation Calculation'!$E$2:$G$33,3,1)</f>
        <v>PT</v>
      </c>
      <c r="AY25" s="665">
        <f>IF(AX25="PT",VLOOKUP(L25,'Foundation Calculation'!$K$2:$R$40,VLOOKUP(AW25,'Foundation Calculation'!$I$2:$J$8,2,FALSE),0),IF(AX25="K",VLOOKUP(L25,'Foundation Calculation'!$K$42:$R$80,VLOOKUP(AW25,'Foundation Calculation'!$I$2:$J$8,2,FALSE),0),""))</f>
        <v>3.5</v>
      </c>
      <c r="AZ25" s="665"/>
      <c r="BA25" s="670" t="s">
        <v>2809</v>
      </c>
      <c r="BB25" s="709" t="str">
        <f>Pole_Calculations!A20</f>
        <v>App.7-V11A-P9.5.1.6</v>
      </c>
      <c r="BC25" s="169"/>
      <c r="BD25" s="1329"/>
      <c r="BE25" s="1329"/>
      <c r="BF25" s="1330"/>
      <c r="BG25" s="1329"/>
    </row>
    <row r="26" spans="1:59" ht="15.75" customHeight="1">
      <c r="A26" s="658" t="s">
        <v>3518</v>
      </c>
      <c r="B26" s="666"/>
      <c r="C26" s="660"/>
      <c r="D26" s="666"/>
      <c r="E26" s="666"/>
      <c r="F26" s="666"/>
      <c r="G26" s="665">
        <v>55</v>
      </c>
      <c r="H26" s="666"/>
      <c r="I26" s="664"/>
      <c r="J26" s="660">
        <f>C25+7.5</f>
        <v>79834.53</v>
      </c>
      <c r="K26" s="666" t="s">
        <v>2787</v>
      </c>
      <c r="L26" s="666"/>
      <c r="M26" s="666"/>
      <c r="N26" s="666"/>
      <c r="O26" s="666"/>
      <c r="P26" s="666"/>
      <c r="Q26" s="663"/>
      <c r="R26" s="663"/>
      <c r="S26" s="665"/>
      <c r="T26" s="663"/>
      <c r="U26" s="663"/>
      <c r="V26" s="663"/>
      <c r="W26" s="663"/>
      <c r="X26" s="663"/>
      <c r="Y26" s="663"/>
      <c r="Z26" s="663"/>
      <c r="AA26" s="663"/>
      <c r="AB26" s="663"/>
      <c r="AC26" s="663"/>
      <c r="AD26" s="663"/>
      <c r="AE26" s="663"/>
      <c r="AF26" s="663"/>
      <c r="AG26" s="660"/>
      <c r="AH26" s="663"/>
      <c r="AI26" s="707"/>
      <c r="AJ26" s="666"/>
      <c r="AK26" s="666"/>
      <c r="AL26" s="666"/>
      <c r="AM26" s="666"/>
      <c r="AN26" s="665"/>
      <c r="AO26" s="666"/>
      <c r="AP26" s="666"/>
      <c r="AQ26" s="665">
        <f>+FL_2($T$27,$T$25,$G$26,1200,9.28, 1*$F$27)</f>
        <v>-0.48683679056531626</v>
      </c>
      <c r="AR26" s="665"/>
      <c r="AS26" s="665"/>
      <c r="AT26" s="665"/>
      <c r="AU26" s="663"/>
      <c r="AV26" s="663"/>
      <c r="AW26" s="663" t="str">
        <f>VLOOKUP(J26,'Foundation Calculation'!$A$2:$C$33,3,1)</f>
        <v>Soil B</v>
      </c>
      <c r="AX26" s="663" t="str">
        <f>VLOOKUP(J26,'Foundation Calculation'!$E$2:$G$33,3,1)</f>
        <v>PT</v>
      </c>
      <c r="AY26" s="665"/>
      <c r="AZ26" s="665">
        <f>IF(AX26="PT",VLOOKUP(K26,'Foundation Calculation'!$K$2:$R$40,VLOOKUP(AW26,'Foundation Calculation'!$I$2:$J$8,2,FALSE),0),IF(AX26="K",VLOOKUP(K26,'Foundation Calculation'!$K$42:$R$80,VLOOKUP(AW26,'Foundation Calculation'!$I$2:$J$8,2,FALSE),0),""))</f>
        <v>3.9</v>
      </c>
      <c r="BA26" s="670" t="s">
        <v>2809</v>
      </c>
      <c r="BB26" s="658"/>
      <c r="BC26" s="169"/>
      <c r="BD26" s="1329"/>
      <c r="BE26" s="1330"/>
      <c r="BF26" s="1330"/>
      <c r="BG26" s="1330"/>
    </row>
    <row r="27" spans="1:59" ht="15.75" customHeight="1">
      <c r="A27" s="449"/>
      <c r="B27" s="485" t="s">
        <v>3465</v>
      </c>
      <c r="C27" s="446">
        <f>+$C$25+$G$26</f>
        <v>79882.03</v>
      </c>
      <c r="D27" s="445"/>
      <c r="E27" s="445"/>
      <c r="F27" s="448">
        <f>-(744^2)/(79967.3-C27)</f>
        <v>-6491.5679605954447</v>
      </c>
      <c r="G27" s="484"/>
      <c r="H27" s="445"/>
      <c r="I27" s="447"/>
      <c r="J27" s="446"/>
      <c r="K27" s="445"/>
      <c r="L27" s="445" t="s">
        <v>818</v>
      </c>
      <c r="M27" s="638" t="str">
        <f>IF(AX27="PT",VLOOKUP(L27,'Foundation Calculation'!$V$2:$X$40,VLOOKUP(AX27,'Foundation Calculation'!$I$10:$J$13,2,FALSE),0),IF(AX27="K",VLOOKUP(L27,'Foundation Calculation'!$V$42:$X$80,VLOOKUP(AX27,'Foundation Calculation'!$I$10:$J$13,2,FALSE),0),""))</f>
        <v>C4R</v>
      </c>
      <c r="N27" s="445" t="s">
        <v>143</v>
      </c>
      <c r="O27" s="445"/>
      <c r="P27" s="445"/>
      <c r="Q27" s="638"/>
      <c r="R27" s="638"/>
      <c r="S27" s="484"/>
      <c r="T27" s="638">
        <v>-30</v>
      </c>
      <c r="U27" s="638"/>
      <c r="V27" s="638"/>
      <c r="W27" s="638">
        <v>1.4</v>
      </c>
      <c r="X27" s="638"/>
      <c r="Y27" s="638"/>
      <c r="Z27" s="638"/>
      <c r="AA27" s="638"/>
      <c r="AB27" s="638"/>
      <c r="AC27" s="638" t="str">
        <f t="shared" ref="AC27:AC89" si="0">IF(OR(AT27&gt;8,AT27&lt;-8),"PH",IF(OR(AT27&gt;5,AT27&lt;-5),"PH-Q",IF(OR(AT27&gt;1,AT27&lt;-1),"PH-C")))</f>
        <v>PH</v>
      </c>
      <c r="AD27" s="638"/>
      <c r="AE27" s="638"/>
      <c r="AF27" s="638"/>
      <c r="AG27" s="446"/>
      <c r="AH27" s="638"/>
      <c r="AI27" s="185"/>
      <c r="AJ27" s="445" t="s">
        <v>3516</v>
      </c>
      <c r="AK27" s="445"/>
      <c r="AL27" s="445"/>
      <c r="AM27" s="445" t="s">
        <v>1043</v>
      </c>
      <c r="AN27" s="484">
        <v>5.5</v>
      </c>
      <c r="AO27" s="445"/>
      <c r="AP27" s="445"/>
      <c r="AQ27" s="484"/>
      <c r="AR27" s="484"/>
      <c r="AS27" s="484"/>
      <c r="AT27" s="484">
        <f>+ab($T$27,$T$25,$T$29,$G$26,$G$28, 1*$F$27,1200)</f>
        <v>-8.6926686363141918</v>
      </c>
      <c r="AU27" s="638"/>
      <c r="AV27" s="638"/>
      <c r="AW27" s="638" t="str">
        <f>VLOOKUP(C27,'Foundation Calculation'!$A$2:$C$33,3,1)</f>
        <v>Soil B</v>
      </c>
      <c r="AX27" s="638" t="str">
        <f>VLOOKUP(C27,'Foundation Calculation'!$E$2:$G$33,3,1)</f>
        <v>PT</v>
      </c>
      <c r="AY27" s="484">
        <f>IF(AX27="PT",VLOOKUP(L27,'Foundation Calculation'!$K$2:$R$40,VLOOKUP(AW27,'Foundation Calculation'!$I$2:$J$8,2,FALSE),0),IF(AX27="K",VLOOKUP(L27,'Foundation Calculation'!$K$42:$R$80,VLOOKUP(AW27,'Foundation Calculation'!$I$2:$J$8,2,FALSE),0),""))</f>
        <v>3.5</v>
      </c>
      <c r="AZ27" s="484"/>
      <c r="BA27" s="671" t="s">
        <v>2809</v>
      </c>
      <c r="BB27" s="449" t="str">
        <f>Pole_Calculations!A15</f>
        <v>App.7-V11A-P9.5.1.1</v>
      </c>
      <c r="BC27" s="169"/>
      <c r="BD27" s="1329"/>
      <c r="BE27" s="1329"/>
      <c r="BF27" s="1330"/>
      <c r="BG27" s="1329"/>
    </row>
    <row r="28" spans="1:59" ht="15.75" customHeight="1">
      <c r="A28" s="449"/>
      <c r="B28" s="447"/>
      <c r="C28" s="446"/>
      <c r="D28" s="638"/>
      <c r="E28" s="638"/>
      <c r="F28" s="447"/>
      <c r="G28" s="484">
        <v>50</v>
      </c>
      <c r="H28" s="638"/>
      <c r="I28" s="447"/>
      <c r="J28" s="446"/>
      <c r="K28" s="638"/>
      <c r="L28" s="445"/>
      <c r="M28" s="445"/>
      <c r="N28" s="445"/>
      <c r="O28" s="445"/>
      <c r="P28" s="445"/>
      <c r="Q28" s="638"/>
      <c r="R28" s="638"/>
      <c r="S28" s="484"/>
      <c r="T28" s="638"/>
      <c r="U28" s="638"/>
      <c r="V28" s="638"/>
      <c r="W28" s="638"/>
      <c r="X28" s="638"/>
      <c r="Y28" s="638"/>
      <c r="Z28" s="638"/>
      <c r="AA28" s="638"/>
      <c r="AB28" s="638"/>
      <c r="AC28" s="638"/>
      <c r="AD28" s="638"/>
      <c r="AE28" s="638"/>
      <c r="AF28" s="638"/>
      <c r="AG28" s="446"/>
      <c r="AH28" s="638"/>
      <c r="AI28" s="185"/>
      <c r="AJ28" s="445"/>
      <c r="AK28" s="445"/>
      <c r="AL28" s="638"/>
      <c r="AM28" s="445"/>
      <c r="AN28" s="484"/>
      <c r="AO28" s="445"/>
      <c r="AP28" s="445"/>
      <c r="AQ28" s="484">
        <f>+FL_1($T$29,$T$27,$G$28,1200,9.28, 1*$F$29)</f>
        <v>0.34759469241799928</v>
      </c>
      <c r="AR28" s="484"/>
      <c r="AS28" s="484"/>
      <c r="AT28" s="484"/>
      <c r="AU28" s="638"/>
      <c r="AV28" s="638"/>
      <c r="AW28" s="484"/>
      <c r="AX28" s="484"/>
      <c r="AY28" s="484"/>
      <c r="AZ28" s="484"/>
      <c r="BA28" s="1304"/>
      <c r="BB28" s="449"/>
      <c r="BC28" s="169"/>
      <c r="BD28" s="1330"/>
      <c r="BE28" s="1330"/>
      <c r="BF28" s="1330"/>
      <c r="BG28" s="1330"/>
    </row>
    <row r="29" spans="1:59" ht="15.75" customHeight="1">
      <c r="A29" s="449"/>
      <c r="B29" s="435" t="s">
        <v>3466</v>
      </c>
      <c r="C29" s="446">
        <f>+$C$27+$G$28</f>
        <v>79932.03</v>
      </c>
      <c r="D29" s="638"/>
      <c r="E29" s="638"/>
      <c r="F29" s="448">
        <f>-(744^2)/(79967.3-C29)</f>
        <v>-15694.244400338419</v>
      </c>
      <c r="G29" s="484"/>
      <c r="H29" s="638"/>
      <c r="I29" s="447"/>
      <c r="J29" s="446"/>
      <c r="K29" s="638"/>
      <c r="L29" s="445" t="s">
        <v>818</v>
      </c>
      <c r="M29" s="638" t="str">
        <f>IF(AX29="PT",VLOOKUP(L29,'Foundation Calculation'!$V$2:$X$40,VLOOKUP(AX29,'Foundation Calculation'!$I$10:$J$13,2,FALSE),0),IF(AX29="K",VLOOKUP(L29,'Foundation Calculation'!$V$42:$X$80,VLOOKUP(AX29,'Foundation Calculation'!$I$10:$J$13,2,FALSE),0),""))</f>
        <v>C4R</v>
      </c>
      <c r="N29" s="1239" t="s">
        <v>144</v>
      </c>
      <c r="O29" s="1239"/>
      <c r="P29" s="638"/>
      <c r="Q29" s="638"/>
      <c r="R29" s="638"/>
      <c r="S29" s="484"/>
      <c r="T29" s="638">
        <v>30</v>
      </c>
      <c r="U29" s="638"/>
      <c r="V29" s="638"/>
      <c r="W29" s="638">
        <v>1.4</v>
      </c>
      <c r="X29" s="638"/>
      <c r="Y29" s="638"/>
      <c r="Z29" s="638"/>
      <c r="AA29" s="638"/>
      <c r="AB29" s="638"/>
      <c r="AC29" s="638" t="str">
        <f t="shared" si="0"/>
        <v>PH</v>
      </c>
      <c r="AD29" s="638"/>
      <c r="AE29" s="638"/>
      <c r="AF29" s="638"/>
      <c r="AG29" s="446"/>
      <c r="AH29" s="638"/>
      <c r="AI29" s="185"/>
      <c r="AJ29" s="445" t="s">
        <v>3516</v>
      </c>
      <c r="AK29" s="1239"/>
      <c r="AL29" s="638"/>
      <c r="AM29" s="638" t="s">
        <v>1043</v>
      </c>
      <c r="AN29" s="455">
        <v>5.5</v>
      </c>
      <c r="AO29" s="1239"/>
      <c r="AP29" s="445"/>
      <c r="AQ29" s="484"/>
      <c r="AR29" s="484"/>
      <c r="AS29" s="484"/>
      <c r="AT29" s="484">
        <f>+ab($T$29,$T$27,$T$31,$G$28,$G$30, 1*$F$29,1200)</f>
        <v>8.7285610943666327</v>
      </c>
      <c r="AU29" s="638"/>
      <c r="AV29" s="638"/>
      <c r="AW29" s="638" t="str">
        <f>VLOOKUP(C29,'Foundation Calculation'!$A$2:$C$33,3,1)</f>
        <v>Soil B</v>
      </c>
      <c r="AX29" s="638" t="str">
        <f>VLOOKUP(C29,'Foundation Calculation'!$E$2:$G$33,3,1)</f>
        <v>PT</v>
      </c>
      <c r="AY29" s="484">
        <f>IF(AX29="PT",VLOOKUP(L29,'Foundation Calculation'!$K$2:$R$40,VLOOKUP(AW29,'Foundation Calculation'!$I$2:$J$8,2,FALSE),0),IF(AX29="K",VLOOKUP(L29,'Foundation Calculation'!$K$42:$R$80,VLOOKUP(AW29,'Foundation Calculation'!$I$2:$J$8,2,FALSE),0),""))</f>
        <v>3.5</v>
      </c>
      <c r="AZ29" s="484"/>
      <c r="BA29" s="671" t="s">
        <v>2809</v>
      </c>
      <c r="BB29" s="449" t="str">
        <f>Pole_Calculations!A15</f>
        <v>App.7-V11A-P9.5.1.1</v>
      </c>
      <c r="BC29" s="169"/>
      <c r="BD29" s="1329"/>
      <c r="BE29" s="1329"/>
      <c r="BF29" s="1330"/>
      <c r="BG29" s="1329"/>
    </row>
    <row r="30" spans="1:59" ht="15.75" customHeight="1">
      <c r="A30" s="449"/>
      <c r="B30" s="173"/>
      <c r="C30" s="446"/>
      <c r="D30" s="638"/>
      <c r="E30" s="638"/>
      <c r="F30" s="447"/>
      <c r="G30" s="484">
        <v>50</v>
      </c>
      <c r="H30" s="638"/>
      <c r="I30" s="448"/>
      <c r="J30" s="446"/>
      <c r="K30" s="638"/>
      <c r="L30" s="445"/>
      <c r="M30" s="445"/>
      <c r="N30" s="1239"/>
      <c r="O30" s="1239"/>
      <c r="P30" s="638"/>
      <c r="Q30" s="638"/>
      <c r="R30" s="638"/>
      <c r="S30" s="484"/>
      <c r="T30" s="638"/>
      <c r="U30" s="638"/>
      <c r="V30" s="638"/>
      <c r="W30" s="638"/>
      <c r="X30" s="638"/>
      <c r="Y30" s="638"/>
      <c r="Z30" s="638"/>
      <c r="AA30" s="638"/>
      <c r="AB30" s="638"/>
      <c r="AC30" s="638"/>
      <c r="AD30" s="638"/>
      <c r="AE30" s="638"/>
      <c r="AF30" s="638"/>
      <c r="AG30" s="446"/>
      <c r="AH30" s="638"/>
      <c r="AI30" s="185"/>
      <c r="AJ30" s="445"/>
      <c r="AK30" s="1239"/>
      <c r="AL30" s="638"/>
      <c r="AM30" s="638"/>
      <c r="AN30" s="455"/>
      <c r="AO30" s="1239"/>
      <c r="AP30" s="445"/>
      <c r="AQ30" s="484">
        <f>+FL_2($T$31,$T$29,$G$30,1200,9.28, 1*$F$31)</f>
        <v>-0.37593390799999998</v>
      </c>
      <c r="AR30" s="484"/>
      <c r="AS30" s="484"/>
      <c r="AT30" s="484"/>
      <c r="AU30" s="638"/>
      <c r="AV30" s="638"/>
      <c r="AW30" s="484"/>
      <c r="AX30" s="484"/>
      <c r="AY30" s="484"/>
      <c r="AZ30" s="484"/>
      <c r="BA30" s="1304"/>
      <c r="BB30" s="449"/>
      <c r="BC30" s="169"/>
      <c r="BD30" s="1330"/>
      <c r="BE30" s="1330"/>
      <c r="BF30" s="1330"/>
      <c r="BG30" s="1330"/>
    </row>
    <row r="31" spans="1:59" ht="15.75" customHeight="1">
      <c r="A31" s="449"/>
      <c r="B31" s="435" t="s">
        <v>3467</v>
      </c>
      <c r="C31" s="446">
        <f>+$C$29+$G$30</f>
        <v>79982.03</v>
      </c>
      <c r="D31" s="638"/>
      <c r="E31" s="638"/>
      <c r="F31" s="447">
        <v>0</v>
      </c>
      <c r="G31" s="484"/>
      <c r="H31" s="1239"/>
      <c r="I31" s="448"/>
      <c r="J31" s="446"/>
      <c r="K31" s="638"/>
      <c r="L31" s="445" t="s">
        <v>818</v>
      </c>
      <c r="M31" s="638" t="str">
        <f>IF(AX31="PT",VLOOKUP(L31,'Foundation Calculation'!$V$2:$X$40,VLOOKUP(AX31,'Foundation Calculation'!$I$10:$J$13,2,FALSE),0),IF(AX31="K",VLOOKUP(L31,'Foundation Calculation'!$V$42:$X$80,VLOOKUP(AX31,'Foundation Calculation'!$I$10:$J$13,2,FALSE),0),""))</f>
        <v>C4R</v>
      </c>
      <c r="N31" s="1239" t="s">
        <v>143</v>
      </c>
      <c r="O31" s="1239"/>
      <c r="P31" s="638"/>
      <c r="Q31" s="638"/>
      <c r="R31" s="638"/>
      <c r="S31" s="484"/>
      <c r="T31" s="638">
        <v>-35</v>
      </c>
      <c r="U31" s="638"/>
      <c r="V31" s="638"/>
      <c r="W31" s="638">
        <v>1.4</v>
      </c>
      <c r="X31" s="638"/>
      <c r="Y31" s="638"/>
      <c r="Z31" s="638"/>
      <c r="AA31" s="638"/>
      <c r="AB31" s="638"/>
      <c r="AC31" s="638" t="str">
        <f t="shared" si="0"/>
        <v>PH-Q</v>
      </c>
      <c r="AD31" s="638"/>
      <c r="AE31" s="638"/>
      <c r="AF31" s="638"/>
      <c r="AG31" s="446"/>
      <c r="AH31" s="638"/>
      <c r="AI31" s="638"/>
      <c r="AJ31" s="445" t="s">
        <v>3516</v>
      </c>
      <c r="AK31" s="1239"/>
      <c r="AL31" s="638"/>
      <c r="AM31" s="638" t="s">
        <v>1043</v>
      </c>
      <c r="AN31" s="455">
        <v>5.5</v>
      </c>
      <c r="AO31" s="1239"/>
      <c r="AP31" s="445"/>
      <c r="AQ31" s="484"/>
      <c r="AR31" s="484"/>
      <c r="AS31" s="484"/>
      <c r="AT31" s="484">
        <f>+ab($T$31,$T$29,$T$33,$G$30,$G$32, 1*$F$31,1200)</f>
        <v>-7.0710297839483092</v>
      </c>
      <c r="AU31" s="638"/>
      <c r="AV31" s="638"/>
      <c r="AW31" s="638" t="str">
        <f>VLOOKUP(C31,'Foundation Calculation'!$A$2:$C$33,3,1)</f>
        <v>Soil B</v>
      </c>
      <c r="AX31" s="638" t="str">
        <f>VLOOKUP(C31,'Foundation Calculation'!$E$2:$G$33,3,1)</f>
        <v>PT</v>
      </c>
      <c r="AY31" s="484">
        <f>IF(AX31="PT",VLOOKUP(L31,'Foundation Calculation'!$K$2:$R$40,VLOOKUP(AW31,'Foundation Calculation'!$I$2:$J$8,2,FALSE),0),IF(AX31="K",VLOOKUP(L31,'Foundation Calculation'!$K$42:$R$80,VLOOKUP(AW31,'Foundation Calculation'!$I$2:$J$8,2,FALSE),0),""))</f>
        <v>3.5</v>
      </c>
      <c r="AZ31" s="484"/>
      <c r="BA31" s="671" t="s">
        <v>2809</v>
      </c>
      <c r="BB31" s="449" t="str">
        <f>Pole_Calculations!A15</f>
        <v>App.7-V11A-P9.5.1.1</v>
      </c>
      <c r="BC31" s="169"/>
      <c r="BD31" s="1329"/>
      <c r="BE31" s="1329"/>
      <c r="BF31" s="1330"/>
      <c r="BG31" s="1329"/>
    </row>
    <row r="32" spans="1:59" ht="15.75" customHeight="1">
      <c r="A32" s="447"/>
      <c r="B32" s="173"/>
      <c r="C32" s="446"/>
      <c r="D32" s="638"/>
      <c r="E32" s="638"/>
      <c r="F32" s="447"/>
      <c r="G32" s="484">
        <v>50</v>
      </c>
      <c r="H32" s="1239"/>
      <c r="I32" s="448"/>
      <c r="J32" s="446"/>
      <c r="K32" s="638"/>
      <c r="L32" s="445"/>
      <c r="M32" s="445"/>
      <c r="N32" s="1239"/>
      <c r="O32" s="1239"/>
      <c r="P32" s="638"/>
      <c r="Q32" s="638"/>
      <c r="R32" s="638"/>
      <c r="S32" s="484"/>
      <c r="T32" s="638"/>
      <c r="U32" s="638"/>
      <c r="V32" s="638"/>
      <c r="W32" s="638"/>
      <c r="X32" s="638"/>
      <c r="Y32" s="638"/>
      <c r="Z32" s="638"/>
      <c r="AA32" s="638"/>
      <c r="AB32" s="638"/>
      <c r="AC32" s="638"/>
      <c r="AD32" s="638"/>
      <c r="AE32" s="638"/>
      <c r="AF32" s="638"/>
      <c r="AG32" s="446"/>
      <c r="AH32" s="638"/>
      <c r="AI32" s="638"/>
      <c r="AJ32" s="445"/>
      <c r="AK32" s="1239"/>
      <c r="AL32" s="638"/>
      <c r="AM32" s="638"/>
      <c r="AN32" s="455"/>
      <c r="AO32" s="1239"/>
      <c r="AP32" s="445"/>
      <c r="AQ32" s="484">
        <f>+FL_1($T$33,$T$31,$G$32,1200,9.28, 1*$F$33)</f>
        <v>0.36839079999999996</v>
      </c>
      <c r="AR32" s="484"/>
      <c r="AS32" s="484"/>
      <c r="AT32" s="484"/>
      <c r="AU32" s="638"/>
      <c r="AV32" s="638"/>
      <c r="AW32" s="484"/>
      <c r="AX32" s="484"/>
      <c r="AY32" s="484"/>
      <c r="AZ32" s="484"/>
      <c r="BA32" s="671"/>
      <c r="BB32" s="447"/>
      <c r="BC32" s="169"/>
      <c r="BD32" s="1330"/>
      <c r="BE32" s="1330"/>
      <c r="BF32" s="1330"/>
      <c r="BG32" s="1330"/>
    </row>
    <row r="33" spans="1:59" ht="15.75" customHeight="1">
      <c r="A33" s="1239"/>
      <c r="B33" s="435" t="s">
        <v>3468</v>
      </c>
      <c r="C33" s="446">
        <f>+$C$31+$G$32</f>
        <v>80032.03</v>
      </c>
      <c r="D33" s="638"/>
      <c r="E33" s="638"/>
      <c r="F33" s="447">
        <v>0</v>
      </c>
      <c r="G33" s="484"/>
      <c r="H33" s="638"/>
      <c r="I33" s="448"/>
      <c r="J33" s="446"/>
      <c r="K33" s="638"/>
      <c r="L33" s="445" t="s">
        <v>818</v>
      </c>
      <c r="M33" s="638" t="str">
        <f>IF(AX33="PT",VLOOKUP(L33,'Foundation Calculation'!$V$2:$X$40,VLOOKUP(AX33,'Foundation Calculation'!$I$10:$J$13,2,FALSE),0),IF(AX33="K",VLOOKUP(L33,'Foundation Calculation'!$V$42:$X$80,VLOOKUP(AX33,'Foundation Calculation'!$I$10:$J$13,2,FALSE),0),""))</f>
        <v>C4R</v>
      </c>
      <c r="N33" s="1239" t="s">
        <v>144</v>
      </c>
      <c r="O33" s="1239"/>
      <c r="P33" s="638"/>
      <c r="Q33" s="638"/>
      <c r="R33" s="638"/>
      <c r="S33" s="484"/>
      <c r="T33" s="638">
        <v>35</v>
      </c>
      <c r="U33" s="638"/>
      <c r="V33" s="638"/>
      <c r="W33" s="638">
        <v>1.4</v>
      </c>
      <c r="X33" s="638"/>
      <c r="Y33" s="638"/>
      <c r="Z33" s="638"/>
      <c r="AA33" s="638"/>
      <c r="AB33" s="638"/>
      <c r="AC33" s="638" t="str">
        <f t="shared" si="0"/>
        <v>PH-Q</v>
      </c>
      <c r="AD33" s="638"/>
      <c r="AE33" s="638"/>
      <c r="AF33" s="638"/>
      <c r="AG33" s="446"/>
      <c r="AH33" s="638"/>
      <c r="AI33" s="185"/>
      <c r="AJ33" s="445" t="s">
        <v>3516</v>
      </c>
      <c r="AK33" s="1239"/>
      <c r="AL33" s="638"/>
      <c r="AM33" s="638" t="s">
        <v>1043</v>
      </c>
      <c r="AN33" s="455">
        <v>5.5</v>
      </c>
      <c r="AO33" s="1239"/>
      <c r="AP33" s="1239"/>
      <c r="AQ33" s="484"/>
      <c r="AR33" s="484"/>
      <c r="AS33" s="484"/>
      <c r="AT33" s="484">
        <f>+ab($T$33,$T$31,$T$35,$G$32,$G$34, 1*$F$33,1200)</f>
        <v>6.927270530210909</v>
      </c>
      <c r="AU33" s="638"/>
      <c r="AV33" s="638"/>
      <c r="AW33" s="638" t="str">
        <f>VLOOKUP(C33,'Foundation Calculation'!$A$2:$C$33,3,1)</f>
        <v>Soil B</v>
      </c>
      <c r="AX33" s="638" t="str">
        <f>VLOOKUP(C33,'Foundation Calculation'!$E$2:$G$33,3,1)</f>
        <v>PT</v>
      </c>
      <c r="AY33" s="484">
        <f>IF(AX33="PT",VLOOKUP(L33,'Foundation Calculation'!$K$2:$R$40,VLOOKUP(AW33,'Foundation Calculation'!$I$2:$J$8,2,FALSE),0),IF(AX33="K",VLOOKUP(L33,'Foundation Calculation'!$K$42:$R$80,VLOOKUP(AW33,'Foundation Calculation'!$I$2:$J$8,2,FALSE),0),""))</f>
        <v>3.5</v>
      </c>
      <c r="AZ33" s="484"/>
      <c r="BA33" s="671" t="s">
        <v>2809</v>
      </c>
      <c r="BB33" s="1239" t="str">
        <f>Pole_Calculations!A15</f>
        <v>App.7-V11A-P9.5.1.1</v>
      </c>
      <c r="BC33" s="169"/>
      <c r="BD33" s="1329"/>
      <c r="BE33" s="1329"/>
      <c r="BF33" s="1330"/>
      <c r="BG33" s="1329"/>
    </row>
    <row r="34" spans="1:59" ht="15.75" customHeight="1">
      <c r="A34" s="1239"/>
      <c r="B34" s="173"/>
      <c r="C34" s="446"/>
      <c r="D34" s="638"/>
      <c r="E34" s="638"/>
      <c r="F34" s="447"/>
      <c r="G34" s="484">
        <v>51.6</v>
      </c>
      <c r="H34" s="1239"/>
      <c r="I34" s="448"/>
      <c r="J34" s="446"/>
      <c r="K34" s="638"/>
      <c r="L34" s="445"/>
      <c r="M34" s="445"/>
      <c r="N34" s="1239"/>
      <c r="O34" s="1239"/>
      <c r="P34" s="638"/>
      <c r="Q34" s="638"/>
      <c r="R34" s="638"/>
      <c r="S34" s="484"/>
      <c r="T34" s="638"/>
      <c r="U34" s="638"/>
      <c r="V34" s="638"/>
      <c r="W34" s="638"/>
      <c r="X34" s="638"/>
      <c r="Y34" s="638"/>
      <c r="Z34" s="638"/>
      <c r="AA34" s="638"/>
      <c r="AB34" s="638"/>
      <c r="AC34" s="638"/>
      <c r="AD34" s="638"/>
      <c r="AE34" s="638"/>
      <c r="AF34" s="638"/>
      <c r="AG34" s="446"/>
      <c r="AH34" s="638"/>
      <c r="AI34" s="185"/>
      <c r="AJ34" s="445"/>
      <c r="AK34" s="1239"/>
      <c r="AL34" s="638"/>
      <c r="AM34" s="638"/>
      <c r="AN34" s="455"/>
      <c r="AO34" s="1239"/>
      <c r="AP34" s="1239"/>
      <c r="AQ34" s="484">
        <f>+FL_2($T$35,$T$33,$G$34,1200,9.28, 1*$F$35)</f>
        <v>-0.37636791776744183</v>
      </c>
      <c r="AR34" s="484"/>
      <c r="AS34" s="484"/>
      <c r="AT34" s="484"/>
      <c r="AU34" s="638"/>
      <c r="AV34" s="638"/>
      <c r="AW34" s="484"/>
      <c r="AX34" s="484"/>
      <c r="AY34" s="484"/>
      <c r="AZ34" s="484"/>
      <c r="BA34" s="671"/>
      <c r="BB34" s="1239"/>
      <c r="BC34" s="169"/>
      <c r="BD34" s="1330"/>
      <c r="BE34" s="1330"/>
      <c r="BF34" s="1330"/>
      <c r="BG34" s="1330"/>
    </row>
    <row r="35" spans="1:59" ht="15.75" customHeight="1">
      <c r="A35" s="1239"/>
      <c r="B35" s="435" t="s">
        <v>3469</v>
      </c>
      <c r="C35" s="446">
        <f>+$C$33+$G$34</f>
        <v>80083.63</v>
      </c>
      <c r="D35" s="638"/>
      <c r="E35" s="638"/>
      <c r="F35" s="447">
        <v>0</v>
      </c>
      <c r="G35" s="484"/>
      <c r="H35" s="638"/>
      <c r="I35" s="448"/>
      <c r="J35" s="446"/>
      <c r="K35" s="638"/>
      <c r="L35" s="445" t="s">
        <v>818</v>
      </c>
      <c r="M35" s="638" t="str">
        <f>IF(AX35="PT",VLOOKUP(L35,'Foundation Calculation'!$V$2:$X$40,VLOOKUP(AX35,'Foundation Calculation'!$I$10:$J$13,2,FALSE),0),IF(AX35="K",VLOOKUP(L35,'Foundation Calculation'!$V$42:$X$80,VLOOKUP(AX35,'Foundation Calculation'!$I$10:$J$13,2,FALSE),0),""))</f>
        <v>C4R</v>
      </c>
      <c r="N35" s="1239" t="s">
        <v>143</v>
      </c>
      <c r="O35" s="638"/>
      <c r="P35" s="638"/>
      <c r="Q35" s="638"/>
      <c r="R35" s="638"/>
      <c r="S35" s="484"/>
      <c r="T35" s="638">
        <v>-35</v>
      </c>
      <c r="U35" s="638"/>
      <c r="V35" s="638"/>
      <c r="W35" s="638">
        <v>1.4</v>
      </c>
      <c r="X35" s="638"/>
      <c r="Y35" s="638"/>
      <c r="Z35" s="638"/>
      <c r="AA35" s="638"/>
      <c r="AB35" s="638"/>
      <c r="AC35" s="638" t="str">
        <f t="shared" si="0"/>
        <v>PH-Q</v>
      </c>
      <c r="AD35" s="638"/>
      <c r="AE35" s="638"/>
      <c r="AF35" s="638"/>
      <c r="AG35" s="446"/>
      <c r="AH35" s="638"/>
      <c r="AI35" s="185"/>
      <c r="AJ35" s="445" t="s">
        <v>3516</v>
      </c>
      <c r="AK35" s="1239"/>
      <c r="AL35" s="638"/>
      <c r="AM35" s="638" t="s">
        <v>1043</v>
      </c>
      <c r="AN35" s="455">
        <v>5.5</v>
      </c>
      <c r="AO35" s="1239"/>
      <c r="AP35" s="1239"/>
      <c r="AQ35" s="484"/>
      <c r="AR35" s="484"/>
      <c r="AS35" s="484"/>
      <c r="AT35" s="484">
        <f>+ab($T$35,$T$33,$T$37,$G$34,$G$36, 1*$F$35,1200)</f>
        <v>-7.4434705193901083</v>
      </c>
      <c r="AU35" s="638"/>
      <c r="AV35" s="638"/>
      <c r="AW35" s="638" t="str">
        <f>VLOOKUP(C35,'Foundation Calculation'!$A$2:$C$33,3,1)</f>
        <v>Soil B</v>
      </c>
      <c r="AX35" s="638" t="str">
        <f>VLOOKUP(C35,'Foundation Calculation'!$E$2:$G$33,3,1)</f>
        <v>PT</v>
      </c>
      <c r="AY35" s="484">
        <f>IF(AX35="PT",VLOOKUP(L35,'Foundation Calculation'!$K$2:$R$40,VLOOKUP(AW35,'Foundation Calculation'!$I$2:$J$8,2,FALSE),0),IF(AX35="K",VLOOKUP(L35,'Foundation Calculation'!$K$42:$R$80,VLOOKUP(AW35,'Foundation Calculation'!$I$2:$J$8,2,FALSE),0),""))</f>
        <v>3.5</v>
      </c>
      <c r="AZ35" s="484"/>
      <c r="BA35" s="671" t="s">
        <v>2809</v>
      </c>
      <c r="BB35" s="1239" t="str">
        <f>Pole_Calculations!A15</f>
        <v>App.7-V11A-P9.5.1.1</v>
      </c>
      <c r="BC35" s="169"/>
      <c r="BD35" s="1329"/>
      <c r="BE35" s="1329"/>
      <c r="BF35" s="1330"/>
      <c r="BG35" s="1329"/>
    </row>
    <row r="36" spans="1:59" ht="15.75" customHeight="1">
      <c r="A36" s="1239"/>
      <c r="B36" s="173"/>
      <c r="C36" s="446"/>
      <c r="D36" s="447"/>
      <c r="E36" s="447"/>
      <c r="F36" s="447"/>
      <c r="G36" s="484">
        <v>58</v>
      </c>
      <c r="H36" s="1239"/>
      <c r="I36" s="448"/>
      <c r="J36" s="446"/>
      <c r="K36" s="638"/>
      <c r="L36" s="445"/>
      <c r="M36" s="445"/>
      <c r="N36" s="1239"/>
      <c r="O36" s="1239"/>
      <c r="P36" s="638"/>
      <c r="Q36" s="638"/>
      <c r="R36" s="638"/>
      <c r="S36" s="484"/>
      <c r="T36" s="638"/>
      <c r="U36" s="638"/>
      <c r="V36" s="638"/>
      <c r="W36" s="638"/>
      <c r="X36" s="638"/>
      <c r="Y36" s="638"/>
      <c r="Z36" s="638"/>
      <c r="AA36" s="638"/>
      <c r="AB36" s="638"/>
      <c r="AC36" s="638"/>
      <c r="AD36" s="638"/>
      <c r="AE36" s="638"/>
      <c r="AF36" s="638"/>
      <c r="AG36" s="446"/>
      <c r="AH36" s="638"/>
      <c r="AI36" s="185"/>
      <c r="AJ36" s="445"/>
      <c r="AK36" s="1239"/>
      <c r="AL36" s="638"/>
      <c r="AM36" s="638"/>
      <c r="AN36" s="455"/>
      <c r="AO36" s="1239"/>
      <c r="AP36" s="1239"/>
      <c r="AQ36" s="484">
        <f>+FL_1($T$37,$T$35,$G$36,1200,9.28, 1*$F$37)</f>
        <v>0.41936333972413792</v>
      </c>
      <c r="AR36" s="484"/>
      <c r="AS36" s="484"/>
      <c r="AT36" s="484"/>
      <c r="AU36" s="638"/>
      <c r="AV36" s="638"/>
      <c r="AW36" s="484"/>
      <c r="AX36" s="484"/>
      <c r="AY36" s="484"/>
      <c r="AZ36" s="484"/>
      <c r="BA36" s="671"/>
      <c r="BB36" s="1239"/>
      <c r="BC36" s="169"/>
      <c r="BD36" s="1330"/>
      <c r="BE36" s="1330"/>
      <c r="BF36" s="1330"/>
      <c r="BG36" s="1330"/>
    </row>
    <row r="37" spans="1:59" ht="15.75" customHeight="1">
      <c r="A37" s="1239"/>
      <c r="B37" s="435" t="s">
        <v>3470</v>
      </c>
      <c r="C37" s="446">
        <f>+$C$35+$G$36</f>
        <v>80141.63</v>
      </c>
      <c r="D37" s="447"/>
      <c r="E37" s="447"/>
      <c r="F37" s="447">
        <v>0</v>
      </c>
      <c r="G37" s="484"/>
      <c r="H37" s="638"/>
      <c r="I37" s="448"/>
      <c r="J37" s="446"/>
      <c r="K37" s="638"/>
      <c r="L37" s="445" t="s">
        <v>818</v>
      </c>
      <c r="M37" s="638" t="str">
        <f>IF(AX37="PT",VLOOKUP(L37,'Foundation Calculation'!$V$2:$X$40,VLOOKUP(AX37,'Foundation Calculation'!$I$10:$J$13,2,FALSE),0),IF(AX37="K",VLOOKUP(L37,'Foundation Calculation'!$V$42:$X$80,VLOOKUP(AX37,'Foundation Calculation'!$I$10:$J$13,2,FALSE),0),""))</f>
        <v>C4R</v>
      </c>
      <c r="N37" s="1239" t="s">
        <v>144</v>
      </c>
      <c r="O37" s="1239"/>
      <c r="P37" s="638"/>
      <c r="Q37" s="638"/>
      <c r="R37" s="638"/>
      <c r="S37" s="484"/>
      <c r="T37" s="638">
        <v>35</v>
      </c>
      <c r="U37" s="638"/>
      <c r="V37" s="638"/>
      <c r="W37" s="638">
        <v>1.4</v>
      </c>
      <c r="X37" s="638"/>
      <c r="Y37" s="638"/>
      <c r="Z37" s="638"/>
      <c r="AA37" s="638"/>
      <c r="AB37" s="638"/>
      <c r="AC37" s="638" t="str">
        <f t="shared" si="0"/>
        <v>PH-Q</v>
      </c>
      <c r="AD37" s="638"/>
      <c r="AE37" s="638"/>
      <c r="AF37" s="638"/>
      <c r="AG37" s="446"/>
      <c r="AH37" s="638"/>
      <c r="AI37" s="185"/>
      <c r="AJ37" s="445" t="s">
        <v>3516</v>
      </c>
      <c r="AK37" s="1239"/>
      <c r="AL37" s="638"/>
      <c r="AM37" s="638" t="s">
        <v>1043</v>
      </c>
      <c r="AN37" s="455">
        <v>5.5</v>
      </c>
      <c r="AO37" s="1239"/>
      <c r="AP37" s="1239"/>
      <c r="AQ37" s="484"/>
      <c r="AR37" s="484"/>
      <c r="AS37" s="484"/>
      <c r="AT37" s="484">
        <f>+ab($T$37,$T$35,$T$39,$G$36,$G$38, 1*$F$37,1200)</f>
        <v>7.6922123920196848</v>
      </c>
      <c r="AU37" s="638"/>
      <c r="AV37" s="638"/>
      <c r="AW37" s="638" t="str">
        <f>VLOOKUP(C37,'Foundation Calculation'!$A$2:$C$33,3,1)</f>
        <v>Soil B</v>
      </c>
      <c r="AX37" s="638" t="str">
        <f>VLOOKUP(C37,'Foundation Calculation'!$E$2:$G$33,3,1)</f>
        <v>PT</v>
      </c>
      <c r="AY37" s="484">
        <f>IF(AX37="PT",VLOOKUP(L37,'Foundation Calculation'!$K$2:$R$40,VLOOKUP(AW37,'Foundation Calculation'!$I$2:$J$8,2,FALSE),0),IF(AX37="K",VLOOKUP(L37,'Foundation Calculation'!$K$42:$R$80,VLOOKUP(AW37,'Foundation Calculation'!$I$2:$J$8,2,FALSE),0),""))</f>
        <v>3.5</v>
      </c>
      <c r="AZ37" s="484"/>
      <c r="BA37" s="671" t="s">
        <v>2809</v>
      </c>
      <c r="BB37" s="1239" t="str">
        <f>Pole_Calculations!A15</f>
        <v>App.7-V11A-P9.5.1.1</v>
      </c>
      <c r="BC37" s="169"/>
      <c r="BD37" s="1329"/>
      <c r="BE37" s="1329"/>
      <c r="BF37" s="1330"/>
      <c r="BG37" s="1329"/>
    </row>
    <row r="38" spans="1:59" ht="15.75" customHeight="1">
      <c r="A38" s="1239"/>
      <c r="B38" s="173"/>
      <c r="C38" s="446"/>
      <c r="D38" s="447"/>
      <c r="E38" s="447"/>
      <c r="F38" s="447"/>
      <c r="G38" s="484">
        <v>55</v>
      </c>
      <c r="H38" s="168"/>
      <c r="I38" s="448"/>
      <c r="J38" s="446">
        <f>C39-7.5</f>
        <v>80189.13</v>
      </c>
      <c r="K38" s="638" t="s">
        <v>2788</v>
      </c>
      <c r="L38" s="445"/>
      <c r="M38" s="445"/>
      <c r="N38" s="1239"/>
      <c r="O38" s="1239"/>
      <c r="P38" s="638"/>
      <c r="Q38" s="638"/>
      <c r="R38" s="638"/>
      <c r="S38" s="484"/>
      <c r="T38" s="638"/>
      <c r="U38" s="638"/>
      <c r="V38" s="638"/>
      <c r="W38" s="638"/>
      <c r="X38" s="638"/>
      <c r="Y38" s="638"/>
      <c r="Z38" s="638"/>
      <c r="AA38" s="638"/>
      <c r="AB38" s="638"/>
      <c r="AC38" s="638"/>
      <c r="AD38" s="638"/>
      <c r="AE38" s="638"/>
      <c r="AF38" s="638"/>
      <c r="AG38" s="446"/>
      <c r="AH38" s="638"/>
      <c r="AI38" s="185"/>
      <c r="AJ38" s="638"/>
      <c r="AK38" s="1239"/>
      <c r="AL38" s="638"/>
      <c r="AM38" s="638"/>
      <c r="AN38" s="455"/>
      <c r="AO38" s="1239"/>
      <c r="AP38" s="1239"/>
      <c r="AQ38" s="484">
        <f>+FL_1($T$39,$T$37,$G$38,1200,9.28, 1*$F$39)</f>
        <v>0.39714735709090898</v>
      </c>
      <c r="AR38" s="484"/>
      <c r="AS38" s="484"/>
      <c r="AT38" s="484"/>
      <c r="AU38" s="638"/>
      <c r="AV38" s="638"/>
      <c r="AW38" s="638" t="str">
        <f>VLOOKUP(J38,'Foundation Calculation'!$A$2:$C$33,3,1)</f>
        <v>Soil B</v>
      </c>
      <c r="AX38" s="638" t="str">
        <f>VLOOKUP(J38,'Foundation Calculation'!$E$2:$G$33,3,1)</f>
        <v>PT</v>
      </c>
      <c r="AY38" s="484"/>
      <c r="AZ38" s="484">
        <f>IF(AX38="PT",VLOOKUP(K38,'Foundation Calculation'!$K$2:$R$40,VLOOKUP(AW38,'Foundation Calculation'!$I$2:$J$8,2,FALSE),0),IF(AX38="K",VLOOKUP(K38,'Foundation Calculation'!$K$42:$R$80,VLOOKUP(AW38,'Foundation Calculation'!$I$2:$J$8,2,FALSE),0),""))</f>
        <v>2.8</v>
      </c>
      <c r="BA38" s="671" t="s">
        <v>2809</v>
      </c>
      <c r="BB38" s="1239"/>
      <c r="BC38" s="169"/>
      <c r="BD38" s="1329"/>
      <c r="BE38" s="1330"/>
      <c r="BF38" s="1330"/>
      <c r="BG38" s="1330"/>
    </row>
    <row r="39" spans="1:59" ht="15.75" customHeight="1">
      <c r="A39" s="1239"/>
      <c r="B39" s="435" t="s">
        <v>3471</v>
      </c>
      <c r="C39" s="446">
        <f>+$C$37+$G$38</f>
        <v>80196.63</v>
      </c>
      <c r="D39" s="447"/>
      <c r="E39" s="447"/>
      <c r="F39" s="447">
        <v>0</v>
      </c>
      <c r="G39" s="484"/>
      <c r="H39" s="638" t="s">
        <v>873</v>
      </c>
      <c r="I39" s="448"/>
      <c r="J39" s="446"/>
      <c r="K39" s="638"/>
      <c r="L39" s="445" t="s">
        <v>818</v>
      </c>
      <c r="M39" s="638" t="str">
        <f>IF(AX39="PT",VLOOKUP(L39,'Foundation Calculation'!$V$2:$X$40,VLOOKUP(AX39,'Foundation Calculation'!$I$10:$J$13,2,FALSE),0),IF(AX39="K",VLOOKUP(L39,'Foundation Calculation'!$V$42:$X$80,VLOOKUP(AX39,'Foundation Calculation'!$I$10:$J$13,2,FALSE),0),""))</f>
        <v>C4R</v>
      </c>
      <c r="N39" s="1239" t="s">
        <v>143</v>
      </c>
      <c r="O39" s="638"/>
      <c r="P39" s="638"/>
      <c r="Q39" s="638"/>
      <c r="R39" s="638"/>
      <c r="S39" s="484"/>
      <c r="T39" s="638">
        <v>-35</v>
      </c>
      <c r="U39" s="638"/>
      <c r="V39" s="638"/>
      <c r="W39" s="638">
        <v>1.4</v>
      </c>
      <c r="X39" s="638"/>
      <c r="Y39" s="638"/>
      <c r="Z39" s="638"/>
      <c r="AA39" s="638"/>
      <c r="AB39" s="638"/>
      <c r="AC39" s="638" t="str">
        <f t="shared" si="0"/>
        <v>PH-Q</v>
      </c>
      <c r="AD39" s="638"/>
      <c r="AE39" s="638"/>
      <c r="AF39" s="638"/>
      <c r="AG39" s="446"/>
      <c r="AH39" s="638"/>
      <c r="AI39" s="185"/>
      <c r="AJ39" s="445" t="s">
        <v>3516</v>
      </c>
      <c r="AK39" s="1239"/>
      <c r="AL39" s="638"/>
      <c r="AM39" s="638" t="s">
        <v>1043</v>
      </c>
      <c r="AN39" s="455">
        <v>5.5</v>
      </c>
      <c r="AO39" s="1239"/>
      <c r="AP39" s="1239"/>
      <c r="AQ39" s="484"/>
      <c r="AR39" s="484"/>
      <c r="AS39" s="484"/>
      <c r="AT39" s="484">
        <f>+ab($T$39,$T$37,$T$41,$G$38,$G$40, 1*$F$39,1200)</f>
        <v>-7.495600280563588</v>
      </c>
      <c r="AU39" s="638"/>
      <c r="AV39" s="638"/>
      <c r="AW39" s="638" t="str">
        <f>VLOOKUP(C39,'Foundation Calculation'!$A$2:$C$33,3,1)</f>
        <v>Soil B</v>
      </c>
      <c r="AX39" s="638" t="str">
        <f>VLOOKUP(C39,'Foundation Calculation'!$E$2:$G$33,3,1)</f>
        <v>PT</v>
      </c>
      <c r="AY39" s="484">
        <f>IF(AX39="PT",VLOOKUP(L39,'Foundation Calculation'!$K$2:$R$40,VLOOKUP(AW39,'Foundation Calculation'!$I$2:$J$8,2,FALSE),0),IF(AX39="K",VLOOKUP(L39,'Foundation Calculation'!$K$42:$R$80,VLOOKUP(AW39,'Foundation Calculation'!$I$2:$J$8,2,FALSE),0),""))</f>
        <v>3.5</v>
      </c>
      <c r="AZ39" s="484"/>
      <c r="BA39" s="671" t="s">
        <v>2809</v>
      </c>
      <c r="BB39" s="1239" t="str">
        <f>Pole_Calculations!A17</f>
        <v>App.7-V11A-P9.5.1.3</v>
      </c>
      <c r="BC39" s="169"/>
      <c r="BD39" s="1329"/>
      <c r="BE39" s="1329"/>
      <c r="BF39" s="1330"/>
      <c r="BG39" s="1329"/>
    </row>
    <row r="40" spans="1:59" ht="15.75" customHeight="1">
      <c r="A40" s="1239"/>
      <c r="B40" s="173"/>
      <c r="C40" s="446"/>
      <c r="D40" s="447"/>
      <c r="E40" s="447"/>
      <c r="F40" s="447"/>
      <c r="G40" s="484">
        <v>55</v>
      </c>
      <c r="H40" s="1239"/>
      <c r="I40" s="448">
        <f>C41-C5</f>
        <v>671.60000000000582</v>
      </c>
      <c r="J40" s="446"/>
      <c r="K40" s="638"/>
      <c r="L40" s="638"/>
      <c r="M40" s="445"/>
      <c r="N40" s="1239"/>
      <c r="O40" s="1239"/>
      <c r="P40" s="638"/>
      <c r="Q40" s="638"/>
      <c r="R40" s="638"/>
      <c r="S40" s="484"/>
      <c r="T40" s="638"/>
      <c r="U40" s="638"/>
      <c r="V40" s="638"/>
      <c r="W40" s="638"/>
      <c r="X40" s="638"/>
      <c r="Y40" s="638"/>
      <c r="Z40" s="638"/>
      <c r="AA40" s="638"/>
      <c r="AB40" s="638"/>
      <c r="AC40" s="638"/>
      <c r="AD40" s="638"/>
      <c r="AE40" s="638"/>
      <c r="AF40" s="638"/>
      <c r="AG40" s="446"/>
      <c r="AH40" s="638"/>
      <c r="AI40" s="185"/>
      <c r="AJ40" s="638"/>
      <c r="AK40" s="1239"/>
      <c r="AL40" s="638"/>
      <c r="AM40" s="638"/>
      <c r="AN40" s="455"/>
      <c r="AO40" s="1239"/>
      <c r="AP40" s="1239"/>
      <c r="AQ40" s="484">
        <f>+FL_2($T$41,$T$39,$G$40,1200,9.28, 1*$F$41)</f>
        <v>-0.39714735709090898</v>
      </c>
      <c r="AR40" s="484"/>
      <c r="AS40" s="484"/>
      <c r="AT40" s="484"/>
      <c r="AU40" s="638"/>
      <c r="AV40" s="638"/>
      <c r="AW40" s="638"/>
      <c r="AX40" s="638"/>
      <c r="AY40" s="484"/>
      <c r="AZ40" s="484"/>
      <c r="BA40" s="671"/>
      <c r="BB40" s="1239"/>
      <c r="BC40" s="169"/>
      <c r="BD40" s="1330"/>
      <c r="BE40" s="1330"/>
      <c r="BF40" s="1330"/>
      <c r="BG40" s="1330"/>
    </row>
    <row r="41" spans="1:59" ht="15.75" customHeight="1">
      <c r="A41" s="1239"/>
      <c r="B41" s="435" t="s">
        <v>3472</v>
      </c>
      <c r="C41" s="446">
        <f>+$C$39+$G$40</f>
        <v>80251.63</v>
      </c>
      <c r="D41" s="447"/>
      <c r="E41" s="447"/>
      <c r="F41" s="447">
        <v>0</v>
      </c>
      <c r="G41" s="484"/>
      <c r="H41" s="638" t="s">
        <v>874</v>
      </c>
      <c r="I41" s="448"/>
      <c r="J41" s="446"/>
      <c r="K41" s="638"/>
      <c r="L41" s="445" t="s">
        <v>818</v>
      </c>
      <c r="M41" s="638" t="str">
        <f>IF(AX41="PT",VLOOKUP(L41,'Foundation Calculation'!$V$2:$X$40,VLOOKUP(AX41,'Foundation Calculation'!$I$10:$J$13,2,FALSE),0),IF(AX41="K",VLOOKUP(L41,'Foundation Calculation'!$V$42:$X$80,VLOOKUP(AX41,'Foundation Calculation'!$I$10:$J$13,2,FALSE),0),""))</f>
        <v>C4R</v>
      </c>
      <c r="N41" s="1239" t="s">
        <v>144</v>
      </c>
      <c r="O41" s="638"/>
      <c r="P41" s="638"/>
      <c r="Q41" s="638"/>
      <c r="R41" s="638"/>
      <c r="S41" s="484"/>
      <c r="T41" s="638">
        <v>35</v>
      </c>
      <c r="U41" s="638"/>
      <c r="V41" s="638"/>
      <c r="W41" s="638">
        <v>1.4</v>
      </c>
      <c r="X41" s="638"/>
      <c r="Y41" s="638"/>
      <c r="Z41" s="638"/>
      <c r="AA41" s="638"/>
      <c r="AB41" s="638"/>
      <c r="AC41" s="638" t="str">
        <f t="shared" si="0"/>
        <v>PH-Q</v>
      </c>
      <c r="AD41" s="638"/>
      <c r="AE41" s="638"/>
      <c r="AF41" s="638"/>
      <c r="AG41" s="446"/>
      <c r="AH41" s="638"/>
      <c r="AI41" s="185"/>
      <c r="AJ41" s="445" t="s">
        <v>3516</v>
      </c>
      <c r="AK41" s="1239"/>
      <c r="AL41" s="638"/>
      <c r="AM41" s="638" t="s">
        <v>1043</v>
      </c>
      <c r="AN41" s="455">
        <v>5.5</v>
      </c>
      <c r="AO41" s="1239"/>
      <c r="AP41" s="1239"/>
      <c r="AQ41" s="484"/>
      <c r="AR41" s="484"/>
      <c r="AS41" s="484"/>
      <c r="AT41" s="484">
        <f>+ab($T$41,$T$39,$T$43,$G$40,$G$42, 1*$F$41,1200)</f>
        <v>7.1424146886693025</v>
      </c>
      <c r="AU41" s="638"/>
      <c r="AV41" s="638"/>
      <c r="AW41" s="638" t="str">
        <f>VLOOKUP(C41,'Foundation Calculation'!$A$2:$C$33,3,1)</f>
        <v>Soil B</v>
      </c>
      <c r="AX41" s="638" t="str">
        <f>VLOOKUP(C41,'Foundation Calculation'!$E$2:$G$33,3,1)</f>
        <v>PT</v>
      </c>
      <c r="AY41" s="484">
        <f>IF(AX41="PT",VLOOKUP(L41,'Foundation Calculation'!$K$2:$R$40,VLOOKUP(AW41,'Foundation Calculation'!$I$2:$J$8,2,FALSE),0),IF(AX41="K",VLOOKUP(L41,'Foundation Calculation'!$K$42:$R$80,VLOOKUP(AW41,'Foundation Calculation'!$I$2:$J$8,2,FALSE),0),""))</f>
        <v>3.5</v>
      </c>
      <c r="AZ41" s="484"/>
      <c r="BA41" s="671" t="s">
        <v>2809</v>
      </c>
      <c r="BB41" s="1239" t="str">
        <f>Pole_Calculations!A16</f>
        <v>App.7-V11A-P9.5.1.2</v>
      </c>
      <c r="BC41" s="169"/>
      <c r="BD41" s="1329"/>
      <c r="BE41" s="1329"/>
      <c r="BF41" s="1330"/>
      <c r="BG41" s="1329"/>
    </row>
    <row r="42" spans="1:59" ht="15.75" customHeight="1">
      <c r="A42" s="647" t="s">
        <v>3449</v>
      </c>
      <c r="B42" s="705"/>
      <c r="C42" s="649"/>
      <c r="D42" s="648"/>
      <c r="E42" s="648"/>
      <c r="F42" s="648"/>
      <c r="G42" s="654">
        <v>50</v>
      </c>
      <c r="H42" s="653"/>
      <c r="I42" s="650">
        <f>C67-C41</f>
        <v>689</v>
      </c>
      <c r="J42" s="649"/>
      <c r="K42" s="653"/>
      <c r="L42" s="653"/>
      <c r="M42" s="653"/>
      <c r="N42" s="647"/>
      <c r="O42" s="647"/>
      <c r="P42" s="653"/>
      <c r="Q42" s="653"/>
      <c r="R42" s="653"/>
      <c r="S42" s="654"/>
      <c r="T42" s="653"/>
      <c r="U42" s="653"/>
      <c r="V42" s="653"/>
      <c r="W42" s="653"/>
      <c r="X42" s="653"/>
      <c r="Y42" s="653"/>
      <c r="Z42" s="653"/>
      <c r="AA42" s="653"/>
      <c r="AB42" s="653"/>
      <c r="AC42" s="653"/>
      <c r="AD42" s="653"/>
      <c r="AE42" s="653"/>
      <c r="AF42" s="653"/>
      <c r="AG42" s="649"/>
      <c r="AH42" s="653"/>
      <c r="AI42" s="704"/>
      <c r="AJ42" s="653"/>
      <c r="AK42" s="647"/>
      <c r="AL42" s="653"/>
      <c r="AM42" s="653"/>
      <c r="AN42" s="651"/>
      <c r="AO42" s="647"/>
      <c r="AP42" s="647"/>
      <c r="AQ42" s="654">
        <f>+FL_2($T$43,$T$41,$G$42,1200,9.28, 1*$F$43)</f>
        <v>-0.36839079999999996</v>
      </c>
      <c r="AR42" s="654"/>
      <c r="AS42" s="654"/>
      <c r="AT42" s="654"/>
      <c r="AU42" s="653"/>
      <c r="AV42" s="653"/>
      <c r="AW42" s="653"/>
      <c r="AX42" s="653"/>
      <c r="AY42" s="654"/>
      <c r="AZ42" s="654"/>
      <c r="BA42" s="701"/>
      <c r="BB42" s="647"/>
      <c r="BC42" s="169"/>
      <c r="BD42" s="1330"/>
      <c r="BE42" s="1330"/>
      <c r="BF42" s="1330"/>
      <c r="BG42" s="1330"/>
    </row>
    <row r="43" spans="1:59" ht="15.75" customHeight="1">
      <c r="A43" s="1239"/>
      <c r="B43" s="435" t="s">
        <v>3473</v>
      </c>
      <c r="C43" s="446">
        <f>+$C$41+$G$42</f>
        <v>80301.63</v>
      </c>
      <c r="D43" s="447"/>
      <c r="E43" s="447"/>
      <c r="F43" s="447">
        <v>0</v>
      </c>
      <c r="G43" s="484"/>
      <c r="H43" s="638" t="s">
        <v>873</v>
      </c>
      <c r="I43" s="448"/>
      <c r="J43" s="446"/>
      <c r="K43" s="638"/>
      <c r="L43" s="445" t="s">
        <v>818</v>
      </c>
      <c r="M43" s="638" t="str">
        <f>IF(AX43="PT",VLOOKUP(L43,'Foundation Calculation'!$V$2:$X$40,VLOOKUP(AX43,'Foundation Calculation'!$I$10:$J$13,2,FALSE),0),IF(AX43="K",VLOOKUP(L43,'Foundation Calculation'!$V$42:$X$80,VLOOKUP(AX43,'Foundation Calculation'!$I$10:$J$13,2,FALSE),0),""))</f>
        <v>C4R</v>
      </c>
      <c r="N43" s="1239" t="s">
        <v>143</v>
      </c>
      <c r="O43" s="1239"/>
      <c r="P43" s="638"/>
      <c r="Q43" s="638"/>
      <c r="R43" s="638"/>
      <c r="S43" s="484"/>
      <c r="T43" s="638">
        <v>-35</v>
      </c>
      <c r="U43" s="638"/>
      <c r="V43" s="638"/>
      <c r="W43" s="638">
        <v>1.4</v>
      </c>
      <c r="X43" s="638"/>
      <c r="Y43" s="638"/>
      <c r="Z43" s="638"/>
      <c r="AA43" s="638"/>
      <c r="AB43" s="638"/>
      <c r="AC43" s="638" t="str">
        <f t="shared" si="0"/>
        <v>PH-Q</v>
      </c>
      <c r="AD43" s="638"/>
      <c r="AE43" s="638"/>
      <c r="AF43" s="638"/>
      <c r="AG43" s="446"/>
      <c r="AH43" s="638"/>
      <c r="AI43" s="185"/>
      <c r="AJ43" s="445" t="s">
        <v>3516</v>
      </c>
      <c r="AK43" s="1239"/>
      <c r="AL43" s="638"/>
      <c r="AM43" s="638" t="s">
        <v>1043</v>
      </c>
      <c r="AN43" s="455">
        <v>5.5</v>
      </c>
      <c r="AO43" s="1239"/>
      <c r="AP43" s="1239"/>
      <c r="AQ43" s="484"/>
      <c r="AR43" s="484"/>
      <c r="AS43" s="484"/>
      <c r="AT43" s="484">
        <f>+ab($T$43,$T$41,$T$45,$G$42,$G$44, 1*$F$43,1200)</f>
        <v>-7.1424424584170572</v>
      </c>
      <c r="AU43" s="638"/>
      <c r="AV43" s="638"/>
      <c r="AW43" s="638" t="str">
        <f>VLOOKUP(C43,'Foundation Calculation'!$A$2:$C$33,3,1)</f>
        <v>Soil B</v>
      </c>
      <c r="AX43" s="638" t="str">
        <f>VLOOKUP(C43,'Foundation Calculation'!$E$2:$G$33,3,1)</f>
        <v>PT</v>
      </c>
      <c r="AY43" s="484">
        <f>IF(AX43="PT",VLOOKUP(L43,'Foundation Calculation'!$K$2:$R$40,VLOOKUP(AW43,'Foundation Calculation'!$I$2:$J$8,2,FALSE),0),IF(AX43="K",VLOOKUP(L43,'Foundation Calculation'!$K$42:$R$80,VLOOKUP(AW43,'Foundation Calculation'!$I$2:$J$8,2,FALSE),0),""))</f>
        <v>3.5</v>
      </c>
      <c r="AZ43" s="484"/>
      <c r="BA43" s="671" t="s">
        <v>2809</v>
      </c>
      <c r="BB43" s="1239" t="str">
        <f>Pole_Calculations!A17</f>
        <v>App.7-V11A-P9.5.1.3</v>
      </c>
      <c r="BC43" s="169"/>
      <c r="BD43" s="1329"/>
      <c r="BE43" s="1329"/>
      <c r="BF43" s="1330"/>
      <c r="BG43" s="1329"/>
    </row>
    <row r="44" spans="1:59" ht="12.5">
      <c r="A44" s="1239"/>
      <c r="B44" s="173"/>
      <c r="C44" s="446"/>
      <c r="D44" s="447"/>
      <c r="E44" s="447"/>
      <c r="F44" s="447"/>
      <c r="G44" s="484">
        <v>55</v>
      </c>
      <c r="H44" s="638"/>
      <c r="I44" s="448"/>
      <c r="J44" s="446">
        <f>C43+7.5</f>
        <v>80309.13</v>
      </c>
      <c r="K44" s="638" t="s">
        <v>2788</v>
      </c>
      <c r="L44" s="638"/>
      <c r="M44" s="638"/>
      <c r="N44" s="1239"/>
      <c r="O44" s="1239"/>
      <c r="P44" s="638"/>
      <c r="Q44" s="638"/>
      <c r="R44" s="638"/>
      <c r="S44" s="484"/>
      <c r="T44" s="638"/>
      <c r="U44" s="638"/>
      <c r="V44" s="638"/>
      <c r="W44" s="638"/>
      <c r="X44" s="638"/>
      <c r="Y44" s="638"/>
      <c r="Z44" s="638"/>
      <c r="AA44" s="638"/>
      <c r="AB44" s="638"/>
      <c r="AC44" s="638"/>
      <c r="AD44" s="638"/>
      <c r="AE44" s="638"/>
      <c r="AF44" s="638"/>
      <c r="AG44" s="446"/>
      <c r="AH44" s="638"/>
      <c r="AI44" s="185"/>
      <c r="AJ44" s="638"/>
      <c r="AK44" s="1239"/>
      <c r="AL44" s="638"/>
      <c r="AM44" s="638"/>
      <c r="AN44" s="455"/>
      <c r="AO44" s="1239"/>
      <c r="AP44" s="1239"/>
      <c r="AQ44" s="484">
        <f>+FL_2($T$45,$T$43,$G$44,1200,9.28, 1*$F$45)</f>
        <v>-0.39714735709090898</v>
      </c>
      <c r="AR44" s="484"/>
      <c r="AS44" s="484"/>
      <c r="AT44" s="484"/>
      <c r="AU44" s="638"/>
      <c r="AV44" s="638"/>
      <c r="AW44" s="638" t="str">
        <f>VLOOKUP(J44,'Foundation Calculation'!$A$2:$C$33,3,1)</f>
        <v>Soil B</v>
      </c>
      <c r="AX44" s="638" t="str">
        <f>VLOOKUP(J44,'Foundation Calculation'!$E$2:$G$33,3,1)</f>
        <v>PT</v>
      </c>
      <c r="AY44" s="484"/>
      <c r="AZ44" s="484">
        <f>IF(AX44="PT",VLOOKUP(K44,'Foundation Calculation'!$K$2:$R$40,VLOOKUP(AW44,'Foundation Calculation'!$I$2:$J$8,2,FALSE),0),IF(AX44="K",VLOOKUP(K44,'Foundation Calculation'!$K$42:$R$80,VLOOKUP(AW44,'Foundation Calculation'!$I$2:$J$8,2,FALSE),0),""))</f>
        <v>2.8</v>
      </c>
      <c r="BA44" s="671" t="s">
        <v>2809</v>
      </c>
      <c r="BB44" s="1239"/>
      <c r="BC44" s="169"/>
      <c r="BD44" s="1329"/>
      <c r="BE44" s="1330"/>
      <c r="BF44" s="1330"/>
      <c r="BG44" s="1330"/>
    </row>
    <row r="45" spans="1:59" ht="15.75" customHeight="1">
      <c r="A45" s="1239"/>
      <c r="B45" s="435" t="s">
        <v>3474</v>
      </c>
      <c r="C45" s="446">
        <f>+$C$43+$G$44</f>
        <v>80356.63</v>
      </c>
      <c r="D45" s="447"/>
      <c r="E45" s="447"/>
      <c r="F45" s="447">
        <v>0</v>
      </c>
      <c r="G45" s="484"/>
      <c r="H45" s="638"/>
      <c r="I45" s="447"/>
      <c r="J45" s="446"/>
      <c r="K45" s="638"/>
      <c r="L45" s="445" t="s">
        <v>818</v>
      </c>
      <c r="M45" s="638" t="str">
        <f>IF(AX45="PT",VLOOKUP(L45,'Foundation Calculation'!$V$2:$X$40,VLOOKUP(AX45,'Foundation Calculation'!$I$10:$J$13,2,FALSE),0),IF(AX45="K",VLOOKUP(L45,'Foundation Calculation'!$V$42:$X$80,VLOOKUP(AX45,'Foundation Calculation'!$I$10:$J$13,2,FALSE),0),""))</f>
        <v>C4R</v>
      </c>
      <c r="N45" s="1239" t="s">
        <v>144</v>
      </c>
      <c r="O45" s="1239"/>
      <c r="P45" s="638"/>
      <c r="Q45" s="638"/>
      <c r="R45" s="638"/>
      <c r="S45" s="484"/>
      <c r="T45" s="638">
        <v>35</v>
      </c>
      <c r="U45" s="638"/>
      <c r="V45" s="638"/>
      <c r="W45" s="638">
        <v>1.4</v>
      </c>
      <c r="X45" s="638"/>
      <c r="Y45" s="638"/>
      <c r="Z45" s="638"/>
      <c r="AA45" s="638"/>
      <c r="AB45" s="638"/>
      <c r="AC45" s="638" t="str">
        <f t="shared" si="0"/>
        <v>PH-Q</v>
      </c>
      <c r="AD45" s="638"/>
      <c r="AE45" s="638"/>
      <c r="AF45" s="638"/>
      <c r="AG45" s="446"/>
      <c r="AH45" s="638"/>
      <c r="AI45" s="185"/>
      <c r="AJ45" s="445" t="s">
        <v>3516</v>
      </c>
      <c r="AK45" s="1239"/>
      <c r="AL45" s="638"/>
      <c r="AM45" s="638" t="s">
        <v>1043</v>
      </c>
      <c r="AN45" s="455">
        <v>5.5</v>
      </c>
      <c r="AO45" s="1239"/>
      <c r="AP45" s="1239"/>
      <c r="AQ45" s="484"/>
      <c r="AR45" s="484"/>
      <c r="AS45" s="484"/>
      <c r="AT45" s="484">
        <f>+ab($T$45,$T$43,$T$47,$G$44,$G$46, 1*$F$45,1200)</f>
        <v>7.4753021197018441</v>
      </c>
      <c r="AU45" s="638"/>
      <c r="AV45" s="638"/>
      <c r="AW45" s="638" t="str">
        <f>VLOOKUP(C45,'Foundation Calculation'!$A$2:$C$33,3,1)</f>
        <v>Soil B</v>
      </c>
      <c r="AX45" s="638" t="str">
        <f>VLOOKUP(C45,'Foundation Calculation'!$E$2:$G$33,3,1)</f>
        <v>PT</v>
      </c>
      <c r="AY45" s="484">
        <f>IF(AX45="PT",VLOOKUP(L45,'Foundation Calculation'!$K$2:$R$40,VLOOKUP(AW45,'Foundation Calculation'!$I$2:$J$8,2,FALSE),0),IF(AX45="K",VLOOKUP(L45,'Foundation Calculation'!$K$42:$R$80,VLOOKUP(AW45,'Foundation Calculation'!$I$2:$J$8,2,FALSE),0),""))</f>
        <v>3.5</v>
      </c>
      <c r="AZ45" s="484"/>
      <c r="BA45" s="671" t="s">
        <v>2809</v>
      </c>
      <c r="BB45" s="1239" t="str">
        <f>Pole_Calculations!A15</f>
        <v>App.7-V11A-P9.5.1.1</v>
      </c>
      <c r="BC45" s="169"/>
      <c r="BD45" s="1329"/>
      <c r="BE45" s="1329"/>
      <c r="BF45" s="1330"/>
      <c r="BG45" s="1329"/>
    </row>
    <row r="46" spans="1:59" ht="15.75" customHeight="1">
      <c r="A46" s="1239"/>
      <c r="B46" s="1239"/>
      <c r="C46" s="1239"/>
      <c r="D46" s="1239"/>
      <c r="E46" s="1239"/>
      <c r="F46" s="447"/>
      <c r="G46" s="455">
        <v>54.7</v>
      </c>
      <c r="H46" s="1239"/>
      <c r="I46" s="448"/>
      <c r="J46" s="446"/>
      <c r="K46" s="638"/>
      <c r="L46" s="638"/>
      <c r="M46" s="638"/>
      <c r="N46" s="1239"/>
      <c r="O46" s="1239"/>
      <c r="P46" s="638"/>
      <c r="Q46" s="638"/>
      <c r="R46" s="638"/>
      <c r="S46" s="484"/>
      <c r="T46" s="638"/>
      <c r="U46" s="638"/>
      <c r="V46" s="638"/>
      <c r="W46" s="638"/>
      <c r="X46" s="638"/>
      <c r="Y46" s="638"/>
      <c r="Z46" s="638"/>
      <c r="AA46" s="638"/>
      <c r="AB46" s="638"/>
      <c r="AC46" s="638"/>
      <c r="AD46" s="638"/>
      <c r="AE46" s="638"/>
      <c r="AF46" s="638"/>
      <c r="AG46" s="446"/>
      <c r="AH46" s="638"/>
      <c r="AI46" s="185"/>
      <c r="AJ46" s="638"/>
      <c r="AK46" s="1239"/>
      <c r="AL46" s="638"/>
      <c r="AM46" s="638"/>
      <c r="AN46" s="455"/>
      <c r="AO46" s="1239"/>
      <c r="AP46" s="1239"/>
      <c r="AQ46" s="484">
        <f>+FL_2($T$47,$T$45,$G$46,1200,9.28, 1*$F$47)</f>
        <v>-0.39511799049360147</v>
      </c>
      <c r="AR46" s="484"/>
      <c r="AS46" s="484"/>
      <c r="AT46" s="484"/>
      <c r="AU46" s="638"/>
      <c r="AV46" s="638"/>
      <c r="AW46" s="638"/>
      <c r="AX46" s="638"/>
      <c r="AY46" s="484"/>
      <c r="AZ46" s="484"/>
      <c r="BA46" s="671"/>
      <c r="BB46" s="1239"/>
      <c r="BC46" s="169"/>
      <c r="BD46" s="1330"/>
      <c r="BE46" s="1330"/>
      <c r="BF46" s="1330"/>
      <c r="BG46" s="1330"/>
    </row>
    <row r="47" spans="1:59" ht="15.75" customHeight="1">
      <c r="A47" s="1239"/>
      <c r="B47" s="572" t="s">
        <v>3475</v>
      </c>
      <c r="C47" s="171">
        <f>+$C$45+$G$46</f>
        <v>80411.33</v>
      </c>
      <c r="D47" s="1239"/>
      <c r="E47" s="1239"/>
      <c r="F47" s="447">
        <v>0</v>
      </c>
      <c r="G47" s="455"/>
      <c r="H47" s="1239"/>
      <c r="I47" s="448"/>
      <c r="J47" s="446"/>
      <c r="K47" s="638"/>
      <c r="L47" s="445" t="s">
        <v>818</v>
      </c>
      <c r="M47" s="638" t="str">
        <f>IF(AX47="PT",VLOOKUP(L47,'Foundation Calculation'!$V$2:$X$40,VLOOKUP(AX47,'Foundation Calculation'!$I$10:$J$13,2,FALSE),0),IF(AX47="K",VLOOKUP(L47,'Foundation Calculation'!$V$42:$X$80,VLOOKUP(AX47,'Foundation Calculation'!$I$10:$J$13,2,FALSE),0),""))</f>
        <v>C4R</v>
      </c>
      <c r="N47" s="1239" t="s">
        <v>143</v>
      </c>
      <c r="O47" s="1239"/>
      <c r="P47" s="638"/>
      <c r="Q47" s="638"/>
      <c r="R47" s="638"/>
      <c r="S47" s="484"/>
      <c r="T47" s="638">
        <v>-35</v>
      </c>
      <c r="U47" s="638"/>
      <c r="V47" s="638"/>
      <c r="W47" s="638">
        <v>1.4</v>
      </c>
      <c r="X47" s="638"/>
      <c r="Y47" s="638"/>
      <c r="Z47" s="638"/>
      <c r="AA47" s="638"/>
      <c r="AB47" s="638"/>
      <c r="AC47" s="638" t="str">
        <f t="shared" si="0"/>
        <v>PH-Q</v>
      </c>
      <c r="AD47" s="638"/>
      <c r="AE47" s="638"/>
      <c r="AF47" s="638"/>
      <c r="AG47" s="446"/>
      <c r="AH47" s="638"/>
      <c r="AI47" s="185"/>
      <c r="AJ47" s="445" t="s">
        <v>3516</v>
      </c>
      <c r="AK47" s="1239"/>
      <c r="AL47" s="638"/>
      <c r="AM47" s="638" t="s">
        <v>1043</v>
      </c>
      <c r="AN47" s="455">
        <v>5.5</v>
      </c>
      <c r="AO47" s="1239"/>
      <c r="AP47" s="1239"/>
      <c r="AQ47" s="484"/>
      <c r="AR47" s="484"/>
      <c r="AS47" s="484"/>
      <c r="AT47" s="484">
        <f>+ab($T$47,$T$45,$T$49,$G$46,$G$48, 1*$F$47,1200)</f>
        <v>-7.4753338841984664</v>
      </c>
      <c r="AU47" s="638"/>
      <c r="AV47" s="638"/>
      <c r="AW47" s="638" t="str">
        <f>VLOOKUP(C47,'Foundation Calculation'!$A$2:$C$33,3,1)</f>
        <v>Soil B</v>
      </c>
      <c r="AX47" s="638" t="str">
        <f>VLOOKUP(C47,'Foundation Calculation'!$E$2:$G$33,3,1)</f>
        <v>PT</v>
      </c>
      <c r="AY47" s="484">
        <f>IF(AX47="PT",VLOOKUP(L47,'Foundation Calculation'!$K$2:$R$40,VLOOKUP(AW47,'Foundation Calculation'!$I$2:$J$8,2,FALSE),0),IF(AX47="K",VLOOKUP(L47,'Foundation Calculation'!$K$42:$R$80,VLOOKUP(AW47,'Foundation Calculation'!$I$2:$J$8,2,FALSE),0),""))</f>
        <v>3.5</v>
      </c>
      <c r="AZ47" s="484"/>
      <c r="BA47" s="671" t="s">
        <v>2809</v>
      </c>
      <c r="BB47" s="1239" t="str">
        <f>Pole_Calculations!A15</f>
        <v>App.7-V11A-P9.5.1.1</v>
      </c>
      <c r="BC47" s="169"/>
      <c r="BD47" s="1329"/>
      <c r="BE47" s="1329"/>
      <c r="BF47" s="1330"/>
      <c r="BG47" s="1329"/>
    </row>
    <row r="48" spans="1:59" ht="25">
      <c r="A48" s="881" t="s">
        <v>3577</v>
      </c>
      <c r="B48" s="653"/>
      <c r="C48" s="653"/>
      <c r="D48" s="653"/>
      <c r="E48" s="653"/>
      <c r="F48" s="648"/>
      <c r="G48" s="654">
        <v>55</v>
      </c>
      <c r="H48" s="653"/>
      <c r="I48" s="648"/>
      <c r="J48" s="649"/>
      <c r="K48" s="653"/>
      <c r="L48" s="653"/>
      <c r="M48" s="653"/>
      <c r="N48" s="653"/>
      <c r="O48" s="647"/>
      <c r="P48" s="653"/>
      <c r="Q48" s="653"/>
      <c r="R48" s="653"/>
      <c r="S48" s="654"/>
      <c r="T48" s="653"/>
      <c r="U48" s="653"/>
      <c r="V48" s="653"/>
      <c r="W48" s="653"/>
      <c r="X48" s="653"/>
      <c r="Y48" s="653"/>
      <c r="Z48" s="653"/>
      <c r="AA48" s="653"/>
      <c r="AB48" s="653"/>
      <c r="AC48" s="653"/>
      <c r="AD48" s="653"/>
      <c r="AE48" s="653"/>
      <c r="AF48" s="653"/>
      <c r="AG48" s="649"/>
      <c r="AH48" s="653"/>
      <c r="AI48" s="704"/>
      <c r="AJ48" s="653"/>
      <c r="AK48" s="647"/>
      <c r="AL48" s="653"/>
      <c r="AM48" s="653"/>
      <c r="AN48" s="651"/>
      <c r="AO48" s="647"/>
      <c r="AP48" s="647"/>
      <c r="AQ48" s="654">
        <f>+FL_2($T$49,$T$47,$G$48,1200,9.28, 1*$F$49)</f>
        <v>-0.39714735709090898</v>
      </c>
      <c r="AR48" s="654"/>
      <c r="AS48" s="654"/>
      <c r="AT48" s="654"/>
      <c r="AU48" s="653"/>
      <c r="AV48" s="653"/>
      <c r="AW48" s="653"/>
      <c r="AX48" s="653"/>
      <c r="AY48" s="654"/>
      <c r="AZ48" s="654"/>
      <c r="BA48" s="701"/>
      <c r="BB48" s="647"/>
      <c r="BC48" s="169"/>
      <c r="BD48" s="1330"/>
      <c r="BE48" s="1330"/>
      <c r="BF48" s="1330"/>
      <c r="BG48" s="1330"/>
    </row>
    <row r="49" spans="1:59" ht="15.75" customHeight="1">
      <c r="A49" s="638"/>
      <c r="B49" s="703" t="s">
        <v>3476</v>
      </c>
      <c r="C49" s="446">
        <f>+$C$47+$G$48</f>
        <v>80466.33</v>
      </c>
      <c r="D49" s="638"/>
      <c r="E49" s="638"/>
      <c r="F49" s="447">
        <v>0</v>
      </c>
      <c r="G49" s="484"/>
      <c r="H49" s="638"/>
      <c r="I49" s="447"/>
      <c r="J49" s="446"/>
      <c r="K49" s="638"/>
      <c r="L49" s="445" t="s">
        <v>818</v>
      </c>
      <c r="M49" s="638" t="str">
        <f>IF(AX49="PT",VLOOKUP(L49,'Foundation Calculation'!$V$2:$X$40,VLOOKUP(AX49,'Foundation Calculation'!$I$10:$J$13,2,FALSE),0),IF(AX49="K",VLOOKUP(L49,'Foundation Calculation'!$V$42:$X$80,VLOOKUP(AX49,'Foundation Calculation'!$I$10:$J$13,2,FALSE),0),""))</f>
        <v>C4R</v>
      </c>
      <c r="N49" s="1239" t="s">
        <v>144</v>
      </c>
      <c r="O49" s="1239"/>
      <c r="P49" s="638"/>
      <c r="Q49" s="638"/>
      <c r="R49" s="638"/>
      <c r="S49" s="484"/>
      <c r="T49" s="638">
        <v>35</v>
      </c>
      <c r="U49" s="638"/>
      <c r="V49" s="638"/>
      <c r="W49" s="638">
        <v>1.4</v>
      </c>
      <c r="X49" s="638"/>
      <c r="Y49" s="638"/>
      <c r="Z49" s="638"/>
      <c r="AA49" s="638"/>
      <c r="AB49" s="638"/>
      <c r="AC49" s="638" t="str">
        <f t="shared" si="0"/>
        <v>PH-Q</v>
      </c>
      <c r="AD49" s="638"/>
      <c r="AE49" s="638"/>
      <c r="AF49" s="638"/>
      <c r="AG49" s="446"/>
      <c r="AH49" s="638"/>
      <c r="AI49" s="185"/>
      <c r="AJ49" s="445" t="s">
        <v>3516</v>
      </c>
      <c r="AK49" s="1239"/>
      <c r="AL49" s="638"/>
      <c r="AM49" s="638" t="s">
        <v>1043</v>
      </c>
      <c r="AN49" s="455">
        <v>5.5</v>
      </c>
      <c r="AO49" s="1239"/>
      <c r="AP49" s="1239"/>
      <c r="AQ49" s="484"/>
      <c r="AR49" s="484"/>
      <c r="AS49" s="484"/>
      <c r="AT49" s="484">
        <f>+ab($T$49,$T$47,$T$51,$G$48,$G$50, 1*$F$49,1200)</f>
        <v>7.1424146886693025</v>
      </c>
      <c r="AU49" s="638"/>
      <c r="AV49" s="638"/>
      <c r="AW49" s="638" t="str">
        <f>VLOOKUP(C49,'Foundation Calculation'!$A$2:$C$33,3,1)</f>
        <v>Soil B</v>
      </c>
      <c r="AX49" s="638" t="str">
        <f>VLOOKUP(C49,'Foundation Calculation'!$E$2:$G$33,3,1)</f>
        <v>PT</v>
      </c>
      <c r="AY49" s="484">
        <f>IF(AX49="PT",VLOOKUP(L49,'Foundation Calculation'!$K$2:$R$40,VLOOKUP(AW49,'Foundation Calculation'!$I$2:$J$8,2,FALSE),0),IF(AX49="K",VLOOKUP(L49,'Foundation Calculation'!$K$42:$R$80,VLOOKUP(AW49,'Foundation Calculation'!$I$2:$J$8,2,FALSE),0),""))</f>
        <v>3.5</v>
      </c>
      <c r="AZ49" s="484"/>
      <c r="BA49" s="671" t="s">
        <v>2809</v>
      </c>
      <c r="BB49" s="638" t="str">
        <f>Pole_Calculations!A15</f>
        <v>App.7-V11A-P9.5.1.1</v>
      </c>
      <c r="BC49" s="169"/>
      <c r="BD49" s="1329"/>
      <c r="BE49" s="1329"/>
      <c r="BF49" s="1330"/>
      <c r="BG49" s="1329"/>
    </row>
    <row r="50" spans="1:59" ht="15.75" customHeight="1">
      <c r="A50" s="638"/>
      <c r="B50" s="638"/>
      <c r="C50" s="638"/>
      <c r="D50" s="638"/>
      <c r="E50" s="638"/>
      <c r="F50" s="447"/>
      <c r="G50" s="484">
        <v>50</v>
      </c>
      <c r="H50" s="638"/>
      <c r="I50" s="447"/>
      <c r="J50" s="446"/>
      <c r="K50" s="638"/>
      <c r="L50" s="638"/>
      <c r="M50" s="638"/>
      <c r="N50" s="1239"/>
      <c r="O50" s="1239"/>
      <c r="P50" s="638"/>
      <c r="Q50" s="638"/>
      <c r="R50" s="638"/>
      <c r="S50" s="484"/>
      <c r="T50" s="638"/>
      <c r="U50" s="638"/>
      <c r="V50" s="638"/>
      <c r="W50" s="638"/>
      <c r="X50" s="638"/>
      <c r="Y50" s="638"/>
      <c r="Z50" s="638"/>
      <c r="AA50" s="638"/>
      <c r="AB50" s="638"/>
      <c r="AC50" s="638"/>
      <c r="AD50" s="638"/>
      <c r="AE50" s="638"/>
      <c r="AF50" s="638"/>
      <c r="AG50" s="446"/>
      <c r="AH50" s="638"/>
      <c r="AI50" s="185"/>
      <c r="AJ50" s="638"/>
      <c r="AK50" s="1239"/>
      <c r="AL50" s="638"/>
      <c r="AM50" s="638"/>
      <c r="AN50" s="455"/>
      <c r="AO50" s="1239"/>
      <c r="AP50" s="1239"/>
      <c r="AQ50" s="484">
        <f>+FL_2($T$51,$T$49,$G$50,1200,9.28, 1*$F$51)</f>
        <v>-0.36839079999999996</v>
      </c>
      <c r="AR50" s="484"/>
      <c r="AS50" s="484"/>
      <c r="AT50" s="484"/>
      <c r="AU50" s="638"/>
      <c r="AV50" s="638"/>
      <c r="AW50" s="638"/>
      <c r="AX50" s="638"/>
      <c r="AY50" s="484"/>
      <c r="AZ50" s="484"/>
      <c r="BA50" s="671"/>
      <c r="BB50" s="647"/>
      <c r="BC50" s="169"/>
      <c r="BD50" s="1330"/>
      <c r="BE50" s="1330"/>
      <c r="BF50" s="1330"/>
      <c r="BG50" s="1330"/>
    </row>
    <row r="51" spans="1:59" ht="15.75" customHeight="1">
      <c r="A51" s="1239"/>
      <c r="B51" s="435" t="s">
        <v>3477</v>
      </c>
      <c r="C51" s="446">
        <f>+$C$49+$G$50</f>
        <v>80516.33</v>
      </c>
      <c r="D51" s="447"/>
      <c r="E51" s="447"/>
      <c r="F51" s="447">
        <v>0</v>
      </c>
      <c r="G51" s="484"/>
      <c r="H51" s="638"/>
      <c r="I51" s="447"/>
      <c r="J51" s="446"/>
      <c r="K51" s="638"/>
      <c r="L51" s="445" t="s">
        <v>818</v>
      </c>
      <c r="M51" s="638" t="str">
        <f>IF(AX51="PT",VLOOKUP(L51,'Foundation Calculation'!$V$2:$X$40,VLOOKUP(AX51,'Foundation Calculation'!$I$10:$J$13,2,FALSE),0),IF(AX51="K",VLOOKUP(L51,'Foundation Calculation'!$V$42:$X$80,VLOOKUP(AX51,'Foundation Calculation'!$I$10:$J$13,2,FALSE),0),""))</f>
        <v>C4R</v>
      </c>
      <c r="N51" s="1239" t="s">
        <v>143</v>
      </c>
      <c r="O51" s="1239"/>
      <c r="P51" s="638"/>
      <c r="Q51" s="638"/>
      <c r="R51" s="638"/>
      <c r="S51" s="484"/>
      <c r="T51" s="638">
        <v>-35</v>
      </c>
      <c r="U51" s="638"/>
      <c r="V51" s="638"/>
      <c r="W51" s="638">
        <v>1.4</v>
      </c>
      <c r="X51" s="638"/>
      <c r="Y51" s="638"/>
      <c r="Z51" s="638"/>
      <c r="AA51" s="638"/>
      <c r="AB51" s="638"/>
      <c r="AC51" s="638" t="str">
        <f t="shared" si="0"/>
        <v>PH-Q</v>
      </c>
      <c r="AD51" s="638"/>
      <c r="AE51" s="638"/>
      <c r="AF51" s="638"/>
      <c r="AG51" s="446"/>
      <c r="AH51" s="638"/>
      <c r="AI51" s="185"/>
      <c r="AJ51" s="445" t="s">
        <v>3516</v>
      </c>
      <c r="AK51" s="1239"/>
      <c r="AL51" s="638"/>
      <c r="AM51" s="638" t="s">
        <v>1043</v>
      </c>
      <c r="AN51" s="455">
        <v>5.5</v>
      </c>
      <c r="AO51" s="1239"/>
      <c r="AP51" s="1239"/>
      <c r="AQ51" s="484"/>
      <c r="AR51" s="484"/>
      <c r="AS51" s="484"/>
      <c r="AT51" s="484">
        <f>+ab($T$51,$T$49,$T$53,$G$50,$G$52, 1*$F$51,1200)</f>
        <v>-6.8209152065487553</v>
      </c>
      <c r="AU51" s="638"/>
      <c r="AV51" s="638"/>
      <c r="AW51" s="638" t="str">
        <f>VLOOKUP(C51,'Foundation Calculation'!$A$2:$C$33,3,1)</f>
        <v>Soil B</v>
      </c>
      <c r="AX51" s="638" t="str">
        <f>VLOOKUP(C51,'Foundation Calculation'!$E$2:$G$33,3,1)</f>
        <v>PT</v>
      </c>
      <c r="AY51" s="484">
        <f>IF(AX51="PT",VLOOKUP(L51,'Foundation Calculation'!$K$2:$R$40,VLOOKUP(AW51,'Foundation Calculation'!$I$2:$J$8,2,FALSE),0),IF(AX51="K",VLOOKUP(L51,'Foundation Calculation'!$K$42:$R$80,VLOOKUP(AW51,'Foundation Calculation'!$I$2:$J$8,2,FALSE),0),""))</f>
        <v>3.5</v>
      </c>
      <c r="AZ51" s="484"/>
      <c r="BA51" s="671" t="s">
        <v>2809</v>
      </c>
      <c r="BB51" s="1239" t="str">
        <f>Pole_Calculations!A15</f>
        <v>App.7-V11A-P9.5.1.1</v>
      </c>
      <c r="BC51" s="169"/>
      <c r="BD51" s="1329"/>
      <c r="BE51" s="1329"/>
      <c r="BF51" s="1330"/>
      <c r="BG51" s="1329"/>
    </row>
    <row r="52" spans="1:59" ht="15.75" customHeight="1">
      <c r="A52" s="1239"/>
      <c r="B52" s="173"/>
      <c r="C52" s="446"/>
      <c r="D52" s="447"/>
      <c r="E52" s="447"/>
      <c r="F52" s="447"/>
      <c r="G52" s="484">
        <v>50</v>
      </c>
      <c r="H52" s="638"/>
      <c r="I52" s="447"/>
      <c r="J52" s="446"/>
      <c r="K52" s="638"/>
      <c r="L52" s="638"/>
      <c r="M52" s="638"/>
      <c r="N52" s="1239"/>
      <c r="O52" s="1239"/>
      <c r="P52" s="638"/>
      <c r="Q52" s="638"/>
      <c r="R52" s="638"/>
      <c r="S52" s="484"/>
      <c r="T52" s="638"/>
      <c r="U52" s="638"/>
      <c r="V52" s="638"/>
      <c r="W52" s="638"/>
      <c r="X52" s="638"/>
      <c r="Y52" s="638"/>
      <c r="Z52" s="638"/>
      <c r="AA52" s="638"/>
      <c r="AB52" s="638"/>
      <c r="AC52" s="638"/>
      <c r="AD52" s="638"/>
      <c r="AE52" s="638"/>
      <c r="AF52" s="638"/>
      <c r="AG52" s="446"/>
      <c r="AH52" s="638"/>
      <c r="AI52" s="185"/>
      <c r="AJ52" s="638"/>
      <c r="AK52" s="1239"/>
      <c r="AL52" s="638"/>
      <c r="AM52" s="638"/>
      <c r="AN52" s="455"/>
      <c r="AO52" s="1239"/>
      <c r="AP52" s="1239"/>
      <c r="AQ52" s="484">
        <f>+FL_1($T$53,$T$51,$G$52,1200,9.28, 1*$F$53)</f>
        <v>0.36839079999999996</v>
      </c>
      <c r="AR52" s="484"/>
      <c r="AS52" s="484"/>
      <c r="AT52" s="484"/>
      <c r="AU52" s="638"/>
      <c r="AV52" s="638"/>
      <c r="AW52" s="638"/>
      <c r="AX52" s="638"/>
      <c r="AY52" s="484"/>
      <c r="AZ52" s="484"/>
      <c r="BA52" s="671"/>
      <c r="BB52" s="1239"/>
      <c r="BC52" s="169"/>
      <c r="BD52" s="1330"/>
      <c r="BE52" s="1330"/>
      <c r="BF52" s="1330"/>
      <c r="BG52" s="1330"/>
    </row>
    <row r="53" spans="1:59" ht="15.75" customHeight="1">
      <c r="A53" s="1239"/>
      <c r="B53" s="435" t="s">
        <v>3478</v>
      </c>
      <c r="C53" s="446">
        <f>+$C$51+$G$52</f>
        <v>80566.33</v>
      </c>
      <c r="D53" s="447"/>
      <c r="E53" s="447"/>
      <c r="F53" s="447">
        <v>0</v>
      </c>
      <c r="G53" s="484"/>
      <c r="H53" s="638"/>
      <c r="I53" s="447"/>
      <c r="J53" s="446"/>
      <c r="K53" s="638"/>
      <c r="L53" s="445" t="s">
        <v>818</v>
      </c>
      <c r="M53" s="638" t="str">
        <f>IF(AX53="PT",VLOOKUP(L53,'Foundation Calculation'!$V$2:$X$40,VLOOKUP(AX53,'Foundation Calculation'!$I$10:$J$13,2,FALSE),0),IF(AX53="K",VLOOKUP(L53,'Foundation Calculation'!$V$42:$X$80,VLOOKUP(AX53,'Foundation Calculation'!$I$10:$J$13,2,FALSE),0),""))</f>
        <v>C4R</v>
      </c>
      <c r="N53" s="1239" t="s">
        <v>144</v>
      </c>
      <c r="O53" s="1239"/>
      <c r="P53" s="638"/>
      <c r="Q53" s="638"/>
      <c r="R53" s="638"/>
      <c r="S53" s="484"/>
      <c r="T53" s="638">
        <v>35</v>
      </c>
      <c r="U53" s="638"/>
      <c r="V53" s="638"/>
      <c r="W53" s="638">
        <v>1.4</v>
      </c>
      <c r="X53" s="638"/>
      <c r="Y53" s="638"/>
      <c r="Z53" s="638"/>
      <c r="AA53" s="638"/>
      <c r="AB53" s="638"/>
      <c r="AC53" s="638" t="str">
        <f t="shared" si="0"/>
        <v>PH-Q</v>
      </c>
      <c r="AD53" s="638"/>
      <c r="AE53" s="638"/>
      <c r="AF53" s="638"/>
      <c r="AG53" s="446"/>
      <c r="AH53" s="638"/>
      <c r="AI53" s="185"/>
      <c r="AJ53" s="445" t="s">
        <v>3516</v>
      </c>
      <c r="AK53" s="1239"/>
      <c r="AL53" s="638"/>
      <c r="AM53" s="638" t="s">
        <v>1043</v>
      </c>
      <c r="AN53" s="455">
        <v>5.5</v>
      </c>
      <c r="AO53" s="1239"/>
      <c r="AP53" s="1239"/>
      <c r="AQ53" s="484"/>
      <c r="AR53" s="484"/>
      <c r="AS53" s="484"/>
      <c r="AT53" s="484">
        <f>+ab($T$53,$T$51,$T$55,$G$52,$G$54, 1*$F$53,1200)</f>
        <v>6.820891075690624</v>
      </c>
      <c r="AU53" s="638"/>
      <c r="AV53" s="638"/>
      <c r="AW53" s="638" t="str">
        <f>VLOOKUP(C53,'Foundation Calculation'!$A$2:$C$33,3,1)</f>
        <v>Soil B</v>
      </c>
      <c r="AX53" s="638" t="str">
        <f>VLOOKUP(C53,'Foundation Calculation'!$E$2:$G$33,3,1)</f>
        <v>PT</v>
      </c>
      <c r="AY53" s="484">
        <f>IF(AX53="PT",VLOOKUP(L53,'Foundation Calculation'!$K$2:$R$40,VLOOKUP(AW53,'Foundation Calculation'!$I$2:$J$8,2,FALSE),0),IF(AX53="K",VLOOKUP(L53,'Foundation Calculation'!$K$42:$R$80,VLOOKUP(AW53,'Foundation Calculation'!$I$2:$J$8,2,FALSE),0),""))</f>
        <v>3.5</v>
      </c>
      <c r="AZ53" s="484"/>
      <c r="BA53" s="671" t="s">
        <v>2809</v>
      </c>
      <c r="BB53" s="1239" t="str">
        <f>Pole_Calculations!A15</f>
        <v>App.7-V11A-P9.5.1.1</v>
      </c>
      <c r="BC53" s="169"/>
      <c r="BD53" s="1329"/>
      <c r="BE53" s="1329"/>
      <c r="BF53" s="1330"/>
      <c r="BG53" s="1329"/>
    </row>
    <row r="54" spans="1:59" ht="15.75" customHeight="1">
      <c r="A54" s="1239"/>
      <c r="B54" s="173"/>
      <c r="C54" s="446"/>
      <c r="D54" s="447"/>
      <c r="E54" s="447"/>
      <c r="F54" s="447"/>
      <c r="G54" s="484">
        <v>50</v>
      </c>
      <c r="H54" s="638"/>
      <c r="I54" s="447"/>
      <c r="J54" s="446"/>
      <c r="K54" s="638"/>
      <c r="L54" s="638"/>
      <c r="M54" s="638"/>
      <c r="N54" s="1239"/>
      <c r="O54" s="1239"/>
      <c r="P54" s="638"/>
      <c r="Q54" s="638"/>
      <c r="R54" s="638"/>
      <c r="S54" s="484"/>
      <c r="T54" s="638"/>
      <c r="U54" s="638"/>
      <c r="V54" s="638"/>
      <c r="W54" s="638"/>
      <c r="X54" s="638"/>
      <c r="Y54" s="638"/>
      <c r="Z54" s="638"/>
      <c r="AA54" s="638"/>
      <c r="AB54" s="638"/>
      <c r="AC54" s="638"/>
      <c r="AD54" s="638"/>
      <c r="AE54" s="638"/>
      <c r="AF54" s="638"/>
      <c r="AG54" s="446"/>
      <c r="AH54" s="638"/>
      <c r="AI54" s="185"/>
      <c r="AJ54" s="638"/>
      <c r="AK54" s="1239"/>
      <c r="AL54" s="638"/>
      <c r="AM54" s="638"/>
      <c r="AN54" s="455"/>
      <c r="AO54" s="1239"/>
      <c r="AP54" s="1239"/>
      <c r="AQ54" s="484">
        <f>+FL_2($T$55,$T$53,$G$54,1200,9.28, 1*$F$55)</f>
        <v>-0.36839079999999996</v>
      </c>
      <c r="AR54" s="484"/>
      <c r="AS54" s="484"/>
      <c r="AT54" s="484"/>
      <c r="AU54" s="638"/>
      <c r="AV54" s="638"/>
      <c r="AW54" s="638"/>
      <c r="AX54" s="638"/>
      <c r="AY54" s="484"/>
      <c r="AZ54" s="484"/>
      <c r="BA54" s="671"/>
      <c r="BB54" s="1239"/>
      <c r="BC54" s="169"/>
      <c r="BD54" s="1330"/>
      <c r="BE54" s="1330"/>
      <c r="BF54" s="1330"/>
      <c r="BG54" s="1330"/>
    </row>
    <row r="55" spans="1:59" ht="15.75" customHeight="1">
      <c r="A55" s="1239"/>
      <c r="B55" s="435" t="s">
        <v>3479</v>
      </c>
      <c r="C55" s="446">
        <f>+$C$53+$G$54</f>
        <v>80616.33</v>
      </c>
      <c r="D55" s="447"/>
      <c r="E55" s="447"/>
      <c r="F55" s="447">
        <v>0</v>
      </c>
      <c r="G55" s="484"/>
      <c r="H55" s="571"/>
      <c r="I55" s="447"/>
      <c r="J55" s="446"/>
      <c r="K55" s="638"/>
      <c r="L55" s="445" t="s">
        <v>818</v>
      </c>
      <c r="M55" s="638" t="str">
        <f>IF(AX55="PT",VLOOKUP(L55,'Foundation Calculation'!$V$2:$X$40,VLOOKUP(AX55,'Foundation Calculation'!$I$10:$J$13,2,FALSE),0),IF(AX55="K",VLOOKUP(L55,'Foundation Calculation'!$V$42:$X$80,VLOOKUP(AX55,'Foundation Calculation'!$I$10:$J$13,2,FALSE),0),""))</f>
        <v>C4R</v>
      </c>
      <c r="N55" s="1239" t="s">
        <v>143</v>
      </c>
      <c r="O55" s="1239"/>
      <c r="P55" s="638"/>
      <c r="Q55" s="638"/>
      <c r="R55" s="638"/>
      <c r="S55" s="484"/>
      <c r="T55" s="638">
        <v>-35</v>
      </c>
      <c r="U55" s="638"/>
      <c r="V55" s="638"/>
      <c r="W55" s="638">
        <v>1.4</v>
      </c>
      <c r="X55" s="638"/>
      <c r="Y55" s="638"/>
      <c r="Z55" s="638"/>
      <c r="AA55" s="638"/>
      <c r="AB55" s="638"/>
      <c r="AC55" s="638" t="str">
        <f t="shared" si="0"/>
        <v>PH-Q</v>
      </c>
      <c r="AD55" s="638"/>
      <c r="AE55" s="638"/>
      <c r="AF55" s="638"/>
      <c r="AG55" s="446"/>
      <c r="AH55" s="638"/>
      <c r="AI55" s="185"/>
      <c r="AJ55" s="445" t="s">
        <v>3516</v>
      </c>
      <c r="AK55" s="1239"/>
      <c r="AL55" s="638"/>
      <c r="AM55" s="638" t="s">
        <v>1043</v>
      </c>
      <c r="AN55" s="455">
        <v>5.5</v>
      </c>
      <c r="AO55" s="1239"/>
      <c r="AP55" s="1239"/>
      <c r="AQ55" s="484"/>
      <c r="AR55" s="484"/>
      <c r="AS55" s="484"/>
      <c r="AT55" s="484">
        <f>+ab($T$55,$T$53,$T$57,$G$54,$G$56, 1*$F$55,1200)</f>
        <v>-6.8209152065487553</v>
      </c>
      <c r="AU55" s="638"/>
      <c r="AV55" s="638"/>
      <c r="AW55" s="638" t="str">
        <f>VLOOKUP(C55,'Foundation Calculation'!$A$2:$C$33,3,1)</f>
        <v>Soil B</v>
      </c>
      <c r="AX55" s="638" t="str">
        <f>VLOOKUP(C55,'Foundation Calculation'!$E$2:$G$33,3,1)</f>
        <v>PT</v>
      </c>
      <c r="AY55" s="484">
        <f>IF(AX55="PT",VLOOKUP(L55,'Foundation Calculation'!$K$2:$R$40,VLOOKUP(AW55,'Foundation Calculation'!$I$2:$J$8,2,FALSE),0),IF(AX55="K",VLOOKUP(L55,'Foundation Calculation'!$K$42:$R$80,VLOOKUP(AW55,'Foundation Calculation'!$I$2:$J$8,2,FALSE),0),""))</f>
        <v>3.5</v>
      </c>
      <c r="AZ55" s="484"/>
      <c r="BA55" s="671" t="s">
        <v>2809</v>
      </c>
      <c r="BB55" s="1239" t="str">
        <f>Pole_Calculations!A15</f>
        <v>App.7-V11A-P9.5.1.1</v>
      </c>
      <c r="BC55" s="169"/>
      <c r="BD55" s="1329"/>
      <c r="BE55" s="1329"/>
      <c r="BF55" s="1330"/>
      <c r="BG55" s="1329"/>
    </row>
    <row r="56" spans="1:59" ht="15.75" customHeight="1">
      <c r="A56" s="1239"/>
      <c r="B56" s="173"/>
      <c r="C56" s="446"/>
      <c r="D56" s="447"/>
      <c r="E56" s="447"/>
      <c r="F56" s="447"/>
      <c r="G56" s="484">
        <v>50</v>
      </c>
      <c r="H56" s="1239"/>
      <c r="I56" s="448"/>
      <c r="J56" s="446"/>
      <c r="K56" s="638"/>
      <c r="L56" s="638"/>
      <c r="M56" s="638"/>
      <c r="N56" s="638"/>
      <c r="O56" s="1239"/>
      <c r="P56" s="638"/>
      <c r="Q56" s="638"/>
      <c r="R56" s="638"/>
      <c r="S56" s="484"/>
      <c r="T56" s="638"/>
      <c r="U56" s="638"/>
      <c r="V56" s="638"/>
      <c r="W56" s="638"/>
      <c r="X56" s="638"/>
      <c r="Y56" s="638"/>
      <c r="Z56" s="638"/>
      <c r="AA56" s="638"/>
      <c r="AB56" s="638"/>
      <c r="AC56" s="638"/>
      <c r="AD56" s="638"/>
      <c r="AE56" s="638"/>
      <c r="AF56" s="638"/>
      <c r="AG56" s="446"/>
      <c r="AH56" s="638"/>
      <c r="AI56" s="185"/>
      <c r="AJ56" s="638"/>
      <c r="AK56" s="1239"/>
      <c r="AL56" s="638"/>
      <c r="AM56" s="638"/>
      <c r="AN56" s="455"/>
      <c r="AO56" s="1239"/>
      <c r="AP56" s="1239"/>
      <c r="AQ56" s="484">
        <f>+FL_1($T$57,$T$55,$G$56,1200,9.28, 1*$F$57)</f>
        <v>0.36839079999999996</v>
      </c>
      <c r="AR56" s="484"/>
      <c r="AS56" s="484"/>
      <c r="AT56" s="484"/>
      <c r="AU56" s="638"/>
      <c r="AV56" s="638"/>
      <c r="AW56" s="638"/>
      <c r="AX56" s="638"/>
      <c r="AY56" s="484"/>
      <c r="AZ56" s="484"/>
      <c r="BA56" s="671"/>
      <c r="BB56" s="1239"/>
      <c r="BC56" s="169"/>
      <c r="BD56" s="1330"/>
      <c r="BE56" s="1330"/>
      <c r="BF56" s="1330"/>
      <c r="BG56" s="1330"/>
    </row>
    <row r="57" spans="1:59" ht="15.75" customHeight="1">
      <c r="A57" s="1239"/>
      <c r="B57" s="435" t="s">
        <v>3480</v>
      </c>
      <c r="C57" s="446">
        <f>+$C$55+$G$56</f>
        <v>80666.33</v>
      </c>
      <c r="D57" s="447"/>
      <c r="E57" s="447"/>
      <c r="F57" s="447">
        <v>0</v>
      </c>
      <c r="G57" s="484"/>
      <c r="H57" s="1239"/>
      <c r="I57" s="448"/>
      <c r="J57" s="446"/>
      <c r="K57" s="638"/>
      <c r="L57" s="445" t="s">
        <v>818</v>
      </c>
      <c r="M57" s="638" t="str">
        <f>IF(AX57="PT",VLOOKUP(L57,'Foundation Calculation'!$V$2:$X$40,VLOOKUP(AX57,'Foundation Calculation'!$I$10:$J$13,2,FALSE),0),IF(AX57="K",VLOOKUP(L57,'Foundation Calculation'!$V$42:$X$80,VLOOKUP(AX57,'Foundation Calculation'!$I$10:$J$13,2,FALSE),0),""))</f>
        <v>C4R</v>
      </c>
      <c r="N57" s="1239" t="s">
        <v>144</v>
      </c>
      <c r="O57" s="1239"/>
      <c r="P57" s="638"/>
      <c r="Q57" s="638"/>
      <c r="R57" s="638"/>
      <c r="S57" s="484"/>
      <c r="T57" s="638">
        <v>35</v>
      </c>
      <c r="U57" s="638"/>
      <c r="V57" s="638"/>
      <c r="W57" s="638">
        <v>1.4</v>
      </c>
      <c r="X57" s="638"/>
      <c r="Y57" s="638"/>
      <c r="Z57" s="638"/>
      <c r="AA57" s="638"/>
      <c r="AB57" s="638"/>
      <c r="AC57" s="638" t="str">
        <f t="shared" si="0"/>
        <v>PH-Q</v>
      </c>
      <c r="AD57" s="638"/>
      <c r="AE57" s="638"/>
      <c r="AF57" s="638"/>
      <c r="AG57" s="446"/>
      <c r="AH57" s="638"/>
      <c r="AI57" s="185"/>
      <c r="AJ57" s="445" t="s">
        <v>3516</v>
      </c>
      <c r="AK57" s="1239"/>
      <c r="AL57" s="638"/>
      <c r="AM57" s="638" t="s">
        <v>1043</v>
      </c>
      <c r="AN57" s="455">
        <v>5.5</v>
      </c>
      <c r="AO57" s="1239"/>
      <c r="AP57" s="1239"/>
      <c r="AQ57" s="484"/>
      <c r="AR57" s="484"/>
      <c r="AS57" s="484"/>
      <c r="AT57" s="484">
        <f>+ab($T$57,$T$55,$T$59,$G$56,$G$58, 1*$F$57,1200)</f>
        <v>7.1607216998953334</v>
      </c>
      <c r="AU57" s="638"/>
      <c r="AV57" s="638"/>
      <c r="AW57" s="638" t="str">
        <f>VLOOKUP(C57,'Foundation Calculation'!$A$2:$C$33,3,1)</f>
        <v>Soil B</v>
      </c>
      <c r="AX57" s="638" t="str">
        <f>VLOOKUP(C57,'Foundation Calculation'!$E$2:$G$33,3,1)</f>
        <v>PT</v>
      </c>
      <c r="AY57" s="484">
        <f>IF(AX57="PT",VLOOKUP(L57,'Foundation Calculation'!$K$2:$R$40,VLOOKUP(AW57,'Foundation Calculation'!$I$2:$J$8,2,FALSE),0),IF(AX57="K",VLOOKUP(L57,'Foundation Calculation'!$K$42:$R$80,VLOOKUP(AW57,'Foundation Calculation'!$I$2:$J$8,2,FALSE),0),""))</f>
        <v>3.5</v>
      </c>
      <c r="AZ57" s="484"/>
      <c r="BA57" s="671" t="s">
        <v>2809</v>
      </c>
      <c r="BB57" s="1239" t="str">
        <f>Pole_Calculations!A15</f>
        <v>App.7-V11A-P9.5.1.1</v>
      </c>
      <c r="BC57" s="169"/>
      <c r="BD57" s="1329"/>
      <c r="BE57" s="1329"/>
      <c r="BF57" s="1330"/>
      <c r="BG57" s="1329"/>
    </row>
    <row r="58" spans="1:59" ht="15.75" customHeight="1">
      <c r="A58" s="1239"/>
      <c r="B58" s="173"/>
      <c r="C58" s="446"/>
      <c r="D58" s="447"/>
      <c r="E58" s="447"/>
      <c r="F58" s="447"/>
      <c r="G58" s="484">
        <v>55.3</v>
      </c>
      <c r="H58" s="1239"/>
      <c r="I58" s="448"/>
      <c r="J58" s="446"/>
      <c r="K58" s="638"/>
      <c r="L58" s="638"/>
      <c r="M58" s="638"/>
      <c r="N58" s="1239"/>
      <c r="O58" s="1239"/>
      <c r="P58" s="638"/>
      <c r="Q58" s="638"/>
      <c r="R58" s="638"/>
      <c r="S58" s="484"/>
      <c r="T58" s="638"/>
      <c r="U58" s="638"/>
      <c r="V58" s="638"/>
      <c r="W58" s="638"/>
      <c r="X58" s="638"/>
      <c r="Y58" s="638"/>
      <c r="Z58" s="638"/>
      <c r="AA58" s="638"/>
      <c r="AB58" s="638"/>
      <c r="AC58" s="638"/>
      <c r="AD58" s="638"/>
      <c r="AE58" s="638"/>
      <c r="AF58" s="638"/>
      <c r="AG58" s="446"/>
      <c r="AH58" s="638"/>
      <c r="AI58" s="185"/>
      <c r="AJ58" s="445"/>
      <c r="AK58" s="1239"/>
      <c r="AL58" s="638"/>
      <c r="AM58" s="638"/>
      <c r="AN58" s="455"/>
      <c r="AO58" s="1239"/>
      <c r="AP58" s="1239"/>
      <c r="AQ58" s="484">
        <f>+FL_1($T$59,$T$57,$G$58,1200,9.28, 1*$F$59)</f>
        <v>0.39921282187341767</v>
      </c>
      <c r="AR58" s="484"/>
      <c r="AS58" s="484"/>
      <c r="AT58" s="484"/>
      <c r="AU58" s="638"/>
      <c r="AV58" s="638"/>
      <c r="AW58" s="638"/>
      <c r="AX58" s="638"/>
      <c r="AY58" s="484"/>
      <c r="AZ58" s="484"/>
      <c r="BA58" s="671"/>
      <c r="BB58" s="1239"/>
      <c r="BC58" s="169"/>
      <c r="BD58" s="1330"/>
      <c r="BE58" s="1330"/>
      <c r="BF58" s="1330"/>
      <c r="BG58" s="1330"/>
    </row>
    <row r="59" spans="1:59" ht="15.75" customHeight="1">
      <c r="A59" s="1239"/>
      <c r="B59" s="435" t="s">
        <v>3481</v>
      </c>
      <c r="C59" s="446">
        <f>+$C$57+$G$58</f>
        <v>80721.63</v>
      </c>
      <c r="D59" s="447"/>
      <c r="E59" s="447"/>
      <c r="F59" s="447">
        <v>0</v>
      </c>
      <c r="G59" s="484"/>
      <c r="H59" s="1239"/>
      <c r="I59" s="448"/>
      <c r="J59" s="446"/>
      <c r="K59" s="638"/>
      <c r="L59" s="445" t="s">
        <v>818</v>
      </c>
      <c r="M59" s="638" t="str">
        <f>IF(AX59="PT",VLOOKUP(L59,'Foundation Calculation'!$V$2:$X$40,VLOOKUP(AX59,'Foundation Calculation'!$I$10:$J$13,2,FALSE),0),IF(AX59="K",VLOOKUP(L59,'Foundation Calculation'!$V$42:$X$80,VLOOKUP(AX59,'Foundation Calculation'!$I$10:$J$13,2,FALSE),0),""))</f>
        <v>C4R</v>
      </c>
      <c r="N59" s="1239" t="s">
        <v>143</v>
      </c>
      <c r="O59" s="1239"/>
      <c r="P59" s="638"/>
      <c r="Q59" s="638"/>
      <c r="R59" s="638"/>
      <c r="S59" s="484"/>
      <c r="T59" s="638">
        <v>-35</v>
      </c>
      <c r="U59" s="638"/>
      <c r="V59" s="638"/>
      <c r="W59" s="638">
        <v>1.4</v>
      </c>
      <c r="X59" s="638"/>
      <c r="Y59" s="638"/>
      <c r="Z59" s="638"/>
      <c r="AA59" s="638"/>
      <c r="AB59" s="638"/>
      <c r="AC59" s="638" t="str">
        <f t="shared" si="0"/>
        <v>PH-Q</v>
      </c>
      <c r="AD59" s="638"/>
      <c r="AE59" s="638"/>
      <c r="AF59" s="638"/>
      <c r="AG59" s="446"/>
      <c r="AH59" s="638"/>
      <c r="AI59" s="185"/>
      <c r="AJ59" s="445" t="s">
        <v>3516</v>
      </c>
      <c r="AK59" s="1239"/>
      <c r="AL59" s="638"/>
      <c r="AM59" s="638" t="s">
        <v>1043</v>
      </c>
      <c r="AN59" s="455">
        <v>5.5</v>
      </c>
      <c r="AO59" s="1239"/>
      <c r="AP59" s="1239"/>
      <c r="AQ59" s="484"/>
      <c r="AR59" s="484"/>
      <c r="AS59" s="484"/>
      <c r="AT59" s="484">
        <f>+ab($T$59,$T$57,$T$61,$G$58,$G$60, 1*$F$59,1200)</f>
        <v>-7.8394644291836197</v>
      </c>
      <c r="AU59" s="638"/>
      <c r="AV59" s="638"/>
      <c r="AW59" s="638" t="str">
        <f>VLOOKUP(C59,'Foundation Calculation'!$A$2:$C$33,3,1)</f>
        <v>Soil B</v>
      </c>
      <c r="AX59" s="638" t="str">
        <f>VLOOKUP(C59,'Foundation Calculation'!$E$2:$G$33,3,1)</f>
        <v>PT</v>
      </c>
      <c r="AY59" s="484">
        <f>IF(AX59="PT",VLOOKUP(L59,'Foundation Calculation'!$K$2:$R$40,VLOOKUP(AW59,'Foundation Calculation'!$I$2:$J$8,2,FALSE),0),IF(AX59="K",VLOOKUP(L59,'Foundation Calculation'!$K$42:$R$80,VLOOKUP(AW59,'Foundation Calculation'!$I$2:$J$8,2,FALSE),0),""))</f>
        <v>3.5</v>
      </c>
      <c r="AZ59" s="484"/>
      <c r="BA59" s="671" t="s">
        <v>2809</v>
      </c>
      <c r="BB59" s="1239" t="str">
        <f>Pole_Calculations!A15</f>
        <v>App.7-V11A-P9.5.1.1</v>
      </c>
      <c r="BC59" s="169"/>
      <c r="BD59" s="1329"/>
      <c r="BE59" s="1329"/>
      <c r="BF59" s="1330"/>
      <c r="BG59" s="1329"/>
    </row>
    <row r="60" spans="1:59" ht="15.75" customHeight="1">
      <c r="A60" s="1239"/>
      <c r="B60" s="173"/>
      <c r="C60" s="446"/>
      <c r="D60" s="447"/>
      <c r="E60" s="447"/>
      <c r="F60" s="447"/>
      <c r="G60" s="484">
        <v>60</v>
      </c>
      <c r="H60" s="1239"/>
      <c r="I60" s="448"/>
      <c r="J60" s="446">
        <f>C61-7.5</f>
        <v>80774.13</v>
      </c>
      <c r="K60" s="638" t="s">
        <v>2787</v>
      </c>
      <c r="L60" s="638"/>
      <c r="M60" s="638"/>
      <c r="N60" s="638"/>
      <c r="O60" s="1239"/>
      <c r="P60" s="638"/>
      <c r="Q60" s="638"/>
      <c r="R60" s="638"/>
      <c r="S60" s="484"/>
      <c r="T60" s="638"/>
      <c r="U60" s="638"/>
      <c r="V60" s="638"/>
      <c r="W60" s="638"/>
      <c r="X60" s="638"/>
      <c r="Y60" s="638"/>
      <c r="Z60" s="638"/>
      <c r="AA60" s="638"/>
      <c r="AB60" s="638"/>
      <c r="AC60" s="638"/>
      <c r="AD60" s="638"/>
      <c r="AE60" s="638"/>
      <c r="AF60" s="638"/>
      <c r="AG60" s="446"/>
      <c r="AH60" s="638"/>
      <c r="AI60" s="185"/>
      <c r="AJ60" s="638"/>
      <c r="AK60" s="1239"/>
      <c r="AL60" s="638"/>
      <c r="AM60" s="638"/>
      <c r="AN60" s="455"/>
      <c r="AO60" s="1239"/>
      <c r="AP60" s="1239"/>
      <c r="AQ60" s="484">
        <f>+FL_1($T$61,$T$59,$G$60,1200,9.28, 1*$F$61)</f>
        <v>0.43600286799999999</v>
      </c>
      <c r="AR60" s="484"/>
      <c r="AS60" s="484"/>
      <c r="AT60" s="484"/>
      <c r="AU60" s="638"/>
      <c r="AV60" s="638"/>
      <c r="AW60" s="638" t="str">
        <f>VLOOKUP(J60,'Foundation Calculation'!$A$2:$C$33,3,1)</f>
        <v>Soil B</v>
      </c>
      <c r="AX60" s="638" t="str">
        <f>VLOOKUP(J60,'Foundation Calculation'!$E$2:$G$33,3,1)</f>
        <v>PT</v>
      </c>
      <c r="AY60" s="484"/>
      <c r="AZ60" s="484">
        <f>IF(AX60="PT",VLOOKUP(K60,'Foundation Calculation'!$K$2:$R$40,VLOOKUP(AW60,'Foundation Calculation'!$I$2:$J$8,2,FALSE),0),IF(AX60="K",VLOOKUP(K60,'Foundation Calculation'!$K$42:$R$80,VLOOKUP(AW60,'Foundation Calculation'!$I$2:$J$8,2,FALSE),0),""))</f>
        <v>3.9</v>
      </c>
      <c r="BA60" s="671" t="s">
        <v>2809</v>
      </c>
      <c r="BB60" s="1239"/>
      <c r="BC60" s="169"/>
      <c r="BD60" s="1329"/>
      <c r="BE60" s="1330"/>
      <c r="BF60" s="1330"/>
      <c r="BG60" s="1330"/>
    </row>
    <row r="61" spans="1:59" ht="15.75" customHeight="1">
      <c r="A61" s="1239"/>
      <c r="B61" s="435" t="s">
        <v>3482</v>
      </c>
      <c r="C61" s="446">
        <f>+$C$59+$G$60</f>
        <v>80781.63</v>
      </c>
      <c r="D61" s="447"/>
      <c r="E61" s="447"/>
      <c r="F61" s="447">
        <v>0</v>
      </c>
      <c r="G61" s="484"/>
      <c r="H61" s="638" t="s">
        <v>138</v>
      </c>
      <c r="I61" s="447" t="s">
        <v>623</v>
      </c>
      <c r="J61" s="446"/>
      <c r="K61" s="638"/>
      <c r="L61" s="638" t="s">
        <v>818</v>
      </c>
      <c r="M61" s="638" t="str">
        <f>IF(AX61="PT",VLOOKUP(L61,'Foundation Calculation'!$V$2:$X$40,VLOOKUP(AX61,'Foundation Calculation'!$I$10:$J$13,2,FALSE),0),IF(AX61="K",VLOOKUP(L61,'Foundation Calculation'!$V$42:$X$80,VLOOKUP(AX61,'Foundation Calculation'!$I$10:$J$13,2,FALSE),0),""))</f>
        <v>C4R</v>
      </c>
      <c r="N61" s="1239" t="s">
        <v>144</v>
      </c>
      <c r="O61" s="1239"/>
      <c r="P61" s="638"/>
      <c r="Q61" s="638"/>
      <c r="R61" s="638"/>
      <c r="S61" s="484"/>
      <c r="T61" s="638">
        <v>35</v>
      </c>
      <c r="U61" s="638"/>
      <c r="V61" s="638"/>
      <c r="W61" s="638">
        <v>1.4</v>
      </c>
      <c r="X61" s="638"/>
      <c r="Y61" s="638"/>
      <c r="Z61" s="638"/>
      <c r="AA61" s="638"/>
      <c r="AB61" s="638"/>
      <c r="AC61" s="638" t="str">
        <f t="shared" si="0"/>
        <v>PH</v>
      </c>
      <c r="AD61" s="638"/>
      <c r="AE61" s="638"/>
      <c r="AF61" s="638"/>
      <c r="AG61" s="446"/>
      <c r="AH61" s="638"/>
      <c r="AI61" s="185"/>
      <c r="AJ61" s="445" t="s">
        <v>3516</v>
      </c>
      <c r="AK61" s="1239"/>
      <c r="AL61" s="638"/>
      <c r="AM61" s="638" t="s">
        <v>1043</v>
      </c>
      <c r="AN61" s="455">
        <v>5.5</v>
      </c>
      <c r="AO61" s="1239"/>
      <c r="AP61" s="1239"/>
      <c r="AQ61" s="484"/>
      <c r="AR61" s="484"/>
      <c r="AS61" s="484"/>
      <c r="AT61" s="484">
        <f>+ab($T$61,$T$59,$T$63,$G$60,$G$62, 1*$F$61,1200)</f>
        <v>9.0929504054859329</v>
      </c>
      <c r="AU61" s="638"/>
      <c r="AV61" s="638"/>
      <c r="AW61" s="638" t="str">
        <f>VLOOKUP(C61,'Foundation Calculation'!$A$2:$C$33,3,1)</f>
        <v>Soil B</v>
      </c>
      <c r="AX61" s="638" t="str">
        <f>VLOOKUP(C61,'Foundation Calculation'!$E$2:$G$33,3,1)</f>
        <v>PT</v>
      </c>
      <c r="AY61" s="484">
        <f>IF(AX61="PT",VLOOKUP(L61,'Foundation Calculation'!$K$2:$R$40,VLOOKUP(AW61,'Foundation Calculation'!$I$2:$J$8,2,FALSE),0),IF(AX61="K",VLOOKUP(L61,'Foundation Calculation'!$K$42:$R$80,VLOOKUP(AW61,'Foundation Calculation'!$I$2:$J$8,2,FALSE),0),""))</f>
        <v>3.5</v>
      </c>
      <c r="AZ61" s="484"/>
      <c r="BA61" s="671" t="s">
        <v>2809</v>
      </c>
      <c r="BB61" s="1239" t="str">
        <f>Pole_Calculations!A20</f>
        <v>App.7-V11A-P9.5.1.6</v>
      </c>
      <c r="BC61" s="169"/>
      <c r="BD61" s="1329"/>
      <c r="BE61" s="1329"/>
      <c r="BF61" s="1330"/>
      <c r="BG61" s="1329"/>
    </row>
    <row r="62" spans="1:59" ht="15.75" customHeight="1">
      <c r="A62" s="1239"/>
      <c r="B62" s="173"/>
      <c r="C62" s="446"/>
      <c r="D62" s="173"/>
      <c r="E62" s="447"/>
      <c r="F62" s="447"/>
      <c r="G62" s="484">
        <v>54</v>
      </c>
      <c r="H62" s="1239"/>
      <c r="I62" s="448" t="s">
        <v>1471</v>
      </c>
      <c r="J62" s="171">
        <f>C63-7.5</f>
        <v>80828.13</v>
      </c>
      <c r="K62" s="1239" t="s">
        <v>2788</v>
      </c>
      <c r="L62" s="638"/>
      <c r="M62" s="638"/>
      <c r="N62" s="638"/>
      <c r="O62" s="1239"/>
      <c r="P62" s="1239"/>
      <c r="Q62" s="638"/>
      <c r="R62" s="638"/>
      <c r="S62" s="484"/>
      <c r="T62" s="638"/>
      <c r="U62" s="638"/>
      <c r="V62" s="638"/>
      <c r="W62" s="638"/>
      <c r="X62" s="638"/>
      <c r="Y62" s="638"/>
      <c r="Z62" s="638"/>
      <c r="AA62" s="638"/>
      <c r="AB62" s="638"/>
      <c r="AC62" s="638"/>
      <c r="AD62" s="638"/>
      <c r="AE62" s="638"/>
      <c r="AF62" s="638"/>
      <c r="AG62" s="446"/>
      <c r="AH62" s="638"/>
      <c r="AI62" s="638"/>
      <c r="AJ62" s="185"/>
      <c r="AK62" s="638"/>
      <c r="AL62" s="638"/>
      <c r="AM62" s="638"/>
      <c r="AN62" s="455"/>
      <c r="AO62" s="1239"/>
      <c r="AP62" s="1239"/>
      <c r="AQ62" s="484">
        <f>+FL_1($U$63,$T$61,$G$62,1200,9.28, 1*$F$63)</f>
        <v>0.39052552059259249</v>
      </c>
      <c r="AR62" s="484"/>
      <c r="AS62" s="484"/>
      <c r="AT62" s="484"/>
      <c r="AU62" s="638"/>
      <c r="AV62" s="638"/>
      <c r="AW62" s="638" t="str">
        <f>VLOOKUP(J62,'Foundation Calculation'!$A$2:$C$33,3,1)</f>
        <v>Soil B</v>
      </c>
      <c r="AX62" s="638" t="str">
        <f>VLOOKUP(J62,'Foundation Calculation'!$E$2:$G$33,3,1)</f>
        <v>PT</v>
      </c>
      <c r="AY62" s="484"/>
      <c r="AZ62" s="484">
        <f>IF(AX62="PT",VLOOKUP(K62,'Foundation Calculation'!$K$2:$R$40,VLOOKUP(AW62,'Foundation Calculation'!$I$2:$J$8,2,FALSE),0),IF(AX62="K",VLOOKUP(K62,'Foundation Calculation'!$K$42:$R$80,VLOOKUP(AW62,'Foundation Calculation'!$I$2:$J$8,2,FALSE),0),""))</f>
        <v>2.8</v>
      </c>
      <c r="BA62" s="671" t="s">
        <v>2809</v>
      </c>
      <c r="BB62" s="1239"/>
      <c r="BC62" s="169"/>
      <c r="BD62" s="1329"/>
      <c r="BE62" s="1330"/>
      <c r="BF62" s="1330"/>
      <c r="BG62" s="1330"/>
    </row>
    <row r="63" spans="1:59" ht="15.75" customHeight="1">
      <c r="A63" s="1239"/>
      <c r="B63" s="435" t="s">
        <v>3483</v>
      </c>
      <c r="C63" s="446">
        <f>+$C$61+$G$62</f>
        <v>80835.63</v>
      </c>
      <c r="D63" s="173"/>
      <c r="E63" s="447"/>
      <c r="F63" s="447">
        <v>0</v>
      </c>
      <c r="G63" s="484"/>
      <c r="H63" s="638" t="s">
        <v>619</v>
      </c>
      <c r="I63" s="447"/>
      <c r="J63" s="171"/>
      <c r="K63" s="638"/>
      <c r="L63" s="638" t="s">
        <v>1697</v>
      </c>
      <c r="M63" s="638" t="str">
        <f>IF(AX63="PT",VLOOKUP(L63,'Foundation Calculation'!$V$2:$X$40,VLOOKUP(AX63,'Foundation Calculation'!$I$10:$J$13,2,FALSE),0),IF(AX63="K",VLOOKUP(L63,'Foundation Calculation'!$V$42:$X$80,VLOOKUP(AX63,'Foundation Calculation'!$I$10:$J$13,2,FALSE),0),""))</f>
        <v>2C3R</v>
      </c>
      <c r="N63" s="1239" t="s">
        <v>140</v>
      </c>
      <c r="O63" s="1239" t="s">
        <v>143</v>
      </c>
      <c r="P63" s="1239"/>
      <c r="Q63" s="638"/>
      <c r="R63" s="638"/>
      <c r="S63" s="484"/>
      <c r="T63" s="638">
        <v>-15</v>
      </c>
      <c r="U63" s="638">
        <v>-35</v>
      </c>
      <c r="V63" s="638"/>
      <c r="W63" s="638">
        <v>1.4</v>
      </c>
      <c r="X63" s="638">
        <v>2.2999999999999998</v>
      </c>
      <c r="Y63" s="638"/>
      <c r="Z63" s="638">
        <v>0.45</v>
      </c>
      <c r="AA63" s="638"/>
      <c r="AB63" s="638"/>
      <c r="AC63" s="638"/>
      <c r="AD63" s="638"/>
      <c r="AE63" s="638"/>
      <c r="AF63" s="638"/>
      <c r="AG63" s="446"/>
      <c r="AH63" s="638"/>
      <c r="AI63" s="638"/>
      <c r="AJ63" s="445" t="s">
        <v>3516</v>
      </c>
      <c r="AK63" s="638"/>
      <c r="AL63" s="638"/>
      <c r="AM63" s="638" t="s">
        <v>1043</v>
      </c>
      <c r="AN63" s="455">
        <v>5.5</v>
      </c>
      <c r="AO63" s="1239"/>
      <c r="AP63" s="1239"/>
      <c r="AQ63" s="484"/>
      <c r="AR63" s="484"/>
      <c r="AS63" s="484"/>
      <c r="AT63" s="484">
        <f>+ab($U$63,$T$61,$U$65,$G$62,$G$64, 1*$F$63,1200)</f>
        <v>-8.5048139208493438</v>
      </c>
      <c r="AU63" s="638"/>
      <c r="AV63" s="638"/>
      <c r="AW63" s="638" t="str">
        <f>VLOOKUP(C63,'Foundation Calculation'!$A$2:$C$33,3,1)</f>
        <v>Soil B</v>
      </c>
      <c r="AX63" s="638" t="str">
        <f>VLOOKUP(C63,'Foundation Calculation'!$E$2:$G$33,3,1)</f>
        <v>PT</v>
      </c>
      <c r="AY63" s="484">
        <f>IF(AX63="PT",VLOOKUP(L63,'Foundation Calculation'!$K$2:$R$40,VLOOKUP(AW63,'Foundation Calculation'!$I$2:$J$8,2,FALSE),0),IF(AX63="K",VLOOKUP(L63,'Foundation Calculation'!$K$42:$R$80,VLOOKUP(AW63,'Foundation Calculation'!$I$2:$J$8,2,FALSE),0),""))</f>
        <v>3.5</v>
      </c>
      <c r="AZ63" s="484"/>
      <c r="BA63" s="671" t="s">
        <v>2809</v>
      </c>
      <c r="BB63" s="1239" t="str">
        <f>Pole_Calculations!A19</f>
        <v>App.7-V11A-P9.5.1.5</v>
      </c>
      <c r="BC63" s="169"/>
      <c r="BD63" s="1329"/>
      <c r="BE63" s="1329"/>
      <c r="BF63" s="1330"/>
      <c r="BG63" s="1329"/>
    </row>
    <row r="64" spans="1:59" ht="15.75" customHeight="1">
      <c r="A64" s="1239"/>
      <c r="B64" s="173"/>
      <c r="C64" s="446"/>
      <c r="D64" s="173"/>
      <c r="E64" s="447"/>
      <c r="F64" s="447"/>
      <c r="G64" s="484">
        <v>53</v>
      </c>
      <c r="H64" s="1239"/>
      <c r="I64" s="448" t="s">
        <v>1471</v>
      </c>
      <c r="J64" s="171">
        <f>C63+7.5</f>
        <v>80843.13</v>
      </c>
      <c r="K64" s="1239" t="s">
        <v>2788</v>
      </c>
      <c r="L64" s="638"/>
      <c r="M64" s="638"/>
      <c r="N64" s="638"/>
      <c r="O64" s="1239"/>
      <c r="P64" s="1239"/>
      <c r="Q64" s="638"/>
      <c r="R64" s="638"/>
      <c r="S64" s="484"/>
      <c r="T64" s="638"/>
      <c r="U64" s="638"/>
      <c r="V64" s="638"/>
      <c r="W64" s="638"/>
      <c r="X64" s="638"/>
      <c r="Y64" s="638"/>
      <c r="Z64" s="638"/>
      <c r="AA64" s="638"/>
      <c r="AB64" s="638"/>
      <c r="AC64" s="638"/>
      <c r="AD64" s="638"/>
      <c r="AE64" s="638"/>
      <c r="AF64" s="638"/>
      <c r="AG64" s="446"/>
      <c r="AH64" s="638"/>
      <c r="AI64" s="638"/>
      <c r="AJ64" s="185"/>
      <c r="AK64" s="638"/>
      <c r="AL64" s="638"/>
      <c r="AM64" s="638"/>
      <c r="AN64" s="455"/>
      <c r="AO64" s="1239"/>
      <c r="AP64" s="1239"/>
      <c r="AQ64" s="484">
        <f>+FL_2($T$65,$U$63,$G$64,1200,9.28, 1*$F$65)</f>
        <v>-0.38432069766037741</v>
      </c>
      <c r="AR64" s="484"/>
      <c r="AS64" s="484"/>
      <c r="AT64" s="484"/>
      <c r="AU64" s="638"/>
      <c r="AV64" s="638"/>
      <c r="AW64" s="638" t="str">
        <f>VLOOKUP(J64,'Foundation Calculation'!$A$2:$C$33,3,1)</f>
        <v>Soil B</v>
      </c>
      <c r="AX64" s="638" t="str">
        <f>VLOOKUP(J64,'Foundation Calculation'!$E$2:$G$33,3,1)</f>
        <v>PT</v>
      </c>
      <c r="AY64" s="484"/>
      <c r="AZ64" s="484">
        <f>IF(AX64="PT",VLOOKUP(K64,'Foundation Calculation'!$K$2:$R$40,VLOOKUP(AW64,'Foundation Calculation'!$I$2:$J$8,2,FALSE),0),IF(AX64="K",VLOOKUP(K64,'Foundation Calculation'!$K$42:$R$80,VLOOKUP(AW64,'Foundation Calculation'!$I$2:$J$8,2,FALSE),0),""))</f>
        <v>2.8</v>
      </c>
      <c r="BA64" s="671" t="s">
        <v>2809</v>
      </c>
      <c r="BB64" s="1239"/>
      <c r="BC64" s="169"/>
      <c r="BD64" s="1329"/>
      <c r="BE64" s="1330"/>
      <c r="BF64" s="1330"/>
      <c r="BG64" s="1330"/>
    </row>
    <row r="65" spans="1:59" ht="15.75" customHeight="1">
      <c r="A65" s="1239"/>
      <c r="B65" s="435" t="s">
        <v>3484</v>
      </c>
      <c r="C65" s="446">
        <f>+$C$63+$G$64</f>
        <v>80888.63</v>
      </c>
      <c r="D65" s="173"/>
      <c r="E65" s="447"/>
      <c r="F65" s="447">
        <v>0</v>
      </c>
      <c r="G65" s="484"/>
      <c r="H65" s="638" t="s">
        <v>619</v>
      </c>
      <c r="I65" s="447"/>
      <c r="J65" s="446"/>
      <c r="K65" s="638"/>
      <c r="L65" s="638" t="s">
        <v>1697</v>
      </c>
      <c r="M65" s="638" t="str">
        <f>IF(AX65="PT",VLOOKUP(L65,'Foundation Calculation'!$V$2:$X$40,VLOOKUP(AX65,'Foundation Calculation'!$I$10:$J$13,2,FALSE),0),IF(AX65="K",VLOOKUP(L65,'Foundation Calculation'!$V$42:$X$80,VLOOKUP(AX65,'Foundation Calculation'!$I$10:$J$13,2,FALSE),0),""))</f>
        <v>2C3R</v>
      </c>
      <c r="N65" s="1239" t="s">
        <v>144</v>
      </c>
      <c r="O65" s="1239" t="s">
        <v>140</v>
      </c>
      <c r="P65" s="1239"/>
      <c r="Q65" s="638"/>
      <c r="R65" s="638"/>
      <c r="S65" s="484"/>
      <c r="T65" s="638">
        <v>35</v>
      </c>
      <c r="U65" s="638">
        <v>15</v>
      </c>
      <c r="V65" s="638"/>
      <c r="W65" s="638">
        <v>1.4</v>
      </c>
      <c r="X65" s="638">
        <v>2.2999999999999998</v>
      </c>
      <c r="Y65" s="638"/>
      <c r="Z65" s="638"/>
      <c r="AA65" s="638">
        <v>0.45</v>
      </c>
      <c r="AB65" s="638"/>
      <c r="AC65" s="638" t="str">
        <f t="shared" si="0"/>
        <v>PH</v>
      </c>
      <c r="AD65" s="638"/>
      <c r="AE65" s="638"/>
      <c r="AF65" s="638"/>
      <c r="AG65" s="446"/>
      <c r="AH65" s="638"/>
      <c r="AI65" s="638"/>
      <c r="AJ65" s="445" t="s">
        <v>3516</v>
      </c>
      <c r="AK65" s="638"/>
      <c r="AL65" s="638"/>
      <c r="AM65" s="638" t="s">
        <v>1043</v>
      </c>
      <c r="AN65" s="455">
        <v>5.5</v>
      </c>
      <c r="AO65" s="1239"/>
      <c r="AP65" s="1239"/>
      <c r="AQ65" s="484"/>
      <c r="AR65" s="484"/>
      <c r="AS65" s="484"/>
      <c r="AT65" s="484">
        <f>+ab($T$65,$T$63,$T$67,$G$64,$G$66, 1*$F$65,1200)</f>
        <v>8.3221956767690664</v>
      </c>
      <c r="AU65" s="638"/>
      <c r="AV65" s="638"/>
      <c r="AW65" s="638" t="str">
        <f>VLOOKUP(C65,'Foundation Calculation'!$A$2:$C$33,3,1)</f>
        <v>Soil B</v>
      </c>
      <c r="AX65" s="638" t="str">
        <f>VLOOKUP(C65,'Foundation Calculation'!$E$2:$G$33,3,1)</f>
        <v>PT</v>
      </c>
      <c r="AY65" s="484">
        <f>IF(AX65="PT",VLOOKUP(L65,'Foundation Calculation'!$K$2:$R$40,VLOOKUP(AW65,'Foundation Calculation'!$I$2:$J$8,2,FALSE),0),IF(AX65="K",VLOOKUP(L65,'Foundation Calculation'!$K$42:$R$80,VLOOKUP(AW65,'Foundation Calculation'!$I$2:$J$8,2,FALSE),0),""))</f>
        <v>3.5</v>
      </c>
      <c r="AZ65" s="484"/>
      <c r="BA65" s="671" t="s">
        <v>2809</v>
      </c>
      <c r="BB65" s="1239" t="str">
        <f>Pole_Calculations!A19</f>
        <v>App.7-V11A-P9.5.1.5</v>
      </c>
      <c r="BC65" s="169"/>
      <c r="BD65" s="1329"/>
      <c r="BE65" s="1329"/>
      <c r="BF65" s="1330"/>
      <c r="BG65" s="1329"/>
    </row>
    <row r="66" spans="1:59" ht="15.75" customHeight="1">
      <c r="A66" s="1239"/>
      <c r="B66" s="173"/>
      <c r="C66" s="446"/>
      <c r="D66" s="173"/>
      <c r="E66" s="447"/>
      <c r="F66" s="447"/>
      <c r="G66" s="484">
        <v>52</v>
      </c>
      <c r="H66" s="638"/>
      <c r="I66" s="447"/>
      <c r="J66" s="446"/>
      <c r="K66" s="638"/>
      <c r="L66" s="638"/>
      <c r="M66" s="638"/>
      <c r="N66" s="1239"/>
      <c r="O66" s="1239"/>
      <c r="P66" s="1239"/>
      <c r="Q66" s="638"/>
      <c r="R66" s="638"/>
      <c r="S66" s="484"/>
      <c r="T66" s="638"/>
      <c r="U66" s="638"/>
      <c r="V66" s="638"/>
      <c r="W66" s="638"/>
      <c r="X66" s="638"/>
      <c r="Y66" s="638"/>
      <c r="Z66" s="638"/>
      <c r="AA66" s="638"/>
      <c r="AB66" s="638"/>
      <c r="AC66" s="638"/>
      <c r="AD66" s="638"/>
      <c r="AE66" s="638"/>
      <c r="AF66" s="638"/>
      <c r="AG66" s="446"/>
      <c r="AH66" s="638"/>
      <c r="AI66" s="638"/>
      <c r="AJ66" s="445"/>
      <c r="AK66" s="638"/>
      <c r="AL66" s="638"/>
      <c r="AM66" s="638"/>
      <c r="AN66" s="455"/>
      <c r="AO66" s="1239"/>
      <c r="AP66" s="1239"/>
      <c r="AQ66" s="484">
        <f>+FL_2($T$67,$T$65,$G$66,1200,9.28, 1*$F$67)</f>
        <v>-0.37855025261538461</v>
      </c>
      <c r="AR66" s="484"/>
      <c r="AS66" s="484"/>
      <c r="AT66" s="484"/>
      <c r="AU66" s="638"/>
      <c r="AV66" s="638"/>
      <c r="AW66" s="638"/>
      <c r="AX66" s="638"/>
      <c r="AY66" s="484"/>
      <c r="AZ66" s="484"/>
      <c r="BA66" s="671"/>
      <c r="BB66" s="1239"/>
      <c r="BC66" s="169"/>
      <c r="BD66" s="1330"/>
      <c r="BE66" s="1330"/>
      <c r="BF66" s="1330"/>
      <c r="BG66" s="1330"/>
    </row>
    <row r="67" spans="1:59" ht="15.75" customHeight="1">
      <c r="A67" s="1239"/>
      <c r="B67" s="435" t="s">
        <v>3485</v>
      </c>
      <c r="C67" s="446">
        <f>+$C$65+$G$66</f>
        <v>80940.63</v>
      </c>
      <c r="D67" s="173"/>
      <c r="E67" s="447"/>
      <c r="F67" s="447">
        <v>0</v>
      </c>
      <c r="G67" s="484"/>
      <c r="H67" s="638" t="s">
        <v>138</v>
      </c>
      <c r="I67" s="447" t="s">
        <v>623</v>
      </c>
      <c r="J67" s="446"/>
      <c r="K67" s="638"/>
      <c r="L67" s="638" t="s">
        <v>818</v>
      </c>
      <c r="M67" s="638" t="str">
        <f>IF(AX67="PT",VLOOKUP(L67,'Foundation Calculation'!$V$2:$X$40,VLOOKUP(AX67,'Foundation Calculation'!$I$10:$J$13,2,FALSE),0),IF(AX67="K",VLOOKUP(L67,'Foundation Calculation'!$V$42:$X$80,VLOOKUP(AX67,'Foundation Calculation'!$I$10:$J$13,2,FALSE),0),""))</f>
        <v>C4R</v>
      </c>
      <c r="N67" s="1239" t="s">
        <v>143</v>
      </c>
      <c r="O67" s="1239"/>
      <c r="P67" s="1239"/>
      <c r="Q67" s="638"/>
      <c r="R67" s="638"/>
      <c r="S67" s="484"/>
      <c r="T67" s="638">
        <v>-35</v>
      </c>
      <c r="U67" s="638"/>
      <c r="V67" s="638"/>
      <c r="W67" s="638">
        <v>1.4</v>
      </c>
      <c r="X67" s="638"/>
      <c r="Y67" s="638"/>
      <c r="Z67" s="638"/>
      <c r="AA67" s="638"/>
      <c r="AB67" s="638"/>
      <c r="AC67" s="638" t="str">
        <f t="shared" si="0"/>
        <v>PH-Q</v>
      </c>
      <c r="AD67" s="638"/>
      <c r="AE67" s="638"/>
      <c r="AF67" s="638"/>
      <c r="AG67" s="446"/>
      <c r="AH67" s="638"/>
      <c r="AI67" s="638"/>
      <c r="AJ67" s="445" t="s">
        <v>3516</v>
      </c>
      <c r="AK67" s="638"/>
      <c r="AL67" s="638"/>
      <c r="AM67" s="638" t="s">
        <v>1043</v>
      </c>
      <c r="AN67" s="455">
        <v>5.5</v>
      </c>
      <c r="AO67" s="1239"/>
      <c r="AP67" s="1239"/>
      <c r="AQ67" s="484"/>
      <c r="AR67" s="484"/>
      <c r="AS67" s="484"/>
      <c r="AT67" s="484">
        <f>+ab($T$67,$T$65,$T$69,$G$66,$G$68, 1*$F$67,1200)</f>
        <v>-7.2234210822070661</v>
      </c>
      <c r="AU67" s="638"/>
      <c r="AV67" s="638"/>
      <c r="AW67" s="638" t="str">
        <f>VLOOKUP(C67,'Foundation Calculation'!$A$2:$C$33,3,1)</f>
        <v>Soil B</v>
      </c>
      <c r="AX67" s="638" t="str">
        <f>VLOOKUP(C67,'Foundation Calculation'!$E$2:$G$33,3,1)</f>
        <v>PT</v>
      </c>
      <c r="AY67" s="484">
        <f>IF(AX67="PT",VLOOKUP(L67,'Foundation Calculation'!$K$2:$R$40,VLOOKUP(AW67,'Foundation Calculation'!$I$2:$J$8,2,FALSE),0),IF(AX67="K",VLOOKUP(L67,'Foundation Calculation'!$K$42:$R$80,VLOOKUP(AW67,'Foundation Calculation'!$I$2:$J$8,2,FALSE),0),""))</f>
        <v>3.5</v>
      </c>
      <c r="AZ67" s="484"/>
      <c r="BA67" s="671" t="s">
        <v>2809</v>
      </c>
      <c r="BB67" s="1239" t="str">
        <f>Pole_Calculations!A20</f>
        <v>App.7-V11A-P9.5.1.6</v>
      </c>
      <c r="BC67" s="169"/>
      <c r="BD67" s="1329"/>
      <c r="BE67" s="1329"/>
      <c r="BF67" s="1330"/>
      <c r="BG67" s="1329"/>
    </row>
    <row r="68" spans="1:59" ht="15.75" customHeight="1">
      <c r="A68" s="1239"/>
      <c r="B68" s="173"/>
      <c r="C68" s="446"/>
      <c r="D68" s="173"/>
      <c r="E68" s="447"/>
      <c r="F68" s="447"/>
      <c r="G68" s="484">
        <v>54</v>
      </c>
      <c r="H68" s="638"/>
      <c r="I68" s="447"/>
      <c r="J68" s="446">
        <f>C67+7.5</f>
        <v>80948.13</v>
      </c>
      <c r="K68" s="638" t="s">
        <v>2787</v>
      </c>
      <c r="L68" s="638"/>
      <c r="M68" s="638"/>
      <c r="N68" s="1239"/>
      <c r="O68" s="1239"/>
      <c r="P68" s="1239"/>
      <c r="Q68" s="638"/>
      <c r="R68" s="638"/>
      <c r="S68" s="484"/>
      <c r="T68" s="638"/>
      <c r="U68" s="638"/>
      <c r="V68" s="638"/>
      <c r="W68" s="638"/>
      <c r="X68" s="638"/>
      <c r="Y68" s="638"/>
      <c r="Z68" s="638"/>
      <c r="AA68" s="638"/>
      <c r="AB68" s="638"/>
      <c r="AC68" s="638"/>
      <c r="AD68" s="638"/>
      <c r="AE68" s="638"/>
      <c r="AF68" s="638"/>
      <c r="AG68" s="446"/>
      <c r="AH68" s="638"/>
      <c r="AI68" s="638"/>
      <c r="AJ68" s="185"/>
      <c r="AK68" s="638"/>
      <c r="AL68" s="638"/>
      <c r="AM68" s="638"/>
      <c r="AN68" s="455"/>
      <c r="AO68" s="1239"/>
      <c r="AP68" s="1239"/>
      <c r="AQ68" s="484">
        <f>+FL_2($T$69,$T$67,$G$68,1200,9.28, 1*$F$69)</f>
        <v>-0.39052552059259249</v>
      </c>
      <c r="AR68" s="484"/>
      <c r="AS68" s="484"/>
      <c r="AT68" s="484"/>
      <c r="AU68" s="638"/>
      <c r="AV68" s="638"/>
      <c r="AW68" s="638" t="str">
        <f>VLOOKUP(J68,'Foundation Calculation'!$A$2:$C$33,3,1)</f>
        <v>Soil B</v>
      </c>
      <c r="AX68" s="638" t="str">
        <f>VLOOKUP(J68,'Foundation Calculation'!$E$2:$G$33,3,1)</f>
        <v>PT</v>
      </c>
      <c r="AY68" s="484"/>
      <c r="AZ68" s="484">
        <f>IF(AX68="PT",VLOOKUP(K68,'Foundation Calculation'!$K$2:$R$40,VLOOKUP(AW68,'Foundation Calculation'!$I$2:$J$8,2,FALSE),0),IF(AX68="K",VLOOKUP(K68,'Foundation Calculation'!$K$42:$R$80,VLOOKUP(AW68,'Foundation Calculation'!$I$2:$J$8,2,FALSE),0),""))</f>
        <v>3.9</v>
      </c>
      <c r="BA68" s="671" t="s">
        <v>2809</v>
      </c>
      <c r="BB68" s="1239"/>
      <c r="BC68" s="169"/>
      <c r="BD68" s="1329"/>
      <c r="BE68" s="1330"/>
      <c r="BF68" s="1330"/>
      <c r="BG68" s="1330"/>
    </row>
    <row r="69" spans="1:59" ht="15.75" customHeight="1">
      <c r="A69" s="1239"/>
      <c r="B69" s="435" t="s">
        <v>3486</v>
      </c>
      <c r="C69" s="446">
        <f>+$C$67+$G$68</f>
        <v>80994.63</v>
      </c>
      <c r="D69" s="173"/>
      <c r="E69" s="447"/>
      <c r="F69" s="447">
        <v>0</v>
      </c>
      <c r="G69" s="484"/>
      <c r="H69" s="638"/>
      <c r="I69" s="447"/>
      <c r="J69" s="446"/>
      <c r="K69" s="638"/>
      <c r="L69" s="445" t="s">
        <v>818</v>
      </c>
      <c r="M69" s="638" t="str">
        <f>IF(AX69="PT",VLOOKUP(L69,'Foundation Calculation'!$V$2:$X$40,VLOOKUP(AX69,'Foundation Calculation'!$I$10:$J$13,2,FALSE),0),IF(AX69="K",VLOOKUP(L69,'Foundation Calculation'!$V$42:$X$80,VLOOKUP(AX69,'Foundation Calculation'!$I$10:$J$13,2,FALSE),0),""))</f>
        <v>C4R</v>
      </c>
      <c r="N69" s="1239" t="s">
        <v>144</v>
      </c>
      <c r="O69" s="1239"/>
      <c r="P69" s="1239"/>
      <c r="Q69" s="638"/>
      <c r="R69" s="638"/>
      <c r="S69" s="484"/>
      <c r="T69" s="638">
        <v>35</v>
      </c>
      <c r="U69" s="638"/>
      <c r="V69" s="638"/>
      <c r="W69" s="638">
        <v>1.4</v>
      </c>
      <c r="X69" s="638"/>
      <c r="Y69" s="638"/>
      <c r="Z69" s="638"/>
      <c r="AA69" s="638"/>
      <c r="AB69" s="638"/>
      <c r="AC69" s="638" t="str">
        <f t="shared" si="0"/>
        <v>PH-Q</v>
      </c>
      <c r="AD69" s="638"/>
      <c r="AE69" s="638"/>
      <c r="AF69" s="638"/>
      <c r="AG69" s="446"/>
      <c r="AH69" s="638"/>
      <c r="AI69" s="638"/>
      <c r="AJ69" s="445" t="s">
        <v>3516</v>
      </c>
      <c r="AK69" s="638"/>
      <c r="AL69" s="638"/>
      <c r="AM69" s="638" t="s">
        <v>1043</v>
      </c>
      <c r="AN69" s="455">
        <v>5.5</v>
      </c>
      <c r="AO69" s="1239"/>
      <c r="AP69" s="1239"/>
      <c r="AQ69" s="484"/>
      <c r="AR69" s="484"/>
      <c r="AS69" s="484"/>
      <c r="AT69" s="484">
        <f>+ab($T$69,$T$67,$T$71,$G$68,$G$70, 1*$F$69,1200)</f>
        <v>7.2789807181003736</v>
      </c>
      <c r="AU69" s="638"/>
      <c r="AV69" s="638"/>
      <c r="AW69" s="638" t="str">
        <f>VLOOKUP(C69,'Foundation Calculation'!$A$2:$C$33,3,1)</f>
        <v>Soil B</v>
      </c>
      <c r="AX69" s="638" t="str">
        <f>VLOOKUP(C69,'Foundation Calculation'!$E$2:$G$33,3,1)</f>
        <v>PT</v>
      </c>
      <c r="AY69" s="484">
        <f>IF(AX69="PT",VLOOKUP(L69,'Foundation Calculation'!$K$2:$R$40,VLOOKUP(AW69,'Foundation Calculation'!$I$2:$J$8,2,FALSE),0),IF(AX69="K",VLOOKUP(L69,'Foundation Calculation'!$K$42:$R$80,VLOOKUP(AW69,'Foundation Calculation'!$I$2:$J$8,2,FALSE),0),""))</f>
        <v>3.5</v>
      </c>
      <c r="AZ69" s="484"/>
      <c r="BA69" s="671" t="s">
        <v>2809</v>
      </c>
      <c r="BB69" s="1239" t="str">
        <f>Pole_Calculations!A15</f>
        <v>App.7-V11A-P9.5.1.1</v>
      </c>
      <c r="BC69" s="169"/>
      <c r="BD69" s="1329"/>
      <c r="BE69" s="1329"/>
      <c r="BF69" s="1330"/>
      <c r="BG69" s="1329"/>
    </row>
    <row r="70" spans="1:59" ht="15.75" customHeight="1">
      <c r="A70" s="1239"/>
      <c r="B70" s="173"/>
      <c r="C70" s="446"/>
      <c r="D70" s="173"/>
      <c r="E70" s="447"/>
      <c r="F70" s="447"/>
      <c r="G70" s="484">
        <v>52.8</v>
      </c>
      <c r="H70" s="638"/>
      <c r="I70" s="447"/>
      <c r="J70" s="446"/>
      <c r="K70" s="638"/>
      <c r="L70" s="638"/>
      <c r="M70" s="638"/>
      <c r="N70" s="638"/>
      <c r="O70" s="1239"/>
      <c r="P70" s="1239"/>
      <c r="Q70" s="638"/>
      <c r="R70" s="638"/>
      <c r="S70" s="484"/>
      <c r="T70" s="638"/>
      <c r="U70" s="638"/>
      <c r="V70" s="638"/>
      <c r="W70" s="638"/>
      <c r="X70" s="638"/>
      <c r="Y70" s="638"/>
      <c r="Z70" s="638"/>
      <c r="AA70" s="638"/>
      <c r="AB70" s="638"/>
      <c r="AC70" s="638"/>
      <c r="AD70" s="638"/>
      <c r="AE70" s="638"/>
      <c r="AF70" s="638"/>
      <c r="AG70" s="446"/>
      <c r="AH70" s="638"/>
      <c r="AI70" s="638"/>
      <c r="AJ70" s="185"/>
      <c r="AK70" s="638"/>
      <c r="AL70" s="638"/>
      <c r="AM70" s="638"/>
      <c r="AN70" s="455"/>
      <c r="AO70" s="1239"/>
      <c r="AP70" s="1239"/>
      <c r="AQ70" s="484">
        <f>+FL_2($T$71,$T$69,$G$70,1200,9.28, 1*$F$71)</f>
        <v>-0.3831312698181818</v>
      </c>
      <c r="AR70" s="484"/>
      <c r="AS70" s="484"/>
      <c r="AT70" s="484"/>
      <c r="AU70" s="638"/>
      <c r="AV70" s="638"/>
      <c r="AW70" s="638"/>
      <c r="AX70" s="638"/>
      <c r="AY70" s="484"/>
      <c r="AZ70" s="484"/>
      <c r="BA70" s="671"/>
      <c r="BB70" s="1239"/>
      <c r="BC70" s="169"/>
      <c r="BD70" s="1330"/>
      <c r="BE70" s="1330"/>
      <c r="BF70" s="1330"/>
      <c r="BG70" s="1330"/>
    </row>
    <row r="71" spans="1:59" ht="15.75" customHeight="1">
      <c r="A71" s="1239"/>
      <c r="B71" s="435" t="s">
        <v>3487</v>
      </c>
      <c r="C71" s="446">
        <f>+$C$69+$G$70</f>
        <v>81047.430000000008</v>
      </c>
      <c r="D71" s="173"/>
      <c r="E71" s="447"/>
      <c r="F71" s="447">
        <v>0</v>
      </c>
      <c r="G71" s="484"/>
      <c r="H71" s="638"/>
      <c r="I71" s="447"/>
      <c r="J71" s="446"/>
      <c r="K71" s="638"/>
      <c r="L71" s="445" t="s">
        <v>818</v>
      </c>
      <c r="M71" s="638" t="str">
        <f>IF(AX71="PT",VLOOKUP(L71,'Foundation Calculation'!$V$2:$X$40,VLOOKUP(AX71,'Foundation Calculation'!$I$10:$J$13,2,FALSE),0),IF(AX71="K",VLOOKUP(L71,'Foundation Calculation'!$V$42:$X$80,VLOOKUP(AX71,'Foundation Calculation'!$I$10:$J$13,2,FALSE),0),""))</f>
        <v>C4R</v>
      </c>
      <c r="N71" s="1239" t="s">
        <v>143</v>
      </c>
      <c r="O71" s="1239"/>
      <c r="P71" s="1239"/>
      <c r="Q71" s="638"/>
      <c r="R71" s="638"/>
      <c r="S71" s="484"/>
      <c r="T71" s="638">
        <v>-35</v>
      </c>
      <c r="U71" s="638"/>
      <c r="V71" s="638"/>
      <c r="W71" s="638">
        <v>1.4</v>
      </c>
      <c r="X71" s="638"/>
      <c r="Y71" s="638"/>
      <c r="Z71" s="638"/>
      <c r="AA71" s="638"/>
      <c r="AB71" s="638"/>
      <c r="AC71" s="638" t="str">
        <f t="shared" si="0"/>
        <v>PH-Q</v>
      </c>
      <c r="AD71" s="638"/>
      <c r="AE71" s="638"/>
      <c r="AF71" s="638"/>
      <c r="AG71" s="446"/>
      <c r="AH71" s="638"/>
      <c r="AI71" s="638"/>
      <c r="AJ71" s="445" t="s">
        <v>3516</v>
      </c>
      <c r="AK71" s="638"/>
      <c r="AL71" s="638"/>
      <c r="AM71" s="638" t="s">
        <v>1043</v>
      </c>
      <c r="AN71" s="455">
        <v>5.5</v>
      </c>
      <c r="AO71" s="1239"/>
      <c r="AP71" s="1239"/>
      <c r="AQ71" s="484"/>
      <c r="AR71" s="484"/>
      <c r="AS71" s="484"/>
      <c r="AT71" s="484">
        <f>+ab($T$71,$T$69,$T$73,$G$70,$G$72, 1*$F$71,1200)</f>
        <v>-6.7846241425712037</v>
      </c>
      <c r="AU71" s="638"/>
      <c r="AV71" s="638"/>
      <c r="AW71" s="638" t="str">
        <f>VLOOKUP(C71,'Foundation Calculation'!$A$2:$C$33,3,1)</f>
        <v>Soil B</v>
      </c>
      <c r="AX71" s="638" t="str">
        <f>VLOOKUP(C71,'Foundation Calculation'!$E$2:$G$33,3,1)</f>
        <v>PT</v>
      </c>
      <c r="AY71" s="484">
        <f>IF(AX71="PT",VLOOKUP(L71,'Foundation Calculation'!$K$2:$R$40,VLOOKUP(AW71,'Foundation Calculation'!$I$2:$J$8,2,FALSE),0),IF(AX71="K",VLOOKUP(L71,'Foundation Calculation'!$K$42:$R$80,VLOOKUP(AW71,'Foundation Calculation'!$I$2:$J$8,2,FALSE),0),""))</f>
        <v>3.5</v>
      </c>
      <c r="AZ71" s="484"/>
      <c r="BA71" s="671" t="s">
        <v>2809</v>
      </c>
      <c r="BB71" s="1239" t="str">
        <f>Pole_Calculations!A15</f>
        <v>App.7-V11A-P9.5.1.1</v>
      </c>
      <c r="BC71" s="169"/>
      <c r="BD71" s="1329"/>
      <c r="BE71" s="1329"/>
      <c r="BF71" s="1330"/>
      <c r="BG71" s="1329"/>
    </row>
    <row r="72" spans="1:59" ht="15.75" customHeight="1">
      <c r="A72" s="1239"/>
      <c r="B72" s="173"/>
      <c r="C72" s="446"/>
      <c r="D72" s="173"/>
      <c r="E72" s="447"/>
      <c r="F72" s="447"/>
      <c r="G72" s="484">
        <v>47</v>
      </c>
      <c r="H72" s="638"/>
      <c r="I72" s="447"/>
      <c r="J72" s="446"/>
      <c r="K72" s="638"/>
      <c r="L72" s="638"/>
      <c r="M72" s="638"/>
      <c r="N72" s="638"/>
      <c r="O72" s="1239"/>
      <c r="P72" s="1239"/>
      <c r="Q72" s="638"/>
      <c r="R72" s="638"/>
      <c r="S72" s="484"/>
      <c r="T72" s="638"/>
      <c r="U72" s="638"/>
      <c r="V72" s="638"/>
      <c r="W72" s="638"/>
      <c r="X72" s="638"/>
      <c r="Y72" s="638"/>
      <c r="Z72" s="638"/>
      <c r="AA72" s="638"/>
      <c r="AB72" s="638"/>
      <c r="AC72" s="638"/>
      <c r="AD72" s="638"/>
      <c r="AE72" s="638"/>
      <c r="AF72" s="638"/>
      <c r="AG72" s="446"/>
      <c r="AH72" s="638"/>
      <c r="AI72" s="638"/>
      <c r="AJ72" s="185"/>
      <c r="AK72" s="638"/>
      <c r="AL72" s="638"/>
      <c r="AM72" s="638"/>
      <c r="AN72" s="455"/>
      <c r="AO72" s="1239"/>
      <c r="AP72" s="1239"/>
      <c r="AQ72" s="484">
        <f>+FL_2($T$73,$T$71,$G$72,1200,9.28, 1*$F$73)</f>
        <v>-0.35695465849645375</v>
      </c>
      <c r="AR72" s="484"/>
      <c r="AS72" s="484"/>
      <c r="AT72" s="484"/>
      <c r="AU72" s="638"/>
      <c r="AV72" s="638"/>
      <c r="AW72" s="638"/>
      <c r="AX72" s="638"/>
      <c r="AY72" s="484"/>
      <c r="AZ72" s="484"/>
      <c r="BA72" s="671"/>
      <c r="BB72" s="1239"/>
      <c r="BC72" s="169"/>
      <c r="BD72" s="1330"/>
      <c r="BE72" s="1330"/>
      <c r="BF72" s="1330"/>
      <c r="BG72" s="1330"/>
    </row>
    <row r="73" spans="1:59" ht="15.75" customHeight="1">
      <c r="A73" s="1239"/>
      <c r="B73" s="435" t="s">
        <v>3488</v>
      </c>
      <c r="C73" s="446">
        <f>+$C$71+$G$72</f>
        <v>81094.430000000008</v>
      </c>
      <c r="D73" s="173"/>
      <c r="E73" s="447"/>
      <c r="F73" s="447">
        <v>0</v>
      </c>
      <c r="G73" s="484"/>
      <c r="H73" s="1239"/>
      <c r="I73" s="448"/>
      <c r="J73" s="171"/>
      <c r="K73" s="638"/>
      <c r="L73" s="445" t="s">
        <v>818</v>
      </c>
      <c r="M73" s="638" t="str">
        <f>IF(AX73="PT",VLOOKUP(L73,'Foundation Calculation'!$V$2:$X$40,VLOOKUP(AX73,'Foundation Calculation'!$I$10:$J$13,2,FALSE),0),IF(AX73="K",VLOOKUP(L73,'Foundation Calculation'!$V$42:$X$80,VLOOKUP(AX73,'Foundation Calculation'!$I$10:$J$13,2,FALSE),0),""))</f>
        <v>C4R</v>
      </c>
      <c r="N73" s="1239" t="s">
        <v>144</v>
      </c>
      <c r="O73" s="1239"/>
      <c r="P73" s="1239"/>
      <c r="Q73" s="638"/>
      <c r="R73" s="638"/>
      <c r="S73" s="484"/>
      <c r="T73" s="638">
        <v>35</v>
      </c>
      <c r="U73" s="638"/>
      <c r="V73" s="638"/>
      <c r="W73" s="638">
        <v>1.4</v>
      </c>
      <c r="X73" s="638"/>
      <c r="Y73" s="638"/>
      <c r="Z73" s="638"/>
      <c r="AA73" s="638"/>
      <c r="AB73" s="638"/>
      <c r="AC73" s="638" t="str">
        <f t="shared" si="0"/>
        <v>PH-Q</v>
      </c>
      <c r="AD73" s="638"/>
      <c r="AE73" s="638"/>
      <c r="AF73" s="638"/>
      <c r="AG73" s="446"/>
      <c r="AH73" s="638"/>
      <c r="AI73" s="638"/>
      <c r="AJ73" s="445" t="s">
        <v>3516</v>
      </c>
      <c r="AK73" s="638"/>
      <c r="AL73" s="638"/>
      <c r="AM73" s="638" t="s">
        <v>1043</v>
      </c>
      <c r="AN73" s="455">
        <v>5.5</v>
      </c>
      <c r="AO73" s="1239"/>
      <c r="AP73" s="1239"/>
      <c r="AQ73" s="484"/>
      <c r="AR73" s="484"/>
      <c r="AS73" s="484"/>
      <c r="AT73" s="484">
        <f>+ab($T$73,$T$71,$T$75,$G$72,$G$74, 1*$F$73,1200)</f>
        <v>6.4151580778988491</v>
      </c>
      <c r="AU73" s="638"/>
      <c r="AV73" s="638"/>
      <c r="AW73" s="638" t="str">
        <f>VLOOKUP(C73,'Foundation Calculation'!$A$2:$C$33,3,1)</f>
        <v>Soil B</v>
      </c>
      <c r="AX73" s="638" t="str">
        <f>VLOOKUP(C73,'Foundation Calculation'!$E$2:$G$33,3,1)</f>
        <v>PT</v>
      </c>
      <c r="AY73" s="484">
        <f>IF(AX73="PT",VLOOKUP(L73,'Foundation Calculation'!$K$2:$R$40,VLOOKUP(AW73,'Foundation Calculation'!$I$2:$J$8,2,FALSE),0),IF(AX73="K",VLOOKUP(L73,'Foundation Calculation'!$K$42:$R$80,VLOOKUP(AW73,'Foundation Calculation'!$I$2:$J$8,2,FALSE),0),""))</f>
        <v>3.5</v>
      </c>
      <c r="AZ73" s="484"/>
      <c r="BA73" s="671" t="s">
        <v>2809</v>
      </c>
      <c r="BB73" s="1239" t="str">
        <f>Pole_Calculations!A15</f>
        <v>App.7-V11A-P9.5.1.1</v>
      </c>
      <c r="BC73" s="169"/>
      <c r="BD73" s="1329"/>
      <c r="BE73" s="1329"/>
      <c r="BF73" s="1330"/>
      <c r="BG73" s="1329"/>
    </row>
    <row r="74" spans="1:59" ht="15.75" customHeight="1">
      <c r="A74" s="1239"/>
      <c r="B74" s="173"/>
      <c r="C74" s="446"/>
      <c r="D74" s="173"/>
      <c r="E74" s="447"/>
      <c r="F74" s="447"/>
      <c r="G74" s="484">
        <v>47</v>
      </c>
      <c r="H74" s="1239"/>
      <c r="I74" s="448"/>
      <c r="J74" s="171"/>
      <c r="K74" s="638"/>
      <c r="L74" s="638"/>
      <c r="M74" s="638"/>
      <c r="N74" s="1239"/>
      <c r="O74" s="1239"/>
      <c r="P74" s="1239"/>
      <c r="Q74" s="638"/>
      <c r="R74" s="638"/>
      <c r="S74" s="484"/>
      <c r="T74" s="638"/>
      <c r="U74" s="638"/>
      <c r="V74" s="638"/>
      <c r="W74" s="638"/>
      <c r="X74" s="638"/>
      <c r="Y74" s="638"/>
      <c r="Z74" s="638"/>
      <c r="AA74" s="638"/>
      <c r="AB74" s="638"/>
      <c r="AC74" s="638"/>
      <c r="AD74" s="638"/>
      <c r="AE74" s="638"/>
      <c r="AF74" s="638"/>
      <c r="AG74" s="446"/>
      <c r="AH74" s="638"/>
      <c r="AI74" s="638"/>
      <c r="AJ74" s="185"/>
      <c r="AK74" s="638"/>
      <c r="AL74" s="638"/>
      <c r="AM74" s="638"/>
      <c r="AN74" s="455"/>
      <c r="AO74" s="1239"/>
      <c r="AP74" s="1239"/>
      <c r="AQ74" s="484">
        <f>+FL_1($T$75,$T$73,$G$74,1200,9.28, 1*$F$75)</f>
        <v>0.35695465849645375</v>
      </c>
      <c r="AR74" s="484"/>
      <c r="AS74" s="484"/>
      <c r="AT74" s="484"/>
      <c r="AU74" s="638"/>
      <c r="AV74" s="638"/>
      <c r="AW74" s="638"/>
      <c r="AX74" s="638"/>
      <c r="AY74" s="484"/>
      <c r="AZ74" s="484"/>
      <c r="BA74" s="671"/>
      <c r="BB74" s="1239"/>
      <c r="BC74" s="169"/>
      <c r="BD74" s="1330"/>
      <c r="BE74" s="1330"/>
      <c r="BF74" s="1330"/>
      <c r="BG74" s="1330"/>
    </row>
    <row r="75" spans="1:59" ht="15.75" customHeight="1">
      <c r="A75" s="1239"/>
      <c r="B75" s="435" t="s">
        <v>3489</v>
      </c>
      <c r="C75" s="446">
        <f>+$C$73+$G$74</f>
        <v>81141.430000000008</v>
      </c>
      <c r="D75" s="173"/>
      <c r="E75" s="447"/>
      <c r="F75" s="447">
        <v>0</v>
      </c>
      <c r="G75" s="484"/>
      <c r="H75" s="1239"/>
      <c r="I75" s="448"/>
      <c r="J75" s="171"/>
      <c r="K75" s="638"/>
      <c r="L75" s="445" t="s">
        <v>818</v>
      </c>
      <c r="M75" s="638" t="str">
        <f>IF(AX75="PT",VLOOKUP(L75,'Foundation Calculation'!$V$2:$X$40,VLOOKUP(AX75,'Foundation Calculation'!$I$10:$J$13,2,FALSE),0),IF(AX75="K",VLOOKUP(L75,'Foundation Calculation'!$V$42:$X$80,VLOOKUP(AX75,'Foundation Calculation'!$I$10:$J$13,2,FALSE),0),""))</f>
        <v>C4R</v>
      </c>
      <c r="N75" s="1239" t="s">
        <v>143</v>
      </c>
      <c r="O75" s="1239"/>
      <c r="P75" s="1239"/>
      <c r="Q75" s="638"/>
      <c r="R75" s="638"/>
      <c r="S75" s="484"/>
      <c r="T75" s="638">
        <v>-35</v>
      </c>
      <c r="U75" s="638"/>
      <c r="V75" s="638"/>
      <c r="W75" s="638">
        <v>1.4</v>
      </c>
      <c r="X75" s="638"/>
      <c r="Y75" s="638"/>
      <c r="Z75" s="638"/>
      <c r="AA75" s="638"/>
      <c r="AB75" s="638"/>
      <c r="AC75" s="638" t="str">
        <f t="shared" si="0"/>
        <v>PH-Q</v>
      </c>
      <c r="AD75" s="638"/>
      <c r="AE75" s="638"/>
      <c r="AF75" s="638"/>
      <c r="AG75" s="446"/>
      <c r="AH75" s="638"/>
      <c r="AI75" s="638"/>
      <c r="AJ75" s="445" t="s">
        <v>3516</v>
      </c>
      <c r="AK75" s="638"/>
      <c r="AL75" s="638"/>
      <c r="AM75" s="638" t="s">
        <v>1043</v>
      </c>
      <c r="AN75" s="455">
        <v>5.5</v>
      </c>
      <c r="AO75" s="1239"/>
      <c r="AP75" s="1239"/>
      <c r="AQ75" s="484"/>
      <c r="AR75" s="484"/>
      <c r="AS75" s="484"/>
      <c r="AT75" s="484">
        <f>+ab($T$75,$T$73,$T$77,$G$74,$G$76, 1*$F$75,1200)</f>
        <v>-6.4151781535653143</v>
      </c>
      <c r="AU75" s="638"/>
      <c r="AV75" s="638"/>
      <c r="AW75" s="638" t="str">
        <f>VLOOKUP(C75,'Foundation Calculation'!$A$2:$C$33,3,1)</f>
        <v>Soil B</v>
      </c>
      <c r="AX75" s="638" t="str">
        <f>VLOOKUP(C75,'Foundation Calculation'!$E$2:$G$33,3,1)</f>
        <v>PT</v>
      </c>
      <c r="AY75" s="484">
        <f>IF(AX75="PT",VLOOKUP(L75,'Foundation Calculation'!$K$2:$R$40,VLOOKUP(AW75,'Foundation Calculation'!$I$2:$J$8,2,FALSE),0),IF(AX75="K",VLOOKUP(L75,'Foundation Calculation'!$K$42:$R$80,VLOOKUP(AW75,'Foundation Calculation'!$I$2:$J$8,2,FALSE),0),""))</f>
        <v>3.5</v>
      </c>
      <c r="AZ75" s="484"/>
      <c r="BA75" s="671" t="s">
        <v>2809</v>
      </c>
      <c r="BB75" s="1239" t="str">
        <f>Pole_Calculations!A15</f>
        <v>App.7-V11A-P9.5.1.1</v>
      </c>
      <c r="BC75" s="169"/>
      <c r="BD75" s="1329"/>
      <c r="BE75" s="1329"/>
      <c r="BF75" s="1330"/>
      <c r="BG75" s="1329"/>
    </row>
    <row r="76" spans="1:59" ht="15.75" customHeight="1">
      <c r="A76" s="1239"/>
      <c r="B76" s="173"/>
      <c r="C76" s="446"/>
      <c r="D76" s="173"/>
      <c r="E76" s="447"/>
      <c r="F76" s="447"/>
      <c r="G76" s="484">
        <v>47</v>
      </c>
      <c r="H76" s="1239"/>
      <c r="I76" s="448"/>
      <c r="J76" s="171"/>
      <c r="K76" s="638"/>
      <c r="L76" s="638"/>
      <c r="M76" s="638"/>
      <c r="N76" s="1239"/>
      <c r="O76" s="1239"/>
      <c r="P76" s="1239"/>
      <c r="Q76" s="638"/>
      <c r="R76" s="638"/>
      <c r="S76" s="484"/>
      <c r="T76" s="638"/>
      <c r="U76" s="638"/>
      <c r="V76" s="638"/>
      <c r="W76" s="638"/>
      <c r="X76" s="638"/>
      <c r="Y76" s="638"/>
      <c r="Z76" s="638"/>
      <c r="AA76" s="638"/>
      <c r="AB76" s="638"/>
      <c r="AC76" s="638"/>
      <c r="AD76" s="638"/>
      <c r="AE76" s="638"/>
      <c r="AF76" s="638"/>
      <c r="AG76" s="446"/>
      <c r="AH76" s="638"/>
      <c r="AI76" s="638"/>
      <c r="AJ76" s="638"/>
      <c r="AK76" s="638"/>
      <c r="AL76" s="638"/>
      <c r="AM76" s="638"/>
      <c r="AN76" s="455"/>
      <c r="AO76" s="1239"/>
      <c r="AP76" s="1239"/>
      <c r="AQ76" s="484">
        <f>+FL_2($T$77,$T$75,$G$76,1200,9.28, 1*$F$77)</f>
        <v>-0.3666559493483818</v>
      </c>
      <c r="AR76" s="484"/>
      <c r="AS76" s="484"/>
      <c r="AT76" s="484"/>
      <c r="AU76" s="638"/>
      <c r="AV76" s="638"/>
      <c r="AW76" s="638"/>
      <c r="AX76" s="638"/>
      <c r="AY76" s="484"/>
      <c r="AZ76" s="484"/>
      <c r="BA76" s="671"/>
      <c r="BB76" s="1239"/>
      <c r="BC76" s="169"/>
      <c r="BD76" s="1330"/>
      <c r="BE76" s="1330"/>
      <c r="BF76" s="1330"/>
      <c r="BG76" s="1330"/>
    </row>
    <row r="77" spans="1:59" ht="15.75" customHeight="1">
      <c r="A77" s="1239"/>
      <c r="B77" s="435" t="s">
        <v>3490</v>
      </c>
      <c r="C77" s="446">
        <f>+$C$75+$G$76</f>
        <v>81188.430000000008</v>
      </c>
      <c r="D77" s="173"/>
      <c r="E77" s="447"/>
      <c r="F77" s="448">
        <f>(693^2)/(C77-81145.96)</f>
        <v>11307.958558982502</v>
      </c>
      <c r="G77" s="484"/>
      <c r="H77" s="1239"/>
      <c r="I77" s="448"/>
      <c r="J77" s="171"/>
      <c r="K77" s="638"/>
      <c r="L77" s="445" t="s">
        <v>818</v>
      </c>
      <c r="M77" s="638" t="str">
        <f>IF(AX77="PT",VLOOKUP(L77,'Foundation Calculation'!$V$2:$X$40,VLOOKUP(AX77,'Foundation Calculation'!$I$10:$J$13,2,FALSE),0),IF(AX77="K",VLOOKUP(L77,'Foundation Calculation'!$V$42:$X$80,VLOOKUP(AX77,'Foundation Calculation'!$I$10:$J$13,2,FALSE),0),""))</f>
        <v>C4R</v>
      </c>
      <c r="N77" s="1239" t="s">
        <v>144</v>
      </c>
      <c r="O77" s="1239"/>
      <c r="P77" s="1239"/>
      <c r="Q77" s="638"/>
      <c r="R77" s="638"/>
      <c r="S77" s="484"/>
      <c r="T77" s="638">
        <v>35</v>
      </c>
      <c r="U77" s="638"/>
      <c r="V77" s="638"/>
      <c r="W77" s="638">
        <v>1.4</v>
      </c>
      <c r="X77" s="638"/>
      <c r="Y77" s="638"/>
      <c r="Z77" s="638"/>
      <c r="AA77" s="638"/>
      <c r="AB77" s="638"/>
      <c r="AC77" s="638" t="str">
        <f t="shared" si="0"/>
        <v>PH</v>
      </c>
      <c r="AD77" s="638"/>
      <c r="AE77" s="638"/>
      <c r="AF77" s="638"/>
      <c r="AG77" s="446"/>
      <c r="AH77" s="638"/>
      <c r="AI77" s="638"/>
      <c r="AJ77" s="445" t="s">
        <v>3516</v>
      </c>
      <c r="AK77" s="638"/>
      <c r="AL77" s="638"/>
      <c r="AM77" s="638" t="s">
        <v>1043</v>
      </c>
      <c r="AN77" s="455">
        <v>5.5</v>
      </c>
      <c r="AO77" s="1239"/>
      <c r="AP77" s="1239"/>
      <c r="AQ77" s="484"/>
      <c r="AR77" s="484"/>
      <c r="AS77" s="484"/>
      <c r="AT77" s="484">
        <f>+ab($T$77,$T$75,$T$79,$G$76,$G$78, 1*$F$77,1200)</f>
        <v>8.5633588535522875</v>
      </c>
      <c r="AU77" s="638"/>
      <c r="AV77" s="638"/>
      <c r="AW77" s="638" t="str">
        <f>VLOOKUP(C77,'Foundation Calculation'!$A$2:$C$33,3,1)</f>
        <v>Soil B</v>
      </c>
      <c r="AX77" s="638" t="str">
        <f>VLOOKUP(C77,'Foundation Calculation'!$E$2:$G$33,3,1)</f>
        <v>PT</v>
      </c>
      <c r="AY77" s="484">
        <f>IF(AX77="PT",VLOOKUP(L77,'Foundation Calculation'!$K$2:$R$40,VLOOKUP(AW77,'Foundation Calculation'!$I$2:$J$8,2,FALSE),0),IF(AX77="K",VLOOKUP(L77,'Foundation Calculation'!$K$42:$R$80,VLOOKUP(AW77,'Foundation Calculation'!$I$2:$J$8,2,FALSE),0),""))</f>
        <v>3.5</v>
      </c>
      <c r="AZ77" s="484"/>
      <c r="BA77" s="671" t="s">
        <v>2809</v>
      </c>
      <c r="BB77" s="1239" t="str">
        <f>Pole_Calculations!A15</f>
        <v>App.7-V11A-P9.5.1.1</v>
      </c>
      <c r="BC77" s="169"/>
      <c r="BD77" s="1329"/>
      <c r="BE77" s="1329"/>
      <c r="BF77" s="1330"/>
      <c r="BG77" s="1329"/>
    </row>
    <row r="78" spans="1:59" ht="15.75" customHeight="1">
      <c r="A78" s="1239"/>
      <c r="B78" s="173"/>
      <c r="C78" s="446"/>
      <c r="D78" s="173"/>
      <c r="E78" s="447"/>
      <c r="F78" s="447"/>
      <c r="G78" s="484">
        <v>47</v>
      </c>
      <c r="H78" s="1239"/>
      <c r="I78" s="448"/>
      <c r="J78" s="171"/>
      <c r="K78" s="638"/>
      <c r="L78" s="638"/>
      <c r="M78" s="638"/>
      <c r="N78" s="638"/>
      <c r="O78" s="1239"/>
      <c r="P78" s="1239"/>
      <c r="Q78" s="638"/>
      <c r="R78" s="638"/>
      <c r="S78" s="484"/>
      <c r="T78" s="638"/>
      <c r="U78" s="638"/>
      <c r="V78" s="638"/>
      <c r="W78" s="638"/>
      <c r="X78" s="638"/>
      <c r="Y78" s="638"/>
      <c r="Z78" s="638"/>
      <c r="AA78" s="638"/>
      <c r="AB78" s="638"/>
      <c r="AC78" s="638"/>
      <c r="AD78" s="638"/>
      <c r="AE78" s="638"/>
      <c r="AF78" s="638"/>
      <c r="AG78" s="446"/>
      <c r="AH78" s="638"/>
      <c r="AI78" s="638"/>
      <c r="AJ78" s="638"/>
      <c r="AK78" s="638"/>
      <c r="AL78" s="638"/>
      <c r="AM78" s="638"/>
      <c r="AN78" s="455"/>
      <c r="AO78" s="1239"/>
      <c r="AP78" s="1239"/>
      <c r="AQ78" s="484">
        <f>+FL_1($T$79,$T$77,$G$78,1200,9.28, 1*$F$79)</f>
        <v>0.44577005718954166</v>
      </c>
      <c r="AR78" s="484"/>
      <c r="AS78" s="484"/>
      <c r="AT78" s="484"/>
      <c r="AU78" s="638"/>
      <c r="AV78" s="638"/>
      <c r="AW78" s="638"/>
      <c r="AX78" s="638"/>
      <c r="AY78" s="484"/>
      <c r="AZ78" s="484"/>
      <c r="BA78" s="671"/>
      <c r="BB78" s="1239"/>
      <c r="BC78" s="169"/>
      <c r="BD78" s="1330"/>
      <c r="BE78" s="1330"/>
      <c r="BF78" s="1330"/>
      <c r="BG78" s="1330"/>
    </row>
    <row r="79" spans="1:59" ht="15.75" customHeight="1">
      <c r="A79" s="1239"/>
      <c r="B79" s="435" t="s">
        <v>3491</v>
      </c>
      <c r="C79" s="446">
        <f>+$C$77+$G$78</f>
        <v>81235.430000000008</v>
      </c>
      <c r="D79" s="173"/>
      <c r="E79" s="447"/>
      <c r="F79" s="448">
        <f>(693^2)/(C79-81145.96)</f>
        <v>5367.7098468759777</v>
      </c>
      <c r="G79" s="484"/>
      <c r="H79" s="1239"/>
      <c r="I79" s="448"/>
      <c r="J79" s="171"/>
      <c r="K79" s="638"/>
      <c r="L79" s="445" t="s">
        <v>818</v>
      </c>
      <c r="M79" s="638" t="str">
        <f>IF(AX79="PT",VLOOKUP(L79,'Foundation Calculation'!$V$2:$X$40,VLOOKUP(AX79,'Foundation Calculation'!$I$10:$J$13,2,FALSE),0),IF(AX79="K",VLOOKUP(L79,'Foundation Calculation'!$V$42:$X$80,VLOOKUP(AX79,'Foundation Calculation'!$I$10:$J$13,2,FALSE),0),""))</f>
        <v>C4R</v>
      </c>
      <c r="N79" s="1239" t="s">
        <v>144</v>
      </c>
      <c r="O79" s="1239"/>
      <c r="P79" s="1239"/>
      <c r="Q79" s="638"/>
      <c r="R79" s="638"/>
      <c r="S79" s="484"/>
      <c r="T79" s="638">
        <v>20</v>
      </c>
      <c r="U79" s="638"/>
      <c r="V79" s="638"/>
      <c r="W79" s="638">
        <v>1.4</v>
      </c>
      <c r="X79" s="638"/>
      <c r="Y79" s="638"/>
      <c r="Z79" s="638"/>
      <c r="AA79" s="638"/>
      <c r="AB79" s="638"/>
      <c r="AC79" s="638" t="str">
        <f t="shared" si="0"/>
        <v>PH</v>
      </c>
      <c r="AD79" s="638"/>
      <c r="AE79" s="638"/>
      <c r="AF79" s="638"/>
      <c r="AG79" s="446"/>
      <c r="AH79" s="638"/>
      <c r="AI79" s="638"/>
      <c r="AJ79" s="445" t="s">
        <v>3516</v>
      </c>
      <c r="AK79" s="638"/>
      <c r="AL79" s="638"/>
      <c r="AM79" s="638" t="s">
        <v>1043</v>
      </c>
      <c r="AN79" s="455">
        <v>5.5</v>
      </c>
      <c r="AO79" s="1239"/>
      <c r="AP79" s="1239"/>
      <c r="AQ79" s="484"/>
      <c r="AR79" s="484"/>
      <c r="AS79" s="484"/>
      <c r="AT79" s="484">
        <f>+ab($T$79,$T$77,$T$81,$G$78,$G$80, 1*$F$79,1200)</f>
        <v>15.31200905572155</v>
      </c>
      <c r="AU79" s="638"/>
      <c r="AV79" s="638"/>
      <c r="AW79" s="638" t="str">
        <f>VLOOKUP(C79,'Foundation Calculation'!$A$2:$C$33,3,1)</f>
        <v>Soil B</v>
      </c>
      <c r="AX79" s="638" t="str">
        <f>VLOOKUP(C79,'Foundation Calculation'!$E$2:$G$33,3,1)</f>
        <v>PT</v>
      </c>
      <c r="AY79" s="484">
        <f>IF(AX79="PT",VLOOKUP(L79,'Foundation Calculation'!$K$2:$R$40,VLOOKUP(AW79,'Foundation Calculation'!$I$2:$J$8,2,FALSE),0),IF(AX79="K",VLOOKUP(L79,'Foundation Calculation'!$K$42:$R$80,VLOOKUP(AW79,'Foundation Calculation'!$I$2:$J$8,2,FALSE),0),""))</f>
        <v>3.5</v>
      </c>
      <c r="AZ79" s="484"/>
      <c r="BA79" s="671" t="s">
        <v>2809</v>
      </c>
      <c r="BB79" s="1239" t="str">
        <f>Pole_Calculations!A15</f>
        <v>App.7-V11A-P9.5.1.1</v>
      </c>
      <c r="BC79" s="169"/>
      <c r="BD79" s="1329"/>
      <c r="BE79" s="1329"/>
      <c r="BF79" s="1330"/>
      <c r="BG79" s="1329"/>
    </row>
    <row r="80" spans="1:59" ht="15.75" customHeight="1">
      <c r="A80" s="1239"/>
      <c r="B80" s="173"/>
      <c r="C80" s="446"/>
      <c r="D80" s="173"/>
      <c r="E80" s="447"/>
      <c r="F80" s="447"/>
      <c r="G80" s="484">
        <v>22.3</v>
      </c>
      <c r="H80" s="1239"/>
      <c r="I80" s="448"/>
      <c r="J80" s="171"/>
      <c r="K80" s="638"/>
      <c r="L80" s="638"/>
      <c r="M80" s="638"/>
      <c r="N80" s="638"/>
      <c r="O80" s="1239"/>
      <c r="P80" s="1239"/>
      <c r="Q80" s="638"/>
      <c r="R80" s="638"/>
      <c r="S80" s="484"/>
      <c r="T80" s="638"/>
      <c r="U80" s="638"/>
      <c r="V80" s="638"/>
      <c r="W80" s="638"/>
      <c r="X80" s="638"/>
      <c r="Y80" s="638"/>
      <c r="Z80" s="638"/>
      <c r="AA80" s="638"/>
      <c r="AB80" s="638"/>
      <c r="AC80" s="638"/>
      <c r="AD80" s="638"/>
      <c r="AE80" s="638"/>
      <c r="AF80" s="638"/>
      <c r="AG80" s="446"/>
      <c r="AH80" s="638"/>
      <c r="AI80" s="638"/>
      <c r="AJ80" s="638"/>
      <c r="AK80" s="638"/>
      <c r="AL80" s="638"/>
      <c r="AM80" s="638"/>
      <c r="AN80" s="455"/>
      <c r="AO80" s="1239"/>
      <c r="AP80" s="1239"/>
      <c r="AQ80" s="484">
        <f>+FL_1($T$83,$T$79,44.6,1200,9.28, 1*$F$81)</f>
        <v>0.33441707174054908</v>
      </c>
      <c r="AR80" s="484"/>
      <c r="AS80" s="484"/>
      <c r="AT80" s="484"/>
      <c r="AU80" s="638"/>
      <c r="AV80" s="638"/>
      <c r="AW80" s="638"/>
      <c r="AX80" s="638"/>
      <c r="AY80" s="484"/>
      <c r="AZ80" s="484"/>
      <c r="BA80" s="671"/>
      <c r="BB80" s="1239"/>
      <c r="BC80" s="169"/>
      <c r="BD80" s="1330"/>
      <c r="BE80" s="1330"/>
      <c r="BF80" s="1330"/>
      <c r="BG80" s="1330"/>
    </row>
    <row r="81" spans="1:59" ht="15.75" customHeight="1">
      <c r="A81" s="1239"/>
      <c r="B81" s="435" t="s">
        <v>3492</v>
      </c>
      <c r="C81" s="446">
        <f>+$C$79+$G$80</f>
        <v>81257.73000000001</v>
      </c>
      <c r="D81" s="173"/>
      <c r="E81" s="447"/>
      <c r="F81" s="448">
        <f>(693^2)/(C81-81145.96)</f>
        <v>4296.7612060479778</v>
      </c>
      <c r="G81" s="484"/>
      <c r="H81" s="1239"/>
      <c r="I81" s="448" t="s">
        <v>1040</v>
      </c>
      <c r="J81" s="171"/>
      <c r="K81" s="638"/>
      <c r="L81" s="638" t="s">
        <v>823</v>
      </c>
      <c r="M81" s="638" t="str">
        <f>IF(AX81="PT",VLOOKUP(L81,'Foundation Calculation'!$V$2:$X$40,VLOOKUP(AX81,'Foundation Calculation'!$I$10:$J$13,2,FALSE),0),IF(AX81="K",VLOOKUP(L81,'Foundation Calculation'!$V$42:$X$80,VLOOKUP(AX81,'Foundation Calculation'!$I$10:$J$13,2,FALSE),0),""))</f>
        <v>C9R</v>
      </c>
      <c r="N81" s="1239"/>
      <c r="O81" s="1239"/>
      <c r="P81" s="1239"/>
      <c r="Q81" s="638"/>
      <c r="R81" s="638"/>
      <c r="S81" s="484"/>
      <c r="T81" s="638"/>
      <c r="U81" s="638"/>
      <c r="V81" s="638"/>
      <c r="W81" s="638"/>
      <c r="X81" s="638"/>
      <c r="Y81" s="638"/>
      <c r="Z81" s="638"/>
      <c r="AA81" s="638"/>
      <c r="AB81" s="638"/>
      <c r="AC81" s="638" t="str">
        <f t="shared" si="0"/>
        <v>PH</v>
      </c>
      <c r="AD81" s="638"/>
      <c r="AE81" s="638"/>
      <c r="AF81" s="638"/>
      <c r="AG81" s="446"/>
      <c r="AH81" s="638"/>
      <c r="AI81" s="638"/>
      <c r="AJ81" s="638"/>
      <c r="AK81" s="638"/>
      <c r="AL81" s="638"/>
      <c r="AM81" s="638" t="s">
        <v>1043</v>
      </c>
      <c r="AN81" s="455"/>
      <c r="AO81" s="1239"/>
      <c r="AP81" s="1239"/>
      <c r="AQ81" s="484"/>
      <c r="AR81" s="484"/>
      <c r="AS81" s="484"/>
      <c r="AT81" s="484">
        <f>+ab($T$83,$T$79,$T$85,44.6,$G$84, 1*$F$83,1200)</f>
        <v>16.44330034535195</v>
      </c>
      <c r="AU81" s="638"/>
      <c r="AV81" s="638"/>
      <c r="AW81" s="638" t="str">
        <f>VLOOKUP(C81,'Foundation Calculation'!$A$2:$C$33,3,1)</f>
        <v>Soil B</v>
      </c>
      <c r="AX81" s="638" t="str">
        <f>VLOOKUP(C81,'Foundation Calculation'!$E$2:$G$33,3,1)</f>
        <v>PT</v>
      </c>
      <c r="AY81" s="484">
        <f>IF(AX81="PT",VLOOKUP(L81,'Foundation Calculation'!$K$2:$R$40,VLOOKUP(AW81,'Foundation Calculation'!$I$2:$J$8,2,FALSE),0),IF(AX81="K",VLOOKUP(L81,'Foundation Calculation'!$K$42:$R$80,VLOOKUP(AW81,'Foundation Calculation'!$I$2:$J$8,2,FALSE),0),""))</f>
        <v>4.4000000000000004</v>
      </c>
      <c r="AZ81" s="484"/>
      <c r="BA81" s="671" t="s">
        <v>2809</v>
      </c>
      <c r="BB81" s="1239" t="str">
        <f>Pole_Calculations!A136</f>
        <v>App.7-V11A-P12.3.1.1</v>
      </c>
      <c r="BC81" s="169"/>
      <c r="BD81" s="1329"/>
      <c r="BE81" s="1329"/>
      <c r="BF81" s="1330"/>
      <c r="BG81" s="1330"/>
    </row>
    <row r="82" spans="1:59" ht="15.75" customHeight="1">
      <c r="A82" s="1239"/>
      <c r="B82" s="173"/>
      <c r="C82" s="446"/>
      <c r="D82" s="173"/>
      <c r="E82" s="447"/>
      <c r="F82" s="447"/>
      <c r="G82" s="484">
        <v>22.3</v>
      </c>
      <c r="H82" s="638"/>
      <c r="I82" s="447"/>
      <c r="J82" s="446">
        <f>C81+7.5</f>
        <v>81265.23000000001</v>
      </c>
      <c r="K82" s="638" t="s">
        <v>2788</v>
      </c>
      <c r="L82" s="638"/>
      <c r="M82" s="638"/>
      <c r="N82" s="1239"/>
      <c r="O82" s="1239"/>
      <c r="P82" s="1239"/>
      <c r="Q82" s="638"/>
      <c r="R82" s="638"/>
      <c r="S82" s="484"/>
      <c r="T82" s="638"/>
      <c r="U82" s="638"/>
      <c r="V82" s="638"/>
      <c r="W82" s="638"/>
      <c r="X82" s="638"/>
      <c r="Y82" s="638"/>
      <c r="Z82" s="638"/>
      <c r="AA82" s="638"/>
      <c r="AB82" s="638"/>
      <c r="AC82" s="638"/>
      <c r="AD82" s="638"/>
      <c r="AE82" s="638"/>
      <c r="AF82" s="638"/>
      <c r="AG82" s="446"/>
      <c r="AH82" s="638"/>
      <c r="AI82" s="638"/>
      <c r="AJ82" s="638"/>
      <c r="AK82" s="638"/>
      <c r="AL82" s="638"/>
      <c r="AM82" s="638"/>
      <c r="AN82" s="455"/>
      <c r="AO82" s="1239"/>
      <c r="AP82" s="1239"/>
      <c r="AQ82" s="484"/>
      <c r="AR82" s="484"/>
      <c r="AS82" s="484"/>
      <c r="AT82" s="484"/>
      <c r="AU82" s="638"/>
      <c r="AV82" s="638"/>
      <c r="AW82" s="638" t="str">
        <f>VLOOKUP(J82,'Foundation Calculation'!$A$2:$C$33,3,1)</f>
        <v>Soil B</v>
      </c>
      <c r="AX82" s="638" t="str">
        <f>VLOOKUP(J82,'Foundation Calculation'!$E$2:$G$33,3,1)</f>
        <v>PT</v>
      </c>
      <c r="AY82" s="484"/>
      <c r="AZ82" s="484">
        <f>IF(AX82="PT",VLOOKUP(K82,'Foundation Calculation'!$K$2:$R$40,VLOOKUP(AW82,'Foundation Calculation'!$I$2:$J$8,2,FALSE),0),IF(AX82="K",VLOOKUP(K82,'Foundation Calculation'!$K$42:$R$80,VLOOKUP(AW82,'Foundation Calculation'!$I$2:$J$8,2,FALSE),0),""))</f>
        <v>2.8</v>
      </c>
      <c r="BA82" s="671" t="s">
        <v>2809</v>
      </c>
      <c r="BB82" s="1239"/>
      <c r="BC82" s="169"/>
      <c r="BD82" s="1329"/>
      <c r="BE82" s="1330"/>
      <c r="BF82" s="1330"/>
      <c r="BG82" s="1330"/>
    </row>
    <row r="83" spans="1:59" ht="15.75" customHeight="1">
      <c r="A83" s="1239"/>
      <c r="B83" s="435" t="s">
        <v>3493</v>
      </c>
      <c r="C83" s="446">
        <f>+$C$81+$G$82</f>
        <v>81280.030000000013</v>
      </c>
      <c r="D83" s="173"/>
      <c r="E83" s="447"/>
      <c r="F83" s="448">
        <f>(693^2)/(C83-81145.96)</f>
        <v>3582.0765271871037</v>
      </c>
      <c r="G83" s="484"/>
      <c r="H83" s="638"/>
      <c r="I83" s="447"/>
      <c r="J83" s="446"/>
      <c r="K83" s="638"/>
      <c r="L83" s="638" t="s">
        <v>229</v>
      </c>
      <c r="M83" s="638" t="str">
        <f>IF(AX83="PT",VLOOKUP(L83,'Foundation Calculation'!$V$2:$X$40,VLOOKUP(AX83,'Foundation Calculation'!$I$10:$J$13,2,FALSE),0),IF(AX83="K",VLOOKUP(L83,'Foundation Calculation'!$V$42:$X$80,VLOOKUP(AX83,'Foundation Calculation'!$I$10:$J$13,2,FALSE),0),""))</f>
        <v>C3R</v>
      </c>
      <c r="N83" s="1239" t="s">
        <v>144</v>
      </c>
      <c r="O83" s="1239"/>
      <c r="P83" s="1239"/>
      <c r="Q83" s="638"/>
      <c r="R83" s="638"/>
      <c r="S83" s="484"/>
      <c r="T83" s="638">
        <v>20</v>
      </c>
      <c r="U83" s="638"/>
      <c r="V83" s="638"/>
      <c r="W83" s="638">
        <v>1.4</v>
      </c>
      <c r="X83" s="638"/>
      <c r="Y83" s="638"/>
      <c r="Z83" s="638"/>
      <c r="AA83" s="638"/>
      <c r="AB83" s="638"/>
      <c r="AC83" s="638" t="str">
        <f t="shared" si="0"/>
        <v>PH</v>
      </c>
      <c r="AD83" s="638"/>
      <c r="AE83" s="638"/>
      <c r="AF83" s="638"/>
      <c r="AG83" s="446"/>
      <c r="AH83" s="638"/>
      <c r="AI83" s="638"/>
      <c r="AJ83" s="638"/>
      <c r="AK83" s="638"/>
      <c r="AL83" s="638"/>
      <c r="AM83" s="638" t="s">
        <v>1043</v>
      </c>
      <c r="AN83" s="455">
        <v>5.5</v>
      </c>
      <c r="AO83" s="1239"/>
      <c r="AP83" s="1239"/>
      <c r="AQ83" s="484"/>
      <c r="AR83" s="484"/>
      <c r="AS83" s="484"/>
      <c r="AT83" s="484">
        <f>+ab($T$83,$T$79,$T$85,$G$82,$G$84, 1*$F$83,1200)</f>
        <v>22.131295334642342</v>
      </c>
      <c r="AU83" s="638"/>
      <c r="AV83" s="638"/>
      <c r="AW83" s="638" t="str">
        <f>VLOOKUP(C83,'Foundation Calculation'!$A$2:$C$33,3,1)</f>
        <v>Soil B</v>
      </c>
      <c r="AX83" s="638" t="str">
        <f>VLOOKUP(C83,'Foundation Calculation'!$E$2:$G$33,3,1)</f>
        <v>PT</v>
      </c>
      <c r="AY83" s="484">
        <f>IF(AX83="PT",VLOOKUP(L83,'Foundation Calculation'!$K$2:$R$40,VLOOKUP(AW83,'Foundation Calculation'!$I$2:$J$8,2,FALSE),0),IF(AX83="K",VLOOKUP(L83,'Foundation Calculation'!$K$42:$R$80,VLOOKUP(AW83,'Foundation Calculation'!$I$2:$J$8,2,FALSE),0),""))</f>
        <v>3.5</v>
      </c>
      <c r="AZ83" s="484"/>
      <c r="BA83" s="671" t="s">
        <v>2809</v>
      </c>
      <c r="BB83" s="1239" t="str">
        <f>Pole_Calculations!A15</f>
        <v>App.7-V11A-P9.5.1.1</v>
      </c>
      <c r="BC83" s="169"/>
      <c r="BD83" s="1329"/>
      <c r="BE83" s="1329"/>
      <c r="BF83" s="1330"/>
      <c r="BG83" s="1329"/>
    </row>
    <row r="84" spans="1:59" ht="15.75" customHeight="1">
      <c r="A84" s="1239"/>
      <c r="B84" s="173"/>
      <c r="C84" s="446"/>
      <c r="D84" s="173"/>
      <c r="E84" s="447"/>
      <c r="F84" s="447"/>
      <c r="G84" s="484">
        <v>50.8</v>
      </c>
      <c r="H84" s="1239"/>
      <c r="I84" s="448"/>
      <c r="J84" s="171">
        <f>C85-7.5</f>
        <v>81323.330000000016</v>
      </c>
      <c r="K84" s="638" t="s">
        <v>2788</v>
      </c>
      <c r="L84" s="638"/>
      <c r="M84" s="638"/>
      <c r="N84" s="1239"/>
      <c r="O84" s="1239"/>
      <c r="P84" s="1239"/>
      <c r="Q84" s="638"/>
      <c r="R84" s="638"/>
      <c r="S84" s="484"/>
      <c r="T84" s="638"/>
      <c r="U84" s="638"/>
      <c r="V84" s="638"/>
      <c r="W84" s="638"/>
      <c r="X84" s="638"/>
      <c r="Y84" s="638"/>
      <c r="Z84" s="638"/>
      <c r="AA84" s="638"/>
      <c r="AB84" s="638"/>
      <c r="AC84" s="638"/>
      <c r="AD84" s="638"/>
      <c r="AE84" s="638"/>
      <c r="AF84" s="638"/>
      <c r="AG84" s="446"/>
      <c r="AH84" s="638"/>
      <c r="AI84" s="638"/>
      <c r="AJ84" s="638"/>
      <c r="AK84" s="638"/>
      <c r="AL84" s="638"/>
      <c r="AM84" s="638"/>
      <c r="AN84" s="455"/>
      <c r="AO84" s="1239"/>
      <c r="AP84" s="1239"/>
      <c r="AQ84" s="484">
        <f>+FL_1($T$85,$T$83,$G$84,1200,9.28, 1*$F$85)</f>
        <v>0.3802717918112371</v>
      </c>
      <c r="AR84" s="484"/>
      <c r="AS84" s="484"/>
      <c r="AT84" s="484"/>
      <c r="AU84" s="638"/>
      <c r="AV84" s="638"/>
      <c r="AW84" s="638" t="str">
        <f>VLOOKUP(J84,'Foundation Calculation'!$A$2:$C$33,3,1)</f>
        <v>Soil B</v>
      </c>
      <c r="AX84" s="638" t="str">
        <f>VLOOKUP(J84,'Foundation Calculation'!$E$2:$G$33,3,1)</f>
        <v>PT</v>
      </c>
      <c r="AY84" s="484"/>
      <c r="AZ84" s="484">
        <f>IF(AX84="PT",VLOOKUP(K84,'Foundation Calculation'!$K$2:$R$40,VLOOKUP(AW84,'Foundation Calculation'!$I$2:$J$8,2,FALSE),0),IF(AX84="K",VLOOKUP(K84,'Foundation Calculation'!$K$42:$R$80,VLOOKUP(AW84,'Foundation Calculation'!$I$2:$J$8,2,FALSE),0),""))</f>
        <v>2.8</v>
      </c>
      <c r="BA84" s="671" t="s">
        <v>2809</v>
      </c>
      <c r="BB84" s="1239"/>
      <c r="BC84" s="169"/>
      <c r="BD84" s="1329"/>
      <c r="BE84" s="1330"/>
      <c r="BF84" s="1330"/>
      <c r="BG84" s="1330"/>
    </row>
    <row r="85" spans="1:59" ht="15.75" customHeight="1">
      <c r="A85" s="1239"/>
      <c r="B85" s="435" t="s">
        <v>3494</v>
      </c>
      <c r="C85" s="446">
        <f>+$C$83+$G$84</f>
        <v>81330.830000000016</v>
      </c>
      <c r="D85" s="173"/>
      <c r="E85" s="447"/>
      <c r="F85" s="448">
        <f>(693^2)/(C85-81145.96)</f>
        <v>2597.7659977279941</v>
      </c>
      <c r="G85" s="484"/>
      <c r="H85" s="1239" t="s">
        <v>873</v>
      </c>
      <c r="I85" s="448"/>
      <c r="J85" s="171"/>
      <c r="K85" s="638"/>
      <c r="L85" s="638" t="s">
        <v>230</v>
      </c>
      <c r="M85" s="638" t="str">
        <f>IF(AX85="PT",VLOOKUP(L85,'Foundation Calculation'!$V$2:$X$40,VLOOKUP(AX85,'Foundation Calculation'!$I$10:$J$13,2,FALSE),0),IF(AX85="K",VLOOKUP(L85,'Foundation Calculation'!$V$42:$X$80,VLOOKUP(AX85,'Foundation Calculation'!$I$10:$J$13,2,FALSE),0),""))</f>
        <v>C4R</v>
      </c>
      <c r="N85" s="1239" t="s">
        <v>144</v>
      </c>
      <c r="O85" s="1239"/>
      <c r="P85" s="1239"/>
      <c r="Q85" s="638"/>
      <c r="R85" s="638"/>
      <c r="S85" s="484"/>
      <c r="T85" s="638">
        <v>30</v>
      </c>
      <c r="U85" s="638"/>
      <c r="V85" s="638"/>
      <c r="W85" s="638">
        <v>1.4</v>
      </c>
      <c r="X85" s="638"/>
      <c r="Y85" s="638"/>
      <c r="Z85" s="638"/>
      <c r="AA85" s="638"/>
      <c r="AB85" s="638"/>
      <c r="AC85" s="638" t="str">
        <f t="shared" si="0"/>
        <v>PH</v>
      </c>
      <c r="AD85" s="638"/>
      <c r="AE85" s="638"/>
      <c r="AF85" s="638"/>
      <c r="AG85" s="446"/>
      <c r="AH85" s="638"/>
      <c r="AI85" s="638"/>
      <c r="AJ85" s="638"/>
      <c r="AK85" s="638"/>
      <c r="AL85" s="638"/>
      <c r="AM85" s="638" t="s">
        <v>1043</v>
      </c>
      <c r="AN85" s="455">
        <v>5.5</v>
      </c>
      <c r="AO85" s="1239"/>
      <c r="AP85" s="1239"/>
      <c r="AQ85" s="484"/>
      <c r="AR85" s="484"/>
      <c r="AS85" s="484"/>
      <c r="AT85" s="484">
        <f>+ab($T$85,$T$83,$T$87,$G$84,$G$86, 1*$F$85,1200)</f>
        <v>8.6465673921747115</v>
      </c>
      <c r="AU85" s="638"/>
      <c r="AV85" s="638"/>
      <c r="AW85" s="638" t="str">
        <f>VLOOKUP(C85,'Foundation Calculation'!$A$2:$C$33,3,1)</f>
        <v>Soil B</v>
      </c>
      <c r="AX85" s="638" t="str">
        <f>VLOOKUP(C85,'Foundation Calculation'!$E$2:$G$33,3,1)</f>
        <v>PT</v>
      </c>
      <c r="AY85" s="484">
        <f>IF(AX85="PT",VLOOKUP(L85,'Foundation Calculation'!$K$2:$R$40,VLOOKUP(AW85,'Foundation Calculation'!$I$2:$J$8,2,FALSE),0),IF(AX85="K",VLOOKUP(L85,'Foundation Calculation'!$K$42:$R$80,VLOOKUP(AW85,'Foundation Calculation'!$I$2:$J$8,2,FALSE),0),""))</f>
        <v>3.5</v>
      </c>
      <c r="AZ85" s="484"/>
      <c r="BA85" s="671" t="s">
        <v>2809</v>
      </c>
      <c r="BB85" s="1239" t="str">
        <f>Pole_Calculations!A17</f>
        <v>App.7-V11A-P9.5.1.3</v>
      </c>
      <c r="BC85" s="169"/>
      <c r="BD85" s="1329"/>
      <c r="BE85" s="1329"/>
      <c r="BF85" s="1330"/>
      <c r="BG85" s="1329"/>
    </row>
    <row r="86" spans="1:59" ht="15.75" customHeight="1">
      <c r="A86" s="1239"/>
      <c r="B86" s="173"/>
      <c r="C86" s="446"/>
      <c r="D86" s="173"/>
      <c r="E86" s="447"/>
      <c r="F86" s="447"/>
      <c r="G86" s="484">
        <v>53.4</v>
      </c>
      <c r="H86" s="1239"/>
      <c r="I86" s="448">
        <f>C87-C61</f>
        <v>602.60000000000582</v>
      </c>
      <c r="J86" s="171"/>
      <c r="K86" s="638"/>
      <c r="L86" s="638"/>
      <c r="M86" s="638"/>
      <c r="N86" s="638"/>
      <c r="O86" s="1239"/>
      <c r="P86" s="1239"/>
      <c r="Q86" s="638"/>
      <c r="R86" s="638"/>
      <c r="S86" s="484"/>
      <c r="T86" s="638"/>
      <c r="U86" s="638"/>
      <c r="V86" s="638"/>
      <c r="W86" s="638"/>
      <c r="X86" s="638"/>
      <c r="Y86" s="638"/>
      <c r="Z86" s="638"/>
      <c r="AA86" s="638"/>
      <c r="AB86" s="638"/>
      <c r="AC86" s="638"/>
      <c r="AD86" s="638"/>
      <c r="AE86" s="638"/>
      <c r="AF86" s="638"/>
      <c r="AG86" s="446"/>
      <c r="AH86" s="638"/>
      <c r="AI86" s="638"/>
      <c r="AJ86" s="638"/>
      <c r="AK86" s="638"/>
      <c r="AL86" s="638"/>
      <c r="AM86" s="638"/>
      <c r="AN86" s="455"/>
      <c r="AO86" s="1239"/>
      <c r="AP86" s="1239"/>
      <c r="AQ86" s="484">
        <f>+FL_1($T$87,$T$85,$G$86,1200,9.28, 1*$F$87)</f>
        <v>0.39879696715802904</v>
      </c>
      <c r="AR86" s="484"/>
      <c r="AS86" s="484"/>
      <c r="AT86" s="484"/>
      <c r="AU86" s="638"/>
      <c r="AV86" s="638"/>
      <c r="AW86" s="638"/>
      <c r="AX86" s="638"/>
      <c r="AY86" s="484"/>
      <c r="AZ86" s="484"/>
      <c r="BA86" s="671"/>
      <c r="BB86" s="1239"/>
      <c r="BC86" s="169"/>
      <c r="BD86" s="1330"/>
      <c r="BE86" s="1330"/>
      <c r="BF86" s="1330"/>
      <c r="BG86" s="1330"/>
    </row>
    <row r="87" spans="1:59" ht="15.75" customHeight="1">
      <c r="A87" s="1239"/>
      <c r="B87" s="435" t="s">
        <v>3495</v>
      </c>
      <c r="C87" s="446">
        <f>+$C$85+$G$86</f>
        <v>81384.23000000001</v>
      </c>
      <c r="D87" s="173"/>
      <c r="E87" s="447"/>
      <c r="F87" s="448">
        <f>(693^2)/(C87-81145.96)</f>
        <v>2015.566374281243</v>
      </c>
      <c r="G87" s="484"/>
      <c r="H87" s="1239" t="s">
        <v>874</v>
      </c>
      <c r="I87" s="448"/>
      <c r="J87" s="171"/>
      <c r="K87" s="638"/>
      <c r="L87" s="638" t="s">
        <v>230</v>
      </c>
      <c r="M87" s="638" t="str">
        <f>IF(AX87="PT",VLOOKUP(L87,'Foundation Calculation'!$V$2:$X$40,VLOOKUP(AX87,'Foundation Calculation'!$I$10:$J$13,2,FALSE),0),IF(AX87="K",VLOOKUP(L87,'Foundation Calculation'!$V$42:$X$80,VLOOKUP(AX87,'Foundation Calculation'!$I$10:$J$13,2,FALSE),0),""))</f>
        <v>C4R</v>
      </c>
      <c r="N87" s="1239" t="s">
        <v>144</v>
      </c>
      <c r="O87" s="1239"/>
      <c r="P87" s="1239"/>
      <c r="Q87" s="638"/>
      <c r="R87" s="638"/>
      <c r="S87" s="484"/>
      <c r="T87" s="638">
        <v>30</v>
      </c>
      <c r="U87" s="638"/>
      <c r="V87" s="638"/>
      <c r="W87" s="638">
        <v>1.4</v>
      </c>
      <c r="X87" s="638"/>
      <c r="Y87" s="638"/>
      <c r="Z87" s="638"/>
      <c r="AA87" s="638"/>
      <c r="AB87" s="638"/>
      <c r="AC87" s="638" t="str">
        <f t="shared" si="0"/>
        <v>PH-Q</v>
      </c>
      <c r="AD87" s="638"/>
      <c r="AE87" s="638"/>
      <c r="AF87" s="638"/>
      <c r="AG87" s="446"/>
      <c r="AH87" s="638"/>
      <c r="AI87" s="638"/>
      <c r="AJ87" s="638"/>
      <c r="AK87" s="638"/>
      <c r="AL87" s="638"/>
      <c r="AM87" s="638" t="s">
        <v>1043</v>
      </c>
      <c r="AN87" s="455">
        <v>5.5</v>
      </c>
      <c r="AO87" s="1239"/>
      <c r="AP87" s="1239"/>
      <c r="AQ87" s="484"/>
      <c r="AR87" s="484"/>
      <c r="AS87" s="484"/>
      <c r="AT87" s="484">
        <f>+ab($T$87,$T$85,$T$89,$G$86,$G$88, 1*$F$87,1200)</f>
        <v>7.2180881262178591</v>
      </c>
      <c r="AU87" s="638"/>
      <c r="AV87" s="638"/>
      <c r="AW87" s="638" t="str">
        <f>VLOOKUP(C87,'Foundation Calculation'!$A$2:$C$33,3,1)</f>
        <v>Soil B</v>
      </c>
      <c r="AX87" s="638" t="str">
        <f>VLOOKUP(C87,'Foundation Calculation'!$E$2:$G$33,3,1)</f>
        <v>PT</v>
      </c>
      <c r="AY87" s="484">
        <f>IF(AX87="PT",VLOOKUP(L87,'Foundation Calculation'!$K$2:$R$40,VLOOKUP(AW87,'Foundation Calculation'!$I$2:$J$8,2,FALSE),0),IF(AX87="K",VLOOKUP(L87,'Foundation Calculation'!$K$42:$R$80,VLOOKUP(AW87,'Foundation Calculation'!$I$2:$J$8,2,FALSE),0),""))</f>
        <v>3.5</v>
      </c>
      <c r="AZ87" s="484"/>
      <c r="BA87" s="671" t="s">
        <v>2809</v>
      </c>
      <c r="BB87" s="1239" t="str">
        <f>Pole_Calculations!A16</f>
        <v>App.7-V11A-P9.5.1.2</v>
      </c>
      <c r="BC87" s="169"/>
      <c r="BD87" s="1329"/>
      <c r="BE87" s="1329"/>
      <c r="BF87" s="1330"/>
      <c r="BG87" s="1329"/>
    </row>
    <row r="88" spans="1:59" ht="15.75" customHeight="1">
      <c r="A88" s="1239"/>
      <c r="B88" s="173"/>
      <c r="C88" s="446"/>
      <c r="D88" s="173"/>
      <c r="E88" s="447"/>
      <c r="F88" s="447"/>
      <c r="G88" s="484">
        <v>53.2</v>
      </c>
      <c r="H88" s="1239"/>
      <c r="I88" s="448">
        <f>C111-C87</f>
        <v>646.29999999998836</v>
      </c>
      <c r="J88" s="171"/>
      <c r="K88" s="638"/>
      <c r="L88" s="638"/>
      <c r="M88" s="638"/>
      <c r="N88" s="638"/>
      <c r="O88" s="1239"/>
      <c r="P88" s="1239"/>
      <c r="Q88" s="638"/>
      <c r="R88" s="638"/>
      <c r="S88" s="484"/>
      <c r="T88" s="638"/>
      <c r="U88" s="638"/>
      <c r="V88" s="638"/>
      <c r="W88" s="638"/>
      <c r="X88" s="638"/>
      <c r="Y88" s="638"/>
      <c r="Z88" s="638"/>
      <c r="AA88" s="638"/>
      <c r="AB88" s="638"/>
      <c r="AC88" s="638"/>
      <c r="AD88" s="638"/>
      <c r="AE88" s="638"/>
      <c r="AF88" s="638"/>
      <c r="AG88" s="446"/>
      <c r="AH88" s="638"/>
      <c r="AI88" s="638"/>
      <c r="AJ88" s="638"/>
      <c r="AK88" s="638"/>
      <c r="AL88" s="638"/>
      <c r="AM88" s="638"/>
      <c r="AN88" s="455"/>
      <c r="AO88" s="1239"/>
      <c r="AP88" s="1239"/>
      <c r="AQ88" s="484">
        <f>+FL_1($T$89,$T$87,$G$88,1200,9.28, 1*$F$89)</f>
        <v>0.39669204345658315</v>
      </c>
      <c r="AR88" s="484"/>
      <c r="AS88" s="484"/>
      <c r="AT88" s="484"/>
      <c r="AU88" s="638"/>
      <c r="AV88" s="638"/>
      <c r="AW88" s="638"/>
      <c r="AX88" s="638"/>
      <c r="AY88" s="484"/>
      <c r="AZ88" s="484"/>
      <c r="BA88" s="671"/>
      <c r="BB88" s="1239"/>
      <c r="BC88" s="169"/>
      <c r="BD88" s="1330"/>
      <c r="BE88" s="1330"/>
      <c r="BF88" s="1330"/>
      <c r="BG88" s="1330"/>
    </row>
    <row r="89" spans="1:59" ht="15.75" customHeight="1">
      <c r="A89" s="1239"/>
      <c r="B89" s="435" t="s">
        <v>3496</v>
      </c>
      <c r="C89" s="446">
        <f>+$C$87+$G$88</f>
        <v>81437.430000000008</v>
      </c>
      <c r="D89" s="173"/>
      <c r="E89" s="447"/>
      <c r="F89" s="447">
        <v>2000</v>
      </c>
      <c r="G89" s="484"/>
      <c r="H89" s="1239" t="s">
        <v>873</v>
      </c>
      <c r="I89" s="448"/>
      <c r="J89" s="171"/>
      <c r="K89" s="638"/>
      <c r="L89" s="638" t="s">
        <v>230</v>
      </c>
      <c r="M89" s="638" t="str">
        <f>IF(AX89="PT",VLOOKUP(L89,'Foundation Calculation'!$V$2:$X$40,VLOOKUP(AX89,'Foundation Calculation'!$I$10:$J$13,2,FALSE),0),IF(AX89="K",VLOOKUP(L89,'Foundation Calculation'!$V$42:$X$80,VLOOKUP(AX89,'Foundation Calculation'!$I$10:$J$13,2,FALSE),0),""))</f>
        <v>C4R</v>
      </c>
      <c r="N89" s="1239" t="s">
        <v>144</v>
      </c>
      <c r="O89" s="638"/>
      <c r="P89" s="638"/>
      <c r="Q89" s="638"/>
      <c r="R89" s="638"/>
      <c r="S89" s="484"/>
      <c r="T89" s="638">
        <v>30</v>
      </c>
      <c r="U89" s="638"/>
      <c r="V89" s="638"/>
      <c r="W89" s="638">
        <v>1.4</v>
      </c>
      <c r="X89" s="638"/>
      <c r="Y89" s="638"/>
      <c r="Z89" s="638"/>
      <c r="AA89" s="638"/>
      <c r="AB89" s="638"/>
      <c r="AC89" s="638" t="str">
        <f t="shared" si="0"/>
        <v>PH-Q</v>
      </c>
      <c r="AD89" s="638"/>
      <c r="AE89" s="638"/>
      <c r="AF89" s="638"/>
      <c r="AG89" s="446"/>
      <c r="AH89" s="638"/>
      <c r="AI89" s="638"/>
      <c r="AJ89" s="638"/>
      <c r="AK89" s="638"/>
      <c r="AL89" s="638"/>
      <c r="AM89" s="638" t="s">
        <v>1043</v>
      </c>
      <c r="AN89" s="455">
        <v>5.5</v>
      </c>
      <c r="AO89" s="1239"/>
      <c r="AP89" s="1239"/>
      <c r="AQ89" s="484"/>
      <c r="AR89" s="484"/>
      <c r="AS89" s="484"/>
      <c r="AT89" s="484">
        <f>+ab($T$89,$T$87,$T$91,$G$88,$G$90, 1*$F$89,1200)</f>
        <v>7.2232718985086057</v>
      </c>
      <c r="AU89" s="638"/>
      <c r="AV89" s="638"/>
      <c r="AW89" s="638" t="str">
        <f>VLOOKUP(C89,'Foundation Calculation'!$A$2:$C$33,3,1)</f>
        <v>Soil B</v>
      </c>
      <c r="AX89" s="638" t="str">
        <f>VLOOKUP(C89,'Foundation Calculation'!$E$2:$G$33,3,1)</f>
        <v>PT</v>
      </c>
      <c r="AY89" s="484">
        <f>IF(AX89="PT",VLOOKUP(L89,'Foundation Calculation'!$K$2:$R$40,VLOOKUP(AW89,'Foundation Calculation'!$I$2:$J$8,2,FALSE),0),IF(AX89="K",VLOOKUP(L89,'Foundation Calculation'!$K$42:$R$80,VLOOKUP(AW89,'Foundation Calculation'!$I$2:$J$8,2,FALSE),0),""))</f>
        <v>3.5</v>
      </c>
      <c r="AZ89" s="484"/>
      <c r="BA89" s="671" t="s">
        <v>2809</v>
      </c>
      <c r="BB89" s="1239" t="str">
        <f>Pole_Calculations!A17</f>
        <v>App.7-V11A-P9.5.1.3</v>
      </c>
      <c r="BC89" s="169"/>
      <c r="BD89" s="1329"/>
      <c r="BE89" s="1329"/>
      <c r="BF89" s="1330"/>
      <c r="BG89" s="1329"/>
    </row>
    <row r="90" spans="1:59" ht="15.75" customHeight="1">
      <c r="A90" s="1239"/>
      <c r="B90" s="173"/>
      <c r="C90" s="446"/>
      <c r="D90" s="173"/>
      <c r="E90" s="447"/>
      <c r="F90" s="447"/>
      <c r="G90" s="484">
        <v>52.5</v>
      </c>
      <c r="H90" s="1239"/>
      <c r="I90" s="448"/>
      <c r="J90" s="171">
        <f>C89+7.5</f>
        <v>81444.930000000008</v>
      </c>
      <c r="K90" s="638" t="s">
        <v>2788</v>
      </c>
      <c r="L90" s="638"/>
      <c r="M90" s="638"/>
      <c r="N90" s="1239"/>
      <c r="O90" s="1239"/>
      <c r="P90" s="1239"/>
      <c r="Q90" s="638"/>
      <c r="R90" s="638"/>
      <c r="S90" s="484"/>
      <c r="T90" s="638"/>
      <c r="U90" s="638"/>
      <c r="V90" s="638"/>
      <c r="W90" s="638"/>
      <c r="X90" s="638"/>
      <c r="Y90" s="638"/>
      <c r="Z90" s="638"/>
      <c r="AA90" s="638"/>
      <c r="AB90" s="638"/>
      <c r="AC90" s="638"/>
      <c r="AD90" s="638"/>
      <c r="AE90" s="638"/>
      <c r="AF90" s="638"/>
      <c r="AG90" s="446"/>
      <c r="AH90" s="638"/>
      <c r="AI90" s="638"/>
      <c r="AJ90" s="638"/>
      <c r="AK90" s="638"/>
      <c r="AL90" s="638"/>
      <c r="AM90" s="638"/>
      <c r="AN90" s="455"/>
      <c r="AO90" s="1239"/>
      <c r="AP90" s="1239"/>
      <c r="AQ90" s="484">
        <f>+FL_1($T$91,$T$89,$G$90,1200,9.28, 1*$F$91)</f>
        <v>0.39416445549942902</v>
      </c>
      <c r="AR90" s="484"/>
      <c r="AS90" s="484"/>
      <c r="AT90" s="484"/>
      <c r="AU90" s="638"/>
      <c r="AV90" s="638"/>
      <c r="AW90" s="638" t="str">
        <f>VLOOKUP(J90,'Foundation Calculation'!$A$2:$C$33,3,1)</f>
        <v>Soil B</v>
      </c>
      <c r="AX90" s="638" t="str">
        <f>VLOOKUP(J90,'Foundation Calculation'!$E$2:$G$33,3,1)</f>
        <v>PT</v>
      </c>
      <c r="AY90" s="484"/>
      <c r="AZ90" s="484">
        <f>IF(AX90="PT",VLOOKUP(K90,'Foundation Calculation'!$K$2:$R$40,VLOOKUP(AW90,'Foundation Calculation'!$I$2:$J$8,2,FALSE),0),IF(AX90="K",VLOOKUP(K90,'Foundation Calculation'!$K$42:$R$80,VLOOKUP(AW90,'Foundation Calculation'!$I$2:$J$8,2,FALSE),0),""))</f>
        <v>2.8</v>
      </c>
      <c r="BA90" s="671" t="s">
        <v>2809</v>
      </c>
      <c r="BB90" s="1239"/>
      <c r="BC90" s="169"/>
      <c r="BD90" s="1329"/>
      <c r="BE90" s="1330"/>
      <c r="BF90" s="1330"/>
      <c r="BG90" s="1330"/>
    </row>
    <row r="91" spans="1:59" ht="15.75" customHeight="1">
      <c r="A91" s="1239"/>
      <c r="B91" s="435" t="s">
        <v>3497</v>
      </c>
      <c r="C91" s="446">
        <f>+$C$89+$G$90</f>
        <v>81489.930000000008</v>
      </c>
      <c r="D91" s="173"/>
      <c r="E91" s="447"/>
      <c r="F91" s="447">
        <v>2000</v>
      </c>
      <c r="G91" s="484"/>
      <c r="H91" s="1239"/>
      <c r="I91" s="448"/>
      <c r="J91" s="171"/>
      <c r="K91" s="638"/>
      <c r="L91" s="638" t="s">
        <v>230</v>
      </c>
      <c r="M91" s="638" t="str">
        <f>IF(AX91="PT",VLOOKUP(L91,'Foundation Calculation'!$V$2:$X$40,VLOOKUP(AX91,'Foundation Calculation'!$I$10:$J$13,2,FALSE),0),IF(AX91="K",VLOOKUP(L91,'Foundation Calculation'!$V$42:$X$80,VLOOKUP(AX91,'Foundation Calculation'!$I$10:$J$13,2,FALSE),0),""))</f>
        <v>C4R</v>
      </c>
      <c r="N91" s="1239" t="s">
        <v>144</v>
      </c>
      <c r="O91" s="638"/>
      <c r="P91" s="638"/>
      <c r="Q91" s="638"/>
      <c r="R91" s="638"/>
      <c r="S91" s="484"/>
      <c r="T91" s="638">
        <v>30</v>
      </c>
      <c r="U91" s="638"/>
      <c r="V91" s="638"/>
      <c r="W91" s="638">
        <v>1.4</v>
      </c>
      <c r="X91" s="638"/>
      <c r="Y91" s="638"/>
      <c r="Z91" s="638"/>
      <c r="AA91" s="638"/>
      <c r="AB91" s="638"/>
      <c r="AC91" s="638" t="str">
        <f t="shared" ref="AC91:AC125" si="1">IF(OR(AT91&gt;8,AT91&lt;-8),"PH",IF(OR(AT91&gt;5,AT91&lt;-5),"PH-Q",IF(OR(AT91&gt;1,AT91&lt;-1),"PH-C")))</f>
        <v>PH-Q</v>
      </c>
      <c r="AD91" s="638"/>
      <c r="AE91" s="638"/>
      <c r="AF91" s="638"/>
      <c r="AG91" s="446"/>
      <c r="AH91" s="638"/>
      <c r="AI91" s="638"/>
      <c r="AJ91" s="638"/>
      <c r="AK91" s="638"/>
      <c r="AL91" s="638"/>
      <c r="AM91" s="638" t="s">
        <v>1043</v>
      </c>
      <c r="AN91" s="455">
        <v>5.42</v>
      </c>
      <c r="AO91" s="1239"/>
      <c r="AP91" s="1239"/>
      <c r="AQ91" s="484"/>
      <c r="AR91" s="484"/>
      <c r="AS91" s="484"/>
      <c r="AT91" s="484">
        <f>+ab($T$91,$T$89,$T$93,$G$90,$G$92, 1*$F$91,1200)</f>
        <v>7.7218399152667399</v>
      </c>
      <c r="AU91" s="638"/>
      <c r="AV91" s="638"/>
      <c r="AW91" s="638" t="str">
        <f>VLOOKUP(C91,'Foundation Calculation'!$A$2:$C$33,3,1)</f>
        <v>Soil B</v>
      </c>
      <c r="AX91" s="638" t="str">
        <f>VLOOKUP(C91,'Foundation Calculation'!$E$2:$G$33,3,1)</f>
        <v>PT</v>
      </c>
      <c r="AY91" s="484">
        <f>IF(AX91="PT",VLOOKUP(L91,'Foundation Calculation'!$K$2:$R$40,VLOOKUP(AW91,'Foundation Calculation'!$I$2:$J$8,2,FALSE),0),IF(AX91="K",VLOOKUP(L91,'Foundation Calculation'!$K$42:$R$80,VLOOKUP(AW91,'Foundation Calculation'!$I$2:$J$8,2,FALSE),0),""))</f>
        <v>3.5</v>
      </c>
      <c r="AZ91" s="484"/>
      <c r="BA91" s="671" t="s">
        <v>2809</v>
      </c>
      <c r="BB91" s="1239" t="str">
        <f>Pole_Calculations!A15</f>
        <v>App.7-V11A-P9.5.1.1</v>
      </c>
      <c r="BC91" s="169"/>
      <c r="BD91" s="1329"/>
      <c r="BE91" s="1329"/>
      <c r="BF91" s="1330"/>
      <c r="BG91" s="1329"/>
    </row>
    <row r="92" spans="1:59" ht="15.75" customHeight="1">
      <c r="A92" s="1239"/>
      <c r="B92" s="173"/>
      <c r="C92" s="446"/>
      <c r="D92" s="173"/>
      <c r="E92" s="447"/>
      <c r="F92" s="447"/>
      <c r="G92" s="484">
        <v>46.3</v>
      </c>
      <c r="H92" s="1239"/>
      <c r="I92" s="448"/>
      <c r="J92" s="171"/>
      <c r="K92" s="638"/>
      <c r="L92" s="638"/>
      <c r="M92" s="638"/>
      <c r="N92" s="1239"/>
      <c r="O92" s="1239"/>
      <c r="P92" s="1239"/>
      <c r="Q92" s="638"/>
      <c r="R92" s="638"/>
      <c r="S92" s="484"/>
      <c r="T92" s="638"/>
      <c r="U92" s="638"/>
      <c r="V92" s="638"/>
      <c r="W92" s="638"/>
      <c r="X92" s="638"/>
      <c r="Y92" s="638"/>
      <c r="Z92" s="638"/>
      <c r="AA92" s="638"/>
      <c r="AB92" s="638"/>
      <c r="AC92" s="638"/>
      <c r="AD92" s="638"/>
      <c r="AE92" s="638"/>
      <c r="AF92" s="638"/>
      <c r="AG92" s="446"/>
      <c r="AH92" s="638"/>
      <c r="AI92" s="638"/>
      <c r="AJ92" s="638"/>
      <c r="AK92" s="638"/>
      <c r="AL92" s="638"/>
      <c r="AM92" s="638"/>
      <c r="AN92" s="455"/>
      <c r="AO92" s="1239"/>
      <c r="AP92" s="1239"/>
      <c r="AQ92" s="484">
        <f>+FL_1($T$93,$T$91,$G$92,1200,9.28, 1*$F$93)</f>
        <v>0.3732382536640575</v>
      </c>
      <c r="AR92" s="484"/>
      <c r="AS92" s="484"/>
      <c r="AT92" s="484"/>
      <c r="AU92" s="638"/>
      <c r="AV92" s="638"/>
      <c r="AW92" s="638"/>
      <c r="AX92" s="638"/>
      <c r="AY92" s="484"/>
      <c r="AZ92" s="484"/>
      <c r="BA92" s="671"/>
      <c r="BB92" s="1239"/>
      <c r="BC92" s="169"/>
      <c r="BD92" s="1330"/>
      <c r="BE92" s="1330"/>
      <c r="BF92" s="1330"/>
      <c r="BG92" s="1330"/>
    </row>
    <row r="93" spans="1:59" ht="15.75" customHeight="1">
      <c r="A93" s="1239"/>
      <c r="B93" s="435" t="s">
        <v>3498</v>
      </c>
      <c r="C93" s="446">
        <f>+$C$91+$G$92</f>
        <v>81536.23000000001</v>
      </c>
      <c r="D93" s="173"/>
      <c r="E93" s="447"/>
      <c r="F93" s="447">
        <v>2000</v>
      </c>
      <c r="G93" s="484"/>
      <c r="H93" s="1239"/>
      <c r="I93" s="448"/>
      <c r="J93" s="171"/>
      <c r="K93" s="638"/>
      <c r="L93" s="638" t="s">
        <v>230</v>
      </c>
      <c r="M93" s="638" t="str">
        <f>IF(AX93="PT",VLOOKUP(L93,'Foundation Calculation'!$V$2:$X$40,VLOOKUP(AX93,'Foundation Calculation'!$I$10:$J$13,2,FALSE),0),IF(AX93="K",VLOOKUP(L93,'Foundation Calculation'!$V$42:$X$80,VLOOKUP(AX93,'Foundation Calculation'!$I$10:$J$13,2,FALSE),0),""))</f>
        <v>C4R</v>
      </c>
      <c r="N93" s="1239" t="s">
        <v>144</v>
      </c>
      <c r="O93" s="1239"/>
      <c r="P93" s="1239"/>
      <c r="Q93" s="638"/>
      <c r="R93" s="638"/>
      <c r="S93" s="484"/>
      <c r="T93" s="638">
        <v>30</v>
      </c>
      <c r="U93" s="638"/>
      <c r="V93" s="638"/>
      <c r="W93" s="638">
        <v>1.4</v>
      </c>
      <c r="X93" s="638"/>
      <c r="Y93" s="638"/>
      <c r="Z93" s="638"/>
      <c r="AA93" s="638"/>
      <c r="AB93" s="638"/>
      <c r="AC93" s="638" t="str">
        <f t="shared" si="1"/>
        <v>PH-Q</v>
      </c>
      <c r="AD93" s="638"/>
      <c r="AE93" s="638"/>
      <c r="AF93" s="638"/>
      <c r="AG93" s="446"/>
      <c r="AH93" s="638"/>
      <c r="AI93" s="638"/>
      <c r="AJ93" s="638"/>
      <c r="AK93" s="638"/>
      <c r="AL93" s="638"/>
      <c r="AM93" s="638" t="s">
        <v>1043</v>
      </c>
      <c r="AN93" s="455">
        <v>5.32</v>
      </c>
      <c r="AO93" s="1239"/>
      <c r="AP93" s="1239"/>
      <c r="AQ93" s="484"/>
      <c r="AR93" s="484"/>
      <c r="AS93" s="484"/>
      <c r="AT93" s="484">
        <f>+ab($T$93,$T$91,$T$95,$G$92,$G$94, 1*$F$93,1200)</f>
        <v>7.9688088342854666</v>
      </c>
      <c r="AU93" s="638"/>
      <c r="AV93" s="638"/>
      <c r="AW93" s="638" t="str">
        <f>VLOOKUP(C93,'Foundation Calculation'!$A$2:$C$33,3,1)</f>
        <v>Soil B</v>
      </c>
      <c r="AX93" s="638" t="str">
        <f>VLOOKUP(C93,'Foundation Calculation'!$E$2:$G$33,3,1)</f>
        <v>PT</v>
      </c>
      <c r="AY93" s="484">
        <f>IF(AX93="PT",VLOOKUP(L93,'Foundation Calculation'!$K$2:$R$40,VLOOKUP(AW93,'Foundation Calculation'!$I$2:$J$8,2,FALSE),0),IF(AX93="K",VLOOKUP(L93,'Foundation Calculation'!$K$42:$R$80,VLOOKUP(AW93,'Foundation Calculation'!$I$2:$J$8,2,FALSE),0),""))</f>
        <v>3.5</v>
      </c>
      <c r="AZ93" s="484"/>
      <c r="BA93" s="671" t="s">
        <v>2809</v>
      </c>
      <c r="BB93" s="1239" t="str">
        <f>Pole_Calculations!A15</f>
        <v>App.7-V11A-P9.5.1.1</v>
      </c>
      <c r="BC93" s="169"/>
      <c r="BD93" s="1329"/>
      <c r="BE93" s="1329"/>
      <c r="BF93" s="1330"/>
      <c r="BG93" s="1329"/>
    </row>
    <row r="94" spans="1:59" ht="15.75" customHeight="1">
      <c r="A94" s="1239"/>
      <c r="B94" s="173"/>
      <c r="C94" s="446"/>
      <c r="D94" s="173"/>
      <c r="E94" s="447"/>
      <c r="F94" s="447"/>
      <c r="G94" s="484">
        <v>49.4</v>
      </c>
      <c r="H94" s="1239"/>
      <c r="I94" s="448"/>
      <c r="J94" s="171"/>
      <c r="K94" s="638"/>
      <c r="L94" s="638"/>
      <c r="M94" s="638"/>
      <c r="N94" s="1239"/>
      <c r="O94" s="1239"/>
      <c r="P94" s="1239"/>
      <c r="Q94" s="638"/>
      <c r="R94" s="638"/>
      <c r="S94" s="484"/>
      <c r="T94" s="638"/>
      <c r="U94" s="638"/>
      <c r="V94" s="638"/>
      <c r="W94" s="638"/>
      <c r="X94" s="638"/>
      <c r="Y94" s="638"/>
      <c r="Z94" s="638"/>
      <c r="AA94" s="638"/>
      <c r="AB94" s="638"/>
      <c r="AC94" s="638"/>
      <c r="AD94" s="638"/>
      <c r="AE94" s="638"/>
      <c r="AF94" s="638"/>
      <c r="AG94" s="446"/>
      <c r="AH94" s="638"/>
      <c r="AI94" s="638"/>
      <c r="AJ94" s="638"/>
      <c r="AK94" s="638"/>
      <c r="AL94" s="638"/>
      <c r="AM94" s="638"/>
      <c r="AN94" s="455"/>
      <c r="AO94" s="1239"/>
      <c r="AP94" s="1239"/>
      <c r="AQ94" s="484">
        <f>+FL_1($T$95,$T$93,$G$94,1200,9.28, 1*$F$95)</f>
        <v>0.41250814238511557</v>
      </c>
      <c r="AR94" s="484"/>
      <c r="AS94" s="484"/>
      <c r="AT94" s="484"/>
      <c r="AU94" s="638"/>
      <c r="AV94" s="638"/>
      <c r="AW94" s="638"/>
      <c r="AX94" s="638"/>
      <c r="AY94" s="484"/>
      <c r="AZ94" s="484"/>
      <c r="BA94" s="671"/>
      <c r="BB94" s="1239"/>
      <c r="BC94" s="169"/>
      <c r="BD94" s="1330"/>
      <c r="BE94" s="1330"/>
      <c r="BF94" s="1330"/>
      <c r="BG94" s="1330"/>
    </row>
    <row r="95" spans="1:59" ht="15.75" customHeight="1">
      <c r="A95" s="1239"/>
      <c r="B95" s="435" t="s">
        <v>3499</v>
      </c>
      <c r="C95" s="446">
        <f>+$C$93+$G$94</f>
        <v>81585.63</v>
      </c>
      <c r="D95" s="173"/>
      <c r="E95" s="447"/>
      <c r="F95" s="448">
        <f>(693^2)/(81779.89-C95)</f>
        <v>2472.1970554927052</v>
      </c>
      <c r="G95" s="484"/>
      <c r="H95" s="1239"/>
      <c r="I95" s="448"/>
      <c r="J95" s="171"/>
      <c r="K95" s="638"/>
      <c r="L95" s="638" t="s">
        <v>230</v>
      </c>
      <c r="M95" s="638" t="str">
        <f>IF(AX95="PT",VLOOKUP(L95,'Foundation Calculation'!$V$2:$X$40,VLOOKUP(AX95,'Foundation Calculation'!$I$10:$J$13,2,FALSE),0),IF(AX95="K",VLOOKUP(L95,'Foundation Calculation'!$V$42:$X$80,VLOOKUP(AX95,'Foundation Calculation'!$I$10:$J$13,2,FALSE),0),""))</f>
        <v>C4R</v>
      </c>
      <c r="N95" s="1239" t="s">
        <v>144</v>
      </c>
      <c r="O95" s="1239"/>
      <c r="P95" s="1239"/>
      <c r="Q95" s="638"/>
      <c r="R95" s="638"/>
      <c r="S95" s="484"/>
      <c r="T95" s="638">
        <v>30</v>
      </c>
      <c r="U95" s="638"/>
      <c r="V95" s="638"/>
      <c r="W95" s="638">
        <v>1.2</v>
      </c>
      <c r="X95" s="638"/>
      <c r="Y95" s="638"/>
      <c r="Z95" s="638"/>
      <c r="AA95" s="638"/>
      <c r="AB95" s="638"/>
      <c r="AC95" s="638" t="str">
        <f t="shared" si="1"/>
        <v>PH</v>
      </c>
      <c r="AD95" s="638"/>
      <c r="AE95" s="638"/>
      <c r="AF95" s="638"/>
      <c r="AG95" s="446"/>
      <c r="AH95" s="638"/>
      <c r="AI95" s="638"/>
      <c r="AJ95" s="638"/>
      <c r="AK95" s="638"/>
      <c r="AL95" s="638"/>
      <c r="AM95" s="638" t="s">
        <v>1043</v>
      </c>
      <c r="AN95" s="455">
        <v>5.22</v>
      </c>
      <c r="AO95" s="1239"/>
      <c r="AP95" s="1239"/>
      <c r="AQ95" s="484"/>
      <c r="AR95" s="484"/>
      <c r="AS95" s="484"/>
      <c r="AT95" s="484">
        <f>+ab($T$95,$T$93,$T$97,$G$94,$G$96, 1*$F$95,1200)</f>
        <v>8.6534091391016599</v>
      </c>
      <c r="AU95" s="638"/>
      <c r="AV95" s="638"/>
      <c r="AW95" s="638" t="str">
        <f>VLOOKUP(C95,'Foundation Calculation'!$A$2:$C$33,3,1)</f>
        <v>Soil B</v>
      </c>
      <c r="AX95" s="638" t="str">
        <f>VLOOKUP(C95,'Foundation Calculation'!$E$2:$G$33,3,1)</f>
        <v>PT</v>
      </c>
      <c r="AY95" s="484">
        <f>IF(AX95="PT",VLOOKUP(L95,'Foundation Calculation'!$K$2:$R$40,VLOOKUP(AW95,'Foundation Calculation'!$I$2:$J$8,2,FALSE),0),IF(AX95="K",VLOOKUP(L95,'Foundation Calculation'!$K$42:$R$80,VLOOKUP(AW95,'Foundation Calculation'!$I$2:$J$8,2,FALSE),0),""))</f>
        <v>3.5</v>
      </c>
      <c r="AZ95" s="484"/>
      <c r="BA95" s="671" t="s">
        <v>2809</v>
      </c>
      <c r="BB95" s="1239" t="str">
        <f>Pole_Calculations!A15</f>
        <v>App.7-V11A-P9.5.1.1</v>
      </c>
      <c r="BC95" s="169"/>
      <c r="BD95" s="1329"/>
      <c r="BE95" s="1329"/>
      <c r="BF95" s="1330"/>
      <c r="BG95" s="1329"/>
    </row>
    <row r="96" spans="1:59" ht="15.75" customHeight="1">
      <c r="A96" s="1239"/>
      <c r="B96" s="173"/>
      <c r="C96" s="446"/>
      <c r="D96" s="173"/>
      <c r="E96" s="447"/>
      <c r="F96" s="447"/>
      <c r="G96" s="484">
        <v>49.4</v>
      </c>
      <c r="H96" s="1239"/>
      <c r="I96" s="448"/>
      <c r="J96" s="171"/>
      <c r="K96" s="638"/>
      <c r="L96" s="638"/>
      <c r="M96" s="638"/>
      <c r="N96" s="638"/>
      <c r="O96" s="1239"/>
      <c r="P96" s="1239"/>
      <c r="Q96" s="638"/>
      <c r="R96" s="638"/>
      <c r="S96" s="484"/>
      <c r="T96" s="638"/>
      <c r="U96" s="638"/>
      <c r="V96" s="638"/>
      <c r="W96" s="638"/>
      <c r="X96" s="638"/>
      <c r="Y96" s="638"/>
      <c r="Z96" s="638"/>
      <c r="AA96" s="638"/>
      <c r="AB96" s="638"/>
      <c r="AC96" s="638"/>
      <c r="AD96" s="638"/>
      <c r="AE96" s="638"/>
      <c r="AF96" s="638"/>
      <c r="AG96" s="446"/>
      <c r="AH96" s="638"/>
      <c r="AI96" s="638"/>
      <c r="AJ96" s="638"/>
      <c r="AK96" s="638"/>
      <c r="AL96" s="638"/>
      <c r="AM96" s="638"/>
      <c r="AN96" s="455"/>
      <c r="AO96" s="1239"/>
      <c r="AP96" s="1239"/>
      <c r="AQ96" s="484">
        <f>+FL_1($T$97,$T$95,$G$96,1200,9.28, 1*$F$97)</f>
        <v>0.39823157873112419</v>
      </c>
      <c r="AR96" s="484"/>
      <c r="AS96" s="484"/>
      <c r="AT96" s="484"/>
      <c r="AU96" s="638"/>
      <c r="AV96" s="638"/>
      <c r="AW96" s="638"/>
      <c r="AX96" s="638"/>
      <c r="AY96" s="484"/>
      <c r="AZ96" s="484"/>
      <c r="BA96" s="671"/>
      <c r="BB96" s="1239"/>
      <c r="BC96" s="169"/>
      <c r="BD96" s="1330"/>
      <c r="BE96" s="1330"/>
      <c r="BF96" s="1330"/>
      <c r="BG96" s="1330"/>
    </row>
    <row r="97" spans="1:59" ht="15.75" customHeight="1">
      <c r="A97" s="1239"/>
      <c r="B97" s="435" t="s">
        <v>3500</v>
      </c>
      <c r="C97" s="446">
        <f>+$C$95+$G$96</f>
        <v>81635.03</v>
      </c>
      <c r="D97" s="173"/>
      <c r="E97" s="447"/>
      <c r="F97" s="448">
        <f>(693^2)/(81779.89-C97)</f>
        <v>3315.2630125638416</v>
      </c>
      <c r="G97" s="484"/>
      <c r="H97" s="1239"/>
      <c r="I97" s="448"/>
      <c r="J97" s="171"/>
      <c r="K97" s="638"/>
      <c r="L97" s="638" t="s">
        <v>229</v>
      </c>
      <c r="M97" s="638" t="str">
        <f>IF(AX97="PT",VLOOKUP(L97,'Foundation Calculation'!$V$2:$X$40,VLOOKUP(AX97,'Foundation Calculation'!$I$10:$J$13,2,FALSE),0),IF(AX97="K",VLOOKUP(L97,'Foundation Calculation'!$V$42:$X$80,VLOOKUP(AX97,'Foundation Calculation'!$I$10:$J$13,2,FALSE),0),""))</f>
        <v>C3R</v>
      </c>
      <c r="N97" s="1239" t="s">
        <v>144</v>
      </c>
      <c r="O97" s="1239"/>
      <c r="P97" s="1239"/>
      <c r="Q97" s="638"/>
      <c r="R97" s="638"/>
      <c r="S97" s="484"/>
      <c r="T97" s="638">
        <v>20</v>
      </c>
      <c r="U97" s="638"/>
      <c r="V97" s="638"/>
      <c r="W97" s="638">
        <v>1</v>
      </c>
      <c r="X97" s="638"/>
      <c r="Y97" s="638"/>
      <c r="Z97" s="638"/>
      <c r="AA97" s="638"/>
      <c r="AB97" s="638"/>
      <c r="AC97" s="638" t="str">
        <f t="shared" si="1"/>
        <v>PH</v>
      </c>
      <c r="AD97" s="638"/>
      <c r="AE97" s="638"/>
      <c r="AF97" s="638"/>
      <c r="AG97" s="446"/>
      <c r="AH97" s="638"/>
      <c r="AI97" s="638"/>
      <c r="AJ97" s="638"/>
      <c r="AK97" s="638"/>
      <c r="AL97" s="638"/>
      <c r="AM97" s="638" t="s">
        <v>1043</v>
      </c>
      <c r="AN97" s="455">
        <v>5.15</v>
      </c>
      <c r="AO97" s="1239"/>
      <c r="AP97" s="1239"/>
      <c r="AQ97" s="484"/>
      <c r="AR97" s="484"/>
      <c r="AS97" s="484"/>
      <c r="AT97" s="484">
        <f>+ab($T$97,$T$95,$T$99,$G$96,$G$98, 1*$F$97,1200)</f>
        <v>13.923140431784894</v>
      </c>
      <c r="AU97" s="638"/>
      <c r="AV97" s="638"/>
      <c r="AW97" s="638" t="str">
        <f>VLOOKUP(C97,'Foundation Calculation'!$A$2:$C$33,3,1)</f>
        <v>Soil B</v>
      </c>
      <c r="AX97" s="638" t="str">
        <f>VLOOKUP(C97,'Foundation Calculation'!$E$2:$G$33,3,1)</f>
        <v>PT</v>
      </c>
      <c r="AY97" s="484">
        <f>IF(AX97="PT",VLOOKUP(L97,'Foundation Calculation'!$K$2:$R$40,VLOOKUP(AW97,'Foundation Calculation'!$I$2:$J$8,2,FALSE),0),IF(AX97="K",VLOOKUP(L97,'Foundation Calculation'!$K$42:$R$80,VLOOKUP(AW97,'Foundation Calculation'!$I$2:$J$8,2,FALSE),0),""))</f>
        <v>3.5</v>
      </c>
      <c r="AZ97" s="484"/>
      <c r="BA97" s="671" t="s">
        <v>2809</v>
      </c>
      <c r="BB97" s="1239" t="str">
        <f>Pole_Calculations!A15</f>
        <v>App.7-V11A-P9.5.1.1</v>
      </c>
      <c r="BC97" s="169"/>
      <c r="BD97" s="1329"/>
      <c r="BE97" s="1329"/>
      <c r="BF97" s="1330"/>
      <c r="BG97" s="1329"/>
    </row>
    <row r="98" spans="1:59" ht="15.75" customHeight="1">
      <c r="A98" s="488" t="s">
        <v>1851</v>
      </c>
      <c r="B98" s="639"/>
      <c r="C98" s="489"/>
      <c r="D98" s="639"/>
      <c r="E98" s="491"/>
      <c r="F98" s="491"/>
      <c r="G98" s="493">
        <v>53.6</v>
      </c>
      <c r="H98" s="495"/>
      <c r="I98" s="492"/>
      <c r="J98" s="431"/>
      <c r="K98" s="490"/>
      <c r="L98" s="490"/>
      <c r="M98" s="490"/>
      <c r="N98" s="495"/>
      <c r="O98" s="495"/>
      <c r="P98" s="495"/>
      <c r="Q98" s="490"/>
      <c r="R98" s="490"/>
      <c r="S98" s="493"/>
      <c r="T98" s="490"/>
      <c r="U98" s="490"/>
      <c r="V98" s="490"/>
      <c r="W98" s="490"/>
      <c r="X98" s="490"/>
      <c r="Y98" s="490"/>
      <c r="Z98" s="490"/>
      <c r="AA98" s="490"/>
      <c r="AB98" s="490"/>
      <c r="AC98" s="490"/>
      <c r="AD98" s="490"/>
      <c r="AE98" s="490"/>
      <c r="AF98" s="490"/>
      <c r="AG98" s="489"/>
      <c r="AH98" s="490"/>
      <c r="AI98" s="490"/>
      <c r="AJ98" s="490"/>
      <c r="AK98" s="490"/>
      <c r="AL98" s="490"/>
      <c r="AM98" s="490"/>
      <c r="AN98" s="457"/>
      <c r="AO98" s="495"/>
      <c r="AP98" s="495"/>
      <c r="AQ98" s="493">
        <f>+FL_1($T$99,$T$97,$G$98,1200,9.28, 1*$F$99)</f>
        <v>0.40947673487148606</v>
      </c>
      <c r="AR98" s="493"/>
      <c r="AS98" s="493"/>
      <c r="AT98" s="493"/>
      <c r="AU98" s="490"/>
      <c r="AV98" s="490"/>
      <c r="AW98" s="490"/>
      <c r="AX98" s="490"/>
      <c r="AY98" s="493"/>
      <c r="AZ98" s="493"/>
      <c r="BA98" s="602"/>
      <c r="BB98" s="488"/>
      <c r="BC98" s="169"/>
      <c r="BD98" s="1330"/>
      <c r="BE98" s="1330"/>
      <c r="BF98" s="1330"/>
      <c r="BG98" s="1330"/>
    </row>
    <row r="99" spans="1:59" ht="15.75" customHeight="1">
      <c r="A99" s="1239"/>
      <c r="B99" s="435" t="s">
        <v>3501</v>
      </c>
      <c r="C99" s="446">
        <f>+$C$97+$G$98</f>
        <v>81688.63</v>
      </c>
      <c r="D99" s="173"/>
      <c r="E99" s="447"/>
      <c r="F99" s="448">
        <f>(693^2)/(81779.89-C99)</f>
        <v>5262.4260355032611</v>
      </c>
      <c r="G99" s="484"/>
      <c r="H99" s="1239"/>
      <c r="I99" s="448"/>
      <c r="J99" s="171"/>
      <c r="K99" s="638"/>
      <c r="L99" s="638" t="s">
        <v>229</v>
      </c>
      <c r="M99" s="638" t="str">
        <f>IF(AX99="PT",VLOOKUP(L99,'Foundation Calculation'!$V$2:$X$40,VLOOKUP(AX99,'Foundation Calculation'!$I$10:$J$13,2,FALSE),0),IF(AX99="K",VLOOKUP(L99,'Foundation Calculation'!$V$42:$X$80,VLOOKUP(AX99,'Foundation Calculation'!$I$10:$J$13,2,FALSE),0),""))</f>
        <v>C3R</v>
      </c>
      <c r="N99" s="1239" t="s">
        <v>144</v>
      </c>
      <c r="O99" s="1239"/>
      <c r="P99" s="1239"/>
      <c r="Q99" s="638"/>
      <c r="R99" s="638"/>
      <c r="S99" s="484"/>
      <c r="T99" s="638">
        <v>20</v>
      </c>
      <c r="U99" s="638"/>
      <c r="V99" s="638"/>
      <c r="W99" s="638">
        <v>1</v>
      </c>
      <c r="X99" s="638"/>
      <c r="Y99" s="638"/>
      <c r="Z99" s="638"/>
      <c r="AA99" s="638"/>
      <c r="AB99" s="638"/>
      <c r="AC99" s="638" t="str">
        <f t="shared" si="1"/>
        <v>PH</v>
      </c>
      <c r="AD99" s="638"/>
      <c r="AE99" s="638"/>
      <c r="AF99" s="638"/>
      <c r="AG99" s="446"/>
      <c r="AH99" s="638"/>
      <c r="AI99" s="638"/>
      <c r="AJ99" s="638"/>
      <c r="AK99" s="638"/>
      <c r="AL99" s="638"/>
      <c r="AM99" s="638" t="s">
        <v>1043</v>
      </c>
      <c r="AN99" s="455">
        <v>5.15</v>
      </c>
      <c r="AO99" s="1239"/>
      <c r="AP99" s="1239"/>
      <c r="AQ99" s="484"/>
      <c r="AR99" s="484"/>
      <c r="AS99" s="484"/>
      <c r="AT99" s="484">
        <f>+ab($T$99,$T$97,$T$101,$G$98,$G$100, 1*$F$99,1200)</f>
        <v>10.227501473076231</v>
      </c>
      <c r="AU99" s="638"/>
      <c r="AV99" s="638"/>
      <c r="AW99" s="638" t="str">
        <f>VLOOKUP(C99,'Foundation Calculation'!$A$2:$C$33,3,1)</f>
        <v>Soil B</v>
      </c>
      <c r="AX99" s="638" t="str">
        <f>VLOOKUP(C99,'Foundation Calculation'!$E$2:$G$33,3,1)</f>
        <v>PT</v>
      </c>
      <c r="AY99" s="484">
        <f>IF(AX99="PT",VLOOKUP(L99,'Foundation Calculation'!$K$2:$R$40,VLOOKUP(AW99,'Foundation Calculation'!$I$2:$J$8,2,FALSE),0),IF(AX99="K",VLOOKUP(L99,'Foundation Calculation'!$K$42:$R$80,VLOOKUP(AW99,'Foundation Calculation'!$I$2:$J$8,2,FALSE),0),""))</f>
        <v>3.5</v>
      </c>
      <c r="AZ99" s="484"/>
      <c r="BA99" s="671" t="s">
        <v>2809</v>
      </c>
      <c r="BB99" s="1239" t="str">
        <f>Pole_Calculations!A15</f>
        <v>App.7-V11A-P9.5.1.1</v>
      </c>
      <c r="BC99" s="169"/>
      <c r="BD99" s="1329"/>
      <c r="BE99" s="1329"/>
      <c r="BF99" s="1330"/>
      <c r="BG99" s="1329"/>
    </row>
    <row r="100" spans="1:59" ht="15.75" customHeight="1">
      <c r="A100" s="1239"/>
      <c r="B100" s="173"/>
      <c r="C100" s="446"/>
      <c r="D100" s="173"/>
      <c r="E100" s="447"/>
      <c r="F100" s="447"/>
      <c r="G100" s="484">
        <v>53.9</v>
      </c>
      <c r="H100" s="1239"/>
      <c r="I100" s="448"/>
      <c r="J100" s="171"/>
      <c r="K100" s="638"/>
      <c r="L100" s="638"/>
      <c r="M100" s="638"/>
      <c r="N100" s="1239"/>
      <c r="O100" s="1239"/>
      <c r="P100" s="1239"/>
      <c r="Q100" s="638"/>
      <c r="R100" s="638"/>
      <c r="S100" s="484"/>
      <c r="T100" s="638"/>
      <c r="U100" s="638"/>
      <c r="V100" s="638"/>
      <c r="W100" s="638"/>
      <c r="X100" s="638"/>
      <c r="Y100" s="638"/>
      <c r="Z100" s="638"/>
      <c r="AA100" s="638"/>
      <c r="AB100" s="638"/>
      <c r="AC100" s="638"/>
      <c r="AD100" s="638"/>
      <c r="AE100" s="638"/>
      <c r="AF100" s="638"/>
      <c r="AG100" s="446"/>
      <c r="AH100" s="638"/>
      <c r="AI100" s="638"/>
      <c r="AJ100" s="638"/>
      <c r="AK100" s="638"/>
      <c r="AL100" s="638"/>
      <c r="AM100" s="638"/>
      <c r="AN100" s="455"/>
      <c r="AO100" s="1239"/>
      <c r="AP100" s="1239"/>
      <c r="AQ100" s="484">
        <f>+FL_2($T$101,$T$99,$G$100,1200,9.28, 1*$F$101)</f>
        <v>-0.37503473865513781</v>
      </c>
      <c r="AR100" s="484"/>
      <c r="AS100" s="484"/>
      <c r="AT100" s="484"/>
      <c r="AU100" s="638"/>
      <c r="AV100" s="638"/>
      <c r="AW100" s="638"/>
      <c r="AX100" s="638"/>
      <c r="AY100" s="484"/>
      <c r="AZ100" s="484"/>
      <c r="BA100" s="671"/>
      <c r="BB100" s="1239"/>
      <c r="BC100" s="169"/>
      <c r="BD100" s="1330"/>
      <c r="BE100" s="1330"/>
      <c r="BF100" s="1330"/>
      <c r="BG100" s="1330"/>
    </row>
    <row r="101" spans="1:59" ht="15.75" customHeight="1">
      <c r="A101" s="1239"/>
      <c r="B101" s="435" t="s">
        <v>3502</v>
      </c>
      <c r="C101" s="446">
        <f>+$C$99+$G$100</f>
        <v>81742.53</v>
      </c>
      <c r="D101" s="173"/>
      <c r="E101" s="447"/>
      <c r="F101" s="448">
        <f>(693^2)/(81779.89-C101)</f>
        <v>12854.63062098481</v>
      </c>
      <c r="G101" s="484"/>
      <c r="H101" s="1239"/>
      <c r="I101" s="448"/>
      <c r="J101" s="171"/>
      <c r="K101" s="638"/>
      <c r="L101" s="638" t="s">
        <v>229</v>
      </c>
      <c r="M101" s="638" t="str">
        <f>IF(AX101="PT",VLOOKUP(L101,'Foundation Calculation'!$V$2:$X$40,VLOOKUP(AX101,'Foundation Calculation'!$I$10:$J$13,2,FALSE),0),IF(AX101="K",VLOOKUP(L101,'Foundation Calculation'!$V$42:$X$80,VLOOKUP(AX101,'Foundation Calculation'!$I$10:$J$13,2,FALSE),0),""))</f>
        <v>C3R</v>
      </c>
      <c r="N101" s="1239" t="s">
        <v>143</v>
      </c>
      <c r="O101" s="1239"/>
      <c r="P101" s="1239"/>
      <c r="Q101" s="638"/>
      <c r="R101" s="638"/>
      <c r="S101" s="484"/>
      <c r="T101" s="638">
        <v>-25</v>
      </c>
      <c r="U101" s="638"/>
      <c r="V101" s="638"/>
      <c r="W101" s="638">
        <v>1.2</v>
      </c>
      <c r="X101" s="638"/>
      <c r="Y101" s="638"/>
      <c r="Z101" s="638"/>
      <c r="AA101" s="638"/>
      <c r="AB101" s="638"/>
      <c r="AC101" s="638" t="str">
        <f t="shared" si="1"/>
        <v>PH</v>
      </c>
      <c r="AD101" s="638"/>
      <c r="AE101" s="638"/>
      <c r="AF101" s="638"/>
      <c r="AG101" s="446"/>
      <c r="AH101" s="638"/>
      <c r="AI101" s="638"/>
      <c r="AJ101" s="638"/>
      <c r="AK101" s="638"/>
      <c r="AL101" s="638"/>
      <c r="AM101" s="638" t="s">
        <v>1043</v>
      </c>
      <c r="AN101" s="455">
        <v>5.15</v>
      </c>
      <c r="AO101" s="1239"/>
      <c r="AP101" s="1239"/>
      <c r="AQ101" s="484"/>
      <c r="AR101" s="484"/>
      <c r="AS101" s="484"/>
      <c r="AT101" s="484">
        <f>+ab($T$101,$T$99,$T$103,$G$100,$G$102, 1*$F$101,1200)</f>
        <v>-14.356706260689599</v>
      </c>
      <c r="AU101" s="638"/>
      <c r="AV101" s="638"/>
      <c r="AW101" s="638" t="str">
        <f>VLOOKUP(C101,'Foundation Calculation'!$A$2:$C$33,3,1)</f>
        <v>Soil B</v>
      </c>
      <c r="AX101" s="638" t="str">
        <f>VLOOKUP(C101,'Foundation Calculation'!$E$2:$G$33,3,1)</f>
        <v>PT</v>
      </c>
      <c r="AY101" s="484">
        <f>IF(AX101="PT",VLOOKUP(L101,'Foundation Calculation'!$K$2:$R$40,VLOOKUP(AW101,'Foundation Calculation'!$I$2:$J$8,2,FALSE),0),IF(AX101="K",VLOOKUP(L101,'Foundation Calculation'!$K$42:$R$80,VLOOKUP(AW101,'Foundation Calculation'!$I$2:$J$8,2,FALSE),0),""))</f>
        <v>3.5</v>
      </c>
      <c r="AZ101" s="484"/>
      <c r="BA101" s="671" t="s">
        <v>2809</v>
      </c>
      <c r="BB101" s="1239" t="str">
        <f>Pole_Calculations!A15</f>
        <v>App.7-V11A-P9.5.1.1</v>
      </c>
      <c r="BC101" s="169"/>
      <c r="BD101" s="1329"/>
      <c r="BE101" s="1329"/>
      <c r="BF101" s="1330"/>
      <c r="BG101" s="1329"/>
    </row>
    <row r="102" spans="1:59" ht="15.75" customHeight="1">
      <c r="A102" s="1239"/>
      <c r="B102" s="173"/>
      <c r="C102" s="446"/>
      <c r="D102" s="173"/>
      <c r="E102" s="447"/>
      <c r="F102" s="447"/>
      <c r="G102" s="484">
        <v>60</v>
      </c>
      <c r="H102" s="1239"/>
      <c r="I102" s="448"/>
      <c r="J102" s="171"/>
      <c r="K102" s="638"/>
      <c r="L102" s="638"/>
      <c r="M102" s="638"/>
      <c r="N102" s="638"/>
      <c r="O102" s="1239"/>
      <c r="P102" s="1239"/>
      <c r="Q102" s="638"/>
      <c r="R102" s="638"/>
      <c r="S102" s="484"/>
      <c r="T102" s="638"/>
      <c r="U102" s="638"/>
      <c r="V102" s="638"/>
      <c r="W102" s="638"/>
      <c r="X102" s="638"/>
      <c r="Y102" s="638"/>
      <c r="Z102" s="638"/>
      <c r="AA102" s="638"/>
      <c r="AB102" s="638"/>
      <c r="AC102" s="638"/>
      <c r="AD102" s="638"/>
      <c r="AE102" s="638"/>
      <c r="AF102" s="638"/>
      <c r="AG102" s="446"/>
      <c r="AH102" s="638"/>
      <c r="AI102" s="638"/>
      <c r="AJ102" s="638"/>
      <c r="AK102" s="638"/>
      <c r="AL102" s="638"/>
      <c r="AM102" s="638"/>
      <c r="AN102" s="455"/>
      <c r="AO102" s="1239"/>
      <c r="AP102" s="1239"/>
      <c r="AQ102" s="484">
        <f>+FL_1($T$103,$T$101,$G$102,1200,9.28, 1*$F$103)</f>
        <v>0.42732829999999994</v>
      </c>
      <c r="AR102" s="484"/>
      <c r="AS102" s="484"/>
      <c r="AT102" s="484"/>
      <c r="AU102" s="638"/>
      <c r="AV102" s="638"/>
      <c r="AW102" s="638"/>
      <c r="AX102" s="638"/>
      <c r="AY102" s="484"/>
      <c r="AZ102" s="484"/>
      <c r="BA102" s="671"/>
      <c r="BB102" s="1239"/>
      <c r="BC102" s="169"/>
      <c r="BD102" s="1330"/>
      <c r="BE102" s="1330"/>
      <c r="BF102" s="1330"/>
      <c r="BG102" s="1330"/>
    </row>
    <row r="103" spans="1:59" ht="15.75" customHeight="1">
      <c r="A103" s="1239"/>
      <c r="B103" s="435" t="s">
        <v>3503</v>
      </c>
      <c r="C103" s="446">
        <f>+$C$101+$G$102</f>
        <v>81802.53</v>
      </c>
      <c r="D103" s="173"/>
      <c r="E103" s="447"/>
      <c r="F103" s="447">
        <v>0</v>
      </c>
      <c r="G103" s="484"/>
      <c r="H103" s="1239"/>
      <c r="I103" s="448"/>
      <c r="J103" s="171"/>
      <c r="K103" s="638"/>
      <c r="L103" s="638" t="s">
        <v>229</v>
      </c>
      <c r="M103" s="638" t="str">
        <f>IF(AX103="PT",VLOOKUP(L103,'Foundation Calculation'!$V$2:$X$40,VLOOKUP(AX103,'Foundation Calculation'!$I$10:$J$13,2,FALSE),0),IF(AX103="K",VLOOKUP(L103,'Foundation Calculation'!$V$42:$X$80,VLOOKUP(AX103,'Foundation Calculation'!$I$10:$J$13,2,FALSE),0),""))</f>
        <v>C3R</v>
      </c>
      <c r="N103" s="1239" t="s">
        <v>144</v>
      </c>
      <c r="O103" s="1239"/>
      <c r="P103" s="1239"/>
      <c r="Q103" s="638"/>
      <c r="R103" s="638"/>
      <c r="S103" s="484"/>
      <c r="T103" s="638">
        <v>30</v>
      </c>
      <c r="U103" s="638"/>
      <c r="V103" s="638"/>
      <c r="W103" s="638">
        <v>1.4</v>
      </c>
      <c r="X103" s="638"/>
      <c r="Y103" s="638"/>
      <c r="Z103" s="638"/>
      <c r="AA103" s="638"/>
      <c r="AB103" s="638"/>
      <c r="AC103" s="638" t="str">
        <f t="shared" si="1"/>
        <v>PH</v>
      </c>
      <c r="AD103" s="638"/>
      <c r="AE103" s="638"/>
      <c r="AF103" s="638"/>
      <c r="AG103" s="446"/>
      <c r="AH103" s="638"/>
      <c r="AI103" s="638"/>
      <c r="AJ103" s="638"/>
      <c r="AK103" s="638"/>
      <c r="AL103" s="638"/>
      <c r="AM103" s="638" t="s">
        <v>1043</v>
      </c>
      <c r="AN103" s="455">
        <v>5.15</v>
      </c>
      <c r="AO103" s="1239"/>
      <c r="AP103" s="1239"/>
      <c r="AQ103" s="484"/>
      <c r="AR103" s="484"/>
      <c r="AS103" s="484"/>
      <c r="AT103" s="484">
        <f>+ab($T$103,$T$101,$T$105,$G$102,$G$104, 1*$F$103,1200)</f>
        <v>10.352681091706586</v>
      </c>
      <c r="AU103" s="638"/>
      <c r="AV103" s="638"/>
      <c r="AW103" s="638" t="str">
        <f>VLOOKUP(C103,'Foundation Calculation'!$A$2:$C$33,3,1)</f>
        <v>Soil B</v>
      </c>
      <c r="AX103" s="638" t="str">
        <f>VLOOKUP(C103,'Foundation Calculation'!$E$2:$G$33,3,1)</f>
        <v>PT</v>
      </c>
      <c r="AY103" s="484">
        <f>IF(AX103="PT",VLOOKUP(L103,'Foundation Calculation'!$K$2:$R$40,VLOOKUP(AW103,'Foundation Calculation'!$I$2:$J$8,2,FALSE),0),IF(AX103="K",VLOOKUP(L103,'Foundation Calculation'!$K$42:$R$80,VLOOKUP(AW103,'Foundation Calculation'!$I$2:$J$8,2,FALSE),0),""))</f>
        <v>3.5</v>
      </c>
      <c r="AZ103" s="484"/>
      <c r="BA103" s="671" t="s">
        <v>2809</v>
      </c>
      <c r="BB103" s="1239" t="str">
        <f>Pole_Calculations!A15</f>
        <v>App.7-V11A-P9.5.1.1</v>
      </c>
      <c r="BC103" s="169"/>
      <c r="BD103" s="1329"/>
      <c r="BE103" s="1329"/>
      <c r="BF103" s="1330"/>
      <c r="BG103" s="1329"/>
    </row>
    <row r="104" spans="1:59" ht="15.75" customHeight="1">
      <c r="A104" s="1239"/>
      <c r="B104" s="173"/>
      <c r="C104" s="446"/>
      <c r="D104" s="173"/>
      <c r="E104" s="447"/>
      <c r="F104" s="447"/>
      <c r="G104" s="484">
        <v>60</v>
      </c>
      <c r="H104" s="638"/>
      <c r="I104" s="448"/>
      <c r="J104" s="171">
        <f>C105-7.5</f>
        <v>81855.03</v>
      </c>
      <c r="K104" s="638" t="s">
        <v>2787</v>
      </c>
      <c r="L104" s="638"/>
      <c r="M104" s="638"/>
      <c r="N104" s="638"/>
      <c r="O104" s="571"/>
      <c r="P104" s="1239"/>
      <c r="Q104" s="638"/>
      <c r="R104" s="638"/>
      <c r="S104" s="484"/>
      <c r="T104" s="638"/>
      <c r="U104" s="638"/>
      <c r="V104" s="638"/>
      <c r="W104" s="638"/>
      <c r="X104" s="638"/>
      <c r="Y104" s="638"/>
      <c r="Z104" s="638"/>
      <c r="AA104" s="638"/>
      <c r="AB104" s="638"/>
      <c r="AC104" s="638"/>
      <c r="AD104" s="638"/>
      <c r="AE104" s="638"/>
      <c r="AF104" s="638"/>
      <c r="AG104" s="446"/>
      <c r="AH104" s="638"/>
      <c r="AI104" s="638"/>
      <c r="AJ104" s="638"/>
      <c r="AK104" s="638"/>
      <c r="AL104" s="638"/>
      <c r="AM104" s="638"/>
      <c r="AN104" s="455"/>
      <c r="AO104" s="1239"/>
      <c r="AP104" s="1239"/>
      <c r="AQ104" s="484">
        <f>+FL_1($T$105,$T$103,$G$104,1200,9.28, 1*$F$105)</f>
        <v>0.42732829999999999</v>
      </c>
      <c r="AR104" s="484"/>
      <c r="AS104" s="484"/>
      <c r="AT104" s="484"/>
      <c r="AU104" s="638"/>
      <c r="AV104" s="638"/>
      <c r="AW104" s="638" t="str">
        <f>VLOOKUP(J104,'Foundation Calculation'!$A$2:$C$33,3,1)</f>
        <v>Soil B</v>
      </c>
      <c r="AX104" s="638" t="str">
        <f>VLOOKUP(J104,'Foundation Calculation'!$E$2:$G$33,3,1)</f>
        <v>PT</v>
      </c>
      <c r="AY104" s="484"/>
      <c r="AZ104" s="484">
        <f>IF(AX104="PT",VLOOKUP(K104,'Foundation Calculation'!$K$2:$R$40,VLOOKUP(AW104,'Foundation Calculation'!$I$2:$J$8,2,FALSE),0),IF(AX104="K",VLOOKUP(K104,'Foundation Calculation'!$K$42:$R$80,VLOOKUP(AW104,'Foundation Calculation'!$I$2:$J$8,2,FALSE),0),""))</f>
        <v>3.9</v>
      </c>
      <c r="BA104" s="671" t="s">
        <v>2809</v>
      </c>
      <c r="BB104" s="1239"/>
      <c r="BC104" s="169"/>
      <c r="BD104" s="1329"/>
      <c r="BE104" s="1330"/>
      <c r="BF104" s="1330"/>
      <c r="BG104" s="1330"/>
    </row>
    <row r="105" spans="1:59" ht="15.75" customHeight="1">
      <c r="A105" s="1239"/>
      <c r="B105" s="435" t="s">
        <v>3504</v>
      </c>
      <c r="C105" s="446">
        <f>+$C$103+$G$104</f>
        <v>81862.53</v>
      </c>
      <c r="D105" s="173"/>
      <c r="E105" s="447"/>
      <c r="F105" s="447">
        <v>0</v>
      </c>
      <c r="G105" s="484"/>
      <c r="H105" s="1239" t="s">
        <v>138</v>
      </c>
      <c r="I105" s="448" t="s">
        <v>623</v>
      </c>
      <c r="J105" s="171"/>
      <c r="K105" s="638"/>
      <c r="L105" s="638" t="s">
        <v>898</v>
      </c>
      <c r="M105" s="638" t="str">
        <f>IF(AX105="PT",VLOOKUP(L105,'Foundation Calculation'!$V$2:$X$40,VLOOKUP(AX105,'Foundation Calculation'!$I$10:$J$13,2,FALSE),0),IF(AX105="K",VLOOKUP(L105,'Foundation Calculation'!$V$42:$X$80,VLOOKUP(AX105,'Foundation Calculation'!$I$10:$J$13,2,FALSE),0),""))</f>
        <v>C4R</v>
      </c>
      <c r="N105" s="1239" t="s">
        <v>143</v>
      </c>
      <c r="O105" s="1239"/>
      <c r="P105" s="1239"/>
      <c r="Q105" s="638"/>
      <c r="R105" s="638"/>
      <c r="S105" s="484"/>
      <c r="T105" s="638">
        <v>-25</v>
      </c>
      <c r="U105" s="638"/>
      <c r="V105" s="638"/>
      <c r="W105" s="638">
        <v>1.4</v>
      </c>
      <c r="X105" s="638"/>
      <c r="Y105" s="638"/>
      <c r="Z105" s="638"/>
      <c r="AA105" s="638"/>
      <c r="AB105" s="638"/>
      <c r="AC105" s="638" t="str">
        <f t="shared" si="1"/>
        <v>PH</v>
      </c>
      <c r="AD105" s="638"/>
      <c r="AE105" s="638"/>
      <c r="AF105" s="638"/>
      <c r="AG105" s="446"/>
      <c r="AH105" s="638"/>
      <c r="AI105" s="638"/>
      <c r="AJ105" s="638"/>
      <c r="AK105" s="638"/>
      <c r="AL105" s="638"/>
      <c r="AM105" s="638" t="s">
        <v>1043</v>
      </c>
      <c r="AN105" s="455">
        <v>5.15</v>
      </c>
      <c r="AO105" s="1239"/>
      <c r="AP105" s="1239"/>
      <c r="AQ105" s="484"/>
      <c r="AR105" s="484"/>
      <c r="AS105" s="484"/>
      <c r="AT105" s="484">
        <f>+ab($T$105,$T$103,$T$107,$G$104,$G$106, 1*$F$105,1200)</f>
        <v>-9.5623315069136794</v>
      </c>
      <c r="AU105" s="638"/>
      <c r="AV105" s="638"/>
      <c r="AW105" s="638" t="str">
        <f>VLOOKUP(C105,'Foundation Calculation'!$A$2:$C$33,3,1)</f>
        <v>Soil B</v>
      </c>
      <c r="AX105" s="638" t="str">
        <f>VLOOKUP(C105,'Foundation Calculation'!$E$2:$G$33,3,1)</f>
        <v>PT</v>
      </c>
      <c r="AY105" s="484">
        <f>IF(AX105="PT",VLOOKUP(L105,'Foundation Calculation'!$K$2:$R$40,VLOOKUP(AW105,'Foundation Calculation'!$I$2:$J$8,2,FALSE),0),IF(AX105="K",VLOOKUP(L105,'Foundation Calculation'!$K$42:$R$80,VLOOKUP(AW105,'Foundation Calculation'!$I$2:$J$8,2,FALSE),0),""))</f>
        <v>3.5</v>
      </c>
      <c r="AZ105" s="484"/>
      <c r="BA105" s="671" t="s">
        <v>2809</v>
      </c>
      <c r="BB105" s="1239" t="str">
        <f>Pole_Calculations!A20</f>
        <v>App.7-V11A-P9.5.1.6</v>
      </c>
      <c r="BC105" s="169"/>
      <c r="BD105" s="1329"/>
      <c r="BE105" s="1329"/>
      <c r="BF105" s="1330"/>
      <c r="BG105" s="1329"/>
    </row>
    <row r="106" spans="1:59" ht="15.75" customHeight="1">
      <c r="A106" s="1239"/>
      <c r="B106" s="173"/>
      <c r="C106" s="446"/>
      <c r="D106" s="173"/>
      <c r="E106" s="447"/>
      <c r="F106" s="447"/>
      <c r="G106" s="484">
        <v>56</v>
      </c>
      <c r="H106" s="1239"/>
      <c r="I106" s="448"/>
      <c r="J106" s="171"/>
      <c r="K106" s="638"/>
      <c r="L106" s="638"/>
      <c r="M106" s="638"/>
      <c r="N106" s="1239"/>
      <c r="O106" s="1239"/>
      <c r="P106" s="1239"/>
      <c r="Q106" s="638"/>
      <c r="R106" s="638"/>
      <c r="S106" s="484"/>
      <c r="T106" s="638"/>
      <c r="U106" s="638"/>
      <c r="V106" s="638"/>
      <c r="W106" s="638"/>
      <c r="X106" s="638"/>
      <c r="Y106" s="638"/>
      <c r="Z106" s="638"/>
      <c r="AA106" s="638"/>
      <c r="AB106" s="638"/>
      <c r="AC106" s="638"/>
      <c r="AD106" s="638"/>
      <c r="AE106" s="638"/>
      <c r="AF106" s="638"/>
      <c r="AG106" s="446"/>
      <c r="AH106" s="638"/>
      <c r="AI106" s="638"/>
      <c r="AJ106" s="638"/>
      <c r="AK106" s="638"/>
      <c r="AL106" s="638"/>
      <c r="AM106" s="638"/>
      <c r="AN106" s="455"/>
      <c r="AO106" s="1239"/>
      <c r="AP106" s="1239"/>
      <c r="AQ106" s="484">
        <f>+FL_2($U$107,$T$105,$G$106,1200,9.28, 1*$F$107)</f>
        <v>-0.38613399466666654</v>
      </c>
      <c r="AR106" s="484"/>
      <c r="AS106" s="484"/>
      <c r="AT106" s="484"/>
      <c r="AU106" s="638"/>
      <c r="AV106" s="638"/>
      <c r="AW106" s="638"/>
      <c r="AX106" s="638"/>
      <c r="AY106" s="484"/>
      <c r="AZ106" s="484"/>
      <c r="BA106" s="671"/>
      <c r="BB106" s="1239"/>
      <c r="BC106" s="169"/>
      <c r="BD106" s="1330"/>
      <c r="BE106" s="1330"/>
      <c r="BF106" s="1330"/>
      <c r="BG106" s="1330"/>
    </row>
    <row r="107" spans="1:59" ht="15.75" customHeight="1">
      <c r="A107" s="1239"/>
      <c r="B107" s="435" t="s">
        <v>3505</v>
      </c>
      <c r="C107" s="446">
        <f>+$C$105+$G$106</f>
        <v>81918.53</v>
      </c>
      <c r="D107" s="173"/>
      <c r="E107" s="447"/>
      <c r="F107" s="447">
        <v>0</v>
      </c>
      <c r="G107" s="484"/>
      <c r="H107" s="1239" t="s">
        <v>619</v>
      </c>
      <c r="I107" s="448"/>
      <c r="J107" s="171"/>
      <c r="K107" s="638"/>
      <c r="L107" s="638" t="s">
        <v>230</v>
      </c>
      <c r="M107" s="638" t="str">
        <f>IF(AX107="PT",VLOOKUP(L107,'Foundation Calculation'!$V$2:$X$40,VLOOKUP(AX107,'Foundation Calculation'!$I$10:$J$13,2,FALSE),0),IF(AX107="K",VLOOKUP(L107,'Foundation Calculation'!$V$42:$X$80,VLOOKUP(AX107,'Foundation Calculation'!$I$10:$J$13,2,FALSE),0),""))</f>
        <v>C4R</v>
      </c>
      <c r="N107" s="1239" t="s">
        <v>140</v>
      </c>
      <c r="O107" s="1239" t="s">
        <v>144</v>
      </c>
      <c r="P107" s="1239"/>
      <c r="Q107" s="638"/>
      <c r="R107" s="638"/>
      <c r="S107" s="484"/>
      <c r="T107" s="638">
        <v>35</v>
      </c>
      <c r="U107" s="638">
        <v>15</v>
      </c>
      <c r="V107" s="638"/>
      <c r="W107" s="638">
        <v>1.4</v>
      </c>
      <c r="X107" s="638">
        <v>2.2999999999999998</v>
      </c>
      <c r="Y107" s="638"/>
      <c r="Z107" s="638">
        <v>0.5</v>
      </c>
      <c r="AA107" s="638"/>
      <c r="AB107" s="638"/>
      <c r="AC107" s="638"/>
      <c r="AD107" s="638"/>
      <c r="AE107" s="638"/>
      <c r="AF107" s="638"/>
      <c r="AG107" s="446"/>
      <c r="AH107" s="638"/>
      <c r="AI107" s="638"/>
      <c r="AJ107" s="638"/>
      <c r="AK107" s="638"/>
      <c r="AL107" s="638"/>
      <c r="AM107" s="638" t="s">
        <v>1043</v>
      </c>
      <c r="AN107" s="455">
        <v>5.15</v>
      </c>
      <c r="AO107" s="1239"/>
      <c r="AP107" s="1239"/>
      <c r="AQ107" s="484"/>
      <c r="AR107" s="484"/>
      <c r="AS107" s="484"/>
      <c r="AT107" s="484">
        <f>+ab($U$107,$T$105,$U$109,$G$106,$G$108, 1*$F$107,1200)</f>
        <v>11.771475563852833</v>
      </c>
      <c r="AU107" s="638"/>
      <c r="AV107" s="638"/>
      <c r="AW107" s="638" t="str">
        <f>VLOOKUP(C107,'Foundation Calculation'!$A$2:$C$33,3,1)</f>
        <v>Soil B</v>
      </c>
      <c r="AX107" s="638" t="str">
        <f>VLOOKUP(C107,'Foundation Calculation'!$E$2:$G$33,3,1)</f>
        <v>PT</v>
      </c>
      <c r="AY107" s="484">
        <f>IF(AX107="PT",VLOOKUP(L107,'Foundation Calculation'!$K$2:$R$40,VLOOKUP(AW107,'Foundation Calculation'!$I$2:$J$8,2,FALSE),0),IF(AX107="K",VLOOKUP(L107,'Foundation Calculation'!$K$42:$R$80,VLOOKUP(AW107,'Foundation Calculation'!$I$2:$J$8,2,FALSE),0),""))</f>
        <v>3.5</v>
      </c>
      <c r="AZ107" s="484"/>
      <c r="BA107" s="671" t="s">
        <v>2809</v>
      </c>
      <c r="BB107" s="1239" t="str">
        <f>Pole_Calculations!A19</f>
        <v>App.7-V11A-P9.5.1.5</v>
      </c>
      <c r="BC107" s="169"/>
      <c r="BD107" s="1329"/>
      <c r="BE107" s="1329"/>
      <c r="BF107" s="1330"/>
      <c r="BG107" s="1329"/>
    </row>
    <row r="108" spans="1:59" ht="15.75" customHeight="1">
      <c r="A108" s="1239"/>
      <c r="B108" s="173"/>
      <c r="C108" s="446"/>
      <c r="D108" s="173"/>
      <c r="E108" s="447"/>
      <c r="F108" s="447"/>
      <c r="G108" s="484">
        <v>56</v>
      </c>
      <c r="H108" s="1239"/>
      <c r="I108" s="448"/>
      <c r="J108" s="171"/>
      <c r="K108" s="638"/>
      <c r="L108" s="638"/>
      <c r="M108" s="638"/>
      <c r="N108" s="1239"/>
      <c r="O108" s="1239"/>
      <c r="P108" s="1239"/>
      <c r="Q108" s="638"/>
      <c r="R108" s="638"/>
      <c r="S108" s="484"/>
      <c r="T108" s="638"/>
      <c r="U108" s="638"/>
      <c r="V108" s="638"/>
      <c r="W108" s="638"/>
      <c r="X108" s="638"/>
      <c r="Y108" s="638"/>
      <c r="Z108" s="638"/>
      <c r="AA108" s="638"/>
      <c r="AB108" s="638"/>
      <c r="AC108" s="638"/>
      <c r="AD108" s="638"/>
      <c r="AE108" s="638"/>
      <c r="AF108" s="638"/>
      <c r="AG108" s="446"/>
      <c r="AH108" s="638"/>
      <c r="AI108" s="638"/>
      <c r="AJ108" s="638"/>
      <c r="AK108" s="638"/>
      <c r="AL108" s="638"/>
      <c r="AM108" s="638"/>
      <c r="AN108" s="455"/>
      <c r="AO108" s="1239"/>
      <c r="AP108" s="1239"/>
      <c r="AQ108" s="484">
        <f>+FL_2($T$109,$U$107,$G$108,1200,9.28, 1*$F$109)</f>
        <v>-0.32170203866666663</v>
      </c>
      <c r="AR108" s="484"/>
      <c r="AS108" s="484"/>
      <c r="AT108" s="484"/>
      <c r="AU108" s="638"/>
      <c r="AV108" s="638"/>
      <c r="AW108" s="638"/>
      <c r="AX108" s="638"/>
      <c r="AY108" s="484"/>
      <c r="AZ108" s="484"/>
      <c r="BA108" s="671"/>
      <c r="BB108" s="1239"/>
      <c r="BC108" s="169"/>
      <c r="BD108" s="1330"/>
      <c r="BE108" s="1330"/>
      <c r="BF108" s="1330"/>
      <c r="BG108" s="1330"/>
    </row>
    <row r="109" spans="1:59" ht="15.75" customHeight="1">
      <c r="A109" s="1239"/>
      <c r="B109" s="435" t="s">
        <v>3506</v>
      </c>
      <c r="C109" s="446">
        <f>+$C$107+$G$108</f>
        <v>81974.53</v>
      </c>
      <c r="D109" s="173"/>
      <c r="E109" s="447"/>
      <c r="F109" s="447">
        <v>0</v>
      </c>
      <c r="G109" s="484"/>
      <c r="H109" s="1239" t="s">
        <v>619</v>
      </c>
      <c r="I109" s="447"/>
      <c r="J109" s="171"/>
      <c r="K109" s="638"/>
      <c r="L109" s="638" t="s">
        <v>230</v>
      </c>
      <c r="M109" s="638" t="str">
        <f>IF(AX109="PT",VLOOKUP(L109,'Foundation Calculation'!$V$2:$X$40,VLOOKUP(AX109,'Foundation Calculation'!$I$10:$J$13,2,FALSE),0),IF(AX109="K",VLOOKUP(L109,'Foundation Calculation'!$V$42:$X$80,VLOOKUP(AX109,'Foundation Calculation'!$I$10:$J$13,2,FALSE),0),""))</f>
        <v>C4R</v>
      </c>
      <c r="N109" s="1239" t="s">
        <v>143</v>
      </c>
      <c r="O109" s="1239" t="s">
        <v>140</v>
      </c>
      <c r="P109" s="1239"/>
      <c r="Q109" s="638"/>
      <c r="R109" s="638"/>
      <c r="S109" s="484"/>
      <c r="T109" s="638">
        <v>-15</v>
      </c>
      <c r="U109" s="638">
        <v>-35</v>
      </c>
      <c r="V109" s="638"/>
      <c r="W109" s="638">
        <v>1.4</v>
      </c>
      <c r="X109" s="638">
        <v>2.2999999999999998</v>
      </c>
      <c r="Y109" s="638"/>
      <c r="Z109" s="638"/>
      <c r="AA109" s="638">
        <v>0.5</v>
      </c>
      <c r="AB109" s="638"/>
      <c r="AC109" s="638" t="str">
        <f t="shared" si="1"/>
        <v>PH</v>
      </c>
      <c r="AD109" s="638"/>
      <c r="AE109" s="638"/>
      <c r="AF109" s="638"/>
      <c r="AG109" s="446"/>
      <c r="AH109" s="638"/>
      <c r="AI109" s="638"/>
      <c r="AJ109" s="638"/>
      <c r="AK109" s="638"/>
      <c r="AL109" s="638"/>
      <c r="AM109" s="638" t="s">
        <v>1043</v>
      </c>
      <c r="AN109" s="455">
        <v>5.15</v>
      </c>
      <c r="AO109" s="1239"/>
      <c r="AP109" s="1239"/>
      <c r="AQ109" s="484"/>
      <c r="AR109" s="484"/>
      <c r="AS109" s="484"/>
      <c r="AT109" s="484">
        <f>+ab($T$109,$T$107,$T$111,$G$108,$G$110, 1*$F$109,1200)</f>
        <v>-11.771555309165947</v>
      </c>
      <c r="AU109" s="638"/>
      <c r="AV109" s="638"/>
      <c r="AW109" s="638" t="str">
        <f>VLOOKUP(C109,'Foundation Calculation'!$A$2:$C$33,3,1)</f>
        <v>Soil B</v>
      </c>
      <c r="AX109" s="638" t="str">
        <f>VLOOKUP(C109,'Foundation Calculation'!$E$2:$G$33,3,1)</f>
        <v>PT</v>
      </c>
      <c r="AY109" s="484">
        <f>IF(AX109="PT",VLOOKUP(L109,'Foundation Calculation'!$K$2:$R$40,VLOOKUP(AW109,'Foundation Calculation'!$I$2:$J$8,2,FALSE),0),IF(AX109="K",VLOOKUP(L109,'Foundation Calculation'!$K$42:$R$80,VLOOKUP(AW109,'Foundation Calculation'!$I$2:$J$8,2,FALSE),0),""))</f>
        <v>3.5</v>
      </c>
      <c r="AZ109" s="484"/>
      <c r="BA109" s="671" t="s">
        <v>2809</v>
      </c>
      <c r="BB109" s="1239" t="str">
        <f>Pole_Calculations!A19</f>
        <v>App.7-V11A-P9.5.1.5</v>
      </c>
      <c r="BC109" s="169"/>
      <c r="BD109" s="1329"/>
      <c r="BE109" s="1329"/>
      <c r="BF109" s="1330"/>
      <c r="BG109" s="1329"/>
    </row>
    <row r="110" spans="1:59" ht="15.75" customHeight="1">
      <c r="A110" s="1239"/>
      <c r="B110" s="173"/>
      <c r="C110" s="446"/>
      <c r="D110" s="173"/>
      <c r="E110" s="447"/>
      <c r="F110" s="447"/>
      <c r="G110" s="484">
        <v>56</v>
      </c>
      <c r="H110" s="1239"/>
      <c r="I110" s="448"/>
      <c r="J110" s="171"/>
      <c r="K110" s="638"/>
      <c r="L110" s="638"/>
      <c r="M110" s="638"/>
      <c r="N110" s="638"/>
      <c r="O110" s="1239"/>
      <c r="P110" s="1239"/>
      <c r="Q110" s="638"/>
      <c r="R110" s="638"/>
      <c r="S110" s="484"/>
      <c r="T110" s="638"/>
      <c r="U110" s="638"/>
      <c r="V110" s="638"/>
      <c r="W110" s="638"/>
      <c r="X110" s="638"/>
      <c r="Y110" s="638"/>
      <c r="Z110" s="638"/>
      <c r="AA110" s="638"/>
      <c r="AB110" s="638"/>
      <c r="AC110" s="638"/>
      <c r="AD110" s="638"/>
      <c r="AE110" s="638"/>
      <c r="AF110" s="638"/>
      <c r="AG110" s="446"/>
      <c r="AH110" s="638"/>
      <c r="AI110" s="638"/>
      <c r="AJ110" s="638"/>
      <c r="AK110" s="638"/>
      <c r="AL110" s="638"/>
      <c r="AM110" s="638"/>
      <c r="AN110" s="455"/>
      <c r="AO110" s="1239"/>
      <c r="AP110" s="1239"/>
      <c r="AQ110" s="484">
        <f>+FL_1($T$111,$T$109,$G$110,1200,9.28, 1*$F$111)</f>
        <v>0.38613399466666665</v>
      </c>
      <c r="AR110" s="484"/>
      <c r="AS110" s="484"/>
      <c r="AT110" s="484"/>
      <c r="AU110" s="638"/>
      <c r="AV110" s="638"/>
      <c r="AW110" s="638"/>
      <c r="AX110" s="638"/>
      <c r="AY110" s="484"/>
      <c r="AZ110" s="484"/>
      <c r="BA110" s="671"/>
      <c r="BB110" s="1239"/>
      <c r="BC110" s="169"/>
      <c r="BD110" s="1330"/>
      <c r="BE110" s="1330"/>
      <c r="BF110" s="1330"/>
      <c r="BG110" s="1330"/>
    </row>
    <row r="111" spans="1:59" ht="15.75" customHeight="1">
      <c r="A111" s="1239"/>
      <c r="B111" s="435" t="s">
        <v>3507</v>
      </c>
      <c r="C111" s="446">
        <f>+$C$109+$G$110</f>
        <v>82030.53</v>
      </c>
      <c r="D111" s="447"/>
      <c r="E111" s="638"/>
      <c r="F111" s="447">
        <v>0</v>
      </c>
      <c r="G111" s="484"/>
      <c r="H111" s="1239" t="s">
        <v>138</v>
      </c>
      <c r="I111" s="448" t="s">
        <v>623</v>
      </c>
      <c r="J111" s="171"/>
      <c r="K111" s="638"/>
      <c r="L111" s="638" t="s">
        <v>898</v>
      </c>
      <c r="M111" s="638" t="str">
        <f>IF(AX111="PT",VLOOKUP(L111,'Foundation Calculation'!$V$2:$X$40,VLOOKUP(AX111,'Foundation Calculation'!$I$10:$J$13,2,FALSE),0),IF(AX111="K",VLOOKUP(L111,'Foundation Calculation'!$V$42:$X$80,VLOOKUP(AX111,'Foundation Calculation'!$I$10:$J$13,2,FALSE),0),""))</f>
        <v>C4R</v>
      </c>
      <c r="N111" s="1239" t="s">
        <v>144</v>
      </c>
      <c r="O111" s="1239"/>
      <c r="P111" s="1239"/>
      <c r="Q111" s="638"/>
      <c r="R111" s="638"/>
      <c r="S111" s="484"/>
      <c r="T111" s="638">
        <v>25</v>
      </c>
      <c r="U111" s="638"/>
      <c r="V111" s="638"/>
      <c r="W111" s="638">
        <v>1.4</v>
      </c>
      <c r="X111" s="638"/>
      <c r="Y111" s="638"/>
      <c r="Z111" s="638"/>
      <c r="AA111" s="638"/>
      <c r="AB111" s="638"/>
      <c r="AC111" s="638" t="str">
        <f t="shared" si="1"/>
        <v>PH</v>
      </c>
      <c r="AD111" s="638"/>
      <c r="AE111" s="638"/>
      <c r="AF111" s="638"/>
      <c r="AG111" s="446"/>
      <c r="AH111" s="638"/>
      <c r="AI111" s="638"/>
      <c r="AJ111" s="638"/>
      <c r="AK111" s="638"/>
      <c r="AL111" s="638"/>
      <c r="AM111" s="638" t="s">
        <v>1043</v>
      </c>
      <c r="AN111" s="455">
        <v>5.15</v>
      </c>
      <c r="AO111" s="1239"/>
      <c r="AP111" s="1239"/>
      <c r="AQ111" s="484"/>
      <c r="AR111" s="484"/>
      <c r="AS111" s="484"/>
      <c r="AT111" s="484">
        <f>+ab($T$111,$T$109,$T$113,$G$110,$G$112, 1*$F$111,1200)</f>
        <v>10.732943202050288</v>
      </c>
      <c r="AU111" s="638"/>
      <c r="AV111" s="638"/>
      <c r="AW111" s="638" t="str">
        <f>VLOOKUP(C111,'Foundation Calculation'!$A$2:$C$33,3,1)</f>
        <v>Soil A</v>
      </c>
      <c r="AX111" s="638" t="str">
        <f>VLOOKUP(C111,'Foundation Calculation'!$E$2:$G$33,3,1)</f>
        <v>PT</v>
      </c>
      <c r="AY111" s="484">
        <f>IF(AX111="PT",VLOOKUP(L111,'Foundation Calculation'!$K$2:$R$40,VLOOKUP(AW111,'Foundation Calculation'!$I$2:$J$8,2,FALSE),0),IF(AX111="K",VLOOKUP(L111,'Foundation Calculation'!$K$42:$R$80,VLOOKUP(AW111,'Foundation Calculation'!$I$2:$J$8,2,FALSE),0),""))</f>
        <v>3.5</v>
      </c>
      <c r="AZ111" s="484"/>
      <c r="BA111" s="671" t="s">
        <v>2809</v>
      </c>
      <c r="BB111" s="1239" t="str">
        <f>Pole_Calculations!A20</f>
        <v>App.7-V11A-P9.5.1.6</v>
      </c>
      <c r="BC111" s="169"/>
      <c r="BD111" s="1329"/>
      <c r="BE111" s="1329"/>
      <c r="BF111" s="1330"/>
      <c r="BG111" s="1329"/>
    </row>
    <row r="112" spans="1:59" ht="15.75" customHeight="1">
      <c r="A112" s="647" t="s">
        <v>3049</v>
      </c>
      <c r="B112" s="705"/>
      <c r="C112" s="649"/>
      <c r="D112" s="648"/>
      <c r="E112" s="653"/>
      <c r="F112" s="648"/>
      <c r="G112" s="654">
        <v>57</v>
      </c>
      <c r="H112" s="647"/>
      <c r="I112" s="650"/>
      <c r="J112" s="652">
        <f>C111+7.5</f>
        <v>82038.03</v>
      </c>
      <c r="K112" s="653" t="s">
        <v>2787</v>
      </c>
      <c r="L112" s="653"/>
      <c r="M112" s="653"/>
      <c r="N112" s="647"/>
      <c r="O112" s="647"/>
      <c r="P112" s="647"/>
      <c r="Q112" s="653"/>
      <c r="R112" s="653"/>
      <c r="S112" s="654"/>
      <c r="T112" s="653"/>
      <c r="U112" s="653"/>
      <c r="V112" s="653"/>
      <c r="W112" s="653"/>
      <c r="X112" s="653"/>
      <c r="Y112" s="653"/>
      <c r="Z112" s="653"/>
      <c r="AA112" s="653"/>
      <c r="AB112" s="653"/>
      <c r="AC112" s="653"/>
      <c r="AD112" s="653"/>
      <c r="AE112" s="653"/>
      <c r="AF112" s="653"/>
      <c r="AG112" s="649"/>
      <c r="AH112" s="653"/>
      <c r="AI112" s="653"/>
      <c r="AJ112" s="653"/>
      <c r="AK112" s="653"/>
      <c r="AL112" s="653"/>
      <c r="AM112" s="653"/>
      <c r="AN112" s="651"/>
      <c r="AO112" s="647"/>
      <c r="AP112" s="647"/>
      <c r="AQ112" s="654">
        <f>+FL_2($T$113,$T$111,$G$112,1200,9.28, 1*$F$113)</f>
        <v>-0.43571007922807015</v>
      </c>
      <c r="AR112" s="654"/>
      <c r="AS112" s="654"/>
      <c r="AT112" s="654"/>
      <c r="AU112" s="653"/>
      <c r="AV112" s="653"/>
      <c r="AW112" s="653" t="str">
        <f>VLOOKUP(J112,'Foundation Calculation'!$A$2:$C$33,3,1)</f>
        <v>Soil A</v>
      </c>
      <c r="AX112" s="653" t="str">
        <f>VLOOKUP(J112,'Foundation Calculation'!$E$2:$G$33,3,1)</f>
        <v>PT</v>
      </c>
      <c r="AY112" s="654"/>
      <c r="AZ112" s="654">
        <f>IF(AX112="PT",VLOOKUP(K112,'Foundation Calculation'!$K$2:$R$40,VLOOKUP(AW112,'Foundation Calculation'!$I$2:$J$8,2,FALSE),0),IF(AX112="K",VLOOKUP(K112,'Foundation Calculation'!$K$42:$R$80,VLOOKUP(AW112,'Foundation Calculation'!$I$2:$J$8,2,FALSE),0),""))</f>
        <v>3.3</v>
      </c>
      <c r="BA112" s="701" t="s">
        <v>2809</v>
      </c>
      <c r="BB112" s="647"/>
      <c r="BC112" s="169"/>
      <c r="BD112" s="1329"/>
      <c r="BE112" s="1330"/>
      <c r="BF112" s="1330"/>
      <c r="BG112" s="1330"/>
    </row>
    <row r="113" spans="1:59" ht="15.75" customHeight="1">
      <c r="A113" s="1239"/>
      <c r="B113" s="435" t="s">
        <v>3508</v>
      </c>
      <c r="C113" s="446">
        <f>+$C$111+$G$112</f>
        <v>82087.53</v>
      </c>
      <c r="D113" s="447"/>
      <c r="E113" s="638"/>
      <c r="F113" s="447">
        <v>0</v>
      </c>
      <c r="G113" s="484"/>
      <c r="H113" s="1239"/>
      <c r="I113" s="448"/>
      <c r="J113" s="171"/>
      <c r="K113" s="638"/>
      <c r="L113" s="638" t="s">
        <v>229</v>
      </c>
      <c r="M113" s="638" t="str">
        <f>IF(AX113="PT",VLOOKUP(L113,'Foundation Calculation'!$V$2:$X$40,VLOOKUP(AX113,'Foundation Calculation'!$I$10:$J$13,2,FALSE),0),IF(AX113="K",VLOOKUP(L113,'Foundation Calculation'!$V$42:$X$80,VLOOKUP(AX113,'Foundation Calculation'!$I$10:$J$13,2,FALSE),0),""))</f>
        <v>C3R</v>
      </c>
      <c r="N113" s="1239" t="s">
        <v>143</v>
      </c>
      <c r="O113" s="1239"/>
      <c r="P113" s="1239"/>
      <c r="Q113" s="638"/>
      <c r="R113" s="638"/>
      <c r="S113" s="484"/>
      <c r="T113" s="638">
        <v>-35</v>
      </c>
      <c r="U113" s="638"/>
      <c r="V113" s="638"/>
      <c r="W113" s="638">
        <v>1.2</v>
      </c>
      <c r="X113" s="638"/>
      <c r="Y113" s="638"/>
      <c r="Z113" s="638"/>
      <c r="AA113" s="638"/>
      <c r="AB113" s="638"/>
      <c r="AC113" s="638" t="str">
        <f t="shared" si="1"/>
        <v>PH</v>
      </c>
      <c r="AD113" s="638"/>
      <c r="AE113" s="638"/>
      <c r="AF113" s="638"/>
      <c r="AG113" s="446"/>
      <c r="AH113" s="638"/>
      <c r="AI113" s="638"/>
      <c r="AJ113" s="638"/>
      <c r="AK113" s="638"/>
      <c r="AL113" s="638"/>
      <c r="AM113" s="638" t="s">
        <v>1043</v>
      </c>
      <c r="AN113" s="455">
        <v>5.15</v>
      </c>
      <c r="AO113" s="1239"/>
      <c r="AP113" s="1239"/>
      <c r="AQ113" s="484"/>
      <c r="AR113" s="484"/>
      <c r="AS113" s="484"/>
      <c r="AT113" s="484">
        <f>+ab($T$113,$T$111,$T$115,$G$112,$G$114, 1*$F$113,1200)</f>
        <v>-8.4082164924485117</v>
      </c>
      <c r="AU113" s="638"/>
      <c r="AV113" s="638"/>
      <c r="AW113" s="638" t="str">
        <f>VLOOKUP(C113,'Foundation Calculation'!$A$2:$C$33,3,1)</f>
        <v>Soil A</v>
      </c>
      <c r="AX113" s="638" t="str">
        <f>VLOOKUP(C113,'Foundation Calculation'!$E$2:$G$33,3,1)</f>
        <v>PT</v>
      </c>
      <c r="AY113" s="484">
        <f>IF(AX113="PT",VLOOKUP(L113,'Foundation Calculation'!$K$2:$R$40,VLOOKUP(AW113,'Foundation Calculation'!$I$2:$J$8,2,FALSE),0),IF(AX113="K",VLOOKUP(L113,'Foundation Calculation'!$K$42:$R$80,VLOOKUP(AW113,'Foundation Calculation'!$I$2:$J$8,2,FALSE),0),""))</f>
        <v>3.5</v>
      </c>
      <c r="AZ113" s="484"/>
      <c r="BA113" s="671" t="s">
        <v>2809</v>
      </c>
      <c r="BB113" s="1239" t="str">
        <f>Pole_Calculations!A15</f>
        <v>App.7-V11A-P9.5.1.1</v>
      </c>
      <c r="BC113" s="169"/>
      <c r="BD113" s="1329"/>
      <c r="BE113" s="1329"/>
      <c r="BF113" s="1330"/>
      <c r="BG113" s="1329"/>
    </row>
    <row r="114" spans="1:59" ht="15.75" customHeight="1">
      <c r="A114" s="1239"/>
      <c r="B114" s="173"/>
      <c r="C114" s="446"/>
      <c r="D114" s="447"/>
      <c r="E114" s="638"/>
      <c r="F114" s="447"/>
      <c r="G114" s="484">
        <v>57.7</v>
      </c>
      <c r="H114" s="1239"/>
      <c r="I114" s="448"/>
      <c r="J114" s="171">
        <f>C115-7.5</f>
        <v>82137.73</v>
      </c>
      <c r="K114" s="638" t="s">
        <v>2788</v>
      </c>
      <c r="L114" s="638"/>
      <c r="M114" s="638"/>
      <c r="N114" s="1239"/>
      <c r="O114" s="1239"/>
      <c r="P114" s="1239"/>
      <c r="Q114" s="638"/>
      <c r="R114" s="638"/>
      <c r="S114" s="484"/>
      <c r="T114" s="638"/>
      <c r="U114" s="638"/>
      <c r="V114" s="638"/>
      <c r="W114" s="638"/>
      <c r="X114" s="638"/>
      <c r="Y114" s="638"/>
      <c r="Z114" s="638"/>
      <c r="AA114" s="638"/>
      <c r="AB114" s="638"/>
      <c r="AC114" s="638"/>
      <c r="AD114" s="638"/>
      <c r="AE114" s="638"/>
      <c r="AF114" s="638"/>
      <c r="AG114" s="446"/>
      <c r="AH114" s="638"/>
      <c r="AI114" s="638"/>
      <c r="AJ114" s="638"/>
      <c r="AK114" s="638"/>
      <c r="AL114" s="638"/>
      <c r="AM114" s="638"/>
      <c r="AN114" s="455"/>
      <c r="AO114" s="1239"/>
      <c r="AP114" s="1239"/>
      <c r="AQ114" s="484">
        <f>+FL_1($T$115,$T$113,$G$114,1200,9.28, 1*$F$115)</f>
        <v>0.41698989511727325</v>
      </c>
      <c r="AR114" s="484"/>
      <c r="AS114" s="484"/>
      <c r="AT114" s="484"/>
      <c r="AU114" s="638"/>
      <c r="AV114" s="638"/>
      <c r="AW114" s="638" t="str">
        <f>VLOOKUP(J114,'Foundation Calculation'!$A$2:$C$33,3,1)</f>
        <v>Soil A</v>
      </c>
      <c r="AX114" s="638" t="str">
        <f>VLOOKUP(J114,'Foundation Calculation'!$E$2:$G$33,3,1)</f>
        <v>PT</v>
      </c>
      <c r="AY114" s="484"/>
      <c r="AZ114" s="484">
        <f>IF(AX114="PT",VLOOKUP(K114,'Foundation Calculation'!$K$2:$R$40,VLOOKUP(AW114,'Foundation Calculation'!$I$2:$J$8,2,FALSE),0),IF(AX114="K",VLOOKUP(K114,'Foundation Calculation'!$K$42:$R$80,VLOOKUP(AW114,'Foundation Calculation'!$I$2:$J$8,2,FALSE),0),""))</f>
        <v>2.8</v>
      </c>
      <c r="BA114" s="671" t="s">
        <v>2809</v>
      </c>
      <c r="BB114" s="1239"/>
      <c r="BC114" s="169"/>
      <c r="BD114" s="1329"/>
      <c r="BE114" s="1330"/>
      <c r="BF114" s="1330"/>
      <c r="BG114" s="1330"/>
    </row>
    <row r="115" spans="1:59" ht="15.75" customHeight="1">
      <c r="A115" s="1239"/>
      <c r="B115" s="435" t="s">
        <v>3509</v>
      </c>
      <c r="C115" s="446">
        <f>+$C$113+$G$114</f>
        <v>82145.23</v>
      </c>
      <c r="D115" s="447"/>
      <c r="E115" s="638"/>
      <c r="F115" s="447">
        <v>0</v>
      </c>
      <c r="G115" s="484"/>
      <c r="H115" s="1239"/>
      <c r="I115" s="448" t="s">
        <v>1039</v>
      </c>
      <c r="J115" s="171"/>
      <c r="K115" s="638"/>
      <c r="L115" s="638" t="s">
        <v>818</v>
      </c>
      <c r="M115" s="638" t="str">
        <f>IF(AX115="PT",VLOOKUP(L115,'Foundation Calculation'!$V$2:$X$40,VLOOKUP(AX115,'Foundation Calculation'!$I$10:$J$13,2,FALSE),0),IF(AX115="K",VLOOKUP(L115,'Foundation Calculation'!$V$42:$X$80,VLOOKUP(AX115,'Foundation Calculation'!$I$10:$J$13,2,FALSE),0),""))</f>
        <v>C4R</v>
      </c>
      <c r="N115" s="1239" t="s">
        <v>144</v>
      </c>
      <c r="O115" s="1239"/>
      <c r="P115" s="1239"/>
      <c r="Q115" s="638"/>
      <c r="R115" s="638"/>
      <c r="S115" s="484"/>
      <c r="T115" s="638">
        <v>35</v>
      </c>
      <c r="U115" s="638"/>
      <c r="V115" s="638"/>
      <c r="W115" s="638">
        <v>1</v>
      </c>
      <c r="X115" s="638"/>
      <c r="Y115" s="638"/>
      <c r="Z115" s="638"/>
      <c r="AA115" s="638"/>
      <c r="AB115" s="638"/>
      <c r="AC115" s="638" t="str">
        <f t="shared" si="1"/>
        <v>PH</v>
      </c>
      <c r="AD115" s="638"/>
      <c r="AE115" s="638"/>
      <c r="AF115" s="638"/>
      <c r="AG115" s="446"/>
      <c r="AH115" s="638"/>
      <c r="AI115" s="638"/>
      <c r="AJ115" s="638"/>
      <c r="AK115" s="638"/>
      <c r="AL115" s="638"/>
      <c r="AM115" s="638" t="s">
        <v>1043</v>
      </c>
      <c r="AN115" s="455">
        <v>5.15</v>
      </c>
      <c r="AO115" s="1239"/>
      <c r="AP115" s="1239"/>
      <c r="AQ115" s="484"/>
      <c r="AR115" s="484"/>
      <c r="AS115" s="484"/>
      <c r="AT115" s="484">
        <f>+ab($T$115,$T$113,$T$117,$G$114,$G$116, 1*$F$115,1200)</f>
        <v>8.0106378201617581</v>
      </c>
      <c r="AU115" s="638"/>
      <c r="AV115" s="638"/>
      <c r="AW115" s="638" t="str">
        <f>VLOOKUP(C115,'Foundation Calculation'!$A$2:$C$33,3,1)</f>
        <v>Soil A</v>
      </c>
      <c r="AX115" s="638" t="str">
        <f>VLOOKUP(C115,'Foundation Calculation'!$E$2:$G$33,3,1)</f>
        <v>PT</v>
      </c>
      <c r="AY115" s="484">
        <f>IF(AX115="PT",VLOOKUP(L115,'Foundation Calculation'!$K$2:$R$40,VLOOKUP(AW115,'Foundation Calculation'!$I$2:$J$8,2,FALSE),0),IF(AX115="K",VLOOKUP(L115,'Foundation Calculation'!$K$42:$R$80,VLOOKUP(AW115,'Foundation Calculation'!$I$2:$J$8,2,FALSE),0),""))</f>
        <v>3.5</v>
      </c>
      <c r="AZ115" s="484"/>
      <c r="BA115" s="671" t="s">
        <v>2809</v>
      </c>
      <c r="BB115" s="1239" t="str">
        <f>Pole_Calculations!A15</f>
        <v>App.7-V11A-P9.5.1.1</v>
      </c>
      <c r="BC115" s="169"/>
      <c r="BD115" s="1329"/>
      <c r="BE115" s="1329"/>
      <c r="BF115" s="1330"/>
      <c r="BG115" s="1329"/>
    </row>
    <row r="116" spans="1:59" ht="15.75" customHeight="1">
      <c r="A116" s="488" t="s">
        <v>1851</v>
      </c>
      <c r="B116" s="639"/>
      <c r="C116" s="489"/>
      <c r="D116" s="491"/>
      <c r="E116" s="490"/>
      <c r="F116" s="491"/>
      <c r="G116" s="493">
        <v>60</v>
      </c>
      <c r="H116" s="495"/>
      <c r="I116" s="492"/>
      <c r="J116" s="431"/>
      <c r="K116" s="490"/>
      <c r="L116" s="490"/>
      <c r="M116" s="490"/>
      <c r="N116" s="495"/>
      <c r="O116" s="495"/>
      <c r="P116" s="495"/>
      <c r="Q116" s="490"/>
      <c r="R116" s="490"/>
      <c r="S116" s="493"/>
      <c r="T116" s="490"/>
      <c r="U116" s="490"/>
      <c r="V116" s="490"/>
      <c r="W116" s="490"/>
      <c r="X116" s="490"/>
      <c r="Y116" s="490"/>
      <c r="Z116" s="490"/>
      <c r="AA116" s="490"/>
      <c r="AB116" s="490"/>
      <c r="AC116" s="490"/>
      <c r="AD116" s="490"/>
      <c r="AE116" s="490"/>
      <c r="AF116" s="490"/>
      <c r="AG116" s="489"/>
      <c r="AH116" s="490"/>
      <c r="AI116" s="490"/>
      <c r="AJ116" s="490"/>
      <c r="AK116" s="490"/>
      <c r="AL116" s="490"/>
      <c r="AM116" s="490"/>
      <c r="AN116" s="457"/>
      <c r="AO116" s="495"/>
      <c r="AP116" s="495"/>
      <c r="AQ116" s="493">
        <f>+FL_2($T$117,$T$115,$G$116,1200,9.28, 1*$F$117)</f>
        <v>-0.43600286799999999</v>
      </c>
      <c r="AR116" s="493"/>
      <c r="AS116" s="493"/>
      <c r="AT116" s="493"/>
      <c r="AU116" s="490"/>
      <c r="AV116" s="490"/>
      <c r="AW116" s="490"/>
      <c r="AX116" s="490"/>
      <c r="AY116" s="493"/>
      <c r="AZ116" s="493"/>
      <c r="BA116" s="602"/>
      <c r="BB116" s="488"/>
      <c r="BC116" s="169"/>
      <c r="BD116" s="1330"/>
      <c r="BE116" s="1330"/>
      <c r="BF116" s="1330"/>
      <c r="BG116" s="1330"/>
    </row>
    <row r="117" spans="1:59" ht="15.75" customHeight="1">
      <c r="A117" s="1239"/>
      <c r="B117" s="435" t="s">
        <v>3510</v>
      </c>
      <c r="C117" s="446">
        <f>+$C$115+$G$116</f>
        <v>82205.23</v>
      </c>
      <c r="D117" s="447"/>
      <c r="E117" s="638"/>
      <c r="F117" s="447">
        <v>0</v>
      </c>
      <c r="G117" s="484"/>
      <c r="H117" s="1239"/>
      <c r="I117" s="448"/>
      <c r="J117" s="171"/>
      <c r="K117" s="638"/>
      <c r="L117" s="638" t="s">
        <v>230</v>
      </c>
      <c r="M117" s="638" t="str">
        <f>IF(AX117="PT",VLOOKUP(L117,'Foundation Calculation'!$V$2:$X$40,VLOOKUP(AX117,'Foundation Calculation'!$I$10:$J$13,2,FALSE),0),IF(AX117="K",VLOOKUP(L117,'Foundation Calculation'!$V$42:$X$80,VLOOKUP(AX117,'Foundation Calculation'!$I$10:$J$13,2,FALSE),0),""))</f>
        <v>C4R</v>
      </c>
      <c r="N117" s="1239" t="s">
        <v>143</v>
      </c>
      <c r="O117" s="1239"/>
      <c r="P117" s="1239"/>
      <c r="Q117" s="638"/>
      <c r="R117" s="638"/>
      <c r="S117" s="484"/>
      <c r="T117" s="638">
        <v>-35</v>
      </c>
      <c r="U117" s="638"/>
      <c r="V117" s="638"/>
      <c r="W117" s="638">
        <v>1</v>
      </c>
      <c r="X117" s="638"/>
      <c r="Y117" s="638"/>
      <c r="Z117" s="638"/>
      <c r="AA117" s="638"/>
      <c r="AB117" s="638"/>
      <c r="AC117" s="638" t="str">
        <f t="shared" si="1"/>
        <v>PH</v>
      </c>
      <c r="AD117" s="638"/>
      <c r="AE117" s="638"/>
      <c r="AF117" s="638"/>
      <c r="AG117" s="446"/>
      <c r="AH117" s="638"/>
      <c r="AI117" s="638"/>
      <c r="AJ117" s="638"/>
      <c r="AK117" s="638"/>
      <c r="AL117" s="638"/>
      <c r="AM117" s="638" t="s">
        <v>1043</v>
      </c>
      <c r="AN117" s="455">
        <v>5.15</v>
      </c>
      <c r="AO117" s="1239"/>
      <c r="AP117" s="1239"/>
      <c r="AQ117" s="484"/>
      <c r="AR117" s="484"/>
      <c r="AS117" s="484"/>
      <c r="AT117" s="484">
        <f>+ab($T$117,$T$115,$T$119,$G$116,$G$118, 1*$F$117,1200)</f>
        <v>-8.1682020423530854</v>
      </c>
      <c r="AU117" s="638"/>
      <c r="AV117" s="638"/>
      <c r="AW117" s="638" t="str">
        <f>VLOOKUP(C117,'Foundation Calculation'!$A$2:$C$33,3,1)</f>
        <v>Soil A</v>
      </c>
      <c r="AX117" s="638" t="str">
        <f>VLOOKUP(C117,'Foundation Calculation'!$E$2:$G$33,3,1)</f>
        <v>PT</v>
      </c>
      <c r="AY117" s="484">
        <f>IF(AX117="PT",VLOOKUP(L117,'Foundation Calculation'!$K$2:$R$40,VLOOKUP(AW117,'Foundation Calculation'!$I$2:$J$8,2,FALSE),0),IF(AX117="K",VLOOKUP(L117,'Foundation Calculation'!$K$42:$R$80,VLOOKUP(AW117,'Foundation Calculation'!$I$2:$J$8,2,FALSE),0),""))</f>
        <v>3.5</v>
      </c>
      <c r="AZ117" s="484"/>
      <c r="BA117" s="671" t="s">
        <v>2809</v>
      </c>
      <c r="BB117" s="1239" t="str">
        <f>Pole_Calculations!A152</f>
        <v>App.7.1-V01-P9.5.1.1</v>
      </c>
      <c r="BC117" s="169"/>
      <c r="BD117" s="1329"/>
      <c r="BE117" s="1329"/>
      <c r="BF117" s="1330"/>
      <c r="BG117" s="1329"/>
    </row>
    <row r="118" spans="1:59" ht="15.75" customHeight="1">
      <c r="A118" s="1239"/>
      <c r="B118" s="173"/>
      <c r="C118" s="446"/>
      <c r="D118" s="447"/>
      <c r="E118" s="638"/>
      <c r="F118" s="447"/>
      <c r="G118" s="484">
        <v>60</v>
      </c>
      <c r="H118" s="1239"/>
      <c r="I118" s="448"/>
      <c r="J118" s="171"/>
      <c r="K118" s="638"/>
      <c r="L118" s="638"/>
      <c r="M118" s="638"/>
      <c r="N118" s="1239"/>
      <c r="O118" s="1239"/>
      <c r="P118" s="1239"/>
      <c r="Q118" s="638"/>
      <c r="R118" s="638"/>
      <c r="S118" s="484"/>
      <c r="T118" s="638"/>
      <c r="U118" s="638"/>
      <c r="V118" s="638"/>
      <c r="W118" s="638"/>
      <c r="X118" s="638"/>
      <c r="Y118" s="638"/>
      <c r="Z118" s="638"/>
      <c r="AA118" s="638"/>
      <c r="AB118" s="638"/>
      <c r="AC118" s="638"/>
      <c r="AD118" s="638"/>
      <c r="AE118" s="638"/>
      <c r="AF118" s="638"/>
      <c r="AG118" s="446"/>
      <c r="AH118" s="638"/>
      <c r="AI118" s="638"/>
      <c r="AJ118" s="638"/>
      <c r="AK118" s="638"/>
      <c r="AL118" s="638"/>
      <c r="AM118" s="638"/>
      <c r="AN118" s="455"/>
      <c r="AO118" s="1239"/>
      <c r="AP118" s="1239"/>
      <c r="AQ118" s="484">
        <f>+FL_1($T$119,$T$117,$G$118,1200,9.28, 1*$F$119)</f>
        <v>0.43600286799999999</v>
      </c>
      <c r="AR118" s="484"/>
      <c r="AS118" s="484"/>
      <c r="AT118" s="484"/>
      <c r="AU118" s="638"/>
      <c r="AV118" s="638"/>
      <c r="AW118" s="638"/>
      <c r="AX118" s="638"/>
      <c r="AY118" s="484"/>
      <c r="AZ118" s="484"/>
      <c r="BA118" s="671"/>
      <c r="BB118" s="1239"/>
      <c r="BC118" s="169"/>
      <c r="BD118" s="1330"/>
      <c r="BE118" s="1330"/>
      <c r="BF118" s="1330"/>
      <c r="BG118" s="1330"/>
    </row>
    <row r="119" spans="1:59" ht="15.75" customHeight="1">
      <c r="A119" s="1239"/>
      <c r="B119" s="435" t="s">
        <v>3511</v>
      </c>
      <c r="C119" s="446">
        <f>+$C$117+$G$118</f>
        <v>82265.23</v>
      </c>
      <c r="D119" s="447"/>
      <c r="E119" s="638"/>
      <c r="F119" s="447">
        <v>0</v>
      </c>
      <c r="G119" s="484"/>
      <c r="H119" s="1239"/>
      <c r="I119" s="448"/>
      <c r="J119" s="171"/>
      <c r="K119" s="638"/>
      <c r="L119" s="638" t="s">
        <v>230</v>
      </c>
      <c r="M119" s="638" t="str">
        <f>IF(AX119="PT",VLOOKUP(L119,'Foundation Calculation'!$V$2:$X$40,VLOOKUP(AX119,'Foundation Calculation'!$I$10:$J$13,2,FALSE),0),IF(AX119="K",VLOOKUP(L119,'Foundation Calculation'!$V$42:$X$80,VLOOKUP(AX119,'Foundation Calculation'!$I$10:$J$13,2,FALSE),0),""))</f>
        <v>C4R</v>
      </c>
      <c r="N119" s="1239" t="s">
        <v>144</v>
      </c>
      <c r="O119" s="1239"/>
      <c r="P119" s="1239"/>
      <c r="Q119" s="638"/>
      <c r="R119" s="638"/>
      <c r="S119" s="484"/>
      <c r="T119" s="638">
        <v>35</v>
      </c>
      <c r="U119" s="638"/>
      <c r="V119" s="638"/>
      <c r="W119" s="638">
        <v>1.2</v>
      </c>
      <c r="X119" s="638"/>
      <c r="Y119" s="638"/>
      <c r="Z119" s="638"/>
      <c r="AA119" s="638"/>
      <c r="AB119" s="638"/>
      <c r="AC119" s="638" t="str">
        <f t="shared" si="1"/>
        <v>PH</v>
      </c>
      <c r="AD119" s="638"/>
      <c r="AE119" s="638"/>
      <c r="AF119" s="638"/>
      <c r="AG119" s="446"/>
      <c r="AH119" s="638"/>
      <c r="AI119" s="638"/>
      <c r="AJ119" s="638"/>
      <c r="AK119" s="638"/>
      <c r="AL119" s="638"/>
      <c r="AM119" s="638" t="s">
        <v>1043</v>
      </c>
      <c r="AN119" s="455">
        <v>5.23</v>
      </c>
      <c r="AO119" s="1239"/>
      <c r="AP119" s="1239"/>
      <c r="AQ119" s="484"/>
      <c r="AR119" s="484"/>
      <c r="AS119" s="484"/>
      <c r="AT119" s="484">
        <f>+ab($T$119,$T$117,$T$121,$G$118,$G$120, 1*$F$119,1200)</f>
        <v>8.1681606014296726</v>
      </c>
      <c r="AU119" s="638"/>
      <c r="AV119" s="638"/>
      <c r="AW119" s="638" t="str">
        <f>VLOOKUP(C119,'Foundation Calculation'!$A$2:$C$33,3,1)</f>
        <v>Soil A</v>
      </c>
      <c r="AX119" s="638" t="str">
        <f>VLOOKUP(C119,'Foundation Calculation'!$E$2:$G$33,3,1)</f>
        <v>PT</v>
      </c>
      <c r="AY119" s="484">
        <f>IF(AX119="PT",VLOOKUP(L119,'Foundation Calculation'!$K$2:$R$40,VLOOKUP(AW119,'Foundation Calculation'!$I$2:$J$8,2,FALSE),0),IF(AX119="K",VLOOKUP(L119,'Foundation Calculation'!$K$42:$R$80,VLOOKUP(AW119,'Foundation Calculation'!$I$2:$J$8,2,FALSE),0),""))</f>
        <v>3.5</v>
      </c>
      <c r="AZ119" s="484"/>
      <c r="BA119" s="671" t="s">
        <v>2809</v>
      </c>
      <c r="BB119" s="1239" t="str">
        <f>Pole_Calculations!A152</f>
        <v>App.7.1-V01-P9.5.1.1</v>
      </c>
      <c r="BC119" s="169"/>
      <c r="BD119" s="1329"/>
      <c r="BE119" s="1329"/>
      <c r="BF119" s="1330"/>
      <c r="BG119" s="1329"/>
    </row>
    <row r="120" spans="1:59" ht="15.75" customHeight="1">
      <c r="A120" s="1239"/>
      <c r="B120" s="173"/>
      <c r="C120" s="446"/>
      <c r="D120" s="447"/>
      <c r="E120" s="638"/>
      <c r="F120" s="447"/>
      <c r="G120" s="484">
        <v>60</v>
      </c>
      <c r="H120" s="1239"/>
      <c r="I120" s="448"/>
      <c r="J120" s="171">
        <f>C121-7.5</f>
        <v>82317.73</v>
      </c>
      <c r="K120" s="638" t="s">
        <v>2788</v>
      </c>
      <c r="L120" s="638"/>
      <c r="M120" s="638"/>
      <c r="N120" s="1239"/>
      <c r="O120" s="1239"/>
      <c r="P120" s="1239"/>
      <c r="Q120" s="638"/>
      <c r="R120" s="638"/>
      <c r="S120" s="484"/>
      <c r="T120" s="638"/>
      <c r="U120" s="638"/>
      <c r="V120" s="638"/>
      <c r="W120" s="638"/>
      <c r="X120" s="638"/>
      <c r="Y120" s="638"/>
      <c r="Z120" s="638"/>
      <c r="AA120" s="638"/>
      <c r="AB120" s="638"/>
      <c r="AC120" s="638"/>
      <c r="AD120" s="638"/>
      <c r="AE120" s="638"/>
      <c r="AF120" s="638"/>
      <c r="AG120" s="446"/>
      <c r="AH120" s="638"/>
      <c r="AI120" s="638"/>
      <c r="AJ120" s="638"/>
      <c r="AK120" s="638"/>
      <c r="AL120" s="638"/>
      <c r="AM120" s="638"/>
      <c r="AN120" s="455"/>
      <c r="AO120" s="1239"/>
      <c r="AP120" s="1239"/>
      <c r="AQ120" s="484">
        <f>+FL_2($T$121,$T$119,$G$120,1200,9.28, 1*$F$121)</f>
        <v>-0.43600286799999999</v>
      </c>
      <c r="AR120" s="484"/>
      <c r="AS120" s="484"/>
      <c r="AT120" s="484"/>
      <c r="AU120" s="638"/>
      <c r="AV120" s="638"/>
      <c r="AW120" s="638" t="str">
        <f>VLOOKUP(J120,'Foundation Calculation'!$A$2:$C$33,3,1)</f>
        <v>Soil A</v>
      </c>
      <c r="AX120" s="638" t="str">
        <f>VLOOKUP(J120,'Foundation Calculation'!$E$2:$G$33,3,1)</f>
        <v>PT</v>
      </c>
      <c r="AY120" s="484"/>
      <c r="AZ120" s="484">
        <f>IF(AX120="PT",VLOOKUP(K120,'Foundation Calculation'!$K$2:$R$40,VLOOKUP(AW120,'Foundation Calculation'!$I$2:$J$8,2,FALSE),0),IF(AX120="K",VLOOKUP(K120,'Foundation Calculation'!$K$42:$R$80,VLOOKUP(AW120,'Foundation Calculation'!$I$2:$J$8,2,FALSE),0),""))</f>
        <v>2.8</v>
      </c>
      <c r="BA120" s="671" t="s">
        <v>2809</v>
      </c>
      <c r="BB120" s="1239"/>
      <c r="BC120" s="169"/>
      <c r="BD120" s="1329"/>
      <c r="BE120" s="1330"/>
      <c r="BF120" s="1330"/>
      <c r="BG120" s="1330"/>
    </row>
    <row r="121" spans="1:59" ht="15.75" customHeight="1">
      <c r="A121" s="1239"/>
      <c r="B121" s="435" t="s">
        <v>3512</v>
      </c>
      <c r="C121" s="446">
        <f>+$C$119+$G$120</f>
        <v>82325.23</v>
      </c>
      <c r="D121" s="447"/>
      <c r="E121" s="638"/>
      <c r="F121" s="447">
        <v>0</v>
      </c>
      <c r="G121" s="484"/>
      <c r="H121" s="1239" t="s">
        <v>873</v>
      </c>
      <c r="I121" s="448"/>
      <c r="J121" s="171"/>
      <c r="K121" s="638"/>
      <c r="L121" s="638" t="s">
        <v>230</v>
      </c>
      <c r="M121" s="638" t="str">
        <f>IF(AX121="PT",VLOOKUP(L121,'Foundation Calculation'!$V$2:$X$40,VLOOKUP(AX121,'Foundation Calculation'!$I$10:$J$13,2,FALSE),0),IF(AX121="K",VLOOKUP(L121,'Foundation Calculation'!$V$42:$X$80,VLOOKUP(AX121,'Foundation Calculation'!$I$10:$J$13,2,FALSE),0),""))</f>
        <v>C4R</v>
      </c>
      <c r="N121" s="1239" t="s">
        <v>143</v>
      </c>
      <c r="O121" s="1239"/>
      <c r="P121" s="1239"/>
      <c r="Q121" s="638"/>
      <c r="R121" s="638"/>
      <c r="S121" s="484"/>
      <c r="T121" s="638">
        <v>-35</v>
      </c>
      <c r="U121" s="638"/>
      <c r="V121" s="638"/>
      <c r="W121" s="638">
        <v>1.4</v>
      </c>
      <c r="X121" s="638"/>
      <c r="Y121" s="638"/>
      <c r="Z121" s="638"/>
      <c r="AA121" s="638"/>
      <c r="AB121" s="638"/>
      <c r="AC121" s="638" t="str">
        <f t="shared" si="1"/>
        <v>PH</v>
      </c>
      <c r="AD121" s="638"/>
      <c r="AE121" s="638"/>
      <c r="AF121" s="638"/>
      <c r="AG121" s="446"/>
      <c r="AH121" s="638"/>
      <c r="AI121" s="638"/>
      <c r="AJ121" s="638"/>
      <c r="AK121" s="638"/>
      <c r="AL121" s="638"/>
      <c r="AM121" s="638" t="s">
        <v>1043</v>
      </c>
      <c r="AN121" s="455">
        <v>5.33</v>
      </c>
      <c r="AO121" s="1239"/>
      <c r="AP121" s="1239"/>
      <c r="AQ121" s="484"/>
      <c r="AR121" s="484"/>
      <c r="AS121" s="484"/>
      <c r="AT121" s="484">
        <f>+ab($T$121,$T$119,$T$123,$G$120,$G$122, 1*$F$121,1200)</f>
        <v>-8.1682020423530854</v>
      </c>
      <c r="AU121" s="638"/>
      <c r="AV121" s="638"/>
      <c r="AW121" s="638" t="str">
        <f>VLOOKUP(C121,'Foundation Calculation'!$A$2:$C$33,3,1)</f>
        <v>Soil A</v>
      </c>
      <c r="AX121" s="638" t="str">
        <f>VLOOKUP(C121,'Foundation Calculation'!$E$2:$G$33,3,1)</f>
        <v>PT</v>
      </c>
      <c r="AY121" s="484">
        <f>IF(AX121="PT",VLOOKUP(L121,'Foundation Calculation'!$K$2:$R$40,VLOOKUP(AW121,'Foundation Calculation'!$I$2:$J$8,2,FALSE),0),IF(AX121="K",VLOOKUP(L121,'Foundation Calculation'!$K$42:$R$80,VLOOKUP(AW121,'Foundation Calculation'!$I$2:$J$8,2,FALSE),0),""))</f>
        <v>3.5</v>
      </c>
      <c r="AZ121" s="484"/>
      <c r="BA121" s="671" t="s">
        <v>2809</v>
      </c>
      <c r="BB121" s="1239" t="str">
        <f>Pole_Calculations!A154</f>
        <v>App.7.1-V01-P9.5.1.3</v>
      </c>
      <c r="BC121" s="169"/>
      <c r="BD121" s="1329"/>
      <c r="BE121" s="1329"/>
      <c r="BF121" s="1330"/>
      <c r="BG121" s="1329"/>
    </row>
    <row r="122" spans="1:59" ht="15.75" customHeight="1">
      <c r="A122" s="1239"/>
      <c r="B122" s="173"/>
      <c r="C122" s="446"/>
      <c r="D122" s="447"/>
      <c r="E122" s="638"/>
      <c r="F122" s="447"/>
      <c r="G122" s="484">
        <v>60</v>
      </c>
      <c r="H122" s="1239"/>
      <c r="I122" s="448">
        <f>C123-C105</f>
        <v>522.69999999999709</v>
      </c>
      <c r="J122" s="171"/>
      <c r="K122" s="638"/>
      <c r="L122" s="638"/>
      <c r="M122" s="638"/>
      <c r="N122" s="1239"/>
      <c r="O122" s="1239"/>
      <c r="P122" s="1239"/>
      <c r="Q122" s="638"/>
      <c r="R122" s="638"/>
      <c r="S122" s="484"/>
      <c r="T122" s="638"/>
      <c r="U122" s="638"/>
      <c r="V122" s="638"/>
      <c r="W122" s="638"/>
      <c r="X122" s="638"/>
      <c r="Y122" s="638"/>
      <c r="Z122" s="638"/>
      <c r="AA122" s="638"/>
      <c r="AB122" s="638"/>
      <c r="AC122" s="638"/>
      <c r="AD122" s="638"/>
      <c r="AE122" s="638"/>
      <c r="AF122" s="638"/>
      <c r="AG122" s="446"/>
      <c r="AH122" s="638"/>
      <c r="AI122" s="638"/>
      <c r="AJ122" s="638"/>
      <c r="AK122" s="638"/>
      <c r="AL122" s="638"/>
      <c r="AM122" s="638"/>
      <c r="AN122" s="455"/>
      <c r="AO122" s="1239"/>
      <c r="AP122" s="1239"/>
      <c r="AQ122" s="484">
        <f>+FL_1($T$123,$T$121,$G$122,1200,9.28, 1*$F$123)</f>
        <v>0.43600286799999999</v>
      </c>
      <c r="AR122" s="484"/>
      <c r="AS122" s="484"/>
      <c r="AT122" s="484"/>
      <c r="AU122" s="638"/>
      <c r="AV122" s="638"/>
      <c r="AW122" s="638"/>
      <c r="AX122" s="638"/>
      <c r="AY122" s="484"/>
      <c r="AZ122" s="484"/>
      <c r="BA122" s="671"/>
      <c r="BB122" s="1239"/>
      <c r="BC122" s="169"/>
      <c r="BD122" s="1330"/>
      <c r="BE122" s="1330"/>
      <c r="BF122" s="1330"/>
      <c r="BG122" s="1330"/>
    </row>
    <row r="123" spans="1:59" ht="15.75" customHeight="1">
      <c r="A123" s="1239"/>
      <c r="B123" s="435" t="s">
        <v>3513</v>
      </c>
      <c r="C123" s="446">
        <f>+$C$121+$G$122</f>
        <v>82385.23</v>
      </c>
      <c r="D123" s="447"/>
      <c r="E123" s="638"/>
      <c r="F123" s="447">
        <v>0</v>
      </c>
      <c r="G123" s="484"/>
      <c r="H123" s="1239" t="s">
        <v>874</v>
      </c>
      <c r="I123" s="448"/>
      <c r="J123" s="171"/>
      <c r="K123" s="638"/>
      <c r="L123" s="638" t="s">
        <v>230</v>
      </c>
      <c r="M123" s="638" t="str">
        <f>IF(AX123="PT",VLOOKUP(L123,'Foundation Calculation'!$V$2:$X$40,VLOOKUP(AX123,'Foundation Calculation'!$I$10:$J$13,2,FALSE),0),IF(AX123="K",VLOOKUP(L123,'Foundation Calculation'!$V$42:$X$80,VLOOKUP(AX123,'Foundation Calculation'!$I$10:$J$13,2,FALSE),0),""))</f>
        <v>C4R</v>
      </c>
      <c r="N123" s="1239" t="s">
        <v>144</v>
      </c>
      <c r="O123" s="1239"/>
      <c r="P123" s="1239"/>
      <c r="Q123" s="638"/>
      <c r="R123" s="638"/>
      <c r="S123" s="484"/>
      <c r="T123" s="638">
        <v>35</v>
      </c>
      <c r="U123" s="638"/>
      <c r="V123" s="638"/>
      <c r="W123" s="638">
        <v>1.4</v>
      </c>
      <c r="X123" s="638"/>
      <c r="Y123" s="638"/>
      <c r="Z123" s="638"/>
      <c r="AA123" s="638"/>
      <c r="AB123" s="638"/>
      <c r="AC123" s="638" t="str">
        <f t="shared" si="1"/>
        <v>PH</v>
      </c>
      <c r="AD123" s="638"/>
      <c r="AE123" s="638"/>
      <c r="AF123" s="638"/>
      <c r="AG123" s="446"/>
      <c r="AH123" s="638"/>
      <c r="AI123" s="638"/>
      <c r="AJ123" s="638"/>
      <c r="AK123" s="638"/>
      <c r="AL123" s="638"/>
      <c r="AM123" s="638" t="s">
        <v>1043</v>
      </c>
      <c r="AN123" s="455">
        <v>5.42</v>
      </c>
      <c r="AO123" s="1239"/>
      <c r="AP123" s="1239"/>
      <c r="AQ123" s="484"/>
      <c r="AR123" s="484"/>
      <c r="AS123" s="484"/>
      <c r="AT123" s="484">
        <f>+ab($T$123,$T$121,$T$125,$G$122,$G$124, 1*$F$123,1200)</f>
        <v>8.1681606014296726</v>
      </c>
      <c r="AU123" s="638"/>
      <c r="AV123" s="638"/>
      <c r="AW123" s="638" t="str">
        <f>VLOOKUP(C123,'Foundation Calculation'!$A$2:$C$33,3,1)</f>
        <v>Soil A</v>
      </c>
      <c r="AX123" s="638" t="str">
        <f>VLOOKUP(C123,'Foundation Calculation'!$E$2:$G$33,3,1)</f>
        <v>PT</v>
      </c>
      <c r="AY123" s="484">
        <f>IF(AX123="PT",VLOOKUP(L123,'Foundation Calculation'!$K$2:$R$40,VLOOKUP(AW123,'Foundation Calculation'!$I$2:$J$8,2,FALSE),0),IF(AX123="K",VLOOKUP(L123,'Foundation Calculation'!$K$42:$R$80,VLOOKUP(AW123,'Foundation Calculation'!$I$2:$J$8,2,FALSE),0),""))</f>
        <v>3.5</v>
      </c>
      <c r="AZ123" s="484"/>
      <c r="BA123" s="671" t="s">
        <v>2809</v>
      </c>
      <c r="BB123" s="1239" t="str">
        <f>Pole_Calculations!A153</f>
        <v>App.7.1-V01-P9.5.1.2</v>
      </c>
      <c r="BC123" s="169"/>
      <c r="BD123" s="1329"/>
      <c r="BE123" s="1329"/>
      <c r="BF123" s="1330"/>
      <c r="BG123" s="1329"/>
    </row>
    <row r="124" spans="1:59" ht="15.75" customHeight="1">
      <c r="A124" s="1239"/>
      <c r="B124" s="173"/>
      <c r="C124" s="446"/>
      <c r="D124" s="447"/>
      <c r="E124" s="638"/>
      <c r="F124" s="447"/>
      <c r="G124" s="484">
        <v>60</v>
      </c>
      <c r="H124" s="1239"/>
      <c r="I124" s="448">
        <v>544</v>
      </c>
      <c r="J124" s="171"/>
      <c r="K124" s="638"/>
      <c r="L124" s="638"/>
      <c r="M124" s="638"/>
      <c r="N124" s="1239"/>
      <c r="O124" s="1239"/>
      <c r="P124" s="1239"/>
      <c r="Q124" s="638"/>
      <c r="R124" s="638"/>
      <c r="S124" s="484"/>
      <c r="T124" s="638"/>
      <c r="U124" s="638"/>
      <c r="V124" s="638"/>
      <c r="W124" s="638"/>
      <c r="X124" s="638"/>
      <c r="Y124" s="638"/>
      <c r="Z124" s="638"/>
      <c r="AA124" s="638"/>
      <c r="AB124" s="638"/>
      <c r="AC124" s="638"/>
      <c r="AD124" s="638"/>
      <c r="AE124" s="638"/>
      <c r="AF124" s="638"/>
      <c r="AG124" s="446"/>
      <c r="AH124" s="638"/>
      <c r="AI124" s="638"/>
      <c r="AJ124" s="638"/>
      <c r="AK124" s="638"/>
      <c r="AL124" s="638"/>
      <c r="AM124" s="638"/>
      <c r="AN124" s="455"/>
      <c r="AO124" s="1239"/>
      <c r="AP124" s="1239"/>
      <c r="AQ124" s="484">
        <f>+FL_2($T$125,$T$123,$G$124,1200,9.28, 1*$F$125)</f>
        <v>-0.43600286799999999</v>
      </c>
      <c r="AR124" s="484"/>
      <c r="AS124" s="484"/>
      <c r="AT124" s="484"/>
      <c r="AU124" s="638"/>
      <c r="AV124" s="638"/>
      <c r="AW124" s="638"/>
      <c r="AX124" s="638"/>
      <c r="AY124" s="484"/>
      <c r="AZ124" s="484"/>
      <c r="BA124" s="671"/>
      <c r="BB124" s="1239"/>
      <c r="BC124" s="169"/>
      <c r="BD124" s="1330"/>
      <c r="BE124" s="1330"/>
      <c r="BF124" s="1330"/>
      <c r="BG124" s="1330"/>
    </row>
    <row r="125" spans="1:59" ht="15.75" customHeight="1">
      <c r="A125" s="1239"/>
      <c r="B125" s="435" t="s">
        <v>3514</v>
      </c>
      <c r="C125" s="446">
        <f>+$C$123+$G$124</f>
        <v>82445.23</v>
      </c>
      <c r="D125" s="447"/>
      <c r="E125" s="638"/>
      <c r="F125" s="447">
        <v>0</v>
      </c>
      <c r="G125" s="484"/>
      <c r="H125" s="1239" t="s">
        <v>873</v>
      </c>
      <c r="I125" s="448"/>
      <c r="J125" s="171"/>
      <c r="K125" s="638"/>
      <c r="L125" s="638" t="s">
        <v>230</v>
      </c>
      <c r="M125" s="638" t="str">
        <f>IF(AX125="PT",VLOOKUP(L125,'Foundation Calculation'!$V$2:$X$40,VLOOKUP(AX125,'Foundation Calculation'!$I$10:$J$13,2,FALSE),0),IF(AX125="K",VLOOKUP(L125,'Foundation Calculation'!$V$42:$X$80,VLOOKUP(AX125,'Foundation Calculation'!$I$10:$J$13,2,FALSE),0),""))</f>
        <v>C4R</v>
      </c>
      <c r="N125" s="1239" t="s">
        <v>143</v>
      </c>
      <c r="O125" s="1239"/>
      <c r="P125" s="1239"/>
      <c r="Q125" s="638"/>
      <c r="R125" s="638"/>
      <c r="S125" s="484"/>
      <c r="T125" s="638">
        <v>-35</v>
      </c>
      <c r="U125" s="638"/>
      <c r="V125" s="638"/>
      <c r="W125" s="638">
        <v>1.4</v>
      </c>
      <c r="X125" s="638"/>
      <c r="Y125" s="638"/>
      <c r="Z125" s="638"/>
      <c r="AA125" s="638"/>
      <c r="AB125" s="638"/>
      <c r="AC125" s="638" t="str">
        <f t="shared" si="1"/>
        <v>PH</v>
      </c>
      <c r="AD125" s="638"/>
      <c r="AE125" s="638"/>
      <c r="AF125" s="638"/>
      <c r="AG125" s="446"/>
      <c r="AH125" s="638"/>
      <c r="AI125" s="638"/>
      <c r="AJ125" s="638"/>
      <c r="AK125" s="638"/>
      <c r="AL125" s="638"/>
      <c r="AM125" s="638" t="s">
        <v>1043</v>
      </c>
      <c r="AN125" s="455">
        <v>5.5</v>
      </c>
      <c r="AO125" s="1239"/>
      <c r="AP125" s="1239"/>
      <c r="AQ125" s="484"/>
      <c r="AR125" s="484"/>
      <c r="AS125" s="484"/>
      <c r="AT125" s="484">
        <f>+ab($T$125,$T$123,$T$127,$G$124,$G$126, 1*$F$125,1200)</f>
        <v>-8.1682020423530854</v>
      </c>
      <c r="AU125" s="638"/>
      <c r="AV125" s="638"/>
      <c r="AW125" s="638" t="str">
        <f>VLOOKUP(C125,'Foundation Calculation'!$A$2:$C$33,3,1)</f>
        <v>Soil A</v>
      </c>
      <c r="AX125" s="638" t="str">
        <f>VLOOKUP(C125,'Foundation Calculation'!$E$2:$G$33,3,1)</f>
        <v>PT</v>
      </c>
      <c r="AY125" s="484">
        <f>IF(AX125="PT",VLOOKUP(L125,'Foundation Calculation'!$K$2:$R$40,VLOOKUP(AW125,'Foundation Calculation'!$I$2:$J$8,2,FALSE),0),IF(AX125="K",VLOOKUP(L125,'Foundation Calculation'!$K$42:$R$80,VLOOKUP(AW125,'Foundation Calculation'!$I$2:$J$8,2,FALSE),0),""))</f>
        <v>3.5</v>
      </c>
      <c r="AZ125" s="484"/>
      <c r="BA125" s="671" t="s">
        <v>2809</v>
      </c>
      <c r="BB125" s="1239" t="str">
        <f>Pole_Calculations!A154</f>
        <v>App.7.1-V01-P9.5.1.3</v>
      </c>
      <c r="BC125" s="169"/>
      <c r="BD125" s="1329"/>
      <c r="BE125" s="1329"/>
      <c r="BF125" s="1330"/>
      <c r="BG125" s="1329"/>
    </row>
    <row r="126" spans="1:59" ht="15.75" customHeight="1">
      <c r="A126" s="1239"/>
      <c r="B126" s="173"/>
      <c r="C126" s="446"/>
      <c r="D126" s="447"/>
      <c r="E126" s="638"/>
      <c r="F126" s="447"/>
      <c r="G126" s="484">
        <v>60</v>
      </c>
      <c r="H126" s="1239"/>
      <c r="I126" s="448"/>
      <c r="J126" s="171">
        <f>C125+7.5</f>
        <v>82452.73</v>
      </c>
      <c r="K126" s="638" t="s">
        <v>2788</v>
      </c>
      <c r="L126" s="638"/>
      <c r="M126" s="638"/>
      <c r="N126" s="1239"/>
      <c r="O126" s="1239"/>
      <c r="P126" s="1239"/>
      <c r="Q126" s="638"/>
      <c r="R126" s="638"/>
      <c r="S126" s="484"/>
      <c r="T126" s="638"/>
      <c r="U126" s="638"/>
      <c r="V126" s="638"/>
      <c r="W126" s="638"/>
      <c r="X126" s="638"/>
      <c r="Y126" s="638"/>
      <c r="Z126" s="638"/>
      <c r="AA126" s="638"/>
      <c r="AB126" s="638"/>
      <c r="AC126" s="638"/>
      <c r="AD126" s="638"/>
      <c r="AE126" s="638"/>
      <c r="AF126" s="638"/>
      <c r="AG126" s="446"/>
      <c r="AH126" s="638"/>
      <c r="AI126" s="638"/>
      <c r="AJ126" s="638"/>
      <c r="AK126" s="638"/>
      <c r="AL126" s="638"/>
      <c r="AM126" s="638"/>
      <c r="AN126" s="455"/>
      <c r="AO126" s="1239"/>
      <c r="AP126" s="1239"/>
      <c r="AQ126" s="484">
        <f>+FL_2($T$127,$T$125,$G$126,1200,9.28, 1*$F$127)</f>
        <v>-0.43600286799999993</v>
      </c>
      <c r="AR126" s="484"/>
      <c r="AS126" s="484"/>
      <c r="AT126" s="484"/>
      <c r="AU126" s="638"/>
      <c r="AV126" s="638"/>
      <c r="AW126" s="638" t="str">
        <f>VLOOKUP(J126,'Foundation Calculation'!$A$2:$C$33,3,1)</f>
        <v>Soil A</v>
      </c>
      <c r="AX126" s="638" t="str">
        <f>VLOOKUP(J126,'Foundation Calculation'!$E$2:$G$33,3,1)</f>
        <v>PT</v>
      </c>
      <c r="AY126" s="484"/>
      <c r="AZ126" s="484">
        <f>IF(AX126="PT",VLOOKUP(K126,'Foundation Calculation'!$K$2:$R$40,VLOOKUP(AW126,'Foundation Calculation'!$I$2:$J$8,2,FALSE),0),IF(AX126="K",VLOOKUP(K126,'Foundation Calculation'!$K$42:$R$80,VLOOKUP(AW126,'Foundation Calculation'!$I$2:$J$8,2,FALSE),0),""))</f>
        <v>2.8</v>
      </c>
      <c r="BA126" s="671" t="s">
        <v>2809</v>
      </c>
      <c r="BB126" s="1239"/>
      <c r="BC126" s="169"/>
      <c r="BD126" s="1329"/>
      <c r="BE126" s="1330"/>
      <c r="BF126" s="1330"/>
      <c r="BG126" s="1330"/>
    </row>
    <row r="127" spans="1:59" ht="15.75" customHeight="1">
      <c r="A127" s="501"/>
      <c r="B127" s="716" t="str">
        <f>'HR Track 6 HER'!B6</f>
        <v>82-6.09</v>
      </c>
      <c r="C127" s="451">
        <f>'HR Track 6 HER'!C6</f>
        <v>82505.23</v>
      </c>
      <c r="D127" s="453"/>
      <c r="E127" s="452"/>
      <c r="F127" s="453" t="str">
        <f>'HR Track 6 HER'!F6</f>
        <v>0</v>
      </c>
      <c r="G127" s="500"/>
      <c r="H127" s="453"/>
      <c r="I127" s="501"/>
      <c r="J127" s="583"/>
      <c r="K127" s="452"/>
      <c r="L127" s="452" t="str">
        <f>'HR Track 6 HER'!L6</f>
        <v>HEB-260</v>
      </c>
      <c r="M127" s="452" t="str">
        <f>'HR Track 6 HER'!M6</f>
        <v>C4R</v>
      </c>
      <c r="N127" s="501" t="str">
        <f>'HR Track 6 HER'!N6</f>
        <v>EMT-2</v>
      </c>
      <c r="O127" s="501"/>
      <c r="P127" s="501"/>
      <c r="Q127" s="452">
        <f>'HR Track 6 HER'!Q6</f>
        <v>0</v>
      </c>
      <c r="R127" s="452">
        <f>'HR Track 6 HER'!R6</f>
        <v>0</v>
      </c>
      <c r="S127" s="500">
        <f>'HR Track 6 HER'!S6</f>
        <v>0</v>
      </c>
      <c r="T127" s="452">
        <f>'HR Track 6 HER'!T6</f>
        <v>35</v>
      </c>
      <c r="U127" s="452"/>
      <c r="V127" s="452"/>
      <c r="W127" s="452">
        <f>'HR Track 6 HER'!W6</f>
        <v>1.4</v>
      </c>
      <c r="X127" s="452"/>
      <c r="Y127" s="452"/>
      <c r="Z127" s="452"/>
      <c r="AA127" s="452"/>
      <c r="AB127" s="452"/>
      <c r="AC127" s="452" t="str">
        <f>'HR Track 6 HER'!AC6</f>
        <v>PH</v>
      </c>
      <c r="AD127" s="452"/>
      <c r="AE127" s="452"/>
      <c r="AF127" s="452"/>
      <c r="AG127" s="451"/>
      <c r="AH127" s="452"/>
      <c r="AI127" s="452"/>
      <c r="AJ127" s="452"/>
      <c r="AK127" s="452"/>
      <c r="AL127" s="452"/>
      <c r="AM127" s="452" t="str">
        <f>'HR Track 6 HER'!AM6</f>
        <v>RW2</v>
      </c>
      <c r="AN127" s="1342">
        <f>'HR Track 6 HER'!AN6</f>
        <v>5.5</v>
      </c>
      <c r="AO127" s="452">
        <f>'HR Track 6 HER'!AO6</f>
        <v>0</v>
      </c>
      <c r="AP127" s="452">
        <f>'HR Track 6 HER'!AP6</f>
        <v>0</v>
      </c>
      <c r="AQ127" s="452">
        <f>'HR Track 6 HER'!AQ6</f>
        <v>0</v>
      </c>
      <c r="AR127" s="452">
        <f>'HR Track 6 HER'!AR6</f>
        <v>0</v>
      </c>
      <c r="AS127" s="452">
        <f>'HR Track 6 HER'!AS6</f>
        <v>0</v>
      </c>
      <c r="AT127" s="452">
        <f>'HR Track 6 HER'!AT6</f>
        <v>8.1681606014296726</v>
      </c>
      <c r="AU127" s="452">
        <f>'HR Track 6 HER'!AU6</f>
        <v>0</v>
      </c>
      <c r="AV127" s="452">
        <f>'HR Track 6 HER'!AV6</f>
        <v>0</v>
      </c>
      <c r="AW127" s="452" t="str">
        <f>'HR Track 6 HER'!AW6</f>
        <v>Soil A</v>
      </c>
      <c r="AX127" s="452" t="str">
        <f>'HR Track 6 HER'!AX6</f>
        <v>PT</v>
      </c>
      <c r="AY127" s="500">
        <f>'HR Track 6 HER'!AY6</f>
        <v>3.5</v>
      </c>
      <c r="AZ127" s="500">
        <f>'HR Track 6 HER'!AZ6</f>
        <v>0</v>
      </c>
      <c r="BA127" s="1333" t="str">
        <f>'HR Track 6 HER'!BA6</f>
        <v>ü</v>
      </c>
      <c r="BB127" s="452" t="str">
        <f>'HR Track 6 HER'!BB6</f>
        <v>App.7.1-V01-P9.5.1.1</v>
      </c>
      <c r="BC127" s="1334">
        <f>'HR Track 6 HER'!BC6</f>
        <v>0</v>
      </c>
      <c r="BD127" s="1335">
        <f>'HR Track 6 HER'!BD6</f>
        <v>0</v>
      </c>
      <c r="BE127" s="1335">
        <f>'HR Track 6 HER'!BE6</f>
        <v>0</v>
      </c>
      <c r="BF127" s="1335">
        <f>'HR Track 6 HER'!BF6</f>
        <v>0</v>
      </c>
      <c r="BG127" s="1335">
        <f>'HR Track 6 HER'!BG6</f>
        <v>0</v>
      </c>
    </row>
    <row r="128" spans="1:59" ht="15.75" customHeight="1">
      <c r="A128" s="501"/>
      <c r="B128" s="716">
        <f>'HR Track 6 HER'!B7</f>
        <v>0</v>
      </c>
      <c r="C128" s="451">
        <f>'HR Track 6 HER'!C7</f>
        <v>0</v>
      </c>
      <c r="D128" s="453"/>
      <c r="E128" s="452"/>
      <c r="F128" s="453">
        <f>'HR Track 6 HER'!F7</f>
        <v>0</v>
      </c>
      <c r="G128" s="500"/>
      <c r="H128" s="453"/>
      <c r="I128" s="501"/>
      <c r="J128" s="583"/>
      <c r="K128" s="452"/>
      <c r="L128" s="452">
        <f>'HR Track 6 HER'!L7</f>
        <v>0</v>
      </c>
      <c r="M128" s="452">
        <f>'HR Track 6 HER'!M7</f>
        <v>0</v>
      </c>
      <c r="N128" s="501">
        <f>'HR Track 6 HER'!N7</f>
        <v>0</v>
      </c>
      <c r="O128" s="501"/>
      <c r="P128" s="501"/>
      <c r="Q128" s="452">
        <f>'HR Track 6 HER'!Q7</f>
        <v>0</v>
      </c>
      <c r="R128" s="452">
        <f>'HR Track 6 HER'!R7</f>
        <v>0</v>
      </c>
      <c r="S128" s="500">
        <f>'HR Track 6 HER'!S7</f>
        <v>0</v>
      </c>
      <c r="T128" s="452">
        <f>'HR Track 6 HER'!T7</f>
        <v>0</v>
      </c>
      <c r="U128" s="452"/>
      <c r="V128" s="452"/>
      <c r="W128" s="452">
        <f>'HR Track 6 HER'!W7</f>
        <v>0</v>
      </c>
      <c r="X128" s="452"/>
      <c r="Y128" s="452"/>
      <c r="Z128" s="452"/>
      <c r="AA128" s="452"/>
      <c r="AB128" s="452"/>
      <c r="AC128" s="452">
        <f>'HR Track 6 HER'!AC7</f>
        <v>0</v>
      </c>
      <c r="AD128" s="452"/>
      <c r="AE128" s="452"/>
      <c r="AF128" s="452"/>
      <c r="AG128" s="451"/>
      <c r="AH128" s="452"/>
      <c r="AI128" s="452"/>
      <c r="AJ128" s="452"/>
      <c r="AK128" s="452"/>
      <c r="AL128" s="452"/>
      <c r="AM128" s="452">
        <f>'HR Track 6 HER'!AM7</f>
        <v>0</v>
      </c>
      <c r="AN128" s="500">
        <f>'HR Track 6 HER'!AN7</f>
        <v>0</v>
      </c>
      <c r="AO128" s="452">
        <f>'HR Track 6 HER'!AO7</f>
        <v>0</v>
      </c>
      <c r="AP128" s="452">
        <f>'HR Track 6 HER'!AP7</f>
        <v>0</v>
      </c>
      <c r="AQ128" s="452">
        <f>'HR Track 6 HER'!AQ7</f>
        <v>-0.43600286799999999</v>
      </c>
      <c r="AR128" s="452">
        <f>'HR Track 6 HER'!AR7</f>
        <v>0</v>
      </c>
      <c r="AS128" s="452">
        <f>'HR Track 6 HER'!AS7</f>
        <v>0</v>
      </c>
      <c r="AT128" s="452">
        <f>'HR Track 6 HER'!AT7</f>
        <v>0</v>
      </c>
      <c r="AU128" s="452">
        <f>'HR Track 6 HER'!AU7</f>
        <v>0</v>
      </c>
      <c r="AV128" s="452">
        <f>'HR Track 6 HER'!AV7</f>
        <v>0</v>
      </c>
      <c r="AW128" s="452">
        <f>'HR Track 6 HER'!AW7</f>
        <v>0</v>
      </c>
      <c r="AX128" s="452">
        <f>'HR Track 6 HER'!AX7</f>
        <v>0</v>
      </c>
      <c r="AY128" s="500">
        <f>'HR Track 6 HER'!AY7</f>
        <v>0</v>
      </c>
      <c r="AZ128" s="500">
        <f>'HR Track 6 HER'!AZ7</f>
        <v>0</v>
      </c>
      <c r="BA128" s="1333">
        <f>'HR Track 6 HER'!BA7</f>
        <v>0</v>
      </c>
      <c r="BB128" s="452">
        <f>'HR Track 6 HER'!BB7</f>
        <v>0</v>
      </c>
      <c r="BC128" s="1334">
        <f>'HR Track 6 HER'!BC7</f>
        <v>0</v>
      </c>
      <c r="BD128" s="1335">
        <f>'HR Track 6 HER'!BD7</f>
        <v>0</v>
      </c>
      <c r="BE128" s="1335">
        <f>'HR Track 6 HER'!BE7</f>
        <v>0</v>
      </c>
      <c r="BF128" s="1335">
        <f>'HR Track 6 HER'!BF7</f>
        <v>0</v>
      </c>
      <c r="BG128" s="1335">
        <f>'HR Track 6 HER'!BG7</f>
        <v>0</v>
      </c>
    </row>
    <row r="129" spans="1:59" ht="15.75" customHeight="1">
      <c r="A129" s="501"/>
      <c r="B129" s="716" t="str">
        <f>'HR Track 6 HER'!B8</f>
        <v>82-6.10</v>
      </c>
      <c r="C129" s="451">
        <f>'HR Track 6 HER'!C8</f>
        <v>82565.23</v>
      </c>
      <c r="D129" s="453"/>
      <c r="E129" s="452"/>
      <c r="F129" s="453">
        <f>'HR Track 6 HER'!F8</f>
        <v>0</v>
      </c>
      <c r="G129" s="500"/>
      <c r="H129" s="453"/>
      <c r="I129" s="501"/>
      <c r="J129" s="583"/>
      <c r="K129" s="452"/>
      <c r="L129" s="452" t="str">
        <f>'HR Track 6 HER'!L8</f>
        <v>HEB-260</v>
      </c>
      <c r="M129" s="452" t="str">
        <f>'HR Track 6 HER'!M8</f>
        <v>C4R</v>
      </c>
      <c r="N129" s="501" t="str">
        <f>'HR Track 6 HER'!N8</f>
        <v>EMT-1</v>
      </c>
      <c r="O129" s="501"/>
      <c r="P129" s="501"/>
      <c r="Q129" s="452">
        <f>'HR Track 6 HER'!Q8</f>
        <v>0</v>
      </c>
      <c r="R129" s="452">
        <f>'HR Track 6 HER'!R8</f>
        <v>0</v>
      </c>
      <c r="S129" s="500">
        <f>'HR Track 6 HER'!S8</f>
        <v>0</v>
      </c>
      <c r="T129" s="452">
        <f>'HR Track 6 HER'!T8</f>
        <v>-35</v>
      </c>
      <c r="U129" s="452"/>
      <c r="V129" s="452"/>
      <c r="W129" s="452">
        <f>'HR Track 6 HER'!W8</f>
        <v>1.4</v>
      </c>
      <c r="X129" s="452"/>
      <c r="Y129" s="452"/>
      <c r="Z129" s="452"/>
      <c r="AA129" s="452"/>
      <c r="AB129" s="452"/>
      <c r="AC129" s="452" t="str">
        <f>'HR Track 6 HER'!AC8</f>
        <v>PH</v>
      </c>
      <c r="AD129" s="452"/>
      <c r="AE129" s="452"/>
      <c r="AF129" s="452"/>
      <c r="AG129" s="451"/>
      <c r="AH129" s="452"/>
      <c r="AI129" s="452"/>
      <c r="AJ129" s="452"/>
      <c r="AK129" s="452"/>
      <c r="AL129" s="452"/>
      <c r="AM129" s="452" t="str">
        <f>'HR Track 6 HER'!AM8</f>
        <v>RW2</v>
      </c>
      <c r="AN129" s="500">
        <f>'HR Track 6 HER'!AN8</f>
        <v>5.5</v>
      </c>
      <c r="AO129" s="452">
        <f>'HR Track 6 HER'!AO8</f>
        <v>0</v>
      </c>
      <c r="AP129" s="452">
        <f>'HR Track 6 HER'!AP8</f>
        <v>0</v>
      </c>
      <c r="AQ129" s="452">
        <f>'HR Track 6 HER'!AQ8</f>
        <v>0</v>
      </c>
      <c r="AR129" s="452">
        <f>'HR Track 6 HER'!AR8</f>
        <v>0</v>
      </c>
      <c r="AS129" s="452">
        <f>'HR Track 6 HER'!AS8</f>
        <v>0</v>
      </c>
      <c r="AT129" s="452">
        <f>'HR Track 6 HER'!AT8</f>
        <v>-8.1682020423530854</v>
      </c>
      <c r="AU129" s="452">
        <f>'HR Track 6 HER'!AU8</f>
        <v>0</v>
      </c>
      <c r="AV129" s="452">
        <f>'HR Track 6 HER'!AV8</f>
        <v>0</v>
      </c>
      <c r="AW129" s="452" t="str">
        <f>'HR Track 6 HER'!AW8</f>
        <v>Soil A</v>
      </c>
      <c r="AX129" s="452" t="str">
        <f>'HR Track 6 HER'!AX8</f>
        <v>PT</v>
      </c>
      <c r="AY129" s="500">
        <f>'HR Track 6 HER'!AY8</f>
        <v>3.5</v>
      </c>
      <c r="AZ129" s="500">
        <f>'HR Track 6 HER'!AZ8</f>
        <v>0</v>
      </c>
      <c r="BA129" s="1333" t="str">
        <f>'HR Track 6 HER'!BA8</f>
        <v>ü</v>
      </c>
      <c r="BB129" s="452" t="str">
        <f>'HR Track 6 HER'!BB8</f>
        <v>App.7.1-V01-P9.5.1.1</v>
      </c>
      <c r="BC129" s="1334">
        <f>'HR Track 6 HER'!BC8</f>
        <v>0</v>
      </c>
      <c r="BD129" s="1335">
        <f>'HR Track 6 HER'!BD8</f>
        <v>0</v>
      </c>
      <c r="BE129" s="1335">
        <f>'HR Track 6 HER'!BE8</f>
        <v>0</v>
      </c>
      <c r="BF129" s="1335">
        <f>'HR Track 6 HER'!BF8</f>
        <v>0</v>
      </c>
      <c r="BG129" s="1335">
        <f>'HR Track 6 HER'!BG8</f>
        <v>0</v>
      </c>
    </row>
    <row r="130" spans="1:59" ht="15.75" customHeight="1">
      <c r="A130" s="501"/>
      <c r="B130" s="716">
        <f>'HR Track 6 HER'!B9</f>
        <v>0</v>
      </c>
      <c r="C130" s="451">
        <f>'HR Track 6 HER'!C9</f>
        <v>0</v>
      </c>
      <c r="D130" s="453"/>
      <c r="E130" s="452"/>
      <c r="F130" s="453">
        <f>'HR Track 6 HER'!F9</f>
        <v>0</v>
      </c>
      <c r="G130" s="500"/>
      <c r="H130" s="453"/>
      <c r="I130" s="501"/>
      <c r="J130" s="583"/>
      <c r="K130" s="452"/>
      <c r="L130" s="452">
        <f>'HR Track 6 HER'!L9</f>
        <v>0</v>
      </c>
      <c r="M130" s="452">
        <f>'HR Track 6 HER'!M9</f>
        <v>0</v>
      </c>
      <c r="N130" s="501">
        <f>'HR Track 6 HER'!N9</f>
        <v>0</v>
      </c>
      <c r="O130" s="501"/>
      <c r="P130" s="501"/>
      <c r="Q130" s="452">
        <f>'HR Track 6 HER'!Q9</f>
        <v>0</v>
      </c>
      <c r="R130" s="452">
        <f>'HR Track 6 HER'!R9</f>
        <v>0</v>
      </c>
      <c r="S130" s="500">
        <f>'HR Track 6 HER'!S9</f>
        <v>0</v>
      </c>
      <c r="T130" s="452">
        <f>'HR Track 6 HER'!T9</f>
        <v>0</v>
      </c>
      <c r="U130" s="452"/>
      <c r="V130" s="452"/>
      <c r="W130" s="452">
        <f>'HR Track 6 HER'!W9</f>
        <v>0</v>
      </c>
      <c r="X130" s="452"/>
      <c r="Y130" s="452"/>
      <c r="Z130" s="452"/>
      <c r="AA130" s="452"/>
      <c r="AB130" s="452"/>
      <c r="AC130" s="452">
        <f>'HR Track 6 HER'!AC9</f>
        <v>0</v>
      </c>
      <c r="AD130" s="452"/>
      <c r="AE130" s="452"/>
      <c r="AF130" s="452"/>
      <c r="AG130" s="451"/>
      <c r="AH130" s="452"/>
      <c r="AI130" s="452"/>
      <c r="AJ130" s="452"/>
      <c r="AK130" s="452"/>
      <c r="AL130" s="452"/>
      <c r="AM130" s="452">
        <f>'HR Track 6 HER'!AM9</f>
        <v>0</v>
      </c>
      <c r="AN130" s="500">
        <f>'HR Track 6 HER'!AN9</f>
        <v>0</v>
      </c>
      <c r="AO130" s="452">
        <f>'HR Track 6 HER'!AO9</f>
        <v>0</v>
      </c>
      <c r="AP130" s="452">
        <f>'HR Track 6 HER'!AP9</f>
        <v>0</v>
      </c>
      <c r="AQ130" s="452">
        <f>'HR Track 6 HER'!AQ9</f>
        <v>0.43600286799999999</v>
      </c>
      <c r="AR130" s="452">
        <f>'HR Track 6 HER'!AR9</f>
        <v>0</v>
      </c>
      <c r="AS130" s="452">
        <f>'HR Track 6 HER'!AS9</f>
        <v>0</v>
      </c>
      <c r="AT130" s="452">
        <f>'HR Track 6 HER'!AT9</f>
        <v>0</v>
      </c>
      <c r="AU130" s="452">
        <f>'HR Track 6 HER'!AU9</f>
        <v>0</v>
      </c>
      <c r="AV130" s="452">
        <f>'HR Track 6 HER'!AV9</f>
        <v>0</v>
      </c>
      <c r="AW130" s="452">
        <f>'HR Track 6 HER'!AW9</f>
        <v>0</v>
      </c>
      <c r="AX130" s="452">
        <f>'HR Track 6 HER'!AX9</f>
        <v>0</v>
      </c>
      <c r="AY130" s="500">
        <f>'HR Track 6 HER'!AY9</f>
        <v>0</v>
      </c>
      <c r="AZ130" s="500">
        <f>'HR Track 6 HER'!AZ9</f>
        <v>0</v>
      </c>
      <c r="BA130" s="1333">
        <f>'HR Track 6 HER'!BA9</f>
        <v>0</v>
      </c>
      <c r="BB130" s="452">
        <f>'HR Track 6 HER'!BB9</f>
        <v>0</v>
      </c>
      <c r="BC130" s="1334">
        <f>'HR Track 6 HER'!BC9</f>
        <v>0</v>
      </c>
      <c r="BD130" s="1335">
        <f>'HR Track 6 HER'!BD9</f>
        <v>0</v>
      </c>
      <c r="BE130" s="1335">
        <f>'HR Track 6 HER'!BE9</f>
        <v>0</v>
      </c>
      <c r="BF130" s="1335">
        <f>'HR Track 6 HER'!BF9</f>
        <v>0</v>
      </c>
      <c r="BG130" s="1335">
        <f>'HR Track 6 HER'!BG9</f>
        <v>0</v>
      </c>
    </row>
    <row r="131" spans="1:59" ht="15.75" customHeight="1">
      <c r="A131" s="501"/>
      <c r="B131" s="716" t="str">
        <f>'HR Track 6 HER'!B10</f>
        <v>82-6.11</v>
      </c>
      <c r="C131" s="451">
        <f>'HR Track 6 HER'!C10</f>
        <v>82625.23</v>
      </c>
      <c r="D131" s="453"/>
      <c r="E131" s="452"/>
      <c r="F131" s="453">
        <f>'HR Track 6 HER'!F10</f>
        <v>0</v>
      </c>
      <c r="G131" s="500"/>
      <c r="H131" s="453"/>
      <c r="I131" s="501"/>
      <c r="J131" s="583"/>
      <c r="K131" s="452"/>
      <c r="L131" s="452" t="str">
        <f>'HR Track 6 HER'!L10</f>
        <v>HEB-260</v>
      </c>
      <c r="M131" s="452" t="str">
        <f>'HR Track 6 HER'!M10</f>
        <v>C4R</v>
      </c>
      <c r="N131" s="501" t="str">
        <f>'HR Track 6 HER'!N10</f>
        <v>EMT-2</v>
      </c>
      <c r="O131" s="501"/>
      <c r="P131" s="501"/>
      <c r="Q131" s="452">
        <f>'HR Track 6 HER'!Q10</f>
        <v>0</v>
      </c>
      <c r="R131" s="452">
        <f>'HR Track 6 HER'!R10</f>
        <v>0</v>
      </c>
      <c r="S131" s="500">
        <f>'HR Track 6 HER'!S10</f>
        <v>0</v>
      </c>
      <c r="T131" s="452">
        <f>'HR Track 6 HER'!T10</f>
        <v>35</v>
      </c>
      <c r="U131" s="452"/>
      <c r="V131" s="452"/>
      <c r="W131" s="452">
        <f>'HR Track 6 HER'!W10</f>
        <v>1.4</v>
      </c>
      <c r="X131" s="452"/>
      <c r="Y131" s="452"/>
      <c r="Z131" s="452"/>
      <c r="AA131" s="452"/>
      <c r="AB131" s="452"/>
      <c r="AC131" s="452" t="str">
        <f>'HR Track 6 HER'!AC10</f>
        <v>PH</v>
      </c>
      <c r="AD131" s="452"/>
      <c r="AE131" s="452"/>
      <c r="AF131" s="452"/>
      <c r="AG131" s="451"/>
      <c r="AH131" s="452"/>
      <c r="AI131" s="452"/>
      <c r="AJ131" s="452"/>
      <c r="AK131" s="452"/>
      <c r="AL131" s="452"/>
      <c r="AM131" s="452" t="str">
        <f>'HR Track 6 HER'!AM10</f>
        <v>RW2</v>
      </c>
      <c r="AN131" s="500">
        <f>'HR Track 6 HER'!AN10</f>
        <v>5.5</v>
      </c>
      <c r="AO131" s="452">
        <f>'HR Track 6 HER'!AO10</f>
        <v>0</v>
      </c>
      <c r="AP131" s="452">
        <f>'HR Track 6 HER'!AP10</f>
        <v>0</v>
      </c>
      <c r="AQ131" s="452">
        <f>'HR Track 6 HER'!AQ10</f>
        <v>0</v>
      </c>
      <c r="AR131" s="452">
        <f>'HR Track 6 HER'!AR10</f>
        <v>0</v>
      </c>
      <c r="AS131" s="452">
        <f>'HR Track 6 HER'!AS10</f>
        <v>0</v>
      </c>
      <c r="AT131" s="452">
        <f>'HR Track 6 HER'!AT10</f>
        <v>8.1681606014296726</v>
      </c>
      <c r="AU131" s="452">
        <f>'HR Track 6 HER'!AU10</f>
        <v>0</v>
      </c>
      <c r="AV131" s="452">
        <f>'HR Track 6 HER'!AV10</f>
        <v>0</v>
      </c>
      <c r="AW131" s="452" t="str">
        <f>'HR Track 6 HER'!AW10</f>
        <v>Soil A</v>
      </c>
      <c r="AX131" s="452" t="str">
        <f>'HR Track 6 HER'!AX10</f>
        <v>PT</v>
      </c>
      <c r="AY131" s="500">
        <f>'HR Track 6 HER'!AY10</f>
        <v>3.5</v>
      </c>
      <c r="AZ131" s="500">
        <f>'HR Track 6 HER'!AZ10</f>
        <v>0</v>
      </c>
      <c r="BA131" s="1333" t="str">
        <f>'HR Track 6 HER'!BA10</f>
        <v>ü</v>
      </c>
      <c r="BB131" s="452" t="str">
        <f>'HR Track 6 HER'!BB10</f>
        <v>App.7.1-V01-P9.5.1.1</v>
      </c>
      <c r="BC131" s="1334">
        <f>'HR Track 6 HER'!BC10</f>
        <v>0</v>
      </c>
      <c r="BD131" s="1335">
        <f>'HR Track 6 HER'!BD10</f>
        <v>0</v>
      </c>
      <c r="BE131" s="1335">
        <f>'HR Track 6 HER'!BE10</f>
        <v>0</v>
      </c>
      <c r="BF131" s="1335">
        <f>'HR Track 6 HER'!BF10</f>
        <v>0</v>
      </c>
      <c r="BG131" s="1335">
        <f>'HR Track 6 HER'!BG10</f>
        <v>0</v>
      </c>
    </row>
    <row r="132" spans="1:59" ht="15.75" customHeight="1">
      <c r="A132" s="501"/>
      <c r="B132" s="716">
        <f>'HR Track 6 HER'!B11</f>
        <v>0</v>
      </c>
      <c r="C132" s="451">
        <f>'HR Track 6 HER'!C11</f>
        <v>0</v>
      </c>
      <c r="D132" s="453"/>
      <c r="E132" s="452"/>
      <c r="F132" s="453">
        <f>'HR Track 6 HER'!F11</f>
        <v>0</v>
      </c>
      <c r="G132" s="500"/>
      <c r="H132" s="453"/>
      <c r="I132" s="501"/>
      <c r="J132" s="583"/>
      <c r="K132" s="452"/>
      <c r="L132" s="452">
        <f>'HR Track 6 HER'!L11</f>
        <v>0</v>
      </c>
      <c r="M132" s="452">
        <f>'HR Track 6 HER'!M11</f>
        <v>0</v>
      </c>
      <c r="N132" s="501">
        <f>'HR Track 6 HER'!N11</f>
        <v>0</v>
      </c>
      <c r="O132" s="501"/>
      <c r="P132" s="501"/>
      <c r="Q132" s="452">
        <f>'HR Track 6 HER'!Q11</f>
        <v>0</v>
      </c>
      <c r="R132" s="452">
        <f>'HR Track 6 HER'!R11</f>
        <v>0</v>
      </c>
      <c r="S132" s="500">
        <f>'HR Track 6 HER'!S11</f>
        <v>0</v>
      </c>
      <c r="T132" s="452">
        <f>'HR Track 6 HER'!T11</f>
        <v>0</v>
      </c>
      <c r="U132" s="452"/>
      <c r="V132" s="452"/>
      <c r="W132" s="452">
        <f>'HR Track 6 HER'!W11</f>
        <v>0</v>
      </c>
      <c r="X132" s="452"/>
      <c r="Y132" s="452"/>
      <c r="Z132" s="452"/>
      <c r="AA132" s="452"/>
      <c r="AB132" s="452"/>
      <c r="AC132" s="452">
        <f>'HR Track 6 HER'!AC11</f>
        <v>0</v>
      </c>
      <c r="AD132" s="452"/>
      <c r="AE132" s="452"/>
      <c r="AF132" s="452"/>
      <c r="AG132" s="451"/>
      <c r="AH132" s="452"/>
      <c r="AI132" s="452"/>
      <c r="AJ132" s="452"/>
      <c r="AK132" s="452"/>
      <c r="AL132" s="452"/>
      <c r="AM132" s="452">
        <f>'HR Track 6 HER'!AM11</f>
        <v>0</v>
      </c>
      <c r="AN132" s="500">
        <f>'HR Track 6 HER'!AN11</f>
        <v>0</v>
      </c>
      <c r="AO132" s="452">
        <f>'HR Track 6 HER'!AO11</f>
        <v>0</v>
      </c>
      <c r="AP132" s="452">
        <f>'HR Track 6 HER'!AP11</f>
        <v>0</v>
      </c>
      <c r="AQ132" s="452">
        <f>'HR Track 6 HER'!AQ11</f>
        <v>-0.43600286799999999</v>
      </c>
      <c r="AR132" s="452">
        <f>'HR Track 6 HER'!AR11</f>
        <v>0</v>
      </c>
      <c r="AS132" s="452">
        <f>'HR Track 6 HER'!AS11</f>
        <v>0</v>
      </c>
      <c r="AT132" s="452">
        <f>'HR Track 6 HER'!AT11</f>
        <v>0</v>
      </c>
      <c r="AU132" s="452">
        <f>'HR Track 6 HER'!AU11</f>
        <v>0</v>
      </c>
      <c r="AV132" s="452">
        <f>'HR Track 6 HER'!AV11</f>
        <v>0</v>
      </c>
      <c r="AW132" s="452" t="str">
        <f>'HR Track 6 HER'!AW11</f>
        <v>Soil A</v>
      </c>
      <c r="AX132" s="452" t="str">
        <f>'HR Track 6 HER'!AX11</f>
        <v>PT</v>
      </c>
      <c r="AY132" s="500">
        <f>'HR Track 6 HER'!AY11</f>
        <v>0</v>
      </c>
      <c r="AZ132" s="500">
        <f>'HR Track 6 HER'!AZ11</f>
        <v>3.3</v>
      </c>
      <c r="BA132" s="1333" t="str">
        <f>'HR Track 6 HER'!BA11</f>
        <v>ü</v>
      </c>
      <c r="BB132" s="452">
        <f>'HR Track 6 HER'!BB11</f>
        <v>0</v>
      </c>
      <c r="BC132" s="1334">
        <f>'HR Track 6 HER'!BC11</f>
        <v>0</v>
      </c>
      <c r="BD132" s="1335">
        <f>'HR Track 6 HER'!BD11</f>
        <v>0</v>
      </c>
      <c r="BE132" s="1335">
        <f>'HR Track 6 HER'!BE11</f>
        <v>0</v>
      </c>
      <c r="BF132" s="1335">
        <f>'HR Track 6 HER'!BF11</f>
        <v>0</v>
      </c>
      <c r="BG132" s="1335">
        <f>'HR Track 6 HER'!BG11</f>
        <v>0</v>
      </c>
    </row>
    <row r="133" spans="1:59" ht="15.75" customHeight="1">
      <c r="A133" s="501"/>
      <c r="B133" s="716" t="str">
        <f>'HR Track 6 HER'!B12</f>
        <v>82-6.12</v>
      </c>
      <c r="C133" s="451">
        <f>'HR Track 6 HER'!C12</f>
        <v>82685.23</v>
      </c>
      <c r="D133" s="453"/>
      <c r="E133" s="452"/>
      <c r="F133" s="453">
        <f>'HR Track 6 HER'!F12</f>
        <v>0</v>
      </c>
      <c r="G133" s="500"/>
      <c r="H133" s="453"/>
      <c r="I133" s="501"/>
      <c r="J133" s="583"/>
      <c r="K133" s="452"/>
      <c r="L133" s="452" t="str">
        <f>'HR Track 6 HER'!L12</f>
        <v>HEB-320PL</v>
      </c>
      <c r="M133" s="452" t="str">
        <f>'HR Track 6 HER'!M12</f>
        <v>2C4R</v>
      </c>
      <c r="N133" s="501" t="str">
        <f>'HR Track 6 HER'!N12</f>
        <v>EMT-1</v>
      </c>
      <c r="O133" s="501"/>
      <c r="P133" s="501"/>
      <c r="Q133" s="452">
        <f>'HR Track 6 HER'!Q12</f>
        <v>0</v>
      </c>
      <c r="R133" s="452">
        <f>'HR Track 6 HER'!R12</f>
        <v>0</v>
      </c>
      <c r="S133" s="500">
        <f>'HR Track 6 HER'!S12</f>
        <v>0</v>
      </c>
      <c r="T133" s="452">
        <f>'HR Track 6 HER'!T12</f>
        <v>-35</v>
      </c>
      <c r="U133" s="452"/>
      <c r="V133" s="452"/>
      <c r="W133" s="452">
        <f>'HR Track 6 HER'!W12</f>
        <v>1.4</v>
      </c>
      <c r="X133" s="452"/>
      <c r="Y133" s="452"/>
      <c r="Z133" s="452"/>
      <c r="AA133" s="452"/>
      <c r="AB133" s="452"/>
      <c r="AC133" s="452" t="str">
        <f>'HR Track 6 HER'!AC12</f>
        <v>PH</v>
      </c>
      <c r="AD133" s="452"/>
      <c r="AE133" s="452"/>
      <c r="AF133" s="452"/>
      <c r="AG133" s="451"/>
      <c r="AH133" s="452"/>
      <c r="AI133" s="452"/>
      <c r="AJ133" s="452"/>
      <c r="AK133" s="452"/>
      <c r="AL133" s="452"/>
      <c r="AM133" s="452" t="str">
        <f>'HR Track 6 HER'!AM12</f>
        <v>RW2</v>
      </c>
      <c r="AN133" s="500">
        <f>'HR Track 6 HER'!AN12</f>
        <v>5.5</v>
      </c>
      <c r="AO133" s="452">
        <f>'HR Track 6 HER'!AO12</f>
        <v>0</v>
      </c>
      <c r="AP133" s="452">
        <f>'HR Track 6 HER'!AP12</f>
        <v>0</v>
      </c>
      <c r="AQ133" s="452">
        <f>'HR Track 6 HER'!AQ12</f>
        <v>0</v>
      </c>
      <c r="AR133" s="452">
        <f>'HR Track 6 HER'!AR12</f>
        <v>0</v>
      </c>
      <c r="AS133" s="452">
        <f>'HR Track 6 HER'!AS12</f>
        <v>0</v>
      </c>
      <c r="AT133" s="452">
        <f>'HR Track 6 HER'!AT12</f>
        <v>-8.4664207780936191</v>
      </c>
      <c r="AU133" s="452">
        <f>'HR Track 6 HER'!AU12</f>
        <v>0</v>
      </c>
      <c r="AV133" s="452">
        <f>'HR Track 6 HER'!AV12</f>
        <v>0</v>
      </c>
      <c r="AW133" s="452" t="str">
        <f>'HR Track 6 HER'!AW12</f>
        <v>Soil A</v>
      </c>
      <c r="AX133" s="452" t="str">
        <f>'HR Track 6 HER'!AX12</f>
        <v>PT</v>
      </c>
      <c r="AY133" s="500">
        <f>'HR Track 6 HER'!AY12</f>
        <v>5.6</v>
      </c>
      <c r="AZ133" s="500">
        <f>'HR Track 6 HER'!AZ12</f>
        <v>0</v>
      </c>
      <c r="BA133" s="1333" t="str">
        <f>'HR Track 6 HER'!BA12</f>
        <v>ü</v>
      </c>
      <c r="BB133" s="452" t="str">
        <f>'HR Track 6 HER'!BB12</f>
        <v>App.8-V08F-P10.3</v>
      </c>
      <c r="BC133" s="1334">
        <f>'HR Track 6 HER'!BC12</f>
        <v>0</v>
      </c>
      <c r="BD133" s="1335">
        <f>'HR Track 6 HER'!BD12</f>
        <v>0</v>
      </c>
      <c r="BE133" s="1335">
        <f>'HR Track 6 HER'!BE12</f>
        <v>0</v>
      </c>
      <c r="BF133" s="1335">
        <f>'HR Track 6 HER'!BF12</f>
        <v>0</v>
      </c>
      <c r="BG133" s="1335">
        <f>'HR Track 6 HER'!BG12</f>
        <v>0</v>
      </c>
    </row>
    <row r="134" spans="1:59" ht="15.75" customHeight="1">
      <c r="A134" s="501"/>
      <c r="B134" s="716">
        <f>'HR Track 6 HER'!B13</f>
        <v>0</v>
      </c>
      <c r="C134" s="451">
        <f>'HR Track 6 HER'!C13</f>
        <v>0</v>
      </c>
      <c r="D134" s="453"/>
      <c r="E134" s="452"/>
      <c r="F134" s="453">
        <f>'HR Track 6 HER'!F13</f>
        <v>0</v>
      </c>
      <c r="G134" s="500"/>
      <c r="H134" s="453"/>
      <c r="I134" s="501"/>
      <c r="J134" s="583"/>
      <c r="K134" s="452"/>
      <c r="L134" s="452">
        <f>'HR Track 6 HER'!L13</f>
        <v>0</v>
      </c>
      <c r="M134" s="452">
        <f>'HR Track 6 HER'!M13</f>
        <v>0</v>
      </c>
      <c r="N134" s="501">
        <f>'HR Track 6 HER'!N13</f>
        <v>0</v>
      </c>
      <c r="O134" s="501"/>
      <c r="P134" s="501"/>
      <c r="Q134" s="452">
        <f>'HR Track 6 HER'!Q13</f>
        <v>0</v>
      </c>
      <c r="R134" s="452">
        <f>'HR Track 6 HER'!R13</f>
        <v>0</v>
      </c>
      <c r="S134" s="500">
        <f>'HR Track 6 HER'!S13</f>
        <v>0</v>
      </c>
      <c r="T134" s="452">
        <f>'HR Track 6 HER'!T13</f>
        <v>0</v>
      </c>
      <c r="U134" s="452"/>
      <c r="V134" s="452"/>
      <c r="W134" s="452">
        <f>'HR Track 6 HER'!W13</f>
        <v>0</v>
      </c>
      <c r="X134" s="452"/>
      <c r="Y134" s="452"/>
      <c r="Z134" s="452"/>
      <c r="AA134" s="452"/>
      <c r="AB134" s="452"/>
      <c r="AC134" s="452">
        <f>'HR Track 6 HER'!AC13</f>
        <v>0</v>
      </c>
      <c r="AD134" s="452"/>
      <c r="AE134" s="452"/>
      <c r="AF134" s="452"/>
      <c r="AG134" s="451"/>
      <c r="AH134" s="452"/>
      <c r="AI134" s="452"/>
      <c r="AJ134" s="452"/>
      <c r="AK134" s="452"/>
      <c r="AL134" s="452"/>
      <c r="AM134" s="452">
        <f>'HR Track 6 HER'!AM13</f>
        <v>0</v>
      </c>
      <c r="AN134" s="500">
        <f>'HR Track 6 HER'!AN13</f>
        <v>0</v>
      </c>
      <c r="AO134" s="452">
        <f>'HR Track 6 HER'!AO13</f>
        <v>0</v>
      </c>
      <c r="AP134" s="452">
        <f>'HR Track 6 HER'!AP13</f>
        <v>0</v>
      </c>
      <c r="AQ134" s="452">
        <f>'HR Track 6 HER'!AQ13</f>
        <v>-0.44888002800000004</v>
      </c>
      <c r="AR134" s="452">
        <f>'HR Track 6 HER'!AR13</f>
        <v>0</v>
      </c>
      <c r="AS134" s="452">
        <f>'HR Track 6 HER'!AS13</f>
        <v>0</v>
      </c>
      <c r="AT134" s="452">
        <f>'HR Track 6 HER'!AT13</f>
        <v>0</v>
      </c>
      <c r="AU134" s="452">
        <f>'HR Track 6 HER'!AU13</f>
        <v>0</v>
      </c>
      <c r="AV134" s="452">
        <f>'HR Track 6 HER'!AV13</f>
        <v>0</v>
      </c>
      <c r="AW134" s="452">
        <f>'HR Track 6 HER'!AW13</f>
        <v>0</v>
      </c>
      <c r="AX134" s="452">
        <f>'HR Track 6 HER'!AX13</f>
        <v>0</v>
      </c>
      <c r="AY134" s="500">
        <f>'HR Track 6 HER'!AY13</f>
        <v>0</v>
      </c>
      <c r="AZ134" s="500">
        <f>'HR Track 6 HER'!AZ13</f>
        <v>0</v>
      </c>
      <c r="BA134" s="1333">
        <f>'HR Track 6 HER'!BA13</f>
        <v>0</v>
      </c>
      <c r="BB134" s="452">
        <f>'HR Track 6 HER'!BB13</f>
        <v>0</v>
      </c>
      <c r="BC134" s="1334">
        <f>'HR Track 6 HER'!BC13</f>
        <v>0</v>
      </c>
      <c r="BD134" s="1335">
        <f>'HR Track 6 HER'!BD13</f>
        <v>0</v>
      </c>
      <c r="BE134" s="1335">
        <f>'HR Track 6 HER'!BE13</f>
        <v>0</v>
      </c>
      <c r="BF134" s="1335">
        <f>'HR Track 6 HER'!BF13</f>
        <v>0</v>
      </c>
      <c r="BG134" s="1335">
        <f>'HR Track 6 HER'!BG13</f>
        <v>0</v>
      </c>
    </row>
    <row r="135" spans="1:59" ht="15.75" customHeight="1">
      <c r="A135" s="501"/>
      <c r="B135" s="716" t="str">
        <f>'HR Track 6 HER'!B14</f>
        <v>82-6.13</v>
      </c>
      <c r="C135" s="451">
        <f>'HR Track 6 HER'!C14</f>
        <v>82745.23</v>
      </c>
      <c r="D135" s="453"/>
      <c r="E135" s="452"/>
      <c r="F135" s="453" t="str">
        <f>'HR Track 6 HER'!F14</f>
        <v>0</v>
      </c>
      <c r="G135" s="500"/>
      <c r="H135" s="453"/>
      <c r="I135" s="501"/>
      <c r="J135" s="583"/>
      <c r="K135" s="452"/>
      <c r="L135" s="452" t="str">
        <f>'HR Track 6 HER'!L14</f>
        <v>HEB-320PL</v>
      </c>
      <c r="M135" s="452" t="str">
        <f>'HR Track 6 HER'!M14</f>
        <v>2C4R</v>
      </c>
      <c r="N135" s="501" t="str">
        <f>'HR Track 6 HER'!N14</f>
        <v>EMT-T</v>
      </c>
      <c r="O135" s="501"/>
      <c r="P135" s="501"/>
      <c r="Q135" s="452">
        <f>'HR Track 6 HER'!Q14</f>
        <v>0</v>
      </c>
      <c r="R135" s="452">
        <f>'HR Track 6 HER'!R14</f>
        <v>0</v>
      </c>
      <c r="S135" s="500">
        <f>'HR Track 6 HER'!S14</f>
        <v>0</v>
      </c>
      <c r="T135" s="452">
        <f>'HR Track 6 HER'!T14</f>
        <v>50</v>
      </c>
      <c r="U135" s="452"/>
      <c r="V135" s="452"/>
      <c r="W135" s="452">
        <f>'HR Track 6 HER'!W14</f>
        <v>1.4</v>
      </c>
      <c r="X135" s="452"/>
      <c r="Y135" s="452"/>
      <c r="Z135" s="452"/>
      <c r="AA135" s="452"/>
      <c r="AB135" s="452"/>
      <c r="AC135" s="452">
        <f>'HR Track 6 HER'!AC14</f>
        <v>0</v>
      </c>
      <c r="AD135" s="452"/>
      <c r="AE135" s="452"/>
      <c r="AF135" s="452"/>
      <c r="AG135" s="451"/>
      <c r="AH135" s="452"/>
      <c r="AI135" s="452"/>
      <c r="AJ135" s="452"/>
      <c r="AK135" s="452"/>
      <c r="AL135" s="452"/>
      <c r="AM135" s="452" t="str">
        <f>'HR Track 6 HER'!AM14</f>
        <v>RW2</v>
      </c>
      <c r="AN135" s="500">
        <f>'HR Track 6 HER'!AN14</f>
        <v>5.5</v>
      </c>
      <c r="AO135" s="452">
        <f>'HR Track 6 HER'!AO14</f>
        <v>0</v>
      </c>
      <c r="AP135" s="452">
        <f>'HR Track 6 HER'!AP14</f>
        <v>0</v>
      </c>
      <c r="AQ135" s="452">
        <f>'HR Track 6 HER'!AQ14</f>
        <v>0</v>
      </c>
      <c r="AR135" s="452">
        <f>'HR Track 6 HER'!AR14</f>
        <v>0</v>
      </c>
      <c r="AS135" s="452">
        <f>'HR Track 6 HER'!AS14</f>
        <v>0</v>
      </c>
      <c r="AT135" s="452">
        <f>'HR Track 6 HER'!AT14</f>
        <v>9.2738382131692756</v>
      </c>
      <c r="AU135" s="452">
        <f>'HR Track 6 HER'!AU14</f>
        <v>0</v>
      </c>
      <c r="AV135" s="452">
        <f>'HR Track 6 HER'!AV14</f>
        <v>0</v>
      </c>
      <c r="AW135" s="452" t="str">
        <f>'HR Track 6 HER'!AW14</f>
        <v>Soil A</v>
      </c>
      <c r="AX135" s="452" t="str">
        <f>'HR Track 6 HER'!AX14</f>
        <v>PT</v>
      </c>
      <c r="AY135" s="500">
        <f>'HR Track 6 HER'!AY14</f>
        <v>5.6</v>
      </c>
      <c r="AZ135" s="500">
        <f>'HR Track 6 HER'!AZ14</f>
        <v>0</v>
      </c>
      <c r="BA135" s="1333" t="str">
        <f>'HR Track 6 HER'!BA14</f>
        <v>ü</v>
      </c>
      <c r="BB135" s="452" t="str">
        <f>'HR Track 6 HER'!BB14</f>
        <v>App.8-V08F-P10.3</v>
      </c>
      <c r="BC135" s="1334">
        <f>'HR Track 6 HER'!BC14</f>
        <v>0</v>
      </c>
      <c r="BD135" s="1335">
        <f>'HR Track 6 HER'!BD14</f>
        <v>0</v>
      </c>
      <c r="BE135" s="1335">
        <f>'HR Track 6 HER'!BE14</f>
        <v>0</v>
      </c>
      <c r="BF135" s="1335">
        <f>'HR Track 6 HER'!BF14</f>
        <v>0</v>
      </c>
      <c r="BG135" s="1335">
        <f>'HR Track 6 HER'!BG14</f>
        <v>0</v>
      </c>
    </row>
    <row r="136" spans="1:59" ht="15.75" customHeight="1">
      <c r="A136" s="501"/>
      <c r="B136" s="716">
        <f>'HR Track 6 HER'!B15</f>
        <v>0</v>
      </c>
      <c r="C136" s="451">
        <f>'HR Track 6 HER'!C15</f>
        <v>0</v>
      </c>
      <c r="D136" s="453"/>
      <c r="E136" s="452"/>
      <c r="F136" s="453">
        <f>'HR Track 6 HER'!F15</f>
        <v>0</v>
      </c>
      <c r="G136" s="500"/>
      <c r="H136" s="453"/>
      <c r="I136" s="501"/>
      <c r="J136" s="583"/>
      <c r="K136" s="452"/>
      <c r="L136" s="452">
        <f>'HR Track 6 HER'!L15</f>
        <v>0</v>
      </c>
      <c r="M136" s="452">
        <f>'HR Track 6 HER'!M15</f>
        <v>0</v>
      </c>
      <c r="N136" s="501">
        <f>'HR Track 6 HER'!N15</f>
        <v>0</v>
      </c>
      <c r="O136" s="501"/>
      <c r="P136" s="501"/>
      <c r="Q136" s="452">
        <f>'HR Track 6 HER'!Q15</f>
        <v>0</v>
      </c>
      <c r="R136" s="452">
        <f>'HR Track 6 HER'!R15</f>
        <v>0</v>
      </c>
      <c r="S136" s="500">
        <f>'HR Track 6 HER'!S15</f>
        <v>0</v>
      </c>
      <c r="T136" s="452">
        <f>'HR Track 6 HER'!T15</f>
        <v>0</v>
      </c>
      <c r="U136" s="452"/>
      <c r="V136" s="452"/>
      <c r="W136" s="452">
        <f>'HR Track 6 HER'!W15</f>
        <v>0</v>
      </c>
      <c r="X136" s="452"/>
      <c r="Y136" s="452"/>
      <c r="Z136" s="452"/>
      <c r="AA136" s="452"/>
      <c r="AB136" s="452"/>
      <c r="AC136" s="452">
        <f>'HR Track 6 HER'!AC15</f>
        <v>0</v>
      </c>
      <c r="AD136" s="452"/>
      <c r="AE136" s="452"/>
      <c r="AF136" s="452"/>
      <c r="AG136" s="451"/>
      <c r="AH136" s="452"/>
      <c r="AI136" s="452"/>
      <c r="AJ136" s="452"/>
      <c r="AK136" s="452"/>
      <c r="AL136" s="452"/>
      <c r="AM136" s="452">
        <f>'HR Track 6 HER'!AM15</f>
        <v>0</v>
      </c>
      <c r="AN136" s="500">
        <f>'HR Track 6 HER'!AN15</f>
        <v>0</v>
      </c>
      <c r="AO136" s="452">
        <f>'HR Track 6 HER'!AO15</f>
        <v>0</v>
      </c>
      <c r="AP136" s="452">
        <f>'HR Track 6 HER'!AP15</f>
        <v>0</v>
      </c>
      <c r="AQ136" s="452">
        <f>'HR Track 6 HER'!AQ15</f>
        <v>0.4321378107956988</v>
      </c>
      <c r="AR136" s="452">
        <f>'HR Track 6 HER'!AR15</f>
        <v>0</v>
      </c>
      <c r="AS136" s="452">
        <f>'HR Track 6 HER'!AS15</f>
        <v>0</v>
      </c>
      <c r="AT136" s="452">
        <f>'HR Track 6 HER'!AT15</f>
        <v>0</v>
      </c>
      <c r="AU136" s="452">
        <f>'HR Track 6 HER'!AU15</f>
        <v>0</v>
      </c>
      <c r="AV136" s="452">
        <f>'HR Track 6 HER'!AV15</f>
        <v>0</v>
      </c>
      <c r="AW136" s="452">
        <f>'HR Track 6 HER'!AW15</f>
        <v>0</v>
      </c>
      <c r="AX136" s="452">
        <f>'HR Track 6 HER'!AX15</f>
        <v>0</v>
      </c>
      <c r="AY136" s="500">
        <f>'HR Track 6 HER'!AY15</f>
        <v>0</v>
      </c>
      <c r="AZ136" s="500">
        <f>'HR Track 6 HER'!AZ15</f>
        <v>0</v>
      </c>
      <c r="BA136" s="1333">
        <f>'HR Track 6 HER'!BA15</f>
        <v>0</v>
      </c>
      <c r="BB136" s="452">
        <f>'HR Track 6 HER'!BB15</f>
        <v>0</v>
      </c>
      <c r="BC136" s="1334">
        <f>'HR Track 6 HER'!BC15</f>
        <v>0</v>
      </c>
      <c r="BD136" s="1335">
        <f>'HR Track 6 HER'!BD15</f>
        <v>0</v>
      </c>
      <c r="BE136" s="1335">
        <f>'HR Track 6 HER'!BE15</f>
        <v>0</v>
      </c>
      <c r="BF136" s="1335">
        <f>'HR Track 6 HER'!BF15</f>
        <v>0</v>
      </c>
      <c r="BG136" s="1335">
        <f>'HR Track 6 HER'!BG15</f>
        <v>0</v>
      </c>
    </row>
    <row r="137" spans="1:59" ht="15.75" customHeight="1">
      <c r="A137" s="501"/>
      <c r="B137" s="716" t="str">
        <f>'HR Track 6 HER'!B16</f>
        <v>82-6.14</v>
      </c>
      <c r="C137" s="451">
        <f>'HR Track 6 HER'!C16</f>
        <v>82807.23</v>
      </c>
      <c r="D137" s="453"/>
      <c r="E137" s="452"/>
      <c r="F137" s="453">
        <f>'HR Track 6 HER'!F16</f>
        <v>0</v>
      </c>
      <c r="G137" s="500"/>
      <c r="H137" s="453"/>
      <c r="I137" s="501"/>
      <c r="J137" s="583"/>
      <c r="K137" s="452"/>
      <c r="L137" s="452" t="str">
        <f>'HR Track 6 HER'!L16</f>
        <v>HEB-320PL</v>
      </c>
      <c r="M137" s="452" t="str">
        <f>'HR Track 6 HER'!M16</f>
        <v>2C4R</v>
      </c>
      <c r="N137" s="501" t="str">
        <f>'HR Track 6 HER'!N16</f>
        <v>EMT-T</v>
      </c>
      <c r="O137" s="501"/>
      <c r="P137" s="501"/>
      <c r="Q137" s="452">
        <f>'HR Track 6 HER'!Q16</f>
        <v>0</v>
      </c>
      <c r="R137" s="452">
        <f>'HR Track 6 HER'!R16</f>
        <v>0</v>
      </c>
      <c r="S137" s="500">
        <f>'HR Track 6 HER'!S16</f>
        <v>0</v>
      </c>
      <c r="T137" s="452">
        <f>'HR Track 6 HER'!T16</f>
        <v>15</v>
      </c>
      <c r="U137" s="452"/>
      <c r="V137" s="452"/>
      <c r="W137" s="452">
        <f>'HR Track 6 HER'!W16</f>
        <v>1.4</v>
      </c>
      <c r="X137" s="452"/>
      <c r="Y137" s="452"/>
      <c r="Z137" s="452"/>
      <c r="AA137" s="452"/>
      <c r="AB137" s="452"/>
      <c r="AC137" s="452">
        <f>'HR Track 6 HER'!AC16</f>
        <v>0</v>
      </c>
      <c r="AD137" s="452"/>
      <c r="AE137" s="452"/>
      <c r="AF137" s="452"/>
      <c r="AG137" s="451"/>
      <c r="AH137" s="452"/>
      <c r="AI137" s="452"/>
      <c r="AJ137" s="452"/>
      <c r="AK137" s="452"/>
      <c r="AL137" s="452"/>
      <c r="AM137" s="452" t="str">
        <f>'HR Track 6 HER'!AM16</f>
        <v>RW2</v>
      </c>
      <c r="AN137" s="500">
        <f>'HR Track 6 HER'!AN16</f>
        <v>5.41</v>
      </c>
      <c r="AO137" s="452">
        <f>'HR Track 6 HER'!AO16</f>
        <v>0</v>
      </c>
      <c r="AP137" s="452">
        <f>'HR Track 6 HER'!AP16</f>
        <v>0</v>
      </c>
      <c r="AQ137" s="452">
        <f>'HR Track 6 HER'!AQ16</f>
        <v>0</v>
      </c>
      <c r="AR137" s="452">
        <f>'HR Track 6 HER'!AR16</f>
        <v>0</v>
      </c>
      <c r="AS137" s="452">
        <f>'HR Track 6 HER'!AS16</f>
        <v>0</v>
      </c>
      <c r="AT137" s="452">
        <f>'HR Track 6 HER'!AT16</f>
        <v>-9.817269950503789</v>
      </c>
      <c r="AU137" s="452">
        <f>'HR Track 6 HER'!AU16</f>
        <v>0</v>
      </c>
      <c r="AV137" s="452">
        <f>'HR Track 6 HER'!AV16</f>
        <v>0</v>
      </c>
      <c r="AW137" s="452" t="str">
        <f>'HR Track 6 HER'!AW16</f>
        <v>Soil A</v>
      </c>
      <c r="AX137" s="452" t="str">
        <f>'HR Track 6 HER'!AX16</f>
        <v>PT</v>
      </c>
      <c r="AY137" s="500">
        <f>'HR Track 6 HER'!AY16</f>
        <v>5.6</v>
      </c>
      <c r="AZ137" s="500">
        <f>'HR Track 6 HER'!AZ16</f>
        <v>0</v>
      </c>
      <c r="BA137" s="1333" t="str">
        <f>'HR Track 6 HER'!BA16</f>
        <v>ü</v>
      </c>
      <c r="BB137" s="452" t="str">
        <f>'HR Track 6 HER'!BB16</f>
        <v>App.8-V08F-P10.3</v>
      </c>
      <c r="BC137" s="1334">
        <f>'HR Track 6 HER'!BC16</f>
        <v>0</v>
      </c>
      <c r="BD137" s="1335">
        <f>'HR Track 6 HER'!BD16</f>
        <v>0</v>
      </c>
      <c r="BE137" s="1335">
        <f>'HR Track 6 HER'!BE16</f>
        <v>0</v>
      </c>
      <c r="BF137" s="1335">
        <f>'HR Track 6 HER'!BF16</f>
        <v>0</v>
      </c>
      <c r="BG137" s="1335">
        <f>'HR Track 6 HER'!BG16</f>
        <v>0</v>
      </c>
    </row>
    <row r="138" spans="1:59" ht="15.75" customHeight="1">
      <c r="A138" s="501"/>
      <c r="B138" s="716">
        <f>'HR Track 6 HER'!B17</f>
        <v>0</v>
      </c>
      <c r="C138" s="451">
        <f>'HR Track 6 HER'!C17</f>
        <v>0</v>
      </c>
      <c r="D138" s="453"/>
      <c r="E138" s="452"/>
      <c r="F138" s="453">
        <f>'HR Track 6 HER'!F17</f>
        <v>0</v>
      </c>
      <c r="G138" s="500"/>
      <c r="H138" s="453"/>
      <c r="I138" s="501"/>
      <c r="J138" s="583"/>
      <c r="K138" s="452"/>
      <c r="L138" s="452">
        <f>'HR Track 6 HER'!L17</f>
        <v>0</v>
      </c>
      <c r="M138" s="452">
        <f>'HR Track 6 HER'!M17</f>
        <v>0</v>
      </c>
      <c r="N138" s="501">
        <f>'HR Track 6 HER'!N17</f>
        <v>0</v>
      </c>
      <c r="O138" s="501"/>
      <c r="P138" s="501"/>
      <c r="Q138" s="452">
        <f>'HR Track 6 HER'!Q17</f>
        <v>0</v>
      </c>
      <c r="R138" s="452">
        <f>'HR Track 6 HER'!R17</f>
        <v>0</v>
      </c>
      <c r="S138" s="500">
        <f>'HR Track 6 HER'!S17</f>
        <v>0</v>
      </c>
      <c r="T138" s="452">
        <f>'HR Track 6 HER'!T17</f>
        <v>0</v>
      </c>
      <c r="U138" s="452"/>
      <c r="V138" s="452"/>
      <c r="W138" s="452">
        <f>'HR Track 6 HER'!W17</f>
        <v>0</v>
      </c>
      <c r="X138" s="452"/>
      <c r="Y138" s="452"/>
      <c r="Z138" s="452"/>
      <c r="AA138" s="452"/>
      <c r="AB138" s="452"/>
      <c r="AC138" s="452">
        <f>'HR Track 6 HER'!AC17</f>
        <v>0</v>
      </c>
      <c r="AD138" s="452"/>
      <c r="AE138" s="452"/>
      <c r="AF138" s="452"/>
      <c r="AG138" s="451"/>
      <c r="AH138" s="452"/>
      <c r="AI138" s="452"/>
      <c r="AJ138" s="452"/>
      <c r="AK138" s="452"/>
      <c r="AL138" s="452"/>
      <c r="AM138" s="452">
        <f>'HR Track 6 HER'!AM17</f>
        <v>0</v>
      </c>
      <c r="AN138" s="500">
        <f>'HR Track 6 HER'!AN17</f>
        <v>0</v>
      </c>
      <c r="AO138" s="452">
        <f>'HR Track 6 HER'!AO17</f>
        <v>0</v>
      </c>
      <c r="AP138" s="452">
        <f>'HR Track 6 HER'!AP17</f>
        <v>0</v>
      </c>
      <c r="AQ138" s="452">
        <f>'HR Track 6 HER'!AQ17</f>
        <v>0.43213781079569885</v>
      </c>
      <c r="AR138" s="452">
        <f>'HR Track 6 HER'!AR17</f>
        <v>0</v>
      </c>
      <c r="AS138" s="452">
        <f>'HR Track 6 HER'!AS17</f>
        <v>0</v>
      </c>
      <c r="AT138" s="452">
        <f>'HR Track 6 HER'!AT17</f>
        <v>0</v>
      </c>
      <c r="AU138" s="452">
        <f>'HR Track 6 HER'!AU17</f>
        <v>0</v>
      </c>
      <c r="AV138" s="452">
        <f>'HR Track 6 HER'!AV17</f>
        <v>0</v>
      </c>
      <c r="AW138" s="452" t="str">
        <f>'HR Track 6 HER'!AW17</f>
        <v>Soil A</v>
      </c>
      <c r="AX138" s="452" t="str">
        <f>'HR Track 6 HER'!AX17</f>
        <v>PT</v>
      </c>
      <c r="AY138" s="500">
        <f>'HR Track 6 HER'!AY17</f>
        <v>0</v>
      </c>
      <c r="AZ138" s="500">
        <f>'HR Track 6 HER'!AZ17</f>
        <v>3.3</v>
      </c>
      <c r="BA138" s="1333" t="str">
        <f>'HR Track 6 HER'!BA17</f>
        <v>ü</v>
      </c>
      <c r="BB138" s="452">
        <f>'HR Track 6 HER'!BB17</f>
        <v>0</v>
      </c>
      <c r="BC138" s="1334">
        <f>'HR Track 6 HER'!BC17</f>
        <v>0</v>
      </c>
      <c r="BD138" s="1335">
        <f>'HR Track 6 HER'!BD17</f>
        <v>0</v>
      </c>
      <c r="BE138" s="1335">
        <f>'HR Track 6 HER'!BE17</f>
        <v>0</v>
      </c>
      <c r="BF138" s="1335">
        <f>'HR Track 6 HER'!BF17</f>
        <v>0</v>
      </c>
      <c r="BG138" s="1335">
        <f>'HR Track 6 HER'!BG17</f>
        <v>0</v>
      </c>
    </row>
    <row r="139" spans="1:59" ht="15.75" customHeight="1">
      <c r="A139" s="501"/>
      <c r="B139" s="716" t="str">
        <f>'HR Track 6 HER'!B18</f>
        <v>82-6.15</v>
      </c>
      <c r="C139" s="451">
        <f>'HR Track 6 HER'!C18</f>
        <v>82869.23</v>
      </c>
      <c r="D139" s="453"/>
      <c r="E139" s="452"/>
      <c r="F139" s="453">
        <f>'HR Track 6 HER'!F18</f>
        <v>0</v>
      </c>
      <c r="G139" s="500"/>
      <c r="H139" s="453"/>
      <c r="I139" s="501"/>
      <c r="J139" s="583"/>
      <c r="K139" s="452"/>
      <c r="L139" s="452" t="str">
        <f>'HR Track 6 HER'!L18</f>
        <v>HEB-320L</v>
      </c>
      <c r="M139" s="452" t="str">
        <f>'HR Track 6 HER'!M18</f>
        <v>C7R</v>
      </c>
      <c r="N139" s="501" t="str">
        <f>'HR Track 6 HER'!N18</f>
        <v>EMT-2</v>
      </c>
      <c r="O139" s="501"/>
      <c r="P139" s="501"/>
      <c r="Q139" s="452">
        <f>'HR Track 6 HER'!Q18</f>
        <v>0</v>
      </c>
      <c r="R139" s="452">
        <f>'HR Track 6 HER'!R18</f>
        <v>0</v>
      </c>
      <c r="S139" s="500">
        <f>'HR Track 6 HER'!S18</f>
        <v>0</v>
      </c>
      <c r="T139" s="452">
        <f>'HR Track 6 HER'!T18</f>
        <v>30</v>
      </c>
      <c r="U139" s="452"/>
      <c r="V139" s="452"/>
      <c r="W139" s="452">
        <f>'HR Track 6 HER'!W18</f>
        <v>1.4</v>
      </c>
      <c r="X139" s="452"/>
      <c r="Y139" s="452"/>
      <c r="Z139" s="452"/>
      <c r="AA139" s="452"/>
      <c r="AB139" s="452"/>
      <c r="AC139" s="452" t="str">
        <f>'HR Track 6 HER'!AC18</f>
        <v>PH</v>
      </c>
      <c r="AD139" s="452"/>
      <c r="AE139" s="452"/>
      <c r="AF139" s="452"/>
      <c r="AG139" s="451"/>
      <c r="AH139" s="452"/>
      <c r="AI139" s="452"/>
      <c r="AJ139" s="452"/>
      <c r="AK139" s="452"/>
      <c r="AL139" s="452"/>
      <c r="AM139" s="452" t="str">
        <f>'HR Track 6 HER'!AM18</f>
        <v>RW2</v>
      </c>
      <c r="AN139" s="500">
        <f>'HR Track 6 HER'!AN18</f>
        <v>5.32</v>
      </c>
      <c r="AO139" s="452">
        <f>'HR Track 6 HER'!AO18</f>
        <v>0</v>
      </c>
      <c r="AP139" s="452">
        <f>'HR Track 6 HER'!AP18</f>
        <v>0</v>
      </c>
      <c r="AQ139" s="452">
        <f>'HR Track 6 HER'!AQ18</f>
        <v>0</v>
      </c>
      <c r="AR139" s="452">
        <f>'HR Track 6 HER'!AR18</f>
        <v>0</v>
      </c>
      <c r="AS139" s="452">
        <f>'HR Track 6 HER'!AS18</f>
        <v>0</v>
      </c>
      <c r="AT139" s="452">
        <f>'HR Track 6 HER'!AT18</f>
        <v>17.384127357818929</v>
      </c>
      <c r="AU139" s="452">
        <f>'HR Track 6 HER'!AU18</f>
        <v>0</v>
      </c>
      <c r="AV139" s="452">
        <f>'HR Track 6 HER'!AV18</f>
        <v>0</v>
      </c>
      <c r="AW139" s="452" t="str">
        <f>'HR Track 6 HER'!AW18</f>
        <v>Soil A</v>
      </c>
      <c r="AX139" s="452" t="str">
        <f>'HR Track 6 HER'!AX18</f>
        <v>PT</v>
      </c>
      <c r="AY139" s="500">
        <f>'HR Track 6 HER'!AY18</f>
        <v>4</v>
      </c>
      <c r="AZ139" s="500">
        <f>'HR Track 6 HER'!AZ18</f>
        <v>0</v>
      </c>
      <c r="BA139" s="1333" t="str">
        <f>'HR Track 6 HER'!BA18</f>
        <v>ü</v>
      </c>
      <c r="BB139" s="452" t="str">
        <f>'HR Track 6 HER'!BB18</f>
        <v>App.8-V08F-P10.3</v>
      </c>
      <c r="BC139" s="1334">
        <f>'HR Track 6 HER'!BC18</f>
        <v>0</v>
      </c>
      <c r="BD139" s="1335">
        <f>'HR Track 6 HER'!BD18</f>
        <v>0</v>
      </c>
      <c r="BE139" s="1335">
        <f>'HR Track 6 HER'!BE18</f>
        <v>0</v>
      </c>
      <c r="BF139" s="1335">
        <f>'HR Track 6 HER'!BF18</f>
        <v>0</v>
      </c>
      <c r="BG139" s="1335">
        <f>'HR Track 6 HER'!BG18</f>
        <v>0</v>
      </c>
    </row>
    <row r="140" spans="1:59" ht="15.75" customHeight="1">
      <c r="A140" s="501"/>
      <c r="B140" s="716">
        <f>'HR Track 6 HER'!B19</f>
        <v>0</v>
      </c>
      <c r="C140" s="451">
        <f>'HR Track 6 HER'!C19</f>
        <v>0</v>
      </c>
      <c r="D140" s="453"/>
      <c r="E140" s="452"/>
      <c r="F140" s="453">
        <f>'HR Track 6 HER'!F19</f>
        <v>0</v>
      </c>
      <c r="G140" s="500"/>
      <c r="H140" s="453"/>
      <c r="I140" s="501"/>
      <c r="J140" s="583"/>
      <c r="K140" s="452"/>
      <c r="L140" s="452">
        <f>'HR Track 6 HER'!L19</f>
        <v>0</v>
      </c>
      <c r="M140" s="452">
        <f>'HR Track 6 HER'!M19</f>
        <v>0</v>
      </c>
      <c r="N140" s="501">
        <f>'HR Track 6 HER'!N19</f>
        <v>0</v>
      </c>
      <c r="O140" s="501"/>
      <c r="P140" s="501"/>
      <c r="Q140" s="452">
        <f>'HR Track 6 HER'!Q19</f>
        <v>0</v>
      </c>
      <c r="R140" s="452">
        <f>'HR Track 6 HER'!R19</f>
        <v>0</v>
      </c>
      <c r="S140" s="500">
        <f>'HR Track 6 HER'!S19</f>
        <v>0</v>
      </c>
      <c r="T140" s="452">
        <f>'HR Track 6 HER'!T19</f>
        <v>0</v>
      </c>
      <c r="U140" s="452"/>
      <c r="V140" s="452"/>
      <c r="W140" s="452">
        <f>'HR Track 6 HER'!W19</f>
        <v>0</v>
      </c>
      <c r="X140" s="452"/>
      <c r="Y140" s="452"/>
      <c r="Z140" s="452"/>
      <c r="AA140" s="452"/>
      <c r="AB140" s="452"/>
      <c r="AC140" s="452">
        <f>'HR Track 6 HER'!AC19</f>
        <v>0</v>
      </c>
      <c r="AD140" s="452"/>
      <c r="AE140" s="452"/>
      <c r="AF140" s="452"/>
      <c r="AG140" s="451"/>
      <c r="AH140" s="452"/>
      <c r="AI140" s="452"/>
      <c r="AJ140" s="452"/>
      <c r="AK140" s="452"/>
      <c r="AL140" s="452"/>
      <c r="AM140" s="452">
        <f>'HR Track 6 HER'!AM19</f>
        <v>0</v>
      </c>
      <c r="AN140" s="500">
        <f>'HR Track 6 HER'!AN19</f>
        <v>0</v>
      </c>
      <c r="AO140" s="452">
        <f>'HR Track 6 HER'!AO19</f>
        <v>0</v>
      </c>
      <c r="AP140" s="452">
        <f>'HR Track 6 HER'!AP19</f>
        <v>0</v>
      </c>
      <c r="AQ140" s="452">
        <f>'HR Track 6 HER'!AQ19</f>
        <v>-0.34696215894039734</v>
      </c>
      <c r="AR140" s="452">
        <f>'HR Track 6 HER'!AR19</f>
        <v>0</v>
      </c>
      <c r="AS140" s="452">
        <f>'HR Track 6 HER'!AS19</f>
        <v>0</v>
      </c>
      <c r="AT140" s="452">
        <f>'HR Track 6 HER'!AT19</f>
        <v>0</v>
      </c>
      <c r="AU140" s="452">
        <f>'HR Track 6 HER'!AU19</f>
        <v>0</v>
      </c>
      <c r="AV140" s="452">
        <f>'HR Track 6 HER'!AV19</f>
        <v>0</v>
      </c>
      <c r="AW140" s="452">
        <f>'HR Track 6 HER'!AW19</f>
        <v>0</v>
      </c>
      <c r="AX140" s="452">
        <f>'HR Track 6 HER'!AX19</f>
        <v>0</v>
      </c>
      <c r="AY140" s="500">
        <f>'HR Track 6 HER'!AY19</f>
        <v>0</v>
      </c>
      <c r="AZ140" s="500">
        <f>'HR Track 6 HER'!AZ19</f>
        <v>0</v>
      </c>
      <c r="BA140" s="1333">
        <f>'HR Track 6 HER'!BA19</f>
        <v>0</v>
      </c>
      <c r="BB140" s="452">
        <f>'HR Track 6 HER'!BB19</f>
        <v>0</v>
      </c>
      <c r="BC140" s="1334">
        <f>'HR Track 6 HER'!BC19</f>
        <v>0</v>
      </c>
      <c r="BD140" s="1335">
        <f>'HR Track 6 HER'!BD19</f>
        <v>0</v>
      </c>
      <c r="BE140" s="1335">
        <f>'HR Track 6 HER'!BE19</f>
        <v>0</v>
      </c>
      <c r="BF140" s="1335">
        <f>'HR Track 6 HER'!BF19</f>
        <v>0</v>
      </c>
      <c r="BG140" s="1335">
        <f>'HR Track 6 HER'!BG19</f>
        <v>0</v>
      </c>
    </row>
    <row r="141" spans="1:59" ht="15.75" customHeight="1">
      <c r="A141" s="501"/>
      <c r="B141" s="716" t="str">
        <f>'HR Track 6 HER'!B20</f>
        <v>82-6.16</v>
      </c>
      <c r="C141" s="451">
        <f>'HR Track 6 HER'!C20</f>
        <v>82929.62999999999</v>
      </c>
      <c r="D141" s="453"/>
      <c r="E141" s="452"/>
      <c r="F141" s="453">
        <f>'HR Track 6 HER'!F20</f>
        <v>0</v>
      </c>
      <c r="G141" s="500"/>
      <c r="H141" s="453"/>
      <c r="I141" s="501"/>
      <c r="J141" s="583"/>
      <c r="K141" s="452"/>
      <c r="L141" s="452" t="str">
        <f>'HR Track 6 HER'!L20</f>
        <v>HEB-320L</v>
      </c>
      <c r="M141" s="452" t="str">
        <f>'HR Track 6 HER'!M20</f>
        <v>C7R</v>
      </c>
      <c r="N141" s="501" t="str">
        <f>'HR Track 6 HER'!N20</f>
        <v>EMT-T</v>
      </c>
      <c r="O141" s="501"/>
      <c r="P141" s="501"/>
      <c r="Q141" s="452">
        <f>'HR Track 6 HER'!Q20</f>
        <v>0</v>
      </c>
      <c r="R141" s="452">
        <f>'HR Track 6 HER'!R20</f>
        <v>0</v>
      </c>
      <c r="S141" s="500">
        <f>'HR Track 6 HER'!S20</f>
        <v>0</v>
      </c>
      <c r="T141" s="452">
        <f>'HR Track 6 HER'!T20</f>
        <v>-55</v>
      </c>
      <c r="U141" s="452"/>
      <c r="V141" s="452"/>
      <c r="W141" s="452">
        <f>'HR Track 6 HER'!W20</f>
        <v>2.2999999999999998</v>
      </c>
      <c r="X141" s="452"/>
      <c r="Y141" s="452"/>
      <c r="Z141" s="452"/>
      <c r="AA141" s="452"/>
      <c r="AB141" s="452"/>
      <c r="AC141" s="452">
        <f>'HR Track 6 HER'!AC20</f>
        <v>0</v>
      </c>
      <c r="AD141" s="452"/>
      <c r="AE141" s="452"/>
      <c r="AF141" s="452"/>
      <c r="AG141" s="451"/>
      <c r="AH141" s="452"/>
      <c r="AI141" s="452"/>
      <c r="AJ141" s="452"/>
      <c r="AK141" s="452"/>
      <c r="AL141" s="452"/>
      <c r="AM141" s="452" t="str">
        <f>'HR Track 6 HER'!AM20</f>
        <v>RW2</v>
      </c>
      <c r="AN141" s="500">
        <f>'HR Track 6 HER'!AN20</f>
        <v>5.23</v>
      </c>
      <c r="AO141" s="452">
        <f>'HR Track 6 HER'!AO20</f>
        <v>0</v>
      </c>
      <c r="AP141" s="452">
        <f>'HR Track 6 HER'!AP20</f>
        <v>0</v>
      </c>
      <c r="AQ141" s="452">
        <f>'HR Track 6 HER'!AQ20</f>
        <v>0</v>
      </c>
      <c r="AR141" s="452">
        <f>'HR Track 6 HER'!AR20</f>
        <v>0</v>
      </c>
      <c r="AS141" s="452">
        <f>'HR Track 6 HER'!AS20</f>
        <v>0</v>
      </c>
      <c r="AT141" s="452">
        <f>'HR Track 6 HER'!AT20</f>
        <v>-10.281413540897599</v>
      </c>
      <c r="AU141" s="452">
        <f>'HR Track 6 HER'!AU20</f>
        <v>0</v>
      </c>
      <c r="AV141" s="452">
        <f>'HR Track 6 HER'!AV20</f>
        <v>0</v>
      </c>
      <c r="AW141" s="452" t="str">
        <f>'HR Track 6 HER'!AW20</f>
        <v>Soil A</v>
      </c>
      <c r="AX141" s="452" t="str">
        <f>'HR Track 6 HER'!AX20</f>
        <v>PT</v>
      </c>
      <c r="AY141" s="500">
        <f>'HR Track 6 HER'!AY20</f>
        <v>4</v>
      </c>
      <c r="AZ141" s="500">
        <f>'HR Track 6 HER'!AZ20</f>
        <v>0</v>
      </c>
      <c r="BA141" s="1333" t="str">
        <f>'HR Track 6 HER'!BA20</f>
        <v>ü</v>
      </c>
      <c r="BB141" s="452" t="str">
        <f>'HR Track 6 HER'!BB20</f>
        <v>App.8-V08F-P10.3</v>
      </c>
      <c r="BC141" s="1334">
        <f>'HR Track 6 HER'!BC20</f>
        <v>0</v>
      </c>
      <c r="BD141" s="1335">
        <f>'HR Track 6 HER'!BD20</f>
        <v>0</v>
      </c>
      <c r="BE141" s="1335">
        <f>'HR Track 6 HER'!BE20</f>
        <v>0</v>
      </c>
      <c r="BF141" s="1335">
        <f>'HR Track 6 HER'!BF20</f>
        <v>0</v>
      </c>
      <c r="BG141" s="1335">
        <f>'HR Track 6 HER'!BG20</f>
        <v>0</v>
      </c>
    </row>
    <row r="142" spans="1:59" ht="15.75" customHeight="1">
      <c r="S142" s="454"/>
      <c r="AY142" s="458"/>
      <c r="AZ142" s="458"/>
      <c r="BA142" s="1305"/>
      <c r="BC142" s="169"/>
    </row>
    <row r="143" spans="1:59" ht="15.75" customHeight="1">
      <c r="S143" s="454"/>
      <c r="AY143" s="458"/>
      <c r="AZ143" s="458"/>
      <c r="BA143" s="1305"/>
      <c r="BC143" s="169"/>
    </row>
    <row r="144" spans="1:59" ht="15.75" customHeight="1">
      <c r="S144" s="454"/>
      <c r="AY144" s="458"/>
      <c r="AZ144" s="458"/>
      <c r="BA144" s="1305"/>
      <c r="BC144" s="169"/>
    </row>
    <row r="145" spans="19:55" ht="15.75" customHeight="1">
      <c r="S145" s="454"/>
      <c r="AY145" s="458"/>
      <c r="AZ145" s="458"/>
      <c r="BA145" s="1305"/>
      <c r="BC145" s="169"/>
    </row>
    <row r="146" spans="19:55" ht="15.75" customHeight="1">
      <c r="S146" s="454"/>
      <c r="AY146" s="458"/>
      <c r="AZ146" s="458"/>
      <c r="BA146" s="1305"/>
      <c r="BC146" s="169"/>
    </row>
    <row r="147" spans="19:55" ht="15.75" customHeight="1">
      <c r="S147" s="454"/>
      <c r="AY147" s="458"/>
      <c r="AZ147" s="458"/>
      <c r="BA147" s="1305"/>
      <c r="BC147" s="169"/>
    </row>
    <row r="148" spans="19:55" ht="15.75" customHeight="1">
      <c r="S148" s="454"/>
      <c r="AY148" s="458"/>
      <c r="AZ148" s="458"/>
      <c r="BA148" s="1305"/>
      <c r="BC148" s="169"/>
    </row>
    <row r="149" spans="19:55" ht="15.75" customHeight="1">
      <c r="S149" s="454"/>
      <c r="AY149" s="458"/>
      <c r="AZ149" s="458"/>
      <c r="BA149" s="1305"/>
      <c r="BC149" s="169"/>
    </row>
    <row r="150" spans="19:55" ht="15.75" customHeight="1">
      <c r="S150" s="454"/>
      <c r="AY150" s="458"/>
      <c r="AZ150" s="458"/>
      <c r="BA150" s="1305"/>
      <c r="BC150" s="169"/>
    </row>
    <row r="151" spans="19:55" ht="15.75" customHeight="1">
      <c r="S151" s="454"/>
      <c r="AY151" s="458"/>
      <c r="AZ151" s="458"/>
      <c r="BA151" s="1305"/>
      <c r="BC151" s="169"/>
    </row>
    <row r="152" spans="19:55" ht="15.75" customHeight="1">
      <c r="S152" s="454"/>
      <c r="AY152" s="458"/>
      <c r="AZ152" s="458"/>
      <c r="BA152" s="1305"/>
      <c r="BC152" s="169"/>
    </row>
    <row r="153" spans="19:55" ht="15.75" customHeight="1">
      <c r="S153" s="454"/>
      <c r="AY153" s="458"/>
      <c r="AZ153" s="458"/>
      <c r="BA153" s="1305"/>
      <c r="BC153" s="169"/>
    </row>
    <row r="154" spans="19:55" ht="15.75" customHeight="1">
      <c r="S154" s="454"/>
      <c r="AY154" s="458"/>
      <c r="AZ154" s="458"/>
      <c r="BA154" s="1305"/>
      <c r="BC154" s="169"/>
    </row>
    <row r="155" spans="19:55" ht="15.75" customHeight="1">
      <c r="S155" s="454"/>
      <c r="AY155" s="458"/>
      <c r="AZ155" s="458"/>
      <c r="BA155" s="1305"/>
      <c r="BC155" s="169"/>
    </row>
    <row r="156" spans="19:55" ht="15.75" customHeight="1">
      <c r="S156" s="454"/>
      <c r="AY156" s="458"/>
      <c r="AZ156" s="458"/>
      <c r="BA156" s="1305"/>
      <c r="BC156" s="169"/>
    </row>
    <row r="157" spans="19:55" ht="15.75" customHeight="1">
      <c r="S157" s="454"/>
      <c r="AY157" s="458"/>
      <c r="AZ157" s="458"/>
      <c r="BA157" s="1305"/>
      <c r="BC157" s="169"/>
    </row>
    <row r="158" spans="19:55" ht="15.75" customHeight="1">
      <c r="S158" s="454"/>
      <c r="AY158" s="458"/>
      <c r="AZ158" s="458"/>
      <c r="BA158" s="1305"/>
      <c r="BC158" s="169"/>
    </row>
    <row r="159" spans="19:55" ht="15.75" customHeight="1">
      <c r="S159" s="454"/>
      <c r="AY159" s="458"/>
      <c r="AZ159" s="458"/>
      <c r="BA159" s="1305"/>
      <c r="BC159" s="169"/>
    </row>
    <row r="160" spans="19:55" ht="15.75" customHeight="1">
      <c r="S160" s="454"/>
      <c r="AY160" s="458"/>
      <c r="AZ160" s="458"/>
      <c r="BA160" s="1305"/>
      <c r="BC160" s="169"/>
    </row>
    <row r="161" spans="19:55" ht="15.75" customHeight="1">
      <c r="S161" s="454"/>
      <c r="AY161" s="458"/>
      <c r="AZ161" s="458"/>
      <c r="BA161" s="1305"/>
      <c r="BC161" s="169"/>
    </row>
    <row r="162" spans="19:55" ht="15.75" customHeight="1">
      <c r="S162" s="454"/>
      <c r="AY162" s="458"/>
      <c r="AZ162" s="458"/>
      <c r="BA162" s="1305"/>
      <c r="BC162" s="169"/>
    </row>
    <row r="163" spans="19:55" ht="15.75" customHeight="1">
      <c r="S163" s="454"/>
      <c r="AY163" s="458"/>
      <c r="AZ163" s="458"/>
      <c r="BA163" s="1305"/>
      <c r="BC163" s="169"/>
    </row>
    <row r="164" spans="19:55" ht="15.75" customHeight="1">
      <c r="S164" s="454"/>
      <c r="AY164" s="458"/>
      <c r="AZ164" s="458"/>
      <c r="BA164" s="1305"/>
      <c r="BC164" s="169"/>
    </row>
    <row r="165" spans="19:55" ht="15.75" customHeight="1">
      <c r="S165" s="454"/>
      <c r="AV165" s="178"/>
      <c r="AW165" s="178"/>
      <c r="AX165" s="178"/>
      <c r="AY165" s="454"/>
      <c r="AZ165" s="454"/>
      <c r="BA165" s="1306"/>
      <c r="BC165" s="169"/>
    </row>
    <row r="166" spans="19:55" ht="15.75" customHeight="1">
      <c r="S166" s="454"/>
      <c r="AV166" s="178"/>
      <c r="AW166" s="178"/>
      <c r="AX166" s="178"/>
      <c r="AY166" s="454"/>
      <c r="AZ166" s="454"/>
      <c r="BA166" s="1306"/>
      <c r="BC166" s="169"/>
    </row>
    <row r="167" spans="19:55" ht="15.75" customHeight="1">
      <c r="S167" s="454"/>
      <c r="AN167" s="454"/>
      <c r="AO167" s="178"/>
      <c r="AP167" s="178"/>
      <c r="AQ167" s="454"/>
      <c r="AR167" s="454"/>
      <c r="AS167" s="454"/>
      <c r="AT167" s="454"/>
      <c r="AU167" s="178"/>
      <c r="AV167" s="178"/>
      <c r="AW167" s="178"/>
      <c r="AX167" s="178"/>
      <c r="AY167" s="454"/>
      <c r="AZ167" s="454"/>
      <c r="BA167" s="1306"/>
      <c r="BC167" s="169"/>
    </row>
    <row r="168" spans="19:55" ht="15.75" customHeight="1">
      <c r="S168" s="454"/>
      <c r="AN168" s="454"/>
      <c r="AO168" s="178"/>
      <c r="AP168" s="178"/>
      <c r="AQ168" s="454"/>
      <c r="AR168" s="454"/>
      <c r="AS168" s="454"/>
      <c r="AT168" s="454"/>
      <c r="AU168" s="178"/>
      <c r="AV168" s="178"/>
      <c r="AW168" s="178"/>
      <c r="AX168" s="178"/>
      <c r="AY168" s="454"/>
      <c r="AZ168" s="454"/>
      <c r="BA168" s="1306"/>
      <c r="BC168" s="169"/>
    </row>
    <row r="169" spans="19:55" ht="15.75" customHeight="1">
      <c r="S169" s="454"/>
      <c r="AN169" s="454"/>
      <c r="AO169" s="178"/>
      <c r="AP169" s="178"/>
      <c r="AQ169" s="454"/>
      <c r="AR169" s="454"/>
      <c r="AS169" s="454"/>
      <c r="AT169" s="454"/>
      <c r="AU169" s="178"/>
      <c r="AV169" s="178"/>
      <c r="AW169" s="178"/>
      <c r="AX169" s="178"/>
      <c r="AY169" s="454"/>
      <c r="AZ169" s="454"/>
      <c r="BA169" s="1306"/>
      <c r="BC169" s="169"/>
    </row>
    <row r="170" spans="19:55" ht="15.75" customHeight="1">
      <c r="S170" s="454"/>
      <c r="AN170" s="454"/>
      <c r="AO170" s="178"/>
      <c r="AP170" s="178"/>
      <c r="AQ170" s="454"/>
      <c r="AR170" s="454"/>
      <c r="AS170" s="454"/>
      <c r="AT170" s="454"/>
      <c r="AU170" s="178"/>
      <c r="AY170" s="458"/>
      <c r="AZ170" s="458"/>
      <c r="BA170" s="1305"/>
      <c r="BC170" s="169"/>
    </row>
    <row r="171" spans="19:55" ht="15.75" customHeight="1">
      <c r="S171" s="454"/>
      <c r="AN171" s="454"/>
      <c r="AO171" s="178"/>
      <c r="AP171" s="178"/>
      <c r="AQ171" s="454"/>
      <c r="AR171" s="454"/>
      <c r="AS171" s="454"/>
      <c r="AT171" s="454"/>
      <c r="AU171" s="178"/>
      <c r="AY171" s="458"/>
      <c r="AZ171" s="458"/>
      <c r="BA171" s="1305"/>
      <c r="BC171" s="169"/>
    </row>
    <row r="172" spans="19:55" ht="15.75" customHeight="1">
      <c r="S172" s="454"/>
      <c r="AY172" s="458"/>
      <c r="AZ172" s="458"/>
      <c r="BA172" s="1305"/>
      <c r="BC172" s="169"/>
    </row>
    <row r="173" spans="19:55" ht="15.75" customHeight="1">
      <c r="S173" s="454"/>
      <c r="AY173" s="458"/>
      <c r="AZ173" s="458"/>
      <c r="BA173" s="1305"/>
      <c r="BC173" s="169"/>
    </row>
    <row r="174" spans="19:55" ht="15.75" customHeight="1">
      <c r="S174" s="454"/>
      <c r="AY174" s="458"/>
      <c r="AZ174" s="458"/>
      <c r="BA174" s="1305"/>
      <c r="BC174" s="169"/>
    </row>
    <row r="175" spans="19:55" ht="15.75" customHeight="1">
      <c r="S175" s="454"/>
      <c r="AY175" s="458"/>
      <c r="AZ175" s="458"/>
      <c r="BA175" s="1305"/>
      <c r="BC175" s="169"/>
    </row>
    <row r="176" spans="19:55" ht="15.75" customHeight="1">
      <c r="S176" s="454"/>
      <c r="AY176" s="458"/>
      <c r="AZ176" s="458"/>
      <c r="BA176" s="1305"/>
      <c r="BC176" s="169"/>
    </row>
    <row r="177" spans="19:55" ht="15.75" customHeight="1">
      <c r="S177" s="454"/>
      <c r="AY177" s="458"/>
      <c r="AZ177" s="458"/>
      <c r="BA177" s="1305"/>
      <c r="BC177" s="169"/>
    </row>
    <row r="178" spans="19:55" ht="15.75" customHeight="1">
      <c r="S178" s="454"/>
      <c r="AY178" s="458"/>
      <c r="AZ178" s="458"/>
      <c r="BA178" s="1305"/>
      <c r="BC178" s="169"/>
    </row>
    <row r="179" spans="19:55" ht="15.75" customHeight="1">
      <c r="S179" s="454"/>
      <c r="AY179" s="458"/>
      <c r="AZ179" s="458"/>
      <c r="BA179" s="1305"/>
      <c r="BC179" s="169"/>
    </row>
    <row r="180" spans="19:55" ht="15.75" customHeight="1">
      <c r="S180" s="454"/>
      <c r="AY180" s="458"/>
      <c r="AZ180" s="458"/>
      <c r="BA180" s="1305"/>
      <c r="BC180" s="169"/>
    </row>
    <row r="181" spans="19:55" ht="15.75" customHeight="1">
      <c r="S181" s="454"/>
      <c r="AY181" s="458"/>
      <c r="AZ181" s="458"/>
      <c r="BA181" s="1305"/>
      <c r="BC181" s="169"/>
    </row>
    <row r="182" spans="19:55" ht="15.75" customHeight="1">
      <c r="S182" s="454"/>
      <c r="AY182" s="458"/>
      <c r="AZ182" s="458"/>
      <c r="BA182" s="1305"/>
      <c r="BC182" s="169"/>
    </row>
    <row r="183" spans="19:55" ht="15.75" customHeight="1">
      <c r="S183" s="454"/>
      <c r="AY183" s="458"/>
      <c r="AZ183" s="458"/>
      <c r="BA183" s="1305"/>
      <c r="BC183" s="169"/>
    </row>
    <row r="184" spans="19:55" ht="15.75" customHeight="1">
      <c r="S184" s="454"/>
      <c r="AY184" s="458"/>
      <c r="AZ184" s="458"/>
      <c r="BA184" s="1305"/>
      <c r="BC184" s="169"/>
    </row>
    <row r="185" spans="19:55" ht="15.75" customHeight="1">
      <c r="S185" s="454"/>
      <c r="AY185" s="458"/>
      <c r="AZ185" s="458"/>
      <c r="BA185" s="1305"/>
      <c r="BC185" s="169"/>
    </row>
    <row r="186" spans="19:55" ht="15.75" customHeight="1">
      <c r="S186" s="454"/>
      <c r="AY186" s="458"/>
      <c r="AZ186" s="458"/>
      <c r="BA186" s="1305"/>
      <c r="BC186" s="169"/>
    </row>
    <row r="187" spans="19:55" ht="15.75" customHeight="1">
      <c r="S187" s="454"/>
      <c r="AY187" s="458"/>
      <c r="AZ187" s="458"/>
      <c r="BA187" s="1305"/>
      <c r="BC187" s="169"/>
    </row>
    <row r="188" spans="19:55" ht="15.75" customHeight="1">
      <c r="S188" s="454"/>
      <c r="AY188" s="458"/>
      <c r="AZ188" s="458"/>
      <c r="BA188" s="1305"/>
      <c r="BC188" s="169"/>
    </row>
    <row r="189" spans="19:55" ht="15.75" customHeight="1">
      <c r="S189" s="454"/>
      <c r="AY189" s="458"/>
      <c r="AZ189" s="458"/>
      <c r="BA189" s="1305"/>
      <c r="BC189" s="169"/>
    </row>
    <row r="190" spans="19:55" ht="15.75" customHeight="1">
      <c r="S190" s="454"/>
      <c r="AY190" s="458"/>
      <c r="AZ190" s="458"/>
      <c r="BA190" s="1305"/>
      <c r="BC190" s="169"/>
    </row>
    <row r="191" spans="19:55" ht="15.75" customHeight="1">
      <c r="S191" s="454"/>
      <c r="AY191" s="458"/>
      <c r="AZ191" s="458"/>
      <c r="BA191" s="1305"/>
      <c r="BC191" s="169"/>
    </row>
    <row r="192" spans="19:55" ht="15.75" customHeight="1">
      <c r="S192" s="454"/>
      <c r="AY192" s="458"/>
      <c r="AZ192" s="458"/>
      <c r="BA192" s="1305"/>
      <c r="BC192" s="169"/>
    </row>
    <row r="193" spans="19:55" ht="15.75" customHeight="1">
      <c r="S193" s="454"/>
      <c r="AY193" s="458"/>
      <c r="AZ193" s="458"/>
      <c r="BA193" s="1305"/>
      <c r="BC193" s="169"/>
    </row>
    <row r="194" spans="19:55" ht="15.75" customHeight="1">
      <c r="S194" s="454"/>
      <c r="AY194" s="458"/>
      <c r="AZ194" s="458"/>
      <c r="BA194" s="1305"/>
      <c r="BC194" s="169"/>
    </row>
    <row r="195" spans="19:55" ht="15.75" customHeight="1">
      <c r="S195" s="454"/>
      <c r="AY195" s="458"/>
      <c r="AZ195" s="458"/>
      <c r="BA195" s="1305"/>
      <c r="BC195" s="169"/>
    </row>
    <row r="196" spans="19:55" ht="15.75" customHeight="1">
      <c r="S196" s="454"/>
      <c r="AY196" s="458"/>
      <c r="AZ196" s="458"/>
      <c r="BA196" s="1305"/>
      <c r="BC196" s="169"/>
    </row>
    <row r="197" spans="19:55" ht="15.75" customHeight="1">
      <c r="S197" s="454"/>
      <c r="AY197" s="458"/>
      <c r="AZ197" s="458"/>
      <c r="BA197" s="1305"/>
      <c r="BC197" s="169"/>
    </row>
    <row r="198" spans="19:55" ht="15.75" customHeight="1">
      <c r="S198" s="454"/>
      <c r="AY198" s="458"/>
      <c r="AZ198" s="458"/>
      <c r="BA198" s="1305"/>
      <c r="BC198" s="169"/>
    </row>
    <row r="199" spans="19:55" ht="15.75" customHeight="1">
      <c r="S199" s="454"/>
      <c r="AY199" s="458"/>
      <c r="AZ199" s="458"/>
      <c r="BA199" s="1305"/>
      <c r="BC199" s="169"/>
    </row>
    <row r="200" spans="19:55" ht="15.75" customHeight="1">
      <c r="S200" s="454"/>
      <c r="AY200" s="458"/>
      <c r="AZ200" s="458"/>
      <c r="BA200" s="1305"/>
      <c r="BC200" s="169"/>
    </row>
    <row r="201" spans="19:55" ht="15.75" customHeight="1">
      <c r="S201" s="454"/>
      <c r="AY201" s="458"/>
      <c r="AZ201" s="458"/>
      <c r="BA201" s="1305"/>
      <c r="BC201" s="169"/>
    </row>
    <row r="202" spans="19:55" ht="15.75" customHeight="1">
      <c r="S202" s="454"/>
      <c r="AY202" s="458"/>
      <c r="AZ202" s="458"/>
      <c r="BA202" s="1305"/>
      <c r="BC202" s="169"/>
    </row>
    <row r="203" spans="19:55" ht="15.75" customHeight="1">
      <c r="S203" s="454"/>
      <c r="AY203" s="458"/>
      <c r="AZ203" s="458"/>
      <c r="BA203" s="1305"/>
      <c r="BC203" s="169"/>
    </row>
    <row r="204" spans="19:55" ht="15.75" customHeight="1">
      <c r="S204" s="454"/>
      <c r="AY204" s="458"/>
      <c r="AZ204" s="458"/>
      <c r="BA204" s="1305"/>
      <c r="BC204" s="169"/>
    </row>
    <row r="205" spans="19:55" ht="15.75" customHeight="1">
      <c r="S205" s="454"/>
      <c r="AY205" s="458"/>
      <c r="AZ205" s="458"/>
      <c r="BA205" s="1305"/>
      <c r="BC205" s="169"/>
    </row>
    <row r="206" spans="19:55" ht="15.75" customHeight="1">
      <c r="S206" s="454"/>
      <c r="AY206" s="458"/>
      <c r="AZ206" s="458"/>
      <c r="BA206" s="1305"/>
      <c r="BC206" s="169"/>
    </row>
    <row r="207" spans="19:55" ht="15.75" customHeight="1">
      <c r="S207" s="454"/>
      <c r="AY207" s="458"/>
      <c r="AZ207" s="458"/>
      <c r="BA207" s="1305"/>
      <c r="BC207" s="169"/>
    </row>
    <row r="208" spans="19:55" ht="15.75" customHeight="1">
      <c r="S208" s="454"/>
      <c r="AY208" s="458"/>
      <c r="AZ208" s="458"/>
      <c r="BA208" s="1305"/>
      <c r="BC208" s="169"/>
    </row>
    <row r="209" spans="19:55" ht="15.75" customHeight="1">
      <c r="S209" s="454"/>
      <c r="AY209" s="458"/>
      <c r="AZ209" s="458"/>
      <c r="BA209" s="1305"/>
      <c r="BC209" s="169"/>
    </row>
    <row r="210" spans="19:55" ht="15.75" customHeight="1">
      <c r="S210" s="454"/>
      <c r="AY210" s="458"/>
      <c r="AZ210" s="458"/>
      <c r="BA210" s="1305"/>
      <c r="BC210" s="169"/>
    </row>
    <row r="211" spans="19:55" ht="15.75" customHeight="1">
      <c r="S211" s="454"/>
      <c r="AY211" s="458"/>
      <c r="AZ211" s="458"/>
      <c r="BA211" s="1305"/>
      <c r="BC211" s="169"/>
    </row>
    <row r="212" spans="19:55" ht="15.75" customHeight="1">
      <c r="S212" s="454"/>
      <c r="AY212" s="458"/>
      <c r="AZ212" s="458"/>
      <c r="BA212" s="1305"/>
      <c r="BC212" s="169"/>
    </row>
    <row r="213" spans="19:55" ht="15.75" customHeight="1">
      <c r="S213" s="454"/>
      <c r="AY213" s="458"/>
      <c r="AZ213" s="458"/>
      <c r="BA213" s="1305"/>
      <c r="BC213" s="169"/>
    </row>
    <row r="214" spans="19:55" ht="15.75" customHeight="1">
      <c r="S214" s="454"/>
      <c r="AY214" s="458"/>
      <c r="AZ214" s="458"/>
      <c r="BA214" s="1305"/>
      <c r="BC214" s="169"/>
    </row>
    <row r="215" spans="19:55" ht="15.75" customHeight="1">
      <c r="S215" s="454"/>
      <c r="AY215" s="458"/>
      <c r="AZ215" s="458"/>
      <c r="BA215" s="1305"/>
      <c r="BC215" s="169"/>
    </row>
    <row r="216" spans="19:55" ht="15.75" customHeight="1">
      <c r="S216" s="454"/>
      <c r="AY216" s="458"/>
      <c r="AZ216" s="458"/>
      <c r="BA216" s="1305"/>
      <c r="BC216" s="169"/>
    </row>
    <row r="217" spans="19:55" ht="15.75" customHeight="1">
      <c r="S217" s="454"/>
      <c r="AY217" s="458"/>
      <c r="AZ217" s="458"/>
      <c r="BA217" s="1305"/>
      <c r="BC217" s="169"/>
    </row>
    <row r="218" spans="19:55" ht="15.75" customHeight="1">
      <c r="S218" s="454"/>
      <c r="AY218" s="458"/>
      <c r="AZ218" s="458"/>
      <c r="BA218" s="1305"/>
      <c r="BC218" s="169"/>
    </row>
    <row r="219" spans="19:55" ht="15.75" customHeight="1">
      <c r="S219" s="454"/>
      <c r="AY219" s="458"/>
      <c r="AZ219" s="458"/>
      <c r="BA219" s="1305"/>
      <c r="BC219" s="169"/>
    </row>
    <row r="220" spans="19:55" ht="15.75" customHeight="1">
      <c r="S220" s="454"/>
      <c r="AY220" s="458"/>
      <c r="AZ220" s="458"/>
      <c r="BA220" s="1305"/>
      <c r="BC220" s="169"/>
    </row>
    <row r="221" spans="19:55" ht="15.75" customHeight="1">
      <c r="S221" s="454"/>
      <c r="AY221" s="458"/>
      <c r="AZ221" s="458"/>
      <c r="BA221" s="1305"/>
      <c r="BC221" s="169"/>
    </row>
    <row r="222" spans="19:55" ht="15.75" customHeight="1">
      <c r="S222" s="454"/>
      <c r="AY222" s="458"/>
      <c r="AZ222" s="458"/>
      <c r="BA222" s="1305"/>
      <c r="BC222" s="169"/>
    </row>
    <row r="223" spans="19:55" ht="15.75" customHeight="1">
      <c r="S223" s="454"/>
      <c r="AY223" s="458"/>
      <c r="AZ223" s="458"/>
      <c r="BA223" s="1305"/>
      <c r="BC223" s="169"/>
    </row>
    <row r="224" spans="19:55" ht="15.75" customHeight="1">
      <c r="S224" s="454"/>
      <c r="AY224" s="458"/>
      <c r="AZ224" s="458"/>
      <c r="BA224" s="1305"/>
      <c r="BC224" s="169"/>
    </row>
    <row r="225" spans="19:55" ht="15.75" customHeight="1">
      <c r="S225" s="454"/>
      <c r="AY225" s="458"/>
      <c r="AZ225" s="458"/>
      <c r="BA225" s="1305"/>
      <c r="BC225" s="169"/>
    </row>
    <row r="226" spans="19:55" ht="15.75" customHeight="1">
      <c r="S226" s="454"/>
      <c r="AY226" s="458"/>
      <c r="AZ226" s="458"/>
      <c r="BA226" s="1305"/>
      <c r="BC226" s="169"/>
    </row>
    <row r="227" spans="19:55" ht="15.75" customHeight="1">
      <c r="S227" s="454"/>
      <c r="AY227" s="458"/>
      <c r="AZ227" s="458"/>
      <c r="BA227" s="1305"/>
      <c r="BC227" s="169"/>
    </row>
    <row r="228" spans="19:55" ht="15.75" customHeight="1">
      <c r="S228" s="454"/>
      <c r="AY228" s="458"/>
      <c r="AZ228" s="458"/>
      <c r="BA228" s="1305"/>
      <c r="BC228" s="169"/>
    </row>
    <row r="229" spans="19:55" ht="15.75" customHeight="1">
      <c r="S229" s="454"/>
      <c r="AY229" s="458"/>
      <c r="AZ229" s="458"/>
      <c r="BA229" s="1305"/>
      <c r="BC229" s="169"/>
    </row>
    <row r="230" spans="19:55" ht="15.75" customHeight="1">
      <c r="S230" s="454"/>
      <c r="AY230" s="458"/>
      <c r="AZ230" s="458"/>
      <c r="BA230" s="1305"/>
      <c r="BC230" s="169"/>
    </row>
    <row r="231" spans="19:55" ht="15.75" customHeight="1">
      <c r="S231" s="454"/>
      <c r="AY231" s="458"/>
      <c r="AZ231" s="458"/>
      <c r="BA231" s="1305"/>
      <c r="BC231" s="169"/>
    </row>
    <row r="232" spans="19:55" ht="15.75" customHeight="1">
      <c r="S232" s="454"/>
      <c r="AY232" s="458"/>
      <c r="AZ232" s="458"/>
      <c r="BA232" s="1305"/>
      <c r="BC232" s="169"/>
    </row>
    <row r="233" spans="19:55" ht="15.75" customHeight="1">
      <c r="S233" s="454"/>
      <c r="AY233" s="458"/>
      <c r="AZ233" s="458"/>
      <c r="BA233" s="1305"/>
      <c r="BC233" s="169"/>
    </row>
    <row r="234" spans="19:55" ht="15.75" customHeight="1">
      <c r="S234" s="454"/>
      <c r="AY234" s="458"/>
      <c r="AZ234" s="458"/>
      <c r="BA234" s="1305"/>
      <c r="BC234" s="169"/>
    </row>
    <row r="235" spans="19:55" ht="15.75" customHeight="1">
      <c r="S235" s="454"/>
      <c r="AY235" s="458"/>
      <c r="AZ235" s="458"/>
      <c r="BA235" s="1305"/>
      <c r="BC235" s="169"/>
    </row>
    <row r="236" spans="19:55" ht="15.75" customHeight="1">
      <c r="S236" s="454"/>
      <c r="AY236" s="458"/>
      <c r="AZ236" s="458"/>
      <c r="BA236" s="1305"/>
      <c r="BC236" s="169"/>
    </row>
    <row r="237" spans="19:55" ht="15.75" customHeight="1">
      <c r="S237" s="454"/>
      <c r="AY237" s="458"/>
      <c r="AZ237" s="458"/>
      <c r="BA237" s="1305"/>
      <c r="BC237" s="169"/>
    </row>
    <row r="238" spans="19:55" ht="15.75" customHeight="1">
      <c r="S238" s="454"/>
      <c r="AY238" s="458"/>
      <c r="AZ238" s="458"/>
      <c r="BA238" s="1305"/>
      <c r="BC238" s="169"/>
    </row>
    <row r="239" spans="19:55" ht="15.75" customHeight="1">
      <c r="S239" s="454"/>
      <c r="AY239" s="458"/>
      <c r="AZ239" s="458"/>
      <c r="BA239" s="1305"/>
      <c r="BC239" s="169"/>
    </row>
    <row r="240" spans="19:55" ht="15.75" customHeight="1">
      <c r="S240" s="454"/>
      <c r="AY240" s="458"/>
      <c r="AZ240" s="458"/>
      <c r="BA240" s="1305"/>
      <c r="BC240" s="169"/>
    </row>
    <row r="241" spans="19:55" ht="15.75" customHeight="1">
      <c r="S241" s="454"/>
      <c r="AY241" s="458"/>
      <c r="AZ241" s="458"/>
      <c r="BA241" s="1305"/>
      <c r="BC241" s="169"/>
    </row>
    <row r="242" spans="19:55" ht="15.75" customHeight="1">
      <c r="S242" s="454"/>
      <c r="AY242" s="458"/>
      <c r="AZ242" s="458"/>
      <c r="BA242" s="1305"/>
      <c r="BC242" s="169"/>
    </row>
    <row r="243" spans="19:55" ht="15.75" customHeight="1">
      <c r="S243" s="454"/>
      <c r="AY243" s="458"/>
      <c r="AZ243" s="458"/>
      <c r="BA243" s="1305"/>
      <c r="BC243" s="169"/>
    </row>
    <row r="244" spans="19:55" ht="15.75" customHeight="1">
      <c r="S244" s="454"/>
      <c r="AY244" s="458"/>
      <c r="AZ244" s="458"/>
      <c r="BA244" s="1305"/>
      <c r="BC244" s="169"/>
    </row>
    <row r="245" spans="19:55" ht="15.75" customHeight="1">
      <c r="S245" s="454"/>
      <c r="AY245" s="458"/>
      <c r="AZ245" s="458"/>
      <c r="BA245" s="1305"/>
      <c r="BC245" s="169"/>
    </row>
    <row r="246" spans="19:55" ht="15.75" customHeight="1">
      <c r="S246" s="454"/>
      <c r="AY246" s="458"/>
      <c r="AZ246" s="458"/>
      <c r="BA246" s="1305"/>
      <c r="BC246" s="169"/>
    </row>
    <row r="247" spans="19:55" ht="15.75" customHeight="1">
      <c r="S247" s="454"/>
      <c r="AY247" s="458"/>
      <c r="AZ247" s="458"/>
      <c r="BA247" s="1305"/>
      <c r="BC247" s="169"/>
    </row>
    <row r="248" spans="19:55" ht="15.75" customHeight="1">
      <c r="S248" s="454"/>
      <c r="AY248" s="458"/>
      <c r="AZ248" s="458"/>
      <c r="BA248" s="1305"/>
      <c r="BC248" s="169"/>
    </row>
    <row r="249" spans="19:55" ht="15.75" customHeight="1">
      <c r="S249" s="454"/>
      <c r="AY249" s="458"/>
      <c r="AZ249" s="458"/>
      <c r="BA249" s="1305"/>
      <c r="BC249" s="169"/>
    </row>
    <row r="250" spans="19:55" ht="15.75" customHeight="1">
      <c r="S250" s="454"/>
      <c r="AY250" s="458"/>
      <c r="AZ250" s="458"/>
      <c r="BA250" s="1305"/>
      <c r="BC250" s="169"/>
    </row>
    <row r="251" spans="19:55" ht="15.75" customHeight="1">
      <c r="S251" s="454"/>
      <c r="AY251" s="458"/>
      <c r="AZ251" s="458"/>
      <c r="BA251" s="1305"/>
      <c r="BC251" s="169"/>
    </row>
    <row r="252" spans="19:55" ht="15.75" customHeight="1">
      <c r="S252" s="454"/>
      <c r="AY252" s="458"/>
      <c r="AZ252" s="458"/>
      <c r="BA252" s="1305"/>
      <c r="BC252" s="169"/>
    </row>
    <row r="253" spans="19:55" ht="15.75" customHeight="1">
      <c r="S253" s="454"/>
      <c r="AY253" s="458"/>
      <c r="AZ253" s="458"/>
      <c r="BA253" s="1305"/>
      <c r="BC253" s="169"/>
    </row>
    <row r="254" spans="19:55" ht="15.75" customHeight="1">
      <c r="S254" s="454"/>
      <c r="AY254" s="458"/>
      <c r="AZ254" s="458"/>
      <c r="BA254" s="1305"/>
      <c r="BC254" s="169"/>
    </row>
    <row r="255" spans="19:55" ht="15.75" customHeight="1">
      <c r="S255" s="454"/>
      <c r="AY255" s="458"/>
      <c r="AZ255" s="458"/>
      <c r="BA255" s="1305"/>
      <c r="BC255" s="169"/>
    </row>
    <row r="256" spans="19:55" ht="15.75" customHeight="1">
      <c r="S256" s="454"/>
      <c r="AY256" s="458"/>
      <c r="AZ256" s="458"/>
      <c r="BA256" s="1305"/>
      <c r="BC256" s="169"/>
    </row>
    <row r="257" spans="19:55" ht="15.75" customHeight="1">
      <c r="S257" s="454"/>
      <c r="AY257" s="458"/>
      <c r="AZ257" s="458"/>
      <c r="BA257" s="1305"/>
      <c r="BC257" s="169"/>
    </row>
    <row r="258" spans="19:55" ht="15.75" customHeight="1">
      <c r="S258" s="454"/>
      <c r="AY258" s="458"/>
      <c r="AZ258" s="458"/>
      <c r="BA258" s="1305"/>
      <c r="BC258" s="169"/>
    </row>
    <row r="259" spans="19:55" ht="15.75" customHeight="1">
      <c r="S259" s="454"/>
      <c r="AY259" s="458"/>
      <c r="AZ259" s="458"/>
      <c r="BA259" s="1305"/>
      <c r="BC259" s="169"/>
    </row>
    <row r="260" spans="19:55" ht="15.75" customHeight="1">
      <c r="S260" s="454"/>
      <c r="AY260" s="458"/>
      <c r="AZ260" s="458"/>
      <c r="BA260" s="1305"/>
      <c r="BC260" s="169"/>
    </row>
    <row r="261" spans="19:55" ht="15.75" customHeight="1">
      <c r="S261" s="454"/>
      <c r="AY261" s="458"/>
      <c r="AZ261" s="458"/>
      <c r="BA261" s="1305"/>
      <c r="BC261" s="169"/>
    </row>
    <row r="262" spans="19:55" ht="15.75" customHeight="1">
      <c r="S262" s="454"/>
      <c r="AY262" s="458"/>
      <c r="AZ262" s="458"/>
      <c r="BA262" s="1305"/>
      <c r="BC262" s="169"/>
    </row>
    <row r="263" spans="19:55" ht="15.75" customHeight="1">
      <c r="S263" s="454"/>
      <c r="AY263" s="458"/>
      <c r="AZ263" s="458"/>
      <c r="BA263" s="1305"/>
      <c r="BC263" s="169"/>
    </row>
    <row r="264" spans="19:55" ht="15.75" customHeight="1">
      <c r="S264" s="454"/>
      <c r="AY264" s="458"/>
      <c r="AZ264" s="458"/>
      <c r="BA264" s="1305"/>
      <c r="BC264" s="169"/>
    </row>
    <row r="265" spans="19:55" ht="15.75" customHeight="1">
      <c r="S265" s="454"/>
      <c r="AY265" s="458"/>
      <c r="AZ265" s="458"/>
      <c r="BA265" s="1305"/>
      <c r="BC265" s="169"/>
    </row>
    <row r="266" spans="19:55" ht="15.75" customHeight="1">
      <c r="S266" s="454"/>
      <c r="AY266" s="458"/>
      <c r="AZ266" s="458"/>
      <c r="BA266" s="1305"/>
      <c r="BC266" s="169"/>
    </row>
    <row r="267" spans="19:55" ht="15.75" customHeight="1">
      <c r="S267" s="454"/>
      <c r="AY267" s="458"/>
      <c r="AZ267" s="458"/>
      <c r="BA267" s="1305"/>
      <c r="BC267" s="169"/>
    </row>
    <row r="268" spans="19:55" ht="15.75" customHeight="1">
      <c r="S268" s="454"/>
      <c r="AY268" s="458"/>
      <c r="AZ268" s="458"/>
      <c r="BA268" s="1305"/>
      <c r="BC268" s="169"/>
    </row>
    <row r="269" spans="19:55" ht="15.75" customHeight="1">
      <c r="S269" s="454"/>
      <c r="AY269" s="458"/>
      <c r="AZ269" s="458"/>
      <c r="BA269" s="1305"/>
      <c r="BC269" s="169"/>
    </row>
    <row r="270" spans="19:55" ht="15.75" customHeight="1">
      <c r="S270" s="454"/>
      <c r="AY270" s="458"/>
      <c r="AZ270" s="458"/>
      <c r="BA270" s="1305"/>
      <c r="BC270" s="169"/>
    </row>
    <row r="271" spans="19:55" ht="15.75" customHeight="1">
      <c r="S271" s="454"/>
      <c r="AY271" s="458"/>
      <c r="AZ271" s="458"/>
      <c r="BA271" s="1305"/>
      <c r="BC271" s="169"/>
    </row>
    <row r="272" spans="19:55" ht="15.75" customHeight="1">
      <c r="S272" s="454"/>
      <c r="AY272" s="458"/>
      <c r="AZ272" s="458"/>
      <c r="BA272" s="1305"/>
      <c r="BC272" s="169"/>
    </row>
    <row r="273" spans="19:55" ht="15.75" customHeight="1">
      <c r="S273" s="454"/>
      <c r="AY273" s="458"/>
      <c r="AZ273" s="458"/>
      <c r="BA273" s="1305"/>
      <c r="BC273" s="169"/>
    </row>
    <row r="274" spans="19:55" ht="15.75" customHeight="1">
      <c r="S274" s="454"/>
      <c r="AY274" s="458"/>
      <c r="AZ274" s="458"/>
      <c r="BA274" s="1305"/>
      <c r="BC274" s="169"/>
    </row>
    <row r="275" spans="19:55" ht="15.75" customHeight="1">
      <c r="S275" s="454"/>
      <c r="AY275" s="458"/>
      <c r="AZ275" s="458"/>
      <c r="BA275" s="1305"/>
      <c r="BC275" s="169"/>
    </row>
    <row r="276" spans="19:55" ht="15.75" customHeight="1">
      <c r="S276" s="454"/>
      <c r="AY276" s="458"/>
      <c r="AZ276" s="458"/>
      <c r="BA276" s="1305"/>
      <c r="BC276" s="169"/>
    </row>
    <row r="277" spans="19:55" ht="15.75" customHeight="1">
      <c r="S277" s="454"/>
      <c r="AY277" s="458"/>
      <c r="AZ277" s="458"/>
      <c r="BA277" s="1305"/>
      <c r="BC277" s="169"/>
    </row>
    <row r="278" spans="19:55" ht="15.75" customHeight="1">
      <c r="S278" s="454"/>
      <c r="AY278" s="458"/>
      <c r="AZ278" s="458"/>
      <c r="BA278" s="1305"/>
      <c r="BC278" s="169"/>
    </row>
    <row r="279" spans="19:55" ht="15.75" customHeight="1">
      <c r="S279" s="454"/>
      <c r="AY279" s="458"/>
      <c r="AZ279" s="458"/>
      <c r="BA279" s="1305"/>
      <c r="BC279" s="169"/>
    </row>
    <row r="280" spans="19:55" ht="15.75" customHeight="1">
      <c r="S280" s="454"/>
      <c r="AY280" s="458"/>
      <c r="AZ280" s="458"/>
      <c r="BA280" s="1305"/>
      <c r="BC280" s="169"/>
    </row>
    <row r="281" spans="19:55" ht="15.75" customHeight="1">
      <c r="S281" s="454"/>
      <c r="AY281" s="458"/>
      <c r="AZ281" s="458"/>
      <c r="BA281" s="1305"/>
      <c r="BC281" s="169"/>
    </row>
    <row r="282" spans="19:55" ht="15.75" customHeight="1">
      <c r="S282" s="454"/>
      <c r="AY282" s="458"/>
      <c r="AZ282" s="458"/>
      <c r="BA282" s="1305"/>
      <c r="BC282" s="169"/>
    </row>
    <row r="283" spans="19:55" ht="15.75" customHeight="1">
      <c r="S283" s="454"/>
      <c r="AY283" s="458"/>
      <c r="AZ283" s="458"/>
      <c r="BA283" s="1305"/>
      <c r="BC283" s="169"/>
    </row>
    <row r="284" spans="19:55" ht="15.75" customHeight="1">
      <c r="S284" s="454"/>
      <c r="AY284" s="458"/>
      <c r="AZ284" s="458"/>
      <c r="BA284" s="1305"/>
      <c r="BC284" s="169"/>
    </row>
    <row r="285" spans="19:55" ht="15.75" customHeight="1">
      <c r="S285" s="454"/>
      <c r="AY285" s="458"/>
      <c r="AZ285" s="458"/>
      <c r="BA285" s="1305"/>
      <c r="BC285" s="169"/>
    </row>
    <row r="286" spans="19:55" ht="15.75" customHeight="1">
      <c r="S286" s="454"/>
      <c r="AY286" s="458"/>
      <c r="AZ286" s="458"/>
      <c r="BA286" s="1305"/>
      <c r="BC286" s="169"/>
    </row>
    <row r="287" spans="19:55" ht="15.75" customHeight="1">
      <c r="S287" s="454"/>
      <c r="AY287" s="458"/>
      <c r="AZ287" s="458"/>
      <c r="BA287" s="1305"/>
      <c r="BC287" s="169"/>
    </row>
    <row r="288" spans="19:55" ht="15.75" customHeight="1">
      <c r="S288" s="454"/>
      <c r="AY288" s="458"/>
      <c r="AZ288" s="458"/>
      <c r="BA288" s="1305"/>
      <c r="BC288" s="169"/>
    </row>
    <row r="289" spans="19:55" ht="15.75" customHeight="1">
      <c r="S289" s="454"/>
      <c r="AY289" s="458"/>
      <c r="AZ289" s="458"/>
      <c r="BA289" s="1305"/>
      <c r="BC289" s="169"/>
    </row>
    <row r="290" spans="19:55" ht="15.75" customHeight="1">
      <c r="S290" s="454"/>
      <c r="AY290" s="458"/>
      <c r="AZ290" s="458"/>
      <c r="BA290" s="1305"/>
      <c r="BC290" s="169"/>
    </row>
    <row r="291" spans="19:55" ht="15.75" customHeight="1">
      <c r="S291" s="454"/>
      <c r="AY291" s="458"/>
      <c r="AZ291" s="458"/>
      <c r="BA291" s="1305"/>
      <c r="BC291" s="169"/>
    </row>
    <row r="292" spans="19:55" ht="15.75" customHeight="1">
      <c r="S292" s="454"/>
      <c r="AY292" s="458"/>
      <c r="AZ292" s="458"/>
      <c r="BA292" s="1305"/>
      <c r="BC292" s="169"/>
    </row>
    <row r="293" spans="19:55" ht="15.75" customHeight="1">
      <c r="S293" s="454"/>
      <c r="AY293" s="458"/>
      <c r="AZ293" s="458"/>
      <c r="BA293" s="1305"/>
      <c r="BC293" s="169"/>
    </row>
    <row r="294" spans="19:55" ht="15.75" customHeight="1">
      <c r="S294" s="454"/>
      <c r="AY294" s="458"/>
      <c r="AZ294" s="458"/>
      <c r="BA294" s="1305"/>
      <c r="BC294" s="169"/>
    </row>
    <row r="295" spans="19:55" ht="15.75" customHeight="1">
      <c r="S295" s="454"/>
      <c r="AY295" s="458"/>
      <c r="AZ295" s="458"/>
      <c r="BA295" s="1305"/>
      <c r="BC295" s="169"/>
    </row>
    <row r="296" spans="19:55" ht="15.75" customHeight="1">
      <c r="S296" s="454"/>
      <c r="AY296" s="458"/>
      <c r="AZ296" s="458"/>
      <c r="BA296" s="1305"/>
      <c r="BC296" s="169"/>
    </row>
    <row r="297" spans="19:55" ht="15.75" customHeight="1">
      <c r="S297" s="454"/>
      <c r="AY297" s="458"/>
      <c r="AZ297" s="458"/>
      <c r="BA297" s="1305"/>
      <c r="BC297" s="169"/>
    </row>
    <row r="298" spans="19:55" ht="15.75" customHeight="1">
      <c r="S298" s="454"/>
      <c r="AY298" s="458"/>
      <c r="AZ298" s="458"/>
      <c r="BA298" s="1305"/>
      <c r="BC298" s="169"/>
    </row>
    <row r="299" spans="19:55" ht="15.75" customHeight="1">
      <c r="S299" s="454"/>
      <c r="AY299" s="458"/>
      <c r="AZ299" s="458"/>
      <c r="BA299" s="1305"/>
      <c r="BC299" s="169"/>
    </row>
    <row r="300" spans="19:55" ht="15.75" customHeight="1">
      <c r="S300" s="454"/>
      <c r="AY300" s="458"/>
      <c r="AZ300" s="458"/>
      <c r="BA300" s="1305"/>
      <c r="BC300" s="169"/>
    </row>
    <row r="301" spans="19:55" ht="15.75" customHeight="1">
      <c r="S301" s="454"/>
      <c r="AY301" s="458"/>
      <c r="AZ301" s="458"/>
      <c r="BA301" s="1305"/>
      <c r="BC301" s="169"/>
    </row>
    <row r="302" spans="19:55" ht="15.75" customHeight="1">
      <c r="S302" s="454"/>
      <c r="AY302" s="458"/>
      <c r="AZ302" s="458"/>
      <c r="BA302" s="1305"/>
      <c r="BC302" s="169"/>
    </row>
    <row r="303" spans="19:55" ht="15.75" customHeight="1">
      <c r="S303" s="454"/>
      <c r="AY303" s="458"/>
      <c r="AZ303" s="458"/>
      <c r="BA303" s="1305"/>
      <c r="BC303" s="169"/>
    </row>
    <row r="304" spans="19:55" ht="15.75" customHeight="1">
      <c r="S304" s="454"/>
      <c r="AY304" s="458"/>
      <c r="AZ304" s="458"/>
      <c r="BA304" s="1305"/>
      <c r="BC304" s="169"/>
    </row>
    <row r="305" spans="19:55" ht="15.75" customHeight="1">
      <c r="S305" s="454"/>
      <c r="AY305" s="458"/>
      <c r="AZ305" s="458"/>
      <c r="BA305" s="1305"/>
      <c r="BC305" s="169"/>
    </row>
    <row r="306" spans="19:55" ht="15.75" customHeight="1">
      <c r="S306" s="454"/>
      <c r="AY306" s="458"/>
      <c r="AZ306" s="458"/>
      <c r="BA306" s="1305"/>
      <c r="BC306" s="169"/>
    </row>
    <row r="307" spans="19:55" ht="15.75" customHeight="1">
      <c r="S307" s="454"/>
      <c r="AY307" s="458"/>
      <c r="AZ307" s="458"/>
      <c r="BA307" s="1305"/>
      <c r="BC307" s="169"/>
    </row>
    <row r="308" spans="19:55" ht="15.75" customHeight="1">
      <c r="S308" s="454"/>
      <c r="AY308" s="458"/>
      <c r="AZ308" s="458"/>
      <c r="BA308" s="1305"/>
      <c r="BC308" s="169"/>
    </row>
    <row r="309" spans="19:55" ht="15.75" customHeight="1">
      <c r="S309" s="454"/>
      <c r="AY309" s="458"/>
      <c r="AZ309" s="458"/>
      <c r="BA309" s="1305"/>
      <c r="BC309" s="169"/>
    </row>
    <row r="310" spans="19:55" ht="15.75" customHeight="1">
      <c r="S310" s="454"/>
      <c r="AY310" s="458"/>
      <c r="AZ310" s="458"/>
      <c r="BA310" s="1305"/>
      <c r="BC310" s="169"/>
    </row>
    <row r="311" spans="19:55" ht="15.75" customHeight="1">
      <c r="S311" s="454"/>
      <c r="AY311" s="458"/>
      <c r="AZ311" s="458"/>
      <c r="BA311" s="1305"/>
      <c r="BC311" s="169"/>
    </row>
    <row r="312" spans="19:55" ht="15.75" customHeight="1">
      <c r="S312" s="454"/>
      <c r="AY312" s="458"/>
      <c r="AZ312" s="458"/>
      <c r="BA312" s="1305"/>
      <c r="BC312" s="169"/>
    </row>
    <row r="313" spans="19:55" ht="15.75" customHeight="1">
      <c r="S313" s="454"/>
      <c r="AY313" s="458"/>
      <c r="AZ313" s="458"/>
      <c r="BA313" s="1305"/>
      <c r="BC313" s="169"/>
    </row>
    <row r="314" spans="19:55" ht="15.75" customHeight="1">
      <c r="S314" s="454"/>
      <c r="AY314" s="458"/>
      <c r="AZ314" s="458"/>
      <c r="BA314" s="1305"/>
      <c r="BC314" s="169"/>
    </row>
    <row r="315" spans="19:55" ht="15.75" customHeight="1">
      <c r="S315" s="454"/>
      <c r="AY315" s="458"/>
      <c r="AZ315" s="458"/>
      <c r="BA315" s="1305"/>
      <c r="BC315" s="169"/>
    </row>
    <row r="316" spans="19:55" ht="15.75" customHeight="1">
      <c r="S316" s="454"/>
      <c r="AY316" s="458"/>
      <c r="AZ316" s="458"/>
      <c r="BA316" s="1305"/>
      <c r="BC316" s="169"/>
    </row>
    <row r="317" spans="19:55" ht="15.75" customHeight="1">
      <c r="S317" s="454"/>
      <c r="AY317" s="458"/>
      <c r="AZ317" s="458"/>
      <c r="BA317" s="1305"/>
      <c r="BC317" s="169"/>
    </row>
    <row r="318" spans="19:55" ht="15.75" customHeight="1">
      <c r="S318" s="454"/>
      <c r="AY318" s="458"/>
      <c r="AZ318" s="458"/>
      <c r="BA318" s="1305"/>
      <c r="BC318" s="169"/>
    </row>
    <row r="319" spans="19:55" ht="15.75" customHeight="1">
      <c r="S319" s="454"/>
      <c r="AY319" s="458"/>
      <c r="AZ319" s="458"/>
      <c r="BA319" s="1305"/>
      <c r="BC319" s="169"/>
    </row>
    <row r="320" spans="19:55" ht="15.75" customHeight="1">
      <c r="S320" s="454"/>
      <c r="AY320" s="458"/>
      <c r="AZ320" s="458"/>
      <c r="BA320" s="1305"/>
      <c r="BC320" s="169"/>
    </row>
    <row r="321" spans="19:55" ht="15.75" customHeight="1">
      <c r="S321" s="454"/>
      <c r="AY321" s="458"/>
      <c r="AZ321" s="458"/>
      <c r="BA321" s="1305"/>
      <c r="BC321" s="169"/>
    </row>
    <row r="322" spans="19:55" ht="15.75" customHeight="1">
      <c r="S322" s="454"/>
      <c r="AY322" s="458"/>
      <c r="AZ322" s="458"/>
      <c r="BA322" s="1305"/>
      <c r="BC322" s="169"/>
    </row>
    <row r="323" spans="19:55" ht="15.75" customHeight="1">
      <c r="S323" s="454"/>
      <c r="AY323" s="458"/>
      <c r="AZ323" s="458"/>
      <c r="BA323" s="1305"/>
      <c r="BC323" s="169"/>
    </row>
    <row r="324" spans="19:55" ht="15.75" customHeight="1">
      <c r="S324" s="454"/>
      <c r="AY324" s="458"/>
      <c r="AZ324" s="458"/>
      <c r="BA324" s="1305"/>
      <c r="BC324" s="169"/>
    </row>
    <row r="325" spans="19:55" ht="15.75" customHeight="1">
      <c r="S325" s="454"/>
      <c r="AY325" s="458"/>
      <c r="AZ325" s="458"/>
      <c r="BA325" s="1305"/>
      <c r="BC325" s="169"/>
    </row>
    <row r="326" spans="19:55" ht="15.75" customHeight="1">
      <c r="S326" s="454"/>
      <c r="AY326" s="458"/>
      <c r="AZ326" s="458"/>
      <c r="BA326" s="1305"/>
      <c r="BC326" s="169"/>
    </row>
    <row r="327" spans="19:55" ht="15.75" customHeight="1">
      <c r="S327" s="454"/>
      <c r="AY327" s="458"/>
      <c r="AZ327" s="458"/>
      <c r="BA327" s="1305"/>
      <c r="BC327" s="169"/>
    </row>
    <row r="328" spans="19:55" ht="15.75" customHeight="1">
      <c r="S328" s="454"/>
      <c r="AY328" s="458"/>
      <c r="AZ328" s="458"/>
      <c r="BA328" s="1305"/>
      <c r="BC328" s="169"/>
    </row>
    <row r="329" spans="19:55" ht="15.75" customHeight="1">
      <c r="S329" s="454"/>
      <c r="AY329" s="458"/>
      <c r="AZ329" s="458"/>
      <c r="BA329" s="1305"/>
      <c r="BC329" s="169"/>
    </row>
    <row r="330" spans="19:55" ht="15.75" customHeight="1">
      <c r="S330" s="454"/>
      <c r="AY330" s="458"/>
      <c r="AZ330" s="458"/>
      <c r="BA330" s="1305"/>
      <c r="BC330" s="169"/>
    </row>
    <row r="331" spans="19:55" ht="15.75" customHeight="1">
      <c r="S331" s="454"/>
      <c r="AY331" s="458"/>
      <c r="AZ331" s="458"/>
      <c r="BA331" s="1305"/>
      <c r="BC331" s="169"/>
    </row>
    <row r="332" spans="19:55" ht="15.75" customHeight="1">
      <c r="S332" s="454"/>
      <c r="AY332" s="458"/>
      <c r="AZ332" s="458"/>
      <c r="BA332" s="1305"/>
      <c r="BC332" s="169"/>
    </row>
    <row r="333" spans="19:55" ht="15.75" customHeight="1">
      <c r="S333" s="454"/>
      <c r="AY333" s="458"/>
      <c r="AZ333" s="458"/>
      <c r="BA333" s="1305"/>
      <c r="BC333" s="169"/>
    </row>
    <row r="334" spans="19:55" ht="15.75" customHeight="1">
      <c r="S334" s="454"/>
      <c r="AY334" s="458"/>
      <c r="AZ334" s="458"/>
      <c r="BA334" s="1305"/>
      <c r="BC334" s="169"/>
    </row>
    <row r="335" spans="19:55" ht="15.75" customHeight="1">
      <c r="S335" s="454"/>
      <c r="AY335" s="458"/>
      <c r="AZ335" s="458"/>
      <c r="BA335" s="1305"/>
      <c r="BC335" s="169"/>
    </row>
    <row r="336" spans="19:55" ht="15.75" customHeight="1">
      <c r="S336" s="454"/>
      <c r="AY336" s="458"/>
      <c r="AZ336" s="458"/>
      <c r="BA336" s="1305"/>
      <c r="BC336" s="169"/>
    </row>
    <row r="337" spans="19:55" ht="15.75" customHeight="1">
      <c r="S337" s="454"/>
      <c r="AY337" s="458"/>
      <c r="AZ337" s="458"/>
      <c r="BA337" s="1305"/>
      <c r="BC337" s="169"/>
    </row>
    <row r="338" spans="19:55" ht="15.75" customHeight="1">
      <c r="S338" s="454"/>
      <c r="AY338" s="458"/>
      <c r="AZ338" s="458"/>
      <c r="BA338" s="1305"/>
      <c r="BC338" s="169"/>
    </row>
    <row r="339" spans="19:55" ht="15.75" customHeight="1">
      <c r="S339" s="454"/>
      <c r="AY339" s="458"/>
      <c r="AZ339" s="458"/>
      <c r="BA339" s="1305"/>
      <c r="BC339" s="169"/>
    </row>
    <row r="340" spans="19:55" ht="15.75" customHeight="1">
      <c r="S340" s="454"/>
      <c r="AY340" s="458"/>
      <c r="AZ340" s="458"/>
      <c r="BA340" s="1305"/>
      <c r="BC340" s="169"/>
    </row>
    <row r="341" spans="19:55" ht="15.75" customHeight="1">
      <c r="S341" s="454"/>
      <c r="AY341" s="458"/>
      <c r="AZ341" s="458"/>
      <c r="BA341" s="1305"/>
      <c r="BC341" s="169"/>
    </row>
    <row r="342" spans="19:55" ht="15.75" customHeight="1">
      <c r="S342" s="454"/>
      <c r="AY342" s="458"/>
      <c r="AZ342" s="458"/>
      <c r="BA342" s="1305"/>
      <c r="BC342" s="169"/>
    </row>
    <row r="343" spans="19:55" ht="15.75" customHeight="1">
      <c r="S343" s="454"/>
      <c r="AY343" s="458"/>
      <c r="AZ343" s="458"/>
      <c r="BA343" s="1305"/>
      <c r="BC343" s="169"/>
    </row>
    <row r="344" spans="19:55" ht="15.75" customHeight="1">
      <c r="S344" s="454"/>
      <c r="AY344" s="458"/>
      <c r="AZ344" s="458"/>
      <c r="BA344" s="1305"/>
      <c r="BC344" s="169"/>
    </row>
    <row r="345" spans="19:55" ht="15.75" customHeight="1">
      <c r="S345" s="454"/>
      <c r="AY345" s="458"/>
      <c r="AZ345" s="458"/>
      <c r="BA345" s="1305"/>
      <c r="BC345" s="169"/>
    </row>
    <row r="346" spans="19:55" ht="15.75" customHeight="1">
      <c r="S346" s="454"/>
      <c r="AY346" s="458"/>
      <c r="AZ346" s="458"/>
      <c r="BA346" s="1305"/>
      <c r="BC346" s="169"/>
    </row>
    <row r="347" spans="19:55" ht="15.75" customHeight="1">
      <c r="S347" s="454"/>
      <c r="AY347" s="458"/>
      <c r="AZ347" s="458"/>
      <c r="BA347" s="1305"/>
      <c r="BC347" s="169"/>
    </row>
    <row r="348" spans="19:55" ht="15.75" customHeight="1">
      <c r="S348" s="454"/>
      <c r="AY348" s="458"/>
      <c r="AZ348" s="458"/>
      <c r="BA348" s="1305"/>
      <c r="BC348" s="169"/>
    </row>
    <row r="349" spans="19:55" ht="15.75" customHeight="1">
      <c r="S349" s="454"/>
      <c r="AY349" s="458"/>
      <c r="AZ349" s="458"/>
      <c r="BA349" s="1305"/>
      <c r="BC349" s="169"/>
    </row>
    <row r="350" spans="19:55" ht="15.75" customHeight="1">
      <c r="S350" s="454"/>
      <c r="AY350" s="458"/>
      <c r="AZ350" s="458"/>
      <c r="BA350" s="1305"/>
      <c r="BC350" s="169"/>
    </row>
    <row r="351" spans="19:55" ht="15.75" customHeight="1">
      <c r="S351" s="454"/>
      <c r="AY351" s="458"/>
      <c r="AZ351" s="458"/>
      <c r="BA351" s="1305"/>
      <c r="BC351" s="169"/>
    </row>
    <row r="352" spans="19:55" ht="15.75" customHeight="1">
      <c r="S352" s="454"/>
      <c r="AY352" s="458"/>
      <c r="AZ352" s="458"/>
      <c r="BA352" s="1305"/>
      <c r="BC352" s="169"/>
    </row>
    <row r="353" spans="19:55" ht="15.75" customHeight="1">
      <c r="S353" s="454"/>
      <c r="AY353" s="458"/>
      <c r="AZ353" s="458"/>
      <c r="BA353" s="1305"/>
      <c r="BC353" s="169"/>
    </row>
    <row r="354" spans="19:55" ht="15.75" customHeight="1">
      <c r="S354" s="454"/>
      <c r="AY354" s="458"/>
      <c r="AZ354" s="458"/>
      <c r="BA354" s="1305"/>
      <c r="BC354" s="169"/>
    </row>
    <row r="355" spans="19:55" ht="15.75" customHeight="1">
      <c r="S355" s="454"/>
      <c r="AY355" s="458"/>
      <c r="AZ355" s="458"/>
      <c r="BA355" s="1305"/>
      <c r="BC355" s="169"/>
    </row>
    <row r="356" spans="19:55" ht="15.75" customHeight="1">
      <c r="S356" s="454"/>
      <c r="AY356" s="458"/>
      <c r="AZ356" s="458"/>
      <c r="BA356" s="1305"/>
      <c r="BC356" s="169"/>
    </row>
    <row r="357" spans="19:55" ht="15.75" customHeight="1">
      <c r="S357" s="454"/>
      <c r="AY357" s="458"/>
      <c r="AZ357" s="458"/>
      <c r="BA357" s="1305"/>
      <c r="BC357" s="169"/>
    </row>
    <row r="358" spans="19:55" ht="15.75" customHeight="1">
      <c r="S358" s="454"/>
      <c r="AY358" s="458"/>
      <c r="AZ358" s="458"/>
      <c r="BA358" s="1305"/>
      <c r="BC358" s="169"/>
    </row>
    <row r="359" spans="19:55" ht="15.75" customHeight="1">
      <c r="S359" s="454"/>
      <c r="AY359" s="458"/>
      <c r="AZ359" s="458"/>
      <c r="BA359" s="1305"/>
      <c r="BC359" s="169"/>
    </row>
    <row r="360" spans="19:55" ht="15.75" customHeight="1">
      <c r="S360" s="454"/>
      <c r="AY360" s="458"/>
      <c r="AZ360" s="458"/>
      <c r="BA360" s="1305"/>
      <c r="BC360" s="169"/>
    </row>
    <row r="361" spans="19:55" ht="15.75" customHeight="1">
      <c r="S361" s="454"/>
      <c r="AY361" s="458"/>
      <c r="AZ361" s="458"/>
      <c r="BA361" s="1305"/>
      <c r="BC361" s="169"/>
    </row>
    <row r="362" spans="19:55" ht="15.75" customHeight="1">
      <c r="S362" s="454"/>
      <c r="AY362" s="458"/>
      <c r="AZ362" s="458"/>
      <c r="BA362" s="1305"/>
      <c r="BC362" s="169"/>
    </row>
    <row r="363" spans="19:55" ht="15.75" customHeight="1">
      <c r="S363" s="454"/>
      <c r="AY363" s="458"/>
      <c r="AZ363" s="458"/>
      <c r="BA363" s="1305"/>
      <c r="BC363" s="169"/>
    </row>
    <row r="364" spans="19:55" ht="15.75" customHeight="1">
      <c r="S364" s="454"/>
      <c r="AY364" s="458"/>
      <c r="AZ364" s="458"/>
      <c r="BA364" s="1305"/>
      <c r="BC364" s="169"/>
    </row>
    <row r="365" spans="19:55" ht="15.75" customHeight="1">
      <c r="S365" s="454"/>
      <c r="AY365" s="458"/>
      <c r="AZ365" s="458"/>
      <c r="BA365" s="1305"/>
      <c r="BC365" s="169"/>
    </row>
    <row r="366" spans="19:55" ht="15.75" customHeight="1">
      <c r="S366" s="454"/>
      <c r="AY366" s="458"/>
      <c r="AZ366" s="458"/>
      <c r="BA366" s="1305"/>
      <c r="BC366" s="169"/>
    </row>
    <row r="367" spans="19:55" ht="15.75" customHeight="1">
      <c r="S367" s="454"/>
      <c r="AY367" s="458"/>
      <c r="AZ367" s="458"/>
      <c r="BA367" s="1305"/>
      <c r="BC367" s="169"/>
    </row>
    <row r="368" spans="19:55" ht="15.75" customHeight="1">
      <c r="S368" s="454"/>
      <c r="AY368" s="458"/>
      <c r="AZ368" s="458"/>
      <c r="BA368" s="1305"/>
      <c r="BC368" s="169"/>
    </row>
    <row r="369" spans="19:55" ht="15.75" customHeight="1">
      <c r="S369" s="454"/>
      <c r="AY369" s="458"/>
      <c r="AZ369" s="458"/>
      <c r="BA369" s="1305"/>
      <c r="BC369" s="169"/>
    </row>
    <row r="370" spans="19:55" ht="15.75" customHeight="1">
      <c r="S370" s="454"/>
      <c r="AY370" s="458"/>
      <c r="AZ370" s="458"/>
      <c r="BA370" s="1305"/>
      <c r="BC370" s="169"/>
    </row>
    <row r="371" spans="19:55" ht="15.75" customHeight="1">
      <c r="S371" s="454"/>
      <c r="AY371" s="458"/>
      <c r="AZ371" s="458"/>
      <c r="BA371" s="1305"/>
      <c r="BC371" s="169"/>
    </row>
    <row r="372" spans="19:55" ht="15.75" customHeight="1">
      <c r="S372" s="454"/>
      <c r="AY372" s="458"/>
      <c r="AZ372" s="458"/>
      <c r="BA372" s="1305"/>
      <c r="BC372" s="169"/>
    </row>
    <row r="373" spans="19:55" ht="15.75" customHeight="1">
      <c r="S373" s="454"/>
      <c r="AY373" s="458"/>
      <c r="AZ373" s="458"/>
      <c r="BA373" s="1305"/>
      <c r="BC373" s="169"/>
    </row>
    <row r="374" spans="19:55" ht="15.75" customHeight="1">
      <c r="S374" s="454"/>
      <c r="AY374" s="458"/>
      <c r="AZ374" s="458"/>
      <c r="BA374" s="1305"/>
      <c r="BC374" s="169"/>
    </row>
    <row r="375" spans="19:55" ht="15.75" customHeight="1">
      <c r="S375" s="454"/>
      <c r="AY375" s="458"/>
      <c r="AZ375" s="458"/>
      <c r="BA375" s="1305"/>
      <c r="BC375" s="169"/>
    </row>
    <row r="376" spans="19:55" ht="15.75" customHeight="1">
      <c r="S376" s="454"/>
      <c r="AY376" s="458"/>
      <c r="AZ376" s="458"/>
      <c r="BA376" s="1305"/>
      <c r="BC376" s="169"/>
    </row>
    <row r="377" spans="19:55" ht="15.75" customHeight="1">
      <c r="S377" s="454"/>
      <c r="AY377" s="458"/>
      <c r="AZ377" s="458"/>
      <c r="BA377" s="1305"/>
      <c r="BC377" s="169"/>
    </row>
    <row r="378" spans="19:55" ht="15.75" customHeight="1">
      <c r="S378" s="454"/>
      <c r="AY378" s="458"/>
      <c r="AZ378" s="458"/>
      <c r="BA378" s="1305"/>
      <c r="BC378" s="169"/>
    </row>
    <row r="379" spans="19:55" ht="15.75" customHeight="1">
      <c r="S379" s="454"/>
      <c r="AY379" s="458"/>
      <c r="AZ379" s="458"/>
      <c r="BA379" s="1305"/>
      <c r="BC379" s="169"/>
    </row>
    <row r="380" spans="19:55" ht="15.75" customHeight="1">
      <c r="S380" s="454"/>
      <c r="AY380" s="458"/>
      <c r="AZ380" s="458"/>
      <c r="BA380" s="1305"/>
      <c r="BC380" s="169"/>
    </row>
    <row r="381" spans="19:55" ht="15.75" customHeight="1">
      <c r="S381" s="454"/>
      <c r="AY381" s="458"/>
      <c r="AZ381" s="458"/>
      <c r="BA381" s="1305"/>
      <c r="BC381" s="169"/>
    </row>
    <row r="382" spans="19:55" ht="15.75" customHeight="1">
      <c r="S382" s="454"/>
      <c r="AY382" s="458"/>
      <c r="AZ382" s="458"/>
      <c r="BA382" s="1305"/>
      <c r="BC382" s="169"/>
    </row>
    <row r="383" spans="19:55" ht="15.75" customHeight="1">
      <c r="S383" s="454"/>
      <c r="AY383" s="458"/>
      <c r="AZ383" s="458"/>
      <c r="BA383" s="1305"/>
      <c r="BC383" s="169"/>
    </row>
    <row r="384" spans="19:55" ht="15.75" customHeight="1">
      <c r="S384" s="454"/>
      <c r="AY384" s="458"/>
      <c r="AZ384" s="458"/>
      <c r="BA384" s="1305"/>
      <c r="BC384" s="169"/>
    </row>
    <row r="385" spans="19:55" ht="15.75" customHeight="1">
      <c r="S385" s="454"/>
      <c r="AY385" s="458"/>
      <c r="AZ385" s="458"/>
      <c r="BA385" s="1305"/>
      <c r="BC385" s="169"/>
    </row>
    <row r="386" spans="19:55" ht="15.75" customHeight="1">
      <c r="S386" s="454"/>
      <c r="AY386" s="458"/>
      <c r="AZ386" s="458"/>
      <c r="BA386" s="1305"/>
      <c r="BC386" s="169"/>
    </row>
    <row r="387" spans="19:55" ht="15.75" customHeight="1">
      <c r="S387" s="454"/>
      <c r="AY387" s="458"/>
      <c r="AZ387" s="458"/>
      <c r="BA387" s="1305"/>
      <c r="BC387" s="169"/>
    </row>
    <row r="388" spans="19:55" ht="15.75" customHeight="1">
      <c r="S388" s="454"/>
      <c r="AY388" s="458"/>
      <c r="AZ388" s="458"/>
      <c r="BA388" s="1305"/>
      <c r="BC388" s="169"/>
    </row>
    <row r="389" spans="19:55" ht="15.75" customHeight="1">
      <c r="S389" s="454"/>
      <c r="AY389" s="458"/>
      <c r="AZ389" s="458"/>
      <c r="BA389" s="1305"/>
      <c r="BC389" s="169"/>
    </row>
    <row r="390" spans="19:55" ht="15.75" customHeight="1">
      <c r="S390" s="454"/>
      <c r="AY390" s="458"/>
      <c r="AZ390" s="458"/>
      <c r="BA390" s="1305"/>
      <c r="BC390" s="169"/>
    </row>
    <row r="391" spans="19:55" ht="15.75" customHeight="1">
      <c r="S391" s="454"/>
      <c r="AY391" s="458"/>
      <c r="AZ391" s="458"/>
      <c r="BA391" s="1305"/>
      <c r="BC391" s="169"/>
    </row>
    <row r="392" spans="19:55" ht="15.75" customHeight="1">
      <c r="S392" s="454"/>
      <c r="AY392" s="458"/>
      <c r="AZ392" s="458"/>
      <c r="BA392" s="1305"/>
      <c r="BC392" s="169"/>
    </row>
    <row r="393" spans="19:55" ht="15.75" customHeight="1">
      <c r="S393" s="454"/>
      <c r="AY393" s="458"/>
      <c r="AZ393" s="458"/>
      <c r="BA393" s="1305"/>
      <c r="BC393" s="169"/>
    </row>
    <row r="394" spans="19:55" ht="15.75" customHeight="1">
      <c r="S394" s="454"/>
      <c r="AY394" s="458"/>
      <c r="AZ394" s="458"/>
      <c r="BA394" s="1305"/>
      <c r="BC394" s="169"/>
    </row>
    <row r="395" spans="19:55" ht="15.75" customHeight="1">
      <c r="S395" s="454"/>
      <c r="AY395" s="458"/>
      <c r="AZ395" s="458"/>
      <c r="BA395" s="1305"/>
      <c r="BC395" s="169"/>
    </row>
    <row r="396" spans="19:55" ht="15.75" customHeight="1">
      <c r="S396" s="454"/>
      <c r="AY396" s="458"/>
      <c r="AZ396" s="458"/>
      <c r="BA396" s="1305"/>
      <c r="BC396" s="169"/>
    </row>
    <row r="397" spans="19:55" ht="15.75" customHeight="1">
      <c r="S397" s="454"/>
      <c r="AY397" s="458"/>
      <c r="AZ397" s="458"/>
      <c r="BA397" s="1305"/>
      <c r="BC397" s="169"/>
    </row>
    <row r="398" spans="19:55" ht="15.75" customHeight="1">
      <c r="S398" s="454"/>
      <c r="AY398" s="458"/>
      <c r="AZ398" s="458"/>
      <c r="BA398" s="1305"/>
      <c r="BC398" s="169"/>
    </row>
    <row r="399" spans="19:55" ht="15.75" customHeight="1">
      <c r="S399" s="454"/>
      <c r="AY399" s="458"/>
      <c r="AZ399" s="458"/>
      <c r="BA399" s="1305"/>
      <c r="BC399" s="169"/>
    </row>
    <row r="400" spans="19:55" ht="15.75" customHeight="1">
      <c r="S400" s="454"/>
      <c r="AY400" s="458"/>
      <c r="AZ400" s="458"/>
      <c r="BA400" s="1305"/>
      <c r="BC400" s="169"/>
    </row>
    <row r="401" spans="19:55" ht="15.75" customHeight="1">
      <c r="S401" s="454"/>
      <c r="AY401" s="458"/>
      <c r="AZ401" s="458"/>
      <c r="BA401" s="1305"/>
      <c r="BC401" s="169"/>
    </row>
    <row r="402" spans="19:55" ht="15.75" customHeight="1">
      <c r="S402" s="454"/>
      <c r="AY402" s="458"/>
      <c r="AZ402" s="458"/>
      <c r="BA402" s="1305"/>
      <c r="BC402" s="169"/>
    </row>
    <row r="403" spans="19:55" ht="15.75" customHeight="1">
      <c r="S403" s="454"/>
      <c r="AY403" s="458"/>
      <c r="AZ403" s="458"/>
      <c r="BA403" s="1305"/>
      <c r="BC403" s="169"/>
    </row>
    <row r="404" spans="19:55" ht="15.75" customHeight="1">
      <c r="S404" s="454"/>
      <c r="AY404" s="458"/>
      <c r="AZ404" s="458"/>
      <c r="BA404" s="1305"/>
      <c r="BC404" s="169"/>
    </row>
    <row r="405" spans="19:55" ht="15.75" customHeight="1">
      <c r="S405" s="454"/>
      <c r="AY405" s="458"/>
      <c r="AZ405" s="458"/>
      <c r="BA405" s="1305"/>
      <c r="BC405" s="169"/>
    </row>
    <row r="406" spans="19:55" ht="15.75" customHeight="1">
      <c r="S406" s="454"/>
      <c r="AY406" s="458"/>
      <c r="AZ406" s="458"/>
      <c r="BA406" s="1305"/>
      <c r="BC406" s="169"/>
    </row>
    <row r="407" spans="19:55" ht="15.75" customHeight="1">
      <c r="S407" s="454"/>
      <c r="AY407" s="458"/>
      <c r="AZ407" s="458"/>
      <c r="BA407" s="1305"/>
      <c r="BC407" s="169"/>
    </row>
    <row r="408" spans="19:55" ht="15.75" customHeight="1">
      <c r="S408" s="454"/>
      <c r="AY408" s="458"/>
      <c r="AZ408" s="458"/>
      <c r="BA408" s="1305"/>
      <c r="BC408" s="169"/>
    </row>
    <row r="409" spans="19:55" ht="15.75" customHeight="1">
      <c r="S409" s="454"/>
      <c r="AY409" s="458"/>
      <c r="AZ409" s="458"/>
      <c r="BA409" s="1305"/>
      <c r="BC409" s="169"/>
    </row>
    <row r="410" spans="19:55" ht="15.75" customHeight="1">
      <c r="S410" s="454"/>
      <c r="AY410" s="458"/>
      <c r="AZ410" s="458"/>
      <c r="BA410" s="1305"/>
      <c r="BC410" s="169"/>
    </row>
    <row r="411" spans="19:55" ht="15.75" customHeight="1">
      <c r="S411" s="454"/>
      <c r="AY411" s="458"/>
      <c r="AZ411" s="458"/>
      <c r="BA411" s="1305"/>
      <c r="BC411" s="169"/>
    </row>
    <row r="412" spans="19:55" ht="15.75" customHeight="1">
      <c r="S412" s="454"/>
      <c r="AY412" s="458"/>
      <c r="AZ412" s="458"/>
      <c r="BA412" s="1305"/>
      <c r="BC412" s="169"/>
    </row>
    <row r="413" spans="19:55" ht="15.75" customHeight="1">
      <c r="S413" s="454"/>
      <c r="AY413" s="458"/>
      <c r="AZ413" s="458"/>
      <c r="BA413" s="1305"/>
      <c r="BC413" s="169"/>
    </row>
    <row r="414" spans="19:55" ht="15.75" customHeight="1">
      <c r="S414" s="454"/>
      <c r="AY414" s="458"/>
      <c r="AZ414" s="458"/>
      <c r="BA414" s="1305"/>
      <c r="BC414" s="169"/>
    </row>
    <row r="415" spans="19:55" ht="15.75" customHeight="1">
      <c r="S415" s="454"/>
      <c r="AY415" s="458"/>
      <c r="AZ415" s="458"/>
      <c r="BA415" s="1305"/>
      <c r="BC415" s="169"/>
    </row>
    <row r="416" spans="19:55" ht="15.75" customHeight="1">
      <c r="S416" s="454"/>
      <c r="AY416" s="458"/>
      <c r="AZ416" s="458"/>
      <c r="BA416" s="1305"/>
      <c r="BC416" s="169"/>
    </row>
    <row r="417" spans="19:55" ht="15.75" customHeight="1">
      <c r="S417" s="454"/>
      <c r="AY417" s="458"/>
      <c r="AZ417" s="458"/>
      <c r="BA417" s="1305"/>
      <c r="BC417" s="169"/>
    </row>
    <row r="418" spans="19:55" ht="15.75" customHeight="1">
      <c r="S418" s="454"/>
      <c r="AY418" s="458"/>
      <c r="AZ418" s="458"/>
      <c r="BA418" s="1305"/>
      <c r="BC418" s="169"/>
    </row>
    <row r="419" spans="19:55" ht="15.75" customHeight="1">
      <c r="S419" s="454"/>
      <c r="AY419" s="458"/>
      <c r="AZ419" s="458"/>
      <c r="BA419" s="1305"/>
      <c r="BC419" s="169"/>
    </row>
    <row r="420" spans="19:55" ht="15.75" customHeight="1">
      <c r="S420" s="454"/>
      <c r="AY420" s="458"/>
      <c r="AZ420" s="458"/>
      <c r="BA420" s="1305"/>
      <c r="BC420" s="169"/>
    </row>
    <row r="421" spans="19:55" ht="15.75" customHeight="1">
      <c r="S421" s="454"/>
      <c r="AY421" s="458"/>
      <c r="AZ421" s="458"/>
      <c r="BA421" s="1305"/>
      <c r="BC421" s="169"/>
    </row>
    <row r="422" spans="19:55" ht="15.75" customHeight="1">
      <c r="S422" s="454"/>
      <c r="AY422" s="458"/>
      <c r="AZ422" s="458"/>
      <c r="BA422" s="1305"/>
      <c r="BC422" s="169"/>
    </row>
    <row r="423" spans="19:55" ht="15.75" customHeight="1">
      <c r="S423" s="454"/>
      <c r="AY423" s="458"/>
      <c r="AZ423" s="458"/>
      <c r="BA423" s="1305"/>
      <c r="BC423" s="169"/>
    </row>
    <row r="424" spans="19:55" ht="15.75" customHeight="1">
      <c r="S424" s="454"/>
      <c r="AY424" s="458"/>
      <c r="AZ424" s="458"/>
      <c r="BA424" s="1305"/>
      <c r="BC424" s="169"/>
    </row>
    <row r="425" spans="19:55" ht="15.75" customHeight="1">
      <c r="S425" s="454"/>
      <c r="AY425" s="458"/>
      <c r="AZ425" s="458"/>
      <c r="BA425" s="1305"/>
      <c r="BC425" s="169"/>
    </row>
    <row r="426" spans="19:55" ht="15.75" customHeight="1">
      <c r="S426" s="454"/>
      <c r="AY426" s="458"/>
      <c r="AZ426" s="458"/>
      <c r="BA426" s="1305"/>
      <c r="BC426" s="169"/>
    </row>
    <row r="427" spans="19:55" ht="15.75" customHeight="1">
      <c r="S427" s="454"/>
      <c r="AY427" s="458"/>
      <c r="AZ427" s="458"/>
      <c r="BA427" s="1305"/>
      <c r="BC427" s="169"/>
    </row>
    <row r="428" spans="19:55" ht="15.75" customHeight="1">
      <c r="S428" s="454"/>
      <c r="AY428" s="458"/>
      <c r="AZ428" s="458"/>
      <c r="BA428" s="1305"/>
      <c r="BC428" s="169"/>
    </row>
    <row r="429" spans="19:55" ht="15.75" customHeight="1">
      <c r="S429" s="454"/>
      <c r="AY429" s="458"/>
      <c r="AZ429" s="458"/>
      <c r="BA429" s="1305"/>
      <c r="BC429" s="169"/>
    </row>
    <row r="430" spans="19:55" ht="15.75" customHeight="1">
      <c r="S430" s="454"/>
      <c r="AY430" s="458"/>
      <c r="AZ430" s="458"/>
      <c r="BA430" s="1305"/>
      <c r="BC430" s="169"/>
    </row>
    <row r="431" spans="19:55" ht="15.75" customHeight="1">
      <c r="S431" s="454"/>
      <c r="AY431" s="458"/>
      <c r="AZ431" s="458"/>
      <c r="BA431" s="1305"/>
      <c r="BC431" s="169"/>
    </row>
    <row r="432" spans="19:55" ht="15.75" customHeight="1">
      <c r="S432" s="454"/>
      <c r="AY432" s="458"/>
      <c r="AZ432" s="458"/>
      <c r="BA432" s="1305"/>
      <c r="BC432" s="169"/>
    </row>
    <row r="433" spans="19:55" ht="15.75" customHeight="1">
      <c r="S433" s="454"/>
      <c r="AY433" s="458"/>
      <c r="AZ433" s="458"/>
      <c r="BA433" s="1305"/>
      <c r="BC433" s="169"/>
    </row>
    <row r="434" spans="19:55" ht="15.75" customHeight="1">
      <c r="S434" s="454"/>
      <c r="AY434" s="458"/>
      <c r="AZ434" s="458"/>
      <c r="BA434" s="1305"/>
      <c r="BC434" s="169"/>
    </row>
    <row r="435" spans="19:55" ht="15.75" customHeight="1">
      <c r="S435" s="454"/>
      <c r="AY435" s="458"/>
      <c r="AZ435" s="458"/>
      <c r="BA435" s="1305"/>
      <c r="BC435" s="169"/>
    </row>
    <row r="436" spans="19:55" ht="15.75" customHeight="1">
      <c r="S436" s="454"/>
      <c r="AY436" s="458"/>
      <c r="AZ436" s="458"/>
      <c r="BA436" s="1305"/>
      <c r="BC436" s="169"/>
    </row>
    <row r="437" spans="19:55" ht="15.75" customHeight="1">
      <c r="S437" s="454"/>
      <c r="AY437" s="458"/>
      <c r="AZ437" s="458"/>
      <c r="BA437" s="1305"/>
      <c r="BC437" s="169"/>
    </row>
    <row r="438" spans="19:55" ht="15.75" customHeight="1">
      <c r="S438" s="454"/>
      <c r="AY438" s="458"/>
      <c r="AZ438" s="458"/>
      <c r="BA438" s="1305"/>
      <c r="BC438" s="169"/>
    </row>
    <row r="439" spans="19:55" ht="15.75" customHeight="1">
      <c r="S439" s="454"/>
      <c r="AY439" s="458"/>
      <c r="AZ439" s="458"/>
      <c r="BA439" s="1305"/>
      <c r="BC439" s="169"/>
    </row>
    <row r="440" spans="19:55" ht="15.75" customHeight="1">
      <c r="S440" s="454"/>
      <c r="AY440" s="458"/>
      <c r="AZ440" s="458"/>
      <c r="BA440" s="1305"/>
      <c r="BC440" s="169"/>
    </row>
    <row r="441" spans="19:55" ht="15.75" customHeight="1">
      <c r="S441" s="454"/>
      <c r="AY441" s="458"/>
      <c r="AZ441" s="458"/>
      <c r="BA441" s="1305"/>
      <c r="BC441" s="169"/>
    </row>
    <row r="442" spans="19:55" ht="15.75" customHeight="1">
      <c r="S442" s="454"/>
      <c r="AY442" s="458"/>
      <c r="AZ442" s="458"/>
      <c r="BA442" s="1305"/>
      <c r="BC442" s="169"/>
    </row>
    <row r="443" spans="19:55" ht="15.75" customHeight="1">
      <c r="S443" s="454"/>
      <c r="AY443" s="458"/>
      <c r="AZ443" s="458"/>
      <c r="BA443" s="1305"/>
      <c r="BC443" s="169"/>
    </row>
    <row r="444" spans="19:55" ht="15.75" customHeight="1">
      <c r="S444" s="454"/>
      <c r="AY444" s="458"/>
      <c r="AZ444" s="458"/>
      <c r="BA444" s="1305"/>
      <c r="BC444" s="169"/>
    </row>
    <row r="445" spans="19:55" ht="15.75" customHeight="1">
      <c r="S445" s="454"/>
      <c r="AY445" s="458"/>
      <c r="AZ445" s="458"/>
      <c r="BA445" s="1305"/>
      <c r="BC445" s="169"/>
    </row>
    <row r="446" spans="19:55" ht="15.75" customHeight="1">
      <c r="S446" s="454"/>
      <c r="AY446" s="458"/>
      <c r="AZ446" s="458"/>
      <c r="BA446" s="1305"/>
      <c r="BC446" s="169"/>
    </row>
    <row r="447" spans="19:55" ht="15.75" customHeight="1">
      <c r="S447" s="454"/>
      <c r="AY447" s="458"/>
      <c r="AZ447" s="458"/>
      <c r="BA447" s="1305"/>
      <c r="BC447" s="169"/>
    </row>
    <row r="448" spans="19:55" ht="15.75" customHeight="1">
      <c r="S448" s="454"/>
      <c r="AY448" s="458"/>
      <c r="AZ448" s="458"/>
      <c r="BA448" s="1305"/>
      <c r="BC448" s="169"/>
    </row>
    <row r="449" spans="19:55" ht="15.75" customHeight="1">
      <c r="S449" s="454"/>
      <c r="AY449" s="458"/>
      <c r="AZ449" s="458"/>
      <c r="BA449" s="1305"/>
      <c r="BC449" s="169"/>
    </row>
    <row r="450" spans="19:55" ht="15.75" customHeight="1">
      <c r="S450" s="454"/>
      <c r="AY450" s="458"/>
      <c r="AZ450" s="458"/>
      <c r="BA450" s="1305"/>
      <c r="BC450" s="169"/>
    </row>
    <row r="451" spans="19:55" ht="15.75" customHeight="1">
      <c r="S451" s="454"/>
      <c r="AY451" s="458"/>
      <c r="AZ451" s="458"/>
      <c r="BA451" s="1305"/>
      <c r="BC451" s="169"/>
    </row>
    <row r="452" spans="19:55" ht="15.75" customHeight="1">
      <c r="S452" s="454"/>
      <c r="AY452" s="458"/>
      <c r="AZ452" s="458"/>
      <c r="BA452" s="1305"/>
      <c r="BC452" s="169"/>
    </row>
    <row r="453" spans="19:55" ht="15.75" customHeight="1">
      <c r="S453" s="454"/>
      <c r="AY453" s="458"/>
      <c r="AZ453" s="458"/>
      <c r="BA453" s="1305"/>
      <c r="BC453" s="169"/>
    </row>
    <row r="454" spans="19:55" ht="15.75" customHeight="1">
      <c r="S454" s="454"/>
      <c r="AY454" s="458"/>
      <c r="AZ454" s="458"/>
      <c r="BA454" s="1305"/>
      <c r="BC454" s="169"/>
    </row>
    <row r="455" spans="19:55" ht="15.75" customHeight="1">
      <c r="S455" s="454"/>
      <c r="AY455" s="458"/>
      <c r="AZ455" s="458"/>
      <c r="BA455" s="1305"/>
      <c r="BC455" s="169"/>
    </row>
    <row r="456" spans="19:55" ht="15.75" customHeight="1">
      <c r="S456" s="454"/>
      <c r="AY456" s="458"/>
      <c r="AZ456" s="458"/>
      <c r="BA456" s="1305"/>
      <c r="BC456" s="169"/>
    </row>
    <row r="457" spans="19:55" ht="15.75" customHeight="1">
      <c r="S457" s="454"/>
      <c r="AY457" s="458"/>
      <c r="AZ457" s="458"/>
      <c r="BA457" s="1305"/>
      <c r="BC457" s="169"/>
    </row>
    <row r="458" spans="19:55" ht="15.75" customHeight="1">
      <c r="S458" s="454"/>
      <c r="AY458" s="458"/>
      <c r="AZ458" s="458"/>
      <c r="BA458" s="1305"/>
      <c r="BC458" s="169"/>
    </row>
    <row r="459" spans="19:55" ht="15.75" customHeight="1">
      <c r="S459" s="454"/>
      <c r="AY459" s="458"/>
      <c r="AZ459" s="458"/>
      <c r="BA459" s="1305"/>
      <c r="BC459" s="169"/>
    </row>
    <row r="460" spans="19:55" ht="15.75" customHeight="1">
      <c r="S460" s="454"/>
      <c r="AY460" s="458"/>
      <c r="AZ460" s="458"/>
      <c r="BA460" s="1305"/>
      <c r="BC460" s="169"/>
    </row>
    <row r="461" spans="19:55" ht="15.75" customHeight="1">
      <c r="S461" s="454"/>
      <c r="AY461" s="458"/>
      <c r="AZ461" s="458"/>
      <c r="BA461" s="1305"/>
      <c r="BC461" s="169"/>
    </row>
    <row r="462" spans="19:55" ht="15.75" customHeight="1">
      <c r="S462" s="454"/>
      <c r="AY462" s="458"/>
      <c r="AZ462" s="458"/>
      <c r="BA462" s="1305"/>
      <c r="BC462" s="169"/>
    </row>
    <row r="463" spans="19:55" ht="15.75" customHeight="1">
      <c r="S463" s="454"/>
      <c r="AY463" s="458"/>
      <c r="AZ463" s="458"/>
      <c r="BA463" s="1305"/>
      <c r="BC463" s="169"/>
    </row>
    <row r="464" spans="19:55" ht="15.75" customHeight="1">
      <c r="S464" s="454"/>
      <c r="AY464" s="458"/>
      <c r="AZ464" s="458"/>
      <c r="BA464" s="1305"/>
      <c r="BC464" s="169"/>
    </row>
    <row r="465" spans="19:55" ht="15.75" customHeight="1">
      <c r="S465" s="454"/>
      <c r="AY465" s="458"/>
      <c r="AZ465" s="458"/>
      <c r="BA465" s="1305"/>
      <c r="BC465" s="169"/>
    </row>
    <row r="466" spans="19:55" ht="15.75" customHeight="1">
      <c r="S466" s="454"/>
      <c r="AY466" s="458"/>
      <c r="AZ466" s="458"/>
      <c r="BA466" s="1305"/>
      <c r="BC466" s="169"/>
    </row>
    <row r="467" spans="19:55" ht="15.75" customHeight="1">
      <c r="S467" s="454"/>
      <c r="AY467" s="458"/>
      <c r="AZ467" s="458"/>
      <c r="BA467" s="1305"/>
      <c r="BC467" s="169"/>
    </row>
    <row r="468" spans="19:55" ht="15.75" customHeight="1">
      <c r="S468" s="454"/>
      <c r="AV468" s="177"/>
      <c r="AW468" s="177"/>
      <c r="AX468" s="177"/>
      <c r="AY468" s="458"/>
      <c r="AZ468" s="458"/>
      <c r="BA468" s="1307"/>
      <c r="BC468" s="169"/>
    </row>
    <row r="469" spans="19:55" ht="15.75" customHeight="1">
      <c r="S469" s="454"/>
      <c r="AV469" s="177"/>
      <c r="AW469" s="177"/>
      <c r="AX469" s="177"/>
      <c r="AY469" s="458"/>
      <c r="AZ469" s="458"/>
      <c r="BA469" s="1307"/>
      <c r="BC469" s="169"/>
    </row>
    <row r="470" spans="19:55" ht="15.75" customHeight="1">
      <c r="S470" s="454"/>
      <c r="AU470" s="177"/>
      <c r="AV470" s="177"/>
      <c r="AW470" s="177"/>
      <c r="AX470" s="177"/>
      <c r="AY470" s="458"/>
      <c r="AZ470" s="458"/>
      <c r="BA470" s="1307"/>
      <c r="BC470" s="169"/>
    </row>
    <row r="471" spans="19:55" ht="15.75" customHeight="1">
      <c r="S471" s="454"/>
      <c r="AU471" s="177"/>
      <c r="AV471" s="177"/>
      <c r="AW471" s="177"/>
      <c r="AX471" s="177"/>
      <c r="AY471" s="458"/>
      <c r="AZ471" s="458"/>
      <c r="BA471" s="1307"/>
      <c r="BC471" s="169"/>
    </row>
    <row r="472" spans="19:55" ht="15.75" customHeight="1">
      <c r="S472" s="454"/>
      <c r="AU472" s="177"/>
      <c r="AV472" s="177"/>
      <c r="AW472" s="177"/>
      <c r="AX472" s="177"/>
      <c r="AY472" s="458"/>
      <c r="AZ472" s="458"/>
      <c r="BA472" s="1307"/>
      <c r="BC472" s="169"/>
    </row>
    <row r="473" spans="19:55" ht="15.75" customHeight="1">
      <c r="S473" s="454"/>
      <c r="AU473" s="177"/>
      <c r="AV473" s="177"/>
      <c r="AW473" s="177"/>
      <c r="AX473" s="177"/>
      <c r="AY473" s="458"/>
      <c r="AZ473" s="458"/>
      <c r="BA473" s="1307"/>
      <c r="BC473" s="169"/>
    </row>
    <row r="474" spans="19:55" ht="15.75" customHeight="1">
      <c r="S474" s="454"/>
      <c r="AU474" s="177"/>
      <c r="AV474" s="177"/>
      <c r="AW474" s="177"/>
      <c r="AX474" s="177"/>
      <c r="AY474" s="458"/>
      <c r="AZ474" s="458"/>
      <c r="BA474" s="1307"/>
      <c r="BC474" s="169"/>
    </row>
    <row r="475" spans="19:55" ht="15.75" customHeight="1">
      <c r="S475" s="454"/>
      <c r="AU475" s="177"/>
      <c r="AV475" s="177"/>
      <c r="AW475" s="177"/>
      <c r="AX475" s="177"/>
      <c r="AY475" s="458"/>
      <c r="AZ475" s="458"/>
      <c r="BA475" s="1307"/>
      <c r="BC475" s="169"/>
    </row>
    <row r="476" spans="19:55" ht="15.75" customHeight="1">
      <c r="S476" s="454"/>
      <c r="AU476" s="177"/>
      <c r="AV476" s="177"/>
      <c r="AW476" s="177"/>
      <c r="AX476" s="177"/>
      <c r="AY476" s="458"/>
      <c r="AZ476" s="458"/>
      <c r="BA476" s="1307"/>
      <c r="BC476" s="169"/>
    </row>
    <row r="477" spans="19:55" ht="15.75" customHeight="1">
      <c r="S477" s="454"/>
      <c r="AU477" s="177"/>
      <c r="AV477" s="177"/>
      <c r="AW477" s="177"/>
      <c r="AX477" s="177"/>
      <c r="AY477" s="458"/>
      <c r="AZ477" s="458"/>
      <c r="BA477" s="1307"/>
      <c r="BC477" s="169"/>
    </row>
    <row r="478" spans="19:55" ht="15.75" customHeight="1">
      <c r="S478" s="454"/>
      <c r="AU478" s="177"/>
      <c r="AV478" s="177"/>
      <c r="AW478" s="177"/>
      <c r="AX478" s="177"/>
      <c r="AY478" s="458"/>
      <c r="AZ478" s="458"/>
      <c r="BA478" s="1307"/>
      <c r="BC478" s="169"/>
    </row>
    <row r="479" spans="19:55" ht="15.75" customHeight="1">
      <c r="S479" s="454"/>
      <c r="AU479" s="177"/>
      <c r="AV479" s="177"/>
      <c r="AW479" s="177"/>
      <c r="AX479" s="177"/>
      <c r="AY479" s="458"/>
      <c r="AZ479" s="458"/>
      <c r="BA479" s="1307"/>
      <c r="BC479" s="169"/>
    </row>
    <row r="480" spans="19:55" ht="15.75" customHeight="1">
      <c r="S480" s="454"/>
      <c r="AU480" s="177"/>
      <c r="AV480" s="177"/>
      <c r="AW480" s="177"/>
      <c r="AX480" s="177"/>
      <c r="AY480" s="458"/>
      <c r="AZ480" s="458"/>
      <c r="BA480" s="1307"/>
      <c r="BC480" s="169"/>
    </row>
    <row r="481" spans="19:55" ht="15.75" customHeight="1">
      <c r="S481" s="454"/>
      <c r="AU481" s="177"/>
      <c r="AY481" s="458"/>
      <c r="AZ481" s="458"/>
      <c r="BA481" s="1305"/>
      <c r="BC481" s="169"/>
    </row>
    <row r="482" spans="19:55" ht="15.75" customHeight="1">
      <c r="S482" s="454"/>
      <c r="AU482" s="177"/>
      <c r="AY482" s="458"/>
      <c r="AZ482" s="458"/>
      <c r="BA482" s="1305"/>
      <c r="BC482" s="169"/>
    </row>
    <row r="483" spans="19:55" ht="15.75" customHeight="1">
      <c r="S483" s="454"/>
      <c r="AY483" s="458"/>
      <c r="AZ483" s="458"/>
      <c r="BA483" s="1305"/>
      <c r="BC483" s="169"/>
    </row>
    <row r="484" spans="19:55" ht="15.75" customHeight="1">
      <c r="S484" s="454"/>
      <c r="AY484" s="458"/>
      <c r="AZ484" s="458"/>
      <c r="BA484" s="1305"/>
      <c r="BC484" s="169"/>
    </row>
    <row r="485" spans="19:55" ht="15.75" customHeight="1">
      <c r="S485" s="454"/>
      <c r="AY485" s="458"/>
      <c r="AZ485" s="458"/>
      <c r="BA485" s="1305"/>
      <c r="BC485" s="169"/>
    </row>
    <row r="486" spans="19:55" ht="15.75" customHeight="1">
      <c r="S486" s="454"/>
      <c r="AV486" s="177"/>
      <c r="AW486" s="177"/>
      <c r="AX486" s="177"/>
      <c r="AY486" s="458"/>
      <c r="AZ486" s="458"/>
      <c r="BA486" s="1307"/>
      <c r="BC486" s="169"/>
    </row>
    <row r="487" spans="19:55" ht="15.75" customHeight="1">
      <c r="S487" s="454"/>
      <c r="AV487" s="177"/>
      <c r="AW487" s="177"/>
      <c r="AX487" s="177"/>
      <c r="AY487" s="458"/>
      <c r="AZ487" s="458"/>
      <c r="BA487" s="1307"/>
      <c r="BC487" s="169"/>
    </row>
    <row r="488" spans="19:55" ht="15.75" customHeight="1">
      <c r="S488" s="454"/>
      <c r="AU488" s="177"/>
      <c r="AV488" s="177"/>
      <c r="AW488" s="177"/>
      <c r="AX488" s="177"/>
      <c r="AY488" s="458"/>
      <c r="AZ488" s="458"/>
      <c r="BA488" s="1307"/>
      <c r="BC488" s="169"/>
    </row>
    <row r="489" spans="19:55" ht="15.75" customHeight="1">
      <c r="S489" s="454"/>
      <c r="AU489" s="177"/>
      <c r="AV489" s="177"/>
      <c r="AW489" s="177"/>
      <c r="AX489" s="177"/>
      <c r="AY489" s="458"/>
      <c r="AZ489" s="458"/>
      <c r="BA489" s="1307"/>
      <c r="BC489" s="169"/>
    </row>
    <row r="490" spans="19:55" ht="15.75" customHeight="1">
      <c r="S490" s="454"/>
      <c r="AU490" s="177"/>
      <c r="AV490" s="177"/>
      <c r="AW490" s="177"/>
      <c r="AX490" s="177"/>
      <c r="AY490" s="458"/>
      <c r="AZ490" s="458"/>
      <c r="BA490" s="1307"/>
      <c r="BC490" s="169"/>
    </row>
    <row r="491" spans="19:55" ht="15.75" customHeight="1">
      <c r="S491" s="454"/>
      <c r="AU491" s="177"/>
      <c r="AY491" s="458"/>
      <c r="AZ491" s="458"/>
      <c r="BA491" s="1305"/>
      <c r="BC491" s="169"/>
    </row>
    <row r="492" spans="19:55" ht="15.75" customHeight="1">
      <c r="S492" s="454"/>
      <c r="AU492" s="177"/>
      <c r="AY492" s="458"/>
      <c r="AZ492" s="458"/>
      <c r="BA492" s="1305"/>
      <c r="BC492" s="169"/>
    </row>
    <row r="493" spans="19:55" ht="15.75" customHeight="1">
      <c r="S493" s="454"/>
      <c r="AY493" s="458"/>
      <c r="AZ493" s="458"/>
      <c r="BA493" s="1305"/>
      <c r="BC493" s="169"/>
    </row>
    <row r="494" spans="19:55" ht="15.75" customHeight="1">
      <c r="S494" s="454"/>
      <c r="AV494" s="177"/>
      <c r="AW494" s="177"/>
      <c r="AX494" s="177"/>
      <c r="AY494" s="458"/>
      <c r="AZ494" s="458"/>
      <c r="BA494" s="1307"/>
      <c r="BC494" s="169"/>
    </row>
    <row r="495" spans="19:55" ht="15.75" customHeight="1">
      <c r="S495" s="454"/>
      <c r="AV495" s="177"/>
      <c r="AW495" s="177"/>
      <c r="AX495" s="177"/>
      <c r="AY495" s="458"/>
      <c r="AZ495" s="458"/>
      <c r="BA495" s="1307"/>
      <c r="BC495" s="169"/>
    </row>
    <row r="496" spans="19:55" ht="15.75" customHeight="1">
      <c r="S496" s="454"/>
      <c r="AU496" s="177"/>
      <c r="AV496" s="177"/>
      <c r="AW496" s="177"/>
      <c r="AX496" s="177"/>
      <c r="AY496" s="458"/>
      <c r="AZ496" s="458"/>
      <c r="BA496" s="1307"/>
      <c r="BC496" s="169"/>
    </row>
    <row r="497" spans="19:55" ht="15.75" customHeight="1">
      <c r="S497" s="454"/>
      <c r="AU497" s="177"/>
      <c r="AV497" s="177"/>
      <c r="AW497" s="177"/>
      <c r="AX497" s="177"/>
      <c r="AY497" s="458"/>
      <c r="AZ497" s="458"/>
      <c r="BA497" s="1307"/>
      <c r="BC497" s="169"/>
    </row>
    <row r="498" spans="19:55" ht="15.75" customHeight="1">
      <c r="S498" s="454"/>
      <c r="AU498" s="177"/>
      <c r="AV498" s="177"/>
      <c r="AW498" s="177"/>
      <c r="AX498" s="177"/>
      <c r="AY498" s="458"/>
      <c r="AZ498" s="458"/>
      <c r="BA498" s="1307"/>
      <c r="BC498" s="169"/>
    </row>
    <row r="499" spans="19:55" ht="15.75" customHeight="1">
      <c r="S499" s="454"/>
      <c r="AU499" s="177"/>
      <c r="AV499" s="177"/>
      <c r="AW499" s="177"/>
      <c r="AX499" s="177"/>
      <c r="AY499" s="458"/>
      <c r="AZ499" s="458"/>
      <c r="BA499" s="1307"/>
      <c r="BC499" s="169"/>
    </row>
    <row r="500" spans="19:55" ht="15.75" customHeight="1">
      <c r="S500" s="454"/>
      <c r="AU500" s="177"/>
      <c r="AV500" s="177"/>
      <c r="AW500" s="177"/>
      <c r="AX500" s="177"/>
      <c r="AY500" s="458"/>
      <c r="AZ500" s="458"/>
      <c r="BA500" s="1307"/>
      <c r="BC500" s="169"/>
    </row>
    <row r="501" spans="19:55" ht="15.75" customHeight="1">
      <c r="S501" s="454"/>
      <c r="AU501" s="177"/>
      <c r="AY501" s="458"/>
      <c r="AZ501" s="458"/>
      <c r="BA501" s="1305"/>
      <c r="BC501" s="169"/>
    </row>
    <row r="502" spans="19:55" ht="15.75" customHeight="1">
      <c r="S502" s="454"/>
      <c r="AU502" s="177"/>
      <c r="AY502" s="458"/>
      <c r="AZ502" s="458"/>
      <c r="BA502" s="1305"/>
      <c r="BC502" s="169"/>
    </row>
    <row r="503" spans="19:55" ht="15.75" customHeight="1">
      <c r="S503" s="454"/>
      <c r="AY503" s="458"/>
      <c r="AZ503" s="458"/>
      <c r="BA503" s="1305"/>
      <c r="BC503" s="169"/>
    </row>
    <row r="504" spans="19:55" ht="15.75" customHeight="1">
      <c r="S504" s="454"/>
      <c r="AY504" s="458"/>
      <c r="AZ504" s="458"/>
      <c r="BA504" s="1305"/>
      <c r="BC504" s="169"/>
    </row>
    <row r="505" spans="19:55" ht="15.75" customHeight="1">
      <c r="S505" s="454"/>
      <c r="AY505" s="458"/>
      <c r="AZ505" s="458"/>
      <c r="BA505" s="1305"/>
      <c r="BC505" s="169"/>
    </row>
    <row r="506" spans="19:55" ht="15.75" customHeight="1">
      <c r="S506" s="454"/>
      <c r="AY506" s="458"/>
      <c r="AZ506" s="458"/>
      <c r="BA506" s="1305"/>
      <c r="BC506" s="169"/>
    </row>
    <row r="507" spans="19:55" ht="15.75" customHeight="1">
      <c r="S507" s="454"/>
      <c r="AY507" s="458"/>
      <c r="AZ507" s="458"/>
      <c r="BA507" s="1305"/>
      <c r="BC507" s="169"/>
    </row>
    <row r="508" spans="19:55" ht="15.75" customHeight="1">
      <c r="S508" s="454"/>
      <c r="AY508" s="458"/>
      <c r="AZ508" s="458"/>
      <c r="BA508" s="1305"/>
      <c r="BC508" s="169"/>
    </row>
    <row r="509" spans="19:55" ht="15.75" customHeight="1">
      <c r="S509" s="454"/>
      <c r="AY509" s="458"/>
      <c r="AZ509" s="458"/>
      <c r="BA509" s="1305"/>
      <c r="BC509" s="169"/>
    </row>
    <row r="510" spans="19:55" ht="15.75" customHeight="1">
      <c r="S510" s="454"/>
      <c r="AY510" s="458"/>
      <c r="AZ510" s="458"/>
      <c r="BA510" s="1305"/>
      <c r="BC510" s="169"/>
    </row>
    <row r="511" spans="19:55" ht="15.75" customHeight="1">
      <c r="S511" s="454"/>
      <c r="AY511" s="458"/>
      <c r="AZ511" s="458"/>
      <c r="BA511" s="1305"/>
      <c r="BC511" s="169"/>
    </row>
    <row r="512" spans="19:55" ht="15.75" customHeight="1">
      <c r="S512" s="454"/>
      <c r="AY512" s="458"/>
      <c r="AZ512" s="458"/>
      <c r="BA512" s="1305"/>
      <c r="BC512" s="169"/>
    </row>
    <row r="513" spans="19:55" ht="15.75" customHeight="1">
      <c r="S513" s="454"/>
      <c r="AY513" s="458"/>
      <c r="AZ513" s="458"/>
      <c r="BA513" s="1305"/>
      <c r="BC513" s="169"/>
    </row>
    <row r="514" spans="19:55" ht="15.75" customHeight="1">
      <c r="S514" s="454"/>
      <c r="AY514" s="458"/>
      <c r="AZ514" s="458"/>
      <c r="BA514" s="1305"/>
      <c r="BC514" s="169"/>
    </row>
    <row r="515" spans="19:55" ht="15.75" customHeight="1">
      <c r="S515" s="454"/>
      <c r="AY515" s="458"/>
      <c r="AZ515" s="458"/>
      <c r="BA515" s="1305"/>
      <c r="BC515" s="169"/>
    </row>
    <row r="516" spans="19:55" ht="15.75" customHeight="1">
      <c r="S516" s="454"/>
      <c r="AY516" s="458"/>
      <c r="AZ516" s="458"/>
      <c r="BA516" s="1305"/>
      <c r="BC516" s="169"/>
    </row>
    <row r="517" spans="19:55" ht="15.75" customHeight="1">
      <c r="S517" s="454"/>
      <c r="AY517" s="458"/>
      <c r="AZ517" s="458"/>
      <c r="BA517" s="1305"/>
      <c r="BC517" s="169"/>
    </row>
    <row r="518" spans="19:55" ht="15.75" customHeight="1">
      <c r="S518" s="454"/>
      <c r="AY518" s="458"/>
      <c r="AZ518" s="458"/>
      <c r="BA518" s="1305"/>
      <c r="BC518" s="169"/>
    </row>
    <row r="519" spans="19:55" ht="15.75" customHeight="1">
      <c r="S519" s="454"/>
      <c r="AY519" s="458"/>
      <c r="AZ519" s="458"/>
      <c r="BA519" s="1305"/>
      <c r="BC519" s="169"/>
    </row>
    <row r="520" spans="19:55" ht="15.75" customHeight="1">
      <c r="S520" s="454"/>
      <c r="AY520" s="458"/>
      <c r="AZ520" s="458"/>
      <c r="BA520" s="1305"/>
      <c r="BC520" s="169"/>
    </row>
    <row r="521" spans="19:55" ht="15.75" customHeight="1">
      <c r="S521" s="454"/>
      <c r="AY521" s="458"/>
      <c r="AZ521" s="458"/>
      <c r="BA521" s="1305"/>
      <c r="BC521" s="169"/>
    </row>
    <row r="522" spans="19:55" ht="15.75" customHeight="1">
      <c r="S522" s="454"/>
      <c r="AY522" s="458"/>
      <c r="AZ522" s="458"/>
      <c r="BA522" s="1305"/>
      <c r="BC522" s="169"/>
    </row>
    <row r="523" spans="19:55" ht="15.75" customHeight="1">
      <c r="S523" s="454"/>
      <c r="AY523" s="458"/>
      <c r="AZ523" s="458"/>
      <c r="BA523" s="1305"/>
      <c r="BC523" s="169"/>
    </row>
    <row r="524" spans="19:55" ht="15.75" customHeight="1">
      <c r="S524" s="454"/>
      <c r="AY524" s="458"/>
      <c r="AZ524" s="458"/>
      <c r="BA524" s="1305"/>
      <c r="BC524" s="169"/>
    </row>
    <row r="525" spans="19:55" ht="15.75" customHeight="1">
      <c r="S525" s="454"/>
      <c r="AY525" s="458"/>
      <c r="AZ525" s="458"/>
      <c r="BA525" s="1305"/>
      <c r="BC525" s="169"/>
    </row>
    <row r="526" spans="19:55" ht="15.75" customHeight="1">
      <c r="S526" s="454"/>
      <c r="AY526" s="458"/>
      <c r="AZ526" s="458"/>
      <c r="BA526" s="1305"/>
      <c r="BC526" s="169"/>
    </row>
    <row r="527" spans="19:55" ht="15.75" customHeight="1">
      <c r="S527" s="454"/>
      <c r="AY527" s="458"/>
      <c r="AZ527" s="458"/>
      <c r="BA527" s="1305"/>
      <c r="BC527" s="169"/>
    </row>
    <row r="528" spans="19:55" ht="15.75" customHeight="1">
      <c r="S528" s="454"/>
      <c r="AY528" s="458"/>
      <c r="AZ528" s="458"/>
      <c r="BA528" s="1305"/>
      <c r="BC528" s="169"/>
    </row>
    <row r="529" spans="19:55" ht="15.75" customHeight="1">
      <c r="S529" s="454"/>
      <c r="AY529" s="458"/>
      <c r="AZ529" s="458"/>
      <c r="BA529" s="1305"/>
      <c r="BC529" s="169"/>
    </row>
    <row r="530" spans="19:55" ht="15.75" customHeight="1">
      <c r="S530" s="454"/>
      <c r="AY530" s="458"/>
      <c r="AZ530" s="458"/>
      <c r="BA530" s="1305"/>
      <c r="BC530" s="169"/>
    </row>
    <row r="531" spans="19:55" ht="15.75" customHeight="1">
      <c r="S531" s="454"/>
      <c r="AY531" s="458"/>
      <c r="AZ531" s="458"/>
      <c r="BA531" s="1305"/>
      <c r="BC531" s="169"/>
    </row>
    <row r="532" spans="19:55" ht="15.75" customHeight="1">
      <c r="S532" s="454"/>
      <c r="AY532" s="458"/>
      <c r="AZ532" s="458"/>
      <c r="BA532" s="1305"/>
      <c r="BC532" s="169"/>
    </row>
    <row r="533" spans="19:55" ht="15.75" customHeight="1">
      <c r="S533" s="454"/>
      <c r="AY533" s="458"/>
      <c r="AZ533" s="458"/>
      <c r="BA533" s="1305"/>
      <c r="BC533" s="169"/>
    </row>
    <row r="534" spans="19:55" ht="15.75" customHeight="1">
      <c r="S534" s="454"/>
      <c r="AY534" s="458"/>
      <c r="AZ534" s="458"/>
      <c r="BA534" s="1305"/>
      <c r="BC534" s="169"/>
    </row>
    <row r="535" spans="19:55" ht="15.75" customHeight="1">
      <c r="S535" s="454"/>
      <c r="AY535" s="458"/>
      <c r="AZ535" s="458"/>
      <c r="BA535" s="1305"/>
      <c r="BC535" s="169"/>
    </row>
    <row r="536" spans="19:55" ht="15.75" customHeight="1">
      <c r="S536" s="454"/>
      <c r="AY536" s="458"/>
      <c r="AZ536" s="458"/>
      <c r="BA536" s="1305"/>
      <c r="BC536" s="169"/>
    </row>
    <row r="537" spans="19:55" ht="15.75" customHeight="1">
      <c r="S537" s="454"/>
      <c r="AY537" s="458"/>
      <c r="AZ537" s="458"/>
      <c r="BA537" s="1305"/>
      <c r="BC537" s="169"/>
    </row>
    <row r="538" spans="19:55" ht="15.75" customHeight="1">
      <c r="S538" s="454"/>
      <c r="AY538" s="458"/>
      <c r="AZ538" s="458"/>
      <c r="BA538" s="1305"/>
      <c r="BC538" s="169"/>
    </row>
    <row r="539" spans="19:55" ht="15.75" customHeight="1">
      <c r="S539" s="454"/>
      <c r="AY539" s="458"/>
      <c r="AZ539" s="458"/>
      <c r="BA539" s="1305"/>
      <c r="BC539" s="169"/>
    </row>
    <row r="540" spans="19:55" ht="15.75" customHeight="1">
      <c r="S540" s="454"/>
      <c r="AY540" s="458"/>
      <c r="AZ540" s="458"/>
      <c r="BA540" s="1305"/>
      <c r="BC540" s="169"/>
    </row>
    <row r="541" spans="19:55" ht="15.75" customHeight="1">
      <c r="S541" s="454"/>
      <c r="AY541" s="458"/>
      <c r="AZ541" s="458"/>
      <c r="BA541" s="1305"/>
      <c r="BC541" s="169"/>
    </row>
    <row r="542" spans="19:55" ht="15.75" customHeight="1">
      <c r="S542" s="454"/>
      <c r="AY542" s="458"/>
      <c r="AZ542" s="458"/>
      <c r="BA542" s="1305"/>
      <c r="BC542" s="169"/>
    </row>
    <row r="543" spans="19:55" ht="15.75" customHeight="1">
      <c r="S543" s="454"/>
      <c r="AY543" s="458"/>
      <c r="AZ543" s="458"/>
      <c r="BA543" s="1305"/>
      <c r="BC543" s="169"/>
    </row>
    <row r="544" spans="19:55" ht="15.75" customHeight="1">
      <c r="S544" s="454"/>
      <c r="AY544" s="458"/>
      <c r="AZ544" s="458"/>
      <c r="BA544" s="1305"/>
      <c r="BC544" s="169"/>
    </row>
    <row r="545" spans="19:55" ht="15.75" customHeight="1">
      <c r="S545" s="454"/>
      <c r="AY545" s="458"/>
      <c r="AZ545" s="458"/>
      <c r="BA545" s="1305"/>
      <c r="BC545" s="169"/>
    </row>
    <row r="546" spans="19:55" ht="15.75" customHeight="1">
      <c r="S546" s="454"/>
      <c r="AY546" s="458"/>
      <c r="AZ546" s="458"/>
      <c r="BA546" s="1305"/>
      <c r="BC546" s="169"/>
    </row>
    <row r="547" spans="19:55" ht="15.75" customHeight="1">
      <c r="S547" s="454"/>
      <c r="AY547" s="458"/>
      <c r="AZ547" s="458"/>
      <c r="BA547" s="1305"/>
      <c r="BC547" s="169"/>
    </row>
    <row r="548" spans="19:55" ht="15.75" customHeight="1">
      <c r="S548" s="454"/>
      <c r="AY548" s="458"/>
      <c r="AZ548" s="458"/>
      <c r="BA548" s="1305"/>
      <c r="BC548" s="169"/>
    </row>
    <row r="549" spans="19:55" ht="15.75" customHeight="1">
      <c r="S549" s="454"/>
      <c r="AY549" s="458"/>
      <c r="AZ549" s="458"/>
      <c r="BA549" s="1305"/>
      <c r="BC549" s="169"/>
    </row>
    <row r="550" spans="19:55" ht="15.75" customHeight="1">
      <c r="S550" s="454"/>
      <c r="AY550" s="458"/>
      <c r="AZ550" s="458"/>
      <c r="BA550" s="1305"/>
      <c r="BC550" s="169"/>
    </row>
    <row r="551" spans="19:55" ht="15.75" customHeight="1">
      <c r="S551" s="454"/>
      <c r="AY551" s="458"/>
      <c r="AZ551" s="458"/>
      <c r="BA551" s="1305"/>
      <c r="BC551" s="169"/>
    </row>
    <row r="552" spans="19:55" ht="15.75" customHeight="1">
      <c r="S552" s="454"/>
      <c r="AY552" s="458"/>
      <c r="AZ552" s="458"/>
      <c r="BA552" s="1305"/>
      <c r="BC552" s="169"/>
    </row>
    <row r="553" spans="19:55" ht="15.75" customHeight="1">
      <c r="S553" s="454"/>
      <c r="AY553" s="458"/>
      <c r="AZ553" s="458"/>
      <c r="BA553" s="1305"/>
      <c r="BC553" s="169"/>
    </row>
    <row r="554" spans="19:55" ht="15.75" customHeight="1">
      <c r="S554" s="454"/>
      <c r="AY554" s="458"/>
      <c r="AZ554" s="458"/>
      <c r="BA554" s="1305"/>
      <c r="BC554" s="169"/>
    </row>
    <row r="555" spans="19:55" ht="15.75" customHeight="1">
      <c r="S555" s="454"/>
      <c r="AY555" s="458"/>
      <c r="AZ555" s="458"/>
      <c r="BA555" s="1305"/>
      <c r="BC555" s="169"/>
    </row>
    <row r="556" spans="19:55" ht="15.75" customHeight="1">
      <c r="S556" s="454"/>
      <c r="AY556" s="458"/>
      <c r="AZ556" s="458"/>
      <c r="BA556" s="1305"/>
      <c r="BC556" s="169"/>
    </row>
    <row r="557" spans="19:55" ht="15.75" customHeight="1">
      <c r="S557" s="454"/>
      <c r="AY557" s="458"/>
      <c r="AZ557" s="458"/>
      <c r="BA557" s="1305"/>
      <c r="BC557" s="169"/>
    </row>
    <row r="558" spans="19:55" ht="15.75" customHeight="1">
      <c r="S558" s="454"/>
      <c r="AY558" s="458"/>
      <c r="AZ558" s="458"/>
      <c r="BA558" s="1305"/>
      <c r="BC558" s="169"/>
    </row>
    <row r="559" spans="19:55" ht="15.75" customHeight="1">
      <c r="S559" s="454"/>
      <c r="AY559" s="458"/>
      <c r="AZ559" s="458"/>
      <c r="BA559" s="1305"/>
      <c r="BC559" s="169"/>
    </row>
    <row r="560" spans="19:55" ht="15.75" customHeight="1">
      <c r="S560" s="454"/>
      <c r="AY560" s="458"/>
      <c r="AZ560" s="458"/>
      <c r="BA560" s="1305"/>
      <c r="BC560" s="169"/>
    </row>
    <row r="561" spans="19:55" ht="15.75" customHeight="1">
      <c r="S561" s="454"/>
      <c r="AY561" s="458"/>
      <c r="AZ561" s="458"/>
      <c r="BA561" s="1305"/>
      <c r="BC561" s="169"/>
    </row>
    <row r="562" spans="19:55" ht="15.75" customHeight="1">
      <c r="S562" s="454"/>
      <c r="AY562" s="458"/>
      <c r="AZ562" s="458"/>
      <c r="BA562" s="1305"/>
      <c r="BC562" s="169"/>
    </row>
    <row r="563" spans="19:55" ht="15.75" customHeight="1">
      <c r="S563" s="454"/>
      <c r="AY563" s="458"/>
      <c r="AZ563" s="458"/>
      <c r="BA563" s="1305"/>
      <c r="BC563" s="169"/>
    </row>
    <row r="564" spans="19:55" ht="15.75" customHeight="1">
      <c r="S564" s="454"/>
      <c r="AY564" s="458"/>
      <c r="AZ564" s="458"/>
      <c r="BA564" s="1305"/>
      <c r="BC564" s="169"/>
    </row>
    <row r="565" spans="19:55" ht="15.75" customHeight="1">
      <c r="S565" s="454"/>
      <c r="AY565" s="458"/>
      <c r="AZ565" s="458"/>
      <c r="BA565" s="1305"/>
      <c r="BC565" s="169"/>
    </row>
    <row r="566" spans="19:55" ht="15.75" customHeight="1">
      <c r="S566" s="454"/>
      <c r="AY566" s="458"/>
      <c r="AZ566" s="458"/>
      <c r="BA566" s="1305"/>
      <c r="BC566" s="169"/>
    </row>
    <row r="567" spans="19:55" ht="15.75" customHeight="1">
      <c r="S567" s="454"/>
      <c r="AY567" s="458"/>
      <c r="AZ567" s="458"/>
      <c r="BA567" s="1305"/>
      <c r="BC567" s="169"/>
    </row>
    <row r="568" spans="19:55" ht="15.75" customHeight="1">
      <c r="S568" s="454"/>
      <c r="AY568" s="458"/>
      <c r="AZ568" s="458"/>
      <c r="BA568" s="1305"/>
      <c r="BC568" s="169"/>
    </row>
    <row r="569" spans="19:55" ht="15.75" customHeight="1">
      <c r="S569" s="454"/>
      <c r="AY569" s="458"/>
      <c r="AZ569" s="458"/>
      <c r="BA569" s="1305"/>
      <c r="BC569" s="169"/>
    </row>
    <row r="570" spans="19:55" ht="15.75" customHeight="1">
      <c r="S570" s="454"/>
      <c r="AY570" s="458"/>
      <c r="AZ570" s="458"/>
      <c r="BA570" s="1305"/>
      <c r="BC570" s="169"/>
    </row>
    <row r="571" spans="19:55" ht="15.75" customHeight="1">
      <c r="S571" s="454"/>
      <c r="AY571" s="458"/>
      <c r="AZ571" s="458"/>
      <c r="BA571" s="1305"/>
      <c r="BC571" s="169"/>
    </row>
    <row r="572" spans="19:55" ht="15.75" customHeight="1">
      <c r="S572" s="454"/>
      <c r="AY572" s="458"/>
      <c r="AZ572" s="458"/>
      <c r="BA572" s="1305"/>
      <c r="BC572" s="169"/>
    </row>
    <row r="573" spans="19:55" ht="15.75" customHeight="1">
      <c r="S573" s="454"/>
      <c r="AY573" s="458"/>
      <c r="AZ573" s="458"/>
      <c r="BA573" s="1305"/>
      <c r="BC573" s="169"/>
    </row>
    <row r="574" spans="19:55" ht="15.75" customHeight="1">
      <c r="S574" s="454"/>
      <c r="AY574" s="458"/>
      <c r="AZ574" s="458"/>
      <c r="BA574" s="1305"/>
      <c r="BC574" s="169"/>
    </row>
    <row r="575" spans="19:55" ht="15.75" customHeight="1">
      <c r="S575" s="454"/>
      <c r="AY575" s="458"/>
      <c r="AZ575" s="458"/>
      <c r="BA575" s="1305"/>
      <c r="BC575" s="169"/>
    </row>
    <row r="576" spans="19:55" ht="15.75" customHeight="1">
      <c r="S576" s="454"/>
      <c r="AY576" s="458"/>
      <c r="AZ576" s="458"/>
      <c r="BA576" s="1305"/>
      <c r="BC576" s="169"/>
    </row>
    <row r="577" spans="19:55" ht="15.75" customHeight="1">
      <c r="S577" s="454"/>
      <c r="AY577" s="458"/>
      <c r="AZ577" s="458"/>
      <c r="BA577" s="1305"/>
      <c r="BC577" s="169"/>
    </row>
    <row r="578" spans="19:55" ht="15.75" customHeight="1">
      <c r="S578" s="454"/>
      <c r="AY578" s="458"/>
      <c r="AZ578" s="458"/>
      <c r="BA578" s="1305"/>
      <c r="BC578" s="169"/>
    </row>
    <row r="579" spans="19:55" ht="15.75" customHeight="1">
      <c r="S579" s="454"/>
      <c r="AY579" s="458"/>
      <c r="AZ579" s="458"/>
      <c r="BA579" s="1305"/>
      <c r="BC579" s="169"/>
    </row>
    <row r="580" spans="19:55" ht="15.75" customHeight="1">
      <c r="S580" s="454"/>
      <c r="AY580" s="458"/>
      <c r="AZ580" s="458"/>
      <c r="BA580" s="1305"/>
      <c r="BC580" s="169"/>
    </row>
    <row r="581" spans="19:55" ht="15.75" customHeight="1">
      <c r="S581" s="454"/>
      <c r="AY581" s="458"/>
      <c r="AZ581" s="458"/>
      <c r="BA581" s="1305"/>
      <c r="BC581" s="169"/>
    </row>
    <row r="582" spans="19:55" ht="15.75" customHeight="1">
      <c r="S582" s="454"/>
      <c r="AY582" s="458"/>
      <c r="AZ582" s="458"/>
      <c r="BA582" s="1305"/>
      <c r="BC582" s="169"/>
    </row>
    <row r="583" spans="19:55" ht="15.75" customHeight="1">
      <c r="S583" s="454"/>
      <c r="AY583" s="458"/>
      <c r="AZ583" s="458"/>
      <c r="BA583" s="1305"/>
      <c r="BC583" s="169"/>
    </row>
    <row r="584" spans="19:55" ht="15.75" customHeight="1">
      <c r="S584" s="454"/>
      <c r="AY584" s="458"/>
      <c r="AZ584" s="458"/>
      <c r="BA584" s="1305"/>
      <c r="BC584" s="169"/>
    </row>
    <row r="585" spans="19:55" ht="15.75" customHeight="1">
      <c r="S585" s="454"/>
      <c r="AY585" s="458"/>
      <c r="AZ585" s="458"/>
      <c r="BA585" s="1305"/>
      <c r="BC585" s="169"/>
    </row>
    <row r="586" spans="19:55" ht="15.75" customHeight="1">
      <c r="S586" s="454"/>
      <c r="AY586" s="458"/>
      <c r="AZ586" s="458"/>
      <c r="BA586" s="1305"/>
      <c r="BC586" s="169"/>
    </row>
    <row r="587" spans="19:55" ht="15.75" customHeight="1">
      <c r="S587" s="454"/>
      <c r="AY587" s="458"/>
      <c r="AZ587" s="458"/>
      <c r="BA587" s="1305"/>
      <c r="BC587" s="169"/>
    </row>
    <row r="588" spans="19:55" ht="15.75" customHeight="1">
      <c r="S588" s="454"/>
      <c r="AY588" s="458"/>
      <c r="AZ588" s="458"/>
      <c r="BA588" s="1305"/>
      <c r="BC588" s="169"/>
    </row>
    <row r="589" spans="19:55" ht="15.75" customHeight="1">
      <c r="S589" s="454"/>
      <c r="AY589" s="458"/>
      <c r="AZ589" s="458"/>
      <c r="BA589" s="1305"/>
      <c r="BC589" s="169"/>
    </row>
    <row r="590" spans="19:55" ht="15.75" customHeight="1">
      <c r="S590" s="454"/>
      <c r="AY590" s="458"/>
      <c r="AZ590" s="458"/>
      <c r="BA590" s="1305"/>
      <c r="BC590" s="169"/>
    </row>
    <row r="591" spans="19:55" ht="15.75" customHeight="1">
      <c r="S591" s="454"/>
      <c r="AY591" s="458"/>
      <c r="AZ591" s="458"/>
      <c r="BA591" s="1305"/>
      <c r="BC591" s="169"/>
    </row>
    <row r="592" spans="19:55" ht="15.75" customHeight="1">
      <c r="S592" s="454"/>
      <c r="AY592" s="458"/>
      <c r="AZ592" s="458"/>
      <c r="BA592" s="1305"/>
      <c r="BC592" s="169"/>
    </row>
    <row r="593" spans="19:55" ht="15.75" customHeight="1">
      <c r="S593" s="454"/>
      <c r="AY593" s="458"/>
      <c r="AZ593" s="458"/>
      <c r="BA593" s="1305"/>
      <c r="BC593" s="169"/>
    </row>
    <row r="594" spans="19:55" ht="15.75" customHeight="1">
      <c r="S594" s="454"/>
      <c r="AY594" s="458"/>
      <c r="AZ594" s="458"/>
      <c r="BA594" s="1305"/>
      <c r="BC594" s="169"/>
    </row>
    <row r="595" spans="19:55" ht="15.75" customHeight="1">
      <c r="S595" s="454"/>
      <c r="AY595" s="458"/>
      <c r="AZ595" s="458"/>
      <c r="BA595" s="1305"/>
      <c r="BC595" s="169"/>
    </row>
    <row r="596" spans="19:55" ht="15.75" customHeight="1">
      <c r="S596" s="454"/>
      <c r="AY596" s="458"/>
      <c r="AZ596" s="458"/>
      <c r="BA596" s="1305"/>
      <c r="BC596" s="169"/>
    </row>
    <row r="597" spans="19:55" ht="15.75" customHeight="1">
      <c r="S597" s="454"/>
      <c r="AY597" s="458"/>
      <c r="AZ597" s="458"/>
      <c r="BA597" s="1305"/>
      <c r="BC597" s="169"/>
    </row>
    <row r="598" spans="19:55" ht="15.75" customHeight="1">
      <c r="S598" s="454"/>
      <c r="AY598" s="458"/>
      <c r="AZ598" s="458"/>
      <c r="BA598" s="1305"/>
      <c r="BC598" s="169"/>
    </row>
    <row r="599" spans="19:55" ht="15.75" customHeight="1">
      <c r="S599" s="454"/>
      <c r="AY599" s="458"/>
      <c r="AZ599" s="458"/>
      <c r="BA599" s="1305"/>
      <c r="BC599" s="169"/>
    </row>
    <row r="600" spans="19:55" ht="15.75" customHeight="1">
      <c r="S600" s="454"/>
      <c r="AY600" s="458"/>
      <c r="AZ600" s="458"/>
      <c r="BA600" s="1305"/>
      <c r="BC600" s="169"/>
    </row>
    <row r="601" spans="19:55" ht="15.75" customHeight="1">
      <c r="S601" s="454"/>
      <c r="AY601" s="458"/>
      <c r="AZ601" s="458"/>
      <c r="BA601" s="1305"/>
      <c r="BC601" s="169"/>
    </row>
    <row r="602" spans="19:55" ht="15.75" customHeight="1">
      <c r="S602" s="454"/>
      <c r="AY602" s="458"/>
      <c r="AZ602" s="458"/>
      <c r="BA602" s="1305"/>
      <c r="BC602" s="169"/>
    </row>
    <row r="603" spans="19:55" ht="15.75" customHeight="1">
      <c r="S603" s="454"/>
      <c r="AY603" s="458"/>
      <c r="AZ603" s="458"/>
      <c r="BA603" s="1305"/>
      <c r="BC603" s="169"/>
    </row>
    <row r="604" spans="19:55" ht="15.75" customHeight="1">
      <c r="S604" s="454"/>
      <c r="AY604" s="458"/>
      <c r="AZ604" s="458"/>
      <c r="BA604" s="1305"/>
      <c r="BC604" s="169"/>
    </row>
    <row r="605" spans="19:55" ht="15.75" customHeight="1">
      <c r="S605" s="454"/>
      <c r="AY605" s="458"/>
      <c r="AZ605" s="458"/>
      <c r="BA605" s="1305"/>
      <c r="BC605" s="169"/>
    </row>
    <row r="606" spans="19:55" ht="15.75" customHeight="1">
      <c r="S606" s="454"/>
      <c r="AY606" s="458"/>
      <c r="AZ606" s="458"/>
      <c r="BA606" s="1305"/>
      <c r="BC606" s="169"/>
    </row>
    <row r="607" spans="19:55" ht="15.75" customHeight="1">
      <c r="S607" s="454"/>
      <c r="AY607" s="458"/>
      <c r="AZ607" s="458"/>
      <c r="BA607" s="1305"/>
      <c r="BC607" s="169"/>
    </row>
    <row r="608" spans="19:55" ht="15.75" customHeight="1">
      <c r="S608" s="454"/>
      <c r="AY608" s="458"/>
      <c r="AZ608" s="458"/>
      <c r="BA608" s="1305"/>
      <c r="BC608" s="169"/>
    </row>
    <row r="609" spans="19:55" ht="15.75" customHeight="1">
      <c r="S609" s="454"/>
      <c r="AY609" s="458"/>
      <c r="AZ609" s="458"/>
      <c r="BA609" s="1305"/>
      <c r="BC609" s="169"/>
    </row>
    <row r="610" spans="19:55" ht="15.75" customHeight="1">
      <c r="S610" s="454"/>
      <c r="AY610" s="458"/>
      <c r="AZ610" s="458"/>
      <c r="BA610" s="1305"/>
      <c r="BC610" s="169"/>
    </row>
    <row r="611" spans="19:55" ht="15.75" customHeight="1">
      <c r="S611" s="454"/>
      <c r="AY611" s="458"/>
      <c r="AZ611" s="458"/>
      <c r="BA611" s="1305"/>
      <c r="BC611" s="169"/>
    </row>
    <row r="612" spans="19:55" ht="15.75" customHeight="1">
      <c r="S612" s="454"/>
      <c r="AY612" s="458"/>
      <c r="AZ612" s="458"/>
      <c r="BA612" s="1305"/>
      <c r="BC612" s="169"/>
    </row>
    <row r="613" spans="19:55" ht="15.75" customHeight="1">
      <c r="S613" s="454"/>
      <c r="AY613" s="458"/>
      <c r="AZ613" s="458"/>
      <c r="BA613" s="1305"/>
      <c r="BC613" s="169"/>
    </row>
    <row r="614" spans="19:55" ht="15.75" customHeight="1">
      <c r="S614" s="454"/>
      <c r="AY614" s="458"/>
      <c r="AZ614" s="458"/>
      <c r="BA614" s="1305"/>
      <c r="BC614" s="169"/>
    </row>
    <row r="615" spans="19:55" ht="15.75" customHeight="1">
      <c r="S615" s="454"/>
      <c r="AY615" s="458"/>
      <c r="AZ615" s="458"/>
      <c r="BA615" s="1305"/>
      <c r="BC615" s="169"/>
    </row>
    <row r="616" spans="19:55" ht="15.75" customHeight="1">
      <c r="S616" s="454"/>
      <c r="AY616" s="458"/>
      <c r="AZ616" s="458"/>
      <c r="BA616" s="1305"/>
      <c r="BC616" s="169"/>
    </row>
    <row r="617" spans="19:55" ht="15.75" customHeight="1">
      <c r="S617" s="454"/>
      <c r="AY617" s="458"/>
      <c r="AZ617" s="458"/>
      <c r="BA617" s="1305"/>
      <c r="BC617" s="169"/>
    </row>
    <row r="618" spans="19:55" ht="15.75" customHeight="1">
      <c r="S618" s="454"/>
      <c r="AY618" s="458"/>
      <c r="AZ618" s="458"/>
      <c r="BA618" s="1305"/>
      <c r="BC618" s="169"/>
    </row>
    <row r="619" spans="19:55" ht="15.75" customHeight="1">
      <c r="S619" s="454"/>
      <c r="AY619" s="458"/>
      <c r="AZ619" s="458"/>
      <c r="BA619" s="1305"/>
      <c r="BC619" s="169"/>
    </row>
    <row r="620" spans="19:55" ht="15.75" customHeight="1">
      <c r="S620" s="454"/>
      <c r="AY620" s="458"/>
      <c r="AZ620" s="458"/>
      <c r="BA620" s="1305"/>
      <c r="BC620" s="169"/>
    </row>
    <row r="621" spans="19:55" ht="15.75" customHeight="1">
      <c r="S621" s="454"/>
      <c r="AY621" s="458"/>
      <c r="AZ621" s="458"/>
      <c r="BA621" s="1305"/>
      <c r="BC621" s="169"/>
    </row>
    <row r="622" spans="19:55" ht="15.75" customHeight="1">
      <c r="S622" s="454"/>
      <c r="AY622" s="458"/>
      <c r="AZ622" s="458"/>
      <c r="BA622" s="1305"/>
      <c r="BC622" s="169"/>
    </row>
    <row r="623" spans="19:55" ht="15.75" customHeight="1">
      <c r="S623" s="454"/>
      <c r="AY623" s="458"/>
      <c r="AZ623" s="458"/>
      <c r="BA623" s="1305"/>
      <c r="BC623" s="169"/>
    </row>
    <row r="624" spans="19:55" ht="15.75" customHeight="1">
      <c r="S624" s="454"/>
      <c r="AY624" s="458"/>
      <c r="AZ624" s="458"/>
      <c r="BA624" s="1305"/>
      <c r="BC624" s="169"/>
    </row>
    <row r="625" spans="19:55" ht="15.75" customHeight="1">
      <c r="S625" s="454"/>
      <c r="AY625" s="458"/>
      <c r="AZ625" s="458"/>
      <c r="BA625" s="1305"/>
      <c r="BC625" s="169"/>
    </row>
    <row r="626" spans="19:55" ht="15.75" customHeight="1">
      <c r="S626" s="454"/>
      <c r="AY626" s="458"/>
      <c r="AZ626" s="458"/>
      <c r="BA626" s="1305"/>
      <c r="BC626" s="169"/>
    </row>
    <row r="627" spans="19:55" ht="15.75" customHeight="1">
      <c r="S627" s="454"/>
      <c r="AY627" s="458"/>
      <c r="AZ627" s="458"/>
      <c r="BA627" s="1305"/>
      <c r="BC627" s="169"/>
    </row>
    <row r="628" spans="19:55" ht="15.75" customHeight="1">
      <c r="S628" s="454"/>
      <c r="AY628" s="458"/>
      <c r="AZ628" s="458"/>
      <c r="BA628" s="1305"/>
      <c r="BC628" s="169"/>
    </row>
    <row r="629" spans="19:55" ht="15.75" customHeight="1">
      <c r="S629" s="454"/>
      <c r="AY629" s="458"/>
      <c r="AZ629" s="458"/>
      <c r="BA629" s="1305"/>
      <c r="BC629" s="169"/>
    </row>
    <row r="630" spans="19:55" ht="15.75" customHeight="1">
      <c r="S630" s="454"/>
      <c r="AY630" s="458"/>
      <c r="AZ630" s="458"/>
      <c r="BA630" s="1305"/>
      <c r="BC630" s="169"/>
    </row>
    <row r="631" spans="19:55" ht="15.75" customHeight="1">
      <c r="S631" s="454"/>
      <c r="AY631" s="458"/>
      <c r="AZ631" s="458"/>
      <c r="BA631" s="1305"/>
      <c r="BC631" s="169"/>
    </row>
    <row r="632" spans="19:55" ht="15.75" customHeight="1">
      <c r="S632" s="454"/>
      <c r="AY632" s="458"/>
      <c r="AZ632" s="458"/>
      <c r="BA632" s="1305"/>
      <c r="BC632" s="169"/>
    </row>
    <row r="633" spans="19:55" ht="15.75" customHeight="1">
      <c r="S633" s="454"/>
      <c r="AY633" s="458"/>
      <c r="AZ633" s="458"/>
      <c r="BA633" s="1305"/>
      <c r="BC633" s="169"/>
    </row>
    <row r="634" spans="19:55" ht="15.75" customHeight="1">
      <c r="S634" s="454"/>
      <c r="AY634" s="458"/>
      <c r="AZ634" s="458"/>
      <c r="BA634" s="1305"/>
      <c r="BC634" s="169"/>
    </row>
    <row r="635" spans="19:55" ht="15.75" customHeight="1">
      <c r="S635" s="454"/>
      <c r="AY635" s="458"/>
      <c r="AZ635" s="458"/>
      <c r="BA635" s="1305"/>
      <c r="BC635" s="169"/>
    </row>
    <row r="636" spans="19:55" ht="15.75" customHeight="1">
      <c r="S636" s="454"/>
      <c r="AY636" s="458"/>
      <c r="AZ636" s="458"/>
      <c r="BA636" s="1305"/>
      <c r="BC636" s="169"/>
    </row>
    <row r="637" spans="19:55" ht="15.75" customHeight="1">
      <c r="S637" s="454"/>
      <c r="AY637" s="458"/>
      <c r="AZ637" s="458"/>
      <c r="BA637" s="1305"/>
      <c r="BC637" s="169"/>
    </row>
    <row r="638" spans="19:55" ht="15.75" customHeight="1">
      <c r="S638" s="454"/>
      <c r="AY638" s="458"/>
      <c r="AZ638" s="458"/>
      <c r="BA638" s="1305"/>
      <c r="BC638" s="169"/>
    </row>
    <row r="639" spans="19:55" ht="15.75" customHeight="1">
      <c r="S639" s="454"/>
      <c r="AY639" s="458"/>
      <c r="AZ639" s="458"/>
      <c r="BA639" s="1305"/>
      <c r="BC639" s="169"/>
    </row>
    <row r="640" spans="19:55" ht="15.75" customHeight="1">
      <c r="S640" s="454"/>
      <c r="AY640" s="458"/>
      <c r="AZ640" s="458"/>
      <c r="BA640" s="1305"/>
      <c r="BC640" s="169"/>
    </row>
    <row r="641" spans="19:55" ht="15.75" customHeight="1">
      <c r="S641" s="454"/>
      <c r="AY641" s="458"/>
      <c r="AZ641" s="458"/>
      <c r="BA641" s="1305"/>
      <c r="BC641" s="169"/>
    </row>
    <row r="642" spans="19:55" ht="15.75" customHeight="1">
      <c r="S642" s="454"/>
      <c r="AY642" s="458"/>
      <c r="AZ642" s="458"/>
      <c r="BA642" s="1305"/>
      <c r="BC642" s="169"/>
    </row>
    <row r="643" spans="19:55" ht="15.75" customHeight="1">
      <c r="S643" s="454"/>
      <c r="AY643" s="458"/>
      <c r="AZ643" s="458"/>
      <c r="BA643" s="1305"/>
      <c r="BC643" s="169"/>
    </row>
    <row r="644" spans="19:55" ht="15.75" customHeight="1">
      <c r="S644" s="454"/>
      <c r="AY644" s="458"/>
      <c r="AZ644" s="458"/>
      <c r="BA644" s="1305"/>
      <c r="BC644" s="169"/>
    </row>
    <row r="645" spans="19:55" ht="15.75" customHeight="1">
      <c r="S645" s="454"/>
      <c r="AY645" s="458"/>
      <c r="AZ645" s="458"/>
      <c r="BA645" s="1305"/>
      <c r="BC645" s="169"/>
    </row>
    <row r="646" spans="19:55" ht="15.75" customHeight="1">
      <c r="S646" s="454"/>
      <c r="AY646" s="458"/>
      <c r="AZ646" s="458"/>
      <c r="BA646" s="1305"/>
      <c r="BC646" s="169"/>
    </row>
    <row r="647" spans="19:55" ht="15.75" customHeight="1">
      <c r="S647" s="454"/>
      <c r="AY647" s="458"/>
      <c r="AZ647" s="458"/>
      <c r="BA647" s="1305"/>
      <c r="BC647" s="169"/>
    </row>
    <row r="648" spans="19:55" ht="15.75" customHeight="1">
      <c r="S648" s="454"/>
      <c r="AY648" s="458"/>
      <c r="AZ648" s="458"/>
      <c r="BA648" s="1305"/>
      <c r="BC648" s="169"/>
    </row>
    <row r="649" spans="19:55" ht="15.75" customHeight="1">
      <c r="S649" s="454"/>
      <c r="AY649" s="458"/>
      <c r="AZ649" s="458"/>
      <c r="BA649" s="1305"/>
      <c r="BC649" s="169"/>
    </row>
    <row r="650" spans="19:55" ht="15.75" customHeight="1">
      <c r="S650" s="454"/>
      <c r="AY650" s="458"/>
      <c r="AZ650" s="458"/>
      <c r="BA650" s="1305"/>
      <c r="BC650" s="169"/>
    </row>
    <row r="651" spans="19:55" ht="15.75" customHeight="1">
      <c r="S651" s="454"/>
      <c r="AY651" s="458"/>
      <c r="AZ651" s="458"/>
      <c r="BA651" s="1305"/>
      <c r="BC651" s="169"/>
    </row>
    <row r="652" spans="19:55" ht="15.75" customHeight="1">
      <c r="S652" s="454"/>
      <c r="AY652" s="458"/>
      <c r="AZ652" s="458"/>
      <c r="BA652" s="1305"/>
      <c r="BC652" s="169"/>
    </row>
    <row r="653" spans="19:55" ht="15.75" customHeight="1">
      <c r="S653" s="454"/>
      <c r="AY653" s="458"/>
      <c r="AZ653" s="458"/>
      <c r="BA653" s="1305"/>
      <c r="BC653" s="169"/>
    </row>
    <row r="654" spans="19:55" ht="15.75" customHeight="1">
      <c r="S654" s="454"/>
      <c r="AY654" s="458"/>
      <c r="AZ654" s="458"/>
      <c r="BA654" s="1305"/>
      <c r="BC654" s="169"/>
    </row>
    <row r="655" spans="19:55" ht="15.75" customHeight="1">
      <c r="S655" s="454"/>
      <c r="AY655" s="458"/>
      <c r="AZ655" s="458"/>
      <c r="BA655" s="1305"/>
      <c r="BC655" s="169"/>
    </row>
    <row r="656" spans="19:55" ht="15.75" customHeight="1">
      <c r="S656" s="454"/>
      <c r="AY656" s="458"/>
      <c r="AZ656" s="458"/>
      <c r="BA656" s="1305"/>
      <c r="BC656" s="169"/>
    </row>
    <row r="657" spans="19:55" ht="15.75" customHeight="1">
      <c r="S657" s="454"/>
      <c r="AY657" s="458"/>
      <c r="AZ657" s="458"/>
      <c r="BA657" s="1305"/>
      <c r="BC657" s="169"/>
    </row>
    <row r="658" spans="19:55" ht="15.75" customHeight="1">
      <c r="S658" s="454"/>
      <c r="AY658" s="458"/>
      <c r="AZ658" s="458"/>
      <c r="BA658" s="1305"/>
      <c r="BC658" s="169"/>
    </row>
    <row r="659" spans="19:55" ht="15.75" customHeight="1">
      <c r="S659" s="454"/>
      <c r="AY659" s="458"/>
      <c r="AZ659" s="458"/>
      <c r="BA659" s="1305"/>
      <c r="BC659" s="169"/>
    </row>
    <row r="660" spans="19:55" ht="15.75" customHeight="1">
      <c r="S660" s="454"/>
      <c r="AY660" s="458"/>
      <c r="AZ660" s="458"/>
      <c r="BA660" s="1305"/>
      <c r="BC660" s="169"/>
    </row>
    <row r="661" spans="19:55" ht="15.75" customHeight="1">
      <c r="S661" s="454"/>
      <c r="AY661" s="458"/>
      <c r="AZ661" s="458"/>
      <c r="BA661" s="1305"/>
      <c r="BC661" s="169"/>
    </row>
    <row r="662" spans="19:55" ht="15.75" customHeight="1">
      <c r="S662" s="454"/>
      <c r="AY662" s="458"/>
      <c r="AZ662" s="458"/>
      <c r="BA662" s="1305"/>
      <c r="BC662" s="169"/>
    </row>
    <row r="663" spans="19:55" ht="15.75" customHeight="1">
      <c r="S663" s="454"/>
      <c r="AY663" s="458"/>
      <c r="AZ663" s="458"/>
      <c r="BA663" s="1305"/>
      <c r="BC663" s="169"/>
    </row>
    <row r="664" spans="19:55" ht="15.75" customHeight="1">
      <c r="S664" s="454"/>
      <c r="AY664" s="458"/>
      <c r="AZ664" s="458"/>
      <c r="BA664" s="1305"/>
      <c r="BC664" s="169"/>
    </row>
    <row r="665" spans="19:55" ht="15.75" customHeight="1">
      <c r="S665" s="454"/>
      <c r="AY665" s="458"/>
      <c r="AZ665" s="458"/>
      <c r="BA665" s="1305"/>
      <c r="BC665" s="169"/>
    </row>
    <row r="666" spans="19:55" ht="15.75" customHeight="1">
      <c r="S666" s="454"/>
      <c r="AY666" s="458"/>
      <c r="AZ666" s="458"/>
      <c r="BA666" s="1305"/>
      <c r="BC666" s="169"/>
    </row>
    <row r="667" spans="19:55" ht="15.75" customHeight="1">
      <c r="S667" s="454"/>
      <c r="AY667" s="458"/>
      <c r="AZ667" s="458"/>
      <c r="BA667" s="1305"/>
      <c r="BC667" s="169"/>
    </row>
    <row r="668" spans="19:55" ht="15.75" customHeight="1">
      <c r="S668" s="454"/>
      <c r="AY668" s="458"/>
      <c r="AZ668" s="458"/>
      <c r="BA668" s="1305"/>
      <c r="BC668" s="169"/>
    </row>
    <row r="669" spans="19:55" ht="15.75" customHeight="1">
      <c r="S669" s="454"/>
      <c r="AY669" s="458"/>
      <c r="AZ669" s="458"/>
      <c r="BA669" s="1305"/>
      <c r="BC669" s="169"/>
    </row>
    <row r="670" spans="19:55" ht="15.75" customHeight="1">
      <c r="S670" s="454"/>
      <c r="AY670" s="458"/>
      <c r="AZ670" s="458"/>
      <c r="BA670" s="1305"/>
      <c r="BC670" s="169"/>
    </row>
    <row r="671" spans="19:55" ht="15.75" customHeight="1">
      <c r="S671" s="454"/>
      <c r="AY671" s="458"/>
      <c r="AZ671" s="458"/>
      <c r="BA671" s="1305"/>
      <c r="BC671" s="169"/>
    </row>
    <row r="672" spans="19:55" ht="15.75" customHeight="1">
      <c r="S672" s="454"/>
      <c r="AY672" s="458"/>
      <c r="AZ672" s="458"/>
      <c r="BA672" s="1305"/>
      <c r="BC672" s="169"/>
    </row>
    <row r="673" spans="19:55" ht="15.75" customHeight="1">
      <c r="S673" s="454"/>
      <c r="AY673" s="458"/>
      <c r="AZ673" s="458"/>
      <c r="BA673" s="1305"/>
      <c r="BC673" s="169"/>
    </row>
    <row r="674" spans="19:55" ht="15.75" customHeight="1">
      <c r="S674" s="454"/>
      <c r="AY674" s="458"/>
      <c r="AZ674" s="458"/>
      <c r="BA674" s="1305"/>
      <c r="BC674" s="169"/>
    </row>
    <row r="675" spans="19:55" ht="15.75" customHeight="1">
      <c r="S675" s="454"/>
      <c r="AY675" s="458"/>
      <c r="AZ675" s="458"/>
      <c r="BA675" s="1305"/>
      <c r="BC675" s="169"/>
    </row>
    <row r="676" spans="19:55" ht="15.75" customHeight="1">
      <c r="S676" s="454"/>
      <c r="AY676" s="458"/>
      <c r="AZ676" s="458"/>
      <c r="BA676" s="1305"/>
      <c r="BC676" s="169"/>
    </row>
    <row r="677" spans="19:55" ht="15.75" customHeight="1">
      <c r="S677" s="454"/>
      <c r="AY677" s="458"/>
      <c r="AZ677" s="458"/>
      <c r="BA677" s="1305"/>
      <c r="BC677" s="169"/>
    </row>
    <row r="678" spans="19:55" ht="15.75" customHeight="1">
      <c r="S678" s="454"/>
      <c r="AY678" s="458"/>
      <c r="AZ678" s="458"/>
      <c r="BA678" s="1305"/>
      <c r="BC678" s="169"/>
    </row>
    <row r="679" spans="19:55" ht="15.75" customHeight="1">
      <c r="S679" s="454"/>
      <c r="AY679" s="458"/>
      <c r="AZ679" s="458"/>
      <c r="BA679" s="1305"/>
      <c r="BC679" s="169"/>
    </row>
    <row r="680" spans="19:55" ht="15.75" customHeight="1">
      <c r="S680" s="454"/>
      <c r="AY680" s="458"/>
      <c r="AZ680" s="458"/>
      <c r="BA680" s="1305"/>
      <c r="BC680" s="169"/>
    </row>
    <row r="681" spans="19:55" ht="15.75" customHeight="1">
      <c r="S681" s="454"/>
      <c r="AY681" s="458"/>
      <c r="AZ681" s="458"/>
      <c r="BA681" s="1305"/>
      <c r="BC681" s="169"/>
    </row>
    <row r="682" spans="19:55" ht="15.75" customHeight="1">
      <c r="S682" s="454"/>
      <c r="AY682" s="458"/>
      <c r="AZ682" s="458"/>
      <c r="BA682" s="1305"/>
      <c r="BC682" s="169"/>
    </row>
    <row r="683" spans="19:55" ht="15.75" customHeight="1">
      <c r="S683" s="454"/>
      <c r="AY683" s="458"/>
      <c r="AZ683" s="458"/>
      <c r="BA683" s="1305"/>
      <c r="BC683" s="169"/>
    </row>
    <row r="684" spans="19:55" ht="15.75" customHeight="1">
      <c r="S684" s="454"/>
      <c r="AY684" s="458"/>
      <c r="AZ684" s="458"/>
      <c r="BA684" s="1305"/>
      <c r="BC684" s="169"/>
    </row>
    <row r="685" spans="19:55" ht="15.75" customHeight="1">
      <c r="S685" s="454"/>
      <c r="AY685" s="458"/>
      <c r="AZ685" s="458"/>
      <c r="BA685" s="1305"/>
      <c r="BC685" s="169"/>
    </row>
    <row r="686" spans="19:55" ht="15.75" customHeight="1">
      <c r="S686" s="454"/>
      <c r="AY686" s="458"/>
      <c r="AZ686" s="458"/>
      <c r="BA686" s="1305"/>
      <c r="BC686" s="169"/>
    </row>
    <row r="687" spans="19:55" ht="15.75" customHeight="1">
      <c r="S687" s="454"/>
      <c r="AY687" s="458"/>
      <c r="AZ687" s="458"/>
      <c r="BA687" s="1305"/>
      <c r="BC687" s="169"/>
    </row>
    <row r="688" spans="19:55" ht="15.75" customHeight="1">
      <c r="S688" s="454"/>
      <c r="AY688" s="458"/>
      <c r="AZ688" s="458"/>
      <c r="BA688" s="1305"/>
      <c r="BC688" s="169"/>
    </row>
    <row r="689" spans="19:55" ht="15.75" customHeight="1">
      <c r="S689" s="454"/>
      <c r="AY689" s="458"/>
      <c r="AZ689" s="458"/>
      <c r="BA689" s="1305"/>
      <c r="BC689" s="169"/>
    </row>
    <row r="690" spans="19:55" ht="15.75" customHeight="1">
      <c r="S690" s="454"/>
      <c r="AY690" s="458"/>
      <c r="AZ690" s="458"/>
      <c r="BA690" s="1305"/>
      <c r="BC690" s="169"/>
    </row>
    <row r="691" spans="19:55" ht="15.75" customHeight="1">
      <c r="S691" s="454"/>
      <c r="AY691" s="458"/>
      <c r="AZ691" s="458"/>
      <c r="BA691" s="1305"/>
      <c r="BC691" s="169"/>
    </row>
    <row r="692" spans="19:55" ht="15.75" customHeight="1">
      <c r="S692" s="454"/>
      <c r="AY692" s="458"/>
      <c r="AZ692" s="458"/>
      <c r="BA692" s="1305"/>
      <c r="BC692" s="169"/>
    </row>
    <row r="693" spans="19:55" ht="15.75" customHeight="1">
      <c r="S693" s="454"/>
      <c r="AY693" s="458"/>
      <c r="AZ693" s="458"/>
      <c r="BA693" s="1305"/>
      <c r="BC693" s="169"/>
    </row>
    <row r="694" spans="19:55" ht="15.75" customHeight="1">
      <c r="S694" s="454"/>
      <c r="AY694" s="458"/>
      <c r="AZ694" s="458"/>
      <c r="BA694" s="1305"/>
      <c r="BC694" s="169"/>
    </row>
    <row r="695" spans="19:55" ht="15.75" customHeight="1">
      <c r="S695" s="454"/>
      <c r="AY695" s="458"/>
      <c r="AZ695" s="458"/>
      <c r="BA695" s="1305"/>
      <c r="BC695" s="169"/>
    </row>
    <row r="696" spans="19:55" ht="15.75" customHeight="1">
      <c r="S696" s="454"/>
      <c r="AY696" s="458"/>
      <c r="AZ696" s="458"/>
      <c r="BA696" s="1305"/>
      <c r="BC696" s="169"/>
    </row>
    <row r="697" spans="19:55" ht="15.75" customHeight="1">
      <c r="S697" s="454"/>
      <c r="AY697" s="458"/>
      <c r="AZ697" s="458"/>
      <c r="BA697" s="1305"/>
      <c r="BC697" s="169"/>
    </row>
    <row r="698" spans="19:55" ht="15.75" customHeight="1">
      <c r="S698" s="454"/>
      <c r="AY698" s="458"/>
      <c r="AZ698" s="458"/>
      <c r="BA698" s="1305"/>
      <c r="BC698" s="169"/>
    </row>
    <row r="699" spans="19:55" ht="15.75" customHeight="1">
      <c r="S699" s="454"/>
      <c r="AY699" s="458"/>
      <c r="AZ699" s="458"/>
      <c r="BA699" s="1305"/>
      <c r="BC699" s="169"/>
    </row>
    <row r="700" spans="19:55" ht="15.75" customHeight="1">
      <c r="S700" s="454"/>
      <c r="AY700" s="458"/>
      <c r="AZ700" s="458"/>
      <c r="BA700" s="1305"/>
      <c r="BC700" s="169"/>
    </row>
    <row r="701" spans="19:55" ht="15.75" customHeight="1">
      <c r="S701" s="454"/>
      <c r="AY701" s="458"/>
      <c r="AZ701" s="458"/>
      <c r="BA701" s="1305"/>
      <c r="BC701" s="169"/>
    </row>
    <row r="702" spans="19:55" ht="15.75" customHeight="1">
      <c r="S702" s="454"/>
      <c r="AY702" s="458"/>
      <c r="AZ702" s="458"/>
      <c r="BA702" s="1305"/>
      <c r="BC702" s="169"/>
    </row>
    <row r="703" spans="19:55" ht="15.75" customHeight="1">
      <c r="S703" s="454"/>
      <c r="AY703" s="458"/>
      <c r="AZ703" s="458"/>
      <c r="BA703" s="1305"/>
      <c r="BC703" s="169"/>
    </row>
    <row r="704" spans="19:55" ht="15.75" customHeight="1">
      <c r="S704" s="454"/>
      <c r="AY704" s="458"/>
      <c r="AZ704" s="458"/>
      <c r="BA704" s="1305"/>
      <c r="BC704" s="169"/>
    </row>
    <row r="705" spans="19:55" ht="15.75" customHeight="1">
      <c r="S705" s="454"/>
      <c r="AY705" s="458"/>
      <c r="AZ705" s="458"/>
      <c r="BA705" s="1305"/>
      <c r="BC705" s="169"/>
    </row>
    <row r="706" spans="19:55" ht="15.75" customHeight="1">
      <c r="S706" s="454"/>
      <c r="AY706" s="458"/>
      <c r="AZ706" s="458"/>
      <c r="BA706" s="1305"/>
      <c r="BC706" s="169"/>
    </row>
    <row r="707" spans="19:55" ht="15.75" customHeight="1">
      <c r="S707" s="454"/>
      <c r="AY707" s="458"/>
      <c r="AZ707" s="458"/>
      <c r="BA707" s="1305"/>
      <c r="BC707" s="169"/>
    </row>
    <row r="708" spans="19:55" ht="15.75" customHeight="1">
      <c r="S708" s="454"/>
      <c r="AY708" s="458"/>
      <c r="AZ708" s="458"/>
      <c r="BA708" s="1305"/>
      <c r="BC708" s="169"/>
    </row>
    <row r="709" spans="19:55" ht="15.75" customHeight="1">
      <c r="S709" s="454"/>
      <c r="AY709" s="458"/>
      <c r="AZ709" s="458"/>
      <c r="BA709" s="1305"/>
      <c r="BC709" s="169"/>
    </row>
    <row r="710" spans="19:55" ht="15.75" customHeight="1">
      <c r="S710" s="454"/>
      <c r="AY710" s="458"/>
      <c r="AZ710" s="458"/>
      <c r="BA710" s="1305"/>
      <c r="BC710" s="169"/>
    </row>
    <row r="711" spans="19:55" ht="15.75" customHeight="1">
      <c r="S711" s="454"/>
      <c r="AY711" s="458"/>
      <c r="AZ711" s="458"/>
      <c r="BA711" s="1305"/>
      <c r="BC711" s="169"/>
    </row>
    <row r="712" spans="19:55" ht="15.75" customHeight="1">
      <c r="S712" s="454"/>
      <c r="AY712" s="458"/>
      <c r="AZ712" s="458"/>
      <c r="BA712" s="1305"/>
      <c r="BC712" s="169"/>
    </row>
    <row r="713" spans="19:55" ht="15.75" customHeight="1">
      <c r="S713" s="454"/>
      <c r="AY713" s="458"/>
      <c r="AZ713" s="458"/>
      <c r="BA713" s="1305"/>
      <c r="BC713" s="169"/>
    </row>
    <row r="714" spans="19:55" ht="15.75" customHeight="1">
      <c r="S714" s="454"/>
      <c r="AY714" s="458"/>
      <c r="AZ714" s="458"/>
      <c r="BA714" s="1305"/>
      <c r="BC714" s="169"/>
    </row>
    <row r="715" spans="19:55" ht="15.75" customHeight="1">
      <c r="S715" s="454"/>
      <c r="AY715" s="458"/>
      <c r="AZ715" s="458"/>
      <c r="BA715" s="1305"/>
      <c r="BC715" s="169"/>
    </row>
    <row r="716" spans="19:55" ht="15.75" customHeight="1">
      <c r="S716" s="454"/>
      <c r="AY716" s="458"/>
      <c r="AZ716" s="458"/>
      <c r="BA716" s="1305"/>
      <c r="BC716" s="169"/>
    </row>
    <row r="717" spans="19:55" ht="15.75" customHeight="1">
      <c r="S717" s="454"/>
      <c r="AY717" s="458"/>
      <c r="AZ717" s="458"/>
      <c r="BA717" s="1305"/>
      <c r="BC717" s="169"/>
    </row>
    <row r="718" spans="19:55" ht="15.75" customHeight="1">
      <c r="S718" s="454"/>
      <c r="AY718" s="458"/>
      <c r="AZ718" s="458"/>
      <c r="BA718" s="1305"/>
      <c r="BC718" s="169"/>
    </row>
    <row r="719" spans="19:55" ht="15.75" customHeight="1">
      <c r="S719" s="454"/>
      <c r="AY719" s="458"/>
      <c r="AZ719" s="458"/>
      <c r="BA719" s="1305"/>
      <c r="BC719" s="169"/>
    </row>
    <row r="720" spans="19:55" ht="15.75" customHeight="1">
      <c r="S720" s="454"/>
      <c r="AY720" s="458"/>
      <c r="AZ720" s="458"/>
      <c r="BA720" s="1305"/>
      <c r="BC720" s="169"/>
    </row>
    <row r="721" spans="19:55" ht="15.75" customHeight="1">
      <c r="S721" s="454"/>
      <c r="AY721" s="458"/>
      <c r="AZ721" s="458"/>
      <c r="BA721" s="1305"/>
      <c r="BC721" s="169"/>
    </row>
    <row r="722" spans="19:55" ht="15.75" customHeight="1">
      <c r="S722" s="454"/>
      <c r="AY722" s="458"/>
      <c r="AZ722" s="458"/>
      <c r="BA722" s="1305"/>
      <c r="BC722" s="169"/>
    </row>
    <row r="723" spans="19:55" ht="15.75" customHeight="1">
      <c r="S723" s="454"/>
      <c r="AY723" s="458"/>
      <c r="AZ723" s="458"/>
      <c r="BA723" s="1305"/>
      <c r="BC723" s="169"/>
    </row>
    <row r="724" spans="19:55" ht="15.75" customHeight="1">
      <c r="S724" s="454"/>
      <c r="AY724" s="458"/>
      <c r="AZ724" s="458"/>
      <c r="BA724" s="1305"/>
      <c r="BC724" s="169"/>
    </row>
    <row r="725" spans="19:55" ht="15.75" customHeight="1">
      <c r="S725" s="454"/>
      <c r="AY725" s="458"/>
      <c r="AZ725" s="458"/>
      <c r="BA725" s="1305"/>
      <c r="BC725" s="169"/>
    </row>
    <row r="726" spans="19:55" ht="15.75" customHeight="1">
      <c r="S726" s="454"/>
      <c r="AY726" s="458"/>
      <c r="AZ726" s="458"/>
      <c r="BA726" s="1305"/>
      <c r="BC726" s="169"/>
    </row>
    <row r="727" spans="19:55" ht="15.75" customHeight="1">
      <c r="S727" s="454"/>
      <c r="AY727" s="458"/>
      <c r="AZ727" s="458"/>
      <c r="BA727" s="1305"/>
      <c r="BC727" s="169"/>
    </row>
    <row r="728" spans="19:55" ht="15.75" customHeight="1">
      <c r="S728" s="454"/>
      <c r="AY728" s="458"/>
      <c r="AZ728" s="458"/>
      <c r="BA728" s="1305"/>
      <c r="BC728" s="169"/>
    </row>
    <row r="729" spans="19:55" ht="15.75" customHeight="1">
      <c r="S729" s="454"/>
      <c r="AY729" s="458"/>
      <c r="AZ729" s="458"/>
      <c r="BA729" s="1305"/>
      <c r="BC729" s="169"/>
    </row>
    <row r="730" spans="19:55" ht="15.75" customHeight="1">
      <c r="S730" s="454"/>
      <c r="AY730" s="458"/>
      <c r="AZ730" s="458"/>
      <c r="BA730" s="1305"/>
      <c r="BC730" s="169"/>
    </row>
    <row r="731" spans="19:55" ht="15.75" customHeight="1">
      <c r="S731" s="454"/>
      <c r="AY731" s="458"/>
      <c r="AZ731" s="458"/>
      <c r="BA731" s="1305"/>
      <c r="BC731" s="169"/>
    </row>
    <row r="732" spans="19:55" ht="15.75" customHeight="1">
      <c r="S732" s="454"/>
      <c r="AY732" s="458"/>
      <c r="AZ732" s="458"/>
      <c r="BA732" s="1305"/>
      <c r="BC732" s="169"/>
    </row>
    <row r="733" spans="19:55" ht="15.75" customHeight="1">
      <c r="S733" s="454"/>
      <c r="AY733" s="458"/>
      <c r="AZ733" s="458"/>
      <c r="BA733" s="1305"/>
      <c r="BC733" s="169"/>
    </row>
    <row r="734" spans="19:55" ht="15.75" customHeight="1">
      <c r="S734" s="454"/>
      <c r="AY734" s="458"/>
      <c r="AZ734" s="458"/>
      <c r="BA734" s="1305"/>
      <c r="BC734" s="169"/>
    </row>
    <row r="735" spans="19:55" ht="15.75" customHeight="1">
      <c r="S735" s="454"/>
      <c r="AY735" s="458"/>
      <c r="AZ735" s="458"/>
      <c r="BA735" s="1305"/>
      <c r="BC735" s="169"/>
    </row>
    <row r="736" spans="19:55" ht="15.75" customHeight="1">
      <c r="S736" s="454"/>
      <c r="AY736" s="458"/>
      <c r="AZ736" s="458"/>
      <c r="BA736" s="1305"/>
      <c r="BC736" s="169"/>
    </row>
    <row r="737" spans="19:55" ht="15.75" customHeight="1">
      <c r="S737" s="454"/>
      <c r="AY737" s="458"/>
      <c r="AZ737" s="458"/>
      <c r="BA737" s="1305"/>
      <c r="BC737" s="169"/>
    </row>
    <row r="738" spans="19:55" ht="15.75" customHeight="1">
      <c r="S738" s="454"/>
      <c r="AY738" s="458"/>
      <c r="AZ738" s="458"/>
      <c r="BA738" s="1305"/>
      <c r="BC738" s="169"/>
    </row>
    <row r="739" spans="19:55" ht="15.75" customHeight="1">
      <c r="S739" s="454"/>
      <c r="AY739" s="458"/>
      <c r="AZ739" s="458"/>
      <c r="BA739" s="1305"/>
      <c r="BC739" s="169"/>
    </row>
    <row r="740" spans="19:55" ht="15.75" customHeight="1">
      <c r="S740" s="454"/>
      <c r="AY740" s="458"/>
      <c r="AZ740" s="458"/>
      <c r="BA740" s="1305"/>
      <c r="BC740" s="169"/>
    </row>
    <row r="741" spans="19:55" ht="15.75" customHeight="1">
      <c r="S741" s="454"/>
      <c r="AY741" s="458"/>
      <c r="AZ741" s="458"/>
      <c r="BA741" s="1305"/>
      <c r="BC741" s="169"/>
    </row>
    <row r="742" spans="19:55" ht="15.75" customHeight="1">
      <c r="S742" s="454"/>
      <c r="AY742" s="458"/>
      <c r="AZ742" s="458"/>
      <c r="BA742" s="1305"/>
      <c r="BC742" s="169"/>
    </row>
    <row r="743" spans="19:55" ht="15.75" customHeight="1">
      <c r="S743" s="454"/>
      <c r="AY743" s="458"/>
      <c r="AZ743" s="458"/>
      <c r="BA743" s="1305"/>
      <c r="BC743" s="169"/>
    </row>
    <row r="744" spans="19:55" ht="15.75" customHeight="1">
      <c r="S744" s="454"/>
      <c r="AY744" s="458"/>
      <c r="AZ744" s="458"/>
      <c r="BA744" s="1305"/>
      <c r="BC744" s="169"/>
    </row>
    <row r="745" spans="19:55" ht="15.75" customHeight="1">
      <c r="S745" s="454"/>
      <c r="AY745" s="458"/>
      <c r="AZ745" s="458"/>
      <c r="BA745" s="1305"/>
      <c r="BC745" s="169"/>
    </row>
    <row r="746" spans="19:55" ht="15.75" customHeight="1">
      <c r="S746" s="454"/>
      <c r="AY746" s="458"/>
      <c r="AZ746" s="458"/>
      <c r="BA746" s="1305"/>
      <c r="BC746" s="169"/>
    </row>
    <row r="747" spans="19:55" ht="15.75" customHeight="1">
      <c r="S747" s="454"/>
      <c r="AY747" s="458"/>
      <c r="AZ747" s="458"/>
      <c r="BA747" s="1305"/>
      <c r="BC747" s="169"/>
    </row>
    <row r="748" spans="19:55" ht="15.75" customHeight="1">
      <c r="S748" s="454"/>
      <c r="AY748" s="458"/>
      <c r="AZ748" s="458"/>
      <c r="BA748" s="1305"/>
      <c r="BC748" s="169"/>
    </row>
    <row r="749" spans="19:55" ht="15.75" customHeight="1">
      <c r="S749" s="454"/>
      <c r="AY749" s="458"/>
      <c r="AZ749" s="458"/>
      <c r="BA749" s="1305"/>
      <c r="BC749" s="169"/>
    </row>
    <row r="750" spans="19:55" ht="15.75" customHeight="1">
      <c r="S750" s="454"/>
      <c r="AY750" s="458"/>
      <c r="AZ750" s="458"/>
      <c r="BA750" s="1305"/>
      <c r="BC750" s="169"/>
    </row>
    <row r="751" spans="19:55" ht="15.75" customHeight="1">
      <c r="S751" s="454"/>
      <c r="AY751" s="458"/>
      <c r="AZ751" s="458"/>
      <c r="BA751" s="1305"/>
      <c r="BC751" s="169"/>
    </row>
    <row r="752" spans="19:55" ht="15.75" customHeight="1">
      <c r="S752" s="454"/>
      <c r="AY752" s="458"/>
      <c r="AZ752" s="458"/>
      <c r="BA752" s="1305"/>
      <c r="BC752" s="169"/>
    </row>
    <row r="753" spans="19:55" ht="15.75" customHeight="1">
      <c r="S753" s="454"/>
      <c r="AY753" s="458"/>
      <c r="AZ753" s="458"/>
      <c r="BA753" s="1305"/>
      <c r="BC753" s="169"/>
    </row>
    <row r="754" spans="19:55" ht="15.75" customHeight="1">
      <c r="S754" s="454"/>
      <c r="AY754" s="458"/>
      <c r="AZ754" s="458"/>
      <c r="BA754" s="1305"/>
      <c r="BC754" s="169"/>
    </row>
    <row r="755" spans="19:55" ht="15.75" customHeight="1">
      <c r="S755" s="454"/>
      <c r="AY755" s="458"/>
      <c r="AZ755" s="458"/>
      <c r="BA755" s="1305"/>
      <c r="BC755" s="169"/>
    </row>
    <row r="756" spans="19:55" ht="15.75" customHeight="1">
      <c r="S756" s="454"/>
      <c r="AY756" s="458"/>
      <c r="AZ756" s="458"/>
      <c r="BA756" s="1305"/>
      <c r="BC756" s="169"/>
    </row>
    <row r="757" spans="19:55" ht="15.75" customHeight="1">
      <c r="S757" s="454"/>
      <c r="AY757" s="458"/>
      <c r="AZ757" s="458"/>
      <c r="BA757" s="1305"/>
      <c r="BC757" s="169"/>
    </row>
    <row r="758" spans="19:55" ht="15.75" customHeight="1">
      <c r="S758" s="454"/>
      <c r="AY758" s="458"/>
      <c r="AZ758" s="458"/>
      <c r="BA758" s="1305"/>
      <c r="BC758" s="169"/>
    </row>
    <row r="759" spans="19:55" ht="15.75" customHeight="1">
      <c r="S759" s="454"/>
      <c r="AY759" s="458"/>
      <c r="AZ759" s="458"/>
      <c r="BA759" s="1305"/>
      <c r="BC759" s="169"/>
    </row>
    <row r="760" spans="19:55" ht="15.75" customHeight="1">
      <c r="S760" s="454"/>
      <c r="AY760" s="458"/>
      <c r="AZ760" s="458"/>
      <c r="BA760" s="1305"/>
      <c r="BC760" s="169"/>
    </row>
    <row r="761" spans="19:55" ht="15.75" customHeight="1">
      <c r="S761" s="454"/>
      <c r="AY761" s="458"/>
      <c r="AZ761" s="458"/>
      <c r="BA761" s="1305"/>
      <c r="BC761" s="169"/>
    </row>
    <row r="762" spans="19:55" ht="15.75" customHeight="1">
      <c r="S762" s="454"/>
      <c r="AY762" s="458"/>
      <c r="AZ762" s="458"/>
      <c r="BA762" s="1305"/>
      <c r="BC762" s="169"/>
    </row>
    <row r="763" spans="19:55" ht="15.75" customHeight="1">
      <c r="S763" s="454"/>
      <c r="AY763" s="458"/>
      <c r="AZ763" s="458"/>
      <c r="BA763" s="1305"/>
      <c r="BC763" s="169"/>
    </row>
    <row r="764" spans="19:55" ht="15.75" customHeight="1">
      <c r="S764" s="454"/>
      <c r="AY764" s="458"/>
      <c r="AZ764" s="458"/>
      <c r="BA764" s="1305"/>
      <c r="BC764" s="169"/>
    </row>
    <row r="765" spans="19:55" ht="15.75" customHeight="1">
      <c r="S765" s="454"/>
      <c r="AY765" s="458"/>
      <c r="AZ765" s="458"/>
      <c r="BA765" s="1305"/>
      <c r="BC765" s="169"/>
    </row>
    <row r="766" spans="19:55" ht="15.75" customHeight="1">
      <c r="S766" s="454"/>
      <c r="AY766" s="458"/>
      <c r="AZ766" s="458"/>
      <c r="BA766" s="1305"/>
      <c r="BC766" s="169"/>
    </row>
    <row r="767" spans="19:55" ht="15.75" customHeight="1">
      <c r="S767" s="454"/>
      <c r="AY767" s="458"/>
      <c r="AZ767" s="458"/>
      <c r="BA767" s="1305"/>
      <c r="BC767" s="169"/>
    </row>
    <row r="768" spans="19:55" ht="15.75" customHeight="1">
      <c r="S768" s="454"/>
      <c r="AY768" s="458"/>
      <c r="AZ768" s="458"/>
      <c r="BA768" s="1305"/>
      <c r="BC768" s="169"/>
    </row>
    <row r="769" spans="19:55" ht="15.75" customHeight="1">
      <c r="S769" s="454"/>
      <c r="AY769" s="458"/>
      <c r="AZ769" s="458"/>
      <c r="BA769" s="1305"/>
      <c r="BC769" s="169"/>
    </row>
    <row r="770" spans="19:55" ht="15.75" customHeight="1">
      <c r="S770" s="454"/>
      <c r="AY770" s="458"/>
      <c r="AZ770" s="458"/>
      <c r="BA770" s="1305"/>
      <c r="BC770" s="169"/>
    </row>
    <row r="771" spans="19:55" ht="15.75" customHeight="1">
      <c r="S771" s="454"/>
      <c r="AY771" s="458"/>
      <c r="AZ771" s="458"/>
      <c r="BA771" s="1305"/>
      <c r="BC771" s="169"/>
    </row>
    <row r="772" spans="19:55" ht="15.75" customHeight="1">
      <c r="S772" s="454"/>
      <c r="AY772" s="458"/>
      <c r="AZ772" s="458"/>
      <c r="BA772" s="1305"/>
      <c r="BC772" s="169"/>
    </row>
    <row r="773" spans="19:55" ht="15.75" customHeight="1">
      <c r="S773" s="454"/>
      <c r="AY773" s="458"/>
      <c r="AZ773" s="458"/>
      <c r="BA773" s="1305"/>
      <c r="BC773" s="169"/>
    </row>
    <row r="774" spans="19:55" ht="15.75" customHeight="1">
      <c r="S774" s="454"/>
      <c r="AY774" s="458"/>
      <c r="AZ774" s="458"/>
      <c r="BA774" s="1305"/>
      <c r="BC774" s="169"/>
    </row>
    <row r="775" spans="19:55" ht="15.75" customHeight="1">
      <c r="S775" s="454"/>
      <c r="AY775" s="458"/>
      <c r="AZ775" s="458"/>
      <c r="BA775" s="1305"/>
      <c r="BC775" s="169"/>
    </row>
    <row r="776" spans="19:55" ht="15.75" customHeight="1">
      <c r="S776" s="454"/>
      <c r="AY776" s="458"/>
      <c r="AZ776" s="458"/>
      <c r="BA776" s="1305"/>
      <c r="BC776" s="169"/>
    </row>
    <row r="777" spans="19:55" ht="15.75" customHeight="1">
      <c r="S777" s="454"/>
      <c r="AY777" s="458"/>
      <c r="AZ777" s="458"/>
      <c r="BA777" s="1305"/>
      <c r="BC777" s="169"/>
    </row>
    <row r="778" spans="19:55" ht="15.75" customHeight="1">
      <c r="S778" s="454"/>
      <c r="AY778" s="458"/>
      <c r="AZ778" s="458"/>
      <c r="BA778" s="1305"/>
      <c r="BC778" s="169"/>
    </row>
    <row r="779" spans="19:55" ht="15.75" customHeight="1">
      <c r="S779" s="454"/>
      <c r="AY779" s="458"/>
      <c r="AZ779" s="458"/>
      <c r="BA779" s="1305"/>
      <c r="BC779" s="169"/>
    </row>
    <row r="780" spans="19:55" ht="15.75" customHeight="1">
      <c r="S780" s="454"/>
      <c r="AY780" s="458"/>
      <c r="AZ780" s="458"/>
      <c r="BA780" s="1305"/>
      <c r="BC780" s="169"/>
    </row>
    <row r="781" spans="19:55" ht="15.75" customHeight="1">
      <c r="S781" s="454"/>
      <c r="AY781" s="458"/>
      <c r="AZ781" s="458"/>
      <c r="BA781" s="1305"/>
      <c r="BC781" s="169"/>
    </row>
    <row r="782" spans="19:55" ht="15.75" customHeight="1">
      <c r="S782" s="454"/>
      <c r="AY782" s="458"/>
      <c r="AZ782" s="458"/>
      <c r="BA782" s="1305"/>
      <c r="BC782" s="169"/>
    </row>
    <row r="783" spans="19:55" ht="15.75" customHeight="1">
      <c r="S783" s="454"/>
      <c r="AY783" s="458"/>
      <c r="AZ783" s="458"/>
      <c r="BA783" s="1305"/>
      <c r="BC783" s="169"/>
    </row>
    <row r="784" spans="19:55" ht="15.75" customHeight="1">
      <c r="S784" s="454"/>
      <c r="AY784" s="458"/>
      <c r="AZ784" s="458"/>
      <c r="BA784" s="1305"/>
      <c r="BC784" s="169"/>
    </row>
    <row r="785" spans="19:55" ht="15.75" customHeight="1">
      <c r="S785" s="454"/>
      <c r="AY785" s="458"/>
      <c r="AZ785" s="458"/>
      <c r="BA785" s="1305"/>
      <c r="BC785" s="169"/>
    </row>
    <row r="786" spans="19:55" ht="15.75" customHeight="1">
      <c r="S786" s="454"/>
      <c r="AY786" s="458"/>
      <c r="AZ786" s="458"/>
      <c r="BA786" s="1305"/>
      <c r="BC786" s="169"/>
    </row>
    <row r="787" spans="19:55" ht="15.75" customHeight="1">
      <c r="S787" s="454"/>
      <c r="AY787" s="458"/>
      <c r="AZ787" s="458"/>
      <c r="BA787" s="1305"/>
      <c r="BC787" s="169"/>
    </row>
    <row r="788" spans="19:55" ht="15.75" customHeight="1">
      <c r="S788" s="454"/>
      <c r="AY788" s="458"/>
      <c r="AZ788" s="458"/>
      <c r="BA788" s="1305"/>
      <c r="BC788" s="169"/>
    </row>
    <row r="789" spans="19:55" ht="15.75" customHeight="1">
      <c r="S789" s="454"/>
      <c r="AY789" s="458"/>
      <c r="AZ789" s="458"/>
      <c r="BA789" s="1305"/>
      <c r="BC789" s="169"/>
    </row>
    <row r="790" spans="19:55" ht="15.75" customHeight="1">
      <c r="S790" s="454"/>
      <c r="AY790" s="458"/>
      <c r="AZ790" s="458"/>
      <c r="BA790" s="1305"/>
      <c r="BC790" s="169"/>
    </row>
    <row r="791" spans="19:55" ht="15.75" customHeight="1">
      <c r="S791" s="454"/>
      <c r="AY791" s="458"/>
      <c r="AZ791" s="458"/>
      <c r="BA791" s="1305"/>
      <c r="BC791" s="169"/>
    </row>
    <row r="792" spans="19:55" ht="15.75" customHeight="1">
      <c r="S792" s="454"/>
      <c r="AY792" s="458"/>
      <c r="AZ792" s="458"/>
      <c r="BA792" s="1305"/>
      <c r="BC792" s="169"/>
    </row>
    <row r="793" spans="19:55" ht="15.75" customHeight="1">
      <c r="S793" s="454"/>
      <c r="AY793" s="458"/>
      <c r="AZ793" s="458"/>
      <c r="BA793" s="1305"/>
      <c r="BC793" s="169"/>
    </row>
    <row r="794" spans="19:55" ht="15.75" customHeight="1">
      <c r="S794" s="454"/>
      <c r="AY794" s="458"/>
      <c r="AZ794" s="458"/>
      <c r="BA794" s="1305"/>
      <c r="BC794" s="169"/>
    </row>
    <row r="795" spans="19:55" ht="15.75" customHeight="1">
      <c r="S795" s="454"/>
      <c r="AY795" s="458"/>
      <c r="AZ795" s="458"/>
      <c r="BA795" s="1305"/>
      <c r="BC795" s="169"/>
    </row>
    <row r="796" spans="19:55" ht="15.75" customHeight="1">
      <c r="S796" s="454"/>
      <c r="AY796" s="458"/>
      <c r="AZ796" s="458"/>
      <c r="BA796" s="1305"/>
      <c r="BC796" s="169"/>
    </row>
    <row r="797" spans="19:55" ht="15.75" customHeight="1">
      <c r="S797" s="454"/>
      <c r="AY797" s="458"/>
      <c r="AZ797" s="458"/>
      <c r="BA797" s="1305"/>
      <c r="BC797" s="169"/>
    </row>
    <row r="798" spans="19:55" ht="15.75" customHeight="1">
      <c r="S798" s="454"/>
      <c r="AY798" s="458"/>
      <c r="AZ798" s="458"/>
      <c r="BA798" s="1305"/>
      <c r="BC798" s="169"/>
    </row>
    <row r="799" spans="19:55" ht="15.75" customHeight="1">
      <c r="S799" s="454"/>
      <c r="AY799" s="458"/>
      <c r="AZ799" s="458"/>
      <c r="BA799" s="1305"/>
      <c r="BC799" s="169"/>
    </row>
    <row r="800" spans="19:55" ht="15.75" customHeight="1">
      <c r="S800" s="454"/>
      <c r="AY800" s="458"/>
      <c r="AZ800" s="458"/>
      <c r="BA800" s="1305"/>
      <c r="BC800" s="169"/>
    </row>
    <row r="801" spans="19:55" ht="15.75" customHeight="1">
      <c r="S801" s="454"/>
      <c r="AY801" s="458"/>
      <c r="AZ801" s="458"/>
      <c r="BA801" s="1305"/>
      <c r="BC801" s="169"/>
    </row>
    <row r="802" spans="19:55" ht="15.75" customHeight="1">
      <c r="S802" s="454"/>
      <c r="AY802" s="458"/>
      <c r="AZ802" s="458"/>
      <c r="BA802" s="1305"/>
      <c r="BC802" s="169"/>
    </row>
    <row r="803" spans="19:55" ht="15.75" customHeight="1">
      <c r="S803" s="454"/>
      <c r="AY803" s="458"/>
      <c r="AZ803" s="458"/>
      <c r="BA803" s="1305"/>
      <c r="BC803" s="169"/>
    </row>
    <row r="804" spans="19:55" ht="15.75" customHeight="1">
      <c r="S804" s="454"/>
      <c r="AY804" s="458"/>
      <c r="AZ804" s="458"/>
      <c r="BA804" s="1305"/>
      <c r="BC804" s="169"/>
    </row>
    <row r="805" spans="19:55" ht="15.75" customHeight="1">
      <c r="S805" s="454"/>
      <c r="AY805" s="458"/>
      <c r="AZ805" s="458"/>
      <c r="BA805" s="1305"/>
      <c r="BC805" s="169"/>
    </row>
    <row r="806" spans="19:55" ht="15.75" customHeight="1">
      <c r="S806" s="454"/>
      <c r="AY806" s="458"/>
      <c r="AZ806" s="458"/>
      <c r="BA806" s="1305"/>
      <c r="BC806" s="169"/>
    </row>
    <row r="807" spans="19:55" ht="15.75" customHeight="1">
      <c r="S807" s="454"/>
      <c r="AY807" s="458"/>
      <c r="AZ807" s="458"/>
      <c r="BA807" s="1305"/>
      <c r="BC807" s="169"/>
    </row>
    <row r="808" spans="19:55" ht="15.75" customHeight="1">
      <c r="S808" s="454"/>
      <c r="AY808" s="458"/>
      <c r="AZ808" s="458"/>
      <c r="BA808" s="1305"/>
      <c r="BC808" s="169"/>
    </row>
    <row r="809" spans="19:55" ht="15.75" customHeight="1">
      <c r="S809" s="454"/>
      <c r="AY809" s="458"/>
      <c r="AZ809" s="458"/>
      <c r="BA809" s="1305"/>
      <c r="BC809" s="169"/>
    </row>
    <row r="810" spans="19:55" ht="15.75" customHeight="1">
      <c r="S810" s="454"/>
      <c r="AY810" s="458"/>
      <c r="AZ810" s="458"/>
      <c r="BA810" s="1305"/>
      <c r="BC810" s="169"/>
    </row>
    <row r="811" spans="19:55" ht="15.75" customHeight="1">
      <c r="S811" s="454"/>
      <c r="AY811" s="458"/>
      <c r="AZ811" s="458"/>
      <c r="BA811" s="1305"/>
      <c r="BC811" s="169"/>
    </row>
    <row r="812" spans="19:55" ht="15.75" customHeight="1">
      <c r="S812" s="454"/>
      <c r="AY812" s="458"/>
      <c r="AZ812" s="458"/>
      <c r="BA812" s="1305"/>
      <c r="BC812" s="169"/>
    </row>
    <row r="813" spans="19:55" ht="15.75" customHeight="1">
      <c r="S813" s="454"/>
      <c r="AY813" s="458"/>
      <c r="AZ813" s="458"/>
      <c r="BA813" s="1305"/>
      <c r="BC813" s="169"/>
    </row>
    <row r="814" spans="19:55" ht="15.75" customHeight="1">
      <c r="S814" s="454"/>
      <c r="AY814" s="458"/>
      <c r="AZ814" s="458"/>
      <c r="BA814" s="1305"/>
      <c r="BC814" s="169"/>
    </row>
    <row r="815" spans="19:55" ht="15.75" customHeight="1">
      <c r="S815" s="454"/>
      <c r="AY815" s="458"/>
      <c r="AZ815" s="458"/>
      <c r="BA815" s="1305"/>
      <c r="BC815" s="169"/>
    </row>
    <row r="816" spans="19:55" ht="15.75" customHeight="1">
      <c r="S816" s="454"/>
      <c r="AY816" s="458"/>
      <c r="AZ816" s="458"/>
      <c r="BA816" s="1305"/>
      <c r="BC816" s="169"/>
    </row>
    <row r="817" spans="19:55" ht="15.75" customHeight="1">
      <c r="S817" s="454"/>
      <c r="AY817" s="458"/>
      <c r="AZ817" s="458"/>
      <c r="BA817" s="1305"/>
      <c r="BC817" s="169"/>
    </row>
    <row r="818" spans="19:55" ht="15.75" customHeight="1">
      <c r="S818" s="454"/>
      <c r="AY818" s="458"/>
      <c r="AZ818" s="458"/>
      <c r="BA818" s="1305"/>
      <c r="BC818" s="169"/>
    </row>
    <row r="819" spans="19:55" ht="15.75" customHeight="1">
      <c r="S819" s="454"/>
      <c r="AY819" s="458"/>
      <c r="AZ819" s="458"/>
      <c r="BA819" s="1305"/>
      <c r="BC819" s="169"/>
    </row>
    <row r="820" spans="19:55" ht="15.75" customHeight="1">
      <c r="S820" s="454"/>
      <c r="AY820" s="458"/>
      <c r="AZ820" s="458"/>
      <c r="BA820" s="1305"/>
      <c r="BC820" s="169"/>
    </row>
    <row r="821" spans="19:55" ht="15.75" customHeight="1">
      <c r="S821" s="454"/>
      <c r="AY821" s="458"/>
      <c r="AZ821" s="458"/>
      <c r="BA821" s="1305"/>
      <c r="BC821" s="169"/>
    </row>
    <row r="822" spans="19:55" ht="15.75" customHeight="1">
      <c r="S822" s="454"/>
      <c r="AY822" s="458"/>
      <c r="AZ822" s="458"/>
      <c r="BA822" s="1305"/>
      <c r="BC822" s="169"/>
    </row>
    <row r="823" spans="19:55" ht="15.75" customHeight="1">
      <c r="S823" s="454"/>
      <c r="AY823" s="458"/>
      <c r="AZ823" s="458"/>
      <c r="BA823" s="1305"/>
      <c r="BC823" s="169"/>
    </row>
    <row r="824" spans="19:55" ht="15.75" customHeight="1">
      <c r="S824" s="454"/>
      <c r="AY824" s="458"/>
      <c r="AZ824" s="458"/>
      <c r="BA824" s="1305"/>
      <c r="BC824" s="169"/>
    </row>
    <row r="825" spans="19:55" ht="15.75" customHeight="1">
      <c r="S825" s="454"/>
      <c r="AY825" s="458"/>
      <c r="AZ825" s="458"/>
      <c r="BA825" s="1305"/>
      <c r="BC825" s="169"/>
    </row>
    <row r="826" spans="19:55" ht="15.75" customHeight="1">
      <c r="S826" s="454"/>
      <c r="AY826" s="458"/>
      <c r="AZ826" s="458"/>
      <c r="BA826" s="1305"/>
      <c r="BC826" s="169"/>
    </row>
    <row r="827" spans="19:55" ht="15.75" customHeight="1">
      <c r="S827" s="454"/>
      <c r="AY827" s="458"/>
      <c r="AZ827" s="458"/>
      <c r="BA827" s="1305"/>
      <c r="BC827" s="169"/>
    </row>
    <row r="828" spans="19:55" ht="15.75" customHeight="1">
      <c r="S828" s="454"/>
      <c r="AY828" s="458"/>
      <c r="AZ828" s="458"/>
      <c r="BA828" s="1305"/>
      <c r="BC828" s="169"/>
    </row>
    <row r="829" spans="19:55" ht="15.75" customHeight="1">
      <c r="S829" s="454"/>
      <c r="AY829" s="458"/>
      <c r="AZ829" s="458"/>
      <c r="BA829" s="1305"/>
      <c r="BC829" s="169"/>
    </row>
    <row r="830" spans="19:55" ht="15.75" customHeight="1">
      <c r="S830" s="454"/>
      <c r="AY830" s="458"/>
      <c r="AZ830" s="458"/>
      <c r="BA830" s="1305"/>
      <c r="BC830" s="169"/>
    </row>
    <row r="831" spans="19:55" ht="15.75" customHeight="1">
      <c r="S831" s="454"/>
      <c r="AY831" s="458"/>
      <c r="AZ831" s="458"/>
      <c r="BA831" s="1305"/>
      <c r="BC831" s="169"/>
    </row>
    <row r="832" spans="19:55" ht="15.75" customHeight="1">
      <c r="S832" s="454"/>
      <c r="AY832" s="458"/>
      <c r="AZ832" s="458"/>
      <c r="BA832" s="1305"/>
      <c r="BC832" s="169"/>
    </row>
    <row r="833" spans="19:55" ht="15.75" customHeight="1">
      <c r="S833" s="454"/>
      <c r="AY833" s="458"/>
      <c r="AZ833" s="458"/>
      <c r="BA833" s="1305"/>
      <c r="BC833" s="169"/>
    </row>
    <row r="834" spans="19:55" ht="15.75" customHeight="1">
      <c r="S834" s="454"/>
      <c r="AY834" s="458"/>
      <c r="AZ834" s="458"/>
      <c r="BA834" s="1305"/>
      <c r="BC834" s="169"/>
    </row>
    <row r="835" spans="19:55" ht="15.75" customHeight="1">
      <c r="S835" s="454"/>
      <c r="AY835" s="458"/>
      <c r="AZ835" s="458"/>
      <c r="BA835" s="1305"/>
      <c r="BC835" s="169"/>
    </row>
    <row r="836" spans="19:55" ht="15.75" customHeight="1">
      <c r="S836" s="454"/>
      <c r="AY836" s="458"/>
      <c r="AZ836" s="458"/>
      <c r="BA836" s="1305"/>
      <c r="BC836" s="169"/>
    </row>
    <row r="837" spans="19:55" ht="15.75" customHeight="1">
      <c r="S837" s="454"/>
      <c r="AY837" s="458"/>
      <c r="AZ837" s="458"/>
      <c r="BA837" s="1305"/>
      <c r="BC837" s="169"/>
    </row>
    <row r="838" spans="19:55" ht="15.75" customHeight="1">
      <c r="S838" s="454"/>
      <c r="AY838" s="458"/>
      <c r="AZ838" s="458"/>
      <c r="BA838" s="1305"/>
      <c r="BC838" s="169"/>
    </row>
    <row r="839" spans="19:55" ht="15.75" customHeight="1">
      <c r="S839" s="454"/>
      <c r="AY839" s="458"/>
      <c r="AZ839" s="458"/>
      <c r="BA839" s="1305"/>
      <c r="BC839" s="169"/>
    </row>
    <row r="840" spans="19:55" ht="15.75" customHeight="1">
      <c r="S840" s="454"/>
      <c r="AY840" s="458"/>
      <c r="AZ840" s="458"/>
      <c r="BA840" s="1305"/>
      <c r="BC840" s="169"/>
    </row>
    <row r="841" spans="19:55" ht="15.75" customHeight="1">
      <c r="S841" s="454"/>
      <c r="AY841" s="458"/>
      <c r="AZ841" s="458"/>
      <c r="BA841" s="1305"/>
      <c r="BC841" s="169"/>
    </row>
    <row r="842" spans="19:55" ht="15.75" customHeight="1">
      <c r="S842" s="454"/>
      <c r="AY842" s="458"/>
      <c r="AZ842" s="458"/>
      <c r="BA842" s="1305"/>
      <c r="BC842" s="169"/>
    </row>
    <row r="843" spans="19:55" ht="15.75" customHeight="1">
      <c r="S843" s="454"/>
      <c r="AY843" s="458"/>
      <c r="AZ843" s="458"/>
      <c r="BA843" s="1305"/>
      <c r="BC843" s="169"/>
    </row>
    <row r="844" spans="19:55" ht="15.75" customHeight="1">
      <c r="S844" s="454"/>
      <c r="AY844" s="458"/>
      <c r="AZ844" s="458"/>
      <c r="BA844" s="1305"/>
      <c r="BC844" s="169"/>
    </row>
    <row r="845" spans="19:55" ht="15.75" customHeight="1">
      <c r="S845" s="454"/>
      <c r="AY845" s="458"/>
      <c r="AZ845" s="458"/>
      <c r="BA845" s="1305"/>
      <c r="BC845" s="169"/>
    </row>
    <row r="846" spans="19:55" ht="15.75" customHeight="1">
      <c r="S846" s="454"/>
      <c r="AY846" s="458"/>
      <c r="AZ846" s="458"/>
      <c r="BA846" s="1305"/>
      <c r="BC846" s="169"/>
    </row>
    <row r="847" spans="19:55" ht="15.75" customHeight="1">
      <c r="S847" s="454"/>
      <c r="AY847" s="458"/>
      <c r="AZ847" s="458"/>
      <c r="BA847" s="1305"/>
      <c r="BC847" s="169"/>
    </row>
    <row r="848" spans="19:55" ht="15.75" customHeight="1">
      <c r="S848" s="454"/>
      <c r="AY848" s="458"/>
      <c r="AZ848" s="458"/>
      <c r="BA848" s="1305"/>
      <c r="BC848" s="169"/>
    </row>
    <row r="849" spans="19:55" ht="15.75" customHeight="1">
      <c r="S849" s="454"/>
      <c r="AY849" s="458"/>
      <c r="AZ849" s="458"/>
      <c r="BA849" s="1305"/>
      <c r="BC849" s="169"/>
    </row>
    <row r="850" spans="19:55" ht="15.75" customHeight="1">
      <c r="S850" s="454"/>
      <c r="AY850" s="458"/>
      <c r="AZ850" s="458"/>
      <c r="BA850" s="1305"/>
      <c r="BC850" s="169"/>
    </row>
    <row r="851" spans="19:55" ht="15.75" customHeight="1">
      <c r="S851" s="454"/>
      <c r="AY851" s="458"/>
      <c r="AZ851" s="458"/>
      <c r="BA851" s="1305"/>
      <c r="BC851" s="169"/>
    </row>
    <row r="852" spans="19:55" ht="15.75" customHeight="1">
      <c r="S852" s="454"/>
      <c r="AY852" s="458"/>
      <c r="AZ852" s="458"/>
      <c r="BA852" s="1305"/>
      <c r="BC852" s="169"/>
    </row>
    <row r="853" spans="19:55" ht="15.75" customHeight="1">
      <c r="S853" s="454"/>
      <c r="AY853" s="458"/>
      <c r="AZ853" s="458"/>
      <c r="BA853" s="1305"/>
      <c r="BC853" s="169"/>
    </row>
    <row r="854" spans="19:55" ht="15.75" customHeight="1">
      <c r="S854" s="454"/>
      <c r="AY854" s="458"/>
      <c r="AZ854" s="458"/>
      <c r="BA854" s="1305"/>
      <c r="BC854" s="169"/>
    </row>
    <row r="855" spans="19:55" ht="15.75" customHeight="1">
      <c r="S855" s="454"/>
      <c r="AY855" s="458"/>
      <c r="AZ855" s="458"/>
      <c r="BA855" s="1305"/>
      <c r="BC855" s="169"/>
    </row>
    <row r="856" spans="19:55" ht="15.75" customHeight="1">
      <c r="S856" s="454"/>
      <c r="AY856" s="458"/>
      <c r="AZ856" s="458"/>
      <c r="BA856" s="1305"/>
      <c r="BC856" s="169"/>
    </row>
    <row r="857" spans="19:55" ht="15.75" customHeight="1">
      <c r="S857" s="454"/>
      <c r="AY857" s="458"/>
      <c r="AZ857" s="458"/>
      <c r="BA857" s="1305"/>
      <c r="BC857" s="169"/>
    </row>
    <row r="858" spans="19:55" ht="15.75" customHeight="1">
      <c r="S858" s="454"/>
      <c r="AY858" s="458"/>
      <c r="AZ858" s="458"/>
      <c r="BA858" s="1305"/>
      <c r="BC858" s="169"/>
    </row>
    <row r="859" spans="19:55" ht="15.75" customHeight="1">
      <c r="S859" s="454"/>
      <c r="AY859" s="458"/>
      <c r="AZ859" s="458"/>
      <c r="BA859" s="1305"/>
      <c r="BC859" s="169"/>
    </row>
    <row r="860" spans="19:55" ht="15.75" customHeight="1">
      <c r="S860" s="454"/>
      <c r="AY860" s="458"/>
      <c r="AZ860" s="458"/>
      <c r="BA860" s="1305"/>
      <c r="BC860" s="169"/>
    </row>
    <row r="861" spans="19:55" ht="15.75" customHeight="1">
      <c r="S861" s="454"/>
      <c r="AY861" s="458"/>
      <c r="AZ861" s="458"/>
      <c r="BA861" s="1305"/>
      <c r="BC861" s="169"/>
    </row>
    <row r="862" spans="19:55" ht="15.75" customHeight="1">
      <c r="S862" s="454"/>
      <c r="AY862" s="458"/>
      <c r="AZ862" s="458"/>
      <c r="BA862" s="1305"/>
      <c r="BC862" s="169"/>
    </row>
    <row r="863" spans="19:55" ht="15.75" customHeight="1">
      <c r="S863" s="454"/>
      <c r="AY863" s="458"/>
      <c r="AZ863" s="458"/>
      <c r="BA863" s="1305"/>
      <c r="BC863" s="169"/>
    </row>
    <row r="864" spans="19:55" ht="15.75" customHeight="1">
      <c r="S864" s="454"/>
      <c r="AY864" s="458"/>
      <c r="AZ864" s="458"/>
      <c r="BA864" s="1305"/>
      <c r="BC864" s="169"/>
    </row>
    <row r="865" spans="19:55" ht="15.75" customHeight="1">
      <c r="S865" s="454"/>
      <c r="AY865" s="458"/>
      <c r="AZ865" s="458"/>
      <c r="BA865" s="1305"/>
      <c r="BC865" s="169"/>
    </row>
    <row r="866" spans="19:55" ht="15.75" customHeight="1">
      <c r="S866" s="454"/>
      <c r="AY866" s="458"/>
      <c r="AZ866" s="458"/>
      <c r="BA866" s="1305"/>
      <c r="BC866" s="169"/>
    </row>
    <row r="867" spans="19:55" ht="15.75" customHeight="1">
      <c r="S867" s="454"/>
      <c r="AY867" s="458"/>
      <c r="AZ867" s="458"/>
      <c r="BA867" s="1305"/>
      <c r="BC867" s="169"/>
    </row>
    <row r="868" spans="19:55" ht="15.75" customHeight="1">
      <c r="S868" s="454"/>
      <c r="AY868" s="458"/>
      <c r="AZ868" s="458"/>
      <c r="BA868" s="1305"/>
      <c r="BC868" s="169"/>
    </row>
    <row r="869" spans="19:55" ht="15.75" customHeight="1">
      <c r="S869" s="454"/>
      <c r="AY869" s="458"/>
      <c r="AZ869" s="458"/>
      <c r="BA869" s="1305"/>
      <c r="BC869" s="169"/>
    </row>
    <row r="870" spans="19:55" ht="15.75" customHeight="1">
      <c r="S870" s="454"/>
      <c r="AY870" s="458"/>
      <c r="AZ870" s="458"/>
      <c r="BA870" s="1305"/>
      <c r="BC870" s="169"/>
    </row>
    <row r="871" spans="19:55" ht="15.75" customHeight="1">
      <c r="S871" s="454"/>
      <c r="AY871" s="458"/>
      <c r="AZ871" s="458"/>
      <c r="BA871" s="1305"/>
      <c r="BC871" s="169"/>
    </row>
    <row r="872" spans="19:55" ht="15.75" customHeight="1">
      <c r="S872" s="454"/>
      <c r="AY872" s="458"/>
      <c r="AZ872" s="458"/>
      <c r="BA872" s="1305"/>
      <c r="BC872" s="169"/>
    </row>
    <row r="873" spans="19:55" ht="15.75" customHeight="1">
      <c r="S873" s="454"/>
      <c r="AY873" s="458"/>
      <c r="AZ873" s="458"/>
      <c r="BA873" s="1305"/>
      <c r="BC873" s="169"/>
    </row>
    <row r="874" spans="19:55" ht="15.75" customHeight="1">
      <c r="S874" s="454"/>
      <c r="AY874" s="458"/>
      <c r="AZ874" s="458"/>
      <c r="BA874" s="1305"/>
      <c r="BC874" s="169"/>
    </row>
    <row r="875" spans="19:55" ht="15.75" customHeight="1">
      <c r="S875" s="454"/>
      <c r="AY875" s="458"/>
      <c r="AZ875" s="458"/>
      <c r="BA875" s="1305"/>
      <c r="BC875" s="169"/>
    </row>
    <row r="876" spans="19:55" ht="15.75" customHeight="1">
      <c r="S876" s="454"/>
      <c r="AY876" s="458"/>
      <c r="AZ876" s="458"/>
      <c r="BA876" s="1305"/>
      <c r="BC876" s="169"/>
    </row>
    <row r="877" spans="19:55" ht="15.75" customHeight="1">
      <c r="S877" s="454"/>
      <c r="AY877" s="458"/>
      <c r="AZ877" s="458"/>
      <c r="BA877" s="1305"/>
      <c r="BC877" s="169"/>
    </row>
    <row r="878" spans="19:55" ht="15.75" customHeight="1">
      <c r="S878" s="454"/>
      <c r="AY878" s="458"/>
      <c r="AZ878" s="458"/>
      <c r="BA878" s="1305"/>
      <c r="BC878" s="169"/>
    </row>
    <row r="879" spans="19:55" ht="15.75" customHeight="1">
      <c r="S879" s="454"/>
      <c r="AY879" s="458"/>
      <c r="AZ879" s="458"/>
      <c r="BA879" s="1305"/>
      <c r="BC879" s="169"/>
    </row>
    <row r="880" spans="19:55" ht="15.75" customHeight="1">
      <c r="S880" s="454"/>
      <c r="AY880" s="458"/>
      <c r="AZ880" s="458"/>
      <c r="BA880" s="1305"/>
      <c r="BC880" s="169"/>
    </row>
    <row r="881" spans="19:55" ht="15.75" customHeight="1">
      <c r="S881" s="454"/>
      <c r="AY881" s="458"/>
      <c r="AZ881" s="458"/>
      <c r="BA881" s="1305"/>
      <c r="BC881" s="169"/>
    </row>
    <row r="882" spans="19:55" ht="15.75" customHeight="1">
      <c r="S882" s="454"/>
      <c r="AY882" s="458"/>
      <c r="AZ882" s="458"/>
      <c r="BA882" s="1305"/>
      <c r="BC882" s="169"/>
    </row>
    <row r="883" spans="19:55" ht="15.75" customHeight="1">
      <c r="S883" s="454"/>
      <c r="AY883" s="458"/>
      <c r="AZ883" s="458"/>
      <c r="BA883" s="1305"/>
      <c r="BC883" s="169"/>
    </row>
    <row r="884" spans="19:55" ht="15.75" customHeight="1">
      <c r="S884" s="454"/>
      <c r="AY884" s="458"/>
      <c r="AZ884" s="458"/>
      <c r="BA884" s="1305"/>
      <c r="BC884" s="169"/>
    </row>
    <row r="885" spans="19:55" ht="15.75" customHeight="1">
      <c r="S885" s="454"/>
      <c r="AY885" s="458"/>
      <c r="AZ885" s="458"/>
      <c r="BA885" s="1305"/>
      <c r="BC885" s="169"/>
    </row>
    <row r="886" spans="19:55" ht="15.75" customHeight="1">
      <c r="S886" s="454"/>
      <c r="AY886" s="458"/>
      <c r="AZ886" s="458"/>
      <c r="BA886" s="1305"/>
      <c r="BC886" s="169"/>
    </row>
    <row r="887" spans="19:55" ht="15.75" customHeight="1">
      <c r="S887" s="454"/>
      <c r="AY887" s="458"/>
      <c r="AZ887" s="458"/>
      <c r="BA887" s="1305"/>
      <c r="BC887" s="169"/>
    </row>
    <row r="888" spans="19:55" ht="15.75" customHeight="1">
      <c r="S888" s="454"/>
      <c r="AY888" s="458"/>
      <c r="AZ888" s="458"/>
      <c r="BA888" s="1305"/>
      <c r="BC888" s="169"/>
    </row>
    <row r="889" spans="19:55" ht="15.75" customHeight="1">
      <c r="S889" s="454"/>
      <c r="AY889" s="458"/>
      <c r="AZ889" s="458"/>
      <c r="BA889" s="1305"/>
      <c r="BC889" s="169"/>
    </row>
    <row r="890" spans="19:55" ht="15.75" customHeight="1">
      <c r="S890" s="454"/>
      <c r="AY890" s="458"/>
      <c r="AZ890" s="458"/>
      <c r="BA890" s="1305"/>
      <c r="BC890" s="169"/>
    </row>
    <row r="891" spans="19:55" ht="15.75" customHeight="1">
      <c r="S891" s="454"/>
      <c r="AY891" s="458"/>
      <c r="AZ891" s="458"/>
      <c r="BA891" s="1305"/>
      <c r="BC891" s="169"/>
    </row>
    <row r="892" spans="19:55" ht="15.75" customHeight="1">
      <c r="S892" s="454"/>
      <c r="AY892" s="458"/>
      <c r="AZ892" s="458"/>
      <c r="BA892" s="1305"/>
      <c r="BC892" s="169"/>
    </row>
    <row r="893" spans="19:55" ht="15.75" customHeight="1">
      <c r="S893" s="454"/>
      <c r="AY893" s="458"/>
      <c r="AZ893" s="458"/>
      <c r="BA893" s="1305"/>
      <c r="BC893" s="169"/>
    </row>
    <row r="894" spans="19:55" ht="15.75" customHeight="1">
      <c r="S894" s="454"/>
      <c r="AY894" s="458"/>
      <c r="AZ894" s="458"/>
      <c r="BA894" s="1305"/>
      <c r="BC894" s="169"/>
    </row>
    <row r="895" spans="19:55" ht="15.75" customHeight="1">
      <c r="S895" s="454"/>
      <c r="AY895" s="458"/>
      <c r="AZ895" s="458"/>
      <c r="BA895" s="1305"/>
      <c r="BC895" s="169"/>
    </row>
    <row r="896" spans="19:55" ht="15.75" customHeight="1">
      <c r="S896" s="454"/>
      <c r="AY896" s="458"/>
      <c r="AZ896" s="458"/>
      <c r="BA896" s="1305"/>
      <c r="BC896" s="169"/>
    </row>
    <row r="897" spans="19:55" ht="15.75" customHeight="1">
      <c r="S897" s="454"/>
      <c r="AY897" s="458"/>
      <c r="AZ897" s="458"/>
      <c r="BA897" s="1305"/>
      <c r="BC897" s="169"/>
    </row>
    <row r="898" spans="19:55" ht="15.75" customHeight="1">
      <c r="S898" s="454"/>
      <c r="AY898" s="458"/>
      <c r="AZ898" s="458"/>
      <c r="BA898" s="1305"/>
      <c r="BC898" s="169"/>
    </row>
    <row r="899" spans="19:55" ht="15.75" customHeight="1">
      <c r="S899" s="454"/>
      <c r="AY899" s="458"/>
      <c r="AZ899" s="458"/>
      <c r="BA899" s="1305"/>
      <c r="BC899" s="169"/>
    </row>
    <row r="900" spans="19:55" ht="15.75" customHeight="1">
      <c r="S900" s="454"/>
      <c r="AY900" s="458"/>
      <c r="AZ900" s="458"/>
      <c r="BA900" s="1305"/>
      <c r="BC900" s="169"/>
    </row>
    <row r="901" spans="19:55" ht="15.75" customHeight="1">
      <c r="S901" s="454"/>
      <c r="AY901" s="458"/>
      <c r="AZ901" s="458"/>
      <c r="BA901" s="1305"/>
      <c r="BC901" s="169"/>
    </row>
    <row r="902" spans="19:55" ht="15.75" customHeight="1">
      <c r="S902" s="454"/>
      <c r="AY902" s="458"/>
      <c r="AZ902" s="458"/>
      <c r="BA902" s="1305"/>
      <c r="BC902" s="169"/>
    </row>
    <row r="903" spans="19:55" ht="15.75" customHeight="1">
      <c r="S903" s="454"/>
      <c r="AY903" s="458"/>
      <c r="AZ903" s="458"/>
      <c r="BA903" s="1305"/>
      <c r="BC903" s="169"/>
    </row>
    <row r="904" spans="19:55" ht="15.75" customHeight="1">
      <c r="S904" s="454"/>
      <c r="AY904" s="458"/>
      <c r="AZ904" s="458"/>
      <c r="BA904" s="1305"/>
      <c r="BC904" s="169"/>
    </row>
    <row r="905" spans="19:55" ht="15.75" customHeight="1">
      <c r="S905" s="454"/>
      <c r="AY905" s="458"/>
      <c r="AZ905" s="458"/>
      <c r="BA905" s="1305"/>
      <c r="BC905" s="169"/>
    </row>
    <row r="906" spans="19:55" ht="15.75" customHeight="1">
      <c r="S906" s="454"/>
      <c r="AY906" s="458"/>
      <c r="AZ906" s="458"/>
      <c r="BA906" s="1305"/>
      <c r="BC906" s="169"/>
    </row>
    <row r="907" spans="19:55" ht="15.75" customHeight="1">
      <c r="S907" s="454"/>
      <c r="AY907" s="458"/>
      <c r="AZ907" s="458"/>
      <c r="BA907" s="1305"/>
      <c r="BC907" s="169"/>
    </row>
    <row r="908" spans="19:55" ht="15.75" customHeight="1">
      <c r="S908" s="454"/>
      <c r="AY908" s="458"/>
      <c r="AZ908" s="458"/>
      <c r="BA908" s="1305"/>
      <c r="BC908" s="169"/>
    </row>
    <row r="909" spans="19:55" ht="15.75" customHeight="1">
      <c r="S909" s="454"/>
      <c r="AY909" s="458"/>
      <c r="AZ909" s="458"/>
      <c r="BA909" s="1305"/>
      <c r="BC909" s="169"/>
    </row>
    <row r="910" spans="19:55" ht="15.75" customHeight="1">
      <c r="S910" s="454"/>
      <c r="AY910" s="458"/>
      <c r="AZ910" s="458"/>
      <c r="BA910" s="1305"/>
      <c r="BC910" s="169"/>
    </row>
    <row r="911" spans="19:55" ht="15.75" customHeight="1">
      <c r="S911" s="454"/>
      <c r="AY911" s="458"/>
      <c r="AZ911" s="458"/>
      <c r="BA911" s="1305"/>
      <c r="BC911" s="169"/>
    </row>
    <row r="912" spans="19:55" ht="15.75" customHeight="1">
      <c r="S912" s="454"/>
      <c r="AY912" s="458"/>
      <c r="AZ912" s="458"/>
      <c r="BA912" s="1305"/>
      <c r="BC912" s="169"/>
    </row>
    <row r="913" spans="19:55" ht="15.75" customHeight="1">
      <c r="S913" s="454"/>
      <c r="AY913" s="458"/>
      <c r="AZ913" s="458"/>
      <c r="BA913" s="1305"/>
      <c r="BC913" s="169"/>
    </row>
    <row r="914" spans="19:55" ht="15.75" customHeight="1">
      <c r="S914" s="454"/>
      <c r="AY914" s="458"/>
      <c r="AZ914" s="458"/>
      <c r="BA914" s="1305"/>
      <c r="BC914" s="169"/>
    </row>
    <row r="915" spans="19:55" ht="15.75" customHeight="1">
      <c r="S915" s="454"/>
      <c r="AY915" s="458"/>
      <c r="AZ915" s="458"/>
      <c r="BA915" s="1305"/>
      <c r="BC915" s="169"/>
    </row>
    <row r="916" spans="19:55" ht="15.75" customHeight="1">
      <c r="S916" s="454"/>
      <c r="AY916" s="458"/>
      <c r="AZ916" s="458"/>
      <c r="BA916" s="1305"/>
      <c r="BC916" s="169"/>
    </row>
    <row r="917" spans="19:55" ht="15.75" customHeight="1">
      <c r="S917" s="454"/>
      <c r="AY917" s="458"/>
      <c r="AZ917" s="458"/>
      <c r="BA917" s="1305"/>
      <c r="BC917" s="169"/>
    </row>
    <row r="918" spans="19:55" ht="15.75" customHeight="1">
      <c r="S918" s="454"/>
      <c r="AY918" s="458"/>
      <c r="AZ918" s="458"/>
      <c r="BA918" s="1305"/>
      <c r="BC918" s="169"/>
    </row>
    <row r="919" spans="19:55" ht="15.75" customHeight="1">
      <c r="S919" s="454"/>
      <c r="AY919" s="458"/>
      <c r="AZ919" s="458"/>
      <c r="BA919" s="1305"/>
      <c r="BC919" s="169"/>
    </row>
    <row r="920" spans="19:55" ht="15.75" customHeight="1">
      <c r="S920" s="454"/>
      <c r="AY920" s="458"/>
      <c r="AZ920" s="458"/>
      <c r="BA920" s="1305"/>
      <c r="BC920" s="169"/>
    </row>
    <row r="921" spans="19:55" ht="15.75" customHeight="1">
      <c r="S921" s="454"/>
      <c r="AY921" s="458"/>
      <c r="AZ921" s="458"/>
      <c r="BA921" s="1305"/>
      <c r="BC921" s="169"/>
    </row>
    <row r="922" spans="19:55" ht="15.75" customHeight="1">
      <c r="S922" s="454"/>
      <c r="AY922" s="458"/>
      <c r="AZ922" s="458"/>
      <c r="BA922" s="1305"/>
      <c r="BC922" s="169"/>
    </row>
    <row r="923" spans="19:55" ht="15.75" customHeight="1">
      <c r="S923" s="454"/>
      <c r="AY923" s="458"/>
      <c r="AZ923" s="458"/>
      <c r="BA923" s="1305"/>
      <c r="BC923" s="169"/>
    </row>
    <row r="924" spans="19:55" ht="15.75" customHeight="1">
      <c r="S924" s="454"/>
      <c r="AY924" s="458"/>
      <c r="AZ924" s="458"/>
      <c r="BA924" s="1305"/>
      <c r="BC924" s="169"/>
    </row>
    <row r="925" spans="19:55" ht="15.75" customHeight="1">
      <c r="S925" s="454"/>
      <c r="AY925" s="458"/>
      <c r="AZ925" s="458"/>
      <c r="BA925" s="1305"/>
      <c r="BC925" s="169"/>
    </row>
    <row r="926" spans="19:55" ht="15.75" customHeight="1">
      <c r="S926" s="454"/>
      <c r="AY926" s="458"/>
      <c r="AZ926" s="458"/>
      <c r="BA926" s="1305"/>
      <c r="BC926" s="169"/>
    </row>
    <row r="927" spans="19:55" ht="15.75" customHeight="1">
      <c r="S927" s="454"/>
      <c r="AY927" s="458"/>
      <c r="AZ927" s="458"/>
      <c r="BA927" s="1305"/>
      <c r="BC927" s="169"/>
    </row>
    <row r="928" spans="19:55" ht="15.75" customHeight="1">
      <c r="S928" s="454"/>
      <c r="AY928" s="458"/>
      <c r="AZ928" s="458"/>
      <c r="BA928" s="1305"/>
      <c r="BC928" s="169"/>
    </row>
    <row r="929" spans="19:55" ht="15.75" customHeight="1">
      <c r="S929" s="454"/>
      <c r="AY929" s="458"/>
      <c r="AZ929" s="458"/>
      <c r="BA929" s="1305"/>
      <c r="BC929" s="169"/>
    </row>
    <row r="930" spans="19:55" ht="15.75" customHeight="1">
      <c r="S930" s="454"/>
      <c r="AY930" s="458"/>
      <c r="AZ930" s="458"/>
      <c r="BA930" s="1305"/>
      <c r="BC930" s="169"/>
    </row>
    <row r="931" spans="19:55" ht="15.75" customHeight="1">
      <c r="S931" s="454"/>
      <c r="AY931" s="458"/>
      <c r="AZ931" s="458"/>
      <c r="BA931" s="1305"/>
      <c r="BC931" s="169"/>
    </row>
    <row r="932" spans="19:55" ht="15.75" customHeight="1">
      <c r="S932" s="454"/>
      <c r="AY932" s="458"/>
      <c r="AZ932" s="458"/>
      <c r="BA932" s="1305"/>
      <c r="BC932" s="169"/>
    </row>
    <row r="933" spans="19:55" ht="15.75" customHeight="1">
      <c r="S933" s="454"/>
      <c r="AY933" s="458"/>
      <c r="AZ933" s="458"/>
      <c r="BA933" s="1305"/>
      <c r="BC933" s="169"/>
    </row>
    <row r="934" spans="19:55" ht="15.75" customHeight="1">
      <c r="S934" s="454"/>
      <c r="AY934" s="458"/>
      <c r="AZ934" s="458"/>
      <c r="BA934" s="1305"/>
      <c r="BC934" s="169"/>
    </row>
    <row r="935" spans="19:55" ht="15.75" customHeight="1">
      <c r="S935" s="454"/>
      <c r="AY935" s="458"/>
      <c r="AZ935" s="458"/>
      <c r="BA935" s="1305"/>
      <c r="BC935" s="169"/>
    </row>
    <row r="936" spans="19:55" ht="15.75" customHeight="1">
      <c r="S936" s="454"/>
      <c r="AY936" s="458"/>
      <c r="AZ936" s="458"/>
      <c r="BA936" s="1305"/>
      <c r="BC936" s="169"/>
    </row>
    <row r="937" spans="19:55" ht="15.75" customHeight="1">
      <c r="S937" s="454"/>
      <c r="AY937" s="458"/>
      <c r="AZ937" s="458"/>
      <c r="BA937" s="1305"/>
      <c r="BC937" s="169"/>
    </row>
    <row r="938" spans="19:55" ht="15.75" customHeight="1">
      <c r="S938" s="454"/>
      <c r="AY938" s="458"/>
      <c r="AZ938" s="458"/>
      <c r="BA938" s="1305"/>
      <c r="BC938" s="169"/>
    </row>
    <row r="939" spans="19:55" ht="15.75" customHeight="1">
      <c r="S939" s="454"/>
      <c r="AY939" s="458"/>
      <c r="AZ939" s="458"/>
      <c r="BA939" s="1305"/>
      <c r="BC939" s="169"/>
    </row>
    <row r="940" spans="19:55" ht="15.75" customHeight="1">
      <c r="S940" s="454"/>
      <c r="AY940" s="458"/>
      <c r="AZ940" s="458"/>
      <c r="BA940" s="1305"/>
      <c r="BC940" s="169"/>
    </row>
    <row r="941" spans="19:55" ht="15.75" customHeight="1">
      <c r="S941" s="454"/>
      <c r="AY941" s="458"/>
      <c r="AZ941" s="458"/>
      <c r="BA941" s="1305"/>
      <c r="BC941" s="169"/>
    </row>
    <row r="942" spans="19:55" ht="15.75" customHeight="1">
      <c r="S942" s="454"/>
      <c r="AY942" s="458"/>
      <c r="AZ942" s="458"/>
      <c r="BA942" s="1305"/>
      <c r="BC942" s="169"/>
    </row>
    <row r="943" spans="19:55" ht="15.75" customHeight="1">
      <c r="S943" s="454"/>
      <c r="AY943" s="458"/>
      <c r="AZ943" s="458"/>
      <c r="BA943" s="1305"/>
      <c r="BC943" s="169"/>
    </row>
    <row r="944" spans="19:55" ht="15.75" customHeight="1">
      <c r="S944" s="454"/>
      <c r="AY944" s="458"/>
      <c r="AZ944" s="458"/>
      <c r="BA944" s="1305"/>
      <c r="BC944" s="169"/>
    </row>
    <row r="945" spans="19:55" ht="15.75" customHeight="1">
      <c r="S945" s="454"/>
      <c r="AY945" s="458"/>
      <c r="AZ945" s="458"/>
      <c r="BA945" s="1305"/>
      <c r="BC945" s="169"/>
    </row>
    <row r="946" spans="19:55" ht="15.75" customHeight="1">
      <c r="S946" s="454"/>
      <c r="AY946" s="458"/>
      <c r="AZ946" s="458"/>
      <c r="BA946" s="1305"/>
      <c r="BC946" s="169"/>
    </row>
    <row r="947" spans="19:55" ht="15.75" customHeight="1">
      <c r="S947" s="454"/>
      <c r="AY947" s="458"/>
      <c r="AZ947" s="458"/>
      <c r="BA947" s="1305"/>
      <c r="BC947" s="169"/>
    </row>
    <row r="948" spans="19:55" ht="15.75" customHeight="1">
      <c r="S948" s="454"/>
      <c r="AY948" s="458"/>
      <c r="AZ948" s="458"/>
      <c r="BA948" s="1305"/>
      <c r="BC948" s="169"/>
    </row>
    <row r="949" spans="19:55" ht="15.75" customHeight="1">
      <c r="S949" s="454"/>
      <c r="AY949" s="458"/>
      <c r="AZ949" s="458"/>
      <c r="BA949" s="1305"/>
      <c r="BC949" s="169"/>
    </row>
    <row r="950" spans="19:55" ht="15.75" customHeight="1">
      <c r="S950" s="454"/>
      <c r="AY950" s="458"/>
      <c r="AZ950" s="458"/>
      <c r="BA950" s="1305"/>
      <c r="BC950" s="169"/>
    </row>
    <row r="951" spans="19:55" ht="15.75" customHeight="1">
      <c r="S951" s="454"/>
      <c r="AY951" s="458"/>
      <c r="AZ951" s="458"/>
      <c r="BA951" s="1305"/>
      <c r="BC951" s="169"/>
    </row>
    <row r="952" spans="19:55" ht="15.75" customHeight="1">
      <c r="S952" s="454"/>
      <c r="AY952" s="458"/>
      <c r="AZ952" s="458"/>
      <c r="BA952" s="1305"/>
      <c r="BC952" s="169"/>
    </row>
    <row r="953" spans="19:55" ht="15.75" customHeight="1">
      <c r="S953" s="454"/>
      <c r="AY953" s="458"/>
      <c r="AZ953" s="458"/>
      <c r="BA953" s="1305"/>
      <c r="BC953" s="169"/>
    </row>
    <row r="954" spans="19:55" ht="15.75" customHeight="1">
      <c r="S954" s="454"/>
      <c r="AY954" s="458"/>
      <c r="AZ954" s="458"/>
      <c r="BA954" s="1305"/>
      <c r="BC954" s="169"/>
    </row>
    <row r="955" spans="19:55" ht="15.75" customHeight="1">
      <c r="S955" s="454"/>
      <c r="AY955" s="458"/>
      <c r="AZ955" s="458"/>
      <c r="BA955" s="1305"/>
      <c r="BC955" s="169"/>
    </row>
    <row r="956" spans="19:55" ht="15.75" customHeight="1">
      <c r="S956" s="454"/>
      <c r="AY956" s="458"/>
      <c r="AZ956" s="458"/>
      <c r="BA956" s="1305"/>
      <c r="BC956" s="169"/>
    </row>
    <row r="957" spans="19:55" ht="15.75" customHeight="1">
      <c r="S957" s="454"/>
      <c r="AY957" s="458"/>
      <c r="AZ957" s="458"/>
      <c r="BA957" s="1305"/>
      <c r="BC957" s="169"/>
    </row>
    <row r="958" spans="19:55" ht="15.75" customHeight="1">
      <c r="S958" s="454"/>
      <c r="AY958" s="458"/>
      <c r="AZ958" s="458"/>
      <c r="BA958" s="1305"/>
      <c r="BC958" s="169"/>
    </row>
    <row r="959" spans="19:55" ht="15.75" customHeight="1">
      <c r="S959" s="454"/>
      <c r="AY959" s="458"/>
      <c r="AZ959" s="458"/>
      <c r="BA959" s="1305"/>
      <c r="BC959" s="169"/>
    </row>
    <row r="960" spans="19:55" ht="15.75" customHeight="1">
      <c r="S960" s="454"/>
      <c r="AY960" s="458"/>
      <c r="AZ960" s="458"/>
      <c r="BA960" s="1305"/>
      <c r="BC960" s="169"/>
    </row>
    <row r="961" spans="19:55" ht="15.75" customHeight="1">
      <c r="S961" s="454"/>
      <c r="AY961" s="458"/>
      <c r="AZ961" s="458"/>
      <c r="BA961" s="1305"/>
      <c r="BC961" s="169"/>
    </row>
    <row r="962" spans="19:55" ht="15.75" customHeight="1">
      <c r="S962" s="454"/>
      <c r="AY962" s="458"/>
      <c r="AZ962" s="458"/>
      <c r="BA962" s="1305"/>
      <c r="BC962" s="169"/>
    </row>
    <row r="963" spans="19:55" ht="15.75" customHeight="1">
      <c r="S963" s="454"/>
      <c r="AY963" s="458"/>
      <c r="AZ963" s="458"/>
      <c r="BA963" s="1305"/>
      <c r="BC963" s="169"/>
    </row>
    <row r="964" spans="19:55" ht="15.75" customHeight="1">
      <c r="S964" s="454"/>
      <c r="AY964" s="458"/>
      <c r="AZ964" s="458"/>
      <c r="BA964" s="1305"/>
      <c r="BC964" s="169"/>
    </row>
    <row r="965" spans="19:55" ht="15.75" customHeight="1">
      <c r="S965" s="454"/>
      <c r="AY965" s="458"/>
      <c r="AZ965" s="458"/>
      <c r="BA965" s="1305"/>
      <c r="BC965" s="169"/>
    </row>
    <row r="966" spans="19:55" ht="15.75" customHeight="1">
      <c r="S966" s="454"/>
      <c r="AY966" s="458"/>
      <c r="AZ966" s="458"/>
      <c r="BA966" s="1305"/>
      <c r="BC966" s="169"/>
    </row>
    <row r="967" spans="19:55" ht="15.75" customHeight="1">
      <c r="S967" s="454"/>
      <c r="AY967" s="458"/>
      <c r="AZ967" s="458"/>
      <c r="BA967" s="1305"/>
      <c r="BC967" s="169"/>
    </row>
    <row r="968" spans="19:55" ht="15.75" customHeight="1">
      <c r="S968" s="454"/>
      <c r="AY968" s="458"/>
      <c r="AZ968" s="458"/>
      <c r="BA968" s="1305"/>
      <c r="BC968" s="169"/>
    </row>
    <row r="969" spans="19:55" ht="15.75" customHeight="1">
      <c r="S969" s="454"/>
      <c r="AY969" s="458"/>
      <c r="AZ969" s="458"/>
      <c r="BA969" s="1305"/>
      <c r="BC969" s="169"/>
    </row>
    <row r="970" spans="19:55" ht="15.75" customHeight="1">
      <c r="S970" s="454"/>
      <c r="AY970" s="458"/>
      <c r="AZ970" s="458"/>
      <c r="BA970" s="1305"/>
      <c r="BC970" s="169"/>
    </row>
    <row r="971" spans="19:55" ht="15.75" customHeight="1">
      <c r="S971" s="454"/>
      <c r="AY971" s="458"/>
      <c r="AZ971" s="458"/>
      <c r="BA971" s="1305"/>
      <c r="BC971" s="169"/>
    </row>
    <row r="972" spans="19:55" ht="15.75" customHeight="1">
      <c r="S972" s="454"/>
      <c r="AY972" s="458"/>
      <c r="AZ972" s="458"/>
      <c r="BA972" s="1305"/>
      <c r="BC972" s="169"/>
    </row>
    <row r="973" spans="19:55" ht="15.75" customHeight="1">
      <c r="S973" s="454"/>
      <c r="AY973" s="458"/>
      <c r="AZ973" s="458"/>
      <c r="BA973" s="1305"/>
      <c r="BC973" s="169"/>
    </row>
    <row r="974" spans="19:55" ht="15.75" customHeight="1">
      <c r="S974" s="454"/>
      <c r="AY974" s="458"/>
      <c r="AZ974" s="458"/>
      <c r="BA974" s="1305"/>
      <c r="BC974" s="169"/>
    </row>
    <row r="975" spans="19:55" ht="15.75" customHeight="1">
      <c r="S975" s="454"/>
      <c r="AY975" s="458"/>
      <c r="AZ975" s="458"/>
      <c r="BA975" s="1305"/>
      <c r="BC975" s="169"/>
    </row>
    <row r="976" spans="19:55" ht="15.75" customHeight="1">
      <c r="S976" s="454"/>
      <c r="AY976" s="458"/>
      <c r="AZ976" s="458"/>
      <c r="BA976" s="1305"/>
      <c r="BC976" s="169"/>
    </row>
    <row r="977" spans="19:55" ht="15.75" customHeight="1">
      <c r="S977" s="454"/>
      <c r="AY977" s="458"/>
      <c r="AZ977" s="458"/>
      <c r="BA977" s="1305"/>
      <c r="BC977" s="169"/>
    </row>
    <row r="978" spans="19:55" ht="15.75" customHeight="1">
      <c r="S978" s="454"/>
      <c r="AY978" s="458"/>
      <c r="AZ978" s="458"/>
      <c r="BA978" s="1305"/>
      <c r="BC978" s="169"/>
    </row>
    <row r="979" spans="19:55" ht="15.75" customHeight="1">
      <c r="S979" s="454"/>
      <c r="AY979" s="458"/>
      <c r="AZ979" s="458"/>
      <c r="BA979" s="1305"/>
      <c r="BC979" s="169"/>
    </row>
    <row r="980" spans="19:55" ht="15.75" customHeight="1">
      <c r="S980" s="454"/>
      <c r="AY980" s="458"/>
      <c r="AZ980" s="458"/>
      <c r="BA980" s="1305"/>
      <c r="BC980" s="169"/>
    </row>
    <row r="981" spans="19:55" ht="15.75" customHeight="1">
      <c r="S981" s="454"/>
      <c r="AY981" s="458"/>
      <c r="AZ981" s="458"/>
      <c r="BA981" s="1305"/>
      <c r="BC981" s="169"/>
    </row>
    <row r="982" spans="19:55" ht="15.75" customHeight="1">
      <c r="S982" s="454"/>
      <c r="AY982" s="458"/>
      <c r="AZ982" s="458"/>
      <c r="BA982" s="1305"/>
      <c r="BC982" s="169"/>
    </row>
    <row r="983" spans="19:55" ht="15.75" customHeight="1">
      <c r="S983" s="454"/>
      <c r="AY983" s="458"/>
      <c r="AZ983" s="458"/>
      <c r="BA983" s="1305"/>
      <c r="BC983" s="169"/>
    </row>
    <row r="984" spans="19:55" ht="15.75" customHeight="1">
      <c r="S984" s="454"/>
      <c r="AY984" s="458"/>
      <c r="AZ984" s="458"/>
      <c r="BA984" s="1305"/>
      <c r="BC984" s="169"/>
    </row>
    <row r="985" spans="19:55" ht="15.75" customHeight="1">
      <c r="S985" s="454"/>
      <c r="AY985" s="458"/>
      <c r="AZ985" s="458"/>
      <c r="BA985" s="1305"/>
      <c r="BC985" s="169"/>
    </row>
    <row r="986" spans="19:55" ht="15.75" customHeight="1">
      <c r="S986" s="454"/>
      <c r="AY986" s="458"/>
      <c r="AZ986" s="458"/>
      <c r="BA986" s="1305"/>
      <c r="BC986" s="169"/>
    </row>
    <row r="987" spans="19:55" ht="15.75" customHeight="1">
      <c r="S987" s="454"/>
      <c r="AY987" s="458"/>
      <c r="AZ987" s="458"/>
      <c r="BA987" s="1305"/>
      <c r="BC987" s="169"/>
    </row>
    <row r="988" spans="19:55" ht="15.75" customHeight="1">
      <c r="S988" s="454"/>
      <c r="AY988" s="458"/>
      <c r="AZ988" s="458"/>
      <c r="BA988" s="1305"/>
      <c r="BC988" s="169"/>
    </row>
    <row r="989" spans="19:55" ht="15.75" customHeight="1">
      <c r="S989" s="454"/>
      <c r="AY989" s="458"/>
      <c r="AZ989" s="458"/>
      <c r="BA989" s="1305"/>
      <c r="BC989" s="169"/>
    </row>
    <row r="990" spans="19:55" ht="15.75" customHeight="1">
      <c r="S990" s="454"/>
      <c r="AY990" s="458"/>
      <c r="AZ990" s="458"/>
      <c r="BA990" s="1305"/>
      <c r="BC990" s="169"/>
    </row>
    <row r="991" spans="19:55" ht="15.75" customHeight="1">
      <c r="S991" s="454"/>
      <c r="AY991" s="458"/>
      <c r="AZ991" s="458"/>
      <c r="BA991" s="1305"/>
      <c r="BC991" s="169"/>
    </row>
    <row r="992" spans="19:55" ht="15.75" customHeight="1">
      <c r="S992" s="454"/>
      <c r="AY992" s="458"/>
      <c r="AZ992" s="458"/>
      <c r="BA992" s="1305"/>
      <c r="BC992" s="169"/>
    </row>
    <row r="993" spans="19:55" ht="15.75" customHeight="1">
      <c r="S993" s="454"/>
      <c r="AY993" s="458"/>
      <c r="AZ993" s="458"/>
      <c r="BA993" s="1305"/>
      <c r="BC993" s="169"/>
    </row>
    <row r="994" spans="19:55" ht="15.75" customHeight="1">
      <c r="S994" s="454"/>
      <c r="AY994" s="458"/>
      <c r="AZ994" s="458"/>
      <c r="BA994" s="1305"/>
      <c r="BC994" s="169"/>
    </row>
    <row r="995" spans="19:55" ht="15.75" customHeight="1">
      <c r="S995" s="454"/>
      <c r="AY995" s="458"/>
      <c r="AZ995" s="458"/>
      <c r="BA995" s="1305"/>
      <c r="BC995" s="169"/>
    </row>
    <row r="996" spans="19:55" ht="15.75" customHeight="1">
      <c r="S996" s="454"/>
      <c r="AY996" s="458"/>
      <c r="AZ996" s="458"/>
      <c r="BA996" s="1305"/>
      <c r="BC996" s="169"/>
    </row>
    <row r="997" spans="19:55" ht="15.75" customHeight="1">
      <c r="S997" s="454"/>
      <c r="AY997" s="458"/>
      <c r="AZ997" s="458"/>
      <c r="BA997" s="1305"/>
      <c r="BC997" s="169"/>
    </row>
    <row r="998" spans="19:55" ht="15.75" customHeight="1">
      <c r="S998" s="454"/>
      <c r="AY998" s="458"/>
      <c r="AZ998" s="458"/>
      <c r="BA998" s="1305"/>
      <c r="BC998" s="169"/>
    </row>
    <row r="999" spans="19:55" ht="15.75" customHeight="1">
      <c r="S999" s="454"/>
      <c r="AY999" s="458"/>
      <c r="AZ999" s="458"/>
      <c r="BA999" s="1305"/>
      <c r="BC999" s="169"/>
    </row>
    <row r="1000" spans="19:55" ht="15.75" customHeight="1">
      <c r="S1000" s="454"/>
      <c r="AY1000" s="458"/>
      <c r="AZ1000" s="458"/>
      <c r="BA1000" s="1305"/>
      <c r="BC1000" s="169"/>
    </row>
    <row r="1001" spans="19:55" ht="15.75" customHeight="1">
      <c r="S1001" s="454"/>
      <c r="AY1001" s="458"/>
      <c r="AZ1001" s="458"/>
      <c r="BA1001" s="1305"/>
      <c r="BC1001" s="169"/>
    </row>
    <row r="1002" spans="19:55" ht="15.75" customHeight="1">
      <c r="S1002" s="454"/>
      <c r="AY1002" s="458"/>
      <c r="AZ1002" s="458"/>
      <c r="BA1002" s="1305"/>
      <c r="BC1002" s="169"/>
    </row>
    <row r="1003" spans="19:55" ht="15.75" customHeight="1">
      <c r="S1003" s="454"/>
      <c r="AY1003" s="458"/>
      <c r="AZ1003" s="458"/>
      <c r="BA1003" s="1305"/>
      <c r="BC1003" s="169"/>
    </row>
    <row r="1004" spans="19:55" ht="15.75" customHeight="1">
      <c r="S1004" s="454"/>
      <c r="AY1004" s="458"/>
      <c r="AZ1004" s="458"/>
      <c r="BA1004" s="1305"/>
      <c r="BC1004" s="169"/>
    </row>
    <row r="1005" spans="19:55" ht="15.75" customHeight="1">
      <c r="S1005" s="454"/>
      <c r="AY1005" s="458"/>
      <c r="AZ1005" s="458"/>
      <c r="BA1005" s="1305"/>
      <c r="BC1005" s="169"/>
    </row>
    <row r="1006" spans="19:55" ht="15.75" customHeight="1">
      <c r="S1006" s="454"/>
      <c r="AY1006" s="458"/>
      <c r="AZ1006" s="458"/>
      <c r="BA1006" s="1305"/>
      <c r="BC1006" s="169"/>
    </row>
    <row r="1007" spans="19:55" ht="15.75" customHeight="1">
      <c r="S1007" s="454"/>
      <c r="AY1007" s="458"/>
      <c r="AZ1007" s="458"/>
      <c r="BA1007" s="1305"/>
      <c r="BC1007" s="169"/>
    </row>
    <row r="1008" spans="19:55" ht="15.75" customHeight="1">
      <c r="S1008" s="454"/>
      <c r="AY1008" s="458"/>
      <c r="AZ1008" s="458"/>
      <c r="BA1008" s="1305"/>
      <c r="BC1008" s="169"/>
    </row>
    <row r="1009" spans="19:55" ht="15.75" customHeight="1">
      <c r="S1009" s="454"/>
      <c r="AY1009" s="458"/>
      <c r="AZ1009" s="458"/>
      <c r="BA1009" s="1305"/>
      <c r="BC1009" s="169"/>
    </row>
    <row r="1010" spans="19:55" ht="15.75" customHeight="1">
      <c r="S1010" s="454"/>
      <c r="AY1010" s="458"/>
      <c r="AZ1010" s="458"/>
      <c r="BA1010" s="1305"/>
      <c r="BC1010" s="169"/>
    </row>
    <row r="1011" spans="19:55" ht="15.75" customHeight="1">
      <c r="S1011" s="454"/>
      <c r="AY1011" s="458"/>
      <c r="AZ1011" s="458"/>
      <c r="BA1011" s="1305"/>
      <c r="BC1011" s="169"/>
    </row>
    <row r="1012" spans="19:55" ht="15.75" customHeight="1">
      <c r="S1012" s="454"/>
      <c r="AY1012" s="458"/>
      <c r="AZ1012" s="458"/>
      <c r="BA1012" s="1305"/>
      <c r="BC1012" s="169"/>
    </row>
    <row r="1013" spans="19:55" ht="15.75" customHeight="1">
      <c r="S1013" s="454"/>
      <c r="AY1013" s="458"/>
      <c r="AZ1013" s="458"/>
      <c r="BA1013" s="1305"/>
      <c r="BC1013" s="169"/>
    </row>
    <row r="1014" spans="19:55" ht="15.75" customHeight="1">
      <c r="S1014" s="454"/>
      <c r="AY1014" s="458"/>
      <c r="AZ1014" s="458"/>
      <c r="BA1014" s="1305"/>
      <c r="BC1014" s="169"/>
    </row>
    <row r="1015" spans="19:55" ht="15.75" customHeight="1">
      <c r="S1015" s="454"/>
      <c r="AY1015" s="458"/>
      <c r="AZ1015" s="458"/>
      <c r="BA1015" s="1305"/>
      <c r="BC1015" s="169"/>
    </row>
    <row r="1016" spans="19:55" ht="15.75" customHeight="1">
      <c r="S1016" s="454"/>
      <c r="AY1016" s="458"/>
      <c r="AZ1016" s="458"/>
      <c r="BA1016" s="1305"/>
      <c r="BC1016" s="169"/>
    </row>
    <row r="1017" spans="19:55" ht="15.75" customHeight="1">
      <c r="S1017" s="454"/>
      <c r="AY1017" s="458"/>
      <c r="AZ1017" s="458"/>
      <c r="BA1017" s="1305"/>
      <c r="BC1017" s="169"/>
    </row>
    <row r="1018" spans="19:55" ht="15.75" customHeight="1">
      <c r="S1018" s="454"/>
      <c r="AY1018" s="458"/>
      <c r="AZ1018" s="458"/>
      <c r="BA1018" s="1305"/>
      <c r="BC1018" s="169"/>
    </row>
    <row r="1019" spans="19:55" ht="15.75" customHeight="1">
      <c r="S1019" s="454"/>
      <c r="AY1019" s="458"/>
      <c r="AZ1019" s="458"/>
      <c r="BA1019" s="1305"/>
      <c r="BC1019" s="169"/>
    </row>
    <row r="1020" spans="19:55" ht="15.75" customHeight="1">
      <c r="S1020" s="454"/>
      <c r="AY1020" s="458"/>
      <c r="AZ1020" s="458"/>
      <c r="BA1020" s="1305"/>
      <c r="BC1020" s="169"/>
    </row>
    <row r="1021" spans="19:55" ht="15.75" customHeight="1">
      <c r="S1021" s="454"/>
      <c r="AY1021" s="458"/>
      <c r="AZ1021" s="458"/>
      <c r="BA1021" s="1305"/>
      <c r="BC1021" s="169"/>
    </row>
    <row r="1022" spans="19:55" ht="15.75" customHeight="1">
      <c r="S1022" s="454"/>
      <c r="AY1022" s="458"/>
      <c r="AZ1022" s="458"/>
      <c r="BA1022" s="1305"/>
      <c r="BC1022" s="169"/>
    </row>
    <row r="1023" spans="19:55" ht="15.75" customHeight="1">
      <c r="S1023" s="454"/>
      <c r="AY1023" s="458"/>
      <c r="AZ1023" s="458"/>
      <c r="BA1023" s="1305"/>
      <c r="BC1023" s="169"/>
    </row>
    <row r="1024" spans="19:55" ht="15.75" customHeight="1">
      <c r="S1024" s="454"/>
      <c r="AY1024" s="458"/>
      <c r="AZ1024" s="458"/>
      <c r="BA1024" s="1305"/>
      <c r="BC1024" s="169"/>
    </row>
    <row r="1025" spans="19:55" ht="15.75" customHeight="1">
      <c r="S1025" s="454"/>
      <c r="AY1025" s="458"/>
      <c r="AZ1025" s="458"/>
      <c r="BA1025" s="1305"/>
      <c r="BC1025" s="169"/>
    </row>
    <row r="1026" spans="19:55" ht="15.75" customHeight="1">
      <c r="S1026" s="454"/>
      <c r="AY1026" s="458"/>
      <c r="AZ1026" s="458"/>
      <c r="BA1026" s="1305"/>
      <c r="BC1026" s="169"/>
    </row>
    <row r="1027" spans="19:55" ht="15.75" customHeight="1">
      <c r="S1027" s="454"/>
      <c r="AY1027" s="458"/>
      <c r="AZ1027" s="458"/>
      <c r="BA1027" s="1305"/>
      <c r="BC1027" s="169"/>
    </row>
    <row r="1028" spans="19:55" ht="15.75" customHeight="1">
      <c r="S1028" s="454"/>
      <c r="AY1028" s="458"/>
      <c r="AZ1028" s="458"/>
      <c r="BA1028" s="1305"/>
      <c r="BC1028" s="169"/>
    </row>
    <row r="1029" spans="19:55" ht="15.75" customHeight="1">
      <c r="S1029" s="454"/>
      <c r="AY1029" s="458"/>
      <c r="AZ1029" s="458"/>
      <c r="BA1029" s="1305"/>
      <c r="BC1029" s="169"/>
    </row>
    <row r="1030" spans="19:55" ht="15.75" customHeight="1">
      <c r="S1030" s="454"/>
      <c r="AY1030" s="458"/>
      <c r="AZ1030" s="458"/>
      <c r="BA1030" s="1305"/>
      <c r="BC1030" s="169"/>
    </row>
    <row r="1031" spans="19:55" ht="15.75" customHeight="1">
      <c r="S1031" s="454"/>
      <c r="AY1031" s="458"/>
      <c r="AZ1031" s="458"/>
      <c r="BA1031" s="1305"/>
      <c r="BC1031" s="169"/>
    </row>
    <row r="1032" spans="19:55" ht="15.75" customHeight="1">
      <c r="S1032" s="454"/>
      <c r="AY1032" s="458"/>
      <c r="AZ1032" s="458"/>
      <c r="BA1032" s="1305"/>
      <c r="BC1032" s="169"/>
    </row>
    <row r="1033" spans="19:55" ht="15.75" customHeight="1">
      <c r="S1033" s="454"/>
      <c r="AY1033" s="458"/>
      <c r="AZ1033" s="458"/>
      <c r="BA1033" s="1305"/>
      <c r="BC1033" s="169"/>
    </row>
    <row r="1034" spans="19:55" ht="15.75" customHeight="1">
      <c r="S1034" s="454"/>
      <c r="AY1034" s="458"/>
      <c r="AZ1034" s="458"/>
      <c r="BA1034" s="1305"/>
      <c r="BC1034" s="169"/>
    </row>
    <row r="1035" spans="19:55" ht="15.75" customHeight="1">
      <c r="S1035" s="454"/>
      <c r="AY1035" s="458"/>
      <c r="AZ1035" s="458"/>
      <c r="BA1035" s="1305"/>
      <c r="BC1035" s="169"/>
    </row>
    <row r="1036" spans="19:55" ht="15.75" customHeight="1">
      <c r="S1036" s="454"/>
      <c r="AY1036" s="458"/>
      <c r="AZ1036" s="458"/>
      <c r="BA1036" s="1305"/>
      <c r="BC1036" s="169"/>
    </row>
    <row r="1037" spans="19:55" ht="15.75" customHeight="1">
      <c r="S1037" s="454"/>
      <c r="AY1037" s="458"/>
      <c r="AZ1037" s="458"/>
      <c r="BA1037" s="1305"/>
      <c r="BC1037" s="169"/>
    </row>
    <row r="1038" spans="19:55" ht="15.75" customHeight="1">
      <c r="S1038" s="454"/>
      <c r="AY1038" s="458"/>
      <c r="AZ1038" s="458"/>
      <c r="BA1038" s="1305"/>
      <c r="BC1038" s="169"/>
    </row>
    <row r="1039" spans="19:55" ht="15.75" customHeight="1">
      <c r="S1039" s="454"/>
      <c r="AY1039" s="458"/>
      <c r="AZ1039" s="458"/>
      <c r="BA1039" s="1305"/>
      <c r="BC1039" s="169"/>
    </row>
    <row r="1040" spans="19:55" ht="15.75" customHeight="1">
      <c r="S1040" s="454"/>
      <c r="AY1040" s="458"/>
      <c r="AZ1040" s="458"/>
      <c r="BA1040" s="1305"/>
      <c r="BC1040" s="169"/>
    </row>
    <row r="1041" spans="19:55" ht="15.75" customHeight="1">
      <c r="S1041" s="454"/>
      <c r="AY1041" s="458"/>
      <c r="AZ1041" s="458"/>
      <c r="BA1041" s="1305"/>
      <c r="BC1041" s="169"/>
    </row>
    <row r="1042" spans="19:55" ht="15.75" customHeight="1">
      <c r="S1042" s="454"/>
      <c r="AY1042" s="458"/>
      <c r="AZ1042" s="458"/>
      <c r="BA1042" s="1305"/>
      <c r="BC1042" s="169"/>
    </row>
    <row r="1043" spans="19:55" ht="15.75" customHeight="1">
      <c r="S1043" s="454"/>
      <c r="AY1043" s="458"/>
      <c r="AZ1043" s="458"/>
      <c r="BA1043" s="1305"/>
      <c r="BC1043" s="169"/>
    </row>
    <row r="1044" spans="19:55" ht="15.75" customHeight="1">
      <c r="S1044" s="454"/>
      <c r="AY1044" s="458"/>
      <c r="AZ1044" s="458"/>
      <c r="BA1044" s="1305"/>
      <c r="BC1044" s="169"/>
    </row>
    <row r="1045" spans="19:55" ht="15.75" customHeight="1">
      <c r="S1045" s="454"/>
      <c r="AY1045" s="458"/>
      <c r="AZ1045" s="458"/>
      <c r="BA1045" s="1305"/>
      <c r="BC1045" s="169"/>
    </row>
    <row r="1046" spans="19:55" ht="15.75" customHeight="1">
      <c r="S1046" s="454"/>
      <c r="AY1046" s="458"/>
      <c r="AZ1046" s="458"/>
      <c r="BA1046" s="1305"/>
      <c r="BC1046" s="169"/>
    </row>
    <row r="1047" spans="19:55" ht="15.75" customHeight="1">
      <c r="S1047" s="454"/>
      <c r="AY1047" s="458"/>
      <c r="AZ1047" s="458"/>
      <c r="BA1047" s="1305"/>
      <c r="BC1047" s="169"/>
    </row>
    <row r="1048" spans="19:55" ht="15.75" customHeight="1">
      <c r="S1048" s="454"/>
      <c r="AY1048" s="458"/>
      <c r="AZ1048" s="458"/>
      <c r="BA1048" s="1305"/>
      <c r="BC1048" s="169"/>
    </row>
    <row r="1049" spans="19:55" ht="15.75" customHeight="1">
      <c r="S1049" s="454"/>
      <c r="AY1049" s="458"/>
      <c r="AZ1049" s="458"/>
      <c r="BA1049" s="1305"/>
      <c r="BC1049" s="169"/>
    </row>
    <row r="1050" spans="19:55" ht="15.75" customHeight="1">
      <c r="S1050" s="454"/>
      <c r="AY1050" s="458"/>
      <c r="AZ1050" s="458"/>
      <c r="BA1050" s="1305"/>
      <c r="BC1050" s="169"/>
    </row>
    <row r="1051" spans="19:55" ht="15.75" customHeight="1">
      <c r="S1051" s="454"/>
      <c r="AY1051" s="458"/>
      <c r="AZ1051" s="458"/>
      <c r="BA1051" s="1305"/>
      <c r="BC1051" s="169"/>
    </row>
    <row r="1052" spans="19:55" ht="15.75" customHeight="1">
      <c r="S1052" s="454"/>
      <c r="AY1052" s="458"/>
      <c r="AZ1052" s="458"/>
      <c r="BA1052" s="1266"/>
      <c r="BC1052" s="169"/>
    </row>
    <row r="1053" spans="19:55" ht="15.75" customHeight="1">
      <c r="S1053" s="454"/>
      <c r="AY1053" s="458"/>
      <c r="AZ1053" s="458"/>
      <c r="BA1053" s="1266"/>
      <c r="BC1053" s="169"/>
    </row>
    <row r="1054" spans="19:55" ht="15.75" customHeight="1">
      <c r="S1054" s="454"/>
      <c r="AY1054" s="458"/>
      <c r="AZ1054" s="458"/>
      <c r="BA1054" s="1266"/>
      <c r="BC1054" s="169"/>
    </row>
    <row r="1055" spans="19:55" ht="15.75" customHeight="1">
      <c r="S1055" s="454"/>
      <c r="AY1055" s="458"/>
      <c r="AZ1055" s="458"/>
      <c r="BA1055" s="1266"/>
      <c r="BC1055" s="169"/>
    </row>
    <row r="1056" spans="19:55" ht="15.75" customHeight="1">
      <c r="S1056" s="454"/>
      <c r="AY1056" s="458"/>
      <c r="AZ1056" s="458"/>
      <c r="BA1056" s="1266"/>
      <c r="BC1056" s="169"/>
    </row>
    <row r="1057" spans="19:55" ht="15.75" customHeight="1">
      <c r="S1057" s="454"/>
      <c r="AY1057" s="458"/>
      <c r="AZ1057" s="458"/>
      <c r="BA1057" s="1266"/>
      <c r="BC1057" s="169"/>
    </row>
    <row r="1058" spans="19:55" ht="15.75" customHeight="1">
      <c r="S1058" s="454"/>
      <c r="AY1058" s="458"/>
      <c r="AZ1058" s="458"/>
      <c r="BA1058" s="1266"/>
      <c r="BC1058" s="169"/>
    </row>
    <row r="1059" spans="19:55" ht="15.75" customHeight="1">
      <c r="S1059" s="454"/>
      <c r="AY1059" s="458"/>
      <c r="AZ1059" s="458"/>
      <c r="BA1059" s="1266"/>
      <c r="BC1059" s="169"/>
    </row>
    <row r="1060" spans="19:55" ht="15.75" customHeight="1">
      <c r="S1060" s="454"/>
      <c r="AY1060" s="458"/>
      <c r="AZ1060" s="458"/>
      <c r="BA1060" s="1266"/>
      <c r="BC1060" s="169"/>
    </row>
    <row r="1061" spans="19:55" ht="15.75" customHeight="1">
      <c r="S1061" s="454"/>
      <c r="AY1061" s="458"/>
      <c r="AZ1061" s="458"/>
      <c r="BA1061" s="1266"/>
      <c r="BC1061" s="169"/>
    </row>
    <row r="1062" spans="19:55" ht="15.75" customHeight="1">
      <c r="S1062" s="454"/>
      <c r="AY1062" s="458"/>
      <c r="AZ1062" s="458"/>
      <c r="BA1062" s="1266"/>
      <c r="BC1062" s="169"/>
    </row>
    <row r="1063" spans="19:55" ht="15.75" customHeight="1">
      <c r="S1063" s="454"/>
      <c r="AY1063" s="458"/>
      <c r="AZ1063" s="458"/>
      <c r="BA1063" s="1266"/>
      <c r="BC1063" s="169"/>
    </row>
    <row r="1064" spans="19:55" ht="15.75" customHeight="1">
      <c r="S1064" s="454"/>
      <c r="AY1064" s="458"/>
      <c r="AZ1064" s="458"/>
      <c r="BA1064" s="1266"/>
      <c r="BC1064" s="169"/>
    </row>
    <row r="1065" spans="19:55" ht="15.75" customHeight="1">
      <c r="S1065" s="454"/>
      <c r="AY1065" s="458"/>
      <c r="AZ1065" s="458"/>
      <c r="BA1065" s="1266"/>
      <c r="BC1065" s="169"/>
    </row>
    <row r="1066" spans="19:55" ht="15.75" customHeight="1">
      <c r="S1066" s="454"/>
      <c r="AY1066" s="458"/>
      <c r="AZ1066" s="458"/>
      <c r="BA1066" s="1266"/>
      <c r="BC1066" s="169"/>
    </row>
    <row r="1067" spans="19:55" ht="15.75" customHeight="1">
      <c r="S1067" s="454"/>
      <c r="AY1067" s="458"/>
      <c r="AZ1067" s="458"/>
      <c r="BA1067" s="1266"/>
      <c r="BC1067" s="169"/>
    </row>
    <row r="1068" spans="19:55" ht="15.75" customHeight="1">
      <c r="S1068" s="454"/>
      <c r="AY1068" s="458"/>
      <c r="AZ1068" s="458"/>
      <c r="BA1068" s="1266"/>
      <c r="BC1068" s="169"/>
    </row>
    <row r="1069" spans="19:55" ht="15.75" customHeight="1">
      <c r="S1069" s="454"/>
      <c r="AY1069" s="458"/>
      <c r="AZ1069" s="458"/>
      <c r="BA1069" s="1266"/>
      <c r="BC1069" s="169"/>
    </row>
    <row r="1070" spans="19:55" ht="15.75" customHeight="1">
      <c r="S1070" s="454"/>
      <c r="AY1070" s="458"/>
      <c r="AZ1070" s="458"/>
      <c r="BA1070" s="1266"/>
      <c r="BC1070" s="169"/>
    </row>
    <row r="1071" spans="19:55" ht="15.75" customHeight="1">
      <c r="S1071" s="454"/>
      <c r="AY1071" s="458"/>
      <c r="AZ1071" s="458"/>
      <c r="BA1071" s="1266"/>
      <c r="BC1071" s="169"/>
    </row>
    <row r="1072" spans="19:55" ht="15.75" customHeight="1">
      <c r="S1072" s="454"/>
      <c r="AY1072" s="458"/>
      <c r="AZ1072" s="458"/>
      <c r="BA1072" s="1266"/>
      <c r="BC1072" s="169"/>
    </row>
    <row r="1073" spans="19:55" ht="15.75" customHeight="1">
      <c r="S1073" s="454"/>
      <c r="AY1073" s="458"/>
      <c r="AZ1073" s="458"/>
      <c r="BA1073" s="1266"/>
      <c r="BC1073" s="169"/>
    </row>
    <row r="1074" spans="19:55" ht="15.75" customHeight="1">
      <c r="S1074" s="454"/>
      <c r="AY1074" s="458"/>
      <c r="AZ1074" s="458"/>
      <c r="BA1074" s="1266"/>
      <c r="BC1074" s="169"/>
    </row>
    <row r="1075" spans="19:55" ht="15.75" customHeight="1">
      <c r="S1075" s="454"/>
      <c r="AY1075" s="458"/>
      <c r="AZ1075" s="458"/>
      <c r="BA1075" s="1266"/>
      <c r="BC1075" s="169"/>
    </row>
    <row r="1076" spans="19:55" ht="15.75" customHeight="1">
      <c r="S1076" s="454"/>
      <c r="AY1076" s="458"/>
      <c r="AZ1076" s="458"/>
      <c r="BA1076" s="1266"/>
      <c r="BC1076" s="169"/>
    </row>
    <row r="1077" spans="19:55" ht="15.75" customHeight="1">
      <c r="S1077" s="454"/>
      <c r="AY1077" s="458"/>
      <c r="AZ1077" s="458"/>
      <c r="BA1077" s="1266"/>
      <c r="BC1077" s="169"/>
    </row>
    <row r="1078" spans="19:55" ht="15.75" customHeight="1">
      <c r="S1078" s="454"/>
      <c r="AY1078" s="458"/>
      <c r="AZ1078" s="458"/>
      <c r="BA1078" s="1266"/>
      <c r="BC1078" s="169"/>
    </row>
    <row r="1079" spans="19:55" ht="15.75" customHeight="1">
      <c r="S1079" s="454"/>
      <c r="AY1079" s="458"/>
      <c r="AZ1079" s="458"/>
      <c r="BA1079" s="1266"/>
      <c r="BC1079" s="169"/>
    </row>
    <row r="1080" spans="19:55" ht="15.75" customHeight="1">
      <c r="S1080" s="454"/>
      <c r="AY1080" s="458"/>
      <c r="AZ1080" s="458"/>
      <c r="BA1080" s="1266"/>
      <c r="BC1080" s="169"/>
    </row>
    <row r="1081" spans="19:55" ht="15.75" customHeight="1">
      <c r="S1081" s="454"/>
      <c r="AY1081" s="458"/>
      <c r="AZ1081" s="458"/>
      <c r="BA1081" s="1266"/>
      <c r="BC1081" s="169"/>
    </row>
    <row r="1082" spans="19:55" ht="15.75" customHeight="1">
      <c r="S1082" s="454"/>
      <c r="AY1082" s="458"/>
      <c r="AZ1082" s="458"/>
      <c r="BA1082" s="1266"/>
      <c r="BC1082" s="169"/>
    </row>
    <row r="1083" spans="19:55" ht="15.75" customHeight="1">
      <c r="S1083" s="454"/>
      <c r="AY1083" s="458"/>
      <c r="AZ1083" s="458"/>
      <c r="BA1083" s="1266"/>
      <c r="BC1083" s="169"/>
    </row>
    <row r="1084" spans="19:55" ht="15.75" customHeight="1">
      <c r="S1084" s="454"/>
      <c r="AY1084" s="458"/>
      <c r="AZ1084" s="458"/>
      <c r="BA1084" s="1266"/>
      <c r="BC1084" s="169"/>
    </row>
    <row r="1085" spans="19:55" ht="15.75" customHeight="1">
      <c r="S1085" s="454"/>
      <c r="AY1085" s="458"/>
      <c r="AZ1085" s="458"/>
      <c r="BA1085" s="1266"/>
      <c r="BC1085" s="169"/>
    </row>
    <row r="1086" spans="19:55" ht="15.75" customHeight="1">
      <c r="S1086" s="454"/>
      <c r="AY1086" s="458"/>
      <c r="AZ1086" s="458"/>
      <c r="BA1086" s="1266"/>
      <c r="BC1086" s="169"/>
    </row>
    <row r="1087" spans="19:55" ht="15.75" customHeight="1">
      <c r="S1087" s="454"/>
      <c r="AY1087" s="458"/>
      <c r="AZ1087" s="458"/>
      <c r="BA1087" s="1266"/>
      <c r="BC1087" s="169"/>
    </row>
    <row r="1088" spans="19:55" ht="15.75" customHeight="1">
      <c r="S1088" s="454"/>
      <c r="AY1088" s="458"/>
      <c r="AZ1088" s="458"/>
      <c r="BA1088" s="1266"/>
      <c r="BC1088" s="169"/>
    </row>
    <row r="1089" spans="19:55" ht="15.75" customHeight="1">
      <c r="S1089" s="454"/>
      <c r="AY1089" s="458"/>
      <c r="AZ1089" s="458"/>
      <c r="BA1089" s="1266"/>
      <c r="BC1089" s="169"/>
    </row>
    <row r="1090" spans="19:55" ht="15.75" customHeight="1">
      <c r="S1090" s="454"/>
      <c r="AY1090" s="458"/>
      <c r="AZ1090" s="458"/>
      <c r="BA1090" s="1266"/>
      <c r="BC1090" s="169"/>
    </row>
    <row r="1091" spans="19:55" ht="15.75" customHeight="1">
      <c r="S1091" s="454"/>
      <c r="AY1091" s="458"/>
      <c r="AZ1091" s="458"/>
      <c r="BA1091" s="1266"/>
      <c r="BC1091" s="169"/>
    </row>
    <row r="1092" spans="19:55" ht="15.75" customHeight="1">
      <c r="S1092" s="454"/>
      <c r="AY1092" s="458"/>
      <c r="AZ1092" s="458"/>
      <c r="BA1092" s="1266"/>
      <c r="BC1092" s="169"/>
    </row>
    <row r="1093" spans="19:55" ht="15.75" customHeight="1">
      <c r="S1093" s="454"/>
      <c r="AY1093" s="458"/>
      <c r="AZ1093" s="458"/>
      <c r="BA1093" s="1266"/>
      <c r="BC1093" s="169"/>
    </row>
    <row r="1094" spans="19:55" ht="15.75" customHeight="1">
      <c r="S1094" s="454"/>
      <c r="AY1094" s="458"/>
      <c r="AZ1094" s="458"/>
      <c r="BA1094" s="1266"/>
      <c r="BC1094" s="169"/>
    </row>
    <row r="1095" spans="19:55" ht="15.75" customHeight="1">
      <c r="S1095" s="454"/>
      <c r="AY1095" s="458"/>
      <c r="AZ1095" s="458"/>
      <c r="BA1095" s="1266"/>
      <c r="BC1095" s="169"/>
    </row>
    <row r="1096" spans="19:55" ht="15.75" customHeight="1">
      <c r="S1096" s="454"/>
      <c r="AY1096" s="458"/>
      <c r="AZ1096" s="458"/>
      <c r="BA1096" s="1266"/>
      <c r="BC1096" s="169"/>
    </row>
    <row r="1097" spans="19:55" ht="15.75" customHeight="1">
      <c r="S1097" s="454"/>
      <c r="AY1097" s="458"/>
      <c r="AZ1097" s="458"/>
      <c r="BA1097" s="1266"/>
      <c r="BC1097" s="169"/>
    </row>
    <row r="1098" spans="19:55" ht="15.75" customHeight="1">
      <c r="S1098" s="454"/>
      <c r="AY1098" s="458"/>
      <c r="AZ1098" s="458"/>
      <c r="BA1098" s="1266"/>
      <c r="BC1098" s="169"/>
    </row>
    <row r="1099" spans="19:55" ht="15.75" customHeight="1">
      <c r="S1099" s="454"/>
      <c r="AY1099" s="458"/>
      <c r="AZ1099" s="458"/>
      <c r="BA1099" s="1266"/>
      <c r="BC1099" s="169"/>
    </row>
    <row r="1100" spans="19:55" ht="15.75" customHeight="1">
      <c r="S1100" s="454"/>
      <c r="AY1100" s="458"/>
      <c r="AZ1100" s="458"/>
      <c r="BA1100" s="1266"/>
      <c r="BC1100" s="169"/>
    </row>
    <row r="1101" spans="19:55" ht="15.75" customHeight="1">
      <c r="S1101" s="454"/>
      <c r="AY1101" s="458"/>
      <c r="AZ1101" s="458"/>
      <c r="BA1101" s="1266"/>
      <c r="BC1101" s="169"/>
    </row>
    <row r="1102" spans="19:55" ht="15.75" customHeight="1">
      <c r="S1102" s="454"/>
      <c r="AY1102" s="458"/>
      <c r="AZ1102" s="458"/>
      <c r="BA1102" s="1266"/>
      <c r="BC1102" s="169"/>
    </row>
    <row r="1103" spans="19:55" ht="15.75" customHeight="1">
      <c r="S1103" s="454"/>
      <c r="AY1103" s="458"/>
      <c r="AZ1103" s="458"/>
      <c r="BA1103" s="1266"/>
      <c r="BC1103" s="169"/>
    </row>
    <row r="1104" spans="19:55" ht="15.75" customHeight="1">
      <c r="S1104" s="454"/>
      <c r="AY1104" s="458"/>
      <c r="AZ1104" s="458"/>
      <c r="BA1104" s="1266"/>
      <c r="BC1104" s="169"/>
    </row>
    <row r="1105" spans="19:55" ht="15.75" customHeight="1">
      <c r="S1105" s="454"/>
      <c r="AY1105" s="458"/>
      <c r="AZ1105" s="458"/>
      <c r="BA1105" s="1266"/>
      <c r="BC1105" s="169"/>
    </row>
    <row r="1106" spans="19:55" ht="15.75" customHeight="1">
      <c r="S1106" s="454"/>
      <c r="AY1106" s="458"/>
      <c r="AZ1106" s="458"/>
      <c r="BA1106" s="1266"/>
      <c r="BC1106" s="169"/>
    </row>
    <row r="1107" spans="19:55" ht="15.75" customHeight="1">
      <c r="S1107" s="454"/>
      <c r="AY1107" s="458"/>
      <c r="AZ1107" s="458"/>
      <c r="BA1107" s="1266"/>
      <c r="BC1107" s="169"/>
    </row>
    <row r="1108" spans="19:55" ht="15.75" customHeight="1">
      <c r="S1108" s="454"/>
      <c r="AY1108" s="458"/>
      <c r="AZ1108" s="458"/>
      <c r="BA1108" s="1266"/>
      <c r="BC1108" s="169"/>
    </row>
    <row r="1109" spans="19:55" ht="15.75" customHeight="1">
      <c r="S1109" s="454"/>
      <c r="AY1109" s="458"/>
      <c r="AZ1109" s="458"/>
      <c r="BA1109" s="1266"/>
      <c r="BC1109" s="169"/>
    </row>
    <row r="1110" spans="19:55" ht="15.75" customHeight="1">
      <c r="S1110" s="454"/>
      <c r="AY1110" s="458"/>
      <c r="AZ1110" s="458"/>
      <c r="BA1110" s="1266"/>
      <c r="BC1110" s="169"/>
    </row>
    <row r="1111" spans="19:55" ht="15.75" customHeight="1">
      <c r="S1111" s="454"/>
      <c r="AY1111" s="458"/>
      <c r="AZ1111" s="458"/>
      <c r="BA1111" s="1266"/>
      <c r="BC1111" s="169"/>
    </row>
    <row r="1112" spans="19:55" ht="15.75" customHeight="1">
      <c r="S1112" s="454"/>
      <c r="AY1112" s="458"/>
      <c r="AZ1112" s="458"/>
      <c r="BA1112" s="1266"/>
      <c r="BC1112" s="169"/>
    </row>
    <row r="1113" spans="19:55" ht="15.75" customHeight="1">
      <c r="S1113" s="454"/>
      <c r="AY1113" s="458"/>
      <c r="AZ1113" s="458"/>
      <c r="BA1113" s="1266"/>
      <c r="BC1113" s="169"/>
    </row>
    <row r="1114" spans="19:55" ht="15.75" customHeight="1">
      <c r="S1114" s="454"/>
      <c r="AY1114" s="458"/>
      <c r="AZ1114" s="458"/>
      <c r="BA1114" s="1266"/>
      <c r="BC1114" s="169"/>
    </row>
    <row r="1115" spans="19:55" ht="15.75" customHeight="1">
      <c r="S1115" s="454"/>
      <c r="AY1115" s="458"/>
      <c r="AZ1115" s="458"/>
      <c r="BA1115" s="1266"/>
      <c r="BC1115" s="169"/>
    </row>
    <row r="1116" spans="19:55" ht="15.75" customHeight="1">
      <c r="S1116" s="454"/>
      <c r="AY1116" s="458"/>
      <c r="AZ1116" s="458"/>
      <c r="BA1116" s="1266"/>
      <c r="BC1116" s="169"/>
    </row>
    <row r="1117" spans="19:55" ht="15.75" customHeight="1">
      <c r="S1117" s="454"/>
      <c r="AY1117" s="458"/>
      <c r="AZ1117" s="458"/>
      <c r="BA1117" s="1266"/>
      <c r="BC1117" s="169"/>
    </row>
    <row r="1118" spans="19:55" ht="15.75" customHeight="1">
      <c r="S1118" s="454"/>
      <c r="AY1118" s="458"/>
      <c r="AZ1118" s="458"/>
      <c r="BA1118" s="1266"/>
      <c r="BC1118" s="169"/>
    </row>
    <row r="1119" spans="19:55" ht="15.75" customHeight="1">
      <c r="S1119" s="454"/>
      <c r="AY1119" s="458"/>
      <c r="AZ1119" s="458"/>
      <c r="BA1119" s="1266"/>
      <c r="BC1119" s="169"/>
    </row>
    <row r="1120" spans="19:55" ht="15.75" customHeight="1">
      <c r="S1120" s="454"/>
      <c r="AY1120" s="458"/>
      <c r="AZ1120" s="458"/>
      <c r="BA1120" s="1266"/>
      <c r="BC1120" s="169"/>
    </row>
    <row r="1121" spans="19:55" ht="15.75" customHeight="1">
      <c r="S1121" s="454"/>
      <c r="AY1121" s="458"/>
      <c r="AZ1121" s="458"/>
      <c r="BA1121" s="1266"/>
      <c r="BC1121" s="169"/>
    </row>
    <row r="1122" spans="19:55" ht="15.75" customHeight="1">
      <c r="S1122" s="454"/>
      <c r="AY1122" s="458"/>
      <c r="AZ1122" s="458"/>
      <c r="BA1122" s="1266"/>
      <c r="BC1122" s="169"/>
    </row>
    <row r="1123" spans="19:55" ht="15.75" customHeight="1">
      <c r="S1123" s="454"/>
      <c r="AY1123" s="458"/>
      <c r="AZ1123" s="458"/>
      <c r="BA1123" s="1266"/>
      <c r="BC1123" s="169"/>
    </row>
    <row r="1124" spans="19:55" ht="15.75" customHeight="1">
      <c r="S1124" s="454"/>
      <c r="AY1124" s="458"/>
      <c r="AZ1124" s="458"/>
      <c r="BA1124" s="1266"/>
      <c r="BC1124" s="169"/>
    </row>
    <row r="1125" spans="19:55" ht="15.75" customHeight="1">
      <c r="S1125" s="454"/>
      <c r="AY1125" s="458"/>
      <c r="AZ1125" s="458"/>
      <c r="BA1125" s="1266"/>
      <c r="BC1125" s="169"/>
    </row>
    <row r="1126" spans="19:55" ht="15.75" customHeight="1">
      <c r="S1126" s="454"/>
      <c r="AY1126" s="458"/>
      <c r="AZ1126" s="458"/>
      <c r="BA1126" s="1266"/>
      <c r="BC1126" s="169"/>
    </row>
    <row r="1127" spans="19:55" ht="15.75" customHeight="1">
      <c r="S1127" s="454"/>
      <c r="AY1127" s="458"/>
      <c r="AZ1127" s="458"/>
      <c r="BA1127" s="1266"/>
      <c r="BC1127" s="169"/>
    </row>
    <row r="1128" spans="19:55" ht="15.75" customHeight="1">
      <c r="S1128" s="454"/>
      <c r="AY1128" s="458"/>
      <c r="AZ1128" s="458"/>
      <c r="BA1128" s="1266"/>
      <c r="BC1128" s="169"/>
    </row>
    <row r="1129" spans="19:55" ht="15.75" customHeight="1">
      <c r="S1129" s="454"/>
      <c r="AY1129" s="458"/>
      <c r="AZ1129" s="458"/>
      <c r="BA1129" s="1266"/>
      <c r="BC1129" s="169"/>
    </row>
    <row r="1130" spans="19:55" ht="15.75" customHeight="1">
      <c r="S1130" s="454"/>
      <c r="AY1130" s="458"/>
      <c r="AZ1130" s="458"/>
      <c r="BA1130" s="1266"/>
      <c r="BC1130" s="169"/>
    </row>
    <row r="1131" spans="19:55" ht="15.75" customHeight="1">
      <c r="S1131" s="454"/>
      <c r="AY1131" s="458"/>
      <c r="AZ1131" s="458"/>
      <c r="BA1131" s="1266"/>
      <c r="BC1131" s="169"/>
    </row>
    <row r="1132" spans="19:55" ht="15.75" customHeight="1">
      <c r="S1132" s="454"/>
      <c r="AY1132" s="458"/>
      <c r="AZ1132" s="458"/>
      <c r="BA1132" s="1266"/>
      <c r="BC1132" s="169"/>
    </row>
    <row r="1133" spans="19:55" ht="15.75" customHeight="1">
      <c r="S1133" s="454"/>
      <c r="AY1133" s="458"/>
      <c r="AZ1133" s="458"/>
      <c r="BA1133" s="1266"/>
      <c r="BC1133" s="169"/>
    </row>
    <row r="1134" spans="19:55" ht="15.75" customHeight="1">
      <c r="S1134" s="454"/>
      <c r="AY1134" s="458"/>
      <c r="AZ1134" s="458"/>
      <c r="BA1134" s="1266"/>
      <c r="BC1134" s="169"/>
    </row>
    <row r="1135" spans="19:55" ht="15.75" customHeight="1">
      <c r="S1135" s="454"/>
      <c r="AY1135" s="458"/>
      <c r="AZ1135" s="458"/>
      <c r="BA1135" s="1266"/>
      <c r="BC1135" s="169"/>
    </row>
    <row r="1136" spans="19:55" ht="15.75" customHeight="1">
      <c r="S1136" s="454"/>
      <c r="AY1136" s="458"/>
      <c r="AZ1136" s="458"/>
      <c r="BA1136" s="1266"/>
      <c r="BC1136" s="169"/>
    </row>
    <row r="1137" spans="19:55" ht="15.75" customHeight="1">
      <c r="S1137" s="454"/>
      <c r="AY1137" s="458"/>
      <c r="AZ1137" s="458"/>
      <c r="BA1137" s="1266"/>
      <c r="BC1137" s="169"/>
    </row>
    <row r="1138" spans="19:55" ht="15.75" customHeight="1">
      <c r="S1138" s="454"/>
      <c r="AY1138" s="458"/>
      <c r="AZ1138" s="458"/>
      <c r="BA1138" s="1266"/>
      <c r="BC1138" s="169"/>
    </row>
    <row r="1139" spans="19:55" ht="15.75" customHeight="1">
      <c r="S1139" s="454"/>
      <c r="AY1139" s="458"/>
      <c r="AZ1139" s="458"/>
      <c r="BA1139" s="1266"/>
      <c r="BC1139" s="169"/>
    </row>
    <row r="1140" spans="19:55" ht="15.75" customHeight="1">
      <c r="S1140" s="454"/>
      <c r="AY1140" s="458"/>
      <c r="AZ1140" s="458"/>
      <c r="BA1140" s="1266"/>
      <c r="BC1140" s="169"/>
    </row>
    <row r="1141" spans="19:55" ht="15.75" customHeight="1">
      <c r="S1141" s="454"/>
      <c r="AY1141" s="458"/>
      <c r="AZ1141" s="458"/>
      <c r="BA1141" s="1266"/>
      <c r="BC1141" s="169"/>
    </row>
    <row r="1142" spans="19:55" ht="15.75" customHeight="1">
      <c r="S1142" s="454"/>
      <c r="AY1142" s="458"/>
      <c r="AZ1142" s="458"/>
      <c r="BA1142" s="1266"/>
      <c r="BC1142" s="169"/>
    </row>
    <row r="1143" spans="19:55" ht="15.75" customHeight="1">
      <c r="S1143" s="454"/>
      <c r="AY1143" s="458"/>
      <c r="AZ1143" s="458"/>
      <c r="BA1143" s="1266"/>
      <c r="BC1143" s="169"/>
    </row>
    <row r="1144" spans="19:55" ht="15.75" customHeight="1">
      <c r="S1144" s="454"/>
      <c r="AY1144" s="458"/>
      <c r="AZ1144" s="458"/>
      <c r="BA1144" s="1266"/>
      <c r="BC1144" s="169"/>
    </row>
    <row r="1145" spans="19:55" ht="15.75" customHeight="1">
      <c r="S1145" s="454"/>
      <c r="AY1145" s="458"/>
      <c r="AZ1145" s="458"/>
      <c r="BA1145" s="1266"/>
      <c r="BC1145" s="169"/>
    </row>
    <row r="1146" spans="19:55" ht="15.75" customHeight="1">
      <c r="S1146" s="454"/>
      <c r="AY1146" s="458"/>
      <c r="AZ1146" s="458"/>
      <c r="BA1146" s="1266"/>
      <c r="BC1146" s="169"/>
    </row>
    <row r="1147" spans="19:55" ht="15.75" customHeight="1">
      <c r="S1147" s="454"/>
      <c r="AY1147" s="458"/>
      <c r="AZ1147" s="458"/>
      <c r="BA1147" s="1266"/>
      <c r="BC1147" s="169"/>
    </row>
    <row r="1148" spans="19:55" ht="15.75" customHeight="1">
      <c r="S1148" s="454"/>
      <c r="AY1148" s="458"/>
      <c r="AZ1148" s="458"/>
      <c r="BA1148" s="1266"/>
      <c r="BC1148" s="169"/>
    </row>
    <row r="1149" spans="19:55" ht="15.75" customHeight="1">
      <c r="S1149" s="454"/>
      <c r="AY1149" s="458"/>
      <c r="AZ1149" s="458"/>
      <c r="BA1149" s="1266"/>
      <c r="BC1149" s="169"/>
    </row>
    <row r="1150" spans="19:55" ht="15.75" customHeight="1">
      <c r="S1150" s="454"/>
      <c r="AY1150" s="458"/>
      <c r="AZ1150" s="458"/>
      <c r="BA1150" s="1266"/>
      <c r="BC1150" s="169"/>
    </row>
    <row r="1151" spans="19:55" ht="15.75" customHeight="1">
      <c r="S1151" s="454"/>
      <c r="AY1151" s="458"/>
      <c r="AZ1151" s="458"/>
      <c r="BA1151" s="1266"/>
      <c r="BC1151" s="169"/>
    </row>
    <row r="1152" spans="19:55" ht="15.75" customHeight="1">
      <c r="S1152" s="454"/>
      <c r="AY1152" s="458"/>
      <c r="AZ1152" s="458"/>
      <c r="BA1152" s="1266"/>
      <c r="BC1152" s="169"/>
    </row>
    <row r="1153" spans="19:55" ht="15.75" customHeight="1">
      <c r="S1153" s="454"/>
      <c r="AY1153" s="458"/>
      <c r="AZ1153" s="458"/>
      <c r="BA1153" s="1266"/>
      <c r="BC1153" s="169"/>
    </row>
    <row r="1154" spans="19:55" ht="15.75" customHeight="1">
      <c r="S1154" s="454"/>
      <c r="AY1154" s="458"/>
      <c r="AZ1154" s="458"/>
      <c r="BA1154" s="1266"/>
      <c r="BC1154" s="169"/>
    </row>
    <row r="1155" spans="19:55" ht="15.75" customHeight="1">
      <c r="S1155" s="454"/>
      <c r="AY1155" s="458"/>
      <c r="AZ1155" s="458"/>
      <c r="BA1155" s="1266"/>
      <c r="BC1155" s="169"/>
    </row>
    <row r="1156" spans="19:55" ht="15.75" customHeight="1">
      <c r="S1156" s="454"/>
      <c r="AY1156" s="458"/>
      <c r="AZ1156" s="458"/>
      <c r="BA1156" s="1266"/>
      <c r="BC1156" s="169"/>
    </row>
    <row r="1157" spans="19:55" ht="15.75" customHeight="1">
      <c r="S1157" s="454"/>
      <c r="AY1157" s="458"/>
      <c r="AZ1157" s="458"/>
      <c r="BA1157" s="1266"/>
      <c r="BC1157" s="169"/>
    </row>
    <row r="1158" spans="19:55" ht="15.75" customHeight="1">
      <c r="S1158" s="454"/>
      <c r="AY1158" s="458"/>
      <c r="AZ1158" s="458"/>
      <c r="BA1158" s="1266"/>
      <c r="BC1158" s="169"/>
    </row>
    <row r="1159" spans="19:55" ht="15.75" customHeight="1">
      <c r="S1159" s="454"/>
      <c r="AY1159" s="458"/>
      <c r="AZ1159" s="458"/>
      <c r="BA1159" s="1266"/>
      <c r="BC1159" s="169"/>
    </row>
    <row r="1160" spans="19:55" ht="15.75" customHeight="1">
      <c r="S1160" s="454"/>
      <c r="AY1160" s="458"/>
      <c r="AZ1160" s="458"/>
      <c r="BA1160" s="1266"/>
      <c r="BC1160" s="169"/>
    </row>
    <row r="1161" spans="19:55" ht="15.75" customHeight="1">
      <c r="S1161" s="454"/>
      <c r="AY1161" s="458"/>
      <c r="AZ1161" s="458"/>
      <c r="BA1161" s="1266"/>
      <c r="BC1161" s="169"/>
    </row>
    <row r="1162" spans="19:55" ht="15.75" customHeight="1">
      <c r="S1162" s="454"/>
      <c r="AY1162" s="458"/>
      <c r="AZ1162" s="458"/>
      <c r="BA1162" s="1266"/>
      <c r="BC1162" s="169"/>
    </row>
    <row r="1163" spans="19:55" ht="15.75" customHeight="1">
      <c r="S1163" s="454"/>
      <c r="AY1163" s="458"/>
      <c r="AZ1163" s="458"/>
      <c r="BA1163" s="1266"/>
      <c r="BC1163" s="169"/>
    </row>
    <row r="1164" spans="19:55" ht="15.75" customHeight="1">
      <c r="S1164" s="454"/>
      <c r="AY1164" s="458"/>
      <c r="AZ1164" s="458"/>
      <c r="BA1164" s="1266"/>
      <c r="BC1164" s="169"/>
    </row>
    <row r="1165" spans="19:55" ht="15.75" customHeight="1">
      <c r="S1165" s="454"/>
      <c r="AY1165" s="458"/>
      <c r="AZ1165" s="458"/>
      <c r="BA1165" s="1266"/>
      <c r="BC1165" s="169"/>
    </row>
    <row r="1166" spans="19:55" ht="15.75" customHeight="1">
      <c r="S1166" s="454"/>
      <c r="AY1166" s="458"/>
      <c r="AZ1166" s="458"/>
      <c r="BA1166" s="1266"/>
      <c r="BC1166" s="169"/>
    </row>
    <row r="1167" spans="19:55" ht="15.75" customHeight="1">
      <c r="S1167" s="454"/>
      <c r="AY1167" s="458"/>
      <c r="AZ1167" s="458"/>
      <c r="BA1167" s="1266"/>
      <c r="BC1167" s="169"/>
    </row>
    <row r="1168" spans="19:55" ht="15.75" customHeight="1">
      <c r="S1168" s="454"/>
      <c r="AY1168" s="458"/>
      <c r="AZ1168" s="458"/>
      <c r="BA1168" s="1266"/>
      <c r="BC1168" s="169"/>
    </row>
    <row r="1169" spans="19:55" ht="15.75" customHeight="1">
      <c r="S1169" s="454"/>
      <c r="AY1169" s="458"/>
      <c r="AZ1169" s="458"/>
      <c r="BA1169" s="1266"/>
      <c r="BC1169" s="169"/>
    </row>
    <row r="1170" spans="19:55" ht="15.75" customHeight="1">
      <c r="S1170" s="454"/>
      <c r="AY1170" s="458"/>
      <c r="AZ1170" s="458"/>
      <c r="BA1170" s="1266"/>
      <c r="BC1170" s="169"/>
    </row>
    <row r="1171" spans="19:55" ht="15.75" customHeight="1">
      <c r="S1171" s="454"/>
      <c r="AY1171" s="458"/>
      <c r="AZ1171" s="458"/>
      <c r="BA1171" s="1266"/>
      <c r="BC1171" s="169"/>
    </row>
    <row r="1172" spans="19:55" ht="15.75" customHeight="1">
      <c r="S1172" s="454"/>
      <c r="AY1172" s="458"/>
      <c r="AZ1172" s="458"/>
      <c r="BA1172" s="1266"/>
      <c r="BC1172" s="169"/>
    </row>
    <row r="1173" spans="19:55" ht="15.75" customHeight="1">
      <c r="S1173" s="454"/>
      <c r="AY1173" s="458"/>
      <c r="AZ1173" s="458"/>
      <c r="BA1173" s="1266"/>
      <c r="BC1173" s="169"/>
    </row>
    <row r="1174" spans="19:55" ht="15.75" customHeight="1">
      <c r="S1174" s="454"/>
      <c r="AY1174" s="458"/>
      <c r="AZ1174" s="458"/>
      <c r="BA1174" s="1266"/>
      <c r="BC1174" s="169"/>
    </row>
    <row r="1175" spans="19:55" ht="15.75" customHeight="1">
      <c r="S1175" s="454"/>
      <c r="AY1175" s="458"/>
      <c r="AZ1175" s="458"/>
      <c r="BA1175" s="1266"/>
      <c r="BC1175" s="169"/>
    </row>
    <row r="1176" spans="19:55" ht="15.75" customHeight="1">
      <c r="S1176" s="454"/>
      <c r="AY1176" s="458"/>
      <c r="AZ1176" s="458"/>
      <c r="BA1176" s="1266"/>
      <c r="BC1176" s="169"/>
    </row>
    <row r="1177" spans="19:55" ht="15.75" customHeight="1">
      <c r="S1177" s="454"/>
      <c r="AY1177" s="458"/>
      <c r="AZ1177" s="458"/>
      <c r="BA1177" s="1266"/>
      <c r="BC1177" s="169"/>
    </row>
    <row r="1178" spans="19:55" ht="15.75" customHeight="1">
      <c r="S1178" s="454"/>
      <c r="AY1178" s="458"/>
      <c r="AZ1178" s="458"/>
      <c r="BA1178" s="1266"/>
      <c r="BC1178" s="169"/>
    </row>
    <row r="1179" spans="19:55" ht="15.75" customHeight="1">
      <c r="S1179" s="454"/>
      <c r="AY1179" s="458"/>
      <c r="AZ1179" s="458"/>
      <c r="BA1179" s="1266"/>
      <c r="BC1179" s="169"/>
    </row>
    <row r="1180" spans="19:55" ht="15.75" customHeight="1">
      <c r="S1180" s="454"/>
      <c r="AY1180" s="458"/>
      <c r="AZ1180" s="458"/>
      <c r="BA1180" s="1266"/>
      <c r="BC1180" s="169"/>
    </row>
    <row r="1181" spans="19:55" ht="15.75" customHeight="1">
      <c r="S1181" s="454"/>
      <c r="AY1181" s="458"/>
      <c r="AZ1181" s="458"/>
      <c r="BA1181" s="1266"/>
      <c r="BC1181" s="169"/>
    </row>
    <row r="1182" spans="19:55" ht="15.75" customHeight="1">
      <c r="S1182" s="454"/>
      <c r="AY1182" s="458"/>
      <c r="AZ1182" s="458"/>
      <c r="BA1182" s="1266"/>
      <c r="BC1182" s="169"/>
    </row>
    <row r="1183" spans="19:55" ht="15.75" customHeight="1">
      <c r="S1183" s="454"/>
      <c r="AY1183" s="458"/>
      <c r="AZ1183" s="458"/>
      <c r="BA1183" s="1266"/>
      <c r="BC1183" s="169"/>
    </row>
    <row r="1184" spans="19:55" ht="15.75" customHeight="1">
      <c r="S1184" s="454"/>
      <c r="AY1184" s="458"/>
      <c r="AZ1184" s="458"/>
      <c r="BA1184" s="1266"/>
      <c r="BC1184" s="169"/>
    </row>
    <row r="1185" spans="19:55" ht="15.75" customHeight="1">
      <c r="S1185" s="454"/>
      <c r="AY1185" s="458"/>
      <c r="AZ1185" s="458"/>
      <c r="BA1185" s="1266"/>
      <c r="BC1185" s="169"/>
    </row>
    <row r="1186" spans="19:55" ht="15.75" customHeight="1">
      <c r="S1186" s="454"/>
      <c r="AY1186" s="458"/>
      <c r="AZ1186" s="458"/>
      <c r="BA1186" s="1266"/>
      <c r="BC1186" s="169"/>
    </row>
    <row r="1187" spans="19:55" ht="15.75" customHeight="1">
      <c r="S1187" s="454"/>
      <c r="AY1187" s="458"/>
      <c r="AZ1187" s="458"/>
      <c r="BA1187" s="1266"/>
      <c r="BC1187" s="169"/>
    </row>
    <row r="1188" spans="19:55" ht="15.75" customHeight="1">
      <c r="S1188" s="454"/>
      <c r="AY1188" s="458"/>
      <c r="AZ1188" s="458"/>
      <c r="BA1188" s="1266"/>
      <c r="BC1188" s="169"/>
    </row>
    <row r="1189" spans="19:55" ht="15.75" customHeight="1">
      <c r="S1189" s="454"/>
      <c r="AY1189" s="458"/>
      <c r="AZ1189" s="458"/>
      <c r="BA1189" s="1266"/>
      <c r="BC1189" s="169"/>
    </row>
    <row r="1190" spans="19:55" ht="15.75" customHeight="1">
      <c r="S1190" s="454"/>
      <c r="AY1190" s="458"/>
      <c r="AZ1190" s="458"/>
      <c r="BA1190" s="1266"/>
      <c r="BC1190" s="169"/>
    </row>
    <row r="1191" spans="19:55" ht="15.75" customHeight="1">
      <c r="S1191" s="454"/>
      <c r="AY1191" s="458"/>
      <c r="AZ1191" s="458"/>
      <c r="BA1191" s="1266"/>
      <c r="BC1191" s="169"/>
    </row>
    <row r="1192" spans="19:55" ht="15.75" customHeight="1">
      <c r="S1192" s="454"/>
      <c r="AY1192" s="458"/>
      <c r="AZ1192" s="458"/>
      <c r="BA1192" s="1266"/>
      <c r="BC1192" s="169"/>
    </row>
    <row r="1193" spans="19:55" ht="15.75" customHeight="1">
      <c r="S1193" s="454"/>
      <c r="AY1193" s="458"/>
      <c r="AZ1193" s="458"/>
      <c r="BA1193" s="1266"/>
      <c r="BC1193" s="169"/>
    </row>
    <row r="1194" spans="19:55" ht="15.75" customHeight="1">
      <c r="S1194" s="454"/>
      <c r="AY1194" s="458"/>
      <c r="AZ1194" s="458"/>
      <c r="BA1194" s="1266"/>
      <c r="BC1194" s="169"/>
    </row>
    <row r="1195" spans="19:55" ht="15.75" customHeight="1">
      <c r="S1195" s="454"/>
      <c r="AY1195" s="458"/>
      <c r="AZ1195" s="458"/>
      <c r="BA1195" s="1266"/>
      <c r="BC1195" s="169"/>
    </row>
    <row r="1196" spans="19:55" ht="15.75" customHeight="1">
      <c r="S1196" s="454"/>
      <c r="AY1196" s="458"/>
      <c r="AZ1196" s="458"/>
      <c r="BA1196" s="1266"/>
      <c r="BC1196" s="169"/>
    </row>
    <row r="1197" spans="19:55" ht="15.75" customHeight="1">
      <c r="S1197" s="454"/>
      <c r="AY1197" s="458"/>
      <c r="AZ1197" s="458"/>
      <c r="BA1197" s="1266"/>
      <c r="BC1197" s="169"/>
    </row>
    <row r="1198" spans="19:55" ht="15.75" customHeight="1">
      <c r="S1198" s="454"/>
      <c r="AY1198" s="458"/>
      <c r="AZ1198" s="458"/>
      <c r="BA1198" s="1266"/>
      <c r="BC1198" s="169"/>
    </row>
    <row r="1199" spans="19:55" ht="15.75" customHeight="1">
      <c r="S1199" s="454"/>
      <c r="AY1199" s="458"/>
      <c r="AZ1199" s="458"/>
      <c r="BA1199" s="1266"/>
      <c r="BC1199" s="169"/>
    </row>
    <row r="1200" spans="19:55" ht="15.75" customHeight="1">
      <c r="S1200" s="454"/>
      <c r="AY1200" s="458"/>
      <c r="AZ1200" s="458"/>
      <c r="BA1200" s="1266"/>
      <c r="BC1200" s="169"/>
    </row>
    <row r="1201" spans="19:55" ht="15.75" customHeight="1">
      <c r="S1201" s="454"/>
      <c r="AY1201" s="458"/>
      <c r="AZ1201" s="458"/>
      <c r="BA1201" s="1266"/>
      <c r="BC1201" s="169"/>
    </row>
    <row r="1202" spans="19:55" ht="15.75" customHeight="1">
      <c r="S1202" s="454"/>
      <c r="AY1202" s="458"/>
      <c r="AZ1202" s="458"/>
      <c r="BA1202" s="1266"/>
      <c r="BC1202" s="169"/>
    </row>
    <row r="1203" spans="19:55" ht="15.75" customHeight="1">
      <c r="S1203" s="454"/>
      <c r="AY1203" s="458"/>
      <c r="AZ1203" s="458"/>
      <c r="BA1203" s="1266"/>
      <c r="BC1203" s="169"/>
    </row>
    <row r="1204" spans="19:55" ht="15.75" customHeight="1">
      <c r="S1204" s="454"/>
      <c r="AY1204" s="458"/>
      <c r="AZ1204" s="458"/>
      <c r="BA1204" s="1266"/>
      <c r="BC1204" s="169"/>
    </row>
    <row r="1205" spans="19:55" ht="15.75" customHeight="1">
      <c r="S1205" s="454"/>
      <c r="AY1205" s="458"/>
      <c r="AZ1205" s="458"/>
      <c r="BA1205" s="1266"/>
      <c r="BC1205" s="169"/>
    </row>
    <row r="1206" spans="19:55" ht="15.75" customHeight="1">
      <c r="S1206" s="454"/>
      <c r="AY1206" s="458"/>
      <c r="AZ1206" s="458"/>
      <c r="BA1206" s="1266"/>
      <c r="BC1206" s="169"/>
    </row>
    <row r="1207" spans="19:55" ht="15.75" customHeight="1">
      <c r="S1207" s="454"/>
      <c r="AY1207" s="458"/>
      <c r="AZ1207" s="458"/>
      <c r="BA1207" s="1266"/>
      <c r="BC1207" s="169"/>
    </row>
    <row r="1208" spans="19:55" ht="15.75" customHeight="1">
      <c r="S1208" s="454"/>
      <c r="AY1208" s="458"/>
      <c r="AZ1208" s="458"/>
      <c r="BA1208" s="1266"/>
      <c r="BC1208" s="169"/>
    </row>
    <row r="1209" spans="19:55" ht="15.75" customHeight="1">
      <c r="S1209" s="454"/>
      <c r="AY1209" s="458"/>
      <c r="AZ1209" s="458"/>
      <c r="BA1209" s="1266"/>
      <c r="BC1209" s="169"/>
    </row>
    <row r="1210" spans="19:55" ht="15.75" customHeight="1">
      <c r="S1210" s="454"/>
      <c r="AY1210" s="458"/>
      <c r="AZ1210" s="458"/>
      <c r="BA1210" s="1266"/>
      <c r="BC1210" s="169"/>
    </row>
    <row r="1211" spans="19:55" ht="15.75" customHeight="1">
      <c r="S1211" s="454"/>
      <c r="AY1211" s="458"/>
      <c r="AZ1211" s="458"/>
      <c r="BA1211" s="1266"/>
      <c r="BC1211" s="169"/>
    </row>
    <row r="1212" spans="19:55" ht="15.75" customHeight="1">
      <c r="S1212" s="454"/>
      <c r="AY1212" s="458"/>
      <c r="AZ1212" s="458"/>
      <c r="BA1212" s="1266"/>
      <c r="BC1212" s="169"/>
    </row>
    <row r="1213" spans="19:55" ht="15.75" customHeight="1">
      <c r="S1213" s="454"/>
      <c r="AY1213" s="458"/>
      <c r="AZ1213" s="458"/>
      <c r="BA1213" s="1266"/>
      <c r="BC1213" s="169"/>
    </row>
    <row r="1214" spans="19:55" ht="15.75" customHeight="1">
      <c r="S1214" s="454"/>
      <c r="AY1214" s="458"/>
      <c r="AZ1214" s="458"/>
      <c r="BA1214" s="1266"/>
      <c r="BC1214" s="169"/>
    </row>
    <row r="1215" spans="19:55" ht="15.75" customHeight="1">
      <c r="S1215" s="454"/>
      <c r="AY1215" s="458"/>
      <c r="AZ1215" s="458"/>
      <c r="BA1215" s="1266"/>
      <c r="BC1215" s="169"/>
    </row>
    <row r="1216" spans="19:55" ht="15.75" customHeight="1">
      <c r="S1216" s="454"/>
      <c r="AY1216" s="458"/>
      <c r="AZ1216" s="458"/>
      <c r="BA1216" s="1266"/>
      <c r="BC1216" s="169"/>
    </row>
    <row r="1217" spans="19:55" ht="15.75" customHeight="1">
      <c r="S1217" s="454"/>
      <c r="AY1217" s="458"/>
      <c r="AZ1217" s="458"/>
      <c r="BA1217" s="1266"/>
      <c r="BC1217" s="169"/>
    </row>
    <row r="1218" spans="19:55" ht="15.75" customHeight="1">
      <c r="S1218" s="454"/>
      <c r="AY1218" s="458"/>
      <c r="AZ1218" s="458"/>
      <c r="BA1218" s="1266"/>
      <c r="BC1218" s="169"/>
    </row>
    <row r="1219" spans="19:55" ht="15.75" customHeight="1">
      <c r="S1219" s="454"/>
      <c r="AY1219" s="458"/>
      <c r="AZ1219" s="458"/>
      <c r="BA1219" s="1266"/>
      <c r="BC1219" s="169"/>
    </row>
    <row r="1220" spans="19:55" ht="15.75" customHeight="1">
      <c r="S1220" s="454"/>
      <c r="AY1220" s="458"/>
      <c r="AZ1220" s="458"/>
      <c r="BA1220" s="1266"/>
      <c r="BC1220" s="169"/>
    </row>
    <row r="1221" spans="19:55" ht="15.75" customHeight="1">
      <c r="S1221" s="454"/>
      <c r="AY1221" s="458"/>
      <c r="AZ1221" s="458"/>
      <c r="BA1221" s="1266"/>
      <c r="BC1221" s="169"/>
    </row>
    <row r="1222" spans="19:55" ht="15.75" customHeight="1">
      <c r="S1222" s="454"/>
      <c r="AY1222" s="458"/>
      <c r="AZ1222" s="458"/>
      <c r="BA1222" s="1266"/>
      <c r="BC1222" s="169"/>
    </row>
    <row r="1223" spans="19:55" ht="15.75" customHeight="1">
      <c r="S1223" s="454"/>
      <c r="AY1223" s="458"/>
      <c r="AZ1223" s="458"/>
      <c r="BA1223" s="1266"/>
      <c r="BC1223" s="169"/>
    </row>
    <row r="1224" spans="19:55" ht="15.75" customHeight="1">
      <c r="S1224" s="454"/>
      <c r="AY1224" s="458"/>
      <c r="AZ1224" s="458"/>
      <c r="BA1224" s="1266"/>
      <c r="BC1224" s="169"/>
    </row>
    <row r="1225" spans="19:55" ht="15.75" customHeight="1">
      <c r="S1225" s="454"/>
      <c r="AY1225" s="458"/>
      <c r="AZ1225" s="458"/>
      <c r="BA1225" s="1266"/>
      <c r="BC1225" s="169"/>
    </row>
    <row r="1226" spans="19:55" ht="15.75" customHeight="1">
      <c r="S1226" s="454"/>
      <c r="AY1226" s="458"/>
      <c r="AZ1226" s="458"/>
      <c r="BA1226" s="1266"/>
      <c r="BC1226" s="169"/>
    </row>
    <row r="1227" spans="19:55" ht="15.75" customHeight="1">
      <c r="S1227" s="454"/>
      <c r="AY1227" s="458"/>
      <c r="AZ1227" s="458"/>
      <c r="BA1227" s="1266"/>
      <c r="BC1227" s="169"/>
    </row>
    <row r="1228" spans="19:55" ht="15.75" customHeight="1">
      <c r="S1228" s="454"/>
      <c r="AY1228" s="458"/>
      <c r="AZ1228" s="458"/>
      <c r="BA1228" s="1266"/>
      <c r="BC1228" s="169"/>
    </row>
    <row r="1229" spans="19:55" ht="15.75" customHeight="1">
      <c r="S1229" s="454"/>
      <c r="AY1229" s="458"/>
      <c r="AZ1229" s="458"/>
      <c r="BA1229" s="1266"/>
      <c r="BC1229" s="169"/>
    </row>
    <row r="1230" spans="19:55" ht="15.75" customHeight="1">
      <c r="S1230" s="454"/>
      <c r="AY1230" s="458"/>
      <c r="AZ1230" s="458"/>
      <c r="BA1230" s="1266"/>
      <c r="BC1230" s="169"/>
    </row>
    <row r="1231" spans="19:55" ht="15.75" customHeight="1">
      <c r="S1231" s="454"/>
      <c r="AY1231" s="458"/>
      <c r="AZ1231" s="458"/>
      <c r="BA1231" s="1266"/>
      <c r="BC1231" s="169"/>
    </row>
    <row r="1232" spans="19:55" ht="15.75" customHeight="1">
      <c r="S1232" s="454"/>
      <c r="AY1232" s="458"/>
      <c r="AZ1232" s="458"/>
      <c r="BA1232" s="1266"/>
      <c r="BC1232" s="169"/>
    </row>
    <row r="1233" spans="19:55" ht="15.75" customHeight="1">
      <c r="S1233" s="454"/>
      <c r="AY1233" s="458"/>
      <c r="AZ1233" s="458"/>
      <c r="BA1233" s="1266"/>
      <c r="BC1233" s="169"/>
    </row>
    <row r="1234" spans="19:55" ht="15.75" customHeight="1">
      <c r="S1234" s="454"/>
      <c r="AY1234" s="458"/>
      <c r="AZ1234" s="458"/>
      <c r="BA1234" s="1266"/>
      <c r="BC1234" s="169"/>
    </row>
    <row r="1235" spans="19:55" ht="15.75" customHeight="1">
      <c r="S1235" s="454"/>
      <c r="AY1235" s="458"/>
      <c r="AZ1235" s="458"/>
      <c r="BA1235" s="1266"/>
      <c r="BC1235" s="169"/>
    </row>
    <row r="1236" spans="19:55" ht="15.75" customHeight="1">
      <c r="S1236" s="454"/>
      <c r="AY1236" s="458"/>
      <c r="AZ1236" s="458"/>
      <c r="BA1236" s="1266"/>
      <c r="BC1236" s="169"/>
    </row>
    <row r="1237" spans="19:55" ht="15.75" customHeight="1">
      <c r="S1237" s="454"/>
      <c r="AY1237" s="458"/>
      <c r="AZ1237" s="458"/>
      <c r="BA1237" s="1266"/>
      <c r="BC1237" s="169"/>
    </row>
    <row r="1238" spans="19:55" ht="15.75" customHeight="1">
      <c r="S1238" s="454"/>
      <c r="AY1238" s="458"/>
      <c r="AZ1238" s="458"/>
      <c r="BA1238" s="1266"/>
      <c r="BC1238" s="169"/>
    </row>
    <row r="1239" spans="19:55" ht="15.75" customHeight="1">
      <c r="S1239" s="454"/>
      <c r="AY1239" s="458"/>
      <c r="AZ1239" s="458"/>
      <c r="BA1239" s="1266"/>
      <c r="BC1239" s="169"/>
    </row>
    <row r="1240" spans="19:55" ht="15.75" customHeight="1">
      <c r="S1240" s="454"/>
      <c r="AY1240" s="458"/>
      <c r="AZ1240" s="458"/>
      <c r="BA1240" s="1266"/>
      <c r="BC1240" s="169"/>
    </row>
    <row r="1241" spans="19:55" ht="15.75" customHeight="1">
      <c r="S1241" s="454"/>
      <c r="AY1241" s="458"/>
      <c r="AZ1241" s="458"/>
      <c r="BA1241" s="1266"/>
      <c r="BC1241" s="169"/>
    </row>
    <row r="1242" spans="19:55" ht="15.75" customHeight="1">
      <c r="S1242" s="454"/>
      <c r="AY1242" s="458"/>
      <c r="AZ1242" s="458"/>
      <c r="BA1242" s="1266"/>
      <c r="BC1242" s="169"/>
    </row>
    <row r="1243" spans="19:55" ht="15.75" customHeight="1">
      <c r="S1243" s="454"/>
      <c r="AY1243" s="458"/>
      <c r="AZ1243" s="458"/>
      <c r="BA1243" s="1266"/>
      <c r="BC1243" s="169"/>
    </row>
    <row r="1244" spans="19:55" ht="15.75" customHeight="1">
      <c r="S1244" s="454"/>
      <c r="AY1244" s="458"/>
      <c r="AZ1244" s="458"/>
      <c r="BA1244" s="1266"/>
      <c r="BC1244" s="169"/>
    </row>
    <row r="1245" spans="19:55" ht="15.75" customHeight="1">
      <c r="S1245" s="454"/>
      <c r="AY1245" s="458"/>
      <c r="AZ1245" s="458"/>
      <c r="BA1245" s="1266"/>
      <c r="BC1245" s="169"/>
    </row>
    <row r="1246" spans="19:55" ht="15.75" customHeight="1">
      <c r="S1246" s="454"/>
      <c r="AY1246" s="458"/>
      <c r="AZ1246" s="458"/>
      <c r="BA1246" s="1266"/>
      <c r="BC1246" s="169"/>
    </row>
    <row r="1247" spans="19:55" ht="15.75" customHeight="1">
      <c r="S1247" s="454"/>
      <c r="AY1247" s="458"/>
      <c r="AZ1247" s="458"/>
      <c r="BA1247" s="1266"/>
      <c r="BC1247" s="169"/>
    </row>
    <row r="1248" spans="19:55" ht="15.75" customHeight="1">
      <c r="S1248" s="454"/>
      <c r="AY1248" s="458"/>
      <c r="AZ1248" s="458"/>
      <c r="BA1248" s="1266"/>
      <c r="BC1248" s="169"/>
    </row>
    <row r="1249" spans="19:55" ht="15.75" customHeight="1">
      <c r="S1249" s="454"/>
      <c r="AY1249" s="458"/>
      <c r="AZ1249" s="458"/>
      <c r="BA1249" s="1266"/>
      <c r="BC1249" s="169"/>
    </row>
    <row r="1250" spans="19:55" ht="15.75" customHeight="1">
      <c r="S1250" s="454"/>
      <c r="AY1250" s="458"/>
      <c r="AZ1250" s="458"/>
      <c r="BA1250" s="1266"/>
      <c r="BC1250" s="169"/>
    </row>
    <row r="1251" spans="19:55" ht="15.75" customHeight="1">
      <c r="S1251" s="454"/>
      <c r="AY1251" s="458"/>
      <c r="AZ1251" s="458"/>
      <c r="BA1251" s="1266"/>
      <c r="BC1251" s="169"/>
    </row>
    <row r="1252" spans="19:55" ht="15.75" customHeight="1">
      <c r="S1252" s="454"/>
      <c r="AY1252" s="458"/>
      <c r="AZ1252" s="458"/>
      <c r="BA1252" s="1266"/>
      <c r="BC1252" s="169"/>
    </row>
    <row r="1253" spans="19:55" ht="15.75" customHeight="1">
      <c r="S1253" s="454"/>
      <c r="AY1253" s="458"/>
      <c r="AZ1253" s="458"/>
      <c r="BA1253" s="1266"/>
      <c r="BC1253" s="169"/>
    </row>
    <row r="1254" spans="19:55" ht="15.75" customHeight="1">
      <c r="S1254" s="454"/>
      <c r="AY1254" s="458"/>
      <c r="AZ1254" s="458"/>
      <c r="BA1254" s="1266"/>
      <c r="BC1254" s="169"/>
    </row>
    <row r="1255" spans="19:55" ht="15.75" customHeight="1">
      <c r="S1255" s="454"/>
      <c r="AY1255" s="458"/>
      <c r="AZ1255" s="458"/>
      <c r="BC1255" s="169"/>
    </row>
    <row r="1256" spans="19:55" ht="15.75" customHeight="1">
      <c r="S1256" s="454"/>
      <c r="AY1256" s="458"/>
      <c r="AZ1256" s="458"/>
      <c r="BC1256" s="169"/>
    </row>
    <row r="1257" spans="19:55" ht="15.75" customHeight="1">
      <c r="S1257" s="454"/>
      <c r="AY1257" s="458"/>
      <c r="AZ1257" s="458"/>
      <c r="BC1257" s="169"/>
    </row>
    <row r="1258" spans="19:55" ht="15.75" customHeight="1">
      <c r="S1258" s="454"/>
      <c r="AY1258" s="458"/>
      <c r="AZ1258" s="458"/>
      <c r="BC1258" s="169"/>
    </row>
    <row r="1259" spans="19:55" ht="15.75" customHeight="1">
      <c r="S1259" s="454"/>
      <c r="AY1259" s="458"/>
      <c r="AZ1259" s="458"/>
      <c r="BC1259" s="169"/>
    </row>
    <row r="1260" spans="19:55" ht="15.75" customHeight="1">
      <c r="S1260" s="454"/>
      <c r="AY1260" s="458"/>
      <c r="AZ1260" s="458"/>
      <c r="BC1260" s="169"/>
    </row>
    <row r="1261" spans="19:55" ht="15.75" customHeight="1">
      <c r="S1261" s="454"/>
      <c r="AY1261" s="458"/>
      <c r="AZ1261" s="458"/>
      <c r="BC1261" s="169"/>
    </row>
    <row r="1262" spans="19:55" ht="15.75" customHeight="1">
      <c r="S1262" s="454"/>
      <c r="AY1262" s="458"/>
      <c r="AZ1262" s="458"/>
      <c r="BC1262" s="169"/>
    </row>
    <row r="1263" spans="19:55" ht="15.75" customHeight="1">
      <c r="S1263" s="454"/>
      <c r="AY1263" s="458"/>
      <c r="AZ1263" s="458"/>
      <c r="BC1263" s="169"/>
    </row>
    <row r="1264" spans="19:55" ht="15.75" customHeight="1">
      <c r="S1264" s="454"/>
      <c r="AY1264" s="458"/>
      <c r="AZ1264" s="458"/>
      <c r="BC1264" s="169"/>
    </row>
    <row r="1265" spans="19:55" ht="15.75" customHeight="1">
      <c r="S1265" s="454"/>
      <c r="AY1265" s="458"/>
      <c r="AZ1265" s="458"/>
      <c r="BC1265" s="169"/>
    </row>
    <row r="1266" spans="19:55" ht="15.75" customHeight="1">
      <c r="S1266" s="454"/>
      <c r="AY1266" s="458"/>
      <c r="AZ1266" s="458"/>
      <c r="BC1266" s="169"/>
    </row>
    <row r="1267" spans="19:55" ht="15.75" customHeight="1">
      <c r="S1267" s="454"/>
      <c r="BC1267" s="169"/>
    </row>
    <row r="1268" spans="19:55" ht="15.75" customHeight="1">
      <c r="S1268" s="454"/>
      <c r="BC1268" s="169"/>
    </row>
    <row r="1269" spans="19:55" ht="15.75" customHeight="1">
      <c r="S1269" s="454"/>
      <c r="BC1269" s="169"/>
    </row>
    <row r="1270" spans="19:55" ht="15.75" customHeight="1">
      <c r="S1270" s="454"/>
      <c r="BC1270" s="169"/>
    </row>
    <row r="1271" spans="19:55" ht="15.75" customHeight="1">
      <c r="S1271" s="454"/>
      <c r="BC1271" s="169"/>
    </row>
    <row r="1272" spans="19:55" ht="15.75" customHeight="1">
      <c r="S1272" s="454"/>
      <c r="BC1272" s="169"/>
    </row>
    <row r="1273" spans="19:55" ht="15.75" customHeight="1">
      <c r="S1273" s="454"/>
      <c r="BC1273" s="169"/>
    </row>
    <row r="1274" spans="19:55" ht="15.75" customHeight="1">
      <c r="S1274" s="454"/>
      <c r="BC1274" s="169"/>
    </row>
    <row r="1275" spans="19:55" ht="15.75" customHeight="1">
      <c r="S1275" s="454"/>
      <c r="BC1275" s="169"/>
    </row>
    <row r="1276" spans="19:55" ht="15.75" customHeight="1">
      <c r="S1276" s="454"/>
      <c r="BC1276" s="169"/>
    </row>
    <row r="1277" spans="19:55" ht="15.75" customHeight="1">
      <c r="S1277" s="454"/>
      <c r="BC1277" s="169"/>
    </row>
    <row r="1278" spans="19:55" ht="15.75" customHeight="1">
      <c r="S1278" s="454"/>
      <c r="BC1278" s="169"/>
    </row>
    <row r="1279" spans="19:55" ht="15.75" customHeight="1">
      <c r="S1279" s="454"/>
      <c r="BC1279" s="169"/>
    </row>
    <row r="1280" spans="19:55" ht="15.75" customHeight="1">
      <c r="S1280" s="454"/>
      <c r="BC1280" s="169"/>
    </row>
    <row r="1281" spans="19:55" ht="15.75" customHeight="1">
      <c r="S1281" s="454"/>
      <c r="BC1281" s="169"/>
    </row>
    <row r="1282" spans="19:55" ht="15.75" customHeight="1">
      <c r="S1282" s="454"/>
      <c r="BC1282" s="169"/>
    </row>
    <row r="1283" spans="19:55" ht="15.75" customHeight="1">
      <c r="S1283" s="454"/>
      <c r="BC1283" s="169"/>
    </row>
    <row r="1284" spans="19:55" ht="15.75" customHeight="1">
      <c r="S1284" s="454"/>
      <c r="BC1284" s="169"/>
    </row>
    <row r="1285" spans="19:55" ht="15.75" customHeight="1">
      <c r="S1285" s="454"/>
      <c r="BC1285" s="169"/>
    </row>
    <row r="1286" spans="19:55" ht="15.75" customHeight="1">
      <c r="S1286" s="454"/>
      <c r="BC1286" s="169"/>
    </row>
    <row r="1287" spans="19:55" ht="15.75" customHeight="1">
      <c r="S1287" s="454"/>
      <c r="BC1287" s="169"/>
    </row>
    <row r="1288" spans="19:55" ht="15.75" customHeight="1">
      <c r="S1288" s="454"/>
      <c r="BC1288" s="169"/>
    </row>
    <row r="1289" spans="19:55" ht="15.75" customHeight="1">
      <c r="S1289" s="454"/>
      <c r="BC1289" s="169"/>
    </row>
    <row r="1290" spans="19:55" ht="15.75" customHeight="1">
      <c r="S1290" s="454"/>
      <c r="BC1290" s="169"/>
    </row>
    <row r="1291" spans="19:55" ht="15.75" customHeight="1">
      <c r="S1291" s="454"/>
      <c r="BC1291" s="169"/>
    </row>
    <row r="1292" spans="19:55" ht="15.75" customHeight="1">
      <c r="S1292" s="454"/>
      <c r="BC1292" s="169"/>
    </row>
    <row r="1293" spans="19:55" ht="15.75" customHeight="1">
      <c r="S1293" s="454"/>
      <c r="BC1293" s="169"/>
    </row>
    <row r="1294" spans="19:55" ht="15.75" customHeight="1">
      <c r="S1294" s="454"/>
      <c r="BC1294" s="169"/>
    </row>
    <row r="1295" spans="19:55" ht="15.75" customHeight="1">
      <c r="S1295" s="454"/>
      <c r="BC1295" s="169"/>
    </row>
    <row r="1296" spans="19:55" ht="15.75" customHeight="1">
      <c r="S1296" s="454"/>
      <c r="BC1296" s="169"/>
    </row>
    <row r="1297" spans="19:55" ht="15.75" customHeight="1">
      <c r="S1297" s="454"/>
      <c r="BC1297" s="169"/>
    </row>
    <row r="1298" spans="19:55" ht="15.75" customHeight="1">
      <c r="S1298" s="454"/>
      <c r="BC1298" s="169"/>
    </row>
    <row r="1299" spans="19:55" ht="15.75" customHeight="1">
      <c r="S1299" s="454"/>
      <c r="BC1299" s="169"/>
    </row>
    <row r="1300" spans="19:55" ht="15.75" customHeight="1">
      <c r="S1300" s="454"/>
      <c r="BC1300" s="169"/>
    </row>
    <row r="1301" spans="19:55" ht="15.75" customHeight="1">
      <c r="S1301" s="454"/>
      <c r="BC1301" s="169"/>
    </row>
    <row r="1302" spans="19:55" ht="15.75" customHeight="1">
      <c r="S1302" s="454"/>
      <c r="BC1302" s="169"/>
    </row>
    <row r="1303" spans="19:55" ht="15.75" customHeight="1">
      <c r="S1303" s="454"/>
      <c r="BC1303" s="169"/>
    </row>
    <row r="1304" spans="19:55" ht="15.75" customHeight="1">
      <c r="S1304" s="454"/>
      <c r="BC1304" s="169"/>
    </row>
    <row r="1305" spans="19:55" ht="15.75" customHeight="1">
      <c r="S1305" s="454"/>
      <c r="BC1305" s="169"/>
    </row>
    <row r="1306" spans="19:55" ht="15.75" customHeight="1">
      <c r="S1306" s="454"/>
      <c r="BC1306" s="169"/>
    </row>
    <row r="1307" spans="19:55" ht="15.75" customHeight="1">
      <c r="S1307" s="454"/>
      <c r="BC1307" s="169"/>
    </row>
    <row r="1308" spans="19:55" ht="15.75" customHeight="1">
      <c r="S1308" s="454"/>
      <c r="BC1308" s="169"/>
    </row>
    <row r="1309" spans="19:55" ht="15.75" customHeight="1">
      <c r="S1309" s="454"/>
      <c r="BC1309" s="169"/>
    </row>
    <row r="1310" spans="19:55" ht="15.75" customHeight="1">
      <c r="S1310" s="454"/>
      <c r="BC1310" s="169"/>
    </row>
    <row r="1311" spans="19:55" ht="15.75" customHeight="1">
      <c r="S1311" s="454"/>
      <c r="BC1311" s="169"/>
    </row>
    <row r="1312" spans="19:55" ht="15.75" customHeight="1">
      <c r="S1312" s="454"/>
      <c r="BC1312" s="169"/>
    </row>
    <row r="1313" spans="19:55" ht="15.75" customHeight="1">
      <c r="S1313" s="454"/>
      <c r="BC1313" s="169"/>
    </row>
    <row r="1314" spans="19:55" ht="15.75" customHeight="1">
      <c r="S1314" s="454"/>
      <c r="BC1314" s="169"/>
    </row>
    <row r="1315" spans="19:55" ht="15.75" customHeight="1">
      <c r="S1315" s="454"/>
      <c r="BC1315" s="169"/>
    </row>
    <row r="1316" spans="19:55" ht="15.75" customHeight="1">
      <c r="S1316" s="454"/>
      <c r="BC1316" s="169"/>
    </row>
    <row r="1317" spans="19:55" ht="15.75" customHeight="1">
      <c r="S1317" s="454"/>
      <c r="BC1317" s="169"/>
    </row>
    <row r="1318" spans="19:55" ht="15.75" customHeight="1">
      <c r="S1318" s="454"/>
      <c r="BC1318" s="169"/>
    </row>
    <row r="1319" spans="19:55" ht="15.75" customHeight="1">
      <c r="S1319" s="454"/>
      <c r="BC1319" s="169"/>
    </row>
    <row r="1320" spans="19:55" ht="15.75" customHeight="1">
      <c r="S1320" s="454"/>
      <c r="BC1320" s="169"/>
    </row>
    <row r="1321" spans="19:55" ht="15.75" customHeight="1">
      <c r="S1321" s="454"/>
      <c r="BC1321" s="169"/>
    </row>
    <row r="1322" spans="19:55" ht="15.75" customHeight="1">
      <c r="S1322" s="454"/>
      <c r="BC1322" s="169"/>
    </row>
    <row r="1323" spans="19:55" ht="15.75" customHeight="1">
      <c r="S1323" s="454"/>
      <c r="BC1323" s="169"/>
    </row>
    <row r="1324" spans="19:55" ht="15.75" customHeight="1">
      <c r="S1324" s="454"/>
      <c r="BC1324" s="169"/>
    </row>
    <row r="1325" spans="19:55" ht="15.75" customHeight="1">
      <c r="S1325" s="454"/>
      <c r="BC1325" s="169"/>
    </row>
    <row r="1326" spans="19:55" ht="15.75" customHeight="1">
      <c r="S1326" s="454"/>
      <c r="BC1326" s="169"/>
    </row>
    <row r="1327" spans="19:55" ht="15.75" customHeight="1">
      <c r="S1327" s="454"/>
      <c r="BC1327" s="169"/>
    </row>
    <row r="1328" spans="19:55" ht="15.75" customHeight="1">
      <c r="S1328" s="454"/>
      <c r="BC1328" s="169"/>
    </row>
    <row r="1329" spans="19:55" ht="15.75" customHeight="1">
      <c r="S1329" s="454"/>
      <c r="BC1329" s="169"/>
    </row>
    <row r="1330" spans="19:55" ht="15.75" customHeight="1">
      <c r="S1330" s="454"/>
      <c r="BC1330" s="169"/>
    </row>
    <row r="1331" spans="19:55" ht="15.75" customHeight="1">
      <c r="S1331" s="454"/>
      <c r="BC1331" s="169"/>
    </row>
    <row r="1332" spans="19:55" ht="15.75" customHeight="1">
      <c r="S1332" s="454"/>
      <c r="BC1332" s="169"/>
    </row>
    <row r="1333" spans="19:55" ht="15.75" customHeight="1">
      <c r="S1333" s="454"/>
      <c r="BC1333" s="169"/>
    </row>
    <row r="1334" spans="19:55" ht="15.75" customHeight="1">
      <c r="S1334" s="454"/>
      <c r="BC1334" s="169"/>
    </row>
    <row r="1335" spans="19:55" ht="15.75" customHeight="1">
      <c r="S1335" s="454"/>
      <c r="BC1335" s="169"/>
    </row>
    <row r="1336" spans="19:55" ht="15.75" customHeight="1">
      <c r="S1336" s="454"/>
      <c r="BC1336" s="169"/>
    </row>
    <row r="1337" spans="19:55" ht="15.75" customHeight="1">
      <c r="S1337" s="454"/>
      <c r="BC1337" s="169"/>
    </row>
    <row r="1338" spans="19:55" ht="15.75" customHeight="1">
      <c r="S1338" s="454"/>
      <c r="BC1338" s="169"/>
    </row>
    <row r="1339" spans="19:55" ht="15.75" customHeight="1">
      <c r="S1339" s="454"/>
      <c r="BC1339" s="169"/>
    </row>
    <row r="1340" spans="19:55" ht="15.75" customHeight="1">
      <c r="S1340" s="454"/>
      <c r="BC1340" s="169"/>
    </row>
    <row r="1341" spans="19:55" ht="15.75" customHeight="1">
      <c r="S1341" s="454"/>
      <c r="BC1341" s="169"/>
    </row>
    <row r="1342" spans="19:55" ht="15.75" customHeight="1">
      <c r="S1342" s="454"/>
      <c r="BC1342" s="169"/>
    </row>
    <row r="1343" spans="19:55" ht="15.75" customHeight="1">
      <c r="S1343" s="454"/>
      <c r="BC1343" s="169"/>
    </row>
    <row r="1344" spans="19:55" ht="15.75" customHeight="1">
      <c r="S1344" s="454"/>
      <c r="BC1344" s="169"/>
    </row>
    <row r="1345" spans="19:55" ht="15.75" customHeight="1">
      <c r="S1345" s="454"/>
      <c r="BC1345" s="169"/>
    </row>
    <row r="1346" spans="19:55" ht="15.75" customHeight="1">
      <c r="S1346" s="454"/>
      <c r="BC1346" s="169"/>
    </row>
    <row r="1347" spans="19:55" ht="15.75" customHeight="1">
      <c r="S1347" s="454"/>
      <c r="BC1347" s="169"/>
    </row>
    <row r="1348" spans="19:55" ht="15.75" customHeight="1">
      <c r="S1348" s="454"/>
      <c r="BC1348" s="169"/>
    </row>
    <row r="1349" spans="19:55" ht="15.75" customHeight="1">
      <c r="S1349" s="454"/>
      <c r="BC1349" s="169"/>
    </row>
    <row r="1350" spans="19:55" ht="15.75" customHeight="1">
      <c r="S1350" s="454"/>
      <c r="BC1350" s="169"/>
    </row>
    <row r="1351" spans="19:55" ht="15.75" customHeight="1">
      <c r="S1351" s="454"/>
      <c r="BC1351" s="169"/>
    </row>
    <row r="1352" spans="19:55" ht="15.75" customHeight="1">
      <c r="S1352" s="454"/>
      <c r="BC1352" s="169"/>
    </row>
    <row r="1353" spans="19:55" ht="15.75" customHeight="1">
      <c r="S1353" s="454"/>
      <c r="BC1353" s="169"/>
    </row>
    <row r="1354" spans="19:55" ht="15.75" customHeight="1">
      <c r="S1354" s="454"/>
      <c r="BC1354" s="169"/>
    </row>
    <row r="1355" spans="19:55" ht="15.75" customHeight="1">
      <c r="S1355" s="454"/>
      <c r="BC1355" s="169"/>
    </row>
    <row r="1356" spans="19:55" ht="15.75" customHeight="1">
      <c r="S1356" s="454"/>
      <c r="BC1356" s="169"/>
    </row>
    <row r="1357" spans="19:55" ht="15.75" customHeight="1">
      <c r="S1357" s="454"/>
      <c r="BC1357" s="169"/>
    </row>
    <row r="1358" spans="19:55" ht="15.75" customHeight="1">
      <c r="S1358" s="454"/>
      <c r="BC1358" s="169"/>
    </row>
    <row r="1359" spans="19:55" ht="15.75" customHeight="1">
      <c r="S1359" s="454"/>
      <c r="BC1359" s="169"/>
    </row>
    <row r="1360" spans="19:55" ht="15.75" customHeight="1">
      <c r="S1360" s="454"/>
      <c r="BC1360" s="169"/>
    </row>
    <row r="1361" spans="19:55" ht="15.75" customHeight="1">
      <c r="S1361" s="454"/>
      <c r="BC1361" s="169"/>
    </row>
    <row r="1362" spans="19:55" ht="15.75" customHeight="1">
      <c r="S1362" s="454"/>
      <c r="BC1362" s="169"/>
    </row>
    <row r="1363" spans="19:55" ht="15.75" customHeight="1">
      <c r="S1363" s="454"/>
      <c r="BC1363" s="169"/>
    </row>
    <row r="1364" spans="19:55" ht="15.75" customHeight="1">
      <c r="S1364" s="454"/>
      <c r="BC1364" s="169"/>
    </row>
    <row r="1365" spans="19:55" ht="15.75" customHeight="1">
      <c r="S1365" s="454"/>
      <c r="BC1365" s="169"/>
    </row>
    <row r="1366" spans="19:55" ht="15.75" customHeight="1">
      <c r="S1366" s="454"/>
      <c r="BC1366" s="169"/>
    </row>
    <row r="1367" spans="19:55" ht="15.75" customHeight="1">
      <c r="S1367" s="454"/>
      <c r="BC1367" s="169"/>
    </row>
    <row r="1368" spans="19:55" ht="15.75" customHeight="1">
      <c r="S1368" s="454"/>
      <c r="BC1368" s="169"/>
    </row>
    <row r="1369" spans="19:55" ht="15.75" customHeight="1">
      <c r="S1369" s="454"/>
      <c r="BC1369" s="169"/>
    </row>
    <row r="1370" spans="19:55" ht="15.75" customHeight="1">
      <c r="S1370" s="454"/>
      <c r="BC1370" s="169"/>
    </row>
    <row r="1371" spans="19:55" ht="15.75" customHeight="1">
      <c r="S1371" s="454"/>
      <c r="BC1371" s="169"/>
    </row>
    <row r="1372" spans="19:55" ht="15.75" customHeight="1">
      <c r="S1372" s="454"/>
      <c r="BC1372" s="169"/>
    </row>
    <row r="1373" spans="19:55" ht="15.75" customHeight="1">
      <c r="S1373" s="454"/>
      <c r="BC1373" s="169"/>
    </row>
    <row r="1374" spans="19:55" ht="15.75" customHeight="1">
      <c r="S1374" s="454"/>
      <c r="BC1374" s="169"/>
    </row>
    <row r="1375" spans="19:55" ht="15.75" customHeight="1">
      <c r="S1375" s="454"/>
      <c r="BC1375" s="169"/>
    </row>
    <row r="1376" spans="19:55" ht="15.75" customHeight="1">
      <c r="S1376" s="454"/>
      <c r="BC1376" s="169"/>
    </row>
    <row r="1377" spans="19:55" ht="15.75" customHeight="1">
      <c r="S1377" s="454"/>
      <c r="BC1377" s="169"/>
    </row>
    <row r="1378" spans="19:55" ht="15.75" customHeight="1">
      <c r="S1378" s="454"/>
      <c r="BC1378" s="169"/>
    </row>
    <row r="1379" spans="19:55" ht="15.75" customHeight="1">
      <c r="S1379" s="454"/>
      <c r="BC1379" s="169"/>
    </row>
    <row r="1380" spans="19:55" ht="15.75" customHeight="1">
      <c r="S1380" s="454"/>
      <c r="BC1380" s="169"/>
    </row>
    <row r="1381" spans="19:55" ht="15.75" customHeight="1">
      <c r="S1381" s="454"/>
      <c r="BC1381" s="169"/>
    </row>
    <row r="1382" spans="19:55" ht="15.75" customHeight="1">
      <c r="S1382" s="454"/>
      <c r="BC1382" s="169"/>
    </row>
    <row r="1383" spans="19:55" ht="15.75" customHeight="1">
      <c r="S1383" s="454"/>
      <c r="BC1383" s="169"/>
    </row>
    <row r="1384" spans="19:55" ht="15.75" customHeight="1">
      <c r="S1384" s="454"/>
      <c r="BC1384" s="169"/>
    </row>
    <row r="1385" spans="19:55" ht="15.75" customHeight="1">
      <c r="S1385" s="454"/>
      <c r="BC1385" s="169"/>
    </row>
    <row r="1386" spans="19:55" ht="15.75" customHeight="1">
      <c r="S1386" s="454"/>
      <c r="BC1386" s="169"/>
    </row>
    <row r="1387" spans="19:55" ht="15.75" customHeight="1">
      <c r="S1387" s="454"/>
      <c r="BC1387" s="169"/>
    </row>
    <row r="1388" spans="19:55" ht="15.75" customHeight="1">
      <c r="S1388" s="454"/>
      <c r="BC1388" s="169"/>
    </row>
    <row r="1389" spans="19:55" ht="15.75" customHeight="1">
      <c r="S1389" s="454"/>
      <c r="BC1389" s="169"/>
    </row>
    <row r="1390" spans="19:55" ht="15.75" customHeight="1">
      <c r="S1390" s="454"/>
      <c r="BC1390" s="169"/>
    </row>
    <row r="1391" spans="19:55" ht="15.75" customHeight="1">
      <c r="S1391" s="454"/>
      <c r="BC1391" s="169"/>
    </row>
    <row r="1392" spans="19:55" ht="15.75" customHeight="1">
      <c r="S1392" s="454"/>
      <c r="BC1392" s="169"/>
    </row>
    <row r="1393" spans="19:55" ht="15.75" customHeight="1">
      <c r="S1393" s="454"/>
      <c r="BC1393" s="169"/>
    </row>
    <row r="1394" spans="19:55" ht="15.75" customHeight="1">
      <c r="S1394" s="454"/>
      <c r="BC1394" s="169"/>
    </row>
    <row r="1395" spans="19:55" ht="15.75" customHeight="1">
      <c r="S1395" s="454"/>
      <c r="BC1395" s="169"/>
    </row>
    <row r="1396" spans="19:55" ht="15.75" customHeight="1">
      <c r="S1396" s="454"/>
      <c r="BC1396" s="169"/>
    </row>
    <row r="1397" spans="19:55" ht="15.75" customHeight="1">
      <c r="S1397" s="454"/>
      <c r="BC1397" s="169"/>
    </row>
    <row r="1398" spans="19:55" ht="15.75" customHeight="1">
      <c r="S1398" s="454"/>
      <c r="BC1398" s="169"/>
    </row>
    <row r="1399" spans="19:55" ht="15.75" customHeight="1">
      <c r="S1399" s="454"/>
      <c r="BC1399" s="169"/>
    </row>
    <row r="1400" spans="19:55" ht="15.75" customHeight="1">
      <c r="S1400" s="454"/>
      <c r="BC1400" s="169"/>
    </row>
    <row r="1401" spans="19:55" ht="15.75" customHeight="1">
      <c r="S1401" s="454"/>
      <c r="BC1401" s="169"/>
    </row>
    <row r="1402" spans="19:55" ht="15.75" customHeight="1">
      <c r="S1402" s="454"/>
      <c r="BC1402" s="169"/>
    </row>
    <row r="1403" spans="19:55" ht="15.75" customHeight="1">
      <c r="S1403" s="454"/>
      <c r="BC1403" s="169"/>
    </row>
    <row r="1404" spans="19:55" ht="15.75" customHeight="1">
      <c r="S1404" s="454"/>
      <c r="BC1404" s="169"/>
    </row>
    <row r="1405" spans="19:55" ht="15.75" customHeight="1">
      <c r="S1405" s="454"/>
      <c r="BC1405" s="169"/>
    </row>
    <row r="1406" spans="19:55" ht="15.75" customHeight="1">
      <c r="S1406" s="454"/>
      <c r="BC1406" s="169"/>
    </row>
    <row r="1407" spans="19:55" ht="15.75" customHeight="1">
      <c r="S1407" s="454"/>
      <c r="BC1407" s="169"/>
    </row>
    <row r="1408" spans="19:55" ht="15.75" customHeight="1">
      <c r="S1408" s="454"/>
      <c r="BC1408" s="169"/>
    </row>
    <row r="1409" spans="19:55" ht="15.75" customHeight="1">
      <c r="S1409" s="454"/>
      <c r="BC1409" s="169"/>
    </row>
    <row r="1410" spans="19:55" ht="15.75" customHeight="1">
      <c r="S1410" s="454"/>
      <c r="BC1410" s="169"/>
    </row>
    <row r="1411" spans="19:55" ht="15.75" customHeight="1">
      <c r="S1411" s="454"/>
      <c r="BC1411" s="169"/>
    </row>
    <row r="1412" spans="19:55" ht="15.75" customHeight="1">
      <c r="S1412" s="454"/>
      <c r="BC1412" s="169"/>
    </row>
    <row r="1413" spans="19:55" ht="15.75" customHeight="1">
      <c r="S1413" s="454"/>
      <c r="BC1413" s="169"/>
    </row>
    <row r="1414" spans="19:55" ht="15.75" customHeight="1">
      <c r="S1414" s="454"/>
      <c r="BC1414" s="169"/>
    </row>
    <row r="1415" spans="19:55" ht="15.75" customHeight="1">
      <c r="S1415" s="454"/>
      <c r="BC1415" s="169"/>
    </row>
    <row r="1416" spans="19:55" ht="15.75" customHeight="1">
      <c r="S1416" s="454"/>
      <c r="BC1416" s="169"/>
    </row>
    <row r="1417" spans="19:55" ht="15.75" customHeight="1">
      <c r="S1417" s="454"/>
      <c r="BC1417" s="169"/>
    </row>
    <row r="1418" spans="19:55" ht="15.75" customHeight="1">
      <c r="S1418" s="454"/>
      <c r="BC1418" s="169"/>
    </row>
    <row r="1419" spans="19:55" ht="15.75" customHeight="1">
      <c r="S1419" s="454"/>
      <c r="BC1419" s="169"/>
    </row>
    <row r="1420" spans="19:55" ht="15.75" customHeight="1">
      <c r="S1420" s="454"/>
      <c r="BC1420" s="169"/>
    </row>
    <row r="1421" spans="19:55" ht="15.75" customHeight="1">
      <c r="S1421" s="454"/>
      <c r="BC1421" s="169"/>
    </row>
    <row r="1422" spans="19:55" ht="15.75" customHeight="1">
      <c r="S1422" s="454"/>
      <c r="BC1422" s="169"/>
    </row>
    <row r="1423" spans="19:55" ht="15.75" customHeight="1">
      <c r="S1423" s="454"/>
      <c r="BC1423" s="169"/>
    </row>
    <row r="1424" spans="19:55" ht="15.75" customHeight="1">
      <c r="S1424" s="454"/>
      <c r="BC1424" s="169"/>
    </row>
    <row r="1425" spans="19:55" ht="15.75" customHeight="1">
      <c r="S1425" s="454"/>
      <c r="BC1425" s="169"/>
    </row>
    <row r="1426" spans="19:55" ht="15.75" customHeight="1">
      <c r="S1426" s="454"/>
      <c r="BC1426" s="169"/>
    </row>
    <row r="1427" spans="19:55" ht="15.75" customHeight="1">
      <c r="S1427" s="454"/>
      <c r="BC1427" s="169"/>
    </row>
    <row r="1428" spans="19:55" ht="15.75" customHeight="1">
      <c r="S1428" s="454"/>
      <c r="BC1428" s="169"/>
    </row>
    <row r="1429" spans="19:55" ht="15.75" customHeight="1">
      <c r="S1429" s="454"/>
      <c r="BC1429" s="169"/>
    </row>
    <row r="1430" spans="19:55" ht="15.75" customHeight="1">
      <c r="S1430" s="454"/>
      <c r="BC1430" s="169"/>
    </row>
    <row r="1431" spans="19:55" ht="15.75" customHeight="1">
      <c r="S1431" s="454"/>
      <c r="BC1431" s="169"/>
    </row>
    <row r="1432" spans="19:55" ht="15.75" customHeight="1">
      <c r="S1432" s="454"/>
      <c r="BC1432" s="169"/>
    </row>
    <row r="1433" spans="19:55" ht="15.75" customHeight="1">
      <c r="S1433" s="454"/>
      <c r="BC1433" s="169"/>
    </row>
    <row r="1434" spans="19:55" ht="15.75" customHeight="1">
      <c r="S1434" s="454"/>
      <c r="BC1434" s="169"/>
    </row>
    <row r="1435" spans="19:55" ht="15.75" customHeight="1">
      <c r="S1435" s="454"/>
      <c r="BC1435" s="169"/>
    </row>
    <row r="1436" spans="19:55" ht="15.75" customHeight="1">
      <c r="S1436" s="454"/>
      <c r="BC1436" s="169"/>
    </row>
    <row r="1437" spans="19:55" ht="15.75" customHeight="1">
      <c r="S1437" s="454"/>
      <c r="BC1437" s="169"/>
    </row>
    <row r="1438" spans="19:55" ht="15.75" customHeight="1">
      <c r="S1438" s="454"/>
      <c r="BC1438" s="169"/>
    </row>
    <row r="1439" spans="19:55" ht="15.75" customHeight="1">
      <c r="S1439" s="454"/>
      <c r="BC1439" s="169"/>
    </row>
    <row r="1440" spans="19:55" ht="15.75" customHeight="1">
      <c r="S1440" s="454"/>
      <c r="BC1440" s="169"/>
    </row>
    <row r="1441" spans="19:55" ht="15.75" customHeight="1">
      <c r="S1441" s="454"/>
      <c r="BC1441" s="169"/>
    </row>
    <row r="1442" spans="19:55" ht="15.75" customHeight="1">
      <c r="S1442" s="454"/>
      <c r="BC1442" s="169"/>
    </row>
    <row r="1443" spans="19:55" ht="15.75" customHeight="1">
      <c r="S1443" s="454"/>
      <c r="BC1443" s="169"/>
    </row>
    <row r="1444" spans="19:55" ht="15.75" customHeight="1">
      <c r="S1444" s="454"/>
      <c r="BC1444" s="169"/>
    </row>
    <row r="1445" spans="19:55" ht="15.75" customHeight="1">
      <c r="S1445" s="454"/>
      <c r="BC1445" s="169"/>
    </row>
    <row r="1446" spans="19:55" ht="15.75" customHeight="1">
      <c r="S1446" s="454"/>
      <c r="BC1446" s="169"/>
    </row>
    <row r="1447" spans="19:55" ht="15.75" customHeight="1">
      <c r="S1447" s="454"/>
      <c r="BC1447" s="169"/>
    </row>
    <row r="1448" spans="19:55" ht="15.75" customHeight="1">
      <c r="S1448" s="454"/>
      <c r="BC1448" s="169"/>
    </row>
    <row r="1449" spans="19:55" ht="15.75" customHeight="1">
      <c r="S1449" s="454"/>
      <c r="BC1449" s="169"/>
    </row>
    <row r="1450" spans="19:55" ht="15.75" customHeight="1">
      <c r="S1450" s="454"/>
      <c r="BC1450" s="169"/>
    </row>
    <row r="1451" spans="19:55" ht="15.75" customHeight="1">
      <c r="S1451" s="454"/>
      <c r="BC1451" s="169"/>
    </row>
    <row r="1452" spans="19:55" ht="15.75" customHeight="1">
      <c r="S1452" s="454"/>
      <c r="BC1452" s="169"/>
    </row>
    <row r="1453" spans="19:55" ht="15.75" customHeight="1">
      <c r="S1453" s="454"/>
      <c r="BC1453" s="169"/>
    </row>
    <row r="1454" spans="19:55" ht="15.75" customHeight="1">
      <c r="S1454" s="454"/>
      <c r="BC1454" s="169"/>
    </row>
    <row r="1455" spans="19:55" ht="15.75" customHeight="1">
      <c r="S1455" s="454"/>
      <c r="BC1455" s="169"/>
    </row>
    <row r="1456" spans="19:55" ht="15.75" customHeight="1">
      <c r="S1456" s="454"/>
      <c r="BC1456" s="169"/>
    </row>
    <row r="1457" spans="19:55" ht="15.75" customHeight="1">
      <c r="S1457" s="454"/>
      <c r="BC1457" s="169"/>
    </row>
    <row r="1458" spans="19:55" ht="15.75" customHeight="1">
      <c r="S1458" s="454"/>
      <c r="BC1458" s="169"/>
    </row>
    <row r="1459" spans="19:55" ht="15.75" customHeight="1">
      <c r="S1459" s="454"/>
      <c r="BC1459" s="169"/>
    </row>
    <row r="1460" spans="19:55" ht="15.75" customHeight="1">
      <c r="S1460" s="454"/>
      <c r="BC1460" s="169"/>
    </row>
    <row r="1461" spans="19:55" ht="15.75" customHeight="1">
      <c r="S1461" s="454"/>
      <c r="BC1461" s="169"/>
    </row>
    <row r="1462" spans="19:55" ht="15.75" customHeight="1">
      <c r="S1462" s="454"/>
      <c r="BC1462" s="169"/>
    </row>
    <row r="1463" spans="19:55" ht="15.75" customHeight="1">
      <c r="S1463" s="454"/>
      <c r="BC1463" s="169"/>
    </row>
    <row r="1464" spans="19:55" ht="15.75" customHeight="1">
      <c r="S1464" s="454"/>
      <c r="BC1464" s="169"/>
    </row>
    <row r="1465" spans="19:55" ht="15.75" customHeight="1">
      <c r="S1465" s="454"/>
      <c r="BC1465" s="169"/>
    </row>
    <row r="1466" spans="19:55" ht="15.75" customHeight="1">
      <c r="S1466" s="454"/>
      <c r="BC1466" s="169"/>
    </row>
    <row r="1467" spans="19:55" ht="15.75" customHeight="1">
      <c r="S1467" s="454"/>
      <c r="BC1467" s="169"/>
    </row>
    <row r="1468" spans="19:55" ht="15.75" customHeight="1">
      <c r="S1468" s="454"/>
      <c r="BC1468" s="169"/>
    </row>
    <row r="1469" spans="19:55" ht="15.75" customHeight="1">
      <c r="S1469" s="454"/>
      <c r="BC1469" s="169"/>
    </row>
    <row r="1470" spans="19:55" ht="15.75" customHeight="1">
      <c r="S1470" s="454"/>
      <c r="BC1470" s="169"/>
    </row>
    <row r="1471" spans="19:55" ht="15.75" customHeight="1">
      <c r="S1471" s="454"/>
      <c r="BC1471" s="169"/>
    </row>
    <row r="1472" spans="19:55" ht="15.75" customHeight="1">
      <c r="S1472" s="454"/>
      <c r="BC1472" s="169"/>
    </row>
    <row r="1473" spans="19:55" ht="15.75" customHeight="1">
      <c r="S1473" s="454"/>
      <c r="BC1473" s="169"/>
    </row>
    <row r="1474" spans="19:55" ht="15.75" customHeight="1">
      <c r="S1474" s="454"/>
      <c r="BC1474" s="169"/>
    </row>
    <row r="1475" spans="19:55" ht="15.75" customHeight="1">
      <c r="S1475" s="454"/>
      <c r="BC1475" s="169"/>
    </row>
    <row r="1476" spans="19:55" ht="15.75" customHeight="1">
      <c r="S1476" s="454"/>
      <c r="BC1476" s="169"/>
    </row>
    <row r="1477" spans="19:55" ht="15.75" customHeight="1">
      <c r="S1477" s="454"/>
      <c r="BC1477" s="169"/>
    </row>
    <row r="1478" spans="19:55" ht="15.75" customHeight="1">
      <c r="S1478" s="454"/>
      <c r="BC1478" s="169"/>
    </row>
    <row r="1479" spans="19:55" ht="15.75" customHeight="1">
      <c r="S1479" s="454"/>
      <c r="BC1479" s="169"/>
    </row>
    <row r="1480" spans="19:55" ht="15.75" customHeight="1">
      <c r="S1480" s="454"/>
      <c r="BC1480" s="169"/>
    </row>
    <row r="1481" spans="19:55" ht="15.75" customHeight="1">
      <c r="S1481" s="454"/>
      <c r="BC1481" s="169"/>
    </row>
    <row r="1482" spans="19:55" ht="15.75" customHeight="1">
      <c r="S1482" s="454"/>
      <c r="BC1482" s="169"/>
    </row>
    <row r="1483" spans="19:55" ht="15.75" customHeight="1">
      <c r="S1483" s="454"/>
      <c r="BC1483" s="169"/>
    </row>
    <row r="1484" spans="19:55" ht="15.75" customHeight="1">
      <c r="S1484" s="454"/>
      <c r="BC1484" s="169"/>
    </row>
    <row r="1485" spans="19:55" ht="15.75" customHeight="1">
      <c r="S1485" s="454"/>
      <c r="BC1485" s="169"/>
    </row>
    <row r="1486" spans="19:55" ht="15.75" customHeight="1">
      <c r="S1486" s="454"/>
      <c r="BC1486" s="169"/>
    </row>
    <row r="1487" spans="19:55" ht="15.75" customHeight="1">
      <c r="S1487" s="454"/>
      <c r="BC1487" s="169"/>
    </row>
    <row r="1488" spans="19:55" ht="15.75" customHeight="1">
      <c r="S1488" s="454"/>
      <c r="BC1488" s="169"/>
    </row>
    <row r="1489" spans="19:55" ht="15.75" customHeight="1">
      <c r="S1489" s="454"/>
      <c r="BC1489" s="169"/>
    </row>
    <row r="1490" spans="19:55" ht="15.75" customHeight="1">
      <c r="S1490" s="454"/>
      <c r="BC1490" s="169"/>
    </row>
    <row r="1491" spans="19:55" ht="15.75" customHeight="1">
      <c r="S1491" s="454"/>
      <c r="BC1491" s="169"/>
    </row>
    <row r="1492" spans="19:55" ht="15.75" customHeight="1">
      <c r="S1492" s="454"/>
      <c r="BC1492" s="169"/>
    </row>
    <row r="1493" spans="19:55" ht="15.75" customHeight="1">
      <c r="S1493" s="454"/>
      <c r="BC1493" s="169"/>
    </row>
    <row r="1494" spans="19:55" ht="15.75" customHeight="1">
      <c r="BC1494" s="169"/>
    </row>
    <row r="1495" spans="19:55" ht="15.75" customHeight="1">
      <c r="BC1495" s="169"/>
    </row>
    <row r="1496" spans="19:55" ht="15.75" customHeight="1">
      <c r="BC1496" s="169"/>
    </row>
    <row r="1497" spans="19:55" ht="15.75" customHeight="1">
      <c r="BC1497" s="169"/>
    </row>
    <row r="1498" spans="19:55" ht="15.75" customHeight="1">
      <c r="BC1498" s="169"/>
    </row>
    <row r="1499" spans="19:55" ht="15.75" customHeight="1">
      <c r="BC1499" s="169"/>
    </row>
    <row r="1500" spans="19:55" ht="15.75" customHeight="1">
      <c r="BC1500" s="169"/>
    </row>
    <row r="1501" spans="19:55" ht="15.75" customHeight="1">
      <c r="BC1501" s="169"/>
    </row>
    <row r="1502" spans="19:55" ht="15.75" customHeight="1">
      <c r="BC1502" s="169"/>
    </row>
    <row r="1503" spans="19:55" ht="15.75" customHeight="1">
      <c r="BC1503" s="169"/>
    </row>
    <row r="1504" spans="19:55" ht="15.75" customHeight="1">
      <c r="BC1504" s="169"/>
    </row>
    <row r="1505" spans="55:55" ht="15.75" customHeight="1">
      <c r="BC1505" s="169"/>
    </row>
    <row r="1506" spans="55:55" ht="15.75" customHeight="1">
      <c r="BC1506" s="169"/>
    </row>
    <row r="1507" spans="55:55" ht="15.75" customHeight="1">
      <c r="BC1507" s="169"/>
    </row>
    <row r="1508" spans="55:55" ht="15.75" customHeight="1">
      <c r="BC1508" s="169"/>
    </row>
    <row r="1509" spans="55:55" ht="15.75" customHeight="1">
      <c r="BC1509" s="169"/>
    </row>
    <row r="1510" spans="55:55" ht="15.75" customHeight="1">
      <c r="BC1510" s="169"/>
    </row>
    <row r="1511" spans="55:55" ht="15.75" customHeight="1">
      <c r="BC1511" s="169"/>
    </row>
    <row r="1512" spans="55:55" ht="15.75" customHeight="1">
      <c r="BC1512" s="169"/>
    </row>
    <row r="1513" spans="55:55" ht="15.75" customHeight="1">
      <c r="BC1513" s="169"/>
    </row>
    <row r="1514" spans="55:55" ht="15.75" customHeight="1">
      <c r="BC1514" s="169"/>
    </row>
    <row r="1515" spans="55:55" ht="15.75" customHeight="1">
      <c r="BC1515" s="169"/>
    </row>
    <row r="1516" spans="55:55" ht="15.75" customHeight="1">
      <c r="BC1516" s="169"/>
    </row>
    <row r="1517" spans="55:55" ht="15.75" customHeight="1">
      <c r="BC1517" s="169"/>
    </row>
    <row r="1518" spans="55:55" ht="15.75" customHeight="1">
      <c r="BC1518" s="169"/>
    </row>
    <row r="1519" spans="55:55" ht="15.75" customHeight="1">
      <c r="BC1519" s="169"/>
    </row>
    <row r="1520" spans="55:55" ht="15.75" customHeight="1">
      <c r="BC1520" s="169"/>
    </row>
    <row r="1521" spans="55:55" ht="15.75" customHeight="1">
      <c r="BC1521" s="169"/>
    </row>
    <row r="1522" spans="55:55" ht="15.75" customHeight="1">
      <c r="BC1522" s="169"/>
    </row>
    <row r="1523" spans="55:55" ht="15.75" customHeight="1">
      <c r="BC1523" s="169"/>
    </row>
    <row r="1524" spans="55:55" ht="15.75" customHeight="1">
      <c r="BC1524" s="169"/>
    </row>
    <row r="1525" spans="55:55" ht="15.75" customHeight="1">
      <c r="BC1525" s="169"/>
    </row>
    <row r="1526" spans="55:55" ht="15.75" customHeight="1">
      <c r="BC1526" s="169"/>
    </row>
    <row r="1527" spans="55:55" ht="15.75" customHeight="1">
      <c r="BC1527" s="169"/>
    </row>
    <row r="1528" spans="55:55" ht="15.75" customHeight="1">
      <c r="BC1528" s="169"/>
    </row>
    <row r="1529" spans="55:55" ht="15.75" customHeight="1">
      <c r="BC1529" s="169"/>
    </row>
    <row r="1530" spans="55:55" ht="15.75" customHeight="1">
      <c r="BC1530" s="169"/>
    </row>
    <row r="1531" spans="55:55" ht="15.75" customHeight="1">
      <c r="BC1531" s="169"/>
    </row>
    <row r="1532" spans="55:55" ht="15.75" customHeight="1">
      <c r="BC1532" s="169"/>
    </row>
    <row r="1533" spans="55:55" ht="15.75" customHeight="1">
      <c r="BC1533" s="169"/>
    </row>
    <row r="1534" spans="55:55" ht="15.75" customHeight="1">
      <c r="BC1534" s="169"/>
    </row>
    <row r="1535" spans="55:55" ht="15.75" customHeight="1">
      <c r="BC1535" s="169"/>
    </row>
    <row r="1536" spans="55:55" ht="15.75" customHeight="1">
      <c r="BC1536" s="169"/>
    </row>
    <row r="1537" spans="55:55" ht="15.75" customHeight="1">
      <c r="BC1537" s="169"/>
    </row>
    <row r="1538" spans="55:55" ht="15.75" customHeight="1">
      <c r="BC1538" s="169"/>
    </row>
    <row r="1539" spans="55:55" ht="15.75" customHeight="1">
      <c r="BC1539" s="169"/>
    </row>
    <row r="1540" spans="55:55" ht="15.75" customHeight="1">
      <c r="BC1540" s="169"/>
    </row>
    <row r="1541" spans="55:55" ht="15.75" customHeight="1">
      <c r="BC1541" s="169"/>
    </row>
    <row r="1542" spans="55:55" ht="15.75" customHeight="1">
      <c r="BC1542" s="169"/>
    </row>
    <row r="1543" spans="55:55" ht="15.75" customHeight="1">
      <c r="BC1543" s="169"/>
    </row>
    <row r="1544" spans="55:55" ht="15.75" customHeight="1">
      <c r="BC1544" s="169"/>
    </row>
    <row r="1545" spans="55:55" ht="15.75" customHeight="1">
      <c r="BC1545" s="169"/>
    </row>
    <row r="1546" spans="55:55" ht="15.75" customHeight="1">
      <c r="BC1546" s="169"/>
    </row>
    <row r="1547" spans="55:55" ht="15.75" customHeight="1">
      <c r="BC1547" s="169"/>
    </row>
    <row r="1548" spans="55:55" ht="15.75" customHeight="1">
      <c r="BC1548" s="169"/>
    </row>
    <row r="1549" spans="55:55" ht="15.75" customHeight="1">
      <c r="BC1549" s="169"/>
    </row>
    <row r="1550" spans="55:55" ht="15.75" customHeight="1">
      <c r="BC1550" s="169"/>
    </row>
    <row r="1551" spans="55:55" ht="15.75" customHeight="1">
      <c r="BC1551" s="169"/>
    </row>
    <row r="1552" spans="55:55" ht="15.75" customHeight="1">
      <c r="BC1552" s="169"/>
    </row>
    <row r="1553" spans="55:55" ht="15.75" customHeight="1">
      <c r="BC1553" s="169"/>
    </row>
    <row r="1554" spans="55:55" ht="15.75" customHeight="1">
      <c r="BC1554" s="169"/>
    </row>
    <row r="1555" spans="55:55" ht="15.75" customHeight="1">
      <c r="BC1555" s="169"/>
    </row>
    <row r="1556" spans="55:55" ht="15.75" customHeight="1">
      <c r="BC1556" s="169"/>
    </row>
    <row r="1557" spans="55:55" ht="15.75" customHeight="1">
      <c r="BC1557" s="169"/>
    </row>
    <row r="1558" spans="55:55" ht="15.75" customHeight="1">
      <c r="BC1558" s="169"/>
    </row>
    <row r="1559" spans="55:55" ht="15.75" customHeight="1">
      <c r="BC1559" s="169"/>
    </row>
    <row r="1560" spans="55:55" ht="15.75" customHeight="1">
      <c r="BC1560" s="169"/>
    </row>
    <row r="1561" spans="55:55" ht="15.75" customHeight="1">
      <c r="BC1561" s="169"/>
    </row>
    <row r="1562" spans="55:55" ht="15.75" customHeight="1">
      <c r="BC1562" s="169"/>
    </row>
    <row r="1563" spans="55:55" ht="15.75" customHeight="1">
      <c r="BC1563" s="169"/>
    </row>
    <row r="1564" spans="55:55" ht="15.75" customHeight="1">
      <c r="BC1564" s="169"/>
    </row>
    <row r="1565" spans="55:55" ht="15.75" customHeight="1">
      <c r="BC1565" s="169"/>
    </row>
    <row r="1566" spans="55:55" ht="15.75" customHeight="1">
      <c r="BC1566" s="169"/>
    </row>
    <row r="1567" spans="55:55" ht="15.75" customHeight="1">
      <c r="BC1567" s="169"/>
    </row>
    <row r="1568" spans="55:55" ht="15.75" customHeight="1">
      <c r="BC1568" s="169"/>
    </row>
    <row r="1569" spans="55:55" ht="15.75" customHeight="1">
      <c r="BC1569" s="169"/>
    </row>
    <row r="1570" spans="55:55" ht="15.75" customHeight="1">
      <c r="BC1570" s="169"/>
    </row>
    <row r="1571" spans="55:55" ht="15.75" customHeight="1">
      <c r="BC1571" s="169"/>
    </row>
    <row r="1572" spans="55:55" ht="15.75" customHeight="1">
      <c r="BC1572" s="169"/>
    </row>
    <row r="1573" spans="55:55" ht="15.75" customHeight="1">
      <c r="BC1573" s="169"/>
    </row>
    <row r="1574" spans="55:55" ht="15.75" customHeight="1">
      <c r="BC1574" s="169"/>
    </row>
    <row r="1575" spans="55:55" ht="15.75" customHeight="1">
      <c r="BC1575" s="169"/>
    </row>
    <row r="1576" spans="55:55" ht="15.75" customHeight="1">
      <c r="BC1576" s="169"/>
    </row>
    <row r="1577" spans="55:55" ht="15.75" customHeight="1">
      <c r="BC1577" s="169"/>
    </row>
    <row r="1578" spans="55:55" ht="15.75" customHeight="1">
      <c r="BC1578" s="169"/>
    </row>
    <row r="1579" spans="55:55" ht="15.75" customHeight="1">
      <c r="BC1579" s="169"/>
    </row>
    <row r="1580" spans="55:55" ht="15.75" customHeight="1">
      <c r="BC1580" s="169"/>
    </row>
    <row r="1581" spans="55:55" ht="15.75" customHeight="1">
      <c r="BC1581" s="169"/>
    </row>
    <row r="1582" spans="55:55" ht="15.75" customHeight="1">
      <c r="BC1582" s="169"/>
    </row>
    <row r="1583" spans="55:55" ht="15.75" customHeight="1">
      <c r="BC1583" s="169"/>
    </row>
    <row r="1584" spans="55:55" ht="15.75" customHeight="1">
      <c r="BC1584" s="169"/>
    </row>
    <row r="1585" spans="55:55" ht="15.75" customHeight="1">
      <c r="BC1585" s="169"/>
    </row>
    <row r="1586" spans="55:55" ht="15.75" customHeight="1">
      <c r="BC1586" s="169"/>
    </row>
    <row r="1587" spans="55:55" ht="15.75" customHeight="1">
      <c r="BC1587" s="169"/>
    </row>
    <row r="1588" spans="55:55" ht="15.75" customHeight="1">
      <c r="BC1588" s="169"/>
    </row>
    <row r="1589" spans="55:55" ht="15.75" customHeight="1">
      <c r="BC1589" s="169"/>
    </row>
    <row r="1590" spans="55:55" ht="15.75" customHeight="1">
      <c r="BC1590" s="169"/>
    </row>
    <row r="1591" spans="55:55" ht="15.75" customHeight="1">
      <c r="BC1591" s="169"/>
    </row>
    <row r="1592" spans="55:55" ht="15.75" customHeight="1">
      <c r="BC1592" s="169"/>
    </row>
    <row r="1593" spans="55:55" ht="15.75" customHeight="1">
      <c r="BC1593" s="169"/>
    </row>
    <row r="1594" spans="55:55" ht="15.75" customHeight="1">
      <c r="BC1594" s="169"/>
    </row>
    <row r="1595" spans="55:55" ht="15.75" customHeight="1">
      <c r="BC1595" s="169"/>
    </row>
    <row r="1596" spans="55:55" ht="15.75" customHeight="1">
      <c r="BC1596" s="169"/>
    </row>
    <row r="1597" spans="55:55" ht="15.75" customHeight="1">
      <c r="BC1597" s="169"/>
    </row>
    <row r="1598" spans="55:55" ht="15.75" customHeight="1">
      <c r="BC1598" s="169"/>
    </row>
    <row r="1599" spans="55:55" ht="15.75" customHeight="1">
      <c r="BC1599" s="169"/>
    </row>
    <row r="1600" spans="55:55" ht="15.75" customHeight="1">
      <c r="BC1600" s="169"/>
    </row>
    <row r="1601" spans="55:55" ht="15.75" customHeight="1">
      <c r="BC1601" s="169"/>
    </row>
    <row r="1602" spans="55:55" ht="15.75" customHeight="1">
      <c r="BC1602" s="169"/>
    </row>
    <row r="1603" spans="55:55" ht="15.75" customHeight="1">
      <c r="BC1603" s="169"/>
    </row>
    <row r="1604" spans="55:55" ht="15.75" customHeight="1">
      <c r="BC1604" s="169"/>
    </row>
    <row r="1605" spans="55:55" ht="15.75" customHeight="1">
      <c r="BC1605" s="169"/>
    </row>
    <row r="1606" spans="55:55" ht="15.75" customHeight="1">
      <c r="BC1606" s="169"/>
    </row>
    <row r="1607" spans="55:55" ht="15.75" customHeight="1">
      <c r="BC1607" s="169"/>
    </row>
    <row r="1608" spans="55:55" ht="15.75" customHeight="1">
      <c r="BC1608" s="169"/>
    </row>
    <row r="1609" spans="55:55" ht="15.75" customHeight="1">
      <c r="BC1609" s="169"/>
    </row>
    <row r="1610" spans="55:55" ht="15.75" customHeight="1">
      <c r="BC1610" s="169"/>
    </row>
    <row r="1611" spans="55:55" ht="15.75" customHeight="1">
      <c r="BC1611" s="169"/>
    </row>
    <row r="1612" spans="55:55" ht="15.75" customHeight="1">
      <c r="BC1612" s="169"/>
    </row>
    <row r="1613" spans="55:55" ht="15.75" customHeight="1">
      <c r="BC1613" s="169"/>
    </row>
    <row r="1614" spans="55:55" ht="15.75" customHeight="1">
      <c r="BC1614" s="169"/>
    </row>
    <row r="1615" spans="55:55" ht="15.75" customHeight="1">
      <c r="BC1615" s="169"/>
    </row>
    <row r="1616" spans="55:55" ht="15.75" customHeight="1">
      <c r="BC1616" s="169"/>
    </row>
    <row r="1617" spans="55:55" ht="15.75" customHeight="1">
      <c r="BC1617" s="169"/>
    </row>
    <row r="1618" spans="55:55" ht="15.75" customHeight="1">
      <c r="BC1618" s="169"/>
    </row>
    <row r="1619" spans="55:55" ht="15.75" customHeight="1">
      <c r="BC1619" s="169"/>
    </row>
    <row r="1620" spans="55:55" ht="15.75" customHeight="1">
      <c r="BC1620" s="169"/>
    </row>
    <row r="1621" spans="55:55" ht="15.75" customHeight="1">
      <c r="BC1621" s="169"/>
    </row>
    <row r="1622" spans="55:55" ht="15.75" customHeight="1">
      <c r="BC1622" s="169"/>
    </row>
    <row r="1623" spans="55:55" ht="15.75" customHeight="1">
      <c r="BC1623" s="169"/>
    </row>
    <row r="1624" spans="55:55" ht="15.75" customHeight="1">
      <c r="BC1624" s="169"/>
    </row>
    <row r="1625" spans="55:55" ht="15.75" customHeight="1">
      <c r="BC1625" s="169"/>
    </row>
    <row r="1626" spans="55:55" ht="15.75" customHeight="1">
      <c r="BC1626" s="169"/>
    </row>
    <row r="1627" spans="55:55" ht="15.75" customHeight="1">
      <c r="BC1627" s="169"/>
    </row>
    <row r="1628" spans="55:55" ht="15.75" customHeight="1">
      <c r="BC1628" s="169"/>
    </row>
    <row r="1629" spans="55:55" ht="15.75" customHeight="1">
      <c r="BC1629" s="169"/>
    </row>
    <row r="1630" spans="55:55" ht="15.75" customHeight="1">
      <c r="BC1630" s="169"/>
    </row>
    <row r="1631" spans="55:55" ht="15.75" customHeight="1">
      <c r="BC1631" s="169"/>
    </row>
    <row r="1632" spans="55:55" ht="15.75" customHeight="1">
      <c r="BC1632" s="169"/>
    </row>
    <row r="1633" spans="55:55" ht="15.75" customHeight="1">
      <c r="BC1633" s="169"/>
    </row>
    <row r="1634" spans="55:55" ht="15.75" customHeight="1">
      <c r="BC1634" s="169"/>
    </row>
    <row r="1635" spans="55:55" ht="15.75" customHeight="1">
      <c r="BC1635" s="169"/>
    </row>
    <row r="1636" spans="55:55" ht="15.75" customHeight="1">
      <c r="BC1636" s="169"/>
    </row>
    <row r="1637" spans="55:55" ht="15.75" customHeight="1">
      <c r="BC1637" s="169"/>
    </row>
    <row r="1638" spans="55:55" ht="15.75" customHeight="1">
      <c r="BC1638" s="169"/>
    </row>
    <row r="1639" spans="55:55" ht="15.75" customHeight="1">
      <c r="BC1639" s="169"/>
    </row>
    <row r="1640" spans="55:55" ht="15.75" customHeight="1">
      <c r="BC1640" s="169"/>
    </row>
    <row r="1641" spans="55:55" ht="15.75" customHeight="1">
      <c r="BC1641" s="169"/>
    </row>
    <row r="1642" spans="55:55" ht="15.75" customHeight="1">
      <c r="BC1642" s="169"/>
    </row>
    <row r="1643" spans="55:55" ht="15.75" customHeight="1">
      <c r="BC1643" s="169"/>
    </row>
    <row r="1644" spans="55:55" ht="15.75" customHeight="1">
      <c r="BC1644" s="169"/>
    </row>
    <row r="1645" spans="55:55" ht="15.75" customHeight="1">
      <c r="BC1645" s="169"/>
    </row>
    <row r="1646" spans="55:55" ht="15.75" customHeight="1">
      <c r="BC1646" s="169"/>
    </row>
    <row r="1647" spans="55:55" ht="15.75" customHeight="1">
      <c r="BC1647" s="169"/>
    </row>
    <row r="1648" spans="55:55" ht="15.75" customHeight="1">
      <c r="BC1648" s="169"/>
    </row>
    <row r="1649" spans="55:55" ht="15.75" customHeight="1">
      <c r="BC1649" s="169"/>
    </row>
    <row r="1650" spans="55:55" ht="15.75" customHeight="1">
      <c r="BC1650" s="169"/>
    </row>
    <row r="1651" spans="55:55" ht="15.75" customHeight="1">
      <c r="BC1651" s="169"/>
    </row>
    <row r="1652" spans="55:55" ht="15.75" customHeight="1">
      <c r="BC1652" s="169"/>
    </row>
    <row r="1653" spans="55:55" ht="15.75" customHeight="1">
      <c r="BC1653" s="169"/>
    </row>
    <row r="1654" spans="55:55" ht="15.75" customHeight="1">
      <c r="BC1654" s="169"/>
    </row>
    <row r="1655" spans="55:55" ht="15.75" customHeight="1">
      <c r="BC1655" s="169"/>
    </row>
    <row r="1656" spans="55:55" ht="15.75" customHeight="1">
      <c r="BC1656" s="169"/>
    </row>
    <row r="1657" spans="55:55" ht="15.75" customHeight="1">
      <c r="BC1657" s="169"/>
    </row>
    <row r="1658" spans="55:55" ht="15.75" customHeight="1">
      <c r="BC1658" s="169"/>
    </row>
    <row r="1659" spans="55:55" ht="15.75" customHeight="1">
      <c r="BC1659" s="169"/>
    </row>
    <row r="1660" spans="55:55" ht="15.75" customHeight="1">
      <c r="BC1660" s="169"/>
    </row>
    <row r="1661" spans="55:55" ht="15.75" customHeight="1">
      <c r="BC1661" s="169"/>
    </row>
    <row r="1662" spans="55:55" ht="15.75" customHeight="1">
      <c r="BC1662" s="169"/>
    </row>
    <row r="1663" spans="55:55" ht="15.75" customHeight="1">
      <c r="BC1663" s="169"/>
    </row>
    <row r="1664" spans="55:55" ht="15.75" customHeight="1">
      <c r="BC1664" s="169"/>
    </row>
    <row r="1665" spans="55:55" ht="15.75" customHeight="1">
      <c r="BC1665" s="169"/>
    </row>
    <row r="1666" spans="55:55" ht="15.75" customHeight="1">
      <c r="BC1666" s="169"/>
    </row>
    <row r="1667" spans="55:55" ht="15.75" customHeight="1">
      <c r="BC1667" s="169"/>
    </row>
    <row r="1668" spans="55:55" ht="15.75" customHeight="1">
      <c r="BC1668" s="169"/>
    </row>
    <row r="1669" spans="55:55" ht="15.75" customHeight="1">
      <c r="BC1669" s="169"/>
    </row>
    <row r="1670" spans="55:55" ht="15.75" customHeight="1">
      <c r="BC1670" s="169"/>
    </row>
    <row r="1671" spans="55:55" ht="15.75" customHeight="1">
      <c r="BC1671" s="169"/>
    </row>
    <row r="1672" spans="55:55" ht="15.75" customHeight="1">
      <c r="BC1672" s="169"/>
    </row>
    <row r="1673" spans="55:55" ht="15.75" customHeight="1">
      <c r="BC1673" s="169"/>
    </row>
    <row r="1674" spans="55:55" ht="15.75" customHeight="1">
      <c r="BC1674" s="169"/>
    </row>
    <row r="1675" spans="55:55" ht="15.75" customHeight="1">
      <c r="BC1675" s="169"/>
    </row>
    <row r="1676" spans="55:55" ht="15.75" customHeight="1">
      <c r="BC1676" s="169"/>
    </row>
    <row r="1677" spans="55:55" ht="15.75" customHeight="1">
      <c r="BC1677" s="169"/>
    </row>
    <row r="1678" spans="55:55" ht="15.75" customHeight="1">
      <c r="BC1678" s="169"/>
    </row>
    <row r="1679" spans="55:55" ht="15.75" customHeight="1">
      <c r="BC1679" s="169"/>
    </row>
    <row r="1680" spans="55:55" ht="15.75" customHeight="1">
      <c r="BC1680" s="169"/>
    </row>
    <row r="1681" spans="55:55" ht="15.75" customHeight="1">
      <c r="BC1681" s="169"/>
    </row>
    <row r="1682" spans="55:55" ht="15.75" customHeight="1">
      <c r="BC1682" s="169"/>
    </row>
    <row r="1683" spans="55:55" ht="15.75" customHeight="1">
      <c r="BC1683" s="169"/>
    </row>
    <row r="1684" spans="55:55" ht="15.75" customHeight="1">
      <c r="BC1684" s="169"/>
    </row>
    <row r="1685" spans="55:55" ht="15.75" customHeight="1">
      <c r="BC1685" s="169"/>
    </row>
    <row r="1686" spans="55:55" ht="15.75" customHeight="1">
      <c r="BC1686" s="169"/>
    </row>
    <row r="1687" spans="55:55" ht="15.75" customHeight="1">
      <c r="BC1687" s="169"/>
    </row>
    <row r="1688" spans="55:55" ht="15.75" customHeight="1">
      <c r="BC1688" s="169"/>
    </row>
    <row r="1689" spans="55:55" ht="15.75" customHeight="1">
      <c r="BC1689" s="169"/>
    </row>
    <row r="1690" spans="55:55" ht="15.75" customHeight="1">
      <c r="BC1690" s="169"/>
    </row>
    <row r="1691" spans="55:55" ht="15.75" customHeight="1">
      <c r="BC1691" s="169"/>
    </row>
    <row r="1692" spans="55:55" ht="15.75" customHeight="1">
      <c r="BC1692" s="169"/>
    </row>
    <row r="1693" spans="55:55" ht="15.75" customHeight="1">
      <c r="BC1693" s="169"/>
    </row>
    <row r="1694" spans="55:55" ht="15.75" customHeight="1">
      <c r="BC1694" s="169"/>
    </row>
    <row r="1695" spans="55:55" ht="15.75" customHeight="1">
      <c r="BC1695" s="169"/>
    </row>
    <row r="1696" spans="55:55" ht="15.75" customHeight="1">
      <c r="BC1696" s="169"/>
    </row>
    <row r="1697" spans="55:55" ht="15.75" customHeight="1">
      <c r="BC1697" s="169"/>
    </row>
    <row r="1698" spans="55:55" ht="15.75" customHeight="1">
      <c r="BC1698" s="169"/>
    </row>
    <row r="1699" spans="55:55" ht="15.75" customHeight="1">
      <c r="BC1699" s="169"/>
    </row>
    <row r="1700" spans="55:55" ht="15.75" customHeight="1">
      <c r="BC1700" s="169"/>
    </row>
    <row r="1701" spans="55:55" ht="15.75" customHeight="1">
      <c r="BC1701" s="169"/>
    </row>
    <row r="1702" spans="55:55" ht="15.75" customHeight="1">
      <c r="BC1702" s="169"/>
    </row>
    <row r="1703" spans="55:55" ht="15.75" customHeight="1">
      <c r="BC1703" s="169"/>
    </row>
    <row r="1704" spans="55:55" ht="15.75" customHeight="1">
      <c r="BC1704" s="169"/>
    </row>
    <row r="1705" spans="55:55" ht="15.75" customHeight="1">
      <c r="BC1705" s="169"/>
    </row>
    <row r="1706" spans="55:55" ht="15.75" customHeight="1">
      <c r="BC1706" s="169"/>
    </row>
    <row r="1707" spans="55:55" ht="15.75" customHeight="1">
      <c r="BC1707" s="169"/>
    </row>
    <row r="1708" spans="55:55" ht="15.75" customHeight="1">
      <c r="BC1708" s="169"/>
    </row>
    <row r="1709" spans="55:55" ht="15.75" customHeight="1">
      <c r="BC1709" s="169"/>
    </row>
    <row r="1710" spans="55:55" ht="15.75" customHeight="1">
      <c r="BC1710" s="169"/>
    </row>
    <row r="1711" spans="55:55" ht="15.75" customHeight="1">
      <c r="BC1711" s="169"/>
    </row>
    <row r="1712" spans="55:55" ht="15.75" customHeight="1">
      <c r="BC1712" s="169"/>
    </row>
    <row r="1713" spans="55:55" ht="15.75" customHeight="1">
      <c r="BC1713" s="169"/>
    </row>
    <row r="1714" spans="55:55" ht="15.75" customHeight="1">
      <c r="BC1714" s="169"/>
    </row>
    <row r="1715" spans="55:55" ht="15.75" customHeight="1">
      <c r="BC1715" s="169"/>
    </row>
    <row r="1716" spans="55:55" ht="15.75" customHeight="1">
      <c r="BC1716" s="169"/>
    </row>
    <row r="1717" spans="55:55" ht="15.75" customHeight="1">
      <c r="BC1717" s="169"/>
    </row>
    <row r="1718" spans="55:55" ht="15.75" customHeight="1">
      <c r="BC1718" s="169"/>
    </row>
    <row r="1719" spans="55:55" ht="15.75" customHeight="1">
      <c r="BC1719" s="169"/>
    </row>
    <row r="1720" spans="55:55" ht="15.75" customHeight="1">
      <c r="BC1720" s="169"/>
    </row>
    <row r="1721" spans="55:55" ht="15.75" customHeight="1">
      <c r="BC1721" s="169"/>
    </row>
    <row r="1722" spans="55:55" ht="15.75" customHeight="1">
      <c r="BC1722" s="169"/>
    </row>
    <row r="1723" spans="55:55" ht="15.75" customHeight="1">
      <c r="BC1723" s="169"/>
    </row>
    <row r="1724" spans="55:55" ht="15.75" customHeight="1">
      <c r="BC1724" s="169"/>
    </row>
    <row r="1725" spans="55:55" ht="15.75" customHeight="1">
      <c r="BC1725" s="169"/>
    </row>
    <row r="1726" spans="55:55" ht="15.75" customHeight="1">
      <c r="BC1726" s="169"/>
    </row>
    <row r="1727" spans="55:55" ht="15.75" customHeight="1">
      <c r="BC1727" s="169"/>
    </row>
    <row r="1728" spans="55:55" ht="15.75" customHeight="1">
      <c r="BC1728" s="169"/>
    </row>
    <row r="1729" spans="55:55" ht="15.75" customHeight="1">
      <c r="BC1729" s="169"/>
    </row>
    <row r="1730" spans="55:55" ht="15.75" customHeight="1">
      <c r="BC1730" s="169"/>
    </row>
    <row r="1731" spans="55:55" ht="15.75" customHeight="1">
      <c r="BC1731" s="169"/>
    </row>
    <row r="1732" spans="55:55" ht="15.75" customHeight="1">
      <c r="BC1732" s="169"/>
    </row>
    <row r="1733" spans="55:55" ht="15.75" customHeight="1">
      <c r="BC1733" s="169"/>
    </row>
    <row r="1734" spans="55:55" ht="15.75" customHeight="1">
      <c r="BC1734" s="169"/>
    </row>
    <row r="1735" spans="55:55" ht="15.75" customHeight="1">
      <c r="BC1735" s="169"/>
    </row>
    <row r="1736" spans="55:55" ht="15.75" customHeight="1">
      <c r="BC1736" s="169"/>
    </row>
    <row r="1737" spans="55:55" ht="15.75" customHeight="1">
      <c r="BC1737" s="169"/>
    </row>
    <row r="1738" spans="55:55" ht="15.75" customHeight="1">
      <c r="BC1738" s="169"/>
    </row>
    <row r="1739" spans="55:55" ht="15.75" customHeight="1">
      <c r="BC1739" s="169"/>
    </row>
    <row r="1740" spans="55:55" ht="15.75" customHeight="1">
      <c r="BC1740" s="169"/>
    </row>
    <row r="1741" spans="55:55" ht="15.75" customHeight="1">
      <c r="BC1741" s="169"/>
    </row>
    <row r="1742" spans="55:55" ht="15.75" customHeight="1">
      <c r="BC1742" s="169"/>
    </row>
    <row r="1743" spans="55:55" ht="15.75" customHeight="1">
      <c r="BC1743" s="169"/>
    </row>
    <row r="1744" spans="55:55" ht="15.75" customHeight="1">
      <c r="BC1744" s="169"/>
    </row>
    <row r="1745" spans="55:55" ht="15.75" customHeight="1">
      <c r="BC1745" s="169"/>
    </row>
    <row r="1746" spans="55:55" ht="15.75" customHeight="1">
      <c r="BC1746" s="169"/>
    </row>
    <row r="1747" spans="55:55" ht="15.75" customHeight="1">
      <c r="BC1747" s="169"/>
    </row>
    <row r="1748" spans="55:55" ht="15.75" customHeight="1">
      <c r="BC1748" s="169"/>
    </row>
    <row r="1749" spans="55:55" ht="15.75" customHeight="1">
      <c r="BC1749" s="169"/>
    </row>
    <row r="1750" spans="55:55" ht="15.75" customHeight="1">
      <c r="BC1750" s="169"/>
    </row>
    <row r="1751" spans="55:55" ht="15.75" customHeight="1">
      <c r="BC1751" s="169"/>
    </row>
    <row r="1752" spans="55:55" ht="15.75" customHeight="1">
      <c r="BC1752" s="169"/>
    </row>
    <row r="1753" spans="55:55" ht="15.75" customHeight="1">
      <c r="BC1753" s="169"/>
    </row>
    <row r="1754" spans="55:55" ht="15.75" customHeight="1">
      <c r="BC1754" s="169"/>
    </row>
    <row r="1755" spans="55:55" ht="15.75" customHeight="1">
      <c r="BC1755" s="169"/>
    </row>
    <row r="1756" spans="55:55" ht="15.75" customHeight="1">
      <c r="BC1756" s="169"/>
    </row>
    <row r="1757" spans="55:55" ht="15.75" customHeight="1">
      <c r="BC1757" s="169"/>
    </row>
    <row r="1758" spans="55:55" ht="15.75" customHeight="1">
      <c r="BC1758" s="169"/>
    </row>
    <row r="1759" spans="55:55" ht="15.75" customHeight="1">
      <c r="BC1759" s="169"/>
    </row>
    <row r="1760" spans="55:55" ht="15.75" customHeight="1">
      <c r="BC1760" s="169"/>
    </row>
    <row r="1761" spans="55:55" ht="15.75" customHeight="1">
      <c r="BC1761" s="169"/>
    </row>
    <row r="1762" spans="55:55" ht="15.75" customHeight="1">
      <c r="BC1762" s="169"/>
    </row>
    <row r="1763" spans="55:55" ht="15.75" customHeight="1">
      <c r="BC1763" s="169"/>
    </row>
    <row r="1764" spans="55:55" ht="15.75" customHeight="1">
      <c r="BC1764" s="169"/>
    </row>
    <row r="1765" spans="55:55" ht="15.75" customHeight="1">
      <c r="BC1765" s="169"/>
    </row>
    <row r="1766" spans="55:55" ht="15.75" customHeight="1">
      <c r="BC1766" s="169"/>
    </row>
    <row r="1767" spans="55:55" ht="15.75" customHeight="1">
      <c r="BC1767" s="169"/>
    </row>
    <row r="1768" spans="55:55" ht="15.75" customHeight="1">
      <c r="BC1768" s="169"/>
    </row>
    <row r="1769" spans="55:55" ht="15.75" customHeight="1">
      <c r="BC1769" s="169"/>
    </row>
    <row r="1770" spans="55:55" ht="15.75" customHeight="1">
      <c r="BC1770" s="169"/>
    </row>
    <row r="1771" spans="55:55" ht="15.75" customHeight="1">
      <c r="BC1771" s="169"/>
    </row>
    <row r="1772" spans="55:55" ht="15.75" customHeight="1">
      <c r="BC1772" s="169"/>
    </row>
    <row r="1773" spans="55:55" ht="15.75" customHeight="1">
      <c r="BC1773" s="169"/>
    </row>
    <row r="1774" spans="55:55" ht="15.75" customHeight="1">
      <c r="BC1774" s="169"/>
    </row>
    <row r="1775" spans="55:55" ht="15.75" customHeight="1">
      <c r="BC1775" s="169"/>
    </row>
    <row r="1776" spans="55:55" ht="15.75" customHeight="1">
      <c r="BC1776" s="169"/>
    </row>
    <row r="1777" spans="55:55" ht="15.75" customHeight="1">
      <c r="BC1777" s="169"/>
    </row>
    <row r="1778" spans="55:55" ht="15.75" customHeight="1">
      <c r="BC1778" s="169"/>
    </row>
    <row r="1779" spans="55:55" ht="15.75" customHeight="1">
      <c r="BC1779" s="169"/>
    </row>
    <row r="1780" spans="55:55" ht="15.75" customHeight="1">
      <c r="BC1780" s="169"/>
    </row>
    <row r="1781" spans="55:55" ht="15.75" customHeight="1">
      <c r="BC1781" s="169"/>
    </row>
    <row r="1782" spans="55:55" ht="15.75" customHeight="1">
      <c r="BC1782" s="169"/>
    </row>
    <row r="1783" spans="55:55" ht="15.75" customHeight="1">
      <c r="BC1783" s="169"/>
    </row>
    <row r="1784" spans="55:55" ht="15.75" customHeight="1">
      <c r="BC1784" s="169"/>
    </row>
    <row r="1785" spans="55:55" ht="15.75" customHeight="1">
      <c r="BC1785" s="169"/>
    </row>
    <row r="1786" spans="55:55" ht="15.75" customHeight="1">
      <c r="BC1786" s="169"/>
    </row>
    <row r="1787" spans="55:55" ht="15.75" customHeight="1">
      <c r="BC1787" s="169"/>
    </row>
    <row r="1788" spans="55:55" ht="15.75" customHeight="1">
      <c r="BC1788" s="169"/>
    </row>
    <row r="1789" spans="55:55" ht="15.75" customHeight="1">
      <c r="BC1789" s="169"/>
    </row>
    <row r="1790" spans="55:55" ht="15.75" customHeight="1">
      <c r="BC1790" s="169"/>
    </row>
    <row r="1791" spans="55:55" ht="15.75" customHeight="1">
      <c r="BC1791" s="169"/>
    </row>
    <row r="1792" spans="55:55" ht="15.75" customHeight="1">
      <c r="BC1792" s="169"/>
    </row>
    <row r="1793" spans="55:55" ht="15.75" customHeight="1">
      <c r="BC1793" s="169"/>
    </row>
    <row r="1794" spans="55:55" ht="15.75" customHeight="1">
      <c r="BC1794" s="169"/>
    </row>
    <row r="1795" spans="55:55" ht="15.75" customHeight="1">
      <c r="BC1795" s="169"/>
    </row>
    <row r="1796" spans="55:55" ht="15.75" customHeight="1">
      <c r="BC1796" s="169"/>
    </row>
    <row r="1797" spans="55:55" ht="15.75" customHeight="1">
      <c r="BC1797" s="169"/>
    </row>
    <row r="1798" spans="55:55" ht="15.75" customHeight="1">
      <c r="BC1798" s="169"/>
    </row>
    <row r="1799" spans="55:55" ht="15.75" customHeight="1">
      <c r="BC1799" s="169"/>
    </row>
    <row r="1800" spans="55:55" ht="15.75" customHeight="1">
      <c r="BC1800" s="169"/>
    </row>
    <row r="1801" spans="55:55" ht="15.75" customHeight="1">
      <c r="BC1801" s="169"/>
    </row>
    <row r="1802" spans="55:55" ht="15.75" customHeight="1">
      <c r="BC1802" s="169"/>
    </row>
    <row r="1803" spans="55:55" ht="15.75" customHeight="1">
      <c r="BC1803" s="169"/>
    </row>
    <row r="1804" spans="55:55" ht="15.75" customHeight="1">
      <c r="BC1804" s="169"/>
    </row>
    <row r="1805" spans="55:55" ht="15.75" customHeight="1">
      <c r="BC1805" s="169"/>
    </row>
    <row r="1806" spans="55:55" ht="15.75" customHeight="1">
      <c r="BC1806" s="169"/>
    </row>
    <row r="1807" spans="55:55" ht="15.75" customHeight="1">
      <c r="BC1807" s="169"/>
    </row>
    <row r="1808" spans="55:55" ht="15.75" customHeight="1">
      <c r="BC1808" s="169"/>
    </row>
    <row r="1809" spans="55:55" ht="15.75" customHeight="1">
      <c r="BC1809" s="169"/>
    </row>
    <row r="1810" spans="55:55" ht="15.75" customHeight="1">
      <c r="BC1810" s="169"/>
    </row>
    <row r="1811" spans="55:55" ht="15.75" customHeight="1">
      <c r="BC1811" s="169"/>
    </row>
    <row r="1812" spans="55:55" ht="15.75" customHeight="1">
      <c r="BC1812" s="169"/>
    </row>
    <row r="1813" spans="55:55" ht="15.75" customHeight="1">
      <c r="BC1813" s="169"/>
    </row>
    <row r="1814" spans="55:55" ht="15.75" customHeight="1">
      <c r="BC1814" s="169"/>
    </row>
    <row r="1815" spans="55:55" ht="15.75" customHeight="1">
      <c r="BC1815" s="169"/>
    </row>
    <row r="1816" spans="55:55" ht="15.75" customHeight="1">
      <c r="BC1816" s="169"/>
    </row>
    <row r="1817" spans="55:55" ht="15.75" customHeight="1">
      <c r="BC1817" s="169"/>
    </row>
    <row r="1818" spans="55:55" ht="15.75" customHeight="1">
      <c r="BC1818" s="169"/>
    </row>
    <row r="1819" spans="55:55" ht="15.75" customHeight="1">
      <c r="BC1819" s="169"/>
    </row>
    <row r="1820" spans="55:55" ht="15.75" customHeight="1">
      <c r="BC1820" s="169"/>
    </row>
    <row r="1821" spans="55:55" ht="15.75" customHeight="1">
      <c r="BC1821" s="169"/>
    </row>
    <row r="1822" spans="55:55" ht="15.75" customHeight="1">
      <c r="BC1822" s="169"/>
    </row>
    <row r="1823" spans="55:55" ht="15.75" customHeight="1">
      <c r="BC1823" s="169"/>
    </row>
    <row r="1824" spans="55:55" ht="15.75" customHeight="1">
      <c r="BC1824" s="169"/>
    </row>
    <row r="1825" spans="55:55" ht="15.75" customHeight="1">
      <c r="BC1825" s="169"/>
    </row>
    <row r="1826" spans="55:55" ht="15.75" customHeight="1">
      <c r="BC1826" s="169"/>
    </row>
    <row r="1827" spans="55:55" ht="15.75" customHeight="1">
      <c r="BC1827" s="169"/>
    </row>
    <row r="1828" spans="55:55" ht="15.75" customHeight="1">
      <c r="BC1828" s="169"/>
    </row>
    <row r="1829" spans="55:55" ht="15.75" customHeight="1">
      <c r="BC1829" s="169"/>
    </row>
    <row r="1830" spans="55:55" ht="15.75" customHeight="1">
      <c r="BC1830" s="169"/>
    </row>
    <row r="1831" spans="55:55" ht="15.75" customHeight="1">
      <c r="BC1831" s="169"/>
    </row>
    <row r="1832" spans="55:55" ht="15.75" customHeight="1">
      <c r="BC1832" s="169"/>
    </row>
    <row r="1833" spans="55:55" ht="15.75" customHeight="1">
      <c r="BC1833" s="169"/>
    </row>
    <row r="1834" spans="55:55" ht="15.75" customHeight="1">
      <c r="BC1834" s="169"/>
    </row>
    <row r="1835" spans="55:55" ht="15.75" customHeight="1">
      <c r="BC1835" s="169"/>
    </row>
    <row r="1836" spans="55:55" ht="15.75" customHeight="1">
      <c r="BC1836" s="169"/>
    </row>
    <row r="1837" spans="55:55" ht="15.75" customHeight="1">
      <c r="BC1837" s="169"/>
    </row>
    <row r="1838" spans="55:55" ht="15.75" customHeight="1">
      <c r="BC1838" s="169"/>
    </row>
    <row r="1839" spans="55:55" ht="15.75" customHeight="1">
      <c r="BC1839" s="169"/>
    </row>
    <row r="1840" spans="55:55" ht="15.75" customHeight="1">
      <c r="BC1840" s="169"/>
    </row>
    <row r="1841" spans="55:55" ht="15.75" customHeight="1">
      <c r="BC1841" s="169"/>
    </row>
    <row r="1842" spans="55:55" ht="15.75" customHeight="1">
      <c r="BC1842" s="169"/>
    </row>
    <row r="1843" spans="55:55" ht="15.75" customHeight="1">
      <c r="BC1843" s="169"/>
    </row>
    <row r="1844" spans="55:55" ht="15.75" customHeight="1">
      <c r="BC1844" s="169"/>
    </row>
    <row r="1845" spans="55:55" ht="15.75" customHeight="1">
      <c r="BC1845" s="169"/>
    </row>
    <row r="1846" spans="55:55" ht="15.75" customHeight="1">
      <c r="BC1846" s="169"/>
    </row>
    <row r="1847" spans="55:55" ht="15.75" customHeight="1">
      <c r="BC1847" s="169"/>
    </row>
    <row r="1848" spans="55:55" ht="15.75" customHeight="1">
      <c r="BC1848" s="169"/>
    </row>
    <row r="1849" spans="55:55" ht="15.75" customHeight="1">
      <c r="BC1849" s="169"/>
    </row>
    <row r="1850" spans="55:55" ht="15.75" customHeight="1">
      <c r="BC1850" s="169"/>
    </row>
    <row r="1851" spans="55:55" ht="15.75" customHeight="1">
      <c r="BC1851" s="169"/>
    </row>
    <row r="1852" spans="55:55" ht="15.75" customHeight="1">
      <c r="BC1852" s="169"/>
    </row>
    <row r="1853" spans="55:55" ht="15.75" customHeight="1">
      <c r="BC1853" s="169"/>
    </row>
    <row r="1854" spans="55:55" ht="15.75" customHeight="1">
      <c r="BC1854" s="169"/>
    </row>
    <row r="1855" spans="55:55" ht="15.75" customHeight="1">
      <c r="BC1855" s="169"/>
    </row>
    <row r="1856" spans="55:55" ht="15.75" customHeight="1">
      <c r="BC1856" s="169"/>
    </row>
    <row r="1857" spans="55:55" ht="15.75" customHeight="1">
      <c r="BC1857" s="169"/>
    </row>
    <row r="1858" spans="55:55" ht="15.75" customHeight="1">
      <c r="BC1858" s="169"/>
    </row>
    <row r="1859" spans="55:55" ht="15.75" customHeight="1">
      <c r="BC1859" s="169"/>
    </row>
    <row r="1860" spans="55:55" ht="15.75" customHeight="1">
      <c r="BC1860" s="169"/>
    </row>
    <row r="1861" spans="55:55" ht="15.75" customHeight="1">
      <c r="BC1861" s="169"/>
    </row>
    <row r="1862" spans="55:55" ht="15.75" customHeight="1">
      <c r="BC1862" s="169"/>
    </row>
    <row r="1863" spans="55:55" ht="15.75" customHeight="1">
      <c r="BC1863" s="169"/>
    </row>
    <row r="1864" spans="55:55" ht="15.75" customHeight="1">
      <c r="BC1864" s="169"/>
    </row>
    <row r="1865" spans="55:55" ht="15.75" customHeight="1">
      <c r="BC1865" s="169"/>
    </row>
    <row r="1866" spans="55:55" ht="15.75" customHeight="1">
      <c r="BC1866" s="169"/>
    </row>
    <row r="1867" spans="55:55" ht="15.75" customHeight="1">
      <c r="BC1867" s="169"/>
    </row>
    <row r="1868" spans="55:55" ht="15.75" customHeight="1">
      <c r="BC1868" s="169"/>
    </row>
    <row r="1869" spans="55:55" ht="15.75" customHeight="1">
      <c r="BC1869" s="169"/>
    </row>
    <row r="1870" spans="55:55" ht="15.75" customHeight="1">
      <c r="BC1870" s="169"/>
    </row>
    <row r="1871" spans="55:55" ht="15.75" customHeight="1">
      <c r="BC1871" s="169"/>
    </row>
    <row r="1872" spans="55:55" ht="15.75" customHeight="1">
      <c r="BC1872" s="169"/>
    </row>
    <row r="1873" spans="55:55" ht="15.75" customHeight="1">
      <c r="BC1873" s="169"/>
    </row>
    <row r="1874" spans="55:55" ht="15.75" customHeight="1">
      <c r="BC1874" s="169"/>
    </row>
    <row r="1875" spans="55:55" ht="15.75" customHeight="1">
      <c r="BC1875" s="169"/>
    </row>
    <row r="1876" spans="55:55" ht="15.75" customHeight="1">
      <c r="BC1876" s="169"/>
    </row>
    <row r="1877" spans="55:55" ht="15.75" customHeight="1">
      <c r="BC1877" s="169"/>
    </row>
    <row r="1878" spans="55:55" ht="15.75" customHeight="1">
      <c r="BC1878" s="169"/>
    </row>
    <row r="1879" spans="55:55" ht="15.75" customHeight="1">
      <c r="BC1879" s="169"/>
    </row>
    <row r="1880" spans="55:55" ht="15.75" customHeight="1">
      <c r="BC1880" s="169"/>
    </row>
    <row r="1881" spans="55:55" ht="15.75" customHeight="1">
      <c r="BC1881" s="169"/>
    </row>
    <row r="1882" spans="55:55" ht="15.75" customHeight="1">
      <c r="BC1882" s="169"/>
    </row>
    <row r="1883" spans="55:55" ht="15.75" customHeight="1">
      <c r="BC1883" s="169"/>
    </row>
    <row r="1884" spans="55:55" ht="15.75" customHeight="1">
      <c r="BC1884" s="169"/>
    </row>
    <row r="1885" spans="55:55" ht="15.75" customHeight="1">
      <c r="BC1885" s="169"/>
    </row>
    <row r="1886" spans="55:55" ht="15.75" customHeight="1">
      <c r="BC1886" s="169"/>
    </row>
    <row r="1887" spans="55:55" ht="15.75" customHeight="1">
      <c r="BC1887" s="169"/>
    </row>
    <row r="1888" spans="55:55" ht="15.75" customHeight="1">
      <c r="BC1888" s="169"/>
    </row>
    <row r="1889" spans="55:55" ht="15.75" customHeight="1">
      <c r="BC1889" s="169"/>
    </row>
    <row r="1890" spans="55:55" ht="15.75" customHeight="1">
      <c r="BC1890" s="169"/>
    </row>
    <row r="1891" spans="55:55" ht="15.75" customHeight="1">
      <c r="BC1891" s="169"/>
    </row>
    <row r="1892" spans="55:55" ht="15.75" customHeight="1">
      <c r="BC1892" s="169"/>
    </row>
    <row r="1893" spans="55:55" ht="15.75" customHeight="1">
      <c r="BC1893" s="169"/>
    </row>
    <row r="1894" spans="55:55" ht="15.75" customHeight="1">
      <c r="BC1894" s="169"/>
    </row>
    <row r="1895" spans="55:55" ht="15.75" customHeight="1">
      <c r="BC1895" s="169"/>
    </row>
    <row r="1896" spans="55:55" ht="15.75" customHeight="1">
      <c r="BC1896" s="169"/>
    </row>
    <row r="1897" spans="55:55" ht="15.75" customHeight="1">
      <c r="BC1897" s="169"/>
    </row>
    <row r="1898" spans="55:55" ht="15.75" customHeight="1">
      <c r="BC1898" s="169"/>
    </row>
    <row r="1899" spans="55:55" ht="15.75" customHeight="1">
      <c r="BC1899" s="169"/>
    </row>
    <row r="1900" spans="55:55" ht="15.75" customHeight="1">
      <c r="BC1900" s="169"/>
    </row>
    <row r="1901" spans="55:55" ht="15.75" customHeight="1">
      <c r="BC1901" s="169"/>
    </row>
    <row r="1902" spans="55:55" ht="15.75" customHeight="1">
      <c r="BC1902" s="169"/>
    </row>
    <row r="1903" spans="55:55" ht="15.75" customHeight="1">
      <c r="BC1903" s="169"/>
    </row>
    <row r="1904" spans="55:55" ht="15.75" customHeight="1">
      <c r="BC1904" s="169"/>
    </row>
    <row r="1905" spans="55:55" ht="15.75" customHeight="1">
      <c r="BC1905" s="169"/>
    </row>
    <row r="1906" spans="55:55" ht="15.75" customHeight="1">
      <c r="BC1906" s="169"/>
    </row>
    <row r="1907" spans="55:55" ht="15.75" customHeight="1">
      <c r="BC1907" s="169"/>
    </row>
    <row r="1908" spans="55:55" ht="15.75" customHeight="1">
      <c r="BC1908" s="169"/>
    </row>
    <row r="1909" spans="55:55" ht="15.75" customHeight="1">
      <c r="BC1909" s="169"/>
    </row>
    <row r="1910" spans="55:55" ht="15.75" customHeight="1">
      <c r="BC1910" s="169"/>
    </row>
    <row r="1911" spans="55:55" ht="15.75" customHeight="1">
      <c r="BC1911" s="169"/>
    </row>
    <row r="1912" spans="55:55" ht="15.75" customHeight="1">
      <c r="BC1912" s="169"/>
    </row>
    <row r="1913" spans="55:55" ht="15.75" customHeight="1">
      <c r="BC1913" s="169"/>
    </row>
    <row r="1914" spans="55:55" ht="15.75" customHeight="1">
      <c r="BC1914" s="169"/>
    </row>
    <row r="1915" spans="55:55" ht="15.75" customHeight="1">
      <c r="BC1915" s="169"/>
    </row>
    <row r="1916" spans="55:55" ht="15.75" customHeight="1">
      <c r="BC1916" s="169"/>
    </row>
    <row r="1917" spans="55:55" ht="15.75" customHeight="1">
      <c r="BC1917" s="169"/>
    </row>
    <row r="1918" spans="55:55" ht="15.75" customHeight="1">
      <c r="BC1918" s="169"/>
    </row>
    <row r="1919" spans="55:55" ht="15.75" customHeight="1">
      <c r="BC1919" s="169"/>
    </row>
    <row r="1920" spans="55:55" ht="15.75" customHeight="1">
      <c r="BC1920" s="169"/>
    </row>
    <row r="1921" spans="55:55" ht="15.75" customHeight="1">
      <c r="BC1921" s="169"/>
    </row>
    <row r="1922" spans="55:55" ht="15.75" customHeight="1">
      <c r="BC1922" s="169"/>
    </row>
    <row r="1923" spans="55:55" ht="15.75" customHeight="1">
      <c r="BC1923" s="169"/>
    </row>
    <row r="1924" spans="55:55" ht="15.75" customHeight="1">
      <c r="BC1924" s="169"/>
    </row>
    <row r="1925" spans="55:55" ht="15.75" customHeight="1">
      <c r="BC1925" s="169"/>
    </row>
    <row r="1926" spans="55:55" ht="15.75" customHeight="1">
      <c r="BC1926" s="169"/>
    </row>
    <row r="1927" spans="55:55" ht="15.75" customHeight="1">
      <c r="BC1927" s="169"/>
    </row>
    <row r="1928" spans="55:55" ht="15.75" customHeight="1">
      <c r="BC1928" s="169"/>
    </row>
    <row r="1929" spans="55:55" ht="15.75" customHeight="1">
      <c r="BC1929" s="169"/>
    </row>
    <row r="1930" spans="55:55" ht="15.75" customHeight="1">
      <c r="BC1930" s="169"/>
    </row>
    <row r="1931" spans="55:55" ht="15.75" customHeight="1">
      <c r="BC1931" s="169"/>
    </row>
    <row r="1932" spans="55:55" ht="15.75" customHeight="1">
      <c r="BC1932" s="169"/>
    </row>
    <row r="1933" spans="55:55" ht="15.75" customHeight="1">
      <c r="BC1933" s="169"/>
    </row>
    <row r="1934" spans="55:55" ht="15.75" customHeight="1">
      <c r="BC1934" s="169"/>
    </row>
    <row r="1935" spans="55:55" ht="15.75" customHeight="1">
      <c r="BC1935" s="169"/>
    </row>
    <row r="1936" spans="55:55" ht="15.75" customHeight="1">
      <c r="BC1936" s="169"/>
    </row>
    <row r="1937" spans="55:55" ht="15.75" customHeight="1">
      <c r="BC1937" s="169"/>
    </row>
    <row r="1938" spans="55:55" ht="15.75" customHeight="1">
      <c r="BC1938" s="169"/>
    </row>
    <row r="1939" spans="55:55" ht="15.75" customHeight="1">
      <c r="BC1939" s="169"/>
    </row>
    <row r="1940" spans="55:55" ht="15.75" customHeight="1">
      <c r="BC1940" s="169"/>
    </row>
    <row r="1941" spans="55:55" ht="15.75" customHeight="1">
      <c r="BC1941" s="169"/>
    </row>
    <row r="1942" spans="55:55" ht="15.75" customHeight="1">
      <c r="BC1942" s="169"/>
    </row>
    <row r="1943" spans="55:55" ht="15.75" customHeight="1">
      <c r="BC1943" s="169"/>
    </row>
    <row r="1944" spans="55:55" ht="15.75" customHeight="1">
      <c r="BC1944" s="169"/>
    </row>
    <row r="1945" spans="55:55" ht="15.75" customHeight="1">
      <c r="BC1945" s="169"/>
    </row>
    <row r="1946" spans="55:55" ht="15.75" customHeight="1">
      <c r="BC1946" s="169"/>
    </row>
    <row r="1947" spans="55:55" ht="15.75" customHeight="1">
      <c r="BC1947" s="169"/>
    </row>
    <row r="1948" spans="55:55" ht="15.75" customHeight="1">
      <c r="BC1948" s="169"/>
    </row>
    <row r="1949" spans="55:55" ht="15.75" customHeight="1">
      <c r="BC1949" s="169"/>
    </row>
    <row r="1950" spans="55:55" ht="15.75" customHeight="1">
      <c r="BC1950" s="169"/>
    </row>
    <row r="1951" spans="55:55" ht="15.75" customHeight="1">
      <c r="BC1951" s="169"/>
    </row>
    <row r="1952" spans="55:55" ht="15.75" customHeight="1">
      <c r="BC1952" s="169"/>
    </row>
    <row r="1953" spans="55:55" ht="15.75" customHeight="1">
      <c r="BC1953" s="169"/>
    </row>
    <row r="1954" spans="55:55" ht="15.75" customHeight="1">
      <c r="BC1954" s="169"/>
    </row>
    <row r="1955" spans="55:55" ht="15.75" customHeight="1">
      <c r="BC1955" s="169"/>
    </row>
    <row r="1956" spans="55:55" ht="15.75" customHeight="1">
      <c r="BC1956" s="169"/>
    </row>
    <row r="1957" spans="55:55" ht="15.75" customHeight="1">
      <c r="BC1957" s="169"/>
    </row>
  </sheetData>
  <autoFilter ref="A2:BG141" xr:uid="{00000000-0009-0000-0000-000002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autoFilter>
  <mergeCells count="10">
    <mergeCell ref="BD1:BG1"/>
    <mergeCell ref="AN2:AP2"/>
    <mergeCell ref="AQ2:AS2"/>
    <mergeCell ref="AT2:AV2"/>
    <mergeCell ref="A1:BB1"/>
    <mergeCell ref="N2:P2"/>
    <mergeCell ref="T2:V2"/>
    <mergeCell ref="W2:Y2"/>
    <mergeCell ref="Z2:AB2"/>
    <mergeCell ref="AC2:AE2"/>
  </mergeCells>
  <conditionalFormatting sqref="B4:BA126">
    <cfRule type="expression" dxfId="1412" priority="17">
      <formula>$M4="NON DEFINED"</formula>
    </cfRule>
    <cfRule type="expression" dxfId="1411" priority="18">
      <formula>$AY4="N.D."</formula>
    </cfRule>
  </conditionalFormatting>
  <conditionalFormatting sqref="BD5:BE5 BD7:BE7 BD9:BE9 BD11:BE11 BD13:BE13 BD15:BE15 BD17:BE17 BD19:BE19 BD25:BE25 BD29:BE29 BD31:BE31 BD33:BE33 BD35:BE35 BD37:BE37 BD41:BE41 BD43:BE43 BD47:BE47 BD49:BE49 BD51:BE51 BD53:BE53 BD55:BE55 BD57:BE57 BD59:BE59 BD67:BE67 BD71:BE71 BD73:BE73 BD75:BE75 BD77:BE77 BD79:BE79 BD81:BE81 BD87:BE87 BD89:BE89 BD93:BE93 BD95:BE95 BD97:BE97 BD99:BE99 BD101:BE101 BD103:BE103 BD107:BE107 BD109:BE109 BD111:BE111 BD117:BE117 BD119:BE119 BD123:BE123 BD125:BE125 BG5 BG9 BG13 BG15 BG21 BG25 BG27 BG29 BG31 BG33 BG35 BG37 BG39 BG41 BG43 BG45 BG47 BG49 BG51 BG53 BG55 BG57 BG59 BG61 BG63 BG65 BG67 BG69 BG71 BG73 BG75 BG77 BG79 BG83 BG85 BG87 BG89 BG91 BG93 BG95 BG97 BG99 BG101 BG103 BG105 BG107 BG109 BG111 BG113 BG115 BG117 BG119 BG121 BG123 BG125 BD4 BD21:BE21 BD20 BD23:BE23 BD22 BD27:BE27 BD26 BD39:BE39 BD38 BD45:BE45 BD44 BD61:BE61 BD60 BD63:BE63 BD62 BD65:BE65 BD64 BD69:BE69 BD68 BD83:BE83 BD82 BD85:BE85 BD84 BD91:BE91 BD90 BD105:BE105 BD104 BD113:BE113 BD112 BD115:BE115 BD114 BD121:BE121 BD120 BD126">
    <cfRule type="containsBlanks" dxfId="1410" priority="15">
      <formula>LEN(TRIM(BD4))=0</formula>
    </cfRule>
  </conditionalFormatting>
  <conditionalFormatting sqref="BC4:BC126 BC142:BC1957">
    <cfRule type="containsText" dxfId="1409" priority="13" operator="containsText" text="a">
      <formula>NOT(ISERROR(SEARCH("a",BC4)))</formula>
    </cfRule>
    <cfRule type="containsText" dxfId="1408" priority="14" operator="containsText" text="R">
      <formula>NOT(ISERROR(SEARCH("R",BC4)))</formula>
    </cfRule>
  </conditionalFormatting>
  <conditionalFormatting sqref="BA4:BA126">
    <cfRule type="expression" dxfId="1407" priority="12">
      <formula>$BC4="R"</formula>
    </cfRule>
  </conditionalFormatting>
  <conditionalFormatting sqref="A127:BB141">
    <cfRule type="cellIs" dxfId="1406" priority="6" operator="equal">
      <formula>0</formula>
    </cfRule>
  </conditionalFormatting>
  <conditionalFormatting sqref="BC127:BG141">
    <cfRule type="cellIs" dxfId="1405" priority="2" operator="equal">
      <formula>0</formula>
    </cfRule>
  </conditionalFormatting>
  <conditionalFormatting sqref="BC127:BG141 B127:BA141">
    <cfRule type="expression" dxfId="1404" priority="4">
      <formula>$M127="NON DEFINED"</formula>
    </cfRule>
    <cfRule type="expression" dxfId="1403" priority="5">
      <formula>$AY127="N.D."</formula>
    </cfRule>
  </conditionalFormatting>
  <conditionalFormatting sqref="BA127:BA141">
    <cfRule type="expression" dxfId="1402" priority="3">
      <formula>$BC127="R"</formula>
    </cfRule>
  </conditionalFormatting>
  <conditionalFormatting sqref="AN4:AN141">
    <cfRule type="cellIs" dxfId="1401" priority="1" operator="notEqual">
      <formula>5.5</formula>
    </cfRule>
  </conditionalFormatting>
  <printOptions horizontalCentered="1" gridLines="1"/>
  <pageMargins left="0.39370078740157483" right="0.39370078740157483" top="0.78740157480314965" bottom="0.78740157480314965" header="0.31496062992125984" footer="0.31496062992125984"/>
  <pageSetup paperSize="9" scale="53" fitToHeight="0" orientation="landscape" r:id="rId1"/>
  <headerFooter alignWithMargins="0">
    <oddHeader>&amp;L&amp;G&amp;C
LAYOUT AND EQUIPMENT
EP06 TRACK 2 RIS-HER
KP78+500 - 82+550&amp;R&amp;G</oddHeader>
    <oddFooter>&amp;L&amp;G
&amp;F&amp;C&amp;D&amp;RPag &amp;P of &amp;N</oddFooter>
  </headerFooter>
  <ignoredErrors>
    <ignoredError sqref="C127" unlockedFormula="1"/>
  </ignoredError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9"/>
    <pageSetUpPr fitToPage="1"/>
  </sheetPr>
  <dimension ref="A1:BG1997"/>
  <sheetViews>
    <sheetView view="pageBreakPreview" zoomScale="55" zoomScaleNormal="85" zoomScaleSheetLayoutView="55" workbookViewId="0">
      <pane xSplit="2" ySplit="3" topLeftCell="C4" activePane="bottomRight" state="frozen"/>
      <selection activeCell="G124" sqref="G124"/>
      <selection pane="topRight" activeCell="G124" sqref="G124"/>
      <selection pane="bottomLeft" activeCell="G124" sqref="G124"/>
      <selection pane="bottomRight" activeCell="G124" sqref="G124"/>
    </sheetView>
  </sheetViews>
  <sheetFormatPr baseColWidth="10" defaultColWidth="11.453125" defaultRowHeight="12.5"/>
  <cols>
    <col min="1" max="1" width="20.6328125" style="178" customWidth="1"/>
    <col min="2" max="3" width="12.6328125" style="178" customWidth="1"/>
    <col min="4" max="5" width="12.6328125" style="178" hidden="1" customWidth="1"/>
    <col min="6" max="6" width="12.6328125" style="179" customWidth="1"/>
    <col min="7" max="7" width="12.6328125" style="454" customWidth="1"/>
    <col min="8" max="8" width="18.6328125" style="178" customWidth="1"/>
    <col min="9" max="9" width="12.6328125" style="179" customWidth="1"/>
    <col min="10" max="10" width="12.6328125" style="184" customWidth="1"/>
    <col min="11" max="11" width="12.6328125" style="178" customWidth="1"/>
    <col min="12" max="13" width="14.6328125" style="178" customWidth="1"/>
    <col min="14" max="16" width="8.6328125" style="178" hidden="1" customWidth="1"/>
    <col min="17" max="19" width="12.6328125" style="178" hidden="1" customWidth="1"/>
    <col min="20" max="28" width="8.6328125" style="178" hidden="1" customWidth="1"/>
    <col min="29" max="31" width="10.6328125" style="178" hidden="1" customWidth="1"/>
    <col min="32" max="32" width="13.54296875" style="178" hidden="1" customWidth="1"/>
    <col min="33" max="33" width="12.6328125" style="184" hidden="1" customWidth="1"/>
    <col min="34" max="36" width="12.6328125" style="178" hidden="1" customWidth="1"/>
    <col min="37" max="38" width="12.6328125" style="178" customWidth="1"/>
    <col min="39" max="39" width="12.6328125" style="178" hidden="1" customWidth="1"/>
    <col min="40" max="40" width="8.6328125" style="454" hidden="1" customWidth="1"/>
    <col min="41" max="42" width="8.6328125" style="178" hidden="1" customWidth="1"/>
    <col min="43" max="46" width="8.6328125" style="454" hidden="1" customWidth="1"/>
    <col min="47" max="48" width="8.6328125" style="178" hidden="1" customWidth="1"/>
    <col min="49" max="53" width="12.6328125" style="178" customWidth="1"/>
    <col min="54" max="54" width="21.6328125" style="178" customWidth="1"/>
    <col min="55" max="55" width="18" style="178" customWidth="1"/>
    <col min="56" max="59" width="14.54296875" style="1323" customWidth="1"/>
    <col min="60" max="60" width="11.453125" style="178" customWidth="1"/>
    <col min="61" max="16384" width="11.453125" style="178"/>
  </cols>
  <sheetData>
    <row r="1" spans="1:59" ht="35" customHeight="1">
      <c r="A1" s="1602" t="s">
        <v>3447</v>
      </c>
      <c r="B1" s="1602"/>
      <c r="C1" s="1602"/>
      <c r="D1" s="1602"/>
      <c r="E1" s="1602"/>
      <c r="F1" s="1602"/>
      <c r="G1" s="1602"/>
      <c r="H1" s="1602"/>
      <c r="I1" s="1602"/>
      <c r="J1" s="1602"/>
      <c r="K1" s="1602"/>
      <c r="L1" s="1602"/>
      <c r="M1" s="1602"/>
      <c r="N1" s="1602"/>
      <c r="O1" s="1602"/>
      <c r="P1" s="1602"/>
      <c r="Q1" s="1602"/>
      <c r="R1" s="1602"/>
      <c r="S1" s="1602"/>
      <c r="T1" s="1602"/>
      <c r="U1" s="1602"/>
      <c r="V1" s="1602"/>
      <c r="W1" s="1602"/>
      <c r="X1" s="1602"/>
      <c r="Y1" s="1602"/>
      <c r="Z1" s="1602"/>
      <c r="AA1" s="1602"/>
      <c r="AB1" s="1602"/>
      <c r="AC1" s="1602"/>
      <c r="AD1" s="1602"/>
      <c r="AE1" s="1602"/>
      <c r="AF1" s="1602"/>
      <c r="AG1" s="1602"/>
      <c r="AH1" s="1602"/>
      <c r="AI1" s="1602"/>
      <c r="AJ1" s="1602"/>
      <c r="AK1" s="1602"/>
      <c r="AL1" s="1602"/>
      <c r="AM1" s="1602"/>
      <c r="AN1" s="1602"/>
      <c r="AO1" s="1602"/>
      <c r="AP1" s="1602"/>
      <c r="AQ1" s="1602"/>
      <c r="AR1" s="1602"/>
      <c r="AS1" s="1602"/>
      <c r="AT1" s="1602"/>
      <c r="AU1" s="1602"/>
      <c r="AV1" s="1602"/>
      <c r="AW1" s="1602"/>
      <c r="AX1" s="1602"/>
      <c r="AY1" s="1602"/>
      <c r="AZ1" s="1602"/>
      <c r="BA1" s="1602"/>
      <c r="BB1" s="1602"/>
      <c r="BC1" s="693" t="s">
        <v>4947</v>
      </c>
      <c r="BD1" s="1599" t="s">
        <v>4916</v>
      </c>
      <c r="BE1" s="1599"/>
      <c r="BF1" s="1599"/>
      <c r="BG1" s="1599"/>
    </row>
    <row r="2" spans="1:59" s="699" customFormat="1" ht="39">
      <c r="A2" s="1253" t="s">
        <v>4417</v>
      </c>
      <c r="B2" s="1253" t="s">
        <v>4418</v>
      </c>
      <c r="C2" s="882" t="s">
        <v>2315</v>
      </c>
      <c r="D2" s="1253" t="s">
        <v>4419</v>
      </c>
      <c r="E2" s="1253" t="s">
        <v>4855</v>
      </c>
      <c r="F2" s="883" t="s">
        <v>4856</v>
      </c>
      <c r="G2" s="1253" t="s">
        <v>4857</v>
      </c>
      <c r="H2" s="1253" t="s">
        <v>455</v>
      </c>
      <c r="I2" s="883" t="s">
        <v>454</v>
      </c>
      <c r="J2" s="883" t="s">
        <v>4423</v>
      </c>
      <c r="K2" s="1253" t="s">
        <v>1362</v>
      </c>
      <c r="L2" s="1253" t="s">
        <v>456</v>
      </c>
      <c r="M2" s="1253" t="s">
        <v>453</v>
      </c>
      <c r="N2" s="1600" t="s">
        <v>457</v>
      </c>
      <c r="O2" s="1600"/>
      <c r="P2" s="1600"/>
      <c r="Q2" s="1253" t="s">
        <v>4858</v>
      </c>
      <c r="R2" s="1253" t="s">
        <v>4859</v>
      </c>
      <c r="S2" s="1253" t="s">
        <v>4860</v>
      </c>
      <c r="T2" s="1600" t="s">
        <v>4861</v>
      </c>
      <c r="U2" s="1600"/>
      <c r="V2" s="1600"/>
      <c r="W2" s="1600" t="s">
        <v>4862</v>
      </c>
      <c r="X2" s="1600"/>
      <c r="Y2" s="1600"/>
      <c r="Z2" s="1600" t="s">
        <v>4863</v>
      </c>
      <c r="AA2" s="1600"/>
      <c r="AB2" s="1600"/>
      <c r="AC2" s="1600" t="s">
        <v>628</v>
      </c>
      <c r="AD2" s="1600"/>
      <c r="AE2" s="1600"/>
      <c r="AF2" s="1253" t="s">
        <v>4872</v>
      </c>
      <c r="AG2" s="882" t="s">
        <v>4864</v>
      </c>
      <c r="AH2" s="1253" t="s">
        <v>4865</v>
      </c>
      <c r="AI2" s="1253" t="s">
        <v>4866</v>
      </c>
      <c r="AJ2" s="1253" t="s">
        <v>629</v>
      </c>
      <c r="AK2" s="1253" t="s">
        <v>458</v>
      </c>
      <c r="AL2" s="1253" t="s">
        <v>459</v>
      </c>
      <c r="AM2" s="1253" t="s">
        <v>631</v>
      </c>
      <c r="AN2" s="1600" t="s">
        <v>4867</v>
      </c>
      <c r="AO2" s="1600"/>
      <c r="AP2" s="1600"/>
      <c r="AQ2" s="1601" t="s">
        <v>460</v>
      </c>
      <c r="AR2" s="1601"/>
      <c r="AS2" s="1601"/>
      <c r="AT2" s="1600" t="s">
        <v>630</v>
      </c>
      <c r="AU2" s="1600"/>
      <c r="AV2" s="1600"/>
      <c r="AW2" s="1253" t="s">
        <v>4868</v>
      </c>
      <c r="AX2" s="1253" t="s">
        <v>4904</v>
      </c>
      <c r="AY2" s="1253" t="s">
        <v>4869</v>
      </c>
      <c r="AZ2" s="1253" t="s">
        <v>4870</v>
      </c>
      <c r="BA2" s="1253" t="s">
        <v>1670</v>
      </c>
      <c r="BB2" s="1253" t="s">
        <v>4871</v>
      </c>
      <c r="BC2" s="693" t="s">
        <v>4948</v>
      </c>
      <c r="BD2" s="1320" t="s">
        <v>453</v>
      </c>
      <c r="BE2" s="1320" t="s">
        <v>4922</v>
      </c>
      <c r="BF2" s="1320" t="s">
        <v>4915</v>
      </c>
      <c r="BG2" s="1320" t="s">
        <v>457</v>
      </c>
    </row>
    <row r="3" spans="1:59" ht="15.65" customHeight="1">
      <c r="A3" s="1239"/>
      <c r="B3" s="1239"/>
      <c r="C3" s="171"/>
      <c r="D3" s="1239"/>
      <c r="E3" s="1239"/>
      <c r="F3" s="448"/>
      <c r="G3" s="1239"/>
      <c r="H3" s="1239"/>
      <c r="I3" s="448"/>
      <c r="J3" s="171"/>
      <c r="K3" s="1239"/>
      <c r="L3" s="1239"/>
      <c r="M3" s="1239"/>
      <c r="N3" s="878" t="s">
        <v>123</v>
      </c>
      <c r="O3" s="878" t="s">
        <v>124</v>
      </c>
      <c r="P3" s="878" t="s">
        <v>125</v>
      </c>
      <c r="Q3" s="1239"/>
      <c r="R3" s="1239"/>
      <c r="S3" s="1239"/>
      <c r="T3" s="879" t="s">
        <v>126</v>
      </c>
      <c r="U3" s="879" t="s">
        <v>127</v>
      </c>
      <c r="V3" s="879" t="s">
        <v>128</v>
      </c>
      <c r="W3" s="879" t="s">
        <v>129</v>
      </c>
      <c r="X3" s="879" t="s">
        <v>130</v>
      </c>
      <c r="Y3" s="879" t="s">
        <v>131</v>
      </c>
      <c r="Z3" s="879" t="s">
        <v>132</v>
      </c>
      <c r="AA3" s="879" t="s">
        <v>133</v>
      </c>
      <c r="AB3" s="879" t="s">
        <v>134</v>
      </c>
      <c r="AC3" s="879" t="s">
        <v>135</v>
      </c>
      <c r="AD3" s="879" t="s">
        <v>136</v>
      </c>
      <c r="AE3" s="879" t="s">
        <v>137</v>
      </c>
      <c r="AF3" s="1239"/>
      <c r="AG3" s="171"/>
      <c r="AH3" s="1239"/>
      <c r="AI3" s="1239"/>
      <c r="AJ3" s="1239"/>
      <c r="AK3" s="1239"/>
      <c r="AL3" s="1239"/>
      <c r="AM3" s="1239"/>
      <c r="AN3" s="880" t="s">
        <v>129</v>
      </c>
      <c r="AO3" s="879" t="s">
        <v>130</v>
      </c>
      <c r="AP3" s="879" t="s">
        <v>131</v>
      </c>
      <c r="AQ3" s="880" t="s">
        <v>613</v>
      </c>
      <c r="AR3" s="880" t="s">
        <v>614</v>
      </c>
      <c r="AS3" s="880" t="s">
        <v>615</v>
      </c>
      <c r="AT3" s="880" t="s">
        <v>616</v>
      </c>
      <c r="AU3" s="879" t="s">
        <v>617</v>
      </c>
      <c r="AV3" s="879" t="s">
        <v>618</v>
      </c>
      <c r="AW3" s="1239"/>
      <c r="AX3" s="1239"/>
      <c r="AY3" s="1239"/>
      <c r="AZ3" s="1239"/>
      <c r="BA3" s="1239"/>
      <c r="BB3" s="1239"/>
      <c r="BD3" s="1239"/>
      <c r="BE3" s="1239"/>
      <c r="BF3" s="1239"/>
      <c r="BG3" s="1239"/>
    </row>
    <row r="4" spans="1:59" ht="15.65" customHeight="1">
      <c r="A4" s="709" t="s">
        <v>3616</v>
      </c>
      <c r="B4" s="710"/>
      <c r="C4" s="660"/>
      <c r="D4" s="666"/>
      <c r="E4" s="666"/>
      <c r="F4" s="661"/>
      <c r="G4" s="665"/>
      <c r="H4" s="666"/>
      <c r="I4" s="664"/>
      <c r="J4" s="660">
        <f>C5-7.5</f>
        <v>12557.69</v>
      </c>
      <c r="K4" s="666" t="s">
        <v>2787</v>
      </c>
      <c r="L4" s="666"/>
      <c r="M4" s="663"/>
      <c r="N4" s="666"/>
      <c r="O4" s="666"/>
      <c r="P4" s="666"/>
      <c r="Q4" s="663"/>
      <c r="R4" s="663"/>
      <c r="S4" s="665"/>
      <c r="T4" s="663"/>
      <c r="U4" s="663"/>
      <c r="V4" s="663"/>
      <c r="W4" s="663"/>
      <c r="X4" s="663"/>
      <c r="Y4" s="663"/>
      <c r="Z4" s="663"/>
      <c r="AA4" s="663"/>
      <c r="AB4" s="663"/>
      <c r="AC4" s="663"/>
      <c r="AD4" s="663"/>
      <c r="AE4" s="663"/>
      <c r="AF4" s="663"/>
      <c r="AG4" s="660"/>
      <c r="AH4" s="663"/>
      <c r="AI4" s="707"/>
      <c r="AJ4" s="666"/>
      <c r="AK4" s="666"/>
      <c r="AL4" s="666"/>
      <c r="AM4" s="666"/>
      <c r="AN4" s="665"/>
      <c r="AO4" s="666"/>
      <c r="AP4" s="666"/>
      <c r="AQ4" s="665"/>
      <c r="AR4" s="665"/>
      <c r="AS4" s="665"/>
      <c r="AT4" s="665"/>
      <c r="AU4" s="663"/>
      <c r="AV4" s="663"/>
      <c r="AW4" s="663" t="str">
        <f>VLOOKUP(J4,'Foundation Calculation'!$A$2:$C$33,3,1)</f>
        <v>Soil B</v>
      </c>
      <c r="AX4" s="663" t="str">
        <f>VLOOKUP(J4,'Foundation Calculation'!$E$2:$G$33,3,1)</f>
        <v>PT</v>
      </c>
      <c r="AY4" s="665"/>
      <c r="AZ4" s="665">
        <f>IF(AX4="PT",VLOOKUP(K4,'Foundation Calculation'!$K$2:$R$40,VLOOKUP(AW4,'Foundation Calculation'!$I$2:$J$8,2,FALSE),0),IF(AX4="K",VLOOKUP(K4,'Foundation Calculation'!$K$42:$R$80,VLOOKUP(AW4,'Foundation Calculation'!$I$2:$J$8,2,FALSE),0),""))</f>
        <v>3.9</v>
      </c>
      <c r="BA4" s="670" t="s">
        <v>2809</v>
      </c>
      <c r="BB4" s="709"/>
      <c r="BC4" s="169"/>
      <c r="BD4" s="1329"/>
      <c r="BE4" s="1330"/>
      <c r="BF4" s="1330"/>
      <c r="BG4" s="1330"/>
    </row>
    <row r="5" spans="1:59" ht="15.65" customHeight="1">
      <c r="A5" s="709"/>
      <c r="B5" s="664" t="s">
        <v>3582</v>
      </c>
      <c r="C5" s="660">
        <v>12565.19</v>
      </c>
      <c r="D5" s="663"/>
      <c r="E5" s="663"/>
      <c r="F5" s="661">
        <f>-(218^2)/(12577.84-C5)</f>
        <v>-3756.8379446641397</v>
      </c>
      <c r="G5" s="665"/>
      <c r="H5" s="663" t="s">
        <v>138</v>
      </c>
      <c r="I5" s="664" t="s">
        <v>623</v>
      </c>
      <c r="J5" s="660"/>
      <c r="K5" s="663"/>
      <c r="L5" s="666" t="s">
        <v>899</v>
      </c>
      <c r="M5" s="666" t="str">
        <f>IF(AX5="PT",VLOOKUP(L5,'Foundation Calculation'!$V$2:$X$40,VLOOKUP(AX5,'Foundation Calculation'!$I$10:$J$13,2,FALSE),0),IF(AX5="K",VLOOKUP(L5,'Foundation Calculation'!$V$42:$X$80,VLOOKUP(AX5,'Foundation Calculation'!$I$10:$J$13,2,FALSE),0),""))</f>
        <v>C5R</v>
      </c>
      <c r="N5" s="666" t="s">
        <v>143</v>
      </c>
      <c r="O5" s="666"/>
      <c r="P5" s="666"/>
      <c r="Q5" s="663"/>
      <c r="R5" s="663"/>
      <c r="S5" s="665"/>
      <c r="T5" s="663">
        <v>-25</v>
      </c>
      <c r="U5" s="663"/>
      <c r="V5" s="663"/>
      <c r="W5" s="663">
        <v>1.1000000000000001</v>
      </c>
      <c r="X5" s="663"/>
      <c r="Y5" s="663"/>
      <c r="Z5" s="663"/>
      <c r="AA5" s="663"/>
      <c r="AB5" s="663"/>
      <c r="AC5" s="663" t="s">
        <v>1405</v>
      </c>
      <c r="AD5" s="663"/>
      <c r="AE5" s="663"/>
      <c r="AF5" s="663"/>
      <c r="AG5" s="660"/>
      <c r="AH5" s="663"/>
      <c r="AI5" s="707"/>
      <c r="AJ5" s="666"/>
      <c r="AK5" s="666"/>
      <c r="AL5" s="663"/>
      <c r="AM5" s="666" t="s">
        <v>1042</v>
      </c>
      <c r="AN5" s="665">
        <v>5.15</v>
      </c>
      <c r="AO5" s="666"/>
      <c r="AP5" s="666"/>
      <c r="AQ5" s="665"/>
      <c r="AR5" s="665"/>
      <c r="AS5" s="665"/>
      <c r="AT5" s="665"/>
      <c r="AU5" s="663"/>
      <c r="AV5" s="663"/>
      <c r="AW5" s="663" t="str">
        <f>VLOOKUP(C5,'Foundation Calculation'!$A$2:$C$33,3,1)</f>
        <v>Soil B</v>
      </c>
      <c r="AX5" s="663" t="str">
        <f>VLOOKUP(C5,'Foundation Calculation'!$E$2:$G$33,3,1)</f>
        <v>PT</v>
      </c>
      <c r="AY5" s="665">
        <f>IF(AX5="PT",VLOOKUP(L5,'Foundation Calculation'!$K$2:$R$40,VLOOKUP(AW5,'Foundation Calculation'!$I$2:$J$8,2,FALSE),0),IF(AX5="K",VLOOKUP(L5,'Foundation Calculation'!$K$42:$R$80,VLOOKUP(AW5,'Foundation Calculation'!$I$2:$J$8,2,FALSE),0),""))</f>
        <v>3.5</v>
      </c>
      <c r="AZ5" s="665"/>
      <c r="BA5" s="670" t="s">
        <v>2809</v>
      </c>
      <c r="BB5" s="709" t="str">
        <f>Pole_Calculations!A157</f>
        <v>App.7.1-V01-P9.5.1.6</v>
      </c>
      <c r="BC5" s="169"/>
      <c r="BD5" s="1329"/>
      <c r="BE5" s="1329"/>
      <c r="BF5" s="1330"/>
      <c r="BG5" s="1329"/>
    </row>
    <row r="6" spans="1:59" ht="15.65" customHeight="1">
      <c r="A6" s="709"/>
      <c r="B6" s="664"/>
      <c r="C6" s="660"/>
      <c r="D6" s="663"/>
      <c r="E6" s="663"/>
      <c r="F6" s="661"/>
      <c r="G6" s="665"/>
      <c r="H6" s="663"/>
      <c r="I6" s="664"/>
      <c r="J6" s="660"/>
      <c r="K6" s="663"/>
      <c r="L6" s="666"/>
      <c r="M6" s="666"/>
      <c r="N6" s="666"/>
      <c r="O6" s="666"/>
      <c r="P6" s="666"/>
      <c r="Q6" s="663"/>
      <c r="R6" s="663"/>
      <c r="S6" s="665"/>
      <c r="T6" s="663"/>
      <c r="U6" s="663"/>
      <c r="V6" s="663"/>
      <c r="W6" s="663"/>
      <c r="X6" s="663"/>
      <c r="Y6" s="663"/>
      <c r="Z6" s="663"/>
      <c r="AA6" s="663"/>
      <c r="AB6" s="663"/>
      <c r="AC6" s="663"/>
      <c r="AD6" s="663"/>
      <c r="AE6" s="663"/>
      <c r="AF6" s="663"/>
      <c r="AG6" s="660"/>
      <c r="AH6" s="663"/>
      <c r="AI6" s="707"/>
      <c r="AJ6" s="666"/>
      <c r="AK6" s="666"/>
      <c r="AL6" s="663"/>
      <c r="AM6" s="666"/>
      <c r="AN6" s="665"/>
      <c r="AO6" s="666"/>
      <c r="AP6" s="666"/>
      <c r="AQ6" s="665"/>
      <c r="AR6" s="665"/>
      <c r="AS6" s="665"/>
      <c r="AT6" s="665"/>
      <c r="AU6" s="663"/>
      <c r="AV6" s="663"/>
      <c r="AW6" s="663"/>
      <c r="AX6" s="663"/>
      <c r="AY6" s="665"/>
      <c r="AZ6" s="665"/>
      <c r="BA6" s="670"/>
      <c r="BB6" s="709"/>
      <c r="BC6" s="169"/>
      <c r="BD6" s="1330"/>
      <c r="BE6" s="1330"/>
      <c r="BF6" s="1330"/>
      <c r="BG6" s="1330"/>
    </row>
    <row r="7" spans="1:59" ht="15.65" customHeight="1">
      <c r="A7" s="709"/>
      <c r="B7" s="664" t="s">
        <v>4930</v>
      </c>
      <c r="C7" s="660">
        <f>C9-25</f>
        <v>12590.19</v>
      </c>
      <c r="D7" s="663"/>
      <c r="E7" s="663"/>
      <c r="F7" s="661"/>
      <c r="G7" s="665"/>
      <c r="H7" s="663"/>
      <c r="I7" s="664"/>
      <c r="J7" s="660"/>
      <c r="K7" s="663"/>
      <c r="L7" s="663" t="s">
        <v>4420</v>
      </c>
      <c r="M7" s="663" t="s">
        <v>4399</v>
      </c>
      <c r="N7" s="666"/>
      <c r="O7" s="666"/>
      <c r="P7" s="666"/>
      <c r="Q7" s="663"/>
      <c r="R7" s="663"/>
      <c r="S7" s="665"/>
      <c r="T7" s="663"/>
      <c r="U7" s="663"/>
      <c r="V7" s="663"/>
      <c r="W7" s="663"/>
      <c r="X7" s="663"/>
      <c r="Y7" s="663"/>
      <c r="Z7" s="663"/>
      <c r="AA7" s="663"/>
      <c r="AB7" s="663"/>
      <c r="AC7" s="663"/>
      <c r="AD7" s="663"/>
      <c r="AE7" s="663"/>
      <c r="AF7" s="663"/>
      <c r="AG7" s="660"/>
      <c r="AH7" s="663"/>
      <c r="AI7" s="707"/>
      <c r="AJ7" s="666"/>
      <c r="AK7" s="666"/>
      <c r="AL7" s="663"/>
      <c r="AM7" s="666"/>
      <c r="AN7" s="665"/>
      <c r="AO7" s="666"/>
      <c r="AP7" s="666"/>
      <c r="AQ7" s="665"/>
      <c r="AR7" s="665"/>
      <c r="AS7" s="665"/>
      <c r="AT7" s="665"/>
      <c r="AU7" s="663"/>
      <c r="AV7" s="663"/>
      <c r="AW7" s="663" t="str">
        <f>VLOOKUP(C7,'Foundation Calculation'!$A$2:$C$33,3,1)</f>
        <v>Soil B</v>
      </c>
      <c r="AX7" s="663" t="str">
        <f>VLOOKUP(C7,'Foundation Calculation'!$E$2:$G$33,3,1)</f>
        <v>PT</v>
      </c>
      <c r="AY7" s="665">
        <v>1.2</v>
      </c>
      <c r="AZ7" s="665"/>
      <c r="BA7" s="670" t="s">
        <v>2809</v>
      </c>
      <c r="BB7" s="709"/>
      <c r="BC7" s="169"/>
      <c r="BD7" s="1329"/>
      <c r="BE7" s="1329"/>
      <c r="BF7" s="1330"/>
      <c r="BG7" s="1330"/>
    </row>
    <row r="8" spans="1:59" ht="15.65" customHeight="1">
      <c r="A8" s="709"/>
      <c r="B8" s="708"/>
      <c r="C8" s="660"/>
      <c r="D8" s="663"/>
      <c r="E8" s="663"/>
      <c r="F8" s="661"/>
      <c r="G8" s="662">
        <v>50</v>
      </c>
      <c r="H8" s="663"/>
      <c r="I8" s="664" t="s">
        <v>1471</v>
      </c>
      <c r="J8" s="660">
        <f>C9-7.5</f>
        <v>12607.69</v>
      </c>
      <c r="K8" s="663" t="s">
        <v>2788</v>
      </c>
      <c r="L8" s="666"/>
      <c r="M8" s="663"/>
      <c r="N8" s="658"/>
      <c r="O8" s="658"/>
      <c r="P8" s="663"/>
      <c r="Q8" s="663"/>
      <c r="R8" s="663"/>
      <c r="S8" s="665"/>
      <c r="T8" s="663"/>
      <c r="U8" s="663"/>
      <c r="V8" s="663"/>
      <c r="W8" s="663"/>
      <c r="X8" s="663"/>
      <c r="Y8" s="663"/>
      <c r="Z8" s="663"/>
      <c r="AA8" s="663"/>
      <c r="AB8" s="663"/>
      <c r="AC8" s="663"/>
      <c r="AD8" s="663"/>
      <c r="AE8" s="663"/>
      <c r="AF8" s="663"/>
      <c r="AG8" s="660"/>
      <c r="AH8" s="663"/>
      <c r="AI8" s="707"/>
      <c r="AJ8" s="666"/>
      <c r="AK8" s="658"/>
      <c r="AL8" s="663"/>
      <c r="AM8" s="663"/>
      <c r="AN8" s="662"/>
      <c r="AO8" s="658"/>
      <c r="AP8" s="666"/>
      <c r="AQ8" s="665">
        <f>+FL_2($U$9,$T$5,$G$8,1200,9.28,-1*$F$9)</f>
        <v>-0.34834769999999993</v>
      </c>
      <c r="AR8" s="665"/>
      <c r="AS8" s="665"/>
      <c r="AT8" s="665"/>
      <c r="AU8" s="663"/>
      <c r="AV8" s="663"/>
      <c r="AW8" s="663" t="str">
        <f>VLOOKUP(J8,'Foundation Calculation'!$A$2:$C$33,3,1)</f>
        <v>Soil B</v>
      </c>
      <c r="AX8" s="663" t="str">
        <f>VLOOKUP(J8,'Foundation Calculation'!$E$2:$G$33,3,1)</f>
        <v>PT</v>
      </c>
      <c r="AY8" s="665"/>
      <c r="AZ8" s="665">
        <f>IF(AX8="PT",VLOOKUP(K8,'Foundation Calculation'!$K$2:$R$40,VLOOKUP(AW8,'Foundation Calculation'!$I$2:$J$8,2,FALSE),0),IF(AX8="K",VLOOKUP(K8,'Foundation Calculation'!$K$42:$R$80,VLOOKUP(AW8,'Foundation Calculation'!$I$2:$J$8,2,FALSE),0),""))</f>
        <v>2.8</v>
      </c>
      <c r="BA8" s="670" t="s">
        <v>2809</v>
      </c>
      <c r="BB8" s="709"/>
      <c r="BC8" s="169"/>
      <c r="BD8" s="1329"/>
      <c r="BE8" s="1330"/>
      <c r="BF8" s="1330"/>
      <c r="BG8" s="1330"/>
    </row>
    <row r="9" spans="1:59" ht="15.65" customHeight="1">
      <c r="A9" s="709" t="s">
        <v>3617</v>
      </c>
      <c r="B9" s="708" t="s">
        <v>3584</v>
      </c>
      <c r="C9" s="660">
        <f>+$C$5+$G$8</f>
        <v>12615.19</v>
      </c>
      <c r="D9" s="663"/>
      <c r="E9" s="663"/>
      <c r="F9" s="664">
        <v>0</v>
      </c>
      <c r="G9" s="665"/>
      <c r="H9" s="663" t="s">
        <v>619</v>
      </c>
      <c r="I9" s="661" t="s">
        <v>1429</v>
      </c>
      <c r="J9" s="660"/>
      <c r="K9" s="663"/>
      <c r="L9" s="666" t="s">
        <v>1697</v>
      </c>
      <c r="M9" s="666" t="str">
        <f>IF(AX9="PT",VLOOKUP(L9,'Foundation Calculation'!$V$2:$X$40,VLOOKUP(AX9,'Foundation Calculation'!$I$10:$J$13,2,FALSE),0),IF(AX9="K",VLOOKUP(L9,'Foundation Calculation'!$V$42:$X$80,VLOOKUP(AX9,'Foundation Calculation'!$I$10:$J$13,2,FALSE),0),""))</f>
        <v>2C3R</v>
      </c>
      <c r="N9" s="658" t="s">
        <v>140</v>
      </c>
      <c r="O9" s="658" t="s">
        <v>144</v>
      </c>
      <c r="P9" s="663"/>
      <c r="Q9" s="663"/>
      <c r="R9" s="663"/>
      <c r="S9" s="665"/>
      <c r="T9" s="663">
        <v>55</v>
      </c>
      <c r="U9" s="663">
        <v>10</v>
      </c>
      <c r="V9" s="663"/>
      <c r="W9" s="663">
        <v>1.1000000000000001</v>
      </c>
      <c r="X9" s="663">
        <v>1.6</v>
      </c>
      <c r="Y9" s="663"/>
      <c r="Z9" s="663">
        <v>0.45</v>
      </c>
      <c r="AA9" s="663"/>
      <c r="AB9" s="663"/>
      <c r="AC9" s="663"/>
      <c r="AD9" s="663"/>
      <c r="AE9" s="663"/>
      <c r="AF9" s="663"/>
      <c r="AG9" s="660"/>
      <c r="AH9" s="663"/>
      <c r="AI9" s="707"/>
      <c r="AJ9" s="666" t="s">
        <v>3048</v>
      </c>
      <c r="AK9" s="658"/>
      <c r="AL9" s="663"/>
      <c r="AM9" s="663" t="s">
        <v>1043</v>
      </c>
      <c r="AN9" s="665">
        <v>5.15</v>
      </c>
      <c r="AO9" s="658"/>
      <c r="AP9" s="666"/>
      <c r="AQ9" s="665"/>
      <c r="AR9" s="665"/>
      <c r="AS9" s="665"/>
      <c r="AT9" s="665">
        <f>+ab($U$9,$T$5,$U$13,$G$8,47,-1*$F$9,1200)</f>
        <v>9.134216045109401</v>
      </c>
      <c r="AU9" s="663"/>
      <c r="AV9" s="663"/>
      <c r="AW9" s="663" t="str">
        <f>VLOOKUP(C9,'Foundation Calculation'!$A$2:$C$33,3,1)</f>
        <v>Soil B</v>
      </c>
      <c r="AX9" s="663" t="str">
        <f>VLOOKUP(C9,'Foundation Calculation'!$E$2:$G$33,3,1)</f>
        <v>PT</v>
      </c>
      <c r="AY9" s="665">
        <f>IF(AX9="PT",VLOOKUP(L9,'Foundation Calculation'!$K$2:$R$40,VLOOKUP(AW9,'Foundation Calculation'!$I$2:$J$8,2,FALSE),0),IF(AX9="K",VLOOKUP(L9,'Foundation Calculation'!$K$42:$R$80,VLOOKUP(AW9,'Foundation Calculation'!$I$2:$J$8,2,FALSE),0),""))</f>
        <v>3.5</v>
      </c>
      <c r="AZ9" s="665"/>
      <c r="BA9" s="670" t="s">
        <v>2809</v>
      </c>
      <c r="BB9" s="709" t="str">
        <f>Pole_Calculations!A156</f>
        <v>App.7.1-V01-P9.5.1.5</v>
      </c>
      <c r="BC9" s="169"/>
      <c r="BD9" s="1329"/>
      <c r="BE9" s="1329"/>
      <c r="BF9" s="1330"/>
      <c r="BG9" s="1329"/>
    </row>
    <row r="10" spans="1:59" ht="15.65" customHeight="1">
      <c r="A10" s="709"/>
      <c r="B10" s="708"/>
      <c r="C10" s="660"/>
      <c r="D10" s="663"/>
      <c r="E10" s="663"/>
      <c r="F10" s="664"/>
      <c r="G10" s="665">
        <v>42</v>
      </c>
      <c r="H10" s="658"/>
      <c r="I10" s="664" t="s">
        <v>1039</v>
      </c>
      <c r="J10" s="660">
        <f>C9+7.5</f>
        <v>12622.69</v>
      </c>
      <c r="K10" s="663" t="s">
        <v>2788</v>
      </c>
      <c r="L10" s="666"/>
      <c r="M10" s="663"/>
      <c r="N10" s="658"/>
      <c r="O10" s="658"/>
      <c r="P10" s="663"/>
      <c r="Q10" s="663"/>
      <c r="R10" s="663"/>
      <c r="S10" s="665"/>
      <c r="T10" s="663"/>
      <c r="U10" s="663"/>
      <c r="V10" s="663"/>
      <c r="W10" s="663"/>
      <c r="X10" s="663"/>
      <c r="Y10" s="663"/>
      <c r="Z10" s="663"/>
      <c r="AA10" s="663"/>
      <c r="AB10" s="663"/>
      <c r="AC10" s="663"/>
      <c r="AD10" s="663"/>
      <c r="AE10" s="663"/>
      <c r="AF10" s="663"/>
      <c r="AG10" s="660"/>
      <c r="AH10" s="663"/>
      <c r="AI10" s="663"/>
      <c r="AJ10" s="666" t="s">
        <v>1360</v>
      </c>
      <c r="AK10" s="658"/>
      <c r="AL10" s="663"/>
      <c r="AM10" s="663"/>
      <c r="AN10" s="662"/>
      <c r="AO10" s="658"/>
      <c r="AP10" s="666"/>
      <c r="AQ10" s="665">
        <f>+FL_1($T$13,$T$9,47,1200,9.28,-1*$F$13)</f>
        <v>0.5621980944113476</v>
      </c>
      <c r="AR10" s="665"/>
      <c r="AS10" s="665"/>
      <c r="AT10" s="665"/>
      <c r="AU10" s="663"/>
      <c r="AV10" s="663"/>
      <c r="AW10" s="663" t="str">
        <f>VLOOKUP(J10,'Foundation Calculation'!$A$2:$C$33,3,1)</f>
        <v>Soil B</v>
      </c>
      <c r="AX10" s="663" t="str">
        <f>VLOOKUP(J10,'Foundation Calculation'!$E$2:$G$33,3,1)</f>
        <v>PT</v>
      </c>
      <c r="AY10" s="665"/>
      <c r="AZ10" s="665">
        <f>IF(AX10="PT",VLOOKUP(K10,'Foundation Calculation'!$K$2:$R$40,VLOOKUP(AW10,'Foundation Calculation'!$I$2:$J$8,2,FALSE),0),IF(AX10="K",VLOOKUP(K10,'Foundation Calculation'!$K$42:$R$80,VLOOKUP(AW10,'Foundation Calculation'!$I$2:$J$8,2,FALSE),0),""))</f>
        <v>2.8</v>
      </c>
      <c r="BA10" s="670" t="s">
        <v>2809</v>
      </c>
      <c r="BB10" s="709"/>
      <c r="BC10" s="169"/>
      <c r="BD10" s="1329"/>
      <c r="BE10" s="1330"/>
      <c r="BF10" s="1330"/>
      <c r="BG10" s="1330"/>
    </row>
    <row r="11" spans="1:59" ht="15.65" customHeight="1">
      <c r="A11" s="664"/>
      <c r="B11" s="708" t="s">
        <v>3585</v>
      </c>
      <c r="C11" s="660">
        <f>+$C$9+$G$10</f>
        <v>12657.19</v>
      </c>
      <c r="D11" s="663"/>
      <c r="E11" s="663"/>
      <c r="F11" s="664">
        <v>0</v>
      </c>
      <c r="G11" s="665"/>
      <c r="H11" s="658"/>
      <c r="I11" s="661"/>
      <c r="J11" s="660"/>
      <c r="K11" s="663"/>
      <c r="L11" s="666" t="s">
        <v>1699</v>
      </c>
      <c r="M11" s="666" t="str">
        <f>IF(AX11="PT",VLOOKUP(L11,'Foundation Calculation'!$V$2:$X$40,VLOOKUP(AX11,'Foundation Calculation'!$I$10:$J$13,2,FALSE),0),IF(AX11="K",VLOOKUP(L11,'Foundation Calculation'!$V$42:$X$80,VLOOKUP(AX11,'Foundation Calculation'!$I$10:$J$13,2,FALSE),0),""))</f>
        <v>C7R</v>
      </c>
      <c r="N11" s="658"/>
      <c r="O11" s="658"/>
      <c r="P11" s="663"/>
      <c r="Q11" s="663"/>
      <c r="R11" s="663"/>
      <c r="S11" s="665"/>
      <c r="T11" s="663"/>
      <c r="U11" s="663"/>
      <c r="V11" s="663"/>
      <c r="W11" s="663"/>
      <c r="X11" s="663"/>
      <c r="Y11" s="663"/>
      <c r="Z11" s="663"/>
      <c r="AA11" s="663"/>
      <c r="AB11" s="663"/>
      <c r="AC11" s="663"/>
      <c r="AD11" s="663"/>
      <c r="AE11" s="663"/>
      <c r="AF11" s="663"/>
      <c r="AG11" s="660"/>
      <c r="AH11" s="663"/>
      <c r="AI11" s="663"/>
      <c r="AJ11" s="666"/>
      <c r="AK11" s="658"/>
      <c r="AL11" s="663"/>
      <c r="AM11" s="663" t="s">
        <v>1043</v>
      </c>
      <c r="AN11" s="665">
        <v>5.15</v>
      </c>
      <c r="AO11" s="658"/>
      <c r="AP11" s="666"/>
      <c r="AQ11" s="665"/>
      <c r="AR11" s="665"/>
      <c r="AS11" s="665"/>
      <c r="AT11" s="665"/>
      <c r="AU11" s="663"/>
      <c r="AV11" s="663"/>
      <c r="AW11" s="663" t="str">
        <f>VLOOKUP(C11,'Foundation Calculation'!$A$2:$C$33,3,1)</f>
        <v>Soil B</v>
      </c>
      <c r="AX11" s="663" t="str">
        <f>VLOOKUP(C11,'Foundation Calculation'!$E$2:$G$33,3,1)</f>
        <v>PT</v>
      </c>
      <c r="AY11" s="665">
        <f>IF(AX11="PT",VLOOKUP(L11,'Foundation Calculation'!$K$2:$R$40,VLOOKUP(AW11,'Foundation Calculation'!$I$2:$J$8,2,FALSE),0),IF(AX11="K",VLOOKUP(L11,'Foundation Calculation'!$K$42:$R$80,VLOOKUP(AW11,'Foundation Calculation'!$I$2:$J$8,2,FALSE),0),""))</f>
        <v>4.4000000000000004</v>
      </c>
      <c r="AZ11" s="665"/>
      <c r="BA11" s="670" t="s">
        <v>2809</v>
      </c>
      <c r="BB11" s="664" t="str">
        <f>Pole_Calculations!A136</f>
        <v>App.7-V11A-P12.3.1.1</v>
      </c>
      <c r="BC11" s="169"/>
      <c r="BD11" s="1329"/>
      <c r="BE11" s="1329"/>
      <c r="BF11" s="1330"/>
      <c r="BG11" s="1330"/>
    </row>
    <row r="12" spans="1:59" ht="15.65" customHeight="1">
      <c r="A12" s="658"/>
      <c r="B12" s="708"/>
      <c r="C12" s="660"/>
      <c r="D12" s="663"/>
      <c r="E12" s="663"/>
      <c r="F12" s="664"/>
      <c r="G12" s="665">
        <v>5</v>
      </c>
      <c r="H12" s="663"/>
      <c r="I12" s="661"/>
      <c r="J12" s="660"/>
      <c r="K12" s="663"/>
      <c r="L12" s="666"/>
      <c r="M12" s="663"/>
      <c r="N12" s="658"/>
      <c r="O12" s="658"/>
      <c r="P12" s="663"/>
      <c r="Q12" s="663"/>
      <c r="R12" s="663"/>
      <c r="S12" s="665"/>
      <c r="T12" s="663"/>
      <c r="U12" s="663"/>
      <c r="V12" s="663"/>
      <c r="W12" s="663"/>
      <c r="X12" s="663"/>
      <c r="Y12" s="663"/>
      <c r="Z12" s="663"/>
      <c r="AA12" s="663"/>
      <c r="AB12" s="663"/>
      <c r="AC12" s="663"/>
      <c r="AD12" s="663"/>
      <c r="AE12" s="663"/>
      <c r="AF12" s="663"/>
      <c r="AG12" s="660"/>
      <c r="AH12" s="663"/>
      <c r="AI12" s="707"/>
      <c r="AJ12" s="666"/>
      <c r="AK12" s="658"/>
      <c r="AL12" s="663"/>
      <c r="AM12" s="663"/>
      <c r="AN12" s="662"/>
      <c r="AO12" s="658"/>
      <c r="AP12" s="658"/>
      <c r="AQ12" s="665"/>
      <c r="AR12" s="665"/>
      <c r="AS12" s="665"/>
      <c r="AT12" s="665"/>
      <c r="AU12" s="663"/>
      <c r="AV12" s="663"/>
      <c r="AW12" s="663"/>
      <c r="AX12" s="663"/>
      <c r="AY12" s="665"/>
      <c r="AZ12" s="665"/>
      <c r="BA12" s="670"/>
      <c r="BB12" s="658"/>
      <c r="BC12" s="169"/>
      <c r="BD12" s="1330"/>
      <c r="BE12" s="1330"/>
      <c r="BF12" s="1330"/>
      <c r="BG12" s="1330"/>
    </row>
    <row r="13" spans="1:59" ht="15.65" customHeight="1">
      <c r="A13" s="709" t="s">
        <v>3618</v>
      </c>
      <c r="B13" s="708" t="s">
        <v>3586</v>
      </c>
      <c r="C13" s="660">
        <f>+$C$11+$G$12</f>
        <v>12662.19</v>
      </c>
      <c r="D13" s="663"/>
      <c r="E13" s="663"/>
      <c r="F13" s="664">
        <v>0</v>
      </c>
      <c r="G13" s="665"/>
      <c r="H13" s="658" t="s">
        <v>619</v>
      </c>
      <c r="I13" s="661" t="s">
        <v>1429</v>
      </c>
      <c r="J13" s="660"/>
      <c r="K13" s="663"/>
      <c r="L13" s="666" t="s">
        <v>230</v>
      </c>
      <c r="M13" s="666" t="str">
        <f>IF(AX13="PT",VLOOKUP(L13,'Foundation Calculation'!$V$2:$X$40,VLOOKUP(AX13,'Foundation Calculation'!$I$10:$J$13,2,FALSE),0),IF(AX13="K",VLOOKUP(L13,'Foundation Calculation'!$V$42:$X$80,VLOOKUP(AX13,'Foundation Calculation'!$I$10:$J$13,2,FALSE),0),""))</f>
        <v>C4R</v>
      </c>
      <c r="N13" s="658" t="s">
        <v>143</v>
      </c>
      <c r="O13" s="658" t="s">
        <v>140</v>
      </c>
      <c r="P13" s="663"/>
      <c r="Q13" s="663"/>
      <c r="R13" s="663"/>
      <c r="S13" s="665"/>
      <c r="T13" s="663">
        <v>-10</v>
      </c>
      <c r="U13" s="663">
        <v>-55</v>
      </c>
      <c r="V13" s="663"/>
      <c r="W13" s="663">
        <v>1.4</v>
      </c>
      <c r="X13" s="663">
        <v>2</v>
      </c>
      <c r="Y13" s="663"/>
      <c r="Z13" s="663"/>
      <c r="AA13" s="663">
        <v>0.45</v>
      </c>
      <c r="AB13" s="663"/>
      <c r="AC13" s="663" t="str">
        <f>IF(OR(AT13&gt;8,AT13&lt;-8),"PH",IF(OR(AT13&gt;5,AT13&lt;-5),"PH-Q",IF(OR(AT13&gt;1,AT13&lt;-1),"PH-C")))</f>
        <v>PH-Q</v>
      </c>
      <c r="AD13" s="663"/>
      <c r="AE13" s="663"/>
      <c r="AF13" s="663"/>
      <c r="AG13" s="660"/>
      <c r="AH13" s="663"/>
      <c r="AI13" s="707"/>
      <c r="AJ13" s="666" t="s">
        <v>3048</v>
      </c>
      <c r="AK13" s="658"/>
      <c r="AL13" s="663"/>
      <c r="AM13" s="663" t="s">
        <v>1043</v>
      </c>
      <c r="AN13" s="665">
        <v>5.15</v>
      </c>
      <c r="AO13" s="658"/>
      <c r="AP13" s="658"/>
      <c r="AQ13" s="665"/>
      <c r="AR13" s="665"/>
      <c r="AS13" s="665"/>
      <c r="AT13" s="665">
        <f>+ab($T$13,$T$9,$T$15,$G$10,47,-1*$F$11,1200)</f>
        <v>-6.5196266282936826</v>
      </c>
      <c r="AU13" s="663"/>
      <c r="AV13" s="663"/>
      <c r="AW13" s="663" t="str">
        <f>VLOOKUP(C13,'Foundation Calculation'!$A$2:$C$33,3,1)</f>
        <v>Soil B</v>
      </c>
      <c r="AX13" s="663" t="str">
        <f>VLOOKUP(C13,'Foundation Calculation'!$E$2:$G$33,3,1)</f>
        <v>PT</v>
      </c>
      <c r="AY13" s="665">
        <f>IF(AX13="PT",VLOOKUP(L13,'Foundation Calculation'!$K$2:$R$40,VLOOKUP(AW13,'Foundation Calculation'!$I$2:$J$8,2,FALSE),0),IF(AX13="K",VLOOKUP(L13,'Foundation Calculation'!$K$42:$R$80,VLOOKUP(AW13,'Foundation Calculation'!$I$2:$J$8,2,FALSE),0),""))</f>
        <v>3.5</v>
      </c>
      <c r="AZ13" s="665"/>
      <c r="BA13" s="670" t="s">
        <v>2809</v>
      </c>
      <c r="BB13" s="709" t="str">
        <f>Pole_Calculations!A156</f>
        <v>App.7.1-V01-P9.5.1.5</v>
      </c>
      <c r="BC13" s="169"/>
      <c r="BD13" s="1329"/>
      <c r="BE13" s="1329"/>
      <c r="BF13" s="1330"/>
      <c r="BG13" s="1329"/>
    </row>
    <row r="14" spans="1:59" ht="15.65" customHeight="1">
      <c r="A14" s="658"/>
      <c r="B14" s="708"/>
      <c r="C14" s="660"/>
      <c r="D14" s="663"/>
      <c r="E14" s="663"/>
      <c r="F14" s="664"/>
      <c r="G14" s="665">
        <v>47</v>
      </c>
      <c r="H14" s="663"/>
      <c r="I14" s="661"/>
      <c r="J14" s="660"/>
      <c r="K14" s="663"/>
      <c r="L14" s="666"/>
      <c r="M14" s="663"/>
      <c r="N14" s="658"/>
      <c r="O14" s="663"/>
      <c r="P14" s="663"/>
      <c r="Q14" s="663"/>
      <c r="R14" s="663"/>
      <c r="S14" s="665"/>
      <c r="T14" s="663"/>
      <c r="U14" s="663"/>
      <c r="V14" s="663"/>
      <c r="W14" s="663"/>
      <c r="X14" s="663"/>
      <c r="Y14" s="663"/>
      <c r="Z14" s="663"/>
      <c r="AA14" s="663"/>
      <c r="AB14" s="663"/>
      <c r="AC14" s="663"/>
      <c r="AD14" s="663"/>
      <c r="AE14" s="663"/>
      <c r="AF14" s="663"/>
      <c r="AG14" s="660"/>
      <c r="AH14" s="663"/>
      <c r="AI14" s="707"/>
      <c r="AJ14" s="666"/>
      <c r="AK14" s="658"/>
      <c r="AL14" s="663"/>
      <c r="AM14" s="663"/>
      <c r="AN14" s="662"/>
      <c r="AO14" s="658"/>
      <c r="AP14" s="658"/>
      <c r="AQ14" s="665">
        <f>+FL_2($T$15,$T$13,$G$14,1200,9.28,-1*$F$15)</f>
        <v>-0.11219809441134755</v>
      </c>
      <c r="AR14" s="665"/>
      <c r="AS14" s="665"/>
      <c r="AT14" s="665"/>
      <c r="AU14" s="663"/>
      <c r="AV14" s="663"/>
      <c r="AW14" s="663"/>
      <c r="AX14" s="663"/>
      <c r="AY14" s="665"/>
      <c r="AZ14" s="665"/>
      <c r="BA14" s="670"/>
      <c r="BB14" s="658"/>
      <c r="BC14" s="169"/>
      <c r="BD14" s="1330"/>
      <c r="BE14" s="1330"/>
      <c r="BF14" s="1330"/>
      <c r="BG14" s="1330"/>
    </row>
    <row r="15" spans="1:59" ht="15.65" customHeight="1">
      <c r="A15" s="658"/>
      <c r="B15" s="708" t="s">
        <v>3587</v>
      </c>
      <c r="C15" s="660">
        <f>+$C$13+$G$14</f>
        <v>12709.19</v>
      </c>
      <c r="D15" s="664"/>
      <c r="E15" s="664"/>
      <c r="F15" s="664">
        <v>0</v>
      </c>
      <c r="G15" s="665"/>
      <c r="H15" s="658" t="s">
        <v>619</v>
      </c>
      <c r="I15" s="661"/>
      <c r="J15" s="660"/>
      <c r="K15" s="663"/>
      <c r="L15" s="666" t="s">
        <v>230</v>
      </c>
      <c r="M15" s="666" t="str">
        <f>IF(AX15="PT",VLOOKUP(L15,'Foundation Calculation'!$V$2:$X$40,VLOOKUP(AX15,'Foundation Calculation'!$I$10:$J$13,2,FALSE),0),IF(AX15="K",VLOOKUP(L15,'Foundation Calculation'!$V$42:$X$80,VLOOKUP(AX15,'Foundation Calculation'!$I$10:$J$13,2,FALSE),0),""))</f>
        <v>C4R</v>
      </c>
      <c r="N15" s="658" t="s">
        <v>140</v>
      </c>
      <c r="O15" s="658" t="s">
        <v>144</v>
      </c>
      <c r="P15" s="663"/>
      <c r="Q15" s="663"/>
      <c r="R15" s="663"/>
      <c r="S15" s="665"/>
      <c r="T15" s="663">
        <v>55</v>
      </c>
      <c r="U15" s="663">
        <v>10</v>
      </c>
      <c r="V15" s="663"/>
      <c r="W15" s="663">
        <v>1.4</v>
      </c>
      <c r="X15" s="663">
        <v>2.2999999999999998</v>
      </c>
      <c r="Y15" s="663"/>
      <c r="Z15" s="663">
        <v>0.45</v>
      </c>
      <c r="AA15" s="663"/>
      <c r="AB15" s="663"/>
      <c r="AC15" s="663"/>
      <c r="AD15" s="663"/>
      <c r="AE15" s="663"/>
      <c r="AF15" s="663"/>
      <c r="AG15" s="660"/>
      <c r="AH15" s="663"/>
      <c r="AI15" s="707"/>
      <c r="AJ15" s="666"/>
      <c r="AK15" s="658"/>
      <c r="AL15" s="663"/>
      <c r="AM15" s="663" t="s">
        <v>1043</v>
      </c>
      <c r="AN15" s="665">
        <v>5.15</v>
      </c>
      <c r="AO15" s="658"/>
      <c r="AP15" s="658"/>
      <c r="AQ15" s="665"/>
      <c r="AR15" s="665"/>
      <c r="AS15" s="665"/>
      <c r="AT15" s="665">
        <f>+ab($T$15,$T$13,$T$19,$G$14,47,-1*$F$15,1200)</f>
        <v>6.9040356796466309</v>
      </c>
      <c r="AU15" s="663"/>
      <c r="AV15" s="663"/>
      <c r="AW15" s="663" t="str">
        <f>VLOOKUP(C15,'Foundation Calculation'!$A$2:$C$33,3,1)</f>
        <v>Soil B</v>
      </c>
      <c r="AX15" s="663" t="str">
        <f>VLOOKUP(C15,'Foundation Calculation'!$E$2:$G$33,3,1)</f>
        <v>PT</v>
      </c>
      <c r="AY15" s="665">
        <f>IF(AX15="PT",VLOOKUP(L15,'Foundation Calculation'!$K$2:$R$40,VLOOKUP(AW15,'Foundation Calculation'!$I$2:$J$8,2,FALSE),0),IF(AX15="K",VLOOKUP(L15,'Foundation Calculation'!$K$42:$R$80,VLOOKUP(AW15,'Foundation Calculation'!$I$2:$J$8,2,FALSE),0),""))</f>
        <v>3.5</v>
      </c>
      <c r="AZ15" s="665"/>
      <c r="BA15" s="670" t="s">
        <v>2809</v>
      </c>
      <c r="BB15" s="709" t="str">
        <f>Pole_Calculations!A156</f>
        <v>App.7.1-V01-P9.5.1.5</v>
      </c>
      <c r="BC15" s="169"/>
      <c r="BD15" s="1329"/>
      <c r="BE15" s="1329"/>
      <c r="BF15" s="1330"/>
      <c r="BG15" s="1329"/>
    </row>
    <row r="16" spans="1:59" ht="15.65" customHeight="1">
      <c r="A16" s="658"/>
      <c r="B16" s="708"/>
      <c r="C16" s="660"/>
      <c r="D16" s="664"/>
      <c r="E16" s="664"/>
      <c r="F16" s="664"/>
      <c r="G16" s="665">
        <v>5</v>
      </c>
      <c r="H16" s="663"/>
      <c r="I16" s="661"/>
      <c r="J16" s="660"/>
      <c r="K16" s="663"/>
      <c r="L16" s="666"/>
      <c r="M16" s="663"/>
      <c r="N16" s="658"/>
      <c r="O16" s="658"/>
      <c r="P16" s="663"/>
      <c r="Q16" s="663"/>
      <c r="R16" s="663"/>
      <c r="S16" s="665"/>
      <c r="T16" s="663"/>
      <c r="U16" s="663"/>
      <c r="V16" s="663"/>
      <c r="W16" s="663"/>
      <c r="X16" s="663"/>
      <c r="Y16" s="663"/>
      <c r="Z16" s="663"/>
      <c r="AA16" s="663"/>
      <c r="AB16" s="663"/>
      <c r="AC16" s="663"/>
      <c r="AD16" s="663"/>
      <c r="AE16" s="663"/>
      <c r="AF16" s="663"/>
      <c r="AG16" s="660"/>
      <c r="AH16" s="663"/>
      <c r="AI16" s="707"/>
      <c r="AJ16" s="666"/>
      <c r="AK16" s="658"/>
      <c r="AL16" s="663"/>
      <c r="AM16" s="663"/>
      <c r="AN16" s="662"/>
      <c r="AO16" s="658"/>
      <c r="AP16" s="658"/>
      <c r="AQ16" s="665">
        <f>+FL_1($T$19,$T$15,47,1200,9.28,-1*$F$19)</f>
        <v>0.5621980944113476</v>
      </c>
      <c r="AR16" s="665"/>
      <c r="AS16" s="665"/>
      <c r="AT16" s="665"/>
      <c r="AU16" s="663"/>
      <c r="AV16" s="663"/>
      <c r="AW16" s="663"/>
      <c r="AX16" s="663"/>
      <c r="AY16" s="665"/>
      <c r="AZ16" s="665"/>
      <c r="BA16" s="670"/>
      <c r="BB16" s="658"/>
      <c r="BC16" s="169"/>
      <c r="BD16" s="1330"/>
      <c r="BE16" s="1330"/>
      <c r="BF16" s="1330"/>
      <c r="BG16" s="1330"/>
    </row>
    <row r="17" spans="1:59" ht="15.65" customHeight="1">
      <c r="A17" s="658"/>
      <c r="B17" s="708" t="s">
        <v>3588</v>
      </c>
      <c r="C17" s="660">
        <f>+$C$15+$G$16</f>
        <v>12714.19</v>
      </c>
      <c r="D17" s="664"/>
      <c r="E17" s="664"/>
      <c r="F17" s="664">
        <v>0</v>
      </c>
      <c r="G17" s="665"/>
      <c r="H17" s="1148"/>
      <c r="I17" s="661"/>
      <c r="J17" s="660"/>
      <c r="K17" s="663"/>
      <c r="L17" s="666" t="s">
        <v>1699</v>
      </c>
      <c r="M17" s="666" t="str">
        <f>IF(AX17="PT",VLOOKUP(L17,'Foundation Calculation'!$V$2:$X$40,VLOOKUP(AX17,'Foundation Calculation'!$I$10:$J$13,2,FALSE),0),IF(AX17="K",VLOOKUP(L17,'Foundation Calculation'!$V$42:$X$80,VLOOKUP(AX17,'Foundation Calculation'!$I$10:$J$13,2,FALSE),0),""))</f>
        <v>C7R</v>
      </c>
      <c r="N17" s="658"/>
      <c r="O17" s="658"/>
      <c r="P17" s="663"/>
      <c r="Q17" s="663"/>
      <c r="R17" s="663"/>
      <c r="S17" s="665"/>
      <c r="T17" s="663"/>
      <c r="U17" s="663"/>
      <c r="V17" s="663"/>
      <c r="W17" s="663"/>
      <c r="X17" s="663"/>
      <c r="Y17" s="663"/>
      <c r="Z17" s="663"/>
      <c r="AA17" s="663"/>
      <c r="AB17" s="663"/>
      <c r="AC17" s="663"/>
      <c r="AD17" s="663"/>
      <c r="AE17" s="663"/>
      <c r="AF17" s="663"/>
      <c r="AG17" s="660"/>
      <c r="AH17" s="663"/>
      <c r="AI17" s="707"/>
      <c r="AJ17" s="666"/>
      <c r="AK17" s="658"/>
      <c r="AL17" s="663"/>
      <c r="AM17" s="663" t="s">
        <v>1043</v>
      </c>
      <c r="AN17" s="665">
        <v>5.15</v>
      </c>
      <c r="AO17" s="658"/>
      <c r="AP17" s="658"/>
      <c r="AQ17" s="665"/>
      <c r="AR17" s="665"/>
      <c r="AS17" s="665"/>
      <c r="AT17" s="665"/>
      <c r="AU17" s="663"/>
      <c r="AV17" s="663"/>
      <c r="AW17" s="663" t="str">
        <f>VLOOKUP(C17,'Foundation Calculation'!$A$2:$C$33,3,1)</f>
        <v>Soil B</v>
      </c>
      <c r="AX17" s="663" t="str">
        <f>VLOOKUP(C17,'Foundation Calculation'!$E$2:$G$33,3,1)</f>
        <v>PT</v>
      </c>
      <c r="AY17" s="665">
        <f>IF(AX17="PT",VLOOKUP(L17,'Foundation Calculation'!$K$2:$R$40,VLOOKUP(AW17,'Foundation Calculation'!$I$2:$J$8,2,FALSE),0),IF(AX17="K",VLOOKUP(L17,'Foundation Calculation'!$K$42:$R$80,VLOOKUP(AW17,'Foundation Calculation'!$I$2:$J$8,2,FALSE),0),""))</f>
        <v>4.4000000000000004</v>
      </c>
      <c r="AZ17" s="665"/>
      <c r="BA17" s="670" t="s">
        <v>2809</v>
      </c>
      <c r="BB17" s="658" t="str">
        <f>Pole_Calculations!A136</f>
        <v>App.7-V11A-P12.3.1.1</v>
      </c>
      <c r="BC17" s="169"/>
      <c r="BD17" s="1329"/>
      <c r="BE17" s="1329"/>
      <c r="BF17" s="1330"/>
      <c r="BG17" s="1330"/>
    </row>
    <row r="18" spans="1:59" ht="15.65" customHeight="1">
      <c r="A18" s="658"/>
      <c r="B18" s="708"/>
      <c r="C18" s="660"/>
      <c r="D18" s="664"/>
      <c r="E18" s="664"/>
      <c r="F18" s="664"/>
      <c r="G18" s="665">
        <v>42</v>
      </c>
      <c r="H18" s="663"/>
      <c r="I18" s="661"/>
      <c r="J18" s="660"/>
      <c r="K18" s="663"/>
      <c r="L18" s="666"/>
      <c r="M18" s="663"/>
      <c r="N18" s="658"/>
      <c r="O18" s="663"/>
      <c r="P18" s="663"/>
      <c r="Q18" s="663"/>
      <c r="R18" s="663"/>
      <c r="S18" s="665"/>
      <c r="T18" s="663"/>
      <c r="U18" s="663"/>
      <c r="V18" s="663"/>
      <c r="W18" s="663"/>
      <c r="X18" s="663"/>
      <c r="Y18" s="663"/>
      <c r="Z18" s="663"/>
      <c r="AA18" s="663"/>
      <c r="AB18" s="663"/>
      <c r="AC18" s="663"/>
      <c r="AD18" s="663"/>
      <c r="AE18" s="663"/>
      <c r="AF18" s="663"/>
      <c r="AG18" s="660"/>
      <c r="AH18" s="663"/>
      <c r="AI18" s="707"/>
      <c r="AJ18" s="666"/>
      <c r="AK18" s="658"/>
      <c r="AL18" s="663"/>
      <c r="AM18" s="663"/>
      <c r="AN18" s="662"/>
      <c r="AO18" s="658"/>
      <c r="AP18" s="658"/>
      <c r="AQ18" s="665"/>
      <c r="AR18" s="665"/>
      <c r="AS18" s="665"/>
      <c r="AT18" s="665"/>
      <c r="AU18" s="663"/>
      <c r="AV18" s="663"/>
      <c r="AW18" s="663"/>
      <c r="AX18" s="663"/>
      <c r="AY18" s="665"/>
      <c r="AZ18" s="665"/>
      <c r="BA18" s="670"/>
      <c r="BB18" s="658"/>
      <c r="BC18" s="169"/>
      <c r="BD18" s="1330"/>
      <c r="BE18" s="1330"/>
      <c r="BF18" s="1330"/>
      <c r="BG18" s="1330"/>
    </row>
    <row r="19" spans="1:59" ht="15.65" customHeight="1">
      <c r="A19" s="709" t="s">
        <v>3619</v>
      </c>
      <c r="B19" s="708" t="s">
        <v>3589</v>
      </c>
      <c r="C19" s="660">
        <f>+$C$17+$G$18</f>
        <v>12756.19</v>
      </c>
      <c r="D19" s="664"/>
      <c r="E19" s="664"/>
      <c r="F19" s="664">
        <v>0</v>
      </c>
      <c r="G19" s="665"/>
      <c r="H19" s="658" t="s">
        <v>619</v>
      </c>
      <c r="I19" s="661" t="s">
        <v>1429</v>
      </c>
      <c r="J19" s="660"/>
      <c r="K19" s="663"/>
      <c r="L19" s="666" t="s">
        <v>895</v>
      </c>
      <c r="M19" s="666" t="str">
        <f>IF(AX19="PT",VLOOKUP(L19,'Foundation Calculation'!$V$2:$X$40,VLOOKUP(AX19,'Foundation Calculation'!$I$10:$J$13,2,FALSE),0),IF(AX19="K",VLOOKUP(L19,'Foundation Calculation'!$V$42:$X$80,VLOOKUP(AX19,'Foundation Calculation'!$I$10:$J$13,2,FALSE),0),""))</f>
        <v>2C3R</v>
      </c>
      <c r="N19" s="658" t="s">
        <v>143</v>
      </c>
      <c r="O19" s="658" t="s">
        <v>140</v>
      </c>
      <c r="P19" s="663"/>
      <c r="Q19" s="663"/>
      <c r="R19" s="663"/>
      <c r="S19" s="665"/>
      <c r="T19" s="663">
        <v>-10</v>
      </c>
      <c r="U19" s="663">
        <v>-55</v>
      </c>
      <c r="V19" s="663"/>
      <c r="W19" s="663">
        <v>1.4</v>
      </c>
      <c r="X19" s="663">
        <v>2.2999999999999998</v>
      </c>
      <c r="Y19" s="663"/>
      <c r="Z19" s="663"/>
      <c r="AA19" s="663">
        <v>0.45</v>
      </c>
      <c r="AB19" s="663"/>
      <c r="AC19" s="663" t="str">
        <f>IF(OR(AT19&gt;8,AT19&lt;-8),"PH",IF(OR(AT19&gt;5,AT19&lt;-5),"PH-Q",IF(OR(AT19&gt;1,AT19&lt;-1),"PH-C")))</f>
        <v>PH</v>
      </c>
      <c r="AD19" s="663"/>
      <c r="AE19" s="663"/>
      <c r="AF19" s="663"/>
      <c r="AG19" s="660"/>
      <c r="AH19" s="663"/>
      <c r="AI19" s="707"/>
      <c r="AJ19" s="666" t="s">
        <v>3048</v>
      </c>
      <c r="AK19" s="658"/>
      <c r="AL19" s="663"/>
      <c r="AM19" s="663" t="s">
        <v>1043</v>
      </c>
      <c r="AN19" s="665">
        <v>5.15</v>
      </c>
      <c r="AO19" s="658"/>
      <c r="AP19" s="658"/>
      <c r="AQ19" s="665"/>
      <c r="AR19" s="665"/>
      <c r="AS19" s="665"/>
      <c r="AT19" s="665">
        <f>+ab($T$19,$T$15,$T$23,47,$G$22,-1*$F$19,1200)</f>
        <v>-8.9455719012074706</v>
      </c>
      <c r="AU19" s="663"/>
      <c r="AV19" s="663"/>
      <c r="AW19" s="663" t="str">
        <f>VLOOKUP(C19,'Foundation Calculation'!$A$2:$C$33,3,1)</f>
        <v>Soil B</v>
      </c>
      <c r="AX19" s="663" t="str">
        <f>VLOOKUP(C19,'Foundation Calculation'!$E$2:$G$33,3,1)</f>
        <v>PT</v>
      </c>
      <c r="AY19" s="665">
        <f>IF(AX19="PT",VLOOKUP(L19,'Foundation Calculation'!$K$2:$R$40,VLOOKUP(AW19,'Foundation Calculation'!$I$2:$J$8,2,FALSE),0),IF(AX19="K",VLOOKUP(L19,'Foundation Calculation'!$K$42:$R$80,VLOOKUP(AW19,'Foundation Calculation'!$I$2:$J$8,2,FALSE),0),""))</f>
        <v>3.5</v>
      </c>
      <c r="AZ19" s="665"/>
      <c r="BA19" s="670" t="s">
        <v>2809</v>
      </c>
      <c r="BB19" s="709" t="str">
        <f>Pole_Calculations!A156</f>
        <v>App.7.1-V01-P9.5.1.5</v>
      </c>
      <c r="BC19" s="169"/>
      <c r="BD19" s="1329"/>
      <c r="BE19" s="1329"/>
      <c r="BF19" s="1330"/>
      <c r="BG19" s="1329"/>
    </row>
    <row r="20" spans="1:59" ht="15.65" customHeight="1">
      <c r="A20" s="709"/>
      <c r="B20" s="708"/>
      <c r="C20" s="660"/>
      <c r="D20" s="664"/>
      <c r="E20" s="664"/>
      <c r="F20" s="664"/>
      <c r="G20" s="665"/>
      <c r="H20" s="658"/>
      <c r="I20" s="661"/>
      <c r="J20" s="660"/>
      <c r="K20" s="663"/>
      <c r="L20" s="666"/>
      <c r="M20" s="663"/>
      <c r="N20" s="658"/>
      <c r="O20" s="658"/>
      <c r="P20" s="663"/>
      <c r="Q20" s="663"/>
      <c r="R20" s="663"/>
      <c r="S20" s="665"/>
      <c r="T20" s="663"/>
      <c r="U20" s="663"/>
      <c r="V20" s="663"/>
      <c r="W20" s="663"/>
      <c r="X20" s="663"/>
      <c r="Y20" s="663"/>
      <c r="Z20" s="663"/>
      <c r="AA20" s="663"/>
      <c r="AB20" s="663"/>
      <c r="AC20" s="663"/>
      <c r="AD20" s="663"/>
      <c r="AE20" s="663"/>
      <c r="AF20" s="663"/>
      <c r="AG20" s="660"/>
      <c r="AH20" s="663"/>
      <c r="AI20" s="707"/>
      <c r="AJ20" s="666" t="s">
        <v>1360</v>
      </c>
      <c r="AK20" s="658"/>
      <c r="AL20" s="663"/>
      <c r="AM20" s="663"/>
      <c r="AN20" s="665"/>
      <c r="AO20" s="658"/>
      <c r="AP20" s="658"/>
      <c r="AQ20" s="665"/>
      <c r="AR20" s="665"/>
      <c r="AS20" s="665"/>
      <c r="AT20" s="665"/>
      <c r="AU20" s="663"/>
      <c r="AV20" s="663"/>
      <c r="AW20" s="663"/>
      <c r="AX20" s="663"/>
      <c r="AY20" s="665"/>
      <c r="AZ20" s="665"/>
      <c r="BA20" s="670"/>
      <c r="BB20" s="709"/>
      <c r="BC20" s="169"/>
      <c r="BD20" s="1330"/>
      <c r="BE20" s="1330"/>
      <c r="BF20" s="1330"/>
      <c r="BG20" s="1330"/>
    </row>
    <row r="21" spans="1:59" ht="15.65" customHeight="1">
      <c r="A21" s="709"/>
      <c r="B21" s="708" t="s">
        <v>4931</v>
      </c>
      <c r="C21" s="660">
        <f>C19+25</f>
        <v>12781.19</v>
      </c>
      <c r="D21" s="664"/>
      <c r="E21" s="664"/>
      <c r="F21" s="664"/>
      <c r="G21" s="665"/>
      <c r="H21" s="658"/>
      <c r="I21" s="661"/>
      <c r="J21" s="660"/>
      <c r="K21" s="663"/>
      <c r="L21" s="663" t="s">
        <v>4420</v>
      </c>
      <c r="M21" s="663" t="s">
        <v>4399</v>
      </c>
      <c r="N21" s="658"/>
      <c r="O21" s="658"/>
      <c r="P21" s="663"/>
      <c r="Q21" s="663"/>
      <c r="R21" s="663"/>
      <c r="S21" s="665"/>
      <c r="T21" s="663"/>
      <c r="U21" s="663"/>
      <c r="V21" s="663"/>
      <c r="W21" s="663"/>
      <c r="X21" s="663"/>
      <c r="Y21" s="663"/>
      <c r="Z21" s="663"/>
      <c r="AA21" s="663"/>
      <c r="AB21" s="663"/>
      <c r="AC21" s="663"/>
      <c r="AD21" s="663"/>
      <c r="AE21" s="663"/>
      <c r="AF21" s="663"/>
      <c r="AG21" s="660"/>
      <c r="AH21" s="663"/>
      <c r="AI21" s="707"/>
      <c r="AJ21" s="666"/>
      <c r="AK21" s="658"/>
      <c r="AL21" s="663"/>
      <c r="AM21" s="663"/>
      <c r="AN21" s="665"/>
      <c r="AO21" s="658"/>
      <c r="AP21" s="658"/>
      <c r="AQ21" s="665"/>
      <c r="AR21" s="665"/>
      <c r="AS21" s="665"/>
      <c r="AT21" s="665"/>
      <c r="AU21" s="663"/>
      <c r="AV21" s="663"/>
      <c r="AW21" s="663" t="str">
        <f>VLOOKUP(C21,'Foundation Calculation'!$A$2:$C$33,3,1)</f>
        <v>Soil B</v>
      </c>
      <c r="AX21" s="663" t="str">
        <f>VLOOKUP(C21,'Foundation Calculation'!$E$2:$G$33,3,1)</f>
        <v>PT</v>
      </c>
      <c r="AY21" s="665">
        <v>1.2</v>
      </c>
      <c r="AZ21" s="665"/>
      <c r="BA21" s="670" t="s">
        <v>2809</v>
      </c>
      <c r="BB21" s="709"/>
      <c r="BC21" s="169"/>
      <c r="BD21" s="1329"/>
      <c r="BE21" s="1329"/>
      <c r="BF21" s="1330"/>
      <c r="BG21" s="1330"/>
    </row>
    <row r="22" spans="1:59" ht="15.65" customHeight="1">
      <c r="A22" s="658"/>
      <c r="B22" s="708"/>
      <c r="C22" s="660"/>
      <c r="D22" s="664"/>
      <c r="E22" s="664"/>
      <c r="F22" s="664"/>
      <c r="G22" s="665">
        <v>47</v>
      </c>
      <c r="H22" s="663"/>
      <c r="I22" s="661"/>
      <c r="J22" s="660"/>
      <c r="K22" s="663"/>
      <c r="L22" s="666"/>
      <c r="M22" s="663"/>
      <c r="N22" s="658"/>
      <c r="O22" s="663"/>
      <c r="P22" s="663"/>
      <c r="Q22" s="663"/>
      <c r="R22" s="663"/>
      <c r="S22" s="665"/>
      <c r="T22" s="663"/>
      <c r="U22" s="663"/>
      <c r="V22" s="663"/>
      <c r="W22" s="663"/>
      <c r="X22" s="663"/>
      <c r="Y22" s="663"/>
      <c r="Z22" s="663"/>
      <c r="AA22" s="663"/>
      <c r="AB22" s="663"/>
      <c r="AC22" s="663"/>
      <c r="AD22" s="663"/>
      <c r="AE22" s="663"/>
      <c r="AF22" s="663"/>
      <c r="AG22" s="660"/>
      <c r="AH22" s="663"/>
      <c r="AI22" s="707"/>
      <c r="AJ22" s="666"/>
      <c r="AK22" s="658"/>
      <c r="AL22" s="663"/>
      <c r="AM22" s="663"/>
      <c r="AN22" s="662"/>
      <c r="AO22" s="658"/>
      <c r="AP22" s="658"/>
      <c r="AQ22" s="665">
        <f>+FL_1($T$23,$T$19,$G$22,1200,9.28,-1*$F$23)</f>
        <v>0.36115743902480929</v>
      </c>
      <c r="AR22" s="665"/>
      <c r="AS22" s="665"/>
      <c r="AT22" s="665"/>
      <c r="AU22" s="663"/>
      <c r="AV22" s="663"/>
      <c r="AW22" s="663"/>
      <c r="AX22" s="663"/>
      <c r="AY22" s="665"/>
      <c r="AZ22" s="665"/>
      <c r="BA22" s="670"/>
      <c r="BB22" s="658"/>
      <c r="BC22" s="169"/>
      <c r="BD22" s="1330"/>
      <c r="BE22" s="1330"/>
      <c r="BF22" s="1330"/>
      <c r="BG22" s="1330"/>
    </row>
    <row r="23" spans="1:59" ht="15.65" customHeight="1">
      <c r="A23" s="709"/>
      <c r="B23" s="710" t="s">
        <v>3590</v>
      </c>
      <c r="C23" s="660">
        <f>+$C$19+$G$22</f>
        <v>12803.19</v>
      </c>
      <c r="D23" s="666"/>
      <c r="E23" s="666"/>
      <c r="F23" s="661">
        <f>(551^2)/(C23-12756.19)</f>
        <v>6459.5957446808507</v>
      </c>
      <c r="G23" s="662"/>
      <c r="H23" s="666" t="s">
        <v>138</v>
      </c>
      <c r="I23" s="664" t="s">
        <v>623</v>
      </c>
      <c r="J23" s="660"/>
      <c r="K23" s="666"/>
      <c r="L23" s="666" t="s">
        <v>899</v>
      </c>
      <c r="M23" s="666" t="str">
        <f>IF(AX23="PT",VLOOKUP(L23,'Foundation Calculation'!$V$2:$X$40,VLOOKUP(AX23,'Foundation Calculation'!$I$10:$J$13,2,FALSE),0),IF(AX23="K",VLOOKUP(L23,'Foundation Calculation'!$V$42:$X$80,VLOOKUP(AX23,'Foundation Calculation'!$I$10:$J$13,2,FALSE),0),""))</f>
        <v>C5R</v>
      </c>
      <c r="N23" s="666" t="s">
        <v>144</v>
      </c>
      <c r="O23" s="666"/>
      <c r="P23" s="666"/>
      <c r="Q23" s="663"/>
      <c r="R23" s="663"/>
      <c r="S23" s="665"/>
      <c r="T23" s="663">
        <v>25</v>
      </c>
      <c r="U23" s="663"/>
      <c r="V23" s="663"/>
      <c r="W23" s="663">
        <v>1.4</v>
      </c>
      <c r="X23" s="663"/>
      <c r="Y23" s="663"/>
      <c r="Z23" s="663"/>
      <c r="AA23" s="663"/>
      <c r="AB23" s="663"/>
      <c r="AC23" s="663" t="str">
        <f>IF(OR(AT23&gt;8,AT23&lt;-8),"PH",IF(OR(AT23&gt;5,AT23&lt;-5),"PH-Q",IF(OR(AT23&gt;1,AT23&lt;-1),"PH-C")))</f>
        <v>PH</v>
      </c>
      <c r="AD23" s="663"/>
      <c r="AE23" s="663"/>
      <c r="AF23" s="663"/>
      <c r="AG23" s="660"/>
      <c r="AH23" s="663"/>
      <c r="AI23" s="707"/>
      <c r="AJ23" s="666"/>
      <c r="AK23" s="666"/>
      <c r="AL23" s="666"/>
      <c r="AM23" s="666" t="s">
        <v>1043</v>
      </c>
      <c r="AN23" s="665">
        <v>5.15</v>
      </c>
      <c r="AO23" s="666"/>
      <c r="AP23" s="666"/>
      <c r="AQ23" s="665"/>
      <c r="AR23" s="665"/>
      <c r="AS23" s="665"/>
      <c r="AT23" s="665">
        <f>+ab($T$23,$T$19,$T$27,$G$22,44.8,-1*$F$23,1200)</f>
        <v>17.873292122809161</v>
      </c>
      <c r="AU23" s="663"/>
      <c r="AV23" s="663"/>
      <c r="AW23" s="663" t="str">
        <f>VLOOKUP(C23,'Foundation Calculation'!$A$2:$C$33,3,1)</f>
        <v>Soil B</v>
      </c>
      <c r="AX23" s="663" t="str">
        <f>VLOOKUP(C23,'Foundation Calculation'!$E$2:$G$33,3,1)</f>
        <v>PT</v>
      </c>
      <c r="AY23" s="665">
        <f>IF(AX23="PT",VLOOKUP(L23,'Foundation Calculation'!$K$2:$R$40,VLOOKUP(AW23,'Foundation Calculation'!$I$2:$J$8,2,FALSE),0),IF(AX23="K",VLOOKUP(L23,'Foundation Calculation'!$K$42:$R$80,VLOOKUP(AW23,'Foundation Calculation'!$I$2:$J$8,2,FALSE),0),""))</f>
        <v>3.5</v>
      </c>
      <c r="AZ23" s="665"/>
      <c r="BA23" s="670" t="s">
        <v>2809</v>
      </c>
      <c r="BB23" s="709" t="str">
        <f>Pole_Calculations!A157</f>
        <v>App.7.1-V01-P9.5.1.6</v>
      </c>
      <c r="BC23" s="169"/>
      <c r="BD23" s="1329"/>
      <c r="BE23" s="1329"/>
      <c r="BF23" s="1330"/>
      <c r="BG23" s="1329"/>
    </row>
    <row r="24" spans="1:59" ht="15.65" customHeight="1">
      <c r="A24" s="709" t="s">
        <v>3616</v>
      </c>
      <c r="B24" s="664"/>
      <c r="C24" s="660"/>
      <c r="D24" s="663"/>
      <c r="E24" s="663"/>
      <c r="F24" s="664"/>
      <c r="G24" s="665">
        <v>22.4</v>
      </c>
      <c r="H24" s="663"/>
      <c r="I24" s="664"/>
      <c r="J24" s="660">
        <f>C23+7.5</f>
        <v>12810.69</v>
      </c>
      <c r="K24" s="663" t="s">
        <v>2787</v>
      </c>
      <c r="L24" s="666"/>
      <c r="M24" s="666"/>
      <c r="N24" s="666"/>
      <c r="O24" s="666"/>
      <c r="P24" s="666"/>
      <c r="Q24" s="663"/>
      <c r="R24" s="663"/>
      <c r="S24" s="665"/>
      <c r="T24" s="663"/>
      <c r="U24" s="663"/>
      <c r="V24" s="663"/>
      <c r="W24" s="663"/>
      <c r="X24" s="663"/>
      <c r="Y24" s="663"/>
      <c r="Z24" s="663"/>
      <c r="AA24" s="663"/>
      <c r="AB24" s="663"/>
      <c r="AC24" s="663"/>
      <c r="AD24" s="663"/>
      <c r="AE24" s="663"/>
      <c r="AF24" s="663"/>
      <c r="AG24" s="660"/>
      <c r="AH24" s="663"/>
      <c r="AI24" s="707"/>
      <c r="AJ24" s="666"/>
      <c r="AK24" s="666"/>
      <c r="AL24" s="663"/>
      <c r="AM24" s="666"/>
      <c r="AN24" s="665"/>
      <c r="AO24" s="666"/>
      <c r="AP24" s="666"/>
      <c r="AQ24" s="665"/>
      <c r="AR24" s="665"/>
      <c r="AS24" s="665"/>
      <c r="AT24" s="665"/>
      <c r="AU24" s="663"/>
      <c r="AV24" s="663"/>
      <c r="AW24" s="663" t="str">
        <f>VLOOKUP(J24,'Foundation Calculation'!$A$2:$C$33,3,1)</f>
        <v>Soil B</v>
      </c>
      <c r="AX24" s="663" t="str">
        <f>VLOOKUP(J24,'Foundation Calculation'!$E$2:$G$33,3,1)</f>
        <v>PT</v>
      </c>
      <c r="AY24" s="665"/>
      <c r="AZ24" s="665">
        <f>IF(AX24="PT",VLOOKUP(K24,'Foundation Calculation'!$K$2:$R$40,VLOOKUP(AW24,'Foundation Calculation'!$I$2:$J$8,2,FALSE),0),IF(AX24="K",VLOOKUP(K24,'Foundation Calculation'!$K$42:$R$80,VLOOKUP(AW24,'Foundation Calculation'!$I$2:$J$8,2,FALSE),0),""))</f>
        <v>3.9</v>
      </c>
      <c r="BA24" s="670" t="s">
        <v>2809</v>
      </c>
      <c r="BB24" s="709"/>
      <c r="BC24" s="169"/>
      <c r="BD24" s="1329"/>
      <c r="BE24" s="1330"/>
      <c r="BF24" s="1330"/>
      <c r="BG24" s="1330"/>
    </row>
    <row r="25" spans="1:59" ht="15.65" customHeight="1">
      <c r="A25" s="449" t="s">
        <v>3624</v>
      </c>
      <c r="B25" s="435" t="s">
        <v>3591</v>
      </c>
      <c r="C25" s="446">
        <f>+$C$23+$G$24</f>
        <v>12825.59</v>
      </c>
      <c r="D25" s="638"/>
      <c r="E25" s="638"/>
      <c r="F25" s="448">
        <f>(551^2)/(C25-12756.19)</f>
        <v>4374.6541786743746</v>
      </c>
      <c r="G25" s="455"/>
      <c r="H25" s="638"/>
      <c r="I25" s="447"/>
      <c r="J25" s="446"/>
      <c r="K25" s="638"/>
      <c r="L25" s="638" t="s">
        <v>823</v>
      </c>
      <c r="M25" s="638" t="str">
        <f>IF(AX25="PT",VLOOKUP(L25,'Foundation Calculation'!$V$2:$X$40,VLOOKUP(AX25,'Foundation Calculation'!$I$10:$J$13,2,FALSE),0),IF(AX25="K",VLOOKUP(L25,'Foundation Calculation'!$V$42:$X$80,VLOOKUP(AX25,'Foundation Calculation'!$I$10:$J$13,2,FALSE),0),""))</f>
        <v>C9R</v>
      </c>
      <c r="N25" s="1239"/>
      <c r="O25" s="1239"/>
      <c r="P25" s="638"/>
      <c r="Q25" s="638"/>
      <c r="R25" s="638"/>
      <c r="S25" s="484"/>
      <c r="T25" s="638"/>
      <c r="U25" s="638"/>
      <c r="V25" s="638"/>
      <c r="W25" s="638"/>
      <c r="X25" s="638"/>
      <c r="Y25" s="638"/>
      <c r="Z25" s="638"/>
      <c r="AA25" s="638"/>
      <c r="AB25" s="638"/>
      <c r="AC25" s="638"/>
      <c r="AD25" s="638"/>
      <c r="AE25" s="638"/>
      <c r="AF25" s="638"/>
      <c r="AG25" s="446"/>
      <c r="AH25" s="638"/>
      <c r="AI25" s="185"/>
      <c r="AJ25" s="1239" t="s">
        <v>884</v>
      </c>
      <c r="AK25" s="1239"/>
      <c r="AL25" s="638"/>
      <c r="AM25" s="638" t="s">
        <v>1043</v>
      </c>
      <c r="AN25" s="455"/>
      <c r="AO25" s="1239"/>
      <c r="AP25" s="445"/>
      <c r="AQ25" s="484"/>
      <c r="AR25" s="484"/>
      <c r="AS25" s="484"/>
      <c r="AT25" s="484"/>
      <c r="AU25" s="638"/>
      <c r="AV25" s="638"/>
      <c r="AW25" s="638" t="str">
        <f>VLOOKUP(C25,'Foundation Calculation'!$A$2:$C$33,3,1)</f>
        <v>Soil B</v>
      </c>
      <c r="AX25" s="638" t="str">
        <f>VLOOKUP(C25,'Foundation Calculation'!$E$2:$G$33,3,1)</f>
        <v>PT</v>
      </c>
      <c r="AY25" s="484">
        <f>IF(AX25="PT",VLOOKUP(L25,'Foundation Calculation'!$K$2:$R$40,VLOOKUP(AW25,'Foundation Calculation'!$I$2:$J$8,2,FALSE),0),IF(AX25="K",VLOOKUP(L25,'Foundation Calculation'!$K$42:$R$80,VLOOKUP(AW25,'Foundation Calculation'!$I$2:$J$8,2,FALSE),0),""))</f>
        <v>4.4000000000000004</v>
      </c>
      <c r="AZ25" s="484"/>
      <c r="BA25" s="671" t="s">
        <v>2809</v>
      </c>
      <c r="BB25" s="449" t="str">
        <f>Pole_Calculations!A136</f>
        <v>App.7-V11A-P12.3.1.1</v>
      </c>
      <c r="BC25" s="169"/>
      <c r="BD25" s="1329"/>
      <c r="BE25" s="1329"/>
      <c r="BF25" s="1330"/>
      <c r="BG25" s="1330"/>
    </row>
    <row r="26" spans="1:59" ht="15.65" customHeight="1">
      <c r="A26" s="449"/>
      <c r="B26" s="173"/>
      <c r="C26" s="446"/>
      <c r="D26" s="638"/>
      <c r="E26" s="638"/>
      <c r="F26" s="447"/>
      <c r="G26" s="484">
        <v>22.4</v>
      </c>
      <c r="H26" s="638"/>
      <c r="I26" s="448"/>
      <c r="J26" s="446"/>
      <c r="K26" s="638"/>
      <c r="L26" s="445"/>
      <c r="M26" s="445"/>
      <c r="N26" s="1239"/>
      <c r="O26" s="1239"/>
      <c r="P26" s="638"/>
      <c r="Q26" s="638"/>
      <c r="R26" s="638"/>
      <c r="S26" s="484"/>
      <c r="T26" s="638"/>
      <c r="U26" s="638"/>
      <c r="V26" s="638"/>
      <c r="W26" s="638"/>
      <c r="X26" s="638"/>
      <c r="Y26" s="638"/>
      <c r="Z26" s="638"/>
      <c r="AA26" s="638"/>
      <c r="AB26" s="638"/>
      <c r="AC26" s="638"/>
      <c r="AD26" s="638"/>
      <c r="AE26" s="638"/>
      <c r="AF26" s="638"/>
      <c r="AG26" s="446"/>
      <c r="AH26" s="638"/>
      <c r="AI26" s="185"/>
      <c r="AJ26" s="1239" t="s">
        <v>1360</v>
      </c>
      <c r="AK26" s="1239"/>
      <c r="AL26" s="638"/>
      <c r="AM26" s="638"/>
      <c r="AN26" s="455"/>
      <c r="AO26" s="1239"/>
      <c r="AP26" s="445"/>
      <c r="AQ26" s="484"/>
      <c r="AR26" s="484"/>
      <c r="AS26" s="484"/>
      <c r="AT26" s="484"/>
      <c r="AU26" s="638"/>
      <c r="AV26" s="638"/>
      <c r="AW26" s="484"/>
      <c r="AX26" s="484"/>
      <c r="AY26" s="484"/>
      <c r="AZ26" s="484"/>
      <c r="BA26" s="1304"/>
      <c r="BB26" s="449"/>
      <c r="BC26" s="169"/>
      <c r="BD26" s="1330"/>
      <c r="BE26" s="1330"/>
      <c r="BF26" s="1330"/>
      <c r="BG26" s="1330"/>
    </row>
    <row r="27" spans="1:59" ht="15.65" customHeight="1">
      <c r="A27" s="449"/>
      <c r="B27" s="435" t="s">
        <v>3592</v>
      </c>
      <c r="C27" s="446">
        <f>+$C$25+$G$26</f>
        <v>12847.99</v>
      </c>
      <c r="D27" s="638"/>
      <c r="E27" s="638"/>
      <c r="F27" s="448">
        <f>(551^2)/(C27-12756.19)</f>
        <v>3307.2004357298738</v>
      </c>
      <c r="G27" s="484"/>
      <c r="H27" s="1239"/>
      <c r="I27" s="448"/>
      <c r="J27" s="446"/>
      <c r="K27" s="638"/>
      <c r="L27" s="445" t="s">
        <v>230</v>
      </c>
      <c r="M27" s="638" t="str">
        <f>IF(AX27="PT",VLOOKUP(L27,'Foundation Calculation'!$V$2:$X$40,VLOOKUP(AX27,'Foundation Calculation'!$I$10:$J$13,2,FALSE),0),IF(AX27="K",VLOOKUP(L27,'Foundation Calculation'!$V$42:$X$80,VLOOKUP(AX27,'Foundation Calculation'!$I$10:$J$13,2,FALSE),0),""))</f>
        <v>C4R</v>
      </c>
      <c r="N27" s="1239" t="s">
        <v>143</v>
      </c>
      <c r="O27" s="1239"/>
      <c r="P27" s="638"/>
      <c r="Q27" s="638"/>
      <c r="R27" s="638"/>
      <c r="S27" s="484"/>
      <c r="T27" s="638">
        <v>-20</v>
      </c>
      <c r="U27" s="638"/>
      <c r="V27" s="638"/>
      <c r="W27" s="638">
        <v>1.4</v>
      </c>
      <c r="X27" s="638"/>
      <c r="Y27" s="638"/>
      <c r="Z27" s="638"/>
      <c r="AA27" s="638"/>
      <c r="AB27" s="638"/>
      <c r="AC27" s="638" t="str">
        <f t="shared" ref="AC27:AC87" si="0">IF(OR(AT27&gt;8,AT27&lt;-8),"PH",IF(OR(AT27&gt;5,AT27&lt;-5),"PH-Q",IF(OR(AT27&gt;1,AT27&lt;-1),"PH-C")))</f>
        <v>PH</v>
      </c>
      <c r="AD27" s="638"/>
      <c r="AE27" s="638"/>
      <c r="AF27" s="638"/>
      <c r="AG27" s="446"/>
      <c r="AH27" s="638"/>
      <c r="AI27" s="638"/>
      <c r="AJ27" s="445"/>
      <c r="AK27" s="1239"/>
      <c r="AL27" s="638"/>
      <c r="AM27" s="638" t="s">
        <v>1043</v>
      </c>
      <c r="AN27" s="455">
        <v>5.15</v>
      </c>
      <c r="AO27" s="1239"/>
      <c r="AP27" s="445"/>
      <c r="AQ27" s="484"/>
      <c r="AR27" s="484"/>
      <c r="AS27" s="484"/>
      <c r="AT27" s="484">
        <f>+ab($T$27,$T$23,$T$29,44.8,$G$28,-1*$F$27,1200)</f>
        <v>-8.4205777983296386</v>
      </c>
      <c r="AU27" s="638"/>
      <c r="AV27" s="638"/>
      <c r="AW27" s="638" t="str">
        <f>VLOOKUP(C27,'Foundation Calculation'!$A$2:$C$33,3,1)</f>
        <v>Soil B</v>
      </c>
      <c r="AX27" s="638" t="str">
        <f>VLOOKUP(C27,'Foundation Calculation'!$E$2:$G$33,3,1)</f>
        <v>PT</v>
      </c>
      <c r="AY27" s="484">
        <f>IF(AX27="PT",VLOOKUP(L27,'Foundation Calculation'!$K$2:$R$40,VLOOKUP(AW27,'Foundation Calculation'!$I$2:$J$8,2,FALSE),0),IF(AX27="K",VLOOKUP(L27,'Foundation Calculation'!$K$42:$R$80,VLOOKUP(AW27,'Foundation Calculation'!$I$2:$J$8,2,FALSE),0),""))</f>
        <v>3.5</v>
      </c>
      <c r="AZ27" s="484"/>
      <c r="BA27" s="671" t="s">
        <v>2809</v>
      </c>
      <c r="BB27" s="449" t="str">
        <f>Pole_Calculations!A152</f>
        <v>App.7.1-V01-P9.5.1.1</v>
      </c>
      <c r="BC27" s="169"/>
      <c r="BD27" s="1329"/>
      <c r="BE27" s="1329"/>
      <c r="BF27" s="1330"/>
      <c r="BG27" s="1329"/>
    </row>
    <row r="28" spans="1:59" ht="15.65" customHeight="1">
      <c r="A28" s="447"/>
      <c r="B28" s="173"/>
      <c r="C28" s="446"/>
      <c r="D28" s="638"/>
      <c r="E28" s="638"/>
      <c r="F28" s="447"/>
      <c r="G28" s="484">
        <v>51.3</v>
      </c>
      <c r="H28" s="1239"/>
      <c r="I28" s="448"/>
      <c r="J28" s="446"/>
      <c r="K28" s="638"/>
      <c r="L28" s="445"/>
      <c r="M28" s="445"/>
      <c r="N28" s="1239"/>
      <c r="O28" s="1239"/>
      <c r="P28" s="638"/>
      <c r="Q28" s="638"/>
      <c r="R28" s="638"/>
      <c r="S28" s="484"/>
      <c r="T28" s="638"/>
      <c r="U28" s="638"/>
      <c r="V28" s="638"/>
      <c r="W28" s="638"/>
      <c r="X28" s="638"/>
      <c r="Y28" s="638"/>
      <c r="Z28" s="638"/>
      <c r="AA28" s="638"/>
      <c r="AB28" s="638"/>
      <c r="AC28" s="638"/>
      <c r="AD28" s="638"/>
      <c r="AE28" s="638"/>
      <c r="AF28" s="638"/>
      <c r="AG28" s="446"/>
      <c r="AH28" s="638"/>
      <c r="AI28" s="638"/>
      <c r="AJ28" s="445"/>
      <c r="AK28" s="1239"/>
      <c r="AL28" s="638"/>
      <c r="AM28" s="638"/>
      <c r="AN28" s="455"/>
      <c r="AO28" s="1239"/>
      <c r="AP28" s="445"/>
      <c r="AQ28" s="484">
        <f>+FL_2($T$29,$T$27,$G$28,1200,9.28,-1*$F$29)</f>
        <v>-0.35562967916567567</v>
      </c>
      <c r="AR28" s="484"/>
      <c r="AS28" s="484"/>
      <c r="AT28" s="484"/>
      <c r="AU28" s="638"/>
      <c r="AV28" s="638"/>
      <c r="AW28" s="484"/>
      <c r="AX28" s="484"/>
      <c r="AY28" s="484"/>
      <c r="AZ28" s="484"/>
      <c r="BA28" s="671"/>
      <c r="BB28" s="447"/>
      <c r="BC28" s="169"/>
      <c r="BD28" s="1330"/>
      <c r="BE28" s="1330"/>
      <c r="BF28" s="1330"/>
      <c r="BG28" s="1330"/>
    </row>
    <row r="29" spans="1:59" ht="15.65" customHeight="1">
      <c r="A29" s="1239"/>
      <c r="B29" s="435" t="s">
        <v>3593</v>
      </c>
      <c r="C29" s="446">
        <f>+$C$27+$G$28</f>
        <v>12899.289999999999</v>
      </c>
      <c r="D29" s="638"/>
      <c r="E29" s="638"/>
      <c r="F29" s="448">
        <f>(551^2)/(C29-12756.19)</f>
        <v>2121.6002795248296</v>
      </c>
      <c r="G29" s="484"/>
      <c r="H29" s="638"/>
      <c r="I29" s="448"/>
      <c r="J29" s="446"/>
      <c r="K29" s="638"/>
      <c r="L29" s="445" t="s">
        <v>232</v>
      </c>
      <c r="M29" s="638" t="str">
        <f>IF(AX29="PT",VLOOKUP(L29,'Foundation Calculation'!$V$2:$X$40,VLOOKUP(AX29,'Foundation Calculation'!$I$10:$J$13,2,FALSE),0),IF(AX29="K",VLOOKUP(L29,'Foundation Calculation'!$V$42:$X$80,VLOOKUP(AX29,'Foundation Calculation'!$I$10:$J$13,2,FALSE),0),""))</f>
        <v>C5R</v>
      </c>
      <c r="N29" s="1239" t="s">
        <v>143</v>
      </c>
      <c r="O29" s="1239"/>
      <c r="P29" s="638"/>
      <c r="Q29" s="638"/>
      <c r="R29" s="638"/>
      <c r="S29" s="484"/>
      <c r="T29" s="638">
        <v>-30</v>
      </c>
      <c r="U29" s="638"/>
      <c r="V29" s="638"/>
      <c r="W29" s="638">
        <v>1.4</v>
      </c>
      <c r="X29" s="638"/>
      <c r="Y29" s="638"/>
      <c r="Z29" s="638"/>
      <c r="AA29" s="638"/>
      <c r="AB29" s="638"/>
      <c r="AC29" s="638" t="str">
        <f t="shared" si="0"/>
        <v>PH-Q</v>
      </c>
      <c r="AD29" s="638"/>
      <c r="AE29" s="638"/>
      <c r="AF29" s="638"/>
      <c r="AG29" s="446"/>
      <c r="AH29" s="638"/>
      <c r="AI29" s="185"/>
      <c r="AJ29" s="445"/>
      <c r="AK29" s="1239"/>
      <c r="AL29" s="638"/>
      <c r="AM29" s="638" t="s">
        <v>1043</v>
      </c>
      <c r="AN29" s="455">
        <v>5.15</v>
      </c>
      <c r="AO29" s="1239"/>
      <c r="AP29" s="1239"/>
      <c r="AQ29" s="484"/>
      <c r="AR29" s="484"/>
      <c r="AS29" s="484"/>
      <c r="AT29" s="484">
        <f>+ab($T$29,$T$27,$T$31,$G$28,$G$30,-1*$F$29,1200)</f>
        <v>-7.1323350680874107</v>
      </c>
      <c r="AU29" s="638"/>
      <c r="AV29" s="638"/>
      <c r="AW29" s="638" t="str">
        <f>VLOOKUP(C29,'Foundation Calculation'!$A$2:$C$33,3,1)</f>
        <v>Soil B</v>
      </c>
      <c r="AX29" s="638" t="str">
        <f>VLOOKUP(C29,'Foundation Calculation'!$E$2:$G$33,3,1)</f>
        <v>PT</v>
      </c>
      <c r="AY29" s="484">
        <f>IF(AX29="PT",VLOOKUP(L29,'Foundation Calculation'!$K$2:$R$40,VLOOKUP(AW29,'Foundation Calculation'!$I$2:$J$8,2,FALSE),0),IF(AX29="K",VLOOKUP(L29,'Foundation Calculation'!$K$42:$R$80,VLOOKUP(AW29,'Foundation Calculation'!$I$2:$J$8,2,FALSE),0),""))</f>
        <v>3.5</v>
      </c>
      <c r="AZ29" s="484"/>
      <c r="BA29" s="671" t="s">
        <v>2809</v>
      </c>
      <c r="BB29" s="1239" t="str">
        <f>Pole_Calculations!A152</f>
        <v>App.7.1-V01-P9.5.1.1</v>
      </c>
      <c r="BC29" s="169"/>
      <c r="BD29" s="1329"/>
      <c r="BE29" s="1329"/>
      <c r="BF29" s="1330"/>
      <c r="BG29" s="1329"/>
    </row>
    <row r="30" spans="1:59" ht="15.65" customHeight="1">
      <c r="A30" s="1239"/>
      <c r="B30" s="173"/>
      <c r="C30" s="446"/>
      <c r="D30" s="638"/>
      <c r="E30" s="638"/>
      <c r="F30" s="447"/>
      <c r="G30" s="484">
        <v>54</v>
      </c>
      <c r="H30" s="1239"/>
      <c r="I30" s="448"/>
      <c r="J30" s="446"/>
      <c r="K30" s="638"/>
      <c r="L30" s="445"/>
      <c r="M30" s="445"/>
      <c r="N30" s="1239"/>
      <c r="O30" s="1239"/>
      <c r="P30" s="638"/>
      <c r="Q30" s="638"/>
      <c r="R30" s="638"/>
      <c r="S30" s="484"/>
      <c r="T30" s="638"/>
      <c r="U30" s="638"/>
      <c r="V30" s="638"/>
      <c r="W30" s="638"/>
      <c r="X30" s="638"/>
      <c r="Y30" s="638"/>
      <c r="Z30" s="638"/>
      <c r="AA30" s="638"/>
      <c r="AB30" s="638"/>
      <c r="AC30" s="638"/>
      <c r="AD30" s="638"/>
      <c r="AE30" s="638"/>
      <c r="AF30" s="638"/>
      <c r="AG30" s="446"/>
      <c r="AH30" s="638"/>
      <c r="AI30" s="185"/>
      <c r="AJ30" s="445"/>
      <c r="AK30" s="1239"/>
      <c r="AL30" s="638"/>
      <c r="AM30" s="638"/>
      <c r="AN30" s="455"/>
      <c r="AO30" s="1239"/>
      <c r="AP30" s="1239"/>
      <c r="AQ30" s="484">
        <f>+FL_2($T$31,$T$29,$G$30,1200,9.28,-1*$F$31)</f>
        <v>-0.40178305461727071</v>
      </c>
      <c r="AR30" s="484"/>
      <c r="AS30" s="484"/>
      <c r="AT30" s="484"/>
      <c r="AU30" s="638"/>
      <c r="AV30" s="638"/>
      <c r="AW30" s="638"/>
      <c r="AX30" s="638"/>
      <c r="AY30" s="484"/>
      <c r="AZ30" s="484"/>
      <c r="BA30" s="671"/>
      <c r="BB30" s="1239"/>
      <c r="BC30" s="169"/>
      <c r="BD30" s="1330"/>
      <c r="BE30" s="1330"/>
      <c r="BF30" s="1330"/>
      <c r="BG30" s="1330"/>
    </row>
    <row r="31" spans="1:59" ht="15.65" customHeight="1">
      <c r="A31" s="1239"/>
      <c r="B31" s="435" t="s">
        <v>3594</v>
      </c>
      <c r="C31" s="446">
        <f>+$C$29+$G$30</f>
        <v>12953.289999999999</v>
      </c>
      <c r="D31" s="638"/>
      <c r="E31" s="638"/>
      <c r="F31" s="447">
        <v>2024</v>
      </c>
      <c r="G31" s="484"/>
      <c r="H31" s="638"/>
      <c r="I31" s="448"/>
      <c r="J31" s="446"/>
      <c r="K31" s="638"/>
      <c r="L31" s="445" t="s">
        <v>232</v>
      </c>
      <c r="M31" s="638" t="str">
        <f>IF(AX31="PT",VLOOKUP(L31,'Foundation Calculation'!$V$2:$X$40,VLOOKUP(AX31,'Foundation Calculation'!$I$10:$J$13,2,FALSE),0),IF(AX31="K",VLOOKUP(L31,'Foundation Calculation'!$V$42:$X$80,VLOOKUP(AX31,'Foundation Calculation'!$I$10:$J$13,2,FALSE),0),""))</f>
        <v>C5R</v>
      </c>
      <c r="N31" s="1239" t="s">
        <v>143</v>
      </c>
      <c r="O31" s="638"/>
      <c r="P31" s="638"/>
      <c r="Q31" s="638"/>
      <c r="R31" s="638"/>
      <c r="S31" s="484"/>
      <c r="T31" s="638">
        <v>-30</v>
      </c>
      <c r="U31" s="638"/>
      <c r="V31" s="638"/>
      <c r="W31" s="638">
        <v>1.4</v>
      </c>
      <c r="X31" s="638"/>
      <c r="Y31" s="638"/>
      <c r="Z31" s="638"/>
      <c r="AA31" s="638"/>
      <c r="AB31" s="638"/>
      <c r="AC31" s="638" t="str">
        <f t="shared" si="0"/>
        <v>PH-Q</v>
      </c>
      <c r="AD31" s="638"/>
      <c r="AE31" s="638"/>
      <c r="AF31" s="638"/>
      <c r="AG31" s="446"/>
      <c r="AH31" s="638"/>
      <c r="AI31" s="185"/>
      <c r="AJ31" s="445"/>
      <c r="AK31" s="1239"/>
      <c r="AL31" s="638"/>
      <c r="AM31" s="638" t="s">
        <v>1043</v>
      </c>
      <c r="AN31" s="455">
        <v>5.15</v>
      </c>
      <c r="AO31" s="1239"/>
      <c r="AP31" s="1239"/>
      <c r="AQ31" s="484"/>
      <c r="AR31" s="484"/>
      <c r="AS31" s="484"/>
      <c r="AT31" s="484">
        <f>+ab($T$31,$T$29,$T$33,$G$30,$G$32,-1*$F$31,1200)</f>
        <v>-7.1549947400640308</v>
      </c>
      <c r="AU31" s="638"/>
      <c r="AV31" s="638"/>
      <c r="AW31" s="638" t="str">
        <f>VLOOKUP(C31,'Foundation Calculation'!$A$2:$C$33,3,1)</f>
        <v>Soil B</v>
      </c>
      <c r="AX31" s="638" t="str">
        <f>VLOOKUP(C31,'Foundation Calculation'!$E$2:$G$33,3,1)</f>
        <v>PT</v>
      </c>
      <c r="AY31" s="484">
        <f>IF(AX31="PT",VLOOKUP(L31,'Foundation Calculation'!$K$2:$R$40,VLOOKUP(AW31,'Foundation Calculation'!$I$2:$J$8,2,FALSE),0),IF(AX31="K",VLOOKUP(L31,'Foundation Calculation'!$K$42:$R$80,VLOOKUP(AW31,'Foundation Calculation'!$I$2:$J$8,2,FALSE),0),""))</f>
        <v>3.5</v>
      </c>
      <c r="AZ31" s="484"/>
      <c r="BA31" s="671" t="s">
        <v>2809</v>
      </c>
      <c r="BB31" s="1239" t="str">
        <f>Pole_Calculations!A152</f>
        <v>App.7.1-V01-P9.5.1.1</v>
      </c>
      <c r="BC31" s="169"/>
      <c r="BD31" s="1329"/>
      <c r="BE31" s="1329"/>
      <c r="BF31" s="1330"/>
      <c r="BG31" s="1329"/>
    </row>
    <row r="32" spans="1:59" ht="15.65" customHeight="1">
      <c r="A32" s="1239"/>
      <c r="B32" s="173"/>
      <c r="C32" s="446"/>
      <c r="D32" s="447"/>
      <c r="E32" s="447"/>
      <c r="F32" s="447"/>
      <c r="G32" s="484">
        <v>54</v>
      </c>
      <c r="H32" s="1239"/>
      <c r="I32" s="448"/>
      <c r="J32" s="446"/>
      <c r="K32" s="638"/>
      <c r="L32" s="445"/>
      <c r="M32" s="445"/>
      <c r="N32" s="1239"/>
      <c r="O32" s="1239"/>
      <c r="P32" s="638"/>
      <c r="Q32" s="638"/>
      <c r="R32" s="638"/>
      <c r="S32" s="484"/>
      <c r="T32" s="638"/>
      <c r="U32" s="638"/>
      <c r="V32" s="638"/>
      <c r="W32" s="638"/>
      <c r="X32" s="638"/>
      <c r="Y32" s="638"/>
      <c r="Z32" s="638"/>
      <c r="AA32" s="638"/>
      <c r="AB32" s="638"/>
      <c r="AC32" s="638"/>
      <c r="AD32" s="638"/>
      <c r="AE32" s="638"/>
      <c r="AF32" s="638"/>
      <c r="AG32" s="446"/>
      <c r="AH32" s="638"/>
      <c r="AI32" s="185"/>
      <c r="AJ32" s="445"/>
      <c r="AK32" s="1239"/>
      <c r="AL32" s="638"/>
      <c r="AM32" s="638"/>
      <c r="AN32" s="455"/>
      <c r="AO32" s="1239"/>
      <c r="AP32" s="1239"/>
      <c r="AQ32" s="484">
        <f>+FL_2($T$33,$T$31,$G$32,1200,9.28,-1*$F$33)</f>
        <v>-0.40178305461727071</v>
      </c>
      <c r="AR32" s="484"/>
      <c r="AS32" s="484"/>
      <c r="AT32" s="484"/>
      <c r="AU32" s="638"/>
      <c r="AV32" s="638"/>
      <c r="AW32" s="484"/>
      <c r="AX32" s="484"/>
      <c r="AY32" s="484"/>
      <c r="AZ32" s="484"/>
      <c r="BA32" s="671"/>
      <c r="BB32" s="1239"/>
      <c r="BC32" s="169"/>
      <c r="BD32" s="1330"/>
      <c r="BE32" s="1330"/>
      <c r="BF32" s="1330"/>
      <c r="BG32" s="1330"/>
    </row>
    <row r="33" spans="1:59" ht="15.65" customHeight="1">
      <c r="A33" s="1239"/>
      <c r="B33" s="439" t="s">
        <v>3595</v>
      </c>
      <c r="C33" s="446">
        <f>+$C$31+$G$32</f>
        <v>13007.289999999999</v>
      </c>
      <c r="D33" s="447"/>
      <c r="E33" s="447"/>
      <c r="F33" s="447">
        <v>2024</v>
      </c>
      <c r="G33" s="484"/>
      <c r="H33" s="638"/>
      <c r="I33" s="448"/>
      <c r="J33" s="446"/>
      <c r="K33" s="638"/>
      <c r="L33" s="445" t="s">
        <v>232</v>
      </c>
      <c r="M33" s="638" t="str">
        <f>IF(AX33="PT",VLOOKUP(L33,'Foundation Calculation'!$V$2:$X$40,VLOOKUP(AX33,'Foundation Calculation'!$I$10:$J$13,2,FALSE),0),IF(AX33="K",VLOOKUP(L33,'Foundation Calculation'!$V$42:$X$80,VLOOKUP(AX33,'Foundation Calculation'!$I$10:$J$13,2,FALSE),0),""))</f>
        <v>C5R</v>
      </c>
      <c r="N33" s="1239" t="s">
        <v>143</v>
      </c>
      <c r="O33" s="1239"/>
      <c r="P33" s="638"/>
      <c r="Q33" s="638"/>
      <c r="R33" s="638"/>
      <c r="S33" s="484"/>
      <c r="T33" s="638">
        <v>-30</v>
      </c>
      <c r="U33" s="638"/>
      <c r="V33" s="638"/>
      <c r="W33" s="638">
        <v>1.4</v>
      </c>
      <c r="X33" s="638"/>
      <c r="Y33" s="638"/>
      <c r="Z33" s="638"/>
      <c r="AA33" s="638"/>
      <c r="AB33" s="638"/>
      <c r="AC33" s="638" t="str">
        <f t="shared" si="0"/>
        <v>PH-Q</v>
      </c>
      <c r="AD33" s="638"/>
      <c r="AE33" s="638"/>
      <c r="AF33" s="638"/>
      <c r="AG33" s="446"/>
      <c r="AH33" s="638"/>
      <c r="AI33" s="185"/>
      <c r="AJ33" s="445"/>
      <c r="AK33" s="1239"/>
      <c r="AL33" s="638"/>
      <c r="AM33" s="638" t="s">
        <v>1043</v>
      </c>
      <c r="AN33" s="455">
        <v>5.15</v>
      </c>
      <c r="AO33" s="1239"/>
      <c r="AP33" s="1239"/>
      <c r="AQ33" s="484"/>
      <c r="AR33" s="484"/>
      <c r="AS33" s="484"/>
      <c r="AT33" s="484">
        <f>+ab($T$33,$T$31,$T$35,$G$32,$G$34,-1*$F$33,1200)</f>
        <v>-7.2211611921912002</v>
      </c>
      <c r="AU33" s="638"/>
      <c r="AV33" s="638"/>
      <c r="AW33" s="638" t="str">
        <f>VLOOKUP(C33,'Foundation Calculation'!$A$2:$C$33,3,1)</f>
        <v>Soil B</v>
      </c>
      <c r="AX33" s="638" t="str">
        <f>VLOOKUP(C33,'Foundation Calculation'!$E$2:$G$33,3,1)</f>
        <v>PT</v>
      </c>
      <c r="AY33" s="484">
        <f>IF(AX33="PT",VLOOKUP(L33,'Foundation Calculation'!$K$2:$R$40,VLOOKUP(AW33,'Foundation Calculation'!$I$2:$J$8,2,FALSE),0),IF(AX33="K",VLOOKUP(L33,'Foundation Calculation'!$K$42:$R$80,VLOOKUP(AW33,'Foundation Calculation'!$I$2:$J$8,2,FALSE),0),""))</f>
        <v>3.5</v>
      </c>
      <c r="AZ33" s="484"/>
      <c r="BA33" s="671" t="s">
        <v>2809</v>
      </c>
      <c r="BB33" s="1239" t="str">
        <f>Pole_Calculations!A152</f>
        <v>App.7.1-V01-P9.5.1.1</v>
      </c>
      <c r="BC33" s="169"/>
      <c r="BD33" s="1329"/>
      <c r="BE33" s="1329"/>
      <c r="BF33" s="1330"/>
      <c r="BG33" s="1329"/>
    </row>
    <row r="34" spans="1:59" ht="15.65" customHeight="1">
      <c r="A34" s="1239"/>
      <c r="B34" s="173"/>
      <c r="C34" s="446"/>
      <c r="D34" s="447"/>
      <c r="E34" s="447"/>
      <c r="F34" s="447"/>
      <c r="G34" s="484">
        <v>53</v>
      </c>
      <c r="H34" s="168"/>
      <c r="I34" s="448"/>
      <c r="J34" s="446">
        <f>C35-7.5</f>
        <v>13052.789999999999</v>
      </c>
      <c r="K34" s="638" t="s">
        <v>2788</v>
      </c>
      <c r="L34" s="445"/>
      <c r="M34" s="445"/>
      <c r="N34" s="1239"/>
      <c r="O34" s="1239"/>
      <c r="P34" s="638"/>
      <c r="Q34" s="638"/>
      <c r="R34" s="638"/>
      <c r="S34" s="484"/>
      <c r="T34" s="638"/>
      <c r="U34" s="638"/>
      <c r="V34" s="638"/>
      <c r="W34" s="638"/>
      <c r="X34" s="638"/>
      <c r="Y34" s="638"/>
      <c r="Z34" s="638"/>
      <c r="AA34" s="638"/>
      <c r="AB34" s="638"/>
      <c r="AC34" s="638"/>
      <c r="AD34" s="638"/>
      <c r="AE34" s="638"/>
      <c r="AF34" s="638"/>
      <c r="AG34" s="446"/>
      <c r="AH34" s="638"/>
      <c r="AI34" s="185"/>
      <c r="AJ34" s="638"/>
      <c r="AK34" s="1239"/>
      <c r="AL34" s="638"/>
      <c r="AM34" s="638"/>
      <c r="AN34" s="455"/>
      <c r="AO34" s="1239"/>
      <c r="AP34" s="1239"/>
      <c r="AQ34" s="484">
        <f>+FL_2($T$35,$T$33,$G$34,1200,9.28,-1*$F$35)</f>
        <v>-0.39804850012918513</v>
      </c>
      <c r="AR34" s="484"/>
      <c r="AS34" s="484"/>
      <c r="AT34" s="484"/>
      <c r="AU34" s="638"/>
      <c r="AV34" s="638"/>
      <c r="AW34" s="638" t="str">
        <f>VLOOKUP(J34,'Foundation Calculation'!$A$2:$C$33,3,1)</f>
        <v>Soil B</v>
      </c>
      <c r="AX34" s="638" t="str">
        <f>VLOOKUP(J34,'Foundation Calculation'!$E$2:$G$33,3,1)</f>
        <v>PT</v>
      </c>
      <c r="AY34" s="484"/>
      <c r="AZ34" s="484">
        <f>IF(AX34="PT",VLOOKUP(K34,'Foundation Calculation'!$K$2:$R$40,VLOOKUP(AW34,'Foundation Calculation'!$I$2:$J$8,2,FALSE),0),IF(AX34="K",VLOOKUP(K34,'Foundation Calculation'!$K$42:$R$80,VLOOKUP(AW34,'Foundation Calculation'!$I$2:$J$8,2,FALSE),0),""))</f>
        <v>2.8</v>
      </c>
      <c r="BA34" s="671" t="s">
        <v>2809</v>
      </c>
      <c r="BB34" s="1239"/>
      <c r="BC34" s="169"/>
      <c r="BD34" s="1329"/>
      <c r="BE34" s="1330"/>
      <c r="BF34" s="1330"/>
      <c r="BG34" s="1330"/>
    </row>
    <row r="35" spans="1:59" ht="15.65" customHeight="1">
      <c r="A35" s="1239"/>
      <c r="B35" s="439" t="s">
        <v>3596</v>
      </c>
      <c r="C35" s="446">
        <f>+$C$33+$G$34</f>
        <v>13060.289999999999</v>
      </c>
      <c r="D35" s="447"/>
      <c r="E35" s="447"/>
      <c r="F35" s="447">
        <v>2024</v>
      </c>
      <c r="G35" s="484"/>
      <c r="H35" s="638" t="s">
        <v>873</v>
      </c>
      <c r="I35" s="448"/>
      <c r="J35" s="446"/>
      <c r="K35" s="638"/>
      <c r="L35" s="445" t="s">
        <v>232</v>
      </c>
      <c r="M35" s="638" t="str">
        <f>IF(AX35="PT",VLOOKUP(L35,'Foundation Calculation'!$V$2:$X$40,VLOOKUP(AX35,'Foundation Calculation'!$I$10:$J$13,2,FALSE),0),IF(AX35="K",VLOOKUP(L35,'Foundation Calculation'!$V$42:$X$80,VLOOKUP(AX35,'Foundation Calculation'!$I$10:$J$13,2,FALSE),0),""))</f>
        <v>C5R</v>
      </c>
      <c r="N35" s="1239" t="s">
        <v>143</v>
      </c>
      <c r="O35" s="638"/>
      <c r="P35" s="638"/>
      <c r="Q35" s="638"/>
      <c r="R35" s="638"/>
      <c r="S35" s="484"/>
      <c r="T35" s="638">
        <v>-30</v>
      </c>
      <c r="U35" s="638"/>
      <c r="V35" s="638"/>
      <c r="W35" s="638">
        <v>1.4</v>
      </c>
      <c r="X35" s="638"/>
      <c r="Y35" s="638"/>
      <c r="Z35" s="638"/>
      <c r="AA35" s="638"/>
      <c r="AB35" s="638"/>
      <c r="AC35" s="638" t="str">
        <f t="shared" si="0"/>
        <v>PH-Q</v>
      </c>
      <c r="AD35" s="638"/>
      <c r="AE35" s="638"/>
      <c r="AF35" s="638"/>
      <c r="AG35" s="446"/>
      <c r="AH35" s="638"/>
      <c r="AI35" s="185"/>
      <c r="AJ35" s="445"/>
      <c r="AK35" s="1239"/>
      <c r="AL35" s="638"/>
      <c r="AM35" s="638" t="s">
        <v>1043</v>
      </c>
      <c r="AN35" s="455">
        <v>5.15</v>
      </c>
      <c r="AO35" s="1239"/>
      <c r="AP35" s="1239"/>
      <c r="AQ35" s="484"/>
      <c r="AR35" s="484"/>
      <c r="AS35" s="484"/>
      <c r="AT35" s="484">
        <f>+ab($T$35,$T$33,$T$37,$G$34,$G$36,-1*$F$35,1200)</f>
        <v>-7.7207413831399894</v>
      </c>
      <c r="AU35" s="638"/>
      <c r="AV35" s="638"/>
      <c r="AW35" s="638" t="str">
        <f>VLOOKUP(C35,'Foundation Calculation'!$A$2:$C$33,3,1)</f>
        <v>Soil B</v>
      </c>
      <c r="AX35" s="638" t="str">
        <f>VLOOKUP(C35,'Foundation Calculation'!$E$2:$G$33,3,1)</f>
        <v>PT</v>
      </c>
      <c r="AY35" s="484">
        <f>IF(AX35="PT",VLOOKUP(L35,'Foundation Calculation'!$K$2:$R$40,VLOOKUP(AW35,'Foundation Calculation'!$I$2:$J$8,2,FALSE),0),IF(AX35="K",VLOOKUP(L35,'Foundation Calculation'!$K$42:$R$80,VLOOKUP(AW35,'Foundation Calculation'!$I$2:$J$8,2,FALSE),0),""))</f>
        <v>3.5</v>
      </c>
      <c r="AZ35" s="484"/>
      <c r="BA35" s="671" t="s">
        <v>2809</v>
      </c>
      <c r="BB35" s="1239" t="str">
        <f>Pole_Calculations!A154</f>
        <v>App.7.1-V01-P9.5.1.3</v>
      </c>
      <c r="BC35" s="169"/>
      <c r="BD35" s="1329"/>
      <c r="BE35" s="1329"/>
      <c r="BF35" s="1330"/>
      <c r="BG35" s="1329"/>
    </row>
    <row r="36" spans="1:59" ht="15.65" customHeight="1">
      <c r="A36" s="1239"/>
      <c r="B36" s="173"/>
      <c r="C36" s="446"/>
      <c r="D36" s="447"/>
      <c r="E36" s="447"/>
      <c r="F36" s="447"/>
      <c r="G36" s="484">
        <v>47</v>
      </c>
      <c r="H36" s="1239"/>
      <c r="I36" s="448">
        <f>C37-C5</f>
        <v>542.09999999999854</v>
      </c>
      <c r="J36" s="446"/>
      <c r="K36" s="638"/>
      <c r="L36" s="638"/>
      <c r="M36" s="638"/>
      <c r="N36" s="1239"/>
      <c r="O36" s="1239"/>
      <c r="P36" s="638"/>
      <c r="Q36" s="638"/>
      <c r="R36" s="638"/>
      <c r="S36" s="484"/>
      <c r="T36" s="638"/>
      <c r="U36" s="638"/>
      <c r="V36" s="638"/>
      <c r="W36" s="638"/>
      <c r="X36" s="638"/>
      <c r="Y36" s="638"/>
      <c r="Z36" s="638"/>
      <c r="AA36" s="638"/>
      <c r="AB36" s="638"/>
      <c r="AC36" s="638"/>
      <c r="AD36" s="638"/>
      <c r="AE36" s="638"/>
      <c r="AF36" s="638"/>
      <c r="AG36" s="446"/>
      <c r="AH36" s="638"/>
      <c r="AI36" s="185"/>
      <c r="AJ36" s="638"/>
      <c r="AK36" s="1239"/>
      <c r="AL36" s="638"/>
      <c r="AM36" s="638"/>
      <c r="AN36" s="455"/>
      <c r="AO36" s="1239"/>
      <c r="AP36" s="1239"/>
      <c r="AQ36" s="484">
        <f>+FL_2($T$37,$T$35,$G$36,1200,9.28,-1*$F$37)</f>
        <v>-0.37710667330118464</v>
      </c>
      <c r="AR36" s="484"/>
      <c r="AS36" s="484"/>
      <c r="AT36" s="484"/>
      <c r="AU36" s="638"/>
      <c r="AV36" s="638"/>
      <c r="AW36" s="638"/>
      <c r="AX36" s="638"/>
      <c r="AY36" s="484"/>
      <c r="AZ36" s="484"/>
      <c r="BA36" s="671"/>
      <c r="BB36" s="1239"/>
      <c r="BC36" s="169"/>
      <c r="BD36" s="1330"/>
      <c r="BE36" s="1330"/>
      <c r="BF36" s="1330"/>
      <c r="BG36" s="1330"/>
    </row>
    <row r="37" spans="1:59" ht="15.65" customHeight="1">
      <c r="A37" s="1239"/>
      <c r="B37" s="439" t="s">
        <v>3597</v>
      </c>
      <c r="C37" s="446">
        <f>+$C$35+$G$36</f>
        <v>13107.289999999999</v>
      </c>
      <c r="D37" s="447"/>
      <c r="E37" s="447"/>
      <c r="F37" s="447">
        <v>2024</v>
      </c>
      <c r="G37" s="484"/>
      <c r="H37" s="638" t="s">
        <v>874</v>
      </c>
      <c r="I37" s="448"/>
      <c r="J37" s="446"/>
      <c r="K37" s="638"/>
      <c r="L37" s="445" t="s">
        <v>232</v>
      </c>
      <c r="M37" s="638" t="str">
        <f>IF(AX37="PT",VLOOKUP(L37,'Foundation Calculation'!$V$2:$X$40,VLOOKUP(AX37,'Foundation Calculation'!$I$10:$J$13,2,FALSE),0),IF(AX37="K",VLOOKUP(L37,'Foundation Calculation'!$V$42:$X$80,VLOOKUP(AX37,'Foundation Calculation'!$I$10:$J$13,2,FALSE),0),""))</f>
        <v>C5R</v>
      </c>
      <c r="N37" s="1239" t="s">
        <v>143</v>
      </c>
      <c r="O37" s="638"/>
      <c r="P37" s="638"/>
      <c r="Q37" s="638"/>
      <c r="R37" s="638"/>
      <c r="S37" s="484"/>
      <c r="T37" s="638">
        <v>-30</v>
      </c>
      <c r="U37" s="638"/>
      <c r="V37" s="638"/>
      <c r="W37" s="638">
        <v>1.4</v>
      </c>
      <c r="X37" s="638"/>
      <c r="Y37" s="638"/>
      <c r="Z37" s="638"/>
      <c r="AA37" s="638"/>
      <c r="AB37" s="638"/>
      <c r="AC37" s="638" t="str">
        <f t="shared" si="0"/>
        <v>PH-Q</v>
      </c>
      <c r="AD37" s="638"/>
      <c r="AE37" s="638"/>
      <c r="AF37" s="638"/>
      <c r="AG37" s="446"/>
      <c r="AH37" s="638"/>
      <c r="AI37" s="185"/>
      <c r="AJ37" s="445"/>
      <c r="AK37" s="1239"/>
      <c r="AL37" s="638"/>
      <c r="AM37" s="638" t="s">
        <v>1043</v>
      </c>
      <c r="AN37" s="455">
        <v>5.15</v>
      </c>
      <c r="AO37" s="1239"/>
      <c r="AP37" s="1239"/>
      <c r="AQ37" s="484"/>
      <c r="AR37" s="484"/>
      <c r="AS37" s="484"/>
      <c r="AT37" s="484">
        <f>+ab($T$37,$T$35,$T$39,$G$36,$G$38,-1*$F$37,1200)</f>
        <v>-7.9565141106453954</v>
      </c>
      <c r="AU37" s="638"/>
      <c r="AV37" s="638"/>
      <c r="AW37" s="638" t="str">
        <f>VLOOKUP(C37,'Foundation Calculation'!$A$2:$C$33,3,1)</f>
        <v>Soil B</v>
      </c>
      <c r="AX37" s="638" t="str">
        <f>VLOOKUP(C37,'Foundation Calculation'!$E$2:$G$33,3,1)</f>
        <v>PT</v>
      </c>
      <c r="AY37" s="484">
        <f>IF(AX37="PT",VLOOKUP(L37,'Foundation Calculation'!$K$2:$R$40,VLOOKUP(AW37,'Foundation Calculation'!$I$2:$J$8,2,FALSE),0),IF(AX37="K",VLOOKUP(L37,'Foundation Calculation'!$K$42:$R$80,VLOOKUP(AW37,'Foundation Calculation'!$I$2:$J$8,2,FALSE),0),""))</f>
        <v>3.5</v>
      </c>
      <c r="AZ37" s="484"/>
      <c r="BA37" s="671" t="s">
        <v>2809</v>
      </c>
      <c r="BB37" s="1239" t="str">
        <f>Pole_Calculations!A153</f>
        <v>App.7.1-V01-P9.5.1.2</v>
      </c>
      <c r="BC37" s="169"/>
      <c r="BD37" s="1329"/>
      <c r="BE37" s="1329"/>
      <c r="BF37" s="1330"/>
      <c r="BG37" s="1329"/>
    </row>
    <row r="38" spans="1:59" ht="15.65" customHeight="1">
      <c r="A38" s="449"/>
      <c r="B38" s="485"/>
      <c r="C38" s="446"/>
      <c r="D38" s="445"/>
      <c r="E38" s="445"/>
      <c r="F38" s="448"/>
      <c r="G38" s="455">
        <v>50</v>
      </c>
      <c r="H38" s="445"/>
      <c r="I38" s="447">
        <f>C57-C37</f>
        <v>555.79999999999927</v>
      </c>
      <c r="J38" s="446"/>
      <c r="K38" s="445"/>
      <c r="L38" s="445"/>
      <c r="M38" s="638"/>
      <c r="N38" s="445"/>
      <c r="O38" s="445"/>
      <c r="P38" s="445"/>
      <c r="Q38" s="638"/>
      <c r="R38" s="638"/>
      <c r="S38" s="484"/>
      <c r="T38" s="638"/>
      <c r="U38" s="638"/>
      <c r="V38" s="638"/>
      <c r="W38" s="638"/>
      <c r="X38" s="638"/>
      <c r="Y38" s="638"/>
      <c r="Z38" s="638"/>
      <c r="AA38" s="638"/>
      <c r="AB38" s="638"/>
      <c r="AC38" s="638"/>
      <c r="AD38" s="638"/>
      <c r="AE38" s="638"/>
      <c r="AF38" s="638"/>
      <c r="AG38" s="446"/>
      <c r="AH38" s="638"/>
      <c r="AI38" s="185"/>
      <c r="AJ38" s="445"/>
      <c r="AK38" s="445"/>
      <c r="AL38" s="445"/>
      <c r="AM38" s="445"/>
      <c r="AN38" s="455"/>
      <c r="AO38" s="445"/>
      <c r="AP38" s="445"/>
      <c r="AQ38" s="484">
        <f>+FL_2($T$39,$T$37,$G$38,1200,9.28,-1*$F$39)</f>
        <v>-0.3872635440570017</v>
      </c>
      <c r="AR38" s="484"/>
      <c r="AS38" s="484"/>
      <c r="AT38" s="484"/>
      <c r="AU38" s="638"/>
      <c r="AV38" s="638"/>
      <c r="AW38" s="638"/>
      <c r="AX38" s="638"/>
      <c r="AY38" s="484"/>
      <c r="AZ38" s="484"/>
      <c r="BA38" s="671"/>
      <c r="BB38" s="449"/>
      <c r="BC38" s="169"/>
      <c r="BD38" s="1330"/>
      <c r="BE38" s="1330"/>
      <c r="BF38" s="1330"/>
      <c r="BG38" s="1330"/>
    </row>
    <row r="39" spans="1:59" ht="15.65" customHeight="1">
      <c r="A39" s="449"/>
      <c r="B39" s="668" t="s">
        <v>3598</v>
      </c>
      <c r="C39" s="446">
        <f>+$C$37+$G$38</f>
        <v>13157.289999999999</v>
      </c>
      <c r="D39" s="638"/>
      <c r="E39" s="638"/>
      <c r="F39" s="447">
        <v>2024</v>
      </c>
      <c r="G39" s="484"/>
      <c r="H39" s="638" t="s">
        <v>873</v>
      </c>
      <c r="I39" s="447"/>
      <c r="J39" s="446"/>
      <c r="K39" s="638"/>
      <c r="L39" s="445" t="s">
        <v>232</v>
      </c>
      <c r="M39" s="638" t="str">
        <f>IF(AX39="PT",VLOOKUP(L39,'Foundation Calculation'!$V$2:$X$40,VLOOKUP(AX39,'Foundation Calculation'!$I$10:$J$13,2,FALSE),0),IF(AX39="K",VLOOKUP(L39,'Foundation Calculation'!$V$42:$X$80,VLOOKUP(AX39,'Foundation Calculation'!$I$10:$J$13,2,FALSE),0),""))</f>
        <v>C5R</v>
      </c>
      <c r="N39" s="1239" t="s">
        <v>143</v>
      </c>
      <c r="O39" s="445" t="s">
        <v>638</v>
      </c>
      <c r="P39" s="445"/>
      <c r="Q39" s="638"/>
      <c r="R39" s="638"/>
      <c r="S39" s="484"/>
      <c r="T39" s="638">
        <v>-30</v>
      </c>
      <c r="U39" s="638"/>
      <c r="V39" s="638"/>
      <c r="W39" s="638">
        <v>1.2</v>
      </c>
      <c r="X39" s="638"/>
      <c r="Y39" s="638"/>
      <c r="Z39" s="638"/>
      <c r="AA39" s="638"/>
      <c r="AB39" s="638"/>
      <c r="AC39" s="638" t="str">
        <f t="shared" si="0"/>
        <v>PH-Q</v>
      </c>
      <c r="AD39" s="638"/>
      <c r="AE39" s="638"/>
      <c r="AF39" s="638"/>
      <c r="AG39" s="446"/>
      <c r="AH39" s="638"/>
      <c r="AI39" s="185"/>
      <c r="AJ39" s="445"/>
      <c r="AK39" s="445"/>
      <c r="AL39" s="638"/>
      <c r="AM39" s="445" t="s">
        <v>1043</v>
      </c>
      <c r="AN39" s="455">
        <v>5.15</v>
      </c>
      <c r="AO39" s="445"/>
      <c r="AP39" s="445"/>
      <c r="AQ39" s="484"/>
      <c r="AR39" s="484"/>
      <c r="AS39" s="484"/>
      <c r="AT39" s="484">
        <f>+ab($T$39,$T$37,$T$41,$G$38,$G$40,-1*$F$39,1200)</f>
        <v>-7.4237821748029766</v>
      </c>
      <c r="AU39" s="638"/>
      <c r="AV39" s="638"/>
      <c r="AW39" s="638" t="str">
        <f>VLOOKUP(C39,'Foundation Calculation'!$A$2:$C$33,3,1)</f>
        <v>Soil B</v>
      </c>
      <c r="AX39" s="638" t="str">
        <f>VLOOKUP(C39,'Foundation Calculation'!$E$2:$G$33,3,1)</f>
        <v>PT</v>
      </c>
      <c r="AY39" s="484">
        <f>IF(AX39="PT",VLOOKUP(L39,'Foundation Calculation'!$K$2:$R$40,VLOOKUP(AW39,'Foundation Calculation'!$I$2:$J$8,2,FALSE),0),IF(AX39="K",VLOOKUP(L39,'Foundation Calculation'!$K$42:$R$80,VLOOKUP(AW39,'Foundation Calculation'!$I$2:$J$8,2,FALSE),0),""))</f>
        <v>3.5</v>
      </c>
      <c r="AZ39" s="484"/>
      <c r="BA39" s="671" t="s">
        <v>2809</v>
      </c>
      <c r="BB39" s="449" t="str">
        <f>Pole_Calculations!A154</f>
        <v>App.7.1-V01-P9.5.1.3</v>
      </c>
      <c r="BC39" s="169"/>
      <c r="BD39" s="1329"/>
      <c r="BE39" s="1329"/>
      <c r="BF39" s="1330"/>
      <c r="BG39" s="1329"/>
    </row>
    <row r="40" spans="1:59" ht="15.65" customHeight="1">
      <c r="A40" s="449"/>
      <c r="B40" s="435"/>
      <c r="C40" s="446"/>
      <c r="D40" s="638"/>
      <c r="E40" s="638"/>
      <c r="F40" s="448"/>
      <c r="G40" s="455">
        <v>50</v>
      </c>
      <c r="H40" s="638"/>
      <c r="I40" s="447"/>
      <c r="J40" s="446">
        <f>C39+7.5</f>
        <v>13164.789999999999</v>
      </c>
      <c r="K40" s="638" t="s">
        <v>2788</v>
      </c>
      <c r="L40" s="445"/>
      <c r="M40" s="638"/>
      <c r="N40" s="1239"/>
      <c r="O40" s="1239"/>
      <c r="P40" s="638"/>
      <c r="Q40" s="638"/>
      <c r="R40" s="638"/>
      <c r="S40" s="484"/>
      <c r="T40" s="638"/>
      <c r="U40" s="638"/>
      <c r="V40" s="638"/>
      <c r="W40" s="638"/>
      <c r="X40" s="638"/>
      <c r="Y40" s="638"/>
      <c r="Z40" s="638"/>
      <c r="AA40" s="638"/>
      <c r="AB40" s="638"/>
      <c r="AC40" s="638"/>
      <c r="AD40" s="638"/>
      <c r="AE40" s="638"/>
      <c r="AF40" s="638"/>
      <c r="AG40" s="446"/>
      <c r="AH40" s="638"/>
      <c r="AI40" s="185"/>
      <c r="AJ40" s="445"/>
      <c r="AK40" s="1239"/>
      <c r="AL40" s="638"/>
      <c r="AM40" s="638"/>
      <c r="AN40" s="455"/>
      <c r="AO40" s="1239"/>
      <c r="AP40" s="445"/>
      <c r="AQ40" s="484">
        <f>+FL_2($T$41,$T$39,$G$40,1200,9.28,-1*$F$41)</f>
        <v>-0.40492172850772212</v>
      </c>
      <c r="AR40" s="484"/>
      <c r="AS40" s="484"/>
      <c r="AT40" s="484"/>
      <c r="AU40" s="638"/>
      <c r="AV40" s="638"/>
      <c r="AW40" s="638" t="str">
        <f>VLOOKUP(J40,'Foundation Calculation'!$A$2:$C$33,3,1)</f>
        <v>Soil B</v>
      </c>
      <c r="AX40" s="638" t="str">
        <f>VLOOKUP(J40,'Foundation Calculation'!$E$2:$G$33,3,1)</f>
        <v>PT</v>
      </c>
      <c r="AY40" s="484"/>
      <c r="AZ40" s="484">
        <f>IF(AX40="PT",VLOOKUP(K40,'Foundation Calculation'!$K$2:$R$40,VLOOKUP(AW40,'Foundation Calculation'!$I$2:$J$8,2,FALSE),0),IF(AX40="K",VLOOKUP(K40,'Foundation Calculation'!$K$42:$R$80,VLOOKUP(AW40,'Foundation Calculation'!$I$2:$J$8,2,FALSE),0),""))</f>
        <v>2.8</v>
      </c>
      <c r="BA40" s="671" t="s">
        <v>2809</v>
      </c>
      <c r="BB40" s="449"/>
      <c r="BC40" s="169"/>
      <c r="BD40" s="1329"/>
      <c r="BE40" s="1330"/>
      <c r="BF40" s="1330"/>
      <c r="BG40" s="1330"/>
    </row>
    <row r="41" spans="1:59" ht="15.65" customHeight="1">
      <c r="A41" s="449"/>
      <c r="B41" s="439" t="s">
        <v>3599</v>
      </c>
      <c r="C41" s="446">
        <f>+$C$39+$G$40</f>
        <v>13207.289999999999</v>
      </c>
      <c r="D41" s="638"/>
      <c r="E41" s="638"/>
      <c r="F41" s="448">
        <f>-(551^2)/(C41-13317.03)</f>
        <v>2766.5482048477816</v>
      </c>
      <c r="G41" s="484"/>
      <c r="H41" s="638"/>
      <c r="I41" s="448"/>
      <c r="J41" s="446"/>
      <c r="K41" s="638"/>
      <c r="L41" s="445" t="s">
        <v>232</v>
      </c>
      <c r="M41" s="638" t="str">
        <f>IF(AX41="PT",VLOOKUP(L41,'Foundation Calculation'!$V$2:$X$40,VLOOKUP(AX41,'Foundation Calculation'!$I$10:$J$13,2,FALSE),0),IF(AX41="K",VLOOKUP(L41,'Foundation Calculation'!$V$42:$X$80,VLOOKUP(AX41,'Foundation Calculation'!$I$10:$J$13,2,FALSE),0),""))</f>
        <v>C5R</v>
      </c>
      <c r="N41" s="1239" t="s">
        <v>143</v>
      </c>
      <c r="O41" s="1239"/>
      <c r="P41" s="638"/>
      <c r="Q41" s="638"/>
      <c r="R41" s="638"/>
      <c r="S41" s="484"/>
      <c r="T41" s="638">
        <v>-25</v>
      </c>
      <c r="U41" s="638"/>
      <c r="V41" s="638"/>
      <c r="W41" s="638">
        <v>1</v>
      </c>
      <c r="X41" s="638"/>
      <c r="Y41" s="638"/>
      <c r="Z41" s="638"/>
      <c r="AA41" s="638"/>
      <c r="AB41" s="638"/>
      <c r="AC41" s="638" t="str">
        <f t="shared" si="0"/>
        <v>PH</v>
      </c>
      <c r="AD41" s="638"/>
      <c r="AE41" s="638"/>
      <c r="AF41" s="638"/>
      <c r="AG41" s="446"/>
      <c r="AH41" s="638"/>
      <c r="AI41" s="638"/>
      <c r="AJ41" s="638"/>
      <c r="AK41" s="638"/>
      <c r="AL41" s="638"/>
      <c r="AM41" s="638" t="s">
        <v>1043</v>
      </c>
      <c r="AN41" s="455">
        <v>5.15</v>
      </c>
      <c r="AO41" s="1239"/>
      <c r="AP41" s="445"/>
      <c r="AQ41" s="484"/>
      <c r="AR41" s="484"/>
      <c r="AS41" s="484"/>
      <c r="AT41" s="484">
        <f>+ab($T$41,$T$39,$T$43,$G$40,$G$42,-1*$F$41,1200)</f>
        <v>-10.14234735487541</v>
      </c>
      <c r="AU41" s="638"/>
      <c r="AV41" s="638"/>
      <c r="AW41" s="638" t="str">
        <f>VLOOKUP(C41,'Foundation Calculation'!$A$2:$C$33,3,1)</f>
        <v>Soil B</v>
      </c>
      <c r="AX41" s="638" t="str">
        <f>VLOOKUP(C41,'Foundation Calculation'!$E$2:$G$33,3,1)</f>
        <v>PT</v>
      </c>
      <c r="AY41" s="484">
        <f>IF(AX41="PT",VLOOKUP(L41,'Foundation Calculation'!$K$2:$R$40,VLOOKUP(AW41,'Foundation Calculation'!$I$2:$J$8,2,FALSE),0),IF(AX41="K",VLOOKUP(L41,'Foundation Calculation'!$K$42:$R$80,VLOOKUP(AW41,'Foundation Calculation'!$I$2:$J$8,2,FALSE),0),""))</f>
        <v>3.5</v>
      </c>
      <c r="AZ41" s="484"/>
      <c r="BA41" s="671" t="s">
        <v>2809</v>
      </c>
      <c r="BB41" s="449" t="str">
        <f>Pole_Calculations!A152</f>
        <v>App.7.1-V01-P9.5.1.1</v>
      </c>
      <c r="BC41" s="169"/>
      <c r="BD41" s="1329"/>
      <c r="BE41" s="1329"/>
      <c r="BF41" s="1330"/>
      <c r="BG41" s="1329"/>
    </row>
    <row r="42" spans="1:59" ht="15.65" customHeight="1">
      <c r="A42" s="488" t="s">
        <v>1851</v>
      </c>
      <c r="B42" s="711"/>
      <c r="C42" s="489"/>
      <c r="D42" s="490"/>
      <c r="E42" s="490"/>
      <c r="F42" s="491"/>
      <c r="G42" s="493">
        <v>54</v>
      </c>
      <c r="H42" s="495"/>
      <c r="I42" s="492"/>
      <c r="J42" s="489"/>
      <c r="K42" s="490"/>
      <c r="L42" s="494"/>
      <c r="M42" s="490"/>
      <c r="N42" s="495"/>
      <c r="O42" s="495"/>
      <c r="P42" s="490"/>
      <c r="Q42" s="490"/>
      <c r="R42" s="490"/>
      <c r="S42" s="493"/>
      <c r="T42" s="490"/>
      <c r="U42" s="490"/>
      <c r="V42" s="490"/>
      <c r="W42" s="490"/>
      <c r="X42" s="490"/>
      <c r="Y42" s="490"/>
      <c r="Z42" s="490"/>
      <c r="AA42" s="490"/>
      <c r="AB42" s="490"/>
      <c r="AC42" s="490"/>
      <c r="AD42" s="490"/>
      <c r="AE42" s="490"/>
      <c r="AF42" s="490"/>
      <c r="AG42" s="489"/>
      <c r="AH42" s="490"/>
      <c r="AI42" s="490"/>
      <c r="AJ42" s="490"/>
      <c r="AK42" s="490"/>
      <c r="AL42" s="490"/>
      <c r="AM42" s="490"/>
      <c r="AN42" s="457"/>
      <c r="AO42" s="495"/>
      <c r="AP42" s="494"/>
      <c r="AQ42" s="493">
        <f>+FL_2($T$43,$T$41,$G$42,1200,9.28,-1*$F$43)</f>
        <v>-0.44068564687067047</v>
      </c>
      <c r="AR42" s="493"/>
      <c r="AS42" s="493"/>
      <c r="AT42" s="493"/>
      <c r="AU42" s="490"/>
      <c r="AV42" s="490"/>
      <c r="AW42" s="490"/>
      <c r="AX42" s="490"/>
      <c r="AY42" s="493"/>
      <c r="AZ42" s="493"/>
      <c r="BA42" s="602"/>
      <c r="BB42" s="488"/>
      <c r="BC42" s="169"/>
      <c r="BD42" s="1330"/>
      <c r="BE42" s="1330"/>
      <c r="BF42" s="1330"/>
      <c r="BG42" s="1330"/>
    </row>
    <row r="43" spans="1:59" ht="15.65" customHeight="1">
      <c r="A43" s="447"/>
      <c r="B43" s="439" t="s">
        <v>3600</v>
      </c>
      <c r="C43" s="446">
        <f>+$C$41+$G$42</f>
        <v>13261.289999999999</v>
      </c>
      <c r="D43" s="638"/>
      <c r="E43" s="638"/>
      <c r="F43" s="448">
        <f>-(551^2)/(C43-13317.03)</f>
        <v>5446.7348403299475</v>
      </c>
      <c r="G43" s="484"/>
      <c r="H43" s="1239"/>
      <c r="I43" s="448"/>
      <c r="J43" s="446"/>
      <c r="K43" s="638"/>
      <c r="L43" s="445" t="s">
        <v>230</v>
      </c>
      <c r="M43" s="638" t="str">
        <f>IF(AX43="PT",VLOOKUP(L43,'Foundation Calculation'!$V$2:$X$40,VLOOKUP(AX43,'Foundation Calculation'!$I$10:$J$13,2,FALSE),0),IF(AX43="K",VLOOKUP(L43,'Foundation Calculation'!$V$42:$X$80,VLOOKUP(AX43,'Foundation Calculation'!$I$10:$J$13,2,FALSE),0),""))</f>
        <v>C4R</v>
      </c>
      <c r="N43" s="1239" t="s">
        <v>143</v>
      </c>
      <c r="O43" s="1239"/>
      <c r="P43" s="638"/>
      <c r="Q43" s="638"/>
      <c r="R43" s="638"/>
      <c r="S43" s="484"/>
      <c r="T43" s="638">
        <v>-20</v>
      </c>
      <c r="U43" s="638"/>
      <c r="V43" s="638"/>
      <c r="W43" s="638">
        <v>1</v>
      </c>
      <c r="X43" s="638"/>
      <c r="Y43" s="638"/>
      <c r="Z43" s="638"/>
      <c r="AA43" s="638"/>
      <c r="AB43" s="638"/>
      <c r="AC43" s="638" t="str">
        <f t="shared" si="0"/>
        <v>PH</v>
      </c>
      <c r="AD43" s="638"/>
      <c r="AE43" s="638"/>
      <c r="AF43" s="638"/>
      <c r="AG43" s="446"/>
      <c r="AH43" s="638"/>
      <c r="AI43" s="638"/>
      <c r="AJ43" s="638"/>
      <c r="AK43" s="638"/>
      <c r="AL43" s="638"/>
      <c r="AM43" s="638" t="s">
        <v>1043</v>
      </c>
      <c r="AN43" s="455">
        <v>5.15</v>
      </c>
      <c r="AO43" s="1239"/>
      <c r="AP43" s="445"/>
      <c r="AQ43" s="484"/>
      <c r="AR43" s="484"/>
      <c r="AS43" s="484"/>
      <c r="AT43" s="484">
        <f>+ab($T$43,$T$41,$T$45,$G$42,$G$44,-1*$F$43,1200)</f>
        <v>-9.908279000226532</v>
      </c>
      <c r="AU43" s="638"/>
      <c r="AV43" s="638"/>
      <c r="AW43" s="638" t="str">
        <f>VLOOKUP(C43,'Foundation Calculation'!$A$2:$C$33,3,1)</f>
        <v>Soil B</v>
      </c>
      <c r="AX43" s="638" t="str">
        <f>VLOOKUP(C43,'Foundation Calculation'!$E$2:$G$33,3,1)</f>
        <v>PT</v>
      </c>
      <c r="AY43" s="484">
        <f>IF(AX43="PT",VLOOKUP(L43,'Foundation Calculation'!$K$2:$R$40,VLOOKUP(AW43,'Foundation Calculation'!$I$2:$J$8,2,FALSE),0),IF(AX43="K",VLOOKUP(L43,'Foundation Calculation'!$K$42:$R$80,VLOOKUP(AW43,'Foundation Calculation'!$I$2:$J$8,2,FALSE),0),""))</f>
        <v>3.5</v>
      </c>
      <c r="AZ43" s="484"/>
      <c r="BA43" s="671" t="s">
        <v>2809</v>
      </c>
      <c r="BB43" s="447" t="str">
        <f>Pole_Calculations!A152</f>
        <v>App.7.1-V01-P9.5.1.1</v>
      </c>
      <c r="BC43" s="169"/>
      <c r="BD43" s="1329"/>
      <c r="BE43" s="1329"/>
      <c r="BF43" s="1330"/>
      <c r="BG43" s="1329"/>
    </row>
    <row r="44" spans="1:59" ht="15.65" customHeight="1">
      <c r="A44" s="1239"/>
      <c r="B44" s="435"/>
      <c r="C44" s="446"/>
      <c r="D44" s="638"/>
      <c r="E44" s="638"/>
      <c r="F44" s="447"/>
      <c r="G44" s="484">
        <v>54</v>
      </c>
      <c r="H44" s="638"/>
      <c r="I44" s="448"/>
      <c r="J44" s="446"/>
      <c r="K44" s="638"/>
      <c r="L44" s="445"/>
      <c r="M44" s="638"/>
      <c r="N44" s="1239"/>
      <c r="O44" s="1239"/>
      <c r="P44" s="638"/>
      <c r="Q44" s="638"/>
      <c r="R44" s="638"/>
      <c r="S44" s="484"/>
      <c r="T44" s="638"/>
      <c r="U44" s="638"/>
      <c r="V44" s="638"/>
      <c r="W44" s="638"/>
      <c r="X44" s="638"/>
      <c r="Y44" s="638"/>
      <c r="Z44" s="638"/>
      <c r="AA44" s="638"/>
      <c r="AB44" s="638"/>
      <c r="AC44" s="638"/>
      <c r="AD44" s="638"/>
      <c r="AE44" s="638"/>
      <c r="AF44" s="638"/>
      <c r="AG44" s="446"/>
      <c r="AH44" s="638"/>
      <c r="AI44" s="185"/>
      <c r="AJ44" s="445"/>
      <c r="AK44" s="1239"/>
      <c r="AL44" s="638"/>
      <c r="AM44" s="638"/>
      <c r="AN44" s="455"/>
      <c r="AO44" s="1239"/>
      <c r="AP44" s="1239"/>
      <c r="AQ44" s="484">
        <f>+FL_1($T$45,$T$43,$G$44,1200,9.28,-1*$F$45)</f>
        <v>0.4255475840704841</v>
      </c>
      <c r="AR44" s="484"/>
      <c r="AS44" s="484"/>
      <c r="AT44" s="484"/>
      <c r="AU44" s="638"/>
      <c r="AV44" s="638"/>
      <c r="AW44" s="638"/>
      <c r="AX44" s="638"/>
      <c r="AY44" s="484"/>
      <c r="AZ44" s="484"/>
      <c r="BA44" s="671"/>
      <c r="BB44" s="1239"/>
      <c r="BC44" s="169"/>
      <c r="BD44" s="1330"/>
      <c r="BE44" s="1330"/>
      <c r="BF44" s="1330"/>
      <c r="BG44" s="1330"/>
    </row>
    <row r="45" spans="1:59" ht="15.65" customHeight="1">
      <c r="A45" s="1239"/>
      <c r="B45" s="439" t="s">
        <v>3601</v>
      </c>
      <c r="C45" s="446">
        <f>+$C$43+$G$44</f>
        <v>13315.289999999999</v>
      </c>
      <c r="D45" s="638"/>
      <c r="E45" s="638"/>
      <c r="F45" s="448">
        <f>-(551^2)/(C45-13317.03)</f>
        <v>174483.33333317281</v>
      </c>
      <c r="G45" s="484"/>
      <c r="H45" s="1239"/>
      <c r="I45" s="448"/>
      <c r="J45" s="446"/>
      <c r="K45" s="638"/>
      <c r="L45" s="445" t="s">
        <v>230</v>
      </c>
      <c r="M45" s="638" t="str">
        <f>IF(AX45="PT",VLOOKUP(L45,'Foundation Calculation'!$V$2:$X$40,VLOOKUP(AX45,'Foundation Calculation'!$I$10:$J$13,2,FALSE),0),IF(AX45="K",VLOOKUP(L45,'Foundation Calculation'!$V$42:$X$80,VLOOKUP(AX45,'Foundation Calculation'!$I$10:$J$13,2,FALSE),0),""))</f>
        <v>C4R</v>
      </c>
      <c r="N45" s="1239" t="s">
        <v>144</v>
      </c>
      <c r="O45" s="1239"/>
      <c r="P45" s="638"/>
      <c r="Q45" s="638"/>
      <c r="R45" s="638"/>
      <c r="S45" s="484"/>
      <c r="T45" s="638">
        <v>35</v>
      </c>
      <c r="U45" s="638"/>
      <c r="V45" s="638"/>
      <c r="W45" s="638">
        <v>1.2</v>
      </c>
      <c r="X45" s="638"/>
      <c r="Y45" s="638"/>
      <c r="Z45" s="638"/>
      <c r="AA45" s="638"/>
      <c r="AB45" s="638"/>
      <c r="AC45" s="638" t="str">
        <f t="shared" si="0"/>
        <v>PH</v>
      </c>
      <c r="AD45" s="638"/>
      <c r="AE45" s="638"/>
      <c r="AF45" s="638"/>
      <c r="AG45" s="446"/>
      <c r="AH45" s="638"/>
      <c r="AI45" s="185"/>
      <c r="AJ45" s="445"/>
      <c r="AK45" s="1239"/>
      <c r="AL45" s="638"/>
      <c r="AM45" s="638" t="s">
        <v>1043</v>
      </c>
      <c r="AN45" s="455">
        <v>5.15</v>
      </c>
      <c r="AO45" s="1239"/>
      <c r="AP45" s="1239"/>
      <c r="AQ45" s="484"/>
      <c r="AR45" s="484"/>
      <c r="AS45" s="484"/>
      <c r="AT45" s="484">
        <f>+ab($T$45,$T$43,$T$47,$G$44,$G$46,-1*$F$45,1200)</f>
        <v>8.8438896563261782</v>
      </c>
      <c r="AU45" s="638"/>
      <c r="AV45" s="638"/>
      <c r="AW45" s="638" t="str">
        <f>VLOOKUP(C45,'Foundation Calculation'!$A$2:$C$33,3,1)</f>
        <v>Soil B</v>
      </c>
      <c r="AX45" s="638" t="str">
        <f>VLOOKUP(C45,'Foundation Calculation'!$E$2:$G$33,3,1)</f>
        <v>PT</v>
      </c>
      <c r="AY45" s="484">
        <f>IF(AX45="PT",VLOOKUP(L45,'Foundation Calculation'!$K$2:$R$40,VLOOKUP(AW45,'Foundation Calculation'!$I$2:$J$8,2,FALSE),0),IF(AX45="K",VLOOKUP(L45,'Foundation Calculation'!$K$42:$R$80,VLOOKUP(AW45,'Foundation Calculation'!$I$2:$J$8,2,FALSE),0),""))</f>
        <v>3.5</v>
      </c>
      <c r="AZ45" s="484"/>
      <c r="BA45" s="671" t="s">
        <v>2809</v>
      </c>
      <c r="BB45" s="1239" t="str">
        <f>Pole_Calculations!A152</f>
        <v>App.7.1-V01-P9.5.1.1</v>
      </c>
      <c r="BC45" s="169"/>
      <c r="BD45" s="1329"/>
      <c r="BE45" s="1329"/>
      <c r="BF45" s="1330"/>
      <c r="BG45" s="1329"/>
    </row>
    <row r="46" spans="1:59" ht="15.65" customHeight="1">
      <c r="A46" s="1239"/>
      <c r="B46" s="435"/>
      <c r="C46" s="446"/>
      <c r="D46" s="638"/>
      <c r="E46" s="638"/>
      <c r="F46" s="447"/>
      <c r="G46" s="484">
        <v>60</v>
      </c>
      <c r="H46" s="638"/>
      <c r="I46" s="448"/>
      <c r="J46" s="446"/>
      <c r="K46" s="638"/>
      <c r="L46" s="445"/>
      <c r="M46" s="638"/>
      <c r="N46" s="1239"/>
      <c r="O46" s="638"/>
      <c r="P46" s="638"/>
      <c r="Q46" s="638"/>
      <c r="R46" s="638"/>
      <c r="S46" s="484"/>
      <c r="T46" s="638"/>
      <c r="U46" s="638"/>
      <c r="V46" s="638"/>
      <c r="W46" s="638"/>
      <c r="X46" s="638"/>
      <c r="Y46" s="638"/>
      <c r="Z46" s="638"/>
      <c r="AA46" s="638"/>
      <c r="AB46" s="638"/>
      <c r="AC46" s="638"/>
      <c r="AD46" s="638"/>
      <c r="AE46" s="638"/>
      <c r="AF46" s="638"/>
      <c r="AG46" s="446"/>
      <c r="AH46" s="638"/>
      <c r="AI46" s="185"/>
      <c r="AJ46" s="445"/>
      <c r="AK46" s="1239"/>
      <c r="AL46" s="638"/>
      <c r="AM46" s="638"/>
      <c r="AN46" s="455"/>
      <c r="AO46" s="1239"/>
      <c r="AP46" s="1239"/>
      <c r="AQ46" s="484">
        <f>+FL_2($T$47,$T$45,$G$46,1200,9.28,-1*$F$47)</f>
        <v>-0.43600286799999999</v>
      </c>
      <c r="AR46" s="484"/>
      <c r="AS46" s="484"/>
      <c r="AT46" s="484"/>
      <c r="AU46" s="638"/>
      <c r="AV46" s="638"/>
      <c r="AW46" s="638"/>
      <c r="AX46" s="638"/>
      <c r="AY46" s="484"/>
      <c r="AZ46" s="484"/>
      <c r="BA46" s="671"/>
      <c r="BB46" s="1239"/>
      <c r="BC46" s="169"/>
      <c r="BD46" s="1330"/>
      <c r="BE46" s="1330"/>
      <c r="BF46" s="1330"/>
      <c r="BG46" s="1330"/>
    </row>
    <row r="47" spans="1:59" ht="15.65" customHeight="1">
      <c r="A47" s="1239"/>
      <c r="B47" s="439" t="s">
        <v>3602</v>
      </c>
      <c r="C47" s="446">
        <f>+$C$45+$G$46</f>
        <v>13375.289999999999</v>
      </c>
      <c r="D47" s="447"/>
      <c r="E47" s="447"/>
      <c r="F47" s="447">
        <v>0</v>
      </c>
      <c r="G47" s="484"/>
      <c r="H47" s="1239"/>
      <c r="I47" s="448"/>
      <c r="J47" s="446"/>
      <c r="K47" s="638"/>
      <c r="L47" s="445" t="s">
        <v>230</v>
      </c>
      <c r="M47" s="638" t="str">
        <f>IF(AX47="PT",VLOOKUP(L47,'Foundation Calculation'!$V$2:$X$40,VLOOKUP(AX47,'Foundation Calculation'!$I$10:$J$13,2,FALSE),0),IF(AX47="K",VLOOKUP(L47,'Foundation Calculation'!$V$42:$X$80,VLOOKUP(AX47,'Foundation Calculation'!$I$10:$J$13,2,FALSE),0),""))</f>
        <v>C4R</v>
      </c>
      <c r="N47" s="1239" t="s">
        <v>143</v>
      </c>
      <c r="O47" s="1239"/>
      <c r="P47" s="638"/>
      <c r="Q47" s="638"/>
      <c r="R47" s="638"/>
      <c r="S47" s="484"/>
      <c r="T47" s="638">
        <v>-35</v>
      </c>
      <c r="U47" s="638"/>
      <c r="V47" s="638"/>
      <c r="W47" s="638">
        <v>1.4</v>
      </c>
      <c r="X47" s="638"/>
      <c r="Y47" s="638"/>
      <c r="Z47" s="638"/>
      <c r="AA47" s="638"/>
      <c r="AB47" s="638"/>
      <c r="AC47" s="638" t="str">
        <f t="shared" si="0"/>
        <v>PH</v>
      </c>
      <c r="AD47" s="638"/>
      <c r="AE47" s="638"/>
      <c r="AF47" s="638"/>
      <c r="AG47" s="446"/>
      <c r="AH47" s="638"/>
      <c r="AI47" s="185"/>
      <c r="AJ47" s="445"/>
      <c r="AK47" s="1239"/>
      <c r="AL47" s="638"/>
      <c r="AM47" s="638" t="s">
        <v>1043</v>
      </c>
      <c r="AN47" s="455">
        <v>5.15</v>
      </c>
      <c r="AO47" s="1239"/>
      <c r="AP47" s="1239"/>
      <c r="AQ47" s="484"/>
      <c r="AR47" s="484"/>
      <c r="AS47" s="484"/>
      <c r="AT47" s="484">
        <f>+ab($T$47,$T$45,$T$49,$G$46,$G$48,-1*$F$47,1200)</f>
        <v>-8.5980125487151611</v>
      </c>
      <c r="AU47" s="638"/>
      <c r="AV47" s="638"/>
      <c r="AW47" s="638" t="str">
        <f>VLOOKUP(C47,'Foundation Calculation'!$A$2:$C$33,3,1)</f>
        <v>Soil B</v>
      </c>
      <c r="AX47" s="638" t="str">
        <f>VLOOKUP(C47,'Foundation Calculation'!$E$2:$G$33,3,1)</f>
        <v>PT</v>
      </c>
      <c r="AY47" s="484">
        <f>IF(AX47="PT",VLOOKUP(L47,'Foundation Calculation'!$K$2:$R$40,VLOOKUP(AW47,'Foundation Calculation'!$I$2:$J$8,2,FALSE),0),IF(AX47="K",VLOOKUP(L47,'Foundation Calculation'!$K$42:$R$80,VLOOKUP(AW47,'Foundation Calculation'!$I$2:$J$8,2,FALSE),0),""))</f>
        <v>3.5</v>
      </c>
      <c r="AZ47" s="484"/>
      <c r="BA47" s="671" t="s">
        <v>2809</v>
      </c>
      <c r="BB47" s="1239" t="str">
        <f>Pole_Calculations!A152</f>
        <v>App.7.1-V01-P9.5.1.1</v>
      </c>
      <c r="BC47" s="169"/>
      <c r="BD47" s="1329"/>
      <c r="BE47" s="1329"/>
      <c r="BF47" s="1330"/>
      <c r="BG47" s="1329"/>
    </row>
    <row r="48" spans="1:59" ht="15.65" customHeight="1">
      <c r="A48" s="1239"/>
      <c r="B48" s="435"/>
      <c r="C48" s="446"/>
      <c r="D48" s="447"/>
      <c r="E48" s="447"/>
      <c r="F48" s="447"/>
      <c r="G48" s="484">
        <v>62</v>
      </c>
      <c r="H48" s="638"/>
      <c r="I48" s="448"/>
      <c r="J48" s="446"/>
      <c r="K48" s="638"/>
      <c r="L48" s="445"/>
      <c r="M48" s="638"/>
      <c r="N48" s="1239"/>
      <c r="O48" s="1239"/>
      <c r="P48" s="638"/>
      <c r="Q48" s="638"/>
      <c r="R48" s="638"/>
      <c r="S48" s="484"/>
      <c r="T48" s="638"/>
      <c r="U48" s="638"/>
      <c r="V48" s="638"/>
      <c r="W48" s="638"/>
      <c r="X48" s="638"/>
      <c r="Y48" s="638"/>
      <c r="Z48" s="638"/>
      <c r="AA48" s="638"/>
      <c r="AB48" s="638"/>
      <c r="AC48" s="638"/>
      <c r="AD48" s="638"/>
      <c r="AE48" s="638"/>
      <c r="AF48" s="638"/>
      <c r="AG48" s="446"/>
      <c r="AH48" s="638"/>
      <c r="AI48" s="185"/>
      <c r="AJ48" s="445"/>
      <c r="AK48" s="1239"/>
      <c r="AL48" s="638"/>
      <c r="AM48" s="638"/>
      <c r="AN48" s="455"/>
      <c r="AO48" s="1239"/>
      <c r="AP48" s="1239"/>
      <c r="AQ48" s="484">
        <f>+FL_2($T$49,$T$47,$G$48,1200,9.28,-1*$F$49)</f>
        <v>-0.46765016498924739</v>
      </c>
      <c r="AR48" s="484"/>
      <c r="AS48" s="484"/>
      <c r="AT48" s="484"/>
      <c r="AU48" s="638"/>
      <c r="AV48" s="638"/>
      <c r="AW48" s="638"/>
      <c r="AX48" s="638"/>
      <c r="AY48" s="484"/>
      <c r="AZ48" s="484"/>
      <c r="BA48" s="671"/>
      <c r="BB48" s="1239"/>
      <c r="BC48" s="169"/>
      <c r="BD48" s="1330"/>
      <c r="BE48" s="1330"/>
      <c r="BF48" s="1330"/>
      <c r="BG48" s="1330"/>
    </row>
    <row r="49" spans="1:59" ht="15.65" customHeight="1">
      <c r="A49" s="1239"/>
      <c r="B49" s="435" t="s">
        <v>3603</v>
      </c>
      <c r="C49" s="446">
        <f>+$C$47+$G$48</f>
        <v>13437.289999999999</v>
      </c>
      <c r="D49" s="447"/>
      <c r="E49" s="447"/>
      <c r="F49" s="447">
        <v>0</v>
      </c>
      <c r="G49" s="484"/>
      <c r="H49" s="168"/>
      <c r="I49" s="448"/>
      <c r="J49" s="446"/>
      <c r="K49" s="638"/>
      <c r="L49" s="445" t="s">
        <v>230</v>
      </c>
      <c r="M49" s="638" t="s">
        <v>3667</v>
      </c>
      <c r="N49" s="1239" t="s">
        <v>144</v>
      </c>
      <c r="O49" s="1239"/>
      <c r="P49" s="638"/>
      <c r="Q49" s="638"/>
      <c r="R49" s="638"/>
      <c r="S49" s="484"/>
      <c r="T49" s="638">
        <v>30</v>
      </c>
      <c r="U49" s="638"/>
      <c r="V49" s="638"/>
      <c r="W49" s="638">
        <v>1.4</v>
      </c>
      <c r="X49" s="638"/>
      <c r="Y49" s="638"/>
      <c r="Z49" s="638"/>
      <c r="AA49" s="638"/>
      <c r="AB49" s="638"/>
      <c r="AC49" s="638" t="str">
        <f t="shared" si="0"/>
        <v>PH</v>
      </c>
      <c r="AD49" s="638"/>
      <c r="AE49" s="638"/>
      <c r="AF49" s="638"/>
      <c r="AG49" s="446"/>
      <c r="AH49" s="638"/>
      <c r="AI49" s="185"/>
      <c r="AJ49" s="638"/>
      <c r="AK49" s="1239"/>
      <c r="AL49" s="638"/>
      <c r="AM49" s="638" t="s">
        <v>1043</v>
      </c>
      <c r="AN49" s="455">
        <v>5.15</v>
      </c>
      <c r="AO49" s="1239"/>
      <c r="AP49" s="1239"/>
      <c r="AQ49" s="484"/>
      <c r="AR49" s="484"/>
      <c r="AS49" s="484"/>
      <c r="AT49" s="484">
        <f>+ab($T$49,$T$47,$T$51,$G$48,$G$50,-1*$F$49,1200)</f>
        <v>9.0751163075501751</v>
      </c>
      <c r="AU49" s="638"/>
      <c r="AV49" s="638"/>
      <c r="AW49" s="638" t="str">
        <f>VLOOKUP(C49,'Foundation Calculation'!$A$2:$C$33,3,1)</f>
        <v>Soil B</v>
      </c>
      <c r="AX49" s="638" t="str">
        <f>VLOOKUP(C49,'Foundation Calculation'!$E$2:$G$33,3,1)</f>
        <v>PT</v>
      </c>
      <c r="AY49" s="484">
        <f>IF(AX49="PT",VLOOKUP(L49,'Foundation Calculation'!$K$2:$R$40,VLOOKUP(AW49,'Foundation Calculation'!$I$2:$J$8,2,FALSE),0),IF(AX49="K",VLOOKUP(L49,'Foundation Calculation'!$K$42:$R$80,VLOOKUP(AW49,'Foundation Calculation'!$I$2:$J$8,2,FALSE),0),""))</f>
        <v>3.5</v>
      </c>
      <c r="AZ49" s="484"/>
      <c r="BA49" s="671" t="s">
        <v>2809</v>
      </c>
      <c r="BB49" s="1239" t="str">
        <f>Pole_Calculations!A152</f>
        <v>App.7.1-V01-P9.5.1.1</v>
      </c>
      <c r="BC49" s="169"/>
      <c r="BD49" s="1329"/>
      <c r="BE49" s="1329"/>
      <c r="BF49" s="1330"/>
      <c r="BG49" s="1329"/>
    </row>
    <row r="50" spans="1:59" ht="15.65" customHeight="1">
      <c r="A50" s="1239"/>
      <c r="B50" s="435"/>
      <c r="C50" s="446"/>
      <c r="D50" s="447"/>
      <c r="E50" s="447"/>
      <c r="F50" s="447"/>
      <c r="G50" s="484">
        <v>62</v>
      </c>
      <c r="H50" s="638"/>
      <c r="I50" s="448"/>
      <c r="J50" s="446">
        <f>C51-7.5</f>
        <v>13491.789999999999</v>
      </c>
      <c r="K50" s="638" t="s">
        <v>2882</v>
      </c>
      <c r="L50" s="445"/>
      <c r="M50" s="638"/>
      <c r="N50" s="1239"/>
      <c r="O50" s="638"/>
      <c r="P50" s="638"/>
      <c r="Q50" s="638"/>
      <c r="R50" s="638"/>
      <c r="S50" s="484"/>
      <c r="T50" s="638"/>
      <c r="U50" s="638"/>
      <c r="V50" s="638"/>
      <c r="W50" s="638"/>
      <c r="X50" s="638"/>
      <c r="Y50" s="638"/>
      <c r="Z50" s="638"/>
      <c r="AA50" s="638"/>
      <c r="AB50" s="638"/>
      <c r="AC50" s="638"/>
      <c r="AD50" s="638"/>
      <c r="AE50" s="638"/>
      <c r="AF50" s="638"/>
      <c r="AG50" s="446"/>
      <c r="AH50" s="638"/>
      <c r="AI50" s="185"/>
      <c r="AJ50" s="445"/>
      <c r="AK50" s="1239"/>
      <c r="AL50" s="638"/>
      <c r="AM50" s="638"/>
      <c r="AN50" s="455"/>
      <c r="AO50" s="1239"/>
      <c r="AP50" s="1239"/>
      <c r="AQ50" s="484">
        <f>+FL_2($T$51,$T$49,$G$50,1200,9.28,-1*$F$51)</f>
        <v>-0.48570351007983392</v>
      </c>
      <c r="AR50" s="484"/>
      <c r="AS50" s="484"/>
      <c r="AT50" s="484"/>
      <c r="AU50" s="638"/>
      <c r="AV50" s="638"/>
      <c r="AW50" s="638" t="str">
        <f>VLOOKUP(J50,'Foundation Calculation'!$A$2:$C$33,3,1)</f>
        <v>Soil B</v>
      </c>
      <c r="AX50" s="638" t="str">
        <f>VLOOKUP(J50,'Foundation Calculation'!$E$2:$G$33,3,1)</f>
        <v>PT</v>
      </c>
      <c r="AY50" s="484"/>
      <c r="AZ50" s="484">
        <v>3.9</v>
      </c>
      <c r="BA50" s="671" t="s">
        <v>2809</v>
      </c>
      <c r="BB50" s="1239"/>
      <c r="BC50" s="169"/>
      <c r="BD50" s="1329"/>
      <c r="BE50" s="1330"/>
      <c r="BF50" s="1330"/>
      <c r="BG50" s="1330"/>
    </row>
    <row r="51" spans="1:59" ht="15.65" customHeight="1">
      <c r="A51" s="1239"/>
      <c r="B51" s="435" t="s">
        <v>3604</v>
      </c>
      <c r="C51" s="446">
        <f>+$C$49+$G$50</f>
        <v>13499.289999999999</v>
      </c>
      <c r="D51" s="447"/>
      <c r="E51" s="447"/>
      <c r="F51" s="448">
        <f>-(551^2)/(C51-13485.37)</f>
        <v>-21810.416666669404</v>
      </c>
      <c r="G51" s="484"/>
      <c r="H51" s="1239" t="s">
        <v>138</v>
      </c>
      <c r="I51" s="448" t="s">
        <v>623</v>
      </c>
      <c r="J51" s="446"/>
      <c r="K51" s="638"/>
      <c r="L51" s="638" t="s">
        <v>898</v>
      </c>
      <c r="M51" s="638" t="s">
        <v>3667</v>
      </c>
      <c r="N51" s="1239" t="s">
        <v>143</v>
      </c>
      <c r="O51" s="1239"/>
      <c r="P51" s="638"/>
      <c r="Q51" s="638"/>
      <c r="R51" s="638"/>
      <c r="S51" s="484"/>
      <c r="T51" s="638">
        <v>-35</v>
      </c>
      <c r="U51" s="638"/>
      <c r="V51" s="638"/>
      <c r="W51" s="638">
        <v>1.4</v>
      </c>
      <c r="X51" s="638"/>
      <c r="Y51" s="638"/>
      <c r="Z51" s="638"/>
      <c r="AA51" s="638"/>
      <c r="AB51" s="638"/>
      <c r="AC51" s="638" t="str">
        <f t="shared" si="0"/>
        <v>PH</v>
      </c>
      <c r="AD51" s="638"/>
      <c r="AE51" s="638"/>
      <c r="AF51" s="638"/>
      <c r="AG51" s="446"/>
      <c r="AH51" s="638"/>
      <c r="AI51" s="185"/>
      <c r="AJ51" s="638"/>
      <c r="AK51" s="1239"/>
      <c r="AL51" s="638"/>
      <c r="AM51" s="638" t="s">
        <v>1043</v>
      </c>
      <c r="AN51" s="455">
        <v>5.15</v>
      </c>
      <c r="AO51" s="1239"/>
      <c r="AP51" s="1239"/>
      <c r="AQ51" s="484"/>
      <c r="AR51" s="484"/>
      <c r="AS51" s="484"/>
      <c r="AT51" s="484">
        <f>+ab($T$51,$T$49,$T$53,$G$50,$G$52,-1*$F$51,1200)</f>
        <v>-13.133870162453174</v>
      </c>
      <c r="AU51" s="638"/>
      <c r="AV51" s="638"/>
      <c r="AW51" s="638" t="str">
        <f>VLOOKUP(C51,'Foundation Calculation'!$A$2:$C$33,3,1)</f>
        <v>Soil B</v>
      </c>
      <c r="AX51" s="638" t="str">
        <f>VLOOKUP(C51,'Foundation Calculation'!$E$2:$G$33,3,1)</f>
        <v>PT</v>
      </c>
      <c r="AY51" s="484">
        <f>IF(AX51="PT",VLOOKUP(L51,'Foundation Calculation'!$K$2:$R$40,VLOOKUP(AW51,'Foundation Calculation'!$I$2:$J$8,2,FALSE),0),IF(AX51="K",VLOOKUP(L51,'Foundation Calculation'!$K$42:$R$80,VLOOKUP(AW51,'Foundation Calculation'!$I$2:$J$8,2,FALSE),0),""))</f>
        <v>3.5</v>
      </c>
      <c r="AZ51" s="484"/>
      <c r="BA51" s="671" t="s">
        <v>2809</v>
      </c>
      <c r="BB51" s="1239" t="str">
        <f>Pole_Calculations!A157</f>
        <v>App.7.1-V01-P9.5.1.6</v>
      </c>
      <c r="BC51" s="169"/>
      <c r="BD51" s="1329"/>
      <c r="BE51" s="1329"/>
      <c r="BF51" s="1330"/>
      <c r="BG51" s="1329"/>
    </row>
    <row r="52" spans="1:59" ht="15.65" customHeight="1">
      <c r="A52" s="1239"/>
      <c r="B52" s="435"/>
      <c r="C52" s="446"/>
      <c r="D52" s="447"/>
      <c r="E52" s="447"/>
      <c r="F52" s="447"/>
      <c r="G52" s="484">
        <v>60</v>
      </c>
      <c r="H52" s="638"/>
      <c r="I52" s="448"/>
      <c r="J52" s="446"/>
      <c r="K52" s="638"/>
      <c r="L52" s="445"/>
      <c r="M52" s="638"/>
      <c r="N52" s="1239"/>
      <c r="O52" s="638"/>
      <c r="P52" s="638"/>
      <c r="Q52" s="638"/>
      <c r="R52" s="638"/>
      <c r="S52" s="484"/>
      <c r="T52" s="638"/>
      <c r="U52" s="638"/>
      <c r="V52" s="638"/>
      <c r="W52" s="638"/>
      <c r="X52" s="638"/>
      <c r="Y52" s="638"/>
      <c r="Z52" s="638"/>
      <c r="AA52" s="638"/>
      <c r="AB52" s="638"/>
      <c r="AC52" s="638"/>
      <c r="AD52" s="638"/>
      <c r="AE52" s="638"/>
      <c r="AF52" s="638"/>
      <c r="AG52" s="446"/>
      <c r="AH52" s="638"/>
      <c r="AI52" s="185"/>
      <c r="AJ52" s="445"/>
      <c r="AK52" s="1239"/>
      <c r="AL52" s="638"/>
      <c r="AM52" s="638"/>
      <c r="AN52" s="455"/>
      <c r="AO52" s="1239"/>
      <c r="AP52" s="1239"/>
      <c r="AQ52" s="484">
        <f>+FL_2($U$53,$T$51,$G$52,1200,9.28,-1*$F$53)</f>
        <v>-0.6937085410971332</v>
      </c>
      <c r="AR52" s="484"/>
      <c r="AS52" s="484"/>
      <c r="AT52" s="484"/>
      <c r="AU52" s="638"/>
      <c r="AV52" s="638"/>
      <c r="AW52" s="638"/>
      <c r="AX52" s="638"/>
      <c r="AY52" s="484"/>
      <c r="AZ52" s="484"/>
      <c r="BA52" s="671"/>
      <c r="BB52" s="1239"/>
      <c r="BC52" s="169"/>
      <c r="BD52" s="1330"/>
      <c r="BE52" s="1330"/>
      <c r="BF52" s="1330"/>
      <c r="BG52" s="1330"/>
    </row>
    <row r="53" spans="1:59" ht="15.65" customHeight="1">
      <c r="A53" s="449"/>
      <c r="B53" s="485" t="s">
        <v>3605</v>
      </c>
      <c r="C53" s="446">
        <f>+$C$51+$G$52</f>
        <v>13559.289999999999</v>
      </c>
      <c r="D53" s="445"/>
      <c r="E53" s="445"/>
      <c r="F53" s="448">
        <v>-5000</v>
      </c>
      <c r="G53" s="455"/>
      <c r="H53" s="445" t="s">
        <v>619</v>
      </c>
      <c r="I53" s="447"/>
      <c r="J53" s="446"/>
      <c r="K53" s="445"/>
      <c r="L53" s="445" t="s">
        <v>232</v>
      </c>
      <c r="M53" s="638" t="str">
        <f>IF(AX53="PT",VLOOKUP(L53,'Foundation Calculation'!$V$2:$X$40,VLOOKUP(AX53,'Foundation Calculation'!$I$10:$J$13,2,FALSE),0),IF(AX53="K",VLOOKUP(L53,'Foundation Calculation'!$V$42:$X$80,VLOOKUP(AX53,'Foundation Calculation'!$I$10:$J$13,2,FALSE),0),""))</f>
        <v>C5R</v>
      </c>
      <c r="N53" s="445" t="s">
        <v>140</v>
      </c>
      <c r="O53" s="445" t="s">
        <v>143</v>
      </c>
      <c r="P53" s="445"/>
      <c r="Q53" s="638"/>
      <c r="R53" s="638"/>
      <c r="S53" s="484"/>
      <c r="T53" s="638">
        <v>5</v>
      </c>
      <c r="U53" s="638">
        <v>-15</v>
      </c>
      <c r="V53" s="638"/>
      <c r="W53" s="638">
        <v>1.4</v>
      </c>
      <c r="X53" s="638">
        <v>2.2999999999999998</v>
      </c>
      <c r="Y53" s="638"/>
      <c r="Z53" s="638">
        <v>0.45</v>
      </c>
      <c r="AA53" s="638"/>
      <c r="AB53" s="638"/>
      <c r="AC53" s="638"/>
      <c r="AD53" s="638"/>
      <c r="AE53" s="638"/>
      <c r="AF53" s="638"/>
      <c r="AG53" s="446"/>
      <c r="AH53" s="638"/>
      <c r="AI53" s="185"/>
      <c r="AJ53" s="445"/>
      <c r="AK53" s="445"/>
      <c r="AL53" s="445"/>
      <c r="AM53" s="445" t="s">
        <v>1043</v>
      </c>
      <c r="AN53" s="455">
        <v>5.15</v>
      </c>
      <c r="AO53" s="445"/>
      <c r="AP53" s="445"/>
      <c r="AQ53" s="484"/>
      <c r="AR53" s="484"/>
      <c r="AS53" s="484"/>
      <c r="AT53" s="484">
        <f>+ab($U$53,$T$51,$U$55,$G$52,$G$54,-1*$F$53,1200)</f>
        <v>20.914107167450165</v>
      </c>
      <c r="AU53" s="638"/>
      <c r="AV53" s="638"/>
      <c r="AW53" s="638" t="str">
        <f>VLOOKUP(C53,'Foundation Calculation'!$A$2:$C$33,3,1)</f>
        <v>Soil B</v>
      </c>
      <c r="AX53" s="638" t="str">
        <f>VLOOKUP(C53,'Foundation Calculation'!$E$2:$G$33,3,1)</f>
        <v>PT</v>
      </c>
      <c r="AY53" s="484">
        <f>IF(AX53="PT",VLOOKUP(L53,'Foundation Calculation'!$K$2:$R$40,VLOOKUP(AW53,'Foundation Calculation'!$I$2:$J$8,2,FALSE),0),IF(AX53="K",VLOOKUP(L53,'Foundation Calculation'!$K$42:$R$80,VLOOKUP(AW53,'Foundation Calculation'!$I$2:$J$8,2,FALSE),0),""))</f>
        <v>3.5</v>
      </c>
      <c r="AZ53" s="484"/>
      <c r="BA53" s="671" t="s">
        <v>2809</v>
      </c>
      <c r="BB53" s="449" t="str">
        <f>Pole_Calculations!A156</f>
        <v>App.7.1-V01-P9.5.1.5</v>
      </c>
      <c r="BC53" s="169"/>
      <c r="BD53" s="1329"/>
      <c r="BE53" s="1329"/>
      <c r="BF53" s="1330"/>
      <c r="BG53" s="1329"/>
    </row>
    <row r="54" spans="1:59" ht="15.65" customHeight="1">
      <c r="A54" s="449"/>
      <c r="B54" s="447"/>
      <c r="C54" s="446"/>
      <c r="D54" s="638"/>
      <c r="E54" s="638"/>
      <c r="F54" s="447"/>
      <c r="G54" s="484">
        <v>52</v>
      </c>
      <c r="H54" s="638"/>
      <c r="I54" s="447"/>
      <c r="J54" s="446"/>
      <c r="K54" s="638"/>
      <c r="L54" s="445"/>
      <c r="M54" s="445"/>
      <c r="N54" s="445"/>
      <c r="O54" s="445"/>
      <c r="P54" s="445"/>
      <c r="Q54" s="638"/>
      <c r="R54" s="638"/>
      <c r="S54" s="484"/>
      <c r="T54" s="638"/>
      <c r="U54" s="638"/>
      <c r="V54" s="638"/>
      <c r="W54" s="638"/>
      <c r="X54" s="638"/>
      <c r="Y54" s="638"/>
      <c r="Z54" s="638"/>
      <c r="AA54" s="638"/>
      <c r="AB54" s="638"/>
      <c r="AC54" s="638"/>
      <c r="AD54" s="638"/>
      <c r="AE54" s="638"/>
      <c r="AF54" s="638"/>
      <c r="AG54" s="446"/>
      <c r="AH54" s="638"/>
      <c r="AI54" s="185"/>
      <c r="AJ54" s="445"/>
      <c r="AK54" s="445"/>
      <c r="AL54" s="638"/>
      <c r="AM54" s="445"/>
      <c r="AN54" s="484"/>
      <c r="AO54" s="445"/>
      <c r="AP54" s="445"/>
      <c r="AQ54" s="484">
        <f>+FL_1($T$55,$U$53,$G$54,1200,9.28,-1*$F$55)</f>
        <v>0.41251425669434583</v>
      </c>
      <c r="AR54" s="484"/>
      <c r="AS54" s="484"/>
      <c r="AT54" s="484"/>
      <c r="AU54" s="638"/>
      <c r="AV54" s="638"/>
      <c r="AW54" s="484"/>
      <c r="AX54" s="484"/>
      <c r="AY54" s="484"/>
      <c r="AZ54" s="484"/>
      <c r="BA54" s="1304"/>
      <c r="BB54" s="449"/>
      <c r="BC54" s="169"/>
      <c r="BD54" s="1330"/>
      <c r="BE54" s="1330"/>
      <c r="BF54" s="1330"/>
      <c r="BG54" s="1330"/>
    </row>
    <row r="55" spans="1:59" ht="15.65" customHeight="1">
      <c r="A55" s="449"/>
      <c r="B55" s="435" t="s">
        <v>3606</v>
      </c>
      <c r="C55" s="446">
        <f>+$C$53+$G$54</f>
        <v>13611.289999999999</v>
      </c>
      <c r="D55" s="638"/>
      <c r="E55" s="638"/>
      <c r="F55" s="448">
        <f>-(447^2)/(C55-13604.57)</f>
        <v>-29733.482142860041</v>
      </c>
      <c r="G55" s="455"/>
      <c r="H55" s="638" t="s">
        <v>619</v>
      </c>
      <c r="I55" s="447"/>
      <c r="J55" s="446"/>
      <c r="K55" s="638"/>
      <c r="L55" s="445" t="s">
        <v>895</v>
      </c>
      <c r="M55" s="638" t="str">
        <f>IF(AX55="PT",VLOOKUP(L55,'Foundation Calculation'!$V$2:$X$40,VLOOKUP(AX55,'Foundation Calculation'!$I$10:$J$13,2,FALSE),0),IF(AX55="K",VLOOKUP(L55,'Foundation Calculation'!$V$42:$X$80,VLOOKUP(AX55,'Foundation Calculation'!$I$10:$J$13,2,FALSE),0),""))</f>
        <v>2C3R</v>
      </c>
      <c r="N55" s="1239" t="s">
        <v>144</v>
      </c>
      <c r="O55" s="1239" t="s">
        <v>140</v>
      </c>
      <c r="P55" s="638"/>
      <c r="Q55" s="638"/>
      <c r="R55" s="638"/>
      <c r="S55" s="484"/>
      <c r="T55" s="638">
        <v>35</v>
      </c>
      <c r="U55" s="638">
        <v>15</v>
      </c>
      <c r="V55" s="638"/>
      <c r="W55" s="638">
        <v>1.4</v>
      </c>
      <c r="X55" s="638">
        <v>2.2999999999999998</v>
      </c>
      <c r="Y55" s="638"/>
      <c r="Z55" s="638"/>
      <c r="AA55" s="638">
        <v>0.45</v>
      </c>
      <c r="AB55" s="638"/>
      <c r="AC55" s="638" t="str">
        <f t="shared" si="0"/>
        <v>PH</v>
      </c>
      <c r="AD55" s="638"/>
      <c r="AE55" s="638"/>
      <c r="AF55" s="638"/>
      <c r="AG55" s="446"/>
      <c r="AH55" s="638"/>
      <c r="AI55" s="185"/>
      <c r="AJ55" s="445"/>
      <c r="AK55" s="1239"/>
      <c r="AL55" s="638"/>
      <c r="AM55" s="638" t="s">
        <v>1043</v>
      </c>
      <c r="AN55" s="455">
        <v>5.15</v>
      </c>
      <c r="AO55" s="1239"/>
      <c r="AP55" s="445"/>
      <c r="AQ55" s="484"/>
      <c r="AR55" s="484"/>
      <c r="AS55" s="484"/>
      <c r="AT55" s="484">
        <f>+ab($T$55,$T$53,$T$57,$G$54,$G$56,-1*$F$55,1200)</f>
        <v>9.0494614897389987</v>
      </c>
      <c r="AU55" s="638"/>
      <c r="AV55" s="638"/>
      <c r="AW55" s="638" t="str">
        <f>VLOOKUP(C55,'Foundation Calculation'!$A$2:$C$33,3,1)</f>
        <v>Soil B</v>
      </c>
      <c r="AX55" s="638" t="str">
        <f>VLOOKUP(C55,'Foundation Calculation'!$E$2:$G$33,3,1)</f>
        <v>PT</v>
      </c>
      <c r="AY55" s="484">
        <f>IF(AX55="PT",VLOOKUP(L55,'Foundation Calculation'!$K$2:$R$40,VLOOKUP(AW55,'Foundation Calculation'!$I$2:$J$8,2,FALSE),0),IF(AX55="K",VLOOKUP(L55,'Foundation Calculation'!$K$42:$R$80,VLOOKUP(AW55,'Foundation Calculation'!$I$2:$J$8,2,FALSE),0),""))</f>
        <v>3.5</v>
      </c>
      <c r="AZ55" s="484"/>
      <c r="BA55" s="671" t="s">
        <v>2809</v>
      </c>
      <c r="BB55" s="449" t="str">
        <f>Pole_Calculations!A156</f>
        <v>App.7.1-V01-P9.5.1.5</v>
      </c>
      <c r="BC55" s="169"/>
      <c r="BD55" s="1329"/>
      <c r="BE55" s="1329"/>
      <c r="BF55" s="1330"/>
      <c r="BG55" s="1329"/>
    </row>
    <row r="56" spans="1:59" ht="15.65" customHeight="1">
      <c r="A56" s="647" t="s">
        <v>3049</v>
      </c>
      <c r="B56" s="705"/>
      <c r="C56" s="649"/>
      <c r="D56" s="653"/>
      <c r="E56" s="653"/>
      <c r="F56" s="648"/>
      <c r="G56" s="654">
        <v>51.8</v>
      </c>
      <c r="H56" s="653"/>
      <c r="I56" s="650"/>
      <c r="J56" s="649"/>
      <c r="K56" s="653"/>
      <c r="L56" s="657"/>
      <c r="M56" s="657"/>
      <c r="N56" s="647"/>
      <c r="O56" s="647"/>
      <c r="P56" s="653"/>
      <c r="Q56" s="653"/>
      <c r="R56" s="653"/>
      <c r="S56" s="654"/>
      <c r="T56" s="653"/>
      <c r="U56" s="653"/>
      <c r="V56" s="653"/>
      <c r="W56" s="653"/>
      <c r="X56" s="653"/>
      <c r="Y56" s="653"/>
      <c r="Z56" s="653"/>
      <c r="AA56" s="653"/>
      <c r="AB56" s="653"/>
      <c r="AC56" s="653"/>
      <c r="AD56" s="653"/>
      <c r="AE56" s="653"/>
      <c r="AF56" s="653"/>
      <c r="AG56" s="649"/>
      <c r="AH56" s="653"/>
      <c r="AI56" s="704"/>
      <c r="AJ56" s="657"/>
      <c r="AK56" s="647"/>
      <c r="AL56" s="653"/>
      <c r="AM56" s="653"/>
      <c r="AN56" s="651"/>
      <c r="AO56" s="647"/>
      <c r="AP56" s="657"/>
      <c r="AQ56" s="654">
        <f>+FL_2($T$57,$T$55,$G$56,1200,9.28,-1*$F$57)</f>
        <v>-0.37744993308108105</v>
      </c>
      <c r="AR56" s="654"/>
      <c r="AS56" s="654"/>
      <c r="AT56" s="654"/>
      <c r="AU56" s="653"/>
      <c r="AV56" s="653"/>
      <c r="AW56" s="654"/>
      <c r="AX56" s="654"/>
      <c r="AY56" s="654"/>
      <c r="AZ56" s="654"/>
      <c r="BA56" s="1316"/>
      <c r="BB56" s="647"/>
      <c r="BC56" s="169"/>
      <c r="BD56" s="1330"/>
      <c r="BE56" s="1330"/>
      <c r="BF56" s="1330"/>
      <c r="BG56" s="1330"/>
    </row>
    <row r="57" spans="1:59" ht="15.65" customHeight="1">
      <c r="A57" s="449"/>
      <c r="B57" s="435" t="s">
        <v>3607</v>
      </c>
      <c r="C57" s="446">
        <f>+$C$55+$G$56</f>
        <v>13663.089999999998</v>
      </c>
      <c r="D57" s="638"/>
      <c r="E57" s="638"/>
      <c r="F57" s="447">
        <v>0</v>
      </c>
      <c r="G57" s="484"/>
      <c r="H57" s="1239" t="s">
        <v>138</v>
      </c>
      <c r="I57" s="448" t="s">
        <v>623</v>
      </c>
      <c r="J57" s="446"/>
      <c r="K57" s="638"/>
      <c r="L57" s="445" t="s">
        <v>898</v>
      </c>
      <c r="M57" s="638" t="str">
        <f>IF(AX57="PT",VLOOKUP(L57,'Foundation Calculation'!$V$2:$X$40,VLOOKUP(AX57,'Foundation Calculation'!$I$10:$J$13,2,FALSE),0),IF(AX57="K",VLOOKUP(L57,'Foundation Calculation'!$V$42:$X$80,VLOOKUP(AX57,'Foundation Calculation'!$I$10:$J$13,2,FALSE),0),""))</f>
        <v>C4R</v>
      </c>
      <c r="N57" s="1239" t="s">
        <v>143</v>
      </c>
      <c r="O57" s="1239"/>
      <c r="P57" s="638"/>
      <c r="Q57" s="638"/>
      <c r="R57" s="638"/>
      <c r="S57" s="484"/>
      <c r="T57" s="638">
        <v>-35</v>
      </c>
      <c r="U57" s="638"/>
      <c r="V57" s="638"/>
      <c r="W57" s="638">
        <v>1.2</v>
      </c>
      <c r="X57" s="638"/>
      <c r="Y57" s="638"/>
      <c r="Z57" s="638"/>
      <c r="AA57" s="638"/>
      <c r="AB57" s="638"/>
      <c r="AC57" s="638" t="str">
        <f t="shared" si="0"/>
        <v>PH-Q</v>
      </c>
      <c r="AD57" s="638"/>
      <c r="AE57" s="638"/>
      <c r="AF57" s="638"/>
      <c r="AG57" s="446"/>
      <c r="AH57" s="638"/>
      <c r="AI57" s="638"/>
      <c r="AJ57" s="445"/>
      <c r="AK57" s="1239"/>
      <c r="AL57" s="638"/>
      <c r="AM57" s="638" t="s">
        <v>1043</v>
      </c>
      <c r="AN57" s="455">
        <v>5.15</v>
      </c>
      <c r="AO57" s="1239"/>
      <c r="AP57" s="445"/>
      <c r="AQ57" s="484"/>
      <c r="AR57" s="484"/>
      <c r="AS57" s="484"/>
      <c r="AT57" s="484">
        <f>+ab($T$57,$T$55,$T$59,$G$56,$G$58,-1*$F$57,1200)</f>
        <v>-7.0096064769208448</v>
      </c>
      <c r="AU57" s="638"/>
      <c r="AV57" s="638"/>
      <c r="AW57" s="638" t="str">
        <f>VLOOKUP(C57,'Foundation Calculation'!$A$2:$C$33,3,1)</f>
        <v>Soil B</v>
      </c>
      <c r="AX57" s="638" t="str">
        <f>VLOOKUP(C57,'Foundation Calculation'!$E$2:$G$33,3,1)</f>
        <v>PT</v>
      </c>
      <c r="AY57" s="484">
        <f>IF(AX57="PT",VLOOKUP(L57,'Foundation Calculation'!$K$2:$R$40,VLOOKUP(AW57,'Foundation Calculation'!$I$2:$J$8,2,FALSE),0),IF(AX57="K",VLOOKUP(L57,'Foundation Calculation'!$K$42:$R$80,VLOOKUP(AW57,'Foundation Calculation'!$I$2:$J$8,2,FALSE),0),""))</f>
        <v>3.5</v>
      </c>
      <c r="AZ57" s="484"/>
      <c r="BA57" s="671" t="s">
        <v>2809</v>
      </c>
      <c r="BB57" s="449" t="str">
        <f>Pole_Calculations!A157</f>
        <v>App.7.1-V01-P9.5.1.6</v>
      </c>
      <c r="BC57" s="169"/>
      <c r="BD57" s="1329"/>
      <c r="BE57" s="1329"/>
      <c r="BF57" s="1330"/>
      <c r="BG57" s="1329"/>
    </row>
    <row r="58" spans="1:59" ht="15.65" customHeight="1">
      <c r="A58" s="447"/>
      <c r="B58" s="173"/>
      <c r="C58" s="446"/>
      <c r="D58" s="638"/>
      <c r="E58" s="638"/>
      <c r="F58" s="447"/>
      <c r="G58" s="484">
        <v>51</v>
      </c>
      <c r="H58" s="1239"/>
      <c r="I58" s="448"/>
      <c r="J58" s="446">
        <f>C57+7.5</f>
        <v>13670.589999999998</v>
      </c>
      <c r="K58" s="638" t="s">
        <v>2787</v>
      </c>
      <c r="L58" s="445"/>
      <c r="M58" s="445"/>
      <c r="N58" s="1239"/>
      <c r="O58" s="1239"/>
      <c r="P58" s="638"/>
      <c r="Q58" s="638"/>
      <c r="R58" s="638"/>
      <c r="S58" s="484"/>
      <c r="T58" s="638"/>
      <c r="U58" s="638"/>
      <c r="V58" s="638"/>
      <c r="W58" s="638"/>
      <c r="X58" s="638"/>
      <c r="Y58" s="638"/>
      <c r="Z58" s="638"/>
      <c r="AA58" s="638"/>
      <c r="AB58" s="638"/>
      <c r="AC58" s="638"/>
      <c r="AD58" s="638"/>
      <c r="AE58" s="638"/>
      <c r="AF58" s="638"/>
      <c r="AG58" s="446"/>
      <c r="AH58" s="638"/>
      <c r="AI58" s="638"/>
      <c r="AJ58" s="445"/>
      <c r="AK58" s="1239"/>
      <c r="AL58" s="638"/>
      <c r="AM58" s="638"/>
      <c r="AN58" s="455"/>
      <c r="AO58" s="1239"/>
      <c r="AP58" s="445"/>
      <c r="AQ58" s="484">
        <f>+FL_1($T$59,$T$57,$G$58,1200,9.28,-1*$F$59)</f>
        <v>0.3821497828631909</v>
      </c>
      <c r="AR58" s="484"/>
      <c r="AS58" s="484"/>
      <c r="AT58" s="484"/>
      <c r="AU58" s="638"/>
      <c r="AV58" s="638"/>
      <c r="AW58" s="638" t="str">
        <f>VLOOKUP(J58,'Foundation Calculation'!$A$2:$C$33,3,1)</f>
        <v>Soil B</v>
      </c>
      <c r="AX58" s="703" t="str">
        <f>VLOOKUP(J58,'Foundation Calculation'!$E$2:$G$33,3,1)</f>
        <v>PT</v>
      </c>
      <c r="AY58" s="484"/>
      <c r="AZ58" s="484">
        <f>IF(AX58="PT",VLOOKUP(K58,'Foundation Calculation'!$K$2:$R$40,VLOOKUP(AW58,'Foundation Calculation'!$I$2:$J$8,2,FALSE),0),IF(AX58="K",VLOOKUP(K58,'Foundation Calculation'!$K$42:$R$80,VLOOKUP(AW58,'Foundation Calculation'!$I$2:$J$8,2,FALSE),0),""))</f>
        <v>3.9</v>
      </c>
      <c r="BA58" s="671" t="s">
        <v>2809</v>
      </c>
      <c r="BB58" s="447"/>
      <c r="BC58" s="169"/>
      <c r="BD58" s="1329"/>
      <c r="BE58" s="1330"/>
      <c r="BF58" s="1330"/>
      <c r="BG58" s="1330"/>
    </row>
    <row r="59" spans="1:59" ht="15.65" customHeight="1">
      <c r="A59" s="1239"/>
      <c r="B59" s="435" t="s">
        <v>3608</v>
      </c>
      <c r="C59" s="446">
        <f>+$C$57+$G$58</f>
        <v>13714.089999999998</v>
      </c>
      <c r="D59" s="638"/>
      <c r="E59" s="638"/>
      <c r="F59" s="448">
        <f>(693^2)/(C59-13689.93)</f>
        <v>19877.855960266515</v>
      </c>
      <c r="G59" s="484"/>
      <c r="H59" s="638"/>
      <c r="I59" s="448"/>
      <c r="J59" s="446"/>
      <c r="K59" s="638"/>
      <c r="L59" s="445" t="s">
        <v>230</v>
      </c>
      <c r="M59" s="638" t="str">
        <f>IF(AX59="PT",VLOOKUP(L59,'Foundation Calculation'!$V$2:$X$40,VLOOKUP(AX59,'Foundation Calculation'!$I$10:$J$13,2,FALSE),0),IF(AX59="K",VLOOKUP(L59,'Foundation Calculation'!$V$42:$X$80,VLOOKUP(AX59,'Foundation Calculation'!$I$10:$J$13,2,FALSE),0),""))</f>
        <v>C4R</v>
      </c>
      <c r="N59" s="1239" t="s">
        <v>144</v>
      </c>
      <c r="O59" s="1239"/>
      <c r="P59" s="638"/>
      <c r="Q59" s="638"/>
      <c r="R59" s="638"/>
      <c r="S59" s="484"/>
      <c r="T59" s="638">
        <v>35</v>
      </c>
      <c r="U59" s="638"/>
      <c r="V59" s="638"/>
      <c r="W59" s="638">
        <v>1</v>
      </c>
      <c r="X59" s="638"/>
      <c r="Y59" s="638"/>
      <c r="Z59" s="638"/>
      <c r="AA59" s="638"/>
      <c r="AB59" s="638"/>
      <c r="AC59" s="638" t="str">
        <f t="shared" si="0"/>
        <v>PH</v>
      </c>
      <c r="AD59" s="638"/>
      <c r="AE59" s="638"/>
      <c r="AF59" s="638"/>
      <c r="AG59" s="446"/>
      <c r="AH59" s="638"/>
      <c r="AI59" s="638"/>
      <c r="AJ59" s="638"/>
      <c r="AK59" s="638"/>
      <c r="AL59" s="638"/>
      <c r="AM59" s="638" t="s">
        <v>1043</v>
      </c>
      <c r="AN59" s="455">
        <v>5.15</v>
      </c>
      <c r="AO59" s="1239"/>
      <c r="AP59" s="1239"/>
      <c r="AQ59" s="484"/>
      <c r="AR59" s="484"/>
      <c r="AS59" s="484"/>
      <c r="AT59" s="484">
        <f>+ab($T$59,$T$57,$T$61,$G$58,$G$60,-1*$F$59,1200)</f>
        <v>9.0897659397172355</v>
      </c>
      <c r="AU59" s="638"/>
      <c r="AV59" s="638"/>
      <c r="AW59" s="638" t="str">
        <f>VLOOKUP(C59,'Foundation Calculation'!$A$2:$C$33,3,1)</f>
        <v>Soil B</v>
      </c>
      <c r="AX59" s="703" t="str">
        <f>VLOOKUP(C59,'Foundation Calculation'!$E$2:$G$33,3,1)</f>
        <v>PT</v>
      </c>
      <c r="AY59" s="484">
        <f>IF(AX59="PT",VLOOKUP(L59,'Foundation Calculation'!$K$2:$R$40,VLOOKUP(AW59,'Foundation Calculation'!$I$2:$J$8,2,FALSE),0),IF(AX59="K",VLOOKUP(L59,'Foundation Calculation'!$K$42:$R$80,VLOOKUP(AW59,'Foundation Calculation'!$I$2:$J$8,2,FALSE),0),""))</f>
        <v>3.5</v>
      </c>
      <c r="AZ59" s="484"/>
      <c r="BA59" s="671" t="s">
        <v>2809</v>
      </c>
      <c r="BB59" s="1239" t="str">
        <f>Pole_Calculations!A152</f>
        <v>App.7.1-V01-P9.5.1.1</v>
      </c>
      <c r="BC59" s="169"/>
      <c r="BD59" s="1329"/>
      <c r="BE59" s="1329"/>
      <c r="BF59" s="1330"/>
      <c r="BG59" s="1329"/>
    </row>
    <row r="60" spans="1:59" ht="15.65" customHeight="1">
      <c r="A60" s="488" t="s">
        <v>1851</v>
      </c>
      <c r="B60" s="639"/>
      <c r="C60" s="489"/>
      <c r="D60" s="490"/>
      <c r="E60" s="490"/>
      <c r="F60" s="491"/>
      <c r="G60" s="493">
        <v>60</v>
      </c>
      <c r="H60" s="495"/>
      <c r="I60" s="492"/>
      <c r="J60" s="489"/>
      <c r="K60" s="490"/>
      <c r="L60" s="494"/>
      <c r="M60" s="494"/>
      <c r="N60" s="495"/>
      <c r="O60" s="495"/>
      <c r="P60" s="490"/>
      <c r="Q60" s="490"/>
      <c r="R60" s="490"/>
      <c r="S60" s="493"/>
      <c r="T60" s="490"/>
      <c r="U60" s="490"/>
      <c r="V60" s="490"/>
      <c r="W60" s="490"/>
      <c r="X60" s="490"/>
      <c r="Y60" s="490"/>
      <c r="Z60" s="490"/>
      <c r="AA60" s="490"/>
      <c r="AB60" s="490"/>
      <c r="AC60" s="490"/>
      <c r="AD60" s="490"/>
      <c r="AE60" s="490"/>
      <c r="AF60" s="490"/>
      <c r="AG60" s="489"/>
      <c r="AH60" s="490"/>
      <c r="AI60" s="490"/>
      <c r="AJ60" s="490"/>
      <c r="AK60" s="490"/>
      <c r="AL60" s="490"/>
      <c r="AM60" s="490"/>
      <c r="AN60" s="457"/>
      <c r="AO60" s="495"/>
      <c r="AP60" s="495"/>
      <c r="AQ60" s="493">
        <f>+FL_1($T$61,$T$59,$G$60,1200,9.28,-1*$F$61)</f>
        <v>0.50990877281281788</v>
      </c>
      <c r="AR60" s="493"/>
      <c r="AS60" s="493"/>
      <c r="AT60" s="493"/>
      <c r="AU60" s="490"/>
      <c r="AV60" s="490"/>
      <c r="AW60" s="493"/>
      <c r="AX60" s="493"/>
      <c r="AY60" s="493"/>
      <c r="AZ60" s="493"/>
      <c r="BA60" s="602"/>
      <c r="BB60" s="488"/>
      <c r="BC60" s="169"/>
      <c r="BD60" s="1330"/>
      <c r="BE60" s="1330"/>
      <c r="BF60" s="1330"/>
      <c r="BG60" s="1330"/>
    </row>
    <row r="61" spans="1:59" ht="15.65" customHeight="1">
      <c r="A61" s="1239"/>
      <c r="B61" s="435" t="s">
        <v>3609</v>
      </c>
      <c r="C61" s="446">
        <f>+$C$59+$G$60</f>
        <v>13774.089999999998</v>
      </c>
      <c r="D61" s="638"/>
      <c r="E61" s="638"/>
      <c r="F61" s="447">
        <v>8000</v>
      </c>
      <c r="G61" s="484"/>
      <c r="H61" s="638"/>
      <c r="I61" s="448"/>
      <c r="J61" s="446"/>
      <c r="K61" s="638"/>
      <c r="L61" s="445" t="s">
        <v>230</v>
      </c>
      <c r="M61" s="638" t="str">
        <f>IF(AX61="PT",VLOOKUP(L61,'Foundation Calculation'!$V$2:$X$40,VLOOKUP(AX61,'Foundation Calculation'!$I$10:$J$13,2,FALSE),0),IF(AX61="K",VLOOKUP(L61,'Foundation Calculation'!$V$42:$X$80,VLOOKUP(AX61,'Foundation Calculation'!$I$10:$J$13,2,FALSE),0),""))</f>
        <v>C4R</v>
      </c>
      <c r="N61" s="1239" t="s">
        <v>143</v>
      </c>
      <c r="O61" s="638"/>
      <c r="P61" s="638"/>
      <c r="Q61" s="638"/>
      <c r="R61" s="638"/>
      <c r="S61" s="484"/>
      <c r="T61" s="638">
        <v>-25</v>
      </c>
      <c r="U61" s="638"/>
      <c r="V61" s="638"/>
      <c r="W61" s="638">
        <v>1</v>
      </c>
      <c r="X61" s="638"/>
      <c r="Y61" s="638"/>
      <c r="Z61" s="638"/>
      <c r="AA61" s="638"/>
      <c r="AB61" s="638"/>
      <c r="AC61" s="638" t="str">
        <f t="shared" si="0"/>
        <v>PH-Q</v>
      </c>
      <c r="AD61" s="638"/>
      <c r="AE61" s="638"/>
      <c r="AF61" s="638"/>
      <c r="AG61" s="446"/>
      <c r="AH61" s="638"/>
      <c r="AI61" s="638"/>
      <c r="AJ61" s="638"/>
      <c r="AK61" s="638"/>
      <c r="AL61" s="638"/>
      <c r="AM61" s="638" t="s">
        <v>1043</v>
      </c>
      <c r="AN61" s="455">
        <v>5.15</v>
      </c>
      <c r="AO61" s="1239"/>
      <c r="AP61" s="1239"/>
      <c r="AQ61" s="484"/>
      <c r="AR61" s="484"/>
      <c r="AS61" s="484"/>
      <c r="AT61" s="484">
        <f>+ab($T$61,$T$59,$T$63,$G$60,$G$62,-1*$F$61,1200)</f>
        <v>-6.993473532266445</v>
      </c>
      <c r="AU61" s="638"/>
      <c r="AV61" s="638"/>
      <c r="AW61" s="638" t="str">
        <f>VLOOKUP(C61,'Foundation Calculation'!$A$2:$C$33,3,1)</f>
        <v>Soil B</v>
      </c>
      <c r="AX61" s="638" t="str">
        <f>VLOOKUP(C61,'Foundation Calculation'!$E$2:$G$33,3,1)</f>
        <v>PT</v>
      </c>
      <c r="AY61" s="484">
        <f>IF(AX61="PT",VLOOKUP(L61,'Foundation Calculation'!$K$2:$R$40,VLOOKUP(AW61,'Foundation Calculation'!$I$2:$J$8,2,FALSE),0),IF(AX61="K",VLOOKUP(L61,'Foundation Calculation'!$K$42:$R$80,VLOOKUP(AW61,'Foundation Calculation'!$I$2:$J$8,2,FALSE),0),""))</f>
        <v>3.5</v>
      </c>
      <c r="AZ61" s="484"/>
      <c r="BA61" s="671" t="s">
        <v>2809</v>
      </c>
      <c r="BB61" s="1239" t="str">
        <f>Pole_Calculations!A152</f>
        <v>App.7.1-V01-P9.5.1.1</v>
      </c>
      <c r="BC61" s="169"/>
      <c r="BD61" s="1329"/>
      <c r="BE61" s="1329"/>
      <c r="BF61" s="1330"/>
      <c r="BG61" s="1329"/>
    </row>
    <row r="62" spans="1:59" ht="15.65" customHeight="1">
      <c r="A62" s="1239"/>
      <c r="B62" s="173"/>
      <c r="C62" s="446"/>
      <c r="D62" s="447"/>
      <c r="E62" s="447"/>
      <c r="F62" s="447"/>
      <c r="G62" s="484">
        <v>62</v>
      </c>
      <c r="H62" s="1239"/>
      <c r="I62" s="448"/>
      <c r="J62" s="446"/>
      <c r="K62" s="638"/>
      <c r="L62" s="445"/>
      <c r="M62" s="445"/>
      <c r="N62" s="1239"/>
      <c r="O62" s="1239"/>
      <c r="P62" s="638"/>
      <c r="Q62" s="638"/>
      <c r="R62" s="638"/>
      <c r="S62" s="484"/>
      <c r="T62" s="638"/>
      <c r="U62" s="638"/>
      <c r="V62" s="638"/>
      <c r="W62" s="638"/>
      <c r="X62" s="638"/>
      <c r="Y62" s="638"/>
      <c r="Z62" s="638"/>
      <c r="AA62" s="638"/>
      <c r="AB62" s="638"/>
      <c r="AC62" s="638"/>
      <c r="AD62" s="638"/>
      <c r="AE62" s="638"/>
      <c r="AF62" s="638"/>
      <c r="AG62" s="446"/>
      <c r="AH62" s="638"/>
      <c r="AI62" s="185"/>
      <c r="AJ62" s="445"/>
      <c r="AK62" s="1239"/>
      <c r="AL62" s="638"/>
      <c r="AM62" s="638"/>
      <c r="AN62" s="455"/>
      <c r="AO62" s="1239"/>
      <c r="AP62" s="1239"/>
      <c r="AQ62" s="484">
        <f>+FL_1($T$63,$T$61,$G$62,1200,9.28,-1*$F$63)</f>
        <v>0.53377500319458027</v>
      </c>
      <c r="AR62" s="484"/>
      <c r="AS62" s="484"/>
      <c r="AT62" s="484"/>
      <c r="AU62" s="638"/>
      <c r="AV62" s="638"/>
      <c r="AW62" s="484"/>
      <c r="AX62" s="484"/>
      <c r="AY62" s="484"/>
      <c r="AZ62" s="484"/>
      <c r="BA62" s="671"/>
      <c r="BB62" s="1239"/>
      <c r="BC62" s="169"/>
      <c r="BD62" s="1330"/>
      <c r="BE62" s="1330"/>
      <c r="BF62" s="1330"/>
      <c r="BG62" s="1330"/>
    </row>
    <row r="63" spans="1:59" ht="15.65" customHeight="1">
      <c r="A63" s="1239"/>
      <c r="B63" s="435" t="s">
        <v>3610</v>
      </c>
      <c r="C63" s="446">
        <f>+$C$61+$G$62</f>
        <v>13836.089999999998</v>
      </c>
      <c r="D63" s="447"/>
      <c r="E63" s="447"/>
      <c r="F63" s="1239">
        <v>8000</v>
      </c>
      <c r="G63" s="484"/>
      <c r="H63" s="638"/>
      <c r="I63" s="448"/>
      <c r="J63" s="446"/>
      <c r="K63" s="638"/>
      <c r="L63" s="445" t="s">
        <v>230</v>
      </c>
      <c r="M63" s="638" t="str">
        <f>IF(AX63="PT",VLOOKUP(L63,'Foundation Calculation'!$V$2:$X$40,VLOOKUP(AX63,'Foundation Calculation'!$I$10:$J$13,2,FALSE),0),IF(AX63="K",VLOOKUP(L63,'Foundation Calculation'!$V$42:$X$80,VLOOKUP(AX63,'Foundation Calculation'!$I$10:$J$13,2,FALSE),0),""))</f>
        <v>C4R</v>
      </c>
      <c r="N63" s="1239" t="s">
        <v>144</v>
      </c>
      <c r="O63" s="1239"/>
      <c r="P63" s="638"/>
      <c r="Q63" s="638"/>
      <c r="R63" s="638"/>
      <c r="S63" s="484"/>
      <c r="T63" s="638">
        <v>35</v>
      </c>
      <c r="U63" s="638"/>
      <c r="V63" s="638"/>
      <c r="W63" s="638">
        <v>1.2</v>
      </c>
      <c r="X63" s="638"/>
      <c r="Y63" s="638"/>
      <c r="Z63" s="638"/>
      <c r="AA63" s="638"/>
      <c r="AB63" s="638"/>
      <c r="AC63" s="638" t="str">
        <f t="shared" si="0"/>
        <v>PH</v>
      </c>
      <c r="AD63" s="638"/>
      <c r="AE63" s="638"/>
      <c r="AF63" s="638"/>
      <c r="AG63" s="446"/>
      <c r="AH63" s="638"/>
      <c r="AI63" s="185"/>
      <c r="AJ63" s="445"/>
      <c r="AK63" s="1239"/>
      <c r="AL63" s="638"/>
      <c r="AM63" s="638" t="s">
        <v>1043</v>
      </c>
      <c r="AN63" s="455">
        <v>5.23</v>
      </c>
      <c r="AO63" s="1239"/>
      <c r="AP63" s="1239"/>
      <c r="AQ63" s="484"/>
      <c r="AR63" s="484"/>
      <c r="AS63" s="484"/>
      <c r="AT63" s="484">
        <f>+ab($T$63,$T$61,$T$65,$G$62,$G$64,-1*$F$63,1200)</f>
        <v>16.098148834958941</v>
      </c>
      <c r="AU63" s="638"/>
      <c r="AV63" s="638"/>
      <c r="AW63" s="638" t="str">
        <f>VLOOKUP(C63,'Foundation Calculation'!$A$2:$C$33,3,1)</f>
        <v>Soil B</v>
      </c>
      <c r="AX63" s="638" t="str">
        <f>VLOOKUP(C63,'Foundation Calculation'!$E$2:$G$33,3,1)</f>
        <v>PT</v>
      </c>
      <c r="AY63" s="484">
        <f>IF(AX63="PT",VLOOKUP(L63,'Foundation Calculation'!$K$2:$R$40,VLOOKUP(AW63,'Foundation Calculation'!$I$2:$J$8,2,FALSE),0),IF(AX63="K",VLOOKUP(L63,'Foundation Calculation'!$K$42:$R$80,VLOOKUP(AW63,'Foundation Calculation'!$I$2:$J$8,2,FALSE),0),""))</f>
        <v>3.5</v>
      </c>
      <c r="AZ63" s="484"/>
      <c r="BA63" s="671" t="s">
        <v>2809</v>
      </c>
      <c r="BB63" s="1239" t="str">
        <f>Pole_Calculations!A152</f>
        <v>App.7.1-V01-P9.5.1.1</v>
      </c>
      <c r="BC63" s="169"/>
      <c r="BD63" s="1329"/>
      <c r="BE63" s="1329"/>
      <c r="BF63" s="1330"/>
      <c r="BG63" s="1329"/>
    </row>
    <row r="64" spans="1:59" ht="15.65" customHeight="1">
      <c r="A64" s="1239"/>
      <c r="B64" s="1239"/>
      <c r="C64" s="1239"/>
      <c r="D64" s="1239"/>
      <c r="E64" s="1239"/>
      <c r="F64" s="448"/>
      <c r="G64" s="455">
        <v>62</v>
      </c>
      <c r="H64" s="1239"/>
      <c r="I64" s="448"/>
      <c r="J64" s="171"/>
      <c r="K64" s="1239"/>
      <c r="L64" s="1239"/>
      <c r="M64" s="1239"/>
      <c r="N64" s="1239"/>
      <c r="O64" s="1239"/>
      <c r="P64" s="1239"/>
      <c r="Q64" s="1239"/>
      <c r="R64" s="1239"/>
      <c r="S64" s="455"/>
      <c r="T64" s="1239"/>
      <c r="U64" s="1239"/>
      <c r="V64" s="1239"/>
      <c r="W64" s="1239"/>
      <c r="X64" s="1239"/>
      <c r="Y64" s="1239"/>
      <c r="Z64" s="1239"/>
      <c r="AA64" s="1239"/>
      <c r="AB64" s="1239"/>
      <c r="AC64" s="1239"/>
      <c r="AD64" s="1239"/>
      <c r="AE64" s="1239"/>
      <c r="AF64" s="1239"/>
      <c r="AG64" s="171"/>
      <c r="AH64" s="1239"/>
      <c r="AI64" s="1239"/>
      <c r="AJ64" s="1239"/>
      <c r="AK64" s="1239"/>
      <c r="AL64" s="1239"/>
      <c r="AM64" s="1239"/>
      <c r="AN64" s="455"/>
      <c r="AO64" s="1239"/>
      <c r="AP64" s="1239"/>
      <c r="AQ64" s="455">
        <f>+FL_1($T$65,$T$63,$G$64,1200,9.28,-1*$F$65)</f>
        <v>0.53377500319458093</v>
      </c>
      <c r="AR64" s="455"/>
      <c r="AS64" s="455"/>
      <c r="AT64" s="455"/>
      <c r="AU64" s="1239"/>
      <c r="AV64" s="1239"/>
      <c r="AW64" s="1239"/>
      <c r="AX64" s="1239"/>
      <c r="AY64" s="455"/>
      <c r="AZ64" s="455"/>
      <c r="BA64" s="1314"/>
      <c r="BB64" s="1239"/>
      <c r="BC64" s="169"/>
      <c r="BD64" s="1330"/>
      <c r="BE64" s="1330"/>
      <c r="BF64" s="1330"/>
      <c r="BG64" s="1330"/>
    </row>
    <row r="65" spans="1:59" ht="15.65" customHeight="1">
      <c r="A65" s="1239"/>
      <c r="B65" s="572" t="s">
        <v>3611</v>
      </c>
      <c r="C65" s="171">
        <f>+$C$63+$G$64</f>
        <v>13898.089999999998</v>
      </c>
      <c r="D65" s="1239"/>
      <c r="E65" s="1239"/>
      <c r="F65" s="1239">
        <v>8000</v>
      </c>
      <c r="G65" s="455"/>
      <c r="H65" s="1239"/>
      <c r="I65" s="448"/>
      <c r="J65" s="446"/>
      <c r="K65" s="1239"/>
      <c r="L65" s="445" t="s">
        <v>230</v>
      </c>
      <c r="M65" s="638" t="str">
        <f>IF(AX65="PT",VLOOKUP(L65,'Foundation Calculation'!$V$2:$X$40,VLOOKUP(AX65,'Foundation Calculation'!$I$10:$J$13,2,FALSE),0),IF(AX65="K",VLOOKUP(L65,'Foundation Calculation'!$V$42:$X$80,VLOOKUP(AX65,'Foundation Calculation'!$I$10:$J$13,2,FALSE),0),""))</f>
        <v>C4R</v>
      </c>
      <c r="N65" s="1239" t="s">
        <v>143</v>
      </c>
      <c r="O65" s="1239"/>
      <c r="P65" s="1239"/>
      <c r="Q65" s="1239"/>
      <c r="R65" s="1239"/>
      <c r="S65" s="455"/>
      <c r="T65" s="1239">
        <v>-25</v>
      </c>
      <c r="U65" s="1239"/>
      <c r="V65" s="1239"/>
      <c r="W65" s="638">
        <v>1.4</v>
      </c>
      <c r="X65" s="1239"/>
      <c r="Y65" s="1239"/>
      <c r="Z65" s="1239"/>
      <c r="AA65" s="1239"/>
      <c r="AB65" s="1239"/>
      <c r="AC65" s="1239" t="str">
        <f t="shared" si="0"/>
        <v>PH-Q</v>
      </c>
      <c r="AD65" s="1239"/>
      <c r="AE65" s="1239"/>
      <c r="AF65" s="1239"/>
      <c r="AG65" s="171"/>
      <c r="AH65" s="1239"/>
      <c r="AI65" s="1239"/>
      <c r="AJ65" s="1239"/>
      <c r="AK65" s="1239"/>
      <c r="AL65" s="1239"/>
      <c r="AM65" s="1239" t="s">
        <v>1043</v>
      </c>
      <c r="AN65" s="455">
        <v>5.33</v>
      </c>
      <c r="AO65" s="1239"/>
      <c r="AP65" s="1239"/>
      <c r="AQ65" s="455"/>
      <c r="AR65" s="455"/>
      <c r="AS65" s="455"/>
      <c r="AT65" s="455">
        <f>+ab($T$65,$T$63,$T$67,$G$64,$G$66,-1*$F$65,1200)</f>
        <v>-6.993473532266445</v>
      </c>
      <c r="AU65" s="1239"/>
      <c r="AV65" s="1239"/>
      <c r="AW65" s="638" t="str">
        <f>VLOOKUP(C65,'Foundation Calculation'!$A$2:$C$33,3,1)</f>
        <v>Soil B</v>
      </c>
      <c r="AX65" s="638" t="str">
        <f>VLOOKUP(C65,'Foundation Calculation'!$E$2:$G$33,3,1)</f>
        <v>PT</v>
      </c>
      <c r="AY65" s="484">
        <f>IF(AX65="PT",VLOOKUP(L65,'Foundation Calculation'!$K$2:$R$40,VLOOKUP(AW65,'Foundation Calculation'!$I$2:$J$8,2,FALSE),0),IF(AX65="K",VLOOKUP(L65,'Foundation Calculation'!$K$42:$R$80,VLOOKUP(AW65,'Foundation Calculation'!$I$2:$J$8,2,FALSE),0),""))</f>
        <v>3.5</v>
      </c>
      <c r="AZ65" s="484"/>
      <c r="BA65" s="671" t="s">
        <v>2809</v>
      </c>
      <c r="BB65" s="1239" t="str">
        <f>Pole_Calculations!A152</f>
        <v>App.7.1-V01-P9.5.1.1</v>
      </c>
      <c r="BC65" s="169"/>
      <c r="BD65" s="1329"/>
      <c r="BE65" s="1329"/>
      <c r="BF65" s="1330"/>
      <c r="BG65" s="1329"/>
    </row>
    <row r="66" spans="1:59" ht="15.65" customHeight="1">
      <c r="A66" s="1239"/>
      <c r="B66" s="1239"/>
      <c r="C66" s="1239"/>
      <c r="D66" s="1239"/>
      <c r="E66" s="1239"/>
      <c r="F66" s="448"/>
      <c r="G66" s="455">
        <v>60</v>
      </c>
      <c r="H66" s="1239"/>
      <c r="I66" s="448"/>
      <c r="J66" s="446"/>
      <c r="K66" s="1239"/>
      <c r="L66" s="1239"/>
      <c r="M66" s="1239"/>
      <c r="N66" s="1239"/>
      <c r="O66" s="1239"/>
      <c r="P66" s="1239"/>
      <c r="Q66" s="1239"/>
      <c r="R66" s="1239"/>
      <c r="S66" s="455"/>
      <c r="T66" s="1239"/>
      <c r="U66" s="1239"/>
      <c r="V66" s="1239"/>
      <c r="W66" s="1239"/>
      <c r="X66" s="1239"/>
      <c r="Y66" s="1239"/>
      <c r="Z66" s="1239"/>
      <c r="AA66" s="1239"/>
      <c r="AB66" s="1239"/>
      <c r="AC66" s="1239"/>
      <c r="AD66" s="1239"/>
      <c r="AE66" s="1239"/>
      <c r="AF66" s="1239"/>
      <c r="AG66" s="171"/>
      <c r="AH66" s="1239"/>
      <c r="AI66" s="1239"/>
      <c r="AJ66" s="1239"/>
      <c r="AK66" s="1239"/>
      <c r="AL66" s="1239"/>
      <c r="AM66" s="1239"/>
      <c r="AN66" s="455"/>
      <c r="AO66" s="1239"/>
      <c r="AP66" s="1239"/>
      <c r="AQ66" s="455">
        <f>+FL_1($T$67,$T$65,$G$66,1200,9.28,-1*$F$67)</f>
        <v>0.50990877281281721</v>
      </c>
      <c r="AR66" s="455"/>
      <c r="AS66" s="455"/>
      <c r="AT66" s="455"/>
      <c r="AU66" s="1239"/>
      <c r="AV66" s="1239"/>
      <c r="AW66" s="1239"/>
      <c r="AX66" s="1239"/>
      <c r="AY66" s="455"/>
      <c r="AZ66" s="455"/>
      <c r="BA66" s="1314"/>
      <c r="BB66" s="1239"/>
      <c r="BC66" s="169"/>
      <c r="BD66" s="1330"/>
      <c r="BE66" s="1330"/>
      <c r="BF66" s="1330"/>
      <c r="BG66" s="1330"/>
    </row>
    <row r="67" spans="1:59" ht="15.65" customHeight="1">
      <c r="A67" s="1239"/>
      <c r="B67" s="572" t="s">
        <v>3612</v>
      </c>
      <c r="C67" s="171">
        <f>+$C$65+$G$66</f>
        <v>13958.089999999998</v>
      </c>
      <c r="D67" s="1239"/>
      <c r="E67" s="1239"/>
      <c r="F67" s="448">
        <v>8000</v>
      </c>
      <c r="G67" s="455"/>
      <c r="H67" s="1239"/>
      <c r="I67" s="448"/>
      <c r="J67" s="446"/>
      <c r="K67" s="1239"/>
      <c r="L67" s="445" t="s">
        <v>230</v>
      </c>
      <c r="M67" s="638" t="str">
        <f>IF(AX67="PT",VLOOKUP(L67,'Foundation Calculation'!$V$2:$X$40,VLOOKUP(AX67,'Foundation Calculation'!$I$10:$J$13,2,FALSE),0),IF(AX67="K",VLOOKUP(L67,'Foundation Calculation'!$V$42:$X$80,VLOOKUP(AX67,'Foundation Calculation'!$I$10:$J$13,2,FALSE),0),""))</f>
        <v>C4R</v>
      </c>
      <c r="N67" s="1239" t="s">
        <v>144</v>
      </c>
      <c r="O67" s="1239"/>
      <c r="P67" s="1239"/>
      <c r="Q67" s="1239"/>
      <c r="R67" s="1239"/>
      <c r="S67" s="455"/>
      <c r="T67" s="1239">
        <v>35</v>
      </c>
      <c r="U67" s="1239"/>
      <c r="V67" s="1239"/>
      <c r="W67" s="1239">
        <v>1.4</v>
      </c>
      <c r="X67" s="1239"/>
      <c r="Y67" s="1239"/>
      <c r="Z67" s="1239"/>
      <c r="AA67" s="1239"/>
      <c r="AB67" s="1239"/>
      <c r="AC67" s="1239" t="str">
        <f t="shared" si="0"/>
        <v>PH</v>
      </c>
      <c r="AD67" s="1239"/>
      <c r="AE67" s="1239"/>
      <c r="AF67" s="1239"/>
      <c r="AG67" s="171"/>
      <c r="AH67" s="1239"/>
      <c r="AI67" s="1239"/>
      <c r="AJ67" s="1239"/>
      <c r="AK67" s="1239"/>
      <c r="AL67" s="1239"/>
      <c r="AM67" s="1239" t="s">
        <v>1043</v>
      </c>
      <c r="AN67" s="455">
        <v>5.42</v>
      </c>
      <c r="AO67" s="1239"/>
      <c r="AP67" s="1239"/>
      <c r="AQ67" s="455"/>
      <c r="AR67" s="455"/>
      <c r="AS67" s="455"/>
      <c r="AT67" s="455">
        <f>+ab($T$67,$T$65,$T$69,$G$66,$G$68,-1*$F$67,1200)</f>
        <v>14.999117131444221</v>
      </c>
      <c r="AU67" s="1239"/>
      <c r="AV67" s="1239"/>
      <c r="AW67" s="638" t="str">
        <f>VLOOKUP(C67,'Foundation Calculation'!$A$2:$C$33,3,1)</f>
        <v>Soil B</v>
      </c>
      <c r="AX67" s="638" t="str">
        <f>VLOOKUP(C67,'Foundation Calculation'!$E$2:$G$33,3,1)</f>
        <v>PT</v>
      </c>
      <c r="AY67" s="484">
        <f>IF(AX67="PT",VLOOKUP(L67,'Foundation Calculation'!$K$2:$R$40,VLOOKUP(AW67,'Foundation Calculation'!$I$2:$J$8,2,FALSE),0),IF(AX67="K",VLOOKUP(L67,'Foundation Calculation'!$K$42:$R$80,VLOOKUP(AW67,'Foundation Calculation'!$I$2:$J$8,2,FALSE),0),""))</f>
        <v>3.5</v>
      </c>
      <c r="AZ67" s="484"/>
      <c r="BA67" s="671" t="s">
        <v>2809</v>
      </c>
      <c r="BB67" s="1239" t="str">
        <f>Pole_Calculations!A152</f>
        <v>App.7.1-V01-P9.5.1.1</v>
      </c>
      <c r="BC67" s="169"/>
      <c r="BD67" s="1329"/>
      <c r="BE67" s="1329"/>
      <c r="BF67" s="1330"/>
      <c r="BG67" s="1329"/>
    </row>
    <row r="68" spans="1:59">
      <c r="A68" s="1239"/>
      <c r="B68" s="1239"/>
      <c r="C68" s="1239"/>
      <c r="D68" s="1239"/>
      <c r="E68" s="1239"/>
      <c r="F68" s="448"/>
      <c r="G68" s="455">
        <v>60</v>
      </c>
      <c r="H68" s="1239"/>
      <c r="I68" s="448"/>
      <c r="J68" s="446"/>
      <c r="K68" s="1239"/>
      <c r="L68" s="1239"/>
      <c r="M68" s="1239"/>
      <c r="N68" s="1239"/>
      <c r="O68" s="1239"/>
      <c r="P68" s="1239"/>
      <c r="Q68" s="1239"/>
      <c r="R68" s="1239"/>
      <c r="S68" s="455"/>
      <c r="T68" s="1239"/>
      <c r="U68" s="1239"/>
      <c r="V68" s="1239"/>
      <c r="W68" s="1239"/>
      <c r="X68" s="1239"/>
      <c r="Y68" s="1239"/>
      <c r="Z68" s="1239"/>
      <c r="AA68" s="1239"/>
      <c r="AB68" s="1239"/>
      <c r="AC68" s="1239"/>
      <c r="AD68" s="1239"/>
      <c r="AE68" s="1239"/>
      <c r="AF68" s="1239"/>
      <c r="AG68" s="171"/>
      <c r="AH68" s="1239"/>
      <c r="AI68" s="1239"/>
      <c r="AJ68" s="1239"/>
      <c r="AK68" s="1239"/>
      <c r="AL68" s="1239"/>
      <c r="AM68" s="1239"/>
      <c r="AN68" s="455"/>
      <c r="AO68" s="1239"/>
      <c r="AP68" s="1239"/>
      <c r="AQ68" s="455">
        <f>+FL_1($T$69,$T$67,$G$68,1200,9.28,-1*$F$69)</f>
        <v>0.50990877281281788</v>
      </c>
      <c r="AR68" s="455"/>
      <c r="AS68" s="455"/>
      <c r="AT68" s="455"/>
      <c r="AU68" s="1239"/>
      <c r="AV68" s="1239"/>
      <c r="AW68" s="1239"/>
      <c r="AX68" s="1239"/>
      <c r="AY68" s="455"/>
      <c r="AZ68" s="455"/>
      <c r="BA68" s="1314"/>
      <c r="BB68" s="1239"/>
      <c r="BC68" s="169"/>
      <c r="BD68" s="1330"/>
      <c r="BE68" s="1330"/>
      <c r="BF68" s="1330"/>
      <c r="BG68" s="1330"/>
    </row>
    <row r="69" spans="1:59" ht="15.65" customHeight="1">
      <c r="A69" s="1239"/>
      <c r="B69" s="572" t="s">
        <v>3613</v>
      </c>
      <c r="C69" s="171">
        <f>+$C$67+$G$68</f>
        <v>14018.089999999998</v>
      </c>
      <c r="D69" s="1239"/>
      <c r="E69" s="1239"/>
      <c r="F69" s="1239">
        <v>8000</v>
      </c>
      <c r="G69" s="455"/>
      <c r="H69" s="1239"/>
      <c r="I69" s="448"/>
      <c r="J69" s="446"/>
      <c r="K69" s="1239"/>
      <c r="L69" s="445" t="s">
        <v>230</v>
      </c>
      <c r="M69" s="638" t="str">
        <f>IF(AX69="PT",VLOOKUP(L69,'Foundation Calculation'!$V$2:$X$40,VLOOKUP(AX69,'Foundation Calculation'!$I$10:$J$13,2,FALSE),0),IF(AX69="K",VLOOKUP(L69,'Foundation Calculation'!$V$42:$X$80,VLOOKUP(AX69,'Foundation Calculation'!$I$10:$J$13,2,FALSE),0),""))</f>
        <v>C4R</v>
      </c>
      <c r="N69" s="1239" t="s">
        <v>143</v>
      </c>
      <c r="O69" s="1239"/>
      <c r="P69" s="1239"/>
      <c r="Q69" s="1239"/>
      <c r="R69" s="1239"/>
      <c r="S69" s="455"/>
      <c r="T69" s="1239">
        <v>-25</v>
      </c>
      <c r="U69" s="1239"/>
      <c r="V69" s="1239"/>
      <c r="W69" s="1239">
        <v>1.4</v>
      </c>
      <c r="X69" s="1239"/>
      <c r="Y69" s="1239"/>
      <c r="Z69" s="1239"/>
      <c r="AA69" s="1239"/>
      <c r="AB69" s="1239"/>
      <c r="AC69" s="1239" t="str">
        <f t="shared" si="0"/>
        <v>PH-Q</v>
      </c>
      <c r="AD69" s="1239"/>
      <c r="AE69" s="1239"/>
      <c r="AF69" s="1239"/>
      <c r="AG69" s="171"/>
      <c r="AH69" s="1239"/>
      <c r="AI69" s="1239"/>
      <c r="AJ69" s="1239"/>
      <c r="AK69" s="1239"/>
      <c r="AL69" s="1239"/>
      <c r="AM69" s="1239" t="s">
        <v>1043</v>
      </c>
      <c r="AN69" s="455">
        <v>5.5</v>
      </c>
      <c r="AO69" s="1239"/>
      <c r="AP69" s="1239"/>
      <c r="AQ69" s="455"/>
      <c r="AR69" s="455"/>
      <c r="AS69" s="455"/>
      <c r="AT69" s="455">
        <f>+ab($T$69,$T$67,$T$71,$G$68,$G$70,-1*$F$69,1200)</f>
        <v>-6.9437194600928631</v>
      </c>
      <c r="AU69" s="1239"/>
      <c r="AV69" s="1239"/>
      <c r="AW69" s="638" t="str">
        <f>VLOOKUP(C69,'Foundation Calculation'!$A$2:$C$33,3,1)</f>
        <v>Soil B</v>
      </c>
      <c r="AX69" s="638" t="str">
        <f>VLOOKUP(C69,'Foundation Calculation'!$E$2:$G$33,3,1)</f>
        <v>PT</v>
      </c>
      <c r="AY69" s="484">
        <f>IF(AX69="PT",VLOOKUP(L69,'Foundation Calculation'!$K$2:$R$40,VLOOKUP(AW69,'Foundation Calculation'!$I$2:$J$8,2,FALSE),0),IF(AX69="K",VLOOKUP(L69,'Foundation Calculation'!$K$42:$R$80,VLOOKUP(AW69,'Foundation Calculation'!$I$2:$J$8,2,FALSE),0),""))</f>
        <v>3.5</v>
      </c>
      <c r="AZ69" s="484"/>
      <c r="BA69" s="671" t="s">
        <v>2809</v>
      </c>
      <c r="BB69" s="1239" t="str">
        <f>Pole_Calculations!A152</f>
        <v>App.7.1-V01-P9.5.1.1</v>
      </c>
      <c r="BC69" s="169"/>
      <c r="BD69" s="1329"/>
      <c r="BE69" s="1329"/>
      <c r="BF69" s="1330"/>
      <c r="BG69" s="1329"/>
    </row>
    <row r="70" spans="1:59" ht="15.65" customHeight="1">
      <c r="A70" s="1239"/>
      <c r="B70" s="1239"/>
      <c r="C70" s="1239"/>
      <c r="D70" s="1239"/>
      <c r="E70" s="1239"/>
      <c r="F70" s="448"/>
      <c r="G70" s="455">
        <v>60</v>
      </c>
      <c r="H70" s="1239"/>
      <c r="I70" s="448"/>
      <c r="J70" s="446">
        <f>C71-7.5</f>
        <v>14070.589999999998</v>
      </c>
      <c r="K70" s="1239" t="s">
        <v>2788</v>
      </c>
      <c r="L70" s="1239"/>
      <c r="M70" s="1239"/>
      <c r="N70" s="1239"/>
      <c r="O70" s="1239"/>
      <c r="P70" s="1239"/>
      <c r="Q70" s="1239"/>
      <c r="R70" s="1239"/>
      <c r="S70" s="455"/>
      <c r="T70" s="1239"/>
      <c r="U70" s="1239"/>
      <c r="V70" s="1239"/>
      <c r="W70" s="1239"/>
      <c r="X70" s="1239"/>
      <c r="Y70" s="1239"/>
      <c r="Z70" s="1239"/>
      <c r="AA70" s="1239"/>
      <c r="AB70" s="1239"/>
      <c r="AC70" s="1239"/>
      <c r="AD70" s="1239"/>
      <c r="AE70" s="1239"/>
      <c r="AF70" s="1239"/>
      <c r="AG70" s="171"/>
      <c r="AH70" s="1239"/>
      <c r="AI70" s="1239"/>
      <c r="AJ70" s="1239"/>
      <c r="AK70" s="1239"/>
      <c r="AL70" s="1239"/>
      <c r="AM70" s="1239"/>
      <c r="AN70" s="455"/>
      <c r="AO70" s="1239"/>
      <c r="AP70" s="1239"/>
      <c r="AQ70" s="455">
        <f>+FL_1($T$71,$T$69,$G$70,1200,9.28,-1*$F$71)</f>
        <v>0.48568904950679448</v>
      </c>
      <c r="AR70" s="455"/>
      <c r="AS70" s="455"/>
      <c r="AT70" s="455"/>
      <c r="AU70" s="1239"/>
      <c r="AV70" s="1239"/>
      <c r="AW70" s="638" t="str">
        <f>VLOOKUP(J70,'Foundation Calculation'!$A$2:$C$33,3,1)</f>
        <v>Soil B</v>
      </c>
      <c r="AX70" s="638" t="str">
        <f>VLOOKUP(J70,'Foundation Calculation'!$E$2:$G$33,3,1)</f>
        <v>PT</v>
      </c>
      <c r="AY70" s="455"/>
      <c r="AZ70" s="484">
        <f>IF(AX70="PT",VLOOKUP(K70,'Foundation Calculation'!$K$2:$R$40,VLOOKUP(AW70,'Foundation Calculation'!$I$2:$J$8,2,FALSE),0),IF(AX70="K",VLOOKUP(K70,'Foundation Calculation'!$K$42:$R$80,VLOOKUP(AW70,'Foundation Calculation'!$I$2:$J$8,2,FALSE),0),""))</f>
        <v>2.8</v>
      </c>
      <c r="BA70" s="671" t="s">
        <v>2809</v>
      </c>
      <c r="BB70" s="1239"/>
      <c r="BC70" s="169"/>
      <c r="BD70" s="1329"/>
      <c r="BE70" s="1330"/>
      <c r="BF70" s="1330"/>
      <c r="BG70" s="1330"/>
    </row>
    <row r="71" spans="1:59" ht="15.65" customHeight="1">
      <c r="A71" s="1239"/>
      <c r="B71" s="572" t="s">
        <v>3614</v>
      </c>
      <c r="C71" s="171">
        <f>+$C$69+$G$70</f>
        <v>14078.089999999998</v>
      </c>
      <c r="D71" s="1239"/>
      <c r="E71" s="1239"/>
      <c r="F71" s="448">
        <f>(693^2)/(C71-14048.4)</f>
        <v>16175.446278208865</v>
      </c>
      <c r="G71" s="455"/>
      <c r="H71" s="1239" t="s">
        <v>873</v>
      </c>
      <c r="I71" s="448"/>
      <c r="J71" s="446"/>
      <c r="K71" s="1239"/>
      <c r="L71" s="445" t="s">
        <v>230</v>
      </c>
      <c r="M71" s="638" t="str">
        <f>IF(AX71="PT",VLOOKUP(L71,'Foundation Calculation'!$V$2:$X$40,VLOOKUP(AX71,'Foundation Calculation'!$I$10:$J$13,2,FALSE),0),IF(AX71="K",VLOOKUP(L71,'Foundation Calculation'!$V$42:$X$80,VLOOKUP(AX71,'Foundation Calculation'!$I$10:$J$13,2,FALSE),0),""))</f>
        <v>C4R</v>
      </c>
      <c r="N71" s="1239" t="s">
        <v>144</v>
      </c>
      <c r="O71" s="1239"/>
      <c r="P71" s="1239"/>
      <c r="Q71" s="1239"/>
      <c r="R71" s="1239"/>
      <c r="S71" s="455"/>
      <c r="T71" s="1239">
        <v>35</v>
      </c>
      <c r="U71" s="1239"/>
      <c r="V71" s="1239"/>
      <c r="W71" s="1239">
        <v>1.4</v>
      </c>
      <c r="X71" s="1239"/>
      <c r="Y71" s="1239"/>
      <c r="Z71" s="1239"/>
      <c r="AA71" s="1239"/>
      <c r="AB71" s="1239"/>
      <c r="AC71" s="1239" t="str">
        <f t="shared" si="0"/>
        <v>PH</v>
      </c>
      <c r="AD71" s="1239"/>
      <c r="AE71" s="1239"/>
      <c r="AF71" s="1239"/>
      <c r="AG71" s="171"/>
      <c r="AH71" s="1239"/>
      <c r="AI71" s="1239"/>
      <c r="AJ71" s="1239"/>
      <c r="AK71" s="1239"/>
      <c r="AL71" s="1239"/>
      <c r="AM71" s="1239" t="s">
        <v>1043</v>
      </c>
      <c r="AN71" s="455">
        <v>5.5</v>
      </c>
      <c r="AO71" s="1239"/>
      <c r="AP71" s="1239"/>
      <c r="AQ71" s="455"/>
      <c r="AR71" s="455"/>
      <c r="AS71" s="455"/>
      <c r="AT71" s="455">
        <f>+ab($T$71,$T$69,$T$73,$G$70,$G$72,-1*$F$71,1200)</f>
        <v>10.564648679333329</v>
      </c>
      <c r="AU71" s="1239"/>
      <c r="AV71" s="1239"/>
      <c r="AW71" s="638" t="str">
        <f>VLOOKUP(C71,'Foundation Calculation'!$A$2:$C$33,3,1)</f>
        <v>Soil B</v>
      </c>
      <c r="AX71" s="638" t="str">
        <f>VLOOKUP(C71,'Foundation Calculation'!$E$2:$G$33,3,1)</f>
        <v>PT</v>
      </c>
      <c r="AY71" s="484">
        <f>IF(AX71="PT",VLOOKUP(L71,'Foundation Calculation'!$K$2:$R$40,VLOOKUP(AW71,'Foundation Calculation'!$I$2:$J$8,2,FALSE),0),IF(AX71="K",VLOOKUP(L71,'Foundation Calculation'!$K$42:$R$80,VLOOKUP(AW71,'Foundation Calculation'!$I$2:$J$8,2,FALSE),0),""))</f>
        <v>3.5</v>
      </c>
      <c r="AZ71" s="484"/>
      <c r="BA71" s="671" t="s">
        <v>2809</v>
      </c>
      <c r="BB71" s="1239" t="str">
        <f>Pole_Calculations!A152</f>
        <v>App.7.1-V01-P9.5.1.1</v>
      </c>
      <c r="BC71" s="169"/>
      <c r="BD71" s="1329"/>
      <c r="BE71" s="1329"/>
      <c r="BF71" s="1330"/>
      <c r="BG71" s="1329"/>
    </row>
    <row r="72" spans="1:59" ht="26">
      <c r="A72" s="580" t="s">
        <v>4007</v>
      </c>
      <c r="B72" s="580"/>
      <c r="C72" s="712" t="s">
        <v>3615</v>
      </c>
      <c r="D72" s="1239"/>
      <c r="E72" s="1239"/>
      <c r="F72" s="448"/>
      <c r="G72" s="455">
        <v>60</v>
      </c>
      <c r="H72" s="1239"/>
      <c r="I72" s="448">
        <f>14138.28-C51</f>
        <v>638.9900000000016</v>
      </c>
      <c r="J72" s="446"/>
      <c r="K72" s="1239"/>
      <c r="L72" s="1239"/>
      <c r="M72" s="1239"/>
      <c r="N72" s="1239"/>
      <c r="O72" s="1239"/>
      <c r="P72" s="1239"/>
      <c r="Q72" s="1239"/>
      <c r="R72" s="1239"/>
      <c r="S72" s="455"/>
      <c r="T72" s="1239"/>
      <c r="U72" s="1239"/>
      <c r="V72" s="1239"/>
      <c r="W72" s="1239"/>
      <c r="X72" s="1239"/>
      <c r="Y72" s="1239"/>
      <c r="Z72" s="1239"/>
      <c r="AA72" s="1239"/>
      <c r="AB72" s="1239"/>
      <c r="AC72" s="1239"/>
      <c r="AD72" s="1239"/>
      <c r="AE72" s="1239"/>
      <c r="AF72" s="1239"/>
      <c r="AG72" s="171"/>
      <c r="AH72" s="1239"/>
      <c r="AI72" s="1239"/>
      <c r="AJ72" s="1239"/>
      <c r="AK72" s="1239"/>
      <c r="AL72" s="1239"/>
      <c r="AM72" s="1239"/>
      <c r="AN72" s="455"/>
      <c r="AO72" s="1239"/>
      <c r="AP72" s="1239"/>
      <c r="AQ72" s="455">
        <f>+FL_2($T$73,$T$71,$G$72,1200,9.28,-1*$F$73)</f>
        <v>-0.43600286799999999</v>
      </c>
      <c r="AR72" s="455"/>
      <c r="AS72" s="455"/>
      <c r="AT72" s="455"/>
      <c r="AU72" s="1239"/>
      <c r="AV72" s="1239"/>
      <c r="AW72" s="1239"/>
      <c r="AX72" s="1239"/>
      <c r="AY72" s="455"/>
      <c r="AZ72" s="455"/>
      <c r="BA72" s="1314"/>
      <c r="BB72" s="580"/>
      <c r="BC72" s="169"/>
      <c r="BD72" s="1330"/>
      <c r="BE72" s="1330"/>
      <c r="BF72" s="1330"/>
      <c r="BG72" s="1330"/>
    </row>
    <row r="73" spans="1:59" ht="15.65" customHeight="1">
      <c r="A73" s="1239"/>
      <c r="B73" s="572" t="s">
        <v>4136</v>
      </c>
      <c r="C73" s="171">
        <v>82565.41</v>
      </c>
      <c r="D73" s="1239"/>
      <c r="E73" s="1239"/>
      <c r="F73" s="448">
        <v>0</v>
      </c>
      <c r="G73" s="455"/>
      <c r="H73" s="1239" t="s">
        <v>874</v>
      </c>
      <c r="I73" s="448"/>
      <c r="J73" s="446"/>
      <c r="K73" s="1239"/>
      <c r="L73" s="445" t="s">
        <v>230</v>
      </c>
      <c r="M73" s="638" t="str">
        <f>IF(AX73="PT",VLOOKUP(L73,'Foundation Calculation'!$V$2:$X$40,VLOOKUP(AX73,'Foundation Calculation'!$I$10:$J$13,2,FALSE),0),IF(AX73="K",VLOOKUP(L73,'Foundation Calculation'!$V$42:$X$80,VLOOKUP(AX73,'Foundation Calculation'!$I$10:$J$13,2,FALSE),0),""))</f>
        <v>C4R</v>
      </c>
      <c r="N73" s="1239" t="s">
        <v>143</v>
      </c>
      <c r="O73" s="1239"/>
      <c r="P73" s="1239"/>
      <c r="Q73" s="1239"/>
      <c r="R73" s="1239"/>
      <c r="S73" s="455"/>
      <c r="T73" s="1239">
        <v>-35</v>
      </c>
      <c r="U73" s="1239"/>
      <c r="V73" s="1239"/>
      <c r="W73" s="1239">
        <v>1.4</v>
      </c>
      <c r="X73" s="1239"/>
      <c r="Y73" s="1239"/>
      <c r="Z73" s="1239"/>
      <c r="AA73" s="1239"/>
      <c r="AB73" s="1239"/>
      <c r="AC73" s="1239" t="str">
        <f t="shared" si="0"/>
        <v>PH</v>
      </c>
      <c r="AD73" s="1239"/>
      <c r="AE73" s="1239"/>
      <c r="AF73" s="1239"/>
      <c r="AG73" s="171"/>
      <c r="AH73" s="1239"/>
      <c r="AI73" s="1239"/>
      <c r="AJ73" s="1239"/>
      <c r="AK73" s="1239"/>
      <c r="AL73" s="1239"/>
      <c r="AM73" s="1239" t="s">
        <v>1043</v>
      </c>
      <c r="AN73" s="455">
        <v>5.5</v>
      </c>
      <c r="AO73" s="1239"/>
      <c r="AP73" s="1239"/>
      <c r="AQ73" s="455"/>
      <c r="AR73" s="455"/>
      <c r="AS73" s="455"/>
      <c r="AT73" s="455">
        <f>+ab($T$73,$T$71,$T$75,$G$72,$G$74,-1*$F$73,1200)</f>
        <v>-8.1682020423530854</v>
      </c>
      <c r="AU73" s="1239"/>
      <c r="AV73" s="1239"/>
      <c r="AW73" s="638" t="str">
        <f>VLOOKUP(C73,'Foundation Calculation'!$A$2:$C$33,3,1)</f>
        <v>Soil A</v>
      </c>
      <c r="AX73" s="638" t="str">
        <f>VLOOKUP(C73,'Foundation Calculation'!$E$2:$G$33,3,1)</f>
        <v>PT</v>
      </c>
      <c r="AY73" s="484">
        <f>IF(AX73="PT",VLOOKUP(L73,'Foundation Calculation'!$K$2:$R$40,VLOOKUP(AW73,'Foundation Calculation'!$I$2:$J$8,2,FALSE),0),IF(AX73="K",VLOOKUP(L73,'Foundation Calculation'!$K$42:$R$80,VLOOKUP(AW73,'Foundation Calculation'!$I$2:$J$8,2,FALSE),0),""))</f>
        <v>3.5</v>
      </c>
      <c r="AZ73" s="484"/>
      <c r="BA73" s="671" t="s">
        <v>2809</v>
      </c>
      <c r="BB73" s="1239" t="str">
        <f>Pole_Calculations!A153</f>
        <v>App.7.1-V01-P9.5.1.2</v>
      </c>
      <c r="BC73" s="169"/>
      <c r="BD73" s="1329"/>
      <c r="BE73" s="1329"/>
      <c r="BF73" s="1330"/>
      <c r="BG73" s="1329"/>
    </row>
    <row r="74" spans="1:59" ht="15.65" customHeight="1">
      <c r="A74" s="1239"/>
      <c r="B74" s="1239"/>
      <c r="C74" s="712"/>
      <c r="D74" s="1239"/>
      <c r="E74" s="1239"/>
      <c r="F74" s="448"/>
      <c r="G74" s="455">
        <v>60</v>
      </c>
      <c r="H74" s="1239"/>
      <c r="I74" s="448">
        <v>602</v>
      </c>
      <c r="J74" s="446"/>
      <c r="K74" s="1239"/>
      <c r="L74" s="1239"/>
      <c r="M74" s="1239"/>
      <c r="N74" s="1239"/>
      <c r="O74" s="1239"/>
      <c r="P74" s="1239"/>
      <c r="Q74" s="1239"/>
      <c r="R74" s="1239"/>
      <c r="S74" s="455"/>
      <c r="T74" s="1239"/>
      <c r="U74" s="1239"/>
      <c r="V74" s="1239"/>
      <c r="W74" s="1239"/>
      <c r="X74" s="1239"/>
      <c r="Y74" s="1239"/>
      <c r="Z74" s="1239"/>
      <c r="AA74" s="1239"/>
      <c r="AB74" s="1239"/>
      <c r="AC74" s="1239"/>
      <c r="AD74" s="1239"/>
      <c r="AE74" s="1239"/>
      <c r="AF74" s="1239"/>
      <c r="AG74" s="171"/>
      <c r="AH74" s="1239"/>
      <c r="AI74" s="1239"/>
      <c r="AJ74" s="1239"/>
      <c r="AK74" s="1239"/>
      <c r="AL74" s="1239"/>
      <c r="AM74" s="1239"/>
      <c r="AN74" s="455"/>
      <c r="AO74" s="1239"/>
      <c r="AP74" s="1239"/>
      <c r="AQ74" s="455">
        <f>+FL_1($T$75,$T$73,$G$74,1200,9.28,-1*$F$75)</f>
        <v>0.43600286799999999</v>
      </c>
      <c r="AR74" s="455"/>
      <c r="AS74" s="455"/>
      <c r="AT74" s="455"/>
      <c r="AU74" s="1239"/>
      <c r="AV74" s="1239"/>
      <c r="AW74" s="1239"/>
      <c r="AX74" s="1239"/>
      <c r="AY74" s="455"/>
      <c r="AZ74" s="455"/>
      <c r="BA74" s="1314"/>
      <c r="BB74" s="1239"/>
      <c r="BC74" s="169"/>
      <c r="BD74" s="1330"/>
      <c r="BE74" s="1330"/>
      <c r="BF74" s="1330"/>
      <c r="BG74" s="1330"/>
    </row>
    <row r="75" spans="1:59" ht="15.65" customHeight="1">
      <c r="A75" s="1239"/>
      <c r="B75" s="572" t="s">
        <v>4137</v>
      </c>
      <c r="C75" s="171">
        <f>+$C$73+$G$74</f>
        <v>82625.41</v>
      </c>
      <c r="D75" s="1239"/>
      <c r="E75" s="1239"/>
      <c r="F75" s="448">
        <v>0</v>
      </c>
      <c r="G75" s="455"/>
      <c r="H75" s="1239" t="s">
        <v>873</v>
      </c>
      <c r="I75" s="448"/>
      <c r="J75" s="446"/>
      <c r="K75" s="1239"/>
      <c r="L75" s="445" t="s">
        <v>230</v>
      </c>
      <c r="M75" s="638" t="str">
        <f>IF(AX75="PT",VLOOKUP(L75,'Foundation Calculation'!$V$2:$X$40,VLOOKUP(AX75,'Foundation Calculation'!$I$10:$J$13,2,FALSE),0),IF(AX75="K",VLOOKUP(L75,'Foundation Calculation'!$V$42:$X$80,VLOOKUP(AX75,'Foundation Calculation'!$I$10:$J$13,2,FALSE),0),""))</f>
        <v>C4R</v>
      </c>
      <c r="N75" s="1239" t="s">
        <v>144</v>
      </c>
      <c r="O75" s="1239"/>
      <c r="P75" s="1239"/>
      <c r="Q75" s="1239"/>
      <c r="R75" s="1239"/>
      <c r="S75" s="455"/>
      <c r="T75" s="1239">
        <v>35</v>
      </c>
      <c r="U75" s="1239"/>
      <c r="V75" s="1239"/>
      <c r="W75" s="1239">
        <v>1.4</v>
      </c>
      <c r="X75" s="1239"/>
      <c r="Y75" s="1239"/>
      <c r="Z75" s="1239"/>
      <c r="AA75" s="1239"/>
      <c r="AB75" s="1239"/>
      <c r="AC75" s="1239" t="str">
        <f t="shared" si="0"/>
        <v>PH</v>
      </c>
      <c r="AD75" s="1239"/>
      <c r="AE75" s="1239"/>
      <c r="AF75" s="1239"/>
      <c r="AG75" s="171"/>
      <c r="AH75" s="1239"/>
      <c r="AI75" s="1239"/>
      <c r="AJ75" s="1239"/>
      <c r="AK75" s="1239"/>
      <c r="AL75" s="1239"/>
      <c r="AM75" s="1239" t="s">
        <v>1043</v>
      </c>
      <c r="AN75" s="455">
        <v>5.5</v>
      </c>
      <c r="AO75" s="1239"/>
      <c r="AP75" s="1239"/>
      <c r="AQ75" s="455"/>
      <c r="AR75" s="455"/>
      <c r="AS75" s="455"/>
      <c r="AT75" s="455">
        <f>+ab($T$75,$T$73,$T$77,$G$74,$G$76,-1*$F$75,1200)</f>
        <v>8.4663762783987284</v>
      </c>
      <c r="AU75" s="1239"/>
      <c r="AV75" s="1239"/>
      <c r="AW75" s="638" t="str">
        <f>VLOOKUP(C75,'Foundation Calculation'!$A$2:$C$33,3,1)</f>
        <v>Soil A</v>
      </c>
      <c r="AX75" s="638" t="str">
        <f>VLOOKUP(C75,'Foundation Calculation'!$E$2:$G$33,3,1)</f>
        <v>PT</v>
      </c>
      <c r="AY75" s="484">
        <f>IF(AX75="PT",VLOOKUP(L75,'Foundation Calculation'!$K$2:$R$40,VLOOKUP(AW75,'Foundation Calculation'!$I$2:$J$8,2,FALSE),0),IF(AX75="K",VLOOKUP(L75,'Foundation Calculation'!$K$42:$R$80,VLOOKUP(AW75,'Foundation Calculation'!$I$2:$J$8,2,FALSE),0),""))</f>
        <v>3.5</v>
      </c>
      <c r="AZ75" s="484"/>
      <c r="BA75" s="671" t="s">
        <v>2809</v>
      </c>
      <c r="BB75" s="1239" t="str">
        <f>Pole_Calculations!A154</f>
        <v>App.7.1-V01-P9.5.1.3</v>
      </c>
      <c r="BC75" s="169"/>
      <c r="BD75" s="1329"/>
      <c r="BE75" s="1329"/>
      <c r="BF75" s="1330"/>
      <c r="BG75" s="1329"/>
    </row>
    <row r="76" spans="1:59" ht="15.65" customHeight="1">
      <c r="A76" s="1239"/>
      <c r="B76" s="1239"/>
      <c r="C76" s="1239"/>
      <c r="D76" s="1239"/>
      <c r="E76" s="1239"/>
      <c r="F76" s="448"/>
      <c r="G76" s="455">
        <v>60</v>
      </c>
      <c r="H76" s="1239"/>
      <c r="I76" s="448"/>
      <c r="J76" s="446">
        <f>C75+7.5</f>
        <v>82632.91</v>
      </c>
      <c r="K76" s="1239" t="s">
        <v>2788</v>
      </c>
      <c r="L76" s="1239"/>
      <c r="M76" s="1239"/>
      <c r="N76" s="1239"/>
      <c r="O76" s="1239"/>
      <c r="P76" s="1239"/>
      <c r="Q76" s="1239"/>
      <c r="R76" s="1239"/>
      <c r="S76" s="455"/>
      <c r="T76" s="1239"/>
      <c r="U76" s="1239"/>
      <c r="V76" s="1239"/>
      <c r="W76" s="1239"/>
      <c r="X76" s="1239"/>
      <c r="Y76" s="1239"/>
      <c r="Z76" s="1239"/>
      <c r="AA76" s="1239"/>
      <c r="AB76" s="1239"/>
      <c r="AC76" s="1239"/>
      <c r="AD76" s="1239"/>
      <c r="AE76" s="1239"/>
      <c r="AF76" s="1239"/>
      <c r="AG76" s="171"/>
      <c r="AH76" s="1239"/>
      <c r="AI76" s="1239"/>
      <c r="AJ76" s="1239"/>
      <c r="AK76" s="1239"/>
      <c r="AL76" s="1239"/>
      <c r="AM76" s="1239"/>
      <c r="AN76" s="455"/>
      <c r="AO76" s="1239"/>
      <c r="AP76" s="1239"/>
      <c r="AQ76" s="455">
        <f>+FL_2($T$77,$T$75,$G$76,1200,9.28,-1*$F$77)</f>
        <v>-0.398880028</v>
      </c>
      <c r="AR76" s="455"/>
      <c r="AS76" s="455"/>
      <c r="AT76" s="455"/>
      <c r="AU76" s="1239"/>
      <c r="AV76" s="1239"/>
      <c r="AW76" s="638" t="str">
        <f>VLOOKUP(J76,'Foundation Calculation'!$A$2:$C$33,3,1)</f>
        <v>Soil A</v>
      </c>
      <c r="AX76" s="638" t="str">
        <f>VLOOKUP(J76,'Foundation Calculation'!$E$2:$G$33,3,1)</f>
        <v>PT</v>
      </c>
      <c r="AY76" s="455"/>
      <c r="AZ76" s="484">
        <f>IF(AX76="PT",VLOOKUP(K76,'Foundation Calculation'!$K$2:$R$40,VLOOKUP(AW76,'Foundation Calculation'!$I$2:$J$8,2,FALSE),0),IF(AX76="K",VLOOKUP(K76,'Foundation Calculation'!$K$42:$R$80,VLOOKUP(AW76,'Foundation Calculation'!$I$2:$J$8,2,FALSE),0),""))</f>
        <v>2.8</v>
      </c>
      <c r="BA76" s="671" t="s">
        <v>2809</v>
      </c>
      <c r="BB76" s="1239"/>
      <c r="BC76" s="169"/>
      <c r="BD76" s="1329"/>
      <c r="BE76" s="1330"/>
      <c r="BF76" s="1330"/>
      <c r="BG76" s="1330"/>
    </row>
    <row r="77" spans="1:59" ht="15.65" customHeight="1">
      <c r="A77" s="1239"/>
      <c r="B77" s="572" t="s">
        <v>4138</v>
      </c>
      <c r="C77" s="171">
        <f>+$C$75+$G$76</f>
        <v>82685.41</v>
      </c>
      <c r="D77" s="1239"/>
      <c r="E77" s="1239"/>
      <c r="F77" s="448">
        <v>0</v>
      </c>
      <c r="G77" s="455"/>
      <c r="H77" s="1239"/>
      <c r="I77" s="448"/>
      <c r="J77" s="446"/>
      <c r="K77" s="1239"/>
      <c r="L77" s="445" t="s">
        <v>230</v>
      </c>
      <c r="M77" s="638" t="str">
        <f>IF(AX77="PT",VLOOKUP(L77,'Foundation Calculation'!$V$2:$X$40,VLOOKUP(AX77,'Foundation Calculation'!$I$10:$J$13,2,FALSE),0),IF(AX77="K",VLOOKUP(L77,'Foundation Calculation'!$V$42:$X$80,VLOOKUP(AX77,'Foundation Calculation'!$I$10:$J$13,2,FALSE),0),""))</f>
        <v>C4R</v>
      </c>
      <c r="N77" s="1239" t="s">
        <v>143</v>
      </c>
      <c r="O77" s="1239"/>
      <c r="P77" s="1239"/>
      <c r="Q77" s="1239"/>
      <c r="R77" s="1239"/>
      <c r="S77" s="455"/>
      <c r="T77" s="1239">
        <v>-30</v>
      </c>
      <c r="U77" s="1239"/>
      <c r="V77" s="1239"/>
      <c r="W77" s="1239">
        <v>1.4</v>
      </c>
      <c r="X77" s="1239"/>
      <c r="Y77" s="1239"/>
      <c r="Z77" s="1239"/>
      <c r="AA77" s="1239"/>
      <c r="AB77" s="1239"/>
      <c r="AC77" s="1239" t="str">
        <f t="shared" si="0"/>
        <v>PH</v>
      </c>
      <c r="AD77" s="1239"/>
      <c r="AE77" s="1239"/>
      <c r="AF77" s="1239"/>
      <c r="AG77" s="171"/>
      <c r="AH77" s="1239"/>
      <c r="AI77" s="1239"/>
      <c r="AJ77" s="1239"/>
      <c r="AK77" s="1239"/>
      <c r="AL77" s="1239"/>
      <c r="AM77" s="1239" t="s">
        <v>1043</v>
      </c>
      <c r="AN77" s="455">
        <v>5.5</v>
      </c>
      <c r="AO77" s="1239"/>
      <c r="AP77" s="1239"/>
      <c r="AQ77" s="455"/>
      <c r="AR77" s="455"/>
      <c r="AS77" s="455"/>
      <c r="AT77" s="455">
        <f>+ab($T$77,$T$75,$T$79,$G$76,$G$78,-1*$F$77,1200)</f>
        <v>-8.7870630701144865</v>
      </c>
      <c r="AU77" s="1239"/>
      <c r="AV77" s="1239"/>
      <c r="AW77" s="638" t="str">
        <f>VLOOKUP(C77,'Foundation Calculation'!$A$2:$C$33,3,1)</f>
        <v>Soil A</v>
      </c>
      <c r="AX77" s="638" t="str">
        <f>VLOOKUP(C77,'Foundation Calculation'!$E$2:$G$33,3,1)</f>
        <v>PT</v>
      </c>
      <c r="AY77" s="484">
        <f>IF(AX77="PT",VLOOKUP(L77,'Foundation Calculation'!$K$2:$R$40,VLOOKUP(AW77,'Foundation Calculation'!$I$2:$J$8,2,FALSE),0),IF(AX77="K",VLOOKUP(L77,'Foundation Calculation'!$K$42:$R$80,VLOOKUP(AW77,'Foundation Calculation'!$I$2:$J$8,2,FALSE),0),""))</f>
        <v>3.5</v>
      </c>
      <c r="AZ77" s="484"/>
      <c r="BA77" s="671" t="s">
        <v>2809</v>
      </c>
      <c r="BB77" s="1239" t="str">
        <f>Pole_Calculations!A152</f>
        <v>App.7.1-V01-P9.5.1.1</v>
      </c>
      <c r="BC77" s="169"/>
      <c r="BD77" s="1329"/>
      <c r="BE77" s="1329"/>
      <c r="BF77" s="1330"/>
      <c r="BG77" s="1329"/>
    </row>
    <row r="78" spans="1:59" ht="15.65" customHeight="1">
      <c r="A78" s="1239"/>
      <c r="B78" s="1239"/>
      <c r="C78" s="1239"/>
      <c r="D78" s="1239"/>
      <c r="E78" s="1239"/>
      <c r="F78" s="448"/>
      <c r="G78" s="455">
        <v>60</v>
      </c>
      <c r="H78" s="1239"/>
      <c r="I78" s="448"/>
      <c r="J78" s="446"/>
      <c r="K78" s="1239"/>
      <c r="L78" s="1239"/>
      <c r="M78" s="1239"/>
      <c r="N78" s="1239"/>
      <c r="O78" s="1239"/>
      <c r="P78" s="1239"/>
      <c r="Q78" s="1239"/>
      <c r="R78" s="1239"/>
      <c r="S78" s="455"/>
      <c r="T78" s="1239"/>
      <c r="U78" s="1239"/>
      <c r="V78" s="1239"/>
      <c r="W78" s="1239"/>
      <c r="X78" s="1239"/>
      <c r="Y78" s="1239"/>
      <c r="Z78" s="1239"/>
      <c r="AA78" s="1239"/>
      <c r="AB78" s="1239"/>
      <c r="AC78" s="1239"/>
      <c r="AD78" s="1239"/>
      <c r="AE78" s="1239"/>
      <c r="AF78" s="1239"/>
      <c r="AG78" s="171"/>
      <c r="AH78" s="1239"/>
      <c r="AI78" s="1239"/>
      <c r="AJ78" s="1239"/>
      <c r="AK78" s="1239"/>
      <c r="AL78" s="1239"/>
      <c r="AM78" s="1239"/>
      <c r="AN78" s="455"/>
      <c r="AO78" s="1239"/>
      <c r="AP78" s="1239"/>
      <c r="AQ78" s="455">
        <f>+FL_1($T$79,$T$77,$G$78,1200,9.28,-1*$F$79)</f>
        <v>0.39472599263682839</v>
      </c>
      <c r="AR78" s="455"/>
      <c r="AS78" s="455"/>
      <c r="AT78" s="455"/>
      <c r="AU78" s="1239"/>
      <c r="AV78" s="1239"/>
      <c r="AW78" s="1239"/>
      <c r="AX78" s="1239"/>
      <c r="AY78" s="455"/>
      <c r="AZ78" s="455"/>
      <c r="BA78" s="1314"/>
      <c r="BB78" s="1239"/>
      <c r="BC78" s="169"/>
      <c r="BD78" s="1330"/>
      <c r="BE78" s="1330"/>
      <c r="BF78" s="1330"/>
      <c r="BG78" s="1330"/>
    </row>
    <row r="79" spans="1:59" ht="15.65" customHeight="1">
      <c r="A79" s="1239"/>
      <c r="B79" s="572" t="s">
        <v>4139</v>
      </c>
      <c r="C79" s="171">
        <f>+$C$77+$G$78</f>
        <v>82745.41</v>
      </c>
      <c r="D79" s="1239"/>
      <c r="E79" s="1239"/>
      <c r="F79" s="448">
        <v>-6000</v>
      </c>
      <c r="G79" s="455"/>
      <c r="H79" s="1239"/>
      <c r="I79" s="448"/>
      <c r="J79" s="446"/>
      <c r="K79" s="1239"/>
      <c r="L79" s="445" t="s">
        <v>230</v>
      </c>
      <c r="M79" s="638" t="str">
        <f>IF(AX79="PT",VLOOKUP(L79,'Foundation Calculation'!$V$2:$X$40,VLOOKUP(AX79,'Foundation Calculation'!$I$10:$J$13,2,FALSE),0),IF(AX79="K",VLOOKUP(L79,'Foundation Calculation'!$V$42:$X$80,VLOOKUP(AX79,'Foundation Calculation'!$I$10:$J$13,2,FALSE),0),""))</f>
        <v>C4R</v>
      </c>
      <c r="N79" s="1239" t="s">
        <v>144</v>
      </c>
      <c r="O79" s="1239"/>
      <c r="P79" s="1239"/>
      <c r="Q79" s="1239"/>
      <c r="R79" s="1239"/>
      <c r="S79" s="455"/>
      <c r="T79" s="1239">
        <v>35</v>
      </c>
      <c r="U79" s="1239"/>
      <c r="V79" s="1239"/>
      <c r="W79" s="1239">
        <v>1.4</v>
      </c>
      <c r="X79" s="1239"/>
      <c r="Y79" s="1239"/>
      <c r="Z79" s="1239"/>
      <c r="AA79" s="1239"/>
      <c r="AB79" s="1239"/>
      <c r="AC79" s="1239" t="str">
        <f t="shared" si="0"/>
        <v>PH-Q</v>
      </c>
      <c r="AD79" s="1239"/>
      <c r="AE79" s="1239"/>
      <c r="AF79" s="1239"/>
      <c r="AG79" s="171"/>
      <c r="AH79" s="1239"/>
      <c r="AI79" s="1239"/>
      <c r="AJ79" s="1239"/>
      <c r="AK79" s="1239"/>
      <c r="AL79" s="1239"/>
      <c r="AM79" s="1239" t="s">
        <v>1043</v>
      </c>
      <c r="AN79" s="455">
        <v>5.5</v>
      </c>
      <c r="AO79" s="1239"/>
      <c r="AP79" s="1239"/>
      <c r="AQ79" s="455"/>
      <c r="AR79" s="455"/>
      <c r="AS79" s="455"/>
      <c r="AT79" s="455">
        <f>+ab($T$79,$T$77,$T$81,$G$78,$G$80,-1*$F$79,1200)</f>
        <v>6.0721159464933656</v>
      </c>
      <c r="AU79" s="1239"/>
      <c r="AV79" s="1239"/>
      <c r="AW79" s="638" t="str">
        <f>VLOOKUP(C79,'Foundation Calculation'!$A$2:$C$33,3,1)</f>
        <v>Soil A</v>
      </c>
      <c r="AX79" s="638" t="str">
        <f>VLOOKUP(C79,'Foundation Calculation'!$E$2:$G$33,3,1)</f>
        <v>PT</v>
      </c>
      <c r="AY79" s="484">
        <f>IF(AX79="PT",VLOOKUP(L79,'Foundation Calculation'!$K$2:$R$40,VLOOKUP(AW79,'Foundation Calculation'!$I$2:$J$8,2,FALSE),0),IF(AX79="K",VLOOKUP(L79,'Foundation Calculation'!$K$42:$R$80,VLOOKUP(AW79,'Foundation Calculation'!$I$2:$J$8,2,FALSE),0),""))</f>
        <v>3.5</v>
      </c>
      <c r="AZ79" s="484"/>
      <c r="BA79" s="671" t="s">
        <v>2809</v>
      </c>
      <c r="BB79" s="1239" t="str">
        <f>Pole_Calculations!A152</f>
        <v>App.7.1-V01-P9.5.1.1</v>
      </c>
      <c r="BC79" s="169"/>
      <c r="BD79" s="1329"/>
      <c r="BE79" s="1329"/>
      <c r="BF79" s="1330"/>
      <c r="BG79" s="1329"/>
    </row>
    <row r="80" spans="1:59" ht="15.65" customHeight="1">
      <c r="A80" s="1239"/>
      <c r="B80" s="1239"/>
      <c r="C80" s="1239"/>
      <c r="D80" s="1239"/>
      <c r="E80" s="1239"/>
      <c r="F80" s="448"/>
      <c r="G80" s="455">
        <v>62</v>
      </c>
      <c r="H80" s="1239"/>
      <c r="I80" s="448"/>
      <c r="J80" s="446"/>
      <c r="K80" s="1239"/>
      <c r="L80" s="1239"/>
      <c r="M80" s="1239"/>
      <c r="N80" s="1239"/>
      <c r="O80" s="1239"/>
      <c r="P80" s="1239"/>
      <c r="Q80" s="1239"/>
      <c r="R80" s="1239"/>
      <c r="S80" s="455"/>
      <c r="T80" s="1239"/>
      <c r="U80" s="1239"/>
      <c r="V80" s="1239"/>
      <c r="W80" s="1239"/>
      <c r="X80" s="1239"/>
      <c r="Y80" s="1239"/>
      <c r="Z80" s="1239"/>
      <c r="AA80" s="1239"/>
      <c r="AB80" s="1239"/>
      <c r="AC80" s="1239"/>
      <c r="AD80" s="1239"/>
      <c r="AE80" s="1239"/>
      <c r="AF80" s="1239"/>
      <c r="AG80" s="171"/>
      <c r="AH80" s="1239"/>
      <c r="AI80" s="1239"/>
      <c r="AJ80" s="1239"/>
      <c r="AK80" s="1239"/>
      <c r="AL80" s="1239"/>
      <c r="AM80" s="1239"/>
      <c r="AN80" s="455"/>
      <c r="AO80" s="1239"/>
      <c r="AP80" s="1239"/>
      <c r="AQ80" s="455">
        <f>+FL_2($T$81,$T$79,$G$80,1200,9.28,-1*$F$81)</f>
        <v>-0.48513399140438285</v>
      </c>
      <c r="AR80" s="455"/>
      <c r="AS80" s="455"/>
      <c r="AT80" s="455"/>
      <c r="AU80" s="1239"/>
      <c r="AV80" s="1239"/>
      <c r="AW80" s="1239"/>
      <c r="AX80" s="1239"/>
      <c r="AY80" s="455"/>
      <c r="AZ80" s="455"/>
      <c r="BA80" s="1314"/>
      <c r="BB80" s="1239"/>
      <c r="BC80" s="169"/>
      <c r="BD80" s="1330"/>
      <c r="BE80" s="1330"/>
      <c r="BF80" s="1330"/>
      <c r="BG80" s="1330"/>
    </row>
    <row r="81" spans="1:59" ht="15.65" customHeight="1">
      <c r="A81" s="1239"/>
      <c r="B81" s="572" t="s">
        <v>4140</v>
      </c>
      <c r="C81" s="171">
        <f>+$C$79+$G$80</f>
        <v>82807.41</v>
      </c>
      <c r="D81" s="1239"/>
      <c r="E81" s="1239"/>
      <c r="F81" s="448">
        <v>-6000</v>
      </c>
      <c r="G81" s="455"/>
      <c r="H81" s="1239"/>
      <c r="I81" s="448"/>
      <c r="J81" s="446"/>
      <c r="K81" s="1239"/>
      <c r="L81" s="445" t="s">
        <v>230</v>
      </c>
      <c r="M81" s="638" t="str">
        <f>IF(AX81="PT",VLOOKUP(L81,'Foundation Calculation'!$V$2:$X$40,VLOOKUP(AX81,'Foundation Calculation'!$I$10:$J$13,2,FALSE),0),IF(AX81="K",VLOOKUP(L81,'Foundation Calculation'!$V$42:$X$80,VLOOKUP(AX81,'Foundation Calculation'!$I$10:$J$13,2,FALSE),0),""))</f>
        <v>C4R</v>
      </c>
      <c r="N81" s="1239" t="s">
        <v>143</v>
      </c>
      <c r="O81" s="1239"/>
      <c r="P81" s="1239"/>
      <c r="Q81" s="1239"/>
      <c r="R81" s="1239"/>
      <c r="S81" s="455"/>
      <c r="T81" s="1239">
        <v>-30</v>
      </c>
      <c r="U81" s="1239"/>
      <c r="V81" s="1239"/>
      <c r="W81" s="1239">
        <v>1.4</v>
      </c>
      <c r="X81" s="1239"/>
      <c r="Y81" s="1239"/>
      <c r="Z81" s="1239"/>
      <c r="AA81" s="1239"/>
      <c r="AB81" s="1239"/>
      <c r="AC81" s="1239" t="str">
        <f t="shared" si="0"/>
        <v>PH</v>
      </c>
      <c r="AD81" s="1239"/>
      <c r="AE81" s="1239"/>
      <c r="AF81" s="1239"/>
      <c r="AG81" s="171"/>
      <c r="AH81" s="1239"/>
      <c r="AI81" s="1239"/>
      <c r="AJ81" s="1239"/>
      <c r="AK81" s="1239"/>
      <c r="AL81" s="1239"/>
      <c r="AM81" s="1239" t="s">
        <v>1043</v>
      </c>
      <c r="AN81" s="455">
        <v>5.41</v>
      </c>
      <c r="AO81" s="1239"/>
      <c r="AP81" s="1239"/>
      <c r="AQ81" s="455"/>
      <c r="AR81" s="455"/>
      <c r="AS81" s="455"/>
      <c r="AT81" s="455">
        <f>+ab($T$81,$T$79,$T$83,$G$80,$G$82,-1*$F$81,1200)</f>
        <v>-17.481092414250735</v>
      </c>
      <c r="AU81" s="1239"/>
      <c r="AV81" s="1239"/>
      <c r="AW81" s="638" t="str">
        <f>VLOOKUP(C81,'Foundation Calculation'!$A$2:$C$33,3,1)</f>
        <v>Soil A</v>
      </c>
      <c r="AX81" s="638" t="str">
        <f>VLOOKUP(C81,'Foundation Calculation'!$E$2:$G$33,3,1)</f>
        <v>PT</v>
      </c>
      <c r="AY81" s="484">
        <f>IF(AX81="PT",VLOOKUP(L81,'Foundation Calculation'!$K$2:$R$40,VLOOKUP(AW81,'Foundation Calculation'!$I$2:$J$8,2,FALSE),0),IF(AX81="K",VLOOKUP(L81,'Foundation Calculation'!$K$42:$R$80,VLOOKUP(AW81,'Foundation Calculation'!$I$2:$J$8,2,FALSE),0),""))</f>
        <v>3.5</v>
      </c>
      <c r="AZ81" s="484"/>
      <c r="BA81" s="671" t="s">
        <v>2809</v>
      </c>
      <c r="BB81" s="1239" t="str">
        <f>Pole_Calculations!A152</f>
        <v>App.7.1-V01-P9.5.1.1</v>
      </c>
      <c r="BC81" s="169"/>
      <c r="BD81" s="1329"/>
      <c r="BE81" s="1329"/>
      <c r="BF81" s="1330"/>
      <c r="BG81" s="1329"/>
    </row>
    <row r="82" spans="1:59" ht="15.65" customHeight="1">
      <c r="A82" s="1239"/>
      <c r="B82" s="1239"/>
      <c r="C82" s="1239"/>
      <c r="D82" s="1239"/>
      <c r="E82" s="1239"/>
      <c r="F82" s="448"/>
      <c r="G82" s="455">
        <v>62</v>
      </c>
      <c r="H82" s="1239"/>
      <c r="I82" s="448"/>
      <c r="J82" s="446"/>
      <c r="K82" s="1239"/>
      <c r="L82" s="1239"/>
      <c r="M82" s="1239"/>
      <c r="N82" s="1239"/>
      <c r="O82" s="1239"/>
      <c r="P82" s="1239"/>
      <c r="Q82" s="1239"/>
      <c r="R82" s="1239"/>
      <c r="S82" s="455"/>
      <c r="T82" s="1239"/>
      <c r="U82" s="1239"/>
      <c r="V82" s="1239"/>
      <c r="W82" s="1239"/>
      <c r="X82" s="1239"/>
      <c r="Y82" s="1239"/>
      <c r="Z82" s="1239"/>
      <c r="AA82" s="1239"/>
      <c r="AB82" s="1239"/>
      <c r="AC82" s="1239"/>
      <c r="AD82" s="1239"/>
      <c r="AE82" s="1239"/>
      <c r="AF82" s="1239"/>
      <c r="AG82" s="171"/>
      <c r="AH82" s="1239"/>
      <c r="AI82" s="1239"/>
      <c r="AJ82" s="1239"/>
      <c r="AK82" s="1239"/>
      <c r="AL82" s="1239"/>
      <c r="AM82" s="1239"/>
      <c r="AN82" s="455"/>
      <c r="AO82" s="1239"/>
      <c r="AP82" s="1239"/>
      <c r="AQ82" s="455">
        <f>+FL_2($T$83,$T$81,$G$82,1200,9.28,-1*$F$83)</f>
        <v>-0.48513399140438385</v>
      </c>
      <c r="AR82" s="455"/>
      <c r="AS82" s="455"/>
      <c r="AT82" s="455"/>
      <c r="AU82" s="1239"/>
      <c r="AV82" s="1239"/>
      <c r="AW82" s="1239"/>
      <c r="AX82" s="1239"/>
      <c r="AY82" s="455"/>
      <c r="AZ82" s="455"/>
      <c r="BA82" s="1314"/>
      <c r="BB82" s="1239"/>
      <c r="BC82" s="169"/>
      <c r="BD82" s="1330"/>
      <c r="BE82" s="1330"/>
      <c r="BF82" s="1330"/>
      <c r="BG82" s="1330"/>
    </row>
    <row r="83" spans="1:59" ht="15.65" customHeight="1">
      <c r="A83" s="1239"/>
      <c r="B83" s="572" t="s">
        <v>4141</v>
      </c>
      <c r="C83" s="171">
        <f>+$C$81+$G$82</f>
        <v>82869.41</v>
      </c>
      <c r="D83" s="1239"/>
      <c r="E83" s="1239"/>
      <c r="F83" s="448">
        <v>-6000</v>
      </c>
      <c r="G83" s="455"/>
      <c r="H83" s="1239"/>
      <c r="I83" s="448"/>
      <c r="J83" s="446"/>
      <c r="K83" s="1239"/>
      <c r="L83" s="445" t="s">
        <v>818</v>
      </c>
      <c r="M83" s="638" t="str">
        <f>IF(AX83="PT",VLOOKUP(L83,'Foundation Calculation'!$V$2:$X$40,VLOOKUP(AX83,'Foundation Calculation'!$I$10:$J$13,2,FALSE),0),IF(AX83="K",VLOOKUP(L83,'Foundation Calculation'!$V$42:$X$80,VLOOKUP(AX83,'Foundation Calculation'!$I$10:$J$13,2,FALSE),0),""))</f>
        <v>C4R</v>
      </c>
      <c r="N83" s="1239" t="s">
        <v>144</v>
      </c>
      <c r="O83" s="1239"/>
      <c r="P83" s="1239"/>
      <c r="Q83" s="1239"/>
      <c r="R83" s="1239"/>
      <c r="S83" s="455"/>
      <c r="T83" s="1239">
        <v>35</v>
      </c>
      <c r="U83" s="1239"/>
      <c r="V83" s="1239"/>
      <c r="W83" s="1239">
        <v>1.4</v>
      </c>
      <c r="X83" s="1239"/>
      <c r="Y83" s="1239"/>
      <c r="Z83" s="1239"/>
      <c r="AA83" s="1239"/>
      <c r="AB83" s="1239"/>
      <c r="AC83" s="1239" t="str">
        <f t="shared" si="0"/>
        <v>PH-Q</v>
      </c>
      <c r="AD83" s="1239"/>
      <c r="AE83" s="1239"/>
      <c r="AF83" s="1239"/>
      <c r="AG83" s="171"/>
      <c r="AH83" s="1239"/>
      <c r="AI83" s="1239"/>
      <c r="AJ83" s="1239"/>
      <c r="AK83" s="1239"/>
      <c r="AL83" s="1239"/>
      <c r="AM83" s="1239" t="s">
        <v>1043</v>
      </c>
      <c r="AN83" s="455">
        <v>5.32</v>
      </c>
      <c r="AO83" s="1239"/>
      <c r="AP83" s="1239"/>
      <c r="AQ83" s="455"/>
      <c r="AR83" s="455"/>
      <c r="AS83" s="455"/>
      <c r="AT83" s="455">
        <f>+ab($T$83,$T$81,$T$85,$G$82,$G$84,-1*$F$83,1200)</f>
        <v>6.0794775170189466</v>
      </c>
      <c r="AU83" s="1239"/>
      <c r="AV83" s="1239"/>
      <c r="AW83" s="638" t="str">
        <f>VLOOKUP(C83,'Foundation Calculation'!$A$2:$C$33,3,1)</f>
        <v>Soil A</v>
      </c>
      <c r="AX83" s="638" t="str">
        <f>VLOOKUP(C83,'Foundation Calculation'!$E$2:$G$33,3,1)</f>
        <v>PT</v>
      </c>
      <c r="AY83" s="484">
        <f>IF(AX83="PT",VLOOKUP(L83,'Foundation Calculation'!$K$2:$R$40,VLOOKUP(AW83,'Foundation Calculation'!$I$2:$J$8,2,FALSE),0),IF(AX83="K",VLOOKUP(L83,'Foundation Calculation'!$K$42:$R$80,VLOOKUP(AW83,'Foundation Calculation'!$I$2:$J$8,2,FALSE),0),""))</f>
        <v>3.5</v>
      </c>
      <c r="AZ83" s="484"/>
      <c r="BA83" s="671" t="s">
        <v>2809</v>
      </c>
      <c r="BB83" s="1239" t="str">
        <f>Pole_Calculations!A152</f>
        <v>App.7.1-V01-P9.5.1.1</v>
      </c>
      <c r="BC83" s="169"/>
      <c r="BD83" s="1329"/>
      <c r="BE83" s="1329"/>
      <c r="BF83" s="1330"/>
      <c r="BG83" s="1329"/>
    </row>
    <row r="84" spans="1:59" ht="15.65" customHeight="1">
      <c r="A84" s="1239"/>
      <c r="B84" s="1239"/>
      <c r="C84" s="1239"/>
      <c r="D84" s="1239"/>
      <c r="E84" s="1239"/>
      <c r="F84" s="448"/>
      <c r="G84" s="455">
        <v>60.4</v>
      </c>
      <c r="H84" s="1239"/>
      <c r="I84" s="448"/>
      <c r="J84" s="446"/>
      <c r="K84" s="1239"/>
      <c r="L84" s="1239"/>
      <c r="M84" s="1239"/>
      <c r="N84" s="1239"/>
      <c r="O84" s="1239"/>
      <c r="P84" s="1239"/>
      <c r="Q84" s="1239"/>
      <c r="R84" s="1239"/>
      <c r="S84" s="455"/>
      <c r="T84" s="1239"/>
      <c r="U84" s="1239"/>
      <c r="V84" s="1239"/>
      <c r="W84" s="1239"/>
      <c r="X84" s="1239"/>
      <c r="Y84" s="1239"/>
      <c r="Z84" s="1239"/>
      <c r="AA84" s="1239"/>
      <c r="AB84" s="1239"/>
      <c r="AC84" s="1239"/>
      <c r="AD84" s="1239"/>
      <c r="AE84" s="1239"/>
      <c r="AF84" s="1239"/>
      <c r="AG84" s="171"/>
      <c r="AH84" s="1239"/>
      <c r="AI84" s="1239"/>
      <c r="AJ84" s="1239"/>
      <c r="AK84" s="1239"/>
      <c r="AL84" s="1239"/>
      <c r="AM84" s="1239"/>
      <c r="AN84" s="455"/>
      <c r="AO84" s="1239"/>
      <c r="AP84" s="1239"/>
      <c r="AQ84" s="455">
        <f>+FL_2($T$85,$T$83,$G$84,1200,9.28,-1*$F$85)</f>
        <v>-0.46526117660913546</v>
      </c>
      <c r="AR84" s="455"/>
      <c r="AS84" s="455"/>
      <c r="AT84" s="455"/>
      <c r="AU84" s="1239"/>
      <c r="AV84" s="1239"/>
      <c r="AW84" s="1239"/>
      <c r="AX84" s="1239"/>
      <c r="AY84" s="455"/>
      <c r="AZ84" s="455"/>
      <c r="BA84" s="1314"/>
      <c r="BB84" s="1239"/>
      <c r="BC84" s="169"/>
      <c r="BD84" s="1330"/>
      <c r="BE84" s="1330"/>
      <c r="BF84" s="1330"/>
      <c r="BG84" s="1330"/>
    </row>
    <row r="85" spans="1:59" ht="15.65" customHeight="1">
      <c r="A85" s="1239"/>
      <c r="B85" s="572" t="s">
        <v>4142</v>
      </c>
      <c r="C85" s="171">
        <f>+$C$83+$G$84</f>
        <v>82929.81</v>
      </c>
      <c r="D85" s="1239"/>
      <c r="E85" s="1239"/>
      <c r="F85" s="448">
        <v>-6000</v>
      </c>
      <c r="G85" s="455"/>
      <c r="H85" s="1239"/>
      <c r="I85" s="448"/>
      <c r="J85" s="446"/>
      <c r="K85" s="1239"/>
      <c r="L85" s="445" t="s">
        <v>229</v>
      </c>
      <c r="M85" s="638" t="str">
        <f>IF(AX85="PT",VLOOKUP(L85,'Foundation Calculation'!$V$2:$X$40,VLOOKUP(AX85,'Foundation Calculation'!$I$10:$J$13,2,FALSE),0),IF(AX85="K",VLOOKUP(L85,'Foundation Calculation'!$V$42:$X$80,VLOOKUP(AX85,'Foundation Calculation'!$I$10:$J$13,2,FALSE),0),""))</f>
        <v>C3R</v>
      </c>
      <c r="N85" s="1239" t="s">
        <v>143</v>
      </c>
      <c r="O85" s="1239"/>
      <c r="P85" s="1239"/>
      <c r="Q85" s="1239"/>
      <c r="R85" s="1239"/>
      <c r="S85" s="455"/>
      <c r="T85" s="1239">
        <v>-30</v>
      </c>
      <c r="U85" s="1239"/>
      <c r="V85" s="1239"/>
      <c r="W85" s="1239">
        <v>1.4</v>
      </c>
      <c r="X85" s="1239"/>
      <c r="Y85" s="1239"/>
      <c r="Z85" s="1239"/>
      <c r="AA85" s="1239"/>
      <c r="AB85" s="1239"/>
      <c r="AC85" s="1239" t="str">
        <f t="shared" si="0"/>
        <v>PH</v>
      </c>
      <c r="AD85" s="1239"/>
      <c r="AE85" s="1239"/>
      <c r="AF85" s="1239"/>
      <c r="AG85" s="171"/>
      <c r="AH85" s="1239"/>
      <c r="AI85" s="1239"/>
      <c r="AJ85" s="1239"/>
      <c r="AK85" s="1239"/>
      <c r="AL85" s="1239"/>
      <c r="AM85" s="1239" t="s">
        <v>1043</v>
      </c>
      <c r="AN85" s="455">
        <v>5.23</v>
      </c>
      <c r="AO85" s="1239"/>
      <c r="AP85" s="1239"/>
      <c r="AQ85" s="455"/>
      <c r="AR85" s="455"/>
      <c r="AS85" s="455"/>
      <c r="AT85" s="455">
        <f>+ab($T$85,$T$83,$T$87,$G$84,$G$86,-1*$F$85,1200)</f>
        <v>-14.169645745535336</v>
      </c>
      <c r="AU85" s="1239"/>
      <c r="AV85" s="1239"/>
      <c r="AW85" s="638" t="str">
        <f>VLOOKUP(C85,'Foundation Calculation'!$A$2:$C$33,3,1)</f>
        <v>Soil A</v>
      </c>
      <c r="AX85" s="638" t="str">
        <f>VLOOKUP(C85,'Foundation Calculation'!$E$2:$G$33,3,1)</f>
        <v>PT</v>
      </c>
      <c r="AY85" s="484">
        <f>IF(AX85="PT",VLOOKUP(L85,'Foundation Calculation'!$K$2:$R$40,VLOOKUP(AW85,'Foundation Calculation'!$I$2:$J$8,2,FALSE),0),IF(AX85="K",VLOOKUP(L85,'Foundation Calculation'!$K$42:$R$80,VLOOKUP(AW85,'Foundation Calculation'!$I$2:$J$8,2,FALSE),0),""))</f>
        <v>3.5</v>
      </c>
      <c r="AZ85" s="484"/>
      <c r="BA85" s="671" t="s">
        <v>2809</v>
      </c>
      <c r="BB85" s="1239" t="str">
        <f>Pole_Calculations!A152</f>
        <v>App.7.1-V01-P9.5.1.1</v>
      </c>
      <c r="BC85" s="169"/>
      <c r="BD85" s="1329"/>
      <c r="BE85" s="1329"/>
      <c r="BF85" s="1330"/>
      <c r="BG85" s="1329"/>
    </row>
    <row r="86" spans="1:59" ht="15.65" customHeight="1">
      <c r="A86" s="1239"/>
      <c r="B86" s="1239"/>
      <c r="C86" s="1239"/>
      <c r="D86" s="1239"/>
      <c r="E86" s="1239"/>
      <c r="F86" s="448"/>
      <c r="G86" s="455">
        <v>54</v>
      </c>
      <c r="H86" s="1239"/>
      <c r="I86" s="448"/>
      <c r="J86" s="446"/>
      <c r="K86" s="1239"/>
      <c r="L86" s="1239"/>
      <c r="M86" s="1239"/>
      <c r="N86" s="1239"/>
      <c r="O86" s="1239"/>
      <c r="P86" s="1239"/>
      <c r="Q86" s="1239"/>
      <c r="R86" s="1239"/>
      <c r="S86" s="455"/>
      <c r="T86" s="1239"/>
      <c r="U86" s="1239"/>
      <c r="V86" s="1239"/>
      <c r="W86" s="1239"/>
      <c r="X86" s="1239"/>
      <c r="Y86" s="1239"/>
      <c r="Z86" s="1239"/>
      <c r="AA86" s="1239"/>
      <c r="AB86" s="1239"/>
      <c r="AC86" s="1239"/>
      <c r="AD86" s="1239"/>
      <c r="AE86" s="1239"/>
      <c r="AF86" s="1239"/>
      <c r="AG86" s="171"/>
      <c r="AH86" s="1239"/>
      <c r="AI86" s="1239"/>
      <c r="AJ86" s="1239"/>
      <c r="AK86" s="1239"/>
      <c r="AL86" s="1239"/>
      <c r="AM86" s="1239"/>
      <c r="AN86" s="455"/>
      <c r="AO86" s="1239"/>
      <c r="AP86" s="1239"/>
      <c r="AQ86" s="455">
        <f>+FL_2($T$87,$T$85,$G$86,1200,9.28,-1*$F$87)</f>
        <v>-0.35055903866666654</v>
      </c>
      <c r="AR86" s="455"/>
      <c r="AS86" s="455"/>
      <c r="AT86" s="455"/>
      <c r="AU86" s="1239"/>
      <c r="AV86" s="1239"/>
      <c r="AW86" s="1239"/>
      <c r="AX86" s="1239"/>
      <c r="AY86" s="455"/>
      <c r="AZ86" s="455"/>
      <c r="BA86" s="1314"/>
      <c r="BB86" s="1239"/>
      <c r="BC86" s="169"/>
      <c r="BD86" s="1330"/>
      <c r="BE86" s="1330"/>
      <c r="BF86" s="1330"/>
      <c r="BG86" s="1330"/>
    </row>
    <row r="87" spans="1:59" ht="15.65" customHeight="1">
      <c r="A87" s="1239"/>
      <c r="B87" s="572" t="s">
        <v>4143</v>
      </c>
      <c r="C87" s="171">
        <f>+$C$85+$G$86</f>
        <v>82983.81</v>
      </c>
      <c r="D87" s="1239"/>
      <c r="E87" s="1239"/>
      <c r="F87" s="448">
        <v>0</v>
      </c>
      <c r="G87" s="455"/>
      <c r="H87" s="1239"/>
      <c r="I87" s="448"/>
      <c r="J87" s="446"/>
      <c r="K87" s="1239"/>
      <c r="L87" s="445" t="s">
        <v>229</v>
      </c>
      <c r="M87" s="638" t="str">
        <f>IF(AX87="PT",VLOOKUP(L87,'Foundation Calculation'!$V$2:$X$40,VLOOKUP(AX87,'Foundation Calculation'!$I$10:$J$13,2,FALSE),0),IF(AX87="K",VLOOKUP(L87,'Foundation Calculation'!$V$42:$X$80,VLOOKUP(AX87,'Foundation Calculation'!$I$10:$J$13,2,FALSE),0),""))</f>
        <v>C3R</v>
      </c>
      <c r="N87" s="1239" t="s">
        <v>144</v>
      </c>
      <c r="O87" s="1239"/>
      <c r="P87" s="1239"/>
      <c r="Q87" s="1239"/>
      <c r="R87" s="1239"/>
      <c r="S87" s="455"/>
      <c r="T87" s="1239">
        <v>35</v>
      </c>
      <c r="U87" s="1239"/>
      <c r="V87" s="1239"/>
      <c r="W87" s="1239">
        <v>1.2</v>
      </c>
      <c r="X87" s="1239"/>
      <c r="Y87" s="1239"/>
      <c r="Z87" s="1239"/>
      <c r="AA87" s="1239"/>
      <c r="AB87" s="1239"/>
      <c r="AC87" s="1239" t="e">
        <f t="shared" si="0"/>
        <v>#VALUE!</v>
      </c>
      <c r="AD87" s="1239"/>
      <c r="AE87" s="1239"/>
      <c r="AF87" s="1239"/>
      <c r="AG87" s="171"/>
      <c r="AH87" s="1239"/>
      <c r="AI87" s="1239"/>
      <c r="AJ87" s="1239"/>
      <c r="AK87" s="1239"/>
      <c r="AL87" s="1239"/>
      <c r="AM87" s="1239" t="s">
        <v>1043</v>
      </c>
      <c r="AN87" s="455">
        <v>5.15</v>
      </c>
      <c r="AO87" s="1239"/>
      <c r="AP87" s="1239"/>
      <c r="AQ87" s="455"/>
      <c r="AR87" s="455"/>
      <c r="AS87" s="455"/>
      <c r="AT87" s="455" t="e">
        <f>+ab($T$87,$T$85,$T$89,$G$86,$G$88,-1*$F$87,1200)</f>
        <v>#VALUE!</v>
      </c>
      <c r="AU87" s="1239"/>
      <c r="AV87" s="1239"/>
      <c r="AW87" s="638" t="str">
        <f>VLOOKUP(C87,'Foundation Calculation'!$A$2:$C$33,3,1)</f>
        <v>Soil A</v>
      </c>
      <c r="AX87" s="638" t="str">
        <f>VLOOKUP(C87,'Foundation Calculation'!$E$2:$G$33,3,1)</f>
        <v>PT</v>
      </c>
      <c r="AY87" s="484">
        <f>IF(AX87="PT",VLOOKUP(L87,'Foundation Calculation'!$K$2:$R$40,VLOOKUP(AW87,'Foundation Calculation'!$I$2:$J$8,2,FALSE),0),IF(AX87="K",VLOOKUP(L87,'Foundation Calculation'!$K$42:$R$80,VLOOKUP(AW87,'Foundation Calculation'!$I$2:$J$8,2,FALSE),0),""))</f>
        <v>3.5</v>
      </c>
      <c r="AZ87" s="484"/>
      <c r="BA87" s="1331" t="s">
        <v>2809</v>
      </c>
      <c r="BB87" s="1239" t="str">
        <f>Pole_Calculations!A152</f>
        <v>App.7.1-V01-P9.5.1.1</v>
      </c>
      <c r="BC87" s="169"/>
      <c r="BD87" s="1329"/>
      <c r="BE87" s="1329"/>
      <c r="BF87" s="1330"/>
      <c r="BG87" s="1329"/>
    </row>
    <row r="88" spans="1:59" ht="15.75" customHeight="1">
      <c r="A88" s="501"/>
      <c r="B88" s="716"/>
      <c r="C88" s="451"/>
      <c r="D88" s="453"/>
      <c r="E88" s="452"/>
      <c r="F88" s="453"/>
      <c r="G88" s="500"/>
      <c r="H88" s="453"/>
      <c r="I88" s="501"/>
      <c r="J88" s="583"/>
      <c r="K88" s="452"/>
      <c r="L88" s="452"/>
      <c r="M88" s="452"/>
      <c r="N88" s="501"/>
      <c r="O88" s="501"/>
      <c r="P88" s="501"/>
      <c r="Q88" s="452"/>
      <c r="R88" s="452"/>
      <c r="S88" s="500"/>
      <c r="T88" s="452"/>
      <c r="U88" s="452"/>
      <c r="V88" s="452"/>
      <c r="W88" s="452"/>
      <c r="X88" s="452"/>
      <c r="Y88" s="452"/>
      <c r="Z88" s="452"/>
      <c r="AA88" s="452"/>
      <c r="AB88" s="452"/>
      <c r="AC88" s="452"/>
      <c r="AD88" s="452"/>
      <c r="AE88" s="452"/>
      <c r="AF88" s="452"/>
      <c r="AG88" s="451"/>
      <c r="AH88" s="452"/>
      <c r="AI88" s="452"/>
      <c r="AJ88" s="452"/>
      <c r="AK88" s="452"/>
      <c r="AL88" s="452"/>
      <c r="AM88" s="452"/>
      <c r="AN88" s="500"/>
      <c r="AO88" s="452"/>
      <c r="AP88" s="452"/>
      <c r="AQ88" s="452"/>
      <c r="AR88" s="452"/>
      <c r="AS88" s="452"/>
      <c r="AT88" s="452"/>
      <c r="AU88" s="452"/>
      <c r="AV88" s="452"/>
      <c r="AW88" s="452"/>
      <c r="AX88" s="452"/>
      <c r="AY88" s="500"/>
      <c r="AZ88" s="500"/>
      <c r="BA88" s="1333"/>
      <c r="BB88" s="452"/>
      <c r="BC88" s="1334"/>
      <c r="BD88" s="1335"/>
      <c r="BE88" s="1335"/>
      <c r="BF88" s="1335"/>
      <c r="BG88" s="1335"/>
    </row>
    <row r="89" spans="1:59" ht="15.75" customHeight="1">
      <c r="A89" s="501"/>
      <c r="B89" s="716" t="str">
        <f>'HR Track 1 HER'!B6</f>
        <v>83-1.01</v>
      </c>
      <c r="C89" s="451">
        <f>'HR Track 1 HER'!C6</f>
        <v>83024.209999999992</v>
      </c>
      <c r="D89" s="453">
        <f>'HR Track 1 HER'!D6</f>
        <v>0</v>
      </c>
      <c r="E89" s="452">
        <f>'HR Track 1 HER'!E6</f>
        <v>0</v>
      </c>
      <c r="F89" s="453">
        <f>'HR Track 1 HER'!F6</f>
        <v>0</v>
      </c>
      <c r="G89" s="500"/>
      <c r="H89" s="453" t="e">
        <f>'HR Track 1 HER'!#REF!</f>
        <v>#REF!</v>
      </c>
      <c r="I89" s="501" t="str">
        <f>'HR Track 1 HER'!H6</f>
        <v>CP+AnMC</v>
      </c>
      <c r="J89" s="583"/>
      <c r="K89" s="452"/>
      <c r="L89" s="452" t="str">
        <f>'HR Track 1 HER'!K6</f>
        <v>HEB-260 (CP)</v>
      </c>
      <c r="M89" s="452" t="str">
        <f>'HR Track 1 HER'!L6</f>
        <v>C4R</v>
      </c>
      <c r="N89" s="501" t="str">
        <f>'HR Track 1 HER'!M6</f>
        <v>EMT-1</v>
      </c>
      <c r="O89" s="501">
        <f>'HR Track 1 HER'!N6</f>
        <v>0</v>
      </c>
      <c r="P89" s="501">
        <f>'HR Track 1 HER'!O6</f>
        <v>0</v>
      </c>
      <c r="Q89" s="452">
        <f>'HR Track 1 HER'!P6</f>
        <v>10</v>
      </c>
      <c r="R89" s="452">
        <f>'HR Track 1 HER'!Q6</f>
        <v>0</v>
      </c>
      <c r="S89" s="500">
        <f>'HR Track 1 HER'!R6</f>
        <v>0</v>
      </c>
      <c r="T89" s="452">
        <f>'HR Track 1 HER'!S6</f>
        <v>-25</v>
      </c>
      <c r="U89" s="452">
        <f>'HR Track 1 HER'!T6</f>
        <v>0</v>
      </c>
      <c r="V89" s="452">
        <f>'HR Track 1 HER'!U6</f>
        <v>0</v>
      </c>
      <c r="W89" s="452">
        <f>'HR Track 1 HER'!V6</f>
        <v>1.1000000000000001</v>
      </c>
      <c r="X89" s="452">
        <f>'HR Track 1 HER'!W6</f>
        <v>0</v>
      </c>
      <c r="Y89" s="452">
        <f>'HR Track 1 HER'!X6</f>
        <v>0</v>
      </c>
      <c r="Z89" s="452">
        <f>'HR Track 1 HER'!Y6</f>
        <v>0</v>
      </c>
      <c r="AA89" s="452">
        <f>'HR Track 1 HER'!Z6</f>
        <v>0</v>
      </c>
      <c r="AB89" s="452">
        <f>'HR Track 1 HER'!AA6</f>
        <v>0</v>
      </c>
      <c r="AC89" s="452" t="str">
        <f>'HR Track 1 HER'!AB6</f>
        <v>PH</v>
      </c>
      <c r="AD89" s="452">
        <f>'HR Track 1 HER'!AC6</f>
        <v>0</v>
      </c>
      <c r="AE89" s="452">
        <f>'HR Track 1 HER'!AD6</f>
        <v>0</v>
      </c>
      <c r="AF89" s="452">
        <f>'HR Track 1 HER'!AE6</f>
        <v>0</v>
      </c>
      <c r="AG89" s="451">
        <f>'HR Track 1 HER'!AF6</f>
        <v>83024</v>
      </c>
      <c r="AH89" s="452">
        <f>'HR Track 1 HER'!AG6</f>
        <v>2523</v>
      </c>
      <c r="AI89" s="452">
        <f>'HR Track 1 HER'!AH6</f>
        <v>580</v>
      </c>
      <c r="AJ89" s="452"/>
      <c r="AK89" s="452"/>
      <c r="AL89" s="452"/>
      <c r="AM89" s="452" t="str">
        <f>'HR Track 1 HER'!AL6</f>
        <v>RW2</v>
      </c>
      <c r="AN89" s="500">
        <f>'HR Track 1 HER'!AM6</f>
        <v>5.15</v>
      </c>
      <c r="AO89" s="452">
        <f>'HR Track 1 HER'!AN6</f>
        <v>0</v>
      </c>
      <c r="AP89" s="452">
        <f>'HR Track 1 HER'!AO6</f>
        <v>0</v>
      </c>
      <c r="AQ89" s="452"/>
      <c r="AR89" s="452">
        <f>'HR Track 1 HER'!AQ6</f>
        <v>0</v>
      </c>
      <c r="AS89" s="452">
        <f>'HR Track 1 HER'!AR6</f>
        <v>0</v>
      </c>
      <c r="AT89" s="452">
        <f>'HR Track 1 HER'!AS6</f>
        <v>-8.016763721071074</v>
      </c>
      <c r="AU89" s="452">
        <f>'HR Track 1 HER'!AT6</f>
        <v>0</v>
      </c>
      <c r="AV89" s="452">
        <f>'HR Track 1 HER'!AU6</f>
        <v>0</v>
      </c>
      <c r="AW89" s="452" t="str">
        <f>'HR Track 1 HER'!AV6</f>
        <v>Soil A</v>
      </c>
      <c r="AX89" s="452" t="str">
        <f>'HR Track 1 HER'!AW6</f>
        <v>PT</v>
      </c>
      <c r="AY89" s="500">
        <f>'HR Track 1 HER'!AX6</f>
        <v>3.5</v>
      </c>
      <c r="AZ89" s="500"/>
      <c r="BA89" s="1333" t="str">
        <f>'HR Track 1 HER'!AZ6</f>
        <v>ü</v>
      </c>
      <c r="BB89" s="452" t="str">
        <f>'HR Track 1 HER'!BA6</f>
        <v>App.7-V11A-P9.5.1.6</v>
      </c>
      <c r="BC89" s="1334">
        <f>'HR Track 1 HER'!BB6</f>
        <v>0</v>
      </c>
      <c r="BD89" s="1335">
        <f>'HR Track 1 HER'!BC6</f>
        <v>0</v>
      </c>
      <c r="BE89" s="1335">
        <f>'HR Track 1 HER'!BD6</f>
        <v>0</v>
      </c>
      <c r="BF89" s="1335">
        <f>'HR Track 1 HER'!BE6</f>
        <v>0</v>
      </c>
      <c r="BG89" s="1335">
        <f>'HR Track 1 HER'!BF6</f>
        <v>0</v>
      </c>
    </row>
    <row r="90" spans="1:59" ht="15.75" customHeight="1">
      <c r="A90" s="501"/>
      <c r="B90" s="716">
        <f>'HR Track 1 HER'!B7</f>
        <v>0</v>
      </c>
      <c r="C90" s="451">
        <f>'HR Track 1 HER'!C7</f>
        <v>0</v>
      </c>
      <c r="D90" s="453">
        <f>'HR Track 1 HER'!D7</f>
        <v>0</v>
      </c>
      <c r="E90" s="452">
        <f>'HR Track 1 HER'!E7</f>
        <v>0</v>
      </c>
      <c r="F90" s="453">
        <f>'HR Track 1 HER'!F7</f>
        <v>0</v>
      </c>
      <c r="G90" s="500"/>
      <c r="H90" s="453" t="e">
        <f>'HR Track 1 HER'!#REF!</f>
        <v>#REF!</v>
      </c>
      <c r="I90" s="501">
        <f>'HR Track 1 HER'!H7</f>
        <v>466</v>
      </c>
      <c r="J90" s="583"/>
      <c r="K90" s="452"/>
      <c r="L90" s="452">
        <f>'HR Track 1 HER'!K7</f>
        <v>0</v>
      </c>
      <c r="M90" s="452">
        <f>'HR Track 1 HER'!L7</f>
        <v>0</v>
      </c>
      <c r="N90" s="501">
        <f>'HR Track 1 HER'!M7</f>
        <v>0</v>
      </c>
      <c r="O90" s="501">
        <f>'HR Track 1 HER'!N7</f>
        <v>0</v>
      </c>
      <c r="P90" s="501">
        <f>'HR Track 1 HER'!O7</f>
        <v>0</v>
      </c>
      <c r="Q90" s="452">
        <f>'HR Track 1 HER'!P7</f>
        <v>0</v>
      </c>
      <c r="R90" s="452">
        <f>'HR Track 1 HER'!Q7</f>
        <v>0</v>
      </c>
      <c r="S90" s="500">
        <f>'HR Track 1 HER'!R7</f>
        <v>0</v>
      </c>
      <c r="T90" s="452">
        <f>'HR Track 1 HER'!S7</f>
        <v>0</v>
      </c>
      <c r="U90" s="452">
        <f>'HR Track 1 HER'!T7</f>
        <v>0</v>
      </c>
      <c r="V90" s="452">
        <f>'HR Track 1 HER'!U7</f>
        <v>0</v>
      </c>
      <c r="W90" s="452">
        <f>'HR Track 1 HER'!V7</f>
        <v>0</v>
      </c>
      <c r="X90" s="452">
        <f>'HR Track 1 HER'!W7</f>
        <v>0</v>
      </c>
      <c r="Y90" s="452">
        <f>'HR Track 1 HER'!X7</f>
        <v>0</v>
      </c>
      <c r="Z90" s="452">
        <f>'HR Track 1 HER'!Y7</f>
        <v>0</v>
      </c>
      <c r="AA90" s="452">
        <f>'HR Track 1 HER'!Z7</f>
        <v>0</v>
      </c>
      <c r="AB90" s="452">
        <f>'HR Track 1 HER'!AA7</f>
        <v>0</v>
      </c>
      <c r="AC90" s="452">
        <f>'HR Track 1 HER'!AB7</f>
        <v>0</v>
      </c>
      <c r="AD90" s="452">
        <f>'HR Track 1 HER'!AC7</f>
        <v>0</v>
      </c>
      <c r="AE90" s="452">
        <f>'HR Track 1 HER'!AD7</f>
        <v>0</v>
      </c>
      <c r="AF90" s="452">
        <f>'HR Track 1 HER'!AE7</f>
        <v>0</v>
      </c>
      <c r="AG90" s="451">
        <f>'HR Track 1 HER'!AF7</f>
        <v>0</v>
      </c>
      <c r="AH90" s="452">
        <f>'HR Track 1 HER'!AG7</f>
        <v>0</v>
      </c>
      <c r="AI90" s="452">
        <f>'HR Track 1 HER'!AH7</f>
        <v>0</v>
      </c>
      <c r="AJ90" s="452"/>
      <c r="AK90" s="452"/>
      <c r="AL90" s="452"/>
      <c r="AM90" s="452">
        <f>'HR Track 1 HER'!AL7</f>
        <v>0</v>
      </c>
      <c r="AN90" s="500">
        <f>'HR Track 1 HER'!AM7</f>
        <v>0</v>
      </c>
      <c r="AO90" s="452">
        <f>'HR Track 1 HER'!AN7</f>
        <v>0</v>
      </c>
      <c r="AP90" s="452">
        <f>'HR Track 1 HER'!AO7</f>
        <v>0</v>
      </c>
      <c r="AQ90" s="452"/>
      <c r="AR90" s="452">
        <f>'HR Track 1 HER'!AQ7</f>
        <v>0</v>
      </c>
      <c r="AS90" s="452">
        <f>'HR Track 1 HER'!AR7</f>
        <v>0</v>
      </c>
      <c r="AT90" s="452">
        <f>'HR Track 1 HER'!AS7</f>
        <v>0</v>
      </c>
      <c r="AU90" s="452">
        <f>'HR Track 1 HER'!AT7</f>
        <v>0</v>
      </c>
      <c r="AV90" s="452">
        <f>'HR Track 1 HER'!AU7</f>
        <v>0</v>
      </c>
      <c r="AW90" s="452">
        <f>'HR Track 1 HER'!AV7</f>
        <v>0</v>
      </c>
      <c r="AX90" s="452">
        <f>'HR Track 1 HER'!AW7</f>
        <v>0</v>
      </c>
      <c r="AY90" s="500">
        <f>'HR Track 1 HER'!AX7</f>
        <v>0</v>
      </c>
      <c r="AZ90" s="500"/>
      <c r="BA90" s="1333">
        <f>'HR Track 1 HER'!AZ7</f>
        <v>0</v>
      </c>
      <c r="BB90" s="452">
        <f>'HR Track 1 HER'!BA7</f>
        <v>0</v>
      </c>
      <c r="BC90" s="1334">
        <f>'HR Track 1 HER'!BB7</f>
        <v>0</v>
      </c>
      <c r="BD90" s="1335">
        <f>'HR Track 1 HER'!BC7</f>
        <v>0</v>
      </c>
      <c r="BE90" s="1335">
        <f>'HR Track 1 HER'!BD7</f>
        <v>0</v>
      </c>
      <c r="BF90" s="1335">
        <f>'HR Track 1 HER'!BE7</f>
        <v>0</v>
      </c>
      <c r="BG90" s="1335">
        <f>'HR Track 1 HER'!BF7</f>
        <v>0</v>
      </c>
    </row>
    <row r="91" spans="1:59" ht="15.75" customHeight="1">
      <c r="A91" s="501"/>
      <c r="B91" s="716" t="str">
        <f>'HR Track 1 HER'!B8</f>
        <v>83-1.02</v>
      </c>
      <c r="C91" s="451">
        <f>'HR Track 1 HER'!C8</f>
        <v>83063.409999999989</v>
      </c>
      <c r="D91" s="453">
        <f>'HR Track 1 HER'!D8</f>
        <v>0</v>
      </c>
      <c r="E91" s="452">
        <f>'HR Track 1 HER'!E8</f>
        <v>0</v>
      </c>
      <c r="F91" s="453">
        <f>'HR Track 1 HER'!F8</f>
        <v>8354.2219120800401</v>
      </c>
      <c r="G91" s="500"/>
      <c r="H91" s="453" t="e">
        <f>'HR Track 1 HER'!#REF!</f>
        <v>#REF!</v>
      </c>
      <c r="I91" s="501" t="str">
        <f>'HR Track 1 HER'!H8</f>
        <v>IO</v>
      </c>
      <c r="J91" s="583"/>
      <c r="K91" s="452"/>
      <c r="L91" s="452" t="str">
        <f>'HR Track 1 HER'!K8</f>
        <v>2HEB-240L</v>
      </c>
      <c r="M91" s="452" t="str">
        <f>'HR Track 1 HER'!L8</f>
        <v>2C3R</v>
      </c>
      <c r="N91" s="501" t="str">
        <f>'HR Track 1 HER'!M8</f>
        <v>EMT-T</v>
      </c>
      <c r="O91" s="501" t="str">
        <f>'HR Track 1 HER'!N8</f>
        <v>EMT-2</v>
      </c>
      <c r="P91" s="501">
        <f>'HR Track 1 HER'!O8</f>
        <v>0</v>
      </c>
      <c r="Q91" s="452">
        <f>'HR Track 1 HER'!P8</f>
        <v>10</v>
      </c>
      <c r="R91" s="452">
        <f>'HR Track 1 HER'!Q8</f>
        <v>0</v>
      </c>
      <c r="S91" s="500">
        <f>'HR Track 1 HER'!R8</f>
        <v>0</v>
      </c>
      <c r="T91" s="452">
        <f>'HR Track 1 HER'!S8</f>
        <v>55</v>
      </c>
      <c r="U91" s="452">
        <f>'HR Track 1 HER'!T8</f>
        <v>10</v>
      </c>
      <c r="V91" s="452">
        <f>'HR Track 1 HER'!U8</f>
        <v>0</v>
      </c>
      <c r="W91" s="452">
        <f>'HR Track 1 HER'!V8</f>
        <v>0.9</v>
      </c>
      <c r="X91" s="452">
        <f>'HR Track 1 HER'!W8</f>
        <v>1</v>
      </c>
      <c r="Y91" s="452">
        <f>'HR Track 1 HER'!X8</f>
        <v>0</v>
      </c>
      <c r="Z91" s="452">
        <f>'HR Track 1 HER'!Y8</f>
        <v>0.4</v>
      </c>
      <c r="AA91" s="452">
        <f>'HR Track 1 HER'!Z8</f>
        <v>0</v>
      </c>
      <c r="AB91" s="452">
        <f>'HR Track 1 HER'!AA8</f>
        <v>0</v>
      </c>
      <c r="AC91" s="452">
        <f>'HR Track 1 HER'!AB8</f>
        <v>0</v>
      </c>
      <c r="AD91" s="452">
        <f>'HR Track 1 HER'!AC8</f>
        <v>0</v>
      </c>
      <c r="AE91" s="452">
        <f>'HR Track 1 HER'!AD8</f>
        <v>0</v>
      </c>
      <c r="AF91" s="452">
        <f>'HR Track 1 HER'!AE8</f>
        <v>0</v>
      </c>
      <c r="AG91" s="451">
        <f>'HR Track 1 HER'!AF8</f>
        <v>83063</v>
      </c>
      <c r="AH91" s="452">
        <f>'HR Track 1 HER'!AG8</f>
        <v>3103</v>
      </c>
      <c r="AI91" s="452">
        <f>'HR Track 1 HER'!AH8</f>
        <v>460</v>
      </c>
      <c r="AJ91" s="452"/>
      <c r="AK91" s="452"/>
      <c r="AL91" s="452"/>
      <c r="AM91" s="452" t="str">
        <f>'HR Track 1 HER'!AL8</f>
        <v>RW2</v>
      </c>
      <c r="AN91" s="500">
        <f>'HR Track 1 HER'!AM8</f>
        <v>5.15</v>
      </c>
      <c r="AO91" s="452">
        <f>'HR Track 1 HER'!AN8</f>
        <v>0</v>
      </c>
      <c r="AP91" s="452">
        <f>'HR Track 1 HER'!AO8</f>
        <v>0</v>
      </c>
      <c r="AQ91" s="452"/>
      <c r="AR91" s="452">
        <f>'HR Track 1 HER'!AQ8</f>
        <v>0</v>
      </c>
      <c r="AS91" s="452">
        <f>'HR Track 1 HER'!AR8</f>
        <v>0</v>
      </c>
      <c r="AT91" s="452">
        <f>'HR Track 1 HER'!AS8</f>
        <v>11.843990566071346</v>
      </c>
      <c r="AU91" s="452">
        <f>'HR Track 1 HER'!AT8</f>
        <v>0</v>
      </c>
      <c r="AV91" s="452">
        <f>'HR Track 1 HER'!AU8</f>
        <v>0</v>
      </c>
      <c r="AW91" s="452" t="str">
        <f>'HR Track 1 HER'!AV8</f>
        <v>Soil A</v>
      </c>
      <c r="AX91" s="452" t="str">
        <f>'HR Track 1 HER'!AW8</f>
        <v>PT</v>
      </c>
      <c r="AY91" s="500">
        <f>'HR Track 1 HER'!AX8</f>
        <v>3.7</v>
      </c>
      <c r="AZ91" s="500"/>
      <c r="BA91" s="1333" t="str">
        <f>'HR Track 1 HER'!AZ8</f>
        <v>ü</v>
      </c>
      <c r="BB91" s="452" t="str">
        <f>'HR Track 1 HER'!BA8</f>
        <v>App.7-V11A-P9.5.1.5</v>
      </c>
      <c r="BC91" s="1334">
        <f>'HR Track 1 HER'!BB8</f>
        <v>0</v>
      </c>
      <c r="BD91" s="1335">
        <f>'HR Track 1 HER'!BC8</f>
        <v>0</v>
      </c>
      <c r="BE91" s="1335">
        <f>'HR Track 1 HER'!BD8</f>
        <v>0</v>
      </c>
      <c r="BF91" s="1335">
        <f>'HR Track 1 HER'!BE8</f>
        <v>0</v>
      </c>
      <c r="BG91" s="1335">
        <f>'HR Track 1 HER'!BF8</f>
        <v>0</v>
      </c>
    </row>
    <row r="92" spans="1:59" ht="15.75" customHeight="1">
      <c r="A92" s="501"/>
      <c r="B92" s="716">
        <f>'HR Track 1 HER'!B9</f>
        <v>0</v>
      </c>
      <c r="C92" s="451">
        <f>'HR Track 1 HER'!C9</f>
        <v>0</v>
      </c>
      <c r="D92" s="453">
        <f>'HR Track 1 HER'!D9</f>
        <v>0</v>
      </c>
      <c r="E92" s="452">
        <f>'HR Track 1 HER'!E9</f>
        <v>0</v>
      </c>
      <c r="F92" s="453">
        <f>'HR Track 1 HER'!F9</f>
        <v>0</v>
      </c>
      <c r="G92" s="500"/>
      <c r="H92" s="453" t="e">
        <f>'HR Track 1 HER'!#REF!</f>
        <v>#REF!</v>
      </c>
      <c r="I92" s="501">
        <f>'HR Track 1 HER'!H9</f>
        <v>0</v>
      </c>
      <c r="J92" s="583"/>
      <c r="K92" s="452"/>
      <c r="L92" s="452">
        <f>'HR Track 1 HER'!K9</f>
        <v>0</v>
      </c>
      <c r="M92" s="452">
        <f>'HR Track 1 HER'!L9</f>
        <v>0</v>
      </c>
      <c r="N92" s="501">
        <f>'HR Track 1 HER'!M9</f>
        <v>0</v>
      </c>
      <c r="O92" s="501">
        <f>'HR Track 1 HER'!N9</f>
        <v>0</v>
      </c>
      <c r="P92" s="501">
        <f>'HR Track 1 HER'!O9</f>
        <v>0</v>
      </c>
      <c r="Q92" s="452">
        <f>'HR Track 1 HER'!P9</f>
        <v>0</v>
      </c>
      <c r="R92" s="452">
        <f>'HR Track 1 HER'!Q9</f>
        <v>0</v>
      </c>
      <c r="S92" s="500">
        <f>'HR Track 1 HER'!R9</f>
        <v>0</v>
      </c>
      <c r="T92" s="452">
        <f>'HR Track 1 HER'!S9</f>
        <v>0</v>
      </c>
      <c r="U92" s="452">
        <f>'HR Track 1 HER'!T9</f>
        <v>0</v>
      </c>
      <c r="V92" s="452">
        <f>'HR Track 1 HER'!U9</f>
        <v>0</v>
      </c>
      <c r="W92" s="452">
        <f>'HR Track 1 HER'!V9</f>
        <v>0</v>
      </c>
      <c r="X92" s="452">
        <f>'HR Track 1 HER'!W9</f>
        <v>0</v>
      </c>
      <c r="Y92" s="452">
        <f>'HR Track 1 HER'!X9</f>
        <v>0</v>
      </c>
      <c r="Z92" s="452">
        <f>'HR Track 1 HER'!Y9</f>
        <v>0</v>
      </c>
      <c r="AA92" s="452">
        <f>'HR Track 1 HER'!Z9</f>
        <v>0</v>
      </c>
      <c r="AB92" s="452">
        <f>'HR Track 1 HER'!AA9</f>
        <v>0</v>
      </c>
      <c r="AC92" s="452">
        <f>'HR Track 1 HER'!AB9</f>
        <v>0</v>
      </c>
      <c r="AD92" s="452">
        <f>'HR Track 1 HER'!AC9</f>
        <v>0</v>
      </c>
      <c r="AE92" s="452">
        <f>'HR Track 1 HER'!AD9</f>
        <v>0</v>
      </c>
      <c r="AF92" s="452">
        <f>'HR Track 1 HER'!AE9</f>
        <v>0</v>
      </c>
      <c r="AG92" s="451">
        <f>'HR Track 1 HER'!AF9</f>
        <v>0</v>
      </c>
      <c r="AH92" s="452">
        <f>'HR Track 1 HER'!AG9</f>
        <v>0</v>
      </c>
      <c r="AI92" s="452">
        <f>'HR Track 1 HER'!AH9</f>
        <v>0</v>
      </c>
      <c r="AJ92" s="452"/>
      <c r="AK92" s="452"/>
      <c r="AL92" s="452"/>
      <c r="AM92" s="452">
        <f>'HR Track 1 HER'!AL9</f>
        <v>0</v>
      </c>
      <c r="AN92" s="500">
        <f>'HR Track 1 HER'!AM9</f>
        <v>0</v>
      </c>
      <c r="AO92" s="452">
        <f>'HR Track 1 HER'!AN9</f>
        <v>0</v>
      </c>
      <c r="AP92" s="452">
        <f>'HR Track 1 HER'!AO9</f>
        <v>0</v>
      </c>
      <c r="AQ92" s="452"/>
      <c r="AR92" s="452">
        <f>'HR Track 1 HER'!AQ9</f>
        <v>0</v>
      </c>
      <c r="AS92" s="452">
        <f>'HR Track 1 HER'!AR9</f>
        <v>0</v>
      </c>
      <c r="AT92" s="452">
        <f>'HR Track 1 HER'!AS9</f>
        <v>0</v>
      </c>
      <c r="AU92" s="452">
        <f>'HR Track 1 HER'!AT9</f>
        <v>0</v>
      </c>
      <c r="AV92" s="452">
        <f>'HR Track 1 HER'!AU9</f>
        <v>0</v>
      </c>
      <c r="AW92" s="452" t="str">
        <f>'HR Track 1 HER'!AV9</f>
        <v>Soil A</v>
      </c>
      <c r="AX92" s="452" t="str">
        <f>'HR Track 1 HER'!AW9</f>
        <v>PT</v>
      </c>
      <c r="AY92" s="500">
        <f>'HR Track 1 HER'!AX9</f>
        <v>0</v>
      </c>
      <c r="AZ92" s="500"/>
      <c r="BA92" s="1333" t="str">
        <f>'HR Track 1 HER'!AZ9</f>
        <v>ü</v>
      </c>
      <c r="BB92" s="452">
        <f>'HR Track 1 HER'!BA9</f>
        <v>0</v>
      </c>
      <c r="BC92" s="1334">
        <f>'HR Track 1 HER'!BB9</f>
        <v>0</v>
      </c>
      <c r="BD92" s="1335">
        <f>'HR Track 1 HER'!BC9</f>
        <v>0</v>
      </c>
      <c r="BE92" s="1335">
        <f>'HR Track 1 HER'!BD9</f>
        <v>0</v>
      </c>
      <c r="BF92" s="1335">
        <f>'HR Track 1 HER'!BE9</f>
        <v>0</v>
      </c>
      <c r="BG92" s="1335">
        <f>'HR Track 1 HER'!BF9</f>
        <v>0</v>
      </c>
    </row>
    <row r="93" spans="1:59" ht="15.75" customHeight="1">
      <c r="A93" s="501"/>
      <c r="B93" s="716" t="str">
        <f>'HR Track 1 HER'!B10</f>
        <v>83-1.03</v>
      </c>
      <c r="C93" s="451">
        <f>'HR Track 1 HER'!C10</f>
        <v>83115.409999999989</v>
      </c>
      <c r="D93" s="453">
        <f>'HR Track 1 HER'!D10</f>
        <v>0</v>
      </c>
      <c r="E93" s="452">
        <f>'HR Track 1 HER'!E10</f>
        <v>0</v>
      </c>
      <c r="F93" s="453" t="str">
        <f>'HR Track 1 HER'!F10</f>
        <v>6000</v>
      </c>
      <c r="G93" s="500"/>
      <c r="H93" s="453" t="e">
        <f>'HR Track 1 HER'!#REF!</f>
        <v>#REF!</v>
      </c>
      <c r="I93" s="501" t="str">
        <f>'HR Track 1 HER'!H10</f>
        <v>CP+AnMC</v>
      </c>
      <c r="J93" s="583"/>
      <c r="K93" s="452"/>
      <c r="L93" s="452" t="str">
        <f>'HR Track 1 HER'!K10</f>
        <v>2HEB-240</v>
      </c>
      <c r="M93" s="452" t="str">
        <f>'HR Track 1 HER'!L10</f>
        <v>2C3R</v>
      </c>
      <c r="N93" s="501" t="str">
        <f>'HR Track 1 HER'!M10</f>
        <v>EMT-1</v>
      </c>
      <c r="O93" s="501" t="str">
        <f>'HR Track 1 HER'!N10</f>
        <v>EMT-T</v>
      </c>
      <c r="P93" s="501">
        <f>'HR Track 1 HER'!O10</f>
        <v>0</v>
      </c>
      <c r="Q93" s="452">
        <f>'HR Track 1 HER'!P10</f>
        <v>10</v>
      </c>
      <c r="R93" s="452">
        <f>'HR Track 1 HER'!Q10</f>
        <v>0</v>
      </c>
      <c r="S93" s="500">
        <f>'HR Track 1 HER'!R10</f>
        <v>0</v>
      </c>
      <c r="T93" s="452">
        <f>'HR Track 1 HER'!S10</f>
        <v>-10</v>
      </c>
      <c r="U93" s="452">
        <f>'HR Track 1 HER'!T10</f>
        <v>-55</v>
      </c>
      <c r="V93" s="452">
        <f>'HR Track 1 HER'!U10</f>
        <v>0</v>
      </c>
      <c r="W93" s="452">
        <f>'HR Track 1 HER'!V10</f>
        <v>0.9</v>
      </c>
      <c r="X93" s="452">
        <f>'HR Track 1 HER'!W10</f>
        <v>1</v>
      </c>
      <c r="Y93" s="452">
        <f>'HR Track 1 HER'!X10</f>
        <v>0</v>
      </c>
      <c r="Z93" s="452">
        <f>'HR Track 1 HER'!Y10</f>
        <v>0</v>
      </c>
      <c r="AA93" s="452">
        <f>'HR Track 1 HER'!Z10</f>
        <v>0.4</v>
      </c>
      <c r="AB93" s="452">
        <f>'HR Track 1 HER'!AA10</f>
        <v>0</v>
      </c>
      <c r="AC93" s="452" t="str">
        <f>'HR Track 1 HER'!AB10</f>
        <v>PH</v>
      </c>
      <c r="AD93" s="452">
        <f>'HR Track 1 HER'!AC10</f>
        <v>0</v>
      </c>
      <c r="AE93" s="452">
        <f>'HR Track 1 HER'!AD10</f>
        <v>0</v>
      </c>
      <c r="AF93" s="452">
        <f>'HR Track 1 HER'!AE10</f>
        <v>0</v>
      </c>
      <c r="AG93" s="451">
        <f>'HR Track 1 HER'!AF10</f>
        <v>83115</v>
      </c>
      <c r="AH93" s="452">
        <f>'HR Track 1 HER'!AG10</f>
        <v>2623</v>
      </c>
      <c r="AI93" s="452">
        <f>'HR Track 1 HER'!AH10</f>
        <v>680</v>
      </c>
      <c r="AJ93" s="452"/>
      <c r="AK93" s="452"/>
      <c r="AL93" s="452"/>
      <c r="AM93" s="452" t="str">
        <f>'HR Track 1 HER'!AL10</f>
        <v>RW2</v>
      </c>
      <c r="AN93" s="500">
        <f>'HR Track 1 HER'!AM10</f>
        <v>5.15</v>
      </c>
      <c r="AO93" s="452">
        <f>'HR Track 1 HER'!AN10</f>
        <v>0</v>
      </c>
      <c r="AP93" s="452">
        <f>'HR Track 1 HER'!AO10</f>
        <v>0</v>
      </c>
      <c r="AQ93" s="452"/>
      <c r="AR93" s="452">
        <f>'HR Track 1 HER'!AQ10</f>
        <v>0</v>
      </c>
      <c r="AS93" s="452">
        <f>'HR Track 1 HER'!AR10</f>
        <v>0</v>
      </c>
      <c r="AT93" s="452">
        <f>'HR Track 1 HER'!AS10</f>
        <v>-15.129541423184126</v>
      </c>
      <c r="AU93" s="452">
        <f>'HR Track 1 HER'!AT10</f>
        <v>0</v>
      </c>
      <c r="AV93" s="452">
        <f>'HR Track 1 HER'!AU10</f>
        <v>0</v>
      </c>
      <c r="AW93" s="452" t="str">
        <f>'HR Track 1 HER'!AV10</f>
        <v>Soil A</v>
      </c>
      <c r="AX93" s="452" t="str">
        <f>'HR Track 1 HER'!AW10</f>
        <v>PT</v>
      </c>
      <c r="AY93" s="500">
        <f>'HR Track 1 HER'!AX10</f>
        <v>3.7</v>
      </c>
      <c r="AZ93" s="500"/>
      <c r="BA93" s="1333" t="str">
        <f>'HR Track 1 HER'!AZ10</f>
        <v>ü</v>
      </c>
      <c r="BB93" s="452" t="str">
        <f>'HR Track 1 HER'!BA10</f>
        <v>App.7-V11A-P9.5.1.8</v>
      </c>
      <c r="BC93" s="1334">
        <f>'HR Track 1 HER'!BB10</f>
        <v>0</v>
      </c>
      <c r="BD93" s="1335">
        <f>'HR Track 1 HER'!BC10</f>
        <v>0</v>
      </c>
      <c r="BE93" s="1335">
        <f>'HR Track 1 HER'!BD10</f>
        <v>0</v>
      </c>
      <c r="BF93" s="1335">
        <f>'HR Track 1 HER'!BE10</f>
        <v>0</v>
      </c>
      <c r="BG93" s="1335">
        <f>'HR Track 1 HER'!BF10</f>
        <v>0</v>
      </c>
    </row>
    <row r="94" spans="1:59" ht="15.75" customHeight="1">
      <c r="A94" s="501"/>
      <c r="B94" s="716">
        <f>'HR Track 1 HER'!B11</f>
        <v>0</v>
      </c>
      <c r="C94" s="451">
        <f>'HR Track 1 HER'!C11</f>
        <v>0</v>
      </c>
      <c r="D94" s="453">
        <f>'HR Track 1 HER'!D11</f>
        <v>0</v>
      </c>
      <c r="E94" s="452">
        <f>'HR Track 1 HER'!E11</f>
        <v>0</v>
      </c>
      <c r="F94" s="453">
        <f>'HR Track 1 HER'!F11</f>
        <v>0</v>
      </c>
      <c r="G94" s="500"/>
      <c r="H94" s="453" t="e">
        <f>'HR Track 1 HER'!#REF!</f>
        <v>#REF!</v>
      </c>
      <c r="I94" s="501">
        <f>'HR Track 1 HER'!H11</f>
        <v>287</v>
      </c>
      <c r="J94" s="583"/>
      <c r="K94" s="452"/>
      <c r="L94" s="452">
        <f>'HR Track 1 HER'!K11</f>
        <v>0</v>
      </c>
      <c r="M94" s="452">
        <f>'HR Track 1 HER'!L11</f>
        <v>0</v>
      </c>
      <c r="N94" s="501">
        <f>'HR Track 1 HER'!M11</f>
        <v>0</v>
      </c>
      <c r="O94" s="501">
        <f>'HR Track 1 HER'!N11</f>
        <v>0</v>
      </c>
      <c r="P94" s="501">
        <f>'HR Track 1 HER'!O11</f>
        <v>0</v>
      </c>
      <c r="Q94" s="452">
        <f>'HR Track 1 HER'!P11</f>
        <v>0</v>
      </c>
      <c r="R94" s="452">
        <f>'HR Track 1 HER'!Q11</f>
        <v>0</v>
      </c>
      <c r="S94" s="500">
        <f>'HR Track 1 HER'!R11</f>
        <v>0</v>
      </c>
      <c r="T94" s="452">
        <f>'HR Track 1 HER'!S11</f>
        <v>0</v>
      </c>
      <c r="U94" s="452">
        <f>'HR Track 1 HER'!T11</f>
        <v>0</v>
      </c>
      <c r="V94" s="452">
        <f>'HR Track 1 HER'!U11</f>
        <v>0</v>
      </c>
      <c r="W94" s="452">
        <f>'HR Track 1 HER'!V11</f>
        <v>0</v>
      </c>
      <c r="X94" s="452">
        <f>'HR Track 1 HER'!W11</f>
        <v>0</v>
      </c>
      <c r="Y94" s="452">
        <f>'HR Track 1 HER'!X11</f>
        <v>0</v>
      </c>
      <c r="Z94" s="452">
        <f>'HR Track 1 HER'!Y11</f>
        <v>0</v>
      </c>
      <c r="AA94" s="452">
        <f>'HR Track 1 HER'!Z11</f>
        <v>0</v>
      </c>
      <c r="AB94" s="452">
        <f>'HR Track 1 HER'!AA11</f>
        <v>0</v>
      </c>
      <c r="AC94" s="452">
        <f>'HR Track 1 HER'!AB11</f>
        <v>0</v>
      </c>
      <c r="AD94" s="452">
        <f>'HR Track 1 HER'!AC11</f>
        <v>0</v>
      </c>
      <c r="AE94" s="452">
        <f>'HR Track 1 HER'!AD11</f>
        <v>0</v>
      </c>
      <c r="AF94" s="452">
        <f>'HR Track 1 HER'!AE11</f>
        <v>0</v>
      </c>
      <c r="AG94" s="451">
        <f>'HR Track 1 HER'!AF11</f>
        <v>0</v>
      </c>
      <c r="AH94" s="452">
        <f>'HR Track 1 HER'!AG11</f>
        <v>0</v>
      </c>
      <c r="AI94" s="452">
        <f>'HR Track 1 HER'!AH11</f>
        <v>0</v>
      </c>
      <c r="AJ94" s="452"/>
      <c r="AK94" s="452"/>
      <c r="AL94" s="452"/>
      <c r="AM94" s="452">
        <f>'HR Track 1 HER'!AL11</f>
        <v>0</v>
      </c>
      <c r="AN94" s="500">
        <f>'HR Track 1 HER'!AM11</f>
        <v>0</v>
      </c>
      <c r="AO94" s="452">
        <f>'HR Track 1 HER'!AN11</f>
        <v>0</v>
      </c>
      <c r="AP94" s="452">
        <f>'HR Track 1 HER'!AO11</f>
        <v>0</v>
      </c>
      <c r="AQ94" s="452"/>
      <c r="AR94" s="452">
        <f>'HR Track 1 HER'!AQ11</f>
        <v>0</v>
      </c>
      <c r="AS94" s="452">
        <f>'HR Track 1 HER'!AR11</f>
        <v>0</v>
      </c>
      <c r="AT94" s="452">
        <f>'HR Track 1 HER'!AS11</f>
        <v>0</v>
      </c>
      <c r="AU94" s="452">
        <f>'HR Track 1 HER'!AT11</f>
        <v>0</v>
      </c>
      <c r="AV94" s="452">
        <f>'HR Track 1 HER'!AU11</f>
        <v>0</v>
      </c>
      <c r="AW94" s="452">
        <f>'HR Track 1 HER'!AV11</f>
        <v>0</v>
      </c>
      <c r="AX94" s="452">
        <f>'HR Track 1 HER'!AW11</f>
        <v>0</v>
      </c>
      <c r="AY94" s="500">
        <f>'HR Track 1 HER'!AX11</f>
        <v>0</v>
      </c>
      <c r="AZ94" s="500"/>
      <c r="BA94" s="1333">
        <f>'HR Track 1 HER'!AZ11</f>
        <v>0</v>
      </c>
      <c r="BB94" s="452">
        <f>'HR Track 1 HER'!BA11</f>
        <v>0</v>
      </c>
      <c r="BC94" s="1334">
        <f>'HR Track 1 HER'!BB11</f>
        <v>0</v>
      </c>
      <c r="BD94" s="1335">
        <f>'HR Track 1 HER'!BC11</f>
        <v>0</v>
      </c>
      <c r="BE94" s="1335">
        <f>'HR Track 1 HER'!BD11</f>
        <v>0</v>
      </c>
      <c r="BF94" s="1335">
        <f>'HR Track 1 HER'!BE11</f>
        <v>0</v>
      </c>
      <c r="BG94" s="1335">
        <f>'HR Track 1 HER'!BF11</f>
        <v>0</v>
      </c>
    </row>
    <row r="95" spans="1:59" ht="15.75" customHeight="1">
      <c r="A95" s="501"/>
      <c r="B95" s="716" t="str">
        <f>'HR Track 1 HER'!B12</f>
        <v>83-1.04</v>
      </c>
      <c r="C95" s="451">
        <f>'HR Track 1 HER'!C12</f>
        <v>83166.909999999989</v>
      </c>
      <c r="D95" s="453">
        <f>'HR Track 1 HER'!D12</f>
        <v>0</v>
      </c>
      <c r="E95" s="452">
        <f>'HR Track 1 HER'!E12</f>
        <v>0</v>
      </c>
      <c r="F95" s="453">
        <f>'HR Track 1 HER'!F12</f>
        <v>8490.4964538972035</v>
      </c>
      <c r="G95" s="500"/>
      <c r="H95" s="453" t="e">
        <f>'HR Track 1 HER'!#REF!</f>
        <v>#REF!</v>
      </c>
      <c r="I95" s="501" t="str">
        <f>'HR Track 1 HER'!H12</f>
        <v>CP+AnMC</v>
      </c>
      <c r="J95" s="583"/>
      <c r="K95" s="452"/>
      <c r="L95" s="452" t="str">
        <f>'HR Track 1 HER'!K12</f>
        <v>2HEB-240</v>
      </c>
      <c r="M95" s="452" t="str">
        <f>'HR Track 1 HER'!L12</f>
        <v>2C3R</v>
      </c>
      <c r="N95" s="501" t="str">
        <f>'HR Track 1 HER'!M12</f>
        <v>EMT-T</v>
      </c>
      <c r="O95" s="501" t="str">
        <f>'HR Track 1 HER'!N12</f>
        <v>EMT-1</v>
      </c>
      <c r="P95" s="501">
        <f>'HR Track 1 HER'!O12</f>
        <v>0</v>
      </c>
      <c r="Q95" s="452">
        <f>'HR Track 1 HER'!P12</f>
        <v>40</v>
      </c>
      <c r="R95" s="452">
        <f>'HR Track 1 HER'!Q12</f>
        <v>0</v>
      </c>
      <c r="S95" s="500">
        <f>'HR Track 1 HER'!R12</f>
        <v>0</v>
      </c>
      <c r="T95" s="452">
        <f>'HR Track 1 HER'!S12</f>
        <v>-55</v>
      </c>
      <c r="U95" s="452">
        <f>'HR Track 1 HER'!T12</f>
        <v>-20</v>
      </c>
      <c r="V95" s="452">
        <f>'HR Track 1 HER'!U12</f>
        <v>0</v>
      </c>
      <c r="W95" s="452">
        <f>'HR Track 1 HER'!V12</f>
        <v>1.8</v>
      </c>
      <c r="X95" s="452">
        <f>'HR Track 1 HER'!W12</f>
        <v>1.1000000000000001</v>
      </c>
      <c r="Y95" s="452">
        <f>'HR Track 1 HER'!X12</f>
        <v>0</v>
      </c>
      <c r="Z95" s="452">
        <f>'HR Track 1 HER'!Y12</f>
        <v>0.4</v>
      </c>
      <c r="AA95" s="452">
        <f>'HR Track 1 HER'!Z12</f>
        <v>0</v>
      </c>
      <c r="AB95" s="452">
        <f>'HR Track 1 HER'!AA12</f>
        <v>0</v>
      </c>
      <c r="AC95" s="452">
        <f>'HR Track 1 HER'!AB12</f>
        <v>0</v>
      </c>
      <c r="AD95" s="452">
        <f>'HR Track 1 HER'!AC12</f>
        <v>0</v>
      </c>
      <c r="AE95" s="452">
        <f>'HR Track 1 HER'!AD12</f>
        <v>0</v>
      </c>
      <c r="AF95" s="452">
        <f>'HR Track 1 HER'!AE12</f>
        <v>0</v>
      </c>
      <c r="AG95" s="451">
        <f>'HR Track 1 HER'!AF12</f>
        <v>83166</v>
      </c>
      <c r="AH95" s="452">
        <f>'HR Track 1 HER'!AG12</f>
        <v>2553</v>
      </c>
      <c r="AI95" s="452">
        <f>'HR Track 1 HER'!AH12</f>
        <v>680</v>
      </c>
      <c r="AJ95" s="452"/>
      <c r="AK95" s="452"/>
      <c r="AL95" s="452"/>
      <c r="AM95" s="452" t="str">
        <f>'HR Track 1 HER'!AL12</f>
        <v>RW2</v>
      </c>
      <c r="AN95" s="500">
        <f>'HR Track 1 HER'!AM12</f>
        <v>5.15</v>
      </c>
      <c r="AO95" s="452">
        <f>'HR Track 1 HER'!AN12</f>
        <v>0</v>
      </c>
      <c r="AP95" s="452">
        <f>'HR Track 1 HER'!AO12</f>
        <v>0</v>
      </c>
      <c r="AQ95" s="452"/>
      <c r="AR95" s="452">
        <f>'HR Track 1 HER'!AQ12</f>
        <v>0</v>
      </c>
      <c r="AS95" s="452">
        <f>'HR Track 1 HER'!AR12</f>
        <v>0</v>
      </c>
      <c r="AT95" s="452">
        <f>'HR Track 1 HER'!AS12</f>
        <v>-12.145605692135323</v>
      </c>
      <c r="AU95" s="452">
        <f>'HR Track 1 HER'!AT12</f>
        <v>0</v>
      </c>
      <c r="AV95" s="452">
        <f>'HR Track 1 HER'!AU12</f>
        <v>0</v>
      </c>
      <c r="AW95" s="452" t="str">
        <f>'HR Track 1 HER'!AV12</f>
        <v>Soil A</v>
      </c>
      <c r="AX95" s="452" t="str">
        <f>'HR Track 1 HER'!AW12</f>
        <v>PT</v>
      </c>
      <c r="AY95" s="500">
        <f>'HR Track 1 HER'!AX12</f>
        <v>3.7</v>
      </c>
      <c r="AZ95" s="500"/>
      <c r="BA95" s="1333" t="str">
        <f>'HR Track 1 HER'!AZ12</f>
        <v>ü</v>
      </c>
      <c r="BB95" s="452" t="str">
        <f>'HR Track 1 HER'!BA12</f>
        <v>App.7-V11A-P9.5.1.8</v>
      </c>
      <c r="BC95" s="1334">
        <f>'HR Track 1 HER'!BB12</f>
        <v>0</v>
      </c>
      <c r="BD95" s="1335">
        <f>'HR Track 1 HER'!BC12</f>
        <v>0</v>
      </c>
      <c r="BE95" s="1335">
        <f>'HR Track 1 HER'!BD12</f>
        <v>0</v>
      </c>
      <c r="BF95" s="1335">
        <f>'HR Track 1 HER'!BE12</f>
        <v>0</v>
      </c>
      <c r="BG95" s="1335">
        <f>'HR Track 1 HER'!BF12</f>
        <v>0</v>
      </c>
    </row>
    <row r="96" spans="1:59">
      <c r="S96" s="454"/>
      <c r="AY96" s="454"/>
      <c r="AZ96" s="454"/>
      <c r="BA96" s="1306"/>
      <c r="BC96" s="169"/>
    </row>
    <row r="97" spans="19:55">
      <c r="S97" s="454"/>
      <c r="AY97" s="454"/>
      <c r="AZ97" s="454"/>
      <c r="BA97" s="1306"/>
      <c r="BC97" s="169"/>
    </row>
    <row r="98" spans="19:55">
      <c r="S98" s="454"/>
      <c r="AY98" s="454"/>
      <c r="AZ98" s="454"/>
      <c r="BA98" s="1306"/>
      <c r="BC98" s="169"/>
    </row>
    <row r="99" spans="19:55">
      <c r="S99" s="454"/>
      <c r="AY99" s="454"/>
      <c r="AZ99" s="454"/>
      <c r="BA99" s="1306"/>
      <c r="BC99" s="169"/>
    </row>
    <row r="100" spans="19:55">
      <c r="S100" s="454"/>
      <c r="AY100" s="454"/>
      <c r="AZ100" s="454"/>
      <c r="BA100" s="1306"/>
      <c r="BC100" s="169"/>
    </row>
    <row r="101" spans="19:55">
      <c r="S101" s="454"/>
      <c r="AY101" s="454"/>
      <c r="AZ101" s="454"/>
      <c r="BA101" s="1306"/>
      <c r="BC101" s="169"/>
    </row>
    <row r="102" spans="19:55">
      <c r="S102" s="454"/>
      <c r="AY102" s="454"/>
      <c r="AZ102" s="454"/>
      <c r="BA102" s="1306"/>
      <c r="BC102" s="169"/>
    </row>
    <row r="103" spans="19:55">
      <c r="S103" s="454"/>
      <c r="AY103" s="454"/>
      <c r="AZ103" s="454"/>
      <c r="BA103" s="1306"/>
      <c r="BC103" s="169"/>
    </row>
    <row r="104" spans="19:55">
      <c r="S104" s="454"/>
      <c r="AY104" s="454"/>
      <c r="AZ104" s="454"/>
      <c r="BA104" s="1306"/>
      <c r="BC104" s="169"/>
    </row>
    <row r="105" spans="19:55">
      <c r="S105" s="454"/>
      <c r="AY105" s="454"/>
      <c r="AZ105" s="454"/>
      <c r="BA105" s="1306"/>
      <c r="BC105" s="169"/>
    </row>
    <row r="106" spans="19:55">
      <c r="S106" s="454"/>
      <c r="AY106" s="454"/>
      <c r="AZ106" s="454"/>
      <c r="BA106" s="1306"/>
      <c r="BC106" s="169"/>
    </row>
    <row r="107" spans="19:55">
      <c r="S107" s="454"/>
      <c r="AY107" s="454"/>
      <c r="AZ107" s="454"/>
      <c r="BA107" s="1306"/>
      <c r="BC107" s="169"/>
    </row>
    <row r="108" spans="19:55">
      <c r="S108" s="454"/>
      <c r="AY108" s="454"/>
      <c r="AZ108" s="454"/>
      <c r="BA108" s="1306"/>
      <c r="BC108" s="169"/>
    </row>
    <row r="109" spans="19:55">
      <c r="S109" s="454"/>
      <c r="AY109" s="454"/>
      <c r="AZ109" s="454"/>
      <c r="BA109" s="1306"/>
      <c r="BC109" s="169"/>
    </row>
    <row r="110" spans="19:55">
      <c r="S110" s="454"/>
      <c r="AY110" s="454"/>
      <c r="AZ110" s="454"/>
      <c r="BA110" s="1306"/>
      <c r="BC110" s="169"/>
    </row>
    <row r="111" spans="19:55">
      <c r="S111" s="454"/>
      <c r="AY111" s="454"/>
      <c r="AZ111" s="454"/>
      <c r="BA111" s="1306"/>
      <c r="BC111" s="169"/>
    </row>
    <row r="112" spans="19:55">
      <c r="S112" s="454"/>
      <c r="AY112" s="454"/>
      <c r="AZ112" s="454"/>
      <c r="BA112" s="1306"/>
      <c r="BC112" s="169"/>
    </row>
    <row r="113" spans="19:55">
      <c r="S113" s="454"/>
      <c r="AY113" s="454"/>
      <c r="AZ113" s="454"/>
      <c r="BA113" s="1306"/>
      <c r="BC113" s="169"/>
    </row>
    <row r="114" spans="19:55">
      <c r="S114" s="454"/>
      <c r="AY114" s="454"/>
      <c r="AZ114" s="454"/>
      <c r="BA114" s="1306"/>
      <c r="BC114" s="169"/>
    </row>
    <row r="115" spans="19:55">
      <c r="S115" s="454"/>
      <c r="AY115" s="454"/>
      <c r="AZ115" s="454"/>
      <c r="BA115" s="1306"/>
      <c r="BC115" s="169"/>
    </row>
    <row r="116" spans="19:55">
      <c r="S116" s="454"/>
      <c r="AY116" s="454"/>
      <c r="AZ116" s="454"/>
      <c r="BA116" s="1306"/>
      <c r="BC116" s="169"/>
    </row>
    <row r="117" spans="19:55">
      <c r="S117" s="454"/>
      <c r="AY117" s="454"/>
      <c r="AZ117" s="454"/>
      <c r="BA117" s="1306"/>
      <c r="BC117" s="169"/>
    </row>
    <row r="118" spans="19:55">
      <c r="S118" s="454"/>
      <c r="AY118" s="454"/>
      <c r="AZ118" s="454"/>
      <c r="BA118" s="1306"/>
      <c r="BC118" s="169"/>
    </row>
    <row r="119" spans="19:55">
      <c r="S119" s="454"/>
      <c r="AY119" s="454"/>
      <c r="AZ119" s="454"/>
      <c r="BA119" s="1306"/>
      <c r="BC119" s="169"/>
    </row>
    <row r="120" spans="19:55">
      <c r="S120" s="454"/>
      <c r="AY120" s="454"/>
      <c r="AZ120" s="454"/>
      <c r="BA120" s="1306"/>
      <c r="BC120" s="169"/>
    </row>
    <row r="121" spans="19:55">
      <c r="S121" s="454"/>
      <c r="AY121" s="454"/>
      <c r="AZ121" s="454"/>
      <c r="BA121" s="1306"/>
      <c r="BC121" s="169"/>
    </row>
    <row r="122" spans="19:55">
      <c r="S122" s="454"/>
      <c r="AY122" s="454"/>
      <c r="AZ122" s="454"/>
      <c r="BA122" s="1306"/>
      <c r="BC122" s="169"/>
    </row>
    <row r="123" spans="19:55">
      <c r="S123" s="454"/>
      <c r="AY123" s="454"/>
      <c r="AZ123" s="454"/>
      <c r="BA123" s="1306"/>
      <c r="BC123" s="169"/>
    </row>
    <row r="124" spans="19:55">
      <c r="S124" s="454"/>
      <c r="AY124" s="454"/>
      <c r="AZ124" s="454"/>
      <c r="BA124" s="1306"/>
      <c r="BC124" s="169"/>
    </row>
    <row r="125" spans="19:55">
      <c r="S125" s="454"/>
      <c r="AY125" s="454"/>
      <c r="AZ125" s="454"/>
      <c r="BA125" s="1306"/>
      <c r="BC125" s="169"/>
    </row>
    <row r="126" spans="19:55">
      <c r="S126" s="454"/>
      <c r="AY126" s="454"/>
      <c r="AZ126" s="454"/>
      <c r="BA126" s="1306"/>
      <c r="BC126" s="169"/>
    </row>
    <row r="127" spans="19:55">
      <c r="S127" s="454"/>
      <c r="AY127" s="454"/>
      <c r="AZ127" s="454"/>
      <c r="BA127" s="1306"/>
      <c r="BC127" s="169"/>
    </row>
    <row r="128" spans="19:55">
      <c r="S128" s="454"/>
      <c r="AY128" s="454"/>
      <c r="AZ128" s="454"/>
      <c r="BA128" s="1306"/>
      <c r="BC128" s="169"/>
    </row>
    <row r="129" spans="19:55">
      <c r="S129" s="454"/>
      <c r="AY129" s="454"/>
      <c r="AZ129" s="454"/>
      <c r="BA129" s="1306"/>
      <c r="BC129" s="169"/>
    </row>
    <row r="130" spans="19:55">
      <c r="S130" s="454"/>
      <c r="AY130" s="454"/>
      <c r="AZ130" s="454"/>
      <c r="BA130" s="1306"/>
      <c r="BC130" s="169"/>
    </row>
    <row r="131" spans="19:55">
      <c r="S131" s="454"/>
      <c r="AY131" s="454"/>
      <c r="AZ131" s="454"/>
      <c r="BA131" s="1306"/>
      <c r="BC131" s="169"/>
    </row>
    <row r="132" spans="19:55">
      <c r="S132" s="454"/>
      <c r="AY132" s="454"/>
      <c r="AZ132" s="454"/>
      <c r="BA132" s="1306"/>
      <c r="BC132" s="169"/>
    </row>
    <row r="133" spans="19:55">
      <c r="S133" s="454"/>
      <c r="AY133" s="454"/>
      <c r="AZ133" s="454"/>
      <c r="BA133" s="1306"/>
      <c r="BC133" s="169"/>
    </row>
    <row r="134" spans="19:55">
      <c r="S134" s="454"/>
      <c r="AY134" s="454"/>
      <c r="AZ134" s="454"/>
      <c r="BA134" s="1306"/>
      <c r="BC134" s="169"/>
    </row>
    <row r="135" spans="19:55">
      <c r="S135" s="454"/>
      <c r="AY135" s="454"/>
      <c r="AZ135" s="454"/>
      <c r="BA135" s="1306"/>
      <c r="BC135" s="169"/>
    </row>
    <row r="136" spans="19:55">
      <c r="S136" s="454"/>
      <c r="AY136" s="454"/>
      <c r="AZ136" s="454"/>
      <c r="BA136" s="1306"/>
      <c r="BC136" s="169"/>
    </row>
    <row r="137" spans="19:55">
      <c r="S137" s="454"/>
      <c r="AY137" s="454"/>
      <c r="AZ137" s="454"/>
      <c r="BA137" s="1306"/>
      <c r="BC137" s="169"/>
    </row>
    <row r="138" spans="19:55">
      <c r="S138" s="454"/>
      <c r="AY138" s="454"/>
      <c r="AZ138" s="454"/>
      <c r="BA138" s="1306"/>
      <c r="BC138" s="169"/>
    </row>
    <row r="139" spans="19:55">
      <c r="S139" s="454"/>
      <c r="AY139" s="454"/>
      <c r="AZ139" s="454"/>
      <c r="BA139" s="1306"/>
      <c r="BC139" s="169"/>
    </row>
    <row r="140" spans="19:55">
      <c r="S140" s="454"/>
      <c r="AY140" s="454"/>
      <c r="AZ140" s="454"/>
      <c r="BA140" s="1306"/>
      <c r="BC140" s="169"/>
    </row>
    <row r="141" spans="19:55">
      <c r="S141" s="454"/>
      <c r="AY141" s="454"/>
      <c r="AZ141" s="454"/>
      <c r="BA141" s="1306"/>
      <c r="BC141" s="169"/>
    </row>
    <row r="142" spans="19:55">
      <c r="S142" s="454"/>
      <c r="AY142" s="454"/>
      <c r="AZ142" s="454"/>
      <c r="BA142" s="1306"/>
      <c r="BC142" s="169"/>
    </row>
    <row r="143" spans="19:55">
      <c r="S143" s="454"/>
      <c r="AY143" s="454"/>
      <c r="AZ143" s="454"/>
      <c r="BA143" s="1306"/>
      <c r="BC143" s="169"/>
    </row>
    <row r="144" spans="19:55">
      <c r="S144" s="454"/>
      <c r="AY144" s="454"/>
      <c r="AZ144" s="454"/>
      <c r="BA144" s="1306"/>
      <c r="BC144" s="169"/>
    </row>
    <row r="145" spans="19:55">
      <c r="S145" s="454"/>
      <c r="AY145" s="454"/>
      <c r="AZ145" s="454"/>
      <c r="BA145" s="1306"/>
      <c r="BC145" s="169"/>
    </row>
    <row r="146" spans="19:55">
      <c r="S146" s="454"/>
      <c r="AY146" s="454"/>
      <c r="AZ146" s="454"/>
      <c r="BA146" s="1306"/>
      <c r="BC146" s="169"/>
    </row>
    <row r="147" spans="19:55">
      <c r="S147" s="454"/>
      <c r="AY147" s="454"/>
      <c r="AZ147" s="454"/>
      <c r="BA147" s="1306"/>
      <c r="BC147" s="169"/>
    </row>
    <row r="148" spans="19:55">
      <c r="S148" s="454"/>
      <c r="AY148" s="454"/>
      <c r="AZ148" s="454"/>
      <c r="BA148" s="1306"/>
      <c r="BC148" s="169"/>
    </row>
    <row r="149" spans="19:55">
      <c r="S149" s="454"/>
      <c r="AY149" s="454"/>
      <c r="AZ149" s="454"/>
      <c r="BA149" s="1306"/>
      <c r="BC149" s="169"/>
    </row>
    <row r="150" spans="19:55">
      <c r="S150" s="454"/>
      <c r="AY150" s="454"/>
      <c r="AZ150" s="454"/>
      <c r="BA150" s="1306"/>
      <c r="BC150" s="169"/>
    </row>
    <row r="151" spans="19:55">
      <c r="S151" s="454"/>
      <c r="AY151" s="454"/>
      <c r="AZ151" s="454"/>
      <c r="BA151" s="1306"/>
      <c r="BC151" s="169"/>
    </row>
    <row r="152" spans="19:55">
      <c r="S152" s="454"/>
      <c r="AY152" s="454"/>
      <c r="AZ152" s="454"/>
      <c r="BA152" s="1306"/>
      <c r="BC152" s="169"/>
    </row>
    <row r="153" spans="19:55">
      <c r="S153" s="454"/>
      <c r="AY153" s="454"/>
      <c r="AZ153" s="454"/>
      <c r="BA153" s="1306"/>
      <c r="BC153" s="169"/>
    </row>
    <row r="154" spans="19:55">
      <c r="S154" s="454"/>
      <c r="AY154" s="454"/>
      <c r="AZ154" s="454"/>
      <c r="BA154" s="1306"/>
      <c r="BC154" s="169"/>
    </row>
    <row r="155" spans="19:55">
      <c r="S155" s="454"/>
      <c r="AY155" s="454"/>
      <c r="AZ155" s="454"/>
      <c r="BA155" s="1306"/>
      <c r="BC155" s="169"/>
    </row>
    <row r="156" spans="19:55">
      <c r="S156" s="454"/>
      <c r="AY156" s="454"/>
      <c r="AZ156" s="454"/>
      <c r="BA156" s="1306"/>
      <c r="BC156" s="169"/>
    </row>
    <row r="157" spans="19:55">
      <c r="S157" s="454"/>
      <c r="AY157" s="454"/>
      <c r="AZ157" s="454"/>
      <c r="BA157" s="1306"/>
      <c r="BC157" s="169"/>
    </row>
    <row r="158" spans="19:55">
      <c r="S158" s="454"/>
      <c r="AY158" s="454"/>
      <c r="AZ158" s="454"/>
      <c r="BA158" s="1306"/>
      <c r="BC158" s="169"/>
    </row>
    <row r="159" spans="19:55">
      <c r="S159" s="454"/>
      <c r="AY159" s="454"/>
      <c r="AZ159" s="454"/>
      <c r="BA159" s="1306"/>
      <c r="BC159" s="169"/>
    </row>
    <row r="160" spans="19:55">
      <c r="S160" s="454"/>
      <c r="AY160" s="454"/>
      <c r="AZ160" s="454"/>
      <c r="BA160" s="1306"/>
      <c r="BC160" s="169"/>
    </row>
    <row r="161" spans="19:55">
      <c r="S161" s="454"/>
      <c r="AY161" s="454"/>
      <c r="AZ161" s="454"/>
      <c r="BA161" s="1306"/>
      <c r="BC161" s="169"/>
    </row>
    <row r="162" spans="19:55">
      <c r="S162" s="454"/>
      <c r="AY162" s="454"/>
      <c r="AZ162" s="454"/>
      <c r="BA162" s="1306"/>
      <c r="BC162" s="169"/>
    </row>
    <row r="163" spans="19:55">
      <c r="S163" s="454"/>
      <c r="AY163" s="454"/>
      <c r="AZ163" s="454"/>
      <c r="BA163" s="1306"/>
      <c r="BC163" s="169"/>
    </row>
    <row r="164" spans="19:55">
      <c r="S164" s="454"/>
      <c r="AY164" s="454"/>
      <c r="AZ164" s="454"/>
      <c r="BA164" s="1306"/>
      <c r="BC164" s="169"/>
    </row>
    <row r="165" spans="19:55">
      <c r="S165" s="454"/>
      <c r="AY165" s="454"/>
      <c r="AZ165" s="454"/>
      <c r="BA165" s="1306"/>
      <c r="BC165" s="169"/>
    </row>
    <row r="166" spans="19:55">
      <c r="S166" s="454"/>
      <c r="AY166" s="454"/>
      <c r="AZ166" s="454"/>
      <c r="BA166" s="1306"/>
      <c r="BC166" s="169"/>
    </row>
    <row r="167" spans="19:55">
      <c r="S167" s="454"/>
      <c r="AY167" s="454"/>
      <c r="AZ167" s="454"/>
      <c r="BA167" s="1306"/>
      <c r="BC167" s="169"/>
    </row>
    <row r="168" spans="19:55">
      <c r="S168" s="454"/>
      <c r="AY168" s="454"/>
      <c r="AZ168" s="454"/>
      <c r="BA168" s="1306"/>
      <c r="BC168" s="169"/>
    </row>
    <row r="169" spans="19:55">
      <c r="S169" s="454"/>
      <c r="AY169" s="454"/>
      <c r="AZ169" s="454"/>
      <c r="BA169" s="1306"/>
      <c r="BC169" s="169"/>
    </row>
    <row r="170" spans="19:55">
      <c r="S170" s="454"/>
      <c r="AY170" s="454"/>
      <c r="AZ170" s="454"/>
      <c r="BA170" s="1306"/>
      <c r="BC170" s="169"/>
    </row>
    <row r="171" spans="19:55">
      <c r="S171" s="454"/>
      <c r="AY171" s="454"/>
      <c r="AZ171" s="454"/>
      <c r="BA171" s="1306"/>
      <c r="BC171" s="169"/>
    </row>
    <row r="172" spans="19:55">
      <c r="S172" s="454"/>
      <c r="AY172" s="454"/>
      <c r="AZ172" s="454"/>
      <c r="BA172" s="1306"/>
      <c r="BC172" s="169"/>
    </row>
    <row r="173" spans="19:55">
      <c r="S173" s="454"/>
      <c r="AY173" s="454"/>
      <c r="AZ173" s="454"/>
      <c r="BA173" s="1306"/>
      <c r="BC173" s="169"/>
    </row>
    <row r="174" spans="19:55">
      <c r="S174" s="454"/>
      <c r="AY174" s="454"/>
      <c r="AZ174" s="454"/>
      <c r="BA174" s="1306"/>
      <c r="BC174" s="169"/>
    </row>
    <row r="175" spans="19:55">
      <c r="S175" s="454"/>
      <c r="AY175" s="454"/>
      <c r="AZ175" s="454"/>
      <c r="BA175" s="1306"/>
      <c r="BC175" s="169"/>
    </row>
    <row r="176" spans="19:55">
      <c r="S176" s="454"/>
      <c r="AY176" s="454"/>
      <c r="AZ176" s="454"/>
      <c r="BA176" s="1306"/>
      <c r="BC176" s="169"/>
    </row>
    <row r="177" spans="19:55">
      <c r="S177" s="454"/>
      <c r="AY177" s="454"/>
      <c r="AZ177" s="454"/>
      <c r="BA177" s="1306"/>
      <c r="BC177" s="169"/>
    </row>
    <row r="178" spans="19:55">
      <c r="S178" s="454"/>
      <c r="AY178" s="454"/>
      <c r="AZ178" s="454"/>
      <c r="BA178" s="1306"/>
      <c r="BC178" s="169"/>
    </row>
    <row r="179" spans="19:55">
      <c r="S179" s="454"/>
      <c r="AY179" s="454"/>
      <c r="AZ179" s="454"/>
      <c r="BA179" s="1306"/>
      <c r="BC179" s="169"/>
    </row>
    <row r="180" spans="19:55">
      <c r="S180" s="454"/>
      <c r="AY180" s="454"/>
      <c r="AZ180" s="454"/>
      <c r="BA180" s="1306"/>
      <c r="BC180" s="169"/>
    </row>
    <row r="181" spans="19:55">
      <c r="S181" s="454"/>
      <c r="AY181" s="454"/>
      <c r="AZ181" s="454"/>
      <c r="BA181" s="1306"/>
      <c r="BC181" s="169"/>
    </row>
    <row r="182" spans="19:55">
      <c r="S182" s="454"/>
      <c r="AY182" s="454"/>
      <c r="AZ182" s="454"/>
      <c r="BA182" s="1306"/>
      <c r="BC182" s="169"/>
    </row>
    <row r="183" spans="19:55">
      <c r="S183" s="454"/>
      <c r="AY183" s="454"/>
      <c r="AZ183" s="454"/>
      <c r="BA183" s="1306"/>
      <c r="BC183" s="169"/>
    </row>
    <row r="184" spans="19:55">
      <c r="S184" s="454"/>
      <c r="AY184" s="454"/>
      <c r="AZ184" s="454"/>
      <c r="BA184" s="1306"/>
      <c r="BC184" s="169"/>
    </row>
    <row r="185" spans="19:55">
      <c r="S185" s="454"/>
      <c r="AY185" s="454"/>
      <c r="AZ185" s="454"/>
      <c r="BA185" s="1306"/>
      <c r="BC185" s="169"/>
    </row>
    <row r="186" spans="19:55">
      <c r="S186" s="454"/>
      <c r="AY186" s="454"/>
      <c r="AZ186" s="454"/>
      <c r="BA186" s="1306"/>
      <c r="BC186" s="169"/>
    </row>
    <row r="187" spans="19:55">
      <c r="S187" s="454"/>
      <c r="AY187" s="454"/>
      <c r="AZ187" s="454"/>
      <c r="BA187" s="1306"/>
      <c r="BC187" s="169"/>
    </row>
    <row r="188" spans="19:55">
      <c r="S188" s="454"/>
      <c r="AY188" s="454"/>
      <c r="AZ188" s="454"/>
      <c r="BA188" s="1306"/>
      <c r="BC188" s="169"/>
    </row>
    <row r="189" spans="19:55">
      <c r="S189" s="454"/>
      <c r="AY189" s="454"/>
      <c r="AZ189" s="454"/>
      <c r="BA189" s="1306"/>
      <c r="BC189" s="169"/>
    </row>
    <row r="190" spans="19:55">
      <c r="S190" s="454"/>
      <c r="AY190" s="454"/>
      <c r="AZ190" s="454"/>
      <c r="BA190" s="1306"/>
      <c r="BC190" s="169"/>
    </row>
    <row r="191" spans="19:55">
      <c r="S191" s="454"/>
      <c r="AY191" s="454"/>
      <c r="AZ191" s="454"/>
      <c r="BA191" s="1306"/>
      <c r="BC191" s="169"/>
    </row>
    <row r="192" spans="19:55">
      <c r="S192" s="454"/>
      <c r="AY192" s="454"/>
      <c r="AZ192" s="454"/>
      <c r="BA192" s="1306"/>
      <c r="BC192" s="169"/>
    </row>
    <row r="193" spans="19:55">
      <c r="S193" s="454"/>
      <c r="AY193" s="454"/>
      <c r="AZ193" s="454"/>
      <c r="BA193" s="1306"/>
      <c r="BC193" s="169"/>
    </row>
    <row r="194" spans="19:55">
      <c r="S194" s="454"/>
      <c r="AY194" s="454"/>
      <c r="AZ194" s="454"/>
      <c r="BA194" s="1306"/>
      <c r="BC194" s="169"/>
    </row>
    <row r="195" spans="19:55">
      <c r="S195" s="454"/>
      <c r="AY195" s="454"/>
      <c r="AZ195" s="454"/>
      <c r="BA195" s="1306"/>
      <c r="BC195" s="169"/>
    </row>
    <row r="196" spans="19:55">
      <c r="S196" s="454"/>
      <c r="AY196" s="454"/>
      <c r="AZ196" s="454"/>
      <c r="BA196" s="1306"/>
      <c r="BC196" s="169"/>
    </row>
    <row r="197" spans="19:55">
      <c r="S197" s="454"/>
      <c r="AY197" s="454"/>
      <c r="AZ197" s="454"/>
      <c r="BA197" s="1306"/>
      <c r="BC197" s="169"/>
    </row>
    <row r="198" spans="19:55">
      <c r="S198" s="454"/>
      <c r="AY198" s="454"/>
      <c r="AZ198" s="454"/>
      <c r="BA198" s="1306"/>
      <c r="BC198" s="169"/>
    </row>
    <row r="199" spans="19:55">
      <c r="S199" s="454"/>
      <c r="AY199" s="454"/>
      <c r="AZ199" s="454"/>
      <c r="BA199" s="1306"/>
      <c r="BC199" s="169"/>
    </row>
    <row r="200" spans="19:55">
      <c r="S200" s="454"/>
      <c r="AY200" s="454"/>
      <c r="AZ200" s="454"/>
      <c r="BA200" s="1306"/>
      <c r="BC200" s="169"/>
    </row>
    <row r="201" spans="19:55">
      <c r="S201" s="454"/>
      <c r="AY201" s="454"/>
      <c r="AZ201" s="454"/>
      <c r="BA201" s="1306"/>
      <c r="BC201" s="169"/>
    </row>
    <row r="202" spans="19:55">
      <c r="S202" s="454"/>
      <c r="AY202" s="454"/>
      <c r="AZ202" s="454"/>
      <c r="BA202" s="1306"/>
      <c r="BC202" s="169"/>
    </row>
    <row r="203" spans="19:55">
      <c r="S203" s="454"/>
      <c r="AY203" s="454"/>
      <c r="AZ203" s="454"/>
      <c r="BA203" s="1306"/>
      <c r="BC203" s="169"/>
    </row>
    <row r="204" spans="19:55">
      <c r="S204" s="454"/>
      <c r="AY204" s="454"/>
      <c r="AZ204" s="454"/>
      <c r="BA204" s="1306"/>
      <c r="BC204" s="169"/>
    </row>
    <row r="205" spans="19:55">
      <c r="S205" s="454"/>
      <c r="AY205" s="454"/>
      <c r="AZ205" s="454"/>
      <c r="BA205" s="1306"/>
      <c r="BC205" s="169"/>
    </row>
    <row r="206" spans="19:55">
      <c r="S206" s="454"/>
      <c r="AY206" s="454"/>
      <c r="AZ206" s="454"/>
      <c r="BA206" s="1306"/>
      <c r="BC206" s="169"/>
    </row>
    <row r="207" spans="19:55">
      <c r="S207" s="454"/>
      <c r="AY207" s="454"/>
      <c r="AZ207" s="454"/>
      <c r="BA207" s="1306"/>
      <c r="BC207" s="169"/>
    </row>
    <row r="208" spans="19:55">
      <c r="S208" s="454"/>
      <c r="AY208" s="454"/>
      <c r="AZ208" s="454"/>
      <c r="BA208" s="1306"/>
      <c r="BC208" s="169"/>
    </row>
    <row r="209" spans="19:55">
      <c r="S209" s="454"/>
      <c r="AY209" s="454"/>
      <c r="AZ209" s="454"/>
      <c r="BA209" s="1306"/>
      <c r="BC209" s="169"/>
    </row>
    <row r="210" spans="19:55">
      <c r="S210" s="454"/>
      <c r="AY210" s="454"/>
      <c r="AZ210" s="454"/>
      <c r="BA210" s="1306"/>
      <c r="BC210" s="169"/>
    </row>
    <row r="211" spans="19:55">
      <c r="S211" s="454"/>
      <c r="AY211" s="454"/>
      <c r="AZ211" s="454"/>
      <c r="BA211" s="1306"/>
      <c r="BC211" s="169"/>
    </row>
    <row r="212" spans="19:55">
      <c r="S212" s="454"/>
      <c r="AY212" s="454"/>
      <c r="AZ212" s="454"/>
      <c r="BA212" s="1306"/>
      <c r="BC212" s="169"/>
    </row>
    <row r="213" spans="19:55">
      <c r="S213" s="454"/>
      <c r="AY213" s="454"/>
      <c r="AZ213" s="454"/>
      <c r="BA213" s="1306"/>
      <c r="BC213" s="169"/>
    </row>
    <row r="214" spans="19:55">
      <c r="S214" s="454"/>
      <c r="AY214" s="454"/>
      <c r="AZ214" s="454"/>
      <c r="BA214" s="1306"/>
      <c r="BC214" s="169"/>
    </row>
    <row r="215" spans="19:55">
      <c r="S215" s="454"/>
      <c r="AY215" s="454"/>
      <c r="AZ215" s="454"/>
      <c r="BA215" s="1306"/>
      <c r="BC215" s="169"/>
    </row>
    <row r="216" spans="19:55">
      <c r="S216" s="454"/>
      <c r="AY216" s="454"/>
      <c r="AZ216" s="454"/>
      <c r="BA216" s="1306"/>
      <c r="BC216" s="169"/>
    </row>
    <row r="217" spans="19:55">
      <c r="S217" s="454"/>
      <c r="AY217" s="454"/>
      <c r="AZ217" s="454"/>
      <c r="BA217" s="1306"/>
      <c r="BC217" s="169"/>
    </row>
    <row r="218" spans="19:55">
      <c r="S218" s="454"/>
      <c r="AY218" s="454"/>
      <c r="AZ218" s="454"/>
      <c r="BA218" s="1306"/>
      <c r="BC218" s="169"/>
    </row>
    <row r="219" spans="19:55">
      <c r="S219" s="454"/>
      <c r="AY219" s="454"/>
      <c r="AZ219" s="454"/>
      <c r="BA219" s="1306"/>
      <c r="BC219" s="169"/>
    </row>
    <row r="220" spans="19:55">
      <c r="S220" s="454"/>
      <c r="AY220" s="454"/>
      <c r="AZ220" s="454"/>
      <c r="BA220" s="1306"/>
      <c r="BC220" s="169"/>
    </row>
    <row r="221" spans="19:55">
      <c r="S221" s="454"/>
      <c r="AY221" s="454"/>
      <c r="AZ221" s="454"/>
      <c r="BA221" s="1306"/>
      <c r="BC221" s="169"/>
    </row>
    <row r="222" spans="19:55">
      <c r="S222" s="454"/>
      <c r="AY222" s="454"/>
      <c r="AZ222" s="454"/>
      <c r="BA222" s="1306"/>
      <c r="BC222" s="169"/>
    </row>
    <row r="223" spans="19:55">
      <c r="S223" s="454"/>
      <c r="AY223" s="454"/>
      <c r="AZ223" s="454"/>
      <c r="BA223" s="1306"/>
      <c r="BC223" s="169"/>
    </row>
    <row r="224" spans="19:55">
      <c r="S224" s="454"/>
      <c r="AY224" s="454"/>
      <c r="AZ224" s="454"/>
      <c r="BA224" s="1306"/>
      <c r="BC224" s="169"/>
    </row>
    <row r="225" spans="19:55">
      <c r="S225" s="454"/>
      <c r="AY225" s="454"/>
      <c r="AZ225" s="454"/>
      <c r="BA225" s="1306"/>
      <c r="BC225" s="169"/>
    </row>
    <row r="226" spans="19:55">
      <c r="S226" s="454"/>
      <c r="AY226" s="454"/>
      <c r="AZ226" s="454"/>
      <c r="BA226" s="1306"/>
      <c r="BC226" s="169"/>
    </row>
    <row r="227" spans="19:55">
      <c r="S227" s="454"/>
      <c r="AY227" s="454"/>
      <c r="AZ227" s="454"/>
      <c r="BA227" s="1306"/>
      <c r="BC227" s="169"/>
    </row>
    <row r="228" spans="19:55">
      <c r="S228" s="454"/>
      <c r="AY228" s="454"/>
      <c r="AZ228" s="454"/>
      <c r="BA228" s="1306"/>
      <c r="BC228" s="169"/>
    </row>
    <row r="229" spans="19:55">
      <c r="S229" s="454"/>
      <c r="AY229" s="454"/>
      <c r="AZ229" s="454"/>
      <c r="BA229" s="1306"/>
      <c r="BC229" s="169"/>
    </row>
    <row r="230" spans="19:55">
      <c r="S230" s="454"/>
      <c r="AY230" s="454"/>
      <c r="AZ230" s="454"/>
      <c r="BA230" s="1306"/>
      <c r="BC230" s="169"/>
    </row>
    <row r="231" spans="19:55">
      <c r="S231" s="454"/>
      <c r="AY231" s="454"/>
      <c r="AZ231" s="454"/>
      <c r="BA231" s="1306"/>
      <c r="BC231" s="169"/>
    </row>
    <row r="232" spans="19:55">
      <c r="S232" s="454"/>
      <c r="AY232" s="454"/>
      <c r="AZ232" s="454"/>
      <c r="BA232" s="1306"/>
      <c r="BC232" s="169"/>
    </row>
    <row r="233" spans="19:55">
      <c r="S233" s="454"/>
      <c r="AY233" s="454"/>
      <c r="AZ233" s="454"/>
      <c r="BA233" s="1306"/>
      <c r="BC233" s="169"/>
    </row>
    <row r="234" spans="19:55">
      <c r="S234" s="454"/>
      <c r="AY234" s="454"/>
      <c r="AZ234" s="454"/>
      <c r="BA234" s="1306"/>
      <c r="BC234" s="169"/>
    </row>
    <row r="235" spans="19:55">
      <c r="S235" s="454"/>
      <c r="AY235" s="454"/>
      <c r="AZ235" s="454"/>
      <c r="BA235" s="1306"/>
      <c r="BC235" s="169"/>
    </row>
    <row r="236" spans="19:55">
      <c r="S236" s="454"/>
      <c r="AY236" s="454"/>
      <c r="AZ236" s="454"/>
      <c r="BA236" s="1306"/>
      <c r="BC236" s="169"/>
    </row>
    <row r="237" spans="19:55">
      <c r="S237" s="454"/>
      <c r="AY237" s="454"/>
      <c r="AZ237" s="454"/>
      <c r="BA237" s="1306"/>
      <c r="BC237" s="169"/>
    </row>
    <row r="238" spans="19:55">
      <c r="S238" s="454"/>
      <c r="AY238" s="454"/>
      <c r="AZ238" s="454"/>
      <c r="BA238" s="1306"/>
      <c r="BC238" s="169"/>
    </row>
    <row r="239" spans="19:55">
      <c r="S239" s="454"/>
      <c r="AY239" s="454"/>
      <c r="AZ239" s="454"/>
      <c r="BA239" s="1306"/>
      <c r="BC239" s="169"/>
    </row>
    <row r="240" spans="19:55">
      <c r="S240" s="454"/>
      <c r="AY240" s="454"/>
      <c r="AZ240" s="454"/>
      <c r="BA240" s="1306"/>
      <c r="BC240" s="169"/>
    </row>
    <row r="241" spans="19:55">
      <c r="S241" s="454"/>
      <c r="AY241" s="454"/>
      <c r="AZ241" s="454"/>
      <c r="BA241" s="1306"/>
      <c r="BC241" s="169"/>
    </row>
    <row r="242" spans="19:55">
      <c r="S242" s="454"/>
      <c r="AY242" s="454"/>
      <c r="AZ242" s="454"/>
      <c r="BA242" s="1306"/>
      <c r="BC242" s="169"/>
    </row>
    <row r="243" spans="19:55">
      <c r="S243" s="454"/>
      <c r="AY243" s="454"/>
      <c r="AZ243" s="454"/>
      <c r="BA243" s="1306"/>
      <c r="BC243" s="169"/>
    </row>
    <row r="244" spans="19:55">
      <c r="S244" s="454"/>
      <c r="AY244" s="454"/>
      <c r="AZ244" s="454"/>
      <c r="BA244" s="1306"/>
      <c r="BC244" s="169"/>
    </row>
    <row r="245" spans="19:55">
      <c r="S245" s="454"/>
      <c r="AY245" s="454"/>
      <c r="AZ245" s="454"/>
      <c r="BA245" s="1306"/>
      <c r="BC245" s="169"/>
    </row>
    <row r="246" spans="19:55">
      <c r="S246" s="454"/>
      <c r="AY246" s="454"/>
      <c r="AZ246" s="454"/>
      <c r="BA246" s="1306"/>
      <c r="BC246" s="169"/>
    </row>
    <row r="247" spans="19:55">
      <c r="S247" s="454"/>
      <c r="AY247" s="454"/>
      <c r="AZ247" s="454"/>
      <c r="BA247" s="1306"/>
      <c r="BC247" s="169"/>
    </row>
    <row r="248" spans="19:55">
      <c r="S248" s="454"/>
      <c r="AY248" s="454"/>
      <c r="AZ248" s="454"/>
      <c r="BA248" s="1306"/>
      <c r="BC248" s="169"/>
    </row>
    <row r="249" spans="19:55">
      <c r="S249" s="454"/>
      <c r="AY249" s="454"/>
      <c r="AZ249" s="454"/>
      <c r="BA249" s="1306"/>
      <c r="BC249" s="169"/>
    </row>
    <row r="250" spans="19:55">
      <c r="S250" s="454"/>
      <c r="AY250" s="454"/>
      <c r="AZ250" s="454"/>
      <c r="BA250" s="1306"/>
      <c r="BC250" s="169"/>
    </row>
    <row r="251" spans="19:55">
      <c r="S251" s="454"/>
      <c r="AY251" s="454"/>
      <c r="AZ251" s="454"/>
      <c r="BA251" s="1306"/>
      <c r="BC251" s="169"/>
    </row>
    <row r="252" spans="19:55">
      <c r="S252" s="454"/>
      <c r="AY252" s="454"/>
      <c r="AZ252" s="454"/>
      <c r="BA252" s="1306"/>
      <c r="BC252" s="169"/>
    </row>
    <row r="253" spans="19:55">
      <c r="S253" s="454"/>
      <c r="AY253" s="454"/>
      <c r="AZ253" s="454"/>
      <c r="BA253" s="1306"/>
      <c r="BC253" s="169"/>
    </row>
    <row r="254" spans="19:55">
      <c r="S254" s="454"/>
      <c r="AY254" s="454"/>
      <c r="AZ254" s="454"/>
      <c r="BA254" s="1306"/>
      <c r="BC254" s="169"/>
    </row>
    <row r="255" spans="19:55">
      <c r="S255" s="454"/>
      <c r="AY255" s="454"/>
      <c r="AZ255" s="454"/>
      <c r="BA255" s="1306"/>
      <c r="BC255" s="169"/>
    </row>
    <row r="256" spans="19:55">
      <c r="S256" s="454"/>
      <c r="AY256" s="454"/>
      <c r="AZ256" s="454"/>
      <c r="BA256" s="1306"/>
      <c r="BC256" s="169"/>
    </row>
    <row r="257" spans="19:55">
      <c r="S257" s="454"/>
      <c r="AY257" s="454"/>
      <c r="AZ257" s="454"/>
      <c r="BA257" s="1306"/>
      <c r="BC257" s="169"/>
    </row>
    <row r="258" spans="19:55">
      <c r="S258" s="454"/>
      <c r="AY258" s="454"/>
      <c r="AZ258" s="454"/>
      <c r="BA258" s="1306"/>
      <c r="BC258" s="169"/>
    </row>
    <row r="259" spans="19:55">
      <c r="S259" s="454"/>
      <c r="AY259" s="454"/>
      <c r="AZ259" s="454"/>
      <c r="BA259" s="1306"/>
      <c r="BC259" s="169"/>
    </row>
    <row r="260" spans="19:55">
      <c r="S260" s="454"/>
      <c r="AY260" s="454"/>
      <c r="AZ260" s="454"/>
      <c r="BA260" s="1306"/>
      <c r="BC260" s="169"/>
    </row>
    <row r="261" spans="19:55">
      <c r="S261" s="454"/>
      <c r="AY261" s="454"/>
      <c r="AZ261" s="454"/>
      <c r="BA261" s="1306"/>
      <c r="BC261" s="169"/>
    </row>
    <row r="262" spans="19:55">
      <c r="S262" s="454"/>
      <c r="AY262" s="454"/>
      <c r="AZ262" s="454"/>
      <c r="BA262" s="1306"/>
      <c r="BC262" s="169"/>
    </row>
    <row r="263" spans="19:55">
      <c r="S263" s="454"/>
      <c r="AY263" s="454"/>
      <c r="AZ263" s="454"/>
      <c r="BA263" s="1306"/>
      <c r="BC263" s="169"/>
    </row>
    <row r="264" spans="19:55">
      <c r="S264" s="454"/>
      <c r="AY264" s="454"/>
      <c r="AZ264" s="454"/>
      <c r="BA264" s="1306"/>
      <c r="BC264" s="169"/>
    </row>
    <row r="265" spans="19:55">
      <c r="S265" s="454"/>
      <c r="AY265" s="454"/>
      <c r="AZ265" s="454"/>
      <c r="BA265" s="1306"/>
      <c r="BC265" s="169"/>
    </row>
    <row r="266" spans="19:55">
      <c r="S266" s="454"/>
      <c r="AY266" s="454"/>
      <c r="AZ266" s="454"/>
      <c r="BA266" s="1306"/>
      <c r="BC266" s="169"/>
    </row>
    <row r="267" spans="19:55">
      <c r="S267" s="454"/>
      <c r="AY267" s="454"/>
      <c r="AZ267" s="454"/>
      <c r="BA267" s="1306"/>
      <c r="BC267" s="169"/>
    </row>
    <row r="268" spans="19:55">
      <c r="S268" s="454"/>
      <c r="AY268" s="454"/>
      <c r="AZ268" s="454"/>
      <c r="BA268" s="1306"/>
      <c r="BC268" s="169"/>
    </row>
    <row r="269" spans="19:55">
      <c r="S269" s="454"/>
      <c r="AY269" s="454"/>
      <c r="AZ269" s="454"/>
      <c r="BA269" s="1306"/>
      <c r="BC269" s="169"/>
    </row>
    <row r="270" spans="19:55">
      <c r="S270" s="454"/>
      <c r="AY270" s="454"/>
      <c r="AZ270" s="454"/>
      <c r="BA270" s="1306"/>
      <c r="BC270" s="169"/>
    </row>
    <row r="271" spans="19:55">
      <c r="S271" s="454"/>
      <c r="AY271" s="454"/>
      <c r="AZ271" s="454"/>
      <c r="BA271" s="1306"/>
      <c r="BC271" s="169"/>
    </row>
    <row r="272" spans="19:55">
      <c r="S272" s="454"/>
      <c r="AY272" s="454"/>
      <c r="AZ272" s="454"/>
      <c r="BA272" s="1306"/>
      <c r="BC272" s="169"/>
    </row>
    <row r="273" spans="19:55">
      <c r="S273" s="454"/>
      <c r="AY273" s="454"/>
      <c r="AZ273" s="454"/>
      <c r="BA273" s="1306"/>
      <c r="BC273" s="169"/>
    </row>
    <row r="274" spans="19:55">
      <c r="S274" s="454"/>
      <c r="AY274" s="454"/>
      <c r="AZ274" s="454"/>
      <c r="BA274" s="1306"/>
      <c r="BC274" s="169"/>
    </row>
    <row r="275" spans="19:55">
      <c r="S275" s="454"/>
      <c r="AY275" s="454"/>
      <c r="AZ275" s="454"/>
      <c r="BA275" s="1306"/>
      <c r="BC275" s="169"/>
    </row>
    <row r="276" spans="19:55">
      <c r="S276" s="454"/>
      <c r="AY276" s="454"/>
      <c r="AZ276" s="454"/>
      <c r="BA276" s="1306"/>
      <c r="BC276" s="169"/>
    </row>
    <row r="277" spans="19:55">
      <c r="S277" s="454"/>
      <c r="AY277" s="454"/>
      <c r="AZ277" s="454"/>
      <c r="BA277" s="1306"/>
      <c r="BC277" s="169"/>
    </row>
    <row r="278" spans="19:55">
      <c r="S278" s="454"/>
      <c r="AY278" s="454"/>
      <c r="AZ278" s="454"/>
      <c r="BA278" s="1306"/>
      <c r="BC278" s="169"/>
    </row>
    <row r="279" spans="19:55">
      <c r="S279" s="454"/>
      <c r="AY279" s="454"/>
      <c r="AZ279" s="454"/>
      <c r="BA279" s="1306"/>
      <c r="BC279" s="169"/>
    </row>
    <row r="280" spans="19:55">
      <c r="S280" s="454"/>
      <c r="AY280" s="454"/>
      <c r="AZ280" s="454"/>
      <c r="BA280" s="1306"/>
      <c r="BC280" s="169"/>
    </row>
    <row r="281" spans="19:55">
      <c r="S281" s="454"/>
      <c r="AY281" s="454"/>
      <c r="AZ281" s="454"/>
      <c r="BA281" s="1306"/>
      <c r="BC281" s="169"/>
    </row>
    <row r="282" spans="19:55">
      <c r="S282" s="454"/>
      <c r="AY282" s="454"/>
      <c r="AZ282" s="454"/>
      <c r="BA282" s="1306"/>
      <c r="BC282" s="169"/>
    </row>
    <row r="283" spans="19:55">
      <c r="S283" s="454"/>
      <c r="AY283" s="454"/>
      <c r="AZ283" s="454"/>
      <c r="BA283" s="1306"/>
      <c r="BC283" s="169"/>
    </row>
    <row r="284" spans="19:55">
      <c r="S284" s="454"/>
      <c r="AY284" s="454"/>
      <c r="AZ284" s="454"/>
      <c r="BA284" s="1306"/>
      <c r="BC284" s="169"/>
    </row>
    <row r="285" spans="19:55">
      <c r="S285" s="454"/>
      <c r="AY285" s="454"/>
      <c r="AZ285" s="454"/>
      <c r="BA285" s="1306"/>
      <c r="BC285" s="169"/>
    </row>
    <row r="286" spans="19:55">
      <c r="S286" s="454"/>
      <c r="AY286" s="454"/>
      <c r="AZ286" s="454"/>
      <c r="BA286" s="1306"/>
      <c r="BC286" s="169"/>
    </row>
    <row r="287" spans="19:55">
      <c r="S287" s="454"/>
      <c r="AY287" s="454"/>
      <c r="AZ287" s="454"/>
      <c r="BA287" s="1306"/>
      <c r="BC287" s="169"/>
    </row>
    <row r="288" spans="19:55">
      <c r="S288" s="454"/>
      <c r="AY288" s="454"/>
      <c r="AZ288" s="454"/>
      <c r="BA288" s="1306"/>
      <c r="BC288" s="169"/>
    </row>
    <row r="289" spans="19:55">
      <c r="S289" s="454"/>
      <c r="AY289" s="454"/>
      <c r="AZ289" s="454"/>
      <c r="BA289" s="1306"/>
      <c r="BC289" s="169"/>
    </row>
    <row r="290" spans="19:55">
      <c r="S290" s="454"/>
      <c r="AY290" s="454"/>
      <c r="AZ290" s="454"/>
      <c r="BA290" s="1306"/>
      <c r="BC290" s="169"/>
    </row>
    <row r="291" spans="19:55">
      <c r="S291" s="454"/>
      <c r="AY291" s="454"/>
      <c r="AZ291" s="454"/>
      <c r="BA291" s="1306"/>
      <c r="BC291" s="169"/>
    </row>
    <row r="292" spans="19:55">
      <c r="S292" s="454"/>
      <c r="AY292" s="454"/>
      <c r="AZ292" s="454"/>
      <c r="BA292" s="1306"/>
      <c r="BC292" s="169"/>
    </row>
    <row r="293" spans="19:55">
      <c r="S293" s="454"/>
      <c r="AY293" s="454"/>
      <c r="AZ293" s="454"/>
      <c r="BA293" s="1306"/>
      <c r="BC293" s="169"/>
    </row>
    <row r="294" spans="19:55">
      <c r="S294" s="454"/>
      <c r="AY294" s="454"/>
      <c r="AZ294" s="454"/>
      <c r="BA294" s="1306"/>
      <c r="BC294" s="169"/>
    </row>
    <row r="295" spans="19:55">
      <c r="S295" s="454"/>
      <c r="AY295" s="454"/>
      <c r="AZ295" s="454"/>
      <c r="BA295" s="1306"/>
      <c r="BC295" s="169"/>
    </row>
    <row r="296" spans="19:55">
      <c r="S296" s="454"/>
      <c r="AY296" s="454"/>
      <c r="AZ296" s="454"/>
      <c r="BA296" s="1306"/>
      <c r="BC296" s="169"/>
    </row>
    <row r="297" spans="19:55">
      <c r="S297" s="454"/>
      <c r="AY297" s="454"/>
      <c r="AZ297" s="454"/>
      <c r="BA297" s="1306"/>
      <c r="BC297" s="169"/>
    </row>
    <row r="298" spans="19:55">
      <c r="S298" s="454"/>
      <c r="AY298" s="454"/>
      <c r="AZ298" s="454"/>
      <c r="BA298" s="1306"/>
      <c r="BC298" s="169"/>
    </row>
    <row r="299" spans="19:55">
      <c r="S299" s="454"/>
      <c r="AY299" s="454"/>
      <c r="AZ299" s="454"/>
      <c r="BA299" s="1306"/>
      <c r="BC299" s="169"/>
    </row>
    <row r="300" spans="19:55">
      <c r="S300" s="454"/>
      <c r="AY300" s="454"/>
      <c r="AZ300" s="454"/>
      <c r="BA300" s="1306"/>
      <c r="BC300" s="169"/>
    </row>
    <row r="301" spans="19:55">
      <c r="S301" s="454"/>
      <c r="AY301" s="454"/>
      <c r="AZ301" s="454"/>
      <c r="BA301" s="1306"/>
      <c r="BC301" s="169"/>
    </row>
    <row r="302" spans="19:55">
      <c r="S302" s="454"/>
      <c r="AY302" s="454"/>
      <c r="AZ302" s="454"/>
      <c r="BA302" s="1306"/>
      <c r="BC302" s="169"/>
    </row>
    <row r="303" spans="19:55">
      <c r="S303" s="454"/>
      <c r="AY303" s="454"/>
      <c r="AZ303" s="454"/>
      <c r="BA303" s="1306"/>
      <c r="BC303" s="169"/>
    </row>
    <row r="304" spans="19:55">
      <c r="S304" s="454"/>
      <c r="AY304" s="454"/>
      <c r="AZ304" s="454"/>
      <c r="BA304" s="1306"/>
      <c r="BC304" s="169"/>
    </row>
    <row r="305" spans="19:55">
      <c r="S305" s="454"/>
      <c r="AY305" s="454"/>
      <c r="AZ305" s="454"/>
      <c r="BA305" s="1306"/>
      <c r="BC305" s="169"/>
    </row>
    <row r="306" spans="19:55">
      <c r="S306" s="454"/>
      <c r="AY306" s="454"/>
      <c r="AZ306" s="454"/>
      <c r="BA306" s="1306"/>
      <c r="BC306" s="169"/>
    </row>
    <row r="307" spans="19:55">
      <c r="S307" s="454"/>
      <c r="AY307" s="454"/>
      <c r="AZ307" s="454"/>
      <c r="BA307" s="1306"/>
      <c r="BC307" s="169"/>
    </row>
    <row r="308" spans="19:55">
      <c r="S308" s="454"/>
      <c r="AY308" s="454"/>
      <c r="AZ308" s="454"/>
      <c r="BA308" s="1306"/>
      <c r="BC308" s="169"/>
    </row>
    <row r="309" spans="19:55">
      <c r="S309" s="454"/>
      <c r="AY309" s="454"/>
      <c r="AZ309" s="454"/>
      <c r="BA309" s="1306"/>
      <c r="BC309" s="169"/>
    </row>
    <row r="310" spans="19:55">
      <c r="S310" s="454"/>
      <c r="AY310" s="454"/>
      <c r="AZ310" s="454"/>
      <c r="BA310" s="1306"/>
      <c r="BC310" s="169"/>
    </row>
    <row r="311" spans="19:55">
      <c r="S311" s="454"/>
      <c r="AY311" s="454"/>
      <c r="AZ311" s="454"/>
      <c r="BA311" s="1306"/>
      <c r="BC311" s="169"/>
    </row>
    <row r="312" spans="19:55">
      <c r="S312" s="454"/>
      <c r="AY312" s="454"/>
      <c r="AZ312" s="454"/>
      <c r="BA312" s="1306"/>
      <c r="BC312" s="169"/>
    </row>
    <row r="313" spans="19:55">
      <c r="S313" s="454"/>
      <c r="AY313" s="454"/>
      <c r="AZ313" s="454"/>
      <c r="BA313" s="1306"/>
      <c r="BC313" s="169"/>
    </row>
    <row r="314" spans="19:55">
      <c r="S314" s="454"/>
      <c r="AY314" s="454"/>
      <c r="AZ314" s="454"/>
      <c r="BA314" s="1306"/>
      <c r="BC314" s="169"/>
    </row>
    <row r="315" spans="19:55">
      <c r="S315" s="454"/>
      <c r="AY315" s="454"/>
      <c r="AZ315" s="454"/>
      <c r="BA315" s="1306"/>
      <c r="BC315" s="169"/>
    </row>
    <row r="316" spans="19:55">
      <c r="S316" s="454"/>
      <c r="AY316" s="454"/>
      <c r="AZ316" s="454"/>
      <c r="BA316" s="1306"/>
      <c r="BC316" s="169"/>
    </row>
    <row r="317" spans="19:55">
      <c r="S317" s="454"/>
      <c r="AY317" s="454"/>
      <c r="AZ317" s="454"/>
      <c r="BA317" s="1306"/>
      <c r="BC317" s="169"/>
    </row>
    <row r="318" spans="19:55">
      <c r="S318" s="454"/>
      <c r="AY318" s="454"/>
      <c r="AZ318" s="454"/>
      <c r="BA318" s="1306"/>
      <c r="BC318" s="169"/>
    </row>
    <row r="319" spans="19:55">
      <c r="S319" s="454"/>
      <c r="AY319" s="454"/>
      <c r="AZ319" s="454"/>
      <c r="BA319" s="1306"/>
      <c r="BC319" s="169"/>
    </row>
    <row r="320" spans="19:55">
      <c r="S320" s="454"/>
      <c r="AY320" s="454"/>
      <c r="AZ320" s="454"/>
      <c r="BA320" s="1306"/>
      <c r="BC320" s="169"/>
    </row>
    <row r="321" spans="19:55">
      <c r="S321" s="454"/>
      <c r="AY321" s="454"/>
      <c r="AZ321" s="454"/>
      <c r="BA321" s="1306"/>
      <c r="BC321" s="169"/>
    </row>
    <row r="322" spans="19:55">
      <c r="S322" s="454"/>
      <c r="AY322" s="454"/>
      <c r="AZ322" s="454"/>
      <c r="BA322" s="1306"/>
      <c r="BC322" s="169"/>
    </row>
    <row r="323" spans="19:55">
      <c r="S323" s="454"/>
      <c r="AY323" s="454"/>
      <c r="AZ323" s="454"/>
      <c r="BA323" s="1306"/>
      <c r="BC323" s="169"/>
    </row>
    <row r="324" spans="19:55">
      <c r="S324" s="454"/>
      <c r="AY324" s="454"/>
      <c r="AZ324" s="454"/>
      <c r="BA324" s="1306"/>
      <c r="BC324" s="169"/>
    </row>
    <row r="325" spans="19:55">
      <c r="S325" s="454"/>
      <c r="AY325" s="454"/>
      <c r="AZ325" s="454"/>
      <c r="BA325" s="1306"/>
      <c r="BC325" s="169"/>
    </row>
    <row r="326" spans="19:55">
      <c r="S326" s="454"/>
      <c r="AY326" s="454"/>
      <c r="AZ326" s="454"/>
      <c r="BA326" s="1306"/>
      <c r="BC326" s="169"/>
    </row>
    <row r="327" spans="19:55">
      <c r="S327" s="454"/>
      <c r="AY327" s="454"/>
      <c r="AZ327" s="454"/>
      <c r="BA327" s="1306"/>
      <c r="BC327" s="169"/>
    </row>
    <row r="328" spans="19:55">
      <c r="S328" s="454"/>
      <c r="AY328" s="454"/>
      <c r="AZ328" s="454"/>
      <c r="BA328" s="1306"/>
      <c r="BC328" s="169"/>
    </row>
    <row r="329" spans="19:55">
      <c r="S329" s="454"/>
      <c r="AY329" s="454"/>
      <c r="AZ329" s="454"/>
      <c r="BA329" s="1306"/>
      <c r="BC329" s="169"/>
    </row>
    <row r="330" spans="19:55">
      <c r="S330" s="454"/>
      <c r="AY330" s="454"/>
      <c r="AZ330" s="454"/>
      <c r="BA330" s="1306"/>
      <c r="BC330" s="169"/>
    </row>
    <row r="331" spans="19:55">
      <c r="S331" s="454"/>
      <c r="AY331" s="454"/>
      <c r="AZ331" s="454"/>
      <c r="BA331" s="1306"/>
      <c r="BC331" s="169"/>
    </row>
    <row r="332" spans="19:55">
      <c r="S332" s="454"/>
      <c r="AY332" s="454"/>
      <c r="AZ332" s="454"/>
      <c r="BA332" s="1306"/>
      <c r="BC332" s="169"/>
    </row>
    <row r="333" spans="19:55">
      <c r="S333" s="454"/>
      <c r="AY333" s="454"/>
      <c r="AZ333" s="454"/>
      <c r="BA333" s="1306"/>
      <c r="BC333" s="169"/>
    </row>
    <row r="334" spans="19:55">
      <c r="S334" s="454"/>
      <c r="AY334" s="454"/>
      <c r="AZ334" s="454"/>
      <c r="BA334" s="1306"/>
      <c r="BC334" s="169"/>
    </row>
    <row r="335" spans="19:55">
      <c r="S335" s="454"/>
      <c r="AY335" s="454"/>
      <c r="AZ335" s="454"/>
      <c r="BA335" s="1306"/>
      <c r="BC335" s="169"/>
    </row>
    <row r="336" spans="19:55">
      <c r="S336" s="454"/>
      <c r="AY336" s="454"/>
      <c r="AZ336" s="454"/>
      <c r="BA336" s="1306"/>
      <c r="BC336" s="169"/>
    </row>
    <row r="337" spans="19:55">
      <c r="S337" s="454"/>
      <c r="AY337" s="454"/>
      <c r="AZ337" s="454"/>
      <c r="BA337" s="1306"/>
      <c r="BC337" s="169"/>
    </row>
    <row r="338" spans="19:55">
      <c r="S338" s="454"/>
      <c r="AY338" s="454"/>
      <c r="AZ338" s="454"/>
      <c r="BA338" s="1306"/>
      <c r="BC338" s="169"/>
    </row>
    <row r="339" spans="19:55">
      <c r="S339" s="454"/>
      <c r="AY339" s="454"/>
      <c r="AZ339" s="454"/>
      <c r="BA339" s="1306"/>
      <c r="BC339" s="169"/>
    </row>
    <row r="340" spans="19:55">
      <c r="S340" s="454"/>
      <c r="AY340" s="454"/>
      <c r="AZ340" s="454"/>
      <c r="BA340" s="1306"/>
      <c r="BC340" s="169"/>
    </row>
    <row r="341" spans="19:55">
      <c r="S341" s="454"/>
      <c r="AY341" s="454"/>
      <c r="AZ341" s="454"/>
      <c r="BA341" s="1306"/>
      <c r="BC341" s="169"/>
    </row>
    <row r="342" spans="19:55">
      <c r="S342" s="454"/>
      <c r="AY342" s="454"/>
      <c r="AZ342" s="454"/>
      <c r="BA342" s="1306"/>
      <c r="BC342" s="169"/>
    </row>
    <row r="343" spans="19:55">
      <c r="S343" s="454"/>
      <c r="AY343" s="454"/>
      <c r="AZ343" s="454"/>
      <c r="BA343" s="1306"/>
      <c r="BC343" s="169"/>
    </row>
    <row r="344" spans="19:55">
      <c r="S344" s="454"/>
      <c r="AY344" s="454"/>
      <c r="AZ344" s="454"/>
      <c r="BA344" s="1306"/>
      <c r="BC344" s="169"/>
    </row>
    <row r="345" spans="19:55">
      <c r="S345" s="454"/>
      <c r="AY345" s="454"/>
      <c r="AZ345" s="454"/>
      <c r="BA345" s="1306"/>
      <c r="BC345" s="169"/>
    </row>
    <row r="346" spans="19:55">
      <c r="S346" s="454"/>
      <c r="AY346" s="454"/>
      <c r="AZ346" s="454"/>
      <c r="BA346" s="1306"/>
      <c r="BC346" s="169"/>
    </row>
    <row r="347" spans="19:55">
      <c r="S347" s="454"/>
      <c r="AY347" s="454"/>
      <c r="AZ347" s="454"/>
      <c r="BA347" s="1306"/>
      <c r="BC347" s="169"/>
    </row>
    <row r="348" spans="19:55">
      <c r="S348" s="454"/>
      <c r="AY348" s="454"/>
      <c r="AZ348" s="454"/>
      <c r="BA348" s="1306"/>
      <c r="BC348" s="169"/>
    </row>
    <row r="349" spans="19:55">
      <c r="S349" s="454"/>
      <c r="AY349" s="454"/>
      <c r="AZ349" s="454"/>
      <c r="BA349" s="1306"/>
      <c r="BC349" s="169"/>
    </row>
    <row r="350" spans="19:55">
      <c r="S350" s="454"/>
      <c r="AY350" s="454"/>
      <c r="AZ350" s="454"/>
      <c r="BA350" s="1306"/>
      <c r="BC350" s="169"/>
    </row>
    <row r="351" spans="19:55">
      <c r="S351" s="454"/>
      <c r="AY351" s="454"/>
      <c r="AZ351" s="454"/>
      <c r="BA351" s="1306"/>
      <c r="BC351" s="169"/>
    </row>
    <row r="352" spans="19:55">
      <c r="S352" s="454"/>
      <c r="AY352" s="454"/>
      <c r="AZ352" s="454"/>
      <c r="BA352" s="1306"/>
      <c r="BC352" s="169"/>
    </row>
    <row r="353" spans="19:55">
      <c r="S353" s="454"/>
      <c r="AY353" s="454"/>
      <c r="AZ353" s="454"/>
      <c r="BA353" s="1306"/>
      <c r="BC353" s="169"/>
    </row>
    <row r="354" spans="19:55">
      <c r="S354" s="454"/>
      <c r="AY354" s="454"/>
      <c r="AZ354" s="454"/>
      <c r="BA354" s="1306"/>
      <c r="BC354" s="169"/>
    </row>
    <row r="355" spans="19:55">
      <c r="S355" s="454"/>
      <c r="AY355" s="454"/>
      <c r="AZ355" s="454"/>
      <c r="BA355" s="1306"/>
      <c r="BC355" s="169"/>
    </row>
    <row r="356" spans="19:55">
      <c r="S356" s="454"/>
      <c r="AY356" s="454"/>
      <c r="AZ356" s="454"/>
      <c r="BA356" s="1306"/>
      <c r="BC356" s="169"/>
    </row>
    <row r="357" spans="19:55">
      <c r="S357" s="454"/>
      <c r="AY357" s="454"/>
      <c r="AZ357" s="454"/>
      <c r="BA357" s="1306"/>
      <c r="BC357" s="169"/>
    </row>
    <row r="358" spans="19:55">
      <c r="S358" s="454"/>
      <c r="AY358" s="454"/>
      <c r="AZ358" s="454"/>
      <c r="BA358" s="1306"/>
      <c r="BC358" s="169"/>
    </row>
    <row r="359" spans="19:55">
      <c r="S359" s="454"/>
      <c r="AY359" s="454"/>
      <c r="AZ359" s="454"/>
      <c r="BA359" s="1306"/>
      <c r="BC359" s="169"/>
    </row>
    <row r="360" spans="19:55">
      <c r="S360" s="454"/>
      <c r="AY360" s="454"/>
      <c r="AZ360" s="454"/>
      <c r="BA360" s="1306"/>
      <c r="BC360" s="169"/>
    </row>
    <row r="361" spans="19:55">
      <c r="S361" s="454"/>
      <c r="AY361" s="454"/>
      <c r="AZ361" s="454"/>
      <c r="BA361" s="1306"/>
      <c r="BC361" s="169"/>
    </row>
    <row r="362" spans="19:55">
      <c r="S362" s="454"/>
      <c r="AY362" s="454"/>
      <c r="AZ362" s="454"/>
      <c r="BA362" s="1306"/>
      <c r="BC362" s="169"/>
    </row>
    <row r="363" spans="19:55">
      <c r="S363" s="454"/>
      <c r="AY363" s="454"/>
      <c r="AZ363" s="454"/>
      <c r="BA363" s="1306"/>
      <c r="BC363" s="169"/>
    </row>
    <row r="364" spans="19:55">
      <c r="S364" s="454"/>
      <c r="AY364" s="454"/>
      <c r="AZ364" s="454"/>
      <c r="BA364" s="1306"/>
      <c r="BC364" s="169"/>
    </row>
    <row r="365" spans="19:55">
      <c r="S365" s="454"/>
      <c r="AY365" s="454"/>
      <c r="AZ365" s="454"/>
      <c r="BA365" s="1306"/>
      <c r="BC365" s="169"/>
    </row>
    <row r="366" spans="19:55">
      <c r="S366" s="454"/>
      <c r="AY366" s="454"/>
      <c r="AZ366" s="454"/>
      <c r="BA366" s="1306"/>
      <c r="BC366" s="169"/>
    </row>
    <row r="367" spans="19:55">
      <c r="S367" s="454"/>
      <c r="AY367" s="454"/>
      <c r="AZ367" s="454"/>
      <c r="BA367" s="1306"/>
      <c r="BC367" s="169"/>
    </row>
    <row r="368" spans="19:55">
      <c r="S368" s="454"/>
      <c r="AY368" s="454"/>
      <c r="AZ368" s="454"/>
      <c r="BA368" s="1306"/>
      <c r="BC368" s="169"/>
    </row>
    <row r="369" spans="19:55">
      <c r="S369" s="454"/>
      <c r="AY369" s="454"/>
      <c r="AZ369" s="454"/>
      <c r="BA369" s="1306"/>
      <c r="BC369" s="169"/>
    </row>
    <row r="370" spans="19:55">
      <c r="S370" s="454"/>
      <c r="AY370" s="454"/>
      <c r="AZ370" s="454"/>
      <c r="BA370" s="1306"/>
      <c r="BC370" s="169"/>
    </row>
    <row r="371" spans="19:55">
      <c r="S371" s="454"/>
      <c r="AY371" s="454"/>
      <c r="AZ371" s="454"/>
      <c r="BA371" s="1306"/>
      <c r="BC371" s="169"/>
    </row>
    <row r="372" spans="19:55">
      <c r="S372" s="454"/>
      <c r="AY372" s="454"/>
      <c r="AZ372" s="454"/>
      <c r="BA372" s="1306"/>
      <c r="BC372" s="169"/>
    </row>
    <row r="373" spans="19:55">
      <c r="S373" s="454"/>
      <c r="AY373" s="454"/>
      <c r="AZ373" s="454"/>
      <c r="BA373" s="1306"/>
      <c r="BC373" s="169"/>
    </row>
    <row r="374" spans="19:55">
      <c r="S374" s="454"/>
      <c r="AY374" s="454"/>
      <c r="AZ374" s="454"/>
      <c r="BA374" s="1306"/>
      <c r="BC374" s="169"/>
    </row>
    <row r="375" spans="19:55">
      <c r="S375" s="454"/>
      <c r="AY375" s="454"/>
      <c r="AZ375" s="454"/>
      <c r="BA375" s="1306"/>
      <c r="BC375" s="169"/>
    </row>
    <row r="376" spans="19:55">
      <c r="S376" s="454"/>
      <c r="AY376" s="454"/>
      <c r="AZ376" s="454"/>
      <c r="BA376" s="1306"/>
      <c r="BC376" s="169"/>
    </row>
    <row r="377" spans="19:55">
      <c r="S377" s="454"/>
      <c r="AY377" s="454"/>
      <c r="AZ377" s="454"/>
      <c r="BA377" s="1306"/>
      <c r="BC377" s="169"/>
    </row>
    <row r="378" spans="19:55">
      <c r="S378" s="454"/>
      <c r="AY378" s="454"/>
      <c r="AZ378" s="454"/>
      <c r="BA378" s="1306"/>
      <c r="BC378" s="169"/>
    </row>
    <row r="379" spans="19:55">
      <c r="S379" s="454"/>
      <c r="AY379" s="454"/>
      <c r="AZ379" s="454"/>
      <c r="BA379" s="1306"/>
      <c r="BC379" s="169"/>
    </row>
    <row r="380" spans="19:55">
      <c r="S380" s="454"/>
      <c r="AY380" s="454"/>
      <c r="AZ380" s="454"/>
      <c r="BA380" s="1306"/>
      <c r="BC380" s="169"/>
    </row>
    <row r="381" spans="19:55">
      <c r="S381" s="454"/>
      <c r="AY381" s="454"/>
      <c r="AZ381" s="454"/>
      <c r="BA381" s="1306"/>
      <c r="BC381" s="169"/>
    </row>
    <row r="382" spans="19:55">
      <c r="S382" s="454"/>
      <c r="AY382" s="454"/>
      <c r="AZ382" s="454"/>
      <c r="BA382" s="1306"/>
      <c r="BC382" s="169"/>
    </row>
    <row r="383" spans="19:55">
      <c r="S383" s="454"/>
      <c r="AY383" s="454"/>
      <c r="AZ383" s="454"/>
      <c r="BA383" s="1306"/>
      <c r="BC383" s="169"/>
    </row>
    <row r="384" spans="19:55">
      <c r="S384" s="454"/>
      <c r="AY384" s="454"/>
      <c r="AZ384" s="454"/>
      <c r="BA384" s="1306"/>
      <c r="BC384" s="169"/>
    </row>
    <row r="385" spans="19:55">
      <c r="S385" s="454"/>
      <c r="AY385" s="454"/>
      <c r="AZ385" s="454"/>
      <c r="BA385" s="1306"/>
      <c r="BC385" s="169"/>
    </row>
    <row r="386" spans="19:55">
      <c r="S386" s="454"/>
      <c r="AY386" s="454"/>
      <c r="AZ386" s="454"/>
      <c r="BA386" s="1306"/>
      <c r="BC386" s="169"/>
    </row>
    <row r="387" spans="19:55">
      <c r="S387" s="454"/>
      <c r="AY387" s="454"/>
      <c r="AZ387" s="454"/>
      <c r="BA387" s="1306"/>
      <c r="BC387" s="169"/>
    </row>
    <row r="388" spans="19:55">
      <c r="S388" s="454"/>
      <c r="AY388" s="454"/>
      <c r="AZ388" s="454"/>
      <c r="BA388" s="1306"/>
      <c r="BC388" s="169"/>
    </row>
    <row r="389" spans="19:55">
      <c r="S389" s="454"/>
      <c r="AY389" s="454"/>
      <c r="AZ389" s="454"/>
      <c r="BA389" s="1306"/>
      <c r="BC389" s="169"/>
    </row>
    <row r="390" spans="19:55">
      <c r="S390" s="454"/>
      <c r="AY390" s="454"/>
      <c r="AZ390" s="454"/>
      <c r="BA390" s="1306"/>
      <c r="BC390" s="169"/>
    </row>
    <row r="391" spans="19:55">
      <c r="S391" s="454"/>
      <c r="AY391" s="454"/>
      <c r="AZ391" s="454"/>
      <c r="BA391" s="1306"/>
      <c r="BC391" s="169"/>
    </row>
    <row r="392" spans="19:55">
      <c r="S392" s="454"/>
      <c r="AY392" s="454"/>
      <c r="AZ392" s="454"/>
      <c r="BA392" s="1306"/>
      <c r="BC392" s="169"/>
    </row>
    <row r="393" spans="19:55">
      <c r="S393" s="454"/>
      <c r="AY393" s="454"/>
      <c r="AZ393" s="454"/>
      <c r="BA393" s="1306"/>
      <c r="BC393" s="169"/>
    </row>
    <row r="394" spans="19:55">
      <c r="S394" s="454"/>
      <c r="AY394" s="454"/>
      <c r="AZ394" s="454"/>
      <c r="BA394" s="1306"/>
      <c r="BC394" s="169"/>
    </row>
    <row r="395" spans="19:55">
      <c r="S395" s="454"/>
      <c r="AY395" s="454"/>
      <c r="AZ395" s="454"/>
      <c r="BA395" s="1306"/>
      <c r="BC395" s="169"/>
    </row>
    <row r="396" spans="19:55">
      <c r="S396" s="454"/>
      <c r="AY396" s="454"/>
      <c r="AZ396" s="454"/>
      <c r="BA396" s="1306"/>
      <c r="BC396" s="169"/>
    </row>
    <row r="397" spans="19:55">
      <c r="S397" s="454"/>
      <c r="AY397" s="454"/>
      <c r="AZ397" s="454"/>
      <c r="BA397" s="1306"/>
      <c r="BC397" s="169"/>
    </row>
    <row r="398" spans="19:55">
      <c r="S398" s="454"/>
      <c r="AY398" s="454"/>
      <c r="AZ398" s="454"/>
      <c r="BA398" s="1306"/>
      <c r="BC398" s="169"/>
    </row>
    <row r="399" spans="19:55">
      <c r="S399" s="454"/>
      <c r="AY399" s="454"/>
      <c r="AZ399" s="454"/>
      <c r="BA399" s="1306"/>
      <c r="BC399" s="169"/>
    </row>
    <row r="400" spans="19:55">
      <c r="S400" s="454"/>
      <c r="AY400" s="454"/>
      <c r="AZ400" s="454"/>
      <c r="BA400" s="1306"/>
      <c r="BC400" s="169"/>
    </row>
    <row r="401" spans="19:55">
      <c r="S401" s="454"/>
      <c r="AY401" s="454"/>
      <c r="AZ401" s="454"/>
      <c r="BA401" s="1306"/>
      <c r="BC401" s="169"/>
    </row>
    <row r="402" spans="19:55">
      <c r="S402" s="454"/>
      <c r="AY402" s="454"/>
      <c r="AZ402" s="454"/>
      <c r="BA402" s="1306"/>
      <c r="BC402" s="169"/>
    </row>
    <row r="403" spans="19:55">
      <c r="S403" s="454"/>
      <c r="AY403" s="454"/>
      <c r="AZ403" s="454"/>
      <c r="BA403" s="1306"/>
      <c r="BC403" s="169"/>
    </row>
    <row r="404" spans="19:55">
      <c r="S404" s="454"/>
      <c r="AY404" s="454"/>
      <c r="AZ404" s="454"/>
      <c r="BA404" s="1306"/>
      <c r="BC404" s="169"/>
    </row>
    <row r="405" spans="19:55">
      <c r="S405" s="454"/>
      <c r="AY405" s="454"/>
      <c r="AZ405" s="454"/>
      <c r="BA405" s="1306"/>
      <c r="BC405" s="169"/>
    </row>
    <row r="406" spans="19:55">
      <c r="S406" s="454"/>
      <c r="AY406" s="454"/>
      <c r="AZ406" s="454"/>
      <c r="BA406" s="1306"/>
      <c r="BC406" s="169"/>
    </row>
    <row r="407" spans="19:55">
      <c r="S407" s="454"/>
      <c r="AY407" s="454"/>
      <c r="AZ407" s="454"/>
      <c r="BA407" s="1306"/>
      <c r="BC407" s="169"/>
    </row>
    <row r="408" spans="19:55">
      <c r="S408" s="454"/>
      <c r="AY408" s="454"/>
      <c r="AZ408" s="454"/>
      <c r="BA408" s="1306"/>
      <c r="BC408" s="169"/>
    </row>
    <row r="409" spans="19:55">
      <c r="S409" s="454"/>
      <c r="AY409" s="454"/>
      <c r="AZ409" s="454"/>
      <c r="BA409" s="1306"/>
      <c r="BC409" s="169"/>
    </row>
    <row r="410" spans="19:55">
      <c r="S410" s="454"/>
      <c r="AY410" s="454"/>
      <c r="AZ410" s="454"/>
      <c r="BA410" s="1306"/>
      <c r="BC410" s="169"/>
    </row>
    <row r="411" spans="19:55">
      <c r="S411" s="454"/>
      <c r="AY411" s="454"/>
      <c r="AZ411" s="454"/>
      <c r="BA411" s="1306"/>
      <c r="BC411" s="169"/>
    </row>
    <row r="412" spans="19:55">
      <c r="S412" s="454"/>
      <c r="AY412" s="454"/>
      <c r="AZ412" s="454"/>
      <c r="BA412" s="1306"/>
      <c r="BC412" s="169"/>
    </row>
    <row r="413" spans="19:55">
      <c r="S413" s="454"/>
      <c r="AY413" s="454"/>
      <c r="AZ413" s="454"/>
      <c r="BA413" s="1306"/>
      <c r="BC413" s="169"/>
    </row>
    <row r="414" spans="19:55">
      <c r="S414" s="454"/>
      <c r="AY414" s="454"/>
      <c r="AZ414" s="454"/>
      <c r="BA414" s="1306"/>
      <c r="BC414" s="169"/>
    </row>
    <row r="415" spans="19:55">
      <c r="S415" s="454"/>
      <c r="AY415" s="454"/>
      <c r="AZ415" s="454"/>
      <c r="BA415" s="1306"/>
      <c r="BC415" s="169"/>
    </row>
    <row r="416" spans="19:55">
      <c r="S416" s="454"/>
      <c r="AY416" s="454"/>
      <c r="AZ416" s="454"/>
      <c r="BA416" s="1306"/>
      <c r="BC416" s="169"/>
    </row>
    <row r="417" spans="19:55">
      <c r="S417" s="454"/>
      <c r="AY417" s="454"/>
      <c r="AZ417" s="454"/>
      <c r="BA417" s="1306"/>
      <c r="BC417" s="169"/>
    </row>
    <row r="418" spans="19:55">
      <c r="S418" s="454"/>
      <c r="AY418" s="454"/>
      <c r="AZ418" s="454"/>
      <c r="BA418" s="1306"/>
      <c r="BC418" s="169"/>
    </row>
    <row r="419" spans="19:55">
      <c r="S419" s="454"/>
      <c r="AY419" s="454"/>
      <c r="AZ419" s="454"/>
      <c r="BA419" s="1306"/>
      <c r="BC419" s="169"/>
    </row>
    <row r="420" spans="19:55">
      <c r="S420" s="454"/>
      <c r="AY420" s="454"/>
      <c r="AZ420" s="454"/>
      <c r="BA420" s="1306"/>
      <c r="BC420" s="169"/>
    </row>
    <row r="421" spans="19:55">
      <c r="S421" s="454"/>
      <c r="AY421" s="454"/>
      <c r="AZ421" s="454"/>
      <c r="BA421" s="1306"/>
      <c r="BC421" s="169"/>
    </row>
    <row r="422" spans="19:55">
      <c r="S422" s="454"/>
      <c r="AY422" s="454"/>
      <c r="AZ422" s="454"/>
      <c r="BA422" s="1306"/>
      <c r="BC422" s="169"/>
    </row>
    <row r="423" spans="19:55">
      <c r="S423" s="454"/>
      <c r="AY423" s="454"/>
      <c r="AZ423" s="454"/>
      <c r="BA423" s="1306"/>
      <c r="BC423" s="169"/>
    </row>
    <row r="424" spans="19:55">
      <c r="S424" s="454"/>
      <c r="AY424" s="454"/>
      <c r="AZ424" s="454"/>
      <c r="BA424" s="1306"/>
      <c r="BC424" s="169"/>
    </row>
    <row r="425" spans="19:55">
      <c r="S425" s="454"/>
      <c r="AY425" s="454"/>
      <c r="AZ425" s="454"/>
      <c r="BA425" s="1306"/>
      <c r="BC425" s="169"/>
    </row>
    <row r="426" spans="19:55">
      <c r="S426" s="454"/>
      <c r="AY426" s="454"/>
      <c r="AZ426" s="454"/>
      <c r="BA426" s="1306"/>
      <c r="BC426" s="169"/>
    </row>
    <row r="427" spans="19:55">
      <c r="S427" s="454"/>
      <c r="AY427" s="454"/>
      <c r="AZ427" s="454"/>
      <c r="BA427" s="1306"/>
      <c r="BC427" s="169"/>
    </row>
    <row r="428" spans="19:55">
      <c r="S428" s="454"/>
      <c r="AY428" s="454"/>
      <c r="AZ428" s="454"/>
      <c r="BA428" s="1306"/>
      <c r="BC428" s="169"/>
    </row>
    <row r="429" spans="19:55">
      <c r="S429" s="454"/>
      <c r="AY429" s="454"/>
      <c r="AZ429" s="454"/>
      <c r="BA429" s="1306"/>
      <c r="BC429" s="169"/>
    </row>
    <row r="430" spans="19:55">
      <c r="S430" s="454"/>
      <c r="AY430" s="454"/>
      <c r="AZ430" s="454"/>
      <c r="BA430" s="1306"/>
      <c r="BC430" s="169"/>
    </row>
    <row r="431" spans="19:55">
      <c r="S431" s="454"/>
      <c r="AY431" s="454"/>
      <c r="AZ431" s="454"/>
      <c r="BA431" s="1306"/>
      <c r="BC431" s="169"/>
    </row>
    <row r="432" spans="19:55">
      <c r="S432" s="454"/>
      <c r="AY432" s="454"/>
      <c r="AZ432" s="454"/>
      <c r="BA432" s="1306"/>
      <c r="BC432" s="169"/>
    </row>
    <row r="433" spans="19:55">
      <c r="S433" s="454"/>
      <c r="AY433" s="454"/>
      <c r="AZ433" s="454"/>
      <c r="BA433" s="1306"/>
      <c r="BC433" s="169"/>
    </row>
    <row r="434" spans="19:55">
      <c r="S434" s="454"/>
      <c r="AY434" s="454"/>
      <c r="AZ434" s="454"/>
      <c r="BA434" s="1306"/>
      <c r="BC434" s="169"/>
    </row>
    <row r="435" spans="19:55">
      <c r="S435" s="454"/>
      <c r="AY435" s="454"/>
      <c r="AZ435" s="454"/>
      <c r="BA435" s="1306"/>
      <c r="BC435" s="169"/>
    </row>
    <row r="436" spans="19:55">
      <c r="S436" s="454"/>
      <c r="AY436" s="454"/>
      <c r="AZ436" s="454"/>
      <c r="BA436" s="1306"/>
      <c r="BC436" s="169"/>
    </row>
    <row r="437" spans="19:55">
      <c r="S437" s="454"/>
      <c r="AY437" s="454"/>
      <c r="AZ437" s="454"/>
      <c r="BA437" s="1306"/>
      <c r="BC437" s="169"/>
    </row>
    <row r="438" spans="19:55">
      <c r="S438" s="454"/>
      <c r="AY438" s="454"/>
      <c r="AZ438" s="454"/>
      <c r="BA438" s="1306"/>
      <c r="BC438" s="169"/>
    </row>
    <row r="439" spans="19:55">
      <c r="S439" s="454"/>
      <c r="AY439" s="454"/>
      <c r="AZ439" s="454"/>
      <c r="BA439" s="1306"/>
      <c r="BC439" s="169"/>
    </row>
    <row r="440" spans="19:55">
      <c r="S440" s="454"/>
      <c r="AY440" s="454"/>
      <c r="AZ440" s="454"/>
      <c r="BA440" s="1306"/>
      <c r="BC440" s="169"/>
    </row>
    <row r="441" spans="19:55">
      <c r="S441" s="454"/>
      <c r="AY441" s="454"/>
      <c r="AZ441" s="454"/>
      <c r="BA441" s="1306"/>
      <c r="BC441" s="169"/>
    </row>
    <row r="442" spans="19:55">
      <c r="S442" s="454"/>
      <c r="AY442" s="454"/>
      <c r="AZ442" s="454"/>
      <c r="BA442" s="1306"/>
      <c r="BC442" s="169"/>
    </row>
    <row r="443" spans="19:55">
      <c r="S443" s="454"/>
      <c r="AY443" s="454"/>
      <c r="AZ443" s="454"/>
      <c r="BA443" s="1306"/>
      <c r="BC443" s="169"/>
    </row>
    <row r="444" spans="19:55">
      <c r="S444" s="454"/>
      <c r="AY444" s="454"/>
      <c r="AZ444" s="454"/>
      <c r="BA444" s="1306"/>
      <c r="BC444" s="169"/>
    </row>
    <row r="445" spans="19:55">
      <c r="S445" s="454"/>
      <c r="AY445" s="454"/>
      <c r="AZ445" s="454"/>
      <c r="BA445" s="1306"/>
      <c r="BC445" s="169"/>
    </row>
    <row r="446" spans="19:55">
      <c r="S446" s="454"/>
      <c r="AY446" s="454"/>
      <c r="AZ446" s="454"/>
      <c r="BA446" s="1306"/>
      <c r="BC446" s="169"/>
    </row>
    <row r="447" spans="19:55">
      <c r="S447" s="454"/>
      <c r="AY447" s="454"/>
      <c r="AZ447" s="454"/>
      <c r="BA447" s="1306"/>
      <c r="BC447" s="169"/>
    </row>
    <row r="448" spans="19:55">
      <c r="S448" s="454"/>
      <c r="AY448" s="454"/>
      <c r="AZ448" s="454"/>
      <c r="BA448" s="1306"/>
      <c r="BC448" s="169"/>
    </row>
    <row r="449" spans="19:55">
      <c r="S449" s="454"/>
      <c r="AY449" s="454"/>
      <c r="AZ449" s="454"/>
      <c r="BA449" s="1306"/>
      <c r="BC449" s="169"/>
    </row>
    <row r="450" spans="19:55">
      <c r="S450" s="454"/>
      <c r="AY450" s="454"/>
      <c r="AZ450" s="454"/>
      <c r="BA450" s="1306"/>
      <c r="BC450" s="169"/>
    </row>
    <row r="451" spans="19:55">
      <c r="S451" s="454"/>
      <c r="AY451" s="454"/>
      <c r="AZ451" s="454"/>
      <c r="BA451" s="1306"/>
      <c r="BC451" s="169"/>
    </row>
    <row r="452" spans="19:55">
      <c r="S452" s="454"/>
      <c r="AY452" s="454"/>
      <c r="AZ452" s="454"/>
      <c r="BA452" s="1306"/>
      <c r="BC452" s="169"/>
    </row>
    <row r="453" spans="19:55">
      <c r="S453" s="454"/>
      <c r="AY453" s="454"/>
      <c r="AZ453" s="454"/>
      <c r="BA453" s="1306"/>
      <c r="BC453" s="169"/>
    </row>
    <row r="454" spans="19:55">
      <c r="S454" s="454"/>
      <c r="AY454" s="454"/>
      <c r="AZ454" s="454"/>
      <c r="BA454" s="1306"/>
      <c r="BC454" s="169"/>
    </row>
    <row r="455" spans="19:55">
      <c r="S455" s="454"/>
      <c r="AY455" s="454"/>
      <c r="AZ455" s="454"/>
      <c r="BA455" s="1306"/>
      <c r="BC455" s="169"/>
    </row>
    <row r="456" spans="19:55">
      <c r="S456" s="454"/>
      <c r="AY456" s="454"/>
      <c r="AZ456" s="454"/>
      <c r="BA456" s="1306"/>
      <c r="BC456" s="169"/>
    </row>
    <row r="457" spans="19:55">
      <c r="S457" s="454"/>
      <c r="AY457" s="454"/>
      <c r="AZ457" s="454"/>
      <c r="BA457" s="1306"/>
      <c r="BC457" s="169"/>
    </row>
    <row r="458" spans="19:55">
      <c r="S458" s="454"/>
      <c r="AY458" s="454"/>
      <c r="AZ458" s="454"/>
      <c r="BA458" s="1306"/>
      <c r="BC458" s="169"/>
    </row>
    <row r="459" spans="19:55">
      <c r="S459" s="454"/>
      <c r="AY459" s="454"/>
      <c r="AZ459" s="454"/>
      <c r="BA459" s="1306"/>
      <c r="BC459" s="169"/>
    </row>
    <row r="460" spans="19:55">
      <c r="S460" s="454"/>
      <c r="AY460" s="454"/>
      <c r="AZ460" s="454"/>
      <c r="BA460" s="1306"/>
      <c r="BC460" s="169"/>
    </row>
    <row r="461" spans="19:55">
      <c r="S461" s="454"/>
      <c r="AY461" s="454"/>
      <c r="AZ461" s="454"/>
      <c r="BA461" s="1306"/>
      <c r="BC461" s="169"/>
    </row>
    <row r="462" spans="19:55">
      <c r="S462" s="454"/>
      <c r="AY462" s="454"/>
      <c r="AZ462" s="454"/>
      <c r="BA462" s="1306"/>
      <c r="BC462" s="169"/>
    </row>
    <row r="463" spans="19:55">
      <c r="S463" s="454"/>
      <c r="AY463" s="454"/>
      <c r="AZ463" s="454"/>
      <c r="BA463" s="1306"/>
      <c r="BC463" s="169"/>
    </row>
    <row r="464" spans="19:55">
      <c r="S464" s="454"/>
      <c r="AY464" s="454"/>
      <c r="AZ464" s="454"/>
      <c r="BA464" s="1306"/>
      <c r="BC464" s="169"/>
    </row>
    <row r="465" spans="19:55">
      <c r="S465" s="454"/>
      <c r="AY465" s="454"/>
      <c r="AZ465" s="454"/>
      <c r="BA465" s="1306"/>
      <c r="BC465" s="169"/>
    </row>
    <row r="466" spans="19:55">
      <c r="S466" s="454"/>
      <c r="AY466" s="454"/>
      <c r="AZ466" s="454"/>
      <c r="BA466" s="1306"/>
      <c r="BC466" s="169"/>
    </row>
    <row r="467" spans="19:55">
      <c r="S467" s="454"/>
      <c r="AY467" s="454"/>
      <c r="AZ467" s="454"/>
      <c r="BA467" s="1306"/>
      <c r="BC467" s="169"/>
    </row>
    <row r="468" spans="19:55">
      <c r="S468" s="454"/>
      <c r="AY468" s="454"/>
      <c r="AZ468" s="454"/>
      <c r="BA468" s="1306"/>
      <c r="BC468" s="169"/>
    </row>
    <row r="469" spans="19:55">
      <c r="S469" s="454"/>
      <c r="AY469" s="454"/>
      <c r="AZ469" s="454"/>
      <c r="BA469" s="1306"/>
      <c r="BC469" s="169"/>
    </row>
    <row r="470" spans="19:55">
      <c r="S470" s="454"/>
      <c r="AY470" s="454"/>
      <c r="AZ470" s="454"/>
      <c r="BA470" s="1306"/>
      <c r="BC470" s="169"/>
    </row>
    <row r="471" spans="19:55">
      <c r="S471" s="454"/>
      <c r="AY471" s="454"/>
      <c r="AZ471" s="454"/>
      <c r="BA471" s="1306"/>
      <c r="BC471" s="169"/>
    </row>
    <row r="472" spans="19:55">
      <c r="S472" s="454"/>
      <c r="AY472" s="454"/>
      <c r="AZ472" s="454"/>
      <c r="BA472" s="1306"/>
      <c r="BC472" s="169"/>
    </row>
    <row r="473" spans="19:55">
      <c r="S473" s="454"/>
      <c r="AY473" s="454"/>
      <c r="AZ473" s="454"/>
      <c r="BA473" s="1306"/>
      <c r="BC473" s="169"/>
    </row>
    <row r="474" spans="19:55">
      <c r="S474" s="454"/>
      <c r="AY474" s="454"/>
      <c r="AZ474" s="454"/>
      <c r="BA474" s="1306"/>
      <c r="BC474" s="169"/>
    </row>
    <row r="475" spans="19:55">
      <c r="S475" s="454"/>
      <c r="AY475" s="454"/>
      <c r="AZ475" s="454"/>
      <c r="BA475" s="1306"/>
      <c r="BC475" s="169"/>
    </row>
    <row r="476" spans="19:55">
      <c r="S476" s="454"/>
      <c r="AY476" s="454"/>
      <c r="AZ476" s="454"/>
      <c r="BA476" s="1306"/>
      <c r="BC476" s="169"/>
    </row>
    <row r="477" spans="19:55">
      <c r="S477" s="454"/>
      <c r="AY477" s="454"/>
      <c r="AZ477" s="454"/>
      <c r="BA477" s="1306"/>
      <c r="BC477" s="169"/>
    </row>
    <row r="478" spans="19:55">
      <c r="S478" s="454"/>
      <c r="AY478" s="454"/>
      <c r="AZ478" s="454"/>
      <c r="BA478" s="1306"/>
      <c r="BC478" s="169"/>
    </row>
    <row r="479" spans="19:55">
      <c r="S479" s="454"/>
      <c r="AY479" s="454"/>
      <c r="AZ479" s="454"/>
      <c r="BA479" s="1306"/>
      <c r="BC479" s="169"/>
    </row>
    <row r="480" spans="19:55">
      <c r="S480" s="454"/>
      <c r="AY480" s="454"/>
      <c r="AZ480" s="454"/>
      <c r="BA480" s="1306"/>
      <c r="BC480" s="169"/>
    </row>
    <row r="481" spans="19:55">
      <c r="S481" s="454"/>
      <c r="AY481" s="454"/>
      <c r="AZ481" s="454"/>
      <c r="BA481" s="1306"/>
      <c r="BC481" s="169"/>
    </row>
    <row r="482" spans="19:55">
      <c r="S482" s="454"/>
      <c r="AY482" s="454"/>
      <c r="AZ482" s="454"/>
      <c r="BA482" s="1306"/>
      <c r="BC482" s="169"/>
    </row>
    <row r="483" spans="19:55">
      <c r="S483" s="454"/>
      <c r="AY483" s="454"/>
      <c r="AZ483" s="454"/>
      <c r="BA483" s="1306"/>
      <c r="BC483" s="169"/>
    </row>
    <row r="484" spans="19:55">
      <c r="S484" s="454"/>
      <c r="AY484" s="454"/>
      <c r="AZ484" s="454"/>
      <c r="BA484" s="1306"/>
      <c r="BC484" s="169"/>
    </row>
    <row r="485" spans="19:55">
      <c r="S485" s="454"/>
      <c r="AY485" s="454"/>
      <c r="AZ485" s="454"/>
      <c r="BA485" s="1306"/>
      <c r="BC485" s="169"/>
    </row>
    <row r="486" spans="19:55">
      <c r="S486" s="454"/>
      <c r="AY486" s="454"/>
      <c r="AZ486" s="454"/>
      <c r="BA486" s="1306"/>
      <c r="BC486" s="169"/>
    </row>
    <row r="487" spans="19:55">
      <c r="S487" s="454"/>
      <c r="AY487" s="454"/>
      <c r="AZ487" s="454"/>
      <c r="BA487" s="1306"/>
      <c r="BC487" s="169"/>
    </row>
    <row r="488" spans="19:55">
      <c r="S488" s="454"/>
      <c r="AY488" s="454"/>
      <c r="AZ488" s="454"/>
      <c r="BA488" s="1306"/>
      <c r="BC488" s="169"/>
    </row>
    <row r="489" spans="19:55">
      <c r="S489" s="454"/>
      <c r="AY489" s="454"/>
      <c r="AZ489" s="454"/>
      <c r="BA489" s="1306"/>
      <c r="BC489" s="169"/>
    </row>
    <row r="490" spans="19:55">
      <c r="S490" s="454"/>
      <c r="AY490" s="454"/>
      <c r="AZ490" s="454"/>
      <c r="BA490" s="1306"/>
      <c r="BC490" s="169"/>
    </row>
    <row r="491" spans="19:55">
      <c r="S491" s="454"/>
      <c r="AY491" s="454"/>
      <c r="AZ491" s="454"/>
      <c r="BA491" s="1306"/>
      <c r="BC491" s="169"/>
    </row>
    <row r="492" spans="19:55">
      <c r="S492" s="454"/>
      <c r="AY492" s="454"/>
      <c r="AZ492" s="454"/>
      <c r="BA492" s="1306"/>
      <c r="BC492" s="169"/>
    </row>
    <row r="493" spans="19:55">
      <c r="S493" s="454"/>
      <c r="AY493" s="454"/>
      <c r="AZ493" s="454"/>
      <c r="BA493" s="1306"/>
      <c r="BC493" s="169"/>
    </row>
    <row r="494" spans="19:55">
      <c r="S494" s="454"/>
      <c r="AY494" s="454"/>
      <c r="AZ494" s="454"/>
      <c r="BA494" s="1306"/>
      <c r="BC494" s="169"/>
    </row>
    <row r="495" spans="19:55">
      <c r="S495" s="454"/>
      <c r="AY495" s="454"/>
      <c r="AZ495" s="454"/>
      <c r="BA495" s="1306"/>
      <c r="BC495" s="169"/>
    </row>
    <row r="496" spans="19:55">
      <c r="S496" s="454"/>
      <c r="AY496" s="454"/>
      <c r="AZ496" s="454"/>
      <c r="BA496" s="1306"/>
      <c r="BC496" s="169"/>
    </row>
    <row r="497" spans="19:55">
      <c r="S497" s="454"/>
      <c r="AY497" s="454"/>
      <c r="AZ497" s="454"/>
      <c r="BA497" s="1306"/>
      <c r="BC497" s="169"/>
    </row>
    <row r="498" spans="19:55">
      <c r="S498" s="454"/>
      <c r="AY498" s="454"/>
      <c r="AZ498" s="454"/>
      <c r="BA498" s="1306"/>
      <c r="BC498" s="169"/>
    </row>
    <row r="499" spans="19:55">
      <c r="S499" s="454"/>
      <c r="AY499" s="454"/>
      <c r="AZ499" s="454"/>
      <c r="BA499" s="1306"/>
      <c r="BC499" s="169"/>
    </row>
    <row r="500" spans="19:55">
      <c r="S500" s="454"/>
      <c r="AY500" s="454"/>
      <c r="AZ500" s="454"/>
      <c r="BA500" s="1306"/>
      <c r="BC500" s="169"/>
    </row>
    <row r="501" spans="19:55">
      <c r="S501" s="454"/>
      <c r="AY501" s="454"/>
      <c r="AZ501" s="454"/>
      <c r="BA501" s="1306"/>
      <c r="BC501" s="169"/>
    </row>
    <row r="502" spans="19:55">
      <c r="S502" s="454"/>
      <c r="AY502" s="454"/>
      <c r="AZ502" s="454"/>
      <c r="BA502" s="1306"/>
      <c r="BC502" s="169"/>
    </row>
    <row r="503" spans="19:55">
      <c r="S503" s="454"/>
      <c r="AY503" s="454"/>
      <c r="AZ503" s="454"/>
      <c r="BA503" s="1306"/>
      <c r="BC503" s="169"/>
    </row>
    <row r="504" spans="19:55">
      <c r="S504" s="454"/>
      <c r="AY504" s="454"/>
      <c r="AZ504" s="454"/>
      <c r="BA504" s="1306"/>
      <c r="BC504" s="169"/>
    </row>
    <row r="505" spans="19:55">
      <c r="S505" s="454"/>
      <c r="AY505" s="454"/>
      <c r="AZ505" s="454"/>
      <c r="BA505" s="1306"/>
      <c r="BC505" s="169"/>
    </row>
    <row r="506" spans="19:55">
      <c r="S506" s="454"/>
      <c r="AY506" s="454"/>
      <c r="AZ506" s="454"/>
      <c r="BA506" s="1306"/>
      <c r="BC506" s="169"/>
    </row>
    <row r="507" spans="19:55">
      <c r="S507" s="454"/>
      <c r="AY507" s="454"/>
      <c r="AZ507" s="454"/>
      <c r="BA507" s="1306"/>
      <c r="BC507" s="169"/>
    </row>
    <row r="508" spans="19:55">
      <c r="S508" s="454"/>
      <c r="AY508" s="454"/>
      <c r="AZ508" s="454"/>
      <c r="BA508" s="1306"/>
      <c r="BC508" s="169"/>
    </row>
    <row r="509" spans="19:55">
      <c r="S509" s="454"/>
      <c r="AY509" s="454"/>
      <c r="AZ509" s="454"/>
      <c r="BA509" s="1306"/>
      <c r="BC509" s="169"/>
    </row>
    <row r="510" spans="19:55">
      <c r="S510" s="454"/>
      <c r="AY510" s="454"/>
      <c r="AZ510" s="454"/>
      <c r="BA510" s="1306"/>
      <c r="BC510" s="169"/>
    </row>
    <row r="511" spans="19:55">
      <c r="S511" s="454"/>
      <c r="AY511" s="454"/>
      <c r="AZ511" s="454"/>
      <c r="BA511" s="1306"/>
      <c r="BC511" s="169"/>
    </row>
    <row r="512" spans="19:55">
      <c r="S512" s="454"/>
      <c r="AY512" s="454"/>
      <c r="AZ512" s="454"/>
      <c r="BA512" s="1306"/>
      <c r="BC512" s="169"/>
    </row>
    <row r="513" spans="19:55">
      <c r="S513" s="454"/>
      <c r="AY513" s="454"/>
      <c r="AZ513" s="454"/>
      <c r="BA513" s="1306"/>
      <c r="BC513" s="169"/>
    </row>
    <row r="514" spans="19:55">
      <c r="S514" s="454"/>
      <c r="AY514" s="454"/>
      <c r="AZ514" s="454"/>
      <c r="BA514" s="1306"/>
      <c r="BC514" s="169"/>
    </row>
    <row r="515" spans="19:55">
      <c r="S515" s="454"/>
      <c r="AY515" s="454"/>
      <c r="AZ515" s="454"/>
      <c r="BA515" s="1306"/>
      <c r="BC515" s="169"/>
    </row>
    <row r="516" spans="19:55">
      <c r="S516" s="454"/>
      <c r="AY516" s="454"/>
      <c r="AZ516" s="454"/>
      <c r="BA516" s="1306"/>
      <c r="BC516" s="169"/>
    </row>
    <row r="517" spans="19:55">
      <c r="S517" s="454"/>
      <c r="AY517" s="454"/>
      <c r="AZ517" s="454"/>
      <c r="BA517" s="1306"/>
      <c r="BC517" s="169"/>
    </row>
    <row r="518" spans="19:55">
      <c r="S518" s="454"/>
      <c r="AY518" s="454"/>
      <c r="AZ518" s="454"/>
      <c r="BA518" s="1306"/>
      <c r="BC518" s="169"/>
    </row>
    <row r="519" spans="19:55">
      <c r="S519" s="454"/>
      <c r="AY519" s="454"/>
      <c r="AZ519" s="454"/>
      <c r="BA519" s="1306"/>
      <c r="BC519" s="169"/>
    </row>
    <row r="520" spans="19:55">
      <c r="S520" s="454"/>
      <c r="AY520" s="454"/>
      <c r="AZ520" s="454"/>
      <c r="BA520" s="1306"/>
      <c r="BC520" s="169"/>
    </row>
    <row r="521" spans="19:55">
      <c r="S521" s="454"/>
      <c r="AY521" s="454"/>
      <c r="AZ521" s="454"/>
      <c r="BA521" s="1306"/>
      <c r="BC521" s="169"/>
    </row>
    <row r="522" spans="19:55">
      <c r="S522" s="454"/>
      <c r="AY522" s="454"/>
      <c r="AZ522" s="454"/>
      <c r="BA522" s="1306"/>
      <c r="BC522" s="169"/>
    </row>
    <row r="523" spans="19:55">
      <c r="S523" s="454"/>
      <c r="AY523" s="454"/>
      <c r="AZ523" s="454"/>
      <c r="BA523" s="1306"/>
      <c r="BC523" s="169"/>
    </row>
    <row r="524" spans="19:55">
      <c r="S524" s="454"/>
      <c r="AY524" s="454"/>
      <c r="AZ524" s="454"/>
      <c r="BA524" s="1306"/>
      <c r="BC524" s="169"/>
    </row>
    <row r="525" spans="19:55">
      <c r="S525" s="454"/>
      <c r="AY525" s="454"/>
      <c r="AZ525" s="454"/>
      <c r="BA525" s="1306"/>
      <c r="BC525" s="169"/>
    </row>
    <row r="526" spans="19:55">
      <c r="S526" s="454"/>
      <c r="AY526" s="454"/>
      <c r="AZ526" s="454"/>
      <c r="BA526" s="1306"/>
      <c r="BC526" s="169"/>
    </row>
    <row r="527" spans="19:55">
      <c r="S527" s="454"/>
      <c r="AY527" s="454"/>
      <c r="AZ527" s="454"/>
      <c r="BA527" s="1306"/>
      <c r="BC527" s="169"/>
    </row>
    <row r="528" spans="19:55">
      <c r="S528" s="454"/>
      <c r="AY528" s="454"/>
      <c r="AZ528" s="454"/>
      <c r="BA528" s="1306"/>
      <c r="BC528" s="169"/>
    </row>
    <row r="529" spans="19:55">
      <c r="S529" s="454"/>
      <c r="AY529" s="454"/>
      <c r="AZ529" s="454"/>
      <c r="BA529" s="1306"/>
      <c r="BC529" s="169"/>
    </row>
    <row r="530" spans="19:55">
      <c r="S530" s="454"/>
      <c r="AY530" s="454"/>
      <c r="AZ530" s="454"/>
      <c r="BA530" s="1306"/>
      <c r="BC530" s="169"/>
    </row>
    <row r="531" spans="19:55">
      <c r="S531" s="454"/>
      <c r="AY531" s="454"/>
      <c r="AZ531" s="454"/>
      <c r="BA531" s="1306"/>
      <c r="BC531" s="169"/>
    </row>
    <row r="532" spans="19:55">
      <c r="S532" s="454"/>
      <c r="AY532" s="454"/>
      <c r="AZ532" s="454"/>
      <c r="BA532" s="1306"/>
      <c r="BC532" s="169"/>
    </row>
    <row r="533" spans="19:55">
      <c r="S533" s="454"/>
      <c r="AY533" s="454"/>
      <c r="AZ533" s="454"/>
      <c r="BA533" s="1306"/>
      <c r="BC533" s="169"/>
    </row>
    <row r="534" spans="19:55">
      <c r="S534" s="454"/>
      <c r="AY534" s="454"/>
      <c r="AZ534" s="454"/>
      <c r="BA534" s="1306"/>
      <c r="BC534" s="169"/>
    </row>
    <row r="535" spans="19:55">
      <c r="S535" s="454"/>
      <c r="AY535" s="454"/>
      <c r="AZ535" s="454"/>
      <c r="BA535" s="1306"/>
      <c r="BC535" s="169"/>
    </row>
    <row r="536" spans="19:55">
      <c r="S536" s="454"/>
      <c r="AY536" s="454"/>
      <c r="AZ536" s="454"/>
      <c r="BA536" s="1306"/>
      <c r="BC536" s="169"/>
    </row>
    <row r="537" spans="19:55">
      <c r="S537" s="454"/>
      <c r="AY537" s="454"/>
      <c r="AZ537" s="454"/>
      <c r="BA537" s="1306"/>
      <c r="BC537" s="169"/>
    </row>
    <row r="538" spans="19:55">
      <c r="S538" s="454"/>
      <c r="AY538" s="454"/>
      <c r="AZ538" s="454"/>
      <c r="BA538" s="1306"/>
      <c r="BC538" s="169"/>
    </row>
    <row r="539" spans="19:55">
      <c r="S539" s="454"/>
      <c r="AY539" s="454"/>
      <c r="AZ539" s="454"/>
      <c r="BA539" s="1306"/>
      <c r="BC539" s="169"/>
    </row>
    <row r="540" spans="19:55">
      <c r="S540" s="454"/>
      <c r="AY540" s="454"/>
      <c r="AZ540" s="454"/>
      <c r="BA540" s="1306"/>
      <c r="BC540" s="169"/>
    </row>
    <row r="541" spans="19:55">
      <c r="S541" s="454"/>
      <c r="AY541" s="454"/>
      <c r="AZ541" s="454"/>
      <c r="BA541" s="1306"/>
      <c r="BC541" s="169"/>
    </row>
    <row r="542" spans="19:55">
      <c r="S542" s="454"/>
      <c r="AY542" s="454"/>
      <c r="AZ542" s="454"/>
      <c r="BA542" s="1306"/>
      <c r="BC542" s="169"/>
    </row>
    <row r="543" spans="19:55">
      <c r="S543" s="454"/>
      <c r="AY543" s="454"/>
      <c r="AZ543" s="454"/>
      <c r="BA543" s="1306"/>
      <c r="BC543" s="169"/>
    </row>
    <row r="544" spans="19:55">
      <c r="S544" s="454"/>
      <c r="AY544" s="454"/>
      <c r="AZ544" s="454"/>
      <c r="BA544" s="1306"/>
      <c r="BC544" s="169"/>
    </row>
    <row r="545" spans="19:55">
      <c r="S545" s="454"/>
      <c r="AY545" s="454"/>
      <c r="AZ545" s="454"/>
      <c r="BA545" s="1306"/>
      <c r="BC545" s="169"/>
    </row>
    <row r="546" spans="19:55">
      <c r="S546" s="454"/>
      <c r="AY546" s="454"/>
      <c r="AZ546" s="454"/>
      <c r="BA546" s="1306"/>
      <c r="BC546" s="169"/>
    </row>
    <row r="547" spans="19:55">
      <c r="S547" s="454"/>
      <c r="AY547" s="454"/>
      <c r="AZ547" s="454"/>
      <c r="BA547" s="1306"/>
      <c r="BC547" s="169"/>
    </row>
    <row r="548" spans="19:55">
      <c r="S548" s="454"/>
      <c r="AY548" s="454"/>
      <c r="AZ548" s="454"/>
      <c r="BA548" s="1306"/>
      <c r="BC548" s="169"/>
    </row>
    <row r="549" spans="19:55">
      <c r="S549" s="454"/>
      <c r="AY549" s="454"/>
      <c r="AZ549" s="454"/>
      <c r="BA549" s="1306"/>
      <c r="BC549" s="169"/>
    </row>
    <row r="550" spans="19:55">
      <c r="S550" s="454"/>
      <c r="AY550" s="454"/>
      <c r="AZ550" s="454"/>
      <c r="BA550" s="1306"/>
      <c r="BC550" s="169"/>
    </row>
    <row r="551" spans="19:55">
      <c r="S551" s="454"/>
      <c r="AY551" s="454"/>
      <c r="AZ551" s="454"/>
      <c r="BA551" s="1306"/>
      <c r="BC551" s="169"/>
    </row>
    <row r="552" spans="19:55">
      <c r="S552" s="454"/>
      <c r="AY552" s="454"/>
      <c r="AZ552" s="454"/>
      <c r="BA552" s="1306"/>
      <c r="BC552" s="169"/>
    </row>
    <row r="553" spans="19:55">
      <c r="S553" s="454"/>
      <c r="AY553" s="454"/>
      <c r="AZ553" s="454"/>
      <c r="BA553" s="1306"/>
      <c r="BC553" s="169"/>
    </row>
    <row r="554" spans="19:55">
      <c r="S554" s="454"/>
      <c r="AY554" s="454"/>
      <c r="AZ554" s="454"/>
      <c r="BA554" s="1306"/>
      <c r="BC554" s="169"/>
    </row>
    <row r="555" spans="19:55">
      <c r="S555" s="454"/>
      <c r="AY555" s="454"/>
      <c r="AZ555" s="454"/>
      <c r="BA555" s="1306"/>
      <c r="BC555" s="169"/>
    </row>
    <row r="556" spans="19:55">
      <c r="S556" s="454"/>
      <c r="AY556" s="454"/>
      <c r="AZ556" s="454"/>
      <c r="BA556" s="1306"/>
      <c r="BC556" s="169"/>
    </row>
    <row r="557" spans="19:55">
      <c r="S557" s="454"/>
      <c r="AY557" s="454"/>
      <c r="AZ557" s="454"/>
      <c r="BA557" s="1306"/>
      <c r="BC557" s="169"/>
    </row>
    <row r="558" spans="19:55">
      <c r="S558" s="454"/>
      <c r="AY558" s="454"/>
      <c r="AZ558" s="454"/>
      <c r="BA558" s="1306"/>
      <c r="BC558" s="169"/>
    </row>
    <row r="559" spans="19:55">
      <c r="S559" s="454"/>
      <c r="AY559" s="454"/>
      <c r="AZ559" s="454"/>
      <c r="BA559" s="1306"/>
      <c r="BC559" s="169"/>
    </row>
    <row r="560" spans="19:55">
      <c r="S560" s="454"/>
      <c r="AY560" s="454"/>
      <c r="AZ560" s="454"/>
      <c r="BA560" s="1306"/>
      <c r="BC560" s="169"/>
    </row>
    <row r="561" spans="19:55">
      <c r="S561" s="454"/>
      <c r="AY561" s="454"/>
      <c r="AZ561" s="454"/>
      <c r="BA561" s="1306"/>
      <c r="BC561" s="169"/>
    </row>
    <row r="562" spans="19:55">
      <c r="S562" s="454"/>
      <c r="AY562" s="454"/>
      <c r="AZ562" s="454"/>
      <c r="BA562" s="1306"/>
      <c r="BC562" s="169"/>
    </row>
    <row r="563" spans="19:55">
      <c r="S563" s="454"/>
      <c r="AY563" s="454"/>
      <c r="AZ563" s="454"/>
      <c r="BA563" s="1306"/>
      <c r="BC563" s="169"/>
    </row>
    <row r="564" spans="19:55">
      <c r="S564" s="454"/>
      <c r="AY564" s="454"/>
      <c r="AZ564" s="454"/>
      <c r="BA564" s="1306"/>
      <c r="BC564" s="169"/>
    </row>
    <row r="565" spans="19:55">
      <c r="S565" s="454"/>
      <c r="AY565" s="454"/>
      <c r="AZ565" s="454"/>
      <c r="BA565" s="1306"/>
      <c r="BC565" s="169"/>
    </row>
    <row r="566" spans="19:55">
      <c r="S566" s="454"/>
      <c r="AY566" s="454"/>
      <c r="AZ566" s="454"/>
      <c r="BA566" s="1306"/>
      <c r="BC566" s="169"/>
    </row>
    <row r="567" spans="19:55">
      <c r="S567" s="454"/>
      <c r="AY567" s="454"/>
      <c r="AZ567" s="454"/>
      <c r="BA567" s="1306"/>
      <c r="BC567" s="169"/>
    </row>
    <row r="568" spans="19:55">
      <c r="S568" s="454"/>
      <c r="AY568" s="454"/>
      <c r="AZ568" s="454"/>
      <c r="BA568" s="1306"/>
      <c r="BC568" s="169"/>
    </row>
    <row r="569" spans="19:55">
      <c r="S569" s="454"/>
      <c r="AY569" s="454"/>
      <c r="AZ569" s="454"/>
      <c r="BA569" s="1306"/>
      <c r="BC569" s="169"/>
    </row>
    <row r="570" spans="19:55">
      <c r="S570" s="454"/>
      <c r="AY570" s="454"/>
      <c r="AZ570" s="454"/>
      <c r="BA570" s="1306"/>
      <c r="BC570" s="169"/>
    </row>
    <row r="571" spans="19:55">
      <c r="S571" s="454"/>
      <c r="AY571" s="454"/>
      <c r="AZ571" s="454"/>
      <c r="BA571" s="1306"/>
      <c r="BC571" s="169"/>
    </row>
    <row r="572" spans="19:55">
      <c r="S572" s="454"/>
      <c r="AY572" s="454"/>
      <c r="AZ572" s="454"/>
      <c r="BA572" s="1306"/>
      <c r="BC572" s="169"/>
    </row>
    <row r="573" spans="19:55">
      <c r="S573" s="454"/>
      <c r="AY573" s="454"/>
      <c r="AZ573" s="454"/>
      <c r="BA573" s="1306"/>
      <c r="BC573" s="169"/>
    </row>
    <row r="574" spans="19:55">
      <c r="S574" s="454"/>
      <c r="AY574" s="454"/>
      <c r="AZ574" s="454"/>
      <c r="BA574" s="1306"/>
      <c r="BC574" s="169"/>
    </row>
    <row r="575" spans="19:55">
      <c r="S575" s="454"/>
      <c r="AY575" s="454"/>
      <c r="AZ575" s="454"/>
      <c r="BA575" s="1306"/>
      <c r="BC575" s="169"/>
    </row>
    <row r="576" spans="19:55">
      <c r="S576" s="454"/>
      <c r="AY576" s="454"/>
      <c r="AZ576" s="454"/>
      <c r="BA576" s="1306"/>
      <c r="BC576" s="169"/>
    </row>
    <row r="577" spans="19:55">
      <c r="S577" s="454"/>
      <c r="AY577" s="454"/>
      <c r="AZ577" s="454"/>
      <c r="BA577" s="1306"/>
      <c r="BC577" s="169"/>
    </row>
    <row r="578" spans="19:55">
      <c r="S578" s="454"/>
      <c r="AY578" s="454"/>
      <c r="AZ578" s="454"/>
      <c r="BA578" s="1306"/>
      <c r="BC578" s="169"/>
    </row>
    <row r="579" spans="19:55">
      <c r="S579" s="454"/>
      <c r="AY579" s="454"/>
      <c r="AZ579" s="454"/>
      <c r="BA579" s="1306"/>
      <c r="BC579" s="169"/>
    </row>
    <row r="580" spans="19:55">
      <c r="S580" s="454"/>
      <c r="AY580" s="454"/>
      <c r="AZ580" s="454"/>
      <c r="BA580" s="1306"/>
      <c r="BC580" s="169"/>
    </row>
    <row r="581" spans="19:55">
      <c r="S581" s="454"/>
      <c r="AY581" s="454"/>
      <c r="AZ581" s="454"/>
      <c r="BA581" s="1306"/>
      <c r="BC581" s="169"/>
    </row>
    <row r="582" spans="19:55">
      <c r="S582" s="454"/>
      <c r="AY582" s="454"/>
      <c r="AZ582" s="454"/>
      <c r="BA582" s="1306"/>
      <c r="BC582" s="169"/>
    </row>
    <row r="583" spans="19:55">
      <c r="S583" s="454"/>
      <c r="AY583" s="454"/>
      <c r="AZ583" s="454"/>
      <c r="BA583" s="1306"/>
      <c r="BC583" s="169"/>
    </row>
    <row r="584" spans="19:55">
      <c r="S584" s="454"/>
      <c r="AY584" s="454"/>
      <c r="AZ584" s="454"/>
      <c r="BA584" s="1306"/>
      <c r="BC584" s="169"/>
    </row>
    <row r="585" spans="19:55">
      <c r="S585" s="454"/>
      <c r="AY585" s="454"/>
      <c r="AZ585" s="454"/>
      <c r="BA585" s="1306"/>
      <c r="BC585" s="169"/>
    </row>
    <row r="586" spans="19:55">
      <c r="S586" s="454"/>
      <c r="AY586" s="454"/>
      <c r="AZ586" s="454"/>
      <c r="BA586" s="1306"/>
      <c r="BC586" s="169"/>
    </row>
    <row r="587" spans="19:55">
      <c r="S587" s="454"/>
      <c r="AY587" s="454"/>
      <c r="AZ587" s="454"/>
      <c r="BA587" s="1306"/>
      <c r="BC587" s="169"/>
    </row>
    <row r="588" spans="19:55">
      <c r="S588" s="454"/>
      <c r="AY588" s="454"/>
      <c r="AZ588" s="454"/>
      <c r="BA588" s="1306"/>
      <c r="BC588" s="169"/>
    </row>
    <row r="589" spans="19:55">
      <c r="S589" s="454"/>
      <c r="AY589" s="454"/>
      <c r="AZ589" s="454"/>
      <c r="BA589" s="1306"/>
      <c r="BC589" s="169"/>
    </row>
    <row r="590" spans="19:55">
      <c r="S590" s="454"/>
      <c r="AY590" s="454"/>
      <c r="AZ590" s="454"/>
      <c r="BA590" s="1306"/>
      <c r="BC590" s="169"/>
    </row>
    <row r="591" spans="19:55">
      <c r="S591" s="454"/>
      <c r="AY591" s="454"/>
      <c r="AZ591" s="454"/>
      <c r="BA591" s="1306"/>
      <c r="BC591" s="169"/>
    </row>
    <row r="592" spans="19:55">
      <c r="S592" s="454"/>
      <c r="AY592" s="454"/>
      <c r="AZ592" s="454"/>
      <c r="BA592" s="1306"/>
      <c r="BC592" s="169"/>
    </row>
    <row r="593" spans="19:55">
      <c r="S593" s="454"/>
      <c r="AY593" s="454"/>
      <c r="AZ593" s="454"/>
      <c r="BA593" s="1306"/>
      <c r="BC593" s="169"/>
    </row>
    <row r="594" spans="19:55">
      <c r="S594" s="454"/>
      <c r="AY594" s="454"/>
      <c r="AZ594" s="454"/>
      <c r="BA594" s="1306"/>
      <c r="BC594" s="169"/>
    </row>
    <row r="595" spans="19:55">
      <c r="S595" s="454"/>
      <c r="AY595" s="454"/>
      <c r="AZ595" s="454"/>
      <c r="BA595" s="1306"/>
      <c r="BC595" s="169"/>
    </row>
    <row r="596" spans="19:55">
      <c r="S596" s="454"/>
      <c r="AY596" s="454"/>
      <c r="AZ596" s="454"/>
      <c r="BA596" s="1306"/>
      <c r="BC596" s="169"/>
    </row>
    <row r="597" spans="19:55">
      <c r="S597" s="454"/>
      <c r="AY597" s="454"/>
      <c r="AZ597" s="454"/>
      <c r="BA597" s="1306"/>
      <c r="BC597" s="169"/>
    </row>
    <row r="598" spans="19:55">
      <c r="S598" s="454"/>
      <c r="AY598" s="454"/>
      <c r="AZ598" s="454"/>
      <c r="BA598" s="1306"/>
      <c r="BC598" s="169"/>
    </row>
    <row r="599" spans="19:55">
      <c r="S599" s="454"/>
      <c r="AY599" s="454"/>
      <c r="AZ599" s="454"/>
      <c r="BA599" s="1306"/>
      <c r="BC599" s="169"/>
    </row>
    <row r="600" spans="19:55">
      <c r="S600" s="454"/>
      <c r="AY600" s="454"/>
      <c r="AZ600" s="454"/>
      <c r="BA600" s="1306"/>
      <c r="BC600" s="169"/>
    </row>
    <row r="601" spans="19:55">
      <c r="S601" s="454"/>
      <c r="AY601" s="454"/>
      <c r="AZ601" s="454"/>
      <c r="BA601" s="1306"/>
      <c r="BC601" s="169"/>
    </row>
    <row r="602" spans="19:55">
      <c r="S602" s="454"/>
      <c r="AY602" s="454"/>
      <c r="AZ602" s="454"/>
      <c r="BA602" s="1306"/>
      <c r="BC602" s="169"/>
    </row>
    <row r="603" spans="19:55">
      <c r="S603" s="454"/>
      <c r="AY603" s="454"/>
      <c r="AZ603" s="454"/>
      <c r="BA603" s="1306"/>
      <c r="BC603" s="169"/>
    </row>
    <row r="604" spans="19:55">
      <c r="S604" s="454"/>
      <c r="AY604" s="454"/>
      <c r="AZ604" s="454"/>
      <c r="BA604" s="1306"/>
      <c r="BC604" s="169"/>
    </row>
    <row r="605" spans="19:55">
      <c r="S605" s="454"/>
      <c r="AY605" s="454"/>
      <c r="AZ605" s="454"/>
      <c r="BA605" s="1306"/>
      <c r="BC605" s="169"/>
    </row>
    <row r="606" spans="19:55">
      <c r="S606" s="454"/>
      <c r="AY606" s="454"/>
      <c r="AZ606" s="454"/>
      <c r="BA606" s="1306"/>
      <c r="BC606" s="169"/>
    </row>
    <row r="607" spans="19:55">
      <c r="S607" s="454"/>
      <c r="AY607" s="454"/>
      <c r="AZ607" s="454"/>
      <c r="BA607" s="1306"/>
      <c r="BC607" s="169"/>
    </row>
    <row r="608" spans="19:55">
      <c r="S608" s="454"/>
      <c r="AY608" s="454"/>
      <c r="AZ608" s="454"/>
      <c r="BA608" s="1306"/>
      <c r="BC608" s="169"/>
    </row>
    <row r="609" spans="19:55">
      <c r="S609" s="454"/>
      <c r="AY609" s="454"/>
      <c r="AZ609" s="454"/>
      <c r="BA609" s="1306"/>
      <c r="BC609" s="169"/>
    </row>
    <row r="610" spans="19:55">
      <c r="S610" s="454"/>
      <c r="AY610" s="454"/>
      <c r="AZ610" s="454"/>
      <c r="BA610" s="1306"/>
      <c r="BC610" s="169"/>
    </row>
    <row r="611" spans="19:55">
      <c r="S611" s="454"/>
      <c r="AY611" s="454"/>
      <c r="AZ611" s="454"/>
      <c r="BA611" s="1306"/>
      <c r="BC611" s="169"/>
    </row>
    <row r="612" spans="19:55">
      <c r="S612" s="454"/>
      <c r="AY612" s="454"/>
      <c r="AZ612" s="454"/>
      <c r="BA612" s="1306"/>
      <c r="BC612" s="169"/>
    </row>
    <row r="613" spans="19:55">
      <c r="S613" s="454"/>
      <c r="AY613" s="454"/>
      <c r="AZ613" s="454"/>
      <c r="BA613" s="1306"/>
      <c r="BC613" s="169"/>
    </row>
    <row r="614" spans="19:55">
      <c r="S614" s="454"/>
      <c r="AY614" s="454"/>
      <c r="AZ614" s="454"/>
      <c r="BA614" s="1306"/>
      <c r="BC614" s="169"/>
    </row>
    <row r="615" spans="19:55">
      <c r="S615" s="454"/>
      <c r="AY615" s="454"/>
      <c r="AZ615" s="454"/>
      <c r="BA615" s="1306"/>
      <c r="BC615" s="169"/>
    </row>
    <row r="616" spans="19:55">
      <c r="S616" s="454"/>
      <c r="AY616" s="454"/>
      <c r="AZ616" s="454"/>
      <c r="BA616" s="1306"/>
      <c r="BC616" s="169"/>
    </row>
    <row r="617" spans="19:55">
      <c r="S617" s="454"/>
      <c r="AY617" s="454"/>
      <c r="AZ617" s="454"/>
      <c r="BA617" s="1306"/>
      <c r="BC617" s="169"/>
    </row>
    <row r="618" spans="19:55">
      <c r="S618" s="454"/>
      <c r="AY618" s="454"/>
      <c r="AZ618" s="454"/>
      <c r="BA618" s="1306"/>
      <c r="BC618" s="169"/>
    </row>
    <row r="619" spans="19:55">
      <c r="S619" s="454"/>
      <c r="AY619" s="454"/>
      <c r="AZ619" s="454"/>
      <c r="BA619" s="1306"/>
      <c r="BC619" s="169"/>
    </row>
    <row r="620" spans="19:55">
      <c r="S620" s="454"/>
      <c r="AY620" s="454"/>
      <c r="AZ620" s="454"/>
      <c r="BA620" s="1306"/>
      <c r="BC620" s="169"/>
    </row>
    <row r="621" spans="19:55">
      <c r="S621" s="454"/>
      <c r="AY621" s="454"/>
      <c r="AZ621" s="454"/>
      <c r="BA621" s="1306"/>
      <c r="BC621" s="169"/>
    </row>
    <row r="622" spans="19:55">
      <c r="S622" s="454"/>
      <c r="AY622" s="454"/>
      <c r="AZ622" s="454"/>
      <c r="BA622" s="1306"/>
      <c r="BC622" s="169"/>
    </row>
    <row r="623" spans="19:55">
      <c r="S623" s="454"/>
      <c r="AY623" s="454"/>
      <c r="AZ623" s="454"/>
      <c r="BA623" s="1306"/>
      <c r="BC623" s="169"/>
    </row>
    <row r="624" spans="19:55">
      <c r="S624" s="454"/>
      <c r="AY624" s="454"/>
      <c r="AZ624" s="454"/>
      <c r="BA624" s="1306"/>
      <c r="BC624" s="169"/>
    </row>
    <row r="625" spans="19:55">
      <c r="S625" s="454"/>
      <c r="AY625" s="454"/>
      <c r="AZ625" s="454"/>
      <c r="BA625" s="1306"/>
      <c r="BC625" s="169"/>
    </row>
    <row r="626" spans="19:55">
      <c r="S626" s="454"/>
      <c r="AY626" s="454"/>
      <c r="AZ626" s="454"/>
      <c r="BA626" s="1306"/>
      <c r="BC626" s="169"/>
    </row>
    <row r="627" spans="19:55">
      <c r="S627" s="454"/>
      <c r="AY627" s="454"/>
      <c r="AZ627" s="454"/>
      <c r="BA627" s="1306"/>
      <c r="BC627" s="169"/>
    </row>
    <row r="628" spans="19:55">
      <c r="S628" s="454"/>
      <c r="AY628" s="454"/>
      <c r="AZ628" s="454"/>
      <c r="BA628" s="1306"/>
      <c r="BC628" s="169"/>
    </row>
    <row r="629" spans="19:55">
      <c r="S629" s="454"/>
      <c r="AY629" s="454"/>
      <c r="AZ629" s="454"/>
      <c r="BA629" s="1306"/>
      <c r="BC629" s="169"/>
    </row>
    <row r="630" spans="19:55">
      <c r="S630" s="454"/>
      <c r="AY630" s="454"/>
      <c r="AZ630" s="454"/>
      <c r="BA630" s="1306"/>
      <c r="BC630" s="169"/>
    </row>
    <row r="631" spans="19:55">
      <c r="S631" s="454"/>
      <c r="AY631" s="454"/>
      <c r="AZ631" s="454"/>
      <c r="BA631" s="1306"/>
      <c r="BC631" s="169"/>
    </row>
    <row r="632" spans="19:55">
      <c r="S632" s="454"/>
      <c r="AY632" s="454"/>
      <c r="AZ632" s="454"/>
      <c r="BA632" s="1306"/>
      <c r="BC632" s="169"/>
    </row>
    <row r="633" spans="19:55">
      <c r="S633" s="454"/>
      <c r="AY633" s="454"/>
      <c r="AZ633" s="454"/>
      <c r="BA633" s="1306"/>
      <c r="BC633" s="169"/>
    </row>
    <row r="634" spans="19:55">
      <c r="S634" s="454"/>
      <c r="AY634" s="454"/>
      <c r="AZ634" s="454"/>
      <c r="BA634" s="1306"/>
      <c r="BC634" s="169"/>
    </row>
    <row r="635" spans="19:55">
      <c r="S635" s="454"/>
      <c r="AY635" s="454"/>
      <c r="AZ635" s="454"/>
      <c r="BA635" s="1306"/>
      <c r="BC635" s="169"/>
    </row>
    <row r="636" spans="19:55">
      <c r="S636" s="454"/>
      <c r="AY636" s="454"/>
      <c r="AZ636" s="454"/>
      <c r="BA636" s="1306"/>
      <c r="BC636" s="169"/>
    </row>
    <row r="637" spans="19:55">
      <c r="S637" s="454"/>
      <c r="AY637" s="454"/>
      <c r="AZ637" s="454"/>
      <c r="BA637" s="1306"/>
      <c r="BC637" s="169"/>
    </row>
    <row r="638" spans="19:55">
      <c r="S638" s="454"/>
      <c r="AY638" s="454"/>
      <c r="AZ638" s="454"/>
      <c r="BA638" s="1306"/>
      <c r="BC638" s="169"/>
    </row>
    <row r="639" spans="19:55">
      <c r="S639" s="454"/>
      <c r="AY639" s="454"/>
      <c r="AZ639" s="454"/>
      <c r="BA639" s="1306"/>
      <c r="BC639" s="169"/>
    </row>
    <row r="640" spans="19:55">
      <c r="S640" s="454"/>
      <c r="AY640" s="454"/>
      <c r="AZ640" s="454"/>
      <c r="BA640" s="1306"/>
      <c r="BC640" s="169"/>
    </row>
    <row r="641" spans="19:55">
      <c r="S641" s="454"/>
      <c r="AY641" s="454"/>
      <c r="AZ641" s="454"/>
      <c r="BA641" s="1306"/>
      <c r="BC641" s="169"/>
    </row>
    <row r="642" spans="19:55">
      <c r="S642" s="454"/>
      <c r="AY642" s="454"/>
      <c r="AZ642" s="454"/>
      <c r="BA642" s="1306"/>
      <c r="BC642" s="169"/>
    </row>
    <row r="643" spans="19:55">
      <c r="S643" s="454"/>
      <c r="AY643" s="454"/>
      <c r="AZ643" s="454"/>
      <c r="BA643" s="1306"/>
      <c r="BC643" s="169"/>
    </row>
    <row r="644" spans="19:55">
      <c r="S644" s="454"/>
      <c r="AY644" s="454"/>
      <c r="AZ644" s="454"/>
      <c r="BA644" s="1306"/>
      <c r="BC644" s="169"/>
    </row>
    <row r="645" spans="19:55">
      <c r="S645" s="454"/>
      <c r="AY645" s="454"/>
      <c r="AZ645" s="454"/>
      <c r="BA645" s="1306"/>
      <c r="BC645" s="169"/>
    </row>
    <row r="646" spans="19:55">
      <c r="S646" s="454"/>
      <c r="AY646" s="454"/>
      <c r="AZ646" s="454"/>
      <c r="BA646" s="1306"/>
      <c r="BC646" s="169"/>
    </row>
    <row r="647" spans="19:55">
      <c r="S647" s="454"/>
      <c r="AY647" s="454"/>
      <c r="AZ647" s="454"/>
      <c r="BA647" s="1306"/>
      <c r="BC647" s="169"/>
    </row>
    <row r="648" spans="19:55">
      <c r="S648" s="454"/>
      <c r="AY648" s="454"/>
      <c r="AZ648" s="454"/>
      <c r="BA648" s="1306"/>
      <c r="BC648" s="169"/>
    </row>
    <row r="649" spans="19:55">
      <c r="S649" s="454"/>
      <c r="AY649" s="454"/>
      <c r="AZ649" s="454"/>
      <c r="BA649" s="1306"/>
      <c r="BC649" s="169"/>
    </row>
    <row r="650" spans="19:55">
      <c r="S650" s="454"/>
      <c r="AY650" s="454"/>
      <c r="AZ650" s="454"/>
      <c r="BA650" s="1306"/>
      <c r="BC650" s="169"/>
    </row>
    <row r="651" spans="19:55">
      <c r="S651" s="454"/>
      <c r="AY651" s="454"/>
      <c r="AZ651" s="454"/>
      <c r="BA651" s="1306"/>
      <c r="BC651" s="169"/>
    </row>
    <row r="652" spans="19:55">
      <c r="S652" s="454"/>
      <c r="AY652" s="454"/>
      <c r="AZ652" s="454"/>
      <c r="BA652" s="1306"/>
      <c r="BC652" s="169"/>
    </row>
    <row r="653" spans="19:55">
      <c r="S653" s="454"/>
      <c r="AY653" s="454"/>
      <c r="AZ653" s="454"/>
      <c r="BA653" s="1306"/>
      <c r="BC653" s="169"/>
    </row>
    <row r="654" spans="19:55">
      <c r="S654" s="454"/>
      <c r="AY654" s="454"/>
      <c r="AZ654" s="454"/>
      <c r="BA654" s="1306"/>
      <c r="BC654" s="169"/>
    </row>
    <row r="655" spans="19:55">
      <c r="S655" s="454"/>
      <c r="AY655" s="454"/>
      <c r="AZ655" s="454"/>
      <c r="BA655" s="1306"/>
      <c r="BC655" s="169"/>
    </row>
    <row r="656" spans="19:55">
      <c r="S656" s="454"/>
      <c r="AY656" s="454"/>
      <c r="AZ656" s="454"/>
      <c r="BA656" s="1306"/>
      <c r="BC656" s="169"/>
    </row>
    <row r="657" spans="19:55">
      <c r="S657" s="454"/>
      <c r="AY657" s="454"/>
      <c r="AZ657" s="454"/>
      <c r="BA657" s="1306"/>
      <c r="BC657" s="169"/>
    </row>
    <row r="658" spans="19:55">
      <c r="S658" s="454"/>
      <c r="AY658" s="454"/>
      <c r="AZ658" s="454"/>
      <c r="BA658" s="1306"/>
      <c r="BC658" s="169"/>
    </row>
    <row r="659" spans="19:55">
      <c r="S659" s="454"/>
      <c r="AY659" s="454"/>
      <c r="AZ659" s="454"/>
      <c r="BA659" s="1306"/>
      <c r="BC659" s="169"/>
    </row>
    <row r="660" spans="19:55">
      <c r="S660" s="454"/>
      <c r="AY660" s="454"/>
      <c r="AZ660" s="454"/>
      <c r="BA660" s="1306"/>
      <c r="BC660" s="169"/>
    </row>
    <row r="661" spans="19:55">
      <c r="S661" s="454"/>
      <c r="AY661" s="454"/>
      <c r="AZ661" s="454"/>
      <c r="BA661" s="1306"/>
      <c r="BC661" s="169"/>
    </row>
    <row r="662" spans="19:55">
      <c r="S662" s="454"/>
      <c r="AY662" s="454"/>
      <c r="AZ662" s="454"/>
      <c r="BA662" s="1306"/>
      <c r="BC662" s="169"/>
    </row>
    <row r="663" spans="19:55">
      <c r="S663" s="454"/>
      <c r="AY663" s="454"/>
      <c r="AZ663" s="454"/>
      <c r="BA663" s="1306"/>
      <c r="BC663" s="169"/>
    </row>
    <row r="664" spans="19:55">
      <c r="S664" s="454"/>
      <c r="AY664" s="454"/>
      <c r="AZ664" s="454"/>
      <c r="BA664" s="1306"/>
      <c r="BC664" s="169"/>
    </row>
    <row r="665" spans="19:55">
      <c r="S665" s="454"/>
      <c r="AY665" s="454"/>
      <c r="AZ665" s="454"/>
      <c r="BA665" s="1306"/>
      <c r="BC665" s="169"/>
    </row>
    <row r="666" spans="19:55">
      <c r="S666" s="454"/>
      <c r="AY666" s="454"/>
      <c r="AZ666" s="454"/>
      <c r="BA666" s="1306"/>
      <c r="BC666" s="169"/>
    </row>
    <row r="667" spans="19:55">
      <c r="S667" s="454"/>
      <c r="AY667" s="454"/>
      <c r="AZ667" s="454"/>
      <c r="BA667" s="1306"/>
      <c r="BC667" s="169"/>
    </row>
    <row r="668" spans="19:55">
      <c r="S668" s="454"/>
      <c r="AY668" s="454"/>
      <c r="AZ668" s="454"/>
      <c r="BA668" s="1306"/>
      <c r="BC668" s="169"/>
    </row>
    <row r="669" spans="19:55">
      <c r="S669" s="454"/>
      <c r="AY669" s="454"/>
      <c r="AZ669" s="454"/>
      <c r="BA669" s="1306"/>
      <c r="BC669" s="169"/>
    </row>
    <row r="670" spans="19:55">
      <c r="S670" s="454"/>
      <c r="AY670" s="454"/>
      <c r="AZ670" s="454"/>
      <c r="BA670" s="1306"/>
      <c r="BC670" s="169"/>
    </row>
    <row r="671" spans="19:55">
      <c r="S671" s="454"/>
      <c r="AY671" s="454"/>
      <c r="AZ671" s="454"/>
      <c r="BA671" s="1306"/>
      <c r="BC671" s="169"/>
    </row>
    <row r="672" spans="19:55">
      <c r="S672" s="454"/>
      <c r="AY672" s="454"/>
      <c r="AZ672" s="454"/>
      <c r="BA672" s="1306"/>
      <c r="BC672" s="169"/>
    </row>
    <row r="673" spans="19:55">
      <c r="S673" s="454"/>
      <c r="AY673" s="454"/>
      <c r="AZ673" s="454"/>
      <c r="BA673" s="1306"/>
      <c r="BC673" s="169"/>
    </row>
    <row r="674" spans="19:55">
      <c r="S674" s="454"/>
      <c r="AY674" s="454"/>
      <c r="AZ674" s="454"/>
      <c r="BA674" s="1306"/>
      <c r="BC674" s="169"/>
    </row>
    <row r="675" spans="19:55">
      <c r="S675" s="454"/>
      <c r="AY675" s="454"/>
      <c r="AZ675" s="454"/>
      <c r="BA675" s="1306"/>
      <c r="BC675" s="169"/>
    </row>
    <row r="676" spans="19:55">
      <c r="S676" s="454"/>
      <c r="AY676" s="454"/>
      <c r="AZ676" s="454"/>
      <c r="BA676" s="1306"/>
      <c r="BC676" s="169"/>
    </row>
    <row r="677" spans="19:55">
      <c r="S677" s="454"/>
      <c r="AY677" s="454"/>
      <c r="AZ677" s="454"/>
      <c r="BA677" s="1306"/>
      <c r="BC677" s="169"/>
    </row>
    <row r="678" spans="19:55">
      <c r="S678" s="454"/>
      <c r="AY678" s="454"/>
      <c r="AZ678" s="454"/>
      <c r="BA678" s="1306"/>
      <c r="BC678" s="169"/>
    </row>
    <row r="679" spans="19:55">
      <c r="S679" s="454"/>
      <c r="AY679" s="454"/>
      <c r="AZ679" s="454"/>
      <c r="BA679" s="1306"/>
      <c r="BC679" s="169"/>
    </row>
    <row r="680" spans="19:55">
      <c r="S680" s="454"/>
      <c r="AY680" s="454"/>
      <c r="AZ680" s="454"/>
      <c r="BA680" s="1306"/>
      <c r="BC680" s="169"/>
    </row>
    <row r="681" spans="19:55">
      <c r="S681" s="454"/>
      <c r="AY681" s="454"/>
      <c r="AZ681" s="454"/>
      <c r="BA681" s="1306"/>
      <c r="BC681" s="169"/>
    </row>
    <row r="682" spans="19:55">
      <c r="S682" s="454"/>
      <c r="AY682" s="454"/>
      <c r="AZ682" s="454"/>
      <c r="BA682" s="1306"/>
      <c r="BC682" s="169"/>
    </row>
    <row r="683" spans="19:55">
      <c r="S683" s="454"/>
      <c r="AY683" s="454"/>
      <c r="AZ683" s="454"/>
      <c r="BA683" s="1306"/>
      <c r="BC683" s="169"/>
    </row>
    <row r="684" spans="19:55">
      <c r="S684" s="454"/>
      <c r="AY684" s="454"/>
      <c r="AZ684" s="454"/>
      <c r="BA684" s="1306"/>
      <c r="BC684" s="169"/>
    </row>
    <row r="685" spans="19:55">
      <c r="S685" s="454"/>
      <c r="AY685" s="454"/>
      <c r="AZ685" s="454"/>
      <c r="BA685" s="1306"/>
      <c r="BC685" s="169"/>
    </row>
    <row r="686" spans="19:55">
      <c r="S686" s="454"/>
      <c r="AY686" s="454"/>
      <c r="AZ686" s="454"/>
      <c r="BA686" s="1306"/>
      <c r="BC686" s="169"/>
    </row>
    <row r="687" spans="19:55">
      <c r="S687" s="454"/>
      <c r="AY687" s="454"/>
      <c r="AZ687" s="454"/>
      <c r="BA687" s="1306"/>
      <c r="BC687" s="169"/>
    </row>
    <row r="688" spans="19:55">
      <c r="S688" s="454"/>
      <c r="AY688" s="454"/>
      <c r="AZ688" s="454"/>
      <c r="BA688" s="1306"/>
      <c r="BC688" s="169"/>
    </row>
    <row r="689" spans="19:55">
      <c r="S689" s="454"/>
      <c r="AY689" s="454"/>
      <c r="AZ689" s="454"/>
      <c r="BA689" s="1306"/>
      <c r="BC689" s="169"/>
    </row>
    <row r="690" spans="19:55">
      <c r="S690" s="454"/>
      <c r="AY690" s="454"/>
      <c r="AZ690" s="454"/>
      <c r="BA690" s="1306"/>
      <c r="BC690" s="169"/>
    </row>
    <row r="691" spans="19:55">
      <c r="S691" s="454"/>
      <c r="AY691" s="454"/>
      <c r="AZ691" s="454"/>
      <c r="BA691" s="1306"/>
      <c r="BC691" s="169"/>
    </row>
    <row r="692" spans="19:55">
      <c r="S692" s="454"/>
      <c r="AY692" s="454"/>
      <c r="AZ692" s="454"/>
      <c r="BA692" s="1306"/>
      <c r="BC692" s="169"/>
    </row>
    <row r="693" spans="19:55">
      <c r="S693" s="454"/>
      <c r="AY693" s="454"/>
      <c r="AZ693" s="454"/>
      <c r="BA693" s="1306"/>
      <c r="BC693" s="169"/>
    </row>
    <row r="694" spans="19:55">
      <c r="S694" s="454"/>
      <c r="AY694" s="454"/>
      <c r="AZ694" s="454"/>
      <c r="BA694" s="1306"/>
      <c r="BC694" s="169"/>
    </row>
    <row r="695" spans="19:55">
      <c r="S695" s="454"/>
      <c r="AY695" s="454"/>
      <c r="AZ695" s="454"/>
      <c r="BA695" s="1306"/>
      <c r="BC695" s="169"/>
    </row>
    <row r="696" spans="19:55">
      <c r="S696" s="454"/>
      <c r="AY696" s="454"/>
      <c r="AZ696" s="454"/>
      <c r="BA696" s="1306"/>
      <c r="BC696" s="169"/>
    </row>
    <row r="697" spans="19:55">
      <c r="S697" s="454"/>
      <c r="AY697" s="454"/>
      <c r="AZ697" s="454"/>
      <c r="BA697" s="1306"/>
      <c r="BC697" s="169"/>
    </row>
    <row r="698" spans="19:55">
      <c r="S698" s="454"/>
      <c r="AY698" s="454"/>
      <c r="AZ698" s="454"/>
      <c r="BA698" s="1306"/>
      <c r="BC698" s="169"/>
    </row>
    <row r="699" spans="19:55">
      <c r="S699" s="454"/>
      <c r="AY699" s="454"/>
      <c r="AZ699" s="454"/>
      <c r="BA699" s="1306"/>
      <c r="BC699" s="169"/>
    </row>
    <row r="700" spans="19:55">
      <c r="S700" s="454"/>
      <c r="AY700" s="454"/>
      <c r="AZ700" s="454"/>
      <c r="BA700" s="1306"/>
      <c r="BC700" s="169"/>
    </row>
    <row r="701" spans="19:55">
      <c r="S701" s="454"/>
      <c r="AY701" s="454"/>
      <c r="AZ701" s="454"/>
      <c r="BA701" s="1306"/>
      <c r="BC701" s="169"/>
    </row>
    <row r="702" spans="19:55">
      <c r="S702" s="454"/>
      <c r="AY702" s="454"/>
      <c r="AZ702" s="454"/>
      <c r="BA702" s="1306"/>
      <c r="BC702" s="169"/>
    </row>
    <row r="703" spans="19:55">
      <c r="S703" s="454"/>
      <c r="AY703" s="454"/>
      <c r="AZ703" s="454"/>
      <c r="BA703" s="1306"/>
      <c r="BC703" s="169"/>
    </row>
    <row r="704" spans="19:55">
      <c r="S704" s="454"/>
      <c r="AY704" s="454"/>
      <c r="AZ704" s="454"/>
      <c r="BA704" s="1306"/>
      <c r="BC704" s="169"/>
    </row>
    <row r="705" spans="19:55">
      <c r="S705" s="454"/>
      <c r="AY705" s="454"/>
      <c r="AZ705" s="454"/>
      <c r="BA705" s="1306"/>
      <c r="BC705" s="169"/>
    </row>
    <row r="706" spans="19:55">
      <c r="S706" s="454"/>
      <c r="AY706" s="454"/>
      <c r="AZ706" s="454"/>
      <c r="BA706" s="1306"/>
      <c r="BC706" s="169"/>
    </row>
    <row r="707" spans="19:55">
      <c r="S707" s="454"/>
      <c r="AY707" s="454"/>
      <c r="AZ707" s="454"/>
      <c r="BA707" s="1306"/>
      <c r="BC707" s="169"/>
    </row>
    <row r="708" spans="19:55">
      <c r="S708" s="454"/>
      <c r="AY708" s="454"/>
      <c r="AZ708" s="454"/>
      <c r="BA708" s="1306"/>
      <c r="BC708" s="169"/>
    </row>
    <row r="709" spans="19:55">
      <c r="S709" s="454"/>
      <c r="AY709" s="454"/>
      <c r="AZ709" s="454"/>
      <c r="BA709" s="1306"/>
      <c r="BC709" s="169"/>
    </row>
    <row r="710" spans="19:55">
      <c r="S710" s="454"/>
      <c r="AY710" s="454"/>
      <c r="AZ710" s="454"/>
      <c r="BA710" s="1306"/>
      <c r="BC710" s="169"/>
    </row>
    <row r="711" spans="19:55">
      <c r="S711" s="454"/>
      <c r="AY711" s="454"/>
      <c r="AZ711" s="454"/>
      <c r="BA711" s="1306"/>
      <c r="BC711" s="169"/>
    </row>
    <row r="712" spans="19:55">
      <c r="S712" s="454"/>
      <c r="AY712" s="454"/>
      <c r="AZ712" s="454"/>
      <c r="BA712" s="1306"/>
      <c r="BC712" s="169"/>
    </row>
    <row r="713" spans="19:55">
      <c r="S713" s="454"/>
      <c r="AY713" s="454"/>
      <c r="AZ713" s="454"/>
      <c r="BA713" s="1306"/>
      <c r="BC713" s="169"/>
    </row>
    <row r="714" spans="19:55">
      <c r="S714" s="454"/>
      <c r="AY714" s="454"/>
      <c r="AZ714" s="454"/>
      <c r="BA714" s="1306"/>
      <c r="BC714" s="169"/>
    </row>
    <row r="715" spans="19:55">
      <c r="S715" s="454"/>
      <c r="AY715" s="454"/>
      <c r="AZ715" s="454"/>
      <c r="BA715" s="1306"/>
      <c r="BC715" s="169"/>
    </row>
    <row r="716" spans="19:55">
      <c r="S716" s="454"/>
      <c r="AY716" s="454"/>
      <c r="AZ716" s="454"/>
      <c r="BA716" s="1306"/>
      <c r="BC716" s="169"/>
    </row>
    <row r="717" spans="19:55">
      <c r="S717" s="454"/>
      <c r="AY717" s="454"/>
      <c r="AZ717" s="454"/>
      <c r="BA717" s="1306"/>
      <c r="BC717" s="169"/>
    </row>
    <row r="718" spans="19:55">
      <c r="S718" s="454"/>
      <c r="AY718" s="454"/>
      <c r="AZ718" s="454"/>
      <c r="BA718" s="1306"/>
      <c r="BC718" s="169"/>
    </row>
    <row r="719" spans="19:55">
      <c r="S719" s="454"/>
      <c r="AY719" s="454"/>
      <c r="AZ719" s="454"/>
      <c r="BA719" s="1306"/>
      <c r="BC719" s="169"/>
    </row>
    <row r="720" spans="19:55">
      <c r="S720" s="454"/>
      <c r="AY720" s="454"/>
      <c r="AZ720" s="454"/>
      <c r="BA720" s="1306"/>
      <c r="BC720" s="169"/>
    </row>
    <row r="721" spans="19:55">
      <c r="S721" s="454"/>
      <c r="AY721" s="454"/>
      <c r="AZ721" s="454"/>
      <c r="BA721" s="1306"/>
      <c r="BC721" s="169"/>
    </row>
    <row r="722" spans="19:55">
      <c r="S722" s="454"/>
      <c r="AY722" s="454"/>
      <c r="AZ722" s="454"/>
      <c r="BA722" s="1306"/>
      <c r="BC722" s="169"/>
    </row>
    <row r="723" spans="19:55">
      <c r="S723" s="454"/>
      <c r="AY723" s="454"/>
      <c r="AZ723" s="454"/>
      <c r="BA723" s="1306"/>
      <c r="BC723" s="169"/>
    </row>
    <row r="724" spans="19:55">
      <c r="S724" s="454"/>
      <c r="AY724" s="454"/>
      <c r="AZ724" s="454"/>
      <c r="BA724" s="1306"/>
      <c r="BC724" s="169"/>
    </row>
    <row r="725" spans="19:55">
      <c r="S725" s="454"/>
      <c r="AY725" s="454"/>
      <c r="AZ725" s="454"/>
      <c r="BA725" s="1306"/>
      <c r="BC725" s="169"/>
    </row>
    <row r="726" spans="19:55">
      <c r="S726" s="454"/>
      <c r="AY726" s="454"/>
      <c r="AZ726" s="454"/>
      <c r="BA726" s="1306"/>
      <c r="BC726" s="169"/>
    </row>
    <row r="727" spans="19:55">
      <c r="S727" s="454"/>
      <c r="AY727" s="454"/>
      <c r="AZ727" s="454"/>
      <c r="BA727" s="1306"/>
      <c r="BC727" s="169"/>
    </row>
    <row r="728" spans="19:55">
      <c r="S728" s="454"/>
      <c r="AY728" s="454"/>
      <c r="AZ728" s="454"/>
      <c r="BA728" s="1306"/>
      <c r="BC728" s="169"/>
    </row>
    <row r="729" spans="19:55">
      <c r="S729" s="454"/>
      <c r="AY729" s="454"/>
      <c r="AZ729" s="454"/>
      <c r="BA729" s="1306"/>
      <c r="BC729" s="169"/>
    </row>
    <row r="730" spans="19:55">
      <c r="S730" s="454"/>
      <c r="AY730" s="454"/>
      <c r="AZ730" s="454"/>
      <c r="BA730" s="1306"/>
      <c r="BC730" s="169"/>
    </row>
    <row r="731" spans="19:55">
      <c r="S731" s="454"/>
      <c r="AY731" s="454"/>
      <c r="AZ731" s="454"/>
      <c r="BA731" s="1306"/>
      <c r="BC731" s="169"/>
    </row>
    <row r="732" spans="19:55">
      <c r="S732" s="454"/>
      <c r="AY732" s="454"/>
      <c r="AZ732" s="454"/>
      <c r="BA732" s="1306"/>
      <c r="BC732" s="169"/>
    </row>
    <row r="733" spans="19:55">
      <c r="S733" s="454"/>
      <c r="AY733" s="454"/>
      <c r="AZ733" s="454"/>
      <c r="BA733" s="1306"/>
      <c r="BC733" s="169"/>
    </row>
    <row r="734" spans="19:55">
      <c r="S734" s="454"/>
      <c r="AY734" s="454"/>
      <c r="AZ734" s="454"/>
      <c r="BA734" s="1306"/>
      <c r="BC734" s="169"/>
    </row>
    <row r="735" spans="19:55">
      <c r="S735" s="454"/>
      <c r="AY735" s="454"/>
      <c r="AZ735" s="454"/>
      <c r="BA735" s="1306"/>
      <c r="BC735" s="169"/>
    </row>
    <row r="736" spans="19:55">
      <c r="S736" s="454"/>
      <c r="AY736" s="454"/>
      <c r="AZ736" s="454"/>
      <c r="BA736" s="1306"/>
      <c r="BC736" s="169"/>
    </row>
    <row r="737" spans="19:55">
      <c r="S737" s="454"/>
      <c r="AY737" s="454"/>
      <c r="AZ737" s="454"/>
      <c r="BA737" s="1306"/>
      <c r="BC737" s="169"/>
    </row>
    <row r="738" spans="19:55">
      <c r="S738" s="454"/>
      <c r="AY738" s="454"/>
      <c r="AZ738" s="454"/>
      <c r="BA738" s="1306"/>
      <c r="BC738" s="169"/>
    </row>
    <row r="739" spans="19:55">
      <c r="S739" s="454"/>
      <c r="AY739" s="454"/>
      <c r="AZ739" s="454"/>
      <c r="BA739" s="1306"/>
      <c r="BC739" s="169"/>
    </row>
    <row r="740" spans="19:55">
      <c r="S740" s="454"/>
      <c r="AY740" s="454"/>
      <c r="AZ740" s="454"/>
      <c r="BA740" s="1306"/>
      <c r="BC740" s="169"/>
    </row>
    <row r="741" spans="19:55">
      <c r="S741" s="454"/>
      <c r="AY741" s="454"/>
      <c r="AZ741" s="454"/>
      <c r="BA741" s="1306"/>
      <c r="BC741" s="169"/>
    </row>
    <row r="742" spans="19:55">
      <c r="S742" s="454"/>
      <c r="AY742" s="454"/>
      <c r="AZ742" s="454"/>
      <c r="BA742" s="1306"/>
      <c r="BC742" s="169"/>
    </row>
    <row r="743" spans="19:55">
      <c r="S743" s="454"/>
      <c r="AY743" s="454"/>
      <c r="AZ743" s="454"/>
      <c r="BA743" s="1306"/>
      <c r="BC743" s="169"/>
    </row>
    <row r="744" spans="19:55">
      <c r="S744" s="454"/>
      <c r="AY744" s="454"/>
      <c r="AZ744" s="454"/>
      <c r="BA744" s="1306"/>
      <c r="BC744" s="169"/>
    </row>
    <row r="745" spans="19:55">
      <c r="S745" s="454"/>
      <c r="AY745" s="454"/>
      <c r="AZ745" s="454"/>
      <c r="BA745" s="1306"/>
      <c r="BC745" s="169"/>
    </row>
    <row r="746" spans="19:55">
      <c r="S746" s="454"/>
      <c r="AY746" s="454"/>
      <c r="AZ746" s="454"/>
      <c r="BA746" s="1306"/>
      <c r="BC746" s="169"/>
    </row>
    <row r="747" spans="19:55">
      <c r="S747" s="454"/>
      <c r="AY747" s="454"/>
      <c r="AZ747" s="454"/>
      <c r="BA747" s="1306"/>
      <c r="BC747" s="169"/>
    </row>
    <row r="748" spans="19:55">
      <c r="S748" s="454"/>
      <c r="AY748" s="454"/>
      <c r="AZ748" s="454"/>
      <c r="BA748" s="1306"/>
      <c r="BC748" s="169"/>
    </row>
    <row r="749" spans="19:55">
      <c r="S749" s="454"/>
      <c r="AY749" s="454"/>
      <c r="AZ749" s="454"/>
      <c r="BA749" s="1306"/>
      <c r="BC749" s="169"/>
    </row>
    <row r="750" spans="19:55">
      <c r="S750" s="454"/>
      <c r="AY750" s="454"/>
      <c r="AZ750" s="454"/>
      <c r="BA750" s="1306"/>
      <c r="BC750" s="169"/>
    </row>
    <row r="751" spans="19:55">
      <c r="S751" s="454"/>
      <c r="AY751" s="454"/>
      <c r="AZ751" s="454"/>
      <c r="BA751" s="1306"/>
      <c r="BC751" s="169"/>
    </row>
    <row r="752" spans="19:55">
      <c r="S752" s="454"/>
      <c r="AY752" s="454"/>
      <c r="AZ752" s="454"/>
      <c r="BA752" s="1306"/>
      <c r="BC752" s="169"/>
    </row>
    <row r="753" spans="19:55">
      <c r="S753" s="454"/>
      <c r="AY753" s="454"/>
      <c r="AZ753" s="454"/>
      <c r="BA753" s="1306"/>
      <c r="BC753" s="169"/>
    </row>
    <row r="754" spans="19:55">
      <c r="S754" s="454"/>
      <c r="AY754" s="454"/>
      <c r="AZ754" s="454"/>
      <c r="BA754" s="1306"/>
      <c r="BC754" s="169"/>
    </row>
    <row r="755" spans="19:55">
      <c r="S755" s="454"/>
      <c r="AY755" s="454"/>
      <c r="AZ755" s="454"/>
      <c r="BA755" s="1306"/>
      <c r="BC755" s="169"/>
    </row>
    <row r="756" spans="19:55">
      <c r="S756" s="454"/>
      <c r="AY756" s="454"/>
      <c r="AZ756" s="454"/>
      <c r="BA756" s="1306"/>
      <c r="BC756" s="169"/>
    </row>
    <row r="757" spans="19:55">
      <c r="S757" s="454"/>
      <c r="AY757" s="454"/>
      <c r="AZ757" s="454"/>
      <c r="BA757" s="1306"/>
      <c r="BC757" s="169"/>
    </row>
    <row r="758" spans="19:55">
      <c r="S758" s="454"/>
      <c r="AY758" s="454"/>
      <c r="AZ758" s="454"/>
      <c r="BA758" s="1306"/>
      <c r="BC758" s="169"/>
    </row>
    <row r="759" spans="19:55">
      <c r="S759" s="454"/>
      <c r="AY759" s="454"/>
      <c r="AZ759" s="454"/>
      <c r="BA759" s="1306"/>
      <c r="BC759" s="169"/>
    </row>
    <row r="760" spans="19:55">
      <c r="S760" s="454"/>
      <c r="AY760" s="454"/>
      <c r="AZ760" s="454"/>
      <c r="BA760" s="1306"/>
      <c r="BC760" s="169"/>
    </row>
    <row r="761" spans="19:55">
      <c r="S761" s="454"/>
      <c r="AY761" s="454"/>
      <c r="AZ761" s="454"/>
      <c r="BA761" s="1306"/>
      <c r="BC761" s="169"/>
    </row>
    <row r="762" spans="19:55">
      <c r="S762" s="454"/>
      <c r="AY762" s="454"/>
      <c r="AZ762" s="454"/>
      <c r="BA762" s="1306"/>
      <c r="BC762" s="169"/>
    </row>
    <row r="763" spans="19:55">
      <c r="S763" s="454"/>
      <c r="AY763" s="454"/>
      <c r="AZ763" s="454"/>
      <c r="BA763" s="1306"/>
      <c r="BC763" s="169"/>
    </row>
    <row r="764" spans="19:55">
      <c r="S764" s="454"/>
      <c r="AY764" s="454"/>
      <c r="AZ764" s="454"/>
      <c r="BA764" s="1306"/>
      <c r="BC764" s="169"/>
    </row>
    <row r="765" spans="19:55">
      <c r="S765" s="454"/>
      <c r="AY765" s="454"/>
      <c r="AZ765" s="454"/>
      <c r="BA765" s="1306"/>
      <c r="BC765" s="169"/>
    </row>
    <row r="766" spans="19:55">
      <c r="S766" s="454"/>
      <c r="AY766" s="454"/>
      <c r="AZ766" s="454"/>
      <c r="BA766" s="1306"/>
      <c r="BC766" s="169"/>
    </row>
    <row r="767" spans="19:55">
      <c r="S767" s="454"/>
      <c r="AY767" s="454"/>
      <c r="AZ767" s="454"/>
      <c r="BA767" s="1306"/>
      <c r="BC767" s="169"/>
    </row>
    <row r="768" spans="19:55">
      <c r="S768" s="454"/>
      <c r="AY768" s="454"/>
      <c r="AZ768" s="454"/>
      <c r="BA768" s="1306"/>
      <c r="BC768" s="169"/>
    </row>
    <row r="769" spans="19:55">
      <c r="S769" s="454"/>
      <c r="AY769" s="454"/>
      <c r="AZ769" s="454"/>
      <c r="BA769" s="1306"/>
      <c r="BC769" s="169"/>
    </row>
    <row r="770" spans="19:55">
      <c r="S770" s="454"/>
      <c r="AY770" s="454"/>
      <c r="AZ770" s="454"/>
      <c r="BA770" s="1306"/>
      <c r="BC770" s="169"/>
    </row>
    <row r="771" spans="19:55">
      <c r="S771" s="454"/>
      <c r="AY771" s="454"/>
      <c r="AZ771" s="454"/>
      <c r="BA771" s="1306"/>
      <c r="BC771" s="169"/>
    </row>
    <row r="772" spans="19:55">
      <c r="S772" s="454"/>
      <c r="AY772" s="454"/>
      <c r="AZ772" s="454"/>
      <c r="BA772" s="1306"/>
      <c r="BC772" s="169"/>
    </row>
    <row r="773" spans="19:55">
      <c r="S773" s="454"/>
      <c r="AY773" s="454"/>
      <c r="AZ773" s="454"/>
      <c r="BA773" s="1306"/>
      <c r="BC773" s="169"/>
    </row>
    <row r="774" spans="19:55">
      <c r="S774" s="454"/>
      <c r="AY774" s="454"/>
      <c r="AZ774" s="454"/>
      <c r="BA774" s="1306"/>
      <c r="BC774" s="169"/>
    </row>
    <row r="775" spans="19:55">
      <c r="S775" s="454"/>
      <c r="AY775" s="454"/>
      <c r="AZ775" s="454"/>
      <c r="BA775" s="1306"/>
      <c r="BC775" s="169"/>
    </row>
    <row r="776" spans="19:55">
      <c r="S776" s="454"/>
      <c r="AY776" s="454"/>
      <c r="AZ776" s="454"/>
      <c r="BA776" s="1306"/>
      <c r="BC776" s="169"/>
    </row>
    <row r="777" spans="19:55">
      <c r="S777" s="454"/>
      <c r="AY777" s="454"/>
      <c r="AZ777" s="454"/>
      <c r="BA777" s="1306"/>
      <c r="BC777" s="169"/>
    </row>
    <row r="778" spans="19:55">
      <c r="S778" s="454"/>
      <c r="AY778" s="454"/>
      <c r="AZ778" s="454"/>
      <c r="BA778" s="1306"/>
      <c r="BC778" s="169"/>
    </row>
    <row r="779" spans="19:55">
      <c r="S779" s="454"/>
      <c r="AY779" s="454"/>
      <c r="AZ779" s="454"/>
      <c r="BA779" s="1306"/>
      <c r="BC779" s="169"/>
    </row>
    <row r="780" spans="19:55">
      <c r="S780" s="454"/>
      <c r="AY780" s="454"/>
      <c r="AZ780" s="454"/>
      <c r="BA780" s="1306"/>
      <c r="BC780" s="169"/>
    </row>
    <row r="781" spans="19:55">
      <c r="S781" s="454"/>
      <c r="AY781" s="454"/>
      <c r="AZ781" s="454"/>
      <c r="BA781" s="1306"/>
      <c r="BC781" s="169"/>
    </row>
    <row r="782" spans="19:55">
      <c r="S782" s="454"/>
      <c r="AY782" s="454"/>
      <c r="AZ782" s="454"/>
      <c r="BA782" s="1306"/>
      <c r="BC782" s="169"/>
    </row>
    <row r="783" spans="19:55">
      <c r="S783" s="454"/>
      <c r="AY783" s="454"/>
      <c r="AZ783" s="454"/>
      <c r="BA783" s="1306"/>
      <c r="BC783" s="169"/>
    </row>
    <row r="784" spans="19:55">
      <c r="S784" s="454"/>
      <c r="AY784" s="454"/>
      <c r="AZ784" s="454"/>
      <c r="BA784" s="1306"/>
      <c r="BC784" s="169"/>
    </row>
    <row r="785" spans="19:55">
      <c r="S785" s="454"/>
      <c r="AY785" s="454"/>
      <c r="AZ785" s="454"/>
      <c r="BA785" s="1306"/>
      <c r="BC785" s="169"/>
    </row>
    <row r="786" spans="19:55">
      <c r="S786" s="454"/>
      <c r="AY786" s="454"/>
      <c r="AZ786" s="454"/>
      <c r="BA786" s="1306"/>
      <c r="BC786" s="169"/>
    </row>
    <row r="787" spans="19:55">
      <c r="S787" s="454"/>
      <c r="AY787" s="454"/>
      <c r="AZ787" s="454"/>
      <c r="BA787" s="1306"/>
      <c r="BC787" s="169"/>
    </row>
    <row r="788" spans="19:55">
      <c r="S788" s="454"/>
      <c r="AY788" s="454"/>
      <c r="AZ788" s="454"/>
      <c r="BA788" s="1306"/>
      <c r="BC788" s="169"/>
    </row>
    <row r="789" spans="19:55">
      <c r="S789" s="454"/>
      <c r="AY789" s="454"/>
      <c r="AZ789" s="454"/>
      <c r="BA789" s="1306"/>
      <c r="BC789" s="169"/>
    </row>
    <row r="790" spans="19:55">
      <c r="S790" s="454"/>
      <c r="AY790" s="454"/>
      <c r="AZ790" s="454"/>
      <c r="BA790" s="1306"/>
      <c r="BC790" s="169"/>
    </row>
    <row r="791" spans="19:55">
      <c r="S791" s="454"/>
      <c r="AY791" s="454"/>
      <c r="AZ791" s="454"/>
      <c r="BA791" s="1306"/>
      <c r="BC791" s="169"/>
    </row>
    <row r="792" spans="19:55">
      <c r="S792" s="454"/>
      <c r="AY792" s="454"/>
      <c r="AZ792" s="454"/>
      <c r="BA792" s="1306"/>
      <c r="BC792" s="169"/>
    </row>
    <row r="793" spans="19:55">
      <c r="S793" s="454"/>
      <c r="AY793" s="454"/>
      <c r="AZ793" s="454"/>
      <c r="BA793" s="1306"/>
      <c r="BC793" s="169"/>
    </row>
    <row r="794" spans="19:55">
      <c r="S794" s="454"/>
      <c r="AY794" s="454"/>
      <c r="AZ794" s="454"/>
      <c r="BA794" s="1306"/>
      <c r="BC794" s="169"/>
    </row>
    <row r="795" spans="19:55">
      <c r="S795" s="454"/>
      <c r="AY795" s="454"/>
      <c r="AZ795" s="454"/>
      <c r="BA795" s="1306"/>
      <c r="BC795" s="169"/>
    </row>
    <row r="796" spans="19:55">
      <c r="S796" s="454"/>
      <c r="AY796" s="454"/>
      <c r="AZ796" s="454"/>
      <c r="BA796" s="1306"/>
      <c r="BC796" s="169"/>
    </row>
    <row r="797" spans="19:55">
      <c r="S797" s="454"/>
      <c r="AY797" s="454"/>
      <c r="AZ797" s="454"/>
      <c r="BA797" s="1306"/>
      <c r="BC797" s="169"/>
    </row>
    <row r="798" spans="19:55">
      <c r="S798" s="454"/>
      <c r="AY798" s="454"/>
      <c r="AZ798" s="454"/>
      <c r="BA798" s="1306"/>
      <c r="BC798" s="169"/>
    </row>
    <row r="799" spans="19:55">
      <c r="S799" s="454"/>
      <c r="AY799" s="454"/>
      <c r="AZ799" s="454"/>
      <c r="BA799" s="1306"/>
      <c r="BC799" s="169"/>
    </row>
    <row r="800" spans="19:55">
      <c r="S800" s="454"/>
      <c r="AY800" s="454"/>
      <c r="AZ800" s="454"/>
      <c r="BA800" s="1306"/>
      <c r="BC800" s="169"/>
    </row>
    <row r="801" spans="19:55">
      <c r="S801" s="454"/>
      <c r="AY801" s="454"/>
      <c r="AZ801" s="454"/>
      <c r="BA801" s="1306"/>
      <c r="BC801" s="169"/>
    </row>
    <row r="802" spans="19:55">
      <c r="S802" s="454"/>
      <c r="AY802" s="454"/>
      <c r="AZ802" s="454"/>
      <c r="BA802" s="1306"/>
      <c r="BC802" s="169"/>
    </row>
    <row r="803" spans="19:55">
      <c r="S803" s="454"/>
      <c r="AY803" s="454"/>
      <c r="AZ803" s="454"/>
      <c r="BA803" s="1306"/>
      <c r="BC803" s="169"/>
    </row>
    <row r="804" spans="19:55">
      <c r="S804" s="454"/>
      <c r="AY804" s="454"/>
      <c r="AZ804" s="454"/>
      <c r="BA804" s="1306"/>
      <c r="BC804" s="169"/>
    </row>
    <row r="805" spans="19:55">
      <c r="S805" s="454"/>
      <c r="AY805" s="454"/>
      <c r="AZ805" s="454"/>
      <c r="BA805" s="1306"/>
      <c r="BC805" s="169"/>
    </row>
    <row r="806" spans="19:55">
      <c r="S806" s="454"/>
      <c r="AY806" s="454"/>
      <c r="AZ806" s="454"/>
      <c r="BA806" s="1306"/>
      <c r="BC806" s="169"/>
    </row>
    <row r="807" spans="19:55">
      <c r="S807" s="454"/>
      <c r="AY807" s="454"/>
      <c r="AZ807" s="454"/>
      <c r="BA807" s="1306"/>
      <c r="BC807" s="169"/>
    </row>
    <row r="808" spans="19:55">
      <c r="S808" s="454"/>
      <c r="AY808" s="454"/>
      <c r="AZ808" s="454"/>
      <c r="BA808" s="1306"/>
      <c r="BC808" s="169"/>
    </row>
    <row r="809" spans="19:55">
      <c r="S809" s="454"/>
      <c r="AY809" s="454"/>
      <c r="AZ809" s="454"/>
      <c r="BA809" s="1306"/>
      <c r="BC809" s="169"/>
    </row>
    <row r="810" spans="19:55">
      <c r="S810" s="454"/>
      <c r="AY810" s="454"/>
      <c r="AZ810" s="454"/>
      <c r="BA810" s="1306"/>
      <c r="BC810" s="169"/>
    </row>
    <row r="811" spans="19:55">
      <c r="S811" s="454"/>
      <c r="AY811" s="454"/>
      <c r="AZ811" s="454"/>
      <c r="BA811" s="1306"/>
      <c r="BC811" s="169"/>
    </row>
    <row r="812" spans="19:55">
      <c r="S812" s="454"/>
      <c r="AY812" s="454"/>
      <c r="AZ812" s="454"/>
      <c r="BA812" s="1306"/>
      <c r="BC812" s="169"/>
    </row>
    <row r="813" spans="19:55">
      <c r="S813" s="454"/>
      <c r="AY813" s="454"/>
      <c r="AZ813" s="454"/>
      <c r="BA813" s="1306"/>
      <c r="BC813" s="169"/>
    </row>
    <row r="814" spans="19:55">
      <c r="S814" s="454"/>
      <c r="AY814" s="454"/>
      <c r="AZ814" s="454"/>
      <c r="BA814" s="1306"/>
      <c r="BC814" s="169"/>
    </row>
    <row r="815" spans="19:55">
      <c r="S815" s="454"/>
      <c r="AY815" s="454"/>
      <c r="AZ815" s="454"/>
      <c r="BA815" s="1306"/>
      <c r="BC815" s="169"/>
    </row>
    <row r="816" spans="19:55">
      <c r="S816" s="454"/>
      <c r="AY816" s="454"/>
      <c r="AZ816" s="454"/>
      <c r="BA816" s="1306"/>
      <c r="BC816" s="169"/>
    </row>
    <row r="817" spans="19:55">
      <c r="S817" s="454"/>
      <c r="AY817" s="454"/>
      <c r="AZ817" s="454"/>
      <c r="BA817" s="1306"/>
      <c r="BC817" s="169"/>
    </row>
    <row r="818" spans="19:55">
      <c r="S818" s="454"/>
      <c r="AY818" s="454"/>
      <c r="AZ818" s="454"/>
      <c r="BA818" s="1306"/>
      <c r="BC818" s="169"/>
    </row>
    <row r="819" spans="19:55">
      <c r="S819" s="454"/>
      <c r="AY819" s="454"/>
      <c r="AZ819" s="454"/>
      <c r="BA819" s="1306"/>
      <c r="BC819" s="169"/>
    </row>
    <row r="820" spans="19:55">
      <c r="S820" s="454"/>
      <c r="AY820" s="454"/>
      <c r="AZ820" s="454"/>
      <c r="BA820" s="1306"/>
      <c r="BC820" s="169"/>
    </row>
    <row r="821" spans="19:55">
      <c r="S821" s="454"/>
      <c r="AY821" s="454"/>
      <c r="AZ821" s="454"/>
      <c r="BA821" s="1306"/>
      <c r="BC821" s="169"/>
    </row>
    <row r="822" spans="19:55">
      <c r="S822" s="454"/>
      <c r="AY822" s="454"/>
      <c r="AZ822" s="454"/>
      <c r="BA822" s="1306"/>
      <c r="BC822" s="169"/>
    </row>
    <row r="823" spans="19:55">
      <c r="S823" s="454"/>
      <c r="AY823" s="454"/>
      <c r="AZ823" s="454"/>
      <c r="BA823" s="1306"/>
      <c r="BC823" s="169"/>
    </row>
    <row r="824" spans="19:55">
      <c r="S824" s="454"/>
      <c r="AY824" s="454"/>
      <c r="AZ824" s="454"/>
      <c r="BA824" s="1306"/>
      <c r="BC824" s="169"/>
    </row>
    <row r="825" spans="19:55">
      <c r="S825" s="454"/>
      <c r="AY825" s="454"/>
      <c r="AZ825" s="454"/>
      <c r="BA825" s="1306"/>
      <c r="BC825" s="169"/>
    </row>
    <row r="826" spans="19:55">
      <c r="S826" s="454"/>
      <c r="AY826" s="454"/>
      <c r="AZ826" s="454"/>
      <c r="BA826" s="1306"/>
      <c r="BC826" s="169"/>
    </row>
    <row r="827" spans="19:55">
      <c r="S827" s="454"/>
      <c r="AY827" s="454"/>
      <c r="AZ827" s="454"/>
      <c r="BA827" s="1306"/>
      <c r="BC827" s="169"/>
    </row>
    <row r="828" spans="19:55">
      <c r="S828" s="454"/>
      <c r="AY828" s="454"/>
      <c r="AZ828" s="454"/>
      <c r="BA828" s="1306"/>
      <c r="BC828" s="169"/>
    </row>
    <row r="829" spans="19:55">
      <c r="S829" s="454"/>
      <c r="AY829" s="454"/>
      <c r="AZ829" s="454"/>
      <c r="BA829" s="1306"/>
      <c r="BC829" s="169"/>
    </row>
    <row r="830" spans="19:55">
      <c r="S830" s="454"/>
      <c r="AY830" s="454"/>
      <c r="AZ830" s="454"/>
      <c r="BA830" s="1306"/>
      <c r="BC830" s="169"/>
    </row>
    <row r="831" spans="19:55">
      <c r="S831" s="454"/>
      <c r="AY831" s="454"/>
      <c r="AZ831" s="454"/>
      <c r="BA831" s="1306"/>
      <c r="BC831" s="169"/>
    </row>
    <row r="832" spans="19:55">
      <c r="S832" s="454"/>
      <c r="AY832" s="454"/>
      <c r="AZ832" s="454"/>
      <c r="BA832" s="1306"/>
      <c r="BC832" s="169"/>
    </row>
    <row r="833" spans="19:55">
      <c r="S833" s="454"/>
      <c r="AY833" s="454"/>
      <c r="AZ833" s="454"/>
      <c r="BA833" s="1306"/>
      <c r="BC833" s="169"/>
    </row>
    <row r="834" spans="19:55">
      <c r="S834" s="454"/>
      <c r="AY834" s="454"/>
      <c r="AZ834" s="454"/>
      <c r="BA834" s="1306"/>
      <c r="BC834" s="169"/>
    </row>
    <row r="835" spans="19:55">
      <c r="S835" s="454"/>
      <c r="AY835" s="454"/>
      <c r="AZ835" s="454"/>
      <c r="BA835" s="1306"/>
      <c r="BC835" s="169"/>
    </row>
    <row r="836" spans="19:55">
      <c r="S836" s="454"/>
      <c r="AY836" s="454"/>
      <c r="AZ836" s="454"/>
      <c r="BA836" s="1306"/>
      <c r="BC836" s="169"/>
    </row>
    <row r="837" spans="19:55">
      <c r="S837" s="454"/>
      <c r="AY837" s="454"/>
      <c r="AZ837" s="454"/>
      <c r="BA837" s="1306"/>
      <c r="BC837" s="169"/>
    </row>
    <row r="838" spans="19:55">
      <c r="S838" s="454"/>
      <c r="AY838" s="454"/>
      <c r="AZ838" s="454"/>
      <c r="BA838" s="1306"/>
      <c r="BC838" s="169"/>
    </row>
    <row r="839" spans="19:55">
      <c r="S839" s="454"/>
      <c r="AY839" s="454"/>
      <c r="AZ839" s="454"/>
      <c r="BA839" s="1306"/>
      <c r="BC839" s="169"/>
    </row>
    <row r="840" spans="19:55">
      <c r="S840" s="454"/>
      <c r="AY840" s="454"/>
      <c r="AZ840" s="454"/>
      <c r="BA840" s="1306"/>
      <c r="BC840" s="169"/>
    </row>
    <row r="841" spans="19:55">
      <c r="S841" s="454"/>
      <c r="AY841" s="454"/>
      <c r="AZ841" s="454"/>
      <c r="BA841" s="1306"/>
      <c r="BC841" s="169"/>
    </row>
    <row r="842" spans="19:55">
      <c r="S842" s="454"/>
      <c r="AY842" s="454"/>
      <c r="AZ842" s="454"/>
      <c r="BA842" s="1306"/>
      <c r="BC842" s="169"/>
    </row>
    <row r="843" spans="19:55">
      <c r="S843" s="454"/>
      <c r="AY843" s="454"/>
      <c r="AZ843" s="454"/>
      <c r="BA843" s="1306"/>
      <c r="BC843" s="169"/>
    </row>
    <row r="844" spans="19:55">
      <c r="S844" s="454"/>
      <c r="AY844" s="454"/>
      <c r="AZ844" s="454"/>
      <c r="BA844" s="1306"/>
      <c r="BC844" s="169"/>
    </row>
    <row r="845" spans="19:55">
      <c r="S845" s="454"/>
      <c r="AY845" s="454"/>
      <c r="AZ845" s="454"/>
      <c r="BA845" s="1306"/>
      <c r="BC845" s="169"/>
    </row>
    <row r="846" spans="19:55">
      <c r="S846" s="454"/>
      <c r="AY846" s="454"/>
      <c r="AZ846" s="454"/>
      <c r="BA846" s="1306"/>
      <c r="BC846" s="169"/>
    </row>
    <row r="847" spans="19:55">
      <c r="S847" s="454"/>
      <c r="AY847" s="454"/>
      <c r="AZ847" s="454"/>
      <c r="BA847" s="1306"/>
      <c r="BC847" s="169"/>
    </row>
    <row r="848" spans="19:55">
      <c r="S848" s="454"/>
      <c r="AY848" s="454"/>
      <c r="AZ848" s="454"/>
      <c r="BA848" s="1306"/>
      <c r="BC848" s="169"/>
    </row>
    <row r="849" spans="19:55">
      <c r="S849" s="454"/>
      <c r="AY849" s="454"/>
      <c r="AZ849" s="454"/>
      <c r="BA849" s="1306"/>
      <c r="BC849" s="169"/>
    </row>
    <row r="850" spans="19:55">
      <c r="S850" s="454"/>
      <c r="AY850" s="454"/>
      <c r="AZ850" s="454"/>
      <c r="BA850" s="1306"/>
      <c r="BC850" s="169"/>
    </row>
    <row r="851" spans="19:55">
      <c r="S851" s="454"/>
      <c r="AY851" s="454"/>
      <c r="AZ851" s="454"/>
      <c r="BA851" s="1306"/>
      <c r="BC851" s="169"/>
    </row>
    <row r="852" spans="19:55">
      <c r="S852" s="454"/>
      <c r="AY852" s="454"/>
      <c r="AZ852" s="454"/>
      <c r="BA852" s="1306"/>
      <c r="BC852" s="169"/>
    </row>
    <row r="853" spans="19:55">
      <c r="S853" s="454"/>
      <c r="AY853" s="454"/>
      <c r="AZ853" s="454"/>
      <c r="BA853" s="1306"/>
      <c r="BC853" s="169"/>
    </row>
    <row r="854" spans="19:55">
      <c r="S854" s="454"/>
      <c r="AY854" s="454"/>
      <c r="AZ854" s="454"/>
      <c r="BA854" s="1306"/>
      <c r="BC854" s="169"/>
    </row>
    <row r="855" spans="19:55">
      <c r="S855" s="454"/>
      <c r="AY855" s="454"/>
      <c r="AZ855" s="454"/>
      <c r="BA855" s="1306"/>
      <c r="BC855" s="169"/>
    </row>
    <row r="856" spans="19:55">
      <c r="S856" s="454"/>
      <c r="AY856" s="454"/>
      <c r="AZ856" s="454"/>
      <c r="BA856" s="1306"/>
      <c r="BC856" s="169"/>
    </row>
    <row r="857" spans="19:55">
      <c r="S857" s="454"/>
      <c r="AY857" s="454"/>
      <c r="AZ857" s="454"/>
      <c r="BA857" s="1306"/>
      <c r="BC857" s="169"/>
    </row>
    <row r="858" spans="19:55">
      <c r="S858" s="454"/>
      <c r="AY858" s="454"/>
      <c r="AZ858" s="454"/>
      <c r="BA858" s="1306"/>
      <c r="BC858" s="169"/>
    </row>
    <row r="859" spans="19:55">
      <c r="S859" s="454"/>
      <c r="AY859" s="454"/>
      <c r="AZ859" s="454"/>
      <c r="BA859" s="1306"/>
      <c r="BC859" s="169"/>
    </row>
    <row r="860" spans="19:55">
      <c r="S860" s="454"/>
      <c r="AY860" s="454"/>
      <c r="AZ860" s="454"/>
      <c r="BA860" s="1306"/>
      <c r="BC860" s="169"/>
    </row>
    <row r="861" spans="19:55">
      <c r="S861" s="454"/>
      <c r="AY861" s="454"/>
      <c r="AZ861" s="454"/>
      <c r="BA861" s="1306"/>
      <c r="BC861" s="169"/>
    </row>
    <row r="862" spans="19:55">
      <c r="S862" s="454"/>
      <c r="AY862" s="454"/>
      <c r="AZ862" s="454"/>
      <c r="BA862" s="1306"/>
      <c r="BC862" s="169"/>
    </row>
    <row r="863" spans="19:55">
      <c r="S863" s="454"/>
      <c r="AY863" s="454"/>
      <c r="AZ863" s="454"/>
      <c r="BA863" s="1306"/>
      <c r="BC863" s="169"/>
    </row>
    <row r="864" spans="19:55">
      <c r="S864" s="454"/>
      <c r="AY864" s="454"/>
      <c r="AZ864" s="454"/>
      <c r="BA864" s="1306"/>
      <c r="BC864" s="169"/>
    </row>
    <row r="865" spans="19:55">
      <c r="S865" s="454"/>
      <c r="AY865" s="454"/>
      <c r="AZ865" s="454"/>
      <c r="BA865" s="1306"/>
      <c r="BC865" s="169"/>
    </row>
    <row r="866" spans="19:55">
      <c r="S866" s="454"/>
      <c r="AY866" s="454"/>
      <c r="AZ866" s="454"/>
      <c r="BA866" s="1306"/>
      <c r="BC866" s="169"/>
    </row>
    <row r="867" spans="19:55">
      <c r="S867" s="454"/>
      <c r="AY867" s="454"/>
      <c r="AZ867" s="454"/>
      <c r="BA867" s="1306"/>
      <c r="BC867" s="169"/>
    </row>
    <row r="868" spans="19:55">
      <c r="S868" s="454"/>
      <c r="AY868" s="454"/>
      <c r="AZ868" s="454"/>
      <c r="BA868" s="1306"/>
      <c r="BC868" s="169"/>
    </row>
    <row r="869" spans="19:55">
      <c r="S869" s="454"/>
      <c r="AY869" s="454"/>
      <c r="AZ869" s="454"/>
      <c r="BA869" s="1306"/>
      <c r="BC869" s="169"/>
    </row>
    <row r="870" spans="19:55">
      <c r="S870" s="454"/>
      <c r="AY870" s="454"/>
      <c r="AZ870" s="454"/>
      <c r="BA870" s="1306"/>
      <c r="BC870" s="169"/>
    </row>
    <row r="871" spans="19:55">
      <c r="S871" s="454"/>
      <c r="AY871" s="454"/>
      <c r="AZ871" s="454"/>
      <c r="BA871" s="1306"/>
      <c r="BC871" s="169"/>
    </row>
    <row r="872" spans="19:55">
      <c r="S872" s="454"/>
      <c r="AY872" s="454"/>
      <c r="AZ872" s="454"/>
      <c r="BA872" s="1306"/>
      <c r="BC872" s="169"/>
    </row>
    <row r="873" spans="19:55">
      <c r="S873" s="454"/>
      <c r="AY873" s="454"/>
      <c r="AZ873" s="454"/>
      <c r="BA873" s="1306"/>
      <c r="BC873" s="169"/>
    </row>
    <row r="874" spans="19:55">
      <c r="S874" s="454"/>
      <c r="AY874" s="454"/>
      <c r="AZ874" s="454"/>
      <c r="BA874" s="1306"/>
      <c r="BC874" s="169"/>
    </row>
    <row r="875" spans="19:55">
      <c r="S875" s="454"/>
      <c r="AY875" s="454"/>
      <c r="AZ875" s="454"/>
      <c r="BA875" s="1306"/>
      <c r="BC875" s="169"/>
    </row>
    <row r="876" spans="19:55">
      <c r="S876" s="454"/>
      <c r="AY876" s="454"/>
      <c r="AZ876" s="454"/>
      <c r="BA876" s="1306"/>
      <c r="BC876" s="169"/>
    </row>
    <row r="877" spans="19:55">
      <c r="S877" s="454"/>
      <c r="AY877" s="454"/>
      <c r="AZ877" s="454"/>
      <c r="BA877" s="1306"/>
      <c r="BC877" s="169"/>
    </row>
    <row r="878" spans="19:55">
      <c r="S878" s="454"/>
      <c r="AY878" s="454"/>
      <c r="AZ878" s="454"/>
      <c r="BA878" s="1306"/>
      <c r="BC878" s="169"/>
    </row>
    <row r="879" spans="19:55">
      <c r="S879" s="454"/>
      <c r="AY879" s="454"/>
      <c r="AZ879" s="454"/>
      <c r="BA879" s="1306"/>
      <c r="BC879" s="169"/>
    </row>
    <row r="880" spans="19:55">
      <c r="S880" s="454"/>
      <c r="AY880" s="454"/>
      <c r="AZ880" s="454"/>
      <c r="BA880" s="1306"/>
      <c r="BC880" s="169"/>
    </row>
    <row r="881" spans="19:55">
      <c r="S881" s="454"/>
      <c r="AY881" s="454"/>
      <c r="AZ881" s="454"/>
      <c r="BA881" s="1306"/>
      <c r="BC881" s="169"/>
    </row>
    <row r="882" spans="19:55">
      <c r="S882" s="454"/>
      <c r="AY882" s="454"/>
      <c r="AZ882" s="454"/>
      <c r="BA882" s="1306"/>
      <c r="BC882" s="169"/>
    </row>
    <row r="883" spans="19:55">
      <c r="S883" s="454"/>
      <c r="AY883" s="454"/>
      <c r="AZ883" s="454"/>
      <c r="BA883" s="1306"/>
      <c r="BC883" s="169"/>
    </row>
    <row r="884" spans="19:55">
      <c r="S884" s="454"/>
      <c r="AY884" s="454"/>
      <c r="AZ884" s="454"/>
      <c r="BA884" s="1306"/>
      <c r="BC884" s="169"/>
    </row>
    <row r="885" spans="19:55">
      <c r="S885" s="454"/>
      <c r="AY885" s="454"/>
      <c r="AZ885" s="454"/>
      <c r="BA885" s="1306"/>
      <c r="BC885" s="169"/>
    </row>
    <row r="886" spans="19:55">
      <c r="S886" s="454"/>
      <c r="AY886" s="454"/>
      <c r="AZ886" s="454"/>
      <c r="BA886" s="1306"/>
      <c r="BC886" s="169"/>
    </row>
    <row r="887" spans="19:55">
      <c r="S887" s="454"/>
      <c r="AY887" s="454"/>
      <c r="AZ887" s="454"/>
      <c r="BA887" s="1306"/>
      <c r="BC887" s="169"/>
    </row>
    <row r="888" spans="19:55">
      <c r="S888" s="454"/>
      <c r="AY888" s="454"/>
      <c r="AZ888" s="454"/>
      <c r="BA888" s="1306"/>
      <c r="BC888" s="169"/>
    </row>
    <row r="889" spans="19:55">
      <c r="S889" s="454"/>
      <c r="AY889" s="454"/>
      <c r="AZ889" s="454"/>
      <c r="BA889" s="1306"/>
      <c r="BC889" s="169"/>
    </row>
    <row r="890" spans="19:55">
      <c r="S890" s="454"/>
      <c r="AY890" s="454"/>
      <c r="AZ890" s="454"/>
      <c r="BA890" s="1306"/>
      <c r="BC890" s="169"/>
    </row>
    <row r="891" spans="19:55">
      <c r="S891" s="454"/>
      <c r="AY891" s="454"/>
      <c r="AZ891" s="454"/>
      <c r="BA891" s="1306"/>
      <c r="BC891" s="169"/>
    </row>
    <row r="892" spans="19:55">
      <c r="S892" s="454"/>
      <c r="AY892" s="454"/>
      <c r="AZ892" s="454"/>
      <c r="BA892" s="1306"/>
      <c r="BC892" s="169"/>
    </row>
    <row r="893" spans="19:55">
      <c r="S893" s="454"/>
      <c r="AY893" s="454"/>
      <c r="AZ893" s="454"/>
      <c r="BA893" s="1306"/>
      <c r="BC893" s="169"/>
    </row>
    <row r="894" spans="19:55">
      <c r="S894" s="454"/>
      <c r="AY894" s="454"/>
      <c r="AZ894" s="454"/>
      <c r="BA894" s="1306"/>
      <c r="BC894" s="169"/>
    </row>
    <row r="895" spans="19:55">
      <c r="S895" s="454"/>
      <c r="AY895" s="454"/>
      <c r="AZ895" s="454"/>
      <c r="BA895" s="1306"/>
      <c r="BC895" s="169"/>
    </row>
    <row r="896" spans="19:55">
      <c r="S896" s="454"/>
      <c r="AY896" s="454"/>
      <c r="AZ896" s="454"/>
      <c r="BA896" s="1306"/>
      <c r="BC896" s="169"/>
    </row>
    <row r="897" spans="19:55">
      <c r="S897" s="454"/>
      <c r="AY897" s="454"/>
      <c r="AZ897" s="454"/>
      <c r="BA897" s="1306"/>
      <c r="BC897" s="169"/>
    </row>
    <row r="898" spans="19:55">
      <c r="S898" s="454"/>
      <c r="AY898" s="454"/>
      <c r="AZ898" s="454"/>
      <c r="BA898" s="1306"/>
      <c r="BC898" s="169"/>
    </row>
    <row r="899" spans="19:55">
      <c r="S899" s="454"/>
      <c r="AY899" s="454"/>
      <c r="AZ899" s="454"/>
      <c r="BA899" s="1306"/>
      <c r="BC899" s="169"/>
    </row>
    <row r="900" spans="19:55">
      <c r="S900" s="454"/>
      <c r="AY900" s="454"/>
      <c r="AZ900" s="454"/>
      <c r="BA900" s="1306"/>
      <c r="BC900" s="169"/>
    </row>
    <row r="901" spans="19:55">
      <c r="S901" s="454"/>
      <c r="AY901" s="454"/>
      <c r="AZ901" s="454"/>
      <c r="BA901" s="1306"/>
      <c r="BC901" s="169"/>
    </row>
    <row r="902" spans="19:55">
      <c r="S902" s="454"/>
      <c r="AY902" s="454"/>
      <c r="AZ902" s="454"/>
      <c r="BA902" s="1306"/>
      <c r="BC902" s="169"/>
    </row>
    <row r="903" spans="19:55">
      <c r="S903" s="454"/>
      <c r="AY903" s="454"/>
      <c r="AZ903" s="454"/>
      <c r="BA903" s="1306"/>
      <c r="BC903" s="169"/>
    </row>
    <row r="904" spans="19:55">
      <c r="S904" s="454"/>
      <c r="AY904" s="454"/>
      <c r="AZ904" s="454"/>
      <c r="BA904" s="1306"/>
      <c r="BC904" s="169"/>
    </row>
    <row r="905" spans="19:55">
      <c r="S905" s="454"/>
      <c r="AY905" s="454"/>
      <c r="AZ905" s="454"/>
      <c r="BA905" s="1306"/>
      <c r="BC905" s="169"/>
    </row>
    <row r="906" spans="19:55">
      <c r="S906" s="454"/>
      <c r="AY906" s="454"/>
      <c r="AZ906" s="454"/>
      <c r="BA906" s="1306"/>
      <c r="BC906" s="169"/>
    </row>
    <row r="907" spans="19:55">
      <c r="S907" s="454"/>
      <c r="AY907" s="454"/>
      <c r="AZ907" s="454"/>
      <c r="BA907" s="1306"/>
      <c r="BC907" s="169"/>
    </row>
    <row r="908" spans="19:55">
      <c r="S908" s="454"/>
      <c r="AY908" s="454"/>
      <c r="AZ908" s="454"/>
      <c r="BA908" s="1306"/>
      <c r="BC908" s="169"/>
    </row>
    <row r="909" spans="19:55">
      <c r="S909" s="454"/>
      <c r="AY909" s="454"/>
      <c r="AZ909" s="454"/>
      <c r="BA909" s="1306"/>
      <c r="BC909" s="169"/>
    </row>
    <row r="910" spans="19:55">
      <c r="S910" s="454"/>
      <c r="AY910" s="454"/>
      <c r="AZ910" s="454"/>
      <c r="BA910" s="1306"/>
      <c r="BC910" s="169"/>
    </row>
    <row r="911" spans="19:55">
      <c r="S911" s="454"/>
      <c r="AY911" s="454"/>
      <c r="AZ911" s="454"/>
      <c r="BA911" s="1306"/>
      <c r="BC911" s="169"/>
    </row>
    <row r="912" spans="19:55">
      <c r="S912" s="454"/>
      <c r="AY912" s="454"/>
      <c r="AZ912" s="454"/>
      <c r="BA912" s="1306"/>
      <c r="BC912" s="169"/>
    </row>
    <row r="913" spans="19:55">
      <c r="S913" s="454"/>
      <c r="AY913" s="454"/>
      <c r="AZ913" s="454"/>
      <c r="BA913" s="1306"/>
      <c r="BC913" s="169"/>
    </row>
    <row r="914" spans="19:55">
      <c r="S914" s="454"/>
      <c r="AY914" s="454"/>
      <c r="AZ914" s="454"/>
      <c r="BA914" s="1306"/>
      <c r="BC914" s="169"/>
    </row>
    <row r="915" spans="19:55">
      <c r="S915" s="454"/>
      <c r="AY915" s="454"/>
      <c r="AZ915" s="454"/>
      <c r="BA915" s="1306"/>
      <c r="BC915" s="169"/>
    </row>
    <row r="916" spans="19:55">
      <c r="S916" s="454"/>
      <c r="AY916" s="454"/>
      <c r="AZ916" s="454"/>
      <c r="BA916" s="1306"/>
      <c r="BC916" s="169"/>
    </row>
    <row r="917" spans="19:55">
      <c r="S917" s="454"/>
      <c r="AY917" s="454"/>
      <c r="AZ917" s="454"/>
      <c r="BA917" s="1306"/>
      <c r="BC917" s="169"/>
    </row>
    <row r="918" spans="19:55">
      <c r="S918" s="454"/>
      <c r="AY918" s="454"/>
      <c r="AZ918" s="454"/>
      <c r="BA918" s="1306"/>
      <c r="BC918" s="169"/>
    </row>
    <row r="919" spans="19:55">
      <c r="S919" s="454"/>
      <c r="AY919" s="454"/>
      <c r="AZ919" s="454"/>
      <c r="BA919" s="1306"/>
      <c r="BC919" s="169"/>
    </row>
    <row r="920" spans="19:55">
      <c r="S920" s="454"/>
      <c r="AY920" s="454"/>
      <c r="AZ920" s="454"/>
      <c r="BA920" s="1306"/>
      <c r="BC920" s="169"/>
    </row>
    <row r="921" spans="19:55">
      <c r="S921" s="454"/>
      <c r="AY921" s="454"/>
      <c r="AZ921" s="454"/>
      <c r="BA921" s="1306"/>
      <c r="BC921" s="169"/>
    </row>
    <row r="922" spans="19:55">
      <c r="S922" s="454"/>
      <c r="AY922" s="454"/>
      <c r="AZ922" s="454"/>
      <c r="BA922" s="1306"/>
      <c r="BC922" s="169"/>
    </row>
    <row r="923" spans="19:55">
      <c r="S923" s="454"/>
      <c r="AY923" s="454"/>
      <c r="AZ923" s="454"/>
      <c r="BA923" s="1306"/>
      <c r="BC923" s="169"/>
    </row>
    <row r="924" spans="19:55">
      <c r="S924" s="454"/>
      <c r="AY924" s="454"/>
      <c r="AZ924" s="454"/>
      <c r="BA924" s="1306"/>
      <c r="BC924" s="169"/>
    </row>
    <row r="925" spans="19:55">
      <c r="S925" s="454"/>
      <c r="AY925" s="454"/>
      <c r="AZ925" s="454"/>
      <c r="BA925" s="1306"/>
      <c r="BC925" s="169"/>
    </row>
    <row r="926" spans="19:55">
      <c r="S926" s="454"/>
      <c r="AY926" s="454"/>
      <c r="AZ926" s="454"/>
      <c r="BA926" s="1306"/>
      <c r="BC926" s="169"/>
    </row>
    <row r="927" spans="19:55">
      <c r="S927" s="454"/>
      <c r="AY927" s="454"/>
      <c r="AZ927" s="454"/>
      <c r="BA927" s="1306"/>
      <c r="BC927" s="169"/>
    </row>
    <row r="928" spans="19:55">
      <c r="S928" s="454"/>
      <c r="AY928" s="454"/>
      <c r="AZ928" s="454"/>
      <c r="BA928" s="1306"/>
      <c r="BC928" s="169"/>
    </row>
    <row r="929" spans="19:55">
      <c r="S929" s="454"/>
      <c r="AY929" s="454"/>
      <c r="AZ929" s="454"/>
      <c r="BA929" s="1306"/>
      <c r="BC929" s="169"/>
    </row>
    <row r="930" spans="19:55">
      <c r="S930" s="454"/>
      <c r="AY930" s="454"/>
      <c r="AZ930" s="454"/>
      <c r="BA930" s="1306"/>
      <c r="BC930" s="169"/>
    </row>
    <row r="931" spans="19:55">
      <c r="S931" s="454"/>
      <c r="AY931" s="454"/>
      <c r="AZ931" s="454"/>
      <c r="BA931" s="1306"/>
      <c r="BC931" s="169"/>
    </row>
    <row r="932" spans="19:55">
      <c r="S932" s="454"/>
      <c r="AY932" s="454"/>
      <c r="AZ932" s="454"/>
      <c r="BA932" s="1306"/>
      <c r="BC932" s="169"/>
    </row>
    <row r="933" spans="19:55">
      <c r="S933" s="454"/>
      <c r="AY933" s="454"/>
      <c r="AZ933" s="454"/>
      <c r="BA933" s="1306"/>
      <c r="BC933" s="169"/>
    </row>
    <row r="934" spans="19:55">
      <c r="S934" s="454"/>
      <c r="AY934" s="454"/>
      <c r="AZ934" s="454"/>
      <c r="BA934" s="1306"/>
      <c r="BC934" s="169"/>
    </row>
    <row r="935" spans="19:55">
      <c r="S935" s="454"/>
      <c r="AY935" s="454"/>
      <c r="AZ935" s="454"/>
      <c r="BA935" s="1306"/>
      <c r="BC935" s="169"/>
    </row>
    <row r="936" spans="19:55">
      <c r="S936" s="454"/>
      <c r="AY936" s="454"/>
      <c r="AZ936" s="454"/>
      <c r="BA936" s="1306"/>
      <c r="BC936" s="169"/>
    </row>
    <row r="937" spans="19:55">
      <c r="S937" s="454"/>
      <c r="AY937" s="454"/>
      <c r="AZ937" s="454"/>
      <c r="BA937" s="1306"/>
      <c r="BC937" s="169"/>
    </row>
    <row r="938" spans="19:55">
      <c r="S938" s="454"/>
      <c r="AY938" s="454"/>
      <c r="AZ938" s="454"/>
      <c r="BA938" s="1306"/>
      <c r="BC938" s="169"/>
    </row>
    <row r="939" spans="19:55">
      <c r="S939" s="454"/>
      <c r="AY939" s="454"/>
      <c r="AZ939" s="454"/>
      <c r="BA939" s="1306"/>
      <c r="BC939" s="169"/>
    </row>
    <row r="940" spans="19:55">
      <c r="S940" s="454"/>
      <c r="AY940" s="454"/>
      <c r="AZ940" s="454"/>
      <c r="BA940" s="1306"/>
      <c r="BC940" s="169"/>
    </row>
    <row r="941" spans="19:55">
      <c r="S941" s="454"/>
      <c r="AY941" s="454"/>
      <c r="AZ941" s="454"/>
      <c r="BA941" s="1306"/>
      <c r="BC941" s="169"/>
    </row>
    <row r="942" spans="19:55">
      <c r="S942" s="454"/>
      <c r="AY942" s="454"/>
      <c r="AZ942" s="454"/>
      <c r="BA942" s="1306"/>
      <c r="BC942" s="169"/>
    </row>
    <row r="943" spans="19:55">
      <c r="S943" s="454"/>
      <c r="AY943" s="454"/>
      <c r="AZ943" s="454"/>
      <c r="BA943" s="1306"/>
      <c r="BC943" s="169"/>
    </row>
    <row r="944" spans="19:55">
      <c r="S944" s="454"/>
      <c r="AY944" s="454"/>
      <c r="AZ944" s="454"/>
      <c r="BA944" s="1306"/>
      <c r="BC944" s="169"/>
    </row>
    <row r="945" spans="19:55">
      <c r="S945" s="454"/>
      <c r="AY945" s="454"/>
      <c r="AZ945" s="454"/>
      <c r="BA945" s="1306"/>
      <c r="BC945" s="169"/>
    </row>
    <row r="946" spans="19:55">
      <c r="S946" s="454"/>
      <c r="AY946" s="454"/>
      <c r="AZ946" s="454"/>
      <c r="BA946" s="1306"/>
      <c r="BC946" s="169"/>
    </row>
    <row r="947" spans="19:55">
      <c r="S947" s="454"/>
      <c r="AY947" s="454"/>
      <c r="AZ947" s="454"/>
      <c r="BA947" s="1306"/>
      <c r="BC947" s="169"/>
    </row>
    <row r="948" spans="19:55">
      <c r="S948" s="454"/>
      <c r="AY948" s="454"/>
      <c r="AZ948" s="454"/>
      <c r="BA948" s="1306"/>
      <c r="BC948" s="169"/>
    </row>
    <row r="949" spans="19:55">
      <c r="S949" s="454"/>
      <c r="AY949" s="454"/>
      <c r="AZ949" s="454"/>
      <c r="BA949" s="1306"/>
      <c r="BC949" s="169"/>
    </row>
    <row r="950" spans="19:55">
      <c r="S950" s="454"/>
      <c r="AY950" s="454"/>
      <c r="AZ950" s="454"/>
      <c r="BA950" s="1306"/>
      <c r="BC950" s="169"/>
    </row>
    <row r="951" spans="19:55">
      <c r="S951" s="454"/>
      <c r="AY951" s="454"/>
      <c r="AZ951" s="454"/>
      <c r="BA951" s="1306"/>
      <c r="BC951" s="169"/>
    </row>
    <row r="952" spans="19:55">
      <c r="S952" s="454"/>
      <c r="AY952" s="454"/>
      <c r="AZ952" s="454"/>
      <c r="BA952" s="1306"/>
      <c r="BC952" s="169"/>
    </row>
    <row r="953" spans="19:55">
      <c r="S953" s="454"/>
      <c r="AY953" s="454"/>
      <c r="AZ953" s="454"/>
      <c r="BA953" s="1306"/>
      <c r="BC953" s="169"/>
    </row>
    <row r="954" spans="19:55">
      <c r="S954" s="454"/>
      <c r="AY954" s="454"/>
      <c r="AZ954" s="454"/>
      <c r="BA954" s="1306"/>
      <c r="BC954" s="169"/>
    </row>
    <row r="955" spans="19:55">
      <c r="S955" s="454"/>
      <c r="AY955" s="454"/>
      <c r="AZ955" s="454"/>
      <c r="BA955" s="1306"/>
      <c r="BC955" s="169"/>
    </row>
    <row r="956" spans="19:55">
      <c r="S956" s="454"/>
      <c r="AY956" s="454"/>
      <c r="AZ956" s="454"/>
      <c r="BA956" s="1306"/>
      <c r="BC956" s="169"/>
    </row>
    <row r="957" spans="19:55">
      <c r="S957" s="454"/>
      <c r="AY957" s="454"/>
      <c r="AZ957" s="454"/>
      <c r="BA957" s="1306"/>
      <c r="BC957" s="169"/>
    </row>
    <row r="958" spans="19:55">
      <c r="S958" s="454"/>
      <c r="AY958" s="454"/>
      <c r="AZ958" s="454"/>
      <c r="BA958" s="1306"/>
      <c r="BC958" s="169"/>
    </row>
    <row r="959" spans="19:55">
      <c r="S959" s="454"/>
      <c r="AY959" s="454"/>
      <c r="AZ959" s="454"/>
      <c r="BA959" s="1306"/>
      <c r="BC959" s="169"/>
    </row>
    <row r="960" spans="19:55">
      <c r="S960" s="454"/>
      <c r="AY960" s="454"/>
      <c r="AZ960" s="454"/>
      <c r="BA960" s="1306"/>
      <c r="BC960" s="169"/>
    </row>
    <row r="961" spans="19:55">
      <c r="S961" s="454"/>
      <c r="AY961" s="454"/>
      <c r="AZ961" s="454"/>
      <c r="BA961" s="1306"/>
      <c r="BC961" s="169"/>
    </row>
    <row r="962" spans="19:55">
      <c r="S962" s="454"/>
      <c r="AY962" s="454"/>
      <c r="AZ962" s="454"/>
      <c r="BA962" s="1306"/>
      <c r="BC962" s="169"/>
    </row>
    <row r="963" spans="19:55">
      <c r="S963" s="454"/>
      <c r="AY963" s="454"/>
      <c r="AZ963" s="454"/>
      <c r="BA963" s="1306"/>
      <c r="BC963" s="169"/>
    </row>
    <row r="964" spans="19:55">
      <c r="S964" s="454"/>
      <c r="AY964" s="454"/>
      <c r="AZ964" s="454"/>
      <c r="BA964" s="1306"/>
      <c r="BC964" s="169"/>
    </row>
    <row r="965" spans="19:55">
      <c r="S965" s="454"/>
      <c r="AY965" s="454"/>
      <c r="AZ965" s="454"/>
      <c r="BA965" s="1306"/>
      <c r="BC965" s="169"/>
    </row>
    <row r="966" spans="19:55">
      <c r="S966" s="454"/>
      <c r="AY966" s="454"/>
      <c r="AZ966" s="454"/>
      <c r="BA966" s="1306"/>
      <c r="BC966" s="169"/>
    </row>
    <row r="967" spans="19:55">
      <c r="S967" s="454"/>
      <c r="AY967" s="454"/>
      <c r="AZ967" s="454"/>
      <c r="BA967" s="1306"/>
      <c r="BC967" s="169"/>
    </row>
    <row r="968" spans="19:55">
      <c r="S968" s="454"/>
      <c r="AY968" s="454"/>
      <c r="AZ968" s="454"/>
      <c r="BA968" s="1306"/>
      <c r="BC968" s="169"/>
    </row>
    <row r="969" spans="19:55">
      <c r="S969" s="454"/>
      <c r="AY969" s="454"/>
      <c r="AZ969" s="454"/>
      <c r="BA969" s="1306"/>
      <c r="BC969" s="169"/>
    </row>
    <row r="970" spans="19:55">
      <c r="S970" s="454"/>
      <c r="AY970" s="454"/>
      <c r="AZ970" s="454"/>
      <c r="BA970" s="1306"/>
      <c r="BC970" s="169"/>
    </row>
    <row r="971" spans="19:55">
      <c r="S971" s="454"/>
      <c r="AY971" s="454"/>
      <c r="AZ971" s="454"/>
      <c r="BA971" s="1306"/>
      <c r="BC971" s="169"/>
    </row>
    <row r="972" spans="19:55">
      <c r="S972" s="454"/>
      <c r="AY972" s="454"/>
      <c r="AZ972" s="454"/>
      <c r="BA972" s="1306"/>
      <c r="BC972" s="169"/>
    </row>
    <row r="973" spans="19:55">
      <c r="S973" s="454"/>
      <c r="AY973" s="454"/>
      <c r="AZ973" s="454"/>
      <c r="BA973" s="1306"/>
      <c r="BC973" s="169"/>
    </row>
    <row r="974" spans="19:55">
      <c r="S974" s="454"/>
      <c r="AY974" s="454"/>
      <c r="AZ974" s="454"/>
      <c r="BA974" s="1306"/>
      <c r="BC974" s="169"/>
    </row>
    <row r="975" spans="19:55">
      <c r="S975" s="454"/>
      <c r="AY975" s="454"/>
      <c r="AZ975" s="454"/>
      <c r="BA975" s="1306"/>
      <c r="BC975" s="169"/>
    </row>
    <row r="976" spans="19:55">
      <c r="S976" s="454"/>
      <c r="AY976" s="454"/>
      <c r="AZ976" s="454"/>
      <c r="BA976" s="1306"/>
      <c r="BC976" s="169"/>
    </row>
    <row r="977" spans="19:55">
      <c r="S977" s="454"/>
      <c r="AY977" s="454"/>
      <c r="AZ977" s="454"/>
      <c r="BA977" s="1306"/>
      <c r="BC977" s="169"/>
    </row>
    <row r="978" spans="19:55">
      <c r="S978" s="454"/>
      <c r="AY978" s="454"/>
      <c r="AZ978" s="454"/>
      <c r="BA978" s="1306"/>
      <c r="BC978" s="169"/>
    </row>
    <row r="979" spans="19:55">
      <c r="S979" s="454"/>
      <c r="AY979" s="454"/>
      <c r="AZ979" s="454"/>
      <c r="BA979" s="1306"/>
      <c r="BC979" s="169"/>
    </row>
    <row r="980" spans="19:55">
      <c r="S980" s="454"/>
      <c r="AY980" s="454"/>
      <c r="AZ980" s="454"/>
      <c r="BA980" s="1306"/>
      <c r="BC980" s="169"/>
    </row>
    <row r="981" spans="19:55">
      <c r="S981" s="454"/>
      <c r="AY981" s="454"/>
      <c r="AZ981" s="454"/>
      <c r="BA981" s="1306"/>
      <c r="BC981" s="169"/>
    </row>
    <row r="982" spans="19:55">
      <c r="S982" s="454"/>
      <c r="AY982" s="454"/>
      <c r="AZ982" s="454"/>
      <c r="BA982" s="1306"/>
      <c r="BC982" s="169"/>
    </row>
    <row r="983" spans="19:55">
      <c r="S983" s="454"/>
      <c r="AY983" s="454"/>
      <c r="AZ983" s="454"/>
      <c r="BA983" s="1306"/>
      <c r="BC983" s="169"/>
    </row>
    <row r="984" spans="19:55">
      <c r="S984" s="454"/>
      <c r="AY984" s="454"/>
      <c r="AZ984" s="454"/>
      <c r="BA984" s="1306"/>
      <c r="BC984" s="169"/>
    </row>
    <row r="985" spans="19:55">
      <c r="S985" s="454"/>
      <c r="AY985" s="454"/>
      <c r="AZ985" s="454"/>
      <c r="BA985" s="1306"/>
      <c r="BC985" s="169"/>
    </row>
    <row r="986" spans="19:55">
      <c r="S986" s="454"/>
      <c r="AY986" s="454"/>
      <c r="AZ986" s="454"/>
      <c r="BA986" s="1306"/>
      <c r="BC986" s="169"/>
    </row>
    <row r="987" spans="19:55">
      <c r="S987" s="454"/>
      <c r="AY987" s="454"/>
      <c r="AZ987" s="454"/>
      <c r="BA987" s="1306"/>
      <c r="BC987" s="169"/>
    </row>
    <row r="988" spans="19:55">
      <c r="S988" s="454"/>
      <c r="AY988" s="454"/>
      <c r="AZ988" s="454"/>
      <c r="BA988" s="1306"/>
      <c r="BC988" s="169"/>
    </row>
    <row r="989" spans="19:55">
      <c r="S989" s="454"/>
      <c r="AY989" s="454"/>
      <c r="AZ989" s="454"/>
      <c r="BA989" s="1306"/>
      <c r="BC989" s="169"/>
    </row>
    <row r="990" spans="19:55">
      <c r="S990" s="454"/>
      <c r="AY990" s="454"/>
      <c r="AZ990" s="454"/>
      <c r="BA990" s="1306"/>
      <c r="BC990" s="169"/>
    </row>
    <row r="991" spans="19:55">
      <c r="S991" s="454"/>
      <c r="AY991" s="454"/>
      <c r="AZ991" s="454"/>
      <c r="BA991" s="1306"/>
      <c r="BC991" s="169"/>
    </row>
    <row r="992" spans="19:55">
      <c r="S992" s="454"/>
      <c r="AY992" s="454"/>
      <c r="AZ992" s="454"/>
      <c r="BA992" s="1306"/>
      <c r="BC992" s="169"/>
    </row>
    <row r="993" spans="19:55">
      <c r="S993" s="454"/>
      <c r="AY993" s="454"/>
      <c r="AZ993" s="454"/>
      <c r="BA993" s="1306"/>
      <c r="BC993" s="169"/>
    </row>
    <row r="994" spans="19:55">
      <c r="S994" s="454"/>
      <c r="AY994" s="454"/>
      <c r="AZ994" s="454"/>
      <c r="BA994" s="1306"/>
      <c r="BC994" s="169"/>
    </row>
    <row r="995" spans="19:55">
      <c r="S995" s="454"/>
      <c r="AY995" s="454"/>
      <c r="AZ995" s="454"/>
      <c r="BA995" s="1306"/>
      <c r="BC995" s="169"/>
    </row>
    <row r="996" spans="19:55">
      <c r="S996" s="454"/>
      <c r="AY996" s="454"/>
      <c r="AZ996" s="454"/>
      <c r="BA996" s="1306"/>
      <c r="BC996" s="169"/>
    </row>
    <row r="997" spans="19:55">
      <c r="S997" s="454"/>
      <c r="AY997" s="454"/>
      <c r="AZ997" s="454"/>
      <c r="BA997" s="1306"/>
      <c r="BC997" s="169"/>
    </row>
    <row r="998" spans="19:55">
      <c r="S998" s="454"/>
      <c r="AY998" s="454"/>
      <c r="AZ998" s="454"/>
      <c r="BA998" s="1306"/>
      <c r="BC998" s="169"/>
    </row>
    <row r="999" spans="19:55">
      <c r="S999" s="454"/>
      <c r="AY999" s="454"/>
      <c r="AZ999" s="454"/>
      <c r="BA999" s="1306"/>
      <c r="BC999" s="169"/>
    </row>
    <row r="1000" spans="19:55">
      <c r="S1000" s="454"/>
      <c r="AY1000" s="454"/>
      <c r="AZ1000" s="454"/>
      <c r="BA1000" s="1306"/>
      <c r="BC1000" s="169"/>
    </row>
    <row r="1001" spans="19:55">
      <c r="S1001" s="454"/>
      <c r="AY1001" s="454"/>
      <c r="AZ1001" s="454"/>
      <c r="BA1001" s="1306"/>
      <c r="BC1001" s="169"/>
    </row>
    <row r="1002" spans="19:55">
      <c r="S1002" s="454"/>
      <c r="AY1002" s="454"/>
      <c r="AZ1002" s="454"/>
      <c r="BA1002" s="1306"/>
      <c r="BC1002" s="169"/>
    </row>
    <row r="1003" spans="19:55">
      <c r="S1003" s="454"/>
      <c r="AY1003" s="454"/>
      <c r="AZ1003" s="454"/>
      <c r="BA1003" s="1306"/>
      <c r="BC1003" s="169"/>
    </row>
    <row r="1004" spans="19:55">
      <c r="S1004" s="454"/>
      <c r="AY1004" s="454"/>
      <c r="AZ1004" s="454"/>
      <c r="BA1004" s="1306"/>
      <c r="BC1004" s="169"/>
    </row>
    <row r="1005" spans="19:55">
      <c r="S1005" s="454"/>
      <c r="AY1005" s="454"/>
      <c r="AZ1005" s="454"/>
      <c r="BA1005" s="1306"/>
      <c r="BC1005" s="169"/>
    </row>
    <row r="1006" spans="19:55">
      <c r="S1006" s="454"/>
      <c r="AY1006" s="454"/>
      <c r="AZ1006" s="454"/>
      <c r="BA1006" s="1306"/>
      <c r="BC1006" s="169"/>
    </row>
    <row r="1007" spans="19:55">
      <c r="S1007" s="454"/>
      <c r="AY1007" s="454"/>
      <c r="AZ1007" s="454"/>
      <c r="BA1007" s="1306"/>
      <c r="BC1007" s="169"/>
    </row>
    <row r="1008" spans="19:55">
      <c r="S1008" s="454"/>
      <c r="AY1008" s="454"/>
      <c r="AZ1008" s="454"/>
      <c r="BA1008" s="1306"/>
      <c r="BC1008" s="169"/>
    </row>
    <row r="1009" spans="19:55">
      <c r="S1009" s="454"/>
      <c r="AY1009" s="454"/>
      <c r="AZ1009" s="454"/>
      <c r="BA1009" s="1306"/>
      <c r="BC1009" s="169"/>
    </row>
    <row r="1010" spans="19:55">
      <c r="S1010" s="454"/>
      <c r="AY1010" s="454"/>
      <c r="AZ1010" s="454"/>
      <c r="BA1010" s="1306"/>
      <c r="BC1010" s="169"/>
    </row>
    <row r="1011" spans="19:55">
      <c r="S1011" s="454"/>
      <c r="AY1011" s="454"/>
      <c r="AZ1011" s="454"/>
      <c r="BA1011" s="1306"/>
      <c r="BC1011" s="169"/>
    </row>
    <row r="1012" spans="19:55">
      <c r="S1012" s="454"/>
      <c r="AY1012" s="454"/>
      <c r="AZ1012" s="454"/>
      <c r="BA1012" s="1306"/>
      <c r="BC1012" s="169"/>
    </row>
    <row r="1013" spans="19:55">
      <c r="S1013" s="454"/>
      <c r="AY1013" s="454"/>
      <c r="AZ1013" s="454"/>
      <c r="BA1013" s="1306"/>
      <c r="BC1013" s="169"/>
    </row>
    <row r="1014" spans="19:55">
      <c r="S1014" s="454"/>
      <c r="AY1014" s="454"/>
      <c r="AZ1014" s="454"/>
      <c r="BA1014" s="1306"/>
      <c r="BC1014" s="169"/>
    </row>
    <row r="1015" spans="19:55">
      <c r="S1015" s="454"/>
      <c r="AY1015" s="454"/>
      <c r="AZ1015" s="454"/>
      <c r="BA1015" s="1306"/>
      <c r="BC1015" s="169"/>
    </row>
    <row r="1016" spans="19:55">
      <c r="S1016" s="454"/>
      <c r="AY1016" s="454"/>
      <c r="AZ1016" s="454"/>
      <c r="BA1016" s="1306"/>
      <c r="BC1016" s="169"/>
    </row>
    <row r="1017" spans="19:55">
      <c r="S1017" s="454"/>
      <c r="AY1017" s="454"/>
      <c r="AZ1017" s="454"/>
      <c r="BA1017" s="1306"/>
      <c r="BC1017" s="169"/>
    </row>
    <row r="1018" spans="19:55">
      <c r="S1018" s="454"/>
      <c r="AY1018" s="454"/>
      <c r="AZ1018" s="454"/>
      <c r="BA1018" s="1306"/>
      <c r="BC1018" s="169"/>
    </row>
    <row r="1019" spans="19:55">
      <c r="S1019" s="454"/>
      <c r="AY1019" s="454"/>
      <c r="AZ1019" s="454"/>
      <c r="BA1019" s="1306"/>
      <c r="BC1019" s="169"/>
    </row>
    <row r="1020" spans="19:55">
      <c r="S1020" s="454"/>
      <c r="AY1020" s="454"/>
      <c r="AZ1020" s="454"/>
      <c r="BA1020" s="1306"/>
      <c r="BC1020" s="169"/>
    </row>
    <row r="1021" spans="19:55">
      <c r="S1021" s="454"/>
      <c r="AY1021" s="454"/>
      <c r="AZ1021" s="454"/>
      <c r="BA1021" s="1306"/>
      <c r="BC1021" s="169"/>
    </row>
    <row r="1022" spans="19:55">
      <c r="S1022" s="454"/>
      <c r="AY1022" s="454"/>
      <c r="AZ1022" s="454"/>
      <c r="BA1022" s="1306"/>
      <c r="BC1022" s="169"/>
    </row>
    <row r="1023" spans="19:55">
      <c r="S1023" s="454"/>
      <c r="AY1023" s="454"/>
      <c r="AZ1023" s="454"/>
      <c r="BA1023" s="1306"/>
      <c r="BC1023" s="169"/>
    </row>
    <row r="1024" spans="19:55">
      <c r="S1024" s="454"/>
      <c r="AY1024" s="454"/>
      <c r="AZ1024" s="454"/>
      <c r="BA1024" s="1306"/>
      <c r="BC1024" s="169"/>
    </row>
    <row r="1025" spans="19:55">
      <c r="S1025" s="454"/>
      <c r="AY1025" s="454"/>
      <c r="AZ1025" s="454"/>
      <c r="BA1025" s="1306"/>
      <c r="BC1025" s="169"/>
    </row>
    <row r="1026" spans="19:55">
      <c r="S1026" s="454"/>
      <c r="AY1026" s="454"/>
      <c r="AZ1026" s="454"/>
      <c r="BA1026" s="1306"/>
      <c r="BC1026" s="169"/>
    </row>
    <row r="1027" spans="19:55">
      <c r="S1027" s="454"/>
      <c r="AY1027" s="454"/>
      <c r="AZ1027" s="454"/>
      <c r="BA1027" s="1306"/>
      <c r="BC1027" s="169"/>
    </row>
    <row r="1028" spans="19:55">
      <c r="S1028" s="454"/>
      <c r="AY1028" s="454"/>
      <c r="AZ1028" s="454"/>
      <c r="BA1028" s="1306"/>
      <c r="BC1028" s="169"/>
    </row>
    <row r="1029" spans="19:55">
      <c r="S1029" s="454"/>
      <c r="AY1029" s="454"/>
      <c r="AZ1029" s="454"/>
      <c r="BA1029" s="1306"/>
      <c r="BC1029" s="169"/>
    </row>
    <row r="1030" spans="19:55">
      <c r="S1030" s="454"/>
      <c r="AY1030" s="454"/>
      <c r="AZ1030" s="454"/>
      <c r="BA1030" s="1306"/>
      <c r="BC1030" s="169"/>
    </row>
    <row r="1031" spans="19:55">
      <c r="S1031" s="454"/>
      <c r="AY1031" s="454"/>
      <c r="AZ1031" s="454"/>
      <c r="BA1031" s="1306"/>
      <c r="BC1031" s="169"/>
    </row>
    <row r="1032" spans="19:55">
      <c r="S1032" s="454"/>
      <c r="AY1032" s="454"/>
      <c r="AZ1032" s="454"/>
      <c r="BA1032" s="1306"/>
      <c r="BC1032" s="169"/>
    </row>
    <row r="1033" spans="19:55">
      <c r="S1033" s="454"/>
      <c r="AY1033" s="454"/>
      <c r="AZ1033" s="454"/>
      <c r="BA1033" s="1306"/>
      <c r="BC1033" s="169"/>
    </row>
    <row r="1034" spans="19:55">
      <c r="S1034" s="454"/>
      <c r="AY1034" s="454"/>
      <c r="AZ1034" s="454"/>
      <c r="BA1034" s="1306"/>
      <c r="BC1034" s="169"/>
    </row>
    <row r="1035" spans="19:55">
      <c r="S1035" s="454"/>
      <c r="AY1035" s="454"/>
      <c r="AZ1035" s="454"/>
      <c r="BA1035" s="1306"/>
      <c r="BC1035" s="169"/>
    </row>
    <row r="1036" spans="19:55">
      <c r="S1036" s="454"/>
      <c r="AY1036" s="454"/>
      <c r="AZ1036" s="454"/>
      <c r="BA1036" s="1306"/>
      <c r="BC1036" s="169"/>
    </row>
    <row r="1037" spans="19:55">
      <c r="S1037" s="454"/>
      <c r="AY1037" s="454"/>
      <c r="AZ1037" s="454"/>
      <c r="BA1037" s="1306"/>
      <c r="BC1037" s="169"/>
    </row>
    <row r="1038" spans="19:55">
      <c r="S1038" s="454"/>
      <c r="AY1038" s="454"/>
      <c r="AZ1038" s="454"/>
      <c r="BA1038" s="1306"/>
      <c r="BC1038" s="169"/>
    </row>
    <row r="1039" spans="19:55">
      <c r="S1039" s="454"/>
      <c r="AY1039" s="454"/>
      <c r="AZ1039" s="454"/>
      <c r="BA1039" s="1306"/>
      <c r="BC1039" s="169"/>
    </row>
    <row r="1040" spans="19:55">
      <c r="S1040" s="454"/>
      <c r="AY1040" s="454"/>
      <c r="AZ1040" s="454"/>
      <c r="BA1040" s="1306"/>
      <c r="BC1040" s="169"/>
    </row>
    <row r="1041" spans="19:55">
      <c r="S1041" s="454"/>
      <c r="AY1041" s="454"/>
      <c r="AZ1041" s="454"/>
      <c r="BA1041" s="1306"/>
      <c r="BC1041" s="169"/>
    </row>
    <row r="1042" spans="19:55">
      <c r="S1042" s="454"/>
      <c r="AY1042" s="454"/>
      <c r="AZ1042" s="454"/>
      <c r="BA1042" s="1306"/>
      <c r="BC1042" s="169"/>
    </row>
    <row r="1043" spans="19:55">
      <c r="S1043" s="454"/>
      <c r="AY1043" s="454"/>
      <c r="AZ1043" s="454"/>
      <c r="BA1043" s="1306"/>
      <c r="BC1043" s="169"/>
    </row>
    <row r="1044" spans="19:55">
      <c r="S1044" s="454"/>
      <c r="AY1044" s="454"/>
      <c r="AZ1044" s="454"/>
      <c r="BA1044" s="1306"/>
      <c r="BC1044" s="169"/>
    </row>
    <row r="1045" spans="19:55">
      <c r="S1045" s="454"/>
      <c r="AY1045" s="454"/>
      <c r="AZ1045" s="454"/>
      <c r="BA1045" s="1306"/>
      <c r="BC1045" s="169"/>
    </row>
    <row r="1046" spans="19:55">
      <c r="S1046" s="454"/>
      <c r="AY1046" s="454"/>
      <c r="AZ1046" s="454"/>
      <c r="BA1046" s="1306"/>
      <c r="BC1046" s="169"/>
    </row>
    <row r="1047" spans="19:55">
      <c r="S1047" s="454"/>
      <c r="AY1047" s="454"/>
      <c r="AZ1047" s="454"/>
      <c r="BA1047" s="1306"/>
      <c r="BC1047" s="169"/>
    </row>
    <row r="1048" spans="19:55">
      <c r="S1048" s="454"/>
      <c r="AY1048" s="454"/>
      <c r="AZ1048" s="454"/>
      <c r="BA1048" s="1306"/>
      <c r="BC1048" s="169"/>
    </row>
    <row r="1049" spans="19:55">
      <c r="S1049" s="454"/>
      <c r="AY1049" s="454"/>
      <c r="AZ1049" s="454"/>
      <c r="BA1049" s="1306"/>
      <c r="BC1049" s="169"/>
    </row>
    <row r="1050" spans="19:55">
      <c r="S1050" s="454"/>
      <c r="AY1050" s="454"/>
      <c r="AZ1050" s="454"/>
      <c r="BA1050" s="1306"/>
      <c r="BC1050" s="169"/>
    </row>
    <row r="1051" spans="19:55">
      <c r="S1051" s="454"/>
      <c r="AY1051" s="454"/>
      <c r="AZ1051" s="454"/>
      <c r="BA1051" s="1306"/>
      <c r="BC1051" s="169"/>
    </row>
    <row r="1052" spans="19:55">
      <c r="S1052" s="454"/>
      <c r="AY1052" s="454"/>
      <c r="AZ1052" s="454"/>
      <c r="BA1052" s="1306"/>
      <c r="BC1052" s="169"/>
    </row>
    <row r="1053" spans="19:55">
      <c r="S1053" s="454"/>
      <c r="AY1053" s="454"/>
      <c r="AZ1053" s="454"/>
      <c r="BA1053" s="1306"/>
      <c r="BC1053" s="169"/>
    </row>
    <row r="1054" spans="19:55">
      <c r="S1054" s="454"/>
      <c r="AY1054" s="454"/>
      <c r="AZ1054" s="454"/>
      <c r="BA1054" s="1306"/>
      <c r="BC1054" s="169"/>
    </row>
    <row r="1055" spans="19:55">
      <c r="S1055" s="454"/>
      <c r="AY1055" s="454"/>
      <c r="AZ1055" s="454"/>
      <c r="BA1055" s="1306"/>
      <c r="BC1055" s="169"/>
    </row>
    <row r="1056" spans="19:55">
      <c r="S1056" s="454"/>
      <c r="AY1056" s="454"/>
      <c r="AZ1056" s="454"/>
      <c r="BA1056" s="1306"/>
      <c r="BC1056" s="169"/>
    </row>
    <row r="1057" spans="19:55">
      <c r="S1057" s="454"/>
      <c r="AY1057" s="454"/>
      <c r="AZ1057" s="454"/>
      <c r="BA1057" s="1306"/>
      <c r="BC1057" s="169"/>
    </row>
    <row r="1058" spans="19:55">
      <c r="S1058" s="454"/>
      <c r="AY1058" s="454"/>
      <c r="AZ1058" s="454"/>
      <c r="BA1058" s="1306"/>
      <c r="BC1058" s="169"/>
    </row>
    <row r="1059" spans="19:55">
      <c r="S1059" s="454"/>
      <c r="AY1059" s="454"/>
      <c r="AZ1059" s="454"/>
      <c r="BA1059" s="1306"/>
      <c r="BC1059" s="169"/>
    </row>
    <row r="1060" spans="19:55">
      <c r="S1060" s="454"/>
      <c r="AY1060" s="454"/>
      <c r="AZ1060" s="454"/>
      <c r="BA1060" s="1306"/>
      <c r="BC1060" s="169"/>
    </row>
    <row r="1061" spans="19:55">
      <c r="S1061" s="454"/>
      <c r="AY1061" s="454"/>
      <c r="AZ1061" s="454"/>
      <c r="BA1061" s="1306"/>
      <c r="BC1061" s="169"/>
    </row>
    <row r="1062" spans="19:55">
      <c r="S1062" s="454"/>
      <c r="AY1062" s="454"/>
      <c r="AZ1062" s="454"/>
      <c r="BA1062" s="1306"/>
      <c r="BC1062" s="169"/>
    </row>
    <row r="1063" spans="19:55">
      <c r="S1063" s="454"/>
      <c r="AY1063" s="454"/>
      <c r="AZ1063" s="454"/>
      <c r="BA1063" s="1306"/>
      <c r="BC1063" s="169"/>
    </row>
    <row r="1064" spans="19:55">
      <c r="S1064" s="454"/>
      <c r="AY1064" s="454"/>
      <c r="AZ1064" s="454"/>
      <c r="BA1064" s="1306"/>
      <c r="BC1064" s="169"/>
    </row>
    <row r="1065" spans="19:55">
      <c r="S1065" s="454"/>
      <c r="AY1065" s="454"/>
      <c r="AZ1065" s="454"/>
      <c r="BA1065" s="1306"/>
      <c r="BC1065" s="169"/>
    </row>
    <row r="1066" spans="19:55">
      <c r="S1066" s="454"/>
      <c r="AY1066" s="454"/>
      <c r="AZ1066" s="454"/>
      <c r="BA1066" s="1306"/>
      <c r="BC1066" s="169"/>
    </row>
    <row r="1067" spans="19:55">
      <c r="S1067" s="454"/>
      <c r="AY1067" s="454"/>
      <c r="AZ1067" s="454"/>
      <c r="BA1067" s="1306"/>
      <c r="BC1067" s="169"/>
    </row>
    <row r="1068" spans="19:55">
      <c r="S1068" s="454"/>
      <c r="AY1068" s="454"/>
      <c r="AZ1068" s="454"/>
      <c r="BA1068" s="1306"/>
      <c r="BC1068" s="169"/>
    </row>
    <row r="1069" spans="19:55">
      <c r="S1069" s="454"/>
      <c r="AY1069" s="454"/>
      <c r="AZ1069" s="454"/>
      <c r="BA1069" s="1306"/>
      <c r="BC1069" s="169"/>
    </row>
    <row r="1070" spans="19:55">
      <c r="S1070" s="454"/>
      <c r="AY1070" s="454"/>
      <c r="AZ1070" s="454"/>
      <c r="BA1070" s="1306"/>
      <c r="BC1070" s="169"/>
    </row>
    <row r="1071" spans="19:55">
      <c r="S1071" s="454"/>
      <c r="AY1071" s="454"/>
      <c r="AZ1071" s="454"/>
      <c r="BA1071" s="1306"/>
      <c r="BC1071" s="169"/>
    </row>
    <row r="1072" spans="19:55">
      <c r="S1072" s="454"/>
      <c r="AY1072" s="454"/>
      <c r="AZ1072" s="454"/>
      <c r="BA1072" s="1306"/>
      <c r="BC1072" s="169"/>
    </row>
    <row r="1073" spans="19:55">
      <c r="S1073" s="454"/>
      <c r="AY1073" s="454"/>
      <c r="AZ1073" s="454"/>
      <c r="BA1073" s="1306"/>
      <c r="BC1073" s="169"/>
    </row>
    <row r="1074" spans="19:55">
      <c r="S1074" s="454"/>
      <c r="AY1074" s="454"/>
      <c r="AZ1074" s="454"/>
      <c r="BA1074" s="1306"/>
      <c r="BC1074" s="169"/>
    </row>
    <row r="1075" spans="19:55">
      <c r="S1075" s="454"/>
      <c r="AY1075" s="454"/>
      <c r="AZ1075" s="454"/>
      <c r="BA1075" s="1306"/>
      <c r="BC1075" s="169"/>
    </row>
    <row r="1076" spans="19:55">
      <c r="S1076" s="454"/>
      <c r="AY1076" s="454"/>
      <c r="AZ1076" s="454"/>
      <c r="BA1076" s="1306"/>
      <c r="BC1076" s="169"/>
    </row>
    <row r="1077" spans="19:55">
      <c r="S1077" s="454"/>
      <c r="AY1077" s="454"/>
      <c r="AZ1077" s="454"/>
      <c r="BA1077" s="1306"/>
      <c r="BC1077" s="169"/>
    </row>
    <row r="1078" spans="19:55">
      <c r="S1078" s="454"/>
      <c r="AY1078" s="454"/>
      <c r="AZ1078" s="454"/>
      <c r="BA1078" s="1306"/>
      <c r="BC1078" s="169"/>
    </row>
    <row r="1079" spans="19:55">
      <c r="S1079" s="454"/>
      <c r="AY1079" s="454"/>
      <c r="AZ1079" s="454"/>
      <c r="BA1079" s="1306"/>
      <c r="BC1079" s="169"/>
    </row>
    <row r="1080" spans="19:55">
      <c r="S1080" s="454"/>
      <c r="AY1080" s="454"/>
      <c r="AZ1080" s="454"/>
      <c r="BA1080" s="1306"/>
      <c r="BC1080" s="169"/>
    </row>
    <row r="1081" spans="19:55">
      <c r="S1081" s="454"/>
      <c r="AY1081" s="454"/>
      <c r="AZ1081" s="454"/>
      <c r="BA1081" s="1306"/>
      <c r="BC1081" s="169"/>
    </row>
    <row r="1082" spans="19:55">
      <c r="S1082" s="454"/>
      <c r="AY1082" s="454"/>
      <c r="AZ1082" s="454"/>
      <c r="BA1082" s="1306"/>
      <c r="BC1082" s="169"/>
    </row>
    <row r="1083" spans="19:55">
      <c r="S1083" s="454"/>
      <c r="AY1083" s="454"/>
      <c r="AZ1083" s="454"/>
      <c r="BA1083" s="1306"/>
      <c r="BC1083" s="169"/>
    </row>
    <row r="1084" spans="19:55">
      <c r="S1084" s="454"/>
      <c r="AY1084" s="454"/>
      <c r="AZ1084" s="454"/>
      <c r="BA1084" s="1306"/>
      <c r="BC1084" s="169"/>
    </row>
    <row r="1085" spans="19:55">
      <c r="S1085" s="454"/>
      <c r="AY1085" s="454"/>
      <c r="AZ1085" s="454"/>
      <c r="BA1085" s="1306"/>
      <c r="BC1085" s="169"/>
    </row>
    <row r="1086" spans="19:55">
      <c r="S1086" s="454"/>
      <c r="AY1086" s="454"/>
      <c r="AZ1086" s="454"/>
      <c r="BA1086" s="1306"/>
      <c r="BC1086" s="169"/>
    </row>
    <row r="1087" spans="19:55">
      <c r="S1087" s="454"/>
      <c r="AY1087" s="454"/>
      <c r="AZ1087" s="454"/>
      <c r="BA1087" s="1306"/>
      <c r="BC1087" s="169"/>
    </row>
    <row r="1088" spans="19:55">
      <c r="S1088" s="454"/>
      <c r="AY1088" s="454"/>
      <c r="AZ1088" s="454"/>
      <c r="BA1088" s="1306"/>
      <c r="BC1088" s="169"/>
    </row>
    <row r="1089" spans="19:55">
      <c r="S1089" s="454"/>
      <c r="AY1089" s="454"/>
      <c r="AZ1089" s="454"/>
      <c r="BA1089" s="1306"/>
      <c r="BC1089" s="169"/>
    </row>
    <row r="1090" spans="19:55">
      <c r="S1090" s="454"/>
      <c r="AY1090" s="454"/>
      <c r="AZ1090" s="454"/>
      <c r="BA1090" s="1306"/>
      <c r="BC1090" s="169"/>
    </row>
    <row r="1091" spans="19:55">
      <c r="S1091" s="454"/>
      <c r="AY1091" s="454"/>
      <c r="AZ1091" s="454"/>
      <c r="BA1091" s="1306"/>
      <c r="BC1091" s="169"/>
    </row>
    <row r="1092" spans="19:55">
      <c r="S1092" s="454"/>
      <c r="AY1092" s="454"/>
      <c r="AZ1092" s="454"/>
      <c r="BA1092" s="1267"/>
      <c r="BC1092" s="169"/>
    </row>
    <row r="1093" spans="19:55">
      <c r="S1093" s="454"/>
      <c r="AY1093" s="454"/>
      <c r="AZ1093" s="454"/>
      <c r="BA1093" s="1267"/>
      <c r="BC1093" s="169"/>
    </row>
    <row r="1094" spans="19:55">
      <c r="S1094" s="454"/>
      <c r="AY1094" s="454"/>
      <c r="AZ1094" s="454"/>
      <c r="BA1094" s="1267"/>
      <c r="BC1094" s="169"/>
    </row>
    <row r="1095" spans="19:55">
      <c r="S1095" s="454"/>
      <c r="AY1095" s="454"/>
      <c r="AZ1095" s="454"/>
      <c r="BA1095" s="1267"/>
      <c r="BC1095" s="169"/>
    </row>
    <row r="1096" spans="19:55">
      <c r="S1096" s="454"/>
      <c r="AY1096" s="454"/>
      <c r="AZ1096" s="454"/>
      <c r="BA1096" s="1267"/>
      <c r="BC1096" s="169"/>
    </row>
    <row r="1097" spans="19:55">
      <c r="S1097" s="454"/>
      <c r="AY1097" s="454"/>
      <c r="AZ1097" s="454"/>
      <c r="BA1097" s="1267"/>
      <c r="BC1097" s="169"/>
    </row>
    <row r="1098" spans="19:55">
      <c r="S1098" s="454"/>
      <c r="AY1098" s="454"/>
      <c r="AZ1098" s="454"/>
      <c r="BA1098" s="1267"/>
      <c r="BC1098" s="169"/>
    </row>
    <row r="1099" spans="19:55">
      <c r="S1099" s="454"/>
      <c r="AY1099" s="454"/>
      <c r="AZ1099" s="454"/>
      <c r="BA1099" s="1267"/>
      <c r="BC1099" s="169"/>
    </row>
    <row r="1100" spans="19:55">
      <c r="S1100" s="454"/>
      <c r="AY1100" s="454"/>
      <c r="AZ1100" s="454"/>
      <c r="BA1100" s="1267"/>
      <c r="BC1100" s="169"/>
    </row>
    <row r="1101" spans="19:55">
      <c r="S1101" s="454"/>
      <c r="AY1101" s="454"/>
      <c r="AZ1101" s="454"/>
      <c r="BA1101" s="1267"/>
      <c r="BC1101" s="169"/>
    </row>
    <row r="1102" spans="19:55">
      <c r="S1102" s="454"/>
      <c r="AY1102" s="454"/>
      <c r="AZ1102" s="454"/>
      <c r="BA1102" s="1267"/>
      <c r="BC1102" s="169"/>
    </row>
    <row r="1103" spans="19:55">
      <c r="S1103" s="454"/>
      <c r="AY1103" s="454"/>
      <c r="AZ1103" s="454"/>
      <c r="BA1103" s="1267"/>
      <c r="BC1103" s="169"/>
    </row>
    <row r="1104" spans="19:55">
      <c r="S1104" s="454"/>
      <c r="AY1104" s="454"/>
      <c r="AZ1104" s="454"/>
      <c r="BA1104" s="1267"/>
      <c r="BC1104" s="169"/>
    </row>
    <row r="1105" spans="19:55">
      <c r="S1105" s="454"/>
      <c r="AY1105" s="454"/>
      <c r="AZ1105" s="454"/>
      <c r="BA1105" s="1267"/>
      <c r="BC1105" s="169"/>
    </row>
    <row r="1106" spans="19:55">
      <c r="S1106" s="454"/>
      <c r="AY1106" s="454"/>
      <c r="AZ1106" s="454"/>
      <c r="BA1106" s="1267"/>
      <c r="BC1106" s="169"/>
    </row>
    <row r="1107" spans="19:55">
      <c r="S1107" s="454"/>
      <c r="AY1107" s="454"/>
      <c r="AZ1107" s="454"/>
      <c r="BA1107" s="1267"/>
      <c r="BC1107" s="169"/>
    </row>
    <row r="1108" spans="19:55">
      <c r="S1108" s="454"/>
      <c r="AY1108" s="454"/>
      <c r="AZ1108" s="454"/>
      <c r="BA1108" s="1267"/>
      <c r="BC1108" s="169"/>
    </row>
    <row r="1109" spans="19:55">
      <c r="S1109" s="454"/>
      <c r="AY1109" s="454"/>
      <c r="AZ1109" s="454"/>
      <c r="BA1109" s="1267"/>
      <c r="BC1109" s="169"/>
    </row>
    <row r="1110" spans="19:55">
      <c r="S1110" s="454"/>
      <c r="AY1110" s="454"/>
      <c r="AZ1110" s="454"/>
      <c r="BA1110" s="1267"/>
      <c r="BC1110" s="169"/>
    </row>
    <row r="1111" spans="19:55">
      <c r="S1111" s="454"/>
      <c r="AY1111" s="454"/>
      <c r="AZ1111" s="454"/>
      <c r="BA1111" s="1267"/>
      <c r="BC1111" s="169"/>
    </row>
    <row r="1112" spans="19:55">
      <c r="S1112" s="454"/>
      <c r="AY1112" s="454"/>
      <c r="AZ1112" s="454"/>
      <c r="BA1112" s="1267"/>
      <c r="BC1112" s="169"/>
    </row>
    <row r="1113" spans="19:55">
      <c r="S1113" s="454"/>
      <c r="AY1113" s="454"/>
      <c r="AZ1113" s="454"/>
      <c r="BA1113" s="1267"/>
      <c r="BC1113" s="169"/>
    </row>
    <row r="1114" spans="19:55">
      <c r="S1114" s="454"/>
      <c r="AY1114" s="454"/>
      <c r="AZ1114" s="454"/>
      <c r="BA1114" s="1267"/>
      <c r="BC1114" s="169"/>
    </row>
    <row r="1115" spans="19:55">
      <c r="S1115" s="454"/>
      <c r="AY1115" s="454"/>
      <c r="AZ1115" s="454"/>
      <c r="BA1115" s="1267"/>
      <c r="BC1115" s="169"/>
    </row>
    <row r="1116" spans="19:55">
      <c r="S1116" s="454"/>
      <c r="AY1116" s="454"/>
      <c r="AZ1116" s="454"/>
      <c r="BA1116" s="1267"/>
      <c r="BC1116" s="169"/>
    </row>
    <row r="1117" spans="19:55">
      <c r="S1117" s="454"/>
      <c r="AY1117" s="454"/>
      <c r="AZ1117" s="454"/>
      <c r="BA1117" s="1267"/>
      <c r="BC1117" s="169"/>
    </row>
    <row r="1118" spans="19:55">
      <c r="S1118" s="454"/>
      <c r="AY1118" s="454"/>
      <c r="AZ1118" s="454"/>
      <c r="BA1118" s="1267"/>
      <c r="BC1118" s="169"/>
    </row>
    <row r="1119" spans="19:55">
      <c r="S1119" s="454"/>
      <c r="AY1119" s="454"/>
      <c r="AZ1119" s="454"/>
      <c r="BA1119" s="1267"/>
      <c r="BC1119" s="169"/>
    </row>
    <row r="1120" spans="19:55">
      <c r="S1120" s="454"/>
      <c r="AY1120" s="454"/>
      <c r="AZ1120" s="454"/>
      <c r="BA1120" s="1267"/>
      <c r="BC1120" s="169"/>
    </row>
    <row r="1121" spans="19:55">
      <c r="S1121" s="454"/>
      <c r="AY1121" s="454"/>
      <c r="AZ1121" s="454"/>
      <c r="BA1121" s="1267"/>
      <c r="BC1121" s="169"/>
    </row>
    <row r="1122" spans="19:55">
      <c r="S1122" s="454"/>
      <c r="AY1122" s="454"/>
      <c r="AZ1122" s="454"/>
      <c r="BA1122" s="1267"/>
      <c r="BC1122" s="169"/>
    </row>
    <row r="1123" spans="19:55">
      <c r="S1123" s="454"/>
      <c r="AY1123" s="454"/>
      <c r="AZ1123" s="454"/>
      <c r="BA1123" s="1267"/>
      <c r="BC1123" s="169"/>
    </row>
    <row r="1124" spans="19:55">
      <c r="S1124" s="454"/>
      <c r="AY1124" s="454"/>
      <c r="AZ1124" s="454"/>
      <c r="BA1124" s="1267"/>
      <c r="BC1124" s="169"/>
    </row>
    <row r="1125" spans="19:55">
      <c r="S1125" s="454"/>
      <c r="AY1125" s="454"/>
      <c r="AZ1125" s="454"/>
      <c r="BA1125" s="1267"/>
      <c r="BC1125" s="169"/>
    </row>
    <row r="1126" spans="19:55">
      <c r="S1126" s="454"/>
      <c r="AY1126" s="454"/>
      <c r="AZ1126" s="454"/>
      <c r="BA1126" s="1267"/>
      <c r="BC1126" s="169"/>
    </row>
    <row r="1127" spans="19:55">
      <c r="S1127" s="454"/>
      <c r="AY1127" s="454"/>
      <c r="AZ1127" s="454"/>
      <c r="BA1127" s="1267"/>
      <c r="BC1127" s="169"/>
    </row>
    <row r="1128" spans="19:55">
      <c r="S1128" s="454"/>
      <c r="AY1128" s="454"/>
      <c r="AZ1128" s="454"/>
      <c r="BA1128" s="1267"/>
      <c r="BC1128" s="169"/>
    </row>
    <row r="1129" spans="19:55">
      <c r="S1129" s="454"/>
      <c r="AY1129" s="454"/>
      <c r="AZ1129" s="454"/>
      <c r="BA1129" s="1267"/>
      <c r="BC1129" s="169"/>
    </row>
    <row r="1130" spans="19:55">
      <c r="S1130" s="454"/>
      <c r="AY1130" s="454"/>
      <c r="AZ1130" s="454"/>
      <c r="BA1130" s="1267"/>
      <c r="BC1130" s="169"/>
    </row>
    <row r="1131" spans="19:55">
      <c r="S1131" s="454"/>
      <c r="AY1131" s="454"/>
      <c r="AZ1131" s="454"/>
      <c r="BA1131" s="1267"/>
      <c r="BC1131" s="169"/>
    </row>
    <row r="1132" spans="19:55">
      <c r="S1132" s="454"/>
      <c r="AY1132" s="454"/>
      <c r="AZ1132" s="454"/>
      <c r="BA1132" s="1267"/>
      <c r="BC1132" s="169"/>
    </row>
    <row r="1133" spans="19:55">
      <c r="S1133" s="454"/>
      <c r="AY1133" s="454"/>
      <c r="AZ1133" s="454"/>
      <c r="BA1133" s="1267"/>
      <c r="BC1133" s="169"/>
    </row>
    <row r="1134" spans="19:55">
      <c r="S1134" s="454"/>
      <c r="AY1134" s="454"/>
      <c r="AZ1134" s="454"/>
      <c r="BA1134" s="1267"/>
      <c r="BC1134" s="169"/>
    </row>
    <row r="1135" spans="19:55">
      <c r="S1135" s="454"/>
      <c r="AY1135" s="454"/>
      <c r="AZ1135" s="454"/>
      <c r="BA1135" s="1267"/>
      <c r="BC1135" s="169"/>
    </row>
    <row r="1136" spans="19:55">
      <c r="S1136" s="454"/>
      <c r="AY1136" s="454"/>
      <c r="AZ1136" s="454"/>
      <c r="BA1136" s="1267"/>
      <c r="BC1136" s="169"/>
    </row>
    <row r="1137" spans="19:55">
      <c r="S1137" s="454"/>
      <c r="AY1137" s="454"/>
      <c r="AZ1137" s="454"/>
      <c r="BA1137" s="1267"/>
      <c r="BC1137" s="169"/>
    </row>
    <row r="1138" spans="19:55">
      <c r="S1138" s="454"/>
      <c r="AY1138" s="454"/>
      <c r="AZ1138" s="454"/>
      <c r="BA1138" s="1267"/>
      <c r="BC1138" s="169"/>
    </row>
    <row r="1139" spans="19:55">
      <c r="S1139" s="454"/>
      <c r="AY1139" s="454"/>
      <c r="AZ1139" s="454"/>
      <c r="BA1139" s="1267"/>
      <c r="BC1139" s="169"/>
    </row>
    <row r="1140" spans="19:55">
      <c r="S1140" s="454"/>
      <c r="AY1140" s="454"/>
      <c r="AZ1140" s="454"/>
      <c r="BA1140" s="1267"/>
      <c r="BC1140" s="169"/>
    </row>
    <row r="1141" spans="19:55">
      <c r="S1141" s="454"/>
      <c r="AY1141" s="454"/>
      <c r="AZ1141" s="454"/>
      <c r="BA1141" s="1267"/>
      <c r="BC1141" s="169"/>
    </row>
    <row r="1142" spans="19:55">
      <c r="S1142" s="454"/>
      <c r="AY1142" s="454"/>
      <c r="AZ1142" s="454"/>
      <c r="BA1142" s="1267"/>
      <c r="BC1142" s="169"/>
    </row>
    <row r="1143" spans="19:55">
      <c r="S1143" s="454"/>
      <c r="AY1143" s="454"/>
      <c r="AZ1143" s="454"/>
      <c r="BA1143" s="1267"/>
      <c r="BC1143" s="169"/>
    </row>
    <row r="1144" spans="19:55">
      <c r="S1144" s="454"/>
      <c r="AY1144" s="454"/>
      <c r="AZ1144" s="454"/>
      <c r="BA1144" s="1267"/>
      <c r="BC1144" s="169"/>
    </row>
    <row r="1145" spans="19:55">
      <c r="S1145" s="454"/>
      <c r="AY1145" s="454"/>
      <c r="AZ1145" s="454"/>
      <c r="BA1145" s="1267"/>
      <c r="BC1145" s="169"/>
    </row>
    <row r="1146" spans="19:55">
      <c r="S1146" s="454"/>
      <c r="AY1146" s="454"/>
      <c r="AZ1146" s="454"/>
      <c r="BA1146" s="1267"/>
      <c r="BC1146" s="169"/>
    </row>
    <row r="1147" spans="19:55">
      <c r="S1147" s="454"/>
      <c r="AY1147" s="454"/>
      <c r="AZ1147" s="454"/>
      <c r="BA1147" s="1267"/>
      <c r="BC1147" s="169"/>
    </row>
    <row r="1148" spans="19:55">
      <c r="S1148" s="454"/>
      <c r="AY1148" s="454"/>
      <c r="AZ1148" s="454"/>
      <c r="BA1148" s="1267"/>
      <c r="BC1148" s="169"/>
    </row>
    <row r="1149" spans="19:55">
      <c r="S1149" s="454"/>
      <c r="AY1149" s="454"/>
      <c r="AZ1149" s="454"/>
      <c r="BA1149" s="1267"/>
      <c r="BC1149" s="169"/>
    </row>
    <row r="1150" spans="19:55">
      <c r="S1150" s="454"/>
      <c r="AY1150" s="454"/>
      <c r="AZ1150" s="454"/>
      <c r="BA1150" s="1267"/>
      <c r="BC1150" s="169"/>
    </row>
    <row r="1151" spans="19:55">
      <c r="S1151" s="454"/>
      <c r="AY1151" s="454"/>
      <c r="AZ1151" s="454"/>
      <c r="BA1151" s="1267"/>
      <c r="BC1151" s="169"/>
    </row>
    <row r="1152" spans="19:55">
      <c r="S1152" s="454"/>
      <c r="AY1152" s="454"/>
      <c r="AZ1152" s="454"/>
      <c r="BA1152" s="1267"/>
      <c r="BC1152" s="169"/>
    </row>
    <row r="1153" spans="19:55">
      <c r="S1153" s="454"/>
      <c r="AY1153" s="454"/>
      <c r="AZ1153" s="454"/>
      <c r="BA1153" s="1267"/>
      <c r="BC1153" s="169"/>
    </row>
    <row r="1154" spans="19:55">
      <c r="S1154" s="454"/>
      <c r="AY1154" s="454"/>
      <c r="AZ1154" s="454"/>
      <c r="BA1154" s="1267"/>
      <c r="BC1154" s="169"/>
    </row>
    <row r="1155" spans="19:55">
      <c r="S1155" s="454"/>
      <c r="AY1155" s="454"/>
      <c r="AZ1155" s="454"/>
      <c r="BA1155" s="1267"/>
      <c r="BC1155" s="169"/>
    </row>
    <row r="1156" spans="19:55">
      <c r="S1156" s="454"/>
      <c r="AY1156" s="454"/>
      <c r="AZ1156" s="454"/>
      <c r="BA1156" s="1267"/>
      <c r="BC1156" s="169"/>
    </row>
    <row r="1157" spans="19:55">
      <c r="S1157" s="454"/>
      <c r="AY1157" s="454"/>
      <c r="AZ1157" s="454"/>
      <c r="BA1157" s="1267"/>
      <c r="BC1157" s="169"/>
    </row>
    <row r="1158" spans="19:55">
      <c r="S1158" s="454"/>
      <c r="AY1158" s="454"/>
      <c r="AZ1158" s="454"/>
      <c r="BA1158" s="1267"/>
      <c r="BC1158" s="169"/>
    </row>
    <row r="1159" spans="19:55">
      <c r="S1159" s="454"/>
      <c r="AY1159" s="454"/>
      <c r="AZ1159" s="454"/>
      <c r="BA1159" s="1267"/>
      <c r="BC1159" s="169"/>
    </row>
    <row r="1160" spans="19:55">
      <c r="S1160" s="454"/>
      <c r="AY1160" s="454"/>
      <c r="AZ1160" s="454"/>
      <c r="BA1160" s="1267"/>
      <c r="BC1160" s="169"/>
    </row>
    <row r="1161" spans="19:55">
      <c r="S1161" s="454"/>
      <c r="AY1161" s="454"/>
      <c r="AZ1161" s="454"/>
      <c r="BA1161" s="1267"/>
      <c r="BC1161" s="169"/>
    </row>
    <row r="1162" spans="19:55">
      <c r="S1162" s="454"/>
      <c r="AY1162" s="454"/>
      <c r="AZ1162" s="454"/>
      <c r="BA1162" s="1267"/>
      <c r="BC1162" s="169"/>
    </row>
    <row r="1163" spans="19:55">
      <c r="S1163" s="454"/>
      <c r="AY1163" s="454"/>
      <c r="AZ1163" s="454"/>
      <c r="BA1163" s="1267"/>
      <c r="BC1163" s="169"/>
    </row>
    <row r="1164" spans="19:55">
      <c r="S1164" s="454"/>
      <c r="AY1164" s="454"/>
      <c r="AZ1164" s="454"/>
      <c r="BA1164" s="1267"/>
      <c r="BC1164" s="169"/>
    </row>
    <row r="1165" spans="19:55">
      <c r="S1165" s="454"/>
      <c r="AY1165" s="454"/>
      <c r="AZ1165" s="454"/>
      <c r="BA1165" s="1267"/>
      <c r="BC1165" s="169"/>
    </row>
    <row r="1166" spans="19:55">
      <c r="S1166" s="454"/>
      <c r="AY1166" s="454"/>
      <c r="AZ1166" s="454"/>
      <c r="BA1166" s="1267"/>
      <c r="BC1166" s="169"/>
    </row>
    <row r="1167" spans="19:55">
      <c r="S1167" s="454"/>
      <c r="AY1167" s="454"/>
      <c r="AZ1167" s="454"/>
      <c r="BA1167" s="1267"/>
      <c r="BC1167" s="169"/>
    </row>
    <row r="1168" spans="19:55">
      <c r="S1168" s="454"/>
      <c r="AY1168" s="454"/>
      <c r="AZ1168" s="454"/>
      <c r="BA1168" s="1267"/>
      <c r="BC1168" s="169"/>
    </row>
    <row r="1169" spans="19:55">
      <c r="S1169" s="454"/>
      <c r="AY1169" s="454"/>
      <c r="AZ1169" s="454"/>
      <c r="BA1169" s="1267"/>
      <c r="BC1169" s="169"/>
    </row>
    <row r="1170" spans="19:55">
      <c r="S1170" s="454"/>
      <c r="AY1170" s="454"/>
      <c r="AZ1170" s="454"/>
      <c r="BA1170" s="1267"/>
      <c r="BC1170" s="169"/>
    </row>
    <row r="1171" spans="19:55">
      <c r="S1171" s="454"/>
      <c r="AY1171" s="454"/>
      <c r="AZ1171" s="454"/>
      <c r="BA1171" s="1267"/>
      <c r="BC1171" s="169"/>
    </row>
    <row r="1172" spans="19:55">
      <c r="S1172" s="454"/>
      <c r="AY1172" s="454"/>
      <c r="AZ1172" s="454"/>
      <c r="BA1172" s="1267"/>
      <c r="BC1172" s="169"/>
    </row>
    <row r="1173" spans="19:55">
      <c r="S1173" s="454"/>
      <c r="AY1173" s="454"/>
      <c r="AZ1173" s="454"/>
      <c r="BA1173" s="1267"/>
      <c r="BC1173" s="169"/>
    </row>
    <row r="1174" spans="19:55">
      <c r="S1174" s="454"/>
      <c r="AY1174" s="454"/>
      <c r="AZ1174" s="454"/>
      <c r="BA1174" s="1267"/>
      <c r="BC1174" s="169"/>
    </row>
    <row r="1175" spans="19:55">
      <c r="S1175" s="454"/>
      <c r="AY1175" s="454"/>
      <c r="AZ1175" s="454"/>
      <c r="BA1175" s="1267"/>
      <c r="BC1175" s="169"/>
    </row>
    <row r="1176" spans="19:55">
      <c r="S1176" s="454"/>
      <c r="AY1176" s="454"/>
      <c r="AZ1176" s="454"/>
      <c r="BA1176" s="1267"/>
      <c r="BC1176" s="169"/>
    </row>
    <row r="1177" spans="19:55">
      <c r="S1177" s="454"/>
      <c r="AY1177" s="454"/>
      <c r="AZ1177" s="454"/>
      <c r="BA1177" s="1267"/>
      <c r="BC1177" s="169"/>
    </row>
    <row r="1178" spans="19:55">
      <c r="S1178" s="454"/>
      <c r="AY1178" s="454"/>
      <c r="AZ1178" s="454"/>
      <c r="BA1178" s="1267"/>
      <c r="BC1178" s="169"/>
    </row>
    <row r="1179" spans="19:55">
      <c r="S1179" s="454"/>
      <c r="AY1179" s="454"/>
      <c r="AZ1179" s="454"/>
      <c r="BA1179" s="1267"/>
      <c r="BC1179" s="169"/>
    </row>
    <row r="1180" spans="19:55">
      <c r="S1180" s="454"/>
      <c r="AY1180" s="454"/>
      <c r="AZ1180" s="454"/>
      <c r="BA1180" s="1267"/>
      <c r="BC1180" s="169"/>
    </row>
    <row r="1181" spans="19:55">
      <c r="S1181" s="454"/>
      <c r="AY1181" s="454"/>
      <c r="AZ1181" s="454"/>
      <c r="BA1181" s="1267"/>
      <c r="BC1181" s="169"/>
    </row>
    <row r="1182" spans="19:55">
      <c r="S1182" s="454"/>
      <c r="AY1182" s="454"/>
      <c r="AZ1182" s="454"/>
      <c r="BA1182" s="1267"/>
      <c r="BC1182" s="169"/>
    </row>
    <row r="1183" spans="19:55">
      <c r="S1183" s="454"/>
      <c r="AY1183" s="454"/>
      <c r="AZ1183" s="454"/>
      <c r="BA1183" s="1267"/>
      <c r="BC1183" s="169"/>
    </row>
    <row r="1184" spans="19:55">
      <c r="S1184" s="454"/>
      <c r="AY1184" s="454"/>
      <c r="AZ1184" s="454"/>
      <c r="BA1184" s="1267"/>
      <c r="BC1184" s="169"/>
    </row>
    <row r="1185" spans="19:55">
      <c r="S1185" s="454"/>
      <c r="AY1185" s="454"/>
      <c r="AZ1185" s="454"/>
      <c r="BA1185" s="1267"/>
      <c r="BC1185" s="169"/>
    </row>
    <row r="1186" spans="19:55">
      <c r="S1186" s="454"/>
      <c r="AY1186" s="454"/>
      <c r="AZ1186" s="454"/>
      <c r="BA1186" s="1267"/>
      <c r="BC1186" s="169"/>
    </row>
    <row r="1187" spans="19:55">
      <c r="S1187" s="454"/>
      <c r="AY1187" s="454"/>
      <c r="AZ1187" s="454"/>
      <c r="BA1187" s="1267"/>
      <c r="BC1187" s="169"/>
    </row>
    <row r="1188" spans="19:55">
      <c r="S1188" s="454"/>
      <c r="AY1188" s="454"/>
      <c r="AZ1188" s="454"/>
      <c r="BA1188" s="1267"/>
      <c r="BC1188" s="169"/>
    </row>
    <row r="1189" spans="19:55">
      <c r="S1189" s="454"/>
      <c r="AY1189" s="454"/>
      <c r="AZ1189" s="454"/>
      <c r="BA1189" s="1267"/>
      <c r="BC1189" s="169"/>
    </row>
    <row r="1190" spans="19:55">
      <c r="S1190" s="454"/>
      <c r="AY1190" s="454"/>
      <c r="AZ1190" s="454"/>
      <c r="BA1190" s="1267"/>
      <c r="BC1190" s="169"/>
    </row>
    <row r="1191" spans="19:55">
      <c r="S1191" s="454"/>
      <c r="AY1191" s="454"/>
      <c r="AZ1191" s="454"/>
      <c r="BA1191" s="1267"/>
      <c r="BC1191" s="169"/>
    </row>
    <row r="1192" spans="19:55">
      <c r="S1192" s="454"/>
      <c r="AY1192" s="454"/>
      <c r="AZ1192" s="454"/>
      <c r="BA1192" s="1267"/>
      <c r="BC1192" s="169"/>
    </row>
    <row r="1193" spans="19:55">
      <c r="S1193" s="454"/>
      <c r="AY1193" s="454"/>
      <c r="AZ1193" s="454"/>
      <c r="BA1193" s="1267"/>
      <c r="BC1193" s="169"/>
    </row>
    <row r="1194" spans="19:55">
      <c r="S1194" s="454"/>
      <c r="AY1194" s="454"/>
      <c r="AZ1194" s="454"/>
      <c r="BA1194" s="1267"/>
      <c r="BC1194" s="169"/>
    </row>
    <row r="1195" spans="19:55">
      <c r="S1195" s="454"/>
      <c r="AY1195" s="454"/>
      <c r="AZ1195" s="454"/>
      <c r="BA1195" s="1267"/>
      <c r="BC1195" s="169"/>
    </row>
    <row r="1196" spans="19:55">
      <c r="S1196" s="454"/>
      <c r="AY1196" s="454"/>
      <c r="AZ1196" s="454"/>
      <c r="BA1196" s="1267"/>
      <c r="BC1196" s="169"/>
    </row>
    <row r="1197" spans="19:55">
      <c r="S1197" s="454"/>
      <c r="AY1197" s="454"/>
      <c r="AZ1197" s="454"/>
      <c r="BA1197" s="1267"/>
      <c r="BC1197" s="169"/>
    </row>
    <row r="1198" spans="19:55">
      <c r="S1198" s="454"/>
      <c r="AY1198" s="454"/>
      <c r="AZ1198" s="454"/>
      <c r="BA1198" s="1267"/>
      <c r="BC1198" s="169"/>
    </row>
    <row r="1199" spans="19:55">
      <c r="S1199" s="454"/>
      <c r="AY1199" s="454"/>
      <c r="AZ1199" s="454"/>
      <c r="BA1199" s="1267"/>
      <c r="BC1199" s="169"/>
    </row>
    <row r="1200" spans="19:55">
      <c r="S1200" s="454"/>
      <c r="AY1200" s="454"/>
      <c r="AZ1200" s="454"/>
      <c r="BA1200" s="1267"/>
      <c r="BC1200" s="169"/>
    </row>
    <row r="1201" spans="19:55">
      <c r="S1201" s="454"/>
      <c r="AY1201" s="454"/>
      <c r="AZ1201" s="454"/>
      <c r="BA1201" s="1267"/>
      <c r="BC1201" s="169"/>
    </row>
    <row r="1202" spans="19:55">
      <c r="S1202" s="454"/>
      <c r="AY1202" s="454"/>
      <c r="AZ1202" s="454"/>
      <c r="BA1202" s="1267"/>
      <c r="BC1202" s="169"/>
    </row>
    <row r="1203" spans="19:55">
      <c r="S1203" s="454"/>
      <c r="AY1203" s="454"/>
      <c r="AZ1203" s="454"/>
      <c r="BA1203" s="1267"/>
      <c r="BC1203" s="169"/>
    </row>
    <row r="1204" spans="19:55">
      <c r="S1204" s="454"/>
      <c r="AY1204" s="454"/>
      <c r="AZ1204" s="454"/>
      <c r="BA1204" s="1267"/>
      <c r="BC1204" s="169"/>
    </row>
    <row r="1205" spans="19:55">
      <c r="S1205" s="454"/>
      <c r="AY1205" s="454"/>
      <c r="AZ1205" s="454"/>
      <c r="BA1205" s="1267"/>
      <c r="BC1205" s="169"/>
    </row>
    <row r="1206" spans="19:55">
      <c r="S1206" s="454"/>
      <c r="AY1206" s="454"/>
      <c r="AZ1206" s="454"/>
      <c r="BA1206" s="1267"/>
      <c r="BC1206" s="169"/>
    </row>
    <row r="1207" spans="19:55">
      <c r="S1207" s="454"/>
      <c r="AY1207" s="454"/>
      <c r="AZ1207" s="454"/>
      <c r="BA1207" s="1267"/>
      <c r="BC1207" s="169"/>
    </row>
    <row r="1208" spans="19:55">
      <c r="S1208" s="454"/>
      <c r="AY1208" s="454"/>
      <c r="AZ1208" s="454"/>
      <c r="BA1208" s="1267"/>
      <c r="BC1208" s="169"/>
    </row>
    <row r="1209" spans="19:55">
      <c r="S1209" s="454"/>
      <c r="AY1209" s="454"/>
      <c r="AZ1209" s="454"/>
      <c r="BA1209" s="1267"/>
      <c r="BC1209" s="169"/>
    </row>
    <row r="1210" spans="19:55">
      <c r="S1210" s="454"/>
      <c r="AY1210" s="454"/>
      <c r="AZ1210" s="454"/>
      <c r="BA1210" s="1267"/>
      <c r="BC1210" s="169"/>
    </row>
    <row r="1211" spans="19:55">
      <c r="S1211" s="454"/>
      <c r="AY1211" s="454"/>
      <c r="AZ1211" s="454"/>
      <c r="BA1211" s="1267"/>
      <c r="BC1211" s="169"/>
    </row>
    <row r="1212" spans="19:55">
      <c r="S1212" s="454"/>
      <c r="AY1212" s="454"/>
      <c r="AZ1212" s="454"/>
      <c r="BA1212" s="1267"/>
      <c r="BC1212" s="169"/>
    </row>
    <row r="1213" spans="19:55">
      <c r="S1213" s="454"/>
      <c r="AY1213" s="454"/>
      <c r="AZ1213" s="454"/>
      <c r="BA1213" s="1267"/>
      <c r="BC1213" s="169"/>
    </row>
    <row r="1214" spans="19:55">
      <c r="S1214" s="454"/>
      <c r="AY1214" s="454"/>
      <c r="AZ1214" s="454"/>
      <c r="BA1214" s="1267"/>
      <c r="BC1214" s="169"/>
    </row>
    <row r="1215" spans="19:55">
      <c r="S1215" s="454"/>
      <c r="AY1215" s="454"/>
      <c r="AZ1215" s="454"/>
      <c r="BA1215" s="1267"/>
      <c r="BC1215" s="169"/>
    </row>
    <row r="1216" spans="19:55">
      <c r="S1216" s="454"/>
      <c r="AY1216" s="454"/>
      <c r="AZ1216" s="454"/>
      <c r="BA1216" s="1267"/>
      <c r="BC1216" s="169"/>
    </row>
    <row r="1217" spans="19:55">
      <c r="S1217" s="454"/>
      <c r="AY1217" s="454"/>
      <c r="AZ1217" s="454"/>
      <c r="BA1217" s="1267"/>
      <c r="BC1217" s="169"/>
    </row>
    <row r="1218" spans="19:55">
      <c r="S1218" s="454"/>
      <c r="AY1218" s="454"/>
      <c r="AZ1218" s="454"/>
      <c r="BA1218" s="1267"/>
      <c r="BC1218" s="169"/>
    </row>
    <row r="1219" spans="19:55">
      <c r="S1219" s="454"/>
      <c r="AY1219" s="454"/>
      <c r="AZ1219" s="454"/>
      <c r="BA1219" s="1267"/>
      <c r="BC1219" s="169"/>
    </row>
    <row r="1220" spans="19:55">
      <c r="S1220" s="454"/>
      <c r="AY1220" s="454"/>
      <c r="AZ1220" s="454"/>
      <c r="BA1220" s="1267"/>
      <c r="BC1220" s="169"/>
    </row>
    <row r="1221" spans="19:55">
      <c r="S1221" s="454"/>
      <c r="AY1221" s="454"/>
      <c r="AZ1221" s="454"/>
      <c r="BA1221" s="1267"/>
      <c r="BC1221" s="169"/>
    </row>
    <row r="1222" spans="19:55">
      <c r="S1222" s="454"/>
      <c r="AY1222" s="454"/>
      <c r="AZ1222" s="454"/>
      <c r="BA1222" s="1267"/>
      <c r="BC1222" s="169"/>
    </row>
    <row r="1223" spans="19:55">
      <c r="S1223" s="454"/>
      <c r="AY1223" s="454"/>
      <c r="AZ1223" s="454"/>
      <c r="BA1223" s="1267"/>
      <c r="BC1223" s="169"/>
    </row>
    <row r="1224" spans="19:55">
      <c r="S1224" s="454"/>
      <c r="AY1224" s="454"/>
      <c r="AZ1224" s="454"/>
      <c r="BA1224" s="1267"/>
      <c r="BC1224" s="169"/>
    </row>
    <row r="1225" spans="19:55">
      <c r="S1225" s="454"/>
      <c r="AY1225" s="454"/>
      <c r="AZ1225" s="454"/>
      <c r="BA1225" s="1267"/>
      <c r="BC1225" s="169"/>
    </row>
    <row r="1226" spans="19:55">
      <c r="S1226" s="454"/>
      <c r="AY1226" s="454"/>
      <c r="AZ1226" s="454"/>
      <c r="BA1226" s="1267"/>
      <c r="BC1226" s="169"/>
    </row>
    <row r="1227" spans="19:55">
      <c r="S1227" s="454"/>
      <c r="AY1227" s="454"/>
      <c r="AZ1227" s="454"/>
      <c r="BA1227" s="1267"/>
      <c r="BC1227" s="169"/>
    </row>
    <row r="1228" spans="19:55">
      <c r="S1228" s="454"/>
      <c r="AY1228" s="454"/>
      <c r="AZ1228" s="454"/>
      <c r="BA1228" s="1267"/>
      <c r="BC1228" s="169"/>
    </row>
    <row r="1229" spans="19:55">
      <c r="S1229" s="454"/>
      <c r="AY1229" s="454"/>
      <c r="AZ1229" s="454"/>
      <c r="BA1229" s="1267"/>
      <c r="BC1229" s="169"/>
    </row>
    <row r="1230" spans="19:55">
      <c r="S1230" s="454"/>
      <c r="AY1230" s="454"/>
      <c r="AZ1230" s="454"/>
      <c r="BA1230" s="1267"/>
      <c r="BC1230" s="169"/>
    </row>
    <row r="1231" spans="19:55">
      <c r="S1231" s="454"/>
      <c r="AY1231" s="454"/>
      <c r="AZ1231" s="454"/>
      <c r="BA1231" s="1267"/>
      <c r="BC1231" s="169"/>
    </row>
    <row r="1232" spans="19:55">
      <c r="S1232" s="454"/>
      <c r="AY1232" s="454"/>
      <c r="AZ1232" s="454"/>
      <c r="BA1232" s="1267"/>
      <c r="BC1232" s="169"/>
    </row>
    <row r="1233" spans="19:55">
      <c r="S1233" s="454"/>
      <c r="AY1233" s="454"/>
      <c r="AZ1233" s="454"/>
      <c r="BA1233" s="1267"/>
      <c r="BC1233" s="169"/>
    </row>
    <row r="1234" spans="19:55">
      <c r="S1234" s="454"/>
      <c r="AY1234" s="454"/>
      <c r="AZ1234" s="454"/>
      <c r="BA1234" s="1267"/>
      <c r="BC1234" s="169"/>
    </row>
    <row r="1235" spans="19:55">
      <c r="S1235" s="454"/>
      <c r="AY1235" s="454"/>
      <c r="AZ1235" s="454"/>
      <c r="BA1235" s="1267"/>
      <c r="BC1235" s="169"/>
    </row>
    <row r="1236" spans="19:55">
      <c r="S1236" s="454"/>
      <c r="AY1236" s="454"/>
      <c r="AZ1236" s="454"/>
      <c r="BA1236" s="1267"/>
      <c r="BC1236" s="169"/>
    </row>
    <row r="1237" spans="19:55">
      <c r="S1237" s="454"/>
      <c r="AY1237" s="454"/>
      <c r="AZ1237" s="454"/>
      <c r="BA1237" s="1267"/>
      <c r="BC1237" s="169"/>
    </row>
    <row r="1238" spans="19:55">
      <c r="S1238" s="454"/>
      <c r="AY1238" s="454"/>
      <c r="AZ1238" s="454"/>
      <c r="BA1238" s="1267"/>
      <c r="BC1238" s="169"/>
    </row>
    <row r="1239" spans="19:55">
      <c r="S1239" s="454"/>
      <c r="AY1239" s="454"/>
      <c r="AZ1239" s="454"/>
      <c r="BA1239" s="1267"/>
      <c r="BC1239" s="169"/>
    </row>
    <row r="1240" spans="19:55">
      <c r="S1240" s="454"/>
      <c r="AY1240" s="454"/>
      <c r="AZ1240" s="454"/>
      <c r="BA1240" s="1267"/>
      <c r="BC1240" s="169"/>
    </row>
    <row r="1241" spans="19:55">
      <c r="S1241" s="454"/>
      <c r="AY1241" s="454"/>
      <c r="AZ1241" s="454"/>
      <c r="BA1241" s="1267"/>
      <c r="BC1241" s="169"/>
    </row>
    <row r="1242" spans="19:55">
      <c r="S1242" s="454"/>
      <c r="AY1242" s="454"/>
      <c r="AZ1242" s="454"/>
      <c r="BA1242" s="1267"/>
      <c r="BC1242" s="169"/>
    </row>
    <row r="1243" spans="19:55">
      <c r="S1243" s="454"/>
      <c r="AY1243" s="454"/>
      <c r="AZ1243" s="454"/>
      <c r="BA1243" s="1267"/>
      <c r="BC1243" s="169"/>
    </row>
    <row r="1244" spans="19:55">
      <c r="S1244" s="454"/>
      <c r="AY1244" s="454"/>
      <c r="AZ1244" s="454"/>
      <c r="BA1244" s="1267"/>
      <c r="BC1244" s="169"/>
    </row>
    <row r="1245" spans="19:55">
      <c r="S1245" s="454"/>
      <c r="AY1245" s="454"/>
      <c r="AZ1245" s="454"/>
      <c r="BA1245" s="1267"/>
      <c r="BC1245" s="169"/>
    </row>
    <row r="1246" spans="19:55">
      <c r="S1246" s="454"/>
      <c r="AY1246" s="454"/>
      <c r="AZ1246" s="454"/>
      <c r="BA1246" s="1267"/>
      <c r="BC1246" s="169"/>
    </row>
    <row r="1247" spans="19:55">
      <c r="S1247" s="454"/>
      <c r="AY1247" s="454"/>
      <c r="AZ1247" s="454"/>
      <c r="BA1247" s="1267"/>
      <c r="BC1247" s="169"/>
    </row>
    <row r="1248" spans="19:55">
      <c r="S1248" s="454"/>
      <c r="AY1248" s="454"/>
      <c r="AZ1248" s="454"/>
      <c r="BA1248" s="1267"/>
      <c r="BC1248" s="169"/>
    </row>
    <row r="1249" spans="19:55">
      <c r="S1249" s="454"/>
      <c r="AY1249" s="454"/>
      <c r="AZ1249" s="454"/>
      <c r="BA1249" s="1267"/>
      <c r="BC1249" s="169"/>
    </row>
    <row r="1250" spans="19:55">
      <c r="S1250" s="454"/>
      <c r="AY1250" s="454"/>
      <c r="AZ1250" s="454"/>
      <c r="BA1250" s="1267"/>
      <c r="BC1250" s="169"/>
    </row>
    <row r="1251" spans="19:55">
      <c r="S1251" s="454"/>
      <c r="AY1251" s="454"/>
      <c r="AZ1251" s="454"/>
      <c r="BA1251" s="1267"/>
      <c r="BC1251" s="169"/>
    </row>
    <row r="1252" spans="19:55">
      <c r="S1252" s="454"/>
      <c r="AY1252" s="454"/>
      <c r="AZ1252" s="454"/>
      <c r="BA1252" s="1267"/>
      <c r="BC1252" s="169"/>
    </row>
    <row r="1253" spans="19:55">
      <c r="S1253" s="454"/>
      <c r="AY1253" s="454"/>
      <c r="AZ1253" s="454"/>
      <c r="BA1253" s="1267"/>
      <c r="BC1253" s="169"/>
    </row>
    <row r="1254" spans="19:55">
      <c r="S1254" s="454"/>
      <c r="AY1254" s="454"/>
      <c r="AZ1254" s="454"/>
      <c r="BA1254" s="1267"/>
      <c r="BC1254" s="169"/>
    </row>
    <row r="1255" spans="19:55">
      <c r="S1255" s="454"/>
      <c r="AY1255" s="454"/>
      <c r="AZ1255" s="454"/>
      <c r="BA1255" s="1267"/>
      <c r="BC1255" s="169"/>
    </row>
    <row r="1256" spans="19:55">
      <c r="S1256" s="454"/>
      <c r="AY1256" s="454"/>
      <c r="AZ1256" s="454"/>
      <c r="BA1256" s="1267"/>
      <c r="BC1256" s="169"/>
    </row>
    <row r="1257" spans="19:55">
      <c r="S1257" s="454"/>
      <c r="AY1257" s="454"/>
      <c r="AZ1257" s="454"/>
      <c r="BA1257" s="1267"/>
      <c r="BC1257" s="169"/>
    </row>
    <row r="1258" spans="19:55">
      <c r="S1258" s="454"/>
      <c r="AY1258" s="454"/>
      <c r="AZ1258" s="454"/>
      <c r="BA1258" s="1267"/>
      <c r="BC1258" s="169"/>
    </row>
    <row r="1259" spans="19:55">
      <c r="S1259" s="454"/>
      <c r="AY1259" s="454"/>
      <c r="AZ1259" s="454"/>
      <c r="BA1259" s="1267"/>
      <c r="BC1259" s="169"/>
    </row>
    <row r="1260" spans="19:55">
      <c r="S1260" s="454"/>
      <c r="AY1260" s="454"/>
      <c r="AZ1260" s="454"/>
      <c r="BA1260" s="1267"/>
      <c r="BC1260" s="169"/>
    </row>
    <row r="1261" spans="19:55">
      <c r="S1261" s="454"/>
      <c r="AY1261" s="454"/>
      <c r="AZ1261" s="454"/>
      <c r="BA1261" s="1267"/>
      <c r="BC1261" s="169"/>
    </row>
    <row r="1262" spans="19:55">
      <c r="S1262" s="454"/>
      <c r="AY1262" s="454"/>
      <c r="AZ1262" s="454"/>
      <c r="BA1262" s="1267"/>
      <c r="BC1262" s="169"/>
    </row>
    <row r="1263" spans="19:55">
      <c r="S1263" s="454"/>
      <c r="AY1263" s="454"/>
      <c r="AZ1263" s="454"/>
      <c r="BA1263" s="1267"/>
      <c r="BC1263" s="169"/>
    </row>
    <row r="1264" spans="19:55">
      <c r="S1264" s="454"/>
      <c r="AY1264" s="454"/>
      <c r="AZ1264" s="454"/>
      <c r="BA1264" s="1267"/>
      <c r="BC1264" s="169"/>
    </row>
    <row r="1265" spans="19:55">
      <c r="S1265" s="454"/>
      <c r="AY1265" s="454"/>
      <c r="AZ1265" s="454"/>
      <c r="BA1265" s="1267"/>
      <c r="BC1265" s="169"/>
    </row>
    <row r="1266" spans="19:55">
      <c r="S1266" s="454"/>
      <c r="AY1266" s="454"/>
      <c r="AZ1266" s="454"/>
      <c r="BA1266" s="1267"/>
      <c r="BC1266" s="169"/>
    </row>
    <row r="1267" spans="19:55">
      <c r="S1267" s="454"/>
      <c r="AY1267" s="454"/>
      <c r="AZ1267" s="454"/>
      <c r="BA1267" s="1267"/>
      <c r="BC1267" s="169"/>
    </row>
    <row r="1268" spans="19:55">
      <c r="S1268" s="454"/>
      <c r="AY1268" s="454"/>
      <c r="AZ1268" s="454"/>
      <c r="BA1268" s="1267"/>
      <c r="BC1268" s="169"/>
    </row>
    <row r="1269" spans="19:55">
      <c r="S1269" s="454"/>
      <c r="AY1269" s="454"/>
      <c r="AZ1269" s="454"/>
      <c r="BA1269" s="1267"/>
      <c r="BC1269" s="169"/>
    </row>
    <row r="1270" spans="19:55">
      <c r="S1270" s="454"/>
      <c r="AY1270" s="454"/>
      <c r="AZ1270" s="454"/>
      <c r="BA1270" s="1267"/>
      <c r="BC1270" s="169"/>
    </row>
    <row r="1271" spans="19:55">
      <c r="S1271" s="454"/>
      <c r="AY1271" s="454"/>
      <c r="AZ1271" s="454"/>
      <c r="BA1271" s="1267"/>
      <c r="BC1271" s="169"/>
    </row>
    <row r="1272" spans="19:55">
      <c r="S1272" s="454"/>
      <c r="AY1272" s="454"/>
      <c r="AZ1272" s="454"/>
      <c r="BA1272" s="1267"/>
      <c r="BC1272" s="169"/>
    </row>
    <row r="1273" spans="19:55">
      <c r="S1273" s="454"/>
      <c r="AY1273" s="454"/>
      <c r="AZ1273" s="454"/>
      <c r="BA1273" s="1267"/>
      <c r="BC1273" s="169"/>
    </row>
    <row r="1274" spans="19:55">
      <c r="S1274" s="454"/>
      <c r="AY1274" s="454"/>
      <c r="AZ1274" s="454"/>
      <c r="BA1274" s="1267"/>
      <c r="BC1274" s="169"/>
    </row>
    <row r="1275" spans="19:55">
      <c r="S1275" s="454"/>
      <c r="AY1275" s="454"/>
      <c r="AZ1275" s="454"/>
      <c r="BA1275" s="1267"/>
      <c r="BC1275" s="169"/>
    </row>
    <row r="1276" spans="19:55">
      <c r="S1276" s="454"/>
      <c r="AY1276" s="454"/>
      <c r="AZ1276" s="454"/>
      <c r="BA1276" s="1267"/>
      <c r="BC1276" s="169"/>
    </row>
    <row r="1277" spans="19:55">
      <c r="S1277" s="454"/>
      <c r="AY1277" s="454"/>
      <c r="AZ1277" s="454"/>
      <c r="BA1277" s="1267"/>
      <c r="BC1277" s="169"/>
    </row>
    <row r="1278" spans="19:55">
      <c r="S1278" s="454"/>
      <c r="AY1278" s="454"/>
      <c r="AZ1278" s="454"/>
      <c r="BA1278" s="1267"/>
      <c r="BC1278" s="169"/>
    </row>
    <row r="1279" spans="19:55">
      <c r="S1279" s="454"/>
      <c r="AY1279" s="454"/>
      <c r="AZ1279" s="454"/>
      <c r="BA1279" s="1267"/>
      <c r="BC1279" s="169"/>
    </row>
    <row r="1280" spans="19:55">
      <c r="S1280" s="454"/>
      <c r="AY1280" s="454"/>
      <c r="AZ1280" s="454"/>
      <c r="BA1280" s="1267"/>
      <c r="BC1280" s="169"/>
    </row>
    <row r="1281" spans="19:55">
      <c r="S1281" s="454"/>
      <c r="AY1281" s="454"/>
      <c r="AZ1281" s="454"/>
      <c r="BA1281" s="1267"/>
      <c r="BC1281" s="169"/>
    </row>
    <row r="1282" spans="19:55">
      <c r="S1282" s="454"/>
      <c r="AY1282" s="454"/>
      <c r="AZ1282" s="454"/>
      <c r="BA1282" s="1267"/>
      <c r="BC1282" s="169"/>
    </row>
    <row r="1283" spans="19:55">
      <c r="S1283" s="454"/>
      <c r="AY1283" s="454"/>
      <c r="AZ1283" s="454"/>
      <c r="BA1283" s="1267"/>
      <c r="BC1283" s="169"/>
    </row>
    <row r="1284" spans="19:55">
      <c r="S1284" s="454"/>
      <c r="AY1284" s="454"/>
      <c r="AZ1284" s="454"/>
      <c r="BA1284" s="1267"/>
      <c r="BC1284" s="169"/>
    </row>
    <row r="1285" spans="19:55">
      <c r="S1285" s="454"/>
      <c r="AY1285" s="454"/>
      <c r="AZ1285" s="454"/>
      <c r="BA1285" s="1267"/>
      <c r="BC1285" s="169"/>
    </row>
    <row r="1286" spans="19:55">
      <c r="S1286" s="454"/>
      <c r="AY1286" s="454"/>
      <c r="AZ1286" s="454"/>
      <c r="BA1286" s="1267"/>
      <c r="BC1286" s="169"/>
    </row>
    <row r="1287" spans="19:55">
      <c r="S1287" s="454"/>
      <c r="AY1287" s="454"/>
      <c r="AZ1287" s="454"/>
      <c r="BA1287" s="1267"/>
      <c r="BC1287" s="169"/>
    </row>
    <row r="1288" spans="19:55">
      <c r="S1288" s="454"/>
      <c r="AY1288" s="454"/>
      <c r="AZ1288" s="454"/>
      <c r="BA1288" s="1267"/>
      <c r="BC1288" s="169"/>
    </row>
    <row r="1289" spans="19:55">
      <c r="S1289" s="454"/>
      <c r="AY1289" s="454"/>
      <c r="AZ1289" s="454"/>
      <c r="BA1289" s="1267"/>
      <c r="BC1289" s="169"/>
    </row>
    <row r="1290" spans="19:55">
      <c r="S1290" s="454"/>
      <c r="AY1290" s="454"/>
      <c r="AZ1290" s="454"/>
      <c r="BA1290" s="1267"/>
      <c r="BC1290" s="169"/>
    </row>
    <row r="1291" spans="19:55">
      <c r="S1291" s="454"/>
      <c r="AY1291" s="454"/>
      <c r="AZ1291" s="454"/>
      <c r="BA1291" s="1267"/>
      <c r="BC1291" s="169"/>
    </row>
    <row r="1292" spans="19:55">
      <c r="S1292" s="454"/>
      <c r="AY1292" s="454"/>
      <c r="AZ1292" s="454"/>
      <c r="BA1292" s="1267"/>
      <c r="BC1292" s="169"/>
    </row>
    <row r="1293" spans="19:55">
      <c r="S1293" s="454"/>
      <c r="AY1293" s="454"/>
      <c r="AZ1293" s="454"/>
      <c r="BA1293" s="1267"/>
      <c r="BC1293" s="169"/>
    </row>
    <row r="1294" spans="19:55">
      <c r="S1294" s="454"/>
      <c r="AY1294" s="454"/>
      <c r="AZ1294" s="454"/>
      <c r="BA1294" s="1267"/>
      <c r="BC1294" s="169"/>
    </row>
    <row r="1295" spans="19:55">
      <c r="S1295" s="454"/>
      <c r="AY1295" s="454"/>
      <c r="AZ1295" s="454"/>
      <c r="BC1295" s="169"/>
    </row>
    <row r="1296" spans="19:55">
      <c r="S1296" s="454"/>
      <c r="AY1296" s="454"/>
      <c r="AZ1296" s="454"/>
      <c r="BC1296" s="169"/>
    </row>
    <row r="1297" spans="19:55">
      <c r="S1297" s="454"/>
      <c r="AY1297" s="454"/>
      <c r="AZ1297" s="454"/>
      <c r="BC1297" s="169"/>
    </row>
    <row r="1298" spans="19:55">
      <c r="S1298" s="454"/>
      <c r="AY1298" s="454"/>
      <c r="AZ1298" s="454"/>
      <c r="BC1298" s="169"/>
    </row>
    <row r="1299" spans="19:55">
      <c r="S1299" s="454"/>
      <c r="AY1299" s="454"/>
      <c r="AZ1299" s="454"/>
      <c r="BC1299" s="169"/>
    </row>
    <row r="1300" spans="19:55">
      <c r="S1300" s="454"/>
      <c r="AY1300" s="454"/>
      <c r="AZ1300" s="454"/>
      <c r="BC1300" s="169"/>
    </row>
    <row r="1301" spans="19:55">
      <c r="S1301" s="454"/>
      <c r="AY1301" s="454"/>
      <c r="AZ1301" s="454"/>
      <c r="BC1301" s="169"/>
    </row>
    <row r="1302" spans="19:55">
      <c r="S1302" s="454"/>
      <c r="AY1302" s="454"/>
      <c r="AZ1302" s="454"/>
      <c r="BC1302" s="169"/>
    </row>
    <row r="1303" spans="19:55">
      <c r="S1303" s="454"/>
      <c r="AY1303" s="454"/>
      <c r="AZ1303" s="454"/>
      <c r="BC1303" s="169"/>
    </row>
    <row r="1304" spans="19:55">
      <c r="S1304" s="454"/>
      <c r="AY1304" s="454"/>
      <c r="AZ1304" s="454"/>
      <c r="BC1304" s="169"/>
    </row>
    <row r="1305" spans="19:55">
      <c r="S1305" s="454"/>
      <c r="AY1305" s="454"/>
      <c r="AZ1305" s="454"/>
      <c r="BC1305" s="169"/>
    </row>
    <row r="1306" spans="19:55">
      <c r="S1306" s="454"/>
      <c r="AY1306" s="454"/>
      <c r="AZ1306" s="454"/>
      <c r="BC1306" s="169"/>
    </row>
    <row r="1307" spans="19:55">
      <c r="S1307" s="454"/>
      <c r="BC1307" s="169"/>
    </row>
    <row r="1308" spans="19:55">
      <c r="S1308" s="454"/>
      <c r="BC1308" s="169"/>
    </row>
    <row r="1309" spans="19:55">
      <c r="S1309" s="454"/>
      <c r="BC1309" s="169"/>
    </row>
    <row r="1310" spans="19:55">
      <c r="S1310" s="454"/>
      <c r="BC1310" s="169"/>
    </row>
    <row r="1311" spans="19:55">
      <c r="S1311" s="454"/>
      <c r="BC1311" s="169"/>
    </row>
    <row r="1312" spans="19:55">
      <c r="S1312" s="454"/>
      <c r="BC1312" s="169"/>
    </row>
    <row r="1313" spans="19:55">
      <c r="S1313" s="454"/>
      <c r="BC1313" s="169"/>
    </row>
    <row r="1314" spans="19:55">
      <c r="S1314" s="454"/>
      <c r="BC1314" s="169"/>
    </row>
    <row r="1315" spans="19:55">
      <c r="S1315" s="454"/>
      <c r="BC1315" s="169"/>
    </row>
    <row r="1316" spans="19:55">
      <c r="S1316" s="454"/>
      <c r="BC1316" s="169"/>
    </row>
    <row r="1317" spans="19:55">
      <c r="S1317" s="454"/>
      <c r="BC1317" s="169"/>
    </row>
    <row r="1318" spans="19:55">
      <c r="S1318" s="454"/>
      <c r="BC1318" s="169"/>
    </row>
    <row r="1319" spans="19:55">
      <c r="S1319" s="454"/>
      <c r="BC1319" s="169"/>
    </row>
    <row r="1320" spans="19:55">
      <c r="S1320" s="454"/>
      <c r="BC1320" s="169"/>
    </row>
    <row r="1321" spans="19:55">
      <c r="S1321" s="454"/>
      <c r="BC1321" s="169"/>
    </row>
    <row r="1322" spans="19:55">
      <c r="S1322" s="454"/>
      <c r="BC1322" s="169"/>
    </row>
    <row r="1323" spans="19:55">
      <c r="S1323" s="454"/>
      <c r="BC1323" s="169"/>
    </row>
    <row r="1324" spans="19:55">
      <c r="S1324" s="454"/>
      <c r="BC1324" s="169"/>
    </row>
    <row r="1325" spans="19:55">
      <c r="S1325" s="454"/>
      <c r="BC1325" s="169"/>
    </row>
    <row r="1326" spans="19:55">
      <c r="S1326" s="454"/>
      <c r="BC1326" s="169"/>
    </row>
    <row r="1327" spans="19:55">
      <c r="S1327" s="454"/>
      <c r="BC1327" s="169"/>
    </row>
    <row r="1328" spans="19:55">
      <c r="S1328" s="454"/>
      <c r="BC1328" s="169"/>
    </row>
    <row r="1329" spans="19:55">
      <c r="S1329" s="454"/>
      <c r="BC1329" s="169"/>
    </row>
    <row r="1330" spans="19:55">
      <c r="S1330" s="454"/>
      <c r="BC1330" s="169"/>
    </row>
    <row r="1331" spans="19:55">
      <c r="S1331" s="454"/>
      <c r="BC1331" s="169"/>
    </row>
    <row r="1332" spans="19:55">
      <c r="S1332" s="454"/>
      <c r="BC1332" s="169"/>
    </row>
    <row r="1333" spans="19:55">
      <c r="S1333" s="454"/>
      <c r="BC1333" s="169"/>
    </row>
    <row r="1334" spans="19:55">
      <c r="S1334" s="454"/>
      <c r="BC1334" s="169"/>
    </row>
    <row r="1335" spans="19:55">
      <c r="S1335" s="454"/>
      <c r="BC1335" s="169"/>
    </row>
    <row r="1336" spans="19:55">
      <c r="S1336" s="454"/>
      <c r="BC1336" s="169"/>
    </row>
    <row r="1337" spans="19:55">
      <c r="S1337" s="454"/>
      <c r="BC1337" s="169"/>
    </row>
    <row r="1338" spans="19:55">
      <c r="S1338" s="454"/>
      <c r="BC1338" s="169"/>
    </row>
    <row r="1339" spans="19:55">
      <c r="S1339" s="454"/>
      <c r="BC1339" s="169"/>
    </row>
    <row r="1340" spans="19:55">
      <c r="S1340" s="454"/>
      <c r="BC1340" s="169"/>
    </row>
    <row r="1341" spans="19:55">
      <c r="S1341" s="454"/>
      <c r="BC1341" s="169"/>
    </row>
    <row r="1342" spans="19:55">
      <c r="S1342" s="454"/>
      <c r="BC1342" s="169"/>
    </row>
    <row r="1343" spans="19:55">
      <c r="S1343" s="454"/>
      <c r="BC1343" s="169"/>
    </row>
    <row r="1344" spans="19:55">
      <c r="S1344" s="454"/>
      <c r="BC1344" s="169"/>
    </row>
    <row r="1345" spans="19:55">
      <c r="S1345" s="454"/>
      <c r="BC1345" s="169"/>
    </row>
    <row r="1346" spans="19:55">
      <c r="S1346" s="454"/>
      <c r="BC1346" s="169"/>
    </row>
    <row r="1347" spans="19:55">
      <c r="S1347" s="454"/>
      <c r="BC1347" s="169"/>
    </row>
    <row r="1348" spans="19:55">
      <c r="S1348" s="454"/>
      <c r="BC1348" s="169"/>
    </row>
    <row r="1349" spans="19:55">
      <c r="S1349" s="454"/>
      <c r="BC1349" s="169"/>
    </row>
    <row r="1350" spans="19:55">
      <c r="S1350" s="454"/>
      <c r="BC1350" s="169"/>
    </row>
    <row r="1351" spans="19:55">
      <c r="S1351" s="454"/>
      <c r="BC1351" s="169"/>
    </row>
    <row r="1352" spans="19:55">
      <c r="S1352" s="454"/>
      <c r="BC1352" s="169"/>
    </row>
    <row r="1353" spans="19:55">
      <c r="S1353" s="454"/>
      <c r="BC1353" s="169"/>
    </row>
    <row r="1354" spans="19:55">
      <c r="S1354" s="454"/>
      <c r="BC1354" s="169"/>
    </row>
    <row r="1355" spans="19:55">
      <c r="S1355" s="454"/>
      <c r="BC1355" s="169"/>
    </row>
    <row r="1356" spans="19:55">
      <c r="S1356" s="454"/>
      <c r="BC1356" s="169"/>
    </row>
    <row r="1357" spans="19:55">
      <c r="S1357" s="454"/>
      <c r="BC1357" s="169"/>
    </row>
    <row r="1358" spans="19:55">
      <c r="S1358" s="454"/>
      <c r="BC1358" s="169"/>
    </row>
    <row r="1359" spans="19:55">
      <c r="S1359" s="454"/>
      <c r="BC1359" s="169"/>
    </row>
    <row r="1360" spans="19:55">
      <c r="S1360" s="454"/>
      <c r="BC1360" s="169"/>
    </row>
    <row r="1361" spans="19:55">
      <c r="S1361" s="454"/>
      <c r="BC1361" s="169"/>
    </row>
    <row r="1362" spans="19:55">
      <c r="S1362" s="454"/>
      <c r="BC1362" s="169"/>
    </row>
    <row r="1363" spans="19:55">
      <c r="S1363" s="454"/>
      <c r="BC1363" s="169"/>
    </row>
    <row r="1364" spans="19:55">
      <c r="S1364" s="454"/>
      <c r="BC1364" s="169"/>
    </row>
    <row r="1365" spans="19:55">
      <c r="S1365" s="454"/>
      <c r="BC1365" s="169"/>
    </row>
    <row r="1366" spans="19:55">
      <c r="S1366" s="454"/>
      <c r="BC1366" s="169"/>
    </row>
    <row r="1367" spans="19:55">
      <c r="S1367" s="454"/>
      <c r="BC1367" s="169"/>
    </row>
    <row r="1368" spans="19:55">
      <c r="S1368" s="454"/>
      <c r="BC1368" s="169"/>
    </row>
    <row r="1369" spans="19:55">
      <c r="S1369" s="454"/>
      <c r="BC1369" s="169"/>
    </row>
    <row r="1370" spans="19:55">
      <c r="S1370" s="454"/>
      <c r="BC1370" s="169"/>
    </row>
    <row r="1371" spans="19:55">
      <c r="S1371" s="454"/>
      <c r="BC1371" s="169"/>
    </row>
    <row r="1372" spans="19:55">
      <c r="S1372" s="454"/>
      <c r="BC1372" s="169"/>
    </row>
    <row r="1373" spans="19:55">
      <c r="S1373" s="454"/>
      <c r="BC1373" s="169"/>
    </row>
    <row r="1374" spans="19:55">
      <c r="S1374" s="454"/>
      <c r="BC1374" s="169"/>
    </row>
    <row r="1375" spans="19:55">
      <c r="S1375" s="454"/>
      <c r="BC1375" s="169"/>
    </row>
    <row r="1376" spans="19:55">
      <c r="S1376" s="454"/>
      <c r="BC1376" s="169"/>
    </row>
    <row r="1377" spans="19:55">
      <c r="S1377" s="454"/>
      <c r="BC1377" s="169"/>
    </row>
    <row r="1378" spans="19:55">
      <c r="S1378" s="454"/>
      <c r="BC1378" s="169"/>
    </row>
    <row r="1379" spans="19:55">
      <c r="S1379" s="454"/>
      <c r="BC1379" s="169"/>
    </row>
    <row r="1380" spans="19:55">
      <c r="S1380" s="454"/>
      <c r="BC1380" s="169"/>
    </row>
    <row r="1381" spans="19:55">
      <c r="S1381" s="454"/>
      <c r="BC1381" s="169"/>
    </row>
    <row r="1382" spans="19:55">
      <c r="S1382" s="454"/>
      <c r="BC1382" s="169"/>
    </row>
    <row r="1383" spans="19:55">
      <c r="S1383" s="454"/>
      <c r="BC1383" s="169"/>
    </row>
    <row r="1384" spans="19:55">
      <c r="S1384" s="454"/>
      <c r="BC1384" s="169"/>
    </row>
    <row r="1385" spans="19:55">
      <c r="S1385" s="454"/>
      <c r="BC1385" s="169"/>
    </row>
    <row r="1386" spans="19:55">
      <c r="S1386" s="454"/>
      <c r="BC1386" s="169"/>
    </row>
    <row r="1387" spans="19:55">
      <c r="S1387" s="454"/>
      <c r="BC1387" s="169"/>
    </row>
    <row r="1388" spans="19:55">
      <c r="S1388" s="454"/>
      <c r="BC1388" s="169"/>
    </row>
    <row r="1389" spans="19:55">
      <c r="S1389" s="454"/>
      <c r="BC1389" s="169"/>
    </row>
    <row r="1390" spans="19:55">
      <c r="S1390" s="454"/>
      <c r="BC1390" s="169"/>
    </row>
    <row r="1391" spans="19:55">
      <c r="S1391" s="454"/>
      <c r="BC1391" s="169"/>
    </row>
    <row r="1392" spans="19:55">
      <c r="S1392" s="454"/>
      <c r="BC1392" s="169"/>
    </row>
    <row r="1393" spans="19:55">
      <c r="S1393" s="454"/>
      <c r="BC1393" s="169"/>
    </row>
    <row r="1394" spans="19:55">
      <c r="S1394" s="454"/>
      <c r="BC1394" s="169"/>
    </row>
    <row r="1395" spans="19:55">
      <c r="S1395" s="454"/>
      <c r="BC1395" s="169"/>
    </row>
    <row r="1396" spans="19:55">
      <c r="S1396" s="454"/>
      <c r="BC1396" s="169"/>
    </row>
    <row r="1397" spans="19:55">
      <c r="S1397" s="454"/>
      <c r="BC1397" s="169"/>
    </row>
    <row r="1398" spans="19:55">
      <c r="S1398" s="454"/>
      <c r="BC1398" s="169"/>
    </row>
    <row r="1399" spans="19:55">
      <c r="S1399" s="454"/>
      <c r="BC1399" s="169"/>
    </row>
    <row r="1400" spans="19:55">
      <c r="S1400" s="454"/>
      <c r="BC1400" s="169"/>
    </row>
    <row r="1401" spans="19:55">
      <c r="S1401" s="454"/>
      <c r="BC1401" s="169"/>
    </row>
    <row r="1402" spans="19:55">
      <c r="S1402" s="454"/>
      <c r="BC1402" s="169"/>
    </row>
    <row r="1403" spans="19:55">
      <c r="S1403" s="454"/>
      <c r="BC1403" s="169"/>
    </row>
    <row r="1404" spans="19:55">
      <c r="S1404" s="454"/>
      <c r="BC1404" s="169"/>
    </row>
    <row r="1405" spans="19:55">
      <c r="S1405" s="454"/>
      <c r="BC1405" s="169"/>
    </row>
    <row r="1406" spans="19:55">
      <c r="S1406" s="454"/>
      <c r="BC1406" s="169"/>
    </row>
    <row r="1407" spans="19:55">
      <c r="S1407" s="454"/>
      <c r="BC1407" s="169"/>
    </row>
    <row r="1408" spans="19:55">
      <c r="S1408" s="454"/>
      <c r="BC1408" s="169"/>
    </row>
    <row r="1409" spans="19:55">
      <c r="S1409" s="454"/>
      <c r="BC1409" s="169"/>
    </row>
    <row r="1410" spans="19:55">
      <c r="S1410" s="454"/>
      <c r="BC1410" s="169"/>
    </row>
    <row r="1411" spans="19:55">
      <c r="S1411" s="454"/>
      <c r="BC1411" s="169"/>
    </row>
    <row r="1412" spans="19:55">
      <c r="S1412" s="454"/>
      <c r="BC1412" s="169"/>
    </row>
    <row r="1413" spans="19:55">
      <c r="S1413" s="454"/>
      <c r="BC1413" s="169"/>
    </row>
    <row r="1414" spans="19:55">
      <c r="S1414" s="454"/>
      <c r="BC1414" s="169"/>
    </row>
    <row r="1415" spans="19:55">
      <c r="S1415" s="454"/>
      <c r="BC1415" s="169"/>
    </row>
    <row r="1416" spans="19:55">
      <c r="S1416" s="454"/>
      <c r="BC1416" s="169"/>
    </row>
    <row r="1417" spans="19:55">
      <c r="S1417" s="454"/>
      <c r="BC1417" s="169"/>
    </row>
    <row r="1418" spans="19:55">
      <c r="S1418" s="454"/>
      <c r="BC1418" s="169"/>
    </row>
    <row r="1419" spans="19:55">
      <c r="S1419" s="454"/>
      <c r="BC1419" s="169"/>
    </row>
    <row r="1420" spans="19:55">
      <c r="S1420" s="454"/>
      <c r="BC1420" s="169"/>
    </row>
    <row r="1421" spans="19:55">
      <c r="S1421" s="454"/>
      <c r="BC1421" s="169"/>
    </row>
    <row r="1422" spans="19:55">
      <c r="S1422" s="454"/>
      <c r="BC1422" s="169"/>
    </row>
    <row r="1423" spans="19:55">
      <c r="S1423" s="454"/>
      <c r="BC1423" s="169"/>
    </row>
    <row r="1424" spans="19:55">
      <c r="S1424" s="454"/>
      <c r="BC1424" s="169"/>
    </row>
    <row r="1425" spans="19:55">
      <c r="S1425" s="454"/>
      <c r="BC1425" s="169"/>
    </row>
    <row r="1426" spans="19:55">
      <c r="S1426" s="454"/>
      <c r="BC1426" s="169"/>
    </row>
    <row r="1427" spans="19:55">
      <c r="S1427" s="454"/>
      <c r="BC1427" s="169"/>
    </row>
    <row r="1428" spans="19:55">
      <c r="S1428" s="454"/>
      <c r="BC1428" s="169"/>
    </row>
    <row r="1429" spans="19:55">
      <c r="S1429" s="454"/>
      <c r="BC1429" s="169"/>
    </row>
    <row r="1430" spans="19:55">
      <c r="S1430" s="454"/>
      <c r="BC1430" s="169"/>
    </row>
    <row r="1431" spans="19:55">
      <c r="S1431" s="454"/>
      <c r="BC1431" s="169"/>
    </row>
    <row r="1432" spans="19:55">
      <c r="S1432" s="454"/>
      <c r="BC1432" s="169"/>
    </row>
    <row r="1433" spans="19:55">
      <c r="S1433" s="454"/>
      <c r="BC1433" s="169"/>
    </row>
    <row r="1434" spans="19:55">
      <c r="S1434" s="454"/>
      <c r="BC1434" s="169"/>
    </row>
    <row r="1435" spans="19:55">
      <c r="S1435" s="454"/>
      <c r="BC1435" s="169"/>
    </row>
    <row r="1436" spans="19:55">
      <c r="S1436" s="454"/>
      <c r="BC1436" s="169"/>
    </row>
    <row r="1437" spans="19:55">
      <c r="S1437" s="454"/>
      <c r="BC1437" s="169"/>
    </row>
    <row r="1438" spans="19:55">
      <c r="S1438" s="454"/>
      <c r="BC1438" s="169"/>
    </row>
    <row r="1439" spans="19:55">
      <c r="S1439" s="454"/>
      <c r="BC1439" s="169"/>
    </row>
    <row r="1440" spans="19:55">
      <c r="S1440" s="454"/>
      <c r="BC1440" s="169"/>
    </row>
    <row r="1441" spans="19:55">
      <c r="S1441" s="454"/>
      <c r="BC1441" s="169"/>
    </row>
    <row r="1442" spans="19:55">
      <c r="S1442" s="454"/>
      <c r="BC1442" s="169"/>
    </row>
    <row r="1443" spans="19:55">
      <c r="S1443" s="454"/>
      <c r="BC1443" s="169"/>
    </row>
    <row r="1444" spans="19:55">
      <c r="S1444" s="454"/>
      <c r="BC1444" s="169"/>
    </row>
    <row r="1445" spans="19:55">
      <c r="S1445" s="454"/>
      <c r="BC1445" s="169"/>
    </row>
    <row r="1446" spans="19:55">
      <c r="S1446" s="454"/>
      <c r="BC1446" s="169"/>
    </row>
    <row r="1447" spans="19:55">
      <c r="S1447" s="454"/>
      <c r="BC1447" s="169"/>
    </row>
    <row r="1448" spans="19:55">
      <c r="S1448" s="454"/>
      <c r="BC1448" s="169"/>
    </row>
    <row r="1449" spans="19:55">
      <c r="S1449" s="454"/>
      <c r="BC1449" s="169"/>
    </row>
    <row r="1450" spans="19:55">
      <c r="S1450" s="454"/>
      <c r="BC1450" s="169"/>
    </row>
    <row r="1451" spans="19:55">
      <c r="S1451" s="454"/>
      <c r="BC1451" s="169"/>
    </row>
    <row r="1452" spans="19:55">
      <c r="S1452" s="454"/>
      <c r="BC1452" s="169"/>
    </row>
    <row r="1453" spans="19:55">
      <c r="S1453" s="454"/>
      <c r="BC1453" s="169"/>
    </row>
    <row r="1454" spans="19:55">
      <c r="S1454" s="454"/>
      <c r="BC1454" s="169"/>
    </row>
    <row r="1455" spans="19:55">
      <c r="S1455" s="454"/>
      <c r="BC1455" s="169"/>
    </row>
    <row r="1456" spans="19:55">
      <c r="S1456" s="454"/>
      <c r="BC1456" s="169"/>
    </row>
    <row r="1457" spans="19:55">
      <c r="S1457" s="454"/>
      <c r="BC1457" s="169"/>
    </row>
    <row r="1458" spans="19:55">
      <c r="S1458" s="454"/>
      <c r="BC1458" s="169"/>
    </row>
    <row r="1459" spans="19:55">
      <c r="S1459" s="454"/>
      <c r="BC1459" s="169"/>
    </row>
    <row r="1460" spans="19:55">
      <c r="S1460" s="454"/>
      <c r="BC1460" s="169"/>
    </row>
    <row r="1461" spans="19:55">
      <c r="S1461" s="454"/>
      <c r="BC1461" s="169"/>
    </row>
    <row r="1462" spans="19:55">
      <c r="S1462" s="454"/>
      <c r="BC1462" s="169"/>
    </row>
    <row r="1463" spans="19:55">
      <c r="S1463" s="454"/>
      <c r="BC1463" s="169"/>
    </row>
    <row r="1464" spans="19:55">
      <c r="S1464" s="454"/>
      <c r="BC1464" s="169"/>
    </row>
    <row r="1465" spans="19:55">
      <c r="S1465" s="454"/>
      <c r="BC1465" s="169"/>
    </row>
    <row r="1466" spans="19:55">
      <c r="S1466" s="454"/>
      <c r="BC1466" s="169"/>
    </row>
    <row r="1467" spans="19:55">
      <c r="S1467" s="454"/>
      <c r="BC1467" s="169"/>
    </row>
    <row r="1468" spans="19:55">
      <c r="S1468" s="454"/>
      <c r="BC1468" s="169"/>
    </row>
    <row r="1469" spans="19:55">
      <c r="S1469" s="454"/>
      <c r="BC1469" s="169"/>
    </row>
    <row r="1470" spans="19:55">
      <c r="S1470" s="454"/>
      <c r="BC1470" s="169"/>
    </row>
    <row r="1471" spans="19:55">
      <c r="S1471" s="454"/>
      <c r="BC1471" s="169"/>
    </row>
    <row r="1472" spans="19:55">
      <c r="S1472" s="454"/>
      <c r="BC1472" s="169"/>
    </row>
    <row r="1473" spans="19:55">
      <c r="S1473" s="454"/>
      <c r="BC1473" s="169"/>
    </row>
    <row r="1474" spans="19:55">
      <c r="S1474" s="454"/>
      <c r="BC1474" s="169"/>
    </row>
    <row r="1475" spans="19:55">
      <c r="S1475" s="454"/>
      <c r="BC1475" s="169"/>
    </row>
    <row r="1476" spans="19:55">
      <c r="S1476" s="454"/>
      <c r="BC1476" s="169"/>
    </row>
    <row r="1477" spans="19:55">
      <c r="S1477" s="454"/>
      <c r="BC1477" s="169"/>
    </row>
    <row r="1478" spans="19:55">
      <c r="S1478" s="454"/>
      <c r="BC1478" s="169"/>
    </row>
    <row r="1479" spans="19:55">
      <c r="S1479" s="454"/>
      <c r="BC1479" s="169"/>
    </row>
    <row r="1480" spans="19:55">
      <c r="S1480" s="454"/>
      <c r="BC1480" s="169"/>
    </row>
    <row r="1481" spans="19:55">
      <c r="S1481" s="454"/>
      <c r="BC1481" s="169"/>
    </row>
    <row r="1482" spans="19:55">
      <c r="S1482" s="454"/>
      <c r="BC1482" s="169"/>
    </row>
    <row r="1483" spans="19:55">
      <c r="S1483" s="454"/>
      <c r="BC1483" s="169"/>
    </row>
    <row r="1484" spans="19:55">
      <c r="S1484" s="454"/>
      <c r="BC1484" s="169"/>
    </row>
    <row r="1485" spans="19:55">
      <c r="S1485" s="454"/>
      <c r="BC1485" s="169"/>
    </row>
    <row r="1486" spans="19:55">
      <c r="S1486" s="454"/>
      <c r="BC1486" s="169"/>
    </row>
    <row r="1487" spans="19:55">
      <c r="S1487" s="454"/>
      <c r="BC1487" s="169"/>
    </row>
    <row r="1488" spans="19:55">
      <c r="S1488" s="454"/>
      <c r="BC1488" s="169"/>
    </row>
    <row r="1489" spans="19:55">
      <c r="S1489" s="454"/>
      <c r="BC1489" s="169"/>
    </row>
    <row r="1490" spans="19:55">
      <c r="S1490" s="454"/>
      <c r="BC1490" s="169"/>
    </row>
    <row r="1491" spans="19:55">
      <c r="S1491" s="454"/>
      <c r="BC1491" s="169"/>
    </row>
    <row r="1492" spans="19:55">
      <c r="S1492" s="454"/>
      <c r="BC1492" s="169"/>
    </row>
    <row r="1493" spans="19:55">
      <c r="S1493" s="454"/>
      <c r="BC1493" s="169"/>
    </row>
    <row r="1494" spans="19:55">
      <c r="BC1494" s="169"/>
    </row>
    <row r="1495" spans="19:55">
      <c r="BC1495" s="169"/>
    </row>
    <row r="1496" spans="19:55">
      <c r="BC1496" s="169"/>
    </row>
    <row r="1497" spans="19:55">
      <c r="BC1497" s="169"/>
    </row>
    <row r="1498" spans="19:55">
      <c r="BC1498" s="169"/>
    </row>
    <row r="1499" spans="19:55">
      <c r="BC1499" s="169"/>
    </row>
    <row r="1500" spans="19:55">
      <c r="BC1500" s="169"/>
    </row>
    <row r="1501" spans="19:55">
      <c r="BC1501" s="169"/>
    </row>
    <row r="1502" spans="19:55">
      <c r="BC1502" s="169"/>
    </row>
    <row r="1503" spans="19:55">
      <c r="BC1503" s="169"/>
    </row>
    <row r="1504" spans="19:55">
      <c r="BC1504" s="169"/>
    </row>
    <row r="1505" spans="55:55">
      <c r="BC1505" s="169"/>
    </row>
    <row r="1506" spans="55:55">
      <c r="BC1506" s="169"/>
    </row>
    <row r="1507" spans="55:55">
      <c r="BC1507" s="169"/>
    </row>
    <row r="1508" spans="55:55">
      <c r="BC1508" s="169"/>
    </row>
    <row r="1509" spans="55:55">
      <c r="BC1509" s="169"/>
    </row>
    <row r="1510" spans="55:55">
      <c r="BC1510" s="169"/>
    </row>
    <row r="1511" spans="55:55">
      <c r="BC1511" s="169"/>
    </row>
    <row r="1512" spans="55:55">
      <c r="BC1512" s="169"/>
    </row>
    <row r="1513" spans="55:55">
      <c r="BC1513" s="169"/>
    </row>
    <row r="1514" spans="55:55">
      <c r="BC1514" s="169"/>
    </row>
    <row r="1515" spans="55:55">
      <c r="BC1515" s="169"/>
    </row>
    <row r="1516" spans="55:55">
      <c r="BC1516" s="169"/>
    </row>
    <row r="1517" spans="55:55">
      <c r="BC1517" s="169"/>
    </row>
    <row r="1518" spans="55:55">
      <c r="BC1518" s="169"/>
    </row>
    <row r="1519" spans="55:55">
      <c r="BC1519" s="169"/>
    </row>
    <row r="1520" spans="55:55">
      <c r="BC1520" s="169"/>
    </row>
    <row r="1521" spans="55:55">
      <c r="BC1521" s="169"/>
    </row>
    <row r="1522" spans="55:55">
      <c r="BC1522" s="169"/>
    </row>
    <row r="1523" spans="55:55">
      <c r="BC1523" s="169"/>
    </row>
    <row r="1524" spans="55:55">
      <c r="BC1524" s="169"/>
    </row>
    <row r="1525" spans="55:55">
      <c r="BC1525" s="169"/>
    </row>
    <row r="1526" spans="55:55">
      <c r="BC1526" s="169"/>
    </row>
    <row r="1527" spans="55:55">
      <c r="BC1527" s="169"/>
    </row>
    <row r="1528" spans="55:55">
      <c r="BC1528" s="169"/>
    </row>
    <row r="1529" spans="55:55">
      <c r="BC1529" s="169"/>
    </row>
    <row r="1530" spans="55:55">
      <c r="BC1530" s="169"/>
    </row>
    <row r="1531" spans="55:55">
      <c r="BC1531" s="169"/>
    </row>
    <row r="1532" spans="55:55">
      <c r="BC1532" s="169"/>
    </row>
    <row r="1533" spans="55:55">
      <c r="BC1533" s="169"/>
    </row>
    <row r="1534" spans="55:55">
      <c r="BC1534" s="169"/>
    </row>
    <row r="1535" spans="55:55">
      <c r="BC1535" s="169"/>
    </row>
    <row r="1536" spans="55:55">
      <c r="BC1536" s="169"/>
    </row>
    <row r="1537" spans="55:55">
      <c r="BC1537" s="169"/>
    </row>
    <row r="1538" spans="55:55">
      <c r="BC1538" s="169"/>
    </row>
    <row r="1539" spans="55:55">
      <c r="BC1539" s="169"/>
    </row>
    <row r="1540" spans="55:55">
      <c r="BC1540" s="169"/>
    </row>
    <row r="1541" spans="55:55">
      <c r="BC1541" s="169"/>
    </row>
    <row r="1542" spans="55:55">
      <c r="BC1542" s="169"/>
    </row>
    <row r="1543" spans="55:55">
      <c r="BC1543" s="169"/>
    </row>
    <row r="1544" spans="55:55">
      <c r="BC1544" s="169"/>
    </row>
    <row r="1545" spans="55:55">
      <c r="BC1545" s="169"/>
    </row>
    <row r="1546" spans="55:55">
      <c r="BC1546" s="169"/>
    </row>
    <row r="1547" spans="55:55">
      <c r="BC1547" s="169"/>
    </row>
    <row r="1548" spans="55:55">
      <c r="BC1548" s="169"/>
    </row>
    <row r="1549" spans="55:55">
      <c r="BC1549" s="169"/>
    </row>
    <row r="1550" spans="55:55">
      <c r="BC1550" s="169"/>
    </row>
    <row r="1551" spans="55:55">
      <c r="BC1551" s="169"/>
    </row>
    <row r="1552" spans="55:55">
      <c r="BC1552" s="169"/>
    </row>
    <row r="1553" spans="55:55">
      <c r="BC1553" s="169"/>
    </row>
    <row r="1554" spans="55:55">
      <c r="BC1554" s="169"/>
    </row>
    <row r="1555" spans="55:55">
      <c r="BC1555" s="169"/>
    </row>
    <row r="1556" spans="55:55">
      <c r="BC1556" s="169"/>
    </row>
    <row r="1557" spans="55:55">
      <c r="BC1557" s="169"/>
    </row>
    <row r="1558" spans="55:55">
      <c r="BC1558" s="169"/>
    </row>
    <row r="1559" spans="55:55">
      <c r="BC1559" s="169"/>
    </row>
    <row r="1560" spans="55:55">
      <c r="BC1560" s="169"/>
    </row>
    <row r="1561" spans="55:55">
      <c r="BC1561" s="169"/>
    </row>
    <row r="1562" spans="55:55">
      <c r="BC1562" s="169"/>
    </row>
    <row r="1563" spans="55:55">
      <c r="BC1563" s="169"/>
    </row>
    <row r="1564" spans="55:55">
      <c r="BC1564" s="169"/>
    </row>
    <row r="1565" spans="55:55">
      <c r="BC1565" s="169"/>
    </row>
    <row r="1566" spans="55:55">
      <c r="BC1566" s="169"/>
    </row>
    <row r="1567" spans="55:55">
      <c r="BC1567" s="169"/>
    </row>
    <row r="1568" spans="55:55">
      <c r="BC1568" s="169"/>
    </row>
    <row r="1569" spans="55:55">
      <c r="BC1569" s="169"/>
    </row>
    <row r="1570" spans="55:55">
      <c r="BC1570" s="169"/>
    </row>
    <row r="1571" spans="55:55">
      <c r="BC1571" s="169"/>
    </row>
    <row r="1572" spans="55:55">
      <c r="BC1572" s="169"/>
    </row>
    <row r="1573" spans="55:55">
      <c r="BC1573" s="169"/>
    </row>
    <row r="1574" spans="55:55">
      <c r="BC1574" s="169"/>
    </row>
    <row r="1575" spans="55:55">
      <c r="BC1575" s="169"/>
    </row>
    <row r="1576" spans="55:55">
      <c r="BC1576" s="169"/>
    </row>
    <row r="1577" spans="55:55">
      <c r="BC1577" s="169"/>
    </row>
    <row r="1578" spans="55:55">
      <c r="BC1578" s="169"/>
    </row>
    <row r="1579" spans="55:55">
      <c r="BC1579" s="169"/>
    </row>
    <row r="1580" spans="55:55">
      <c r="BC1580" s="169"/>
    </row>
    <row r="1581" spans="55:55">
      <c r="BC1581" s="169"/>
    </row>
    <row r="1582" spans="55:55">
      <c r="BC1582" s="169"/>
    </row>
    <row r="1583" spans="55:55">
      <c r="BC1583" s="169"/>
    </row>
    <row r="1584" spans="55:55">
      <c r="BC1584" s="169"/>
    </row>
    <row r="1585" spans="55:55">
      <c r="BC1585" s="169"/>
    </row>
    <row r="1586" spans="55:55">
      <c r="BC1586" s="169"/>
    </row>
    <row r="1587" spans="55:55">
      <c r="BC1587" s="169"/>
    </row>
    <row r="1588" spans="55:55">
      <c r="BC1588" s="169"/>
    </row>
    <row r="1589" spans="55:55">
      <c r="BC1589" s="169"/>
    </row>
    <row r="1590" spans="55:55">
      <c r="BC1590" s="169"/>
    </row>
    <row r="1591" spans="55:55">
      <c r="BC1591" s="169"/>
    </row>
    <row r="1592" spans="55:55">
      <c r="BC1592" s="169"/>
    </row>
    <row r="1593" spans="55:55">
      <c r="BC1593" s="169"/>
    </row>
    <row r="1594" spans="55:55">
      <c r="BC1594" s="169"/>
    </row>
    <row r="1595" spans="55:55">
      <c r="BC1595" s="169"/>
    </row>
    <row r="1596" spans="55:55">
      <c r="BC1596" s="169"/>
    </row>
    <row r="1597" spans="55:55">
      <c r="BC1597" s="169"/>
    </row>
    <row r="1598" spans="55:55">
      <c r="BC1598" s="169"/>
    </row>
    <row r="1599" spans="55:55">
      <c r="BC1599" s="169"/>
    </row>
    <row r="1600" spans="55:55">
      <c r="BC1600" s="169"/>
    </row>
    <row r="1601" spans="55:55">
      <c r="BC1601" s="169"/>
    </row>
    <row r="1602" spans="55:55">
      <c r="BC1602" s="169"/>
    </row>
    <row r="1603" spans="55:55">
      <c r="BC1603" s="169"/>
    </row>
    <row r="1604" spans="55:55">
      <c r="BC1604" s="169"/>
    </row>
    <row r="1605" spans="55:55">
      <c r="BC1605" s="169"/>
    </row>
    <row r="1606" spans="55:55">
      <c r="BC1606" s="169"/>
    </row>
    <row r="1607" spans="55:55">
      <c r="BC1607" s="169"/>
    </row>
    <row r="1608" spans="55:55">
      <c r="BC1608" s="169"/>
    </row>
    <row r="1609" spans="55:55">
      <c r="BC1609" s="169"/>
    </row>
    <row r="1610" spans="55:55">
      <c r="BC1610" s="169"/>
    </row>
    <row r="1611" spans="55:55">
      <c r="BC1611" s="169"/>
    </row>
    <row r="1612" spans="55:55">
      <c r="BC1612" s="169"/>
    </row>
    <row r="1613" spans="55:55">
      <c r="BC1613" s="169"/>
    </row>
    <row r="1614" spans="55:55">
      <c r="BC1614" s="169"/>
    </row>
    <row r="1615" spans="55:55">
      <c r="BC1615" s="169"/>
    </row>
    <row r="1616" spans="55:55">
      <c r="BC1616" s="169"/>
    </row>
    <row r="1617" spans="55:55">
      <c r="BC1617" s="169"/>
    </row>
    <row r="1618" spans="55:55">
      <c r="BC1618" s="169"/>
    </row>
    <row r="1619" spans="55:55">
      <c r="BC1619" s="169"/>
    </row>
    <row r="1620" spans="55:55">
      <c r="BC1620" s="169"/>
    </row>
    <row r="1621" spans="55:55">
      <c r="BC1621" s="169"/>
    </row>
    <row r="1622" spans="55:55">
      <c r="BC1622" s="169"/>
    </row>
    <row r="1623" spans="55:55">
      <c r="BC1623" s="169"/>
    </row>
    <row r="1624" spans="55:55">
      <c r="BC1624" s="169"/>
    </row>
    <row r="1625" spans="55:55">
      <c r="BC1625" s="169"/>
    </row>
    <row r="1626" spans="55:55">
      <c r="BC1626" s="169"/>
    </row>
    <row r="1627" spans="55:55">
      <c r="BC1627" s="169"/>
    </row>
    <row r="1628" spans="55:55">
      <c r="BC1628" s="169"/>
    </row>
    <row r="1629" spans="55:55">
      <c r="BC1629" s="169"/>
    </row>
    <row r="1630" spans="55:55">
      <c r="BC1630" s="169"/>
    </row>
    <row r="1631" spans="55:55">
      <c r="BC1631" s="169"/>
    </row>
    <row r="1632" spans="55:55">
      <c r="BC1632" s="169"/>
    </row>
    <row r="1633" spans="55:55">
      <c r="BC1633" s="169"/>
    </row>
    <row r="1634" spans="55:55">
      <c r="BC1634" s="169"/>
    </row>
    <row r="1635" spans="55:55">
      <c r="BC1635" s="169"/>
    </row>
    <row r="1636" spans="55:55">
      <c r="BC1636" s="169"/>
    </row>
    <row r="1637" spans="55:55">
      <c r="BC1637" s="169"/>
    </row>
    <row r="1638" spans="55:55">
      <c r="BC1638" s="169"/>
    </row>
    <row r="1639" spans="55:55">
      <c r="BC1639" s="169"/>
    </row>
    <row r="1640" spans="55:55">
      <c r="BC1640" s="169"/>
    </row>
    <row r="1641" spans="55:55">
      <c r="BC1641" s="169"/>
    </row>
    <row r="1642" spans="55:55">
      <c r="BC1642" s="169"/>
    </row>
    <row r="1643" spans="55:55">
      <c r="BC1643" s="169"/>
    </row>
    <row r="1644" spans="55:55">
      <c r="BC1644" s="169"/>
    </row>
    <row r="1645" spans="55:55">
      <c r="BC1645" s="169"/>
    </row>
    <row r="1646" spans="55:55">
      <c r="BC1646" s="169"/>
    </row>
    <row r="1647" spans="55:55">
      <c r="BC1647" s="169"/>
    </row>
    <row r="1648" spans="55:55">
      <c r="BC1648" s="169"/>
    </row>
    <row r="1649" spans="55:55">
      <c r="BC1649" s="169"/>
    </row>
    <row r="1650" spans="55:55">
      <c r="BC1650" s="169"/>
    </row>
    <row r="1651" spans="55:55">
      <c r="BC1651" s="169"/>
    </row>
    <row r="1652" spans="55:55">
      <c r="BC1652" s="169"/>
    </row>
    <row r="1653" spans="55:55">
      <c r="BC1653" s="169"/>
    </row>
    <row r="1654" spans="55:55">
      <c r="BC1654" s="169"/>
    </row>
    <row r="1655" spans="55:55">
      <c r="BC1655" s="169"/>
    </row>
    <row r="1656" spans="55:55">
      <c r="BC1656" s="169"/>
    </row>
    <row r="1657" spans="55:55">
      <c r="BC1657" s="169"/>
    </row>
    <row r="1658" spans="55:55">
      <c r="BC1658" s="169"/>
    </row>
    <row r="1659" spans="55:55">
      <c r="BC1659" s="169"/>
    </row>
    <row r="1660" spans="55:55">
      <c r="BC1660" s="169"/>
    </row>
    <row r="1661" spans="55:55">
      <c r="BC1661" s="169"/>
    </row>
    <row r="1662" spans="55:55">
      <c r="BC1662" s="169"/>
    </row>
    <row r="1663" spans="55:55">
      <c r="BC1663" s="169"/>
    </row>
    <row r="1664" spans="55:55">
      <c r="BC1664" s="169"/>
    </row>
    <row r="1665" spans="55:55">
      <c r="BC1665" s="169"/>
    </row>
    <row r="1666" spans="55:55">
      <c r="BC1666" s="169"/>
    </row>
    <row r="1667" spans="55:55">
      <c r="BC1667" s="169"/>
    </row>
    <row r="1668" spans="55:55">
      <c r="BC1668" s="169"/>
    </row>
    <row r="1669" spans="55:55">
      <c r="BC1669" s="169"/>
    </row>
    <row r="1670" spans="55:55">
      <c r="BC1670" s="169"/>
    </row>
    <row r="1671" spans="55:55">
      <c r="BC1671" s="169"/>
    </row>
    <row r="1672" spans="55:55">
      <c r="BC1672" s="169"/>
    </row>
    <row r="1673" spans="55:55">
      <c r="BC1673" s="169"/>
    </row>
    <row r="1674" spans="55:55">
      <c r="BC1674" s="169"/>
    </row>
    <row r="1675" spans="55:55">
      <c r="BC1675" s="169"/>
    </row>
    <row r="1676" spans="55:55">
      <c r="BC1676" s="169"/>
    </row>
    <row r="1677" spans="55:55">
      <c r="BC1677" s="169"/>
    </row>
    <row r="1678" spans="55:55">
      <c r="BC1678" s="169"/>
    </row>
    <row r="1679" spans="55:55">
      <c r="BC1679" s="169"/>
    </row>
    <row r="1680" spans="55:55">
      <c r="BC1680" s="169"/>
    </row>
    <row r="1681" spans="55:55">
      <c r="BC1681" s="169"/>
    </row>
    <row r="1682" spans="55:55">
      <c r="BC1682" s="169"/>
    </row>
    <row r="1683" spans="55:55">
      <c r="BC1683" s="169"/>
    </row>
    <row r="1684" spans="55:55">
      <c r="BC1684" s="169"/>
    </row>
    <row r="1685" spans="55:55">
      <c r="BC1685" s="169"/>
    </row>
    <row r="1686" spans="55:55">
      <c r="BC1686" s="169"/>
    </row>
    <row r="1687" spans="55:55">
      <c r="BC1687" s="169"/>
    </row>
    <row r="1688" spans="55:55">
      <c r="BC1688" s="169"/>
    </row>
    <row r="1689" spans="55:55">
      <c r="BC1689" s="169"/>
    </row>
    <row r="1690" spans="55:55">
      <c r="BC1690" s="169"/>
    </row>
    <row r="1691" spans="55:55">
      <c r="BC1691" s="169"/>
    </row>
    <row r="1692" spans="55:55">
      <c r="BC1692" s="169"/>
    </row>
    <row r="1693" spans="55:55">
      <c r="BC1693" s="169"/>
    </row>
    <row r="1694" spans="55:55">
      <c r="BC1694" s="169"/>
    </row>
    <row r="1695" spans="55:55">
      <c r="BC1695" s="169"/>
    </row>
    <row r="1696" spans="55:55">
      <c r="BC1696" s="169"/>
    </row>
    <row r="1697" spans="55:55">
      <c r="BC1697" s="169"/>
    </row>
    <row r="1698" spans="55:55">
      <c r="BC1698" s="169"/>
    </row>
    <row r="1699" spans="55:55">
      <c r="BC1699" s="169"/>
    </row>
    <row r="1700" spans="55:55">
      <c r="BC1700" s="169"/>
    </row>
    <row r="1701" spans="55:55">
      <c r="BC1701" s="169"/>
    </row>
    <row r="1702" spans="55:55">
      <c r="BC1702" s="169"/>
    </row>
    <row r="1703" spans="55:55">
      <c r="BC1703" s="169"/>
    </row>
    <row r="1704" spans="55:55">
      <c r="BC1704" s="169"/>
    </row>
    <row r="1705" spans="55:55">
      <c r="BC1705" s="169"/>
    </row>
    <row r="1706" spans="55:55">
      <c r="BC1706" s="169"/>
    </row>
    <row r="1707" spans="55:55">
      <c r="BC1707" s="169"/>
    </row>
    <row r="1708" spans="55:55">
      <c r="BC1708" s="169"/>
    </row>
    <row r="1709" spans="55:55">
      <c r="BC1709" s="169"/>
    </row>
    <row r="1710" spans="55:55">
      <c r="BC1710" s="169"/>
    </row>
    <row r="1711" spans="55:55">
      <c r="BC1711" s="169"/>
    </row>
    <row r="1712" spans="55:55">
      <c r="BC1712" s="169"/>
    </row>
    <row r="1713" spans="55:55">
      <c r="BC1713" s="169"/>
    </row>
    <row r="1714" spans="55:55">
      <c r="BC1714" s="169"/>
    </row>
    <row r="1715" spans="55:55">
      <c r="BC1715" s="169"/>
    </row>
    <row r="1716" spans="55:55">
      <c r="BC1716" s="169"/>
    </row>
    <row r="1717" spans="55:55">
      <c r="BC1717" s="169"/>
    </row>
    <row r="1718" spans="55:55">
      <c r="BC1718" s="169"/>
    </row>
    <row r="1719" spans="55:55">
      <c r="BC1719" s="169"/>
    </row>
    <row r="1720" spans="55:55">
      <c r="BC1720" s="169"/>
    </row>
    <row r="1721" spans="55:55">
      <c r="BC1721" s="169"/>
    </row>
    <row r="1722" spans="55:55">
      <c r="BC1722" s="169"/>
    </row>
    <row r="1723" spans="55:55">
      <c r="BC1723" s="169"/>
    </row>
    <row r="1724" spans="55:55">
      <c r="BC1724" s="169"/>
    </row>
    <row r="1725" spans="55:55">
      <c r="BC1725" s="169"/>
    </row>
    <row r="1726" spans="55:55">
      <c r="BC1726" s="169"/>
    </row>
    <row r="1727" spans="55:55">
      <c r="BC1727" s="169"/>
    </row>
    <row r="1728" spans="55:55">
      <c r="BC1728" s="169"/>
    </row>
    <row r="1729" spans="55:55">
      <c r="BC1729" s="169"/>
    </row>
    <row r="1730" spans="55:55">
      <c r="BC1730" s="169"/>
    </row>
    <row r="1731" spans="55:55">
      <c r="BC1731" s="169"/>
    </row>
    <row r="1732" spans="55:55">
      <c r="BC1732" s="169"/>
    </row>
    <row r="1733" spans="55:55">
      <c r="BC1733" s="169"/>
    </row>
    <row r="1734" spans="55:55">
      <c r="BC1734" s="169"/>
    </row>
    <row r="1735" spans="55:55">
      <c r="BC1735" s="169"/>
    </row>
    <row r="1736" spans="55:55">
      <c r="BC1736" s="169"/>
    </row>
    <row r="1737" spans="55:55">
      <c r="BC1737" s="169"/>
    </row>
    <row r="1738" spans="55:55">
      <c r="BC1738" s="169"/>
    </row>
    <row r="1739" spans="55:55">
      <c r="BC1739" s="169"/>
    </row>
    <row r="1740" spans="55:55">
      <c r="BC1740" s="169"/>
    </row>
    <row r="1741" spans="55:55">
      <c r="BC1741" s="169"/>
    </row>
    <row r="1742" spans="55:55">
      <c r="BC1742" s="169"/>
    </row>
    <row r="1743" spans="55:55">
      <c r="BC1743" s="169"/>
    </row>
    <row r="1744" spans="55:55">
      <c r="BC1744" s="169"/>
    </row>
    <row r="1745" spans="55:55">
      <c r="BC1745" s="169"/>
    </row>
    <row r="1746" spans="55:55">
      <c r="BC1746" s="169"/>
    </row>
    <row r="1747" spans="55:55">
      <c r="BC1747" s="169"/>
    </row>
    <row r="1748" spans="55:55">
      <c r="BC1748" s="169"/>
    </row>
    <row r="1749" spans="55:55">
      <c r="BC1749" s="169"/>
    </row>
    <row r="1750" spans="55:55">
      <c r="BC1750" s="169"/>
    </row>
    <row r="1751" spans="55:55">
      <c r="BC1751" s="169"/>
    </row>
    <row r="1752" spans="55:55">
      <c r="BC1752" s="169"/>
    </row>
    <row r="1753" spans="55:55">
      <c r="BC1753" s="169"/>
    </row>
    <row r="1754" spans="55:55">
      <c r="BC1754" s="169"/>
    </row>
    <row r="1755" spans="55:55">
      <c r="BC1755" s="169"/>
    </row>
    <row r="1756" spans="55:55">
      <c r="BC1756" s="169"/>
    </row>
    <row r="1757" spans="55:55">
      <c r="BC1757" s="169"/>
    </row>
    <row r="1758" spans="55:55">
      <c r="BC1758" s="169"/>
    </row>
    <row r="1759" spans="55:55">
      <c r="BC1759" s="169"/>
    </row>
    <row r="1760" spans="55:55">
      <c r="BC1760" s="169"/>
    </row>
    <row r="1761" spans="55:55">
      <c r="BC1761" s="169"/>
    </row>
    <row r="1762" spans="55:55">
      <c r="BC1762" s="169"/>
    </row>
    <row r="1763" spans="55:55">
      <c r="BC1763" s="169"/>
    </row>
    <row r="1764" spans="55:55">
      <c r="BC1764" s="169"/>
    </row>
    <row r="1765" spans="55:55">
      <c r="BC1765" s="169"/>
    </row>
    <row r="1766" spans="55:55">
      <c r="BC1766" s="169"/>
    </row>
    <row r="1767" spans="55:55">
      <c r="BC1767" s="169"/>
    </row>
    <row r="1768" spans="55:55">
      <c r="BC1768" s="169"/>
    </row>
    <row r="1769" spans="55:55">
      <c r="BC1769" s="169"/>
    </row>
    <row r="1770" spans="55:55">
      <c r="BC1770" s="169"/>
    </row>
    <row r="1771" spans="55:55">
      <c r="BC1771" s="169"/>
    </row>
    <row r="1772" spans="55:55">
      <c r="BC1772" s="169"/>
    </row>
    <row r="1773" spans="55:55">
      <c r="BC1773" s="169"/>
    </row>
    <row r="1774" spans="55:55">
      <c r="BC1774" s="169"/>
    </row>
    <row r="1775" spans="55:55">
      <c r="BC1775" s="169"/>
    </row>
    <row r="1776" spans="55:55">
      <c r="BC1776" s="169"/>
    </row>
    <row r="1777" spans="55:55">
      <c r="BC1777" s="169"/>
    </row>
    <row r="1778" spans="55:55">
      <c r="BC1778" s="169"/>
    </row>
    <row r="1779" spans="55:55">
      <c r="BC1779" s="169"/>
    </row>
    <row r="1780" spans="55:55">
      <c r="BC1780" s="169"/>
    </row>
    <row r="1781" spans="55:55">
      <c r="BC1781" s="169"/>
    </row>
    <row r="1782" spans="55:55">
      <c r="BC1782" s="169"/>
    </row>
    <row r="1783" spans="55:55">
      <c r="BC1783" s="169"/>
    </row>
    <row r="1784" spans="55:55">
      <c r="BC1784" s="169"/>
    </row>
    <row r="1785" spans="55:55">
      <c r="BC1785" s="169"/>
    </row>
    <row r="1786" spans="55:55">
      <c r="BC1786" s="169"/>
    </row>
    <row r="1787" spans="55:55">
      <c r="BC1787" s="169"/>
    </row>
    <row r="1788" spans="55:55">
      <c r="BC1788" s="169"/>
    </row>
    <row r="1789" spans="55:55">
      <c r="BC1789" s="169"/>
    </row>
    <row r="1790" spans="55:55">
      <c r="BC1790" s="169"/>
    </row>
    <row r="1791" spans="55:55">
      <c r="BC1791" s="169"/>
    </row>
    <row r="1792" spans="55:55">
      <c r="BC1792" s="169"/>
    </row>
    <row r="1793" spans="55:55">
      <c r="BC1793" s="169"/>
    </row>
    <row r="1794" spans="55:55">
      <c r="BC1794" s="169"/>
    </row>
    <row r="1795" spans="55:55">
      <c r="BC1795" s="169"/>
    </row>
    <row r="1796" spans="55:55">
      <c r="BC1796" s="169"/>
    </row>
    <row r="1797" spans="55:55">
      <c r="BC1797" s="169"/>
    </row>
    <row r="1798" spans="55:55">
      <c r="BC1798" s="169"/>
    </row>
    <row r="1799" spans="55:55">
      <c r="BC1799" s="169"/>
    </row>
    <row r="1800" spans="55:55">
      <c r="BC1800" s="169"/>
    </row>
    <row r="1801" spans="55:55">
      <c r="BC1801" s="169"/>
    </row>
    <row r="1802" spans="55:55">
      <c r="BC1802" s="169"/>
    </row>
    <row r="1803" spans="55:55">
      <c r="BC1803" s="169"/>
    </row>
    <row r="1804" spans="55:55">
      <c r="BC1804" s="169"/>
    </row>
    <row r="1805" spans="55:55">
      <c r="BC1805" s="169"/>
    </row>
    <row r="1806" spans="55:55">
      <c r="BC1806" s="169"/>
    </row>
    <row r="1807" spans="55:55">
      <c r="BC1807" s="169"/>
    </row>
    <row r="1808" spans="55:55">
      <c r="BC1808" s="169"/>
    </row>
    <row r="1809" spans="55:55">
      <c r="BC1809" s="169"/>
    </row>
    <row r="1810" spans="55:55">
      <c r="BC1810" s="169"/>
    </row>
    <row r="1811" spans="55:55">
      <c r="BC1811" s="169"/>
    </row>
    <row r="1812" spans="55:55">
      <c r="BC1812" s="169"/>
    </row>
    <row r="1813" spans="55:55">
      <c r="BC1813" s="169"/>
    </row>
    <row r="1814" spans="55:55">
      <c r="BC1814" s="169"/>
    </row>
    <row r="1815" spans="55:55">
      <c r="BC1815" s="169"/>
    </row>
    <row r="1816" spans="55:55">
      <c r="BC1816" s="169"/>
    </row>
    <row r="1817" spans="55:55">
      <c r="BC1817" s="169"/>
    </row>
    <row r="1818" spans="55:55">
      <c r="BC1818" s="169"/>
    </row>
    <row r="1819" spans="55:55">
      <c r="BC1819" s="169"/>
    </row>
    <row r="1820" spans="55:55">
      <c r="BC1820" s="169"/>
    </row>
    <row r="1821" spans="55:55">
      <c r="BC1821" s="169"/>
    </row>
    <row r="1822" spans="55:55">
      <c r="BC1822" s="169"/>
    </row>
    <row r="1823" spans="55:55">
      <c r="BC1823" s="169"/>
    </row>
    <row r="1824" spans="55:55">
      <c r="BC1824" s="169"/>
    </row>
    <row r="1825" spans="55:55">
      <c r="BC1825" s="169"/>
    </row>
    <row r="1826" spans="55:55">
      <c r="BC1826" s="169"/>
    </row>
    <row r="1827" spans="55:55">
      <c r="BC1827" s="169"/>
    </row>
    <row r="1828" spans="55:55">
      <c r="BC1828" s="169"/>
    </row>
    <row r="1829" spans="55:55">
      <c r="BC1829" s="169"/>
    </row>
    <row r="1830" spans="55:55">
      <c r="BC1830" s="169"/>
    </row>
    <row r="1831" spans="55:55">
      <c r="BC1831" s="169"/>
    </row>
    <row r="1832" spans="55:55">
      <c r="BC1832" s="169"/>
    </row>
    <row r="1833" spans="55:55">
      <c r="BC1833" s="169"/>
    </row>
    <row r="1834" spans="55:55">
      <c r="BC1834" s="169"/>
    </row>
    <row r="1835" spans="55:55">
      <c r="BC1835" s="169"/>
    </row>
    <row r="1836" spans="55:55">
      <c r="BC1836" s="169"/>
    </row>
    <row r="1837" spans="55:55">
      <c r="BC1837" s="169"/>
    </row>
    <row r="1838" spans="55:55">
      <c r="BC1838" s="169"/>
    </row>
    <row r="1839" spans="55:55">
      <c r="BC1839" s="169"/>
    </row>
    <row r="1840" spans="55:55">
      <c r="BC1840" s="169"/>
    </row>
    <row r="1841" spans="55:55">
      <c r="BC1841" s="169"/>
    </row>
    <row r="1842" spans="55:55">
      <c r="BC1842" s="169"/>
    </row>
    <row r="1843" spans="55:55">
      <c r="BC1843" s="169"/>
    </row>
    <row r="1844" spans="55:55">
      <c r="BC1844" s="169"/>
    </row>
    <row r="1845" spans="55:55">
      <c r="BC1845" s="169"/>
    </row>
    <row r="1846" spans="55:55">
      <c r="BC1846" s="169"/>
    </row>
    <row r="1847" spans="55:55">
      <c r="BC1847" s="169"/>
    </row>
    <row r="1848" spans="55:55">
      <c r="BC1848" s="169"/>
    </row>
    <row r="1849" spans="55:55">
      <c r="BC1849" s="169"/>
    </row>
    <row r="1850" spans="55:55">
      <c r="BC1850" s="169"/>
    </row>
    <row r="1851" spans="55:55">
      <c r="BC1851" s="169"/>
    </row>
    <row r="1852" spans="55:55">
      <c r="BC1852" s="169"/>
    </row>
    <row r="1853" spans="55:55">
      <c r="BC1853" s="169"/>
    </row>
    <row r="1854" spans="55:55">
      <c r="BC1854" s="169"/>
    </row>
    <row r="1855" spans="55:55">
      <c r="BC1855" s="169"/>
    </row>
    <row r="1856" spans="55:55">
      <c r="BC1856" s="169"/>
    </row>
    <row r="1857" spans="55:55">
      <c r="BC1857" s="169"/>
    </row>
    <row r="1858" spans="55:55">
      <c r="BC1858" s="169"/>
    </row>
    <row r="1859" spans="55:55">
      <c r="BC1859" s="169"/>
    </row>
    <row r="1860" spans="55:55">
      <c r="BC1860" s="169"/>
    </row>
    <row r="1861" spans="55:55">
      <c r="BC1861" s="169"/>
    </row>
    <row r="1862" spans="55:55">
      <c r="BC1862" s="169"/>
    </row>
    <row r="1863" spans="55:55">
      <c r="BC1863" s="169"/>
    </row>
    <row r="1864" spans="55:55">
      <c r="BC1864" s="169"/>
    </row>
    <row r="1865" spans="55:55">
      <c r="BC1865" s="169"/>
    </row>
    <row r="1866" spans="55:55">
      <c r="BC1866" s="169"/>
    </row>
    <row r="1867" spans="55:55">
      <c r="BC1867" s="169"/>
    </row>
    <row r="1868" spans="55:55">
      <c r="BC1868" s="169"/>
    </row>
    <row r="1869" spans="55:55">
      <c r="BC1869" s="169"/>
    </row>
    <row r="1870" spans="55:55">
      <c r="BC1870" s="169"/>
    </row>
    <row r="1871" spans="55:55">
      <c r="BC1871" s="169"/>
    </row>
    <row r="1872" spans="55:55">
      <c r="BC1872" s="169"/>
    </row>
    <row r="1873" spans="55:55">
      <c r="BC1873" s="169"/>
    </row>
    <row r="1874" spans="55:55">
      <c r="BC1874" s="169"/>
    </row>
    <row r="1875" spans="55:55">
      <c r="BC1875" s="169"/>
    </row>
    <row r="1876" spans="55:55">
      <c r="BC1876" s="169"/>
    </row>
    <row r="1877" spans="55:55">
      <c r="BC1877" s="169"/>
    </row>
    <row r="1878" spans="55:55">
      <c r="BC1878" s="169"/>
    </row>
    <row r="1879" spans="55:55">
      <c r="BC1879" s="169"/>
    </row>
    <row r="1880" spans="55:55">
      <c r="BC1880" s="169"/>
    </row>
    <row r="1881" spans="55:55">
      <c r="BC1881" s="169"/>
    </row>
    <row r="1882" spans="55:55">
      <c r="BC1882" s="169"/>
    </row>
    <row r="1883" spans="55:55">
      <c r="BC1883" s="169"/>
    </row>
    <row r="1884" spans="55:55">
      <c r="BC1884" s="169"/>
    </row>
    <row r="1885" spans="55:55">
      <c r="BC1885" s="169"/>
    </row>
    <row r="1886" spans="55:55">
      <c r="BC1886" s="169"/>
    </row>
    <row r="1887" spans="55:55">
      <c r="BC1887" s="169"/>
    </row>
    <row r="1888" spans="55:55">
      <c r="BC1888" s="169"/>
    </row>
    <row r="1889" spans="55:55">
      <c r="BC1889" s="169"/>
    </row>
    <row r="1890" spans="55:55">
      <c r="BC1890" s="169"/>
    </row>
    <row r="1891" spans="55:55">
      <c r="BC1891" s="169"/>
    </row>
    <row r="1892" spans="55:55">
      <c r="BC1892" s="169"/>
    </row>
    <row r="1893" spans="55:55">
      <c r="BC1893" s="169"/>
    </row>
    <row r="1894" spans="55:55">
      <c r="BC1894" s="169"/>
    </row>
    <row r="1895" spans="55:55">
      <c r="BC1895" s="169"/>
    </row>
    <row r="1896" spans="55:55">
      <c r="BC1896" s="169"/>
    </row>
    <row r="1897" spans="55:55">
      <c r="BC1897" s="169"/>
    </row>
    <row r="1898" spans="55:55">
      <c r="BC1898" s="169"/>
    </row>
    <row r="1899" spans="55:55">
      <c r="BC1899" s="169"/>
    </row>
    <row r="1900" spans="55:55">
      <c r="BC1900" s="169"/>
    </row>
    <row r="1901" spans="55:55">
      <c r="BC1901" s="169"/>
    </row>
    <row r="1902" spans="55:55">
      <c r="BC1902" s="169"/>
    </row>
    <row r="1903" spans="55:55">
      <c r="BC1903" s="169"/>
    </row>
    <row r="1904" spans="55:55">
      <c r="BC1904" s="169"/>
    </row>
    <row r="1905" spans="55:55">
      <c r="BC1905" s="169"/>
    </row>
    <row r="1906" spans="55:55">
      <c r="BC1906" s="169"/>
    </row>
    <row r="1907" spans="55:55">
      <c r="BC1907" s="169"/>
    </row>
    <row r="1908" spans="55:55">
      <c r="BC1908" s="169"/>
    </row>
    <row r="1909" spans="55:55">
      <c r="BC1909" s="169"/>
    </row>
    <row r="1910" spans="55:55">
      <c r="BC1910" s="169"/>
    </row>
    <row r="1911" spans="55:55">
      <c r="BC1911" s="169"/>
    </row>
    <row r="1912" spans="55:55">
      <c r="BC1912" s="169"/>
    </row>
    <row r="1913" spans="55:55">
      <c r="BC1913" s="169"/>
    </row>
    <row r="1914" spans="55:55">
      <c r="BC1914" s="169"/>
    </row>
    <row r="1915" spans="55:55">
      <c r="BC1915" s="169"/>
    </row>
    <row r="1916" spans="55:55">
      <c r="BC1916" s="169"/>
    </row>
    <row r="1917" spans="55:55">
      <c r="BC1917" s="169"/>
    </row>
    <row r="1918" spans="55:55">
      <c r="BC1918" s="169"/>
    </row>
    <row r="1919" spans="55:55">
      <c r="BC1919" s="169"/>
    </row>
    <row r="1920" spans="55:55">
      <c r="BC1920" s="169"/>
    </row>
    <row r="1921" spans="55:55">
      <c r="BC1921" s="169"/>
    </row>
    <row r="1922" spans="55:55">
      <c r="BC1922" s="169"/>
    </row>
    <row r="1923" spans="55:55">
      <c r="BC1923" s="169"/>
    </row>
    <row r="1924" spans="55:55">
      <c r="BC1924" s="169"/>
    </row>
    <row r="1925" spans="55:55">
      <c r="BC1925" s="169"/>
    </row>
    <row r="1926" spans="55:55">
      <c r="BC1926" s="169"/>
    </row>
    <row r="1927" spans="55:55">
      <c r="BC1927" s="169"/>
    </row>
    <row r="1928" spans="55:55">
      <c r="BC1928" s="169"/>
    </row>
    <row r="1929" spans="55:55">
      <c r="BC1929" s="169"/>
    </row>
    <row r="1930" spans="55:55">
      <c r="BC1930" s="169"/>
    </row>
    <row r="1931" spans="55:55">
      <c r="BC1931" s="169"/>
    </row>
    <row r="1932" spans="55:55">
      <c r="BC1932" s="169"/>
    </row>
    <row r="1933" spans="55:55">
      <c r="BC1933" s="169"/>
    </row>
    <row r="1934" spans="55:55">
      <c r="BC1934" s="169"/>
    </row>
    <row r="1935" spans="55:55">
      <c r="BC1935" s="169"/>
    </row>
    <row r="1936" spans="55:55">
      <c r="BC1936" s="169"/>
    </row>
    <row r="1937" spans="55:55">
      <c r="BC1937" s="169"/>
    </row>
    <row r="1938" spans="55:55">
      <c r="BC1938" s="169"/>
    </row>
    <row r="1939" spans="55:55">
      <c r="BC1939" s="169"/>
    </row>
    <row r="1940" spans="55:55">
      <c r="BC1940" s="169"/>
    </row>
    <row r="1941" spans="55:55">
      <c r="BC1941" s="169"/>
    </row>
    <row r="1942" spans="55:55">
      <c r="BC1942" s="169"/>
    </row>
    <row r="1943" spans="55:55">
      <c r="BC1943" s="169"/>
    </row>
    <row r="1944" spans="55:55">
      <c r="BC1944" s="169"/>
    </row>
    <row r="1945" spans="55:55">
      <c r="BC1945" s="169"/>
    </row>
    <row r="1946" spans="55:55">
      <c r="BC1946" s="169"/>
    </row>
    <row r="1947" spans="55:55">
      <c r="BC1947" s="169"/>
    </row>
    <row r="1948" spans="55:55">
      <c r="BC1948" s="169"/>
    </row>
    <row r="1949" spans="55:55">
      <c r="BC1949" s="169"/>
    </row>
    <row r="1950" spans="55:55">
      <c r="BC1950" s="169"/>
    </row>
    <row r="1951" spans="55:55">
      <c r="BC1951" s="169"/>
    </row>
    <row r="1952" spans="55:55">
      <c r="BC1952" s="169"/>
    </row>
    <row r="1953" spans="55:55">
      <c r="BC1953" s="169"/>
    </row>
    <row r="1954" spans="55:55">
      <c r="BC1954" s="169"/>
    </row>
    <row r="1955" spans="55:55">
      <c r="BC1955" s="169"/>
    </row>
    <row r="1956" spans="55:55">
      <c r="BC1956" s="169"/>
    </row>
    <row r="1957" spans="55:55">
      <c r="BC1957" s="169"/>
    </row>
    <row r="1958" spans="55:55">
      <c r="BC1958" s="169"/>
    </row>
    <row r="1959" spans="55:55">
      <c r="BC1959" s="169"/>
    </row>
    <row r="1960" spans="55:55">
      <c r="BC1960" s="169"/>
    </row>
    <row r="1961" spans="55:55">
      <c r="BC1961" s="169"/>
    </row>
    <row r="1962" spans="55:55">
      <c r="BC1962" s="169"/>
    </row>
    <row r="1963" spans="55:55">
      <c r="BC1963" s="169"/>
    </row>
    <row r="1964" spans="55:55">
      <c r="BC1964" s="169"/>
    </row>
    <row r="1965" spans="55:55">
      <c r="BC1965" s="169"/>
    </row>
    <row r="1966" spans="55:55">
      <c r="BC1966" s="169"/>
    </row>
    <row r="1967" spans="55:55">
      <c r="BC1967" s="169"/>
    </row>
    <row r="1968" spans="55:55">
      <c r="BC1968" s="169"/>
    </row>
    <row r="1969" spans="55:55">
      <c r="BC1969" s="169"/>
    </row>
    <row r="1970" spans="55:55">
      <c r="BC1970" s="169"/>
    </row>
    <row r="1971" spans="55:55">
      <c r="BC1971" s="169"/>
    </row>
    <row r="1972" spans="55:55">
      <c r="BC1972" s="169"/>
    </row>
    <row r="1973" spans="55:55">
      <c r="BC1973" s="169"/>
    </row>
    <row r="1974" spans="55:55">
      <c r="BC1974" s="169"/>
    </row>
    <row r="1975" spans="55:55">
      <c r="BC1975" s="169"/>
    </row>
    <row r="1976" spans="55:55">
      <c r="BC1976" s="169"/>
    </row>
    <row r="1977" spans="55:55">
      <c r="BC1977" s="169"/>
    </row>
    <row r="1978" spans="55:55">
      <c r="BC1978" s="169"/>
    </row>
    <row r="1979" spans="55:55">
      <c r="BC1979" s="169"/>
    </row>
    <row r="1980" spans="55:55">
      <c r="BC1980" s="169"/>
    </row>
    <row r="1981" spans="55:55">
      <c r="BC1981" s="169"/>
    </row>
    <row r="1982" spans="55:55">
      <c r="BC1982" s="169"/>
    </row>
    <row r="1983" spans="55:55">
      <c r="BC1983" s="169"/>
    </row>
    <row r="1984" spans="55:55">
      <c r="BC1984" s="169"/>
    </row>
    <row r="1985" spans="55:55">
      <c r="BC1985" s="169"/>
    </row>
    <row r="1986" spans="55:55">
      <c r="BC1986" s="169"/>
    </row>
    <row r="1987" spans="55:55">
      <c r="BC1987" s="169"/>
    </row>
    <row r="1988" spans="55:55">
      <c r="BC1988" s="169"/>
    </row>
    <row r="1989" spans="55:55">
      <c r="BC1989" s="169"/>
    </row>
    <row r="1990" spans="55:55">
      <c r="BC1990" s="169"/>
    </row>
    <row r="1991" spans="55:55">
      <c r="BC1991" s="169"/>
    </row>
    <row r="1992" spans="55:55">
      <c r="BC1992" s="169"/>
    </row>
    <row r="1993" spans="55:55">
      <c r="BC1993" s="169"/>
    </row>
    <row r="1994" spans="55:55">
      <c r="BC1994" s="169"/>
    </row>
    <row r="1995" spans="55:55">
      <c r="BC1995" s="169"/>
    </row>
    <row r="1996" spans="55:55">
      <c r="BC1996" s="169"/>
    </row>
    <row r="1997" spans="55:55">
      <c r="BC1997" s="169"/>
    </row>
  </sheetData>
  <autoFilter ref="A2:BG95" xr:uid="{00000000-0009-0000-0000-000003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autoFilter>
  <mergeCells count="10">
    <mergeCell ref="BD1:BG1"/>
    <mergeCell ref="AN2:AP2"/>
    <mergeCell ref="AQ2:AS2"/>
    <mergeCell ref="AT2:AV2"/>
    <mergeCell ref="A1:BB1"/>
    <mergeCell ref="N2:P2"/>
    <mergeCell ref="T2:V2"/>
    <mergeCell ref="W2:Y2"/>
    <mergeCell ref="Z2:AB2"/>
    <mergeCell ref="AC2:AE2"/>
  </mergeCells>
  <conditionalFormatting sqref="B4:BA87">
    <cfRule type="expression" dxfId="1400" priority="25">
      <formula>$M4="NON DEFINED"</formula>
    </cfRule>
    <cfRule type="expression" dxfId="1399" priority="26">
      <formula>$AY4="N.D."</formula>
    </cfRule>
  </conditionalFormatting>
  <conditionalFormatting sqref="BD5:BE5 BG5 BD7:BE7 BD13:BE13 BD15:BE15 BD17:BE17 BD19:BE19 BD21:BE21 BD23:BE23 BD27:BE27 BD29:BE29 BD31:BE31 BD33:BE33 BD37:BE37 BD39:BE39 BD43:BE43 BD45:BE45 BD47:BE47 BD49:BE49 BD53:BE53 BD55:BE55 BD57:BE57 BD61:BE61 BD63:BE63 BD65:BE65 BD67:BE67 BD69:BE69 BD73:BE73 BD75:BE75 BD79:BE79 BD81:BE81 BD83:BE83 BD85:BE85 BD87:BE87 BG9 BG13 BG15 BG19 BG23 BG27 BG29 BG31 BG33 BG35 BG37 BG39 BG41 BG43 BG45 BG47 BG49 BG51 BG53 BG55 BG57 BG59 BG61 BG63 BG65 BG67 BG69 BG71 BG73 BG75 BG77 BG79 BG81 BG83 BG85 BG87 BD4 BD9:BE9 BD8 BD11:BE11 BD10 BD25:BE25 BD24 BD35:BE35 BD34 BD41:BE41 BD40 BD51:BE51 BD50 BD59:BE59 BD58 BD71:BE71 BD70 BD77:BE77 BD76">
    <cfRule type="containsBlanks" dxfId="1398" priority="20">
      <formula>LEN(TRIM(BD4))=0</formula>
    </cfRule>
  </conditionalFormatting>
  <conditionalFormatting sqref="BC4:BC87 BC96:BC1997">
    <cfRule type="containsText" dxfId="1397" priority="18" operator="containsText" text="a">
      <formula>NOT(ISERROR(SEARCH("a",BC4)))</formula>
    </cfRule>
    <cfRule type="containsText" dxfId="1396" priority="19" operator="containsText" text="R">
      <formula>NOT(ISERROR(SEARCH("R",BC4)))</formula>
    </cfRule>
  </conditionalFormatting>
  <conditionalFormatting sqref="BA4:BA87">
    <cfRule type="expression" dxfId="1395" priority="17">
      <formula>$BC4="R"</formula>
    </cfRule>
  </conditionalFormatting>
  <conditionalFormatting sqref="BC89:BG95">
    <cfRule type="cellIs" dxfId="1394" priority="7" operator="equal">
      <formula>0</formula>
    </cfRule>
  </conditionalFormatting>
  <conditionalFormatting sqref="A89:BB95">
    <cfRule type="cellIs" dxfId="1393" priority="11" operator="equal">
      <formula>0</formula>
    </cfRule>
  </conditionalFormatting>
  <conditionalFormatting sqref="B89:BA95 BC89:BG95">
    <cfRule type="expression" dxfId="1392" priority="9">
      <formula>$M89="NON DEFINED"</formula>
    </cfRule>
    <cfRule type="expression" dxfId="1391" priority="10">
      <formula>$AY89="N.D."</formula>
    </cfRule>
  </conditionalFormatting>
  <conditionalFormatting sqref="BA89:BA95">
    <cfRule type="expression" dxfId="1390" priority="8">
      <formula>$BC89="R"</formula>
    </cfRule>
  </conditionalFormatting>
  <conditionalFormatting sqref="BC88:BG88">
    <cfRule type="cellIs" dxfId="1389" priority="2" operator="equal">
      <formula>0</formula>
    </cfRule>
  </conditionalFormatting>
  <conditionalFormatting sqref="A88:BB88">
    <cfRule type="cellIs" dxfId="1388" priority="6" operator="equal">
      <formula>0</formula>
    </cfRule>
  </conditionalFormatting>
  <conditionalFormatting sqref="B88:BA88 BC88:BG88">
    <cfRule type="expression" dxfId="1387" priority="4">
      <formula>$M88="NON DEFINED"</formula>
    </cfRule>
    <cfRule type="expression" dxfId="1386" priority="5">
      <formula>$AY88="N.D."</formula>
    </cfRule>
  </conditionalFormatting>
  <conditionalFormatting sqref="BA88">
    <cfRule type="expression" dxfId="1385" priority="3">
      <formula>$BC88="R"</formula>
    </cfRule>
  </conditionalFormatting>
  <conditionalFormatting sqref="AN4:AN95">
    <cfRule type="cellIs" dxfId="1384" priority="1" operator="notEqual">
      <formula>5.5</formula>
    </cfRule>
  </conditionalFormatting>
  <printOptions horizontalCentered="1"/>
  <pageMargins left="0.39370078740157483" right="0.39370078740157483" top="0.78740157480314965" bottom="0.78740157480314965" header="0.31496062992125984" footer="0.31496062992125984"/>
  <pageSetup paperSize="9" scale="53" fitToHeight="0" orientation="landscape" r:id="rId1"/>
  <headerFooter alignWithMargins="0">
    <oddHeader>&amp;L&amp;G&amp;C
LAYOUT AND EQUIPMENT
EP06 TRACK 1 RA'AN-HER
KP12+550 - 14+100&amp;R&amp;G</oddHeader>
    <oddFooter>&amp;L&amp;G
&amp;F&amp;C&amp;D&amp;RPag &amp;P of &amp;N</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9"/>
    <pageSetUpPr fitToPage="1"/>
  </sheetPr>
  <dimension ref="A1:BG2165"/>
  <sheetViews>
    <sheetView view="pageBreakPreview" zoomScale="55" zoomScaleNormal="85" zoomScaleSheetLayoutView="55" workbookViewId="0">
      <pane xSplit="2" ySplit="3" topLeftCell="C19" activePane="bottomRight" state="frozen"/>
      <selection activeCell="G124" sqref="G124"/>
      <selection pane="topRight" activeCell="G124" sqref="G124"/>
      <selection pane="bottomLeft" activeCell="G124" sqref="G124"/>
      <selection pane="bottomRight" activeCell="G124" sqref="G124"/>
    </sheetView>
  </sheetViews>
  <sheetFormatPr baseColWidth="10" defaultColWidth="11.453125" defaultRowHeight="12.5"/>
  <cols>
    <col min="1" max="1" width="20.6328125" style="178" customWidth="1"/>
    <col min="2" max="3" width="12.6328125" style="178" customWidth="1"/>
    <col min="4" max="5" width="12.6328125" style="178" hidden="1" customWidth="1"/>
    <col min="6" max="6" width="12.6328125" style="179" customWidth="1"/>
    <col min="7" max="7" width="12.6328125" style="454" customWidth="1"/>
    <col min="8" max="8" width="18.6328125" style="178" customWidth="1"/>
    <col min="9" max="9" width="12.6328125" style="178" customWidth="1"/>
    <col min="10" max="10" width="12.6328125" style="184" customWidth="1"/>
    <col min="11" max="11" width="12.6328125" style="178" customWidth="1"/>
    <col min="12" max="13" width="14.6328125" style="178" customWidth="1"/>
    <col min="14" max="16" width="8.6328125" style="178" hidden="1" customWidth="1"/>
    <col min="17" max="19" width="12.6328125" style="178" hidden="1" customWidth="1"/>
    <col min="20" max="28" width="8.6328125" style="178" hidden="1" customWidth="1"/>
    <col min="29" max="31" width="10.6328125" style="178" hidden="1" customWidth="1"/>
    <col min="32" max="32" width="13.54296875" style="178" hidden="1" customWidth="1"/>
    <col min="33" max="33" width="12.6328125" style="184" hidden="1" customWidth="1"/>
    <col min="34" max="36" width="12.6328125" style="178" hidden="1" customWidth="1"/>
    <col min="37" max="38" width="12.6328125" style="178" customWidth="1"/>
    <col min="39" max="39" width="12.6328125" style="178" hidden="1" customWidth="1"/>
    <col min="40" max="42" width="8.6328125" style="178" hidden="1" customWidth="1"/>
    <col min="43" max="46" width="8.6328125" style="454" hidden="1" customWidth="1"/>
    <col min="47" max="48" width="8.6328125" style="178" hidden="1" customWidth="1"/>
    <col min="49" max="53" width="12.6328125" style="178" customWidth="1"/>
    <col min="54" max="54" width="21.6328125" style="178" customWidth="1"/>
    <col min="55" max="55" width="18" style="178" customWidth="1"/>
    <col min="56" max="59" width="14.54296875" style="1323" customWidth="1"/>
    <col min="60" max="60" width="11.453125" style="178" customWidth="1"/>
    <col min="61" max="16384" width="11.453125" style="178"/>
  </cols>
  <sheetData>
    <row r="1" spans="1:59" ht="35" customHeight="1">
      <c r="A1" s="1602" t="s">
        <v>4073</v>
      </c>
      <c r="B1" s="1602"/>
      <c r="C1" s="1602"/>
      <c r="D1" s="1602"/>
      <c r="E1" s="1602"/>
      <c r="F1" s="1602"/>
      <c r="G1" s="1602"/>
      <c r="H1" s="1602"/>
      <c r="I1" s="1602"/>
      <c r="J1" s="1602"/>
      <c r="K1" s="1602"/>
      <c r="L1" s="1602"/>
      <c r="M1" s="1602"/>
      <c r="N1" s="1602"/>
      <c r="O1" s="1602"/>
      <c r="P1" s="1602"/>
      <c r="Q1" s="1602"/>
      <c r="R1" s="1602"/>
      <c r="S1" s="1602"/>
      <c r="T1" s="1602"/>
      <c r="U1" s="1602"/>
      <c r="V1" s="1602"/>
      <c r="W1" s="1602"/>
      <c r="X1" s="1602"/>
      <c r="Y1" s="1602"/>
      <c r="Z1" s="1602"/>
      <c r="AA1" s="1602"/>
      <c r="AB1" s="1602"/>
      <c r="AC1" s="1602"/>
      <c r="AD1" s="1602"/>
      <c r="AE1" s="1602"/>
      <c r="AF1" s="1602"/>
      <c r="AG1" s="1602"/>
      <c r="AH1" s="1602"/>
      <c r="AI1" s="1602"/>
      <c r="AJ1" s="1602"/>
      <c r="AK1" s="1602"/>
      <c r="AL1" s="1602"/>
      <c r="AM1" s="1602"/>
      <c r="AN1" s="1602"/>
      <c r="AO1" s="1602"/>
      <c r="AP1" s="1602"/>
      <c r="AQ1" s="1602"/>
      <c r="AR1" s="1602"/>
      <c r="AS1" s="1602"/>
      <c r="AT1" s="1602"/>
      <c r="AU1" s="1602"/>
      <c r="AV1" s="1602"/>
      <c r="AW1" s="1602"/>
      <c r="AX1" s="1602"/>
      <c r="AY1" s="1602"/>
      <c r="AZ1" s="1602"/>
      <c r="BA1" s="1602"/>
      <c r="BB1" s="1602"/>
      <c r="BC1" s="693" t="s">
        <v>4947</v>
      </c>
      <c r="BD1" s="1599" t="s">
        <v>4916</v>
      </c>
      <c r="BE1" s="1599"/>
      <c r="BF1" s="1599"/>
      <c r="BG1" s="1599"/>
    </row>
    <row r="2" spans="1:59" s="699" customFormat="1" ht="39">
      <c r="A2" s="1253" t="s">
        <v>4417</v>
      </c>
      <c r="B2" s="1253" t="s">
        <v>4418</v>
      </c>
      <c r="C2" s="882" t="s">
        <v>2315</v>
      </c>
      <c r="D2" s="1253" t="s">
        <v>4419</v>
      </c>
      <c r="E2" s="1253" t="s">
        <v>4855</v>
      </c>
      <c r="F2" s="883" t="s">
        <v>4856</v>
      </c>
      <c r="G2" s="1253" t="s">
        <v>4857</v>
      </c>
      <c r="H2" s="1253" t="s">
        <v>455</v>
      </c>
      <c r="I2" s="1253" t="s">
        <v>454</v>
      </c>
      <c r="J2" s="1253" t="s">
        <v>4423</v>
      </c>
      <c r="K2" s="1253" t="s">
        <v>1362</v>
      </c>
      <c r="L2" s="1253" t="s">
        <v>456</v>
      </c>
      <c r="M2" s="1253" t="s">
        <v>453</v>
      </c>
      <c r="N2" s="1600" t="s">
        <v>457</v>
      </c>
      <c r="O2" s="1600"/>
      <c r="P2" s="1600"/>
      <c r="Q2" s="1253" t="s">
        <v>4858</v>
      </c>
      <c r="R2" s="1253" t="s">
        <v>4859</v>
      </c>
      <c r="S2" s="1253" t="s">
        <v>4860</v>
      </c>
      <c r="T2" s="1600" t="s">
        <v>4861</v>
      </c>
      <c r="U2" s="1600"/>
      <c r="V2" s="1600"/>
      <c r="W2" s="1600" t="s">
        <v>4862</v>
      </c>
      <c r="X2" s="1600"/>
      <c r="Y2" s="1600"/>
      <c r="Z2" s="1600" t="s">
        <v>4863</v>
      </c>
      <c r="AA2" s="1600"/>
      <c r="AB2" s="1600"/>
      <c r="AC2" s="1600" t="s">
        <v>628</v>
      </c>
      <c r="AD2" s="1600"/>
      <c r="AE2" s="1600"/>
      <c r="AF2" s="1253" t="s">
        <v>4872</v>
      </c>
      <c r="AG2" s="882" t="s">
        <v>4864</v>
      </c>
      <c r="AH2" s="1253" t="s">
        <v>4865</v>
      </c>
      <c r="AI2" s="1253" t="s">
        <v>4866</v>
      </c>
      <c r="AJ2" s="1253" t="s">
        <v>629</v>
      </c>
      <c r="AK2" s="1253" t="s">
        <v>458</v>
      </c>
      <c r="AL2" s="1253" t="s">
        <v>459</v>
      </c>
      <c r="AM2" s="1253" t="s">
        <v>631</v>
      </c>
      <c r="AN2" s="1600" t="s">
        <v>4867</v>
      </c>
      <c r="AO2" s="1600"/>
      <c r="AP2" s="1600"/>
      <c r="AQ2" s="1601" t="s">
        <v>460</v>
      </c>
      <c r="AR2" s="1601"/>
      <c r="AS2" s="1601"/>
      <c r="AT2" s="1600" t="s">
        <v>630</v>
      </c>
      <c r="AU2" s="1600"/>
      <c r="AV2" s="1600"/>
      <c r="AW2" s="1253" t="s">
        <v>4868</v>
      </c>
      <c r="AX2" s="1253" t="s">
        <v>4904</v>
      </c>
      <c r="AY2" s="1253" t="s">
        <v>4869</v>
      </c>
      <c r="AZ2" s="1253" t="s">
        <v>4870</v>
      </c>
      <c r="BA2" s="1253" t="s">
        <v>1670</v>
      </c>
      <c r="BB2" s="1253" t="s">
        <v>4871</v>
      </c>
      <c r="BC2" s="693" t="s">
        <v>4948</v>
      </c>
      <c r="BD2" s="1320" t="s">
        <v>453</v>
      </c>
      <c r="BE2" s="1320" t="s">
        <v>4922</v>
      </c>
      <c r="BF2" s="1320" t="s">
        <v>4915</v>
      </c>
      <c r="BG2" s="1320" t="s">
        <v>457</v>
      </c>
    </row>
    <row r="3" spans="1:59" ht="15.65" customHeight="1">
      <c r="A3" s="1239"/>
      <c r="B3" s="1239"/>
      <c r="C3" s="171"/>
      <c r="D3" s="1239"/>
      <c r="E3" s="1239"/>
      <c r="F3" s="448"/>
      <c r="G3" s="1239"/>
      <c r="H3" s="1239"/>
      <c r="I3" s="1239"/>
      <c r="J3" s="171"/>
      <c r="K3" s="1239"/>
      <c r="L3" s="1239"/>
      <c r="M3" s="1239"/>
      <c r="N3" s="878" t="s">
        <v>123</v>
      </c>
      <c r="O3" s="878" t="s">
        <v>124</v>
      </c>
      <c r="P3" s="878" t="s">
        <v>125</v>
      </c>
      <c r="Q3" s="1239"/>
      <c r="R3" s="1239"/>
      <c r="S3" s="1239"/>
      <c r="T3" s="879" t="s">
        <v>126</v>
      </c>
      <c r="U3" s="879" t="s">
        <v>127</v>
      </c>
      <c r="V3" s="879" t="s">
        <v>128</v>
      </c>
      <c r="W3" s="879" t="s">
        <v>129</v>
      </c>
      <c r="X3" s="879" t="s">
        <v>130</v>
      </c>
      <c r="Y3" s="879" t="s">
        <v>131</v>
      </c>
      <c r="Z3" s="879" t="s">
        <v>132</v>
      </c>
      <c r="AA3" s="879" t="s">
        <v>133</v>
      </c>
      <c r="AB3" s="879" t="s">
        <v>134</v>
      </c>
      <c r="AC3" s="879" t="s">
        <v>135</v>
      </c>
      <c r="AD3" s="879" t="s">
        <v>136</v>
      </c>
      <c r="AE3" s="879" t="s">
        <v>137</v>
      </c>
      <c r="AF3" s="1239"/>
      <c r="AG3" s="171"/>
      <c r="AH3" s="1239"/>
      <c r="AI3" s="1239"/>
      <c r="AJ3" s="1239"/>
      <c r="AK3" s="1239"/>
      <c r="AL3" s="1239"/>
      <c r="AM3" s="1239"/>
      <c r="AN3" s="879" t="s">
        <v>129</v>
      </c>
      <c r="AO3" s="879" t="s">
        <v>130</v>
      </c>
      <c r="AP3" s="879" t="s">
        <v>131</v>
      </c>
      <c r="AQ3" s="880" t="s">
        <v>613</v>
      </c>
      <c r="AR3" s="880" t="s">
        <v>614</v>
      </c>
      <c r="AS3" s="880" t="s">
        <v>615</v>
      </c>
      <c r="AT3" s="880" t="s">
        <v>616</v>
      </c>
      <c r="AU3" s="879" t="s">
        <v>617</v>
      </c>
      <c r="AV3" s="879" t="s">
        <v>618</v>
      </c>
      <c r="AW3" s="1239"/>
      <c r="AX3" s="1239"/>
      <c r="AY3" s="1239"/>
      <c r="AZ3" s="1239"/>
      <c r="BA3" s="1239"/>
      <c r="BB3" s="1239"/>
      <c r="BD3" s="1239"/>
      <c r="BE3" s="1239"/>
      <c r="BF3" s="1239"/>
      <c r="BG3" s="1239"/>
    </row>
    <row r="4" spans="1:59" ht="15.65" customHeight="1">
      <c r="A4" s="709" t="s">
        <v>3616</v>
      </c>
      <c r="B4" s="710"/>
      <c r="C4" s="660"/>
      <c r="D4" s="666"/>
      <c r="E4" s="666"/>
      <c r="F4" s="661"/>
      <c r="G4" s="665"/>
      <c r="H4" s="666"/>
      <c r="I4" s="664"/>
      <c r="J4" s="660">
        <f>C5-7.5</f>
        <v>12557.69</v>
      </c>
      <c r="K4" s="666" t="s">
        <v>2787</v>
      </c>
      <c r="L4" s="666"/>
      <c r="M4" s="663"/>
      <c r="N4" s="666"/>
      <c r="O4" s="666"/>
      <c r="P4" s="666"/>
      <c r="Q4" s="663"/>
      <c r="R4" s="663"/>
      <c r="S4" s="665"/>
      <c r="T4" s="663"/>
      <c r="U4" s="663"/>
      <c r="V4" s="663"/>
      <c r="W4" s="663"/>
      <c r="X4" s="663"/>
      <c r="Y4" s="663"/>
      <c r="Z4" s="663"/>
      <c r="AA4" s="663"/>
      <c r="AB4" s="663"/>
      <c r="AC4" s="663"/>
      <c r="AD4" s="663"/>
      <c r="AE4" s="663"/>
      <c r="AF4" s="663"/>
      <c r="AG4" s="660"/>
      <c r="AH4" s="663"/>
      <c r="AI4" s="707"/>
      <c r="AJ4" s="666"/>
      <c r="AK4" s="658"/>
      <c r="AL4" s="658"/>
      <c r="AM4" s="666"/>
      <c r="AN4" s="665"/>
      <c r="AO4" s="666"/>
      <c r="AP4" s="666"/>
      <c r="AQ4" s="665"/>
      <c r="AR4" s="665"/>
      <c r="AS4" s="665"/>
      <c r="AT4" s="665"/>
      <c r="AU4" s="663"/>
      <c r="AV4" s="663"/>
      <c r="AW4" s="663" t="str">
        <f>VLOOKUP(J4,'Foundation Calculation'!$A$2:$C$33,3,1)</f>
        <v>Soil B</v>
      </c>
      <c r="AX4" s="663" t="str">
        <f>VLOOKUP(J4,'Foundation Calculation'!$E$2:$G$33,3,1)</f>
        <v>PT</v>
      </c>
      <c r="AY4" s="665"/>
      <c r="AZ4" s="665">
        <f>IF(AX4="PT",VLOOKUP(K4,'Foundation Calculation'!$K$2:$R$40,VLOOKUP(AW4,'Foundation Calculation'!$I$2:$J$8,2,FALSE),0),IF(AX4="K",VLOOKUP(K4,'Foundation Calculation'!$K$42:$R$80,VLOOKUP(AW4,'Foundation Calculation'!$I$2:$J$8,2,FALSE),0),""))</f>
        <v>3.9</v>
      </c>
      <c r="BA4" s="670" t="s">
        <v>2809</v>
      </c>
      <c r="BB4" s="709"/>
      <c r="BC4" s="169"/>
      <c r="BD4" s="1329"/>
      <c r="BE4" s="1330"/>
      <c r="BF4" s="1330"/>
      <c r="BG4" s="1330"/>
    </row>
    <row r="5" spans="1:59" ht="15.65" customHeight="1">
      <c r="A5" s="709"/>
      <c r="B5" s="646" t="s">
        <v>3583</v>
      </c>
      <c r="C5" s="660">
        <v>12565.19</v>
      </c>
      <c r="D5" s="663"/>
      <c r="E5" s="663"/>
      <c r="F5" s="661">
        <f>-(218^2)/(12577.84-C5)</f>
        <v>-3756.8379446641397</v>
      </c>
      <c r="G5" s="665"/>
      <c r="H5" s="663" t="s">
        <v>138</v>
      </c>
      <c r="I5" s="664" t="s">
        <v>623</v>
      </c>
      <c r="J5" s="660"/>
      <c r="K5" s="663"/>
      <c r="L5" s="666" t="s">
        <v>899</v>
      </c>
      <c r="M5" s="666" t="str">
        <f>IF(AX5="PT",VLOOKUP(L5,'Foundation Calculation'!$V$2:$X$40,VLOOKUP(AX5,'Foundation Calculation'!$I$10:$J$13,2,FALSE),0),IF(AX5="K",VLOOKUP(L5,'Foundation Calculation'!$V$42:$X$80,VLOOKUP(AX5,'Foundation Calculation'!$I$10:$J$13,2,FALSE),0),""))</f>
        <v>C5R</v>
      </c>
      <c r="N5" s="666" t="s">
        <v>144</v>
      </c>
      <c r="O5" s="666"/>
      <c r="P5" s="666"/>
      <c r="Q5" s="663"/>
      <c r="R5" s="663"/>
      <c r="S5" s="665"/>
      <c r="T5" s="663">
        <v>30</v>
      </c>
      <c r="U5" s="663"/>
      <c r="V5" s="663"/>
      <c r="W5" s="663">
        <v>1.1000000000000001</v>
      </c>
      <c r="X5" s="663"/>
      <c r="Y5" s="663"/>
      <c r="Z5" s="663"/>
      <c r="AA5" s="663"/>
      <c r="AB5" s="663"/>
      <c r="AC5" s="663" t="s">
        <v>1405</v>
      </c>
      <c r="AD5" s="663"/>
      <c r="AE5" s="663"/>
      <c r="AF5" s="663"/>
      <c r="AG5" s="660"/>
      <c r="AH5" s="663"/>
      <c r="AI5" s="707"/>
      <c r="AJ5" s="666"/>
      <c r="AK5" s="658"/>
      <c r="AL5" s="658"/>
      <c r="AM5" s="666" t="s">
        <v>1042</v>
      </c>
      <c r="AN5" s="665">
        <v>5.15</v>
      </c>
      <c r="AO5" s="666"/>
      <c r="AP5" s="666"/>
      <c r="AQ5" s="665"/>
      <c r="AR5" s="665"/>
      <c r="AS5" s="665"/>
      <c r="AT5" s="665"/>
      <c r="AU5" s="663"/>
      <c r="AV5" s="663"/>
      <c r="AW5" s="663" t="str">
        <f>VLOOKUP(C5,'Foundation Calculation'!$A$2:$C$33,3,1)</f>
        <v>Soil B</v>
      </c>
      <c r="AX5" s="663" t="str">
        <f>VLOOKUP(C5,'Foundation Calculation'!$E$2:$G$33,3,1)</f>
        <v>PT</v>
      </c>
      <c r="AY5" s="665">
        <f>IF(AX5="PT",VLOOKUP(L5,'Foundation Calculation'!$K$2:$R$40,VLOOKUP(AW5,'Foundation Calculation'!$I$2:$J$8,2,FALSE),0),IF(AX5="K",VLOOKUP(L5,'Foundation Calculation'!$K$42:$R$80,VLOOKUP(AW5,'Foundation Calculation'!$I$2:$J$8,2,FALSE),0),""))</f>
        <v>3.5</v>
      </c>
      <c r="AZ5" s="665"/>
      <c r="BA5" s="670" t="s">
        <v>2809</v>
      </c>
      <c r="BB5" s="709" t="str">
        <f>Pole_Calculations!A157</f>
        <v>App.7.1-V01-P9.5.1.6</v>
      </c>
      <c r="BC5" s="169"/>
      <c r="BD5" s="1329"/>
      <c r="BE5" s="1329"/>
      <c r="BF5" s="1330"/>
      <c r="BG5" s="1329"/>
    </row>
    <row r="6" spans="1:59" ht="15.65" customHeight="1">
      <c r="A6" s="709"/>
      <c r="B6" s="664"/>
      <c r="C6" s="660"/>
      <c r="D6" s="663"/>
      <c r="E6" s="663"/>
      <c r="F6" s="661"/>
      <c r="G6" s="665"/>
      <c r="H6" s="663"/>
      <c r="I6" s="664"/>
      <c r="J6" s="660"/>
      <c r="K6" s="663"/>
      <c r="L6" s="666"/>
      <c r="M6" s="666"/>
      <c r="N6" s="666"/>
      <c r="O6" s="666"/>
      <c r="P6" s="666"/>
      <c r="Q6" s="663"/>
      <c r="R6" s="663"/>
      <c r="S6" s="665"/>
      <c r="T6" s="663"/>
      <c r="U6" s="663"/>
      <c r="V6" s="663"/>
      <c r="W6" s="663"/>
      <c r="X6" s="663"/>
      <c r="Y6" s="663"/>
      <c r="Z6" s="663"/>
      <c r="AA6" s="663"/>
      <c r="AB6" s="663"/>
      <c r="AC6" s="663"/>
      <c r="AD6" s="663"/>
      <c r="AE6" s="663"/>
      <c r="AF6" s="663"/>
      <c r="AG6" s="660"/>
      <c r="AH6" s="663"/>
      <c r="AI6" s="707"/>
      <c r="AJ6" s="666"/>
      <c r="AK6" s="658"/>
      <c r="AL6" s="658"/>
      <c r="AM6" s="666"/>
      <c r="AN6" s="665"/>
      <c r="AO6" s="666"/>
      <c r="AP6" s="666"/>
      <c r="AQ6" s="665"/>
      <c r="AR6" s="665"/>
      <c r="AS6" s="665"/>
      <c r="AT6" s="665"/>
      <c r="AU6" s="663"/>
      <c r="AV6" s="663"/>
      <c r="AW6" s="663"/>
      <c r="AX6" s="663"/>
      <c r="AY6" s="665"/>
      <c r="AZ6" s="665"/>
      <c r="BA6" s="670"/>
      <c r="BB6" s="709"/>
      <c r="BC6" s="169"/>
      <c r="BD6" s="1330"/>
      <c r="BE6" s="1330"/>
      <c r="BF6" s="1330"/>
      <c r="BG6" s="1330"/>
    </row>
    <row r="7" spans="1:59" ht="15.65" customHeight="1">
      <c r="A7" s="709"/>
      <c r="B7" s="664" t="s">
        <v>4932</v>
      </c>
      <c r="C7" s="660">
        <f>C9-25</f>
        <v>12590.19</v>
      </c>
      <c r="D7" s="663"/>
      <c r="E7" s="663"/>
      <c r="F7" s="661"/>
      <c r="G7" s="665"/>
      <c r="H7" s="663"/>
      <c r="I7" s="664"/>
      <c r="J7" s="660"/>
      <c r="K7" s="663"/>
      <c r="L7" s="663" t="s">
        <v>4420</v>
      </c>
      <c r="M7" s="663" t="s">
        <v>4399</v>
      </c>
      <c r="N7" s="666"/>
      <c r="O7" s="666"/>
      <c r="P7" s="666"/>
      <c r="Q7" s="663"/>
      <c r="R7" s="663"/>
      <c r="S7" s="665"/>
      <c r="T7" s="663"/>
      <c r="U7" s="663"/>
      <c r="V7" s="663"/>
      <c r="W7" s="663"/>
      <c r="X7" s="663"/>
      <c r="Y7" s="663"/>
      <c r="Z7" s="663"/>
      <c r="AA7" s="663"/>
      <c r="AB7" s="663"/>
      <c r="AC7" s="663"/>
      <c r="AD7" s="663"/>
      <c r="AE7" s="663"/>
      <c r="AF7" s="663"/>
      <c r="AG7" s="660"/>
      <c r="AH7" s="663"/>
      <c r="AI7" s="707"/>
      <c r="AJ7" s="666"/>
      <c r="AK7" s="658"/>
      <c r="AL7" s="658"/>
      <c r="AM7" s="666"/>
      <c r="AN7" s="665"/>
      <c r="AO7" s="666"/>
      <c r="AP7" s="666"/>
      <c r="AQ7" s="665"/>
      <c r="AR7" s="665"/>
      <c r="AS7" s="665"/>
      <c r="AT7" s="665"/>
      <c r="AU7" s="663"/>
      <c r="AV7" s="663"/>
      <c r="AW7" s="663" t="str">
        <f>VLOOKUP(C7,'Foundation Calculation'!$A$2:$C$33,3,1)</f>
        <v>Soil B</v>
      </c>
      <c r="AX7" s="663" t="str">
        <f>VLOOKUP(C7,'Foundation Calculation'!$E$2:$G$33,3,1)</f>
        <v>PT</v>
      </c>
      <c r="AY7" s="665">
        <v>1.2</v>
      </c>
      <c r="AZ7" s="665"/>
      <c r="BA7" s="670" t="s">
        <v>2809</v>
      </c>
      <c r="BB7" s="709"/>
      <c r="BC7" s="169"/>
      <c r="BD7" s="1329"/>
      <c r="BE7" s="1329"/>
      <c r="BF7" s="1330"/>
      <c r="BG7" s="1330"/>
    </row>
    <row r="8" spans="1:59" ht="15.65" customHeight="1">
      <c r="A8" s="709"/>
      <c r="B8" s="708"/>
      <c r="C8" s="660"/>
      <c r="D8" s="663"/>
      <c r="E8" s="663"/>
      <c r="F8" s="661"/>
      <c r="G8" s="662">
        <v>50</v>
      </c>
      <c r="H8" s="663"/>
      <c r="I8" s="664" t="s">
        <v>1471</v>
      </c>
      <c r="J8" s="660">
        <f>C9-7.5</f>
        <v>12607.69</v>
      </c>
      <c r="K8" s="663" t="s">
        <v>2788</v>
      </c>
      <c r="L8" s="666"/>
      <c r="M8" s="663"/>
      <c r="N8" s="658"/>
      <c r="O8" s="658"/>
      <c r="P8" s="663"/>
      <c r="Q8" s="663"/>
      <c r="R8" s="663"/>
      <c r="S8" s="665"/>
      <c r="T8" s="663"/>
      <c r="U8" s="663"/>
      <c r="V8" s="663"/>
      <c r="W8" s="663"/>
      <c r="X8" s="663"/>
      <c r="Y8" s="663"/>
      <c r="Z8" s="663"/>
      <c r="AA8" s="663"/>
      <c r="AB8" s="663"/>
      <c r="AC8" s="663"/>
      <c r="AD8" s="663"/>
      <c r="AE8" s="663"/>
      <c r="AF8" s="663"/>
      <c r="AG8" s="660"/>
      <c r="AH8" s="663"/>
      <c r="AI8" s="707"/>
      <c r="AJ8" s="666"/>
      <c r="AK8" s="658"/>
      <c r="AL8" s="658"/>
      <c r="AM8" s="663"/>
      <c r="AN8" s="662"/>
      <c r="AO8" s="658"/>
      <c r="AP8" s="666"/>
      <c r="AQ8" s="665">
        <f>+FL_2($U$9,$T$5,$G$8,1200,9.28, 1*$F$9)</f>
        <v>-0.37593390799999998</v>
      </c>
      <c r="AR8" s="665"/>
      <c r="AS8" s="665"/>
      <c r="AT8" s="665"/>
      <c r="AU8" s="663"/>
      <c r="AV8" s="663"/>
      <c r="AW8" s="663" t="str">
        <f>VLOOKUP(J8,'Foundation Calculation'!$A$2:$C$33,3,1)</f>
        <v>Soil B</v>
      </c>
      <c r="AX8" s="663" t="str">
        <f>VLOOKUP(J8,'Foundation Calculation'!$E$2:$G$33,3,1)</f>
        <v>PT</v>
      </c>
      <c r="AY8" s="665"/>
      <c r="AZ8" s="665">
        <f>IF(AX8="PT",VLOOKUP(K8,'Foundation Calculation'!$K$2:$R$40,VLOOKUP(AW8,'Foundation Calculation'!$I$2:$J$8,2,FALSE),0),IF(AX8="K",VLOOKUP(K8,'Foundation Calculation'!$K$42:$R$80,VLOOKUP(AW8,'Foundation Calculation'!$I$2:$J$8,2,FALSE),0),""))</f>
        <v>2.8</v>
      </c>
      <c r="BA8" s="670" t="s">
        <v>2809</v>
      </c>
      <c r="BB8" s="709"/>
      <c r="BC8" s="169"/>
      <c r="BD8" s="1329"/>
      <c r="BE8" s="1330"/>
      <c r="BF8" s="1330"/>
      <c r="BG8" s="1330"/>
    </row>
    <row r="9" spans="1:59" ht="15.65" customHeight="1">
      <c r="A9" s="709" t="s">
        <v>3660</v>
      </c>
      <c r="B9" s="708" t="s">
        <v>3625</v>
      </c>
      <c r="C9" s="660">
        <f>+$C$5+$G$8</f>
        <v>12615.19</v>
      </c>
      <c r="D9" s="663"/>
      <c r="E9" s="663"/>
      <c r="F9" s="664">
        <v>0</v>
      </c>
      <c r="G9" s="665"/>
      <c r="H9" s="663" t="s">
        <v>619</v>
      </c>
      <c r="I9" s="661" t="s">
        <v>1429</v>
      </c>
      <c r="J9" s="660"/>
      <c r="K9" s="663"/>
      <c r="L9" s="666" t="s">
        <v>1697</v>
      </c>
      <c r="M9" s="666" t="str">
        <f>IF(AX9="PT",VLOOKUP(L9,'Foundation Calculation'!$V$2:$X$40,VLOOKUP(AX9,'Foundation Calculation'!$I$10:$J$13,2,FALSE),0),IF(AX9="K",VLOOKUP(L9,'Foundation Calculation'!$V$42:$X$80,VLOOKUP(AX9,'Foundation Calculation'!$I$10:$J$13,2,FALSE),0),""))</f>
        <v>2C3R</v>
      </c>
      <c r="N9" s="658" t="s">
        <v>140</v>
      </c>
      <c r="O9" s="658" t="s">
        <v>143</v>
      </c>
      <c r="P9" s="663"/>
      <c r="Q9" s="663"/>
      <c r="R9" s="663"/>
      <c r="S9" s="665"/>
      <c r="T9" s="663">
        <v>10</v>
      </c>
      <c r="U9" s="663">
        <v>-35</v>
      </c>
      <c r="V9" s="663"/>
      <c r="W9" s="663">
        <v>1.1000000000000001</v>
      </c>
      <c r="X9" s="663">
        <v>1.6</v>
      </c>
      <c r="Y9" s="663"/>
      <c r="Z9" s="663">
        <v>0.45</v>
      </c>
      <c r="AA9" s="663"/>
      <c r="AB9" s="663"/>
      <c r="AC9" s="663"/>
      <c r="AD9" s="663"/>
      <c r="AE9" s="663"/>
      <c r="AF9" s="663"/>
      <c r="AG9" s="660"/>
      <c r="AH9" s="663"/>
      <c r="AI9" s="707"/>
      <c r="AJ9" s="666" t="s">
        <v>3048</v>
      </c>
      <c r="AK9" s="658"/>
      <c r="AL9" s="658"/>
      <c r="AM9" s="663" t="s">
        <v>1043</v>
      </c>
      <c r="AN9" s="665">
        <v>5.15</v>
      </c>
      <c r="AO9" s="658"/>
      <c r="AP9" s="666"/>
      <c r="AQ9" s="665"/>
      <c r="AR9" s="665"/>
      <c r="AS9" s="665"/>
      <c r="AT9" s="665">
        <f>+ab($U$9,$T$5,$U$13,$G$8,47, 1*$F$9,1200)</f>
        <v>-10.36058357944856</v>
      </c>
      <c r="AU9" s="663"/>
      <c r="AV9" s="663"/>
      <c r="AW9" s="663" t="str">
        <f>VLOOKUP(C9,'Foundation Calculation'!$A$2:$C$33,3,1)</f>
        <v>Soil B</v>
      </c>
      <c r="AX9" s="663" t="str">
        <f>VLOOKUP(C9,'Foundation Calculation'!$E$2:$G$33,3,1)</f>
        <v>PT</v>
      </c>
      <c r="AY9" s="665">
        <f>IF(AX9="PT",VLOOKUP(L9,'Foundation Calculation'!$K$2:$R$40,VLOOKUP(AW9,'Foundation Calculation'!$I$2:$J$8,2,FALSE),0),IF(AX9="K",VLOOKUP(L9,'Foundation Calculation'!$K$42:$R$80,VLOOKUP(AW9,'Foundation Calculation'!$I$2:$J$8,2,FALSE),0),""))</f>
        <v>3.5</v>
      </c>
      <c r="AZ9" s="665"/>
      <c r="BA9" s="670" t="s">
        <v>2809</v>
      </c>
      <c r="BB9" s="709" t="str">
        <f>Pole_Calculations!A156</f>
        <v>App.7.1-V01-P9.5.1.5</v>
      </c>
      <c r="BC9" s="169"/>
      <c r="BD9" s="1329"/>
      <c r="BE9" s="1329"/>
      <c r="BF9" s="1330"/>
      <c r="BG9" s="1329"/>
    </row>
    <row r="10" spans="1:59" ht="15.65" customHeight="1">
      <c r="A10" s="709"/>
      <c r="B10" s="708"/>
      <c r="C10" s="660"/>
      <c r="D10" s="663"/>
      <c r="E10" s="663"/>
      <c r="F10" s="664"/>
      <c r="G10" s="665">
        <v>42</v>
      </c>
      <c r="H10" s="658"/>
      <c r="I10" s="664" t="s">
        <v>1039</v>
      </c>
      <c r="J10" s="660">
        <f>C9+7.5</f>
        <v>12622.69</v>
      </c>
      <c r="K10" s="663" t="s">
        <v>2788</v>
      </c>
      <c r="L10" s="666"/>
      <c r="M10" s="663"/>
      <c r="N10" s="658"/>
      <c r="O10" s="658"/>
      <c r="P10" s="663"/>
      <c r="Q10" s="663"/>
      <c r="R10" s="663"/>
      <c r="S10" s="665"/>
      <c r="T10" s="663"/>
      <c r="U10" s="663"/>
      <c r="V10" s="663"/>
      <c r="W10" s="663"/>
      <c r="X10" s="663"/>
      <c r="Y10" s="663"/>
      <c r="Z10" s="663"/>
      <c r="AA10" s="663"/>
      <c r="AB10" s="663"/>
      <c r="AC10" s="663"/>
      <c r="AD10" s="663"/>
      <c r="AE10" s="663"/>
      <c r="AF10" s="663"/>
      <c r="AG10" s="660"/>
      <c r="AH10" s="663"/>
      <c r="AI10" s="663"/>
      <c r="AJ10" s="666" t="s">
        <v>1360</v>
      </c>
      <c r="AK10" s="658"/>
      <c r="AL10" s="658"/>
      <c r="AM10" s="663"/>
      <c r="AN10" s="662"/>
      <c r="AO10" s="658"/>
      <c r="AP10" s="666"/>
      <c r="AQ10" s="665">
        <f>+FL_1($T$13,$T$9,47,1200,9.28, 1*$F$11)</f>
        <v>0.45682977668085101</v>
      </c>
      <c r="AR10" s="665"/>
      <c r="AS10" s="665"/>
      <c r="AT10" s="665"/>
      <c r="AU10" s="663"/>
      <c r="AV10" s="663"/>
      <c r="AW10" s="663" t="str">
        <f>VLOOKUP(J10,'Foundation Calculation'!$A$2:$C$33,3,1)</f>
        <v>Soil B</v>
      </c>
      <c r="AX10" s="663" t="str">
        <f>VLOOKUP(J10,'Foundation Calculation'!$E$2:$G$33,3,1)</f>
        <v>PT</v>
      </c>
      <c r="AY10" s="665"/>
      <c r="AZ10" s="665">
        <f>IF(AX10="PT",VLOOKUP(K10,'Foundation Calculation'!$K$2:$R$40,VLOOKUP(AW10,'Foundation Calculation'!$I$2:$J$8,2,FALSE),0),IF(AX10="K",VLOOKUP(K10,'Foundation Calculation'!$K$42:$R$80,VLOOKUP(AW10,'Foundation Calculation'!$I$2:$J$8,2,FALSE),0),""))</f>
        <v>2.8</v>
      </c>
      <c r="BA10" s="670" t="s">
        <v>2809</v>
      </c>
      <c r="BB10" s="709"/>
      <c r="BC10" s="169"/>
      <c r="BD10" s="1329"/>
      <c r="BE10" s="1330"/>
      <c r="BF10" s="1330"/>
      <c r="BG10" s="1330"/>
    </row>
    <row r="11" spans="1:59" ht="15.65" customHeight="1">
      <c r="A11" s="664" t="s">
        <v>3663</v>
      </c>
      <c r="B11" s="708" t="s">
        <v>3626</v>
      </c>
      <c r="C11" s="660">
        <f>+$C$9+$G$10</f>
        <v>12657.19</v>
      </c>
      <c r="D11" s="663"/>
      <c r="E11" s="663"/>
      <c r="F11" s="664">
        <v>0</v>
      </c>
      <c r="G11" s="665"/>
      <c r="H11" s="658"/>
      <c r="I11" s="661"/>
      <c r="J11" s="660"/>
      <c r="K11" s="663"/>
      <c r="L11" s="666" t="s">
        <v>1699</v>
      </c>
      <c r="M11" s="666" t="str">
        <f>IF(AX11="PT",VLOOKUP(L11,'Foundation Calculation'!$V$2:$X$40,VLOOKUP(AX11,'Foundation Calculation'!$I$10:$J$13,2,FALSE),0),IF(AX11="K",VLOOKUP(L11,'Foundation Calculation'!$V$42:$X$80,VLOOKUP(AX11,'Foundation Calculation'!$I$10:$J$13,2,FALSE),0),""))</f>
        <v>C7R</v>
      </c>
      <c r="N11" s="658"/>
      <c r="O11" s="658"/>
      <c r="P11" s="663"/>
      <c r="Q11" s="663"/>
      <c r="R11" s="663"/>
      <c r="S11" s="665"/>
      <c r="T11" s="663"/>
      <c r="U11" s="663"/>
      <c r="V11" s="663"/>
      <c r="W11" s="663"/>
      <c r="X11" s="663"/>
      <c r="Y11" s="663"/>
      <c r="Z11" s="663"/>
      <c r="AA11" s="663"/>
      <c r="AB11" s="663"/>
      <c r="AC11" s="663"/>
      <c r="AD11" s="663"/>
      <c r="AE11" s="663"/>
      <c r="AF11" s="663"/>
      <c r="AG11" s="660"/>
      <c r="AH11" s="663"/>
      <c r="AI11" s="663"/>
      <c r="AJ11" s="666" t="s">
        <v>4152</v>
      </c>
      <c r="AK11" s="658"/>
      <c r="AL11" s="658"/>
      <c r="AM11" s="663" t="s">
        <v>1043</v>
      </c>
      <c r="AN11" s="665">
        <v>5.15</v>
      </c>
      <c r="AO11" s="658"/>
      <c r="AP11" s="666"/>
      <c r="AQ11" s="665"/>
      <c r="AR11" s="665"/>
      <c r="AS11" s="665"/>
      <c r="AT11" s="665"/>
      <c r="AU11" s="663"/>
      <c r="AV11" s="663"/>
      <c r="AW11" s="663" t="str">
        <f>VLOOKUP(C11,'Foundation Calculation'!$A$2:$C$33,3,1)</f>
        <v>Soil B</v>
      </c>
      <c r="AX11" s="663" t="str">
        <f>VLOOKUP(C11,'Foundation Calculation'!$E$2:$G$33,3,1)</f>
        <v>PT</v>
      </c>
      <c r="AY11" s="665">
        <f>IF(AX11="PT",VLOOKUP(L11,'Foundation Calculation'!$K$2:$R$40,VLOOKUP(AW11,'Foundation Calculation'!$I$2:$J$8,2,FALSE),0),IF(AX11="K",VLOOKUP(L11,'Foundation Calculation'!$K$42:$R$80,VLOOKUP(AW11,'Foundation Calculation'!$I$2:$J$8,2,FALSE),0),""))</f>
        <v>4.4000000000000004</v>
      </c>
      <c r="AZ11" s="665"/>
      <c r="BA11" s="670" t="s">
        <v>2809</v>
      </c>
      <c r="BB11" s="664" t="str">
        <f>Pole_Calculations!A136</f>
        <v>App.7-V11A-P12.3.1.1</v>
      </c>
      <c r="BC11" s="169"/>
      <c r="BD11" s="1329"/>
      <c r="BE11" s="1329"/>
      <c r="BF11" s="1330"/>
      <c r="BG11" s="1330"/>
    </row>
    <row r="12" spans="1:59" ht="15.65" customHeight="1">
      <c r="A12" s="658"/>
      <c r="B12" s="708"/>
      <c r="C12" s="660"/>
      <c r="D12" s="663"/>
      <c r="E12" s="663"/>
      <c r="F12" s="664"/>
      <c r="G12" s="665">
        <v>5</v>
      </c>
      <c r="H12" s="663"/>
      <c r="I12" s="661"/>
      <c r="J12" s="660"/>
      <c r="K12" s="663"/>
      <c r="L12" s="666"/>
      <c r="M12" s="663"/>
      <c r="N12" s="658"/>
      <c r="O12" s="658"/>
      <c r="P12" s="663"/>
      <c r="Q12" s="663"/>
      <c r="R12" s="663"/>
      <c r="S12" s="665"/>
      <c r="T12" s="663"/>
      <c r="U12" s="663"/>
      <c r="V12" s="663"/>
      <c r="W12" s="663"/>
      <c r="X12" s="663"/>
      <c r="Y12" s="663"/>
      <c r="Z12" s="663"/>
      <c r="AA12" s="663"/>
      <c r="AB12" s="663"/>
      <c r="AC12" s="663"/>
      <c r="AD12" s="663"/>
      <c r="AE12" s="663"/>
      <c r="AF12" s="663"/>
      <c r="AG12" s="660"/>
      <c r="AH12" s="663"/>
      <c r="AI12" s="707"/>
      <c r="AJ12" s="666"/>
      <c r="AK12" s="658"/>
      <c r="AL12" s="658"/>
      <c r="AM12" s="663"/>
      <c r="AN12" s="662"/>
      <c r="AO12" s="658"/>
      <c r="AP12" s="658"/>
      <c r="AQ12" s="665"/>
      <c r="AR12" s="665"/>
      <c r="AS12" s="665"/>
      <c r="AT12" s="665"/>
      <c r="AU12" s="663"/>
      <c r="AV12" s="663"/>
      <c r="AW12" s="663"/>
      <c r="AX12" s="663"/>
      <c r="AY12" s="665"/>
      <c r="AZ12" s="665"/>
      <c r="BA12" s="670"/>
      <c r="BB12" s="658"/>
      <c r="BC12" s="169"/>
      <c r="BD12" s="1330"/>
      <c r="BE12" s="1330"/>
      <c r="BF12" s="1330"/>
      <c r="BG12" s="1330"/>
    </row>
    <row r="13" spans="1:59" ht="15.65" customHeight="1">
      <c r="A13" s="709" t="s">
        <v>3661</v>
      </c>
      <c r="B13" s="708" t="s">
        <v>3627</v>
      </c>
      <c r="C13" s="660">
        <f>+$C$11+$G$12</f>
        <v>12662.19</v>
      </c>
      <c r="D13" s="663"/>
      <c r="E13" s="663"/>
      <c r="F13" s="664">
        <v>0</v>
      </c>
      <c r="G13" s="665"/>
      <c r="H13" s="658" t="s">
        <v>619</v>
      </c>
      <c r="I13" s="661" t="s">
        <v>1429</v>
      </c>
      <c r="J13" s="660"/>
      <c r="K13" s="663"/>
      <c r="L13" s="666" t="s">
        <v>230</v>
      </c>
      <c r="M13" s="666" t="str">
        <f>IF(AX13="PT",VLOOKUP(L13,'Foundation Calculation'!$V$2:$X$40,VLOOKUP(AX13,'Foundation Calculation'!$I$10:$J$13,2,FALSE),0),IF(AX13="K",VLOOKUP(L13,'Foundation Calculation'!$V$42:$X$80,VLOOKUP(AX13,'Foundation Calculation'!$I$10:$J$13,2,FALSE),0),""))</f>
        <v>C4R</v>
      </c>
      <c r="N13" s="658" t="s">
        <v>144</v>
      </c>
      <c r="O13" s="658" t="s">
        <v>140</v>
      </c>
      <c r="P13" s="663"/>
      <c r="Q13" s="663"/>
      <c r="R13" s="663"/>
      <c r="S13" s="665"/>
      <c r="T13" s="663">
        <v>35</v>
      </c>
      <c r="U13" s="663">
        <v>-10</v>
      </c>
      <c r="V13" s="663"/>
      <c r="W13" s="663">
        <v>1.4</v>
      </c>
      <c r="X13" s="663">
        <v>2</v>
      </c>
      <c r="Y13" s="663"/>
      <c r="Z13" s="663"/>
      <c r="AA13" s="663">
        <v>0.45</v>
      </c>
      <c r="AB13" s="663"/>
      <c r="AC13" s="663" t="str">
        <f>IF(OR(AT13&gt;8,AT13&lt;-8),"PH",IF(OR(AT13&gt;5,AT13&lt;-5),"PH-Q",IF(OR(AT13&gt;1,AT13&lt;-1),"PH-C")))</f>
        <v>PH</v>
      </c>
      <c r="AD13" s="663"/>
      <c r="AE13" s="663"/>
      <c r="AF13" s="663"/>
      <c r="AG13" s="660"/>
      <c r="AH13" s="663"/>
      <c r="AI13" s="707"/>
      <c r="AJ13" s="666" t="s">
        <v>3048</v>
      </c>
      <c r="AK13" s="658"/>
      <c r="AL13" s="658"/>
      <c r="AM13" s="663" t="s">
        <v>1043</v>
      </c>
      <c r="AN13" s="665">
        <v>5.15</v>
      </c>
      <c r="AO13" s="658"/>
      <c r="AP13" s="658"/>
      <c r="AQ13" s="665"/>
      <c r="AR13" s="665"/>
      <c r="AS13" s="665"/>
      <c r="AT13" s="665">
        <f>+ab($T$13,$T$9,$T$15,47,$G$14, 1*$F$13,1200)</f>
        <v>17.475018068613647</v>
      </c>
      <c r="AU13" s="663"/>
      <c r="AV13" s="663"/>
      <c r="AW13" s="663" t="str">
        <f>VLOOKUP(C13,'Foundation Calculation'!$A$2:$C$33,3,1)</f>
        <v>Soil B</v>
      </c>
      <c r="AX13" s="663" t="str">
        <f>VLOOKUP(C13,'Foundation Calculation'!$E$2:$G$33,3,1)</f>
        <v>PT</v>
      </c>
      <c r="AY13" s="665">
        <f>IF(AX13="PT",VLOOKUP(L13,'Foundation Calculation'!$K$2:$R$40,VLOOKUP(AW13,'Foundation Calculation'!$I$2:$J$8,2,FALSE),0),IF(AX13="K",VLOOKUP(L13,'Foundation Calculation'!$K$42:$R$80,VLOOKUP(AW13,'Foundation Calculation'!$I$2:$J$8,2,FALSE),0),""))</f>
        <v>3.5</v>
      </c>
      <c r="AZ13" s="665"/>
      <c r="BA13" s="670" t="s">
        <v>2809</v>
      </c>
      <c r="BB13" s="709" t="str">
        <f>Pole_Calculations!A156</f>
        <v>App.7.1-V01-P9.5.1.5</v>
      </c>
      <c r="BC13" s="169"/>
      <c r="BD13" s="1329"/>
      <c r="BE13" s="1329"/>
      <c r="BF13" s="1330"/>
      <c r="BG13" s="1329"/>
    </row>
    <row r="14" spans="1:59" ht="15.65" customHeight="1">
      <c r="A14" s="658"/>
      <c r="B14" s="708"/>
      <c r="C14" s="660"/>
      <c r="D14" s="663"/>
      <c r="E14" s="663"/>
      <c r="F14" s="664"/>
      <c r="G14" s="665">
        <v>47</v>
      </c>
      <c r="H14" s="663"/>
      <c r="I14" s="661"/>
      <c r="J14" s="660"/>
      <c r="K14" s="663"/>
      <c r="L14" s="666"/>
      <c r="M14" s="663"/>
      <c r="N14" s="658"/>
      <c r="O14" s="663"/>
      <c r="P14" s="663"/>
      <c r="Q14" s="663"/>
      <c r="R14" s="663"/>
      <c r="S14" s="665"/>
      <c r="T14" s="663"/>
      <c r="U14" s="663"/>
      <c r="V14" s="663"/>
      <c r="W14" s="663"/>
      <c r="X14" s="663"/>
      <c r="Y14" s="663"/>
      <c r="Z14" s="663"/>
      <c r="AA14" s="663"/>
      <c r="AB14" s="663"/>
      <c r="AC14" s="663"/>
      <c r="AD14" s="663"/>
      <c r="AE14" s="663"/>
      <c r="AF14" s="663"/>
      <c r="AG14" s="660"/>
      <c r="AH14" s="663"/>
      <c r="AI14" s="707"/>
      <c r="AJ14" s="666"/>
      <c r="AK14" s="658"/>
      <c r="AL14" s="658"/>
      <c r="AM14" s="663"/>
      <c r="AN14" s="662"/>
      <c r="AO14" s="658"/>
      <c r="AP14" s="658"/>
      <c r="AQ14" s="665">
        <f>+FL_1($T$15,$T$13,$G$14,1200,9.28, 1*$F$15)</f>
        <v>0.45682977668085106</v>
      </c>
      <c r="AR14" s="665"/>
      <c r="AS14" s="665"/>
      <c r="AT14" s="665"/>
      <c r="AU14" s="663"/>
      <c r="AV14" s="663"/>
      <c r="AW14" s="663"/>
      <c r="AX14" s="663"/>
      <c r="AY14" s="665"/>
      <c r="AZ14" s="665"/>
      <c r="BA14" s="670"/>
      <c r="BB14" s="658"/>
      <c r="BC14" s="169"/>
      <c r="BD14" s="1330"/>
      <c r="BE14" s="1330"/>
      <c r="BF14" s="1330"/>
      <c r="BG14" s="1330"/>
    </row>
    <row r="15" spans="1:59" ht="15.65" customHeight="1">
      <c r="A15" s="658"/>
      <c r="B15" s="708" t="s">
        <v>3628</v>
      </c>
      <c r="C15" s="660">
        <f>+$C$13+$G$14</f>
        <v>12709.19</v>
      </c>
      <c r="D15" s="664"/>
      <c r="E15" s="664"/>
      <c r="F15" s="664">
        <v>0</v>
      </c>
      <c r="G15" s="665"/>
      <c r="H15" s="658" t="s">
        <v>619</v>
      </c>
      <c r="I15" s="661"/>
      <c r="J15" s="660"/>
      <c r="K15" s="663"/>
      <c r="L15" s="666" t="s">
        <v>230</v>
      </c>
      <c r="M15" s="666" t="str">
        <f>IF(AX15="PT",VLOOKUP(L15,'Foundation Calculation'!$V$2:$X$40,VLOOKUP(AX15,'Foundation Calculation'!$I$10:$J$13,2,FALSE),0),IF(AX15="K",VLOOKUP(L15,'Foundation Calculation'!$V$42:$X$80,VLOOKUP(AX15,'Foundation Calculation'!$I$10:$J$13,2,FALSE),0),""))</f>
        <v>C4R</v>
      </c>
      <c r="N15" s="658" t="s">
        <v>140</v>
      </c>
      <c r="O15" s="658" t="s">
        <v>143</v>
      </c>
      <c r="P15" s="663"/>
      <c r="Q15" s="663"/>
      <c r="R15" s="663"/>
      <c r="S15" s="665"/>
      <c r="T15" s="663">
        <v>10</v>
      </c>
      <c r="U15" s="663">
        <v>-35</v>
      </c>
      <c r="V15" s="663"/>
      <c r="W15" s="663">
        <v>1.4</v>
      </c>
      <c r="X15" s="663">
        <v>2.2999999999999998</v>
      </c>
      <c r="Y15" s="663"/>
      <c r="Z15" s="663">
        <v>0.45</v>
      </c>
      <c r="AA15" s="663"/>
      <c r="AB15" s="663"/>
      <c r="AC15" s="663"/>
      <c r="AD15" s="663"/>
      <c r="AE15" s="663"/>
      <c r="AF15" s="663"/>
      <c r="AG15" s="660"/>
      <c r="AH15" s="663"/>
      <c r="AI15" s="707"/>
      <c r="AJ15" s="666"/>
      <c r="AK15" s="658"/>
      <c r="AL15" s="658"/>
      <c r="AM15" s="663" t="s">
        <v>1043</v>
      </c>
      <c r="AN15" s="665">
        <v>5.15</v>
      </c>
      <c r="AO15" s="658"/>
      <c r="AP15" s="658"/>
      <c r="AQ15" s="665"/>
      <c r="AR15" s="665"/>
      <c r="AS15" s="665"/>
      <c r="AT15" s="665">
        <f>+ab($T$15,$T$13,$T$19,$G$14,47, 1*$F$15,1200)</f>
        <v>-17.47516307920343</v>
      </c>
      <c r="AU15" s="663"/>
      <c r="AV15" s="663"/>
      <c r="AW15" s="663" t="str">
        <f>VLOOKUP(C15,'Foundation Calculation'!$A$2:$C$33,3,1)</f>
        <v>Soil B</v>
      </c>
      <c r="AX15" s="663" t="str">
        <f>VLOOKUP(C15,'Foundation Calculation'!$E$2:$G$33,3,1)</f>
        <v>PT</v>
      </c>
      <c r="AY15" s="665">
        <f>IF(AX15="PT",VLOOKUP(L15,'Foundation Calculation'!$K$2:$R$40,VLOOKUP(AW15,'Foundation Calculation'!$I$2:$J$8,2,FALSE),0),IF(AX15="K",VLOOKUP(L15,'Foundation Calculation'!$K$42:$R$80,VLOOKUP(AW15,'Foundation Calculation'!$I$2:$J$8,2,FALSE),0),""))</f>
        <v>3.5</v>
      </c>
      <c r="AZ15" s="665"/>
      <c r="BA15" s="670" t="s">
        <v>2809</v>
      </c>
      <c r="BB15" s="658" t="str">
        <f>Pole_Calculations!A156</f>
        <v>App.7.1-V01-P9.5.1.5</v>
      </c>
      <c r="BC15" s="169"/>
      <c r="BD15" s="1329"/>
      <c r="BE15" s="1329"/>
      <c r="BF15" s="1330"/>
      <c r="BG15" s="1329"/>
    </row>
    <row r="16" spans="1:59" ht="15.65" customHeight="1">
      <c r="A16" s="664"/>
      <c r="B16" s="708"/>
      <c r="C16" s="660"/>
      <c r="D16" s="664"/>
      <c r="E16" s="664"/>
      <c r="F16" s="664"/>
      <c r="G16" s="665">
        <v>5</v>
      </c>
      <c r="H16" s="663"/>
      <c r="I16" s="661"/>
      <c r="J16" s="660"/>
      <c r="K16" s="663"/>
      <c r="L16" s="666"/>
      <c r="M16" s="663"/>
      <c r="N16" s="658"/>
      <c r="O16" s="658"/>
      <c r="P16" s="663"/>
      <c r="Q16" s="663"/>
      <c r="R16" s="663"/>
      <c r="S16" s="665"/>
      <c r="T16" s="663"/>
      <c r="U16" s="663"/>
      <c r="V16" s="663"/>
      <c r="W16" s="663"/>
      <c r="X16" s="663"/>
      <c r="Y16" s="663"/>
      <c r="Z16" s="663"/>
      <c r="AA16" s="663"/>
      <c r="AB16" s="663"/>
      <c r="AC16" s="663"/>
      <c r="AD16" s="663"/>
      <c r="AE16" s="663"/>
      <c r="AF16" s="663"/>
      <c r="AG16" s="660"/>
      <c r="AH16" s="663"/>
      <c r="AI16" s="707"/>
      <c r="AJ16" s="666"/>
      <c r="AK16" s="658"/>
      <c r="AL16" s="658"/>
      <c r="AM16" s="663"/>
      <c r="AN16" s="662"/>
      <c r="AO16" s="658"/>
      <c r="AP16" s="658"/>
      <c r="AQ16" s="665">
        <f>+FL_1($T$19,$T$15,47,1200,9.28, 1*$F$19)</f>
        <v>0.45682977668085101</v>
      </c>
      <c r="AR16" s="665"/>
      <c r="AS16" s="665"/>
      <c r="AT16" s="665"/>
      <c r="AU16" s="663"/>
      <c r="AV16" s="663"/>
      <c r="AW16" s="663"/>
      <c r="AX16" s="663"/>
      <c r="AY16" s="665"/>
      <c r="AZ16" s="665"/>
      <c r="BA16" s="670"/>
      <c r="BB16" s="658"/>
      <c r="BC16" s="169"/>
      <c r="BD16" s="1330"/>
      <c r="BE16" s="1330"/>
      <c r="BF16" s="1330"/>
      <c r="BG16" s="1330"/>
    </row>
    <row r="17" spans="1:59" ht="15.65" customHeight="1">
      <c r="A17" s="664" t="s">
        <v>4174</v>
      </c>
      <c r="B17" s="708" t="s">
        <v>3629</v>
      </c>
      <c r="C17" s="660">
        <f>+$C$15+$G$16</f>
        <v>12714.19</v>
      </c>
      <c r="D17" s="664"/>
      <c r="E17" s="664"/>
      <c r="F17" s="664">
        <v>0</v>
      </c>
      <c r="G17" s="665"/>
      <c r="H17" s="1148"/>
      <c r="I17" s="661"/>
      <c r="J17" s="660"/>
      <c r="K17" s="663"/>
      <c r="L17" s="666" t="s">
        <v>1699</v>
      </c>
      <c r="M17" s="666" t="str">
        <f>IF(AX17="PT",VLOOKUP(L17,'Foundation Calculation'!$V$2:$X$40,VLOOKUP(AX17,'Foundation Calculation'!$I$10:$J$13,2,FALSE),0),IF(AX17="K",VLOOKUP(L17,'Foundation Calculation'!$V$42:$X$80,VLOOKUP(AX17,'Foundation Calculation'!$I$10:$J$13,2,FALSE),0),""))</f>
        <v>C7R</v>
      </c>
      <c r="N17" s="658"/>
      <c r="O17" s="658"/>
      <c r="P17" s="663"/>
      <c r="Q17" s="663"/>
      <c r="R17" s="663"/>
      <c r="S17" s="665"/>
      <c r="T17" s="663"/>
      <c r="U17" s="663"/>
      <c r="V17" s="663"/>
      <c r="W17" s="663"/>
      <c r="X17" s="663"/>
      <c r="Y17" s="663"/>
      <c r="Z17" s="663"/>
      <c r="AA17" s="663"/>
      <c r="AB17" s="663"/>
      <c r="AC17" s="663"/>
      <c r="AD17" s="663"/>
      <c r="AE17" s="663"/>
      <c r="AF17" s="663"/>
      <c r="AG17" s="660"/>
      <c r="AH17" s="663"/>
      <c r="AI17" s="707"/>
      <c r="AJ17" s="666" t="s">
        <v>4152</v>
      </c>
      <c r="AK17" s="658"/>
      <c r="AL17" s="658"/>
      <c r="AM17" s="663" t="s">
        <v>1043</v>
      </c>
      <c r="AN17" s="665">
        <v>5.15</v>
      </c>
      <c r="AO17" s="658"/>
      <c r="AP17" s="658"/>
      <c r="AQ17" s="665"/>
      <c r="AR17" s="665"/>
      <c r="AS17" s="665"/>
      <c r="AT17" s="665"/>
      <c r="AU17" s="663"/>
      <c r="AV17" s="663"/>
      <c r="AW17" s="663" t="str">
        <f>VLOOKUP(C17,'Foundation Calculation'!$A$2:$C$33,3,1)</f>
        <v>Soil B</v>
      </c>
      <c r="AX17" s="663" t="str">
        <f>VLOOKUP(C17,'Foundation Calculation'!$E$2:$G$33,3,1)</f>
        <v>PT</v>
      </c>
      <c r="AY17" s="665">
        <f>IF(AX17="PT",VLOOKUP(L17,'Foundation Calculation'!$K$2:$R$40,VLOOKUP(AW17,'Foundation Calculation'!$I$2:$J$8,2,FALSE),0),IF(AX17="K",VLOOKUP(L17,'Foundation Calculation'!$K$42:$R$80,VLOOKUP(AW17,'Foundation Calculation'!$I$2:$J$8,2,FALSE),0),""))</f>
        <v>4.4000000000000004</v>
      </c>
      <c r="AZ17" s="665"/>
      <c r="BA17" s="670" t="s">
        <v>2809</v>
      </c>
      <c r="BB17" s="658" t="str">
        <f>Pole_Calculations!A136</f>
        <v>App.7-V11A-P12.3.1.1</v>
      </c>
      <c r="BC17" s="169"/>
      <c r="BD17" s="1329"/>
      <c r="BE17" s="1329"/>
      <c r="BF17" s="1330"/>
      <c r="BG17" s="1330"/>
    </row>
    <row r="18" spans="1:59" ht="15.65" customHeight="1">
      <c r="A18" s="658"/>
      <c r="B18" s="708"/>
      <c r="C18" s="660"/>
      <c r="D18" s="664"/>
      <c r="E18" s="664"/>
      <c r="F18" s="664"/>
      <c r="G18" s="665">
        <v>42</v>
      </c>
      <c r="H18" s="663"/>
      <c r="I18" s="661"/>
      <c r="J18" s="660"/>
      <c r="K18" s="663"/>
      <c r="L18" s="666"/>
      <c r="M18" s="663"/>
      <c r="N18" s="658"/>
      <c r="O18" s="663"/>
      <c r="P18" s="663"/>
      <c r="Q18" s="663"/>
      <c r="R18" s="663"/>
      <c r="S18" s="665"/>
      <c r="T18" s="663"/>
      <c r="U18" s="663"/>
      <c r="V18" s="663"/>
      <c r="W18" s="663"/>
      <c r="X18" s="663"/>
      <c r="Y18" s="663"/>
      <c r="Z18" s="663"/>
      <c r="AA18" s="663"/>
      <c r="AB18" s="663"/>
      <c r="AC18" s="663"/>
      <c r="AD18" s="663"/>
      <c r="AE18" s="663"/>
      <c r="AF18" s="663"/>
      <c r="AG18" s="660"/>
      <c r="AH18" s="663"/>
      <c r="AI18" s="707"/>
      <c r="AJ18" s="666"/>
      <c r="AK18" s="658"/>
      <c r="AL18" s="658"/>
      <c r="AM18" s="663"/>
      <c r="AN18" s="662"/>
      <c r="AO18" s="658"/>
      <c r="AP18" s="658"/>
      <c r="AQ18" s="665"/>
      <c r="AR18" s="665"/>
      <c r="AS18" s="665"/>
      <c r="AT18" s="665"/>
      <c r="AU18" s="663"/>
      <c r="AV18" s="663"/>
      <c r="AW18" s="663"/>
      <c r="AX18" s="663"/>
      <c r="AY18" s="665"/>
      <c r="AZ18" s="665"/>
      <c r="BA18" s="670"/>
      <c r="BB18" s="658"/>
      <c r="BC18" s="169"/>
      <c r="BD18" s="1330"/>
      <c r="BE18" s="1330"/>
      <c r="BF18" s="1330"/>
      <c r="BG18" s="1330"/>
    </row>
    <row r="19" spans="1:59" ht="15.65" customHeight="1">
      <c r="A19" s="709" t="s">
        <v>3662</v>
      </c>
      <c r="B19" s="708" t="s">
        <v>3630</v>
      </c>
      <c r="C19" s="660">
        <f>+$C$17+$G$18</f>
        <v>12756.19</v>
      </c>
      <c r="D19" s="664"/>
      <c r="E19" s="664"/>
      <c r="F19" s="664">
        <v>0</v>
      </c>
      <c r="G19" s="665"/>
      <c r="H19" s="658" t="s">
        <v>619</v>
      </c>
      <c r="I19" s="661" t="s">
        <v>1429</v>
      </c>
      <c r="J19" s="660"/>
      <c r="K19" s="663"/>
      <c r="L19" s="666" t="s">
        <v>895</v>
      </c>
      <c r="M19" s="666" t="str">
        <f>IF(AX19="PT",VLOOKUP(L19,'Foundation Calculation'!$V$2:$X$40,VLOOKUP(AX19,'Foundation Calculation'!$I$10:$J$13,2,FALSE),0),IF(AX19="K",VLOOKUP(L19,'Foundation Calculation'!$V$42:$X$80,VLOOKUP(AX19,'Foundation Calculation'!$I$10:$J$13,2,FALSE),0),""))</f>
        <v>2C3R</v>
      </c>
      <c r="N19" s="658" t="s">
        <v>144</v>
      </c>
      <c r="O19" s="658" t="s">
        <v>140</v>
      </c>
      <c r="P19" s="663"/>
      <c r="Q19" s="663"/>
      <c r="R19" s="663"/>
      <c r="S19" s="665"/>
      <c r="T19" s="663">
        <v>35</v>
      </c>
      <c r="U19" s="663">
        <v>-10</v>
      </c>
      <c r="V19" s="663"/>
      <c r="W19" s="663">
        <v>1.4</v>
      </c>
      <c r="X19" s="663">
        <v>2.2999999999999998</v>
      </c>
      <c r="Y19" s="663"/>
      <c r="Z19" s="663"/>
      <c r="AA19" s="663">
        <v>0.45</v>
      </c>
      <c r="AB19" s="663"/>
      <c r="AC19" s="663" t="str">
        <f>IF(OR(AT19&gt;8,AT19&lt;-8),"PH",IF(OR(AT19&gt;5,AT19&lt;-5),"PH-Q",IF(OR(AT19&gt;1,AT19&lt;-1),"PH-C")))</f>
        <v>PH</v>
      </c>
      <c r="AD19" s="663"/>
      <c r="AE19" s="663"/>
      <c r="AF19" s="663"/>
      <c r="AG19" s="660"/>
      <c r="AH19" s="663"/>
      <c r="AI19" s="707"/>
      <c r="AJ19" s="666" t="s">
        <v>3048</v>
      </c>
      <c r="AK19" s="658"/>
      <c r="AL19" s="658"/>
      <c r="AM19" s="663" t="s">
        <v>1043</v>
      </c>
      <c r="AN19" s="665">
        <v>5.15</v>
      </c>
      <c r="AO19" s="658"/>
      <c r="AP19" s="658"/>
      <c r="AQ19" s="665"/>
      <c r="AR19" s="665"/>
      <c r="AS19" s="665"/>
      <c r="AT19" s="665">
        <f>+ab($T$19,$T$15,$T$23,47,$G$22, 1*$F$19,1200)</f>
        <v>9.9206905006084174</v>
      </c>
      <c r="AU19" s="663"/>
      <c r="AV19" s="663"/>
      <c r="AW19" s="663" t="str">
        <f>VLOOKUP(C19,'Foundation Calculation'!$A$2:$C$33,3,1)</f>
        <v>Soil B</v>
      </c>
      <c r="AX19" s="663" t="str">
        <f>VLOOKUP(C19,'Foundation Calculation'!$E$2:$G$33,3,1)</f>
        <v>PT</v>
      </c>
      <c r="AY19" s="665">
        <f>IF(AX19="PT",VLOOKUP(L19,'Foundation Calculation'!$K$2:$R$40,VLOOKUP(AW19,'Foundation Calculation'!$I$2:$J$8,2,FALSE),0),IF(AX19="K",VLOOKUP(L19,'Foundation Calculation'!$K$42:$R$80,VLOOKUP(AW19,'Foundation Calculation'!$I$2:$J$8,2,FALSE),0),""))</f>
        <v>3.5</v>
      </c>
      <c r="AZ19" s="665"/>
      <c r="BA19" s="670" t="s">
        <v>2809</v>
      </c>
      <c r="BB19" s="709" t="str">
        <f>Pole_Calculations!A156</f>
        <v>App.7.1-V01-P9.5.1.5</v>
      </c>
      <c r="BC19" s="169"/>
      <c r="BD19" s="1329"/>
      <c r="BE19" s="1329"/>
      <c r="BF19" s="1330"/>
      <c r="BG19" s="1329"/>
    </row>
    <row r="20" spans="1:59" ht="15.65" customHeight="1">
      <c r="A20" s="709"/>
      <c r="B20" s="708"/>
      <c r="C20" s="660"/>
      <c r="D20" s="664"/>
      <c r="E20" s="664"/>
      <c r="F20" s="664"/>
      <c r="G20" s="665"/>
      <c r="H20" s="658"/>
      <c r="I20" s="661"/>
      <c r="J20" s="660"/>
      <c r="K20" s="663"/>
      <c r="L20" s="666"/>
      <c r="M20" s="666"/>
      <c r="N20" s="658"/>
      <c r="O20" s="658"/>
      <c r="P20" s="663"/>
      <c r="Q20" s="663"/>
      <c r="R20" s="663"/>
      <c r="S20" s="665"/>
      <c r="T20" s="663"/>
      <c r="U20" s="663"/>
      <c r="V20" s="663"/>
      <c r="W20" s="663"/>
      <c r="X20" s="663"/>
      <c r="Y20" s="663"/>
      <c r="Z20" s="663"/>
      <c r="AA20" s="663"/>
      <c r="AB20" s="663"/>
      <c r="AC20" s="663"/>
      <c r="AD20" s="663"/>
      <c r="AE20" s="663"/>
      <c r="AF20" s="663"/>
      <c r="AG20" s="660"/>
      <c r="AH20" s="663"/>
      <c r="AI20" s="707"/>
      <c r="AJ20" s="666" t="s">
        <v>1360</v>
      </c>
      <c r="AK20" s="658"/>
      <c r="AL20" s="658"/>
      <c r="AM20" s="663"/>
      <c r="AN20" s="665"/>
      <c r="AO20" s="658"/>
      <c r="AP20" s="658"/>
      <c r="AQ20" s="665"/>
      <c r="AR20" s="665"/>
      <c r="AS20" s="665"/>
      <c r="AT20" s="665"/>
      <c r="AU20" s="663"/>
      <c r="AV20" s="663"/>
      <c r="AW20" s="663"/>
      <c r="AX20" s="663"/>
      <c r="AY20" s="665"/>
      <c r="AZ20" s="665"/>
      <c r="BA20" s="670"/>
      <c r="BB20" s="709"/>
      <c r="BC20" s="169"/>
      <c r="BD20" s="1330"/>
      <c r="BE20" s="1330"/>
      <c r="BF20" s="1330"/>
      <c r="BG20" s="1330"/>
    </row>
    <row r="21" spans="1:59" ht="15.65" customHeight="1">
      <c r="A21" s="709"/>
      <c r="B21" s="708" t="s">
        <v>4933</v>
      </c>
      <c r="C21" s="660">
        <f>C19+25</f>
        <v>12781.19</v>
      </c>
      <c r="D21" s="664"/>
      <c r="E21" s="664"/>
      <c r="F21" s="664"/>
      <c r="G21" s="665"/>
      <c r="H21" s="658"/>
      <c r="I21" s="661"/>
      <c r="J21" s="660"/>
      <c r="K21" s="663"/>
      <c r="L21" s="663" t="s">
        <v>4420</v>
      </c>
      <c r="M21" s="663" t="s">
        <v>4399</v>
      </c>
      <c r="N21" s="658"/>
      <c r="O21" s="658"/>
      <c r="P21" s="663"/>
      <c r="Q21" s="663"/>
      <c r="R21" s="663"/>
      <c r="S21" s="665"/>
      <c r="T21" s="663"/>
      <c r="U21" s="663"/>
      <c r="V21" s="663"/>
      <c r="W21" s="663"/>
      <c r="X21" s="663"/>
      <c r="Y21" s="663"/>
      <c r="Z21" s="663"/>
      <c r="AA21" s="663"/>
      <c r="AB21" s="663"/>
      <c r="AC21" s="663"/>
      <c r="AD21" s="663"/>
      <c r="AE21" s="663"/>
      <c r="AF21" s="663"/>
      <c r="AG21" s="660"/>
      <c r="AH21" s="663"/>
      <c r="AI21" s="707"/>
      <c r="AJ21" s="666"/>
      <c r="AK21" s="658"/>
      <c r="AL21" s="658"/>
      <c r="AM21" s="663"/>
      <c r="AN21" s="665"/>
      <c r="AO21" s="658"/>
      <c r="AP21" s="658"/>
      <c r="AQ21" s="665"/>
      <c r="AR21" s="665"/>
      <c r="AS21" s="665"/>
      <c r="AT21" s="665"/>
      <c r="AU21" s="663"/>
      <c r="AV21" s="663"/>
      <c r="AW21" s="663" t="str">
        <f>VLOOKUP(C21,'Foundation Calculation'!$A$2:$C$33,3,1)</f>
        <v>Soil B</v>
      </c>
      <c r="AX21" s="663" t="str">
        <f>VLOOKUP(C21,'Foundation Calculation'!$E$2:$G$33,3,1)</f>
        <v>PT</v>
      </c>
      <c r="AY21" s="665">
        <v>1.2</v>
      </c>
      <c r="AZ21" s="665"/>
      <c r="BA21" s="670" t="s">
        <v>2809</v>
      </c>
      <c r="BB21" s="709"/>
      <c r="BC21" s="169"/>
      <c r="BD21" s="1329"/>
      <c r="BE21" s="1329"/>
      <c r="BF21" s="1330"/>
      <c r="BG21" s="1330"/>
    </row>
    <row r="22" spans="1:59" ht="15.65" customHeight="1">
      <c r="A22" s="658"/>
      <c r="B22" s="708"/>
      <c r="C22" s="660"/>
      <c r="D22" s="664"/>
      <c r="E22" s="664"/>
      <c r="F22" s="664"/>
      <c r="G22" s="665">
        <v>47</v>
      </c>
      <c r="H22" s="663"/>
      <c r="I22" s="661"/>
      <c r="J22" s="660"/>
      <c r="K22" s="663"/>
      <c r="L22" s="666"/>
      <c r="M22" s="663"/>
      <c r="N22" s="658"/>
      <c r="O22" s="663"/>
      <c r="P22" s="663"/>
      <c r="Q22" s="663"/>
      <c r="R22" s="663"/>
      <c r="S22" s="665"/>
      <c r="T22" s="663"/>
      <c r="U22" s="663"/>
      <c r="V22" s="663"/>
      <c r="W22" s="663"/>
      <c r="X22" s="663"/>
      <c r="Y22" s="663"/>
      <c r="Z22" s="663"/>
      <c r="AA22" s="663"/>
      <c r="AB22" s="663"/>
      <c r="AC22" s="663"/>
      <c r="AD22" s="663"/>
      <c r="AE22" s="663"/>
      <c r="AF22" s="663"/>
      <c r="AG22" s="660"/>
      <c r="AH22" s="663"/>
      <c r="AI22" s="707"/>
      <c r="AJ22" s="666"/>
      <c r="AK22" s="658"/>
      <c r="AL22" s="658"/>
      <c r="AM22" s="663"/>
      <c r="AN22" s="662"/>
      <c r="AO22" s="658"/>
      <c r="AP22" s="658"/>
      <c r="AQ22" s="665">
        <f>+FL_1($T$23,$T$19,$G$22,1200,9.28, 1*$F$23)</f>
        <v>0.35040240546034485</v>
      </c>
      <c r="AR22" s="665"/>
      <c r="AS22" s="665"/>
      <c r="AT22" s="665"/>
      <c r="AU22" s="663"/>
      <c r="AV22" s="663"/>
      <c r="AW22" s="663"/>
      <c r="AX22" s="663"/>
      <c r="AY22" s="665"/>
      <c r="AZ22" s="665"/>
      <c r="BA22" s="670"/>
      <c r="BB22" s="658"/>
      <c r="BC22" s="169"/>
      <c r="BD22" s="1330"/>
      <c r="BE22" s="1330"/>
      <c r="BF22" s="1330"/>
      <c r="BG22" s="1330"/>
    </row>
    <row r="23" spans="1:59" ht="15.65" customHeight="1">
      <c r="A23" s="709"/>
      <c r="B23" s="710" t="s">
        <v>3631</v>
      </c>
      <c r="C23" s="660">
        <f>+$C$19+$G$22</f>
        <v>12803.19</v>
      </c>
      <c r="D23" s="666"/>
      <c r="E23" s="666"/>
      <c r="F23" s="661">
        <f>(551^2)/(C23-12756.19)</f>
        <v>6459.5957446808507</v>
      </c>
      <c r="G23" s="662"/>
      <c r="H23" s="666" t="s">
        <v>138</v>
      </c>
      <c r="I23" s="664" t="s">
        <v>623</v>
      </c>
      <c r="J23" s="660"/>
      <c r="K23" s="666"/>
      <c r="L23" s="666" t="s">
        <v>899</v>
      </c>
      <c r="M23" s="663" t="str">
        <f>IF(AX23="PT",VLOOKUP(L23,'Foundation Calculation'!$V$2:$X$40,VLOOKUP(AX23,'Foundation Calculation'!$I$10:$J$13,2,FALSE),0),IF(AX23="K",VLOOKUP(L23,'Foundation Calculation'!$V$42:$X$80,VLOOKUP(AX23,'Foundation Calculation'!$I$10:$J$13,2,FALSE),0),""))</f>
        <v>C5R</v>
      </c>
      <c r="N23" s="666" t="s">
        <v>143</v>
      </c>
      <c r="O23" s="666"/>
      <c r="P23" s="666"/>
      <c r="Q23" s="663"/>
      <c r="R23" s="663"/>
      <c r="S23" s="665"/>
      <c r="T23" s="663">
        <v>-30</v>
      </c>
      <c r="U23" s="663"/>
      <c r="V23" s="663"/>
      <c r="W23" s="663">
        <v>1.4</v>
      </c>
      <c r="X23" s="663"/>
      <c r="Y23" s="663"/>
      <c r="Z23" s="663"/>
      <c r="AA23" s="663"/>
      <c r="AB23" s="663"/>
      <c r="AC23" s="663" t="str">
        <f>IF(OR(AT23&gt;8,AT23&lt;-8),"PH",IF(OR(AT23&gt;5,AT23&lt;-5),"PH-Q",IF(OR(AT23&gt;1,AT23&lt;-1),"PH-C")))</f>
        <v>PH</v>
      </c>
      <c r="AD23" s="663"/>
      <c r="AE23" s="663"/>
      <c r="AF23" s="663"/>
      <c r="AG23" s="660"/>
      <c r="AH23" s="663"/>
      <c r="AI23" s="707"/>
      <c r="AJ23" s="666"/>
      <c r="AK23" s="658"/>
      <c r="AL23" s="658"/>
      <c r="AM23" s="666" t="s">
        <v>1043</v>
      </c>
      <c r="AN23" s="665">
        <v>5.15</v>
      </c>
      <c r="AO23" s="666"/>
      <c r="AP23" s="666"/>
      <c r="AQ23" s="665"/>
      <c r="AR23" s="665"/>
      <c r="AS23" s="665"/>
      <c r="AT23" s="665">
        <f>+ab($T$23,$T$19,$T$27,$G$22,44.8, 1*$F$23,1200)</f>
        <v>-9.4521681891936939</v>
      </c>
      <c r="AU23" s="663"/>
      <c r="AV23" s="663"/>
      <c r="AW23" s="663" t="str">
        <f>VLOOKUP(C23,'Foundation Calculation'!$A$2:$C$33,3,1)</f>
        <v>Soil B</v>
      </c>
      <c r="AX23" s="663" t="str">
        <f>VLOOKUP(C23,'Foundation Calculation'!$E$2:$G$33,3,1)</f>
        <v>PT</v>
      </c>
      <c r="AY23" s="665">
        <f>IF(AX23="PT",VLOOKUP(L23,'Foundation Calculation'!$K$2:$R$40,VLOOKUP(AW23,'Foundation Calculation'!$I$2:$J$8,2,FALSE),0),IF(AX23="K",VLOOKUP(L23,'Foundation Calculation'!$K$42:$R$80,VLOOKUP(AW23,'Foundation Calculation'!$I$2:$J$8,2,FALSE),0),""))</f>
        <v>3.5</v>
      </c>
      <c r="AZ23" s="665"/>
      <c r="BA23" s="670" t="s">
        <v>2809</v>
      </c>
      <c r="BB23" s="709" t="str">
        <f>Pole_Calculations!A157</f>
        <v>App.7.1-V01-P9.5.1.6</v>
      </c>
      <c r="BC23" s="169"/>
      <c r="BD23" s="1329"/>
      <c r="BE23" s="1329"/>
      <c r="BF23" s="1330"/>
      <c r="BG23" s="1329"/>
    </row>
    <row r="24" spans="1:59" ht="15.65" customHeight="1">
      <c r="A24" s="709" t="s">
        <v>3616</v>
      </c>
      <c r="B24" s="664"/>
      <c r="C24" s="660"/>
      <c r="D24" s="663"/>
      <c r="E24" s="663"/>
      <c r="F24" s="664"/>
      <c r="G24" s="665">
        <v>22.4</v>
      </c>
      <c r="H24" s="663"/>
      <c r="I24" s="664"/>
      <c r="J24" s="660">
        <f>C23+7.5</f>
        <v>12810.69</v>
      </c>
      <c r="K24" s="666" t="s">
        <v>2787</v>
      </c>
      <c r="L24" s="666"/>
      <c r="M24" s="666"/>
      <c r="N24" s="666"/>
      <c r="O24" s="666"/>
      <c r="P24" s="666"/>
      <c r="Q24" s="663"/>
      <c r="R24" s="663"/>
      <c r="S24" s="665"/>
      <c r="T24" s="663"/>
      <c r="U24" s="663"/>
      <c r="V24" s="663"/>
      <c r="W24" s="663"/>
      <c r="X24" s="663"/>
      <c r="Y24" s="663"/>
      <c r="Z24" s="663"/>
      <c r="AA24" s="663"/>
      <c r="AB24" s="663"/>
      <c r="AC24" s="663"/>
      <c r="AD24" s="663"/>
      <c r="AE24" s="663"/>
      <c r="AF24" s="663"/>
      <c r="AG24" s="660"/>
      <c r="AH24" s="663"/>
      <c r="AI24" s="707"/>
      <c r="AJ24" s="666"/>
      <c r="AK24" s="658"/>
      <c r="AL24" s="658"/>
      <c r="AM24" s="666"/>
      <c r="AN24" s="665"/>
      <c r="AO24" s="666"/>
      <c r="AP24" s="666"/>
      <c r="AQ24" s="665"/>
      <c r="AR24" s="665"/>
      <c r="AS24" s="665"/>
      <c r="AT24" s="665"/>
      <c r="AU24" s="663"/>
      <c r="AV24" s="663"/>
      <c r="AW24" s="663" t="str">
        <f>VLOOKUP(J24,'Foundation Calculation'!$A$2:$C$33,3,1)</f>
        <v>Soil B</v>
      </c>
      <c r="AX24" s="663" t="str">
        <f>VLOOKUP(J24,'Foundation Calculation'!$E$2:$G$33,3,1)</f>
        <v>PT</v>
      </c>
      <c r="AY24" s="665"/>
      <c r="AZ24" s="665">
        <f>IF(AX24="PT",VLOOKUP(K24,'Foundation Calculation'!$K$2:$R$40,VLOOKUP(AW24,'Foundation Calculation'!$I$2:$J$8,2,FALSE),0),IF(AX24="K",VLOOKUP(K24,'Foundation Calculation'!$K$42:$R$80,VLOOKUP(AW24,'Foundation Calculation'!$I$2:$J$8,2,FALSE),0),""))</f>
        <v>3.9</v>
      </c>
      <c r="BA24" s="670" t="s">
        <v>2809</v>
      </c>
      <c r="BB24" s="709"/>
      <c r="BC24" s="169"/>
      <c r="BD24" s="1329"/>
      <c r="BE24" s="1330"/>
      <c r="BF24" s="1330"/>
      <c r="BG24" s="1330"/>
    </row>
    <row r="25" spans="1:59" ht="15.65" customHeight="1">
      <c r="A25" s="449" t="s">
        <v>3664</v>
      </c>
      <c r="B25" s="435" t="s">
        <v>3632</v>
      </c>
      <c r="C25" s="446">
        <f>+$C$23+$G$24</f>
        <v>12825.59</v>
      </c>
      <c r="D25" s="638"/>
      <c r="E25" s="638"/>
      <c r="F25" s="448">
        <f>(551^2)/(C25-12756.19)</f>
        <v>4374.6541786743746</v>
      </c>
      <c r="G25" s="455"/>
      <c r="H25" s="1239"/>
      <c r="I25" s="1239"/>
      <c r="J25" s="171"/>
      <c r="K25" s="1239"/>
      <c r="L25" s="638" t="s">
        <v>823</v>
      </c>
      <c r="M25" s="638" t="str">
        <f>IF(AX25="PT",VLOOKUP(L25,'Foundation Calculation'!$V$2:$X$40,VLOOKUP(AX25,'Foundation Calculation'!$I$10:$J$13,2,FALSE),0),IF(AX25="K",VLOOKUP(L25,'Foundation Calculation'!$V$42:$X$80,VLOOKUP(AX25,'Foundation Calculation'!$I$10:$J$13,2,FALSE),0),""))</f>
        <v>C9R</v>
      </c>
      <c r="N25" s="1239"/>
      <c r="O25" s="1239"/>
      <c r="P25" s="1239"/>
      <c r="Q25" s="1239"/>
      <c r="R25" s="1239"/>
      <c r="S25" s="455"/>
      <c r="T25" s="1239"/>
      <c r="U25" s="1239"/>
      <c r="V25" s="1239"/>
      <c r="W25" s="1239"/>
      <c r="X25" s="1239"/>
      <c r="Y25" s="1239"/>
      <c r="Z25" s="1239"/>
      <c r="AA25" s="1239"/>
      <c r="AB25" s="1239"/>
      <c r="AC25" s="1239"/>
      <c r="AD25" s="1239"/>
      <c r="AE25" s="1239"/>
      <c r="AF25" s="1239"/>
      <c r="AG25" s="171"/>
      <c r="AH25" s="1239"/>
      <c r="AI25" s="1239"/>
      <c r="AJ25" s="1239" t="s">
        <v>884</v>
      </c>
      <c r="AK25" s="1239"/>
      <c r="AL25" s="1239"/>
      <c r="AM25" s="1239"/>
      <c r="AN25" s="455"/>
      <c r="AO25" s="1239"/>
      <c r="AP25" s="1239"/>
      <c r="AQ25" s="455"/>
      <c r="AR25" s="455"/>
      <c r="AS25" s="455"/>
      <c r="AT25" s="455"/>
      <c r="AU25" s="1239"/>
      <c r="AV25" s="1239"/>
      <c r="AW25" s="638" t="str">
        <f>VLOOKUP(C25,'Foundation Calculation'!$A$2:$C$33,3,1)</f>
        <v>Soil B</v>
      </c>
      <c r="AX25" s="638" t="str">
        <f>VLOOKUP(C25,'Foundation Calculation'!$E$2:$G$33,3,1)</f>
        <v>PT</v>
      </c>
      <c r="AY25" s="484">
        <f>IF(AX25="PT",VLOOKUP(L25,'Foundation Calculation'!$K$2:$R$40,VLOOKUP(AW25,'Foundation Calculation'!$I$2:$J$8,2,FALSE),0),IF(AX25="K",VLOOKUP(L25,'Foundation Calculation'!$K$42:$R$80,VLOOKUP(AW25,'Foundation Calculation'!$I$2:$J$8,2,FALSE),0),""))</f>
        <v>4.4000000000000004</v>
      </c>
      <c r="AZ25" s="484"/>
      <c r="BA25" s="671" t="s">
        <v>2809</v>
      </c>
      <c r="BB25" s="449" t="str">
        <f>Pole_Calculations!A136</f>
        <v>App.7-V11A-P12.3.1.1</v>
      </c>
      <c r="BC25" s="169"/>
      <c r="BD25" s="1329"/>
      <c r="BE25" s="1329"/>
      <c r="BF25" s="1330"/>
      <c r="BG25" s="1330"/>
    </row>
    <row r="26" spans="1:59" ht="15.65" customHeight="1">
      <c r="A26" s="449"/>
      <c r="B26" s="173"/>
      <c r="C26" s="446"/>
      <c r="D26" s="638"/>
      <c r="E26" s="638"/>
      <c r="F26" s="447"/>
      <c r="G26" s="484">
        <v>22.4</v>
      </c>
      <c r="H26" s="1239"/>
      <c r="I26" s="1239"/>
      <c r="J26" s="171"/>
      <c r="K26" s="1239"/>
      <c r="L26" s="1239"/>
      <c r="M26" s="1239"/>
      <c r="N26" s="1239"/>
      <c r="O26" s="1239"/>
      <c r="P26" s="1239"/>
      <c r="Q26" s="1239"/>
      <c r="R26" s="1239"/>
      <c r="S26" s="455"/>
      <c r="T26" s="1239"/>
      <c r="U26" s="1239"/>
      <c r="V26" s="1239"/>
      <c r="W26" s="1239"/>
      <c r="X26" s="1239"/>
      <c r="Y26" s="1239"/>
      <c r="Z26" s="1239"/>
      <c r="AA26" s="1239"/>
      <c r="AB26" s="1239"/>
      <c r="AC26" s="1239"/>
      <c r="AD26" s="1239"/>
      <c r="AE26" s="1239"/>
      <c r="AF26" s="1239"/>
      <c r="AG26" s="171"/>
      <c r="AH26" s="1239"/>
      <c r="AI26" s="1239"/>
      <c r="AJ26" s="1239" t="s">
        <v>1360</v>
      </c>
      <c r="AK26" s="1239"/>
      <c r="AL26" s="1239"/>
      <c r="AM26" s="1239"/>
      <c r="AN26" s="455"/>
      <c r="AO26" s="1239"/>
      <c r="AP26" s="1239"/>
      <c r="AQ26" s="455"/>
      <c r="AR26" s="455"/>
      <c r="AS26" s="455"/>
      <c r="AT26" s="455"/>
      <c r="AU26" s="1239"/>
      <c r="AV26" s="1239"/>
      <c r="AW26" s="1239"/>
      <c r="AX26" s="1239"/>
      <c r="AY26" s="455"/>
      <c r="AZ26" s="455"/>
      <c r="BA26" s="1314"/>
      <c r="BB26" s="449"/>
      <c r="BC26" s="169"/>
      <c r="BD26" s="1330"/>
      <c r="BE26" s="1330"/>
      <c r="BF26" s="1330"/>
      <c r="BG26" s="1330"/>
    </row>
    <row r="27" spans="1:59" ht="15.65" customHeight="1">
      <c r="A27" s="449"/>
      <c r="B27" s="435" t="s">
        <v>3633</v>
      </c>
      <c r="C27" s="446">
        <f>+$C$25+$G$26</f>
        <v>12847.99</v>
      </c>
      <c r="D27" s="638"/>
      <c r="E27" s="638"/>
      <c r="F27" s="448">
        <f>(551^2)/(C27-12756.19)</f>
        <v>3307.2004357298738</v>
      </c>
      <c r="G27" s="484"/>
      <c r="H27" s="1239"/>
      <c r="I27" s="1239"/>
      <c r="J27" s="171"/>
      <c r="K27" s="1239"/>
      <c r="L27" s="445" t="s">
        <v>232</v>
      </c>
      <c r="M27" s="638" t="str">
        <f>IF(AX27="PT",VLOOKUP(L27,'Foundation Calculation'!$V$2:$X$40,VLOOKUP(AX27,'Foundation Calculation'!$I$10:$J$13,2,FALSE),0),IF(AX27="K",VLOOKUP(L27,'Foundation Calculation'!$V$42:$X$80,VLOOKUP(AX27,'Foundation Calculation'!$I$10:$J$13,2,FALSE),0),""))</f>
        <v>C5R</v>
      </c>
      <c r="N27" s="1239" t="s">
        <v>144</v>
      </c>
      <c r="O27" s="1239"/>
      <c r="P27" s="638"/>
      <c r="Q27" s="638"/>
      <c r="R27" s="638"/>
      <c r="S27" s="484"/>
      <c r="T27" s="638">
        <v>30</v>
      </c>
      <c r="U27" s="638"/>
      <c r="V27" s="638"/>
      <c r="W27" s="638">
        <v>1.4</v>
      </c>
      <c r="X27" s="638"/>
      <c r="Y27" s="638"/>
      <c r="Z27" s="638"/>
      <c r="AA27" s="638"/>
      <c r="AB27" s="638"/>
      <c r="AC27" s="638" t="str">
        <f>IF(OR(AT27&gt;8,AT27&lt;-8),"PH",IF(OR(AT27&gt;5,AT27&lt;-5),"PH-Q",IF(OR(AT27&gt;1,AT27&lt;-1),"PH-C")))</f>
        <v>PH-Q</v>
      </c>
      <c r="AD27" s="638"/>
      <c r="AE27" s="638"/>
      <c r="AF27" s="638"/>
      <c r="AG27" s="446"/>
      <c r="AH27" s="638"/>
      <c r="AI27" s="638"/>
      <c r="AJ27" s="445"/>
      <c r="AK27" s="1239"/>
      <c r="AL27" s="638"/>
      <c r="AM27" s="638" t="s">
        <v>1043</v>
      </c>
      <c r="AN27" s="455">
        <v>5.15</v>
      </c>
      <c r="AO27" s="1239"/>
      <c r="AP27" s="445"/>
      <c r="AQ27" s="484"/>
      <c r="AR27" s="484"/>
      <c r="AS27" s="484"/>
      <c r="AT27" s="484">
        <f>+ab($T$27,$T$23,$T$29,44.8,$G$28, 1*$F$27,1200)</f>
        <v>6.83983482891633</v>
      </c>
      <c r="AU27" s="638"/>
      <c r="AV27" s="638"/>
      <c r="AW27" s="638" t="str">
        <f>VLOOKUP(C27,'Foundation Calculation'!$A$2:$C$33,3,1)</f>
        <v>Soil B</v>
      </c>
      <c r="AX27" s="638" t="str">
        <f>VLOOKUP(C27,'Foundation Calculation'!$E$2:$G$33,3,1)</f>
        <v>PT</v>
      </c>
      <c r="AY27" s="484">
        <f>IF(AX27="PT",VLOOKUP(L27,'Foundation Calculation'!$K$2:$R$40,VLOOKUP(AW27,'Foundation Calculation'!$I$2:$J$8,2,FALSE),0),IF(AX27="K",VLOOKUP(L27,'Foundation Calculation'!$K$42:$R$80,VLOOKUP(AW27,'Foundation Calculation'!$I$2:$J$8,2,FALSE),0),""))</f>
        <v>3.5</v>
      </c>
      <c r="AZ27" s="484"/>
      <c r="BA27" s="671" t="s">
        <v>2809</v>
      </c>
      <c r="BB27" s="449" t="str">
        <f>Pole_Calculations!A152</f>
        <v>App.7.1-V01-P9.5.1.1</v>
      </c>
      <c r="BC27" s="169"/>
      <c r="BD27" s="1329"/>
      <c r="BE27" s="1329"/>
      <c r="BF27" s="1330"/>
      <c r="BG27" s="1329"/>
    </row>
    <row r="28" spans="1:59" ht="15.65" customHeight="1">
      <c r="A28" s="447"/>
      <c r="B28" s="173"/>
      <c r="C28" s="446"/>
      <c r="D28" s="638"/>
      <c r="E28" s="638"/>
      <c r="F28" s="447"/>
      <c r="G28" s="484">
        <v>51.3</v>
      </c>
      <c r="H28" s="1239"/>
      <c r="I28" s="1239"/>
      <c r="J28" s="171"/>
      <c r="K28" s="1239"/>
      <c r="L28" s="445"/>
      <c r="M28" s="445"/>
      <c r="N28" s="1239"/>
      <c r="O28" s="1239"/>
      <c r="P28" s="638"/>
      <c r="Q28" s="638"/>
      <c r="R28" s="638"/>
      <c r="S28" s="484"/>
      <c r="T28" s="638"/>
      <c r="U28" s="638"/>
      <c r="V28" s="638"/>
      <c r="W28" s="638"/>
      <c r="X28" s="638"/>
      <c r="Y28" s="638"/>
      <c r="Z28" s="638"/>
      <c r="AA28" s="638"/>
      <c r="AB28" s="638"/>
      <c r="AC28" s="638"/>
      <c r="AD28" s="638"/>
      <c r="AE28" s="638"/>
      <c r="AF28" s="638"/>
      <c r="AG28" s="446"/>
      <c r="AH28" s="638"/>
      <c r="AI28" s="638"/>
      <c r="AJ28" s="445"/>
      <c r="AK28" s="1239"/>
      <c r="AL28" s="638"/>
      <c r="AM28" s="638"/>
      <c r="AN28" s="455"/>
      <c r="AO28" s="1239"/>
      <c r="AP28" s="445"/>
      <c r="AQ28" s="484">
        <f>+FL_1($T$29,$T$27,$G$28,1200,9.28, 1*$F$29)</f>
        <v>0.39933767459082692</v>
      </c>
      <c r="AR28" s="484"/>
      <c r="AS28" s="484"/>
      <c r="AT28" s="484"/>
      <c r="AU28" s="638"/>
      <c r="AV28" s="638"/>
      <c r="AW28" s="484"/>
      <c r="AX28" s="484"/>
      <c r="AY28" s="484"/>
      <c r="AZ28" s="484"/>
      <c r="BA28" s="671"/>
      <c r="BB28" s="447"/>
      <c r="BC28" s="169"/>
      <c r="BD28" s="1330"/>
      <c r="BE28" s="1330"/>
      <c r="BF28" s="1330"/>
      <c r="BG28" s="1330"/>
    </row>
    <row r="29" spans="1:59" ht="15.65" customHeight="1">
      <c r="A29" s="1239"/>
      <c r="B29" s="435" t="s">
        <v>3634</v>
      </c>
      <c r="C29" s="446">
        <f>+$C$27+$G$28</f>
        <v>12899.289999999999</v>
      </c>
      <c r="D29" s="638"/>
      <c r="E29" s="638"/>
      <c r="F29" s="448">
        <f>(551^2)/(C29-12756.19)</f>
        <v>2121.6002795248296</v>
      </c>
      <c r="G29" s="484"/>
      <c r="H29" s="1239"/>
      <c r="I29" s="1239"/>
      <c r="J29" s="171"/>
      <c r="K29" s="1239"/>
      <c r="L29" s="445" t="s">
        <v>232</v>
      </c>
      <c r="M29" s="638" t="str">
        <f>IF(AX29="PT",VLOOKUP(L29,'Foundation Calculation'!$V$2:$X$40,VLOOKUP(AX29,'Foundation Calculation'!$I$10:$J$13,2,FALSE),0),IF(AX29="K",VLOOKUP(L29,'Foundation Calculation'!$V$42:$X$80,VLOOKUP(AX29,'Foundation Calculation'!$I$10:$J$13,2,FALSE),0),""))</f>
        <v>C5R</v>
      </c>
      <c r="N29" s="1239" t="s">
        <v>144</v>
      </c>
      <c r="O29" s="1239"/>
      <c r="P29" s="638"/>
      <c r="Q29" s="638"/>
      <c r="R29" s="638"/>
      <c r="S29" s="484"/>
      <c r="T29" s="638">
        <v>30</v>
      </c>
      <c r="U29" s="638"/>
      <c r="V29" s="638"/>
      <c r="W29" s="638">
        <v>1.4</v>
      </c>
      <c r="X29" s="638"/>
      <c r="Y29" s="638"/>
      <c r="Z29" s="638"/>
      <c r="AA29" s="638"/>
      <c r="AB29" s="638"/>
      <c r="AC29" s="638" t="str">
        <f>IF(OR(AT29&gt;8,AT29&lt;-8),"PH",IF(OR(AT29&gt;5,AT29&lt;-5),"PH-Q",IF(OR(AT29&gt;1,AT29&lt;-1),"PH-C")))</f>
        <v>PH-Q</v>
      </c>
      <c r="AD29" s="638"/>
      <c r="AE29" s="638"/>
      <c r="AF29" s="638"/>
      <c r="AG29" s="446"/>
      <c r="AH29" s="638"/>
      <c r="AI29" s="185"/>
      <c r="AJ29" s="445"/>
      <c r="AK29" s="1239"/>
      <c r="AL29" s="638"/>
      <c r="AM29" s="638" t="s">
        <v>1043</v>
      </c>
      <c r="AN29" s="455">
        <v>5.15</v>
      </c>
      <c r="AO29" s="1239"/>
      <c r="AP29" s="1239"/>
      <c r="AQ29" s="484"/>
      <c r="AR29" s="484"/>
      <c r="AS29" s="484"/>
      <c r="AT29" s="484">
        <f>+ab($T$29,$T$27,$T$31,$G$28,$G$30, 1*$F$29,1200)</f>
        <v>7.6861243987015282</v>
      </c>
      <c r="AU29" s="638"/>
      <c r="AV29" s="638"/>
      <c r="AW29" s="638" t="str">
        <f>VLOOKUP(C29,'Foundation Calculation'!$A$2:$C$33,3,1)</f>
        <v>Soil B</v>
      </c>
      <c r="AX29" s="638" t="str">
        <f>VLOOKUP(C29,'Foundation Calculation'!$E$2:$G$33,3,1)</f>
        <v>PT</v>
      </c>
      <c r="AY29" s="484">
        <f>IF(AX29="PT",VLOOKUP(L29,'Foundation Calculation'!$K$2:$R$40,VLOOKUP(AW29,'Foundation Calculation'!$I$2:$J$8,2,FALSE),0),IF(AX29="K",VLOOKUP(L29,'Foundation Calculation'!$K$42:$R$80,VLOOKUP(AW29,'Foundation Calculation'!$I$2:$J$8,2,FALSE),0),""))</f>
        <v>3.5</v>
      </c>
      <c r="AZ29" s="484"/>
      <c r="BA29" s="671" t="s">
        <v>2809</v>
      </c>
      <c r="BB29" s="1239" t="str">
        <f>Pole_Calculations!A152</f>
        <v>App.7.1-V01-P9.5.1.1</v>
      </c>
      <c r="BC29" s="169"/>
      <c r="BD29" s="1329"/>
      <c r="BE29" s="1329"/>
      <c r="BF29" s="1330"/>
      <c r="BG29" s="1329"/>
    </row>
    <row r="30" spans="1:59" ht="15.65" customHeight="1">
      <c r="A30" s="1239"/>
      <c r="B30" s="173"/>
      <c r="C30" s="446"/>
      <c r="D30" s="638"/>
      <c r="E30" s="638"/>
      <c r="F30" s="447"/>
      <c r="G30" s="484">
        <v>54</v>
      </c>
      <c r="H30" s="1239"/>
      <c r="I30" s="1239"/>
      <c r="J30" s="171"/>
      <c r="K30" s="1239"/>
      <c r="L30" s="445"/>
      <c r="M30" s="445"/>
      <c r="N30" s="1239"/>
      <c r="O30" s="1239"/>
      <c r="P30" s="638"/>
      <c r="Q30" s="638"/>
      <c r="R30" s="638"/>
      <c r="S30" s="484"/>
      <c r="T30" s="638"/>
      <c r="U30" s="638"/>
      <c r="V30" s="638"/>
      <c r="W30" s="638"/>
      <c r="X30" s="638"/>
      <c r="Y30" s="638"/>
      <c r="Z30" s="638"/>
      <c r="AA30" s="638"/>
      <c r="AB30" s="638"/>
      <c r="AC30" s="638"/>
      <c r="AD30" s="638"/>
      <c r="AE30" s="638"/>
      <c r="AF30" s="638"/>
      <c r="AG30" s="446"/>
      <c r="AH30" s="638"/>
      <c r="AI30" s="185"/>
      <c r="AJ30" s="445"/>
      <c r="AK30" s="1239"/>
      <c r="AL30" s="638"/>
      <c r="AM30" s="638"/>
      <c r="AN30" s="455"/>
      <c r="AO30" s="1239"/>
      <c r="AP30" s="1239"/>
      <c r="AQ30" s="484">
        <f>+FL_1($T$31,$T$29,$G$30,1200,9.28, 1*$F$31)</f>
        <v>0.40178305461727071</v>
      </c>
      <c r="AR30" s="484"/>
      <c r="AS30" s="484"/>
      <c r="AT30" s="484"/>
      <c r="AU30" s="638"/>
      <c r="AV30" s="638"/>
      <c r="AW30" s="638"/>
      <c r="AX30" s="638"/>
      <c r="AY30" s="484"/>
      <c r="AZ30" s="484"/>
      <c r="BA30" s="671"/>
      <c r="BB30" s="1239"/>
      <c r="BC30" s="169"/>
      <c r="BD30" s="1330"/>
      <c r="BE30" s="1330"/>
      <c r="BF30" s="1330"/>
      <c r="BG30" s="1330"/>
    </row>
    <row r="31" spans="1:59" ht="15.65" customHeight="1">
      <c r="A31" s="1239"/>
      <c r="B31" s="435" t="s">
        <v>3635</v>
      </c>
      <c r="C31" s="446">
        <f>+$C$29+$G$30</f>
        <v>12953.289999999999</v>
      </c>
      <c r="D31" s="638"/>
      <c r="E31" s="638"/>
      <c r="F31" s="447">
        <v>2024</v>
      </c>
      <c r="G31" s="484"/>
      <c r="H31" s="1239"/>
      <c r="I31" s="1239"/>
      <c r="J31" s="171"/>
      <c r="K31" s="1239"/>
      <c r="L31" s="445" t="s">
        <v>232</v>
      </c>
      <c r="M31" s="638" t="str">
        <f>IF(AX31="PT",VLOOKUP(L31,'Foundation Calculation'!$V$2:$X$40,VLOOKUP(AX31,'Foundation Calculation'!$I$10:$J$13,2,FALSE),0),IF(AX31="K",VLOOKUP(L31,'Foundation Calculation'!$V$42:$X$80,VLOOKUP(AX31,'Foundation Calculation'!$I$10:$J$13,2,FALSE),0),""))</f>
        <v>C5R</v>
      </c>
      <c r="N31" s="1239" t="s">
        <v>144</v>
      </c>
      <c r="O31" s="638"/>
      <c r="P31" s="638"/>
      <c r="Q31" s="638"/>
      <c r="R31" s="638"/>
      <c r="S31" s="484"/>
      <c r="T31" s="638">
        <v>30</v>
      </c>
      <c r="U31" s="638"/>
      <c r="V31" s="638"/>
      <c r="W31" s="638">
        <v>1.4</v>
      </c>
      <c r="X31" s="638"/>
      <c r="Y31" s="638"/>
      <c r="Z31" s="638"/>
      <c r="AA31" s="638"/>
      <c r="AB31" s="638"/>
      <c r="AC31" s="638" t="str">
        <f>IF(OR(AT31&gt;8,AT31&lt;-8),"PH",IF(OR(AT31&gt;5,AT31&lt;-5),"PH-Q",IF(OR(AT31&gt;1,AT31&lt;-1),"PH-C")))</f>
        <v>PH-Q</v>
      </c>
      <c r="AD31" s="638"/>
      <c r="AE31" s="638"/>
      <c r="AF31" s="638"/>
      <c r="AG31" s="446"/>
      <c r="AH31" s="638"/>
      <c r="AI31" s="185"/>
      <c r="AJ31" s="445"/>
      <c r="AK31" s="1239"/>
      <c r="AL31" s="638"/>
      <c r="AM31" s="638" t="s">
        <v>1043</v>
      </c>
      <c r="AN31" s="455">
        <v>5.15</v>
      </c>
      <c r="AO31" s="1239"/>
      <c r="AP31" s="1239"/>
      <c r="AQ31" s="484"/>
      <c r="AR31" s="484"/>
      <c r="AS31" s="484"/>
      <c r="AT31" s="484">
        <f>+ab($T$31,$T$29,$T$33,$G$30,$G$32, 1*$F$31,1200)</f>
        <v>7.1549947400640308</v>
      </c>
      <c r="AU31" s="638"/>
      <c r="AV31" s="638"/>
      <c r="AW31" s="638" t="str">
        <f>VLOOKUP(C31,'Foundation Calculation'!$A$2:$C$33,3,1)</f>
        <v>Soil B</v>
      </c>
      <c r="AX31" s="638" t="str">
        <f>VLOOKUP(C31,'Foundation Calculation'!$E$2:$G$33,3,1)</f>
        <v>PT</v>
      </c>
      <c r="AY31" s="484">
        <f>IF(AX31="PT",VLOOKUP(L31,'Foundation Calculation'!$K$2:$R$40,VLOOKUP(AW31,'Foundation Calculation'!$I$2:$J$8,2,FALSE),0),IF(AX31="K",VLOOKUP(L31,'Foundation Calculation'!$K$42:$R$80,VLOOKUP(AW31,'Foundation Calculation'!$I$2:$J$8,2,FALSE),0),""))</f>
        <v>3.5</v>
      </c>
      <c r="AZ31" s="484"/>
      <c r="BA31" s="671" t="s">
        <v>2809</v>
      </c>
      <c r="BB31" s="1239" t="str">
        <f>Pole_Calculations!A152</f>
        <v>App.7.1-V01-P9.5.1.1</v>
      </c>
      <c r="BC31" s="169"/>
      <c r="BD31" s="1329"/>
      <c r="BE31" s="1329"/>
      <c r="BF31" s="1330"/>
      <c r="BG31" s="1329"/>
    </row>
    <row r="32" spans="1:59" ht="15.65" customHeight="1">
      <c r="A32" s="1239"/>
      <c r="B32" s="173"/>
      <c r="C32" s="446"/>
      <c r="D32" s="447"/>
      <c r="E32" s="447"/>
      <c r="F32" s="447"/>
      <c r="G32" s="484">
        <v>54</v>
      </c>
      <c r="H32" s="1239"/>
      <c r="I32" s="1239"/>
      <c r="J32" s="171"/>
      <c r="K32" s="1239"/>
      <c r="L32" s="445"/>
      <c r="M32" s="445"/>
      <c r="N32" s="1239"/>
      <c r="O32" s="1239"/>
      <c r="P32" s="638"/>
      <c r="Q32" s="638"/>
      <c r="R32" s="638"/>
      <c r="S32" s="484"/>
      <c r="T32" s="638"/>
      <c r="U32" s="638"/>
      <c r="V32" s="638"/>
      <c r="W32" s="638"/>
      <c r="X32" s="638"/>
      <c r="Y32" s="638"/>
      <c r="Z32" s="638"/>
      <c r="AA32" s="638"/>
      <c r="AB32" s="638"/>
      <c r="AC32" s="638"/>
      <c r="AD32" s="638"/>
      <c r="AE32" s="638"/>
      <c r="AF32" s="638"/>
      <c r="AG32" s="446"/>
      <c r="AH32" s="638"/>
      <c r="AI32" s="185"/>
      <c r="AJ32" s="445"/>
      <c r="AK32" s="1239"/>
      <c r="AL32" s="638"/>
      <c r="AM32" s="638"/>
      <c r="AN32" s="455"/>
      <c r="AO32" s="1239"/>
      <c r="AP32" s="1239"/>
      <c r="AQ32" s="484">
        <f>+FL_1($T$33,$T$31,$G$32,1200,9.28, 1*$F$33)</f>
        <v>0.40178305461727071</v>
      </c>
      <c r="AR32" s="484"/>
      <c r="AS32" s="484"/>
      <c r="AT32" s="484"/>
      <c r="AU32" s="638"/>
      <c r="AV32" s="638"/>
      <c r="AW32" s="484"/>
      <c r="AX32" s="484"/>
      <c r="AY32" s="484"/>
      <c r="AZ32" s="484"/>
      <c r="BA32" s="671"/>
      <c r="BB32" s="1239"/>
      <c r="BC32" s="169"/>
      <c r="BD32" s="1330"/>
      <c r="BE32" s="1330"/>
      <c r="BF32" s="1330"/>
      <c r="BG32" s="1330"/>
    </row>
    <row r="33" spans="1:59" ht="15.65" customHeight="1">
      <c r="A33" s="1239"/>
      <c r="B33" s="435" t="s">
        <v>3636</v>
      </c>
      <c r="C33" s="446">
        <f>+$C$31+$G$32</f>
        <v>13007.289999999999</v>
      </c>
      <c r="D33" s="447"/>
      <c r="E33" s="447"/>
      <c r="F33" s="447">
        <v>2024</v>
      </c>
      <c r="G33" s="484"/>
      <c r="H33" s="1239"/>
      <c r="I33" s="1239"/>
      <c r="J33" s="171"/>
      <c r="K33" s="1239"/>
      <c r="L33" s="445" t="s">
        <v>232</v>
      </c>
      <c r="M33" s="638" t="str">
        <f>IF(AX33="PT",VLOOKUP(L33,'Foundation Calculation'!$V$2:$X$40,VLOOKUP(AX33,'Foundation Calculation'!$I$10:$J$13,2,FALSE),0),IF(AX33="K",VLOOKUP(L33,'Foundation Calculation'!$V$42:$X$80,VLOOKUP(AX33,'Foundation Calculation'!$I$10:$J$13,2,FALSE),0),""))</f>
        <v>C5R</v>
      </c>
      <c r="N33" s="1239" t="s">
        <v>144</v>
      </c>
      <c r="O33" s="1239"/>
      <c r="P33" s="638"/>
      <c r="Q33" s="638"/>
      <c r="R33" s="638"/>
      <c r="S33" s="484"/>
      <c r="T33" s="638">
        <v>30</v>
      </c>
      <c r="U33" s="638"/>
      <c r="V33" s="638"/>
      <c r="W33" s="638">
        <v>1.4</v>
      </c>
      <c r="X33" s="638"/>
      <c r="Y33" s="638"/>
      <c r="Z33" s="638"/>
      <c r="AA33" s="638"/>
      <c r="AB33" s="638"/>
      <c r="AC33" s="638" t="str">
        <f>IF(OR(AT33&gt;8,AT33&lt;-8),"PH",IF(OR(AT33&gt;5,AT33&lt;-5),"PH-Q",IF(OR(AT33&gt;1,AT33&lt;-1),"PH-C")))</f>
        <v>PH-Q</v>
      </c>
      <c r="AD33" s="638"/>
      <c r="AE33" s="638"/>
      <c r="AF33" s="638"/>
      <c r="AG33" s="446"/>
      <c r="AH33" s="638"/>
      <c r="AI33" s="185"/>
      <c r="AJ33" s="445"/>
      <c r="AK33" s="1239"/>
      <c r="AL33" s="638"/>
      <c r="AM33" s="638" t="s">
        <v>1043</v>
      </c>
      <c r="AN33" s="455">
        <v>5.15</v>
      </c>
      <c r="AO33" s="1239"/>
      <c r="AP33" s="1239"/>
      <c r="AQ33" s="484"/>
      <c r="AR33" s="484"/>
      <c r="AS33" s="484"/>
      <c r="AT33" s="484">
        <f>+ab($T$33,$T$31,$T$35,$G$32,$G$34, 1*$F$33,1200)</f>
        <v>7.2211611921912002</v>
      </c>
      <c r="AU33" s="638"/>
      <c r="AV33" s="638"/>
      <c r="AW33" s="638" t="str">
        <f>VLOOKUP(C33,'Foundation Calculation'!$A$2:$C$33,3,1)</f>
        <v>Soil B</v>
      </c>
      <c r="AX33" s="638" t="str">
        <f>VLOOKUP(C33,'Foundation Calculation'!$E$2:$G$33,3,1)</f>
        <v>PT</v>
      </c>
      <c r="AY33" s="484">
        <f>IF(AX33="PT",VLOOKUP(L33,'Foundation Calculation'!$K$2:$R$40,VLOOKUP(AW33,'Foundation Calculation'!$I$2:$J$8,2,FALSE),0),IF(AX33="K",VLOOKUP(L33,'Foundation Calculation'!$K$42:$R$80,VLOOKUP(AW33,'Foundation Calculation'!$I$2:$J$8,2,FALSE),0),""))</f>
        <v>3.5</v>
      </c>
      <c r="AZ33" s="484"/>
      <c r="BA33" s="671" t="s">
        <v>2809</v>
      </c>
      <c r="BB33" s="1239" t="str">
        <f>Pole_Calculations!A152</f>
        <v>App.7.1-V01-P9.5.1.1</v>
      </c>
      <c r="BC33" s="169"/>
      <c r="BD33" s="1329"/>
      <c r="BE33" s="1329"/>
      <c r="BF33" s="1330"/>
      <c r="BG33" s="1329"/>
    </row>
    <row r="34" spans="1:59" ht="15.65" customHeight="1">
      <c r="A34" s="1239"/>
      <c r="B34" s="173"/>
      <c r="C34" s="446"/>
      <c r="D34" s="447"/>
      <c r="E34" s="447"/>
      <c r="F34" s="447"/>
      <c r="G34" s="484">
        <v>53</v>
      </c>
      <c r="H34" s="168"/>
      <c r="I34" s="448"/>
      <c r="J34" s="446">
        <f>C35-7.5</f>
        <v>13052.789999999999</v>
      </c>
      <c r="K34" s="638" t="s">
        <v>2788</v>
      </c>
      <c r="L34" s="445"/>
      <c r="M34" s="445"/>
      <c r="N34" s="1239"/>
      <c r="O34" s="1239"/>
      <c r="P34" s="638"/>
      <c r="Q34" s="638"/>
      <c r="R34" s="638"/>
      <c r="S34" s="484"/>
      <c r="T34" s="638"/>
      <c r="U34" s="638"/>
      <c r="V34" s="638"/>
      <c r="W34" s="638"/>
      <c r="X34" s="638"/>
      <c r="Y34" s="638"/>
      <c r="Z34" s="638"/>
      <c r="AA34" s="638"/>
      <c r="AB34" s="638"/>
      <c r="AC34" s="638"/>
      <c r="AD34" s="638"/>
      <c r="AE34" s="638"/>
      <c r="AF34" s="638"/>
      <c r="AG34" s="446"/>
      <c r="AH34" s="638"/>
      <c r="AI34" s="185"/>
      <c r="AJ34" s="638"/>
      <c r="AK34" s="1239"/>
      <c r="AL34" s="638"/>
      <c r="AM34" s="638"/>
      <c r="AN34" s="455"/>
      <c r="AO34" s="1239"/>
      <c r="AP34" s="1239"/>
      <c r="AQ34" s="484">
        <f>+FL_1($T$35,$T$33,$G$34,1200,9.28, 1*$F$35)</f>
        <v>0.39804850012918513</v>
      </c>
      <c r="AR34" s="484"/>
      <c r="AS34" s="484"/>
      <c r="AT34" s="484"/>
      <c r="AU34" s="638"/>
      <c r="AV34" s="638"/>
      <c r="AW34" s="638" t="str">
        <f>VLOOKUP(J34,'Foundation Calculation'!$A$2:$C$33,3,1)</f>
        <v>Soil B</v>
      </c>
      <c r="AX34" s="638" t="str">
        <f>VLOOKUP(J34,'Foundation Calculation'!$E$2:$G$33,3,1)</f>
        <v>PT</v>
      </c>
      <c r="AY34" s="484"/>
      <c r="AZ34" s="484">
        <f>IF(AX34="PT",VLOOKUP(K34,'Foundation Calculation'!$K$2:$R$40,VLOOKUP(AW34,'Foundation Calculation'!$I$2:$J$8,2,FALSE),0),IF(AX34="K",VLOOKUP(K34,'Foundation Calculation'!$K$42:$R$80,VLOOKUP(AW34,'Foundation Calculation'!$I$2:$J$8,2,FALSE),0),""))</f>
        <v>2.8</v>
      </c>
      <c r="BA34" s="671" t="s">
        <v>2809</v>
      </c>
      <c r="BB34" s="1239"/>
      <c r="BC34" s="169"/>
      <c r="BD34" s="1329"/>
      <c r="BE34" s="1330"/>
      <c r="BF34" s="1330"/>
      <c r="BG34" s="1330"/>
    </row>
    <row r="35" spans="1:59" ht="15.65" customHeight="1">
      <c r="A35" s="1239"/>
      <c r="B35" s="435" t="s">
        <v>3637</v>
      </c>
      <c r="C35" s="446">
        <f>+$C$33+$G$34</f>
        <v>13060.289999999999</v>
      </c>
      <c r="D35" s="447"/>
      <c r="E35" s="447"/>
      <c r="F35" s="447">
        <v>2024</v>
      </c>
      <c r="G35" s="484"/>
      <c r="H35" s="638" t="s">
        <v>873</v>
      </c>
      <c r="I35" s="448"/>
      <c r="J35" s="446"/>
      <c r="K35" s="638"/>
      <c r="L35" s="445" t="s">
        <v>232</v>
      </c>
      <c r="M35" s="638" t="str">
        <f>IF(AX35="PT",VLOOKUP(L35,'Foundation Calculation'!$V$2:$X$40,VLOOKUP(AX35,'Foundation Calculation'!$I$10:$J$13,2,FALSE),0),IF(AX35="K",VLOOKUP(L35,'Foundation Calculation'!$V$42:$X$80,VLOOKUP(AX35,'Foundation Calculation'!$I$10:$J$13,2,FALSE),0),""))</f>
        <v>C5R</v>
      </c>
      <c r="N35" s="1239" t="s">
        <v>144</v>
      </c>
      <c r="O35" s="638"/>
      <c r="P35" s="638"/>
      <c r="Q35" s="638"/>
      <c r="R35" s="638"/>
      <c r="S35" s="484"/>
      <c r="T35" s="638">
        <v>30</v>
      </c>
      <c r="U35" s="638"/>
      <c r="V35" s="638"/>
      <c r="W35" s="638">
        <v>1.4</v>
      </c>
      <c r="X35" s="638"/>
      <c r="Y35" s="638"/>
      <c r="Z35" s="638"/>
      <c r="AA35" s="638"/>
      <c r="AB35" s="638"/>
      <c r="AC35" s="638" t="str">
        <f>IF(OR(AT35&gt;8,AT35&lt;-8),"PH",IF(OR(AT35&gt;5,AT35&lt;-5),"PH-Q",IF(OR(AT35&gt;1,AT35&lt;-1),"PH-C")))</f>
        <v>PH-Q</v>
      </c>
      <c r="AD35" s="638"/>
      <c r="AE35" s="638"/>
      <c r="AF35" s="638"/>
      <c r="AG35" s="446"/>
      <c r="AH35" s="638"/>
      <c r="AI35" s="185"/>
      <c r="AJ35" s="445"/>
      <c r="AK35" s="1239"/>
      <c r="AL35" s="638"/>
      <c r="AM35" s="638" t="s">
        <v>1043</v>
      </c>
      <c r="AN35" s="455">
        <v>5.15</v>
      </c>
      <c r="AO35" s="1239"/>
      <c r="AP35" s="1239"/>
      <c r="AQ35" s="484"/>
      <c r="AR35" s="484"/>
      <c r="AS35" s="484"/>
      <c r="AT35" s="484">
        <f>+ab($T$35,$T$33,$T$37,$G$34,$G$36, 1*$F$35,1200)</f>
        <v>7.7207413831399894</v>
      </c>
      <c r="AU35" s="638"/>
      <c r="AV35" s="638"/>
      <c r="AW35" s="638" t="str">
        <f>VLOOKUP(C35,'Foundation Calculation'!$A$2:$C$33,3,1)</f>
        <v>Soil B</v>
      </c>
      <c r="AX35" s="638" t="str">
        <f>VLOOKUP(C35,'Foundation Calculation'!$E$2:$G$33,3,1)</f>
        <v>PT</v>
      </c>
      <c r="AY35" s="484">
        <f>IF(AX35="PT",VLOOKUP(L35,'Foundation Calculation'!$K$2:$R$40,VLOOKUP(AW35,'Foundation Calculation'!$I$2:$J$8,2,FALSE),0),IF(AX35="K",VLOOKUP(L35,'Foundation Calculation'!$K$42:$R$80,VLOOKUP(AW35,'Foundation Calculation'!$I$2:$J$8,2,FALSE),0),""))</f>
        <v>3.5</v>
      </c>
      <c r="AZ35" s="484"/>
      <c r="BA35" s="671" t="s">
        <v>2809</v>
      </c>
      <c r="BB35" s="1239" t="str">
        <f>Pole_Calculations!A154</f>
        <v>App.7.1-V01-P9.5.1.3</v>
      </c>
      <c r="BC35" s="169"/>
      <c r="BD35" s="1329"/>
      <c r="BE35" s="1329"/>
      <c r="BF35" s="1330"/>
      <c r="BG35" s="1329"/>
    </row>
    <row r="36" spans="1:59" ht="15.65" customHeight="1">
      <c r="A36" s="1239"/>
      <c r="B36" s="173"/>
      <c r="C36" s="446"/>
      <c r="D36" s="447"/>
      <c r="E36" s="447"/>
      <c r="F36" s="447"/>
      <c r="G36" s="484">
        <v>47</v>
      </c>
      <c r="H36" s="1239"/>
      <c r="I36" s="448">
        <f>C37-C5</f>
        <v>542.09999999999854</v>
      </c>
      <c r="J36" s="446"/>
      <c r="K36" s="638"/>
      <c r="L36" s="638"/>
      <c r="M36" s="445"/>
      <c r="N36" s="1239"/>
      <c r="O36" s="1239"/>
      <c r="P36" s="638"/>
      <c r="Q36" s="638"/>
      <c r="R36" s="638"/>
      <c r="S36" s="484"/>
      <c r="T36" s="638"/>
      <c r="U36" s="638"/>
      <c r="V36" s="638"/>
      <c r="W36" s="638"/>
      <c r="X36" s="638"/>
      <c r="Y36" s="638"/>
      <c r="Z36" s="638"/>
      <c r="AA36" s="638"/>
      <c r="AB36" s="638"/>
      <c r="AC36" s="638"/>
      <c r="AD36" s="638"/>
      <c r="AE36" s="638"/>
      <c r="AF36" s="638"/>
      <c r="AG36" s="446"/>
      <c r="AH36" s="638"/>
      <c r="AI36" s="185"/>
      <c r="AJ36" s="638"/>
      <c r="AK36" s="1239"/>
      <c r="AL36" s="638"/>
      <c r="AM36" s="638"/>
      <c r="AN36" s="455"/>
      <c r="AO36" s="1239"/>
      <c r="AP36" s="1239"/>
      <c r="AQ36" s="484">
        <f>+FL_1($T$37,$T$35,$G$36,1200,9.28, 1*$F$37)</f>
        <v>0.37710667330118464</v>
      </c>
      <c r="AR36" s="484"/>
      <c r="AS36" s="484"/>
      <c r="AT36" s="484"/>
      <c r="AU36" s="638"/>
      <c r="AV36" s="638"/>
      <c r="AW36" s="638"/>
      <c r="AX36" s="638"/>
      <c r="AY36" s="484"/>
      <c r="AZ36" s="484"/>
      <c r="BA36" s="671"/>
      <c r="BB36" s="1239"/>
      <c r="BC36" s="169"/>
      <c r="BD36" s="1330"/>
      <c r="BE36" s="1330"/>
      <c r="BF36" s="1330"/>
      <c r="BG36" s="1330"/>
    </row>
    <row r="37" spans="1:59" ht="15.65" customHeight="1">
      <c r="A37" s="1239"/>
      <c r="B37" s="435" t="s">
        <v>3638</v>
      </c>
      <c r="C37" s="446">
        <f>+$C$35+$G$36</f>
        <v>13107.289999999999</v>
      </c>
      <c r="D37" s="447"/>
      <c r="E37" s="447"/>
      <c r="F37" s="447">
        <v>2024</v>
      </c>
      <c r="G37" s="484"/>
      <c r="H37" s="638" t="s">
        <v>874</v>
      </c>
      <c r="I37" s="448"/>
      <c r="J37" s="446"/>
      <c r="K37" s="638"/>
      <c r="L37" s="445" t="s">
        <v>232</v>
      </c>
      <c r="M37" s="638" t="str">
        <f>IF(AX37="PT",VLOOKUP(L37,'Foundation Calculation'!$V$2:$X$40,VLOOKUP(AX37,'Foundation Calculation'!$I$10:$J$13,2,FALSE),0),IF(AX37="K",VLOOKUP(L37,'Foundation Calculation'!$V$42:$X$80,VLOOKUP(AX37,'Foundation Calculation'!$I$10:$J$13,2,FALSE),0),""))</f>
        <v>C5R</v>
      </c>
      <c r="N37" s="1239" t="s">
        <v>144</v>
      </c>
      <c r="O37" s="638"/>
      <c r="P37" s="638"/>
      <c r="Q37" s="638"/>
      <c r="R37" s="638"/>
      <c r="S37" s="484"/>
      <c r="T37" s="638">
        <v>30</v>
      </c>
      <c r="U37" s="638"/>
      <c r="V37" s="638"/>
      <c r="W37" s="638">
        <v>1.4</v>
      </c>
      <c r="X37" s="638"/>
      <c r="Y37" s="638"/>
      <c r="Z37" s="638"/>
      <c r="AA37" s="638"/>
      <c r="AB37" s="638"/>
      <c r="AC37" s="638" t="str">
        <f>IF(OR(AT37&gt;8,AT37&lt;-8),"PH",IF(OR(AT37&gt;5,AT37&lt;-5),"PH-Q",IF(OR(AT37&gt;1,AT37&lt;-1),"PH-C")))</f>
        <v>PH-Q</v>
      </c>
      <c r="AD37" s="638"/>
      <c r="AE37" s="638"/>
      <c r="AF37" s="638"/>
      <c r="AG37" s="446"/>
      <c r="AH37" s="638"/>
      <c r="AI37" s="185"/>
      <c r="AJ37" s="445"/>
      <c r="AK37" s="1239"/>
      <c r="AL37" s="638"/>
      <c r="AM37" s="638" t="s">
        <v>1043</v>
      </c>
      <c r="AN37" s="455">
        <v>5.15</v>
      </c>
      <c r="AO37" s="1239"/>
      <c r="AP37" s="1239"/>
      <c r="AQ37" s="484"/>
      <c r="AR37" s="484"/>
      <c r="AS37" s="484"/>
      <c r="AT37" s="484">
        <f>+ab($T$37,$T$35,$T$39,$G$36,$G$38, 1*$F$37,1200)</f>
        <v>7.9565141106453954</v>
      </c>
      <c r="AU37" s="638"/>
      <c r="AV37" s="638"/>
      <c r="AW37" s="638" t="str">
        <f>VLOOKUP(C37,'Foundation Calculation'!$A$2:$C$33,3,1)</f>
        <v>Soil B</v>
      </c>
      <c r="AX37" s="638" t="str">
        <f>VLOOKUP(C37,'Foundation Calculation'!$E$2:$G$33,3,1)</f>
        <v>PT</v>
      </c>
      <c r="AY37" s="484">
        <f>IF(AX37="PT",VLOOKUP(L37,'Foundation Calculation'!$K$2:$R$40,VLOOKUP(AW37,'Foundation Calculation'!$I$2:$J$8,2,FALSE),0),IF(AX37="K",VLOOKUP(L37,'Foundation Calculation'!$K$42:$R$80,VLOOKUP(AW37,'Foundation Calculation'!$I$2:$J$8,2,FALSE),0),""))</f>
        <v>3.5</v>
      </c>
      <c r="AZ37" s="484"/>
      <c r="BA37" s="671" t="s">
        <v>2809</v>
      </c>
      <c r="BB37" s="1239" t="str">
        <f>Pole_Calculations!A153</f>
        <v>App.7.1-V01-P9.5.1.2</v>
      </c>
      <c r="BC37" s="169"/>
      <c r="BD37" s="1329"/>
      <c r="BE37" s="1329"/>
      <c r="BF37" s="1330"/>
      <c r="BG37" s="1329"/>
    </row>
    <row r="38" spans="1:59" ht="15.65" customHeight="1">
      <c r="A38" s="449"/>
      <c r="B38" s="485"/>
      <c r="C38" s="446"/>
      <c r="D38" s="445"/>
      <c r="E38" s="445"/>
      <c r="F38" s="448"/>
      <c r="G38" s="455">
        <v>50</v>
      </c>
      <c r="H38" s="445"/>
      <c r="I38" s="447">
        <f>C57-C37</f>
        <v>555.79999999999927</v>
      </c>
      <c r="J38" s="446"/>
      <c r="K38" s="445"/>
      <c r="L38" s="445"/>
      <c r="M38" s="445"/>
      <c r="N38" s="445"/>
      <c r="O38" s="445"/>
      <c r="P38" s="445"/>
      <c r="Q38" s="638"/>
      <c r="R38" s="638"/>
      <c r="S38" s="484"/>
      <c r="T38" s="638"/>
      <c r="U38" s="638"/>
      <c r="V38" s="638"/>
      <c r="W38" s="638"/>
      <c r="X38" s="638"/>
      <c r="Y38" s="638"/>
      <c r="Z38" s="638"/>
      <c r="AA38" s="638"/>
      <c r="AB38" s="638"/>
      <c r="AC38" s="638"/>
      <c r="AD38" s="638"/>
      <c r="AE38" s="638"/>
      <c r="AF38" s="638"/>
      <c r="AG38" s="446"/>
      <c r="AH38" s="638"/>
      <c r="AI38" s="185"/>
      <c r="AJ38" s="445"/>
      <c r="AK38" s="445"/>
      <c r="AL38" s="445"/>
      <c r="AM38" s="445"/>
      <c r="AN38" s="455"/>
      <c r="AO38" s="445"/>
      <c r="AP38" s="445"/>
      <c r="AQ38" s="484">
        <f>+FL_1($T$39,$T$37,$G$38,1200,9.28, 1*$F$39)</f>
        <v>0.3872635440570017</v>
      </c>
      <c r="AR38" s="484"/>
      <c r="AS38" s="484"/>
      <c r="AT38" s="484"/>
      <c r="AU38" s="638"/>
      <c r="AV38" s="638"/>
      <c r="AW38" s="638"/>
      <c r="AX38" s="638"/>
      <c r="AY38" s="484"/>
      <c r="AZ38" s="484"/>
      <c r="BA38" s="671"/>
      <c r="BB38" s="449"/>
      <c r="BC38" s="169"/>
      <c r="BD38" s="1330"/>
      <c r="BE38" s="1330"/>
      <c r="BF38" s="1330"/>
      <c r="BG38" s="1330"/>
    </row>
    <row r="39" spans="1:59" ht="15.65" customHeight="1">
      <c r="A39" s="449"/>
      <c r="B39" s="582" t="s">
        <v>3639</v>
      </c>
      <c r="C39" s="446">
        <f>+$C$37+$G$38</f>
        <v>13157.289999999999</v>
      </c>
      <c r="D39" s="638"/>
      <c r="E39" s="638"/>
      <c r="F39" s="447">
        <v>2024</v>
      </c>
      <c r="G39" s="484"/>
      <c r="H39" s="638" t="s">
        <v>873</v>
      </c>
      <c r="I39" s="447"/>
      <c r="J39" s="446"/>
      <c r="K39" s="638"/>
      <c r="L39" s="445" t="s">
        <v>232</v>
      </c>
      <c r="M39" s="638" t="str">
        <f>IF(AX39="PT",VLOOKUP(L39,'Foundation Calculation'!$V$2:$X$40,VLOOKUP(AX39,'Foundation Calculation'!$I$10:$J$13,2,FALSE),0),IF(AX39="K",VLOOKUP(L39,'Foundation Calculation'!$V$42:$X$80,VLOOKUP(AX39,'Foundation Calculation'!$I$10:$J$13,2,FALSE),0),""))</f>
        <v>C5R</v>
      </c>
      <c r="N39" s="445" t="s">
        <v>144</v>
      </c>
      <c r="O39" s="445" t="s">
        <v>638</v>
      </c>
      <c r="P39" s="445"/>
      <c r="Q39" s="638"/>
      <c r="R39" s="638"/>
      <c r="S39" s="484"/>
      <c r="T39" s="638">
        <v>30</v>
      </c>
      <c r="U39" s="638"/>
      <c r="V39" s="638"/>
      <c r="W39" s="638">
        <v>1.2</v>
      </c>
      <c r="X39" s="638"/>
      <c r="Y39" s="638"/>
      <c r="Z39" s="638"/>
      <c r="AA39" s="638"/>
      <c r="AB39" s="638"/>
      <c r="AC39" s="638" t="str">
        <f>IF(OR(AT39&gt;8,AT39&lt;-8),"PH",IF(OR(AT39&gt;5,AT39&lt;-5),"PH-Q",IF(OR(AT39&gt;1,AT39&lt;-1),"PH-C")))</f>
        <v>PH-Q</v>
      </c>
      <c r="AD39" s="638"/>
      <c r="AE39" s="638"/>
      <c r="AF39" s="638"/>
      <c r="AG39" s="446"/>
      <c r="AH39" s="638"/>
      <c r="AI39" s="185"/>
      <c r="AJ39" s="445"/>
      <c r="AK39" s="445"/>
      <c r="AL39" s="638"/>
      <c r="AM39" s="445" t="s">
        <v>1043</v>
      </c>
      <c r="AN39" s="455">
        <v>5.15</v>
      </c>
      <c r="AO39" s="445"/>
      <c r="AP39" s="445"/>
      <c r="AQ39" s="484"/>
      <c r="AR39" s="484"/>
      <c r="AS39" s="484"/>
      <c r="AT39" s="484">
        <f>+ab($T$39,$T$37,$T$41,$G$38,$G$40, 1*$F$39,1200)</f>
        <v>7.4237821748029766</v>
      </c>
      <c r="AU39" s="638"/>
      <c r="AV39" s="638"/>
      <c r="AW39" s="638" t="str">
        <f>VLOOKUP(C39,'Foundation Calculation'!$A$2:$C$33,3,1)</f>
        <v>Soil B</v>
      </c>
      <c r="AX39" s="638" t="str">
        <f>VLOOKUP(C39,'Foundation Calculation'!$E$2:$G$33,3,1)</f>
        <v>PT</v>
      </c>
      <c r="AY39" s="484">
        <f>IF(AX39="PT",VLOOKUP(L39,'Foundation Calculation'!$K$2:$R$40,VLOOKUP(AW39,'Foundation Calculation'!$I$2:$J$8,2,FALSE),0),IF(AX39="K",VLOOKUP(L39,'Foundation Calculation'!$K$42:$R$80,VLOOKUP(AW39,'Foundation Calculation'!$I$2:$J$8,2,FALSE),0),""))</f>
        <v>3.5</v>
      </c>
      <c r="AZ39" s="484"/>
      <c r="BA39" s="671" t="s">
        <v>2809</v>
      </c>
      <c r="BB39" s="449" t="str">
        <f>Pole_Calculations!A154</f>
        <v>App.7.1-V01-P9.5.1.3</v>
      </c>
      <c r="BC39" s="169"/>
      <c r="BD39" s="1329"/>
      <c r="BE39" s="1329"/>
      <c r="BF39" s="1330"/>
      <c r="BG39" s="1329"/>
    </row>
    <row r="40" spans="1:59" ht="15.65" customHeight="1">
      <c r="A40" s="449"/>
      <c r="B40" s="435"/>
      <c r="C40" s="446"/>
      <c r="D40" s="638"/>
      <c r="E40" s="638"/>
      <c r="F40" s="448"/>
      <c r="G40" s="455">
        <v>50</v>
      </c>
      <c r="H40" s="638"/>
      <c r="I40" s="447"/>
      <c r="J40" s="446">
        <f>C39+7.5</f>
        <v>13164.789999999999</v>
      </c>
      <c r="K40" s="638" t="s">
        <v>2788</v>
      </c>
      <c r="L40" s="445"/>
      <c r="M40" s="638"/>
      <c r="N40" s="1239"/>
      <c r="O40" s="1239"/>
      <c r="P40" s="638"/>
      <c r="Q40" s="638"/>
      <c r="R40" s="638"/>
      <c r="S40" s="484"/>
      <c r="T40" s="638"/>
      <c r="U40" s="638"/>
      <c r="V40" s="638"/>
      <c r="W40" s="638"/>
      <c r="X40" s="638"/>
      <c r="Y40" s="638"/>
      <c r="Z40" s="638"/>
      <c r="AA40" s="638"/>
      <c r="AB40" s="638"/>
      <c r="AC40" s="638"/>
      <c r="AD40" s="638"/>
      <c r="AE40" s="638"/>
      <c r="AF40" s="638"/>
      <c r="AG40" s="446"/>
      <c r="AH40" s="638"/>
      <c r="AI40" s="185"/>
      <c r="AJ40" s="445"/>
      <c r="AK40" s="1239"/>
      <c r="AL40" s="638"/>
      <c r="AM40" s="638"/>
      <c r="AN40" s="455"/>
      <c r="AO40" s="1239"/>
      <c r="AP40" s="445"/>
      <c r="AQ40" s="484">
        <f>+FL_1($T$41,$T$39,$G$40,1200,9.28, 1*$F$41)</f>
        <v>0.40492172850772212</v>
      </c>
      <c r="AR40" s="484"/>
      <c r="AS40" s="484"/>
      <c r="AT40" s="484"/>
      <c r="AU40" s="638"/>
      <c r="AV40" s="638"/>
      <c r="AW40" s="638" t="str">
        <f>VLOOKUP(J40,'Foundation Calculation'!$A$2:$C$33,3,1)</f>
        <v>Soil B</v>
      </c>
      <c r="AX40" s="638" t="str">
        <f>VLOOKUP(J40,'Foundation Calculation'!$E$2:$G$33,3,1)</f>
        <v>PT</v>
      </c>
      <c r="AY40" s="484"/>
      <c r="AZ40" s="484">
        <f>IF(AX40="PT",VLOOKUP(K40,'Foundation Calculation'!$K$2:$R$40,VLOOKUP(AW40,'Foundation Calculation'!$I$2:$J$8,2,FALSE),0),IF(AX40="K",VLOOKUP(K40,'Foundation Calculation'!$K$42:$R$80,VLOOKUP(AW40,'Foundation Calculation'!$I$2:$J$8,2,FALSE),0),""))</f>
        <v>2.8</v>
      </c>
      <c r="BA40" s="671" t="s">
        <v>2809</v>
      </c>
      <c r="BB40" s="449"/>
      <c r="BC40" s="169"/>
      <c r="BD40" s="1329"/>
      <c r="BE40" s="1330"/>
      <c r="BF40" s="1330"/>
      <c r="BG40" s="1330"/>
    </row>
    <row r="41" spans="1:59" ht="15.65" customHeight="1">
      <c r="A41" s="449"/>
      <c r="B41" s="439" t="s">
        <v>3640</v>
      </c>
      <c r="C41" s="446">
        <f>+$C$39+$G$40</f>
        <v>13207.289999999999</v>
      </c>
      <c r="D41" s="638"/>
      <c r="E41" s="638"/>
      <c r="F41" s="448">
        <f>-(551^2)/(C41-13317.03)</f>
        <v>2766.5482048477816</v>
      </c>
      <c r="G41" s="484"/>
      <c r="H41" s="1239"/>
      <c r="I41" s="1239"/>
      <c r="J41" s="171"/>
      <c r="K41" s="1239"/>
      <c r="L41" s="445" t="s">
        <v>232</v>
      </c>
      <c r="M41" s="638" t="str">
        <f>IF(AX41="PT",VLOOKUP(L41,'Foundation Calculation'!$V$2:$X$40,VLOOKUP(AX41,'Foundation Calculation'!$I$10:$J$13,2,FALSE),0),IF(AX41="K",VLOOKUP(L41,'Foundation Calculation'!$V$42:$X$80,VLOOKUP(AX41,'Foundation Calculation'!$I$10:$J$13,2,FALSE),0),""))</f>
        <v>C5R</v>
      </c>
      <c r="N41" s="1239" t="s">
        <v>144</v>
      </c>
      <c r="O41" s="1239"/>
      <c r="P41" s="638"/>
      <c r="Q41" s="638"/>
      <c r="R41" s="638"/>
      <c r="S41" s="484"/>
      <c r="T41" s="638">
        <v>25</v>
      </c>
      <c r="U41" s="638"/>
      <c r="V41" s="638"/>
      <c r="W41" s="638">
        <v>1</v>
      </c>
      <c r="X41" s="638"/>
      <c r="Y41" s="638"/>
      <c r="Z41" s="638"/>
      <c r="AA41" s="638"/>
      <c r="AB41" s="638"/>
      <c r="AC41" s="638" t="str">
        <f>IF(OR(AT41&gt;8,AT41&lt;-8),"PH",IF(OR(AT41&gt;5,AT41&lt;-5),"PH-Q",IF(OR(AT41&gt;1,AT41&lt;-1),"PH-C")))</f>
        <v>PH</v>
      </c>
      <c r="AD41" s="638"/>
      <c r="AE41" s="638"/>
      <c r="AF41" s="638"/>
      <c r="AG41" s="446"/>
      <c r="AH41" s="638"/>
      <c r="AI41" s="638"/>
      <c r="AJ41" s="638"/>
      <c r="AK41" s="638"/>
      <c r="AL41" s="638"/>
      <c r="AM41" s="638" t="s">
        <v>1043</v>
      </c>
      <c r="AN41" s="455">
        <v>5.15</v>
      </c>
      <c r="AO41" s="1239"/>
      <c r="AP41" s="445"/>
      <c r="AQ41" s="484"/>
      <c r="AR41" s="484"/>
      <c r="AS41" s="484"/>
      <c r="AT41" s="484">
        <f>+ab($T$41,$T$39,$T$43,$G$40,$G$42, 1*$F$41,1200)</f>
        <v>10.14234735487541</v>
      </c>
      <c r="AU41" s="638"/>
      <c r="AV41" s="638"/>
      <c r="AW41" s="638" t="str">
        <f>VLOOKUP(C41,'Foundation Calculation'!$A$2:$C$33,3,1)</f>
        <v>Soil B</v>
      </c>
      <c r="AX41" s="638" t="str">
        <f>VLOOKUP(C41,'Foundation Calculation'!$E$2:$G$33,3,1)</f>
        <v>PT</v>
      </c>
      <c r="AY41" s="484">
        <f>IF(AX41="PT",VLOOKUP(L41,'Foundation Calculation'!$K$2:$R$40,VLOOKUP(AW41,'Foundation Calculation'!$I$2:$J$8,2,FALSE),0),IF(AX41="K",VLOOKUP(L41,'Foundation Calculation'!$K$42:$R$80,VLOOKUP(AW41,'Foundation Calculation'!$I$2:$J$8,2,FALSE),0),""))</f>
        <v>3.5</v>
      </c>
      <c r="AZ41" s="484"/>
      <c r="BA41" s="671" t="s">
        <v>2809</v>
      </c>
      <c r="BB41" s="449" t="str">
        <f>Pole_Calculations!A152</f>
        <v>App.7.1-V01-P9.5.1.1</v>
      </c>
      <c r="BC41" s="169"/>
      <c r="BD41" s="1329"/>
      <c r="BE41" s="1329"/>
      <c r="BF41" s="1330"/>
      <c r="BG41" s="1329"/>
    </row>
    <row r="42" spans="1:59" ht="15.65" customHeight="1">
      <c r="A42" s="488" t="s">
        <v>1851</v>
      </c>
      <c r="B42" s="711"/>
      <c r="C42" s="489"/>
      <c r="D42" s="490"/>
      <c r="E42" s="490"/>
      <c r="F42" s="491"/>
      <c r="G42" s="493">
        <v>54</v>
      </c>
      <c r="H42" s="495"/>
      <c r="I42" s="495"/>
      <c r="J42" s="431"/>
      <c r="K42" s="495"/>
      <c r="L42" s="495"/>
      <c r="M42" s="495"/>
      <c r="N42" s="495"/>
      <c r="O42" s="495"/>
      <c r="P42" s="495"/>
      <c r="Q42" s="495"/>
      <c r="R42" s="495"/>
      <c r="S42" s="457"/>
      <c r="T42" s="495"/>
      <c r="U42" s="495"/>
      <c r="V42" s="495"/>
      <c r="W42" s="495"/>
      <c r="X42" s="495"/>
      <c r="Y42" s="495"/>
      <c r="Z42" s="495"/>
      <c r="AA42" s="495"/>
      <c r="AB42" s="495"/>
      <c r="AC42" s="495"/>
      <c r="AD42" s="495"/>
      <c r="AE42" s="495"/>
      <c r="AF42" s="495"/>
      <c r="AG42" s="431"/>
      <c r="AH42" s="495"/>
      <c r="AI42" s="495"/>
      <c r="AJ42" s="495"/>
      <c r="AK42" s="495"/>
      <c r="AL42" s="495"/>
      <c r="AM42" s="495"/>
      <c r="AN42" s="457"/>
      <c r="AO42" s="495"/>
      <c r="AP42" s="495"/>
      <c r="AQ42" s="457">
        <f>+FL_1($T$43,$T$41,$G$42,1200,9.28, 1*$F$43)</f>
        <v>0.44068564687067047</v>
      </c>
      <c r="AR42" s="457"/>
      <c r="AS42" s="457"/>
      <c r="AT42" s="457"/>
      <c r="AU42" s="495"/>
      <c r="AV42" s="495"/>
      <c r="AW42" s="495"/>
      <c r="AX42" s="495"/>
      <c r="AY42" s="457"/>
      <c r="AZ42" s="457"/>
      <c r="BA42" s="1319"/>
      <c r="BB42" s="488"/>
      <c r="BC42" s="169"/>
      <c r="BD42" s="1330"/>
      <c r="BE42" s="1330"/>
      <c r="BF42" s="1330"/>
      <c r="BG42" s="1330"/>
    </row>
    <row r="43" spans="1:59" ht="15.65" customHeight="1">
      <c r="A43" s="447"/>
      <c r="B43" s="439" t="s">
        <v>3641</v>
      </c>
      <c r="C43" s="446">
        <f>+$C$41+$G$42</f>
        <v>13261.289999999999</v>
      </c>
      <c r="D43" s="638"/>
      <c r="E43" s="638"/>
      <c r="F43" s="448">
        <f>-(551^2)/(C43-13317.03)</f>
        <v>5446.7348403299475</v>
      </c>
      <c r="G43" s="484"/>
      <c r="H43" s="1239"/>
      <c r="I43" s="1239"/>
      <c r="J43" s="171"/>
      <c r="K43" s="1239"/>
      <c r="L43" s="445" t="s">
        <v>230</v>
      </c>
      <c r="M43" s="638" t="str">
        <f>IF(AX43="PT",VLOOKUP(L43,'Foundation Calculation'!$V$2:$X$40,VLOOKUP(AX43,'Foundation Calculation'!$I$10:$J$13,2,FALSE),0),IF(AX43="K",VLOOKUP(L43,'Foundation Calculation'!$V$42:$X$80,VLOOKUP(AX43,'Foundation Calculation'!$I$10:$J$13,2,FALSE),0),""))</f>
        <v>C4R</v>
      </c>
      <c r="N43" s="1239" t="s">
        <v>144</v>
      </c>
      <c r="O43" s="1239"/>
      <c r="P43" s="638"/>
      <c r="Q43" s="638"/>
      <c r="R43" s="638"/>
      <c r="S43" s="484"/>
      <c r="T43" s="638">
        <v>20</v>
      </c>
      <c r="U43" s="638"/>
      <c r="V43" s="638"/>
      <c r="W43" s="638">
        <v>1</v>
      </c>
      <c r="X43" s="638"/>
      <c r="Y43" s="638"/>
      <c r="Z43" s="638"/>
      <c r="AA43" s="638"/>
      <c r="AB43" s="638"/>
      <c r="AC43" s="638" t="str">
        <f>IF(OR(AT43&gt;8,AT43&lt;-8),"PH",IF(OR(AT43&gt;5,AT43&lt;-5),"PH-Q",IF(OR(AT43&gt;1,AT43&lt;-1),"PH-C")))</f>
        <v>PH</v>
      </c>
      <c r="AD43" s="638"/>
      <c r="AE43" s="638"/>
      <c r="AF43" s="638"/>
      <c r="AG43" s="446"/>
      <c r="AH43" s="638"/>
      <c r="AI43" s="638"/>
      <c r="AJ43" s="638"/>
      <c r="AK43" s="638"/>
      <c r="AL43" s="638"/>
      <c r="AM43" s="638" t="s">
        <v>1043</v>
      </c>
      <c r="AN43" s="455">
        <v>5.15</v>
      </c>
      <c r="AO43" s="1239"/>
      <c r="AP43" s="445"/>
      <c r="AQ43" s="484"/>
      <c r="AR43" s="484"/>
      <c r="AS43" s="484"/>
      <c r="AT43" s="484">
        <f>+ab($T$43,$T$41,$T$45,$G$42,$G$44, 1*$F$43,1200)</f>
        <v>9.908279000226532</v>
      </c>
      <c r="AU43" s="638"/>
      <c r="AV43" s="638"/>
      <c r="AW43" s="638" t="str">
        <f>VLOOKUP(C43,'Foundation Calculation'!$A$2:$C$33,3,1)</f>
        <v>Soil B</v>
      </c>
      <c r="AX43" s="638" t="str">
        <f>VLOOKUP(C43,'Foundation Calculation'!$E$2:$G$33,3,1)</f>
        <v>PT</v>
      </c>
      <c r="AY43" s="484">
        <f>IF(AX43="PT",VLOOKUP(L43,'Foundation Calculation'!$K$2:$R$40,VLOOKUP(AW43,'Foundation Calculation'!$I$2:$J$8,2,FALSE),0),IF(AX43="K",VLOOKUP(L43,'Foundation Calculation'!$K$42:$R$80,VLOOKUP(AW43,'Foundation Calculation'!$I$2:$J$8,2,FALSE),0),""))</f>
        <v>3.5</v>
      </c>
      <c r="AZ43" s="484"/>
      <c r="BA43" s="671" t="s">
        <v>2809</v>
      </c>
      <c r="BB43" s="447" t="str">
        <f>Pole_Calculations!A152</f>
        <v>App.7.1-V01-P9.5.1.1</v>
      </c>
      <c r="BC43" s="169"/>
      <c r="BD43" s="1329"/>
      <c r="BE43" s="1329"/>
      <c r="BF43" s="1330"/>
      <c r="BG43" s="1329"/>
    </row>
    <row r="44" spans="1:59" ht="15.65" customHeight="1">
      <c r="A44" s="1239"/>
      <c r="B44" s="435"/>
      <c r="C44" s="446"/>
      <c r="D44" s="638"/>
      <c r="E44" s="638"/>
      <c r="F44" s="447"/>
      <c r="G44" s="484">
        <v>54</v>
      </c>
      <c r="H44" s="1239"/>
      <c r="I44" s="1239"/>
      <c r="J44" s="171"/>
      <c r="K44" s="1239"/>
      <c r="L44" s="445"/>
      <c r="M44" s="638"/>
      <c r="N44" s="1239"/>
      <c r="O44" s="1239"/>
      <c r="P44" s="638"/>
      <c r="Q44" s="638"/>
      <c r="R44" s="638"/>
      <c r="S44" s="484"/>
      <c r="T44" s="638"/>
      <c r="U44" s="638"/>
      <c r="V44" s="638"/>
      <c r="W44" s="638"/>
      <c r="X44" s="638"/>
      <c r="Y44" s="638"/>
      <c r="Z44" s="638"/>
      <c r="AA44" s="638"/>
      <c r="AB44" s="638"/>
      <c r="AC44" s="638"/>
      <c r="AD44" s="638"/>
      <c r="AE44" s="638"/>
      <c r="AF44" s="638"/>
      <c r="AG44" s="446"/>
      <c r="AH44" s="638"/>
      <c r="AI44" s="185"/>
      <c r="AJ44" s="445"/>
      <c r="AK44" s="1239"/>
      <c r="AL44" s="638"/>
      <c r="AM44" s="638"/>
      <c r="AN44" s="455"/>
      <c r="AO44" s="1239"/>
      <c r="AP44" s="1239"/>
      <c r="AQ44" s="484">
        <f>+FL_2($T$45,$T$43,$G$44,1200,9.28, 1*$F$45)</f>
        <v>-0.4255475840704841</v>
      </c>
      <c r="AR44" s="484"/>
      <c r="AS44" s="484"/>
      <c r="AT44" s="484"/>
      <c r="AU44" s="638"/>
      <c r="AV44" s="638"/>
      <c r="AW44" s="638"/>
      <c r="AX44" s="638"/>
      <c r="AY44" s="484"/>
      <c r="AZ44" s="484"/>
      <c r="BA44" s="671"/>
      <c r="BB44" s="1239"/>
      <c r="BC44" s="169"/>
      <c r="BD44" s="1330"/>
      <c r="BE44" s="1330"/>
      <c r="BF44" s="1330"/>
      <c r="BG44" s="1330"/>
    </row>
    <row r="45" spans="1:59" ht="15.65" customHeight="1">
      <c r="A45" s="1239"/>
      <c r="B45" s="439" t="s">
        <v>3642</v>
      </c>
      <c r="C45" s="446">
        <f>+$C$43+$G$44</f>
        <v>13315.289999999999</v>
      </c>
      <c r="D45" s="638"/>
      <c r="E45" s="638"/>
      <c r="F45" s="448">
        <f>-(551^2)/(C45-13317.03)</f>
        <v>174483.33333317281</v>
      </c>
      <c r="G45" s="484"/>
      <c r="H45" s="1239"/>
      <c r="I45" s="1239"/>
      <c r="J45" s="171"/>
      <c r="K45" s="1239"/>
      <c r="L45" s="445" t="s">
        <v>230</v>
      </c>
      <c r="M45" s="638" t="str">
        <f>IF(AX45="PT",VLOOKUP(L45,'Foundation Calculation'!$V$2:$X$40,VLOOKUP(AX45,'Foundation Calculation'!$I$10:$J$13,2,FALSE),0),IF(AX45="K",VLOOKUP(L45,'Foundation Calculation'!$V$42:$X$80,VLOOKUP(AX45,'Foundation Calculation'!$I$10:$J$13,2,FALSE),0),""))</f>
        <v>C4R</v>
      </c>
      <c r="N45" s="1239" t="s">
        <v>143</v>
      </c>
      <c r="O45" s="1239"/>
      <c r="P45" s="638"/>
      <c r="Q45" s="638"/>
      <c r="R45" s="638"/>
      <c r="S45" s="484"/>
      <c r="T45" s="638">
        <v>-35</v>
      </c>
      <c r="U45" s="638"/>
      <c r="V45" s="638"/>
      <c r="W45" s="638">
        <v>1.2</v>
      </c>
      <c r="X45" s="638"/>
      <c r="Y45" s="638"/>
      <c r="Z45" s="638"/>
      <c r="AA45" s="638"/>
      <c r="AB45" s="638"/>
      <c r="AC45" s="638" t="str">
        <f>IF(OR(AT45&gt;8,AT45&lt;-8),"PH",IF(OR(AT45&gt;5,AT45&lt;-5),"PH-Q",IF(OR(AT45&gt;1,AT45&lt;-1),"PH-C")))</f>
        <v>PH</v>
      </c>
      <c r="AD45" s="638"/>
      <c r="AE45" s="638"/>
      <c r="AF45" s="638"/>
      <c r="AG45" s="446"/>
      <c r="AH45" s="638"/>
      <c r="AI45" s="185"/>
      <c r="AJ45" s="445"/>
      <c r="AK45" s="1239"/>
      <c r="AL45" s="638"/>
      <c r="AM45" s="638" t="s">
        <v>1043</v>
      </c>
      <c r="AN45" s="455">
        <v>5.15</v>
      </c>
      <c r="AO45" s="1239"/>
      <c r="AP45" s="1239"/>
      <c r="AQ45" s="484"/>
      <c r="AR45" s="484"/>
      <c r="AS45" s="484"/>
      <c r="AT45" s="484">
        <f>+ab($T$45,$T$43,$T$47,$G$44,$G$46, 1*$F$45,1200)</f>
        <v>-8.8438896563261782</v>
      </c>
      <c r="AU45" s="638"/>
      <c r="AV45" s="638"/>
      <c r="AW45" s="638" t="str">
        <f>VLOOKUP(C45,'Foundation Calculation'!$A$2:$C$33,3,1)</f>
        <v>Soil B</v>
      </c>
      <c r="AX45" s="638" t="str">
        <f>VLOOKUP(C45,'Foundation Calculation'!$E$2:$G$33,3,1)</f>
        <v>PT</v>
      </c>
      <c r="AY45" s="484">
        <f>IF(AX45="PT",VLOOKUP(L45,'Foundation Calculation'!$K$2:$R$40,VLOOKUP(AW45,'Foundation Calculation'!$I$2:$J$8,2,FALSE),0),IF(AX45="K",VLOOKUP(L45,'Foundation Calculation'!$K$42:$R$80,VLOOKUP(AW45,'Foundation Calculation'!$I$2:$J$8,2,FALSE),0),""))</f>
        <v>3.5</v>
      </c>
      <c r="AZ45" s="484"/>
      <c r="BA45" s="671" t="s">
        <v>2809</v>
      </c>
      <c r="BB45" s="1239" t="str">
        <f>Pole_Calculations!A152</f>
        <v>App.7.1-V01-P9.5.1.1</v>
      </c>
      <c r="BC45" s="169"/>
      <c r="BD45" s="1329"/>
      <c r="BE45" s="1329"/>
      <c r="BF45" s="1330"/>
      <c r="BG45" s="1329"/>
    </row>
    <row r="46" spans="1:59" ht="15.65" customHeight="1">
      <c r="A46" s="1239"/>
      <c r="B46" s="435"/>
      <c r="C46" s="446"/>
      <c r="D46" s="638"/>
      <c r="E46" s="638"/>
      <c r="F46" s="447"/>
      <c r="G46" s="484">
        <v>60</v>
      </c>
      <c r="H46" s="1239"/>
      <c r="I46" s="1239"/>
      <c r="J46" s="171"/>
      <c r="K46" s="1239"/>
      <c r="L46" s="445"/>
      <c r="M46" s="638"/>
      <c r="N46" s="1239"/>
      <c r="O46" s="638"/>
      <c r="P46" s="638"/>
      <c r="Q46" s="638"/>
      <c r="R46" s="638"/>
      <c r="S46" s="484"/>
      <c r="T46" s="638"/>
      <c r="U46" s="638"/>
      <c r="V46" s="638"/>
      <c r="W46" s="638"/>
      <c r="X46" s="638"/>
      <c r="Y46" s="638"/>
      <c r="Z46" s="638"/>
      <c r="AA46" s="638"/>
      <c r="AB46" s="638"/>
      <c r="AC46" s="638"/>
      <c r="AD46" s="638"/>
      <c r="AE46" s="638"/>
      <c r="AF46" s="638"/>
      <c r="AG46" s="446"/>
      <c r="AH46" s="638"/>
      <c r="AI46" s="185"/>
      <c r="AJ46" s="445"/>
      <c r="AK46" s="1239"/>
      <c r="AL46" s="638"/>
      <c r="AM46" s="638"/>
      <c r="AN46" s="455"/>
      <c r="AO46" s="1239"/>
      <c r="AP46" s="1239"/>
      <c r="AQ46" s="484">
        <f>+FL_1($T$47,$T$45,$G$46,1200,9.28, 1*$F$47)</f>
        <v>0.43600286799999999</v>
      </c>
      <c r="AR46" s="484"/>
      <c r="AS46" s="484"/>
      <c r="AT46" s="484"/>
      <c r="AU46" s="638"/>
      <c r="AV46" s="638"/>
      <c r="AW46" s="638"/>
      <c r="AX46" s="638"/>
      <c r="AY46" s="484"/>
      <c r="AZ46" s="484"/>
      <c r="BA46" s="671"/>
      <c r="BB46" s="1239"/>
      <c r="BC46" s="169"/>
      <c r="BD46" s="1330"/>
      <c r="BE46" s="1330"/>
      <c r="BF46" s="1330"/>
      <c r="BG46" s="1330"/>
    </row>
    <row r="47" spans="1:59" ht="15.65" customHeight="1">
      <c r="A47" s="1239"/>
      <c r="B47" s="439" t="s">
        <v>3643</v>
      </c>
      <c r="C47" s="446">
        <f>+$C$45+$G$46</f>
        <v>13375.289999999999</v>
      </c>
      <c r="D47" s="447"/>
      <c r="E47" s="447"/>
      <c r="F47" s="447">
        <v>0</v>
      </c>
      <c r="G47" s="484"/>
      <c r="H47" s="1239"/>
      <c r="I47" s="1239"/>
      <c r="J47" s="171"/>
      <c r="K47" s="1239"/>
      <c r="L47" s="445" t="s">
        <v>230</v>
      </c>
      <c r="M47" s="638" t="str">
        <f>IF(AX47="PT",VLOOKUP(L47,'Foundation Calculation'!$V$2:$X$40,VLOOKUP(AX47,'Foundation Calculation'!$I$10:$J$13,2,FALSE),0),IF(AX47="K",VLOOKUP(L47,'Foundation Calculation'!$V$42:$X$80,VLOOKUP(AX47,'Foundation Calculation'!$I$10:$J$13,2,FALSE),0),""))</f>
        <v>C4R</v>
      </c>
      <c r="N47" s="1239" t="s">
        <v>144</v>
      </c>
      <c r="O47" s="1239"/>
      <c r="P47" s="638"/>
      <c r="Q47" s="638"/>
      <c r="R47" s="638"/>
      <c r="S47" s="484"/>
      <c r="T47" s="638">
        <v>35</v>
      </c>
      <c r="U47" s="638"/>
      <c r="V47" s="638"/>
      <c r="W47" s="638">
        <v>1.4</v>
      </c>
      <c r="X47" s="638"/>
      <c r="Y47" s="638"/>
      <c r="Z47" s="638"/>
      <c r="AA47" s="638"/>
      <c r="AB47" s="638"/>
      <c r="AC47" s="638" t="str">
        <f>IF(OR(AT47&gt;8,AT47&lt;-8),"PH",IF(OR(AT47&gt;5,AT47&lt;-5),"PH-Q",IF(OR(AT47&gt;1,AT47&lt;-1),"PH-C")))</f>
        <v>PH</v>
      </c>
      <c r="AD47" s="638"/>
      <c r="AE47" s="638"/>
      <c r="AF47" s="638"/>
      <c r="AG47" s="446"/>
      <c r="AH47" s="638"/>
      <c r="AI47" s="185"/>
      <c r="AJ47" s="445"/>
      <c r="AK47" s="1239"/>
      <c r="AL47" s="638"/>
      <c r="AM47" s="638" t="s">
        <v>1043</v>
      </c>
      <c r="AN47" s="455">
        <v>5.15</v>
      </c>
      <c r="AO47" s="1239"/>
      <c r="AP47" s="1239"/>
      <c r="AQ47" s="484"/>
      <c r="AR47" s="484"/>
      <c r="AS47" s="484"/>
      <c r="AT47" s="484">
        <f>+ab($T$47,$T$45,$T$49,$G$46,$G$48, 1*$F$47,1200)</f>
        <v>8.3002133012442592</v>
      </c>
      <c r="AU47" s="638"/>
      <c r="AV47" s="638"/>
      <c r="AW47" s="638" t="str">
        <f>VLOOKUP(C47,'Foundation Calculation'!$A$2:$C$33,3,1)</f>
        <v>Soil B</v>
      </c>
      <c r="AX47" s="638" t="str">
        <f>VLOOKUP(C47,'Foundation Calculation'!$E$2:$G$33,3,1)</f>
        <v>PT</v>
      </c>
      <c r="AY47" s="484">
        <f>IF(AX47="PT",VLOOKUP(L47,'Foundation Calculation'!$K$2:$R$40,VLOOKUP(AW47,'Foundation Calculation'!$I$2:$J$8,2,FALSE),0),IF(AX47="K",VLOOKUP(L47,'Foundation Calculation'!$K$42:$R$80,VLOOKUP(AW47,'Foundation Calculation'!$I$2:$J$8,2,FALSE),0),""))</f>
        <v>3.5</v>
      </c>
      <c r="AZ47" s="484"/>
      <c r="BA47" s="671" t="s">
        <v>2809</v>
      </c>
      <c r="BB47" s="1239" t="str">
        <f>Pole_Calculations!A152</f>
        <v>App.7.1-V01-P9.5.1.1</v>
      </c>
      <c r="BC47" s="169"/>
      <c r="BD47" s="1329"/>
      <c r="BE47" s="1329"/>
      <c r="BF47" s="1330"/>
      <c r="BG47" s="1329"/>
    </row>
    <row r="48" spans="1:59" ht="15.65" customHeight="1">
      <c r="A48" s="1239"/>
      <c r="B48" s="435"/>
      <c r="C48" s="446"/>
      <c r="D48" s="447"/>
      <c r="E48" s="447"/>
      <c r="F48" s="447"/>
      <c r="G48" s="484">
        <v>62</v>
      </c>
      <c r="H48" s="1239"/>
      <c r="I48" s="1239"/>
      <c r="J48" s="171"/>
      <c r="K48" s="1239"/>
      <c r="L48" s="445"/>
      <c r="M48" s="638"/>
      <c r="N48" s="1239"/>
      <c r="O48" s="1239"/>
      <c r="P48" s="638"/>
      <c r="Q48" s="638"/>
      <c r="R48" s="638"/>
      <c r="S48" s="484"/>
      <c r="T48" s="638"/>
      <c r="U48" s="638"/>
      <c r="V48" s="638"/>
      <c r="W48" s="638"/>
      <c r="X48" s="638"/>
      <c r="Y48" s="638"/>
      <c r="Z48" s="638"/>
      <c r="AA48" s="638"/>
      <c r="AB48" s="638"/>
      <c r="AC48" s="638"/>
      <c r="AD48" s="638"/>
      <c r="AE48" s="638"/>
      <c r="AF48" s="638"/>
      <c r="AG48" s="446"/>
      <c r="AH48" s="638"/>
      <c r="AI48" s="185"/>
      <c r="AJ48" s="445"/>
      <c r="AK48" s="1239"/>
      <c r="AL48" s="638"/>
      <c r="AM48" s="638"/>
      <c r="AN48" s="455"/>
      <c r="AO48" s="1239"/>
      <c r="AP48" s="1239"/>
      <c r="AQ48" s="484">
        <f>+FL_2($T$49,$T$47,$G$48,1200,9.28, 1*$F$49)</f>
        <v>-0.45400350967741931</v>
      </c>
      <c r="AR48" s="484"/>
      <c r="AS48" s="484"/>
      <c r="AT48" s="484"/>
      <c r="AU48" s="638"/>
      <c r="AV48" s="638"/>
      <c r="AW48" s="638"/>
      <c r="AX48" s="638"/>
      <c r="AY48" s="484"/>
      <c r="AZ48" s="484"/>
      <c r="BA48" s="671"/>
      <c r="BB48" s="1239"/>
      <c r="BC48" s="169"/>
      <c r="BD48" s="1330"/>
      <c r="BE48" s="1330"/>
      <c r="BF48" s="1330"/>
      <c r="BG48" s="1330"/>
    </row>
    <row r="49" spans="1:59" ht="15.65" customHeight="1">
      <c r="A49" s="1239"/>
      <c r="B49" s="439" t="s">
        <v>3644</v>
      </c>
      <c r="C49" s="446">
        <f>+$C$47+$G$48</f>
        <v>13437.289999999999</v>
      </c>
      <c r="D49" s="447"/>
      <c r="E49" s="447"/>
      <c r="F49" s="447">
        <v>0</v>
      </c>
      <c r="G49" s="484"/>
      <c r="H49" s="1239"/>
      <c r="I49" s="1239"/>
      <c r="J49" s="171"/>
      <c r="K49" s="1239"/>
      <c r="L49" s="445" t="s">
        <v>230</v>
      </c>
      <c r="M49" s="638" t="str">
        <f>IF(AX49="PT",VLOOKUP(L49,'Foundation Calculation'!$V$2:$X$40,VLOOKUP(AX49,'Foundation Calculation'!$I$10:$J$13,2,FALSE),0),IF(AX49="K",VLOOKUP(L49,'Foundation Calculation'!$V$42:$X$80,VLOOKUP(AX49,'Foundation Calculation'!$I$10:$J$13,2,FALSE),0),""))</f>
        <v>C4R</v>
      </c>
      <c r="N49" s="1239" t="s">
        <v>143</v>
      </c>
      <c r="O49" s="1239"/>
      <c r="P49" s="638"/>
      <c r="Q49" s="638"/>
      <c r="R49" s="638"/>
      <c r="S49" s="484"/>
      <c r="T49" s="638">
        <v>-35</v>
      </c>
      <c r="U49" s="638"/>
      <c r="V49" s="638"/>
      <c r="W49" s="638">
        <v>1.4</v>
      </c>
      <c r="X49" s="638"/>
      <c r="Y49" s="638"/>
      <c r="Z49" s="638"/>
      <c r="AA49" s="638"/>
      <c r="AB49" s="638"/>
      <c r="AC49" s="638" t="str">
        <f>IF(OR(AT49&gt;8,AT49&lt;-8),"PH",IF(OR(AT49&gt;5,AT49&lt;-5),"PH-Q",IF(OR(AT49&gt;1,AT49&lt;-1),"PH-C")))</f>
        <v>PH</v>
      </c>
      <c r="AD49" s="638"/>
      <c r="AE49" s="638"/>
      <c r="AF49" s="638"/>
      <c r="AG49" s="446"/>
      <c r="AH49" s="638"/>
      <c r="AI49" s="185"/>
      <c r="AJ49" s="638"/>
      <c r="AK49" s="1239"/>
      <c r="AL49" s="638"/>
      <c r="AM49" s="638" t="s">
        <v>1043</v>
      </c>
      <c r="AN49" s="455">
        <v>5.15</v>
      </c>
      <c r="AO49" s="1239"/>
      <c r="AP49" s="1239"/>
      <c r="AQ49" s="484"/>
      <c r="AR49" s="484"/>
      <c r="AS49" s="484"/>
      <c r="AT49" s="484">
        <f>+ab($T$49,$T$47,$T$51,$G$48,$G$50, 1*$F$49,1200)</f>
        <v>-8.4366201521118445</v>
      </c>
      <c r="AU49" s="638"/>
      <c r="AV49" s="638"/>
      <c r="AW49" s="638" t="str">
        <f>VLOOKUP(C49,'Foundation Calculation'!$A$2:$C$33,3,1)</f>
        <v>Soil B</v>
      </c>
      <c r="AX49" s="638" t="str">
        <f>VLOOKUP(C49,'Foundation Calculation'!$E$2:$G$33,3,1)</f>
        <v>PT</v>
      </c>
      <c r="AY49" s="484">
        <f>IF(AX49="PT",VLOOKUP(L49,'Foundation Calculation'!$K$2:$R$40,VLOOKUP(AW49,'Foundation Calculation'!$I$2:$J$8,2,FALSE),0),IF(AX49="K",VLOOKUP(L49,'Foundation Calculation'!$K$42:$R$80,VLOOKUP(AW49,'Foundation Calculation'!$I$2:$J$8,2,FALSE),0),""))</f>
        <v>3.5</v>
      </c>
      <c r="AZ49" s="484"/>
      <c r="BA49" s="671" t="s">
        <v>2809</v>
      </c>
      <c r="BB49" s="1239" t="str">
        <f>Pole_Calculations!A152</f>
        <v>App.7.1-V01-P9.5.1.1</v>
      </c>
      <c r="BC49" s="169"/>
      <c r="BD49" s="1329"/>
      <c r="BE49" s="1329"/>
      <c r="BF49" s="1330"/>
      <c r="BG49" s="1329"/>
    </row>
    <row r="50" spans="1:59" ht="15.65" customHeight="1">
      <c r="A50" s="1239"/>
      <c r="B50" s="435"/>
      <c r="C50" s="446"/>
      <c r="D50" s="447"/>
      <c r="E50" s="447"/>
      <c r="F50" s="447"/>
      <c r="G50" s="484">
        <v>62</v>
      </c>
      <c r="H50" s="638"/>
      <c r="I50" s="448"/>
      <c r="J50" s="446">
        <f>C51-7.5</f>
        <v>13491.789999999999</v>
      </c>
      <c r="K50" s="638" t="s">
        <v>2882</v>
      </c>
      <c r="L50" s="445"/>
      <c r="M50" s="638"/>
      <c r="N50" s="1239"/>
      <c r="O50" s="638"/>
      <c r="P50" s="638"/>
      <c r="Q50" s="638"/>
      <c r="R50" s="638"/>
      <c r="S50" s="484"/>
      <c r="T50" s="638"/>
      <c r="U50" s="638"/>
      <c r="V50" s="638"/>
      <c r="W50" s="638"/>
      <c r="X50" s="638"/>
      <c r="Y50" s="638"/>
      <c r="Z50" s="638"/>
      <c r="AA50" s="638"/>
      <c r="AB50" s="638"/>
      <c r="AC50" s="638"/>
      <c r="AD50" s="638"/>
      <c r="AE50" s="638"/>
      <c r="AF50" s="638"/>
      <c r="AG50" s="446"/>
      <c r="AH50" s="638"/>
      <c r="AI50" s="185"/>
      <c r="AJ50" s="445"/>
      <c r="AK50" s="1239"/>
      <c r="AL50" s="638"/>
      <c r="AM50" s="638"/>
      <c r="AN50" s="455"/>
      <c r="AO50" s="1239"/>
      <c r="AP50" s="1239"/>
      <c r="AQ50" s="484">
        <f>+FL_1($T$51,$T$49,$G$50,1200,9.28, 1*$F$51)</f>
        <v>0.4659442130658259</v>
      </c>
      <c r="AR50" s="484"/>
      <c r="AS50" s="484"/>
      <c r="AT50" s="484"/>
      <c r="AU50" s="638"/>
      <c r="AV50" s="638"/>
      <c r="AW50" s="638" t="str">
        <f>VLOOKUP(J50,'Foundation Calculation'!$A$2:$C$33,3,1)</f>
        <v>Soil B</v>
      </c>
      <c r="AX50" s="638" t="str">
        <f>VLOOKUP(J50,'Foundation Calculation'!$E$2:$G$33,3,1)</f>
        <v>PT</v>
      </c>
      <c r="AY50" s="484"/>
      <c r="AZ50" s="484">
        <v>3.9</v>
      </c>
      <c r="BA50" s="671" t="s">
        <v>2809</v>
      </c>
      <c r="BB50" s="1239"/>
      <c r="BC50" s="169"/>
      <c r="BD50" s="1329"/>
      <c r="BE50" s="1330"/>
      <c r="BF50" s="1330"/>
      <c r="BG50" s="1330"/>
    </row>
    <row r="51" spans="1:59" ht="15.65" customHeight="1">
      <c r="A51" s="1239"/>
      <c r="B51" s="439" t="s">
        <v>3645</v>
      </c>
      <c r="C51" s="446">
        <f>+$C$49+$G$50</f>
        <v>13499.289999999999</v>
      </c>
      <c r="D51" s="447"/>
      <c r="E51" s="447"/>
      <c r="F51" s="448">
        <f>-(447^2)/(C51-13492.98)</f>
        <v>-31665.451664027911</v>
      </c>
      <c r="G51" s="484"/>
      <c r="H51" s="1239" t="s">
        <v>138</v>
      </c>
      <c r="I51" s="448" t="s">
        <v>623</v>
      </c>
      <c r="J51" s="446"/>
      <c r="K51" s="638"/>
      <c r="L51" s="638" t="s">
        <v>898</v>
      </c>
      <c r="M51" s="638" t="str">
        <f>IF(AX51="PT",VLOOKUP(L51,'Foundation Calculation'!$V$2:$X$40,VLOOKUP(AX51,'Foundation Calculation'!$I$10:$J$13,2,FALSE),0),IF(AX51="K",VLOOKUP(L51,'Foundation Calculation'!$V$42:$X$80,VLOOKUP(AX51,'Foundation Calculation'!$I$10:$J$13,2,FALSE),0),""))</f>
        <v>C4R</v>
      </c>
      <c r="N51" s="1239" t="s">
        <v>144</v>
      </c>
      <c r="O51" s="1239"/>
      <c r="P51" s="638"/>
      <c r="Q51" s="638"/>
      <c r="R51" s="638"/>
      <c r="S51" s="484"/>
      <c r="T51" s="638">
        <v>35</v>
      </c>
      <c r="U51" s="638"/>
      <c r="V51" s="638"/>
      <c r="W51" s="638">
        <v>1.4</v>
      </c>
      <c r="X51" s="638"/>
      <c r="Y51" s="638"/>
      <c r="Z51" s="638"/>
      <c r="AA51" s="638"/>
      <c r="AB51" s="638"/>
      <c r="AC51" s="638" t="str">
        <f>IF(OR(AT51&gt;8,AT51&lt;-8),"PH",IF(OR(AT51&gt;5,AT51&lt;-5),"PH-Q",IF(OR(AT51&gt;1,AT51&lt;-1),"PH-C")))</f>
        <v>PH</v>
      </c>
      <c r="AD51" s="638"/>
      <c r="AE51" s="638"/>
      <c r="AF51" s="638"/>
      <c r="AG51" s="446"/>
      <c r="AH51" s="638"/>
      <c r="AI51" s="185"/>
      <c r="AJ51" s="638"/>
      <c r="AK51" s="1239"/>
      <c r="AL51" s="638"/>
      <c r="AM51" s="638" t="s">
        <v>1043</v>
      </c>
      <c r="AN51" s="455">
        <v>5.15</v>
      </c>
      <c r="AO51" s="1239"/>
      <c r="AP51" s="1239"/>
      <c r="AQ51" s="484"/>
      <c r="AR51" s="484"/>
      <c r="AS51" s="484"/>
      <c r="AT51" s="484">
        <f>+ab($T$51,$T$49,$T$53,$G$50,$G$52, 1*$F$51,1200)</f>
        <v>13.124845449382217</v>
      </c>
      <c r="AU51" s="638"/>
      <c r="AV51" s="638"/>
      <c r="AW51" s="638" t="str">
        <f>VLOOKUP(C51,'Foundation Calculation'!$A$2:$C$33,3,1)</f>
        <v>Soil B</v>
      </c>
      <c r="AX51" s="638" t="str">
        <f>VLOOKUP(C51,'Foundation Calculation'!$E$2:$G$33,3,1)</f>
        <v>PT</v>
      </c>
      <c r="AY51" s="484">
        <f>IF(AX51="PT",VLOOKUP(L51,'Foundation Calculation'!$K$2:$R$40,VLOOKUP(AW51,'Foundation Calculation'!$I$2:$J$8,2,FALSE),0),IF(AX51="K",VLOOKUP(L51,'Foundation Calculation'!$K$42:$R$80,VLOOKUP(AW51,'Foundation Calculation'!$I$2:$J$8,2,FALSE),0),""))</f>
        <v>3.5</v>
      </c>
      <c r="AZ51" s="484"/>
      <c r="BA51" s="671" t="s">
        <v>2809</v>
      </c>
      <c r="BB51" s="1239" t="str">
        <f>Pole_Calculations!A157</f>
        <v>App.7.1-V01-P9.5.1.6</v>
      </c>
      <c r="BC51" s="169"/>
      <c r="BD51" s="1329"/>
      <c r="BE51" s="1329"/>
      <c r="BF51" s="1330"/>
      <c r="BG51" s="1329"/>
    </row>
    <row r="52" spans="1:59" ht="15.65" customHeight="1">
      <c r="A52" s="1239"/>
      <c r="B52" s="435"/>
      <c r="C52" s="446"/>
      <c r="D52" s="447"/>
      <c r="E52" s="447"/>
      <c r="F52" s="447"/>
      <c r="G52" s="484">
        <v>60</v>
      </c>
      <c r="H52" s="638"/>
      <c r="I52" s="448"/>
      <c r="J52" s="446"/>
      <c r="K52" s="638"/>
      <c r="L52" s="445"/>
      <c r="M52" s="638"/>
      <c r="N52" s="1239"/>
      <c r="O52" s="638"/>
      <c r="P52" s="638"/>
      <c r="Q52" s="638"/>
      <c r="R52" s="638"/>
      <c r="S52" s="484"/>
      <c r="T52" s="638"/>
      <c r="U52" s="638"/>
      <c r="V52" s="638"/>
      <c r="W52" s="638"/>
      <c r="X52" s="638"/>
      <c r="Y52" s="638"/>
      <c r="Z52" s="638"/>
      <c r="AA52" s="638"/>
      <c r="AB52" s="638"/>
      <c r="AC52" s="638"/>
      <c r="AD52" s="638"/>
      <c r="AE52" s="638"/>
      <c r="AF52" s="638"/>
      <c r="AG52" s="446"/>
      <c r="AH52" s="638"/>
      <c r="AI52" s="185"/>
      <c r="AJ52" s="445"/>
      <c r="AK52" s="1239"/>
      <c r="AL52" s="638"/>
      <c r="AM52" s="638"/>
      <c r="AN52" s="455"/>
      <c r="AO52" s="1239"/>
      <c r="AP52" s="1239"/>
      <c r="AQ52" s="484">
        <f>+FL_1($U$53,$T$51,$G$52,1200,9.28, 1*$F$53)</f>
        <v>0.57367419815472021</v>
      </c>
      <c r="AR52" s="484"/>
      <c r="AS52" s="484"/>
      <c r="AT52" s="484"/>
      <c r="AU52" s="638"/>
      <c r="AV52" s="638"/>
      <c r="AW52" s="638"/>
      <c r="AX52" s="638"/>
      <c r="AY52" s="484"/>
      <c r="AZ52" s="484"/>
      <c r="BA52" s="671"/>
      <c r="BB52" s="1239"/>
      <c r="BC52" s="169"/>
      <c r="BD52" s="1330"/>
      <c r="BE52" s="1330"/>
      <c r="BF52" s="1330"/>
      <c r="BG52" s="1330"/>
    </row>
    <row r="53" spans="1:59" ht="15.65" customHeight="1">
      <c r="A53" s="449"/>
      <c r="B53" s="485" t="s">
        <v>3646</v>
      </c>
      <c r="C53" s="446">
        <f>+$C$51+$G$52</f>
        <v>13559.289999999999</v>
      </c>
      <c r="D53" s="445"/>
      <c r="E53" s="445"/>
      <c r="F53" s="448">
        <v>-5000</v>
      </c>
      <c r="G53" s="455"/>
      <c r="H53" s="445" t="s">
        <v>619</v>
      </c>
      <c r="I53" s="447"/>
      <c r="J53" s="446"/>
      <c r="K53" s="445"/>
      <c r="L53" s="445" t="s">
        <v>232</v>
      </c>
      <c r="M53" s="638" t="str">
        <f>IF(AX53="PT",VLOOKUP(L53,'Foundation Calculation'!$V$2:$X$40,VLOOKUP(AX53,'Foundation Calculation'!$I$10:$J$13,2,FALSE),0),IF(AX53="K",VLOOKUP(L53,'Foundation Calculation'!$V$42:$X$80,VLOOKUP(AX53,'Foundation Calculation'!$I$10:$J$13,2,FALSE),0),""))</f>
        <v>C5R</v>
      </c>
      <c r="N53" s="445" t="s">
        <v>140</v>
      </c>
      <c r="O53" s="445" t="s">
        <v>143</v>
      </c>
      <c r="P53" s="445"/>
      <c r="Q53" s="638"/>
      <c r="R53" s="638"/>
      <c r="S53" s="484"/>
      <c r="T53" s="638">
        <v>5</v>
      </c>
      <c r="U53" s="638">
        <v>-15</v>
      </c>
      <c r="V53" s="638"/>
      <c r="W53" s="638">
        <v>1.4</v>
      </c>
      <c r="X53" s="638">
        <v>2.2999999999999998</v>
      </c>
      <c r="Y53" s="638"/>
      <c r="Z53" s="638">
        <v>0.45</v>
      </c>
      <c r="AA53" s="638"/>
      <c r="AB53" s="638"/>
      <c r="AC53" s="638"/>
      <c r="AD53" s="638"/>
      <c r="AE53" s="638"/>
      <c r="AF53" s="638"/>
      <c r="AG53" s="446"/>
      <c r="AH53" s="638"/>
      <c r="AI53" s="185"/>
      <c r="AJ53" s="445"/>
      <c r="AK53" s="445"/>
      <c r="AL53" s="445"/>
      <c r="AM53" s="445" t="s">
        <v>1043</v>
      </c>
      <c r="AN53" s="455">
        <v>5.15</v>
      </c>
      <c r="AO53" s="445"/>
      <c r="AP53" s="445"/>
      <c r="AQ53" s="484"/>
      <c r="AR53" s="484"/>
      <c r="AS53" s="484"/>
      <c r="AT53" s="484">
        <f>+ab($U$53,$T$51,$U$55,$G$52,$G$54, 1*$F$53,1200)</f>
        <v>-7.5400904398332189</v>
      </c>
      <c r="AU53" s="638"/>
      <c r="AV53" s="638"/>
      <c r="AW53" s="638" t="str">
        <f>VLOOKUP(C53,'Foundation Calculation'!$A$2:$C$33,3,1)</f>
        <v>Soil B</v>
      </c>
      <c r="AX53" s="638" t="str">
        <f>VLOOKUP(C53,'Foundation Calculation'!$E$2:$G$33,3,1)</f>
        <v>PT</v>
      </c>
      <c r="AY53" s="484">
        <f>IF(AX53="PT",VLOOKUP(L53,'Foundation Calculation'!$K$2:$R$40,VLOOKUP(AW53,'Foundation Calculation'!$I$2:$J$8,2,FALSE),0),IF(AX53="K",VLOOKUP(L53,'Foundation Calculation'!$K$42:$R$80,VLOOKUP(AW53,'Foundation Calculation'!$I$2:$J$8,2,FALSE),0),""))</f>
        <v>3.5</v>
      </c>
      <c r="AZ53" s="484"/>
      <c r="BA53" s="671" t="s">
        <v>2809</v>
      </c>
      <c r="BB53" s="449" t="str">
        <f>Pole_Calculations!A156</f>
        <v>App.7.1-V01-P9.5.1.5</v>
      </c>
      <c r="BC53" s="169"/>
      <c r="BD53" s="1329"/>
      <c r="BE53" s="1329"/>
      <c r="BF53" s="1330"/>
      <c r="BG53" s="1329"/>
    </row>
    <row r="54" spans="1:59" ht="15.65" customHeight="1">
      <c r="A54" s="449"/>
      <c r="B54" s="447"/>
      <c r="C54" s="446"/>
      <c r="D54" s="638"/>
      <c r="E54" s="638"/>
      <c r="F54" s="447"/>
      <c r="G54" s="484">
        <v>52</v>
      </c>
      <c r="H54" s="638"/>
      <c r="I54" s="447"/>
      <c r="J54" s="446"/>
      <c r="K54" s="638"/>
      <c r="L54" s="445"/>
      <c r="M54" s="445"/>
      <c r="N54" s="445"/>
      <c r="O54" s="445"/>
      <c r="P54" s="445"/>
      <c r="Q54" s="638"/>
      <c r="R54" s="638"/>
      <c r="S54" s="484"/>
      <c r="T54" s="638"/>
      <c r="U54" s="638"/>
      <c r="V54" s="638"/>
      <c r="W54" s="638"/>
      <c r="X54" s="638"/>
      <c r="Y54" s="638"/>
      <c r="Z54" s="638"/>
      <c r="AA54" s="638"/>
      <c r="AB54" s="638"/>
      <c r="AC54" s="638"/>
      <c r="AD54" s="638"/>
      <c r="AE54" s="638"/>
      <c r="AF54" s="638"/>
      <c r="AG54" s="446"/>
      <c r="AH54" s="638"/>
      <c r="AI54" s="185"/>
      <c r="AJ54" s="445"/>
      <c r="AK54" s="445"/>
      <c r="AL54" s="638"/>
      <c r="AM54" s="445"/>
      <c r="AN54" s="484"/>
      <c r="AO54" s="445"/>
      <c r="AP54" s="445"/>
      <c r="AQ54" s="484">
        <f>+FL_1($U$55,$U$53,$G$54,1200,9.28, 1*$F$55)</f>
        <v>0.29039350583452889</v>
      </c>
      <c r="AR54" s="484"/>
      <c r="AS54" s="484"/>
      <c r="AT54" s="484"/>
      <c r="AU54" s="638"/>
      <c r="AV54" s="638"/>
      <c r="AW54" s="484"/>
      <c r="AX54" s="484"/>
      <c r="AY54" s="484"/>
      <c r="AZ54" s="484"/>
      <c r="BA54" s="1304"/>
      <c r="BB54" s="449"/>
      <c r="BC54" s="169"/>
      <c r="BD54" s="1330"/>
      <c r="BE54" s="1330"/>
      <c r="BF54" s="1330"/>
      <c r="BG54" s="1330"/>
    </row>
    <row r="55" spans="1:59">
      <c r="A55" s="449"/>
      <c r="B55" s="435" t="s">
        <v>3647</v>
      </c>
      <c r="C55" s="446">
        <f>+$C$53+$G$54</f>
        <v>13611.289999999999</v>
      </c>
      <c r="D55" s="638"/>
      <c r="E55" s="638"/>
      <c r="F55" s="448">
        <f>(447^2)/(C55-13616.1)</f>
        <v>-41540.332640321329</v>
      </c>
      <c r="G55" s="455"/>
      <c r="H55" s="638" t="s">
        <v>619</v>
      </c>
      <c r="I55" s="447"/>
      <c r="J55" s="446"/>
      <c r="K55" s="638"/>
      <c r="L55" s="445" t="s">
        <v>895</v>
      </c>
      <c r="M55" s="638" t="str">
        <f>IF(AX55="PT",VLOOKUP(L55,'Foundation Calculation'!$V$2:$X$40,VLOOKUP(AX55,'Foundation Calculation'!$I$10:$J$13,2,FALSE),0),IF(AX55="K",VLOOKUP(L55,'Foundation Calculation'!$V$42:$X$80,VLOOKUP(AX55,'Foundation Calculation'!$I$10:$J$13,2,FALSE),0),""))</f>
        <v>2C3R</v>
      </c>
      <c r="N55" s="1239" t="s">
        <v>144</v>
      </c>
      <c r="O55" s="1239" t="s">
        <v>140</v>
      </c>
      <c r="P55" s="638"/>
      <c r="Q55" s="638"/>
      <c r="R55" s="638"/>
      <c r="S55" s="484"/>
      <c r="T55" s="638">
        <v>35</v>
      </c>
      <c r="U55" s="638">
        <v>15</v>
      </c>
      <c r="V55" s="638"/>
      <c r="W55" s="638">
        <v>1.4</v>
      </c>
      <c r="X55" s="638">
        <v>2.2999999999999998</v>
      </c>
      <c r="Y55" s="638"/>
      <c r="Z55" s="638"/>
      <c r="AA55" s="638">
        <v>0.45</v>
      </c>
      <c r="AB55" s="638"/>
      <c r="AC55" s="638" t="str">
        <f>IF(OR(AT55&gt;8,AT55&lt;-8),"PH",IF(OR(AT55&gt;5,AT55&lt;-5),"PH-Q",IF(OR(AT55&gt;1,AT55&lt;-1),"PH-C")))</f>
        <v>PH</v>
      </c>
      <c r="AD55" s="638"/>
      <c r="AE55" s="638"/>
      <c r="AF55" s="638"/>
      <c r="AG55" s="446"/>
      <c r="AH55" s="638"/>
      <c r="AI55" s="185"/>
      <c r="AJ55" s="445"/>
      <c r="AK55" s="1239"/>
      <c r="AL55" s="638"/>
      <c r="AM55" s="638" t="s">
        <v>1043</v>
      </c>
      <c r="AN55" s="455">
        <v>5.15</v>
      </c>
      <c r="AO55" s="1239"/>
      <c r="AP55" s="445"/>
      <c r="AQ55" s="484"/>
      <c r="AR55" s="484"/>
      <c r="AS55" s="484"/>
      <c r="AT55" s="484">
        <f>+ab($T$55,$T$53,$T$57,$G$54,$G$56, 1*$F$55,1200)</f>
        <v>10.521112344084299</v>
      </c>
      <c r="AU55" s="638"/>
      <c r="AV55" s="638"/>
      <c r="AW55" s="638" t="str">
        <f>VLOOKUP(C55,'Foundation Calculation'!$A$2:$C$33,3,1)</f>
        <v>Soil B</v>
      </c>
      <c r="AX55" s="638" t="str">
        <f>VLOOKUP(C55,'Foundation Calculation'!$E$2:$G$33,3,1)</f>
        <v>PT</v>
      </c>
      <c r="AY55" s="484">
        <f>IF(AX55="PT",VLOOKUP(L55,'Foundation Calculation'!$K$2:$R$40,VLOOKUP(AW55,'Foundation Calculation'!$I$2:$J$8,2,FALSE),0),IF(AX55="K",VLOOKUP(L55,'Foundation Calculation'!$K$42:$R$80,VLOOKUP(AW55,'Foundation Calculation'!$I$2:$J$8,2,FALSE),0),""))</f>
        <v>3.5</v>
      </c>
      <c r="AZ55" s="484"/>
      <c r="BA55" s="671" t="s">
        <v>2809</v>
      </c>
      <c r="BB55" s="449" t="str">
        <f>Pole_Calculations!A156</f>
        <v>App.7.1-V01-P9.5.1.5</v>
      </c>
      <c r="BC55" s="169"/>
      <c r="BD55" s="1329"/>
      <c r="BE55" s="1329"/>
      <c r="BF55" s="1330"/>
      <c r="BG55" s="1329"/>
    </row>
    <row r="56" spans="1:59" ht="15.65" customHeight="1">
      <c r="A56" s="647" t="s">
        <v>3049</v>
      </c>
      <c r="B56" s="705"/>
      <c r="C56" s="649"/>
      <c r="D56" s="653"/>
      <c r="E56" s="653"/>
      <c r="F56" s="648"/>
      <c r="G56" s="654">
        <v>51.8</v>
      </c>
      <c r="H56" s="653"/>
      <c r="I56" s="650"/>
      <c r="J56" s="649"/>
      <c r="K56" s="653"/>
      <c r="L56" s="657"/>
      <c r="M56" s="657"/>
      <c r="N56" s="647"/>
      <c r="O56" s="647"/>
      <c r="P56" s="653"/>
      <c r="Q56" s="653"/>
      <c r="R56" s="653"/>
      <c r="S56" s="654"/>
      <c r="T56" s="653"/>
      <c r="U56" s="653"/>
      <c r="V56" s="653"/>
      <c r="W56" s="653"/>
      <c r="X56" s="653"/>
      <c r="Y56" s="653"/>
      <c r="Z56" s="653"/>
      <c r="AA56" s="653"/>
      <c r="AB56" s="653"/>
      <c r="AC56" s="653"/>
      <c r="AD56" s="653"/>
      <c r="AE56" s="653"/>
      <c r="AF56" s="653"/>
      <c r="AG56" s="649"/>
      <c r="AH56" s="653"/>
      <c r="AI56" s="704"/>
      <c r="AJ56" s="657"/>
      <c r="AK56" s="647"/>
      <c r="AL56" s="653"/>
      <c r="AM56" s="653"/>
      <c r="AN56" s="651"/>
      <c r="AO56" s="647"/>
      <c r="AP56" s="657"/>
      <c r="AQ56" s="654">
        <f>+FL_2($T$57,$T$55,$G$56,1200,9.28, 1*$F$57)</f>
        <v>-0.37744993308108105</v>
      </c>
      <c r="AR56" s="654"/>
      <c r="AS56" s="654"/>
      <c r="AT56" s="654"/>
      <c r="AU56" s="653"/>
      <c r="AV56" s="653"/>
      <c r="AW56" s="654"/>
      <c r="AX56" s="654"/>
      <c r="AY56" s="654"/>
      <c r="AZ56" s="654"/>
      <c r="BA56" s="1316"/>
      <c r="BB56" s="647"/>
      <c r="BC56" s="169"/>
      <c r="BD56" s="1330"/>
      <c r="BE56" s="1330"/>
      <c r="BF56" s="1330"/>
      <c r="BG56" s="1330"/>
    </row>
    <row r="57" spans="1:59" ht="15.65" customHeight="1">
      <c r="A57" s="449"/>
      <c r="B57" s="435" t="s">
        <v>3648</v>
      </c>
      <c r="C57" s="446">
        <f>+$C$55+$G$56</f>
        <v>13663.089999999998</v>
      </c>
      <c r="D57" s="638"/>
      <c r="E57" s="638"/>
      <c r="F57" s="447">
        <v>0</v>
      </c>
      <c r="G57" s="484"/>
      <c r="H57" s="1239" t="s">
        <v>138</v>
      </c>
      <c r="I57" s="448" t="s">
        <v>623</v>
      </c>
      <c r="J57" s="446"/>
      <c r="K57" s="638"/>
      <c r="L57" s="445" t="s">
        <v>898</v>
      </c>
      <c r="M57" s="638" t="str">
        <f>IF(AX57="PT",VLOOKUP(L57,'Foundation Calculation'!$V$2:$X$40,VLOOKUP(AX57,'Foundation Calculation'!$I$10:$J$13,2,FALSE),0),IF(AX57="K",VLOOKUP(L57,'Foundation Calculation'!$V$42:$X$80,VLOOKUP(AX57,'Foundation Calculation'!$I$10:$J$13,2,FALSE),0),""))</f>
        <v>C4R</v>
      </c>
      <c r="N57" s="1239" t="s">
        <v>143</v>
      </c>
      <c r="O57" s="1239"/>
      <c r="P57" s="638"/>
      <c r="Q57" s="638"/>
      <c r="R57" s="638"/>
      <c r="S57" s="484"/>
      <c r="T57" s="638">
        <v>-35</v>
      </c>
      <c r="U57" s="638"/>
      <c r="V57" s="638"/>
      <c r="W57" s="638">
        <v>1.2</v>
      </c>
      <c r="X57" s="638"/>
      <c r="Y57" s="638"/>
      <c r="Z57" s="638"/>
      <c r="AA57" s="638"/>
      <c r="AB57" s="638"/>
      <c r="AC57" s="638" t="str">
        <f>IF(OR(AT57&gt;8,AT57&lt;-8),"PH",IF(OR(AT57&gt;5,AT57&lt;-5),"PH-Q",IF(OR(AT57&gt;1,AT57&lt;-1),"PH-C")))</f>
        <v>PH-Q</v>
      </c>
      <c r="AD57" s="638"/>
      <c r="AE57" s="638"/>
      <c r="AF57" s="638"/>
      <c r="AG57" s="446"/>
      <c r="AH57" s="638"/>
      <c r="AI57" s="638"/>
      <c r="AJ57" s="445"/>
      <c r="AK57" s="1239"/>
      <c r="AL57" s="638"/>
      <c r="AM57" s="638" t="s">
        <v>1043</v>
      </c>
      <c r="AN57" s="455">
        <v>5.15</v>
      </c>
      <c r="AO57" s="1239"/>
      <c r="AP57" s="445"/>
      <c r="AQ57" s="484"/>
      <c r="AR57" s="484"/>
      <c r="AS57" s="484"/>
      <c r="AT57" s="484">
        <f>+ab($T$57,$T$55,$T$59,$G$56,$G$58, 1*$F$57,1200)</f>
        <v>-7.144085737145061</v>
      </c>
      <c r="AU57" s="638"/>
      <c r="AV57" s="638"/>
      <c r="AW57" s="638" t="str">
        <f>VLOOKUP(C57,'Foundation Calculation'!$A$2:$C$33,3,1)</f>
        <v>Soil B</v>
      </c>
      <c r="AX57" s="638" t="str">
        <f>VLOOKUP(C57,'Foundation Calculation'!$E$2:$G$33,3,1)</f>
        <v>PT</v>
      </c>
      <c r="AY57" s="484">
        <f>IF(AX57="PT",VLOOKUP(L57,'Foundation Calculation'!$K$2:$R$40,VLOOKUP(AW57,'Foundation Calculation'!$I$2:$J$8,2,FALSE),0),IF(AX57="K",VLOOKUP(L57,'Foundation Calculation'!$K$42:$R$80,VLOOKUP(AW57,'Foundation Calculation'!$I$2:$J$8,2,FALSE),0),""))</f>
        <v>3.5</v>
      </c>
      <c r="AZ57" s="484"/>
      <c r="BA57" s="671" t="s">
        <v>2809</v>
      </c>
      <c r="BB57" s="449" t="str">
        <f>Pole_Calculations!A157</f>
        <v>App.7.1-V01-P9.5.1.6</v>
      </c>
      <c r="BC57" s="169"/>
      <c r="BD57" s="1329"/>
      <c r="BE57" s="1329"/>
      <c r="BF57" s="1330"/>
      <c r="BG57" s="1329"/>
    </row>
    <row r="58" spans="1:59" ht="15.65" customHeight="1">
      <c r="A58" s="447"/>
      <c r="B58" s="173"/>
      <c r="C58" s="446"/>
      <c r="D58" s="638"/>
      <c r="E58" s="638"/>
      <c r="F58" s="447"/>
      <c r="G58" s="484">
        <v>53</v>
      </c>
      <c r="H58" s="1239"/>
      <c r="I58" s="448"/>
      <c r="J58" s="446">
        <f>C57+7.5</f>
        <v>13670.589999999998</v>
      </c>
      <c r="K58" s="638" t="s">
        <v>2787</v>
      </c>
      <c r="L58" s="445"/>
      <c r="M58" s="445"/>
      <c r="N58" s="1239"/>
      <c r="O58" s="1239"/>
      <c r="P58" s="638"/>
      <c r="Q58" s="638"/>
      <c r="R58" s="638"/>
      <c r="S58" s="484"/>
      <c r="T58" s="638"/>
      <c r="U58" s="638"/>
      <c r="V58" s="638"/>
      <c r="W58" s="638"/>
      <c r="X58" s="638"/>
      <c r="Y58" s="638"/>
      <c r="Z58" s="638"/>
      <c r="AA58" s="638"/>
      <c r="AB58" s="638"/>
      <c r="AC58" s="638"/>
      <c r="AD58" s="638"/>
      <c r="AE58" s="638"/>
      <c r="AF58" s="638"/>
      <c r="AG58" s="446"/>
      <c r="AH58" s="638"/>
      <c r="AI58" s="638"/>
      <c r="AJ58" s="445"/>
      <c r="AK58" s="1239"/>
      <c r="AL58" s="638"/>
      <c r="AM58" s="638"/>
      <c r="AN58" s="455"/>
      <c r="AO58" s="1239"/>
      <c r="AP58" s="445"/>
      <c r="AQ58" s="484">
        <f>+FL_2($T$59,$T$57,$G$58,1200,9.28, 1*$F$59)</f>
        <v>-0.38432069766037741</v>
      </c>
      <c r="AR58" s="484"/>
      <c r="AS58" s="484"/>
      <c r="AT58" s="484"/>
      <c r="AU58" s="638"/>
      <c r="AV58" s="638"/>
      <c r="AW58" s="638" t="str">
        <f>VLOOKUP(J58,'Foundation Calculation'!$A$2:$C$33,3,1)</f>
        <v>Soil B</v>
      </c>
      <c r="AX58" s="638" t="str">
        <f>VLOOKUP(J58,'Foundation Calculation'!$E$2:$G$33,3,1)</f>
        <v>PT</v>
      </c>
      <c r="AY58" s="484"/>
      <c r="AZ58" s="484">
        <f>IF(AX58="PT",VLOOKUP(K58,'Foundation Calculation'!$K$2:$R$40,VLOOKUP(AW58,'Foundation Calculation'!$I$2:$J$8,2,FALSE),0),IF(AX58="K",VLOOKUP(K58,'Foundation Calculation'!$K$42:$R$80,VLOOKUP(AW58,'Foundation Calculation'!$I$2:$J$8,2,FALSE),0),""))</f>
        <v>3.9</v>
      </c>
      <c r="BA58" s="671" t="s">
        <v>2809</v>
      </c>
      <c r="BB58" s="447"/>
      <c r="BC58" s="169"/>
      <c r="BD58" s="1329"/>
      <c r="BE58" s="1330"/>
      <c r="BF58" s="1330"/>
      <c r="BG58" s="1330"/>
    </row>
    <row r="59" spans="1:59" ht="25">
      <c r="A59" s="1239"/>
      <c r="B59" s="435" t="s">
        <v>3649</v>
      </c>
      <c r="C59" s="446">
        <f>+$C$57+$G$58</f>
        <v>13716.089999999998</v>
      </c>
      <c r="D59" s="638"/>
      <c r="E59" s="638"/>
      <c r="F59" s="447">
        <v>0</v>
      </c>
      <c r="G59" s="484"/>
      <c r="H59" s="638"/>
      <c r="I59" s="448" t="s">
        <v>1471</v>
      </c>
      <c r="J59" s="446">
        <f>C59+7.5</f>
        <v>13723.589999999998</v>
      </c>
      <c r="K59" s="1239" t="s">
        <v>2788</v>
      </c>
      <c r="L59" s="445" t="s">
        <v>818</v>
      </c>
      <c r="M59" s="638" t="str">
        <f>IF(AX59="PT",VLOOKUP(L59,'Foundation Calculation'!$V$2:$X$40,VLOOKUP(AX59,'Foundation Calculation'!$I$10:$J$13,2,FALSE),0),IF(AX59="K",VLOOKUP(L59,'Foundation Calculation'!$V$42:$X$80,VLOOKUP(AX59,'Foundation Calculation'!$I$10:$J$13,2,FALSE),0),""))</f>
        <v>C4R</v>
      </c>
      <c r="N59" s="1239" t="s">
        <v>144</v>
      </c>
      <c r="O59" s="1239"/>
      <c r="P59" s="638"/>
      <c r="Q59" s="638"/>
      <c r="R59" s="638"/>
      <c r="S59" s="484"/>
      <c r="T59" s="638">
        <v>35</v>
      </c>
      <c r="U59" s="638"/>
      <c r="V59" s="638"/>
      <c r="W59" s="638">
        <v>1</v>
      </c>
      <c r="X59" s="638"/>
      <c r="Y59" s="638"/>
      <c r="Z59" s="638"/>
      <c r="AA59" s="638"/>
      <c r="AB59" s="638"/>
      <c r="AC59" s="638" t="str">
        <f>IF(OR(AT59&gt;8,AT59&lt;-8),"PH",IF(OR(AT59&gt;5,AT59&lt;-5),"PH-Q",IF(OR(AT59&gt;1,AT59&lt;-1),"PH-C")))</f>
        <v>PH</v>
      </c>
      <c r="AD59" s="638"/>
      <c r="AE59" s="638"/>
      <c r="AF59" s="638"/>
      <c r="AG59" s="446"/>
      <c r="AH59" s="638"/>
      <c r="AI59" s="638"/>
      <c r="AJ59" s="638"/>
      <c r="AK59" s="638"/>
      <c r="AL59" s="638"/>
      <c r="AM59" s="644" t="s">
        <v>3670</v>
      </c>
      <c r="AN59" s="455">
        <v>5.15</v>
      </c>
      <c r="AO59" s="1239"/>
      <c r="AP59" s="1239"/>
      <c r="AQ59" s="484"/>
      <c r="AR59" s="484"/>
      <c r="AS59" s="484"/>
      <c r="AT59" s="484">
        <f>+ab($T$59,$T$57,$T$61,$G$58,$G$60, 1*$F$59,1200)</f>
        <v>14.229028841687986</v>
      </c>
      <c r="AU59" s="638"/>
      <c r="AV59" s="638"/>
      <c r="AW59" s="638" t="str">
        <f>VLOOKUP(C59,'Foundation Calculation'!$A$2:$C$33,3,1)</f>
        <v>Soil B</v>
      </c>
      <c r="AX59" s="638" t="str">
        <f>VLOOKUP(C59,'Foundation Calculation'!$E$2:$G$33,3,1)</f>
        <v>PT</v>
      </c>
      <c r="AY59" s="484">
        <f>IF(AX59="PT",VLOOKUP(L59,'Foundation Calculation'!$K$2:$R$40,VLOOKUP(AW59,'Foundation Calculation'!$I$2:$J$8,2,FALSE),0),IF(AX59="K",VLOOKUP(L59,'Foundation Calculation'!$K$42:$R$80,VLOOKUP(AW59,'Foundation Calculation'!$I$2:$J$8,2,FALSE),0),""))</f>
        <v>3.5</v>
      </c>
      <c r="AZ59" s="484">
        <f>IF(AX59="PT",VLOOKUP(K59,'Foundation Calculation'!$K$2:$R$40,VLOOKUP(AW59,'Foundation Calculation'!$I$2:$J$8,2,FALSE),0),IF(AX59="K",VLOOKUP(K59,'Foundation Calculation'!$K$42:$R$80,VLOOKUP(AW59,'Foundation Calculation'!$I$2:$J$8,2,FALSE),0),""))</f>
        <v>2.8</v>
      </c>
      <c r="BA59" s="671" t="s">
        <v>2809</v>
      </c>
      <c r="BB59" s="1239" t="str">
        <f>Pole_Calculations!A152</f>
        <v>App.7.1-V01-P9.5.1.1</v>
      </c>
      <c r="BC59" s="169"/>
      <c r="BD59" s="1329"/>
      <c r="BE59" s="1329"/>
      <c r="BF59" s="1330"/>
      <c r="BG59" s="1329"/>
    </row>
    <row r="60" spans="1:59" ht="15.65" customHeight="1">
      <c r="A60" s="488" t="s">
        <v>1851</v>
      </c>
      <c r="B60" s="639"/>
      <c r="C60" s="489"/>
      <c r="D60" s="490"/>
      <c r="E60" s="490"/>
      <c r="F60" s="491"/>
      <c r="G60" s="493">
        <v>60</v>
      </c>
      <c r="H60" s="495"/>
      <c r="I60" s="495"/>
      <c r="J60" s="489"/>
      <c r="K60" s="495"/>
      <c r="L60" s="495"/>
      <c r="M60" s="495"/>
      <c r="N60" s="495"/>
      <c r="O60" s="495"/>
      <c r="P60" s="495"/>
      <c r="Q60" s="495"/>
      <c r="R60" s="495"/>
      <c r="S60" s="457"/>
      <c r="T60" s="495"/>
      <c r="U60" s="495"/>
      <c r="V60" s="495"/>
      <c r="W60" s="495"/>
      <c r="X60" s="495"/>
      <c r="Y60" s="495"/>
      <c r="Z60" s="495"/>
      <c r="AA60" s="495"/>
      <c r="AB60" s="495"/>
      <c r="AC60" s="495"/>
      <c r="AD60" s="495"/>
      <c r="AE60" s="495"/>
      <c r="AF60" s="495"/>
      <c r="AG60" s="431"/>
      <c r="AH60" s="495"/>
      <c r="AI60" s="495"/>
      <c r="AJ60" s="495"/>
      <c r="AK60" s="495"/>
      <c r="AL60" s="495"/>
      <c r="AM60" s="495" t="s">
        <v>3669</v>
      </c>
      <c r="AN60" s="457"/>
      <c r="AO60" s="495"/>
      <c r="AP60" s="495"/>
      <c r="AQ60" s="457">
        <f>+FL_1($T$61,-$T$59,$G$60,1200,9.28, 1*$F$61)</f>
        <v>0.43600286799999999</v>
      </c>
      <c r="AR60" s="457"/>
      <c r="AS60" s="457"/>
      <c r="AT60" s="457"/>
      <c r="AU60" s="495"/>
      <c r="AV60" s="495"/>
      <c r="AW60" s="495"/>
      <c r="AX60" s="495"/>
      <c r="AY60" s="457"/>
      <c r="AZ60" s="457"/>
      <c r="BA60" s="1319"/>
      <c r="BB60" s="488"/>
      <c r="BC60" s="169"/>
      <c r="BD60" s="1330"/>
      <c r="BE60" s="1330"/>
      <c r="BF60" s="1330"/>
      <c r="BG60" s="1330"/>
    </row>
    <row r="61" spans="1:59" ht="15.65" customHeight="1">
      <c r="A61" s="1239"/>
      <c r="B61" s="435" t="s">
        <v>3650</v>
      </c>
      <c r="C61" s="446">
        <f>+$C$59+$G$60</f>
        <v>13776.089999999998</v>
      </c>
      <c r="D61" s="638"/>
      <c r="E61" s="638"/>
      <c r="F61" s="447">
        <v>0</v>
      </c>
      <c r="G61" s="484"/>
      <c r="H61" s="1239"/>
      <c r="I61" s="448" t="s">
        <v>1471</v>
      </c>
      <c r="J61" s="446">
        <f>C61-7.5</f>
        <v>13768.589999999998</v>
      </c>
      <c r="K61" s="1239" t="s">
        <v>2788</v>
      </c>
      <c r="L61" s="445" t="s">
        <v>229</v>
      </c>
      <c r="M61" s="638" t="str">
        <f>IF(AX61="PT",VLOOKUP(L61,'Foundation Calculation'!$V$2:$X$40,VLOOKUP(AX61,'Foundation Calculation'!$I$10:$J$13,2,FALSE),0),IF(AX61="K",VLOOKUP(L61,'Foundation Calculation'!$V$42:$X$80,VLOOKUP(AX61,'Foundation Calculation'!$I$10:$J$13,2,FALSE),0),""))</f>
        <v>C3R</v>
      </c>
      <c r="N61" s="1239" t="s">
        <v>144</v>
      </c>
      <c r="O61" s="638"/>
      <c r="P61" s="638"/>
      <c r="Q61" s="638"/>
      <c r="R61" s="638"/>
      <c r="S61" s="484"/>
      <c r="T61" s="638">
        <v>35</v>
      </c>
      <c r="U61" s="638"/>
      <c r="V61" s="638"/>
      <c r="W61" s="638">
        <v>1</v>
      </c>
      <c r="X61" s="638"/>
      <c r="Y61" s="638"/>
      <c r="Z61" s="638"/>
      <c r="AA61" s="638"/>
      <c r="AB61" s="638"/>
      <c r="AC61" s="638" t="str">
        <f>IF(OR(AT61&gt;8,AT61&lt;-8),"PH",IF(OR(AT61&gt;5,AT61&lt;-5),"PH-Q",IF(OR(AT61&gt;1,AT61&lt;-1),"PH-C")))</f>
        <v>PH</v>
      </c>
      <c r="AD61" s="638"/>
      <c r="AE61" s="638"/>
      <c r="AF61" s="638"/>
      <c r="AG61" s="446"/>
      <c r="AH61" s="638"/>
      <c r="AI61" s="638"/>
      <c r="AJ61" s="638"/>
      <c r="AK61" s="638"/>
      <c r="AL61" s="638"/>
      <c r="AM61" s="638" t="s">
        <v>1043</v>
      </c>
      <c r="AN61" s="455">
        <v>5.15</v>
      </c>
      <c r="AO61" s="1239"/>
      <c r="AP61" s="1239"/>
      <c r="AQ61" s="484"/>
      <c r="AR61" s="484"/>
      <c r="AS61" s="484"/>
      <c r="AT61" s="484">
        <f>+ab($T$61,-$T$59,$T$63,$G$60,$G$62, 1*$F$61,1200)</f>
        <v>8.3002133012442592</v>
      </c>
      <c r="AU61" s="638"/>
      <c r="AV61" s="638"/>
      <c r="AW61" s="638" t="str">
        <f>VLOOKUP(C61,'Foundation Calculation'!$A$2:$C$33,3,1)</f>
        <v>Soil B</v>
      </c>
      <c r="AX61" s="638" t="str">
        <f>VLOOKUP(C61,'Foundation Calculation'!$E$2:$G$33,3,1)</f>
        <v>PT</v>
      </c>
      <c r="AY61" s="484">
        <f>IF(AX61="PT",VLOOKUP(L61,'Foundation Calculation'!$K$2:$R$40,VLOOKUP(AW61,'Foundation Calculation'!$I$2:$J$8,2,FALSE),0),IF(AX61="K",VLOOKUP(L61,'Foundation Calculation'!$K$42:$R$80,VLOOKUP(AW61,'Foundation Calculation'!$I$2:$J$8,2,FALSE),0),""))</f>
        <v>3.5</v>
      </c>
      <c r="AZ61" s="484">
        <f>IF(AX61="PT",VLOOKUP(K61,'Foundation Calculation'!$K$2:$R$40,VLOOKUP(AW61,'Foundation Calculation'!$I$2:$J$8,2,FALSE),0),IF(AX61="K",VLOOKUP(K61,'Foundation Calculation'!$K$42:$R$80,VLOOKUP(AW61,'Foundation Calculation'!$I$2:$J$8,2,FALSE),0),""))</f>
        <v>2.8</v>
      </c>
      <c r="BA61" s="671" t="s">
        <v>2809</v>
      </c>
      <c r="BB61" s="1239" t="str">
        <f>Pole_Calculations!A15</f>
        <v>App.7-V11A-P9.5.1.1</v>
      </c>
      <c r="BC61" s="169"/>
      <c r="BD61" s="1329"/>
      <c r="BE61" s="1329"/>
      <c r="BF61" s="1330"/>
      <c r="BG61" s="1329"/>
    </row>
    <row r="62" spans="1:59" ht="15.65" customHeight="1">
      <c r="A62" s="1239"/>
      <c r="B62" s="173"/>
      <c r="C62" s="446"/>
      <c r="D62" s="447"/>
      <c r="E62" s="447"/>
      <c r="F62" s="447"/>
      <c r="G62" s="484">
        <v>62</v>
      </c>
      <c r="H62" s="1239"/>
      <c r="I62" s="1239"/>
      <c r="J62" s="171"/>
      <c r="K62" s="1239"/>
      <c r="L62" s="445"/>
      <c r="M62" s="445"/>
      <c r="N62" s="1239"/>
      <c r="O62" s="1239"/>
      <c r="P62" s="638"/>
      <c r="Q62" s="638"/>
      <c r="R62" s="638"/>
      <c r="S62" s="484"/>
      <c r="T62" s="638"/>
      <c r="U62" s="638"/>
      <c r="V62" s="638"/>
      <c r="W62" s="638"/>
      <c r="X62" s="638"/>
      <c r="Y62" s="638"/>
      <c r="Z62" s="638"/>
      <c r="AA62" s="638"/>
      <c r="AB62" s="638"/>
      <c r="AC62" s="638"/>
      <c r="AD62" s="638"/>
      <c r="AE62" s="638"/>
      <c r="AF62" s="638"/>
      <c r="AG62" s="446"/>
      <c r="AH62" s="638"/>
      <c r="AI62" s="185"/>
      <c r="AJ62" s="445"/>
      <c r="AK62" s="1239"/>
      <c r="AL62" s="638"/>
      <c r="AM62" s="638"/>
      <c r="AN62" s="455"/>
      <c r="AO62" s="1239"/>
      <c r="AP62" s="1239"/>
      <c r="AQ62" s="484">
        <f>+FL_1($T$63,$T$61,$G$62,1200,9.28, 1*$F$63)</f>
        <v>0.45803696196790916</v>
      </c>
      <c r="AR62" s="484"/>
      <c r="AS62" s="484"/>
      <c r="AT62" s="484"/>
      <c r="AU62" s="638"/>
      <c r="AV62" s="638"/>
      <c r="AW62" s="484"/>
      <c r="AX62" s="484"/>
      <c r="AY62" s="484"/>
      <c r="AZ62" s="484"/>
      <c r="BA62" s="671"/>
      <c r="BB62" s="1239"/>
      <c r="BC62" s="169"/>
      <c r="BD62" s="1330"/>
      <c r="BE62" s="1330"/>
      <c r="BF62" s="1330"/>
      <c r="BG62" s="1330"/>
    </row>
    <row r="63" spans="1:59" ht="15.65" customHeight="1">
      <c r="A63" s="1239"/>
      <c r="B63" s="435" t="s">
        <v>3651</v>
      </c>
      <c r="C63" s="446">
        <f>+$C$61+$G$62</f>
        <v>13838.089999999998</v>
      </c>
      <c r="D63" s="447"/>
      <c r="E63" s="447"/>
      <c r="F63" s="448">
        <f>(695^2)/(C63-13843.28)</f>
        <v>-93068.400770671156</v>
      </c>
      <c r="G63" s="484"/>
      <c r="H63" s="1239"/>
      <c r="I63" s="1239"/>
      <c r="J63" s="171"/>
      <c r="K63" s="1239"/>
      <c r="L63" s="445" t="s">
        <v>229</v>
      </c>
      <c r="M63" s="638" t="str">
        <f>IF(AX63="PT",VLOOKUP(L63,'Foundation Calculation'!$V$2:$X$40,VLOOKUP(AX63,'Foundation Calculation'!$I$10:$J$13,2,FALSE),0),IF(AX63="K",VLOOKUP(L63,'Foundation Calculation'!$V$42:$X$80,VLOOKUP(AX63,'Foundation Calculation'!$I$10:$J$13,2,FALSE),0),""))</f>
        <v>C3R</v>
      </c>
      <c r="N63" s="1239" t="s">
        <v>143</v>
      </c>
      <c r="O63" s="1239"/>
      <c r="P63" s="638"/>
      <c r="Q63" s="638"/>
      <c r="R63" s="638"/>
      <c r="S63" s="484"/>
      <c r="T63" s="638">
        <v>-35</v>
      </c>
      <c r="U63" s="638"/>
      <c r="V63" s="638"/>
      <c r="W63" s="638">
        <v>1.2</v>
      </c>
      <c r="X63" s="638"/>
      <c r="Y63" s="638"/>
      <c r="Z63" s="638"/>
      <c r="AA63" s="638"/>
      <c r="AB63" s="638"/>
      <c r="AC63" s="638" t="str">
        <f>IF(OR(AT63&gt;8,AT63&lt;-8),"PH",IF(OR(AT63&gt;5,AT63&lt;-5),"PH-Q",IF(OR(AT63&gt;1,AT63&lt;-1),"PH-C")))</f>
        <v>PH</v>
      </c>
      <c r="AD63" s="638"/>
      <c r="AE63" s="638"/>
      <c r="AF63" s="638"/>
      <c r="AG63" s="446"/>
      <c r="AH63" s="638"/>
      <c r="AI63" s="185"/>
      <c r="AJ63" s="445"/>
      <c r="AK63" s="1239"/>
      <c r="AL63" s="638"/>
      <c r="AM63" s="638" t="s">
        <v>1043</v>
      </c>
      <c r="AN63" s="455">
        <v>5.23</v>
      </c>
      <c r="AO63" s="1239"/>
      <c r="AP63" s="1239"/>
      <c r="AQ63" s="484"/>
      <c r="AR63" s="484"/>
      <c r="AS63" s="484"/>
      <c r="AT63" s="484">
        <f>+ab($T$63,$T$61,$T$65,$G$62,$G$64, 1*$F$63,1200)</f>
        <v>-8.6770043269683832</v>
      </c>
      <c r="AU63" s="638"/>
      <c r="AV63" s="638"/>
      <c r="AW63" s="638" t="str">
        <f>VLOOKUP(C63,'Foundation Calculation'!$A$2:$C$33,3,1)</f>
        <v>Soil B</v>
      </c>
      <c r="AX63" s="638" t="str">
        <f>VLOOKUP(C63,'Foundation Calculation'!$E$2:$G$33,3,1)</f>
        <v>PT</v>
      </c>
      <c r="AY63" s="484">
        <f>IF(AX63="PT",VLOOKUP(L63,'Foundation Calculation'!$K$2:$R$40,VLOOKUP(AW63,'Foundation Calculation'!$I$2:$J$8,2,FALSE),0),IF(AX63="K",VLOOKUP(L63,'Foundation Calculation'!$K$42:$R$80,VLOOKUP(AW63,'Foundation Calculation'!$I$2:$J$8,2,FALSE),0),""))</f>
        <v>3.5</v>
      </c>
      <c r="AZ63" s="484"/>
      <c r="BA63" s="671" t="s">
        <v>2809</v>
      </c>
      <c r="BB63" s="1239" t="str">
        <f>Pole_Calculations!A15</f>
        <v>App.7-V11A-P9.5.1.1</v>
      </c>
      <c r="BC63" s="169"/>
      <c r="BD63" s="1329"/>
      <c r="BE63" s="1329"/>
      <c r="BF63" s="1330"/>
      <c r="BG63" s="1329"/>
    </row>
    <row r="64" spans="1:59" ht="15.65" customHeight="1">
      <c r="A64" s="1239"/>
      <c r="B64" s="1239"/>
      <c r="C64" s="1239"/>
      <c r="D64" s="1239"/>
      <c r="E64" s="1239"/>
      <c r="F64" s="448"/>
      <c r="G64" s="455">
        <v>60</v>
      </c>
      <c r="H64" s="1239"/>
      <c r="I64" s="1239"/>
      <c r="J64" s="171"/>
      <c r="K64" s="1239"/>
      <c r="L64" s="1239"/>
      <c r="M64" s="445"/>
      <c r="N64" s="1239"/>
      <c r="O64" s="1239"/>
      <c r="P64" s="1239"/>
      <c r="Q64" s="1239"/>
      <c r="R64" s="1239"/>
      <c r="S64" s="455"/>
      <c r="T64" s="1239"/>
      <c r="U64" s="1239"/>
      <c r="V64" s="1239"/>
      <c r="W64" s="1239"/>
      <c r="X64" s="1239"/>
      <c r="Y64" s="1239"/>
      <c r="Z64" s="1239"/>
      <c r="AA64" s="1239"/>
      <c r="AB64" s="1239"/>
      <c r="AC64" s="1239"/>
      <c r="AD64" s="1239"/>
      <c r="AE64" s="1239"/>
      <c r="AF64" s="1239"/>
      <c r="AG64" s="171"/>
      <c r="AH64" s="1239"/>
      <c r="AI64" s="1239"/>
      <c r="AJ64" s="1239"/>
      <c r="AK64" s="1239"/>
      <c r="AL64" s="1239"/>
      <c r="AM64" s="1239"/>
      <c r="AN64" s="455"/>
      <c r="AO64" s="1239"/>
      <c r="AP64" s="1239"/>
      <c r="AQ64" s="455">
        <f>+FL_2($T$65,$T$63,$G$64,1200,9.28, 1*$F$65)</f>
        <v>-0.41885254555518536</v>
      </c>
      <c r="AR64" s="455"/>
      <c r="AS64" s="455"/>
      <c r="AT64" s="455"/>
      <c r="AU64" s="1239"/>
      <c r="AV64" s="1239"/>
      <c r="AW64" s="1239"/>
      <c r="AX64" s="1239"/>
      <c r="AY64" s="484"/>
      <c r="AZ64" s="455"/>
      <c r="BA64" s="1314"/>
      <c r="BB64" s="1239"/>
      <c r="BC64" s="169"/>
      <c r="BD64" s="1330"/>
      <c r="BE64" s="1330"/>
      <c r="BF64" s="1330"/>
      <c r="BG64" s="1330"/>
    </row>
    <row r="65" spans="1:59" ht="15.65" customHeight="1">
      <c r="A65" s="1239"/>
      <c r="B65" s="572" t="s">
        <v>3652</v>
      </c>
      <c r="C65" s="171">
        <f>+$C$63+$G$64</f>
        <v>13898.089999999998</v>
      </c>
      <c r="D65" s="1239"/>
      <c r="E65" s="1239"/>
      <c r="F65" s="448">
        <v>-7996.49</v>
      </c>
      <c r="G65" s="455"/>
      <c r="H65" s="1239"/>
      <c r="I65" s="1239"/>
      <c r="J65" s="171"/>
      <c r="K65" s="1239"/>
      <c r="L65" s="1239" t="s">
        <v>229</v>
      </c>
      <c r="M65" s="638" t="str">
        <f>IF(AX65="PT",VLOOKUP(L65,'Foundation Calculation'!$V$2:$X$40,VLOOKUP(AX65,'Foundation Calculation'!$I$10:$J$13,2,FALSE),0),IF(AX65="K",VLOOKUP(L65,'Foundation Calculation'!$V$42:$X$80,VLOOKUP(AX65,'Foundation Calculation'!$I$10:$J$13,2,FALSE),0),""))</f>
        <v>C3R</v>
      </c>
      <c r="N65" s="1239" t="s">
        <v>144</v>
      </c>
      <c r="O65" s="1239"/>
      <c r="P65" s="1239"/>
      <c r="Q65" s="1239"/>
      <c r="R65" s="1239"/>
      <c r="S65" s="455"/>
      <c r="T65" s="1239">
        <v>25</v>
      </c>
      <c r="U65" s="1239"/>
      <c r="V65" s="1239"/>
      <c r="W65" s="638">
        <v>1.4</v>
      </c>
      <c r="X65" s="1239"/>
      <c r="Y65" s="1239"/>
      <c r="Z65" s="1239"/>
      <c r="AA65" s="1239"/>
      <c r="AB65" s="1239"/>
      <c r="AC65" s="1239" t="str">
        <f>IF(OR(AT65&gt;8,AT65&lt;-8),"PH",IF(OR(AT65&gt;5,AT65&lt;-5),"PH-Q",IF(OR(AT65&gt;1,AT65&lt;-1),"PH-C")))</f>
        <v>PH</v>
      </c>
      <c r="AD65" s="1239"/>
      <c r="AE65" s="1239"/>
      <c r="AF65" s="1239"/>
      <c r="AG65" s="171"/>
      <c r="AH65" s="1239"/>
      <c r="AI65" s="1239"/>
      <c r="AJ65" s="1239"/>
      <c r="AK65" s="1239"/>
      <c r="AL65" s="1239"/>
      <c r="AM65" s="1239" t="s">
        <v>1043</v>
      </c>
      <c r="AN65" s="455">
        <v>5.33</v>
      </c>
      <c r="AO65" s="1239"/>
      <c r="AP65" s="1239"/>
      <c r="AQ65" s="455"/>
      <c r="AR65" s="455"/>
      <c r="AS65" s="455"/>
      <c r="AT65" s="455">
        <f>+ab($T$65,$T$63,$T$67,$G$64,$G$66, 1*$F$65,1200)</f>
        <v>15.002890290055255</v>
      </c>
      <c r="AU65" s="1239"/>
      <c r="AV65" s="1239"/>
      <c r="AW65" s="638" t="str">
        <f>VLOOKUP(C65,'Foundation Calculation'!$A$2:$C$33,3,1)</f>
        <v>Soil B</v>
      </c>
      <c r="AX65" s="638" t="str">
        <f>VLOOKUP(C65,'Foundation Calculation'!$E$2:$G$33,3,1)</f>
        <v>PT</v>
      </c>
      <c r="AY65" s="484">
        <f>IF(AX65="PT",VLOOKUP(L65,'Foundation Calculation'!$K$2:$R$40,VLOOKUP(AW65,'Foundation Calculation'!$I$2:$J$8,2,FALSE),0),IF(AX65="K",VLOOKUP(L65,'Foundation Calculation'!$K$42:$R$80,VLOOKUP(AW65,'Foundation Calculation'!$I$2:$J$8,2,FALSE),0),""))</f>
        <v>3.5</v>
      </c>
      <c r="AZ65" s="484"/>
      <c r="BA65" s="671" t="s">
        <v>2809</v>
      </c>
      <c r="BB65" s="1239" t="str">
        <f>Pole_Calculations!A15</f>
        <v>App.7-V11A-P9.5.1.1</v>
      </c>
      <c r="BC65" s="169"/>
      <c r="BD65" s="1329"/>
      <c r="BE65" s="1329"/>
      <c r="BF65" s="1330"/>
      <c r="BG65" s="1329"/>
    </row>
    <row r="66" spans="1:59" ht="15.65" customHeight="1">
      <c r="A66" s="1239"/>
      <c r="B66" s="1239"/>
      <c r="C66" s="1239"/>
      <c r="D66" s="1239"/>
      <c r="E66" s="1239"/>
      <c r="F66" s="448"/>
      <c r="G66" s="455">
        <v>60</v>
      </c>
      <c r="H66" s="1239"/>
      <c r="I66" s="1239"/>
      <c r="J66" s="171"/>
      <c r="K66" s="1239"/>
      <c r="L66" s="1239"/>
      <c r="M66" s="445"/>
      <c r="N66" s="1239"/>
      <c r="O66" s="1239"/>
      <c r="P66" s="1239"/>
      <c r="Q66" s="1239"/>
      <c r="R66" s="1239"/>
      <c r="S66" s="455"/>
      <c r="T66" s="1239"/>
      <c r="U66" s="1239"/>
      <c r="V66" s="1239"/>
      <c r="W66" s="1239"/>
      <c r="X66" s="1239"/>
      <c r="Y66" s="1239"/>
      <c r="Z66" s="1239"/>
      <c r="AA66" s="1239"/>
      <c r="AB66" s="1239"/>
      <c r="AC66" s="1239"/>
      <c r="AD66" s="1239"/>
      <c r="AE66" s="1239"/>
      <c r="AF66" s="1239"/>
      <c r="AG66" s="171"/>
      <c r="AH66" s="1239"/>
      <c r="AI66" s="1239"/>
      <c r="AJ66" s="1239"/>
      <c r="AK66" s="1239"/>
      <c r="AL66" s="1239"/>
      <c r="AM66" s="1239"/>
      <c r="AN66" s="455"/>
      <c r="AO66" s="1239"/>
      <c r="AP66" s="1239"/>
      <c r="AQ66" s="455">
        <f>+FL_2($T$67,$T$65,$G$66,1200,9.28, 1*$F$67)</f>
        <v>-0.41885254555518397</v>
      </c>
      <c r="AR66" s="455"/>
      <c r="AS66" s="455"/>
      <c r="AT66" s="455"/>
      <c r="AU66" s="1239"/>
      <c r="AV66" s="1239"/>
      <c r="AW66" s="1239"/>
      <c r="AX66" s="1239"/>
      <c r="AY66" s="484"/>
      <c r="AZ66" s="455"/>
      <c r="BA66" s="1314"/>
      <c r="BB66" s="1239"/>
      <c r="BC66" s="169"/>
      <c r="BD66" s="1330"/>
      <c r="BE66" s="1330"/>
      <c r="BF66" s="1330"/>
      <c r="BG66" s="1330"/>
    </row>
    <row r="67" spans="1:59" ht="15.65" customHeight="1">
      <c r="A67" s="1239"/>
      <c r="B67" s="572" t="s">
        <v>3653</v>
      </c>
      <c r="C67" s="171">
        <f>+$C$65+$G$66</f>
        <v>13958.089999999998</v>
      </c>
      <c r="D67" s="1239"/>
      <c r="E67" s="1239"/>
      <c r="F67" s="448">
        <v>-7996.49</v>
      </c>
      <c r="G67" s="455"/>
      <c r="H67" s="1239"/>
      <c r="I67" s="1239"/>
      <c r="J67" s="171"/>
      <c r="K67" s="1239"/>
      <c r="L67" s="1239" t="s">
        <v>229</v>
      </c>
      <c r="M67" s="638" t="str">
        <f>IF(AX67="PT",VLOOKUP(L67,'Foundation Calculation'!$V$2:$X$40,VLOOKUP(AX67,'Foundation Calculation'!$I$10:$J$13,2,FALSE),0),IF(AX67="K",VLOOKUP(L67,'Foundation Calculation'!$V$42:$X$80,VLOOKUP(AX67,'Foundation Calculation'!$I$10:$J$13,2,FALSE),0),""))</f>
        <v>C3R</v>
      </c>
      <c r="N67" s="1239" t="s">
        <v>143</v>
      </c>
      <c r="O67" s="1239"/>
      <c r="P67" s="1239"/>
      <c r="Q67" s="1239"/>
      <c r="R67" s="1239"/>
      <c r="S67" s="455"/>
      <c r="T67" s="1239">
        <v>-35</v>
      </c>
      <c r="U67" s="1239"/>
      <c r="V67" s="1239"/>
      <c r="W67" s="1239">
        <v>1.4</v>
      </c>
      <c r="X67" s="1239"/>
      <c r="Y67" s="1239"/>
      <c r="Z67" s="1239"/>
      <c r="AA67" s="1239"/>
      <c r="AB67" s="1239"/>
      <c r="AC67" s="1239" t="str">
        <f>IF(OR(AT67&gt;8,AT67&lt;-8),"PH",IF(OR(AT67&gt;5,AT67&lt;-5),"PH-Q",IF(OR(AT67&gt;1,AT67&lt;-1),"PH-C")))</f>
        <v>PH-Q</v>
      </c>
      <c r="AD67" s="1239"/>
      <c r="AE67" s="1239"/>
      <c r="AF67" s="1239"/>
      <c r="AG67" s="171"/>
      <c r="AH67" s="1239"/>
      <c r="AI67" s="1239"/>
      <c r="AJ67" s="1239"/>
      <c r="AK67" s="1239"/>
      <c r="AL67" s="1239"/>
      <c r="AM67" s="1239" t="s">
        <v>1043</v>
      </c>
      <c r="AN67" s="455">
        <v>5.42</v>
      </c>
      <c r="AO67" s="1239"/>
      <c r="AP67" s="1239"/>
      <c r="AQ67" s="455"/>
      <c r="AR67" s="455"/>
      <c r="AS67" s="455"/>
      <c r="AT67" s="455">
        <f>+ab($T$67,$T$65,$T$69,$G$66,$G$68, 1*$F$67,1200)</f>
        <v>-6.9428964285738219</v>
      </c>
      <c r="AU67" s="1239"/>
      <c r="AV67" s="1239"/>
      <c r="AW67" s="638" t="str">
        <f>VLOOKUP(C67,'Foundation Calculation'!$A$2:$C$33,3,1)</f>
        <v>Soil B</v>
      </c>
      <c r="AX67" s="638" t="str">
        <f>VLOOKUP(C67,'Foundation Calculation'!$E$2:$G$33,3,1)</f>
        <v>PT</v>
      </c>
      <c r="AY67" s="484">
        <f>IF(AX67="PT",VLOOKUP(L67,'Foundation Calculation'!$K$2:$R$40,VLOOKUP(AW67,'Foundation Calculation'!$I$2:$J$8,2,FALSE),0),IF(AX67="K",VLOOKUP(L67,'Foundation Calculation'!$K$42:$R$80,VLOOKUP(AW67,'Foundation Calculation'!$I$2:$J$8,2,FALSE),0),""))</f>
        <v>3.5</v>
      </c>
      <c r="AZ67" s="484"/>
      <c r="BA67" s="671" t="s">
        <v>2809</v>
      </c>
      <c r="BB67" s="1239" t="str">
        <f>Pole_Calculations!A15</f>
        <v>App.7-V11A-P9.5.1.1</v>
      </c>
      <c r="BC67" s="169"/>
      <c r="BD67" s="1329"/>
      <c r="BE67" s="1329"/>
      <c r="BF67" s="1330"/>
      <c r="BG67" s="1329"/>
    </row>
    <row r="68" spans="1:59">
      <c r="A68" s="1239"/>
      <c r="B68" s="1239"/>
      <c r="C68" s="1239"/>
      <c r="D68" s="1239"/>
      <c r="E68" s="1239"/>
      <c r="F68" s="448"/>
      <c r="G68" s="455">
        <v>60</v>
      </c>
      <c r="H68" s="1239"/>
      <c r="I68" s="1239"/>
      <c r="J68" s="171"/>
      <c r="K68" s="1239"/>
      <c r="L68" s="1239"/>
      <c r="M68" s="445"/>
      <c r="N68" s="1239"/>
      <c r="O68" s="1239"/>
      <c r="P68" s="1239"/>
      <c r="Q68" s="1239"/>
      <c r="R68" s="1239"/>
      <c r="S68" s="455"/>
      <c r="T68" s="1239"/>
      <c r="U68" s="1239"/>
      <c r="V68" s="1239"/>
      <c r="W68" s="1239"/>
      <c r="X68" s="1239"/>
      <c r="Y68" s="1239"/>
      <c r="Z68" s="1239"/>
      <c r="AA68" s="1239"/>
      <c r="AB68" s="1239"/>
      <c r="AC68" s="1239"/>
      <c r="AD68" s="1239"/>
      <c r="AE68" s="1239"/>
      <c r="AF68" s="1239"/>
      <c r="AG68" s="171"/>
      <c r="AH68" s="1239"/>
      <c r="AI68" s="1239"/>
      <c r="AJ68" s="1239"/>
      <c r="AK68" s="1239"/>
      <c r="AL68" s="1239"/>
      <c r="AM68" s="1239"/>
      <c r="AN68" s="455"/>
      <c r="AO68" s="1239"/>
      <c r="AP68" s="1239"/>
      <c r="AQ68" s="455">
        <f>+FL_2($T$69,$T$67,$G$68,1200,9.28, 1*$F$69)</f>
        <v>-0.41885254555518536</v>
      </c>
      <c r="AR68" s="455"/>
      <c r="AS68" s="455"/>
      <c r="AT68" s="455"/>
      <c r="AU68" s="1239"/>
      <c r="AV68" s="1239"/>
      <c r="AW68" s="1239"/>
      <c r="AX68" s="1239"/>
      <c r="AY68" s="484"/>
      <c r="AZ68" s="455"/>
      <c r="BA68" s="1314"/>
      <c r="BB68" s="1239"/>
      <c r="BC68" s="169"/>
      <c r="BD68" s="1330"/>
      <c r="BE68" s="1330"/>
      <c r="BF68" s="1330"/>
      <c r="BG68" s="1330"/>
    </row>
    <row r="69" spans="1:59" ht="15.65" customHeight="1">
      <c r="A69" s="1239"/>
      <c r="B69" s="572" t="s">
        <v>3654</v>
      </c>
      <c r="C69" s="171">
        <f>+$C$67+$G$68</f>
        <v>14018.089999999998</v>
      </c>
      <c r="D69" s="1239"/>
      <c r="E69" s="1239"/>
      <c r="F69" s="448">
        <v>-7996.49</v>
      </c>
      <c r="G69" s="455"/>
      <c r="H69" s="1239"/>
      <c r="I69" s="448"/>
      <c r="J69" s="446"/>
      <c r="K69" s="1239"/>
      <c r="L69" s="1239" t="s">
        <v>229</v>
      </c>
      <c r="M69" s="638" t="str">
        <f>IF(AX69="PT",VLOOKUP(L69,'Foundation Calculation'!$V$2:$X$40,VLOOKUP(AX69,'Foundation Calculation'!$I$10:$J$13,2,FALSE),0),IF(AX69="K",VLOOKUP(L69,'Foundation Calculation'!$V$42:$X$80,VLOOKUP(AX69,'Foundation Calculation'!$I$10:$J$13,2,FALSE),0),""))</f>
        <v>C3R</v>
      </c>
      <c r="N69" s="1239" t="s">
        <v>144</v>
      </c>
      <c r="O69" s="1239"/>
      <c r="P69" s="1239"/>
      <c r="Q69" s="1239"/>
      <c r="R69" s="1239"/>
      <c r="S69" s="455"/>
      <c r="T69" s="1239">
        <v>25</v>
      </c>
      <c r="U69" s="1239"/>
      <c r="V69" s="1239"/>
      <c r="W69" s="1239">
        <v>1.4</v>
      </c>
      <c r="X69" s="1239"/>
      <c r="Y69" s="1239"/>
      <c r="Z69" s="1239"/>
      <c r="AA69" s="1239"/>
      <c r="AB69" s="1239"/>
      <c r="AC69" s="1239" t="str">
        <f>IF(OR(AT69&gt;8,AT69&lt;-8),"PH",IF(OR(AT69&gt;5,AT69&lt;-5),"PH-Q",IF(OR(AT69&gt;1,AT69&lt;-1),"PH-C")))</f>
        <v>PH</v>
      </c>
      <c r="AD69" s="1239"/>
      <c r="AE69" s="1239"/>
      <c r="AF69" s="1239"/>
      <c r="AG69" s="171"/>
      <c r="AH69" s="1239"/>
      <c r="AI69" s="1239"/>
      <c r="AJ69" s="1239"/>
      <c r="AK69" s="1239"/>
      <c r="AL69" s="1239"/>
      <c r="AM69" s="1239" t="s">
        <v>1043</v>
      </c>
      <c r="AN69" s="455">
        <v>5.5</v>
      </c>
      <c r="AO69" s="1239"/>
      <c r="AP69" s="1239"/>
      <c r="AQ69" s="455"/>
      <c r="AR69" s="455"/>
      <c r="AS69" s="455"/>
      <c r="AT69" s="455">
        <f>+ab($T$69,$T$67,$T$71,$G$68,$G$70, 1*$F$69,1200)</f>
        <v>15.002890290055255</v>
      </c>
      <c r="AU69" s="1239"/>
      <c r="AV69" s="1239"/>
      <c r="AW69" s="638" t="str">
        <f>VLOOKUP(C69,'Foundation Calculation'!$A$2:$C$33,3,1)</f>
        <v>Soil B</v>
      </c>
      <c r="AX69" s="638" t="str">
        <f>VLOOKUP(C69,'Foundation Calculation'!$E$2:$G$33,3,1)</f>
        <v>PT</v>
      </c>
      <c r="AY69" s="484">
        <f>IF(AX69="PT",VLOOKUP(L69,'Foundation Calculation'!$K$2:$R$40,VLOOKUP(AW69,'Foundation Calculation'!$I$2:$J$8,2,FALSE),0),IF(AX69="K",VLOOKUP(L69,'Foundation Calculation'!$K$42:$R$80,VLOOKUP(AW69,'Foundation Calculation'!$I$2:$J$8,2,FALSE),0),""))</f>
        <v>3.5</v>
      </c>
      <c r="AZ69" s="484"/>
      <c r="BA69" s="671" t="s">
        <v>2809</v>
      </c>
      <c r="BB69" s="1239" t="str">
        <f>Pole_Calculations!A15</f>
        <v>App.7-V11A-P9.5.1.1</v>
      </c>
      <c r="BC69" s="169"/>
      <c r="BD69" s="1329"/>
      <c r="BE69" s="1329"/>
      <c r="BF69" s="1330"/>
      <c r="BG69" s="1329"/>
    </row>
    <row r="70" spans="1:59" ht="15.65" customHeight="1">
      <c r="A70" s="1239"/>
      <c r="B70" s="1239"/>
      <c r="C70" s="1239"/>
      <c r="D70" s="1239"/>
      <c r="E70" s="1239"/>
      <c r="F70" s="448"/>
      <c r="G70" s="455">
        <v>60</v>
      </c>
      <c r="H70" s="1239"/>
      <c r="I70" s="448"/>
      <c r="J70" s="446">
        <f>C71-7.5</f>
        <v>14070.589999999998</v>
      </c>
      <c r="K70" s="1239" t="s">
        <v>2788</v>
      </c>
      <c r="L70" s="1239"/>
      <c r="M70" s="445"/>
      <c r="N70" s="1239"/>
      <c r="O70" s="1239"/>
      <c r="P70" s="1239"/>
      <c r="Q70" s="1239"/>
      <c r="R70" s="1239"/>
      <c r="S70" s="455"/>
      <c r="T70" s="1239"/>
      <c r="U70" s="1239"/>
      <c r="V70" s="1239"/>
      <c r="W70" s="1239"/>
      <c r="X70" s="1239"/>
      <c r="Y70" s="1239"/>
      <c r="Z70" s="1239"/>
      <c r="AA70" s="1239"/>
      <c r="AB70" s="1239"/>
      <c r="AC70" s="1239"/>
      <c r="AD70" s="1239"/>
      <c r="AE70" s="1239"/>
      <c r="AF70" s="1239"/>
      <c r="AG70" s="171"/>
      <c r="AH70" s="1239"/>
      <c r="AI70" s="1239"/>
      <c r="AJ70" s="1239"/>
      <c r="AK70" s="1239"/>
      <c r="AL70" s="1239"/>
      <c r="AM70" s="1239"/>
      <c r="AN70" s="455"/>
      <c r="AO70" s="1239"/>
      <c r="AP70" s="1239"/>
      <c r="AQ70" s="455">
        <f>+FL_2($T$71,$T$69,$G$70,1200,9.28, 1*$F$71)</f>
        <v>-0.4329786383019128</v>
      </c>
      <c r="AR70" s="455"/>
      <c r="AS70" s="455"/>
      <c r="AT70" s="455"/>
      <c r="AU70" s="1239"/>
      <c r="AV70" s="1239"/>
      <c r="AW70" s="638" t="str">
        <f>VLOOKUP(J70,'Foundation Calculation'!$A$2:$C$33,3,1)</f>
        <v>Soil B</v>
      </c>
      <c r="AX70" s="638" t="str">
        <f>VLOOKUP(J70,'Foundation Calculation'!$E$2:$G$33,3,1)</f>
        <v>PT</v>
      </c>
      <c r="AY70" s="484"/>
      <c r="AZ70" s="484">
        <f>IF(AX70="PT",VLOOKUP(K70,'Foundation Calculation'!$K$2:$R$40,VLOOKUP(AW70,'Foundation Calculation'!$I$2:$J$8,2,FALSE),0),IF(AX70="K",VLOOKUP(K70,'Foundation Calculation'!$K$42:$R$80,VLOOKUP(AW70,'Foundation Calculation'!$I$2:$J$8,2,FALSE),0),""))</f>
        <v>2.8</v>
      </c>
      <c r="BA70" s="671" t="s">
        <v>2809</v>
      </c>
      <c r="BB70" s="1239"/>
      <c r="BC70" s="169"/>
      <c r="BD70" s="1329"/>
      <c r="BE70" s="1330"/>
      <c r="BF70" s="1330"/>
      <c r="BG70" s="1330"/>
    </row>
    <row r="71" spans="1:59" ht="15.65" customHeight="1">
      <c r="A71" s="1239"/>
      <c r="B71" s="572" t="s">
        <v>3655</v>
      </c>
      <c r="C71" s="171">
        <f>+$C$69+$G$70</f>
        <v>14078.089999999998</v>
      </c>
      <c r="D71" s="1239"/>
      <c r="E71" s="1239"/>
      <c r="F71" s="448">
        <f>-(693^2)/(C71-14038.09)</f>
        <v>-12006.225000000546</v>
      </c>
      <c r="G71" s="455"/>
      <c r="H71" s="1239" t="s">
        <v>873</v>
      </c>
      <c r="I71" s="448"/>
      <c r="J71" s="446"/>
      <c r="K71" s="1239"/>
      <c r="L71" s="1239" t="s">
        <v>230</v>
      </c>
      <c r="M71" s="638" t="str">
        <f>IF(AX71="PT",VLOOKUP(L71,'Foundation Calculation'!$V$2:$X$40,VLOOKUP(AX71,'Foundation Calculation'!$I$10:$J$13,2,FALSE),0),IF(AX71="K",VLOOKUP(L71,'Foundation Calculation'!$V$42:$X$80,VLOOKUP(AX71,'Foundation Calculation'!$I$10:$J$13,2,FALSE),0),""))</f>
        <v>C4R</v>
      </c>
      <c r="N71" s="1239" t="s">
        <v>143</v>
      </c>
      <c r="O71" s="1239"/>
      <c r="P71" s="1239"/>
      <c r="Q71" s="1239"/>
      <c r="R71" s="1239"/>
      <c r="S71" s="455"/>
      <c r="T71" s="1239">
        <v>-35</v>
      </c>
      <c r="U71" s="1239"/>
      <c r="V71" s="1239"/>
      <c r="W71" s="1239">
        <v>1.4</v>
      </c>
      <c r="X71" s="1239"/>
      <c r="Y71" s="1239"/>
      <c r="Z71" s="1239"/>
      <c r="AA71" s="1239"/>
      <c r="AB71" s="1239"/>
      <c r="AC71" s="1239" t="str">
        <f>IF(OR(AT71&gt;8,AT71&lt;-8),"PH",IF(OR(AT71&gt;5,AT71&lt;-5),"PH-Q",IF(OR(AT71&gt;1,AT71&lt;-1),"PH-C")))</f>
        <v>PH-Q</v>
      </c>
      <c r="AD71" s="1239"/>
      <c r="AE71" s="1239"/>
      <c r="AF71" s="1239"/>
      <c r="AG71" s="171"/>
      <c r="AH71" s="1239"/>
      <c r="AI71" s="1239"/>
      <c r="AJ71" s="1239"/>
      <c r="AK71" s="1239"/>
      <c r="AL71" s="1239"/>
      <c r="AM71" s="1239" t="s">
        <v>1043</v>
      </c>
      <c r="AN71" s="455">
        <v>5.5</v>
      </c>
      <c r="AO71" s="1239"/>
      <c r="AP71" s="1239"/>
      <c r="AQ71" s="455"/>
      <c r="AR71" s="455"/>
      <c r="AS71" s="455"/>
      <c r="AT71" s="455">
        <f>+ab($T$71,$T$69,$T$73,$G$70,$G$72, 1*$F$71,1200)</f>
        <v>-7.1591819126868472</v>
      </c>
      <c r="AU71" s="1239"/>
      <c r="AV71" s="1239"/>
      <c r="AW71" s="638" t="str">
        <f>VLOOKUP(C71,'Foundation Calculation'!$A$2:$C$33,3,1)</f>
        <v>Soil B</v>
      </c>
      <c r="AX71" s="638" t="str">
        <f>VLOOKUP(C71,'Foundation Calculation'!$E$2:$G$33,3,1)</f>
        <v>PT</v>
      </c>
      <c r="AY71" s="484">
        <f>IF(AX71="PT",VLOOKUP(L71,'Foundation Calculation'!$K$2:$R$40,VLOOKUP(AW71,'Foundation Calculation'!$I$2:$J$8,2,FALSE),0),IF(AX71="K",VLOOKUP(L71,'Foundation Calculation'!$K$42:$R$80,VLOOKUP(AW71,'Foundation Calculation'!$I$2:$J$8,2,FALSE),0),""))</f>
        <v>3.5</v>
      </c>
      <c r="AZ71" s="484"/>
      <c r="BA71" s="671" t="s">
        <v>2809</v>
      </c>
      <c r="BB71" s="1239" t="str">
        <f>Pole_Calculations!A17</f>
        <v>App.7-V11A-P9.5.1.3</v>
      </c>
      <c r="BC71" s="169"/>
      <c r="BD71" s="1329"/>
      <c r="BE71" s="1329"/>
      <c r="BF71" s="1330"/>
      <c r="BG71" s="1329"/>
    </row>
    <row r="72" spans="1:59" ht="25">
      <c r="A72" s="580" t="s">
        <v>4007</v>
      </c>
      <c r="B72" s="447"/>
      <c r="C72" s="1332" t="s">
        <v>3666</v>
      </c>
      <c r="D72" s="638"/>
      <c r="E72" s="638"/>
      <c r="F72" s="447"/>
      <c r="G72" s="484">
        <v>60</v>
      </c>
      <c r="H72" s="1239"/>
      <c r="I72" s="448">
        <f>14138.28-C51</f>
        <v>638.9900000000016</v>
      </c>
      <c r="J72" s="446"/>
      <c r="K72" s="1239"/>
      <c r="L72" s="1239"/>
      <c r="M72" s="445"/>
      <c r="N72" s="1239"/>
      <c r="O72" s="1239"/>
      <c r="P72" s="1239"/>
      <c r="Q72" s="1239"/>
      <c r="R72" s="1239"/>
      <c r="S72" s="455"/>
      <c r="T72" s="1239"/>
      <c r="U72" s="1239"/>
      <c r="V72" s="1239"/>
      <c r="W72" s="1239"/>
      <c r="X72" s="1239"/>
      <c r="Y72" s="1239"/>
      <c r="Z72" s="1239"/>
      <c r="AA72" s="1239"/>
      <c r="AB72" s="1239"/>
      <c r="AC72" s="1239"/>
      <c r="AD72" s="1239"/>
      <c r="AE72" s="1239"/>
      <c r="AF72" s="1239"/>
      <c r="AG72" s="171"/>
      <c r="AH72" s="1239"/>
      <c r="AI72" s="1239"/>
      <c r="AJ72" s="1239"/>
      <c r="AK72" s="1239"/>
      <c r="AL72" s="1239"/>
      <c r="AM72" s="1239"/>
      <c r="AN72" s="455"/>
      <c r="AO72" s="1239"/>
      <c r="AP72" s="1239"/>
      <c r="AQ72" s="455">
        <f>+FL_1($T$73,$T$71,$G$72,1200,9.28, 1*$F$73)</f>
        <v>0.43600286799999999</v>
      </c>
      <c r="AR72" s="455"/>
      <c r="AS72" s="455"/>
      <c r="AT72" s="455"/>
      <c r="AU72" s="1239"/>
      <c r="AV72" s="1239"/>
      <c r="AW72" s="1239"/>
      <c r="AX72" s="1239"/>
      <c r="AY72" s="484"/>
      <c r="AZ72" s="455"/>
      <c r="BA72" s="1314"/>
      <c r="BB72" s="580"/>
      <c r="BC72" s="169"/>
      <c r="BD72" s="1330"/>
      <c r="BE72" s="1330"/>
      <c r="BF72" s="1330"/>
      <c r="BG72" s="1330"/>
    </row>
    <row r="73" spans="1:59" ht="15.65" customHeight="1">
      <c r="A73" s="449"/>
      <c r="B73" s="435" t="s">
        <v>4144</v>
      </c>
      <c r="C73" s="446">
        <v>82565.41</v>
      </c>
      <c r="D73" s="638"/>
      <c r="E73" s="638"/>
      <c r="F73" s="448">
        <v>0</v>
      </c>
      <c r="G73" s="455"/>
      <c r="H73" s="1239" t="s">
        <v>874</v>
      </c>
      <c r="I73" s="448"/>
      <c r="J73" s="446"/>
      <c r="K73" s="1239"/>
      <c r="L73" s="1239" t="s">
        <v>229</v>
      </c>
      <c r="M73" s="638" t="str">
        <f>IF(AX73="PT",VLOOKUP(L73,'Foundation Calculation'!$V$2:$X$40,VLOOKUP(AX73,'Foundation Calculation'!$I$10:$J$13,2,FALSE),0),IF(AX73="K",VLOOKUP(L73,'Foundation Calculation'!$V$42:$X$80,VLOOKUP(AX73,'Foundation Calculation'!$I$10:$J$13,2,FALSE),0),""))</f>
        <v>C3R</v>
      </c>
      <c r="N73" s="1239" t="s">
        <v>144</v>
      </c>
      <c r="O73" s="1239"/>
      <c r="P73" s="1239"/>
      <c r="Q73" s="1239"/>
      <c r="R73" s="1239"/>
      <c r="S73" s="455"/>
      <c r="T73" s="1239">
        <v>35</v>
      </c>
      <c r="U73" s="1239"/>
      <c r="V73" s="1239"/>
      <c r="W73" s="1239">
        <v>1.4</v>
      </c>
      <c r="X73" s="1239"/>
      <c r="Y73" s="1239"/>
      <c r="Z73" s="1239"/>
      <c r="AA73" s="1239"/>
      <c r="AB73" s="1239"/>
      <c r="AC73" s="1239" t="str">
        <f>IF(OR(AT73&gt;8,AT73&lt;-8),"PH",IF(OR(AT73&gt;5,AT73&lt;-5),"PH-Q",IF(OR(AT73&gt;1,AT73&lt;-1),"PH-C")))</f>
        <v>PH</v>
      </c>
      <c r="AD73" s="1239"/>
      <c r="AE73" s="1239"/>
      <c r="AF73" s="1239"/>
      <c r="AG73" s="171"/>
      <c r="AH73" s="1239"/>
      <c r="AI73" s="1239"/>
      <c r="AJ73" s="1239"/>
      <c r="AK73" s="1239"/>
      <c r="AL73" s="1239"/>
      <c r="AM73" s="1239" t="s">
        <v>1043</v>
      </c>
      <c r="AN73" s="455">
        <v>5.5</v>
      </c>
      <c r="AO73" s="1239"/>
      <c r="AP73" s="1239"/>
      <c r="AQ73" s="455"/>
      <c r="AR73" s="455"/>
      <c r="AS73" s="455"/>
      <c r="AT73" s="455">
        <f>+ab($T$73,$T$71,$T$75,$G$72,$G$74, 1*$F$73,1200)</f>
        <v>8.1681606014296726</v>
      </c>
      <c r="AU73" s="1239"/>
      <c r="AV73" s="1239"/>
      <c r="AW73" s="638" t="str">
        <f>VLOOKUP(C73,'Foundation Calculation'!$A$2:$C$33,3,1)</f>
        <v>Soil A</v>
      </c>
      <c r="AX73" s="638" t="str">
        <f>VLOOKUP(C73,'Foundation Calculation'!$E$2:$G$33,3,1)</f>
        <v>PT</v>
      </c>
      <c r="AY73" s="484">
        <f>IF(AX73="PT",VLOOKUP(L73,'Foundation Calculation'!$K$2:$R$40,VLOOKUP(AW73,'Foundation Calculation'!$I$2:$J$8,2,FALSE),0),IF(AX73="K",VLOOKUP(L73,'Foundation Calculation'!$K$42:$R$80,VLOOKUP(AW73,'Foundation Calculation'!$I$2:$J$8,2,FALSE),0),""))</f>
        <v>3.5</v>
      </c>
      <c r="AZ73" s="484"/>
      <c r="BA73" s="671" t="s">
        <v>2809</v>
      </c>
      <c r="BB73" s="1239" t="str">
        <f>Pole_Calculations!A16</f>
        <v>App.7-V11A-P9.5.1.2</v>
      </c>
      <c r="BC73" s="169"/>
      <c r="BD73" s="1329"/>
      <c r="BE73" s="1329"/>
      <c r="BF73" s="1330"/>
      <c r="BG73" s="1329"/>
    </row>
    <row r="74" spans="1:59" ht="15.65" customHeight="1">
      <c r="A74" s="449"/>
      <c r="B74" s="173"/>
      <c r="C74" s="446"/>
      <c r="D74" s="638"/>
      <c r="E74" s="638"/>
      <c r="F74" s="447"/>
      <c r="G74" s="484">
        <v>60</v>
      </c>
      <c r="H74" s="1239"/>
      <c r="I74" s="448">
        <v>602</v>
      </c>
      <c r="J74" s="446"/>
      <c r="K74" s="1239"/>
      <c r="L74" s="1239"/>
      <c r="M74" s="445"/>
      <c r="N74" s="1239"/>
      <c r="O74" s="1239"/>
      <c r="P74" s="1239"/>
      <c r="Q74" s="1239"/>
      <c r="R74" s="1239"/>
      <c r="S74" s="455"/>
      <c r="T74" s="1239"/>
      <c r="U74" s="1239"/>
      <c r="V74" s="1239"/>
      <c r="W74" s="1239"/>
      <c r="X74" s="1239"/>
      <c r="Y74" s="1239"/>
      <c r="Z74" s="1239"/>
      <c r="AA74" s="1239"/>
      <c r="AB74" s="1239"/>
      <c r="AC74" s="1239"/>
      <c r="AD74" s="1239"/>
      <c r="AE74" s="1239"/>
      <c r="AF74" s="1239"/>
      <c r="AG74" s="171"/>
      <c r="AH74" s="1239"/>
      <c r="AI74" s="1239"/>
      <c r="AJ74" s="1239"/>
      <c r="AK74" s="1239"/>
      <c r="AL74" s="1239"/>
      <c r="AM74" s="1239"/>
      <c r="AN74" s="455"/>
      <c r="AO74" s="1239"/>
      <c r="AP74" s="1239"/>
      <c r="AQ74" s="455">
        <f>+FL_2($T$75,$T$73,$G$74,1200,9.28, 1*$F$75)</f>
        <v>-0.43600286799999999</v>
      </c>
      <c r="AR74" s="455"/>
      <c r="AS74" s="455"/>
      <c r="AT74" s="455"/>
      <c r="AU74" s="1239"/>
      <c r="AV74" s="1239"/>
      <c r="AW74" s="1239"/>
      <c r="AX74" s="1239"/>
      <c r="AY74" s="484"/>
      <c r="AZ74" s="455"/>
      <c r="BA74" s="1314"/>
      <c r="BB74" s="1239"/>
      <c r="BC74" s="169"/>
      <c r="BD74" s="1330"/>
      <c r="BE74" s="1330"/>
      <c r="BF74" s="1330"/>
      <c r="BG74" s="1330"/>
    </row>
    <row r="75" spans="1:59" ht="15.65" customHeight="1">
      <c r="A75" s="449"/>
      <c r="B75" s="435" t="s">
        <v>4145</v>
      </c>
      <c r="C75" s="446">
        <f>+$C$73+$G$74</f>
        <v>82625.41</v>
      </c>
      <c r="D75" s="638"/>
      <c r="E75" s="638"/>
      <c r="F75" s="447">
        <v>0</v>
      </c>
      <c r="G75" s="484"/>
      <c r="H75" s="1239" t="s">
        <v>873</v>
      </c>
      <c r="I75" s="448"/>
      <c r="J75" s="446"/>
      <c r="K75" s="1239"/>
      <c r="L75" s="1239" t="s">
        <v>230</v>
      </c>
      <c r="M75" s="638" t="str">
        <f>IF(AX75="PT",VLOOKUP(L75,'Foundation Calculation'!$V$2:$X$40,VLOOKUP(AX75,'Foundation Calculation'!$I$10:$J$13,2,FALSE),0),IF(AX75="K",VLOOKUP(L75,'Foundation Calculation'!$V$42:$X$80,VLOOKUP(AX75,'Foundation Calculation'!$I$10:$J$13,2,FALSE),0),""))</f>
        <v>C4R</v>
      </c>
      <c r="N75" s="1239" t="s">
        <v>143</v>
      </c>
      <c r="O75" s="1239"/>
      <c r="P75" s="1239"/>
      <c r="Q75" s="1239"/>
      <c r="R75" s="1239"/>
      <c r="S75" s="455"/>
      <c r="T75" s="1239">
        <v>-35</v>
      </c>
      <c r="U75" s="1239"/>
      <c r="V75" s="1239"/>
      <c r="W75" s="1239">
        <v>1.4</v>
      </c>
      <c r="X75" s="1239"/>
      <c r="Y75" s="1239"/>
      <c r="Z75" s="1239"/>
      <c r="AA75" s="1239"/>
      <c r="AB75" s="1239"/>
      <c r="AC75" s="1239" t="str">
        <f>IF(OR(AT75&gt;8,AT75&lt;-8),"PH",IF(OR(AT75&gt;5,AT75&lt;-5),"PH-Q",IF(OR(AT75&gt;1,AT75&lt;-1),"PH-C")))</f>
        <v>PH</v>
      </c>
      <c r="AD75" s="1239"/>
      <c r="AE75" s="1239"/>
      <c r="AF75" s="1239"/>
      <c r="AG75" s="171"/>
      <c r="AH75" s="1239"/>
      <c r="AI75" s="1239"/>
      <c r="AJ75" s="1239"/>
      <c r="AK75" s="1239"/>
      <c r="AL75" s="1239"/>
      <c r="AM75" s="1239" t="s">
        <v>1043</v>
      </c>
      <c r="AN75" s="455">
        <v>5.5</v>
      </c>
      <c r="AO75" s="1239"/>
      <c r="AP75" s="1239"/>
      <c r="AQ75" s="455"/>
      <c r="AR75" s="455"/>
      <c r="AS75" s="455"/>
      <c r="AT75" s="455">
        <f>+ab($T$75,$T$73,$T$77,$G$74,$G$76, 1*$F$75,1200)</f>
        <v>-8.4664207780936191</v>
      </c>
      <c r="AU75" s="1239"/>
      <c r="AV75" s="1239"/>
      <c r="AW75" s="638" t="str">
        <f>VLOOKUP(C75,'Foundation Calculation'!$A$2:$C$33,3,1)</f>
        <v>Soil A</v>
      </c>
      <c r="AX75" s="638" t="str">
        <f>VLOOKUP(C75,'Foundation Calculation'!$E$2:$G$33,3,1)</f>
        <v>PT</v>
      </c>
      <c r="AY75" s="484">
        <f>IF(AX75="PT",VLOOKUP(L75,'Foundation Calculation'!$K$2:$R$40,VLOOKUP(AW75,'Foundation Calculation'!$I$2:$J$8,2,FALSE),0),IF(AX75="K",VLOOKUP(L75,'Foundation Calculation'!$K$42:$R$80,VLOOKUP(AW75,'Foundation Calculation'!$I$2:$J$8,2,FALSE),0),""))</f>
        <v>3.5</v>
      </c>
      <c r="AZ75" s="484"/>
      <c r="BA75" s="671" t="s">
        <v>2809</v>
      </c>
      <c r="BB75" s="1239" t="str">
        <f>Pole_Calculations!A17</f>
        <v>App.7-V11A-P9.5.1.3</v>
      </c>
      <c r="BC75" s="169"/>
      <c r="BD75" s="1329"/>
      <c r="BE75" s="1329"/>
      <c r="BF75" s="1330"/>
      <c r="BG75" s="1329"/>
    </row>
    <row r="76" spans="1:59" ht="15.65" customHeight="1">
      <c r="A76" s="447"/>
      <c r="B76" s="173"/>
      <c r="C76" s="446"/>
      <c r="D76" s="638"/>
      <c r="E76" s="638"/>
      <c r="F76" s="447"/>
      <c r="G76" s="484">
        <v>60</v>
      </c>
      <c r="H76" s="1239"/>
      <c r="I76" s="448"/>
      <c r="J76" s="446">
        <f>C75+7.5</f>
        <v>82632.91</v>
      </c>
      <c r="K76" s="1239" t="s">
        <v>2788</v>
      </c>
      <c r="L76" s="1239"/>
      <c r="M76" s="445"/>
      <c r="N76" s="1239"/>
      <c r="O76" s="1239"/>
      <c r="P76" s="1239"/>
      <c r="Q76" s="1239"/>
      <c r="R76" s="1239"/>
      <c r="S76" s="455"/>
      <c r="T76" s="1239"/>
      <c r="U76" s="1239"/>
      <c r="V76" s="1239"/>
      <c r="W76" s="1239"/>
      <c r="X76" s="1239"/>
      <c r="Y76" s="1239"/>
      <c r="Z76" s="1239"/>
      <c r="AA76" s="1239"/>
      <c r="AB76" s="1239"/>
      <c r="AC76" s="1239"/>
      <c r="AD76" s="1239"/>
      <c r="AE76" s="1239"/>
      <c r="AF76" s="1239"/>
      <c r="AG76" s="171"/>
      <c r="AH76" s="1239"/>
      <c r="AI76" s="1239"/>
      <c r="AJ76" s="1239"/>
      <c r="AK76" s="1239"/>
      <c r="AL76" s="1239"/>
      <c r="AM76" s="1239"/>
      <c r="AN76" s="455"/>
      <c r="AO76" s="1239"/>
      <c r="AP76" s="1239"/>
      <c r="AQ76" s="455">
        <f>+FL_2($T$77,$T$75,$G$76,1200,9.28, 1*$F$77)</f>
        <v>-0.44888002800000004</v>
      </c>
      <c r="AR76" s="455"/>
      <c r="AS76" s="455"/>
      <c r="AT76" s="455"/>
      <c r="AU76" s="1239"/>
      <c r="AV76" s="1239"/>
      <c r="AW76" s="638" t="str">
        <f>VLOOKUP(J76,'Foundation Calculation'!$A$2:$C$33,3,1)</f>
        <v>Soil A</v>
      </c>
      <c r="AX76" s="638" t="str">
        <f>VLOOKUP(J76,'Foundation Calculation'!$E$2:$G$33,3,1)</f>
        <v>PT</v>
      </c>
      <c r="AY76" s="484"/>
      <c r="AZ76" s="484">
        <f>IF(AX76="PT",VLOOKUP(K76,'Foundation Calculation'!$K$2:$R$40,VLOOKUP(AW76,'Foundation Calculation'!$I$2:$J$8,2,FALSE),0),IF(AX76="K",VLOOKUP(K76,'Foundation Calculation'!$K$42:$R$80,VLOOKUP(AW76,'Foundation Calculation'!$I$2:$J$8,2,FALSE),0),""))</f>
        <v>2.8</v>
      </c>
      <c r="BA76" s="671" t="s">
        <v>2809</v>
      </c>
      <c r="BB76" s="1239"/>
      <c r="BC76" s="169"/>
      <c r="BD76" s="1329"/>
      <c r="BE76" s="1330"/>
      <c r="BF76" s="1330"/>
      <c r="BG76" s="1330"/>
    </row>
    <row r="77" spans="1:59" ht="15.65" customHeight="1">
      <c r="A77" s="1239"/>
      <c r="B77" s="435" t="s">
        <v>4146</v>
      </c>
      <c r="C77" s="446">
        <f>+$C$75+$G$76</f>
        <v>82685.41</v>
      </c>
      <c r="D77" s="638"/>
      <c r="E77" s="638"/>
      <c r="F77" s="447">
        <v>0</v>
      </c>
      <c r="G77" s="484"/>
      <c r="H77" s="1239"/>
      <c r="I77" s="1239"/>
      <c r="J77" s="446"/>
      <c r="K77" s="1239"/>
      <c r="L77" s="1239" t="s">
        <v>4393</v>
      </c>
      <c r="M77" s="638" t="str">
        <f>IF(AX77="PT",VLOOKUP(L77,'Foundation Calculation'!$V$2:$X$40,VLOOKUP(AX77,'Foundation Calculation'!$I$10:$J$13,2,FALSE),0),IF(AX77="K",VLOOKUP(L77,'Foundation Calculation'!$V$42:$X$80,VLOOKUP(AX77,'Foundation Calculation'!$I$10:$J$13,2,FALSE),0),""))</f>
        <v>2C4R</v>
      </c>
      <c r="N77" s="1239" t="s">
        <v>144</v>
      </c>
      <c r="O77" s="1239"/>
      <c r="P77" s="1239"/>
      <c r="Q77" s="1239"/>
      <c r="R77" s="1239"/>
      <c r="S77" s="455"/>
      <c r="T77" s="1239">
        <v>30</v>
      </c>
      <c r="U77" s="1239"/>
      <c r="V77" s="1239"/>
      <c r="W77" s="1239">
        <v>1.4</v>
      </c>
      <c r="X77" s="1239"/>
      <c r="Y77" s="1239"/>
      <c r="Z77" s="1239"/>
      <c r="AA77" s="1239"/>
      <c r="AB77" s="1239"/>
      <c r="AC77" s="1239" t="str">
        <f>IF(OR(AT77&gt;8,AT77&lt;-8),"PH",IF(OR(AT77&gt;5,AT77&lt;-5),"PH-Q",IF(OR(AT77&gt;1,AT77&lt;-1),"PH-C")))</f>
        <v>PH</v>
      </c>
      <c r="AD77" s="1239"/>
      <c r="AE77" s="1239"/>
      <c r="AF77" s="1239"/>
      <c r="AG77" s="171"/>
      <c r="AH77" s="1239"/>
      <c r="AI77" s="1239"/>
      <c r="AJ77" s="1239"/>
      <c r="AK77" s="1239"/>
      <c r="AL77" s="1239" t="s">
        <v>2135</v>
      </c>
      <c r="AM77" s="1239" t="s">
        <v>1043</v>
      </c>
      <c r="AN77" s="455">
        <v>5.5</v>
      </c>
      <c r="AO77" s="1239"/>
      <c r="AP77" s="1239"/>
      <c r="AQ77" s="455"/>
      <c r="AR77" s="455"/>
      <c r="AS77" s="455"/>
      <c r="AT77" s="455">
        <f>+ab($T$77,$T$75,$T$79,$G$76,$G$78, 1*$F$77,1200)</f>
        <v>8.787015162956207</v>
      </c>
      <c r="AU77" s="1239"/>
      <c r="AV77" s="1239"/>
      <c r="AW77" s="638" t="str">
        <f>VLOOKUP(C77,'Foundation Calculation'!$A$2:$C$33,3,1)</f>
        <v>Soil A</v>
      </c>
      <c r="AX77" s="638" t="str">
        <f>VLOOKUP(C77,'Foundation Calculation'!$E$2:$G$33,3,1)</f>
        <v>PT</v>
      </c>
      <c r="AY77" s="484">
        <f>IF(AX77="PT",VLOOKUP(L77,'Foundation Calculation'!$K$2:$R$40,VLOOKUP(AW77,'Foundation Calculation'!$I$2:$J$8,2,FALSE),0),IF(AX77="K",VLOOKUP(L77,'Foundation Calculation'!$K$42:$R$80,VLOOKUP(AW77,'Foundation Calculation'!$I$2:$J$8,2,FALSE),0),""))</f>
        <v>5.6</v>
      </c>
      <c r="AZ77" s="484"/>
      <c r="BA77" s="671" t="s">
        <v>2809</v>
      </c>
      <c r="BB77" s="1239" t="str">
        <f>Pole_Calculations!A178</f>
        <v>App.8-V08F-P10.3</v>
      </c>
      <c r="BC77" s="169"/>
      <c r="BD77" s="1329"/>
      <c r="BE77" s="1329"/>
      <c r="BF77" s="1329"/>
      <c r="BG77" s="1329"/>
    </row>
    <row r="78" spans="1:59" ht="15.65" customHeight="1">
      <c r="A78" s="1239"/>
      <c r="B78" s="173"/>
      <c r="C78" s="446"/>
      <c r="D78" s="638"/>
      <c r="E78" s="638"/>
      <c r="F78" s="447"/>
      <c r="G78" s="484">
        <v>60</v>
      </c>
      <c r="H78" s="1239"/>
      <c r="I78" s="1239"/>
      <c r="J78" s="446">
        <f>C79-7.5</f>
        <v>82737.91</v>
      </c>
      <c r="K78" s="1239" t="s">
        <v>2787</v>
      </c>
      <c r="L78" s="1239"/>
      <c r="M78" s="445"/>
      <c r="N78" s="1239"/>
      <c r="O78" s="1239"/>
      <c r="P78" s="1239"/>
      <c r="Q78" s="1239"/>
      <c r="R78" s="1239"/>
      <c r="S78" s="455"/>
      <c r="T78" s="1239"/>
      <c r="U78" s="1239"/>
      <c r="V78" s="1239"/>
      <c r="W78" s="1239"/>
      <c r="X78" s="1239"/>
      <c r="Y78" s="1239"/>
      <c r="Z78" s="1239"/>
      <c r="AA78" s="1239"/>
      <c r="AB78" s="1239"/>
      <c r="AC78" s="1239"/>
      <c r="AD78" s="1239"/>
      <c r="AE78" s="1239"/>
      <c r="AF78" s="1239"/>
      <c r="AG78" s="171"/>
      <c r="AH78" s="1239"/>
      <c r="AI78" s="1239"/>
      <c r="AJ78" s="1239"/>
      <c r="AK78" s="1239"/>
      <c r="AL78" s="1239"/>
      <c r="AM78" s="1239"/>
      <c r="AN78" s="455"/>
      <c r="AO78" s="1239"/>
      <c r="AP78" s="1239"/>
      <c r="AQ78" s="455">
        <f>+FL_1($T$79,$T$77,$G$78,1200,9.28, 1*$F$79)</f>
        <v>0.46042645270553834</v>
      </c>
      <c r="AR78" s="455"/>
      <c r="AS78" s="455"/>
      <c r="AT78" s="455"/>
      <c r="AU78" s="1239"/>
      <c r="AV78" s="1239"/>
      <c r="AW78" s="638" t="str">
        <f>VLOOKUP(J78,'Foundation Calculation'!$A$2:$C$33,3,1)</f>
        <v>Soil A</v>
      </c>
      <c r="AX78" s="638" t="str">
        <f>VLOOKUP(J78,'Foundation Calculation'!$E$2:$G$33,3,1)</f>
        <v>PT</v>
      </c>
      <c r="AY78" s="484"/>
      <c r="AZ78" s="484">
        <f>IF(AX78="PT",VLOOKUP(K78,'Foundation Calculation'!$K$2:$R$40,VLOOKUP(AW78,'Foundation Calculation'!$I$2:$J$8,2,FALSE),0),IF(AX78="K",VLOOKUP(K78,'Foundation Calculation'!$K$42:$R$80,VLOOKUP(AW78,'Foundation Calculation'!$I$2:$J$8,2,FALSE),0),""))</f>
        <v>3.3</v>
      </c>
      <c r="BA78" s="671" t="s">
        <v>2809</v>
      </c>
      <c r="BB78" s="1239"/>
      <c r="BC78" s="169"/>
      <c r="BD78" s="1329"/>
      <c r="BE78" s="1330"/>
      <c r="BF78" s="1330"/>
      <c r="BG78" s="1330"/>
    </row>
    <row r="79" spans="1:59" ht="15.65" customHeight="1">
      <c r="A79" s="1239"/>
      <c r="B79" s="435" t="s">
        <v>4147</v>
      </c>
      <c r="C79" s="446">
        <f>+$C$77+$G$78</f>
        <v>82745.41</v>
      </c>
      <c r="D79" s="638"/>
      <c r="E79" s="638"/>
      <c r="F79" s="447">
        <v>-6000</v>
      </c>
      <c r="G79" s="484"/>
      <c r="H79" s="1239" t="s">
        <v>138</v>
      </c>
      <c r="I79" s="1239" t="s">
        <v>623</v>
      </c>
      <c r="J79" s="446"/>
      <c r="K79" s="1239"/>
      <c r="L79" s="1239" t="s">
        <v>4393</v>
      </c>
      <c r="M79" s="638" t="str">
        <f>IF(AX79="PT",VLOOKUP(L79,'Foundation Calculation'!$V$2:$X$40,VLOOKUP(AX79,'Foundation Calculation'!$I$10:$J$13,2,FALSE),0),IF(AX79="K",VLOOKUP(L79,'Foundation Calculation'!$V$42:$X$80,VLOOKUP(AX79,'Foundation Calculation'!$I$10:$J$13,2,FALSE),0),""))</f>
        <v>2C4R</v>
      </c>
      <c r="N79" s="1239" t="s">
        <v>143</v>
      </c>
      <c r="O79" s="1239"/>
      <c r="P79" s="1239"/>
      <c r="Q79" s="1239"/>
      <c r="R79" s="1239"/>
      <c r="S79" s="455"/>
      <c r="T79" s="1239">
        <v>-35</v>
      </c>
      <c r="U79" s="1239"/>
      <c r="V79" s="1239"/>
      <c r="W79" s="1239">
        <v>1.4</v>
      </c>
      <c r="X79" s="1239"/>
      <c r="Y79" s="1239"/>
      <c r="Z79" s="1239"/>
      <c r="AA79" s="1239"/>
      <c r="AB79" s="1239"/>
      <c r="AC79" s="1239" t="str">
        <f>IF(OR(AT79&gt;8,AT79&lt;-8),"PH",IF(OR(AT79&gt;5,AT79&lt;-5),"PH-Q",IF(OR(AT79&gt;1,AT79&lt;-1),"PH-C")))</f>
        <v>PH-Q</v>
      </c>
      <c r="AD79" s="1239"/>
      <c r="AE79" s="1239"/>
      <c r="AF79" s="1239"/>
      <c r="AG79" s="171"/>
      <c r="AH79" s="1239"/>
      <c r="AI79" s="1239"/>
      <c r="AJ79" s="1239"/>
      <c r="AK79" s="1239"/>
      <c r="AL79" s="1239" t="s">
        <v>2135</v>
      </c>
      <c r="AM79" s="1239" t="s">
        <v>1043</v>
      </c>
      <c r="AN79" s="455">
        <v>5.5</v>
      </c>
      <c r="AO79" s="1239"/>
      <c r="AP79" s="1239"/>
      <c r="AQ79" s="455"/>
      <c r="AR79" s="455"/>
      <c r="AS79" s="455"/>
      <c r="AT79" s="455">
        <f>+ab($T$79,$T$77,$T$81,$G$78,$G$80, 1*$F$79,1200)</f>
        <v>-5.1543152478818959</v>
      </c>
      <c r="AU79" s="1239"/>
      <c r="AV79" s="1239"/>
      <c r="AW79" s="638" t="str">
        <f>VLOOKUP(C79,'Foundation Calculation'!$A$2:$C$33,3,1)</f>
        <v>Soil A</v>
      </c>
      <c r="AX79" s="638" t="str">
        <f>VLOOKUP(C79,'Foundation Calculation'!$E$2:$G$33,3,1)</f>
        <v>PT</v>
      </c>
      <c r="AY79" s="484">
        <f>IF(AX79="PT",VLOOKUP(L79,'Foundation Calculation'!$K$2:$R$40,VLOOKUP(AW79,'Foundation Calculation'!$I$2:$J$8,2,FALSE),0),IF(AX79="K",VLOOKUP(L79,'Foundation Calculation'!$K$42:$R$80,VLOOKUP(AW79,'Foundation Calculation'!$I$2:$J$8,2,FALSE),0),""))</f>
        <v>5.6</v>
      </c>
      <c r="AZ79" s="484"/>
      <c r="BA79" s="671" t="s">
        <v>2809</v>
      </c>
      <c r="BB79" s="1239" t="str">
        <f>Pole_Calculations!A178</f>
        <v>App.8-V08F-P10.3</v>
      </c>
      <c r="BC79" s="169"/>
      <c r="BD79" s="1329"/>
      <c r="BE79" s="1329"/>
      <c r="BF79" s="1329"/>
      <c r="BG79" s="1329"/>
    </row>
    <row r="80" spans="1:59" ht="15.65" customHeight="1">
      <c r="A80" s="1239"/>
      <c r="B80" s="173"/>
      <c r="C80" s="446"/>
      <c r="D80" s="447"/>
      <c r="E80" s="447"/>
      <c r="F80" s="447"/>
      <c r="G80" s="484">
        <v>62</v>
      </c>
      <c r="H80" s="1239"/>
      <c r="I80" s="1239"/>
      <c r="J80" s="446"/>
      <c r="K80" s="1239"/>
      <c r="L80" s="1239"/>
      <c r="M80" s="445"/>
      <c r="N80" s="1239"/>
      <c r="O80" s="1239"/>
      <c r="P80" s="1239"/>
      <c r="Q80" s="1239"/>
      <c r="R80" s="1239"/>
      <c r="S80" s="455"/>
      <c r="T80" s="1239"/>
      <c r="U80" s="1239"/>
      <c r="V80" s="1239"/>
      <c r="W80" s="1239"/>
      <c r="X80" s="1239"/>
      <c r="Y80" s="1239"/>
      <c r="Z80" s="1239"/>
      <c r="AA80" s="1239"/>
      <c r="AB80" s="1239"/>
      <c r="AC80" s="1239"/>
      <c r="AD80" s="1239"/>
      <c r="AE80" s="1239"/>
      <c r="AF80" s="1239"/>
      <c r="AG80" s="171"/>
      <c r="AH80" s="1239"/>
      <c r="AI80" s="1239"/>
      <c r="AJ80" s="1239"/>
      <c r="AK80" s="1239"/>
      <c r="AL80" s="1239"/>
      <c r="AM80" s="1239"/>
      <c r="AN80" s="455"/>
      <c r="AO80" s="1239"/>
      <c r="AP80" s="1239"/>
      <c r="AQ80" s="455">
        <f>+FL_1($U$81,$T$79,$G$80,1200,9.28, 1*$F$81)</f>
        <v>0.47971532143557249</v>
      </c>
      <c r="AR80" s="455"/>
      <c r="AS80" s="455"/>
      <c r="AT80" s="455"/>
      <c r="AU80" s="1239"/>
      <c r="AV80" s="1239"/>
      <c r="AW80" s="1239"/>
      <c r="AX80" s="1239"/>
      <c r="AY80" s="484"/>
      <c r="AZ80" s="455"/>
      <c r="BA80" s="1314"/>
      <c r="BB80" s="1239"/>
      <c r="BC80" s="169"/>
      <c r="BD80" s="1330"/>
      <c r="BE80" s="1330"/>
      <c r="BF80" s="1330"/>
      <c r="BG80" s="1330"/>
    </row>
    <row r="81" spans="1:59" ht="15.65" customHeight="1">
      <c r="A81" s="1239"/>
      <c r="B81" s="435" t="s">
        <v>4148</v>
      </c>
      <c r="C81" s="446">
        <f>+$C$79+$G$80</f>
        <v>82807.41</v>
      </c>
      <c r="D81" s="447"/>
      <c r="E81" s="447"/>
      <c r="F81" s="448">
        <f>(490^2)/(C81-82844.31)</f>
        <v>-6506.7750677517042</v>
      </c>
      <c r="G81" s="484"/>
      <c r="H81" s="1239" t="s">
        <v>619</v>
      </c>
      <c r="I81" s="1239" t="s">
        <v>1471</v>
      </c>
      <c r="J81" s="446"/>
      <c r="K81" s="1239"/>
      <c r="L81" s="1239" t="s">
        <v>4393</v>
      </c>
      <c r="M81" s="638" t="str">
        <f>IF(AX81="PT",VLOOKUP(L81,'Foundation Calculation'!$V$2:$X$40,VLOOKUP(AX81,'Foundation Calculation'!$I$10:$J$13,2,FALSE),0),IF(AX81="K",VLOOKUP(L81,'Foundation Calculation'!$V$42:$X$80,VLOOKUP(AX81,'Foundation Calculation'!$I$10:$J$13,2,FALSE),0),""))</f>
        <v>2C4R</v>
      </c>
      <c r="N81" s="1239" t="s">
        <v>140</v>
      </c>
      <c r="O81" s="1239" t="s">
        <v>144</v>
      </c>
      <c r="P81" s="1239"/>
      <c r="Q81" s="1239"/>
      <c r="R81" s="1239"/>
      <c r="S81" s="455"/>
      <c r="T81" s="1239">
        <v>65</v>
      </c>
      <c r="U81" s="1239">
        <v>30</v>
      </c>
      <c r="V81" s="1239"/>
      <c r="W81" s="1239">
        <v>1.4</v>
      </c>
      <c r="X81" s="1239">
        <v>2.2999999999999998</v>
      </c>
      <c r="Y81" s="1239"/>
      <c r="Z81" s="1239">
        <v>0.6</v>
      </c>
      <c r="AA81" s="1239"/>
      <c r="AB81" s="1239"/>
      <c r="AC81" s="1239"/>
      <c r="AD81" s="1239"/>
      <c r="AE81" s="1239"/>
      <c r="AF81" s="1239"/>
      <c r="AG81" s="171"/>
      <c r="AH81" s="1239"/>
      <c r="AI81" s="1239"/>
      <c r="AJ81" s="1239"/>
      <c r="AK81" s="1239"/>
      <c r="AL81" s="1239" t="s">
        <v>2135</v>
      </c>
      <c r="AM81" s="1239" t="s">
        <v>1043</v>
      </c>
      <c r="AN81" s="455">
        <v>5.41</v>
      </c>
      <c r="AO81" s="1239"/>
      <c r="AP81" s="1239"/>
      <c r="AQ81" s="455"/>
      <c r="AR81" s="455"/>
      <c r="AS81" s="455"/>
      <c r="AT81" s="455">
        <f>+ab($U$81,$T$79,$T$83,$G$80,$G$82, 1*$F$81,1200)</f>
        <v>87.45434702876949</v>
      </c>
      <c r="AU81" s="1239"/>
      <c r="AV81" s="1239"/>
      <c r="AW81" s="638" t="str">
        <f>VLOOKUP(C81,'Foundation Calculation'!$A$2:$C$33,3,1)</f>
        <v>Soil A</v>
      </c>
      <c r="AX81" s="638" t="str">
        <f>VLOOKUP(C81,'Foundation Calculation'!$E$2:$G$33,3,1)</f>
        <v>PT</v>
      </c>
      <c r="AY81" s="484">
        <f>IF(AX81="PT",VLOOKUP(L81,'Foundation Calculation'!$K$2:$R$40,VLOOKUP(AW81,'Foundation Calculation'!$I$2:$J$8,2,FALSE),0),IF(AX81="K",VLOOKUP(L81,'Foundation Calculation'!$K$42:$R$80,VLOOKUP(AW81,'Foundation Calculation'!$I$2:$J$8,2,FALSE),0),""))</f>
        <v>5.6</v>
      </c>
      <c r="AZ81" s="484"/>
      <c r="BA81" s="671" t="s">
        <v>2809</v>
      </c>
      <c r="BB81" s="1239" t="str">
        <f>Pole_Calculations!A178</f>
        <v>App.8-V08F-P10.3</v>
      </c>
      <c r="BC81" s="169"/>
      <c r="BD81" s="1329"/>
      <c r="BE81" s="1329"/>
      <c r="BF81" s="1329"/>
      <c r="BG81" s="1329"/>
    </row>
    <row r="82" spans="1:59" ht="15.65" customHeight="1">
      <c r="A82" s="1239"/>
      <c r="B82" s="173"/>
      <c r="C82" s="446"/>
      <c r="D82" s="447"/>
      <c r="E82" s="447"/>
      <c r="F82" s="447"/>
      <c r="G82" s="484">
        <v>62</v>
      </c>
      <c r="H82" s="1239"/>
      <c r="I82" s="1239"/>
      <c r="J82" s="446">
        <f>C81+7.5</f>
        <v>82814.91</v>
      </c>
      <c r="K82" s="1239" t="s">
        <v>2788</v>
      </c>
      <c r="L82" s="1239"/>
      <c r="M82" s="1239"/>
      <c r="N82" s="1239"/>
      <c r="O82" s="1239"/>
      <c r="P82" s="1239"/>
      <c r="Q82" s="1239"/>
      <c r="R82" s="1239"/>
      <c r="S82" s="455"/>
      <c r="T82" s="1239"/>
      <c r="U82" s="1239"/>
      <c r="V82" s="1239"/>
      <c r="W82" s="1239"/>
      <c r="X82" s="1239"/>
      <c r="Y82" s="1239"/>
      <c r="Z82" s="1239"/>
      <c r="AA82" s="1239"/>
      <c r="AB82" s="1239"/>
      <c r="AC82" s="1239"/>
      <c r="AD82" s="1239"/>
      <c r="AE82" s="1239"/>
      <c r="AF82" s="1239"/>
      <c r="AG82" s="171"/>
      <c r="AH82" s="1239"/>
      <c r="AI82" s="1239"/>
      <c r="AJ82" s="1239"/>
      <c r="AK82" s="1239"/>
      <c r="AL82" s="1239"/>
      <c r="AM82" s="1239"/>
      <c r="AN82" s="455"/>
      <c r="AO82" s="1239"/>
      <c r="AP82" s="1239"/>
      <c r="AQ82" s="455">
        <f>+FL_1($T$83,$U$81,$G$82,1200,9.28, 1*$F$83)</f>
        <v>0.69700715767741928</v>
      </c>
      <c r="AR82" s="455"/>
      <c r="AS82" s="455"/>
      <c r="AT82" s="455"/>
      <c r="AU82" s="1239"/>
      <c r="AV82" s="1239"/>
      <c r="AW82" s="638" t="str">
        <f>VLOOKUP(J82,'Foundation Calculation'!$A$2:$C$33,3,1)</f>
        <v>Soil A</v>
      </c>
      <c r="AX82" s="638" t="str">
        <f>VLOOKUP(J82,'Foundation Calculation'!$E$2:$G$33,3,1)</f>
        <v>PT</v>
      </c>
      <c r="AY82" s="484"/>
      <c r="AZ82" s="484">
        <f>IF(AX82="PT",VLOOKUP(K82,'Foundation Calculation'!$K$2:$R$40,VLOOKUP(AW82,'Foundation Calculation'!$I$2:$J$8,2,FALSE),0),IF(AX82="K",VLOOKUP(K82,'Foundation Calculation'!$K$42:$R$80,VLOOKUP(AW82,'Foundation Calculation'!$I$2:$J$8,2,FALSE),0),""))</f>
        <v>2.8</v>
      </c>
      <c r="BA82" s="671" t="s">
        <v>2809</v>
      </c>
      <c r="BB82" s="1239"/>
      <c r="BC82" s="169"/>
      <c r="BD82" s="1329"/>
      <c r="BE82" s="1330"/>
      <c r="BF82" s="1330"/>
      <c r="BG82" s="1330"/>
    </row>
    <row r="83" spans="1:59" ht="15.65" customHeight="1">
      <c r="A83" s="1239"/>
      <c r="B83" s="435" t="s">
        <v>4149</v>
      </c>
      <c r="C83" s="446">
        <f>+$C$81+$G$82</f>
        <v>82869.41</v>
      </c>
      <c r="D83" s="447"/>
      <c r="E83" s="447"/>
      <c r="F83" s="447">
        <v>0</v>
      </c>
      <c r="G83" s="484"/>
      <c r="H83" s="1239"/>
      <c r="I83" s="1239"/>
      <c r="J83" s="446"/>
      <c r="K83" s="1239"/>
      <c r="L83" s="1239" t="s">
        <v>3665</v>
      </c>
      <c r="M83" s="1239"/>
      <c r="N83" s="1239" t="s">
        <v>144</v>
      </c>
      <c r="O83" s="1239"/>
      <c r="P83" s="1239"/>
      <c r="Q83" s="1239"/>
      <c r="R83" s="1239"/>
      <c r="S83" s="455"/>
      <c r="T83" s="1239">
        <v>35</v>
      </c>
      <c r="U83" s="1239"/>
      <c r="V83" s="1239"/>
      <c r="W83" s="1239">
        <v>1.4</v>
      </c>
      <c r="X83" s="1239"/>
      <c r="Y83" s="1239"/>
      <c r="Z83" s="1239"/>
      <c r="AA83" s="1239"/>
      <c r="AB83" s="1239"/>
      <c r="AC83" s="1239" t="str">
        <f>IF(OR(AT83&gt;8,AT83&lt;-8),"PH",IF(OR(AT83&gt;5,AT83&lt;-5),"PH-Q",IF(OR(AT83&gt;1,AT83&lt;-1),"PH-C")))</f>
        <v>PH</v>
      </c>
      <c r="AD83" s="1239"/>
      <c r="AE83" s="1239"/>
      <c r="AF83" s="1239"/>
      <c r="AG83" s="171"/>
      <c r="AH83" s="1239"/>
      <c r="AI83" s="1239"/>
      <c r="AJ83" s="1239"/>
      <c r="AK83" s="1239"/>
      <c r="AL83" s="1239"/>
      <c r="AM83" s="1239"/>
      <c r="AN83" s="455">
        <v>5.32</v>
      </c>
      <c r="AO83" s="1239"/>
      <c r="AP83" s="1239"/>
      <c r="AQ83" s="455"/>
      <c r="AR83" s="455"/>
      <c r="AS83" s="455"/>
      <c r="AT83" s="455">
        <f>+ab($T$83,$U$81,$T$85,$G$82,$G$84, 1*$F$83,1200)</f>
        <v>15.119314950605355</v>
      </c>
      <c r="AU83" s="1239"/>
      <c r="AV83" s="1239"/>
      <c r="AW83" s="1239"/>
      <c r="AX83" s="1239"/>
      <c r="AY83" s="455"/>
      <c r="AZ83" s="455"/>
      <c r="BA83" s="1314"/>
      <c r="BB83" s="1239"/>
      <c r="BC83" s="169"/>
      <c r="BD83" s="1330"/>
      <c r="BE83" s="1330"/>
      <c r="BF83" s="1330"/>
      <c r="BG83" s="1329"/>
    </row>
    <row r="84" spans="1:59" ht="15.65" customHeight="1">
      <c r="A84" s="1239"/>
      <c r="B84" s="173"/>
      <c r="C84" s="446"/>
      <c r="D84" s="447"/>
      <c r="E84" s="447"/>
      <c r="F84" s="447"/>
      <c r="G84" s="484">
        <v>60.4</v>
      </c>
      <c r="H84" s="1239"/>
      <c r="I84" s="1239"/>
      <c r="J84" s="446"/>
      <c r="K84" s="1239"/>
      <c r="L84" s="1239"/>
      <c r="M84" s="1239"/>
      <c r="N84" s="1239"/>
      <c r="O84" s="1239"/>
      <c r="P84" s="1239"/>
      <c r="Q84" s="1239"/>
      <c r="R84" s="1239"/>
      <c r="S84" s="455"/>
      <c r="T84" s="1239"/>
      <c r="U84" s="1239"/>
      <c r="V84" s="1239"/>
      <c r="W84" s="1239"/>
      <c r="X84" s="1239"/>
      <c r="Y84" s="1239"/>
      <c r="Z84" s="1239"/>
      <c r="AA84" s="1239"/>
      <c r="AB84" s="1239"/>
      <c r="AC84" s="1239"/>
      <c r="AD84" s="1239"/>
      <c r="AE84" s="1239"/>
      <c r="AF84" s="1239"/>
      <c r="AG84" s="171"/>
      <c r="AH84" s="1239"/>
      <c r="AI84" s="1239"/>
      <c r="AJ84" s="1239"/>
      <c r="AK84" s="1239"/>
      <c r="AL84" s="1239"/>
      <c r="AM84" s="1239"/>
      <c r="AN84" s="455"/>
      <c r="AO84" s="1239"/>
      <c r="AP84" s="1239"/>
      <c r="AQ84" s="455">
        <f>+FL_1($T$85,$T$83,$G$84,1200,9.28, 1*$F$85)</f>
        <v>0.43949659356291387</v>
      </c>
      <c r="AR84" s="455"/>
      <c r="AS84" s="455"/>
      <c r="AT84" s="455"/>
      <c r="AU84" s="1239"/>
      <c r="AV84" s="1239"/>
      <c r="AW84" s="1239"/>
      <c r="AX84" s="1239"/>
      <c r="AY84" s="455"/>
      <c r="AZ84" s="455"/>
      <c r="BA84" s="1314"/>
      <c r="BB84" s="1239"/>
      <c r="BC84" s="169"/>
      <c r="BD84" s="1330"/>
      <c r="BE84" s="1330"/>
      <c r="BF84" s="1330"/>
      <c r="BG84" s="1330"/>
    </row>
    <row r="85" spans="1:59" ht="15.65" customHeight="1">
      <c r="A85" s="1239"/>
      <c r="B85" s="435" t="s">
        <v>4150</v>
      </c>
      <c r="C85" s="446">
        <f>+$C$83+$G$84</f>
        <v>82929.81</v>
      </c>
      <c r="D85" s="447"/>
      <c r="E85" s="447"/>
      <c r="F85" s="447">
        <v>0</v>
      </c>
      <c r="G85" s="484"/>
      <c r="H85" s="1239"/>
      <c r="I85" s="1239"/>
      <c r="J85" s="446"/>
      <c r="K85" s="1239"/>
      <c r="L85" s="1239" t="s">
        <v>3665</v>
      </c>
      <c r="M85" s="1239"/>
      <c r="N85" s="1239" t="s">
        <v>143</v>
      </c>
      <c r="O85" s="1239"/>
      <c r="P85" s="1239"/>
      <c r="Q85" s="1239"/>
      <c r="R85" s="1239"/>
      <c r="S85" s="455"/>
      <c r="T85" s="1239">
        <v>-35</v>
      </c>
      <c r="U85" s="1239"/>
      <c r="V85" s="1239"/>
      <c r="W85" s="1239">
        <v>1.4</v>
      </c>
      <c r="X85" s="1239"/>
      <c r="Y85" s="1239"/>
      <c r="Z85" s="1239"/>
      <c r="AA85" s="1239"/>
      <c r="AB85" s="1239"/>
      <c r="AC85" s="1239" t="str">
        <f>IF(OR(AT85&gt;8,AT85&lt;-8),"PH",IF(OR(AT85&gt;5,AT85&lt;-5),"PH-Q",IF(OR(AT85&gt;1,AT85&lt;-1),"PH-C")))</f>
        <v>PH</v>
      </c>
      <c r="AD85" s="1239"/>
      <c r="AE85" s="1239"/>
      <c r="AF85" s="1239"/>
      <c r="AG85" s="171"/>
      <c r="AH85" s="1239"/>
      <c r="AI85" s="1239"/>
      <c r="AJ85" s="1239"/>
      <c r="AK85" s="1239"/>
      <c r="AL85" s="1239"/>
      <c r="AM85" s="1239"/>
      <c r="AN85" s="455">
        <v>5.23</v>
      </c>
      <c r="AO85" s="1239"/>
      <c r="AP85" s="1239"/>
      <c r="AQ85" s="455"/>
      <c r="AR85" s="455"/>
      <c r="AS85" s="455"/>
      <c r="AT85" s="455">
        <f>+ab($T$85,$T$83,$T$87,$G$84,$G$86, 1*$F$85,1200)</f>
        <v>-16.118551008422713</v>
      </c>
      <c r="AU85" s="1239"/>
      <c r="AV85" s="1239"/>
      <c r="AW85" s="1239"/>
      <c r="AX85" s="1239"/>
      <c r="AY85" s="455"/>
      <c r="AZ85" s="455"/>
      <c r="BA85" s="1314"/>
      <c r="BB85" s="1239"/>
      <c r="BC85" s="169"/>
      <c r="BD85" s="1330"/>
      <c r="BE85" s="1330"/>
      <c r="BF85" s="1330"/>
      <c r="BG85" s="1329"/>
    </row>
    <row r="86" spans="1:59" ht="15.65" customHeight="1">
      <c r="A86" s="449"/>
      <c r="B86" s="173"/>
      <c r="C86" s="446"/>
      <c r="D86" s="445"/>
      <c r="E86" s="445"/>
      <c r="F86" s="448"/>
      <c r="G86" s="455">
        <v>54</v>
      </c>
      <c r="H86" s="1239"/>
      <c r="I86" s="1239"/>
      <c r="J86" s="446">
        <f>C87-7.5</f>
        <v>82976.31</v>
      </c>
      <c r="K86" s="1239" t="s">
        <v>2884</v>
      </c>
      <c r="L86" s="1239"/>
      <c r="M86" s="1239"/>
      <c r="N86" s="1239"/>
      <c r="O86" s="1239"/>
      <c r="P86" s="1239"/>
      <c r="Q86" s="1239"/>
      <c r="R86" s="1239"/>
      <c r="S86" s="455"/>
      <c r="T86" s="1239"/>
      <c r="U86" s="1239"/>
      <c r="V86" s="1239"/>
      <c r="W86" s="1239"/>
      <c r="X86" s="1239"/>
      <c r="Y86" s="1239"/>
      <c r="Z86" s="1239"/>
      <c r="AA86" s="1239"/>
      <c r="AB86" s="1239"/>
      <c r="AC86" s="1239"/>
      <c r="AD86" s="1239"/>
      <c r="AE86" s="1239"/>
      <c r="AF86" s="1239"/>
      <c r="AG86" s="171"/>
      <c r="AH86" s="1239"/>
      <c r="AI86" s="1239"/>
      <c r="AJ86" s="1239"/>
      <c r="AK86" s="1239"/>
      <c r="AL86" s="1239"/>
      <c r="AM86" s="1239"/>
      <c r="AN86" s="455"/>
      <c r="AO86" s="1239"/>
      <c r="AP86" s="1239"/>
      <c r="AQ86" s="455">
        <f>+FL_1($T$87,$T$85,$G$86,1200,9.28, 1*$F$87)</f>
        <v>-6.812E-2</v>
      </c>
      <c r="AR86" s="455"/>
      <c r="AS86" s="455"/>
      <c r="AT86" s="455"/>
      <c r="AU86" s="1239"/>
      <c r="AV86" s="1239"/>
      <c r="AW86" s="638" t="str">
        <f>VLOOKUP(J86,'Foundation Calculation'!$A$2:$C$33,3,1)</f>
        <v>Soil A</v>
      </c>
      <c r="AX86" s="638" t="str">
        <f>VLOOKUP(J86,'Foundation Calculation'!$E$2:$G$33,3,1)</f>
        <v>PT</v>
      </c>
      <c r="AY86" s="484"/>
      <c r="AZ86" s="484">
        <v>2.8</v>
      </c>
      <c r="BA86" s="671" t="s">
        <v>2809</v>
      </c>
      <c r="BB86" s="1239"/>
      <c r="BC86" s="169"/>
      <c r="BD86" s="1329"/>
      <c r="BE86" s="1330"/>
      <c r="BF86" s="1330"/>
      <c r="BG86" s="1330"/>
    </row>
    <row r="87" spans="1:59" ht="15.65" customHeight="1">
      <c r="A87" s="449"/>
      <c r="B87" s="435" t="s">
        <v>4151</v>
      </c>
      <c r="C87" s="446">
        <f>+$C$85+$G$86</f>
        <v>82983.81</v>
      </c>
      <c r="D87" s="638"/>
      <c r="E87" s="638"/>
      <c r="F87" s="447">
        <v>0</v>
      </c>
      <c r="G87" s="484"/>
      <c r="H87" s="1239"/>
      <c r="I87" s="1239" t="s">
        <v>1039</v>
      </c>
      <c r="J87" s="451"/>
      <c r="K87" s="1239"/>
      <c r="L87" s="1239" t="s">
        <v>229</v>
      </c>
      <c r="M87" s="638" t="s">
        <v>3668</v>
      </c>
      <c r="N87" s="1239" t="s">
        <v>143</v>
      </c>
      <c r="O87" s="1239"/>
      <c r="P87" s="1239"/>
      <c r="Q87" s="1239"/>
      <c r="R87" s="1239"/>
      <c r="S87" s="455"/>
      <c r="T87" s="1239">
        <v>-35</v>
      </c>
      <c r="U87" s="1239"/>
      <c r="V87" s="1239"/>
      <c r="W87" s="1239">
        <v>1.4</v>
      </c>
      <c r="X87" s="1239"/>
      <c r="Y87" s="1239"/>
      <c r="Z87" s="1239"/>
      <c r="AA87" s="1239"/>
      <c r="AB87" s="1239"/>
      <c r="AC87" s="1239" t="str">
        <f>IF(OR(AT87&gt;8,AT87&lt;-8),"PH",IF(OR(AT87&gt;5,AT87&lt;-5),"PH-Q",IF(OR(AT87&gt;1,AT87&lt;-1),"PH-C")))</f>
        <v>PH</v>
      </c>
      <c r="AD87" s="1239"/>
      <c r="AE87" s="1239"/>
      <c r="AF87" s="1239"/>
      <c r="AG87" s="171"/>
      <c r="AH87" s="1239"/>
      <c r="AI87" s="1239"/>
      <c r="AJ87" s="1239"/>
      <c r="AK87" s="1239"/>
      <c r="AL87" s="1239"/>
      <c r="AM87" s="1239" t="s">
        <v>1042</v>
      </c>
      <c r="AN87" s="455">
        <v>5.15</v>
      </c>
      <c r="AO87" s="1239"/>
      <c r="AP87" s="1239"/>
      <c r="AQ87" s="455"/>
      <c r="AR87" s="455"/>
      <c r="AS87" s="455"/>
      <c r="AT87" s="455">
        <f>+ab($T$87,$T$85,$T$89,$G$86,$G$88, 1*$F$87,1200)</f>
        <v>-10.940058541797884</v>
      </c>
      <c r="AU87" s="1239"/>
      <c r="AV87" s="1239"/>
      <c r="AW87" s="638" t="str">
        <f>VLOOKUP(C87,'Foundation Calculation'!$A$2:$C$33,3,1)</f>
        <v>Soil A</v>
      </c>
      <c r="AX87" s="638" t="str">
        <f>VLOOKUP(C87,'Foundation Calculation'!$E$2:$G$33,3,1)</f>
        <v>PT</v>
      </c>
      <c r="AY87" s="484">
        <f>IF(AX87="PT",VLOOKUP(L87,'Foundation Calculation'!$K$2:$R$40,VLOOKUP(AW87,'Foundation Calculation'!$I$2:$J$8,2,FALSE),0),IF(AX87="K",VLOOKUP(L87,'Foundation Calculation'!$K$42:$R$80,VLOOKUP(AW87,'Foundation Calculation'!$I$2:$J$8,2,FALSE),0),""))</f>
        <v>3.5</v>
      </c>
      <c r="AZ87" s="484"/>
      <c r="BA87" s="671" t="s">
        <v>2809</v>
      </c>
      <c r="BB87" s="1239" t="str">
        <f>Pole_Calculations!A15</f>
        <v>App.7-V11A-P9.5.1.1</v>
      </c>
      <c r="BC87" s="169"/>
      <c r="BD87" s="1329"/>
      <c r="BE87" s="1329"/>
      <c r="BF87" s="1330"/>
      <c r="BG87" s="1329"/>
    </row>
    <row r="88" spans="1:59" ht="15.75" customHeight="1">
      <c r="A88" s="501">
        <f>'HR Track 2 HER'!A5</f>
        <v>0</v>
      </c>
      <c r="B88" s="501">
        <f>'HR Track 2 HER'!B5</f>
        <v>0</v>
      </c>
      <c r="C88" s="501">
        <f>'HR Track 2 HER'!C5</f>
        <v>0</v>
      </c>
      <c r="D88" s="501">
        <f>'HR Track 2 HER'!D5</f>
        <v>0</v>
      </c>
      <c r="E88" s="501">
        <f>'HR Track 2 HER'!E5</f>
        <v>0</v>
      </c>
      <c r="F88" s="501">
        <f>'HR Track 2 HER'!F5</f>
        <v>0</v>
      </c>
      <c r="G88" s="501">
        <f>'HR Track 2 HER'!G5</f>
        <v>40.4</v>
      </c>
      <c r="H88" s="501">
        <f>'HR Track 2 HER'!H5</f>
        <v>0</v>
      </c>
      <c r="I88" s="501">
        <f>'HR Track 2 HER'!I5</f>
        <v>0</v>
      </c>
      <c r="J88" s="501">
        <f>'HR Track 2 HER'!J5</f>
        <v>83016.709999999992</v>
      </c>
      <c r="K88" s="501" t="str">
        <f>'HR Track 2 HER'!K5</f>
        <v>AnMC-R</v>
      </c>
      <c r="L88" s="501">
        <f>'HR Track 2 HER'!L5</f>
        <v>0</v>
      </c>
      <c r="M88" s="501">
        <f>'HR Track 2 HER'!M5</f>
        <v>0</v>
      </c>
      <c r="N88" s="501">
        <f>'HR Track 2 HER'!N5</f>
        <v>0</v>
      </c>
      <c r="O88" s="501">
        <f>'HR Track 2 HER'!O5</f>
        <v>0</v>
      </c>
      <c r="P88" s="501">
        <f>'HR Track 2 HER'!P5</f>
        <v>0</v>
      </c>
      <c r="Q88" s="501">
        <f>'HR Track 2 HER'!Q5</f>
        <v>0</v>
      </c>
      <c r="R88" s="501">
        <f>'HR Track 2 HER'!R5</f>
        <v>0</v>
      </c>
      <c r="S88" s="502">
        <f>'HR Track 2 HER'!S5</f>
        <v>0</v>
      </c>
      <c r="T88" s="501">
        <f>'HR Track 2 HER'!T5</f>
        <v>0</v>
      </c>
      <c r="U88" s="501">
        <f>'HR Track 2 HER'!U5</f>
        <v>0</v>
      </c>
      <c r="V88" s="501">
        <f>'HR Track 2 HER'!V5</f>
        <v>0</v>
      </c>
      <c r="W88" s="501">
        <f>'HR Track 2 HER'!W5</f>
        <v>0</v>
      </c>
      <c r="X88" s="501">
        <f>'HR Track 2 HER'!X5</f>
        <v>0</v>
      </c>
      <c r="Y88" s="501">
        <f>'HR Track 2 HER'!Y5</f>
        <v>0</v>
      </c>
      <c r="Z88" s="501">
        <f>'HR Track 2 HER'!Z5</f>
        <v>0</v>
      </c>
      <c r="AA88" s="501">
        <f>'HR Track 2 HER'!AA5</f>
        <v>0</v>
      </c>
      <c r="AB88" s="501">
        <f>'HR Track 2 HER'!AB5</f>
        <v>0</v>
      </c>
      <c r="AC88" s="501">
        <f>'HR Track 2 HER'!AC5</f>
        <v>0</v>
      </c>
      <c r="AD88" s="501">
        <f>'HR Track 2 HER'!AD5</f>
        <v>0</v>
      </c>
      <c r="AE88" s="501">
        <f>'HR Track 2 HER'!AE5</f>
        <v>0</v>
      </c>
      <c r="AF88" s="501">
        <f>'HR Track 2 HER'!AF5</f>
        <v>0</v>
      </c>
      <c r="AG88" s="501">
        <f>'HR Track 2 HER'!AG5</f>
        <v>0</v>
      </c>
      <c r="AH88" s="501">
        <f>'HR Track 2 HER'!AH5</f>
        <v>0</v>
      </c>
      <c r="AI88" s="501">
        <f>'HR Track 2 HER'!AI5</f>
        <v>0</v>
      </c>
      <c r="AJ88" s="501">
        <f>'HR Track 2 HER'!AJ5</f>
        <v>0</v>
      </c>
      <c r="AK88" s="501">
        <f>'HR Track 2 HER'!AK5</f>
        <v>0</v>
      </c>
      <c r="AL88" s="501">
        <f>'HR Track 2 HER'!AL5</f>
        <v>0</v>
      </c>
      <c r="AM88" s="501">
        <f>'HR Track 2 HER'!AM5</f>
        <v>0</v>
      </c>
      <c r="AN88" s="502">
        <f>'HR Track 2 HER'!AN5</f>
        <v>0</v>
      </c>
      <c r="AO88" s="501">
        <f>'HR Track 2 HER'!AO5</f>
        <v>0</v>
      </c>
      <c r="AP88" s="501">
        <f>'HR Track 2 HER'!AP5</f>
        <v>0</v>
      </c>
      <c r="AQ88" s="501">
        <f>'HR Track 2 HER'!AQ5</f>
        <v>-0.35000000000000087</v>
      </c>
      <c r="AR88" s="501">
        <f>'HR Track 2 HER'!AR5</f>
        <v>0</v>
      </c>
      <c r="AS88" s="501">
        <f>'HR Track 2 HER'!AS5</f>
        <v>0</v>
      </c>
      <c r="AT88" s="501">
        <f>'HR Track 2 HER'!AT5</f>
        <v>0</v>
      </c>
      <c r="AU88" s="501">
        <f>'HR Track 2 HER'!AU5</f>
        <v>0</v>
      </c>
      <c r="AV88" s="501">
        <f>'HR Track 2 HER'!AV5</f>
        <v>0</v>
      </c>
      <c r="AW88" s="501" t="str">
        <f>'HR Track 2 HER'!AW5</f>
        <v>Soil A</v>
      </c>
      <c r="AX88" s="501" t="str">
        <f>'HR Track 2 HER'!AX5</f>
        <v>PT</v>
      </c>
      <c r="AY88" s="501">
        <f>'HR Track 2 HER'!AY5</f>
        <v>0</v>
      </c>
      <c r="AZ88" s="501">
        <f>'HR Track 2 HER'!AZ5</f>
        <v>3.3</v>
      </c>
      <c r="BA88" s="501" t="str">
        <f>'HR Track 2 HER'!BA5</f>
        <v>ü</v>
      </c>
      <c r="BB88" s="501">
        <f>'HR Track 2 HER'!BB5</f>
        <v>0</v>
      </c>
      <c r="BC88" s="501">
        <f>'HR Track 2 HER'!BC5</f>
        <v>0</v>
      </c>
      <c r="BD88" s="501">
        <f>'HR Track 2 HER'!BD5</f>
        <v>0</v>
      </c>
      <c r="BE88" s="501">
        <f>'HR Track 2 HER'!BE5</f>
        <v>0</v>
      </c>
      <c r="BF88" s="501">
        <f>'HR Track 2 HER'!BF5</f>
        <v>0</v>
      </c>
      <c r="BG88" s="501">
        <f>'HR Track 2 HER'!BG5</f>
        <v>0</v>
      </c>
    </row>
    <row r="89" spans="1:59" ht="15.75" customHeight="1">
      <c r="A89" s="501">
        <f>'HR Track 2 HER'!A6</f>
        <v>0</v>
      </c>
      <c r="B89" s="716" t="str">
        <f>'HR Track 2 HER'!B6</f>
        <v>83-2.01</v>
      </c>
      <c r="C89" s="451">
        <f>'HR Track 2 HER'!C6</f>
        <v>83024.209999999992</v>
      </c>
      <c r="D89" s="453">
        <f>'HR Track 2 HER'!D6</f>
        <v>0</v>
      </c>
      <c r="E89" s="452">
        <f>'HR Track 2 HER'!E6</f>
        <v>0</v>
      </c>
      <c r="F89" s="453">
        <f>'HR Track 2 HER'!F6</f>
        <v>0</v>
      </c>
      <c r="G89" s="500"/>
      <c r="H89" s="453" t="str">
        <f>'HR Track 2 HER'!H6</f>
        <v>A/S</v>
      </c>
      <c r="I89" s="501" t="str">
        <f>'HR Track 2 HER'!I6</f>
        <v>CP+AnMC</v>
      </c>
      <c r="J89" s="583"/>
      <c r="K89" s="452"/>
      <c r="L89" s="452" t="str">
        <f>'HR Track 2 HER'!L6</f>
        <v>HEB-260 (CP)</v>
      </c>
      <c r="M89" s="452" t="str">
        <f>'HR Track 2 HER'!M6</f>
        <v>C4R</v>
      </c>
      <c r="N89" s="501" t="str">
        <f>'HR Track 2 HER'!N6</f>
        <v>EMT-2</v>
      </c>
      <c r="O89" s="501">
        <f>'HR Track 2 HER'!O6</f>
        <v>0</v>
      </c>
      <c r="P89" s="501">
        <f>'HR Track 2 HER'!P6</f>
        <v>0</v>
      </c>
      <c r="Q89" s="452">
        <f>'HR Track 2 HER'!Q6</f>
        <v>0</v>
      </c>
      <c r="R89" s="452">
        <f>'HR Track 2 HER'!R6</f>
        <v>0</v>
      </c>
      <c r="S89" s="500">
        <f>'HR Track 2 HER'!S6</f>
        <v>0</v>
      </c>
      <c r="T89" s="452">
        <f>'HR Track 2 HER'!T6</f>
        <v>35</v>
      </c>
      <c r="U89" s="452">
        <f>'HR Track 2 HER'!U6</f>
        <v>0</v>
      </c>
      <c r="V89" s="452">
        <f>'HR Track 2 HER'!V6</f>
        <v>0</v>
      </c>
      <c r="W89" s="452">
        <f>'HR Track 2 HER'!W6</f>
        <v>1.2</v>
      </c>
      <c r="X89" s="452">
        <f>'HR Track 2 HER'!X6</f>
        <v>0</v>
      </c>
      <c r="Y89" s="452">
        <f>'HR Track 2 HER'!Y6</f>
        <v>0</v>
      </c>
      <c r="Z89" s="452">
        <f>'HR Track 2 HER'!Z6</f>
        <v>0</v>
      </c>
      <c r="AA89" s="452">
        <f>'HR Track 2 HER'!AA6</f>
        <v>0</v>
      </c>
      <c r="AB89" s="452">
        <f>'HR Track 2 HER'!AB6</f>
        <v>0</v>
      </c>
      <c r="AC89" s="452" t="str">
        <f>'HR Track 2 HER'!AC6</f>
        <v>PH-Q</v>
      </c>
      <c r="AD89" s="452">
        <f>'HR Track 2 HER'!AD6</f>
        <v>0</v>
      </c>
      <c r="AE89" s="452">
        <f>'HR Track 2 HER'!AE6</f>
        <v>0</v>
      </c>
      <c r="AF89" s="452">
        <f>'HR Track 2 HER'!AF6</f>
        <v>5800</v>
      </c>
      <c r="AG89" s="451">
        <f>'HR Track 2 HER'!AG6</f>
        <v>0</v>
      </c>
      <c r="AH89" s="452">
        <f>'HR Track 2 HER'!AH6</f>
        <v>2283</v>
      </c>
      <c r="AI89" s="452">
        <f>'HR Track 2 HER'!AI6</f>
        <v>300</v>
      </c>
      <c r="AJ89" s="452">
        <f>'HR Track 2 HER'!AJ6</f>
        <v>0</v>
      </c>
      <c r="AK89" s="452">
        <f>'HR Track 2 HER'!AK6</f>
        <v>0</v>
      </c>
      <c r="AL89" s="452">
        <f>'HR Track 2 HER'!AL6</f>
        <v>0</v>
      </c>
      <c r="AM89" s="452" t="str">
        <f>'HR Track 2 HER'!AM6</f>
        <v>RW1</v>
      </c>
      <c r="AN89" s="500">
        <f>'HR Track 2 HER'!AN6</f>
        <v>5.15</v>
      </c>
      <c r="AO89" s="452"/>
      <c r="AP89" s="452"/>
      <c r="AQ89" s="452"/>
      <c r="AR89" s="452"/>
      <c r="AS89" s="452"/>
      <c r="AT89" s="452">
        <f>'HR Track 2 HER'!AT6</f>
        <v>5.6408514803913707</v>
      </c>
      <c r="AU89" s="452"/>
      <c r="AV89" s="452"/>
      <c r="AW89" s="452" t="str">
        <f>'HR Track 2 HER'!AW6</f>
        <v>Soil A</v>
      </c>
      <c r="AX89" s="452" t="str">
        <f>'HR Track 2 HER'!AX6</f>
        <v>PT</v>
      </c>
      <c r="AY89" s="500">
        <f>'HR Track 2 HER'!AY6</f>
        <v>3.5</v>
      </c>
      <c r="AZ89" s="500"/>
      <c r="BA89" s="1333" t="str">
        <f>'HR Track 2 HER'!BA6</f>
        <v>ü</v>
      </c>
      <c r="BB89" s="452" t="str">
        <f>'HR Track 2 HER'!BB6</f>
        <v>App.7-V11A-P9.5.1.6</v>
      </c>
      <c r="BC89" s="1334">
        <f>'HR Track 2 HER'!BC6</f>
        <v>0</v>
      </c>
      <c r="BD89" s="1335">
        <f>'HR Track 2 HER'!BD6</f>
        <v>0</v>
      </c>
      <c r="BE89" s="1335">
        <f>'HR Track 2 HER'!BE6</f>
        <v>0</v>
      </c>
      <c r="BF89" s="1335">
        <f>'HR Track 2 HER'!BF6</f>
        <v>0</v>
      </c>
      <c r="BG89" s="1335">
        <f>'HR Track 2 HER'!BG6</f>
        <v>0</v>
      </c>
    </row>
    <row r="90" spans="1:59" ht="15.75" customHeight="1">
      <c r="A90" s="501">
        <f>'HR Track 2 HER'!A7</f>
        <v>0</v>
      </c>
      <c r="B90" s="716">
        <f>'HR Track 2 HER'!B7</f>
        <v>0</v>
      </c>
      <c r="C90" s="451">
        <f>'HR Track 2 HER'!C7</f>
        <v>0</v>
      </c>
      <c r="D90" s="453">
        <f>'HR Track 2 HER'!D7</f>
        <v>0</v>
      </c>
      <c r="E90" s="452">
        <f>'HR Track 2 HER'!E7</f>
        <v>0</v>
      </c>
      <c r="F90" s="453">
        <f>'HR Track 2 HER'!F7</f>
        <v>0</v>
      </c>
      <c r="G90" s="500"/>
      <c r="H90" s="453">
        <f>'HR Track 2 HER'!H7</f>
        <v>0</v>
      </c>
      <c r="I90" s="501">
        <f>'HR Track 2 HER'!I7</f>
        <v>552.29999999998836</v>
      </c>
      <c r="J90" s="583"/>
      <c r="K90" s="452"/>
      <c r="L90" s="452">
        <f>'HR Track 2 HER'!L7</f>
        <v>0</v>
      </c>
      <c r="M90" s="452">
        <f>'HR Track 2 HER'!M7</f>
        <v>0</v>
      </c>
      <c r="N90" s="501">
        <f>'HR Track 2 HER'!N7</f>
        <v>0</v>
      </c>
      <c r="O90" s="501">
        <f>'HR Track 2 HER'!O7</f>
        <v>0</v>
      </c>
      <c r="P90" s="501">
        <f>'HR Track 2 HER'!P7</f>
        <v>0</v>
      </c>
      <c r="Q90" s="452">
        <f>'HR Track 2 HER'!Q7</f>
        <v>0</v>
      </c>
      <c r="R90" s="452">
        <f>'HR Track 2 HER'!R7</f>
        <v>0</v>
      </c>
      <c r="S90" s="500">
        <f>'HR Track 2 HER'!S7</f>
        <v>0</v>
      </c>
      <c r="T90" s="452">
        <f>'HR Track 2 HER'!T7</f>
        <v>0</v>
      </c>
      <c r="U90" s="452">
        <f>'HR Track 2 HER'!U7</f>
        <v>0</v>
      </c>
      <c r="V90" s="452">
        <f>'HR Track 2 HER'!V7</f>
        <v>0</v>
      </c>
      <c r="W90" s="452">
        <f>'HR Track 2 HER'!W7</f>
        <v>0</v>
      </c>
      <c r="X90" s="452">
        <f>'HR Track 2 HER'!X7</f>
        <v>0</v>
      </c>
      <c r="Y90" s="452">
        <f>'HR Track 2 HER'!Y7</f>
        <v>0</v>
      </c>
      <c r="Z90" s="452">
        <f>'HR Track 2 HER'!Z7</f>
        <v>0</v>
      </c>
      <c r="AA90" s="452">
        <f>'HR Track 2 HER'!AA7</f>
        <v>0</v>
      </c>
      <c r="AB90" s="452">
        <f>'HR Track 2 HER'!AB7</f>
        <v>0</v>
      </c>
      <c r="AC90" s="452">
        <f>'HR Track 2 HER'!AC7</f>
        <v>0</v>
      </c>
      <c r="AD90" s="452">
        <f>'HR Track 2 HER'!AD7</f>
        <v>0</v>
      </c>
      <c r="AE90" s="452">
        <f>'HR Track 2 HER'!AE7</f>
        <v>0</v>
      </c>
      <c r="AF90" s="452">
        <f>'HR Track 2 HER'!AF7</f>
        <v>0</v>
      </c>
      <c r="AG90" s="451">
        <f>'HR Track 2 HER'!AG7</f>
        <v>0</v>
      </c>
      <c r="AH90" s="452">
        <f>'HR Track 2 HER'!AH7</f>
        <v>0</v>
      </c>
      <c r="AI90" s="452">
        <f>'HR Track 2 HER'!AI7</f>
        <v>0</v>
      </c>
      <c r="AJ90" s="452">
        <f>'HR Track 2 HER'!AJ7</f>
        <v>0</v>
      </c>
      <c r="AK90" s="452">
        <f>'HR Track 2 HER'!AK7</f>
        <v>0</v>
      </c>
      <c r="AL90" s="452">
        <f>'HR Track 2 HER'!AL7</f>
        <v>0</v>
      </c>
      <c r="AM90" s="452">
        <f>'HR Track 2 HER'!AM7</f>
        <v>0</v>
      </c>
      <c r="AN90" s="500">
        <f>'HR Track 2 HER'!AN7</f>
        <v>0</v>
      </c>
      <c r="AO90" s="452"/>
      <c r="AP90" s="452"/>
      <c r="AQ90" s="452"/>
      <c r="AR90" s="452"/>
      <c r="AS90" s="452"/>
      <c r="AT90" s="452">
        <f>'HR Track 2 HER'!AT7</f>
        <v>0</v>
      </c>
      <c r="AU90" s="452"/>
      <c r="AV90" s="452"/>
      <c r="AW90" s="452">
        <f>'HR Track 2 HER'!AW7</f>
        <v>0</v>
      </c>
      <c r="AX90" s="452">
        <f>'HR Track 2 HER'!AX7</f>
        <v>0</v>
      </c>
      <c r="AY90" s="500">
        <f>'HR Track 2 HER'!AY7</f>
        <v>0</v>
      </c>
      <c r="AZ90" s="500"/>
      <c r="BA90" s="1333">
        <f>'HR Track 2 HER'!BA7</f>
        <v>0</v>
      </c>
      <c r="BB90" s="452">
        <f>'HR Track 2 HER'!BB7</f>
        <v>0</v>
      </c>
      <c r="BC90" s="1334">
        <f>'HR Track 2 HER'!BC7</f>
        <v>0</v>
      </c>
      <c r="BD90" s="1335">
        <f>'HR Track 2 HER'!BD7</f>
        <v>0</v>
      </c>
      <c r="BE90" s="1335">
        <f>'HR Track 2 HER'!BE7</f>
        <v>0</v>
      </c>
      <c r="BF90" s="1335">
        <f>'HR Track 2 HER'!BF7</f>
        <v>0</v>
      </c>
      <c r="BG90" s="1335">
        <f>'HR Track 2 HER'!BG7</f>
        <v>0</v>
      </c>
    </row>
    <row r="91" spans="1:59" ht="15.75" customHeight="1">
      <c r="A91" s="501" t="str">
        <f>'HR Track 2 HER'!A8</f>
        <v>HER-04</v>
      </c>
      <c r="B91" s="716" t="str">
        <f>'HR Track 2 HER'!B8</f>
        <v>83-2.02</v>
      </c>
      <c r="C91" s="451">
        <f>'HR Track 2 HER'!C8</f>
        <v>83063.409999999989</v>
      </c>
      <c r="D91" s="453">
        <f>'HR Track 2 HER'!D8</f>
        <v>0</v>
      </c>
      <c r="E91" s="452">
        <f>'HR Track 2 HER'!E8</f>
        <v>0</v>
      </c>
      <c r="F91" s="453">
        <f>'HR Track 2 HER'!F8</f>
        <v>0</v>
      </c>
      <c r="G91" s="500"/>
      <c r="H91" s="453" t="str">
        <f>'HR Track 2 HER'!H8</f>
        <v>S/A</v>
      </c>
      <c r="I91" s="501" t="str">
        <f>'HR Track 2 HER'!I8</f>
        <v>IO</v>
      </c>
      <c r="J91" s="583"/>
      <c r="K91" s="452"/>
      <c r="L91" s="452" t="str">
        <f>'HR Track 2 HER'!L8</f>
        <v>2HEB-240L</v>
      </c>
      <c r="M91" s="452" t="str">
        <f>'HR Track 2 HER'!M8</f>
        <v>2C3R</v>
      </c>
      <c r="N91" s="501" t="str">
        <f>'HR Track 2 HER'!N8</f>
        <v>EMT-T</v>
      </c>
      <c r="O91" s="501" t="str">
        <f>'HR Track 2 HER'!O8</f>
        <v>EMT-1</v>
      </c>
      <c r="P91" s="501">
        <f>'HR Track 2 HER'!P8</f>
        <v>0</v>
      </c>
      <c r="Q91" s="452">
        <f>'HR Track 2 HER'!Q8</f>
        <v>0</v>
      </c>
      <c r="R91" s="452">
        <f>'HR Track 2 HER'!R8</f>
        <v>0</v>
      </c>
      <c r="S91" s="500">
        <f>'HR Track 2 HER'!S8</f>
        <v>0</v>
      </c>
      <c r="T91" s="452">
        <f>'HR Track 2 HER'!T8</f>
        <v>15</v>
      </c>
      <c r="U91" s="452">
        <f>'HR Track 2 HER'!U8</f>
        <v>-30</v>
      </c>
      <c r="V91" s="452">
        <f>'HR Track 2 HER'!V8</f>
        <v>0</v>
      </c>
      <c r="W91" s="452">
        <f>'HR Track 2 HER'!W8</f>
        <v>0.9</v>
      </c>
      <c r="X91" s="452">
        <f>'HR Track 2 HER'!X8</f>
        <v>1</v>
      </c>
      <c r="Y91" s="452">
        <f>'HR Track 2 HER'!Y8</f>
        <v>0</v>
      </c>
      <c r="Z91" s="452">
        <f>'HR Track 2 HER'!Z8</f>
        <v>0.4</v>
      </c>
      <c r="AA91" s="452">
        <f>'HR Track 2 HER'!AA8</f>
        <v>0</v>
      </c>
      <c r="AB91" s="452">
        <f>'HR Track 2 HER'!AB8</f>
        <v>0</v>
      </c>
      <c r="AC91" s="452">
        <f>'HR Track 2 HER'!AC8</f>
        <v>0</v>
      </c>
      <c r="AD91" s="452">
        <f>'HR Track 2 HER'!AD8</f>
        <v>0</v>
      </c>
      <c r="AE91" s="452">
        <f>'HR Track 2 HER'!AE8</f>
        <v>0</v>
      </c>
      <c r="AF91" s="452">
        <f>'HR Track 2 HER'!AF8</f>
        <v>5800</v>
      </c>
      <c r="AG91" s="451">
        <f>'HR Track 2 HER'!AG8</f>
        <v>0</v>
      </c>
      <c r="AH91" s="452">
        <f>'HR Track 2 HER'!AH8</f>
        <v>2313</v>
      </c>
      <c r="AI91" s="452">
        <f>'HR Track 2 HER'!AI8</f>
        <v>370</v>
      </c>
      <c r="AJ91" s="452" t="str">
        <f>'HR Track 2 HER'!AJ8</f>
        <v>Disc/IO</v>
      </c>
      <c r="AK91" s="452">
        <f>'HR Track 2 HER'!AK8</f>
        <v>0</v>
      </c>
      <c r="AL91" s="452">
        <f>'HR Track 2 HER'!AL8</f>
        <v>0</v>
      </c>
      <c r="AM91" s="452" t="str">
        <f>'HR Track 2 HER'!AM8</f>
        <v>RW1</v>
      </c>
      <c r="AN91" s="500">
        <f>'HR Track 2 HER'!AN8</f>
        <v>5.15</v>
      </c>
      <c r="AO91" s="452"/>
      <c r="AP91" s="452"/>
      <c r="AQ91" s="452"/>
      <c r="AR91" s="452"/>
      <c r="AS91" s="452"/>
      <c r="AT91" s="452">
        <f>'HR Track 2 HER'!AT8</f>
        <v>-9.7621595768044145</v>
      </c>
      <c r="AU91" s="452"/>
      <c r="AV91" s="452"/>
      <c r="AW91" s="452" t="str">
        <f>'HR Track 2 HER'!AW8</f>
        <v>Soil A</v>
      </c>
      <c r="AX91" s="452" t="str">
        <f>'HR Track 2 HER'!AX8</f>
        <v>PT</v>
      </c>
      <c r="AY91" s="500">
        <f>'HR Track 2 HER'!AY8</f>
        <v>3.7</v>
      </c>
      <c r="AZ91" s="500"/>
      <c r="BA91" s="1333" t="str">
        <f>'HR Track 2 HER'!BA8</f>
        <v>ü</v>
      </c>
      <c r="BB91" s="452" t="str">
        <f>'HR Track 2 HER'!BB8</f>
        <v>App.7-V11A-P9.5.1.5</v>
      </c>
      <c r="BC91" s="1334">
        <f>'HR Track 2 HER'!BC8</f>
        <v>0</v>
      </c>
      <c r="BD91" s="1335">
        <f>'HR Track 2 HER'!BD8</f>
        <v>0</v>
      </c>
      <c r="BE91" s="1335">
        <f>'HR Track 2 HER'!BE8</f>
        <v>0</v>
      </c>
      <c r="BF91" s="1335">
        <f>'HR Track 2 HER'!BF8</f>
        <v>0</v>
      </c>
      <c r="BG91" s="1335">
        <f>'HR Track 2 HER'!BG8</f>
        <v>0</v>
      </c>
    </row>
    <row r="92" spans="1:59" ht="15.75" customHeight="1">
      <c r="A92" s="501" t="str">
        <f>'HR Track 2 HER'!A9</f>
        <v>Footbridge (O.C.)</v>
      </c>
      <c r="B92" s="716">
        <f>'HR Track 2 HER'!B9</f>
        <v>0</v>
      </c>
      <c r="C92" s="451">
        <f>'HR Track 2 HER'!C9</f>
        <v>0</v>
      </c>
      <c r="D92" s="453">
        <f>'HR Track 2 HER'!D9</f>
        <v>0</v>
      </c>
      <c r="E92" s="452">
        <f>'HR Track 2 HER'!E9</f>
        <v>0</v>
      </c>
      <c r="F92" s="453">
        <f>'HR Track 2 HER'!F9</f>
        <v>0</v>
      </c>
      <c r="G92" s="500"/>
      <c r="H92" s="453">
        <f>'HR Track 2 HER'!H9</f>
        <v>0</v>
      </c>
      <c r="I92" s="501">
        <f>'HR Track 2 HER'!I9</f>
        <v>0</v>
      </c>
      <c r="J92" s="583"/>
      <c r="K92" s="452"/>
      <c r="L92" s="452">
        <f>'HR Track 2 HER'!L9</f>
        <v>0</v>
      </c>
      <c r="M92" s="452">
        <f>'HR Track 2 HER'!M9</f>
        <v>0</v>
      </c>
      <c r="N92" s="501">
        <f>'HR Track 2 HER'!N9</f>
        <v>0</v>
      </c>
      <c r="O92" s="501">
        <f>'HR Track 2 HER'!O9</f>
        <v>0</v>
      </c>
      <c r="P92" s="501">
        <f>'HR Track 2 HER'!P9</f>
        <v>0</v>
      </c>
      <c r="Q92" s="452">
        <f>'HR Track 2 HER'!Q9</f>
        <v>0</v>
      </c>
      <c r="R92" s="452">
        <f>'HR Track 2 HER'!R9</f>
        <v>0</v>
      </c>
      <c r="S92" s="500">
        <f>'HR Track 2 HER'!S9</f>
        <v>0</v>
      </c>
      <c r="T92" s="452">
        <f>'HR Track 2 HER'!T9</f>
        <v>0</v>
      </c>
      <c r="U92" s="452">
        <f>'HR Track 2 HER'!U9</f>
        <v>0</v>
      </c>
      <c r="V92" s="452">
        <f>'HR Track 2 HER'!V9</f>
        <v>0</v>
      </c>
      <c r="W92" s="452">
        <f>'HR Track 2 HER'!W9</f>
        <v>0</v>
      </c>
      <c r="X92" s="452">
        <f>'HR Track 2 HER'!X9</f>
        <v>0</v>
      </c>
      <c r="Y92" s="452">
        <f>'HR Track 2 HER'!Y9</f>
        <v>0</v>
      </c>
      <c r="Z92" s="452">
        <f>'HR Track 2 HER'!Z9</f>
        <v>0</v>
      </c>
      <c r="AA92" s="452">
        <f>'HR Track 2 HER'!AA9</f>
        <v>0</v>
      </c>
      <c r="AB92" s="452">
        <f>'HR Track 2 HER'!AB9</f>
        <v>0</v>
      </c>
      <c r="AC92" s="452">
        <f>'HR Track 2 HER'!AC9</f>
        <v>0</v>
      </c>
      <c r="AD92" s="452">
        <f>'HR Track 2 HER'!AD9</f>
        <v>0</v>
      </c>
      <c r="AE92" s="452">
        <f>'HR Track 2 HER'!AE9</f>
        <v>0</v>
      </c>
      <c r="AF92" s="452">
        <f>'HR Track 2 HER'!AF9</f>
        <v>0</v>
      </c>
      <c r="AG92" s="451">
        <f>'HR Track 2 HER'!AG9</f>
        <v>0</v>
      </c>
      <c r="AH92" s="452">
        <f>'HR Track 2 HER'!AH9</f>
        <v>0</v>
      </c>
      <c r="AI92" s="452">
        <f>'HR Track 2 HER'!AI9</f>
        <v>0</v>
      </c>
      <c r="AJ92" s="452">
        <f>'HR Track 2 HER'!AJ9</f>
        <v>0</v>
      </c>
      <c r="AK92" s="452">
        <f>'HR Track 2 HER'!AK9</f>
        <v>0</v>
      </c>
      <c r="AL92" s="452">
        <f>'HR Track 2 HER'!AL9</f>
        <v>0</v>
      </c>
      <c r="AM92" s="452">
        <f>'HR Track 2 HER'!AM9</f>
        <v>0</v>
      </c>
      <c r="AN92" s="500">
        <f>'HR Track 2 HER'!AN9</f>
        <v>0</v>
      </c>
      <c r="AO92" s="452"/>
      <c r="AP92" s="452"/>
      <c r="AQ92" s="452"/>
      <c r="AR92" s="452"/>
      <c r="AS92" s="452"/>
      <c r="AT92" s="452">
        <f>'HR Track 2 HER'!AT9</f>
        <v>0</v>
      </c>
      <c r="AU92" s="452"/>
      <c r="AV92" s="452"/>
      <c r="AW92" s="452">
        <f>'HR Track 2 HER'!AW9</f>
        <v>0</v>
      </c>
      <c r="AX92" s="452">
        <f>'HR Track 2 HER'!AX9</f>
        <v>0</v>
      </c>
      <c r="AY92" s="500">
        <f>'HR Track 2 HER'!AY9</f>
        <v>0</v>
      </c>
      <c r="AZ92" s="500"/>
      <c r="BA92" s="1333">
        <f>'HR Track 2 HER'!BA9</f>
        <v>0</v>
      </c>
      <c r="BB92" s="452">
        <f>'HR Track 2 HER'!BB9</f>
        <v>0</v>
      </c>
      <c r="BC92" s="1334">
        <f>'HR Track 2 HER'!BC9</f>
        <v>0</v>
      </c>
      <c r="BD92" s="1335">
        <f>'HR Track 2 HER'!BD9</f>
        <v>0</v>
      </c>
      <c r="BE92" s="1335">
        <f>'HR Track 2 HER'!BE9</f>
        <v>0</v>
      </c>
      <c r="BF92" s="1335">
        <f>'HR Track 2 HER'!BF9</f>
        <v>0</v>
      </c>
      <c r="BG92" s="1335">
        <f>'HR Track 2 HER'!BG9</f>
        <v>0</v>
      </c>
    </row>
    <row r="93" spans="1:59" ht="15.75" customHeight="1">
      <c r="A93" s="501">
        <f>'HR Track 2 HER'!A10</f>
        <v>0</v>
      </c>
      <c r="B93" s="716" t="str">
        <f>'HR Track 2 HER'!B10</f>
        <v>83-2.03</v>
      </c>
      <c r="C93" s="451">
        <f>'HR Track 2 HER'!C10</f>
        <v>83115.409999999989</v>
      </c>
      <c r="D93" s="453">
        <f>'HR Track 2 HER'!D10</f>
        <v>0</v>
      </c>
      <c r="E93" s="452">
        <f>'HR Track 2 HER'!E10</f>
        <v>0</v>
      </c>
      <c r="F93" s="453">
        <f>'HR Track 2 HER'!F10</f>
        <v>4181.487949704554</v>
      </c>
      <c r="G93" s="500"/>
      <c r="H93" s="453" t="str">
        <f>'HR Track 2 HER'!H10</f>
        <v>S/A</v>
      </c>
      <c r="I93" s="501">
        <f>'HR Track 2 HER'!I10</f>
        <v>0</v>
      </c>
      <c r="J93" s="583"/>
      <c r="K93" s="452"/>
      <c r="L93" s="452" t="str">
        <f>'HR Track 2 HER'!L10</f>
        <v>2HEB-240</v>
      </c>
      <c r="M93" s="452" t="str">
        <f>'HR Track 2 HER'!M10</f>
        <v>2C3R</v>
      </c>
      <c r="N93" s="501" t="str">
        <f>'HR Track 2 HER'!N10</f>
        <v>EMT-2</v>
      </c>
      <c r="O93" s="501" t="str">
        <f>'HR Track 2 HER'!O10</f>
        <v>EMT-T</v>
      </c>
      <c r="P93" s="501">
        <f>'HR Track 2 HER'!P10</f>
        <v>0</v>
      </c>
      <c r="Q93" s="452">
        <f>'HR Track 2 HER'!Q10</f>
        <v>0</v>
      </c>
      <c r="R93" s="452">
        <f>'HR Track 2 HER'!R10</f>
        <v>0</v>
      </c>
      <c r="S93" s="500">
        <f>'HR Track 2 HER'!S10</f>
        <v>0</v>
      </c>
      <c r="T93" s="452">
        <f>'HR Track 2 HER'!T10</f>
        <v>30</v>
      </c>
      <c r="U93" s="452">
        <f>'HR Track 2 HER'!U10</f>
        <v>-15</v>
      </c>
      <c r="V93" s="452">
        <f>'HR Track 2 HER'!V10</f>
        <v>0</v>
      </c>
      <c r="W93" s="452">
        <f>'HR Track 2 HER'!W10</f>
        <v>0.9</v>
      </c>
      <c r="X93" s="452">
        <f>'HR Track 2 HER'!X10</f>
        <v>1</v>
      </c>
      <c r="Y93" s="452">
        <f>'HR Track 2 HER'!Y10</f>
        <v>0</v>
      </c>
      <c r="Z93" s="452">
        <f>'HR Track 2 HER'!Z10</f>
        <v>0</v>
      </c>
      <c r="AA93" s="452">
        <f>'HR Track 2 HER'!AA10</f>
        <v>0.4</v>
      </c>
      <c r="AB93" s="452">
        <f>'HR Track 2 HER'!AB10</f>
        <v>0</v>
      </c>
      <c r="AC93" s="452" t="str">
        <f>'HR Track 2 HER'!AC10</f>
        <v>PH</v>
      </c>
      <c r="AD93" s="452">
        <f>'HR Track 2 HER'!AD10</f>
        <v>0</v>
      </c>
      <c r="AE93" s="452">
        <f>'HR Track 2 HER'!AE10</f>
        <v>0</v>
      </c>
      <c r="AF93" s="452">
        <f>'HR Track 2 HER'!AF10</f>
        <v>5800</v>
      </c>
      <c r="AG93" s="451">
        <f>'HR Track 2 HER'!AG10</f>
        <v>0</v>
      </c>
      <c r="AH93" s="452">
        <f>'HR Track 2 HER'!AH10</f>
        <v>2833</v>
      </c>
      <c r="AI93" s="452">
        <f>'HR Track 2 HER'!AI10</f>
        <v>430</v>
      </c>
      <c r="AJ93" s="452">
        <f>'HR Track 2 HER'!AJ10</f>
        <v>0</v>
      </c>
      <c r="AK93" s="452">
        <f>'HR Track 2 HER'!AK10</f>
        <v>0</v>
      </c>
      <c r="AL93" s="452">
        <f>'HR Track 2 HER'!AL10</f>
        <v>0</v>
      </c>
      <c r="AM93" s="452" t="str">
        <f>'HR Track 2 HER'!AM10</f>
        <v>RW1</v>
      </c>
      <c r="AN93" s="500">
        <f>'HR Track 2 HER'!AN10</f>
        <v>5.15</v>
      </c>
      <c r="AO93" s="452"/>
      <c r="AP93" s="452"/>
      <c r="AQ93" s="452"/>
      <c r="AR93" s="452"/>
      <c r="AS93" s="452"/>
      <c r="AT93" s="452">
        <f>'HR Track 2 HER'!AT10</f>
        <v>46.937284280002643</v>
      </c>
      <c r="AU93" s="452"/>
      <c r="AV93" s="452"/>
      <c r="AW93" s="452" t="str">
        <f>'HR Track 2 HER'!AW10</f>
        <v>Soil A</v>
      </c>
      <c r="AX93" s="452" t="str">
        <f>'HR Track 2 HER'!AX10</f>
        <v>PT</v>
      </c>
      <c r="AY93" s="500">
        <f>'HR Track 2 HER'!AY10</f>
        <v>3.7</v>
      </c>
      <c r="AZ93" s="500"/>
      <c r="BA93" s="1333" t="str">
        <f>'HR Track 2 HER'!BA10</f>
        <v>ü</v>
      </c>
      <c r="BB93" s="452" t="str">
        <f>'HR Track 2 HER'!BB10</f>
        <v>App.7-V11A-P9.5.1.5</v>
      </c>
      <c r="BC93" s="1334">
        <f>'HR Track 2 HER'!BC10</f>
        <v>0</v>
      </c>
      <c r="BD93" s="1335">
        <f>'HR Track 2 HER'!BD10</f>
        <v>0</v>
      </c>
      <c r="BE93" s="1335">
        <f>'HR Track 2 HER'!BE10</f>
        <v>0</v>
      </c>
      <c r="BF93" s="1335">
        <f>'HR Track 2 HER'!BF10</f>
        <v>0</v>
      </c>
      <c r="BG93" s="1335">
        <f>'HR Track 2 HER'!BG10</f>
        <v>0</v>
      </c>
    </row>
    <row r="94" spans="1:59" ht="15.75" customHeight="1">
      <c r="A94" s="501">
        <f>'HR Track 2 HER'!A11</f>
        <v>0</v>
      </c>
      <c r="B94" s="716">
        <f>'HR Track 2 HER'!B11</f>
        <v>0</v>
      </c>
      <c r="C94" s="451">
        <f>'HR Track 2 HER'!C11</f>
        <v>0</v>
      </c>
      <c r="D94" s="453">
        <f>'HR Track 2 HER'!D11</f>
        <v>0</v>
      </c>
      <c r="E94" s="452">
        <f>'HR Track 2 HER'!E11</f>
        <v>0</v>
      </c>
      <c r="F94" s="453">
        <f>'HR Track 2 HER'!F11</f>
        <v>0</v>
      </c>
      <c r="G94" s="500"/>
      <c r="H94" s="453">
        <f>'HR Track 2 HER'!H11</f>
        <v>0</v>
      </c>
      <c r="I94" s="501">
        <f>'HR Track 2 HER'!I11</f>
        <v>0</v>
      </c>
      <c r="J94" s="583"/>
      <c r="K94" s="452"/>
      <c r="L94" s="452">
        <f>'HR Track 2 HER'!L11</f>
        <v>0</v>
      </c>
      <c r="M94" s="452">
        <f>'HR Track 2 HER'!M11</f>
        <v>0</v>
      </c>
      <c r="N94" s="501">
        <f>'HR Track 2 HER'!N11</f>
        <v>0</v>
      </c>
      <c r="O94" s="501">
        <f>'HR Track 2 HER'!O11</f>
        <v>0</v>
      </c>
      <c r="P94" s="501">
        <f>'HR Track 2 HER'!P11</f>
        <v>0</v>
      </c>
      <c r="Q94" s="452">
        <f>'HR Track 2 HER'!Q11</f>
        <v>0</v>
      </c>
      <c r="R94" s="452">
        <f>'HR Track 2 HER'!R11</f>
        <v>0</v>
      </c>
      <c r="S94" s="500">
        <f>'HR Track 2 HER'!S11</f>
        <v>0</v>
      </c>
      <c r="T94" s="452">
        <f>'HR Track 2 HER'!T11</f>
        <v>0</v>
      </c>
      <c r="U94" s="452">
        <f>'HR Track 2 HER'!U11</f>
        <v>0</v>
      </c>
      <c r="V94" s="452">
        <f>'HR Track 2 HER'!V11</f>
        <v>0</v>
      </c>
      <c r="W94" s="452">
        <f>'HR Track 2 HER'!W11</f>
        <v>0</v>
      </c>
      <c r="X94" s="452">
        <f>'HR Track 2 HER'!X11</f>
        <v>0</v>
      </c>
      <c r="Y94" s="452">
        <f>'HR Track 2 HER'!Y11</f>
        <v>0</v>
      </c>
      <c r="Z94" s="452">
        <f>'HR Track 2 HER'!Z11</f>
        <v>0</v>
      </c>
      <c r="AA94" s="452">
        <f>'HR Track 2 HER'!AA11</f>
        <v>0</v>
      </c>
      <c r="AB94" s="452">
        <f>'HR Track 2 HER'!AB11</f>
        <v>0</v>
      </c>
      <c r="AC94" s="452">
        <f>'HR Track 2 HER'!AC11</f>
        <v>0</v>
      </c>
      <c r="AD94" s="452">
        <f>'HR Track 2 HER'!AD11</f>
        <v>0</v>
      </c>
      <c r="AE94" s="452">
        <f>'HR Track 2 HER'!AE11</f>
        <v>0</v>
      </c>
      <c r="AF94" s="452">
        <f>'HR Track 2 HER'!AF11</f>
        <v>0</v>
      </c>
      <c r="AG94" s="451">
        <f>'HR Track 2 HER'!AG11</f>
        <v>0</v>
      </c>
      <c r="AH94" s="452">
        <f>'HR Track 2 HER'!AH11</f>
        <v>0</v>
      </c>
      <c r="AI94" s="452">
        <f>'HR Track 2 HER'!AI11</f>
        <v>0</v>
      </c>
      <c r="AJ94" s="452">
        <f>'HR Track 2 HER'!AJ11</f>
        <v>0</v>
      </c>
      <c r="AK94" s="452">
        <f>'HR Track 2 HER'!AK11</f>
        <v>0</v>
      </c>
      <c r="AL94" s="452">
        <f>'HR Track 2 HER'!AL11</f>
        <v>0</v>
      </c>
      <c r="AM94" s="452">
        <f>'HR Track 2 HER'!AM11</f>
        <v>0</v>
      </c>
      <c r="AN94" s="500">
        <f>'HR Track 2 HER'!AN11</f>
        <v>0</v>
      </c>
      <c r="AO94" s="452"/>
      <c r="AP94" s="452"/>
      <c r="AQ94" s="452"/>
      <c r="AR94" s="452"/>
      <c r="AS94" s="452"/>
      <c r="AT94" s="452">
        <f>'HR Track 2 HER'!AT11</f>
        <v>0</v>
      </c>
      <c r="AU94" s="452"/>
      <c r="AV94" s="452"/>
      <c r="AW94" s="452">
        <f>'HR Track 2 HER'!AW11</f>
        <v>0</v>
      </c>
      <c r="AX94" s="452">
        <f>'HR Track 2 HER'!AX11</f>
        <v>0</v>
      </c>
      <c r="AY94" s="500">
        <f>'HR Track 2 HER'!AY11</f>
        <v>0</v>
      </c>
      <c r="AZ94" s="500"/>
      <c r="BA94" s="1333">
        <f>'HR Track 2 HER'!BA11</f>
        <v>0</v>
      </c>
      <c r="BB94" s="452">
        <f>'HR Track 2 HER'!BB11</f>
        <v>0</v>
      </c>
      <c r="BC94" s="1334">
        <f>'HR Track 2 HER'!BC11</f>
        <v>0</v>
      </c>
      <c r="BD94" s="1335">
        <f>'HR Track 2 HER'!BD11</f>
        <v>0</v>
      </c>
      <c r="BE94" s="1335">
        <f>'HR Track 2 HER'!BE11</f>
        <v>0</v>
      </c>
      <c r="BF94" s="1335">
        <f>'HR Track 2 HER'!BF11</f>
        <v>0</v>
      </c>
      <c r="BG94" s="1335">
        <f>'HR Track 2 HER'!BG11</f>
        <v>0</v>
      </c>
    </row>
    <row r="95" spans="1:59" ht="15.75" customHeight="1">
      <c r="A95" s="501">
        <f>'HR Track 2 HER'!A12</f>
        <v>0</v>
      </c>
      <c r="B95" s="716" t="str">
        <f>'HR Track 2 HER'!B12</f>
        <v>83-2.04</v>
      </c>
      <c r="C95" s="451">
        <f>'HR Track 2 HER'!C12</f>
        <v>83166.909999999989</v>
      </c>
      <c r="D95" s="453">
        <f>'HR Track 2 HER'!D12</f>
        <v>0</v>
      </c>
      <c r="E95" s="452">
        <f>'HR Track 2 HER'!E12</f>
        <v>0</v>
      </c>
      <c r="F95" s="453" t="str">
        <f>'HR Track 2 HER'!F12</f>
        <v>4000</v>
      </c>
      <c r="G95" s="500"/>
      <c r="H95" s="453" t="str">
        <f>'HR Track 2 HER'!H12</f>
        <v>A/S</v>
      </c>
      <c r="I95" s="501" t="str">
        <f>'HR Track 2 HER'!I12</f>
        <v>CP+AnMC</v>
      </c>
      <c r="J95" s="583"/>
      <c r="K95" s="452"/>
      <c r="L95" s="452" t="str">
        <f>'HR Track 2 HER'!L12</f>
        <v>HEB-260 (CP)</v>
      </c>
      <c r="M95" s="452" t="str">
        <f>'HR Track 2 HER'!M12</f>
        <v>C4R</v>
      </c>
      <c r="N95" s="501" t="str">
        <f>'HR Track 2 HER'!N12</f>
        <v>EMT-1</v>
      </c>
      <c r="O95" s="501">
        <f>'HR Track 2 HER'!O12</f>
        <v>0</v>
      </c>
      <c r="P95" s="501">
        <f>'HR Track 2 HER'!P12</f>
        <v>0</v>
      </c>
      <c r="Q95" s="452">
        <f>'HR Track 2 HER'!Q12</f>
        <v>0</v>
      </c>
      <c r="R95" s="452">
        <f>'HR Track 2 HER'!R12</f>
        <v>0</v>
      </c>
      <c r="S95" s="500">
        <f>'HR Track 2 HER'!S12</f>
        <v>0</v>
      </c>
      <c r="T95" s="452">
        <f>'HR Track 2 HER'!T12</f>
        <v>-35</v>
      </c>
      <c r="U95" s="452">
        <f>'HR Track 2 HER'!U12</f>
        <v>0</v>
      </c>
      <c r="V95" s="452">
        <f>'HR Track 2 HER'!V12</f>
        <v>0</v>
      </c>
      <c r="W95" s="452">
        <f>'HR Track 2 HER'!W12</f>
        <v>1.1000000000000001</v>
      </c>
      <c r="X95" s="452">
        <f>'HR Track 2 HER'!X12</f>
        <v>0</v>
      </c>
      <c r="Y95" s="452">
        <f>'HR Track 2 HER'!Y12</f>
        <v>0</v>
      </c>
      <c r="Z95" s="452">
        <f>'HR Track 2 HER'!Z12</f>
        <v>0</v>
      </c>
      <c r="AA95" s="452">
        <f>'HR Track 2 HER'!AA12</f>
        <v>0</v>
      </c>
      <c r="AB95" s="452">
        <f>'HR Track 2 HER'!AB12</f>
        <v>0</v>
      </c>
      <c r="AC95" s="452" t="str">
        <f>'HR Track 2 HER'!AC12</f>
        <v>PH-Q</v>
      </c>
      <c r="AD95" s="452">
        <f>'HR Track 2 HER'!AD12</f>
        <v>0</v>
      </c>
      <c r="AE95" s="452">
        <f>'HR Track 2 HER'!AE12</f>
        <v>0</v>
      </c>
      <c r="AF95" s="452">
        <f>'HR Track 2 HER'!AF12</f>
        <v>5800</v>
      </c>
      <c r="AG95" s="451">
        <f>'HR Track 2 HER'!AG12</f>
        <v>0</v>
      </c>
      <c r="AH95" s="452">
        <f>'HR Track 2 HER'!AH12</f>
        <v>2583</v>
      </c>
      <c r="AI95" s="452">
        <f>'HR Track 2 HER'!AI12</f>
        <v>450</v>
      </c>
      <c r="AJ95" s="452">
        <f>'HR Track 2 HER'!AJ12</f>
        <v>0</v>
      </c>
      <c r="AK95" s="452">
        <f>'HR Track 2 HER'!AK12</f>
        <v>0</v>
      </c>
      <c r="AL95" s="452">
        <f>'HR Track 2 HER'!AL12</f>
        <v>0</v>
      </c>
      <c r="AM95" s="452" t="str">
        <f>'HR Track 2 HER'!AM12</f>
        <v>RW1</v>
      </c>
      <c r="AN95" s="500">
        <f>'HR Track 2 HER'!AN12</f>
        <v>5.15</v>
      </c>
      <c r="AO95" s="452"/>
      <c r="AP95" s="452"/>
      <c r="AQ95" s="452"/>
      <c r="AR95" s="452"/>
      <c r="AS95" s="452"/>
      <c r="AT95" s="452">
        <f>'HR Track 2 HER'!AT12</f>
        <v>-5.0571951078611788</v>
      </c>
      <c r="AU95" s="452"/>
      <c r="AV95" s="452"/>
      <c r="AW95" s="452" t="str">
        <f>'HR Track 2 HER'!AW12</f>
        <v>Soil A</v>
      </c>
      <c r="AX95" s="452" t="str">
        <f>'HR Track 2 HER'!AX12</f>
        <v>PT</v>
      </c>
      <c r="AY95" s="500">
        <f>'HR Track 2 HER'!AY12</f>
        <v>3.5</v>
      </c>
      <c r="AZ95" s="500"/>
      <c r="BA95" s="1333" t="str">
        <f>'HR Track 2 HER'!BA12</f>
        <v>ü</v>
      </c>
      <c r="BB95" s="452" t="str">
        <f>'HR Track 2 HER'!BB12</f>
        <v>App.7-V11A-P9.5.1.6</v>
      </c>
      <c r="BC95" s="1334">
        <f>'HR Track 2 HER'!BC12</f>
        <v>0</v>
      </c>
      <c r="BD95" s="1335">
        <f>'HR Track 2 HER'!BD12</f>
        <v>0</v>
      </c>
      <c r="BE95" s="1335">
        <f>'HR Track 2 HER'!BE12</f>
        <v>0</v>
      </c>
      <c r="BF95" s="1335">
        <f>'HR Track 2 HER'!BF12</f>
        <v>0</v>
      </c>
      <c r="BG95" s="1335">
        <f>'HR Track 2 HER'!BG12</f>
        <v>0</v>
      </c>
    </row>
    <row r="96" spans="1:59" ht="15.65" customHeight="1">
      <c r="A96" s="730"/>
      <c r="B96" s="730"/>
      <c r="C96" s="730"/>
      <c r="D96" s="730"/>
      <c r="E96" s="730"/>
      <c r="F96" s="730"/>
      <c r="G96" s="758"/>
      <c r="H96" s="730"/>
      <c r="I96" s="730"/>
      <c r="J96" s="778"/>
      <c r="K96" s="730"/>
      <c r="L96" s="730"/>
      <c r="M96" s="730"/>
      <c r="N96" s="730"/>
      <c r="O96" s="730"/>
      <c r="P96" s="730"/>
      <c r="Q96" s="730"/>
      <c r="R96" s="730"/>
      <c r="S96" s="758"/>
      <c r="T96" s="730"/>
      <c r="U96" s="730"/>
      <c r="V96" s="730"/>
      <c r="W96" s="730"/>
      <c r="X96" s="730"/>
      <c r="Y96" s="730"/>
      <c r="Z96" s="730"/>
      <c r="AA96" s="730"/>
      <c r="AB96" s="730"/>
      <c r="AC96" s="730"/>
      <c r="AD96" s="730"/>
      <c r="AE96" s="730"/>
      <c r="AF96" s="730"/>
      <c r="AG96" s="778"/>
      <c r="AH96" s="730"/>
      <c r="AI96" s="730"/>
      <c r="AJ96" s="730"/>
      <c r="AK96" s="730"/>
      <c r="AL96" s="730"/>
      <c r="AM96" s="730"/>
      <c r="AN96" s="758"/>
      <c r="AO96" s="730"/>
      <c r="AP96" s="730"/>
      <c r="AQ96" s="758"/>
      <c r="AR96" s="758"/>
      <c r="AS96" s="758"/>
      <c r="AT96" s="758"/>
      <c r="AU96" s="730"/>
      <c r="AV96" s="730"/>
      <c r="AW96" s="730"/>
      <c r="AX96" s="730"/>
      <c r="AY96" s="758"/>
      <c r="AZ96" s="758"/>
      <c r="BA96" s="1306"/>
      <c r="BB96" s="730"/>
      <c r="BC96" s="169"/>
      <c r="BD96" s="1326"/>
      <c r="BE96" s="1326"/>
      <c r="BF96" s="1326"/>
      <c r="BG96" s="1326"/>
    </row>
    <row r="97" spans="1:59" ht="15.65" customHeight="1">
      <c r="A97" s="730"/>
      <c r="B97" s="730"/>
      <c r="C97" s="730"/>
      <c r="D97" s="730"/>
      <c r="E97" s="730"/>
      <c r="F97" s="730"/>
      <c r="G97" s="758"/>
      <c r="H97" s="730"/>
      <c r="I97" s="730"/>
      <c r="J97" s="778"/>
      <c r="K97" s="730"/>
      <c r="L97" s="730"/>
      <c r="M97" s="730"/>
      <c r="N97" s="730"/>
      <c r="O97" s="730"/>
      <c r="P97" s="730"/>
      <c r="Q97" s="730"/>
      <c r="R97" s="730"/>
      <c r="S97" s="758"/>
      <c r="T97" s="730"/>
      <c r="U97" s="730"/>
      <c r="V97" s="730"/>
      <c r="W97" s="730"/>
      <c r="X97" s="730"/>
      <c r="Y97" s="730"/>
      <c r="Z97" s="730"/>
      <c r="AA97" s="730"/>
      <c r="AB97" s="730"/>
      <c r="AC97" s="730"/>
      <c r="AD97" s="730"/>
      <c r="AE97" s="730"/>
      <c r="AF97" s="730"/>
      <c r="AG97" s="778"/>
      <c r="AH97" s="730"/>
      <c r="AI97" s="730"/>
      <c r="AJ97" s="730"/>
      <c r="AK97" s="730"/>
      <c r="AL97" s="730"/>
      <c r="AM97" s="730"/>
      <c r="AN97" s="758"/>
      <c r="AO97" s="730"/>
      <c r="AP97" s="730"/>
      <c r="AQ97" s="758"/>
      <c r="AR97" s="758"/>
      <c r="AS97" s="758"/>
      <c r="AT97" s="758"/>
      <c r="AU97" s="730"/>
      <c r="AV97" s="730"/>
      <c r="AW97" s="730"/>
      <c r="AX97" s="730"/>
      <c r="AY97" s="758"/>
      <c r="AZ97" s="758"/>
      <c r="BA97" s="1306"/>
      <c r="BB97" s="730"/>
      <c r="BC97" s="169"/>
      <c r="BD97" s="1326"/>
      <c r="BE97" s="1326"/>
      <c r="BF97" s="1326"/>
      <c r="BG97" s="1326"/>
    </row>
    <row r="98" spans="1:59" ht="15.65" customHeight="1">
      <c r="S98" s="454"/>
      <c r="AN98" s="454"/>
      <c r="AY98" s="454"/>
      <c r="AZ98" s="454"/>
      <c r="BA98" s="1306"/>
      <c r="BC98" s="169"/>
    </row>
    <row r="99" spans="1:59" ht="15.65" customHeight="1">
      <c r="S99" s="454"/>
      <c r="AN99" s="454"/>
      <c r="AY99" s="454"/>
      <c r="AZ99" s="454"/>
      <c r="BA99" s="1306"/>
      <c r="BC99" s="169"/>
    </row>
    <row r="100" spans="1:59" ht="15.65" customHeight="1">
      <c r="S100" s="454"/>
      <c r="AN100" s="454"/>
      <c r="AY100" s="454"/>
      <c r="AZ100" s="454"/>
      <c r="BA100" s="1306"/>
      <c r="BC100" s="169"/>
    </row>
    <row r="101" spans="1:59" ht="15.65" customHeight="1">
      <c r="S101" s="454"/>
      <c r="AN101" s="454"/>
      <c r="AY101" s="454"/>
      <c r="AZ101" s="454"/>
      <c r="BA101" s="1306"/>
      <c r="BC101" s="169"/>
    </row>
    <row r="102" spans="1:59" ht="15.65" customHeight="1">
      <c r="S102" s="454"/>
      <c r="AN102" s="454"/>
      <c r="AY102" s="454"/>
      <c r="AZ102" s="454"/>
      <c r="BA102" s="1306"/>
      <c r="BC102" s="169"/>
    </row>
    <row r="103" spans="1:59" ht="15.65" customHeight="1">
      <c r="S103" s="454"/>
      <c r="AN103" s="454"/>
      <c r="AY103" s="454"/>
      <c r="AZ103" s="454"/>
      <c r="BA103" s="1306"/>
      <c r="BC103" s="169"/>
    </row>
    <row r="104" spans="1:59" ht="15.65" customHeight="1">
      <c r="S104" s="454"/>
      <c r="AN104" s="454"/>
      <c r="AY104" s="454"/>
      <c r="AZ104" s="454"/>
      <c r="BA104" s="1306"/>
      <c r="BC104" s="169"/>
    </row>
    <row r="105" spans="1:59" ht="15.65" customHeight="1">
      <c r="S105" s="454"/>
      <c r="AN105" s="454"/>
      <c r="AY105" s="454"/>
      <c r="AZ105" s="454"/>
      <c r="BA105" s="1306"/>
      <c r="BC105" s="169"/>
    </row>
    <row r="106" spans="1:59" ht="15.65" customHeight="1">
      <c r="S106" s="454"/>
      <c r="AN106" s="454"/>
      <c r="AY106" s="454"/>
      <c r="AZ106" s="454"/>
      <c r="BA106" s="1306"/>
      <c r="BC106" s="169"/>
    </row>
    <row r="107" spans="1:59" ht="15.65" customHeight="1">
      <c r="S107" s="454"/>
      <c r="AN107" s="454"/>
      <c r="AY107" s="454"/>
      <c r="AZ107" s="454"/>
      <c r="BA107" s="1306"/>
      <c r="BC107" s="169"/>
    </row>
    <row r="108" spans="1:59" ht="15.65" customHeight="1">
      <c r="S108" s="454"/>
      <c r="AN108" s="454"/>
      <c r="AY108" s="454"/>
      <c r="AZ108" s="454"/>
      <c r="BA108" s="1306"/>
      <c r="BC108" s="169"/>
    </row>
    <row r="109" spans="1:59" ht="15.65" customHeight="1">
      <c r="S109" s="454"/>
      <c r="AN109" s="454"/>
      <c r="AY109" s="454"/>
      <c r="AZ109" s="454"/>
      <c r="BA109" s="1306"/>
      <c r="BC109" s="169"/>
    </row>
    <row r="110" spans="1:59" ht="15.65" customHeight="1">
      <c r="S110" s="454"/>
      <c r="AN110" s="454"/>
      <c r="AY110" s="454"/>
      <c r="AZ110" s="454"/>
      <c r="BA110" s="1306"/>
      <c r="BC110" s="169"/>
    </row>
    <row r="111" spans="1:59" ht="15.65" customHeight="1">
      <c r="S111" s="454"/>
      <c r="AN111" s="454"/>
      <c r="AY111" s="454"/>
      <c r="AZ111" s="454"/>
      <c r="BA111" s="1306"/>
      <c r="BC111" s="169"/>
    </row>
    <row r="112" spans="1:59" ht="15.65" customHeight="1">
      <c r="S112" s="454"/>
      <c r="AN112" s="454"/>
      <c r="AY112" s="454"/>
      <c r="AZ112" s="454"/>
      <c r="BA112" s="1306"/>
      <c r="BC112" s="169"/>
    </row>
    <row r="113" spans="19:55" ht="15.65" customHeight="1">
      <c r="S113" s="454"/>
      <c r="AN113" s="454"/>
      <c r="AY113" s="454"/>
      <c r="AZ113" s="454"/>
      <c r="BA113" s="1306"/>
      <c r="BC113" s="169"/>
    </row>
    <row r="114" spans="19:55" ht="15.65" customHeight="1">
      <c r="S114" s="454"/>
      <c r="AN114" s="454"/>
      <c r="AY114" s="454"/>
      <c r="AZ114" s="454"/>
      <c r="BA114" s="1306"/>
      <c r="BC114" s="169"/>
    </row>
    <row r="115" spans="19:55" ht="15.65" customHeight="1">
      <c r="S115" s="454"/>
      <c r="AN115" s="454"/>
      <c r="AY115" s="454"/>
      <c r="AZ115" s="454"/>
      <c r="BA115" s="1306"/>
      <c r="BC115" s="169"/>
    </row>
    <row r="116" spans="19:55" ht="15.65" customHeight="1">
      <c r="S116" s="454"/>
      <c r="AN116" s="454"/>
      <c r="AY116" s="454"/>
      <c r="AZ116" s="454"/>
      <c r="BA116" s="1306"/>
      <c r="BC116" s="169"/>
    </row>
    <row r="117" spans="19:55" ht="15.65" customHeight="1">
      <c r="S117" s="454"/>
      <c r="AN117" s="454"/>
      <c r="AY117" s="454"/>
      <c r="AZ117" s="454"/>
      <c r="BA117" s="1306"/>
      <c r="BC117" s="169"/>
    </row>
    <row r="118" spans="19:55" ht="15.65" customHeight="1">
      <c r="S118" s="454"/>
      <c r="AN118" s="454"/>
      <c r="AY118" s="454"/>
      <c r="AZ118" s="454"/>
      <c r="BA118" s="1306"/>
      <c r="BC118" s="169"/>
    </row>
    <row r="119" spans="19:55" ht="15.65" customHeight="1">
      <c r="S119" s="454"/>
      <c r="AN119" s="454"/>
      <c r="AY119" s="454"/>
      <c r="AZ119" s="454"/>
      <c r="BA119" s="1306"/>
      <c r="BC119" s="169"/>
    </row>
    <row r="120" spans="19:55" ht="15.65" customHeight="1">
      <c r="S120" s="454"/>
      <c r="AN120" s="454"/>
      <c r="AY120" s="454"/>
      <c r="AZ120" s="454"/>
      <c r="BA120" s="1306"/>
      <c r="BC120" s="169"/>
    </row>
    <row r="121" spans="19:55" ht="15.65" customHeight="1">
      <c r="S121" s="454"/>
      <c r="AN121" s="454"/>
      <c r="AY121" s="454"/>
      <c r="AZ121" s="454"/>
      <c r="BA121" s="1306"/>
      <c r="BC121" s="169"/>
    </row>
    <row r="122" spans="19:55" ht="15.65" customHeight="1">
      <c r="S122" s="454"/>
      <c r="AN122" s="454"/>
      <c r="AY122" s="454"/>
      <c r="AZ122" s="454"/>
      <c r="BA122" s="1306"/>
      <c r="BC122" s="169"/>
    </row>
    <row r="123" spans="19:55" ht="15.65" customHeight="1">
      <c r="S123" s="454"/>
      <c r="AN123" s="454"/>
      <c r="AY123" s="454"/>
      <c r="AZ123" s="454"/>
      <c r="BA123" s="1306"/>
      <c r="BC123" s="169"/>
    </row>
    <row r="124" spans="19:55" ht="15.65" customHeight="1">
      <c r="S124" s="454"/>
      <c r="AN124" s="454"/>
      <c r="AY124" s="454"/>
      <c r="AZ124" s="454"/>
      <c r="BA124" s="1306"/>
      <c r="BC124" s="169"/>
    </row>
    <row r="125" spans="19:55" ht="15.65" customHeight="1">
      <c r="S125" s="454"/>
      <c r="AN125" s="454"/>
      <c r="AY125" s="454"/>
      <c r="AZ125" s="454"/>
      <c r="BA125" s="1306"/>
      <c r="BC125" s="169"/>
    </row>
    <row r="126" spans="19:55" ht="15.65" customHeight="1">
      <c r="S126" s="454"/>
      <c r="AN126" s="454"/>
      <c r="AY126" s="454"/>
      <c r="AZ126" s="454"/>
      <c r="BA126" s="1306"/>
      <c r="BC126" s="169"/>
    </row>
    <row r="127" spans="19:55" ht="15.65" customHeight="1">
      <c r="S127" s="454"/>
      <c r="AN127" s="454"/>
      <c r="AY127" s="454"/>
      <c r="AZ127" s="454"/>
      <c r="BA127" s="1306"/>
      <c r="BC127" s="169"/>
    </row>
    <row r="128" spans="19:55" ht="15.65" customHeight="1">
      <c r="S128" s="454"/>
      <c r="AN128" s="454"/>
      <c r="AY128" s="454"/>
      <c r="AZ128" s="454"/>
      <c r="BA128" s="1306"/>
      <c r="BC128" s="169"/>
    </row>
    <row r="129" spans="19:55" ht="15.65" customHeight="1">
      <c r="S129" s="454"/>
      <c r="AN129" s="454"/>
      <c r="AY129" s="454"/>
      <c r="AZ129" s="454"/>
      <c r="BA129" s="1306"/>
      <c r="BC129" s="169"/>
    </row>
    <row r="130" spans="19:55" ht="15.65" customHeight="1">
      <c r="S130" s="454"/>
      <c r="AN130" s="454"/>
      <c r="AY130" s="454"/>
      <c r="AZ130" s="454"/>
      <c r="BA130" s="1306"/>
      <c r="BC130" s="169"/>
    </row>
    <row r="131" spans="19:55" ht="15.65" customHeight="1">
      <c r="S131" s="454"/>
      <c r="AN131" s="454"/>
      <c r="AY131" s="454"/>
      <c r="AZ131" s="454"/>
      <c r="BA131" s="1306"/>
      <c r="BC131" s="169"/>
    </row>
    <row r="132" spans="19:55" ht="15.65" customHeight="1">
      <c r="S132" s="454"/>
      <c r="AN132" s="454"/>
      <c r="AY132" s="454"/>
      <c r="AZ132" s="454"/>
      <c r="BA132" s="1306"/>
      <c r="BC132" s="169"/>
    </row>
    <row r="133" spans="19:55" ht="15.65" customHeight="1">
      <c r="S133" s="454"/>
      <c r="AN133" s="454"/>
      <c r="AY133" s="454"/>
      <c r="AZ133" s="454"/>
      <c r="BA133" s="1306"/>
      <c r="BC133" s="169"/>
    </row>
    <row r="134" spans="19:55" ht="15.65" customHeight="1">
      <c r="S134" s="454"/>
      <c r="AN134" s="454"/>
      <c r="AY134" s="454"/>
      <c r="AZ134" s="454"/>
      <c r="BA134" s="1306"/>
      <c r="BC134" s="169"/>
    </row>
    <row r="135" spans="19:55" ht="15.65" customHeight="1">
      <c r="S135" s="454"/>
      <c r="AN135" s="454"/>
      <c r="AY135" s="454"/>
      <c r="AZ135" s="454"/>
      <c r="BA135" s="1306"/>
      <c r="BC135" s="169"/>
    </row>
    <row r="136" spans="19:55" ht="15.65" customHeight="1">
      <c r="S136" s="454"/>
      <c r="AN136" s="454"/>
      <c r="AY136" s="454"/>
      <c r="AZ136" s="454"/>
      <c r="BA136" s="1306"/>
      <c r="BC136" s="169"/>
    </row>
    <row r="137" spans="19:55" ht="15.65" customHeight="1">
      <c r="S137" s="454"/>
      <c r="AN137" s="454"/>
      <c r="AY137" s="454"/>
      <c r="AZ137" s="454"/>
      <c r="BA137" s="1306"/>
      <c r="BC137" s="169"/>
    </row>
    <row r="138" spans="19:55" ht="15.65" customHeight="1">
      <c r="S138" s="454"/>
      <c r="AN138" s="454"/>
      <c r="AY138" s="454"/>
      <c r="AZ138" s="454"/>
      <c r="BA138" s="1306"/>
      <c r="BC138" s="169"/>
    </row>
    <row r="139" spans="19:55" ht="15.65" customHeight="1">
      <c r="S139" s="454"/>
      <c r="AN139" s="454"/>
      <c r="AY139" s="454"/>
      <c r="AZ139" s="454"/>
      <c r="BA139" s="1306"/>
      <c r="BC139" s="169"/>
    </row>
    <row r="140" spans="19:55" ht="15.65" customHeight="1">
      <c r="S140" s="454"/>
      <c r="AN140" s="454"/>
      <c r="AY140" s="454"/>
      <c r="AZ140" s="454"/>
      <c r="BA140" s="1306"/>
      <c r="BC140" s="169"/>
    </row>
    <row r="141" spans="19:55" ht="15.65" customHeight="1">
      <c r="S141" s="454"/>
      <c r="AN141" s="454"/>
      <c r="AY141" s="454"/>
      <c r="AZ141" s="454"/>
      <c r="BA141" s="1306"/>
      <c r="BC141" s="169"/>
    </row>
    <row r="142" spans="19:55" ht="15.65" customHeight="1">
      <c r="S142" s="454"/>
      <c r="AN142" s="454"/>
      <c r="AY142" s="454"/>
      <c r="AZ142" s="454"/>
      <c r="BA142" s="1306"/>
      <c r="BC142" s="169"/>
    </row>
    <row r="143" spans="19:55" ht="15.65" customHeight="1">
      <c r="S143" s="454"/>
      <c r="AN143" s="454"/>
      <c r="AY143" s="454"/>
      <c r="AZ143" s="454"/>
      <c r="BA143" s="1306"/>
      <c r="BC143" s="169"/>
    </row>
    <row r="144" spans="19:55" ht="15.65" customHeight="1">
      <c r="S144" s="454"/>
      <c r="AN144" s="454"/>
      <c r="AY144" s="454"/>
      <c r="AZ144" s="454"/>
      <c r="BA144" s="1306"/>
      <c r="BC144" s="169"/>
    </row>
    <row r="145" spans="19:55" ht="15.65" customHeight="1">
      <c r="S145" s="454"/>
      <c r="AN145" s="454"/>
      <c r="AY145" s="454"/>
      <c r="AZ145" s="454"/>
      <c r="BA145" s="1306"/>
      <c r="BC145" s="169"/>
    </row>
    <row r="146" spans="19:55" ht="15.65" customHeight="1">
      <c r="S146" s="454"/>
      <c r="AN146" s="454"/>
      <c r="AY146" s="454"/>
      <c r="AZ146" s="454"/>
      <c r="BA146" s="1306"/>
      <c r="BC146" s="169"/>
    </row>
    <row r="147" spans="19:55" ht="15.65" customHeight="1">
      <c r="S147" s="454"/>
      <c r="AN147" s="454"/>
      <c r="AY147" s="454"/>
      <c r="AZ147" s="454"/>
      <c r="BA147" s="1306"/>
      <c r="BC147" s="169"/>
    </row>
    <row r="148" spans="19:55" ht="15.65" customHeight="1">
      <c r="S148" s="454"/>
      <c r="AN148" s="454"/>
      <c r="AY148" s="454"/>
      <c r="AZ148" s="454"/>
      <c r="BA148" s="1306"/>
      <c r="BC148" s="169"/>
    </row>
    <row r="149" spans="19:55" ht="15.65" customHeight="1">
      <c r="S149" s="454"/>
      <c r="AN149" s="454"/>
      <c r="AY149" s="454"/>
      <c r="AZ149" s="454"/>
      <c r="BA149" s="1306"/>
      <c r="BC149" s="169"/>
    </row>
    <row r="150" spans="19:55" ht="15.65" customHeight="1">
      <c r="S150" s="454"/>
      <c r="AN150" s="454"/>
      <c r="AY150" s="454"/>
      <c r="AZ150" s="454"/>
      <c r="BA150" s="1306"/>
      <c r="BC150" s="169"/>
    </row>
    <row r="151" spans="19:55" ht="15.65" customHeight="1">
      <c r="S151" s="454"/>
      <c r="AN151" s="454"/>
      <c r="AY151" s="454"/>
      <c r="AZ151" s="454"/>
      <c r="BA151" s="1306"/>
      <c r="BC151" s="169"/>
    </row>
    <row r="152" spans="19:55" ht="15.65" customHeight="1">
      <c r="S152" s="454"/>
      <c r="AN152" s="454"/>
      <c r="AY152" s="454"/>
      <c r="AZ152" s="454"/>
      <c r="BA152" s="1306"/>
      <c r="BC152" s="169"/>
    </row>
    <row r="153" spans="19:55" ht="15.65" customHeight="1">
      <c r="S153" s="454"/>
      <c r="AN153" s="454"/>
      <c r="AY153" s="454"/>
      <c r="AZ153" s="454"/>
      <c r="BA153" s="1306"/>
      <c r="BC153" s="169"/>
    </row>
    <row r="154" spans="19:55" ht="15.65" customHeight="1">
      <c r="S154" s="454"/>
      <c r="AN154" s="454"/>
      <c r="AY154" s="454"/>
      <c r="AZ154" s="454"/>
      <c r="BA154" s="1306"/>
      <c r="BC154" s="169"/>
    </row>
    <row r="155" spans="19:55" ht="15.65" customHeight="1">
      <c r="S155" s="454"/>
      <c r="AN155" s="454"/>
      <c r="AY155" s="454"/>
      <c r="AZ155" s="454"/>
      <c r="BA155" s="1306"/>
      <c r="BC155" s="169"/>
    </row>
    <row r="156" spans="19:55" ht="15.65" customHeight="1">
      <c r="S156" s="454"/>
      <c r="AN156" s="454"/>
      <c r="AY156" s="454"/>
      <c r="AZ156" s="454"/>
      <c r="BA156" s="1306"/>
      <c r="BC156" s="169"/>
    </row>
    <row r="157" spans="19:55" ht="15.65" customHeight="1">
      <c r="S157" s="454"/>
      <c r="AN157" s="454"/>
      <c r="AY157" s="454"/>
      <c r="AZ157" s="454"/>
      <c r="BA157" s="1306"/>
      <c r="BC157" s="169"/>
    </row>
    <row r="158" spans="19:55" ht="15.65" customHeight="1">
      <c r="S158" s="454"/>
      <c r="AN158" s="454"/>
      <c r="AY158" s="454"/>
      <c r="AZ158" s="454"/>
      <c r="BA158" s="1306"/>
      <c r="BC158" s="169"/>
    </row>
    <row r="159" spans="19:55" ht="15.65" customHeight="1">
      <c r="S159" s="454"/>
      <c r="AN159" s="454"/>
      <c r="AY159" s="454"/>
      <c r="AZ159" s="454"/>
      <c r="BA159" s="1306"/>
      <c r="BC159" s="169"/>
    </row>
    <row r="160" spans="19:55" ht="15.65" customHeight="1">
      <c r="S160" s="454"/>
      <c r="AN160" s="454"/>
      <c r="AY160" s="454"/>
      <c r="AZ160" s="454"/>
      <c r="BA160" s="1306"/>
      <c r="BC160" s="169"/>
    </row>
    <row r="161" spans="19:55" ht="15.65" customHeight="1">
      <c r="S161" s="454"/>
      <c r="AN161" s="454"/>
      <c r="AY161" s="454"/>
      <c r="AZ161" s="454"/>
      <c r="BA161" s="1306"/>
      <c r="BC161" s="169"/>
    </row>
    <row r="162" spans="19:55" ht="15.65" customHeight="1">
      <c r="S162" s="454"/>
      <c r="AN162" s="454"/>
      <c r="AY162" s="454"/>
      <c r="AZ162" s="454"/>
      <c r="BA162" s="1306"/>
      <c r="BC162" s="169"/>
    </row>
    <row r="163" spans="19:55" ht="15.65" customHeight="1">
      <c r="S163" s="454"/>
      <c r="AN163" s="454"/>
      <c r="AY163" s="454"/>
      <c r="AZ163" s="454"/>
      <c r="BA163" s="1306"/>
      <c r="BC163" s="169"/>
    </row>
    <row r="164" spans="19:55" ht="15.65" customHeight="1">
      <c r="S164" s="454"/>
      <c r="AN164" s="454"/>
      <c r="AY164" s="454"/>
      <c r="AZ164" s="454"/>
      <c r="BA164" s="1306"/>
      <c r="BC164" s="169"/>
    </row>
    <row r="165" spans="19:55" ht="15.65" customHeight="1">
      <c r="S165" s="454"/>
      <c r="AN165" s="454"/>
      <c r="AY165" s="454"/>
      <c r="AZ165" s="454"/>
      <c r="BA165" s="1306"/>
      <c r="BC165" s="169"/>
    </row>
    <row r="166" spans="19:55" ht="15.65" customHeight="1">
      <c r="S166" s="454"/>
      <c r="AN166" s="454"/>
      <c r="AY166" s="454"/>
      <c r="AZ166" s="454"/>
      <c r="BA166" s="1306"/>
      <c r="BC166" s="169"/>
    </row>
    <row r="167" spans="19:55" ht="15.65" customHeight="1">
      <c r="S167" s="454"/>
      <c r="AN167" s="454"/>
      <c r="AY167" s="454"/>
      <c r="AZ167" s="454"/>
      <c r="BA167" s="1306"/>
      <c r="BC167" s="169"/>
    </row>
    <row r="168" spans="19:55" ht="15.65" customHeight="1">
      <c r="S168" s="454"/>
      <c r="AN168" s="454"/>
      <c r="AY168" s="454"/>
      <c r="AZ168" s="454"/>
      <c r="BA168" s="1306"/>
      <c r="BC168" s="169"/>
    </row>
    <row r="169" spans="19:55" ht="15.65" customHeight="1">
      <c r="S169" s="454"/>
      <c r="AN169" s="454"/>
      <c r="AY169" s="454"/>
      <c r="AZ169" s="454"/>
      <c r="BA169" s="1306"/>
      <c r="BC169" s="169"/>
    </row>
    <row r="170" spans="19:55" ht="15.65" customHeight="1">
      <c r="S170" s="454"/>
      <c r="AN170" s="454"/>
      <c r="AY170" s="454"/>
      <c r="AZ170" s="454"/>
      <c r="BA170" s="1306"/>
      <c r="BC170" s="169"/>
    </row>
    <row r="171" spans="19:55" ht="15.65" customHeight="1">
      <c r="S171" s="454"/>
      <c r="AN171" s="454"/>
      <c r="AY171" s="454"/>
      <c r="AZ171" s="454"/>
      <c r="BA171" s="1306"/>
      <c r="BC171" s="169"/>
    </row>
    <row r="172" spans="19:55" ht="15.65" customHeight="1">
      <c r="S172" s="454"/>
      <c r="AN172" s="454"/>
      <c r="AY172" s="454"/>
      <c r="AZ172" s="454"/>
      <c r="BA172" s="1306"/>
      <c r="BC172" s="169"/>
    </row>
    <row r="173" spans="19:55" ht="15.65" customHeight="1">
      <c r="S173" s="454"/>
      <c r="AN173" s="454"/>
      <c r="AY173" s="454"/>
      <c r="AZ173" s="454"/>
      <c r="BA173" s="1306"/>
      <c r="BC173" s="169"/>
    </row>
    <row r="174" spans="19:55" ht="15.65" customHeight="1">
      <c r="S174" s="454"/>
      <c r="AN174" s="454"/>
      <c r="AY174" s="454"/>
      <c r="AZ174" s="454"/>
      <c r="BA174" s="1306"/>
      <c r="BC174" s="169"/>
    </row>
    <row r="175" spans="19:55" ht="15.65" customHeight="1">
      <c r="S175" s="454"/>
      <c r="AN175" s="454"/>
      <c r="AY175" s="454"/>
      <c r="AZ175" s="454"/>
      <c r="BA175" s="1306"/>
      <c r="BC175" s="169"/>
    </row>
    <row r="176" spans="19:55" ht="15.65" customHeight="1">
      <c r="S176" s="454"/>
      <c r="AN176" s="454"/>
      <c r="AY176" s="454"/>
      <c r="AZ176" s="454"/>
      <c r="BA176" s="1306"/>
      <c r="BC176" s="169"/>
    </row>
    <row r="177" spans="19:55" ht="15.65" customHeight="1">
      <c r="S177" s="454"/>
      <c r="AN177" s="454"/>
      <c r="AY177" s="454"/>
      <c r="AZ177" s="454"/>
      <c r="BA177" s="1306"/>
      <c r="BC177" s="169"/>
    </row>
    <row r="178" spans="19:55" ht="15.65" customHeight="1">
      <c r="S178" s="454"/>
      <c r="AN178" s="454"/>
      <c r="AY178" s="454"/>
      <c r="AZ178" s="454"/>
      <c r="BA178" s="1306"/>
      <c r="BC178" s="169"/>
    </row>
    <row r="179" spans="19:55" ht="15.65" customHeight="1">
      <c r="S179" s="454"/>
      <c r="AN179" s="454"/>
      <c r="AY179" s="454"/>
      <c r="AZ179" s="454"/>
      <c r="BA179" s="1306"/>
      <c r="BC179" s="169"/>
    </row>
    <row r="180" spans="19:55" ht="15.65" customHeight="1">
      <c r="S180" s="454"/>
      <c r="AN180" s="454"/>
      <c r="AY180" s="454"/>
      <c r="AZ180" s="454"/>
      <c r="BA180" s="1306"/>
      <c r="BC180" s="169"/>
    </row>
    <row r="181" spans="19:55" ht="15.65" customHeight="1">
      <c r="S181" s="454"/>
      <c r="AN181" s="454"/>
      <c r="AY181" s="454"/>
      <c r="AZ181" s="454"/>
      <c r="BA181" s="1306"/>
      <c r="BC181" s="169"/>
    </row>
    <row r="182" spans="19:55" ht="15.65" customHeight="1">
      <c r="S182" s="454"/>
      <c r="AN182" s="454"/>
      <c r="AY182" s="454"/>
      <c r="AZ182" s="454"/>
      <c r="BA182" s="1306"/>
      <c r="BC182" s="169"/>
    </row>
    <row r="183" spans="19:55" ht="15.65" customHeight="1">
      <c r="S183" s="454"/>
      <c r="AN183" s="454"/>
      <c r="AY183" s="454"/>
      <c r="AZ183" s="454"/>
      <c r="BA183" s="1306"/>
      <c r="BC183" s="169"/>
    </row>
    <row r="184" spans="19:55" ht="15.65" customHeight="1">
      <c r="S184" s="454"/>
      <c r="AN184" s="454"/>
      <c r="AY184" s="454"/>
      <c r="AZ184" s="454"/>
      <c r="BA184" s="1306"/>
      <c r="BC184" s="169"/>
    </row>
    <row r="185" spans="19:55" ht="15.65" customHeight="1">
      <c r="S185" s="454"/>
      <c r="AN185" s="454"/>
      <c r="AY185" s="454"/>
      <c r="AZ185" s="454"/>
      <c r="BA185" s="1306"/>
      <c r="BC185" s="169"/>
    </row>
    <row r="186" spans="19:55" ht="15.65" customHeight="1">
      <c r="S186" s="454"/>
      <c r="AN186" s="454"/>
      <c r="AY186" s="454"/>
      <c r="AZ186" s="454"/>
      <c r="BA186" s="1306"/>
      <c r="BC186" s="169"/>
    </row>
    <row r="187" spans="19:55" ht="15.65" customHeight="1">
      <c r="S187" s="454"/>
      <c r="AN187" s="454"/>
      <c r="AY187" s="454"/>
      <c r="AZ187" s="454"/>
      <c r="BA187" s="1306"/>
      <c r="BC187" s="169"/>
    </row>
    <row r="188" spans="19:55" ht="15.65" customHeight="1">
      <c r="S188" s="454"/>
      <c r="AN188" s="454"/>
      <c r="AY188" s="454"/>
      <c r="AZ188" s="454"/>
      <c r="BA188" s="1306"/>
      <c r="BC188" s="169"/>
    </row>
    <row r="189" spans="19:55" ht="15.65" customHeight="1">
      <c r="S189" s="454"/>
      <c r="AN189" s="454"/>
      <c r="AY189" s="454"/>
      <c r="AZ189" s="454"/>
      <c r="BA189" s="1306"/>
      <c r="BC189" s="169"/>
    </row>
    <row r="190" spans="19:55" ht="15.65" customHeight="1">
      <c r="S190" s="454"/>
      <c r="AN190" s="454"/>
      <c r="AY190" s="454"/>
      <c r="AZ190" s="454"/>
      <c r="BA190" s="1306"/>
      <c r="BC190" s="169"/>
    </row>
    <row r="191" spans="19:55" ht="15.65" customHeight="1">
      <c r="S191" s="454"/>
      <c r="AN191" s="454"/>
      <c r="AY191" s="454"/>
      <c r="AZ191" s="454"/>
      <c r="BA191" s="1306"/>
      <c r="BC191" s="169"/>
    </row>
    <row r="192" spans="19:55" ht="15.65" customHeight="1">
      <c r="S192" s="454"/>
      <c r="AN192" s="454"/>
      <c r="AY192" s="454"/>
      <c r="AZ192" s="454"/>
      <c r="BA192" s="1306"/>
      <c r="BC192" s="169"/>
    </row>
    <row r="193" spans="19:55" ht="15.65" customHeight="1">
      <c r="S193" s="454"/>
      <c r="AN193" s="454"/>
      <c r="AY193" s="454"/>
      <c r="AZ193" s="454"/>
      <c r="BA193" s="1306"/>
      <c r="BC193" s="169"/>
    </row>
    <row r="194" spans="19:55" ht="15.65" customHeight="1">
      <c r="S194" s="454"/>
      <c r="AN194" s="454"/>
      <c r="AY194" s="454"/>
      <c r="AZ194" s="454"/>
      <c r="BA194" s="1306"/>
      <c r="BC194" s="169"/>
    </row>
    <row r="195" spans="19:55" ht="15.65" customHeight="1">
      <c r="S195" s="454"/>
      <c r="AN195" s="454"/>
      <c r="AY195" s="454"/>
      <c r="AZ195" s="454"/>
      <c r="BA195" s="1306"/>
      <c r="BC195" s="169"/>
    </row>
    <row r="196" spans="19:55" ht="15.65" customHeight="1">
      <c r="S196" s="454"/>
      <c r="AN196" s="454"/>
      <c r="AY196" s="454"/>
      <c r="AZ196" s="454"/>
      <c r="BA196" s="1306"/>
      <c r="BC196" s="169"/>
    </row>
    <row r="197" spans="19:55" ht="15.65" customHeight="1">
      <c r="S197" s="454"/>
      <c r="AN197" s="454"/>
      <c r="AY197" s="454"/>
      <c r="AZ197" s="454"/>
      <c r="BA197" s="1306"/>
      <c r="BC197" s="169"/>
    </row>
    <row r="198" spans="19:55" ht="15.65" customHeight="1">
      <c r="S198" s="454"/>
      <c r="AN198" s="454"/>
      <c r="AY198" s="454"/>
      <c r="AZ198" s="454"/>
      <c r="BA198" s="1306"/>
      <c r="BC198" s="169"/>
    </row>
    <row r="199" spans="19:55" ht="15.65" customHeight="1">
      <c r="S199" s="454"/>
      <c r="AN199" s="454"/>
      <c r="AY199" s="454"/>
      <c r="AZ199" s="454"/>
      <c r="BA199" s="1306"/>
      <c r="BC199" s="169"/>
    </row>
    <row r="200" spans="19:55" ht="15.65" customHeight="1">
      <c r="S200" s="454"/>
      <c r="AN200" s="454"/>
      <c r="AY200" s="454"/>
      <c r="AZ200" s="454"/>
      <c r="BA200" s="1306"/>
      <c r="BC200" s="169"/>
    </row>
    <row r="201" spans="19:55" ht="15.65" customHeight="1">
      <c r="S201" s="454"/>
      <c r="AN201" s="454"/>
      <c r="AY201" s="454"/>
      <c r="AZ201" s="454"/>
      <c r="BA201" s="1306"/>
      <c r="BC201" s="169"/>
    </row>
    <row r="202" spans="19:55" ht="15.65" customHeight="1">
      <c r="S202" s="454"/>
      <c r="AN202" s="454"/>
      <c r="AY202" s="454"/>
      <c r="AZ202" s="454"/>
      <c r="BA202" s="1306"/>
      <c r="BC202" s="169"/>
    </row>
    <row r="203" spans="19:55" ht="15.65" customHeight="1">
      <c r="S203" s="454"/>
      <c r="AN203" s="454"/>
      <c r="AY203" s="454"/>
      <c r="AZ203" s="454"/>
      <c r="BA203" s="1306"/>
      <c r="BC203" s="169"/>
    </row>
    <row r="204" spans="19:55" ht="15.65" customHeight="1">
      <c r="S204" s="454"/>
      <c r="AN204" s="454"/>
      <c r="AY204" s="454"/>
      <c r="AZ204" s="454"/>
      <c r="BA204" s="1306"/>
      <c r="BC204" s="169"/>
    </row>
    <row r="205" spans="19:55" ht="15.65" customHeight="1">
      <c r="S205" s="454"/>
      <c r="AN205" s="454"/>
      <c r="AY205" s="454"/>
      <c r="AZ205" s="454"/>
      <c r="BA205" s="1306"/>
      <c r="BC205" s="169"/>
    </row>
    <row r="206" spans="19:55" ht="15.65" customHeight="1">
      <c r="S206" s="454"/>
      <c r="AN206" s="454"/>
      <c r="AY206" s="454"/>
      <c r="AZ206" s="454"/>
      <c r="BA206" s="1306"/>
      <c r="BC206" s="169"/>
    </row>
    <row r="207" spans="19:55" ht="15.65" customHeight="1">
      <c r="S207" s="454"/>
      <c r="AN207" s="454"/>
      <c r="AY207" s="454"/>
      <c r="AZ207" s="454"/>
      <c r="BA207" s="1306"/>
      <c r="BC207" s="169"/>
    </row>
    <row r="208" spans="19:55" ht="15.65" customHeight="1">
      <c r="S208" s="454"/>
      <c r="AN208" s="454"/>
      <c r="AY208" s="454"/>
      <c r="AZ208" s="454"/>
      <c r="BA208" s="1306"/>
      <c r="BC208" s="169"/>
    </row>
    <row r="209" spans="19:55" ht="15.65" customHeight="1">
      <c r="S209" s="454"/>
      <c r="AN209" s="454"/>
      <c r="AY209" s="454"/>
      <c r="AZ209" s="454"/>
      <c r="BA209" s="1306"/>
      <c r="BC209" s="169"/>
    </row>
    <row r="210" spans="19:55" ht="15.65" customHeight="1">
      <c r="S210" s="454"/>
      <c r="AN210" s="454"/>
      <c r="AY210" s="454"/>
      <c r="AZ210" s="454"/>
      <c r="BA210" s="1306"/>
      <c r="BC210" s="169"/>
    </row>
    <row r="211" spans="19:55" ht="15.65" customHeight="1">
      <c r="S211" s="454"/>
      <c r="AN211" s="454"/>
      <c r="AY211" s="454"/>
      <c r="AZ211" s="454"/>
      <c r="BA211" s="1306"/>
      <c r="BC211" s="169"/>
    </row>
    <row r="212" spans="19:55" ht="15.65" customHeight="1">
      <c r="S212" s="454"/>
      <c r="AN212" s="454"/>
      <c r="AY212" s="454"/>
      <c r="AZ212" s="454"/>
      <c r="BA212" s="1306"/>
      <c r="BC212" s="169"/>
    </row>
    <row r="213" spans="19:55" ht="15.65" customHeight="1">
      <c r="S213" s="454"/>
      <c r="AN213" s="454"/>
      <c r="AY213" s="454"/>
      <c r="AZ213" s="454"/>
      <c r="BA213" s="1306"/>
      <c r="BC213" s="169"/>
    </row>
    <row r="214" spans="19:55" ht="15.65" customHeight="1">
      <c r="S214" s="454"/>
      <c r="AN214" s="454"/>
      <c r="AY214" s="454"/>
      <c r="AZ214" s="454"/>
      <c r="BA214" s="1306"/>
      <c r="BC214" s="169"/>
    </row>
    <row r="215" spans="19:55" ht="15.65" customHeight="1">
      <c r="S215" s="454"/>
      <c r="AN215" s="454"/>
      <c r="AY215" s="454"/>
      <c r="AZ215" s="454"/>
      <c r="BA215" s="1306"/>
      <c r="BC215" s="169"/>
    </row>
    <row r="216" spans="19:55" ht="15.65" customHeight="1">
      <c r="S216" s="454"/>
      <c r="AN216" s="454"/>
      <c r="AY216" s="454"/>
      <c r="AZ216" s="454"/>
      <c r="BA216" s="1306"/>
      <c r="BC216" s="169"/>
    </row>
    <row r="217" spans="19:55" ht="15.65" customHeight="1">
      <c r="S217" s="454"/>
      <c r="AN217" s="454"/>
      <c r="AY217" s="454"/>
      <c r="AZ217" s="454"/>
      <c r="BA217" s="1306"/>
      <c r="BC217" s="169"/>
    </row>
    <row r="218" spans="19:55" ht="15.65" customHeight="1">
      <c r="S218" s="454"/>
      <c r="AN218" s="454"/>
      <c r="AY218" s="454"/>
      <c r="AZ218" s="454"/>
      <c r="BA218" s="1306"/>
      <c r="BC218" s="169"/>
    </row>
    <row r="219" spans="19:55" ht="15.65" customHeight="1">
      <c r="S219" s="454"/>
      <c r="AN219" s="454"/>
      <c r="AY219" s="454"/>
      <c r="AZ219" s="454"/>
      <c r="BA219" s="1306"/>
      <c r="BC219" s="169"/>
    </row>
    <row r="220" spans="19:55" ht="15.65" customHeight="1">
      <c r="S220" s="454"/>
      <c r="AN220" s="454"/>
      <c r="AY220" s="454"/>
      <c r="AZ220" s="454"/>
      <c r="BA220" s="1306"/>
      <c r="BC220" s="169"/>
    </row>
    <row r="221" spans="19:55" ht="15.65" customHeight="1">
      <c r="S221" s="454"/>
      <c r="AN221" s="454"/>
      <c r="AY221" s="454"/>
      <c r="AZ221" s="454"/>
      <c r="BA221" s="1306"/>
      <c r="BC221" s="169"/>
    </row>
    <row r="222" spans="19:55" ht="15.65" customHeight="1">
      <c r="S222" s="454"/>
      <c r="AN222" s="454"/>
      <c r="AY222" s="454"/>
      <c r="AZ222" s="454"/>
      <c r="BA222" s="1306"/>
      <c r="BC222" s="169"/>
    </row>
    <row r="223" spans="19:55" ht="15.65" customHeight="1">
      <c r="S223" s="454"/>
      <c r="AN223" s="454"/>
      <c r="AY223" s="454"/>
      <c r="AZ223" s="454"/>
      <c r="BA223" s="1306"/>
      <c r="BC223" s="169"/>
    </row>
    <row r="224" spans="19:55" ht="15.65" customHeight="1">
      <c r="S224" s="454"/>
      <c r="AN224" s="454"/>
      <c r="AY224" s="454"/>
      <c r="AZ224" s="454"/>
      <c r="BA224" s="1306"/>
      <c r="BC224" s="169"/>
    </row>
    <row r="225" spans="19:55" ht="15.65" customHeight="1">
      <c r="S225" s="454"/>
      <c r="AN225" s="454"/>
      <c r="AY225" s="454"/>
      <c r="AZ225" s="454"/>
      <c r="BA225" s="1306"/>
      <c r="BC225" s="169"/>
    </row>
    <row r="226" spans="19:55" ht="15.65" customHeight="1">
      <c r="S226" s="454"/>
      <c r="AN226" s="454"/>
      <c r="AY226" s="454"/>
      <c r="AZ226" s="454"/>
      <c r="BA226" s="1306"/>
      <c r="BC226" s="169"/>
    </row>
    <row r="227" spans="19:55" ht="15.65" customHeight="1">
      <c r="S227" s="454"/>
      <c r="AN227" s="454"/>
      <c r="AY227" s="454"/>
      <c r="AZ227" s="454"/>
      <c r="BA227" s="1306"/>
      <c r="BC227" s="169"/>
    </row>
    <row r="228" spans="19:55" ht="15.65" customHeight="1">
      <c r="S228" s="454"/>
      <c r="AN228" s="454"/>
      <c r="AY228" s="454"/>
      <c r="AZ228" s="454"/>
      <c r="BA228" s="1306"/>
      <c r="BC228" s="169"/>
    </row>
    <row r="229" spans="19:55" ht="15.65" customHeight="1">
      <c r="S229" s="454"/>
      <c r="AN229" s="454"/>
      <c r="AY229" s="454"/>
      <c r="AZ229" s="454"/>
      <c r="BA229" s="1306"/>
      <c r="BC229" s="169"/>
    </row>
    <row r="230" spans="19:55" ht="15.65" customHeight="1">
      <c r="S230" s="454"/>
      <c r="AN230" s="454"/>
      <c r="AY230" s="454"/>
      <c r="AZ230" s="454"/>
      <c r="BA230" s="1306"/>
      <c r="BC230" s="169"/>
    </row>
    <row r="231" spans="19:55" ht="15.65" customHeight="1">
      <c r="S231" s="454"/>
      <c r="AN231" s="454"/>
      <c r="AY231" s="454"/>
      <c r="AZ231" s="454"/>
      <c r="BA231" s="1306"/>
      <c r="BC231" s="169"/>
    </row>
    <row r="232" spans="19:55" ht="15.65" customHeight="1">
      <c r="S232" s="454"/>
      <c r="AN232" s="454"/>
      <c r="AY232" s="454"/>
      <c r="AZ232" s="454"/>
      <c r="BA232" s="1306"/>
      <c r="BC232" s="169"/>
    </row>
    <row r="233" spans="19:55" ht="15.65" customHeight="1">
      <c r="S233" s="454"/>
      <c r="AN233" s="454"/>
      <c r="AY233" s="454"/>
      <c r="AZ233" s="454"/>
      <c r="BA233" s="1306"/>
      <c r="BC233" s="169"/>
    </row>
    <row r="234" spans="19:55" ht="15.65" customHeight="1">
      <c r="S234" s="454"/>
      <c r="AN234" s="454"/>
      <c r="AY234" s="454"/>
      <c r="AZ234" s="454"/>
      <c r="BA234" s="1306"/>
      <c r="BC234" s="169"/>
    </row>
    <row r="235" spans="19:55" ht="15.65" customHeight="1">
      <c r="S235" s="454"/>
      <c r="AN235" s="454"/>
      <c r="AY235" s="454"/>
      <c r="AZ235" s="454"/>
      <c r="BA235" s="1306"/>
      <c r="BC235" s="169"/>
    </row>
    <row r="236" spans="19:55" ht="15.65" customHeight="1">
      <c r="S236" s="454"/>
      <c r="AN236" s="454"/>
      <c r="AY236" s="454"/>
      <c r="AZ236" s="454"/>
      <c r="BA236" s="1306"/>
      <c r="BC236" s="169"/>
    </row>
    <row r="237" spans="19:55" ht="15.65" customHeight="1">
      <c r="S237" s="454"/>
      <c r="AN237" s="454"/>
      <c r="AY237" s="454"/>
      <c r="AZ237" s="454"/>
      <c r="BA237" s="1306"/>
      <c r="BC237" s="169"/>
    </row>
    <row r="238" spans="19:55" ht="15.65" customHeight="1">
      <c r="S238" s="454"/>
      <c r="AN238" s="454"/>
      <c r="AY238" s="454"/>
      <c r="AZ238" s="454"/>
      <c r="BA238" s="1306"/>
      <c r="BC238" s="169"/>
    </row>
    <row r="239" spans="19:55" ht="15.65" customHeight="1">
      <c r="S239" s="454"/>
      <c r="AN239" s="454"/>
      <c r="AY239" s="454"/>
      <c r="AZ239" s="454"/>
      <c r="BA239" s="1306"/>
      <c r="BC239" s="169"/>
    </row>
    <row r="240" spans="19:55" ht="15.65" customHeight="1">
      <c r="S240" s="454"/>
      <c r="AN240" s="454"/>
      <c r="AY240" s="454"/>
      <c r="AZ240" s="454"/>
      <c r="BA240" s="1306"/>
      <c r="BC240" s="169"/>
    </row>
    <row r="241" spans="19:55" ht="15.65" customHeight="1">
      <c r="S241" s="454"/>
      <c r="AN241" s="454"/>
      <c r="AY241" s="454"/>
      <c r="AZ241" s="454"/>
      <c r="BA241" s="1306"/>
      <c r="BC241" s="169"/>
    </row>
    <row r="242" spans="19:55" ht="15.65" customHeight="1">
      <c r="S242" s="454"/>
      <c r="AN242" s="454"/>
      <c r="AY242" s="454"/>
      <c r="AZ242" s="454"/>
      <c r="BA242" s="1306"/>
      <c r="BC242" s="169"/>
    </row>
    <row r="243" spans="19:55" ht="15.65" customHeight="1">
      <c r="S243" s="454"/>
      <c r="AN243" s="454"/>
      <c r="AY243" s="454"/>
      <c r="AZ243" s="454"/>
      <c r="BA243" s="1306"/>
      <c r="BC243" s="169"/>
    </row>
    <row r="244" spans="19:55" ht="15.65" customHeight="1">
      <c r="S244" s="454"/>
      <c r="AN244" s="454"/>
      <c r="AY244" s="454"/>
      <c r="AZ244" s="454"/>
      <c r="BA244" s="1306"/>
      <c r="BC244" s="169"/>
    </row>
    <row r="245" spans="19:55" ht="15.65" customHeight="1">
      <c r="S245" s="454"/>
      <c r="AN245" s="454"/>
      <c r="AY245" s="454"/>
      <c r="AZ245" s="454"/>
      <c r="BA245" s="1306"/>
      <c r="BC245" s="169"/>
    </row>
    <row r="246" spans="19:55" ht="15.65" customHeight="1">
      <c r="S246" s="454"/>
      <c r="AN246" s="454"/>
      <c r="AY246" s="454"/>
      <c r="AZ246" s="454"/>
      <c r="BA246" s="1306"/>
      <c r="BC246" s="169"/>
    </row>
    <row r="247" spans="19:55" ht="15.65" customHeight="1">
      <c r="S247" s="454"/>
      <c r="AN247" s="454"/>
      <c r="AY247" s="454"/>
      <c r="AZ247" s="454"/>
      <c r="BA247" s="1306"/>
      <c r="BC247" s="169"/>
    </row>
    <row r="248" spans="19:55" ht="15.65" customHeight="1">
      <c r="S248" s="454"/>
      <c r="AN248" s="454"/>
      <c r="AY248" s="454"/>
      <c r="AZ248" s="454"/>
      <c r="BA248" s="1306"/>
      <c r="BC248" s="169"/>
    </row>
    <row r="249" spans="19:55" ht="15.65" customHeight="1">
      <c r="S249" s="454"/>
      <c r="AN249" s="454"/>
      <c r="AY249" s="454"/>
      <c r="AZ249" s="454"/>
      <c r="BA249" s="1306"/>
      <c r="BC249" s="169"/>
    </row>
    <row r="250" spans="19:55" ht="15.65" customHeight="1">
      <c r="S250" s="454"/>
      <c r="AN250" s="454"/>
      <c r="AY250" s="454"/>
      <c r="AZ250" s="454"/>
      <c r="BA250" s="1306"/>
      <c r="BC250" s="169"/>
    </row>
    <row r="251" spans="19:55" ht="15.65" customHeight="1">
      <c r="S251" s="454"/>
      <c r="AN251" s="454"/>
      <c r="AY251" s="454"/>
      <c r="AZ251" s="454"/>
      <c r="BA251" s="1306"/>
      <c r="BC251" s="169"/>
    </row>
    <row r="252" spans="19:55" ht="15.65" customHeight="1">
      <c r="S252" s="454"/>
      <c r="AN252" s="454"/>
      <c r="AY252" s="454"/>
      <c r="AZ252" s="454"/>
      <c r="BA252" s="1306"/>
      <c r="BC252" s="169"/>
    </row>
    <row r="253" spans="19:55" ht="15.65" customHeight="1">
      <c r="S253" s="454"/>
      <c r="AN253" s="454"/>
      <c r="AY253" s="454"/>
      <c r="AZ253" s="454"/>
      <c r="BA253" s="1306"/>
      <c r="BC253" s="169"/>
    </row>
    <row r="254" spans="19:55" ht="15.65" customHeight="1">
      <c r="S254" s="454"/>
      <c r="AN254" s="454"/>
      <c r="AY254" s="454"/>
      <c r="AZ254" s="454"/>
      <c r="BA254" s="1306"/>
      <c r="BC254" s="169"/>
    </row>
    <row r="255" spans="19:55" ht="15.65" customHeight="1">
      <c r="S255" s="454"/>
      <c r="AN255" s="454"/>
      <c r="AY255" s="454"/>
      <c r="AZ255" s="454"/>
      <c r="BA255" s="1306"/>
      <c r="BC255" s="169"/>
    </row>
    <row r="256" spans="19:55" ht="15.65" customHeight="1">
      <c r="S256" s="454"/>
      <c r="AN256" s="454"/>
      <c r="AY256" s="454"/>
      <c r="AZ256" s="454"/>
      <c r="BA256" s="1306"/>
      <c r="BC256" s="169"/>
    </row>
    <row r="257" spans="19:55" ht="15.65" customHeight="1">
      <c r="S257" s="454"/>
      <c r="AN257" s="454"/>
      <c r="AY257" s="454"/>
      <c r="AZ257" s="454"/>
      <c r="BA257" s="1306"/>
      <c r="BC257" s="169"/>
    </row>
    <row r="258" spans="19:55" ht="15.65" customHeight="1">
      <c r="S258" s="454"/>
      <c r="AN258" s="454"/>
      <c r="AY258" s="454"/>
      <c r="AZ258" s="454"/>
      <c r="BA258" s="1306"/>
      <c r="BC258" s="169"/>
    </row>
    <row r="259" spans="19:55" ht="15.65" customHeight="1">
      <c r="S259" s="454"/>
      <c r="AN259" s="454"/>
      <c r="AY259" s="454"/>
      <c r="AZ259" s="454"/>
      <c r="BA259" s="1306"/>
      <c r="BC259" s="169"/>
    </row>
    <row r="260" spans="19:55" ht="15.65" customHeight="1">
      <c r="S260" s="454"/>
      <c r="AN260" s="454"/>
      <c r="AY260" s="454"/>
      <c r="AZ260" s="454"/>
      <c r="BA260" s="1306"/>
      <c r="BC260" s="169"/>
    </row>
    <row r="261" spans="19:55" ht="15.65" customHeight="1">
      <c r="S261" s="454"/>
      <c r="AN261" s="454"/>
      <c r="AY261" s="454"/>
      <c r="AZ261" s="454"/>
      <c r="BA261" s="1306"/>
      <c r="BC261" s="169"/>
    </row>
    <row r="262" spans="19:55">
      <c r="S262" s="454"/>
      <c r="AN262" s="454"/>
      <c r="AY262" s="454"/>
      <c r="AZ262" s="454"/>
      <c r="BA262" s="1306"/>
      <c r="BC262" s="169"/>
    </row>
    <row r="263" spans="19:55">
      <c r="S263" s="454"/>
      <c r="AN263" s="454"/>
      <c r="AY263" s="454"/>
      <c r="AZ263" s="454"/>
      <c r="BA263" s="1306"/>
      <c r="BC263" s="169"/>
    </row>
    <row r="264" spans="19:55">
      <c r="S264" s="454"/>
      <c r="AN264" s="454"/>
      <c r="AY264" s="454"/>
      <c r="AZ264" s="454"/>
      <c r="BA264" s="1306"/>
      <c r="BC264" s="169"/>
    </row>
    <row r="265" spans="19:55">
      <c r="S265" s="454"/>
      <c r="AN265" s="454"/>
      <c r="AY265" s="454"/>
      <c r="AZ265" s="454"/>
      <c r="BA265" s="1306"/>
      <c r="BC265" s="169"/>
    </row>
    <row r="266" spans="19:55">
      <c r="S266" s="454"/>
      <c r="AN266" s="454"/>
      <c r="AY266" s="454"/>
      <c r="AZ266" s="454"/>
      <c r="BA266" s="1306"/>
      <c r="BC266" s="169"/>
    </row>
    <row r="267" spans="19:55">
      <c r="S267" s="454"/>
      <c r="AN267" s="454"/>
      <c r="AY267" s="454"/>
      <c r="AZ267" s="454"/>
      <c r="BA267" s="1306"/>
      <c r="BC267" s="169"/>
    </row>
    <row r="268" spans="19:55">
      <c r="S268" s="454"/>
      <c r="AN268" s="454"/>
      <c r="AY268" s="454"/>
      <c r="AZ268" s="454"/>
      <c r="BA268" s="1306"/>
      <c r="BC268" s="169"/>
    </row>
    <row r="269" spans="19:55">
      <c r="S269" s="454"/>
      <c r="AN269" s="454"/>
      <c r="AY269" s="454"/>
      <c r="AZ269" s="454"/>
      <c r="BA269" s="1306"/>
      <c r="BC269" s="169"/>
    </row>
    <row r="270" spans="19:55">
      <c r="S270" s="454"/>
      <c r="AN270" s="454"/>
      <c r="AY270" s="454"/>
      <c r="AZ270" s="454"/>
      <c r="BA270" s="1306"/>
      <c r="BC270" s="169"/>
    </row>
    <row r="271" spans="19:55">
      <c r="S271" s="454"/>
      <c r="AN271" s="454"/>
      <c r="AY271" s="454"/>
      <c r="AZ271" s="454"/>
      <c r="BA271" s="1306"/>
      <c r="BC271" s="169"/>
    </row>
    <row r="272" spans="19:55">
      <c r="S272" s="454"/>
      <c r="AN272" s="454"/>
      <c r="AY272" s="454"/>
      <c r="AZ272" s="454"/>
      <c r="BA272" s="1306"/>
      <c r="BC272" s="169"/>
    </row>
    <row r="273" spans="19:55">
      <c r="S273" s="454"/>
      <c r="AN273" s="454"/>
      <c r="AY273" s="454"/>
      <c r="AZ273" s="454"/>
      <c r="BA273" s="1306"/>
      <c r="BC273" s="169"/>
    </row>
    <row r="274" spans="19:55">
      <c r="S274" s="454"/>
      <c r="AN274" s="454"/>
      <c r="AY274" s="454"/>
      <c r="AZ274" s="454"/>
      <c r="BA274" s="1306"/>
      <c r="BC274" s="169"/>
    </row>
    <row r="275" spans="19:55">
      <c r="S275" s="454"/>
      <c r="AN275" s="454"/>
      <c r="AY275" s="454"/>
      <c r="AZ275" s="454"/>
      <c r="BA275" s="1306"/>
      <c r="BC275" s="169"/>
    </row>
    <row r="276" spans="19:55">
      <c r="S276" s="454"/>
      <c r="AN276" s="454"/>
      <c r="AY276" s="454"/>
      <c r="AZ276" s="454"/>
      <c r="BA276" s="1306"/>
      <c r="BC276" s="169"/>
    </row>
    <row r="277" spans="19:55">
      <c r="S277" s="454"/>
      <c r="AN277" s="454"/>
      <c r="AY277" s="454"/>
      <c r="AZ277" s="454"/>
      <c r="BA277" s="1306"/>
      <c r="BC277" s="169"/>
    </row>
    <row r="278" spans="19:55">
      <c r="S278" s="454"/>
      <c r="AN278" s="454"/>
      <c r="AY278" s="454"/>
      <c r="AZ278" s="454"/>
      <c r="BA278" s="1306"/>
      <c r="BC278" s="169"/>
    </row>
    <row r="279" spans="19:55">
      <c r="S279" s="454"/>
      <c r="AN279" s="454"/>
      <c r="AY279" s="454"/>
      <c r="AZ279" s="454"/>
      <c r="BA279" s="1306"/>
      <c r="BC279" s="169"/>
    </row>
    <row r="280" spans="19:55">
      <c r="S280" s="454"/>
      <c r="AN280" s="454"/>
      <c r="AY280" s="454"/>
      <c r="AZ280" s="454"/>
      <c r="BA280" s="1306"/>
      <c r="BC280" s="169"/>
    </row>
    <row r="281" spans="19:55">
      <c r="S281" s="454"/>
      <c r="AN281" s="454"/>
      <c r="AY281" s="454"/>
      <c r="AZ281" s="454"/>
      <c r="BA281" s="1306"/>
      <c r="BC281" s="169"/>
    </row>
    <row r="282" spans="19:55">
      <c r="S282" s="454"/>
      <c r="AN282" s="454"/>
      <c r="AY282" s="454"/>
      <c r="AZ282" s="454"/>
      <c r="BA282" s="1306"/>
      <c r="BC282" s="169"/>
    </row>
    <row r="283" spans="19:55">
      <c r="S283" s="454"/>
      <c r="AN283" s="454"/>
      <c r="AY283" s="454"/>
      <c r="AZ283" s="454"/>
      <c r="BA283" s="1306"/>
      <c r="BC283" s="169"/>
    </row>
    <row r="284" spans="19:55">
      <c r="S284" s="454"/>
      <c r="AN284" s="454"/>
      <c r="AY284" s="454"/>
      <c r="AZ284" s="454"/>
      <c r="BA284" s="1306"/>
      <c r="BC284" s="169"/>
    </row>
    <row r="285" spans="19:55">
      <c r="S285" s="454"/>
      <c r="AN285" s="454"/>
      <c r="AY285" s="454"/>
      <c r="AZ285" s="454"/>
      <c r="BA285" s="1306"/>
      <c r="BC285" s="169"/>
    </row>
    <row r="286" spans="19:55">
      <c r="S286" s="454"/>
      <c r="AN286" s="454"/>
      <c r="AY286" s="454"/>
      <c r="AZ286" s="454"/>
      <c r="BA286" s="1306"/>
      <c r="BC286" s="169"/>
    </row>
    <row r="287" spans="19:55">
      <c r="S287" s="454"/>
      <c r="AN287" s="454"/>
      <c r="AY287" s="454"/>
      <c r="AZ287" s="454"/>
      <c r="BA287" s="1306"/>
      <c r="BC287" s="169"/>
    </row>
    <row r="288" spans="19:55">
      <c r="S288" s="454"/>
      <c r="AN288" s="454"/>
      <c r="AY288" s="454"/>
      <c r="AZ288" s="454"/>
      <c r="BA288" s="1306"/>
      <c r="BC288" s="169"/>
    </row>
    <row r="289" spans="19:55">
      <c r="S289" s="454"/>
      <c r="AN289" s="454"/>
      <c r="AY289" s="454"/>
      <c r="AZ289" s="454"/>
      <c r="BA289" s="1306"/>
      <c r="BC289" s="169"/>
    </row>
    <row r="290" spans="19:55">
      <c r="S290" s="454"/>
      <c r="AN290" s="454"/>
      <c r="AY290" s="454"/>
      <c r="AZ290" s="454"/>
      <c r="BA290" s="1306"/>
      <c r="BC290" s="169"/>
    </row>
    <row r="291" spans="19:55">
      <c r="S291" s="454"/>
      <c r="AN291" s="454"/>
      <c r="AY291" s="454"/>
      <c r="AZ291" s="454"/>
      <c r="BA291" s="1306"/>
      <c r="BC291" s="169"/>
    </row>
    <row r="292" spans="19:55">
      <c r="S292" s="454"/>
      <c r="AN292" s="454"/>
      <c r="AY292" s="454"/>
      <c r="AZ292" s="454"/>
      <c r="BA292" s="1306"/>
      <c r="BC292" s="169"/>
    </row>
    <row r="293" spans="19:55">
      <c r="S293" s="454"/>
      <c r="AN293" s="454"/>
      <c r="AY293" s="454"/>
      <c r="AZ293" s="454"/>
      <c r="BA293" s="1306"/>
      <c r="BC293" s="169"/>
    </row>
    <row r="294" spans="19:55">
      <c r="S294" s="454"/>
      <c r="AN294" s="454"/>
      <c r="AY294" s="454"/>
      <c r="AZ294" s="454"/>
      <c r="BA294" s="1306"/>
      <c r="BC294" s="169"/>
    </row>
    <row r="295" spans="19:55">
      <c r="S295" s="454"/>
      <c r="AN295" s="454"/>
      <c r="AY295" s="454"/>
      <c r="AZ295" s="454"/>
      <c r="BA295" s="1306"/>
      <c r="BC295" s="169"/>
    </row>
    <row r="296" spans="19:55">
      <c r="S296" s="454"/>
      <c r="AN296" s="454"/>
      <c r="AY296" s="454"/>
      <c r="AZ296" s="454"/>
      <c r="BA296" s="1306"/>
      <c r="BC296" s="169"/>
    </row>
    <row r="297" spans="19:55">
      <c r="S297" s="454"/>
      <c r="AN297" s="454"/>
      <c r="AY297" s="454"/>
      <c r="AZ297" s="454"/>
      <c r="BA297" s="1306"/>
      <c r="BC297" s="169"/>
    </row>
    <row r="298" spans="19:55">
      <c r="S298" s="454"/>
      <c r="AN298" s="454"/>
      <c r="AY298" s="454"/>
      <c r="AZ298" s="454"/>
      <c r="BA298" s="1306"/>
      <c r="BC298" s="169"/>
    </row>
    <row r="299" spans="19:55">
      <c r="S299" s="454"/>
      <c r="AN299" s="454"/>
      <c r="AY299" s="454"/>
      <c r="AZ299" s="454"/>
      <c r="BA299" s="1306"/>
      <c r="BC299" s="169"/>
    </row>
    <row r="300" spans="19:55">
      <c r="S300" s="454"/>
      <c r="AN300" s="454"/>
      <c r="AY300" s="454"/>
      <c r="AZ300" s="454"/>
      <c r="BA300" s="1306"/>
      <c r="BC300" s="169"/>
    </row>
    <row r="301" spans="19:55">
      <c r="S301" s="454"/>
      <c r="AN301" s="454"/>
      <c r="AY301" s="454"/>
      <c r="AZ301" s="454"/>
      <c r="BA301" s="1306"/>
      <c r="BC301" s="169"/>
    </row>
    <row r="302" spans="19:55">
      <c r="S302" s="454"/>
      <c r="AN302" s="454"/>
      <c r="AY302" s="454"/>
      <c r="AZ302" s="454"/>
      <c r="BA302" s="1306"/>
      <c r="BC302" s="169"/>
    </row>
    <row r="303" spans="19:55">
      <c r="S303" s="454"/>
      <c r="AN303" s="454"/>
      <c r="AY303" s="454"/>
      <c r="AZ303" s="454"/>
      <c r="BA303" s="1306"/>
      <c r="BC303" s="169"/>
    </row>
    <row r="304" spans="19:55">
      <c r="S304" s="454"/>
      <c r="AN304" s="454"/>
      <c r="AY304" s="454"/>
      <c r="AZ304" s="454"/>
      <c r="BA304" s="1306"/>
      <c r="BC304" s="169"/>
    </row>
    <row r="305" spans="19:55">
      <c r="S305" s="454"/>
      <c r="AN305" s="454"/>
      <c r="AY305" s="454"/>
      <c r="AZ305" s="454"/>
      <c r="BA305" s="1306"/>
      <c r="BC305" s="169"/>
    </row>
    <row r="306" spans="19:55">
      <c r="S306" s="454"/>
      <c r="AN306" s="454"/>
      <c r="AY306" s="454"/>
      <c r="AZ306" s="454"/>
      <c r="BA306" s="1306"/>
      <c r="BC306" s="169"/>
    </row>
    <row r="307" spans="19:55">
      <c r="S307" s="454"/>
      <c r="AN307" s="454"/>
      <c r="AY307" s="454"/>
      <c r="AZ307" s="454"/>
      <c r="BA307" s="1306"/>
      <c r="BC307" s="169"/>
    </row>
    <row r="308" spans="19:55">
      <c r="S308" s="454"/>
      <c r="AN308" s="454"/>
      <c r="AY308" s="454"/>
      <c r="AZ308" s="454"/>
      <c r="BA308" s="1306"/>
      <c r="BC308" s="169"/>
    </row>
    <row r="309" spans="19:55">
      <c r="S309" s="454"/>
      <c r="AN309" s="454"/>
      <c r="AY309" s="454"/>
      <c r="AZ309" s="454"/>
      <c r="BA309" s="1306"/>
      <c r="BC309" s="169"/>
    </row>
    <row r="310" spans="19:55">
      <c r="S310" s="454"/>
      <c r="AN310" s="454"/>
      <c r="AY310" s="454"/>
      <c r="AZ310" s="454"/>
      <c r="BA310" s="1306"/>
      <c r="BC310" s="169"/>
    </row>
    <row r="311" spans="19:55">
      <c r="S311" s="454"/>
      <c r="AN311" s="454"/>
      <c r="AY311" s="454"/>
      <c r="AZ311" s="454"/>
      <c r="BA311" s="1306"/>
      <c r="BC311" s="169"/>
    </row>
    <row r="312" spans="19:55">
      <c r="S312" s="454"/>
      <c r="AN312" s="454"/>
      <c r="AY312" s="454"/>
      <c r="AZ312" s="454"/>
      <c r="BA312" s="1306"/>
      <c r="BC312" s="169"/>
    </row>
    <row r="313" spans="19:55">
      <c r="S313" s="454"/>
      <c r="AN313" s="454"/>
      <c r="AY313" s="454"/>
      <c r="AZ313" s="454"/>
      <c r="BA313" s="1306"/>
      <c r="BC313" s="169"/>
    </row>
    <row r="314" spans="19:55">
      <c r="S314" s="454"/>
      <c r="AN314" s="454"/>
      <c r="AY314" s="454"/>
      <c r="AZ314" s="454"/>
      <c r="BA314" s="1306"/>
      <c r="BC314" s="169"/>
    </row>
    <row r="315" spans="19:55">
      <c r="S315" s="454"/>
      <c r="AN315" s="454"/>
      <c r="AY315" s="454"/>
      <c r="AZ315" s="454"/>
      <c r="BA315" s="1306"/>
      <c r="BC315" s="169"/>
    </row>
    <row r="316" spans="19:55">
      <c r="S316" s="454"/>
      <c r="AN316" s="454"/>
      <c r="AY316" s="454"/>
      <c r="AZ316" s="454"/>
      <c r="BA316" s="1306"/>
      <c r="BC316" s="169"/>
    </row>
    <row r="317" spans="19:55">
      <c r="S317" s="454"/>
      <c r="AN317" s="454"/>
      <c r="AY317" s="454"/>
      <c r="AZ317" s="454"/>
      <c r="BA317" s="1306"/>
      <c r="BC317" s="169"/>
    </row>
    <row r="318" spans="19:55">
      <c r="S318" s="454"/>
      <c r="AN318" s="454"/>
      <c r="AY318" s="454"/>
      <c r="AZ318" s="454"/>
      <c r="BA318" s="1306"/>
      <c r="BC318" s="169"/>
    </row>
    <row r="319" spans="19:55">
      <c r="S319" s="454"/>
      <c r="AN319" s="454"/>
      <c r="AY319" s="454"/>
      <c r="AZ319" s="454"/>
      <c r="BA319" s="1306"/>
      <c r="BC319" s="169"/>
    </row>
    <row r="320" spans="19:55">
      <c r="S320" s="454"/>
      <c r="AN320" s="454"/>
      <c r="AY320" s="454"/>
      <c r="AZ320" s="454"/>
      <c r="BA320" s="1306"/>
      <c r="BC320" s="169"/>
    </row>
    <row r="321" spans="19:55">
      <c r="S321" s="454"/>
      <c r="AN321" s="454"/>
      <c r="AY321" s="454"/>
      <c r="AZ321" s="454"/>
      <c r="BA321" s="1306"/>
      <c r="BC321" s="169"/>
    </row>
    <row r="322" spans="19:55">
      <c r="S322" s="454"/>
      <c r="AN322" s="454"/>
      <c r="AY322" s="454"/>
      <c r="AZ322" s="454"/>
      <c r="BA322" s="1306"/>
      <c r="BC322" s="169"/>
    </row>
    <row r="323" spans="19:55">
      <c r="S323" s="454"/>
      <c r="AN323" s="454"/>
      <c r="AY323" s="454"/>
      <c r="AZ323" s="454"/>
      <c r="BA323" s="1306"/>
      <c r="BC323" s="169"/>
    </row>
    <row r="324" spans="19:55">
      <c r="S324" s="454"/>
      <c r="AN324" s="454"/>
      <c r="AY324" s="454"/>
      <c r="AZ324" s="454"/>
      <c r="BA324" s="1306"/>
      <c r="BC324" s="169"/>
    </row>
    <row r="325" spans="19:55">
      <c r="S325" s="454"/>
      <c r="AN325" s="454"/>
      <c r="AY325" s="454"/>
      <c r="AZ325" s="454"/>
      <c r="BA325" s="1306"/>
      <c r="BC325" s="169"/>
    </row>
    <row r="326" spans="19:55">
      <c r="S326" s="454"/>
      <c r="AN326" s="454"/>
      <c r="AY326" s="454"/>
      <c r="AZ326" s="454"/>
      <c r="BA326" s="1306"/>
      <c r="BC326" s="169"/>
    </row>
    <row r="327" spans="19:55">
      <c r="S327" s="454"/>
      <c r="AN327" s="454"/>
      <c r="AY327" s="454"/>
      <c r="AZ327" s="454"/>
      <c r="BA327" s="1306"/>
      <c r="BC327" s="169"/>
    </row>
    <row r="328" spans="19:55">
      <c r="S328" s="454"/>
      <c r="AN328" s="454"/>
      <c r="AY328" s="454"/>
      <c r="AZ328" s="454"/>
      <c r="BA328" s="1306"/>
      <c r="BC328" s="169"/>
    </row>
    <row r="329" spans="19:55">
      <c r="S329" s="454"/>
      <c r="AN329" s="454"/>
      <c r="AY329" s="454"/>
      <c r="AZ329" s="454"/>
      <c r="BA329" s="1306"/>
      <c r="BC329" s="169"/>
    </row>
    <row r="330" spans="19:55">
      <c r="S330" s="454"/>
      <c r="AN330" s="454"/>
      <c r="AY330" s="454"/>
      <c r="AZ330" s="454"/>
      <c r="BA330" s="1306"/>
      <c r="BC330" s="169"/>
    </row>
    <row r="331" spans="19:55">
      <c r="S331" s="454"/>
      <c r="AN331" s="454"/>
      <c r="AY331" s="454"/>
      <c r="AZ331" s="454"/>
      <c r="BA331" s="1306"/>
      <c r="BC331" s="169"/>
    </row>
    <row r="332" spans="19:55">
      <c r="S332" s="454"/>
      <c r="AN332" s="454"/>
      <c r="AY332" s="454"/>
      <c r="AZ332" s="454"/>
      <c r="BA332" s="1306"/>
      <c r="BC332" s="169"/>
    </row>
    <row r="333" spans="19:55">
      <c r="S333" s="454"/>
      <c r="AN333" s="454"/>
      <c r="AY333" s="454"/>
      <c r="AZ333" s="454"/>
      <c r="BA333" s="1306"/>
      <c r="BC333" s="169"/>
    </row>
    <row r="334" spans="19:55">
      <c r="S334" s="454"/>
      <c r="AN334" s="454"/>
      <c r="AY334" s="454"/>
      <c r="AZ334" s="454"/>
      <c r="BA334" s="1306"/>
      <c r="BC334" s="169"/>
    </row>
    <row r="335" spans="19:55">
      <c r="S335" s="454"/>
      <c r="AN335" s="454"/>
      <c r="AY335" s="454"/>
      <c r="AZ335" s="454"/>
      <c r="BA335" s="1306"/>
      <c r="BC335" s="169"/>
    </row>
    <row r="336" spans="19:55">
      <c r="S336" s="454"/>
      <c r="AN336" s="454"/>
      <c r="AY336" s="454"/>
      <c r="AZ336" s="454"/>
      <c r="BA336" s="1306"/>
      <c r="BC336" s="169"/>
    </row>
    <row r="337" spans="19:55">
      <c r="S337" s="454"/>
      <c r="AN337" s="454"/>
      <c r="AY337" s="454"/>
      <c r="AZ337" s="454"/>
      <c r="BA337" s="1306"/>
      <c r="BC337" s="169"/>
    </row>
    <row r="338" spans="19:55">
      <c r="S338" s="454"/>
      <c r="AN338" s="454"/>
      <c r="AY338" s="454"/>
      <c r="AZ338" s="454"/>
      <c r="BA338" s="1306"/>
      <c r="BC338" s="169"/>
    </row>
    <row r="339" spans="19:55">
      <c r="S339" s="454"/>
      <c r="AN339" s="454"/>
      <c r="AY339" s="454"/>
      <c r="AZ339" s="454"/>
      <c r="BA339" s="1306"/>
      <c r="BC339" s="169"/>
    </row>
    <row r="340" spans="19:55">
      <c r="S340" s="454"/>
      <c r="AN340" s="454"/>
      <c r="AY340" s="454"/>
      <c r="AZ340" s="454"/>
      <c r="BA340" s="1306"/>
      <c r="BC340" s="169"/>
    </row>
    <row r="341" spans="19:55">
      <c r="S341" s="454"/>
      <c r="AN341" s="454"/>
      <c r="AY341" s="454"/>
      <c r="AZ341" s="454"/>
      <c r="BA341" s="1306"/>
      <c r="BC341" s="169"/>
    </row>
    <row r="342" spans="19:55">
      <c r="S342" s="454"/>
      <c r="AN342" s="454"/>
      <c r="AY342" s="454"/>
      <c r="AZ342" s="454"/>
      <c r="BA342" s="1306"/>
      <c r="BC342" s="169"/>
    </row>
    <row r="343" spans="19:55">
      <c r="S343" s="454"/>
      <c r="AN343" s="454"/>
      <c r="AY343" s="454"/>
      <c r="AZ343" s="454"/>
      <c r="BA343" s="1306"/>
      <c r="BC343" s="169"/>
    </row>
    <row r="344" spans="19:55">
      <c r="S344" s="454"/>
      <c r="AN344" s="454"/>
      <c r="AY344" s="454"/>
      <c r="AZ344" s="454"/>
      <c r="BA344" s="1306"/>
      <c r="BC344" s="169"/>
    </row>
    <row r="345" spans="19:55">
      <c r="S345" s="454"/>
      <c r="AN345" s="454"/>
      <c r="AY345" s="454"/>
      <c r="AZ345" s="454"/>
      <c r="BA345" s="1306"/>
      <c r="BC345" s="169"/>
    </row>
    <row r="346" spans="19:55">
      <c r="S346" s="454"/>
      <c r="AN346" s="454"/>
      <c r="AY346" s="454"/>
      <c r="AZ346" s="454"/>
      <c r="BA346" s="1306"/>
      <c r="BC346" s="169"/>
    </row>
    <row r="347" spans="19:55">
      <c r="S347" s="454"/>
      <c r="AN347" s="454"/>
      <c r="AY347" s="454"/>
      <c r="AZ347" s="454"/>
      <c r="BA347" s="1306"/>
      <c r="BC347" s="169"/>
    </row>
    <row r="348" spans="19:55">
      <c r="S348" s="454"/>
      <c r="AN348" s="454"/>
      <c r="AY348" s="454"/>
      <c r="AZ348" s="454"/>
      <c r="BA348" s="1306"/>
      <c r="BC348" s="169"/>
    </row>
    <row r="349" spans="19:55">
      <c r="S349" s="454"/>
      <c r="AN349" s="454"/>
      <c r="AY349" s="454"/>
      <c r="AZ349" s="454"/>
      <c r="BA349" s="1306"/>
      <c r="BC349" s="169"/>
    </row>
    <row r="350" spans="19:55">
      <c r="S350" s="454"/>
      <c r="AN350" s="454"/>
      <c r="AY350" s="454"/>
      <c r="AZ350" s="454"/>
      <c r="BA350" s="1306"/>
      <c r="BC350" s="169"/>
    </row>
    <row r="351" spans="19:55">
      <c r="S351" s="454"/>
      <c r="AN351" s="454"/>
      <c r="AY351" s="454"/>
      <c r="AZ351" s="454"/>
      <c r="BA351" s="1306"/>
      <c r="BC351" s="169"/>
    </row>
    <row r="352" spans="19:55">
      <c r="S352" s="454"/>
      <c r="AN352" s="454"/>
      <c r="AY352" s="454"/>
      <c r="AZ352" s="454"/>
      <c r="BA352" s="1306"/>
      <c r="BC352" s="169"/>
    </row>
    <row r="353" spans="19:55">
      <c r="S353" s="454"/>
      <c r="AN353" s="454"/>
      <c r="AY353" s="454"/>
      <c r="AZ353" s="454"/>
      <c r="BA353" s="1306"/>
      <c r="BC353" s="169"/>
    </row>
    <row r="354" spans="19:55">
      <c r="S354" s="454"/>
      <c r="AN354" s="454"/>
      <c r="AY354" s="454"/>
      <c r="AZ354" s="454"/>
      <c r="BA354" s="1306"/>
      <c r="BC354" s="169"/>
    </row>
    <row r="355" spans="19:55">
      <c r="S355" s="454"/>
      <c r="AN355" s="454"/>
      <c r="AY355" s="454"/>
      <c r="AZ355" s="454"/>
      <c r="BA355" s="1306"/>
      <c r="BC355" s="169"/>
    </row>
    <row r="356" spans="19:55">
      <c r="S356" s="454"/>
      <c r="AN356" s="454"/>
      <c r="AY356" s="454"/>
      <c r="AZ356" s="454"/>
      <c r="BA356" s="1306"/>
      <c r="BC356" s="169"/>
    </row>
    <row r="357" spans="19:55">
      <c r="S357" s="454"/>
      <c r="AN357" s="454"/>
      <c r="AY357" s="454"/>
      <c r="AZ357" s="454"/>
      <c r="BA357" s="1306"/>
      <c r="BC357" s="169"/>
    </row>
    <row r="358" spans="19:55">
      <c r="S358" s="454"/>
      <c r="AN358" s="454"/>
      <c r="AY358" s="454"/>
      <c r="AZ358" s="454"/>
      <c r="BA358" s="1306"/>
      <c r="BC358" s="169"/>
    </row>
    <row r="359" spans="19:55">
      <c r="S359" s="454"/>
      <c r="AN359" s="454"/>
      <c r="AY359" s="454"/>
      <c r="AZ359" s="454"/>
      <c r="BA359" s="1306"/>
      <c r="BC359" s="169"/>
    </row>
    <row r="360" spans="19:55">
      <c r="S360" s="454"/>
      <c r="AN360" s="454"/>
      <c r="AY360" s="454"/>
      <c r="AZ360" s="454"/>
      <c r="BA360" s="1306"/>
      <c r="BC360" s="169"/>
    </row>
    <row r="361" spans="19:55">
      <c r="S361" s="454"/>
      <c r="AN361" s="454"/>
      <c r="AY361" s="454"/>
      <c r="AZ361" s="454"/>
      <c r="BA361" s="1306"/>
      <c r="BC361" s="169"/>
    </row>
    <row r="362" spans="19:55">
      <c r="S362" s="454"/>
      <c r="AN362" s="454"/>
      <c r="AY362" s="454"/>
      <c r="AZ362" s="454"/>
      <c r="BA362" s="1306"/>
      <c r="BC362" s="169"/>
    </row>
    <row r="363" spans="19:55">
      <c r="S363" s="454"/>
      <c r="AN363" s="454"/>
      <c r="AY363" s="454"/>
      <c r="AZ363" s="454"/>
      <c r="BA363" s="1306"/>
      <c r="BC363" s="169"/>
    </row>
    <row r="364" spans="19:55">
      <c r="S364" s="454"/>
      <c r="AN364" s="454"/>
      <c r="AY364" s="454"/>
      <c r="AZ364" s="454"/>
      <c r="BA364" s="1306"/>
      <c r="BC364" s="169"/>
    </row>
    <row r="365" spans="19:55">
      <c r="S365" s="454"/>
      <c r="AN365" s="454"/>
      <c r="AY365" s="454"/>
      <c r="AZ365" s="454"/>
      <c r="BA365" s="1306"/>
      <c r="BC365" s="169"/>
    </row>
    <row r="366" spans="19:55">
      <c r="S366" s="454"/>
      <c r="AN366" s="454"/>
      <c r="AY366" s="454"/>
      <c r="AZ366" s="454"/>
      <c r="BA366" s="1306"/>
      <c r="BC366" s="169"/>
    </row>
    <row r="367" spans="19:55">
      <c r="S367" s="454"/>
      <c r="AN367" s="454"/>
      <c r="AY367" s="454"/>
      <c r="AZ367" s="454"/>
      <c r="BA367" s="1306"/>
      <c r="BC367" s="169"/>
    </row>
    <row r="368" spans="19:55">
      <c r="S368" s="454"/>
      <c r="AN368" s="454"/>
      <c r="AY368" s="454"/>
      <c r="AZ368" s="454"/>
      <c r="BA368" s="1306"/>
      <c r="BC368" s="169"/>
    </row>
    <row r="369" spans="19:55">
      <c r="S369" s="454"/>
      <c r="AN369" s="454"/>
      <c r="AY369" s="454"/>
      <c r="AZ369" s="454"/>
      <c r="BA369" s="1306"/>
      <c r="BC369" s="169"/>
    </row>
    <row r="370" spans="19:55">
      <c r="S370" s="454"/>
      <c r="AN370" s="454"/>
      <c r="AY370" s="454"/>
      <c r="AZ370" s="454"/>
      <c r="BA370" s="1306"/>
      <c r="BC370" s="169"/>
    </row>
    <row r="371" spans="19:55">
      <c r="S371" s="454"/>
      <c r="AN371" s="454"/>
      <c r="AY371" s="454"/>
      <c r="AZ371" s="454"/>
      <c r="BA371" s="1306"/>
      <c r="BC371" s="169"/>
    </row>
    <row r="372" spans="19:55">
      <c r="S372" s="454"/>
      <c r="AN372" s="454"/>
      <c r="AY372" s="454"/>
      <c r="AZ372" s="454"/>
      <c r="BA372" s="1306"/>
      <c r="BC372" s="169"/>
    </row>
    <row r="373" spans="19:55">
      <c r="S373" s="454"/>
      <c r="AN373" s="454"/>
      <c r="AY373" s="454"/>
      <c r="AZ373" s="454"/>
      <c r="BA373" s="1306"/>
      <c r="BC373" s="169"/>
    </row>
    <row r="374" spans="19:55">
      <c r="S374" s="454"/>
      <c r="AN374" s="454"/>
      <c r="AY374" s="454"/>
      <c r="AZ374" s="454"/>
      <c r="BA374" s="1306"/>
      <c r="BC374" s="169"/>
    </row>
    <row r="375" spans="19:55">
      <c r="S375" s="454"/>
      <c r="AN375" s="454"/>
      <c r="AY375" s="454"/>
      <c r="AZ375" s="454"/>
      <c r="BA375" s="1306"/>
      <c r="BC375" s="169"/>
    </row>
    <row r="376" spans="19:55">
      <c r="S376" s="454"/>
      <c r="AN376" s="454"/>
      <c r="AY376" s="454"/>
      <c r="AZ376" s="454"/>
      <c r="BA376" s="1306"/>
      <c r="BC376" s="169"/>
    </row>
    <row r="377" spans="19:55">
      <c r="S377" s="454"/>
      <c r="AN377" s="454"/>
      <c r="AY377" s="454"/>
      <c r="AZ377" s="454"/>
      <c r="BA377" s="1306"/>
      <c r="BC377" s="169"/>
    </row>
    <row r="378" spans="19:55">
      <c r="S378" s="454"/>
      <c r="AN378" s="454"/>
      <c r="AY378" s="454"/>
      <c r="AZ378" s="454"/>
      <c r="BA378" s="1306"/>
      <c r="BC378" s="169"/>
    </row>
    <row r="379" spans="19:55">
      <c r="S379" s="454"/>
      <c r="AN379" s="454"/>
      <c r="AY379" s="454"/>
      <c r="AZ379" s="454"/>
      <c r="BA379" s="1306"/>
      <c r="BC379" s="169"/>
    </row>
    <row r="380" spans="19:55">
      <c r="S380" s="454"/>
      <c r="AN380" s="454"/>
      <c r="AY380" s="454"/>
      <c r="AZ380" s="454"/>
      <c r="BA380" s="1306"/>
      <c r="BC380" s="169"/>
    </row>
    <row r="381" spans="19:55">
      <c r="S381" s="454"/>
      <c r="AN381" s="454"/>
      <c r="AY381" s="454"/>
      <c r="AZ381" s="454"/>
      <c r="BA381" s="1306"/>
      <c r="BC381" s="169"/>
    </row>
    <row r="382" spans="19:55">
      <c r="S382" s="454"/>
      <c r="AN382" s="454"/>
      <c r="AY382" s="454"/>
      <c r="AZ382" s="454"/>
      <c r="BA382" s="1306"/>
      <c r="BC382" s="169"/>
    </row>
    <row r="383" spans="19:55">
      <c r="S383" s="454"/>
      <c r="AN383" s="454"/>
      <c r="AY383" s="454"/>
      <c r="AZ383" s="454"/>
      <c r="BA383" s="1306"/>
      <c r="BC383" s="169"/>
    </row>
    <row r="384" spans="19:55">
      <c r="S384" s="454"/>
      <c r="AN384" s="454"/>
      <c r="AY384" s="454"/>
      <c r="AZ384" s="454"/>
      <c r="BA384" s="1306"/>
      <c r="BC384" s="169"/>
    </row>
    <row r="385" spans="19:55">
      <c r="S385" s="454"/>
      <c r="AN385" s="454"/>
      <c r="AY385" s="454"/>
      <c r="AZ385" s="454"/>
      <c r="BA385" s="1306"/>
      <c r="BC385" s="169"/>
    </row>
    <row r="386" spans="19:55">
      <c r="S386" s="454"/>
      <c r="AN386" s="454"/>
      <c r="AY386" s="454"/>
      <c r="AZ386" s="454"/>
      <c r="BA386" s="1306"/>
      <c r="BC386" s="169"/>
    </row>
    <row r="387" spans="19:55">
      <c r="S387" s="454"/>
      <c r="AN387" s="454"/>
      <c r="AY387" s="454"/>
      <c r="AZ387" s="454"/>
      <c r="BA387" s="1306"/>
      <c r="BC387" s="169"/>
    </row>
    <row r="388" spans="19:55">
      <c r="S388" s="454"/>
      <c r="AN388" s="454"/>
      <c r="AY388" s="454"/>
      <c r="AZ388" s="454"/>
      <c r="BA388" s="1306"/>
      <c r="BC388" s="169"/>
    </row>
    <row r="389" spans="19:55">
      <c r="S389" s="454"/>
      <c r="AN389" s="454"/>
      <c r="AY389" s="454"/>
      <c r="AZ389" s="454"/>
      <c r="BA389" s="1306"/>
      <c r="BC389" s="169"/>
    </row>
    <row r="390" spans="19:55">
      <c r="S390" s="454"/>
      <c r="AN390" s="454"/>
      <c r="AY390" s="454"/>
      <c r="AZ390" s="454"/>
      <c r="BA390" s="1306"/>
      <c r="BC390" s="169"/>
    </row>
    <row r="391" spans="19:55">
      <c r="S391" s="454"/>
      <c r="AN391" s="454"/>
      <c r="AY391" s="454"/>
      <c r="AZ391" s="454"/>
      <c r="BA391" s="1306"/>
      <c r="BC391" s="169"/>
    </row>
    <row r="392" spans="19:55">
      <c r="S392" s="454"/>
      <c r="AN392" s="454"/>
      <c r="AY392" s="454"/>
      <c r="AZ392" s="454"/>
      <c r="BA392" s="1306"/>
      <c r="BC392" s="169"/>
    </row>
    <row r="393" spans="19:55">
      <c r="S393" s="454"/>
      <c r="AN393" s="454"/>
      <c r="AY393" s="454"/>
      <c r="AZ393" s="454"/>
      <c r="BA393" s="1306"/>
      <c r="BC393" s="169"/>
    </row>
    <row r="394" spans="19:55">
      <c r="S394" s="454"/>
      <c r="AN394" s="454"/>
      <c r="AY394" s="454"/>
      <c r="AZ394" s="454"/>
      <c r="BA394" s="1306"/>
      <c r="BC394" s="169"/>
    </row>
    <row r="395" spans="19:55">
      <c r="S395" s="454"/>
      <c r="AN395" s="454"/>
      <c r="AY395" s="454"/>
      <c r="AZ395" s="454"/>
      <c r="BA395" s="1306"/>
      <c r="BC395" s="169"/>
    </row>
    <row r="396" spans="19:55">
      <c r="S396" s="454"/>
      <c r="AN396" s="454"/>
      <c r="AY396" s="454"/>
      <c r="AZ396" s="454"/>
      <c r="BA396" s="1306"/>
      <c r="BC396" s="169"/>
    </row>
    <row r="397" spans="19:55">
      <c r="S397" s="454"/>
      <c r="AN397" s="454"/>
      <c r="AY397" s="454"/>
      <c r="AZ397" s="454"/>
      <c r="BA397" s="1306"/>
      <c r="BC397" s="169"/>
    </row>
    <row r="398" spans="19:55">
      <c r="S398" s="454"/>
      <c r="AN398" s="454"/>
      <c r="AY398" s="454"/>
      <c r="AZ398" s="454"/>
      <c r="BA398" s="1306"/>
      <c r="BC398" s="169"/>
    </row>
    <row r="399" spans="19:55">
      <c r="S399" s="454"/>
      <c r="AN399" s="454"/>
      <c r="AY399" s="454"/>
      <c r="AZ399" s="454"/>
      <c r="BA399" s="1306"/>
      <c r="BC399" s="169"/>
    </row>
    <row r="400" spans="19:55">
      <c r="S400" s="454"/>
      <c r="AN400" s="454"/>
      <c r="AY400" s="454"/>
      <c r="AZ400" s="454"/>
      <c r="BA400" s="1306"/>
      <c r="BC400" s="169"/>
    </row>
    <row r="401" spans="19:55">
      <c r="S401" s="454"/>
      <c r="AN401" s="454"/>
      <c r="AY401" s="454"/>
      <c r="AZ401" s="454"/>
      <c r="BA401" s="1306"/>
      <c r="BC401" s="169"/>
    </row>
    <row r="402" spans="19:55">
      <c r="S402" s="454"/>
      <c r="AN402" s="454"/>
      <c r="AY402" s="454"/>
      <c r="AZ402" s="454"/>
      <c r="BA402" s="1306"/>
      <c r="BC402" s="169"/>
    </row>
    <row r="403" spans="19:55">
      <c r="S403" s="454"/>
      <c r="AN403" s="454"/>
      <c r="AY403" s="454"/>
      <c r="AZ403" s="454"/>
      <c r="BA403" s="1306"/>
      <c r="BC403" s="169"/>
    </row>
    <row r="404" spans="19:55">
      <c r="S404" s="454"/>
      <c r="AN404" s="454"/>
      <c r="AY404" s="454"/>
      <c r="AZ404" s="454"/>
      <c r="BA404" s="1306"/>
      <c r="BC404" s="169"/>
    </row>
    <row r="405" spans="19:55">
      <c r="S405" s="454"/>
      <c r="AN405" s="454"/>
      <c r="AY405" s="454"/>
      <c r="AZ405" s="454"/>
      <c r="BA405" s="1306"/>
      <c r="BC405" s="169"/>
    </row>
    <row r="406" spans="19:55">
      <c r="S406" s="454"/>
      <c r="AN406" s="454"/>
      <c r="AY406" s="454"/>
      <c r="AZ406" s="454"/>
      <c r="BA406" s="1306"/>
      <c r="BC406" s="169"/>
    </row>
    <row r="407" spans="19:55">
      <c r="S407" s="454"/>
      <c r="AN407" s="454"/>
      <c r="AY407" s="454"/>
      <c r="AZ407" s="454"/>
      <c r="BA407" s="1306"/>
      <c r="BC407" s="169"/>
    </row>
    <row r="408" spans="19:55">
      <c r="S408" s="454"/>
      <c r="AN408" s="454"/>
      <c r="AY408" s="454"/>
      <c r="AZ408" s="454"/>
      <c r="BA408" s="1306"/>
      <c r="BC408" s="169"/>
    </row>
    <row r="409" spans="19:55">
      <c r="S409" s="454"/>
      <c r="AN409" s="454"/>
      <c r="AY409" s="454"/>
      <c r="AZ409" s="454"/>
      <c r="BA409" s="1306"/>
      <c r="BC409" s="169"/>
    </row>
    <row r="410" spans="19:55">
      <c r="S410" s="454"/>
      <c r="AN410" s="454"/>
      <c r="AY410" s="454"/>
      <c r="AZ410" s="454"/>
      <c r="BA410" s="1306"/>
      <c r="BC410" s="169"/>
    </row>
    <row r="411" spans="19:55">
      <c r="S411" s="454"/>
      <c r="AN411" s="454"/>
      <c r="AY411" s="454"/>
      <c r="AZ411" s="454"/>
      <c r="BA411" s="1306"/>
      <c r="BC411" s="169"/>
    </row>
    <row r="412" spans="19:55">
      <c r="S412" s="454"/>
      <c r="AN412" s="454"/>
      <c r="AY412" s="454"/>
      <c r="AZ412" s="454"/>
      <c r="BA412" s="1306"/>
      <c r="BC412" s="169"/>
    </row>
    <row r="413" spans="19:55">
      <c r="S413" s="454"/>
      <c r="AN413" s="454"/>
      <c r="AY413" s="454"/>
      <c r="AZ413" s="454"/>
      <c r="BA413" s="1306"/>
      <c r="BC413" s="169"/>
    </row>
    <row r="414" spans="19:55">
      <c r="S414" s="454"/>
      <c r="AN414" s="454"/>
      <c r="AY414" s="454"/>
      <c r="AZ414" s="454"/>
      <c r="BA414" s="1306"/>
      <c r="BC414" s="169"/>
    </row>
    <row r="415" spans="19:55">
      <c r="S415" s="454"/>
      <c r="AN415" s="454"/>
      <c r="AY415" s="454"/>
      <c r="AZ415" s="454"/>
      <c r="BA415" s="1306"/>
      <c r="BC415" s="169"/>
    </row>
    <row r="416" spans="19:55">
      <c r="S416" s="454"/>
      <c r="AN416" s="454"/>
      <c r="AY416" s="454"/>
      <c r="AZ416" s="454"/>
      <c r="BA416" s="1306"/>
      <c r="BC416" s="169"/>
    </row>
    <row r="417" spans="19:55">
      <c r="S417" s="454"/>
      <c r="AN417" s="454"/>
      <c r="AY417" s="454"/>
      <c r="AZ417" s="454"/>
      <c r="BA417" s="1306"/>
      <c r="BC417" s="169"/>
    </row>
    <row r="418" spans="19:55">
      <c r="S418" s="454"/>
      <c r="AN418" s="454"/>
      <c r="AY418" s="454"/>
      <c r="AZ418" s="454"/>
      <c r="BA418" s="1306"/>
      <c r="BC418" s="169"/>
    </row>
    <row r="419" spans="19:55">
      <c r="S419" s="454"/>
      <c r="AN419" s="454"/>
      <c r="AY419" s="454"/>
      <c r="AZ419" s="454"/>
      <c r="BA419" s="1306"/>
      <c r="BC419" s="169"/>
    </row>
    <row r="420" spans="19:55">
      <c r="S420" s="454"/>
      <c r="AN420" s="454"/>
      <c r="AY420" s="454"/>
      <c r="AZ420" s="454"/>
      <c r="BA420" s="1306"/>
      <c r="BC420" s="169"/>
    </row>
    <row r="421" spans="19:55">
      <c r="S421" s="454"/>
      <c r="AN421" s="454"/>
      <c r="AY421" s="454"/>
      <c r="AZ421" s="454"/>
      <c r="BA421" s="1306"/>
      <c r="BC421" s="169"/>
    </row>
    <row r="422" spans="19:55">
      <c r="S422" s="454"/>
      <c r="AN422" s="454"/>
      <c r="AY422" s="454"/>
      <c r="AZ422" s="454"/>
      <c r="BA422" s="1306"/>
      <c r="BC422" s="169"/>
    </row>
    <row r="423" spans="19:55">
      <c r="S423" s="454"/>
      <c r="AN423" s="454"/>
      <c r="AY423" s="454"/>
      <c r="AZ423" s="454"/>
      <c r="BA423" s="1306"/>
      <c r="BC423" s="169"/>
    </row>
    <row r="424" spans="19:55">
      <c r="S424" s="454"/>
      <c r="AN424" s="454"/>
      <c r="AY424" s="454"/>
      <c r="AZ424" s="454"/>
      <c r="BA424" s="1306"/>
      <c r="BC424" s="169"/>
    </row>
    <row r="425" spans="19:55">
      <c r="S425" s="454"/>
      <c r="AN425" s="454"/>
      <c r="AY425" s="454"/>
      <c r="AZ425" s="454"/>
      <c r="BA425" s="1306"/>
      <c r="BC425" s="169"/>
    </row>
    <row r="426" spans="19:55">
      <c r="S426" s="454"/>
      <c r="AN426" s="454"/>
      <c r="AY426" s="454"/>
      <c r="AZ426" s="454"/>
      <c r="BA426" s="1306"/>
      <c r="BC426" s="169"/>
    </row>
    <row r="427" spans="19:55">
      <c r="S427" s="454"/>
      <c r="AN427" s="454"/>
      <c r="AY427" s="454"/>
      <c r="AZ427" s="454"/>
      <c r="BA427" s="1306"/>
      <c r="BC427" s="169"/>
    </row>
    <row r="428" spans="19:55">
      <c r="S428" s="454"/>
      <c r="AN428" s="454"/>
      <c r="AY428" s="454"/>
      <c r="AZ428" s="454"/>
      <c r="BA428" s="1306"/>
      <c r="BC428" s="169"/>
    </row>
    <row r="429" spans="19:55">
      <c r="S429" s="454"/>
      <c r="AN429" s="454"/>
      <c r="AY429" s="454"/>
      <c r="AZ429" s="454"/>
      <c r="BA429" s="1306"/>
      <c r="BC429" s="169"/>
    </row>
    <row r="430" spans="19:55">
      <c r="S430" s="454"/>
      <c r="AN430" s="454"/>
      <c r="AY430" s="454"/>
      <c r="AZ430" s="454"/>
      <c r="BA430" s="1306"/>
      <c r="BC430" s="169"/>
    </row>
    <row r="431" spans="19:55">
      <c r="S431" s="454"/>
      <c r="AN431" s="454"/>
      <c r="AY431" s="454"/>
      <c r="AZ431" s="454"/>
      <c r="BA431" s="1306"/>
      <c r="BC431" s="169"/>
    </row>
    <row r="432" spans="19:55">
      <c r="S432" s="454"/>
      <c r="AN432" s="454"/>
      <c r="AY432" s="454"/>
      <c r="AZ432" s="454"/>
      <c r="BA432" s="1306"/>
      <c r="BC432" s="169"/>
    </row>
    <row r="433" spans="19:55">
      <c r="S433" s="454"/>
      <c r="AN433" s="454"/>
      <c r="AY433" s="454"/>
      <c r="AZ433" s="454"/>
      <c r="BA433" s="1306"/>
      <c r="BC433" s="169"/>
    </row>
    <row r="434" spans="19:55">
      <c r="S434" s="454"/>
      <c r="AN434" s="454"/>
      <c r="AY434" s="454"/>
      <c r="AZ434" s="454"/>
      <c r="BA434" s="1306"/>
      <c r="BC434" s="169"/>
    </row>
    <row r="435" spans="19:55">
      <c r="S435" s="454"/>
      <c r="AN435" s="454"/>
      <c r="AY435" s="454"/>
      <c r="AZ435" s="454"/>
      <c r="BA435" s="1306"/>
      <c r="BC435" s="169"/>
    </row>
    <row r="436" spans="19:55">
      <c r="S436" s="454"/>
      <c r="AN436" s="454"/>
      <c r="AY436" s="454"/>
      <c r="AZ436" s="454"/>
      <c r="BA436" s="1306"/>
      <c r="BC436" s="169"/>
    </row>
    <row r="437" spans="19:55">
      <c r="S437" s="454"/>
      <c r="AN437" s="454"/>
      <c r="AY437" s="454"/>
      <c r="AZ437" s="454"/>
      <c r="BA437" s="1306"/>
      <c r="BC437" s="169"/>
    </row>
    <row r="438" spans="19:55">
      <c r="S438" s="454"/>
      <c r="AN438" s="454"/>
      <c r="AY438" s="454"/>
      <c r="AZ438" s="454"/>
      <c r="BA438" s="1306"/>
      <c r="BC438" s="169"/>
    </row>
    <row r="439" spans="19:55">
      <c r="S439" s="454"/>
      <c r="AN439" s="454"/>
      <c r="AY439" s="454"/>
      <c r="AZ439" s="454"/>
      <c r="BA439" s="1306"/>
      <c r="BC439" s="169"/>
    </row>
    <row r="440" spans="19:55">
      <c r="S440" s="454"/>
      <c r="AN440" s="454"/>
      <c r="AY440" s="454"/>
      <c r="AZ440" s="454"/>
      <c r="BA440" s="1306"/>
      <c r="BC440" s="169"/>
    </row>
    <row r="441" spans="19:55">
      <c r="S441" s="454"/>
      <c r="AN441" s="454"/>
      <c r="AY441" s="454"/>
      <c r="AZ441" s="454"/>
      <c r="BA441" s="1306"/>
      <c r="BC441" s="169"/>
    </row>
    <row r="442" spans="19:55">
      <c r="S442" s="454"/>
      <c r="AN442" s="454"/>
      <c r="AY442" s="454"/>
      <c r="AZ442" s="454"/>
      <c r="BA442" s="1306"/>
      <c r="BC442" s="169"/>
    </row>
    <row r="443" spans="19:55">
      <c r="S443" s="454"/>
      <c r="AN443" s="454"/>
      <c r="AY443" s="454"/>
      <c r="AZ443" s="454"/>
      <c r="BA443" s="1306"/>
      <c r="BC443" s="169"/>
    </row>
    <row r="444" spans="19:55">
      <c r="S444" s="454"/>
      <c r="AN444" s="454"/>
      <c r="AY444" s="454"/>
      <c r="AZ444" s="454"/>
      <c r="BA444" s="1306"/>
      <c r="BC444" s="169"/>
    </row>
    <row r="445" spans="19:55">
      <c r="S445" s="454"/>
      <c r="AN445" s="454"/>
      <c r="AY445" s="454"/>
      <c r="AZ445" s="454"/>
      <c r="BA445" s="1306"/>
      <c r="BC445" s="169"/>
    </row>
    <row r="446" spans="19:55">
      <c r="S446" s="454"/>
      <c r="AN446" s="454"/>
      <c r="AY446" s="454"/>
      <c r="AZ446" s="454"/>
      <c r="BA446" s="1306"/>
      <c r="BC446" s="169"/>
    </row>
    <row r="447" spans="19:55">
      <c r="S447" s="454"/>
      <c r="AN447" s="454"/>
      <c r="AY447" s="454"/>
      <c r="AZ447" s="454"/>
      <c r="BA447" s="1306"/>
      <c r="BC447" s="169"/>
    </row>
    <row r="448" spans="19:55">
      <c r="S448" s="454"/>
      <c r="AN448" s="454"/>
      <c r="AY448" s="454"/>
      <c r="AZ448" s="454"/>
      <c r="BA448" s="1306"/>
      <c r="BC448" s="169"/>
    </row>
    <row r="449" spans="19:55">
      <c r="S449" s="454"/>
      <c r="AN449" s="454"/>
      <c r="AY449" s="454"/>
      <c r="AZ449" s="454"/>
      <c r="BA449" s="1306"/>
      <c r="BC449" s="169"/>
    </row>
    <row r="450" spans="19:55">
      <c r="S450" s="454"/>
      <c r="AN450" s="454"/>
      <c r="AY450" s="454"/>
      <c r="AZ450" s="454"/>
      <c r="BA450" s="1306"/>
      <c r="BC450" s="169"/>
    </row>
    <row r="451" spans="19:55">
      <c r="S451" s="454"/>
      <c r="AN451" s="454"/>
      <c r="AY451" s="454"/>
      <c r="AZ451" s="454"/>
      <c r="BA451" s="1306"/>
      <c r="BC451" s="169"/>
    </row>
    <row r="452" spans="19:55">
      <c r="S452" s="454"/>
      <c r="AN452" s="454"/>
      <c r="AY452" s="454"/>
      <c r="AZ452" s="454"/>
      <c r="BA452" s="1306"/>
      <c r="BC452" s="169"/>
    </row>
    <row r="453" spans="19:55">
      <c r="S453" s="454"/>
      <c r="AN453" s="454"/>
      <c r="AY453" s="454"/>
      <c r="AZ453" s="454"/>
      <c r="BA453" s="1306"/>
      <c r="BC453" s="169"/>
    </row>
    <row r="454" spans="19:55">
      <c r="S454" s="454"/>
      <c r="AN454" s="454"/>
      <c r="AY454" s="454"/>
      <c r="AZ454" s="454"/>
      <c r="BA454" s="1306"/>
      <c r="BC454" s="169"/>
    </row>
    <row r="455" spans="19:55">
      <c r="S455" s="454"/>
      <c r="AN455" s="454"/>
      <c r="AY455" s="454"/>
      <c r="AZ455" s="454"/>
      <c r="BA455" s="1306"/>
      <c r="BC455" s="169"/>
    </row>
    <row r="456" spans="19:55">
      <c r="S456" s="454"/>
      <c r="AN456" s="454"/>
      <c r="AY456" s="454"/>
      <c r="AZ456" s="454"/>
      <c r="BA456" s="1306"/>
      <c r="BC456" s="169"/>
    </row>
    <row r="457" spans="19:55">
      <c r="S457" s="454"/>
      <c r="AN457" s="454"/>
      <c r="AY457" s="454"/>
      <c r="AZ457" s="454"/>
      <c r="BA457" s="1306"/>
      <c r="BC457" s="169"/>
    </row>
    <row r="458" spans="19:55">
      <c r="S458" s="454"/>
      <c r="AN458" s="454"/>
      <c r="AY458" s="454"/>
      <c r="AZ458" s="454"/>
      <c r="BA458" s="1306"/>
      <c r="BC458" s="169"/>
    </row>
    <row r="459" spans="19:55">
      <c r="S459" s="454"/>
      <c r="AN459" s="454"/>
      <c r="AY459" s="454"/>
      <c r="AZ459" s="454"/>
      <c r="BA459" s="1306"/>
      <c r="BC459" s="169"/>
    </row>
    <row r="460" spans="19:55">
      <c r="S460" s="454"/>
      <c r="AN460" s="454"/>
      <c r="AY460" s="454"/>
      <c r="AZ460" s="454"/>
      <c r="BA460" s="1306"/>
      <c r="BC460" s="169"/>
    </row>
    <row r="461" spans="19:55">
      <c r="S461" s="454"/>
      <c r="AN461" s="454"/>
      <c r="AY461" s="454"/>
      <c r="AZ461" s="454"/>
      <c r="BA461" s="1306"/>
      <c r="BC461" s="169"/>
    </row>
    <row r="462" spans="19:55">
      <c r="S462" s="454"/>
      <c r="AN462" s="454"/>
      <c r="AY462" s="454"/>
      <c r="AZ462" s="454"/>
      <c r="BA462" s="1306"/>
      <c r="BC462" s="169"/>
    </row>
    <row r="463" spans="19:55">
      <c r="S463" s="454"/>
      <c r="AN463" s="454"/>
      <c r="AY463" s="454"/>
      <c r="AZ463" s="454"/>
      <c r="BA463" s="1306"/>
      <c r="BC463" s="169"/>
    </row>
    <row r="464" spans="19:55">
      <c r="S464" s="454"/>
      <c r="AN464" s="454"/>
      <c r="AY464" s="454"/>
      <c r="AZ464" s="454"/>
      <c r="BA464" s="1306"/>
      <c r="BC464" s="169"/>
    </row>
    <row r="465" spans="19:55">
      <c r="S465" s="454"/>
      <c r="AN465" s="454"/>
      <c r="AY465" s="454"/>
      <c r="AZ465" s="454"/>
      <c r="BA465" s="1306"/>
      <c r="BC465" s="169"/>
    </row>
    <row r="466" spans="19:55">
      <c r="S466" s="454"/>
      <c r="AN466" s="454"/>
      <c r="AY466" s="454"/>
      <c r="AZ466" s="454"/>
      <c r="BA466" s="1306"/>
      <c r="BC466" s="169"/>
    </row>
    <row r="467" spans="19:55">
      <c r="S467" s="454"/>
      <c r="AN467" s="454"/>
      <c r="AY467" s="454"/>
      <c r="AZ467" s="454"/>
      <c r="BA467" s="1306"/>
      <c r="BC467" s="169"/>
    </row>
    <row r="468" spans="19:55">
      <c r="S468" s="454"/>
      <c r="AN468" s="454"/>
      <c r="AY468" s="454"/>
      <c r="AZ468" s="454"/>
      <c r="BA468" s="1306"/>
      <c r="BC468" s="169"/>
    </row>
    <row r="469" spans="19:55">
      <c r="S469" s="454"/>
      <c r="AN469" s="454"/>
      <c r="AY469" s="454"/>
      <c r="AZ469" s="454"/>
      <c r="BA469" s="1306"/>
      <c r="BC469" s="169"/>
    </row>
    <row r="470" spans="19:55">
      <c r="S470" s="454"/>
      <c r="AN470" s="454"/>
      <c r="AY470" s="454"/>
      <c r="AZ470" s="454"/>
      <c r="BA470" s="1306"/>
      <c r="BC470" s="169"/>
    </row>
    <row r="471" spans="19:55">
      <c r="S471" s="454"/>
      <c r="AN471" s="454"/>
      <c r="AY471" s="454"/>
      <c r="AZ471" s="454"/>
      <c r="BA471" s="1306"/>
      <c r="BC471" s="169"/>
    </row>
    <row r="472" spans="19:55">
      <c r="S472" s="454"/>
      <c r="AN472" s="454"/>
      <c r="AY472" s="454"/>
      <c r="AZ472" s="454"/>
      <c r="BA472" s="1306"/>
      <c r="BC472" s="169"/>
    </row>
    <row r="473" spans="19:55">
      <c r="S473" s="454"/>
      <c r="AN473" s="454"/>
      <c r="AY473" s="454"/>
      <c r="AZ473" s="454"/>
      <c r="BA473" s="1306"/>
      <c r="BC473" s="169"/>
    </row>
    <row r="474" spans="19:55">
      <c r="S474" s="454"/>
      <c r="AN474" s="454"/>
      <c r="AY474" s="454"/>
      <c r="AZ474" s="454"/>
      <c r="BA474" s="1306"/>
      <c r="BC474" s="169"/>
    </row>
    <row r="475" spans="19:55">
      <c r="S475" s="454"/>
      <c r="AN475" s="454"/>
      <c r="AY475" s="454"/>
      <c r="AZ475" s="454"/>
      <c r="BA475" s="1306"/>
      <c r="BC475" s="169"/>
    </row>
    <row r="476" spans="19:55">
      <c r="S476" s="454"/>
      <c r="AN476" s="454"/>
      <c r="AY476" s="454"/>
      <c r="AZ476" s="454"/>
      <c r="BA476" s="1306"/>
      <c r="BC476" s="169"/>
    </row>
    <row r="477" spans="19:55">
      <c r="S477" s="454"/>
      <c r="AN477" s="454"/>
      <c r="AY477" s="454"/>
      <c r="AZ477" s="454"/>
      <c r="BA477" s="1306"/>
      <c r="BC477" s="169"/>
    </row>
    <row r="478" spans="19:55">
      <c r="S478" s="454"/>
      <c r="AN478" s="454"/>
      <c r="AY478" s="454"/>
      <c r="AZ478" s="454"/>
      <c r="BA478" s="1306"/>
      <c r="BC478" s="169"/>
    </row>
    <row r="479" spans="19:55">
      <c r="S479" s="454"/>
      <c r="AN479" s="454"/>
      <c r="AY479" s="454"/>
      <c r="AZ479" s="454"/>
      <c r="BA479" s="1306"/>
      <c r="BC479" s="169"/>
    </row>
    <row r="480" spans="19:55">
      <c r="S480" s="454"/>
      <c r="AN480" s="454"/>
      <c r="AY480" s="454"/>
      <c r="AZ480" s="454"/>
      <c r="BA480" s="1306"/>
      <c r="BC480" s="169"/>
    </row>
    <row r="481" spans="19:55">
      <c r="S481" s="454"/>
      <c r="AN481" s="454"/>
      <c r="AY481" s="454"/>
      <c r="AZ481" s="454"/>
      <c r="BA481" s="1306"/>
      <c r="BC481" s="169"/>
    </row>
    <row r="482" spans="19:55">
      <c r="S482" s="454"/>
      <c r="AN482" s="454"/>
      <c r="AY482" s="454"/>
      <c r="AZ482" s="454"/>
      <c r="BA482" s="1306"/>
      <c r="BC482" s="169"/>
    </row>
    <row r="483" spans="19:55">
      <c r="S483" s="454"/>
      <c r="AN483" s="454"/>
      <c r="AY483" s="454"/>
      <c r="AZ483" s="454"/>
      <c r="BA483" s="1306"/>
      <c r="BC483" s="169"/>
    </row>
    <row r="484" spans="19:55">
      <c r="S484" s="454"/>
      <c r="AN484" s="454"/>
      <c r="AY484" s="454"/>
      <c r="AZ484" s="454"/>
      <c r="BA484" s="1306"/>
      <c r="BC484" s="169"/>
    </row>
    <row r="485" spans="19:55">
      <c r="S485" s="454"/>
      <c r="AN485" s="454"/>
      <c r="AY485" s="454"/>
      <c r="AZ485" s="454"/>
      <c r="BA485" s="1306"/>
      <c r="BC485" s="169"/>
    </row>
    <row r="486" spans="19:55">
      <c r="S486" s="454"/>
      <c r="AN486" s="454"/>
      <c r="AY486" s="454"/>
      <c r="AZ486" s="454"/>
      <c r="BA486" s="1306"/>
      <c r="BC486" s="169"/>
    </row>
    <row r="487" spans="19:55">
      <c r="S487" s="454"/>
      <c r="AN487" s="454"/>
      <c r="AY487" s="454"/>
      <c r="AZ487" s="454"/>
      <c r="BA487" s="1306"/>
      <c r="BC487" s="169"/>
    </row>
    <row r="488" spans="19:55">
      <c r="S488" s="454"/>
      <c r="AN488" s="454"/>
      <c r="AY488" s="454"/>
      <c r="AZ488" s="454"/>
      <c r="BA488" s="1306"/>
      <c r="BC488" s="169"/>
    </row>
    <row r="489" spans="19:55">
      <c r="S489" s="454"/>
      <c r="AN489" s="454"/>
      <c r="AY489" s="454"/>
      <c r="AZ489" s="454"/>
      <c r="BA489" s="1306"/>
      <c r="BC489" s="169"/>
    </row>
    <row r="490" spans="19:55">
      <c r="S490" s="454"/>
      <c r="AN490" s="454"/>
      <c r="AY490" s="454"/>
      <c r="AZ490" s="454"/>
      <c r="BA490" s="1306"/>
      <c r="BC490" s="169"/>
    </row>
    <row r="491" spans="19:55">
      <c r="S491" s="454"/>
      <c r="AN491" s="454"/>
      <c r="AY491" s="454"/>
      <c r="AZ491" s="454"/>
      <c r="BA491" s="1306"/>
      <c r="BC491" s="169"/>
    </row>
    <row r="492" spans="19:55">
      <c r="S492" s="454"/>
      <c r="AN492" s="454"/>
      <c r="AY492" s="454"/>
      <c r="AZ492" s="454"/>
      <c r="BA492" s="1306"/>
      <c r="BC492" s="169"/>
    </row>
    <row r="493" spans="19:55">
      <c r="S493" s="454"/>
      <c r="AN493" s="454"/>
      <c r="AY493" s="454"/>
      <c r="AZ493" s="454"/>
      <c r="BA493" s="1306"/>
      <c r="BC493" s="169"/>
    </row>
    <row r="494" spans="19:55">
      <c r="S494" s="454"/>
      <c r="AN494" s="454"/>
      <c r="AY494" s="454"/>
      <c r="AZ494" s="454"/>
      <c r="BA494" s="1306"/>
      <c r="BC494" s="169"/>
    </row>
    <row r="495" spans="19:55">
      <c r="S495" s="454"/>
      <c r="AN495" s="454"/>
      <c r="AY495" s="454"/>
      <c r="AZ495" s="454"/>
      <c r="BA495" s="1306"/>
      <c r="BC495" s="169"/>
    </row>
    <row r="496" spans="19:55">
      <c r="S496" s="454"/>
      <c r="AN496" s="454"/>
      <c r="AY496" s="454"/>
      <c r="AZ496" s="454"/>
      <c r="BA496" s="1306"/>
      <c r="BC496" s="169"/>
    </row>
    <row r="497" spans="19:55">
      <c r="S497" s="454"/>
      <c r="AN497" s="454"/>
      <c r="AY497" s="454"/>
      <c r="AZ497" s="454"/>
      <c r="BA497" s="1306"/>
      <c r="BC497" s="169"/>
    </row>
    <row r="498" spans="19:55">
      <c r="S498" s="454"/>
      <c r="AN498" s="454"/>
      <c r="AY498" s="454"/>
      <c r="AZ498" s="454"/>
      <c r="BA498" s="1306"/>
      <c r="BC498" s="169"/>
    </row>
    <row r="499" spans="19:55">
      <c r="S499" s="454"/>
      <c r="AN499" s="454"/>
      <c r="AY499" s="454"/>
      <c r="AZ499" s="454"/>
      <c r="BA499" s="1306"/>
      <c r="BC499" s="169"/>
    </row>
    <row r="500" spans="19:55">
      <c r="S500" s="454"/>
      <c r="AN500" s="454"/>
      <c r="AY500" s="454"/>
      <c r="AZ500" s="454"/>
      <c r="BA500" s="1306"/>
      <c r="BC500" s="169"/>
    </row>
    <row r="501" spans="19:55">
      <c r="S501" s="454"/>
      <c r="AN501" s="454"/>
      <c r="AY501" s="454"/>
      <c r="AZ501" s="454"/>
      <c r="BA501" s="1306"/>
      <c r="BC501" s="169"/>
    </row>
    <row r="502" spans="19:55">
      <c r="S502" s="454"/>
      <c r="AN502" s="454"/>
      <c r="AY502" s="454"/>
      <c r="AZ502" s="454"/>
      <c r="BA502" s="1306"/>
      <c r="BC502" s="169"/>
    </row>
    <row r="503" spans="19:55">
      <c r="S503" s="454"/>
      <c r="AN503" s="454"/>
      <c r="AY503" s="454"/>
      <c r="AZ503" s="454"/>
      <c r="BA503" s="1306"/>
      <c r="BC503" s="169"/>
    </row>
    <row r="504" spans="19:55">
      <c r="S504" s="454"/>
      <c r="AN504" s="454"/>
      <c r="AY504" s="454"/>
      <c r="AZ504" s="454"/>
      <c r="BA504" s="1306"/>
      <c r="BC504" s="169"/>
    </row>
    <row r="505" spans="19:55">
      <c r="S505" s="454"/>
      <c r="AN505" s="454"/>
      <c r="AY505" s="454"/>
      <c r="AZ505" s="454"/>
      <c r="BA505" s="1306"/>
      <c r="BC505" s="169"/>
    </row>
    <row r="506" spans="19:55">
      <c r="S506" s="454"/>
      <c r="AN506" s="454"/>
      <c r="AY506" s="454"/>
      <c r="AZ506" s="454"/>
      <c r="BA506" s="1306"/>
      <c r="BC506" s="169"/>
    </row>
    <row r="507" spans="19:55">
      <c r="S507" s="454"/>
      <c r="AN507" s="454"/>
      <c r="AY507" s="454"/>
      <c r="AZ507" s="454"/>
      <c r="BA507" s="1306"/>
      <c r="BC507" s="169"/>
    </row>
    <row r="508" spans="19:55">
      <c r="S508" s="454"/>
      <c r="AN508" s="454"/>
      <c r="AY508" s="454"/>
      <c r="AZ508" s="454"/>
      <c r="BA508" s="1306"/>
      <c r="BC508" s="169"/>
    </row>
    <row r="509" spans="19:55">
      <c r="S509" s="454"/>
      <c r="AN509" s="454"/>
      <c r="AY509" s="454"/>
      <c r="AZ509" s="454"/>
      <c r="BA509" s="1306"/>
      <c r="BC509" s="169"/>
    </row>
    <row r="510" spans="19:55">
      <c r="S510" s="454"/>
      <c r="AN510" s="454"/>
      <c r="AY510" s="454"/>
      <c r="AZ510" s="454"/>
      <c r="BA510" s="1306"/>
      <c r="BC510" s="169"/>
    </row>
    <row r="511" spans="19:55">
      <c r="S511" s="454"/>
      <c r="AN511" s="454"/>
      <c r="AY511" s="454"/>
      <c r="AZ511" s="454"/>
      <c r="BA511" s="1306"/>
      <c r="BC511" s="169"/>
    </row>
    <row r="512" spans="19:55">
      <c r="S512" s="454"/>
      <c r="AN512" s="454"/>
      <c r="AY512" s="454"/>
      <c r="AZ512" s="454"/>
      <c r="BA512" s="1306"/>
      <c r="BC512" s="169"/>
    </row>
    <row r="513" spans="19:55">
      <c r="S513" s="454"/>
      <c r="AN513" s="454"/>
      <c r="AY513" s="454"/>
      <c r="AZ513" s="454"/>
      <c r="BA513" s="1306"/>
      <c r="BC513" s="169"/>
    </row>
    <row r="514" spans="19:55">
      <c r="S514" s="454"/>
      <c r="AN514" s="454"/>
      <c r="AY514" s="454"/>
      <c r="AZ514" s="454"/>
      <c r="BA514" s="1306"/>
      <c r="BC514" s="169"/>
    </row>
    <row r="515" spans="19:55">
      <c r="S515" s="454"/>
      <c r="AN515" s="454"/>
      <c r="AY515" s="454"/>
      <c r="AZ515" s="454"/>
      <c r="BA515" s="1306"/>
      <c r="BC515" s="169"/>
    </row>
    <row r="516" spans="19:55">
      <c r="S516" s="454"/>
      <c r="AN516" s="454"/>
      <c r="AY516" s="454"/>
      <c r="AZ516" s="454"/>
      <c r="BA516" s="1306"/>
      <c r="BC516" s="169"/>
    </row>
    <row r="517" spans="19:55">
      <c r="S517" s="454"/>
      <c r="AN517" s="454"/>
      <c r="AY517" s="454"/>
      <c r="AZ517" s="454"/>
      <c r="BA517" s="1306"/>
      <c r="BC517" s="169"/>
    </row>
    <row r="518" spans="19:55">
      <c r="S518" s="454"/>
      <c r="AN518" s="454"/>
      <c r="AY518" s="454"/>
      <c r="AZ518" s="454"/>
      <c r="BA518" s="1306"/>
      <c r="BC518" s="169"/>
    </row>
    <row r="519" spans="19:55">
      <c r="S519" s="454"/>
      <c r="AN519" s="454"/>
      <c r="AY519" s="454"/>
      <c r="AZ519" s="454"/>
      <c r="BA519" s="1306"/>
      <c r="BC519" s="169"/>
    </row>
    <row r="520" spans="19:55">
      <c r="S520" s="454"/>
      <c r="AN520" s="454"/>
      <c r="AY520" s="454"/>
      <c r="AZ520" s="454"/>
      <c r="BA520" s="1306"/>
      <c r="BC520" s="169"/>
    </row>
    <row r="521" spans="19:55">
      <c r="S521" s="454"/>
      <c r="AN521" s="454"/>
      <c r="AY521" s="454"/>
      <c r="AZ521" s="454"/>
      <c r="BA521" s="1306"/>
      <c r="BC521" s="169"/>
    </row>
    <row r="522" spans="19:55">
      <c r="S522" s="454"/>
      <c r="AN522" s="454"/>
      <c r="AY522" s="454"/>
      <c r="AZ522" s="454"/>
      <c r="BA522" s="1306"/>
      <c r="BC522" s="169"/>
    </row>
    <row r="523" spans="19:55">
      <c r="S523" s="454"/>
      <c r="AN523" s="454"/>
      <c r="AY523" s="454"/>
      <c r="AZ523" s="454"/>
      <c r="BA523" s="1306"/>
      <c r="BC523" s="169"/>
    </row>
    <row r="524" spans="19:55">
      <c r="S524" s="454"/>
      <c r="AN524" s="454"/>
      <c r="AY524" s="454"/>
      <c r="AZ524" s="454"/>
      <c r="BA524" s="1306"/>
      <c r="BC524" s="169"/>
    </row>
    <row r="525" spans="19:55">
      <c r="S525" s="454"/>
      <c r="AN525" s="454"/>
      <c r="AY525" s="454"/>
      <c r="AZ525" s="454"/>
      <c r="BA525" s="1306"/>
      <c r="BC525" s="169"/>
    </row>
    <row r="526" spans="19:55">
      <c r="S526" s="454"/>
      <c r="AN526" s="454"/>
      <c r="AY526" s="454"/>
      <c r="AZ526" s="454"/>
      <c r="BA526" s="1306"/>
      <c r="BC526" s="169"/>
    </row>
    <row r="527" spans="19:55">
      <c r="S527" s="454"/>
      <c r="AN527" s="454"/>
      <c r="AY527" s="454"/>
      <c r="AZ527" s="454"/>
      <c r="BA527" s="1306"/>
      <c r="BC527" s="169"/>
    </row>
    <row r="528" spans="19:55">
      <c r="S528" s="454"/>
      <c r="AN528" s="454"/>
      <c r="AY528" s="454"/>
      <c r="AZ528" s="454"/>
      <c r="BA528" s="1306"/>
      <c r="BC528" s="169"/>
    </row>
    <row r="529" spans="19:55">
      <c r="S529" s="454"/>
      <c r="AN529" s="454"/>
      <c r="AY529" s="454"/>
      <c r="AZ529" s="454"/>
      <c r="BA529" s="1306"/>
      <c r="BC529" s="169"/>
    </row>
    <row r="530" spans="19:55">
      <c r="S530" s="454"/>
      <c r="AN530" s="454"/>
      <c r="AY530" s="454"/>
      <c r="AZ530" s="454"/>
      <c r="BA530" s="1306"/>
      <c r="BC530" s="169"/>
    </row>
    <row r="531" spans="19:55">
      <c r="S531" s="454"/>
      <c r="AN531" s="454"/>
      <c r="AY531" s="454"/>
      <c r="AZ531" s="454"/>
      <c r="BA531" s="1306"/>
      <c r="BC531" s="169"/>
    </row>
    <row r="532" spans="19:55">
      <c r="S532" s="454"/>
      <c r="AN532" s="454"/>
      <c r="AY532" s="454"/>
      <c r="AZ532" s="454"/>
      <c r="BA532" s="1306"/>
      <c r="BC532" s="169"/>
    </row>
    <row r="533" spans="19:55">
      <c r="S533" s="454"/>
      <c r="AN533" s="454"/>
      <c r="AY533" s="454"/>
      <c r="AZ533" s="454"/>
      <c r="BA533" s="1306"/>
      <c r="BC533" s="169"/>
    </row>
    <row r="534" spans="19:55">
      <c r="S534" s="454"/>
      <c r="AN534" s="454"/>
      <c r="AY534" s="454"/>
      <c r="AZ534" s="454"/>
      <c r="BA534" s="1306"/>
      <c r="BC534" s="169"/>
    </row>
    <row r="535" spans="19:55">
      <c r="S535" s="454"/>
      <c r="AN535" s="454"/>
      <c r="AY535" s="454"/>
      <c r="AZ535" s="454"/>
      <c r="BA535" s="1306"/>
      <c r="BC535" s="169"/>
    </row>
    <row r="536" spans="19:55">
      <c r="S536" s="454"/>
      <c r="AN536" s="454"/>
      <c r="AY536" s="454"/>
      <c r="AZ536" s="454"/>
      <c r="BA536" s="1306"/>
      <c r="BC536" s="169"/>
    </row>
    <row r="537" spans="19:55">
      <c r="S537" s="454"/>
      <c r="AN537" s="454"/>
      <c r="AY537" s="454"/>
      <c r="AZ537" s="454"/>
      <c r="BA537" s="1306"/>
      <c r="BC537" s="169"/>
    </row>
    <row r="538" spans="19:55">
      <c r="S538" s="454"/>
      <c r="AN538" s="454"/>
      <c r="AY538" s="454"/>
      <c r="AZ538" s="454"/>
      <c r="BA538" s="1306"/>
      <c r="BC538" s="169"/>
    </row>
    <row r="539" spans="19:55">
      <c r="S539" s="454"/>
      <c r="AN539" s="454"/>
      <c r="AY539" s="454"/>
      <c r="AZ539" s="454"/>
      <c r="BA539" s="1306"/>
      <c r="BC539" s="169"/>
    </row>
    <row r="540" spans="19:55">
      <c r="S540" s="454"/>
      <c r="AN540" s="454"/>
      <c r="AY540" s="454"/>
      <c r="AZ540" s="454"/>
      <c r="BA540" s="1306"/>
      <c r="BC540" s="169"/>
    </row>
    <row r="541" spans="19:55">
      <c r="S541" s="454"/>
      <c r="AN541" s="454"/>
      <c r="AY541" s="454"/>
      <c r="AZ541" s="454"/>
      <c r="BA541" s="1306"/>
      <c r="BC541" s="169"/>
    </row>
    <row r="542" spans="19:55">
      <c r="S542" s="454"/>
      <c r="AN542" s="454"/>
      <c r="AY542" s="454"/>
      <c r="AZ542" s="454"/>
      <c r="BA542" s="1306"/>
      <c r="BC542" s="169"/>
    </row>
    <row r="543" spans="19:55">
      <c r="S543" s="454"/>
      <c r="AN543" s="454"/>
      <c r="AY543" s="454"/>
      <c r="AZ543" s="454"/>
      <c r="BA543" s="1306"/>
      <c r="BC543" s="169"/>
    </row>
    <row r="544" spans="19:55">
      <c r="S544" s="454"/>
      <c r="AN544" s="454"/>
      <c r="AY544" s="454"/>
      <c r="AZ544" s="454"/>
      <c r="BA544" s="1306"/>
      <c r="BC544" s="169"/>
    </row>
    <row r="545" spans="19:55">
      <c r="S545" s="454"/>
      <c r="AN545" s="454"/>
      <c r="AY545" s="454"/>
      <c r="AZ545" s="454"/>
      <c r="BA545" s="1306"/>
      <c r="BC545" s="169"/>
    </row>
    <row r="546" spans="19:55">
      <c r="S546" s="454"/>
      <c r="AN546" s="454"/>
      <c r="AY546" s="454"/>
      <c r="AZ546" s="454"/>
      <c r="BA546" s="1306"/>
      <c r="BC546" s="169"/>
    </row>
    <row r="547" spans="19:55">
      <c r="S547" s="454"/>
      <c r="AN547" s="454"/>
      <c r="AY547" s="454"/>
      <c r="AZ547" s="454"/>
      <c r="BA547" s="1306"/>
      <c r="BC547" s="169"/>
    </row>
    <row r="548" spans="19:55">
      <c r="S548" s="454"/>
      <c r="AN548" s="454"/>
      <c r="AY548" s="454"/>
      <c r="AZ548" s="454"/>
      <c r="BA548" s="1306"/>
      <c r="BC548" s="169"/>
    </row>
    <row r="549" spans="19:55">
      <c r="S549" s="454"/>
      <c r="AN549" s="454"/>
      <c r="AY549" s="454"/>
      <c r="AZ549" s="454"/>
      <c r="BA549" s="1306"/>
      <c r="BC549" s="169"/>
    </row>
    <row r="550" spans="19:55">
      <c r="S550" s="454"/>
      <c r="AN550" s="454"/>
      <c r="AY550" s="454"/>
      <c r="AZ550" s="454"/>
      <c r="BA550" s="1306"/>
      <c r="BC550" s="169"/>
    </row>
    <row r="551" spans="19:55">
      <c r="S551" s="454"/>
      <c r="AN551" s="454"/>
      <c r="AY551" s="454"/>
      <c r="AZ551" s="454"/>
      <c r="BA551" s="1306"/>
      <c r="BC551" s="169"/>
    </row>
    <row r="552" spans="19:55">
      <c r="S552" s="454"/>
      <c r="AN552" s="454"/>
      <c r="AY552" s="454"/>
      <c r="AZ552" s="454"/>
      <c r="BA552" s="1306"/>
      <c r="BC552" s="169"/>
    </row>
    <row r="553" spans="19:55">
      <c r="S553" s="454"/>
      <c r="AN553" s="454"/>
      <c r="AY553" s="454"/>
      <c r="AZ553" s="454"/>
      <c r="BA553" s="1306"/>
      <c r="BC553" s="169"/>
    </row>
    <row r="554" spans="19:55">
      <c r="S554" s="454"/>
      <c r="AN554" s="454"/>
      <c r="AY554" s="454"/>
      <c r="AZ554" s="454"/>
      <c r="BA554" s="1306"/>
      <c r="BC554" s="169"/>
    </row>
    <row r="555" spans="19:55">
      <c r="S555" s="454"/>
      <c r="AN555" s="454"/>
      <c r="AY555" s="454"/>
      <c r="AZ555" s="454"/>
      <c r="BA555" s="1306"/>
      <c r="BC555" s="169"/>
    </row>
    <row r="556" spans="19:55">
      <c r="S556" s="454"/>
      <c r="AN556" s="454"/>
      <c r="AY556" s="454"/>
      <c r="AZ556" s="454"/>
      <c r="BA556" s="1306"/>
      <c r="BC556" s="169"/>
    </row>
    <row r="557" spans="19:55">
      <c r="S557" s="454"/>
      <c r="AN557" s="454"/>
      <c r="AY557" s="454"/>
      <c r="AZ557" s="454"/>
      <c r="BA557" s="1306"/>
      <c r="BC557" s="169"/>
    </row>
    <row r="558" spans="19:55">
      <c r="S558" s="454"/>
      <c r="AN558" s="454"/>
      <c r="AY558" s="454"/>
      <c r="AZ558" s="454"/>
      <c r="BA558" s="1306"/>
      <c r="BC558" s="169"/>
    </row>
    <row r="559" spans="19:55">
      <c r="S559" s="454"/>
      <c r="AN559" s="454"/>
      <c r="AY559" s="454"/>
      <c r="AZ559" s="454"/>
      <c r="BA559" s="1306"/>
      <c r="BC559" s="169"/>
    </row>
    <row r="560" spans="19:55">
      <c r="S560" s="454"/>
      <c r="AN560" s="454"/>
      <c r="AY560" s="454"/>
      <c r="AZ560" s="454"/>
      <c r="BA560" s="1306"/>
      <c r="BC560" s="169"/>
    </row>
    <row r="561" spans="19:55">
      <c r="S561" s="454"/>
      <c r="AN561" s="454"/>
      <c r="AY561" s="454"/>
      <c r="AZ561" s="454"/>
      <c r="BA561" s="1306"/>
      <c r="BC561" s="169"/>
    </row>
    <row r="562" spans="19:55">
      <c r="S562" s="454"/>
      <c r="AN562" s="454"/>
      <c r="AY562" s="454"/>
      <c r="AZ562" s="454"/>
      <c r="BA562" s="1306"/>
      <c r="BC562" s="169"/>
    </row>
    <row r="563" spans="19:55">
      <c r="S563" s="454"/>
      <c r="AN563" s="454"/>
      <c r="AY563" s="454"/>
      <c r="AZ563" s="454"/>
      <c r="BA563" s="1306"/>
      <c r="BC563" s="169"/>
    </row>
    <row r="564" spans="19:55">
      <c r="S564" s="454"/>
      <c r="AN564" s="454"/>
      <c r="AY564" s="454"/>
      <c r="AZ564" s="454"/>
      <c r="BA564" s="1306"/>
      <c r="BC564" s="169"/>
    </row>
    <row r="565" spans="19:55">
      <c r="S565" s="454"/>
      <c r="AN565" s="454"/>
      <c r="AY565" s="454"/>
      <c r="AZ565" s="454"/>
      <c r="BA565" s="1306"/>
      <c r="BC565" s="169"/>
    </row>
    <row r="566" spans="19:55">
      <c r="S566" s="454"/>
      <c r="AN566" s="454"/>
      <c r="AY566" s="454"/>
      <c r="AZ566" s="454"/>
      <c r="BA566" s="1306"/>
      <c r="BC566" s="169"/>
    </row>
    <row r="567" spans="19:55">
      <c r="S567" s="454"/>
      <c r="AN567" s="454"/>
      <c r="AY567" s="454"/>
      <c r="AZ567" s="454"/>
      <c r="BA567" s="1306"/>
      <c r="BC567" s="169"/>
    </row>
    <row r="568" spans="19:55">
      <c r="S568" s="454"/>
      <c r="AN568" s="454"/>
      <c r="AY568" s="454"/>
      <c r="AZ568" s="454"/>
      <c r="BA568" s="1306"/>
      <c r="BC568" s="169"/>
    </row>
    <row r="569" spans="19:55">
      <c r="S569" s="454"/>
      <c r="AN569" s="454"/>
      <c r="AY569" s="454"/>
      <c r="AZ569" s="454"/>
      <c r="BA569" s="1306"/>
      <c r="BC569" s="169"/>
    </row>
    <row r="570" spans="19:55">
      <c r="S570" s="454"/>
      <c r="AN570" s="454"/>
      <c r="AY570" s="454"/>
      <c r="AZ570" s="454"/>
      <c r="BA570" s="1306"/>
      <c r="BC570" s="169"/>
    </row>
    <row r="571" spans="19:55">
      <c r="S571" s="454"/>
      <c r="AN571" s="454"/>
      <c r="AY571" s="454"/>
      <c r="AZ571" s="454"/>
      <c r="BA571" s="1306"/>
      <c r="BC571" s="169"/>
    </row>
    <row r="572" spans="19:55">
      <c r="S572" s="454"/>
      <c r="AN572" s="454"/>
      <c r="AY572" s="454"/>
      <c r="AZ572" s="454"/>
      <c r="BA572" s="1306"/>
      <c r="BC572" s="169"/>
    </row>
    <row r="573" spans="19:55">
      <c r="S573" s="454"/>
      <c r="AN573" s="454"/>
      <c r="AY573" s="454"/>
      <c r="AZ573" s="454"/>
      <c r="BA573" s="1306"/>
      <c r="BC573" s="169"/>
    </row>
    <row r="574" spans="19:55">
      <c r="S574" s="454"/>
      <c r="AN574" s="454"/>
      <c r="AY574" s="454"/>
      <c r="AZ574" s="454"/>
      <c r="BA574" s="1306"/>
      <c r="BC574" s="169"/>
    </row>
    <row r="575" spans="19:55">
      <c r="S575" s="454"/>
      <c r="AN575" s="454"/>
      <c r="AY575" s="454"/>
      <c r="AZ575" s="454"/>
      <c r="BA575" s="1306"/>
      <c r="BC575" s="169"/>
    </row>
    <row r="576" spans="19:55">
      <c r="S576" s="454"/>
      <c r="AN576" s="454"/>
      <c r="AY576" s="454"/>
      <c r="AZ576" s="454"/>
      <c r="BA576" s="1306"/>
      <c r="BC576" s="169"/>
    </row>
    <row r="577" spans="19:55">
      <c r="S577" s="454"/>
      <c r="AN577" s="454"/>
      <c r="AY577" s="454"/>
      <c r="AZ577" s="454"/>
      <c r="BA577" s="1306"/>
      <c r="BC577" s="169"/>
    </row>
    <row r="578" spans="19:55">
      <c r="S578" s="454"/>
      <c r="AN578" s="454"/>
      <c r="AY578" s="454"/>
      <c r="AZ578" s="454"/>
      <c r="BA578" s="1306"/>
      <c r="BC578" s="169"/>
    </row>
    <row r="579" spans="19:55">
      <c r="S579" s="454"/>
      <c r="AN579" s="454"/>
      <c r="AY579" s="454"/>
      <c r="AZ579" s="454"/>
      <c r="BA579" s="1306"/>
      <c r="BC579" s="169"/>
    </row>
    <row r="580" spans="19:55">
      <c r="S580" s="454"/>
      <c r="AN580" s="454"/>
      <c r="AY580" s="454"/>
      <c r="AZ580" s="454"/>
      <c r="BA580" s="1306"/>
      <c r="BC580" s="169"/>
    </row>
    <row r="581" spans="19:55">
      <c r="S581" s="454"/>
      <c r="AN581" s="454"/>
      <c r="AY581" s="454"/>
      <c r="AZ581" s="454"/>
      <c r="BA581" s="1306"/>
      <c r="BC581" s="169"/>
    </row>
    <row r="582" spans="19:55">
      <c r="S582" s="454"/>
      <c r="AN582" s="454"/>
      <c r="AY582" s="454"/>
      <c r="AZ582" s="454"/>
      <c r="BA582" s="1306"/>
      <c r="BC582" s="169"/>
    </row>
    <row r="583" spans="19:55">
      <c r="S583" s="454"/>
      <c r="AN583" s="454"/>
      <c r="AY583" s="454"/>
      <c r="AZ583" s="454"/>
      <c r="BA583" s="1306"/>
      <c r="BC583" s="169"/>
    </row>
    <row r="584" spans="19:55">
      <c r="S584" s="454"/>
      <c r="AN584" s="454"/>
      <c r="AY584" s="454"/>
      <c r="AZ584" s="454"/>
      <c r="BA584" s="1306"/>
      <c r="BC584" s="169"/>
    </row>
    <row r="585" spans="19:55">
      <c r="S585" s="454"/>
      <c r="AN585" s="454"/>
      <c r="AY585" s="454"/>
      <c r="AZ585" s="454"/>
      <c r="BA585" s="1306"/>
      <c r="BC585" s="169"/>
    </row>
    <row r="586" spans="19:55">
      <c r="S586" s="454"/>
      <c r="AN586" s="454"/>
      <c r="AY586" s="454"/>
      <c r="AZ586" s="454"/>
      <c r="BA586" s="1306"/>
      <c r="BC586" s="169"/>
    </row>
    <row r="587" spans="19:55">
      <c r="S587" s="454"/>
      <c r="AN587" s="454"/>
      <c r="AY587" s="454"/>
      <c r="AZ587" s="454"/>
      <c r="BA587" s="1306"/>
      <c r="BC587" s="169"/>
    </row>
    <row r="588" spans="19:55">
      <c r="S588" s="454"/>
      <c r="AN588" s="454"/>
      <c r="AY588" s="454"/>
      <c r="AZ588" s="454"/>
      <c r="BA588" s="1306"/>
      <c r="BC588" s="169"/>
    </row>
    <row r="589" spans="19:55">
      <c r="S589" s="454"/>
      <c r="AN589" s="454"/>
      <c r="AY589" s="454"/>
      <c r="AZ589" s="454"/>
      <c r="BA589" s="1306"/>
      <c r="BC589" s="169"/>
    </row>
    <row r="590" spans="19:55">
      <c r="S590" s="454"/>
      <c r="AN590" s="454"/>
      <c r="AY590" s="454"/>
      <c r="AZ590" s="454"/>
      <c r="BA590" s="1306"/>
      <c r="BC590" s="169"/>
    </row>
    <row r="591" spans="19:55">
      <c r="S591" s="454"/>
      <c r="AN591" s="454"/>
      <c r="AY591" s="454"/>
      <c r="AZ591" s="454"/>
      <c r="BA591" s="1306"/>
      <c r="BC591" s="169"/>
    </row>
    <row r="592" spans="19:55">
      <c r="S592" s="454"/>
      <c r="AN592" s="454"/>
      <c r="AY592" s="454"/>
      <c r="AZ592" s="454"/>
      <c r="BA592" s="1306"/>
      <c r="BC592" s="169"/>
    </row>
    <row r="593" spans="19:55">
      <c r="S593" s="454"/>
      <c r="AN593" s="454"/>
      <c r="AY593" s="454"/>
      <c r="AZ593" s="454"/>
      <c r="BA593" s="1306"/>
      <c r="BC593" s="169"/>
    </row>
    <row r="594" spans="19:55">
      <c r="S594" s="454"/>
      <c r="AN594" s="454"/>
      <c r="AY594" s="454"/>
      <c r="AZ594" s="454"/>
      <c r="BA594" s="1306"/>
      <c r="BC594" s="169"/>
    </row>
    <row r="595" spans="19:55">
      <c r="S595" s="454"/>
      <c r="AN595" s="454"/>
      <c r="AY595" s="454"/>
      <c r="AZ595" s="454"/>
      <c r="BA595" s="1306"/>
      <c r="BC595" s="169"/>
    </row>
    <row r="596" spans="19:55">
      <c r="S596" s="454"/>
      <c r="AN596" s="454"/>
      <c r="AY596" s="454"/>
      <c r="AZ596" s="454"/>
      <c r="BA596" s="1306"/>
      <c r="BC596" s="169"/>
    </row>
    <row r="597" spans="19:55">
      <c r="S597" s="454"/>
      <c r="AN597" s="454"/>
      <c r="AY597" s="454"/>
      <c r="AZ597" s="454"/>
      <c r="BA597" s="1306"/>
      <c r="BC597" s="169"/>
    </row>
    <row r="598" spans="19:55">
      <c r="S598" s="454"/>
      <c r="AN598" s="454"/>
      <c r="AY598" s="454"/>
      <c r="AZ598" s="454"/>
      <c r="BA598" s="1306"/>
      <c r="BC598" s="169"/>
    </row>
    <row r="599" spans="19:55">
      <c r="S599" s="454"/>
      <c r="AN599" s="454"/>
      <c r="AY599" s="454"/>
      <c r="AZ599" s="454"/>
      <c r="BA599" s="1306"/>
      <c r="BC599" s="169"/>
    </row>
    <row r="600" spans="19:55">
      <c r="S600" s="454"/>
      <c r="AN600" s="454"/>
      <c r="AY600" s="454"/>
      <c r="AZ600" s="454"/>
      <c r="BA600" s="1306"/>
      <c r="BC600" s="169"/>
    </row>
    <row r="601" spans="19:55">
      <c r="S601" s="454"/>
      <c r="AN601" s="454"/>
      <c r="AY601" s="454"/>
      <c r="AZ601" s="454"/>
      <c r="BA601" s="1306"/>
      <c r="BC601" s="169"/>
    </row>
    <row r="602" spans="19:55">
      <c r="S602" s="454"/>
      <c r="AN602" s="454"/>
      <c r="AY602" s="454"/>
      <c r="AZ602" s="454"/>
      <c r="BA602" s="1306"/>
      <c r="BC602" s="169"/>
    </row>
    <row r="603" spans="19:55">
      <c r="S603" s="454"/>
      <c r="AN603" s="454"/>
      <c r="AY603" s="454"/>
      <c r="AZ603" s="454"/>
      <c r="BA603" s="1306"/>
      <c r="BC603" s="169"/>
    </row>
    <row r="604" spans="19:55">
      <c r="S604" s="454"/>
      <c r="AN604" s="454"/>
      <c r="AY604" s="454"/>
      <c r="AZ604" s="454"/>
      <c r="BA604" s="1306"/>
      <c r="BC604" s="169"/>
    </row>
    <row r="605" spans="19:55">
      <c r="S605" s="454"/>
      <c r="AN605" s="454"/>
      <c r="AY605" s="454"/>
      <c r="AZ605" s="454"/>
      <c r="BA605" s="1306"/>
      <c r="BC605" s="169"/>
    </row>
    <row r="606" spans="19:55">
      <c r="S606" s="454"/>
      <c r="AN606" s="454"/>
      <c r="AY606" s="454"/>
      <c r="AZ606" s="454"/>
      <c r="BA606" s="1306"/>
      <c r="BC606" s="169"/>
    </row>
    <row r="607" spans="19:55">
      <c r="S607" s="454"/>
      <c r="AN607" s="454"/>
      <c r="AY607" s="454"/>
      <c r="AZ607" s="454"/>
      <c r="BA607" s="1306"/>
      <c r="BC607" s="169"/>
    </row>
    <row r="608" spans="19:55">
      <c r="S608" s="454"/>
      <c r="AN608" s="454"/>
      <c r="AY608" s="454"/>
      <c r="AZ608" s="454"/>
      <c r="BA608" s="1306"/>
      <c r="BC608" s="169"/>
    </row>
    <row r="609" spans="19:55">
      <c r="S609" s="454"/>
      <c r="AN609" s="454"/>
      <c r="AY609" s="454"/>
      <c r="AZ609" s="454"/>
      <c r="BA609" s="1306"/>
      <c r="BC609" s="169"/>
    </row>
    <row r="610" spans="19:55">
      <c r="S610" s="454"/>
      <c r="AN610" s="454"/>
      <c r="AY610" s="454"/>
      <c r="AZ610" s="454"/>
      <c r="BA610" s="1306"/>
      <c r="BC610" s="169"/>
    </row>
    <row r="611" spans="19:55">
      <c r="S611" s="454"/>
      <c r="AN611" s="454"/>
      <c r="AY611" s="454"/>
      <c r="AZ611" s="454"/>
      <c r="BA611" s="1306"/>
      <c r="BC611" s="169"/>
    </row>
    <row r="612" spans="19:55">
      <c r="S612" s="454"/>
      <c r="AN612" s="454"/>
      <c r="AY612" s="454"/>
      <c r="AZ612" s="454"/>
      <c r="BA612" s="1306"/>
      <c r="BC612" s="169"/>
    </row>
    <row r="613" spans="19:55">
      <c r="S613" s="454"/>
      <c r="AN613" s="454"/>
      <c r="AY613" s="454"/>
      <c r="AZ613" s="454"/>
      <c r="BA613" s="1306"/>
      <c r="BC613" s="169"/>
    </row>
    <row r="614" spans="19:55">
      <c r="S614" s="454"/>
      <c r="AN614" s="454"/>
      <c r="AY614" s="454"/>
      <c r="AZ614" s="454"/>
      <c r="BA614" s="1306"/>
      <c r="BC614" s="169"/>
    </row>
    <row r="615" spans="19:55">
      <c r="S615" s="454"/>
      <c r="AN615" s="454"/>
      <c r="AY615" s="454"/>
      <c r="AZ615" s="454"/>
      <c r="BA615" s="1306"/>
      <c r="BC615" s="169"/>
    </row>
    <row r="616" spans="19:55">
      <c r="S616" s="454"/>
      <c r="AN616" s="454"/>
      <c r="AY616" s="454"/>
      <c r="AZ616" s="454"/>
      <c r="BA616" s="1306"/>
      <c r="BC616" s="169"/>
    </row>
    <row r="617" spans="19:55">
      <c r="S617" s="454"/>
      <c r="AN617" s="454"/>
      <c r="AY617" s="454"/>
      <c r="AZ617" s="454"/>
      <c r="BA617" s="1306"/>
      <c r="BC617" s="169"/>
    </row>
    <row r="618" spans="19:55">
      <c r="S618" s="454"/>
      <c r="AN618" s="454"/>
      <c r="AY618" s="454"/>
      <c r="AZ618" s="454"/>
      <c r="BA618" s="1306"/>
      <c r="BC618" s="169"/>
    </row>
    <row r="619" spans="19:55">
      <c r="S619" s="454"/>
      <c r="AN619" s="454"/>
      <c r="AY619" s="454"/>
      <c r="AZ619" s="454"/>
      <c r="BA619" s="1306"/>
      <c r="BC619" s="169"/>
    </row>
    <row r="620" spans="19:55">
      <c r="S620" s="454"/>
      <c r="AN620" s="454"/>
      <c r="AY620" s="454"/>
      <c r="AZ620" s="454"/>
      <c r="BA620" s="1306"/>
      <c r="BC620" s="169"/>
    </row>
    <row r="621" spans="19:55">
      <c r="S621" s="454"/>
      <c r="AN621" s="454"/>
      <c r="AY621" s="454"/>
      <c r="AZ621" s="454"/>
      <c r="BA621" s="1306"/>
      <c r="BC621" s="169"/>
    </row>
    <row r="622" spans="19:55">
      <c r="S622" s="454"/>
      <c r="AN622" s="454"/>
      <c r="AY622" s="454"/>
      <c r="AZ622" s="454"/>
      <c r="BA622" s="1306"/>
      <c r="BC622" s="169"/>
    </row>
    <row r="623" spans="19:55">
      <c r="S623" s="454"/>
      <c r="AN623" s="454"/>
      <c r="AY623" s="454"/>
      <c r="AZ623" s="454"/>
      <c r="BA623" s="1306"/>
      <c r="BC623" s="169"/>
    </row>
    <row r="624" spans="19:55">
      <c r="S624" s="454"/>
      <c r="AN624" s="454"/>
      <c r="AY624" s="454"/>
      <c r="AZ624" s="454"/>
      <c r="BA624" s="1306"/>
      <c r="BC624" s="169"/>
    </row>
    <row r="625" spans="19:55">
      <c r="S625" s="454"/>
      <c r="AN625" s="454"/>
      <c r="AY625" s="454"/>
      <c r="AZ625" s="454"/>
      <c r="BA625" s="1306"/>
      <c r="BC625" s="169"/>
    </row>
    <row r="626" spans="19:55">
      <c r="S626" s="454"/>
      <c r="AN626" s="454"/>
      <c r="AY626" s="454"/>
      <c r="AZ626" s="454"/>
      <c r="BA626" s="1306"/>
      <c r="BC626" s="169"/>
    </row>
    <row r="627" spans="19:55">
      <c r="S627" s="454"/>
      <c r="AN627" s="454"/>
      <c r="AY627" s="454"/>
      <c r="AZ627" s="454"/>
      <c r="BA627" s="1306"/>
      <c r="BC627" s="169"/>
    </row>
    <row r="628" spans="19:55">
      <c r="S628" s="454"/>
      <c r="AN628" s="454"/>
      <c r="AY628" s="454"/>
      <c r="AZ628" s="454"/>
      <c r="BA628" s="1306"/>
      <c r="BC628" s="169"/>
    </row>
    <row r="629" spans="19:55">
      <c r="S629" s="454"/>
      <c r="AN629" s="454"/>
      <c r="AY629" s="454"/>
      <c r="AZ629" s="454"/>
      <c r="BA629" s="1306"/>
      <c r="BC629" s="169"/>
    </row>
    <row r="630" spans="19:55">
      <c r="S630" s="454"/>
      <c r="AN630" s="454"/>
      <c r="AY630" s="454"/>
      <c r="AZ630" s="454"/>
      <c r="BA630" s="1306"/>
      <c r="BC630" s="169"/>
    </row>
    <row r="631" spans="19:55">
      <c r="S631" s="454"/>
      <c r="AN631" s="454"/>
      <c r="AY631" s="454"/>
      <c r="AZ631" s="454"/>
      <c r="BA631" s="1306"/>
      <c r="BC631" s="169"/>
    </row>
    <row r="632" spans="19:55">
      <c r="S632" s="454"/>
      <c r="AN632" s="454"/>
      <c r="AY632" s="454"/>
      <c r="AZ632" s="454"/>
      <c r="BA632" s="1306"/>
      <c r="BC632" s="169"/>
    </row>
    <row r="633" spans="19:55">
      <c r="S633" s="454"/>
      <c r="AN633" s="454"/>
      <c r="AY633" s="454"/>
      <c r="AZ633" s="454"/>
      <c r="BA633" s="1306"/>
      <c r="BC633" s="169"/>
    </row>
    <row r="634" spans="19:55">
      <c r="S634" s="454"/>
      <c r="AN634" s="454"/>
      <c r="AY634" s="454"/>
      <c r="AZ634" s="454"/>
      <c r="BA634" s="1306"/>
      <c r="BC634" s="169"/>
    </row>
    <row r="635" spans="19:55">
      <c r="S635" s="454"/>
      <c r="AN635" s="454"/>
      <c r="AY635" s="454"/>
      <c r="AZ635" s="454"/>
      <c r="BA635" s="1306"/>
      <c r="BC635" s="169"/>
    </row>
    <row r="636" spans="19:55">
      <c r="S636" s="454"/>
      <c r="AN636" s="454"/>
      <c r="AY636" s="454"/>
      <c r="AZ636" s="454"/>
      <c r="BA636" s="1306"/>
      <c r="BC636" s="169"/>
    </row>
    <row r="637" spans="19:55">
      <c r="S637" s="454"/>
      <c r="AN637" s="454"/>
      <c r="AY637" s="454"/>
      <c r="AZ637" s="454"/>
      <c r="BA637" s="1306"/>
      <c r="BC637" s="169"/>
    </row>
    <row r="638" spans="19:55">
      <c r="S638" s="454"/>
      <c r="AN638" s="454"/>
      <c r="AY638" s="454"/>
      <c r="AZ638" s="454"/>
      <c r="BA638" s="1306"/>
      <c r="BC638" s="169"/>
    </row>
    <row r="639" spans="19:55">
      <c r="S639" s="454"/>
      <c r="AN639" s="454"/>
      <c r="AY639" s="454"/>
      <c r="AZ639" s="454"/>
      <c r="BA639" s="1306"/>
      <c r="BC639" s="169"/>
    </row>
    <row r="640" spans="19:55">
      <c r="S640" s="454"/>
      <c r="AN640" s="454"/>
      <c r="AY640" s="454"/>
      <c r="AZ640" s="454"/>
      <c r="BA640" s="1306"/>
      <c r="BC640" s="169"/>
    </row>
    <row r="641" spans="19:55">
      <c r="S641" s="454"/>
      <c r="AN641" s="454"/>
      <c r="AY641" s="454"/>
      <c r="AZ641" s="454"/>
      <c r="BA641" s="1306"/>
      <c r="BC641" s="169"/>
    </row>
    <row r="642" spans="19:55">
      <c r="S642" s="454"/>
      <c r="AN642" s="454"/>
      <c r="AY642" s="454"/>
      <c r="AZ642" s="454"/>
      <c r="BA642" s="1306"/>
      <c r="BC642" s="169"/>
    </row>
    <row r="643" spans="19:55">
      <c r="S643" s="454"/>
      <c r="AN643" s="454"/>
      <c r="AY643" s="454"/>
      <c r="AZ643" s="454"/>
      <c r="BA643" s="1306"/>
      <c r="BC643" s="169"/>
    </row>
    <row r="644" spans="19:55">
      <c r="S644" s="454"/>
      <c r="AN644" s="454"/>
      <c r="AY644" s="454"/>
      <c r="AZ644" s="454"/>
      <c r="BA644" s="1306"/>
      <c r="BC644" s="169"/>
    </row>
    <row r="645" spans="19:55">
      <c r="S645" s="454"/>
      <c r="AN645" s="454"/>
      <c r="AY645" s="454"/>
      <c r="AZ645" s="454"/>
      <c r="BA645" s="1306"/>
      <c r="BC645" s="169"/>
    </row>
    <row r="646" spans="19:55">
      <c r="S646" s="454"/>
      <c r="AN646" s="454"/>
      <c r="AY646" s="454"/>
      <c r="AZ646" s="454"/>
      <c r="BA646" s="1306"/>
      <c r="BC646" s="169"/>
    </row>
    <row r="647" spans="19:55">
      <c r="S647" s="454"/>
      <c r="AN647" s="454"/>
      <c r="AY647" s="454"/>
      <c r="AZ647" s="454"/>
      <c r="BA647" s="1306"/>
      <c r="BC647" s="169"/>
    </row>
    <row r="648" spans="19:55">
      <c r="S648" s="454"/>
      <c r="AN648" s="454"/>
      <c r="AY648" s="454"/>
      <c r="AZ648" s="454"/>
      <c r="BA648" s="1306"/>
      <c r="BC648" s="169"/>
    </row>
    <row r="649" spans="19:55">
      <c r="S649" s="454"/>
      <c r="AN649" s="454"/>
      <c r="AY649" s="454"/>
      <c r="AZ649" s="454"/>
      <c r="BA649" s="1306"/>
      <c r="BC649" s="169"/>
    </row>
    <row r="650" spans="19:55">
      <c r="S650" s="454"/>
      <c r="AN650" s="454"/>
      <c r="AY650" s="454"/>
      <c r="AZ650" s="454"/>
      <c r="BA650" s="1306"/>
      <c r="BC650" s="169"/>
    </row>
    <row r="651" spans="19:55">
      <c r="S651" s="454"/>
      <c r="AN651" s="454"/>
      <c r="AY651" s="454"/>
      <c r="AZ651" s="454"/>
      <c r="BA651" s="1306"/>
      <c r="BC651" s="169"/>
    </row>
    <row r="652" spans="19:55">
      <c r="S652" s="454"/>
      <c r="AN652" s="454"/>
      <c r="AY652" s="454"/>
      <c r="AZ652" s="454"/>
      <c r="BA652" s="1306"/>
      <c r="BC652" s="169"/>
    </row>
    <row r="653" spans="19:55">
      <c r="S653" s="454"/>
      <c r="AN653" s="454"/>
      <c r="AY653" s="454"/>
      <c r="AZ653" s="454"/>
      <c r="BA653" s="1306"/>
      <c r="BC653" s="169"/>
    </row>
    <row r="654" spans="19:55">
      <c r="S654" s="454"/>
      <c r="AN654" s="454"/>
      <c r="AY654" s="454"/>
      <c r="AZ654" s="454"/>
      <c r="BA654" s="1306"/>
      <c r="BC654" s="169"/>
    </row>
    <row r="655" spans="19:55">
      <c r="S655" s="454"/>
      <c r="AN655" s="454"/>
      <c r="AY655" s="454"/>
      <c r="AZ655" s="454"/>
      <c r="BA655" s="1306"/>
      <c r="BC655" s="169"/>
    </row>
    <row r="656" spans="19:55">
      <c r="S656" s="454"/>
      <c r="AN656" s="454"/>
      <c r="AY656" s="454"/>
      <c r="AZ656" s="454"/>
      <c r="BA656" s="1306"/>
      <c r="BC656" s="169"/>
    </row>
    <row r="657" spans="19:55">
      <c r="S657" s="454"/>
      <c r="AN657" s="454"/>
      <c r="AY657" s="454"/>
      <c r="AZ657" s="454"/>
      <c r="BA657" s="1306"/>
      <c r="BC657" s="169"/>
    </row>
    <row r="658" spans="19:55">
      <c r="S658" s="454"/>
      <c r="AN658" s="454"/>
      <c r="AY658" s="454"/>
      <c r="AZ658" s="454"/>
      <c r="BA658" s="1306"/>
      <c r="BC658" s="169"/>
    </row>
    <row r="659" spans="19:55">
      <c r="S659" s="454"/>
      <c r="AN659" s="454"/>
      <c r="AY659" s="454"/>
      <c r="AZ659" s="454"/>
      <c r="BA659" s="1306"/>
      <c r="BC659" s="169"/>
    </row>
    <row r="660" spans="19:55">
      <c r="S660" s="454"/>
      <c r="AN660" s="454"/>
      <c r="AY660" s="454"/>
      <c r="AZ660" s="454"/>
      <c r="BA660" s="1306"/>
      <c r="BC660" s="169"/>
    </row>
    <row r="661" spans="19:55">
      <c r="S661" s="454"/>
      <c r="AN661" s="454"/>
      <c r="AY661" s="454"/>
      <c r="AZ661" s="454"/>
      <c r="BA661" s="1306"/>
      <c r="BC661" s="169"/>
    </row>
    <row r="662" spans="19:55">
      <c r="S662" s="454"/>
      <c r="AN662" s="454"/>
      <c r="AY662" s="454"/>
      <c r="AZ662" s="454"/>
      <c r="BA662" s="1306"/>
      <c r="BC662" s="169"/>
    </row>
    <row r="663" spans="19:55">
      <c r="S663" s="454"/>
      <c r="AN663" s="454"/>
      <c r="AY663" s="454"/>
      <c r="AZ663" s="454"/>
      <c r="BA663" s="1306"/>
      <c r="BC663" s="169"/>
    </row>
    <row r="664" spans="19:55">
      <c r="S664" s="454"/>
      <c r="AN664" s="454"/>
      <c r="AY664" s="454"/>
      <c r="AZ664" s="454"/>
      <c r="BA664" s="1306"/>
      <c r="BC664" s="169"/>
    </row>
    <row r="665" spans="19:55">
      <c r="S665" s="454"/>
      <c r="AN665" s="454"/>
      <c r="AY665" s="454"/>
      <c r="AZ665" s="454"/>
      <c r="BA665" s="1306"/>
      <c r="BC665" s="169"/>
    </row>
    <row r="666" spans="19:55">
      <c r="S666" s="454"/>
      <c r="AN666" s="454"/>
      <c r="AY666" s="454"/>
      <c r="AZ666" s="454"/>
      <c r="BA666" s="1306"/>
      <c r="BC666" s="169"/>
    </row>
    <row r="667" spans="19:55">
      <c r="S667" s="454"/>
      <c r="AN667" s="454"/>
      <c r="AY667" s="454"/>
      <c r="AZ667" s="454"/>
      <c r="BA667" s="1306"/>
      <c r="BC667" s="169"/>
    </row>
    <row r="668" spans="19:55">
      <c r="S668" s="454"/>
      <c r="AN668" s="454"/>
      <c r="AY668" s="454"/>
      <c r="AZ668" s="454"/>
      <c r="BA668" s="1306"/>
      <c r="BC668" s="169"/>
    </row>
    <row r="669" spans="19:55">
      <c r="S669" s="454"/>
      <c r="AN669" s="454"/>
      <c r="AY669" s="454"/>
      <c r="AZ669" s="454"/>
      <c r="BA669" s="1306"/>
      <c r="BC669" s="169"/>
    </row>
    <row r="670" spans="19:55">
      <c r="S670" s="454"/>
      <c r="AN670" s="454"/>
      <c r="AY670" s="454"/>
      <c r="AZ670" s="454"/>
      <c r="BA670" s="1306"/>
      <c r="BC670" s="169"/>
    </row>
    <row r="671" spans="19:55">
      <c r="S671" s="454"/>
      <c r="AN671" s="454"/>
      <c r="AY671" s="454"/>
      <c r="AZ671" s="454"/>
      <c r="BA671" s="1306"/>
      <c r="BC671" s="169"/>
    </row>
    <row r="672" spans="19:55">
      <c r="S672" s="454"/>
      <c r="AN672" s="454"/>
      <c r="AY672" s="454"/>
      <c r="AZ672" s="454"/>
      <c r="BA672" s="1306"/>
      <c r="BC672" s="169"/>
    </row>
    <row r="673" spans="19:55">
      <c r="S673" s="454"/>
      <c r="AN673" s="454"/>
      <c r="AY673" s="454"/>
      <c r="AZ673" s="454"/>
      <c r="BA673" s="1306"/>
      <c r="BC673" s="169"/>
    </row>
    <row r="674" spans="19:55">
      <c r="S674" s="454"/>
      <c r="AN674" s="454"/>
      <c r="AY674" s="454"/>
      <c r="AZ674" s="454"/>
      <c r="BA674" s="1306"/>
      <c r="BC674" s="169"/>
    </row>
    <row r="675" spans="19:55">
      <c r="S675" s="454"/>
      <c r="AN675" s="454"/>
      <c r="AY675" s="454"/>
      <c r="AZ675" s="454"/>
      <c r="BA675" s="1306"/>
      <c r="BC675" s="169"/>
    </row>
    <row r="676" spans="19:55">
      <c r="S676" s="454"/>
      <c r="AN676" s="454"/>
      <c r="AY676" s="454"/>
      <c r="AZ676" s="454"/>
      <c r="BA676" s="1306"/>
      <c r="BC676" s="169"/>
    </row>
    <row r="677" spans="19:55">
      <c r="S677" s="454"/>
      <c r="AN677" s="454"/>
      <c r="AY677" s="454"/>
      <c r="AZ677" s="454"/>
      <c r="BA677" s="1306"/>
      <c r="BC677" s="169"/>
    </row>
    <row r="678" spans="19:55">
      <c r="S678" s="454"/>
      <c r="AN678" s="454"/>
      <c r="AY678" s="454"/>
      <c r="AZ678" s="454"/>
      <c r="BA678" s="1306"/>
      <c r="BC678" s="169"/>
    </row>
    <row r="679" spans="19:55">
      <c r="S679" s="454"/>
      <c r="AN679" s="454"/>
      <c r="AY679" s="454"/>
      <c r="AZ679" s="454"/>
      <c r="BA679" s="1306"/>
      <c r="BC679" s="169"/>
    </row>
    <row r="680" spans="19:55">
      <c r="S680" s="454"/>
      <c r="AN680" s="454"/>
      <c r="AY680" s="454"/>
      <c r="AZ680" s="454"/>
      <c r="BA680" s="1306"/>
      <c r="BC680" s="169"/>
    </row>
    <row r="681" spans="19:55">
      <c r="S681" s="454"/>
      <c r="AN681" s="454"/>
      <c r="AY681" s="454"/>
      <c r="AZ681" s="454"/>
      <c r="BA681" s="1306"/>
      <c r="BC681" s="169"/>
    </row>
    <row r="682" spans="19:55">
      <c r="S682" s="454"/>
      <c r="AN682" s="454"/>
      <c r="AY682" s="454"/>
      <c r="AZ682" s="454"/>
      <c r="BA682" s="1306"/>
      <c r="BC682" s="169"/>
    </row>
    <row r="683" spans="19:55">
      <c r="S683" s="454"/>
      <c r="AN683" s="454"/>
      <c r="AY683" s="454"/>
      <c r="AZ683" s="454"/>
      <c r="BA683" s="1306"/>
      <c r="BC683" s="169"/>
    </row>
    <row r="684" spans="19:55">
      <c r="S684" s="454"/>
      <c r="AN684" s="454"/>
      <c r="AY684" s="454"/>
      <c r="AZ684" s="454"/>
      <c r="BA684" s="1306"/>
      <c r="BC684" s="169"/>
    </row>
    <row r="685" spans="19:55">
      <c r="S685" s="454"/>
      <c r="AN685" s="454"/>
      <c r="AY685" s="454"/>
      <c r="AZ685" s="454"/>
      <c r="BA685" s="1306"/>
      <c r="BC685" s="169"/>
    </row>
    <row r="686" spans="19:55">
      <c r="S686" s="454"/>
      <c r="AN686" s="454"/>
      <c r="AY686" s="454"/>
      <c r="AZ686" s="454"/>
      <c r="BA686" s="1306"/>
      <c r="BC686" s="169"/>
    </row>
    <row r="687" spans="19:55">
      <c r="S687" s="454"/>
      <c r="AN687" s="454"/>
      <c r="AY687" s="454"/>
      <c r="AZ687" s="454"/>
      <c r="BA687" s="1306"/>
      <c r="BC687" s="169"/>
    </row>
    <row r="688" spans="19:55">
      <c r="S688" s="454"/>
      <c r="AN688" s="454"/>
      <c r="AY688" s="454"/>
      <c r="AZ688" s="454"/>
      <c r="BA688" s="1306"/>
      <c r="BC688" s="169"/>
    </row>
    <row r="689" spans="19:55">
      <c r="S689" s="454"/>
      <c r="AN689" s="454"/>
      <c r="AY689" s="454"/>
      <c r="AZ689" s="454"/>
      <c r="BA689" s="1306"/>
      <c r="BC689" s="169"/>
    </row>
    <row r="690" spans="19:55">
      <c r="S690" s="454"/>
      <c r="AN690" s="454"/>
      <c r="AY690" s="454"/>
      <c r="AZ690" s="454"/>
      <c r="BA690" s="1306"/>
      <c r="BC690" s="169"/>
    </row>
    <row r="691" spans="19:55">
      <c r="S691" s="454"/>
      <c r="AN691" s="454"/>
      <c r="AY691" s="454"/>
      <c r="AZ691" s="454"/>
      <c r="BA691" s="1306"/>
      <c r="BC691" s="169"/>
    </row>
    <row r="692" spans="19:55">
      <c r="S692" s="454"/>
      <c r="AN692" s="454"/>
      <c r="AY692" s="454"/>
      <c r="AZ692" s="454"/>
      <c r="BA692" s="1306"/>
      <c r="BC692" s="169"/>
    </row>
    <row r="693" spans="19:55">
      <c r="S693" s="454"/>
      <c r="AN693" s="454"/>
      <c r="AY693" s="454"/>
      <c r="AZ693" s="454"/>
      <c r="BA693" s="1306"/>
      <c r="BC693" s="169"/>
    </row>
    <row r="694" spans="19:55">
      <c r="S694" s="454"/>
      <c r="AN694" s="454"/>
      <c r="AY694" s="454"/>
      <c r="AZ694" s="454"/>
      <c r="BA694" s="1306"/>
      <c r="BC694" s="169"/>
    </row>
    <row r="695" spans="19:55">
      <c r="S695" s="454"/>
      <c r="AN695" s="454"/>
      <c r="AY695" s="454"/>
      <c r="AZ695" s="454"/>
      <c r="BA695" s="1306"/>
      <c r="BC695" s="169"/>
    </row>
    <row r="696" spans="19:55">
      <c r="S696" s="454"/>
      <c r="AN696" s="454"/>
      <c r="AY696" s="454"/>
      <c r="AZ696" s="454"/>
      <c r="BA696" s="1306"/>
      <c r="BC696" s="169"/>
    </row>
    <row r="697" spans="19:55">
      <c r="S697" s="454"/>
      <c r="AN697" s="454"/>
      <c r="AY697" s="454"/>
      <c r="AZ697" s="454"/>
      <c r="BA697" s="1306"/>
      <c r="BC697" s="169"/>
    </row>
    <row r="698" spans="19:55">
      <c r="S698" s="454"/>
      <c r="AN698" s="454"/>
      <c r="AY698" s="454"/>
      <c r="AZ698" s="454"/>
      <c r="BA698" s="1306"/>
      <c r="BC698" s="169"/>
    </row>
    <row r="699" spans="19:55">
      <c r="S699" s="454"/>
      <c r="AN699" s="454"/>
      <c r="AY699" s="454"/>
      <c r="AZ699" s="454"/>
      <c r="BA699" s="1306"/>
      <c r="BC699" s="169"/>
    </row>
    <row r="700" spans="19:55">
      <c r="S700" s="454"/>
      <c r="AN700" s="454"/>
      <c r="AY700" s="454"/>
      <c r="AZ700" s="454"/>
      <c r="BA700" s="1306"/>
      <c r="BC700" s="169"/>
    </row>
    <row r="701" spans="19:55">
      <c r="S701" s="454"/>
      <c r="AN701" s="454"/>
      <c r="AY701" s="454"/>
      <c r="AZ701" s="454"/>
      <c r="BA701" s="1306"/>
      <c r="BC701" s="169"/>
    </row>
    <row r="702" spans="19:55">
      <c r="S702" s="454"/>
      <c r="AN702" s="454"/>
      <c r="AY702" s="454"/>
      <c r="AZ702" s="454"/>
      <c r="BA702" s="1306"/>
      <c r="BC702" s="169"/>
    </row>
    <row r="703" spans="19:55">
      <c r="S703" s="454"/>
      <c r="AN703" s="454"/>
      <c r="AY703" s="454"/>
      <c r="AZ703" s="454"/>
      <c r="BA703" s="1306"/>
      <c r="BC703" s="169"/>
    </row>
    <row r="704" spans="19:55">
      <c r="S704" s="454"/>
      <c r="AN704" s="454"/>
      <c r="AY704" s="454"/>
      <c r="AZ704" s="454"/>
      <c r="BA704" s="1306"/>
      <c r="BC704" s="169"/>
    </row>
    <row r="705" spans="19:55">
      <c r="S705" s="454"/>
      <c r="AN705" s="454"/>
      <c r="AY705" s="454"/>
      <c r="AZ705" s="454"/>
      <c r="BA705" s="1306"/>
      <c r="BC705" s="169"/>
    </row>
    <row r="706" spans="19:55">
      <c r="S706" s="454"/>
      <c r="AN706" s="454"/>
      <c r="AY706" s="454"/>
      <c r="AZ706" s="454"/>
      <c r="BA706" s="1306"/>
      <c r="BC706" s="169"/>
    </row>
    <row r="707" spans="19:55">
      <c r="S707" s="454"/>
      <c r="AN707" s="454"/>
      <c r="AY707" s="454"/>
      <c r="AZ707" s="454"/>
      <c r="BA707" s="1306"/>
      <c r="BC707" s="169"/>
    </row>
    <row r="708" spans="19:55">
      <c r="S708" s="454"/>
      <c r="AN708" s="454"/>
      <c r="AY708" s="454"/>
      <c r="AZ708" s="454"/>
      <c r="BA708" s="1306"/>
      <c r="BC708" s="169"/>
    </row>
    <row r="709" spans="19:55">
      <c r="S709" s="454"/>
      <c r="AN709" s="454"/>
      <c r="AY709" s="454"/>
      <c r="AZ709" s="454"/>
      <c r="BA709" s="1306"/>
      <c r="BC709" s="169"/>
    </row>
    <row r="710" spans="19:55">
      <c r="S710" s="454"/>
      <c r="AN710" s="454"/>
      <c r="AY710" s="454"/>
      <c r="AZ710" s="454"/>
      <c r="BA710" s="1306"/>
      <c r="BC710" s="169"/>
    </row>
    <row r="711" spans="19:55">
      <c r="S711" s="454"/>
      <c r="AN711" s="454"/>
      <c r="AY711" s="454"/>
      <c r="AZ711" s="454"/>
      <c r="BA711" s="1306"/>
      <c r="BC711" s="169"/>
    </row>
    <row r="712" spans="19:55">
      <c r="S712" s="454"/>
      <c r="AN712" s="454"/>
      <c r="AY712" s="454"/>
      <c r="AZ712" s="454"/>
      <c r="BA712" s="1306"/>
      <c r="BC712" s="169"/>
    </row>
    <row r="713" spans="19:55">
      <c r="S713" s="454"/>
      <c r="AN713" s="454"/>
      <c r="AY713" s="454"/>
      <c r="AZ713" s="454"/>
      <c r="BA713" s="1306"/>
      <c r="BC713" s="169"/>
    </row>
    <row r="714" spans="19:55">
      <c r="S714" s="454"/>
      <c r="AN714" s="454"/>
      <c r="AY714" s="454"/>
      <c r="AZ714" s="454"/>
      <c r="BA714" s="1306"/>
      <c r="BC714" s="169"/>
    </row>
    <row r="715" spans="19:55">
      <c r="S715" s="454"/>
      <c r="AN715" s="454"/>
      <c r="AY715" s="454"/>
      <c r="AZ715" s="454"/>
      <c r="BA715" s="1306"/>
      <c r="BC715" s="169"/>
    </row>
    <row r="716" spans="19:55">
      <c r="S716" s="454"/>
      <c r="AN716" s="454"/>
      <c r="AY716" s="454"/>
      <c r="AZ716" s="454"/>
      <c r="BA716" s="1306"/>
      <c r="BC716" s="169"/>
    </row>
    <row r="717" spans="19:55">
      <c r="S717" s="454"/>
      <c r="AN717" s="454"/>
      <c r="AY717" s="454"/>
      <c r="AZ717" s="454"/>
      <c r="BA717" s="1306"/>
      <c r="BC717" s="169"/>
    </row>
    <row r="718" spans="19:55">
      <c r="S718" s="454"/>
      <c r="AN718" s="454"/>
      <c r="AY718" s="454"/>
      <c r="AZ718" s="454"/>
      <c r="BA718" s="1306"/>
      <c r="BC718" s="169"/>
    </row>
    <row r="719" spans="19:55">
      <c r="S719" s="454"/>
      <c r="AN719" s="454"/>
      <c r="AY719" s="454"/>
      <c r="AZ719" s="454"/>
      <c r="BA719" s="1306"/>
      <c r="BC719" s="169"/>
    </row>
    <row r="720" spans="19:55">
      <c r="S720" s="454"/>
      <c r="AN720" s="454"/>
      <c r="AY720" s="454"/>
      <c r="AZ720" s="454"/>
      <c r="BA720" s="1306"/>
      <c r="BC720" s="169"/>
    </row>
    <row r="721" spans="19:55">
      <c r="S721" s="454"/>
      <c r="AN721" s="454"/>
      <c r="AY721" s="454"/>
      <c r="AZ721" s="454"/>
      <c r="BA721" s="1306"/>
      <c r="BC721" s="169"/>
    </row>
    <row r="722" spans="19:55">
      <c r="S722" s="454"/>
      <c r="AN722" s="454"/>
      <c r="AY722" s="454"/>
      <c r="AZ722" s="454"/>
      <c r="BA722" s="1306"/>
      <c r="BC722" s="169"/>
    </row>
    <row r="723" spans="19:55">
      <c r="S723" s="454"/>
      <c r="AN723" s="454"/>
      <c r="AY723" s="454"/>
      <c r="AZ723" s="454"/>
      <c r="BA723" s="1306"/>
      <c r="BC723" s="169"/>
    </row>
    <row r="724" spans="19:55">
      <c r="S724" s="454"/>
      <c r="AN724" s="454"/>
      <c r="AY724" s="454"/>
      <c r="AZ724" s="454"/>
      <c r="BA724" s="1306"/>
      <c r="BC724" s="169"/>
    </row>
    <row r="725" spans="19:55">
      <c r="S725" s="454"/>
      <c r="AN725" s="454"/>
      <c r="AY725" s="454"/>
      <c r="AZ725" s="454"/>
      <c r="BA725" s="1306"/>
      <c r="BC725" s="169"/>
    </row>
    <row r="726" spans="19:55">
      <c r="S726" s="454"/>
      <c r="AN726" s="454"/>
      <c r="AY726" s="454"/>
      <c r="AZ726" s="454"/>
      <c r="BA726" s="1306"/>
      <c r="BC726" s="169"/>
    </row>
    <row r="727" spans="19:55">
      <c r="S727" s="454"/>
      <c r="AN727" s="454"/>
      <c r="AY727" s="454"/>
      <c r="AZ727" s="454"/>
      <c r="BA727" s="1306"/>
      <c r="BC727" s="169"/>
    </row>
    <row r="728" spans="19:55">
      <c r="S728" s="454"/>
      <c r="AN728" s="454"/>
      <c r="AY728" s="454"/>
      <c r="AZ728" s="454"/>
      <c r="BA728" s="1306"/>
      <c r="BC728" s="169"/>
    </row>
    <row r="729" spans="19:55">
      <c r="S729" s="454"/>
      <c r="AN729" s="454"/>
      <c r="AY729" s="454"/>
      <c r="AZ729" s="454"/>
      <c r="BA729" s="1306"/>
      <c r="BC729" s="169"/>
    </row>
    <row r="730" spans="19:55">
      <c r="S730" s="454"/>
      <c r="AN730" s="454"/>
      <c r="AY730" s="454"/>
      <c r="AZ730" s="454"/>
      <c r="BA730" s="1306"/>
      <c r="BC730" s="169"/>
    </row>
    <row r="731" spans="19:55">
      <c r="S731" s="454"/>
      <c r="AN731" s="454"/>
      <c r="AY731" s="454"/>
      <c r="AZ731" s="454"/>
      <c r="BA731" s="1306"/>
      <c r="BC731" s="169"/>
    </row>
    <row r="732" spans="19:55">
      <c r="S732" s="454"/>
      <c r="AN732" s="454"/>
      <c r="AY732" s="454"/>
      <c r="AZ732" s="454"/>
      <c r="BA732" s="1306"/>
      <c r="BC732" s="169"/>
    </row>
    <row r="733" spans="19:55">
      <c r="S733" s="454"/>
      <c r="AN733" s="454"/>
      <c r="AY733" s="454"/>
      <c r="AZ733" s="454"/>
      <c r="BA733" s="1306"/>
      <c r="BC733" s="169"/>
    </row>
    <row r="734" spans="19:55">
      <c r="S734" s="454"/>
      <c r="AN734" s="454"/>
      <c r="AY734" s="454"/>
      <c r="AZ734" s="454"/>
      <c r="BA734" s="1306"/>
      <c r="BC734" s="169"/>
    </row>
    <row r="735" spans="19:55">
      <c r="S735" s="454"/>
      <c r="AN735" s="454"/>
      <c r="AY735" s="454"/>
      <c r="AZ735" s="454"/>
      <c r="BA735" s="1306"/>
      <c r="BC735" s="169"/>
    </row>
    <row r="736" spans="19:55">
      <c r="S736" s="454"/>
      <c r="AN736" s="454"/>
      <c r="AY736" s="454"/>
      <c r="AZ736" s="454"/>
      <c r="BA736" s="1306"/>
      <c r="BC736" s="169"/>
    </row>
    <row r="737" spans="19:55">
      <c r="S737" s="454"/>
      <c r="AN737" s="454"/>
      <c r="AY737" s="454"/>
      <c r="AZ737" s="454"/>
      <c r="BA737" s="1306"/>
      <c r="BC737" s="169"/>
    </row>
    <row r="738" spans="19:55">
      <c r="S738" s="454"/>
      <c r="AN738" s="454"/>
      <c r="AY738" s="454"/>
      <c r="AZ738" s="454"/>
      <c r="BA738" s="1306"/>
      <c r="BC738" s="169"/>
    </row>
    <row r="739" spans="19:55">
      <c r="S739" s="454"/>
      <c r="AN739" s="454"/>
      <c r="AY739" s="454"/>
      <c r="AZ739" s="454"/>
      <c r="BA739" s="1306"/>
      <c r="BC739" s="169"/>
    </row>
    <row r="740" spans="19:55">
      <c r="S740" s="454"/>
      <c r="AN740" s="454"/>
      <c r="AY740" s="454"/>
      <c r="AZ740" s="454"/>
      <c r="BA740" s="1306"/>
      <c r="BC740" s="169"/>
    </row>
    <row r="741" spans="19:55">
      <c r="S741" s="454"/>
      <c r="AN741" s="454"/>
      <c r="AY741" s="454"/>
      <c r="AZ741" s="454"/>
      <c r="BA741" s="1306"/>
      <c r="BC741" s="169"/>
    </row>
    <row r="742" spans="19:55">
      <c r="S742" s="454"/>
      <c r="AN742" s="454"/>
      <c r="AY742" s="454"/>
      <c r="AZ742" s="454"/>
      <c r="BA742" s="1306"/>
      <c r="BC742" s="169"/>
    </row>
    <row r="743" spans="19:55">
      <c r="S743" s="454"/>
      <c r="AN743" s="454"/>
      <c r="AY743" s="454"/>
      <c r="AZ743" s="454"/>
      <c r="BA743" s="1306"/>
      <c r="BC743" s="169"/>
    </row>
    <row r="744" spans="19:55">
      <c r="S744" s="454"/>
      <c r="AN744" s="454"/>
      <c r="AY744" s="454"/>
      <c r="AZ744" s="454"/>
      <c r="BA744" s="1306"/>
      <c r="BC744" s="169"/>
    </row>
    <row r="745" spans="19:55">
      <c r="S745" s="454"/>
      <c r="AN745" s="454"/>
      <c r="AY745" s="454"/>
      <c r="AZ745" s="454"/>
      <c r="BA745" s="1306"/>
      <c r="BC745" s="169"/>
    </row>
    <row r="746" spans="19:55">
      <c r="S746" s="454"/>
      <c r="AN746" s="454"/>
      <c r="AY746" s="454"/>
      <c r="AZ746" s="454"/>
      <c r="BA746" s="1306"/>
      <c r="BC746" s="169"/>
    </row>
    <row r="747" spans="19:55">
      <c r="S747" s="454"/>
      <c r="AN747" s="454"/>
      <c r="AY747" s="454"/>
      <c r="AZ747" s="454"/>
      <c r="BA747" s="1306"/>
      <c r="BC747" s="169"/>
    </row>
    <row r="748" spans="19:55">
      <c r="S748" s="454"/>
      <c r="AN748" s="454"/>
      <c r="AY748" s="454"/>
      <c r="AZ748" s="454"/>
      <c r="BA748" s="1306"/>
      <c r="BC748" s="169"/>
    </row>
    <row r="749" spans="19:55">
      <c r="S749" s="454"/>
      <c r="AN749" s="454"/>
      <c r="AY749" s="454"/>
      <c r="AZ749" s="454"/>
      <c r="BA749" s="1306"/>
      <c r="BC749" s="169"/>
    </row>
    <row r="750" spans="19:55">
      <c r="S750" s="454"/>
      <c r="AN750" s="454"/>
      <c r="AY750" s="454"/>
      <c r="AZ750" s="454"/>
      <c r="BA750" s="1306"/>
      <c r="BC750" s="169"/>
    </row>
    <row r="751" spans="19:55">
      <c r="S751" s="454"/>
      <c r="AN751" s="454"/>
      <c r="AY751" s="454"/>
      <c r="AZ751" s="454"/>
      <c r="BA751" s="1306"/>
      <c r="BC751" s="169"/>
    </row>
    <row r="752" spans="19:55">
      <c r="S752" s="454"/>
      <c r="AN752" s="454"/>
      <c r="AY752" s="454"/>
      <c r="AZ752" s="454"/>
      <c r="BA752" s="1306"/>
      <c r="BC752" s="169"/>
    </row>
    <row r="753" spans="19:55">
      <c r="S753" s="454"/>
      <c r="AN753" s="454"/>
      <c r="AY753" s="454"/>
      <c r="AZ753" s="454"/>
      <c r="BA753" s="1306"/>
      <c r="BC753" s="169"/>
    </row>
    <row r="754" spans="19:55">
      <c r="S754" s="454"/>
      <c r="AN754" s="454"/>
      <c r="AY754" s="454"/>
      <c r="AZ754" s="454"/>
      <c r="BA754" s="1306"/>
      <c r="BC754" s="169"/>
    </row>
    <row r="755" spans="19:55">
      <c r="S755" s="454"/>
      <c r="AN755" s="454"/>
      <c r="AY755" s="454"/>
      <c r="AZ755" s="454"/>
      <c r="BA755" s="1306"/>
      <c r="BC755" s="169"/>
    </row>
    <row r="756" spans="19:55">
      <c r="S756" s="454"/>
      <c r="AN756" s="454"/>
      <c r="AY756" s="454"/>
      <c r="AZ756" s="454"/>
      <c r="BA756" s="1306"/>
      <c r="BC756" s="169"/>
    </row>
    <row r="757" spans="19:55">
      <c r="S757" s="454"/>
      <c r="AN757" s="454"/>
      <c r="AY757" s="454"/>
      <c r="AZ757" s="454"/>
      <c r="BA757" s="1306"/>
      <c r="BC757" s="169"/>
    </row>
    <row r="758" spans="19:55">
      <c r="S758" s="454"/>
      <c r="AN758" s="454"/>
      <c r="AY758" s="454"/>
      <c r="AZ758" s="454"/>
      <c r="BA758" s="1306"/>
      <c r="BC758" s="169"/>
    </row>
    <row r="759" spans="19:55">
      <c r="S759" s="454"/>
      <c r="AN759" s="454"/>
      <c r="AY759" s="454"/>
      <c r="AZ759" s="454"/>
      <c r="BA759" s="1306"/>
      <c r="BC759" s="169"/>
    </row>
    <row r="760" spans="19:55">
      <c r="S760" s="454"/>
      <c r="AN760" s="454"/>
      <c r="AY760" s="454"/>
      <c r="AZ760" s="454"/>
      <c r="BA760" s="1306"/>
      <c r="BC760" s="169"/>
    </row>
    <row r="761" spans="19:55">
      <c r="S761" s="454"/>
      <c r="AN761" s="454"/>
      <c r="AY761" s="454"/>
      <c r="AZ761" s="454"/>
      <c r="BA761" s="1306"/>
      <c r="BC761" s="169"/>
    </row>
    <row r="762" spans="19:55">
      <c r="S762" s="454"/>
      <c r="AN762" s="454"/>
      <c r="AY762" s="454"/>
      <c r="AZ762" s="454"/>
      <c r="BA762" s="1306"/>
      <c r="BC762" s="169"/>
    </row>
    <row r="763" spans="19:55">
      <c r="S763" s="454"/>
      <c r="AN763" s="454"/>
      <c r="AY763" s="454"/>
      <c r="AZ763" s="454"/>
      <c r="BA763" s="1306"/>
      <c r="BC763" s="169"/>
    </row>
    <row r="764" spans="19:55">
      <c r="S764" s="454"/>
      <c r="AN764" s="454"/>
      <c r="AY764" s="454"/>
      <c r="AZ764" s="454"/>
      <c r="BA764" s="1306"/>
      <c r="BC764" s="169"/>
    </row>
    <row r="765" spans="19:55">
      <c r="S765" s="454"/>
      <c r="AN765" s="454"/>
      <c r="AY765" s="454"/>
      <c r="AZ765" s="454"/>
      <c r="BA765" s="1306"/>
      <c r="BC765" s="169"/>
    </row>
    <row r="766" spans="19:55">
      <c r="S766" s="454"/>
      <c r="AN766" s="454"/>
      <c r="AY766" s="454"/>
      <c r="AZ766" s="454"/>
      <c r="BA766" s="1306"/>
      <c r="BC766" s="169"/>
    </row>
    <row r="767" spans="19:55">
      <c r="S767" s="454"/>
      <c r="AN767" s="454"/>
      <c r="AY767" s="454"/>
      <c r="AZ767" s="454"/>
      <c r="BA767" s="1306"/>
      <c r="BC767" s="169"/>
    </row>
    <row r="768" spans="19:55">
      <c r="S768" s="454"/>
      <c r="AN768" s="454"/>
      <c r="AY768" s="454"/>
      <c r="AZ768" s="454"/>
      <c r="BA768" s="1306"/>
      <c r="BC768" s="169"/>
    </row>
    <row r="769" spans="19:55">
      <c r="S769" s="454"/>
      <c r="AN769" s="454"/>
      <c r="AY769" s="454"/>
      <c r="AZ769" s="454"/>
      <c r="BA769" s="1306"/>
      <c r="BC769" s="169"/>
    </row>
    <row r="770" spans="19:55">
      <c r="S770" s="454"/>
      <c r="AN770" s="454"/>
      <c r="AY770" s="454"/>
      <c r="AZ770" s="454"/>
      <c r="BA770" s="1306"/>
      <c r="BC770" s="169"/>
    </row>
    <row r="771" spans="19:55">
      <c r="S771" s="454"/>
      <c r="AN771" s="454"/>
      <c r="AY771" s="454"/>
      <c r="AZ771" s="454"/>
      <c r="BA771" s="1306"/>
      <c r="BC771" s="169"/>
    </row>
    <row r="772" spans="19:55">
      <c r="S772" s="454"/>
      <c r="AN772" s="454"/>
      <c r="AY772" s="454"/>
      <c r="AZ772" s="454"/>
      <c r="BA772" s="1306"/>
      <c r="BC772" s="169"/>
    </row>
    <row r="773" spans="19:55">
      <c r="S773" s="454"/>
      <c r="AN773" s="454"/>
      <c r="AY773" s="454"/>
      <c r="AZ773" s="454"/>
      <c r="BA773" s="1306"/>
      <c r="BC773" s="169"/>
    </row>
    <row r="774" spans="19:55">
      <c r="S774" s="454"/>
      <c r="AN774" s="454"/>
      <c r="AY774" s="454"/>
      <c r="AZ774" s="454"/>
      <c r="BA774" s="1306"/>
      <c r="BC774" s="169"/>
    </row>
    <row r="775" spans="19:55">
      <c r="S775" s="454"/>
      <c r="AN775" s="454"/>
      <c r="AY775" s="454"/>
      <c r="AZ775" s="454"/>
      <c r="BA775" s="1306"/>
      <c r="BC775" s="169"/>
    </row>
    <row r="776" spans="19:55">
      <c r="S776" s="454"/>
      <c r="AN776" s="454"/>
      <c r="AY776" s="454"/>
      <c r="AZ776" s="454"/>
      <c r="BA776" s="1306"/>
      <c r="BC776" s="169"/>
    </row>
    <row r="777" spans="19:55">
      <c r="S777" s="454"/>
      <c r="AN777" s="454"/>
      <c r="AY777" s="454"/>
      <c r="AZ777" s="454"/>
      <c r="BA777" s="1306"/>
      <c r="BC777" s="169"/>
    </row>
    <row r="778" spans="19:55">
      <c r="S778" s="454"/>
      <c r="AN778" s="454"/>
      <c r="AY778" s="454"/>
      <c r="AZ778" s="454"/>
      <c r="BA778" s="1306"/>
      <c r="BC778" s="169"/>
    </row>
    <row r="779" spans="19:55">
      <c r="S779" s="454"/>
      <c r="AN779" s="454"/>
      <c r="AY779" s="454"/>
      <c r="AZ779" s="454"/>
      <c r="BA779" s="1306"/>
      <c r="BC779" s="169"/>
    </row>
    <row r="780" spans="19:55">
      <c r="S780" s="454"/>
      <c r="AN780" s="454"/>
      <c r="AY780" s="454"/>
      <c r="AZ780" s="454"/>
      <c r="BA780" s="1306"/>
      <c r="BC780" s="169"/>
    </row>
    <row r="781" spans="19:55">
      <c r="S781" s="454"/>
      <c r="AN781" s="454"/>
      <c r="AY781" s="454"/>
      <c r="AZ781" s="454"/>
      <c r="BA781" s="1306"/>
      <c r="BC781" s="169"/>
    </row>
    <row r="782" spans="19:55">
      <c r="S782" s="454"/>
      <c r="AN782" s="454"/>
      <c r="AY782" s="454"/>
      <c r="AZ782" s="454"/>
      <c r="BA782" s="1306"/>
      <c r="BC782" s="169"/>
    </row>
    <row r="783" spans="19:55">
      <c r="S783" s="454"/>
      <c r="AN783" s="454"/>
      <c r="AY783" s="454"/>
      <c r="AZ783" s="454"/>
      <c r="BA783" s="1306"/>
      <c r="BC783" s="169"/>
    </row>
    <row r="784" spans="19:55">
      <c r="S784" s="454"/>
      <c r="AN784" s="454"/>
      <c r="AY784" s="454"/>
      <c r="AZ784" s="454"/>
      <c r="BA784" s="1306"/>
      <c r="BC784" s="169"/>
    </row>
    <row r="785" spans="19:55">
      <c r="S785" s="454"/>
      <c r="AN785" s="454"/>
      <c r="AY785" s="454"/>
      <c r="AZ785" s="454"/>
      <c r="BA785" s="1306"/>
      <c r="BC785" s="169"/>
    </row>
    <row r="786" spans="19:55">
      <c r="S786" s="454"/>
      <c r="AN786" s="454"/>
      <c r="AY786" s="454"/>
      <c r="AZ786" s="454"/>
      <c r="BA786" s="1306"/>
      <c r="BC786" s="169"/>
    </row>
    <row r="787" spans="19:55">
      <c r="S787" s="454"/>
      <c r="AN787" s="454"/>
      <c r="AY787" s="454"/>
      <c r="AZ787" s="454"/>
      <c r="BA787" s="1306"/>
      <c r="BC787" s="169"/>
    </row>
    <row r="788" spans="19:55">
      <c r="S788" s="454"/>
      <c r="AN788" s="454"/>
      <c r="AY788" s="454"/>
      <c r="AZ788" s="454"/>
      <c r="BA788" s="1306"/>
      <c r="BC788" s="169"/>
    </row>
    <row r="789" spans="19:55">
      <c r="S789" s="454"/>
      <c r="AN789" s="454"/>
      <c r="AY789" s="454"/>
      <c r="AZ789" s="454"/>
      <c r="BA789" s="1306"/>
      <c r="BC789" s="169"/>
    </row>
    <row r="790" spans="19:55">
      <c r="S790" s="454"/>
      <c r="AN790" s="454"/>
      <c r="AY790" s="454"/>
      <c r="AZ790" s="454"/>
      <c r="BA790" s="1306"/>
      <c r="BC790" s="169"/>
    </row>
    <row r="791" spans="19:55">
      <c r="S791" s="454"/>
      <c r="AN791" s="454"/>
      <c r="AY791" s="454"/>
      <c r="AZ791" s="454"/>
      <c r="BA791" s="1306"/>
      <c r="BC791" s="169"/>
    </row>
    <row r="792" spans="19:55">
      <c r="S792" s="454"/>
      <c r="AN792" s="454"/>
      <c r="AY792" s="454"/>
      <c r="AZ792" s="454"/>
      <c r="BA792" s="1306"/>
      <c r="BC792" s="169"/>
    </row>
    <row r="793" spans="19:55">
      <c r="S793" s="454"/>
      <c r="AN793" s="454"/>
      <c r="AY793" s="454"/>
      <c r="AZ793" s="454"/>
      <c r="BA793" s="1306"/>
      <c r="BC793" s="169"/>
    </row>
    <row r="794" spans="19:55">
      <c r="S794" s="454"/>
      <c r="AN794" s="454"/>
      <c r="AY794" s="454"/>
      <c r="AZ794" s="454"/>
      <c r="BA794" s="1306"/>
      <c r="BC794" s="169"/>
    </row>
    <row r="795" spans="19:55">
      <c r="S795" s="454"/>
      <c r="AN795" s="454"/>
      <c r="AY795" s="454"/>
      <c r="AZ795" s="454"/>
      <c r="BA795" s="1306"/>
      <c r="BC795" s="169"/>
    </row>
    <row r="796" spans="19:55">
      <c r="S796" s="454"/>
      <c r="AN796" s="454"/>
      <c r="AY796" s="454"/>
      <c r="AZ796" s="454"/>
      <c r="BA796" s="1306"/>
      <c r="BC796" s="169"/>
    </row>
    <row r="797" spans="19:55">
      <c r="S797" s="454"/>
      <c r="AN797" s="454"/>
      <c r="AY797" s="454"/>
      <c r="AZ797" s="454"/>
      <c r="BA797" s="1306"/>
      <c r="BC797" s="169"/>
    </row>
    <row r="798" spans="19:55">
      <c r="S798" s="454"/>
      <c r="AN798" s="454"/>
      <c r="AY798" s="454"/>
      <c r="AZ798" s="454"/>
      <c r="BA798" s="1306"/>
      <c r="BC798" s="169"/>
    </row>
    <row r="799" spans="19:55">
      <c r="S799" s="454"/>
      <c r="AN799" s="454"/>
      <c r="AY799" s="454"/>
      <c r="AZ799" s="454"/>
      <c r="BA799" s="1306"/>
      <c r="BC799" s="169"/>
    </row>
    <row r="800" spans="19:55">
      <c r="S800" s="454"/>
      <c r="AN800" s="454"/>
      <c r="AY800" s="454"/>
      <c r="AZ800" s="454"/>
      <c r="BA800" s="1306"/>
      <c r="BC800" s="169"/>
    </row>
    <row r="801" spans="19:55">
      <c r="S801" s="454"/>
      <c r="AN801" s="454"/>
      <c r="AY801" s="454"/>
      <c r="AZ801" s="454"/>
      <c r="BA801" s="1306"/>
      <c r="BC801" s="169"/>
    </row>
    <row r="802" spans="19:55">
      <c r="S802" s="454"/>
      <c r="AN802" s="454"/>
      <c r="AY802" s="454"/>
      <c r="AZ802" s="454"/>
      <c r="BA802" s="1306"/>
      <c r="BC802" s="169"/>
    </row>
    <row r="803" spans="19:55">
      <c r="S803" s="454"/>
      <c r="AN803" s="454"/>
      <c r="AY803" s="454"/>
      <c r="AZ803" s="454"/>
      <c r="BA803" s="1306"/>
      <c r="BC803" s="169"/>
    </row>
    <row r="804" spans="19:55">
      <c r="S804" s="454"/>
      <c r="AN804" s="454"/>
      <c r="AY804" s="454"/>
      <c r="AZ804" s="454"/>
      <c r="BA804" s="1306"/>
      <c r="BC804" s="169"/>
    </row>
    <row r="805" spans="19:55">
      <c r="S805" s="454"/>
      <c r="AN805" s="454"/>
      <c r="AY805" s="454"/>
      <c r="AZ805" s="454"/>
      <c r="BA805" s="1306"/>
      <c r="BC805" s="169"/>
    </row>
    <row r="806" spans="19:55">
      <c r="S806" s="454"/>
      <c r="AN806" s="454"/>
      <c r="AY806" s="454"/>
      <c r="AZ806" s="454"/>
      <c r="BA806" s="1306"/>
      <c r="BC806" s="169"/>
    </row>
    <row r="807" spans="19:55">
      <c r="S807" s="454"/>
      <c r="AN807" s="454"/>
      <c r="AY807" s="454"/>
      <c r="AZ807" s="454"/>
      <c r="BA807" s="1306"/>
      <c r="BC807" s="169"/>
    </row>
    <row r="808" spans="19:55">
      <c r="S808" s="454"/>
      <c r="AN808" s="454"/>
      <c r="AY808" s="454"/>
      <c r="AZ808" s="454"/>
      <c r="BA808" s="1306"/>
      <c r="BC808" s="169"/>
    </row>
    <row r="809" spans="19:55">
      <c r="S809" s="454"/>
      <c r="AN809" s="454"/>
      <c r="AY809" s="454"/>
      <c r="AZ809" s="454"/>
      <c r="BA809" s="1306"/>
      <c r="BC809" s="169"/>
    </row>
    <row r="810" spans="19:55">
      <c r="S810" s="454"/>
      <c r="AN810" s="454"/>
      <c r="AY810" s="454"/>
      <c r="AZ810" s="454"/>
      <c r="BA810" s="1306"/>
      <c r="BC810" s="169"/>
    </row>
    <row r="811" spans="19:55">
      <c r="S811" s="454"/>
      <c r="AN811" s="454"/>
      <c r="AY811" s="454"/>
      <c r="AZ811" s="454"/>
      <c r="BA811" s="1306"/>
      <c r="BC811" s="169"/>
    </row>
    <row r="812" spans="19:55">
      <c r="S812" s="454"/>
      <c r="AN812" s="454"/>
      <c r="AY812" s="454"/>
      <c r="AZ812" s="454"/>
      <c r="BA812" s="1306"/>
      <c r="BC812" s="169"/>
    </row>
    <row r="813" spans="19:55">
      <c r="S813" s="454"/>
      <c r="AN813" s="454"/>
      <c r="AY813" s="454"/>
      <c r="AZ813" s="454"/>
      <c r="BA813" s="1306"/>
      <c r="BC813" s="169"/>
    </row>
    <row r="814" spans="19:55">
      <c r="S814" s="454"/>
      <c r="AN814" s="454"/>
      <c r="AY814" s="454"/>
      <c r="AZ814" s="454"/>
      <c r="BA814" s="1306"/>
      <c r="BC814" s="169"/>
    </row>
    <row r="815" spans="19:55">
      <c r="S815" s="454"/>
      <c r="AN815" s="454"/>
      <c r="AY815" s="454"/>
      <c r="AZ815" s="454"/>
      <c r="BA815" s="1306"/>
      <c r="BC815" s="169"/>
    </row>
    <row r="816" spans="19:55">
      <c r="S816" s="454"/>
      <c r="AN816" s="454"/>
      <c r="AY816" s="454"/>
      <c r="AZ816" s="454"/>
      <c r="BA816" s="1306"/>
      <c r="BC816" s="169"/>
    </row>
    <row r="817" spans="19:55">
      <c r="S817" s="454"/>
      <c r="AN817" s="454"/>
      <c r="AY817" s="454"/>
      <c r="AZ817" s="454"/>
      <c r="BA817" s="1306"/>
      <c r="BC817" s="169"/>
    </row>
    <row r="818" spans="19:55">
      <c r="S818" s="454"/>
      <c r="AN818" s="454"/>
      <c r="AY818" s="454"/>
      <c r="AZ818" s="454"/>
      <c r="BA818" s="1306"/>
      <c r="BC818" s="169"/>
    </row>
    <row r="819" spans="19:55">
      <c r="S819" s="454"/>
      <c r="AN819" s="454"/>
      <c r="AY819" s="454"/>
      <c r="AZ819" s="454"/>
      <c r="BA819" s="1306"/>
      <c r="BC819" s="169"/>
    </row>
    <row r="820" spans="19:55">
      <c r="S820" s="454"/>
      <c r="AN820" s="454"/>
      <c r="AY820" s="454"/>
      <c r="AZ820" s="454"/>
      <c r="BA820" s="1306"/>
      <c r="BC820" s="169"/>
    </row>
    <row r="821" spans="19:55">
      <c r="S821" s="454"/>
      <c r="AN821" s="454"/>
      <c r="AY821" s="454"/>
      <c r="AZ821" s="454"/>
      <c r="BA821" s="1306"/>
      <c r="BC821" s="169"/>
    </row>
    <row r="822" spans="19:55">
      <c r="S822" s="454"/>
      <c r="AN822" s="454"/>
      <c r="AY822" s="454"/>
      <c r="AZ822" s="454"/>
      <c r="BA822" s="1306"/>
      <c r="BC822" s="169"/>
    </row>
    <row r="823" spans="19:55">
      <c r="S823" s="454"/>
      <c r="AN823" s="454"/>
      <c r="AY823" s="454"/>
      <c r="AZ823" s="454"/>
      <c r="BA823" s="1306"/>
      <c r="BC823" s="169"/>
    </row>
    <row r="824" spans="19:55">
      <c r="S824" s="454"/>
      <c r="AN824" s="454"/>
      <c r="AY824" s="454"/>
      <c r="AZ824" s="454"/>
      <c r="BA824" s="1306"/>
      <c r="BC824" s="169"/>
    </row>
    <row r="825" spans="19:55">
      <c r="S825" s="454"/>
      <c r="AN825" s="454"/>
      <c r="AY825" s="454"/>
      <c r="AZ825" s="454"/>
      <c r="BA825" s="1306"/>
      <c r="BC825" s="169"/>
    </row>
    <row r="826" spans="19:55">
      <c r="S826" s="454"/>
      <c r="AN826" s="454"/>
      <c r="AY826" s="454"/>
      <c r="AZ826" s="454"/>
      <c r="BA826" s="1306"/>
      <c r="BC826" s="169"/>
    </row>
    <row r="827" spans="19:55">
      <c r="S827" s="454"/>
      <c r="AN827" s="454"/>
      <c r="AY827" s="454"/>
      <c r="AZ827" s="454"/>
      <c r="BA827" s="1306"/>
      <c r="BC827" s="169"/>
    </row>
    <row r="828" spans="19:55">
      <c r="S828" s="454"/>
      <c r="AN828" s="454"/>
      <c r="AY828" s="454"/>
      <c r="AZ828" s="454"/>
      <c r="BA828" s="1306"/>
      <c r="BC828" s="169"/>
    </row>
    <row r="829" spans="19:55">
      <c r="S829" s="454"/>
      <c r="AN829" s="454"/>
      <c r="AY829" s="454"/>
      <c r="AZ829" s="454"/>
      <c r="BA829" s="1306"/>
      <c r="BC829" s="169"/>
    </row>
    <row r="830" spans="19:55">
      <c r="S830" s="454"/>
      <c r="AN830" s="454"/>
      <c r="AY830" s="454"/>
      <c r="AZ830" s="454"/>
      <c r="BA830" s="1306"/>
      <c r="BC830" s="169"/>
    </row>
    <row r="831" spans="19:55">
      <c r="S831" s="454"/>
      <c r="AN831" s="454"/>
      <c r="AY831" s="454"/>
      <c r="AZ831" s="454"/>
      <c r="BA831" s="1306"/>
      <c r="BC831" s="169"/>
    </row>
    <row r="832" spans="19:55">
      <c r="S832" s="454"/>
      <c r="AN832" s="454"/>
      <c r="AY832" s="454"/>
      <c r="AZ832" s="454"/>
      <c r="BA832" s="1306"/>
      <c r="BC832" s="169"/>
    </row>
    <row r="833" spans="19:55">
      <c r="S833" s="454"/>
      <c r="AN833" s="454"/>
      <c r="AY833" s="454"/>
      <c r="AZ833" s="454"/>
      <c r="BA833" s="1306"/>
      <c r="BC833" s="169"/>
    </row>
    <row r="834" spans="19:55">
      <c r="S834" s="454"/>
      <c r="AN834" s="454"/>
      <c r="AY834" s="454"/>
      <c r="AZ834" s="454"/>
      <c r="BA834" s="1306"/>
      <c r="BC834" s="169"/>
    </row>
    <row r="835" spans="19:55">
      <c r="S835" s="454"/>
      <c r="AN835" s="454"/>
      <c r="AY835" s="454"/>
      <c r="AZ835" s="454"/>
      <c r="BA835" s="1306"/>
      <c r="BC835" s="169"/>
    </row>
    <row r="836" spans="19:55">
      <c r="S836" s="454"/>
      <c r="AN836" s="454"/>
      <c r="AY836" s="454"/>
      <c r="AZ836" s="454"/>
      <c r="BA836" s="1306"/>
      <c r="BC836" s="169"/>
    </row>
    <row r="837" spans="19:55">
      <c r="S837" s="454"/>
      <c r="AN837" s="454"/>
      <c r="AY837" s="454"/>
      <c r="AZ837" s="454"/>
      <c r="BA837" s="1306"/>
      <c r="BC837" s="169"/>
    </row>
    <row r="838" spans="19:55">
      <c r="S838" s="454"/>
      <c r="AN838" s="454"/>
      <c r="AY838" s="454"/>
      <c r="AZ838" s="454"/>
      <c r="BA838" s="1306"/>
      <c r="BC838" s="169"/>
    </row>
    <row r="839" spans="19:55">
      <c r="S839" s="454"/>
      <c r="AN839" s="454"/>
      <c r="AY839" s="454"/>
      <c r="AZ839" s="454"/>
      <c r="BA839" s="1306"/>
      <c r="BC839" s="169"/>
    </row>
    <row r="840" spans="19:55">
      <c r="S840" s="454"/>
      <c r="AN840" s="454"/>
      <c r="AY840" s="454"/>
      <c r="AZ840" s="454"/>
      <c r="BA840" s="1306"/>
      <c r="BC840" s="169"/>
    </row>
    <row r="841" spans="19:55">
      <c r="S841" s="454"/>
      <c r="AN841" s="454"/>
      <c r="AY841" s="454"/>
      <c r="AZ841" s="454"/>
      <c r="BA841" s="1306"/>
      <c r="BC841" s="169"/>
    </row>
    <row r="842" spans="19:55">
      <c r="S842" s="454"/>
      <c r="AN842" s="454"/>
      <c r="AY842" s="454"/>
      <c r="AZ842" s="454"/>
      <c r="BA842" s="1306"/>
      <c r="BC842" s="169"/>
    </row>
    <row r="843" spans="19:55">
      <c r="S843" s="454"/>
      <c r="AN843" s="454"/>
      <c r="AY843" s="454"/>
      <c r="AZ843" s="454"/>
      <c r="BA843" s="1306"/>
      <c r="BC843" s="169"/>
    </row>
    <row r="844" spans="19:55">
      <c r="S844" s="454"/>
      <c r="AN844" s="454"/>
      <c r="AY844" s="454"/>
      <c r="AZ844" s="454"/>
      <c r="BA844" s="1306"/>
      <c r="BC844" s="169"/>
    </row>
    <row r="845" spans="19:55">
      <c r="S845" s="454"/>
      <c r="AN845" s="454"/>
      <c r="AY845" s="454"/>
      <c r="AZ845" s="454"/>
      <c r="BA845" s="1306"/>
      <c r="BC845" s="169"/>
    </row>
    <row r="846" spans="19:55">
      <c r="S846" s="454"/>
      <c r="AN846" s="454"/>
      <c r="AY846" s="454"/>
      <c r="AZ846" s="454"/>
      <c r="BA846" s="1306"/>
      <c r="BC846" s="169"/>
    </row>
    <row r="847" spans="19:55">
      <c r="S847" s="454"/>
      <c r="AN847" s="454"/>
      <c r="AY847" s="454"/>
      <c r="AZ847" s="454"/>
      <c r="BA847" s="1306"/>
      <c r="BC847" s="169"/>
    </row>
    <row r="848" spans="19:55">
      <c r="S848" s="454"/>
      <c r="AN848" s="454"/>
      <c r="AY848" s="454"/>
      <c r="AZ848" s="454"/>
      <c r="BA848" s="1306"/>
      <c r="BC848" s="169"/>
    </row>
    <row r="849" spans="19:55">
      <c r="S849" s="454"/>
      <c r="AN849" s="454"/>
      <c r="AY849" s="454"/>
      <c r="AZ849" s="454"/>
      <c r="BA849" s="1306"/>
      <c r="BC849" s="169"/>
    </row>
    <row r="850" spans="19:55">
      <c r="S850" s="454"/>
      <c r="AN850" s="454"/>
      <c r="AY850" s="454"/>
      <c r="AZ850" s="454"/>
      <c r="BA850" s="1306"/>
      <c r="BC850" s="169"/>
    </row>
    <row r="851" spans="19:55">
      <c r="S851" s="454"/>
      <c r="AN851" s="454"/>
      <c r="AY851" s="454"/>
      <c r="AZ851" s="454"/>
      <c r="BA851" s="1306"/>
      <c r="BC851" s="169"/>
    </row>
    <row r="852" spans="19:55">
      <c r="S852" s="454"/>
      <c r="AN852" s="454"/>
      <c r="AY852" s="454"/>
      <c r="AZ852" s="454"/>
      <c r="BA852" s="1306"/>
      <c r="BC852" s="169"/>
    </row>
    <row r="853" spans="19:55">
      <c r="S853" s="454"/>
      <c r="AN853" s="454"/>
      <c r="AY853" s="454"/>
      <c r="AZ853" s="454"/>
      <c r="BA853" s="1306"/>
      <c r="BC853" s="169"/>
    </row>
    <row r="854" spans="19:55">
      <c r="S854" s="454"/>
      <c r="AN854" s="454"/>
      <c r="AY854" s="454"/>
      <c r="AZ854" s="454"/>
      <c r="BA854" s="1306"/>
      <c r="BC854" s="169"/>
    </row>
    <row r="855" spans="19:55">
      <c r="S855" s="454"/>
      <c r="AN855" s="454"/>
      <c r="AY855" s="454"/>
      <c r="AZ855" s="454"/>
      <c r="BA855" s="1306"/>
      <c r="BC855" s="169"/>
    </row>
    <row r="856" spans="19:55">
      <c r="S856" s="454"/>
      <c r="AN856" s="454"/>
      <c r="AY856" s="454"/>
      <c r="AZ856" s="454"/>
      <c r="BA856" s="1306"/>
      <c r="BC856" s="169"/>
    </row>
    <row r="857" spans="19:55">
      <c r="S857" s="454"/>
      <c r="AN857" s="454"/>
      <c r="AY857" s="454"/>
      <c r="AZ857" s="454"/>
      <c r="BA857" s="1306"/>
      <c r="BC857" s="169"/>
    </row>
    <row r="858" spans="19:55">
      <c r="S858" s="454"/>
      <c r="AN858" s="454"/>
      <c r="AY858" s="454"/>
      <c r="AZ858" s="454"/>
      <c r="BA858" s="1306"/>
      <c r="BC858" s="169"/>
    </row>
    <row r="859" spans="19:55">
      <c r="S859" s="454"/>
      <c r="AN859" s="454"/>
      <c r="AY859" s="454"/>
      <c r="AZ859" s="454"/>
      <c r="BA859" s="1306"/>
      <c r="BC859" s="169"/>
    </row>
    <row r="860" spans="19:55">
      <c r="S860" s="454"/>
      <c r="AN860" s="454"/>
      <c r="AY860" s="454"/>
      <c r="AZ860" s="454"/>
      <c r="BA860" s="1306"/>
      <c r="BC860" s="169"/>
    </row>
    <row r="861" spans="19:55">
      <c r="S861" s="454"/>
      <c r="AN861" s="454"/>
      <c r="AY861" s="454"/>
      <c r="AZ861" s="454"/>
      <c r="BA861" s="1306"/>
      <c r="BC861" s="169"/>
    </row>
    <row r="862" spans="19:55">
      <c r="S862" s="454"/>
      <c r="AN862" s="454"/>
      <c r="AY862" s="454"/>
      <c r="AZ862" s="454"/>
      <c r="BA862" s="1306"/>
      <c r="BC862" s="169"/>
    </row>
    <row r="863" spans="19:55">
      <c r="S863" s="454"/>
      <c r="AN863" s="454"/>
      <c r="AY863" s="454"/>
      <c r="AZ863" s="454"/>
      <c r="BA863" s="1306"/>
      <c r="BC863" s="169"/>
    </row>
    <row r="864" spans="19:55">
      <c r="S864" s="454"/>
      <c r="AN864" s="454"/>
      <c r="AY864" s="454"/>
      <c r="AZ864" s="454"/>
      <c r="BA864" s="1306"/>
      <c r="BC864" s="169"/>
    </row>
    <row r="865" spans="19:55">
      <c r="S865" s="454"/>
      <c r="AN865" s="454"/>
      <c r="AY865" s="454"/>
      <c r="AZ865" s="454"/>
      <c r="BA865" s="1306"/>
      <c r="BC865" s="169"/>
    </row>
    <row r="866" spans="19:55">
      <c r="S866" s="454"/>
      <c r="AN866" s="454"/>
      <c r="AY866" s="454"/>
      <c r="AZ866" s="454"/>
      <c r="BA866" s="1306"/>
      <c r="BC866" s="169"/>
    </row>
    <row r="867" spans="19:55">
      <c r="S867" s="454"/>
      <c r="AN867" s="454"/>
      <c r="AY867" s="454"/>
      <c r="AZ867" s="454"/>
      <c r="BA867" s="1306"/>
      <c r="BC867" s="169"/>
    </row>
    <row r="868" spans="19:55">
      <c r="S868" s="454"/>
      <c r="AN868" s="454"/>
      <c r="AY868" s="454"/>
      <c r="AZ868" s="454"/>
      <c r="BA868" s="1306"/>
      <c r="BC868" s="169"/>
    </row>
    <row r="869" spans="19:55">
      <c r="S869" s="454"/>
      <c r="AN869" s="454"/>
      <c r="AY869" s="454"/>
      <c r="AZ869" s="454"/>
      <c r="BA869" s="1306"/>
      <c r="BC869" s="169"/>
    </row>
    <row r="870" spans="19:55">
      <c r="S870" s="454"/>
      <c r="AN870" s="454"/>
      <c r="AY870" s="454"/>
      <c r="AZ870" s="454"/>
      <c r="BA870" s="1306"/>
      <c r="BC870" s="169"/>
    </row>
    <row r="871" spans="19:55">
      <c r="S871" s="454"/>
      <c r="AN871" s="454"/>
      <c r="AY871" s="454"/>
      <c r="AZ871" s="454"/>
      <c r="BA871" s="1306"/>
      <c r="BC871" s="169"/>
    </row>
    <row r="872" spans="19:55">
      <c r="S872" s="454"/>
      <c r="AN872" s="454"/>
      <c r="AY872" s="454"/>
      <c r="AZ872" s="454"/>
      <c r="BA872" s="1306"/>
      <c r="BC872" s="169"/>
    </row>
    <row r="873" spans="19:55">
      <c r="S873" s="454"/>
      <c r="AN873" s="454"/>
      <c r="AY873" s="454"/>
      <c r="AZ873" s="454"/>
      <c r="BA873" s="1306"/>
      <c r="BC873" s="169"/>
    </row>
    <row r="874" spans="19:55">
      <c r="S874" s="454"/>
      <c r="AN874" s="454"/>
      <c r="AY874" s="454"/>
      <c r="AZ874" s="454"/>
      <c r="BA874" s="1306"/>
      <c r="BC874" s="169"/>
    </row>
    <row r="875" spans="19:55">
      <c r="S875" s="454"/>
      <c r="AN875" s="454"/>
      <c r="AY875" s="454"/>
      <c r="AZ875" s="454"/>
      <c r="BA875" s="1306"/>
      <c r="BC875" s="169"/>
    </row>
    <row r="876" spans="19:55">
      <c r="S876" s="454"/>
      <c r="AN876" s="454"/>
      <c r="AY876" s="454"/>
      <c r="AZ876" s="454"/>
      <c r="BA876" s="1306"/>
      <c r="BC876" s="169"/>
    </row>
    <row r="877" spans="19:55">
      <c r="S877" s="454"/>
      <c r="AN877" s="454"/>
      <c r="AY877" s="454"/>
      <c r="AZ877" s="454"/>
      <c r="BA877" s="1306"/>
      <c r="BC877" s="169"/>
    </row>
    <row r="878" spans="19:55">
      <c r="S878" s="454"/>
      <c r="AN878" s="454"/>
      <c r="AY878" s="454"/>
      <c r="AZ878" s="454"/>
      <c r="BA878" s="1306"/>
      <c r="BC878" s="169"/>
    </row>
    <row r="879" spans="19:55">
      <c r="S879" s="454"/>
      <c r="AN879" s="454"/>
      <c r="AY879" s="454"/>
      <c r="AZ879" s="454"/>
      <c r="BA879" s="1306"/>
      <c r="BC879" s="169"/>
    </row>
    <row r="880" spans="19:55">
      <c r="S880" s="454"/>
      <c r="AN880" s="454"/>
      <c r="AY880" s="454"/>
      <c r="AZ880" s="454"/>
      <c r="BA880" s="1306"/>
      <c r="BC880" s="169"/>
    </row>
    <row r="881" spans="19:55">
      <c r="S881" s="454"/>
      <c r="AN881" s="454"/>
      <c r="AY881" s="454"/>
      <c r="AZ881" s="454"/>
      <c r="BA881" s="1306"/>
      <c r="BC881" s="169"/>
    </row>
    <row r="882" spans="19:55">
      <c r="S882" s="454"/>
      <c r="AN882" s="454"/>
      <c r="AY882" s="454"/>
      <c r="AZ882" s="454"/>
      <c r="BA882" s="1306"/>
      <c r="BC882" s="169"/>
    </row>
    <row r="883" spans="19:55">
      <c r="S883" s="454"/>
      <c r="AN883" s="454"/>
      <c r="AY883" s="454"/>
      <c r="AZ883" s="454"/>
      <c r="BA883" s="1306"/>
      <c r="BC883" s="169"/>
    </row>
    <row r="884" spans="19:55">
      <c r="S884" s="454"/>
      <c r="AN884" s="454"/>
      <c r="AY884" s="454"/>
      <c r="AZ884" s="454"/>
      <c r="BA884" s="1306"/>
      <c r="BC884" s="169"/>
    </row>
    <row r="885" spans="19:55">
      <c r="S885" s="454"/>
      <c r="AN885" s="454"/>
      <c r="AY885" s="454"/>
      <c r="AZ885" s="454"/>
      <c r="BA885" s="1306"/>
      <c r="BC885" s="169"/>
    </row>
    <row r="886" spans="19:55">
      <c r="S886" s="454"/>
      <c r="AN886" s="454"/>
      <c r="AY886" s="454"/>
      <c r="AZ886" s="454"/>
      <c r="BA886" s="1306"/>
      <c r="BC886" s="169"/>
    </row>
    <row r="887" spans="19:55">
      <c r="S887" s="454"/>
      <c r="AN887" s="454"/>
      <c r="AY887" s="454"/>
      <c r="AZ887" s="454"/>
      <c r="BA887" s="1306"/>
      <c r="BC887" s="169"/>
    </row>
    <row r="888" spans="19:55">
      <c r="S888" s="454"/>
      <c r="AN888" s="454"/>
      <c r="AY888" s="454"/>
      <c r="AZ888" s="454"/>
      <c r="BA888" s="1306"/>
      <c r="BC888" s="169"/>
    </row>
    <row r="889" spans="19:55">
      <c r="S889" s="454"/>
      <c r="AN889" s="454"/>
      <c r="AY889" s="454"/>
      <c r="AZ889" s="454"/>
      <c r="BA889" s="1306"/>
      <c r="BC889" s="169"/>
    </row>
    <row r="890" spans="19:55">
      <c r="S890" s="454"/>
      <c r="AN890" s="454"/>
      <c r="AY890" s="454"/>
      <c r="AZ890" s="454"/>
      <c r="BA890" s="1306"/>
      <c r="BC890" s="169"/>
    </row>
    <row r="891" spans="19:55">
      <c r="S891" s="454"/>
      <c r="AN891" s="454"/>
      <c r="AY891" s="454"/>
      <c r="AZ891" s="454"/>
      <c r="BA891" s="1306"/>
      <c r="BC891" s="169"/>
    </row>
    <row r="892" spans="19:55">
      <c r="S892" s="454"/>
      <c r="AN892" s="454"/>
      <c r="AY892" s="454"/>
      <c r="AZ892" s="454"/>
      <c r="BA892" s="1306"/>
      <c r="BC892" s="169"/>
    </row>
    <row r="893" spans="19:55">
      <c r="S893" s="454"/>
      <c r="AN893" s="454"/>
      <c r="AY893" s="454"/>
      <c r="AZ893" s="454"/>
      <c r="BA893" s="1306"/>
      <c r="BC893" s="169"/>
    </row>
    <row r="894" spans="19:55">
      <c r="S894" s="454"/>
      <c r="AN894" s="454"/>
      <c r="AY894" s="454"/>
      <c r="AZ894" s="454"/>
      <c r="BA894" s="1306"/>
      <c r="BC894" s="169"/>
    </row>
    <row r="895" spans="19:55">
      <c r="S895" s="454"/>
      <c r="AN895" s="454"/>
      <c r="AY895" s="454"/>
      <c r="AZ895" s="454"/>
      <c r="BA895" s="1306"/>
      <c r="BC895" s="169"/>
    </row>
    <row r="896" spans="19:55">
      <c r="S896" s="454"/>
      <c r="AN896" s="454"/>
      <c r="AY896" s="454"/>
      <c r="AZ896" s="454"/>
      <c r="BA896" s="1306"/>
      <c r="BC896" s="169"/>
    </row>
    <row r="897" spans="19:55">
      <c r="S897" s="454"/>
      <c r="AN897" s="454"/>
      <c r="AY897" s="454"/>
      <c r="AZ897" s="454"/>
      <c r="BA897" s="1306"/>
      <c r="BC897" s="169"/>
    </row>
    <row r="898" spans="19:55">
      <c r="S898" s="454"/>
      <c r="AN898" s="454"/>
      <c r="AY898" s="454"/>
      <c r="AZ898" s="454"/>
      <c r="BA898" s="1306"/>
      <c r="BC898" s="169"/>
    </row>
    <row r="899" spans="19:55">
      <c r="S899" s="454"/>
      <c r="AN899" s="454"/>
      <c r="AY899" s="454"/>
      <c r="AZ899" s="454"/>
      <c r="BA899" s="1306"/>
      <c r="BC899" s="169"/>
    </row>
    <row r="900" spans="19:55">
      <c r="S900" s="454"/>
      <c r="AN900" s="454"/>
      <c r="AY900" s="454"/>
      <c r="AZ900" s="454"/>
      <c r="BA900" s="1306"/>
      <c r="BC900" s="169"/>
    </row>
    <row r="901" spans="19:55">
      <c r="S901" s="454"/>
      <c r="AN901" s="454"/>
      <c r="AY901" s="454"/>
      <c r="AZ901" s="454"/>
      <c r="BA901" s="1306"/>
      <c r="BC901" s="169"/>
    </row>
    <row r="902" spans="19:55">
      <c r="S902" s="454"/>
      <c r="AN902" s="454"/>
      <c r="AY902" s="454"/>
      <c r="AZ902" s="454"/>
      <c r="BA902" s="1306"/>
      <c r="BC902" s="169"/>
    </row>
    <row r="903" spans="19:55">
      <c r="S903" s="454"/>
      <c r="AN903" s="454"/>
      <c r="AY903" s="454"/>
      <c r="AZ903" s="454"/>
      <c r="BA903" s="1306"/>
      <c r="BC903" s="169"/>
    </row>
    <row r="904" spans="19:55">
      <c r="S904" s="454"/>
      <c r="AN904" s="454"/>
      <c r="AY904" s="454"/>
      <c r="AZ904" s="454"/>
      <c r="BA904" s="1306"/>
      <c r="BC904" s="169"/>
    </row>
    <row r="905" spans="19:55">
      <c r="S905" s="454"/>
      <c r="AN905" s="454"/>
      <c r="AY905" s="454"/>
      <c r="AZ905" s="454"/>
      <c r="BA905" s="1306"/>
      <c r="BC905" s="169"/>
    </row>
    <row r="906" spans="19:55">
      <c r="S906" s="454"/>
      <c r="AN906" s="454"/>
      <c r="AY906" s="454"/>
      <c r="AZ906" s="454"/>
      <c r="BA906" s="1306"/>
      <c r="BC906" s="169"/>
    </row>
    <row r="907" spans="19:55">
      <c r="S907" s="454"/>
      <c r="AN907" s="454"/>
      <c r="AY907" s="454"/>
      <c r="AZ907" s="454"/>
      <c r="BA907" s="1306"/>
      <c r="BC907" s="169"/>
    </row>
    <row r="908" spans="19:55">
      <c r="S908" s="454"/>
      <c r="AN908" s="454"/>
      <c r="AY908" s="454"/>
      <c r="AZ908" s="454"/>
      <c r="BA908" s="1306"/>
      <c r="BC908" s="169"/>
    </row>
    <row r="909" spans="19:55">
      <c r="S909" s="454"/>
      <c r="AN909" s="454"/>
      <c r="AY909" s="454"/>
      <c r="AZ909" s="454"/>
      <c r="BA909" s="1306"/>
      <c r="BC909" s="169"/>
    </row>
    <row r="910" spans="19:55">
      <c r="S910" s="454"/>
      <c r="AN910" s="454"/>
      <c r="AY910" s="454"/>
      <c r="AZ910" s="454"/>
      <c r="BA910" s="1306"/>
      <c r="BC910" s="169"/>
    </row>
    <row r="911" spans="19:55">
      <c r="S911" s="454"/>
      <c r="AN911" s="454"/>
      <c r="AY911" s="454"/>
      <c r="AZ911" s="454"/>
      <c r="BA911" s="1306"/>
      <c r="BC911" s="169"/>
    </row>
    <row r="912" spans="19:55">
      <c r="S912" s="454"/>
      <c r="AN912" s="454"/>
      <c r="AY912" s="454"/>
      <c r="AZ912" s="454"/>
      <c r="BA912" s="1306"/>
      <c r="BC912" s="169"/>
    </row>
    <row r="913" spans="19:55">
      <c r="S913" s="454"/>
      <c r="AN913" s="454"/>
      <c r="AY913" s="454"/>
      <c r="AZ913" s="454"/>
      <c r="BA913" s="1306"/>
      <c r="BC913" s="169"/>
    </row>
    <row r="914" spans="19:55">
      <c r="S914" s="454"/>
      <c r="AN914" s="454"/>
      <c r="AY914" s="454"/>
      <c r="AZ914" s="454"/>
      <c r="BA914" s="1306"/>
      <c r="BC914" s="169"/>
    </row>
    <row r="915" spans="19:55">
      <c r="S915" s="454"/>
      <c r="AN915" s="454"/>
      <c r="AY915" s="454"/>
      <c r="AZ915" s="454"/>
      <c r="BA915" s="1306"/>
      <c r="BC915" s="169"/>
    </row>
    <row r="916" spans="19:55">
      <c r="S916" s="454"/>
      <c r="AN916" s="454"/>
      <c r="AY916" s="454"/>
      <c r="AZ916" s="454"/>
      <c r="BA916" s="1306"/>
      <c r="BC916" s="169"/>
    </row>
    <row r="917" spans="19:55">
      <c r="S917" s="454"/>
      <c r="AN917" s="454"/>
      <c r="AY917" s="454"/>
      <c r="AZ917" s="454"/>
      <c r="BA917" s="1306"/>
      <c r="BC917" s="169"/>
    </row>
    <row r="918" spans="19:55">
      <c r="S918" s="454"/>
      <c r="AN918" s="454"/>
      <c r="AY918" s="454"/>
      <c r="AZ918" s="454"/>
      <c r="BA918" s="1306"/>
      <c r="BC918" s="169"/>
    </row>
    <row r="919" spans="19:55">
      <c r="S919" s="454"/>
      <c r="AN919" s="454"/>
      <c r="AY919" s="454"/>
      <c r="AZ919" s="454"/>
      <c r="BA919" s="1306"/>
      <c r="BC919" s="169"/>
    </row>
    <row r="920" spans="19:55">
      <c r="S920" s="454"/>
      <c r="AN920" s="454"/>
      <c r="AY920" s="454"/>
      <c r="AZ920" s="454"/>
      <c r="BA920" s="1306"/>
      <c r="BC920" s="169"/>
    </row>
    <row r="921" spans="19:55">
      <c r="S921" s="454"/>
      <c r="AN921" s="454"/>
      <c r="AY921" s="454"/>
      <c r="AZ921" s="454"/>
      <c r="BA921" s="1306"/>
      <c r="BC921" s="169"/>
    </row>
    <row r="922" spans="19:55">
      <c r="S922" s="454"/>
      <c r="AN922" s="454"/>
      <c r="AY922" s="454"/>
      <c r="AZ922" s="454"/>
      <c r="BA922" s="1306"/>
      <c r="BC922" s="169"/>
    </row>
    <row r="923" spans="19:55">
      <c r="S923" s="454"/>
      <c r="AN923" s="454"/>
      <c r="AY923" s="454"/>
      <c r="AZ923" s="454"/>
      <c r="BA923" s="1306"/>
      <c r="BC923" s="169"/>
    </row>
    <row r="924" spans="19:55">
      <c r="S924" s="454"/>
      <c r="AN924" s="454"/>
      <c r="AY924" s="454"/>
      <c r="AZ924" s="454"/>
      <c r="BA924" s="1306"/>
      <c r="BC924" s="169"/>
    </row>
    <row r="925" spans="19:55">
      <c r="S925" s="454"/>
      <c r="AN925" s="454"/>
      <c r="AY925" s="454"/>
      <c r="AZ925" s="454"/>
      <c r="BA925" s="1306"/>
      <c r="BC925" s="169"/>
    </row>
    <row r="926" spans="19:55">
      <c r="S926" s="454"/>
      <c r="AN926" s="454"/>
      <c r="AY926" s="454"/>
      <c r="AZ926" s="454"/>
      <c r="BA926" s="1306"/>
      <c r="BC926" s="169"/>
    </row>
    <row r="927" spans="19:55">
      <c r="S927" s="454"/>
      <c r="AN927" s="454"/>
      <c r="AY927" s="454"/>
      <c r="AZ927" s="454"/>
      <c r="BA927" s="1306"/>
      <c r="BC927" s="169"/>
    </row>
    <row r="928" spans="19:55">
      <c r="S928" s="454"/>
      <c r="AN928" s="454"/>
      <c r="AY928" s="454"/>
      <c r="AZ928" s="454"/>
      <c r="BA928" s="1306"/>
      <c r="BC928" s="169"/>
    </row>
    <row r="929" spans="19:55">
      <c r="S929" s="454"/>
      <c r="AN929" s="454"/>
      <c r="AY929" s="454"/>
      <c r="AZ929" s="454"/>
      <c r="BA929" s="1306"/>
      <c r="BC929" s="169"/>
    </row>
    <row r="930" spans="19:55">
      <c r="S930" s="454"/>
      <c r="AN930" s="454"/>
      <c r="AY930" s="454"/>
      <c r="AZ930" s="454"/>
      <c r="BA930" s="1306"/>
      <c r="BC930" s="169"/>
    </row>
    <row r="931" spans="19:55">
      <c r="S931" s="454"/>
      <c r="AN931" s="454"/>
      <c r="AY931" s="454"/>
      <c r="AZ931" s="454"/>
      <c r="BA931" s="1306"/>
      <c r="BC931" s="169"/>
    </row>
    <row r="932" spans="19:55">
      <c r="S932" s="454"/>
      <c r="AN932" s="454"/>
      <c r="AY932" s="454"/>
      <c r="AZ932" s="454"/>
      <c r="BA932" s="1306"/>
      <c r="BC932" s="169"/>
    </row>
    <row r="933" spans="19:55">
      <c r="S933" s="454"/>
      <c r="AN933" s="454"/>
      <c r="AY933" s="454"/>
      <c r="AZ933" s="454"/>
      <c r="BA933" s="1306"/>
      <c r="BC933" s="169"/>
    </row>
    <row r="934" spans="19:55">
      <c r="S934" s="454"/>
      <c r="AN934" s="454"/>
      <c r="AY934" s="454"/>
      <c r="AZ934" s="454"/>
      <c r="BA934" s="1306"/>
      <c r="BC934" s="169"/>
    </row>
    <row r="935" spans="19:55">
      <c r="S935" s="454"/>
      <c r="AN935" s="454"/>
      <c r="AY935" s="454"/>
      <c r="AZ935" s="454"/>
      <c r="BA935" s="1306"/>
      <c r="BC935" s="169"/>
    </row>
    <row r="936" spans="19:55">
      <c r="S936" s="454"/>
      <c r="AN936" s="454"/>
      <c r="AY936" s="454"/>
      <c r="AZ936" s="454"/>
      <c r="BA936" s="1306"/>
      <c r="BC936" s="169"/>
    </row>
    <row r="937" spans="19:55">
      <c r="S937" s="454"/>
      <c r="AN937" s="454"/>
      <c r="AY937" s="454"/>
      <c r="AZ937" s="454"/>
      <c r="BA937" s="1306"/>
      <c r="BC937" s="169"/>
    </row>
    <row r="938" spans="19:55">
      <c r="S938" s="454"/>
      <c r="AN938" s="454"/>
      <c r="AY938" s="454"/>
      <c r="AZ938" s="454"/>
      <c r="BA938" s="1306"/>
      <c r="BC938" s="169"/>
    </row>
    <row r="939" spans="19:55">
      <c r="S939" s="454"/>
      <c r="AN939" s="454"/>
      <c r="AY939" s="454"/>
      <c r="AZ939" s="454"/>
      <c r="BA939" s="1306"/>
      <c r="BC939" s="169"/>
    </row>
    <row r="940" spans="19:55">
      <c r="S940" s="454"/>
      <c r="AN940" s="454"/>
      <c r="AY940" s="454"/>
      <c r="AZ940" s="454"/>
      <c r="BA940" s="1306"/>
      <c r="BC940" s="169"/>
    </row>
    <row r="941" spans="19:55">
      <c r="S941" s="454"/>
      <c r="AN941" s="454"/>
      <c r="AY941" s="454"/>
      <c r="AZ941" s="454"/>
      <c r="BA941" s="1306"/>
      <c r="BC941" s="169"/>
    </row>
    <row r="942" spans="19:55">
      <c r="S942" s="454"/>
      <c r="AN942" s="454"/>
      <c r="AY942" s="454"/>
      <c r="AZ942" s="454"/>
      <c r="BA942" s="1306"/>
      <c r="BC942" s="169"/>
    </row>
    <row r="943" spans="19:55">
      <c r="S943" s="454"/>
      <c r="AN943" s="454"/>
      <c r="AY943" s="454"/>
      <c r="AZ943" s="454"/>
      <c r="BA943" s="1306"/>
      <c r="BC943" s="169"/>
    </row>
    <row r="944" spans="19:55">
      <c r="S944" s="454"/>
      <c r="AN944" s="454"/>
      <c r="AY944" s="454"/>
      <c r="AZ944" s="454"/>
      <c r="BA944" s="1306"/>
      <c r="BC944" s="169"/>
    </row>
    <row r="945" spans="19:55">
      <c r="S945" s="454"/>
      <c r="AN945" s="454"/>
      <c r="AY945" s="454"/>
      <c r="AZ945" s="454"/>
      <c r="BA945" s="1306"/>
      <c r="BC945" s="169"/>
    </row>
    <row r="946" spans="19:55">
      <c r="S946" s="454"/>
      <c r="AN946" s="454"/>
      <c r="AY946" s="454"/>
      <c r="AZ946" s="454"/>
      <c r="BA946" s="1306"/>
      <c r="BC946" s="169"/>
    </row>
    <row r="947" spans="19:55">
      <c r="S947" s="454"/>
      <c r="AN947" s="454"/>
      <c r="AY947" s="454"/>
      <c r="AZ947" s="454"/>
      <c r="BA947" s="1306"/>
      <c r="BC947" s="169"/>
    </row>
    <row r="948" spans="19:55">
      <c r="S948" s="454"/>
      <c r="AN948" s="454"/>
      <c r="AY948" s="454"/>
      <c r="AZ948" s="454"/>
      <c r="BA948" s="1306"/>
      <c r="BC948" s="169"/>
    </row>
    <row r="949" spans="19:55">
      <c r="S949" s="454"/>
      <c r="AN949" s="454"/>
      <c r="AY949" s="454"/>
      <c r="AZ949" s="454"/>
      <c r="BA949" s="1306"/>
      <c r="BC949" s="169"/>
    </row>
    <row r="950" spans="19:55">
      <c r="S950" s="454"/>
      <c r="AN950" s="454"/>
      <c r="AY950" s="454"/>
      <c r="AZ950" s="454"/>
      <c r="BA950" s="1306"/>
      <c r="BC950" s="169"/>
    </row>
    <row r="951" spans="19:55">
      <c r="S951" s="454"/>
      <c r="AN951" s="454"/>
      <c r="AY951" s="454"/>
      <c r="AZ951" s="454"/>
      <c r="BA951" s="1306"/>
      <c r="BC951" s="169"/>
    </row>
    <row r="952" spans="19:55">
      <c r="S952" s="454"/>
      <c r="AN952" s="454"/>
      <c r="AY952" s="454"/>
      <c r="AZ952" s="454"/>
      <c r="BA952" s="1306"/>
      <c r="BC952" s="169"/>
    </row>
    <row r="953" spans="19:55">
      <c r="S953" s="454"/>
      <c r="AN953" s="454"/>
      <c r="AY953" s="454"/>
      <c r="AZ953" s="454"/>
      <c r="BA953" s="1306"/>
      <c r="BC953" s="169"/>
    </row>
    <row r="954" spans="19:55">
      <c r="S954" s="454"/>
      <c r="AN954" s="454"/>
      <c r="AY954" s="454"/>
      <c r="AZ954" s="454"/>
      <c r="BA954" s="1306"/>
      <c r="BC954" s="169"/>
    </row>
    <row r="955" spans="19:55">
      <c r="S955" s="454"/>
      <c r="AN955" s="454"/>
      <c r="AY955" s="454"/>
      <c r="AZ955" s="454"/>
      <c r="BA955" s="1306"/>
      <c r="BC955" s="169"/>
    </row>
    <row r="956" spans="19:55">
      <c r="S956" s="454"/>
      <c r="AN956" s="454"/>
      <c r="AY956" s="454"/>
      <c r="AZ956" s="454"/>
      <c r="BA956" s="1306"/>
      <c r="BC956" s="169"/>
    </row>
    <row r="957" spans="19:55">
      <c r="S957" s="454"/>
      <c r="AN957" s="454"/>
      <c r="AY957" s="454"/>
      <c r="AZ957" s="454"/>
      <c r="BA957" s="1306"/>
      <c r="BC957" s="169"/>
    </row>
    <row r="958" spans="19:55">
      <c r="S958" s="454"/>
      <c r="AN958" s="454"/>
      <c r="AY958" s="454"/>
      <c r="AZ958" s="454"/>
      <c r="BA958" s="1306"/>
      <c r="BC958" s="169"/>
    </row>
    <row r="959" spans="19:55">
      <c r="S959" s="454"/>
      <c r="AN959" s="454"/>
      <c r="AY959" s="454"/>
      <c r="AZ959" s="454"/>
      <c r="BA959" s="1306"/>
      <c r="BC959" s="169"/>
    </row>
    <row r="960" spans="19:55">
      <c r="S960" s="454"/>
      <c r="AN960" s="454"/>
      <c r="AY960" s="454"/>
      <c r="AZ960" s="454"/>
      <c r="BA960" s="1306"/>
      <c r="BC960" s="169"/>
    </row>
    <row r="961" spans="19:55">
      <c r="S961" s="454"/>
      <c r="AN961" s="454"/>
      <c r="AY961" s="454"/>
      <c r="AZ961" s="454"/>
      <c r="BA961" s="1306"/>
      <c r="BC961" s="169"/>
    </row>
    <row r="962" spans="19:55">
      <c r="S962" s="454"/>
      <c r="AN962" s="454"/>
      <c r="AY962" s="454"/>
      <c r="AZ962" s="454"/>
      <c r="BA962" s="1306"/>
      <c r="BC962" s="169"/>
    </row>
    <row r="963" spans="19:55">
      <c r="S963" s="454"/>
      <c r="AN963" s="454"/>
      <c r="AY963" s="454"/>
      <c r="AZ963" s="454"/>
      <c r="BA963" s="1306"/>
      <c r="BC963" s="169"/>
    </row>
    <row r="964" spans="19:55">
      <c r="S964" s="454"/>
      <c r="AN964" s="454"/>
      <c r="AY964" s="454"/>
      <c r="AZ964" s="454"/>
      <c r="BA964" s="1306"/>
      <c r="BC964" s="169"/>
    </row>
    <row r="965" spans="19:55">
      <c r="S965" s="454"/>
      <c r="AN965" s="454"/>
      <c r="AY965" s="454"/>
      <c r="AZ965" s="454"/>
      <c r="BA965" s="1306"/>
      <c r="BC965" s="169"/>
    </row>
    <row r="966" spans="19:55">
      <c r="S966" s="454"/>
      <c r="AN966" s="454"/>
      <c r="AY966" s="454"/>
      <c r="AZ966" s="454"/>
      <c r="BA966" s="1306"/>
      <c r="BC966" s="169"/>
    </row>
    <row r="967" spans="19:55">
      <c r="S967" s="454"/>
      <c r="AN967" s="454"/>
      <c r="AY967" s="454"/>
      <c r="AZ967" s="454"/>
      <c r="BA967" s="1306"/>
      <c r="BC967" s="169"/>
    </row>
    <row r="968" spans="19:55">
      <c r="S968" s="454"/>
      <c r="AN968" s="454"/>
      <c r="AY968" s="454"/>
      <c r="AZ968" s="454"/>
      <c r="BA968" s="1306"/>
      <c r="BC968" s="169"/>
    </row>
    <row r="969" spans="19:55">
      <c r="S969" s="454"/>
      <c r="AN969" s="454"/>
      <c r="AY969" s="454"/>
      <c r="AZ969" s="454"/>
      <c r="BA969" s="1306"/>
      <c r="BC969" s="169"/>
    </row>
    <row r="970" spans="19:55">
      <c r="S970" s="454"/>
      <c r="AN970" s="454"/>
      <c r="AY970" s="454"/>
      <c r="AZ970" s="454"/>
      <c r="BA970" s="1306"/>
      <c r="BC970" s="169"/>
    </row>
    <row r="971" spans="19:55">
      <c r="S971" s="454"/>
      <c r="AN971" s="454"/>
      <c r="AY971" s="454"/>
      <c r="AZ971" s="454"/>
      <c r="BA971" s="1306"/>
      <c r="BC971" s="169"/>
    </row>
    <row r="972" spans="19:55">
      <c r="S972" s="454"/>
      <c r="AN972" s="454"/>
      <c r="AY972" s="454"/>
      <c r="AZ972" s="454"/>
      <c r="BA972" s="1306"/>
      <c r="BC972" s="169"/>
    </row>
    <row r="973" spans="19:55">
      <c r="S973" s="454"/>
      <c r="AN973" s="454"/>
      <c r="AY973" s="454"/>
      <c r="AZ973" s="454"/>
      <c r="BA973" s="1306"/>
      <c r="BC973" s="169"/>
    </row>
    <row r="974" spans="19:55">
      <c r="S974" s="454"/>
      <c r="AN974" s="454"/>
      <c r="AY974" s="454"/>
      <c r="AZ974" s="454"/>
      <c r="BA974" s="1306"/>
      <c r="BC974" s="169"/>
    </row>
    <row r="975" spans="19:55">
      <c r="S975" s="454"/>
      <c r="AN975" s="454"/>
      <c r="AY975" s="454"/>
      <c r="AZ975" s="454"/>
      <c r="BA975" s="1306"/>
      <c r="BC975" s="169"/>
    </row>
    <row r="976" spans="19:55">
      <c r="S976" s="454"/>
      <c r="AN976" s="454"/>
      <c r="AY976" s="454"/>
      <c r="AZ976" s="454"/>
      <c r="BA976" s="1306"/>
      <c r="BC976" s="169"/>
    </row>
    <row r="977" spans="19:55">
      <c r="S977" s="454"/>
      <c r="AN977" s="454"/>
      <c r="AY977" s="454"/>
      <c r="AZ977" s="454"/>
      <c r="BA977" s="1306"/>
      <c r="BC977" s="169"/>
    </row>
    <row r="978" spans="19:55">
      <c r="S978" s="454"/>
      <c r="AN978" s="454"/>
      <c r="AY978" s="454"/>
      <c r="AZ978" s="454"/>
      <c r="BA978" s="1306"/>
      <c r="BC978" s="169"/>
    </row>
    <row r="979" spans="19:55">
      <c r="S979" s="454"/>
      <c r="AN979" s="454"/>
      <c r="AY979" s="454"/>
      <c r="AZ979" s="454"/>
      <c r="BA979" s="1306"/>
      <c r="BC979" s="169"/>
    </row>
    <row r="980" spans="19:55">
      <c r="S980" s="454"/>
      <c r="AN980" s="454"/>
      <c r="AY980" s="454"/>
      <c r="AZ980" s="454"/>
      <c r="BA980" s="1306"/>
      <c r="BC980" s="169"/>
    </row>
    <row r="981" spans="19:55">
      <c r="S981" s="454"/>
      <c r="AN981" s="454"/>
      <c r="AY981" s="454"/>
      <c r="AZ981" s="454"/>
      <c r="BA981" s="1306"/>
      <c r="BC981" s="169"/>
    </row>
    <row r="982" spans="19:55">
      <c r="S982" s="454"/>
      <c r="AN982" s="454"/>
      <c r="AY982" s="454"/>
      <c r="AZ982" s="454"/>
      <c r="BA982" s="1306"/>
      <c r="BC982" s="169"/>
    </row>
    <row r="983" spans="19:55">
      <c r="S983" s="454"/>
      <c r="AN983" s="454"/>
      <c r="AY983" s="454"/>
      <c r="AZ983" s="454"/>
      <c r="BA983" s="1306"/>
      <c r="BC983" s="169"/>
    </row>
    <row r="984" spans="19:55">
      <c r="S984" s="454"/>
      <c r="AN984" s="454"/>
      <c r="AY984" s="454"/>
      <c r="AZ984" s="454"/>
      <c r="BA984" s="1306"/>
      <c r="BC984" s="169"/>
    </row>
    <row r="985" spans="19:55">
      <c r="S985" s="454"/>
      <c r="AN985" s="454"/>
      <c r="AY985" s="454"/>
      <c r="AZ985" s="454"/>
      <c r="BA985" s="1306"/>
      <c r="BC985" s="169"/>
    </row>
    <row r="986" spans="19:55">
      <c r="S986" s="454"/>
      <c r="AN986" s="454"/>
      <c r="AY986" s="454"/>
      <c r="AZ986" s="454"/>
      <c r="BA986" s="1306"/>
      <c r="BC986" s="169"/>
    </row>
    <row r="987" spans="19:55">
      <c r="S987" s="454"/>
      <c r="AN987" s="454"/>
      <c r="AY987" s="454"/>
      <c r="AZ987" s="454"/>
      <c r="BA987" s="1306"/>
      <c r="BC987" s="169"/>
    </row>
    <row r="988" spans="19:55">
      <c r="S988" s="454"/>
      <c r="AN988" s="454"/>
      <c r="AY988" s="454"/>
      <c r="AZ988" s="454"/>
      <c r="BA988" s="1306"/>
      <c r="BC988" s="169"/>
    </row>
    <row r="989" spans="19:55">
      <c r="S989" s="454"/>
      <c r="AN989" s="454"/>
      <c r="AY989" s="454"/>
      <c r="AZ989" s="454"/>
      <c r="BA989" s="1306"/>
      <c r="BC989" s="169"/>
    </row>
    <row r="990" spans="19:55">
      <c r="S990" s="454"/>
      <c r="AN990" s="454"/>
      <c r="AY990" s="454"/>
      <c r="AZ990" s="454"/>
      <c r="BA990" s="1306"/>
      <c r="BC990" s="169"/>
    </row>
    <row r="991" spans="19:55">
      <c r="S991" s="454"/>
      <c r="AN991" s="454"/>
      <c r="AY991" s="454"/>
      <c r="AZ991" s="454"/>
      <c r="BA991" s="1306"/>
      <c r="BC991" s="169"/>
    </row>
    <row r="992" spans="19:55">
      <c r="S992" s="454"/>
      <c r="AN992" s="454"/>
      <c r="AY992" s="454"/>
      <c r="AZ992" s="454"/>
      <c r="BA992" s="1306"/>
      <c r="BC992" s="169"/>
    </row>
    <row r="993" spans="19:55">
      <c r="S993" s="454"/>
      <c r="AN993" s="454"/>
      <c r="AY993" s="454"/>
      <c r="AZ993" s="454"/>
      <c r="BA993" s="1306"/>
      <c r="BC993" s="169"/>
    </row>
    <row r="994" spans="19:55">
      <c r="S994" s="454"/>
      <c r="AN994" s="454"/>
      <c r="AY994" s="454"/>
      <c r="AZ994" s="454"/>
      <c r="BA994" s="1306"/>
      <c r="BC994" s="169"/>
    </row>
    <row r="995" spans="19:55">
      <c r="S995" s="454"/>
      <c r="AN995" s="454"/>
      <c r="AY995" s="454"/>
      <c r="AZ995" s="454"/>
      <c r="BA995" s="1306"/>
      <c r="BC995" s="169"/>
    </row>
    <row r="996" spans="19:55">
      <c r="S996" s="454"/>
      <c r="AN996" s="454"/>
      <c r="AY996" s="454"/>
      <c r="AZ996" s="454"/>
      <c r="BA996" s="1306"/>
      <c r="BC996" s="169"/>
    </row>
    <row r="997" spans="19:55">
      <c r="S997" s="454"/>
      <c r="AN997" s="454"/>
      <c r="AY997" s="454"/>
      <c r="AZ997" s="454"/>
      <c r="BA997" s="1306"/>
      <c r="BC997" s="169"/>
    </row>
    <row r="998" spans="19:55">
      <c r="S998" s="454"/>
      <c r="AN998" s="454"/>
      <c r="AY998" s="454"/>
      <c r="AZ998" s="454"/>
      <c r="BA998" s="1306"/>
      <c r="BC998" s="169"/>
    </row>
    <row r="999" spans="19:55">
      <c r="S999" s="454"/>
      <c r="AN999" s="454"/>
      <c r="AY999" s="454"/>
      <c r="AZ999" s="454"/>
      <c r="BA999" s="1306"/>
      <c r="BC999" s="169"/>
    </row>
    <row r="1000" spans="19:55">
      <c r="S1000" s="454"/>
      <c r="AN1000" s="454"/>
      <c r="AY1000" s="454"/>
      <c r="AZ1000" s="454"/>
      <c r="BA1000" s="1306"/>
      <c r="BC1000" s="169"/>
    </row>
    <row r="1001" spans="19:55">
      <c r="S1001" s="454"/>
      <c r="AN1001" s="454"/>
      <c r="AY1001" s="454"/>
      <c r="AZ1001" s="454"/>
      <c r="BA1001" s="1306"/>
      <c r="BC1001" s="169"/>
    </row>
    <row r="1002" spans="19:55">
      <c r="S1002" s="454"/>
      <c r="AN1002" s="454"/>
      <c r="AY1002" s="454"/>
      <c r="AZ1002" s="454"/>
      <c r="BA1002" s="1306"/>
      <c r="BC1002" s="169"/>
    </row>
    <row r="1003" spans="19:55">
      <c r="S1003" s="454"/>
      <c r="AN1003" s="454"/>
      <c r="AY1003" s="454"/>
      <c r="AZ1003" s="454"/>
      <c r="BA1003" s="1306"/>
      <c r="BC1003" s="169"/>
    </row>
    <row r="1004" spans="19:55">
      <c r="S1004" s="454"/>
      <c r="AN1004" s="454"/>
      <c r="AY1004" s="454"/>
      <c r="AZ1004" s="454"/>
      <c r="BA1004" s="1306"/>
      <c r="BC1004" s="169"/>
    </row>
    <row r="1005" spans="19:55">
      <c r="S1005" s="454"/>
      <c r="AN1005" s="454"/>
      <c r="AY1005" s="454"/>
      <c r="AZ1005" s="454"/>
      <c r="BA1005" s="1306"/>
      <c r="BC1005" s="169"/>
    </row>
    <row r="1006" spans="19:55">
      <c r="S1006" s="454"/>
      <c r="AN1006" s="454"/>
      <c r="AY1006" s="454"/>
      <c r="AZ1006" s="454"/>
      <c r="BA1006" s="1306"/>
      <c r="BC1006" s="169"/>
    </row>
    <row r="1007" spans="19:55">
      <c r="S1007" s="454"/>
      <c r="AN1007" s="454"/>
      <c r="AY1007" s="454"/>
      <c r="AZ1007" s="454"/>
      <c r="BA1007" s="1306"/>
      <c r="BC1007" s="169"/>
    </row>
    <row r="1008" spans="19:55">
      <c r="S1008" s="454"/>
      <c r="AN1008" s="454"/>
      <c r="AY1008" s="454"/>
      <c r="AZ1008" s="454"/>
      <c r="BA1008" s="1306"/>
      <c r="BC1008" s="169"/>
    </row>
    <row r="1009" spans="19:55">
      <c r="S1009" s="454"/>
      <c r="AN1009" s="454"/>
      <c r="AY1009" s="454"/>
      <c r="AZ1009" s="454"/>
      <c r="BA1009" s="1306"/>
      <c r="BC1009" s="169"/>
    </row>
    <row r="1010" spans="19:55">
      <c r="S1010" s="454"/>
      <c r="AN1010" s="454"/>
      <c r="AY1010" s="454"/>
      <c r="AZ1010" s="454"/>
      <c r="BA1010" s="1306"/>
      <c r="BC1010" s="169"/>
    </row>
    <row r="1011" spans="19:55">
      <c r="S1011" s="454"/>
      <c r="AN1011" s="454"/>
      <c r="AY1011" s="454"/>
      <c r="AZ1011" s="454"/>
      <c r="BA1011" s="1306"/>
      <c r="BC1011" s="169"/>
    </row>
    <row r="1012" spans="19:55">
      <c r="S1012" s="454"/>
      <c r="AN1012" s="454"/>
      <c r="AY1012" s="454"/>
      <c r="AZ1012" s="454"/>
      <c r="BA1012" s="1306"/>
      <c r="BC1012" s="169"/>
    </row>
    <row r="1013" spans="19:55">
      <c r="S1013" s="454"/>
      <c r="AN1013" s="454"/>
      <c r="AY1013" s="454"/>
      <c r="AZ1013" s="454"/>
      <c r="BA1013" s="1306"/>
      <c r="BC1013" s="169"/>
    </row>
    <row r="1014" spans="19:55">
      <c r="S1014" s="454"/>
      <c r="AN1014" s="454"/>
      <c r="AY1014" s="454"/>
      <c r="AZ1014" s="454"/>
      <c r="BA1014" s="1306"/>
      <c r="BC1014" s="169"/>
    </row>
    <row r="1015" spans="19:55">
      <c r="S1015" s="454"/>
      <c r="AN1015" s="454"/>
      <c r="AY1015" s="454"/>
      <c r="AZ1015" s="454"/>
      <c r="BA1015" s="1306"/>
      <c r="BC1015" s="169"/>
    </row>
    <row r="1016" spans="19:55">
      <c r="S1016" s="454"/>
      <c r="AN1016" s="454"/>
      <c r="AY1016" s="454"/>
      <c r="AZ1016" s="454"/>
      <c r="BA1016" s="1306"/>
      <c r="BC1016" s="169"/>
    </row>
    <row r="1017" spans="19:55">
      <c r="S1017" s="454"/>
      <c r="AN1017" s="454"/>
      <c r="AY1017" s="454"/>
      <c r="AZ1017" s="454"/>
      <c r="BA1017" s="1306"/>
      <c r="BC1017" s="169"/>
    </row>
    <row r="1018" spans="19:55">
      <c r="S1018" s="454"/>
      <c r="AN1018" s="454"/>
      <c r="AY1018" s="454"/>
      <c r="AZ1018" s="454"/>
      <c r="BA1018" s="1306"/>
      <c r="BC1018" s="169"/>
    </row>
    <row r="1019" spans="19:55">
      <c r="S1019" s="454"/>
      <c r="AN1019" s="454"/>
      <c r="AY1019" s="454"/>
      <c r="AZ1019" s="454"/>
      <c r="BA1019" s="1306"/>
      <c r="BC1019" s="169"/>
    </row>
    <row r="1020" spans="19:55">
      <c r="S1020" s="454"/>
      <c r="AN1020" s="454"/>
      <c r="AY1020" s="454"/>
      <c r="AZ1020" s="454"/>
      <c r="BA1020" s="1306"/>
      <c r="BC1020" s="169"/>
    </row>
    <row r="1021" spans="19:55">
      <c r="S1021" s="454"/>
      <c r="AN1021" s="454"/>
      <c r="AY1021" s="454"/>
      <c r="AZ1021" s="454"/>
      <c r="BA1021" s="1306"/>
      <c r="BC1021" s="169"/>
    </row>
    <row r="1022" spans="19:55">
      <c r="S1022" s="454"/>
      <c r="AN1022" s="454"/>
      <c r="AY1022" s="454"/>
      <c r="AZ1022" s="454"/>
      <c r="BA1022" s="1306"/>
      <c r="BC1022" s="169"/>
    </row>
    <row r="1023" spans="19:55">
      <c r="S1023" s="454"/>
      <c r="AN1023" s="454"/>
      <c r="AY1023" s="454"/>
      <c r="AZ1023" s="454"/>
      <c r="BA1023" s="1306"/>
      <c r="BC1023" s="169"/>
    </row>
    <row r="1024" spans="19:55">
      <c r="S1024" s="454"/>
      <c r="AN1024" s="454"/>
      <c r="AY1024" s="454"/>
      <c r="AZ1024" s="454"/>
      <c r="BA1024" s="1306"/>
      <c r="BC1024" s="169"/>
    </row>
    <row r="1025" spans="19:55">
      <c r="S1025" s="454"/>
      <c r="AN1025" s="454"/>
      <c r="AY1025" s="454"/>
      <c r="AZ1025" s="454"/>
      <c r="BA1025" s="1306"/>
      <c r="BC1025" s="169"/>
    </row>
    <row r="1026" spans="19:55">
      <c r="S1026" s="454"/>
      <c r="AN1026" s="454"/>
      <c r="AY1026" s="454"/>
      <c r="AZ1026" s="454"/>
      <c r="BA1026" s="1306"/>
      <c r="BC1026" s="169"/>
    </row>
    <row r="1027" spans="19:55">
      <c r="S1027" s="454"/>
      <c r="AN1027" s="454"/>
      <c r="AY1027" s="454"/>
      <c r="AZ1027" s="454"/>
      <c r="BA1027" s="1306"/>
      <c r="BC1027" s="169"/>
    </row>
    <row r="1028" spans="19:55">
      <c r="S1028" s="454"/>
      <c r="AN1028" s="454"/>
      <c r="AY1028" s="454"/>
      <c r="AZ1028" s="454"/>
      <c r="BA1028" s="1306"/>
      <c r="BC1028" s="169"/>
    </row>
    <row r="1029" spans="19:55">
      <c r="S1029" s="454"/>
      <c r="AN1029" s="454"/>
      <c r="AY1029" s="454"/>
      <c r="AZ1029" s="454"/>
      <c r="BA1029" s="1306"/>
      <c r="BC1029" s="169"/>
    </row>
    <row r="1030" spans="19:55">
      <c r="S1030" s="454"/>
      <c r="AN1030" s="454"/>
      <c r="AY1030" s="454"/>
      <c r="AZ1030" s="454"/>
      <c r="BA1030" s="1306"/>
      <c r="BC1030" s="169"/>
    </row>
    <row r="1031" spans="19:55">
      <c r="S1031" s="454"/>
      <c r="AN1031" s="454"/>
      <c r="AY1031" s="454"/>
      <c r="AZ1031" s="454"/>
      <c r="BA1031" s="1306"/>
      <c r="BC1031" s="169"/>
    </row>
    <row r="1032" spans="19:55">
      <c r="S1032" s="454"/>
      <c r="AN1032" s="454"/>
      <c r="AY1032" s="454"/>
      <c r="AZ1032" s="454"/>
      <c r="BA1032" s="1306"/>
      <c r="BC1032" s="169"/>
    </row>
    <row r="1033" spans="19:55">
      <c r="S1033" s="454"/>
      <c r="AN1033" s="454"/>
      <c r="AY1033" s="454"/>
      <c r="AZ1033" s="454"/>
      <c r="BA1033" s="1306"/>
      <c r="BC1033" s="169"/>
    </row>
    <row r="1034" spans="19:55">
      <c r="S1034" s="454"/>
      <c r="AN1034" s="454"/>
      <c r="AY1034" s="454"/>
      <c r="AZ1034" s="454"/>
      <c r="BA1034" s="1306"/>
      <c r="BC1034" s="169"/>
    </row>
    <row r="1035" spans="19:55">
      <c r="S1035" s="454"/>
      <c r="AN1035" s="454"/>
      <c r="AY1035" s="454"/>
      <c r="AZ1035" s="454"/>
      <c r="BA1035" s="1306"/>
      <c r="BC1035" s="169"/>
    </row>
    <row r="1036" spans="19:55">
      <c r="S1036" s="454"/>
      <c r="AN1036" s="454"/>
      <c r="AY1036" s="454"/>
      <c r="AZ1036" s="454"/>
      <c r="BA1036" s="1306"/>
      <c r="BC1036" s="169"/>
    </row>
    <row r="1037" spans="19:55">
      <c r="S1037" s="454"/>
      <c r="AN1037" s="454"/>
      <c r="AY1037" s="454"/>
      <c r="AZ1037" s="454"/>
      <c r="BA1037" s="1306"/>
      <c r="BC1037" s="169"/>
    </row>
    <row r="1038" spans="19:55">
      <c r="S1038" s="454"/>
      <c r="AN1038" s="454"/>
      <c r="AY1038" s="454"/>
      <c r="AZ1038" s="454"/>
      <c r="BA1038" s="1306"/>
      <c r="BC1038" s="169"/>
    </row>
    <row r="1039" spans="19:55">
      <c r="S1039" s="454"/>
      <c r="AN1039" s="454"/>
      <c r="AY1039" s="454"/>
      <c r="AZ1039" s="454"/>
      <c r="BA1039" s="1306"/>
      <c r="BC1039" s="169"/>
    </row>
    <row r="1040" spans="19:55">
      <c r="S1040" s="454"/>
      <c r="AN1040" s="454"/>
      <c r="AY1040" s="454"/>
      <c r="AZ1040" s="454"/>
      <c r="BA1040" s="1306"/>
      <c r="BC1040" s="169"/>
    </row>
    <row r="1041" spans="19:55">
      <c r="S1041" s="454"/>
      <c r="AN1041" s="454"/>
      <c r="AY1041" s="454"/>
      <c r="AZ1041" s="454"/>
      <c r="BA1041" s="1306"/>
      <c r="BC1041" s="169"/>
    </row>
    <row r="1042" spans="19:55">
      <c r="S1042" s="454"/>
      <c r="AN1042" s="454"/>
      <c r="AY1042" s="454"/>
      <c r="AZ1042" s="454"/>
      <c r="BA1042" s="1306"/>
      <c r="BC1042" s="169"/>
    </row>
    <row r="1043" spans="19:55">
      <c r="S1043" s="454"/>
      <c r="AN1043" s="454"/>
      <c r="AY1043" s="454"/>
      <c r="AZ1043" s="454"/>
      <c r="BA1043" s="1306"/>
      <c r="BC1043" s="169"/>
    </row>
    <row r="1044" spans="19:55">
      <c r="S1044" s="454"/>
      <c r="AN1044" s="454"/>
      <c r="AY1044" s="454"/>
      <c r="AZ1044" s="454"/>
      <c r="BA1044" s="1306"/>
      <c r="BC1044" s="169"/>
    </row>
    <row r="1045" spans="19:55">
      <c r="S1045" s="454"/>
      <c r="AN1045" s="454"/>
      <c r="AY1045" s="454"/>
      <c r="AZ1045" s="454"/>
      <c r="BA1045" s="1306"/>
      <c r="BC1045" s="169"/>
    </row>
    <row r="1046" spans="19:55">
      <c r="S1046" s="454"/>
      <c r="AN1046" s="454"/>
      <c r="AY1046" s="454"/>
      <c r="AZ1046" s="454"/>
      <c r="BA1046" s="1306"/>
      <c r="BC1046" s="169"/>
    </row>
    <row r="1047" spans="19:55">
      <c r="S1047" s="454"/>
      <c r="AN1047" s="454"/>
      <c r="AY1047" s="454"/>
      <c r="AZ1047" s="454"/>
      <c r="BA1047" s="1306"/>
      <c r="BC1047" s="169"/>
    </row>
    <row r="1048" spans="19:55">
      <c r="S1048" s="454"/>
      <c r="AN1048" s="454"/>
      <c r="AY1048" s="454"/>
      <c r="AZ1048" s="454"/>
      <c r="BA1048" s="1306"/>
      <c r="BC1048" s="169"/>
    </row>
    <row r="1049" spans="19:55">
      <c r="S1049" s="454"/>
      <c r="AN1049" s="454"/>
      <c r="AY1049" s="454"/>
      <c r="AZ1049" s="454"/>
      <c r="BA1049" s="1306"/>
      <c r="BC1049" s="169"/>
    </row>
    <row r="1050" spans="19:55">
      <c r="S1050" s="454"/>
      <c r="AN1050" s="454"/>
      <c r="AY1050" s="454"/>
      <c r="AZ1050" s="454"/>
      <c r="BA1050" s="1306"/>
      <c r="BC1050" s="169"/>
    </row>
    <row r="1051" spans="19:55">
      <c r="S1051" s="454"/>
      <c r="AN1051" s="454"/>
      <c r="AY1051" s="454"/>
      <c r="AZ1051" s="454"/>
      <c r="BA1051" s="1306"/>
      <c r="BC1051" s="169"/>
    </row>
    <row r="1052" spans="19:55">
      <c r="S1052" s="454"/>
      <c r="AN1052" s="454"/>
      <c r="AY1052" s="454"/>
      <c r="AZ1052" s="454"/>
      <c r="BA1052" s="1306"/>
      <c r="BC1052" s="169"/>
    </row>
    <row r="1053" spans="19:55">
      <c r="S1053" s="454"/>
      <c r="AN1053" s="454"/>
      <c r="AY1053" s="454"/>
      <c r="AZ1053" s="454"/>
      <c r="BA1053" s="1306"/>
      <c r="BC1053" s="169"/>
    </row>
    <row r="1054" spans="19:55">
      <c r="S1054" s="454"/>
      <c r="AN1054" s="454"/>
      <c r="AY1054" s="454"/>
      <c r="AZ1054" s="454"/>
      <c r="BA1054" s="1306"/>
      <c r="BC1054" s="169"/>
    </row>
    <row r="1055" spans="19:55">
      <c r="S1055" s="454"/>
      <c r="AN1055" s="454"/>
      <c r="AY1055" s="454"/>
      <c r="AZ1055" s="454"/>
      <c r="BA1055" s="1306"/>
      <c r="BC1055" s="169"/>
    </row>
    <row r="1056" spans="19:55">
      <c r="S1056" s="454"/>
      <c r="AN1056" s="454"/>
      <c r="AY1056" s="454"/>
      <c r="AZ1056" s="454"/>
      <c r="BA1056" s="1306"/>
      <c r="BC1056" s="169"/>
    </row>
    <row r="1057" spans="19:55">
      <c r="S1057" s="454"/>
      <c r="AN1057" s="454"/>
      <c r="AY1057" s="454"/>
      <c r="AZ1057" s="454"/>
      <c r="BA1057" s="1306"/>
      <c r="BC1057" s="169"/>
    </row>
    <row r="1058" spans="19:55">
      <c r="S1058" s="454"/>
      <c r="AN1058" s="454"/>
      <c r="AY1058" s="454"/>
      <c r="AZ1058" s="454"/>
      <c r="BA1058" s="1306"/>
      <c r="BC1058" s="169"/>
    </row>
    <row r="1059" spans="19:55">
      <c r="S1059" s="454"/>
      <c r="AN1059" s="454"/>
      <c r="AY1059" s="454"/>
      <c r="AZ1059" s="454"/>
      <c r="BA1059" s="1306"/>
      <c r="BC1059" s="169"/>
    </row>
    <row r="1060" spans="19:55">
      <c r="S1060" s="454"/>
      <c r="AN1060" s="454"/>
      <c r="AY1060" s="454"/>
      <c r="AZ1060" s="454"/>
      <c r="BA1060" s="1306"/>
      <c r="BC1060" s="169"/>
    </row>
    <row r="1061" spans="19:55">
      <c r="S1061" s="454"/>
      <c r="AN1061" s="454"/>
      <c r="AY1061" s="454"/>
      <c r="AZ1061" s="454"/>
      <c r="BA1061" s="1306"/>
      <c r="BC1061" s="169"/>
    </row>
    <row r="1062" spans="19:55">
      <c r="S1062" s="454"/>
      <c r="AN1062" s="454"/>
      <c r="AY1062" s="454"/>
      <c r="AZ1062" s="454"/>
      <c r="BA1062" s="1306"/>
      <c r="BC1062" s="169"/>
    </row>
    <row r="1063" spans="19:55">
      <c r="S1063" s="454"/>
      <c r="AN1063" s="454"/>
      <c r="AY1063" s="454"/>
      <c r="AZ1063" s="454"/>
      <c r="BA1063" s="1306"/>
      <c r="BC1063" s="169"/>
    </row>
    <row r="1064" spans="19:55">
      <c r="S1064" s="454"/>
      <c r="AN1064" s="454"/>
      <c r="AY1064" s="454"/>
      <c r="AZ1064" s="454"/>
      <c r="BA1064" s="1306"/>
      <c r="BC1064" s="169"/>
    </row>
    <row r="1065" spans="19:55">
      <c r="S1065" s="454"/>
      <c r="AN1065" s="454"/>
      <c r="AY1065" s="454"/>
      <c r="AZ1065" s="454"/>
      <c r="BA1065" s="1306"/>
      <c r="BC1065" s="169"/>
    </row>
    <row r="1066" spans="19:55">
      <c r="S1066" s="454"/>
      <c r="AN1066" s="454"/>
      <c r="AY1066" s="454"/>
      <c r="AZ1066" s="454"/>
      <c r="BA1066" s="1306"/>
      <c r="BC1066" s="169"/>
    </row>
    <row r="1067" spans="19:55">
      <c r="S1067" s="454"/>
      <c r="AN1067" s="454"/>
      <c r="AY1067" s="454"/>
      <c r="AZ1067" s="454"/>
      <c r="BA1067" s="1306"/>
      <c r="BC1067" s="169"/>
    </row>
    <row r="1068" spans="19:55">
      <c r="S1068" s="454"/>
      <c r="AN1068" s="454"/>
      <c r="AY1068" s="454"/>
      <c r="AZ1068" s="454"/>
      <c r="BA1068" s="1306"/>
      <c r="BC1068" s="169"/>
    </row>
    <row r="1069" spans="19:55">
      <c r="S1069" s="454"/>
      <c r="AN1069" s="454"/>
      <c r="AY1069" s="454"/>
      <c r="AZ1069" s="454"/>
      <c r="BA1069" s="1306"/>
      <c r="BC1069" s="169"/>
    </row>
    <row r="1070" spans="19:55">
      <c r="S1070" s="454"/>
      <c r="AN1070" s="454"/>
      <c r="AY1070" s="454"/>
      <c r="AZ1070" s="454"/>
      <c r="BA1070" s="1306"/>
      <c r="BC1070" s="169"/>
    </row>
    <row r="1071" spans="19:55">
      <c r="S1071" s="454"/>
      <c r="AN1071" s="454"/>
      <c r="AY1071" s="454"/>
      <c r="AZ1071" s="454"/>
      <c r="BA1071" s="1306"/>
      <c r="BC1071" s="169"/>
    </row>
    <row r="1072" spans="19:55">
      <c r="S1072" s="454"/>
      <c r="AN1072" s="454"/>
      <c r="AY1072" s="454"/>
      <c r="AZ1072" s="454"/>
      <c r="BA1072" s="1306"/>
      <c r="BC1072" s="169"/>
    </row>
    <row r="1073" spans="19:55">
      <c r="S1073" s="454"/>
      <c r="AN1073" s="454"/>
      <c r="AY1073" s="454"/>
      <c r="AZ1073" s="454"/>
      <c r="BA1073" s="1306"/>
      <c r="BC1073" s="169"/>
    </row>
    <row r="1074" spans="19:55">
      <c r="S1074" s="454"/>
      <c r="AN1074" s="454"/>
      <c r="AY1074" s="454"/>
      <c r="AZ1074" s="454"/>
      <c r="BA1074" s="1306"/>
      <c r="BC1074" s="169"/>
    </row>
    <row r="1075" spans="19:55">
      <c r="S1075" s="454"/>
      <c r="AN1075" s="454"/>
      <c r="AY1075" s="454"/>
      <c r="AZ1075" s="454"/>
      <c r="BA1075" s="1306"/>
      <c r="BC1075" s="169"/>
    </row>
    <row r="1076" spans="19:55">
      <c r="S1076" s="454"/>
      <c r="AN1076" s="454"/>
      <c r="AY1076" s="454"/>
      <c r="AZ1076" s="454"/>
      <c r="BA1076" s="1306"/>
      <c r="BC1076" s="169"/>
    </row>
    <row r="1077" spans="19:55">
      <c r="S1077" s="454"/>
      <c r="AN1077" s="454"/>
      <c r="AY1077" s="454"/>
      <c r="AZ1077" s="454"/>
      <c r="BA1077" s="1306"/>
      <c r="BC1077" s="169"/>
    </row>
    <row r="1078" spans="19:55">
      <c r="S1078" s="454"/>
      <c r="AN1078" s="454"/>
      <c r="AY1078" s="454"/>
      <c r="AZ1078" s="454"/>
      <c r="BA1078" s="1306"/>
      <c r="BC1078" s="169"/>
    </row>
    <row r="1079" spans="19:55">
      <c r="S1079" s="454"/>
      <c r="AN1079" s="454"/>
      <c r="AY1079" s="454"/>
      <c r="AZ1079" s="454"/>
      <c r="BA1079" s="1306"/>
      <c r="BC1079" s="169"/>
    </row>
    <row r="1080" spans="19:55">
      <c r="S1080" s="454"/>
      <c r="AN1080" s="454"/>
      <c r="AY1080" s="454"/>
      <c r="AZ1080" s="454"/>
      <c r="BA1080" s="1306"/>
      <c r="BC1080" s="169"/>
    </row>
    <row r="1081" spans="19:55">
      <c r="S1081" s="454"/>
      <c r="AN1081" s="454"/>
      <c r="AY1081" s="454"/>
      <c r="AZ1081" s="454"/>
      <c r="BA1081" s="1306"/>
      <c r="BC1081" s="169"/>
    </row>
    <row r="1082" spans="19:55">
      <c r="S1082" s="454"/>
      <c r="AN1082" s="454"/>
      <c r="AY1082" s="454"/>
      <c r="AZ1082" s="454"/>
      <c r="BA1082" s="1306"/>
      <c r="BC1082" s="169"/>
    </row>
    <row r="1083" spans="19:55">
      <c r="S1083" s="454"/>
      <c r="AN1083" s="454"/>
      <c r="AY1083" s="454"/>
      <c r="AZ1083" s="454"/>
      <c r="BA1083" s="1306"/>
      <c r="BC1083" s="169"/>
    </row>
    <row r="1084" spans="19:55">
      <c r="S1084" s="454"/>
      <c r="AN1084" s="454"/>
      <c r="AY1084" s="454"/>
      <c r="AZ1084" s="454"/>
      <c r="BA1084" s="1306"/>
      <c r="BC1084" s="169"/>
    </row>
    <row r="1085" spans="19:55">
      <c r="S1085" s="454"/>
      <c r="AN1085" s="454"/>
      <c r="AY1085" s="454"/>
      <c r="AZ1085" s="454"/>
      <c r="BA1085" s="1306"/>
      <c r="BC1085" s="169"/>
    </row>
    <row r="1086" spans="19:55">
      <c r="S1086" s="454"/>
      <c r="AN1086" s="454"/>
      <c r="AY1086" s="454"/>
      <c r="AZ1086" s="454"/>
      <c r="BA1086" s="1306"/>
      <c r="BC1086" s="169"/>
    </row>
    <row r="1087" spans="19:55">
      <c r="S1087" s="454"/>
      <c r="AN1087" s="454"/>
      <c r="AY1087" s="454"/>
      <c r="AZ1087" s="454"/>
      <c r="BA1087" s="1306"/>
      <c r="BC1087" s="169"/>
    </row>
    <row r="1088" spans="19:55">
      <c r="S1088" s="454"/>
      <c r="AN1088" s="454"/>
      <c r="AY1088" s="454"/>
      <c r="AZ1088" s="454"/>
      <c r="BA1088" s="1306"/>
      <c r="BC1088" s="169"/>
    </row>
    <row r="1089" spans="19:55">
      <c r="S1089" s="454"/>
      <c r="AN1089" s="454"/>
      <c r="AY1089" s="454"/>
      <c r="AZ1089" s="454"/>
      <c r="BA1089" s="1306"/>
      <c r="BC1089" s="169"/>
    </row>
    <row r="1090" spans="19:55">
      <c r="S1090" s="454"/>
      <c r="AN1090" s="454"/>
      <c r="AY1090" s="454"/>
      <c r="AZ1090" s="454"/>
      <c r="BA1090" s="1306"/>
      <c r="BC1090" s="169"/>
    </row>
    <row r="1091" spans="19:55">
      <c r="S1091" s="454"/>
      <c r="AN1091" s="454"/>
      <c r="AY1091" s="454"/>
      <c r="AZ1091" s="454"/>
      <c r="BA1091" s="1306"/>
      <c r="BC1091" s="169"/>
    </row>
    <row r="1092" spans="19:55">
      <c r="S1092" s="454"/>
      <c r="AN1092" s="454"/>
      <c r="AY1092" s="454"/>
      <c r="AZ1092" s="454"/>
      <c r="BA1092" s="1267"/>
      <c r="BC1092" s="169"/>
    </row>
    <row r="1093" spans="19:55">
      <c r="S1093" s="454"/>
      <c r="AN1093" s="454"/>
      <c r="AY1093" s="454"/>
      <c r="AZ1093" s="454"/>
      <c r="BA1093" s="1267"/>
      <c r="BC1093" s="169"/>
    </row>
    <row r="1094" spans="19:55">
      <c r="S1094" s="454"/>
      <c r="AN1094" s="454"/>
      <c r="AY1094" s="454"/>
      <c r="AZ1094" s="454"/>
      <c r="BA1094" s="1267"/>
      <c r="BC1094" s="169"/>
    </row>
    <row r="1095" spans="19:55">
      <c r="S1095" s="454"/>
      <c r="AN1095" s="454"/>
      <c r="AY1095" s="454"/>
      <c r="AZ1095" s="454"/>
      <c r="BA1095" s="1267"/>
      <c r="BC1095" s="169"/>
    </row>
    <row r="1096" spans="19:55">
      <c r="S1096" s="454"/>
      <c r="AN1096" s="454"/>
      <c r="AY1096" s="454"/>
      <c r="AZ1096" s="454"/>
      <c r="BA1096" s="1267"/>
      <c r="BC1096" s="169"/>
    </row>
    <row r="1097" spans="19:55">
      <c r="S1097" s="454"/>
      <c r="AN1097" s="454"/>
      <c r="AY1097" s="454"/>
      <c r="AZ1097" s="454"/>
      <c r="BA1097" s="1267"/>
      <c r="BC1097" s="169"/>
    </row>
    <row r="1098" spans="19:55">
      <c r="S1098" s="454"/>
      <c r="AN1098" s="454"/>
      <c r="AY1098" s="454"/>
      <c r="AZ1098" s="454"/>
      <c r="BA1098" s="1267"/>
      <c r="BC1098" s="169"/>
    </row>
    <row r="1099" spans="19:55">
      <c r="S1099" s="454"/>
      <c r="AN1099" s="454"/>
      <c r="AY1099" s="454"/>
      <c r="AZ1099" s="454"/>
      <c r="BA1099" s="1267"/>
      <c r="BC1099" s="169"/>
    </row>
    <row r="1100" spans="19:55">
      <c r="S1100" s="454"/>
      <c r="AN1100" s="454"/>
      <c r="AY1100" s="454"/>
      <c r="AZ1100" s="454"/>
      <c r="BA1100" s="1267"/>
      <c r="BC1100" s="169"/>
    </row>
    <row r="1101" spans="19:55">
      <c r="S1101" s="454"/>
      <c r="AN1101" s="454"/>
      <c r="AY1101" s="454"/>
      <c r="AZ1101" s="454"/>
      <c r="BA1101" s="1267"/>
      <c r="BC1101" s="169"/>
    </row>
    <row r="1102" spans="19:55">
      <c r="S1102" s="454"/>
      <c r="AN1102" s="454"/>
      <c r="AY1102" s="454"/>
      <c r="AZ1102" s="454"/>
      <c r="BA1102" s="1267"/>
      <c r="BC1102" s="169"/>
    </row>
    <row r="1103" spans="19:55">
      <c r="S1103" s="454"/>
      <c r="AN1103" s="454"/>
      <c r="AY1103" s="454"/>
      <c r="AZ1103" s="454"/>
      <c r="BA1103" s="1267"/>
      <c r="BC1103" s="169"/>
    </row>
    <row r="1104" spans="19:55">
      <c r="S1104" s="454"/>
      <c r="AN1104" s="454"/>
      <c r="AY1104" s="454"/>
      <c r="AZ1104" s="454"/>
      <c r="BA1104" s="1267"/>
      <c r="BC1104" s="169"/>
    </row>
    <row r="1105" spans="19:55">
      <c r="S1105" s="454"/>
      <c r="AN1105" s="454"/>
      <c r="AY1105" s="454"/>
      <c r="AZ1105" s="454"/>
      <c r="BA1105" s="1267"/>
      <c r="BC1105" s="169"/>
    </row>
    <row r="1106" spans="19:55">
      <c r="S1106" s="454"/>
      <c r="AN1106" s="454"/>
      <c r="AY1106" s="454"/>
      <c r="AZ1106" s="454"/>
      <c r="BA1106" s="1267"/>
      <c r="BC1106" s="169"/>
    </row>
    <row r="1107" spans="19:55">
      <c r="S1107" s="454"/>
      <c r="AN1107" s="454"/>
      <c r="AY1107" s="454"/>
      <c r="AZ1107" s="454"/>
      <c r="BA1107" s="1267"/>
      <c r="BC1107" s="169"/>
    </row>
    <row r="1108" spans="19:55">
      <c r="S1108" s="454"/>
      <c r="AN1108" s="454"/>
      <c r="AY1108" s="454"/>
      <c r="AZ1108" s="454"/>
      <c r="BA1108" s="1267"/>
      <c r="BC1108" s="169"/>
    </row>
    <row r="1109" spans="19:55">
      <c r="S1109" s="454"/>
      <c r="AN1109" s="454"/>
      <c r="AY1109" s="454"/>
      <c r="AZ1109" s="454"/>
      <c r="BA1109" s="1267"/>
      <c r="BC1109" s="169"/>
    </row>
    <row r="1110" spans="19:55">
      <c r="S1110" s="454"/>
      <c r="AN1110" s="454"/>
      <c r="AY1110" s="454"/>
      <c r="AZ1110" s="454"/>
      <c r="BA1110" s="1267"/>
      <c r="BC1110" s="169"/>
    </row>
    <row r="1111" spans="19:55">
      <c r="S1111" s="454"/>
      <c r="AN1111" s="454"/>
      <c r="AY1111" s="454"/>
      <c r="AZ1111" s="454"/>
      <c r="BA1111" s="1267"/>
      <c r="BC1111" s="169"/>
    </row>
    <row r="1112" spans="19:55">
      <c r="S1112" s="454"/>
      <c r="AN1112" s="454"/>
      <c r="AY1112" s="454"/>
      <c r="AZ1112" s="454"/>
      <c r="BA1112" s="1267"/>
      <c r="BC1112" s="169"/>
    </row>
    <row r="1113" spans="19:55">
      <c r="S1113" s="454"/>
      <c r="AN1113" s="454"/>
      <c r="AY1113" s="454"/>
      <c r="AZ1113" s="454"/>
      <c r="BA1113" s="1267"/>
      <c r="BC1113" s="169"/>
    </row>
    <row r="1114" spans="19:55">
      <c r="S1114" s="454"/>
      <c r="AN1114" s="454"/>
      <c r="AY1114" s="454"/>
      <c r="AZ1114" s="454"/>
      <c r="BA1114" s="1267"/>
      <c r="BC1114" s="169"/>
    </row>
    <row r="1115" spans="19:55">
      <c r="S1115" s="454"/>
      <c r="AN1115" s="454"/>
      <c r="AY1115" s="454"/>
      <c r="AZ1115" s="454"/>
      <c r="BA1115" s="1267"/>
      <c r="BC1115" s="169"/>
    </row>
    <row r="1116" spans="19:55">
      <c r="S1116" s="454"/>
      <c r="AN1116" s="454"/>
      <c r="AY1116" s="454"/>
      <c r="AZ1116" s="454"/>
      <c r="BA1116" s="1267"/>
      <c r="BC1116" s="169"/>
    </row>
    <row r="1117" spans="19:55">
      <c r="S1117" s="454"/>
      <c r="AN1117" s="454"/>
      <c r="AY1117" s="454"/>
      <c r="AZ1117" s="454"/>
      <c r="BA1117" s="1267"/>
      <c r="BC1117" s="169"/>
    </row>
    <row r="1118" spans="19:55">
      <c r="S1118" s="454"/>
      <c r="AN1118" s="454"/>
      <c r="AY1118" s="454"/>
      <c r="AZ1118" s="454"/>
      <c r="BA1118" s="1267"/>
      <c r="BC1118" s="169"/>
    </row>
    <row r="1119" spans="19:55">
      <c r="S1119" s="454"/>
      <c r="AN1119" s="454"/>
      <c r="AY1119" s="454"/>
      <c r="AZ1119" s="454"/>
      <c r="BA1119" s="1267"/>
      <c r="BC1119" s="169"/>
    </row>
    <row r="1120" spans="19:55">
      <c r="S1120" s="454"/>
      <c r="AN1120" s="454"/>
      <c r="AY1120" s="454"/>
      <c r="AZ1120" s="454"/>
      <c r="BA1120" s="1267"/>
      <c r="BC1120" s="169"/>
    </row>
    <row r="1121" spans="19:55">
      <c r="S1121" s="454"/>
      <c r="AN1121" s="454"/>
      <c r="AY1121" s="454"/>
      <c r="AZ1121" s="454"/>
      <c r="BA1121" s="1267"/>
      <c r="BC1121" s="169"/>
    </row>
    <row r="1122" spans="19:55">
      <c r="S1122" s="454"/>
      <c r="AN1122" s="454"/>
      <c r="AY1122" s="454"/>
      <c r="AZ1122" s="454"/>
      <c r="BA1122" s="1267"/>
      <c r="BC1122" s="169"/>
    </row>
    <row r="1123" spans="19:55">
      <c r="S1123" s="454"/>
      <c r="AN1123" s="454"/>
      <c r="AY1123" s="454"/>
      <c r="AZ1123" s="454"/>
      <c r="BA1123" s="1267"/>
      <c r="BC1123" s="169"/>
    </row>
    <row r="1124" spans="19:55">
      <c r="S1124" s="454"/>
      <c r="AN1124" s="454"/>
      <c r="AY1124" s="454"/>
      <c r="AZ1124" s="454"/>
      <c r="BA1124" s="1267"/>
      <c r="BC1124" s="169"/>
    </row>
    <row r="1125" spans="19:55">
      <c r="S1125" s="454"/>
      <c r="AN1125" s="454"/>
      <c r="AY1125" s="454"/>
      <c r="AZ1125" s="454"/>
      <c r="BA1125" s="1267"/>
      <c r="BC1125" s="169"/>
    </row>
    <row r="1126" spans="19:55">
      <c r="S1126" s="454"/>
      <c r="AN1126" s="454"/>
      <c r="AY1126" s="454"/>
      <c r="AZ1126" s="454"/>
      <c r="BA1126" s="1267"/>
      <c r="BC1126" s="169"/>
    </row>
    <row r="1127" spans="19:55">
      <c r="S1127" s="454"/>
      <c r="AN1127" s="454"/>
      <c r="AY1127" s="454"/>
      <c r="AZ1127" s="454"/>
      <c r="BA1127" s="1267"/>
      <c r="BC1127" s="169"/>
    </row>
    <row r="1128" spans="19:55">
      <c r="S1128" s="454"/>
      <c r="AN1128" s="454"/>
      <c r="AY1128" s="454"/>
      <c r="AZ1128" s="454"/>
      <c r="BA1128" s="1267"/>
      <c r="BC1128" s="169"/>
    </row>
    <row r="1129" spans="19:55">
      <c r="S1129" s="454"/>
      <c r="AN1129" s="454"/>
      <c r="AY1129" s="454"/>
      <c r="AZ1129" s="454"/>
      <c r="BA1129" s="1267"/>
      <c r="BC1129" s="169"/>
    </row>
    <row r="1130" spans="19:55">
      <c r="S1130" s="454"/>
      <c r="AN1130" s="454"/>
      <c r="AY1130" s="454"/>
      <c r="AZ1130" s="454"/>
      <c r="BA1130" s="1267"/>
      <c r="BC1130" s="169"/>
    </row>
    <row r="1131" spans="19:55">
      <c r="S1131" s="454"/>
      <c r="AN1131" s="454"/>
      <c r="AY1131" s="454"/>
      <c r="AZ1131" s="454"/>
      <c r="BA1131" s="1267"/>
      <c r="BC1131" s="169"/>
    </row>
    <row r="1132" spans="19:55">
      <c r="S1132" s="454"/>
      <c r="AN1132" s="454"/>
      <c r="AY1132" s="454"/>
      <c r="AZ1132" s="454"/>
      <c r="BA1132" s="1267"/>
      <c r="BC1132" s="169"/>
    </row>
    <row r="1133" spans="19:55">
      <c r="S1133" s="454"/>
      <c r="AN1133" s="454"/>
      <c r="AY1133" s="454"/>
      <c r="AZ1133" s="454"/>
      <c r="BA1133" s="1267"/>
      <c r="BC1133" s="169"/>
    </row>
    <row r="1134" spans="19:55">
      <c r="S1134" s="454"/>
      <c r="AN1134" s="454"/>
      <c r="AY1134" s="454"/>
      <c r="AZ1134" s="454"/>
      <c r="BA1134" s="1267"/>
      <c r="BC1134" s="169"/>
    </row>
    <row r="1135" spans="19:55">
      <c r="S1135" s="454"/>
      <c r="AN1135" s="454"/>
      <c r="AY1135" s="454"/>
      <c r="AZ1135" s="454"/>
      <c r="BA1135" s="1267"/>
      <c r="BC1135" s="169"/>
    </row>
    <row r="1136" spans="19:55">
      <c r="S1136" s="454"/>
      <c r="AN1136" s="454"/>
      <c r="AY1136" s="454"/>
      <c r="AZ1136" s="454"/>
      <c r="BA1136" s="1267"/>
      <c r="BC1136" s="169"/>
    </row>
    <row r="1137" spans="19:55">
      <c r="S1137" s="454"/>
      <c r="AN1137" s="454"/>
      <c r="AY1137" s="454"/>
      <c r="AZ1137" s="454"/>
      <c r="BA1137" s="1267"/>
      <c r="BC1137" s="169"/>
    </row>
    <row r="1138" spans="19:55">
      <c r="S1138" s="454"/>
      <c r="AN1138" s="454"/>
      <c r="AY1138" s="454"/>
      <c r="AZ1138" s="454"/>
      <c r="BA1138" s="1267"/>
      <c r="BC1138" s="169"/>
    </row>
    <row r="1139" spans="19:55">
      <c r="S1139" s="454"/>
      <c r="AN1139" s="454"/>
      <c r="AY1139" s="454"/>
      <c r="AZ1139" s="454"/>
      <c r="BA1139" s="1267"/>
      <c r="BC1139" s="169"/>
    </row>
    <row r="1140" spans="19:55">
      <c r="S1140" s="454"/>
      <c r="AN1140" s="454"/>
      <c r="AY1140" s="454"/>
      <c r="AZ1140" s="454"/>
      <c r="BA1140" s="1267"/>
      <c r="BC1140" s="169"/>
    </row>
    <row r="1141" spans="19:55">
      <c r="S1141" s="454"/>
      <c r="AN1141" s="454"/>
      <c r="AY1141" s="454"/>
      <c r="AZ1141" s="454"/>
      <c r="BA1141" s="1267"/>
      <c r="BC1141" s="169"/>
    </row>
    <row r="1142" spans="19:55">
      <c r="S1142" s="454"/>
      <c r="AN1142" s="454"/>
      <c r="AY1142" s="454"/>
      <c r="AZ1142" s="454"/>
      <c r="BA1142" s="1267"/>
      <c r="BC1142" s="169"/>
    </row>
    <row r="1143" spans="19:55">
      <c r="S1143" s="454"/>
      <c r="AN1143" s="454"/>
      <c r="AY1143" s="454"/>
      <c r="AZ1143" s="454"/>
      <c r="BA1143" s="1267"/>
      <c r="BC1143" s="169"/>
    </row>
    <row r="1144" spans="19:55">
      <c r="S1144" s="454"/>
      <c r="AN1144" s="454"/>
      <c r="AY1144" s="454"/>
      <c r="AZ1144" s="454"/>
      <c r="BA1144" s="1267"/>
      <c r="BC1144" s="169"/>
    </row>
    <row r="1145" spans="19:55">
      <c r="S1145" s="454"/>
      <c r="AN1145" s="454"/>
      <c r="AY1145" s="454"/>
      <c r="AZ1145" s="454"/>
      <c r="BA1145" s="1267"/>
      <c r="BC1145" s="169"/>
    </row>
    <row r="1146" spans="19:55">
      <c r="S1146" s="454"/>
      <c r="AN1146" s="454"/>
      <c r="AY1146" s="454"/>
      <c r="AZ1146" s="454"/>
      <c r="BA1146" s="1267"/>
      <c r="BC1146" s="169"/>
    </row>
    <row r="1147" spans="19:55">
      <c r="S1147" s="454"/>
      <c r="AN1147" s="454"/>
      <c r="AY1147" s="454"/>
      <c r="AZ1147" s="454"/>
      <c r="BA1147" s="1267"/>
      <c r="BC1147" s="169"/>
    </row>
    <row r="1148" spans="19:55">
      <c r="S1148" s="454"/>
      <c r="AN1148" s="454"/>
      <c r="AY1148" s="454"/>
      <c r="AZ1148" s="454"/>
      <c r="BA1148" s="1267"/>
      <c r="BC1148" s="169"/>
    </row>
    <row r="1149" spans="19:55">
      <c r="S1149" s="454"/>
      <c r="AN1149" s="454"/>
      <c r="AY1149" s="454"/>
      <c r="AZ1149" s="454"/>
      <c r="BA1149" s="1267"/>
      <c r="BC1149" s="169"/>
    </row>
    <row r="1150" spans="19:55">
      <c r="S1150" s="454"/>
      <c r="AN1150" s="454"/>
      <c r="AY1150" s="454"/>
      <c r="AZ1150" s="454"/>
      <c r="BA1150" s="1267"/>
      <c r="BC1150" s="169"/>
    </row>
    <row r="1151" spans="19:55">
      <c r="S1151" s="454"/>
      <c r="AN1151" s="454"/>
      <c r="AY1151" s="454"/>
      <c r="AZ1151" s="454"/>
      <c r="BA1151" s="1267"/>
      <c r="BC1151" s="169"/>
    </row>
    <row r="1152" spans="19:55">
      <c r="S1152" s="454"/>
      <c r="AN1152" s="454"/>
      <c r="AY1152" s="454"/>
      <c r="AZ1152" s="454"/>
      <c r="BA1152" s="1267"/>
      <c r="BC1152" s="169"/>
    </row>
    <row r="1153" spans="19:55">
      <c r="S1153" s="454"/>
      <c r="AN1153" s="454"/>
      <c r="AY1153" s="454"/>
      <c r="AZ1153" s="454"/>
      <c r="BA1153" s="1267"/>
      <c r="BC1153" s="169"/>
    </row>
    <row r="1154" spans="19:55">
      <c r="S1154" s="454"/>
      <c r="AN1154" s="454"/>
      <c r="AY1154" s="454"/>
      <c r="AZ1154" s="454"/>
      <c r="BA1154" s="1267"/>
      <c r="BC1154" s="169"/>
    </row>
    <row r="1155" spans="19:55">
      <c r="S1155" s="454"/>
      <c r="AN1155" s="454"/>
      <c r="AY1155" s="454"/>
      <c r="AZ1155" s="454"/>
      <c r="BA1155" s="1267"/>
      <c r="BC1155" s="169"/>
    </row>
    <row r="1156" spans="19:55">
      <c r="S1156" s="454"/>
      <c r="AN1156" s="454"/>
      <c r="AY1156" s="454"/>
      <c r="AZ1156" s="454"/>
      <c r="BA1156" s="1267"/>
      <c r="BC1156" s="169"/>
    </row>
    <row r="1157" spans="19:55">
      <c r="S1157" s="454"/>
      <c r="AN1157" s="454"/>
      <c r="AY1157" s="454"/>
      <c r="AZ1157" s="454"/>
      <c r="BA1157" s="1267"/>
      <c r="BC1157" s="169"/>
    </row>
    <row r="1158" spans="19:55">
      <c r="S1158" s="454"/>
      <c r="AN1158" s="454"/>
      <c r="AY1158" s="454"/>
      <c r="AZ1158" s="454"/>
      <c r="BA1158" s="1267"/>
      <c r="BC1158" s="169"/>
    </row>
    <row r="1159" spans="19:55">
      <c r="S1159" s="454"/>
      <c r="AN1159" s="454"/>
      <c r="AY1159" s="454"/>
      <c r="AZ1159" s="454"/>
      <c r="BA1159" s="1267"/>
      <c r="BC1159" s="169"/>
    </row>
    <row r="1160" spans="19:55">
      <c r="S1160" s="454"/>
      <c r="AN1160" s="454"/>
      <c r="AY1160" s="454"/>
      <c r="AZ1160" s="454"/>
      <c r="BA1160" s="1267"/>
      <c r="BC1160" s="169"/>
    </row>
    <row r="1161" spans="19:55">
      <c r="S1161" s="454"/>
      <c r="AN1161" s="454"/>
      <c r="AY1161" s="454"/>
      <c r="AZ1161" s="454"/>
      <c r="BA1161" s="1267"/>
      <c r="BC1161" s="169"/>
    </row>
    <row r="1162" spans="19:55">
      <c r="S1162" s="454"/>
      <c r="AN1162" s="454"/>
      <c r="AY1162" s="454"/>
      <c r="AZ1162" s="454"/>
      <c r="BA1162" s="1267"/>
      <c r="BC1162" s="169"/>
    </row>
    <row r="1163" spans="19:55">
      <c r="S1163" s="454"/>
      <c r="AN1163" s="454"/>
      <c r="AY1163" s="454"/>
      <c r="AZ1163" s="454"/>
      <c r="BA1163" s="1267"/>
      <c r="BC1163" s="169"/>
    </row>
    <row r="1164" spans="19:55">
      <c r="S1164" s="454"/>
      <c r="AN1164" s="454"/>
      <c r="AY1164" s="454"/>
      <c r="AZ1164" s="454"/>
      <c r="BA1164" s="1267"/>
      <c r="BC1164" s="169"/>
    </row>
    <row r="1165" spans="19:55">
      <c r="S1165" s="454"/>
      <c r="AN1165" s="454"/>
      <c r="AY1165" s="454"/>
      <c r="AZ1165" s="454"/>
      <c r="BA1165" s="1267"/>
      <c r="BC1165" s="169"/>
    </row>
    <row r="1166" spans="19:55">
      <c r="S1166" s="454"/>
      <c r="AN1166" s="454"/>
      <c r="AY1166" s="454"/>
      <c r="AZ1166" s="454"/>
      <c r="BA1166" s="1267"/>
      <c r="BC1166" s="169"/>
    </row>
    <row r="1167" spans="19:55">
      <c r="S1167" s="454"/>
      <c r="AN1167" s="454"/>
      <c r="AY1167" s="454"/>
      <c r="AZ1167" s="454"/>
      <c r="BA1167" s="1267"/>
      <c r="BC1167" s="169"/>
    </row>
    <row r="1168" spans="19:55">
      <c r="S1168" s="454"/>
      <c r="AN1168" s="454"/>
      <c r="AY1168" s="454"/>
      <c r="AZ1168" s="454"/>
      <c r="BA1168" s="1267"/>
      <c r="BC1168" s="169"/>
    </row>
    <row r="1169" spans="19:55">
      <c r="S1169" s="454"/>
      <c r="AN1169" s="454"/>
      <c r="AY1169" s="454"/>
      <c r="AZ1169" s="454"/>
      <c r="BA1169" s="1267"/>
      <c r="BC1169" s="169"/>
    </row>
    <row r="1170" spans="19:55">
      <c r="S1170" s="454"/>
      <c r="AN1170" s="454"/>
      <c r="AY1170" s="454"/>
      <c r="AZ1170" s="454"/>
      <c r="BA1170" s="1267"/>
      <c r="BC1170" s="169"/>
    </row>
    <row r="1171" spans="19:55">
      <c r="S1171" s="454"/>
      <c r="AN1171" s="454"/>
      <c r="AY1171" s="454"/>
      <c r="AZ1171" s="454"/>
      <c r="BA1171" s="1267"/>
      <c r="BC1171" s="169"/>
    </row>
    <row r="1172" spans="19:55">
      <c r="S1172" s="454"/>
      <c r="AN1172" s="454"/>
      <c r="AY1172" s="454"/>
      <c r="AZ1172" s="454"/>
      <c r="BA1172" s="1267"/>
      <c r="BC1172" s="169"/>
    </row>
    <row r="1173" spans="19:55">
      <c r="S1173" s="454"/>
      <c r="AN1173" s="454"/>
      <c r="AY1173" s="454"/>
      <c r="AZ1173" s="454"/>
      <c r="BA1173" s="1267"/>
      <c r="BC1173" s="169"/>
    </row>
    <row r="1174" spans="19:55">
      <c r="S1174" s="454"/>
      <c r="AN1174" s="454"/>
      <c r="AY1174" s="454"/>
      <c r="AZ1174" s="454"/>
      <c r="BA1174" s="1267"/>
      <c r="BC1174" s="169"/>
    </row>
    <row r="1175" spans="19:55">
      <c r="S1175" s="454"/>
      <c r="AN1175" s="454"/>
      <c r="AY1175" s="454"/>
      <c r="AZ1175" s="454"/>
      <c r="BA1175" s="1267"/>
      <c r="BC1175" s="169"/>
    </row>
    <row r="1176" spans="19:55">
      <c r="S1176" s="454"/>
      <c r="AN1176" s="454"/>
      <c r="AY1176" s="454"/>
      <c r="AZ1176" s="454"/>
      <c r="BA1176" s="1267"/>
      <c r="BC1176" s="169"/>
    </row>
    <row r="1177" spans="19:55">
      <c r="S1177" s="454"/>
      <c r="AN1177" s="454"/>
      <c r="AY1177" s="454"/>
      <c r="AZ1177" s="454"/>
      <c r="BA1177" s="1267"/>
      <c r="BC1177" s="169"/>
    </row>
    <row r="1178" spans="19:55">
      <c r="S1178" s="454"/>
      <c r="AN1178" s="454"/>
      <c r="AY1178" s="454"/>
      <c r="AZ1178" s="454"/>
      <c r="BA1178" s="1267"/>
      <c r="BC1178" s="169"/>
    </row>
    <row r="1179" spans="19:55">
      <c r="S1179" s="454"/>
      <c r="AN1179" s="454"/>
      <c r="AY1179" s="454"/>
      <c r="AZ1179" s="454"/>
      <c r="BA1179" s="1267"/>
      <c r="BC1179" s="169"/>
    </row>
    <row r="1180" spans="19:55">
      <c r="S1180" s="454"/>
      <c r="AN1180" s="454"/>
      <c r="AY1180" s="454"/>
      <c r="AZ1180" s="454"/>
      <c r="BA1180" s="1267"/>
      <c r="BC1180" s="169"/>
    </row>
    <row r="1181" spans="19:55">
      <c r="S1181" s="454"/>
      <c r="AN1181" s="454"/>
      <c r="AY1181" s="454"/>
      <c r="AZ1181" s="454"/>
      <c r="BA1181" s="1267"/>
      <c r="BC1181" s="169"/>
    </row>
    <row r="1182" spans="19:55">
      <c r="S1182" s="454"/>
      <c r="AN1182" s="454"/>
      <c r="AY1182" s="454"/>
      <c r="AZ1182" s="454"/>
      <c r="BA1182" s="1267"/>
      <c r="BC1182" s="169"/>
    </row>
    <row r="1183" spans="19:55">
      <c r="S1183" s="454"/>
      <c r="AN1183" s="454"/>
      <c r="AY1183" s="454"/>
      <c r="AZ1183" s="454"/>
      <c r="BA1183" s="1267"/>
      <c r="BC1183" s="169"/>
    </row>
    <row r="1184" spans="19:55">
      <c r="S1184" s="454"/>
      <c r="AN1184" s="454"/>
      <c r="AY1184" s="454"/>
      <c r="AZ1184" s="454"/>
      <c r="BA1184" s="1267"/>
      <c r="BC1184" s="169"/>
    </row>
    <row r="1185" spans="19:55">
      <c r="S1185" s="454"/>
      <c r="AN1185" s="454"/>
      <c r="AY1185" s="454"/>
      <c r="AZ1185" s="454"/>
      <c r="BA1185" s="1267"/>
      <c r="BC1185" s="169"/>
    </row>
    <row r="1186" spans="19:55">
      <c r="S1186" s="454"/>
      <c r="AN1186" s="454"/>
      <c r="AY1186" s="454"/>
      <c r="AZ1186" s="454"/>
      <c r="BA1186" s="1267"/>
      <c r="BC1186" s="169"/>
    </row>
    <row r="1187" spans="19:55">
      <c r="S1187" s="454"/>
      <c r="AN1187" s="454"/>
      <c r="AY1187" s="454"/>
      <c r="AZ1187" s="454"/>
      <c r="BA1187" s="1267"/>
      <c r="BC1187" s="169"/>
    </row>
    <row r="1188" spans="19:55">
      <c r="S1188" s="454"/>
      <c r="AN1188" s="454"/>
      <c r="AY1188" s="454"/>
      <c r="AZ1188" s="454"/>
      <c r="BA1188" s="1267"/>
      <c r="BC1188" s="169"/>
    </row>
    <row r="1189" spans="19:55">
      <c r="S1189" s="454"/>
      <c r="AN1189" s="454"/>
      <c r="AY1189" s="454"/>
      <c r="AZ1189" s="454"/>
      <c r="BA1189" s="1267"/>
      <c r="BC1189" s="169"/>
    </row>
    <row r="1190" spans="19:55">
      <c r="S1190" s="454"/>
      <c r="AN1190" s="454"/>
      <c r="AY1190" s="454"/>
      <c r="AZ1190" s="454"/>
      <c r="BA1190" s="1267"/>
      <c r="BC1190" s="169"/>
    </row>
    <row r="1191" spans="19:55">
      <c r="S1191" s="454"/>
      <c r="AN1191" s="454"/>
      <c r="AY1191" s="454"/>
      <c r="AZ1191" s="454"/>
      <c r="BA1191" s="1267"/>
      <c r="BC1191" s="169"/>
    </row>
    <row r="1192" spans="19:55">
      <c r="S1192" s="454"/>
      <c r="AN1192" s="454"/>
      <c r="AY1192" s="454"/>
      <c r="AZ1192" s="454"/>
      <c r="BA1192" s="1267"/>
      <c r="BC1192" s="169"/>
    </row>
    <row r="1193" spans="19:55">
      <c r="S1193" s="454"/>
      <c r="AN1193" s="454"/>
      <c r="AY1193" s="454"/>
      <c r="AZ1193" s="454"/>
      <c r="BA1193" s="1267"/>
      <c r="BC1193" s="169"/>
    </row>
    <row r="1194" spans="19:55">
      <c r="S1194" s="454"/>
      <c r="AN1194" s="454"/>
      <c r="AY1194" s="454"/>
      <c r="AZ1194" s="454"/>
      <c r="BA1194" s="1267"/>
      <c r="BC1194" s="169"/>
    </row>
    <row r="1195" spans="19:55">
      <c r="S1195" s="454"/>
      <c r="AN1195" s="454"/>
      <c r="AY1195" s="454"/>
      <c r="AZ1195" s="454"/>
      <c r="BA1195" s="1267"/>
      <c r="BC1195" s="169"/>
    </row>
    <row r="1196" spans="19:55">
      <c r="S1196" s="454"/>
      <c r="AN1196" s="454"/>
      <c r="AY1196" s="454"/>
      <c r="AZ1196" s="454"/>
      <c r="BA1196" s="1267"/>
      <c r="BC1196" s="169"/>
    </row>
    <row r="1197" spans="19:55">
      <c r="S1197" s="454"/>
      <c r="AN1197" s="454"/>
      <c r="AY1197" s="454"/>
      <c r="AZ1197" s="454"/>
      <c r="BA1197" s="1267"/>
      <c r="BC1197" s="169"/>
    </row>
    <row r="1198" spans="19:55">
      <c r="S1198" s="454"/>
      <c r="AN1198" s="454"/>
      <c r="AY1198" s="454"/>
      <c r="AZ1198" s="454"/>
      <c r="BA1198" s="1267"/>
      <c r="BC1198" s="169"/>
    </row>
    <row r="1199" spans="19:55">
      <c r="S1199" s="454"/>
      <c r="AN1199" s="454"/>
      <c r="AY1199" s="454"/>
      <c r="AZ1199" s="454"/>
      <c r="BA1199" s="1267"/>
      <c r="BC1199" s="169"/>
    </row>
    <row r="1200" spans="19:55">
      <c r="S1200" s="454"/>
      <c r="AN1200" s="454"/>
      <c r="AY1200" s="454"/>
      <c r="AZ1200" s="454"/>
      <c r="BA1200" s="1267"/>
      <c r="BC1200" s="169"/>
    </row>
    <row r="1201" spans="19:55">
      <c r="S1201" s="454"/>
      <c r="AN1201" s="454"/>
      <c r="AY1201" s="454"/>
      <c r="AZ1201" s="454"/>
      <c r="BA1201" s="1267"/>
      <c r="BC1201" s="169"/>
    </row>
    <row r="1202" spans="19:55">
      <c r="S1202" s="454"/>
      <c r="AN1202" s="454"/>
      <c r="AY1202" s="454"/>
      <c r="AZ1202" s="454"/>
      <c r="BA1202" s="1267"/>
      <c r="BC1202" s="169"/>
    </row>
    <row r="1203" spans="19:55">
      <c r="S1203" s="454"/>
      <c r="AN1203" s="454"/>
      <c r="AY1203" s="454"/>
      <c r="AZ1203" s="454"/>
      <c r="BA1203" s="1267"/>
      <c r="BC1203" s="169"/>
    </row>
    <row r="1204" spans="19:55">
      <c r="S1204" s="454"/>
      <c r="AN1204" s="454"/>
      <c r="AY1204" s="454"/>
      <c r="AZ1204" s="454"/>
      <c r="BA1204" s="1267"/>
      <c r="BC1204" s="169"/>
    </row>
    <row r="1205" spans="19:55">
      <c r="S1205" s="454"/>
      <c r="AN1205" s="454"/>
      <c r="AY1205" s="454"/>
      <c r="AZ1205" s="454"/>
      <c r="BA1205" s="1267"/>
      <c r="BC1205" s="169"/>
    </row>
    <row r="1206" spans="19:55">
      <c r="S1206" s="454"/>
      <c r="AN1206" s="454"/>
      <c r="AY1206" s="454"/>
      <c r="AZ1206" s="454"/>
      <c r="BA1206" s="1267"/>
      <c r="BC1206" s="169"/>
    </row>
    <row r="1207" spans="19:55">
      <c r="S1207" s="454"/>
      <c r="AN1207" s="454"/>
      <c r="AY1207" s="454"/>
      <c r="AZ1207" s="454"/>
      <c r="BA1207" s="1267"/>
      <c r="BC1207" s="169"/>
    </row>
    <row r="1208" spans="19:55">
      <c r="S1208" s="454"/>
      <c r="AN1208" s="454"/>
      <c r="AY1208" s="454"/>
      <c r="AZ1208" s="454"/>
      <c r="BA1208" s="1267"/>
      <c r="BC1208" s="169"/>
    </row>
    <row r="1209" spans="19:55">
      <c r="S1209" s="454"/>
      <c r="AN1209" s="454"/>
      <c r="AY1209" s="454"/>
      <c r="AZ1209" s="454"/>
      <c r="BA1209" s="1267"/>
      <c r="BC1209" s="169"/>
    </row>
    <row r="1210" spans="19:55">
      <c r="S1210" s="454"/>
      <c r="AN1210" s="454"/>
      <c r="AY1210" s="454"/>
      <c r="AZ1210" s="454"/>
      <c r="BA1210" s="1267"/>
      <c r="BC1210" s="169"/>
    </row>
    <row r="1211" spans="19:55">
      <c r="S1211" s="454"/>
      <c r="AN1211" s="454"/>
      <c r="AY1211" s="454"/>
      <c r="AZ1211" s="454"/>
      <c r="BA1211" s="1267"/>
      <c r="BC1211" s="169"/>
    </row>
    <row r="1212" spans="19:55">
      <c r="S1212" s="454"/>
      <c r="AN1212" s="454"/>
      <c r="AY1212" s="454"/>
      <c r="AZ1212" s="454"/>
      <c r="BA1212" s="1267"/>
      <c r="BC1212" s="169"/>
    </row>
    <row r="1213" spans="19:55">
      <c r="S1213" s="454"/>
      <c r="AN1213" s="454"/>
      <c r="AY1213" s="454"/>
      <c r="AZ1213" s="454"/>
      <c r="BA1213" s="1267"/>
      <c r="BC1213" s="169"/>
    </row>
    <row r="1214" spans="19:55">
      <c r="S1214" s="454"/>
      <c r="AN1214" s="454"/>
      <c r="AY1214" s="454"/>
      <c r="AZ1214" s="454"/>
      <c r="BA1214" s="1267"/>
      <c r="BC1214" s="169"/>
    </row>
    <row r="1215" spans="19:55">
      <c r="S1215" s="454"/>
      <c r="AN1215" s="454"/>
      <c r="AY1215" s="454"/>
      <c r="AZ1215" s="454"/>
      <c r="BA1215" s="1267"/>
      <c r="BC1215" s="169"/>
    </row>
    <row r="1216" spans="19:55">
      <c r="S1216" s="454"/>
      <c r="AN1216" s="454"/>
      <c r="AY1216" s="454"/>
      <c r="AZ1216" s="454"/>
      <c r="BA1216" s="1267"/>
      <c r="BC1216" s="169"/>
    </row>
    <row r="1217" spans="19:55">
      <c r="S1217" s="454"/>
      <c r="AN1217" s="454"/>
      <c r="AY1217" s="454"/>
      <c r="AZ1217" s="454"/>
      <c r="BA1217" s="1267"/>
      <c r="BC1217" s="169"/>
    </row>
    <row r="1218" spans="19:55">
      <c r="S1218" s="454"/>
      <c r="AN1218" s="454"/>
      <c r="AY1218" s="454"/>
      <c r="AZ1218" s="454"/>
      <c r="BA1218" s="1267"/>
      <c r="BC1218" s="169"/>
    </row>
    <row r="1219" spans="19:55">
      <c r="S1219" s="454"/>
      <c r="AN1219" s="454"/>
      <c r="AY1219" s="454"/>
      <c r="AZ1219" s="454"/>
      <c r="BA1219" s="1267"/>
      <c r="BC1219" s="169"/>
    </row>
    <row r="1220" spans="19:55">
      <c r="S1220" s="454"/>
      <c r="AN1220" s="454"/>
      <c r="AY1220" s="454"/>
      <c r="AZ1220" s="454"/>
      <c r="BA1220" s="1267"/>
      <c r="BC1220" s="169"/>
    </row>
    <row r="1221" spans="19:55">
      <c r="S1221" s="454"/>
      <c r="AN1221" s="454"/>
      <c r="AY1221" s="454"/>
      <c r="AZ1221" s="454"/>
      <c r="BA1221" s="1267"/>
      <c r="BC1221" s="169"/>
    </row>
    <row r="1222" spans="19:55">
      <c r="S1222" s="454"/>
      <c r="AN1222" s="454"/>
      <c r="AY1222" s="454"/>
      <c r="AZ1222" s="454"/>
      <c r="BA1222" s="1267"/>
      <c r="BC1222" s="169"/>
    </row>
    <row r="1223" spans="19:55">
      <c r="S1223" s="454"/>
      <c r="AN1223" s="454"/>
      <c r="AY1223" s="454"/>
      <c r="AZ1223" s="454"/>
      <c r="BA1223" s="1267"/>
      <c r="BC1223" s="169"/>
    </row>
    <row r="1224" spans="19:55">
      <c r="S1224" s="454"/>
      <c r="AN1224" s="454"/>
      <c r="AY1224" s="454"/>
      <c r="AZ1224" s="454"/>
      <c r="BA1224" s="1267"/>
      <c r="BC1224" s="169"/>
    </row>
    <row r="1225" spans="19:55">
      <c r="S1225" s="454"/>
      <c r="AN1225" s="454"/>
      <c r="AY1225" s="454"/>
      <c r="AZ1225" s="454"/>
      <c r="BA1225" s="1267"/>
      <c r="BC1225" s="169"/>
    </row>
    <row r="1226" spans="19:55">
      <c r="S1226" s="454"/>
      <c r="AN1226" s="454"/>
      <c r="AY1226" s="454"/>
      <c r="AZ1226" s="454"/>
      <c r="BA1226" s="1267"/>
      <c r="BC1226" s="169"/>
    </row>
    <row r="1227" spans="19:55">
      <c r="S1227" s="454"/>
      <c r="AN1227" s="454"/>
      <c r="AY1227" s="454"/>
      <c r="AZ1227" s="454"/>
      <c r="BA1227" s="1267"/>
      <c r="BC1227" s="169"/>
    </row>
    <row r="1228" spans="19:55">
      <c r="S1228" s="454"/>
      <c r="AN1228" s="454"/>
      <c r="AY1228" s="454"/>
      <c r="AZ1228" s="454"/>
      <c r="BA1228" s="1267"/>
      <c r="BC1228" s="169"/>
    </row>
    <row r="1229" spans="19:55">
      <c r="S1229" s="454"/>
      <c r="AN1229" s="454"/>
      <c r="AY1229" s="454"/>
      <c r="AZ1229" s="454"/>
      <c r="BA1229" s="1267"/>
      <c r="BC1229" s="169"/>
    </row>
    <row r="1230" spans="19:55">
      <c r="S1230" s="454"/>
      <c r="AN1230" s="454"/>
      <c r="AY1230" s="454"/>
      <c r="AZ1230" s="454"/>
      <c r="BA1230" s="1267"/>
      <c r="BC1230" s="169"/>
    </row>
    <row r="1231" spans="19:55">
      <c r="S1231" s="454"/>
      <c r="AN1231" s="454"/>
      <c r="AY1231" s="454"/>
      <c r="AZ1231" s="454"/>
      <c r="BA1231" s="1267"/>
      <c r="BC1231" s="169"/>
    </row>
    <row r="1232" spans="19:55">
      <c r="S1232" s="454"/>
      <c r="AN1232" s="454"/>
      <c r="AY1232" s="454"/>
      <c r="AZ1232" s="454"/>
      <c r="BA1232" s="1267"/>
      <c r="BC1232" s="169"/>
    </row>
    <row r="1233" spans="19:55">
      <c r="S1233" s="454"/>
      <c r="AN1233" s="454"/>
      <c r="AY1233" s="454"/>
      <c r="AZ1233" s="454"/>
      <c r="BA1233" s="1267"/>
      <c r="BC1233" s="169"/>
    </row>
    <row r="1234" spans="19:55">
      <c r="S1234" s="454"/>
      <c r="AN1234" s="454"/>
      <c r="AY1234" s="454"/>
      <c r="AZ1234" s="454"/>
      <c r="BA1234" s="1267"/>
      <c r="BC1234" s="169"/>
    </row>
    <row r="1235" spans="19:55">
      <c r="S1235" s="454"/>
      <c r="AN1235" s="454"/>
      <c r="AY1235" s="454"/>
      <c r="AZ1235" s="454"/>
      <c r="BA1235" s="1267"/>
      <c r="BC1235" s="169"/>
    </row>
    <row r="1236" spans="19:55">
      <c r="S1236" s="454"/>
      <c r="AN1236" s="454"/>
      <c r="AY1236" s="454"/>
      <c r="AZ1236" s="454"/>
      <c r="BA1236" s="1267"/>
      <c r="BC1236" s="169"/>
    </row>
    <row r="1237" spans="19:55">
      <c r="S1237" s="454"/>
      <c r="AN1237" s="454"/>
      <c r="AY1237" s="454"/>
      <c r="AZ1237" s="454"/>
      <c r="BA1237" s="1267"/>
      <c r="BC1237" s="169"/>
    </row>
    <row r="1238" spans="19:55">
      <c r="S1238" s="454"/>
      <c r="AN1238" s="454"/>
      <c r="AY1238" s="454"/>
      <c r="AZ1238" s="454"/>
      <c r="BA1238" s="1267"/>
      <c r="BC1238" s="169"/>
    </row>
    <row r="1239" spans="19:55">
      <c r="S1239" s="454"/>
      <c r="AN1239" s="454"/>
      <c r="AY1239" s="454"/>
      <c r="AZ1239" s="454"/>
      <c r="BA1239" s="1267"/>
      <c r="BC1239" s="169"/>
    </row>
    <row r="1240" spans="19:55">
      <c r="S1240" s="454"/>
      <c r="AN1240" s="454"/>
      <c r="AY1240" s="454"/>
      <c r="AZ1240" s="454"/>
      <c r="BA1240" s="1267"/>
      <c r="BC1240" s="169"/>
    </row>
    <row r="1241" spans="19:55">
      <c r="S1241" s="454"/>
      <c r="AN1241" s="454"/>
      <c r="AY1241" s="454"/>
      <c r="AZ1241" s="454"/>
      <c r="BA1241" s="1267"/>
      <c r="BC1241" s="169"/>
    </row>
    <row r="1242" spans="19:55">
      <c r="S1242" s="454"/>
      <c r="AN1242" s="454"/>
      <c r="AY1242" s="454"/>
      <c r="AZ1242" s="454"/>
      <c r="BA1242" s="1267"/>
      <c r="BC1242" s="169"/>
    </row>
    <row r="1243" spans="19:55">
      <c r="S1243" s="454"/>
      <c r="AN1243" s="454"/>
      <c r="AY1243" s="454"/>
      <c r="AZ1243" s="454"/>
      <c r="BA1243" s="1267"/>
      <c r="BC1243" s="169"/>
    </row>
    <row r="1244" spans="19:55">
      <c r="S1244" s="454"/>
      <c r="AN1244" s="454"/>
      <c r="AY1244" s="454"/>
      <c r="AZ1244" s="454"/>
      <c r="BA1244" s="1267"/>
      <c r="BC1244" s="169"/>
    </row>
    <row r="1245" spans="19:55">
      <c r="S1245" s="454"/>
      <c r="AN1245" s="454"/>
      <c r="AY1245" s="454"/>
      <c r="AZ1245" s="454"/>
      <c r="BA1245" s="1267"/>
      <c r="BC1245" s="169"/>
    </row>
    <row r="1246" spans="19:55">
      <c r="S1246" s="454"/>
      <c r="AN1246" s="454"/>
      <c r="AY1246" s="454"/>
      <c r="AZ1246" s="454"/>
      <c r="BA1246" s="1267"/>
      <c r="BC1246" s="169"/>
    </row>
    <row r="1247" spans="19:55">
      <c r="S1247" s="454"/>
      <c r="AN1247" s="454"/>
      <c r="AY1247" s="454"/>
      <c r="AZ1247" s="454"/>
      <c r="BA1247" s="1267"/>
      <c r="BC1247" s="169"/>
    </row>
    <row r="1248" spans="19:55">
      <c r="S1248" s="454"/>
      <c r="AN1248" s="454"/>
      <c r="AY1248" s="454"/>
      <c r="AZ1248" s="454"/>
      <c r="BA1248" s="1267"/>
      <c r="BC1248" s="169"/>
    </row>
    <row r="1249" spans="19:55">
      <c r="S1249" s="454"/>
      <c r="AN1249" s="454"/>
      <c r="AY1249" s="454"/>
      <c r="AZ1249" s="454"/>
      <c r="BA1249" s="1267"/>
      <c r="BC1249" s="169"/>
    </row>
    <row r="1250" spans="19:55">
      <c r="S1250" s="454"/>
      <c r="AN1250" s="454"/>
      <c r="AY1250" s="454"/>
      <c r="AZ1250" s="454"/>
      <c r="BA1250" s="1267"/>
      <c r="BC1250" s="169"/>
    </row>
    <row r="1251" spans="19:55">
      <c r="S1251" s="454"/>
      <c r="AN1251" s="454"/>
      <c r="AY1251" s="454"/>
      <c r="AZ1251" s="454"/>
      <c r="BA1251" s="1267"/>
      <c r="BC1251" s="169"/>
    </row>
    <row r="1252" spans="19:55">
      <c r="S1252" s="454"/>
      <c r="AN1252" s="454"/>
      <c r="AY1252" s="454"/>
      <c r="AZ1252" s="454"/>
      <c r="BA1252" s="1267"/>
      <c r="BC1252" s="169"/>
    </row>
    <row r="1253" spans="19:55">
      <c r="S1253" s="454"/>
      <c r="AN1253" s="454"/>
      <c r="AY1253" s="454"/>
      <c r="AZ1253" s="454"/>
      <c r="BA1253" s="1267"/>
      <c r="BC1253" s="169"/>
    </row>
    <row r="1254" spans="19:55">
      <c r="S1254" s="454"/>
      <c r="AN1254" s="454"/>
      <c r="AY1254" s="454"/>
      <c r="AZ1254" s="454"/>
      <c r="BA1254" s="1267"/>
      <c r="BC1254" s="169"/>
    </row>
    <row r="1255" spans="19:55">
      <c r="S1255" s="454"/>
      <c r="AN1255" s="454"/>
      <c r="AY1255" s="454"/>
      <c r="AZ1255" s="454"/>
      <c r="BA1255" s="1267"/>
      <c r="BC1255" s="169"/>
    </row>
    <row r="1256" spans="19:55">
      <c r="S1256" s="454"/>
      <c r="AN1256" s="454"/>
      <c r="AY1256" s="454"/>
      <c r="AZ1256" s="454"/>
      <c r="BA1256" s="1267"/>
      <c r="BC1256" s="169"/>
    </row>
    <row r="1257" spans="19:55">
      <c r="S1257" s="454"/>
      <c r="AN1257" s="454"/>
      <c r="AY1257" s="454"/>
      <c r="AZ1257" s="454"/>
      <c r="BA1257" s="1267"/>
      <c r="BC1257" s="169"/>
    </row>
    <row r="1258" spans="19:55">
      <c r="S1258" s="454"/>
      <c r="AN1258" s="454"/>
      <c r="AY1258" s="454"/>
      <c r="AZ1258" s="454"/>
      <c r="BA1258" s="1267"/>
      <c r="BC1258" s="169"/>
    </row>
    <row r="1259" spans="19:55">
      <c r="S1259" s="454"/>
      <c r="AN1259" s="454"/>
      <c r="AY1259" s="454"/>
      <c r="AZ1259" s="454"/>
      <c r="BA1259" s="1267"/>
      <c r="BC1259" s="169"/>
    </row>
    <row r="1260" spans="19:55">
      <c r="S1260" s="454"/>
      <c r="AN1260" s="454"/>
      <c r="AY1260" s="454"/>
      <c r="AZ1260" s="454"/>
      <c r="BA1260" s="1267"/>
      <c r="BC1260" s="169"/>
    </row>
    <row r="1261" spans="19:55">
      <c r="S1261" s="454"/>
      <c r="AN1261" s="454"/>
      <c r="AY1261" s="454"/>
      <c r="AZ1261" s="454"/>
      <c r="BA1261" s="1267"/>
      <c r="BC1261" s="169"/>
    </row>
    <row r="1262" spans="19:55">
      <c r="S1262" s="454"/>
      <c r="AN1262" s="454"/>
      <c r="AY1262" s="454"/>
      <c r="AZ1262" s="454"/>
      <c r="BA1262" s="1267"/>
      <c r="BC1262" s="169"/>
    </row>
    <row r="1263" spans="19:55">
      <c r="S1263" s="454"/>
      <c r="AN1263" s="454"/>
      <c r="AY1263" s="454"/>
      <c r="AZ1263" s="454"/>
      <c r="BA1263" s="1267"/>
      <c r="BC1263" s="169"/>
    </row>
    <row r="1264" spans="19:55">
      <c r="S1264" s="454"/>
      <c r="AN1264" s="454"/>
      <c r="AY1264" s="454"/>
      <c r="AZ1264" s="454"/>
      <c r="BA1264" s="1267"/>
      <c r="BC1264" s="169"/>
    </row>
    <row r="1265" spans="19:55">
      <c r="S1265" s="454"/>
      <c r="AN1265" s="454"/>
      <c r="AY1265" s="454"/>
      <c r="AZ1265" s="454"/>
      <c r="BA1265" s="1267"/>
      <c r="BC1265" s="169"/>
    </row>
    <row r="1266" spans="19:55">
      <c r="S1266" s="454"/>
      <c r="AN1266" s="454"/>
      <c r="AY1266" s="454"/>
      <c r="AZ1266" s="454"/>
      <c r="BA1266" s="1267"/>
      <c r="BC1266" s="169"/>
    </row>
    <row r="1267" spans="19:55">
      <c r="S1267" s="454"/>
      <c r="AN1267" s="454"/>
      <c r="AY1267" s="454"/>
      <c r="AZ1267" s="454"/>
      <c r="BA1267" s="1267"/>
      <c r="BC1267" s="169"/>
    </row>
    <row r="1268" spans="19:55">
      <c r="S1268" s="454"/>
      <c r="AN1268" s="454"/>
      <c r="AY1268" s="454"/>
      <c r="AZ1268" s="454"/>
      <c r="BA1268" s="1267"/>
      <c r="BC1268" s="169"/>
    </row>
    <row r="1269" spans="19:55">
      <c r="S1269" s="454"/>
      <c r="AN1269" s="454"/>
      <c r="AY1269" s="454"/>
      <c r="AZ1269" s="454"/>
      <c r="BA1269" s="1267"/>
      <c r="BC1269" s="169"/>
    </row>
    <row r="1270" spans="19:55">
      <c r="S1270" s="454"/>
      <c r="AN1270" s="454"/>
      <c r="AY1270" s="454"/>
      <c r="AZ1270" s="454"/>
      <c r="BA1270" s="1267"/>
      <c r="BC1270" s="169"/>
    </row>
    <row r="1271" spans="19:55">
      <c r="S1271" s="454"/>
      <c r="AN1271" s="454"/>
      <c r="AY1271" s="454"/>
      <c r="AZ1271" s="454"/>
      <c r="BA1271" s="1267"/>
      <c r="BC1271" s="169"/>
    </row>
    <row r="1272" spans="19:55">
      <c r="S1272" s="454"/>
      <c r="AN1272" s="454"/>
      <c r="AY1272" s="454"/>
      <c r="AZ1272" s="454"/>
      <c r="BA1272" s="1267"/>
      <c r="BC1272" s="169"/>
    </row>
    <row r="1273" spans="19:55">
      <c r="S1273" s="454"/>
      <c r="AN1273" s="454"/>
      <c r="AY1273" s="454"/>
      <c r="AZ1273" s="454"/>
      <c r="BA1273" s="1267"/>
      <c r="BC1273" s="169"/>
    </row>
    <row r="1274" spans="19:55">
      <c r="S1274" s="454"/>
      <c r="AN1274" s="454"/>
      <c r="AY1274" s="454"/>
      <c r="AZ1274" s="454"/>
      <c r="BA1274" s="1267"/>
      <c r="BC1274" s="169"/>
    </row>
    <row r="1275" spans="19:55">
      <c r="S1275" s="454"/>
      <c r="AN1275" s="454"/>
      <c r="AY1275" s="454"/>
      <c r="AZ1275" s="454"/>
      <c r="BA1275" s="1267"/>
      <c r="BC1275" s="169"/>
    </row>
    <row r="1276" spans="19:55">
      <c r="S1276" s="454"/>
      <c r="AN1276" s="454"/>
      <c r="AY1276" s="454"/>
      <c r="AZ1276" s="454"/>
      <c r="BA1276" s="1267"/>
      <c r="BC1276" s="169"/>
    </row>
    <row r="1277" spans="19:55">
      <c r="S1277" s="454"/>
      <c r="AN1277" s="454"/>
      <c r="AY1277" s="454"/>
      <c r="AZ1277" s="454"/>
      <c r="BA1277" s="1267"/>
      <c r="BC1277" s="169"/>
    </row>
    <row r="1278" spans="19:55">
      <c r="S1278" s="454"/>
      <c r="AN1278" s="454"/>
      <c r="AY1278" s="454"/>
      <c r="AZ1278" s="454"/>
      <c r="BA1278" s="1267"/>
      <c r="BC1278" s="169"/>
    </row>
    <row r="1279" spans="19:55">
      <c r="S1279" s="454"/>
      <c r="AN1279" s="454"/>
      <c r="AY1279" s="454"/>
      <c r="AZ1279" s="454"/>
      <c r="BA1279" s="1267"/>
      <c r="BC1279" s="169"/>
    </row>
    <row r="1280" spans="19:55">
      <c r="S1280" s="454"/>
      <c r="AN1280" s="454"/>
      <c r="AY1280" s="454"/>
      <c r="AZ1280" s="454"/>
      <c r="BA1280" s="1267"/>
      <c r="BC1280" s="169"/>
    </row>
    <row r="1281" spans="19:55">
      <c r="S1281" s="454"/>
      <c r="AN1281" s="454"/>
      <c r="AY1281" s="454"/>
      <c r="AZ1281" s="454"/>
      <c r="BA1281" s="1267"/>
      <c r="BC1281" s="169"/>
    </row>
    <row r="1282" spans="19:55">
      <c r="S1282" s="454"/>
      <c r="AN1282" s="454"/>
      <c r="AY1282" s="454"/>
      <c r="AZ1282" s="454"/>
      <c r="BA1282" s="1267"/>
      <c r="BC1282" s="169"/>
    </row>
    <row r="1283" spans="19:55">
      <c r="S1283" s="454"/>
      <c r="AN1283" s="454"/>
      <c r="AY1283" s="454"/>
      <c r="AZ1283" s="454"/>
      <c r="BA1283" s="1267"/>
      <c r="BC1283" s="169"/>
    </row>
    <row r="1284" spans="19:55">
      <c r="S1284" s="454"/>
      <c r="AN1284" s="454"/>
      <c r="AY1284" s="454"/>
      <c r="AZ1284" s="454"/>
      <c r="BA1284" s="1267"/>
      <c r="BC1284" s="169"/>
    </row>
    <row r="1285" spans="19:55">
      <c r="S1285" s="454"/>
      <c r="AN1285" s="454"/>
      <c r="AY1285" s="454"/>
      <c r="AZ1285" s="454"/>
      <c r="BA1285" s="1267"/>
      <c r="BC1285" s="169"/>
    </row>
    <row r="1286" spans="19:55">
      <c r="S1286" s="454"/>
      <c r="AN1286" s="454"/>
      <c r="AY1286" s="454"/>
      <c r="AZ1286" s="454"/>
      <c r="BA1286" s="1267"/>
      <c r="BC1286" s="169"/>
    </row>
    <row r="1287" spans="19:55">
      <c r="S1287" s="454"/>
      <c r="AN1287" s="454"/>
      <c r="AY1287" s="454"/>
      <c r="AZ1287" s="454"/>
      <c r="BA1287" s="1267"/>
      <c r="BC1287" s="169"/>
    </row>
    <row r="1288" spans="19:55">
      <c r="S1288" s="454"/>
      <c r="AN1288" s="454"/>
      <c r="AY1288" s="454"/>
      <c r="AZ1288" s="454"/>
      <c r="BA1288" s="1267"/>
      <c r="BC1288" s="169"/>
    </row>
    <row r="1289" spans="19:55">
      <c r="S1289" s="454"/>
      <c r="AN1289" s="454"/>
      <c r="AY1289" s="454"/>
      <c r="AZ1289" s="454"/>
      <c r="BA1289" s="1267"/>
      <c r="BC1289" s="169"/>
    </row>
    <row r="1290" spans="19:55">
      <c r="S1290" s="454"/>
      <c r="AN1290" s="454"/>
      <c r="AY1290" s="454"/>
      <c r="AZ1290" s="454"/>
      <c r="BA1290" s="1267"/>
      <c r="BC1290" s="169"/>
    </row>
    <row r="1291" spans="19:55">
      <c r="S1291" s="454"/>
      <c r="AN1291" s="454"/>
      <c r="AY1291" s="454"/>
      <c r="AZ1291" s="454"/>
      <c r="BA1291" s="1267"/>
      <c r="BC1291" s="169"/>
    </row>
    <row r="1292" spans="19:55">
      <c r="S1292" s="454"/>
      <c r="AN1292" s="454"/>
      <c r="AY1292" s="454"/>
      <c r="AZ1292" s="454"/>
      <c r="BA1292" s="1267"/>
      <c r="BC1292" s="169"/>
    </row>
    <row r="1293" spans="19:55">
      <c r="S1293" s="454"/>
      <c r="AN1293" s="454"/>
      <c r="AY1293" s="454"/>
      <c r="AZ1293" s="454"/>
      <c r="BA1293" s="1267"/>
      <c r="BC1293" s="169"/>
    </row>
    <row r="1294" spans="19:55">
      <c r="S1294" s="454"/>
      <c r="AN1294" s="454"/>
      <c r="AY1294" s="454"/>
      <c r="AZ1294" s="454"/>
      <c r="BA1294" s="1267"/>
      <c r="BC1294" s="169"/>
    </row>
    <row r="1295" spans="19:55">
      <c r="S1295" s="454"/>
      <c r="AN1295" s="454"/>
      <c r="AY1295" s="454"/>
      <c r="AZ1295" s="454"/>
      <c r="BC1295" s="169"/>
    </row>
    <row r="1296" spans="19:55">
      <c r="S1296" s="454"/>
      <c r="AN1296" s="454"/>
      <c r="AY1296" s="454"/>
      <c r="AZ1296" s="454"/>
      <c r="BC1296" s="169"/>
    </row>
    <row r="1297" spans="19:55">
      <c r="S1297" s="454"/>
      <c r="AN1297" s="454"/>
      <c r="AY1297" s="454"/>
      <c r="AZ1297" s="454"/>
      <c r="BC1297" s="169"/>
    </row>
    <row r="1298" spans="19:55">
      <c r="S1298" s="454"/>
      <c r="AN1298" s="454"/>
      <c r="AY1298" s="454"/>
      <c r="AZ1298" s="454"/>
      <c r="BC1298" s="169"/>
    </row>
    <row r="1299" spans="19:55">
      <c r="S1299" s="454"/>
      <c r="AN1299" s="454"/>
      <c r="AY1299" s="454"/>
      <c r="AZ1299" s="454"/>
      <c r="BC1299" s="169"/>
    </row>
    <row r="1300" spans="19:55">
      <c r="S1300" s="454"/>
      <c r="AN1300" s="454"/>
      <c r="AY1300" s="454"/>
      <c r="AZ1300" s="454"/>
      <c r="BC1300" s="169"/>
    </row>
    <row r="1301" spans="19:55">
      <c r="S1301" s="454"/>
      <c r="AN1301" s="454"/>
      <c r="AY1301" s="454"/>
      <c r="AZ1301" s="454"/>
      <c r="BC1301" s="169"/>
    </row>
    <row r="1302" spans="19:55">
      <c r="S1302" s="454"/>
      <c r="AN1302" s="454"/>
      <c r="AY1302" s="454"/>
      <c r="AZ1302" s="454"/>
      <c r="BC1302" s="169"/>
    </row>
    <row r="1303" spans="19:55">
      <c r="S1303" s="454"/>
      <c r="AN1303" s="454"/>
      <c r="AY1303" s="454"/>
      <c r="AZ1303" s="454"/>
      <c r="BC1303" s="169"/>
    </row>
    <row r="1304" spans="19:55">
      <c r="S1304" s="454"/>
      <c r="AN1304" s="454"/>
      <c r="AY1304" s="454"/>
      <c r="AZ1304" s="454"/>
      <c r="BC1304" s="169"/>
    </row>
    <row r="1305" spans="19:55">
      <c r="S1305" s="454"/>
      <c r="AN1305" s="454"/>
      <c r="AY1305" s="454"/>
      <c r="AZ1305" s="454"/>
      <c r="BC1305" s="169"/>
    </row>
    <row r="1306" spans="19:55">
      <c r="S1306" s="454"/>
      <c r="AN1306" s="454"/>
      <c r="AY1306" s="454"/>
      <c r="AZ1306" s="454"/>
      <c r="BC1306" s="169"/>
    </row>
    <row r="1307" spans="19:55">
      <c r="S1307" s="454"/>
      <c r="AN1307" s="454"/>
      <c r="BC1307" s="169"/>
    </row>
    <row r="1308" spans="19:55">
      <c r="S1308" s="454"/>
      <c r="AN1308" s="454"/>
      <c r="BC1308" s="169"/>
    </row>
    <row r="1309" spans="19:55">
      <c r="S1309" s="454"/>
      <c r="AN1309" s="454"/>
      <c r="BC1309" s="169"/>
    </row>
    <row r="1310" spans="19:55">
      <c r="S1310" s="454"/>
      <c r="AN1310" s="454"/>
      <c r="BC1310" s="169"/>
    </row>
    <row r="1311" spans="19:55">
      <c r="S1311" s="454"/>
      <c r="AN1311" s="454"/>
      <c r="BC1311" s="169"/>
    </row>
    <row r="1312" spans="19:55">
      <c r="S1312" s="454"/>
      <c r="AN1312" s="454"/>
      <c r="BC1312" s="169"/>
    </row>
    <row r="1313" spans="19:55">
      <c r="S1313" s="454"/>
      <c r="AN1313" s="454"/>
      <c r="BC1313" s="169"/>
    </row>
    <row r="1314" spans="19:55">
      <c r="S1314" s="454"/>
      <c r="AN1314" s="454"/>
      <c r="BC1314" s="169"/>
    </row>
    <row r="1315" spans="19:55">
      <c r="S1315" s="454"/>
      <c r="AN1315" s="454"/>
      <c r="BC1315" s="169"/>
    </row>
    <row r="1316" spans="19:55">
      <c r="S1316" s="454"/>
      <c r="AN1316" s="454"/>
      <c r="BC1316" s="169"/>
    </row>
    <row r="1317" spans="19:55">
      <c r="S1317" s="454"/>
      <c r="AN1317" s="454"/>
      <c r="BC1317" s="169"/>
    </row>
    <row r="1318" spans="19:55">
      <c r="S1318" s="454"/>
      <c r="AN1318" s="454"/>
      <c r="BC1318" s="169"/>
    </row>
    <row r="1319" spans="19:55">
      <c r="S1319" s="454"/>
      <c r="AN1319" s="454"/>
      <c r="BC1319" s="169"/>
    </row>
    <row r="1320" spans="19:55">
      <c r="S1320" s="454"/>
      <c r="AN1320" s="454"/>
      <c r="BC1320" s="169"/>
    </row>
    <row r="1321" spans="19:55">
      <c r="S1321" s="454"/>
      <c r="AN1321" s="454"/>
      <c r="BC1321" s="169"/>
    </row>
    <row r="1322" spans="19:55">
      <c r="S1322" s="454"/>
      <c r="AN1322" s="454"/>
      <c r="BC1322" s="169"/>
    </row>
    <row r="1323" spans="19:55">
      <c r="S1323" s="454"/>
      <c r="AN1323" s="454"/>
      <c r="BC1323" s="169"/>
    </row>
    <row r="1324" spans="19:55">
      <c r="S1324" s="454"/>
      <c r="AN1324" s="454"/>
      <c r="BC1324" s="169"/>
    </row>
    <row r="1325" spans="19:55">
      <c r="S1325" s="454"/>
      <c r="AN1325" s="454"/>
      <c r="BC1325" s="169"/>
    </row>
    <row r="1326" spans="19:55">
      <c r="S1326" s="454"/>
      <c r="AN1326" s="454"/>
      <c r="BC1326" s="169"/>
    </row>
    <row r="1327" spans="19:55">
      <c r="S1327" s="454"/>
      <c r="AN1327" s="454"/>
      <c r="BC1327" s="169"/>
    </row>
    <row r="1328" spans="19:55">
      <c r="S1328" s="454"/>
      <c r="AN1328" s="454"/>
      <c r="BC1328" s="169"/>
    </row>
    <row r="1329" spans="19:55">
      <c r="S1329" s="454"/>
      <c r="AN1329" s="454"/>
      <c r="BC1329" s="169"/>
    </row>
    <row r="1330" spans="19:55">
      <c r="S1330" s="454"/>
      <c r="AN1330" s="454"/>
      <c r="BC1330" s="169"/>
    </row>
    <row r="1331" spans="19:55">
      <c r="S1331" s="454"/>
      <c r="AN1331" s="454"/>
      <c r="BC1331" s="169"/>
    </row>
    <row r="1332" spans="19:55">
      <c r="S1332" s="454"/>
      <c r="AN1332" s="454"/>
      <c r="BC1332" s="169"/>
    </row>
    <row r="1333" spans="19:55">
      <c r="S1333" s="454"/>
      <c r="AN1333" s="454"/>
      <c r="BC1333" s="169"/>
    </row>
    <row r="1334" spans="19:55">
      <c r="S1334" s="454"/>
      <c r="AN1334" s="454"/>
      <c r="BC1334" s="169"/>
    </row>
    <row r="1335" spans="19:55">
      <c r="S1335" s="454"/>
      <c r="AN1335" s="454"/>
      <c r="BC1335" s="169"/>
    </row>
    <row r="1336" spans="19:55">
      <c r="S1336" s="454"/>
      <c r="AN1336" s="454"/>
      <c r="BC1336" s="169"/>
    </row>
    <row r="1337" spans="19:55">
      <c r="S1337" s="454"/>
      <c r="AN1337" s="454"/>
      <c r="BC1337" s="169"/>
    </row>
    <row r="1338" spans="19:55">
      <c r="S1338" s="454"/>
      <c r="AN1338" s="454"/>
      <c r="BC1338" s="169"/>
    </row>
    <row r="1339" spans="19:55">
      <c r="S1339" s="454"/>
      <c r="AN1339" s="454"/>
      <c r="BC1339" s="169"/>
    </row>
    <row r="1340" spans="19:55">
      <c r="S1340" s="454"/>
      <c r="AN1340" s="454"/>
      <c r="BC1340" s="169"/>
    </row>
    <row r="1341" spans="19:55">
      <c r="S1341" s="454"/>
      <c r="AN1341" s="454"/>
      <c r="BC1341" s="169"/>
    </row>
    <row r="1342" spans="19:55">
      <c r="S1342" s="454"/>
      <c r="AN1342" s="454"/>
      <c r="BC1342" s="169"/>
    </row>
    <row r="1343" spans="19:55">
      <c r="S1343" s="454"/>
      <c r="AN1343" s="454"/>
      <c r="BC1343" s="169"/>
    </row>
    <row r="1344" spans="19:55">
      <c r="S1344" s="454"/>
      <c r="AN1344" s="454"/>
      <c r="BC1344" s="169"/>
    </row>
    <row r="1345" spans="19:55">
      <c r="S1345" s="454"/>
      <c r="AN1345" s="454"/>
      <c r="BC1345" s="169"/>
    </row>
    <row r="1346" spans="19:55">
      <c r="S1346" s="454"/>
      <c r="AN1346" s="454"/>
      <c r="BC1346" s="169"/>
    </row>
    <row r="1347" spans="19:55">
      <c r="S1347" s="454"/>
      <c r="AN1347" s="454"/>
      <c r="BC1347" s="169"/>
    </row>
    <row r="1348" spans="19:55">
      <c r="S1348" s="454"/>
      <c r="AN1348" s="454"/>
      <c r="BC1348" s="169"/>
    </row>
    <row r="1349" spans="19:55">
      <c r="S1349" s="454"/>
      <c r="AN1349" s="454"/>
      <c r="BC1349" s="169"/>
    </row>
    <row r="1350" spans="19:55">
      <c r="S1350" s="454"/>
      <c r="AN1350" s="454"/>
      <c r="BC1350" s="169"/>
    </row>
    <row r="1351" spans="19:55">
      <c r="S1351" s="454"/>
      <c r="AN1351" s="454"/>
      <c r="BC1351" s="169"/>
    </row>
    <row r="1352" spans="19:55">
      <c r="S1352" s="454"/>
      <c r="AN1352" s="454"/>
      <c r="BC1352" s="169"/>
    </row>
    <row r="1353" spans="19:55">
      <c r="S1353" s="454"/>
      <c r="AN1353" s="454"/>
      <c r="BC1353" s="169"/>
    </row>
    <row r="1354" spans="19:55">
      <c r="S1354" s="454"/>
      <c r="AN1354" s="454"/>
      <c r="BC1354" s="169"/>
    </row>
    <row r="1355" spans="19:55">
      <c r="S1355" s="454"/>
      <c r="AN1355" s="454"/>
      <c r="BC1355" s="169"/>
    </row>
    <row r="1356" spans="19:55">
      <c r="S1356" s="454"/>
      <c r="AN1356" s="454"/>
      <c r="BC1356" s="169"/>
    </row>
    <row r="1357" spans="19:55">
      <c r="S1357" s="454"/>
      <c r="AN1357" s="454"/>
      <c r="BC1357" s="169"/>
    </row>
    <row r="1358" spans="19:55">
      <c r="S1358" s="454"/>
      <c r="AN1358" s="454"/>
      <c r="BC1358" s="169"/>
    </row>
    <row r="1359" spans="19:55">
      <c r="S1359" s="454"/>
      <c r="AN1359" s="454"/>
      <c r="BC1359" s="169"/>
    </row>
    <row r="1360" spans="19:55">
      <c r="S1360" s="454"/>
      <c r="AN1360" s="454"/>
      <c r="BC1360" s="169"/>
    </row>
    <row r="1361" spans="19:55">
      <c r="S1361" s="454"/>
      <c r="AN1361" s="454"/>
      <c r="BC1361" s="169"/>
    </row>
    <row r="1362" spans="19:55">
      <c r="S1362" s="454"/>
      <c r="AN1362" s="454"/>
      <c r="BC1362" s="169"/>
    </row>
    <row r="1363" spans="19:55">
      <c r="S1363" s="454"/>
      <c r="AN1363" s="454"/>
      <c r="BC1363" s="169"/>
    </row>
    <row r="1364" spans="19:55">
      <c r="S1364" s="454"/>
      <c r="AN1364" s="454"/>
      <c r="BC1364" s="169"/>
    </row>
    <row r="1365" spans="19:55">
      <c r="S1365" s="454"/>
      <c r="AN1365" s="454"/>
      <c r="BC1365" s="169"/>
    </row>
    <row r="1366" spans="19:55">
      <c r="S1366" s="454"/>
      <c r="AN1366" s="454"/>
      <c r="BC1366" s="169"/>
    </row>
    <row r="1367" spans="19:55">
      <c r="S1367" s="454"/>
      <c r="AN1367" s="454"/>
      <c r="BC1367" s="169"/>
    </row>
    <row r="1368" spans="19:55">
      <c r="S1368" s="454"/>
      <c r="AN1368" s="454"/>
      <c r="BC1368" s="169"/>
    </row>
    <row r="1369" spans="19:55">
      <c r="S1369" s="454"/>
      <c r="AN1369" s="454"/>
      <c r="BC1369" s="169"/>
    </row>
    <row r="1370" spans="19:55">
      <c r="S1370" s="454"/>
      <c r="AN1370" s="454"/>
      <c r="BC1370" s="169"/>
    </row>
    <row r="1371" spans="19:55">
      <c r="S1371" s="454"/>
      <c r="AN1371" s="454"/>
      <c r="BC1371" s="169"/>
    </row>
    <row r="1372" spans="19:55">
      <c r="S1372" s="454"/>
      <c r="AN1372" s="454"/>
      <c r="BC1372" s="169"/>
    </row>
    <row r="1373" spans="19:55">
      <c r="S1373" s="454"/>
      <c r="AN1373" s="454"/>
      <c r="BC1373" s="169"/>
    </row>
    <row r="1374" spans="19:55">
      <c r="S1374" s="454"/>
      <c r="AN1374" s="454"/>
      <c r="BC1374" s="169"/>
    </row>
    <row r="1375" spans="19:55">
      <c r="S1375" s="454"/>
      <c r="AN1375" s="454"/>
      <c r="BC1375" s="169"/>
    </row>
    <row r="1376" spans="19:55">
      <c r="S1376" s="454"/>
      <c r="AN1376" s="454"/>
      <c r="BC1376" s="169"/>
    </row>
    <row r="1377" spans="19:55">
      <c r="S1377" s="454"/>
      <c r="AN1377" s="454"/>
      <c r="BC1377" s="169"/>
    </row>
    <row r="1378" spans="19:55">
      <c r="S1378" s="454"/>
      <c r="AN1378" s="454"/>
      <c r="BC1378" s="169"/>
    </row>
    <row r="1379" spans="19:55">
      <c r="S1379" s="454"/>
      <c r="AN1379" s="454"/>
      <c r="BC1379" s="169"/>
    </row>
    <row r="1380" spans="19:55">
      <c r="S1380" s="454"/>
      <c r="AN1380" s="454"/>
      <c r="BC1380" s="169"/>
    </row>
    <row r="1381" spans="19:55">
      <c r="S1381" s="454"/>
      <c r="AN1381" s="454"/>
      <c r="BC1381" s="169"/>
    </row>
    <row r="1382" spans="19:55">
      <c r="S1382" s="454"/>
      <c r="AN1382" s="454"/>
      <c r="BC1382" s="169"/>
    </row>
    <row r="1383" spans="19:55">
      <c r="S1383" s="454"/>
      <c r="AN1383" s="454"/>
      <c r="BC1383" s="169"/>
    </row>
    <row r="1384" spans="19:55">
      <c r="S1384" s="454"/>
      <c r="AN1384" s="454"/>
      <c r="BC1384" s="169"/>
    </row>
    <row r="1385" spans="19:55">
      <c r="S1385" s="454"/>
      <c r="AN1385" s="454"/>
      <c r="BC1385" s="169"/>
    </row>
    <row r="1386" spans="19:55">
      <c r="S1386" s="454"/>
      <c r="AN1386" s="454"/>
      <c r="BC1386" s="169"/>
    </row>
    <row r="1387" spans="19:55">
      <c r="S1387" s="454"/>
      <c r="AN1387" s="454"/>
      <c r="BC1387" s="169"/>
    </row>
    <row r="1388" spans="19:55">
      <c r="S1388" s="454"/>
      <c r="AN1388" s="454"/>
      <c r="BC1388" s="169"/>
    </row>
    <row r="1389" spans="19:55">
      <c r="S1389" s="454"/>
      <c r="AN1389" s="454"/>
      <c r="BC1389" s="169"/>
    </row>
    <row r="1390" spans="19:55">
      <c r="S1390" s="454"/>
      <c r="AN1390" s="454"/>
      <c r="BC1390" s="169"/>
    </row>
    <row r="1391" spans="19:55">
      <c r="S1391" s="454"/>
      <c r="AN1391" s="454"/>
      <c r="BC1391" s="169"/>
    </row>
    <row r="1392" spans="19:55">
      <c r="S1392" s="454"/>
      <c r="AN1392" s="454"/>
      <c r="BC1392" s="169"/>
    </row>
    <row r="1393" spans="19:55">
      <c r="S1393" s="454"/>
      <c r="AN1393" s="454"/>
      <c r="BC1393" s="169"/>
    </row>
    <row r="1394" spans="19:55">
      <c r="S1394" s="454"/>
      <c r="AN1394" s="454"/>
      <c r="BC1394" s="169"/>
    </row>
    <row r="1395" spans="19:55">
      <c r="S1395" s="454"/>
      <c r="AN1395" s="454"/>
      <c r="BC1395" s="169"/>
    </row>
    <row r="1396" spans="19:55">
      <c r="S1396" s="454"/>
      <c r="AN1396" s="454"/>
      <c r="BC1396" s="169"/>
    </row>
    <row r="1397" spans="19:55">
      <c r="S1397" s="454"/>
      <c r="AN1397" s="454"/>
      <c r="BC1397" s="169"/>
    </row>
    <row r="1398" spans="19:55">
      <c r="S1398" s="454"/>
      <c r="AN1398" s="454"/>
      <c r="BC1398" s="169"/>
    </row>
    <row r="1399" spans="19:55">
      <c r="S1399" s="454"/>
      <c r="AN1399" s="454"/>
      <c r="BC1399" s="169"/>
    </row>
    <row r="1400" spans="19:55">
      <c r="S1400" s="454"/>
      <c r="AN1400" s="454"/>
      <c r="BC1400" s="169"/>
    </row>
    <row r="1401" spans="19:55">
      <c r="S1401" s="454"/>
      <c r="AN1401" s="454"/>
      <c r="BC1401" s="169"/>
    </row>
    <row r="1402" spans="19:55">
      <c r="S1402" s="454"/>
      <c r="AN1402" s="454"/>
      <c r="BC1402" s="169"/>
    </row>
    <row r="1403" spans="19:55">
      <c r="S1403" s="454"/>
      <c r="AN1403" s="454"/>
      <c r="BC1403" s="169"/>
    </row>
    <row r="1404" spans="19:55">
      <c r="S1404" s="454"/>
      <c r="AN1404" s="454"/>
      <c r="BC1404" s="169"/>
    </row>
    <row r="1405" spans="19:55">
      <c r="S1405" s="454"/>
      <c r="AN1405" s="454"/>
      <c r="BC1405" s="169"/>
    </row>
    <row r="1406" spans="19:55">
      <c r="S1406" s="454"/>
      <c r="AN1406" s="454"/>
      <c r="BC1406" s="169"/>
    </row>
    <row r="1407" spans="19:55">
      <c r="S1407" s="454"/>
      <c r="AN1407" s="454"/>
      <c r="BC1407" s="169"/>
    </row>
    <row r="1408" spans="19:55">
      <c r="S1408" s="454"/>
      <c r="AN1408" s="454"/>
      <c r="BC1408" s="169"/>
    </row>
    <row r="1409" spans="19:55">
      <c r="S1409" s="454"/>
      <c r="AN1409" s="454"/>
      <c r="BC1409" s="169"/>
    </row>
    <row r="1410" spans="19:55">
      <c r="S1410" s="454"/>
      <c r="AN1410" s="454"/>
      <c r="BC1410" s="169"/>
    </row>
    <row r="1411" spans="19:55">
      <c r="S1411" s="454"/>
      <c r="AN1411" s="454"/>
      <c r="BC1411" s="169"/>
    </row>
    <row r="1412" spans="19:55">
      <c r="S1412" s="454"/>
      <c r="AN1412" s="454"/>
      <c r="BC1412" s="169"/>
    </row>
    <row r="1413" spans="19:55">
      <c r="S1413" s="454"/>
      <c r="AN1413" s="454"/>
      <c r="BC1413" s="169"/>
    </row>
    <row r="1414" spans="19:55">
      <c r="S1414" s="454"/>
      <c r="AN1414" s="454"/>
      <c r="BC1414" s="169"/>
    </row>
    <row r="1415" spans="19:55">
      <c r="S1415" s="454"/>
      <c r="AN1415" s="454"/>
      <c r="BC1415" s="169"/>
    </row>
    <row r="1416" spans="19:55">
      <c r="S1416" s="454"/>
      <c r="AN1416" s="454"/>
      <c r="BC1416" s="169"/>
    </row>
    <row r="1417" spans="19:55">
      <c r="S1417" s="454"/>
      <c r="AN1417" s="454"/>
      <c r="BC1417" s="169"/>
    </row>
    <row r="1418" spans="19:55">
      <c r="S1418" s="454"/>
      <c r="AN1418" s="454"/>
      <c r="BC1418" s="169"/>
    </row>
    <row r="1419" spans="19:55">
      <c r="S1419" s="454"/>
      <c r="AN1419" s="454"/>
      <c r="BC1419" s="169"/>
    </row>
    <row r="1420" spans="19:55">
      <c r="S1420" s="454"/>
      <c r="AN1420" s="454"/>
      <c r="BC1420" s="169"/>
    </row>
    <row r="1421" spans="19:55">
      <c r="S1421" s="454"/>
      <c r="AN1421" s="454"/>
      <c r="BC1421" s="169"/>
    </row>
    <row r="1422" spans="19:55">
      <c r="S1422" s="454"/>
      <c r="AN1422" s="454"/>
      <c r="BC1422" s="169"/>
    </row>
    <row r="1423" spans="19:55">
      <c r="S1423" s="454"/>
      <c r="AN1423" s="454"/>
      <c r="BC1423" s="169"/>
    </row>
    <row r="1424" spans="19:55">
      <c r="S1424" s="454"/>
      <c r="AN1424" s="454"/>
      <c r="BC1424" s="169"/>
    </row>
    <row r="1425" spans="19:55">
      <c r="S1425" s="454"/>
      <c r="AN1425" s="454"/>
      <c r="BC1425" s="169"/>
    </row>
    <row r="1426" spans="19:55">
      <c r="S1426" s="454"/>
      <c r="AN1426" s="454"/>
      <c r="BC1426" s="169"/>
    </row>
    <row r="1427" spans="19:55">
      <c r="S1427" s="454"/>
      <c r="AN1427" s="454"/>
      <c r="BC1427" s="169"/>
    </row>
    <row r="1428" spans="19:55">
      <c r="S1428" s="454"/>
      <c r="AN1428" s="454"/>
      <c r="BC1428" s="169"/>
    </row>
    <row r="1429" spans="19:55">
      <c r="S1429" s="454"/>
      <c r="AN1429" s="454"/>
      <c r="BC1429" s="169"/>
    </row>
    <row r="1430" spans="19:55">
      <c r="S1430" s="454"/>
      <c r="AN1430" s="454"/>
      <c r="BC1430" s="169"/>
    </row>
    <row r="1431" spans="19:55">
      <c r="S1431" s="454"/>
      <c r="AN1431" s="454"/>
      <c r="BC1431" s="169"/>
    </row>
    <row r="1432" spans="19:55">
      <c r="S1432" s="454"/>
      <c r="AN1432" s="454"/>
      <c r="BC1432" s="169"/>
    </row>
    <row r="1433" spans="19:55">
      <c r="S1433" s="454"/>
      <c r="AN1433" s="454"/>
      <c r="BC1433" s="169"/>
    </row>
    <row r="1434" spans="19:55">
      <c r="S1434" s="454"/>
      <c r="AN1434" s="454"/>
      <c r="BC1434" s="169"/>
    </row>
    <row r="1435" spans="19:55">
      <c r="S1435" s="454"/>
      <c r="AN1435" s="454"/>
      <c r="BC1435" s="169"/>
    </row>
    <row r="1436" spans="19:55">
      <c r="S1436" s="454"/>
      <c r="AN1436" s="454"/>
      <c r="BC1436" s="169"/>
    </row>
    <row r="1437" spans="19:55">
      <c r="S1437" s="454"/>
      <c r="AN1437" s="454"/>
      <c r="BC1437" s="169"/>
    </row>
    <row r="1438" spans="19:55">
      <c r="S1438" s="454"/>
      <c r="AN1438" s="454"/>
      <c r="BC1438" s="169"/>
    </row>
    <row r="1439" spans="19:55">
      <c r="S1439" s="454"/>
      <c r="AN1439" s="454"/>
      <c r="BC1439" s="169"/>
    </row>
    <row r="1440" spans="19:55">
      <c r="S1440" s="454"/>
      <c r="AN1440" s="454"/>
      <c r="BC1440" s="169"/>
    </row>
    <row r="1441" spans="19:55">
      <c r="S1441" s="454"/>
      <c r="AN1441" s="454"/>
      <c r="BC1441" s="169"/>
    </row>
    <row r="1442" spans="19:55">
      <c r="S1442" s="454"/>
      <c r="AN1442" s="454"/>
      <c r="BC1442" s="169"/>
    </row>
    <row r="1443" spans="19:55">
      <c r="S1443" s="454"/>
      <c r="AN1443" s="454"/>
      <c r="BC1443" s="169"/>
    </row>
    <row r="1444" spans="19:55">
      <c r="S1444" s="454"/>
      <c r="AN1444" s="454"/>
      <c r="BC1444" s="169"/>
    </row>
    <row r="1445" spans="19:55">
      <c r="S1445" s="454"/>
      <c r="AN1445" s="454"/>
      <c r="BC1445" s="169"/>
    </row>
    <row r="1446" spans="19:55">
      <c r="S1446" s="454"/>
      <c r="AN1446" s="454"/>
      <c r="BC1446" s="169"/>
    </row>
    <row r="1447" spans="19:55">
      <c r="S1447" s="454"/>
      <c r="AN1447" s="454"/>
      <c r="BC1447" s="169"/>
    </row>
    <row r="1448" spans="19:55">
      <c r="S1448" s="454"/>
      <c r="AN1448" s="454"/>
      <c r="BC1448" s="169"/>
    </row>
    <row r="1449" spans="19:55">
      <c r="S1449" s="454"/>
      <c r="AN1449" s="454"/>
      <c r="BC1449" s="169"/>
    </row>
    <row r="1450" spans="19:55">
      <c r="S1450" s="454"/>
      <c r="AN1450" s="454"/>
      <c r="BC1450" s="169"/>
    </row>
    <row r="1451" spans="19:55">
      <c r="S1451" s="454"/>
      <c r="AN1451" s="454"/>
      <c r="BC1451" s="169"/>
    </row>
    <row r="1452" spans="19:55">
      <c r="S1452" s="454"/>
      <c r="AN1452" s="454"/>
      <c r="BC1452" s="169"/>
    </row>
    <row r="1453" spans="19:55">
      <c r="S1453" s="454"/>
      <c r="AN1453" s="454"/>
      <c r="BC1453" s="169"/>
    </row>
    <row r="1454" spans="19:55">
      <c r="S1454" s="454"/>
      <c r="AN1454" s="454"/>
      <c r="BC1454" s="169"/>
    </row>
    <row r="1455" spans="19:55">
      <c r="S1455" s="454"/>
      <c r="AN1455" s="454"/>
      <c r="BC1455" s="169"/>
    </row>
    <row r="1456" spans="19:55">
      <c r="S1456" s="454"/>
      <c r="AN1456" s="454"/>
      <c r="BC1456" s="169"/>
    </row>
    <row r="1457" spans="19:55">
      <c r="S1457" s="454"/>
      <c r="AN1457" s="454"/>
      <c r="BC1457" s="169"/>
    </row>
    <row r="1458" spans="19:55">
      <c r="S1458" s="454"/>
      <c r="AN1458" s="454"/>
      <c r="BC1458" s="169"/>
    </row>
    <row r="1459" spans="19:55">
      <c r="S1459" s="454"/>
      <c r="AN1459" s="454"/>
      <c r="BC1459" s="169"/>
    </row>
    <row r="1460" spans="19:55">
      <c r="S1460" s="454"/>
      <c r="AN1460" s="454"/>
      <c r="BC1460" s="169"/>
    </row>
    <row r="1461" spans="19:55">
      <c r="S1461" s="454"/>
      <c r="AN1461" s="454"/>
      <c r="BC1461" s="169"/>
    </row>
    <row r="1462" spans="19:55">
      <c r="S1462" s="454"/>
      <c r="AN1462" s="454"/>
      <c r="BC1462" s="169"/>
    </row>
    <row r="1463" spans="19:55">
      <c r="S1463" s="454"/>
      <c r="AN1463" s="454"/>
      <c r="BC1463" s="169"/>
    </row>
    <row r="1464" spans="19:55">
      <c r="S1464" s="454"/>
      <c r="AN1464" s="454"/>
      <c r="BC1464" s="169"/>
    </row>
    <row r="1465" spans="19:55">
      <c r="S1465" s="454"/>
      <c r="AN1465" s="454"/>
      <c r="BC1465" s="169"/>
    </row>
    <row r="1466" spans="19:55">
      <c r="S1466" s="454"/>
      <c r="AN1466" s="454"/>
      <c r="BC1466" s="169"/>
    </row>
    <row r="1467" spans="19:55">
      <c r="S1467" s="454"/>
      <c r="AN1467" s="454"/>
      <c r="BC1467" s="169"/>
    </row>
    <row r="1468" spans="19:55">
      <c r="S1468" s="454"/>
      <c r="AN1468" s="454"/>
      <c r="BC1468" s="169"/>
    </row>
    <row r="1469" spans="19:55">
      <c r="S1469" s="454"/>
      <c r="AN1469" s="454"/>
      <c r="BC1469" s="169"/>
    </row>
    <row r="1470" spans="19:55">
      <c r="S1470" s="454"/>
      <c r="AN1470" s="454"/>
      <c r="BC1470" s="169"/>
    </row>
    <row r="1471" spans="19:55">
      <c r="S1471" s="454"/>
      <c r="AN1471" s="454"/>
      <c r="BC1471" s="169"/>
    </row>
    <row r="1472" spans="19:55">
      <c r="S1472" s="454"/>
      <c r="AN1472" s="454"/>
      <c r="BC1472" s="169"/>
    </row>
    <row r="1473" spans="19:55">
      <c r="S1473" s="454"/>
      <c r="AN1473" s="454"/>
      <c r="BC1473" s="169"/>
    </row>
    <row r="1474" spans="19:55">
      <c r="S1474" s="454"/>
      <c r="AN1474" s="454"/>
      <c r="BC1474" s="169"/>
    </row>
    <row r="1475" spans="19:55">
      <c r="S1475" s="454"/>
      <c r="AN1475" s="454"/>
      <c r="BC1475" s="169"/>
    </row>
    <row r="1476" spans="19:55">
      <c r="S1476" s="454"/>
      <c r="AN1476" s="454"/>
      <c r="BC1476" s="169"/>
    </row>
    <row r="1477" spans="19:55">
      <c r="S1477" s="454"/>
      <c r="AN1477" s="454"/>
      <c r="BC1477" s="169"/>
    </row>
    <row r="1478" spans="19:55">
      <c r="S1478" s="454"/>
      <c r="AN1478" s="454"/>
      <c r="BC1478" s="169"/>
    </row>
    <row r="1479" spans="19:55">
      <c r="S1479" s="454"/>
      <c r="AN1479" s="454"/>
      <c r="BC1479" s="169"/>
    </row>
    <row r="1480" spans="19:55">
      <c r="S1480" s="454"/>
      <c r="AN1480" s="454"/>
      <c r="BC1480" s="169"/>
    </row>
    <row r="1481" spans="19:55">
      <c r="S1481" s="454"/>
      <c r="AN1481" s="454"/>
      <c r="BC1481" s="169"/>
    </row>
    <row r="1482" spans="19:55">
      <c r="S1482" s="454"/>
      <c r="AN1482" s="454"/>
      <c r="BC1482" s="169"/>
    </row>
    <row r="1483" spans="19:55">
      <c r="S1483" s="454"/>
      <c r="AN1483" s="454"/>
      <c r="BC1483" s="169"/>
    </row>
    <row r="1484" spans="19:55">
      <c r="S1484" s="454"/>
      <c r="AN1484" s="454"/>
      <c r="BC1484" s="169"/>
    </row>
    <row r="1485" spans="19:55">
      <c r="S1485" s="454"/>
      <c r="AN1485" s="454"/>
      <c r="BC1485" s="169"/>
    </row>
    <row r="1486" spans="19:55">
      <c r="S1486" s="454"/>
      <c r="AN1486" s="454"/>
      <c r="BC1486" s="169"/>
    </row>
    <row r="1487" spans="19:55">
      <c r="S1487" s="454"/>
      <c r="AN1487" s="454"/>
      <c r="BC1487" s="169"/>
    </row>
    <row r="1488" spans="19:55">
      <c r="S1488" s="454"/>
      <c r="AN1488" s="454"/>
      <c r="BC1488" s="169"/>
    </row>
    <row r="1489" spans="19:55">
      <c r="S1489" s="454"/>
      <c r="AN1489" s="454"/>
      <c r="BC1489" s="169"/>
    </row>
    <row r="1490" spans="19:55">
      <c r="S1490" s="454"/>
      <c r="AN1490" s="454"/>
      <c r="BC1490" s="169"/>
    </row>
    <row r="1491" spans="19:55">
      <c r="S1491" s="454"/>
      <c r="AN1491" s="454"/>
      <c r="BC1491" s="169"/>
    </row>
    <row r="1492" spans="19:55">
      <c r="S1492" s="454"/>
      <c r="AN1492" s="454"/>
      <c r="BC1492" s="169"/>
    </row>
    <row r="1493" spans="19:55">
      <c r="S1493" s="454"/>
      <c r="AN1493" s="454"/>
      <c r="BC1493" s="169"/>
    </row>
    <row r="1494" spans="19:55">
      <c r="AN1494" s="454"/>
      <c r="BC1494" s="169"/>
    </row>
    <row r="1495" spans="19:55">
      <c r="AN1495" s="454"/>
      <c r="BC1495" s="169"/>
    </row>
    <row r="1496" spans="19:55">
      <c r="AN1496" s="454"/>
      <c r="BC1496" s="169"/>
    </row>
    <row r="1497" spans="19:55">
      <c r="AN1497" s="454"/>
      <c r="BC1497" s="169"/>
    </row>
    <row r="1498" spans="19:55">
      <c r="AN1498" s="454"/>
      <c r="BC1498" s="169"/>
    </row>
    <row r="1499" spans="19:55">
      <c r="AN1499" s="454"/>
      <c r="BC1499" s="169"/>
    </row>
    <row r="1500" spans="19:55">
      <c r="AN1500" s="454"/>
      <c r="BC1500" s="169"/>
    </row>
    <row r="1501" spans="19:55">
      <c r="AN1501" s="454"/>
      <c r="BC1501" s="169"/>
    </row>
    <row r="1502" spans="19:55">
      <c r="AN1502" s="454"/>
      <c r="BC1502" s="169"/>
    </row>
    <row r="1503" spans="19:55">
      <c r="AN1503" s="454"/>
      <c r="BC1503" s="169"/>
    </row>
    <row r="1504" spans="19:55">
      <c r="AN1504" s="454"/>
      <c r="BC1504" s="169"/>
    </row>
    <row r="1505" spans="40:55">
      <c r="AN1505" s="454"/>
      <c r="BC1505" s="169"/>
    </row>
    <row r="1506" spans="40:55">
      <c r="AN1506" s="454"/>
      <c r="BC1506" s="169"/>
    </row>
    <row r="1507" spans="40:55">
      <c r="AN1507" s="454"/>
      <c r="BC1507" s="169"/>
    </row>
    <row r="1508" spans="40:55">
      <c r="AN1508" s="454"/>
      <c r="BC1508" s="169"/>
    </row>
    <row r="1509" spans="40:55">
      <c r="AN1509" s="454"/>
      <c r="BC1509" s="169"/>
    </row>
    <row r="1510" spans="40:55">
      <c r="AN1510" s="454"/>
      <c r="BC1510" s="169"/>
    </row>
    <row r="1511" spans="40:55">
      <c r="AN1511" s="454"/>
      <c r="BC1511" s="169"/>
    </row>
    <row r="1512" spans="40:55">
      <c r="AN1512" s="454"/>
      <c r="BC1512" s="169"/>
    </row>
    <row r="1513" spans="40:55">
      <c r="AN1513" s="454"/>
      <c r="BC1513" s="169"/>
    </row>
    <row r="1514" spans="40:55">
      <c r="AN1514" s="454"/>
      <c r="BC1514" s="169"/>
    </row>
    <row r="1515" spans="40:55">
      <c r="AN1515" s="454"/>
      <c r="BC1515" s="169"/>
    </row>
    <row r="1516" spans="40:55">
      <c r="AN1516" s="454"/>
      <c r="BC1516" s="169"/>
    </row>
    <row r="1517" spans="40:55">
      <c r="AN1517" s="454"/>
      <c r="BC1517" s="169"/>
    </row>
    <row r="1518" spans="40:55">
      <c r="AN1518" s="454"/>
      <c r="BC1518" s="169"/>
    </row>
    <row r="1519" spans="40:55">
      <c r="AN1519" s="454"/>
      <c r="BC1519" s="169"/>
    </row>
    <row r="1520" spans="40:55">
      <c r="AN1520" s="454"/>
      <c r="BC1520" s="169"/>
    </row>
    <row r="1521" spans="40:55">
      <c r="AN1521" s="454"/>
      <c r="BC1521" s="169"/>
    </row>
    <row r="1522" spans="40:55">
      <c r="AN1522" s="454"/>
      <c r="BC1522" s="169"/>
    </row>
    <row r="1523" spans="40:55">
      <c r="AN1523" s="454"/>
      <c r="BC1523" s="169"/>
    </row>
    <row r="1524" spans="40:55">
      <c r="AN1524" s="454"/>
      <c r="BC1524" s="169"/>
    </row>
    <row r="1525" spans="40:55">
      <c r="AN1525" s="454"/>
      <c r="BC1525" s="169"/>
    </row>
    <row r="1526" spans="40:55">
      <c r="AN1526" s="454"/>
      <c r="BC1526" s="169"/>
    </row>
    <row r="1527" spans="40:55">
      <c r="AN1527" s="454"/>
      <c r="BC1527" s="169"/>
    </row>
    <row r="1528" spans="40:55">
      <c r="AN1528" s="454"/>
      <c r="BC1528" s="169"/>
    </row>
    <row r="1529" spans="40:55">
      <c r="AN1529" s="454"/>
      <c r="BC1529" s="169"/>
    </row>
    <row r="1530" spans="40:55">
      <c r="AN1530" s="454"/>
      <c r="BC1530" s="169"/>
    </row>
    <row r="1531" spans="40:55">
      <c r="AN1531" s="454"/>
      <c r="BC1531" s="169"/>
    </row>
    <row r="1532" spans="40:55">
      <c r="AN1532" s="454"/>
      <c r="BC1532" s="169"/>
    </row>
    <row r="1533" spans="40:55">
      <c r="AN1533" s="454"/>
      <c r="BC1533" s="169"/>
    </row>
    <row r="1534" spans="40:55">
      <c r="AN1534" s="454"/>
      <c r="BC1534" s="169"/>
    </row>
    <row r="1535" spans="40:55">
      <c r="AN1535" s="454"/>
      <c r="BC1535" s="169"/>
    </row>
    <row r="1536" spans="40:55">
      <c r="AN1536" s="454"/>
      <c r="BC1536" s="169"/>
    </row>
    <row r="1537" spans="40:55">
      <c r="AN1537" s="454"/>
      <c r="BC1537" s="169"/>
    </row>
    <row r="1538" spans="40:55">
      <c r="AN1538" s="454"/>
      <c r="BC1538" s="169"/>
    </row>
    <row r="1539" spans="40:55">
      <c r="AN1539" s="454"/>
      <c r="BC1539" s="169"/>
    </row>
    <row r="1540" spans="40:55">
      <c r="AN1540" s="454"/>
      <c r="BC1540" s="169"/>
    </row>
    <row r="1541" spans="40:55">
      <c r="AN1541" s="454"/>
      <c r="BC1541" s="169"/>
    </row>
    <row r="1542" spans="40:55">
      <c r="AN1542" s="454"/>
      <c r="BC1542" s="169"/>
    </row>
    <row r="1543" spans="40:55">
      <c r="AN1543" s="454"/>
      <c r="BC1543" s="169"/>
    </row>
    <row r="1544" spans="40:55">
      <c r="AN1544" s="454"/>
      <c r="BC1544" s="169"/>
    </row>
    <row r="1545" spans="40:55">
      <c r="AN1545" s="454"/>
      <c r="BC1545" s="169"/>
    </row>
    <row r="1546" spans="40:55">
      <c r="AN1546" s="454"/>
      <c r="BC1546" s="169"/>
    </row>
    <row r="1547" spans="40:55">
      <c r="AN1547" s="454"/>
      <c r="BC1547" s="169"/>
    </row>
    <row r="1548" spans="40:55">
      <c r="AN1548" s="454"/>
      <c r="BC1548" s="169"/>
    </row>
    <row r="1549" spans="40:55">
      <c r="AN1549" s="454"/>
      <c r="BC1549" s="169"/>
    </row>
    <row r="1550" spans="40:55">
      <c r="AN1550" s="454"/>
      <c r="BC1550" s="169"/>
    </row>
    <row r="1551" spans="40:55">
      <c r="AN1551" s="454"/>
      <c r="BC1551" s="169"/>
    </row>
    <row r="1552" spans="40:55">
      <c r="AN1552" s="454"/>
      <c r="BC1552" s="169"/>
    </row>
    <row r="1553" spans="40:55">
      <c r="AN1553" s="454"/>
      <c r="BC1553" s="169"/>
    </row>
    <row r="1554" spans="40:55">
      <c r="AN1554" s="454"/>
      <c r="BC1554" s="169"/>
    </row>
    <row r="1555" spans="40:55">
      <c r="AN1555" s="454"/>
      <c r="BC1555" s="169"/>
    </row>
    <row r="1556" spans="40:55">
      <c r="AN1556" s="454"/>
      <c r="BC1556" s="169"/>
    </row>
    <row r="1557" spans="40:55">
      <c r="AN1557" s="454"/>
      <c r="BC1557" s="169"/>
    </row>
    <row r="1558" spans="40:55">
      <c r="AN1558" s="454"/>
      <c r="BC1558" s="169"/>
    </row>
    <row r="1559" spans="40:55">
      <c r="AN1559" s="454"/>
      <c r="BC1559" s="169"/>
    </row>
    <row r="1560" spans="40:55">
      <c r="AN1560" s="454"/>
      <c r="BC1560" s="169"/>
    </row>
    <row r="1561" spans="40:55">
      <c r="AN1561" s="454"/>
      <c r="BC1561" s="169"/>
    </row>
    <row r="1562" spans="40:55">
      <c r="AN1562" s="454"/>
      <c r="BC1562" s="169"/>
    </row>
    <row r="1563" spans="40:55">
      <c r="AN1563" s="454"/>
      <c r="BC1563" s="169"/>
    </row>
    <row r="1564" spans="40:55">
      <c r="AN1564" s="454"/>
      <c r="BC1564" s="169"/>
    </row>
    <row r="1565" spans="40:55">
      <c r="AN1565" s="454"/>
      <c r="BC1565" s="169"/>
    </row>
    <row r="1566" spans="40:55">
      <c r="AN1566" s="454"/>
      <c r="BC1566" s="169"/>
    </row>
    <row r="1567" spans="40:55">
      <c r="AN1567" s="454"/>
      <c r="BC1567" s="169"/>
    </row>
    <row r="1568" spans="40:55">
      <c r="AN1568" s="454"/>
      <c r="BC1568" s="169"/>
    </row>
    <row r="1569" spans="40:55">
      <c r="AN1569" s="454"/>
      <c r="BC1569" s="169"/>
    </row>
    <row r="1570" spans="40:55">
      <c r="AN1570" s="454"/>
      <c r="BC1570" s="169"/>
    </row>
    <row r="1571" spans="40:55">
      <c r="AN1571" s="454"/>
      <c r="BC1571" s="169"/>
    </row>
    <row r="1572" spans="40:55">
      <c r="AN1572" s="454"/>
      <c r="BC1572" s="169"/>
    </row>
    <row r="1573" spans="40:55">
      <c r="AN1573" s="454"/>
      <c r="BC1573" s="169"/>
    </row>
    <row r="1574" spans="40:55">
      <c r="AN1574" s="454"/>
      <c r="BC1574" s="169"/>
    </row>
    <row r="1575" spans="40:55">
      <c r="AN1575" s="454"/>
      <c r="BC1575" s="169"/>
    </row>
    <row r="1576" spans="40:55">
      <c r="AN1576" s="454"/>
      <c r="BC1576" s="169"/>
    </row>
    <row r="1577" spans="40:55">
      <c r="AN1577" s="454"/>
      <c r="BC1577" s="169"/>
    </row>
    <row r="1578" spans="40:55">
      <c r="AN1578" s="454"/>
      <c r="BC1578" s="169"/>
    </row>
    <row r="1579" spans="40:55">
      <c r="AN1579" s="454"/>
      <c r="BC1579" s="169"/>
    </row>
    <row r="1580" spans="40:55">
      <c r="AN1580" s="454"/>
      <c r="BC1580" s="169"/>
    </row>
    <row r="1581" spans="40:55">
      <c r="AN1581" s="454"/>
      <c r="BC1581" s="169"/>
    </row>
    <row r="1582" spans="40:55">
      <c r="AN1582" s="454"/>
      <c r="BC1582" s="169"/>
    </row>
    <row r="1583" spans="40:55">
      <c r="AN1583" s="454"/>
      <c r="BC1583" s="169"/>
    </row>
    <row r="1584" spans="40:55">
      <c r="AN1584" s="454"/>
      <c r="BC1584" s="169"/>
    </row>
    <row r="1585" spans="40:55">
      <c r="AN1585" s="454"/>
      <c r="BC1585" s="169"/>
    </row>
    <row r="1586" spans="40:55">
      <c r="AN1586" s="454"/>
      <c r="BC1586" s="169"/>
    </row>
    <row r="1587" spans="40:55">
      <c r="AN1587" s="454"/>
      <c r="BC1587" s="169"/>
    </row>
    <row r="1588" spans="40:55">
      <c r="AN1588" s="454"/>
      <c r="BC1588" s="169"/>
    </row>
    <row r="1589" spans="40:55">
      <c r="AN1589" s="454"/>
      <c r="BC1589" s="169"/>
    </row>
    <row r="1590" spans="40:55">
      <c r="AN1590" s="454"/>
      <c r="BC1590" s="169"/>
    </row>
    <row r="1591" spans="40:55">
      <c r="AN1591" s="454"/>
      <c r="BC1591" s="169"/>
    </row>
    <row r="1592" spans="40:55">
      <c r="AN1592" s="454"/>
      <c r="BC1592" s="169"/>
    </row>
    <row r="1593" spans="40:55">
      <c r="AN1593" s="454"/>
      <c r="BC1593" s="169"/>
    </row>
    <row r="1594" spans="40:55">
      <c r="AN1594" s="454"/>
      <c r="BC1594" s="169"/>
    </row>
    <row r="1595" spans="40:55">
      <c r="AN1595" s="454"/>
      <c r="BC1595" s="169"/>
    </row>
    <row r="1596" spans="40:55">
      <c r="AN1596" s="454"/>
      <c r="BC1596" s="169"/>
    </row>
    <row r="1597" spans="40:55">
      <c r="AN1597" s="454"/>
      <c r="BC1597" s="169"/>
    </row>
    <row r="1598" spans="40:55">
      <c r="AN1598" s="454"/>
      <c r="BC1598" s="169"/>
    </row>
    <row r="1599" spans="40:55">
      <c r="AN1599" s="454"/>
      <c r="BC1599" s="169"/>
    </row>
    <row r="1600" spans="40:55">
      <c r="AN1600" s="454"/>
      <c r="BC1600" s="169"/>
    </row>
    <row r="1601" spans="40:55">
      <c r="AN1601" s="454"/>
      <c r="BC1601" s="169"/>
    </row>
    <row r="1602" spans="40:55">
      <c r="AN1602" s="454"/>
      <c r="BC1602" s="169"/>
    </row>
    <row r="1603" spans="40:55">
      <c r="AN1603" s="454"/>
      <c r="BC1603" s="169"/>
    </row>
    <row r="1604" spans="40:55">
      <c r="AN1604" s="454"/>
      <c r="BC1604" s="169"/>
    </row>
    <row r="1605" spans="40:55">
      <c r="AN1605" s="454"/>
      <c r="BC1605" s="169"/>
    </row>
    <row r="1606" spans="40:55">
      <c r="AN1606" s="454"/>
      <c r="BC1606" s="169"/>
    </row>
    <row r="1607" spans="40:55">
      <c r="AN1607" s="454"/>
      <c r="BC1607" s="169"/>
    </row>
    <row r="1608" spans="40:55">
      <c r="AN1608" s="454"/>
      <c r="BC1608" s="169"/>
    </row>
    <row r="1609" spans="40:55">
      <c r="AN1609" s="454"/>
      <c r="BC1609" s="169"/>
    </row>
    <row r="1610" spans="40:55">
      <c r="AN1610" s="454"/>
      <c r="BC1610" s="169"/>
    </row>
    <row r="1611" spans="40:55">
      <c r="AN1611" s="454"/>
      <c r="BC1611" s="169"/>
    </row>
    <row r="1612" spans="40:55">
      <c r="AN1612" s="454"/>
      <c r="BC1612" s="169"/>
    </row>
    <row r="1613" spans="40:55">
      <c r="AN1613" s="454"/>
      <c r="BC1613" s="169"/>
    </row>
    <row r="1614" spans="40:55">
      <c r="AN1614" s="454"/>
      <c r="BC1614" s="169"/>
    </row>
    <row r="1615" spans="40:55">
      <c r="AN1615" s="454"/>
      <c r="BC1615" s="169"/>
    </row>
    <row r="1616" spans="40:55">
      <c r="AN1616" s="454"/>
      <c r="BC1616" s="169"/>
    </row>
    <row r="1617" spans="40:55">
      <c r="AN1617" s="454"/>
      <c r="BC1617" s="169"/>
    </row>
    <row r="1618" spans="40:55">
      <c r="AN1618" s="454"/>
      <c r="BC1618" s="169"/>
    </row>
    <row r="1619" spans="40:55">
      <c r="AN1619" s="454"/>
      <c r="BC1619" s="169"/>
    </row>
    <row r="1620" spans="40:55">
      <c r="AN1620" s="454"/>
      <c r="BC1620" s="169"/>
    </row>
    <row r="1621" spans="40:55">
      <c r="AN1621" s="454"/>
      <c r="BC1621" s="169"/>
    </row>
    <row r="1622" spans="40:55">
      <c r="AN1622" s="454"/>
      <c r="BC1622" s="169"/>
    </row>
    <row r="1623" spans="40:55">
      <c r="AN1623" s="454"/>
      <c r="BC1623" s="169"/>
    </row>
    <row r="1624" spans="40:55">
      <c r="AN1624" s="454"/>
      <c r="BC1624" s="169"/>
    </row>
    <row r="1625" spans="40:55">
      <c r="AN1625" s="454"/>
      <c r="BC1625" s="169"/>
    </row>
    <row r="1626" spans="40:55">
      <c r="AN1626" s="454"/>
      <c r="BC1626" s="169"/>
    </row>
    <row r="1627" spans="40:55">
      <c r="AN1627" s="454"/>
      <c r="BC1627" s="169"/>
    </row>
    <row r="1628" spans="40:55">
      <c r="AN1628" s="454"/>
      <c r="BC1628" s="169"/>
    </row>
    <row r="1629" spans="40:55">
      <c r="AN1629" s="454"/>
      <c r="BC1629" s="169"/>
    </row>
    <row r="1630" spans="40:55">
      <c r="AN1630" s="454"/>
      <c r="BC1630" s="169"/>
    </row>
    <row r="1631" spans="40:55">
      <c r="AN1631" s="454"/>
      <c r="BC1631" s="169"/>
    </row>
    <row r="1632" spans="40:55">
      <c r="AN1632" s="454"/>
      <c r="BC1632" s="169"/>
    </row>
    <row r="1633" spans="40:55">
      <c r="AN1633" s="454"/>
      <c r="BC1633" s="169"/>
    </row>
    <row r="1634" spans="40:55">
      <c r="AN1634" s="454"/>
      <c r="BC1634" s="169"/>
    </row>
    <row r="1635" spans="40:55">
      <c r="AN1635" s="454"/>
      <c r="BC1635" s="169"/>
    </row>
    <row r="1636" spans="40:55">
      <c r="AN1636" s="454"/>
      <c r="BC1636" s="169"/>
    </row>
    <row r="1637" spans="40:55">
      <c r="AN1637" s="454"/>
      <c r="BC1637" s="169"/>
    </row>
    <row r="1638" spans="40:55">
      <c r="AN1638" s="454"/>
      <c r="BC1638" s="169"/>
    </row>
    <row r="1639" spans="40:55">
      <c r="AN1639" s="454"/>
      <c r="BC1639" s="169"/>
    </row>
    <row r="1640" spans="40:55">
      <c r="AN1640" s="454"/>
      <c r="BC1640" s="169"/>
    </row>
    <row r="1641" spans="40:55">
      <c r="AN1641" s="454"/>
      <c r="BC1641" s="169"/>
    </row>
    <row r="1642" spans="40:55">
      <c r="AN1642" s="454"/>
      <c r="BC1642" s="169"/>
    </row>
    <row r="1643" spans="40:55">
      <c r="AN1643" s="454"/>
      <c r="BC1643" s="169"/>
    </row>
    <row r="1644" spans="40:55">
      <c r="AN1644" s="454"/>
      <c r="BC1644" s="169"/>
    </row>
    <row r="1645" spans="40:55">
      <c r="AN1645" s="454"/>
      <c r="BC1645" s="169"/>
    </row>
    <row r="1646" spans="40:55">
      <c r="AN1646" s="454"/>
      <c r="BC1646" s="169"/>
    </row>
    <row r="1647" spans="40:55">
      <c r="AN1647" s="454"/>
      <c r="BC1647" s="169"/>
    </row>
    <row r="1648" spans="40:55">
      <c r="AN1648" s="454"/>
      <c r="BC1648" s="169"/>
    </row>
    <row r="1649" spans="40:55">
      <c r="AN1649" s="454"/>
      <c r="BC1649" s="169"/>
    </row>
    <row r="1650" spans="40:55">
      <c r="AN1650" s="454"/>
      <c r="BC1650" s="169"/>
    </row>
    <row r="1651" spans="40:55">
      <c r="AN1651" s="454"/>
      <c r="BC1651" s="169"/>
    </row>
    <row r="1652" spans="40:55">
      <c r="AN1652" s="454"/>
      <c r="BC1652" s="169"/>
    </row>
    <row r="1653" spans="40:55">
      <c r="AN1653" s="454"/>
      <c r="BC1653" s="169"/>
    </row>
    <row r="1654" spans="40:55">
      <c r="AN1654" s="454"/>
      <c r="BC1654" s="169"/>
    </row>
    <row r="1655" spans="40:55">
      <c r="AN1655" s="454"/>
      <c r="BC1655" s="169"/>
    </row>
    <row r="1656" spans="40:55">
      <c r="AN1656" s="454"/>
      <c r="BC1656" s="169"/>
    </row>
    <row r="1657" spans="40:55">
      <c r="AN1657" s="454"/>
      <c r="BC1657" s="169"/>
    </row>
    <row r="1658" spans="40:55">
      <c r="AN1658" s="454"/>
      <c r="BC1658" s="169"/>
    </row>
    <row r="1659" spans="40:55">
      <c r="AN1659" s="454"/>
      <c r="BC1659" s="169"/>
    </row>
    <row r="1660" spans="40:55">
      <c r="AN1660" s="454"/>
      <c r="BC1660" s="169"/>
    </row>
    <row r="1661" spans="40:55">
      <c r="AN1661" s="454"/>
      <c r="BC1661" s="169"/>
    </row>
    <row r="1662" spans="40:55">
      <c r="AN1662" s="454"/>
      <c r="BC1662" s="169"/>
    </row>
    <row r="1663" spans="40:55">
      <c r="AN1663" s="454"/>
      <c r="BC1663" s="169"/>
    </row>
    <row r="1664" spans="40:55">
      <c r="AN1664" s="454"/>
      <c r="BC1664" s="169"/>
    </row>
    <row r="1665" spans="40:55">
      <c r="AN1665" s="454"/>
      <c r="BC1665" s="169"/>
    </row>
    <row r="1666" spans="40:55">
      <c r="AN1666" s="454"/>
      <c r="BC1666" s="169"/>
    </row>
    <row r="1667" spans="40:55">
      <c r="AN1667" s="454"/>
      <c r="BC1667" s="169"/>
    </row>
    <row r="1668" spans="40:55">
      <c r="AN1668" s="454"/>
      <c r="BC1668" s="169"/>
    </row>
    <row r="1669" spans="40:55">
      <c r="AN1669" s="454"/>
      <c r="BC1669" s="169"/>
    </row>
    <row r="1670" spans="40:55">
      <c r="AN1670" s="454"/>
      <c r="BC1670" s="169"/>
    </row>
    <row r="1671" spans="40:55">
      <c r="AN1671" s="454"/>
      <c r="BC1671" s="169"/>
    </row>
    <row r="1672" spans="40:55">
      <c r="AN1672" s="454"/>
      <c r="BC1672" s="169"/>
    </row>
    <row r="1673" spans="40:55">
      <c r="AN1673" s="454"/>
      <c r="BC1673" s="169"/>
    </row>
    <row r="1674" spans="40:55">
      <c r="AN1674" s="454"/>
      <c r="BC1674" s="169"/>
    </row>
    <row r="1675" spans="40:55">
      <c r="AN1675" s="454"/>
      <c r="BC1675" s="169"/>
    </row>
    <row r="1676" spans="40:55">
      <c r="AN1676" s="454"/>
      <c r="BC1676" s="169"/>
    </row>
    <row r="1677" spans="40:55">
      <c r="AN1677" s="454"/>
      <c r="BC1677" s="169"/>
    </row>
    <row r="1678" spans="40:55">
      <c r="AN1678" s="454"/>
      <c r="BC1678" s="169"/>
    </row>
    <row r="1679" spans="40:55">
      <c r="AN1679" s="454"/>
      <c r="BC1679" s="169"/>
    </row>
    <row r="1680" spans="40:55">
      <c r="AN1680" s="454"/>
      <c r="BC1680" s="169"/>
    </row>
    <row r="1681" spans="40:55">
      <c r="AN1681" s="454"/>
      <c r="BC1681" s="169"/>
    </row>
    <row r="1682" spans="40:55">
      <c r="AN1682" s="454"/>
      <c r="BC1682" s="169"/>
    </row>
    <row r="1683" spans="40:55">
      <c r="AN1683" s="454"/>
      <c r="BC1683" s="169"/>
    </row>
    <row r="1684" spans="40:55">
      <c r="AN1684" s="454"/>
      <c r="BC1684" s="169"/>
    </row>
    <row r="1685" spans="40:55">
      <c r="AN1685" s="454"/>
      <c r="BC1685" s="169"/>
    </row>
    <row r="1686" spans="40:55">
      <c r="AN1686" s="454"/>
      <c r="BC1686" s="169"/>
    </row>
    <row r="1687" spans="40:55">
      <c r="AN1687" s="454"/>
      <c r="BC1687" s="169"/>
    </row>
    <row r="1688" spans="40:55">
      <c r="AN1688" s="454"/>
      <c r="BC1688" s="169"/>
    </row>
    <row r="1689" spans="40:55">
      <c r="AN1689" s="454"/>
      <c r="BC1689" s="169"/>
    </row>
    <row r="1690" spans="40:55">
      <c r="AN1690" s="454"/>
      <c r="BC1690" s="169"/>
    </row>
    <row r="1691" spans="40:55">
      <c r="AN1691" s="454"/>
      <c r="BC1691" s="169"/>
    </row>
    <row r="1692" spans="40:55">
      <c r="AN1692" s="454"/>
      <c r="BC1692" s="169"/>
    </row>
    <row r="1693" spans="40:55">
      <c r="AN1693" s="454"/>
      <c r="BC1693" s="169"/>
    </row>
    <row r="1694" spans="40:55">
      <c r="AN1694" s="454"/>
      <c r="BC1694" s="169"/>
    </row>
    <row r="1695" spans="40:55">
      <c r="AN1695" s="454"/>
      <c r="BC1695" s="169"/>
    </row>
    <row r="1696" spans="40:55">
      <c r="AN1696" s="454"/>
      <c r="BC1696" s="169"/>
    </row>
    <row r="1697" spans="40:55">
      <c r="AN1697" s="454"/>
      <c r="BC1697" s="169"/>
    </row>
    <row r="1698" spans="40:55">
      <c r="AN1698" s="454"/>
      <c r="BC1698" s="169"/>
    </row>
    <row r="1699" spans="40:55">
      <c r="AN1699" s="454"/>
      <c r="BC1699" s="169"/>
    </row>
    <row r="1700" spans="40:55">
      <c r="AN1700" s="454"/>
      <c r="BC1700" s="169"/>
    </row>
    <row r="1701" spans="40:55">
      <c r="AN1701" s="454"/>
      <c r="BC1701" s="169"/>
    </row>
    <row r="1702" spans="40:55">
      <c r="AN1702" s="454"/>
      <c r="BC1702" s="169"/>
    </row>
    <row r="1703" spans="40:55">
      <c r="AN1703" s="454"/>
      <c r="BC1703" s="169"/>
    </row>
    <row r="1704" spans="40:55">
      <c r="AN1704" s="454"/>
      <c r="BC1704" s="169"/>
    </row>
    <row r="1705" spans="40:55">
      <c r="AN1705" s="454"/>
      <c r="BC1705" s="169"/>
    </row>
    <row r="1706" spans="40:55">
      <c r="AN1706" s="454"/>
      <c r="BC1706" s="169"/>
    </row>
    <row r="1707" spans="40:55">
      <c r="AN1707" s="454"/>
      <c r="BC1707" s="169"/>
    </row>
    <row r="1708" spans="40:55">
      <c r="AN1708" s="454"/>
      <c r="BC1708" s="169"/>
    </row>
    <row r="1709" spans="40:55">
      <c r="AN1709" s="454"/>
      <c r="BC1709" s="169"/>
    </row>
    <row r="1710" spans="40:55">
      <c r="AN1710" s="454"/>
      <c r="BC1710" s="169"/>
    </row>
    <row r="1711" spans="40:55">
      <c r="AN1711" s="454"/>
      <c r="BC1711" s="169"/>
    </row>
    <row r="1712" spans="40:55">
      <c r="AN1712" s="454"/>
      <c r="BC1712" s="169"/>
    </row>
    <row r="1713" spans="40:55">
      <c r="AN1713" s="454"/>
      <c r="BC1713" s="169"/>
    </row>
    <row r="1714" spans="40:55">
      <c r="AN1714" s="454"/>
      <c r="BC1714" s="169"/>
    </row>
    <row r="1715" spans="40:55">
      <c r="AN1715" s="454"/>
      <c r="BC1715" s="169"/>
    </row>
    <row r="1716" spans="40:55">
      <c r="AN1716" s="454"/>
      <c r="BC1716" s="169"/>
    </row>
    <row r="1717" spans="40:55">
      <c r="AN1717" s="454"/>
      <c r="BC1717" s="169"/>
    </row>
    <row r="1718" spans="40:55">
      <c r="AN1718" s="454"/>
      <c r="BC1718" s="169"/>
    </row>
    <row r="1719" spans="40:55">
      <c r="AN1719" s="454"/>
      <c r="BC1719" s="169"/>
    </row>
    <row r="1720" spans="40:55">
      <c r="AN1720" s="454"/>
      <c r="BC1720" s="169"/>
    </row>
    <row r="1721" spans="40:55">
      <c r="AN1721" s="454"/>
      <c r="BC1721" s="169"/>
    </row>
    <row r="1722" spans="40:55">
      <c r="AN1722" s="454"/>
      <c r="BC1722" s="169"/>
    </row>
    <row r="1723" spans="40:55">
      <c r="AN1723" s="454"/>
      <c r="BC1723" s="169"/>
    </row>
    <row r="1724" spans="40:55">
      <c r="AN1724" s="454"/>
      <c r="BC1724" s="169"/>
    </row>
    <row r="1725" spans="40:55">
      <c r="AN1725" s="454"/>
      <c r="BC1725" s="169"/>
    </row>
    <row r="1726" spans="40:55">
      <c r="AN1726" s="454"/>
      <c r="BC1726" s="169"/>
    </row>
    <row r="1727" spans="40:55">
      <c r="AN1727" s="454"/>
      <c r="BC1727" s="169"/>
    </row>
    <row r="1728" spans="40:55">
      <c r="AN1728" s="454"/>
      <c r="BC1728" s="169"/>
    </row>
    <row r="1729" spans="40:55">
      <c r="AN1729" s="454"/>
      <c r="BC1729" s="169"/>
    </row>
    <row r="1730" spans="40:55">
      <c r="AN1730" s="454"/>
      <c r="BC1730" s="169"/>
    </row>
    <row r="1731" spans="40:55">
      <c r="AN1731" s="454"/>
      <c r="BC1731" s="169"/>
    </row>
    <row r="1732" spans="40:55">
      <c r="AN1732" s="454"/>
      <c r="BC1732" s="169"/>
    </row>
    <row r="1733" spans="40:55">
      <c r="AN1733" s="454"/>
      <c r="BC1733" s="169"/>
    </row>
    <row r="1734" spans="40:55">
      <c r="AN1734" s="454"/>
      <c r="BC1734" s="169"/>
    </row>
    <row r="1735" spans="40:55">
      <c r="AN1735" s="454"/>
      <c r="BC1735" s="169"/>
    </row>
    <row r="1736" spans="40:55">
      <c r="AN1736" s="454"/>
      <c r="BC1736" s="169"/>
    </row>
    <row r="1737" spans="40:55">
      <c r="AN1737" s="454"/>
      <c r="BC1737" s="169"/>
    </row>
    <row r="1738" spans="40:55">
      <c r="AN1738" s="454"/>
      <c r="BC1738" s="169"/>
    </row>
    <row r="1739" spans="40:55">
      <c r="AN1739" s="454"/>
      <c r="BC1739" s="169"/>
    </row>
    <row r="1740" spans="40:55">
      <c r="AN1740" s="454"/>
      <c r="BC1740" s="169"/>
    </row>
    <row r="1741" spans="40:55">
      <c r="AN1741" s="454"/>
      <c r="BC1741" s="169"/>
    </row>
    <row r="1742" spans="40:55">
      <c r="AN1742" s="454"/>
      <c r="BC1742" s="169"/>
    </row>
    <row r="1743" spans="40:55">
      <c r="AN1743" s="454"/>
      <c r="BC1743" s="169"/>
    </row>
    <row r="1744" spans="40:55">
      <c r="AN1744" s="454"/>
      <c r="BC1744" s="169"/>
    </row>
    <row r="1745" spans="40:55">
      <c r="AN1745" s="454"/>
      <c r="BC1745" s="169"/>
    </row>
    <row r="1746" spans="40:55">
      <c r="AN1746" s="454"/>
      <c r="BC1746" s="169"/>
    </row>
    <row r="1747" spans="40:55">
      <c r="AN1747" s="454"/>
      <c r="BC1747" s="169"/>
    </row>
    <row r="1748" spans="40:55">
      <c r="AN1748" s="454"/>
      <c r="BC1748" s="169"/>
    </row>
    <row r="1749" spans="40:55">
      <c r="AN1749" s="454"/>
      <c r="BC1749" s="169"/>
    </row>
    <row r="1750" spans="40:55">
      <c r="AN1750" s="454"/>
      <c r="BC1750" s="169"/>
    </row>
    <row r="1751" spans="40:55">
      <c r="AN1751" s="454"/>
      <c r="BC1751" s="169"/>
    </row>
    <row r="1752" spans="40:55">
      <c r="AN1752" s="454"/>
      <c r="BC1752" s="169"/>
    </row>
    <row r="1753" spans="40:55">
      <c r="AN1753" s="454"/>
      <c r="BC1753" s="169"/>
    </row>
    <row r="1754" spans="40:55">
      <c r="AN1754" s="454"/>
      <c r="BC1754" s="169"/>
    </row>
    <row r="1755" spans="40:55">
      <c r="AN1755" s="454"/>
      <c r="BC1755" s="169"/>
    </row>
    <row r="1756" spans="40:55">
      <c r="AN1756" s="454"/>
      <c r="BC1756" s="169"/>
    </row>
    <row r="1757" spans="40:55">
      <c r="AN1757" s="454"/>
      <c r="BC1757" s="169"/>
    </row>
    <row r="1758" spans="40:55">
      <c r="AN1758" s="454"/>
      <c r="BC1758" s="169"/>
    </row>
    <row r="1759" spans="40:55">
      <c r="AN1759" s="454"/>
      <c r="BC1759" s="169"/>
    </row>
    <row r="1760" spans="40:55">
      <c r="AN1760" s="454"/>
      <c r="BC1760" s="169"/>
    </row>
    <row r="1761" spans="40:55">
      <c r="AN1761" s="454"/>
      <c r="BC1761" s="169"/>
    </row>
    <row r="1762" spans="40:55">
      <c r="AN1762" s="454"/>
      <c r="BC1762" s="169"/>
    </row>
    <row r="1763" spans="40:55">
      <c r="AN1763" s="454"/>
      <c r="BC1763" s="169"/>
    </row>
    <row r="1764" spans="40:55">
      <c r="AN1764" s="454"/>
      <c r="BC1764" s="169"/>
    </row>
    <row r="1765" spans="40:55">
      <c r="AN1765" s="454"/>
      <c r="BC1765" s="169"/>
    </row>
    <row r="1766" spans="40:55">
      <c r="AN1766" s="454"/>
      <c r="BC1766" s="169"/>
    </row>
    <row r="1767" spans="40:55">
      <c r="AN1767" s="454"/>
      <c r="BC1767" s="169"/>
    </row>
    <row r="1768" spans="40:55">
      <c r="AN1768" s="454"/>
      <c r="BC1768" s="169"/>
    </row>
    <row r="1769" spans="40:55">
      <c r="AN1769" s="454"/>
      <c r="BC1769" s="169"/>
    </row>
    <row r="1770" spans="40:55">
      <c r="AN1770" s="454"/>
      <c r="BC1770" s="169"/>
    </row>
    <row r="1771" spans="40:55">
      <c r="AN1771" s="454"/>
      <c r="BC1771" s="169"/>
    </row>
    <row r="1772" spans="40:55">
      <c r="AN1772" s="454"/>
      <c r="BC1772" s="169"/>
    </row>
    <row r="1773" spans="40:55">
      <c r="AN1773" s="454"/>
      <c r="BC1773" s="169"/>
    </row>
    <row r="1774" spans="40:55">
      <c r="AN1774" s="454"/>
      <c r="BC1774" s="169"/>
    </row>
    <row r="1775" spans="40:55">
      <c r="AN1775" s="454"/>
      <c r="BC1775" s="169"/>
    </row>
    <row r="1776" spans="40:55">
      <c r="AN1776" s="454"/>
      <c r="BC1776" s="169"/>
    </row>
    <row r="1777" spans="40:55">
      <c r="AN1777" s="454"/>
      <c r="BC1777" s="169"/>
    </row>
    <row r="1778" spans="40:55">
      <c r="AN1778" s="454"/>
      <c r="BC1778" s="169"/>
    </row>
    <row r="1779" spans="40:55">
      <c r="AN1779" s="454"/>
      <c r="BC1779" s="169"/>
    </row>
    <row r="1780" spans="40:55">
      <c r="AN1780" s="454"/>
      <c r="BC1780" s="169"/>
    </row>
    <row r="1781" spans="40:55">
      <c r="AN1781" s="454"/>
      <c r="BC1781" s="169"/>
    </row>
    <row r="1782" spans="40:55">
      <c r="AN1782" s="454"/>
      <c r="BC1782" s="169"/>
    </row>
    <row r="1783" spans="40:55">
      <c r="AN1783" s="454"/>
      <c r="BC1783" s="169"/>
    </row>
    <row r="1784" spans="40:55">
      <c r="AN1784" s="454"/>
      <c r="BC1784" s="169"/>
    </row>
    <row r="1785" spans="40:55">
      <c r="AN1785" s="454"/>
      <c r="BC1785" s="169"/>
    </row>
    <row r="1786" spans="40:55">
      <c r="AN1786" s="454"/>
      <c r="BC1786" s="169"/>
    </row>
    <row r="1787" spans="40:55">
      <c r="AN1787" s="454"/>
      <c r="BC1787" s="169"/>
    </row>
    <row r="1788" spans="40:55">
      <c r="AN1788" s="454"/>
      <c r="BC1788" s="169"/>
    </row>
    <row r="1789" spans="40:55">
      <c r="AN1789" s="454"/>
      <c r="BC1789" s="169"/>
    </row>
    <row r="1790" spans="40:55">
      <c r="AN1790" s="454"/>
      <c r="BC1790" s="169"/>
    </row>
    <row r="1791" spans="40:55">
      <c r="AN1791" s="454"/>
      <c r="BC1791" s="169"/>
    </row>
    <row r="1792" spans="40:55">
      <c r="AN1792" s="454"/>
      <c r="BC1792" s="169"/>
    </row>
    <row r="1793" spans="40:55">
      <c r="AN1793" s="454"/>
      <c r="BC1793" s="169"/>
    </row>
    <row r="1794" spans="40:55">
      <c r="AN1794" s="454"/>
      <c r="BC1794" s="169"/>
    </row>
    <row r="1795" spans="40:55">
      <c r="AN1795" s="454"/>
      <c r="BC1795" s="169"/>
    </row>
    <row r="1796" spans="40:55">
      <c r="AN1796" s="454"/>
      <c r="BC1796" s="169"/>
    </row>
    <row r="1797" spans="40:55">
      <c r="AN1797" s="454"/>
      <c r="BC1797" s="169"/>
    </row>
    <row r="1798" spans="40:55">
      <c r="AN1798" s="454"/>
      <c r="BC1798" s="169"/>
    </row>
    <row r="1799" spans="40:55">
      <c r="AN1799" s="454"/>
      <c r="BC1799" s="169"/>
    </row>
    <row r="1800" spans="40:55">
      <c r="AN1800" s="454"/>
      <c r="BC1800" s="169"/>
    </row>
    <row r="1801" spans="40:55">
      <c r="AN1801" s="454"/>
      <c r="BC1801" s="169"/>
    </row>
    <row r="1802" spans="40:55">
      <c r="AN1802" s="454"/>
      <c r="BC1802" s="169"/>
    </row>
    <row r="1803" spans="40:55">
      <c r="AN1803" s="454"/>
      <c r="BC1803" s="169"/>
    </row>
    <row r="1804" spans="40:55">
      <c r="AN1804" s="454"/>
      <c r="BC1804" s="169"/>
    </row>
    <row r="1805" spans="40:55">
      <c r="AN1805" s="454"/>
      <c r="BC1805" s="169"/>
    </row>
    <row r="1806" spans="40:55">
      <c r="AN1806" s="454"/>
      <c r="BC1806" s="169"/>
    </row>
    <row r="1807" spans="40:55">
      <c r="AN1807" s="454"/>
      <c r="BC1807" s="169"/>
    </row>
    <row r="1808" spans="40:55">
      <c r="AN1808" s="454"/>
      <c r="BC1808" s="169"/>
    </row>
    <row r="1809" spans="40:55">
      <c r="AN1809" s="454"/>
      <c r="BC1809" s="169"/>
    </row>
    <row r="1810" spans="40:55">
      <c r="AN1810" s="454"/>
      <c r="BC1810" s="169"/>
    </row>
    <row r="1811" spans="40:55">
      <c r="AN1811" s="454"/>
      <c r="BC1811" s="169"/>
    </row>
    <row r="1812" spans="40:55">
      <c r="AN1812" s="454"/>
      <c r="BC1812" s="169"/>
    </row>
    <row r="1813" spans="40:55">
      <c r="AN1813" s="454"/>
      <c r="BC1813" s="169"/>
    </row>
    <row r="1814" spans="40:55">
      <c r="AN1814" s="454"/>
      <c r="BC1814" s="169"/>
    </row>
    <row r="1815" spans="40:55">
      <c r="AN1815" s="454"/>
      <c r="BC1815" s="169"/>
    </row>
    <row r="1816" spans="40:55">
      <c r="AN1816" s="454"/>
      <c r="BC1816" s="169"/>
    </row>
    <row r="1817" spans="40:55">
      <c r="AN1817" s="454"/>
      <c r="BC1817" s="169"/>
    </row>
    <row r="1818" spans="40:55">
      <c r="AN1818" s="454"/>
      <c r="BC1818" s="169"/>
    </row>
    <row r="1819" spans="40:55">
      <c r="AN1819" s="454"/>
      <c r="BC1819" s="169"/>
    </row>
    <row r="1820" spans="40:55">
      <c r="AN1820" s="454"/>
      <c r="BC1820" s="169"/>
    </row>
    <row r="1821" spans="40:55">
      <c r="AN1821" s="454"/>
      <c r="BC1821" s="169"/>
    </row>
    <row r="1822" spans="40:55">
      <c r="AN1822" s="454"/>
      <c r="BC1822" s="169"/>
    </row>
    <row r="1823" spans="40:55">
      <c r="AN1823" s="454"/>
      <c r="BC1823" s="169"/>
    </row>
    <row r="1824" spans="40:55">
      <c r="AN1824" s="454"/>
      <c r="BC1824" s="169"/>
    </row>
    <row r="1825" spans="40:55">
      <c r="AN1825" s="454"/>
      <c r="BC1825" s="169"/>
    </row>
    <row r="1826" spans="40:55">
      <c r="AN1826" s="454"/>
      <c r="BC1826" s="169"/>
    </row>
    <row r="1827" spans="40:55">
      <c r="AN1827" s="454"/>
      <c r="BC1827" s="169"/>
    </row>
    <row r="1828" spans="40:55">
      <c r="AN1828" s="454"/>
      <c r="BC1828" s="169"/>
    </row>
    <row r="1829" spans="40:55">
      <c r="AN1829" s="454"/>
      <c r="BC1829" s="169"/>
    </row>
    <row r="1830" spans="40:55">
      <c r="AN1830" s="454"/>
      <c r="BC1830" s="169"/>
    </row>
    <row r="1831" spans="40:55">
      <c r="AN1831" s="454"/>
      <c r="BC1831" s="169"/>
    </row>
    <row r="1832" spans="40:55">
      <c r="AN1832" s="454"/>
      <c r="BC1832" s="169"/>
    </row>
    <row r="1833" spans="40:55">
      <c r="AN1833" s="454"/>
      <c r="BC1833" s="169"/>
    </row>
    <row r="1834" spans="40:55">
      <c r="AN1834" s="454"/>
      <c r="BC1834" s="169"/>
    </row>
    <row r="1835" spans="40:55">
      <c r="AN1835" s="454"/>
      <c r="BC1835" s="169"/>
    </row>
    <row r="1836" spans="40:55">
      <c r="AN1836" s="454"/>
      <c r="BC1836" s="169"/>
    </row>
    <row r="1837" spans="40:55">
      <c r="AN1837" s="454"/>
      <c r="BC1837" s="169"/>
    </row>
    <row r="1838" spans="40:55">
      <c r="AN1838" s="454"/>
      <c r="BC1838" s="169"/>
    </row>
    <row r="1839" spans="40:55">
      <c r="AN1839" s="454"/>
      <c r="BC1839" s="169"/>
    </row>
    <row r="1840" spans="40:55">
      <c r="AN1840" s="454"/>
      <c r="BC1840" s="169"/>
    </row>
    <row r="1841" spans="40:55">
      <c r="AN1841" s="454"/>
      <c r="BC1841" s="169"/>
    </row>
    <row r="1842" spans="40:55">
      <c r="AN1842" s="454"/>
      <c r="BC1842" s="169"/>
    </row>
    <row r="1843" spans="40:55">
      <c r="AN1843" s="454"/>
      <c r="BC1843" s="169"/>
    </row>
    <row r="1844" spans="40:55">
      <c r="AN1844" s="454"/>
      <c r="BC1844" s="169"/>
    </row>
    <row r="1845" spans="40:55">
      <c r="AN1845" s="454"/>
      <c r="BC1845" s="169"/>
    </row>
    <row r="1846" spans="40:55">
      <c r="AN1846" s="454"/>
      <c r="BC1846" s="169"/>
    </row>
    <row r="1847" spans="40:55">
      <c r="AN1847" s="454"/>
      <c r="BC1847" s="169"/>
    </row>
    <row r="1848" spans="40:55">
      <c r="AN1848" s="454"/>
      <c r="BC1848" s="169"/>
    </row>
    <row r="1849" spans="40:55">
      <c r="AN1849" s="454"/>
      <c r="BC1849" s="169"/>
    </row>
    <row r="1850" spans="40:55">
      <c r="AN1850" s="454"/>
      <c r="BC1850" s="169"/>
    </row>
    <row r="1851" spans="40:55">
      <c r="AN1851" s="454"/>
      <c r="BC1851" s="169"/>
    </row>
    <row r="1852" spans="40:55">
      <c r="AN1852" s="454"/>
      <c r="BC1852" s="169"/>
    </row>
    <row r="1853" spans="40:55">
      <c r="AN1853" s="454"/>
      <c r="BC1853" s="169"/>
    </row>
    <row r="1854" spans="40:55">
      <c r="AN1854" s="454"/>
      <c r="BC1854" s="169"/>
    </row>
    <row r="1855" spans="40:55">
      <c r="AN1855" s="454"/>
      <c r="BC1855" s="169"/>
    </row>
    <row r="1856" spans="40:55">
      <c r="AN1856" s="454"/>
      <c r="BC1856" s="169"/>
    </row>
    <row r="1857" spans="40:55">
      <c r="AN1857" s="454"/>
      <c r="BC1857" s="169"/>
    </row>
    <row r="1858" spans="40:55">
      <c r="AN1858" s="454"/>
      <c r="BC1858" s="169"/>
    </row>
    <row r="1859" spans="40:55">
      <c r="AN1859" s="454"/>
      <c r="BC1859" s="169"/>
    </row>
    <row r="1860" spans="40:55">
      <c r="AN1860" s="454"/>
      <c r="BC1860" s="169"/>
    </row>
    <row r="1861" spans="40:55">
      <c r="AN1861" s="454"/>
      <c r="BC1861" s="169"/>
    </row>
    <row r="1862" spans="40:55">
      <c r="AN1862" s="454"/>
      <c r="BC1862" s="169"/>
    </row>
    <row r="1863" spans="40:55">
      <c r="AN1863" s="454"/>
      <c r="BC1863" s="169"/>
    </row>
    <row r="1864" spans="40:55">
      <c r="AN1864" s="454"/>
      <c r="BC1864" s="169"/>
    </row>
    <row r="1865" spans="40:55">
      <c r="AN1865" s="454"/>
      <c r="BC1865" s="169"/>
    </row>
    <row r="1866" spans="40:55">
      <c r="AN1866" s="454"/>
      <c r="BC1866" s="169"/>
    </row>
    <row r="1867" spans="40:55">
      <c r="AN1867" s="454"/>
      <c r="BC1867" s="169"/>
    </row>
    <row r="1868" spans="40:55">
      <c r="AN1868" s="454"/>
      <c r="BC1868" s="169"/>
    </row>
    <row r="1869" spans="40:55">
      <c r="AN1869" s="454"/>
      <c r="BC1869" s="169"/>
    </row>
    <row r="1870" spans="40:55">
      <c r="AN1870" s="454"/>
      <c r="BC1870" s="169"/>
    </row>
    <row r="1871" spans="40:55">
      <c r="AN1871" s="454"/>
      <c r="BC1871" s="169"/>
    </row>
    <row r="1872" spans="40:55">
      <c r="AN1872" s="454"/>
      <c r="BC1872" s="169"/>
    </row>
    <row r="1873" spans="40:55">
      <c r="AN1873" s="454"/>
      <c r="BC1873" s="169"/>
    </row>
    <row r="1874" spans="40:55">
      <c r="AN1874" s="454"/>
      <c r="BC1874" s="169"/>
    </row>
    <row r="1875" spans="40:55">
      <c r="AN1875" s="454"/>
      <c r="BC1875" s="169"/>
    </row>
    <row r="1876" spans="40:55">
      <c r="AN1876" s="454"/>
      <c r="BC1876" s="169"/>
    </row>
    <row r="1877" spans="40:55">
      <c r="AN1877" s="454"/>
      <c r="BC1877" s="169"/>
    </row>
    <row r="1878" spans="40:55">
      <c r="AN1878" s="454"/>
      <c r="BC1878" s="169"/>
    </row>
    <row r="1879" spans="40:55">
      <c r="AN1879" s="454"/>
      <c r="BC1879" s="169"/>
    </row>
    <row r="1880" spans="40:55">
      <c r="AN1880" s="454"/>
      <c r="BC1880" s="169"/>
    </row>
    <row r="1881" spans="40:55">
      <c r="AN1881" s="454"/>
      <c r="BC1881" s="169"/>
    </row>
    <row r="1882" spans="40:55">
      <c r="AN1882" s="454"/>
      <c r="BC1882" s="169"/>
    </row>
    <row r="1883" spans="40:55">
      <c r="AN1883" s="454"/>
      <c r="BC1883" s="169"/>
    </row>
    <row r="1884" spans="40:55">
      <c r="AN1884" s="454"/>
      <c r="BC1884" s="169"/>
    </row>
    <row r="1885" spans="40:55">
      <c r="AN1885" s="454"/>
      <c r="BC1885" s="169"/>
    </row>
    <row r="1886" spans="40:55">
      <c r="AN1886" s="454"/>
      <c r="BC1886" s="169"/>
    </row>
    <row r="1887" spans="40:55">
      <c r="AN1887" s="454"/>
      <c r="BC1887" s="169"/>
    </row>
    <row r="1888" spans="40:55">
      <c r="AN1888" s="454"/>
      <c r="BC1888" s="169"/>
    </row>
    <row r="1889" spans="40:55">
      <c r="AN1889" s="454"/>
      <c r="BC1889" s="169"/>
    </row>
    <row r="1890" spans="40:55">
      <c r="AN1890" s="454"/>
      <c r="BC1890" s="169"/>
    </row>
    <row r="1891" spans="40:55">
      <c r="AN1891" s="454"/>
      <c r="BC1891" s="169"/>
    </row>
    <row r="1892" spans="40:55">
      <c r="AN1892" s="454"/>
      <c r="BC1892" s="169"/>
    </row>
    <row r="1893" spans="40:55">
      <c r="AN1893" s="454"/>
      <c r="BC1893" s="169"/>
    </row>
    <row r="1894" spans="40:55">
      <c r="AN1894" s="454"/>
      <c r="BC1894" s="169"/>
    </row>
    <row r="1895" spans="40:55">
      <c r="AN1895" s="454"/>
      <c r="BC1895" s="169"/>
    </row>
    <row r="1896" spans="40:55">
      <c r="AN1896" s="454"/>
      <c r="BC1896" s="169"/>
    </row>
    <row r="1897" spans="40:55">
      <c r="AN1897" s="454"/>
      <c r="BC1897" s="169"/>
    </row>
    <row r="1898" spans="40:55">
      <c r="AN1898" s="454"/>
      <c r="BC1898" s="169"/>
    </row>
    <row r="1899" spans="40:55">
      <c r="AN1899" s="454"/>
      <c r="BC1899" s="169"/>
    </row>
    <row r="1900" spans="40:55">
      <c r="AN1900" s="454"/>
      <c r="BC1900" s="169"/>
    </row>
    <row r="1901" spans="40:55">
      <c r="AN1901" s="454"/>
      <c r="BC1901" s="169"/>
    </row>
    <row r="1902" spans="40:55">
      <c r="AN1902" s="454"/>
      <c r="BC1902" s="169"/>
    </row>
    <row r="1903" spans="40:55">
      <c r="AN1903" s="454"/>
      <c r="BC1903" s="169"/>
    </row>
    <row r="1904" spans="40:55">
      <c r="AN1904" s="454"/>
      <c r="BC1904" s="169"/>
    </row>
    <row r="1905" spans="40:55">
      <c r="AN1905" s="454"/>
      <c r="BC1905" s="169"/>
    </row>
    <row r="1906" spans="40:55">
      <c r="AN1906" s="454"/>
      <c r="BC1906" s="169"/>
    </row>
    <row r="1907" spans="40:55">
      <c r="AN1907" s="454"/>
      <c r="BC1907" s="169"/>
    </row>
    <row r="1908" spans="40:55">
      <c r="AN1908" s="454"/>
      <c r="BC1908" s="169"/>
    </row>
    <row r="1909" spans="40:55">
      <c r="AN1909" s="454"/>
      <c r="BC1909" s="169"/>
    </row>
    <row r="1910" spans="40:55">
      <c r="AN1910" s="454"/>
      <c r="BC1910" s="169"/>
    </row>
    <row r="1911" spans="40:55">
      <c r="AN1911" s="454"/>
      <c r="BC1911" s="169"/>
    </row>
    <row r="1912" spans="40:55">
      <c r="AN1912" s="454"/>
      <c r="BC1912" s="169"/>
    </row>
    <row r="1913" spans="40:55">
      <c r="AN1913" s="454"/>
      <c r="BC1913" s="169"/>
    </row>
    <row r="1914" spans="40:55">
      <c r="AN1914" s="454"/>
      <c r="BC1914" s="169"/>
    </row>
    <row r="1915" spans="40:55">
      <c r="AN1915" s="454"/>
      <c r="BC1915" s="169"/>
    </row>
    <row r="1916" spans="40:55">
      <c r="AN1916" s="454"/>
      <c r="BC1916" s="169"/>
    </row>
    <row r="1917" spans="40:55">
      <c r="AN1917" s="454"/>
      <c r="BC1917" s="169"/>
    </row>
    <row r="1918" spans="40:55">
      <c r="AN1918" s="454"/>
      <c r="BC1918" s="169"/>
    </row>
    <row r="1919" spans="40:55">
      <c r="AN1919" s="454"/>
      <c r="BC1919" s="169"/>
    </row>
    <row r="1920" spans="40:55">
      <c r="AN1920" s="454"/>
      <c r="BC1920" s="169"/>
    </row>
    <row r="1921" spans="40:55">
      <c r="AN1921" s="454"/>
      <c r="BC1921" s="169"/>
    </row>
    <row r="1922" spans="40:55">
      <c r="AN1922" s="454"/>
      <c r="BC1922" s="169"/>
    </row>
    <row r="1923" spans="40:55">
      <c r="AN1923" s="454"/>
      <c r="BC1923" s="169"/>
    </row>
    <row r="1924" spans="40:55">
      <c r="AN1924" s="454"/>
      <c r="BC1924" s="169"/>
    </row>
    <row r="1925" spans="40:55">
      <c r="AN1925" s="454"/>
      <c r="BC1925" s="169"/>
    </row>
    <row r="1926" spans="40:55">
      <c r="AN1926" s="454"/>
      <c r="BC1926" s="169"/>
    </row>
    <row r="1927" spans="40:55">
      <c r="AN1927" s="454"/>
      <c r="BC1927" s="169"/>
    </row>
    <row r="1928" spans="40:55">
      <c r="AN1928" s="454"/>
      <c r="BC1928" s="169"/>
    </row>
    <row r="1929" spans="40:55">
      <c r="AN1929" s="454"/>
      <c r="BC1929" s="169"/>
    </row>
    <row r="1930" spans="40:55">
      <c r="AN1930" s="454"/>
      <c r="BC1930" s="169"/>
    </row>
    <row r="1931" spans="40:55">
      <c r="AN1931" s="454"/>
      <c r="BC1931" s="169"/>
    </row>
    <row r="1932" spans="40:55">
      <c r="AN1932" s="454"/>
      <c r="BC1932" s="169"/>
    </row>
    <row r="1933" spans="40:55">
      <c r="AN1933" s="454"/>
      <c r="BC1933" s="169"/>
    </row>
    <row r="1934" spans="40:55">
      <c r="AN1934" s="454"/>
      <c r="BC1934" s="169"/>
    </row>
    <row r="1935" spans="40:55">
      <c r="AN1935" s="454"/>
      <c r="BC1935" s="169"/>
    </row>
    <row r="1936" spans="40:55">
      <c r="AN1936" s="454"/>
      <c r="BC1936" s="169"/>
    </row>
    <row r="1937" spans="40:55">
      <c r="AN1937" s="454"/>
      <c r="BC1937" s="169"/>
    </row>
    <row r="1938" spans="40:55">
      <c r="AN1938" s="454"/>
      <c r="BC1938" s="169"/>
    </row>
    <row r="1939" spans="40:55">
      <c r="AN1939" s="454"/>
      <c r="BC1939" s="169"/>
    </row>
    <row r="1940" spans="40:55">
      <c r="AN1940" s="454"/>
      <c r="BC1940" s="169"/>
    </row>
    <row r="1941" spans="40:55">
      <c r="AN1941" s="454"/>
      <c r="BC1941" s="169"/>
    </row>
    <row r="1942" spans="40:55">
      <c r="AN1942" s="454"/>
      <c r="BC1942" s="169"/>
    </row>
    <row r="1943" spans="40:55">
      <c r="AN1943" s="454"/>
      <c r="BC1943" s="169"/>
    </row>
    <row r="1944" spans="40:55">
      <c r="AN1944" s="454"/>
      <c r="BC1944" s="169"/>
    </row>
    <row r="1945" spans="40:55">
      <c r="AN1945" s="454"/>
      <c r="BC1945" s="169"/>
    </row>
    <row r="1946" spans="40:55">
      <c r="AN1946" s="454"/>
      <c r="BC1946" s="169"/>
    </row>
    <row r="1947" spans="40:55">
      <c r="AN1947" s="454"/>
      <c r="BC1947" s="169"/>
    </row>
    <row r="1948" spans="40:55">
      <c r="AN1948" s="454"/>
      <c r="BC1948" s="169"/>
    </row>
    <row r="1949" spans="40:55">
      <c r="AN1949" s="454"/>
      <c r="BC1949" s="169"/>
    </row>
    <row r="1950" spans="40:55">
      <c r="AN1950" s="454"/>
      <c r="BC1950" s="169"/>
    </row>
    <row r="1951" spans="40:55">
      <c r="AN1951" s="454"/>
      <c r="BC1951" s="169"/>
    </row>
    <row r="1952" spans="40:55">
      <c r="AN1952" s="454"/>
      <c r="BC1952" s="169"/>
    </row>
    <row r="1953" spans="40:55">
      <c r="AN1953" s="454"/>
      <c r="BC1953" s="169"/>
    </row>
    <row r="1954" spans="40:55">
      <c r="AN1954" s="454"/>
      <c r="BC1954" s="169"/>
    </row>
    <row r="1955" spans="40:55">
      <c r="AN1955" s="454"/>
      <c r="BC1955" s="169"/>
    </row>
    <row r="1956" spans="40:55">
      <c r="AN1956" s="454"/>
      <c r="BC1956" s="169"/>
    </row>
    <row r="1957" spans="40:55">
      <c r="AN1957" s="454"/>
      <c r="BC1957" s="169"/>
    </row>
    <row r="1958" spans="40:55">
      <c r="AN1958" s="454"/>
      <c r="BC1958" s="169"/>
    </row>
    <row r="1959" spans="40:55">
      <c r="AN1959" s="454"/>
      <c r="BC1959" s="169"/>
    </row>
    <row r="1960" spans="40:55">
      <c r="AN1960" s="454"/>
      <c r="BC1960" s="169"/>
    </row>
    <row r="1961" spans="40:55">
      <c r="AN1961" s="454"/>
      <c r="BC1961" s="169"/>
    </row>
    <row r="1962" spans="40:55">
      <c r="AN1962" s="454"/>
      <c r="BC1962" s="169"/>
    </row>
    <row r="1963" spans="40:55">
      <c r="AN1963" s="454"/>
      <c r="BC1963" s="169"/>
    </row>
    <row r="1964" spans="40:55">
      <c r="AN1964" s="454"/>
      <c r="BC1964" s="169"/>
    </row>
    <row r="1965" spans="40:55">
      <c r="AN1965" s="454"/>
      <c r="BC1965" s="169"/>
    </row>
    <row r="1966" spans="40:55">
      <c r="AN1966" s="454"/>
      <c r="BC1966" s="169"/>
    </row>
    <row r="1967" spans="40:55">
      <c r="AN1967" s="454"/>
      <c r="BC1967" s="169"/>
    </row>
    <row r="1968" spans="40:55">
      <c r="AN1968" s="454"/>
      <c r="BC1968" s="169"/>
    </row>
    <row r="1969" spans="40:55">
      <c r="AN1969" s="454"/>
      <c r="BC1969" s="169"/>
    </row>
    <row r="1970" spans="40:55">
      <c r="AN1970" s="454"/>
      <c r="BC1970" s="169"/>
    </row>
    <row r="1971" spans="40:55">
      <c r="AN1971" s="454"/>
      <c r="BC1971" s="169"/>
    </row>
    <row r="1972" spans="40:55">
      <c r="AN1972" s="454"/>
      <c r="BC1972" s="169"/>
    </row>
    <row r="1973" spans="40:55">
      <c r="AN1973" s="454"/>
      <c r="BC1973" s="169"/>
    </row>
    <row r="1974" spans="40:55">
      <c r="AN1974" s="454"/>
      <c r="BC1974" s="169"/>
    </row>
    <row r="1975" spans="40:55">
      <c r="AN1975" s="454"/>
      <c r="BC1975" s="169"/>
    </row>
    <row r="1976" spans="40:55">
      <c r="AN1976" s="454"/>
      <c r="BC1976" s="169"/>
    </row>
    <row r="1977" spans="40:55">
      <c r="AN1977" s="454"/>
      <c r="BC1977" s="169"/>
    </row>
    <row r="1978" spans="40:55">
      <c r="AN1978" s="454"/>
      <c r="BC1978" s="169"/>
    </row>
    <row r="1979" spans="40:55">
      <c r="AN1979" s="454"/>
      <c r="BC1979" s="169"/>
    </row>
    <row r="1980" spans="40:55">
      <c r="AN1980" s="454"/>
      <c r="BC1980" s="169"/>
    </row>
    <row r="1981" spans="40:55">
      <c r="AN1981" s="454"/>
      <c r="BC1981" s="169"/>
    </row>
    <row r="1982" spans="40:55">
      <c r="AN1982" s="454"/>
      <c r="BC1982" s="169"/>
    </row>
    <row r="1983" spans="40:55">
      <c r="AN1983" s="454"/>
      <c r="BC1983" s="169"/>
    </row>
    <row r="1984" spans="40:55">
      <c r="AN1984" s="454"/>
      <c r="BC1984" s="169"/>
    </row>
    <row r="1985" spans="40:55">
      <c r="AN1985" s="454"/>
      <c r="BC1985" s="169"/>
    </row>
    <row r="1986" spans="40:55">
      <c r="AN1986" s="454"/>
      <c r="BC1986" s="169"/>
    </row>
    <row r="1987" spans="40:55">
      <c r="AN1987" s="454"/>
      <c r="BC1987" s="169"/>
    </row>
    <row r="1988" spans="40:55">
      <c r="AN1988" s="454"/>
      <c r="BC1988" s="169"/>
    </row>
    <row r="1989" spans="40:55">
      <c r="AN1989" s="454"/>
      <c r="BC1989" s="169"/>
    </row>
    <row r="1990" spans="40:55">
      <c r="AN1990" s="454"/>
      <c r="BC1990" s="169"/>
    </row>
    <row r="1991" spans="40:55">
      <c r="AN1991" s="454"/>
      <c r="BC1991" s="169"/>
    </row>
    <row r="1992" spans="40:55">
      <c r="AN1992" s="454"/>
      <c r="BC1992" s="169"/>
    </row>
    <row r="1993" spans="40:55">
      <c r="AN1993" s="454"/>
      <c r="BC1993" s="169"/>
    </row>
    <row r="1994" spans="40:55">
      <c r="AN1994" s="454"/>
      <c r="BC1994" s="169"/>
    </row>
    <row r="1995" spans="40:55">
      <c r="AN1995" s="454"/>
      <c r="BC1995" s="169"/>
    </row>
    <row r="1996" spans="40:55">
      <c r="AN1996" s="454"/>
      <c r="BC1996" s="169"/>
    </row>
    <row r="1997" spans="40:55">
      <c r="AN1997" s="454"/>
      <c r="BC1997" s="169"/>
    </row>
    <row r="1998" spans="40:55">
      <c r="AN1998" s="454"/>
    </row>
    <row r="1999" spans="40:55">
      <c r="AN1999" s="454"/>
    </row>
    <row r="2000" spans="40:55">
      <c r="AN2000" s="454"/>
    </row>
    <row r="2001" spans="40:40">
      <c r="AN2001" s="454"/>
    </row>
    <row r="2002" spans="40:40">
      <c r="AN2002" s="454"/>
    </row>
    <row r="2003" spans="40:40">
      <c r="AN2003" s="454"/>
    </row>
    <row r="2004" spans="40:40">
      <c r="AN2004" s="454"/>
    </row>
    <row r="2005" spans="40:40">
      <c r="AN2005" s="454"/>
    </row>
    <row r="2006" spans="40:40">
      <c r="AN2006" s="454"/>
    </row>
    <row r="2007" spans="40:40">
      <c r="AN2007" s="454"/>
    </row>
    <row r="2008" spans="40:40">
      <c r="AN2008" s="454"/>
    </row>
    <row r="2009" spans="40:40">
      <c r="AN2009" s="454"/>
    </row>
    <row r="2010" spans="40:40">
      <c r="AN2010" s="454"/>
    </row>
    <row r="2011" spans="40:40">
      <c r="AN2011" s="454"/>
    </row>
    <row r="2012" spans="40:40">
      <c r="AN2012" s="454"/>
    </row>
    <row r="2013" spans="40:40">
      <c r="AN2013" s="454"/>
    </row>
    <row r="2014" spans="40:40">
      <c r="AN2014" s="454"/>
    </row>
    <row r="2015" spans="40:40">
      <c r="AN2015" s="454"/>
    </row>
    <row r="2016" spans="40:40">
      <c r="AN2016" s="454"/>
    </row>
    <row r="2017" spans="40:40">
      <c r="AN2017" s="454"/>
    </row>
    <row r="2018" spans="40:40">
      <c r="AN2018" s="454"/>
    </row>
    <row r="2019" spans="40:40">
      <c r="AN2019" s="454"/>
    </row>
    <row r="2020" spans="40:40">
      <c r="AN2020" s="454"/>
    </row>
    <row r="2021" spans="40:40">
      <c r="AN2021" s="454"/>
    </row>
    <row r="2022" spans="40:40">
      <c r="AN2022" s="454"/>
    </row>
    <row r="2023" spans="40:40">
      <c r="AN2023" s="454"/>
    </row>
    <row r="2024" spans="40:40">
      <c r="AN2024" s="454"/>
    </row>
    <row r="2025" spans="40:40">
      <c r="AN2025" s="454"/>
    </row>
    <row r="2026" spans="40:40">
      <c r="AN2026" s="454"/>
    </row>
    <row r="2027" spans="40:40">
      <c r="AN2027" s="454"/>
    </row>
    <row r="2028" spans="40:40">
      <c r="AN2028" s="454"/>
    </row>
    <row r="2029" spans="40:40">
      <c r="AN2029" s="454"/>
    </row>
    <row r="2030" spans="40:40">
      <c r="AN2030" s="454"/>
    </row>
    <row r="2031" spans="40:40">
      <c r="AN2031" s="454"/>
    </row>
    <row r="2032" spans="40:40">
      <c r="AN2032" s="454"/>
    </row>
    <row r="2033" spans="40:40">
      <c r="AN2033" s="454"/>
    </row>
    <row r="2034" spans="40:40">
      <c r="AN2034" s="454"/>
    </row>
    <row r="2035" spans="40:40">
      <c r="AN2035" s="454"/>
    </row>
    <row r="2036" spans="40:40">
      <c r="AN2036" s="454"/>
    </row>
    <row r="2037" spans="40:40">
      <c r="AN2037" s="454"/>
    </row>
    <row r="2038" spans="40:40">
      <c r="AN2038" s="454"/>
    </row>
    <row r="2039" spans="40:40">
      <c r="AN2039" s="454"/>
    </row>
    <row r="2040" spans="40:40">
      <c r="AN2040" s="454"/>
    </row>
    <row r="2041" spans="40:40">
      <c r="AN2041" s="454"/>
    </row>
    <row r="2042" spans="40:40">
      <c r="AN2042" s="454"/>
    </row>
    <row r="2043" spans="40:40">
      <c r="AN2043" s="454"/>
    </row>
    <row r="2044" spans="40:40">
      <c r="AN2044" s="454"/>
    </row>
    <row r="2045" spans="40:40">
      <c r="AN2045" s="454"/>
    </row>
    <row r="2046" spans="40:40">
      <c r="AN2046" s="454"/>
    </row>
    <row r="2047" spans="40:40">
      <c r="AN2047" s="454"/>
    </row>
    <row r="2048" spans="40:40">
      <c r="AN2048" s="454"/>
    </row>
    <row r="2049" spans="40:40">
      <c r="AN2049" s="454"/>
    </row>
    <row r="2050" spans="40:40">
      <c r="AN2050" s="454"/>
    </row>
    <row r="2051" spans="40:40">
      <c r="AN2051" s="454"/>
    </row>
    <row r="2052" spans="40:40">
      <c r="AN2052" s="454"/>
    </row>
    <row r="2053" spans="40:40">
      <c r="AN2053" s="454"/>
    </row>
    <row r="2054" spans="40:40">
      <c r="AN2054" s="454"/>
    </row>
    <row r="2055" spans="40:40">
      <c r="AN2055" s="454"/>
    </row>
    <row r="2056" spans="40:40">
      <c r="AN2056" s="454"/>
    </row>
    <row r="2057" spans="40:40">
      <c r="AN2057" s="454"/>
    </row>
    <row r="2058" spans="40:40">
      <c r="AN2058" s="454"/>
    </row>
    <row r="2059" spans="40:40">
      <c r="AN2059" s="454"/>
    </row>
    <row r="2060" spans="40:40">
      <c r="AN2060" s="454"/>
    </row>
    <row r="2061" spans="40:40">
      <c r="AN2061" s="454"/>
    </row>
    <row r="2062" spans="40:40">
      <c r="AN2062" s="454"/>
    </row>
    <row r="2063" spans="40:40">
      <c r="AN2063" s="454"/>
    </row>
    <row r="2064" spans="40:40">
      <c r="AN2064" s="454"/>
    </row>
    <row r="2065" spans="40:40">
      <c r="AN2065" s="454"/>
    </row>
    <row r="2066" spans="40:40">
      <c r="AN2066" s="454"/>
    </row>
    <row r="2067" spans="40:40">
      <c r="AN2067" s="454"/>
    </row>
    <row r="2068" spans="40:40">
      <c r="AN2068" s="454"/>
    </row>
    <row r="2069" spans="40:40">
      <c r="AN2069" s="454"/>
    </row>
    <row r="2070" spans="40:40">
      <c r="AN2070" s="454"/>
    </row>
    <row r="2071" spans="40:40">
      <c r="AN2071" s="454"/>
    </row>
    <row r="2072" spans="40:40">
      <c r="AN2072" s="454"/>
    </row>
    <row r="2073" spans="40:40">
      <c r="AN2073" s="454"/>
    </row>
    <row r="2074" spans="40:40">
      <c r="AN2074" s="454"/>
    </row>
    <row r="2075" spans="40:40">
      <c r="AN2075" s="454"/>
    </row>
    <row r="2076" spans="40:40">
      <c r="AN2076" s="454"/>
    </row>
    <row r="2077" spans="40:40">
      <c r="AN2077" s="454"/>
    </row>
    <row r="2078" spans="40:40">
      <c r="AN2078" s="454"/>
    </row>
    <row r="2079" spans="40:40">
      <c r="AN2079" s="454"/>
    </row>
    <row r="2080" spans="40:40">
      <c r="AN2080" s="454"/>
    </row>
    <row r="2081" spans="40:40">
      <c r="AN2081" s="454"/>
    </row>
    <row r="2082" spans="40:40">
      <c r="AN2082" s="454"/>
    </row>
    <row r="2083" spans="40:40">
      <c r="AN2083" s="454"/>
    </row>
    <row r="2084" spans="40:40">
      <c r="AN2084" s="454"/>
    </row>
    <row r="2085" spans="40:40">
      <c r="AN2085" s="454"/>
    </row>
    <row r="2086" spans="40:40">
      <c r="AN2086" s="454"/>
    </row>
    <row r="2087" spans="40:40">
      <c r="AN2087" s="454"/>
    </row>
    <row r="2088" spans="40:40">
      <c r="AN2088" s="454"/>
    </row>
    <row r="2089" spans="40:40">
      <c r="AN2089" s="454"/>
    </row>
    <row r="2090" spans="40:40">
      <c r="AN2090" s="454"/>
    </row>
    <row r="2091" spans="40:40">
      <c r="AN2091" s="454"/>
    </row>
    <row r="2092" spans="40:40">
      <c r="AN2092" s="454"/>
    </row>
    <row r="2093" spans="40:40">
      <c r="AN2093" s="454"/>
    </row>
    <row r="2094" spans="40:40">
      <c r="AN2094" s="454"/>
    </row>
    <row r="2095" spans="40:40">
      <c r="AN2095" s="454"/>
    </row>
    <row r="2096" spans="40:40">
      <c r="AN2096" s="454"/>
    </row>
    <row r="2097" spans="40:40">
      <c r="AN2097" s="454"/>
    </row>
    <row r="2098" spans="40:40">
      <c r="AN2098" s="454"/>
    </row>
    <row r="2099" spans="40:40">
      <c r="AN2099" s="454"/>
    </row>
    <row r="2100" spans="40:40">
      <c r="AN2100" s="454"/>
    </row>
    <row r="2101" spans="40:40">
      <c r="AN2101" s="454"/>
    </row>
    <row r="2102" spans="40:40">
      <c r="AN2102" s="454"/>
    </row>
    <row r="2103" spans="40:40">
      <c r="AN2103" s="454"/>
    </row>
    <row r="2104" spans="40:40">
      <c r="AN2104" s="454"/>
    </row>
    <row r="2105" spans="40:40">
      <c r="AN2105" s="454"/>
    </row>
    <row r="2106" spans="40:40">
      <c r="AN2106" s="454"/>
    </row>
    <row r="2107" spans="40:40">
      <c r="AN2107" s="454"/>
    </row>
    <row r="2108" spans="40:40">
      <c r="AN2108" s="454"/>
    </row>
    <row r="2109" spans="40:40">
      <c r="AN2109" s="454"/>
    </row>
    <row r="2110" spans="40:40">
      <c r="AN2110" s="454"/>
    </row>
    <row r="2111" spans="40:40">
      <c r="AN2111" s="454"/>
    </row>
    <row r="2112" spans="40:40">
      <c r="AN2112" s="454"/>
    </row>
    <row r="2113" spans="40:40">
      <c r="AN2113" s="454"/>
    </row>
    <row r="2114" spans="40:40">
      <c r="AN2114" s="454"/>
    </row>
    <row r="2115" spans="40:40">
      <c r="AN2115" s="454"/>
    </row>
    <row r="2116" spans="40:40">
      <c r="AN2116" s="454"/>
    </row>
    <row r="2117" spans="40:40">
      <c r="AN2117" s="454"/>
    </row>
    <row r="2118" spans="40:40">
      <c r="AN2118" s="454"/>
    </row>
    <row r="2119" spans="40:40">
      <c r="AN2119" s="454"/>
    </row>
    <row r="2120" spans="40:40">
      <c r="AN2120" s="454"/>
    </row>
    <row r="2121" spans="40:40">
      <c r="AN2121" s="454"/>
    </row>
    <row r="2122" spans="40:40">
      <c r="AN2122" s="454"/>
    </row>
    <row r="2123" spans="40:40">
      <c r="AN2123" s="454"/>
    </row>
    <row r="2124" spans="40:40">
      <c r="AN2124" s="454"/>
    </row>
    <row r="2125" spans="40:40">
      <c r="AN2125" s="454"/>
    </row>
    <row r="2126" spans="40:40">
      <c r="AN2126" s="454"/>
    </row>
    <row r="2127" spans="40:40">
      <c r="AN2127" s="454"/>
    </row>
    <row r="2128" spans="40:40">
      <c r="AN2128" s="454"/>
    </row>
    <row r="2129" spans="40:40">
      <c r="AN2129" s="454"/>
    </row>
    <row r="2130" spans="40:40">
      <c r="AN2130" s="454"/>
    </row>
    <row r="2131" spans="40:40">
      <c r="AN2131" s="454"/>
    </row>
    <row r="2132" spans="40:40">
      <c r="AN2132" s="454"/>
    </row>
    <row r="2133" spans="40:40">
      <c r="AN2133" s="454"/>
    </row>
    <row r="2134" spans="40:40">
      <c r="AN2134" s="454"/>
    </row>
    <row r="2135" spans="40:40">
      <c r="AN2135" s="454"/>
    </row>
    <row r="2136" spans="40:40">
      <c r="AN2136" s="454"/>
    </row>
    <row r="2137" spans="40:40">
      <c r="AN2137" s="454"/>
    </row>
    <row r="2138" spans="40:40">
      <c r="AN2138" s="454"/>
    </row>
    <row r="2139" spans="40:40">
      <c r="AN2139" s="454"/>
    </row>
    <row r="2140" spans="40:40">
      <c r="AN2140" s="454"/>
    </row>
    <row r="2141" spans="40:40">
      <c r="AN2141" s="454"/>
    </row>
    <row r="2142" spans="40:40">
      <c r="AN2142" s="454"/>
    </row>
    <row r="2143" spans="40:40">
      <c r="AN2143" s="454"/>
    </row>
    <row r="2144" spans="40:40">
      <c r="AN2144" s="454"/>
    </row>
    <row r="2145" spans="40:40">
      <c r="AN2145" s="454"/>
    </row>
    <row r="2146" spans="40:40">
      <c r="AN2146" s="454"/>
    </row>
    <row r="2147" spans="40:40">
      <c r="AN2147" s="454"/>
    </row>
    <row r="2148" spans="40:40">
      <c r="AN2148" s="454"/>
    </row>
    <row r="2149" spans="40:40">
      <c r="AN2149" s="454"/>
    </row>
    <row r="2150" spans="40:40">
      <c r="AN2150" s="454"/>
    </row>
    <row r="2151" spans="40:40">
      <c r="AN2151" s="454"/>
    </row>
    <row r="2152" spans="40:40">
      <c r="AN2152" s="454"/>
    </row>
    <row r="2153" spans="40:40">
      <c r="AN2153" s="454"/>
    </row>
    <row r="2154" spans="40:40">
      <c r="AN2154" s="454"/>
    </row>
    <row r="2155" spans="40:40">
      <c r="AN2155" s="454"/>
    </row>
    <row r="2156" spans="40:40">
      <c r="AN2156" s="454"/>
    </row>
    <row r="2157" spans="40:40">
      <c r="AN2157" s="454"/>
    </row>
    <row r="2158" spans="40:40">
      <c r="AN2158" s="454"/>
    </row>
    <row r="2159" spans="40:40">
      <c r="AN2159" s="454"/>
    </row>
    <row r="2160" spans="40:40">
      <c r="AN2160" s="454"/>
    </row>
    <row r="2161" spans="40:40">
      <c r="AN2161" s="454"/>
    </row>
    <row r="2162" spans="40:40">
      <c r="AN2162" s="454"/>
    </row>
    <row r="2163" spans="40:40">
      <c r="AN2163" s="454"/>
    </row>
    <row r="2164" spans="40:40">
      <c r="AN2164" s="454"/>
    </row>
    <row r="2165" spans="40:40">
      <c r="AN2165" s="454"/>
    </row>
  </sheetData>
  <autoFilter ref="A2:BG95" xr:uid="{00000000-0009-0000-0000-000004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autoFilter>
  <mergeCells count="10">
    <mergeCell ref="BD1:BG1"/>
    <mergeCell ref="AN2:AP2"/>
    <mergeCell ref="AQ2:AS2"/>
    <mergeCell ref="AT2:AV2"/>
    <mergeCell ref="A1:BB1"/>
    <mergeCell ref="N2:P2"/>
    <mergeCell ref="T2:V2"/>
    <mergeCell ref="W2:Y2"/>
    <mergeCell ref="Z2:AB2"/>
    <mergeCell ref="AC2:AE2"/>
  </mergeCells>
  <conditionalFormatting sqref="B4:BA87">
    <cfRule type="expression" dxfId="1383" priority="23">
      <formula>$M4="NON DEFINED"</formula>
    </cfRule>
    <cfRule type="expression" dxfId="1382" priority="24">
      <formula>$AY4="N.D."</formula>
    </cfRule>
  </conditionalFormatting>
  <conditionalFormatting sqref="BD5:BE5 BD9:BE9 BD13:BE13 BD15:BE15 BD17:BE17 BD19:BE19 BD21:BE21 BD23:BE23 BD27:BE27 BD29:BE29 BD31:BE31 BD33:BE33 BD37:BE37 BD39:BE39 BD43:BE43 BD45:BE45 BD47:BE47 BD49:BE49 BD53:BE53 BD55:BE55 BD57:BE57 BD61:BE61 BD63:BE63 BD65:BE65 BD67:BE67 BD69:BE69 BD73:BE73 BD75:BE75 BD81:BG81 BD87:BE87 BG83 BD4 BD7:BE7 BD11:BE11 BD25:BE25 BD35:BE35 BD34 BD41:BE41 BD40 BD51:BE51 BD50 BD59:BE59 BD58 BD71:BE71 BD70 BD77:BG77 BD76 BD79:BG79 BD78 BD82 BG85 BD86 BD8 BD10 BD24 BG71 BG59 BG51 BG41 BG35 BG75 BG73 BG69 BG67 BG65 BG63 BG61 BG57 BG55 BG53 BG49 BG47 BG45 BG43 BG39 BG37 BG33 BG31 BG29 BG27 BG23 BG19 BG15 BG13 BG9 BG5 BG87">
    <cfRule type="containsBlanks" dxfId="1381" priority="21">
      <formula>LEN(TRIM(BD4))=0</formula>
    </cfRule>
  </conditionalFormatting>
  <conditionalFormatting sqref="BC4:BC87 BC96:BC1997">
    <cfRule type="containsText" dxfId="1380" priority="19" operator="containsText" text="a">
      <formula>NOT(ISERROR(SEARCH("a",BC4)))</formula>
    </cfRule>
    <cfRule type="containsText" dxfId="1379" priority="20" operator="containsText" text="R">
      <formula>NOT(ISERROR(SEARCH("R",BC4)))</formula>
    </cfRule>
  </conditionalFormatting>
  <conditionalFormatting sqref="BA4:BA87">
    <cfRule type="expression" dxfId="1378" priority="18">
      <formula>$BC4="R"</formula>
    </cfRule>
  </conditionalFormatting>
  <conditionalFormatting sqref="BC89:BG95">
    <cfRule type="cellIs" dxfId="1377" priority="8" operator="equal">
      <formula>0</formula>
    </cfRule>
  </conditionalFormatting>
  <conditionalFormatting sqref="A89:BB95">
    <cfRule type="cellIs" dxfId="1376" priority="12" operator="equal">
      <formula>0</formula>
    </cfRule>
  </conditionalFormatting>
  <conditionalFormatting sqref="B89:BA95 BC89:BG95">
    <cfRule type="expression" dxfId="1375" priority="10">
      <formula>$M89="NON DEFINED"</formula>
    </cfRule>
    <cfRule type="expression" dxfId="1374" priority="11">
      <formula>$AY89="N.D."</formula>
    </cfRule>
  </conditionalFormatting>
  <conditionalFormatting sqref="BA89:BA95">
    <cfRule type="expression" dxfId="1373" priority="9">
      <formula>$BC89="R"</formula>
    </cfRule>
  </conditionalFormatting>
  <conditionalFormatting sqref="A88:BG88">
    <cfRule type="cellIs" dxfId="1372" priority="2" operator="equal">
      <formula>0</formula>
    </cfRule>
  </conditionalFormatting>
  <conditionalFormatting sqref="AN4:AN95">
    <cfRule type="cellIs" dxfId="1371" priority="1" operator="notEqual">
      <formula>5.5</formula>
    </cfRule>
  </conditionalFormatting>
  <printOptions horizontalCentered="1"/>
  <pageMargins left="0.39370078740157483" right="0.39370078740157483" top="0.78740157480314965" bottom="0.78740157480314965" header="0.31496062992125984" footer="0.31496062992125984"/>
  <pageSetup paperSize="9" scale="53" fitToHeight="0" orientation="landscape" r:id="rId1"/>
  <headerFooter alignWithMargins="0">
    <oddHeader>&amp;L&amp;G&amp;C
LAYOUT AND EQUIPMENT
EP06 TRACK 2 RA'AN-HER
KP12+550 - 14+100&amp;R&amp;G</oddHeader>
    <oddFooter>&amp;L&amp;G
&amp;F&amp;C&amp;D&amp;RPag &amp;P of &amp;N</oddFoot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30">
    <tabColor theme="2" tint="-0.499984740745262"/>
    <pageSetUpPr fitToPage="1"/>
  </sheetPr>
  <dimension ref="A1:BF2000"/>
  <sheetViews>
    <sheetView view="pageBreakPreview" zoomScale="25" zoomScaleNormal="85" zoomScaleSheetLayoutView="25" workbookViewId="0">
      <pane xSplit="2" ySplit="3" topLeftCell="C4" activePane="bottomRight" state="frozen"/>
      <selection activeCell="G124" sqref="G124"/>
      <selection pane="topRight" activeCell="G124" sqref="G124"/>
      <selection pane="bottomLeft" activeCell="G124" sqref="G124"/>
      <selection pane="bottomRight" activeCell="G124" sqref="G124"/>
    </sheetView>
  </sheetViews>
  <sheetFormatPr baseColWidth="10" defaultColWidth="11.453125" defaultRowHeight="15.75" customHeight="1"/>
  <cols>
    <col min="1" max="1" width="20.6328125" style="178" customWidth="1"/>
    <col min="2" max="2" width="12.6328125" style="178" customWidth="1"/>
    <col min="3" max="3" width="12.6328125" style="184" customWidth="1"/>
    <col min="4" max="5" width="12.6328125" style="178" hidden="1" customWidth="1"/>
    <col min="6" max="6" width="12.6328125" style="178" customWidth="1"/>
    <col min="7" max="7" width="12.36328125" style="454" customWidth="1"/>
    <col min="8" max="8" width="12.6328125" style="179" customWidth="1"/>
    <col min="9" max="9" width="12.6328125" style="184" customWidth="1"/>
    <col min="10" max="10" width="16" style="178" bestFit="1" customWidth="1"/>
    <col min="11" max="12" width="14.6328125" style="178" customWidth="1"/>
    <col min="13" max="15" width="8.6328125" style="178" hidden="1" customWidth="1"/>
    <col min="16" max="18" width="12.6328125" style="178" hidden="1" customWidth="1"/>
    <col min="19" max="27" width="8.6328125" style="178" hidden="1" customWidth="1"/>
    <col min="28" max="30" width="10.6328125" style="178" hidden="1" customWidth="1"/>
    <col min="31" max="31" width="13.54296875" style="178" hidden="1" customWidth="1"/>
    <col min="32" max="32" width="12.6328125" style="184" hidden="1" customWidth="1"/>
    <col min="33" max="35" width="12.6328125" style="178" hidden="1" customWidth="1"/>
    <col min="36" max="37" width="12.6328125" style="178" customWidth="1"/>
    <col min="38" max="38" width="12.6328125" style="178" hidden="1" customWidth="1"/>
    <col min="39" max="39" width="8.6328125" style="458" hidden="1" customWidth="1"/>
    <col min="40" max="41" width="8.6328125" style="169" hidden="1" customWidth="1"/>
    <col min="42" max="45" width="8.6328125" style="458" hidden="1" customWidth="1"/>
    <col min="46" max="47" width="8.6328125" style="169" hidden="1" customWidth="1"/>
    <col min="48" max="49" width="12.6328125" style="169" customWidth="1"/>
    <col min="50" max="51" width="12.6328125" style="458" customWidth="1"/>
    <col min="52" max="52" width="12.6328125" style="169" customWidth="1"/>
    <col min="53" max="53" width="21.6328125" style="178" customWidth="1"/>
    <col min="54" max="54" width="18" style="178" customWidth="1"/>
    <col min="55" max="58" width="14.54296875" style="1323" customWidth="1"/>
    <col min="59" max="59" width="11.453125" style="178" customWidth="1"/>
    <col min="60" max="16384" width="11.453125" style="178"/>
  </cols>
  <sheetData>
    <row r="1" spans="1:58" ht="35.25" customHeight="1">
      <c r="A1" s="1605" t="s">
        <v>2418</v>
      </c>
      <c r="B1" s="1605"/>
      <c r="C1" s="1605"/>
      <c r="D1" s="1605"/>
      <c r="E1" s="1605"/>
      <c r="F1" s="1605"/>
      <c r="G1" s="1605"/>
      <c r="H1" s="1605"/>
      <c r="I1" s="1605"/>
      <c r="J1" s="1605"/>
      <c r="K1" s="1605"/>
      <c r="L1" s="1605"/>
      <c r="M1" s="1605"/>
      <c r="N1" s="1605"/>
      <c r="O1" s="1605"/>
      <c r="P1" s="1605"/>
      <c r="Q1" s="1605"/>
      <c r="R1" s="1605"/>
      <c r="S1" s="1605"/>
      <c r="T1" s="1605"/>
      <c r="U1" s="1605"/>
      <c r="V1" s="1605"/>
      <c r="W1" s="1605"/>
      <c r="X1" s="1605"/>
      <c r="Y1" s="1605"/>
      <c r="Z1" s="1605"/>
      <c r="AA1" s="1605"/>
      <c r="AB1" s="1605"/>
      <c r="AC1" s="1605"/>
      <c r="AD1" s="1605"/>
      <c r="AE1" s="1605"/>
      <c r="AF1" s="1605"/>
      <c r="AG1" s="1605"/>
      <c r="AH1" s="1605"/>
      <c r="AI1" s="1605"/>
      <c r="AJ1" s="1605"/>
      <c r="AK1" s="1605"/>
      <c r="AL1" s="1605"/>
      <c r="AM1" s="1605"/>
      <c r="AN1" s="1605"/>
      <c r="AO1" s="1605"/>
      <c r="AP1" s="1605"/>
      <c r="AQ1" s="1605"/>
      <c r="AR1" s="1605"/>
      <c r="AS1" s="1605"/>
      <c r="AT1" s="1605"/>
      <c r="AU1" s="1605"/>
      <c r="AV1" s="1605"/>
      <c r="AW1" s="1605"/>
      <c r="AX1" s="1605"/>
      <c r="AY1" s="1605"/>
      <c r="AZ1" s="1605"/>
      <c r="BA1" s="1605"/>
      <c r="BB1" s="693" t="s">
        <v>4947</v>
      </c>
      <c r="BC1" s="1599" t="s">
        <v>4916</v>
      </c>
      <c r="BD1" s="1599"/>
      <c r="BE1" s="1599"/>
      <c r="BF1" s="1599"/>
    </row>
    <row r="2" spans="1:58" s="699" customFormat="1" ht="42" customHeight="1">
      <c r="A2" s="1255" t="s">
        <v>4417</v>
      </c>
      <c r="B2" s="1255" t="s">
        <v>4418</v>
      </c>
      <c r="C2" s="884" t="s">
        <v>2315</v>
      </c>
      <c r="D2" s="1255" t="s">
        <v>4419</v>
      </c>
      <c r="E2" s="1255" t="s">
        <v>4855</v>
      </c>
      <c r="F2" s="1255" t="s">
        <v>4856</v>
      </c>
      <c r="G2" s="1256" t="s">
        <v>4857</v>
      </c>
      <c r="H2" s="885" t="s">
        <v>454</v>
      </c>
      <c r="I2" s="885" t="s">
        <v>4423</v>
      </c>
      <c r="J2" s="1255" t="s">
        <v>1362</v>
      </c>
      <c r="K2" s="1255" t="s">
        <v>456</v>
      </c>
      <c r="L2" s="1255" t="s">
        <v>453</v>
      </c>
      <c r="M2" s="1603" t="s">
        <v>457</v>
      </c>
      <c r="N2" s="1603"/>
      <c r="O2" s="1603"/>
      <c r="P2" s="1255" t="s">
        <v>4858</v>
      </c>
      <c r="Q2" s="1255" t="s">
        <v>4859</v>
      </c>
      <c r="R2" s="1255" t="s">
        <v>4860</v>
      </c>
      <c r="S2" s="1603" t="s">
        <v>4861</v>
      </c>
      <c r="T2" s="1603"/>
      <c r="U2" s="1603"/>
      <c r="V2" s="1603" t="s">
        <v>4862</v>
      </c>
      <c r="W2" s="1603"/>
      <c r="X2" s="1603"/>
      <c r="Y2" s="1603" t="s">
        <v>4863</v>
      </c>
      <c r="Z2" s="1603"/>
      <c r="AA2" s="1603"/>
      <c r="AB2" s="1603" t="s">
        <v>628</v>
      </c>
      <c r="AC2" s="1603"/>
      <c r="AD2" s="1603"/>
      <c r="AE2" s="1255" t="s">
        <v>4872</v>
      </c>
      <c r="AF2" s="884" t="s">
        <v>4864</v>
      </c>
      <c r="AG2" s="1255" t="s">
        <v>4865</v>
      </c>
      <c r="AH2" s="1255" t="s">
        <v>4866</v>
      </c>
      <c r="AI2" s="1255" t="s">
        <v>629</v>
      </c>
      <c r="AJ2" s="1255" t="s">
        <v>458</v>
      </c>
      <c r="AK2" s="1255" t="s">
        <v>459</v>
      </c>
      <c r="AL2" s="1255" t="s">
        <v>631</v>
      </c>
      <c r="AM2" s="1603" t="s">
        <v>4867</v>
      </c>
      <c r="AN2" s="1603"/>
      <c r="AO2" s="1603"/>
      <c r="AP2" s="1604" t="s">
        <v>460</v>
      </c>
      <c r="AQ2" s="1604"/>
      <c r="AR2" s="1604"/>
      <c r="AS2" s="1603" t="s">
        <v>630</v>
      </c>
      <c r="AT2" s="1603"/>
      <c r="AU2" s="1603"/>
      <c r="AV2" s="1255" t="s">
        <v>4868</v>
      </c>
      <c r="AW2" s="1255" t="s">
        <v>4904</v>
      </c>
      <c r="AX2" s="1256" t="s">
        <v>4869</v>
      </c>
      <c r="AY2" s="1256" t="s">
        <v>4870</v>
      </c>
      <c r="AZ2" s="1255" t="s">
        <v>1670</v>
      </c>
      <c r="BA2" s="1255" t="s">
        <v>4871</v>
      </c>
      <c r="BB2" s="693" t="s">
        <v>4948</v>
      </c>
      <c r="BC2" s="1320" t="s">
        <v>453</v>
      </c>
      <c r="BD2" s="1320" t="s">
        <v>4922</v>
      </c>
      <c r="BE2" s="1320" t="s">
        <v>4915</v>
      </c>
      <c r="BF2" s="1320" t="s">
        <v>457</v>
      </c>
    </row>
    <row r="3" spans="1:58" ht="15.75" customHeight="1">
      <c r="A3" s="1239"/>
      <c r="B3" s="1239"/>
      <c r="C3" s="171"/>
      <c r="D3" s="1239"/>
      <c r="E3" s="1239"/>
      <c r="F3" s="172"/>
      <c r="G3" s="455"/>
      <c r="H3" s="448"/>
      <c r="I3" s="171"/>
      <c r="J3" s="1239"/>
      <c r="K3" s="1239"/>
      <c r="L3" s="1239"/>
      <c r="M3" s="420" t="s">
        <v>123</v>
      </c>
      <c r="N3" s="420" t="s">
        <v>124</v>
      </c>
      <c r="O3" s="420" t="s">
        <v>125</v>
      </c>
      <c r="P3" s="1239"/>
      <c r="Q3" s="1239"/>
      <c r="R3" s="1239"/>
      <c r="S3" s="676" t="s">
        <v>126</v>
      </c>
      <c r="T3" s="676" t="s">
        <v>127</v>
      </c>
      <c r="U3" s="676" t="s">
        <v>128</v>
      </c>
      <c r="V3" s="676" t="s">
        <v>129</v>
      </c>
      <c r="W3" s="676" t="s">
        <v>130</v>
      </c>
      <c r="X3" s="676" t="s">
        <v>131</v>
      </c>
      <c r="Y3" s="676" t="s">
        <v>132</v>
      </c>
      <c r="Z3" s="676" t="s">
        <v>133</v>
      </c>
      <c r="AA3" s="676" t="s">
        <v>134</v>
      </c>
      <c r="AB3" s="676" t="s">
        <v>135</v>
      </c>
      <c r="AC3" s="676" t="s">
        <v>136</v>
      </c>
      <c r="AD3" s="676" t="s">
        <v>137</v>
      </c>
      <c r="AE3" s="1239"/>
      <c r="AF3" s="171"/>
      <c r="AG3" s="1239"/>
      <c r="AH3" s="1239"/>
      <c r="AI3" s="1239"/>
      <c r="AJ3" s="1239"/>
      <c r="AK3" s="1239"/>
      <c r="AL3" s="1239"/>
      <c r="AM3" s="697" t="s">
        <v>129</v>
      </c>
      <c r="AN3" s="676" t="s">
        <v>130</v>
      </c>
      <c r="AO3" s="676" t="s">
        <v>131</v>
      </c>
      <c r="AP3" s="697" t="s">
        <v>613</v>
      </c>
      <c r="AQ3" s="697" t="s">
        <v>614</v>
      </c>
      <c r="AR3" s="697" t="s">
        <v>615</v>
      </c>
      <c r="AS3" s="697" t="s">
        <v>616</v>
      </c>
      <c r="AT3" s="676" t="s">
        <v>617</v>
      </c>
      <c r="AU3" s="676" t="s">
        <v>618</v>
      </c>
      <c r="AV3" s="1239"/>
      <c r="AW3" s="1239"/>
      <c r="AX3" s="455"/>
      <c r="AY3" s="455"/>
      <c r="AZ3" s="1239"/>
      <c r="BA3" s="1239"/>
      <c r="BC3" s="1239"/>
      <c r="BD3" s="1239"/>
      <c r="BE3" s="1239"/>
      <c r="BF3" s="1239"/>
    </row>
    <row r="4" spans="1:58" ht="15.75" customHeight="1">
      <c r="A4" s="501"/>
      <c r="B4" s="716" t="str">
        <f>'HR Track 1 RAAN-HER'!B87</f>
        <v>82-1.17</v>
      </c>
      <c r="C4" s="451">
        <f>'HR Track 1 RAAN-HER'!C87</f>
        <v>82983.81</v>
      </c>
      <c r="D4" s="453">
        <f>'HR Track 1 RAAN-HER'!D87</f>
        <v>0</v>
      </c>
      <c r="E4" s="452">
        <f>'HR Track 1 RAAN-HER'!E87</f>
        <v>0</v>
      </c>
      <c r="F4" s="453">
        <f>'HR Track 1 RAAN-HER'!F87</f>
        <v>0</v>
      </c>
      <c r="G4" s="500"/>
      <c r="H4" s="501"/>
      <c r="I4" s="583"/>
      <c r="J4" s="452"/>
      <c r="K4" s="452" t="str">
        <f>'HR Track 1 RAAN-HER'!L87</f>
        <v>HEB-240</v>
      </c>
      <c r="L4" s="452" t="str">
        <f>'HR Track 1 RAAN-HER'!M87</f>
        <v>C3R</v>
      </c>
      <c r="M4" s="501" t="str">
        <f>'HR Track 1 RAAN-HER'!N87</f>
        <v>EMT-2</v>
      </c>
      <c r="N4" s="501"/>
      <c r="O4" s="501"/>
      <c r="P4" s="452">
        <f>'HR Track 1 RAAN-HER'!Q87</f>
        <v>0</v>
      </c>
      <c r="Q4" s="452">
        <f>'HR Track 1 RAAN-HER'!R87</f>
        <v>0</v>
      </c>
      <c r="R4" s="500">
        <f>'HR Track 1 RAAN-HER'!S87</f>
        <v>0</v>
      </c>
      <c r="S4" s="452">
        <f>'HR Track 1 RAAN-HER'!T87</f>
        <v>35</v>
      </c>
      <c r="T4" s="452"/>
      <c r="U4" s="452"/>
      <c r="V4" s="452">
        <f>'HR Track 1 RAAN-HER'!W87</f>
        <v>1.2</v>
      </c>
      <c r="W4" s="452"/>
      <c r="X4" s="452"/>
      <c r="Y4" s="452">
        <f>'HR Track 1 RAAN-HER'!Z87</f>
        <v>0</v>
      </c>
      <c r="Z4" s="452"/>
      <c r="AA4" s="452"/>
      <c r="AB4" s="452" t="e">
        <f>'HR Track 1 RAAN-HER'!AC87</f>
        <v>#VALUE!</v>
      </c>
      <c r="AC4" s="452">
        <f>'HR Track 1 RAAN-HER'!AD87</f>
        <v>0</v>
      </c>
      <c r="AD4" s="452">
        <f>'HR Track 1 RAAN-HER'!AE87</f>
        <v>0</v>
      </c>
      <c r="AE4" s="452">
        <f>'HR Track 1 RAAN-HER'!AF87</f>
        <v>0</v>
      </c>
      <c r="AF4" s="451">
        <f>'HR Track 1 RAAN-HER'!AG87</f>
        <v>0</v>
      </c>
      <c r="AG4" s="452">
        <f>'HR Track 1 RAAN-HER'!AH87</f>
        <v>0</v>
      </c>
      <c r="AH4" s="452">
        <f>'HR Track 1 RAAN-HER'!AI87</f>
        <v>0</v>
      </c>
      <c r="AI4" s="452"/>
      <c r="AJ4" s="452"/>
      <c r="AK4" s="452"/>
      <c r="AL4" s="452" t="str">
        <f>'HR Track 1 RAAN-HER'!AM87</f>
        <v>RW2</v>
      </c>
      <c r="AM4" s="500">
        <f>'HR Track 1 RAAN-HER'!AN87</f>
        <v>5.15</v>
      </c>
      <c r="AN4" s="452">
        <f>'HR Track 1 RAAN-HER'!AO87</f>
        <v>0</v>
      </c>
      <c r="AO4" s="452">
        <f>'HR Track 1 RAAN-HER'!AP87</f>
        <v>0</v>
      </c>
      <c r="AP4" s="452"/>
      <c r="AQ4" s="452">
        <f>'HR Track 1 RAAN-HER'!AR87</f>
        <v>0</v>
      </c>
      <c r="AR4" s="452">
        <f>'HR Track 1 RAAN-HER'!AS87</f>
        <v>0</v>
      </c>
      <c r="AS4" s="452" t="e">
        <f>'HR Track 1 RAAN-HER'!AT87</f>
        <v>#VALUE!</v>
      </c>
      <c r="AT4" s="452">
        <f>'HR Track 1 RAAN-HER'!AU87</f>
        <v>0</v>
      </c>
      <c r="AU4" s="452">
        <f>'HR Track 1 RAAN-HER'!AV87</f>
        <v>0</v>
      </c>
      <c r="AV4" s="452" t="str">
        <f>'HR Track 1 RAAN-HER'!AW87</f>
        <v>Soil A</v>
      </c>
      <c r="AW4" s="452" t="str">
        <f>'HR Track 1 RAAN-HER'!AX87</f>
        <v>PT</v>
      </c>
      <c r="AX4" s="500">
        <f>'HR Track 1 RAAN-HER'!AY87</f>
        <v>3.5</v>
      </c>
      <c r="AY4" s="500"/>
      <c r="AZ4" s="1333" t="str">
        <f>'HR Track 1 RAAN-HER'!BA87</f>
        <v>ü</v>
      </c>
      <c r="BA4" s="452" t="str">
        <f>'HR Track 1 RAAN-HER'!BB87</f>
        <v>App.7.1-V01-P9.5.1.1</v>
      </c>
      <c r="BB4" s="1334">
        <f>'HR Track 1 RAAN-HER'!BC87</f>
        <v>0</v>
      </c>
      <c r="BC4" s="1335">
        <f>'HR Track 1 RAAN-HER'!BD87</f>
        <v>0</v>
      </c>
      <c r="BD4" s="1335">
        <f>'HR Track 1 RAAN-HER'!BE87</f>
        <v>0</v>
      </c>
      <c r="BE4" s="1335">
        <f>'HR Track 1 RAAN-HER'!BF87</f>
        <v>0</v>
      </c>
      <c r="BF4" s="1335">
        <f>'HR Track 1 RAAN-HER'!BG87</f>
        <v>0</v>
      </c>
    </row>
    <row r="5" spans="1:58" ht="15.75" customHeight="1">
      <c r="A5" s="715"/>
      <c r="B5" s="173"/>
      <c r="C5" s="446"/>
      <c r="D5" s="447"/>
      <c r="E5" s="447"/>
      <c r="F5" s="1239"/>
      <c r="G5" s="484">
        <v>40.4</v>
      </c>
      <c r="H5" s="448"/>
      <c r="I5" s="446">
        <f>C6-7.5</f>
        <v>83016.709999999992</v>
      </c>
      <c r="J5" s="638" t="s">
        <v>2787</v>
      </c>
      <c r="K5" s="638"/>
      <c r="L5" s="638"/>
      <c r="M5" s="1239"/>
      <c r="N5" s="1239"/>
      <c r="O5" s="638"/>
      <c r="P5" s="638"/>
      <c r="Q5" s="638"/>
      <c r="R5" s="484"/>
      <c r="S5" s="638"/>
      <c r="T5" s="638"/>
      <c r="U5" s="638"/>
      <c r="V5" s="638"/>
      <c r="W5" s="638"/>
      <c r="X5" s="638"/>
      <c r="Y5" s="638"/>
      <c r="Z5" s="638"/>
      <c r="AA5" s="638"/>
      <c r="AB5" s="638"/>
      <c r="AC5" s="638"/>
      <c r="AD5" s="638"/>
      <c r="AE5" s="638"/>
      <c r="AF5" s="446"/>
      <c r="AG5" s="638"/>
      <c r="AH5" s="185"/>
      <c r="AI5" s="638"/>
      <c r="AJ5" s="1239"/>
      <c r="AK5" s="638"/>
      <c r="AL5" s="638"/>
      <c r="AM5" s="455"/>
      <c r="AN5" s="1239"/>
      <c r="AO5" s="1239"/>
      <c r="AP5" s="484">
        <f>+FL_1($S$6,$S$4,$G$5,1200,9.28,-1*$F$6)</f>
        <v>0.35038318151815179</v>
      </c>
      <c r="AQ5" s="484"/>
      <c r="AR5" s="484"/>
      <c r="AS5" s="484"/>
      <c r="AT5" s="638"/>
      <c r="AU5" s="638"/>
      <c r="AV5" s="638" t="str">
        <f>VLOOKUP(I5,'Foundation Calculation'!$A$2:$C$33,3,1)</f>
        <v>Soil A</v>
      </c>
      <c r="AW5" s="638" t="str">
        <f>VLOOKUP(I5,'Foundation Calculation'!$E$2:$G$33,3,1)</f>
        <v>PT</v>
      </c>
      <c r="AX5" s="484"/>
      <c r="AY5" s="484">
        <f>IF(AW5="PT",VLOOKUP(J5,'Foundation Calculation'!$K$2:$R$40,VLOOKUP(AV5,'Foundation Calculation'!$I$2:$J$8,2,FALSE),0),IF(AW5="K",VLOOKUP(J5,'Foundation Calculation'!$K$42:$R$80,VLOOKUP(AV5,'Foundation Calculation'!$I$2:$J$8,2,FALSE),0),""))</f>
        <v>3.3</v>
      </c>
      <c r="AZ5" s="671" t="s">
        <v>2809</v>
      </c>
      <c r="BA5" s="715"/>
      <c r="BB5" s="169"/>
      <c r="BC5" s="1329"/>
      <c r="BD5" s="1330"/>
      <c r="BE5" s="1330"/>
      <c r="BF5" s="1330"/>
    </row>
    <row r="6" spans="1:58" s="1492" customFormat="1" ht="15.75" customHeight="1">
      <c r="A6" s="1479"/>
      <c r="B6" s="1480" t="s">
        <v>3673</v>
      </c>
      <c r="C6" s="1481">
        <f>+$C$4+$G$5</f>
        <v>83024.209999999992</v>
      </c>
      <c r="D6" s="1482"/>
      <c r="E6" s="1482"/>
      <c r="F6" s="1479">
        <v>0</v>
      </c>
      <c r="G6" s="1483"/>
      <c r="H6" s="1484" t="s">
        <v>623</v>
      </c>
      <c r="I6" s="1481"/>
      <c r="J6" s="1485"/>
      <c r="K6" s="1485" t="s">
        <v>898</v>
      </c>
      <c r="L6" s="1485" t="str">
        <f>IF(AW6="PT",VLOOKUP(K6,'Foundation Calculation'!$V$2:$X$40,VLOOKUP(AW6,'Foundation Calculation'!$I$10:$J$13,2,FALSE),0),IF(AW6="K",VLOOKUP(K6,'Foundation Calculation'!$V$42:$X$80,VLOOKUP(AW6,'Foundation Calculation'!$I$10:$J$13,2,FALSE),0),""))</f>
        <v>C4R</v>
      </c>
      <c r="M6" s="1479" t="s">
        <v>143</v>
      </c>
      <c r="N6" s="1479"/>
      <c r="O6" s="1485"/>
      <c r="P6" s="1485">
        <v>10</v>
      </c>
      <c r="Q6" s="1485"/>
      <c r="R6" s="1483"/>
      <c r="S6" s="1485">
        <v>-25</v>
      </c>
      <c r="T6" s="1485"/>
      <c r="U6" s="1485"/>
      <c r="V6" s="1485">
        <v>1.1000000000000001</v>
      </c>
      <c r="W6" s="1485"/>
      <c r="X6" s="1485"/>
      <c r="Y6" s="1485"/>
      <c r="Z6" s="1485"/>
      <c r="AA6" s="1485"/>
      <c r="AB6" s="1485" t="str">
        <f>IF(OR(AS6&gt;8,AS6&lt;-8),"PH",IF(OR(AS6&gt;5,AS6&lt;-5),"PH-Q",IF(OR(AS6&gt;1,AS6&lt;-1),"PH-C")))</f>
        <v>PH</v>
      </c>
      <c r="AC6" s="1485"/>
      <c r="AD6" s="1485"/>
      <c r="AE6" s="1485"/>
      <c r="AF6" s="1481">
        <v>83024</v>
      </c>
      <c r="AG6" s="1485">
        <v>2523</v>
      </c>
      <c r="AH6" s="1486">
        <v>580</v>
      </c>
      <c r="AI6" s="1485"/>
      <c r="AJ6" s="1479"/>
      <c r="AK6" s="1485"/>
      <c r="AL6" s="1487" t="s">
        <v>1043</v>
      </c>
      <c r="AM6" s="1488">
        <v>5.15</v>
      </c>
      <c r="AN6" s="1479"/>
      <c r="AO6" s="1479"/>
      <c r="AP6" s="1483"/>
      <c r="AQ6" s="1483"/>
      <c r="AR6" s="1483"/>
      <c r="AS6" s="1483">
        <f>+ab($S$6,$S$4,$T$8,$G$5,$G$7,-1*$F$6,1200)</f>
        <v>-8.016763721071074</v>
      </c>
      <c r="AT6" s="1489"/>
      <c r="AU6" s="1489"/>
      <c r="AV6" s="1485" t="str">
        <f>VLOOKUP(C6,'Foundation Calculation'!$A$2:$C$33,3,1)</f>
        <v>Soil A</v>
      </c>
      <c r="AW6" s="1485" t="str">
        <f>VLOOKUP(C6,'Foundation Calculation'!$E$2:$G$33,3,1)</f>
        <v>PT</v>
      </c>
      <c r="AX6" s="1483">
        <f>IF(AW6="PT",VLOOKUP(K6,'Foundation Calculation'!$K$2:$R$40,VLOOKUP(AV6,'Foundation Calculation'!$I$2:$J$8,2,FALSE),0),IF(AW6="K",VLOOKUP(K6,'Foundation Calculation'!$K$42:$R$80,VLOOKUP(AV6,'Foundation Calculation'!$I$2:$J$8,2,FALSE),0),""))</f>
        <v>3.5</v>
      </c>
      <c r="AY6" s="1483"/>
      <c r="AZ6" s="1545" t="s">
        <v>2809</v>
      </c>
      <c r="BA6" s="1479" t="str">
        <f>Pole_Calculations!A20</f>
        <v>App.7-V11A-P9.5.1.6</v>
      </c>
      <c r="BB6" s="1490"/>
      <c r="BC6" s="1491"/>
      <c r="BD6" s="1491"/>
      <c r="BE6" s="1491"/>
      <c r="BF6" s="1491"/>
    </row>
    <row r="7" spans="1:58" ht="15.75" customHeight="1">
      <c r="A7" s="449"/>
      <c r="B7" s="173"/>
      <c r="C7" s="446"/>
      <c r="D7" s="447"/>
      <c r="E7" s="447"/>
      <c r="F7" s="1239"/>
      <c r="G7" s="484">
        <v>39.200000000000003</v>
      </c>
      <c r="H7" s="447">
        <f>C26-C6</f>
        <v>466</v>
      </c>
      <c r="I7" s="446"/>
      <c r="J7" s="638"/>
      <c r="K7" s="638"/>
      <c r="L7" s="638"/>
      <c r="M7" s="1239"/>
      <c r="N7" s="1239"/>
      <c r="O7" s="638"/>
      <c r="P7" s="638"/>
      <c r="Q7" s="638"/>
      <c r="R7" s="484"/>
      <c r="S7" s="638"/>
      <c r="T7" s="638"/>
      <c r="U7" s="638"/>
      <c r="V7" s="638"/>
      <c r="W7" s="638"/>
      <c r="X7" s="638"/>
      <c r="Y7" s="638"/>
      <c r="Z7" s="638"/>
      <c r="AA7" s="638"/>
      <c r="AB7" s="638"/>
      <c r="AC7" s="638"/>
      <c r="AD7" s="638"/>
      <c r="AE7" s="638"/>
      <c r="AF7" s="446"/>
      <c r="AG7" s="638"/>
      <c r="AH7" s="185"/>
      <c r="AI7" s="638"/>
      <c r="AJ7" s="1239"/>
      <c r="AK7" s="638"/>
      <c r="AL7" s="638"/>
      <c r="AM7" s="455"/>
      <c r="AN7" s="1239"/>
      <c r="AO7" s="1239"/>
      <c r="AP7" s="484">
        <f>+FL_2($T$8,$S$6,$G$7,1200,9.28,-1*$F$8)</f>
        <v>-0.26153162029685417</v>
      </c>
      <c r="AQ7" s="484"/>
      <c r="AR7" s="484"/>
      <c r="AS7" s="484"/>
      <c r="AT7" s="638"/>
      <c r="AU7" s="638"/>
      <c r="AV7" s="638"/>
      <c r="AW7" s="638"/>
      <c r="AX7" s="484"/>
      <c r="AY7" s="484"/>
      <c r="AZ7" s="671"/>
      <c r="BA7" s="449"/>
      <c r="BB7" s="169"/>
      <c r="BC7" s="1330"/>
      <c r="BD7" s="1330"/>
      <c r="BE7" s="1330"/>
      <c r="BF7" s="1330"/>
    </row>
    <row r="8" spans="1:58" s="1492" customFormat="1" ht="15.75" customHeight="1">
      <c r="A8" s="1479" t="s">
        <v>3678</v>
      </c>
      <c r="B8" s="1480" t="s">
        <v>3674</v>
      </c>
      <c r="C8" s="1481">
        <f>+$C$6+$G$7</f>
        <v>83063.409999999989</v>
      </c>
      <c r="D8" s="1482"/>
      <c r="E8" s="1482"/>
      <c r="F8" s="1484">
        <f>(346^2)/(C8-83049.08)</f>
        <v>8354.2219120800401</v>
      </c>
      <c r="G8" s="1483"/>
      <c r="H8" s="1482" t="s">
        <v>1429</v>
      </c>
      <c r="I8" s="1481"/>
      <c r="J8" s="1485"/>
      <c r="K8" s="1485" t="s">
        <v>1697</v>
      </c>
      <c r="L8" s="1485" t="str">
        <f>IF(AW8="PT",VLOOKUP(K8,'Foundation Calculation'!$V$2:$X$40,VLOOKUP(AW8,'Foundation Calculation'!$I$10:$J$13,2,FALSE),0),IF(AW8="K",VLOOKUP(K8,'Foundation Calculation'!$V$42:$X$80,VLOOKUP(AW8,'Foundation Calculation'!$I$10:$J$13,2,FALSE),0),""))</f>
        <v>2C3R</v>
      </c>
      <c r="M8" s="1479" t="s">
        <v>140</v>
      </c>
      <c r="N8" s="1479" t="s">
        <v>144</v>
      </c>
      <c r="O8" s="1485"/>
      <c r="P8" s="1485">
        <v>10</v>
      </c>
      <c r="Q8" s="1485"/>
      <c r="R8" s="1483"/>
      <c r="S8" s="1485">
        <v>55</v>
      </c>
      <c r="T8" s="1485">
        <v>10</v>
      </c>
      <c r="U8" s="1485"/>
      <c r="V8" s="1485">
        <v>0.9</v>
      </c>
      <c r="W8" s="1485">
        <v>1</v>
      </c>
      <c r="X8" s="1485"/>
      <c r="Y8" s="1485">
        <v>0.4</v>
      </c>
      <c r="Z8" s="1485"/>
      <c r="AA8" s="1485"/>
      <c r="AB8" s="1485"/>
      <c r="AC8" s="1485"/>
      <c r="AD8" s="1485"/>
      <c r="AE8" s="1485"/>
      <c r="AF8" s="1481">
        <v>83063</v>
      </c>
      <c r="AG8" s="1485">
        <v>3103</v>
      </c>
      <c r="AH8" s="1493">
        <v>460</v>
      </c>
      <c r="AI8" s="1485" t="s">
        <v>877</v>
      </c>
      <c r="AJ8" s="1479"/>
      <c r="AK8" s="1485"/>
      <c r="AL8" s="1487" t="s">
        <v>1043</v>
      </c>
      <c r="AM8" s="1488">
        <v>5.15</v>
      </c>
      <c r="AN8" s="1479"/>
      <c r="AO8" s="1479"/>
      <c r="AP8" s="1483"/>
      <c r="AQ8" s="1483"/>
      <c r="AR8" s="1483"/>
      <c r="AS8" s="1483">
        <f>+ab($T$8,$S$6,$T$10,$G$7,$G$9,-1*$F$8,1200)</f>
        <v>11.843990566071346</v>
      </c>
      <c r="AT8" s="1489"/>
      <c r="AU8" s="1489"/>
      <c r="AV8" s="1485" t="str">
        <f>VLOOKUP(C8,'Foundation Calculation'!$A$2:$C$33,3,1)</f>
        <v>Soil A</v>
      </c>
      <c r="AW8" s="1485" t="str">
        <f>VLOOKUP(C8,'Foundation Calculation'!$E$2:$G$33,3,1)</f>
        <v>PT</v>
      </c>
      <c r="AX8" s="1483">
        <f>IF(AW8="PT",VLOOKUP(K8,'Foundation Calculation'!$K$2:$R$40,VLOOKUP(AV8,'Foundation Calculation'!$I$2:$J$8,2,FALSE),0),IF(AW8="K",VLOOKUP(K8,'Foundation Calculation'!$K$42:$R$80,VLOOKUP(AV8,'Foundation Calculation'!$I$2:$J$8,2,FALSE),0),""))</f>
        <v>3.7</v>
      </c>
      <c r="AY8" s="1483"/>
      <c r="AZ8" s="1545" t="s">
        <v>2809</v>
      </c>
      <c r="BA8" s="1479" t="str">
        <f>Pole_Calculations!A19</f>
        <v>App.7-V11A-P9.5.1.5</v>
      </c>
      <c r="BB8" s="1490"/>
      <c r="BC8" s="1491"/>
      <c r="BD8" s="1491"/>
      <c r="BE8" s="1491"/>
      <c r="BF8" s="1491"/>
    </row>
    <row r="9" spans="1:58" ht="15.75" customHeight="1">
      <c r="A9" s="495" t="s">
        <v>3718</v>
      </c>
      <c r="B9" s="639"/>
      <c r="C9" s="489"/>
      <c r="D9" s="491"/>
      <c r="E9" s="491"/>
      <c r="F9" s="495"/>
      <c r="G9" s="493">
        <v>52</v>
      </c>
      <c r="H9" s="492"/>
      <c r="I9" s="489">
        <f>C10-7.5</f>
        <v>83107.909999999989</v>
      </c>
      <c r="J9" s="490" t="s">
        <v>2787</v>
      </c>
      <c r="K9" s="490"/>
      <c r="L9" s="490"/>
      <c r="M9" s="495"/>
      <c r="N9" s="495"/>
      <c r="O9" s="490"/>
      <c r="P9" s="490"/>
      <c r="Q9" s="490"/>
      <c r="R9" s="493"/>
      <c r="S9" s="490"/>
      <c r="T9" s="490"/>
      <c r="U9" s="490"/>
      <c r="V9" s="490"/>
      <c r="W9" s="490"/>
      <c r="X9" s="490"/>
      <c r="Y9" s="490"/>
      <c r="Z9" s="490"/>
      <c r="AA9" s="490"/>
      <c r="AB9" s="490"/>
      <c r="AC9" s="490"/>
      <c r="AD9" s="490"/>
      <c r="AE9" s="490"/>
      <c r="AF9" s="489"/>
      <c r="AG9" s="490"/>
      <c r="AH9" s="640"/>
      <c r="AI9" s="490"/>
      <c r="AJ9" s="495"/>
      <c r="AK9" s="490"/>
      <c r="AL9" s="490"/>
      <c r="AM9" s="457"/>
      <c r="AN9" s="495"/>
      <c r="AO9" s="495"/>
      <c r="AP9" s="493">
        <f>+FL_1($T$10,$T$8,$G$9,1200,9.28,-1*$F$10)</f>
        <v>0.17583184416193928</v>
      </c>
      <c r="AQ9" s="493"/>
      <c r="AR9" s="493"/>
      <c r="AS9" s="493"/>
      <c r="AT9" s="490"/>
      <c r="AU9" s="490"/>
      <c r="AV9" s="490" t="str">
        <f>VLOOKUP(I9,'Foundation Calculation'!$A$2:$C$33,3,1)</f>
        <v>Soil A</v>
      </c>
      <c r="AW9" s="490" t="str">
        <f>VLOOKUP(I9,'Foundation Calculation'!$E$2:$G$33,3,1)</f>
        <v>PT</v>
      </c>
      <c r="AX9" s="493"/>
      <c r="AY9" s="493">
        <f>IF(AW9="PT",VLOOKUP(J9,'Foundation Calculation'!$K$2:$R$40,VLOOKUP(AV9,'Foundation Calculation'!$I$2:$J$8,2,FALSE),0),IF(AW9="K",VLOOKUP(J9,'Foundation Calculation'!$K$42:$R$80,VLOOKUP(AV9,'Foundation Calculation'!$I$2:$J$8,2,FALSE),0),""))</f>
        <v>3.3</v>
      </c>
      <c r="AZ9" s="602" t="s">
        <v>2809</v>
      </c>
      <c r="BA9" s="495"/>
      <c r="BB9" s="169"/>
      <c r="BC9" s="1329"/>
      <c r="BD9" s="1330"/>
      <c r="BE9" s="1330"/>
      <c r="BF9" s="1330"/>
    </row>
    <row r="10" spans="1:58" s="1492" customFormat="1" ht="15.75" customHeight="1">
      <c r="A10" s="1494"/>
      <c r="B10" s="1495" t="s">
        <v>3675</v>
      </c>
      <c r="C10" s="1481">
        <f>+$C$8+$G$9</f>
        <v>83115.409999999989</v>
      </c>
      <c r="D10" s="1487"/>
      <c r="E10" s="1487"/>
      <c r="F10" s="1487" t="s">
        <v>3672</v>
      </c>
      <c r="G10" s="1483"/>
      <c r="H10" s="1484" t="s">
        <v>623</v>
      </c>
      <c r="I10" s="1481"/>
      <c r="J10" s="1485"/>
      <c r="K10" s="1485" t="s">
        <v>895</v>
      </c>
      <c r="L10" s="1485" t="str">
        <f>IF(AW10="PT",VLOOKUP(K10,'Foundation Calculation'!$V$2:$X$40,VLOOKUP(AW10,'Foundation Calculation'!$I$10:$J$13,2,FALSE),0),IF(AW10="K",VLOOKUP(K10,'Foundation Calculation'!$V$42:$X$80,VLOOKUP(AW10,'Foundation Calculation'!$I$10:$J$13,2,FALSE),0),""))</f>
        <v>2C3R</v>
      </c>
      <c r="M10" s="1479" t="s">
        <v>143</v>
      </c>
      <c r="N10" s="1479" t="s">
        <v>140</v>
      </c>
      <c r="O10" s="1487"/>
      <c r="P10" s="1485">
        <v>10</v>
      </c>
      <c r="Q10" s="1485"/>
      <c r="R10" s="1483"/>
      <c r="S10" s="1485">
        <v>-10</v>
      </c>
      <c r="T10" s="1485">
        <v>-55</v>
      </c>
      <c r="U10" s="1485"/>
      <c r="V10" s="1485">
        <v>0.9</v>
      </c>
      <c r="W10" s="1485">
        <v>1</v>
      </c>
      <c r="X10" s="1485"/>
      <c r="Y10" s="1485"/>
      <c r="Z10" s="1485">
        <v>0.4</v>
      </c>
      <c r="AA10" s="1485"/>
      <c r="AB10" s="1485" t="str">
        <f>IF(OR(AS10&gt;8,AS10&lt;-8),"PH",IF(OR(AS10&gt;5,AS10&lt;-5),"PH-Q",IF(OR(AS10&gt;1,AS10&lt;-1),"PH-C")))</f>
        <v>PH</v>
      </c>
      <c r="AC10" s="1485"/>
      <c r="AD10" s="1485"/>
      <c r="AE10" s="1485"/>
      <c r="AF10" s="1481">
        <v>83115</v>
      </c>
      <c r="AG10" s="1485">
        <v>2623</v>
      </c>
      <c r="AH10" s="1493">
        <v>680</v>
      </c>
      <c r="AI10" s="1487"/>
      <c r="AJ10" s="1487"/>
      <c r="AK10" s="1487"/>
      <c r="AL10" s="1487" t="s">
        <v>1043</v>
      </c>
      <c r="AM10" s="1488">
        <v>5.15</v>
      </c>
      <c r="AN10" s="1487"/>
      <c r="AO10" s="1487"/>
      <c r="AP10" s="1483"/>
      <c r="AQ10" s="1483"/>
      <c r="AR10" s="1483"/>
      <c r="AS10" s="1483">
        <f>+ab($S$10,$S$8,$S$12,$G$9,$G$11,-1*$F$10,1200)</f>
        <v>-15.129541423184126</v>
      </c>
      <c r="AT10" s="1489"/>
      <c r="AU10" s="1489"/>
      <c r="AV10" s="1485" t="str">
        <f>VLOOKUP(C10,'Foundation Calculation'!$A$2:$C$33,3,1)</f>
        <v>Soil A</v>
      </c>
      <c r="AW10" s="1485" t="str">
        <f>VLOOKUP(C10,'Foundation Calculation'!$E$2:$G$33,3,1)</f>
        <v>PT</v>
      </c>
      <c r="AX10" s="1483">
        <f>IF(AW10="PT",VLOOKUP(K10,'Foundation Calculation'!$K$2:$R$40,VLOOKUP(AV10,'Foundation Calculation'!$I$2:$J$8,2,FALSE),0),IF(AW10="K",VLOOKUP(K10,'Foundation Calculation'!$K$42:$R$80,VLOOKUP(AV10,'Foundation Calculation'!$I$2:$J$8,2,FALSE),0),""))</f>
        <v>3.7</v>
      </c>
      <c r="AY10" s="1483"/>
      <c r="AZ10" s="1545" t="s">
        <v>2809</v>
      </c>
      <c r="BA10" s="1494" t="str">
        <f>Pole_Calculations!A22</f>
        <v>App.7-V11A-P9.5.1.8</v>
      </c>
      <c r="BB10" s="1490"/>
      <c r="BC10" s="1491"/>
      <c r="BD10" s="1491"/>
      <c r="BE10" s="1491"/>
      <c r="BF10" s="1491"/>
    </row>
    <row r="11" spans="1:58" ht="15.75" customHeight="1">
      <c r="A11" s="449"/>
      <c r="B11" s="445"/>
      <c r="C11" s="446"/>
      <c r="D11" s="445"/>
      <c r="E11" s="445"/>
      <c r="F11" s="445"/>
      <c r="G11" s="484">
        <v>51.5</v>
      </c>
      <c r="H11" s="448">
        <v>287</v>
      </c>
      <c r="I11" s="171"/>
      <c r="J11" s="1239"/>
      <c r="K11" s="445"/>
      <c r="L11" s="445"/>
      <c r="M11" s="445"/>
      <c r="N11" s="445"/>
      <c r="O11" s="445"/>
      <c r="P11" s="638"/>
      <c r="Q11" s="638"/>
      <c r="R11" s="484"/>
      <c r="S11" s="638"/>
      <c r="T11" s="638"/>
      <c r="U11" s="638"/>
      <c r="V11" s="638"/>
      <c r="W11" s="638"/>
      <c r="X11" s="638"/>
      <c r="Y11" s="638"/>
      <c r="Z11" s="638"/>
      <c r="AA11" s="638"/>
      <c r="AB11" s="638"/>
      <c r="AC11" s="638"/>
      <c r="AD11" s="638"/>
      <c r="AE11" s="638"/>
      <c r="AF11" s="446"/>
      <c r="AG11" s="638"/>
      <c r="AH11" s="185"/>
      <c r="AI11" s="445"/>
      <c r="AJ11" s="445"/>
      <c r="AK11" s="445"/>
      <c r="AL11" s="445"/>
      <c r="AM11" s="484"/>
      <c r="AN11" s="445"/>
      <c r="AO11" s="445"/>
      <c r="AP11" s="484">
        <f>+FL_2($T$12,$S$10,$G$11,1200,9.28,-1*$F$12)</f>
        <v>-0.37021246460192969</v>
      </c>
      <c r="AQ11" s="484"/>
      <c r="AR11" s="484"/>
      <c r="AS11" s="484"/>
      <c r="AT11" s="638"/>
      <c r="AU11" s="638"/>
      <c r="AV11" s="638"/>
      <c r="AW11" s="638"/>
      <c r="AX11" s="484"/>
      <c r="AY11" s="484"/>
      <c r="AZ11" s="1304"/>
      <c r="BA11" s="449"/>
      <c r="BB11" s="169"/>
      <c r="BC11" s="1330"/>
      <c r="BD11" s="1330"/>
      <c r="BE11" s="1330"/>
      <c r="BF11" s="1330"/>
    </row>
    <row r="12" spans="1:58" s="1492" customFormat="1" ht="15.75" customHeight="1">
      <c r="A12" s="1494"/>
      <c r="B12" s="1495" t="s">
        <v>3676</v>
      </c>
      <c r="C12" s="1481">
        <f>+$C$10+$G$11</f>
        <v>83166.909999999989</v>
      </c>
      <c r="D12" s="1487"/>
      <c r="E12" s="1487"/>
      <c r="F12" s="1484">
        <f>-(346^2)/(C12-83181.01)</f>
        <v>8490.4964538972035</v>
      </c>
      <c r="G12" s="1483"/>
      <c r="H12" s="1482" t="s">
        <v>623</v>
      </c>
      <c r="I12" s="1481"/>
      <c r="J12" s="1485"/>
      <c r="K12" s="1485" t="s">
        <v>895</v>
      </c>
      <c r="L12" s="1485" t="str">
        <f>IF(AW12="PT",VLOOKUP(K12,'Foundation Calculation'!$V$2:$X$40,VLOOKUP(AW12,'Foundation Calculation'!$I$10:$J$13,2,FALSE),0),IF(AW12="K",VLOOKUP(K12,'Foundation Calculation'!$V$42:$X$80,VLOOKUP(AW12,'Foundation Calculation'!$I$10:$J$13,2,FALSE),0),""))</f>
        <v>2C3R</v>
      </c>
      <c r="M12" s="1479" t="s">
        <v>140</v>
      </c>
      <c r="N12" s="1479" t="s">
        <v>143</v>
      </c>
      <c r="O12" s="1487"/>
      <c r="P12" s="1485">
        <v>40</v>
      </c>
      <c r="Q12" s="1485"/>
      <c r="R12" s="1483"/>
      <c r="S12" s="1485">
        <v>-55</v>
      </c>
      <c r="T12" s="1485">
        <v>-20</v>
      </c>
      <c r="U12" s="1485"/>
      <c r="V12" s="1485">
        <v>1.8</v>
      </c>
      <c r="W12" s="1485">
        <v>1.1000000000000001</v>
      </c>
      <c r="X12" s="1485"/>
      <c r="Y12" s="1485">
        <v>0.4</v>
      </c>
      <c r="Z12" s="1485"/>
      <c r="AA12" s="1485"/>
      <c r="AB12" s="1485"/>
      <c r="AC12" s="1485"/>
      <c r="AD12" s="1485"/>
      <c r="AE12" s="1485"/>
      <c r="AF12" s="1481">
        <v>83166</v>
      </c>
      <c r="AG12" s="1485">
        <v>2553</v>
      </c>
      <c r="AH12" s="1493">
        <v>680</v>
      </c>
      <c r="AI12" s="1487"/>
      <c r="AJ12" s="1487"/>
      <c r="AK12" s="1487"/>
      <c r="AL12" s="1487" t="s">
        <v>1043</v>
      </c>
      <c r="AM12" s="1488">
        <v>5.15</v>
      </c>
      <c r="AN12" s="1487"/>
      <c r="AO12" s="1487"/>
      <c r="AP12" s="1483"/>
      <c r="AQ12" s="1483"/>
      <c r="AR12" s="1483"/>
      <c r="AS12" s="1483">
        <f>+ab($T$12,$S$10,$S$14,$G$11,$G$13,-1*$F$12,1200)</f>
        <v>-12.145605692135323</v>
      </c>
      <c r="AT12" s="1489"/>
      <c r="AU12" s="1489"/>
      <c r="AV12" s="1485" t="str">
        <f>VLOOKUP(C12,'Foundation Calculation'!$A$2:$C$33,3,1)</f>
        <v>Soil A</v>
      </c>
      <c r="AW12" s="1485" t="str">
        <f>VLOOKUP(C12,'Foundation Calculation'!$E$2:$G$33,3,1)</f>
        <v>PT</v>
      </c>
      <c r="AX12" s="1483">
        <f>IF(AW12="PT",VLOOKUP(K12,'Foundation Calculation'!$K$2:$R$40,VLOOKUP(AV12,'Foundation Calculation'!$I$2:$J$8,2,FALSE),0),IF(AW12="K",VLOOKUP(K12,'Foundation Calculation'!$K$42:$R$80,VLOOKUP(AV12,'Foundation Calculation'!$I$2:$J$8,2,FALSE),0),""))</f>
        <v>3.7</v>
      </c>
      <c r="AY12" s="1483"/>
      <c r="AZ12" s="1545" t="s">
        <v>2809</v>
      </c>
      <c r="BA12" s="1494" t="str">
        <f>Pole_Calculations!A22</f>
        <v>App.7-V11A-P9.5.1.8</v>
      </c>
      <c r="BB12" s="1490"/>
      <c r="BC12" s="1491"/>
      <c r="BD12" s="1491"/>
      <c r="BE12" s="1491"/>
      <c r="BF12" s="1491"/>
    </row>
    <row r="13" spans="1:58" ht="15.75" customHeight="1">
      <c r="A13" s="449"/>
      <c r="B13" s="445"/>
      <c r="C13" s="446"/>
      <c r="D13" s="445"/>
      <c r="E13" s="445"/>
      <c r="F13" s="445"/>
      <c r="G13" s="484">
        <v>54</v>
      </c>
      <c r="H13" s="448"/>
      <c r="I13" s="446">
        <f>C12+7.5</f>
        <v>83174.409999999989</v>
      </c>
      <c r="J13" s="638" t="s">
        <v>2787</v>
      </c>
      <c r="K13" s="445"/>
      <c r="L13" s="445"/>
      <c r="M13" s="445"/>
      <c r="N13" s="445"/>
      <c r="O13" s="445"/>
      <c r="P13" s="638"/>
      <c r="Q13" s="638"/>
      <c r="R13" s="484"/>
      <c r="S13" s="638"/>
      <c r="T13" s="638"/>
      <c r="U13" s="638"/>
      <c r="V13" s="638"/>
      <c r="W13" s="638"/>
      <c r="X13" s="638"/>
      <c r="Y13" s="638"/>
      <c r="Z13" s="638"/>
      <c r="AA13" s="638"/>
      <c r="AB13" s="638"/>
      <c r="AC13" s="638"/>
      <c r="AD13" s="638"/>
      <c r="AE13" s="638"/>
      <c r="AF13" s="446"/>
      <c r="AG13" s="638"/>
      <c r="AH13" s="185"/>
      <c r="AI13" s="445"/>
      <c r="AJ13" s="445"/>
      <c r="AK13" s="445"/>
      <c r="AL13" s="445"/>
      <c r="AM13" s="484"/>
      <c r="AN13" s="445"/>
      <c r="AO13" s="445"/>
      <c r="AP13" s="484">
        <f>+FL_2($T$14,$T$12,$G$13,1200,9.28,-1*$F$14)</f>
        <v>-0.27395198088888895</v>
      </c>
      <c r="AQ13" s="484"/>
      <c r="AR13" s="484"/>
      <c r="AS13" s="484"/>
      <c r="AT13" s="638"/>
      <c r="AU13" s="638"/>
      <c r="AV13" s="638" t="str">
        <f>VLOOKUP(I13,'Foundation Calculation'!$A$2:$C$33,3,1)</f>
        <v>Soil A</v>
      </c>
      <c r="AW13" s="638" t="str">
        <f>VLOOKUP(I13,'Foundation Calculation'!$E$2:$G$33,3,1)</f>
        <v>PT</v>
      </c>
      <c r="AX13" s="484"/>
      <c r="AY13" s="484">
        <f>IF(AW13="PT",VLOOKUP(J13,'Foundation Calculation'!$K$2:$R$40,VLOOKUP(AV13,'Foundation Calculation'!$I$2:$J$8,2,FALSE),0),IF(AW13="K",VLOOKUP(J13,'Foundation Calculation'!$K$42:$R$80,VLOOKUP(AV13,'Foundation Calculation'!$I$2:$J$8,2,FALSE),0),""))</f>
        <v>3.3</v>
      </c>
      <c r="AZ13" s="671" t="s">
        <v>2809</v>
      </c>
      <c r="BA13" s="449"/>
      <c r="BB13" s="169"/>
      <c r="BC13" s="1329"/>
      <c r="BD13" s="1330"/>
      <c r="BE13" s="1330"/>
      <c r="BF13" s="1330"/>
    </row>
    <row r="14" spans="1:58" s="1492" customFormat="1" ht="15.75" customHeight="1">
      <c r="A14" s="1494" t="s">
        <v>3974</v>
      </c>
      <c r="B14" s="1495" t="s">
        <v>3677</v>
      </c>
      <c r="C14" s="1481">
        <f>+$C$12+$G$13</f>
        <v>83220.909999999989</v>
      </c>
      <c r="D14" s="1487"/>
      <c r="E14" s="1487"/>
      <c r="F14" s="1487" t="s">
        <v>2312</v>
      </c>
      <c r="G14" s="1483"/>
      <c r="H14" s="1484" t="s">
        <v>623</v>
      </c>
      <c r="I14" s="1481">
        <f>C14-7.5</f>
        <v>83213.409999999989</v>
      </c>
      <c r="J14" s="1485" t="s">
        <v>2787</v>
      </c>
      <c r="K14" s="1487" t="s">
        <v>4488</v>
      </c>
      <c r="L14" s="1485" t="str">
        <f>IF(AW14="PT",VLOOKUP(K14,'Foundation Calculation'!$V$2:$X$40,VLOOKUP(AW14,'Foundation Calculation'!$I$10:$J$13,2,FALSE),0),IF(AW14="K",VLOOKUP(K14,'Foundation Calculation'!$V$42:$X$80,VLOOKUP(AW14,'Foundation Calculation'!$I$10:$J$13,2,FALSE),0),""))</f>
        <v>C11R</v>
      </c>
      <c r="M14" s="1479" t="s">
        <v>143</v>
      </c>
      <c r="N14" s="1487" t="s">
        <v>144</v>
      </c>
      <c r="O14" s="1487"/>
      <c r="P14" s="1485">
        <v>10</v>
      </c>
      <c r="Q14" s="1485"/>
      <c r="R14" s="1483"/>
      <c r="S14" s="1485">
        <v>20</v>
      </c>
      <c r="T14" s="1485">
        <v>35</v>
      </c>
      <c r="U14" s="1485"/>
      <c r="V14" s="1485">
        <v>1.8</v>
      </c>
      <c r="W14" s="1485">
        <v>1.2</v>
      </c>
      <c r="X14" s="1485"/>
      <c r="Y14" s="1485"/>
      <c r="Z14" s="1485"/>
      <c r="AA14" s="1485"/>
      <c r="AB14" s="1485" t="s">
        <v>1428</v>
      </c>
      <c r="AC14" s="1485" t="s">
        <v>2773</v>
      </c>
      <c r="AD14" s="1485"/>
      <c r="AE14" s="1485"/>
      <c r="AF14" s="1481">
        <v>83220</v>
      </c>
      <c r="AG14" s="1485">
        <v>2903</v>
      </c>
      <c r="AH14" s="1493">
        <v>490</v>
      </c>
      <c r="AI14" s="1487" t="s">
        <v>1796</v>
      </c>
      <c r="AJ14" s="1487"/>
      <c r="AK14" s="1485" t="s">
        <v>4490</v>
      </c>
      <c r="AL14" s="1487" t="s">
        <v>1043</v>
      </c>
      <c r="AM14" s="1488">
        <v>5.15</v>
      </c>
      <c r="AN14" s="1487"/>
      <c r="AO14" s="1487"/>
      <c r="AP14" s="1483"/>
      <c r="AQ14" s="1483"/>
      <c r="AR14" s="1483"/>
      <c r="AS14" s="1483">
        <f>+ab($T$14,$T$12,$T$16,$G$13,$G$15,-1*$F$14,1200)</f>
        <v>6.8760793976246415</v>
      </c>
      <c r="AT14" s="1489"/>
      <c r="AU14" s="1489"/>
      <c r="AV14" s="1485" t="str">
        <f>VLOOKUP(C14,'Foundation Calculation'!$A$2:$C$33,3,1)</f>
        <v>Soil A</v>
      </c>
      <c r="AW14" s="1485" t="str">
        <f>VLOOKUP(C14,'Foundation Calculation'!$E$2:$G$33,3,1)</f>
        <v>PT</v>
      </c>
      <c r="AX14" s="1483">
        <f>IF(AW14="PT",VLOOKUP(K14,'Foundation Calculation'!$K$2:$R$40,VLOOKUP(AV14,'Foundation Calculation'!$I$2:$J$8,2,FALSE),0),IF(AW14="K",VLOOKUP(K14,'Foundation Calculation'!$K$42:$R$80,VLOOKUP(AV14,'Foundation Calculation'!$I$2:$J$8,2,FALSE),0),""))</f>
        <v>4.5999999999999996</v>
      </c>
      <c r="AY14" s="1483">
        <f>IF(AW14="PT",VLOOKUP(J14,'Foundation Calculation'!$K$2:$R$40,VLOOKUP(AV14,'Foundation Calculation'!$I$2:$J$8,2,FALSE),0),IF(AW14="K",VLOOKUP(J14,'Foundation Calculation'!$K$42:$R$80,VLOOKUP(AV14,'Foundation Calculation'!$I$2:$J$8,2,FALSE),0),""))</f>
        <v>3.3</v>
      </c>
      <c r="AZ14" s="1545" t="s">
        <v>2809</v>
      </c>
      <c r="BA14" s="1494" t="str">
        <f>Pole_Calculations!A178</f>
        <v>App.8-V08F-P10.3</v>
      </c>
      <c r="BB14" s="1490"/>
      <c r="BC14" s="1491"/>
      <c r="BD14" s="1491"/>
      <c r="BE14" s="1491"/>
      <c r="BF14" s="1491"/>
    </row>
    <row r="15" spans="1:58" ht="15.75" customHeight="1">
      <c r="A15" s="449"/>
      <c r="B15" s="445"/>
      <c r="C15" s="446"/>
      <c r="D15" s="445"/>
      <c r="E15" s="445"/>
      <c r="F15" s="445"/>
      <c r="G15" s="484">
        <v>39.799999999999997</v>
      </c>
      <c r="H15" s="448">
        <v>270</v>
      </c>
      <c r="I15" s="446"/>
      <c r="J15" s="445"/>
      <c r="K15" s="445"/>
      <c r="L15" s="445"/>
      <c r="M15" s="445"/>
      <c r="N15" s="445"/>
      <c r="O15" s="445"/>
      <c r="P15" s="638"/>
      <c r="Q15" s="638"/>
      <c r="R15" s="484"/>
      <c r="S15" s="638"/>
      <c r="T15" s="638"/>
      <c r="U15" s="638"/>
      <c r="V15" s="638"/>
      <c r="W15" s="638"/>
      <c r="X15" s="638"/>
      <c r="Y15" s="638"/>
      <c r="Z15" s="638"/>
      <c r="AA15" s="638"/>
      <c r="AB15" s="638"/>
      <c r="AC15" s="638"/>
      <c r="AD15" s="638"/>
      <c r="AE15" s="638"/>
      <c r="AF15" s="446"/>
      <c r="AG15" s="638"/>
      <c r="AH15" s="185"/>
      <c r="AI15" s="445"/>
      <c r="AJ15" s="445" t="s">
        <v>864</v>
      </c>
      <c r="AK15" s="445"/>
      <c r="AL15" s="445"/>
      <c r="AM15" s="484"/>
      <c r="AN15" s="445"/>
      <c r="AO15" s="445"/>
      <c r="AP15" s="484">
        <f>+FL_1($T$16,$T$14,$G$15,1200,9.28,-1*$F$16)</f>
        <v>0.35000000000000137</v>
      </c>
      <c r="AQ15" s="484"/>
      <c r="AR15" s="484"/>
      <c r="AS15" s="484"/>
      <c r="AT15" s="638"/>
      <c r="AU15" s="638"/>
      <c r="AV15" s="638"/>
      <c r="AW15" s="638"/>
      <c r="AX15" s="484"/>
      <c r="AY15" s="484"/>
      <c r="AZ15" s="1304"/>
      <c r="BA15" s="449"/>
      <c r="BB15" s="169"/>
      <c r="BC15" s="1330"/>
      <c r="BD15" s="1330"/>
      <c r="BE15" s="1330"/>
      <c r="BF15" s="1330"/>
    </row>
    <row r="16" spans="1:58" s="1492" customFormat="1" ht="15.75" customHeight="1">
      <c r="A16" s="1494" t="s">
        <v>3766</v>
      </c>
      <c r="B16" s="1487" t="s">
        <v>3679</v>
      </c>
      <c r="C16" s="1481">
        <f>+$C$14+$G$15</f>
        <v>83260.709999999992</v>
      </c>
      <c r="D16" s="1487"/>
      <c r="E16" s="1487"/>
      <c r="F16" s="1487" t="s">
        <v>2312</v>
      </c>
      <c r="G16" s="1483"/>
      <c r="H16" s="1484"/>
      <c r="I16" s="1481"/>
      <c r="J16" s="1487"/>
      <c r="K16" s="1487" t="s">
        <v>4666</v>
      </c>
      <c r="L16" s="1487" t="str">
        <f>IF(AW16="PT",VLOOKUP(K16,'Foundation Calculation'!$V$2:$X$40,VLOOKUP(AW16,'Foundation Calculation'!$I$10:$J$13,2,FALSE),0),IF(AW16="K",VLOOKUP(K16,'Foundation Calculation'!$V$42:$X$80,VLOOKUP(AW16,'Foundation Calculation'!$I$10:$J$13,2,FALSE),0),""))</f>
        <v>C12R</v>
      </c>
      <c r="M16" s="1487" t="s">
        <v>140</v>
      </c>
      <c r="N16" s="1487" t="s">
        <v>143</v>
      </c>
      <c r="O16" s="1487"/>
      <c r="P16" s="1485">
        <v>10</v>
      </c>
      <c r="Q16" s="1485"/>
      <c r="R16" s="1483"/>
      <c r="S16" s="1485">
        <v>50</v>
      </c>
      <c r="T16" s="1485">
        <v>-35</v>
      </c>
      <c r="U16" s="1485"/>
      <c r="V16" s="1485">
        <v>1.4</v>
      </c>
      <c r="W16" s="1485">
        <v>1.8</v>
      </c>
      <c r="X16" s="1485"/>
      <c r="Y16" s="1485">
        <v>0.5</v>
      </c>
      <c r="Z16" s="1485"/>
      <c r="AA16" s="1485"/>
      <c r="AB16" s="1485"/>
      <c r="AC16" s="1485"/>
      <c r="AD16" s="1485"/>
      <c r="AE16" s="1485"/>
      <c r="AF16" s="1481">
        <v>83260</v>
      </c>
      <c r="AG16" s="1485">
        <v>3193</v>
      </c>
      <c r="AH16" s="1493">
        <v>490</v>
      </c>
      <c r="AI16" s="1487" t="s">
        <v>1796</v>
      </c>
      <c r="AJ16" s="1487" t="s">
        <v>2762</v>
      </c>
      <c r="AK16" s="1487" t="s">
        <v>4098</v>
      </c>
      <c r="AL16" s="1487" t="s">
        <v>1043</v>
      </c>
      <c r="AM16" s="1483">
        <v>5.15</v>
      </c>
      <c r="AN16" s="1487"/>
      <c r="AO16" s="1487"/>
      <c r="AP16" s="1483"/>
      <c r="AQ16" s="1483"/>
      <c r="AR16" s="1483"/>
      <c r="AS16" s="1483">
        <f>+ab($T$16,$T$14,$S$18,$G$15,$G$17,-1*$F$16,1200)</f>
        <v>-5.6390086724757404</v>
      </c>
      <c r="AT16" s="1489"/>
      <c r="AU16" s="1489"/>
      <c r="AV16" s="1485" t="str">
        <f>VLOOKUP(C16,'Foundation Calculation'!$A$2:$C$33,3,1)</f>
        <v>Soil A</v>
      </c>
      <c r="AW16" s="1485" t="str">
        <f>VLOOKUP(C16,'Foundation Calculation'!$E$2:$G$33,3,1)</f>
        <v>PT</v>
      </c>
      <c r="AX16" s="1483">
        <f>IF(AW16="PT",VLOOKUP(L16,'Foundation Calculation'!$L$2:$R$37,VLOOKUP(AV16,'Foundation Calculation'!$I$2:$J$8,2,FALSE),0),IF(AW16="K",VLOOKUP(L16,'Foundation Calculation'!$L$41:$R$75,VLOOKUP(AV16,'Foundation Calculation'!$I$2:$J$8,2,FALSE),0),""))</f>
        <v>5.6</v>
      </c>
      <c r="AY16" s="1483"/>
      <c r="AZ16" s="1545" t="s">
        <v>2809</v>
      </c>
      <c r="BA16" s="1494" t="s">
        <v>4497</v>
      </c>
      <c r="BB16" s="1490"/>
      <c r="BC16" s="1491"/>
      <c r="BD16" s="1491"/>
      <c r="BE16" s="1491"/>
      <c r="BF16" s="1491"/>
    </row>
    <row r="17" spans="1:58" ht="15.75" customHeight="1">
      <c r="A17" s="449"/>
      <c r="B17" s="445"/>
      <c r="C17" s="446"/>
      <c r="D17" s="445"/>
      <c r="E17" s="445"/>
      <c r="F17" s="445"/>
      <c r="G17" s="484">
        <v>39.799999999999997</v>
      </c>
      <c r="H17" s="447"/>
      <c r="I17" s="446"/>
      <c r="J17" s="445"/>
      <c r="K17" s="445"/>
      <c r="L17" s="445"/>
      <c r="M17" s="445"/>
      <c r="N17" s="445"/>
      <c r="O17" s="445"/>
      <c r="P17" s="638"/>
      <c r="Q17" s="638"/>
      <c r="R17" s="484"/>
      <c r="S17" s="638"/>
      <c r="T17" s="638"/>
      <c r="U17" s="638"/>
      <c r="V17" s="638"/>
      <c r="W17" s="638"/>
      <c r="X17" s="638"/>
      <c r="Y17" s="638"/>
      <c r="Z17" s="638"/>
      <c r="AA17" s="638"/>
      <c r="AB17" s="638"/>
      <c r="AC17" s="638"/>
      <c r="AD17" s="638"/>
      <c r="AE17" s="638"/>
      <c r="AF17" s="446"/>
      <c r="AG17" s="638"/>
      <c r="AH17" s="185"/>
      <c r="AI17" s="445"/>
      <c r="AJ17" s="445"/>
      <c r="AK17" s="445"/>
      <c r="AL17" s="445"/>
      <c r="AM17" s="484"/>
      <c r="AN17" s="445"/>
      <c r="AO17" s="445"/>
      <c r="AP17" s="484">
        <f>+FL_1($S$18,$T$16,$G$17,1200,9.28,-1*$F$18)</f>
        <v>0.3</v>
      </c>
      <c r="AQ17" s="484"/>
      <c r="AR17" s="484"/>
      <c r="AS17" s="484"/>
      <c r="AT17" s="638"/>
      <c r="AU17" s="638"/>
      <c r="AV17" s="638"/>
      <c r="AW17" s="638"/>
      <c r="AX17" s="484"/>
      <c r="AY17" s="484"/>
      <c r="AZ17" s="1304"/>
      <c r="BA17" s="449"/>
      <c r="BB17" s="169"/>
      <c r="BC17" s="1330"/>
      <c r="BD17" s="1330"/>
      <c r="BE17" s="1330"/>
      <c r="BF17" s="1330"/>
    </row>
    <row r="18" spans="1:58" s="1492" customFormat="1" ht="15.75" customHeight="1">
      <c r="A18" s="1494" t="s">
        <v>4223</v>
      </c>
      <c r="B18" s="1495" t="s">
        <v>3680</v>
      </c>
      <c r="C18" s="1481">
        <f>+$C$16+$G$17</f>
        <v>83300.509999999995</v>
      </c>
      <c r="D18" s="1487"/>
      <c r="E18" s="1487"/>
      <c r="F18" s="1487" t="s">
        <v>2312</v>
      </c>
      <c r="G18" s="1483"/>
      <c r="H18" s="1484"/>
      <c r="I18" s="1481"/>
      <c r="J18" s="1487"/>
      <c r="K18" s="1487" t="s">
        <v>4488</v>
      </c>
      <c r="L18" s="1485" t="str">
        <f>IF(AW18="PT",VLOOKUP(K18,'Foundation Calculation'!$V$2:$X$40,VLOOKUP(AW18,'Foundation Calculation'!$I$10:$J$13,2,FALSE),0),IF(AW18="K",VLOOKUP(K18,'Foundation Calculation'!$V$42:$X$80,VLOOKUP(AW18,'Foundation Calculation'!$I$10:$J$13,2,FALSE),0),""))</f>
        <v>C11R</v>
      </c>
      <c r="M18" s="1487" t="s">
        <v>144</v>
      </c>
      <c r="N18" s="1487"/>
      <c r="O18" s="1487"/>
      <c r="P18" s="1485"/>
      <c r="Q18" s="1485"/>
      <c r="R18" s="1483"/>
      <c r="S18" s="1485">
        <v>30</v>
      </c>
      <c r="T18" s="1485"/>
      <c r="U18" s="1485"/>
      <c r="V18" s="1485">
        <v>1.4</v>
      </c>
      <c r="W18" s="1485"/>
      <c r="X18" s="1485"/>
      <c r="Y18" s="1485"/>
      <c r="Z18" s="1485"/>
      <c r="AA18" s="1485"/>
      <c r="AB18" s="1485" t="str">
        <f>IF(OR(AS18&gt;8,AS18&lt;-8),"PH",IF(OR(AS18&gt;5,AS18&lt;-5),"PH-Q",IF(OR(AS18&gt;1,AS18&lt;-1),"PH-C")))</f>
        <v>PH-Q</v>
      </c>
      <c r="AC18" s="1485"/>
      <c r="AD18" s="1485"/>
      <c r="AE18" s="1485"/>
      <c r="AF18" s="1481">
        <v>83300</v>
      </c>
      <c r="AG18" s="1485">
        <v>2773</v>
      </c>
      <c r="AH18" s="1493">
        <v>620</v>
      </c>
      <c r="AI18" s="1487" t="s">
        <v>4154</v>
      </c>
      <c r="AJ18" s="1487"/>
      <c r="AK18" s="1485" t="s">
        <v>4490</v>
      </c>
      <c r="AL18" s="1487" t="s">
        <v>1043</v>
      </c>
      <c r="AM18" s="1488">
        <v>5.15</v>
      </c>
      <c r="AN18" s="1487"/>
      <c r="AO18" s="1487"/>
      <c r="AP18" s="1483"/>
      <c r="AQ18" s="1483"/>
      <c r="AR18" s="1483"/>
      <c r="AS18" s="1483">
        <f>+ab($S$18,$T$16,$S$20,$G$17,$G$19,-1*$F$18,1200)</f>
        <v>6.8719467203713833</v>
      </c>
      <c r="AT18" s="1489"/>
      <c r="AU18" s="1489"/>
      <c r="AV18" s="1485" t="str">
        <f>VLOOKUP(C18,'Foundation Calculation'!$A$2:$C$33,3,1)</f>
        <v>Soil A</v>
      </c>
      <c r="AW18" s="1485" t="str">
        <f>VLOOKUP(C18,'Foundation Calculation'!$E$2:$G$33,3,1)</f>
        <v>PT</v>
      </c>
      <c r="AX18" s="1483">
        <f>IF(AW18="PT",VLOOKUP(K18,'Foundation Calculation'!$K$2:$R$40,VLOOKUP(AV18,'Foundation Calculation'!$I$2:$J$8,2,FALSE),0),IF(AW18="K",VLOOKUP(K18,'Foundation Calculation'!$K$42:$R$80,VLOOKUP(AV18,'Foundation Calculation'!$I$2:$J$8,2,FALSE),0),""))</f>
        <v>4.5999999999999996</v>
      </c>
      <c r="AY18" s="1483"/>
      <c r="AZ18" s="1545" t="s">
        <v>2809</v>
      </c>
      <c r="BA18" s="1494" t="str">
        <f>Pole_Calculations!A178</f>
        <v>App.8-V08F-P10.3</v>
      </c>
      <c r="BB18" s="1490"/>
      <c r="BC18" s="1491"/>
      <c r="BD18" s="1491"/>
      <c r="BE18" s="1491"/>
      <c r="BF18" s="1491"/>
    </row>
    <row r="19" spans="1:58" ht="15.75" customHeight="1">
      <c r="A19" s="449"/>
      <c r="B19" s="445"/>
      <c r="C19" s="446"/>
      <c r="D19" s="445"/>
      <c r="E19" s="445"/>
      <c r="F19" s="445"/>
      <c r="G19" s="484">
        <v>48</v>
      </c>
      <c r="H19" s="447"/>
      <c r="I19" s="446">
        <f>C20+7.5</f>
        <v>83356.009999999995</v>
      </c>
      <c r="J19" s="638" t="s">
        <v>2787</v>
      </c>
      <c r="K19" s="445"/>
      <c r="L19" s="445"/>
      <c r="M19" s="445"/>
      <c r="N19" s="445"/>
      <c r="O19" s="445"/>
      <c r="P19" s="638"/>
      <c r="Q19" s="638"/>
      <c r="R19" s="484"/>
      <c r="S19" s="638"/>
      <c r="T19" s="638"/>
      <c r="U19" s="638"/>
      <c r="V19" s="638"/>
      <c r="W19" s="638"/>
      <c r="X19" s="638"/>
      <c r="Y19" s="638"/>
      <c r="Z19" s="638"/>
      <c r="AA19" s="638"/>
      <c r="AB19" s="638"/>
      <c r="AC19" s="638"/>
      <c r="AD19" s="638"/>
      <c r="AE19" s="638"/>
      <c r="AF19" s="446"/>
      <c r="AG19" s="638"/>
      <c r="AH19" s="185"/>
      <c r="AI19" s="445"/>
      <c r="AJ19" s="445"/>
      <c r="AK19" s="445"/>
      <c r="AL19" s="445"/>
      <c r="AM19" s="484"/>
      <c r="AN19" s="445"/>
      <c r="AO19" s="445"/>
      <c r="AP19" s="484">
        <f>+FL_1($S$20,$S$18,$G$19,1200,9.28,-1*$F$20)</f>
        <v>0.33260797200000003</v>
      </c>
      <c r="AQ19" s="484"/>
      <c r="AR19" s="484"/>
      <c r="AS19" s="484"/>
      <c r="AT19" s="638"/>
      <c r="AU19" s="638"/>
      <c r="AV19" s="638" t="str">
        <f>VLOOKUP(I19,'Foundation Calculation'!$A$2:$C$33,3,1)</f>
        <v>Soil A</v>
      </c>
      <c r="AW19" s="638" t="str">
        <f>VLOOKUP(I19,'Foundation Calculation'!$E$2:$G$33,3,1)</f>
        <v>PT</v>
      </c>
      <c r="AX19" s="484"/>
      <c r="AY19" s="484">
        <f>IF(AW19="PT",VLOOKUP(J19,'Foundation Calculation'!$K$2:$R$40,VLOOKUP(AV19,'Foundation Calculation'!$I$2:$J$8,2,FALSE),0),IF(AW19="K",VLOOKUP(J19,'Foundation Calculation'!$K$42:$R$80,VLOOKUP(AV19,'Foundation Calculation'!$I$2:$J$8,2,FALSE),0),""))</f>
        <v>3.3</v>
      </c>
      <c r="AZ19" s="671" t="s">
        <v>2809</v>
      </c>
      <c r="BA19" s="449"/>
      <c r="BB19" s="169"/>
      <c r="BC19" s="1329"/>
      <c r="BD19" s="1330"/>
      <c r="BE19" s="1330"/>
      <c r="BF19" s="1330"/>
    </row>
    <row r="20" spans="1:58" s="1492" customFormat="1" ht="15.75" customHeight="1">
      <c r="A20" s="1494"/>
      <c r="B20" s="1495" t="s">
        <v>3681</v>
      </c>
      <c r="C20" s="1481">
        <f>+$C$18+$G$19</f>
        <v>83348.509999999995</v>
      </c>
      <c r="D20" s="1487"/>
      <c r="E20" s="1487"/>
      <c r="F20" s="1487" t="s">
        <v>2312</v>
      </c>
      <c r="G20" s="1483"/>
      <c r="H20" s="1482" t="s">
        <v>623</v>
      </c>
      <c r="I20" s="1481"/>
      <c r="J20" s="1487"/>
      <c r="K20" s="1485" t="s">
        <v>898</v>
      </c>
      <c r="L20" s="1485" t="str">
        <f>IF(AW20="PT",VLOOKUP(K20,'Foundation Calculation'!$V$2:$X$40,VLOOKUP(AW20,'Foundation Calculation'!$I$10:$J$13,2,FALSE),0),IF(AW20="K",VLOOKUP(K20,'Foundation Calculation'!$V$42:$X$80,VLOOKUP(AW20,'Foundation Calculation'!$I$10:$J$13,2,FALSE),0),""))</f>
        <v>C4R</v>
      </c>
      <c r="M20" s="1479" t="s">
        <v>143</v>
      </c>
      <c r="N20" s="1479"/>
      <c r="O20" s="1485"/>
      <c r="P20" s="1485"/>
      <c r="Q20" s="1485"/>
      <c r="R20" s="1483"/>
      <c r="S20" s="1485">
        <v>-25</v>
      </c>
      <c r="T20" s="1485"/>
      <c r="U20" s="1485"/>
      <c r="V20" s="1485">
        <v>1.4</v>
      </c>
      <c r="W20" s="1485"/>
      <c r="X20" s="1485"/>
      <c r="Y20" s="1485"/>
      <c r="Z20" s="1485"/>
      <c r="AA20" s="1485"/>
      <c r="AB20" s="1485" t="str">
        <f>IF(OR(AS20&gt;8,AS20&lt;-8),"PH",IF(OR(AS20&gt;5,AS20&lt;-5),"PH-Q",IF(OR(AS20&gt;1,AS20&lt;-1),"PH-C")))</f>
        <v>PH</v>
      </c>
      <c r="AC20" s="1485"/>
      <c r="AD20" s="1485"/>
      <c r="AE20" s="1485"/>
      <c r="AF20" s="1481">
        <v>83348</v>
      </c>
      <c r="AG20" s="1485">
        <v>2623</v>
      </c>
      <c r="AH20" s="1493">
        <v>610</v>
      </c>
      <c r="AI20" s="1485"/>
      <c r="AJ20" s="1479"/>
      <c r="AK20" s="1485"/>
      <c r="AL20" s="1487" t="s">
        <v>1043</v>
      </c>
      <c r="AM20" s="1488">
        <v>5.15</v>
      </c>
      <c r="AN20" s="1479"/>
      <c r="AO20" s="1479"/>
      <c r="AP20" s="1483"/>
      <c r="AQ20" s="1483"/>
      <c r="AR20" s="1483"/>
      <c r="AS20" s="1483">
        <f>+ab($S$20,$S$18,$T$22,$G$19,$G$21,-1*$F$20,1200)</f>
        <v>-10.469122783073121</v>
      </c>
      <c r="AT20" s="1489"/>
      <c r="AU20" s="1489"/>
      <c r="AV20" s="1485" t="str">
        <f>VLOOKUP(C20,'Foundation Calculation'!$A$2:$C$33,3,1)</f>
        <v>Soil A</v>
      </c>
      <c r="AW20" s="1485" t="str">
        <f>VLOOKUP(C20,'Foundation Calculation'!$E$2:$G$33,3,1)</f>
        <v>PT</v>
      </c>
      <c r="AX20" s="1483">
        <f>IF(AW20="PT",VLOOKUP(K20,'Foundation Calculation'!$K$2:$R$40,VLOOKUP(AV20,'Foundation Calculation'!$I$2:$J$8,2,FALSE),0),IF(AW20="K",VLOOKUP(K20,'Foundation Calculation'!$K$42:$R$80,VLOOKUP(AV20,'Foundation Calculation'!$I$2:$J$8,2,FALSE),0),""))</f>
        <v>3.5</v>
      </c>
      <c r="AY20" s="1483"/>
      <c r="AZ20" s="1545" t="s">
        <v>2809</v>
      </c>
      <c r="BA20" s="1494" t="str">
        <f>Pole_Calculations!A20</f>
        <v>App.7-V11A-P9.5.1.6</v>
      </c>
      <c r="BB20" s="1490"/>
      <c r="BC20" s="1491"/>
      <c r="BD20" s="1491"/>
      <c r="BE20" s="1491"/>
      <c r="BF20" s="1491"/>
    </row>
    <row r="21" spans="1:58" ht="15.75" customHeight="1">
      <c r="A21" s="449"/>
      <c r="B21" s="445"/>
      <c r="C21" s="446"/>
      <c r="D21" s="445"/>
      <c r="E21" s="445"/>
      <c r="F21" s="445"/>
      <c r="G21" s="484">
        <v>52.5</v>
      </c>
      <c r="H21" s="447"/>
      <c r="I21" s="446"/>
      <c r="J21" s="445"/>
      <c r="K21" s="445"/>
      <c r="L21" s="445"/>
      <c r="M21" s="445"/>
      <c r="N21" s="445"/>
      <c r="O21" s="445"/>
      <c r="P21" s="638"/>
      <c r="Q21" s="638"/>
      <c r="R21" s="484"/>
      <c r="S21" s="638"/>
      <c r="T21" s="638"/>
      <c r="U21" s="638"/>
      <c r="V21" s="638"/>
      <c r="W21" s="638"/>
      <c r="X21" s="638"/>
      <c r="Y21" s="638"/>
      <c r="Z21" s="638"/>
      <c r="AA21" s="638"/>
      <c r="AB21" s="638"/>
      <c r="AC21" s="638"/>
      <c r="AD21" s="638"/>
      <c r="AE21" s="638"/>
      <c r="AF21" s="446"/>
      <c r="AG21" s="638"/>
      <c r="AH21" s="185"/>
      <c r="AI21" s="445"/>
      <c r="AJ21" s="445"/>
      <c r="AK21" s="445"/>
      <c r="AL21" s="445"/>
      <c r="AM21" s="484"/>
      <c r="AN21" s="445"/>
      <c r="AO21" s="445"/>
      <c r="AP21" s="484">
        <f>+FL_2($T$22,$S$20,$G$21,1200,9.28,-1*$F$22)</f>
        <v>-0.3701731319999999</v>
      </c>
      <c r="AQ21" s="484"/>
      <c r="AR21" s="484"/>
      <c r="AS21" s="484"/>
      <c r="AT21" s="638"/>
      <c r="AU21" s="638"/>
      <c r="AV21" s="445"/>
      <c r="AW21" s="638"/>
      <c r="AX21" s="484"/>
      <c r="AY21" s="484"/>
      <c r="AZ21" s="1304"/>
      <c r="BA21" s="449"/>
      <c r="BB21" s="169"/>
      <c r="BC21" s="1330"/>
      <c r="BD21" s="1330"/>
      <c r="BE21" s="1330"/>
      <c r="BF21" s="1330"/>
    </row>
    <row r="22" spans="1:58" s="1492" customFormat="1" ht="15.75" customHeight="1">
      <c r="A22" s="1494"/>
      <c r="B22" s="1495" t="s">
        <v>3682</v>
      </c>
      <c r="C22" s="1481">
        <f>+$C$20+$G$21</f>
        <v>83401.009999999995</v>
      </c>
      <c r="D22" s="1487"/>
      <c r="E22" s="1487"/>
      <c r="F22" s="1487" t="s">
        <v>2312</v>
      </c>
      <c r="G22" s="1483"/>
      <c r="H22" s="1482"/>
      <c r="I22" s="1481"/>
      <c r="J22" s="1487"/>
      <c r="K22" s="1485" t="s">
        <v>895</v>
      </c>
      <c r="L22" s="1485" t="str">
        <f>IF(AW22="PT",VLOOKUP(K22,'Foundation Calculation'!$V$2:$X$40,VLOOKUP(AW22,'Foundation Calculation'!$I$10:$J$13,2,FALSE),0),IF(AW22="K",VLOOKUP(K22,'Foundation Calculation'!$V$42:$X$80,VLOOKUP(AW22,'Foundation Calculation'!$I$10:$J$13,2,FALSE),0),""))</f>
        <v>2C3R</v>
      </c>
      <c r="M22" s="1487" t="s">
        <v>140</v>
      </c>
      <c r="N22" s="1487" t="s">
        <v>144</v>
      </c>
      <c r="O22" s="1487"/>
      <c r="P22" s="1485"/>
      <c r="Q22" s="1485"/>
      <c r="R22" s="1483"/>
      <c r="S22" s="1485">
        <v>55</v>
      </c>
      <c r="T22" s="1485">
        <v>10</v>
      </c>
      <c r="U22" s="1485"/>
      <c r="V22" s="1485">
        <v>1.4</v>
      </c>
      <c r="W22" s="1485">
        <v>2.2999999999999998</v>
      </c>
      <c r="X22" s="1485"/>
      <c r="Y22" s="1485">
        <v>0.45</v>
      </c>
      <c r="Z22" s="1485"/>
      <c r="AA22" s="1485"/>
      <c r="AB22" s="1485"/>
      <c r="AC22" s="1485"/>
      <c r="AD22" s="1485"/>
      <c r="AE22" s="1485"/>
      <c r="AF22" s="1481">
        <v>83401</v>
      </c>
      <c r="AG22" s="1485">
        <v>2723</v>
      </c>
      <c r="AH22" s="1493">
        <v>500</v>
      </c>
      <c r="AI22" s="1487"/>
      <c r="AJ22" s="1487"/>
      <c r="AK22" s="1487"/>
      <c r="AL22" s="1487" t="s">
        <v>1043</v>
      </c>
      <c r="AM22" s="1488">
        <v>5.15</v>
      </c>
      <c r="AN22" s="1487"/>
      <c r="AO22" s="1487"/>
      <c r="AP22" s="1483"/>
      <c r="AQ22" s="1483"/>
      <c r="AR22" s="1483"/>
      <c r="AS22" s="1483">
        <f>+ab($T$22,$S$20,$T$24,$G$21,$G$23,-1*$F$22,1200)</f>
        <v>9.7889817421753413</v>
      </c>
      <c r="AT22" s="1489"/>
      <c r="AU22" s="1489"/>
      <c r="AV22" s="1485" t="str">
        <f>VLOOKUP(C22,'Foundation Calculation'!$A$2:$C$33,3,1)</f>
        <v>Soil A</v>
      </c>
      <c r="AW22" s="1485" t="str">
        <f>VLOOKUP(C22,'Foundation Calculation'!$E$2:$G$33,3,1)</f>
        <v>PT</v>
      </c>
      <c r="AX22" s="1483">
        <f>IF(AW22="PT",VLOOKUP(K22,'Foundation Calculation'!$K$2:$R$40,VLOOKUP(AV22,'Foundation Calculation'!$I$2:$J$8,2,FALSE),0),IF(AW22="K",VLOOKUP(K22,'Foundation Calculation'!$K$42:$R$80,VLOOKUP(AV22,'Foundation Calculation'!$I$2:$J$8,2,FALSE),0),""))</f>
        <v>3.7</v>
      </c>
      <c r="AY22" s="1483"/>
      <c r="AZ22" s="1545" t="s">
        <v>2809</v>
      </c>
      <c r="BA22" s="1494" t="str">
        <f>Pole_Calculations!A19</f>
        <v>App.7-V11A-P9.5.1.5</v>
      </c>
      <c r="BB22" s="1490"/>
      <c r="BC22" s="1491"/>
      <c r="BD22" s="1491"/>
      <c r="BE22" s="1491"/>
      <c r="BF22" s="1491"/>
    </row>
    <row r="23" spans="1:58" ht="15.75" customHeight="1">
      <c r="A23" s="449"/>
      <c r="B23" s="445"/>
      <c r="C23" s="446"/>
      <c r="D23" s="445"/>
      <c r="E23" s="445"/>
      <c r="F23" s="445"/>
      <c r="G23" s="484">
        <v>51</v>
      </c>
      <c r="H23" s="447"/>
      <c r="I23" s="446"/>
      <c r="J23" s="445"/>
      <c r="K23" s="445"/>
      <c r="L23" s="445"/>
      <c r="M23" s="445"/>
      <c r="N23" s="445"/>
      <c r="O23" s="445"/>
      <c r="P23" s="638"/>
      <c r="Q23" s="638"/>
      <c r="R23" s="484"/>
      <c r="S23" s="638"/>
      <c r="T23" s="638"/>
      <c r="U23" s="638"/>
      <c r="V23" s="638"/>
      <c r="W23" s="638"/>
      <c r="X23" s="638"/>
      <c r="Y23" s="638"/>
      <c r="Z23" s="638"/>
      <c r="AA23" s="638"/>
      <c r="AB23" s="638"/>
      <c r="AC23" s="638"/>
      <c r="AD23" s="638"/>
      <c r="AE23" s="638"/>
      <c r="AF23" s="446"/>
      <c r="AG23" s="638"/>
      <c r="AH23" s="185"/>
      <c r="AI23" s="445"/>
      <c r="AJ23" s="445"/>
      <c r="AK23" s="445"/>
      <c r="AL23" s="445"/>
      <c r="AM23" s="484"/>
      <c r="AN23" s="445"/>
      <c r="AO23" s="445"/>
      <c r="AP23" s="484">
        <f>+FL_1($T$24,$T$22,$G$23,1200,9.28,-1*$F$24)</f>
        <v>0.13145426101960786</v>
      </c>
      <c r="AQ23" s="484"/>
      <c r="AR23" s="484"/>
      <c r="AS23" s="484"/>
      <c r="AT23" s="638"/>
      <c r="AU23" s="638"/>
      <c r="AV23" s="445"/>
      <c r="AW23" s="638"/>
      <c r="AX23" s="484"/>
      <c r="AY23" s="484"/>
      <c r="AZ23" s="1304"/>
      <c r="BA23" s="449"/>
      <c r="BB23" s="169"/>
      <c r="BC23" s="1330"/>
      <c r="BD23" s="1330"/>
      <c r="BE23" s="1330"/>
      <c r="BF23" s="1330"/>
    </row>
    <row r="24" spans="1:58" s="1492" customFormat="1" ht="15.75" customHeight="1">
      <c r="A24" s="1494" t="s">
        <v>3715</v>
      </c>
      <c r="B24" s="1496" t="s">
        <v>3683</v>
      </c>
      <c r="C24" s="1481">
        <f>+$C$22+$G$23</f>
        <v>83452.009999999995</v>
      </c>
      <c r="D24" s="1485"/>
      <c r="E24" s="1485"/>
      <c r="F24" s="1482">
        <v>0</v>
      </c>
      <c r="G24" s="1483"/>
      <c r="H24" s="1482" t="s">
        <v>1429</v>
      </c>
      <c r="I24" s="1481"/>
      <c r="J24" s="1485"/>
      <c r="K24" s="1485" t="s">
        <v>895</v>
      </c>
      <c r="L24" s="1485" t="str">
        <f>IF(AW24="PT",VLOOKUP(K24,'Foundation Calculation'!$V$2:$X$40,VLOOKUP(AW24,'Foundation Calculation'!$I$10:$J$13,2,FALSE),0),IF(AW24="K",VLOOKUP(K24,'Foundation Calculation'!$V$42:$X$80,VLOOKUP(AW24,'Foundation Calculation'!$I$10:$J$13,2,FALSE),0),""))</f>
        <v>2C3R</v>
      </c>
      <c r="M24" s="1479" t="s">
        <v>143</v>
      </c>
      <c r="N24" s="1487" t="s">
        <v>140</v>
      </c>
      <c r="O24" s="1487"/>
      <c r="P24" s="1485"/>
      <c r="Q24" s="1485"/>
      <c r="R24" s="1483"/>
      <c r="S24" s="1485">
        <v>-10</v>
      </c>
      <c r="T24" s="1485">
        <v>-55</v>
      </c>
      <c r="U24" s="1485"/>
      <c r="V24" s="1485">
        <v>1.4</v>
      </c>
      <c r="W24" s="1485">
        <v>2</v>
      </c>
      <c r="X24" s="1485"/>
      <c r="Y24" s="1485"/>
      <c r="Z24" s="1485">
        <v>0.45</v>
      </c>
      <c r="AA24" s="1485"/>
      <c r="AB24" s="1485" t="str">
        <f>IF(OR(AS24&gt;8,AS24&lt;-8),"PH",IF(OR(AS24&gt;5,AS24&lt;-5),"PH-Q",IF(OR(AS24&gt;1,AS24&lt;-1),"PH-C")))</f>
        <v>PH</v>
      </c>
      <c r="AC24" s="1485"/>
      <c r="AD24" s="1485"/>
      <c r="AE24" s="1485"/>
      <c r="AF24" s="1481">
        <v>834542</v>
      </c>
      <c r="AG24" s="1485">
        <v>2713</v>
      </c>
      <c r="AH24" s="1493">
        <v>490</v>
      </c>
      <c r="AI24" s="1487" t="s">
        <v>877</v>
      </c>
      <c r="AJ24" s="1487"/>
      <c r="AK24" s="1485"/>
      <c r="AL24" s="1487" t="s">
        <v>1043</v>
      </c>
      <c r="AM24" s="1488">
        <v>5.15</v>
      </c>
      <c r="AN24" s="1487"/>
      <c r="AO24" s="1487"/>
      <c r="AP24" s="1483"/>
      <c r="AQ24" s="1483"/>
      <c r="AR24" s="1483"/>
      <c r="AS24" s="1483">
        <f>+ab($S$24,$S$22,$S$26,$G$23,$G$25,-1*$F$24,1200)</f>
        <v>-18.29943784804178</v>
      </c>
      <c r="AT24" s="1489"/>
      <c r="AU24" s="1489"/>
      <c r="AV24" s="1485" t="str">
        <f>VLOOKUP(C24,'Foundation Calculation'!$A$2:$C$33,3,1)</f>
        <v>Soil A</v>
      </c>
      <c r="AW24" s="1485" t="str">
        <f>VLOOKUP(C24,'Foundation Calculation'!$E$2:$G$33,3,1)</f>
        <v>PT</v>
      </c>
      <c r="AX24" s="1483">
        <f>IF(AW24="PT",VLOOKUP(K24,'Foundation Calculation'!$K$2:$R$40,VLOOKUP(AV24,'Foundation Calculation'!$I$2:$J$8,2,FALSE),0),IF(AW24="K",VLOOKUP(K24,'Foundation Calculation'!$K$42:$R$80,VLOOKUP(AV24,'Foundation Calculation'!$I$2:$J$8,2,FALSE),0),""))</f>
        <v>3.7</v>
      </c>
      <c r="AY24" s="1483"/>
      <c r="AZ24" s="1545" t="s">
        <v>2809</v>
      </c>
      <c r="BA24" s="1494" t="str">
        <f>Pole_Calculations!A19</f>
        <v>App.7-V11A-P9.5.1.5</v>
      </c>
      <c r="BB24" s="1490"/>
      <c r="BC24" s="1491"/>
      <c r="BD24" s="1491"/>
      <c r="BE24" s="1491"/>
      <c r="BF24" s="1491"/>
    </row>
    <row r="25" spans="1:58" ht="15.75" customHeight="1">
      <c r="A25" s="449"/>
      <c r="B25" s="173"/>
      <c r="C25" s="446"/>
      <c r="D25" s="638"/>
      <c r="E25" s="638"/>
      <c r="F25" s="447"/>
      <c r="G25" s="484">
        <v>38.200000000000003</v>
      </c>
      <c r="H25" s="447">
        <f>C26-C6</f>
        <v>466</v>
      </c>
      <c r="I25" s="446"/>
      <c r="J25" s="638"/>
      <c r="K25" s="638"/>
      <c r="L25" s="638"/>
      <c r="M25" s="1239"/>
      <c r="N25" s="1239"/>
      <c r="O25" s="638"/>
      <c r="P25" s="638"/>
      <c r="Q25" s="638"/>
      <c r="R25" s="484"/>
      <c r="S25" s="638"/>
      <c r="T25" s="638"/>
      <c r="U25" s="638"/>
      <c r="V25" s="638"/>
      <c r="W25" s="638"/>
      <c r="X25" s="638"/>
      <c r="Y25" s="638"/>
      <c r="Z25" s="638"/>
      <c r="AA25" s="638"/>
      <c r="AB25" s="638"/>
      <c r="AC25" s="638"/>
      <c r="AD25" s="638"/>
      <c r="AE25" s="638"/>
      <c r="AF25" s="446"/>
      <c r="AG25" s="638"/>
      <c r="AH25" s="185"/>
      <c r="AI25" s="638"/>
      <c r="AJ25" s="1239"/>
      <c r="AK25" s="638"/>
      <c r="AL25" s="638"/>
      <c r="AM25" s="455"/>
      <c r="AN25" s="1239"/>
      <c r="AO25" s="445"/>
      <c r="AP25" s="484">
        <f>+FL_2($S$26,$S$24,$G$25,1200,9.28,-1*$F$26)</f>
        <v>-0.29549060021640489</v>
      </c>
      <c r="AQ25" s="484"/>
      <c r="AR25" s="484"/>
      <c r="AS25" s="484"/>
      <c r="AT25" s="638"/>
      <c r="AU25" s="638"/>
      <c r="AV25" s="638"/>
      <c r="AW25" s="638"/>
      <c r="AX25" s="484"/>
      <c r="AY25" s="484"/>
      <c r="AZ25" s="1304"/>
      <c r="BA25" s="449"/>
      <c r="BB25" s="169"/>
      <c r="BC25" s="1330"/>
      <c r="BD25" s="1330"/>
      <c r="BE25" s="1330"/>
      <c r="BF25" s="1330"/>
    </row>
    <row r="26" spans="1:58" s="1492" customFormat="1" ht="15.75" customHeight="1">
      <c r="A26" s="1494"/>
      <c r="B26" s="1480" t="s">
        <v>3684</v>
      </c>
      <c r="C26" s="1481">
        <f>+$C$24+$G$25</f>
        <v>83490.209999999992</v>
      </c>
      <c r="D26" s="1485"/>
      <c r="E26" s="1485"/>
      <c r="F26" s="1482">
        <v>0</v>
      </c>
      <c r="G26" s="1483"/>
      <c r="H26" s="1484" t="s">
        <v>624</v>
      </c>
      <c r="I26" s="1481"/>
      <c r="J26" s="1485"/>
      <c r="K26" s="1487" t="s">
        <v>4488</v>
      </c>
      <c r="L26" s="1485" t="str">
        <f>IF(AW26="PT",VLOOKUP(K26,'Foundation Calculation'!$V$2:$X$40,VLOOKUP(AW26,'Foundation Calculation'!$I$10:$J$13,2,FALSE),0),IF(AW26="K",VLOOKUP(K26,'Foundation Calculation'!$V$42:$X$80,VLOOKUP(AW26,'Foundation Calculation'!$I$10:$J$13,2,FALSE),0),""))</f>
        <v>C11R</v>
      </c>
      <c r="M26" s="1487" t="s">
        <v>143</v>
      </c>
      <c r="N26" s="1487" t="s">
        <v>140</v>
      </c>
      <c r="O26" s="1487"/>
      <c r="P26" s="1485">
        <v>30</v>
      </c>
      <c r="Q26" s="1485"/>
      <c r="R26" s="1483"/>
      <c r="S26" s="1485">
        <v>-20</v>
      </c>
      <c r="T26" s="1485">
        <v>55</v>
      </c>
      <c r="U26" s="1485"/>
      <c r="V26" s="1485">
        <v>1.8</v>
      </c>
      <c r="W26" s="1485">
        <v>1.6</v>
      </c>
      <c r="X26" s="1485"/>
      <c r="Y26" s="1485"/>
      <c r="Z26" s="1485">
        <v>0.6</v>
      </c>
      <c r="AA26" s="1485"/>
      <c r="AB26" s="1485" t="str">
        <f>IF(OR(AS26&gt;8,AS26&lt;-8),"PH",IF(OR(AS26&gt;5,AS26&lt;-5),"PH-Q",IF(OR(AS26&gt;1,AS26&lt;-1),"PH-C")))</f>
        <v>PH</v>
      </c>
      <c r="AC26" s="1485"/>
      <c r="AD26" s="1485"/>
      <c r="AE26" s="1485"/>
      <c r="AF26" s="1481">
        <v>83489</v>
      </c>
      <c r="AG26" s="1485">
        <v>2623</v>
      </c>
      <c r="AH26" s="1493">
        <v>560</v>
      </c>
      <c r="AI26" s="1487"/>
      <c r="AJ26" s="1487"/>
      <c r="AK26" s="1485" t="s">
        <v>4490</v>
      </c>
      <c r="AL26" s="1487" t="s">
        <v>1043</v>
      </c>
      <c r="AM26" s="1488">
        <v>5.15</v>
      </c>
      <c r="AN26" s="1487"/>
      <c r="AO26" s="1487"/>
      <c r="AP26" s="1483"/>
      <c r="AQ26" s="1483"/>
      <c r="AR26" s="1483"/>
      <c r="AS26" s="1483">
        <f>+ab($S$26,$S$24,$S$28,$G$25,$G$27,-1*$F$26,1200)</f>
        <v>-11.8928109942847</v>
      </c>
      <c r="AT26" s="1489"/>
      <c r="AU26" s="1489"/>
      <c r="AV26" s="1485" t="str">
        <f>VLOOKUP(C26,'Foundation Calculation'!$A$2:$C$33,3,1)</f>
        <v>Soil A</v>
      </c>
      <c r="AW26" s="1485" t="str">
        <f>VLOOKUP(C26,'Foundation Calculation'!$E$2:$G$33,3,1)</f>
        <v>PT</v>
      </c>
      <c r="AX26" s="1483">
        <f>IF(AW26="PT",VLOOKUP(K26,'Foundation Calculation'!$K$2:$R$40,VLOOKUP(AV26,'Foundation Calculation'!$I$2:$J$8,2,FALSE),0),IF(AW26="K",VLOOKUP(K26,'Foundation Calculation'!$K$42:$R$80,VLOOKUP(AV26,'Foundation Calculation'!$I$2:$J$8,2,FALSE),0),""))</f>
        <v>4.5999999999999996</v>
      </c>
      <c r="AY26" s="1483"/>
      <c r="AZ26" s="1545" t="s">
        <v>2809</v>
      </c>
      <c r="BA26" s="1494" t="str">
        <f>Pole_Calculations!A178</f>
        <v>App.8-V08F-P10.3</v>
      </c>
      <c r="BB26" s="1490"/>
      <c r="BC26" s="1491"/>
      <c r="BD26" s="1491"/>
      <c r="BE26" s="1491"/>
      <c r="BF26" s="1491"/>
    </row>
    <row r="27" spans="1:58" ht="15.75" customHeight="1">
      <c r="A27" s="449"/>
      <c r="B27" s="173"/>
      <c r="C27" s="446"/>
      <c r="D27" s="638"/>
      <c r="E27" s="638"/>
      <c r="F27" s="447"/>
      <c r="G27" s="484">
        <v>41.4</v>
      </c>
      <c r="H27" s="448">
        <v>308</v>
      </c>
      <c r="I27" s="446">
        <f>C26+7.5</f>
        <v>83497.709999999992</v>
      </c>
      <c r="J27" s="638" t="s">
        <v>2787</v>
      </c>
      <c r="K27" s="638"/>
      <c r="L27" s="638"/>
      <c r="M27" s="1239"/>
      <c r="N27" s="1239"/>
      <c r="O27" s="638"/>
      <c r="P27" s="638"/>
      <c r="Q27" s="638"/>
      <c r="R27" s="484"/>
      <c r="S27" s="638"/>
      <c r="T27" s="638"/>
      <c r="U27" s="638"/>
      <c r="V27" s="638"/>
      <c r="W27" s="638"/>
      <c r="X27" s="638"/>
      <c r="Y27" s="638"/>
      <c r="Z27" s="638"/>
      <c r="AA27" s="638"/>
      <c r="AB27" s="638"/>
      <c r="AC27" s="638"/>
      <c r="AD27" s="638"/>
      <c r="AE27" s="638"/>
      <c r="AF27" s="446"/>
      <c r="AG27" s="638"/>
      <c r="AH27" s="638"/>
      <c r="AI27" s="638"/>
      <c r="AJ27" s="1239"/>
      <c r="AK27" s="638"/>
      <c r="AL27" s="638"/>
      <c r="AM27" s="455"/>
      <c r="AN27" s="1239"/>
      <c r="AO27" s="445"/>
      <c r="AP27" s="484">
        <f>+FL_1($S$28,$S$26,$G$27,1200,9.28,-1*$F$28)</f>
        <v>0.35479392030917872</v>
      </c>
      <c r="AQ27" s="484"/>
      <c r="AR27" s="484"/>
      <c r="AS27" s="484"/>
      <c r="AT27" s="638"/>
      <c r="AU27" s="638"/>
      <c r="AV27" s="638" t="str">
        <f>VLOOKUP(I27,'Foundation Calculation'!$A$2:$C$33,3,1)</f>
        <v>Soil A</v>
      </c>
      <c r="AW27" s="638" t="str">
        <f>VLOOKUP(I27,'Foundation Calculation'!$E$2:$G$33,3,1)</f>
        <v>PT</v>
      </c>
      <c r="AX27" s="484"/>
      <c r="AY27" s="484">
        <f>IF(AW27="PT",VLOOKUP(J27,'Foundation Calculation'!$K$2:$R$40,VLOOKUP(AV27,'Foundation Calculation'!$I$2:$J$8,2,FALSE),0),IF(AW27="K",VLOOKUP(J27,'Foundation Calculation'!$K$42:$R$80,VLOOKUP(AV27,'Foundation Calculation'!$I$2:$J$8,2,FALSE),0),""))</f>
        <v>3.3</v>
      </c>
      <c r="AZ27" s="671" t="s">
        <v>2809</v>
      </c>
      <c r="BA27" s="449"/>
      <c r="BB27" s="169"/>
      <c r="BC27" s="1329"/>
      <c r="BD27" s="1330"/>
      <c r="BE27" s="1330"/>
      <c r="BF27" s="1330"/>
    </row>
    <row r="28" spans="1:58" s="1492" customFormat="1" ht="15.75" customHeight="1">
      <c r="A28" s="1482"/>
      <c r="B28" s="1480" t="s">
        <v>3685</v>
      </c>
      <c r="C28" s="1481">
        <f>+$C$26+$G$27</f>
        <v>83531.609999999986</v>
      </c>
      <c r="D28" s="1485"/>
      <c r="E28" s="1485"/>
      <c r="F28" s="1482">
        <v>0</v>
      </c>
      <c r="G28" s="1483"/>
      <c r="H28" s="1484" t="s">
        <v>623</v>
      </c>
      <c r="I28" s="1481"/>
      <c r="J28" s="1485"/>
      <c r="K28" s="1487" t="s">
        <v>895</v>
      </c>
      <c r="L28" s="1485" t="str">
        <f>IF(AW28="PT",VLOOKUP(K28,'Foundation Calculation'!$V$2:$X$40,VLOOKUP(AW28,'Foundation Calculation'!$I$10:$J$13,2,FALSE),0),IF(AW28="K",VLOOKUP(K28,'Foundation Calculation'!$V$42:$X$80,VLOOKUP(AW28,'Foundation Calculation'!$I$10:$J$13,2,FALSE),0),""))</f>
        <v>2C3R</v>
      </c>
      <c r="M28" s="1479" t="s">
        <v>144</v>
      </c>
      <c r="N28" s="1479" t="s">
        <v>143</v>
      </c>
      <c r="O28" s="1485"/>
      <c r="P28" s="1485"/>
      <c r="Q28" s="1485"/>
      <c r="R28" s="1483"/>
      <c r="S28" s="1485">
        <v>35</v>
      </c>
      <c r="T28" s="1485">
        <v>20</v>
      </c>
      <c r="U28" s="1485"/>
      <c r="V28" s="1485">
        <v>1.4</v>
      </c>
      <c r="W28" s="1485">
        <v>1.8</v>
      </c>
      <c r="X28" s="1485"/>
      <c r="Y28" s="1485"/>
      <c r="Z28" s="1485"/>
      <c r="AA28" s="1485"/>
      <c r="AB28" s="1485" t="s">
        <v>2773</v>
      </c>
      <c r="AC28" s="1485" t="s">
        <v>1428</v>
      </c>
      <c r="AD28" s="1485"/>
      <c r="AE28" s="1485"/>
      <c r="AF28" s="1481">
        <v>83531</v>
      </c>
      <c r="AG28" s="1485">
        <v>2833</v>
      </c>
      <c r="AH28" s="1485">
        <v>470</v>
      </c>
      <c r="AI28" s="1485"/>
      <c r="AJ28" s="1479"/>
      <c r="AK28" s="1485"/>
      <c r="AL28" s="1487" t="s">
        <v>1043</v>
      </c>
      <c r="AM28" s="1488">
        <v>5.15</v>
      </c>
      <c r="AN28" s="1487"/>
      <c r="AO28" s="1487"/>
      <c r="AP28" s="1483"/>
      <c r="AQ28" s="1483"/>
      <c r="AR28" s="1483"/>
      <c r="AS28" s="1483">
        <f>+ab($S$28,$S$26,$S$30,$G$27,$G$29,-1*$F$28,1200)</f>
        <v>7.47237642602781</v>
      </c>
      <c r="AT28" s="1489"/>
      <c r="AU28" s="1489"/>
      <c r="AV28" s="1485" t="str">
        <f>VLOOKUP(C28,'Foundation Calculation'!$A$2:$C$33,3,1)</f>
        <v>Soil A</v>
      </c>
      <c r="AW28" s="1485" t="str">
        <f>VLOOKUP(C28,'Foundation Calculation'!$E$2:$G$33,3,1)</f>
        <v>PT</v>
      </c>
      <c r="AX28" s="1483">
        <f>IF(AW28="PT",VLOOKUP(K28,'Foundation Calculation'!$K$2:$R$40,VLOOKUP(AV28,'Foundation Calculation'!$I$2:$J$8,2,FALSE),0),IF(AW28="K",VLOOKUP(K28,'Foundation Calculation'!$K$42:$R$80,VLOOKUP(AV28,'Foundation Calculation'!$I$2:$J$8,2,FALSE),0),""))</f>
        <v>3.7</v>
      </c>
      <c r="AY28" s="1483"/>
      <c r="AZ28" s="1545" t="s">
        <v>2809</v>
      </c>
      <c r="BA28" s="1482" t="str">
        <f>Pole_Calculations!A22</f>
        <v>App.7-V11A-P9.5.1.8</v>
      </c>
      <c r="BB28" s="1490"/>
      <c r="BC28" s="1491"/>
      <c r="BD28" s="1491"/>
      <c r="BE28" s="1491"/>
      <c r="BF28" s="1491"/>
    </row>
    <row r="29" spans="1:58" ht="15.75" customHeight="1">
      <c r="A29" s="1239"/>
      <c r="B29" s="173"/>
      <c r="C29" s="446"/>
      <c r="D29" s="638"/>
      <c r="E29" s="638"/>
      <c r="F29" s="447"/>
      <c r="G29" s="484">
        <v>44.9</v>
      </c>
      <c r="H29" s="448"/>
      <c r="I29" s="446">
        <f>C28+7.5</f>
        <v>83539.109999999986</v>
      </c>
      <c r="J29" s="638" t="s">
        <v>2787</v>
      </c>
      <c r="K29" s="638"/>
      <c r="L29" s="638"/>
      <c r="M29" s="1239"/>
      <c r="N29" s="1239"/>
      <c r="O29" s="638"/>
      <c r="P29" s="638"/>
      <c r="Q29" s="638"/>
      <c r="R29" s="484"/>
      <c r="S29" s="638"/>
      <c r="T29" s="638"/>
      <c r="U29" s="638"/>
      <c r="V29" s="638"/>
      <c r="W29" s="638"/>
      <c r="X29" s="638"/>
      <c r="Y29" s="638"/>
      <c r="Z29" s="638"/>
      <c r="AA29" s="638"/>
      <c r="AB29" s="638"/>
      <c r="AC29" s="638"/>
      <c r="AD29" s="638"/>
      <c r="AE29" s="638"/>
      <c r="AF29" s="446"/>
      <c r="AG29" s="638"/>
      <c r="AH29" s="185"/>
      <c r="AI29" s="638"/>
      <c r="AJ29" s="1239"/>
      <c r="AK29" s="638"/>
      <c r="AL29" s="638"/>
      <c r="AM29" s="455"/>
      <c r="AN29" s="1239"/>
      <c r="AO29" s="1239"/>
      <c r="AP29" s="484">
        <f>+FL_1($S$30,$S$28,$G$29,1200,9.28,-1*$F$30)</f>
        <v>0.35007562091442707</v>
      </c>
      <c r="AQ29" s="484"/>
      <c r="AR29" s="484"/>
      <c r="AS29" s="484"/>
      <c r="AT29" s="638"/>
      <c r="AU29" s="638"/>
      <c r="AV29" s="638" t="str">
        <f>VLOOKUP(I29,'Foundation Calculation'!$A$2:$C$33,3,1)</f>
        <v>Soil A</v>
      </c>
      <c r="AW29" s="638" t="str">
        <f>VLOOKUP(I29,'Foundation Calculation'!$E$2:$G$33,3,1)</f>
        <v>PT</v>
      </c>
      <c r="AX29" s="484"/>
      <c r="AY29" s="484">
        <f>IF(AW29="PT",VLOOKUP(J29,'Foundation Calculation'!$K$2:$R$40,VLOOKUP(AV29,'Foundation Calculation'!$I$2:$J$8,2,FALSE),0),IF(AW29="K",VLOOKUP(J29,'Foundation Calculation'!$K$42:$R$80,VLOOKUP(AV29,'Foundation Calculation'!$I$2:$J$8,2,FALSE),0),""))</f>
        <v>3.3</v>
      </c>
      <c r="AZ29" s="671" t="s">
        <v>2809</v>
      </c>
      <c r="BA29" s="1239"/>
      <c r="BB29" s="169"/>
      <c r="BC29" s="1329"/>
      <c r="BD29" s="1330"/>
      <c r="BE29" s="1330"/>
      <c r="BF29" s="1330"/>
    </row>
    <row r="30" spans="1:58" s="1436" customFormat="1" ht="15.75" customHeight="1">
      <c r="A30" s="1430"/>
      <c r="B30" s="1476" t="s">
        <v>3686</v>
      </c>
      <c r="C30" s="1427">
        <f>+$C$28+$G$29</f>
        <v>83576.50999999998</v>
      </c>
      <c r="D30" s="1431"/>
      <c r="E30" s="1431"/>
      <c r="F30" s="1428">
        <f>-(179^2)/(C30-83558.42)</f>
        <v>-1771.1995577684886</v>
      </c>
      <c r="G30" s="1429"/>
      <c r="H30" s="1428"/>
      <c r="I30" s="1427"/>
      <c r="J30" s="1431"/>
      <c r="K30" s="1431" t="s">
        <v>895</v>
      </c>
      <c r="L30" s="1431" t="str">
        <f>IF(AW30="PT",VLOOKUP(K30,'Foundation Calculation'!$V$2:$X$40,VLOOKUP(AW30,'Foundation Calculation'!$I$10:$J$13,2,FALSE),0),IF(AW30="K",VLOOKUP(K30,'Foundation Calculation'!$V$42:$X$80,VLOOKUP(AW30,'Foundation Calculation'!$I$10:$J$13,2,FALSE),0),""))</f>
        <v>2C3R</v>
      </c>
      <c r="M30" s="1430" t="s">
        <v>143</v>
      </c>
      <c r="N30" s="1430" t="s">
        <v>140</v>
      </c>
      <c r="O30" s="1431"/>
      <c r="P30" s="1431">
        <v>0</v>
      </c>
      <c r="Q30" s="1431">
        <v>0</v>
      </c>
      <c r="R30" s="1429"/>
      <c r="S30" s="1431">
        <v>-20</v>
      </c>
      <c r="T30" s="1431">
        <v>-55</v>
      </c>
      <c r="U30" s="1431"/>
      <c r="V30" s="1431">
        <v>1.4</v>
      </c>
      <c r="W30" s="1431">
        <v>1.8</v>
      </c>
      <c r="X30" s="1431"/>
      <c r="Y30" s="1431"/>
      <c r="Z30" s="1431">
        <v>0.4</v>
      </c>
      <c r="AA30" s="1431"/>
      <c r="AB30" s="1431" t="str">
        <f>IF(OR(AS30&gt;8,AS30&lt;-8),"PH",IF(OR(AS30&gt;5,AS30&lt;-5),"PH-Q",IF(OR(AS30&gt;1,AS30&lt;-1),"PH-C")))</f>
        <v>PH</v>
      </c>
      <c r="AC30" s="1431"/>
      <c r="AD30" s="1431"/>
      <c r="AE30" s="1431">
        <v>5800</v>
      </c>
      <c r="AF30" s="1427">
        <v>83576</v>
      </c>
      <c r="AG30" s="1431">
        <v>2713</v>
      </c>
      <c r="AH30" s="1477">
        <v>590</v>
      </c>
      <c r="AI30" s="1431"/>
      <c r="AJ30" s="1430"/>
      <c r="AK30" s="1431"/>
      <c r="AL30" s="1426" t="s">
        <v>1043</v>
      </c>
      <c r="AM30" s="1432">
        <v>5.15</v>
      </c>
      <c r="AN30" s="1426"/>
      <c r="AO30" s="1426"/>
      <c r="AP30" s="1429"/>
      <c r="AQ30" s="1429"/>
      <c r="AR30" s="1429"/>
      <c r="AS30" s="1429">
        <f>+ab($S$30,$S$28,$S$32,$G$29,$G$31,-1*$F$30,1200)</f>
        <v>35.841660552670994</v>
      </c>
      <c r="AT30" s="1478"/>
      <c r="AU30" s="1478"/>
      <c r="AV30" s="1431" t="str">
        <f>VLOOKUP(C30,'Foundation Calculation'!$A$2:$C$33,3,1)</f>
        <v>Soil A</v>
      </c>
      <c r="AW30" s="1431" t="str">
        <f>VLOOKUP(C30,'Foundation Calculation'!$E$2:$G$33,3,1)</f>
        <v>PT</v>
      </c>
      <c r="AX30" s="1429">
        <f>IF(AW30="PT",VLOOKUP(K30,'Foundation Calculation'!$K$2:$R$40,VLOOKUP(AV30,'Foundation Calculation'!$I$2:$J$8,2,FALSE),0),IF(AW30="K",VLOOKUP(K30,'Foundation Calculation'!$K$42:$R$80,VLOOKUP(AV30,'Foundation Calculation'!$I$2:$J$8,2,FALSE),0),""))</f>
        <v>3.7</v>
      </c>
      <c r="AY30" s="1429"/>
      <c r="AZ30" s="1546" t="s">
        <v>2809</v>
      </c>
      <c r="BA30" s="1430" t="str">
        <f>Pole_Calculations!A19</f>
        <v>App.7-V11A-P9.5.1.5</v>
      </c>
      <c r="BB30" s="1434"/>
      <c r="BC30" s="1435"/>
      <c r="BD30" s="1435"/>
      <c r="BE30" s="1435"/>
      <c r="BF30" s="1435"/>
    </row>
    <row r="31" spans="1:58" ht="15.75" customHeight="1">
      <c r="A31" s="1239"/>
      <c r="B31" s="173"/>
      <c r="C31" s="446"/>
      <c r="D31" s="638"/>
      <c r="E31" s="638"/>
      <c r="F31" s="447"/>
      <c r="G31" s="484">
        <v>50.2</v>
      </c>
      <c r="H31" s="448">
        <v>278</v>
      </c>
      <c r="I31" s="446"/>
      <c r="J31" s="638"/>
      <c r="K31" s="638"/>
      <c r="L31" s="638"/>
      <c r="M31" s="1239"/>
      <c r="N31" s="638"/>
      <c r="O31" s="638"/>
      <c r="P31" s="638"/>
      <c r="Q31" s="638"/>
      <c r="R31" s="484"/>
      <c r="S31" s="638"/>
      <c r="T31" s="638"/>
      <c r="U31" s="638"/>
      <c r="V31" s="638"/>
      <c r="W31" s="638"/>
      <c r="X31" s="638"/>
      <c r="Y31" s="638"/>
      <c r="Z31" s="638"/>
      <c r="AA31" s="638"/>
      <c r="AB31" s="638"/>
      <c r="AC31" s="638"/>
      <c r="AD31" s="638"/>
      <c r="AE31" s="638"/>
      <c r="AF31" s="446"/>
      <c r="AG31" s="638"/>
      <c r="AH31" s="185"/>
      <c r="AI31" s="638"/>
      <c r="AJ31" s="1239"/>
      <c r="AK31" s="638"/>
      <c r="AL31" s="638"/>
      <c r="AM31" s="455"/>
      <c r="AN31" s="1239"/>
      <c r="AO31" s="1239"/>
      <c r="AP31" s="484">
        <f>+FL_2($S$32,$S$30,$G$31,1200,9.28,-1*$F$32)</f>
        <v>-0.42596473471992408</v>
      </c>
      <c r="AQ31" s="484"/>
      <c r="AR31" s="484"/>
      <c r="AS31" s="484"/>
      <c r="AT31" s="638"/>
      <c r="AU31" s="638"/>
      <c r="AV31" s="484"/>
      <c r="AW31" s="484"/>
      <c r="AX31" s="484"/>
      <c r="AY31" s="484"/>
      <c r="AZ31" s="671"/>
      <c r="BA31" s="1239"/>
      <c r="BB31" s="169"/>
      <c r="BC31" s="1330"/>
      <c r="BD31" s="1330"/>
      <c r="BE31" s="1330"/>
      <c r="BF31" s="1330"/>
    </row>
    <row r="32" spans="1:58" s="1436" customFormat="1" ht="15.75" customHeight="1">
      <c r="A32" s="1430"/>
      <c r="B32" s="1476" t="s">
        <v>3687</v>
      </c>
      <c r="C32" s="1427">
        <f>+$C$30+$G$31</f>
        <v>83626.709999999977</v>
      </c>
      <c r="D32" s="1449"/>
      <c r="E32" s="1449"/>
      <c r="F32" s="1430">
        <v>-1600</v>
      </c>
      <c r="G32" s="1429"/>
      <c r="H32" s="1428" t="s">
        <v>624</v>
      </c>
      <c r="I32" s="1427"/>
      <c r="J32" s="1431"/>
      <c r="K32" s="1426" t="s">
        <v>4488</v>
      </c>
      <c r="L32" s="1431" t="str">
        <f>IF(AW32="PT",VLOOKUP(K32,'Foundation Calculation'!$V$2:$X$40,VLOOKUP(AW32,'Foundation Calculation'!$I$10:$J$13,2,FALSE),0),IF(AW32="K",VLOOKUP(K32,'Foundation Calculation'!$V$42:$X$80,VLOOKUP(AW32,'Foundation Calculation'!$I$10:$J$13,2,FALSE),0),""))</f>
        <v>C11R</v>
      </c>
      <c r="M32" s="1430" t="s">
        <v>144</v>
      </c>
      <c r="N32" s="1430"/>
      <c r="O32" s="1431"/>
      <c r="P32" s="1431">
        <v>-10</v>
      </c>
      <c r="Q32" s="1431">
        <v>-1600</v>
      </c>
      <c r="R32" s="1429"/>
      <c r="S32" s="1431">
        <v>30</v>
      </c>
      <c r="T32" s="1431"/>
      <c r="U32" s="1431"/>
      <c r="V32" s="1431">
        <v>1.4</v>
      </c>
      <c r="W32" s="1431"/>
      <c r="X32" s="1431"/>
      <c r="Y32" s="1431"/>
      <c r="Z32" s="1431"/>
      <c r="AA32" s="1431"/>
      <c r="AB32" s="1431" t="str">
        <f>IF(OR(AS32&gt;8,AS32&lt;-8),"PH",IF(OR(AS32&gt;5,AS32&lt;-5),"PH-Q",IF(OR(AS32&gt;1,AS32&lt;-1),"PH-C")))</f>
        <v>PH-C</v>
      </c>
      <c r="AC32" s="1431"/>
      <c r="AD32" s="1431"/>
      <c r="AE32" s="1431">
        <v>5800</v>
      </c>
      <c r="AF32" s="1427">
        <v>83625</v>
      </c>
      <c r="AG32" s="1431">
        <v>2583</v>
      </c>
      <c r="AH32" s="1477">
        <v>440</v>
      </c>
      <c r="AI32" s="1431"/>
      <c r="AJ32" s="1430"/>
      <c r="AK32" s="1431" t="s">
        <v>4490</v>
      </c>
      <c r="AL32" s="1426" t="s">
        <v>1043</v>
      </c>
      <c r="AM32" s="1432">
        <v>5.15</v>
      </c>
      <c r="AN32" s="1426"/>
      <c r="AO32" s="1426"/>
      <c r="AP32" s="1429"/>
      <c r="AQ32" s="1429"/>
      <c r="AR32" s="1429"/>
      <c r="AS32" s="1429">
        <f>+ab($S$32,$S$30,$S$34,$G$31,$G$33,-1*$F$32,1200)</f>
        <v>4.6357296465249602</v>
      </c>
      <c r="AT32" s="1478"/>
      <c r="AU32" s="1478"/>
      <c r="AV32" s="1431" t="str">
        <f>VLOOKUP(C32,'Foundation Calculation'!$A$2:$C$33,3,1)</f>
        <v>Soil A</v>
      </c>
      <c r="AW32" s="1431" t="str">
        <f>VLOOKUP(C32,'Foundation Calculation'!$E$2:$G$33,3,1)</f>
        <v>PT</v>
      </c>
      <c r="AX32" s="1429">
        <f>IF(AW32="PT",VLOOKUP(K32,'Foundation Calculation'!$K$2:$R$40,VLOOKUP(AV32,'Foundation Calculation'!$I$2:$J$8,2,FALSE),0),IF(AW32="K",VLOOKUP(K32,'Foundation Calculation'!$K$42:$R$80,VLOOKUP(AV32,'Foundation Calculation'!$I$2:$J$8,2,FALSE),0),""))</f>
        <v>4.5999999999999996</v>
      </c>
      <c r="AY32" s="1429"/>
      <c r="AZ32" s="1546" t="s">
        <v>2809</v>
      </c>
      <c r="BA32" s="1430" t="str">
        <f>Pole_Calculations!A178</f>
        <v>App.8-V08F-P10.3</v>
      </c>
      <c r="BB32" s="1434"/>
      <c r="BC32" s="1435"/>
      <c r="BD32" s="1435"/>
      <c r="BE32" s="1435"/>
      <c r="BF32" s="1435"/>
    </row>
    <row r="33" spans="1:58" ht="15.75" customHeight="1">
      <c r="A33" s="647" t="s">
        <v>3049</v>
      </c>
      <c r="B33" s="705"/>
      <c r="C33" s="649"/>
      <c r="D33" s="648"/>
      <c r="E33" s="648"/>
      <c r="F33" s="647"/>
      <c r="G33" s="654">
        <v>50.1</v>
      </c>
      <c r="H33" s="650"/>
      <c r="I33" s="649">
        <f>C32+7.5</f>
        <v>83634.209999999977</v>
      </c>
      <c r="J33" s="653" t="s">
        <v>2787</v>
      </c>
      <c r="K33" s="653"/>
      <c r="L33" s="653"/>
      <c r="M33" s="647"/>
      <c r="N33" s="647"/>
      <c r="O33" s="653"/>
      <c r="P33" s="653"/>
      <c r="Q33" s="653"/>
      <c r="R33" s="654"/>
      <c r="S33" s="653"/>
      <c r="T33" s="653"/>
      <c r="U33" s="653"/>
      <c r="V33" s="653"/>
      <c r="W33" s="653"/>
      <c r="X33" s="653"/>
      <c r="Y33" s="653"/>
      <c r="Z33" s="653"/>
      <c r="AA33" s="653"/>
      <c r="AB33" s="653"/>
      <c r="AC33" s="653"/>
      <c r="AD33" s="653"/>
      <c r="AE33" s="653"/>
      <c r="AF33" s="649"/>
      <c r="AG33" s="653"/>
      <c r="AH33" s="704"/>
      <c r="AI33" s="653"/>
      <c r="AJ33" s="647"/>
      <c r="AK33" s="653"/>
      <c r="AL33" s="653"/>
      <c r="AM33" s="651"/>
      <c r="AN33" s="647"/>
      <c r="AO33" s="647"/>
      <c r="AP33" s="654">
        <f>+FL_1($S$34,$S$32,$G$33,1200,9.28,-1*$F$34)</f>
        <v>0.34652775069420416</v>
      </c>
      <c r="AQ33" s="654"/>
      <c r="AR33" s="654"/>
      <c r="AS33" s="654"/>
      <c r="AT33" s="653"/>
      <c r="AU33" s="653"/>
      <c r="AV33" s="654" t="str">
        <f>VLOOKUP(I33,'Foundation Calculation'!$A$2:$C$33,3,1)</f>
        <v>Soil A</v>
      </c>
      <c r="AW33" s="654" t="str">
        <f>VLOOKUP(I33,'Foundation Calculation'!$E$2:$G$33,3,1)</f>
        <v>PT</v>
      </c>
      <c r="AX33" s="654"/>
      <c r="AY33" s="654">
        <f>IF(AW33="PT",VLOOKUP(J33,'Foundation Calculation'!$K$2:$R$40,VLOOKUP(AV33,'Foundation Calculation'!$I$2:$J$8,2,FALSE),0),IF(AW33="K",VLOOKUP(J33,'Foundation Calculation'!$K$42:$R$80,VLOOKUP(AV33,'Foundation Calculation'!$I$2:$J$8,2,FALSE),0),""))</f>
        <v>3.3</v>
      </c>
      <c r="AZ33" s="701" t="s">
        <v>2809</v>
      </c>
      <c r="BA33" s="647"/>
      <c r="BB33" s="169"/>
      <c r="BC33" s="1329"/>
      <c r="BD33" s="1330"/>
      <c r="BE33" s="1330"/>
      <c r="BF33" s="1330"/>
    </row>
    <row r="34" spans="1:58" s="1436" customFormat="1" ht="15.75" customHeight="1">
      <c r="A34" s="1430"/>
      <c r="B34" s="1476" t="s">
        <v>3688</v>
      </c>
      <c r="C34" s="1427">
        <f>+$C$32+$G$33</f>
        <v>83676.809999999983</v>
      </c>
      <c r="D34" s="1449"/>
      <c r="E34" s="1449"/>
      <c r="F34" s="1430">
        <v>-1600</v>
      </c>
      <c r="G34" s="1429"/>
      <c r="H34" s="1428"/>
      <c r="I34" s="1427"/>
      <c r="J34" s="1431"/>
      <c r="K34" s="1426" t="s">
        <v>4488</v>
      </c>
      <c r="L34" s="1431" t="str">
        <f>IF(AW34="PT",VLOOKUP(K34,'Foundation Calculation'!$V$2:$X$40,VLOOKUP(AW34,'Foundation Calculation'!$I$10:$J$13,2,FALSE),0),IF(AW34="K",VLOOKUP(K34,'Foundation Calculation'!$V$42:$X$80,VLOOKUP(AW34,'Foundation Calculation'!$I$10:$J$13,2,FALSE),0),""))</f>
        <v>C11R</v>
      </c>
      <c r="M34" s="1430" t="s">
        <v>144</v>
      </c>
      <c r="N34" s="1430"/>
      <c r="O34" s="1431"/>
      <c r="P34" s="1431">
        <v>-10</v>
      </c>
      <c r="Q34" s="1431">
        <v>-1600</v>
      </c>
      <c r="R34" s="1429"/>
      <c r="S34" s="1431">
        <v>30</v>
      </c>
      <c r="T34" s="1431"/>
      <c r="U34" s="1431"/>
      <c r="V34" s="1431">
        <v>1.4</v>
      </c>
      <c r="W34" s="1431"/>
      <c r="X34" s="1431"/>
      <c r="Y34" s="1431"/>
      <c r="Z34" s="1431"/>
      <c r="AA34" s="1431"/>
      <c r="AB34" s="1431" t="str">
        <f>IF(OR(AS34&gt;8,AS34&lt;-8),"PH",IF(OR(AS34&gt;5,AS34&lt;-5),"PH-Q",IF(OR(AS34&gt;1,AS34&lt;-1),"PH-C")))</f>
        <v>PH-Q</v>
      </c>
      <c r="AC34" s="1431"/>
      <c r="AD34" s="1431"/>
      <c r="AE34" s="1431">
        <v>5800</v>
      </c>
      <c r="AF34" s="1427">
        <v>83676</v>
      </c>
      <c r="AG34" s="1431">
        <v>2243</v>
      </c>
      <c r="AH34" s="1477">
        <v>540</v>
      </c>
      <c r="AI34" s="1431"/>
      <c r="AJ34" s="1430"/>
      <c r="AK34" s="1431" t="s">
        <v>4490</v>
      </c>
      <c r="AL34" s="1426" t="s">
        <v>1043</v>
      </c>
      <c r="AM34" s="1432">
        <v>5.15</v>
      </c>
      <c r="AN34" s="1426"/>
      <c r="AO34" s="1426"/>
      <c r="AP34" s="1429"/>
      <c r="AQ34" s="1429"/>
      <c r="AR34" s="1429"/>
      <c r="AS34" s="1429">
        <f>+ab($S$34,$S$32,$S$36,$G$33,$G$35,-1*$F$34,1200)</f>
        <v>5.8224672107761037</v>
      </c>
      <c r="AT34" s="1478"/>
      <c r="AU34" s="1478"/>
      <c r="AV34" s="1431" t="str">
        <f>VLOOKUP(C34,'Foundation Calculation'!$A$2:$C$33,3,1)</f>
        <v>Soil A</v>
      </c>
      <c r="AW34" s="1431" t="str">
        <f>VLOOKUP(C34,'Foundation Calculation'!$E$2:$G$33,3,1)</f>
        <v>PT</v>
      </c>
      <c r="AX34" s="1429">
        <f>IF(AW34="PT",VLOOKUP(K34,'Foundation Calculation'!$K$2:$R$40,VLOOKUP(AV34,'Foundation Calculation'!$I$2:$J$8,2,FALSE),0),IF(AW34="K",VLOOKUP(K34,'Foundation Calculation'!$K$42:$R$80,VLOOKUP(AV34,'Foundation Calculation'!$I$2:$J$8,2,FALSE),0),""))</f>
        <v>4.5999999999999996</v>
      </c>
      <c r="AY34" s="1429"/>
      <c r="AZ34" s="1546" t="s">
        <v>2809</v>
      </c>
      <c r="BA34" s="1430" t="str">
        <f>Pole_Calculations!A178</f>
        <v>App.8-V08F-P10.3</v>
      </c>
      <c r="BB34" s="1434"/>
      <c r="BC34" s="1435"/>
      <c r="BD34" s="1435"/>
      <c r="BE34" s="1435"/>
      <c r="BF34" s="1435"/>
    </row>
    <row r="35" spans="1:58" ht="15.75" customHeight="1">
      <c r="A35" s="1239"/>
      <c r="B35" s="173"/>
      <c r="C35" s="446"/>
      <c r="D35" s="447"/>
      <c r="E35" s="447"/>
      <c r="F35" s="1239"/>
      <c r="G35" s="484">
        <v>55</v>
      </c>
      <c r="H35" s="448" t="s">
        <v>1471</v>
      </c>
      <c r="I35" s="446">
        <f>C36-7.5</f>
        <v>83724.309999999983</v>
      </c>
      <c r="J35" s="638" t="s">
        <v>2788</v>
      </c>
      <c r="K35" s="638"/>
      <c r="L35" s="638"/>
      <c r="M35" s="1239"/>
      <c r="N35" s="638"/>
      <c r="O35" s="638"/>
      <c r="P35" s="638"/>
      <c r="Q35" s="638"/>
      <c r="R35" s="484"/>
      <c r="S35" s="638"/>
      <c r="T35" s="638"/>
      <c r="U35" s="638"/>
      <c r="V35" s="638"/>
      <c r="W35" s="638"/>
      <c r="X35" s="638"/>
      <c r="Y35" s="638"/>
      <c r="Z35" s="638"/>
      <c r="AA35" s="638"/>
      <c r="AB35" s="638"/>
      <c r="AC35" s="638"/>
      <c r="AD35" s="638"/>
      <c r="AE35" s="638"/>
      <c r="AF35" s="446"/>
      <c r="AG35" s="638"/>
      <c r="AH35" s="185"/>
      <c r="AI35" s="638"/>
      <c r="AJ35" s="1239"/>
      <c r="AK35" s="638"/>
      <c r="AL35" s="638"/>
      <c r="AM35" s="455"/>
      <c r="AN35" s="1239"/>
      <c r="AO35" s="1239"/>
      <c r="AP35" s="484">
        <f>+FL_1($S$36,$S$34,$G$35,1200,9.28,-1*$F$36)</f>
        <v>0.35607108565618417</v>
      </c>
      <c r="AQ35" s="484"/>
      <c r="AR35" s="484"/>
      <c r="AS35" s="484"/>
      <c r="AT35" s="638"/>
      <c r="AU35" s="638"/>
      <c r="AV35" s="638" t="str">
        <f>VLOOKUP(I35,'Foundation Calculation'!$A$2:$C$33,3,1)</f>
        <v>Soil A</v>
      </c>
      <c r="AW35" s="638" t="str">
        <f>VLOOKUP(I35,'Foundation Calculation'!$E$2:$G$33,3,1)</f>
        <v>PT</v>
      </c>
      <c r="AX35" s="484"/>
      <c r="AY35" s="484">
        <f>IF(AW35="PT",VLOOKUP(J35,'Foundation Calculation'!$K$2:$R$40,VLOOKUP(AV35,'Foundation Calculation'!$I$2:$J$8,2,FALSE),0),IF(AW35="K",VLOOKUP(J35,'Foundation Calculation'!$K$42:$R$80,VLOOKUP(AV35,'Foundation Calculation'!$I$2:$J$8,2,FALSE),0),""))</f>
        <v>2.8</v>
      </c>
      <c r="AZ35" s="671" t="s">
        <v>2809</v>
      </c>
      <c r="BA35" s="1239"/>
      <c r="BB35" s="169"/>
      <c r="BC35" s="1329"/>
      <c r="BD35" s="1330"/>
      <c r="BE35" s="1330"/>
      <c r="BF35" s="1330"/>
    </row>
    <row r="36" spans="1:58" s="1436" customFormat="1" ht="15.75" customHeight="1">
      <c r="A36" s="1430"/>
      <c r="B36" s="1476" t="s">
        <v>3689</v>
      </c>
      <c r="C36" s="1427">
        <f>+$C$34+$G$35</f>
        <v>83731.809999999983</v>
      </c>
      <c r="D36" s="1449"/>
      <c r="E36" s="1449"/>
      <c r="F36" s="1430">
        <v>-1600</v>
      </c>
      <c r="G36" s="1429"/>
      <c r="H36" s="1428"/>
      <c r="I36" s="1427"/>
      <c r="J36" s="1431"/>
      <c r="K36" s="1426" t="s">
        <v>4488</v>
      </c>
      <c r="L36" s="1431" t="str">
        <f>IF(AW36="PT",VLOOKUP(K36,'Foundation Calculation'!$V$2:$X$40,VLOOKUP(AW36,'Foundation Calculation'!$I$10:$J$13,2,FALSE),0),IF(AW36="K",VLOOKUP(K36,'Foundation Calculation'!$V$42:$X$80,VLOOKUP(AW36,'Foundation Calculation'!$I$10:$J$13,2,FALSE),0),""))</f>
        <v>C11R</v>
      </c>
      <c r="M36" s="1430" t="s">
        <v>144</v>
      </c>
      <c r="N36" s="1430"/>
      <c r="O36" s="1431"/>
      <c r="P36" s="1431">
        <v>-30</v>
      </c>
      <c r="Q36" s="1431">
        <v>-1600</v>
      </c>
      <c r="R36" s="1429"/>
      <c r="S36" s="1431">
        <v>30</v>
      </c>
      <c r="T36" s="1431"/>
      <c r="U36" s="1431"/>
      <c r="V36" s="1431">
        <v>1.4</v>
      </c>
      <c r="W36" s="1431"/>
      <c r="X36" s="1431"/>
      <c r="Y36" s="1431"/>
      <c r="Z36" s="1431"/>
      <c r="AA36" s="1431"/>
      <c r="AB36" s="1431" t="str">
        <f>IF(OR(AS36&gt;8,AS36&lt;-8),"PH",IF(OR(AS36&gt;5,AS36&lt;-5),"PH-Q",IF(OR(AS36&gt;1,AS36&lt;-1),"PH-C")))</f>
        <v>PH-C</v>
      </c>
      <c r="AC36" s="1431"/>
      <c r="AD36" s="1431"/>
      <c r="AE36" s="1431">
        <v>5800</v>
      </c>
      <c r="AF36" s="1427">
        <v>83730</v>
      </c>
      <c r="AG36" s="1431">
        <v>2393</v>
      </c>
      <c r="AH36" s="1477">
        <v>530</v>
      </c>
      <c r="AI36" s="1431"/>
      <c r="AJ36" s="1430"/>
      <c r="AK36" s="1431" t="s">
        <v>4490</v>
      </c>
      <c r="AL36" s="1426" t="s">
        <v>1043</v>
      </c>
      <c r="AM36" s="1432">
        <v>5.15</v>
      </c>
      <c r="AN36" s="1426"/>
      <c r="AO36" s="1426"/>
      <c r="AP36" s="1429"/>
      <c r="AQ36" s="1429"/>
      <c r="AR36" s="1429"/>
      <c r="AS36" s="1429">
        <f>+ab($S$36,$S$34,$S$38,$G$35,$G$37,-1*$F$36,1200)</f>
        <v>4.3713596008296616</v>
      </c>
      <c r="AT36" s="1478"/>
      <c r="AU36" s="1478"/>
      <c r="AV36" s="1431" t="str">
        <f>VLOOKUP(C36,'Foundation Calculation'!$A$2:$C$33,3,1)</f>
        <v>Soil A</v>
      </c>
      <c r="AW36" s="1431" t="str">
        <f>VLOOKUP(C36,'Foundation Calculation'!$E$2:$G$33,3,1)</f>
        <v>PT</v>
      </c>
      <c r="AX36" s="1429">
        <f>IF(AW36="PT",VLOOKUP(K36,'Foundation Calculation'!$K$2:$R$40,VLOOKUP(AV36,'Foundation Calculation'!$I$2:$J$8,2,FALSE),0),IF(AW36="K",VLOOKUP(K36,'Foundation Calculation'!$K$42:$R$80,VLOOKUP(AV36,'Foundation Calculation'!$I$2:$J$8,2,FALSE),0),""))</f>
        <v>4.5999999999999996</v>
      </c>
      <c r="AY36" s="1429"/>
      <c r="AZ36" s="1546" t="s">
        <v>2809</v>
      </c>
      <c r="BA36" s="1430" t="str">
        <f>Pole_Calculations!A178</f>
        <v>App.8-V08F-P10.3</v>
      </c>
      <c r="BB36" s="1434"/>
      <c r="BC36" s="1435"/>
      <c r="BD36" s="1435"/>
      <c r="BE36" s="1435"/>
      <c r="BF36" s="1435"/>
    </row>
    <row r="37" spans="1:58" ht="15.75" customHeight="1">
      <c r="A37" s="1239"/>
      <c r="B37" s="173"/>
      <c r="C37" s="446"/>
      <c r="D37" s="447"/>
      <c r="E37" s="447"/>
      <c r="F37" s="1239"/>
      <c r="G37" s="484">
        <v>50</v>
      </c>
      <c r="H37" s="448" t="s">
        <v>1039</v>
      </c>
      <c r="I37" s="446">
        <f>C36+7.5</f>
        <v>83739.309999999983</v>
      </c>
      <c r="J37" s="638" t="s">
        <v>2788</v>
      </c>
      <c r="K37" s="638"/>
      <c r="L37" s="638"/>
      <c r="M37" s="1239"/>
      <c r="N37" s="638"/>
      <c r="O37" s="638"/>
      <c r="P37" s="638"/>
      <c r="Q37" s="638"/>
      <c r="R37" s="484"/>
      <c r="S37" s="638"/>
      <c r="T37" s="638"/>
      <c r="U37" s="638"/>
      <c r="V37" s="638"/>
      <c r="W37" s="638"/>
      <c r="X37" s="638"/>
      <c r="Y37" s="638"/>
      <c r="Z37" s="638"/>
      <c r="AA37" s="638"/>
      <c r="AB37" s="638"/>
      <c r="AC37" s="638"/>
      <c r="AD37" s="638"/>
      <c r="AE37" s="638"/>
      <c r="AF37" s="446"/>
      <c r="AG37" s="638"/>
      <c r="AH37" s="185"/>
      <c r="AI37" s="638"/>
      <c r="AJ37" s="1239"/>
      <c r="AK37" s="638"/>
      <c r="AL37" s="638"/>
      <c r="AM37" s="455"/>
      <c r="AN37" s="1239"/>
      <c r="AO37" s="1239"/>
      <c r="AP37" s="484">
        <f>+FL_1($S$38,-$S$36,$G$37,1200,9.28, 1*$F$38)</f>
        <v>-3.2686785333333336E-2</v>
      </c>
      <c r="AQ37" s="484"/>
      <c r="AR37" s="484"/>
      <c r="AS37" s="484"/>
      <c r="AT37" s="638"/>
      <c r="AU37" s="638"/>
      <c r="AV37" s="638" t="str">
        <f>VLOOKUP(I37,'Foundation Calculation'!$A$2:$C$33,3,1)</f>
        <v>Soil A</v>
      </c>
      <c r="AW37" s="638" t="str">
        <f>VLOOKUP(I37,'Foundation Calculation'!$E$2:$G$33,3,1)</f>
        <v>PT</v>
      </c>
      <c r="AX37" s="484"/>
      <c r="AY37" s="484">
        <f>IF(AW37="PT",VLOOKUP(J37,'Foundation Calculation'!$K$2:$R$40,VLOOKUP(AV37,'Foundation Calculation'!$I$2:$J$8,2,FALSE),0),IF(AW37="K",VLOOKUP(J37,'Foundation Calculation'!$K$42:$R$80,VLOOKUP(AV37,'Foundation Calculation'!$I$2:$J$8,2,FALSE),0),""))</f>
        <v>2.8</v>
      </c>
      <c r="AZ37" s="671" t="s">
        <v>2809</v>
      </c>
      <c r="BA37" s="1239"/>
      <c r="BB37" s="169"/>
      <c r="BC37" s="1329"/>
      <c r="BD37" s="1330"/>
      <c r="BE37" s="1330"/>
      <c r="BF37" s="1330"/>
    </row>
    <row r="38" spans="1:58" s="1436" customFormat="1" ht="15.75" customHeight="1">
      <c r="A38" s="1430"/>
      <c r="B38" s="1426" t="s">
        <v>3690</v>
      </c>
      <c r="C38" s="1427">
        <f>+$C$36+$G$37</f>
        <v>83781.809999999983</v>
      </c>
      <c r="D38" s="1426"/>
      <c r="E38" s="1426"/>
      <c r="F38" s="1426">
        <v>0</v>
      </c>
      <c r="G38" s="1429"/>
      <c r="H38" s="1428"/>
      <c r="I38" s="1427"/>
      <c r="J38" s="1426"/>
      <c r="K38" s="1426" t="s">
        <v>4666</v>
      </c>
      <c r="L38" s="1426" t="str">
        <f>IF(AW38="PT",VLOOKUP(K38,'Foundation Calculation'!$V$2:$X$40,VLOOKUP(AW38,'Foundation Calculation'!$I$10:$J$13,2,FALSE),0),IF(AW38="K",VLOOKUP(K38,'Foundation Calculation'!$V$42:$X$80,VLOOKUP(AW38,'Foundation Calculation'!$I$10:$J$13,2,FALSE),0),""))</f>
        <v>C12R</v>
      </c>
      <c r="M38" s="1426" t="s">
        <v>143</v>
      </c>
      <c r="N38" s="1426"/>
      <c r="O38" s="1426"/>
      <c r="P38" s="1431">
        <v>0</v>
      </c>
      <c r="Q38" s="1431">
        <v>0</v>
      </c>
      <c r="R38" s="1429"/>
      <c r="S38" s="1431">
        <v>-25</v>
      </c>
      <c r="T38" s="1431"/>
      <c r="U38" s="1431"/>
      <c r="V38" s="1431">
        <v>1.2</v>
      </c>
      <c r="W38" s="1431"/>
      <c r="X38" s="1431"/>
      <c r="Y38" s="1431"/>
      <c r="Z38" s="1431"/>
      <c r="AA38" s="1431"/>
      <c r="AB38" s="1431" t="str">
        <f>IF(OR(AS38&gt;8,AS38&lt;-8),"PH",IF(OR(AS38&gt;5,AS38&lt;-5),"PH-Q",IF(OR(AS38&gt;1,AS38&lt;-1),"PH-C")))</f>
        <v>PH</v>
      </c>
      <c r="AC38" s="1431"/>
      <c r="AD38" s="1431"/>
      <c r="AE38" s="1431">
        <v>5800</v>
      </c>
      <c r="AF38" s="1427">
        <v>83779</v>
      </c>
      <c r="AG38" s="1431">
        <v>2613</v>
      </c>
      <c r="AH38" s="1477">
        <v>580</v>
      </c>
      <c r="AI38" s="1426"/>
      <c r="AJ38" s="1426"/>
      <c r="AK38" s="1426" t="s">
        <v>4098</v>
      </c>
      <c r="AL38" s="1426" t="s">
        <v>1042</v>
      </c>
      <c r="AM38" s="1429">
        <v>5.15</v>
      </c>
      <c r="AN38" s="1426"/>
      <c r="AO38" s="1426"/>
      <c r="AP38" s="1429"/>
      <c r="AQ38" s="1429"/>
      <c r="AR38" s="1429"/>
      <c r="AS38" s="1429">
        <f>+ab($S$38,-$S$36,$S$40,$G$37,$G$39, 1*$F$38,1200)</f>
        <v>-23.175312728288329</v>
      </c>
      <c r="AT38" s="1478"/>
      <c r="AU38" s="1478"/>
      <c r="AV38" s="1431" t="str">
        <f>VLOOKUP(C38,'Foundation Calculation'!$A$2:$C$33,3,1)</f>
        <v>Soil A</v>
      </c>
      <c r="AW38" s="1431" t="str">
        <f>VLOOKUP(C38,'Foundation Calculation'!$E$2:$G$33,3,1)</f>
        <v>PT</v>
      </c>
      <c r="AX38" s="1429">
        <f>IF(AW38="PT",VLOOKUP(K38,'Foundation Calculation'!$K$2:$R$40,VLOOKUP(AV38,'Foundation Calculation'!$I$2:$J$8,2,FALSE),0),IF(AW38="K",VLOOKUP(K38,'Foundation Calculation'!$K$42:$R$80,VLOOKUP(AV38,'Foundation Calculation'!$I$2:$J$8,2,FALSE),0),""))</f>
        <v>6</v>
      </c>
      <c r="AY38" s="1429"/>
      <c r="AZ38" s="1546" t="s">
        <v>2809</v>
      </c>
      <c r="BA38" s="1430" t="str">
        <f>Pole_Calculations!A178</f>
        <v>App.8-V08F-P10.3</v>
      </c>
      <c r="BB38" s="1434"/>
      <c r="BC38" s="1435"/>
      <c r="BD38" s="1435"/>
      <c r="BE38" s="1435"/>
      <c r="BF38" s="1435"/>
    </row>
    <row r="39" spans="1:58" ht="15.75" customHeight="1">
      <c r="A39" s="694" t="s">
        <v>3717</v>
      </c>
      <c r="B39" s="717"/>
      <c r="C39" s="718"/>
      <c r="D39" s="719"/>
      <c r="E39" s="719"/>
      <c r="F39" s="694"/>
      <c r="G39" s="720">
        <v>51</v>
      </c>
      <c r="H39" s="722"/>
      <c r="I39" s="718"/>
      <c r="J39" s="721"/>
      <c r="K39" s="721"/>
      <c r="L39" s="721"/>
      <c r="M39" s="694"/>
      <c r="N39" s="694"/>
      <c r="O39" s="721"/>
      <c r="P39" s="721"/>
      <c r="Q39" s="721"/>
      <c r="R39" s="720"/>
      <c r="S39" s="721"/>
      <c r="T39" s="721"/>
      <c r="U39" s="721"/>
      <c r="V39" s="721"/>
      <c r="W39" s="721"/>
      <c r="X39" s="721"/>
      <c r="Y39" s="721"/>
      <c r="Z39" s="721"/>
      <c r="AA39" s="721"/>
      <c r="AB39" s="721"/>
      <c r="AC39" s="721"/>
      <c r="AD39" s="721"/>
      <c r="AE39" s="721"/>
      <c r="AF39" s="718"/>
      <c r="AG39" s="721"/>
      <c r="AH39" s="723"/>
      <c r="AI39" s="721"/>
      <c r="AJ39" s="694"/>
      <c r="AK39" s="721"/>
      <c r="AL39" s="721"/>
      <c r="AM39" s="724"/>
      <c r="AN39" s="694"/>
      <c r="AO39" s="694"/>
      <c r="AP39" s="720">
        <f>+FL_1($S$40,$S$38,$G$39,1200,9.28, 1*$F$40)</f>
        <v>0.27676707192156863</v>
      </c>
      <c r="AQ39" s="720"/>
      <c r="AR39" s="720"/>
      <c r="AS39" s="720"/>
      <c r="AT39" s="721"/>
      <c r="AU39" s="721"/>
      <c r="AV39" s="721"/>
      <c r="AW39" s="721"/>
      <c r="AX39" s="720"/>
      <c r="AY39" s="720"/>
      <c r="AZ39" s="726"/>
      <c r="BA39" s="694"/>
      <c r="BB39" s="169"/>
      <c r="BC39" s="1330"/>
      <c r="BD39" s="1330"/>
      <c r="BE39" s="1330"/>
      <c r="BF39" s="1330"/>
    </row>
    <row r="40" spans="1:58" ht="15.75" customHeight="1">
      <c r="A40" s="420"/>
      <c r="B40" s="725" t="s">
        <v>3691</v>
      </c>
      <c r="C40" s="416">
        <f>+$C$38+$G$39</f>
        <v>83832.809999999983</v>
      </c>
      <c r="D40" s="420"/>
      <c r="E40" s="420"/>
      <c r="F40" s="420">
        <v>0</v>
      </c>
      <c r="G40" s="444"/>
      <c r="H40" s="421"/>
      <c r="I40" s="416"/>
      <c r="J40" s="417"/>
      <c r="K40" s="417" t="s">
        <v>4488</v>
      </c>
      <c r="L40" s="417" t="str">
        <f>IF(AW40="PT",VLOOKUP(K40,'Foundation Calculation'!$V$2:$X$40,VLOOKUP(AW40,'Foundation Calculation'!$I$10:$J$13,2,FALSE),0),IF(AW40="K",VLOOKUP(K40,'Foundation Calculation'!$V$42:$X$80,VLOOKUP(AW40,'Foundation Calculation'!$I$10:$J$13,2,FALSE),0),""))</f>
        <v>C11R</v>
      </c>
      <c r="M40" s="420" t="s">
        <v>144</v>
      </c>
      <c r="N40" s="420"/>
      <c r="O40" s="417"/>
      <c r="P40" s="417">
        <v>0</v>
      </c>
      <c r="Q40" s="417">
        <v>0</v>
      </c>
      <c r="R40" s="422"/>
      <c r="S40" s="417">
        <v>20</v>
      </c>
      <c r="T40" s="417"/>
      <c r="U40" s="417"/>
      <c r="V40" s="417">
        <v>0.9</v>
      </c>
      <c r="W40" s="417"/>
      <c r="X40" s="417"/>
      <c r="Y40" s="417"/>
      <c r="Z40" s="417"/>
      <c r="AA40" s="417"/>
      <c r="AB40" s="417" t="str">
        <f>IF(OR(AS40&gt;8,AS40&lt;-8),"PH",IF(OR(AS40&gt;5,AS40&lt;-5),"PH-Q",IF(OR(AS40&gt;1,AS40&lt;-1),"PH-C")))</f>
        <v>PH</v>
      </c>
      <c r="AC40" s="417"/>
      <c r="AD40" s="417"/>
      <c r="AE40" s="417">
        <v>5300</v>
      </c>
      <c r="AF40" s="416">
        <v>83830</v>
      </c>
      <c r="AG40" s="417">
        <v>2463</v>
      </c>
      <c r="AH40" s="607">
        <v>220</v>
      </c>
      <c r="AI40" s="417"/>
      <c r="AJ40" s="420"/>
      <c r="AK40" s="417" t="s">
        <v>4490</v>
      </c>
      <c r="AL40" s="417" t="s">
        <v>1042</v>
      </c>
      <c r="AM40" s="444">
        <v>5.15</v>
      </c>
      <c r="AN40" s="420"/>
      <c r="AO40" s="420"/>
      <c r="AP40" s="422"/>
      <c r="AQ40" s="422"/>
      <c r="AR40" s="422"/>
      <c r="AS40" s="422">
        <f>+ab($S$40,$S$38,$S$42,$G$39,$G$41, 1*$F$40,1200)</f>
        <v>11.937775526418251</v>
      </c>
      <c r="AT40" s="417"/>
      <c r="AU40" s="417"/>
      <c r="AV40" s="417" t="str">
        <f>VLOOKUP(C40,'Foundation Calculation'!$A$2:$C$33,3,1)</f>
        <v>Soil B</v>
      </c>
      <c r="AW40" s="417" t="str">
        <f>VLOOKUP(C40,'Foundation Calculation'!$E$2:$G$33,3,1)</f>
        <v>PT</v>
      </c>
      <c r="AX40" s="422">
        <f>IF(AW40="PT",VLOOKUP(K40,'Foundation Calculation'!$K$2:$R$40,VLOOKUP(AV40,'Foundation Calculation'!$I$2:$J$8,2,FALSE),0),IF(AW40="K",VLOOKUP(K40,'Foundation Calculation'!$K$42:$R$80,VLOOKUP(AV40,'Foundation Calculation'!$I$2:$J$8,2,FALSE),0),""))</f>
        <v>4.5999999999999996</v>
      </c>
      <c r="AY40" s="422"/>
      <c r="AZ40" s="604" t="s">
        <v>2809</v>
      </c>
      <c r="BA40" s="420" t="str">
        <f>Pole_Calculations!A178</f>
        <v>App.8-V08F-P10.3</v>
      </c>
      <c r="BB40" s="169"/>
      <c r="BC40" s="1329"/>
      <c r="BD40" s="1329"/>
      <c r="BE40" s="1329"/>
      <c r="BF40" s="1329"/>
    </row>
    <row r="41" spans="1:58" ht="15.75" customHeight="1">
      <c r="A41" s="495" t="s">
        <v>3718</v>
      </c>
      <c r="B41" s="639"/>
      <c r="C41" s="489"/>
      <c r="D41" s="491"/>
      <c r="E41" s="491"/>
      <c r="F41" s="495"/>
      <c r="G41" s="493">
        <v>57</v>
      </c>
      <c r="H41" s="491"/>
      <c r="I41" s="489">
        <f>C42-7.5</f>
        <v>83882.309999999983</v>
      </c>
      <c r="J41" s="490" t="s">
        <v>2788</v>
      </c>
      <c r="K41" s="490"/>
      <c r="L41" s="490"/>
      <c r="M41" s="495"/>
      <c r="N41" s="495"/>
      <c r="O41" s="490"/>
      <c r="P41" s="490"/>
      <c r="Q41" s="490"/>
      <c r="R41" s="493"/>
      <c r="S41" s="490"/>
      <c r="T41" s="490"/>
      <c r="U41" s="490"/>
      <c r="V41" s="490"/>
      <c r="W41" s="490"/>
      <c r="X41" s="490"/>
      <c r="Y41" s="490"/>
      <c r="Z41" s="490"/>
      <c r="AA41" s="490"/>
      <c r="AB41" s="490"/>
      <c r="AC41" s="490"/>
      <c r="AD41" s="490"/>
      <c r="AE41" s="490"/>
      <c r="AF41" s="489"/>
      <c r="AG41" s="490"/>
      <c r="AH41" s="640"/>
      <c r="AI41" s="490"/>
      <c r="AJ41" s="495"/>
      <c r="AK41" s="490"/>
      <c r="AL41" s="490"/>
      <c r="AM41" s="457"/>
      <c r="AN41" s="495"/>
      <c r="AO41" s="495"/>
      <c r="AP41" s="493">
        <f>+FL_1($S$42,$S$40,$G$41,1200,9.28, 1*$F$42)</f>
        <v>0.34591002814035093</v>
      </c>
      <c r="AQ41" s="493"/>
      <c r="AR41" s="493"/>
      <c r="AS41" s="493"/>
      <c r="AT41" s="490"/>
      <c r="AU41" s="490"/>
      <c r="AV41" s="490" t="str">
        <f>VLOOKUP(I41,'Foundation Calculation'!$A$2:$C$33,3,1)</f>
        <v>Soil B</v>
      </c>
      <c r="AW41" s="490" t="str">
        <f>VLOOKUP(I41,'Foundation Calculation'!$E$2:$G$33,3,1)</f>
        <v>PT</v>
      </c>
      <c r="AX41" s="493"/>
      <c r="AY41" s="493">
        <f>IF(AW41="PT",VLOOKUP(J41,'Foundation Calculation'!$K$2:$R$40,VLOOKUP(AV41,'Foundation Calculation'!$I$2:$J$8,2,FALSE),0),IF(AW41="K",VLOOKUP(J41,'Foundation Calculation'!$K$42:$R$80,VLOOKUP(AV41,'Foundation Calculation'!$I$2:$J$8,2,FALSE),0),""))</f>
        <v>2.8</v>
      </c>
      <c r="AZ41" s="602" t="s">
        <v>2809</v>
      </c>
      <c r="BA41" s="495"/>
      <c r="BB41" s="169"/>
      <c r="BC41" s="1329"/>
      <c r="BD41" s="1330"/>
      <c r="BE41" s="1330"/>
      <c r="BF41" s="1330"/>
    </row>
    <row r="42" spans="1:58" ht="15.75" customHeight="1">
      <c r="A42" s="420"/>
      <c r="B42" s="438" t="s">
        <v>3692</v>
      </c>
      <c r="C42" s="416">
        <f>+$C$40+$G$41</f>
        <v>83889.809999999983</v>
      </c>
      <c r="D42" s="420"/>
      <c r="E42" s="420"/>
      <c r="F42" s="420">
        <v>0</v>
      </c>
      <c r="G42" s="444"/>
      <c r="H42" s="421"/>
      <c r="I42" s="416"/>
      <c r="J42" s="417"/>
      <c r="K42" s="417" t="s">
        <v>230</v>
      </c>
      <c r="L42" s="417" t="str">
        <f>IF(AW42="PT",VLOOKUP(K42,'Foundation Calculation'!$V$2:$X$40,VLOOKUP(AW42,'Foundation Calculation'!$I$10:$J$13,2,FALSE),0),IF(AW42="K",VLOOKUP(K42,'Foundation Calculation'!$V$42:$X$80,VLOOKUP(AW42,'Foundation Calculation'!$I$10:$J$13,2,FALSE),0),""))</f>
        <v>C4R</v>
      </c>
      <c r="M42" s="420" t="s">
        <v>143</v>
      </c>
      <c r="N42" s="420"/>
      <c r="O42" s="417"/>
      <c r="P42" s="417">
        <v>0</v>
      </c>
      <c r="Q42" s="417">
        <v>0</v>
      </c>
      <c r="R42" s="422"/>
      <c r="S42" s="417">
        <v>-20</v>
      </c>
      <c r="T42" s="417"/>
      <c r="U42" s="417"/>
      <c r="V42" s="417">
        <v>0.9</v>
      </c>
      <c r="W42" s="417"/>
      <c r="X42" s="417"/>
      <c r="Y42" s="417"/>
      <c r="Z42" s="417"/>
      <c r="AA42" s="417"/>
      <c r="AB42" s="417" t="str">
        <f>IF(OR(AS42&gt;8,AS42&lt;-8),"PH",IF(OR(AS42&gt;5,AS42&lt;-5),"PH-Q",IF(OR(AS42&gt;1,AS42&lt;-1),"PH-C")))</f>
        <v>PH</v>
      </c>
      <c r="AC42" s="417"/>
      <c r="AD42" s="417"/>
      <c r="AE42" s="417">
        <v>5300</v>
      </c>
      <c r="AF42" s="416">
        <v>83889</v>
      </c>
      <c r="AG42" s="417">
        <v>2883</v>
      </c>
      <c r="AH42" s="607">
        <v>100</v>
      </c>
      <c r="AI42" s="417"/>
      <c r="AJ42" s="420"/>
      <c r="AK42" s="417"/>
      <c r="AL42" s="417" t="s">
        <v>1042</v>
      </c>
      <c r="AM42" s="444">
        <v>5.15</v>
      </c>
      <c r="AN42" s="420"/>
      <c r="AO42" s="420"/>
      <c r="AP42" s="422"/>
      <c r="AQ42" s="422"/>
      <c r="AR42" s="422"/>
      <c r="AS42" s="422">
        <f>+ab($S$42,$S$40,$S$44,$G$41,$G$43, 1*$F$42,1200)</f>
        <v>-14.266618709581193</v>
      </c>
      <c r="AT42" s="417"/>
      <c r="AU42" s="417"/>
      <c r="AV42" s="417" t="str">
        <f>VLOOKUP(C42,'Foundation Calculation'!$A$2:$C$33,3,1)</f>
        <v>Soil B</v>
      </c>
      <c r="AW42" s="417" t="str">
        <f>VLOOKUP(C42,'Foundation Calculation'!$E$2:$G$33,3,1)</f>
        <v>PT</v>
      </c>
      <c r="AX42" s="422">
        <f>IF(AW42="PT",VLOOKUP(K42,'Foundation Calculation'!$K$2:$R$40,VLOOKUP(AV42,'Foundation Calculation'!$I$2:$J$8,2,FALSE),0),IF(AW42="K",VLOOKUP(K42,'Foundation Calculation'!$K$42:$R$80,VLOOKUP(AV42,'Foundation Calculation'!$I$2:$J$8,2,FALSE),0),""))</f>
        <v>3.5</v>
      </c>
      <c r="AY42" s="422"/>
      <c r="AZ42" s="604" t="s">
        <v>2809</v>
      </c>
      <c r="BA42" s="420" t="str">
        <f>Pole_Calculations!A178</f>
        <v>App.8-V08F-P10.3</v>
      </c>
      <c r="BB42" s="169"/>
      <c r="BC42" s="1329"/>
      <c r="BD42" s="1329"/>
      <c r="BE42" s="1330"/>
      <c r="BF42" s="1329"/>
    </row>
    <row r="43" spans="1:58" ht="15.75" customHeight="1">
      <c r="A43" s="420"/>
      <c r="B43" s="420"/>
      <c r="C43" s="416"/>
      <c r="D43" s="420"/>
      <c r="E43" s="420"/>
      <c r="F43" s="420"/>
      <c r="G43" s="444">
        <v>65</v>
      </c>
      <c r="H43" s="421">
        <f>C44-C20</f>
        <v>606.29999999998836</v>
      </c>
      <c r="I43" s="416"/>
      <c r="J43" s="417"/>
      <c r="K43" s="417"/>
      <c r="L43" s="417"/>
      <c r="M43" s="420"/>
      <c r="N43" s="420"/>
      <c r="O43" s="417"/>
      <c r="P43" s="417"/>
      <c r="Q43" s="417"/>
      <c r="R43" s="422"/>
      <c r="S43" s="417"/>
      <c r="T43" s="417"/>
      <c r="U43" s="417"/>
      <c r="V43" s="417"/>
      <c r="W43" s="417"/>
      <c r="X43" s="417"/>
      <c r="Y43" s="417"/>
      <c r="Z43" s="417"/>
      <c r="AA43" s="417"/>
      <c r="AB43" s="417"/>
      <c r="AC43" s="417"/>
      <c r="AD43" s="417"/>
      <c r="AE43" s="417"/>
      <c r="AF43" s="416"/>
      <c r="AG43" s="417"/>
      <c r="AH43" s="607"/>
      <c r="AI43" s="417"/>
      <c r="AJ43" s="420"/>
      <c r="AK43" s="417"/>
      <c r="AL43" s="417"/>
      <c r="AM43" s="444"/>
      <c r="AN43" s="420"/>
      <c r="AO43" s="420"/>
      <c r="AP43" s="422">
        <f>+FL_1($S$44,$S$42,$G$43,1200,9.28, 1*$F$44)</f>
        <v>0.43290146338461533</v>
      </c>
      <c r="AQ43" s="422"/>
      <c r="AR43" s="422"/>
      <c r="AS43" s="422"/>
      <c r="AT43" s="417"/>
      <c r="AU43" s="417"/>
      <c r="AV43" s="417"/>
      <c r="AW43" s="417"/>
      <c r="AX43" s="422"/>
      <c r="AY43" s="422"/>
      <c r="AZ43" s="604"/>
      <c r="BA43" s="420"/>
      <c r="BB43" s="169"/>
      <c r="BC43" s="1330"/>
      <c r="BD43" s="1330"/>
      <c r="BE43" s="1330"/>
      <c r="BF43" s="1330"/>
    </row>
    <row r="44" spans="1:58" ht="15.75" customHeight="1">
      <c r="A44" s="417"/>
      <c r="B44" s="420" t="s">
        <v>3693</v>
      </c>
      <c r="C44" s="416">
        <f>+$C$42+$G$43</f>
        <v>83954.809999999983</v>
      </c>
      <c r="D44" s="420"/>
      <c r="E44" s="420"/>
      <c r="F44" s="420">
        <v>0</v>
      </c>
      <c r="G44" s="444"/>
      <c r="H44" s="421"/>
      <c r="I44" s="416"/>
      <c r="J44" s="417"/>
      <c r="K44" s="417" t="s">
        <v>4666</v>
      </c>
      <c r="L44" s="417" t="str">
        <f>IF(AW44="PT",VLOOKUP(K44,'Foundation Calculation'!$V$2:$X$40,VLOOKUP(AW44,'Foundation Calculation'!$I$10:$J$13,2,FALSE),0),IF(AW44="K",VLOOKUP(K44,'Foundation Calculation'!$V$42:$X$80,VLOOKUP(AW44,'Foundation Calculation'!$I$10:$J$13,2,FALSE),0),""))</f>
        <v>C12R</v>
      </c>
      <c r="M44" s="420" t="s">
        <v>144</v>
      </c>
      <c r="N44" s="420"/>
      <c r="O44" s="417"/>
      <c r="P44" s="417">
        <v>0</v>
      </c>
      <c r="Q44" s="417">
        <v>0</v>
      </c>
      <c r="R44" s="422"/>
      <c r="S44" s="417">
        <v>20</v>
      </c>
      <c r="T44" s="417"/>
      <c r="U44" s="417"/>
      <c r="V44" s="417">
        <v>1.2</v>
      </c>
      <c r="W44" s="417"/>
      <c r="X44" s="417"/>
      <c r="Y44" s="417"/>
      <c r="Z44" s="417"/>
      <c r="AA44" s="417"/>
      <c r="AB44" s="417" t="str">
        <f>IF(OR(AS44&gt;8,AS44&lt;-8),"PH",IF(OR(AS44&gt;5,AS44&lt;-5),"PH-Q",IF(OR(AS44&gt;1,AS44&lt;-1),"PH-C")))</f>
        <v>PH</v>
      </c>
      <c r="AC44" s="417"/>
      <c r="AD44" s="417"/>
      <c r="AE44" s="417">
        <v>5800</v>
      </c>
      <c r="AF44" s="416">
        <v>83952</v>
      </c>
      <c r="AG44" s="417">
        <v>3213</v>
      </c>
      <c r="AH44" s="607">
        <v>478</v>
      </c>
      <c r="AI44" s="417"/>
      <c r="AJ44" s="420"/>
      <c r="AK44" s="417" t="s">
        <v>4490</v>
      </c>
      <c r="AL44" s="417" t="s">
        <v>1042</v>
      </c>
      <c r="AM44" s="444">
        <v>5.15</v>
      </c>
      <c r="AN44" s="420"/>
      <c r="AO44" s="420"/>
      <c r="AP44" s="422"/>
      <c r="AQ44" s="422"/>
      <c r="AR44" s="422"/>
      <c r="AS44" s="422">
        <f>+ab($S$44,$S$42,$S$46,$G$43,$G$45, 1*$F$44,1200)</f>
        <v>15.222605000849795</v>
      </c>
      <c r="AT44" s="417"/>
      <c r="AU44" s="417"/>
      <c r="AV44" s="417" t="str">
        <f>VLOOKUP(C44,'Foundation Calculation'!$A$2:$C$33,3,1)</f>
        <v>Soil B</v>
      </c>
      <c r="AW44" s="417" t="str">
        <f>VLOOKUP(C44,'Foundation Calculation'!$E$2:$G$33,3,1)</f>
        <v>PT</v>
      </c>
      <c r="AX44" s="422">
        <f>IF(AW44="PT",VLOOKUP(K44,'Foundation Calculation'!$K$2:$R$40,VLOOKUP(AV44,'Foundation Calculation'!$I$2:$J$8,2,FALSE),0),IF(AW44="K",VLOOKUP(K44,'Foundation Calculation'!$K$42:$R$80,VLOOKUP(AV44,'Foundation Calculation'!$I$2:$J$8,2,FALSE),0),""))</f>
        <v>5.6</v>
      </c>
      <c r="AY44" s="422"/>
      <c r="AZ44" s="604" t="s">
        <v>2809</v>
      </c>
      <c r="BA44" s="417" t="str">
        <f>Pole_Calculations!A178</f>
        <v>App.8-V08F-P10.3</v>
      </c>
      <c r="BB44" s="169"/>
      <c r="BC44" s="1329"/>
      <c r="BD44" s="1329"/>
      <c r="BE44" s="1329"/>
      <c r="BF44" s="1329"/>
    </row>
    <row r="45" spans="1:58" ht="15.75" customHeight="1">
      <c r="A45" s="647" t="s">
        <v>3720</v>
      </c>
      <c r="B45" s="653"/>
      <c r="C45" s="653"/>
      <c r="D45" s="653"/>
      <c r="E45" s="653"/>
      <c r="F45" s="653"/>
      <c r="G45" s="654">
        <v>65</v>
      </c>
      <c r="H45" s="648">
        <f>C68-C44</f>
        <v>604.80000000000291</v>
      </c>
      <c r="I45" s="649"/>
      <c r="J45" s="653"/>
      <c r="K45" s="653"/>
      <c r="L45" s="653"/>
      <c r="M45" s="647"/>
      <c r="N45" s="647"/>
      <c r="O45" s="653"/>
      <c r="P45" s="653"/>
      <c r="Q45" s="653"/>
      <c r="R45" s="654"/>
      <c r="S45" s="653"/>
      <c r="T45" s="653"/>
      <c r="U45" s="653"/>
      <c r="V45" s="653"/>
      <c r="W45" s="653"/>
      <c r="X45" s="653"/>
      <c r="Y45" s="653"/>
      <c r="Z45" s="653"/>
      <c r="AA45" s="653"/>
      <c r="AB45" s="653"/>
      <c r="AC45" s="653"/>
      <c r="AD45" s="653"/>
      <c r="AE45" s="653"/>
      <c r="AF45" s="649"/>
      <c r="AG45" s="653"/>
      <c r="AH45" s="704"/>
      <c r="AI45" s="653"/>
      <c r="AJ45" s="647"/>
      <c r="AK45" s="653"/>
      <c r="AL45" s="653"/>
      <c r="AM45" s="651"/>
      <c r="AN45" s="647"/>
      <c r="AO45" s="647"/>
      <c r="AP45" s="654">
        <f>+FL_1($S$46,$S$44,$G$45,1200,9.28, 1*$F$46)</f>
        <v>0.43290146338461521</v>
      </c>
      <c r="AQ45" s="654"/>
      <c r="AR45" s="654"/>
      <c r="AS45" s="654"/>
      <c r="AT45" s="653"/>
      <c r="AU45" s="653"/>
      <c r="AV45" s="653"/>
      <c r="AW45" s="653"/>
      <c r="AX45" s="654"/>
      <c r="AY45" s="654"/>
      <c r="AZ45" s="701"/>
      <c r="BA45" s="647"/>
      <c r="BB45" s="169"/>
      <c r="BC45" s="1330"/>
      <c r="BD45" s="1330"/>
      <c r="BE45" s="1330"/>
      <c r="BF45" s="1330"/>
    </row>
    <row r="46" spans="1:58" ht="15.75" customHeight="1">
      <c r="A46" s="414"/>
      <c r="B46" s="420" t="s">
        <v>3694</v>
      </c>
      <c r="C46" s="416">
        <f>+$C$44+$G$45</f>
        <v>84019.809999999983</v>
      </c>
      <c r="D46" s="420"/>
      <c r="E46" s="420"/>
      <c r="F46" s="420">
        <v>0</v>
      </c>
      <c r="G46" s="444"/>
      <c r="H46" s="421"/>
      <c r="I46" s="416"/>
      <c r="J46" s="417"/>
      <c r="K46" s="417" t="s">
        <v>4666</v>
      </c>
      <c r="L46" s="417" t="str">
        <f>IF(AW46="PT",VLOOKUP(K46,'Foundation Calculation'!$V$2:$X$40,VLOOKUP(AW46,'Foundation Calculation'!$I$10:$J$13,2,FALSE),0),IF(AW46="K",VLOOKUP(K46,'Foundation Calculation'!$V$42:$X$80,VLOOKUP(AW46,'Foundation Calculation'!$I$10:$J$13,2,FALSE),0),""))</f>
        <v>C12R</v>
      </c>
      <c r="M46" s="420" t="s">
        <v>143</v>
      </c>
      <c r="N46" s="420"/>
      <c r="O46" s="417"/>
      <c r="P46" s="417">
        <v>0</v>
      </c>
      <c r="Q46" s="417">
        <v>5000</v>
      </c>
      <c r="R46" s="422"/>
      <c r="S46" s="417">
        <v>-20</v>
      </c>
      <c r="T46" s="417"/>
      <c r="U46" s="417"/>
      <c r="V46" s="417">
        <v>1.4</v>
      </c>
      <c r="W46" s="417"/>
      <c r="X46" s="417"/>
      <c r="Y46" s="417"/>
      <c r="Z46" s="417"/>
      <c r="AA46" s="417"/>
      <c r="AB46" s="417" t="str">
        <f>IF(OR(AS46&gt;8,AS46&lt;-8),"PH",IF(OR(AS46&gt;5,AS46&lt;-5),"PH-Q",IF(OR(AS46&gt;1,AS46&lt;-1),"PH-C")))</f>
        <v>PH</v>
      </c>
      <c r="AC46" s="417"/>
      <c r="AD46" s="417"/>
      <c r="AE46" s="417">
        <v>4300</v>
      </c>
      <c r="AF46" s="416">
        <v>84018</v>
      </c>
      <c r="AG46" s="417">
        <v>3053</v>
      </c>
      <c r="AH46" s="607">
        <v>-965</v>
      </c>
      <c r="AI46" s="417"/>
      <c r="AJ46" s="420"/>
      <c r="AK46" s="417" t="s">
        <v>4490</v>
      </c>
      <c r="AL46" s="417" t="s">
        <v>1042</v>
      </c>
      <c r="AM46" s="444">
        <v>5.15</v>
      </c>
      <c r="AN46" s="420"/>
      <c r="AO46" s="420"/>
      <c r="AP46" s="422"/>
      <c r="AQ46" s="422"/>
      <c r="AR46" s="422"/>
      <c r="AS46" s="422">
        <f>+ab($S$46,$S$44,$S$48,$G$45,$G$47, 1*$F$46,1200)</f>
        <v>-28.556955740769528</v>
      </c>
      <c r="AT46" s="417"/>
      <c r="AU46" s="417"/>
      <c r="AV46" s="417" t="str">
        <f>VLOOKUP(C46,'Foundation Calculation'!$A$2:$C$33,3,1)</f>
        <v>Soil B</v>
      </c>
      <c r="AW46" s="417" t="str">
        <f>VLOOKUP(C46,'Foundation Calculation'!$E$2:$G$33,3,1)</f>
        <v>PT</v>
      </c>
      <c r="AX46" s="422">
        <f>IF(AW46="PT",VLOOKUP(K46,'Foundation Calculation'!$K$2:$R$40,VLOOKUP(AV46,'Foundation Calculation'!$I$2:$J$8,2,FALSE),0),IF(AW46="K",VLOOKUP(K46,'Foundation Calculation'!$K$42:$R$80,VLOOKUP(AV46,'Foundation Calculation'!$I$2:$J$8,2,FALSE),0),""))</f>
        <v>5.6</v>
      </c>
      <c r="AY46" s="422"/>
      <c r="AZ46" s="604" t="s">
        <v>2809</v>
      </c>
      <c r="BA46" s="414" t="str">
        <f>Pole_Calculations!A178</f>
        <v>App.8-V08F-P10.3</v>
      </c>
      <c r="BB46" s="169"/>
      <c r="BC46" s="1329"/>
      <c r="BD46" s="1329"/>
      <c r="BE46" s="1329"/>
      <c r="BF46" s="1329"/>
    </row>
    <row r="47" spans="1:58" ht="15.75" customHeight="1">
      <c r="A47" s="420"/>
      <c r="B47" s="606"/>
      <c r="C47" s="416"/>
      <c r="D47" s="418"/>
      <c r="E47" s="418"/>
      <c r="F47" s="420"/>
      <c r="G47" s="422">
        <v>58</v>
      </c>
      <c r="H47" s="418"/>
      <c r="I47" s="416"/>
      <c r="J47" s="417"/>
      <c r="K47" s="417"/>
      <c r="L47" s="417"/>
      <c r="M47" s="420"/>
      <c r="N47" s="420"/>
      <c r="O47" s="417"/>
      <c r="P47" s="417"/>
      <c r="Q47" s="417"/>
      <c r="R47" s="422"/>
      <c r="S47" s="417"/>
      <c r="T47" s="417"/>
      <c r="U47" s="417"/>
      <c r="V47" s="417"/>
      <c r="W47" s="417"/>
      <c r="X47" s="417"/>
      <c r="Y47" s="417"/>
      <c r="Z47" s="417"/>
      <c r="AA47" s="417"/>
      <c r="AB47" s="417"/>
      <c r="AC47" s="417"/>
      <c r="AD47" s="417"/>
      <c r="AE47" s="417"/>
      <c r="AF47" s="416"/>
      <c r="AG47" s="417"/>
      <c r="AH47" s="607"/>
      <c r="AI47" s="417"/>
      <c r="AJ47" s="420"/>
      <c r="AK47" s="417"/>
      <c r="AL47" s="417"/>
      <c r="AM47" s="444"/>
      <c r="AN47" s="420"/>
      <c r="AO47" s="420"/>
      <c r="AP47" s="422">
        <f>+FL_2($S$48,$S$46,$G$47,1200,9.28, 1*$F$48)</f>
        <v>-0.80554620048944181</v>
      </c>
      <c r="AQ47" s="422"/>
      <c r="AR47" s="422"/>
      <c r="AS47" s="422"/>
      <c r="AT47" s="417"/>
      <c r="AU47" s="417"/>
      <c r="AV47" s="417"/>
      <c r="AW47" s="417"/>
      <c r="AX47" s="422"/>
      <c r="AY47" s="422"/>
      <c r="AZ47" s="604"/>
      <c r="BA47" s="420"/>
      <c r="BB47" s="169"/>
      <c r="BC47" s="1330"/>
      <c r="BD47" s="1330"/>
      <c r="BE47" s="1330"/>
      <c r="BF47" s="1330"/>
    </row>
    <row r="48" spans="1:58" ht="15.75" customHeight="1">
      <c r="A48" s="420"/>
      <c r="B48" s="438" t="s">
        <v>3695</v>
      </c>
      <c r="C48" s="416">
        <f>+$C$46+$G$47</f>
        <v>84077.809999999983</v>
      </c>
      <c r="D48" s="420"/>
      <c r="E48" s="420"/>
      <c r="F48" s="420">
        <v>1500</v>
      </c>
      <c r="G48" s="444"/>
      <c r="H48" s="421"/>
      <c r="I48" s="416"/>
      <c r="J48" s="417"/>
      <c r="K48" s="417" t="s">
        <v>4488</v>
      </c>
      <c r="L48" s="417" t="str">
        <f>IF(AW48="PT",VLOOKUP(K48,'Foundation Calculation'!$V$2:$X$40,VLOOKUP(AW48,'Foundation Calculation'!$I$10:$J$13,2,FALSE),0),IF(AW48="K",VLOOKUP(K48,'Foundation Calculation'!$V$42:$X$80,VLOOKUP(AW48,'Foundation Calculation'!$I$10:$J$13,2,FALSE),0),""))</f>
        <v>C11R</v>
      </c>
      <c r="M48" s="420" t="s">
        <v>143</v>
      </c>
      <c r="N48" s="420"/>
      <c r="O48" s="417"/>
      <c r="P48" s="417">
        <v>0</v>
      </c>
      <c r="Q48" s="417">
        <v>5000</v>
      </c>
      <c r="R48" s="422"/>
      <c r="S48" s="417">
        <v>-20</v>
      </c>
      <c r="T48" s="417"/>
      <c r="U48" s="417"/>
      <c r="V48" s="417">
        <v>1.4</v>
      </c>
      <c r="W48" s="417"/>
      <c r="X48" s="417"/>
      <c r="Y48" s="417"/>
      <c r="Z48" s="417"/>
      <c r="AA48" s="417"/>
      <c r="AB48" s="417" t="str">
        <f>IF(OR(AS48&gt;8,AS48&lt;-8),"PH",IF(OR(AS48&gt;5,AS48&lt;-5),"PH-Q",IF(OR(AS48&gt;1,AS48&lt;-1),"PH-C")))</f>
        <v>PH-Q</v>
      </c>
      <c r="AC48" s="417"/>
      <c r="AD48" s="417"/>
      <c r="AE48" s="417">
        <v>4300</v>
      </c>
      <c r="AF48" s="416">
        <v>84075</v>
      </c>
      <c r="AG48" s="417">
        <v>1763</v>
      </c>
      <c r="AH48" s="607">
        <v>-1025</v>
      </c>
      <c r="AI48" s="417"/>
      <c r="AJ48" s="420"/>
      <c r="AK48" s="417" t="s">
        <v>4490</v>
      </c>
      <c r="AL48" s="417" t="s">
        <v>1042</v>
      </c>
      <c r="AM48" s="444">
        <v>5.15</v>
      </c>
      <c r="AN48" s="420"/>
      <c r="AO48" s="420"/>
      <c r="AP48" s="422"/>
      <c r="AQ48" s="422"/>
      <c r="AR48" s="422"/>
      <c r="AS48" s="422">
        <f>+ab($S$48,$S$46,$S$50,$G$47,$G$49, 1*$F$48,1200)</f>
        <v>5.853811726882606</v>
      </c>
      <c r="AT48" s="417"/>
      <c r="AU48" s="417"/>
      <c r="AV48" s="417" t="str">
        <f>VLOOKUP(C48,'Foundation Calculation'!$A$2:$C$33,3,1)</f>
        <v>Soil B</v>
      </c>
      <c r="AW48" s="417" t="str">
        <f>VLOOKUP(C48,'Foundation Calculation'!$E$2:$G$33,3,1)</f>
        <v>PT</v>
      </c>
      <c r="AX48" s="422">
        <f>IF(AW48="PT",VLOOKUP(K48,'Foundation Calculation'!$K$2:$R$40,VLOOKUP(AV48,'Foundation Calculation'!$I$2:$J$8,2,FALSE),0),IF(AW48="K",VLOOKUP(K48,'Foundation Calculation'!$K$42:$R$80,VLOOKUP(AV48,'Foundation Calculation'!$I$2:$J$8,2,FALSE),0),""))</f>
        <v>4.5999999999999996</v>
      </c>
      <c r="AY48" s="422"/>
      <c r="AZ48" s="604" t="s">
        <v>2809</v>
      </c>
      <c r="BA48" s="420" t="str">
        <f>Pole_Calculations!A178</f>
        <v>App.8-V08F-P10.3</v>
      </c>
      <c r="BB48" s="169"/>
      <c r="BC48" s="1329"/>
      <c r="BD48" s="1329"/>
      <c r="BE48" s="1329"/>
      <c r="BF48" s="1329"/>
    </row>
    <row r="49" spans="1:58" ht="15.75" customHeight="1">
      <c r="A49" s="414" t="s">
        <v>3719</v>
      </c>
      <c r="B49" s="606"/>
      <c r="C49" s="416"/>
      <c r="D49" s="418"/>
      <c r="E49" s="418"/>
      <c r="F49" s="420"/>
      <c r="G49" s="422">
        <v>60</v>
      </c>
      <c r="H49" s="418" t="s">
        <v>1039</v>
      </c>
      <c r="I49" s="416"/>
      <c r="J49" s="417"/>
      <c r="K49" s="417"/>
      <c r="L49" s="417"/>
      <c r="M49" s="420"/>
      <c r="N49" s="420"/>
      <c r="O49" s="417"/>
      <c r="P49" s="417"/>
      <c r="Q49" s="417"/>
      <c r="R49" s="422"/>
      <c r="S49" s="417"/>
      <c r="T49" s="417"/>
      <c r="U49" s="417"/>
      <c r="V49" s="417"/>
      <c r="W49" s="417"/>
      <c r="X49" s="417"/>
      <c r="Y49" s="417"/>
      <c r="Z49" s="417"/>
      <c r="AA49" s="417"/>
      <c r="AB49" s="417"/>
      <c r="AC49" s="417"/>
      <c r="AD49" s="417"/>
      <c r="AE49" s="417"/>
      <c r="AF49" s="416"/>
      <c r="AG49" s="417"/>
      <c r="AH49" s="607"/>
      <c r="AI49" s="417"/>
      <c r="AJ49" s="420"/>
      <c r="AK49" s="417"/>
      <c r="AL49" s="417"/>
      <c r="AM49" s="444"/>
      <c r="AN49" s="420"/>
      <c r="AO49" s="420"/>
      <c r="AP49" s="422">
        <f>+FL_1($S$50,$S$48,$G$49,1200,9.28, 1*$F$50)</f>
        <v>0.4608317777536412</v>
      </c>
      <c r="AQ49" s="422"/>
      <c r="AR49" s="422"/>
      <c r="AS49" s="422"/>
      <c r="AT49" s="417"/>
      <c r="AU49" s="417"/>
      <c r="AV49" s="417"/>
      <c r="AW49" s="417"/>
      <c r="AX49" s="422"/>
      <c r="AY49" s="422"/>
      <c r="AZ49" s="604"/>
      <c r="BA49" s="414"/>
      <c r="BB49" s="169"/>
      <c r="BC49" s="1330"/>
      <c r="BD49" s="1330"/>
      <c r="BE49" s="1330"/>
      <c r="BF49" s="1330"/>
    </row>
    <row r="50" spans="1:58" ht="15.75" customHeight="1">
      <c r="A50" s="414" t="s">
        <v>1854</v>
      </c>
      <c r="B50" s="420" t="s">
        <v>3696</v>
      </c>
      <c r="C50" s="416">
        <f>+$C$48+$G$49</f>
        <v>84137.809999999983</v>
      </c>
      <c r="D50" s="420"/>
      <c r="E50" s="420"/>
      <c r="F50" s="420">
        <v>-5000</v>
      </c>
      <c r="G50" s="444"/>
      <c r="H50" s="421"/>
      <c r="I50" s="416"/>
      <c r="J50" s="417"/>
      <c r="K50" s="417" t="s">
        <v>4666</v>
      </c>
      <c r="L50" s="417" t="s">
        <v>2402</v>
      </c>
      <c r="M50" s="420" t="s">
        <v>144</v>
      </c>
      <c r="N50" s="420"/>
      <c r="O50" s="417"/>
      <c r="P50" s="417">
        <v>-10</v>
      </c>
      <c r="Q50" s="417">
        <v>-5000</v>
      </c>
      <c r="R50" s="422"/>
      <c r="S50" s="417">
        <v>20</v>
      </c>
      <c r="T50" s="417"/>
      <c r="U50" s="417"/>
      <c r="V50" s="417">
        <v>1.4</v>
      </c>
      <c r="W50" s="417"/>
      <c r="X50" s="417"/>
      <c r="Y50" s="417"/>
      <c r="Z50" s="417"/>
      <c r="AA50" s="417"/>
      <c r="AB50" s="417" t="str">
        <f>IF(OR(AS50&gt;8,AS50&lt;-8),"PH",IF(OR(AS50&gt;5,AS50&lt;-5),"PH-Q",IF(OR(AS50&gt;1,AS50&lt;-1),"PH-C")))</f>
        <v>PH</v>
      </c>
      <c r="AC50" s="417"/>
      <c r="AD50" s="417"/>
      <c r="AE50" s="417">
        <v>4800</v>
      </c>
      <c r="AF50" s="416">
        <v>84135</v>
      </c>
      <c r="AG50" s="417">
        <v>1853</v>
      </c>
      <c r="AH50" s="607">
        <v>-490</v>
      </c>
      <c r="AI50" s="417"/>
      <c r="AJ50" s="420"/>
      <c r="AK50" s="417" t="s">
        <v>4490</v>
      </c>
      <c r="AL50" s="417" t="s">
        <v>1042</v>
      </c>
      <c r="AM50" s="444">
        <v>5.15</v>
      </c>
      <c r="AN50" s="420"/>
      <c r="AO50" s="420"/>
      <c r="AP50" s="422"/>
      <c r="AQ50" s="422"/>
      <c r="AR50" s="422"/>
      <c r="AS50" s="422">
        <f>+ab($S$50,$S$48,$S$52,$G$49,$G$51, 1*$F$50,1200)</f>
        <v>-37.699796501988551</v>
      </c>
      <c r="AT50" s="417"/>
      <c r="AU50" s="417"/>
      <c r="AV50" s="417"/>
      <c r="AW50" s="417"/>
      <c r="AX50" s="422"/>
      <c r="AY50" s="422"/>
      <c r="AZ50" s="604"/>
      <c r="BA50" s="414" t="str">
        <f>Pole_Calculations!A178</f>
        <v>App.8-V08F-P10.3</v>
      </c>
      <c r="BB50" s="169"/>
      <c r="BC50" s="1329"/>
      <c r="BD50" s="1329"/>
      <c r="BE50" s="1329"/>
      <c r="BF50" s="1329"/>
    </row>
    <row r="51" spans="1:58" ht="15.75" customHeight="1">
      <c r="A51" s="420"/>
      <c r="B51" s="606"/>
      <c r="C51" s="416"/>
      <c r="D51" s="418"/>
      <c r="E51" s="418"/>
      <c r="F51" s="420"/>
      <c r="G51" s="422">
        <v>50</v>
      </c>
      <c r="H51" s="418" t="s">
        <v>1039</v>
      </c>
      <c r="I51" s="416"/>
      <c r="J51" s="417"/>
      <c r="K51" s="417"/>
      <c r="L51" s="417"/>
      <c r="M51" s="420"/>
      <c r="N51" s="420"/>
      <c r="O51" s="417"/>
      <c r="P51" s="417"/>
      <c r="Q51" s="417"/>
      <c r="R51" s="422"/>
      <c r="S51" s="417"/>
      <c r="T51" s="417"/>
      <c r="U51" s="417"/>
      <c r="V51" s="417"/>
      <c r="W51" s="417"/>
      <c r="X51" s="417"/>
      <c r="Y51" s="417"/>
      <c r="Z51" s="417"/>
      <c r="AA51" s="417"/>
      <c r="AB51" s="417"/>
      <c r="AC51" s="417"/>
      <c r="AD51" s="417"/>
      <c r="AE51" s="417"/>
      <c r="AF51" s="416"/>
      <c r="AG51" s="417"/>
      <c r="AH51" s="607"/>
      <c r="AI51" s="417"/>
      <c r="AJ51" s="420"/>
      <c r="AK51" s="417"/>
      <c r="AL51" s="417"/>
      <c r="AM51" s="444"/>
      <c r="AN51" s="420"/>
      <c r="AO51" s="420"/>
      <c r="AP51" s="422">
        <f>+FL_2($S$52,$S$50,$G$51,1200,9.28, 1*$F$52)</f>
        <v>2.0833723963126764E-2</v>
      </c>
      <c r="AQ51" s="422"/>
      <c r="AR51" s="422"/>
      <c r="AS51" s="422"/>
      <c r="AT51" s="417"/>
      <c r="AU51" s="417"/>
      <c r="AV51" s="417"/>
      <c r="AW51" s="417"/>
      <c r="AX51" s="422"/>
      <c r="AY51" s="422"/>
      <c r="AZ51" s="604"/>
      <c r="BA51" s="420"/>
      <c r="BB51" s="169"/>
      <c r="BC51" s="1330"/>
      <c r="BD51" s="1330"/>
      <c r="BE51" s="1330"/>
      <c r="BF51" s="1330"/>
    </row>
    <row r="52" spans="1:58" ht="15.75" customHeight="1">
      <c r="A52" s="420"/>
      <c r="B52" s="439" t="s">
        <v>3697</v>
      </c>
      <c r="C52" s="416">
        <f>+$C$50+$G$51</f>
        <v>84187.809999999983</v>
      </c>
      <c r="D52" s="420"/>
      <c r="E52" s="420"/>
      <c r="F52" s="420">
        <v>-5000</v>
      </c>
      <c r="G52" s="444"/>
      <c r="H52" s="421"/>
      <c r="I52" s="416"/>
      <c r="J52" s="417"/>
      <c r="K52" s="417" t="s">
        <v>4666</v>
      </c>
      <c r="L52" s="417" t="s">
        <v>2402</v>
      </c>
      <c r="M52" s="420" t="s">
        <v>144</v>
      </c>
      <c r="N52" s="420"/>
      <c r="O52" s="417"/>
      <c r="P52" s="417">
        <v>-10</v>
      </c>
      <c r="Q52" s="417">
        <v>-5000</v>
      </c>
      <c r="R52" s="422"/>
      <c r="S52" s="417">
        <v>20</v>
      </c>
      <c r="T52" s="417"/>
      <c r="U52" s="417"/>
      <c r="V52" s="417">
        <v>1.2</v>
      </c>
      <c r="W52" s="417"/>
      <c r="X52" s="417"/>
      <c r="Y52" s="417"/>
      <c r="Z52" s="417"/>
      <c r="AA52" s="417"/>
      <c r="AB52" s="417" t="str">
        <f>IF(OR(AS52&gt;8,AS52&lt;-8),"PH",IF(OR(AS52&gt;5,AS52&lt;-5),"PH-Q",IF(OR(AS52&gt;1,AS52&lt;-1),"PH-C")))</f>
        <v>PH</v>
      </c>
      <c r="AC52" s="417"/>
      <c r="AD52" s="417"/>
      <c r="AE52" s="417">
        <v>4800</v>
      </c>
      <c r="AF52" s="416">
        <v>841863</v>
      </c>
      <c r="AG52" s="417">
        <v>2013</v>
      </c>
      <c r="AH52" s="607">
        <v>-480</v>
      </c>
      <c r="AI52" s="417"/>
      <c r="AJ52" s="420"/>
      <c r="AK52" s="417" t="s">
        <v>4490</v>
      </c>
      <c r="AL52" s="417" t="s">
        <v>1042</v>
      </c>
      <c r="AM52" s="444">
        <v>5.15</v>
      </c>
      <c r="AN52" s="420"/>
      <c r="AO52" s="420"/>
      <c r="AP52" s="422"/>
      <c r="AQ52" s="422"/>
      <c r="AR52" s="422"/>
      <c r="AS52" s="422">
        <f>+ab($S$52,$S$50,$S$54,$G$51,$G$53, 1*$F$52,1200)</f>
        <v>-19.23238037061456</v>
      </c>
      <c r="AT52" s="417"/>
      <c r="AU52" s="417"/>
      <c r="AV52" s="417"/>
      <c r="AW52" s="417"/>
      <c r="AX52" s="422"/>
      <c r="AY52" s="422"/>
      <c r="AZ52" s="604"/>
      <c r="BA52" s="420" t="str">
        <f>Pole_Calculations!A178</f>
        <v>App.8-V08F-P10.3</v>
      </c>
      <c r="BB52" s="169"/>
      <c r="BC52" s="1329"/>
      <c r="BD52" s="1329"/>
      <c r="BE52" s="1329"/>
      <c r="BF52" s="1329"/>
    </row>
    <row r="53" spans="1:58" ht="15.75" customHeight="1">
      <c r="A53" s="420"/>
      <c r="B53" s="606"/>
      <c r="C53" s="416"/>
      <c r="D53" s="418"/>
      <c r="E53" s="418"/>
      <c r="F53" s="420"/>
      <c r="G53" s="422">
        <v>46</v>
      </c>
      <c r="H53" s="421"/>
      <c r="I53" s="416"/>
      <c r="J53" s="417"/>
      <c r="K53" s="417"/>
      <c r="L53" s="417"/>
      <c r="M53" s="420"/>
      <c r="N53" s="420"/>
      <c r="O53" s="417"/>
      <c r="P53" s="417"/>
      <c r="Q53" s="417"/>
      <c r="R53" s="422"/>
      <c r="S53" s="417"/>
      <c r="T53" s="417"/>
      <c r="U53" s="417"/>
      <c r="V53" s="417"/>
      <c r="W53" s="417"/>
      <c r="X53" s="417"/>
      <c r="Y53" s="417"/>
      <c r="Z53" s="417"/>
      <c r="AA53" s="417"/>
      <c r="AB53" s="417"/>
      <c r="AC53" s="417"/>
      <c r="AD53" s="417"/>
      <c r="AE53" s="417"/>
      <c r="AF53" s="416"/>
      <c r="AG53" s="417"/>
      <c r="AH53" s="607"/>
      <c r="AI53" s="417"/>
      <c r="AJ53" s="420"/>
      <c r="AK53" s="417"/>
      <c r="AL53" s="417"/>
      <c r="AM53" s="444"/>
      <c r="AN53" s="420"/>
      <c r="AO53" s="420"/>
      <c r="AP53" s="422">
        <f>+FL_2($S$54,$S$52,$G$53,1200,9.28, 1*$F$54)</f>
        <v>4.8353613177258448E-2</v>
      </c>
      <c r="AQ53" s="422"/>
      <c r="AR53" s="422"/>
      <c r="AS53" s="422"/>
      <c r="AT53" s="417"/>
      <c r="AU53" s="417"/>
      <c r="AV53" s="417"/>
      <c r="AW53" s="417"/>
      <c r="AX53" s="422"/>
      <c r="AY53" s="422"/>
      <c r="AZ53" s="604"/>
      <c r="BA53" s="420"/>
      <c r="BB53" s="169"/>
      <c r="BC53" s="1330"/>
      <c r="BD53" s="1330"/>
      <c r="BE53" s="1330"/>
      <c r="BF53" s="1330"/>
    </row>
    <row r="54" spans="1:58" ht="15.75" customHeight="1">
      <c r="A54" s="420"/>
      <c r="B54" s="439" t="s">
        <v>3698</v>
      </c>
      <c r="C54" s="416">
        <f>+$C$52+$G$53</f>
        <v>84233.809999999983</v>
      </c>
      <c r="D54" s="420"/>
      <c r="E54" s="420"/>
      <c r="F54" s="420">
        <v>-5000</v>
      </c>
      <c r="G54" s="444"/>
      <c r="H54" s="421"/>
      <c r="I54" s="416"/>
      <c r="J54" s="417"/>
      <c r="K54" s="417" t="s">
        <v>4488</v>
      </c>
      <c r="L54" s="417" t="s">
        <v>2402</v>
      </c>
      <c r="M54" s="420" t="s">
        <v>144</v>
      </c>
      <c r="N54" s="420"/>
      <c r="O54" s="417"/>
      <c r="P54" s="417"/>
      <c r="Q54" s="417"/>
      <c r="R54" s="422"/>
      <c r="S54" s="417">
        <v>20</v>
      </c>
      <c r="T54" s="417"/>
      <c r="U54" s="417"/>
      <c r="V54" s="417">
        <v>1</v>
      </c>
      <c r="W54" s="417"/>
      <c r="X54" s="417"/>
      <c r="Y54" s="417"/>
      <c r="Z54" s="417"/>
      <c r="AA54" s="417"/>
      <c r="AB54" s="417" t="str">
        <f>IF(OR(AS54&gt;8,AS54&lt;-8),"PH",IF(OR(AS54&gt;5,AS54&lt;-5),"PH-Q",IF(OR(AS54&gt;1,AS54&lt;-1),"PH-C")))</f>
        <v>PH</v>
      </c>
      <c r="AC54" s="417"/>
      <c r="AD54" s="417"/>
      <c r="AE54" s="417"/>
      <c r="AF54" s="416"/>
      <c r="AG54" s="417"/>
      <c r="AH54" s="607"/>
      <c r="AI54" s="417"/>
      <c r="AJ54" s="420"/>
      <c r="AK54" s="417" t="s">
        <v>4490</v>
      </c>
      <c r="AL54" s="417" t="s">
        <v>1042</v>
      </c>
      <c r="AM54" s="444">
        <v>5.15</v>
      </c>
      <c r="AN54" s="420"/>
      <c r="AO54" s="420"/>
      <c r="AP54" s="422"/>
      <c r="AQ54" s="422"/>
      <c r="AR54" s="422"/>
      <c r="AS54" s="422">
        <f>+ab($S$54,$S$52,$S$56,$G$53,$G$55, 1*$F$54,1200)</f>
        <v>-20.003475500892662</v>
      </c>
      <c r="AT54" s="417"/>
      <c r="AU54" s="417"/>
      <c r="AV54" s="417"/>
      <c r="AW54" s="417"/>
      <c r="AX54" s="422"/>
      <c r="AY54" s="422"/>
      <c r="AZ54" s="604"/>
      <c r="BA54" s="420" t="str">
        <f>Pole_Calculations!A178</f>
        <v>App.8-V08F-P10.3</v>
      </c>
      <c r="BB54" s="169"/>
      <c r="BC54" s="1329"/>
      <c r="BD54" s="1329"/>
      <c r="BE54" s="1329"/>
      <c r="BF54" s="1329"/>
    </row>
    <row r="55" spans="1:58" ht="15.75" customHeight="1">
      <c r="A55" s="647" t="s">
        <v>3049</v>
      </c>
      <c r="B55" s="705"/>
      <c r="C55" s="649"/>
      <c r="D55" s="648"/>
      <c r="E55" s="648"/>
      <c r="F55" s="647"/>
      <c r="G55" s="654">
        <v>46</v>
      </c>
      <c r="H55" s="650"/>
      <c r="I55" s="649"/>
      <c r="J55" s="653"/>
      <c r="K55" s="653"/>
      <c r="L55" s="653"/>
      <c r="M55" s="647"/>
      <c r="N55" s="647"/>
      <c r="O55" s="653"/>
      <c r="P55" s="653"/>
      <c r="Q55" s="653"/>
      <c r="R55" s="654"/>
      <c r="S55" s="653"/>
      <c r="T55" s="653"/>
      <c r="U55" s="653"/>
      <c r="V55" s="653"/>
      <c r="W55" s="653"/>
      <c r="X55" s="653"/>
      <c r="Y55" s="653"/>
      <c r="Z55" s="653"/>
      <c r="AA55" s="653"/>
      <c r="AB55" s="653"/>
      <c r="AC55" s="653"/>
      <c r="AD55" s="653"/>
      <c r="AE55" s="653"/>
      <c r="AF55" s="649"/>
      <c r="AG55" s="653"/>
      <c r="AH55" s="704"/>
      <c r="AI55" s="653"/>
      <c r="AJ55" s="647"/>
      <c r="AK55" s="653"/>
      <c r="AL55" s="653"/>
      <c r="AM55" s="651"/>
      <c r="AN55" s="647"/>
      <c r="AO55" s="647"/>
      <c r="AP55" s="654">
        <f>+FL_2($S$56,$S$54,$G$55,1200,9.28, 1*$F$56)</f>
        <v>4.8353613177258448E-2</v>
      </c>
      <c r="AQ55" s="654"/>
      <c r="AR55" s="654"/>
      <c r="AS55" s="654"/>
      <c r="AT55" s="653"/>
      <c r="AU55" s="653"/>
      <c r="AV55" s="653"/>
      <c r="AW55" s="653"/>
      <c r="AX55" s="654"/>
      <c r="AY55" s="654"/>
      <c r="AZ55" s="701"/>
      <c r="BA55" s="647"/>
      <c r="BB55" s="169"/>
      <c r="BC55" s="1330"/>
      <c r="BD55" s="1330"/>
      <c r="BE55" s="1330"/>
      <c r="BF55" s="1330"/>
    </row>
    <row r="56" spans="1:58" ht="15.75" customHeight="1">
      <c r="A56" s="420"/>
      <c r="B56" s="439" t="s">
        <v>3699</v>
      </c>
      <c r="C56" s="416">
        <f>+$C$54+$G$55</f>
        <v>84279.809999999983</v>
      </c>
      <c r="D56" s="420"/>
      <c r="E56" s="420"/>
      <c r="F56" s="420">
        <v>-5000</v>
      </c>
      <c r="G56" s="444"/>
      <c r="H56" s="421"/>
      <c r="I56" s="416"/>
      <c r="J56" s="417"/>
      <c r="K56" s="417" t="s">
        <v>4666</v>
      </c>
      <c r="L56" s="417" t="s">
        <v>4680</v>
      </c>
      <c r="M56" s="420" t="s">
        <v>144</v>
      </c>
      <c r="N56" s="420"/>
      <c r="O56" s="417"/>
      <c r="P56" s="417"/>
      <c r="Q56" s="417"/>
      <c r="R56" s="422"/>
      <c r="S56" s="417">
        <v>20</v>
      </c>
      <c r="T56" s="417"/>
      <c r="U56" s="417"/>
      <c r="V56" s="417">
        <v>0.8</v>
      </c>
      <c r="W56" s="417"/>
      <c r="X56" s="417"/>
      <c r="Y56" s="417"/>
      <c r="Z56" s="417"/>
      <c r="AA56" s="417"/>
      <c r="AB56" s="417" t="str">
        <f>IF(OR(AS56&gt;8,AS56&lt;-8),"PH",IF(OR(AS56&gt;5,AS56&lt;-5),"PH-Q",IF(OR(AS56&gt;1,AS56&lt;-1),"PH-C")))</f>
        <v>PH</v>
      </c>
      <c r="AC56" s="417"/>
      <c r="AD56" s="417"/>
      <c r="AE56" s="417"/>
      <c r="AF56" s="416"/>
      <c r="AG56" s="417"/>
      <c r="AH56" s="607"/>
      <c r="AI56" s="417"/>
      <c r="AJ56" s="420"/>
      <c r="AK56" s="417" t="s">
        <v>4098</v>
      </c>
      <c r="AL56" s="417" t="s">
        <v>1042</v>
      </c>
      <c r="AM56" s="444">
        <v>5.15</v>
      </c>
      <c r="AN56" s="420"/>
      <c r="AO56" s="420"/>
      <c r="AP56" s="422"/>
      <c r="AQ56" s="422"/>
      <c r="AR56" s="422"/>
      <c r="AS56" s="422">
        <f>+ab($S$56,$S$54,-$S$58,$G$55,$G$57, 1*$F$56,1200)</f>
        <v>-16.205981932369511</v>
      </c>
      <c r="AT56" s="417"/>
      <c r="AU56" s="417"/>
      <c r="AV56" s="417" t="str">
        <f>VLOOKUP(C56,'Foundation Calculation'!$A$2:$C$33,3,1)</f>
        <v>Soil B</v>
      </c>
      <c r="AW56" s="417" t="str">
        <f>VLOOKUP(C56,'Foundation Calculation'!$E$2:$G$33,3,1)</f>
        <v>PT</v>
      </c>
      <c r="AX56" s="422">
        <f>IF(AW56="PT",VLOOKUP(K56,'Foundation Calculation'!$K$2:$R$40,VLOOKUP(AV56,'Foundation Calculation'!$I$2:$J$8,2,FALSE),0),IF(AW56="K",VLOOKUP(K56,'Foundation Calculation'!$K$42:$R$80,VLOOKUP(AV56,'Foundation Calculation'!$I$2:$J$8,2,FALSE),0),""))</f>
        <v>5.6</v>
      </c>
      <c r="AY56" s="422"/>
      <c r="AZ56" s="604" t="s">
        <v>2809</v>
      </c>
      <c r="BA56" s="420" t="str">
        <f>Pole_Calculations!A178</f>
        <v>App.8-V08F-P10.3</v>
      </c>
      <c r="BB56" s="169"/>
      <c r="BC56" s="1329"/>
      <c r="BD56" s="1329"/>
      <c r="BE56" s="1329"/>
      <c r="BF56" s="1329"/>
    </row>
    <row r="57" spans="1:58" ht="15.75" customHeight="1">
      <c r="A57" s="694" t="s">
        <v>3717</v>
      </c>
      <c r="B57" s="717"/>
      <c r="C57" s="718"/>
      <c r="D57" s="719"/>
      <c r="E57" s="719"/>
      <c r="F57" s="694"/>
      <c r="G57" s="720">
        <v>48.7</v>
      </c>
      <c r="H57" s="719"/>
      <c r="I57" s="718">
        <f>C58-7.5</f>
        <v>84321.00999999998</v>
      </c>
      <c r="J57" s="721" t="s">
        <v>2788</v>
      </c>
      <c r="K57" s="721"/>
      <c r="L57" s="721"/>
      <c r="M57" s="694"/>
      <c r="N57" s="694"/>
      <c r="O57" s="721"/>
      <c r="P57" s="721"/>
      <c r="Q57" s="721"/>
      <c r="R57" s="720"/>
      <c r="S57" s="721"/>
      <c r="T57" s="721"/>
      <c r="U57" s="721"/>
      <c r="V57" s="721"/>
      <c r="W57" s="721"/>
      <c r="X57" s="721"/>
      <c r="Y57" s="721"/>
      <c r="Z57" s="721"/>
      <c r="AA57" s="721"/>
      <c r="AB57" s="721"/>
      <c r="AC57" s="721"/>
      <c r="AD57" s="721"/>
      <c r="AE57" s="721"/>
      <c r="AF57" s="718"/>
      <c r="AG57" s="721"/>
      <c r="AH57" s="723"/>
      <c r="AI57" s="721"/>
      <c r="AJ57" s="694"/>
      <c r="AK57" s="721"/>
      <c r="AL57" s="721"/>
      <c r="AM57" s="724"/>
      <c r="AN57" s="694"/>
      <c r="AO57" s="694"/>
      <c r="AP57" s="720">
        <f>+FL_2($S$58,-$S$56,$G$57,1200,9.28,-1*$F$58)</f>
        <v>-0.48198948032032857</v>
      </c>
      <c r="AQ57" s="720"/>
      <c r="AR57" s="720"/>
      <c r="AS57" s="720"/>
      <c r="AT57" s="721"/>
      <c r="AU57" s="721"/>
      <c r="AV57" s="721" t="str">
        <f>VLOOKUP(I57,'Foundation Calculation'!$A$2:$C$33,3,1)</f>
        <v>Soil B</v>
      </c>
      <c r="AW57" s="721" t="str">
        <f>VLOOKUP(I57,'Foundation Calculation'!$E$2:$G$33,3,1)</f>
        <v>PT</v>
      </c>
      <c r="AX57" s="720"/>
      <c r="AY57" s="720">
        <f>IF(AW57="PT",VLOOKUP(J57,'Foundation Calculation'!$K$2:$R$40,VLOOKUP(AV57,'Foundation Calculation'!$I$2:$J$8,2,FALSE),0),IF(AW57="K",VLOOKUP(J57,'Foundation Calculation'!$K$42:$R$80,VLOOKUP(AV57,'Foundation Calculation'!$I$2:$J$8,2,FALSE),0),""))</f>
        <v>2.8</v>
      </c>
      <c r="AZ57" s="726" t="s">
        <v>2809</v>
      </c>
      <c r="BA57" s="694"/>
      <c r="BB57" s="169"/>
      <c r="BC57" s="1329"/>
      <c r="BD57" s="1330"/>
      <c r="BE57" s="1330"/>
      <c r="BF57" s="1330"/>
    </row>
    <row r="58" spans="1:58" ht="15.75" customHeight="1">
      <c r="A58" s="1239"/>
      <c r="B58" s="435" t="s">
        <v>3700</v>
      </c>
      <c r="C58" s="446">
        <f>+$C$56+$G$57</f>
        <v>84328.50999999998</v>
      </c>
      <c r="D58" s="173"/>
      <c r="E58" s="447"/>
      <c r="F58" s="447">
        <v>0</v>
      </c>
      <c r="G58" s="484"/>
      <c r="H58" s="448" t="s">
        <v>3280</v>
      </c>
      <c r="I58" s="171"/>
      <c r="J58" s="1239"/>
      <c r="K58" s="638" t="s">
        <v>230</v>
      </c>
      <c r="L58" s="638" t="str">
        <f>IF(AW58="PT",VLOOKUP(K58,'Foundation Calculation'!$V$2:$X$40,VLOOKUP(AW58,'Foundation Calculation'!$I$10:$J$13,2,FALSE),0),IF(AW58="K",VLOOKUP(K58,'Foundation Calculation'!$V$42:$X$80,VLOOKUP(AW58,'Foundation Calculation'!$I$10:$J$13,2,FALSE),0),""))</f>
        <v>C4R</v>
      </c>
      <c r="M58" s="638" t="s">
        <v>143</v>
      </c>
      <c r="N58" s="1239"/>
      <c r="O58" s="1239"/>
      <c r="P58" s="638">
        <v>0</v>
      </c>
      <c r="Q58" s="638">
        <v>0</v>
      </c>
      <c r="R58" s="484"/>
      <c r="S58" s="638">
        <v>-30</v>
      </c>
      <c r="T58" s="638"/>
      <c r="U58" s="638"/>
      <c r="V58" s="638">
        <v>0.68</v>
      </c>
      <c r="W58" s="638"/>
      <c r="X58" s="638"/>
      <c r="Y58" s="638"/>
      <c r="Z58" s="638"/>
      <c r="AA58" s="638"/>
      <c r="AB58" s="638" t="str">
        <f>IF(OR(AS58&gt;8,AS58&lt;-8),"PH",IF(OR(AS58&gt;5,AS58&lt;-5),"PH-Q",IF(OR(AS58&gt;1,AS58&lt;-1),"PH-C")))</f>
        <v>PH</v>
      </c>
      <c r="AC58" s="638"/>
      <c r="AD58" s="638"/>
      <c r="AE58" s="638">
        <v>5600</v>
      </c>
      <c r="AF58" s="446">
        <v>843625</v>
      </c>
      <c r="AG58" s="638">
        <v>2073</v>
      </c>
      <c r="AH58" s="638">
        <v>250</v>
      </c>
      <c r="AI58" s="185"/>
      <c r="AJ58" s="638"/>
      <c r="AK58" s="638"/>
      <c r="AL58" s="638" t="s">
        <v>1042</v>
      </c>
      <c r="AM58" s="455">
        <v>5.15</v>
      </c>
      <c r="AN58" s="1239"/>
      <c r="AO58" s="1239"/>
      <c r="AP58" s="484"/>
      <c r="AQ58" s="484"/>
      <c r="AR58" s="484"/>
      <c r="AS58" s="484">
        <f>+ab($S$58,-$S$56,$S$60,$G$57,$G$59,-1*$F$58,1200)</f>
        <v>-58.487798764872188</v>
      </c>
      <c r="AT58" s="638"/>
      <c r="AU58" s="638"/>
      <c r="AV58" s="638" t="str">
        <f>VLOOKUP(C58,'Foundation Calculation'!$A$2:$C$33,3,1)</f>
        <v>Soil B</v>
      </c>
      <c r="AW58" s="638" t="str">
        <f>VLOOKUP(C58,'Foundation Calculation'!$E$2:$G$33,3,1)</f>
        <v>PT</v>
      </c>
      <c r="AX58" s="484">
        <f>IF(AW58="PT",VLOOKUP(K58,'Foundation Calculation'!$K$2:$R$40,VLOOKUP(AV58,'Foundation Calculation'!$I$2:$J$8,2,FALSE),0),IF(AW58="K",VLOOKUP(K58,'Foundation Calculation'!$K$42:$R$80,VLOOKUP(AV58,'Foundation Calculation'!$I$2:$J$8,2,FALSE),0),""))</f>
        <v>3.5</v>
      </c>
      <c r="AY58" s="484"/>
      <c r="AZ58" s="671" t="s">
        <v>2809</v>
      </c>
      <c r="BA58" s="1239" t="str">
        <f>Pole_Calculations!A152</f>
        <v>App.7.1-V01-P9.5.1.1</v>
      </c>
      <c r="BB58" s="169"/>
      <c r="BC58" s="1329"/>
      <c r="BD58" s="1329"/>
      <c r="BE58" s="1330"/>
      <c r="BF58" s="1329"/>
    </row>
    <row r="59" spans="1:58" ht="15.75" customHeight="1">
      <c r="A59" s="495"/>
      <c r="B59" s="639"/>
      <c r="C59" s="489"/>
      <c r="D59" s="639"/>
      <c r="E59" s="491"/>
      <c r="F59" s="491"/>
      <c r="G59" s="493">
        <v>43.2</v>
      </c>
      <c r="H59" s="491"/>
      <c r="I59" s="431">
        <f>C58+7.5</f>
        <v>84336.00999999998</v>
      </c>
      <c r="J59" s="490" t="s">
        <v>2788</v>
      </c>
      <c r="K59" s="490"/>
      <c r="L59" s="490"/>
      <c r="M59" s="495"/>
      <c r="N59" s="495"/>
      <c r="O59" s="495"/>
      <c r="P59" s="490"/>
      <c r="Q59" s="490"/>
      <c r="R59" s="493"/>
      <c r="S59" s="490"/>
      <c r="T59" s="490"/>
      <c r="U59" s="490"/>
      <c r="V59" s="490"/>
      <c r="W59" s="490"/>
      <c r="X59" s="490"/>
      <c r="Y59" s="490"/>
      <c r="Z59" s="490"/>
      <c r="AA59" s="490"/>
      <c r="AB59" s="490"/>
      <c r="AC59" s="490"/>
      <c r="AD59" s="490"/>
      <c r="AE59" s="490"/>
      <c r="AF59" s="489"/>
      <c r="AG59" s="490"/>
      <c r="AH59" s="490"/>
      <c r="AI59" s="640"/>
      <c r="AJ59" s="490"/>
      <c r="AK59" s="490"/>
      <c r="AL59" s="490"/>
      <c r="AM59" s="457"/>
      <c r="AN59" s="495"/>
      <c r="AO59" s="495"/>
      <c r="AP59" s="493">
        <f>+FL_1($S$60,$S$58,$G$59,1200,9.28,-1*$F$60)</f>
        <v>-0.11959679999999998</v>
      </c>
      <c r="AQ59" s="493"/>
      <c r="AR59" s="493"/>
      <c r="AS59" s="493"/>
      <c r="AT59" s="490"/>
      <c r="AU59" s="490"/>
      <c r="AV59" s="490" t="str">
        <f>VLOOKUP(I59,'Foundation Calculation'!$A$2:$C$33,3,1)</f>
        <v>Soil B</v>
      </c>
      <c r="AW59" s="490" t="str">
        <f>VLOOKUP(I59,'Foundation Calculation'!$E$2:$G$33,3,1)</f>
        <v>PT</v>
      </c>
      <c r="AX59" s="493"/>
      <c r="AY59" s="493">
        <f>IF(AW59="PT",VLOOKUP(J59,'Foundation Calculation'!$K$2:$R$40,VLOOKUP(AV59,'Foundation Calculation'!$I$2:$J$8,2,FALSE),0),IF(AW59="K",VLOOKUP(J59,'Foundation Calculation'!$K$42:$R$80,VLOOKUP(AV59,'Foundation Calculation'!$I$2:$J$8,2,FALSE),0),""))</f>
        <v>2.8</v>
      </c>
      <c r="AZ59" s="602" t="s">
        <v>2809</v>
      </c>
      <c r="BA59" s="495"/>
      <c r="BB59" s="169"/>
      <c r="BC59" s="1329"/>
      <c r="BD59" s="1330"/>
      <c r="BE59" s="1330"/>
      <c r="BF59" s="1330"/>
    </row>
    <row r="60" spans="1:58" ht="15.75" customHeight="1">
      <c r="A60" s="495" t="s">
        <v>3721</v>
      </c>
      <c r="B60" s="711" t="s">
        <v>3701</v>
      </c>
      <c r="C60" s="489">
        <f>+$C$58+$G$59</f>
        <v>84371.709999999977</v>
      </c>
      <c r="D60" s="639"/>
      <c r="E60" s="491"/>
      <c r="F60" s="491">
        <v>0</v>
      </c>
      <c r="G60" s="493"/>
      <c r="H60" s="492"/>
      <c r="I60" s="431"/>
      <c r="J60" s="490"/>
      <c r="K60" s="490" t="s">
        <v>1682</v>
      </c>
      <c r="L60" s="490"/>
      <c r="M60" s="490" t="s">
        <v>143</v>
      </c>
      <c r="N60" s="495"/>
      <c r="O60" s="495"/>
      <c r="P60" s="490"/>
      <c r="Q60" s="490"/>
      <c r="R60" s="493"/>
      <c r="S60" s="490">
        <v>-30</v>
      </c>
      <c r="T60" s="490"/>
      <c r="U60" s="490"/>
      <c r="V60" s="490">
        <v>0.68</v>
      </c>
      <c r="W60" s="490"/>
      <c r="X60" s="490"/>
      <c r="Y60" s="490"/>
      <c r="Z60" s="490"/>
      <c r="AA60" s="490"/>
      <c r="AB60" s="490" t="str">
        <f>IF(OR(AS60&gt;8,AS60&lt;-8),"PH",IF(OR(AS60&gt;5,AS60&lt;-5),"PH-Q",IF(OR(AS60&gt;1,AS60&lt;-1),"PH-C")))</f>
        <v>PH</v>
      </c>
      <c r="AC60" s="490"/>
      <c r="AD60" s="490"/>
      <c r="AE60" s="490"/>
      <c r="AF60" s="489"/>
      <c r="AG60" s="490"/>
      <c r="AH60" s="490"/>
      <c r="AI60" s="640"/>
      <c r="AJ60" s="490"/>
      <c r="AK60" s="490"/>
      <c r="AL60" s="490" t="s">
        <v>2879</v>
      </c>
      <c r="AM60" s="457">
        <v>5.15</v>
      </c>
      <c r="AN60" s="495"/>
      <c r="AO60" s="495"/>
      <c r="AP60" s="493"/>
      <c r="AQ60" s="493"/>
      <c r="AR60" s="493"/>
      <c r="AS60" s="493">
        <f>+ab($S$60,$S$58,$S$62,$G$59,$G$61,-1*$F$60,1200)</f>
        <v>-52.562861489771564</v>
      </c>
      <c r="AT60" s="490"/>
      <c r="AU60" s="490"/>
      <c r="AV60" s="490"/>
      <c r="AW60" s="490"/>
      <c r="AX60" s="493"/>
      <c r="AY60" s="493"/>
      <c r="AZ60" s="602"/>
      <c r="BA60" s="495"/>
      <c r="BB60" s="169"/>
      <c r="BC60" s="1330"/>
      <c r="BD60" s="1329"/>
      <c r="BE60" s="1330"/>
      <c r="BF60" s="1329"/>
    </row>
    <row r="61" spans="1:58" ht="15.75" customHeight="1">
      <c r="A61" s="1239"/>
      <c r="B61" s="173"/>
      <c r="C61" s="446"/>
      <c r="D61" s="173"/>
      <c r="E61" s="447"/>
      <c r="F61" s="447"/>
      <c r="G61" s="484">
        <v>39</v>
      </c>
      <c r="H61" s="447"/>
      <c r="I61" s="446">
        <f>C62-7.5</f>
        <v>84403.209999999977</v>
      </c>
      <c r="J61" s="638" t="s">
        <v>2787</v>
      </c>
      <c r="K61" s="638"/>
      <c r="L61" s="638"/>
      <c r="M61" s="1239"/>
      <c r="N61" s="1239"/>
      <c r="O61" s="1239"/>
      <c r="P61" s="638"/>
      <c r="Q61" s="638"/>
      <c r="R61" s="484"/>
      <c r="S61" s="638"/>
      <c r="T61" s="638"/>
      <c r="U61" s="638"/>
      <c r="V61" s="638"/>
      <c r="W61" s="638"/>
      <c r="X61" s="638"/>
      <c r="Y61" s="638"/>
      <c r="Z61" s="638"/>
      <c r="AA61" s="638"/>
      <c r="AB61" s="638"/>
      <c r="AC61" s="638"/>
      <c r="AD61" s="638"/>
      <c r="AE61" s="638"/>
      <c r="AF61" s="446"/>
      <c r="AG61" s="638"/>
      <c r="AH61" s="638"/>
      <c r="AI61" s="185"/>
      <c r="AJ61" s="638"/>
      <c r="AK61" s="638"/>
      <c r="AL61" s="638"/>
      <c r="AM61" s="455"/>
      <c r="AN61" s="1239"/>
      <c r="AO61" s="1239"/>
      <c r="AP61" s="484">
        <f>+FL_1($S$62,$S$60,$G$61,1200,9.28,-1*$F$62)</f>
        <v>-6.1567495544256209E-2</v>
      </c>
      <c r="AQ61" s="484"/>
      <c r="AR61" s="484"/>
      <c r="AS61" s="484"/>
      <c r="AT61" s="638"/>
      <c r="AU61" s="638"/>
      <c r="AV61" s="638" t="str">
        <f>VLOOKUP(I61,'Foundation Calculation'!$A$2:$C$33,3,1)</f>
        <v>Soil B</v>
      </c>
      <c r="AW61" s="638" t="str">
        <f>VLOOKUP(I61,'Foundation Calculation'!$E$2:$G$33,3,1)</f>
        <v>PT</v>
      </c>
      <c r="AX61" s="484"/>
      <c r="AY61" s="484">
        <f>IF(AW61="PT",VLOOKUP(J61,'Foundation Calculation'!$K$2:$R$40,VLOOKUP(AV61,'Foundation Calculation'!$I$2:$J$8,2,FALSE),0),IF(AW61="K",VLOOKUP(J61,'Foundation Calculation'!$K$42:$R$80,VLOOKUP(AV61,'Foundation Calculation'!$I$2:$J$8,2,FALSE),0),""))</f>
        <v>3.9</v>
      </c>
      <c r="AZ61" s="671" t="s">
        <v>2809</v>
      </c>
      <c r="BA61" s="1239"/>
      <c r="BB61" s="169"/>
      <c r="BC61" s="1329"/>
      <c r="BD61" s="1330"/>
      <c r="BE61" s="1330"/>
      <c r="BF61" s="1330"/>
    </row>
    <row r="62" spans="1:58" ht="15.75" customHeight="1">
      <c r="A62" s="1239"/>
      <c r="B62" s="435" t="s">
        <v>3702</v>
      </c>
      <c r="C62" s="446">
        <f>+$C$60+$G$61</f>
        <v>84410.709999999977</v>
      </c>
      <c r="D62" s="173"/>
      <c r="E62" s="447"/>
      <c r="F62" s="447">
        <v>5000</v>
      </c>
      <c r="G62" s="484"/>
      <c r="H62" s="447" t="s">
        <v>623</v>
      </c>
      <c r="I62" s="446"/>
      <c r="J62" s="638"/>
      <c r="K62" s="638" t="s">
        <v>899</v>
      </c>
      <c r="L62" s="638" t="str">
        <f>IF(AW62="PT",VLOOKUP(K62,'Foundation Calculation'!$V$2:$X$40,VLOOKUP(AW62,'Foundation Calculation'!$I$10:$J$13,2,FALSE),0),IF(AW62="K",VLOOKUP(K62,'Foundation Calculation'!$V$42:$X$80,VLOOKUP(AW62,'Foundation Calculation'!$I$10:$J$13,2,FALSE),0),""))</f>
        <v>C5R</v>
      </c>
      <c r="M62" s="638" t="s">
        <v>143</v>
      </c>
      <c r="N62" s="1239"/>
      <c r="O62" s="1239"/>
      <c r="P62" s="638">
        <v>20</v>
      </c>
      <c r="Q62" s="638">
        <v>5000</v>
      </c>
      <c r="R62" s="484"/>
      <c r="S62" s="638">
        <v>-20</v>
      </c>
      <c r="T62" s="638"/>
      <c r="U62" s="638"/>
      <c r="V62" s="638">
        <v>0.68</v>
      </c>
      <c r="W62" s="638"/>
      <c r="X62" s="638"/>
      <c r="Y62" s="638"/>
      <c r="Z62" s="638"/>
      <c r="AA62" s="638"/>
      <c r="AB62" s="638" t="str">
        <f>IF(OR(AS62&gt;8,AS62&lt;-8),"PH",IF(OR(AS62&gt;5,AS62&lt;-5),"PH-Q",IF(OR(AS62&gt;1,AS62&lt;-1),"PH-C")))</f>
        <v>PH</v>
      </c>
      <c r="AC62" s="638"/>
      <c r="AD62" s="638"/>
      <c r="AE62" s="638">
        <v>5900</v>
      </c>
      <c r="AF62" s="446">
        <v>84407</v>
      </c>
      <c r="AG62" s="638">
        <v>2253</v>
      </c>
      <c r="AH62" s="638">
        <v>190</v>
      </c>
      <c r="AI62" s="185"/>
      <c r="AJ62" s="638"/>
      <c r="AK62" s="638"/>
      <c r="AL62" s="638" t="s">
        <v>1042</v>
      </c>
      <c r="AM62" s="455">
        <v>5.15</v>
      </c>
      <c r="AN62" s="1239"/>
      <c r="AO62" s="1239"/>
      <c r="AP62" s="484"/>
      <c r="AQ62" s="484"/>
      <c r="AR62" s="484"/>
      <c r="AS62" s="484">
        <f>+ab($S$62,$S$60,$T$64,$G$61,$G$63,-1*$F$62,1200)</f>
        <v>-39.472021050022825</v>
      </c>
      <c r="AT62" s="638"/>
      <c r="AU62" s="638"/>
      <c r="AV62" s="638" t="str">
        <f>VLOOKUP(C62,'Foundation Calculation'!$A$2:$C$33,3,1)</f>
        <v>Soil B</v>
      </c>
      <c r="AW62" s="638" t="str">
        <f>VLOOKUP(C62,'Foundation Calculation'!$E$2:$G$33,3,1)</f>
        <v>PT</v>
      </c>
      <c r="AX62" s="484">
        <f>IF(AW62="PT",VLOOKUP(K62,'Foundation Calculation'!$K$2:$R$40,VLOOKUP(AV62,'Foundation Calculation'!$I$2:$J$8,2,FALSE),0),IF(AW62="K",VLOOKUP(K62,'Foundation Calculation'!$K$42:$R$80,VLOOKUP(AV62,'Foundation Calculation'!$I$2:$J$8,2,FALSE),0),""))</f>
        <v>3.5</v>
      </c>
      <c r="AY62" s="484"/>
      <c r="AZ62" s="671" t="s">
        <v>2809</v>
      </c>
      <c r="BA62" s="1239" t="str">
        <f>Pole_Calculations!A157</f>
        <v>App.7.1-V01-P9.5.1.6</v>
      </c>
      <c r="BB62" s="169"/>
      <c r="BC62" s="1329"/>
      <c r="BD62" s="1329"/>
      <c r="BE62" s="1330"/>
      <c r="BF62" s="1329"/>
    </row>
    <row r="63" spans="1:58" ht="15.75" customHeight="1">
      <c r="A63" s="1239"/>
      <c r="B63" s="173"/>
      <c r="C63" s="446"/>
      <c r="D63" s="173"/>
      <c r="E63" s="447"/>
      <c r="F63" s="447"/>
      <c r="G63" s="484">
        <v>48.1</v>
      </c>
      <c r="H63" s="447"/>
      <c r="I63" s="446"/>
      <c r="J63" s="638"/>
      <c r="K63" s="638"/>
      <c r="L63" s="638"/>
      <c r="M63" s="1239"/>
      <c r="N63" s="1239"/>
      <c r="O63" s="1239"/>
      <c r="P63" s="638"/>
      <c r="Q63" s="638"/>
      <c r="R63" s="484"/>
      <c r="S63" s="638"/>
      <c r="T63" s="638"/>
      <c r="U63" s="638"/>
      <c r="V63" s="638"/>
      <c r="W63" s="638"/>
      <c r="X63" s="638"/>
      <c r="Y63" s="638"/>
      <c r="Z63" s="638"/>
      <c r="AA63" s="638"/>
      <c r="AB63" s="638"/>
      <c r="AC63" s="638"/>
      <c r="AD63" s="638"/>
      <c r="AE63" s="638"/>
      <c r="AF63" s="446"/>
      <c r="AG63" s="638"/>
      <c r="AH63" s="638"/>
      <c r="AI63" s="185"/>
      <c r="AJ63" s="638"/>
      <c r="AK63" s="638"/>
      <c r="AL63" s="638"/>
      <c r="AM63" s="455"/>
      <c r="AN63" s="1239"/>
      <c r="AO63" s="1239"/>
      <c r="AP63" s="484">
        <f>+FL_2($T$64,$S$62,$G$63,1200,9.28,-1*$F$64)</f>
        <v>-0.41957779672948042</v>
      </c>
      <c r="AQ63" s="484"/>
      <c r="AR63" s="484"/>
      <c r="AS63" s="484"/>
      <c r="AT63" s="638"/>
      <c r="AU63" s="638"/>
      <c r="AV63" s="638"/>
      <c r="AW63" s="638"/>
      <c r="AX63" s="484"/>
      <c r="AY63" s="484"/>
      <c r="AZ63" s="671"/>
      <c r="BA63" s="1239"/>
      <c r="BB63" s="169"/>
      <c r="BC63" s="1330"/>
      <c r="BD63" s="1330"/>
      <c r="BE63" s="1330"/>
      <c r="BF63" s="1330"/>
    </row>
    <row r="64" spans="1:58" ht="15.75" customHeight="1">
      <c r="A64" s="1239"/>
      <c r="B64" s="445" t="s">
        <v>3703</v>
      </c>
      <c r="C64" s="446">
        <f>+$C$62+$G$63</f>
        <v>84458.809999999983</v>
      </c>
      <c r="D64" s="445"/>
      <c r="E64" s="445"/>
      <c r="F64" s="445">
        <v>5000</v>
      </c>
      <c r="G64" s="484"/>
      <c r="H64" s="448"/>
      <c r="I64" s="446"/>
      <c r="J64" s="445"/>
      <c r="K64" s="445" t="s">
        <v>4664</v>
      </c>
      <c r="L64" s="445" t="str">
        <f>IF(AW64="PT",VLOOKUP(K64,'Foundation Calculation'!$V$2:$X$40,VLOOKUP(AW64,'Foundation Calculation'!$I$10:$J$13,2,FALSE),0),IF(AW64="K",VLOOKUP(K64,'Foundation Calculation'!$V$42:$X$80,VLOOKUP(AW64,'Foundation Calculation'!$I$10:$J$13,2,FALSE),0),""))</f>
        <v>C11R</v>
      </c>
      <c r="M64" s="445" t="s">
        <v>140</v>
      </c>
      <c r="N64" s="445" t="s">
        <v>143</v>
      </c>
      <c r="O64" s="445"/>
      <c r="P64" s="638"/>
      <c r="Q64" s="638"/>
      <c r="R64" s="484"/>
      <c r="S64" s="638">
        <v>-10</v>
      </c>
      <c r="T64" s="638">
        <v>-30</v>
      </c>
      <c r="U64" s="638"/>
      <c r="V64" s="638">
        <v>0.8</v>
      </c>
      <c r="W64" s="638">
        <v>1</v>
      </c>
      <c r="X64" s="638"/>
      <c r="Y64" s="638">
        <v>0.3</v>
      </c>
      <c r="Z64" s="638"/>
      <c r="AA64" s="638"/>
      <c r="AB64" s="638"/>
      <c r="AC64" s="638"/>
      <c r="AD64" s="638"/>
      <c r="AE64" s="638"/>
      <c r="AF64" s="446"/>
      <c r="AG64" s="638"/>
      <c r="AH64" s="185"/>
      <c r="AI64" s="445"/>
      <c r="AJ64" s="445"/>
      <c r="AK64" s="445" t="s">
        <v>2143</v>
      </c>
      <c r="AL64" s="445" t="s">
        <v>1042</v>
      </c>
      <c r="AM64" s="484">
        <v>5.22</v>
      </c>
      <c r="AN64" s="445"/>
      <c r="AO64" s="445"/>
      <c r="AP64" s="484"/>
      <c r="AQ64" s="484"/>
      <c r="AR64" s="484"/>
      <c r="AS64" s="484">
        <f>+ab($T$64,$S$62,$T$66,$G$63,$G$65,-1*$F$64,1200)</f>
        <v>-9.5802461837693205</v>
      </c>
      <c r="AT64" s="638"/>
      <c r="AU64" s="638"/>
      <c r="AV64" s="638" t="str">
        <f>VLOOKUP(C64,'Foundation Calculation'!$A$2:$C$33,3,1)</f>
        <v>Soil B</v>
      </c>
      <c r="AW64" s="638" t="str">
        <f>VLOOKUP(C64,'Foundation Calculation'!$E$2:$G$33,3,1)</f>
        <v>PT</v>
      </c>
      <c r="AX64" s="484">
        <f>IF(AW64="PT",VLOOKUP(K64,'Foundation Calculation'!$K$2:$R$40,VLOOKUP(AV64,'Foundation Calculation'!$I$2:$J$8,2,FALSE),0),IF(AW64="K",VLOOKUP(K64,'Foundation Calculation'!$K$42:$R$80,VLOOKUP(AV64,'Foundation Calculation'!$I$2:$J$8,2,FALSE),0),""))</f>
        <v>4.4000000000000004</v>
      </c>
      <c r="AY64" s="484"/>
      <c r="AZ64" s="671" t="s">
        <v>2809</v>
      </c>
      <c r="BA64" s="1239" t="str">
        <f>Pole_Calculations!A178</f>
        <v>App.8-V08F-P10.3</v>
      </c>
      <c r="BB64" s="169"/>
      <c r="BC64" s="1329"/>
      <c r="BD64" s="1329"/>
      <c r="BE64" s="1329"/>
      <c r="BF64" s="1329"/>
    </row>
    <row r="65" spans="1:58" ht="15.75" customHeight="1">
      <c r="A65" s="1239"/>
      <c r="B65" s="173"/>
      <c r="C65" s="446"/>
      <c r="D65" s="173"/>
      <c r="E65" s="447"/>
      <c r="F65" s="447"/>
      <c r="G65" s="484">
        <v>50.8</v>
      </c>
      <c r="H65" s="447"/>
      <c r="I65" s="446"/>
      <c r="J65" s="638"/>
      <c r="K65" s="638"/>
      <c r="L65" s="638"/>
      <c r="M65" s="1239"/>
      <c r="N65" s="1239"/>
      <c r="O65" s="1239"/>
      <c r="P65" s="638"/>
      <c r="Q65" s="638"/>
      <c r="R65" s="484"/>
      <c r="S65" s="638"/>
      <c r="T65" s="638"/>
      <c r="U65" s="638"/>
      <c r="V65" s="638"/>
      <c r="W65" s="638"/>
      <c r="X65" s="638"/>
      <c r="Y65" s="638"/>
      <c r="Z65" s="638"/>
      <c r="AA65" s="638"/>
      <c r="AB65" s="638"/>
      <c r="AC65" s="638"/>
      <c r="AD65" s="638"/>
      <c r="AE65" s="638"/>
      <c r="AF65" s="446"/>
      <c r="AG65" s="638"/>
      <c r="AH65" s="638"/>
      <c r="AI65" s="185"/>
      <c r="AJ65" s="638"/>
      <c r="AK65" s="638"/>
      <c r="AL65" s="638"/>
      <c r="AM65" s="455"/>
      <c r="AN65" s="1239"/>
      <c r="AO65" s="1239"/>
      <c r="AP65" s="484">
        <f>+FL_1($T$66,$T$64,$G$65,1200,9.28,-1*$F$66)</f>
        <v>0.18954815231496061</v>
      </c>
      <c r="AQ65" s="484"/>
      <c r="AR65" s="484"/>
      <c r="AS65" s="484"/>
      <c r="AT65" s="638"/>
      <c r="AU65" s="638"/>
      <c r="AV65" s="638"/>
      <c r="AW65" s="638"/>
      <c r="AX65" s="484"/>
      <c r="AY65" s="484"/>
      <c r="AZ65" s="671"/>
      <c r="BA65" s="1239"/>
      <c r="BB65" s="169"/>
      <c r="BC65" s="1330"/>
      <c r="BD65" s="1330"/>
      <c r="BE65" s="1330"/>
      <c r="BF65" s="1330"/>
    </row>
    <row r="66" spans="1:58" ht="15.75" customHeight="1">
      <c r="A66" s="1239"/>
      <c r="B66" s="445" t="s">
        <v>3704</v>
      </c>
      <c r="C66" s="446">
        <f>+$C$64+$G$65</f>
        <v>84509.609999999986</v>
      </c>
      <c r="D66" s="445"/>
      <c r="E66" s="445"/>
      <c r="F66" s="445">
        <v>0</v>
      </c>
      <c r="G66" s="484"/>
      <c r="H66" s="448"/>
      <c r="I66" s="446"/>
      <c r="J66" s="445"/>
      <c r="K66" s="445" t="s">
        <v>4664</v>
      </c>
      <c r="L66" s="445" t="str">
        <f>IF(AW66="PT",VLOOKUP(K66,'Foundation Calculation'!$V$2:$X$40,VLOOKUP(AW66,'Foundation Calculation'!$I$10:$J$13,2,FALSE),0),IF(AW66="K",VLOOKUP(K66,'Foundation Calculation'!$V$42:$X$80,VLOOKUP(AW66,'Foundation Calculation'!$I$10:$J$13,2,FALSE),0),""))</f>
        <v>C11R</v>
      </c>
      <c r="M66" s="445" t="s">
        <v>144</v>
      </c>
      <c r="N66" s="445" t="s">
        <v>143</v>
      </c>
      <c r="O66" s="445"/>
      <c r="P66" s="638"/>
      <c r="Q66" s="638"/>
      <c r="R66" s="484"/>
      <c r="S66" s="638">
        <v>30</v>
      </c>
      <c r="T66" s="638">
        <v>10</v>
      </c>
      <c r="U66" s="638"/>
      <c r="V66" s="638">
        <v>1.2</v>
      </c>
      <c r="W66" s="638">
        <v>1.6</v>
      </c>
      <c r="X66" s="638"/>
      <c r="Y66" s="638"/>
      <c r="Z66" s="638">
        <v>0.5</v>
      </c>
      <c r="AA66" s="638"/>
      <c r="AB66" s="638" t="str">
        <f>IF(OR(AS66&gt;8,AS66&lt;-8),"PH",IF(OR(AS66&gt;5,AS66&lt;-5),"PH-Q",IF(OR(AS66&gt;1,AS66&lt;-1),"PH-C")))</f>
        <v>PH</v>
      </c>
      <c r="AC66" s="638"/>
      <c r="AD66" s="638"/>
      <c r="AE66" s="638"/>
      <c r="AF66" s="446"/>
      <c r="AG66" s="638"/>
      <c r="AH66" s="185"/>
      <c r="AI66" s="445"/>
      <c r="AJ66" s="445"/>
      <c r="AK66" s="445" t="s">
        <v>2143</v>
      </c>
      <c r="AL66" s="445" t="s">
        <v>1042</v>
      </c>
      <c r="AM66" s="484">
        <v>5.32</v>
      </c>
      <c r="AN66" s="445"/>
      <c r="AO66" s="445"/>
      <c r="AP66" s="484"/>
      <c r="AQ66" s="484"/>
      <c r="AR66" s="484"/>
      <c r="AS66" s="484">
        <f>+ab($S$66,$S$64,$S$68,$G$65,$G$67,-1*$F$66,1200)</f>
        <v>9.1151866600932721</v>
      </c>
      <c r="AT66" s="638"/>
      <c r="AU66" s="638"/>
      <c r="AV66" s="638" t="str">
        <f>VLOOKUP(C66,'Foundation Calculation'!$A$2:$C$33,3,1)</f>
        <v>Soil B</v>
      </c>
      <c r="AW66" s="638" t="str">
        <f>VLOOKUP(C66,'Foundation Calculation'!$E$2:$G$33,3,1)</f>
        <v>PT</v>
      </c>
      <c r="AX66" s="484">
        <f>IF(AW66="PT",VLOOKUP(K66,'Foundation Calculation'!$K$2:$R$40,VLOOKUP(AV66,'Foundation Calculation'!$I$2:$J$8,2,FALSE),0),IF(AW66="K",VLOOKUP(K66,'Foundation Calculation'!$K$42:$R$80,VLOOKUP(AV66,'Foundation Calculation'!$I$2:$J$8,2,FALSE),0),""))</f>
        <v>4.4000000000000004</v>
      </c>
      <c r="AY66" s="484"/>
      <c r="AZ66" s="671" t="s">
        <v>2809</v>
      </c>
      <c r="BA66" s="1239" t="str">
        <f>Pole_Calculations!A178</f>
        <v>App.8-V08F-P10.3</v>
      </c>
      <c r="BB66" s="169"/>
      <c r="BC66" s="1329"/>
      <c r="BD66" s="1329"/>
      <c r="BE66" s="1329"/>
      <c r="BF66" s="1329"/>
    </row>
    <row r="67" spans="1:58" ht="15.75" customHeight="1">
      <c r="A67" s="1239"/>
      <c r="B67" s="173"/>
      <c r="C67" s="446"/>
      <c r="D67" s="173"/>
      <c r="E67" s="447"/>
      <c r="F67" s="447"/>
      <c r="G67" s="484">
        <v>50</v>
      </c>
      <c r="H67" s="447"/>
      <c r="I67" s="446"/>
      <c r="J67" s="638"/>
      <c r="K67" s="638"/>
      <c r="L67" s="638"/>
      <c r="M67" s="1239"/>
      <c r="N67" s="1239"/>
      <c r="O67" s="1239"/>
      <c r="P67" s="638"/>
      <c r="Q67" s="638"/>
      <c r="R67" s="484"/>
      <c r="S67" s="638"/>
      <c r="T67" s="638"/>
      <c r="U67" s="638"/>
      <c r="V67" s="638"/>
      <c r="W67" s="638"/>
      <c r="X67" s="638"/>
      <c r="Y67" s="638"/>
      <c r="Z67" s="638"/>
      <c r="AA67" s="638"/>
      <c r="AB67" s="638"/>
      <c r="AC67" s="638"/>
      <c r="AD67" s="638"/>
      <c r="AE67" s="638"/>
      <c r="AF67" s="446"/>
      <c r="AG67" s="638"/>
      <c r="AH67" s="638"/>
      <c r="AI67" s="185"/>
      <c r="AJ67" s="638"/>
      <c r="AK67" s="638"/>
      <c r="AL67" s="638"/>
      <c r="AM67" s="455"/>
      <c r="AN67" s="1239"/>
      <c r="AO67" s="1239"/>
      <c r="AP67" s="484">
        <f>+FL_2($S$68,$S$66,$G$67,1200,9.28,-1*$F$68)</f>
        <v>-0.37593390799999998</v>
      </c>
      <c r="AQ67" s="484"/>
      <c r="AR67" s="484"/>
      <c r="AS67" s="484"/>
      <c r="AT67" s="638"/>
      <c r="AU67" s="638"/>
      <c r="AV67" s="638"/>
      <c r="AW67" s="638"/>
      <c r="AX67" s="484"/>
      <c r="AY67" s="484"/>
      <c r="AZ67" s="671"/>
      <c r="BA67" s="1239"/>
      <c r="BB67" s="169"/>
      <c r="BC67" s="1330"/>
      <c r="BD67" s="1330"/>
      <c r="BE67" s="1330"/>
      <c r="BF67" s="1330"/>
    </row>
    <row r="68" spans="1:58" ht="15.75" customHeight="1">
      <c r="A68" s="1239"/>
      <c r="B68" s="445" t="s">
        <v>3705</v>
      </c>
      <c r="C68" s="446">
        <f>+$C$66+$G$67</f>
        <v>84559.609999999986</v>
      </c>
      <c r="D68" s="445"/>
      <c r="E68" s="445"/>
      <c r="F68" s="445">
        <v>0</v>
      </c>
      <c r="G68" s="484"/>
      <c r="H68" s="448" t="s">
        <v>623</v>
      </c>
      <c r="I68" s="446"/>
      <c r="J68" s="445"/>
      <c r="K68" s="445" t="s">
        <v>4664</v>
      </c>
      <c r="L68" s="445" t="str">
        <f>IF(AW68="PT",VLOOKUP(K68,'Foundation Calculation'!$V$2:$X$40,VLOOKUP(AW68,'Foundation Calculation'!$I$10:$J$13,2,FALSE),0),IF(AW68="K",VLOOKUP(K68,'Foundation Calculation'!$V$42:$X$80,VLOOKUP(AW68,'Foundation Calculation'!$I$10:$J$13,2,FALSE),0),""))</f>
        <v>C11R</v>
      </c>
      <c r="M68" s="445" t="s">
        <v>143</v>
      </c>
      <c r="N68" s="445" t="s">
        <v>140</v>
      </c>
      <c r="O68" s="445"/>
      <c r="P68" s="638"/>
      <c r="Q68" s="638"/>
      <c r="R68" s="484"/>
      <c r="S68" s="638">
        <v>-35</v>
      </c>
      <c r="T68" s="638">
        <v>30</v>
      </c>
      <c r="U68" s="638"/>
      <c r="V68" s="638">
        <v>1.4</v>
      </c>
      <c r="W68" s="638">
        <v>1</v>
      </c>
      <c r="X68" s="638"/>
      <c r="Y68" s="638"/>
      <c r="Z68" s="638">
        <v>0.6</v>
      </c>
      <c r="AA68" s="638"/>
      <c r="AB68" s="638" t="str">
        <f>IF(OR(AS68&gt;8,AS68&lt;-8),"PH",IF(OR(AS68&gt;5,AS68&lt;-5),"PH-Q",IF(OR(AS68&gt;1,AS68&lt;-1),"PH-C")))</f>
        <v>PH</v>
      </c>
      <c r="AC68" s="638"/>
      <c r="AD68" s="638"/>
      <c r="AE68" s="638"/>
      <c r="AF68" s="446"/>
      <c r="AG68" s="638"/>
      <c r="AH68" s="185"/>
      <c r="AI68" s="445"/>
      <c r="AJ68" s="445"/>
      <c r="AK68" s="445" t="s">
        <v>2143</v>
      </c>
      <c r="AL68" s="445" t="s">
        <v>1042</v>
      </c>
      <c r="AM68" s="484">
        <v>5.42</v>
      </c>
      <c r="AN68" s="445"/>
      <c r="AO68" s="445"/>
      <c r="AP68" s="484"/>
      <c r="AQ68" s="484"/>
      <c r="AR68" s="484"/>
      <c r="AS68" s="484">
        <f>+ab($S$68,$S$66,$S$70,$G$67,$G$69,-1*$F$68,1200)</f>
        <v>-8.1191585749372432</v>
      </c>
      <c r="AT68" s="638"/>
      <c r="AU68" s="638"/>
      <c r="AV68" s="638" t="str">
        <f>VLOOKUP(C68,'Foundation Calculation'!$A$2:$C$33,3,1)</f>
        <v>Soil B</v>
      </c>
      <c r="AW68" s="638" t="str">
        <f>VLOOKUP(C68,'Foundation Calculation'!$E$2:$G$33,3,1)</f>
        <v>PT</v>
      </c>
      <c r="AX68" s="484">
        <f>IF(AW68="PT",VLOOKUP(K68,'Foundation Calculation'!$K$2:$R$40,VLOOKUP(AV68,'Foundation Calculation'!$I$2:$J$8,2,FALSE),0),IF(AW68="K",VLOOKUP(K68,'Foundation Calculation'!$K$42:$R$80,VLOOKUP(AV68,'Foundation Calculation'!$I$2:$J$8,2,FALSE),0),""))</f>
        <v>4.4000000000000004</v>
      </c>
      <c r="AY68" s="484"/>
      <c r="AZ68" s="671" t="s">
        <v>2809</v>
      </c>
      <c r="BA68" s="1239" t="str">
        <f>Pole_Calculations!A178</f>
        <v>App.8-V08F-P10.3</v>
      </c>
      <c r="BB68" s="169"/>
      <c r="BC68" s="1329"/>
      <c r="BD68" s="1329"/>
      <c r="BE68" s="1329"/>
      <c r="BF68" s="1329"/>
    </row>
    <row r="69" spans="1:58" ht="15.75" customHeight="1">
      <c r="A69" s="1239"/>
      <c r="B69" s="173"/>
      <c r="C69" s="446"/>
      <c r="D69" s="173"/>
      <c r="E69" s="447"/>
      <c r="F69" s="447"/>
      <c r="G69" s="484">
        <v>52.5</v>
      </c>
      <c r="H69" s="448"/>
      <c r="I69" s="171">
        <f>C68+7.5</f>
        <v>84567.109999999986</v>
      </c>
      <c r="J69" s="638" t="s">
        <v>2787</v>
      </c>
      <c r="K69" s="638"/>
      <c r="L69" s="638"/>
      <c r="M69" s="1239"/>
      <c r="N69" s="1239"/>
      <c r="O69" s="1239"/>
      <c r="P69" s="638"/>
      <c r="Q69" s="638"/>
      <c r="R69" s="484"/>
      <c r="S69" s="638"/>
      <c r="T69" s="638"/>
      <c r="U69" s="638"/>
      <c r="V69" s="638"/>
      <c r="W69" s="638"/>
      <c r="X69" s="638"/>
      <c r="Y69" s="638"/>
      <c r="Z69" s="638"/>
      <c r="AA69" s="638"/>
      <c r="AB69" s="638"/>
      <c r="AC69" s="638"/>
      <c r="AD69" s="638"/>
      <c r="AE69" s="638"/>
      <c r="AF69" s="446"/>
      <c r="AG69" s="638"/>
      <c r="AH69" s="638"/>
      <c r="AI69" s="185"/>
      <c r="AJ69" s="638"/>
      <c r="AK69" s="638"/>
      <c r="AL69" s="638"/>
      <c r="AM69" s="455"/>
      <c r="AN69" s="1239"/>
      <c r="AO69" s="1239"/>
      <c r="AP69" s="484">
        <f>+FL_2($S$70,$S$68,$G$69,1200,9.28,-1*$F$70)</f>
        <v>-0.46672278951593416</v>
      </c>
      <c r="AQ69" s="484"/>
      <c r="AR69" s="484"/>
      <c r="AS69" s="484"/>
      <c r="AT69" s="638"/>
      <c r="AU69" s="638"/>
      <c r="AV69" s="638" t="str">
        <f>VLOOKUP(I69,'Foundation Calculation'!$A$2:$C$33,3,1)</f>
        <v>Soil B</v>
      </c>
      <c r="AW69" s="638" t="str">
        <f>VLOOKUP(I69,'Foundation Calculation'!$E$2:$G$33,3,1)</f>
        <v>PT</v>
      </c>
      <c r="AX69" s="484"/>
      <c r="AY69" s="484">
        <f>IF(AW69="PT",VLOOKUP(J69,'Foundation Calculation'!$K$2:$R$40,VLOOKUP(AV69,'Foundation Calculation'!$I$2:$J$8,2,FALSE),0),IF(AW69="K",VLOOKUP(J69,'Foundation Calculation'!$K$42:$R$80,VLOOKUP(AV69,'Foundation Calculation'!$I$2:$J$8,2,FALSE),0),""))</f>
        <v>3.9</v>
      </c>
      <c r="AZ69" s="671" t="s">
        <v>2809</v>
      </c>
      <c r="BA69" s="1239"/>
      <c r="BB69" s="169"/>
      <c r="BC69" s="1329"/>
      <c r="BD69" s="1330"/>
      <c r="BE69" s="1330"/>
      <c r="BF69" s="1330"/>
    </row>
    <row r="70" spans="1:58" ht="15.75" customHeight="1">
      <c r="A70" s="1239"/>
      <c r="B70" s="445" t="s">
        <v>3706</v>
      </c>
      <c r="C70" s="446">
        <f>+$C$68+$G$69</f>
        <v>84612.109999999986</v>
      </c>
      <c r="D70" s="445"/>
      <c r="E70" s="445"/>
      <c r="F70" s="445">
        <v>-5000</v>
      </c>
      <c r="G70" s="484"/>
      <c r="H70" s="448" t="s">
        <v>623</v>
      </c>
      <c r="I70" s="446"/>
      <c r="J70" s="445"/>
      <c r="K70" s="445" t="s">
        <v>4664</v>
      </c>
      <c r="L70" s="445" t="str">
        <f>IF(AW70="PT",VLOOKUP(K70,'Foundation Calculation'!$V$2:$X$40,VLOOKUP(AW70,'Foundation Calculation'!$I$10:$J$13,2,FALSE),0),IF(AW70="K",VLOOKUP(K70,'Foundation Calculation'!$V$42:$X$80,VLOOKUP(AW70,'Foundation Calculation'!$I$10:$J$13,2,FALSE),0),""))</f>
        <v>C11R</v>
      </c>
      <c r="M70" s="445" t="s">
        <v>144</v>
      </c>
      <c r="N70" s="445"/>
      <c r="O70" s="445"/>
      <c r="P70" s="638"/>
      <c r="Q70" s="638"/>
      <c r="R70" s="484"/>
      <c r="S70" s="638">
        <v>20</v>
      </c>
      <c r="T70" s="638"/>
      <c r="U70" s="638"/>
      <c r="V70" s="638">
        <v>1.4</v>
      </c>
      <c r="W70" s="638"/>
      <c r="X70" s="638"/>
      <c r="Y70" s="638"/>
      <c r="Z70" s="638"/>
      <c r="AA70" s="638"/>
      <c r="AB70" s="638" t="str">
        <f>IF(OR(AS70&gt;8,AS70&lt;-8),"PH",IF(OR(AS70&gt;5,AS70&lt;-5),"PH-Q",IF(OR(AS70&gt;1,AS70&lt;-1),"PH-C")))</f>
        <v>PH</v>
      </c>
      <c r="AC70" s="638"/>
      <c r="AD70" s="638"/>
      <c r="AE70" s="638"/>
      <c r="AF70" s="446"/>
      <c r="AG70" s="638"/>
      <c r="AH70" s="185"/>
      <c r="AI70" s="445"/>
      <c r="AJ70" s="445"/>
      <c r="AK70" s="445" t="s">
        <v>2143</v>
      </c>
      <c r="AL70" s="445" t="s">
        <v>1042</v>
      </c>
      <c r="AM70" s="484">
        <v>5.5</v>
      </c>
      <c r="AN70" s="445"/>
      <c r="AO70" s="445"/>
      <c r="AP70" s="484"/>
      <c r="AQ70" s="484"/>
      <c r="AR70" s="484"/>
      <c r="AS70" s="484">
        <f>+ab($S$70,$S$68,$S$72,$G$69,$G$71,-1*$F$70,1200)</f>
        <v>9.2670114736924276</v>
      </c>
      <c r="AT70" s="638"/>
      <c r="AU70" s="638"/>
      <c r="AV70" s="638" t="str">
        <f>VLOOKUP(C70,'Foundation Calculation'!$A$2:$C$33,3,1)</f>
        <v>Soil B</v>
      </c>
      <c r="AW70" s="638" t="str">
        <f>VLOOKUP(C70,'Foundation Calculation'!$E$2:$G$33,3,1)</f>
        <v>PT</v>
      </c>
      <c r="AX70" s="484">
        <f>IF(AW70="PT",VLOOKUP(K70,'Foundation Calculation'!$K$2:$R$40,VLOOKUP(AV70,'Foundation Calculation'!$I$2:$J$8,2,FALSE),0),IF(AW70="K",VLOOKUP(K70,'Foundation Calculation'!$K$42:$R$80,VLOOKUP(AV70,'Foundation Calculation'!$I$2:$J$8,2,FALSE),0),""))</f>
        <v>4.4000000000000004</v>
      </c>
      <c r="AY70" s="484"/>
      <c r="AZ70" s="671" t="s">
        <v>2809</v>
      </c>
      <c r="BA70" s="1239" t="str">
        <f>Pole_Calculations!A178</f>
        <v>App.8-V08F-P10.3</v>
      </c>
      <c r="BB70" s="169"/>
      <c r="BC70" s="1329"/>
      <c r="BD70" s="1329"/>
      <c r="BE70" s="1329"/>
      <c r="BF70" s="1329"/>
    </row>
    <row r="71" spans="1:58" ht="15.75" customHeight="1">
      <c r="A71" s="1239"/>
      <c r="B71" s="173"/>
      <c r="C71" s="446"/>
      <c r="D71" s="173"/>
      <c r="E71" s="447"/>
      <c r="F71" s="447"/>
      <c r="G71" s="484">
        <v>48</v>
      </c>
      <c r="H71" s="448"/>
      <c r="I71" s="171">
        <f>C70+7.5</f>
        <v>84619.609999999986</v>
      </c>
      <c r="J71" s="638" t="s">
        <v>2787</v>
      </c>
      <c r="K71" s="638"/>
      <c r="L71" s="638"/>
      <c r="M71" s="1239"/>
      <c r="N71" s="1239"/>
      <c r="O71" s="1239"/>
      <c r="P71" s="638"/>
      <c r="Q71" s="638"/>
      <c r="R71" s="484"/>
      <c r="S71" s="638"/>
      <c r="T71" s="638"/>
      <c r="U71" s="638"/>
      <c r="V71" s="638"/>
      <c r="W71" s="638"/>
      <c r="X71" s="638"/>
      <c r="Y71" s="638"/>
      <c r="Z71" s="638"/>
      <c r="AA71" s="638"/>
      <c r="AB71" s="638"/>
      <c r="AC71" s="638"/>
      <c r="AD71" s="638"/>
      <c r="AE71" s="638"/>
      <c r="AF71" s="446"/>
      <c r="AG71" s="638"/>
      <c r="AH71" s="638"/>
      <c r="AI71" s="185"/>
      <c r="AJ71" s="638"/>
      <c r="AK71" s="638"/>
      <c r="AL71" s="638"/>
      <c r="AM71" s="455"/>
      <c r="AN71" s="1239"/>
      <c r="AO71" s="1239"/>
      <c r="AP71" s="484">
        <f>+FL_1($S$72,$S$70,$G$71,1200,9.28,-1*$F$72)</f>
        <v>0.36511966821987762</v>
      </c>
      <c r="AQ71" s="484"/>
      <c r="AR71" s="484"/>
      <c r="AS71" s="484"/>
      <c r="AT71" s="638"/>
      <c r="AU71" s="638"/>
      <c r="AV71" s="638" t="str">
        <f>VLOOKUP(I71,'Foundation Calculation'!$A$2:$C$33,3,1)</f>
        <v>Soil B</v>
      </c>
      <c r="AW71" s="638" t="str">
        <f>VLOOKUP(I71,'Foundation Calculation'!$E$2:$G$33,3,1)</f>
        <v>PT</v>
      </c>
      <c r="AX71" s="484"/>
      <c r="AY71" s="484">
        <f>IF(AW71="PT",VLOOKUP(J71,'Foundation Calculation'!$K$2:$R$40,VLOOKUP(AV71,'Foundation Calculation'!$I$2:$J$8,2,FALSE),0),IF(AW71="K",VLOOKUP(J71,'Foundation Calculation'!$K$42:$R$80,VLOOKUP(AV71,'Foundation Calculation'!$I$2:$J$8,2,FALSE),0),""))</f>
        <v>3.9</v>
      </c>
      <c r="AZ71" s="671" t="s">
        <v>2809</v>
      </c>
      <c r="BA71" s="1239"/>
      <c r="BB71" s="169"/>
      <c r="BC71" s="1329"/>
      <c r="BD71" s="1330"/>
      <c r="BE71" s="1330"/>
      <c r="BF71" s="1330"/>
    </row>
    <row r="72" spans="1:58" ht="15.75" customHeight="1">
      <c r="A72" s="1239"/>
      <c r="B72" s="445" t="s">
        <v>3707</v>
      </c>
      <c r="C72" s="446">
        <f>+$C$70+$G$71</f>
        <v>84660.109999999986</v>
      </c>
      <c r="D72" s="445"/>
      <c r="E72" s="445"/>
      <c r="F72" s="445">
        <v>-5000</v>
      </c>
      <c r="G72" s="484"/>
      <c r="H72" s="448"/>
      <c r="I72" s="446"/>
      <c r="J72" s="445"/>
      <c r="K72" s="445" t="s">
        <v>4664</v>
      </c>
      <c r="L72" s="445" t="str">
        <f>IF(AW72="PT",VLOOKUP(K72,'Foundation Calculation'!$V$2:$X$40,VLOOKUP(AW72,'Foundation Calculation'!$I$10:$J$13,2,FALSE),0),IF(AW72="K",VLOOKUP(K72,'Foundation Calculation'!$V$42:$X$80,VLOOKUP(AW72,'Foundation Calculation'!$I$10:$J$13,2,FALSE),0),""))</f>
        <v>C11R</v>
      </c>
      <c r="M72" s="445" t="s">
        <v>144</v>
      </c>
      <c r="N72" s="445" t="s">
        <v>140</v>
      </c>
      <c r="O72" s="445"/>
      <c r="P72" s="638"/>
      <c r="Q72" s="638"/>
      <c r="R72" s="484"/>
      <c r="S72" s="638">
        <v>20</v>
      </c>
      <c r="T72" s="638">
        <v>50</v>
      </c>
      <c r="U72" s="638"/>
      <c r="V72" s="638">
        <v>1.8</v>
      </c>
      <c r="W72" s="638">
        <v>1.4</v>
      </c>
      <c r="X72" s="638"/>
      <c r="Y72" s="638"/>
      <c r="Z72" s="638">
        <v>0.6</v>
      </c>
      <c r="AA72" s="638"/>
      <c r="AB72" s="638" t="str">
        <f>IF(OR(AS72&gt;8,AS72&lt;-8),"PH",IF(OR(AS72&gt;5,AS72&lt;-5),"PH-Q",IF(OR(AS72&gt;1,AS72&lt;-1),"PH-C")))</f>
        <v>PH</v>
      </c>
      <c r="AC72" s="638"/>
      <c r="AD72" s="638"/>
      <c r="AE72" s="638"/>
      <c r="AF72" s="446"/>
      <c r="AG72" s="638"/>
      <c r="AH72" s="185"/>
      <c r="AI72" s="445"/>
      <c r="AJ72" s="445"/>
      <c r="AK72" s="445" t="s">
        <v>2143</v>
      </c>
      <c r="AL72" s="445" t="s">
        <v>1042</v>
      </c>
      <c r="AM72" s="484">
        <v>5.5</v>
      </c>
      <c r="AN72" s="445"/>
      <c r="AO72" s="445"/>
      <c r="AP72" s="484"/>
      <c r="AQ72" s="484"/>
      <c r="AR72" s="484"/>
      <c r="AS72" s="484">
        <f>+ab($S$72,$S$70,$S$74,$G$71,$G$73,-1*$F$72,1200)</f>
        <v>9.709516399829127</v>
      </c>
      <c r="AT72" s="638"/>
      <c r="AU72" s="638"/>
      <c r="AV72" s="638" t="str">
        <f>VLOOKUP(C72,'Foundation Calculation'!$A$2:$C$33,3,1)</f>
        <v>Soil B</v>
      </c>
      <c r="AW72" s="638" t="str">
        <f>VLOOKUP(C72,'Foundation Calculation'!$E$2:$G$33,3,1)</f>
        <v>PT</v>
      </c>
      <c r="AX72" s="484">
        <f>IF(AW72="PT",VLOOKUP(K72,'Foundation Calculation'!$K$2:$R$40,VLOOKUP(AV72,'Foundation Calculation'!$I$2:$J$8,2,FALSE),0),IF(AW72="K",VLOOKUP(K72,'Foundation Calculation'!$K$42:$R$80,VLOOKUP(AV72,'Foundation Calculation'!$I$2:$J$8,2,FALSE),0),""))</f>
        <v>4.4000000000000004</v>
      </c>
      <c r="AY72" s="484"/>
      <c r="AZ72" s="671" t="s">
        <v>2809</v>
      </c>
      <c r="BA72" s="1239" t="str">
        <f>Pole_Calculations!A178</f>
        <v>App.8-V08F-P10.3</v>
      </c>
      <c r="BB72" s="169"/>
      <c r="BC72" s="1329"/>
      <c r="BD72" s="1329"/>
      <c r="BE72" s="1329"/>
      <c r="BF72" s="1329"/>
    </row>
    <row r="73" spans="1:58" ht="15.75" customHeight="1">
      <c r="A73" s="1239"/>
      <c r="B73" s="173"/>
      <c r="C73" s="446"/>
      <c r="D73" s="173"/>
      <c r="E73" s="447"/>
      <c r="F73" s="447"/>
      <c r="G73" s="484">
        <v>52.5</v>
      </c>
      <c r="H73" s="448">
        <v>329</v>
      </c>
      <c r="I73" s="171"/>
      <c r="J73" s="638"/>
      <c r="K73" s="638"/>
      <c r="L73" s="638"/>
      <c r="M73" s="1239"/>
      <c r="N73" s="1239"/>
      <c r="O73" s="1239"/>
      <c r="P73" s="638"/>
      <c r="Q73" s="638"/>
      <c r="R73" s="484"/>
      <c r="S73" s="638"/>
      <c r="T73" s="638"/>
      <c r="U73" s="638"/>
      <c r="V73" s="638"/>
      <c r="W73" s="638"/>
      <c r="X73" s="638"/>
      <c r="Y73" s="638"/>
      <c r="Z73" s="638"/>
      <c r="AA73" s="638"/>
      <c r="AB73" s="638"/>
      <c r="AC73" s="638"/>
      <c r="AD73" s="638"/>
      <c r="AE73" s="638"/>
      <c r="AF73" s="446"/>
      <c r="AG73" s="638"/>
      <c r="AH73" s="638"/>
      <c r="AI73" s="638"/>
      <c r="AJ73" s="638"/>
      <c r="AK73" s="638"/>
      <c r="AL73" s="638"/>
      <c r="AM73" s="455"/>
      <c r="AN73" s="1239"/>
      <c r="AO73" s="1239"/>
      <c r="AP73" s="484">
        <f>+FL_2($S$74,$S$72,$G$73,1200,9.28,-1*$F$74)</f>
        <v>-0.37508163866666666</v>
      </c>
      <c r="AQ73" s="484"/>
      <c r="AR73" s="484"/>
      <c r="AS73" s="484"/>
      <c r="AT73" s="638"/>
      <c r="AU73" s="638"/>
      <c r="AV73" s="638"/>
      <c r="AW73" s="638"/>
      <c r="AX73" s="484"/>
      <c r="AY73" s="484" t="str">
        <f>IF(AW73="PT",VLOOKUP(J73,'Foundation Calculation'!$L$2:$R$41,VLOOKUP(AV73,'Foundation Calculation'!$I$2:$J$8,2,FALSE),0),IF(AW73="K",VLOOKUP(J73,'Foundation Calculation'!$L$41:$R$79,VLOOKUP(AV73,'Foundation Calculation'!$I$2:$J$8,2,FALSE),0),""))</f>
        <v/>
      </c>
      <c r="AZ73" s="671"/>
      <c r="BA73" s="1239"/>
      <c r="BB73" s="169"/>
      <c r="BC73" s="1330"/>
      <c r="BD73" s="1330"/>
      <c r="BE73" s="1330"/>
      <c r="BF73" s="1330"/>
    </row>
    <row r="74" spans="1:58" ht="15.75" customHeight="1">
      <c r="A74" s="1239"/>
      <c r="B74" s="435" t="s">
        <v>3708</v>
      </c>
      <c r="C74" s="446">
        <f>+$C$72+$G$73</f>
        <v>84712.609999999986</v>
      </c>
      <c r="D74" s="173"/>
      <c r="E74" s="447"/>
      <c r="F74" s="447">
        <v>0</v>
      </c>
      <c r="G74" s="484"/>
      <c r="H74" s="448" t="s">
        <v>623</v>
      </c>
      <c r="I74" s="171"/>
      <c r="J74" s="638"/>
      <c r="K74" s="638" t="s">
        <v>896</v>
      </c>
      <c r="L74" s="638" t="str">
        <f>IF(AW74="PT",VLOOKUP(K74,'Foundation Calculation'!$V$2:$X$40,VLOOKUP(AW74,'Foundation Calculation'!$I$10:$J$13,2,FALSE),0),IF(AW74="K",VLOOKUP(K74,'Foundation Calculation'!$V$42:$X$80,VLOOKUP(AW74,'Foundation Calculation'!$I$10:$J$13,2,FALSE),0),""))</f>
        <v>2C4R</v>
      </c>
      <c r="M74" s="638" t="s">
        <v>143</v>
      </c>
      <c r="N74" s="1239" t="s">
        <v>140</v>
      </c>
      <c r="O74" s="1239"/>
      <c r="P74" s="638"/>
      <c r="Q74" s="638"/>
      <c r="R74" s="484"/>
      <c r="S74" s="638">
        <v>-30</v>
      </c>
      <c r="T74" s="638">
        <v>50</v>
      </c>
      <c r="U74" s="638"/>
      <c r="V74" s="638">
        <v>1.8</v>
      </c>
      <c r="W74" s="638">
        <v>1.4</v>
      </c>
      <c r="X74" s="638"/>
      <c r="Y74" s="638"/>
      <c r="Z74" s="638">
        <v>0.6</v>
      </c>
      <c r="AA74" s="638"/>
      <c r="AB74" s="638" t="str">
        <f>IF(OR(AS74&gt;8,AS74&lt;-8),"PH",IF(OR(AS74&gt;5,AS74&lt;-5),"PH-Q",IF(OR(AS74&gt;1,AS74&lt;-1),"PH-C")))</f>
        <v>PH</v>
      </c>
      <c r="AC74" s="638"/>
      <c r="AD74" s="638"/>
      <c r="AE74" s="638"/>
      <c r="AF74" s="446"/>
      <c r="AG74" s="638"/>
      <c r="AH74" s="638"/>
      <c r="AI74" s="638"/>
      <c r="AJ74" s="638"/>
      <c r="AK74" s="638"/>
      <c r="AL74" s="638" t="s">
        <v>1042</v>
      </c>
      <c r="AM74" s="455">
        <v>5.5</v>
      </c>
      <c r="AN74" s="1239"/>
      <c r="AO74" s="1239"/>
      <c r="AP74" s="484"/>
      <c r="AQ74" s="484"/>
      <c r="AR74" s="484"/>
      <c r="AS74" s="484">
        <f>+ab($S$74,$S$72,$T$76,$G$73,$G$75,-1*$F$74,1200)</f>
        <v>-10.819946417330279</v>
      </c>
      <c r="AT74" s="638"/>
      <c r="AU74" s="638"/>
      <c r="AV74" s="638" t="str">
        <f>VLOOKUP(C74,'Foundation Calculation'!$A$2:$C$33,3,1)</f>
        <v>Soil B</v>
      </c>
      <c r="AW74" s="638" t="str">
        <f>VLOOKUP(C74,'Foundation Calculation'!$E$2:$G$33,3,1)</f>
        <v>PT</v>
      </c>
      <c r="AX74" s="484">
        <f>IF(AW74="PT",VLOOKUP(K74,'Foundation Calculation'!$K$2:$R$40,VLOOKUP(AV74,'Foundation Calculation'!$I$2:$J$8,2,FALSE),0),IF(AW74="K",VLOOKUP(K74,'Foundation Calculation'!$K$42:$R$80,VLOOKUP(AV74,'Foundation Calculation'!$I$2:$J$8,2,FALSE),0),""))</f>
        <v>4</v>
      </c>
      <c r="AY74" s="484"/>
      <c r="AZ74" s="671" t="s">
        <v>2809</v>
      </c>
      <c r="BA74" s="1239" t="str">
        <f>Pole_Calculations!A157</f>
        <v>App.7.1-V01-P9.5.1.6</v>
      </c>
      <c r="BB74" s="169"/>
      <c r="BC74" s="1329"/>
      <c r="BD74" s="1329"/>
      <c r="BE74" s="1330"/>
      <c r="BF74" s="1329"/>
    </row>
    <row r="75" spans="1:58" ht="15.75" customHeight="1">
      <c r="A75" s="1239"/>
      <c r="B75" s="173"/>
      <c r="C75" s="446"/>
      <c r="D75" s="173"/>
      <c r="E75" s="447"/>
      <c r="F75" s="447"/>
      <c r="G75" s="484">
        <v>50</v>
      </c>
      <c r="H75" s="448" t="s">
        <v>624</v>
      </c>
      <c r="I75" s="171"/>
      <c r="J75" s="638"/>
      <c r="K75" s="638"/>
      <c r="L75" s="638"/>
      <c r="M75" s="1239"/>
      <c r="N75" s="1239"/>
      <c r="O75" s="1239"/>
      <c r="P75" s="638"/>
      <c r="Q75" s="638"/>
      <c r="R75" s="484"/>
      <c r="S75" s="638"/>
      <c r="T75" s="638"/>
      <c r="U75" s="638"/>
      <c r="V75" s="638"/>
      <c r="W75" s="638"/>
      <c r="X75" s="638"/>
      <c r="Y75" s="638"/>
      <c r="Z75" s="638"/>
      <c r="AA75" s="638"/>
      <c r="AB75" s="638"/>
      <c r="AC75" s="638"/>
      <c r="AD75" s="638"/>
      <c r="AE75" s="638"/>
      <c r="AF75" s="446"/>
      <c r="AG75" s="638"/>
      <c r="AH75" s="638"/>
      <c r="AI75" s="638"/>
      <c r="AJ75" s="638"/>
      <c r="AK75" s="638"/>
      <c r="AL75" s="638"/>
      <c r="AM75" s="455"/>
      <c r="AN75" s="1239"/>
      <c r="AO75" s="1239"/>
      <c r="AP75" s="484">
        <f>+FL_1($T$76,$S$74,$G$75,1200,9.28,-1*$F$76)</f>
        <v>0.183045968</v>
      </c>
      <c r="AQ75" s="484"/>
      <c r="AR75" s="484"/>
      <c r="AS75" s="484"/>
      <c r="AT75" s="638"/>
      <c r="AU75" s="638"/>
      <c r="AV75" s="638"/>
      <c r="AW75" s="638"/>
      <c r="AX75" s="484"/>
      <c r="AY75" s="484"/>
      <c r="AZ75" s="671"/>
      <c r="BA75" s="1239"/>
      <c r="BB75" s="169"/>
      <c r="BC75" s="1330"/>
      <c r="BD75" s="1330"/>
      <c r="BE75" s="1330"/>
      <c r="BF75" s="1330"/>
    </row>
    <row r="76" spans="1:58" ht="15.75" customHeight="1">
      <c r="A76" s="1239"/>
      <c r="B76" s="435" t="s">
        <v>3709</v>
      </c>
      <c r="C76" s="446">
        <f>+$C$74+$G$75</f>
        <v>84762.609999999986</v>
      </c>
      <c r="D76" s="173"/>
      <c r="E76" s="447"/>
      <c r="F76" s="447">
        <v>0</v>
      </c>
      <c r="G76" s="484"/>
      <c r="H76" s="448">
        <v>495</v>
      </c>
      <c r="I76" s="171"/>
      <c r="J76" s="638"/>
      <c r="K76" s="638" t="s">
        <v>895</v>
      </c>
      <c r="L76" s="638" t="str">
        <f>IF(AW76="PT",VLOOKUP(K76,'Foundation Calculation'!$V$2:$X$40,VLOOKUP(AW76,'Foundation Calculation'!$I$10:$J$13,2,FALSE),0),IF(AW76="K",VLOOKUP(K76,'Foundation Calculation'!$V$42:$X$80,VLOOKUP(AW76,'Foundation Calculation'!$I$10:$J$13,2,FALSE),0),""))</f>
        <v>2C3R</v>
      </c>
      <c r="M76" s="638" t="s">
        <v>140</v>
      </c>
      <c r="N76" s="1239" t="s">
        <v>144</v>
      </c>
      <c r="O76" s="1239"/>
      <c r="P76" s="638"/>
      <c r="Q76" s="638"/>
      <c r="R76" s="484"/>
      <c r="S76" s="638">
        <v>55</v>
      </c>
      <c r="T76" s="638">
        <v>10</v>
      </c>
      <c r="U76" s="638"/>
      <c r="V76" s="638">
        <v>1.4</v>
      </c>
      <c r="W76" s="638">
        <v>2.2999999999999998</v>
      </c>
      <c r="X76" s="638"/>
      <c r="Y76" s="638">
        <v>0.45</v>
      </c>
      <c r="Z76" s="638"/>
      <c r="AA76" s="638"/>
      <c r="AB76" s="638"/>
      <c r="AC76" s="638"/>
      <c r="AD76" s="638"/>
      <c r="AE76" s="638"/>
      <c r="AF76" s="446"/>
      <c r="AG76" s="638"/>
      <c r="AH76" s="638"/>
      <c r="AI76" s="638"/>
      <c r="AJ76" s="638"/>
      <c r="AK76" s="638"/>
      <c r="AL76" s="638" t="s">
        <v>1042</v>
      </c>
      <c r="AM76" s="455">
        <v>5.5</v>
      </c>
      <c r="AN76" s="1239"/>
      <c r="AO76" s="1239"/>
      <c r="AP76" s="484"/>
      <c r="AQ76" s="484"/>
      <c r="AR76" s="484"/>
      <c r="AS76" s="484">
        <f>+ab($T$76,$S$74,$S$78,$G$75,$G$77,-1*$F$76,1200)</f>
        <v>15.82391697130423</v>
      </c>
      <c r="AT76" s="638"/>
      <c r="AU76" s="638"/>
      <c r="AV76" s="638" t="str">
        <f>VLOOKUP(C76,'Foundation Calculation'!$A$2:$C$33,3,1)</f>
        <v>Soil B</v>
      </c>
      <c r="AW76" s="638" t="str">
        <f>VLOOKUP(C76,'Foundation Calculation'!$E$2:$G$33,3,1)</f>
        <v>PT</v>
      </c>
      <c r="AX76" s="484">
        <f>IF(AW76="PT",VLOOKUP(K76,'Foundation Calculation'!$K$2:$R$40,VLOOKUP(AV76,'Foundation Calculation'!$I$2:$J$8,2,FALSE),0),IF(AW76="K",VLOOKUP(K76,'Foundation Calculation'!$K$42:$R$80,VLOOKUP(AV76,'Foundation Calculation'!$I$2:$J$8,2,FALSE),0),""))</f>
        <v>3.5</v>
      </c>
      <c r="AY76" s="484"/>
      <c r="AZ76" s="671" t="s">
        <v>2809</v>
      </c>
      <c r="BA76" s="1239" t="str">
        <f>Pole_Calculations!A19</f>
        <v>App.7-V11A-P9.5.1.5</v>
      </c>
      <c r="BB76" s="169"/>
      <c r="BC76" s="1329"/>
      <c r="BD76" s="1329"/>
      <c r="BE76" s="1330"/>
      <c r="BF76" s="1329"/>
    </row>
    <row r="77" spans="1:58" ht="15.75" customHeight="1">
      <c r="A77" s="1239"/>
      <c r="B77" s="173"/>
      <c r="C77" s="446"/>
      <c r="D77" s="173"/>
      <c r="E77" s="447"/>
      <c r="F77" s="447"/>
      <c r="G77" s="484">
        <v>52.4</v>
      </c>
      <c r="H77" s="448"/>
      <c r="I77" s="171"/>
      <c r="J77" s="638"/>
      <c r="K77" s="638"/>
      <c r="L77" s="638"/>
      <c r="M77" s="1239"/>
      <c r="N77" s="1239"/>
      <c r="O77" s="1239"/>
      <c r="P77" s="638"/>
      <c r="Q77" s="638"/>
      <c r="R77" s="484"/>
      <c r="S77" s="638"/>
      <c r="T77" s="638"/>
      <c r="U77" s="638"/>
      <c r="V77" s="638"/>
      <c r="W77" s="638"/>
      <c r="X77" s="638"/>
      <c r="Y77" s="638"/>
      <c r="Z77" s="638"/>
      <c r="AA77" s="638"/>
      <c r="AB77" s="638"/>
      <c r="AC77" s="638"/>
      <c r="AD77" s="638"/>
      <c r="AE77" s="638"/>
      <c r="AF77" s="446"/>
      <c r="AG77" s="638"/>
      <c r="AH77" s="638"/>
      <c r="AI77" s="638"/>
      <c r="AJ77" s="638"/>
      <c r="AK77" s="638"/>
      <c r="AL77" s="638"/>
      <c r="AM77" s="455"/>
      <c r="AN77" s="1239"/>
      <c r="AO77" s="1239"/>
      <c r="AP77" s="484">
        <f>+FL_1($T$78,$T$76,$G$77,1200,9.28,-1*$F$78)</f>
        <v>0.13991071364885499</v>
      </c>
      <c r="AQ77" s="484"/>
      <c r="AR77" s="484"/>
      <c r="AS77" s="484"/>
      <c r="AT77" s="638"/>
      <c r="AU77" s="638"/>
      <c r="AV77" s="638"/>
      <c r="AW77" s="638"/>
      <c r="AX77" s="484"/>
      <c r="AY77" s="484" t="str">
        <f>IF(AW77="PT",VLOOKUP(J77,'Foundation Calculation'!$L$2:$R$41,VLOOKUP(AV77,'Foundation Calculation'!$I$2:$J$8,2,FALSE),0),IF(AW77="K",VLOOKUP(J77,'Foundation Calculation'!$L$41:$R$79,VLOOKUP(AV77,'Foundation Calculation'!$I$2:$J$8,2,FALSE),0),""))</f>
        <v/>
      </c>
      <c r="AZ77" s="671"/>
      <c r="BA77" s="1239"/>
      <c r="BB77" s="169"/>
      <c r="BC77" s="1330"/>
      <c r="BD77" s="1330"/>
      <c r="BE77" s="1330"/>
      <c r="BF77" s="1330"/>
    </row>
    <row r="78" spans="1:58" ht="15.75" customHeight="1">
      <c r="A78" s="1239" t="s">
        <v>3722</v>
      </c>
      <c r="B78" s="445" t="s">
        <v>3710</v>
      </c>
      <c r="C78" s="446">
        <f>+$C$76+$G$77</f>
        <v>84815.00999999998</v>
      </c>
      <c r="D78" s="445"/>
      <c r="E78" s="445"/>
      <c r="F78" s="445">
        <v>0</v>
      </c>
      <c r="G78" s="484"/>
      <c r="H78" s="448" t="s">
        <v>4218</v>
      </c>
      <c r="I78" s="446">
        <f>C78-7.5</f>
        <v>84807.50999999998</v>
      </c>
      <c r="J78" s="445" t="s">
        <v>2787</v>
      </c>
      <c r="K78" s="445" t="s">
        <v>4664</v>
      </c>
      <c r="L78" s="445" t="str">
        <f>IF(AW78="PT",VLOOKUP(K78,'Foundation Calculation'!$V$2:$X$40,VLOOKUP(AW78,'Foundation Calculation'!$I$10:$J$13,2,FALSE),0),IF(AW78="K",VLOOKUP(K78,'Foundation Calculation'!$V$42:$X$80,VLOOKUP(AW78,'Foundation Calculation'!$I$10:$J$13,2,FALSE),0),""))</f>
        <v>C11R</v>
      </c>
      <c r="M78" s="445" t="s">
        <v>143</v>
      </c>
      <c r="N78" s="445" t="s">
        <v>140</v>
      </c>
      <c r="O78" s="445"/>
      <c r="P78" s="638"/>
      <c r="Q78" s="638"/>
      <c r="R78" s="484"/>
      <c r="S78" s="638">
        <v>-10</v>
      </c>
      <c r="T78" s="638">
        <v>-55</v>
      </c>
      <c r="U78" s="638"/>
      <c r="V78" s="638">
        <v>1.4</v>
      </c>
      <c r="W78" s="638">
        <v>2.2999999999999998</v>
      </c>
      <c r="X78" s="638"/>
      <c r="Y78" s="638"/>
      <c r="Z78" s="638">
        <v>0.45</v>
      </c>
      <c r="AA78" s="638"/>
      <c r="AB78" s="638" t="str">
        <f>IF(OR(AS78&gt;8,AS78&lt;-8),"PH",IF(OR(AS78&gt;5,AS78&lt;-5),"PH-Q",IF(OR(AS78&gt;1,AS78&lt;-1),"PH-C")))</f>
        <v>PH</v>
      </c>
      <c r="AC78" s="638"/>
      <c r="AD78" s="638"/>
      <c r="AE78" s="638"/>
      <c r="AF78" s="446"/>
      <c r="AG78" s="638"/>
      <c r="AH78" s="185"/>
      <c r="AI78" s="445" t="s">
        <v>2154</v>
      </c>
      <c r="AJ78" s="445"/>
      <c r="AK78" s="445" t="s">
        <v>2143</v>
      </c>
      <c r="AL78" s="445" t="s">
        <v>1042</v>
      </c>
      <c r="AM78" s="484">
        <v>5.5</v>
      </c>
      <c r="AN78" s="445"/>
      <c r="AO78" s="445"/>
      <c r="AP78" s="484"/>
      <c r="AQ78" s="484"/>
      <c r="AR78" s="484"/>
      <c r="AS78" s="484">
        <f>+ab($S$78,$S$76,$T$80,$G$77,$G$79,-1*$F$78,1200)</f>
        <v>-17.540255667541018</v>
      </c>
      <c r="AT78" s="638"/>
      <c r="AU78" s="638"/>
      <c r="AV78" s="638" t="str">
        <f>VLOOKUP(C78,'Foundation Calculation'!$A$2:$C$33,3,1)</f>
        <v>Soil B</v>
      </c>
      <c r="AW78" s="638" t="str">
        <f>VLOOKUP(C78,'Foundation Calculation'!$E$2:$G$33,3,1)</f>
        <v>PT</v>
      </c>
      <c r="AX78" s="484">
        <f>IF(AW78="PT",VLOOKUP(K78,'Foundation Calculation'!$K$2:$R$40,VLOOKUP(AV78,'Foundation Calculation'!$I$2:$J$8,2,FALSE),0),IF(AW78="K",VLOOKUP(K78,'Foundation Calculation'!$K$42:$R$80,VLOOKUP(AV78,'Foundation Calculation'!$I$2:$J$8,2,FALSE),0),""))</f>
        <v>4.4000000000000004</v>
      </c>
      <c r="AY78" s="484">
        <f>IF(AW78="PT",VLOOKUP(J78,'Foundation Calculation'!$K$2:$R$40,VLOOKUP(AV78,'Foundation Calculation'!$I$2:$J$8,2,FALSE),0),IF(AW78="K",VLOOKUP(J78,'Foundation Calculation'!$K$42:$R$80,VLOOKUP(AV78,'Foundation Calculation'!$I$2:$J$8,2,FALSE),0),""))</f>
        <v>3.9</v>
      </c>
      <c r="AZ78" s="671" t="s">
        <v>2809</v>
      </c>
      <c r="BA78" s="1239" t="str">
        <f>Pole_Calculations!A178</f>
        <v>App.8-V08F-P10.3</v>
      </c>
      <c r="BB78" s="169"/>
      <c r="BC78" s="1329"/>
      <c r="BD78" s="1329"/>
      <c r="BE78" s="1329"/>
      <c r="BF78" s="1329"/>
    </row>
    <row r="79" spans="1:58" ht="15.75" customHeight="1">
      <c r="A79" s="428"/>
      <c r="B79" s="727"/>
      <c r="C79" s="426"/>
      <c r="D79" s="727"/>
      <c r="E79" s="427"/>
      <c r="F79" s="427"/>
      <c r="G79" s="486">
        <v>55.3</v>
      </c>
      <c r="H79" s="427"/>
      <c r="I79" s="426"/>
      <c r="J79" s="487"/>
      <c r="K79" s="487"/>
      <c r="L79" s="487"/>
      <c r="M79" s="428"/>
      <c r="N79" s="428"/>
      <c r="O79" s="428"/>
      <c r="P79" s="487"/>
      <c r="Q79" s="487"/>
      <c r="R79" s="486"/>
      <c r="S79" s="487"/>
      <c r="T79" s="487"/>
      <c r="U79" s="487"/>
      <c r="V79" s="487"/>
      <c r="W79" s="487"/>
      <c r="X79" s="487"/>
      <c r="Y79" s="487"/>
      <c r="Z79" s="487"/>
      <c r="AA79" s="487"/>
      <c r="AB79" s="487"/>
      <c r="AC79" s="487"/>
      <c r="AD79" s="487"/>
      <c r="AE79" s="487"/>
      <c r="AF79" s="426"/>
      <c r="AG79" s="487"/>
      <c r="AH79" s="487"/>
      <c r="AI79" s="487"/>
      <c r="AJ79" s="487"/>
      <c r="AK79" s="487"/>
      <c r="AL79" s="487"/>
      <c r="AM79" s="456"/>
      <c r="AN79" s="428"/>
      <c r="AO79" s="428"/>
      <c r="AP79" s="486">
        <f>+FL_2($T$80,$S$78,$G$79,1200,9.28,-1*$F$80)</f>
        <v>-0.44772959940446044</v>
      </c>
      <c r="AQ79" s="486"/>
      <c r="AR79" s="486"/>
      <c r="AS79" s="486"/>
      <c r="AT79" s="487"/>
      <c r="AU79" s="487"/>
      <c r="AV79" s="487"/>
      <c r="AW79" s="487"/>
      <c r="AX79" s="486"/>
      <c r="AY79" s="486"/>
      <c r="AZ79" s="672"/>
      <c r="BA79" s="428"/>
      <c r="BB79" s="169"/>
      <c r="BC79" s="1330"/>
      <c r="BD79" s="1330"/>
      <c r="BE79" s="1330"/>
      <c r="BF79" s="1330"/>
    </row>
    <row r="80" spans="1:58" ht="15.75" customHeight="1">
      <c r="A80" s="424" t="s">
        <v>1663</v>
      </c>
      <c r="B80" s="728" t="s">
        <v>3711</v>
      </c>
      <c r="C80" s="426">
        <f>+$C$78+$G$79</f>
        <v>84870.309999999983</v>
      </c>
      <c r="D80" s="727"/>
      <c r="E80" s="427"/>
      <c r="F80" s="427">
        <v>0</v>
      </c>
      <c r="G80" s="486"/>
      <c r="H80" s="429" t="s">
        <v>624</v>
      </c>
      <c r="I80" s="430"/>
      <c r="J80" s="487"/>
      <c r="K80" s="487" t="s">
        <v>895</v>
      </c>
      <c r="L80" s="487" t="str">
        <f>IF(AW80="PT",VLOOKUP(K80,'Foundation Calculation'!$V$2:$X$40,VLOOKUP(AW80,'Foundation Calculation'!$I$10:$J$13,2,FALSE),0),IF(AW80="K",VLOOKUP(K80,'Foundation Calculation'!$V$42:$X$80,VLOOKUP(AW80,'Foundation Calculation'!$I$10:$J$13,2,FALSE),0),""))</f>
        <v>2C3R</v>
      </c>
      <c r="M80" s="428" t="s">
        <v>140</v>
      </c>
      <c r="N80" s="428" t="s">
        <v>143</v>
      </c>
      <c r="O80" s="428"/>
      <c r="P80" s="487"/>
      <c r="Q80" s="487"/>
      <c r="R80" s="486"/>
      <c r="S80" s="487">
        <v>-55</v>
      </c>
      <c r="T80" s="487">
        <v>-20</v>
      </c>
      <c r="U80" s="487"/>
      <c r="V80" s="487">
        <v>2</v>
      </c>
      <c r="W80" s="487">
        <v>1.4</v>
      </c>
      <c r="X80" s="487"/>
      <c r="Y80" s="487">
        <v>0.45</v>
      </c>
      <c r="Z80" s="487"/>
      <c r="AA80" s="487"/>
      <c r="AB80" s="487"/>
      <c r="AC80" s="487"/>
      <c r="AD80" s="487"/>
      <c r="AE80" s="487"/>
      <c r="AF80" s="426"/>
      <c r="AG80" s="487"/>
      <c r="AH80" s="487"/>
      <c r="AI80" s="487"/>
      <c r="AJ80" s="487"/>
      <c r="AK80" s="487"/>
      <c r="AL80" s="487" t="s">
        <v>1042</v>
      </c>
      <c r="AM80" s="456">
        <v>5.5</v>
      </c>
      <c r="AN80" s="428"/>
      <c r="AO80" s="428"/>
      <c r="AP80" s="486"/>
      <c r="AQ80" s="486"/>
      <c r="AR80" s="486"/>
      <c r="AS80" s="486">
        <f>+ab($T$80,$S$78,$T$82,$G$79,$G$81,-1*$F$80,1200)</f>
        <v>-14.168306162581869</v>
      </c>
      <c r="AT80" s="487"/>
      <c r="AU80" s="487"/>
      <c r="AV80" s="487" t="str">
        <f>VLOOKUP(C80,'Foundation Calculation'!$A$2:$C$33,3,1)</f>
        <v>Soil B</v>
      </c>
      <c r="AW80" s="487" t="str">
        <f>VLOOKUP(C80,'Foundation Calculation'!$E$2:$G$33,3,1)</f>
        <v>PT</v>
      </c>
      <c r="AX80" s="486">
        <f>IF(AW80="PT",VLOOKUP(K80,'Foundation Calculation'!$K$2:$R$40,VLOOKUP(AV80,'Foundation Calculation'!$I$2:$J$8,2,FALSE),0),IF(AW80="K",VLOOKUP(K80,'Foundation Calculation'!$K$42:$R$80,VLOOKUP(AV80,'Foundation Calculation'!$I$2:$J$8,2,FALSE),0),""))</f>
        <v>3.5</v>
      </c>
      <c r="AY80" s="486"/>
      <c r="AZ80" s="672" t="s">
        <v>2809</v>
      </c>
      <c r="BA80" s="424" t="str">
        <f>Pole_Calculations!A22</f>
        <v>App.7-V11A-P9.5.1.8</v>
      </c>
      <c r="BB80" s="169"/>
      <c r="BC80" s="1329"/>
      <c r="BD80" s="1329"/>
      <c r="BE80" s="1330"/>
      <c r="BF80" s="1329"/>
    </row>
    <row r="81" spans="1:58" ht="15.75" customHeight="1">
      <c r="A81" s="1239"/>
      <c r="B81" s="173"/>
      <c r="C81" s="446"/>
      <c r="D81" s="173"/>
      <c r="E81" s="447"/>
      <c r="F81" s="447"/>
      <c r="G81" s="484">
        <v>48</v>
      </c>
      <c r="H81" s="448"/>
      <c r="I81" s="171">
        <f>C80+7.5</f>
        <v>84877.809999999983</v>
      </c>
      <c r="J81" s="638" t="s">
        <v>2787</v>
      </c>
      <c r="K81" s="638"/>
      <c r="L81" s="638"/>
      <c r="M81" s="1239"/>
      <c r="N81" s="1239"/>
      <c r="O81" s="1239"/>
      <c r="P81" s="638"/>
      <c r="Q81" s="638"/>
      <c r="R81" s="484"/>
      <c r="S81" s="638"/>
      <c r="T81" s="638"/>
      <c r="U81" s="638"/>
      <c r="V81" s="638"/>
      <c r="W81" s="638"/>
      <c r="X81" s="638"/>
      <c r="Y81" s="638"/>
      <c r="Z81" s="638"/>
      <c r="AA81" s="638"/>
      <c r="AB81" s="638"/>
      <c r="AC81" s="638"/>
      <c r="AD81" s="638"/>
      <c r="AE81" s="638"/>
      <c r="AF81" s="446"/>
      <c r="AG81" s="638"/>
      <c r="AH81" s="638"/>
      <c r="AI81" s="638"/>
      <c r="AJ81" s="638"/>
      <c r="AK81" s="638"/>
      <c r="AL81" s="638"/>
      <c r="AM81" s="455"/>
      <c r="AN81" s="1239"/>
      <c r="AO81" s="1239"/>
      <c r="AP81" s="484">
        <f>+FL_2($T$82,$T$80,$G$81,1200,9.28,-1*$F$82)</f>
        <v>-0.232607972</v>
      </c>
      <c r="AQ81" s="484"/>
      <c r="AR81" s="484"/>
      <c r="AS81" s="484"/>
      <c r="AT81" s="638"/>
      <c r="AU81" s="638"/>
      <c r="AV81" s="638" t="str">
        <f>VLOOKUP(I81,'Foundation Calculation'!$A$2:$C$33,3,1)</f>
        <v>Soil B</v>
      </c>
      <c r="AW81" s="638" t="str">
        <f>VLOOKUP(I81,'Foundation Calculation'!$E$2:$G$33,3,1)</f>
        <v>PT</v>
      </c>
      <c r="AX81" s="484"/>
      <c r="AY81" s="484">
        <f>IF(AW81="PT",VLOOKUP(J81,'Foundation Calculation'!$K$2:$R$40,VLOOKUP(AV81,'Foundation Calculation'!$I$2:$J$8,2,FALSE),0),IF(AW81="K",VLOOKUP(J81,'Foundation Calculation'!$K$42:$R$80,VLOOKUP(AV81,'Foundation Calculation'!$I$2:$J$8,2,FALSE),0),""))</f>
        <v>3.9</v>
      </c>
      <c r="AZ81" s="671" t="s">
        <v>2809</v>
      </c>
      <c r="BA81" s="1239"/>
      <c r="BB81" s="169"/>
      <c r="BC81" s="1329"/>
      <c r="BD81" s="1330"/>
      <c r="BE81" s="1330"/>
      <c r="BF81" s="1330"/>
    </row>
    <row r="82" spans="1:58" ht="15.75" customHeight="1">
      <c r="A82" s="1239"/>
      <c r="B82" s="435" t="s">
        <v>3712</v>
      </c>
      <c r="C82" s="446">
        <f>+$C$80+$G$81</f>
        <v>84918.309999999983</v>
      </c>
      <c r="D82" s="173"/>
      <c r="E82" s="447"/>
      <c r="F82" s="447">
        <v>0</v>
      </c>
      <c r="G82" s="484"/>
      <c r="H82" s="448"/>
      <c r="I82" s="171"/>
      <c r="J82" s="638"/>
      <c r="K82" s="638" t="s">
        <v>895</v>
      </c>
      <c r="L82" s="638" t="s">
        <v>4450</v>
      </c>
      <c r="M82" s="638" t="s">
        <v>143</v>
      </c>
      <c r="N82" s="1239" t="s">
        <v>144</v>
      </c>
      <c r="O82" s="1239"/>
      <c r="P82" s="638"/>
      <c r="Q82" s="638"/>
      <c r="R82" s="484"/>
      <c r="S82" s="638">
        <v>20</v>
      </c>
      <c r="T82" s="638">
        <v>35</v>
      </c>
      <c r="U82" s="638"/>
      <c r="V82" s="638">
        <v>2</v>
      </c>
      <c r="W82" s="638">
        <v>1.4</v>
      </c>
      <c r="X82" s="638"/>
      <c r="Y82" s="638"/>
      <c r="Z82" s="638"/>
      <c r="AA82" s="638"/>
      <c r="AB82" s="638" t="s">
        <v>1428</v>
      </c>
      <c r="AC82" s="638" t="s">
        <v>2773</v>
      </c>
      <c r="AD82" s="638"/>
      <c r="AE82" s="638"/>
      <c r="AF82" s="446"/>
      <c r="AG82" s="638"/>
      <c r="AH82" s="638"/>
      <c r="AI82" s="638"/>
      <c r="AJ82" s="638"/>
      <c r="AK82" s="638"/>
      <c r="AL82" s="638" t="s">
        <v>1042</v>
      </c>
      <c r="AM82" s="455">
        <v>5.5</v>
      </c>
      <c r="AN82" s="1239"/>
      <c r="AO82" s="1239"/>
      <c r="AP82" s="484"/>
      <c r="AQ82" s="484"/>
      <c r="AR82" s="484"/>
      <c r="AS82" s="484">
        <f>+ab($T$82,$T$80,$S$84,$G$81,$G$83,-1*$F$82,1200)</f>
        <v>16.293055778117726</v>
      </c>
      <c r="AT82" s="638"/>
      <c r="AU82" s="638"/>
      <c r="AV82" s="638" t="str">
        <f>VLOOKUP(C82,'Foundation Calculation'!$A$2:$C$33,3,1)</f>
        <v>Soil B</v>
      </c>
      <c r="AW82" s="638" t="str">
        <f>VLOOKUP(C82,'Foundation Calculation'!$E$2:$G$33,3,1)</f>
        <v>PT</v>
      </c>
      <c r="AX82" s="484">
        <f>IF(AW82="PT",VLOOKUP(K82,'Foundation Calculation'!$K$2:$R$40,VLOOKUP(AV82,'Foundation Calculation'!$I$2:$J$8,2,FALSE),0),IF(AW82="K",VLOOKUP(K82,'Foundation Calculation'!$K$42:$R$80,VLOOKUP(AV82,'Foundation Calculation'!$I$2:$J$8,2,FALSE),0),""))</f>
        <v>3.5</v>
      </c>
      <c r="AY82" s="484"/>
      <c r="AZ82" s="671" t="s">
        <v>2809</v>
      </c>
      <c r="BA82" s="1239" t="str">
        <f>Pole_Calculations!A19</f>
        <v>App.7-V11A-P9.5.1.5</v>
      </c>
      <c r="BB82" s="169"/>
      <c r="BC82" s="1329"/>
      <c r="BD82" s="1329"/>
      <c r="BE82" s="1330"/>
      <c r="BF82" s="1329"/>
    </row>
    <row r="83" spans="1:58" ht="15.75" customHeight="1">
      <c r="A83" s="1239" t="s">
        <v>1852</v>
      </c>
      <c r="B83" s="173"/>
      <c r="C83" s="446"/>
      <c r="D83" s="173"/>
      <c r="E83" s="447"/>
      <c r="F83" s="447"/>
      <c r="G83" s="484">
        <v>52.5</v>
      </c>
      <c r="H83" s="448"/>
      <c r="I83" s="171"/>
      <c r="J83" s="638"/>
      <c r="K83" s="638"/>
      <c r="L83" s="638"/>
      <c r="M83" s="1239"/>
      <c r="N83" s="1239"/>
      <c r="O83" s="1239"/>
      <c r="P83" s="638"/>
      <c r="Q83" s="638"/>
      <c r="R83" s="484"/>
      <c r="S83" s="638"/>
      <c r="T83" s="638"/>
      <c r="U83" s="638"/>
      <c r="V83" s="638"/>
      <c r="W83" s="638"/>
      <c r="X83" s="638"/>
      <c r="Y83" s="638"/>
      <c r="Z83" s="638"/>
      <c r="AA83" s="638"/>
      <c r="AB83" s="638"/>
      <c r="AC83" s="638"/>
      <c r="AD83" s="638"/>
      <c r="AE83" s="638"/>
      <c r="AF83" s="446"/>
      <c r="AG83" s="638"/>
      <c r="AH83" s="638"/>
      <c r="AI83" s="638"/>
      <c r="AJ83" s="638"/>
      <c r="AK83" s="638"/>
      <c r="AL83" s="638"/>
      <c r="AM83" s="455"/>
      <c r="AN83" s="1239"/>
      <c r="AO83" s="1239"/>
      <c r="AP83" s="484">
        <f>+FL_1($S$84,$T$82,$G$83,1200,9.28,-1*$F$84)</f>
        <v>0.61643749999999997</v>
      </c>
      <c r="AQ83" s="484"/>
      <c r="AR83" s="484"/>
      <c r="AS83" s="484"/>
      <c r="AT83" s="638"/>
      <c r="AU83" s="638"/>
      <c r="AV83" s="638"/>
      <c r="AW83" s="638"/>
      <c r="AX83" s="484"/>
      <c r="AY83" s="484"/>
      <c r="AZ83" s="671"/>
      <c r="BA83" s="1239"/>
      <c r="BB83" s="169"/>
      <c r="BC83" s="1330"/>
      <c r="BD83" s="1330"/>
      <c r="BE83" s="1330"/>
      <c r="BF83" s="1330"/>
    </row>
    <row r="84" spans="1:58" ht="15.75" customHeight="1">
      <c r="A84" s="1239"/>
      <c r="B84" s="435" t="s">
        <v>3713</v>
      </c>
      <c r="C84" s="446">
        <f>+$C$82+$G$83</f>
        <v>84970.809999999983</v>
      </c>
      <c r="D84" s="173"/>
      <c r="E84" s="447"/>
      <c r="F84" s="447">
        <v>0</v>
      </c>
      <c r="G84" s="484"/>
      <c r="H84" s="448"/>
      <c r="I84" s="171"/>
      <c r="J84" s="638"/>
      <c r="K84" s="638" t="s">
        <v>895</v>
      </c>
      <c r="L84" s="638" t="s">
        <v>4450</v>
      </c>
      <c r="M84" s="1239" t="s">
        <v>144</v>
      </c>
      <c r="N84" s="638" t="s">
        <v>143</v>
      </c>
      <c r="O84" s="1239"/>
      <c r="P84" s="638"/>
      <c r="Q84" s="638"/>
      <c r="R84" s="484"/>
      <c r="S84" s="638">
        <v>35</v>
      </c>
      <c r="T84" s="638">
        <v>20</v>
      </c>
      <c r="U84" s="638"/>
      <c r="V84" s="638">
        <v>1.4</v>
      </c>
      <c r="W84" s="638">
        <v>2.2999999999999998</v>
      </c>
      <c r="X84" s="638"/>
      <c r="Y84" s="638"/>
      <c r="Z84" s="638"/>
      <c r="AA84" s="638"/>
      <c r="AB84" s="638" t="s">
        <v>2773</v>
      </c>
      <c r="AC84" s="638" t="s">
        <v>1428</v>
      </c>
      <c r="AD84" s="638"/>
      <c r="AE84" s="638"/>
      <c r="AF84" s="446"/>
      <c r="AG84" s="638"/>
      <c r="AH84" s="638"/>
      <c r="AI84" s="638"/>
      <c r="AJ84" s="638"/>
      <c r="AK84" s="638"/>
      <c r="AL84" s="638" t="s">
        <v>1042</v>
      </c>
      <c r="AM84" s="455">
        <v>5.5</v>
      </c>
      <c r="AN84" s="1239"/>
      <c r="AO84" s="1239"/>
      <c r="AP84" s="484"/>
      <c r="AQ84" s="484"/>
      <c r="AR84" s="484"/>
      <c r="AS84" s="484">
        <f>+ab($S$84,$T$82,$S$86,$G$83,$G$85,-1*$F$84,1200)</f>
        <v>13.613184390748566</v>
      </c>
      <c r="AT84" s="638"/>
      <c r="AU84" s="638"/>
      <c r="AV84" s="638" t="str">
        <f>VLOOKUP(C84,'Foundation Calculation'!$A$2:$C$33,3,1)</f>
        <v>Soil B</v>
      </c>
      <c r="AW84" s="638" t="str">
        <f>VLOOKUP(C84,'Foundation Calculation'!$E$2:$G$33,3,1)</f>
        <v>PT</v>
      </c>
      <c r="AX84" s="484">
        <f>IF(AW84="PT",VLOOKUP(K84,'Foundation Calculation'!$K$2:$R$40,VLOOKUP(AV84,'Foundation Calculation'!$I$2:$J$8,2,FALSE),0),IF(AW84="K",VLOOKUP(K84,'Foundation Calculation'!$K$42:$R$80,VLOOKUP(AV84,'Foundation Calculation'!$I$2:$J$8,2,FALSE),0),""))</f>
        <v>3.5</v>
      </c>
      <c r="AY84" s="484"/>
      <c r="AZ84" s="671" t="s">
        <v>2809</v>
      </c>
      <c r="BA84" s="1239" t="str">
        <f>Pole_Calculations!A19</f>
        <v>App.7-V11A-P9.5.1.5</v>
      </c>
      <c r="BB84" s="169"/>
      <c r="BC84" s="1329"/>
      <c r="BD84" s="1329"/>
      <c r="BE84" s="1330"/>
      <c r="BF84" s="1329"/>
    </row>
    <row r="85" spans="1:58" ht="15.75" customHeight="1">
      <c r="A85" s="1239"/>
      <c r="B85" s="173"/>
      <c r="C85" s="446"/>
      <c r="D85" s="173"/>
      <c r="E85" s="447"/>
      <c r="F85" s="447"/>
      <c r="G85" s="484">
        <v>47</v>
      </c>
      <c r="H85" s="448"/>
      <c r="I85" s="171"/>
      <c r="J85" s="638"/>
      <c r="K85" s="638"/>
      <c r="L85" s="638"/>
      <c r="M85" s="1239"/>
      <c r="N85" s="638"/>
      <c r="O85" s="638"/>
      <c r="P85" s="638"/>
      <c r="Q85" s="638"/>
      <c r="R85" s="484"/>
      <c r="S85" s="638"/>
      <c r="T85" s="638"/>
      <c r="U85" s="638"/>
      <c r="V85" s="638"/>
      <c r="W85" s="638"/>
      <c r="X85" s="638"/>
      <c r="Y85" s="638"/>
      <c r="Z85" s="638"/>
      <c r="AA85" s="638"/>
      <c r="AB85" s="638"/>
      <c r="AC85" s="638"/>
      <c r="AD85" s="638"/>
      <c r="AE85" s="638"/>
      <c r="AF85" s="446"/>
      <c r="AG85" s="638"/>
      <c r="AH85" s="638"/>
      <c r="AI85" s="638"/>
      <c r="AJ85" s="638"/>
      <c r="AK85" s="638"/>
      <c r="AL85" s="638"/>
      <c r="AM85" s="455"/>
      <c r="AN85" s="1239"/>
      <c r="AO85" s="1239"/>
      <c r="AP85" s="484">
        <f>+FL_1($S$86,$S$84,$G$85,1200,9.28,-1*$F$86)</f>
        <v>0.4261214651713473</v>
      </c>
      <c r="AQ85" s="484"/>
      <c r="AR85" s="484"/>
      <c r="AS85" s="484"/>
      <c r="AT85" s="638"/>
      <c r="AU85" s="638"/>
      <c r="AV85" s="638"/>
      <c r="AW85" s="638"/>
      <c r="AX85" s="484"/>
      <c r="AY85" s="484"/>
      <c r="AZ85" s="671"/>
      <c r="BA85" s="1239"/>
      <c r="BB85" s="169"/>
      <c r="BC85" s="1330"/>
      <c r="BD85" s="1330"/>
      <c r="BE85" s="1330"/>
      <c r="BF85" s="1330"/>
    </row>
    <row r="86" spans="1:58" ht="15.75" customHeight="1">
      <c r="A86" s="1239"/>
      <c r="B86" s="435" t="s">
        <v>4425</v>
      </c>
      <c r="C86" s="446">
        <f>+$C$84+$G$85+0.96</f>
        <v>85018.76999999999</v>
      </c>
      <c r="D86" s="173"/>
      <c r="E86" s="447"/>
      <c r="F86" s="448">
        <f>(250^2)/(C86-84995.1)</f>
        <v>2640.4731727943827</v>
      </c>
      <c r="G86" s="484"/>
      <c r="H86" s="448"/>
      <c r="I86" s="171"/>
      <c r="J86" s="638"/>
      <c r="K86" s="638" t="s">
        <v>895</v>
      </c>
      <c r="L86" s="638" t="s">
        <v>4450</v>
      </c>
      <c r="M86" s="638" t="s">
        <v>143</v>
      </c>
      <c r="N86" s="1239" t="s">
        <v>140</v>
      </c>
      <c r="O86" s="638"/>
      <c r="P86" s="638"/>
      <c r="Q86" s="638"/>
      <c r="R86" s="484"/>
      <c r="S86" s="638">
        <v>-30</v>
      </c>
      <c r="T86" s="638">
        <v>-55</v>
      </c>
      <c r="U86" s="638"/>
      <c r="V86" s="638">
        <v>1.4</v>
      </c>
      <c r="W86" s="638">
        <v>2.2999999999999998</v>
      </c>
      <c r="X86" s="638"/>
      <c r="Y86" s="638"/>
      <c r="Z86" s="638">
        <v>0.45</v>
      </c>
      <c r="AA86" s="638"/>
      <c r="AB86" s="638" t="str">
        <f>IF(OR(AS86&gt;8,AS86&lt;-8),"PH",IF(OR(AS86&gt;5,AS86&lt;-5),"PH-Q",IF(OR(AS86&gt;1,AS86&lt;-1),"PH-C")))</f>
        <v>PH-Q</v>
      </c>
      <c r="AC86" s="638"/>
      <c r="AD86" s="638"/>
      <c r="AE86" s="638"/>
      <c r="AF86" s="446"/>
      <c r="AG86" s="638"/>
      <c r="AH86" s="638"/>
      <c r="AI86" s="638"/>
      <c r="AJ86" s="638"/>
      <c r="AK86" s="638"/>
      <c r="AL86" s="638" t="s">
        <v>1042</v>
      </c>
      <c r="AM86" s="455">
        <v>5.5</v>
      </c>
      <c r="AN86" s="1239"/>
      <c r="AO86" s="1239"/>
      <c r="AP86" s="484"/>
      <c r="AQ86" s="484"/>
      <c r="AR86" s="484"/>
      <c r="AS86" s="484">
        <f>+ab($S$86,$S$84,$S$88,$G$85,$G$87,-1*$F$86,1200)</f>
        <v>-6.0515341035664383</v>
      </c>
      <c r="AT86" s="638"/>
      <c r="AU86" s="638"/>
      <c r="AV86" s="638" t="str">
        <f>VLOOKUP(C86,'Foundation Calculation'!$A$2:$C$33,3,1)</f>
        <v>Soil B</v>
      </c>
      <c r="AW86" s="638" t="str">
        <f>VLOOKUP(C86,'Foundation Calculation'!$E$2:$G$33,3,1)</f>
        <v>PT</v>
      </c>
      <c r="AX86" s="484">
        <f>IF(AW86="PT",VLOOKUP(K86,'Foundation Calculation'!$K$2:$R$40,VLOOKUP(AV86,'Foundation Calculation'!$I$2:$J$8,2,FALSE),0),IF(AW86="K",VLOOKUP(K86,'Foundation Calculation'!$K$42:$R$80,VLOOKUP(AV86,'Foundation Calculation'!$I$2:$J$8,2,FALSE),0),""))</f>
        <v>3.5</v>
      </c>
      <c r="AY86" s="484"/>
      <c r="AZ86" s="671" t="s">
        <v>2809</v>
      </c>
      <c r="BA86" s="1239" t="str">
        <f>Pole_Calculations!A156</f>
        <v>App.7.1-V01-P9.5.1.5</v>
      </c>
      <c r="BB86" s="169"/>
      <c r="BC86" s="1329"/>
      <c r="BD86" s="1329"/>
      <c r="BE86" s="1330"/>
      <c r="BF86" s="1329"/>
    </row>
    <row r="87" spans="1:58" ht="15.75" customHeight="1">
      <c r="A87" s="501"/>
      <c r="B87" s="716"/>
      <c r="C87" s="451"/>
      <c r="D87" s="453"/>
      <c r="E87" s="452"/>
      <c r="F87" s="453"/>
      <c r="G87" s="500">
        <f>'HR Track 4 HER-TSA'!G5</f>
        <v>46.8</v>
      </c>
      <c r="H87" s="501"/>
      <c r="I87" s="583"/>
      <c r="J87" s="452"/>
      <c r="K87" s="452"/>
      <c r="L87" s="452"/>
      <c r="M87" s="501"/>
      <c r="N87" s="501"/>
      <c r="O87" s="501"/>
      <c r="P87" s="452"/>
      <c r="Q87" s="452"/>
      <c r="R87" s="500"/>
      <c r="S87" s="452"/>
      <c r="T87" s="452"/>
      <c r="U87" s="452"/>
      <c r="V87" s="452"/>
      <c r="W87" s="452"/>
      <c r="X87" s="452"/>
      <c r="Y87" s="452"/>
      <c r="Z87" s="452"/>
      <c r="AA87" s="452"/>
      <c r="AB87" s="452"/>
      <c r="AC87" s="452"/>
      <c r="AD87" s="452"/>
      <c r="AE87" s="452"/>
      <c r="AF87" s="451"/>
      <c r="AG87" s="452"/>
      <c r="AH87" s="452"/>
      <c r="AI87" s="452"/>
      <c r="AJ87" s="452"/>
      <c r="AK87" s="452"/>
      <c r="AL87" s="452"/>
      <c r="AM87" s="500"/>
      <c r="AN87" s="452">
        <f>'HR Track 4 HER-TSA'!AO5</f>
        <v>0</v>
      </c>
      <c r="AO87" s="452">
        <f>'HR Track 4 HER-TSA'!AP5</f>
        <v>0</v>
      </c>
      <c r="AP87" s="452">
        <f>'HR Track 4 HER-TSA'!AQ5</f>
        <v>-0.40220880131959669</v>
      </c>
      <c r="AQ87" s="452">
        <f>'HR Track 4 HER-TSA'!AR5</f>
        <v>0</v>
      </c>
      <c r="AR87" s="452">
        <f>'HR Track 4 HER-TSA'!AS5</f>
        <v>0</v>
      </c>
      <c r="AS87" s="452"/>
      <c r="AT87" s="452">
        <f>'HR Track 4 HER-TSA'!AU5</f>
        <v>0</v>
      </c>
      <c r="AU87" s="452">
        <f>'HR Track 4 HER-TSA'!AV5</f>
        <v>0</v>
      </c>
      <c r="AV87" s="452">
        <f>'HR Track 4 HER-TSA'!AW5</f>
        <v>0</v>
      </c>
      <c r="AW87" s="452">
        <f>'HR Track 4 HER-TSA'!AX5</f>
        <v>0</v>
      </c>
      <c r="AX87" s="500"/>
      <c r="AY87" s="500">
        <f>'HR Track 4 HER-TSA'!AZ5</f>
        <v>0</v>
      </c>
      <c r="AZ87" s="1333">
        <f>'HR Track 4 HER-TSA'!BA5</f>
        <v>0</v>
      </c>
      <c r="BA87" s="452"/>
      <c r="BB87" s="1334"/>
      <c r="BC87" s="1335"/>
      <c r="BD87" s="1335"/>
      <c r="BE87" s="1335"/>
      <c r="BF87" s="1335"/>
    </row>
    <row r="88" spans="1:58" ht="25">
      <c r="A88" s="501"/>
      <c r="B88" s="716" t="str">
        <f>'HR Track 4 HER-TSA'!B6</f>
        <v>85-4.02</v>
      </c>
      <c r="C88" s="451">
        <f>'HR Track 4 HER-TSA'!C6</f>
        <v>85065.57</v>
      </c>
      <c r="D88" s="453">
        <f>'HR Track 4 HER-TSA'!D6</f>
        <v>0</v>
      </c>
      <c r="E88" s="452">
        <f>'HR Track 4 HER-TSA'!E6</f>
        <v>0</v>
      </c>
      <c r="F88" s="453">
        <f>'HR Track 4 HER-TSA'!F6</f>
        <v>2500</v>
      </c>
      <c r="G88" s="500"/>
      <c r="H88" s="763" t="str">
        <f>'HR Track 4 HER-TSA'!I6</f>
        <v>CP+AnMC
CP+AnMC</v>
      </c>
      <c r="I88" s="583"/>
      <c r="J88" s="452"/>
      <c r="K88" s="452" t="str">
        <f>'HR Track 4 HER-TSA'!L6</f>
        <v>2HEB-260</v>
      </c>
      <c r="L88" s="452" t="str">
        <f>'HR Track 4 HER-TSA'!M6</f>
        <v>2C4R_L</v>
      </c>
      <c r="M88" s="501" t="str">
        <f>'HR Track 4 HER-TSA'!N6</f>
        <v>EMT-1</v>
      </c>
      <c r="N88" s="501">
        <f>'HR Track 4 HER-TSA'!O6</f>
        <v>0</v>
      </c>
      <c r="O88" s="501"/>
      <c r="P88" s="452">
        <f>'HR Track 4 HER-TSA'!Q6</f>
        <v>190</v>
      </c>
      <c r="Q88" s="452">
        <f>'HR Track 4 HER-TSA'!R6</f>
        <v>2500</v>
      </c>
      <c r="R88" s="500">
        <f>'HR Track 4 HER-TSA'!S6</f>
        <v>0</v>
      </c>
      <c r="S88" s="452">
        <f>'HR Track 4 HER-TSA'!T6</f>
        <v>-30</v>
      </c>
      <c r="T88" s="452">
        <f>'HR Track 4 HER-TSA'!U6</f>
        <v>0</v>
      </c>
      <c r="U88" s="452"/>
      <c r="V88" s="452">
        <f>'HR Track 4 HER-TSA'!W6</f>
        <v>1.4</v>
      </c>
      <c r="W88" s="452">
        <f>'HR Track 4 HER-TSA'!X6</f>
        <v>0</v>
      </c>
      <c r="X88" s="452"/>
      <c r="Y88" s="452"/>
      <c r="Z88" s="452">
        <f>'HR Track 4 HER-TSA'!AA6</f>
        <v>0</v>
      </c>
      <c r="AA88" s="452"/>
      <c r="AB88" s="452" t="str">
        <f>'HR Track 4 HER-TSA'!AC6</f>
        <v>PHQ-1150</v>
      </c>
      <c r="AC88" s="452">
        <f>'HR Track 4 HER-TSA'!AD6</f>
        <v>0</v>
      </c>
      <c r="AD88" s="452">
        <f>'HR Track 4 HER-TSA'!AE6</f>
        <v>0</v>
      </c>
      <c r="AE88" s="452">
        <f>'HR Track 4 HER-TSA'!AF6</f>
        <v>6000</v>
      </c>
      <c r="AF88" s="451">
        <f>'HR Track 4 HER-TSA'!AG6</f>
        <v>85065</v>
      </c>
      <c r="AG88" s="452">
        <f>'HR Track 4 HER-TSA'!AH6</f>
        <v>2053</v>
      </c>
      <c r="AH88" s="452">
        <f>'HR Track 4 HER-TSA'!AI6</f>
        <v>320</v>
      </c>
      <c r="AI88" s="452"/>
      <c r="AJ88" s="452"/>
      <c r="AK88" s="452"/>
      <c r="AL88" s="452" t="str">
        <f>'HR Track 4 HER-TSA'!AM6</f>
        <v>RW1</v>
      </c>
      <c r="AM88" s="500">
        <f>'HR Track 4 HER-TSA'!AN6</f>
        <v>5.5</v>
      </c>
      <c r="AN88" s="452">
        <f>'HR Track 4 HER-TSA'!AO6</f>
        <v>0</v>
      </c>
      <c r="AO88" s="452">
        <f>'HR Track 4 HER-TSA'!AP6</f>
        <v>0</v>
      </c>
      <c r="AP88" s="452"/>
      <c r="AQ88" s="452">
        <f>'HR Track 4 HER-TSA'!AR6</f>
        <v>0</v>
      </c>
      <c r="AR88" s="452">
        <f>'HR Track 4 HER-TSA'!AS6</f>
        <v>0</v>
      </c>
      <c r="AS88" s="452">
        <f>'HR Track 4 HER-TSA'!AT6</f>
        <v>-6.9789006737026291</v>
      </c>
      <c r="AT88" s="452">
        <f>'HR Track 4 HER-TSA'!AU6</f>
        <v>0</v>
      </c>
      <c r="AU88" s="452">
        <f>'HR Track 4 HER-TSA'!AV6</f>
        <v>0</v>
      </c>
      <c r="AV88" s="452" t="str">
        <f>'HR Track 4 HER-TSA'!AW6</f>
        <v>Soil B</v>
      </c>
      <c r="AW88" s="452" t="str">
        <f>'HR Track 4 HER-TSA'!AX6</f>
        <v>PT</v>
      </c>
      <c r="AX88" s="500">
        <f>'HR Track 4 HER-TSA'!AY6</f>
        <v>4</v>
      </c>
      <c r="AY88" s="500"/>
      <c r="AZ88" s="1333" t="str">
        <f>'HR Track 4 HER-TSA'!BA6</f>
        <v>ü</v>
      </c>
      <c r="BA88" s="452" t="str">
        <f>'HR Track 4 HER-TSA'!BB6</f>
        <v>App.7.1-V01-P9.5.1.8</v>
      </c>
      <c r="BB88" s="1334">
        <f>'HR Track 4 HER-TSA'!BC6</f>
        <v>0</v>
      </c>
      <c r="BC88" s="1335">
        <f>'HR Track 4 HER-TSA'!BD6</f>
        <v>0</v>
      </c>
      <c r="BD88" s="1335">
        <f>'HR Track 4 HER-TSA'!BE6</f>
        <v>0</v>
      </c>
      <c r="BE88" s="1335">
        <f>'HR Track 4 HER-TSA'!BF6</f>
        <v>0</v>
      </c>
      <c r="BF88" s="1335">
        <f>'HR Track 4 HER-TSA'!BG6</f>
        <v>0</v>
      </c>
    </row>
    <row r="89" spans="1:58" ht="15.75" customHeight="1">
      <c r="A89" s="501"/>
      <c r="B89" s="716">
        <f>'HR Track 4 HER-TSA'!B7</f>
        <v>0</v>
      </c>
      <c r="C89" s="451">
        <f>'HR Track 4 HER-TSA'!C7</f>
        <v>0</v>
      </c>
      <c r="D89" s="453">
        <f>'HR Track 4 HER-TSA'!D7</f>
        <v>0</v>
      </c>
      <c r="E89" s="452">
        <f>'HR Track 4 HER-TSA'!E7</f>
        <v>0</v>
      </c>
      <c r="F89" s="453">
        <f>'HR Track 4 HER-TSA'!F7</f>
        <v>0</v>
      </c>
      <c r="G89" s="500"/>
      <c r="H89" s="501">
        <f>'HR Track 4 HER-TSA'!I7</f>
        <v>0</v>
      </c>
      <c r="I89" s="583"/>
      <c r="J89" s="452"/>
      <c r="K89" s="452">
        <f>'HR Track 4 HER-TSA'!L7</f>
        <v>0</v>
      </c>
      <c r="L89" s="452">
        <f>'HR Track 4 HER-TSA'!M7</f>
        <v>0</v>
      </c>
      <c r="M89" s="501">
        <f>'HR Track 4 HER-TSA'!N7</f>
        <v>0</v>
      </c>
      <c r="N89" s="501">
        <f>'HR Track 4 HER-TSA'!O7</f>
        <v>0</v>
      </c>
      <c r="O89" s="501"/>
      <c r="P89" s="452">
        <f>'HR Track 4 HER-TSA'!Q7</f>
        <v>0</v>
      </c>
      <c r="Q89" s="452">
        <f>'HR Track 4 HER-TSA'!R7</f>
        <v>0</v>
      </c>
      <c r="R89" s="500">
        <f>'HR Track 4 HER-TSA'!S7</f>
        <v>50</v>
      </c>
      <c r="S89" s="452">
        <f>'HR Track 4 HER-TSA'!T7</f>
        <v>0</v>
      </c>
      <c r="T89" s="452">
        <f>'HR Track 4 HER-TSA'!U7</f>
        <v>0</v>
      </c>
      <c r="U89" s="452"/>
      <c r="V89" s="452">
        <f>'HR Track 4 HER-TSA'!W7</f>
        <v>0</v>
      </c>
      <c r="W89" s="452">
        <f>'HR Track 4 HER-TSA'!X7</f>
        <v>0</v>
      </c>
      <c r="X89" s="452"/>
      <c r="Y89" s="452"/>
      <c r="Z89" s="452">
        <f>'HR Track 4 HER-TSA'!AA7</f>
        <v>0</v>
      </c>
      <c r="AA89" s="452"/>
      <c r="AB89" s="452">
        <f>'HR Track 4 HER-TSA'!AC7</f>
        <v>0</v>
      </c>
      <c r="AC89" s="452">
        <f>'HR Track 4 HER-TSA'!AD7</f>
        <v>0</v>
      </c>
      <c r="AD89" s="452">
        <f>'HR Track 4 HER-TSA'!AE7</f>
        <v>0</v>
      </c>
      <c r="AE89" s="452">
        <f>'HR Track 4 HER-TSA'!AF7</f>
        <v>0</v>
      </c>
      <c r="AF89" s="451">
        <f>'HR Track 4 HER-TSA'!AG7</f>
        <v>0</v>
      </c>
      <c r="AG89" s="452">
        <f>'HR Track 4 HER-TSA'!AH7</f>
        <v>0</v>
      </c>
      <c r="AH89" s="452">
        <f>'HR Track 4 HER-TSA'!AI7</f>
        <v>0</v>
      </c>
      <c r="AI89" s="452"/>
      <c r="AJ89" s="452"/>
      <c r="AK89" s="452"/>
      <c r="AL89" s="452">
        <f>'HR Track 4 HER-TSA'!AM7</f>
        <v>0</v>
      </c>
      <c r="AM89" s="500">
        <f>'HR Track 4 HER-TSA'!AN7</f>
        <v>0</v>
      </c>
      <c r="AN89" s="452">
        <f>'HR Track 4 HER-TSA'!AO7</f>
        <v>0</v>
      </c>
      <c r="AO89" s="452">
        <f>'HR Track 4 HER-TSA'!AP7</f>
        <v>0</v>
      </c>
      <c r="AP89" s="452"/>
      <c r="AQ89" s="452">
        <f>'HR Track 4 HER-TSA'!AR7</f>
        <v>0</v>
      </c>
      <c r="AR89" s="452">
        <f>'HR Track 4 HER-TSA'!AS7</f>
        <v>0</v>
      </c>
      <c r="AS89" s="452">
        <f>'HR Track 4 HER-TSA'!AT7</f>
        <v>0</v>
      </c>
      <c r="AT89" s="452">
        <f>'HR Track 4 HER-TSA'!AU7</f>
        <v>0</v>
      </c>
      <c r="AU89" s="452">
        <f>'HR Track 4 HER-TSA'!AV7</f>
        <v>0</v>
      </c>
      <c r="AV89" s="452">
        <f>'HR Track 4 HER-TSA'!AW7</f>
        <v>0</v>
      </c>
      <c r="AW89" s="452">
        <f>'HR Track 4 HER-TSA'!AX7</f>
        <v>0</v>
      </c>
      <c r="AX89" s="500">
        <f>'HR Track 4 HER-TSA'!AY7</f>
        <v>0</v>
      </c>
      <c r="AY89" s="500"/>
      <c r="AZ89" s="1333">
        <f>'HR Track 4 HER-TSA'!BA7</f>
        <v>0</v>
      </c>
      <c r="BA89" s="452">
        <f>'HR Track 4 HER-TSA'!BB7</f>
        <v>0</v>
      </c>
      <c r="BB89" s="1334">
        <f>'HR Track 4 HER-TSA'!BC7</f>
        <v>0</v>
      </c>
      <c r="BC89" s="1335">
        <f>'HR Track 4 HER-TSA'!BD7</f>
        <v>0</v>
      </c>
      <c r="BD89" s="1335">
        <f>'HR Track 4 HER-TSA'!BE7</f>
        <v>0</v>
      </c>
      <c r="BE89" s="1335">
        <f>'HR Track 4 HER-TSA'!BF7</f>
        <v>0</v>
      </c>
      <c r="BF89" s="1335">
        <f>'HR Track 4 HER-TSA'!BG7</f>
        <v>0</v>
      </c>
    </row>
    <row r="90" spans="1:58" ht="15.75" customHeight="1">
      <c r="A90" s="501"/>
      <c r="B90" s="716" t="str">
        <f>'HR Track 4 HER-TSA'!B8</f>
        <v>85-4.03</v>
      </c>
      <c r="C90" s="451">
        <f>'HR Track 4 HER-TSA'!C8</f>
        <v>85115.57</v>
      </c>
      <c r="D90" s="453">
        <f>'HR Track 4 HER-TSA'!D8</f>
        <v>0</v>
      </c>
      <c r="E90" s="452">
        <f>'HR Track 4 HER-TSA'!E8</f>
        <v>0</v>
      </c>
      <c r="F90" s="453">
        <f>'HR Track 4 HER-TSA'!F8</f>
        <v>0</v>
      </c>
      <c r="G90" s="500"/>
      <c r="H90" s="501">
        <f>'HR Track 4 HER-TSA'!I8</f>
        <v>0</v>
      </c>
      <c r="I90" s="583"/>
      <c r="J90" s="452"/>
      <c r="K90" s="452" t="str">
        <f>'HR Track 4 HER-TSA'!L8</f>
        <v>2HEB-240</v>
      </c>
      <c r="L90" s="452" t="str">
        <f>'HR Track 4 HER-TSA'!M8</f>
        <v>2C3R</v>
      </c>
      <c r="M90" s="501" t="str">
        <f>'HR Track 4 HER-TSA'!N8</f>
        <v>EMT-T</v>
      </c>
      <c r="N90" s="501" t="str">
        <f>'HR Track 4 HER-TSA'!O8</f>
        <v>EMT-2</v>
      </c>
      <c r="O90" s="501"/>
      <c r="P90" s="452">
        <f>'HR Track 4 HER-TSA'!Q8</f>
        <v>0</v>
      </c>
      <c r="Q90" s="452">
        <f>'HR Track 4 HER-TSA'!R8</f>
        <v>0</v>
      </c>
      <c r="R90" s="500">
        <f>'HR Track 4 HER-TSA'!S8</f>
        <v>0</v>
      </c>
      <c r="S90" s="452">
        <f>'HR Track 4 HER-TSA'!T8</f>
        <v>55</v>
      </c>
      <c r="T90" s="452">
        <f>'HR Track 4 HER-TSA'!U8</f>
        <v>10</v>
      </c>
      <c r="U90" s="452"/>
      <c r="V90" s="452">
        <f>'HR Track 4 HER-TSA'!W8</f>
        <v>1.4</v>
      </c>
      <c r="W90" s="452">
        <f>'HR Track 4 HER-TSA'!X8</f>
        <v>2.2999999999999998</v>
      </c>
      <c r="X90" s="452"/>
      <c r="Y90" s="452"/>
      <c r="Z90" s="452">
        <f>'HR Track 4 HER-TSA'!AA8</f>
        <v>0</v>
      </c>
      <c r="AA90" s="452"/>
      <c r="AB90" s="452" t="str">
        <f>'HR Track 4 HER-TSA'!AC8</f>
        <v>PH-1150</v>
      </c>
      <c r="AC90" s="452">
        <f>'HR Track 4 HER-TSA'!AD8</f>
        <v>0</v>
      </c>
      <c r="AD90" s="452">
        <f>'HR Track 4 HER-TSA'!AE8</f>
        <v>0</v>
      </c>
      <c r="AE90" s="452">
        <f>'HR Track 4 HER-TSA'!AF8</f>
        <v>6000</v>
      </c>
      <c r="AF90" s="451">
        <f>'HR Track 4 HER-TSA'!AG8</f>
        <v>85115</v>
      </c>
      <c r="AG90" s="452">
        <f>'HR Track 4 HER-TSA'!AH8</f>
        <v>1953</v>
      </c>
      <c r="AH90" s="452">
        <f>'HR Track 4 HER-TSA'!AI8</f>
        <v>230</v>
      </c>
      <c r="AI90" s="452"/>
      <c r="AJ90" s="452"/>
      <c r="AK90" s="452"/>
      <c r="AL90" s="452" t="str">
        <f>'HR Track 4 HER-TSA'!AM8</f>
        <v>RW1</v>
      </c>
      <c r="AM90" s="500">
        <f>'HR Track 4 HER-TSA'!AN8</f>
        <v>5.5</v>
      </c>
      <c r="AN90" s="452">
        <f>'HR Track 4 HER-TSA'!AO8</f>
        <v>0</v>
      </c>
      <c r="AO90" s="452">
        <f>'HR Track 4 HER-TSA'!AP8</f>
        <v>0</v>
      </c>
      <c r="AP90" s="452"/>
      <c r="AQ90" s="452">
        <f>'HR Track 4 HER-TSA'!AR8</f>
        <v>0</v>
      </c>
      <c r="AR90" s="452">
        <f>'HR Track 4 HER-TSA'!AS8</f>
        <v>0</v>
      </c>
      <c r="AS90" s="452">
        <f>'HR Track 4 HER-TSA'!AT8</f>
        <v>9.0614126315851067</v>
      </c>
      <c r="AT90" s="452">
        <f>'HR Track 4 HER-TSA'!AU8</f>
        <v>0</v>
      </c>
      <c r="AU90" s="452">
        <f>'HR Track 4 HER-TSA'!AV8</f>
        <v>0</v>
      </c>
      <c r="AV90" s="452" t="str">
        <f>'HR Track 4 HER-TSA'!AW8</f>
        <v>Soil B</v>
      </c>
      <c r="AW90" s="452" t="str">
        <f>'HR Track 4 HER-TSA'!AX8</f>
        <v>PT</v>
      </c>
      <c r="AX90" s="500">
        <f>'HR Track 4 HER-TSA'!AY8</f>
        <v>3.5</v>
      </c>
      <c r="AY90" s="500"/>
      <c r="AZ90" s="1333" t="str">
        <f>'HR Track 4 HER-TSA'!BA8</f>
        <v>ü</v>
      </c>
      <c r="BA90" s="452" t="str">
        <f>'HR Track 4 HER-TSA'!BB8</f>
        <v>App.7.1-V01-P9.5.1.5</v>
      </c>
      <c r="BB90" s="1334">
        <f>'HR Track 4 HER-TSA'!BC8</f>
        <v>0</v>
      </c>
      <c r="BC90" s="1335">
        <f>'HR Track 4 HER-TSA'!BD8</f>
        <v>0</v>
      </c>
      <c r="BD90" s="1335">
        <f>'HR Track 4 HER-TSA'!BE8</f>
        <v>0</v>
      </c>
      <c r="BE90" s="1335">
        <f>'HR Track 4 HER-TSA'!BF8</f>
        <v>0</v>
      </c>
      <c r="BF90" s="1335">
        <f>'HR Track 4 HER-TSA'!BG8</f>
        <v>0</v>
      </c>
    </row>
    <row r="91" spans="1:58" ht="15.75" customHeight="1">
      <c r="A91" s="501"/>
      <c r="B91" s="716">
        <f>'HR Track 4 HER-TSA'!B9</f>
        <v>0</v>
      </c>
      <c r="C91" s="451">
        <f>'HR Track 4 HER-TSA'!C9</f>
        <v>0</v>
      </c>
      <c r="D91" s="453">
        <f>'HR Track 4 HER-TSA'!D9</f>
        <v>0</v>
      </c>
      <c r="E91" s="452">
        <f>'HR Track 4 HER-TSA'!E9</f>
        <v>0</v>
      </c>
      <c r="F91" s="453">
        <f>'HR Track 4 HER-TSA'!F9</f>
        <v>0</v>
      </c>
      <c r="G91" s="500"/>
      <c r="H91" s="501">
        <f>'HR Track 4 HER-TSA'!I9</f>
        <v>0</v>
      </c>
      <c r="I91" s="583"/>
      <c r="J91" s="452"/>
      <c r="K91" s="452">
        <f>'HR Track 4 HER-TSA'!L9</f>
        <v>0</v>
      </c>
      <c r="L91" s="452">
        <f>'HR Track 4 HER-TSA'!M9</f>
        <v>0</v>
      </c>
      <c r="M91" s="501">
        <f>'HR Track 4 HER-TSA'!N9</f>
        <v>0</v>
      </c>
      <c r="N91" s="501">
        <f>'HR Track 4 HER-TSA'!O9</f>
        <v>0</v>
      </c>
      <c r="O91" s="501"/>
      <c r="P91" s="452">
        <f>'HR Track 4 HER-TSA'!Q9</f>
        <v>0</v>
      </c>
      <c r="Q91" s="452">
        <f>'HR Track 4 HER-TSA'!R9</f>
        <v>0</v>
      </c>
      <c r="R91" s="500">
        <f>'HR Track 4 HER-TSA'!S9</f>
        <v>50</v>
      </c>
      <c r="S91" s="452">
        <f>'HR Track 4 HER-TSA'!T9</f>
        <v>0</v>
      </c>
      <c r="T91" s="452">
        <f>'HR Track 4 HER-TSA'!U9</f>
        <v>0</v>
      </c>
      <c r="U91" s="452"/>
      <c r="V91" s="452">
        <f>'HR Track 4 HER-TSA'!W9</f>
        <v>0</v>
      </c>
      <c r="W91" s="452">
        <f>'HR Track 4 HER-TSA'!X9</f>
        <v>0</v>
      </c>
      <c r="X91" s="452"/>
      <c r="Y91" s="452"/>
      <c r="Z91" s="452">
        <f>'HR Track 4 HER-TSA'!AA9</f>
        <v>0</v>
      </c>
      <c r="AA91" s="452"/>
      <c r="AB91" s="452">
        <f>'HR Track 4 HER-TSA'!AC9</f>
        <v>0</v>
      </c>
      <c r="AC91" s="452">
        <f>'HR Track 4 HER-TSA'!AD9</f>
        <v>0</v>
      </c>
      <c r="AD91" s="452">
        <f>'HR Track 4 HER-TSA'!AE9</f>
        <v>0</v>
      </c>
      <c r="AE91" s="452">
        <f>'HR Track 4 HER-TSA'!AF9</f>
        <v>0</v>
      </c>
      <c r="AF91" s="451">
        <f>'HR Track 4 HER-TSA'!AG9</f>
        <v>0</v>
      </c>
      <c r="AG91" s="452">
        <f>'HR Track 4 HER-TSA'!AH9</f>
        <v>0</v>
      </c>
      <c r="AH91" s="452">
        <f>'HR Track 4 HER-TSA'!AI9</f>
        <v>0</v>
      </c>
      <c r="AI91" s="452"/>
      <c r="AJ91" s="452"/>
      <c r="AK91" s="452"/>
      <c r="AL91" s="452">
        <f>'HR Track 4 HER-TSA'!AM9</f>
        <v>0</v>
      </c>
      <c r="AM91" s="500">
        <f>'HR Track 4 HER-TSA'!AN9</f>
        <v>0</v>
      </c>
      <c r="AN91" s="452">
        <f>'HR Track 4 HER-TSA'!AO9</f>
        <v>0</v>
      </c>
      <c r="AO91" s="452">
        <f>'HR Track 4 HER-TSA'!AP9</f>
        <v>0</v>
      </c>
      <c r="AP91" s="452"/>
      <c r="AQ91" s="452">
        <f>'HR Track 4 HER-TSA'!AR9</f>
        <v>0</v>
      </c>
      <c r="AR91" s="452">
        <f>'HR Track 4 HER-TSA'!AS9</f>
        <v>0</v>
      </c>
      <c r="AS91" s="452">
        <f>'HR Track 4 HER-TSA'!AT9</f>
        <v>0</v>
      </c>
      <c r="AT91" s="452">
        <f>'HR Track 4 HER-TSA'!AU9</f>
        <v>0</v>
      </c>
      <c r="AU91" s="452">
        <f>'HR Track 4 HER-TSA'!AV9</f>
        <v>0</v>
      </c>
      <c r="AV91" s="452">
        <f>'HR Track 4 HER-TSA'!AW9</f>
        <v>0</v>
      </c>
      <c r="AW91" s="452">
        <f>'HR Track 4 HER-TSA'!AX9</f>
        <v>0</v>
      </c>
      <c r="AX91" s="500">
        <f>'HR Track 4 HER-TSA'!AY9</f>
        <v>0</v>
      </c>
      <c r="AY91" s="500"/>
      <c r="AZ91" s="1333">
        <f>'HR Track 4 HER-TSA'!BA9</f>
        <v>0</v>
      </c>
      <c r="BA91" s="452">
        <f>'HR Track 4 HER-TSA'!BB9</f>
        <v>0</v>
      </c>
      <c r="BB91" s="1334">
        <f>'HR Track 4 HER-TSA'!BC9</f>
        <v>0</v>
      </c>
      <c r="BC91" s="1335">
        <f>'HR Track 4 HER-TSA'!BD9</f>
        <v>0</v>
      </c>
      <c r="BD91" s="1335">
        <f>'HR Track 4 HER-TSA'!BE9</f>
        <v>0</v>
      </c>
      <c r="BE91" s="1335">
        <f>'HR Track 4 HER-TSA'!BF9</f>
        <v>0</v>
      </c>
      <c r="BF91" s="1335">
        <f>'HR Track 4 HER-TSA'!BG9</f>
        <v>0</v>
      </c>
    </row>
    <row r="92" spans="1:58" ht="15.75" customHeight="1">
      <c r="A92" s="501"/>
      <c r="B92" s="716" t="str">
        <f>'HR Track 4 HER-TSA'!B10</f>
        <v>85-4.04</v>
      </c>
      <c r="C92" s="451">
        <f>'HR Track 4 HER-TSA'!C10</f>
        <v>85165.57</v>
      </c>
      <c r="D92" s="453">
        <f>'HR Track 4 HER-TSA'!D10</f>
        <v>0</v>
      </c>
      <c r="E92" s="452">
        <f>'HR Track 4 HER-TSA'!E10</f>
        <v>0</v>
      </c>
      <c r="F92" s="453">
        <f>'HR Track 4 HER-TSA'!F10</f>
        <v>-8741.2587412480661</v>
      </c>
      <c r="G92" s="500"/>
      <c r="H92" s="501" t="str">
        <f>'HR Track 4 HER-TSA'!I10</f>
        <v>IO AnRW</v>
      </c>
      <c r="I92" s="583"/>
      <c r="J92" s="452"/>
      <c r="K92" s="452" t="str">
        <f>'HR Track 4 HER-TSA'!L10</f>
        <v>2HEB-240L</v>
      </c>
      <c r="L92" s="452" t="str">
        <f>'HR Track 4 HER-TSA'!M10</f>
        <v>2C3R</v>
      </c>
      <c r="M92" s="501" t="str">
        <f>'HR Track 4 HER-TSA'!N10</f>
        <v>EMT-E</v>
      </c>
      <c r="N92" s="501" t="str">
        <f>'HR Track 4 HER-TSA'!O10</f>
        <v>EMT-T</v>
      </c>
      <c r="O92" s="501"/>
      <c r="P92" s="452">
        <f>'HR Track 4 HER-TSA'!Q10</f>
        <v>0</v>
      </c>
      <c r="Q92" s="452">
        <f>'HR Track 4 HER-TSA'!R10</f>
        <v>0</v>
      </c>
      <c r="R92" s="500">
        <f>'HR Track 4 HER-TSA'!S10</f>
        <v>0</v>
      </c>
      <c r="S92" s="452">
        <f>'HR Track 4 HER-TSA'!T10</f>
        <v>-10</v>
      </c>
      <c r="T92" s="452">
        <f>'HR Track 4 HER-TSA'!U10</f>
        <v>-55</v>
      </c>
      <c r="U92" s="452"/>
      <c r="V92" s="452">
        <f>'HR Track 4 HER-TSA'!W10</f>
        <v>1.4</v>
      </c>
      <c r="W92" s="452">
        <f>'HR Track 4 HER-TSA'!X10</f>
        <v>2.2999999999999998</v>
      </c>
      <c r="X92" s="452"/>
      <c r="Y92" s="452"/>
      <c r="Z92" s="452">
        <f>'HR Track 4 HER-TSA'!AA10</f>
        <v>0.45</v>
      </c>
      <c r="AA92" s="452"/>
      <c r="AB92" s="452" t="str">
        <f>'HR Track 4 HER-TSA'!AC10</f>
        <v>PH-1150</v>
      </c>
      <c r="AC92" s="452">
        <f>'HR Track 4 HER-TSA'!AD10</f>
        <v>0</v>
      </c>
      <c r="AD92" s="452">
        <f>'HR Track 4 HER-TSA'!AE10</f>
        <v>0</v>
      </c>
      <c r="AE92" s="452">
        <f>'HR Track 4 HER-TSA'!AF10</f>
        <v>6000</v>
      </c>
      <c r="AF92" s="451">
        <f>'HR Track 4 HER-TSA'!AG10</f>
        <v>85165</v>
      </c>
      <c r="AG92" s="452">
        <f>'HR Track 4 HER-TSA'!AH10</f>
        <v>1973</v>
      </c>
      <c r="AH92" s="452">
        <f>'HR Track 4 HER-TSA'!AI10</f>
        <v>520</v>
      </c>
      <c r="AI92" s="452"/>
      <c r="AJ92" s="452"/>
      <c r="AK92" s="452"/>
      <c r="AL92" s="452" t="str">
        <f>'HR Track 4 HER-TSA'!AM10</f>
        <v>RW1</v>
      </c>
      <c r="AM92" s="500">
        <f>'HR Track 4 HER-TSA'!AN10</f>
        <v>5.5</v>
      </c>
      <c r="AN92" s="452">
        <f>'HR Track 4 HER-TSA'!AO10</f>
        <v>0</v>
      </c>
      <c r="AO92" s="452">
        <f>'HR Track 4 HER-TSA'!AP10</f>
        <v>0</v>
      </c>
      <c r="AP92" s="452"/>
      <c r="AQ92" s="452">
        <f>'HR Track 4 HER-TSA'!AR10</f>
        <v>0</v>
      </c>
      <c r="AR92" s="452">
        <f>'HR Track 4 HER-TSA'!AS10</f>
        <v>0</v>
      </c>
      <c r="AS92" s="452">
        <f>'HR Track 4 HER-TSA'!AT10</f>
        <v>-12.362912778162917</v>
      </c>
      <c r="AT92" s="452">
        <f>'HR Track 4 HER-TSA'!AU10</f>
        <v>0</v>
      </c>
      <c r="AU92" s="452">
        <f>'HR Track 4 HER-TSA'!AV10</f>
        <v>0</v>
      </c>
      <c r="AV92" s="452" t="str">
        <f>'HR Track 4 HER-TSA'!AW10</f>
        <v>Soil B</v>
      </c>
      <c r="AW92" s="452" t="str">
        <f>'HR Track 4 HER-TSA'!AX10</f>
        <v>PT</v>
      </c>
      <c r="AX92" s="500">
        <f>'HR Track 4 HER-TSA'!AY10</f>
        <v>3.5</v>
      </c>
      <c r="AY92" s="500"/>
      <c r="AZ92" s="1333" t="str">
        <f>'HR Track 4 HER-TSA'!BA10</f>
        <v>ü</v>
      </c>
      <c r="BA92" s="452" t="str">
        <f>'HR Track 4 HER-TSA'!BB10</f>
        <v>App.7.1-V01-P9.5.1.5</v>
      </c>
      <c r="BB92" s="1334">
        <f>'HR Track 4 HER-TSA'!BC10</f>
        <v>0</v>
      </c>
      <c r="BC92" s="1335">
        <f>'HR Track 4 HER-TSA'!BD10</f>
        <v>0</v>
      </c>
      <c r="BD92" s="1335">
        <f>'HR Track 4 HER-TSA'!BE10</f>
        <v>0</v>
      </c>
      <c r="BE92" s="1335">
        <f>'HR Track 4 HER-TSA'!BF10</f>
        <v>0</v>
      </c>
      <c r="BF92" s="1335">
        <f>'HR Track 4 HER-TSA'!BG10</f>
        <v>0</v>
      </c>
    </row>
    <row r="93" spans="1:58" ht="15.75" customHeight="1">
      <c r="A93" s="501"/>
      <c r="B93" s="716">
        <f>'HR Track 4 HER-TSA'!B11</f>
        <v>0</v>
      </c>
      <c r="C93" s="451">
        <f>'HR Track 4 HER-TSA'!C11</f>
        <v>0</v>
      </c>
      <c r="D93" s="453">
        <f>'HR Track 4 HER-TSA'!D11</f>
        <v>0</v>
      </c>
      <c r="E93" s="452">
        <f>'HR Track 4 HER-TSA'!E11</f>
        <v>0</v>
      </c>
      <c r="F93" s="453">
        <f>'HR Track 4 HER-TSA'!F11</f>
        <v>0</v>
      </c>
      <c r="G93" s="500"/>
      <c r="H93" s="501">
        <f>'HR Track 4 HER-TSA'!I11</f>
        <v>0</v>
      </c>
      <c r="I93" s="583"/>
      <c r="J93" s="452"/>
      <c r="K93" s="452">
        <f>'HR Track 4 HER-TSA'!L11</f>
        <v>0</v>
      </c>
      <c r="L93" s="452">
        <f>'HR Track 4 HER-TSA'!M11</f>
        <v>0</v>
      </c>
      <c r="M93" s="501">
        <f>'HR Track 4 HER-TSA'!N11</f>
        <v>0</v>
      </c>
      <c r="N93" s="501">
        <f>'HR Track 4 HER-TSA'!O11</f>
        <v>0</v>
      </c>
      <c r="O93" s="501"/>
      <c r="P93" s="452">
        <f>'HR Track 4 HER-TSA'!Q11</f>
        <v>0</v>
      </c>
      <c r="Q93" s="452">
        <f>'HR Track 4 HER-TSA'!R11</f>
        <v>0</v>
      </c>
      <c r="R93" s="500">
        <f>'HR Track 4 HER-TSA'!S11</f>
        <v>50</v>
      </c>
      <c r="S93" s="452">
        <f>'HR Track 4 HER-TSA'!T11</f>
        <v>0</v>
      </c>
      <c r="T93" s="452">
        <f>'HR Track 4 HER-TSA'!U11</f>
        <v>0</v>
      </c>
      <c r="U93" s="452"/>
      <c r="V93" s="452">
        <f>'HR Track 4 HER-TSA'!W11</f>
        <v>0</v>
      </c>
      <c r="W93" s="452">
        <f>'HR Track 4 HER-TSA'!X11</f>
        <v>0</v>
      </c>
      <c r="X93" s="452"/>
      <c r="Y93" s="452"/>
      <c r="Z93" s="452">
        <f>'HR Track 4 HER-TSA'!AA11</f>
        <v>0</v>
      </c>
      <c r="AA93" s="452"/>
      <c r="AB93" s="452">
        <f>'HR Track 4 HER-TSA'!AC11</f>
        <v>0</v>
      </c>
      <c r="AC93" s="452">
        <f>'HR Track 4 HER-TSA'!AD11</f>
        <v>0</v>
      </c>
      <c r="AD93" s="452">
        <f>'HR Track 4 HER-TSA'!AE11</f>
        <v>0</v>
      </c>
      <c r="AE93" s="452">
        <f>'HR Track 4 HER-TSA'!AF11</f>
        <v>0</v>
      </c>
      <c r="AF93" s="451">
        <f>'HR Track 4 HER-TSA'!AG11</f>
        <v>0</v>
      </c>
      <c r="AG93" s="452">
        <f>'HR Track 4 HER-TSA'!AH11</f>
        <v>0</v>
      </c>
      <c r="AH93" s="452">
        <f>'HR Track 4 HER-TSA'!AI11</f>
        <v>0</v>
      </c>
      <c r="AI93" s="452"/>
      <c r="AJ93" s="452"/>
      <c r="AK93" s="452"/>
      <c r="AL93" s="452">
        <f>'HR Track 4 HER-TSA'!AM11</f>
        <v>0</v>
      </c>
      <c r="AM93" s="500">
        <f>'HR Track 4 HER-TSA'!AN11</f>
        <v>0</v>
      </c>
      <c r="AN93" s="452">
        <f>'HR Track 4 HER-TSA'!AO11</f>
        <v>0</v>
      </c>
      <c r="AO93" s="452">
        <f>'HR Track 4 HER-TSA'!AP11</f>
        <v>0</v>
      </c>
      <c r="AP93" s="452"/>
      <c r="AQ93" s="452">
        <f>'HR Track 4 HER-TSA'!AR11</f>
        <v>0</v>
      </c>
      <c r="AR93" s="452">
        <f>'HR Track 4 HER-TSA'!AS11</f>
        <v>0</v>
      </c>
      <c r="AS93" s="452">
        <f>'HR Track 4 HER-TSA'!AT11</f>
        <v>0</v>
      </c>
      <c r="AT93" s="452">
        <f>'HR Track 4 HER-TSA'!AU11</f>
        <v>0</v>
      </c>
      <c r="AU93" s="452">
        <f>'HR Track 4 HER-TSA'!AV11</f>
        <v>0</v>
      </c>
      <c r="AV93" s="452" t="str">
        <f>'HR Track 4 HER-TSA'!AW11</f>
        <v>Soil B</v>
      </c>
      <c r="AW93" s="452" t="str">
        <f>'HR Track 4 HER-TSA'!AX11</f>
        <v>PT</v>
      </c>
      <c r="AX93" s="500">
        <f>'HR Track 4 HER-TSA'!AY11</f>
        <v>0</v>
      </c>
      <c r="AY93" s="500"/>
      <c r="AZ93" s="1333" t="str">
        <f>'HR Track 4 HER-TSA'!BA11</f>
        <v>ü</v>
      </c>
      <c r="BA93" s="452">
        <f>'HR Track 4 HER-TSA'!BB11</f>
        <v>0</v>
      </c>
      <c r="BB93" s="1334">
        <f>'HR Track 4 HER-TSA'!BC11</f>
        <v>0</v>
      </c>
      <c r="BC93" s="1335">
        <f>'HR Track 4 HER-TSA'!BD11</f>
        <v>0</v>
      </c>
      <c r="BD93" s="1335">
        <f>'HR Track 4 HER-TSA'!BE11</f>
        <v>0</v>
      </c>
      <c r="BE93" s="1335">
        <f>'HR Track 4 HER-TSA'!BF11</f>
        <v>0</v>
      </c>
      <c r="BF93" s="1335">
        <f>'HR Track 4 HER-TSA'!BG11</f>
        <v>0</v>
      </c>
    </row>
    <row r="94" spans="1:58" ht="15.75" customHeight="1">
      <c r="A94" s="501"/>
      <c r="B94" s="716" t="str">
        <f>'HR Track 4 HER-TSA'!B12</f>
        <v>85-4.05</v>
      </c>
      <c r="C94" s="451">
        <f>'HR Track 4 HER-TSA'!C12</f>
        <v>85215.57</v>
      </c>
      <c r="D94" s="453">
        <f>'HR Track 4 HER-TSA'!D12</f>
        <v>0</v>
      </c>
      <c r="E94" s="452">
        <f>'HR Track 4 HER-TSA'!E12</f>
        <v>0</v>
      </c>
      <c r="F94" s="453">
        <f>'HR Track 4 HER-TSA'!F12</f>
        <v>-2500</v>
      </c>
      <c r="G94" s="500"/>
      <c r="H94" s="501" t="str">
        <f>'HR Track 4 HER-TSA'!I12</f>
        <v>CP+AnMC</v>
      </c>
      <c r="I94" s="583"/>
      <c r="J94" s="452"/>
      <c r="K94" s="452" t="str">
        <f>'HR Track 4 HER-TSA'!L12</f>
        <v>HEB-300L</v>
      </c>
      <c r="L94" s="452" t="str">
        <f>'HR Track 4 HER-TSA'!M12</f>
        <v>C7R</v>
      </c>
      <c r="M94" s="501" t="str">
        <f>'HR Track 4 HER-TSA'!N12</f>
        <v>EMT-2</v>
      </c>
      <c r="N94" s="501">
        <f>'HR Track 4 HER-TSA'!O12</f>
        <v>0</v>
      </c>
      <c r="O94" s="501"/>
      <c r="P94" s="452">
        <f>'HR Track 4 HER-TSA'!Q12</f>
        <v>50</v>
      </c>
      <c r="Q94" s="452">
        <f>'HR Track 4 HER-TSA'!R12</f>
        <v>-2500</v>
      </c>
      <c r="R94" s="500">
        <f>'HR Track 4 HER-TSA'!S12</f>
        <v>0</v>
      </c>
      <c r="S94" s="452">
        <f>'HR Track 4 HER-TSA'!T12</f>
        <v>30</v>
      </c>
      <c r="T94" s="452">
        <f>'HR Track 4 HER-TSA'!U12</f>
        <v>0</v>
      </c>
      <c r="U94" s="452"/>
      <c r="V94" s="452">
        <f>'HR Track 4 HER-TSA'!W12</f>
        <v>1.4</v>
      </c>
      <c r="W94" s="452">
        <f>'HR Track 4 HER-TSA'!X12</f>
        <v>0</v>
      </c>
      <c r="X94" s="452"/>
      <c r="Y94" s="452"/>
      <c r="Z94" s="452">
        <f>'HR Track 4 HER-TSA'!AA12</f>
        <v>0</v>
      </c>
      <c r="AA94" s="452"/>
      <c r="AB94" s="452" t="str">
        <f>'HR Track 4 HER-TSA'!AC12</f>
        <v>PHQ-1150</v>
      </c>
      <c r="AC94" s="452">
        <f>'HR Track 4 HER-TSA'!AD12</f>
        <v>0</v>
      </c>
      <c r="AD94" s="452">
        <f>'HR Track 4 HER-TSA'!AE12</f>
        <v>0</v>
      </c>
      <c r="AE94" s="452">
        <f>'HR Track 4 HER-TSA'!AF12</f>
        <v>6000</v>
      </c>
      <c r="AF94" s="451">
        <f>'HR Track 4 HER-TSA'!AG12</f>
        <v>85215</v>
      </c>
      <c r="AG94" s="452">
        <f>'HR Track 4 HER-TSA'!AH12</f>
        <v>1903</v>
      </c>
      <c r="AH94" s="452">
        <f>'HR Track 4 HER-TSA'!AI12</f>
        <v>500</v>
      </c>
      <c r="AI94" s="452"/>
      <c r="AJ94" s="452"/>
      <c r="AK94" s="452"/>
      <c r="AL94" s="452" t="str">
        <f>'HR Track 4 HER-TSA'!AM12</f>
        <v>RW1</v>
      </c>
      <c r="AM94" s="500">
        <f>'HR Track 4 HER-TSA'!AN12</f>
        <v>5.5</v>
      </c>
      <c r="AN94" s="452">
        <f>'HR Track 4 HER-TSA'!AO12</f>
        <v>0</v>
      </c>
      <c r="AO94" s="452">
        <f>'HR Track 4 HER-TSA'!AP12</f>
        <v>0</v>
      </c>
      <c r="AP94" s="452"/>
      <c r="AQ94" s="452">
        <f>'HR Track 4 HER-TSA'!AR12</f>
        <v>0</v>
      </c>
      <c r="AR94" s="452">
        <f>'HR Track 4 HER-TSA'!AS12</f>
        <v>0</v>
      </c>
      <c r="AS94" s="452">
        <f>'HR Track 4 HER-TSA'!AT12</f>
        <v>6.2859282074020211</v>
      </c>
      <c r="AT94" s="452">
        <f>'HR Track 4 HER-TSA'!AU12</f>
        <v>0</v>
      </c>
      <c r="AU94" s="452">
        <f>'HR Track 4 HER-TSA'!AV12</f>
        <v>0</v>
      </c>
      <c r="AV94" s="452" t="str">
        <f>'HR Track 4 HER-TSA'!AW12</f>
        <v>Soil B</v>
      </c>
      <c r="AW94" s="452" t="str">
        <f>'HR Track 4 HER-TSA'!AX12</f>
        <v>PT</v>
      </c>
      <c r="AX94" s="500">
        <f>'HR Track 4 HER-TSA'!AY12</f>
        <v>3.5</v>
      </c>
      <c r="AY94" s="500"/>
      <c r="AZ94" s="1333" t="str">
        <f>'HR Track 4 HER-TSA'!BA12</f>
        <v>ü</v>
      </c>
      <c r="BA94" s="452" t="str">
        <f>'HR Track 4 HER-TSA'!BB12</f>
        <v>App.8-V08F-P10.3</v>
      </c>
      <c r="BB94" s="1334">
        <f>'HR Track 4 HER-TSA'!BC12</f>
        <v>0</v>
      </c>
      <c r="BC94" s="1335">
        <f>'HR Track 4 HER-TSA'!BD12</f>
        <v>0</v>
      </c>
      <c r="BD94" s="1335">
        <f>'HR Track 4 HER-TSA'!BE12</f>
        <v>0</v>
      </c>
      <c r="BE94" s="1335">
        <f>'HR Track 4 HER-TSA'!BF12</f>
        <v>0</v>
      </c>
      <c r="BF94" s="1335">
        <f>'HR Track 4 HER-TSA'!BG12</f>
        <v>0</v>
      </c>
    </row>
    <row r="95" spans="1:58" ht="15.75" customHeight="1">
      <c r="B95" s="175"/>
      <c r="C95" s="617"/>
      <c r="D95" s="175"/>
      <c r="E95" s="177"/>
      <c r="F95" s="177"/>
      <c r="G95" s="458"/>
      <c r="J95" s="169"/>
      <c r="K95" s="169"/>
      <c r="L95" s="169"/>
      <c r="P95" s="169"/>
      <c r="Q95" s="169"/>
      <c r="R95" s="458"/>
      <c r="S95" s="169"/>
      <c r="T95" s="169"/>
      <c r="U95" s="169"/>
      <c r="V95" s="169"/>
      <c r="W95" s="169"/>
      <c r="X95" s="169"/>
      <c r="Y95" s="169"/>
      <c r="Z95" s="169"/>
      <c r="AA95" s="169"/>
      <c r="AB95" s="169"/>
      <c r="AC95" s="169"/>
      <c r="AD95" s="169"/>
      <c r="AE95" s="169"/>
      <c r="AF95" s="617"/>
      <c r="AG95" s="169"/>
      <c r="AH95" s="169"/>
      <c r="AI95" s="169"/>
      <c r="AJ95" s="169"/>
      <c r="AK95" s="169"/>
      <c r="AL95" s="169"/>
      <c r="AM95" s="454"/>
      <c r="AN95" s="178"/>
      <c r="AO95" s="178"/>
      <c r="AZ95" s="1305"/>
      <c r="BB95" s="169"/>
    </row>
    <row r="96" spans="1:58" ht="15.75" customHeight="1">
      <c r="B96" s="175"/>
      <c r="C96" s="617"/>
      <c r="D96" s="175"/>
      <c r="E96" s="177"/>
      <c r="F96" s="177"/>
      <c r="G96" s="458"/>
      <c r="J96" s="169"/>
      <c r="K96" s="169"/>
      <c r="L96" s="169"/>
      <c r="M96" s="169"/>
      <c r="N96" s="682"/>
      <c r="P96" s="169"/>
      <c r="Q96" s="169"/>
      <c r="R96" s="458"/>
      <c r="S96" s="169"/>
      <c r="T96" s="169"/>
      <c r="U96" s="169"/>
      <c r="V96" s="169"/>
      <c r="W96" s="169"/>
      <c r="X96" s="169"/>
      <c r="Y96" s="169"/>
      <c r="Z96" s="169"/>
      <c r="AA96" s="169"/>
      <c r="AB96" s="169"/>
      <c r="AC96" s="169"/>
      <c r="AD96" s="169"/>
      <c r="AE96" s="169"/>
      <c r="AF96" s="617"/>
      <c r="AG96" s="169"/>
      <c r="AH96" s="169"/>
      <c r="AI96" s="169"/>
      <c r="AJ96" s="169"/>
      <c r="AK96" s="169"/>
      <c r="AL96" s="169"/>
      <c r="AM96" s="454"/>
      <c r="AN96" s="178"/>
      <c r="AO96" s="178"/>
      <c r="AZ96" s="1305"/>
      <c r="BB96" s="169"/>
    </row>
    <row r="97" spans="2:54" ht="15.75" customHeight="1">
      <c r="B97" s="175"/>
      <c r="C97" s="617"/>
      <c r="D97" s="175"/>
      <c r="E97" s="177"/>
      <c r="F97" s="177"/>
      <c r="G97" s="458"/>
      <c r="J97" s="169"/>
      <c r="K97" s="169"/>
      <c r="L97" s="169"/>
      <c r="P97" s="169"/>
      <c r="Q97" s="169"/>
      <c r="R97" s="458"/>
      <c r="S97" s="169"/>
      <c r="T97" s="169"/>
      <c r="U97" s="169"/>
      <c r="V97" s="169"/>
      <c r="W97" s="169"/>
      <c r="X97" s="169"/>
      <c r="Y97" s="169"/>
      <c r="Z97" s="169"/>
      <c r="AA97" s="169"/>
      <c r="AB97" s="169"/>
      <c r="AC97" s="169"/>
      <c r="AD97" s="169"/>
      <c r="AE97" s="169"/>
      <c r="AF97" s="617"/>
      <c r="AG97" s="169"/>
      <c r="AH97" s="169"/>
      <c r="AI97" s="169"/>
      <c r="AJ97" s="169"/>
      <c r="AK97" s="169"/>
      <c r="AL97" s="169"/>
      <c r="AM97" s="454"/>
      <c r="AN97" s="178"/>
      <c r="AO97" s="178"/>
      <c r="AZ97" s="1305"/>
      <c r="BB97" s="169"/>
    </row>
    <row r="98" spans="2:54" ht="15.75" customHeight="1">
      <c r="B98" s="175"/>
      <c r="C98" s="617"/>
      <c r="D98" s="175"/>
      <c r="E98" s="177"/>
      <c r="F98" s="177"/>
      <c r="G98" s="458"/>
      <c r="J98" s="169"/>
      <c r="K98" s="169"/>
      <c r="L98" s="169"/>
      <c r="P98" s="169"/>
      <c r="Q98" s="169"/>
      <c r="R98" s="458"/>
      <c r="S98" s="169"/>
      <c r="T98" s="169"/>
      <c r="U98" s="169"/>
      <c r="V98" s="169"/>
      <c r="W98" s="169"/>
      <c r="X98" s="169"/>
      <c r="Y98" s="169"/>
      <c r="Z98" s="169"/>
      <c r="AA98" s="169"/>
      <c r="AB98" s="169"/>
      <c r="AC98" s="169"/>
      <c r="AD98" s="169"/>
      <c r="AE98" s="169"/>
      <c r="AF98" s="617"/>
      <c r="AG98" s="169"/>
      <c r="AH98" s="169"/>
      <c r="AI98" s="169"/>
      <c r="AJ98" s="169"/>
      <c r="AK98" s="169"/>
      <c r="AL98" s="169"/>
      <c r="AM98" s="454"/>
      <c r="AN98" s="178"/>
      <c r="AO98" s="178"/>
      <c r="AZ98" s="1305"/>
      <c r="BB98" s="169"/>
    </row>
    <row r="99" spans="2:54" ht="15.75" customHeight="1">
      <c r="B99" s="175"/>
      <c r="C99" s="617"/>
      <c r="D99" s="175"/>
      <c r="E99" s="177"/>
      <c r="F99" s="177"/>
      <c r="G99" s="458"/>
      <c r="J99" s="169"/>
      <c r="K99" s="169"/>
      <c r="L99" s="169"/>
      <c r="P99" s="169"/>
      <c r="Q99" s="169"/>
      <c r="R99" s="458"/>
      <c r="S99" s="169"/>
      <c r="T99" s="169"/>
      <c r="U99" s="169"/>
      <c r="V99" s="169"/>
      <c r="W99" s="169"/>
      <c r="X99" s="169"/>
      <c r="Y99" s="169"/>
      <c r="Z99" s="169"/>
      <c r="AA99" s="169"/>
      <c r="AB99" s="169"/>
      <c r="AC99" s="169"/>
      <c r="AD99" s="169"/>
      <c r="AE99" s="169"/>
      <c r="AF99" s="617"/>
      <c r="AG99" s="169"/>
      <c r="AH99" s="169"/>
      <c r="AI99" s="169"/>
      <c r="AJ99" s="169"/>
      <c r="AK99" s="169"/>
      <c r="AL99" s="169"/>
      <c r="AM99" s="454"/>
      <c r="AN99" s="178"/>
      <c r="AO99" s="178"/>
      <c r="AZ99" s="1305"/>
      <c r="BB99" s="169"/>
    </row>
    <row r="100" spans="2:54" ht="15.75" customHeight="1">
      <c r="B100" s="175"/>
      <c r="C100" s="617"/>
      <c r="D100" s="175"/>
      <c r="E100" s="177"/>
      <c r="F100" s="177"/>
      <c r="G100" s="458"/>
      <c r="J100" s="169"/>
      <c r="K100" s="169"/>
      <c r="L100" s="169"/>
      <c r="P100" s="169"/>
      <c r="Q100" s="169"/>
      <c r="R100" s="458"/>
      <c r="S100" s="169"/>
      <c r="T100" s="169"/>
      <c r="U100" s="169"/>
      <c r="V100" s="169"/>
      <c r="W100" s="169"/>
      <c r="X100" s="169"/>
      <c r="Y100" s="169"/>
      <c r="Z100" s="169"/>
      <c r="AA100" s="169"/>
      <c r="AB100" s="169"/>
      <c r="AC100" s="169"/>
      <c r="AD100" s="169"/>
      <c r="AE100" s="169"/>
      <c r="AF100" s="617"/>
      <c r="AG100" s="169"/>
      <c r="AH100" s="169"/>
      <c r="AI100" s="169"/>
      <c r="AJ100" s="169"/>
      <c r="AK100" s="169"/>
      <c r="AL100" s="169"/>
      <c r="AM100" s="454"/>
      <c r="AN100" s="178"/>
      <c r="AO100" s="178"/>
      <c r="AZ100" s="1305"/>
      <c r="BB100" s="169"/>
    </row>
    <row r="101" spans="2:54" ht="15.75" customHeight="1">
      <c r="B101" s="175"/>
      <c r="C101" s="617"/>
      <c r="D101" s="175"/>
      <c r="E101" s="177"/>
      <c r="F101" s="177"/>
      <c r="G101" s="458"/>
      <c r="H101" s="177"/>
      <c r="J101" s="169"/>
      <c r="K101" s="169"/>
      <c r="L101" s="169"/>
      <c r="P101" s="169"/>
      <c r="Q101" s="169"/>
      <c r="R101" s="458"/>
      <c r="S101" s="169"/>
      <c r="T101" s="169"/>
      <c r="U101" s="169"/>
      <c r="V101" s="169"/>
      <c r="W101" s="169"/>
      <c r="X101" s="169"/>
      <c r="Y101" s="169"/>
      <c r="Z101" s="169"/>
      <c r="AA101" s="169"/>
      <c r="AB101" s="169"/>
      <c r="AC101" s="169"/>
      <c r="AD101" s="169"/>
      <c r="AE101" s="169"/>
      <c r="AF101" s="617"/>
      <c r="AG101" s="169"/>
      <c r="AH101" s="169"/>
      <c r="AI101" s="169"/>
      <c r="AJ101" s="169"/>
      <c r="AK101" s="169"/>
      <c r="AL101" s="169"/>
      <c r="AM101" s="454"/>
      <c r="AN101" s="178"/>
      <c r="AO101" s="178"/>
      <c r="AZ101" s="1305"/>
      <c r="BB101" s="169"/>
    </row>
    <row r="102" spans="2:54" ht="15.75" customHeight="1">
      <c r="B102" s="175"/>
      <c r="C102" s="617"/>
      <c r="D102" s="175"/>
      <c r="E102" s="177"/>
      <c r="F102" s="177"/>
      <c r="G102" s="458"/>
      <c r="J102" s="169"/>
      <c r="K102" s="169"/>
      <c r="L102" s="169"/>
      <c r="M102" s="169"/>
      <c r="P102" s="169"/>
      <c r="Q102" s="169"/>
      <c r="R102" s="458"/>
      <c r="S102" s="169"/>
      <c r="T102" s="169"/>
      <c r="U102" s="169"/>
      <c r="V102" s="169"/>
      <c r="W102" s="169"/>
      <c r="X102" s="169"/>
      <c r="Y102" s="169"/>
      <c r="Z102" s="169"/>
      <c r="AA102" s="169"/>
      <c r="AB102" s="169"/>
      <c r="AC102" s="169"/>
      <c r="AD102" s="169"/>
      <c r="AE102" s="169"/>
      <c r="AF102" s="617"/>
      <c r="AG102" s="169"/>
      <c r="AH102" s="169"/>
      <c r="AI102" s="169"/>
      <c r="AJ102" s="169"/>
      <c r="AK102" s="169"/>
      <c r="AL102" s="169"/>
      <c r="AM102" s="454"/>
      <c r="AN102" s="178"/>
      <c r="AO102" s="178"/>
      <c r="AZ102" s="1305"/>
      <c r="BB102" s="169"/>
    </row>
    <row r="103" spans="2:54" ht="15.75" customHeight="1">
      <c r="B103" s="175"/>
      <c r="C103" s="617"/>
      <c r="D103" s="177"/>
      <c r="E103" s="169"/>
      <c r="F103" s="177"/>
      <c r="G103" s="458"/>
      <c r="J103" s="169"/>
      <c r="K103" s="169"/>
      <c r="L103" s="169"/>
      <c r="P103" s="169"/>
      <c r="Q103" s="169"/>
      <c r="R103" s="458"/>
      <c r="S103" s="169"/>
      <c r="T103" s="169"/>
      <c r="U103" s="169"/>
      <c r="V103" s="169"/>
      <c r="W103" s="169"/>
      <c r="X103" s="169"/>
      <c r="Y103" s="169"/>
      <c r="Z103" s="169"/>
      <c r="AA103" s="169"/>
      <c r="AB103" s="169"/>
      <c r="AC103" s="169"/>
      <c r="AD103" s="169"/>
      <c r="AE103" s="169"/>
      <c r="AF103" s="617"/>
      <c r="AG103" s="169"/>
      <c r="AH103" s="169"/>
      <c r="AI103" s="169"/>
      <c r="AJ103" s="169"/>
      <c r="AK103" s="169"/>
      <c r="AL103" s="169"/>
      <c r="AM103" s="454"/>
      <c r="AN103" s="178"/>
      <c r="AO103" s="178"/>
      <c r="AZ103" s="1305"/>
      <c r="BB103" s="169"/>
    </row>
    <row r="104" spans="2:54" ht="15.75" customHeight="1">
      <c r="B104" s="175"/>
      <c r="C104" s="617"/>
      <c r="D104" s="177"/>
      <c r="E104" s="169"/>
      <c r="F104" s="177"/>
      <c r="G104" s="458"/>
      <c r="J104" s="169"/>
      <c r="K104" s="169"/>
      <c r="L104" s="169"/>
      <c r="P104" s="169"/>
      <c r="Q104" s="169"/>
      <c r="R104" s="458"/>
      <c r="S104" s="169"/>
      <c r="T104" s="169"/>
      <c r="U104" s="169"/>
      <c r="V104" s="169"/>
      <c r="W104" s="169"/>
      <c r="X104" s="169"/>
      <c r="Y104" s="169"/>
      <c r="Z104" s="169"/>
      <c r="AA104" s="169"/>
      <c r="AB104" s="169"/>
      <c r="AC104" s="169"/>
      <c r="AD104" s="169"/>
      <c r="AE104" s="169"/>
      <c r="AF104" s="617"/>
      <c r="AG104" s="169"/>
      <c r="AH104" s="169"/>
      <c r="AI104" s="169"/>
      <c r="AJ104" s="169"/>
      <c r="AK104" s="169"/>
      <c r="AL104" s="169"/>
      <c r="AM104" s="454"/>
      <c r="AN104" s="178"/>
      <c r="AO104" s="178"/>
      <c r="AZ104" s="1305"/>
      <c r="BB104" s="169"/>
    </row>
    <row r="105" spans="2:54" ht="15.75" customHeight="1">
      <c r="B105" s="175"/>
      <c r="C105" s="617"/>
      <c r="D105" s="177"/>
      <c r="E105" s="169"/>
      <c r="F105" s="177"/>
      <c r="G105" s="458"/>
      <c r="J105" s="169"/>
      <c r="K105" s="169"/>
      <c r="L105" s="169"/>
      <c r="P105" s="169"/>
      <c r="Q105" s="169"/>
      <c r="R105" s="458"/>
      <c r="S105" s="169"/>
      <c r="T105" s="169"/>
      <c r="U105" s="169"/>
      <c r="V105" s="169"/>
      <c r="W105" s="169"/>
      <c r="X105" s="169"/>
      <c r="Y105" s="169"/>
      <c r="Z105" s="169"/>
      <c r="AA105" s="169"/>
      <c r="AB105" s="169"/>
      <c r="AC105" s="169"/>
      <c r="AD105" s="169"/>
      <c r="AE105" s="169"/>
      <c r="AF105" s="617"/>
      <c r="AG105" s="169"/>
      <c r="AH105" s="169"/>
      <c r="AI105" s="169"/>
      <c r="AJ105" s="169"/>
      <c r="AK105" s="169"/>
      <c r="AL105" s="169"/>
      <c r="AM105" s="454"/>
      <c r="AN105" s="178"/>
      <c r="AO105" s="178"/>
      <c r="AZ105" s="1305"/>
      <c r="BB105" s="169"/>
    </row>
    <row r="106" spans="2:54" ht="15.75" customHeight="1">
      <c r="B106" s="175"/>
      <c r="C106" s="617"/>
      <c r="D106" s="177"/>
      <c r="E106" s="169"/>
      <c r="F106" s="177"/>
      <c r="G106" s="458"/>
      <c r="J106" s="169"/>
      <c r="K106" s="169"/>
      <c r="L106" s="169"/>
      <c r="P106" s="169"/>
      <c r="Q106" s="169"/>
      <c r="R106" s="458"/>
      <c r="S106" s="169"/>
      <c r="T106" s="169"/>
      <c r="U106" s="169"/>
      <c r="V106" s="169"/>
      <c r="W106" s="169"/>
      <c r="X106" s="169"/>
      <c r="Y106" s="169"/>
      <c r="Z106" s="169"/>
      <c r="AA106" s="169"/>
      <c r="AB106" s="169"/>
      <c r="AC106" s="169"/>
      <c r="AD106" s="169"/>
      <c r="AE106" s="169"/>
      <c r="AF106" s="617"/>
      <c r="AG106" s="169"/>
      <c r="AH106" s="169"/>
      <c r="AI106" s="169"/>
      <c r="AJ106" s="169"/>
      <c r="AK106" s="169"/>
      <c r="AL106" s="169"/>
      <c r="AM106" s="454"/>
      <c r="AN106" s="178"/>
      <c r="AO106" s="178"/>
      <c r="AZ106" s="1305"/>
      <c r="BB106" s="169"/>
    </row>
    <row r="107" spans="2:54" ht="15.75" customHeight="1">
      <c r="B107" s="175"/>
      <c r="C107" s="617"/>
      <c r="D107" s="177"/>
      <c r="E107" s="169"/>
      <c r="F107" s="177"/>
      <c r="G107" s="458"/>
      <c r="J107" s="169"/>
      <c r="K107" s="169"/>
      <c r="L107" s="169"/>
      <c r="P107" s="169"/>
      <c r="Q107" s="169"/>
      <c r="R107" s="458"/>
      <c r="S107" s="169"/>
      <c r="T107" s="169"/>
      <c r="U107" s="169"/>
      <c r="V107" s="169"/>
      <c r="W107" s="169"/>
      <c r="X107" s="169"/>
      <c r="Y107" s="169"/>
      <c r="Z107" s="169"/>
      <c r="AA107" s="169"/>
      <c r="AB107" s="169"/>
      <c r="AC107" s="169"/>
      <c r="AD107" s="169"/>
      <c r="AE107" s="169"/>
      <c r="AF107" s="617"/>
      <c r="AG107" s="169"/>
      <c r="AH107" s="169"/>
      <c r="AI107" s="169"/>
      <c r="AJ107" s="169"/>
      <c r="AK107" s="169"/>
      <c r="AL107" s="169"/>
      <c r="AM107" s="454"/>
      <c r="AN107" s="178"/>
      <c r="AO107" s="178"/>
      <c r="AZ107" s="1305"/>
      <c r="BB107" s="169"/>
    </row>
    <row r="108" spans="2:54" ht="15.75" customHeight="1">
      <c r="B108" s="175"/>
      <c r="C108" s="617"/>
      <c r="D108" s="177"/>
      <c r="E108" s="169"/>
      <c r="F108" s="177"/>
      <c r="G108" s="458"/>
      <c r="J108" s="169"/>
      <c r="K108" s="169"/>
      <c r="L108" s="169"/>
      <c r="P108" s="169"/>
      <c r="Q108" s="169"/>
      <c r="R108" s="458"/>
      <c r="S108" s="169"/>
      <c r="T108" s="169"/>
      <c r="U108" s="169"/>
      <c r="V108" s="169"/>
      <c r="W108" s="169"/>
      <c r="X108" s="169"/>
      <c r="Y108" s="169"/>
      <c r="Z108" s="169"/>
      <c r="AA108" s="169"/>
      <c r="AB108" s="169"/>
      <c r="AC108" s="169"/>
      <c r="AD108" s="169"/>
      <c r="AE108" s="169"/>
      <c r="AF108" s="617"/>
      <c r="AG108" s="169"/>
      <c r="AH108" s="169"/>
      <c r="AI108" s="169"/>
      <c r="AJ108" s="169"/>
      <c r="AK108" s="169"/>
      <c r="AL108" s="169"/>
      <c r="AM108" s="454"/>
      <c r="AN108" s="178"/>
      <c r="AO108" s="178"/>
      <c r="AZ108" s="1305"/>
      <c r="BB108" s="169"/>
    </row>
    <row r="109" spans="2:54" ht="15.75" customHeight="1">
      <c r="B109" s="175"/>
      <c r="C109" s="617"/>
      <c r="D109" s="177"/>
      <c r="E109" s="169"/>
      <c r="F109" s="177"/>
      <c r="G109" s="458"/>
      <c r="J109" s="169"/>
      <c r="K109" s="169"/>
      <c r="L109" s="169"/>
      <c r="P109" s="169"/>
      <c r="Q109" s="169"/>
      <c r="R109" s="458"/>
      <c r="S109" s="169"/>
      <c r="T109" s="169"/>
      <c r="U109" s="169"/>
      <c r="V109" s="169"/>
      <c r="W109" s="169"/>
      <c r="X109" s="169"/>
      <c r="Y109" s="169"/>
      <c r="Z109" s="169"/>
      <c r="AA109" s="169"/>
      <c r="AB109" s="169"/>
      <c r="AC109" s="169"/>
      <c r="AD109" s="169"/>
      <c r="AE109" s="169"/>
      <c r="AF109" s="617"/>
      <c r="AG109" s="169"/>
      <c r="AH109" s="169"/>
      <c r="AI109" s="169"/>
      <c r="AJ109" s="169"/>
      <c r="AK109" s="169"/>
      <c r="AL109" s="169"/>
      <c r="AM109" s="454"/>
      <c r="AN109" s="178"/>
      <c r="AO109" s="178"/>
      <c r="AZ109" s="1305"/>
      <c r="BB109" s="169"/>
    </row>
    <row r="110" spans="2:54" ht="15.75" customHeight="1">
      <c r="B110" s="175"/>
      <c r="C110" s="617"/>
      <c r="D110" s="177"/>
      <c r="E110" s="169"/>
      <c r="F110" s="177"/>
      <c r="G110" s="458"/>
      <c r="J110" s="169"/>
      <c r="K110" s="169"/>
      <c r="L110" s="169"/>
      <c r="P110" s="169"/>
      <c r="Q110" s="169"/>
      <c r="R110" s="458"/>
      <c r="S110" s="169"/>
      <c r="T110" s="169"/>
      <c r="U110" s="169"/>
      <c r="V110" s="169"/>
      <c r="W110" s="169"/>
      <c r="X110" s="169"/>
      <c r="Y110" s="169"/>
      <c r="Z110" s="169"/>
      <c r="AA110" s="169"/>
      <c r="AB110" s="169"/>
      <c r="AC110" s="169"/>
      <c r="AD110" s="169"/>
      <c r="AE110" s="169"/>
      <c r="AF110" s="617"/>
      <c r="AG110" s="169"/>
      <c r="AH110" s="169"/>
      <c r="AI110" s="169"/>
      <c r="AJ110" s="169"/>
      <c r="AK110" s="169"/>
      <c r="AL110" s="169"/>
      <c r="AM110" s="454"/>
      <c r="AN110" s="178"/>
      <c r="AO110" s="178"/>
      <c r="AZ110" s="1305"/>
      <c r="BB110" s="169"/>
    </row>
    <row r="111" spans="2:54" ht="15.75" customHeight="1">
      <c r="B111" s="175"/>
      <c r="C111" s="617"/>
      <c r="D111" s="177"/>
      <c r="E111" s="169"/>
      <c r="F111" s="177"/>
      <c r="G111" s="458"/>
      <c r="J111" s="169"/>
      <c r="K111" s="169"/>
      <c r="L111" s="169"/>
      <c r="P111" s="169"/>
      <c r="Q111" s="169"/>
      <c r="R111" s="458"/>
      <c r="S111" s="169"/>
      <c r="T111" s="169"/>
      <c r="U111" s="169"/>
      <c r="V111" s="169"/>
      <c r="W111" s="169"/>
      <c r="X111" s="169"/>
      <c r="Y111" s="169"/>
      <c r="Z111" s="169"/>
      <c r="AA111" s="169"/>
      <c r="AB111" s="169"/>
      <c r="AC111" s="169"/>
      <c r="AD111" s="169"/>
      <c r="AE111" s="169"/>
      <c r="AF111" s="617"/>
      <c r="AG111" s="169"/>
      <c r="AH111" s="169"/>
      <c r="AI111" s="169"/>
      <c r="AJ111" s="169"/>
      <c r="AK111" s="169"/>
      <c r="AL111" s="169"/>
      <c r="AM111" s="454"/>
      <c r="AN111" s="178"/>
      <c r="AO111" s="178"/>
      <c r="AZ111" s="1305"/>
      <c r="BB111" s="169"/>
    </row>
    <row r="112" spans="2:54" ht="15.75" customHeight="1">
      <c r="B112" s="175"/>
      <c r="C112" s="617"/>
      <c r="D112" s="177"/>
      <c r="E112" s="169"/>
      <c r="F112" s="177"/>
      <c r="G112" s="458"/>
      <c r="J112" s="169"/>
      <c r="K112" s="169"/>
      <c r="L112" s="169"/>
      <c r="P112" s="169"/>
      <c r="Q112" s="169"/>
      <c r="R112" s="458"/>
      <c r="S112" s="169"/>
      <c r="T112" s="169"/>
      <c r="U112" s="169"/>
      <c r="V112" s="169"/>
      <c r="W112" s="169"/>
      <c r="X112" s="169"/>
      <c r="Y112" s="169"/>
      <c r="Z112" s="169"/>
      <c r="AA112" s="169"/>
      <c r="AB112" s="169"/>
      <c r="AC112" s="169"/>
      <c r="AD112" s="169"/>
      <c r="AE112" s="169"/>
      <c r="AF112" s="617"/>
      <c r="AG112" s="169"/>
      <c r="AH112" s="169"/>
      <c r="AI112" s="169"/>
      <c r="AJ112" s="169"/>
      <c r="AK112" s="169"/>
      <c r="AL112" s="169"/>
      <c r="AM112" s="454"/>
      <c r="AN112" s="178"/>
      <c r="AO112" s="178"/>
      <c r="AZ112" s="1305"/>
      <c r="BB112" s="169"/>
    </row>
    <row r="113" spans="2:54" ht="15.75" customHeight="1">
      <c r="B113" s="175"/>
      <c r="C113" s="617"/>
      <c r="D113" s="177"/>
      <c r="E113" s="169"/>
      <c r="F113" s="177"/>
      <c r="G113" s="458"/>
      <c r="J113" s="169"/>
      <c r="K113" s="169"/>
      <c r="L113" s="169"/>
      <c r="P113" s="169"/>
      <c r="Q113" s="169"/>
      <c r="R113" s="458"/>
      <c r="S113" s="169"/>
      <c r="T113" s="169"/>
      <c r="U113" s="169"/>
      <c r="V113" s="169"/>
      <c r="W113" s="169"/>
      <c r="X113" s="169"/>
      <c r="Y113" s="169"/>
      <c r="Z113" s="169"/>
      <c r="AA113" s="169"/>
      <c r="AB113" s="169"/>
      <c r="AC113" s="169"/>
      <c r="AD113" s="169"/>
      <c r="AE113" s="169"/>
      <c r="AF113" s="617"/>
      <c r="AG113" s="169"/>
      <c r="AH113" s="169"/>
      <c r="AI113" s="169"/>
      <c r="AJ113" s="169"/>
      <c r="AK113" s="169"/>
      <c r="AL113" s="169"/>
      <c r="AM113" s="454"/>
      <c r="AN113" s="178"/>
      <c r="AO113" s="178"/>
      <c r="AZ113" s="1305"/>
      <c r="BB113" s="169"/>
    </row>
    <row r="114" spans="2:54" ht="15.75" customHeight="1">
      <c r="B114" s="175"/>
      <c r="C114" s="617"/>
      <c r="D114" s="177"/>
      <c r="E114" s="169"/>
      <c r="F114" s="177"/>
      <c r="G114" s="458"/>
      <c r="J114" s="169"/>
      <c r="K114" s="169"/>
      <c r="L114" s="169"/>
      <c r="P114" s="169"/>
      <c r="Q114" s="169"/>
      <c r="R114" s="458"/>
      <c r="S114" s="169"/>
      <c r="T114" s="169"/>
      <c r="U114" s="169"/>
      <c r="V114" s="169"/>
      <c r="W114" s="169"/>
      <c r="X114" s="169"/>
      <c r="Y114" s="169"/>
      <c r="Z114" s="169"/>
      <c r="AA114" s="169"/>
      <c r="AB114" s="169"/>
      <c r="AC114" s="169"/>
      <c r="AD114" s="169"/>
      <c r="AE114" s="169"/>
      <c r="AF114" s="617"/>
      <c r="AG114" s="169"/>
      <c r="AH114" s="169"/>
      <c r="AI114" s="169"/>
      <c r="AJ114" s="169"/>
      <c r="AK114" s="169"/>
      <c r="AL114" s="169"/>
      <c r="AM114" s="454"/>
      <c r="AN114" s="178"/>
      <c r="AO114" s="178"/>
      <c r="AZ114" s="1305"/>
      <c r="BB114" s="169"/>
    </row>
    <row r="115" spans="2:54" ht="15.75" customHeight="1">
      <c r="B115" s="175"/>
      <c r="C115" s="617"/>
      <c r="D115" s="177"/>
      <c r="E115" s="169"/>
      <c r="F115" s="177"/>
      <c r="G115" s="458"/>
      <c r="J115" s="169"/>
      <c r="K115" s="169"/>
      <c r="L115" s="169"/>
      <c r="P115" s="169"/>
      <c r="Q115" s="169"/>
      <c r="R115" s="458"/>
      <c r="S115" s="169"/>
      <c r="T115" s="169"/>
      <c r="U115" s="169"/>
      <c r="V115" s="169"/>
      <c r="W115" s="169"/>
      <c r="X115" s="169"/>
      <c r="Y115" s="169"/>
      <c r="Z115" s="169"/>
      <c r="AA115" s="169"/>
      <c r="AB115" s="169"/>
      <c r="AC115" s="169"/>
      <c r="AD115" s="169"/>
      <c r="AE115" s="169"/>
      <c r="AF115" s="617"/>
      <c r="AG115" s="169"/>
      <c r="AH115" s="169"/>
      <c r="AI115" s="169"/>
      <c r="AJ115" s="169"/>
      <c r="AK115" s="169"/>
      <c r="AL115" s="169"/>
      <c r="AM115" s="454"/>
      <c r="AN115" s="178"/>
      <c r="AO115" s="178"/>
      <c r="AZ115" s="1305"/>
      <c r="BB115" s="169"/>
    </row>
    <row r="116" spans="2:54" ht="15.75" customHeight="1">
      <c r="B116" s="175"/>
      <c r="C116" s="617"/>
      <c r="D116" s="177"/>
      <c r="E116" s="169"/>
      <c r="F116" s="177"/>
      <c r="G116" s="458"/>
      <c r="J116" s="169"/>
      <c r="K116" s="169"/>
      <c r="L116" s="169"/>
      <c r="P116" s="169"/>
      <c r="Q116" s="169"/>
      <c r="R116" s="458"/>
      <c r="S116" s="169"/>
      <c r="T116" s="169"/>
      <c r="U116" s="169"/>
      <c r="V116" s="169"/>
      <c r="W116" s="169"/>
      <c r="X116" s="169"/>
      <c r="Y116" s="169"/>
      <c r="Z116" s="169"/>
      <c r="AA116" s="169"/>
      <c r="AB116" s="169"/>
      <c r="AC116" s="169"/>
      <c r="AD116" s="169"/>
      <c r="AE116" s="169"/>
      <c r="AF116" s="617"/>
      <c r="AG116" s="169"/>
      <c r="AH116" s="169"/>
      <c r="AI116" s="169"/>
      <c r="AJ116" s="169"/>
      <c r="AK116" s="169"/>
      <c r="AL116" s="169"/>
      <c r="AM116" s="454"/>
      <c r="AN116" s="178"/>
      <c r="AO116" s="178"/>
      <c r="AZ116" s="1305"/>
      <c r="BB116" s="169"/>
    </row>
    <row r="117" spans="2:54" ht="15.75" customHeight="1">
      <c r="B117" s="175"/>
      <c r="C117" s="617"/>
      <c r="D117" s="177"/>
      <c r="E117" s="169"/>
      <c r="F117" s="177"/>
      <c r="G117" s="458"/>
      <c r="J117" s="169"/>
      <c r="K117" s="169"/>
      <c r="L117" s="169"/>
      <c r="P117" s="169"/>
      <c r="Q117" s="169"/>
      <c r="R117" s="458"/>
      <c r="S117" s="169"/>
      <c r="T117" s="169"/>
      <c r="U117" s="169"/>
      <c r="V117" s="169"/>
      <c r="W117" s="169"/>
      <c r="X117" s="169"/>
      <c r="Y117" s="169"/>
      <c r="Z117" s="169"/>
      <c r="AA117" s="169"/>
      <c r="AB117" s="169"/>
      <c r="AC117" s="169"/>
      <c r="AD117" s="169"/>
      <c r="AE117" s="169"/>
      <c r="AF117" s="617"/>
      <c r="AG117" s="169"/>
      <c r="AH117" s="169"/>
      <c r="AI117" s="169"/>
      <c r="AJ117" s="169"/>
      <c r="AK117" s="169"/>
      <c r="AL117" s="169"/>
      <c r="AM117" s="454"/>
      <c r="AN117" s="178"/>
      <c r="AO117" s="178"/>
      <c r="AZ117" s="1305"/>
      <c r="BB117" s="169"/>
    </row>
    <row r="118" spans="2:54" ht="15.75" customHeight="1">
      <c r="B118" s="175"/>
      <c r="C118" s="617"/>
      <c r="D118" s="177"/>
      <c r="E118" s="169"/>
      <c r="F118" s="177"/>
      <c r="G118" s="458"/>
      <c r="J118" s="169"/>
      <c r="K118" s="169"/>
      <c r="L118" s="169"/>
      <c r="P118" s="169"/>
      <c r="Q118" s="169"/>
      <c r="R118" s="458"/>
      <c r="S118" s="169"/>
      <c r="T118" s="169"/>
      <c r="U118" s="169"/>
      <c r="V118" s="169"/>
      <c r="W118" s="169"/>
      <c r="X118" s="169"/>
      <c r="Y118" s="169"/>
      <c r="Z118" s="169"/>
      <c r="AA118" s="169"/>
      <c r="AB118" s="169"/>
      <c r="AC118" s="169"/>
      <c r="AD118" s="169"/>
      <c r="AE118" s="169"/>
      <c r="AF118" s="617"/>
      <c r="AG118" s="169"/>
      <c r="AH118" s="169"/>
      <c r="AI118" s="169"/>
      <c r="AJ118" s="169"/>
      <c r="AK118" s="169"/>
      <c r="AL118" s="169"/>
      <c r="AM118" s="454"/>
      <c r="AN118" s="178"/>
      <c r="AO118" s="178"/>
      <c r="AZ118" s="1305"/>
      <c r="BB118" s="169"/>
    </row>
    <row r="119" spans="2:54" ht="15.75" customHeight="1">
      <c r="B119" s="175"/>
      <c r="C119" s="617"/>
      <c r="D119" s="177"/>
      <c r="E119" s="169"/>
      <c r="F119" s="177"/>
      <c r="G119" s="458"/>
      <c r="J119" s="169"/>
      <c r="K119" s="169"/>
      <c r="L119" s="169"/>
      <c r="P119" s="169"/>
      <c r="Q119" s="169"/>
      <c r="R119" s="458"/>
      <c r="S119" s="169"/>
      <c r="T119" s="169"/>
      <c r="U119" s="169"/>
      <c r="V119" s="169"/>
      <c r="W119" s="169"/>
      <c r="X119" s="169"/>
      <c r="Y119" s="169"/>
      <c r="Z119" s="169"/>
      <c r="AA119" s="169"/>
      <c r="AB119" s="169"/>
      <c r="AC119" s="169"/>
      <c r="AD119" s="169"/>
      <c r="AE119" s="169"/>
      <c r="AF119" s="617"/>
      <c r="AG119" s="169"/>
      <c r="AH119" s="169"/>
      <c r="AI119" s="169"/>
      <c r="AJ119" s="169"/>
      <c r="AK119" s="169"/>
      <c r="AL119" s="169"/>
      <c r="AM119" s="454"/>
      <c r="AN119" s="178"/>
      <c r="AO119" s="178"/>
      <c r="AZ119" s="1305"/>
      <c r="BB119" s="169"/>
    </row>
    <row r="120" spans="2:54" ht="15.75" customHeight="1">
      <c r="B120" s="618"/>
      <c r="C120" s="617"/>
      <c r="D120" s="177"/>
      <c r="E120" s="169"/>
      <c r="F120" s="177"/>
      <c r="G120" s="458"/>
      <c r="H120" s="177"/>
      <c r="I120" s="617"/>
      <c r="J120" s="169"/>
      <c r="K120" s="169"/>
      <c r="L120" s="169"/>
      <c r="M120" s="169"/>
      <c r="N120" s="169"/>
      <c r="O120" s="169"/>
      <c r="P120" s="169"/>
      <c r="Q120" s="169"/>
      <c r="R120" s="458"/>
      <c r="S120" s="169"/>
      <c r="T120" s="169"/>
      <c r="U120" s="169"/>
      <c r="V120" s="169"/>
      <c r="W120" s="169"/>
      <c r="X120" s="169"/>
      <c r="Y120" s="169"/>
      <c r="Z120" s="169"/>
      <c r="AA120" s="169"/>
      <c r="AB120" s="169"/>
      <c r="AC120" s="169"/>
      <c r="AD120" s="169"/>
      <c r="AE120" s="169"/>
      <c r="AF120" s="617"/>
      <c r="AG120" s="169"/>
      <c r="AH120" s="169"/>
      <c r="AI120" s="169"/>
      <c r="AJ120" s="169"/>
      <c r="AK120" s="169"/>
      <c r="AL120" s="169"/>
      <c r="AM120" s="454"/>
      <c r="AN120" s="178"/>
      <c r="AO120" s="178"/>
      <c r="AZ120" s="1305"/>
      <c r="BB120" s="169"/>
    </row>
    <row r="121" spans="2:54" ht="15.75" customHeight="1">
      <c r="B121" s="618"/>
      <c r="C121" s="617"/>
      <c r="D121" s="177"/>
      <c r="E121" s="169"/>
      <c r="F121" s="177"/>
      <c r="G121" s="458"/>
      <c r="H121" s="177"/>
      <c r="I121" s="617"/>
      <c r="J121" s="169"/>
      <c r="K121" s="169"/>
      <c r="L121" s="169"/>
      <c r="M121" s="169"/>
      <c r="N121" s="169"/>
      <c r="O121" s="169"/>
      <c r="P121" s="169"/>
      <c r="Q121" s="169"/>
      <c r="R121" s="458"/>
      <c r="S121" s="169"/>
      <c r="T121" s="169"/>
      <c r="U121" s="169"/>
      <c r="V121" s="169"/>
      <c r="W121" s="169"/>
      <c r="X121" s="169"/>
      <c r="Y121" s="169"/>
      <c r="Z121" s="169"/>
      <c r="AA121" s="169"/>
      <c r="AB121" s="169"/>
      <c r="AC121" s="169"/>
      <c r="AD121" s="169"/>
      <c r="AE121" s="169"/>
      <c r="AF121" s="617"/>
      <c r="AG121" s="169"/>
      <c r="AH121" s="169"/>
      <c r="AI121" s="169"/>
      <c r="AJ121" s="169"/>
      <c r="AK121" s="169"/>
      <c r="AL121" s="169"/>
      <c r="AZ121" s="1305"/>
      <c r="BB121" s="169"/>
    </row>
    <row r="122" spans="2:54" ht="15.75" customHeight="1">
      <c r="B122" s="618"/>
      <c r="C122" s="617"/>
      <c r="D122" s="177"/>
      <c r="E122" s="169"/>
      <c r="F122" s="177"/>
      <c r="G122" s="458"/>
      <c r="H122" s="177"/>
      <c r="I122" s="617"/>
      <c r="J122" s="169"/>
      <c r="K122" s="169"/>
      <c r="L122" s="169"/>
      <c r="M122" s="169"/>
      <c r="N122" s="169"/>
      <c r="O122" s="169"/>
      <c r="P122" s="169"/>
      <c r="Q122" s="169"/>
      <c r="R122" s="458"/>
      <c r="S122" s="169"/>
      <c r="T122" s="169"/>
      <c r="U122" s="169"/>
      <c r="V122" s="169"/>
      <c r="W122" s="169"/>
      <c r="X122" s="169"/>
      <c r="Y122" s="169"/>
      <c r="Z122" s="169"/>
      <c r="AA122" s="169"/>
      <c r="AB122" s="169"/>
      <c r="AC122" s="169"/>
      <c r="AD122" s="169"/>
      <c r="AE122" s="169"/>
      <c r="AF122" s="617"/>
      <c r="AG122" s="169"/>
      <c r="AH122" s="169"/>
      <c r="AI122" s="169"/>
      <c r="AJ122" s="169"/>
      <c r="AK122" s="169"/>
      <c r="AL122" s="169"/>
      <c r="AZ122" s="1305"/>
      <c r="BB122" s="169"/>
    </row>
    <row r="123" spans="2:54" ht="15.75" customHeight="1">
      <c r="R123" s="454"/>
      <c r="AZ123" s="1305"/>
      <c r="BB123" s="169"/>
    </row>
    <row r="124" spans="2:54" ht="15.75" customHeight="1">
      <c r="R124" s="454"/>
      <c r="AZ124" s="1305"/>
      <c r="BB124" s="169"/>
    </row>
    <row r="125" spans="2:54" ht="15.75" customHeight="1">
      <c r="R125" s="454"/>
      <c r="AZ125" s="1305"/>
      <c r="BB125" s="169"/>
    </row>
    <row r="126" spans="2:54" ht="15.75" customHeight="1">
      <c r="R126" s="454"/>
      <c r="AZ126" s="1305"/>
      <c r="BB126" s="169"/>
    </row>
    <row r="127" spans="2:54" ht="15.75" customHeight="1">
      <c r="R127" s="454"/>
      <c r="AZ127" s="1305"/>
      <c r="BB127" s="169"/>
    </row>
    <row r="128" spans="2:54" ht="15.75" customHeight="1">
      <c r="R128" s="454"/>
      <c r="AZ128" s="1305"/>
      <c r="BB128" s="169"/>
    </row>
    <row r="129" spans="18:54" ht="15.75" customHeight="1">
      <c r="R129" s="454"/>
      <c r="AZ129" s="1305"/>
      <c r="BB129" s="169"/>
    </row>
    <row r="130" spans="18:54" ht="15.75" customHeight="1">
      <c r="R130" s="454"/>
      <c r="AZ130" s="1305"/>
      <c r="BB130" s="169"/>
    </row>
    <row r="131" spans="18:54" ht="15.75" customHeight="1">
      <c r="R131" s="454"/>
      <c r="AZ131" s="1305"/>
      <c r="BB131" s="169"/>
    </row>
    <row r="132" spans="18:54" ht="15.75" customHeight="1">
      <c r="R132" s="454"/>
      <c r="AZ132" s="1305"/>
      <c r="BB132" s="169"/>
    </row>
    <row r="133" spans="18:54" ht="15.75" customHeight="1">
      <c r="R133" s="454"/>
      <c r="AZ133" s="1305"/>
      <c r="BB133" s="169"/>
    </row>
    <row r="134" spans="18:54" ht="15.75" customHeight="1">
      <c r="R134" s="454"/>
      <c r="AZ134" s="1305"/>
      <c r="BB134" s="169"/>
    </row>
    <row r="135" spans="18:54" ht="15.75" customHeight="1">
      <c r="R135" s="454"/>
      <c r="AZ135" s="1305"/>
      <c r="BB135" s="169"/>
    </row>
    <row r="136" spans="18:54" ht="15.75" customHeight="1">
      <c r="R136" s="454"/>
      <c r="AZ136" s="1305"/>
      <c r="BB136" s="169"/>
    </row>
    <row r="137" spans="18:54" ht="15.75" customHeight="1">
      <c r="R137" s="454"/>
      <c r="AZ137" s="1305"/>
      <c r="BB137" s="169"/>
    </row>
    <row r="138" spans="18:54" ht="15.75" customHeight="1">
      <c r="R138" s="454"/>
      <c r="AZ138" s="1305"/>
      <c r="BB138" s="169"/>
    </row>
    <row r="139" spans="18:54" ht="15.75" customHeight="1">
      <c r="R139" s="454"/>
      <c r="AZ139" s="1305"/>
      <c r="BB139" s="169"/>
    </row>
    <row r="140" spans="18:54" ht="15.75" customHeight="1">
      <c r="R140" s="454"/>
      <c r="AZ140" s="1305"/>
      <c r="BB140" s="169"/>
    </row>
    <row r="141" spans="18:54" ht="15.75" customHeight="1">
      <c r="R141" s="454"/>
      <c r="AZ141" s="1305"/>
      <c r="BB141" s="169"/>
    </row>
    <row r="142" spans="18:54" ht="15.75" customHeight="1">
      <c r="R142" s="454"/>
      <c r="AZ142" s="1305"/>
      <c r="BB142" s="169"/>
    </row>
    <row r="143" spans="18:54" ht="15.75" customHeight="1">
      <c r="R143" s="454"/>
      <c r="AZ143" s="1305"/>
      <c r="BB143" s="169"/>
    </row>
    <row r="144" spans="18:54" ht="15.75" customHeight="1">
      <c r="R144" s="454"/>
      <c r="AZ144" s="1305"/>
      <c r="BB144" s="169"/>
    </row>
    <row r="145" spans="18:54" ht="15.75" customHeight="1">
      <c r="R145" s="454"/>
      <c r="AZ145" s="1305"/>
      <c r="BB145" s="169"/>
    </row>
    <row r="146" spans="18:54" ht="15.75" customHeight="1">
      <c r="R146" s="454"/>
      <c r="AZ146" s="1305"/>
      <c r="BB146" s="169"/>
    </row>
    <row r="147" spans="18:54" ht="15.75" customHeight="1">
      <c r="R147" s="454"/>
      <c r="AZ147" s="1305"/>
      <c r="BB147" s="169"/>
    </row>
    <row r="148" spans="18:54" ht="15.75" customHeight="1">
      <c r="R148" s="454"/>
      <c r="AZ148" s="1305"/>
      <c r="BB148" s="169"/>
    </row>
    <row r="149" spans="18:54" ht="15.75" customHeight="1">
      <c r="R149" s="454"/>
      <c r="AZ149" s="1305"/>
      <c r="BB149" s="169"/>
    </row>
    <row r="150" spans="18:54" ht="15.75" customHeight="1">
      <c r="R150" s="454"/>
      <c r="AZ150" s="1305"/>
      <c r="BB150" s="169"/>
    </row>
    <row r="151" spans="18:54" ht="15.75" customHeight="1">
      <c r="R151" s="454"/>
      <c r="AZ151" s="1305"/>
      <c r="BB151" s="169"/>
    </row>
    <row r="152" spans="18:54" ht="15.75" customHeight="1">
      <c r="R152" s="454"/>
      <c r="AZ152" s="1305"/>
      <c r="BB152" s="169"/>
    </row>
    <row r="153" spans="18:54" ht="15.75" customHeight="1">
      <c r="R153" s="454"/>
      <c r="AZ153" s="1305"/>
      <c r="BB153" s="169"/>
    </row>
    <row r="154" spans="18:54" ht="15.75" customHeight="1">
      <c r="R154" s="454"/>
      <c r="AZ154" s="1305"/>
      <c r="BB154" s="169"/>
    </row>
    <row r="155" spans="18:54" ht="15.75" customHeight="1">
      <c r="R155" s="454"/>
      <c r="AZ155" s="1305"/>
      <c r="BB155" s="169"/>
    </row>
    <row r="156" spans="18:54" ht="15.75" customHeight="1">
      <c r="R156" s="454"/>
      <c r="AZ156" s="1305"/>
      <c r="BB156" s="169"/>
    </row>
    <row r="157" spans="18:54" ht="15.75" customHeight="1">
      <c r="R157" s="454"/>
      <c r="AZ157" s="1305"/>
      <c r="BB157" s="169"/>
    </row>
    <row r="158" spans="18:54" ht="15.75" customHeight="1">
      <c r="R158" s="454"/>
      <c r="AZ158" s="1305"/>
      <c r="BB158" s="169"/>
    </row>
    <row r="159" spans="18:54" ht="15.75" customHeight="1">
      <c r="R159" s="454"/>
      <c r="AZ159" s="1305"/>
      <c r="BB159" s="169"/>
    </row>
    <row r="160" spans="18:54" ht="15.75" customHeight="1">
      <c r="R160" s="454"/>
      <c r="AZ160" s="1305"/>
      <c r="BB160" s="169"/>
    </row>
    <row r="161" spans="18:54" ht="15.75" customHeight="1">
      <c r="R161" s="454"/>
      <c r="AZ161" s="1305"/>
      <c r="BB161" s="169"/>
    </row>
    <row r="162" spans="18:54" ht="15.75" customHeight="1">
      <c r="R162" s="454"/>
      <c r="AZ162" s="1305"/>
      <c r="BB162" s="169"/>
    </row>
    <row r="163" spans="18:54" ht="15.75" customHeight="1">
      <c r="R163" s="454"/>
      <c r="AZ163" s="1305"/>
      <c r="BB163" s="169"/>
    </row>
    <row r="164" spans="18:54" ht="15.75" customHeight="1">
      <c r="R164" s="454"/>
      <c r="AZ164" s="1305"/>
      <c r="BB164" s="169"/>
    </row>
    <row r="165" spans="18:54" ht="15.75" customHeight="1">
      <c r="R165" s="454"/>
      <c r="AZ165" s="1305"/>
      <c r="BB165" s="169"/>
    </row>
    <row r="166" spans="18:54" ht="15.75" customHeight="1">
      <c r="R166" s="454"/>
      <c r="AZ166" s="1305"/>
      <c r="BB166" s="169"/>
    </row>
    <row r="167" spans="18:54" ht="15.75" customHeight="1">
      <c r="R167" s="454"/>
      <c r="AZ167" s="1305"/>
      <c r="BB167" s="169"/>
    </row>
    <row r="168" spans="18:54" ht="15.75" customHeight="1">
      <c r="R168" s="454"/>
      <c r="AZ168" s="1305"/>
      <c r="BB168" s="169"/>
    </row>
    <row r="169" spans="18:54" ht="15.75" customHeight="1">
      <c r="R169" s="454"/>
      <c r="AZ169" s="1305"/>
      <c r="BB169" s="169"/>
    </row>
    <row r="170" spans="18:54" ht="15.75" customHeight="1">
      <c r="R170" s="454"/>
      <c r="AZ170" s="1305"/>
      <c r="BB170" s="169"/>
    </row>
    <row r="171" spans="18:54" ht="15.75" customHeight="1">
      <c r="R171" s="454"/>
      <c r="AZ171" s="1305"/>
      <c r="BB171" s="169"/>
    </row>
    <row r="172" spans="18:54" ht="15.75" customHeight="1">
      <c r="R172" s="454"/>
      <c r="AZ172" s="1305"/>
      <c r="BB172" s="169"/>
    </row>
    <row r="173" spans="18:54" ht="15.75" customHeight="1">
      <c r="R173" s="454"/>
      <c r="AZ173" s="1305"/>
      <c r="BB173" s="169"/>
    </row>
    <row r="174" spans="18:54" ht="15.75" customHeight="1">
      <c r="R174" s="454"/>
      <c r="AZ174" s="1305"/>
      <c r="BB174" s="169"/>
    </row>
    <row r="175" spans="18:54" ht="15.75" customHeight="1">
      <c r="R175" s="454"/>
      <c r="AZ175" s="1305"/>
      <c r="BB175" s="169"/>
    </row>
    <row r="176" spans="18:54" ht="15.75" customHeight="1">
      <c r="R176" s="454"/>
      <c r="AZ176" s="1305"/>
      <c r="BB176" s="169"/>
    </row>
    <row r="177" spans="18:54" ht="15.75" customHeight="1">
      <c r="R177" s="454"/>
      <c r="AZ177" s="1305"/>
      <c r="BB177" s="169"/>
    </row>
    <row r="178" spans="18:54" ht="15.75" customHeight="1">
      <c r="R178" s="454"/>
      <c r="AZ178" s="1305"/>
      <c r="BB178" s="169"/>
    </row>
    <row r="179" spans="18:54" ht="15.75" customHeight="1">
      <c r="R179" s="454"/>
      <c r="AZ179" s="1305"/>
      <c r="BB179" s="169"/>
    </row>
    <row r="180" spans="18:54" ht="15.75" customHeight="1">
      <c r="R180" s="454"/>
      <c r="AZ180" s="1305"/>
      <c r="BB180" s="169"/>
    </row>
    <row r="181" spans="18:54" ht="15.75" customHeight="1">
      <c r="R181" s="454"/>
      <c r="AZ181" s="1305"/>
      <c r="BB181" s="169"/>
    </row>
    <row r="182" spans="18:54" ht="15.75" customHeight="1">
      <c r="R182" s="454"/>
      <c r="AZ182" s="1305"/>
      <c r="BB182" s="169"/>
    </row>
    <row r="183" spans="18:54" ht="15.75" customHeight="1">
      <c r="R183" s="454"/>
      <c r="AZ183" s="1305"/>
      <c r="BB183" s="169"/>
    </row>
    <row r="184" spans="18:54" ht="15.75" customHeight="1">
      <c r="R184" s="454"/>
      <c r="AZ184" s="1305"/>
      <c r="BB184" s="169"/>
    </row>
    <row r="185" spans="18:54" ht="15.75" customHeight="1">
      <c r="R185" s="454"/>
      <c r="AZ185" s="1305"/>
      <c r="BB185" s="169"/>
    </row>
    <row r="186" spans="18:54" ht="15.75" customHeight="1">
      <c r="R186" s="454"/>
      <c r="AZ186" s="1305"/>
      <c r="BB186" s="169"/>
    </row>
    <row r="187" spans="18:54" ht="15.75" customHeight="1">
      <c r="R187" s="454"/>
      <c r="AZ187" s="1305"/>
      <c r="BB187" s="169"/>
    </row>
    <row r="188" spans="18:54" ht="15.75" customHeight="1">
      <c r="R188" s="454"/>
      <c r="AZ188" s="1305"/>
      <c r="BB188" s="169"/>
    </row>
    <row r="189" spans="18:54" ht="15.75" customHeight="1">
      <c r="R189" s="454"/>
      <c r="AZ189" s="1305"/>
      <c r="BB189" s="169"/>
    </row>
    <row r="190" spans="18:54" ht="15.75" customHeight="1">
      <c r="R190" s="454"/>
      <c r="AZ190" s="1305"/>
      <c r="BB190" s="169"/>
    </row>
    <row r="191" spans="18:54" ht="15.75" customHeight="1">
      <c r="R191" s="454"/>
      <c r="AZ191" s="1305"/>
      <c r="BB191" s="169"/>
    </row>
    <row r="192" spans="18:54" ht="15.75" customHeight="1">
      <c r="R192" s="454"/>
      <c r="AZ192" s="1305"/>
      <c r="BB192" s="169"/>
    </row>
    <row r="193" spans="18:54" ht="15.75" customHeight="1">
      <c r="R193" s="454"/>
      <c r="AZ193" s="1305"/>
      <c r="BB193" s="169"/>
    </row>
    <row r="194" spans="18:54" ht="15.75" customHeight="1">
      <c r="R194" s="454"/>
      <c r="AZ194" s="1305"/>
      <c r="BB194" s="169"/>
    </row>
    <row r="195" spans="18:54" ht="15.75" customHeight="1">
      <c r="R195" s="454"/>
      <c r="AZ195" s="1305"/>
      <c r="BB195" s="169"/>
    </row>
    <row r="196" spans="18:54" ht="15.75" customHeight="1">
      <c r="R196" s="454"/>
      <c r="AZ196" s="1305"/>
      <c r="BB196" s="169"/>
    </row>
    <row r="197" spans="18:54" ht="15.75" customHeight="1">
      <c r="R197" s="454"/>
      <c r="AZ197" s="1305"/>
      <c r="BB197" s="169"/>
    </row>
    <row r="198" spans="18:54" ht="15.75" customHeight="1">
      <c r="R198" s="454"/>
      <c r="AZ198" s="1305"/>
      <c r="BB198" s="169"/>
    </row>
    <row r="199" spans="18:54" ht="15.75" customHeight="1">
      <c r="R199" s="454"/>
      <c r="AZ199" s="1305"/>
      <c r="BB199" s="169"/>
    </row>
    <row r="200" spans="18:54" ht="15.75" customHeight="1">
      <c r="R200" s="454"/>
      <c r="AZ200" s="1305"/>
      <c r="BB200" s="169"/>
    </row>
    <row r="201" spans="18:54" ht="15.75" customHeight="1">
      <c r="R201" s="454"/>
      <c r="AU201" s="178"/>
      <c r="AV201" s="178"/>
      <c r="AW201" s="178"/>
      <c r="AX201" s="454"/>
      <c r="AY201" s="454"/>
      <c r="AZ201" s="1306"/>
      <c r="BB201" s="169"/>
    </row>
    <row r="202" spans="18:54" ht="15.75" customHeight="1">
      <c r="R202" s="454"/>
      <c r="AU202" s="178"/>
      <c r="AV202" s="178"/>
      <c r="AW202" s="178"/>
      <c r="AX202" s="454"/>
      <c r="AY202" s="454"/>
      <c r="AZ202" s="1306"/>
      <c r="BB202" s="169"/>
    </row>
    <row r="203" spans="18:54" ht="15.75" customHeight="1">
      <c r="R203" s="454"/>
      <c r="AM203" s="454"/>
      <c r="AN203" s="178"/>
      <c r="AO203" s="178"/>
      <c r="AP203" s="454"/>
      <c r="AQ203" s="454"/>
      <c r="AR203" s="454"/>
      <c r="AS203" s="454"/>
      <c r="AT203" s="178"/>
      <c r="AU203" s="178"/>
      <c r="AV203" s="178"/>
      <c r="AW203" s="178"/>
      <c r="AX203" s="454"/>
      <c r="AY203" s="454"/>
      <c r="AZ203" s="1306"/>
      <c r="BB203" s="169"/>
    </row>
    <row r="204" spans="18:54" ht="15.75" customHeight="1">
      <c r="R204" s="454"/>
      <c r="AM204" s="454"/>
      <c r="AN204" s="178"/>
      <c r="AO204" s="178"/>
      <c r="AP204" s="454"/>
      <c r="AQ204" s="454"/>
      <c r="AR204" s="454"/>
      <c r="AS204" s="454"/>
      <c r="AT204" s="178"/>
      <c r="AU204" s="178"/>
      <c r="AV204" s="178"/>
      <c r="AW204" s="178"/>
      <c r="AX204" s="454"/>
      <c r="AY204" s="454"/>
      <c r="AZ204" s="1306"/>
      <c r="BB204" s="169"/>
    </row>
    <row r="205" spans="18:54" ht="15.75" customHeight="1">
      <c r="R205" s="454"/>
      <c r="AM205" s="454"/>
      <c r="AN205" s="178"/>
      <c r="AO205" s="178"/>
      <c r="AP205" s="454"/>
      <c r="AQ205" s="454"/>
      <c r="AR205" s="454"/>
      <c r="AS205" s="454"/>
      <c r="AT205" s="178"/>
      <c r="AU205" s="178"/>
      <c r="AV205" s="178"/>
      <c r="AW205" s="178"/>
      <c r="AX205" s="454"/>
      <c r="AY205" s="454"/>
      <c r="AZ205" s="1306"/>
      <c r="BB205" s="169"/>
    </row>
    <row r="206" spans="18:54" ht="15.75" customHeight="1">
      <c r="R206" s="454"/>
      <c r="AM206" s="454"/>
      <c r="AN206" s="178"/>
      <c r="AO206" s="178"/>
      <c r="AP206" s="454"/>
      <c r="AQ206" s="454"/>
      <c r="AR206" s="454"/>
      <c r="AS206" s="454"/>
      <c r="AT206" s="178"/>
      <c r="AZ206" s="1305"/>
      <c r="BB206" s="169"/>
    </row>
    <row r="207" spans="18:54" ht="15.75" customHeight="1">
      <c r="R207" s="454"/>
      <c r="AM207" s="454"/>
      <c r="AN207" s="178"/>
      <c r="AO207" s="178"/>
      <c r="AP207" s="454"/>
      <c r="AQ207" s="454"/>
      <c r="AR207" s="454"/>
      <c r="AS207" s="454"/>
      <c r="AT207" s="178"/>
      <c r="AZ207" s="1305"/>
      <c r="BB207" s="169"/>
    </row>
    <row r="208" spans="18:54" ht="15.75" customHeight="1">
      <c r="R208" s="454"/>
      <c r="AZ208" s="1305"/>
      <c r="BB208" s="169"/>
    </row>
    <row r="209" spans="18:54" ht="15.75" customHeight="1">
      <c r="R209" s="454"/>
      <c r="AZ209" s="1305"/>
      <c r="BB209" s="169"/>
    </row>
    <row r="210" spans="18:54" ht="15.75" customHeight="1">
      <c r="R210" s="454"/>
      <c r="AZ210" s="1305"/>
      <c r="BB210" s="169"/>
    </row>
    <row r="211" spans="18:54" ht="15.75" customHeight="1">
      <c r="R211" s="454"/>
      <c r="AZ211" s="1305"/>
      <c r="BB211" s="169"/>
    </row>
    <row r="212" spans="18:54" ht="15.75" customHeight="1">
      <c r="R212" s="454"/>
      <c r="AZ212" s="1305"/>
      <c r="BB212" s="169"/>
    </row>
    <row r="213" spans="18:54" ht="15.75" customHeight="1">
      <c r="R213" s="454"/>
      <c r="AZ213" s="1305"/>
      <c r="BB213" s="169"/>
    </row>
    <row r="214" spans="18:54" ht="15.75" customHeight="1">
      <c r="R214" s="454"/>
      <c r="AZ214" s="1305"/>
      <c r="BB214" s="169"/>
    </row>
    <row r="215" spans="18:54" ht="15.75" customHeight="1">
      <c r="R215" s="454"/>
      <c r="AZ215" s="1305"/>
      <c r="BB215" s="169"/>
    </row>
    <row r="216" spans="18:54" ht="15.75" customHeight="1">
      <c r="R216" s="454"/>
      <c r="AZ216" s="1305"/>
      <c r="BB216" s="169"/>
    </row>
    <row r="217" spans="18:54" ht="15.75" customHeight="1">
      <c r="R217" s="454"/>
      <c r="AZ217" s="1305"/>
      <c r="BB217" s="169"/>
    </row>
    <row r="218" spans="18:54" ht="15.75" customHeight="1">
      <c r="R218" s="454"/>
      <c r="AZ218" s="1305"/>
      <c r="BB218" s="169"/>
    </row>
    <row r="219" spans="18:54" ht="15.75" customHeight="1">
      <c r="R219" s="454"/>
      <c r="AZ219" s="1305"/>
      <c r="BB219" s="169"/>
    </row>
    <row r="220" spans="18:54" ht="15.75" customHeight="1">
      <c r="R220" s="454"/>
      <c r="AZ220" s="1305"/>
      <c r="BB220" s="169"/>
    </row>
    <row r="221" spans="18:54" ht="15.75" customHeight="1">
      <c r="R221" s="454"/>
      <c r="AZ221" s="1305"/>
      <c r="BB221" s="169"/>
    </row>
    <row r="222" spans="18:54" ht="15.75" customHeight="1">
      <c r="R222" s="454"/>
      <c r="AZ222" s="1305"/>
      <c r="BB222" s="169"/>
    </row>
    <row r="223" spans="18:54" ht="15.75" customHeight="1">
      <c r="R223" s="454"/>
      <c r="AZ223" s="1305"/>
      <c r="BB223" s="169"/>
    </row>
    <row r="224" spans="18:54" ht="15.75" customHeight="1">
      <c r="R224" s="454"/>
      <c r="AZ224" s="1305"/>
      <c r="BB224" s="169"/>
    </row>
    <row r="225" spans="18:54" ht="15.75" customHeight="1">
      <c r="R225" s="454"/>
      <c r="AZ225" s="1305"/>
      <c r="BB225" s="169"/>
    </row>
    <row r="226" spans="18:54" ht="15.75" customHeight="1">
      <c r="R226" s="454"/>
      <c r="AZ226" s="1305"/>
      <c r="BB226" s="169"/>
    </row>
    <row r="227" spans="18:54" ht="15.75" customHeight="1">
      <c r="R227" s="454"/>
      <c r="AZ227" s="1305"/>
      <c r="BB227" s="169"/>
    </row>
    <row r="228" spans="18:54" ht="15.75" customHeight="1">
      <c r="R228" s="454"/>
      <c r="AZ228" s="1305"/>
      <c r="BB228" s="169"/>
    </row>
    <row r="229" spans="18:54" ht="15.75" customHeight="1">
      <c r="R229" s="454"/>
      <c r="AZ229" s="1305"/>
      <c r="BB229" s="169"/>
    </row>
    <row r="230" spans="18:54" ht="15.75" customHeight="1">
      <c r="R230" s="454"/>
      <c r="AZ230" s="1305"/>
      <c r="BB230" s="169"/>
    </row>
    <row r="231" spans="18:54" ht="15.75" customHeight="1">
      <c r="R231" s="454"/>
      <c r="AZ231" s="1305"/>
      <c r="BB231" s="169"/>
    </row>
    <row r="232" spans="18:54" ht="15.75" customHeight="1">
      <c r="R232" s="454"/>
      <c r="AZ232" s="1305"/>
      <c r="BB232" s="169"/>
    </row>
    <row r="233" spans="18:54" ht="15.75" customHeight="1">
      <c r="R233" s="454"/>
      <c r="AZ233" s="1305"/>
      <c r="BB233" s="169"/>
    </row>
    <row r="234" spans="18:54" ht="15.75" customHeight="1">
      <c r="R234" s="454"/>
      <c r="AZ234" s="1305"/>
      <c r="BB234" s="169"/>
    </row>
    <row r="235" spans="18:54" ht="15.75" customHeight="1">
      <c r="R235" s="454"/>
      <c r="AZ235" s="1305"/>
      <c r="BB235" s="169"/>
    </row>
    <row r="236" spans="18:54" ht="15.75" customHeight="1">
      <c r="R236" s="454"/>
      <c r="AZ236" s="1305"/>
      <c r="BB236" s="169"/>
    </row>
    <row r="237" spans="18:54" ht="15.75" customHeight="1">
      <c r="R237" s="454"/>
      <c r="AZ237" s="1305"/>
      <c r="BB237" s="169"/>
    </row>
    <row r="238" spans="18:54" ht="15.75" customHeight="1">
      <c r="R238" s="454"/>
      <c r="AZ238" s="1305"/>
      <c r="BB238" s="169"/>
    </row>
    <row r="239" spans="18:54" ht="15.75" customHeight="1">
      <c r="R239" s="454"/>
      <c r="AZ239" s="1305"/>
      <c r="BB239" s="169"/>
    </row>
    <row r="240" spans="18:54" ht="15.75" customHeight="1">
      <c r="R240" s="454"/>
      <c r="AZ240" s="1305"/>
      <c r="BB240" s="169"/>
    </row>
    <row r="241" spans="18:54" ht="15.75" customHeight="1">
      <c r="R241" s="454"/>
      <c r="AZ241" s="1305"/>
      <c r="BB241" s="169"/>
    </row>
    <row r="242" spans="18:54" ht="15.75" customHeight="1">
      <c r="R242" s="454"/>
      <c r="AZ242" s="1305"/>
      <c r="BB242" s="169"/>
    </row>
    <row r="243" spans="18:54" ht="15.75" customHeight="1">
      <c r="R243" s="454"/>
      <c r="AZ243" s="1305"/>
      <c r="BB243" s="169"/>
    </row>
    <row r="244" spans="18:54" ht="15.75" customHeight="1">
      <c r="R244" s="454"/>
      <c r="AZ244" s="1305"/>
      <c r="BB244" s="169"/>
    </row>
    <row r="245" spans="18:54" ht="15.75" customHeight="1">
      <c r="R245" s="454"/>
      <c r="AZ245" s="1305"/>
      <c r="BB245" s="169"/>
    </row>
    <row r="246" spans="18:54" ht="15.75" customHeight="1">
      <c r="R246" s="454"/>
      <c r="AZ246" s="1305"/>
      <c r="BB246" s="169"/>
    </row>
    <row r="247" spans="18:54" ht="15.75" customHeight="1">
      <c r="R247" s="454"/>
      <c r="AZ247" s="1305"/>
      <c r="BB247" s="169"/>
    </row>
    <row r="248" spans="18:54" ht="15.75" customHeight="1">
      <c r="R248" s="454"/>
      <c r="AZ248" s="1305"/>
      <c r="BB248" s="169"/>
    </row>
    <row r="249" spans="18:54" ht="15.75" customHeight="1">
      <c r="R249" s="454"/>
      <c r="AZ249" s="1305"/>
      <c r="BB249" s="169"/>
    </row>
    <row r="250" spans="18:54" ht="15.75" customHeight="1">
      <c r="R250" s="454"/>
      <c r="AZ250" s="1305"/>
      <c r="BB250" s="169"/>
    </row>
    <row r="251" spans="18:54" ht="15.75" customHeight="1">
      <c r="R251" s="454"/>
      <c r="AZ251" s="1305"/>
      <c r="BB251" s="169"/>
    </row>
    <row r="252" spans="18:54" ht="15.75" customHeight="1">
      <c r="R252" s="454"/>
      <c r="AZ252" s="1305"/>
      <c r="BB252" s="169"/>
    </row>
    <row r="253" spans="18:54" ht="15.75" customHeight="1">
      <c r="R253" s="454"/>
      <c r="AZ253" s="1305"/>
      <c r="BB253" s="169"/>
    </row>
    <row r="254" spans="18:54" ht="15.75" customHeight="1">
      <c r="R254" s="454"/>
      <c r="AZ254" s="1305"/>
      <c r="BB254" s="169"/>
    </row>
    <row r="255" spans="18:54" ht="15.75" customHeight="1">
      <c r="R255" s="454"/>
      <c r="AZ255" s="1305"/>
      <c r="BB255" s="169"/>
    </row>
    <row r="256" spans="18:54" ht="15.75" customHeight="1">
      <c r="R256" s="454"/>
      <c r="AZ256" s="1305"/>
      <c r="BB256" s="169"/>
    </row>
    <row r="257" spans="18:54" ht="15.75" customHeight="1">
      <c r="R257" s="454"/>
      <c r="AZ257" s="1305"/>
      <c r="BB257" s="169"/>
    </row>
    <row r="258" spans="18:54" ht="15.75" customHeight="1">
      <c r="R258" s="454"/>
      <c r="AZ258" s="1305"/>
      <c r="BB258" s="169"/>
    </row>
    <row r="259" spans="18:54" ht="15.75" customHeight="1">
      <c r="R259" s="454"/>
      <c r="AZ259" s="1305"/>
      <c r="BB259" s="169"/>
    </row>
    <row r="260" spans="18:54" ht="15.75" customHeight="1">
      <c r="R260" s="454"/>
      <c r="AZ260" s="1305"/>
      <c r="BB260" s="169"/>
    </row>
    <row r="261" spans="18:54" ht="15.75" customHeight="1">
      <c r="R261" s="454"/>
      <c r="AZ261" s="1305"/>
      <c r="BB261" s="169"/>
    </row>
    <row r="262" spans="18:54" ht="15.75" customHeight="1">
      <c r="R262" s="454"/>
      <c r="AZ262" s="1305"/>
      <c r="BB262" s="169"/>
    </row>
    <row r="263" spans="18:54" ht="15.75" customHeight="1">
      <c r="R263" s="454"/>
      <c r="AZ263" s="1305"/>
      <c r="BB263" s="169"/>
    </row>
    <row r="264" spans="18:54" ht="15.75" customHeight="1">
      <c r="R264" s="454"/>
      <c r="AZ264" s="1305"/>
      <c r="BB264" s="169"/>
    </row>
    <row r="265" spans="18:54" ht="15.75" customHeight="1">
      <c r="R265" s="454"/>
      <c r="AZ265" s="1305"/>
      <c r="BB265" s="169"/>
    </row>
    <row r="266" spans="18:54" ht="15.75" customHeight="1">
      <c r="R266" s="454"/>
      <c r="AZ266" s="1305"/>
      <c r="BB266" s="169"/>
    </row>
    <row r="267" spans="18:54" ht="15.75" customHeight="1">
      <c r="R267" s="454"/>
      <c r="AZ267" s="1305"/>
      <c r="BB267" s="169"/>
    </row>
    <row r="268" spans="18:54" ht="15.75" customHeight="1">
      <c r="R268" s="454"/>
      <c r="AZ268" s="1305"/>
      <c r="BB268" s="169"/>
    </row>
    <row r="269" spans="18:54" ht="15.75" customHeight="1">
      <c r="R269" s="454"/>
      <c r="AZ269" s="1305"/>
      <c r="BB269" s="169"/>
    </row>
    <row r="270" spans="18:54" ht="15.75" customHeight="1">
      <c r="R270" s="454"/>
      <c r="AZ270" s="1305"/>
      <c r="BB270" s="169"/>
    </row>
    <row r="271" spans="18:54" ht="15.75" customHeight="1">
      <c r="R271" s="454"/>
      <c r="AZ271" s="1305"/>
      <c r="BB271" s="169"/>
    </row>
    <row r="272" spans="18:54" ht="15.75" customHeight="1">
      <c r="R272" s="454"/>
      <c r="AZ272" s="1305"/>
      <c r="BB272" s="169"/>
    </row>
    <row r="273" spans="18:54" ht="15.75" customHeight="1">
      <c r="R273" s="454"/>
      <c r="AZ273" s="1305"/>
      <c r="BB273" s="169"/>
    </row>
    <row r="274" spans="18:54" ht="15.75" customHeight="1">
      <c r="R274" s="454"/>
      <c r="AZ274" s="1305"/>
      <c r="BB274" s="169"/>
    </row>
    <row r="275" spans="18:54" ht="15.75" customHeight="1">
      <c r="R275" s="454"/>
      <c r="AZ275" s="1305"/>
      <c r="BB275" s="169"/>
    </row>
    <row r="276" spans="18:54" ht="15.75" customHeight="1">
      <c r="R276" s="454"/>
      <c r="AZ276" s="1305"/>
      <c r="BB276" s="169"/>
    </row>
    <row r="277" spans="18:54" ht="15.75" customHeight="1">
      <c r="R277" s="454"/>
      <c r="AZ277" s="1305"/>
      <c r="BB277" s="169"/>
    </row>
    <row r="278" spans="18:54" ht="15.75" customHeight="1">
      <c r="R278" s="454"/>
      <c r="AZ278" s="1305"/>
      <c r="BB278" s="169"/>
    </row>
    <row r="279" spans="18:54" ht="15.75" customHeight="1">
      <c r="R279" s="454"/>
      <c r="AZ279" s="1305"/>
      <c r="BB279" s="169"/>
    </row>
    <row r="280" spans="18:54" ht="15.75" customHeight="1">
      <c r="R280" s="454"/>
      <c r="AZ280" s="1305"/>
      <c r="BB280" s="169"/>
    </row>
    <row r="281" spans="18:54" ht="15.75" customHeight="1">
      <c r="R281" s="454"/>
      <c r="AZ281" s="1305"/>
      <c r="BB281" s="169"/>
    </row>
    <row r="282" spans="18:54" ht="15.75" customHeight="1">
      <c r="R282" s="454"/>
      <c r="AZ282" s="1305"/>
      <c r="BB282" s="169"/>
    </row>
    <row r="283" spans="18:54" ht="15.75" customHeight="1">
      <c r="R283" s="454"/>
      <c r="AZ283" s="1305"/>
      <c r="BB283" s="169"/>
    </row>
    <row r="284" spans="18:54" ht="15.75" customHeight="1">
      <c r="R284" s="454"/>
      <c r="AZ284" s="1305"/>
      <c r="BB284" s="169"/>
    </row>
    <row r="285" spans="18:54" ht="15.75" customHeight="1">
      <c r="R285" s="454"/>
      <c r="AZ285" s="1305"/>
      <c r="BB285" s="169"/>
    </row>
    <row r="286" spans="18:54" ht="15.75" customHeight="1">
      <c r="R286" s="454"/>
      <c r="AZ286" s="1305"/>
      <c r="BB286" s="169"/>
    </row>
    <row r="287" spans="18:54" ht="15.75" customHeight="1">
      <c r="R287" s="454"/>
      <c r="AZ287" s="1305"/>
      <c r="BB287" s="169"/>
    </row>
    <row r="288" spans="18:54" ht="15.75" customHeight="1">
      <c r="R288" s="454"/>
      <c r="AZ288" s="1305"/>
      <c r="BB288" s="169"/>
    </row>
    <row r="289" spans="18:54" ht="15.75" customHeight="1">
      <c r="R289" s="454"/>
      <c r="AZ289" s="1305"/>
      <c r="BB289" s="169"/>
    </row>
    <row r="290" spans="18:54" ht="15.75" customHeight="1">
      <c r="R290" s="454"/>
      <c r="AZ290" s="1305"/>
      <c r="BB290" s="169"/>
    </row>
    <row r="291" spans="18:54" ht="15.75" customHeight="1">
      <c r="R291" s="454"/>
      <c r="AZ291" s="1305"/>
      <c r="BB291" s="169"/>
    </row>
    <row r="292" spans="18:54" ht="15.75" customHeight="1">
      <c r="R292" s="454"/>
      <c r="AZ292" s="1305"/>
      <c r="BB292" s="169"/>
    </row>
    <row r="293" spans="18:54" ht="15.75" customHeight="1">
      <c r="R293" s="454"/>
      <c r="AZ293" s="1305"/>
      <c r="BB293" s="169"/>
    </row>
    <row r="294" spans="18:54" ht="15.75" customHeight="1">
      <c r="R294" s="454"/>
      <c r="AZ294" s="1305"/>
      <c r="BB294" s="169"/>
    </row>
    <row r="295" spans="18:54" ht="15.75" customHeight="1">
      <c r="R295" s="454"/>
      <c r="AZ295" s="1305"/>
      <c r="BB295" s="169"/>
    </row>
    <row r="296" spans="18:54" ht="15.75" customHeight="1">
      <c r="R296" s="454"/>
      <c r="AZ296" s="1305"/>
      <c r="BB296" s="169"/>
    </row>
    <row r="297" spans="18:54" ht="15.75" customHeight="1">
      <c r="R297" s="454"/>
      <c r="AZ297" s="1305"/>
      <c r="BB297" s="169"/>
    </row>
    <row r="298" spans="18:54" ht="15.75" customHeight="1">
      <c r="R298" s="454"/>
      <c r="AZ298" s="1305"/>
      <c r="BB298" s="169"/>
    </row>
    <row r="299" spans="18:54" ht="15.75" customHeight="1">
      <c r="R299" s="454"/>
      <c r="AZ299" s="1305"/>
      <c r="BB299" s="169"/>
    </row>
    <row r="300" spans="18:54" ht="15.75" customHeight="1">
      <c r="R300" s="454"/>
      <c r="AZ300" s="1305"/>
      <c r="BB300" s="169"/>
    </row>
    <row r="301" spans="18:54" ht="15.75" customHeight="1">
      <c r="R301" s="454"/>
      <c r="AZ301" s="1305"/>
      <c r="BB301" s="169"/>
    </row>
    <row r="302" spans="18:54" ht="15.75" customHeight="1">
      <c r="R302" s="454"/>
      <c r="AZ302" s="1305"/>
      <c r="BB302" s="169"/>
    </row>
    <row r="303" spans="18:54" ht="15.75" customHeight="1">
      <c r="R303" s="454"/>
      <c r="AZ303" s="1305"/>
      <c r="BB303" s="169"/>
    </row>
    <row r="304" spans="18:54" ht="15.75" customHeight="1">
      <c r="R304" s="454"/>
      <c r="AZ304" s="1305"/>
      <c r="BB304" s="169"/>
    </row>
    <row r="305" spans="18:54" ht="15.75" customHeight="1">
      <c r="R305" s="454"/>
      <c r="AZ305" s="1305"/>
      <c r="BB305" s="169"/>
    </row>
    <row r="306" spans="18:54" ht="15.75" customHeight="1">
      <c r="R306" s="454"/>
      <c r="AZ306" s="1305"/>
      <c r="BB306" s="169"/>
    </row>
    <row r="307" spans="18:54" ht="15.75" customHeight="1">
      <c r="R307" s="454"/>
      <c r="AZ307" s="1305"/>
      <c r="BB307" s="169"/>
    </row>
    <row r="308" spans="18:54" ht="15.75" customHeight="1">
      <c r="R308" s="454"/>
      <c r="AZ308" s="1305"/>
      <c r="BB308" s="169"/>
    </row>
    <row r="309" spans="18:54" ht="15.75" customHeight="1">
      <c r="R309" s="454"/>
      <c r="AZ309" s="1305"/>
      <c r="BB309" s="169"/>
    </row>
    <row r="310" spans="18:54" ht="15.75" customHeight="1">
      <c r="R310" s="454"/>
      <c r="AZ310" s="1305"/>
      <c r="BB310" s="169"/>
    </row>
    <row r="311" spans="18:54" ht="15.75" customHeight="1">
      <c r="R311" s="454"/>
      <c r="AZ311" s="1305"/>
      <c r="BB311" s="169"/>
    </row>
    <row r="312" spans="18:54" ht="15.75" customHeight="1">
      <c r="R312" s="454"/>
      <c r="AZ312" s="1305"/>
      <c r="BB312" s="169"/>
    </row>
    <row r="313" spans="18:54" ht="15.75" customHeight="1">
      <c r="R313" s="454"/>
      <c r="AZ313" s="1305"/>
      <c r="BB313" s="169"/>
    </row>
    <row r="314" spans="18:54" ht="15.75" customHeight="1">
      <c r="R314" s="454"/>
      <c r="AZ314" s="1305"/>
      <c r="BB314" s="169"/>
    </row>
    <row r="315" spans="18:54" ht="15.75" customHeight="1">
      <c r="R315" s="454"/>
      <c r="AZ315" s="1305"/>
      <c r="BB315" s="169"/>
    </row>
    <row r="316" spans="18:54" ht="15.75" customHeight="1">
      <c r="R316" s="454"/>
      <c r="AZ316" s="1305"/>
      <c r="BB316" s="169"/>
    </row>
    <row r="317" spans="18:54" ht="15.75" customHeight="1">
      <c r="R317" s="454"/>
      <c r="AZ317" s="1305"/>
      <c r="BB317" s="169"/>
    </row>
    <row r="318" spans="18:54" ht="15.75" customHeight="1">
      <c r="R318" s="454"/>
      <c r="AZ318" s="1305"/>
      <c r="BB318" s="169"/>
    </row>
    <row r="319" spans="18:54" ht="15.75" customHeight="1">
      <c r="R319" s="454"/>
      <c r="AZ319" s="1305"/>
      <c r="BB319" s="169"/>
    </row>
    <row r="320" spans="18:54" ht="15.75" customHeight="1">
      <c r="R320" s="454"/>
      <c r="AZ320" s="1305"/>
      <c r="BB320" s="169"/>
    </row>
    <row r="321" spans="18:54" ht="15.75" customHeight="1">
      <c r="R321" s="454"/>
      <c r="AZ321" s="1305"/>
      <c r="BB321" s="169"/>
    </row>
    <row r="322" spans="18:54" ht="15.75" customHeight="1">
      <c r="R322" s="454"/>
      <c r="AZ322" s="1305"/>
      <c r="BB322" s="169"/>
    </row>
    <row r="323" spans="18:54" ht="15.75" customHeight="1">
      <c r="R323" s="454"/>
      <c r="AZ323" s="1305"/>
      <c r="BB323" s="169"/>
    </row>
    <row r="324" spans="18:54" ht="15.75" customHeight="1">
      <c r="R324" s="454"/>
      <c r="AZ324" s="1305"/>
      <c r="BB324" s="169"/>
    </row>
    <row r="325" spans="18:54" ht="15.75" customHeight="1">
      <c r="R325" s="454"/>
      <c r="AZ325" s="1305"/>
      <c r="BB325" s="169"/>
    </row>
    <row r="326" spans="18:54" ht="15.75" customHeight="1">
      <c r="R326" s="454"/>
      <c r="AZ326" s="1305"/>
      <c r="BB326" s="169"/>
    </row>
    <row r="327" spans="18:54" ht="15.75" customHeight="1">
      <c r="R327" s="454"/>
      <c r="AZ327" s="1305"/>
      <c r="BB327" s="169"/>
    </row>
    <row r="328" spans="18:54" ht="15.75" customHeight="1">
      <c r="R328" s="454"/>
      <c r="AZ328" s="1305"/>
      <c r="BB328" s="169"/>
    </row>
    <row r="329" spans="18:54" ht="15.75" customHeight="1">
      <c r="R329" s="454"/>
      <c r="AZ329" s="1305"/>
      <c r="BB329" s="169"/>
    </row>
    <row r="330" spans="18:54" ht="15.75" customHeight="1">
      <c r="R330" s="454"/>
      <c r="AZ330" s="1305"/>
      <c r="BB330" s="169"/>
    </row>
    <row r="331" spans="18:54" ht="15.75" customHeight="1">
      <c r="R331" s="454"/>
      <c r="AZ331" s="1305"/>
      <c r="BB331" s="169"/>
    </row>
    <row r="332" spans="18:54" ht="15.75" customHeight="1">
      <c r="R332" s="454"/>
      <c r="AZ332" s="1305"/>
      <c r="BB332" s="169"/>
    </row>
    <row r="333" spans="18:54" ht="15.75" customHeight="1">
      <c r="R333" s="454"/>
      <c r="AZ333" s="1305"/>
      <c r="BB333" s="169"/>
    </row>
    <row r="334" spans="18:54" ht="15.75" customHeight="1">
      <c r="R334" s="454"/>
      <c r="AZ334" s="1305"/>
      <c r="BB334" s="169"/>
    </row>
    <row r="335" spans="18:54" ht="15.75" customHeight="1">
      <c r="R335" s="454"/>
      <c r="AZ335" s="1305"/>
      <c r="BB335" s="169"/>
    </row>
    <row r="336" spans="18:54" ht="15.75" customHeight="1">
      <c r="R336" s="454"/>
      <c r="AZ336" s="1305"/>
      <c r="BB336" s="169"/>
    </row>
    <row r="337" spans="18:54" ht="15.75" customHeight="1">
      <c r="R337" s="454"/>
      <c r="AZ337" s="1305"/>
      <c r="BB337" s="169"/>
    </row>
    <row r="338" spans="18:54" ht="15.75" customHeight="1">
      <c r="R338" s="454"/>
      <c r="AZ338" s="1305"/>
      <c r="BB338" s="169"/>
    </row>
    <row r="339" spans="18:54" ht="15.75" customHeight="1">
      <c r="R339" s="454"/>
      <c r="AZ339" s="1305"/>
      <c r="BB339" s="169"/>
    </row>
    <row r="340" spans="18:54" ht="15.75" customHeight="1">
      <c r="R340" s="454"/>
      <c r="AZ340" s="1305"/>
      <c r="BB340" s="169"/>
    </row>
    <row r="341" spans="18:54" ht="15.75" customHeight="1">
      <c r="R341" s="454"/>
      <c r="AZ341" s="1305"/>
      <c r="BB341" s="169"/>
    </row>
    <row r="342" spans="18:54" ht="15.75" customHeight="1">
      <c r="R342" s="454"/>
      <c r="AZ342" s="1305"/>
      <c r="BB342" s="169"/>
    </row>
    <row r="343" spans="18:54" ht="15.75" customHeight="1">
      <c r="R343" s="454"/>
      <c r="AZ343" s="1305"/>
      <c r="BB343" s="169"/>
    </row>
    <row r="344" spans="18:54" ht="15.75" customHeight="1">
      <c r="R344" s="454"/>
      <c r="AZ344" s="1305"/>
      <c r="BB344" s="169"/>
    </row>
    <row r="345" spans="18:54" ht="15.75" customHeight="1">
      <c r="R345" s="454"/>
      <c r="AZ345" s="1305"/>
      <c r="BB345" s="169"/>
    </row>
    <row r="346" spans="18:54" ht="15.75" customHeight="1">
      <c r="R346" s="454"/>
      <c r="AZ346" s="1305"/>
      <c r="BB346" s="169"/>
    </row>
    <row r="347" spans="18:54" ht="15.75" customHeight="1">
      <c r="R347" s="454"/>
      <c r="AZ347" s="1305"/>
      <c r="BB347" s="169"/>
    </row>
    <row r="348" spans="18:54" ht="15.75" customHeight="1">
      <c r="R348" s="454"/>
      <c r="AZ348" s="1305"/>
      <c r="BB348" s="169"/>
    </row>
    <row r="349" spans="18:54" ht="15.75" customHeight="1">
      <c r="R349" s="454"/>
      <c r="AZ349" s="1305"/>
      <c r="BB349" s="169"/>
    </row>
    <row r="350" spans="18:54" ht="15.75" customHeight="1">
      <c r="R350" s="454"/>
      <c r="AZ350" s="1305"/>
      <c r="BB350" s="169"/>
    </row>
    <row r="351" spans="18:54" ht="15.75" customHeight="1">
      <c r="R351" s="454"/>
      <c r="AZ351" s="1305"/>
      <c r="BB351" s="169"/>
    </row>
    <row r="352" spans="18:54" ht="15.75" customHeight="1">
      <c r="R352" s="454"/>
      <c r="AZ352" s="1305"/>
      <c r="BB352" s="169"/>
    </row>
    <row r="353" spans="18:54" ht="15.75" customHeight="1">
      <c r="R353" s="454"/>
      <c r="AZ353" s="1305"/>
      <c r="BB353" s="169"/>
    </row>
    <row r="354" spans="18:54" ht="15.75" customHeight="1">
      <c r="R354" s="454"/>
      <c r="AZ354" s="1305"/>
      <c r="BB354" s="169"/>
    </row>
    <row r="355" spans="18:54" ht="15.75" customHeight="1">
      <c r="R355" s="454"/>
      <c r="AZ355" s="1305"/>
      <c r="BB355" s="169"/>
    </row>
    <row r="356" spans="18:54" ht="15.75" customHeight="1">
      <c r="R356" s="454"/>
      <c r="AZ356" s="1305"/>
      <c r="BB356" s="169"/>
    </row>
    <row r="357" spans="18:54" ht="15.75" customHeight="1">
      <c r="R357" s="454"/>
      <c r="AZ357" s="1305"/>
      <c r="BB357" s="169"/>
    </row>
    <row r="358" spans="18:54" ht="15.75" customHeight="1">
      <c r="R358" s="454"/>
      <c r="AZ358" s="1305"/>
      <c r="BB358" s="169"/>
    </row>
    <row r="359" spans="18:54" ht="15.75" customHeight="1">
      <c r="R359" s="454"/>
      <c r="AZ359" s="1305"/>
      <c r="BB359" s="169"/>
    </row>
    <row r="360" spans="18:54" ht="15.75" customHeight="1">
      <c r="R360" s="454"/>
      <c r="AZ360" s="1305"/>
      <c r="BB360" s="169"/>
    </row>
    <row r="361" spans="18:54" ht="15.75" customHeight="1">
      <c r="R361" s="454"/>
      <c r="AZ361" s="1305"/>
      <c r="BB361" s="169"/>
    </row>
    <row r="362" spans="18:54" ht="15.75" customHeight="1">
      <c r="R362" s="454"/>
      <c r="AZ362" s="1305"/>
      <c r="BB362" s="169"/>
    </row>
    <row r="363" spans="18:54" ht="15.75" customHeight="1">
      <c r="R363" s="454"/>
      <c r="AZ363" s="1305"/>
      <c r="BB363" s="169"/>
    </row>
    <row r="364" spans="18:54" ht="15.75" customHeight="1">
      <c r="R364" s="454"/>
      <c r="AZ364" s="1305"/>
      <c r="BB364" s="169"/>
    </row>
    <row r="365" spans="18:54" ht="15.75" customHeight="1">
      <c r="R365" s="454"/>
      <c r="AZ365" s="1305"/>
      <c r="BB365" s="169"/>
    </row>
    <row r="366" spans="18:54" ht="15.75" customHeight="1">
      <c r="R366" s="454"/>
      <c r="AZ366" s="1305"/>
      <c r="BB366" s="169"/>
    </row>
    <row r="367" spans="18:54" ht="15.75" customHeight="1">
      <c r="R367" s="454"/>
      <c r="AZ367" s="1305"/>
      <c r="BB367" s="169"/>
    </row>
    <row r="368" spans="18:54" ht="15.75" customHeight="1">
      <c r="R368" s="454"/>
      <c r="AZ368" s="1305"/>
      <c r="BB368" s="169"/>
    </row>
    <row r="369" spans="18:54" ht="15.75" customHeight="1">
      <c r="R369" s="454"/>
      <c r="AZ369" s="1305"/>
      <c r="BB369" s="169"/>
    </row>
    <row r="370" spans="18:54" ht="15.75" customHeight="1">
      <c r="R370" s="454"/>
      <c r="AZ370" s="1305"/>
      <c r="BB370" s="169"/>
    </row>
    <row r="371" spans="18:54" ht="15.75" customHeight="1">
      <c r="R371" s="454"/>
      <c r="AZ371" s="1305"/>
      <c r="BB371" s="169"/>
    </row>
    <row r="372" spans="18:54" ht="15.75" customHeight="1">
      <c r="R372" s="454"/>
      <c r="AZ372" s="1305"/>
      <c r="BB372" s="169"/>
    </row>
    <row r="373" spans="18:54" ht="15.75" customHeight="1">
      <c r="R373" s="454"/>
      <c r="AZ373" s="1305"/>
      <c r="BB373" s="169"/>
    </row>
    <row r="374" spans="18:54" ht="15.75" customHeight="1">
      <c r="R374" s="454"/>
      <c r="AZ374" s="1305"/>
      <c r="BB374" s="169"/>
    </row>
    <row r="375" spans="18:54" ht="15.75" customHeight="1">
      <c r="R375" s="454"/>
      <c r="AZ375" s="1305"/>
      <c r="BB375" s="169"/>
    </row>
    <row r="376" spans="18:54" ht="15.75" customHeight="1">
      <c r="R376" s="454"/>
      <c r="AZ376" s="1305"/>
      <c r="BB376" s="169"/>
    </row>
    <row r="377" spans="18:54" ht="15.75" customHeight="1">
      <c r="R377" s="454"/>
      <c r="AZ377" s="1305"/>
      <c r="BB377" s="169"/>
    </row>
    <row r="378" spans="18:54" ht="15.75" customHeight="1">
      <c r="R378" s="454"/>
      <c r="AZ378" s="1305"/>
      <c r="BB378" s="169"/>
    </row>
    <row r="379" spans="18:54" ht="15.75" customHeight="1">
      <c r="R379" s="454"/>
      <c r="AZ379" s="1305"/>
      <c r="BB379" s="169"/>
    </row>
    <row r="380" spans="18:54" ht="15.75" customHeight="1">
      <c r="R380" s="454"/>
      <c r="AZ380" s="1305"/>
      <c r="BB380" s="169"/>
    </row>
    <row r="381" spans="18:54" ht="15.75" customHeight="1">
      <c r="R381" s="454"/>
      <c r="AZ381" s="1305"/>
      <c r="BB381" s="169"/>
    </row>
    <row r="382" spans="18:54" ht="15.75" customHeight="1">
      <c r="R382" s="454"/>
      <c r="AZ382" s="1305"/>
      <c r="BB382" s="169"/>
    </row>
    <row r="383" spans="18:54" ht="15.75" customHeight="1">
      <c r="R383" s="454"/>
      <c r="AZ383" s="1305"/>
      <c r="BB383" s="169"/>
    </row>
    <row r="384" spans="18:54" ht="15.75" customHeight="1">
      <c r="R384" s="454"/>
      <c r="AZ384" s="1305"/>
      <c r="BB384" s="169"/>
    </row>
    <row r="385" spans="18:54" ht="15.75" customHeight="1">
      <c r="R385" s="454"/>
      <c r="AZ385" s="1305"/>
      <c r="BB385" s="169"/>
    </row>
    <row r="386" spans="18:54" ht="15.75" customHeight="1">
      <c r="R386" s="454"/>
      <c r="AZ386" s="1305"/>
      <c r="BB386" s="169"/>
    </row>
    <row r="387" spans="18:54" ht="15.75" customHeight="1">
      <c r="R387" s="454"/>
      <c r="AZ387" s="1305"/>
      <c r="BB387" s="169"/>
    </row>
    <row r="388" spans="18:54" ht="15.75" customHeight="1">
      <c r="R388" s="454"/>
      <c r="AZ388" s="1305"/>
      <c r="BB388" s="169"/>
    </row>
    <row r="389" spans="18:54" ht="15.75" customHeight="1">
      <c r="R389" s="454"/>
      <c r="AZ389" s="1305"/>
      <c r="BB389" s="169"/>
    </row>
    <row r="390" spans="18:54" ht="15.75" customHeight="1">
      <c r="R390" s="454"/>
      <c r="AZ390" s="1305"/>
      <c r="BB390" s="169"/>
    </row>
    <row r="391" spans="18:54" ht="15.75" customHeight="1">
      <c r="R391" s="454"/>
      <c r="AZ391" s="1305"/>
      <c r="BB391" s="169"/>
    </row>
    <row r="392" spans="18:54" ht="15.75" customHeight="1">
      <c r="R392" s="454"/>
      <c r="AZ392" s="1305"/>
      <c r="BB392" s="169"/>
    </row>
    <row r="393" spans="18:54" ht="15.75" customHeight="1">
      <c r="R393" s="454"/>
      <c r="AZ393" s="1305"/>
      <c r="BB393" s="169"/>
    </row>
    <row r="394" spans="18:54" ht="15.75" customHeight="1">
      <c r="R394" s="454"/>
      <c r="AZ394" s="1305"/>
      <c r="BB394" s="169"/>
    </row>
    <row r="395" spans="18:54" ht="15.75" customHeight="1">
      <c r="R395" s="454"/>
      <c r="AZ395" s="1305"/>
      <c r="BB395" s="169"/>
    </row>
    <row r="396" spans="18:54" ht="15.75" customHeight="1">
      <c r="R396" s="454"/>
      <c r="AZ396" s="1305"/>
      <c r="BB396" s="169"/>
    </row>
    <row r="397" spans="18:54" ht="15.75" customHeight="1">
      <c r="R397" s="454"/>
      <c r="AZ397" s="1305"/>
      <c r="BB397" s="169"/>
    </row>
    <row r="398" spans="18:54" ht="15.75" customHeight="1">
      <c r="R398" s="454"/>
      <c r="AZ398" s="1305"/>
      <c r="BB398" s="169"/>
    </row>
    <row r="399" spans="18:54" ht="15.75" customHeight="1">
      <c r="R399" s="454"/>
      <c r="AZ399" s="1305"/>
      <c r="BB399" s="169"/>
    </row>
    <row r="400" spans="18:54" ht="15.75" customHeight="1">
      <c r="R400" s="454"/>
      <c r="AZ400" s="1305"/>
      <c r="BB400" s="169"/>
    </row>
    <row r="401" spans="18:54" ht="15.75" customHeight="1">
      <c r="R401" s="454"/>
      <c r="AZ401" s="1305"/>
      <c r="BB401" s="169"/>
    </row>
    <row r="402" spans="18:54" ht="15.75" customHeight="1">
      <c r="R402" s="454"/>
      <c r="AZ402" s="1305"/>
      <c r="BB402" s="169"/>
    </row>
    <row r="403" spans="18:54" ht="15.75" customHeight="1">
      <c r="R403" s="454"/>
      <c r="AZ403" s="1305"/>
      <c r="BB403" s="169"/>
    </row>
    <row r="404" spans="18:54" ht="15.75" customHeight="1">
      <c r="R404" s="454"/>
      <c r="AZ404" s="1305"/>
      <c r="BB404" s="169"/>
    </row>
    <row r="405" spans="18:54" ht="15.75" customHeight="1">
      <c r="R405" s="454"/>
      <c r="AZ405" s="1305"/>
      <c r="BB405" s="169"/>
    </row>
    <row r="406" spans="18:54" ht="15.75" customHeight="1">
      <c r="R406" s="454"/>
      <c r="AZ406" s="1305"/>
      <c r="BB406" s="169"/>
    </row>
    <row r="407" spans="18:54" ht="15.75" customHeight="1">
      <c r="R407" s="454"/>
      <c r="AZ407" s="1305"/>
      <c r="BB407" s="169"/>
    </row>
    <row r="408" spans="18:54" ht="15.75" customHeight="1">
      <c r="R408" s="454"/>
      <c r="AZ408" s="1305"/>
      <c r="BB408" s="169"/>
    </row>
    <row r="409" spans="18:54" ht="15.75" customHeight="1">
      <c r="R409" s="454"/>
      <c r="AZ409" s="1305"/>
      <c r="BB409" s="169"/>
    </row>
    <row r="410" spans="18:54" ht="15.75" customHeight="1">
      <c r="R410" s="454"/>
      <c r="AZ410" s="1305"/>
      <c r="BB410" s="169"/>
    </row>
    <row r="411" spans="18:54" ht="15.75" customHeight="1">
      <c r="R411" s="454"/>
      <c r="AZ411" s="1305"/>
      <c r="BB411" s="169"/>
    </row>
    <row r="412" spans="18:54" ht="15.75" customHeight="1">
      <c r="R412" s="454"/>
      <c r="AZ412" s="1305"/>
      <c r="BB412" s="169"/>
    </row>
    <row r="413" spans="18:54" ht="15.75" customHeight="1">
      <c r="R413" s="454"/>
      <c r="AZ413" s="1305"/>
      <c r="BB413" s="169"/>
    </row>
    <row r="414" spans="18:54" ht="15.75" customHeight="1">
      <c r="R414" s="454"/>
      <c r="AZ414" s="1305"/>
      <c r="BB414" s="169"/>
    </row>
    <row r="415" spans="18:54" ht="15.75" customHeight="1">
      <c r="R415" s="454"/>
      <c r="AZ415" s="1305"/>
      <c r="BB415" s="169"/>
    </row>
    <row r="416" spans="18:54" ht="15.75" customHeight="1">
      <c r="R416" s="454"/>
      <c r="AZ416" s="1305"/>
      <c r="BB416" s="169"/>
    </row>
    <row r="417" spans="18:54" ht="15.75" customHeight="1">
      <c r="R417" s="454"/>
      <c r="AZ417" s="1305"/>
      <c r="BB417" s="169"/>
    </row>
    <row r="418" spans="18:54" ht="15.75" customHeight="1">
      <c r="R418" s="454"/>
      <c r="AZ418" s="1305"/>
      <c r="BB418" s="169"/>
    </row>
    <row r="419" spans="18:54" ht="15.75" customHeight="1">
      <c r="R419" s="454"/>
      <c r="AZ419" s="1305"/>
      <c r="BB419" s="169"/>
    </row>
    <row r="420" spans="18:54" ht="15.75" customHeight="1">
      <c r="R420" s="454"/>
      <c r="AZ420" s="1305"/>
      <c r="BB420" s="169"/>
    </row>
    <row r="421" spans="18:54" ht="15.75" customHeight="1">
      <c r="R421" s="454"/>
      <c r="AZ421" s="1305"/>
      <c r="BB421" s="169"/>
    </row>
    <row r="422" spans="18:54" ht="15.75" customHeight="1">
      <c r="R422" s="454"/>
      <c r="AZ422" s="1305"/>
      <c r="BB422" s="169"/>
    </row>
    <row r="423" spans="18:54" ht="15.75" customHeight="1">
      <c r="R423" s="454"/>
      <c r="AZ423" s="1305"/>
      <c r="BB423" s="169"/>
    </row>
    <row r="424" spans="18:54" ht="15.75" customHeight="1">
      <c r="R424" s="454"/>
      <c r="AZ424" s="1305"/>
      <c r="BB424" s="169"/>
    </row>
    <row r="425" spans="18:54" ht="15.75" customHeight="1">
      <c r="R425" s="454"/>
      <c r="AZ425" s="1305"/>
      <c r="BB425" s="169"/>
    </row>
    <row r="426" spans="18:54" ht="15.75" customHeight="1">
      <c r="R426" s="454"/>
      <c r="AZ426" s="1305"/>
      <c r="BB426" s="169"/>
    </row>
    <row r="427" spans="18:54" ht="15.75" customHeight="1">
      <c r="R427" s="454"/>
      <c r="AZ427" s="1305"/>
      <c r="BB427" s="169"/>
    </row>
    <row r="428" spans="18:54" ht="15.75" customHeight="1">
      <c r="R428" s="454"/>
      <c r="AZ428" s="1305"/>
      <c r="BB428" s="169"/>
    </row>
    <row r="429" spans="18:54" ht="15.75" customHeight="1">
      <c r="R429" s="454"/>
      <c r="AZ429" s="1305"/>
      <c r="BB429" s="169"/>
    </row>
    <row r="430" spans="18:54" ht="15.75" customHeight="1">
      <c r="R430" s="454"/>
      <c r="AZ430" s="1305"/>
      <c r="BB430" s="169"/>
    </row>
    <row r="431" spans="18:54" ht="15.75" customHeight="1">
      <c r="R431" s="454"/>
      <c r="AZ431" s="1305"/>
      <c r="BB431" s="169"/>
    </row>
    <row r="432" spans="18:54" ht="15.75" customHeight="1">
      <c r="R432" s="454"/>
      <c r="AZ432" s="1305"/>
      <c r="BB432" s="169"/>
    </row>
    <row r="433" spans="18:54" ht="15.75" customHeight="1">
      <c r="R433" s="454"/>
      <c r="AZ433" s="1305"/>
      <c r="BB433" s="169"/>
    </row>
    <row r="434" spans="18:54" ht="15.75" customHeight="1">
      <c r="R434" s="454"/>
      <c r="AZ434" s="1305"/>
      <c r="BB434" s="169"/>
    </row>
    <row r="435" spans="18:54" ht="15.75" customHeight="1">
      <c r="R435" s="454"/>
      <c r="AZ435" s="1305"/>
      <c r="BB435" s="169"/>
    </row>
    <row r="436" spans="18:54" ht="15.75" customHeight="1">
      <c r="R436" s="454"/>
      <c r="AZ436" s="1305"/>
      <c r="BB436" s="169"/>
    </row>
    <row r="437" spans="18:54" ht="15.75" customHeight="1">
      <c r="R437" s="454"/>
      <c r="AZ437" s="1305"/>
      <c r="BB437" s="169"/>
    </row>
    <row r="438" spans="18:54" ht="15.75" customHeight="1">
      <c r="R438" s="454"/>
      <c r="AZ438" s="1305"/>
      <c r="BB438" s="169"/>
    </row>
    <row r="439" spans="18:54" ht="15.75" customHeight="1">
      <c r="R439" s="454"/>
      <c r="AZ439" s="1305"/>
      <c r="BB439" s="169"/>
    </row>
    <row r="440" spans="18:54" ht="15.75" customHeight="1">
      <c r="R440" s="454"/>
      <c r="AZ440" s="1305"/>
      <c r="BB440" s="169"/>
    </row>
    <row r="441" spans="18:54" ht="15.75" customHeight="1">
      <c r="R441" s="454"/>
      <c r="AZ441" s="1305"/>
      <c r="BB441" s="169"/>
    </row>
    <row r="442" spans="18:54" ht="15.75" customHeight="1">
      <c r="R442" s="454"/>
      <c r="AZ442" s="1305"/>
      <c r="BB442" s="169"/>
    </row>
    <row r="443" spans="18:54" ht="15.75" customHeight="1">
      <c r="R443" s="454"/>
      <c r="AZ443" s="1305"/>
      <c r="BB443" s="169"/>
    </row>
    <row r="444" spans="18:54" ht="15.75" customHeight="1">
      <c r="R444" s="454"/>
      <c r="AZ444" s="1305"/>
      <c r="BB444" s="169"/>
    </row>
    <row r="445" spans="18:54" ht="15.75" customHeight="1">
      <c r="R445" s="454"/>
      <c r="AZ445" s="1305"/>
      <c r="BB445" s="169"/>
    </row>
    <row r="446" spans="18:54" ht="15.75" customHeight="1">
      <c r="R446" s="454"/>
      <c r="AZ446" s="1305"/>
      <c r="BB446" s="169"/>
    </row>
    <row r="447" spans="18:54" ht="15.75" customHeight="1">
      <c r="R447" s="454"/>
      <c r="AZ447" s="1305"/>
      <c r="BB447" s="169"/>
    </row>
    <row r="448" spans="18:54" ht="15.75" customHeight="1">
      <c r="R448" s="454"/>
      <c r="AZ448" s="1305"/>
      <c r="BB448" s="169"/>
    </row>
    <row r="449" spans="18:54" ht="15.75" customHeight="1">
      <c r="R449" s="454"/>
      <c r="AZ449" s="1305"/>
      <c r="BB449" s="169"/>
    </row>
    <row r="450" spans="18:54" ht="15.75" customHeight="1">
      <c r="R450" s="454"/>
      <c r="AZ450" s="1305"/>
      <c r="BB450" s="169"/>
    </row>
    <row r="451" spans="18:54" ht="15.75" customHeight="1">
      <c r="R451" s="454"/>
      <c r="AZ451" s="1305"/>
      <c r="BB451" s="169"/>
    </row>
    <row r="452" spans="18:54" ht="15.75" customHeight="1">
      <c r="R452" s="454"/>
      <c r="AZ452" s="1305"/>
      <c r="BB452" s="169"/>
    </row>
    <row r="453" spans="18:54" ht="15.75" customHeight="1">
      <c r="R453" s="454"/>
      <c r="AZ453" s="1305"/>
      <c r="BB453" s="169"/>
    </row>
    <row r="454" spans="18:54" ht="15.75" customHeight="1">
      <c r="R454" s="454"/>
      <c r="AZ454" s="1305"/>
      <c r="BB454" s="169"/>
    </row>
    <row r="455" spans="18:54" ht="15.75" customHeight="1">
      <c r="R455" s="454"/>
      <c r="AZ455" s="1305"/>
      <c r="BB455" s="169"/>
    </row>
    <row r="456" spans="18:54" ht="15.75" customHeight="1">
      <c r="R456" s="454"/>
      <c r="AZ456" s="1305"/>
      <c r="BB456" s="169"/>
    </row>
    <row r="457" spans="18:54" ht="15.75" customHeight="1">
      <c r="R457" s="454"/>
      <c r="AZ457" s="1305"/>
      <c r="BB457" s="169"/>
    </row>
    <row r="458" spans="18:54" ht="15.75" customHeight="1">
      <c r="R458" s="454"/>
      <c r="AZ458" s="1305"/>
      <c r="BB458" s="169"/>
    </row>
    <row r="459" spans="18:54" ht="15.75" customHeight="1">
      <c r="R459" s="454"/>
      <c r="AZ459" s="1305"/>
      <c r="BB459" s="169"/>
    </row>
    <row r="460" spans="18:54" ht="15.75" customHeight="1">
      <c r="R460" s="454"/>
      <c r="AZ460" s="1305"/>
      <c r="BB460" s="169"/>
    </row>
    <row r="461" spans="18:54" ht="15.75" customHeight="1">
      <c r="R461" s="454"/>
      <c r="AZ461" s="1305"/>
      <c r="BB461" s="169"/>
    </row>
    <row r="462" spans="18:54" ht="15.75" customHeight="1">
      <c r="R462" s="454"/>
      <c r="AZ462" s="1305"/>
      <c r="BB462" s="169"/>
    </row>
    <row r="463" spans="18:54" ht="15.75" customHeight="1">
      <c r="R463" s="454"/>
      <c r="AZ463" s="1305"/>
      <c r="BB463" s="169"/>
    </row>
    <row r="464" spans="18:54" ht="15.75" customHeight="1">
      <c r="R464" s="454"/>
      <c r="AZ464" s="1305"/>
      <c r="BB464" s="169"/>
    </row>
    <row r="465" spans="18:54" ht="15.75" customHeight="1">
      <c r="R465" s="454"/>
      <c r="AZ465" s="1305"/>
      <c r="BB465" s="169"/>
    </row>
    <row r="466" spans="18:54" ht="15.75" customHeight="1">
      <c r="R466" s="454"/>
      <c r="AZ466" s="1305"/>
      <c r="BB466" s="169"/>
    </row>
    <row r="467" spans="18:54" ht="15.75" customHeight="1">
      <c r="R467" s="454"/>
      <c r="AZ467" s="1305"/>
      <c r="BB467" s="169"/>
    </row>
    <row r="468" spans="18:54" ht="15.75" customHeight="1">
      <c r="R468" s="454"/>
      <c r="AZ468" s="1305"/>
      <c r="BB468" s="169"/>
    </row>
    <row r="469" spans="18:54" ht="15.75" customHeight="1">
      <c r="R469" s="454"/>
      <c r="AZ469" s="1305"/>
      <c r="BB469" s="169"/>
    </row>
    <row r="470" spans="18:54" ht="15.75" customHeight="1">
      <c r="R470" s="454"/>
      <c r="AZ470" s="1305"/>
      <c r="BB470" s="169"/>
    </row>
    <row r="471" spans="18:54" ht="15.75" customHeight="1">
      <c r="R471" s="454"/>
      <c r="AZ471" s="1305"/>
      <c r="BB471" s="169"/>
    </row>
    <row r="472" spans="18:54" ht="15.75" customHeight="1">
      <c r="R472" s="454"/>
      <c r="AZ472" s="1305"/>
      <c r="BB472" s="169"/>
    </row>
    <row r="473" spans="18:54" ht="15.75" customHeight="1">
      <c r="R473" s="454"/>
      <c r="AZ473" s="1305"/>
      <c r="BB473" s="169"/>
    </row>
    <row r="474" spans="18:54" ht="15.75" customHeight="1">
      <c r="R474" s="454"/>
      <c r="AZ474" s="1305"/>
      <c r="BB474" s="169"/>
    </row>
    <row r="475" spans="18:54" ht="15.75" customHeight="1">
      <c r="R475" s="454"/>
      <c r="AZ475" s="1305"/>
      <c r="BB475" s="169"/>
    </row>
    <row r="476" spans="18:54" ht="15.75" customHeight="1">
      <c r="R476" s="454"/>
      <c r="AZ476" s="1305"/>
      <c r="BB476" s="169"/>
    </row>
    <row r="477" spans="18:54" ht="15.75" customHeight="1">
      <c r="R477" s="454"/>
      <c r="AZ477" s="1305"/>
      <c r="BB477" s="169"/>
    </row>
    <row r="478" spans="18:54" ht="15.75" customHeight="1">
      <c r="R478" s="454"/>
      <c r="AZ478" s="1305"/>
      <c r="BB478" s="169"/>
    </row>
    <row r="479" spans="18:54" ht="15.75" customHeight="1">
      <c r="R479" s="454"/>
      <c r="AZ479" s="1305"/>
      <c r="BB479" s="169"/>
    </row>
    <row r="480" spans="18:54" ht="15.75" customHeight="1">
      <c r="R480" s="454"/>
      <c r="AZ480" s="1305"/>
      <c r="BB480" s="169"/>
    </row>
    <row r="481" spans="18:54" ht="15.75" customHeight="1">
      <c r="R481" s="454"/>
      <c r="AZ481" s="1305"/>
      <c r="BB481" s="169"/>
    </row>
    <row r="482" spans="18:54" ht="15.75" customHeight="1">
      <c r="R482" s="454"/>
      <c r="AZ482" s="1305"/>
      <c r="BB482" s="169"/>
    </row>
    <row r="483" spans="18:54" ht="15.75" customHeight="1">
      <c r="R483" s="454"/>
      <c r="AZ483" s="1305"/>
      <c r="BB483" s="169"/>
    </row>
    <row r="484" spans="18:54" ht="15.75" customHeight="1">
      <c r="R484" s="454"/>
      <c r="AZ484" s="1305"/>
      <c r="BB484" s="169"/>
    </row>
    <row r="485" spans="18:54" ht="15.75" customHeight="1">
      <c r="R485" s="454"/>
      <c r="AZ485" s="1305"/>
      <c r="BB485" s="169"/>
    </row>
    <row r="486" spans="18:54" ht="15.75" customHeight="1">
      <c r="R486" s="454"/>
      <c r="AZ486" s="1305"/>
      <c r="BB486" s="169"/>
    </row>
    <row r="487" spans="18:54" ht="15.75" customHeight="1">
      <c r="R487" s="454"/>
      <c r="AZ487" s="1305"/>
      <c r="BB487" s="169"/>
    </row>
    <row r="488" spans="18:54" ht="15.75" customHeight="1">
      <c r="R488" s="454"/>
      <c r="AZ488" s="1305"/>
      <c r="BB488" s="169"/>
    </row>
    <row r="489" spans="18:54" ht="15.75" customHeight="1">
      <c r="R489" s="454"/>
      <c r="AZ489" s="1305"/>
      <c r="BB489" s="169"/>
    </row>
    <row r="490" spans="18:54" ht="15.75" customHeight="1">
      <c r="R490" s="454"/>
      <c r="AZ490" s="1305"/>
      <c r="BB490" s="169"/>
    </row>
    <row r="491" spans="18:54" ht="15.75" customHeight="1">
      <c r="R491" s="454"/>
      <c r="AZ491" s="1305"/>
      <c r="BB491" s="169"/>
    </row>
    <row r="492" spans="18:54" ht="15.75" customHeight="1">
      <c r="R492" s="454"/>
      <c r="AZ492" s="1305"/>
      <c r="BB492" s="169"/>
    </row>
    <row r="493" spans="18:54" ht="15.75" customHeight="1">
      <c r="R493" s="454"/>
      <c r="AZ493" s="1305"/>
      <c r="BB493" s="169"/>
    </row>
    <row r="494" spans="18:54" ht="15.75" customHeight="1">
      <c r="R494" s="454"/>
      <c r="AZ494" s="1305"/>
      <c r="BB494" s="169"/>
    </row>
    <row r="495" spans="18:54" ht="15.75" customHeight="1">
      <c r="R495" s="454"/>
      <c r="AZ495" s="1305"/>
      <c r="BB495" s="169"/>
    </row>
    <row r="496" spans="18:54" ht="15.75" customHeight="1">
      <c r="R496" s="454"/>
      <c r="AZ496" s="1305"/>
      <c r="BB496" s="169"/>
    </row>
    <row r="497" spans="18:54" ht="15.75" customHeight="1">
      <c r="R497" s="454"/>
      <c r="AZ497" s="1305"/>
      <c r="BB497" s="169"/>
    </row>
    <row r="498" spans="18:54" ht="15.75" customHeight="1">
      <c r="R498" s="454"/>
      <c r="AZ498" s="1305"/>
      <c r="BB498" s="169"/>
    </row>
    <row r="499" spans="18:54" ht="15.75" customHeight="1">
      <c r="R499" s="454"/>
      <c r="AZ499" s="1305"/>
      <c r="BB499" s="169"/>
    </row>
    <row r="500" spans="18:54" ht="15.75" customHeight="1">
      <c r="R500" s="454"/>
      <c r="AZ500" s="1305"/>
      <c r="BB500" s="169"/>
    </row>
    <row r="501" spans="18:54" ht="15.75" customHeight="1">
      <c r="R501" s="454"/>
      <c r="AZ501" s="1305"/>
      <c r="BB501" s="169"/>
    </row>
    <row r="502" spans="18:54" ht="15.75" customHeight="1">
      <c r="R502" s="454"/>
      <c r="AZ502" s="1305"/>
      <c r="BB502" s="169"/>
    </row>
    <row r="503" spans="18:54" ht="15.75" customHeight="1">
      <c r="R503" s="454"/>
      <c r="AZ503" s="1305"/>
      <c r="BB503" s="169"/>
    </row>
    <row r="504" spans="18:54" ht="15.75" customHeight="1">
      <c r="R504" s="454"/>
      <c r="AU504" s="177"/>
      <c r="AV504" s="177"/>
      <c r="AW504" s="177"/>
      <c r="AZ504" s="1307"/>
      <c r="BB504" s="169"/>
    </row>
    <row r="505" spans="18:54" ht="15.75" customHeight="1">
      <c r="R505" s="454"/>
      <c r="AU505" s="177"/>
      <c r="AV505" s="177"/>
      <c r="AW505" s="177"/>
      <c r="AZ505" s="1307"/>
      <c r="BB505" s="169"/>
    </row>
    <row r="506" spans="18:54" ht="15.75" customHeight="1">
      <c r="R506" s="454"/>
      <c r="AT506" s="177"/>
      <c r="AU506" s="177"/>
      <c r="AV506" s="177"/>
      <c r="AW506" s="177"/>
      <c r="AZ506" s="1307"/>
      <c r="BB506" s="169"/>
    </row>
    <row r="507" spans="18:54" ht="15.75" customHeight="1">
      <c r="R507" s="454"/>
      <c r="AT507" s="177"/>
      <c r="AU507" s="177"/>
      <c r="AV507" s="177"/>
      <c r="AW507" s="177"/>
      <c r="AZ507" s="1307"/>
      <c r="BB507" s="169"/>
    </row>
    <row r="508" spans="18:54" ht="15.75" customHeight="1">
      <c r="R508" s="454"/>
      <c r="AT508" s="177"/>
      <c r="AU508" s="177"/>
      <c r="AV508" s="177"/>
      <c r="AW508" s="177"/>
      <c r="AZ508" s="1307"/>
      <c r="BB508" s="169"/>
    </row>
    <row r="509" spans="18:54" ht="15.75" customHeight="1">
      <c r="R509" s="454"/>
      <c r="AT509" s="177"/>
      <c r="AU509" s="177"/>
      <c r="AV509" s="177"/>
      <c r="AW509" s="177"/>
      <c r="AZ509" s="1307"/>
      <c r="BB509" s="169"/>
    </row>
    <row r="510" spans="18:54" ht="15.75" customHeight="1">
      <c r="R510" s="454"/>
      <c r="AT510" s="177"/>
      <c r="AU510" s="177"/>
      <c r="AV510" s="177"/>
      <c r="AW510" s="177"/>
      <c r="AZ510" s="1307"/>
      <c r="BB510" s="169"/>
    </row>
    <row r="511" spans="18:54" ht="15.75" customHeight="1">
      <c r="R511" s="454"/>
      <c r="AT511" s="177"/>
      <c r="AU511" s="177"/>
      <c r="AV511" s="177"/>
      <c r="AW511" s="177"/>
      <c r="AZ511" s="1307"/>
      <c r="BB511" s="169"/>
    </row>
    <row r="512" spans="18:54" ht="15.75" customHeight="1">
      <c r="R512" s="454"/>
      <c r="AT512" s="177"/>
      <c r="AU512" s="177"/>
      <c r="AV512" s="177"/>
      <c r="AW512" s="177"/>
      <c r="AZ512" s="1307"/>
      <c r="BB512" s="169"/>
    </row>
    <row r="513" spans="18:54" ht="15.75" customHeight="1">
      <c r="R513" s="454"/>
      <c r="AT513" s="177"/>
      <c r="AU513" s="177"/>
      <c r="AV513" s="177"/>
      <c r="AW513" s="177"/>
      <c r="AZ513" s="1307"/>
      <c r="BB513" s="169"/>
    </row>
    <row r="514" spans="18:54" ht="15.75" customHeight="1">
      <c r="R514" s="454"/>
      <c r="AT514" s="177"/>
      <c r="AU514" s="177"/>
      <c r="AV514" s="177"/>
      <c r="AW514" s="177"/>
      <c r="AZ514" s="1307"/>
      <c r="BB514" s="169"/>
    </row>
    <row r="515" spans="18:54" ht="15.75" customHeight="1">
      <c r="R515" s="454"/>
      <c r="AT515" s="177"/>
      <c r="AU515" s="177"/>
      <c r="AV515" s="177"/>
      <c r="AW515" s="177"/>
      <c r="AZ515" s="1307"/>
      <c r="BB515" s="169"/>
    </row>
    <row r="516" spans="18:54" ht="15.75" customHeight="1">
      <c r="R516" s="454"/>
      <c r="AT516" s="177"/>
      <c r="AU516" s="177"/>
      <c r="AV516" s="177"/>
      <c r="AW516" s="177"/>
      <c r="AZ516" s="1307"/>
      <c r="BB516" s="169"/>
    </row>
    <row r="517" spans="18:54" ht="15.75" customHeight="1">
      <c r="R517" s="454"/>
      <c r="AT517" s="177"/>
      <c r="AZ517" s="1305"/>
      <c r="BB517" s="169"/>
    </row>
    <row r="518" spans="18:54" ht="15.75" customHeight="1">
      <c r="R518" s="454"/>
      <c r="AT518" s="177"/>
      <c r="AZ518" s="1305"/>
      <c r="BB518" s="169"/>
    </row>
    <row r="519" spans="18:54" ht="15.75" customHeight="1">
      <c r="R519" s="454"/>
      <c r="AZ519" s="1305"/>
      <c r="BB519" s="169"/>
    </row>
    <row r="520" spans="18:54" ht="15.75" customHeight="1">
      <c r="R520" s="454"/>
      <c r="AZ520" s="1305"/>
      <c r="BB520" s="169"/>
    </row>
    <row r="521" spans="18:54" ht="15.75" customHeight="1">
      <c r="R521" s="454"/>
      <c r="AZ521" s="1305"/>
      <c r="BB521" s="169"/>
    </row>
    <row r="522" spans="18:54" ht="15.75" customHeight="1">
      <c r="R522" s="454"/>
      <c r="AU522" s="177"/>
      <c r="AV522" s="177"/>
      <c r="AW522" s="177"/>
      <c r="AZ522" s="1307"/>
      <c r="BB522" s="169"/>
    </row>
    <row r="523" spans="18:54" ht="15.75" customHeight="1">
      <c r="R523" s="454"/>
      <c r="AU523" s="177"/>
      <c r="AV523" s="177"/>
      <c r="AW523" s="177"/>
      <c r="AZ523" s="1307"/>
      <c r="BB523" s="169"/>
    </row>
    <row r="524" spans="18:54" ht="15.75" customHeight="1">
      <c r="R524" s="454"/>
      <c r="AT524" s="177"/>
      <c r="AU524" s="177"/>
      <c r="AV524" s="177"/>
      <c r="AW524" s="177"/>
      <c r="AZ524" s="1307"/>
      <c r="BB524" s="169"/>
    </row>
    <row r="525" spans="18:54" ht="15.75" customHeight="1">
      <c r="R525" s="454"/>
      <c r="AT525" s="177"/>
      <c r="AU525" s="177"/>
      <c r="AV525" s="177"/>
      <c r="AW525" s="177"/>
      <c r="AZ525" s="1307"/>
      <c r="BB525" s="169"/>
    </row>
    <row r="526" spans="18:54" ht="15.75" customHeight="1">
      <c r="R526" s="454"/>
      <c r="AT526" s="177"/>
      <c r="AU526" s="177"/>
      <c r="AV526" s="177"/>
      <c r="AW526" s="177"/>
      <c r="AZ526" s="1307"/>
      <c r="BB526" s="169"/>
    </row>
    <row r="527" spans="18:54" ht="15.75" customHeight="1">
      <c r="R527" s="454"/>
      <c r="AT527" s="177"/>
      <c r="AZ527" s="1305"/>
      <c r="BB527" s="169"/>
    </row>
    <row r="528" spans="18:54" ht="15.75" customHeight="1">
      <c r="R528" s="454"/>
      <c r="AT528" s="177"/>
      <c r="AZ528" s="1305"/>
      <c r="BB528" s="169"/>
    </row>
    <row r="529" spans="18:54" ht="15.75" customHeight="1">
      <c r="R529" s="454"/>
      <c r="AZ529" s="1305"/>
      <c r="BB529" s="169"/>
    </row>
    <row r="530" spans="18:54" ht="15.75" customHeight="1">
      <c r="R530" s="454"/>
      <c r="AU530" s="177"/>
      <c r="AV530" s="177"/>
      <c r="AW530" s="177"/>
      <c r="AZ530" s="1307"/>
      <c r="BB530" s="169"/>
    </row>
    <row r="531" spans="18:54" ht="15.75" customHeight="1">
      <c r="R531" s="454"/>
      <c r="AU531" s="177"/>
      <c r="AV531" s="177"/>
      <c r="AW531" s="177"/>
      <c r="AZ531" s="1307"/>
      <c r="BB531" s="169"/>
    </row>
    <row r="532" spans="18:54" ht="15.75" customHeight="1">
      <c r="R532" s="454"/>
      <c r="AT532" s="177"/>
      <c r="AU532" s="177"/>
      <c r="AV532" s="177"/>
      <c r="AW532" s="177"/>
      <c r="AZ532" s="1307"/>
      <c r="BB532" s="169"/>
    </row>
    <row r="533" spans="18:54" ht="15.75" customHeight="1">
      <c r="R533" s="454"/>
      <c r="AT533" s="177"/>
      <c r="AU533" s="177"/>
      <c r="AV533" s="177"/>
      <c r="AW533" s="177"/>
      <c r="AZ533" s="1307"/>
      <c r="BB533" s="169"/>
    </row>
    <row r="534" spans="18:54" ht="15.75" customHeight="1">
      <c r="R534" s="454"/>
      <c r="AT534" s="177"/>
      <c r="AU534" s="177"/>
      <c r="AV534" s="177"/>
      <c r="AW534" s="177"/>
      <c r="AZ534" s="1307"/>
      <c r="BB534" s="169"/>
    </row>
    <row r="535" spans="18:54" ht="15.75" customHeight="1">
      <c r="R535" s="454"/>
      <c r="AT535" s="177"/>
      <c r="AU535" s="177"/>
      <c r="AV535" s="177"/>
      <c r="AW535" s="177"/>
      <c r="AZ535" s="1307"/>
      <c r="BB535" s="169"/>
    </row>
    <row r="536" spans="18:54" ht="15.75" customHeight="1">
      <c r="R536" s="454"/>
      <c r="AT536" s="177"/>
      <c r="AU536" s="177"/>
      <c r="AV536" s="177"/>
      <c r="AW536" s="177"/>
      <c r="AZ536" s="1307"/>
      <c r="BB536" s="169"/>
    </row>
    <row r="537" spans="18:54" ht="15.75" customHeight="1">
      <c r="R537" s="454"/>
      <c r="AT537" s="177"/>
      <c r="AZ537" s="1305"/>
      <c r="BB537" s="169"/>
    </row>
    <row r="538" spans="18:54" ht="15.75" customHeight="1">
      <c r="R538" s="454"/>
      <c r="AT538" s="177"/>
      <c r="AZ538" s="1305"/>
      <c r="BB538" s="169"/>
    </row>
    <row r="539" spans="18:54" ht="15.75" customHeight="1">
      <c r="R539" s="454"/>
      <c r="AZ539" s="1305"/>
      <c r="BB539" s="169"/>
    </row>
    <row r="540" spans="18:54" ht="15.75" customHeight="1">
      <c r="R540" s="454"/>
      <c r="AZ540" s="1305"/>
      <c r="BB540" s="169"/>
    </row>
    <row r="541" spans="18:54" ht="15.75" customHeight="1">
      <c r="R541" s="454"/>
      <c r="AZ541" s="1305"/>
      <c r="BB541" s="169"/>
    </row>
    <row r="542" spans="18:54" ht="15.75" customHeight="1">
      <c r="R542" s="454"/>
      <c r="AZ542" s="1305"/>
      <c r="BB542" s="169"/>
    </row>
    <row r="543" spans="18:54" ht="15.75" customHeight="1">
      <c r="R543" s="454"/>
      <c r="AZ543" s="1305"/>
      <c r="BB543" s="169"/>
    </row>
    <row r="544" spans="18:54" ht="15.75" customHeight="1">
      <c r="R544" s="454"/>
      <c r="AZ544" s="1305"/>
      <c r="BB544" s="169"/>
    </row>
    <row r="545" spans="18:54" ht="15.75" customHeight="1">
      <c r="R545" s="454"/>
      <c r="AZ545" s="1305"/>
      <c r="BB545" s="169"/>
    </row>
    <row r="546" spans="18:54" ht="15.75" customHeight="1">
      <c r="R546" s="454"/>
      <c r="AZ546" s="1305"/>
      <c r="BB546" s="169"/>
    </row>
    <row r="547" spans="18:54" ht="15.75" customHeight="1">
      <c r="R547" s="454"/>
      <c r="AZ547" s="1305"/>
      <c r="BB547" s="169"/>
    </row>
    <row r="548" spans="18:54" ht="15.75" customHeight="1">
      <c r="R548" s="454"/>
      <c r="AZ548" s="1305"/>
      <c r="BB548" s="169"/>
    </row>
    <row r="549" spans="18:54" ht="15.75" customHeight="1">
      <c r="R549" s="454"/>
      <c r="AZ549" s="1305"/>
      <c r="BB549" s="169"/>
    </row>
    <row r="550" spans="18:54" ht="15.75" customHeight="1">
      <c r="R550" s="454"/>
      <c r="AZ550" s="1305"/>
      <c r="BB550" s="169"/>
    </row>
    <row r="551" spans="18:54" ht="15.75" customHeight="1">
      <c r="R551" s="454"/>
      <c r="AZ551" s="1305"/>
      <c r="BB551" s="169"/>
    </row>
    <row r="552" spans="18:54" ht="15.75" customHeight="1">
      <c r="R552" s="454"/>
      <c r="AZ552" s="1305"/>
      <c r="BB552" s="169"/>
    </row>
    <row r="553" spans="18:54" ht="15.75" customHeight="1">
      <c r="R553" s="454"/>
      <c r="AZ553" s="1305"/>
      <c r="BB553" s="169"/>
    </row>
    <row r="554" spans="18:54" ht="15.75" customHeight="1">
      <c r="R554" s="454"/>
      <c r="AZ554" s="1305"/>
      <c r="BB554" s="169"/>
    </row>
    <row r="555" spans="18:54" ht="15.75" customHeight="1">
      <c r="R555" s="454"/>
      <c r="AZ555" s="1305"/>
      <c r="BB555" s="169"/>
    </row>
    <row r="556" spans="18:54" ht="15.75" customHeight="1">
      <c r="R556" s="454"/>
      <c r="AZ556" s="1305"/>
      <c r="BB556" s="169"/>
    </row>
    <row r="557" spans="18:54" ht="15.75" customHeight="1">
      <c r="R557" s="454"/>
      <c r="AZ557" s="1305"/>
      <c r="BB557" s="169"/>
    </row>
    <row r="558" spans="18:54" ht="15.75" customHeight="1">
      <c r="R558" s="454"/>
      <c r="AZ558" s="1305"/>
      <c r="BB558" s="169"/>
    </row>
    <row r="559" spans="18:54" ht="15.75" customHeight="1">
      <c r="R559" s="454"/>
      <c r="AZ559" s="1305"/>
      <c r="BB559" s="169"/>
    </row>
    <row r="560" spans="18:54" ht="15.75" customHeight="1">
      <c r="R560" s="454"/>
      <c r="AZ560" s="1305"/>
      <c r="BB560" s="169"/>
    </row>
    <row r="561" spans="18:54" ht="15.75" customHeight="1">
      <c r="R561" s="454"/>
      <c r="AZ561" s="1305"/>
      <c r="BB561" s="169"/>
    </row>
    <row r="562" spans="18:54" ht="15.75" customHeight="1">
      <c r="R562" s="454"/>
      <c r="AZ562" s="1305"/>
      <c r="BB562" s="169"/>
    </row>
    <row r="563" spans="18:54" ht="15.75" customHeight="1">
      <c r="R563" s="454"/>
      <c r="AZ563" s="1305"/>
      <c r="BB563" s="169"/>
    </row>
    <row r="564" spans="18:54" ht="15.75" customHeight="1">
      <c r="R564" s="454"/>
      <c r="AZ564" s="1305"/>
      <c r="BB564" s="169"/>
    </row>
    <row r="565" spans="18:54" ht="15.75" customHeight="1">
      <c r="R565" s="454"/>
      <c r="AZ565" s="1305"/>
      <c r="BB565" s="169"/>
    </row>
    <row r="566" spans="18:54" ht="15.75" customHeight="1">
      <c r="R566" s="454"/>
      <c r="AZ566" s="1305"/>
      <c r="BB566" s="169"/>
    </row>
    <row r="567" spans="18:54" ht="15.75" customHeight="1">
      <c r="R567" s="454"/>
      <c r="AZ567" s="1305"/>
      <c r="BB567" s="169"/>
    </row>
    <row r="568" spans="18:54" ht="15.75" customHeight="1">
      <c r="R568" s="454"/>
      <c r="AZ568" s="1305"/>
      <c r="BB568" s="169"/>
    </row>
    <row r="569" spans="18:54" ht="15.75" customHeight="1">
      <c r="R569" s="454"/>
      <c r="AZ569" s="1305"/>
      <c r="BB569" s="169"/>
    </row>
    <row r="570" spans="18:54" ht="15.75" customHeight="1">
      <c r="R570" s="454"/>
      <c r="AZ570" s="1305"/>
      <c r="BB570" s="169"/>
    </row>
    <row r="571" spans="18:54" ht="15.75" customHeight="1">
      <c r="R571" s="454"/>
      <c r="AZ571" s="1305"/>
      <c r="BB571" s="169"/>
    </row>
    <row r="572" spans="18:54" ht="15.75" customHeight="1">
      <c r="R572" s="454"/>
      <c r="AZ572" s="1305"/>
      <c r="BB572" s="169"/>
    </row>
    <row r="573" spans="18:54" ht="15.75" customHeight="1">
      <c r="R573" s="454"/>
      <c r="AZ573" s="1305"/>
      <c r="BB573" s="169"/>
    </row>
    <row r="574" spans="18:54" ht="15.75" customHeight="1">
      <c r="R574" s="454"/>
      <c r="AZ574" s="1305"/>
      <c r="BB574" s="169"/>
    </row>
    <row r="575" spans="18:54" ht="15.75" customHeight="1">
      <c r="R575" s="454"/>
      <c r="AZ575" s="1305"/>
      <c r="BB575" s="169"/>
    </row>
    <row r="576" spans="18:54" ht="15.75" customHeight="1">
      <c r="R576" s="454"/>
      <c r="AZ576" s="1305"/>
      <c r="BB576" s="169"/>
    </row>
    <row r="577" spans="18:54" ht="15.75" customHeight="1">
      <c r="R577" s="454"/>
      <c r="AZ577" s="1305"/>
      <c r="BB577" s="169"/>
    </row>
    <row r="578" spans="18:54" ht="15.75" customHeight="1">
      <c r="R578" s="454"/>
      <c r="AZ578" s="1305"/>
      <c r="BB578" s="169"/>
    </row>
    <row r="579" spans="18:54" ht="15.75" customHeight="1">
      <c r="R579" s="454"/>
      <c r="AZ579" s="1305"/>
      <c r="BB579" s="169"/>
    </row>
    <row r="580" spans="18:54" ht="15.75" customHeight="1">
      <c r="R580" s="454"/>
      <c r="AZ580" s="1305"/>
      <c r="BB580" s="169"/>
    </row>
    <row r="581" spans="18:54" ht="15.75" customHeight="1">
      <c r="R581" s="454"/>
      <c r="AZ581" s="1305"/>
      <c r="BB581" s="169"/>
    </row>
    <row r="582" spans="18:54" ht="15.75" customHeight="1">
      <c r="R582" s="454"/>
      <c r="AZ582" s="1305"/>
      <c r="BB582" s="169"/>
    </row>
    <row r="583" spans="18:54" ht="15.75" customHeight="1">
      <c r="R583" s="454"/>
      <c r="AZ583" s="1305"/>
      <c r="BB583" s="169"/>
    </row>
    <row r="584" spans="18:54" ht="15.75" customHeight="1">
      <c r="R584" s="454"/>
      <c r="AZ584" s="1305"/>
      <c r="BB584" s="169"/>
    </row>
    <row r="585" spans="18:54" ht="15.75" customHeight="1">
      <c r="R585" s="454"/>
      <c r="AZ585" s="1305"/>
      <c r="BB585" s="169"/>
    </row>
    <row r="586" spans="18:54" ht="15.75" customHeight="1">
      <c r="R586" s="454"/>
      <c r="AZ586" s="1305"/>
      <c r="BB586" s="169"/>
    </row>
    <row r="587" spans="18:54" ht="15.75" customHeight="1">
      <c r="R587" s="454"/>
      <c r="AZ587" s="1305"/>
      <c r="BB587" s="169"/>
    </row>
    <row r="588" spans="18:54" ht="15.75" customHeight="1">
      <c r="R588" s="454"/>
      <c r="AZ588" s="1305"/>
      <c r="BB588" s="169"/>
    </row>
    <row r="589" spans="18:54" ht="15.75" customHeight="1">
      <c r="R589" s="454"/>
      <c r="AZ589" s="1305"/>
      <c r="BB589" s="169"/>
    </row>
    <row r="590" spans="18:54" ht="15.75" customHeight="1">
      <c r="R590" s="454"/>
      <c r="AZ590" s="1305"/>
      <c r="BB590" s="169"/>
    </row>
    <row r="591" spans="18:54" ht="15.75" customHeight="1">
      <c r="R591" s="454"/>
      <c r="AZ591" s="1305"/>
      <c r="BB591" s="169"/>
    </row>
    <row r="592" spans="18:54" ht="15.75" customHeight="1">
      <c r="R592" s="454"/>
      <c r="AZ592" s="1305"/>
      <c r="BB592" s="169"/>
    </row>
    <row r="593" spans="18:54" ht="15.75" customHeight="1">
      <c r="R593" s="454"/>
      <c r="AZ593" s="1305"/>
      <c r="BB593" s="169"/>
    </row>
    <row r="594" spans="18:54" ht="15.75" customHeight="1">
      <c r="R594" s="454"/>
      <c r="AZ594" s="1305"/>
      <c r="BB594" s="169"/>
    </row>
    <row r="595" spans="18:54" ht="15.75" customHeight="1">
      <c r="R595" s="454"/>
      <c r="AZ595" s="1305"/>
      <c r="BB595" s="169"/>
    </row>
    <row r="596" spans="18:54" ht="15.75" customHeight="1">
      <c r="R596" s="454"/>
      <c r="AZ596" s="1305"/>
      <c r="BB596" s="169"/>
    </row>
    <row r="597" spans="18:54" ht="15.75" customHeight="1">
      <c r="R597" s="454"/>
      <c r="AZ597" s="1305"/>
      <c r="BB597" s="169"/>
    </row>
    <row r="598" spans="18:54" ht="15.75" customHeight="1">
      <c r="R598" s="454"/>
      <c r="AZ598" s="1305"/>
      <c r="BB598" s="169"/>
    </row>
    <row r="599" spans="18:54" ht="15.75" customHeight="1">
      <c r="R599" s="454"/>
      <c r="AZ599" s="1305"/>
      <c r="BB599" s="169"/>
    </row>
    <row r="600" spans="18:54" ht="15.75" customHeight="1">
      <c r="R600" s="454"/>
      <c r="AZ600" s="1305"/>
      <c r="BB600" s="169"/>
    </row>
    <row r="601" spans="18:54" ht="15.75" customHeight="1">
      <c r="R601" s="454"/>
      <c r="AZ601" s="1305"/>
      <c r="BB601" s="169"/>
    </row>
    <row r="602" spans="18:54" ht="15.75" customHeight="1">
      <c r="R602" s="454"/>
      <c r="AZ602" s="1305"/>
      <c r="BB602" s="169"/>
    </row>
    <row r="603" spans="18:54" ht="15.75" customHeight="1">
      <c r="R603" s="454"/>
      <c r="AZ603" s="1305"/>
      <c r="BB603" s="169"/>
    </row>
    <row r="604" spans="18:54" ht="15.75" customHeight="1">
      <c r="R604" s="454"/>
      <c r="AZ604" s="1305"/>
      <c r="BB604" s="169"/>
    </row>
    <row r="605" spans="18:54" ht="15.75" customHeight="1">
      <c r="R605" s="454"/>
      <c r="AZ605" s="1305"/>
      <c r="BB605" s="169"/>
    </row>
    <row r="606" spans="18:54" ht="15.75" customHeight="1">
      <c r="R606" s="454"/>
      <c r="AZ606" s="1305"/>
      <c r="BB606" s="169"/>
    </row>
    <row r="607" spans="18:54" ht="15.75" customHeight="1">
      <c r="R607" s="454"/>
      <c r="AZ607" s="1305"/>
      <c r="BB607" s="169"/>
    </row>
    <row r="608" spans="18:54" ht="15.75" customHeight="1">
      <c r="R608" s="454"/>
      <c r="AZ608" s="1305"/>
      <c r="BB608" s="169"/>
    </row>
    <row r="609" spans="18:54" ht="15.75" customHeight="1">
      <c r="R609" s="454"/>
      <c r="AZ609" s="1305"/>
      <c r="BB609" s="169"/>
    </row>
    <row r="610" spans="18:54" ht="15.75" customHeight="1">
      <c r="R610" s="454"/>
      <c r="AZ610" s="1305"/>
      <c r="BB610" s="169"/>
    </row>
    <row r="611" spans="18:54" ht="15.75" customHeight="1">
      <c r="R611" s="454"/>
      <c r="AZ611" s="1305"/>
      <c r="BB611" s="169"/>
    </row>
    <row r="612" spans="18:54" ht="15.75" customHeight="1">
      <c r="R612" s="454"/>
      <c r="AZ612" s="1305"/>
      <c r="BB612" s="169"/>
    </row>
    <row r="613" spans="18:54" ht="15.75" customHeight="1">
      <c r="R613" s="454"/>
      <c r="AZ613" s="1305"/>
      <c r="BB613" s="169"/>
    </row>
    <row r="614" spans="18:54" ht="15.75" customHeight="1">
      <c r="R614" s="454"/>
      <c r="AZ614" s="1305"/>
      <c r="BB614" s="169"/>
    </row>
    <row r="615" spans="18:54" ht="15.75" customHeight="1">
      <c r="R615" s="454"/>
      <c r="AZ615" s="1305"/>
      <c r="BB615" s="169"/>
    </row>
    <row r="616" spans="18:54" ht="15.75" customHeight="1">
      <c r="R616" s="454"/>
      <c r="AZ616" s="1305"/>
      <c r="BB616" s="169"/>
    </row>
    <row r="617" spans="18:54" ht="15.75" customHeight="1">
      <c r="R617" s="454"/>
      <c r="AZ617" s="1305"/>
      <c r="BB617" s="169"/>
    </row>
    <row r="618" spans="18:54" ht="15.75" customHeight="1">
      <c r="R618" s="454"/>
      <c r="AZ618" s="1305"/>
      <c r="BB618" s="169"/>
    </row>
    <row r="619" spans="18:54" ht="15.75" customHeight="1">
      <c r="R619" s="454"/>
      <c r="AZ619" s="1305"/>
      <c r="BB619" s="169"/>
    </row>
    <row r="620" spans="18:54" ht="15.75" customHeight="1">
      <c r="R620" s="454"/>
      <c r="AZ620" s="1305"/>
      <c r="BB620" s="169"/>
    </row>
    <row r="621" spans="18:54" ht="15.75" customHeight="1">
      <c r="R621" s="454"/>
      <c r="AZ621" s="1305"/>
      <c r="BB621" s="169"/>
    </row>
    <row r="622" spans="18:54" ht="15.75" customHeight="1">
      <c r="R622" s="454"/>
      <c r="AZ622" s="1305"/>
      <c r="BB622" s="169"/>
    </row>
    <row r="623" spans="18:54" ht="15.75" customHeight="1">
      <c r="R623" s="454"/>
      <c r="AZ623" s="1305"/>
      <c r="BB623" s="169"/>
    </row>
    <row r="624" spans="18:54" ht="15.75" customHeight="1">
      <c r="R624" s="454"/>
      <c r="AZ624" s="1305"/>
      <c r="BB624" s="169"/>
    </row>
    <row r="625" spans="18:54" ht="15.75" customHeight="1">
      <c r="R625" s="454"/>
      <c r="AZ625" s="1305"/>
      <c r="BB625" s="169"/>
    </row>
    <row r="626" spans="18:54" ht="15.75" customHeight="1">
      <c r="R626" s="454"/>
      <c r="AZ626" s="1305"/>
      <c r="BB626" s="169"/>
    </row>
    <row r="627" spans="18:54" ht="15.75" customHeight="1">
      <c r="R627" s="454"/>
      <c r="AZ627" s="1305"/>
      <c r="BB627" s="169"/>
    </row>
    <row r="628" spans="18:54" ht="15.75" customHeight="1">
      <c r="R628" s="454"/>
      <c r="AZ628" s="1305"/>
      <c r="BB628" s="169"/>
    </row>
    <row r="629" spans="18:54" ht="15.75" customHeight="1">
      <c r="R629" s="454"/>
      <c r="AZ629" s="1305"/>
      <c r="BB629" s="169"/>
    </row>
    <row r="630" spans="18:54" ht="15.75" customHeight="1">
      <c r="R630" s="454"/>
      <c r="AZ630" s="1305"/>
      <c r="BB630" s="169"/>
    </row>
    <row r="631" spans="18:54" ht="15.75" customHeight="1">
      <c r="R631" s="454"/>
      <c r="AZ631" s="1305"/>
      <c r="BB631" s="169"/>
    </row>
    <row r="632" spans="18:54" ht="15.75" customHeight="1">
      <c r="R632" s="454"/>
      <c r="AZ632" s="1305"/>
      <c r="BB632" s="169"/>
    </row>
    <row r="633" spans="18:54" ht="15.75" customHeight="1">
      <c r="R633" s="454"/>
      <c r="AZ633" s="1305"/>
      <c r="BB633" s="169"/>
    </row>
    <row r="634" spans="18:54" ht="15.75" customHeight="1">
      <c r="R634" s="454"/>
      <c r="AZ634" s="1305"/>
      <c r="BB634" s="169"/>
    </row>
    <row r="635" spans="18:54" ht="15.75" customHeight="1">
      <c r="R635" s="454"/>
      <c r="AZ635" s="1305"/>
      <c r="BB635" s="169"/>
    </row>
    <row r="636" spans="18:54" ht="15.75" customHeight="1">
      <c r="R636" s="454"/>
      <c r="AZ636" s="1305"/>
      <c r="BB636" s="169"/>
    </row>
    <row r="637" spans="18:54" ht="15.75" customHeight="1">
      <c r="R637" s="454"/>
      <c r="AZ637" s="1305"/>
      <c r="BB637" s="169"/>
    </row>
    <row r="638" spans="18:54" ht="15.75" customHeight="1">
      <c r="R638" s="454"/>
      <c r="AZ638" s="1305"/>
      <c r="BB638" s="169"/>
    </row>
    <row r="639" spans="18:54" ht="15.75" customHeight="1">
      <c r="R639" s="454"/>
      <c r="AZ639" s="1305"/>
      <c r="BB639" s="169"/>
    </row>
    <row r="640" spans="18:54" ht="15.75" customHeight="1">
      <c r="R640" s="454"/>
      <c r="AZ640" s="1305"/>
      <c r="BB640" s="169"/>
    </row>
    <row r="641" spans="18:54" ht="15.75" customHeight="1">
      <c r="R641" s="454"/>
      <c r="AZ641" s="1305"/>
      <c r="BB641" s="169"/>
    </row>
    <row r="642" spans="18:54" ht="15.75" customHeight="1">
      <c r="R642" s="454"/>
      <c r="AZ642" s="1305"/>
      <c r="BB642" s="169"/>
    </row>
    <row r="643" spans="18:54" ht="15.75" customHeight="1">
      <c r="R643" s="454"/>
      <c r="AZ643" s="1305"/>
      <c r="BB643" s="169"/>
    </row>
    <row r="644" spans="18:54" ht="15.75" customHeight="1">
      <c r="R644" s="454"/>
      <c r="AZ644" s="1305"/>
      <c r="BB644" s="169"/>
    </row>
    <row r="645" spans="18:54" ht="15.75" customHeight="1">
      <c r="R645" s="454"/>
      <c r="AZ645" s="1305"/>
      <c r="BB645" s="169"/>
    </row>
    <row r="646" spans="18:54" ht="15.75" customHeight="1">
      <c r="R646" s="454"/>
      <c r="AZ646" s="1305"/>
      <c r="BB646" s="169"/>
    </row>
    <row r="647" spans="18:54" ht="15.75" customHeight="1">
      <c r="R647" s="454"/>
      <c r="AZ647" s="1305"/>
      <c r="BB647" s="169"/>
    </row>
    <row r="648" spans="18:54" ht="15.75" customHeight="1">
      <c r="R648" s="454"/>
      <c r="AZ648" s="1305"/>
      <c r="BB648" s="169"/>
    </row>
    <row r="649" spans="18:54" ht="15.75" customHeight="1">
      <c r="R649" s="454"/>
      <c r="AZ649" s="1305"/>
      <c r="BB649" s="169"/>
    </row>
    <row r="650" spans="18:54" ht="15.75" customHeight="1">
      <c r="R650" s="454"/>
      <c r="AZ650" s="1305"/>
      <c r="BB650" s="169"/>
    </row>
    <row r="651" spans="18:54" ht="15.75" customHeight="1">
      <c r="R651" s="454"/>
      <c r="AZ651" s="1305"/>
      <c r="BB651" s="169"/>
    </row>
    <row r="652" spans="18:54" ht="15.75" customHeight="1">
      <c r="R652" s="454"/>
      <c r="AZ652" s="1305"/>
      <c r="BB652" s="169"/>
    </row>
    <row r="653" spans="18:54" ht="15.75" customHeight="1">
      <c r="R653" s="454"/>
      <c r="AZ653" s="1305"/>
      <c r="BB653" s="169"/>
    </row>
    <row r="654" spans="18:54" ht="15.75" customHeight="1">
      <c r="R654" s="454"/>
      <c r="AZ654" s="1305"/>
      <c r="BB654" s="169"/>
    </row>
    <row r="655" spans="18:54" ht="15.75" customHeight="1">
      <c r="R655" s="454"/>
      <c r="AZ655" s="1305"/>
      <c r="BB655" s="169"/>
    </row>
    <row r="656" spans="18:54" ht="15.75" customHeight="1">
      <c r="R656" s="454"/>
      <c r="AZ656" s="1305"/>
      <c r="BB656" s="169"/>
    </row>
    <row r="657" spans="18:54" ht="15.75" customHeight="1">
      <c r="R657" s="454"/>
      <c r="AZ657" s="1305"/>
      <c r="BB657" s="169"/>
    </row>
    <row r="658" spans="18:54" ht="15.75" customHeight="1">
      <c r="R658" s="454"/>
      <c r="AZ658" s="1305"/>
      <c r="BB658" s="169"/>
    </row>
    <row r="659" spans="18:54" ht="15.75" customHeight="1">
      <c r="R659" s="454"/>
      <c r="AZ659" s="1305"/>
      <c r="BB659" s="169"/>
    </row>
    <row r="660" spans="18:54" ht="15.75" customHeight="1">
      <c r="R660" s="454"/>
      <c r="AZ660" s="1305"/>
      <c r="BB660" s="169"/>
    </row>
    <row r="661" spans="18:54" ht="15.75" customHeight="1">
      <c r="R661" s="454"/>
      <c r="AZ661" s="1305"/>
      <c r="BB661" s="169"/>
    </row>
    <row r="662" spans="18:54" ht="15.75" customHeight="1">
      <c r="R662" s="454"/>
      <c r="AZ662" s="1305"/>
      <c r="BB662" s="169"/>
    </row>
    <row r="663" spans="18:54" ht="15.75" customHeight="1">
      <c r="R663" s="454"/>
      <c r="AZ663" s="1305"/>
      <c r="BB663" s="169"/>
    </row>
    <row r="664" spans="18:54" ht="15.75" customHeight="1">
      <c r="R664" s="454"/>
      <c r="AZ664" s="1305"/>
      <c r="BB664" s="169"/>
    </row>
    <row r="665" spans="18:54" ht="15.75" customHeight="1">
      <c r="R665" s="454"/>
      <c r="AZ665" s="1305"/>
      <c r="BB665" s="169"/>
    </row>
    <row r="666" spans="18:54" ht="15.75" customHeight="1">
      <c r="R666" s="454"/>
      <c r="AZ666" s="1305"/>
      <c r="BB666" s="169"/>
    </row>
    <row r="667" spans="18:54" ht="15.75" customHeight="1">
      <c r="R667" s="454"/>
      <c r="AZ667" s="1305"/>
      <c r="BB667" s="169"/>
    </row>
    <row r="668" spans="18:54" ht="15.75" customHeight="1">
      <c r="R668" s="454"/>
      <c r="AZ668" s="1305"/>
      <c r="BB668" s="169"/>
    </row>
    <row r="669" spans="18:54" ht="15.75" customHeight="1">
      <c r="R669" s="454"/>
      <c r="AZ669" s="1305"/>
      <c r="BB669" s="169"/>
    </row>
    <row r="670" spans="18:54" ht="15.75" customHeight="1">
      <c r="R670" s="454"/>
      <c r="AZ670" s="1305"/>
      <c r="BB670" s="169"/>
    </row>
    <row r="671" spans="18:54" ht="15.75" customHeight="1">
      <c r="R671" s="454"/>
      <c r="AZ671" s="1305"/>
      <c r="BB671" s="169"/>
    </row>
    <row r="672" spans="18:54" ht="15.75" customHeight="1">
      <c r="R672" s="454"/>
      <c r="AZ672" s="1305"/>
      <c r="BB672" s="169"/>
    </row>
    <row r="673" spans="18:54" ht="15.75" customHeight="1">
      <c r="R673" s="454"/>
      <c r="AZ673" s="1305"/>
      <c r="BB673" s="169"/>
    </row>
    <row r="674" spans="18:54" ht="15.75" customHeight="1">
      <c r="R674" s="454"/>
      <c r="AZ674" s="1305"/>
      <c r="BB674" s="169"/>
    </row>
    <row r="675" spans="18:54" ht="15.75" customHeight="1">
      <c r="R675" s="454"/>
      <c r="AZ675" s="1305"/>
      <c r="BB675" s="169"/>
    </row>
    <row r="676" spans="18:54" ht="15.75" customHeight="1">
      <c r="R676" s="454"/>
      <c r="AZ676" s="1305"/>
      <c r="BB676" s="169"/>
    </row>
    <row r="677" spans="18:54" ht="15.75" customHeight="1">
      <c r="R677" s="454"/>
      <c r="AZ677" s="1305"/>
      <c r="BB677" s="169"/>
    </row>
    <row r="678" spans="18:54" ht="15.75" customHeight="1">
      <c r="R678" s="454"/>
      <c r="AZ678" s="1305"/>
      <c r="BB678" s="169"/>
    </row>
    <row r="679" spans="18:54" ht="15.75" customHeight="1">
      <c r="R679" s="454"/>
      <c r="AZ679" s="1305"/>
      <c r="BB679" s="169"/>
    </row>
    <row r="680" spans="18:54" ht="15.75" customHeight="1">
      <c r="R680" s="454"/>
      <c r="AZ680" s="1305"/>
      <c r="BB680" s="169"/>
    </row>
    <row r="681" spans="18:54" ht="15.75" customHeight="1">
      <c r="R681" s="454"/>
      <c r="AZ681" s="1305"/>
      <c r="BB681" s="169"/>
    </row>
    <row r="682" spans="18:54" ht="15.75" customHeight="1">
      <c r="R682" s="454"/>
      <c r="AZ682" s="1305"/>
      <c r="BB682" s="169"/>
    </row>
    <row r="683" spans="18:54" ht="15.75" customHeight="1">
      <c r="R683" s="454"/>
      <c r="AZ683" s="1305"/>
      <c r="BB683" s="169"/>
    </row>
    <row r="684" spans="18:54" ht="15.75" customHeight="1">
      <c r="R684" s="454"/>
      <c r="AZ684" s="1305"/>
      <c r="BB684" s="169"/>
    </row>
    <row r="685" spans="18:54" ht="15.75" customHeight="1">
      <c r="R685" s="454"/>
      <c r="AZ685" s="1305"/>
      <c r="BB685" s="169"/>
    </row>
    <row r="686" spans="18:54" ht="15.75" customHeight="1">
      <c r="R686" s="454"/>
      <c r="AZ686" s="1305"/>
      <c r="BB686" s="169"/>
    </row>
    <row r="687" spans="18:54" ht="15.75" customHeight="1">
      <c r="R687" s="454"/>
      <c r="AZ687" s="1305"/>
      <c r="BB687" s="169"/>
    </row>
    <row r="688" spans="18:54" ht="15.75" customHeight="1">
      <c r="R688" s="454"/>
      <c r="AZ688" s="1305"/>
      <c r="BB688" s="169"/>
    </row>
    <row r="689" spans="18:54" ht="15.75" customHeight="1">
      <c r="R689" s="454"/>
      <c r="AZ689" s="1305"/>
      <c r="BB689" s="169"/>
    </row>
    <row r="690" spans="18:54" ht="15.75" customHeight="1">
      <c r="R690" s="454"/>
      <c r="AZ690" s="1305"/>
      <c r="BB690" s="169"/>
    </row>
    <row r="691" spans="18:54" ht="15.75" customHeight="1">
      <c r="R691" s="454"/>
      <c r="AZ691" s="1305"/>
      <c r="BB691" s="169"/>
    </row>
    <row r="692" spans="18:54" ht="15.75" customHeight="1">
      <c r="R692" s="454"/>
      <c r="AZ692" s="1305"/>
      <c r="BB692" s="169"/>
    </row>
    <row r="693" spans="18:54" ht="15.75" customHeight="1">
      <c r="R693" s="454"/>
      <c r="AZ693" s="1305"/>
      <c r="BB693" s="169"/>
    </row>
    <row r="694" spans="18:54" ht="15.75" customHeight="1">
      <c r="R694" s="454"/>
      <c r="AZ694" s="1305"/>
      <c r="BB694" s="169"/>
    </row>
    <row r="695" spans="18:54" ht="15.75" customHeight="1">
      <c r="R695" s="454"/>
      <c r="AZ695" s="1305"/>
      <c r="BB695" s="169"/>
    </row>
    <row r="696" spans="18:54" ht="15.75" customHeight="1">
      <c r="R696" s="454"/>
      <c r="AZ696" s="1305"/>
      <c r="BB696" s="169"/>
    </row>
    <row r="697" spans="18:54" ht="15.75" customHeight="1">
      <c r="R697" s="454"/>
      <c r="AZ697" s="1305"/>
      <c r="BB697" s="169"/>
    </row>
    <row r="698" spans="18:54" ht="15.75" customHeight="1">
      <c r="R698" s="454"/>
      <c r="AZ698" s="1305"/>
      <c r="BB698" s="169"/>
    </row>
    <row r="699" spans="18:54" ht="15.75" customHeight="1">
      <c r="R699" s="454"/>
      <c r="AZ699" s="1305"/>
      <c r="BB699" s="169"/>
    </row>
    <row r="700" spans="18:54" ht="15.75" customHeight="1">
      <c r="R700" s="454"/>
      <c r="AZ700" s="1305"/>
      <c r="BB700" s="169"/>
    </row>
    <row r="701" spans="18:54" ht="15.75" customHeight="1">
      <c r="R701" s="454"/>
      <c r="AZ701" s="1305"/>
      <c r="BB701" s="169"/>
    </row>
    <row r="702" spans="18:54" ht="15.75" customHeight="1">
      <c r="R702" s="454"/>
      <c r="AZ702" s="1305"/>
      <c r="BB702" s="169"/>
    </row>
    <row r="703" spans="18:54" ht="15.75" customHeight="1">
      <c r="R703" s="454"/>
      <c r="AZ703" s="1305"/>
      <c r="BB703" s="169"/>
    </row>
    <row r="704" spans="18:54" ht="15.75" customHeight="1">
      <c r="R704" s="454"/>
      <c r="AZ704" s="1305"/>
      <c r="BB704" s="169"/>
    </row>
    <row r="705" spans="18:54" ht="15.75" customHeight="1">
      <c r="R705" s="454"/>
      <c r="AZ705" s="1305"/>
      <c r="BB705" s="169"/>
    </row>
    <row r="706" spans="18:54" ht="15.75" customHeight="1">
      <c r="R706" s="454"/>
      <c r="AZ706" s="1305"/>
      <c r="BB706" s="169"/>
    </row>
    <row r="707" spans="18:54" ht="15.75" customHeight="1">
      <c r="R707" s="454"/>
      <c r="AZ707" s="1305"/>
      <c r="BB707" s="169"/>
    </row>
    <row r="708" spans="18:54" ht="15.75" customHeight="1">
      <c r="R708" s="454"/>
      <c r="AZ708" s="1305"/>
      <c r="BB708" s="169"/>
    </row>
    <row r="709" spans="18:54" ht="15.75" customHeight="1">
      <c r="R709" s="454"/>
      <c r="AZ709" s="1305"/>
      <c r="BB709" s="169"/>
    </row>
    <row r="710" spans="18:54" ht="15.75" customHeight="1">
      <c r="R710" s="454"/>
      <c r="AZ710" s="1305"/>
      <c r="BB710" s="169"/>
    </row>
    <row r="711" spans="18:54" ht="15.75" customHeight="1">
      <c r="R711" s="454"/>
      <c r="AZ711" s="1305"/>
      <c r="BB711" s="169"/>
    </row>
    <row r="712" spans="18:54" ht="15.75" customHeight="1">
      <c r="R712" s="454"/>
      <c r="AZ712" s="1305"/>
      <c r="BB712" s="169"/>
    </row>
    <row r="713" spans="18:54" ht="15.75" customHeight="1">
      <c r="R713" s="454"/>
      <c r="AZ713" s="1305"/>
      <c r="BB713" s="169"/>
    </row>
    <row r="714" spans="18:54" ht="15.75" customHeight="1">
      <c r="R714" s="454"/>
      <c r="AZ714" s="1305"/>
      <c r="BB714" s="169"/>
    </row>
    <row r="715" spans="18:54" ht="15.75" customHeight="1">
      <c r="R715" s="454"/>
      <c r="AZ715" s="1305"/>
      <c r="BB715" s="169"/>
    </row>
    <row r="716" spans="18:54" ht="15.75" customHeight="1">
      <c r="R716" s="454"/>
      <c r="AZ716" s="1305"/>
      <c r="BB716" s="169"/>
    </row>
    <row r="717" spans="18:54" ht="15.75" customHeight="1">
      <c r="R717" s="454"/>
      <c r="AZ717" s="1305"/>
      <c r="BB717" s="169"/>
    </row>
    <row r="718" spans="18:54" ht="15.75" customHeight="1">
      <c r="R718" s="454"/>
      <c r="AZ718" s="1305"/>
      <c r="BB718" s="169"/>
    </row>
    <row r="719" spans="18:54" ht="15.75" customHeight="1">
      <c r="R719" s="454"/>
      <c r="AZ719" s="1305"/>
      <c r="BB719" s="169"/>
    </row>
    <row r="720" spans="18:54" ht="15.75" customHeight="1">
      <c r="R720" s="454"/>
      <c r="AZ720" s="1305"/>
      <c r="BB720" s="169"/>
    </row>
    <row r="721" spans="18:54" ht="15.75" customHeight="1">
      <c r="R721" s="454"/>
      <c r="AZ721" s="1305"/>
      <c r="BB721" s="169"/>
    </row>
    <row r="722" spans="18:54" ht="15.75" customHeight="1">
      <c r="R722" s="454"/>
      <c r="AZ722" s="1305"/>
      <c r="BB722" s="169"/>
    </row>
    <row r="723" spans="18:54" ht="15.75" customHeight="1">
      <c r="R723" s="454"/>
      <c r="AZ723" s="1305"/>
      <c r="BB723" s="169"/>
    </row>
    <row r="724" spans="18:54" ht="15.75" customHeight="1">
      <c r="R724" s="454"/>
      <c r="AZ724" s="1305"/>
      <c r="BB724" s="169"/>
    </row>
    <row r="725" spans="18:54" ht="15.75" customHeight="1">
      <c r="R725" s="454"/>
      <c r="AZ725" s="1305"/>
      <c r="BB725" s="169"/>
    </row>
    <row r="726" spans="18:54" ht="15.75" customHeight="1">
      <c r="R726" s="454"/>
      <c r="AZ726" s="1305"/>
      <c r="BB726" s="169"/>
    </row>
    <row r="727" spans="18:54" ht="15.75" customHeight="1">
      <c r="R727" s="454"/>
      <c r="AZ727" s="1305"/>
      <c r="BB727" s="169"/>
    </row>
    <row r="728" spans="18:54" ht="15.75" customHeight="1">
      <c r="R728" s="454"/>
      <c r="AZ728" s="1305"/>
      <c r="BB728" s="169"/>
    </row>
    <row r="729" spans="18:54" ht="15.75" customHeight="1">
      <c r="R729" s="454"/>
      <c r="AZ729" s="1305"/>
      <c r="BB729" s="169"/>
    </row>
    <row r="730" spans="18:54" ht="15.75" customHeight="1">
      <c r="R730" s="454"/>
      <c r="AZ730" s="1305"/>
      <c r="BB730" s="169"/>
    </row>
    <row r="731" spans="18:54" ht="15.75" customHeight="1">
      <c r="R731" s="454"/>
      <c r="AZ731" s="1305"/>
      <c r="BB731" s="169"/>
    </row>
    <row r="732" spans="18:54" ht="15.75" customHeight="1">
      <c r="R732" s="454"/>
      <c r="AZ732" s="1305"/>
      <c r="BB732" s="169"/>
    </row>
    <row r="733" spans="18:54" ht="15.75" customHeight="1">
      <c r="R733" s="454"/>
      <c r="AZ733" s="1305"/>
      <c r="BB733" s="169"/>
    </row>
    <row r="734" spans="18:54" ht="15.75" customHeight="1">
      <c r="R734" s="454"/>
      <c r="AZ734" s="1305"/>
      <c r="BB734" s="169"/>
    </row>
    <row r="735" spans="18:54" ht="15.75" customHeight="1">
      <c r="R735" s="454"/>
      <c r="AZ735" s="1305"/>
      <c r="BB735" s="169"/>
    </row>
    <row r="736" spans="18:54" ht="15.75" customHeight="1">
      <c r="R736" s="454"/>
      <c r="AZ736" s="1305"/>
      <c r="BB736" s="169"/>
    </row>
    <row r="737" spans="18:54" ht="15.75" customHeight="1">
      <c r="R737" s="454"/>
      <c r="AZ737" s="1305"/>
      <c r="BB737" s="169"/>
    </row>
    <row r="738" spans="18:54" ht="15.75" customHeight="1">
      <c r="R738" s="454"/>
      <c r="AZ738" s="1305"/>
      <c r="BB738" s="169"/>
    </row>
    <row r="739" spans="18:54" ht="15.75" customHeight="1">
      <c r="R739" s="454"/>
      <c r="AZ739" s="1305"/>
      <c r="BB739" s="169"/>
    </row>
    <row r="740" spans="18:54" ht="15.75" customHeight="1">
      <c r="R740" s="454"/>
      <c r="AZ740" s="1305"/>
      <c r="BB740" s="169"/>
    </row>
    <row r="741" spans="18:54" ht="15.75" customHeight="1">
      <c r="R741" s="454"/>
      <c r="AZ741" s="1305"/>
      <c r="BB741" s="169"/>
    </row>
    <row r="742" spans="18:54" ht="15.75" customHeight="1">
      <c r="R742" s="454"/>
      <c r="AZ742" s="1305"/>
      <c r="BB742" s="169"/>
    </row>
    <row r="743" spans="18:54" ht="15.75" customHeight="1">
      <c r="R743" s="454"/>
      <c r="AZ743" s="1305"/>
      <c r="BB743" s="169"/>
    </row>
    <row r="744" spans="18:54" ht="15.75" customHeight="1">
      <c r="R744" s="454"/>
      <c r="AZ744" s="1305"/>
      <c r="BB744" s="169"/>
    </row>
    <row r="745" spans="18:54" ht="15.75" customHeight="1">
      <c r="R745" s="454"/>
      <c r="AZ745" s="1305"/>
      <c r="BB745" s="169"/>
    </row>
    <row r="746" spans="18:54" ht="15.75" customHeight="1">
      <c r="R746" s="454"/>
      <c r="AZ746" s="1305"/>
      <c r="BB746" s="169"/>
    </row>
    <row r="747" spans="18:54" ht="15.75" customHeight="1">
      <c r="R747" s="454"/>
      <c r="AZ747" s="1305"/>
      <c r="BB747" s="169"/>
    </row>
    <row r="748" spans="18:54" ht="15.75" customHeight="1">
      <c r="R748" s="454"/>
      <c r="AZ748" s="1305"/>
      <c r="BB748" s="169"/>
    </row>
    <row r="749" spans="18:54" ht="15.75" customHeight="1">
      <c r="R749" s="454"/>
      <c r="AZ749" s="1305"/>
      <c r="BB749" s="169"/>
    </row>
    <row r="750" spans="18:54" ht="15.75" customHeight="1">
      <c r="R750" s="454"/>
      <c r="AZ750" s="1305"/>
      <c r="BB750" s="169"/>
    </row>
    <row r="751" spans="18:54" ht="15.75" customHeight="1">
      <c r="R751" s="454"/>
      <c r="AZ751" s="1305"/>
      <c r="BB751" s="169"/>
    </row>
    <row r="752" spans="18:54" ht="15.75" customHeight="1">
      <c r="R752" s="454"/>
      <c r="AZ752" s="1305"/>
      <c r="BB752" s="169"/>
    </row>
    <row r="753" spans="18:54" ht="15.75" customHeight="1">
      <c r="R753" s="454"/>
      <c r="AZ753" s="1305"/>
      <c r="BB753" s="169"/>
    </row>
    <row r="754" spans="18:54" ht="15.75" customHeight="1">
      <c r="R754" s="454"/>
      <c r="AZ754" s="1305"/>
      <c r="BB754" s="169"/>
    </row>
    <row r="755" spans="18:54" ht="15.75" customHeight="1">
      <c r="R755" s="454"/>
      <c r="AZ755" s="1305"/>
      <c r="BB755" s="169"/>
    </row>
    <row r="756" spans="18:54" ht="15.75" customHeight="1">
      <c r="R756" s="454"/>
      <c r="AZ756" s="1305"/>
      <c r="BB756" s="169"/>
    </row>
    <row r="757" spans="18:54" ht="15.75" customHeight="1">
      <c r="R757" s="454"/>
      <c r="AZ757" s="1305"/>
      <c r="BB757" s="169"/>
    </row>
    <row r="758" spans="18:54" ht="15.75" customHeight="1">
      <c r="R758" s="454"/>
      <c r="AZ758" s="1305"/>
      <c r="BB758" s="169"/>
    </row>
    <row r="759" spans="18:54" ht="15.75" customHeight="1">
      <c r="R759" s="454"/>
      <c r="AZ759" s="1305"/>
      <c r="BB759" s="169"/>
    </row>
    <row r="760" spans="18:54" ht="15.75" customHeight="1">
      <c r="R760" s="454"/>
      <c r="AZ760" s="1305"/>
      <c r="BB760" s="169"/>
    </row>
    <row r="761" spans="18:54" ht="15.75" customHeight="1">
      <c r="R761" s="454"/>
      <c r="AZ761" s="1305"/>
      <c r="BB761" s="169"/>
    </row>
    <row r="762" spans="18:54" ht="15.75" customHeight="1">
      <c r="R762" s="454"/>
      <c r="AZ762" s="1305"/>
      <c r="BB762" s="169"/>
    </row>
    <row r="763" spans="18:54" ht="15.75" customHeight="1">
      <c r="R763" s="454"/>
      <c r="AZ763" s="1305"/>
      <c r="BB763" s="169"/>
    </row>
    <row r="764" spans="18:54" ht="15.75" customHeight="1">
      <c r="R764" s="454"/>
      <c r="AZ764" s="1305"/>
      <c r="BB764" s="169"/>
    </row>
    <row r="765" spans="18:54" ht="15.75" customHeight="1">
      <c r="R765" s="454"/>
      <c r="AZ765" s="1305"/>
      <c r="BB765" s="169"/>
    </row>
    <row r="766" spans="18:54" ht="15.75" customHeight="1">
      <c r="R766" s="454"/>
      <c r="AZ766" s="1305"/>
      <c r="BB766" s="169"/>
    </row>
    <row r="767" spans="18:54" ht="15.75" customHeight="1">
      <c r="R767" s="454"/>
      <c r="AZ767" s="1305"/>
      <c r="BB767" s="169"/>
    </row>
    <row r="768" spans="18:54" ht="15.75" customHeight="1">
      <c r="R768" s="454"/>
      <c r="AZ768" s="1305"/>
      <c r="BB768" s="169"/>
    </row>
    <row r="769" spans="18:54" ht="15.75" customHeight="1">
      <c r="R769" s="454"/>
      <c r="AZ769" s="1305"/>
      <c r="BB769" s="169"/>
    </row>
    <row r="770" spans="18:54" ht="15.75" customHeight="1">
      <c r="R770" s="454"/>
      <c r="AZ770" s="1305"/>
      <c r="BB770" s="169"/>
    </row>
    <row r="771" spans="18:54" ht="15.75" customHeight="1">
      <c r="R771" s="454"/>
      <c r="AZ771" s="1305"/>
      <c r="BB771" s="169"/>
    </row>
    <row r="772" spans="18:54" ht="15.75" customHeight="1">
      <c r="R772" s="454"/>
      <c r="AZ772" s="1305"/>
      <c r="BB772" s="169"/>
    </row>
    <row r="773" spans="18:54" ht="15.75" customHeight="1">
      <c r="R773" s="454"/>
      <c r="AZ773" s="1305"/>
      <c r="BB773" s="169"/>
    </row>
    <row r="774" spans="18:54" ht="15.75" customHeight="1">
      <c r="R774" s="454"/>
      <c r="AZ774" s="1305"/>
      <c r="BB774" s="169"/>
    </row>
    <row r="775" spans="18:54" ht="15.75" customHeight="1">
      <c r="R775" s="454"/>
      <c r="AZ775" s="1305"/>
      <c r="BB775" s="169"/>
    </row>
    <row r="776" spans="18:54" ht="15.75" customHeight="1">
      <c r="R776" s="454"/>
      <c r="AZ776" s="1305"/>
      <c r="BB776" s="169"/>
    </row>
    <row r="777" spans="18:54" ht="15.75" customHeight="1">
      <c r="R777" s="454"/>
      <c r="AZ777" s="1305"/>
      <c r="BB777" s="169"/>
    </row>
    <row r="778" spans="18:54" ht="15.75" customHeight="1">
      <c r="R778" s="454"/>
      <c r="AZ778" s="1305"/>
      <c r="BB778" s="169"/>
    </row>
    <row r="779" spans="18:54" ht="15.75" customHeight="1">
      <c r="R779" s="454"/>
      <c r="AZ779" s="1305"/>
      <c r="BB779" s="169"/>
    </row>
    <row r="780" spans="18:54" ht="15.75" customHeight="1">
      <c r="R780" s="454"/>
      <c r="AZ780" s="1305"/>
      <c r="BB780" s="169"/>
    </row>
    <row r="781" spans="18:54" ht="15.75" customHeight="1">
      <c r="R781" s="454"/>
      <c r="AZ781" s="1305"/>
      <c r="BB781" s="169"/>
    </row>
    <row r="782" spans="18:54" ht="15.75" customHeight="1">
      <c r="R782" s="454"/>
      <c r="AZ782" s="1305"/>
      <c r="BB782" s="169"/>
    </row>
    <row r="783" spans="18:54" ht="15.75" customHeight="1">
      <c r="R783" s="454"/>
      <c r="AZ783" s="1305"/>
      <c r="BB783" s="169"/>
    </row>
    <row r="784" spans="18:54" ht="15.75" customHeight="1">
      <c r="R784" s="454"/>
      <c r="AZ784" s="1305"/>
      <c r="BB784" s="169"/>
    </row>
    <row r="785" spans="18:54" ht="15.75" customHeight="1">
      <c r="R785" s="454"/>
      <c r="AZ785" s="1305"/>
      <c r="BB785" s="169"/>
    </row>
    <row r="786" spans="18:54" ht="15.75" customHeight="1">
      <c r="R786" s="454"/>
      <c r="AZ786" s="1305"/>
      <c r="BB786" s="169"/>
    </row>
    <row r="787" spans="18:54" ht="15.75" customHeight="1">
      <c r="R787" s="454"/>
      <c r="AZ787" s="1305"/>
      <c r="BB787" s="169"/>
    </row>
    <row r="788" spans="18:54" ht="15.75" customHeight="1">
      <c r="R788" s="454"/>
      <c r="AZ788" s="1305"/>
      <c r="BB788" s="169"/>
    </row>
    <row r="789" spans="18:54" ht="15.75" customHeight="1">
      <c r="R789" s="454"/>
      <c r="AZ789" s="1305"/>
      <c r="BB789" s="169"/>
    </row>
    <row r="790" spans="18:54" ht="15.75" customHeight="1">
      <c r="R790" s="454"/>
      <c r="AZ790" s="1305"/>
      <c r="BB790" s="169"/>
    </row>
    <row r="791" spans="18:54" ht="15.75" customHeight="1">
      <c r="R791" s="454"/>
      <c r="AZ791" s="1305"/>
      <c r="BB791" s="169"/>
    </row>
    <row r="792" spans="18:54" ht="15.75" customHeight="1">
      <c r="R792" s="454"/>
      <c r="AZ792" s="1305"/>
      <c r="BB792" s="169"/>
    </row>
    <row r="793" spans="18:54" ht="15.75" customHeight="1">
      <c r="R793" s="454"/>
      <c r="AZ793" s="1305"/>
      <c r="BB793" s="169"/>
    </row>
    <row r="794" spans="18:54" ht="15.75" customHeight="1">
      <c r="R794" s="454"/>
      <c r="AZ794" s="1305"/>
      <c r="BB794" s="169"/>
    </row>
    <row r="795" spans="18:54" ht="15.75" customHeight="1">
      <c r="R795" s="454"/>
      <c r="AZ795" s="1305"/>
      <c r="BB795" s="169"/>
    </row>
    <row r="796" spans="18:54" ht="15.75" customHeight="1">
      <c r="R796" s="454"/>
      <c r="AZ796" s="1305"/>
      <c r="BB796" s="169"/>
    </row>
    <row r="797" spans="18:54" ht="15.75" customHeight="1">
      <c r="R797" s="454"/>
      <c r="AZ797" s="1305"/>
      <c r="BB797" s="169"/>
    </row>
    <row r="798" spans="18:54" ht="15.75" customHeight="1">
      <c r="R798" s="454"/>
      <c r="AZ798" s="1305"/>
      <c r="BB798" s="169"/>
    </row>
    <row r="799" spans="18:54" ht="15.75" customHeight="1">
      <c r="R799" s="454"/>
      <c r="AZ799" s="1305"/>
      <c r="BB799" s="169"/>
    </row>
    <row r="800" spans="18:54" ht="15.75" customHeight="1">
      <c r="R800" s="454"/>
      <c r="AZ800" s="1305"/>
      <c r="BB800" s="169"/>
    </row>
    <row r="801" spans="18:54" ht="15.75" customHeight="1">
      <c r="R801" s="454"/>
      <c r="AZ801" s="1305"/>
      <c r="BB801" s="169"/>
    </row>
    <row r="802" spans="18:54" ht="15.75" customHeight="1">
      <c r="R802" s="454"/>
      <c r="AZ802" s="1305"/>
      <c r="BB802" s="169"/>
    </row>
    <row r="803" spans="18:54" ht="15.75" customHeight="1">
      <c r="R803" s="454"/>
      <c r="AZ803" s="1305"/>
      <c r="BB803" s="169"/>
    </row>
    <row r="804" spans="18:54" ht="15.75" customHeight="1">
      <c r="R804" s="454"/>
      <c r="AZ804" s="1305"/>
      <c r="BB804" s="169"/>
    </row>
    <row r="805" spans="18:54" ht="15.75" customHeight="1">
      <c r="R805" s="454"/>
      <c r="AZ805" s="1305"/>
      <c r="BB805" s="169"/>
    </row>
    <row r="806" spans="18:54" ht="15.75" customHeight="1">
      <c r="R806" s="454"/>
      <c r="AZ806" s="1305"/>
      <c r="BB806" s="169"/>
    </row>
    <row r="807" spans="18:54" ht="15.75" customHeight="1">
      <c r="R807" s="454"/>
      <c r="AZ807" s="1305"/>
      <c r="BB807" s="169"/>
    </row>
    <row r="808" spans="18:54" ht="15.75" customHeight="1">
      <c r="R808" s="454"/>
      <c r="AZ808" s="1305"/>
      <c r="BB808" s="169"/>
    </row>
    <row r="809" spans="18:54" ht="15.75" customHeight="1">
      <c r="R809" s="454"/>
      <c r="AZ809" s="1305"/>
      <c r="BB809" s="169"/>
    </row>
    <row r="810" spans="18:54" ht="15.75" customHeight="1">
      <c r="R810" s="454"/>
      <c r="AZ810" s="1305"/>
      <c r="BB810" s="169"/>
    </row>
    <row r="811" spans="18:54" ht="15.75" customHeight="1">
      <c r="R811" s="454"/>
      <c r="AZ811" s="1305"/>
      <c r="BB811" s="169"/>
    </row>
    <row r="812" spans="18:54" ht="15.75" customHeight="1">
      <c r="R812" s="454"/>
      <c r="AZ812" s="1305"/>
      <c r="BB812" s="169"/>
    </row>
    <row r="813" spans="18:54" ht="15.75" customHeight="1">
      <c r="R813" s="454"/>
      <c r="AZ813" s="1305"/>
      <c r="BB813" s="169"/>
    </row>
    <row r="814" spans="18:54" ht="15.75" customHeight="1">
      <c r="R814" s="454"/>
      <c r="AZ814" s="1305"/>
      <c r="BB814" s="169"/>
    </row>
    <row r="815" spans="18:54" ht="15.75" customHeight="1">
      <c r="R815" s="454"/>
      <c r="AZ815" s="1305"/>
      <c r="BB815" s="169"/>
    </row>
    <row r="816" spans="18:54" ht="15.75" customHeight="1">
      <c r="R816" s="454"/>
      <c r="AZ816" s="1305"/>
      <c r="BB816" s="169"/>
    </row>
    <row r="817" spans="18:54" ht="15.75" customHeight="1">
      <c r="R817" s="454"/>
      <c r="AZ817" s="1305"/>
      <c r="BB817" s="169"/>
    </row>
    <row r="818" spans="18:54" ht="15.75" customHeight="1">
      <c r="R818" s="454"/>
      <c r="AZ818" s="1305"/>
      <c r="BB818" s="169"/>
    </row>
    <row r="819" spans="18:54" ht="15.75" customHeight="1">
      <c r="R819" s="454"/>
      <c r="AZ819" s="1305"/>
      <c r="BB819" s="169"/>
    </row>
    <row r="820" spans="18:54" ht="15.75" customHeight="1">
      <c r="R820" s="454"/>
      <c r="AZ820" s="1305"/>
      <c r="BB820" s="169"/>
    </row>
    <row r="821" spans="18:54" ht="15.75" customHeight="1">
      <c r="R821" s="454"/>
      <c r="AZ821" s="1305"/>
      <c r="BB821" s="169"/>
    </row>
    <row r="822" spans="18:54" ht="15.75" customHeight="1">
      <c r="R822" s="454"/>
      <c r="AZ822" s="1305"/>
      <c r="BB822" s="169"/>
    </row>
    <row r="823" spans="18:54" ht="15.75" customHeight="1">
      <c r="R823" s="454"/>
      <c r="AZ823" s="1305"/>
      <c r="BB823" s="169"/>
    </row>
    <row r="824" spans="18:54" ht="15.75" customHeight="1">
      <c r="R824" s="454"/>
      <c r="AZ824" s="1305"/>
      <c r="BB824" s="169"/>
    </row>
    <row r="825" spans="18:54" ht="15.75" customHeight="1">
      <c r="R825" s="454"/>
      <c r="AZ825" s="1305"/>
      <c r="BB825" s="169"/>
    </row>
    <row r="826" spans="18:54" ht="15.75" customHeight="1">
      <c r="R826" s="454"/>
      <c r="AZ826" s="1305"/>
      <c r="BB826" s="169"/>
    </row>
    <row r="827" spans="18:54" ht="15.75" customHeight="1">
      <c r="R827" s="454"/>
      <c r="AZ827" s="1305"/>
      <c r="BB827" s="169"/>
    </row>
    <row r="828" spans="18:54" ht="15.75" customHeight="1">
      <c r="R828" s="454"/>
      <c r="AZ828" s="1305"/>
      <c r="BB828" s="169"/>
    </row>
    <row r="829" spans="18:54" ht="15.75" customHeight="1">
      <c r="R829" s="454"/>
      <c r="AZ829" s="1305"/>
      <c r="BB829" s="169"/>
    </row>
    <row r="830" spans="18:54" ht="15.75" customHeight="1">
      <c r="R830" s="454"/>
      <c r="AZ830" s="1305"/>
      <c r="BB830" s="169"/>
    </row>
    <row r="831" spans="18:54" ht="15.75" customHeight="1">
      <c r="R831" s="454"/>
      <c r="AZ831" s="1305"/>
      <c r="BB831" s="169"/>
    </row>
    <row r="832" spans="18:54" ht="15.75" customHeight="1">
      <c r="R832" s="454"/>
      <c r="AZ832" s="1305"/>
      <c r="BB832" s="169"/>
    </row>
    <row r="833" spans="18:54" ht="15.75" customHeight="1">
      <c r="R833" s="454"/>
      <c r="AZ833" s="1305"/>
      <c r="BB833" s="169"/>
    </row>
    <row r="834" spans="18:54" ht="15.75" customHeight="1">
      <c r="R834" s="454"/>
      <c r="AZ834" s="1305"/>
      <c r="BB834" s="169"/>
    </row>
    <row r="835" spans="18:54" ht="15.75" customHeight="1">
      <c r="R835" s="454"/>
      <c r="AZ835" s="1305"/>
      <c r="BB835" s="169"/>
    </row>
    <row r="836" spans="18:54" ht="15.75" customHeight="1">
      <c r="R836" s="454"/>
      <c r="AZ836" s="1305"/>
      <c r="BB836" s="169"/>
    </row>
    <row r="837" spans="18:54" ht="15.75" customHeight="1">
      <c r="R837" s="454"/>
      <c r="AZ837" s="1305"/>
      <c r="BB837" s="169"/>
    </row>
    <row r="838" spans="18:54" ht="15.75" customHeight="1">
      <c r="R838" s="454"/>
      <c r="AZ838" s="1305"/>
      <c r="BB838" s="169"/>
    </row>
    <row r="839" spans="18:54" ht="15.75" customHeight="1">
      <c r="R839" s="454"/>
      <c r="AZ839" s="1305"/>
      <c r="BB839" s="169"/>
    </row>
    <row r="840" spans="18:54" ht="15.75" customHeight="1">
      <c r="R840" s="454"/>
      <c r="AZ840" s="1305"/>
      <c r="BB840" s="169"/>
    </row>
    <row r="841" spans="18:54" ht="15.75" customHeight="1">
      <c r="R841" s="454"/>
      <c r="AZ841" s="1305"/>
      <c r="BB841" s="169"/>
    </row>
    <row r="842" spans="18:54" ht="15.75" customHeight="1">
      <c r="R842" s="454"/>
      <c r="AZ842" s="1305"/>
      <c r="BB842" s="169"/>
    </row>
    <row r="843" spans="18:54" ht="15.75" customHeight="1">
      <c r="R843" s="454"/>
      <c r="AZ843" s="1305"/>
      <c r="BB843" s="169"/>
    </row>
    <row r="844" spans="18:54" ht="15.75" customHeight="1">
      <c r="R844" s="454"/>
      <c r="AZ844" s="1305"/>
      <c r="BB844" s="169"/>
    </row>
    <row r="845" spans="18:54" ht="15.75" customHeight="1">
      <c r="R845" s="454"/>
      <c r="AZ845" s="1305"/>
      <c r="BB845" s="169"/>
    </row>
    <row r="846" spans="18:54" ht="15.75" customHeight="1">
      <c r="R846" s="454"/>
      <c r="AZ846" s="1305"/>
      <c r="BB846" s="169"/>
    </row>
    <row r="847" spans="18:54" ht="15.75" customHeight="1">
      <c r="R847" s="454"/>
      <c r="AZ847" s="1305"/>
      <c r="BB847" s="169"/>
    </row>
    <row r="848" spans="18:54" ht="15.75" customHeight="1">
      <c r="R848" s="454"/>
      <c r="AZ848" s="1305"/>
      <c r="BB848" s="169"/>
    </row>
    <row r="849" spans="18:54" ht="15.75" customHeight="1">
      <c r="R849" s="454"/>
      <c r="AZ849" s="1305"/>
      <c r="BB849" s="169"/>
    </row>
    <row r="850" spans="18:54" ht="15.75" customHeight="1">
      <c r="R850" s="454"/>
      <c r="AZ850" s="1305"/>
      <c r="BB850" s="169"/>
    </row>
    <row r="851" spans="18:54" ht="15.75" customHeight="1">
      <c r="R851" s="454"/>
      <c r="AZ851" s="1305"/>
      <c r="BB851" s="169"/>
    </row>
    <row r="852" spans="18:54" ht="15.75" customHeight="1">
      <c r="R852" s="454"/>
      <c r="AZ852" s="1305"/>
      <c r="BB852" s="169"/>
    </row>
    <row r="853" spans="18:54" ht="15.75" customHeight="1">
      <c r="R853" s="454"/>
      <c r="AZ853" s="1305"/>
      <c r="BB853" s="169"/>
    </row>
    <row r="854" spans="18:54" ht="15.75" customHeight="1">
      <c r="R854" s="454"/>
      <c r="AZ854" s="1305"/>
      <c r="BB854" s="169"/>
    </row>
    <row r="855" spans="18:54" ht="15.75" customHeight="1">
      <c r="R855" s="454"/>
      <c r="AZ855" s="1305"/>
      <c r="BB855" s="169"/>
    </row>
    <row r="856" spans="18:54" ht="15.75" customHeight="1">
      <c r="R856" s="454"/>
      <c r="AZ856" s="1305"/>
      <c r="BB856" s="169"/>
    </row>
    <row r="857" spans="18:54" ht="15.75" customHeight="1">
      <c r="R857" s="454"/>
      <c r="AZ857" s="1305"/>
      <c r="BB857" s="169"/>
    </row>
    <row r="858" spans="18:54" ht="15.75" customHeight="1">
      <c r="R858" s="454"/>
      <c r="AZ858" s="1305"/>
      <c r="BB858" s="169"/>
    </row>
    <row r="859" spans="18:54" ht="15.75" customHeight="1">
      <c r="R859" s="454"/>
      <c r="AZ859" s="1305"/>
      <c r="BB859" s="169"/>
    </row>
    <row r="860" spans="18:54" ht="15.75" customHeight="1">
      <c r="R860" s="454"/>
      <c r="AZ860" s="1305"/>
      <c r="BB860" s="169"/>
    </row>
    <row r="861" spans="18:54" ht="15.75" customHeight="1">
      <c r="R861" s="454"/>
      <c r="AZ861" s="1305"/>
      <c r="BB861" s="169"/>
    </row>
    <row r="862" spans="18:54" ht="15.75" customHeight="1">
      <c r="R862" s="454"/>
      <c r="AZ862" s="1305"/>
      <c r="BB862" s="169"/>
    </row>
    <row r="863" spans="18:54" ht="15.75" customHeight="1">
      <c r="R863" s="454"/>
      <c r="AZ863" s="1305"/>
      <c r="BB863" s="169"/>
    </row>
    <row r="864" spans="18:54" ht="15.75" customHeight="1">
      <c r="R864" s="454"/>
      <c r="AZ864" s="1305"/>
      <c r="BB864" s="169"/>
    </row>
    <row r="865" spans="18:54" ht="15.75" customHeight="1">
      <c r="R865" s="454"/>
      <c r="AZ865" s="1305"/>
      <c r="BB865" s="169"/>
    </row>
    <row r="866" spans="18:54" ht="15.75" customHeight="1">
      <c r="R866" s="454"/>
      <c r="AZ866" s="1305"/>
      <c r="BB866" s="169"/>
    </row>
    <row r="867" spans="18:54" ht="15.75" customHeight="1">
      <c r="R867" s="454"/>
      <c r="AZ867" s="1305"/>
      <c r="BB867" s="169"/>
    </row>
    <row r="868" spans="18:54" ht="15.75" customHeight="1">
      <c r="R868" s="454"/>
      <c r="AZ868" s="1305"/>
      <c r="BB868" s="169"/>
    </row>
    <row r="869" spans="18:54" ht="15.75" customHeight="1">
      <c r="R869" s="454"/>
      <c r="AZ869" s="1305"/>
      <c r="BB869" s="169"/>
    </row>
    <row r="870" spans="18:54" ht="15.75" customHeight="1">
      <c r="R870" s="454"/>
      <c r="AZ870" s="1305"/>
      <c r="BB870" s="169"/>
    </row>
    <row r="871" spans="18:54" ht="15.75" customHeight="1">
      <c r="R871" s="454"/>
      <c r="AZ871" s="1305"/>
      <c r="BB871" s="169"/>
    </row>
    <row r="872" spans="18:54" ht="15.75" customHeight="1">
      <c r="R872" s="454"/>
      <c r="AZ872" s="1305"/>
      <c r="BB872" s="169"/>
    </row>
    <row r="873" spans="18:54" ht="15.75" customHeight="1">
      <c r="R873" s="454"/>
      <c r="AZ873" s="1305"/>
      <c r="BB873" s="169"/>
    </row>
    <row r="874" spans="18:54" ht="15.75" customHeight="1">
      <c r="R874" s="454"/>
      <c r="AZ874" s="1305"/>
      <c r="BB874" s="169"/>
    </row>
    <row r="875" spans="18:54" ht="15.75" customHeight="1">
      <c r="R875" s="454"/>
      <c r="AZ875" s="1305"/>
      <c r="BB875" s="169"/>
    </row>
    <row r="876" spans="18:54" ht="15.75" customHeight="1">
      <c r="R876" s="454"/>
      <c r="AZ876" s="1305"/>
      <c r="BB876" s="169"/>
    </row>
    <row r="877" spans="18:54" ht="15.75" customHeight="1">
      <c r="R877" s="454"/>
      <c r="AZ877" s="1305"/>
      <c r="BB877" s="169"/>
    </row>
    <row r="878" spans="18:54" ht="15.75" customHeight="1">
      <c r="R878" s="454"/>
      <c r="AZ878" s="1305"/>
      <c r="BB878" s="169"/>
    </row>
    <row r="879" spans="18:54" ht="15.75" customHeight="1">
      <c r="R879" s="454"/>
      <c r="AZ879" s="1305"/>
      <c r="BB879" s="169"/>
    </row>
    <row r="880" spans="18:54" ht="15.75" customHeight="1">
      <c r="R880" s="454"/>
      <c r="AZ880" s="1305"/>
      <c r="BB880" s="169"/>
    </row>
    <row r="881" spans="18:54" ht="15.75" customHeight="1">
      <c r="R881" s="454"/>
      <c r="AZ881" s="1305"/>
      <c r="BB881" s="169"/>
    </row>
    <row r="882" spans="18:54" ht="15.75" customHeight="1">
      <c r="R882" s="454"/>
      <c r="AZ882" s="1305"/>
      <c r="BB882" s="169"/>
    </row>
    <row r="883" spans="18:54" ht="15.75" customHeight="1">
      <c r="R883" s="454"/>
      <c r="AZ883" s="1305"/>
      <c r="BB883" s="169"/>
    </row>
    <row r="884" spans="18:54" ht="15.75" customHeight="1">
      <c r="R884" s="454"/>
      <c r="AZ884" s="1305"/>
      <c r="BB884" s="169"/>
    </row>
    <row r="885" spans="18:54" ht="15.75" customHeight="1">
      <c r="R885" s="454"/>
      <c r="AZ885" s="1305"/>
      <c r="BB885" s="169"/>
    </row>
    <row r="886" spans="18:54" ht="15.75" customHeight="1">
      <c r="R886" s="454"/>
      <c r="AZ886" s="1305"/>
      <c r="BB886" s="169"/>
    </row>
    <row r="887" spans="18:54" ht="15.75" customHeight="1">
      <c r="R887" s="454"/>
      <c r="AZ887" s="1305"/>
      <c r="BB887" s="169"/>
    </row>
    <row r="888" spans="18:54" ht="15.75" customHeight="1">
      <c r="R888" s="454"/>
      <c r="AZ888" s="1305"/>
      <c r="BB888" s="169"/>
    </row>
    <row r="889" spans="18:54" ht="15.75" customHeight="1">
      <c r="R889" s="454"/>
      <c r="AZ889" s="1305"/>
      <c r="BB889" s="169"/>
    </row>
    <row r="890" spans="18:54" ht="15.75" customHeight="1">
      <c r="R890" s="454"/>
      <c r="AZ890" s="1305"/>
      <c r="BB890" s="169"/>
    </row>
    <row r="891" spans="18:54" ht="15.75" customHeight="1">
      <c r="R891" s="454"/>
      <c r="AZ891" s="1305"/>
      <c r="BB891" s="169"/>
    </row>
    <row r="892" spans="18:54" ht="15.75" customHeight="1">
      <c r="R892" s="454"/>
      <c r="AZ892" s="1305"/>
      <c r="BB892" s="169"/>
    </row>
    <row r="893" spans="18:54" ht="15.75" customHeight="1">
      <c r="R893" s="454"/>
      <c r="AZ893" s="1305"/>
      <c r="BB893" s="169"/>
    </row>
    <row r="894" spans="18:54" ht="15.75" customHeight="1">
      <c r="R894" s="454"/>
      <c r="AZ894" s="1305"/>
      <c r="BB894" s="169"/>
    </row>
    <row r="895" spans="18:54" ht="15.75" customHeight="1">
      <c r="R895" s="454"/>
      <c r="AZ895" s="1305"/>
      <c r="BB895" s="169"/>
    </row>
    <row r="896" spans="18:54" ht="15.75" customHeight="1">
      <c r="R896" s="454"/>
      <c r="AZ896" s="1305"/>
      <c r="BB896" s="169"/>
    </row>
    <row r="897" spans="18:54" ht="15.75" customHeight="1">
      <c r="R897" s="454"/>
      <c r="AZ897" s="1305"/>
      <c r="BB897" s="169"/>
    </row>
    <row r="898" spans="18:54" ht="15.75" customHeight="1">
      <c r="R898" s="454"/>
      <c r="AZ898" s="1305"/>
      <c r="BB898" s="169"/>
    </row>
    <row r="899" spans="18:54" ht="15.75" customHeight="1">
      <c r="R899" s="454"/>
      <c r="AZ899" s="1305"/>
      <c r="BB899" s="169"/>
    </row>
    <row r="900" spans="18:54" ht="15.75" customHeight="1">
      <c r="R900" s="454"/>
      <c r="AZ900" s="1305"/>
      <c r="BB900" s="169"/>
    </row>
    <row r="901" spans="18:54" ht="15.75" customHeight="1">
      <c r="R901" s="454"/>
      <c r="AZ901" s="1305"/>
      <c r="BB901" s="169"/>
    </row>
    <row r="902" spans="18:54" ht="15.75" customHeight="1">
      <c r="R902" s="454"/>
      <c r="AZ902" s="1305"/>
      <c r="BB902" s="169"/>
    </row>
    <row r="903" spans="18:54" ht="15.75" customHeight="1">
      <c r="R903" s="454"/>
      <c r="AZ903" s="1305"/>
      <c r="BB903" s="169"/>
    </row>
    <row r="904" spans="18:54" ht="15.75" customHeight="1">
      <c r="R904" s="454"/>
      <c r="AZ904" s="1305"/>
      <c r="BB904" s="169"/>
    </row>
    <row r="905" spans="18:54" ht="15.75" customHeight="1">
      <c r="R905" s="454"/>
      <c r="AZ905" s="1305"/>
      <c r="BB905" s="169"/>
    </row>
    <row r="906" spans="18:54" ht="15.75" customHeight="1">
      <c r="R906" s="454"/>
      <c r="AZ906" s="1305"/>
      <c r="BB906" s="169"/>
    </row>
    <row r="907" spans="18:54" ht="15.75" customHeight="1">
      <c r="R907" s="454"/>
      <c r="AZ907" s="1305"/>
      <c r="BB907" s="169"/>
    </row>
    <row r="908" spans="18:54" ht="15.75" customHeight="1">
      <c r="R908" s="454"/>
      <c r="AZ908" s="1305"/>
      <c r="BB908" s="169"/>
    </row>
    <row r="909" spans="18:54" ht="15.75" customHeight="1">
      <c r="R909" s="454"/>
      <c r="AZ909" s="1305"/>
      <c r="BB909" s="169"/>
    </row>
    <row r="910" spans="18:54" ht="15.75" customHeight="1">
      <c r="R910" s="454"/>
      <c r="AZ910" s="1305"/>
      <c r="BB910" s="169"/>
    </row>
    <row r="911" spans="18:54" ht="15.75" customHeight="1">
      <c r="R911" s="454"/>
      <c r="AZ911" s="1305"/>
      <c r="BB911" s="169"/>
    </row>
    <row r="912" spans="18:54" ht="15.75" customHeight="1">
      <c r="R912" s="454"/>
      <c r="AZ912" s="1305"/>
      <c r="BB912" s="169"/>
    </row>
    <row r="913" spans="18:54" ht="15.75" customHeight="1">
      <c r="R913" s="454"/>
      <c r="AZ913" s="1305"/>
      <c r="BB913" s="169"/>
    </row>
    <row r="914" spans="18:54" ht="15.75" customHeight="1">
      <c r="R914" s="454"/>
      <c r="AZ914" s="1305"/>
      <c r="BB914" s="169"/>
    </row>
    <row r="915" spans="18:54" ht="15.75" customHeight="1">
      <c r="R915" s="454"/>
      <c r="AZ915" s="1305"/>
      <c r="BB915" s="169"/>
    </row>
    <row r="916" spans="18:54" ht="15.75" customHeight="1">
      <c r="R916" s="454"/>
      <c r="AZ916" s="1305"/>
      <c r="BB916" s="169"/>
    </row>
    <row r="917" spans="18:54" ht="15.75" customHeight="1">
      <c r="R917" s="454"/>
      <c r="AZ917" s="1305"/>
      <c r="BB917" s="169"/>
    </row>
    <row r="918" spans="18:54" ht="15.75" customHeight="1">
      <c r="R918" s="454"/>
      <c r="AZ918" s="1305"/>
      <c r="BB918" s="169"/>
    </row>
    <row r="919" spans="18:54" ht="15.75" customHeight="1">
      <c r="R919" s="454"/>
      <c r="AZ919" s="1305"/>
      <c r="BB919" s="169"/>
    </row>
    <row r="920" spans="18:54" ht="15.75" customHeight="1">
      <c r="R920" s="454"/>
      <c r="AZ920" s="1305"/>
      <c r="BB920" s="169"/>
    </row>
    <row r="921" spans="18:54" ht="15.75" customHeight="1">
      <c r="R921" s="454"/>
      <c r="AZ921" s="1305"/>
      <c r="BB921" s="169"/>
    </row>
    <row r="922" spans="18:54" ht="15.75" customHeight="1">
      <c r="R922" s="454"/>
      <c r="AZ922" s="1305"/>
      <c r="BB922" s="169"/>
    </row>
    <row r="923" spans="18:54" ht="15.75" customHeight="1">
      <c r="R923" s="454"/>
      <c r="AZ923" s="1305"/>
      <c r="BB923" s="169"/>
    </row>
    <row r="924" spans="18:54" ht="15.75" customHeight="1">
      <c r="R924" s="454"/>
      <c r="AZ924" s="1305"/>
      <c r="BB924" s="169"/>
    </row>
    <row r="925" spans="18:54" ht="15.75" customHeight="1">
      <c r="R925" s="454"/>
      <c r="AZ925" s="1305"/>
      <c r="BB925" s="169"/>
    </row>
    <row r="926" spans="18:54" ht="15.75" customHeight="1">
      <c r="R926" s="454"/>
      <c r="AZ926" s="1305"/>
      <c r="BB926" s="169"/>
    </row>
    <row r="927" spans="18:54" ht="15.75" customHeight="1">
      <c r="R927" s="454"/>
      <c r="AZ927" s="1305"/>
      <c r="BB927" s="169"/>
    </row>
    <row r="928" spans="18:54" ht="15.75" customHeight="1">
      <c r="R928" s="454"/>
      <c r="AZ928" s="1305"/>
      <c r="BB928" s="169"/>
    </row>
    <row r="929" spans="18:54" ht="15.75" customHeight="1">
      <c r="R929" s="454"/>
      <c r="AZ929" s="1305"/>
      <c r="BB929" s="169"/>
    </row>
    <row r="930" spans="18:54" ht="15.75" customHeight="1">
      <c r="R930" s="454"/>
      <c r="AZ930" s="1305"/>
      <c r="BB930" s="169"/>
    </row>
    <row r="931" spans="18:54" ht="15.75" customHeight="1">
      <c r="R931" s="454"/>
      <c r="AZ931" s="1305"/>
      <c r="BB931" s="169"/>
    </row>
    <row r="932" spans="18:54" ht="15.75" customHeight="1">
      <c r="R932" s="454"/>
      <c r="AZ932" s="1305"/>
      <c r="BB932" s="169"/>
    </row>
    <row r="933" spans="18:54" ht="15.75" customHeight="1">
      <c r="R933" s="454"/>
      <c r="AZ933" s="1305"/>
      <c r="BB933" s="169"/>
    </row>
    <row r="934" spans="18:54" ht="15.75" customHeight="1">
      <c r="R934" s="454"/>
      <c r="AZ934" s="1305"/>
      <c r="BB934" s="169"/>
    </row>
    <row r="935" spans="18:54" ht="15.75" customHeight="1">
      <c r="R935" s="454"/>
      <c r="AZ935" s="1305"/>
      <c r="BB935" s="169"/>
    </row>
    <row r="936" spans="18:54" ht="15.75" customHeight="1">
      <c r="R936" s="454"/>
      <c r="AZ936" s="1305"/>
      <c r="BB936" s="169"/>
    </row>
    <row r="937" spans="18:54" ht="15.75" customHeight="1">
      <c r="R937" s="454"/>
      <c r="AZ937" s="1305"/>
      <c r="BB937" s="169"/>
    </row>
    <row r="938" spans="18:54" ht="15.75" customHeight="1">
      <c r="R938" s="454"/>
      <c r="AZ938" s="1305"/>
      <c r="BB938" s="169"/>
    </row>
    <row r="939" spans="18:54" ht="15.75" customHeight="1">
      <c r="R939" s="454"/>
      <c r="AZ939" s="1305"/>
      <c r="BB939" s="169"/>
    </row>
    <row r="940" spans="18:54" ht="15.75" customHeight="1">
      <c r="R940" s="454"/>
      <c r="AZ940" s="1305"/>
      <c r="BB940" s="169"/>
    </row>
    <row r="941" spans="18:54" ht="15.75" customHeight="1">
      <c r="R941" s="454"/>
      <c r="AZ941" s="1305"/>
      <c r="BB941" s="169"/>
    </row>
    <row r="942" spans="18:54" ht="15.75" customHeight="1">
      <c r="R942" s="454"/>
      <c r="AZ942" s="1305"/>
      <c r="BB942" s="169"/>
    </row>
    <row r="943" spans="18:54" ht="15.75" customHeight="1">
      <c r="R943" s="454"/>
      <c r="AZ943" s="1305"/>
      <c r="BB943" s="169"/>
    </row>
    <row r="944" spans="18:54" ht="15.75" customHeight="1">
      <c r="R944" s="454"/>
      <c r="AZ944" s="1305"/>
      <c r="BB944" s="169"/>
    </row>
    <row r="945" spans="18:54" ht="15.75" customHeight="1">
      <c r="R945" s="454"/>
      <c r="AZ945" s="1305"/>
      <c r="BB945" s="169"/>
    </row>
    <row r="946" spans="18:54" ht="15.75" customHeight="1">
      <c r="R946" s="454"/>
      <c r="AZ946" s="1305"/>
      <c r="BB946" s="169"/>
    </row>
    <row r="947" spans="18:54" ht="15.75" customHeight="1">
      <c r="R947" s="454"/>
      <c r="AZ947" s="1305"/>
      <c r="BB947" s="169"/>
    </row>
    <row r="948" spans="18:54" ht="15.75" customHeight="1">
      <c r="R948" s="454"/>
      <c r="AZ948" s="1305"/>
      <c r="BB948" s="169"/>
    </row>
    <row r="949" spans="18:54" ht="15.75" customHeight="1">
      <c r="R949" s="454"/>
      <c r="AZ949" s="1305"/>
      <c r="BB949" s="169"/>
    </row>
    <row r="950" spans="18:54" ht="15.75" customHeight="1">
      <c r="R950" s="454"/>
      <c r="AZ950" s="1305"/>
      <c r="BB950" s="169"/>
    </row>
    <row r="951" spans="18:54" ht="15.75" customHeight="1">
      <c r="R951" s="454"/>
      <c r="AZ951" s="1305"/>
      <c r="BB951" s="169"/>
    </row>
    <row r="952" spans="18:54" ht="15.75" customHeight="1">
      <c r="R952" s="454"/>
      <c r="AZ952" s="1305"/>
      <c r="BB952" s="169"/>
    </row>
    <row r="953" spans="18:54" ht="15.75" customHeight="1">
      <c r="R953" s="454"/>
      <c r="AZ953" s="1305"/>
      <c r="BB953" s="169"/>
    </row>
    <row r="954" spans="18:54" ht="15.75" customHeight="1">
      <c r="R954" s="454"/>
      <c r="AZ954" s="1305"/>
      <c r="BB954" s="169"/>
    </row>
    <row r="955" spans="18:54" ht="15.75" customHeight="1">
      <c r="R955" s="454"/>
      <c r="AZ955" s="1305"/>
      <c r="BB955" s="169"/>
    </row>
    <row r="956" spans="18:54" ht="15.75" customHeight="1">
      <c r="R956" s="454"/>
      <c r="AZ956" s="1305"/>
      <c r="BB956" s="169"/>
    </row>
    <row r="957" spans="18:54" ht="15.75" customHeight="1">
      <c r="R957" s="454"/>
      <c r="AZ957" s="1305"/>
      <c r="BB957" s="169"/>
    </row>
    <row r="958" spans="18:54" ht="15.75" customHeight="1">
      <c r="R958" s="454"/>
      <c r="AZ958" s="1305"/>
      <c r="BB958" s="169"/>
    </row>
    <row r="959" spans="18:54" ht="15.75" customHeight="1">
      <c r="R959" s="454"/>
      <c r="AZ959" s="1305"/>
      <c r="BB959" s="169"/>
    </row>
    <row r="960" spans="18:54" ht="15.75" customHeight="1">
      <c r="R960" s="454"/>
      <c r="AZ960" s="1305"/>
      <c r="BB960" s="169"/>
    </row>
    <row r="961" spans="18:54" ht="15.75" customHeight="1">
      <c r="R961" s="454"/>
      <c r="AZ961" s="1305"/>
      <c r="BB961" s="169"/>
    </row>
    <row r="962" spans="18:54" ht="15.75" customHeight="1">
      <c r="R962" s="454"/>
      <c r="AZ962" s="1305"/>
      <c r="BB962" s="169"/>
    </row>
    <row r="963" spans="18:54" ht="15.75" customHeight="1">
      <c r="R963" s="454"/>
      <c r="AZ963" s="1305"/>
      <c r="BB963" s="169"/>
    </row>
    <row r="964" spans="18:54" ht="15.75" customHeight="1">
      <c r="R964" s="454"/>
      <c r="AZ964" s="1305"/>
      <c r="BB964" s="169"/>
    </row>
    <row r="965" spans="18:54" ht="15.75" customHeight="1">
      <c r="R965" s="454"/>
      <c r="AZ965" s="1305"/>
      <c r="BB965" s="169"/>
    </row>
    <row r="966" spans="18:54" ht="15.75" customHeight="1">
      <c r="R966" s="454"/>
      <c r="AZ966" s="1305"/>
      <c r="BB966" s="169"/>
    </row>
    <row r="967" spans="18:54" ht="15.75" customHeight="1">
      <c r="R967" s="454"/>
      <c r="AZ967" s="1305"/>
      <c r="BB967" s="169"/>
    </row>
    <row r="968" spans="18:54" ht="15.75" customHeight="1">
      <c r="R968" s="454"/>
      <c r="AZ968" s="1305"/>
      <c r="BB968" s="169"/>
    </row>
    <row r="969" spans="18:54" ht="15.75" customHeight="1">
      <c r="R969" s="454"/>
      <c r="AZ969" s="1305"/>
      <c r="BB969" s="169"/>
    </row>
    <row r="970" spans="18:54" ht="15.75" customHeight="1">
      <c r="R970" s="454"/>
      <c r="AZ970" s="1305"/>
      <c r="BB970" s="169"/>
    </row>
    <row r="971" spans="18:54" ht="15.75" customHeight="1">
      <c r="R971" s="454"/>
      <c r="AZ971" s="1305"/>
      <c r="BB971" s="169"/>
    </row>
    <row r="972" spans="18:54" ht="15.75" customHeight="1">
      <c r="R972" s="454"/>
      <c r="AZ972" s="1305"/>
      <c r="BB972" s="169"/>
    </row>
    <row r="973" spans="18:54" ht="15.75" customHeight="1">
      <c r="R973" s="454"/>
      <c r="AZ973" s="1305"/>
      <c r="BB973" s="169"/>
    </row>
    <row r="974" spans="18:54" ht="15.75" customHeight="1">
      <c r="R974" s="454"/>
      <c r="AZ974" s="1305"/>
      <c r="BB974" s="169"/>
    </row>
    <row r="975" spans="18:54" ht="15.75" customHeight="1">
      <c r="R975" s="454"/>
      <c r="AZ975" s="1305"/>
      <c r="BB975" s="169"/>
    </row>
    <row r="976" spans="18:54" ht="15.75" customHeight="1">
      <c r="R976" s="454"/>
      <c r="AZ976" s="1305"/>
      <c r="BB976" s="169"/>
    </row>
    <row r="977" spans="18:54" ht="15.75" customHeight="1">
      <c r="R977" s="454"/>
      <c r="AZ977" s="1305"/>
      <c r="BB977" s="169"/>
    </row>
    <row r="978" spans="18:54" ht="15.75" customHeight="1">
      <c r="R978" s="454"/>
      <c r="AZ978" s="1305"/>
      <c r="BB978" s="169"/>
    </row>
    <row r="979" spans="18:54" ht="15.75" customHeight="1">
      <c r="R979" s="454"/>
      <c r="AZ979" s="1305"/>
      <c r="BB979" s="169"/>
    </row>
    <row r="980" spans="18:54" ht="15.75" customHeight="1">
      <c r="R980" s="454"/>
      <c r="AZ980" s="1305"/>
      <c r="BB980" s="169"/>
    </row>
    <row r="981" spans="18:54" ht="15.75" customHeight="1">
      <c r="R981" s="454"/>
      <c r="AZ981" s="1305"/>
      <c r="BB981" s="169"/>
    </row>
    <row r="982" spans="18:54" ht="15.75" customHeight="1">
      <c r="R982" s="454"/>
      <c r="AZ982" s="1305"/>
      <c r="BB982" s="169"/>
    </row>
    <row r="983" spans="18:54" ht="15.75" customHeight="1">
      <c r="R983" s="454"/>
      <c r="AZ983" s="1305"/>
      <c r="BB983" s="169"/>
    </row>
    <row r="984" spans="18:54" ht="15.75" customHeight="1">
      <c r="R984" s="454"/>
      <c r="AZ984" s="1305"/>
      <c r="BB984" s="169"/>
    </row>
    <row r="985" spans="18:54" ht="15.75" customHeight="1">
      <c r="R985" s="454"/>
      <c r="AZ985" s="1305"/>
      <c r="BB985" s="169"/>
    </row>
    <row r="986" spans="18:54" ht="15.75" customHeight="1">
      <c r="R986" s="454"/>
      <c r="AZ986" s="1305"/>
      <c r="BB986" s="169"/>
    </row>
    <row r="987" spans="18:54" ht="15.75" customHeight="1">
      <c r="R987" s="454"/>
      <c r="AZ987" s="1305"/>
      <c r="BB987" s="169"/>
    </row>
    <row r="988" spans="18:54" ht="15.75" customHeight="1">
      <c r="R988" s="454"/>
      <c r="AZ988" s="1305"/>
      <c r="BB988" s="169"/>
    </row>
    <row r="989" spans="18:54" ht="15.75" customHeight="1">
      <c r="R989" s="454"/>
      <c r="AZ989" s="1305"/>
      <c r="BB989" s="169"/>
    </row>
    <row r="990" spans="18:54" ht="15.75" customHeight="1">
      <c r="R990" s="454"/>
      <c r="AZ990" s="1305"/>
      <c r="BB990" s="169"/>
    </row>
    <row r="991" spans="18:54" ht="15.75" customHeight="1">
      <c r="R991" s="454"/>
      <c r="AZ991" s="1305"/>
      <c r="BB991" s="169"/>
    </row>
    <row r="992" spans="18:54" ht="15.75" customHeight="1">
      <c r="R992" s="454"/>
      <c r="AZ992" s="1305"/>
      <c r="BB992" s="169"/>
    </row>
    <row r="993" spans="18:54" ht="15.75" customHeight="1">
      <c r="R993" s="454"/>
      <c r="AZ993" s="1305"/>
      <c r="BB993" s="169"/>
    </row>
    <row r="994" spans="18:54" ht="15.75" customHeight="1">
      <c r="R994" s="454"/>
      <c r="AZ994" s="1305"/>
      <c r="BB994" s="169"/>
    </row>
    <row r="995" spans="18:54" ht="15.75" customHeight="1">
      <c r="R995" s="454"/>
      <c r="AZ995" s="1305"/>
      <c r="BB995" s="169"/>
    </row>
    <row r="996" spans="18:54" ht="15.75" customHeight="1">
      <c r="R996" s="454"/>
      <c r="AZ996" s="1305"/>
      <c r="BB996" s="169"/>
    </row>
    <row r="997" spans="18:54" ht="15.75" customHeight="1">
      <c r="R997" s="454"/>
      <c r="AZ997" s="1305"/>
      <c r="BB997" s="169"/>
    </row>
    <row r="998" spans="18:54" ht="15.75" customHeight="1">
      <c r="R998" s="454"/>
      <c r="AZ998" s="1305"/>
      <c r="BB998" s="169"/>
    </row>
    <row r="999" spans="18:54" ht="15.75" customHeight="1">
      <c r="R999" s="454"/>
      <c r="AZ999" s="1305"/>
      <c r="BB999" s="169"/>
    </row>
    <row r="1000" spans="18:54" ht="15.75" customHeight="1">
      <c r="R1000" s="454"/>
      <c r="AZ1000" s="1305"/>
      <c r="BB1000" s="169"/>
    </row>
    <row r="1001" spans="18:54" ht="15.75" customHeight="1">
      <c r="R1001" s="454"/>
      <c r="AZ1001" s="1305"/>
      <c r="BB1001" s="169"/>
    </row>
    <row r="1002" spans="18:54" ht="15.75" customHeight="1">
      <c r="R1002" s="454"/>
      <c r="AZ1002" s="1305"/>
      <c r="BB1002" s="169"/>
    </row>
    <row r="1003" spans="18:54" ht="15.75" customHeight="1">
      <c r="R1003" s="454"/>
      <c r="AZ1003" s="1305"/>
      <c r="BB1003" s="169"/>
    </row>
    <row r="1004" spans="18:54" ht="15.75" customHeight="1">
      <c r="R1004" s="454"/>
      <c r="AZ1004" s="1305"/>
      <c r="BB1004" s="169"/>
    </row>
    <row r="1005" spans="18:54" ht="15.75" customHeight="1">
      <c r="R1005" s="454"/>
      <c r="AZ1005" s="1305"/>
      <c r="BB1005" s="169"/>
    </row>
    <row r="1006" spans="18:54" ht="15.75" customHeight="1">
      <c r="R1006" s="454"/>
      <c r="AZ1006" s="1305"/>
      <c r="BB1006" s="169"/>
    </row>
    <row r="1007" spans="18:54" ht="15.75" customHeight="1">
      <c r="R1007" s="454"/>
      <c r="AZ1007" s="1305"/>
      <c r="BB1007" s="169"/>
    </row>
    <row r="1008" spans="18:54" ht="15.75" customHeight="1">
      <c r="R1008" s="454"/>
      <c r="AZ1008" s="1305"/>
      <c r="BB1008" s="169"/>
    </row>
    <row r="1009" spans="18:54" ht="15.75" customHeight="1">
      <c r="R1009" s="454"/>
      <c r="AZ1009" s="1305"/>
      <c r="BB1009" s="169"/>
    </row>
    <row r="1010" spans="18:54" ht="15.75" customHeight="1">
      <c r="R1010" s="454"/>
      <c r="AZ1010" s="1305"/>
      <c r="BB1010" s="169"/>
    </row>
    <row r="1011" spans="18:54" ht="15.75" customHeight="1">
      <c r="R1011" s="454"/>
      <c r="AZ1011" s="1305"/>
      <c r="BB1011" s="169"/>
    </row>
    <row r="1012" spans="18:54" ht="15.75" customHeight="1">
      <c r="R1012" s="454"/>
      <c r="AZ1012" s="1305"/>
      <c r="BB1012" s="169"/>
    </row>
    <row r="1013" spans="18:54" ht="15.75" customHeight="1">
      <c r="R1013" s="454"/>
      <c r="AZ1013" s="1305"/>
      <c r="BB1013" s="169"/>
    </row>
    <row r="1014" spans="18:54" ht="15.75" customHeight="1">
      <c r="R1014" s="454"/>
      <c r="AZ1014" s="1305"/>
      <c r="BB1014" s="169"/>
    </row>
    <row r="1015" spans="18:54" ht="15.75" customHeight="1">
      <c r="R1015" s="454"/>
      <c r="AZ1015" s="1305"/>
      <c r="BB1015" s="169"/>
    </row>
    <row r="1016" spans="18:54" ht="15.75" customHeight="1">
      <c r="R1016" s="454"/>
      <c r="AZ1016" s="1305"/>
      <c r="BB1016" s="169"/>
    </row>
    <row r="1017" spans="18:54" ht="15.75" customHeight="1">
      <c r="R1017" s="454"/>
      <c r="AZ1017" s="1305"/>
      <c r="BB1017" s="169"/>
    </row>
    <row r="1018" spans="18:54" ht="15.75" customHeight="1">
      <c r="R1018" s="454"/>
      <c r="AZ1018" s="1305"/>
      <c r="BB1018" s="169"/>
    </row>
    <row r="1019" spans="18:54" ht="15.75" customHeight="1">
      <c r="R1019" s="454"/>
      <c r="AZ1019" s="1305"/>
      <c r="BB1019" s="169"/>
    </row>
    <row r="1020" spans="18:54" ht="15.75" customHeight="1">
      <c r="R1020" s="454"/>
      <c r="AZ1020" s="1305"/>
      <c r="BB1020" s="169"/>
    </row>
    <row r="1021" spans="18:54" ht="15.75" customHeight="1">
      <c r="R1021" s="454"/>
      <c r="AZ1021" s="1305"/>
      <c r="BB1021" s="169"/>
    </row>
    <row r="1022" spans="18:54" ht="15.75" customHeight="1">
      <c r="R1022" s="454"/>
      <c r="AZ1022" s="1305"/>
      <c r="BB1022" s="169"/>
    </row>
    <row r="1023" spans="18:54" ht="15.75" customHeight="1">
      <c r="R1023" s="454"/>
      <c r="AZ1023" s="1305"/>
      <c r="BB1023" s="169"/>
    </row>
    <row r="1024" spans="18:54" ht="15.75" customHeight="1">
      <c r="R1024" s="454"/>
      <c r="AZ1024" s="1305"/>
      <c r="BB1024" s="169"/>
    </row>
    <row r="1025" spans="18:54" ht="15.75" customHeight="1">
      <c r="R1025" s="454"/>
      <c r="AZ1025" s="1305"/>
      <c r="BB1025" s="169"/>
    </row>
    <row r="1026" spans="18:54" ht="15.75" customHeight="1">
      <c r="R1026" s="454"/>
      <c r="AZ1026" s="1305"/>
      <c r="BB1026" s="169"/>
    </row>
    <row r="1027" spans="18:54" ht="15.75" customHeight="1">
      <c r="R1027" s="454"/>
      <c r="AZ1027" s="1305"/>
      <c r="BB1027" s="169"/>
    </row>
    <row r="1028" spans="18:54" ht="15.75" customHeight="1">
      <c r="R1028" s="454"/>
      <c r="AZ1028" s="1305"/>
      <c r="BB1028" s="169"/>
    </row>
    <row r="1029" spans="18:54" ht="15.75" customHeight="1">
      <c r="R1029" s="454"/>
      <c r="AZ1029" s="1305"/>
      <c r="BB1029" s="169"/>
    </row>
    <row r="1030" spans="18:54" ht="15.75" customHeight="1">
      <c r="R1030" s="454"/>
      <c r="AZ1030" s="1305"/>
      <c r="BB1030" s="169"/>
    </row>
    <row r="1031" spans="18:54" ht="15.75" customHeight="1">
      <c r="R1031" s="454"/>
      <c r="AZ1031" s="1305"/>
      <c r="BB1031" s="169"/>
    </row>
    <row r="1032" spans="18:54" ht="15.75" customHeight="1">
      <c r="R1032" s="454"/>
      <c r="AZ1032" s="1305"/>
      <c r="BB1032" s="169"/>
    </row>
    <row r="1033" spans="18:54" ht="15.75" customHeight="1">
      <c r="R1033" s="454"/>
      <c r="AZ1033" s="1305"/>
      <c r="BB1033" s="169"/>
    </row>
    <row r="1034" spans="18:54" ht="15.75" customHeight="1">
      <c r="R1034" s="454"/>
      <c r="AZ1034" s="1305"/>
      <c r="BB1034" s="169"/>
    </row>
    <row r="1035" spans="18:54" ht="15.75" customHeight="1">
      <c r="R1035" s="454"/>
      <c r="AZ1035" s="1305"/>
      <c r="BB1035" s="169"/>
    </row>
    <row r="1036" spans="18:54" ht="15.75" customHeight="1">
      <c r="R1036" s="454"/>
      <c r="AZ1036" s="1305"/>
      <c r="BB1036" s="169"/>
    </row>
    <row r="1037" spans="18:54" ht="15.75" customHeight="1">
      <c r="R1037" s="454"/>
      <c r="AZ1037" s="1305"/>
      <c r="BB1037" s="169"/>
    </row>
    <row r="1038" spans="18:54" ht="15.75" customHeight="1">
      <c r="R1038" s="454"/>
      <c r="AZ1038" s="1305"/>
      <c r="BB1038" s="169"/>
    </row>
    <row r="1039" spans="18:54" ht="15.75" customHeight="1">
      <c r="R1039" s="454"/>
      <c r="AZ1039" s="1305"/>
      <c r="BB1039" s="169"/>
    </row>
    <row r="1040" spans="18:54" ht="15.75" customHeight="1">
      <c r="R1040" s="454"/>
      <c r="AZ1040" s="1305"/>
      <c r="BB1040" s="169"/>
    </row>
    <row r="1041" spans="18:54" ht="15.75" customHeight="1">
      <c r="R1041" s="454"/>
      <c r="AZ1041" s="1305"/>
      <c r="BB1041" s="169"/>
    </row>
    <row r="1042" spans="18:54" ht="15.75" customHeight="1">
      <c r="R1042" s="454"/>
      <c r="AZ1042" s="1305"/>
      <c r="BB1042" s="169"/>
    </row>
    <row r="1043" spans="18:54" ht="15.75" customHeight="1">
      <c r="R1043" s="454"/>
      <c r="AZ1043" s="1305"/>
      <c r="BB1043" s="169"/>
    </row>
    <row r="1044" spans="18:54" ht="15.75" customHeight="1">
      <c r="R1044" s="454"/>
      <c r="AZ1044" s="1305"/>
      <c r="BB1044" s="169"/>
    </row>
    <row r="1045" spans="18:54" ht="15.75" customHeight="1">
      <c r="R1045" s="454"/>
      <c r="AZ1045" s="1305"/>
      <c r="BB1045" s="169"/>
    </row>
    <row r="1046" spans="18:54" ht="15.75" customHeight="1">
      <c r="R1046" s="454"/>
      <c r="AZ1046" s="1305"/>
      <c r="BB1046" s="169"/>
    </row>
    <row r="1047" spans="18:54" ht="15.75" customHeight="1">
      <c r="R1047" s="454"/>
      <c r="AZ1047" s="1305"/>
      <c r="BB1047" s="169"/>
    </row>
    <row r="1048" spans="18:54" ht="15.75" customHeight="1">
      <c r="R1048" s="454"/>
      <c r="AZ1048" s="1305"/>
      <c r="BB1048" s="169"/>
    </row>
    <row r="1049" spans="18:54" ht="15.75" customHeight="1">
      <c r="R1049" s="454"/>
      <c r="AZ1049" s="1305"/>
      <c r="BB1049" s="169"/>
    </row>
    <row r="1050" spans="18:54" ht="15.75" customHeight="1">
      <c r="R1050" s="454"/>
      <c r="AZ1050" s="1305"/>
      <c r="BB1050" s="169"/>
    </row>
    <row r="1051" spans="18:54" ht="15.75" customHeight="1">
      <c r="R1051" s="454"/>
      <c r="AZ1051" s="1305"/>
      <c r="BB1051" s="169"/>
    </row>
    <row r="1052" spans="18:54" ht="15.75" customHeight="1">
      <c r="R1052" s="454"/>
      <c r="AZ1052" s="1305"/>
      <c r="BB1052" s="169"/>
    </row>
    <row r="1053" spans="18:54" ht="15.75" customHeight="1">
      <c r="R1053" s="454"/>
      <c r="AZ1053" s="1305"/>
      <c r="BB1053" s="169"/>
    </row>
    <row r="1054" spans="18:54" ht="15.75" customHeight="1">
      <c r="R1054" s="454"/>
      <c r="AZ1054" s="1305"/>
      <c r="BB1054" s="169"/>
    </row>
    <row r="1055" spans="18:54" ht="15.75" customHeight="1">
      <c r="R1055" s="454"/>
      <c r="AZ1055" s="1305"/>
      <c r="BB1055" s="169"/>
    </row>
    <row r="1056" spans="18:54" ht="15.75" customHeight="1">
      <c r="R1056" s="454"/>
      <c r="AZ1056" s="1305"/>
      <c r="BB1056" s="169"/>
    </row>
    <row r="1057" spans="18:54" ht="15.75" customHeight="1">
      <c r="R1057" s="454"/>
      <c r="AZ1057" s="1305"/>
      <c r="BB1057" s="169"/>
    </row>
    <row r="1058" spans="18:54" ht="15.75" customHeight="1">
      <c r="R1058" s="454"/>
      <c r="AZ1058" s="1305"/>
      <c r="BB1058" s="169"/>
    </row>
    <row r="1059" spans="18:54" ht="15.75" customHeight="1">
      <c r="R1059" s="454"/>
      <c r="AZ1059" s="1305"/>
      <c r="BB1059" s="169"/>
    </row>
    <row r="1060" spans="18:54" ht="15.75" customHeight="1">
      <c r="R1060" s="454"/>
      <c r="AZ1060" s="1305"/>
      <c r="BB1060" s="169"/>
    </row>
    <row r="1061" spans="18:54" ht="15.75" customHeight="1">
      <c r="R1061" s="454"/>
      <c r="AZ1061" s="1305"/>
      <c r="BB1061" s="169"/>
    </row>
    <row r="1062" spans="18:54" ht="15.75" customHeight="1">
      <c r="R1062" s="454"/>
      <c r="AZ1062" s="1305"/>
      <c r="BB1062" s="169"/>
    </row>
    <row r="1063" spans="18:54" ht="15.75" customHeight="1">
      <c r="R1063" s="454"/>
      <c r="AZ1063" s="1305"/>
      <c r="BB1063" s="169"/>
    </row>
    <row r="1064" spans="18:54" ht="15.75" customHeight="1">
      <c r="R1064" s="454"/>
      <c r="AZ1064" s="1305"/>
      <c r="BB1064" s="169"/>
    </row>
    <row r="1065" spans="18:54" ht="15.75" customHeight="1">
      <c r="R1065" s="454"/>
      <c r="AZ1065" s="1305"/>
      <c r="BB1065" s="169"/>
    </row>
    <row r="1066" spans="18:54" ht="15.75" customHeight="1">
      <c r="R1066" s="454"/>
      <c r="AZ1066" s="1305"/>
      <c r="BB1066" s="169"/>
    </row>
    <row r="1067" spans="18:54" ht="15.75" customHeight="1">
      <c r="R1067" s="454"/>
      <c r="AZ1067" s="1305"/>
      <c r="BB1067" s="169"/>
    </row>
    <row r="1068" spans="18:54" ht="15.75" customHeight="1">
      <c r="R1068" s="454"/>
      <c r="AZ1068" s="1305"/>
      <c r="BB1068" s="169"/>
    </row>
    <row r="1069" spans="18:54" ht="15.75" customHeight="1">
      <c r="R1069" s="454"/>
      <c r="AZ1069" s="1305"/>
      <c r="BB1069" s="169"/>
    </row>
    <row r="1070" spans="18:54" ht="15.75" customHeight="1">
      <c r="R1070" s="454"/>
      <c r="AZ1070" s="1305"/>
      <c r="BB1070" s="169"/>
    </row>
    <row r="1071" spans="18:54" ht="15.75" customHeight="1">
      <c r="R1071" s="454"/>
      <c r="AZ1071" s="1305"/>
      <c r="BB1071" s="169"/>
    </row>
    <row r="1072" spans="18:54" ht="15.75" customHeight="1">
      <c r="R1072" s="454"/>
      <c r="AZ1072" s="1305"/>
      <c r="BB1072" s="169"/>
    </row>
    <row r="1073" spans="18:54" ht="15.75" customHeight="1">
      <c r="R1073" s="454"/>
      <c r="AZ1073" s="1305"/>
      <c r="BB1073" s="169"/>
    </row>
    <row r="1074" spans="18:54" ht="15.75" customHeight="1">
      <c r="R1074" s="454"/>
      <c r="AZ1074" s="1305"/>
      <c r="BB1074" s="169"/>
    </row>
    <row r="1075" spans="18:54" ht="15.75" customHeight="1">
      <c r="R1075" s="454"/>
      <c r="AZ1075" s="1305"/>
      <c r="BB1075" s="169"/>
    </row>
    <row r="1076" spans="18:54" ht="15.75" customHeight="1">
      <c r="R1076" s="454"/>
      <c r="AZ1076" s="1305"/>
      <c r="BB1076" s="169"/>
    </row>
    <row r="1077" spans="18:54" ht="15.75" customHeight="1">
      <c r="R1077" s="454"/>
      <c r="AZ1077" s="1305"/>
      <c r="BB1077" s="169"/>
    </row>
    <row r="1078" spans="18:54" ht="15.75" customHeight="1">
      <c r="R1078" s="454"/>
      <c r="AZ1078" s="1305"/>
      <c r="BB1078" s="169"/>
    </row>
    <row r="1079" spans="18:54" ht="15.75" customHeight="1">
      <c r="R1079" s="454"/>
      <c r="AZ1079" s="1305"/>
      <c r="BB1079" s="169"/>
    </row>
    <row r="1080" spans="18:54" ht="15.75" customHeight="1">
      <c r="R1080" s="454"/>
      <c r="AZ1080" s="1305"/>
      <c r="BB1080" s="169"/>
    </row>
    <row r="1081" spans="18:54" ht="15.75" customHeight="1">
      <c r="R1081" s="454"/>
      <c r="AZ1081" s="1305"/>
      <c r="BB1081" s="169"/>
    </row>
    <row r="1082" spans="18:54" ht="15.75" customHeight="1">
      <c r="R1082" s="454"/>
      <c r="AZ1082" s="1305"/>
      <c r="BB1082" s="169"/>
    </row>
    <row r="1083" spans="18:54" ht="15.75" customHeight="1">
      <c r="R1083" s="454"/>
      <c r="AZ1083" s="1305"/>
      <c r="BB1083" s="169"/>
    </row>
    <row r="1084" spans="18:54" ht="15.75" customHeight="1">
      <c r="R1084" s="454"/>
      <c r="AZ1084" s="1305"/>
      <c r="BB1084" s="169"/>
    </row>
    <row r="1085" spans="18:54" ht="15.75" customHeight="1">
      <c r="R1085" s="454"/>
      <c r="AZ1085" s="1305"/>
      <c r="BB1085" s="169"/>
    </row>
    <row r="1086" spans="18:54" ht="15.75" customHeight="1">
      <c r="R1086" s="454"/>
      <c r="AZ1086" s="1305"/>
      <c r="BB1086" s="169"/>
    </row>
    <row r="1087" spans="18:54" ht="15.75" customHeight="1">
      <c r="R1087" s="454"/>
      <c r="AZ1087" s="1305"/>
      <c r="BB1087" s="169"/>
    </row>
    <row r="1088" spans="18:54" ht="15.75" customHeight="1">
      <c r="R1088" s="454"/>
      <c r="AZ1088" s="1305"/>
      <c r="BB1088" s="169"/>
    </row>
    <row r="1089" spans="18:54" ht="15.75" customHeight="1">
      <c r="R1089" s="454"/>
      <c r="AZ1089" s="1305"/>
      <c r="BB1089" s="169"/>
    </row>
    <row r="1090" spans="18:54" ht="15.75" customHeight="1">
      <c r="R1090" s="454"/>
      <c r="AZ1090" s="1305"/>
      <c r="BB1090" s="169"/>
    </row>
    <row r="1091" spans="18:54" ht="15.75" customHeight="1">
      <c r="R1091" s="454"/>
      <c r="AZ1091" s="1305"/>
      <c r="BB1091" s="169"/>
    </row>
    <row r="1092" spans="18:54" ht="15.75" customHeight="1">
      <c r="R1092" s="454"/>
      <c r="AZ1092" s="1305"/>
      <c r="BB1092" s="169"/>
    </row>
    <row r="1093" spans="18:54" ht="15.75" customHeight="1">
      <c r="R1093" s="454"/>
      <c r="AZ1093" s="1305"/>
      <c r="BB1093" s="169"/>
    </row>
    <row r="1094" spans="18:54" ht="15.75" customHeight="1">
      <c r="R1094" s="454"/>
      <c r="AZ1094" s="1305"/>
      <c r="BB1094" s="169"/>
    </row>
    <row r="1095" spans="18:54" ht="15.75" customHeight="1">
      <c r="R1095" s="454"/>
      <c r="AZ1095" s="1266"/>
      <c r="BB1095" s="169"/>
    </row>
    <row r="1096" spans="18:54" ht="15.75" customHeight="1">
      <c r="R1096" s="454"/>
      <c r="AZ1096" s="1266"/>
      <c r="BB1096" s="169"/>
    </row>
    <row r="1097" spans="18:54" ht="15.75" customHeight="1">
      <c r="R1097" s="454"/>
      <c r="AZ1097" s="1266"/>
      <c r="BB1097" s="169"/>
    </row>
    <row r="1098" spans="18:54" ht="15.75" customHeight="1">
      <c r="R1098" s="454"/>
      <c r="AZ1098" s="1266"/>
      <c r="BB1098" s="169"/>
    </row>
    <row r="1099" spans="18:54" ht="15.75" customHeight="1">
      <c r="R1099" s="454"/>
      <c r="AZ1099" s="1266"/>
      <c r="BB1099" s="169"/>
    </row>
    <row r="1100" spans="18:54" ht="15.75" customHeight="1">
      <c r="R1100" s="454"/>
      <c r="AZ1100" s="1266"/>
      <c r="BB1100" s="169"/>
    </row>
    <row r="1101" spans="18:54" ht="15.75" customHeight="1">
      <c r="R1101" s="454"/>
      <c r="AZ1101" s="1266"/>
      <c r="BB1101" s="169"/>
    </row>
    <row r="1102" spans="18:54" ht="15.75" customHeight="1">
      <c r="R1102" s="454"/>
      <c r="AZ1102" s="1266"/>
      <c r="BB1102" s="169"/>
    </row>
    <row r="1103" spans="18:54" ht="15.75" customHeight="1">
      <c r="R1103" s="454"/>
      <c r="AZ1103" s="1266"/>
      <c r="BB1103" s="169"/>
    </row>
    <row r="1104" spans="18:54" ht="15.75" customHeight="1">
      <c r="R1104" s="454"/>
      <c r="AZ1104" s="1266"/>
      <c r="BB1104" s="169"/>
    </row>
    <row r="1105" spans="18:54" ht="15.75" customHeight="1">
      <c r="R1105" s="454"/>
      <c r="AZ1105" s="1266"/>
      <c r="BB1105" s="169"/>
    </row>
    <row r="1106" spans="18:54" ht="15.75" customHeight="1">
      <c r="R1106" s="454"/>
      <c r="AZ1106" s="1266"/>
      <c r="BB1106" s="169"/>
    </row>
    <row r="1107" spans="18:54" ht="15.75" customHeight="1">
      <c r="R1107" s="454"/>
      <c r="AZ1107" s="1266"/>
      <c r="BB1107" s="169"/>
    </row>
    <row r="1108" spans="18:54" ht="15.75" customHeight="1">
      <c r="R1108" s="454"/>
      <c r="AZ1108" s="1266"/>
      <c r="BB1108" s="169"/>
    </row>
    <row r="1109" spans="18:54" ht="15.75" customHeight="1">
      <c r="R1109" s="454"/>
      <c r="AZ1109" s="1266"/>
      <c r="BB1109" s="169"/>
    </row>
    <row r="1110" spans="18:54" ht="15.75" customHeight="1">
      <c r="R1110" s="454"/>
      <c r="AZ1110" s="1266"/>
      <c r="BB1110" s="169"/>
    </row>
    <row r="1111" spans="18:54" ht="15.75" customHeight="1">
      <c r="R1111" s="454"/>
      <c r="AZ1111" s="1266"/>
      <c r="BB1111" s="169"/>
    </row>
    <row r="1112" spans="18:54" ht="15.75" customHeight="1">
      <c r="R1112" s="454"/>
      <c r="AZ1112" s="1266"/>
      <c r="BB1112" s="169"/>
    </row>
    <row r="1113" spans="18:54" ht="15.75" customHeight="1">
      <c r="R1113" s="454"/>
      <c r="AZ1113" s="1266"/>
      <c r="BB1113" s="169"/>
    </row>
    <row r="1114" spans="18:54" ht="15.75" customHeight="1">
      <c r="R1114" s="454"/>
      <c r="AZ1114" s="1266"/>
      <c r="BB1114" s="169"/>
    </row>
    <row r="1115" spans="18:54" ht="15.75" customHeight="1">
      <c r="R1115" s="454"/>
      <c r="AZ1115" s="1266"/>
      <c r="BB1115" s="169"/>
    </row>
    <row r="1116" spans="18:54" ht="15.75" customHeight="1">
      <c r="R1116" s="454"/>
      <c r="AZ1116" s="1266"/>
      <c r="BB1116" s="169"/>
    </row>
    <row r="1117" spans="18:54" ht="15.75" customHeight="1">
      <c r="R1117" s="454"/>
      <c r="AZ1117" s="1266"/>
      <c r="BB1117" s="169"/>
    </row>
    <row r="1118" spans="18:54" ht="15.75" customHeight="1">
      <c r="R1118" s="454"/>
      <c r="AZ1118" s="1266"/>
      <c r="BB1118" s="169"/>
    </row>
    <row r="1119" spans="18:54" ht="15.75" customHeight="1">
      <c r="R1119" s="454"/>
      <c r="AZ1119" s="1266"/>
      <c r="BB1119" s="169"/>
    </row>
    <row r="1120" spans="18:54" ht="15.75" customHeight="1">
      <c r="R1120" s="454"/>
      <c r="AZ1120" s="1266"/>
      <c r="BB1120" s="169"/>
    </row>
    <row r="1121" spans="18:54" ht="15.75" customHeight="1">
      <c r="R1121" s="454"/>
      <c r="AZ1121" s="1266"/>
      <c r="BB1121" s="169"/>
    </row>
    <row r="1122" spans="18:54" ht="15.75" customHeight="1">
      <c r="R1122" s="454"/>
      <c r="AZ1122" s="1266"/>
      <c r="BB1122" s="169"/>
    </row>
    <row r="1123" spans="18:54" ht="15.75" customHeight="1">
      <c r="R1123" s="454"/>
      <c r="AZ1123" s="1266"/>
      <c r="BB1123" s="169"/>
    </row>
    <row r="1124" spans="18:54" ht="15.75" customHeight="1">
      <c r="R1124" s="454"/>
      <c r="AZ1124" s="1266"/>
      <c r="BB1124" s="169"/>
    </row>
    <row r="1125" spans="18:54" ht="15.75" customHeight="1">
      <c r="R1125" s="454"/>
      <c r="AZ1125" s="1266"/>
      <c r="BB1125" s="169"/>
    </row>
    <row r="1126" spans="18:54" ht="15.75" customHeight="1">
      <c r="R1126" s="454"/>
      <c r="AZ1126" s="1266"/>
      <c r="BB1126" s="169"/>
    </row>
    <row r="1127" spans="18:54" ht="15.75" customHeight="1">
      <c r="R1127" s="454"/>
      <c r="AZ1127" s="1266"/>
      <c r="BB1127" s="169"/>
    </row>
    <row r="1128" spans="18:54" ht="15.75" customHeight="1">
      <c r="R1128" s="454"/>
      <c r="AZ1128" s="1266"/>
      <c r="BB1128" s="169"/>
    </row>
    <row r="1129" spans="18:54" ht="15.75" customHeight="1">
      <c r="R1129" s="454"/>
      <c r="AZ1129" s="1266"/>
      <c r="BB1129" s="169"/>
    </row>
    <row r="1130" spans="18:54" ht="15.75" customHeight="1">
      <c r="R1130" s="454"/>
      <c r="AZ1130" s="1266"/>
      <c r="BB1130" s="169"/>
    </row>
    <row r="1131" spans="18:54" ht="15.75" customHeight="1">
      <c r="R1131" s="454"/>
      <c r="AZ1131" s="1266"/>
      <c r="BB1131" s="169"/>
    </row>
    <row r="1132" spans="18:54" ht="15.75" customHeight="1">
      <c r="R1132" s="454"/>
      <c r="AZ1132" s="1266"/>
      <c r="BB1132" s="169"/>
    </row>
    <row r="1133" spans="18:54" ht="15.75" customHeight="1">
      <c r="R1133" s="454"/>
      <c r="AZ1133" s="1266"/>
      <c r="BB1133" s="169"/>
    </row>
    <row r="1134" spans="18:54" ht="15.75" customHeight="1">
      <c r="R1134" s="454"/>
      <c r="AZ1134" s="1266"/>
      <c r="BB1134" s="169"/>
    </row>
    <row r="1135" spans="18:54" ht="15.75" customHeight="1">
      <c r="R1135" s="454"/>
      <c r="AZ1135" s="1266"/>
      <c r="BB1135" s="169"/>
    </row>
    <row r="1136" spans="18:54" ht="15.75" customHeight="1">
      <c r="R1136" s="454"/>
      <c r="AZ1136" s="1266"/>
      <c r="BB1136" s="169"/>
    </row>
    <row r="1137" spans="18:54" ht="15.75" customHeight="1">
      <c r="R1137" s="454"/>
      <c r="AZ1137" s="1266"/>
      <c r="BB1137" s="169"/>
    </row>
    <row r="1138" spans="18:54" ht="15.75" customHeight="1">
      <c r="R1138" s="454"/>
      <c r="AZ1138" s="1266"/>
      <c r="BB1138" s="169"/>
    </row>
    <row r="1139" spans="18:54" ht="15.75" customHeight="1">
      <c r="R1139" s="454"/>
      <c r="AZ1139" s="1266"/>
      <c r="BB1139" s="169"/>
    </row>
    <row r="1140" spans="18:54" ht="15.75" customHeight="1">
      <c r="R1140" s="454"/>
      <c r="AZ1140" s="1266"/>
      <c r="BB1140" s="169"/>
    </row>
    <row r="1141" spans="18:54" ht="15.75" customHeight="1">
      <c r="R1141" s="454"/>
      <c r="AZ1141" s="1266"/>
      <c r="BB1141" s="169"/>
    </row>
    <row r="1142" spans="18:54" ht="15.75" customHeight="1">
      <c r="R1142" s="454"/>
      <c r="AZ1142" s="1266"/>
      <c r="BB1142" s="169"/>
    </row>
    <row r="1143" spans="18:54" ht="15.75" customHeight="1">
      <c r="R1143" s="454"/>
      <c r="AZ1143" s="1266"/>
      <c r="BB1143" s="169"/>
    </row>
    <row r="1144" spans="18:54" ht="15.75" customHeight="1">
      <c r="R1144" s="454"/>
      <c r="AZ1144" s="1266"/>
      <c r="BB1144" s="169"/>
    </row>
    <row r="1145" spans="18:54" ht="15.75" customHeight="1">
      <c r="R1145" s="454"/>
      <c r="AZ1145" s="1266"/>
      <c r="BB1145" s="169"/>
    </row>
    <row r="1146" spans="18:54" ht="15.75" customHeight="1">
      <c r="R1146" s="454"/>
      <c r="AZ1146" s="1266"/>
      <c r="BB1146" s="169"/>
    </row>
    <row r="1147" spans="18:54" ht="15.75" customHeight="1">
      <c r="R1147" s="454"/>
      <c r="AZ1147" s="1266"/>
      <c r="BB1147" s="169"/>
    </row>
    <row r="1148" spans="18:54" ht="15.75" customHeight="1">
      <c r="R1148" s="454"/>
      <c r="AZ1148" s="1266"/>
      <c r="BB1148" s="169"/>
    </row>
    <row r="1149" spans="18:54" ht="15.75" customHeight="1">
      <c r="R1149" s="454"/>
      <c r="AZ1149" s="1266"/>
      <c r="BB1149" s="169"/>
    </row>
    <row r="1150" spans="18:54" ht="15.75" customHeight="1">
      <c r="R1150" s="454"/>
      <c r="AZ1150" s="1266"/>
      <c r="BB1150" s="169"/>
    </row>
    <row r="1151" spans="18:54" ht="15.75" customHeight="1">
      <c r="R1151" s="454"/>
      <c r="AZ1151" s="1266"/>
      <c r="BB1151" s="169"/>
    </row>
    <row r="1152" spans="18:54" ht="15.75" customHeight="1">
      <c r="R1152" s="454"/>
      <c r="AZ1152" s="1266"/>
      <c r="BB1152" s="169"/>
    </row>
    <row r="1153" spans="18:54" ht="15.75" customHeight="1">
      <c r="R1153" s="454"/>
      <c r="AZ1153" s="1266"/>
      <c r="BB1153" s="169"/>
    </row>
    <row r="1154" spans="18:54" ht="15.75" customHeight="1">
      <c r="R1154" s="454"/>
      <c r="AZ1154" s="1266"/>
      <c r="BB1154" s="169"/>
    </row>
    <row r="1155" spans="18:54" ht="15.75" customHeight="1">
      <c r="R1155" s="454"/>
      <c r="AZ1155" s="1266"/>
      <c r="BB1155" s="169"/>
    </row>
    <row r="1156" spans="18:54" ht="15.75" customHeight="1">
      <c r="R1156" s="454"/>
      <c r="AZ1156" s="1266"/>
      <c r="BB1156" s="169"/>
    </row>
    <row r="1157" spans="18:54" ht="15.75" customHeight="1">
      <c r="R1157" s="454"/>
      <c r="AZ1157" s="1266"/>
      <c r="BB1157" s="169"/>
    </row>
    <row r="1158" spans="18:54" ht="15.75" customHeight="1">
      <c r="R1158" s="454"/>
      <c r="AZ1158" s="1266"/>
      <c r="BB1158" s="169"/>
    </row>
    <row r="1159" spans="18:54" ht="15.75" customHeight="1">
      <c r="R1159" s="454"/>
      <c r="AZ1159" s="1266"/>
      <c r="BB1159" s="169"/>
    </row>
    <row r="1160" spans="18:54" ht="15.75" customHeight="1">
      <c r="R1160" s="454"/>
      <c r="AZ1160" s="1266"/>
      <c r="BB1160" s="169"/>
    </row>
    <row r="1161" spans="18:54" ht="15.75" customHeight="1">
      <c r="R1161" s="454"/>
      <c r="AZ1161" s="1266"/>
      <c r="BB1161" s="169"/>
    </row>
    <row r="1162" spans="18:54" ht="15.75" customHeight="1">
      <c r="R1162" s="454"/>
      <c r="AZ1162" s="1266"/>
      <c r="BB1162" s="169"/>
    </row>
    <row r="1163" spans="18:54" ht="15.75" customHeight="1">
      <c r="R1163" s="454"/>
      <c r="AZ1163" s="1266"/>
      <c r="BB1163" s="169"/>
    </row>
    <row r="1164" spans="18:54" ht="15.75" customHeight="1">
      <c r="R1164" s="454"/>
      <c r="AZ1164" s="1266"/>
      <c r="BB1164" s="169"/>
    </row>
    <row r="1165" spans="18:54" ht="15.75" customHeight="1">
      <c r="R1165" s="454"/>
      <c r="AZ1165" s="1266"/>
      <c r="BB1165" s="169"/>
    </row>
    <row r="1166" spans="18:54" ht="15.75" customHeight="1">
      <c r="R1166" s="454"/>
      <c r="AZ1166" s="1266"/>
      <c r="BB1166" s="169"/>
    </row>
    <row r="1167" spans="18:54" ht="15.75" customHeight="1">
      <c r="R1167" s="454"/>
      <c r="AZ1167" s="1266"/>
      <c r="BB1167" s="169"/>
    </row>
    <row r="1168" spans="18:54" ht="15.75" customHeight="1">
      <c r="R1168" s="454"/>
      <c r="AZ1168" s="1266"/>
      <c r="BB1168" s="169"/>
    </row>
    <row r="1169" spans="18:54" ht="15.75" customHeight="1">
      <c r="R1169" s="454"/>
      <c r="AZ1169" s="1266"/>
      <c r="BB1169" s="169"/>
    </row>
    <row r="1170" spans="18:54" ht="15.75" customHeight="1">
      <c r="R1170" s="454"/>
      <c r="AZ1170" s="1266"/>
      <c r="BB1170" s="169"/>
    </row>
    <row r="1171" spans="18:54" ht="15.75" customHeight="1">
      <c r="R1171" s="454"/>
      <c r="AZ1171" s="1266"/>
      <c r="BB1171" s="169"/>
    </row>
    <row r="1172" spans="18:54" ht="15.75" customHeight="1">
      <c r="R1172" s="454"/>
      <c r="AZ1172" s="1266"/>
      <c r="BB1172" s="169"/>
    </row>
    <row r="1173" spans="18:54" ht="15.75" customHeight="1">
      <c r="R1173" s="454"/>
      <c r="AZ1173" s="1266"/>
      <c r="BB1173" s="169"/>
    </row>
    <row r="1174" spans="18:54" ht="15.75" customHeight="1">
      <c r="R1174" s="454"/>
      <c r="AZ1174" s="1266"/>
      <c r="BB1174" s="169"/>
    </row>
    <row r="1175" spans="18:54" ht="15.75" customHeight="1">
      <c r="R1175" s="454"/>
      <c r="AZ1175" s="1266"/>
      <c r="BB1175" s="169"/>
    </row>
    <row r="1176" spans="18:54" ht="15.75" customHeight="1">
      <c r="R1176" s="454"/>
      <c r="AZ1176" s="1266"/>
      <c r="BB1176" s="169"/>
    </row>
    <row r="1177" spans="18:54" ht="15.75" customHeight="1">
      <c r="R1177" s="454"/>
      <c r="AZ1177" s="1266"/>
      <c r="BB1177" s="169"/>
    </row>
    <row r="1178" spans="18:54" ht="15.75" customHeight="1">
      <c r="R1178" s="454"/>
      <c r="AZ1178" s="1266"/>
      <c r="BB1178" s="169"/>
    </row>
    <row r="1179" spans="18:54" ht="15.75" customHeight="1">
      <c r="R1179" s="454"/>
      <c r="AZ1179" s="1266"/>
      <c r="BB1179" s="169"/>
    </row>
    <row r="1180" spans="18:54" ht="15.75" customHeight="1">
      <c r="R1180" s="454"/>
      <c r="AZ1180" s="1266"/>
      <c r="BB1180" s="169"/>
    </row>
    <row r="1181" spans="18:54" ht="15.75" customHeight="1">
      <c r="R1181" s="454"/>
      <c r="AZ1181" s="1266"/>
      <c r="BB1181" s="169"/>
    </row>
    <row r="1182" spans="18:54" ht="15.75" customHeight="1">
      <c r="R1182" s="454"/>
      <c r="AZ1182" s="1266"/>
      <c r="BB1182" s="169"/>
    </row>
    <row r="1183" spans="18:54" ht="15.75" customHeight="1">
      <c r="R1183" s="454"/>
      <c r="AZ1183" s="1266"/>
      <c r="BB1183" s="169"/>
    </row>
    <row r="1184" spans="18:54" ht="15.75" customHeight="1">
      <c r="R1184" s="454"/>
      <c r="AZ1184" s="1266"/>
      <c r="BB1184" s="169"/>
    </row>
    <row r="1185" spans="18:54" ht="15.75" customHeight="1">
      <c r="R1185" s="454"/>
      <c r="AZ1185" s="1266"/>
      <c r="BB1185" s="169"/>
    </row>
    <row r="1186" spans="18:54" ht="15.75" customHeight="1">
      <c r="R1186" s="454"/>
      <c r="AZ1186" s="1266"/>
      <c r="BB1186" s="169"/>
    </row>
    <row r="1187" spans="18:54" ht="15.75" customHeight="1">
      <c r="R1187" s="454"/>
      <c r="AZ1187" s="1266"/>
      <c r="BB1187" s="169"/>
    </row>
    <row r="1188" spans="18:54" ht="15.75" customHeight="1">
      <c r="R1188" s="454"/>
      <c r="AZ1188" s="1266"/>
      <c r="BB1188" s="169"/>
    </row>
    <row r="1189" spans="18:54" ht="15.75" customHeight="1">
      <c r="R1189" s="454"/>
      <c r="AZ1189" s="1266"/>
      <c r="BB1189" s="169"/>
    </row>
    <row r="1190" spans="18:54" ht="15.75" customHeight="1">
      <c r="R1190" s="454"/>
      <c r="AZ1190" s="1266"/>
      <c r="BB1190" s="169"/>
    </row>
    <row r="1191" spans="18:54" ht="15.75" customHeight="1">
      <c r="R1191" s="454"/>
      <c r="AZ1191" s="1266"/>
      <c r="BB1191" s="169"/>
    </row>
    <row r="1192" spans="18:54" ht="15.75" customHeight="1">
      <c r="R1192" s="454"/>
      <c r="AZ1192" s="1266"/>
      <c r="BB1192" s="169"/>
    </row>
    <row r="1193" spans="18:54" ht="15.75" customHeight="1">
      <c r="R1193" s="454"/>
      <c r="AZ1193" s="1266"/>
      <c r="BB1193" s="169"/>
    </row>
    <row r="1194" spans="18:54" ht="15.75" customHeight="1">
      <c r="R1194" s="454"/>
      <c r="AZ1194" s="1266"/>
      <c r="BB1194" s="169"/>
    </row>
    <row r="1195" spans="18:54" ht="15.75" customHeight="1">
      <c r="R1195" s="454"/>
      <c r="AZ1195" s="1266"/>
      <c r="BB1195" s="169"/>
    </row>
    <row r="1196" spans="18:54" ht="15.75" customHeight="1">
      <c r="R1196" s="454"/>
      <c r="AZ1196" s="1266"/>
      <c r="BB1196" s="169"/>
    </row>
    <row r="1197" spans="18:54" ht="15.75" customHeight="1">
      <c r="R1197" s="454"/>
      <c r="AZ1197" s="1266"/>
      <c r="BB1197" s="169"/>
    </row>
    <row r="1198" spans="18:54" ht="15.75" customHeight="1">
      <c r="R1198" s="454"/>
      <c r="AZ1198" s="1266"/>
      <c r="BB1198" s="169"/>
    </row>
    <row r="1199" spans="18:54" ht="15.75" customHeight="1">
      <c r="R1199" s="454"/>
      <c r="AZ1199" s="1266"/>
      <c r="BB1199" s="169"/>
    </row>
    <row r="1200" spans="18:54" ht="15.75" customHeight="1">
      <c r="R1200" s="454"/>
      <c r="AZ1200" s="1266"/>
      <c r="BB1200" s="169"/>
    </row>
    <row r="1201" spans="18:54" ht="15.75" customHeight="1">
      <c r="R1201" s="454"/>
      <c r="AZ1201" s="1266"/>
      <c r="BB1201" s="169"/>
    </row>
    <row r="1202" spans="18:54" ht="15.75" customHeight="1">
      <c r="R1202" s="454"/>
      <c r="AZ1202" s="1266"/>
      <c r="BB1202" s="169"/>
    </row>
    <row r="1203" spans="18:54" ht="15.75" customHeight="1">
      <c r="R1203" s="454"/>
      <c r="AZ1203" s="1266"/>
      <c r="BB1203" s="169"/>
    </row>
    <row r="1204" spans="18:54" ht="15.75" customHeight="1">
      <c r="R1204" s="454"/>
      <c r="AZ1204" s="1266"/>
      <c r="BB1204" s="169"/>
    </row>
    <row r="1205" spans="18:54" ht="15.75" customHeight="1">
      <c r="R1205" s="454"/>
      <c r="AZ1205" s="1266"/>
      <c r="BB1205" s="169"/>
    </row>
    <row r="1206" spans="18:54" ht="15.75" customHeight="1">
      <c r="R1206" s="454"/>
      <c r="AZ1206" s="1266"/>
      <c r="BB1206" s="169"/>
    </row>
    <row r="1207" spans="18:54" ht="15.75" customHeight="1">
      <c r="R1207" s="454"/>
      <c r="AZ1207" s="1266"/>
      <c r="BB1207" s="169"/>
    </row>
    <row r="1208" spans="18:54" ht="15.75" customHeight="1">
      <c r="R1208" s="454"/>
      <c r="AZ1208" s="1266"/>
      <c r="BB1208" s="169"/>
    </row>
    <row r="1209" spans="18:54" ht="15.75" customHeight="1">
      <c r="R1209" s="454"/>
      <c r="AZ1209" s="1266"/>
      <c r="BB1209" s="169"/>
    </row>
    <row r="1210" spans="18:54" ht="15.75" customHeight="1">
      <c r="R1210" s="454"/>
      <c r="AZ1210" s="1266"/>
      <c r="BB1210" s="169"/>
    </row>
    <row r="1211" spans="18:54" ht="15.75" customHeight="1">
      <c r="R1211" s="454"/>
      <c r="AZ1211" s="1266"/>
      <c r="BB1211" s="169"/>
    </row>
    <row r="1212" spans="18:54" ht="15.75" customHeight="1">
      <c r="R1212" s="454"/>
      <c r="AZ1212" s="1266"/>
      <c r="BB1212" s="169"/>
    </row>
    <row r="1213" spans="18:54" ht="15.75" customHeight="1">
      <c r="R1213" s="454"/>
      <c r="AZ1213" s="1266"/>
      <c r="BB1213" s="169"/>
    </row>
    <row r="1214" spans="18:54" ht="15.75" customHeight="1">
      <c r="R1214" s="454"/>
      <c r="AZ1214" s="1266"/>
      <c r="BB1214" s="169"/>
    </row>
    <row r="1215" spans="18:54" ht="15.75" customHeight="1">
      <c r="R1215" s="454"/>
      <c r="AZ1215" s="1266"/>
      <c r="BB1215" s="169"/>
    </row>
    <row r="1216" spans="18:54" ht="15.75" customHeight="1">
      <c r="R1216" s="454"/>
      <c r="AZ1216" s="1266"/>
      <c r="BB1216" s="169"/>
    </row>
    <row r="1217" spans="18:54" ht="15.75" customHeight="1">
      <c r="R1217" s="454"/>
      <c r="AZ1217" s="1266"/>
      <c r="BB1217" s="169"/>
    </row>
    <row r="1218" spans="18:54" ht="15.75" customHeight="1">
      <c r="R1218" s="454"/>
      <c r="AZ1218" s="1266"/>
      <c r="BB1218" s="169"/>
    </row>
    <row r="1219" spans="18:54" ht="15.75" customHeight="1">
      <c r="R1219" s="454"/>
      <c r="AZ1219" s="1266"/>
      <c r="BB1219" s="169"/>
    </row>
    <row r="1220" spans="18:54" ht="15.75" customHeight="1">
      <c r="R1220" s="454"/>
      <c r="AZ1220" s="1266"/>
      <c r="BB1220" s="169"/>
    </row>
    <row r="1221" spans="18:54" ht="15.75" customHeight="1">
      <c r="R1221" s="454"/>
      <c r="AZ1221" s="1266"/>
      <c r="BB1221" s="169"/>
    </row>
    <row r="1222" spans="18:54" ht="15.75" customHeight="1">
      <c r="R1222" s="454"/>
      <c r="AZ1222" s="1266"/>
      <c r="BB1222" s="169"/>
    </row>
    <row r="1223" spans="18:54" ht="15.75" customHeight="1">
      <c r="R1223" s="454"/>
      <c r="AZ1223" s="1266"/>
      <c r="BB1223" s="169"/>
    </row>
    <row r="1224" spans="18:54" ht="15.75" customHeight="1">
      <c r="R1224" s="454"/>
      <c r="AZ1224" s="1266"/>
      <c r="BB1224" s="169"/>
    </row>
    <row r="1225" spans="18:54" ht="15.75" customHeight="1">
      <c r="R1225" s="454"/>
      <c r="AZ1225" s="1266"/>
      <c r="BB1225" s="169"/>
    </row>
    <row r="1226" spans="18:54" ht="15.75" customHeight="1">
      <c r="R1226" s="454"/>
      <c r="AZ1226" s="1266"/>
      <c r="BB1226" s="169"/>
    </row>
    <row r="1227" spans="18:54" ht="15.75" customHeight="1">
      <c r="R1227" s="454"/>
      <c r="AZ1227" s="1266"/>
      <c r="BB1227" s="169"/>
    </row>
    <row r="1228" spans="18:54" ht="15.75" customHeight="1">
      <c r="R1228" s="454"/>
      <c r="AZ1228" s="1266"/>
      <c r="BB1228" s="169"/>
    </row>
    <row r="1229" spans="18:54" ht="15.75" customHeight="1">
      <c r="R1229" s="454"/>
      <c r="AZ1229" s="1266"/>
      <c r="BB1229" s="169"/>
    </row>
    <row r="1230" spans="18:54" ht="15.75" customHeight="1">
      <c r="R1230" s="454"/>
      <c r="AZ1230" s="1266"/>
      <c r="BB1230" s="169"/>
    </row>
    <row r="1231" spans="18:54" ht="15.75" customHeight="1">
      <c r="R1231" s="454"/>
      <c r="AZ1231" s="1266"/>
      <c r="BB1231" s="169"/>
    </row>
    <row r="1232" spans="18:54" ht="15.75" customHeight="1">
      <c r="R1232" s="454"/>
      <c r="AZ1232" s="1266"/>
      <c r="BB1232" s="169"/>
    </row>
    <row r="1233" spans="18:54" ht="15.75" customHeight="1">
      <c r="R1233" s="454"/>
      <c r="AZ1233" s="1266"/>
      <c r="BB1233" s="169"/>
    </row>
    <row r="1234" spans="18:54" ht="15.75" customHeight="1">
      <c r="R1234" s="454"/>
      <c r="AZ1234" s="1266"/>
      <c r="BB1234" s="169"/>
    </row>
    <row r="1235" spans="18:54" ht="15.75" customHeight="1">
      <c r="R1235" s="454"/>
      <c r="AZ1235" s="1266"/>
      <c r="BB1235" s="169"/>
    </row>
    <row r="1236" spans="18:54" ht="15.75" customHeight="1">
      <c r="R1236" s="454"/>
      <c r="AZ1236" s="1266"/>
      <c r="BB1236" s="169"/>
    </row>
    <row r="1237" spans="18:54" ht="15.75" customHeight="1">
      <c r="R1237" s="454"/>
      <c r="AZ1237" s="1266"/>
      <c r="BB1237" s="169"/>
    </row>
    <row r="1238" spans="18:54" ht="15.75" customHeight="1">
      <c r="R1238" s="454"/>
      <c r="AZ1238" s="1266"/>
      <c r="BB1238" s="169"/>
    </row>
    <row r="1239" spans="18:54" ht="15.75" customHeight="1">
      <c r="R1239" s="454"/>
      <c r="AZ1239" s="1266"/>
      <c r="BB1239" s="169"/>
    </row>
    <row r="1240" spans="18:54" ht="15.75" customHeight="1">
      <c r="R1240" s="454"/>
      <c r="AZ1240" s="1266"/>
      <c r="BB1240" s="169"/>
    </row>
    <row r="1241" spans="18:54" ht="15.75" customHeight="1">
      <c r="R1241" s="454"/>
      <c r="AZ1241" s="1266"/>
      <c r="BB1241" s="169"/>
    </row>
    <row r="1242" spans="18:54" ht="15.75" customHeight="1">
      <c r="R1242" s="454"/>
      <c r="AZ1242" s="1266"/>
      <c r="BB1242" s="169"/>
    </row>
    <row r="1243" spans="18:54" ht="15.75" customHeight="1">
      <c r="R1243" s="454"/>
      <c r="AZ1243" s="1266"/>
      <c r="BB1243" s="169"/>
    </row>
    <row r="1244" spans="18:54" ht="15.75" customHeight="1">
      <c r="R1244" s="454"/>
      <c r="AZ1244" s="1266"/>
      <c r="BB1244" s="169"/>
    </row>
    <row r="1245" spans="18:54" ht="15.75" customHeight="1">
      <c r="R1245" s="454"/>
      <c r="AZ1245" s="1266"/>
      <c r="BB1245" s="169"/>
    </row>
    <row r="1246" spans="18:54" ht="15.75" customHeight="1">
      <c r="R1246" s="454"/>
      <c r="AZ1246" s="1266"/>
      <c r="BB1246" s="169"/>
    </row>
    <row r="1247" spans="18:54" ht="15.75" customHeight="1">
      <c r="R1247" s="454"/>
      <c r="AZ1247" s="1266"/>
      <c r="BB1247" s="169"/>
    </row>
    <row r="1248" spans="18:54" ht="15.75" customHeight="1">
      <c r="R1248" s="454"/>
      <c r="AZ1248" s="1266"/>
      <c r="BB1248" s="169"/>
    </row>
    <row r="1249" spans="18:54" ht="15.75" customHeight="1">
      <c r="R1249" s="454"/>
      <c r="AZ1249" s="1266"/>
      <c r="BB1249" s="169"/>
    </row>
    <row r="1250" spans="18:54" ht="15.75" customHeight="1">
      <c r="R1250" s="454"/>
      <c r="AZ1250" s="1266"/>
      <c r="BB1250" s="169"/>
    </row>
    <row r="1251" spans="18:54" ht="15.75" customHeight="1">
      <c r="R1251" s="454"/>
      <c r="AZ1251" s="1266"/>
      <c r="BB1251" s="169"/>
    </row>
    <row r="1252" spans="18:54" ht="15.75" customHeight="1">
      <c r="R1252" s="454"/>
      <c r="AZ1252" s="1266"/>
      <c r="BB1252" s="169"/>
    </row>
    <row r="1253" spans="18:54" ht="15.75" customHeight="1">
      <c r="R1253" s="454"/>
      <c r="AZ1253" s="1266"/>
      <c r="BB1253" s="169"/>
    </row>
    <row r="1254" spans="18:54" ht="15.75" customHeight="1">
      <c r="R1254" s="454"/>
      <c r="AZ1254" s="1266"/>
      <c r="BB1254" s="169"/>
    </row>
    <row r="1255" spans="18:54" ht="15.75" customHeight="1">
      <c r="R1255" s="454"/>
      <c r="AZ1255" s="1266"/>
      <c r="BB1255" s="169"/>
    </row>
    <row r="1256" spans="18:54" ht="15.75" customHeight="1">
      <c r="R1256" s="454"/>
      <c r="AZ1256" s="1266"/>
      <c r="BB1256" s="169"/>
    </row>
    <row r="1257" spans="18:54" ht="15.75" customHeight="1">
      <c r="R1257" s="454"/>
      <c r="AZ1257" s="1266"/>
      <c r="BB1257" s="169"/>
    </row>
    <row r="1258" spans="18:54" ht="15.75" customHeight="1">
      <c r="R1258" s="454"/>
      <c r="AZ1258" s="1266"/>
      <c r="BB1258" s="169"/>
    </row>
    <row r="1259" spans="18:54" ht="15.75" customHeight="1">
      <c r="R1259" s="454"/>
      <c r="AZ1259" s="1266"/>
      <c r="BB1259" s="169"/>
    </row>
    <row r="1260" spans="18:54" ht="15.75" customHeight="1">
      <c r="R1260" s="454"/>
      <c r="AZ1260" s="1266"/>
      <c r="BB1260" s="169"/>
    </row>
    <row r="1261" spans="18:54" ht="15.75" customHeight="1">
      <c r="R1261" s="454"/>
      <c r="AZ1261" s="1266"/>
      <c r="BB1261" s="169"/>
    </row>
    <row r="1262" spans="18:54" ht="15.75" customHeight="1">
      <c r="R1262" s="454"/>
      <c r="AZ1262" s="1266"/>
      <c r="BB1262" s="169"/>
    </row>
    <row r="1263" spans="18:54" ht="15.75" customHeight="1">
      <c r="R1263" s="454"/>
      <c r="AZ1263" s="1266"/>
      <c r="BB1263" s="169"/>
    </row>
    <row r="1264" spans="18:54" ht="15.75" customHeight="1">
      <c r="R1264" s="454"/>
      <c r="AZ1264" s="1266"/>
      <c r="BB1264" s="169"/>
    </row>
    <row r="1265" spans="18:54" ht="15.75" customHeight="1">
      <c r="R1265" s="454"/>
      <c r="AZ1265" s="1266"/>
      <c r="BB1265" s="169"/>
    </row>
    <row r="1266" spans="18:54" ht="15.75" customHeight="1">
      <c r="R1266" s="454"/>
      <c r="AZ1266" s="1266"/>
      <c r="BB1266" s="169"/>
    </row>
    <row r="1267" spans="18:54" ht="15.75" customHeight="1">
      <c r="R1267" s="454"/>
      <c r="AZ1267" s="1266"/>
      <c r="BB1267" s="169"/>
    </row>
    <row r="1268" spans="18:54" ht="15.75" customHeight="1">
      <c r="R1268" s="454"/>
      <c r="AZ1268" s="1266"/>
      <c r="BB1268" s="169"/>
    </row>
    <row r="1269" spans="18:54" ht="15.75" customHeight="1">
      <c r="R1269" s="454"/>
      <c r="AZ1269" s="1266"/>
      <c r="BB1269" s="169"/>
    </row>
    <row r="1270" spans="18:54" ht="15.75" customHeight="1">
      <c r="R1270" s="454"/>
      <c r="AZ1270" s="1266"/>
      <c r="BB1270" s="169"/>
    </row>
    <row r="1271" spans="18:54" ht="15.75" customHeight="1">
      <c r="R1271" s="454"/>
      <c r="AZ1271" s="1266"/>
      <c r="BB1271" s="169"/>
    </row>
    <row r="1272" spans="18:54" ht="15.75" customHeight="1">
      <c r="R1272" s="454"/>
      <c r="AZ1272" s="1266"/>
      <c r="BB1272" s="169"/>
    </row>
    <row r="1273" spans="18:54" ht="15.75" customHeight="1">
      <c r="R1273" s="454"/>
      <c r="AZ1273" s="1266"/>
      <c r="BB1273" s="169"/>
    </row>
    <row r="1274" spans="18:54" ht="15.75" customHeight="1">
      <c r="R1274" s="454"/>
      <c r="AZ1274" s="1266"/>
      <c r="BB1274" s="169"/>
    </row>
    <row r="1275" spans="18:54" ht="15.75" customHeight="1">
      <c r="R1275" s="454"/>
      <c r="AZ1275" s="1266"/>
      <c r="BB1275" s="169"/>
    </row>
    <row r="1276" spans="18:54" ht="15.75" customHeight="1">
      <c r="R1276" s="454"/>
      <c r="AZ1276" s="1266"/>
      <c r="BB1276" s="169"/>
    </row>
    <row r="1277" spans="18:54" ht="15.75" customHeight="1">
      <c r="R1277" s="454"/>
      <c r="AZ1277" s="1266"/>
      <c r="BB1277" s="169"/>
    </row>
    <row r="1278" spans="18:54" ht="15.75" customHeight="1">
      <c r="R1278" s="454"/>
      <c r="AZ1278" s="1266"/>
      <c r="BB1278" s="169"/>
    </row>
    <row r="1279" spans="18:54" ht="15.75" customHeight="1">
      <c r="R1279" s="454"/>
      <c r="AZ1279" s="1266"/>
      <c r="BB1279" s="169"/>
    </row>
    <row r="1280" spans="18:54" ht="15.75" customHeight="1">
      <c r="R1280" s="454"/>
      <c r="AZ1280" s="1266"/>
      <c r="BB1280" s="169"/>
    </row>
    <row r="1281" spans="18:54" ht="15.75" customHeight="1">
      <c r="R1281" s="454"/>
      <c r="AZ1281" s="1266"/>
      <c r="BB1281" s="169"/>
    </row>
    <row r="1282" spans="18:54" ht="15.75" customHeight="1">
      <c r="R1282" s="454"/>
      <c r="AZ1282" s="1266"/>
      <c r="BB1282" s="169"/>
    </row>
    <row r="1283" spans="18:54" ht="15.75" customHeight="1">
      <c r="R1283" s="454"/>
      <c r="AZ1283" s="1266"/>
      <c r="BB1283" s="169"/>
    </row>
    <row r="1284" spans="18:54" ht="15.75" customHeight="1">
      <c r="R1284" s="454"/>
      <c r="AZ1284" s="1266"/>
      <c r="BB1284" s="169"/>
    </row>
    <row r="1285" spans="18:54" ht="15.75" customHeight="1">
      <c r="R1285" s="454"/>
      <c r="AZ1285" s="1266"/>
      <c r="BB1285" s="169"/>
    </row>
    <row r="1286" spans="18:54" ht="15.75" customHeight="1">
      <c r="R1286" s="454"/>
      <c r="AZ1286" s="1266"/>
      <c r="BB1286" s="169"/>
    </row>
    <row r="1287" spans="18:54" ht="15.75" customHeight="1">
      <c r="R1287" s="454"/>
      <c r="AZ1287" s="1266"/>
      <c r="BB1287" s="169"/>
    </row>
    <row r="1288" spans="18:54" ht="15.75" customHeight="1">
      <c r="R1288" s="454"/>
      <c r="AZ1288" s="1266"/>
      <c r="BB1288" s="169"/>
    </row>
    <row r="1289" spans="18:54" ht="15.75" customHeight="1">
      <c r="R1289" s="454"/>
      <c r="AZ1289" s="1266"/>
      <c r="BB1289" s="169"/>
    </row>
    <row r="1290" spans="18:54" ht="15.75" customHeight="1">
      <c r="R1290" s="454"/>
      <c r="AZ1290" s="1266"/>
      <c r="BB1290" s="169"/>
    </row>
    <row r="1291" spans="18:54" ht="15.75" customHeight="1">
      <c r="R1291" s="454"/>
      <c r="AZ1291" s="1266"/>
      <c r="BB1291" s="169"/>
    </row>
    <row r="1292" spans="18:54" ht="15.75" customHeight="1">
      <c r="R1292" s="454"/>
      <c r="AZ1292" s="1266"/>
      <c r="BB1292" s="169"/>
    </row>
    <row r="1293" spans="18:54" ht="15.75" customHeight="1">
      <c r="R1293" s="454"/>
      <c r="AZ1293" s="1266"/>
      <c r="BB1293" s="169"/>
    </row>
    <row r="1294" spans="18:54" ht="15.75" customHeight="1">
      <c r="R1294" s="454"/>
      <c r="AZ1294" s="1266"/>
      <c r="BB1294" s="169"/>
    </row>
    <row r="1295" spans="18:54" ht="15.75" customHeight="1">
      <c r="R1295" s="454"/>
      <c r="AZ1295" s="1266"/>
      <c r="BB1295" s="169"/>
    </row>
    <row r="1296" spans="18:54" ht="15.75" customHeight="1">
      <c r="R1296" s="454"/>
      <c r="AZ1296" s="1266"/>
      <c r="BB1296" s="169"/>
    </row>
    <row r="1297" spans="18:54" ht="15.75" customHeight="1">
      <c r="R1297" s="454"/>
      <c r="AZ1297" s="1266"/>
      <c r="BB1297" s="169"/>
    </row>
    <row r="1298" spans="18:54" ht="15.75" customHeight="1">
      <c r="R1298" s="454"/>
      <c r="BB1298" s="169"/>
    </row>
    <row r="1299" spans="18:54" ht="15.75" customHeight="1">
      <c r="R1299" s="454"/>
      <c r="BB1299" s="169"/>
    </row>
    <row r="1300" spans="18:54" ht="15.75" customHeight="1">
      <c r="R1300" s="454"/>
      <c r="BB1300" s="169"/>
    </row>
    <row r="1301" spans="18:54" ht="15.75" customHeight="1">
      <c r="R1301" s="454"/>
      <c r="BB1301" s="169"/>
    </row>
    <row r="1302" spans="18:54" ht="15.75" customHeight="1">
      <c r="R1302" s="454"/>
      <c r="BB1302" s="169"/>
    </row>
    <row r="1303" spans="18:54" ht="15.75" customHeight="1">
      <c r="R1303" s="454"/>
      <c r="BB1303" s="169"/>
    </row>
    <row r="1304" spans="18:54" ht="15.75" customHeight="1">
      <c r="R1304" s="454"/>
      <c r="BB1304" s="169"/>
    </row>
    <row r="1305" spans="18:54" ht="15.75" customHeight="1">
      <c r="R1305" s="454"/>
      <c r="BB1305" s="169"/>
    </row>
    <row r="1306" spans="18:54" ht="15.75" customHeight="1">
      <c r="R1306" s="454"/>
      <c r="BB1306" s="169"/>
    </row>
    <row r="1307" spans="18:54" ht="15.75" customHeight="1">
      <c r="R1307" s="454"/>
      <c r="BB1307" s="169"/>
    </row>
    <row r="1308" spans="18:54" ht="15.75" customHeight="1">
      <c r="R1308" s="454"/>
      <c r="BB1308" s="169"/>
    </row>
    <row r="1309" spans="18:54" ht="15.75" customHeight="1">
      <c r="R1309" s="454"/>
      <c r="BB1309" s="169"/>
    </row>
    <row r="1310" spans="18:54" ht="15.75" customHeight="1">
      <c r="R1310" s="454"/>
      <c r="BB1310" s="169"/>
    </row>
    <row r="1311" spans="18:54" ht="15.75" customHeight="1">
      <c r="R1311" s="454"/>
      <c r="BB1311" s="169"/>
    </row>
    <row r="1312" spans="18:54" ht="15.75" customHeight="1">
      <c r="R1312" s="454"/>
      <c r="BB1312" s="169"/>
    </row>
    <row r="1313" spans="18:54" ht="15.75" customHeight="1">
      <c r="R1313" s="454"/>
      <c r="BB1313" s="169"/>
    </row>
    <row r="1314" spans="18:54" ht="15.75" customHeight="1">
      <c r="R1314" s="454"/>
      <c r="BB1314" s="169"/>
    </row>
    <row r="1315" spans="18:54" ht="15.75" customHeight="1">
      <c r="R1315" s="454"/>
      <c r="BB1315" s="169"/>
    </row>
    <row r="1316" spans="18:54" ht="15.75" customHeight="1">
      <c r="R1316" s="454"/>
      <c r="BB1316" s="169"/>
    </row>
    <row r="1317" spans="18:54" ht="15.75" customHeight="1">
      <c r="R1317" s="454"/>
      <c r="BB1317" s="169"/>
    </row>
    <row r="1318" spans="18:54" ht="15.75" customHeight="1">
      <c r="R1318" s="454"/>
      <c r="BB1318" s="169"/>
    </row>
    <row r="1319" spans="18:54" ht="15.75" customHeight="1">
      <c r="R1319" s="454"/>
      <c r="BB1319" s="169"/>
    </row>
    <row r="1320" spans="18:54" ht="15.75" customHeight="1">
      <c r="R1320" s="454"/>
      <c r="BB1320" s="169"/>
    </row>
    <row r="1321" spans="18:54" ht="15.75" customHeight="1">
      <c r="R1321" s="454"/>
      <c r="BB1321" s="169"/>
    </row>
    <row r="1322" spans="18:54" ht="15.75" customHeight="1">
      <c r="R1322" s="454"/>
      <c r="BB1322" s="169"/>
    </row>
    <row r="1323" spans="18:54" ht="15.75" customHeight="1">
      <c r="R1323" s="454"/>
      <c r="BB1323" s="169"/>
    </row>
    <row r="1324" spans="18:54" ht="15.75" customHeight="1">
      <c r="R1324" s="454"/>
      <c r="BB1324" s="169"/>
    </row>
    <row r="1325" spans="18:54" ht="15.75" customHeight="1">
      <c r="R1325" s="454"/>
      <c r="BB1325" s="169"/>
    </row>
    <row r="1326" spans="18:54" ht="15.75" customHeight="1">
      <c r="R1326" s="454"/>
      <c r="BB1326" s="169"/>
    </row>
    <row r="1327" spans="18:54" ht="15.75" customHeight="1">
      <c r="R1327" s="454"/>
      <c r="BB1327" s="169"/>
    </row>
    <row r="1328" spans="18:54" ht="15.75" customHeight="1">
      <c r="R1328" s="454"/>
      <c r="BB1328" s="169"/>
    </row>
    <row r="1329" spans="18:54" ht="15.75" customHeight="1">
      <c r="R1329" s="454"/>
      <c r="BB1329" s="169"/>
    </row>
    <row r="1330" spans="18:54" ht="15.75" customHeight="1">
      <c r="R1330" s="454"/>
      <c r="BB1330" s="169"/>
    </row>
    <row r="1331" spans="18:54" ht="15.75" customHeight="1">
      <c r="R1331" s="454"/>
      <c r="BB1331" s="169"/>
    </row>
    <row r="1332" spans="18:54" ht="15.75" customHeight="1">
      <c r="R1332" s="454"/>
      <c r="BB1332" s="169"/>
    </row>
    <row r="1333" spans="18:54" ht="15.75" customHeight="1">
      <c r="R1333" s="454"/>
      <c r="BB1333" s="169"/>
    </row>
    <row r="1334" spans="18:54" ht="15.75" customHeight="1">
      <c r="R1334" s="454"/>
      <c r="BB1334" s="169"/>
    </row>
    <row r="1335" spans="18:54" ht="15.75" customHeight="1">
      <c r="R1335" s="454"/>
      <c r="BB1335" s="169"/>
    </row>
    <row r="1336" spans="18:54" ht="15.75" customHeight="1">
      <c r="R1336" s="454"/>
      <c r="BB1336" s="169"/>
    </row>
    <row r="1337" spans="18:54" ht="15.75" customHeight="1">
      <c r="R1337" s="454"/>
      <c r="BB1337" s="169"/>
    </row>
    <row r="1338" spans="18:54" ht="15.75" customHeight="1">
      <c r="R1338" s="454"/>
      <c r="BB1338" s="169"/>
    </row>
    <row r="1339" spans="18:54" ht="15.75" customHeight="1">
      <c r="R1339" s="454"/>
      <c r="BB1339" s="169"/>
    </row>
    <row r="1340" spans="18:54" ht="15.75" customHeight="1">
      <c r="R1340" s="454"/>
      <c r="BB1340" s="169"/>
    </row>
    <row r="1341" spans="18:54" ht="15.75" customHeight="1">
      <c r="R1341" s="454"/>
      <c r="BB1341" s="169"/>
    </row>
    <row r="1342" spans="18:54" ht="15.75" customHeight="1">
      <c r="R1342" s="454"/>
      <c r="BB1342" s="169"/>
    </row>
    <row r="1343" spans="18:54" ht="15.75" customHeight="1">
      <c r="R1343" s="454"/>
      <c r="BB1343" s="169"/>
    </row>
    <row r="1344" spans="18:54" ht="15.75" customHeight="1">
      <c r="R1344" s="454"/>
      <c r="BB1344" s="169"/>
    </row>
    <row r="1345" spans="18:54" ht="15.75" customHeight="1">
      <c r="R1345" s="454"/>
      <c r="BB1345" s="169"/>
    </row>
    <row r="1346" spans="18:54" ht="15.75" customHeight="1">
      <c r="R1346" s="454"/>
      <c r="BB1346" s="169"/>
    </row>
    <row r="1347" spans="18:54" ht="15.75" customHeight="1">
      <c r="R1347" s="454"/>
      <c r="BB1347" s="169"/>
    </row>
    <row r="1348" spans="18:54" ht="15.75" customHeight="1">
      <c r="R1348" s="454"/>
      <c r="BB1348" s="169"/>
    </row>
    <row r="1349" spans="18:54" ht="15.75" customHeight="1">
      <c r="R1349" s="454"/>
      <c r="BB1349" s="169"/>
    </row>
    <row r="1350" spans="18:54" ht="15.75" customHeight="1">
      <c r="R1350" s="454"/>
      <c r="BB1350" s="169"/>
    </row>
    <row r="1351" spans="18:54" ht="15.75" customHeight="1">
      <c r="R1351" s="454"/>
      <c r="BB1351" s="169"/>
    </row>
    <row r="1352" spans="18:54" ht="15.75" customHeight="1">
      <c r="R1352" s="454"/>
      <c r="BB1352" s="169"/>
    </row>
    <row r="1353" spans="18:54" ht="15.75" customHeight="1">
      <c r="R1353" s="454"/>
      <c r="BB1353" s="169"/>
    </row>
    <row r="1354" spans="18:54" ht="15.75" customHeight="1">
      <c r="R1354" s="454"/>
      <c r="BB1354" s="169"/>
    </row>
    <row r="1355" spans="18:54" ht="15.75" customHeight="1">
      <c r="R1355" s="454"/>
      <c r="BB1355" s="169"/>
    </row>
    <row r="1356" spans="18:54" ht="15.75" customHeight="1">
      <c r="R1356" s="454"/>
      <c r="BB1356" s="169"/>
    </row>
    <row r="1357" spans="18:54" ht="15.75" customHeight="1">
      <c r="R1357" s="454"/>
      <c r="BB1357" s="169"/>
    </row>
    <row r="1358" spans="18:54" ht="15.75" customHeight="1">
      <c r="R1358" s="454"/>
      <c r="BB1358" s="169"/>
    </row>
    <row r="1359" spans="18:54" ht="15.75" customHeight="1">
      <c r="R1359" s="454"/>
      <c r="BB1359" s="169"/>
    </row>
    <row r="1360" spans="18:54" ht="15.75" customHeight="1">
      <c r="R1360" s="454"/>
      <c r="BB1360" s="169"/>
    </row>
    <row r="1361" spans="18:54" ht="15.75" customHeight="1">
      <c r="R1361" s="454"/>
      <c r="BB1361" s="169"/>
    </row>
    <row r="1362" spans="18:54" ht="15.75" customHeight="1">
      <c r="R1362" s="454"/>
      <c r="BB1362" s="169"/>
    </row>
    <row r="1363" spans="18:54" ht="15.75" customHeight="1">
      <c r="R1363" s="454"/>
      <c r="BB1363" s="169"/>
    </row>
    <row r="1364" spans="18:54" ht="15.75" customHeight="1">
      <c r="R1364" s="454"/>
      <c r="BB1364" s="169"/>
    </row>
    <row r="1365" spans="18:54" ht="15.75" customHeight="1">
      <c r="R1365" s="454"/>
      <c r="BB1365" s="169"/>
    </row>
    <row r="1366" spans="18:54" ht="15.75" customHeight="1">
      <c r="R1366" s="454"/>
      <c r="BB1366" s="169"/>
    </row>
    <row r="1367" spans="18:54" ht="15.75" customHeight="1">
      <c r="R1367" s="454"/>
      <c r="BB1367" s="169"/>
    </row>
    <row r="1368" spans="18:54" ht="15.75" customHeight="1">
      <c r="R1368" s="454"/>
      <c r="BB1368" s="169"/>
    </row>
    <row r="1369" spans="18:54" ht="15.75" customHeight="1">
      <c r="R1369" s="454"/>
      <c r="BB1369" s="169"/>
    </row>
    <row r="1370" spans="18:54" ht="15.75" customHeight="1">
      <c r="R1370" s="454"/>
      <c r="BB1370" s="169"/>
    </row>
    <row r="1371" spans="18:54" ht="15.75" customHeight="1">
      <c r="R1371" s="454"/>
      <c r="BB1371" s="169"/>
    </row>
    <row r="1372" spans="18:54" ht="15.75" customHeight="1">
      <c r="R1372" s="454"/>
      <c r="BB1372" s="169"/>
    </row>
    <row r="1373" spans="18:54" ht="15.75" customHeight="1">
      <c r="R1373" s="454"/>
      <c r="BB1373" s="169"/>
    </row>
    <row r="1374" spans="18:54" ht="15.75" customHeight="1">
      <c r="R1374" s="454"/>
      <c r="BB1374" s="169"/>
    </row>
    <row r="1375" spans="18:54" ht="15.75" customHeight="1">
      <c r="R1375" s="454"/>
      <c r="BB1375" s="169"/>
    </row>
    <row r="1376" spans="18:54" ht="15.75" customHeight="1">
      <c r="R1376" s="454"/>
      <c r="BB1376" s="169"/>
    </row>
    <row r="1377" spans="18:54" ht="15.75" customHeight="1">
      <c r="R1377" s="454"/>
      <c r="BB1377" s="169"/>
    </row>
    <row r="1378" spans="18:54" ht="15.75" customHeight="1">
      <c r="R1378" s="454"/>
      <c r="BB1378" s="169"/>
    </row>
    <row r="1379" spans="18:54" ht="15.75" customHeight="1">
      <c r="R1379" s="454"/>
      <c r="BB1379" s="169"/>
    </row>
    <row r="1380" spans="18:54" ht="15.75" customHeight="1">
      <c r="R1380" s="454"/>
      <c r="BB1380" s="169"/>
    </row>
    <row r="1381" spans="18:54" ht="15.75" customHeight="1">
      <c r="R1381" s="454"/>
      <c r="BB1381" s="169"/>
    </row>
    <row r="1382" spans="18:54" ht="15.75" customHeight="1">
      <c r="R1382" s="454"/>
      <c r="BB1382" s="169"/>
    </row>
    <row r="1383" spans="18:54" ht="15.75" customHeight="1">
      <c r="R1383" s="454"/>
      <c r="BB1383" s="169"/>
    </row>
    <row r="1384" spans="18:54" ht="15.75" customHeight="1">
      <c r="R1384" s="454"/>
      <c r="BB1384" s="169"/>
    </row>
    <row r="1385" spans="18:54" ht="15.75" customHeight="1">
      <c r="R1385" s="454"/>
      <c r="BB1385" s="169"/>
    </row>
    <row r="1386" spans="18:54" ht="15.75" customHeight="1">
      <c r="R1386" s="454"/>
      <c r="BB1386" s="169"/>
    </row>
    <row r="1387" spans="18:54" ht="15.75" customHeight="1">
      <c r="R1387" s="454"/>
      <c r="BB1387" s="169"/>
    </row>
    <row r="1388" spans="18:54" ht="15.75" customHeight="1">
      <c r="R1388" s="454"/>
      <c r="BB1388" s="169"/>
    </row>
    <row r="1389" spans="18:54" ht="15.75" customHeight="1">
      <c r="R1389" s="454"/>
      <c r="BB1389" s="169"/>
    </row>
    <row r="1390" spans="18:54" ht="15.75" customHeight="1">
      <c r="R1390" s="454"/>
      <c r="BB1390" s="169"/>
    </row>
    <row r="1391" spans="18:54" ht="15.75" customHeight="1">
      <c r="R1391" s="454"/>
      <c r="BB1391" s="169"/>
    </row>
    <row r="1392" spans="18:54" ht="15.75" customHeight="1">
      <c r="R1392" s="454"/>
      <c r="BB1392" s="169"/>
    </row>
    <row r="1393" spans="18:54" ht="15.75" customHeight="1">
      <c r="R1393" s="454"/>
      <c r="BB1393" s="169"/>
    </row>
    <row r="1394" spans="18:54" ht="15.75" customHeight="1">
      <c r="R1394" s="454"/>
      <c r="BB1394" s="169"/>
    </row>
    <row r="1395" spans="18:54" ht="15.75" customHeight="1">
      <c r="R1395" s="454"/>
      <c r="BB1395" s="169"/>
    </row>
    <row r="1396" spans="18:54" ht="15.75" customHeight="1">
      <c r="R1396" s="454"/>
      <c r="BB1396" s="169"/>
    </row>
    <row r="1397" spans="18:54" ht="15.75" customHeight="1">
      <c r="R1397" s="454"/>
      <c r="BB1397" s="169"/>
    </row>
    <row r="1398" spans="18:54" ht="15.75" customHeight="1">
      <c r="R1398" s="454"/>
      <c r="BB1398" s="169"/>
    </row>
    <row r="1399" spans="18:54" ht="15.75" customHeight="1">
      <c r="R1399" s="454"/>
      <c r="BB1399" s="169"/>
    </row>
    <row r="1400" spans="18:54" ht="15.75" customHeight="1">
      <c r="R1400" s="454"/>
      <c r="BB1400" s="169"/>
    </row>
    <row r="1401" spans="18:54" ht="15.75" customHeight="1">
      <c r="R1401" s="454"/>
      <c r="BB1401" s="169"/>
    </row>
    <row r="1402" spans="18:54" ht="15.75" customHeight="1">
      <c r="R1402" s="454"/>
      <c r="BB1402" s="169"/>
    </row>
    <row r="1403" spans="18:54" ht="15.75" customHeight="1">
      <c r="R1403" s="454"/>
      <c r="BB1403" s="169"/>
    </row>
    <row r="1404" spans="18:54" ht="15.75" customHeight="1">
      <c r="R1404" s="454"/>
      <c r="BB1404" s="169"/>
    </row>
    <row r="1405" spans="18:54" ht="15.75" customHeight="1">
      <c r="R1405" s="454"/>
      <c r="BB1405" s="169"/>
    </row>
    <row r="1406" spans="18:54" ht="15.75" customHeight="1">
      <c r="R1406" s="454"/>
      <c r="BB1406" s="169"/>
    </row>
    <row r="1407" spans="18:54" ht="15.75" customHeight="1">
      <c r="R1407" s="454"/>
      <c r="BB1407" s="169"/>
    </row>
    <row r="1408" spans="18:54" ht="15.75" customHeight="1">
      <c r="R1408" s="454"/>
      <c r="BB1408" s="169"/>
    </row>
    <row r="1409" spans="18:54" ht="15.75" customHeight="1">
      <c r="R1409" s="454"/>
      <c r="BB1409" s="169"/>
    </row>
    <row r="1410" spans="18:54" ht="15.75" customHeight="1">
      <c r="R1410" s="454"/>
      <c r="BB1410" s="169"/>
    </row>
    <row r="1411" spans="18:54" ht="15.75" customHeight="1">
      <c r="R1411" s="454"/>
      <c r="BB1411" s="169"/>
    </row>
    <row r="1412" spans="18:54" ht="15.75" customHeight="1">
      <c r="R1412" s="454"/>
      <c r="BB1412" s="169"/>
    </row>
    <row r="1413" spans="18:54" ht="15.75" customHeight="1">
      <c r="R1413" s="454"/>
      <c r="BB1413" s="169"/>
    </row>
    <row r="1414" spans="18:54" ht="15.75" customHeight="1">
      <c r="R1414" s="454"/>
      <c r="BB1414" s="169"/>
    </row>
    <row r="1415" spans="18:54" ht="15.75" customHeight="1">
      <c r="R1415" s="454"/>
      <c r="BB1415" s="169"/>
    </row>
    <row r="1416" spans="18:54" ht="15.75" customHeight="1">
      <c r="R1416" s="454"/>
      <c r="BB1416" s="169"/>
    </row>
    <row r="1417" spans="18:54" ht="15.75" customHeight="1">
      <c r="R1417" s="454"/>
      <c r="BB1417" s="169"/>
    </row>
    <row r="1418" spans="18:54" ht="15.75" customHeight="1">
      <c r="R1418" s="454"/>
      <c r="BB1418" s="169"/>
    </row>
    <row r="1419" spans="18:54" ht="15.75" customHeight="1">
      <c r="R1419" s="454"/>
      <c r="BB1419" s="169"/>
    </row>
    <row r="1420" spans="18:54" ht="15.75" customHeight="1">
      <c r="R1420" s="454"/>
      <c r="BB1420" s="169"/>
    </row>
    <row r="1421" spans="18:54" ht="15.75" customHeight="1">
      <c r="R1421" s="454"/>
      <c r="BB1421" s="169"/>
    </row>
    <row r="1422" spans="18:54" ht="15.75" customHeight="1">
      <c r="R1422" s="454"/>
      <c r="BB1422" s="169"/>
    </row>
    <row r="1423" spans="18:54" ht="15.75" customHeight="1">
      <c r="R1423" s="454"/>
      <c r="BB1423" s="169"/>
    </row>
    <row r="1424" spans="18:54" ht="15.75" customHeight="1">
      <c r="R1424" s="454"/>
      <c r="BB1424" s="169"/>
    </row>
    <row r="1425" spans="18:54" ht="15.75" customHeight="1">
      <c r="R1425" s="454"/>
      <c r="BB1425" s="169"/>
    </row>
    <row r="1426" spans="18:54" ht="15.75" customHeight="1">
      <c r="R1426" s="454"/>
      <c r="BB1426" s="169"/>
    </row>
    <row r="1427" spans="18:54" ht="15.75" customHeight="1">
      <c r="R1427" s="454"/>
      <c r="BB1427" s="169"/>
    </row>
    <row r="1428" spans="18:54" ht="15.75" customHeight="1">
      <c r="R1428" s="454"/>
      <c r="BB1428" s="169"/>
    </row>
    <row r="1429" spans="18:54" ht="15.75" customHeight="1">
      <c r="R1429" s="454"/>
      <c r="BB1429" s="169"/>
    </row>
    <row r="1430" spans="18:54" ht="15.75" customHeight="1">
      <c r="R1430" s="454"/>
      <c r="BB1430" s="169"/>
    </row>
    <row r="1431" spans="18:54" ht="15.75" customHeight="1">
      <c r="R1431" s="454"/>
      <c r="BB1431" s="169"/>
    </row>
    <row r="1432" spans="18:54" ht="15.75" customHeight="1">
      <c r="R1432" s="454"/>
      <c r="BB1432" s="169"/>
    </row>
    <row r="1433" spans="18:54" ht="15.75" customHeight="1">
      <c r="R1433" s="454"/>
      <c r="BB1433" s="169"/>
    </row>
    <row r="1434" spans="18:54" ht="15.75" customHeight="1">
      <c r="R1434" s="454"/>
      <c r="BB1434" s="169"/>
    </row>
    <row r="1435" spans="18:54" ht="15.75" customHeight="1">
      <c r="R1435" s="454"/>
      <c r="BB1435" s="169"/>
    </row>
    <row r="1436" spans="18:54" ht="15.75" customHeight="1">
      <c r="R1436" s="454"/>
      <c r="BB1436" s="169"/>
    </row>
    <row r="1437" spans="18:54" ht="15.75" customHeight="1">
      <c r="R1437" s="454"/>
      <c r="BB1437" s="169"/>
    </row>
    <row r="1438" spans="18:54" ht="15.75" customHeight="1">
      <c r="R1438" s="454"/>
      <c r="BB1438" s="169"/>
    </row>
    <row r="1439" spans="18:54" ht="15.75" customHeight="1">
      <c r="R1439" s="454"/>
      <c r="BB1439" s="169"/>
    </row>
    <row r="1440" spans="18:54" ht="15.75" customHeight="1">
      <c r="R1440" s="454"/>
      <c r="BB1440" s="169"/>
    </row>
    <row r="1441" spans="18:54" ht="15.75" customHeight="1">
      <c r="R1441" s="454"/>
      <c r="BB1441" s="169"/>
    </row>
    <row r="1442" spans="18:54" ht="15.75" customHeight="1">
      <c r="R1442" s="454"/>
      <c r="BB1442" s="169"/>
    </row>
    <row r="1443" spans="18:54" ht="15.75" customHeight="1">
      <c r="R1443" s="454"/>
      <c r="BB1443" s="169"/>
    </row>
    <row r="1444" spans="18:54" ht="15.75" customHeight="1">
      <c r="R1444" s="454"/>
      <c r="BB1444" s="169"/>
    </row>
    <row r="1445" spans="18:54" ht="15.75" customHeight="1">
      <c r="R1445" s="454"/>
      <c r="BB1445" s="169"/>
    </row>
    <row r="1446" spans="18:54" ht="15.75" customHeight="1">
      <c r="R1446" s="454"/>
      <c r="BB1446" s="169"/>
    </row>
    <row r="1447" spans="18:54" ht="15.75" customHeight="1">
      <c r="R1447" s="454"/>
      <c r="BB1447" s="169"/>
    </row>
    <row r="1448" spans="18:54" ht="15.75" customHeight="1">
      <c r="R1448" s="454"/>
      <c r="BB1448" s="169"/>
    </row>
    <row r="1449" spans="18:54" ht="15.75" customHeight="1">
      <c r="R1449" s="454"/>
      <c r="BB1449" s="169"/>
    </row>
    <row r="1450" spans="18:54" ht="15.75" customHeight="1">
      <c r="R1450" s="454"/>
      <c r="BB1450" s="169"/>
    </row>
    <row r="1451" spans="18:54" ht="15.75" customHeight="1">
      <c r="R1451" s="454"/>
      <c r="BB1451" s="169"/>
    </row>
    <row r="1452" spans="18:54" ht="15.75" customHeight="1">
      <c r="R1452" s="454"/>
      <c r="BB1452" s="169"/>
    </row>
    <row r="1453" spans="18:54" ht="15.75" customHeight="1">
      <c r="R1453" s="454"/>
      <c r="BB1453" s="169"/>
    </row>
    <row r="1454" spans="18:54" ht="15.75" customHeight="1">
      <c r="R1454" s="454"/>
      <c r="BB1454" s="169"/>
    </row>
    <row r="1455" spans="18:54" ht="15.75" customHeight="1">
      <c r="R1455" s="454"/>
      <c r="BB1455" s="169"/>
    </row>
    <row r="1456" spans="18:54" ht="15.75" customHeight="1">
      <c r="R1456" s="454"/>
      <c r="BB1456" s="169"/>
    </row>
    <row r="1457" spans="18:54" ht="15.75" customHeight="1">
      <c r="R1457" s="454"/>
      <c r="BB1457" s="169"/>
    </row>
    <row r="1458" spans="18:54" ht="15.75" customHeight="1">
      <c r="R1458" s="454"/>
      <c r="BB1458" s="169"/>
    </row>
    <row r="1459" spans="18:54" ht="15.75" customHeight="1">
      <c r="R1459" s="454"/>
      <c r="BB1459" s="169"/>
    </row>
    <row r="1460" spans="18:54" ht="15.75" customHeight="1">
      <c r="R1460" s="454"/>
      <c r="BB1460" s="169"/>
    </row>
    <row r="1461" spans="18:54" ht="15.75" customHeight="1">
      <c r="R1461" s="454"/>
      <c r="BB1461" s="169"/>
    </row>
    <row r="1462" spans="18:54" ht="15.75" customHeight="1">
      <c r="R1462" s="454"/>
      <c r="BB1462" s="169"/>
    </row>
    <row r="1463" spans="18:54" ht="15.75" customHeight="1">
      <c r="R1463" s="454"/>
      <c r="BB1463" s="169"/>
    </row>
    <row r="1464" spans="18:54" ht="15.75" customHeight="1">
      <c r="R1464" s="454"/>
      <c r="BB1464" s="169"/>
    </row>
    <row r="1465" spans="18:54" ht="15.75" customHeight="1">
      <c r="R1465" s="454"/>
      <c r="BB1465" s="169"/>
    </row>
    <row r="1466" spans="18:54" ht="15.75" customHeight="1">
      <c r="R1466" s="454"/>
      <c r="BB1466" s="169"/>
    </row>
    <row r="1467" spans="18:54" ht="15.75" customHeight="1">
      <c r="R1467" s="454"/>
      <c r="BB1467" s="169"/>
    </row>
    <row r="1468" spans="18:54" ht="15.75" customHeight="1">
      <c r="R1468" s="454"/>
      <c r="BB1468" s="169"/>
    </row>
    <row r="1469" spans="18:54" ht="15.75" customHeight="1">
      <c r="R1469" s="454"/>
      <c r="BB1469" s="169"/>
    </row>
    <row r="1470" spans="18:54" ht="15.75" customHeight="1">
      <c r="R1470" s="454"/>
      <c r="BB1470" s="169"/>
    </row>
    <row r="1471" spans="18:54" ht="15.75" customHeight="1">
      <c r="R1471" s="454"/>
      <c r="BB1471" s="169"/>
    </row>
    <row r="1472" spans="18:54" ht="15.75" customHeight="1">
      <c r="R1472" s="454"/>
      <c r="BB1472" s="169"/>
    </row>
    <row r="1473" spans="18:54" ht="15.75" customHeight="1">
      <c r="R1473" s="454"/>
      <c r="BB1473" s="169"/>
    </row>
    <row r="1474" spans="18:54" ht="15.75" customHeight="1">
      <c r="R1474" s="454"/>
      <c r="BB1474" s="169"/>
    </row>
    <row r="1475" spans="18:54" ht="15.75" customHeight="1">
      <c r="R1475" s="454"/>
      <c r="BB1475" s="169"/>
    </row>
    <row r="1476" spans="18:54" ht="15.75" customHeight="1">
      <c r="R1476" s="454"/>
      <c r="BB1476" s="169"/>
    </row>
    <row r="1477" spans="18:54" ht="15.75" customHeight="1">
      <c r="R1477" s="454"/>
      <c r="BB1477" s="169"/>
    </row>
    <row r="1478" spans="18:54" ht="15.75" customHeight="1">
      <c r="R1478" s="454"/>
      <c r="BB1478" s="169"/>
    </row>
    <row r="1479" spans="18:54" ht="15.75" customHeight="1">
      <c r="R1479" s="454"/>
      <c r="BB1479" s="169"/>
    </row>
    <row r="1480" spans="18:54" ht="15.75" customHeight="1">
      <c r="R1480" s="454"/>
      <c r="BB1480" s="169"/>
    </row>
    <row r="1481" spans="18:54" ht="15.75" customHeight="1">
      <c r="R1481" s="454"/>
      <c r="BB1481" s="169"/>
    </row>
    <row r="1482" spans="18:54" ht="15.75" customHeight="1">
      <c r="R1482" s="454"/>
      <c r="BB1482" s="169"/>
    </row>
    <row r="1483" spans="18:54" ht="15.75" customHeight="1">
      <c r="R1483" s="454"/>
      <c r="BB1483" s="169"/>
    </row>
    <row r="1484" spans="18:54" ht="15.75" customHeight="1">
      <c r="R1484" s="454"/>
      <c r="BB1484" s="169"/>
    </row>
    <row r="1485" spans="18:54" ht="15.75" customHeight="1">
      <c r="R1485" s="454"/>
      <c r="BB1485" s="169"/>
    </row>
    <row r="1486" spans="18:54" ht="15.75" customHeight="1">
      <c r="R1486" s="454"/>
      <c r="BB1486" s="169"/>
    </row>
    <row r="1487" spans="18:54" ht="15.75" customHeight="1">
      <c r="R1487" s="454"/>
      <c r="BB1487" s="169"/>
    </row>
    <row r="1488" spans="18:54" ht="15.75" customHeight="1">
      <c r="R1488" s="454"/>
      <c r="BB1488" s="169"/>
    </row>
    <row r="1489" spans="18:54" ht="15.75" customHeight="1">
      <c r="R1489" s="454"/>
      <c r="BB1489" s="169"/>
    </row>
    <row r="1490" spans="18:54" ht="15.75" customHeight="1">
      <c r="R1490" s="454"/>
      <c r="BB1490" s="169"/>
    </row>
    <row r="1491" spans="18:54" ht="15.75" customHeight="1">
      <c r="R1491" s="454"/>
      <c r="BB1491" s="169"/>
    </row>
    <row r="1492" spans="18:54" ht="15.75" customHeight="1">
      <c r="R1492" s="454"/>
      <c r="BB1492" s="169"/>
    </row>
    <row r="1493" spans="18:54" ht="15.75" customHeight="1">
      <c r="R1493" s="454"/>
      <c r="BB1493" s="169"/>
    </row>
    <row r="1494" spans="18:54" ht="15.75" customHeight="1">
      <c r="BB1494" s="169"/>
    </row>
    <row r="1495" spans="18:54" ht="15.75" customHeight="1">
      <c r="BB1495" s="169"/>
    </row>
    <row r="1496" spans="18:54" ht="15.75" customHeight="1">
      <c r="BB1496" s="169"/>
    </row>
    <row r="1497" spans="18:54" ht="15.75" customHeight="1">
      <c r="BB1497" s="169"/>
    </row>
    <row r="1498" spans="18:54" ht="15.75" customHeight="1">
      <c r="BB1498" s="169"/>
    </row>
    <row r="1499" spans="18:54" ht="15.75" customHeight="1">
      <c r="BB1499" s="169"/>
    </row>
    <row r="1500" spans="18:54" ht="15.75" customHeight="1">
      <c r="BB1500" s="169"/>
    </row>
    <row r="1501" spans="18:54" ht="15.75" customHeight="1">
      <c r="BB1501" s="169"/>
    </row>
    <row r="1502" spans="18:54" ht="15.75" customHeight="1">
      <c r="BB1502" s="169"/>
    </row>
    <row r="1503" spans="18:54" ht="15.75" customHeight="1">
      <c r="BB1503" s="169"/>
    </row>
    <row r="1504" spans="18:54" ht="15.75" customHeight="1">
      <c r="BB1504" s="169"/>
    </row>
    <row r="1505" spans="54:54" ht="15.75" customHeight="1">
      <c r="BB1505" s="169"/>
    </row>
    <row r="1506" spans="54:54" ht="15.75" customHeight="1">
      <c r="BB1506" s="169"/>
    </row>
    <row r="1507" spans="54:54" ht="15.75" customHeight="1">
      <c r="BB1507" s="169"/>
    </row>
    <row r="1508" spans="54:54" ht="15.75" customHeight="1">
      <c r="BB1508" s="169"/>
    </row>
    <row r="1509" spans="54:54" ht="15.75" customHeight="1">
      <c r="BB1509" s="169"/>
    </row>
    <row r="1510" spans="54:54" ht="15.75" customHeight="1">
      <c r="BB1510" s="169"/>
    </row>
    <row r="1511" spans="54:54" ht="15.75" customHeight="1">
      <c r="BB1511" s="169"/>
    </row>
    <row r="1512" spans="54:54" ht="15.75" customHeight="1">
      <c r="BB1512" s="169"/>
    </row>
    <row r="1513" spans="54:54" ht="15.75" customHeight="1">
      <c r="BB1513" s="169"/>
    </row>
    <row r="1514" spans="54:54" ht="15.75" customHeight="1">
      <c r="BB1514" s="169"/>
    </row>
    <row r="1515" spans="54:54" ht="15.75" customHeight="1">
      <c r="BB1515" s="169"/>
    </row>
    <row r="1516" spans="54:54" ht="15.75" customHeight="1">
      <c r="BB1516" s="169"/>
    </row>
    <row r="1517" spans="54:54" ht="15.75" customHeight="1">
      <c r="BB1517" s="169"/>
    </row>
    <row r="1518" spans="54:54" ht="15.75" customHeight="1">
      <c r="BB1518" s="169"/>
    </row>
    <row r="1519" spans="54:54" ht="15.75" customHeight="1">
      <c r="BB1519" s="169"/>
    </row>
    <row r="1520" spans="54:54" ht="15.75" customHeight="1">
      <c r="BB1520" s="169"/>
    </row>
    <row r="1521" spans="54:54" ht="15.75" customHeight="1">
      <c r="BB1521" s="169"/>
    </row>
    <row r="1522" spans="54:54" ht="15.75" customHeight="1">
      <c r="BB1522" s="169"/>
    </row>
    <row r="1523" spans="54:54" ht="15.75" customHeight="1">
      <c r="BB1523" s="169"/>
    </row>
    <row r="1524" spans="54:54" ht="15.75" customHeight="1">
      <c r="BB1524" s="169"/>
    </row>
    <row r="1525" spans="54:54" ht="15.75" customHeight="1">
      <c r="BB1525" s="169"/>
    </row>
    <row r="1526" spans="54:54" ht="15.75" customHeight="1">
      <c r="BB1526" s="169"/>
    </row>
    <row r="1527" spans="54:54" ht="15.75" customHeight="1">
      <c r="BB1527" s="169"/>
    </row>
    <row r="1528" spans="54:54" ht="15.75" customHeight="1">
      <c r="BB1528" s="169"/>
    </row>
    <row r="1529" spans="54:54" ht="15.75" customHeight="1">
      <c r="BB1529" s="169"/>
    </row>
    <row r="1530" spans="54:54" ht="15.75" customHeight="1">
      <c r="BB1530" s="169"/>
    </row>
    <row r="1531" spans="54:54" ht="15.75" customHeight="1">
      <c r="BB1531" s="169"/>
    </row>
    <row r="1532" spans="54:54" ht="15.75" customHeight="1">
      <c r="BB1532" s="169"/>
    </row>
    <row r="1533" spans="54:54" ht="15.75" customHeight="1">
      <c r="BB1533" s="169"/>
    </row>
    <row r="1534" spans="54:54" ht="15.75" customHeight="1">
      <c r="BB1534" s="169"/>
    </row>
    <row r="1535" spans="54:54" ht="15.75" customHeight="1">
      <c r="BB1535" s="169"/>
    </row>
    <row r="1536" spans="54:54" ht="15.75" customHeight="1">
      <c r="BB1536" s="169"/>
    </row>
    <row r="1537" spans="54:54" ht="15.75" customHeight="1">
      <c r="BB1537" s="169"/>
    </row>
    <row r="1538" spans="54:54" ht="15.75" customHeight="1">
      <c r="BB1538" s="169"/>
    </row>
    <row r="1539" spans="54:54" ht="15.75" customHeight="1">
      <c r="BB1539" s="169"/>
    </row>
    <row r="1540" spans="54:54" ht="15.75" customHeight="1">
      <c r="BB1540" s="169"/>
    </row>
    <row r="1541" spans="54:54" ht="15.75" customHeight="1">
      <c r="BB1541" s="169"/>
    </row>
    <row r="1542" spans="54:54" ht="15.75" customHeight="1">
      <c r="BB1542" s="169"/>
    </row>
    <row r="1543" spans="54:54" ht="15.75" customHeight="1">
      <c r="BB1543" s="169"/>
    </row>
    <row r="1544" spans="54:54" ht="15.75" customHeight="1">
      <c r="BB1544" s="169"/>
    </row>
    <row r="1545" spans="54:54" ht="15.75" customHeight="1">
      <c r="BB1545" s="169"/>
    </row>
    <row r="1546" spans="54:54" ht="15.75" customHeight="1">
      <c r="BB1546" s="169"/>
    </row>
    <row r="1547" spans="54:54" ht="15.75" customHeight="1">
      <c r="BB1547" s="169"/>
    </row>
    <row r="1548" spans="54:54" ht="15.75" customHeight="1">
      <c r="BB1548" s="169"/>
    </row>
    <row r="1549" spans="54:54" ht="15.75" customHeight="1">
      <c r="BB1549" s="169"/>
    </row>
    <row r="1550" spans="54:54" ht="15.75" customHeight="1">
      <c r="BB1550" s="169"/>
    </row>
    <row r="1551" spans="54:54" ht="15.75" customHeight="1">
      <c r="BB1551" s="169"/>
    </row>
    <row r="1552" spans="54:54" ht="15.75" customHeight="1">
      <c r="BB1552" s="169"/>
    </row>
    <row r="1553" spans="54:54" ht="15.75" customHeight="1">
      <c r="BB1553" s="169"/>
    </row>
    <row r="1554" spans="54:54" ht="15.75" customHeight="1">
      <c r="BB1554" s="169"/>
    </row>
    <row r="1555" spans="54:54" ht="15.75" customHeight="1">
      <c r="BB1555" s="169"/>
    </row>
    <row r="1556" spans="54:54" ht="15.75" customHeight="1">
      <c r="BB1556" s="169"/>
    </row>
    <row r="1557" spans="54:54" ht="15.75" customHeight="1">
      <c r="BB1557" s="169"/>
    </row>
    <row r="1558" spans="54:54" ht="15.75" customHeight="1">
      <c r="BB1558" s="169"/>
    </row>
    <row r="1559" spans="54:54" ht="15.75" customHeight="1">
      <c r="BB1559" s="169"/>
    </row>
    <row r="1560" spans="54:54" ht="15.75" customHeight="1">
      <c r="BB1560" s="169"/>
    </row>
    <row r="1561" spans="54:54" ht="15.75" customHeight="1">
      <c r="BB1561" s="169"/>
    </row>
    <row r="1562" spans="54:54" ht="15.75" customHeight="1">
      <c r="BB1562" s="169"/>
    </row>
    <row r="1563" spans="54:54" ht="15.75" customHeight="1">
      <c r="BB1563" s="169"/>
    </row>
    <row r="1564" spans="54:54" ht="15.75" customHeight="1">
      <c r="BB1564" s="169"/>
    </row>
    <row r="1565" spans="54:54" ht="15.75" customHeight="1">
      <c r="BB1565" s="169"/>
    </row>
    <row r="1566" spans="54:54" ht="15.75" customHeight="1">
      <c r="BB1566" s="169"/>
    </row>
    <row r="1567" spans="54:54" ht="15.75" customHeight="1">
      <c r="BB1567" s="169"/>
    </row>
    <row r="1568" spans="54:54" ht="15.75" customHeight="1">
      <c r="BB1568" s="169"/>
    </row>
    <row r="1569" spans="54:54" ht="15.75" customHeight="1">
      <c r="BB1569" s="169"/>
    </row>
    <row r="1570" spans="54:54" ht="15.75" customHeight="1">
      <c r="BB1570" s="169"/>
    </row>
    <row r="1571" spans="54:54" ht="15.75" customHeight="1">
      <c r="BB1571" s="169"/>
    </row>
    <row r="1572" spans="54:54" ht="15.75" customHeight="1">
      <c r="BB1572" s="169"/>
    </row>
    <row r="1573" spans="54:54" ht="15.75" customHeight="1">
      <c r="BB1573" s="169"/>
    </row>
    <row r="1574" spans="54:54" ht="15.75" customHeight="1">
      <c r="BB1574" s="169"/>
    </row>
    <row r="1575" spans="54:54" ht="15.75" customHeight="1">
      <c r="BB1575" s="169"/>
    </row>
    <row r="1576" spans="54:54" ht="15.75" customHeight="1">
      <c r="BB1576" s="169"/>
    </row>
    <row r="1577" spans="54:54" ht="15.75" customHeight="1">
      <c r="BB1577" s="169"/>
    </row>
    <row r="1578" spans="54:54" ht="15.75" customHeight="1">
      <c r="BB1578" s="169"/>
    </row>
    <row r="1579" spans="54:54" ht="15.75" customHeight="1">
      <c r="BB1579" s="169"/>
    </row>
    <row r="1580" spans="54:54" ht="15.75" customHeight="1">
      <c r="BB1580" s="169"/>
    </row>
    <row r="1581" spans="54:54" ht="15.75" customHeight="1">
      <c r="BB1581" s="169"/>
    </row>
    <row r="1582" spans="54:54" ht="15.75" customHeight="1">
      <c r="BB1582" s="169"/>
    </row>
    <row r="1583" spans="54:54" ht="15.75" customHeight="1">
      <c r="BB1583" s="169"/>
    </row>
    <row r="1584" spans="54:54" ht="15.75" customHeight="1">
      <c r="BB1584" s="169"/>
    </row>
    <row r="1585" spans="54:54" ht="15.75" customHeight="1">
      <c r="BB1585" s="169"/>
    </row>
    <row r="1586" spans="54:54" ht="15.75" customHeight="1">
      <c r="BB1586" s="169"/>
    </row>
    <row r="1587" spans="54:54" ht="15.75" customHeight="1">
      <c r="BB1587" s="169"/>
    </row>
    <row r="1588" spans="54:54" ht="15.75" customHeight="1">
      <c r="BB1588" s="169"/>
    </row>
    <row r="1589" spans="54:54" ht="15.75" customHeight="1">
      <c r="BB1589" s="169"/>
    </row>
    <row r="1590" spans="54:54" ht="15.75" customHeight="1">
      <c r="BB1590" s="169"/>
    </row>
    <row r="1591" spans="54:54" ht="15.75" customHeight="1">
      <c r="BB1591" s="169"/>
    </row>
    <row r="1592" spans="54:54" ht="15.75" customHeight="1">
      <c r="BB1592" s="169"/>
    </row>
    <row r="1593" spans="54:54" ht="15.75" customHeight="1">
      <c r="BB1593" s="169"/>
    </row>
    <row r="1594" spans="54:54" ht="15.75" customHeight="1">
      <c r="BB1594" s="169"/>
    </row>
    <row r="1595" spans="54:54" ht="15.75" customHeight="1">
      <c r="BB1595" s="169"/>
    </row>
    <row r="1596" spans="54:54" ht="15.75" customHeight="1">
      <c r="BB1596" s="169"/>
    </row>
    <row r="1597" spans="54:54" ht="15.75" customHeight="1">
      <c r="BB1597" s="169"/>
    </row>
    <row r="1598" spans="54:54" ht="15.75" customHeight="1">
      <c r="BB1598" s="169"/>
    </row>
    <row r="1599" spans="54:54" ht="15.75" customHeight="1">
      <c r="BB1599" s="169"/>
    </row>
    <row r="1600" spans="54:54" ht="15.75" customHeight="1">
      <c r="BB1600" s="169"/>
    </row>
    <row r="1601" spans="54:54" ht="15.75" customHeight="1">
      <c r="BB1601" s="169"/>
    </row>
    <row r="1602" spans="54:54" ht="15.75" customHeight="1">
      <c r="BB1602" s="169"/>
    </row>
    <row r="1603" spans="54:54" ht="15.75" customHeight="1">
      <c r="BB1603" s="169"/>
    </row>
    <row r="1604" spans="54:54" ht="15.75" customHeight="1">
      <c r="BB1604" s="169"/>
    </row>
    <row r="1605" spans="54:54" ht="15.75" customHeight="1">
      <c r="BB1605" s="169"/>
    </row>
    <row r="1606" spans="54:54" ht="15.75" customHeight="1">
      <c r="BB1606" s="169"/>
    </row>
    <row r="1607" spans="54:54" ht="15.75" customHeight="1">
      <c r="BB1607" s="169"/>
    </row>
    <row r="1608" spans="54:54" ht="15.75" customHeight="1">
      <c r="BB1608" s="169"/>
    </row>
    <row r="1609" spans="54:54" ht="15.75" customHeight="1">
      <c r="BB1609" s="169"/>
    </row>
    <row r="1610" spans="54:54" ht="15.75" customHeight="1">
      <c r="BB1610" s="169"/>
    </row>
    <row r="1611" spans="54:54" ht="15.75" customHeight="1">
      <c r="BB1611" s="169"/>
    </row>
    <row r="1612" spans="54:54" ht="15.75" customHeight="1">
      <c r="BB1612" s="169"/>
    </row>
    <row r="1613" spans="54:54" ht="15.75" customHeight="1">
      <c r="BB1613" s="169"/>
    </row>
    <row r="1614" spans="54:54" ht="15.75" customHeight="1">
      <c r="BB1614" s="169"/>
    </row>
    <row r="1615" spans="54:54" ht="15.75" customHeight="1">
      <c r="BB1615" s="169"/>
    </row>
    <row r="1616" spans="54:54" ht="15.75" customHeight="1">
      <c r="BB1616" s="169"/>
    </row>
    <row r="1617" spans="54:54" ht="15.75" customHeight="1">
      <c r="BB1617" s="169"/>
    </row>
    <row r="1618" spans="54:54" ht="15.75" customHeight="1">
      <c r="BB1618" s="169"/>
    </row>
    <row r="1619" spans="54:54" ht="15.75" customHeight="1">
      <c r="BB1619" s="169"/>
    </row>
    <row r="1620" spans="54:54" ht="15.75" customHeight="1">
      <c r="BB1620" s="169"/>
    </row>
    <row r="1621" spans="54:54" ht="15.75" customHeight="1">
      <c r="BB1621" s="169"/>
    </row>
    <row r="1622" spans="54:54" ht="15.75" customHeight="1">
      <c r="BB1622" s="169"/>
    </row>
    <row r="1623" spans="54:54" ht="15.75" customHeight="1">
      <c r="BB1623" s="169"/>
    </row>
    <row r="1624" spans="54:54" ht="15.75" customHeight="1">
      <c r="BB1624" s="169"/>
    </row>
    <row r="1625" spans="54:54" ht="15.75" customHeight="1">
      <c r="BB1625" s="169"/>
    </row>
    <row r="1626" spans="54:54" ht="15.75" customHeight="1">
      <c r="BB1626" s="169"/>
    </row>
    <row r="1627" spans="54:54" ht="15.75" customHeight="1">
      <c r="BB1627" s="169"/>
    </row>
    <row r="1628" spans="54:54" ht="15.75" customHeight="1">
      <c r="BB1628" s="169"/>
    </row>
    <row r="1629" spans="54:54" ht="15.75" customHeight="1">
      <c r="BB1629" s="169"/>
    </row>
    <row r="1630" spans="54:54" ht="15.75" customHeight="1">
      <c r="BB1630" s="169"/>
    </row>
    <row r="1631" spans="54:54" ht="15.75" customHeight="1">
      <c r="BB1631" s="169"/>
    </row>
    <row r="1632" spans="54:54" ht="15.75" customHeight="1">
      <c r="BB1632" s="169"/>
    </row>
    <row r="1633" spans="54:54" ht="15.75" customHeight="1">
      <c r="BB1633" s="169"/>
    </row>
    <row r="1634" spans="54:54" ht="15.75" customHeight="1">
      <c r="BB1634" s="169"/>
    </row>
    <row r="1635" spans="54:54" ht="15.75" customHeight="1">
      <c r="BB1635" s="169"/>
    </row>
    <row r="1636" spans="54:54" ht="15.75" customHeight="1">
      <c r="BB1636" s="169"/>
    </row>
    <row r="1637" spans="54:54" ht="15.75" customHeight="1">
      <c r="BB1637" s="169"/>
    </row>
    <row r="1638" spans="54:54" ht="15.75" customHeight="1">
      <c r="BB1638" s="169"/>
    </row>
    <row r="1639" spans="54:54" ht="15.75" customHeight="1">
      <c r="BB1639" s="169"/>
    </row>
    <row r="1640" spans="54:54" ht="15.75" customHeight="1">
      <c r="BB1640" s="169"/>
    </row>
    <row r="1641" spans="54:54" ht="15.75" customHeight="1">
      <c r="BB1641" s="169"/>
    </row>
    <row r="1642" spans="54:54" ht="15.75" customHeight="1">
      <c r="BB1642" s="169"/>
    </row>
    <row r="1643" spans="54:54" ht="15.75" customHeight="1">
      <c r="BB1643" s="169"/>
    </row>
    <row r="1644" spans="54:54" ht="15.75" customHeight="1">
      <c r="BB1644" s="169"/>
    </row>
    <row r="1645" spans="54:54" ht="15.75" customHeight="1">
      <c r="BB1645" s="169"/>
    </row>
    <row r="1646" spans="54:54" ht="15.75" customHeight="1">
      <c r="BB1646" s="169"/>
    </row>
    <row r="1647" spans="54:54" ht="15.75" customHeight="1">
      <c r="BB1647" s="169"/>
    </row>
    <row r="1648" spans="54:54" ht="15.75" customHeight="1">
      <c r="BB1648" s="169"/>
    </row>
    <row r="1649" spans="54:54" ht="15.75" customHeight="1">
      <c r="BB1649" s="169"/>
    </row>
    <row r="1650" spans="54:54" ht="15.75" customHeight="1">
      <c r="BB1650" s="169"/>
    </row>
    <row r="1651" spans="54:54" ht="15.75" customHeight="1">
      <c r="BB1651" s="169"/>
    </row>
    <row r="1652" spans="54:54" ht="15.75" customHeight="1">
      <c r="BB1652" s="169"/>
    </row>
    <row r="1653" spans="54:54" ht="15.75" customHeight="1">
      <c r="BB1653" s="169"/>
    </row>
    <row r="1654" spans="54:54" ht="15.75" customHeight="1">
      <c r="BB1654" s="169"/>
    </row>
    <row r="1655" spans="54:54" ht="15.75" customHeight="1">
      <c r="BB1655" s="169"/>
    </row>
    <row r="1656" spans="54:54" ht="15.75" customHeight="1">
      <c r="BB1656" s="169"/>
    </row>
    <row r="1657" spans="54:54" ht="15.75" customHeight="1">
      <c r="BB1657" s="169"/>
    </row>
    <row r="1658" spans="54:54" ht="15.75" customHeight="1">
      <c r="BB1658" s="169"/>
    </row>
    <row r="1659" spans="54:54" ht="15.75" customHeight="1">
      <c r="BB1659" s="169"/>
    </row>
    <row r="1660" spans="54:54" ht="15.75" customHeight="1">
      <c r="BB1660" s="169"/>
    </row>
    <row r="1661" spans="54:54" ht="15.75" customHeight="1">
      <c r="BB1661" s="169"/>
    </row>
    <row r="1662" spans="54:54" ht="15.75" customHeight="1">
      <c r="BB1662" s="169"/>
    </row>
    <row r="1663" spans="54:54" ht="15.75" customHeight="1">
      <c r="BB1663" s="169"/>
    </row>
    <row r="1664" spans="54:54" ht="15.75" customHeight="1">
      <c r="BB1664" s="169"/>
    </row>
    <row r="1665" spans="54:54" ht="15.75" customHeight="1">
      <c r="BB1665" s="169"/>
    </row>
    <row r="1666" spans="54:54" ht="15.75" customHeight="1">
      <c r="BB1666" s="169"/>
    </row>
    <row r="1667" spans="54:54" ht="15.75" customHeight="1">
      <c r="BB1667" s="169"/>
    </row>
    <row r="1668" spans="54:54" ht="15.75" customHeight="1">
      <c r="BB1668" s="169"/>
    </row>
    <row r="1669" spans="54:54" ht="15.75" customHeight="1">
      <c r="BB1669" s="169"/>
    </row>
    <row r="1670" spans="54:54" ht="15.75" customHeight="1">
      <c r="BB1670" s="169"/>
    </row>
    <row r="1671" spans="54:54" ht="15.75" customHeight="1">
      <c r="BB1671" s="169"/>
    </row>
    <row r="1672" spans="54:54" ht="15.75" customHeight="1">
      <c r="BB1672" s="169"/>
    </row>
    <row r="1673" spans="54:54" ht="15.75" customHeight="1">
      <c r="BB1673" s="169"/>
    </row>
    <row r="1674" spans="54:54" ht="15.75" customHeight="1">
      <c r="BB1674" s="169"/>
    </row>
    <row r="1675" spans="54:54" ht="15.75" customHeight="1">
      <c r="BB1675" s="169"/>
    </row>
    <row r="1676" spans="54:54" ht="15.75" customHeight="1">
      <c r="BB1676" s="169"/>
    </row>
    <row r="1677" spans="54:54" ht="15.75" customHeight="1">
      <c r="BB1677" s="169"/>
    </row>
    <row r="1678" spans="54:54" ht="15.75" customHeight="1">
      <c r="BB1678" s="169"/>
    </row>
    <row r="1679" spans="54:54" ht="15.75" customHeight="1">
      <c r="BB1679" s="169"/>
    </row>
    <row r="1680" spans="54:54" ht="15.75" customHeight="1">
      <c r="BB1680" s="169"/>
    </row>
    <row r="1681" spans="54:54" ht="15.75" customHeight="1">
      <c r="BB1681" s="169"/>
    </row>
    <row r="1682" spans="54:54" ht="15.75" customHeight="1">
      <c r="BB1682" s="169"/>
    </row>
    <row r="1683" spans="54:54" ht="15.75" customHeight="1">
      <c r="BB1683" s="169"/>
    </row>
    <row r="1684" spans="54:54" ht="15.75" customHeight="1">
      <c r="BB1684" s="169"/>
    </row>
    <row r="1685" spans="54:54" ht="15.75" customHeight="1">
      <c r="BB1685" s="169"/>
    </row>
    <row r="1686" spans="54:54" ht="15.75" customHeight="1">
      <c r="BB1686" s="169"/>
    </row>
    <row r="1687" spans="54:54" ht="15.75" customHeight="1">
      <c r="BB1687" s="169"/>
    </row>
    <row r="1688" spans="54:54" ht="15.75" customHeight="1">
      <c r="BB1688" s="169"/>
    </row>
    <row r="1689" spans="54:54" ht="15.75" customHeight="1">
      <c r="BB1689" s="169"/>
    </row>
    <row r="1690" spans="54:54" ht="15.75" customHeight="1">
      <c r="BB1690" s="169"/>
    </row>
    <row r="1691" spans="54:54" ht="15.75" customHeight="1">
      <c r="BB1691" s="169"/>
    </row>
    <row r="1692" spans="54:54" ht="15.75" customHeight="1">
      <c r="BB1692" s="169"/>
    </row>
    <row r="1693" spans="54:54" ht="15.75" customHeight="1">
      <c r="BB1693" s="169"/>
    </row>
    <row r="1694" spans="54:54" ht="15.75" customHeight="1">
      <c r="BB1694" s="169"/>
    </row>
    <row r="1695" spans="54:54" ht="15.75" customHeight="1">
      <c r="BB1695" s="169"/>
    </row>
    <row r="1696" spans="54:54" ht="15.75" customHeight="1">
      <c r="BB1696" s="169"/>
    </row>
    <row r="1697" spans="54:54" ht="15.75" customHeight="1">
      <c r="BB1697" s="169"/>
    </row>
    <row r="1698" spans="54:54" ht="15.75" customHeight="1">
      <c r="BB1698" s="169"/>
    </row>
    <row r="1699" spans="54:54" ht="15.75" customHeight="1">
      <c r="BB1699" s="169"/>
    </row>
    <row r="1700" spans="54:54" ht="15.75" customHeight="1">
      <c r="BB1700" s="169"/>
    </row>
    <row r="1701" spans="54:54" ht="15.75" customHeight="1">
      <c r="BB1701" s="169"/>
    </row>
    <row r="1702" spans="54:54" ht="15.75" customHeight="1">
      <c r="BB1702" s="169"/>
    </row>
    <row r="1703" spans="54:54" ht="15.75" customHeight="1">
      <c r="BB1703" s="169"/>
    </row>
    <row r="1704" spans="54:54" ht="15.75" customHeight="1">
      <c r="BB1704" s="169"/>
    </row>
    <row r="1705" spans="54:54" ht="15.75" customHeight="1">
      <c r="BB1705" s="169"/>
    </row>
    <row r="1706" spans="54:54" ht="15.75" customHeight="1">
      <c r="BB1706" s="169"/>
    </row>
    <row r="1707" spans="54:54" ht="15.75" customHeight="1">
      <c r="BB1707" s="169"/>
    </row>
    <row r="1708" spans="54:54" ht="15.75" customHeight="1">
      <c r="BB1708" s="169"/>
    </row>
    <row r="1709" spans="54:54" ht="15.75" customHeight="1">
      <c r="BB1709" s="169"/>
    </row>
    <row r="1710" spans="54:54" ht="15.75" customHeight="1">
      <c r="BB1710" s="169"/>
    </row>
    <row r="1711" spans="54:54" ht="15.75" customHeight="1">
      <c r="BB1711" s="169"/>
    </row>
    <row r="1712" spans="54:54" ht="15.75" customHeight="1">
      <c r="BB1712" s="169"/>
    </row>
    <row r="1713" spans="54:54" ht="15.75" customHeight="1">
      <c r="BB1713" s="169"/>
    </row>
    <row r="1714" spans="54:54" ht="15.75" customHeight="1">
      <c r="BB1714" s="169"/>
    </row>
    <row r="1715" spans="54:54" ht="15.75" customHeight="1">
      <c r="BB1715" s="169"/>
    </row>
    <row r="1716" spans="54:54" ht="15.75" customHeight="1">
      <c r="BB1716" s="169"/>
    </row>
    <row r="1717" spans="54:54" ht="15.75" customHeight="1">
      <c r="BB1717" s="169"/>
    </row>
    <row r="1718" spans="54:54" ht="15.75" customHeight="1">
      <c r="BB1718" s="169"/>
    </row>
    <row r="1719" spans="54:54" ht="15.75" customHeight="1">
      <c r="BB1719" s="169"/>
    </row>
    <row r="1720" spans="54:54" ht="15.75" customHeight="1">
      <c r="BB1720" s="169"/>
    </row>
    <row r="1721" spans="54:54" ht="15.75" customHeight="1">
      <c r="BB1721" s="169"/>
    </row>
    <row r="1722" spans="54:54" ht="15.75" customHeight="1">
      <c r="BB1722" s="169"/>
    </row>
    <row r="1723" spans="54:54" ht="15.75" customHeight="1">
      <c r="BB1723" s="169"/>
    </row>
    <row r="1724" spans="54:54" ht="15.75" customHeight="1">
      <c r="BB1724" s="169"/>
    </row>
    <row r="1725" spans="54:54" ht="15.75" customHeight="1">
      <c r="BB1725" s="169"/>
    </row>
    <row r="1726" spans="54:54" ht="15.75" customHeight="1">
      <c r="BB1726" s="169"/>
    </row>
    <row r="1727" spans="54:54" ht="15.75" customHeight="1">
      <c r="BB1727" s="169"/>
    </row>
    <row r="1728" spans="54:54" ht="15.75" customHeight="1">
      <c r="BB1728" s="169"/>
    </row>
    <row r="1729" spans="54:54" ht="15.75" customHeight="1">
      <c r="BB1729" s="169"/>
    </row>
    <row r="1730" spans="54:54" ht="15.75" customHeight="1">
      <c r="BB1730" s="169"/>
    </row>
    <row r="1731" spans="54:54" ht="15.75" customHeight="1">
      <c r="BB1731" s="169"/>
    </row>
    <row r="1732" spans="54:54" ht="15.75" customHeight="1">
      <c r="BB1732" s="169"/>
    </row>
    <row r="1733" spans="54:54" ht="15.75" customHeight="1">
      <c r="BB1733" s="169"/>
    </row>
    <row r="1734" spans="54:54" ht="15.75" customHeight="1">
      <c r="BB1734" s="169"/>
    </row>
    <row r="1735" spans="54:54" ht="15.75" customHeight="1">
      <c r="BB1735" s="169"/>
    </row>
    <row r="1736" spans="54:54" ht="15.75" customHeight="1">
      <c r="BB1736" s="169"/>
    </row>
    <row r="1737" spans="54:54" ht="15.75" customHeight="1">
      <c r="BB1737" s="169"/>
    </row>
    <row r="1738" spans="54:54" ht="15.75" customHeight="1">
      <c r="BB1738" s="169"/>
    </row>
    <row r="1739" spans="54:54" ht="15.75" customHeight="1">
      <c r="BB1739" s="169"/>
    </row>
    <row r="1740" spans="54:54" ht="15.75" customHeight="1">
      <c r="BB1740" s="169"/>
    </row>
    <row r="1741" spans="54:54" ht="15.75" customHeight="1">
      <c r="BB1741" s="169"/>
    </row>
    <row r="1742" spans="54:54" ht="15.75" customHeight="1">
      <c r="BB1742" s="169"/>
    </row>
    <row r="1743" spans="54:54" ht="15.75" customHeight="1">
      <c r="BB1743" s="169"/>
    </row>
    <row r="1744" spans="54:54" ht="15.75" customHeight="1">
      <c r="BB1744" s="169"/>
    </row>
    <row r="1745" spans="54:54" ht="15.75" customHeight="1">
      <c r="BB1745" s="169"/>
    </row>
    <row r="1746" spans="54:54" ht="15.75" customHeight="1">
      <c r="BB1746" s="169"/>
    </row>
    <row r="1747" spans="54:54" ht="15.75" customHeight="1">
      <c r="BB1747" s="169"/>
    </row>
    <row r="1748" spans="54:54" ht="15.75" customHeight="1">
      <c r="BB1748" s="169"/>
    </row>
    <row r="1749" spans="54:54" ht="15.75" customHeight="1">
      <c r="BB1749" s="169"/>
    </row>
    <row r="1750" spans="54:54" ht="15.75" customHeight="1">
      <c r="BB1750" s="169"/>
    </row>
    <row r="1751" spans="54:54" ht="15.75" customHeight="1">
      <c r="BB1751" s="169"/>
    </row>
    <row r="1752" spans="54:54" ht="15.75" customHeight="1">
      <c r="BB1752" s="169"/>
    </row>
    <row r="1753" spans="54:54" ht="15.75" customHeight="1">
      <c r="BB1753" s="169"/>
    </row>
    <row r="1754" spans="54:54" ht="15.75" customHeight="1">
      <c r="BB1754" s="169"/>
    </row>
    <row r="1755" spans="54:54" ht="15.75" customHeight="1">
      <c r="BB1755" s="169"/>
    </row>
    <row r="1756" spans="54:54" ht="15.75" customHeight="1">
      <c r="BB1756" s="169"/>
    </row>
    <row r="1757" spans="54:54" ht="15.75" customHeight="1">
      <c r="BB1757" s="169"/>
    </row>
    <row r="1758" spans="54:54" ht="15.75" customHeight="1">
      <c r="BB1758" s="169"/>
    </row>
    <row r="1759" spans="54:54" ht="15.75" customHeight="1">
      <c r="BB1759" s="169"/>
    </row>
    <row r="1760" spans="54:54" ht="15.75" customHeight="1">
      <c r="BB1760" s="169"/>
    </row>
    <row r="1761" spans="54:54" ht="15.75" customHeight="1">
      <c r="BB1761" s="169"/>
    </row>
    <row r="1762" spans="54:54" ht="15.75" customHeight="1">
      <c r="BB1762" s="169"/>
    </row>
    <row r="1763" spans="54:54" ht="15.75" customHeight="1">
      <c r="BB1763" s="169"/>
    </row>
    <row r="1764" spans="54:54" ht="15.75" customHeight="1">
      <c r="BB1764" s="169"/>
    </row>
    <row r="1765" spans="54:54" ht="15.75" customHeight="1">
      <c r="BB1765" s="169"/>
    </row>
    <row r="1766" spans="54:54" ht="15.75" customHeight="1">
      <c r="BB1766" s="169"/>
    </row>
    <row r="1767" spans="54:54" ht="15.75" customHeight="1">
      <c r="BB1767" s="169"/>
    </row>
    <row r="1768" spans="54:54" ht="15.75" customHeight="1">
      <c r="BB1768" s="169"/>
    </row>
    <row r="1769" spans="54:54" ht="15.75" customHeight="1">
      <c r="BB1769" s="169"/>
    </row>
    <row r="1770" spans="54:54" ht="15.75" customHeight="1">
      <c r="BB1770" s="169"/>
    </row>
    <row r="1771" spans="54:54" ht="15.75" customHeight="1">
      <c r="BB1771" s="169"/>
    </row>
    <row r="1772" spans="54:54" ht="15.75" customHeight="1">
      <c r="BB1772" s="169"/>
    </row>
    <row r="1773" spans="54:54" ht="15.75" customHeight="1">
      <c r="BB1773" s="169"/>
    </row>
    <row r="1774" spans="54:54" ht="15.75" customHeight="1">
      <c r="BB1774" s="169"/>
    </row>
    <row r="1775" spans="54:54" ht="15.75" customHeight="1">
      <c r="BB1775" s="169"/>
    </row>
    <row r="1776" spans="54:54" ht="15.75" customHeight="1">
      <c r="BB1776" s="169"/>
    </row>
    <row r="1777" spans="54:54" ht="15.75" customHeight="1">
      <c r="BB1777" s="169"/>
    </row>
    <row r="1778" spans="54:54" ht="15.75" customHeight="1">
      <c r="BB1778" s="169"/>
    </row>
    <row r="1779" spans="54:54" ht="15.75" customHeight="1">
      <c r="BB1779" s="169"/>
    </row>
    <row r="1780" spans="54:54" ht="15.75" customHeight="1">
      <c r="BB1780" s="169"/>
    </row>
    <row r="1781" spans="54:54" ht="15.75" customHeight="1">
      <c r="BB1781" s="169"/>
    </row>
    <row r="1782" spans="54:54" ht="15.75" customHeight="1">
      <c r="BB1782" s="169"/>
    </row>
    <row r="1783" spans="54:54" ht="15.75" customHeight="1">
      <c r="BB1783" s="169"/>
    </row>
    <row r="1784" spans="54:54" ht="15.75" customHeight="1">
      <c r="BB1784" s="169"/>
    </row>
    <row r="1785" spans="54:54" ht="15.75" customHeight="1">
      <c r="BB1785" s="169"/>
    </row>
    <row r="1786" spans="54:54" ht="15.75" customHeight="1">
      <c r="BB1786" s="169"/>
    </row>
    <row r="1787" spans="54:54" ht="15.75" customHeight="1">
      <c r="BB1787" s="169"/>
    </row>
    <row r="1788" spans="54:54" ht="15.75" customHeight="1">
      <c r="BB1788" s="169"/>
    </row>
    <row r="1789" spans="54:54" ht="15.75" customHeight="1">
      <c r="BB1789" s="169"/>
    </row>
    <row r="1790" spans="54:54" ht="15.75" customHeight="1">
      <c r="BB1790" s="169"/>
    </row>
    <row r="1791" spans="54:54" ht="15.75" customHeight="1">
      <c r="BB1791" s="169"/>
    </row>
    <row r="1792" spans="54:54" ht="15.75" customHeight="1">
      <c r="BB1792" s="169"/>
    </row>
    <row r="1793" spans="54:54" ht="15.75" customHeight="1">
      <c r="BB1793" s="169"/>
    </row>
    <row r="1794" spans="54:54" ht="15.75" customHeight="1">
      <c r="BB1794" s="169"/>
    </row>
    <row r="1795" spans="54:54" ht="15.75" customHeight="1">
      <c r="BB1795" s="169"/>
    </row>
    <row r="1796" spans="54:54" ht="15.75" customHeight="1">
      <c r="BB1796" s="169"/>
    </row>
    <row r="1797" spans="54:54" ht="15.75" customHeight="1">
      <c r="BB1797" s="169"/>
    </row>
    <row r="1798" spans="54:54" ht="15.75" customHeight="1">
      <c r="BB1798" s="169"/>
    </row>
    <row r="1799" spans="54:54" ht="15.75" customHeight="1">
      <c r="BB1799" s="169"/>
    </row>
    <row r="1800" spans="54:54" ht="15.75" customHeight="1">
      <c r="BB1800" s="169"/>
    </row>
    <row r="1801" spans="54:54" ht="15.75" customHeight="1">
      <c r="BB1801" s="169"/>
    </row>
    <row r="1802" spans="54:54" ht="15.75" customHeight="1">
      <c r="BB1802" s="169"/>
    </row>
    <row r="1803" spans="54:54" ht="15.75" customHeight="1">
      <c r="BB1803" s="169"/>
    </row>
    <row r="1804" spans="54:54" ht="15.75" customHeight="1">
      <c r="BB1804" s="169"/>
    </row>
    <row r="1805" spans="54:54" ht="15.75" customHeight="1">
      <c r="BB1805" s="169"/>
    </row>
    <row r="1806" spans="54:54" ht="15.75" customHeight="1">
      <c r="BB1806" s="169"/>
    </row>
    <row r="1807" spans="54:54" ht="15.75" customHeight="1">
      <c r="BB1807" s="169"/>
    </row>
    <row r="1808" spans="54:54" ht="15.75" customHeight="1">
      <c r="BB1808" s="169"/>
    </row>
    <row r="1809" spans="54:54" ht="15.75" customHeight="1">
      <c r="BB1809" s="169"/>
    </row>
    <row r="1810" spans="54:54" ht="15.75" customHeight="1">
      <c r="BB1810" s="169"/>
    </row>
    <row r="1811" spans="54:54" ht="15.75" customHeight="1">
      <c r="BB1811" s="169"/>
    </row>
    <row r="1812" spans="54:54" ht="15.75" customHeight="1">
      <c r="BB1812" s="169"/>
    </row>
    <row r="1813" spans="54:54" ht="15.75" customHeight="1">
      <c r="BB1813" s="169"/>
    </row>
    <row r="1814" spans="54:54" ht="15.75" customHeight="1">
      <c r="BB1814" s="169"/>
    </row>
    <row r="1815" spans="54:54" ht="15.75" customHeight="1">
      <c r="BB1815" s="169"/>
    </row>
    <row r="1816" spans="54:54" ht="15.75" customHeight="1">
      <c r="BB1816" s="169"/>
    </row>
    <row r="1817" spans="54:54" ht="15.75" customHeight="1">
      <c r="BB1817" s="169"/>
    </row>
    <row r="1818" spans="54:54" ht="15.75" customHeight="1">
      <c r="BB1818" s="169"/>
    </row>
    <row r="1819" spans="54:54" ht="15.75" customHeight="1">
      <c r="BB1819" s="169"/>
    </row>
    <row r="1820" spans="54:54" ht="15.75" customHeight="1">
      <c r="BB1820" s="169"/>
    </row>
    <row r="1821" spans="54:54" ht="15.75" customHeight="1">
      <c r="BB1821" s="169"/>
    </row>
    <row r="1822" spans="54:54" ht="15.75" customHeight="1">
      <c r="BB1822" s="169"/>
    </row>
    <row r="1823" spans="54:54" ht="15.75" customHeight="1">
      <c r="BB1823" s="169"/>
    </row>
    <row r="1824" spans="54:54" ht="15.75" customHeight="1">
      <c r="BB1824" s="169"/>
    </row>
    <row r="1825" spans="54:54" ht="15.75" customHeight="1">
      <c r="BB1825" s="169"/>
    </row>
    <row r="1826" spans="54:54" ht="15.75" customHeight="1">
      <c r="BB1826" s="169"/>
    </row>
    <row r="1827" spans="54:54" ht="15.75" customHeight="1">
      <c r="BB1827" s="169"/>
    </row>
    <row r="1828" spans="54:54" ht="15.75" customHeight="1">
      <c r="BB1828" s="169"/>
    </row>
    <row r="1829" spans="54:54" ht="15.75" customHeight="1">
      <c r="BB1829" s="169"/>
    </row>
    <row r="1830" spans="54:54" ht="15.75" customHeight="1">
      <c r="BB1830" s="169"/>
    </row>
    <row r="1831" spans="54:54" ht="15.75" customHeight="1">
      <c r="BB1831" s="169"/>
    </row>
    <row r="1832" spans="54:54" ht="15.75" customHeight="1">
      <c r="BB1832" s="169"/>
    </row>
    <row r="1833" spans="54:54" ht="15.75" customHeight="1">
      <c r="BB1833" s="169"/>
    </row>
    <row r="1834" spans="54:54" ht="15.75" customHeight="1">
      <c r="BB1834" s="169"/>
    </row>
    <row r="1835" spans="54:54" ht="15.75" customHeight="1">
      <c r="BB1835" s="169"/>
    </row>
    <row r="1836" spans="54:54" ht="15.75" customHeight="1">
      <c r="BB1836" s="169"/>
    </row>
    <row r="1837" spans="54:54" ht="15.75" customHeight="1">
      <c r="BB1837" s="169"/>
    </row>
    <row r="1838" spans="54:54" ht="15.75" customHeight="1">
      <c r="BB1838" s="169"/>
    </row>
    <row r="1839" spans="54:54" ht="15.75" customHeight="1">
      <c r="BB1839" s="169"/>
    </row>
    <row r="1840" spans="54:54" ht="15.75" customHeight="1">
      <c r="BB1840" s="169"/>
    </row>
    <row r="1841" spans="54:54" ht="15.75" customHeight="1">
      <c r="BB1841" s="169"/>
    </row>
    <row r="1842" spans="54:54" ht="15.75" customHeight="1">
      <c r="BB1842" s="169"/>
    </row>
    <row r="1843" spans="54:54" ht="15.75" customHeight="1">
      <c r="BB1843" s="169"/>
    </row>
    <row r="1844" spans="54:54" ht="15.75" customHeight="1">
      <c r="BB1844" s="169"/>
    </row>
    <row r="1845" spans="54:54" ht="15.75" customHeight="1">
      <c r="BB1845" s="169"/>
    </row>
    <row r="1846" spans="54:54" ht="15.75" customHeight="1">
      <c r="BB1846" s="169"/>
    </row>
    <row r="1847" spans="54:54" ht="15.75" customHeight="1">
      <c r="BB1847" s="169"/>
    </row>
    <row r="1848" spans="54:54" ht="15.75" customHeight="1">
      <c r="BB1848" s="169"/>
    </row>
    <row r="1849" spans="54:54" ht="15.75" customHeight="1">
      <c r="BB1849" s="169"/>
    </row>
    <row r="1850" spans="54:54" ht="15.75" customHeight="1">
      <c r="BB1850" s="169"/>
    </row>
    <row r="1851" spans="54:54" ht="15.75" customHeight="1">
      <c r="BB1851" s="169"/>
    </row>
    <row r="1852" spans="54:54" ht="15.75" customHeight="1">
      <c r="BB1852" s="169"/>
    </row>
    <row r="1853" spans="54:54" ht="15.75" customHeight="1">
      <c r="BB1853" s="169"/>
    </row>
    <row r="1854" spans="54:54" ht="15.75" customHeight="1">
      <c r="BB1854" s="169"/>
    </row>
    <row r="1855" spans="54:54" ht="15.75" customHeight="1">
      <c r="BB1855" s="169"/>
    </row>
    <row r="1856" spans="54:54" ht="15.75" customHeight="1">
      <c r="BB1856" s="169"/>
    </row>
    <row r="1857" spans="54:54" ht="15.75" customHeight="1">
      <c r="BB1857" s="169"/>
    </row>
    <row r="1858" spans="54:54" ht="15.75" customHeight="1">
      <c r="BB1858" s="169"/>
    </row>
    <row r="1859" spans="54:54" ht="15.75" customHeight="1">
      <c r="BB1859" s="169"/>
    </row>
    <row r="1860" spans="54:54" ht="15.75" customHeight="1">
      <c r="BB1860" s="169"/>
    </row>
    <row r="1861" spans="54:54" ht="15.75" customHeight="1">
      <c r="BB1861" s="169"/>
    </row>
    <row r="1862" spans="54:54" ht="15.75" customHeight="1">
      <c r="BB1862" s="169"/>
    </row>
    <row r="1863" spans="54:54" ht="15.75" customHeight="1">
      <c r="BB1863" s="169"/>
    </row>
    <row r="1864" spans="54:54" ht="15.75" customHeight="1">
      <c r="BB1864" s="169"/>
    </row>
    <row r="1865" spans="54:54" ht="15.75" customHeight="1">
      <c r="BB1865" s="169"/>
    </row>
    <row r="1866" spans="54:54" ht="15.75" customHeight="1">
      <c r="BB1866" s="169"/>
    </row>
    <row r="1867" spans="54:54" ht="15.75" customHeight="1">
      <c r="BB1867" s="169"/>
    </row>
    <row r="1868" spans="54:54" ht="15.75" customHeight="1">
      <c r="BB1868" s="169"/>
    </row>
    <row r="1869" spans="54:54" ht="15.75" customHeight="1">
      <c r="BB1869" s="169"/>
    </row>
    <row r="1870" spans="54:54" ht="15.75" customHeight="1">
      <c r="BB1870" s="169"/>
    </row>
    <row r="1871" spans="54:54" ht="15.75" customHeight="1">
      <c r="BB1871" s="169"/>
    </row>
    <row r="1872" spans="54:54" ht="15.75" customHeight="1">
      <c r="BB1872" s="169"/>
    </row>
    <row r="1873" spans="54:54" ht="15.75" customHeight="1">
      <c r="BB1873" s="169"/>
    </row>
    <row r="1874" spans="54:54" ht="15.75" customHeight="1">
      <c r="BB1874" s="169"/>
    </row>
    <row r="1875" spans="54:54" ht="15.75" customHeight="1">
      <c r="BB1875" s="169"/>
    </row>
    <row r="1876" spans="54:54" ht="15.75" customHeight="1">
      <c r="BB1876" s="169"/>
    </row>
    <row r="1877" spans="54:54" ht="15.75" customHeight="1">
      <c r="BB1877" s="169"/>
    </row>
    <row r="1878" spans="54:54" ht="15.75" customHeight="1">
      <c r="BB1878" s="169"/>
    </row>
    <row r="1879" spans="54:54" ht="15.75" customHeight="1">
      <c r="BB1879" s="169"/>
    </row>
    <row r="1880" spans="54:54" ht="15.75" customHeight="1">
      <c r="BB1880" s="169"/>
    </row>
    <row r="1881" spans="54:54" ht="15.75" customHeight="1">
      <c r="BB1881" s="169"/>
    </row>
    <row r="1882" spans="54:54" ht="15.75" customHeight="1">
      <c r="BB1882" s="169"/>
    </row>
    <row r="1883" spans="54:54" ht="15.75" customHeight="1">
      <c r="BB1883" s="169"/>
    </row>
    <row r="1884" spans="54:54" ht="15.75" customHeight="1">
      <c r="BB1884" s="169"/>
    </row>
    <row r="1885" spans="54:54" ht="15.75" customHeight="1">
      <c r="BB1885" s="169"/>
    </row>
    <row r="1886" spans="54:54" ht="15.75" customHeight="1">
      <c r="BB1886" s="169"/>
    </row>
    <row r="1887" spans="54:54" ht="15.75" customHeight="1">
      <c r="BB1887" s="169"/>
    </row>
    <row r="1888" spans="54:54" ht="15.75" customHeight="1">
      <c r="BB1888" s="169"/>
    </row>
    <row r="1889" spans="54:54" ht="15.75" customHeight="1">
      <c r="BB1889" s="169"/>
    </row>
    <row r="1890" spans="54:54" ht="15.75" customHeight="1">
      <c r="BB1890" s="169"/>
    </row>
    <row r="1891" spans="54:54" ht="15.75" customHeight="1">
      <c r="BB1891" s="169"/>
    </row>
    <row r="1892" spans="54:54" ht="15.75" customHeight="1">
      <c r="BB1892" s="169"/>
    </row>
    <row r="1893" spans="54:54" ht="15.75" customHeight="1">
      <c r="BB1893" s="169"/>
    </row>
    <row r="1894" spans="54:54" ht="15.75" customHeight="1">
      <c r="BB1894" s="169"/>
    </row>
    <row r="1895" spans="54:54" ht="15.75" customHeight="1">
      <c r="BB1895" s="169"/>
    </row>
    <row r="1896" spans="54:54" ht="15.75" customHeight="1">
      <c r="BB1896" s="169"/>
    </row>
    <row r="1897" spans="54:54" ht="15.75" customHeight="1">
      <c r="BB1897" s="169"/>
    </row>
    <row r="1898" spans="54:54" ht="15.75" customHeight="1">
      <c r="BB1898" s="169"/>
    </row>
    <row r="1899" spans="54:54" ht="15.75" customHeight="1">
      <c r="BB1899" s="169"/>
    </row>
    <row r="1900" spans="54:54" ht="15.75" customHeight="1">
      <c r="BB1900" s="169"/>
    </row>
    <row r="1901" spans="54:54" ht="15.75" customHeight="1">
      <c r="BB1901" s="169"/>
    </row>
    <row r="1902" spans="54:54" ht="15.75" customHeight="1">
      <c r="BB1902" s="169"/>
    </row>
    <row r="1903" spans="54:54" ht="15.75" customHeight="1">
      <c r="BB1903" s="169"/>
    </row>
    <row r="1904" spans="54:54" ht="15.75" customHeight="1">
      <c r="BB1904" s="169"/>
    </row>
    <row r="1905" spans="54:54" ht="15.75" customHeight="1">
      <c r="BB1905" s="169"/>
    </row>
    <row r="1906" spans="54:54" ht="15.75" customHeight="1">
      <c r="BB1906" s="169"/>
    </row>
    <row r="1907" spans="54:54" ht="15.75" customHeight="1">
      <c r="BB1907" s="169"/>
    </row>
    <row r="1908" spans="54:54" ht="15.75" customHeight="1">
      <c r="BB1908" s="169"/>
    </row>
    <row r="1909" spans="54:54" ht="15.75" customHeight="1">
      <c r="BB1909" s="169"/>
    </row>
    <row r="1910" spans="54:54" ht="15.75" customHeight="1">
      <c r="BB1910" s="169"/>
    </row>
    <row r="1911" spans="54:54" ht="15.75" customHeight="1">
      <c r="BB1911" s="169"/>
    </row>
    <row r="1912" spans="54:54" ht="15.75" customHeight="1">
      <c r="BB1912" s="169"/>
    </row>
    <row r="1913" spans="54:54" ht="15.75" customHeight="1">
      <c r="BB1913" s="169"/>
    </row>
    <row r="1914" spans="54:54" ht="15.75" customHeight="1">
      <c r="BB1914" s="169"/>
    </row>
    <row r="1915" spans="54:54" ht="15.75" customHeight="1">
      <c r="BB1915" s="169"/>
    </row>
    <row r="1916" spans="54:54" ht="15.75" customHeight="1">
      <c r="BB1916" s="169"/>
    </row>
    <row r="1917" spans="54:54" ht="15.75" customHeight="1">
      <c r="BB1917" s="169"/>
    </row>
    <row r="1918" spans="54:54" ht="15.75" customHeight="1">
      <c r="BB1918" s="169"/>
    </row>
    <row r="1919" spans="54:54" ht="15.75" customHeight="1">
      <c r="BB1919" s="169"/>
    </row>
    <row r="1920" spans="54:54" ht="15.75" customHeight="1">
      <c r="BB1920" s="169"/>
    </row>
    <row r="1921" spans="54:54" ht="15.75" customHeight="1">
      <c r="BB1921" s="169"/>
    </row>
    <row r="1922" spans="54:54" ht="15.75" customHeight="1">
      <c r="BB1922" s="169"/>
    </row>
    <row r="1923" spans="54:54" ht="15.75" customHeight="1">
      <c r="BB1923" s="169"/>
    </row>
    <row r="1924" spans="54:54" ht="15.75" customHeight="1">
      <c r="BB1924" s="169"/>
    </row>
    <row r="1925" spans="54:54" ht="15.75" customHeight="1">
      <c r="BB1925" s="169"/>
    </row>
    <row r="1926" spans="54:54" ht="15.75" customHeight="1">
      <c r="BB1926" s="169"/>
    </row>
    <row r="1927" spans="54:54" ht="15.75" customHeight="1">
      <c r="BB1927" s="169"/>
    </row>
    <row r="1928" spans="54:54" ht="15.75" customHeight="1">
      <c r="BB1928" s="169"/>
    </row>
    <row r="1929" spans="54:54" ht="15.75" customHeight="1">
      <c r="BB1929" s="169"/>
    </row>
    <row r="1930" spans="54:54" ht="15.75" customHeight="1">
      <c r="BB1930" s="169"/>
    </row>
    <row r="1931" spans="54:54" ht="15.75" customHeight="1">
      <c r="BB1931" s="169"/>
    </row>
    <row r="1932" spans="54:54" ht="15.75" customHeight="1">
      <c r="BB1932" s="169"/>
    </row>
    <row r="1933" spans="54:54" ht="15.75" customHeight="1">
      <c r="BB1933" s="169"/>
    </row>
    <row r="1934" spans="54:54" ht="15.75" customHeight="1">
      <c r="BB1934" s="169"/>
    </row>
    <row r="1935" spans="54:54" ht="15.75" customHeight="1">
      <c r="BB1935" s="169"/>
    </row>
    <row r="1936" spans="54:54" ht="15.75" customHeight="1">
      <c r="BB1936" s="169"/>
    </row>
    <row r="1937" spans="54:54" ht="15.75" customHeight="1">
      <c r="BB1937" s="169"/>
    </row>
    <row r="1938" spans="54:54" ht="15.75" customHeight="1">
      <c r="BB1938" s="169"/>
    </row>
    <row r="1939" spans="54:54" ht="15.75" customHeight="1">
      <c r="BB1939" s="169"/>
    </row>
    <row r="1940" spans="54:54" ht="15.75" customHeight="1">
      <c r="BB1940" s="169"/>
    </row>
    <row r="1941" spans="54:54" ht="15.75" customHeight="1">
      <c r="BB1941" s="169"/>
    </row>
    <row r="1942" spans="54:54" ht="15.75" customHeight="1">
      <c r="BB1942" s="169"/>
    </row>
    <row r="1943" spans="54:54" ht="15.75" customHeight="1">
      <c r="BB1943" s="169"/>
    </row>
    <row r="1944" spans="54:54" ht="15.75" customHeight="1">
      <c r="BB1944" s="169"/>
    </row>
    <row r="1945" spans="54:54" ht="15.75" customHeight="1">
      <c r="BB1945" s="169"/>
    </row>
    <row r="1946" spans="54:54" ht="15.75" customHeight="1">
      <c r="BB1946" s="169"/>
    </row>
    <row r="1947" spans="54:54" ht="15.75" customHeight="1">
      <c r="BB1947" s="169"/>
    </row>
    <row r="1948" spans="54:54" ht="15.75" customHeight="1">
      <c r="BB1948" s="169"/>
    </row>
    <row r="1949" spans="54:54" ht="15.75" customHeight="1">
      <c r="BB1949" s="169"/>
    </row>
    <row r="1950" spans="54:54" ht="15.75" customHeight="1">
      <c r="BB1950" s="169"/>
    </row>
    <row r="1951" spans="54:54" ht="15.75" customHeight="1">
      <c r="BB1951" s="169"/>
    </row>
    <row r="1952" spans="54:54" ht="15.75" customHeight="1">
      <c r="BB1952" s="169"/>
    </row>
    <row r="1953" spans="54:54" ht="15.75" customHeight="1">
      <c r="BB1953" s="169"/>
    </row>
    <row r="1954" spans="54:54" ht="15.75" customHeight="1">
      <c r="BB1954" s="169"/>
    </row>
    <row r="1955" spans="54:54" ht="15.75" customHeight="1">
      <c r="BB1955" s="169"/>
    </row>
    <row r="1956" spans="54:54" ht="15.75" customHeight="1">
      <c r="BB1956" s="169"/>
    </row>
    <row r="1957" spans="54:54" ht="15.75" customHeight="1">
      <c r="BB1957" s="169"/>
    </row>
    <row r="1958" spans="54:54" ht="15.75" customHeight="1">
      <c r="BB1958" s="169"/>
    </row>
    <row r="1959" spans="54:54" ht="15.75" customHeight="1">
      <c r="BB1959" s="169"/>
    </row>
    <row r="1960" spans="54:54" ht="15.75" customHeight="1">
      <c r="BB1960" s="169"/>
    </row>
    <row r="1961" spans="54:54" ht="15.75" customHeight="1">
      <c r="BB1961" s="169"/>
    </row>
    <row r="1962" spans="54:54" ht="15.75" customHeight="1">
      <c r="BB1962" s="169"/>
    </row>
    <row r="1963" spans="54:54" ht="15.75" customHeight="1">
      <c r="BB1963" s="169"/>
    </row>
    <row r="1964" spans="54:54" ht="15.75" customHeight="1">
      <c r="BB1964" s="169"/>
    </row>
    <row r="1965" spans="54:54" ht="15.75" customHeight="1">
      <c r="BB1965" s="169"/>
    </row>
    <row r="1966" spans="54:54" ht="15.75" customHeight="1">
      <c r="BB1966" s="169"/>
    </row>
    <row r="1967" spans="54:54" ht="15.75" customHeight="1">
      <c r="BB1967" s="169"/>
    </row>
    <row r="1968" spans="54:54" ht="15.75" customHeight="1">
      <c r="BB1968" s="169"/>
    </row>
    <row r="1969" spans="54:54" ht="15.75" customHeight="1">
      <c r="BB1969" s="169"/>
    </row>
    <row r="1970" spans="54:54" ht="15.75" customHeight="1">
      <c r="BB1970" s="169"/>
    </row>
    <row r="1971" spans="54:54" ht="15.75" customHeight="1">
      <c r="BB1971" s="169"/>
    </row>
    <row r="1972" spans="54:54" ht="15.75" customHeight="1">
      <c r="BB1972" s="169"/>
    </row>
    <row r="1973" spans="54:54" ht="15.75" customHeight="1">
      <c r="BB1973" s="169"/>
    </row>
    <row r="1974" spans="54:54" ht="15.75" customHeight="1">
      <c r="BB1974" s="169"/>
    </row>
    <row r="1975" spans="54:54" ht="15.75" customHeight="1">
      <c r="BB1975" s="169"/>
    </row>
    <row r="1976" spans="54:54" ht="15.75" customHeight="1">
      <c r="BB1976" s="169"/>
    </row>
    <row r="1977" spans="54:54" ht="15.75" customHeight="1">
      <c r="BB1977" s="169"/>
    </row>
    <row r="1978" spans="54:54" ht="15.75" customHeight="1">
      <c r="BB1978" s="169"/>
    </row>
    <row r="1979" spans="54:54" ht="15.75" customHeight="1">
      <c r="BB1979" s="169"/>
    </row>
    <row r="1980" spans="54:54" ht="15.75" customHeight="1">
      <c r="BB1980" s="169"/>
    </row>
    <row r="1981" spans="54:54" ht="15.75" customHeight="1">
      <c r="BB1981" s="169"/>
    </row>
    <row r="1982" spans="54:54" ht="15.75" customHeight="1">
      <c r="BB1982" s="169"/>
    </row>
    <row r="1983" spans="54:54" ht="15.75" customHeight="1">
      <c r="BB1983" s="169"/>
    </row>
    <row r="1984" spans="54:54" ht="15.75" customHeight="1">
      <c r="BB1984" s="169"/>
    </row>
    <row r="1985" spans="54:54" ht="15.75" customHeight="1">
      <c r="BB1985" s="169"/>
    </row>
    <row r="1986" spans="54:54" ht="15.75" customHeight="1">
      <c r="BB1986" s="169"/>
    </row>
    <row r="1987" spans="54:54" ht="15.75" customHeight="1">
      <c r="BB1987" s="169"/>
    </row>
    <row r="1988" spans="54:54" ht="15.75" customHeight="1">
      <c r="BB1988" s="169"/>
    </row>
    <row r="1989" spans="54:54" ht="15.75" customHeight="1">
      <c r="BB1989" s="169"/>
    </row>
    <row r="1990" spans="54:54" ht="15.75" customHeight="1">
      <c r="BB1990" s="169"/>
    </row>
    <row r="1991" spans="54:54" ht="15.75" customHeight="1">
      <c r="BB1991" s="169"/>
    </row>
    <row r="1992" spans="54:54" ht="15.75" customHeight="1">
      <c r="BB1992" s="169"/>
    </row>
    <row r="1993" spans="54:54" ht="15.75" customHeight="1">
      <c r="BB1993" s="169"/>
    </row>
    <row r="1994" spans="54:54" ht="15.75" customHeight="1">
      <c r="BB1994" s="169"/>
    </row>
    <row r="1995" spans="54:54" ht="15.75" customHeight="1">
      <c r="BB1995" s="169"/>
    </row>
    <row r="1996" spans="54:54" ht="15.75" customHeight="1">
      <c r="BB1996" s="169"/>
    </row>
    <row r="1997" spans="54:54" ht="15.75" customHeight="1">
      <c r="BB1997" s="169"/>
    </row>
    <row r="1998" spans="54:54" ht="15.75" customHeight="1">
      <c r="BB1998" s="169"/>
    </row>
    <row r="1999" spans="54:54" ht="15.75" customHeight="1">
      <c r="BB1999" s="169"/>
    </row>
    <row r="2000" spans="54:54" ht="15.75" customHeight="1">
      <c r="BB2000" s="169"/>
    </row>
  </sheetData>
  <autoFilter ref="A2:BF94" xr:uid="{00000000-0009-0000-0000-000005000000}">
    <filterColumn colId="12" showButton="0"/>
    <filterColumn colId="13" showButton="0"/>
    <filterColumn colId="18" showButton="0"/>
    <filterColumn colId="19" showButton="0"/>
    <filterColumn colId="21" showButton="0"/>
    <filterColumn colId="22" showButton="0"/>
    <filterColumn colId="24" showButton="0"/>
    <filterColumn colId="25" showButton="0"/>
    <filterColumn colId="27" showButton="0"/>
    <filterColumn colId="28" showButton="0"/>
    <filterColumn colId="38" showButton="0"/>
    <filterColumn colId="39" showButton="0"/>
    <filterColumn colId="41" showButton="0"/>
    <filterColumn colId="42" showButton="0"/>
    <filterColumn colId="44" showButton="0"/>
    <filterColumn colId="45" showButton="0"/>
  </autoFilter>
  <mergeCells count="10">
    <mergeCell ref="BC1:BF1"/>
    <mergeCell ref="AM2:AO2"/>
    <mergeCell ref="AP2:AR2"/>
    <mergeCell ref="AS2:AU2"/>
    <mergeCell ref="A1:BA1"/>
    <mergeCell ref="M2:O2"/>
    <mergeCell ref="S2:U2"/>
    <mergeCell ref="V2:X2"/>
    <mergeCell ref="Y2:AA2"/>
    <mergeCell ref="AB2:AD2"/>
  </mergeCells>
  <conditionalFormatting sqref="BC8:BD8 BC12:BD12 BC16:BF16 BC18:BF18 BC22:BD22 BC24:BD24 BC26:BF26 BC32:BF32 BC40:BF40 BC44:BF44 BC46:BF46 BC48:BF48 BC50:BF50 BC52:BF52 BC54:BF54 BC56:BF56 BC62:BD62 BD60 BC64:BF64 BC66:BF66 BC68:BF68 BC74:BD74 BC76:BD76 BC78:BF78 BC80:BD80 BC84:BD84 BC86:BD86 BC6:BD6 BC5 BC10:BD10 BC9 BC14:BF14 BC13 BC20:BD20 BC19 BC28:BD28 BC27 BC30:BD30 BC29 BC34:BF34 BC33 BC36:BF36 BC35 BC38:BF38 BC37 BC42:BD42 BC41 BC58:BD58 BC57 BC59 BC61 BC70:BF70 BC69 BC72:BF72 BC71 BC82:BD82 BC81 BF10 BF6 BF12 BF8 BF20 BF24 BF22 BF30 BF28 BF42 BF58 BF60 BF62 BF76 BF74 BF82 BF86 BF84 BF80">
    <cfRule type="containsBlanks" dxfId="1370" priority="45">
      <formula>LEN(TRIM(BC5))=0</formula>
    </cfRule>
  </conditionalFormatting>
  <conditionalFormatting sqref="BB5:BB86 BB95:BB2000">
    <cfRule type="containsText" dxfId="1369" priority="43" operator="containsText" text="a">
      <formula>NOT(ISERROR(SEARCH("a",BB5)))</formula>
    </cfRule>
    <cfRule type="containsText" dxfId="1368" priority="44" operator="containsText" text="R">
      <formula>NOT(ISERROR(SEARCH("R",BB5)))</formula>
    </cfRule>
  </conditionalFormatting>
  <conditionalFormatting sqref="AZ5:AZ86">
    <cfRule type="expression" dxfId="1367" priority="42">
      <formula>$BB5="R"</formula>
    </cfRule>
  </conditionalFormatting>
  <conditionalFormatting sqref="BB88:BF94 A4:BA4 A87:BA94">
    <cfRule type="cellIs" dxfId="1366" priority="12" operator="equal">
      <formula>0</formula>
    </cfRule>
  </conditionalFormatting>
  <conditionalFormatting sqref="BB4:BF4 B4:AZ94">
    <cfRule type="expression" dxfId="1365" priority="19">
      <formula>$L4="NON DEFINED"</formula>
    </cfRule>
    <cfRule type="expression" dxfId="1364" priority="20">
      <formula>$AX4="N.D."</formula>
    </cfRule>
  </conditionalFormatting>
  <conditionalFormatting sqref="AZ4">
    <cfRule type="expression" dxfId="1363" priority="18">
      <formula>$BB4="R"</formula>
    </cfRule>
  </conditionalFormatting>
  <conditionalFormatting sqref="BB4:BF4">
    <cfRule type="cellIs" dxfId="1362" priority="17" operator="equal">
      <formula>0</formula>
    </cfRule>
  </conditionalFormatting>
  <conditionalFormatting sqref="BB88:BF94">
    <cfRule type="expression" dxfId="1361" priority="14">
      <formula>$L88="NON DEFINED"</formula>
    </cfRule>
    <cfRule type="expression" dxfId="1360" priority="15">
      <formula>$AX88="N.D."</formula>
    </cfRule>
  </conditionalFormatting>
  <conditionalFormatting sqref="AZ88:AZ94">
    <cfRule type="expression" dxfId="1359" priority="13">
      <formula>$BB88="R"</formula>
    </cfRule>
  </conditionalFormatting>
  <conditionalFormatting sqref="BB87:BF87">
    <cfRule type="cellIs" dxfId="1358" priority="2" operator="equal">
      <formula>0</formula>
    </cfRule>
  </conditionalFormatting>
  <conditionalFormatting sqref="BB87:BF87">
    <cfRule type="expression" dxfId="1357" priority="4">
      <formula>$L87="NON DEFINED"</formula>
    </cfRule>
    <cfRule type="expression" dxfId="1356" priority="5">
      <formula>$AX87="N.D."</formula>
    </cfRule>
  </conditionalFormatting>
  <conditionalFormatting sqref="AZ87">
    <cfRule type="expression" dxfId="1355" priority="3">
      <formula>$BB87="R"</formula>
    </cfRule>
  </conditionalFormatting>
  <conditionalFormatting sqref="AM4:AM94">
    <cfRule type="cellIs" dxfId="1354" priority="1" operator="notEqual">
      <formula>5.5</formula>
    </cfRule>
  </conditionalFormatting>
  <printOptions horizontalCentered="1" gridLines="1"/>
  <pageMargins left="0.39370078740157483" right="0.39370078740157483" top="0.78740157480314965" bottom="0.78740157480314965" header="0.31496062992125984" footer="0.31496062992125984"/>
  <pageSetup paperSize="9" scale="56" fitToHeight="0" orientation="landscape" r:id="rId1"/>
  <headerFooter alignWithMargins="0">
    <oddHeader>&amp;L&amp;G&amp;C
LAYOUT AND EQUIPMENT
EP06 TRACK 1 HER
KP82+550 - 85+000&amp;R&amp;G</oddHeader>
    <oddFooter>&amp;L&amp;G
&amp;F&amp;C&amp;D&amp;RPag &amp;P of &amp;N</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31">
    <tabColor theme="2" tint="-0.499984740745262"/>
    <pageSetUpPr fitToPage="1"/>
  </sheetPr>
  <dimension ref="A1:BG1999"/>
  <sheetViews>
    <sheetView view="pageBreakPreview" zoomScale="80" zoomScaleNormal="85" zoomScaleSheetLayoutView="80" workbookViewId="0">
      <pane xSplit="2" ySplit="3" topLeftCell="C4" activePane="bottomRight" state="frozen"/>
      <selection activeCell="G124" sqref="G124"/>
      <selection pane="topRight" activeCell="G124" sqref="G124"/>
      <selection pane="bottomLeft" activeCell="G124" sqref="G124"/>
      <selection pane="bottomRight" activeCell="G124" sqref="G124"/>
    </sheetView>
  </sheetViews>
  <sheetFormatPr baseColWidth="10" defaultColWidth="11.453125" defaultRowHeight="15.75" customHeight="1"/>
  <cols>
    <col min="1" max="1" width="17.36328125" style="178" bestFit="1" customWidth="1"/>
    <col min="2" max="2" width="12.6328125" style="178" customWidth="1"/>
    <col min="3" max="3" width="12.6328125" style="184" customWidth="1"/>
    <col min="4" max="5" width="12.6328125" style="178" hidden="1" customWidth="1"/>
    <col min="6" max="6" width="12.6328125" style="178" customWidth="1"/>
    <col min="7" max="7" width="12.6328125" style="454" customWidth="1"/>
    <col min="8" max="8" width="18.6328125" style="178" customWidth="1"/>
    <col min="9" max="9" width="12.6328125" style="178" customWidth="1"/>
    <col min="10" max="10" width="12.6328125" style="184" customWidth="1"/>
    <col min="11" max="11" width="12.6328125" style="178" customWidth="1"/>
    <col min="12" max="13" width="14.6328125" style="178" customWidth="1"/>
    <col min="14" max="16" width="8.6328125" style="178" hidden="1" customWidth="1"/>
    <col min="17" max="19" width="12.6328125" style="178" hidden="1" customWidth="1"/>
    <col min="20" max="28" width="8.6328125" style="178" hidden="1" customWidth="1"/>
    <col min="29" max="31" width="10.6328125" style="178" hidden="1" customWidth="1"/>
    <col min="32" max="32" width="13.54296875" style="178" hidden="1" customWidth="1"/>
    <col min="33" max="33" width="12.6328125" style="184" hidden="1" customWidth="1"/>
    <col min="34" max="36" width="12.6328125" style="178" hidden="1" customWidth="1"/>
    <col min="37" max="38" width="12.6328125" style="178" customWidth="1"/>
    <col min="39" max="39" width="12.6328125" style="178" hidden="1" customWidth="1"/>
    <col min="40" max="40" width="8.6328125" style="458" hidden="1" customWidth="1"/>
    <col min="41" max="42" width="8.6328125" style="169" hidden="1" customWidth="1"/>
    <col min="43" max="46" width="8.6328125" style="458" hidden="1" customWidth="1"/>
    <col min="47" max="48" width="8.6328125" style="169" hidden="1" customWidth="1"/>
    <col min="49" max="50" width="12.6328125" style="169" customWidth="1"/>
    <col min="51" max="52" width="12.6328125" style="681" customWidth="1"/>
    <col min="53" max="53" width="12.6328125" style="169" customWidth="1"/>
    <col min="54" max="54" width="21.6328125" style="178" customWidth="1"/>
    <col min="55" max="55" width="18" style="178" customWidth="1"/>
    <col min="56" max="59" width="14.54296875" style="1323" customWidth="1"/>
    <col min="60" max="60" width="11.453125" style="178" customWidth="1"/>
    <col min="61" max="16384" width="11.453125" style="178"/>
  </cols>
  <sheetData>
    <row r="1" spans="1:59" ht="35.25" customHeight="1">
      <c r="A1" s="1605" t="s">
        <v>2419</v>
      </c>
      <c r="B1" s="1605"/>
      <c r="C1" s="1605"/>
      <c r="D1" s="1605"/>
      <c r="E1" s="1605"/>
      <c r="F1" s="1605"/>
      <c r="G1" s="1605"/>
      <c r="H1" s="1605"/>
      <c r="I1" s="1605"/>
      <c r="J1" s="1605"/>
      <c r="K1" s="1605"/>
      <c r="L1" s="1605"/>
      <c r="M1" s="1605"/>
      <c r="N1" s="1605"/>
      <c r="O1" s="1605"/>
      <c r="P1" s="1605"/>
      <c r="Q1" s="1605"/>
      <c r="R1" s="1605"/>
      <c r="S1" s="1605"/>
      <c r="T1" s="1605"/>
      <c r="U1" s="1605"/>
      <c r="V1" s="1605"/>
      <c r="W1" s="1605"/>
      <c r="X1" s="1605"/>
      <c r="Y1" s="1605"/>
      <c r="Z1" s="1605"/>
      <c r="AA1" s="1605"/>
      <c r="AB1" s="1605"/>
      <c r="AC1" s="1605"/>
      <c r="AD1" s="1605"/>
      <c r="AE1" s="1605"/>
      <c r="AF1" s="1605"/>
      <c r="AG1" s="1605"/>
      <c r="AH1" s="1605"/>
      <c r="AI1" s="1605"/>
      <c r="AJ1" s="1605"/>
      <c r="AK1" s="1605"/>
      <c r="AL1" s="1605"/>
      <c r="AM1" s="1605"/>
      <c r="AN1" s="1605"/>
      <c r="AO1" s="1605"/>
      <c r="AP1" s="1605"/>
      <c r="AQ1" s="1605"/>
      <c r="AR1" s="1605"/>
      <c r="AS1" s="1605"/>
      <c r="AT1" s="1605"/>
      <c r="AU1" s="1605"/>
      <c r="AV1" s="1605"/>
      <c r="AW1" s="1605"/>
      <c r="AX1" s="1605"/>
      <c r="AY1" s="1605"/>
      <c r="AZ1" s="1605"/>
      <c r="BA1" s="1605"/>
      <c r="BB1" s="1605"/>
      <c r="BC1" s="693" t="s">
        <v>4947</v>
      </c>
      <c r="BD1" s="1599" t="s">
        <v>4916</v>
      </c>
      <c r="BE1" s="1599"/>
      <c r="BF1" s="1599"/>
      <c r="BG1" s="1599"/>
    </row>
    <row r="2" spans="1:59" s="699" customFormat="1" ht="42" customHeight="1">
      <c r="A2" s="1255" t="s">
        <v>4417</v>
      </c>
      <c r="B2" s="1255" t="s">
        <v>4418</v>
      </c>
      <c r="C2" s="884" t="s">
        <v>2315</v>
      </c>
      <c r="D2" s="1255" t="s">
        <v>4419</v>
      </c>
      <c r="E2" s="1255" t="s">
        <v>4855</v>
      </c>
      <c r="F2" s="1255" t="s">
        <v>4856</v>
      </c>
      <c r="G2" s="1256" t="s">
        <v>4857</v>
      </c>
      <c r="H2" s="1255" t="s">
        <v>455</v>
      </c>
      <c r="I2" s="1255" t="s">
        <v>454</v>
      </c>
      <c r="J2" s="1255" t="s">
        <v>4423</v>
      </c>
      <c r="K2" s="1255" t="s">
        <v>1362</v>
      </c>
      <c r="L2" s="1255" t="s">
        <v>456</v>
      </c>
      <c r="M2" s="1255" t="s">
        <v>453</v>
      </c>
      <c r="N2" s="1603" t="s">
        <v>457</v>
      </c>
      <c r="O2" s="1603"/>
      <c r="P2" s="1603"/>
      <c r="Q2" s="1255" t="s">
        <v>4858</v>
      </c>
      <c r="R2" s="1255" t="s">
        <v>4859</v>
      </c>
      <c r="S2" s="1255" t="s">
        <v>4860</v>
      </c>
      <c r="T2" s="1603" t="s">
        <v>4861</v>
      </c>
      <c r="U2" s="1603"/>
      <c r="V2" s="1603"/>
      <c r="W2" s="1603" t="s">
        <v>4862</v>
      </c>
      <c r="X2" s="1603"/>
      <c r="Y2" s="1603"/>
      <c r="Z2" s="1603" t="s">
        <v>4863</v>
      </c>
      <c r="AA2" s="1603"/>
      <c r="AB2" s="1603"/>
      <c r="AC2" s="1603" t="s">
        <v>628</v>
      </c>
      <c r="AD2" s="1603"/>
      <c r="AE2" s="1603"/>
      <c r="AF2" s="1255" t="s">
        <v>4872</v>
      </c>
      <c r="AG2" s="884" t="s">
        <v>4864</v>
      </c>
      <c r="AH2" s="1255" t="s">
        <v>4865</v>
      </c>
      <c r="AI2" s="1255" t="s">
        <v>4866</v>
      </c>
      <c r="AJ2" s="1255" t="s">
        <v>629</v>
      </c>
      <c r="AK2" s="1255" t="s">
        <v>458</v>
      </c>
      <c r="AL2" s="1255" t="s">
        <v>459</v>
      </c>
      <c r="AM2" s="1255" t="s">
        <v>631</v>
      </c>
      <c r="AN2" s="1603" t="s">
        <v>4867</v>
      </c>
      <c r="AO2" s="1603"/>
      <c r="AP2" s="1603"/>
      <c r="AQ2" s="1604" t="s">
        <v>460</v>
      </c>
      <c r="AR2" s="1604"/>
      <c r="AS2" s="1604"/>
      <c r="AT2" s="1603" t="s">
        <v>630</v>
      </c>
      <c r="AU2" s="1603"/>
      <c r="AV2" s="1603"/>
      <c r="AW2" s="1255" t="s">
        <v>4868</v>
      </c>
      <c r="AX2" s="1255" t="s">
        <v>4904</v>
      </c>
      <c r="AY2" s="1000" t="s">
        <v>4869</v>
      </c>
      <c r="AZ2" s="1000" t="s">
        <v>4870</v>
      </c>
      <c r="BA2" s="1255" t="s">
        <v>1670</v>
      </c>
      <c r="BB2" s="1255" t="s">
        <v>4871</v>
      </c>
      <c r="BC2" s="693" t="s">
        <v>4948</v>
      </c>
      <c r="BD2" s="1320" t="s">
        <v>453</v>
      </c>
      <c r="BE2" s="1320" t="s">
        <v>4922</v>
      </c>
      <c r="BF2" s="1320" t="s">
        <v>4915</v>
      </c>
      <c r="BG2" s="1320" t="s">
        <v>457</v>
      </c>
    </row>
    <row r="3" spans="1:59" ht="15.75" customHeight="1">
      <c r="A3" s="1239"/>
      <c r="B3" s="1239"/>
      <c r="C3" s="171"/>
      <c r="D3" s="1239"/>
      <c r="E3" s="1239"/>
      <c r="F3" s="172"/>
      <c r="G3" s="455"/>
      <c r="H3" s="1239"/>
      <c r="I3" s="1239"/>
      <c r="J3" s="171"/>
      <c r="K3" s="1239"/>
      <c r="L3" s="1239"/>
      <c r="M3" s="1239"/>
      <c r="N3" s="676" t="s">
        <v>123</v>
      </c>
      <c r="O3" s="676" t="s">
        <v>124</v>
      </c>
      <c r="P3" s="676" t="s">
        <v>125</v>
      </c>
      <c r="Q3" s="1239"/>
      <c r="R3" s="1239"/>
      <c r="S3" s="1239"/>
      <c r="T3" s="676" t="s">
        <v>126</v>
      </c>
      <c r="U3" s="676" t="s">
        <v>127</v>
      </c>
      <c r="V3" s="676" t="s">
        <v>128</v>
      </c>
      <c r="W3" s="676" t="s">
        <v>129</v>
      </c>
      <c r="X3" s="676" t="s">
        <v>130</v>
      </c>
      <c r="Y3" s="676" t="s">
        <v>131</v>
      </c>
      <c r="Z3" s="676" t="s">
        <v>132</v>
      </c>
      <c r="AA3" s="676" t="s">
        <v>133</v>
      </c>
      <c r="AB3" s="676" t="s">
        <v>134</v>
      </c>
      <c r="AC3" s="676" t="s">
        <v>135</v>
      </c>
      <c r="AD3" s="676" t="s">
        <v>136</v>
      </c>
      <c r="AE3" s="676" t="s">
        <v>137</v>
      </c>
      <c r="AF3" s="1239"/>
      <c r="AG3" s="171"/>
      <c r="AH3" s="1239"/>
      <c r="AI3" s="1239"/>
      <c r="AJ3" s="1239"/>
      <c r="AK3" s="1239"/>
      <c r="AL3" s="1239"/>
      <c r="AM3" s="1239"/>
      <c r="AN3" s="697" t="s">
        <v>129</v>
      </c>
      <c r="AO3" s="676" t="s">
        <v>130</v>
      </c>
      <c r="AP3" s="676" t="s">
        <v>131</v>
      </c>
      <c r="AQ3" s="697" t="s">
        <v>613</v>
      </c>
      <c r="AR3" s="697" t="s">
        <v>614</v>
      </c>
      <c r="AS3" s="697" t="s">
        <v>615</v>
      </c>
      <c r="AT3" s="697" t="s">
        <v>616</v>
      </c>
      <c r="AU3" s="676" t="s">
        <v>617</v>
      </c>
      <c r="AV3" s="676" t="s">
        <v>618</v>
      </c>
      <c r="AW3" s="1239"/>
      <c r="AX3" s="1239"/>
      <c r="AY3" s="680"/>
      <c r="AZ3" s="680"/>
      <c r="BA3" s="1239"/>
      <c r="BB3" s="1239"/>
      <c r="BD3" s="1239"/>
      <c r="BE3" s="1239"/>
      <c r="BF3" s="1239"/>
      <c r="BG3" s="1239"/>
    </row>
    <row r="4" spans="1:59" ht="15.75" customHeight="1">
      <c r="A4" s="501"/>
      <c r="B4" s="716" t="str">
        <f>'HR Track 2 RAAN-HER'!B87</f>
        <v>82-2.17</v>
      </c>
      <c r="C4" s="451">
        <f>'HR Track 2 RAAN-HER'!C87</f>
        <v>82983.81</v>
      </c>
      <c r="D4" s="453">
        <f>'HR Track 2 RAAN-HER'!D87</f>
        <v>0</v>
      </c>
      <c r="E4" s="452">
        <f>'HR Track 2 RAAN-HER'!E87</f>
        <v>0</v>
      </c>
      <c r="F4" s="453">
        <f>'HR Track 2 RAAN-HER'!F87</f>
        <v>0</v>
      </c>
      <c r="G4" s="500"/>
      <c r="H4" s="453"/>
      <c r="I4" s="501" t="str">
        <f>'HR Track 2 RAAN-HER'!I87</f>
        <v>AnRW</v>
      </c>
      <c r="J4" s="583"/>
      <c r="K4" s="452"/>
      <c r="L4" s="452" t="str">
        <f>'HR Track 2 RAAN-HER'!L87</f>
        <v>HEB-240</v>
      </c>
      <c r="M4" s="452" t="str">
        <f>'HR Track 2 RAAN-HER'!M87</f>
        <v>C3R_L</v>
      </c>
      <c r="N4" s="501" t="str">
        <f>'HR Track 2 RAAN-HER'!N87</f>
        <v>EMT-1</v>
      </c>
      <c r="O4" s="501">
        <f>'HR Track 2 RAAN-HER'!O87</f>
        <v>0</v>
      </c>
      <c r="P4" s="501">
        <f>'HR Track 2 RAAN-HER'!P87</f>
        <v>0</v>
      </c>
      <c r="Q4" s="452">
        <f>'HR Track 2 RAAN-HER'!Q87</f>
        <v>0</v>
      </c>
      <c r="R4" s="452">
        <f>'HR Track 2 RAAN-HER'!R87</f>
        <v>0</v>
      </c>
      <c r="S4" s="500">
        <f>'HR Track 2 RAAN-HER'!S87</f>
        <v>0</v>
      </c>
      <c r="T4" s="452">
        <f>'HR Track 2 RAAN-HER'!T87</f>
        <v>-35</v>
      </c>
      <c r="U4" s="452">
        <f>'HR Track 2 RAAN-HER'!U87</f>
        <v>0</v>
      </c>
      <c r="V4" s="452">
        <f>'HR Track 2 RAAN-HER'!V87</f>
        <v>0</v>
      </c>
      <c r="W4" s="452">
        <f>'HR Track 2 RAAN-HER'!W87</f>
        <v>1.4</v>
      </c>
      <c r="X4" s="452">
        <f>'HR Track 2 RAAN-HER'!X87</f>
        <v>0</v>
      </c>
      <c r="Y4" s="452">
        <f>'HR Track 2 RAAN-HER'!Y87</f>
        <v>0</v>
      </c>
      <c r="Z4" s="452">
        <f>'HR Track 2 RAAN-HER'!Z87</f>
        <v>0</v>
      </c>
      <c r="AA4" s="452">
        <f>'HR Track 2 RAAN-HER'!AA87</f>
        <v>0</v>
      </c>
      <c r="AB4" s="452">
        <f>'HR Track 2 RAAN-HER'!AB87</f>
        <v>0</v>
      </c>
      <c r="AC4" s="452" t="str">
        <f>'HR Track 2 RAAN-HER'!AC87</f>
        <v>PH</v>
      </c>
      <c r="AD4" s="452">
        <f>'HR Track 2 RAAN-HER'!AD87</f>
        <v>0</v>
      </c>
      <c r="AE4" s="452">
        <f>'HR Track 2 RAAN-HER'!AE87</f>
        <v>0</v>
      </c>
      <c r="AF4" s="452">
        <f>'HR Track 2 RAAN-HER'!AF87</f>
        <v>0</v>
      </c>
      <c r="AG4" s="451">
        <f>'HR Track 2 RAAN-HER'!AG87</f>
        <v>0</v>
      </c>
      <c r="AH4" s="452">
        <f>'HR Track 2 RAAN-HER'!AH87</f>
        <v>0</v>
      </c>
      <c r="AI4" s="452">
        <f>'HR Track 2 RAAN-HER'!AI87</f>
        <v>0</v>
      </c>
      <c r="AJ4" s="452"/>
      <c r="AK4" s="452"/>
      <c r="AL4" s="452"/>
      <c r="AM4" s="452" t="str">
        <f>'HR Track 2 RAAN-HER'!AM87</f>
        <v>RW1</v>
      </c>
      <c r="AN4" s="500">
        <f>'HR Track 2 RAAN-HER'!AN87</f>
        <v>5.15</v>
      </c>
      <c r="AO4" s="452">
        <f>'HR Track 2 RAAN-HER'!AO87</f>
        <v>0</v>
      </c>
      <c r="AP4" s="452">
        <f>'HR Track 2 RAAN-HER'!AP87</f>
        <v>0</v>
      </c>
      <c r="AQ4" s="452"/>
      <c r="AR4" s="452">
        <f>'HR Track 2 RAAN-HER'!AR87</f>
        <v>0</v>
      </c>
      <c r="AS4" s="452">
        <f>'HR Track 2 RAAN-HER'!AS87</f>
        <v>0</v>
      </c>
      <c r="AT4" s="452">
        <f>'HR Track 2 RAAN-HER'!AT87</f>
        <v>-10.940058541797884</v>
      </c>
      <c r="AU4" s="452">
        <f>'HR Track 2 RAAN-HER'!AU87</f>
        <v>0</v>
      </c>
      <c r="AV4" s="452">
        <f>'HR Track 2 RAAN-HER'!AV87</f>
        <v>0</v>
      </c>
      <c r="AW4" s="452" t="str">
        <f>'HR Track 2 RAAN-HER'!AW87</f>
        <v>Soil A</v>
      </c>
      <c r="AX4" s="452" t="str">
        <f>'HR Track 2 RAAN-HER'!AX87</f>
        <v>PT</v>
      </c>
      <c r="AY4" s="500">
        <f>'HR Track 2 RAAN-HER'!AY87</f>
        <v>3.5</v>
      </c>
      <c r="AZ4" s="500"/>
      <c r="BA4" s="1333" t="str">
        <f>'HR Track 2 RAAN-HER'!BA87</f>
        <v>ü</v>
      </c>
      <c r="BB4" s="452" t="str">
        <f>'HR Track 2 RAAN-HER'!BB87</f>
        <v>App.7-V11A-P9.5.1.1</v>
      </c>
      <c r="BC4" s="1334">
        <f>'HR Track 2 RAAN-HER'!BC87</f>
        <v>0</v>
      </c>
      <c r="BD4" s="1335">
        <f>'HR Track 2 RAAN-HER'!BD87</f>
        <v>0</v>
      </c>
      <c r="BE4" s="1335">
        <f>'HR Track 2 RAAN-HER'!BE87</f>
        <v>0</v>
      </c>
      <c r="BF4" s="1335">
        <f>'HR Track 2 RAAN-HER'!BF87</f>
        <v>0</v>
      </c>
      <c r="BG4" s="1335">
        <f>'HR Track 2 RAAN-HER'!BG87</f>
        <v>0</v>
      </c>
    </row>
    <row r="5" spans="1:59" ht="15.75" customHeight="1">
      <c r="A5" s="1239"/>
      <c r="B5" s="173"/>
      <c r="C5" s="446"/>
      <c r="D5" s="447"/>
      <c r="E5" s="447"/>
      <c r="F5" s="1239"/>
      <c r="G5" s="484">
        <v>40.4</v>
      </c>
      <c r="H5" s="1239"/>
      <c r="I5" s="1239"/>
      <c r="J5" s="446">
        <f>C6-7.5</f>
        <v>83016.709999999992</v>
      </c>
      <c r="K5" s="638" t="s">
        <v>2787</v>
      </c>
      <c r="L5" s="638"/>
      <c r="M5" s="638"/>
      <c r="N5" s="1239"/>
      <c r="O5" s="1239"/>
      <c r="P5" s="638"/>
      <c r="Q5" s="638"/>
      <c r="R5" s="638"/>
      <c r="S5" s="484"/>
      <c r="T5" s="638"/>
      <c r="U5" s="638"/>
      <c r="V5" s="638"/>
      <c r="W5" s="638"/>
      <c r="X5" s="638"/>
      <c r="Y5" s="638"/>
      <c r="Z5" s="638"/>
      <c r="AA5" s="638"/>
      <c r="AB5" s="638"/>
      <c r="AC5" s="638"/>
      <c r="AD5" s="638"/>
      <c r="AE5" s="638"/>
      <c r="AF5" s="638"/>
      <c r="AG5" s="446"/>
      <c r="AH5" s="638"/>
      <c r="AI5" s="185"/>
      <c r="AJ5" s="638"/>
      <c r="AK5" s="1239"/>
      <c r="AL5" s="638"/>
      <c r="AM5" s="638"/>
      <c r="AN5" s="455"/>
      <c r="AO5" s="1239"/>
      <c r="AP5" s="1239"/>
      <c r="AQ5" s="484">
        <f>+FL_2($T$6,$T$4,$G$5,1200,9.28,-1*$F$6)</f>
        <v>-0.35000000000000087</v>
      </c>
      <c r="AR5" s="484"/>
      <c r="AS5" s="484"/>
      <c r="AT5" s="484"/>
      <c r="AU5" s="638"/>
      <c r="AV5" s="638"/>
      <c r="AW5" s="638" t="str">
        <f>VLOOKUP(J5,'Foundation Calculation'!$A$2:$C$33,3,1)</f>
        <v>Soil A</v>
      </c>
      <c r="AX5" s="638" t="str">
        <f>VLOOKUP(J5,'Foundation Calculation'!$E$2:$G$33,3,1)</f>
        <v>PT</v>
      </c>
      <c r="AY5" s="484"/>
      <c r="AZ5" s="484">
        <f>IF(AX5="PT",VLOOKUP(K5,'Foundation Calculation'!$K$2:$R$40,VLOOKUP(AW5,'Foundation Calculation'!$I$2:$J$8,2,FALSE),0),IF(AX5="K",VLOOKUP(K5,'Foundation Calculation'!$K$42:$R$80,VLOOKUP(AW5,'Foundation Calculation'!$I$2:$J$8,2,FALSE),0),""))</f>
        <v>3.3</v>
      </c>
      <c r="BA5" s="671" t="s">
        <v>2809</v>
      </c>
      <c r="BB5" s="1239"/>
      <c r="BC5" s="169"/>
      <c r="BD5" s="1329"/>
      <c r="BE5" s="1330"/>
      <c r="BF5" s="1330"/>
      <c r="BG5" s="1330"/>
    </row>
    <row r="6" spans="1:59" s="1436" customFormat="1" ht="15.75" customHeight="1">
      <c r="A6" s="1430"/>
      <c r="B6" s="1476" t="s">
        <v>3723</v>
      </c>
      <c r="C6" s="1427">
        <f>+$C$4+$G$5</f>
        <v>83024.209999999992</v>
      </c>
      <c r="D6" s="1449"/>
      <c r="E6" s="1449"/>
      <c r="F6" s="1430">
        <v>0</v>
      </c>
      <c r="G6" s="1429"/>
      <c r="H6" s="1430" t="s">
        <v>138</v>
      </c>
      <c r="I6" s="1497" t="s">
        <v>623</v>
      </c>
      <c r="J6" s="1427"/>
      <c r="K6" s="1431"/>
      <c r="L6" s="1431" t="s">
        <v>898</v>
      </c>
      <c r="M6" s="1431" t="str">
        <f>IF(AX6="PT",VLOOKUP(L6,'Foundation Calculation'!$V$2:$X$40,VLOOKUP(AX6,'Foundation Calculation'!$I$10:$J$13,2,FALSE),0),IF(AX6="K",VLOOKUP(L6,'Foundation Calculation'!$V$42:$X$80,VLOOKUP(AX6,'Foundation Calculation'!$I$10:$J$13,2,FALSE),0),""))</f>
        <v>C4R</v>
      </c>
      <c r="N6" s="1430" t="s">
        <v>144</v>
      </c>
      <c r="O6" s="1430"/>
      <c r="P6" s="1431"/>
      <c r="Q6" s="1431">
        <v>0</v>
      </c>
      <c r="R6" s="1431">
        <v>0</v>
      </c>
      <c r="S6" s="1429"/>
      <c r="T6" s="1431">
        <v>35</v>
      </c>
      <c r="U6" s="1431"/>
      <c r="V6" s="1431"/>
      <c r="W6" s="1431">
        <v>1.2</v>
      </c>
      <c r="X6" s="1431"/>
      <c r="Y6" s="1431"/>
      <c r="Z6" s="1431"/>
      <c r="AA6" s="1431"/>
      <c r="AB6" s="1431"/>
      <c r="AC6" s="1431" t="str">
        <f t="shared" ref="AC6:AC16" si="0">IF(OR(AT6&gt;8,AT6&lt;-8),"PH",IF(OR(AT6&gt;5,AT6&lt;-5),"PH-Q",IF(OR(AT6&gt;1,AT6&lt;-1),"PH-C")))</f>
        <v>PH-Q</v>
      </c>
      <c r="AD6" s="1431"/>
      <c r="AE6" s="1431"/>
      <c r="AF6" s="1431">
        <v>5800</v>
      </c>
      <c r="AG6" s="1427"/>
      <c r="AH6" s="1431">
        <v>2283</v>
      </c>
      <c r="AI6" s="1477">
        <v>300</v>
      </c>
      <c r="AJ6" s="1431"/>
      <c r="AK6" s="1430"/>
      <c r="AL6" s="1431"/>
      <c r="AM6" s="1426" t="s">
        <v>1042</v>
      </c>
      <c r="AN6" s="1432">
        <v>5.15</v>
      </c>
      <c r="AO6" s="1430"/>
      <c r="AP6" s="1430"/>
      <c r="AQ6" s="1429"/>
      <c r="AR6" s="1429"/>
      <c r="AS6" s="1429"/>
      <c r="AT6" s="1429">
        <f>+ab($T$6,$T$4,$U$8,$G$5,$G$7,-1*$F$6,1200)</f>
        <v>5.6408514803913707</v>
      </c>
      <c r="AU6" s="1478"/>
      <c r="AV6" s="1478"/>
      <c r="AW6" s="1431" t="str">
        <f>VLOOKUP(C6,'Foundation Calculation'!$A$2:$C$33,3,1)</f>
        <v>Soil A</v>
      </c>
      <c r="AX6" s="1431" t="str">
        <f>VLOOKUP(C6,'Foundation Calculation'!$E$2:$G$33,3,1)</f>
        <v>PT</v>
      </c>
      <c r="AY6" s="1429">
        <f>IF(AX6="PT",VLOOKUP(L6,'Foundation Calculation'!$K$2:$R$40,VLOOKUP(AW6,'Foundation Calculation'!$I$2:$J$8,2,FALSE),0),IF(AX6="K",VLOOKUP(L6,'Foundation Calculation'!$K$42:$R$80,VLOOKUP(AW6,'Foundation Calculation'!$I$2:$J$8,2,FALSE),0),""))</f>
        <v>3.5</v>
      </c>
      <c r="AZ6" s="1429"/>
      <c r="BA6" s="1526" t="s">
        <v>2809</v>
      </c>
      <c r="BB6" s="1430" t="str">
        <f>Pole_Calculations!A20</f>
        <v>App.7-V11A-P9.5.1.6</v>
      </c>
      <c r="BC6" s="1434"/>
      <c r="BD6" s="1435"/>
      <c r="BE6" s="1435"/>
      <c r="BF6" s="1435"/>
      <c r="BG6" s="1435"/>
    </row>
    <row r="7" spans="1:59" ht="15.75" customHeight="1">
      <c r="A7" s="449"/>
      <c r="B7" s="173"/>
      <c r="C7" s="446"/>
      <c r="D7" s="447"/>
      <c r="E7" s="447"/>
      <c r="F7" s="1239"/>
      <c r="G7" s="484">
        <v>39.200000000000003</v>
      </c>
      <c r="H7" s="1239"/>
      <c r="I7" s="448">
        <f>C30-C6</f>
        <v>552.29999999998836</v>
      </c>
      <c r="J7" s="446"/>
      <c r="K7" s="638"/>
      <c r="L7" s="638"/>
      <c r="M7" s="638"/>
      <c r="N7" s="1239"/>
      <c r="O7" s="1239"/>
      <c r="P7" s="638"/>
      <c r="Q7" s="638"/>
      <c r="R7" s="638"/>
      <c r="S7" s="484"/>
      <c r="T7" s="638"/>
      <c r="U7" s="638"/>
      <c r="V7" s="638"/>
      <c r="W7" s="638"/>
      <c r="X7" s="638"/>
      <c r="Y7" s="638"/>
      <c r="Z7" s="638"/>
      <c r="AA7" s="638"/>
      <c r="AB7" s="638"/>
      <c r="AC7" s="638"/>
      <c r="AD7" s="638"/>
      <c r="AE7" s="638"/>
      <c r="AF7" s="638"/>
      <c r="AG7" s="446"/>
      <c r="AH7" s="638"/>
      <c r="AI7" s="185"/>
      <c r="AJ7" s="638"/>
      <c r="AK7" s="1239"/>
      <c r="AL7" s="638"/>
      <c r="AM7" s="638"/>
      <c r="AN7" s="455"/>
      <c r="AO7" s="1239"/>
      <c r="AP7" s="1239"/>
      <c r="AQ7" s="484">
        <f>+FL_1($U$8,$T$6,$G$7,1200,9.28,-1*$F$8)</f>
        <v>0.35000000000000109</v>
      </c>
      <c r="AR7" s="484"/>
      <c r="AS7" s="484"/>
      <c r="AT7" s="484"/>
      <c r="AU7" s="638"/>
      <c r="AV7" s="638"/>
      <c r="AW7" s="638"/>
      <c r="AX7" s="638"/>
      <c r="AY7" s="484"/>
      <c r="AZ7" s="484"/>
      <c r="BA7" s="671"/>
      <c r="BB7" s="449"/>
      <c r="BC7" s="169"/>
      <c r="BD7" s="1330"/>
      <c r="BE7" s="1330"/>
      <c r="BF7" s="1330"/>
      <c r="BG7" s="1330"/>
    </row>
    <row r="8" spans="1:59" s="1436" customFormat="1" ht="15.75" customHeight="1">
      <c r="A8" s="1425" t="s">
        <v>3765</v>
      </c>
      <c r="B8" s="1476" t="s">
        <v>3724</v>
      </c>
      <c r="C8" s="1427">
        <f>+$C$6+$G$7</f>
        <v>83063.409999999989</v>
      </c>
      <c r="D8" s="1449"/>
      <c r="E8" s="1449"/>
      <c r="F8" s="1430">
        <v>0</v>
      </c>
      <c r="G8" s="1429"/>
      <c r="H8" s="1430" t="s">
        <v>619</v>
      </c>
      <c r="I8" s="1430" t="s">
        <v>1429</v>
      </c>
      <c r="J8" s="1427"/>
      <c r="K8" s="1431"/>
      <c r="L8" s="1431" t="s">
        <v>1697</v>
      </c>
      <c r="M8" s="1431" t="str">
        <f>IF(AX8="PT",VLOOKUP(L8,'Foundation Calculation'!$V$2:$X$40,VLOOKUP(AX8,'Foundation Calculation'!$I$10:$J$13,2,FALSE),0),IF(AX8="K",VLOOKUP(L8,'Foundation Calculation'!$V$42:$X$80,VLOOKUP(AX8,'Foundation Calculation'!$I$10:$J$13,2,FALSE),0),""))</f>
        <v>2C3R</v>
      </c>
      <c r="N8" s="1430" t="s">
        <v>140</v>
      </c>
      <c r="O8" s="1430" t="s">
        <v>143</v>
      </c>
      <c r="P8" s="1431"/>
      <c r="Q8" s="1431">
        <v>0</v>
      </c>
      <c r="R8" s="1431">
        <v>0</v>
      </c>
      <c r="S8" s="1429"/>
      <c r="T8" s="1431">
        <v>15</v>
      </c>
      <c r="U8" s="1431">
        <v>-30</v>
      </c>
      <c r="V8" s="1431"/>
      <c r="W8" s="1431">
        <v>0.9</v>
      </c>
      <c r="X8" s="1431">
        <v>1</v>
      </c>
      <c r="Y8" s="1431"/>
      <c r="Z8" s="1431">
        <v>0.4</v>
      </c>
      <c r="AA8" s="1431"/>
      <c r="AB8" s="1431"/>
      <c r="AC8" s="1431"/>
      <c r="AD8" s="1431"/>
      <c r="AE8" s="1431"/>
      <c r="AF8" s="1431">
        <v>5800</v>
      </c>
      <c r="AG8" s="1427"/>
      <c r="AH8" s="1431">
        <v>2313</v>
      </c>
      <c r="AI8" s="1477">
        <v>370</v>
      </c>
      <c r="AJ8" s="1426" t="s">
        <v>877</v>
      </c>
      <c r="AK8" s="1430"/>
      <c r="AL8" s="1431"/>
      <c r="AM8" s="1426" t="s">
        <v>1042</v>
      </c>
      <c r="AN8" s="1432">
        <v>5.15</v>
      </c>
      <c r="AO8" s="1430"/>
      <c r="AP8" s="1430"/>
      <c r="AQ8" s="1429"/>
      <c r="AR8" s="1429"/>
      <c r="AS8" s="1429"/>
      <c r="AT8" s="1429">
        <f>+ab($U$8,$T$6,$U$10,$G$7,$G$9,-1*$F$8,1200)</f>
        <v>-9.7621595768044145</v>
      </c>
      <c r="AU8" s="1478"/>
      <c r="AV8" s="1478"/>
      <c r="AW8" s="1431" t="str">
        <f>VLOOKUP(C8,'Foundation Calculation'!$A$2:$C$33,3,1)</f>
        <v>Soil A</v>
      </c>
      <c r="AX8" s="1431" t="str">
        <f>VLOOKUP(C8,'Foundation Calculation'!$E$2:$G$33,3,1)</f>
        <v>PT</v>
      </c>
      <c r="AY8" s="1429">
        <f>IF(AX8="PT",VLOOKUP(L8,'Foundation Calculation'!$K$2:$R$40,VLOOKUP(AW8,'Foundation Calculation'!$I$2:$J$8,2,FALSE),0),IF(AX8="K",VLOOKUP(L8,'Foundation Calculation'!$K$42:$R$80,VLOOKUP(AW8,'Foundation Calculation'!$I$2:$J$8,2,FALSE),0),""))</f>
        <v>3.7</v>
      </c>
      <c r="AZ8" s="1429"/>
      <c r="BA8" s="1526" t="s">
        <v>2809</v>
      </c>
      <c r="BB8" s="1425" t="str">
        <f>Pole_Calculations!A19</f>
        <v>App.7-V11A-P9.5.1.5</v>
      </c>
      <c r="BC8" s="1434"/>
      <c r="BD8" s="1435"/>
      <c r="BE8" s="1435"/>
      <c r="BF8" s="1435"/>
      <c r="BG8" s="1435"/>
    </row>
    <row r="9" spans="1:59" ht="15.75" customHeight="1">
      <c r="A9" s="495" t="s">
        <v>3718</v>
      </c>
      <c r="B9" s="639"/>
      <c r="C9" s="489"/>
      <c r="D9" s="491"/>
      <c r="E9" s="491"/>
      <c r="F9" s="495"/>
      <c r="G9" s="493">
        <v>52</v>
      </c>
      <c r="H9" s="495"/>
      <c r="I9" s="457"/>
      <c r="J9" s="489"/>
      <c r="K9" s="490"/>
      <c r="L9" s="490"/>
      <c r="M9" s="490"/>
      <c r="N9" s="495"/>
      <c r="O9" s="495"/>
      <c r="P9" s="490"/>
      <c r="Q9" s="490"/>
      <c r="R9" s="490"/>
      <c r="S9" s="493"/>
      <c r="T9" s="490"/>
      <c r="U9" s="490"/>
      <c r="V9" s="490"/>
      <c r="W9" s="490"/>
      <c r="X9" s="490"/>
      <c r="Y9" s="490"/>
      <c r="Z9" s="490"/>
      <c r="AA9" s="490"/>
      <c r="AB9" s="490"/>
      <c r="AC9" s="490"/>
      <c r="AD9" s="490"/>
      <c r="AE9" s="490"/>
      <c r="AF9" s="490"/>
      <c r="AG9" s="489"/>
      <c r="AH9" s="490"/>
      <c r="AI9" s="640"/>
      <c r="AJ9" s="490"/>
      <c r="AK9" s="495"/>
      <c r="AL9" s="490"/>
      <c r="AM9" s="490"/>
      <c r="AN9" s="457"/>
      <c r="AO9" s="495"/>
      <c r="AP9" s="495"/>
      <c r="AQ9" s="493">
        <f>+FL_1($U$10,$U$8,$G$9,1200,9.28,-1*$F$10)</f>
        <v>0.12132910815601848</v>
      </c>
      <c r="AR9" s="493"/>
      <c r="AS9" s="493"/>
      <c r="AT9" s="493"/>
      <c r="AU9" s="490"/>
      <c r="AV9" s="490"/>
      <c r="AW9" s="493"/>
      <c r="AX9" s="493"/>
      <c r="AY9" s="493"/>
      <c r="AZ9" s="493"/>
      <c r="BA9" s="602"/>
      <c r="BB9" s="495"/>
      <c r="BC9" s="169"/>
      <c r="BD9" s="1330"/>
      <c r="BE9" s="1330"/>
      <c r="BF9" s="1330"/>
      <c r="BG9" s="1330"/>
    </row>
    <row r="10" spans="1:59" s="1436" customFormat="1" ht="15.75" customHeight="1">
      <c r="A10" s="1425"/>
      <c r="B10" s="1475" t="s">
        <v>3725</v>
      </c>
      <c r="C10" s="1427">
        <f>+$C$8+$G$9</f>
        <v>83115.409999999989</v>
      </c>
      <c r="D10" s="1426"/>
      <c r="E10" s="1426"/>
      <c r="F10" s="1428">
        <f>-(346^2)/(83086.78-C10)</f>
        <v>4181.487949704554</v>
      </c>
      <c r="G10" s="1429"/>
      <c r="H10" s="1426" t="s">
        <v>619</v>
      </c>
      <c r="I10" s="1430"/>
      <c r="J10" s="1427"/>
      <c r="K10" s="1431"/>
      <c r="L10" s="1431" t="s">
        <v>895</v>
      </c>
      <c r="M10" s="1431" t="str">
        <f>IF(AX10="PT",VLOOKUP(L10,'Foundation Calculation'!$V$2:$X$40,VLOOKUP(AX10,'Foundation Calculation'!$I$10:$J$13,2,FALSE),0),IF(AX10="K",VLOOKUP(L10,'Foundation Calculation'!$V$42:$X$80,VLOOKUP(AX10,'Foundation Calculation'!$I$10:$J$13,2,FALSE),0),""))</f>
        <v>2C3R</v>
      </c>
      <c r="N10" s="1430" t="s">
        <v>144</v>
      </c>
      <c r="O10" s="1430" t="s">
        <v>140</v>
      </c>
      <c r="P10" s="1426"/>
      <c r="Q10" s="1431">
        <v>0</v>
      </c>
      <c r="R10" s="1431">
        <v>0</v>
      </c>
      <c r="S10" s="1429"/>
      <c r="T10" s="1431">
        <v>30</v>
      </c>
      <c r="U10" s="1431">
        <v>-15</v>
      </c>
      <c r="V10" s="1431"/>
      <c r="W10" s="1431">
        <v>0.9</v>
      </c>
      <c r="X10" s="1431">
        <v>1</v>
      </c>
      <c r="Y10" s="1431"/>
      <c r="Z10" s="1431"/>
      <c r="AA10" s="1431">
        <v>0.4</v>
      </c>
      <c r="AB10" s="1431"/>
      <c r="AC10" s="1431" t="str">
        <f t="shared" si="0"/>
        <v>PH</v>
      </c>
      <c r="AD10" s="1431"/>
      <c r="AE10" s="1431"/>
      <c r="AF10" s="1431">
        <v>5800</v>
      </c>
      <c r="AG10" s="1427"/>
      <c r="AH10" s="1431">
        <v>2833</v>
      </c>
      <c r="AI10" s="1477">
        <v>430</v>
      </c>
      <c r="AJ10" s="1426"/>
      <c r="AK10" s="1426"/>
      <c r="AL10" s="1426"/>
      <c r="AM10" s="1426" t="s">
        <v>1042</v>
      </c>
      <c r="AN10" s="1432">
        <v>5.15</v>
      </c>
      <c r="AO10" s="1430"/>
      <c r="AP10" s="1430"/>
      <c r="AQ10" s="1429"/>
      <c r="AR10" s="1429"/>
      <c r="AS10" s="1429"/>
      <c r="AT10" s="1429">
        <f>+ab($T$10,$T$8,$T$12,$G$9,$G$11,-1*$F$10,1200)</f>
        <v>46.937284280002643</v>
      </c>
      <c r="AU10" s="1478"/>
      <c r="AV10" s="1478"/>
      <c r="AW10" s="1431" t="str">
        <f>VLOOKUP(C10,'Foundation Calculation'!$A$2:$C$33,3,1)</f>
        <v>Soil A</v>
      </c>
      <c r="AX10" s="1431" t="str">
        <f>VLOOKUP(C10,'Foundation Calculation'!$E$2:$G$33,3,1)</f>
        <v>PT</v>
      </c>
      <c r="AY10" s="1429">
        <f>IF(AX10="PT",VLOOKUP(L10,'Foundation Calculation'!$K$2:$R$40,VLOOKUP(AW10,'Foundation Calculation'!$I$2:$J$8,2,FALSE),0),IF(AX10="K",VLOOKUP(L10,'Foundation Calculation'!$K$42:$R$80,VLOOKUP(AW10,'Foundation Calculation'!$I$2:$J$8,2,FALSE),0),""))</f>
        <v>3.7</v>
      </c>
      <c r="AZ10" s="1429"/>
      <c r="BA10" s="1526" t="s">
        <v>2809</v>
      </c>
      <c r="BB10" s="1425" t="str">
        <f>Pole_Calculations!A19</f>
        <v>App.7-V11A-P9.5.1.5</v>
      </c>
      <c r="BC10" s="1434"/>
      <c r="BD10" s="1435"/>
      <c r="BE10" s="1435"/>
      <c r="BF10" s="1435"/>
      <c r="BG10" s="1435"/>
    </row>
    <row r="11" spans="1:59" ht="15.75" customHeight="1">
      <c r="A11" s="449"/>
      <c r="B11" s="445"/>
      <c r="C11" s="446"/>
      <c r="D11" s="445"/>
      <c r="E11" s="445"/>
      <c r="F11" s="445"/>
      <c r="G11" s="484">
        <v>51.5</v>
      </c>
      <c r="H11" s="445"/>
      <c r="I11" s="1239"/>
      <c r="J11" s="171"/>
      <c r="K11" s="1239"/>
      <c r="L11" s="445"/>
      <c r="M11" s="445"/>
      <c r="N11" s="445"/>
      <c r="O11" s="445"/>
      <c r="P11" s="445"/>
      <c r="Q11" s="638"/>
      <c r="R11" s="638"/>
      <c r="S11" s="484"/>
      <c r="T11" s="638"/>
      <c r="U11" s="638"/>
      <c r="V11" s="638"/>
      <c r="W11" s="638"/>
      <c r="X11" s="638"/>
      <c r="Y11" s="638"/>
      <c r="Z11" s="638"/>
      <c r="AA11" s="638"/>
      <c r="AB11" s="638"/>
      <c r="AC11" s="638"/>
      <c r="AD11" s="638"/>
      <c r="AE11" s="638"/>
      <c r="AF11" s="638"/>
      <c r="AG11" s="446"/>
      <c r="AH11" s="638"/>
      <c r="AI11" s="185"/>
      <c r="AJ11" s="445"/>
      <c r="AK11" s="445"/>
      <c r="AL11" s="445"/>
      <c r="AM11" s="445"/>
      <c r="AN11" s="484"/>
      <c r="AO11" s="445"/>
      <c r="AP11" s="445"/>
      <c r="AQ11" s="484">
        <f>+FL_1($T$12,$T$10,$G$11,1200,9.28,-1*$F$12)</f>
        <v>0.39210072796731532</v>
      </c>
      <c r="AR11" s="484"/>
      <c r="AS11" s="484"/>
      <c r="AT11" s="484"/>
      <c r="AU11" s="638"/>
      <c r="AV11" s="638"/>
      <c r="AW11" s="638"/>
      <c r="AX11" s="638"/>
      <c r="AY11" s="484"/>
      <c r="AZ11" s="484"/>
      <c r="BA11" s="1304"/>
      <c r="BB11" s="449"/>
      <c r="BC11" s="169"/>
      <c r="BD11" s="1330"/>
      <c r="BE11" s="1330"/>
      <c r="BF11" s="1330"/>
      <c r="BG11" s="1330"/>
    </row>
    <row r="12" spans="1:59" s="1436" customFormat="1" ht="15.75" customHeight="1">
      <c r="A12" s="1425"/>
      <c r="B12" s="1475" t="s">
        <v>3726</v>
      </c>
      <c r="C12" s="1427">
        <f>+$C$10+$G$11</f>
        <v>83166.909999999989</v>
      </c>
      <c r="D12" s="1426"/>
      <c r="E12" s="1426"/>
      <c r="F12" s="1426" t="s">
        <v>3764</v>
      </c>
      <c r="G12" s="1429"/>
      <c r="H12" s="1426" t="s">
        <v>138</v>
      </c>
      <c r="I12" s="1426" t="s">
        <v>623</v>
      </c>
      <c r="J12" s="1427"/>
      <c r="K12" s="1431"/>
      <c r="L12" s="1426" t="s">
        <v>898</v>
      </c>
      <c r="M12" s="1431" t="str">
        <f>IF(AX12="PT",VLOOKUP(L12,'Foundation Calculation'!$V$2:$X$40,VLOOKUP(AX12,'Foundation Calculation'!$I$10:$J$13,2,FALSE),0),IF(AX12="K",VLOOKUP(L12,'Foundation Calculation'!$V$42:$X$80,VLOOKUP(AX12,'Foundation Calculation'!$I$10:$J$13,2,FALSE),0),""))</f>
        <v>C4R</v>
      </c>
      <c r="N12" s="1426" t="s">
        <v>143</v>
      </c>
      <c r="O12" s="1426"/>
      <c r="P12" s="1426"/>
      <c r="Q12" s="1431">
        <v>0</v>
      </c>
      <c r="R12" s="1431">
        <v>0</v>
      </c>
      <c r="S12" s="1429"/>
      <c r="T12" s="1431">
        <v>-35</v>
      </c>
      <c r="U12" s="1431"/>
      <c r="V12" s="1431"/>
      <c r="W12" s="1431">
        <v>1.1000000000000001</v>
      </c>
      <c r="X12" s="1431"/>
      <c r="Y12" s="1431"/>
      <c r="Z12" s="1431"/>
      <c r="AA12" s="1431"/>
      <c r="AB12" s="1431"/>
      <c r="AC12" s="1431" t="str">
        <f t="shared" si="0"/>
        <v>PH-Q</v>
      </c>
      <c r="AD12" s="1431"/>
      <c r="AE12" s="1431"/>
      <c r="AF12" s="1431">
        <v>5800</v>
      </c>
      <c r="AG12" s="1427"/>
      <c r="AH12" s="1431">
        <v>2583</v>
      </c>
      <c r="AI12" s="1477">
        <v>450</v>
      </c>
      <c r="AJ12" s="1426"/>
      <c r="AK12" s="1426"/>
      <c r="AL12" s="1426"/>
      <c r="AM12" s="1426" t="s">
        <v>1042</v>
      </c>
      <c r="AN12" s="1432">
        <v>5.15</v>
      </c>
      <c r="AO12" s="1430"/>
      <c r="AP12" s="1430"/>
      <c r="AQ12" s="1429"/>
      <c r="AR12" s="1429"/>
      <c r="AS12" s="1429"/>
      <c r="AT12" s="1429">
        <f>+ab($T$12,$T$10,$T$14,$G$11,$G$13,-1*$F$12,1200)</f>
        <v>-5.0571951078611788</v>
      </c>
      <c r="AU12" s="1478"/>
      <c r="AV12" s="1478"/>
      <c r="AW12" s="1431" t="str">
        <f>VLOOKUP(C12,'Foundation Calculation'!$A$2:$C$33,3,1)</f>
        <v>Soil A</v>
      </c>
      <c r="AX12" s="1431" t="str">
        <f>VLOOKUP(C12,'Foundation Calculation'!$E$2:$G$33,3,1)</f>
        <v>PT</v>
      </c>
      <c r="AY12" s="1429">
        <f>IF(AX12="PT",VLOOKUP(L12,'Foundation Calculation'!$K$2:$R$40,VLOOKUP(AW12,'Foundation Calculation'!$I$2:$J$8,2,FALSE),0),IF(AX12="K",VLOOKUP(L12,'Foundation Calculation'!$K$42:$R$80,VLOOKUP(AW12,'Foundation Calculation'!$I$2:$J$8,2,FALSE),0),""))</f>
        <v>3.5</v>
      </c>
      <c r="AZ12" s="1429"/>
      <c r="BA12" s="1526" t="s">
        <v>2809</v>
      </c>
      <c r="BB12" s="1425" t="str">
        <f>Pole_Calculations!A20</f>
        <v>App.7-V11A-P9.5.1.6</v>
      </c>
      <c r="BC12" s="1434"/>
      <c r="BD12" s="1435"/>
      <c r="BE12" s="1435"/>
      <c r="BF12" s="1435"/>
      <c r="BG12" s="1435"/>
    </row>
    <row r="13" spans="1:59" ht="15.75" customHeight="1">
      <c r="A13" s="449"/>
      <c r="B13" s="445"/>
      <c r="C13" s="446"/>
      <c r="D13" s="445"/>
      <c r="E13" s="445"/>
      <c r="F13" s="445"/>
      <c r="G13" s="484">
        <v>54</v>
      </c>
      <c r="H13" s="445"/>
      <c r="I13" s="455"/>
      <c r="J13" s="446">
        <f>C12+7.5</f>
        <v>83174.409999999989</v>
      </c>
      <c r="K13" s="445" t="s">
        <v>2787</v>
      </c>
      <c r="L13" s="445"/>
      <c r="M13" s="445"/>
      <c r="N13" s="445"/>
      <c r="O13" s="445"/>
      <c r="P13" s="445"/>
      <c r="Q13" s="638"/>
      <c r="R13" s="638"/>
      <c r="S13" s="484"/>
      <c r="T13" s="638"/>
      <c r="U13" s="638"/>
      <c r="V13" s="638"/>
      <c r="W13" s="638"/>
      <c r="X13" s="638"/>
      <c r="Y13" s="638"/>
      <c r="Z13" s="638"/>
      <c r="AA13" s="638"/>
      <c r="AB13" s="638"/>
      <c r="AC13" s="638"/>
      <c r="AD13" s="638"/>
      <c r="AE13" s="638"/>
      <c r="AF13" s="638"/>
      <c r="AG13" s="446"/>
      <c r="AH13" s="638"/>
      <c r="AI13" s="185"/>
      <c r="AJ13" s="445"/>
      <c r="AK13" s="445"/>
      <c r="AL13" s="445"/>
      <c r="AM13" s="445"/>
      <c r="AN13" s="484"/>
      <c r="AO13" s="445"/>
      <c r="AP13" s="445"/>
      <c r="AQ13" s="484">
        <f>+FL_1($T$14,$T$12,$G$13,1200,9.28,-1*$F$14)</f>
        <v>0.35055903866666666</v>
      </c>
      <c r="AR13" s="484"/>
      <c r="AS13" s="484"/>
      <c r="AT13" s="484"/>
      <c r="AU13" s="638"/>
      <c r="AV13" s="638"/>
      <c r="AW13" s="638" t="str">
        <f>VLOOKUP(J13,'Foundation Calculation'!$A$2:$C$33,3,1)</f>
        <v>Soil A</v>
      </c>
      <c r="AX13" s="638" t="str">
        <f>VLOOKUP(J13,'Foundation Calculation'!$E$2:$G$33,3,1)</f>
        <v>PT</v>
      </c>
      <c r="AY13" s="484"/>
      <c r="AZ13" s="484">
        <f>IF(AX13="PT",VLOOKUP(K13,'Foundation Calculation'!$K$2:$R$40,VLOOKUP(AW13,'Foundation Calculation'!$I$2:$J$8,2,FALSE),0),IF(AX13="K",VLOOKUP(K13,'Foundation Calculation'!$K$42:$R$80,VLOOKUP(AW13,'Foundation Calculation'!$I$2:$J$8,2,FALSE),0),""))</f>
        <v>3.3</v>
      </c>
      <c r="BA13" s="671" t="s">
        <v>2809</v>
      </c>
      <c r="BB13" s="449"/>
      <c r="BC13" s="169"/>
      <c r="BD13" s="1329"/>
      <c r="BE13" s="1330"/>
      <c r="BF13" s="1330"/>
      <c r="BG13" s="1330"/>
    </row>
    <row r="14" spans="1:59" s="1436" customFormat="1" ht="15.75" customHeight="1">
      <c r="A14" s="1425"/>
      <c r="B14" s="1475" t="s">
        <v>3727</v>
      </c>
      <c r="C14" s="1427">
        <f>+$C$12+$G$13</f>
        <v>83220.909999999989</v>
      </c>
      <c r="D14" s="1426"/>
      <c r="E14" s="1426"/>
      <c r="F14" s="1426" t="s">
        <v>2312</v>
      </c>
      <c r="G14" s="1429"/>
      <c r="H14" s="1426"/>
      <c r="I14" s="1430" t="s">
        <v>1039</v>
      </c>
      <c r="J14" s="1427"/>
      <c r="K14" s="1426"/>
      <c r="L14" s="1426"/>
      <c r="M14" s="1426"/>
      <c r="N14" s="1430" t="s">
        <v>844</v>
      </c>
      <c r="O14" s="1426"/>
      <c r="P14" s="1426"/>
      <c r="Q14" s="1431"/>
      <c r="R14" s="1431"/>
      <c r="S14" s="1429"/>
      <c r="T14" s="1431">
        <v>30</v>
      </c>
      <c r="U14" s="1431"/>
      <c r="V14" s="1431"/>
      <c r="W14" s="1431">
        <v>1.2</v>
      </c>
      <c r="X14" s="1431"/>
      <c r="Y14" s="1431"/>
      <c r="Z14" s="1431"/>
      <c r="AA14" s="1431"/>
      <c r="AB14" s="1431"/>
      <c r="AC14" s="1431" t="str">
        <f t="shared" si="0"/>
        <v>PH</v>
      </c>
      <c r="AD14" s="1431"/>
      <c r="AE14" s="1431"/>
      <c r="AF14" s="1431"/>
      <c r="AG14" s="1427"/>
      <c r="AH14" s="1431"/>
      <c r="AI14" s="1477"/>
      <c r="AJ14" s="1426"/>
      <c r="AK14" s="1426" t="s">
        <v>139</v>
      </c>
      <c r="AL14" s="1431"/>
      <c r="AM14" s="1426"/>
      <c r="AN14" s="1432">
        <v>5.15</v>
      </c>
      <c r="AO14" s="1426"/>
      <c r="AP14" s="1426"/>
      <c r="AQ14" s="1429"/>
      <c r="AR14" s="1429"/>
      <c r="AS14" s="1429"/>
      <c r="AT14" s="1429">
        <f>+ab($T$14,$T$12,-$T$16,$G$13,$G$15,-1*$F$14,1200)</f>
        <v>12.963011245224957</v>
      </c>
      <c r="AU14" s="1478"/>
      <c r="AV14" s="1478"/>
      <c r="AW14" s="1429"/>
      <c r="AX14" s="1429"/>
      <c r="AY14" s="1429"/>
      <c r="AZ14" s="1429"/>
      <c r="BA14" s="1426"/>
      <c r="BB14" s="1425"/>
      <c r="BC14" s="1434"/>
      <c r="BD14" s="1435"/>
      <c r="BE14" s="1435"/>
      <c r="BF14" s="1435"/>
      <c r="BG14" s="1435"/>
    </row>
    <row r="15" spans="1:59" ht="15.75" customHeight="1">
      <c r="A15" s="449"/>
      <c r="B15" s="445"/>
      <c r="C15" s="446"/>
      <c r="D15" s="445"/>
      <c r="E15" s="445"/>
      <c r="F15" s="445"/>
      <c r="G15" s="484">
        <v>39.799999999999997</v>
      </c>
      <c r="H15" s="445"/>
      <c r="I15" s="172"/>
      <c r="J15" s="446"/>
      <c r="K15" s="445"/>
      <c r="L15" s="445"/>
      <c r="M15" s="445"/>
      <c r="N15" s="445"/>
      <c r="O15" s="445"/>
      <c r="P15" s="445"/>
      <c r="Q15" s="638"/>
      <c r="R15" s="638"/>
      <c r="S15" s="484"/>
      <c r="T15" s="638"/>
      <c r="U15" s="638"/>
      <c r="V15" s="638"/>
      <c r="W15" s="638"/>
      <c r="X15" s="638"/>
      <c r="Y15" s="638"/>
      <c r="Z15" s="638"/>
      <c r="AA15" s="638"/>
      <c r="AB15" s="638"/>
      <c r="AC15" s="638"/>
      <c r="AD15" s="638"/>
      <c r="AE15" s="638"/>
      <c r="AF15" s="638"/>
      <c r="AG15" s="446"/>
      <c r="AH15" s="638"/>
      <c r="AI15" s="185"/>
      <c r="AJ15" s="445"/>
      <c r="AK15" s="445"/>
      <c r="AL15" s="445"/>
      <c r="AM15" s="445"/>
      <c r="AN15" s="484"/>
      <c r="AO15" s="445"/>
      <c r="AP15" s="445"/>
      <c r="AQ15" s="484">
        <f>+FL_1(-$T$16,$T$14,$G$15,1200,9.28,-1*$F$16)</f>
        <v>0.40720552914572861</v>
      </c>
      <c r="AR15" s="484"/>
      <c r="AS15" s="484"/>
      <c r="AT15" s="484"/>
      <c r="AU15" s="638"/>
      <c r="AV15" s="638"/>
      <c r="AW15" s="638"/>
      <c r="AX15" s="638"/>
      <c r="AY15" s="484"/>
      <c r="AZ15" s="484"/>
      <c r="BA15" s="1304"/>
      <c r="BB15" s="449"/>
      <c r="BC15" s="169"/>
      <c r="BD15" s="1330"/>
      <c r="BE15" s="1330"/>
      <c r="BF15" s="1330"/>
      <c r="BG15" s="1330"/>
    </row>
    <row r="16" spans="1:59" ht="15.75" customHeight="1">
      <c r="A16" s="449"/>
      <c r="B16" s="485" t="s">
        <v>3728</v>
      </c>
      <c r="C16" s="446">
        <f>+$C$14+$G$15</f>
        <v>83260.709999999992</v>
      </c>
      <c r="D16" s="445"/>
      <c r="E16" s="445"/>
      <c r="F16" s="445" t="s">
        <v>2312</v>
      </c>
      <c r="G16" s="484"/>
      <c r="H16" s="445"/>
      <c r="I16" s="445"/>
      <c r="J16" s="446"/>
      <c r="K16" s="445"/>
      <c r="L16" s="445"/>
      <c r="M16" s="445"/>
      <c r="N16" s="1239" t="s">
        <v>843</v>
      </c>
      <c r="O16" s="445"/>
      <c r="P16" s="445"/>
      <c r="Q16" s="638"/>
      <c r="R16" s="638"/>
      <c r="S16" s="484"/>
      <c r="T16" s="638">
        <v>-20</v>
      </c>
      <c r="U16" s="638"/>
      <c r="V16" s="638"/>
      <c r="W16" s="638">
        <v>1.4</v>
      </c>
      <c r="X16" s="638"/>
      <c r="Y16" s="638"/>
      <c r="Z16" s="638"/>
      <c r="AA16" s="638"/>
      <c r="AB16" s="638"/>
      <c r="AC16" s="638" t="str">
        <f t="shared" si="0"/>
        <v>PH</v>
      </c>
      <c r="AD16" s="638"/>
      <c r="AE16" s="638"/>
      <c r="AF16" s="638"/>
      <c r="AG16" s="446"/>
      <c r="AH16" s="638"/>
      <c r="AI16" s="185"/>
      <c r="AJ16" s="445"/>
      <c r="AK16" s="445" t="s">
        <v>4658</v>
      </c>
      <c r="AL16" s="445"/>
      <c r="AM16" s="445"/>
      <c r="AN16" s="455">
        <v>5.15</v>
      </c>
      <c r="AO16" s="445"/>
      <c r="AP16" s="445"/>
      <c r="AQ16" s="484"/>
      <c r="AR16" s="484"/>
      <c r="AS16" s="484"/>
      <c r="AT16" s="484">
        <f>+ab(-$T$16,$T$14,$U$18,$G$15,$G$17,-1*$F$16,1200)</f>
        <v>16.499995523473693</v>
      </c>
      <c r="AU16" s="638"/>
      <c r="AV16" s="638"/>
      <c r="AW16" s="484"/>
      <c r="AX16" s="484"/>
      <c r="AY16" s="484"/>
      <c r="AZ16" s="484"/>
      <c r="BA16" s="1304"/>
      <c r="BB16" s="449" t="s">
        <v>4657</v>
      </c>
      <c r="BC16" s="169"/>
      <c r="BD16" s="1330"/>
      <c r="BE16" s="1329"/>
      <c r="BF16" s="1330"/>
      <c r="BG16" s="1329"/>
    </row>
    <row r="17" spans="1:59" ht="15.75" customHeight="1">
      <c r="A17" s="449"/>
      <c r="B17" s="445"/>
      <c r="C17" s="446"/>
      <c r="D17" s="445"/>
      <c r="E17" s="445"/>
      <c r="F17" s="445"/>
      <c r="G17" s="484">
        <v>39.799999999999997</v>
      </c>
      <c r="H17" s="445"/>
      <c r="I17" s="445"/>
      <c r="J17" s="446"/>
      <c r="K17" s="445"/>
      <c r="L17" s="445"/>
      <c r="M17" s="445"/>
      <c r="N17" s="445"/>
      <c r="O17" s="445"/>
      <c r="P17" s="445"/>
      <c r="Q17" s="638"/>
      <c r="R17" s="638"/>
      <c r="S17" s="484"/>
      <c r="T17" s="638"/>
      <c r="U17" s="638"/>
      <c r="V17" s="638"/>
      <c r="W17" s="638"/>
      <c r="X17" s="638"/>
      <c r="Y17" s="638"/>
      <c r="Z17" s="638"/>
      <c r="AA17" s="638"/>
      <c r="AB17" s="638"/>
      <c r="AC17" s="638"/>
      <c r="AD17" s="638"/>
      <c r="AE17" s="638"/>
      <c r="AF17" s="638"/>
      <c r="AG17" s="446"/>
      <c r="AH17" s="638"/>
      <c r="AI17" s="185"/>
      <c r="AJ17" s="445"/>
      <c r="AK17" s="445"/>
      <c r="AL17" s="445"/>
      <c r="AM17" s="445"/>
      <c r="AN17" s="484"/>
      <c r="AO17" s="445"/>
      <c r="AP17" s="445"/>
      <c r="AQ17" s="484">
        <f>+FL_2($U$18,-$T$16,$G$17,1200,9.28,-1*$F$18)</f>
        <v>-0.3515941681809045</v>
      </c>
      <c r="AR17" s="484"/>
      <c r="AS17" s="484"/>
      <c r="AT17" s="484"/>
      <c r="AU17" s="638"/>
      <c r="AV17" s="638"/>
      <c r="AW17" s="638"/>
      <c r="AX17" s="638"/>
      <c r="AY17" s="484"/>
      <c r="AZ17" s="484"/>
      <c r="BA17" s="1304"/>
      <c r="BB17" s="449"/>
      <c r="BC17" s="169"/>
      <c r="BD17" s="1330"/>
      <c r="BE17" s="1330"/>
      <c r="BF17" s="1330"/>
      <c r="BG17" s="1330"/>
    </row>
    <row r="18" spans="1:59" ht="15.75" customHeight="1">
      <c r="A18" s="449"/>
      <c r="B18" s="485" t="s">
        <v>3729</v>
      </c>
      <c r="C18" s="446">
        <f>+$C$16+$G$17</f>
        <v>83300.509999999995</v>
      </c>
      <c r="D18" s="445"/>
      <c r="E18" s="445"/>
      <c r="F18" s="445" t="s">
        <v>2312</v>
      </c>
      <c r="G18" s="484"/>
      <c r="H18" s="1239" t="s">
        <v>3134</v>
      </c>
      <c r="I18" s="1239" t="s">
        <v>1039</v>
      </c>
      <c r="J18" s="446"/>
      <c r="K18" s="445"/>
      <c r="L18" s="445"/>
      <c r="M18" s="445"/>
      <c r="N18" s="445" t="s">
        <v>845</v>
      </c>
      <c r="O18" s="445" t="s">
        <v>843</v>
      </c>
      <c r="P18" s="445" t="s">
        <v>844</v>
      </c>
      <c r="Q18" s="638"/>
      <c r="R18" s="638"/>
      <c r="S18" s="484"/>
      <c r="T18" s="638">
        <v>-50</v>
      </c>
      <c r="U18" s="638">
        <v>-35</v>
      </c>
      <c r="V18" s="638">
        <v>-20</v>
      </c>
      <c r="W18" s="638">
        <v>1.8</v>
      </c>
      <c r="X18" s="638">
        <v>1.6</v>
      </c>
      <c r="Y18" s="638">
        <v>1.4</v>
      </c>
      <c r="Z18" s="638">
        <v>0.45</v>
      </c>
      <c r="AA18" s="638"/>
      <c r="AB18" s="638"/>
      <c r="AC18" s="638"/>
      <c r="AD18" s="638" t="s">
        <v>1428</v>
      </c>
      <c r="AE18" s="638" t="s">
        <v>2773</v>
      </c>
      <c r="AF18" s="638"/>
      <c r="AG18" s="446"/>
      <c r="AH18" s="638"/>
      <c r="AI18" s="185"/>
      <c r="AJ18" s="445"/>
      <c r="AK18" s="445" t="s">
        <v>3133</v>
      </c>
      <c r="AL18" s="445"/>
      <c r="AM18" s="638"/>
      <c r="AN18" s="455">
        <v>5.15</v>
      </c>
      <c r="AO18" s="445"/>
      <c r="AP18" s="445"/>
      <c r="AQ18" s="484"/>
      <c r="AR18" s="484"/>
      <c r="AS18" s="484"/>
      <c r="AT18" s="484">
        <f>+ab($U$18,-$T$16,$U$20,$G$17,$G$19,-1*$F$18,1200)</f>
        <v>-6.7251607944617584</v>
      </c>
      <c r="AU18" s="638"/>
      <c r="AV18" s="638"/>
      <c r="AW18" s="484"/>
      <c r="AX18" s="484"/>
      <c r="AY18" s="484"/>
      <c r="AZ18" s="484"/>
      <c r="BA18" s="1304"/>
      <c r="BB18" s="449"/>
      <c r="BC18" s="169"/>
      <c r="BD18" s="1330"/>
      <c r="BE18" s="1329"/>
      <c r="BF18" s="1330"/>
      <c r="BG18" s="1329"/>
    </row>
    <row r="19" spans="1:59" ht="15.75" customHeight="1">
      <c r="A19" s="449"/>
      <c r="B19" s="445"/>
      <c r="C19" s="446"/>
      <c r="D19" s="445"/>
      <c r="E19" s="445"/>
      <c r="F19" s="445"/>
      <c r="G19" s="484">
        <v>48</v>
      </c>
      <c r="H19" s="445"/>
      <c r="I19" s="445"/>
      <c r="J19" s="446">
        <f>C20-7.5</f>
        <v>83341.009999999995</v>
      </c>
      <c r="K19" s="445" t="s">
        <v>2787</v>
      </c>
      <c r="L19" s="445"/>
      <c r="M19" s="445"/>
      <c r="N19" s="445"/>
      <c r="O19" s="445"/>
      <c r="P19" s="445"/>
      <c r="Q19" s="638"/>
      <c r="R19" s="638"/>
      <c r="S19" s="484"/>
      <c r="T19" s="638"/>
      <c r="U19" s="638"/>
      <c r="V19" s="638"/>
      <c r="W19" s="638"/>
      <c r="X19" s="638"/>
      <c r="Y19" s="638"/>
      <c r="Z19" s="638"/>
      <c r="AA19" s="638"/>
      <c r="AB19" s="638"/>
      <c r="AC19" s="638"/>
      <c r="AD19" s="638"/>
      <c r="AE19" s="638"/>
      <c r="AF19" s="638"/>
      <c r="AG19" s="446"/>
      <c r="AH19" s="638"/>
      <c r="AI19" s="185"/>
      <c r="AJ19" s="445"/>
      <c r="AK19" s="445"/>
      <c r="AL19" s="445"/>
      <c r="AM19" s="445"/>
      <c r="AN19" s="484"/>
      <c r="AO19" s="445"/>
      <c r="AP19" s="445"/>
      <c r="AQ19" s="484">
        <f>+FL_2($U$20,$U$18,$G$19,1200,9.28,-1*$F$20)</f>
        <v>-0.36022448800000006</v>
      </c>
      <c r="AR19" s="484"/>
      <c r="AS19" s="484"/>
      <c r="AT19" s="484"/>
      <c r="AU19" s="638"/>
      <c r="AV19" s="638"/>
      <c r="AW19" s="638" t="str">
        <f>VLOOKUP(J19,'Foundation Calculation'!$A$2:$C$33,3,1)</f>
        <v>Soil A</v>
      </c>
      <c r="AX19" s="638" t="str">
        <f>VLOOKUP(J19,'Foundation Calculation'!$E$2:$G$33,3,1)</f>
        <v>PT</v>
      </c>
      <c r="AY19" s="484"/>
      <c r="AZ19" s="484">
        <f>IF(AX19="PT",VLOOKUP(K19,'Foundation Calculation'!$K$2:$R$40,VLOOKUP(AW19,'Foundation Calculation'!$I$2:$J$8,2,FALSE),0),IF(AX19="K",VLOOKUP(K19,'Foundation Calculation'!$K$42:$R$80,VLOOKUP(AW19,'Foundation Calculation'!$I$2:$J$8,2,FALSE),0),""))</f>
        <v>3.3</v>
      </c>
      <c r="BA19" s="671" t="s">
        <v>2809</v>
      </c>
      <c r="BB19" s="449"/>
      <c r="BC19" s="169"/>
      <c r="BD19" s="1329"/>
      <c r="BE19" s="1330"/>
      <c r="BF19" s="1330"/>
      <c r="BG19" s="1330"/>
    </row>
    <row r="20" spans="1:59" ht="25">
      <c r="A20" s="449"/>
      <c r="B20" s="450" t="s">
        <v>3730</v>
      </c>
      <c r="C20" s="446">
        <f>+$C$18+$G$19</f>
        <v>83348.509999999995</v>
      </c>
      <c r="D20" s="445"/>
      <c r="E20" s="445"/>
      <c r="F20" s="445" t="s">
        <v>2312</v>
      </c>
      <c r="G20" s="484"/>
      <c r="H20" s="183" t="s">
        <v>3767</v>
      </c>
      <c r="I20" s="445" t="s">
        <v>623</v>
      </c>
      <c r="J20" s="446"/>
      <c r="K20" s="445"/>
      <c r="L20" s="445" t="s">
        <v>896</v>
      </c>
      <c r="M20" s="638" t="str">
        <f>IF(AX20="PT",VLOOKUP(L20,'Foundation Calculation'!$V$2:$X$40,VLOOKUP(AX20,'Foundation Calculation'!$I$10:$J$13,2,FALSE),0),IF(AX20="K",VLOOKUP(L20,'Foundation Calculation'!$V$42:$X$80,VLOOKUP(AX20,'Foundation Calculation'!$I$10:$J$13,2,FALSE),0),""))</f>
        <v>2C4R</v>
      </c>
      <c r="N20" s="445" t="s">
        <v>143</v>
      </c>
      <c r="O20" s="445" t="s">
        <v>144</v>
      </c>
      <c r="P20" s="445" t="s">
        <v>140</v>
      </c>
      <c r="Q20" s="638"/>
      <c r="R20" s="638"/>
      <c r="S20" s="484"/>
      <c r="T20" s="638">
        <v>20</v>
      </c>
      <c r="U20" s="638">
        <v>35</v>
      </c>
      <c r="V20" s="638">
        <v>50</v>
      </c>
      <c r="W20" s="638">
        <v>1.8</v>
      </c>
      <c r="X20" s="638">
        <v>1.6</v>
      </c>
      <c r="Y20" s="638">
        <v>1.4</v>
      </c>
      <c r="Z20" s="638"/>
      <c r="AA20" s="638"/>
      <c r="AB20" s="638">
        <v>0.45</v>
      </c>
      <c r="AC20" s="638" t="s">
        <v>1428</v>
      </c>
      <c r="AD20" s="638" t="s">
        <v>2773</v>
      </c>
      <c r="AE20" s="638"/>
      <c r="AF20" s="638"/>
      <c r="AG20" s="446"/>
      <c r="AH20" s="638"/>
      <c r="AI20" s="185"/>
      <c r="AJ20" s="445"/>
      <c r="AK20" s="445"/>
      <c r="AL20" s="445"/>
      <c r="AM20" s="445" t="s">
        <v>1042</v>
      </c>
      <c r="AN20" s="455">
        <v>5.15</v>
      </c>
      <c r="AO20" s="445"/>
      <c r="AP20" s="445"/>
      <c r="AQ20" s="484"/>
      <c r="AR20" s="484"/>
      <c r="AS20" s="484"/>
      <c r="AT20" s="484">
        <f>+ab($U$20,$U$18,$U$22,$G$19,$G$21,-1*$F$20,1200)</f>
        <v>12.934032506548364</v>
      </c>
      <c r="AU20" s="638"/>
      <c r="AV20" s="638"/>
      <c r="AW20" s="638" t="str">
        <f>VLOOKUP(C20,'Foundation Calculation'!$A$2:$C$33,3,1)</f>
        <v>Soil A</v>
      </c>
      <c r="AX20" s="638" t="str">
        <f>VLOOKUP(C20,'Foundation Calculation'!$E$2:$G$33,3,1)</f>
        <v>PT</v>
      </c>
      <c r="AY20" s="484">
        <f>IF(AX20="PT",VLOOKUP(L20,'Foundation Calculation'!$K$2:$R$40,VLOOKUP(AW20,'Foundation Calculation'!$I$2:$J$8,2,FALSE),0),IF(AX20="K",VLOOKUP(L20,'Foundation Calculation'!$K$42:$R$80,VLOOKUP(AW20,'Foundation Calculation'!$I$2:$J$8,2,FALSE),0),""))</f>
        <v>4</v>
      </c>
      <c r="AZ20" s="484"/>
      <c r="BA20" s="671" t="s">
        <v>2809</v>
      </c>
      <c r="BB20" s="449" t="str">
        <f>Pole_Calculations!A23</f>
        <v>App.7-V11A-P9.5.1.9</v>
      </c>
      <c r="BC20" s="169"/>
      <c r="BD20" s="1329"/>
      <c r="BE20" s="1329"/>
      <c r="BF20" s="1330"/>
      <c r="BG20" s="1329"/>
    </row>
    <row r="21" spans="1:59" ht="25">
      <c r="A21" s="449"/>
      <c r="B21" s="445"/>
      <c r="C21" s="446"/>
      <c r="D21" s="445"/>
      <c r="E21" s="445"/>
      <c r="F21" s="445"/>
      <c r="G21" s="484">
        <v>52.5</v>
      </c>
      <c r="H21" s="445"/>
      <c r="I21" s="183" t="s">
        <v>3769</v>
      </c>
      <c r="J21" s="446"/>
      <c r="K21" s="445"/>
      <c r="L21" s="445"/>
      <c r="M21" s="445"/>
      <c r="N21" s="445"/>
      <c r="O21" s="445"/>
      <c r="P21" s="445"/>
      <c r="Q21" s="638"/>
      <c r="R21" s="638"/>
      <c r="S21" s="484"/>
      <c r="T21" s="638"/>
      <c r="U21" s="638"/>
      <c r="V21" s="638"/>
      <c r="W21" s="638"/>
      <c r="X21" s="638"/>
      <c r="Y21" s="638"/>
      <c r="Z21" s="638"/>
      <c r="AA21" s="638"/>
      <c r="AB21" s="638"/>
      <c r="AC21" s="638"/>
      <c r="AD21" s="638"/>
      <c r="AE21" s="638"/>
      <c r="AF21" s="638"/>
      <c r="AG21" s="446"/>
      <c r="AH21" s="638"/>
      <c r="AI21" s="185"/>
      <c r="AJ21" s="445"/>
      <c r="AK21" s="445"/>
      <c r="AL21" s="445"/>
      <c r="AM21" s="445"/>
      <c r="AN21" s="484"/>
      <c r="AO21" s="445"/>
      <c r="AP21" s="445"/>
      <c r="AQ21" s="484">
        <f>+FL_1($U$22,$U$20,$G$21,1200,9.28,-1*$F$22)</f>
        <v>0.61643749999999997</v>
      </c>
      <c r="AR21" s="484"/>
      <c r="AS21" s="484"/>
      <c r="AT21" s="484"/>
      <c r="AU21" s="638"/>
      <c r="AV21" s="638"/>
      <c r="AW21" s="445"/>
      <c r="AX21" s="638"/>
      <c r="AY21" s="484"/>
      <c r="AZ21" s="484"/>
      <c r="BA21" s="1304"/>
      <c r="BB21" s="449"/>
      <c r="BC21" s="169"/>
      <c r="BD21" s="1330"/>
      <c r="BE21" s="1330"/>
      <c r="BF21" s="1330"/>
      <c r="BG21" s="1330"/>
    </row>
    <row r="22" spans="1:59" ht="25">
      <c r="A22" s="449"/>
      <c r="B22" s="485" t="s">
        <v>3731</v>
      </c>
      <c r="C22" s="446">
        <f>+$C$20+$G$21</f>
        <v>83401.009999999995</v>
      </c>
      <c r="D22" s="445"/>
      <c r="E22" s="445"/>
      <c r="F22" s="445" t="s">
        <v>2312</v>
      </c>
      <c r="G22" s="484"/>
      <c r="H22" s="183" t="s">
        <v>3767</v>
      </c>
      <c r="I22" s="445" t="s">
        <v>624</v>
      </c>
      <c r="J22" s="446"/>
      <c r="K22" s="445"/>
      <c r="L22" s="445" t="s">
        <v>896</v>
      </c>
      <c r="M22" s="638" t="str">
        <f>IF(AX22="PT",VLOOKUP(L22,'Foundation Calculation'!$V$2:$X$40,VLOOKUP(AX22,'Foundation Calculation'!$I$10:$J$13,2,FALSE),0),IF(AX22="K",VLOOKUP(L22,'Foundation Calculation'!$V$42:$X$80,VLOOKUP(AX22,'Foundation Calculation'!$I$10:$J$13,2,FALSE),0),""))</f>
        <v>2C4R</v>
      </c>
      <c r="N22" s="445" t="s">
        <v>140</v>
      </c>
      <c r="O22" s="445" t="s">
        <v>144</v>
      </c>
      <c r="P22" s="445" t="s">
        <v>143</v>
      </c>
      <c r="Q22" s="638"/>
      <c r="R22" s="638"/>
      <c r="S22" s="484"/>
      <c r="T22" s="638">
        <v>50</v>
      </c>
      <c r="U22" s="638">
        <v>35</v>
      </c>
      <c r="V22" s="638">
        <v>20</v>
      </c>
      <c r="W22" s="638">
        <v>1.4</v>
      </c>
      <c r="X22" s="638">
        <v>1.8</v>
      </c>
      <c r="Y22" s="638">
        <v>2</v>
      </c>
      <c r="Z22" s="638">
        <v>0.45</v>
      </c>
      <c r="AA22" s="638"/>
      <c r="AB22" s="638"/>
      <c r="AC22" s="638"/>
      <c r="AD22" s="638" t="s">
        <v>2773</v>
      </c>
      <c r="AE22" s="638" t="s">
        <v>1428</v>
      </c>
      <c r="AF22" s="638"/>
      <c r="AG22" s="446"/>
      <c r="AH22" s="638"/>
      <c r="AI22" s="185"/>
      <c r="AJ22" s="445"/>
      <c r="AK22" s="445"/>
      <c r="AL22" s="445"/>
      <c r="AM22" s="445" t="s">
        <v>1042</v>
      </c>
      <c r="AN22" s="455">
        <v>5.15</v>
      </c>
      <c r="AO22" s="445"/>
      <c r="AP22" s="445"/>
      <c r="AQ22" s="484"/>
      <c r="AR22" s="484"/>
      <c r="AS22" s="484"/>
      <c r="AT22" s="484">
        <f>+ab($U$22,$U$20,$U$24,$G$21,$G$23,-1*$F$22,1200)</f>
        <v>13.712734429446273</v>
      </c>
      <c r="AU22" s="638"/>
      <c r="AV22" s="638"/>
      <c r="AW22" s="638" t="str">
        <f>VLOOKUP(C22,'Foundation Calculation'!$A$2:$C$33,3,1)</f>
        <v>Soil A</v>
      </c>
      <c r="AX22" s="638" t="str">
        <f>VLOOKUP(C22,'Foundation Calculation'!$E$2:$G$33,3,1)</f>
        <v>PT</v>
      </c>
      <c r="AY22" s="484">
        <f>IF(AX22="PT",VLOOKUP(L22,'Foundation Calculation'!$K$2:$R$40,VLOOKUP(AW22,'Foundation Calculation'!$I$2:$J$8,2,FALSE),0),IF(AX22="K",VLOOKUP(L22,'Foundation Calculation'!$K$42:$R$80,VLOOKUP(AW22,'Foundation Calculation'!$I$2:$J$8,2,FALSE),0),""))</f>
        <v>4</v>
      </c>
      <c r="AZ22" s="484"/>
      <c r="BA22" s="671" t="s">
        <v>2809</v>
      </c>
      <c r="BB22" s="449" t="str">
        <f>Pole_Calculations!A23</f>
        <v>App.7-V11A-P9.5.1.9</v>
      </c>
      <c r="BC22" s="169"/>
      <c r="BD22" s="1329"/>
      <c r="BE22" s="1329"/>
      <c r="BF22" s="1330"/>
      <c r="BG22" s="1329"/>
    </row>
    <row r="23" spans="1:59" ht="15.75" customHeight="1">
      <c r="A23" s="449"/>
      <c r="B23" s="445"/>
      <c r="C23" s="446"/>
      <c r="D23" s="445"/>
      <c r="E23" s="445"/>
      <c r="F23" s="445"/>
      <c r="G23" s="484">
        <v>51</v>
      </c>
      <c r="H23" s="445"/>
      <c r="I23" s="445" t="s">
        <v>1039</v>
      </c>
      <c r="J23" s="446">
        <f>C22+7.5</f>
        <v>83408.509999999995</v>
      </c>
      <c r="K23" s="445" t="s">
        <v>2787</v>
      </c>
      <c r="L23" s="445"/>
      <c r="M23" s="445"/>
      <c r="N23" s="445"/>
      <c r="O23" s="445"/>
      <c r="P23" s="445"/>
      <c r="Q23" s="638"/>
      <c r="R23" s="638"/>
      <c r="S23" s="484"/>
      <c r="T23" s="638"/>
      <c r="U23" s="638"/>
      <c r="V23" s="638"/>
      <c r="W23" s="638"/>
      <c r="X23" s="638"/>
      <c r="Y23" s="638"/>
      <c r="Z23" s="638"/>
      <c r="AA23" s="638"/>
      <c r="AB23" s="638"/>
      <c r="AC23" s="638"/>
      <c r="AD23" s="638"/>
      <c r="AE23" s="638"/>
      <c r="AF23" s="638"/>
      <c r="AG23" s="446"/>
      <c r="AH23" s="638"/>
      <c r="AI23" s="185"/>
      <c r="AJ23" s="445"/>
      <c r="AK23" s="445"/>
      <c r="AL23" s="445"/>
      <c r="AM23" s="445"/>
      <c r="AN23" s="484"/>
      <c r="AO23" s="445"/>
      <c r="AP23" s="445"/>
      <c r="AQ23" s="484">
        <f>+FL_1($U$24,$U$22,$G$23,1200,9.28,-1*$F$24)</f>
        <v>0.37323328431372538</v>
      </c>
      <c r="AR23" s="484"/>
      <c r="AS23" s="484"/>
      <c r="AT23" s="484"/>
      <c r="AU23" s="638"/>
      <c r="AV23" s="638"/>
      <c r="AW23" s="638" t="str">
        <f>VLOOKUP(J23,'Foundation Calculation'!$A$2:$C$33,3,1)</f>
        <v>Soil A</v>
      </c>
      <c r="AX23" s="638" t="str">
        <f>VLOOKUP(J23,'Foundation Calculation'!$E$2:$G$33,3,1)</f>
        <v>PT</v>
      </c>
      <c r="AY23" s="484"/>
      <c r="AZ23" s="484">
        <f>IF(AX23="PT",VLOOKUP(K23,'Foundation Calculation'!$K$2:$R$40,VLOOKUP(AW23,'Foundation Calculation'!$I$2:$J$8,2,FALSE),0),IF(AX23="K",VLOOKUP(K23,'Foundation Calculation'!$K$42:$R$80,VLOOKUP(AW23,'Foundation Calculation'!$I$2:$J$8,2,FALSE),0),""))</f>
        <v>3.3</v>
      </c>
      <c r="BA23" s="671" t="s">
        <v>2809</v>
      </c>
      <c r="BB23" s="449"/>
      <c r="BC23" s="169"/>
      <c r="BD23" s="1329"/>
      <c r="BE23" s="1330"/>
      <c r="BF23" s="1330"/>
      <c r="BG23" s="1330"/>
    </row>
    <row r="24" spans="1:59" ht="15.75" customHeight="1">
      <c r="A24" s="449"/>
      <c r="B24" s="582" t="s">
        <v>3732</v>
      </c>
      <c r="C24" s="446">
        <f>+$C$22+$G$23</f>
        <v>83452.009999999995</v>
      </c>
      <c r="D24" s="638"/>
      <c r="E24" s="638"/>
      <c r="F24" s="447">
        <v>0</v>
      </c>
      <c r="G24" s="484"/>
      <c r="H24" s="638" t="s">
        <v>3768</v>
      </c>
      <c r="I24" s="638" t="s">
        <v>623</v>
      </c>
      <c r="J24" s="446">
        <f>C24-7.5</f>
        <v>83444.509999999995</v>
      </c>
      <c r="K24" s="638" t="s">
        <v>2882</v>
      </c>
      <c r="L24" s="445" t="s">
        <v>896</v>
      </c>
      <c r="M24" s="445" t="s">
        <v>4451</v>
      </c>
      <c r="N24" s="445" t="s">
        <v>144</v>
      </c>
      <c r="O24" s="445" t="s">
        <v>143</v>
      </c>
      <c r="P24" s="445" t="s">
        <v>140</v>
      </c>
      <c r="Q24" s="638"/>
      <c r="R24" s="638"/>
      <c r="S24" s="484"/>
      <c r="T24" s="638">
        <v>-20</v>
      </c>
      <c r="U24" s="638">
        <v>-35</v>
      </c>
      <c r="V24" s="638">
        <v>-50</v>
      </c>
      <c r="W24" s="638">
        <v>1.4</v>
      </c>
      <c r="X24" s="638">
        <v>1.8</v>
      </c>
      <c r="Y24" s="638">
        <v>2</v>
      </c>
      <c r="Z24" s="638"/>
      <c r="AA24" s="638"/>
      <c r="AB24" s="638">
        <v>0.45</v>
      </c>
      <c r="AC24" s="638" t="s">
        <v>2773</v>
      </c>
      <c r="AD24" s="638" t="s">
        <v>1428</v>
      </c>
      <c r="AE24" s="638"/>
      <c r="AF24" s="638"/>
      <c r="AG24" s="446"/>
      <c r="AH24" s="638"/>
      <c r="AI24" s="185"/>
      <c r="AJ24" s="445"/>
      <c r="AK24" s="445"/>
      <c r="AL24" s="638"/>
      <c r="AM24" s="445" t="s">
        <v>1042</v>
      </c>
      <c r="AN24" s="455">
        <v>5.15</v>
      </c>
      <c r="AO24" s="445"/>
      <c r="AP24" s="445"/>
      <c r="AQ24" s="484"/>
      <c r="AR24" s="484"/>
      <c r="AS24" s="484"/>
      <c r="AT24" s="484">
        <f>+ab($U$24,$U$22,-$U$26,$G$23,$G$25,-1*$F$24,1200)</f>
        <v>-6.21768502587984</v>
      </c>
      <c r="AU24" s="638"/>
      <c r="AV24" s="638"/>
      <c r="AW24" s="638" t="str">
        <f>VLOOKUP(C24,'Foundation Calculation'!$A$2:$C$33,3,1)</f>
        <v>Soil A</v>
      </c>
      <c r="AX24" s="638" t="str">
        <f>VLOOKUP(C24,'Foundation Calculation'!$E$2:$G$33,3,1)</f>
        <v>PT</v>
      </c>
      <c r="AY24" s="484">
        <f>IF(AX24="PT",VLOOKUP(L24,'Foundation Calculation'!$K$2:$R$40,VLOOKUP(AW24,'Foundation Calculation'!$I$2:$J$8,2,FALSE),0),IF(AX24="K",VLOOKUP(L24,'Foundation Calculation'!$K$42:$R$80,VLOOKUP(AW24,'Foundation Calculation'!$I$2:$J$8,2,FALSE),0),""))</f>
        <v>4</v>
      </c>
      <c r="AZ24" s="484">
        <v>3.3</v>
      </c>
      <c r="BA24" s="671" t="s">
        <v>2809</v>
      </c>
      <c r="BB24" s="449" t="str">
        <f>Pole_Calculations!A23</f>
        <v>App.7-V11A-P9.5.1.9</v>
      </c>
      <c r="BC24" s="169"/>
      <c r="BD24" s="1329"/>
      <c r="BE24" s="1329"/>
      <c r="BF24" s="1330"/>
      <c r="BG24" s="1329"/>
    </row>
    <row r="25" spans="1:59" ht="15.75" customHeight="1">
      <c r="A25" s="449"/>
      <c r="B25" s="173"/>
      <c r="C25" s="446"/>
      <c r="D25" s="638"/>
      <c r="E25" s="638"/>
      <c r="F25" s="447"/>
      <c r="G25" s="484">
        <v>38.200000000000003</v>
      </c>
      <c r="H25" s="638"/>
      <c r="I25" s="638" t="s">
        <v>1039</v>
      </c>
      <c r="J25" s="446"/>
      <c r="K25" s="638"/>
      <c r="L25" s="638"/>
      <c r="M25" s="638"/>
      <c r="N25" s="1239"/>
      <c r="O25" s="1239"/>
      <c r="P25" s="638"/>
      <c r="Q25" s="638"/>
      <c r="R25" s="638"/>
      <c r="S25" s="484"/>
      <c r="T25" s="638"/>
      <c r="U25" s="638"/>
      <c r="V25" s="638"/>
      <c r="W25" s="638"/>
      <c r="X25" s="638"/>
      <c r="Y25" s="638"/>
      <c r="Z25" s="638"/>
      <c r="AA25" s="638"/>
      <c r="AB25" s="638"/>
      <c r="AC25" s="638"/>
      <c r="AD25" s="638"/>
      <c r="AE25" s="638"/>
      <c r="AF25" s="638"/>
      <c r="AG25" s="446"/>
      <c r="AH25" s="638"/>
      <c r="AI25" s="185"/>
      <c r="AJ25" s="638"/>
      <c r="AK25" s="638" t="s">
        <v>2762</v>
      </c>
      <c r="AL25" s="638"/>
      <c r="AM25" s="638"/>
      <c r="AN25" s="455"/>
      <c r="AO25" s="1239"/>
      <c r="AP25" s="445"/>
      <c r="AQ25" s="484">
        <f>+FL_2(-$U$26,$T$24,$G$25,1200,9.28,-1*$F$26)</f>
        <v>-0.20182843063874353</v>
      </c>
      <c r="AR25" s="484"/>
      <c r="AS25" s="484"/>
      <c r="AT25" s="484"/>
      <c r="AU25" s="638"/>
      <c r="AV25" s="638"/>
      <c r="AW25" s="638"/>
      <c r="AX25" s="638"/>
      <c r="AY25" s="484"/>
      <c r="AZ25" s="484"/>
      <c r="BA25" s="1304"/>
      <c r="BB25" s="449"/>
      <c r="BC25" s="169"/>
      <c r="BD25" s="1330"/>
      <c r="BE25" s="1330"/>
      <c r="BF25" s="1330"/>
      <c r="BG25" s="1330"/>
    </row>
    <row r="26" spans="1:59" ht="15.75" customHeight="1">
      <c r="A26" s="449"/>
      <c r="B26" s="435" t="s">
        <v>3733</v>
      </c>
      <c r="C26" s="446">
        <f>+$C$24+$G$25</f>
        <v>83490.209999999992</v>
      </c>
      <c r="D26" s="638"/>
      <c r="E26" s="638"/>
      <c r="F26" s="447">
        <v>0</v>
      </c>
      <c r="G26" s="484"/>
      <c r="H26" s="638" t="s">
        <v>619</v>
      </c>
      <c r="I26" s="1239"/>
      <c r="J26" s="446"/>
      <c r="K26" s="638"/>
      <c r="L26" s="445"/>
      <c r="M26" s="445"/>
      <c r="N26" s="1239" t="s">
        <v>140</v>
      </c>
      <c r="O26" s="1239" t="s">
        <v>143</v>
      </c>
      <c r="P26" s="638"/>
      <c r="Q26" s="638"/>
      <c r="R26" s="638"/>
      <c r="S26" s="484"/>
      <c r="T26" s="638">
        <v>15</v>
      </c>
      <c r="U26" s="638">
        <v>-30</v>
      </c>
      <c r="V26" s="638"/>
      <c r="W26" s="638">
        <v>1.4</v>
      </c>
      <c r="X26" s="638">
        <v>1.8</v>
      </c>
      <c r="Y26" s="638"/>
      <c r="Z26" s="638">
        <v>0.4</v>
      </c>
      <c r="AA26" s="638"/>
      <c r="AB26" s="638"/>
      <c r="AC26" s="638"/>
      <c r="AD26" s="638"/>
      <c r="AE26" s="638"/>
      <c r="AF26" s="638"/>
      <c r="AG26" s="446"/>
      <c r="AH26" s="638"/>
      <c r="AI26" s="185"/>
      <c r="AJ26" s="638" t="s">
        <v>864</v>
      </c>
      <c r="AK26" s="1239" t="s">
        <v>228</v>
      </c>
      <c r="AL26" s="638"/>
      <c r="AM26" s="638"/>
      <c r="AN26" s="455">
        <v>5.15</v>
      </c>
      <c r="AO26" s="1239"/>
      <c r="AP26" s="445"/>
      <c r="AQ26" s="484"/>
      <c r="AR26" s="484"/>
      <c r="AS26" s="484"/>
      <c r="AT26" s="484">
        <f>+ab(-$U$26,$T$24,$T$28,$G$25,$G$27,-1*$F$26,1200)</f>
        <v>7.2239805344037267</v>
      </c>
      <c r="AU26" s="638"/>
      <c r="AV26" s="638"/>
      <c r="AW26" s="484"/>
      <c r="AX26" s="484"/>
      <c r="AY26" s="484"/>
      <c r="AZ26" s="484"/>
      <c r="BA26" s="1304"/>
      <c r="BB26" s="449"/>
      <c r="BC26" s="169"/>
      <c r="BD26" s="1330"/>
      <c r="BE26" s="1329"/>
      <c r="BF26" s="1330"/>
      <c r="BG26" s="1329"/>
    </row>
    <row r="27" spans="1:59" ht="15.75" customHeight="1">
      <c r="A27" s="449"/>
      <c r="B27" s="173"/>
      <c r="C27" s="446"/>
      <c r="D27" s="638"/>
      <c r="E27" s="638"/>
      <c r="F27" s="447"/>
      <c r="G27" s="484">
        <v>45</v>
      </c>
      <c r="H27" s="1239"/>
      <c r="I27" s="1239" t="s">
        <v>1039</v>
      </c>
      <c r="J27" s="446"/>
      <c r="K27" s="638"/>
      <c r="L27" s="638"/>
      <c r="M27" s="638"/>
      <c r="N27" s="1239"/>
      <c r="O27" s="1239"/>
      <c r="P27" s="638"/>
      <c r="Q27" s="638"/>
      <c r="R27" s="638"/>
      <c r="S27" s="484"/>
      <c r="T27" s="638"/>
      <c r="U27" s="638"/>
      <c r="V27" s="638"/>
      <c r="W27" s="638"/>
      <c r="X27" s="638"/>
      <c r="Y27" s="638"/>
      <c r="Z27" s="638"/>
      <c r="AA27" s="638"/>
      <c r="AB27" s="638"/>
      <c r="AC27" s="638"/>
      <c r="AD27" s="638"/>
      <c r="AE27" s="638"/>
      <c r="AF27" s="638"/>
      <c r="AG27" s="446"/>
      <c r="AH27" s="638"/>
      <c r="AI27" s="638"/>
      <c r="AJ27" s="638"/>
      <c r="AK27" s="1239"/>
      <c r="AL27" s="638"/>
      <c r="AM27" s="638"/>
      <c r="AN27" s="455"/>
      <c r="AO27" s="1239"/>
      <c r="AP27" s="445"/>
      <c r="AQ27" s="484">
        <f>+FL_2($T$28,-$U$26,$G$27,1200,9.28,-1*$F$28)</f>
        <v>-0.32957072570261514</v>
      </c>
      <c r="AR27" s="484"/>
      <c r="AS27" s="484"/>
      <c r="AT27" s="484"/>
      <c r="AU27" s="638"/>
      <c r="AV27" s="638"/>
      <c r="AW27" s="638"/>
      <c r="AX27" s="638"/>
      <c r="AY27" s="484"/>
      <c r="AZ27" s="484"/>
      <c r="BA27" s="671"/>
      <c r="BB27" s="449"/>
      <c r="BC27" s="169"/>
      <c r="BD27" s="1330"/>
      <c r="BE27" s="1330"/>
      <c r="BF27" s="1330"/>
      <c r="BG27" s="1330"/>
    </row>
    <row r="28" spans="1:59" s="1436" customFormat="1" ht="15.75" customHeight="1">
      <c r="A28" s="1449" t="s">
        <v>3770</v>
      </c>
      <c r="B28" s="1476" t="s">
        <v>3734</v>
      </c>
      <c r="C28" s="1427">
        <f>+$C$26+$G$27</f>
        <v>83535.209999999992</v>
      </c>
      <c r="D28" s="1431"/>
      <c r="E28" s="1431"/>
      <c r="F28" s="1428">
        <f>(490^2)/(83499.87-C28)</f>
        <v>-6794.0011318625839</v>
      </c>
      <c r="G28" s="1429"/>
      <c r="H28" s="1430" t="s">
        <v>619</v>
      </c>
      <c r="I28" s="1430" t="s">
        <v>1429</v>
      </c>
      <c r="J28" s="1427"/>
      <c r="K28" s="1431"/>
      <c r="L28" s="1426" t="s">
        <v>1697</v>
      </c>
      <c r="M28" s="1431" t="str">
        <f>IF(AX28="PT",VLOOKUP(L28,'Foundation Calculation'!$V$2:$X$40,VLOOKUP(AX28,'Foundation Calculation'!$I$10:$J$13,2,FALSE),0),IF(AX28="K",VLOOKUP(L28,'Foundation Calculation'!$V$42:$X$80,VLOOKUP(AX28,'Foundation Calculation'!$I$10:$J$13,2,FALSE),0),""))</f>
        <v>2C3R</v>
      </c>
      <c r="N28" s="1430" t="s">
        <v>143</v>
      </c>
      <c r="O28" s="1430" t="s">
        <v>140</v>
      </c>
      <c r="P28" s="1431"/>
      <c r="Q28" s="1431">
        <v>-30</v>
      </c>
      <c r="R28" s="1431">
        <v>-6907</v>
      </c>
      <c r="S28" s="1429"/>
      <c r="T28" s="1431">
        <v>-30</v>
      </c>
      <c r="U28" s="1431">
        <v>15</v>
      </c>
      <c r="V28" s="1431"/>
      <c r="W28" s="1431">
        <v>1.4</v>
      </c>
      <c r="X28" s="1431">
        <v>1.8</v>
      </c>
      <c r="Y28" s="1431"/>
      <c r="Z28" s="1431"/>
      <c r="AA28" s="1431">
        <v>0.4</v>
      </c>
      <c r="AB28" s="1431"/>
      <c r="AC28" s="1431" t="str">
        <f>IF(OR(AT28&gt;8,AT28&lt;-8),"PH",IF(OR(AT28&gt;5,AT28&lt;-5),"PH-Q",IF(OR(AT28&gt;1,AT28&lt;-1),"PH-C")))</f>
        <v>PH</v>
      </c>
      <c r="AD28" s="1431"/>
      <c r="AE28" s="1431"/>
      <c r="AF28" s="1431">
        <v>5800</v>
      </c>
      <c r="AG28" s="1427"/>
      <c r="AH28" s="1431">
        <v>2543</v>
      </c>
      <c r="AI28" s="1431">
        <v>280</v>
      </c>
      <c r="AJ28" s="1431" t="s">
        <v>877</v>
      </c>
      <c r="AK28" s="1430"/>
      <c r="AL28" s="1431"/>
      <c r="AM28" s="1431" t="s">
        <v>1042</v>
      </c>
      <c r="AN28" s="1432">
        <v>5.15</v>
      </c>
      <c r="AO28" s="1430"/>
      <c r="AP28" s="1426"/>
      <c r="AQ28" s="1429"/>
      <c r="AR28" s="1429"/>
      <c r="AS28" s="1429"/>
      <c r="AT28" s="1429">
        <f>+ab($T$28,-$U$26,$T$30,$G$27,$G$29,-1*$F$28,1200)</f>
        <v>-8.8672571764240082</v>
      </c>
      <c r="AU28" s="1478"/>
      <c r="AV28" s="1478"/>
      <c r="AW28" s="1431" t="str">
        <f>VLOOKUP(C28,'Foundation Calculation'!$A$2:$C$33,3,1)</f>
        <v>Soil A</v>
      </c>
      <c r="AX28" s="1431" t="str">
        <f>VLOOKUP(C28,'Foundation Calculation'!$E$2:$G$33,3,1)</f>
        <v>PT</v>
      </c>
      <c r="AY28" s="1429">
        <f>IF(AX28="PT",VLOOKUP(L28,'Foundation Calculation'!$K$2:$R$40,VLOOKUP(AW28,'Foundation Calculation'!$I$2:$J$8,2,FALSE),0),IF(AX28="K",VLOOKUP(L28,'Foundation Calculation'!$K$42:$R$80,VLOOKUP(AW28,'Foundation Calculation'!$I$2:$J$8,2,FALSE),0),""))</f>
        <v>3.7</v>
      </c>
      <c r="AZ28" s="1429"/>
      <c r="BA28" s="1526" t="s">
        <v>2809</v>
      </c>
      <c r="BB28" s="1449" t="str">
        <f>Pole_Calculations!A19</f>
        <v>App.7-V11A-P9.5.1.5</v>
      </c>
      <c r="BC28" s="1434"/>
      <c r="BD28" s="1435"/>
      <c r="BE28" s="1435"/>
      <c r="BF28" s="1435"/>
      <c r="BG28" s="1435"/>
    </row>
    <row r="29" spans="1:59" ht="15.75" customHeight="1">
      <c r="A29" s="1239"/>
      <c r="B29" s="173"/>
      <c r="C29" s="446"/>
      <c r="D29" s="638"/>
      <c r="E29" s="638"/>
      <c r="F29" s="447"/>
      <c r="G29" s="484">
        <v>41.4</v>
      </c>
      <c r="H29" s="638"/>
      <c r="I29" s="448">
        <f>C30-C6</f>
        <v>552.29999999998836</v>
      </c>
      <c r="J29" s="446"/>
      <c r="K29" s="638"/>
      <c r="L29" s="638"/>
      <c r="M29" s="638"/>
      <c r="N29" s="1239"/>
      <c r="O29" s="1239"/>
      <c r="P29" s="638"/>
      <c r="Q29" s="638"/>
      <c r="R29" s="638"/>
      <c r="S29" s="484"/>
      <c r="T29" s="638"/>
      <c r="U29" s="638"/>
      <c r="V29" s="638"/>
      <c r="W29" s="638"/>
      <c r="X29" s="638"/>
      <c r="Y29" s="638"/>
      <c r="Z29" s="638"/>
      <c r="AA29" s="638"/>
      <c r="AB29" s="638"/>
      <c r="AC29" s="638"/>
      <c r="AD29" s="638"/>
      <c r="AE29" s="638"/>
      <c r="AF29" s="638"/>
      <c r="AG29" s="446"/>
      <c r="AH29" s="638"/>
      <c r="AI29" s="185"/>
      <c r="AJ29" s="638"/>
      <c r="AK29" s="1239"/>
      <c r="AL29" s="638"/>
      <c r="AM29" s="638"/>
      <c r="AN29" s="455"/>
      <c r="AO29" s="1239"/>
      <c r="AP29" s="1239"/>
      <c r="AQ29" s="484">
        <f>+FL_2($T$30,$T$28,$G$29,1200,9.28,-1*$F$30)</f>
        <v>-0.33019526410651695</v>
      </c>
      <c r="AR29" s="484"/>
      <c r="AS29" s="484"/>
      <c r="AT29" s="484"/>
      <c r="AU29" s="638"/>
      <c r="AV29" s="638"/>
      <c r="AW29" s="638"/>
      <c r="AX29" s="638"/>
      <c r="AY29" s="484"/>
      <c r="AZ29" s="484"/>
      <c r="BA29" s="671"/>
      <c r="BB29" s="1239"/>
      <c r="BC29" s="169"/>
      <c r="BD29" s="1330"/>
      <c r="BE29" s="1330"/>
      <c r="BF29" s="1330"/>
      <c r="BG29" s="1330"/>
    </row>
    <row r="30" spans="1:59" ht="15.75" customHeight="1">
      <c r="A30" s="1239"/>
      <c r="B30" s="439" t="s">
        <v>3735</v>
      </c>
      <c r="C30" s="446">
        <f>+$C$28+$G$29-0.1</f>
        <v>83576.50999999998</v>
      </c>
      <c r="D30" s="638"/>
      <c r="E30" s="638"/>
      <c r="F30" s="448">
        <f>(490^2)/(83499.87-C30)</f>
        <v>-3132.8288100214954</v>
      </c>
      <c r="G30" s="484"/>
      <c r="H30" s="1239" t="s">
        <v>138</v>
      </c>
      <c r="I30" s="1239" t="s">
        <v>624</v>
      </c>
      <c r="J30" s="446"/>
      <c r="K30" s="638"/>
      <c r="L30" s="445" t="s">
        <v>898</v>
      </c>
      <c r="M30" s="638" t="str">
        <f>IF(AX30="PT",VLOOKUP(L30,'Foundation Calculation'!$V$2:$X$40,VLOOKUP(AX30,'Foundation Calculation'!$I$10:$J$13,2,FALSE),0),IF(AX30="K",VLOOKUP(L30,'Foundation Calculation'!$V$42:$X$80,VLOOKUP(AX30,'Foundation Calculation'!$I$10:$J$13,2,FALSE),0),""))</f>
        <v>C4R</v>
      </c>
      <c r="N30" s="1239" t="s">
        <v>144</v>
      </c>
      <c r="O30" s="1239"/>
      <c r="P30" s="638"/>
      <c r="Q30" s="638"/>
      <c r="R30" s="638"/>
      <c r="S30" s="484"/>
      <c r="T30" s="638">
        <v>30</v>
      </c>
      <c r="U30" s="638"/>
      <c r="V30" s="638"/>
      <c r="W30" s="638">
        <v>1.4</v>
      </c>
      <c r="X30" s="638"/>
      <c r="Y30" s="638"/>
      <c r="Z30" s="638"/>
      <c r="AA30" s="638"/>
      <c r="AB30" s="638"/>
      <c r="AC30" s="638" t="str">
        <f>IF(OR(AT30&gt;8,AT30&lt;-8),"PH",IF(OR(AT30&gt;5,AT30&lt;-5),"PH-Q",IF(OR(AT30&gt;1,AT30&lt;-1),"PH-C")))</f>
        <v>PH-Q</v>
      </c>
      <c r="AD30" s="638"/>
      <c r="AE30" s="638"/>
      <c r="AF30" s="638"/>
      <c r="AG30" s="446"/>
      <c r="AH30" s="638"/>
      <c r="AI30" s="185"/>
      <c r="AJ30" s="638"/>
      <c r="AK30" s="1239"/>
      <c r="AL30" s="638"/>
      <c r="AM30" s="638" t="s">
        <v>1042</v>
      </c>
      <c r="AN30" s="455">
        <v>5.15</v>
      </c>
      <c r="AO30" s="1239"/>
      <c r="AP30" s="1239"/>
      <c r="AQ30" s="484"/>
      <c r="AR30" s="484"/>
      <c r="AS30" s="484"/>
      <c r="AT30" s="484">
        <f>+ab($T$30,$T$28,$T$32,$G$29,$G$31,-1*$F$30,1200)</f>
        <v>6.562651497167443</v>
      </c>
      <c r="AU30" s="638"/>
      <c r="AV30" s="638"/>
      <c r="AW30" s="638" t="str">
        <f>VLOOKUP(C30,'Foundation Calculation'!$A$2:$C$33,3,1)</f>
        <v>Soil A</v>
      </c>
      <c r="AX30" s="638" t="str">
        <f>VLOOKUP(C30,'Foundation Calculation'!$E$2:$G$33,3,1)</f>
        <v>PT</v>
      </c>
      <c r="AY30" s="484">
        <f>IF(AX30="PT",VLOOKUP(L30,'Foundation Calculation'!$K$2:$R$40,VLOOKUP(AW30,'Foundation Calculation'!$I$2:$J$8,2,FALSE),0),IF(AX30="K",VLOOKUP(L30,'Foundation Calculation'!$K$42:$R$80,VLOOKUP(AW30,'Foundation Calculation'!$I$2:$J$8,2,FALSE),0),""))</f>
        <v>3.5</v>
      </c>
      <c r="AZ30" s="484"/>
      <c r="BA30" s="671" t="s">
        <v>2809</v>
      </c>
      <c r="BB30" s="1239" t="str">
        <f>Pole_Calculations!A20</f>
        <v>App.7-V11A-P9.5.1.6</v>
      </c>
      <c r="BC30" s="169"/>
      <c r="BD30" s="1329"/>
      <c r="BE30" s="1329"/>
      <c r="BF30" s="1330"/>
      <c r="BG30" s="1329"/>
    </row>
    <row r="31" spans="1:59" ht="15.75" customHeight="1">
      <c r="A31" s="1239"/>
      <c r="B31" s="173"/>
      <c r="C31" s="446"/>
      <c r="D31" s="638"/>
      <c r="E31" s="638"/>
      <c r="F31" s="447"/>
      <c r="G31" s="484">
        <v>50.2</v>
      </c>
      <c r="H31" s="638"/>
      <c r="I31" s="1239" t="s">
        <v>1039</v>
      </c>
      <c r="J31" s="446">
        <f>C30+7.5</f>
        <v>83584.00999999998</v>
      </c>
      <c r="K31" s="638" t="s">
        <v>2787</v>
      </c>
      <c r="L31" s="638"/>
      <c r="M31" s="638"/>
      <c r="N31" s="1239"/>
      <c r="O31" s="638"/>
      <c r="P31" s="638"/>
      <c r="Q31" s="638"/>
      <c r="R31" s="638"/>
      <c r="S31" s="484"/>
      <c r="T31" s="638"/>
      <c r="U31" s="638"/>
      <c r="V31" s="638"/>
      <c r="W31" s="638"/>
      <c r="X31" s="638"/>
      <c r="Y31" s="638"/>
      <c r="Z31" s="638"/>
      <c r="AA31" s="638"/>
      <c r="AB31" s="638"/>
      <c r="AC31" s="638"/>
      <c r="AD31" s="638"/>
      <c r="AE31" s="638"/>
      <c r="AF31" s="638"/>
      <c r="AG31" s="446"/>
      <c r="AH31" s="638"/>
      <c r="AI31" s="185"/>
      <c r="AJ31" s="638"/>
      <c r="AK31" s="1239"/>
      <c r="AL31" s="638"/>
      <c r="AM31" s="638"/>
      <c r="AN31" s="455"/>
      <c r="AO31" s="1239"/>
      <c r="AP31" s="1239"/>
      <c r="AQ31" s="484">
        <f>+FL_1($T$32,$T$30,$G$31,1200,9.28,-1*$F$32)</f>
        <v>0.41234819415603341</v>
      </c>
      <c r="AR31" s="484"/>
      <c r="AS31" s="484"/>
      <c r="AT31" s="484"/>
      <c r="AU31" s="638"/>
      <c r="AV31" s="638"/>
      <c r="AW31" s="638" t="str">
        <f>VLOOKUP(J31,'Foundation Calculation'!$A$2:$C$33,3,1)</f>
        <v>Soil A</v>
      </c>
      <c r="AX31" s="638" t="str">
        <f>VLOOKUP(J31,'Foundation Calculation'!$E$2:$G$33,3,1)</f>
        <v>PT</v>
      </c>
      <c r="AY31" s="484"/>
      <c r="AZ31" s="484">
        <f>IF(AX31="PT",VLOOKUP(K31,'Foundation Calculation'!$K$2:$R$40,VLOOKUP(AW31,'Foundation Calculation'!$I$2:$J$8,2,FALSE),0),IF(AX31="K",VLOOKUP(K31,'Foundation Calculation'!$K$42:$R$80,VLOOKUP(AW31,'Foundation Calculation'!$I$2:$J$8,2,FALSE),0),""))</f>
        <v>3.3</v>
      </c>
      <c r="BA31" s="671" t="s">
        <v>2809</v>
      </c>
      <c r="BB31" s="1239"/>
      <c r="BC31" s="169"/>
      <c r="BD31" s="1329"/>
      <c r="BE31" s="1330"/>
      <c r="BF31" s="1330"/>
      <c r="BG31" s="1330"/>
    </row>
    <row r="32" spans="1:59" ht="15.75" customHeight="1">
      <c r="A32" s="1239"/>
      <c r="B32" s="435" t="s">
        <v>3736</v>
      </c>
      <c r="C32" s="446">
        <f>+$C$30+$G$31</f>
        <v>83626.709999999977</v>
      </c>
      <c r="D32" s="447"/>
      <c r="E32" s="447"/>
      <c r="F32" s="1239">
        <v>-2400</v>
      </c>
      <c r="G32" s="484"/>
      <c r="H32" s="1239"/>
      <c r="I32" s="1239"/>
      <c r="J32" s="446"/>
      <c r="K32" s="638"/>
      <c r="L32" s="445"/>
      <c r="M32" s="445"/>
      <c r="N32" s="1239" t="s">
        <v>844</v>
      </c>
      <c r="O32" s="1239"/>
      <c r="P32" s="638"/>
      <c r="Q32" s="638"/>
      <c r="R32" s="638"/>
      <c r="S32" s="484"/>
      <c r="T32" s="638">
        <v>30</v>
      </c>
      <c r="U32" s="638"/>
      <c r="V32" s="638"/>
      <c r="W32" s="638">
        <v>1.4</v>
      </c>
      <c r="X32" s="638"/>
      <c r="Y32" s="638"/>
      <c r="Z32" s="638"/>
      <c r="AA32" s="638"/>
      <c r="AB32" s="638"/>
      <c r="AC32" s="638" t="str">
        <f>IF(OR(AT32&gt;8,AT32&lt;-8),"PH",IF(OR(AT32&gt;5,AT32&lt;-5),"PH-Q",IF(OR(AT32&gt;1,AT32&lt;-1),"PH-C")))</f>
        <v>PH</v>
      </c>
      <c r="AD32" s="638"/>
      <c r="AE32" s="638"/>
      <c r="AF32" s="638"/>
      <c r="AG32" s="446"/>
      <c r="AH32" s="638"/>
      <c r="AI32" s="185"/>
      <c r="AJ32" s="638"/>
      <c r="AK32" s="1239" t="s">
        <v>139</v>
      </c>
      <c r="AL32" s="638"/>
      <c r="AM32" s="638"/>
      <c r="AN32" s="455">
        <v>5.15</v>
      </c>
      <c r="AO32" s="1239"/>
      <c r="AP32" s="1239"/>
      <c r="AQ32" s="484"/>
      <c r="AR32" s="484"/>
      <c r="AS32" s="484"/>
      <c r="AT32" s="484">
        <f>+ab($T$32,$T$30,$T$34,$G$31,$G$33,-1*$F$32,1200)</f>
        <v>9.1058505345641478</v>
      </c>
      <c r="AU32" s="638"/>
      <c r="AV32" s="638"/>
      <c r="AW32" s="484"/>
      <c r="AX32" s="484"/>
      <c r="AY32" s="484"/>
      <c r="AZ32" s="484"/>
      <c r="BA32" s="671"/>
      <c r="BB32" s="1239"/>
      <c r="BC32" s="169"/>
      <c r="BD32" s="1330"/>
      <c r="BE32" s="1329"/>
      <c r="BF32" s="1330"/>
      <c r="BG32" s="1329"/>
    </row>
    <row r="33" spans="1:59" ht="15.75" customHeight="1">
      <c r="A33" s="647" t="s">
        <v>3049</v>
      </c>
      <c r="B33" s="705"/>
      <c r="C33" s="649"/>
      <c r="D33" s="648"/>
      <c r="E33" s="648"/>
      <c r="F33" s="647"/>
      <c r="G33" s="654">
        <v>50.1</v>
      </c>
      <c r="H33" s="653"/>
      <c r="I33" s="651"/>
      <c r="J33" s="649"/>
      <c r="K33" s="653"/>
      <c r="L33" s="653"/>
      <c r="M33" s="653"/>
      <c r="N33" s="647"/>
      <c r="O33" s="647"/>
      <c r="P33" s="653"/>
      <c r="Q33" s="653"/>
      <c r="R33" s="653"/>
      <c r="S33" s="654"/>
      <c r="T33" s="653"/>
      <c r="U33" s="653"/>
      <c r="V33" s="653"/>
      <c r="W33" s="653"/>
      <c r="X33" s="653"/>
      <c r="Y33" s="653"/>
      <c r="Z33" s="653"/>
      <c r="AA33" s="653"/>
      <c r="AB33" s="653"/>
      <c r="AC33" s="653"/>
      <c r="AD33" s="653"/>
      <c r="AE33" s="653"/>
      <c r="AF33" s="653"/>
      <c r="AG33" s="649"/>
      <c r="AH33" s="653"/>
      <c r="AI33" s="704"/>
      <c r="AJ33" s="653"/>
      <c r="AK33" s="647"/>
      <c r="AL33" s="653"/>
      <c r="AM33" s="653"/>
      <c r="AN33" s="651"/>
      <c r="AO33" s="647"/>
      <c r="AP33" s="647"/>
      <c r="AQ33" s="654">
        <f>+FL_1($T$34,$T$32,$G$33,1200,9.28,-1*$F$34)</f>
        <v>0.41190105183713088</v>
      </c>
      <c r="AR33" s="654"/>
      <c r="AS33" s="654"/>
      <c r="AT33" s="654"/>
      <c r="AU33" s="653"/>
      <c r="AV33" s="653"/>
      <c r="AW33" s="654"/>
      <c r="AX33" s="654"/>
      <c r="AY33" s="654"/>
      <c r="AZ33" s="654"/>
      <c r="BA33" s="701"/>
      <c r="BB33" s="647"/>
      <c r="BC33" s="169"/>
      <c r="BD33" s="1330"/>
      <c r="BE33" s="1330"/>
      <c r="BF33" s="1330"/>
      <c r="BG33" s="1330"/>
    </row>
    <row r="34" spans="1:59" ht="15.75" customHeight="1">
      <c r="A34" s="1239"/>
      <c r="B34" s="435" t="s">
        <v>3737</v>
      </c>
      <c r="C34" s="446">
        <f>+$C$32+$G$33</f>
        <v>83676.809999999983</v>
      </c>
      <c r="D34" s="447"/>
      <c r="E34" s="447"/>
      <c r="F34" s="1239">
        <v>-2400</v>
      </c>
      <c r="G34" s="484"/>
      <c r="H34" s="168"/>
      <c r="I34" s="1239"/>
      <c r="J34" s="446"/>
      <c r="K34" s="638"/>
      <c r="L34" s="445"/>
      <c r="M34" s="445"/>
      <c r="N34" s="1239" t="s">
        <v>844</v>
      </c>
      <c r="O34" s="1239"/>
      <c r="P34" s="638"/>
      <c r="Q34" s="638"/>
      <c r="R34" s="638"/>
      <c r="S34" s="484"/>
      <c r="T34" s="638">
        <v>30</v>
      </c>
      <c r="U34" s="638"/>
      <c r="V34" s="638"/>
      <c r="W34" s="638">
        <v>1.4</v>
      </c>
      <c r="X34" s="638"/>
      <c r="Y34" s="638"/>
      <c r="Z34" s="638"/>
      <c r="AA34" s="638"/>
      <c r="AB34" s="638"/>
      <c r="AC34" s="638" t="str">
        <f>IF(OR(AT34&gt;8,AT34&lt;-8),"PH",IF(OR(AT34&gt;5,AT34&lt;-5),"PH-Q",IF(OR(AT34&gt;1,AT34&lt;-1),"PH-C")))</f>
        <v>PH</v>
      </c>
      <c r="AD34" s="638"/>
      <c r="AE34" s="638"/>
      <c r="AF34" s="638"/>
      <c r="AG34" s="446"/>
      <c r="AH34" s="638"/>
      <c r="AI34" s="185"/>
      <c r="AJ34" s="638"/>
      <c r="AK34" s="1239" t="s">
        <v>139</v>
      </c>
      <c r="AL34" s="638"/>
      <c r="AM34" s="638"/>
      <c r="AN34" s="455">
        <v>5.15</v>
      </c>
      <c r="AO34" s="1239"/>
      <c r="AP34" s="1239"/>
      <c r="AQ34" s="484"/>
      <c r="AR34" s="484"/>
      <c r="AS34" s="484"/>
      <c r="AT34" s="484">
        <f>+ab($T$34,$T$32,$T$36,$G$33,$G$35,-1*$F$34,1200)</f>
        <v>8.6964852578853531</v>
      </c>
      <c r="AU34" s="638"/>
      <c r="AV34" s="638"/>
      <c r="AW34" s="484"/>
      <c r="AX34" s="484"/>
      <c r="AY34" s="484"/>
      <c r="AZ34" s="484"/>
      <c r="BA34" s="671"/>
      <c r="BB34" s="1239"/>
      <c r="BC34" s="169"/>
      <c r="BD34" s="1330"/>
      <c r="BE34" s="1329"/>
      <c r="BF34" s="1330"/>
      <c r="BG34" s="1329"/>
    </row>
    <row r="35" spans="1:59" ht="15.75" customHeight="1">
      <c r="A35" s="1239"/>
      <c r="B35" s="173"/>
      <c r="C35" s="446"/>
      <c r="D35" s="447"/>
      <c r="E35" s="447"/>
      <c r="F35" s="1239"/>
      <c r="G35" s="484">
        <v>55</v>
      </c>
      <c r="H35" s="638"/>
      <c r="I35" s="1239"/>
      <c r="J35" s="446"/>
      <c r="K35" s="638"/>
      <c r="L35" s="638"/>
      <c r="M35" s="638"/>
      <c r="N35" s="1239"/>
      <c r="O35" s="638"/>
      <c r="P35" s="638"/>
      <c r="Q35" s="638"/>
      <c r="R35" s="638"/>
      <c r="S35" s="484"/>
      <c r="T35" s="638"/>
      <c r="U35" s="638"/>
      <c r="V35" s="638"/>
      <c r="W35" s="638"/>
      <c r="X35" s="638"/>
      <c r="Y35" s="638"/>
      <c r="Z35" s="638"/>
      <c r="AA35" s="638"/>
      <c r="AB35" s="638"/>
      <c r="AC35" s="638"/>
      <c r="AD35" s="638"/>
      <c r="AE35" s="638"/>
      <c r="AF35" s="638"/>
      <c r="AG35" s="446"/>
      <c r="AH35" s="638"/>
      <c r="AI35" s="185"/>
      <c r="AJ35" s="638"/>
      <c r="AK35" s="1239"/>
      <c r="AL35" s="638"/>
      <c r="AM35" s="638"/>
      <c r="AN35" s="455"/>
      <c r="AO35" s="1239"/>
      <c r="AP35" s="1239"/>
      <c r="AQ35" s="484">
        <f>+FL_1($T$36,$T$34,$G$35,1200,9.28,-1*$F$36)</f>
        <v>0.43485941160661112</v>
      </c>
      <c r="AR35" s="484"/>
      <c r="AS35" s="484"/>
      <c r="AT35" s="484"/>
      <c r="AU35" s="638"/>
      <c r="AV35" s="638"/>
      <c r="AW35" s="638"/>
      <c r="AX35" s="638"/>
      <c r="AY35" s="484"/>
      <c r="AZ35" s="484"/>
      <c r="BA35" s="671"/>
      <c r="BB35" s="1239"/>
      <c r="BC35" s="169"/>
      <c r="BD35" s="1330"/>
      <c r="BE35" s="1330"/>
      <c r="BF35" s="1330"/>
      <c r="BG35" s="1330"/>
    </row>
    <row r="36" spans="1:59" ht="15.75" customHeight="1">
      <c r="A36" s="1239"/>
      <c r="B36" s="435" t="s">
        <v>3738</v>
      </c>
      <c r="C36" s="446">
        <f>+$C$34+$G$35</f>
        <v>83731.809999999983</v>
      </c>
      <c r="D36" s="447"/>
      <c r="E36" s="447"/>
      <c r="F36" s="1239">
        <v>-2400</v>
      </c>
      <c r="G36" s="484"/>
      <c r="H36" s="1239"/>
      <c r="I36" s="1239"/>
      <c r="J36" s="446"/>
      <c r="K36" s="638"/>
      <c r="L36" s="445"/>
      <c r="M36" s="445"/>
      <c r="N36" s="1239" t="s">
        <v>844</v>
      </c>
      <c r="O36" s="1239"/>
      <c r="P36" s="638"/>
      <c r="Q36" s="638"/>
      <c r="R36" s="638"/>
      <c r="S36" s="484"/>
      <c r="T36" s="638">
        <v>30</v>
      </c>
      <c r="U36" s="638"/>
      <c r="V36" s="638"/>
      <c r="W36" s="638">
        <v>1.4</v>
      </c>
      <c r="X36" s="638"/>
      <c r="Y36" s="638"/>
      <c r="Z36" s="638"/>
      <c r="AA36" s="638"/>
      <c r="AB36" s="638"/>
      <c r="AC36" s="638" t="str">
        <f>IF(OR(AT36&gt;8,AT36&lt;-8),"PH",IF(OR(AT36&gt;5,AT36&lt;-5),"PH-Q",IF(OR(AT36&gt;1,AT36&lt;-1),"PH-C")))</f>
        <v>PH</v>
      </c>
      <c r="AD36" s="638"/>
      <c r="AE36" s="638"/>
      <c r="AF36" s="638"/>
      <c r="AG36" s="446"/>
      <c r="AH36" s="638"/>
      <c r="AI36" s="185"/>
      <c r="AJ36" s="638"/>
      <c r="AK36" s="1239" t="s">
        <v>139</v>
      </c>
      <c r="AL36" s="638"/>
      <c r="AM36" s="638"/>
      <c r="AN36" s="455">
        <v>5.15</v>
      </c>
      <c r="AO36" s="1239"/>
      <c r="AP36" s="1239"/>
      <c r="AQ36" s="484"/>
      <c r="AR36" s="484"/>
      <c r="AS36" s="484"/>
      <c r="AT36" s="484">
        <f>+ab($T$36,$T$34,$T$38,$G$35,$G$37,-1*$F$36,1200)</f>
        <v>8.7046408260282195</v>
      </c>
      <c r="AU36" s="638"/>
      <c r="AV36" s="638"/>
      <c r="AW36" s="484"/>
      <c r="AX36" s="484"/>
      <c r="AY36" s="484"/>
      <c r="AZ36" s="484"/>
      <c r="BA36" s="671"/>
      <c r="BB36" s="1239"/>
      <c r="BC36" s="169"/>
      <c r="BD36" s="1330"/>
      <c r="BE36" s="1329"/>
      <c r="BF36" s="1330"/>
      <c r="BG36" s="1329"/>
    </row>
    <row r="37" spans="1:59" ht="15.75" customHeight="1">
      <c r="A37" s="1239"/>
      <c r="B37" s="173"/>
      <c r="C37" s="446"/>
      <c r="D37" s="447"/>
      <c r="E37" s="447"/>
      <c r="F37" s="1239"/>
      <c r="G37" s="484">
        <v>50</v>
      </c>
      <c r="H37" s="638"/>
      <c r="I37" s="1239"/>
      <c r="J37" s="446"/>
      <c r="K37" s="638"/>
      <c r="L37" s="638"/>
      <c r="M37" s="638"/>
      <c r="N37" s="1239"/>
      <c r="O37" s="638"/>
      <c r="P37" s="638"/>
      <c r="Q37" s="638"/>
      <c r="R37" s="638"/>
      <c r="S37" s="484"/>
      <c r="T37" s="638"/>
      <c r="U37" s="638"/>
      <c r="V37" s="638"/>
      <c r="W37" s="638"/>
      <c r="X37" s="638"/>
      <c r="Y37" s="638"/>
      <c r="Z37" s="638"/>
      <c r="AA37" s="638"/>
      <c r="AB37" s="638"/>
      <c r="AC37" s="638"/>
      <c r="AD37" s="638"/>
      <c r="AE37" s="638"/>
      <c r="AF37" s="638"/>
      <c r="AG37" s="446"/>
      <c r="AH37" s="638"/>
      <c r="AI37" s="185"/>
      <c r="AJ37" s="638"/>
      <c r="AK37" s="1239"/>
      <c r="AL37" s="638"/>
      <c r="AM37" s="638"/>
      <c r="AN37" s="455"/>
      <c r="AO37" s="1239"/>
      <c r="AP37" s="1239"/>
      <c r="AQ37" s="484">
        <f>+FL_1($T$38,$T$36,$G$37,1200,9.28,-1*$F$38)</f>
        <v>0.41670259066874371</v>
      </c>
      <c r="AR37" s="484"/>
      <c r="AS37" s="484"/>
      <c r="AT37" s="484"/>
      <c r="AU37" s="638"/>
      <c r="AV37" s="638"/>
      <c r="AW37" s="638"/>
      <c r="AX37" s="638"/>
      <c r="AY37" s="484"/>
      <c r="AZ37" s="484"/>
      <c r="BA37" s="671"/>
      <c r="BB37" s="1239"/>
      <c r="BC37" s="169"/>
      <c r="BD37" s="1330"/>
      <c r="BE37" s="1330"/>
      <c r="BF37" s="1330"/>
      <c r="BG37" s="1330"/>
    </row>
    <row r="38" spans="1:59" ht="15.75" customHeight="1">
      <c r="A38" s="1239"/>
      <c r="B38" s="435" t="s">
        <v>3739</v>
      </c>
      <c r="C38" s="446">
        <f>+$C$36+$G$37</f>
        <v>83781.809999999983</v>
      </c>
      <c r="D38" s="447"/>
      <c r="E38" s="447"/>
      <c r="F38" s="448">
        <f>-(490^2)/(83877.82-C38)</f>
        <v>-2500.7811686276464</v>
      </c>
      <c r="G38" s="484"/>
      <c r="H38" s="638"/>
      <c r="I38" s="172"/>
      <c r="J38" s="446"/>
      <c r="K38" s="638"/>
      <c r="L38" s="445"/>
      <c r="M38" s="445"/>
      <c r="N38" s="1239" t="s">
        <v>844</v>
      </c>
      <c r="O38" s="1239"/>
      <c r="P38" s="638"/>
      <c r="Q38" s="638"/>
      <c r="R38" s="638"/>
      <c r="S38" s="484"/>
      <c r="T38" s="638">
        <v>30</v>
      </c>
      <c r="U38" s="638"/>
      <c r="V38" s="638"/>
      <c r="W38" s="638">
        <v>1.2</v>
      </c>
      <c r="X38" s="638"/>
      <c r="Y38" s="638"/>
      <c r="Z38" s="638"/>
      <c r="AA38" s="638"/>
      <c r="AB38" s="638"/>
      <c r="AC38" s="638" t="str">
        <f>IF(OR(AT38&gt;8,AT38&lt;-8),"PH",IF(OR(AT38&gt;5,AT38&lt;-5),"PH-Q",IF(OR(AT38&gt;1,AT38&lt;-1),"PH-C")))</f>
        <v>PH</v>
      </c>
      <c r="AD38" s="638"/>
      <c r="AE38" s="638"/>
      <c r="AF38" s="638"/>
      <c r="AG38" s="446"/>
      <c r="AH38" s="638"/>
      <c r="AI38" s="185"/>
      <c r="AJ38" s="638"/>
      <c r="AK38" s="1239" t="s">
        <v>139</v>
      </c>
      <c r="AL38" s="638"/>
      <c r="AM38" s="638"/>
      <c r="AN38" s="455">
        <v>5.15</v>
      </c>
      <c r="AO38" s="1239"/>
      <c r="AP38" s="1239"/>
      <c r="AQ38" s="484"/>
      <c r="AR38" s="484"/>
      <c r="AS38" s="484"/>
      <c r="AT38" s="484">
        <f>+ab($T$38,$T$36,$T$40,$G$37,$G$39,-1*$F$38,1200)</f>
        <v>8.5964842062183369</v>
      </c>
      <c r="AU38" s="638"/>
      <c r="AV38" s="638"/>
      <c r="AW38" s="484"/>
      <c r="AX38" s="484"/>
      <c r="AY38" s="484"/>
      <c r="AZ38" s="484"/>
      <c r="BA38" s="671"/>
      <c r="BB38" s="1239"/>
      <c r="BC38" s="169"/>
      <c r="BD38" s="1330"/>
      <c r="BE38" s="1329"/>
      <c r="BF38" s="1330"/>
      <c r="BG38" s="1329"/>
    </row>
    <row r="39" spans="1:59" ht="15.75" customHeight="1">
      <c r="A39" s="694" t="s">
        <v>3717</v>
      </c>
      <c r="B39" s="717"/>
      <c r="C39" s="718"/>
      <c r="D39" s="719"/>
      <c r="E39" s="719"/>
      <c r="F39" s="694"/>
      <c r="G39" s="720">
        <v>51</v>
      </c>
      <c r="H39" s="721"/>
      <c r="I39" s="694"/>
      <c r="J39" s="718"/>
      <c r="K39" s="721"/>
      <c r="L39" s="721"/>
      <c r="M39" s="721"/>
      <c r="N39" s="694"/>
      <c r="O39" s="694"/>
      <c r="P39" s="721"/>
      <c r="Q39" s="721"/>
      <c r="R39" s="721"/>
      <c r="S39" s="720"/>
      <c r="T39" s="721"/>
      <c r="U39" s="721"/>
      <c r="V39" s="721"/>
      <c r="W39" s="721"/>
      <c r="X39" s="721"/>
      <c r="Y39" s="721"/>
      <c r="Z39" s="721"/>
      <c r="AA39" s="721"/>
      <c r="AB39" s="721"/>
      <c r="AC39" s="721"/>
      <c r="AD39" s="721"/>
      <c r="AE39" s="721"/>
      <c r="AF39" s="721"/>
      <c r="AG39" s="718"/>
      <c r="AH39" s="721"/>
      <c r="AI39" s="723"/>
      <c r="AJ39" s="721"/>
      <c r="AK39" s="694"/>
      <c r="AL39" s="721"/>
      <c r="AM39" s="721"/>
      <c r="AN39" s="724"/>
      <c r="AO39" s="694"/>
      <c r="AP39" s="694"/>
      <c r="AQ39" s="720">
        <f>+FL_1($T$40,$T$38,$G$39,1200,9.28,-1*$F$40)</f>
        <v>0.44376174046412087</v>
      </c>
      <c r="AR39" s="720"/>
      <c r="AS39" s="720"/>
      <c r="AT39" s="720"/>
      <c r="AU39" s="721"/>
      <c r="AV39" s="721"/>
      <c r="AW39" s="721"/>
      <c r="AX39" s="721"/>
      <c r="AY39" s="720"/>
      <c r="AZ39" s="720"/>
      <c r="BA39" s="726"/>
      <c r="BB39" s="694"/>
      <c r="BC39" s="169"/>
      <c r="BD39" s="1330"/>
      <c r="BE39" s="1330"/>
      <c r="BF39" s="1330"/>
      <c r="BG39" s="1330"/>
    </row>
    <row r="40" spans="1:59" ht="15.75" customHeight="1">
      <c r="A40" s="420"/>
      <c r="B40" s="725" t="s">
        <v>3740</v>
      </c>
      <c r="C40" s="416">
        <f>+$C$38+$G$39</f>
        <v>83832.809999999983</v>
      </c>
      <c r="D40" s="418"/>
      <c r="E40" s="418"/>
      <c r="F40" s="421">
        <f>-(490^2)/(83877.82-C40)</f>
        <v>-5334.3701399660677</v>
      </c>
      <c r="G40" s="422"/>
      <c r="H40" s="417"/>
      <c r="I40" s="420"/>
      <c r="J40" s="416"/>
      <c r="K40" s="417"/>
      <c r="L40" s="415"/>
      <c r="M40" s="415"/>
      <c r="N40" s="420" t="s">
        <v>844</v>
      </c>
      <c r="O40" s="420"/>
      <c r="P40" s="417"/>
      <c r="Q40" s="417"/>
      <c r="R40" s="417"/>
      <c r="S40" s="422"/>
      <c r="T40" s="417">
        <v>20</v>
      </c>
      <c r="U40" s="417"/>
      <c r="V40" s="417"/>
      <c r="W40" s="417">
        <v>0.9</v>
      </c>
      <c r="X40" s="417"/>
      <c r="Y40" s="417"/>
      <c r="Z40" s="417"/>
      <c r="AA40" s="417"/>
      <c r="AB40" s="417"/>
      <c r="AC40" s="417" t="str">
        <f>IF(OR(AT40&gt;8,AT40&lt;-8),"PH",IF(OR(AT40&gt;5,AT40&lt;-5),"PH-Q",IF(OR(AT40&gt;1,AT40&lt;-1),"PH-C")))</f>
        <v>PH</v>
      </c>
      <c r="AD40" s="417"/>
      <c r="AE40" s="417"/>
      <c r="AF40" s="417"/>
      <c r="AG40" s="416"/>
      <c r="AH40" s="417"/>
      <c r="AI40" s="607"/>
      <c r="AJ40" s="417"/>
      <c r="AK40" s="420" t="s">
        <v>139</v>
      </c>
      <c r="AL40" s="417"/>
      <c r="AM40" s="417"/>
      <c r="AN40" s="444">
        <v>5.15</v>
      </c>
      <c r="AO40" s="420"/>
      <c r="AP40" s="420"/>
      <c r="AQ40" s="422"/>
      <c r="AR40" s="422"/>
      <c r="AS40" s="422"/>
      <c r="AT40" s="422">
        <f>+ab($T$40,$T$38,$T$42,$G$39,$G$41,-1*$F$40,1200)</f>
        <v>12.441992046670089</v>
      </c>
      <c r="AU40" s="417"/>
      <c r="AV40" s="417"/>
      <c r="AW40" s="422"/>
      <c r="AX40" s="422"/>
      <c r="AY40" s="422"/>
      <c r="AZ40" s="422"/>
      <c r="BA40" s="604"/>
      <c r="BB40" s="420"/>
      <c r="BC40" s="169"/>
      <c r="BD40" s="1330"/>
      <c r="BE40" s="1329"/>
      <c r="BF40" s="1330"/>
      <c r="BG40" s="1329"/>
    </row>
    <row r="41" spans="1:59" ht="15.75" customHeight="1">
      <c r="A41" s="495" t="s">
        <v>3718</v>
      </c>
      <c r="B41" s="639"/>
      <c r="C41" s="489"/>
      <c r="D41" s="491"/>
      <c r="E41" s="491"/>
      <c r="F41" s="495"/>
      <c r="G41" s="493">
        <v>57</v>
      </c>
      <c r="H41" s="490"/>
      <c r="I41" s="490"/>
      <c r="J41" s="489"/>
      <c r="K41" s="490"/>
      <c r="L41" s="490"/>
      <c r="M41" s="490"/>
      <c r="N41" s="495"/>
      <c r="O41" s="495"/>
      <c r="P41" s="490"/>
      <c r="Q41" s="490"/>
      <c r="R41" s="490"/>
      <c r="S41" s="493"/>
      <c r="T41" s="490"/>
      <c r="U41" s="490"/>
      <c r="V41" s="490"/>
      <c r="W41" s="490"/>
      <c r="X41" s="490"/>
      <c r="Y41" s="490"/>
      <c r="Z41" s="490"/>
      <c r="AA41" s="490"/>
      <c r="AB41" s="490"/>
      <c r="AC41" s="490"/>
      <c r="AD41" s="490"/>
      <c r="AE41" s="490"/>
      <c r="AF41" s="490"/>
      <c r="AG41" s="489"/>
      <c r="AH41" s="490"/>
      <c r="AI41" s="640"/>
      <c r="AJ41" s="490"/>
      <c r="AK41" s="495"/>
      <c r="AL41" s="490"/>
      <c r="AM41" s="490"/>
      <c r="AN41" s="457"/>
      <c r="AO41" s="495"/>
      <c r="AP41" s="495"/>
      <c r="AQ41" s="493">
        <f>+FL_1($T$42,$T$40,$G$41,1200,9.28,-1*$F$42)</f>
        <v>0.34591002814035093</v>
      </c>
      <c r="AR41" s="493"/>
      <c r="AS41" s="493"/>
      <c r="AT41" s="493"/>
      <c r="AU41" s="490"/>
      <c r="AV41" s="490"/>
      <c r="AW41" s="490"/>
      <c r="AX41" s="490"/>
      <c r="AY41" s="493"/>
      <c r="AZ41" s="493"/>
      <c r="BA41" s="602"/>
      <c r="BB41" s="495"/>
      <c r="BC41" s="169"/>
      <c r="BD41" s="1330"/>
      <c r="BE41" s="1330"/>
      <c r="BF41" s="1330"/>
      <c r="BG41" s="1330"/>
    </row>
    <row r="42" spans="1:59" s="1436" customFormat="1" ht="15.75" customHeight="1">
      <c r="A42" s="1430"/>
      <c r="B42" s="1498" t="s">
        <v>3741</v>
      </c>
      <c r="C42" s="1433">
        <f>+$C$40+$G$41</f>
        <v>83889.809999999983</v>
      </c>
      <c r="D42" s="1430"/>
      <c r="E42" s="1430"/>
      <c r="F42" s="1430">
        <v>0</v>
      </c>
      <c r="G42" s="1432"/>
      <c r="H42" s="1430"/>
      <c r="I42" s="1430"/>
      <c r="J42" s="1427"/>
      <c r="K42" s="1431"/>
      <c r="L42" s="1426" t="s">
        <v>230</v>
      </c>
      <c r="M42" s="1426" t="str">
        <f>IF(AX42="PT",VLOOKUP(L42,'Foundation Calculation'!$V$2:$X$40,VLOOKUP(AX42,'Foundation Calculation'!$I$10:$J$13,2,FALSE),0),IF(AX42="K",VLOOKUP(L42,'Foundation Calculation'!$V$42:$X$80,VLOOKUP(AX42,'Foundation Calculation'!$I$10:$J$13,2,FALSE),0),""))</f>
        <v>C4R</v>
      </c>
      <c r="N42" s="1430" t="s">
        <v>143</v>
      </c>
      <c r="O42" s="1430"/>
      <c r="P42" s="1431"/>
      <c r="Q42" s="1431">
        <v>0</v>
      </c>
      <c r="R42" s="1431">
        <v>0</v>
      </c>
      <c r="S42" s="1429"/>
      <c r="T42" s="1431">
        <v>-20</v>
      </c>
      <c r="U42" s="1431"/>
      <c r="V42" s="1431"/>
      <c r="W42" s="1431">
        <v>0.9</v>
      </c>
      <c r="X42" s="1431"/>
      <c r="Y42" s="1431"/>
      <c r="Z42" s="1431"/>
      <c r="AA42" s="1431"/>
      <c r="AB42" s="1431"/>
      <c r="AC42" s="1431" t="str">
        <f>IF(OR(AT42&gt;8,AT42&lt;-8),"PH",IF(OR(AT42&gt;5,AT42&lt;-5),"PH-Q",IF(OR(AT42&gt;1,AT42&lt;-1),"PH-C")))</f>
        <v>PH</v>
      </c>
      <c r="AD42" s="1431"/>
      <c r="AE42" s="1431"/>
      <c r="AF42" s="1431">
        <v>4600</v>
      </c>
      <c r="AG42" s="1427"/>
      <c r="AH42" s="1431">
        <v>2403</v>
      </c>
      <c r="AI42" s="1477">
        <v>-780</v>
      </c>
      <c r="AJ42" s="1431"/>
      <c r="AK42" s="1430"/>
      <c r="AL42" s="1431"/>
      <c r="AM42" s="1431"/>
      <c r="AN42" s="1432">
        <v>5.15</v>
      </c>
      <c r="AO42" s="1430"/>
      <c r="AP42" s="1430"/>
      <c r="AQ42" s="1429"/>
      <c r="AR42" s="1429"/>
      <c r="AS42" s="1429"/>
      <c r="AT42" s="1429">
        <f>+ab($T$42,$T$40,$T$44,$G$41,$G$43,-1*$F$42,1200)</f>
        <v>-14.266618709581193</v>
      </c>
      <c r="AU42" s="1478"/>
      <c r="AV42" s="1478"/>
      <c r="AW42" s="1429" t="str">
        <f>VLOOKUP(C42,'Foundation Calculation'!$A$2:$C$33,3,1)</f>
        <v>Soil B</v>
      </c>
      <c r="AX42" s="1429" t="str">
        <f>VLOOKUP(C42,'Foundation Calculation'!$E$2:$G$33,3,1)</f>
        <v>PT</v>
      </c>
      <c r="AY42" s="1429">
        <f>IF(AX42="PT",VLOOKUP(L42,'Foundation Calculation'!$K$2:$R$40,VLOOKUP(AW42,'Foundation Calculation'!$I$2:$J$8,2,FALSE),0),IF(AX42="K",VLOOKUP(L42,'Foundation Calculation'!$K$42:$R$80,VLOOKUP(AW42,'Foundation Calculation'!$I$2:$J$8,2,FALSE),0),""))</f>
        <v>3.5</v>
      </c>
      <c r="AZ42" s="1429"/>
      <c r="BA42" s="1526" t="s">
        <v>2809</v>
      </c>
      <c r="BB42" s="1430" t="str">
        <f>Pole_Calculations!A152</f>
        <v>App.7.1-V01-P9.5.1.1</v>
      </c>
      <c r="BC42" s="1434"/>
      <c r="BD42" s="1435"/>
      <c r="BE42" s="1435"/>
      <c r="BF42" s="1435"/>
      <c r="BG42" s="1435"/>
    </row>
    <row r="43" spans="1:59" ht="15.75" customHeight="1">
      <c r="A43" s="420"/>
      <c r="B43" s="420"/>
      <c r="C43" s="420"/>
      <c r="D43" s="420"/>
      <c r="E43" s="420"/>
      <c r="F43" s="420"/>
      <c r="G43" s="444">
        <v>65</v>
      </c>
      <c r="H43" s="420"/>
      <c r="I43" s="420"/>
      <c r="J43" s="416"/>
      <c r="K43" s="417"/>
      <c r="L43" s="417"/>
      <c r="M43" s="417"/>
      <c r="N43" s="420"/>
      <c r="O43" s="420"/>
      <c r="P43" s="417"/>
      <c r="Q43" s="417"/>
      <c r="R43" s="417"/>
      <c r="S43" s="422"/>
      <c r="T43" s="417"/>
      <c r="U43" s="417"/>
      <c r="V43" s="417"/>
      <c r="W43" s="417"/>
      <c r="X43" s="417"/>
      <c r="Y43" s="417"/>
      <c r="Z43" s="417"/>
      <c r="AA43" s="417"/>
      <c r="AB43" s="417"/>
      <c r="AC43" s="417"/>
      <c r="AD43" s="417"/>
      <c r="AE43" s="417"/>
      <c r="AF43" s="417"/>
      <c r="AG43" s="416"/>
      <c r="AH43" s="417"/>
      <c r="AI43" s="607"/>
      <c r="AJ43" s="417"/>
      <c r="AK43" s="420"/>
      <c r="AL43" s="417"/>
      <c r="AM43" s="417"/>
      <c r="AN43" s="444"/>
      <c r="AO43" s="420"/>
      <c r="AP43" s="420"/>
      <c r="AQ43" s="422">
        <f>+FL_1($T$44,$T$42,$G$43,1200,9.28,-1*$F$44)</f>
        <v>0.43290146338461533</v>
      </c>
      <c r="AR43" s="422"/>
      <c r="AS43" s="422"/>
      <c r="AT43" s="422"/>
      <c r="AU43" s="417"/>
      <c r="AV43" s="417"/>
      <c r="AW43" s="417"/>
      <c r="AX43" s="417"/>
      <c r="AY43" s="422"/>
      <c r="AZ43" s="422"/>
      <c r="BA43" s="604"/>
      <c r="BB43" s="420"/>
      <c r="BC43" s="169"/>
      <c r="BD43" s="1330"/>
      <c r="BE43" s="1330"/>
      <c r="BF43" s="1330"/>
      <c r="BG43" s="1330"/>
    </row>
    <row r="44" spans="1:59" ht="15.75" customHeight="1">
      <c r="A44" s="417"/>
      <c r="B44" s="686" t="s">
        <v>3742</v>
      </c>
      <c r="C44" s="416">
        <f>+$C$42+$G$43</f>
        <v>83954.809999999983</v>
      </c>
      <c r="D44" s="417"/>
      <c r="E44" s="417"/>
      <c r="F44" s="417">
        <v>0</v>
      </c>
      <c r="G44" s="422"/>
      <c r="H44" s="417"/>
      <c r="I44" s="417"/>
      <c r="J44" s="416"/>
      <c r="K44" s="417"/>
      <c r="L44" s="415"/>
      <c r="M44" s="415"/>
      <c r="N44" s="420" t="s">
        <v>844</v>
      </c>
      <c r="O44" s="420"/>
      <c r="P44" s="417"/>
      <c r="Q44" s="417"/>
      <c r="R44" s="417"/>
      <c r="S44" s="422"/>
      <c r="T44" s="417">
        <v>20</v>
      </c>
      <c r="U44" s="417"/>
      <c r="V44" s="417"/>
      <c r="W44" s="417">
        <v>1.2</v>
      </c>
      <c r="X44" s="417"/>
      <c r="Y44" s="417"/>
      <c r="Z44" s="417"/>
      <c r="AA44" s="417"/>
      <c r="AB44" s="417"/>
      <c r="AC44" s="417" t="str">
        <f>IF(OR(AT44&gt;8,AT44&lt;-8),"PH",IF(OR(AT44&gt;5,AT44&lt;-5),"PH-Q",IF(OR(AT44&gt;1,AT44&lt;-1),"PH-C")))</f>
        <v>PH</v>
      </c>
      <c r="AD44" s="417"/>
      <c r="AE44" s="417"/>
      <c r="AF44" s="417"/>
      <c r="AG44" s="416"/>
      <c r="AH44" s="417"/>
      <c r="AI44" s="607"/>
      <c r="AJ44" s="417"/>
      <c r="AK44" s="420" t="s">
        <v>139</v>
      </c>
      <c r="AL44" s="417"/>
      <c r="AM44" s="417"/>
      <c r="AN44" s="444">
        <v>5.15</v>
      </c>
      <c r="AO44" s="420"/>
      <c r="AP44" s="420"/>
      <c r="AQ44" s="422"/>
      <c r="AR44" s="422"/>
      <c r="AS44" s="422"/>
      <c r="AT44" s="422">
        <f>+ab($T$44,$T$42,$T$46,$G$43,$G$45,-1*$F$44,1200)</f>
        <v>15.222605000849795</v>
      </c>
      <c r="AU44" s="417"/>
      <c r="AV44" s="417"/>
      <c r="AW44" s="422"/>
      <c r="AX44" s="422"/>
      <c r="AY44" s="422"/>
      <c r="AZ44" s="422"/>
      <c r="BA44" s="604"/>
      <c r="BB44" s="417"/>
      <c r="BC44" s="169"/>
      <c r="BD44" s="1330"/>
      <c r="BE44" s="1329"/>
      <c r="BF44" s="1330"/>
      <c r="BG44" s="1329"/>
    </row>
    <row r="45" spans="1:59" ht="15.75" customHeight="1">
      <c r="A45" s="647" t="s">
        <v>3720</v>
      </c>
      <c r="B45" s="653"/>
      <c r="C45" s="653"/>
      <c r="D45" s="653"/>
      <c r="E45" s="653"/>
      <c r="F45" s="653"/>
      <c r="G45" s="654">
        <v>65</v>
      </c>
      <c r="H45" s="653"/>
      <c r="I45" s="653"/>
      <c r="J45" s="649"/>
      <c r="K45" s="653"/>
      <c r="L45" s="653"/>
      <c r="M45" s="653"/>
      <c r="N45" s="647"/>
      <c r="O45" s="647"/>
      <c r="P45" s="653"/>
      <c r="Q45" s="653"/>
      <c r="R45" s="653"/>
      <c r="S45" s="654"/>
      <c r="T45" s="653"/>
      <c r="U45" s="653"/>
      <c r="V45" s="653"/>
      <c r="W45" s="653"/>
      <c r="X45" s="653"/>
      <c r="Y45" s="653"/>
      <c r="Z45" s="653"/>
      <c r="AA45" s="653"/>
      <c r="AB45" s="653"/>
      <c r="AC45" s="653"/>
      <c r="AD45" s="653"/>
      <c r="AE45" s="653"/>
      <c r="AF45" s="653"/>
      <c r="AG45" s="649"/>
      <c r="AH45" s="653"/>
      <c r="AI45" s="704"/>
      <c r="AJ45" s="653"/>
      <c r="AK45" s="647"/>
      <c r="AL45" s="653"/>
      <c r="AM45" s="653"/>
      <c r="AN45" s="651"/>
      <c r="AO45" s="647"/>
      <c r="AP45" s="647"/>
      <c r="AQ45" s="654">
        <f>+FL_1($T$46,$T$44,$G$45,1200,9.28,-1*$F$46)</f>
        <v>0.43290146338461521</v>
      </c>
      <c r="AR45" s="654"/>
      <c r="AS45" s="654"/>
      <c r="AT45" s="654"/>
      <c r="AU45" s="653"/>
      <c r="AV45" s="653"/>
      <c r="AW45" s="653"/>
      <c r="AX45" s="653"/>
      <c r="AY45" s="654"/>
      <c r="AZ45" s="654"/>
      <c r="BA45" s="701"/>
      <c r="BB45" s="647"/>
      <c r="BC45" s="169"/>
      <c r="BD45" s="1330"/>
      <c r="BE45" s="1330"/>
      <c r="BF45" s="1330"/>
      <c r="BG45" s="1330"/>
    </row>
    <row r="46" spans="1:59" ht="15.75" customHeight="1">
      <c r="A46" s="414"/>
      <c r="B46" s="686" t="s">
        <v>3743</v>
      </c>
      <c r="C46" s="416">
        <f>+$C$44+$G$45</f>
        <v>84019.809999999983</v>
      </c>
      <c r="D46" s="417"/>
      <c r="E46" s="417"/>
      <c r="F46" s="417">
        <v>0</v>
      </c>
      <c r="G46" s="422"/>
      <c r="H46" s="417" t="s">
        <v>873</v>
      </c>
      <c r="I46" s="417"/>
      <c r="J46" s="416"/>
      <c r="K46" s="417"/>
      <c r="L46" s="415"/>
      <c r="M46" s="415"/>
      <c r="N46" s="420" t="s">
        <v>843</v>
      </c>
      <c r="O46" s="420"/>
      <c r="P46" s="417"/>
      <c r="Q46" s="417"/>
      <c r="R46" s="417"/>
      <c r="S46" s="422"/>
      <c r="T46" s="417">
        <v>-20</v>
      </c>
      <c r="U46" s="417"/>
      <c r="V46" s="417"/>
      <c r="W46" s="417">
        <v>1.4</v>
      </c>
      <c r="X46" s="417"/>
      <c r="Y46" s="417"/>
      <c r="Z46" s="417"/>
      <c r="AA46" s="417"/>
      <c r="AB46" s="417"/>
      <c r="AC46" s="417" t="str">
        <f>IF(OR(AT46&gt;8,AT46&lt;-8),"PH",IF(OR(AT46&gt;5,AT46&lt;-5),"PH-Q",IF(OR(AT46&gt;1,AT46&lt;-1),"PH-C")))</f>
        <v>PH</v>
      </c>
      <c r="AD46" s="417"/>
      <c r="AE46" s="417"/>
      <c r="AF46" s="417"/>
      <c r="AG46" s="416"/>
      <c r="AH46" s="417"/>
      <c r="AI46" s="607"/>
      <c r="AJ46" s="417"/>
      <c r="AK46" s="420" t="s">
        <v>139</v>
      </c>
      <c r="AL46" s="417"/>
      <c r="AM46" s="417"/>
      <c r="AN46" s="444">
        <v>5.15</v>
      </c>
      <c r="AO46" s="420"/>
      <c r="AP46" s="420"/>
      <c r="AQ46" s="422"/>
      <c r="AR46" s="422"/>
      <c r="AS46" s="422"/>
      <c r="AT46" s="422">
        <f>+ab($T$46,$T$44,$T$48,$G$45,$G$47,-1*$F$46,1200)</f>
        <v>-14.393416359177577</v>
      </c>
      <c r="AU46" s="417"/>
      <c r="AV46" s="417"/>
      <c r="AW46" s="422"/>
      <c r="AX46" s="422"/>
      <c r="AY46" s="422"/>
      <c r="AZ46" s="422"/>
      <c r="BA46" s="604"/>
      <c r="BB46" s="414"/>
      <c r="BC46" s="169"/>
      <c r="BD46" s="1330"/>
      <c r="BE46" s="1329"/>
      <c r="BF46" s="1330"/>
      <c r="BG46" s="1329"/>
    </row>
    <row r="47" spans="1:59" ht="15.75" customHeight="1">
      <c r="A47" s="420"/>
      <c r="B47" s="606"/>
      <c r="C47" s="416"/>
      <c r="D47" s="418"/>
      <c r="E47" s="418"/>
      <c r="F47" s="420"/>
      <c r="G47" s="422">
        <v>58</v>
      </c>
      <c r="H47" s="417"/>
      <c r="I47" s="418">
        <f>C48-C24</f>
        <v>625.79999999998836</v>
      </c>
      <c r="J47" s="416"/>
      <c r="K47" s="417"/>
      <c r="L47" s="417"/>
      <c r="M47" s="417"/>
      <c r="N47" s="420"/>
      <c r="O47" s="420"/>
      <c r="P47" s="417"/>
      <c r="Q47" s="417"/>
      <c r="R47" s="417"/>
      <c r="S47" s="422"/>
      <c r="T47" s="417"/>
      <c r="U47" s="417"/>
      <c r="V47" s="417"/>
      <c r="W47" s="417"/>
      <c r="X47" s="417"/>
      <c r="Y47" s="417"/>
      <c r="Z47" s="417"/>
      <c r="AA47" s="417"/>
      <c r="AB47" s="417"/>
      <c r="AC47" s="417"/>
      <c r="AD47" s="417"/>
      <c r="AE47" s="417"/>
      <c r="AF47" s="417"/>
      <c r="AG47" s="416"/>
      <c r="AH47" s="417"/>
      <c r="AI47" s="607"/>
      <c r="AJ47" s="417"/>
      <c r="AK47" s="420" t="s">
        <v>2761</v>
      </c>
      <c r="AL47" s="417"/>
      <c r="AM47" s="417"/>
      <c r="AN47" s="444"/>
      <c r="AO47" s="420"/>
      <c r="AP47" s="420"/>
      <c r="AQ47" s="422">
        <f>+FL_2($T$48,$T$46,$G$47,1200,9.28,-1*$F$48)</f>
        <v>-0.35593823337931035</v>
      </c>
      <c r="AR47" s="422"/>
      <c r="AS47" s="422"/>
      <c r="AT47" s="422"/>
      <c r="AU47" s="417"/>
      <c r="AV47" s="417"/>
      <c r="AW47" s="417"/>
      <c r="AX47" s="417"/>
      <c r="AY47" s="422"/>
      <c r="AZ47" s="422"/>
      <c r="BA47" s="604"/>
      <c r="BB47" s="420"/>
      <c r="BC47" s="169"/>
      <c r="BD47" s="1330"/>
      <c r="BE47" s="1330"/>
      <c r="BF47" s="1330"/>
      <c r="BG47" s="1330"/>
    </row>
    <row r="48" spans="1:59" ht="15.75" customHeight="1">
      <c r="A48" s="420"/>
      <c r="B48" s="725" t="s">
        <v>3744</v>
      </c>
      <c r="C48" s="416">
        <f>+$C$46+$G$47</f>
        <v>84077.809999999983</v>
      </c>
      <c r="D48" s="418"/>
      <c r="E48" s="418"/>
      <c r="F48" s="420">
        <v>0</v>
      </c>
      <c r="G48" s="422"/>
      <c r="H48" s="417" t="s">
        <v>874</v>
      </c>
      <c r="I48" s="419"/>
      <c r="J48" s="416"/>
      <c r="K48" s="417"/>
      <c r="L48" s="415"/>
      <c r="M48" s="415"/>
      <c r="N48" s="420" t="s">
        <v>844</v>
      </c>
      <c r="O48" s="420"/>
      <c r="P48" s="417"/>
      <c r="Q48" s="417"/>
      <c r="R48" s="417"/>
      <c r="S48" s="422"/>
      <c r="T48" s="417">
        <v>20</v>
      </c>
      <c r="U48" s="417"/>
      <c r="V48" s="417"/>
      <c r="W48" s="417">
        <v>1.4</v>
      </c>
      <c r="X48" s="417"/>
      <c r="Y48" s="417"/>
      <c r="Z48" s="417"/>
      <c r="AA48" s="417"/>
      <c r="AB48" s="417"/>
      <c r="AC48" s="417" t="str">
        <f>IF(OR(AT48&gt;8,AT48&lt;-8),"PH",IF(OR(AT48&gt;5,AT48&lt;-5),"PH-Q",IF(OR(AT48&gt;1,AT48&lt;-1),"PH-C")))</f>
        <v>PH</v>
      </c>
      <c r="AD48" s="417"/>
      <c r="AE48" s="417"/>
      <c r="AF48" s="417"/>
      <c r="AG48" s="416"/>
      <c r="AH48" s="417"/>
      <c r="AI48" s="607"/>
      <c r="AJ48" s="417"/>
      <c r="AK48" s="420" t="s">
        <v>139</v>
      </c>
      <c r="AL48" s="417"/>
      <c r="AM48" s="417"/>
      <c r="AN48" s="444">
        <v>5.15</v>
      </c>
      <c r="AO48" s="420"/>
      <c r="AP48" s="420"/>
      <c r="AQ48" s="422"/>
      <c r="AR48" s="422"/>
      <c r="AS48" s="422"/>
      <c r="AT48" s="422">
        <f>+ab($T$48,$T$46,$T$50,$G$47,$G$49,-1*$F$48,1200)</f>
        <v>13.870487291927581</v>
      </c>
      <c r="AU48" s="417"/>
      <c r="AV48" s="417"/>
      <c r="AW48" s="422"/>
      <c r="AX48" s="422"/>
      <c r="AY48" s="422"/>
      <c r="AZ48" s="422"/>
      <c r="BA48" s="604"/>
      <c r="BB48" s="420"/>
      <c r="BC48" s="169"/>
      <c r="BD48" s="1330"/>
      <c r="BE48" s="1329"/>
      <c r="BF48" s="1330"/>
      <c r="BG48" s="1329"/>
    </row>
    <row r="49" spans="1:59" ht="15.75" customHeight="1">
      <c r="A49" s="414" t="s">
        <v>3719</v>
      </c>
      <c r="B49" s="606"/>
      <c r="C49" s="416"/>
      <c r="D49" s="418"/>
      <c r="E49" s="418"/>
      <c r="F49" s="420"/>
      <c r="G49" s="422">
        <v>60</v>
      </c>
      <c r="H49" s="417"/>
      <c r="I49" s="418">
        <f>C70-C48</f>
        <v>534.30000000000291</v>
      </c>
      <c r="J49" s="416"/>
      <c r="K49" s="417"/>
      <c r="L49" s="417"/>
      <c r="M49" s="417"/>
      <c r="N49" s="420"/>
      <c r="O49" s="420"/>
      <c r="P49" s="417"/>
      <c r="Q49" s="417"/>
      <c r="R49" s="417"/>
      <c r="S49" s="422"/>
      <c r="T49" s="417"/>
      <c r="U49" s="417"/>
      <c r="V49" s="417"/>
      <c r="W49" s="417"/>
      <c r="X49" s="417"/>
      <c r="Y49" s="417"/>
      <c r="Z49" s="417"/>
      <c r="AA49" s="417"/>
      <c r="AB49" s="417"/>
      <c r="AC49" s="417"/>
      <c r="AD49" s="417"/>
      <c r="AE49" s="417"/>
      <c r="AF49" s="417"/>
      <c r="AG49" s="416"/>
      <c r="AH49" s="417"/>
      <c r="AI49" s="607"/>
      <c r="AJ49" s="417"/>
      <c r="AK49" s="420" t="s">
        <v>2761</v>
      </c>
      <c r="AL49" s="417"/>
      <c r="AM49" s="417"/>
      <c r="AN49" s="444"/>
      <c r="AO49" s="420"/>
      <c r="AP49" s="420"/>
      <c r="AQ49" s="422">
        <f>+FL_2($T$50,$T$48,$G$49,1200,9.28,-1*$F$50)</f>
        <v>-0.37673563199999993</v>
      </c>
      <c r="AR49" s="422"/>
      <c r="AS49" s="422"/>
      <c r="AT49" s="422"/>
      <c r="AU49" s="417"/>
      <c r="AV49" s="417"/>
      <c r="AW49" s="417"/>
      <c r="AX49" s="417"/>
      <c r="AY49" s="422"/>
      <c r="AZ49" s="422"/>
      <c r="BA49" s="604"/>
      <c r="BB49" s="414"/>
      <c r="BC49" s="169"/>
      <c r="BD49" s="1330"/>
      <c r="BE49" s="1330"/>
      <c r="BF49" s="1330"/>
      <c r="BG49" s="1330"/>
    </row>
    <row r="50" spans="1:59" ht="15.75" customHeight="1">
      <c r="A50" s="414" t="s">
        <v>1854</v>
      </c>
      <c r="B50" s="725" t="s">
        <v>3745</v>
      </c>
      <c r="C50" s="416">
        <f>+$C$48+$G$49</f>
        <v>84137.809999999983</v>
      </c>
      <c r="D50" s="418"/>
      <c r="E50" s="418"/>
      <c r="F50" s="420">
        <v>0</v>
      </c>
      <c r="G50" s="422"/>
      <c r="H50" s="417" t="s">
        <v>873</v>
      </c>
      <c r="I50" s="417"/>
      <c r="J50" s="416"/>
      <c r="K50" s="417"/>
      <c r="L50" s="415"/>
      <c r="M50" s="415"/>
      <c r="N50" s="420" t="s">
        <v>843</v>
      </c>
      <c r="O50" s="420"/>
      <c r="P50" s="417"/>
      <c r="Q50" s="417"/>
      <c r="R50" s="417"/>
      <c r="S50" s="422"/>
      <c r="T50" s="417">
        <v>-20</v>
      </c>
      <c r="U50" s="417"/>
      <c r="V50" s="417"/>
      <c r="W50" s="417">
        <v>1.4</v>
      </c>
      <c r="X50" s="417"/>
      <c r="Y50" s="417"/>
      <c r="Z50" s="417"/>
      <c r="AA50" s="417"/>
      <c r="AB50" s="417"/>
      <c r="AC50" s="417" t="str">
        <f>IF(OR(AT50&gt;8,AT50&lt;-8),"PH",IF(OR(AT50&gt;5,AT50&lt;-5),"PH-Q",IF(OR(AT50&gt;1,AT50&lt;-1),"PH-C")))</f>
        <v>PH</v>
      </c>
      <c r="AD50" s="417"/>
      <c r="AE50" s="417"/>
      <c r="AF50" s="417"/>
      <c r="AG50" s="416"/>
      <c r="AH50" s="417"/>
      <c r="AI50" s="607"/>
      <c r="AJ50" s="417"/>
      <c r="AK50" s="420" t="s">
        <v>139</v>
      </c>
      <c r="AL50" s="417"/>
      <c r="AM50" s="417"/>
      <c r="AN50" s="444">
        <v>5.15</v>
      </c>
      <c r="AO50" s="420"/>
      <c r="AP50" s="420"/>
      <c r="AQ50" s="422"/>
      <c r="AR50" s="422"/>
      <c r="AS50" s="422"/>
      <c r="AT50" s="422">
        <f>+ab($T$50,$T$48,$T$52,$G$49,$G$51,-1*$F$50,1200)</f>
        <v>-12.863084290992058</v>
      </c>
      <c r="AU50" s="417"/>
      <c r="AV50" s="417"/>
      <c r="AW50" s="422"/>
      <c r="AX50" s="422"/>
      <c r="AY50" s="422"/>
      <c r="AZ50" s="422"/>
      <c r="BA50" s="604"/>
      <c r="BB50" s="414"/>
      <c r="BC50" s="169"/>
      <c r="BD50" s="1330"/>
      <c r="BE50" s="1329"/>
      <c r="BF50" s="1330"/>
      <c r="BG50" s="1329"/>
    </row>
    <row r="51" spans="1:59" ht="15.75" customHeight="1">
      <c r="A51" s="420"/>
      <c r="B51" s="606"/>
      <c r="C51" s="416"/>
      <c r="D51" s="418"/>
      <c r="E51" s="418"/>
      <c r="F51" s="420"/>
      <c r="G51" s="422">
        <v>50</v>
      </c>
      <c r="H51" s="587"/>
      <c r="I51" s="417"/>
      <c r="J51" s="416"/>
      <c r="K51" s="417"/>
      <c r="L51" s="417"/>
      <c r="M51" s="417"/>
      <c r="N51" s="420"/>
      <c r="O51" s="420"/>
      <c r="P51" s="417"/>
      <c r="Q51" s="417"/>
      <c r="R51" s="417"/>
      <c r="S51" s="422"/>
      <c r="T51" s="417"/>
      <c r="U51" s="417"/>
      <c r="V51" s="417"/>
      <c r="W51" s="417"/>
      <c r="X51" s="417"/>
      <c r="Y51" s="417"/>
      <c r="Z51" s="417"/>
      <c r="AA51" s="417"/>
      <c r="AB51" s="417"/>
      <c r="AC51" s="417"/>
      <c r="AD51" s="417"/>
      <c r="AE51" s="417"/>
      <c r="AF51" s="417"/>
      <c r="AG51" s="416"/>
      <c r="AH51" s="417"/>
      <c r="AI51" s="607"/>
      <c r="AJ51" s="417"/>
      <c r="AK51" s="420"/>
      <c r="AL51" s="417"/>
      <c r="AM51" s="417"/>
      <c r="AN51" s="444"/>
      <c r="AO51" s="420"/>
      <c r="AP51" s="420"/>
      <c r="AQ51" s="422">
        <f>+FL_1($T$52,$T$50,$G$51,1200,9.28,-1*$F$52)</f>
        <v>0.31633370913643072</v>
      </c>
      <c r="AR51" s="422"/>
      <c r="AS51" s="422"/>
      <c r="AT51" s="422"/>
      <c r="AU51" s="417"/>
      <c r="AV51" s="417"/>
      <c r="AW51" s="417"/>
      <c r="AX51" s="417"/>
      <c r="AY51" s="422"/>
      <c r="AZ51" s="422"/>
      <c r="BA51" s="604"/>
      <c r="BB51" s="420"/>
      <c r="BC51" s="169"/>
      <c r="BD51" s="1330"/>
      <c r="BE51" s="1330"/>
      <c r="BF51" s="1330"/>
      <c r="BG51" s="1330"/>
    </row>
    <row r="52" spans="1:59" ht="15.75" customHeight="1">
      <c r="A52" s="420"/>
      <c r="B52" s="725" t="s">
        <v>3746</v>
      </c>
      <c r="C52" s="416">
        <f>+$C$50+$G$51</f>
        <v>84187.809999999983</v>
      </c>
      <c r="D52" s="418"/>
      <c r="E52" s="418"/>
      <c r="F52" s="420">
        <v>8004</v>
      </c>
      <c r="G52" s="422"/>
      <c r="H52" s="420"/>
      <c r="I52" s="420"/>
      <c r="J52" s="416"/>
      <c r="K52" s="417"/>
      <c r="L52" s="415"/>
      <c r="M52" s="415"/>
      <c r="N52" s="420" t="s">
        <v>844</v>
      </c>
      <c r="O52" s="420"/>
      <c r="P52" s="417"/>
      <c r="Q52" s="417"/>
      <c r="R52" s="417"/>
      <c r="S52" s="422"/>
      <c r="T52" s="417">
        <v>20</v>
      </c>
      <c r="U52" s="417"/>
      <c r="V52" s="417"/>
      <c r="W52" s="417">
        <v>1.2</v>
      </c>
      <c r="X52" s="417"/>
      <c r="Y52" s="417"/>
      <c r="Z52" s="417"/>
      <c r="AA52" s="417"/>
      <c r="AB52" s="417"/>
      <c r="AC52" s="417" t="str">
        <f>IF(OR(AT52&gt;8,AT52&lt;-8),"PH",IF(OR(AT52&gt;5,AT52&lt;-5),"PH-Q",IF(OR(AT52&gt;1,AT52&lt;-1),"PH-C")))</f>
        <v>PH</v>
      </c>
      <c r="AD52" s="417"/>
      <c r="AE52" s="417"/>
      <c r="AF52" s="417"/>
      <c r="AG52" s="416"/>
      <c r="AH52" s="417"/>
      <c r="AI52" s="607"/>
      <c r="AJ52" s="417"/>
      <c r="AK52" s="420" t="s">
        <v>139</v>
      </c>
      <c r="AL52" s="417"/>
      <c r="AM52" s="417"/>
      <c r="AN52" s="444">
        <v>5.15</v>
      </c>
      <c r="AO52" s="420"/>
      <c r="AP52" s="420"/>
      <c r="AQ52" s="422"/>
      <c r="AR52" s="422"/>
      <c r="AS52" s="422"/>
      <c r="AT52" s="422">
        <f>+ab($T$52,$T$50,$T$54,$G$51,$G$53,-1*$F$52,1200)</f>
        <v>17.382464544817704</v>
      </c>
      <c r="AU52" s="417"/>
      <c r="AV52" s="417"/>
      <c r="AW52" s="422"/>
      <c r="AX52" s="422"/>
      <c r="AY52" s="422"/>
      <c r="AZ52" s="422"/>
      <c r="BA52" s="604"/>
      <c r="BB52" s="420"/>
      <c r="BC52" s="169"/>
      <c r="BD52" s="1330"/>
      <c r="BE52" s="1329"/>
      <c r="BF52" s="1330"/>
      <c r="BG52" s="1329"/>
    </row>
    <row r="53" spans="1:59" ht="15.75" customHeight="1">
      <c r="A53" s="420"/>
      <c r="B53" s="606"/>
      <c r="C53" s="416"/>
      <c r="D53" s="418"/>
      <c r="E53" s="418"/>
      <c r="F53" s="420"/>
      <c r="G53" s="422">
        <v>46</v>
      </c>
      <c r="H53" s="420"/>
      <c r="I53" s="420"/>
      <c r="J53" s="416"/>
      <c r="K53" s="417"/>
      <c r="L53" s="417"/>
      <c r="M53" s="417"/>
      <c r="N53" s="420"/>
      <c r="O53" s="420"/>
      <c r="P53" s="417"/>
      <c r="Q53" s="417"/>
      <c r="R53" s="417"/>
      <c r="S53" s="422"/>
      <c r="T53" s="417"/>
      <c r="U53" s="417"/>
      <c r="V53" s="417"/>
      <c r="W53" s="417"/>
      <c r="X53" s="417"/>
      <c r="Y53" s="417"/>
      <c r="Z53" s="417"/>
      <c r="AA53" s="417"/>
      <c r="AB53" s="417"/>
      <c r="AC53" s="417"/>
      <c r="AD53" s="417"/>
      <c r="AE53" s="417"/>
      <c r="AF53" s="417"/>
      <c r="AG53" s="416"/>
      <c r="AH53" s="417"/>
      <c r="AI53" s="607"/>
      <c r="AJ53" s="417"/>
      <c r="AK53" s="420"/>
      <c r="AL53" s="417"/>
      <c r="AM53" s="417"/>
      <c r="AN53" s="444"/>
      <c r="AO53" s="420"/>
      <c r="AP53" s="420"/>
      <c r="AQ53" s="422">
        <f>+FL_2($T$54,$T$52,$G$53,1200,9.28,-1*$F$54)</f>
        <v>-0.2534352584347826</v>
      </c>
      <c r="AR53" s="422"/>
      <c r="AS53" s="422"/>
      <c r="AT53" s="422"/>
      <c r="AU53" s="417"/>
      <c r="AV53" s="417"/>
      <c r="AW53" s="417"/>
      <c r="AX53" s="417"/>
      <c r="AY53" s="422"/>
      <c r="AZ53" s="422"/>
      <c r="BA53" s="604"/>
      <c r="BB53" s="420"/>
      <c r="BC53" s="169"/>
      <c r="BD53" s="1330"/>
      <c r="BE53" s="1330"/>
      <c r="BF53" s="1330"/>
      <c r="BG53" s="1330"/>
    </row>
    <row r="54" spans="1:59" ht="15.75" customHeight="1">
      <c r="A54" s="420"/>
      <c r="B54" s="725" t="s">
        <v>3747</v>
      </c>
      <c r="C54" s="416">
        <f>+$C$52+$G$53</f>
        <v>84233.809999999983</v>
      </c>
      <c r="D54" s="418"/>
      <c r="E54" s="418"/>
      <c r="F54" s="420">
        <v>0</v>
      </c>
      <c r="G54" s="422"/>
      <c r="H54" s="420"/>
      <c r="I54" s="420"/>
      <c r="J54" s="416"/>
      <c r="K54" s="417"/>
      <c r="L54" s="415"/>
      <c r="M54" s="415"/>
      <c r="N54" s="420" t="s">
        <v>843</v>
      </c>
      <c r="O54" s="420"/>
      <c r="P54" s="417"/>
      <c r="Q54" s="417"/>
      <c r="R54" s="417"/>
      <c r="S54" s="422"/>
      <c r="T54" s="417">
        <v>-20</v>
      </c>
      <c r="U54" s="417"/>
      <c r="V54" s="417"/>
      <c r="W54" s="417">
        <v>1</v>
      </c>
      <c r="X54" s="417"/>
      <c r="Y54" s="417"/>
      <c r="Z54" s="417"/>
      <c r="AA54" s="417"/>
      <c r="AB54" s="417"/>
      <c r="AC54" s="417" t="str">
        <f>IF(OR(AT54&gt;8,AT54&lt;-8),"PH",IF(OR(AT54&gt;5,AT54&lt;-5),"PH-Q",IF(OR(AT54&gt;1,AT54&lt;-1),"PH-C")))</f>
        <v>PH</v>
      </c>
      <c r="AD54" s="417"/>
      <c r="AE54" s="417"/>
      <c r="AF54" s="417"/>
      <c r="AG54" s="416"/>
      <c r="AH54" s="417"/>
      <c r="AI54" s="607"/>
      <c r="AJ54" s="417"/>
      <c r="AK54" s="420" t="s">
        <v>139</v>
      </c>
      <c r="AL54" s="417"/>
      <c r="AM54" s="417"/>
      <c r="AN54" s="444">
        <v>5.15</v>
      </c>
      <c r="AO54" s="420"/>
      <c r="AP54" s="420"/>
      <c r="AQ54" s="422"/>
      <c r="AR54" s="422"/>
      <c r="AS54" s="422"/>
      <c r="AT54" s="422">
        <f>+ab($T$54,$T$52,$T$56,$G$53,$G$55,-1*$F$54,1200)</f>
        <v>-10.900413468127597</v>
      </c>
      <c r="AU54" s="417"/>
      <c r="AV54" s="417"/>
      <c r="AW54" s="422"/>
      <c r="AX54" s="422"/>
      <c r="AY54" s="422"/>
      <c r="AZ54" s="422"/>
      <c r="BA54" s="604"/>
      <c r="BB54" s="420"/>
      <c r="BC54" s="169"/>
      <c r="BD54" s="1330"/>
      <c r="BE54" s="1329"/>
      <c r="BF54" s="1330"/>
      <c r="BG54" s="1329"/>
    </row>
    <row r="55" spans="1:59" ht="15.75" customHeight="1">
      <c r="A55" s="647" t="s">
        <v>3049</v>
      </c>
      <c r="B55" s="705"/>
      <c r="C55" s="649"/>
      <c r="D55" s="648"/>
      <c r="E55" s="648"/>
      <c r="F55" s="647"/>
      <c r="G55" s="654">
        <v>46</v>
      </c>
      <c r="H55" s="647"/>
      <c r="I55" s="647"/>
      <c r="J55" s="649"/>
      <c r="K55" s="653"/>
      <c r="L55" s="653"/>
      <c r="M55" s="653"/>
      <c r="N55" s="647"/>
      <c r="O55" s="647"/>
      <c r="P55" s="653"/>
      <c r="Q55" s="653"/>
      <c r="R55" s="653"/>
      <c r="S55" s="654"/>
      <c r="T55" s="653"/>
      <c r="U55" s="653"/>
      <c r="V55" s="653"/>
      <c r="W55" s="653"/>
      <c r="X55" s="653"/>
      <c r="Y55" s="653"/>
      <c r="Z55" s="653"/>
      <c r="AA55" s="653"/>
      <c r="AB55" s="653"/>
      <c r="AC55" s="653"/>
      <c r="AD55" s="653"/>
      <c r="AE55" s="653"/>
      <c r="AF55" s="653"/>
      <c r="AG55" s="649"/>
      <c r="AH55" s="653"/>
      <c r="AI55" s="704"/>
      <c r="AJ55" s="653"/>
      <c r="AK55" s="647"/>
      <c r="AL55" s="653"/>
      <c r="AM55" s="653"/>
      <c r="AN55" s="651"/>
      <c r="AO55" s="647"/>
      <c r="AP55" s="647"/>
      <c r="AQ55" s="654">
        <f>+FL_1($T$56,$T$54,$G$55,1200,9.28,-1*$F$56)</f>
        <v>0.2534352584347826</v>
      </c>
      <c r="AR55" s="654"/>
      <c r="AS55" s="654"/>
      <c r="AT55" s="654"/>
      <c r="AU55" s="653"/>
      <c r="AV55" s="653"/>
      <c r="AW55" s="653"/>
      <c r="AX55" s="653"/>
      <c r="AY55" s="654"/>
      <c r="AZ55" s="654"/>
      <c r="BA55" s="701"/>
      <c r="BB55" s="647"/>
      <c r="BC55" s="169"/>
      <c r="BD55" s="1330"/>
      <c r="BE55" s="1330"/>
      <c r="BF55" s="1330"/>
      <c r="BG55" s="1330"/>
    </row>
    <row r="56" spans="1:59" ht="15.75" customHeight="1">
      <c r="A56" s="420"/>
      <c r="B56" s="725" t="s">
        <v>3748</v>
      </c>
      <c r="C56" s="416">
        <f>+$C$54+$G$55</f>
        <v>84279.809999999983</v>
      </c>
      <c r="D56" s="418"/>
      <c r="E56" s="418"/>
      <c r="F56" s="420">
        <v>0</v>
      </c>
      <c r="G56" s="422"/>
      <c r="H56" s="420"/>
      <c r="I56" s="420"/>
      <c r="J56" s="416"/>
      <c r="K56" s="417"/>
      <c r="L56" s="415"/>
      <c r="M56" s="415"/>
      <c r="N56" s="420" t="s">
        <v>844</v>
      </c>
      <c r="O56" s="420"/>
      <c r="P56" s="417"/>
      <c r="Q56" s="417"/>
      <c r="R56" s="417"/>
      <c r="S56" s="422"/>
      <c r="T56" s="417">
        <v>20</v>
      </c>
      <c r="U56" s="417"/>
      <c r="V56" s="417"/>
      <c r="W56" s="417">
        <v>0.8</v>
      </c>
      <c r="X56" s="417"/>
      <c r="Y56" s="417"/>
      <c r="Z56" s="417"/>
      <c r="AA56" s="417"/>
      <c r="AB56" s="417"/>
      <c r="AC56" s="417" t="str">
        <f>IF(OR(AT56&gt;8,AT56&lt;-8),"PH",IF(OR(AT56&gt;5,AT56&lt;-5),"PH-Q",IF(OR(AT56&gt;1,AT56&lt;-1),"PH-C")))</f>
        <v>PH</v>
      </c>
      <c r="AD56" s="417"/>
      <c r="AE56" s="417"/>
      <c r="AF56" s="417"/>
      <c r="AG56" s="416"/>
      <c r="AH56" s="417"/>
      <c r="AI56" s="607"/>
      <c r="AJ56" s="417"/>
      <c r="AK56" s="420" t="s">
        <v>139</v>
      </c>
      <c r="AL56" s="417"/>
      <c r="AM56" s="417"/>
      <c r="AN56" s="444">
        <v>5.15</v>
      </c>
      <c r="AO56" s="420"/>
      <c r="AP56" s="420"/>
      <c r="AQ56" s="422"/>
      <c r="AR56" s="422"/>
      <c r="AS56" s="422"/>
      <c r="AT56" s="422">
        <f>+ab($T$56,$T$54,$T$58,$G$55,$G$57,-1*$F$56,1200)</f>
        <v>10.016214904174708</v>
      </c>
      <c r="AU56" s="417"/>
      <c r="AV56" s="417"/>
      <c r="AW56" s="422"/>
      <c r="AX56" s="422"/>
      <c r="AY56" s="422"/>
      <c r="AZ56" s="422"/>
      <c r="BA56" s="604"/>
      <c r="BB56" s="420"/>
      <c r="BC56" s="169"/>
      <c r="BD56" s="1330"/>
      <c r="BE56" s="1329"/>
      <c r="BF56" s="1330"/>
      <c r="BG56" s="1329"/>
    </row>
    <row r="57" spans="1:59" ht="15.75" customHeight="1">
      <c r="A57" s="694" t="s">
        <v>3717</v>
      </c>
      <c r="B57" s="717"/>
      <c r="C57" s="718"/>
      <c r="D57" s="719"/>
      <c r="E57" s="719"/>
      <c r="F57" s="694"/>
      <c r="G57" s="720">
        <v>48.7</v>
      </c>
      <c r="H57" s="721"/>
      <c r="I57" s="719"/>
      <c r="J57" s="718"/>
      <c r="K57" s="721"/>
      <c r="L57" s="721"/>
      <c r="M57" s="721"/>
      <c r="N57" s="694"/>
      <c r="O57" s="694"/>
      <c r="P57" s="721"/>
      <c r="Q57" s="721"/>
      <c r="R57" s="721"/>
      <c r="S57" s="720"/>
      <c r="T57" s="721"/>
      <c r="U57" s="721"/>
      <c r="V57" s="721"/>
      <c r="W57" s="721"/>
      <c r="X57" s="721"/>
      <c r="Y57" s="721"/>
      <c r="Z57" s="721"/>
      <c r="AA57" s="721"/>
      <c r="AB57" s="721"/>
      <c r="AC57" s="721"/>
      <c r="AD57" s="721"/>
      <c r="AE57" s="721"/>
      <c r="AF57" s="721"/>
      <c r="AG57" s="718"/>
      <c r="AH57" s="721"/>
      <c r="AI57" s="723"/>
      <c r="AJ57" s="721"/>
      <c r="AK57" s="694"/>
      <c r="AL57" s="721"/>
      <c r="AM57" s="721"/>
      <c r="AN57" s="724"/>
      <c r="AO57" s="694"/>
      <c r="AP57" s="694"/>
      <c r="AQ57" s="720">
        <f>+FL_2($T$58,$T$56,$G$57,1200,9.28,-1*$F$58)</f>
        <v>-0.32349878661315079</v>
      </c>
      <c r="AR57" s="720"/>
      <c r="AS57" s="720"/>
      <c r="AT57" s="720"/>
      <c r="AU57" s="721"/>
      <c r="AV57" s="721"/>
      <c r="AW57" s="721"/>
      <c r="AX57" s="721"/>
      <c r="AY57" s="720"/>
      <c r="AZ57" s="720"/>
      <c r="BA57" s="726"/>
      <c r="BB57" s="694"/>
      <c r="BC57" s="169"/>
      <c r="BD57" s="1330"/>
      <c r="BE57" s="1330"/>
      <c r="BF57" s="1330"/>
      <c r="BG57" s="1330"/>
    </row>
    <row r="58" spans="1:59" ht="12.5">
      <c r="A58" s="1239"/>
      <c r="B58" s="435" t="s">
        <v>3749</v>
      </c>
      <c r="C58" s="446">
        <f>+$C$56+$G$57</f>
        <v>84328.50999999998</v>
      </c>
      <c r="D58" s="173"/>
      <c r="E58" s="447"/>
      <c r="F58" s="447">
        <v>8000</v>
      </c>
      <c r="G58" s="484"/>
      <c r="H58" s="1239"/>
      <c r="I58" s="1239"/>
      <c r="J58" s="171"/>
      <c r="K58" s="638"/>
      <c r="L58" s="638" t="s">
        <v>4664</v>
      </c>
      <c r="M58" s="638" t="s">
        <v>4679</v>
      </c>
      <c r="N58" s="1239" t="s">
        <v>143</v>
      </c>
      <c r="O58" s="1239"/>
      <c r="P58" s="1239"/>
      <c r="Q58" s="638"/>
      <c r="R58" s="638"/>
      <c r="S58" s="484"/>
      <c r="T58" s="638">
        <v>-30</v>
      </c>
      <c r="U58" s="638"/>
      <c r="V58" s="638"/>
      <c r="W58" s="638">
        <v>0.68</v>
      </c>
      <c r="X58" s="638"/>
      <c r="Y58" s="638"/>
      <c r="Z58" s="638"/>
      <c r="AA58" s="638"/>
      <c r="AB58" s="638"/>
      <c r="AC58" s="638" t="str">
        <f>IF(OR(AT58&gt;8,AT58&lt;-8),"PH",IF(OR(AT58&gt;5,AT58&lt;-5),"PH-Q",IF(OR(AT58&gt;1,AT58&lt;-1),"PH-C")))</f>
        <v>PH-Q</v>
      </c>
      <c r="AD58" s="638"/>
      <c r="AE58" s="638"/>
      <c r="AF58" s="638"/>
      <c r="AG58" s="446"/>
      <c r="AH58" s="638"/>
      <c r="AI58" s="638"/>
      <c r="AJ58" s="638"/>
      <c r="AK58" s="638"/>
      <c r="AL58" s="638" t="s">
        <v>2143</v>
      </c>
      <c r="AM58" s="638" t="s">
        <v>1042</v>
      </c>
      <c r="AN58" s="455">
        <v>5.15</v>
      </c>
      <c r="AO58" s="1239"/>
      <c r="AP58" s="1239"/>
      <c r="AQ58" s="484"/>
      <c r="AR58" s="484"/>
      <c r="AS58" s="484"/>
      <c r="AT58" s="484">
        <f>+ab($T$58,$T$56,$U$60,$G$57,$G$59,-1*$F$58,1200)</f>
        <v>-6.3912634615147645</v>
      </c>
      <c r="AU58" s="638"/>
      <c r="AV58" s="638"/>
      <c r="AW58" s="638" t="str">
        <f>VLOOKUP(C58,'Foundation Calculation'!$A$2:$C$33,3,1)</f>
        <v>Soil B</v>
      </c>
      <c r="AX58" s="638" t="str">
        <f>VLOOKUP(C58,'Foundation Calculation'!$E$2:$G$33,3,1)</f>
        <v>PT</v>
      </c>
      <c r="AY58" s="484">
        <f>IF(AX58="PT",VLOOKUP(L58,'Foundation Calculation'!$K$2:$R$40,VLOOKUP(AW58,'Foundation Calculation'!$I$2:$J$8,2,FALSE),0),IF(AX58="K",VLOOKUP(L58,'Foundation Calculation'!$K$42:$R$80,VLOOKUP(AW58,'Foundation Calculation'!$I$2:$J$8,2,FALSE),0),""))</f>
        <v>4.4000000000000004</v>
      </c>
      <c r="AZ58" s="484"/>
      <c r="BA58" s="671" t="s">
        <v>2809</v>
      </c>
      <c r="BB58" s="1239" t="str">
        <f>Pole_Calculations!A178</f>
        <v>App.8-V08F-P10.3</v>
      </c>
      <c r="BC58" s="169"/>
      <c r="BD58" s="1329"/>
      <c r="BE58" s="1329"/>
      <c r="BF58" s="1329"/>
      <c r="BG58" s="1329"/>
    </row>
    <row r="59" spans="1:59" ht="15.75" customHeight="1">
      <c r="A59" s="495"/>
      <c r="B59" s="639"/>
      <c r="C59" s="489"/>
      <c r="D59" s="639"/>
      <c r="E59" s="491"/>
      <c r="F59" s="491"/>
      <c r="G59" s="493">
        <v>43.2</v>
      </c>
      <c r="H59" s="490" t="s">
        <v>890</v>
      </c>
      <c r="I59" s="491" t="s">
        <v>840</v>
      </c>
      <c r="J59" s="431">
        <f>C60-20</f>
        <v>84351.709999999977</v>
      </c>
      <c r="K59" s="490" t="s">
        <v>894</v>
      </c>
      <c r="L59" s="490"/>
      <c r="M59" s="490"/>
      <c r="N59" s="495"/>
      <c r="O59" s="495"/>
      <c r="P59" s="495"/>
      <c r="Q59" s="490"/>
      <c r="R59" s="490"/>
      <c r="S59" s="493"/>
      <c r="T59" s="490"/>
      <c r="U59" s="490"/>
      <c r="V59" s="490"/>
      <c r="W59" s="490"/>
      <c r="X59" s="490"/>
      <c r="Y59" s="490"/>
      <c r="Z59" s="490"/>
      <c r="AA59" s="490"/>
      <c r="AB59" s="490"/>
      <c r="AC59" s="490"/>
      <c r="AD59" s="490"/>
      <c r="AE59" s="490"/>
      <c r="AF59" s="490"/>
      <c r="AG59" s="489"/>
      <c r="AH59" s="490"/>
      <c r="AI59" s="490"/>
      <c r="AJ59" s="640"/>
      <c r="AK59" s="490"/>
      <c r="AL59" s="490"/>
      <c r="AM59" s="490" t="s">
        <v>2880</v>
      </c>
      <c r="AN59" s="457"/>
      <c r="AO59" s="495"/>
      <c r="AP59" s="495"/>
      <c r="AQ59" s="493">
        <f>+FL_1($U$60,$T$58,$G$59,1200,9.28,-1*$F$60)</f>
        <v>0.31692939119651892</v>
      </c>
      <c r="AR59" s="493"/>
      <c r="AS59" s="493"/>
      <c r="AT59" s="493"/>
      <c r="AU59" s="490"/>
      <c r="AV59" s="490"/>
      <c r="AW59" s="490"/>
      <c r="AX59" s="490"/>
      <c r="AY59" s="493"/>
      <c r="AZ59" s="493"/>
      <c r="BA59" s="602"/>
      <c r="BB59" s="495"/>
      <c r="BC59" s="169"/>
      <c r="BD59" s="1330"/>
      <c r="BE59" s="1330"/>
      <c r="BF59" s="1330"/>
      <c r="BG59" s="1330"/>
    </row>
    <row r="60" spans="1:59" s="1436" customFormat="1" ht="15.75" customHeight="1">
      <c r="A60" s="1430" t="s">
        <v>3721</v>
      </c>
      <c r="B60" s="1476" t="s">
        <v>3750</v>
      </c>
      <c r="C60" s="1427">
        <f>+$C$58+$G$59</f>
        <v>84371.709999999977</v>
      </c>
      <c r="D60" s="1499"/>
      <c r="E60" s="1449"/>
      <c r="F60" s="1449">
        <v>8000</v>
      </c>
      <c r="G60" s="1429"/>
      <c r="H60" s="1430" t="s">
        <v>619</v>
      </c>
      <c r="I60" s="1430"/>
      <c r="J60" s="1433"/>
      <c r="K60" s="1431"/>
      <c r="L60" s="1431" t="s">
        <v>1683</v>
      </c>
      <c r="M60" s="1477"/>
      <c r="N60" s="1431" t="s">
        <v>140</v>
      </c>
      <c r="O60" s="1430" t="s">
        <v>144</v>
      </c>
      <c r="P60" s="1430"/>
      <c r="Q60" s="1431">
        <v>0</v>
      </c>
      <c r="R60" s="1431">
        <v>0</v>
      </c>
      <c r="S60" s="1429"/>
      <c r="T60" s="1431">
        <v>45</v>
      </c>
      <c r="U60" s="1431">
        <v>30</v>
      </c>
      <c r="V60" s="1431"/>
      <c r="W60" s="1431">
        <v>0.55000000000000004</v>
      </c>
      <c r="X60" s="1431">
        <v>0.68</v>
      </c>
      <c r="Y60" s="1431"/>
      <c r="Z60" s="1431">
        <v>0.3</v>
      </c>
      <c r="AA60" s="1431"/>
      <c r="AB60" s="1431"/>
      <c r="AC60" s="1431"/>
      <c r="AD60" s="1431"/>
      <c r="AE60" s="1431"/>
      <c r="AF60" s="1431">
        <v>800</v>
      </c>
      <c r="AG60" s="1427"/>
      <c r="AH60" s="1431">
        <v>1953</v>
      </c>
      <c r="AI60" s="1431">
        <v>-4460</v>
      </c>
      <c r="AJ60" s="1477"/>
      <c r="AK60" s="1431"/>
      <c r="AL60" s="1431"/>
      <c r="AM60" s="1431" t="s">
        <v>2879</v>
      </c>
      <c r="AN60" s="1432">
        <v>5.15</v>
      </c>
      <c r="AO60" s="1430"/>
      <c r="AP60" s="1430"/>
      <c r="AQ60" s="1429"/>
      <c r="AR60" s="1429"/>
      <c r="AS60" s="1429"/>
      <c r="AT60" s="1429">
        <f>+ab($U$60,$T$58,$U$62,$G$59,$G$61,-1*$F$60,1200)</f>
        <v>8.337131533813249</v>
      </c>
      <c r="AU60" s="1431"/>
      <c r="AV60" s="1431"/>
      <c r="AW60" s="1431"/>
      <c r="AX60" s="1431"/>
      <c r="AY60" s="1429"/>
      <c r="AZ60" s="1429"/>
      <c r="BA60" s="1431"/>
      <c r="BB60" s="1430"/>
      <c r="BC60" s="1434"/>
      <c r="BD60" s="1435"/>
      <c r="BE60" s="1435"/>
      <c r="BF60" s="1435"/>
      <c r="BG60" s="1435"/>
    </row>
    <row r="61" spans="1:59" ht="15.75" customHeight="1">
      <c r="A61" s="1239"/>
      <c r="B61" s="173"/>
      <c r="C61" s="446"/>
      <c r="D61" s="173"/>
      <c r="E61" s="447"/>
      <c r="F61" s="447"/>
      <c r="G61" s="484">
        <v>39</v>
      </c>
      <c r="H61" s="638" t="s">
        <v>890</v>
      </c>
      <c r="I61" s="447" t="s">
        <v>840</v>
      </c>
      <c r="J61" s="171">
        <f>C60+4.5</f>
        <v>84376.209999999977</v>
      </c>
      <c r="K61" s="638" t="s">
        <v>894</v>
      </c>
      <c r="L61" s="638"/>
      <c r="M61" s="638"/>
      <c r="N61" s="1239"/>
      <c r="O61" s="1239"/>
      <c r="P61" s="1239"/>
      <c r="Q61" s="638"/>
      <c r="R61" s="638"/>
      <c r="S61" s="484"/>
      <c r="T61" s="638"/>
      <c r="U61" s="638"/>
      <c r="V61" s="638"/>
      <c r="W61" s="638"/>
      <c r="X61" s="638"/>
      <c r="Y61" s="638"/>
      <c r="Z61" s="638"/>
      <c r="AA61" s="638"/>
      <c r="AB61" s="638"/>
      <c r="AC61" s="638"/>
      <c r="AD61" s="638"/>
      <c r="AE61" s="638"/>
      <c r="AF61" s="638"/>
      <c r="AG61" s="446"/>
      <c r="AH61" s="638"/>
      <c r="AI61" s="638"/>
      <c r="AJ61" s="185"/>
      <c r="AK61" s="638"/>
      <c r="AL61" s="638"/>
      <c r="AM61" s="638"/>
      <c r="AN61" s="455"/>
      <c r="AO61" s="1239"/>
      <c r="AP61" s="1239"/>
      <c r="AQ61" s="484">
        <f>+FL_1($U$62,$U$60,$G$61,1200,9.28,-1*$F$62)</f>
        <v>0.30061769723076931</v>
      </c>
      <c r="AR61" s="484"/>
      <c r="AS61" s="484"/>
      <c r="AT61" s="484"/>
      <c r="AU61" s="638"/>
      <c r="AV61" s="638"/>
      <c r="AW61" s="638"/>
      <c r="AX61" s="638"/>
      <c r="AY61" s="484"/>
      <c r="AZ61" s="484"/>
      <c r="BA61" s="671"/>
      <c r="BB61" s="1239"/>
      <c r="BC61" s="169"/>
      <c r="BD61" s="1330"/>
      <c r="BE61" s="1330"/>
      <c r="BF61" s="1330"/>
      <c r="BG61" s="1330"/>
    </row>
    <row r="62" spans="1:59" ht="15.75" customHeight="1">
      <c r="A62" s="1239"/>
      <c r="B62" s="435" t="s">
        <v>3751</v>
      </c>
      <c r="C62" s="446">
        <f>+$C$60+$G$61</f>
        <v>84410.709999999977</v>
      </c>
      <c r="D62" s="173"/>
      <c r="E62" s="447"/>
      <c r="F62" s="447">
        <v>0</v>
      </c>
      <c r="G62" s="484"/>
      <c r="H62" s="1239" t="s">
        <v>138</v>
      </c>
      <c r="I62" s="1239" t="s">
        <v>623</v>
      </c>
      <c r="J62" s="171">
        <f>C62-7.5</f>
        <v>84403.209999999977</v>
      </c>
      <c r="K62" s="638" t="s">
        <v>2787</v>
      </c>
      <c r="L62" s="638" t="s">
        <v>4664</v>
      </c>
      <c r="M62" s="638" t="str">
        <f>IF(AX62="PT",VLOOKUP(L62,'Foundation Calculation'!$V$2:$X$40,VLOOKUP(AX62,'Foundation Calculation'!$I$10:$J$13,2,FALSE),0),IF(AX62="K",VLOOKUP(L62,'Foundation Calculation'!$V$42:$X$80,VLOOKUP(AX62,'Foundation Calculation'!$I$10:$J$13,2,FALSE),0),""))</f>
        <v>C11R</v>
      </c>
      <c r="N62" s="1239" t="s">
        <v>140</v>
      </c>
      <c r="O62" s="1239" t="s">
        <v>143</v>
      </c>
      <c r="P62" s="1239"/>
      <c r="Q62" s="638"/>
      <c r="R62" s="638"/>
      <c r="S62" s="484"/>
      <c r="T62" s="638">
        <v>45</v>
      </c>
      <c r="U62" s="638">
        <v>-25</v>
      </c>
      <c r="V62" s="638"/>
      <c r="W62" s="638">
        <v>0.55000000000000004</v>
      </c>
      <c r="X62" s="638">
        <v>0.68</v>
      </c>
      <c r="Y62" s="638"/>
      <c r="Z62" s="638">
        <v>0.3</v>
      </c>
      <c r="AA62" s="638"/>
      <c r="AB62" s="638"/>
      <c r="AC62" s="638"/>
      <c r="AD62" s="638"/>
      <c r="AE62" s="638"/>
      <c r="AF62" s="638"/>
      <c r="AG62" s="446"/>
      <c r="AH62" s="638"/>
      <c r="AI62" s="638"/>
      <c r="AJ62" s="638"/>
      <c r="AK62" s="638"/>
      <c r="AL62" s="638" t="s">
        <v>2143</v>
      </c>
      <c r="AM62" s="638" t="s">
        <v>1042</v>
      </c>
      <c r="AN62" s="455">
        <v>5.15</v>
      </c>
      <c r="AO62" s="1239"/>
      <c r="AP62" s="1239"/>
      <c r="AQ62" s="484"/>
      <c r="AR62" s="484"/>
      <c r="AS62" s="484"/>
      <c r="AT62" s="484">
        <f>+ab($U$62,$U$60,$U$64,$G$61,$G$63,-1*$F$62,1200)</f>
        <v>-8.9033804147942348</v>
      </c>
      <c r="AU62" s="638"/>
      <c r="AV62" s="638"/>
      <c r="AW62" s="638" t="str">
        <f>VLOOKUP(C62,'Foundation Calculation'!$A$2:$C$33,3,1)</f>
        <v>Soil B</v>
      </c>
      <c r="AX62" s="638" t="str">
        <f>VLOOKUP(C62,'Foundation Calculation'!$E$2:$G$33,3,1)</f>
        <v>PT</v>
      </c>
      <c r="AY62" s="484">
        <f>IF(AX62="PT",VLOOKUP(L62,'Foundation Calculation'!$K$2:$R$40,VLOOKUP(AW62,'Foundation Calculation'!$I$2:$J$8,2,FALSE),0),IF(AX62="K",VLOOKUP(L62,'Foundation Calculation'!$K$42:$R$80,VLOOKUP(AW62,'Foundation Calculation'!$I$2:$J$8,2,FALSE),0),""))</f>
        <v>4.4000000000000004</v>
      </c>
      <c r="AZ62" s="484">
        <f>IF(AX62="PT",VLOOKUP(K62,'Foundation Calculation'!$K$2:$R$40,VLOOKUP(AW62,'Foundation Calculation'!$I$2:$J$8,2,FALSE),0),IF(AX62="K",VLOOKUP(K62,'Foundation Calculation'!$K$42:$R$80,VLOOKUP(AW62,'Foundation Calculation'!$I$2:$J$8,2,FALSE),0),""))</f>
        <v>3.9</v>
      </c>
      <c r="BA62" s="671" t="s">
        <v>2809</v>
      </c>
      <c r="BB62" s="1239" t="str">
        <f>Pole_Calculations!A178</f>
        <v>App.8-V08F-P10.3</v>
      </c>
      <c r="BC62" s="169"/>
      <c r="BD62" s="1329"/>
      <c r="BE62" s="1329"/>
      <c r="BF62" s="1329"/>
      <c r="BG62" s="1329"/>
    </row>
    <row r="63" spans="1:59" ht="15.75" customHeight="1">
      <c r="A63" s="1239"/>
      <c r="B63" s="173"/>
      <c r="C63" s="446"/>
      <c r="D63" s="173"/>
      <c r="E63" s="447"/>
      <c r="F63" s="447"/>
      <c r="G63" s="484">
        <v>48.1</v>
      </c>
      <c r="H63" s="638"/>
      <c r="I63" s="638"/>
      <c r="J63" s="446"/>
      <c r="K63" s="638"/>
      <c r="L63" s="638"/>
      <c r="M63" s="638"/>
      <c r="N63" s="1239"/>
      <c r="O63" s="1239"/>
      <c r="P63" s="1239"/>
      <c r="Q63" s="638"/>
      <c r="R63" s="638"/>
      <c r="S63" s="484"/>
      <c r="T63" s="638"/>
      <c r="U63" s="638"/>
      <c r="V63" s="638"/>
      <c r="W63" s="638"/>
      <c r="X63" s="638"/>
      <c r="Y63" s="638"/>
      <c r="Z63" s="638"/>
      <c r="AA63" s="638"/>
      <c r="AB63" s="638"/>
      <c r="AC63" s="638"/>
      <c r="AD63" s="638"/>
      <c r="AE63" s="638"/>
      <c r="AF63" s="638"/>
      <c r="AG63" s="446"/>
      <c r="AH63" s="638"/>
      <c r="AI63" s="638"/>
      <c r="AJ63" s="185"/>
      <c r="AK63" s="638"/>
      <c r="AL63" s="638"/>
      <c r="AM63" s="638"/>
      <c r="AN63" s="455"/>
      <c r="AO63" s="1239"/>
      <c r="AP63" s="1239"/>
      <c r="AQ63" s="484">
        <f>+FL_1($U$64,$U$62,$G$63,1200,9.28,-1*$F$64)</f>
        <v>0.20787065375504471</v>
      </c>
      <c r="AR63" s="484"/>
      <c r="AS63" s="484"/>
      <c r="AT63" s="484"/>
      <c r="AU63" s="638"/>
      <c r="AV63" s="638"/>
      <c r="AW63" s="638"/>
      <c r="AX63" s="638"/>
      <c r="AY63" s="484"/>
      <c r="AZ63" s="484"/>
      <c r="BA63" s="671"/>
      <c r="BB63" s="1239"/>
      <c r="BC63" s="169"/>
      <c r="BD63" s="1330"/>
      <c r="BE63" s="1330"/>
      <c r="BF63" s="1330"/>
      <c r="BG63" s="1330"/>
    </row>
    <row r="64" spans="1:59" ht="15.75" customHeight="1">
      <c r="A64" s="1239"/>
      <c r="B64" s="435" t="s">
        <v>3752</v>
      </c>
      <c r="C64" s="446">
        <f>+$C$62+$G$63</f>
        <v>84458.809999999983</v>
      </c>
      <c r="D64" s="173"/>
      <c r="E64" s="447"/>
      <c r="F64" s="447">
        <v>10004.700000000001</v>
      </c>
      <c r="G64" s="484"/>
      <c r="H64" s="638" t="s">
        <v>619</v>
      </c>
      <c r="I64" s="638"/>
      <c r="J64" s="446"/>
      <c r="K64" s="638"/>
      <c r="L64" s="638"/>
      <c r="M64" s="638"/>
      <c r="N64" s="1239" t="s">
        <v>845</v>
      </c>
      <c r="O64" s="1239" t="s">
        <v>844</v>
      </c>
      <c r="P64" s="1239"/>
      <c r="Q64" s="638"/>
      <c r="R64" s="638"/>
      <c r="S64" s="484"/>
      <c r="T64" s="638">
        <v>55</v>
      </c>
      <c r="U64" s="638">
        <v>10</v>
      </c>
      <c r="V64" s="638"/>
      <c r="W64" s="638">
        <v>0.8</v>
      </c>
      <c r="X64" s="638">
        <v>1</v>
      </c>
      <c r="Y64" s="638"/>
      <c r="Z64" s="638">
        <v>0.5</v>
      </c>
      <c r="AA64" s="638"/>
      <c r="AB64" s="638"/>
      <c r="AC64" s="638"/>
      <c r="AD64" s="638"/>
      <c r="AE64" s="638"/>
      <c r="AF64" s="638"/>
      <c r="AG64" s="446"/>
      <c r="AH64" s="638"/>
      <c r="AI64" s="638"/>
      <c r="AJ64" s="185"/>
      <c r="AK64" s="638" t="s">
        <v>228</v>
      </c>
      <c r="AL64" s="638"/>
      <c r="AM64" s="638" t="s">
        <v>642</v>
      </c>
      <c r="AN64" s="455">
        <v>5.22</v>
      </c>
      <c r="AO64" s="1239"/>
      <c r="AP64" s="1239"/>
      <c r="AQ64" s="484"/>
      <c r="AR64" s="484"/>
      <c r="AS64" s="484"/>
      <c r="AT64" s="484">
        <f>+ab($U$64,$U$62,$U$66,$G$63,$G$65,-1*$F$64,1200)</f>
        <v>12.482370946671136</v>
      </c>
      <c r="AU64" s="638"/>
      <c r="AV64" s="638"/>
      <c r="AW64" s="638"/>
      <c r="AX64" s="638"/>
      <c r="AY64" s="484"/>
      <c r="AZ64" s="484"/>
      <c r="BA64" s="671"/>
      <c r="BB64" s="1239"/>
      <c r="BC64" s="169"/>
      <c r="BD64" s="1330"/>
      <c r="BE64" s="1329"/>
      <c r="BF64" s="1330"/>
      <c r="BG64" s="1329"/>
    </row>
    <row r="65" spans="1:59" ht="15.75" customHeight="1">
      <c r="A65" s="1239"/>
      <c r="B65" s="173"/>
      <c r="C65" s="446"/>
      <c r="D65" s="173"/>
      <c r="E65" s="447"/>
      <c r="F65" s="447"/>
      <c r="G65" s="484">
        <v>50.8</v>
      </c>
      <c r="H65" s="638"/>
      <c r="I65" s="638"/>
      <c r="J65" s="446"/>
      <c r="K65" s="638"/>
      <c r="L65" s="638"/>
      <c r="M65" s="638"/>
      <c r="N65" s="1239"/>
      <c r="O65" s="1239"/>
      <c r="P65" s="1239"/>
      <c r="Q65" s="638"/>
      <c r="R65" s="638"/>
      <c r="S65" s="484"/>
      <c r="T65" s="638"/>
      <c r="U65" s="638"/>
      <c r="V65" s="638"/>
      <c r="W65" s="638"/>
      <c r="X65" s="638"/>
      <c r="Y65" s="638"/>
      <c r="Z65" s="638"/>
      <c r="AA65" s="638"/>
      <c r="AB65" s="638"/>
      <c r="AC65" s="638"/>
      <c r="AD65" s="638"/>
      <c r="AE65" s="638"/>
      <c r="AF65" s="638"/>
      <c r="AG65" s="446"/>
      <c r="AH65" s="638"/>
      <c r="AI65" s="638"/>
      <c r="AJ65" s="185"/>
      <c r="AK65" s="638"/>
      <c r="AL65" s="638"/>
      <c r="AM65" s="638"/>
      <c r="AN65" s="455"/>
      <c r="AO65" s="1239"/>
      <c r="AP65" s="1239"/>
      <c r="AQ65" s="484">
        <f>+FL_1($U$66,$U$64,$G$65,1200,9.28,-1*$F$66)</f>
        <v>0.13031471102362205</v>
      </c>
      <c r="AR65" s="484"/>
      <c r="AS65" s="484"/>
      <c r="AT65" s="484"/>
      <c r="AU65" s="638"/>
      <c r="AV65" s="638"/>
      <c r="AW65" s="638"/>
      <c r="AX65" s="638"/>
      <c r="AY65" s="484"/>
      <c r="AZ65" s="484"/>
      <c r="BA65" s="671"/>
      <c r="BB65" s="1239"/>
      <c r="BC65" s="169"/>
      <c r="BD65" s="1330"/>
      <c r="BE65" s="1330"/>
      <c r="BF65" s="1330"/>
      <c r="BG65" s="1330"/>
    </row>
    <row r="66" spans="1:59" ht="15.75" customHeight="1">
      <c r="A66" s="1239" t="s">
        <v>3771</v>
      </c>
      <c r="B66" s="435" t="s">
        <v>3753</v>
      </c>
      <c r="C66" s="446">
        <f>+$C$64+$G$65</f>
        <v>84509.609999999986</v>
      </c>
      <c r="D66" s="173"/>
      <c r="E66" s="447"/>
      <c r="F66" s="447">
        <v>0</v>
      </c>
      <c r="G66" s="484"/>
      <c r="H66" s="638" t="s">
        <v>619</v>
      </c>
      <c r="I66" s="638" t="s">
        <v>1429</v>
      </c>
      <c r="J66" s="446"/>
      <c r="K66" s="638"/>
      <c r="L66" s="638"/>
      <c r="M66" s="638"/>
      <c r="N66" s="638" t="s">
        <v>843</v>
      </c>
      <c r="O66" s="1239" t="s">
        <v>845</v>
      </c>
      <c r="P66" s="1239"/>
      <c r="Q66" s="638"/>
      <c r="R66" s="638"/>
      <c r="S66" s="484"/>
      <c r="T66" s="638">
        <v>-10</v>
      </c>
      <c r="U66" s="638">
        <v>-55</v>
      </c>
      <c r="V66" s="638"/>
      <c r="W66" s="638">
        <v>1</v>
      </c>
      <c r="X66" s="638">
        <v>1.6</v>
      </c>
      <c r="Y66" s="638"/>
      <c r="Z66" s="638"/>
      <c r="AA66" s="638">
        <v>0.3</v>
      </c>
      <c r="AB66" s="638"/>
      <c r="AC66" s="638" t="str">
        <f>IF(OR(AT66&gt;8,AT66&lt;-8),"PH",IF(OR(AT66&gt;5,AT66&lt;-5),"PH-Q",IF(OR(AT66&gt;1,AT66&lt;-1),"PH-C")))</f>
        <v>PH</v>
      </c>
      <c r="AD66" s="638"/>
      <c r="AE66" s="638"/>
      <c r="AF66" s="638"/>
      <c r="AG66" s="446"/>
      <c r="AH66" s="638"/>
      <c r="AI66" s="638"/>
      <c r="AJ66" s="638" t="s">
        <v>2154</v>
      </c>
      <c r="AK66" s="638" t="s">
        <v>228</v>
      </c>
      <c r="AL66" s="638"/>
      <c r="AM66" s="638"/>
      <c r="AN66" s="455">
        <v>5.32</v>
      </c>
      <c r="AO66" s="1239"/>
      <c r="AP66" s="1239"/>
      <c r="AQ66" s="484"/>
      <c r="AR66" s="484"/>
      <c r="AS66" s="484"/>
      <c r="AT66" s="484">
        <f>+ab($T$66,$T$64,$T$68,$G$65,$G$67,-1*$F$66,1200)</f>
        <v>-9.1491616740275266</v>
      </c>
      <c r="AU66" s="638"/>
      <c r="AV66" s="638"/>
      <c r="AW66" s="638"/>
      <c r="AX66" s="638"/>
      <c r="AY66" s="484"/>
      <c r="AZ66" s="484"/>
      <c r="BA66" s="671"/>
      <c r="BB66" s="1239"/>
      <c r="BC66" s="169"/>
      <c r="BD66" s="1330"/>
      <c r="BE66" s="1329"/>
      <c r="BF66" s="1330"/>
      <c r="BG66" s="1329"/>
    </row>
    <row r="67" spans="1:59" ht="15.75" customHeight="1">
      <c r="A67" s="1239"/>
      <c r="B67" s="173"/>
      <c r="C67" s="446"/>
      <c r="D67" s="173"/>
      <c r="E67" s="447"/>
      <c r="F67" s="447"/>
      <c r="G67" s="484">
        <v>50</v>
      </c>
      <c r="H67" s="638"/>
      <c r="I67" s="638"/>
      <c r="J67" s="446"/>
      <c r="K67" s="638"/>
      <c r="L67" s="638"/>
      <c r="M67" s="638"/>
      <c r="N67" s="1239"/>
      <c r="O67" s="1239"/>
      <c r="P67" s="1239"/>
      <c r="Q67" s="638"/>
      <c r="R67" s="638"/>
      <c r="S67" s="484"/>
      <c r="T67" s="638"/>
      <c r="U67" s="638"/>
      <c r="V67" s="638"/>
      <c r="W67" s="638"/>
      <c r="X67" s="638"/>
      <c r="Y67" s="638"/>
      <c r="Z67" s="638"/>
      <c r="AA67" s="638"/>
      <c r="AB67" s="638"/>
      <c r="AC67" s="638"/>
      <c r="AD67" s="638"/>
      <c r="AE67" s="638"/>
      <c r="AF67" s="638"/>
      <c r="AG67" s="446"/>
      <c r="AH67" s="638"/>
      <c r="AI67" s="638"/>
      <c r="AJ67" s="185"/>
      <c r="AK67" s="638"/>
      <c r="AL67" s="638"/>
      <c r="AM67" s="638"/>
      <c r="AN67" s="455"/>
      <c r="AO67" s="1239"/>
      <c r="AP67" s="1239"/>
      <c r="AQ67" s="484">
        <f>+FL_1($T$68,$T$66,$G$67,1200,9.28,-1*$F$68)</f>
        <v>0.38304596799999996</v>
      </c>
      <c r="AR67" s="484"/>
      <c r="AS67" s="484"/>
      <c r="AT67" s="484"/>
      <c r="AU67" s="638"/>
      <c r="AV67" s="638"/>
      <c r="AW67" s="638"/>
      <c r="AX67" s="638"/>
      <c r="AY67" s="484"/>
      <c r="AZ67" s="484"/>
      <c r="BA67" s="671"/>
      <c r="BB67" s="1239"/>
      <c r="BC67" s="169"/>
      <c r="BD67" s="1330"/>
      <c r="BE67" s="1330"/>
      <c r="BF67" s="1330"/>
      <c r="BG67" s="1330"/>
    </row>
    <row r="68" spans="1:59" ht="15.75" customHeight="1">
      <c r="A68" s="1239"/>
      <c r="B68" s="435" t="s">
        <v>3754</v>
      </c>
      <c r="C68" s="446">
        <f>+$C$66+$G$67</f>
        <v>84559.609999999986</v>
      </c>
      <c r="D68" s="173"/>
      <c r="E68" s="447"/>
      <c r="F68" s="447">
        <v>0</v>
      </c>
      <c r="G68" s="484"/>
      <c r="H68" s="638" t="s">
        <v>2505</v>
      </c>
      <c r="I68" s="638"/>
      <c r="J68" s="446"/>
      <c r="K68" s="638"/>
      <c r="L68" s="638"/>
      <c r="M68" s="638"/>
      <c r="N68" s="638" t="s">
        <v>844</v>
      </c>
      <c r="O68" s="1239" t="s">
        <v>843</v>
      </c>
      <c r="P68" s="1239"/>
      <c r="Q68" s="638"/>
      <c r="R68" s="638"/>
      <c r="S68" s="484"/>
      <c r="T68" s="638">
        <v>30</v>
      </c>
      <c r="U68" s="638">
        <v>15</v>
      </c>
      <c r="V68" s="638"/>
      <c r="W68" s="638">
        <v>1.4</v>
      </c>
      <c r="X68" s="638">
        <v>1.8</v>
      </c>
      <c r="Y68" s="638"/>
      <c r="Z68" s="638"/>
      <c r="AA68" s="638"/>
      <c r="AB68" s="638"/>
      <c r="AC68" s="638" t="s">
        <v>2773</v>
      </c>
      <c r="AD68" s="638" t="s">
        <v>1428</v>
      </c>
      <c r="AE68" s="638"/>
      <c r="AF68" s="638"/>
      <c r="AG68" s="446"/>
      <c r="AH68" s="638"/>
      <c r="AI68" s="638"/>
      <c r="AJ68" s="185"/>
      <c r="AK68" s="638" t="s">
        <v>228</v>
      </c>
      <c r="AL68" s="638"/>
      <c r="AM68" s="638"/>
      <c r="AN68" s="455">
        <v>5.42</v>
      </c>
      <c r="AO68" s="1239"/>
      <c r="AP68" s="1239"/>
      <c r="AQ68" s="484"/>
      <c r="AR68" s="484"/>
      <c r="AS68" s="484"/>
      <c r="AT68" s="484">
        <f>+ab($T$68,$T$66,$T$70,$G$67,$G$69,-1*$F$68,1200)</f>
        <v>10.81988462358928</v>
      </c>
      <c r="AU68" s="638"/>
      <c r="AV68" s="638"/>
      <c r="AW68" s="638"/>
      <c r="AX68" s="638"/>
      <c r="AY68" s="484"/>
      <c r="AZ68" s="484"/>
      <c r="BA68" s="671"/>
      <c r="BB68" s="1239"/>
      <c r="BC68" s="169"/>
      <c r="BD68" s="1330"/>
      <c r="BE68" s="1329"/>
      <c r="BF68" s="1330"/>
      <c r="BG68" s="1329"/>
    </row>
    <row r="69" spans="1:59" ht="15.75" customHeight="1">
      <c r="A69" s="1239"/>
      <c r="B69" s="173"/>
      <c r="C69" s="446"/>
      <c r="D69" s="173"/>
      <c r="E69" s="447"/>
      <c r="F69" s="447"/>
      <c r="G69" s="484">
        <v>52.5</v>
      </c>
      <c r="H69" s="1239"/>
      <c r="I69" s="1239"/>
      <c r="J69" s="171"/>
      <c r="K69" s="638"/>
      <c r="L69" s="638"/>
      <c r="M69" s="638"/>
      <c r="N69" s="1239"/>
      <c r="O69" s="1239"/>
      <c r="P69" s="1239"/>
      <c r="Q69" s="638"/>
      <c r="R69" s="638"/>
      <c r="S69" s="484"/>
      <c r="T69" s="638"/>
      <c r="U69" s="638"/>
      <c r="V69" s="638"/>
      <c r="W69" s="638"/>
      <c r="X69" s="638"/>
      <c r="Y69" s="638"/>
      <c r="Z69" s="638"/>
      <c r="AA69" s="638"/>
      <c r="AB69" s="638"/>
      <c r="AC69" s="638"/>
      <c r="AD69" s="638"/>
      <c r="AE69" s="638"/>
      <c r="AF69" s="638"/>
      <c r="AG69" s="446"/>
      <c r="AH69" s="638"/>
      <c r="AI69" s="638"/>
      <c r="AJ69" s="185"/>
      <c r="AK69" s="638"/>
      <c r="AL69" s="638"/>
      <c r="AM69" s="638"/>
      <c r="AN69" s="455"/>
      <c r="AO69" s="1239"/>
      <c r="AP69" s="1239"/>
      <c r="AQ69" s="484">
        <f>+FL_1($T$70,$T$68,$G$69,1200,9.28,-1*$F$70)</f>
        <v>0.37508163866666661</v>
      </c>
      <c r="AR69" s="484"/>
      <c r="AS69" s="484"/>
      <c r="AT69" s="484"/>
      <c r="AU69" s="638"/>
      <c r="AV69" s="638"/>
      <c r="AW69" s="638"/>
      <c r="AX69" s="638"/>
      <c r="AY69" s="484"/>
      <c r="AZ69" s="484"/>
      <c r="BA69" s="671"/>
      <c r="BB69" s="1239"/>
      <c r="BC69" s="169"/>
      <c r="BD69" s="1330"/>
      <c r="BE69" s="1330"/>
      <c r="BF69" s="1330"/>
      <c r="BG69" s="1330"/>
    </row>
    <row r="70" spans="1:59" ht="15.75" customHeight="1">
      <c r="A70" s="1239"/>
      <c r="B70" s="435" t="s">
        <v>3755</v>
      </c>
      <c r="C70" s="446">
        <f>+$C$68+$G$69</f>
        <v>84612.109999999986</v>
      </c>
      <c r="D70" s="173"/>
      <c r="E70" s="447"/>
      <c r="F70" s="447">
        <v>0</v>
      </c>
      <c r="G70" s="484"/>
      <c r="H70" s="1239" t="s">
        <v>619</v>
      </c>
      <c r="I70" s="1239"/>
      <c r="J70" s="171"/>
      <c r="K70" s="638"/>
      <c r="L70" s="638"/>
      <c r="M70" s="638"/>
      <c r="N70" s="1239" t="s">
        <v>843</v>
      </c>
      <c r="O70" s="1239" t="s">
        <v>845</v>
      </c>
      <c r="P70" s="1239"/>
      <c r="Q70" s="638"/>
      <c r="R70" s="638"/>
      <c r="S70" s="484"/>
      <c r="T70" s="638">
        <v>-20</v>
      </c>
      <c r="U70" s="638">
        <v>-55</v>
      </c>
      <c r="V70" s="638"/>
      <c r="W70" s="638">
        <v>1.4</v>
      </c>
      <c r="X70" s="638">
        <v>1.8</v>
      </c>
      <c r="Y70" s="638"/>
      <c r="Z70" s="638"/>
      <c r="AA70" s="638">
        <v>0.45</v>
      </c>
      <c r="AB70" s="638"/>
      <c r="AC70" s="638" t="str">
        <f>IF(OR(AT70&gt;8,AT70&lt;-8),"PH",IF(OR(AT70&gt;5,AT70&lt;-5),"PH-Q",IF(OR(AT70&gt;1,AT70&lt;-1),"PH-C")))</f>
        <v>PH</v>
      </c>
      <c r="AD70" s="638"/>
      <c r="AE70" s="638"/>
      <c r="AF70" s="638"/>
      <c r="AG70" s="446"/>
      <c r="AH70" s="638"/>
      <c r="AI70" s="638"/>
      <c r="AJ70" s="185"/>
      <c r="AK70" s="638" t="s">
        <v>228</v>
      </c>
      <c r="AL70" s="638"/>
      <c r="AM70" s="638"/>
      <c r="AN70" s="455">
        <v>5.5</v>
      </c>
      <c r="AO70" s="1239"/>
      <c r="AP70" s="1239"/>
      <c r="AQ70" s="484"/>
      <c r="AR70" s="484"/>
      <c r="AS70" s="484"/>
      <c r="AT70" s="484">
        <f>+ab($T$70,$T$68,-$T$72,$G$69,$G$71,-1*$F$70,1200)</f>
        <v>-24.23393203396272</v>
      </c>
      <c r="AU70" s="638"/>
      <c r="AV70" s="638"/>
      <c r="AW70" s="638"/>
      <c r="AX70" s="638"/>
      <c r="AY70" s="484"/>
      <c r="AZ70" s="484"/>
      <c r="BA70" s="671"/>
      <c r="BB70" s="1239"/>
      <c r="BC70" s="169"/>
      <c r="BD70" s="1330"/>
      <c r="BE70" s="1329"/>
      <c r="BF70" s="1330"/>
      <c r="BG70" s="1329"/>
    </row>
    <row r="71" spans="1:59" ht="15.75" customHeight="1">
      <c r="A71" s="1239"/>
      <c r="B71" s="173"/>
      <c r="C71" s="446"/>
      <c r="D71" s="173"/>
      <c r="E71" s="447"/>
      <c r="F71" s="447"/>
      <c r="G71" s="484">
        <v>48</v>
      </c>
      <c r="H71" s="1239"/>
      <c r="I71" s="1239"/>
      <c r="J71" s="171"/>
      <c r="K71" s="638"/>
      <c r="L71" s="638"/>
      <c r="M71" s="638"/>
      <c r="N71" s="1239"/>
      <c r="O71" s="1239"/>
      <c r="P71" s="1239"/>
      <c r="Q71" s="638"/>
      <c r="R71" s="638"/>
      <c r="S71" s="484"/>
      <c r="T71" s="638"/>
      <c r="U71" s="638"/>
      <c r="V71" s="638"/>
      <c r="W71" s="638"/>
      <c r="X71" s="638"/>
      <c r="Y71" s="638"/>
      <c r="Z71" s="638"/>
      <c r="AA71" s="638"/>
      <c r="AB71" s="638"/>
      <c r="AC71" s="638"/>
      <c r="AD71" s="638"/>
      <c r="AE71" s="638"/>
      <c r="AF71" s="638"/>
      <c r="AG71" s="446"/>
      <c r="AH71" s="638"/>
      <c r="AI71" s="638"/>
      <c r="AJ71" s="185"/>
      <c r="AK71" s="638"/>
      <c r="AL71" s="638"/>
      <c r="AM71" s="638"/>
      <c r="AN71" s="455"/>
      <c r="AO71" s="1239"/>
      <c r="AP71" s="1239"/>
      <c r="AQ71" s="484">
        <f>+FL_1($T$72,$T$70,$G$71,1200,9.28,-1*$F$72)</f>
        <v>0.34287535199999997</v>
      </c>
      <c r="AR71" s="484"/>
      <c r="AS71" s="484"/>
      <c r="AT71" s="484"/>
      <c r="AU71" s="638"/>
      <c r="AV71" s="638"/>
      <c r="AW71" s="638"/>
      <c r="AX71" s="638"/>
      <c r="AY71" s="484"/>
      <c r="AZ71" s="484"/>
      <c r="BA71" s="671"/>
      <c r="BB71" s="1239"/>
      <c r="BC71" s="169"/>
      <c r="BD71" s="1330"/>
      <c r="BE71" s="1330"/>
      <c r="BF71" s="1330"/>
      <c r="BG71" s="1330"/>
    </row>
    <row r="72" spans="1:59" ht="15.75" customHeight="1">
      <c r="A72" s="1239"/>
      <c r="B72" s="435" t="s">
        <v>3756</v>
      </c>
      <c r="C72" s="446">
        <f>+$C$70+$G$71</f>
        <v>84660.109999999986</v>
      </c>
      <c r="D72" s="173"/>
      <c r="E72" s="447"/>
      <c r="F72" s="447">
        <v>0</v>
      </c>
      <c r="G72" s="484"/>
      <c r="H72" s="1239"/>
      <c r="I72" s="1239"/>
      <c r="J72" s="171"/>
      <c r="K72" s="638"/>
      <c r="L72" s="638"/>
      <c r="M72" s="638"/>
      <c r="N72" s="1239" t="s">
        <v>844</v>
      </c>
      <c r="O72" s="1239"/>
      <c r="P72" s="1239"/>
      <c r="Q72" s="638"/>
      <c r="R72" s="638"/>
      <c r="S72" s="484"/>
      <c r="T72" s="638">
        <v>30</v>
      </c>
      <c r="U72" s="638"/>
      <c r="V72" s="638"/>
      <c r="W72" s="638">
        <v>1.4</v>
      </c>
      <c r="X72" s="638"/>
      <c r="Y72" s="638"/>
      <c r="Z72" s="638"/>
      <c r="AA72" s="638"/>
      <c r="AB72" s="638"/>
      <c r="AC72" s="638" t="str">
        <f>IF(OR(AT72&gt;8,AT72&lt;-8),"PH",IF(OR(AT72&gt;5,AT72&lt;-5),"PH-Q",IF(OR(AT72&gt;1,AT72&lt;-1),"PH-C")))</f>
        <v>PH</v>
      </c>
      <c r="AD72" s="638"/>
      <c r="AE72" s="638"/>
      <c r="AF72" s="638"/>
      <c r="AG72" s="446"/>
      <c r="AH72" s="638"/>
      <c r="AI72" s="638"/>
      <c r="AJ72" s="638"/>
      <c r="AK72" s="638" t="s">
        <v>139</v>
      </c>
      <c r="AL72" s="638"/>
      <c r="AM72" s="638"/>
      <c r="AN72" s="455">
        <v>5.5</v>
      </c>
      <c r="AO72" s="1239"/>
      <c r="AP72" s="1239"/>
      <c r="AQ72" s="484"/>
      <c r="AR72" s="484"/>
      <c r="AS72" s="484"/>
      <c r="AT72" s="484">
        <f>+ab($T$72,$T$70,-$T$74,$G$71,$G$73,-1*$F$72,1200)</f>
        <v>8.3574241721786073</v>
      </c>
      <c r="AU72" s="638"/>
      <c r="AV72" s="638"/>
      <c r="AW72" s="638"/>
      <c r="AX72" s="638"/>
      <c r="AY72" s="484"/>
      <c r="AZ72" s="484"/>
      <c r="BA72" s="671"/>
      <c r="BB72" s="1239"/>
      <c r="BC72" s="169"/>
      <c r="BD72" s="1330"/>
      <c r="BE72" s="1329"/>
      <c r="BF72" s="1330"/>
      <c r="BG72" s="1329"/>
    </row>
    <row r="73" spans="1:59" ht="15.75" customHeight="1">
      <c r="A73" s="1239"/>
      <c r="B73" s="173"/>
      <c r="C73" s="446"/>
      <c r="D73" s="173"/>
      <c r="E73" s="447"/>
      <c r="F73" s="447"/>
      <c r="G73" s="484">
        <v>52.5</v>
      </c>
      <c r="H73" s="1239"/>
      <c r="I73" s="1239"/>
      <c r="J73" s="171"/>
      <c r="K73" s="638"/>
      <c r="L73" s="638"/>
      <c r="M73" s="638"/>
      <c r="N73" s="1239"/>
      <c r="O73" s="1239"/>
      <c r="P73" s="1239"/>
      <c r="Q73" s="638"/>
      <c r="R73" s="638"/>
      <c r="S73" s="484"/>
      <c r="T73" s="638"/>
      <c r="U73" s="638"/>
      <c r="V73" s="638"/>
      <c r="W73" s="638"/>
      <c r="X73" s="638"/>
      <c r="Y73" s="638"/>
      <c r="Z73" s="638"/>
      <c r="AA73" s="638"/>
      <c r="AB73" s="638"/>
      <c r="AC73" s="638"/>
      <c r="AD73" s="638"/>
      <c r="AE73" s="638"/>
      <c r="AF73" s="638"/>
      <c r="AG73" s="446"/>
      <c r="AH73" s="638"/>
      <c r="AI73" s="638"/>
      <c r="AJ73" s="638"/>
      <c r="AK73" s="638"/>
      <c r="AL73" s="638"/>
      <c r="AM73" s="638"/>
      <c r="AN73" s="455"/>
      <c r="AO73" s="1239"/>
      <c r="AP73" s="1239"/>
      <c r="AQ73" s="484">
        <f>+FL_1(-$T$74,$T$72,$G$73,1200,9.28,-1*$F$74)</f>
        <v>0.34054610895238097</v>
      </c>
      <c r="AR73" s="484"/>
      <c r="AS73" s="484"/>
      <c r="AT73" s="484"/>
      <c r="AU73" s="638"/>
      <c r="AV73" s="638"/>
      <c r="AW73" s="638"/>
      <c r="AX73" s="638"/>
      <c r="AY73" s="484"/>
      <c r="AZ73" s="484"/>
      <c r="BA73" s="671"/>
      <c r="BB73" s="1239"/>
      <c r="BC73" s="169"/>
      <c r="BD73" s="1330"/>
      <c r="BE73" s="1330"/>
      <c r="BF73" s="1330"/>
      <c r="BG73" s="1330"/>
    </row>
    <row r="74" spans="1:59" ht="15.75" customHeight="1">
      <c r="A74" s="1239"/>
      <c r="B74" s="435" t="s">
        <v>3757</v>
      </c>
      <c r="C74" s="446">
        <f>+$C$72+$G$73</f>
        <v>84712.609999999986</v>
      </c>
      <c r="D74" s="173"/>
      <c r="E74" s="447"/>
      <c r="F74" s="447">
        <v>0</v>
      </c>
      <c r="G74" s="484"/>
      <c r="H74" s="1239" t="s">
        <v>138</v>
      </c>
      <c r="I74" s="172" t="s">
        <v>623</v>
      </c>
      <c r="J74" s="171"/>
      <c r="K74" s="638"/>
      <c r="L74" s="638" t="s">
        <v>821</v>
      </c>
      <c r="M74" s="638" t="str">
        <f>IF(AX74="PT",VLOOKUP(L74,'Foundation Calculation'!$V$2:$X$40,VLOOKUP(AX74,'Foundation Calculation'!$I$10:$J$13,2,FALSE),0),IF(AX74="K",VLOOKUP(L74,'Foundation Calculation'!$V$42:$X$80,VLOOKUP(AX74,'Foundation Calculation'!$I$10:$J$13,2,FALSE),0),""))</f>
        <v>C7R</v>
      </c>
      <c r="N74" s="638" t="s">
        <v>144</v>
      </c>
      <c r="O74" s="1239"/>
      <c r="P74" s="1239"/>
      <c r="Q74" s="638"/>
      <c r="R74" s="638"/>
      <c r="S74" s="484"/>
      <c r="T74" s="638">
        <v>35</v>
      </c>
      <c r="U74" s="638"/>
      <c r="V74" s="638"/>
      <c r="W74" s="638">
        <v>1.4</v>
      </c>
      <c r="X74" s="638"/>
      <c r="Y74" s="638"/>
      <c r="Z74" s="638"/>
      <c r="AA74" s="638"/>
      <c r="AB74" s="638"/>
      <c r="AC74" s="638" t="str">
        <f>IF(OR(AT74&gt;8,AT74&lt;-8),"PH",IF(OR(AT74&gt;5,AT74&lt;-5),"PH-Q",IF(OR(AT74&gt;1,AT74&lt;-1),"PH-C")))</f>
        <v>PH</v>
      </c>
      <c r="AD74" s="638"/>
      <c r="AE74" s="638"/>
      <c r="AF74" s="638"/>
      <c r="AG74" s="446"/>
      <c r="AH74" s="638"/>
      <c r="AI74" s="638"/>
      <c r="AJ74" s="638"/>
      <c r="AK74" s="638"/>
      <c r="AL74" s="638" t="s">
        <v>2142</v>
      </c>
      <c r="AM74" s="638" t="s">
        <v>1042</v>
      </c>
      <c r="AN74" s="455">
        <v>5.5</v>
      </c>
      <c r="AO74" s="1239"/>
      <c r="AP74" s="1239"/>
      <c r="AQ74" s="484"/>
      <c r="AR74" s="484"/>
      <c r="AS74" s="484"/>
      <c r="AT74" s="484">
        <f>+ab($T$74,$T$72,$T$76,$G$73,$G$75, 1*$F$74,1200)</f>
        <v>12.625157334620512</v>
      </c>
      <c r="AU74" s="638"/>
      <c r="AV74" s="638"/>
      <c r="AW74" s="638" t="str">
        <f>VLOOKUP(C74,'Foundation Calculation'!$A$2:$C$33,3,1)</f>
        <v>Soil B</v>
      </c>
      <c r="AX74" s="638" t="str">
        <f>VLOOKUP(C74,'Foundation Calculation'!$E$2:$G$33,3,1)</f>
        <v>PT</v>
      </c>
      <c r="AY74" s="484">
        <f>IF(AX74="PT",VLOOKUP(L74,'Foundation Calculation'!$K$2:$R$40,VLOOKUP(AW74,'Foundation Calculation'!$I$2:$J$8,2,FALSE),0),IF(AX74="K",VLOOKUP(L74,'Foundation Calculation'!$K$42:$R$80,VLOOKUP(AW74,'Foundation Calculation'!$I$2:$J$8,2,FALSE),0),""))</f>
        <v>3.5</v>
      </c>
      <c r="AZ74" s="484"/>
      <c r="BA74" s="671" t="s">
        <v>2809</v>
      </c>
      <c r="BB74" s="1239" t="str">
        <f>Pole_Calculations!A178</f>
        <v>App.8-V08F-P10.3</v>
      </c>
      <c r="BC74" s="169"/>
      <c r="BD74" s="1329"/>
      <c r="BE74" s="1329"/>
      <c r="BF74" s="1329"/>
      <c r="BG74" s="1329"/>
    </row>
    <row r="75" spans="1:59" ht="15.75" customHeight="1">
      <c r="A75" s="1239"/>
      <c r="B75" s="173"/>
      <c r="C75" s="446"/>
      <c r="D75" s="173"/>
      <c r="E75" s="447"/>
      <c r="F75" s="447"/>
      <c r="G75" s="484">
        <v>50</v>
      </c>
      <c r="H75" s="1239"/>
      <c r="I75" s="1239"/>
      <c r="J75" s="171">
        <f>C74+7.5</f>
        <v>84720.109999999986</v>
      </c>
      <c r="K75" s="638" t="s">
        <v>2787</v>
      </c>
      <c r="L75" s="638"/>
      <c r="M75" s="638"/>
      <c r="N75" s="1239"/>
      <c r="O75" s="1239"/>
      <c r="P75" s="1239"/>
      <c r="Q75" s="638"/>
      <c r="R75" s="638"/>
      <c r="S75" s="484"/>
      <c r="T75" s="638"/>
      <c r="U75" s="638"/>
      <c r="V75" s="638"/>
      <c r="W75" s="638"/>
      <c r="X75" s="638"/>
      <c r="Y75" s="638"/>
      <c r="Z75" s="638"/>
      <c r="AA75" s="638"/>
      <c r="AB75" s="638"/>
      <c r="AC75" s="638"/>
      <c r="AD75" s="638"/>
      <c r="AE75" s="638"/>
      <c r="AF75" s="638"/>
      <c r="AG75" s="446"/>
      <c r="AH75" s="638"/>
      <c r="AI75" s="638"/>
      <c r="AJ75" s="638"/>
      <c r="AK75" s="638"/>
      <c r="AL75" s="638"/>
      <c r="AM75" s="638"/>
      <c r="AN75" s="455"/>
      <c r="AO75" s="1239"/>
      <c r="AP75" s="1239"/>
      <c r="AQ75" s="484">
        <f>+FL_2($T$76,$T$74,$G$75,1200,9.28, 1*$F$76)</f>
        <v>-0.36839079999999996</v>
      </c>
      <c r="AR75" s="484"/>
      <c r="AS75" s="484"/>
      <c r="AT75" s="484"/>
      <c r="AU75" s="638"/>
      <c r="AV75" s="638"/>
      <c r="AW75" s="638" t="str">
        <f>VLOOKUP(J75,'Foundation Calculation'!$A$2:$C$33,3,1)</f>
        <v>Soil B</v>
      </c>
      <c r="AX75" s="638" t="str">
        <f>VLOOKUP(J75,'Foundation Calculation'!$E$2:$G$33,3,1)</f>
        <v>PT</v>
      </c>
      <c r="AY75" s="484"/>
      <c r="AZ75" s="484">
        <f>IF(AX75="PT",VLOOKUP(K75,'Foundation Calculation'!$K$2:$R$40,VLOOKUP(AW75,'Foundation Calculation'!$I$2:$J$8,2,FALSE),0),IF(AX75="K",VLOOKUP(K75,'Foundation Calculation'!$K$42:$R$80,VLOOKUP(AW75,'Foundation Calculation'!$I$2:$J$8,2,FALSE),0),""))</f>
        <v>3.9</v>
      </c>
      <c r="BA75" s="671" t="s">
        <v>2809</v>
      </c>
      <c r="BB75" s="1239"/>
      <c r="BC75" s="169"/>
      <c r="BD75" s="1330"/>
      <c r="BE75" s="1330"/>
      <c r="BF75" s="1330"/>
      <c r="BG75" s="1330"/>
    </row>
    <row r="76" spans="1:59" ht="15.75" customHeight="1">
      <c r="A76" s="1239"/>
      <c r="B76" s="435" t="s">
        <v>3758</v>
      </c>
      <c r="C76" s="446">
        <f>+$C$74+$G$75</f>
        <v>84762.609999999986</v>
      </c>
      <c r="D76" s="173"/>
      <c r="E76" s="447"/>
      <c r="F76" s="447">
        <v>0</v>
      </c>
      <c r="G76" s="484"/>
      <c r="H76" s="1239"/>
      <c r="I76" s="172"/>
      <c r="J76" s="171"/>
      <c r="K76" s="638"/>
      <c r="L76" s="638" t="s">
        <v>229</v>
      </c>
      <c r="M76" s="638" t="str">
        <f>IF(AX76="PT",VLOOKUP(L76,'Foundation Calculation'!$V$2:$X$40,VLOOKUP(AX76,'Foundation Calculation'!$I$10:$J$13,2,FALSE),0),IF(AX76="K",VLOOKUP(L76,'Foundation Calculation'!$V$42:$X$80,VLOOKUP(AX76,'Foundation Calculation'!$I$10:$J$13,2,FALSE),0),""))</f>
        <v>C3R</v>
      </c>
      <c r="N76" s="638" t="s">
        <v>143</v>
      </c>
      <c r="O76" s="1239"/>
      <c r="P76" s="1239"/>
      <c r="Q76" s="638"/>
      <c r="R76" s="638"/>
      <c r="S76" s="484"/>
      <c r="T76" s="638">
        <v>-35</v>
      </c>
      <c r="U76" s="638"/>
      <c r="V76" s="638"/>
      <c r="W76" s="638">
        <v>1.4</v>
      </c>
      <c r="X76" s="638"/>
      <c r="Y76" s="638"/>
      <c r="Z76" s="638"/>
      <c r="AA76" s="638"/>
      <c r="AB76" s="638"/>
      <c r="AC76" s="638" t="str">
        <f>IF(OR(AT76&gt;8,AT76&lt;-8),"PH",IF(OR(AT76&gt;5,AT76&lt;-5),"PH-Q",IF(OR(AT76&gt;1,AT76&lt;-1),"PH-C")))</f>
        <v>PH-Q</v>
      </c>
      <c r="AD76" s="638"/>
      <c r="AE76" s="638"/>
      <c r="AF76" s="638"/>
      <c r="AG76" s="446"/>
      <c r="AH76" s="638"/>
      <c r="AI76" s="638"/>
      <c r="AJ76" s="638"/>
      <c r="AK76" s="638"/>
      <c r="AL76" s="638"/>
      <c r="AM76" s="638" t="s">
        <v>1042</v>
      </c>
      <c r="AN76" s="455">
        <v>5.5</v>
      </c>
      <c r="AO76" s="1239"/>
      <c r="AP76" s="1239"/>
      <c r="AQ76" s="484"/>
      <c r="AR76" s="484"/>
      <c r="AS76" s="484"/>
      <c r="AT76" s="484">
        <f>+ab($T$76,$T$74,$U$78,$G$75,$G$77, 1*$F$76,1200)</f>
        <v>-6.979222091379766</v>
      </c>
      <c r="AU76" s="638"/>
      <c r="AV76" s="638"/>
      <c r="AW76" s="638" t="str">
        <f>VLOOKUP(C76,'Foundation Calculation'!$A$2:$C$33,3,1)</f>
        <v>Soil B</v>
      </c>
      <c r="AX76" s="638" t="str">
        <f>VLOOKUP(C76,'Foundation Calculation'!$E$2:$G$33,3,1)</f>
        <v>PT</v>
      </c>
      <c r="AY76" s="484">
        <f>IF(AX76="PT",VLOOKUP(L76,'Foundation Calculation'!$K$2:$R$40,VLOOKUP(AW76,'Foundation Calculation'!$I$2:$J$8,2,FALSE),0),IF(AX76="K",VLOOKUP(L76,'Foundation Calculation'!$K$42:$R$80,VLOOKUP(AW76,'Foundation Calculation'!$I$2:$J$8,2,FALSE),0),""))</f>
        <v>3.5</v>
      </c>
      <c r="AZ76" s="484"/>
      <c r="BA76" s="671" t="s">
        <v>2809</v>
      </c>
      <c r="BB76" s="1239" t="str">
        <f>Pole_Calculations!A15</f>
        <v>App.7-V11A-P9.5.1.1</v>
      </c>
      <c r="BC76" s="169"/>
      <c r="BD76" s="1329"/>
      <c r="BE76" s="1329"/>
      <c r="BF76" s="1330"/>
      <c r="BG76" s="1329"/>
    </row>
    <row r="77" spans="1:59" ht="15.75" customHeight="1">
      <c r="A77" s="1239"/>
      <c r="B77" s="173"/>
      <c r="C77" s="446"/>
      <c r="D77" s="173"/>
      <c r="E77" s="447"/>
      <c r="F77" s="447"/>
      <c r="G77" s="484">
        <v>52.4</v>
      </c>
      <c r="H77" s="1239"/>
      <c r="I77" s="1239"/>
      <c r="J77" s="171"/>
      <c r="K77" s="638"/>
      <c r="L77" s="638"/>
      <c r="M77" s="638"/>
      <c r="N77" s="1239"/>
      <c r="O77" s="1239"/>
      <c r="P77" s="1239"/>
      <c r="Q77" s="638"/>
      <c r="R77" s="638"/>
      <c r="S77" s="484"/>
      <c r="T77" s="638"/>
      <c r="U77" s="638"/>
      <c r="V77" s="638"/>
      <c r="W77" s="638"/>
      <c r="X77" s="638"/>
      <c r="Y77" s="638"/>
      <c r="Z77" s="638"/>
      <c r="AA77" s="638"/>
      <c r="AB77" s="638"/>
      <c r="AC77" s="638"/>
      <c r="AD77" s="638"/>
      <c r="AE77" s="638"/>
      <c r="AF77" s="638"/>
      <c r="AG77" s="446"/>
      <c r="AH77" s="638"/>
      <c r="AI77" s="638"/>
      <c r="AJ77" s="638"/>
      <c r="AK77" s="638"/>
      <c r="AL77" s="638"/>
      <c r="AM77" s="638"/>
      <c r="AN77" s="455"/>
      <c r="AO77" s="1239"/>
      <c r="AP77" s="1239"/>
      <c r="AQ77" s="484">
        <f>+FL_2($U$78,$T$76,$G$77,1200,9.28, 1*$F$78)</f>
        <v>-0.38080511887022894</v>
      </c>
      <c r="AR77" s="484"/>
      <c r="AS77" s="484"/>
      <c r="AT77" s="484"/>
      <c r="AU77" s="638"/>
      <c r="AV77" s="638"/>
      <c r="AW77" s="638"/>
      <c r="AX77" s="638"/>
      <c r="AY77" s="484"/>
      <c r="AZ77" s="484"/>
      <c r="BA77" s="671"/>
      <c r="BB77" s="1239"/>
      <c r="BC77" s="169"/>
      <c r="BD77" s="1330"/>
      <c r="BE77" s="1330"/>
      <c r="BF77" s="1330"/>
      <c r="BG77" s="1330"/>
    </row>
    <row r="78" spans="1:59" ht="15.75" customHeight="1">
      <c r="A78" s="1239"/>
      <c r="B78" s="435" t="s">
        <v>3759</v>
      </c>
      <c r="C78" s="446">
        <f>+$C$76+$G$77</f>
        <v>84815.00999999998</v>
      </c>
      <c r="D78" s="173"/>
      <c r="E78" s="447"/>
      <c r="F78" s="447">
        <v>0</v>
      </c>
      <c r="G78" s="484"/>
      <c r="H78" s="638" t="s">
        <v>619</v>
      </c>
      <c r="I78" s="638"/>
      <c r="J78" s="446"/>
      <c r="K78" s="638"/>
      <c r="L78" s="638"/>
      <c r="M78" s="638"/>
      <c r="N78" s="1239" t="s">
        <v>845</v>
      </c>
      <c r="O78" s="1239" t="s">
        <v>844</v>
      </c>
      <c r="P78" s="1239"/>
      <c r="Q78" s="638"/>
      <c r="R78" s="638"/>
      <c r="S78" s="484"/>
      <c r="T78" s="638">
        <v>-45</v>
      </c>
      <c r="U78" s="638">
        <v>35</v>
      </c>
      <c r="V78" s="638"/>
      <c r="W78" s="638">
        <v>2.2999999999999998</v>
      </c>
      <c r="X78" s="638">
        <v>1.4</v>
      </c>
      <c r="Y78" s="638"/>
      <c r="Z78" s="638">
        <v>0.45</v>
      </c>
      <c r="AA78" s="638"/>
      <c r="AB78" s="638"/>
      <c r="AC78" s="638"/>
      <c r="AD78" s="638"/>
      <c r="AE78" s="638"/>
      <c r="AF78" s="638"/>
      <c r="AG78" s="446"/>
      <c r="AH78" s="638"/>
      <c r="AI78" s="638"/>
      <c r="AJ78" s="638"/>
      <c r="AK78" s="638" t="s">
        <v>228</v>
      </c>
      <c r="AL78" s="638"/>
      <c r="AM78" s="638"/>
      <c r="AN78" s="455">
        <v>5.5</v>
      </c>
      <c r="AO78" s="1239"/>
      <c r="AP78" s="1239"/>
      <c r="AQ78" s="484"/>
      <c r="AR78" s="484"/>
      <c r="AS78" s="484"/>
      <c r="AT78" s="484">
        <f>+ab($U$78,$T$76,$U$80,$G$77,$G$79, 1*$F$78,1200)</f>
        <v>7.3353064558111845</v>
      </c>
      <c r="AU78" s="638"/>
      <c r="AV78" s="638"/>
      <c r="AW78" s="638"/>
      <c r="AX78" s="638"/>
      <c r="AY78" s="484"/>
      <c r="AZ78" s="484"/>
      <c r="BA78" s="671"/>
      <c r="BB78" s="1239"/>
      <c r="BC78" s="169"/>
      <c r="BD78" s="1330"/>
      <c r="BE78" s="1329"/>
      <c r="BF78" s="1330"/>
      <c r="BG78" s="1329"/>
    </row>
    <row r="79" spans="1:59" ht="15.75" customHeight="1">
      <c r="A79" s="428"/>
      <c r="B79" s="727"/>
      <c r="C79" s="426"/>
      <c r="D79" s="727"/>
      <c r="E79" s="427"/>
      <c r="F79" s="427"/>
      <c r="G79" s="486">
        <v>55.3</v>
      </c>
      <c r="H79" s="487"/>
      <c r="I79" s="427">
        <f>C80-C62</f>
        <v>459.60000000000582</v>
      </c>
      <c r="J79" s="426"/>
      <c r="K79" s="487"/>
      <c r="L79" s="487"/>
      <c r="M79" s="487"/>
      <c r="N79" s="428"/>
      <c r="O79" s="428"/>
      <c r="P79" s="428"/>
      <c r="Q79" s="487"/>
      <c r="R79" s="487"/>
      <c r="S79" s="486"/>
      <c r="T79" s="487"/>
      <c r="U79" s="487"/>
      <c r="V79" s="487"/>
      <c r="W79" s="487"/>
      <c r="X79" s="487"/>
      <c r="Y79" s="487"/>
      <c r="Z79" s="487"/>
      <c r="AA79" s="487"/>
      <c r="AB79" s="487"/>
      <c r="AC79" s="487"/>
      <c r="AD79" s="487"/>
      <c r="AE79" s="487"/>
      <c r="AF79" s="487"/>
      <c r="AG79" s="426"/>
      <c r="AH79" s="487"/>
      <c r="AI79" s="487"/>
      <c r="AJ79" s="487"/>
      <c r="AK79" s="487"/>
      <c r="AL79" s="487"/>
      <c r="AM79" s="487"/>
      <c r="AN79" s="456"/>
      <c r="AO79" s="428"/>
      <c r="AP79" s="428"/>
      <c r="AQ79" s="486">
        <f>+FL_2($U$80,$U$78,$G$79,1200,9.28, 1*$F$80)</f>
        <v>-0.39921282187341767</v>
      </c>
      <c r="AR79" s="486"/>
      <c r="AS79" s="486"/>
      <c r="AT79" s="486"/>
      <c r="AU79" s="487"/>
      <c r="AV79" s="487"/>
      <c r="AW79" s="487"/>
      <c r="AX79" s="487"/>
      <c r="AY79" s="486"/>
      <c r="AZ79" s="486"/>
      <c r="BA79" s="672"/>
      <c r="BB79" s="428"/>
      <c r="BC79" s="169"/>
      <c r="BD79" s="1330"/>
      <c r="BE79" s="1330"/>
      <c r="BF79" s="1330"/>
      <c r="BG79" s="1330"/>
    </row>
    <row r="80" spans="1:59" ht="15.75" customHeight="1">
      <c r="A80" s="424" t="s">
        <v>1663</v>
      </c>
      <c r="B80" s="728" t="s">
        <v>3760</v>
      </c>
      <c r="C80" s="426">
        <f>+$C$78+$G$79</f>
        <v>84870.309999999983</v>
      </c>
      <c r="D80" s="727"/>
      <c r="E80" s="427"/>
      <c r="F80" s="427">
        <v>0</v>
      </c>
      <c r="G80" s="486"/>
      <c r="H80" s="428" t="s">
        <v>3772</v>
      </c>
      <c r="I80" s="428"/>
      <c r="J80" s="430"/>
      <c r="K80" s="487"/>
      <c r="L80" s="487" t="s">
        <v>896</v>
      </c>
      <c r="M80" s="487" t="str">
        <f>IF(AX80="PT",VLOOKUP(L80,'Foundation Calculation'!$V$2:$X$40,VLOOKUP(AX80,'Foundation Calculation'!$I$10:$J$13,2,FALSE),0),IF(AX80="K",VLOOKUP(L80,'Foundation Calculation'!$V$42:$X$80,VLOOKUP(AX80,'Foundation Calculation'!$I$10:$J$13,2,FALSE),0),""))</f>
        <v>2C4R</v>
      </c>
      <c r="N80" s="428" t="s">
        <v>140</v>
      </c>
      <c r="O80" s="428" t="s">
        <v>143</v>
      </c>
      <c r="P80" s="428" t="s">
        <v>144</v>
      </c>
      <c r="Q80" s="487"/>
      <c r="R80" s="487"/>
      <c r="S80" s="486"/>
      <c r="T80" s="487">
        <v>-50</v>
      </c>
      <c r="U80" s="487">
        <v>-35</v>
      </c>
      <c r="V80" s="487">
        <v>-20</v>
      </c>
      <c r="W80" s="487">
        <v>2.2999999999999998</v>
      </c>
      <c r="X80" s="487">
        <v>1.8</v>
      </c>
      <c r="Y80" s="487">
        <v>1.4</v>
      </c>
      <c r="Z80" s="487">
        <v>0.45</v>
      </c>
      <c r="AA80" s="487"/>
      <c r="AB80" s="487"/>
      <c r="AC80" s="487"/>
      <c r="AD80" s="487" t="s">
        <v>1428</v>
      </c>
      <c r="AE80" s="487" t="s">
        <v>2773</v>
      </c>
      <c r="AF80" s="487"/>
      <c r="AG80" s="426"/>
      <c r="AH80" s="487"/>
      <c r="AI80" s="487"/>
      <c r="AJ80" s="487"/>
      <c r="AK80" s="487"/>
      <c r="AL80" s="487"/>
      <c r="AM80" s="487" t="s">
        <v>1042</v>
      </c>
      <c r="AN80" s="456">
        <v>5.5</v>
      </c>
      <c r="AO80" s="428"/>
      <c r="AP80" s="428"/>
      <c r="AQ80" s="486"/>
      <c r="AR80" s="486"/>
      <c r="AS80" s="486"/>
      <c r="AT80" s="486">
        <f>+ab($U$80,$U$78,$U$82,$G$79,$G$81, 1*$F$80,1200)</f>
        <v>-7.0089550145790556</v>
      </c>
      <c r="AU80" s="487"/>
      <c r="AV80" s="487"/>
      <c r="AW80" s="487" t="str">
        <f>VLOOKUP(C80,'Foundation Calculation'!$A$2:$C$33,3,1)</f>
        <v>Soil B</v>
      </c>
      <c r="AX80" s="487" t="str">
        <f>VLOOKUP(C80,'Foundation Calculation'!$E$2:$G$33,3,1)</f>
        <v>PT</v>
      </c>
      <c r="AY80" s="486">
        <f>IF(AX80="PT",VLOOKUP(L80,'Foundation Calculation'!$K$2:$R$40,VLOOKUP(AW80,'Foundation Calculation'!$I$2:$J$8,2,FALSE),0),IF(AX80="K",VLOOKUP(L80,'Foundation Calculation'!$K$42:$R$80,VLOOKUP(AW80,'Foundation Calculation'!$I$2:$J$8,2,FALSE),0),""))</f>
        <v>4</v>
      </c>
      <c r="AZ80" s="486"/>
      <c r="BA80" s="672" t="s">
        <v>2809</v>
      </c>
      <c r="BB80" s="424" t="str">
        <f>Pole_Calculations!A23</f>
        <v>App.7-V11A-P9.5.1.9</v>
      </c>
      <c r="BC80" s="169"/>
      <c r="BD80" s="1329"/>
      <c r="BE80" s="1329"/>
      <c r="BF80" s="1330"/>
      <c r="BG80" s="1329"/>
    </row>
    <row r="81" spans="1:59" ht="15.75" customHeight="1">
      <c r="A81" s="1239"/>
      <c r="B81" s="173"/>
      <c r="C81" s="446"/>
      <c r="D81" s="173"/>
      <c r="E81" s="447"/>
      <c r="F81" s="447"/>
      <c r="G81" s="484">
        <v>48</v>
      </c>
      <c r="H81" s="1239"/>
      <c r="I81" s="448">
        <f>C96-C80</f>
        <v>397.76000000002387</v>
      </c>
      <c r="J81" s="171"/>
      <c r="K81" s="638"/>
      <c r="L81" s="638"/>
      <c r="M81" s="638"/>
      <c r="N81" s="1239"/>
      <c r="O81" s="1239"/>
      <c r="P81" s="1239"/>
      <c r="Q81" s="638"/>
      <c r="R81" s="638"/>
      <c r="S81" s="484"/>
      <c r="T81" s="638"/>
      <c r="U81" s="638"/>
      <c r="V81" s="638"/>
      <c r="W81" s="638"/>
      <c r="X81" s="638"/>
      <c r="Y81" s="638"/>
      <c r="Z81" s="638"/>
      <c r="AA81" s="638"/>
      <c r="AB81" s="638"/>
      <c r="AC81" s="638"/>
      <c r="AD81" s="638"/>
      <c r="AE81" s="638"/>
      <c r="AF81" s="638"/>
      <c r="AG81" s="446"/>
      <c r="AH81" s="638"/>
      <c r="AI81" s="638"/>
      <c r="AJ81" s="638"/>
      <c r="AK81" s="638"/>
      <c r="AL81" s="638"/>
      <c r="AM81" s="638"/>
      <c r="AN81" s="455"/>
      <c r="AO81" s="1239"/>
      <c r="AP81" s="1239"/>
      <c r="AQ81" s="484">
        <f>+FL_2($U$82,$U$80,$G$81,1200,9.28, 1*$F$82)</f>
        <v>-0.36022448800000006</v>
      </c>
      <c r="AR81" s="484"/>
      <c r="AS81" s="484"/>
      <c r="AT81" s="484"/>
      <c r="AU81" s="638"/>
      <c r="AV81" s="638"/>
      <c r="AW81" s="638"/>
      <c r="AX81" s="638"/>
      <c r="AY81" s="484"/>
      <c r="AZ81" s="484"/>
      <c r="BA81" s="671"/>
      <c r="BB81" s="1239"/>
      <c r="BC81" s="169"/>
      <c r="BD81" s="1330"/>
      <c r="BE81" s="1330"/>
      <c r="BF81" s="1330"/>
      <c r="BG81" s="1330"/>
    </row>
    <row r="82" spans="1:59" ht="15.75" customHeight="1">
      <c r="A82" s="1239"/>
      <c r="B82" s="435" t="s">
        <v>3761</v>
      </c>
      <c r="C82" s="446">
        <f>+$C$80+$G$81</f>
        <v>84918.309999999983</v>
      </c>
      <c r="D82" s="173"/>
      <c r="E82" s="447"/>
      <c r="F82" s="447">
        <v>0</v>
      </c>
      <c r="G82" s="484"/>
      <c r="H82" s="1239" t="s">
        <v>3773</v>
      </c>
      <c r="I82" s="1239"/>
      <c r="J82" s="171"/>
      <c r="K82" s="638"/>
      <c r="L82" s="638" t="s">
        <v>896</v>
      </c>
      <c r="M82" s="638" t="str">
        <f>IF(AX82="PT",VLOOKUP(L82,'Foundation Calculation'!$V$2:$X$40,VLOOKUP(AX82,'Foundation Calculation'!$I$10:$J$13,2,FALSE),0),IF(AX82="K",VLOOKUP(L82,'Foundation Calculation'!$V$42:$X$80,VLOOKUP(AX82,'Foundation Calculation'!$I$10:$J$13,2,FALSE),0),""))</f>
        <v>2C4R</v>
      </c>
      <c r="N82" s="638" t="s">
        <v>143</v>
      </c>
      <c r="O82" s="1239" t="s">
        <v>144</v>
      </c>
      <c r="P82" s="1239" t="s">
        <v>140</v>
      </c>
      <c r="Q82" s="638"/>
      <c r="R82" s="638"/>
      <c r="S82" s="484"/>
      <c r="T82" s="638">
        <v>20</v>
      </c>
      <c r="U82" s="638">
        <v>35</v>
      </c>
      <c r="V82" s="638">
        <v>50</v>
      </c>
      <c r="W82" s="638">
        <v>2.2999999999999998</v>
      </c>
      <c r="X82" s="638">
        <v>1.8</v>
      </c>
      <c r="Y82" s="638">
        <v>1.4</v>
      </c>
      <c r="Z82" s="638"/>
      <c r="AA82" s="638"/>
      <c r="AB82" s="638">
        <v>0.45</v>
      </c>
      <c r="AC82" s="638" t="s">
        <v>1428</v>
      </c>
      <c r="AD82" s="638" t="s">
        <v>2773</v>
      </c>
      <c r="AE82" s="638"/>
      <c r="AF82" s="638"/>
      <c r="AG82" s="446"/>
      <c r="AH82" s="638"/>
      <c r="AI82" s="638"/>
      <c r="AJ82" s="638" t="s">
        <v>864</v>
      </c>
      <c r="AK82" s="638"/>
      <c r="AL82" s="638"/>
      <c r="AM82" s="638" t="s">
        <v>1042</v>
      </c>
      <c r="AN82" s="455">
        <v>5.5</v>
      </c>
      <c r="AO82" s="1239"/>
      <c r="AP82" s="1239"/>
      <c r="AQ82" s="484"/>
      <c r="AR82" s="484"/>
      <c r="AS82" s="484"/>
      <c r="AT82" s="484">
        <f>+ab($U$82,$U$80,$T$84,$G$81,$G$83, 1*$F$82,1200)</f>
        <v>12.934032506548364</v>
      </c>
      <c r="AU82" s="638"/>
      <c r="AV82" s="638"/>
      <c r="AW82" s="638" t="str">
        <f>VLOOKUP(C82,'Foundation Calculation'!$A$2:$C$33,3,1)</f>
        <v>Soil B</v>
      </c>
      <c r="AX82" s="638" t="str">
        <f>VLOOKUP(C82,'Foundation Calculation'!$E$2:$G$33,3,1)</f>
        <v>PT</v>
      </c>
      <c r="AY82" s="484">
        <f>IF(AX82="PT",VLOOKUP(L82,'Foundation Calculation'!$K$2:$R$40,VLOOKUP(AW82,'Foundation Calculation'!$I$2:$J$8,2,FALSE),0),IF(AX82="K",VLOOKUP(L82,'Foundation Calculation'!$K$42:$R$80,VLOOKUP(AW82,'Foundation Calculation'!$I$2:$J$8,2,FALSE),0),""))</f>
        <v>4</v>
      </c>
      <c r="AZ82" s="484"/>
      <c r="BA82" s="671" t="s">
        <v>2809</v>
      </c>
      <c r="BB82" s="1239" t="str">
        <f>Pole_Calculations!A23</f>
        <v>App.7-V11A-P9.5.1.9</v>
      </c>
      <c r="BC82" s="169"/>
      <c r="BD82" s="1329"/>
      <c r="BE82" s="1329"/>
      <c r="BF82" s="1330"/>
      <c r="BG82" s="1329"/>
    </row>
    <row r="83" spans="1:59" ht="15.75" customHeight="1">
      <c r="A83" s="1239" t="s">
        <v>1852</v>
      </c>
      <c r="B83" s="173"/>
      <c r="C83" s="446"/>
      <c r="D83" s="173"/>
      <c r="E83" s="447"/>
      <c r="F83" s="447"/>
      <c r="G83" s="484">
        <v>52.5</v>
      </c>
      <c r="H83" s="1239"/>
      <c r="I83" s="1239"/>
      <c r="J83" s="171">
        <f>C82+7.5</f>
        <v>84925.809999999983</v>
      </c>
      <c r="K83" s="638" t="s">
        <v>2788</v>
      </c>
      <c r="L83" s="638"/>
      <c r="M83" s="638"/>
      <c r="N83" s="1239"/>
      <c r="O83" s="1239"/>
      <c r="P83" s="1239"/>
      <c r="Q83" s="638"/>
      <c r="R83" s="638"/>
      <c r="S83" s="484"/>
      <c r="T83" s="638"/>
      <c r="U83" s="638"/>
      <c r="V83" s="638"/>
      <c r="W83" s="638"/>
      <c r="X83" s="638"/>
      <c r="Y83" s="638"/>
      <c r="Z83" s="638"/>
      <c r="AA83" s="638"/>
      <c r="AB83" s="638"/>
      <c r="AC83" s="638"/>
      <c r="AD83" s="638"/>
      <c r="AE83" s="638"/>
      <c r="AF83" s="638"/>
      <c r="AG83" s="446"/>
      <c r="AH83" s="638"/>
      <c r="AI83" s="638"/>
      <c r="AJ83" s="638"/>
      <c r="AK83" s="638"/>
      <c r="AL83" s="638"/>
      <c r="AM83" s="638"/>
      <c r="AN83" s="455"/>
      <c r="AO83" s="1239"/>
      <c r="AP83" s="1239"/>
      <c r="AQ83" s="484">
        <f>+FL_1($T$84,$U$82,$G$83,1200,9.28, 1*$F$84)</f>
        <v>0.61643749999999997</v>
      </c>
      <c r="AR83" s="484"/>
      <c r="AS83" s="484"/>
      <c r="AT83" s="484"/>
      <c r="AU83" s="638"/>
      <c r="AV83" s="638"/>
      <c r="AW83" s="638" t="str">
        <f>VLOOKUP(J83,'Foundation Calculation'!$A$2:$C$33,3,1)</f>
        <v>Soil B</v>
      </c>
      <c r="AX83" s="638" t="str">
        <f>VLOOKUP(J83,'Foundation Calculation'!$E$2:$G$33,3,1)</f>
        <v>PT</v>
      </c>
      <c r="AY83" s="484"/>
      <c r="AZ83" s="484">
        <f>IF(AX83="PT",VLOOKUP(K83,'Foundation Calculation'!$K$2:$R$40,VLOOKUP(AW83,'Foundation Calculation'!$I$2:$J$8,2,FALSE),0),IF(AX83="K",VLOOKUP(K83,'Foundation Calculation'!$K$42:$R$80,VLOOKUP(AW83,'Foundation Calculation'!$I$2:$J$8,2,FALSE),0),""))</f>
        <v>2.8</v>
      </c>
      <c r="BA83" s="671" t="s">
        <v>2809</v>
      </c>
      <c r="BB83" s="1239"/>
      <c r="BC83" s="169"/>
      <c r="BD83" s="1329"/>
      <c r="BE83" s="1330"/>
      <c r="BF83" s="1330"/>
      <c r="BG83" s="1330"/>
    </row>
    <row r="84" spans="1:59" ht="15.75" customHeight="1">
      <c r="A84" s="1239"/>
      <c r="B84" s="435" t="s">
        <v>3762</v>
      </c>
      <c r="C84" s="446">
        <f>+$C$82+$G$83</f>
        <v>84970.809999999983</v>
      </c>
      <c r="D84" s="173"/>
      <c r="E84" s="447"/>
      <c r="F84" s="447">
        <v>0</v>
      </c>
      <c r="G84" s="484"/>
      <c r="H84" s="1239" t="s">
        <v>3714</v>
      </c>
      <c r="I84" s="1239" t="s">
        <v>624</v>
      </c>
      <c r="J84" s="171"/>
      <c r="K84" s="638"/>
      <c r="L84" s="638" t="s">
        <v>895</v>
      </c>
      <c r="M84" s="638" t="str">
        <f>IF(AX84="PT",VLOOKUP(L84,'Foundation Calculation'!$V$2:$X$40,VLOOKUP(AX84,'Foundation Calculation'!$I$10:$J$13,2,FALSE),0),IF(AX84="K",VLOOKUP(L84,'Foundation Calculation'!$V$42:$X$80,VLOOKUP(AX84,'Foundation Calculation'!$I$10:$J$13,2,FALSE),0),""))</f>
        <v>2C3R</v>
      </c>
      <c r="N84" s="638" t="s">
        <v>144</v>
      </c>
      <c r="O84" s="1239" t="s">
        <v>143</v>
      </c>
      <c r="P84" s="1239"/>
      <c r="Q84" s="638"/>
      <c r="R84" s="638"/>
      <c r="S84" s="484"/>
      <c r="T84" s="638">
        <v>35</v>
      </c>
      <c r="U84" s="638">
        <v>20</v>
      </c>
      <c r="V84" s="638"/>
      <c r="W84" s="638">
        <v>1.4</v>
      </c>
      <c r="X84" s="638">
        <v>2</v>
      </c>
      <c r="Y84" s="638"/>
      <c r="Z84" s="638"/>
      <c r="AA84" s="638"/>
      <c r="AB84" s="638"/>
      <c r="AC84" s="638" t="s">
        <v>2773</v>
      </c>
      <c r="AD84" s="638" t="s">
        <v>1428</v>
      </c>
      <c r="AE84" s="638"/>
      <c r="AF84" s="638"/>
      <c r="AG84" s="446"/>
      <c r="AH84" s="638"/>
      <c r="AI84" s="638"/>
      <c r="AJ84" s="638" t="s">
        <v>864</v>
      </c>
      <c r="AK84" s="638"/>
      <c r="AL84" s="638"/>
      <c r="AM84" s="638" t="s">
        <v>1042</v>
      </c>
      <c r="AN84" s="455">
        <v>5.5</v>
      </c>
      <c r="AO84" s="1239"/>
      <c r="AP84" s="1239"/>
      <c r="AQ84" s="484"/>
      <c r="AR84" s="484"/>
      <c r="AS84" s="484"/>
      <c r="AT84" s="484">
        <f>+ab($T$84,$U$82,$T$86,$G$83,$G$85, 1*$F$84,1200)</f>
        <v>13.613184390748566</v>
      </c>
      <c r="AU84" s="638"/>
      <c r="AV84" s="638"/>
      <c r="AW84" s="638" t="str">
        <f>VLOOKUP(C84,'Foundation Calculation'!$A$2:$C$33,3,1)</f>
        <v>Soil B</v>
      </c>
      <c r="AX84" s="638" t="str">
        <f>VLOOKUP(C84,'Foundation Calculation'!$E$2:$G$33,3,1)</f>
        <v>PT</v>
      </c>
      <c r="AY84" s="484">
        <f>IF(AX84="PT",VLOOKUP(L84,'Foundation Calculation'!$K$2:$R$40,VLOOKUP(AW84,'Foundation Calculation'!$I$2:$J$8,2,FALSE),0),IF(AX84="K",VLOOKUP(L84,'Foundation Calculation'!$K$42:$R$80,VLOOKUP(AW84,'Foundation Calculation'!$I$2:$J$8,2,FALSE),0),""))</f>
        <v>3.5</v>
      </c>
      <c r="AZ84" s="484"/>
      <c r="BA84" s="671" t="s">
        <v>2809</v>
      </c>
      <c r="BB84" s="1239" t="str">
        <f>Pole_Calculations!A22</f>
        <v>App.7-V11A-P9.5.1.8</v>
      </c>
      <c r="BC84" s="169"/>
      <c r="BD84" s="1329"/>
      <c r="BE84" s="1329"/>
      <c r="BF84" s="1330"/>
      <c r="BG84" s="1329"/>
    </row>
    <row r="85" spans="1:59" ht="15.75" customHeight="1">
      <c r="A85" s="1239"/>
      <c r="B85" s="173"/>
      <c r="C85" s="446"/>
      <c r="D85" s="173"/>
      <c r="E85" s="447"/>
      <c r="F85" s="447"/>
      <c r="G85" s="484">
        <v>47</v>
      </c>
      <c r="H85" s="1239"/>
      <c r="I85" s="1239"/>
      <c r="J85" s="171">
        <f>C84+7.5</f>
        <v>84978.309999999983</v>
      </c>
      <c r="K85" s="638" t="s">
        <v>2787</v>
      </c>
      <c r="L85" s="638"/>
      <c r="M85" s="638"/>
      <c r="N85" s="1239"/>
      <c r="O85" s="638"/>
      <c r="P85" s="638"/>
      <c r="Q85" s="638"/>
      <c r="R85" s="638"/>
      <c r="S85" s="484"/>
      <c r="T85" s="638"/>
      <c r="U85" s="638"/>
      <c r="V85" s="638"/>
      <c r="W85" s="638"/>
      <c r="X85" s="638"/>
      <c r="Y85" s="638"/>
      <c r="Z85" s="638"/>
      <c r="AA85" s="638"/>
      <c r="AB85" s="638"/>
      <c r="AC85" s="638"/>
      <c r="AD85" s="638"/>
      <c r="AE85" s="638"/>
      <c r="AF85" s="638"/>
      <c r="AG85" s="446"/>
      <c r="AH85" s="638"/>
      <c r="AI85" s="638"/>
      <c r="AJ85" s="638"/>
      <c r="AK85" s="638"/>
      <c r="AL85" s="638"/>
      <c r="AM85" s="638"/>
      <c r="AN85" s="455"/>
      <c r="AO85" s="1239"/>
      <c r="AP85" s="1239"/>
      <c r="AQ85" s="484">
        <f>+FL_1($T$86,$T$84,$G$85,1200,9.28, 1*$F$86)</f>
        <v>0.3500457696547844</v>
      </c>
      <c r="AR85" s="484"/>
      <c r="AS85" s="484"/>
      <c r="AT85" s="484"/>
      <c r="AU85" s="638"/>
      <c r="AV85" s="638"/>
      <c r="AW85" s="638" t="str">
        <f>VLOOKUP(J85,'Foundation Calculation'!$A$2:$C$33,3,1)</f>
        <v>Soil B</v>
      </c>
      <c r="AX85" s="638" t="str">
        <f>VLOOKUP(J85,'Foundation Calculation'!$E$2:$G$33,3,1)</f>
        <v>PT</v>
      </c>
      <c r="AY85" s="484"/>
      <c r="AZ85" s="484">
        <f>IF(AX85="PT",VLOOKUP(K85,'Foundation Calculation'!$K$2:$R$40,VLOOKUP(AW85,'Foundation Calculation'!$I$2:$J$8,2,FALSE),0),IF(AX85="K",VLOOKUP(K85,'Foundation Calculation'!$K$42:$R$80,VLOOKUP(AW85,'Foundation Calculation'!$I$2:$J$8,2,FALSE),0),""))</f>
        <v>3.9</v>
      </c>
      <c r="BA85" s="671" t="s">
        <v>2809</v>
      </c>
      <c r="BB85" s="1239"/>
      <c r="BC85" s="169"/>
      <c r="BD85" s="1329"/>
      <c r="BE85" s="1330"/>
      <c r="BF85" s="1330"/>
      <c r="BG85" s="1330"/>
    </row>
    <row r="86" spans="1:59" ht="15.75" customHeight="1">
      <c r="A86" s="1239"/>
      <c r="B86" s="435" t="s">
        <v>4203</v>
      </c>
      <c r="C86" s="446">
        <f>+$C$84+$G$85+0.96</f>
        <v>85018.76999999999</v>
      </c>
      <c r="D86" s="173"/>
      <c r="E86" s="447"/>
      <c r="F86" s="448">
        <f>(250^2)/(C86-84995.04)</f>
        <v>2633.7968815849445</v>
      </c>
      <c r="G86" s="484"/>
      <c r="H86" s="1239" t="s">
        <v>619</v>
      </c>
      <c r="I86" s="1239"/>
      <c r="J86" s="171"/>
      <c r="K86" s="638"/>
      <c r="L86" s="638" t="s">
        <v>895</v>
      </c>
      <c r="M86" s="638" t="str">
        <f>IF(AX86="PT",VLOOKUP(L86,'Foundation Calculation'!$V$2:$X$40,VLOOKUP(AX86,'Foundation Calculation'!$I$10:$J$13,2,FALSE),0),IF(AX86="K",VLOOKUP(L86,'Foundation Calculation'!$V$42:$X$80,VLOOKUP(AX86,'Foundation Calculation'!$I$10:$J$13,2,FALSE),0),""))</f>
        <v>2C3R</v>
      </c>
      <c r="N86" s="1239" t="s">
        <v>144</v>
      </c>
      <c r="O86" s="1239" t="s">
        <v>140</v>
      </c>
      <c r="P86" s="1239"/>
      <c r="Q86" s="638"/>
      <c r="R86" s="638"/>
      <c r="S86" s="484"/>
      <c r="T86" s="638">
        <v>-30</v>
      </c>
      <c r="U86" s="638">
        <v>-45</v>
      </c>
      <c r="V86" s="638"/>
      <c r="W86" s="638">
        <v>1.4</v>
      </c>
      <c r="X86" s="638">
        <v>2</v>
      </c>
      <c r="Y86" s="638"/>
      <c r="Z86" s="638"/>
      <c r="AA86" s="638">
        <v>0.45</v>
      </c>
      <c r="AB86" s="638"/>
      <c r="AC86" s="638" t="str">
        <f>IF(OR(AT86&gt;8,AT86&lt;-8),"PH",IF(OR(AT86&gt;5,AT86&lt;-5),"PH-Q",IF(OR(AT86&gt;1,AT86&lt;-1),"PH-C")))</f>
        <v>PH</v>
      </c>
      <c r="AD86" s="638"/>
      <c r="AE86" s="638"/>
      <c r="AF86" s="638"/>
      <c r="AG86" s="446"/>
      <c r="AH86" s="638"/>
      <c r="AI86" s="638"/>
      <c r="AJ86" s="638"/>
      <c r="AK86" s="638"/>
      <c r="AL86" s="638"/>
      <c r="AM86" s="638" t="s">
        <v>1042</v>
      </c>
      <c r="AN86" s="455">
        <v>5.5</v>
      </c>
      <c r="AO86" s="1239"/>
      <c r="AP86" s="1239"/>
      <c r="AQ86" s="484"/>
      <c r="AR86" s="484"/>
      <c r="AS86" s="484"/>
      <c r="AT86" s="484">
        <f>+ab($T$86,$T$84,$T$88,$G$85,$G$87, 1*$F$86,1200)</f>
        <v>-20.742795076120501</v>
      </c>
      <c r="AU86" s="638"/>
      <c r="AV86" s="638"/>
      <c r="AW86" s="638" t="str">
        <f>VLOOKUP(C86,'Foundation Calculation'!$A$2:$C$33,3,1)</f>
        <v>Soil B</v>
      </c>
      <c r="AX86" s="638" t="str">
        <f>VLOOKUP(C86,'Foundation Calculation'!$E$2:$G$33,3,1)</f>
        <v>PT</v>
      </c>
      <c r="AY86" s="484">
        <f>IF(AX86="PT",VLOOKUP(L86,'Foundation Calculation'!$K$2:$R$40,VLOOKUP(AW86,'Foundation Calculation'!$I$2:$J$8,2,FALSE),0),IF(AX86="K",VLOOKUP(L86,'Foundation Calculation'!$K$42:$R$80,VLOOKUP(AW86,'Foundation Calculation'!$I$2:$J$8,2,FALSE),0),""))</f>
        <v>3.5</v>
      </c>
      <c r="AZ86" s="484"/>
      <c r="BA86" s="671" t="s">
        <v>2809</v>
      </c>
      <c r="BB86" s="1239" t="str">
        <f>Pole_Calculations!A19</f>
        <v>App.7-V11A-P9.5.1.5</v>
      </c>
      <c r="BC86" s="169"/>
      <c r="BD86" s="1329"/>
      <c r="BE86" s="1329"/>
      <c r="BF86" s="1330"/>
      <c r="BG86" s="1329"/>
    </row>
    <row r="87" spans="1:59" ht="15.75" customHeight="1">
      <c r="A87" s="501"/>
      <c r="B87" s="716"/>
      <c r="C87" s="451"/>
      <c r="D87" s="503">
        <f>'HR Track 3 HER-TSA'!D5</f>
        <v>0</v>
      </c>
      <c r="E87" s="453">
        <f>'HR Track 3 HER-TSA'!E5</f>
        <v>0</v>
      </c>
      <c r="F87" s="453"/>
      <c r="G87" s="484">
        <f>'HR Track 3 HER-TSA'!G5</f>
        <v>46.8</v>
      </c>
      <c r="H87" s="501"/>
      <c r="I87" s="501"/>
      <c r="J87" s="583">
        <f>'HR Track 3 HER-TSA'!J5</f>
        <v>0</v>
      </c>
      <c r="K87" s="452">
        <f>'HR Track 3 HER-TSA'!K5</f>
        <v>0</v>
      </c>
      <c r="L87" s="452"/>
      <c r="M87" s="452"/>
      <c r="N87" s="501"/>
      <c r="O87" s="452"/>
      <c r="P87" s="452"/>
      <c r="Q87" s="452"/>
      <c r="R87" s="452"/>
      <c r="S87" s="500"/>
      <c r="T87" s="452"/>
      <c r="U87" s="452"/>
      <c r="V87" s="452"/>
      <c r="W87" s="452"/>
      <c r="X87" s="452"/>
      <c r="Y87" s="452"/>
      <c r="Z87" s="452"/>
      <c r="AA87" s="452"/>
      <c r="AB87" s="452"/>
      <c r="AC87" s="452"/>
      <c r="AD87" s="452"/>
      <c r="AE87" s="452"/>
      <c r="AF87" s="452"/>
      <c r="AG87" s="451"/>
      <c r="AH87" s="452"/>
      <c r="AI87" s="452"/>
      <c r="AJ87" s="452"/>
      <c r="AK87" s="452"/>
      <c r="AL87" s="452"/>
      <c r="AM87" s="452"/>
      <c r="AN87" s="502"/>
      <c r="AO87" s="501">
        <f>'HR Track 3 HER-TSA'!AO5</f>
        <v>0</v>
      </c>
      <c r="AP87" s="501">
        <f>'HR Track 3 HER-TSA'!AP5</f>
        <v>0</v>
      </c>
      <c r="AQ87" s="500">
        <f>'HR Track 3 HER-TSA'!AQ5</f>
        <v>0.3</v>
      </c>
      <c r="AR87" s="500">
        <f>'HR Track 3 HER-TSA'!AR5</f>
        <v>0</v>
      </c>
      <c r="AS87" s="500">
        <f>'HR Track 3 HER-TSA'!AS5</f>
        <v>0</v>
      </c>
      <c r="AT87" s="500"/>
      <c r="AU87" s="452">
        <f>'HR Track 3 HER-TSA'!AU5</f>
        <v>0</v>
      </c>
      <c r="AV87" s="452">
        <f>'HR Track 3 HER-TSA'!AV5</f>
        <v>0</v>
      </c>
      <c r="AW87" s="452">
        <f>'HR Track 3 HER-TSA'!AW5</f>
        <v>0</v>
      </c>
      <c r="AX87" s="452">
        <f>'HR Track 3 HER-TSA'!AX5</f>
        <v>0</v>
      </c>
      <c r="AY87" s="500"/>
      <c r="AZ87" s="500" t="str">
        <f>'HR Track 3 HER-TSA'!AZ5</f>
        <v/>
      </c>
      <c r="BA87" s="671">
        <f>'HR Track 3 HER-TSA'!BA5</f>
        <v>0</v>
      </c>
      <c r="BB87" s="501"/>
      <c r="BC87" s="169"/>
      <c r="BD87" s="1330"/>
      <c r="BE87" s="1330"/>
      <c r="BF87" s="1330"/>
      <c r="BG87" s="1330"/>
    </row>
    <row r="88" spans="1:59" ht="15.75" customHeight="1">
      <c r="A88" s="501">
        <f>'HR Track 3 HER-TSA'!A6</f>
        <v>0</v>
      </c>
      <c r="B88" s="716" t="str">
        <f>'HR Track 3 HER-TSA'!B6</f>
        <v>85-3.02</v>
      </c>
      <c r="C88" s="451">
        <f>'HR Track 3 HER-TSA'!C6</f>
        <v>85065.57</v>
      </c>
      <c r="D88" s="453">
        <f>'HR Track 3 HER-TSA'!D6</f>
        <v>0</v>
      </c>
      <c r="E88" s="452">
        <f>'HR Track 3 HER-TSA'!E6</f>
        <v>0</v>
      </c>
      <c r="F88" s="453">
        <f>'HR Track 3 HER-TSA'!F6</f>
        <v>2500</v>
      </c>
      <c r="G88" s="500">
        <f>'HR Track 3 HER-TSA'!G6</f>
        <v>0</v>
      </c>
      <c r="H88" s="453" t="str">
        <f>'HR Track 3 HER-TSA'!H6</f>
        <v>A/S-Diag S/A A/S</v>
      </c>
      <c r="I88" s="501" t="str">
        <f>'HR Track 3 HER-TSA'!I6</f>
        <v>CP+AnMC</v>
      </c>
      <c r="J88" s="583">
        <f>'HR Track 3 HER-TSA'!J6</f>
        <v>0</v>
      </c>
      <c r="K88" s="452">
        <f>'HR Track 3 HER-TSA'!K6</f>
        <v>0</v>
      </c>
      <c r="L88" s="452" t="str">
        <f>'HR Track 3 HER-TSA'!L6</f>
        <v>2HEB-260</v>
      </c>
      <c r="M88" s="452" t="str">
        <f>'HR Track 3 HER-TSA'!M6</f>
        <v>2C4R</v>
      </c>
      <c r="N88" s="501" t="str">
        <f>'HR Track 3 HER-TSA'!N6</f>
        <v>EMT-2</v>
      </c>
      <c r="O88" s="501">
        <f>'HR Track 3 HER-TSA'!O6</f>
        <v>0</v>
      </c>
      <c r="P88" s="501">
        <f>'HR Track 3 HER-TSA'!P6</f>
        <v>0</v>
      </c>
      <c r="Q88" s="452">
        <f>'HR Track 3 HER-TSA'!Q6</f>
        <v>20</v>
      </c>
      <c r="R88" s="452">
        <f>'HR Track 3 HER-TSA'!R6</f>
        <v>2500</v>
      </c>
      <c r="S88" s="500">
        <f>'HR Track 3 HER-TSA'!S6</f>
        <v>0</v>
      </c>
      <c r="T88" s="452">
        <f>'HR Track 3 HER-TSA'!T6</f>
        <v>30</v>
      </c>
      <c r="U88" s="452">
        <f>'HR Track 3 HER-TSA'!U6</f>
        <v>0</v>
      </c>
      <c r="V88" s="452">
        <f>'HR Track 3 HER-TSA'!V6</f>
        <v>0</v>
      </c>
      <c r="W88" s="452">
        <f>'HR Track 3 HER-TSA'!W6</f>
        <v>1.4</v>
      </c>
      <c r="X88" s="452">
        <f>'HR Track 3 HER-TSA'!X6</f>
        <v>0</v>
      </c>
      <c r="Y88" s="452">
        <f>'HR Track 3 HER-TSA'!Y6</f>
        <v>0</v>
      </c>
      <c r="Z88" s="452">
        <f>'HR Track 3 HER-TSA'!Z6</f>
        <v>0</v>
      </c>
      <c r="AA88" s="452">
        <f>'HR Track 3 HER-TSA'!AA6</f>
        <v>0</v>
      </c>
      <c r="AB88" s="452">
        <f>'HR Track 3 HER-TSA'!AB6</f>
        <v>0</v>
      </c>
      <c r="AC88" s="452" t="str">
        <f>'HR Track 3 HER-TSA'!AC6</f>
        <v>PH-C</v>
      </c>
      <c r="AD88" s="452">
        <f>'HR Track 3 HER-TSA'!AD6</f>
        <v>0</v>
      </c>
      <c r="AE88" s="452">
        <f>'HR Track 3 HER-TSA'!AE6</f>
        <v>0</v>
      </c>
      <c r="AF88" s="452">
        <f>'HR Track 3 HER-TSA'!AF6</f>
        <v>0</v>
      </c>
      <c r="AG88" s="451">
        <f>'HR Track 3 HER-TSA'!AG6</f>
        <v>85065</v>
      </c>
      <c r="AH88" s="452">
        <f>'HR Track 3 HER-TSA'!AH6</f>
        <v>2573</v>
      </c>
      <c r="AI88" s="452">
        <f>'HR Track 3 HER-TSA'!AI6</f>
        <v>330</v>
      </c>
      <c r="AJ88" s="452">
        <f>'HR Track 3 HER-TSA'!AJ6</f>
        <v>0</v>
      </c>
      <c r="AK88" s="452">
        <f>'HR Track 3 HER-TSA'!AK6</f>
        <v>0</v>
      </c>
      <c r="AL88" s="452">
        <f>'HR Track 3 HER-TSA'!AL6</f>
        <v>0</v>
      </c>
      <c r="AM88" s="452" t="str">
        <f>'HR Track 3 HER-TSA'!AM6</f>
        <v>RW1</v>
      </c>
      <c r="AN88" s="500">
        <f>'HR Track 3 HER-TSA'!AN6</f>
        <v>5.5</v>
      </c>
      <c r="AO88" s="452">
        <f>'HR Track 3 HER-TSA'!AO6</f>
        <v>0</v>
      </c>
      <c r="AP88" s="452">
        <f>'HR Track 3 HER-TSA'!AP6</f>
        <v>0</v>
      </c>
      <c r="AQ88" s="452">
        <f>'HR Track 3 HER-TSA'!AQ6</f>
        <v>0</v>
      </c>
      <c r="AR88" s="452">
        <f>'HR Track 3 HER-TSA'!AR6</f>
        <v>0</v>
      </c>
      <c r="AS88" s="452">
        <f>'HR Track 3 HER-TSA'!AS6</f>
        <v>0</v>
      </c>
      <c r="AT88" s="452">
        <f>'HR Track 3 HER-TSA'!AT6</f>
        <v>4.239490043120334</v>
      </c>
      <c r="AU88" s="452">
        <f>'HR Track 3 HER-TSA'!AU6</f>
        <v>0</v>
      </c>
      <c r="AV88" s="452">
        <f>'HR Track 3 HER-TSA'!AV6</f>
        <v>0</v>
      </c>
      <c r="AW88" s="452" t="str">
        <f>'HR Track 3 HER-TSA'!AW6</f>
        <v>Soil B</v>
      </c>
      <c r="AX88" s="452" t="str">
        <f>'HR Track 3 HER-TSA'!AX6</f>
        <v>PT</v>
      </c>
      <c r="AY88" s="500">
        <f>'HR Track 3 HER-TSA'!AY6</f>
        <v>4</v>
      </c>
      <c r="AZ88" s="500">
        <f>'HR Track 3 HER-TSA'!AZ6</f>
        <v>0</v>
      </c>
      <c r="BA88" s="1333" t="str">
        <f>'HR Track 3 HER-TSA'!BA6</f>
        <v>ü</v>
      </c>
      <c r="BB88" s="452" t="str">
        <f>'HR Track 3 HER-TSA'!BB6</f>
        <v>App.7-V11A-P9.5.1.8</v>
      </c>
      <c r="BC88" s="1334">
        <f>'HR Track 3 HER-TSA'!BC6</f>
        <v>0</v>
      </c>
      <c r="BD88" s="1335">
        <f>'HR Track 3 HER-TSA'!BD6</f>
        <v>0</v>
      </c>
      <c r="BE88" s="1335">
        <f>'HR Track 3 HER-TSA'!BE6</f>
        <v>0</v>
      </c>
      <c r="BF88" s="1335">
        <f>'HR Track 3 HER-TSA'!BF6</f>
        <v>0</v>
      </c>
      <c r="BG88" s="1335">
        <f>'HR Track 3 HER-TSA'!BG6</f>
        <v>0</v>
      </c>
    </row>
    <row r="89" spans="1:59" ht="15.75" customHeight="1">
      <c r="A89" s="501">
        <f>'HR Track 3 HER-TSA'!A7</f>
        <v>0</v>
      </c>
      <c r="B89" s="716">
        <f>'HR Track 3 HER-TSA'!B7</f>
        <v>0</v>
      </c>
      <c r="C89" s="451">
        <f>'HR Track 3 HER-TSA'!C7</f>
        <v>0</v>
      </c>
      <c r="D89" s="453">
        <f>'HR Track 3 HER-TSA'!D7</f>
        <v>0</v>
      </c>
      <c r="E89" s="452">
        <f>'HR Track 3 HER-TSA'!E7</f>
        <v>0</v>
      </c>
      <c r="F89" s="453">
        <f>'HR Track 3 HER-TSA'!F7</f>
        <v>0</v>
      </c>
      <c r="G89" s="500">
        <f>'HR Track 3 HER-TSA'!G7</f>
        <v>50</v>
      </c>
      <c r="H89" s="453">
        <f>'HR Track 3 HER-TSA'!H7</f>
        <v>0</v>
      </c>
      <c r="I89" s="501" t="str">
        <f>'HR Track 3 HER-TSA'!I7</f>
        <v>CP+AnMC</v>
      </c>
      <c r="J89" s="583">
        <f>'HR Track 3 HER-TSA'!J7</f>
        <v>0</v>
      </c>
      <c r="K89" s="452">
        <f>'HR Track 3 HER-TSA'!K7</f>
        <v>0</v>
      </c>
      <c r="L89" s="452">
        <f>'HR Track 3 HER-TSA'!L7</f>
        <v>0</v>
      </c>
      <c r="M89" s="452">
        <f>'HR Track 3 HER-TSA'!M7</f>
        <v>0</v>
      </c>
      <c r="N89" s="501">
        <f>'HR Track 3 HER-TSA'!N7</f>
        <v>0</v>
      </c>
      <c r="O89" s="501">
        <f>'HR Track 3 HER-TSA'!O7</f>
        <v>0</v>
      </c>
      <c r="P89" s="501">
        <f>'HR Track 3 HER-TSA'!P7</f>
        <v>0</v>
      </c>
      <c r="Q89" s="452">
        <f>'HR Track 3 HER-TSA'!Q7</f>
        <v>0</v>
      </c>
      <c r="R89" s="452">
        <f>'HR Track 3 HER-TSA'!R7</f>
        <v>0</v>
      </c>
      <c r="S89" s="500">
        <f>'HR Track 3 HER-TSA'!S7</f>
        <v>50</v>
      </c>
      <c r="T89" s="452">
        <f>'HR Track 3 HER-TSA'!T7</f>
        <v>0</v>
      </c>
      <c r="U89" s="452">
        <f>'HR Track 3 HER-TSA'!U7</f>
        <v>0</v>
      </c>
      <c r="V89" s="452">
        <f>'HR Track 3 HER-TSA'!V7</f>
        <v>0</v>
      </c>
      <c r="W89" s="452">
        <f>'HR Track 3 HER-TSA'!W7</f>
        <v>0</v>
      </c>
      <c r="X89" s="452">
        <f>'HR Track 3 HER-TSA'!X7</f>
        <v>0</v>
      </c>
      <c r="Y89" s="452">
        <f>'HR Track 3 HER-TSA'!Y7</f>
        <v>0</v>
      </c>
      <c r="Z89" s="452">
        <f>'HR Track 3 HER-TSA'!Z7</f>
        <v>0</v>
      </c>
      <c r="AA89" s="452">
        <f>'HR Track 3 HER-TSA'!AA7</f>
        <v>0</v>
      </c>
      <c r="AB89" s="452">
        <f>'HR Track 3 HER-TSA'!AB7</f>
        <v>0</v>
      </c>
      <c r="AC89" s="452">
        <f>'HR Track 3 HER-TSA'!AC7</f>
        <v>0</v>
      </c>
      <c r="AD89" s="452">
        <f>'HR Track 3 HER-TSA'!AD7</f>
        <v>0</v>
      </c>
      <c r="AE89" s="452">
        <f>'HR Track 3 HER-TSA'!AE7</f>
        <v>0</v>
      </c>
      <c r="AF89" s="452">
        <f>'HR Track 3 HER-TSA'!AF7</f>
        <v>0</v>
      </c>
      <c r="AG89" s="451">
        <f>'HR Track 3 HER-TSA'!AG7</f>
        <v>0</v>
      </c>
      <c r="AH89" s="452">
        <f>'HR Track 3 HER-TSA'!AH7</f>
        <v>0</v>
      </c>
      <c r="AI89" s="452">
        <f>'HR Track 3 HER-TSA'!AI7</f>
        <v>0</v>
      </c>
      <c r="AJ89" s="452">
        <f>'HR Track 3 HER-TSA'!AJ7</f>
        <v>0</v>
      </c>
      <c r="AK89" s="452">
        <f>'HR Track 3 HER-TSA'!AK7</f>
        <v>0</v>
      </c>
      <c r="AL89" s="452">
        <f>'HR Track 3 HER-TSA'!AL7</f>
        <v>0</v>
      </c>
      <c r="AM89" s="452">
        <f>'HR Track 3 HER-TSA'!AM7</f>
        <v>0</v>
      </c>
      <c r="AN89" s="500">
        <f>'HR Track 3 HER-TSA'!AN7</f>
        <v>0</v>
      </c>
      <c r="AO89" s="452">
        <f>'HR Track 3 HER-TSA'!AO7</f>
        <v>0</v>
      </c>
      <c r="AP89" s="452">
        <f>'HR Track 3 HER-TSA'!AP7</f>
        <v>0</v>
      </c>
      <c r="AQ89" s="452">
        <f>'HR Track 3 HER-TSA'!AQ7</f>
        <v>0.32593390799999999</v>
      </c>
      <c r="AR89" s="452">
        <f>'HR Track 3 HER-TSA'!AR7</f>
        <v>0</v>
      </c>
      <c r="AS89" s="452">
        <f>'HR Track 3 HER-TSA'!AS7</f>
        <v>0</v>
      </c>
      <c r="AT89" s="452">
        <f>'HR Track 3 HER-TSA'!AT7</f>
        <v>0</v>
      </c>
      <c r="AU89" s="452">
        <f>'HR Track 3 HER-TSA'!AU7</f>
        <v>0</v>
      </c>
      <c r="AV89" s="452">
        <f>'HR Track 3 HER-TSA'!AV7</f>
        <v>0</v>
      </c>
      <c r="AW89" s="452">
        <f>'HR Track 3 HER-TSA'!AW7</f>
        <v>0</v>
      </c>
      <c r="AX89" s="452">
        <f>'HR Track 3 HER-TSA'!AX7</f>
        <v>0</v>
      </c>
      <c r="AY89" s="500">
        <f>'HR Track 3 HER-TSA'!AY7</f>
        <v>0</v>
      </c>
      <c r="AZ89" s="500">
        <f>'HR Track 3 HER-TSA'!AZ7</f>
        <v>0</v>
      </c>
      <c r="BA89" s="1333">
        <f>'HR Track 3 HER-TSA'!BA7</f>
        <v>0</v>
      </c>
      <c r="BB89" s="452">
        <f>'HR Track 3 HER-TSA'!BB7</f>
        <v>0</v>
      </c>
      <c r="BC89" s="1334">
        <f>'HR Track 3 HER-TSA'!BC7</f>
        <v>0</v>
      </c>
      <c r="BD89" s="1335">
        <f>'HR Track 3 HER-TSA'!BD7</f>
        <v>0</v>
      </c>
      <c r="BE89" s="1335">
        <f>'HR Track 3 HER-TSA'!BE7</f>
        <v>0</v>
      </c>
      <c r="BF89" s="1335">
        <f>'HR Track 3 HER-TSA'!BF7</f>
        <v>0</v>
      </c>
      <c r="BG89" s="1335">
        <f>'HR Track 3 HER-TSA'!BG7</f>
        <v>0</v>
      </c>
    </row>
    <row r="90" spans="1:59" ht="15.75" customHeight="1">
      <c r="A90" s="501">
        <f>'HR Track 3 HER-TSA'!A8</f>
        <v>0</v>
      </c>
      <c r="B90" s="716" t="str">
        <f>'HR Track 3 HER-TSA'!B8</f>
        <v>85-3.03</v>
      </c>
      <c r="C90" s="451">
        <f>'HR Track 3 HER-TSA'!C8</f>
        <v>85115.57</v>
      </c>
      <c r="D90" s="453">
        <f>'HR Track 3 HER-TSA'!D8</f>
        <v>0</v>
      </c>
      <c r="E90" s="452">
        <f>'HR Track 3 HER-TSA'!E8</f>
        <v>0</v>
      </c>
      <c r="F90" s="453">
        <f>'HR Track 3 HER-TSA'!F8</f>
        <v>0</v>
      </c>
      <c r="G90" s="500">
        <f>'HR Track 3 HER-TSA'!G8</f>
        <v>0</v>
      </c>
      <c r="H90" s="453" t="str">
        <f>'HR Track 3 HER-TSA'!H8</f>
        <v>S/A</v>
      </c>
      <c r="I90" s="501">
        <f>'HR Track 3 HER-TSA'!I8</f>
        <v>0</v>
      </c>
      <c r="J90" s="583">
        <f>'HR Track 3 HER-TSA'!J8</f>
        <v>0</v>
      </c>
      <c r="K90" s="452">
        <f>'HR Track 3 HER-TSA'!K8</f>
        <v>0</v>
      </c>
      <c r="L90" s="452" t="str">
        <f>'HR Track 3 HER-TSA'!L8</f>
        <v>2HEB-240</v>
      </c>
      <c r="M90" s="452" t="str">
        <f>'HR Track 3 HER-TSA'!M8</f>
        <v>2C3R</v>
      </c>
      <c r="N90" s="501" t="str">
        <f>'HR Track 3 HER-TSA'!N8</f>
        <v>EMT-T</v>
      </c>
      <c r="O90" s="501" t="str">
        <f>'HR Track 3 HER-TSA'!O8</f>
        <v>EMT-1</v>
      </c>
      <c r="P90" s="501">
        <f>'HR Track 3 HER-TSA'!P8</f>
        <v>0</v>
      </c>
      <c r="Q90" s="452">
        <f>'HR Track 3 HER-TSA'!Q8</f>
        <v>0</v>
      </c>
      <c r="R90" s="452">
        <f>'HR Track 3 HER-TSA'!R8</f>
        <v>0</v>
      </c>
      <c r="S90" s="500">
        <f>'HR Track 3 HER-TSA'!S8</f>
        <v>0</v>
      </c>
      <c r="T90" s="452">
        <f>'HR Track 3 HER-TSA'!T8</f>
        <v>10</v>
      </c>
      <c r="U90" s="452">
        <f>'HR Track 3 HER-TSA'!U8</f>
        <v>-35</v>
      </c>
      <c r="V90" s="452">
        <f>'HR Track 3 HER-TSA'!V8</f>
        <v>0</v>
      </c>
      <c r="W90" s="452">
        <f>'HR Track 3 HER-TSA'!W8</f>
        <v>1.4</v>
      </c>
      <c r="X90" s="452">
        <f>'HR Track 3 HER-TSA'!X8</f>
        <v>2.2999999999999998</v>
      </c>
      <c r="Y90" s="452">
        <f>'HR Track 3 HER-TSA'!Y8</f>
        <v>0</v>
      </c>
      <c r="Z90" s="452">
        <f>'HR Track 3 HER-TSA'!Z8</f>
        <v>0.6</v>
      </c>
      <c r="AA90" s="452">
        <f>'HR Track 3 HER-TSA'!AA8</f>
        <v>0</v>
      </c>
      <c r="AB90" s="452">
        <f>'HR Track 3 HER-TSA'!AB8</f>
        <v>0</v>
      </c>
      <c r="AC90" s="452" t="str">
        <f>'HR Track 3 HER-TSA'!AC8</f>
        <v>PH-1150</v>
      </c>
      <c r="AD90" s="452">
        <f>'HR Track 3 HER-TSA'!AD8</f>
        <v>0</v>
      </c>
      <c r="AE90" s="452">
        <f>'HR Track 3 HER-TSA'!AE8</f>
        <v>0</v>
      </c>
      <c r="AF90" s="452">
        <f>'HR Track 3 HER-TSA'!AF8</f>
        <v>6000</v>
      </c>
      <c r="AG90" s="451">
        <f>'HR Track 3 HER-TSA'!AG8</f>
        <v>85115</v>
      </c>
      <c r="AH90" s="452">
        <f>'HR Track 3 HER-TSA'!AH8</f>
        <v>2553</v>
      </c>
      <c r="AI90" s="452">
        <f>'HR Track 3 HER-TSA'!AI8</f>
        <v>580</v>
      </c>
      <c r="AJ90" s="452">
        <f>'HR Track 3 HER-TSA'!AJ8</f>
        <v>0</v>
      </c>
      <c r="AK90" s="452">
        <f>'HR Track 3 HER-TSA'!AK8</f>
        <v>0</v>
      </c>
      <c r="AL90" s="452">
        <f>'HR Track 3 HER-TSA'!AL8</f>
        <v>0</v>
      </c>
      <c r="AM90" s="452" t="str">
        <f>'HR Track 3 HER-TSA'!AM8</f>
        <v>RW1</v>
      </c>
      <c r="AN90" s="500">
        <f>'HR Track 3 HER-TSA'!AN8</f>
        <v>5.5</v>
      </c>
      <c r="AO90" s="452">
        <f>'HR Track 3 HER-TSA'!AO8</f>
        <v>0</v>
      </c>
      <c r="AP90" s="452">
        <f>'HR Track 3 HER-TSA'!AP8</f>
        <v>0</v>
      </c>
      <c r="AQ90" s="452">
        <f>'HR Track 3 HER-TSA'!AQ8</f>
        <v>0</v>
      </c>
      <c r="AR90" s="452">
        <f>'HR Track 3 HER-TSA'!AR8</f>
        <v>0</v>
      </c>
      <c r="AS90" s="452">
        <f>'HR Track 3 HER-TSA'!AS8</f>
        <v>0</v>
      </c>
      <c r="AT90" s="452">
        <f>'HR Track 3 HER-TSA'!AT8</f>
        <v>-11.145107873316856</v>
      </c>
      <c r="AU90" s="452">
        <f>'HR Track 3 HER-TSA'!AU8</f>
        <v>0</v>
      </c>
      <c r="AV90" s="452">
        <f>'HR Track 3 HER-TSA'!AV8</f>
        <v>0</v>
      </c>
      <c r="AW90" s="452" t="str">
        <f>'HR Track 3 HER-TSA'!AW8</f>
        <v>Soil B</v>
      </c>
      <c r="AX90" s="452" t="str">
        <f>'HR Track 3 HER-TSA'!AX8</f>
        <v>PT</v>
      </c>
      <c r="AY90" s="500">
        <f>'HR Track 3 HER-TSA'!AY8</f>
        <v>3.5</v>
      </c>
      <c r="AZ90" s="500">
        <f>'HR Track 3 HER-TSA'!AZ8</f>
        <v>0</v>
      </c>
      <c r="BA90" s="1333" t="str">
        <f>'HR Track 3 HER-TSA'!BA8</f>
        <v>ü</v>
      </c>
      <c r="BB90" s="452" t="str">
        <f>'HR Track 3 HER-TSA'!BB8</f>
        <v>App.7-V11A-P9.5.1.5</v>
      </c>
      <c r="BC90" s="1334">
        <f>'HR Track 3 HER-TSA'!BC8</f>
        <v>0</v>
      </c>
      <c r="BD90" s="1335">
        <f>'HR Track 3 HER-TSA'!BD8</f>
        <v>0</v>
      </c>
      <c r="BE90" s="1335">
        <f>'HR Track 3 HER-TSA'!BE8</f>
        <v>0</v>
      </c>
      <c r="BF90" s="1335">
        <f>'HR Track 3 HER-TSA'!BF8</f>
        <v>0</v>
      </c>
      <c r="BG90" s="1335">
        <f>'HR Track 3 HER-TSA'!BG8</f>
        <v>0</v>
      </c>
    </row>
    <row r="91" spans="1:59" ht="15.75" customHeight="1">
      <c r="A91" s="501">
        <f>'HR Track 3 HER-TSA'!A9</f>
        <v>0</v>
      </c>
      <c r="B91" s="716">
        <f>'HR Track 3 HER-TSA'!B9</f>
        <v>0</v>
      </c>
      <c r="C91" s="451">
        <f>'HR Track 3 HER-TSA'!C9</f>
        <v>0</v>
      </c>
      <c r="D91" s="453">
        <f>'HR Track 3 HER-TSA'!D9</f>
        <v>0</v>
      </c>
      <c r="E91" s="452">
        <f>'HR Track 3 HER-TSA'!E9</f>
        <v>0</v>
      </c>
      <c r="F91" s="453">
        <f>'HR Track 3 HER-TSA'!F9</f>
        <v>0</v>
      </c>
      <c r="G91" s="500">
        <f>'HR Track 3 HER-TSA'!G9</f>
        <v>50</v>
      </c>
      <c r="H91" s="453">
        <f>'HR Track 3 HER-TSA'!H9</f>
        <v>0</v>
      </c>
      <c r="I91" s="501">
        <f>'HR Track 3 HER-TSA'!I9</f>
        <v>0</v>
      </c>
      <c r="J91" s="583">
        <f>'HR Track 3 HER-TSA'!J9</f>
        <v>0</v>
      </c>
      <c r="K91" s="452">
        <f>'HR Track 3 HER-TSA'!K9</f>
        <v>0</v>
      </c>
      <c r="L91" s="452">
        <f>'HR Track 3 HER-TSA'!L9</f>
        <v>0</v>
      </c>
      <c r="M91" s="452">
        <f>'HR Track 3 HER-TSA'!M9</f>
        <v>0</v>
      </c>
      <c r="N91" s="501">
        <f>'HR Track 3 HER-TSA'!N9</f>
        <v>0</v>
      </c>
      <c r="O91" s="501">
        <f>'HR Track 3 HER-TSA'!O9</f>
        <v>0</v>
      </c>
      <c r="P91" s="501">
        <f>'HR Track 3 HER-TSA'!P9</f>
        <v>0</v>
      </c>
      <c r="Q91" s="452">
        <f>'HR Track 3 HER-TSA'!Q9</f>
        <v>0</v>
      </c>
      <c r="R91" s="452">
        <f>'HR Track 3 HER-TSA'!R9</f>
        <v>0</v>
      </c>
      <c r="S91" s="500">
        <f>'HR Track 3 HER-TSA'!S9</f>
        <v>50</v>
      </c>
      <c r="T91" s="452">
        <f>'HR Track 3 HER-TSA'!T9</f>
        <v>0</v>
      </c>
      <c r="U91" s="452">
        <f>'HR Track 3 HER-TSA'!U9</f>
        <v>0</v>
      </c>
      <c r="V91" s="452">
        <f>'HR Track 3 HER-TSA'!V9</f>
        <v>0</v>
      </c>
      <c r="W91" s="452">
        <f>'HR Track 3 HER-TSA'!W9</f>
        <v>0</v>
      </c>
      <c r="X91" s="452">
        <f>'HR Track 3 HER-TSA'!X9</f>
        <v>0</v>
      </c>
      <c r="Y91" s="452">
        <f>'HR Track 3 HER-TSA'!Y9</f>
        <v>0</v>
      </c>
      <c r="Z91" s="452">
        <f>'HR Track 3 HER-TSA'!Z9</f>
        <v>0</v>
      </c>
      <c r="AA91" s="452">
        <f>'HR Track 3 HER-TSA'!AA9</f>
        <v>0</v>
      </c>
      <c r="AB91" s="452">
        <f>'HR Track 3 HER-TSA'!AB9</f>
        <v>0</v>
      </c>
      <c r="AC91" s="452">
        <f>'HR Track 3 HER-TSA'!AC9</f>
        <v>0</v>
      </c>
      <c r="AD91" s="452">
        <f>'HR Track 3 HER-TSA'!AD9</f>
        <v>0</v>
      </c>
      <c r="AE91" s="452">
        <f>'HR Track 3 HER-TSA'!AE9</f>
        <v>0</v>
      </c>
      <c r="AF91" s="452">
        <f>'HR Track 3 HER-TSA'!AF9</f>
        <v>0</v>
      </c>
      <c r="AG91" s="451">
        <f>'HR Track 3 HER-TSA'!AG9</f>
        <v>0</v>
      </c>
      <c r="AH91" s="452">
        <f>'HR Track 3 HER-TSA'!AH9</f>
        <v>0</v>
      </c>
      <c r="AI91" s="452">
        <f>'HR Track 3 HER-TSA'!AI9</f>
        <v>0</v>
      </c>
      <c r="AJ91" s="452">
        <f>'HR Track 3 HER-TSA'!AJ9</f>
        <v>0</v>
      </c>
      <c r="AK91" s="452">
        <f>'HR Track 3 HER-TSA'!AK9</f>
        <v>0</v>
      </c>
      <c r="AL91" s="452">
        <f>'HR Track 3 HER-TSA'!AL9</f>
        <v>0</v>
      </c>
      <c r="AM91" s="452">
        <f>'HR Track 3 HER-TSA'!AM9</f>
        <v>0</v>
      </c>
      <c r="AN91" s="500">
        <f>'HR Track 3 HER-TSA'!AN9</f>
        <v>0</v>
      </c>
      <c r="AO91" s="452">
        <f>'HR Track 3 HER-TSA'!AO9</f>
        <v>0</v>
      </c>
      <c r="AP91" s="452">
        <f>'HR Track 3 HER-TSA'!AP9</f>
        <v>0</v>
      </c>
      <c r="AQ91" s="452">
        <f>'HR Track 3 HER-TSA'!AQ9</f>
        <v>3.6089831170432428E-2</v>
      </c>
      <c r="AR91" s="452">
        <f>'HR Track 3 HER-TSA'!AR9</f>
        <v>0</v>
      </c>
      <c r="AS91" s="452">
        <f>'HR Track 3 HER-TSA'!AS9</f>
        <v>0</v>
      </c>
      <c r="AT91" s="452">
        <f>'HR Track 3 HER-TSA'!AT9</f>
        <v>0</v>
      </c>
      <c r="AU91" s="452">
        <f>'HR Track 3 HER-TSA'!AU9</f>
        <v>0</v>
      </c>
      <c r="AV91" s="452">
        <f>'HR Track 3 HER-TSA'!AV9</f>
        <v>0</v>
      </c>
      <c r="AW91" s="452">
        <f>'HR Track 3 HER-TSA'!AW9</f>
        <v>0</v>
      </c>
      <c r="AX91" s="452">
        <f>'HR Track 3 HER-TSA'!AX9</f>
        <v>0</v>
      </c>
      <c r="AY91" s="500">
        <f>'HR Track 3 HER-TSA'!AY9</f>
        <v>0</v>
      </c>
      <c r="AZ91" s="500" t="str">
        <f>'HR Track 3 HER-TSA'!AZ9</f>
        <v/>
      </c>
      <c r="BA91" s="1333">
        <f>'HR Track 3 HER-TSA'!BA9</f>
        <v>0</v>
      </c>
      <c r="BB91" s="452">
        <f>'HR Track 3 HER-TSA'!BB9</f>
        <v>0</v>
      </c>
      <c r="BC91" s="1334">
        <f>'HR Track 3 HER-TSA'!BC9</f>
        <v>0</v>
      </c>
      <c r="BD91" s="1335">
        <f>'HR Track 3 HER-TSA'!BD9</f>
        <v>0</v>
      </c>
      <c r="BE91" s="1335">
        <f>'HR Track 3 HER-TSA'!BE9</f>
        <v>0</v>
      </c>
      <c r="BF91" s="1335">
        <f>'HR Track 3 HER-TSA'!BF9</f>
        <v>0</v>
      </c>
      <c r="BG91" s="1335">
        <f>'HR Track 3 HER-TSA'!BG9</f>
        <v>0</v>
      </c>
    </row>
    <row r="92" spans="1:59" ht="15.75" customHeight="1">
      <c r="A92" s="501" t="str">
        <f>'HR Track 3 HER-TSA'!A10</f>
        <v>HER-21</v>
      </c>
      <c r="B92" s="716" t="str">
        <f>'HR Track 3 HER-TSA'!B10</f>
        <v>85-3.04</v>
      </c>
      <c r="C92" s="451">
        <f>'HR Track 3 HER-TSA'!C10</f>
        <v>85165.57</v>
      </c>
      <c r="D92" s="453">
        <f>'HR Track 3 HER-TSA'!D10</f>
        <v>0</v>
      </c>
      <c r="E92" s="452">
        <f>'HR Track 3 HER-TSA'!E10</f>
        <v>0</v>
      </c>
      <c r="F92" s="453">
        <f>'HR Track 3 HER-TSA'!F10</f>
        <v>-8827.6836158170318</v>
      </c>
      <c r="G92" s="500">
        <f>'HR Track 3 HER-TSA'!G10</f>
        <v>0</v>
      </c>
      <c r="H92" s="453" t="str">
        <f>'HR Track 3 HER-TSA'!H10</f>
        <v>S/A</v>
      </c>
      <c r="I92" s="501" t="str">
        <f>'HR Track 3 HER-TSA'!I10</f>
        <v>IO</v>
      </c>
      <c r="J92" s="583">
        <f>'HR Track 3 HER-TSA'!J10</f>
        <v>0</v>
      </c>
      <c r="K92" s="452">
        <f>'HR Track 3 HER-TSA'!K10</f>
        <v>0</v>
      </c>
      <c r="L92" s="452" t="str">
        <f>'HR Track 3 HER-TSA'!L10</f>
        <v>2HEB-240</v>
      </c>
      <c r="M92" s="452" t="str">
        <f>'HR Track 3 HER-TSA'!M10</f>
        <v>2C3R</v>
      </c>
      <c r="N92" s="501" t="str">
        <f>'HR Track 3 HER-TSA'!N10</f>
        <v>EMT-2</v>
      </c>
      <c r="O92" s="501" t="str">
        <f>'HR Track 3 HER-TSA'!O10</f>
        <v>EMT-T</v>
      </c>
      <c r="P92" s="501">
        <f>'HR Track 3 HER-TSA'!P10</f>
        <v>0</v>
      </c>
      <c r="Q92" s="452">
        <f>'HR Track 3 HER-TSA'!Q10</f>
        <v>0</v>
      </c>
      <c r="R92" s="452">
        <f>'HR Track 3 HER-TSA'!R10</f>
        <v>0</v>
      </c>
      <c r="S92" s="500">
        <f>'HR Track 3 HER-TSA'!S10</f>
        <v>0</v>
      </c>
      <c r="T92" s="452">
        <f>'HR Track 3 HER-TSA'!T10</f>
        <v>30</v>
      </c>
      <c r="U92" s="452">
        <f>'HR Track 3 HER-TSA'!U10</f>
        <v>-15</v>
      </c>
      <c r="V92" s="452">
        <f>'HR Track 3 HER-TSA'!V10</f>
        <v>0</v>
      </c>
      <c r="W92" s="452">
        <f>'HR Track 3 HER-TSA'!W10</f>
        <v>1.4</v>
      </c>
      <c r="X92" s="452">
        <f>'HR Track 3 HER-TSA'!X10</f>
        <v>2.2999999999999998</v>
      </c>
      <c r="Y92" s="452">
        <f>'HR Track 3 HER-TSA'!Y10</f>
        <v>0</v>
      </c>
      <c r="Z92" s="452">
        <f>'HR Track 3 HER-TSA'!Z10</f>
        <v>0</v>
      </c>
      <c r="AA92" s="452">
        <f>'HR Track 3 HER-TSA'!AA10</f>
        <v>0.6</v>
      </c>
      <c r="AB92" s="452">
        <f>'HR Track 3 HER-TSA'!AB10</f>
        <v>0</v>
      </c>
      <c r="AC92" s="452" t="str">
        <f>'HR Track 3 HER-TSA'!AC10</f>
        <v>PH-1150</v>
      </c>
      <c r="AD92" s="452">
        <f>'HR Track 3 HER-TSA'!AD10</f>
        <v>0</v>
      </c>
      <c r="AE92" s="452">
        <f>'HR Track 3 HER-TSA'!AE10</f>
        <v>0</v>
      </c>
      <c r="AF92" s="452">
        <f>'HR Track 3 HER-TSA'!AF10</f>
        <v>6000</v>
      </c>
      <c r="AG92" s="451">
        <f>'HR Track 3 HER-TSA'!AG10</f>
        <v>85165</v>
      </c>
      <c r="AH92" s="452">
        <f>'HR Track 3 HER-TSA'!AH10</f>
        <v>2253</v>
      </c>
      <c r="AI92" s="452">
        <f>'HR Track 3 HER-TSA'!AI10</f>
        <v>590</v>
      </c>
      <c r="AJ92" s="452" t="str">
        <f>'HR Track 3 HER-TSA'!AJ10</f>
        <v>Disc/IO</v>
      </c>
      <c r="AK92" s="452">
        <f>'HR Track 3 HER-TSA'!AK10</f>
        <v>0</v>
      </c>
      <c r="AL92" s="452">
        <f>'HR Track 3 HER-TSA'!AL10</f>
        <v>0</v>
      </c>
      <c r="AM92" s="452" t="str">
        <f>'HR Track 3 HER-TSA'!AM10</f>
        <v>RW1</v>
      </c>
      <c r="AN92" s="500">
        <f>'HR Track 3 HER-TSA'!AN10</f>
        <v>5.5</v>
      </c>
      <c r="AO92" s="452">
        <f>'HR Track 3 HER-TSA'!AO10</f>
        <v>0</v>
      </c>
      <c r="AP92" s="452">
        <f>'HR Track 3 HER-TSA'!AP10</f>
        <v>0</v>
      </c>
      <c r="AQ92" s="452">
        <f>'HR Track 3 HER-TSA'!AQ10</f>
        <v>0</v>
      </c>
      <c r="AR92" s="452">
        <f>'HR Track 3 HER-TSA'!AR10</f>
        <v>0</v>
      </c>
      <c r="AS92" s="452">
        <f>'HR Track 3 HER-TSA'!AS10</f>
        <v>0</v>
      </c>
      <c r="AT92" s="452">
        <f>'HR Track 3 HER-TSA'!AT10</f>
        <v>19.734731631480429</v>
      </c>
      <c r="AU92" s="452">
        <f>'HR Track 3 HER-TSA'!AU10</f>
        <v>0</v>
      </c>
      <c r="AV92" s="452">
        <f>'HR Track 3 HER-TSA'!AV10</f>
        <v>0</v>
      </c>
      <c r="AW92" s="452" t="str">
        <f>'HR Track 3 HER-TSA'!AW10</f>
        <v>Soil B</v>
      </c>
      <c r="AX92" s="452" t="str">
        <f>'HR Track 3 HER-TSA'!AX10</f>
        <v>PT</v>
      </c>
      <c r="AY92" s="500">
        <f>'HR Track 3 HER-TSA'!AY10</f>
        <v>3.5</v>
      </c>
      <c r="AZ92" s="500">
        <f>'HR Track 3 HER-TSA'!AZ10</f>
        <v>0</v>
      </c>
      <c r="BA92" s="1333" t="str">
        <f>'HR Track 3 HER-TSA'!BA10</f>
        <v>ü</v>
      </c>
      <c r="BB92" s="452" t="str">
        <f>'HR Track 3 HER-TSA'!BB10</f>
        <v>App.7-V11A-P9.5.1.5</v>
      </c>
      <c r="BC92" s="1334">
        <f>'HR Track 3 HER-TSA'!BC10</f>
        <v>0</v>
      </c>
      <c r="BD92" s="1335">
        <f>'HR Track 3 HER-TSA'!BD10</f>
        <v>0</v>
      </c>
      <c r="BE92" s="1335">
        <f>'HR Track 3 HER-TSA'!BE10</f>
        <v>0</v>
      </c>
      <c r="BF92" s="1335">
        <f>'HR Track 3 HER-TSA'!BF10</f>
        <v>0</v>
      </c>
      <c r="BG92" s="1335">
        <f>'HR Track 3 HER-TSA'!BG10</f>
        <v>0</v>
      </c>
    </row>
    <row r="93" spans="1:59" ht="15.75" customHeight="1">
      <c r="A93" s="501">
        <f>'HR Track 3 HER-TSA'!A11</f>
        <v>0</v>
      </c>
      <c r="B93" s="716">
        <f>'HR Track 3 HER-TSA'!B11</f>
        <v>0</v>
      </c>
      <c r="C93" s="451">
        <f>'HR Track 3 HER-TSA'!C11</f>
        <v>0</v>
      </c>
      <c r="D93" s="453">
        <f>'HR Track 3 HER-TSA'!D11</f>
        <v>0</v>
      </c>
      <c r="E93" s="452">
        <f>'HR Track 3 HER-TSA'!E11</f>
        <v>0</v>
      </c>
      <c r="F93" s="453">
        <f>'HR Track 3 HER-TSA'!F11</f>
        <v>0</v>
      </c>
      <c r="G93" s="500">
        <f>'HR Track 3 HER-TSA'!G11</f>
        <v>50</v>
      </c>
      <c r="H93" s="453">
        <f>'HR Track 3 HER-TSA'!H11</f>
        <v>0</v>
      </c>
      <c r="I93" s="501">
        <f>'HR Track 3 HER-TSA'!I11</f>
        <v>0</v>
      </c>
      <c r="J93" s="583">
        <f>'HR Track 3 HER-TSA'!J11</f>
        <v>0</v>
      </c>
      <c r="K93" s="452">
        <f>'HR Track 3 HER-TSA'!K11</f>
        <v>0</v>
      </c>
      <c r="L93" s="452">
        <f>'HR Track 3 HER-TSA'!L11</f>
        <v>0</v>
      </c>
      <c r="M93" s="452">
        <f>'HR Track 3 HER-TSA'!M11</f>
        <v>0</v>
      </c>
      <c r="N93" s="501">
        <f>'HR Track 3 HER-TSA'!N11</f>
        <v>0</v>
      </c>
      <c r="O93" s="501">
        <f>'HR Track 3 HER-TSA'!O11</f>
        <v>0</v>
      </c>
      <c r="P93" s="501">
        <f>'HR Track 3 HER-TSA'!P11</f>
        <v>0</v>
      </c>
      <c r="Q93" s="452">
        <f>'HR Track 3 HER-TSA'!Q11</f>
        <v>0</v>
      </c>
      <c r="R93" s="452">
        <f>'HR Track 3 HER-TSA'!R11</f>
        <v>0</v>
      </c>
      <c r="S93" s="500">
        <f>'HR Track 3 HER-TSA'!S11</f>
        <v>50</v>
      </c>
      <c r="T93" s="452">
        <f>'HR Track 3 HER-TSA'!T11</f>
        <v>0</v>
      </c>
      <c r="U93" s="452">
        <f>'HR Track 3 HER-TSA'!U11</f>
        <v>0</v>
      </c>
      <c r="V93" s="452">
        <f>'HR Track 3 HER-TSA'!V11</f>
        <v>0</v>
      </c>
      <c r="W93" s="452">
        <f>'HR Track 3 HER-TSA'!W11</f>
        <v>0</v>
      </c>
      <c r="X93" s="452">
        <f>'HR Track 3 HER-TSA'!X11</f>
        <v>0</v>
      </c>
      <c r="Y93" s="452">
        <f>'HR Track 3 HER-TSA'!Y11</f>
        <v>0</v>
      </c>
      <c r="Z93" s="452">
        <f>'HR Track 3 HER-TSA'!Z11</f>
        <v>0</v>
      </c>
      <c r="AA93" s="452">
        <f>'HR Track 3 HER-TSA'!AA11</f>
        <v>0</v>
      </c>
      <c r="AB93" s="452">
        <f>'HR Track 3 HER-TSA'!AB11</f>
        <v>0</v>
      </c>
      <c r="AC93" s="452">
        <f>'HR Track 3 HER-TSA'!AC11</f>
        <v>0</v>
      </c>
      <c r="AD93" s="452">
        <f>'HR Track 3 HER-TSA'!AD11</f>
        <v>0</v>
      </c>
      <c r="AE93" s="452">
        <f>'HR Track 3 HER-TSA'!AE11</f>
        <v>0</v>
      </c>
      <c r="AF93" s="452">
        <f>'HR Track 3 HER-TSA'!AF11</f>
        <v>0</v>
      </c>
      <c r="AG93" s="451">
        <f>'HR Track 3 HER-TSA'!AG11</f>
        <v>0</v>
      </c>
      <c r="AH93" s="452">
        <f>'HR Track 3 HER-TSA'!AH11</f>
        <v>0</v>
      </c>
      <c r="AI93" s="452">
        <f>'HR Track 3 HER-TSA'!AI11</f>
        <v>0</v>
      </c>
      <c r="AJ93" s="452">
        <f>'HR Track 3 HER-TSA'!AJ11</f>
        <v>0</v>
      </c>
      <c r="AK93" s="452">
        <f>'HR Track 3 HER-TSA'!AK11</f>
        <v>0</v>
      </c>
      <c r="AL93" s="452">
        <f>'HR Track 3 HER-TSA'!AL11</f>
        <v>0</v>
      </c>
      <c r="AM93" s="452">
        <f>'HR Track 3 HER-TSA'!AM11</f>
        <v>0</v>
      </c>
      <c r="AN93" s="500">
        <f>'HR Track 3 HER-TSA'!AN11</f>
        <v>0</v>
      </c>
      <c r="AO93" s="452">
        <f>'HR Track 3 HER-TSA'!AO11</f>
        <v>0</v>
      </c>
      <c r="AP93" s="452">
        <f>'HR Track 3 HER-TSA'!AP11</f>
        <v>0</v>
      </c>
      <c r="AQ93" s="452">
        <f>'HR Track 3 HER-TSA'!AQ11</f>
        <v>-0.32221150409296567</v>
      </c>
      <c r="AR93" s="452">
        <f>'HR Track 3 HER-TSA'!AR11</f>
        <v>0</v>
      </c>
      <c r="AS93" s="452">
        <f>'HR Track 3 HER-TSA'!AS11</f>
        <v>0</v>
      </c>
      <c r="AT93" s="452">
        <f>'HR Track 3 HER-TSA'!AT11</f>
        <v>0</v>
      </c>
      <c r="AU93" s="452">
        <f>'HR Track 3 HER-TSA'!AU11</f>
        <v>0</v>
      </c>
      <c r="AV93" s="452">
        <f>'HR Track 3 HER-TSA'!AV11</f>
        <v>0</v>
      </c>
      <c r="AW93" s="452">
        <f>'HR Track 3 HER-TSA'!AW11</f>
        <v>0</v>
      </c>
      <c r="AX93" s="452">
        <f>'HR Track 3 HER-TSA'!AX11</f>
        <v>0</v>
      </c>
      <c r="AY93" s="500">
        <f>'HR Track 3 HER-TSA'!AY11</f>
        <v>0</v>
      </c>
      <c r="AZ93" s="500">
        <f>'HR Track 3 HER-TSA'!AZ11</f>
        <v>0</v>
      </c>
      <c r="BA93" s="1333">
        <f>'HR Track 3 HER-TSA'!BA11</f>
        <v>0</v>
      </c>
      <c r="BB93" s="452">
        <f>'HR Track 3 HER-TSA'!BB11</f>
        <v>0</v>
      </c>
      <c r="BC93" s="1334">
        <f>'HR Track 3 HER-TSA'!BC11</f>
        <v>0</v>
      </c>
      <c r="BD93" s="1335">
        <f>'HR Track 3 HER-TSA'!BD11</f>
        <v>0</v>
      </c>
      <c r="BE93" s="1335">
        <f>'HR Track 3 HER-TSA'!BE11</f>
        <v>0</v>
      </c>
      <c r="BF93" s="1335">
        <f>'HR Track 3 HER-TSA'!BF11</f>
        <v>0</v>
      </c>
      <c r="BG93" s="1335">
        <f>'HR Track 3 HER-TSA'!BG11</f>
        <v>0</v>
      </c>
    </row>
    <row r="94" spans="1:59" ht="15.75" customHeight="1">
      <c r="A94" s="501">
        <f>'HR Track 3 HER-TSA'!A12</f>
        <v>0</v>
      </c>
      <c r="B94" s="716" t="str">
        <f>'HR Track 3 HER-TSA'!B12</f>
        <v>85-3.05</v>
      </c>
      <c r="C94" s="451">
        <f>'HR Track 3 HER-TSA'!C12</f>
        <v>85215.57</v>
      </c>
      <c r="D94" s="453">
        <f>'HR Track 3 HER-TSA'!D12</f>
        <v>0</v>
      </c>
      <c r="E94" s="452">
        <f>'HR Track 3 HER-TSA'!E12</f>
        <v>0</v>
      </c>
      <c r="F94" s="453">
        <f>'HR Track 3 HER-TSA'!F12</f>
        <v>-2504</v>
      </c>
      <c r="G94" s="500">
        <f>'HR Track 3 HER-TSA'!G12</f>
        <v>0</v>
      </c>
      <c r="H94" s="453" t="str">
        <f>'HR Track 3 HER-TSA'!H12</f>
        <v>S/A</v>
      </c>
      <c r="I94" s="501">
        <f>'HR Track 3 HER-TSA'!I12</f>
        <v>0</v>
      </c>
      <c r="J94" s="583">
        <f>'HR Track 3 HER-TSA'!J12</f>
        <v>0</v>
      </c>
      <c r="K94" s="452">
        <f>'HR Track 3 HER-TSA'!K12</f>
        <v>0</v>
      </c>
      <c r="L94" s="452">
        <f>'HR Track 3 HER-TSA'!L12</f>
        <v>0</v>
      </c>
      <c r="M94" s="452">
        <f>'HR Track 3 HER-TSA'!M12</f>
        <v>0</v>
      </c>
      <c r="N94" s="501" t="str">
        <f>'HR Track 3 HER-TSA'!N12</f>
        <v>EMT-1P</v>
      </c>
      <c r="O94" s="501" t="str">
        <f>'HR Track 3 HER-TSA'!O12</f>
        <v>EMT-TP</v>
      </c>
      <c r="P94" s="501">
        <f>'HR Track 3 HER-TSA'!P12</f>
        <v>0</v>
      </c>
      <c r="Q94" s="452">
        <f>'HR Track 3 HER-TSA'!Q12</f>
        <v>30</v>
      </c>
      <c r="R94" s="452">
        <f>'HR Track 3 HER-TSA'!R12</f>
        <v>-920.8</v>
      </c>
      <c r="S94" s="500">
        <f>'HR Track 3 HER-TSA'!S12</f>
        <v>0</v>
      </c>
      <c r="T94" s="452">
        <f>'HR Track 3 HER-TSA'!T12</f>
        <v>-25</v>
      </c>
      <c r="U94" s="452">
        <f>'HR Track 3 HER-TSA'!U12</f>
        <v>-45</v>
      </c>
      <c r="V94" s="452">
        <f>'HR Track 3 HER-TSA'!V12</f>
        <v>0</v>
      </c>
      <c r="W94" s="452">
        <f>'HR Track 3 HER-TSA'!W12</f>
        <v>1.4</v>
      </c>
      <c r="X94" s="452">
        <f>'HR Track 3 HER-TSA'!X12</f>
        <v>2.2999999999999998</v>
      </c>
      <c r="Y94" s="452">
        <f>'HR Track 3 HER-TSA'!Y12</f>
        <v>0</v>
      </c>
      <c r="Z94" s="452">
        <f>'HR Track 3 HER-TSA'!Z12</f>
        <v>0</v>
      </c>
      <c r="AA94" s="452">
        <f>'HR Track 3 HER-TSA'!AA12</f>
        <v>0.6</v>
      </c>
      <c r="AB94" s="452">
        <f>'HR Track 3 HER-TSA'!AB12</f>
        <v>0</v>
      </c>
      <c r="AC94" s="452" t="str">
        <f>'HR Track 3 HER-TSA'!AC12</f>
        <v>PH-Q</v>
      </c>
      <c r="AD94" s="452">
        <f>'HR Track 3 HER-TSA'!AD12</f>
        <v>0</v>
      </c>
      <c r="AE94" s="452">
        <f>'HR Track 3 HER-TSA'!AE12</f>
        <v>0</v>
      </c>
      <c r="AF94" s="452">
        <f>'HR Track 3 HER-TSA'!AF12</f>
        <v>0</v>
      </c>
      <c r="AG94" s="451">
        <f>'HR Track 3 HER-TSA'!AG12</f>
        <v>85215</v>
      </c>
      <c r="AH94" s="452">
        <f>'HR Track 3 HER-TSA'!AH12</f>
        <v>5043</v>
      </c>
      <c r="AI94" s="452">
        <f>'HR Track 3 HER-TSA'!AI12</f>
        <v>150</v>
      </c>
      <c r="AJ94" s="452">
        <f>'HR Track 3 HER-TSA'!AJ12</f>
        <v>0</v>
      </c>
      <c r="AK94" s="452" t="str">
        <f>'HR Track 3 HER-TSA'!AK12</f>
        <v>S2</v>
      </c>
      <c r="AL94" s="452">
        <f>'HR Track 3 HER-TSA'!AL12</f>
        <v>0</v>
      </c>
      <c r="AM94" s="452">
        <f>'HR Track 3 HER-TSA'!AM12</f>
        <v>0</v>
      </c>
      <c r="AN94" s="500">
        <f>'HR Track 3 HER-TSA'!AN12</f>
        <v>5.5</v>
      </c>
      <c r="AO94" s="452">
        <f>'HR Track 3 HER-TSA'!AO12</f>
        <v>0</v>
      </c>
      <c r="AP94" s="452">
        <f>'HR Track 3 HER-TSA'!AP12</f>
        <v>0</v>
      </c>
      <c r="AQ94" s="452">
        <f>'HR Track 3 HER-TSA'!AQ12</f>
        <v>0</v>
      </c>
      <c r="AR94" s="452">
        <f>'HR Track 3 HER-TSA'!AR12</f>
        <v>0</v>
      </c>
      <c r="AS94" s="452">
        <f>'HR Track 3 HER-TSA'!AS12</f>
        <v>0</v>
      </c>
      <c r="AT94" s="452">
        <f>'HR Track 3 HER-TSA'!AT12</f>
        <v>-5.8981037204868132</v>
      </c>
      <c r="AU94" s="452">
        <f>'HR Track 3 HER-TSA'!AU12</f>
        <v>0</v>
      </c>
      <c r="AV94" s="452">
        <f>'HR Track 3 HER-TSA'!AV12</f>
        <v>0</v>
      </c>
      <c r="AW94" s="452">
        <f>'HR Track 3 HER-TSA'!AW12</f>
        <v>0</v>
      </c>
      <c r="AX94" s="452">
        <f>'HR Track 3 HER-TSA'!AX12</f>
        <v>0</v>
      </c>
      <c r="AY94" s="500">
        <f>'HR Track 3 HER-TSA'!AY12</f>
        <v>0</v>
      </c>
      <c r="AZ94" s="500">
        <f>'HR Track 3 HER-TSA'!AZ12</f>
        <v>0</v>
      </c>
      <c r="BA94" s="1333">
        <f>'HR Track 3 HER-TSA'!BA12</f>
        <v>0</v>
      </c>
      <c r="BB94" s="452">
        <f>'HR Track 3 HER-TSA'!BB12</f>
        <v>0</v>
      </c>
      <c r="BC94" s="1334">
        <f>'HR Track 3 HER-TSA'!BC12</f>
        <v>0</v>
      </c>
      <c r="BD94" s="1335">
        <f>'HR Track 3 HER-TSA'!BD12</f>
        <v>0</v>
      </c>
      <c r="BE94" s="1335">
        <f>'HR Track 3 HER-TSA'!BE12</f>
        <v>0</v>
      </c>
      <c r="BF94" s="1335">
        <f>'HR Track 3 HER-TSA'!BF12</f>
        <v>0</v>
      </c>
      <c r="BG94" s="1335">
        <f>'HR Track 3 HER-TSA'!BG12</f>
        <v>0</v>
      </c>
    </row>
    <row r="95" spans="1:59" ht="15.75" customHeight="1">
      <c r="A95" s="501">
        <f>'HR Track 3 HER-TSA'!A13</f>
        <v>0</v>
      </c>
      <c r="B95" s="716">
        <f>'HR Track 3 HER-TSA'!B13</f>
        <v>0</v>
      </c>
      <c r="C95" s="451">
        <f>'HR Track 3 HER-TSA'!C13</f>
        <v>0</v>
      </c>
      <c r="D95" s="453">
        <f>'HR Track 3 HER-TSA'!D13</f>
        <v>0</v>
      </c>
      <c r="E95" s="452">
        <f>'HR Track 3 HER-TSA'!E13</f>
        <v>0</v>
      </c>
      <c r="F95" s="453">
        <f>'HR Track 3 HER-TSA'!F13</f>
        <v>0</v>
      </c>
      <c r="G95" s="500">
        <f>'HR Track 3 HER-TSA'!G13</f>
        <v>52.5</v>
      </c>
      <c r="H95" s="453">
        <f>'HR Track 3 HER-TSA'!H13</f>
        <v>0</v>
      </c>
      <c r="I95" s="501">
        <f>'HR Track 3 HER-TSA'!I13</f>
        <v>0</v>
      </c>
      <c r="J95" s="583">
        <f>'HR Track 3 HER-TSA'!J13</f>
        <v>0</v>
      </c>
      <c r="K95" s="452">
        <f>'HR Track 3 HER-TSA'!K13</f>
        <v>0</v>
      </c>
      <c r="L95" s="452">
        <f>'HR Track 3 HER-TSA'!L13</f>
        <v>0</v>
      </c>
      <c r="M95" s="452">
        <f>'HR Track 3 HER-TSA'!M13</f>
        <v>0</v>
      </c>
      <c r="N95" s="501">
        <f>'HR Track 3 HER-TSA'!N13</f>
        <v>0</v>
      </c>
      <c r="O95" s="501">
        <f>'HR Track 3 HER-TSA'!O13</f>
        <v>0</v>
      </c>
      <c r="P95" s="501">
        <f>'HR Track 3 HER-TSA'!P13</f>
        <v>0</v>
      </c>
      <c r="Q95" s="452">
        <f>'HR Track 3 HER-TSA'!Q13</f>
        <v>0</v>
      </c>
      <c r="R95" s="452">
        <f>'HR Track 3 HER-TSA'!R13</f>
        <v>0</v>
      </c>
      <c r="S95" s="500">
        <f>'HR Track 3 HER-TSA'!S13</f>
        <v>53</v>
      </c>
      <c r="T95" s="452">
        <f>'HR Track 3 HER-TSA'!T13</f>
        <v>0</v>
      </c>
      <c r="U95" s="452">
        <f>'HR Track 3 HER-TSA'!U13</f>
        <v>0</v>
      </c>
      <c r="V95" s="452">
        <f>'HR Track 3 HER-TSA'!V13</f>
        <v>0</v>
      </c>
      <c r="W95" s="452">
        <f>'HR Track 3 HER-TSA'!W13</f>
        <v>0</v>
      </c>
      <c r="X95" s="452">
        <f>'HR Track 3 HER-TSA'!X13</f>
        <v>0</v>
      </c>
      <c r="Y95" s="452">
        <f>'HR Track 3 HER-TSA'!Y13</f>
        <v>0</v>
      </c>
      <c r="Z95" s="452">
        <f>'HR Track 3 HER-TSA'!Z13</f>
        <v>0</v>
      </c>
      <c r="AA95" s="452">
        <f>'HR Track 3 HER-TSA'!AA13</f>
        <v>0</v>
      </c>
      <c r="AB95" s="452">
        <f>'HR Track 3 HER-TSA'!AB13</f>
        <v>0</v>
      </c>
      <c r="AC95" s="452">
        <f>'HR Track 3 HER-TSA'!AC13</f>
        <v>0</v>
      </c>
      <c r="AD95" s="452">
        <f>'HR Track 3 HER-TSA'!AD13</f>
        <v>0</v>
      </c>
      <c r="AE95" s="452">
        <f>'HR Track 3 HER-TSA'!AE13</f>
        <v>0</v>
      </c>
      <c r="AF95" s="452">
        <f>'HR Track 3 HER-TSA'!AF13</f>
        <v>0</v>
      </c>
      <c r="AG95" s="451">
        <f>'HR Track 3 HER-TSA'!AG13</f>
        <v>0</v>
      </c>
      <c r="AH95" s="452">
        <f>'HR Track 3 HER-TSA'!AH13</f>
        <v>0</v>
      </c>
      <c r="AI95" s="452">
        <f>'HR Track 3 HER-TSA'!AI13</f>
        <v>0</v>
      </c>
      <c r="AJ95" s="452">
        <f>'HR Track 3 HER-TSA'!AJ13</f>
        <v>0</v>
      </c>
      <c r="AK95" s="452">
        <f>'HR Track 3 HER-TSA'!AK13</f>
        <v>0</v>
      </c>
      <c r="AL95" s="452">
        <f>'HR Track 3 HER-TSA'!AL13</f>
        <v>0</v>
      </c>
      <c r="AM95" s="452">
        <f>'HR Track 3 HER-TSA'!AM13</f>
        <v>0</v>
      </c>
      <c r="AN95" s="500">
        <f>'HR Track 3 HER-TSA'!AN13</f>
        <v>0</v>
      </c>
      <c r="AO95" s="452">
        <f>'HR Track 3 HER-TSA'!AO13</f>
        <v>0</v>
      </c>
      <c r="AP95" s="452">
        <f>'HR Track 3 HER-TSA'!AP13</f>
        <v>0</v>
      </c>
      <c r="AQ95" s="452">
        <f>'HR Track 3 HER-TSA'!AQ13</f>
        <v>-0.41119086416953898</v>
      </c>
      <c r="AR95" s="452">
        <f>'HR Track 3 HER-TSA'!AR13</f>
        <v>0</v>
      </c>
      <c r="AS95" s="452">
        <f>'HR Track 3 HER-TSA'!AS13</f>
        <v>0</v>
      </c>
      <c r="AT95" s="452">
        <f>'HR Track 3 HER-TSA'!AT13</f>
        <v>0</v>
      </c>
      <c r="AU95" s="452">
        <f>'HR Track 3 HER-TSA'!AU13</f>
        <v>0</v>
      </c>
      <c r="AV95" s="452">
        <f>'HR Track 3 HER-TSA'!AV13</f>
        <v>0</v>
      </c>
      <c r="AW95" s="452">
        <f>'HR Track 3 HER-TSA'!AW13</f>
        <v>0</v>
      </c>
      <c r="AX95" s="452">
        <f>'HR Track 3 HER-TSA'!AX13</f>
        <v>0</v>
      </c>
      <c r="AY95" s="500">
        <f>'HR Track 3 HER-TSA'!AY13</f>
        <v>0</v>
      </c>
      <c r="AZ95" s="500">
        <f>'HR Track 3 HER-TSA'!AZ13</f>
        <v>0</v>
      </c>
      <c r="BA95" s="1333">
        <f>'HR Track 3 HER-TSA'!BA13</f>
        <v>0</v>
      </c>
      <c r="BB95" s="452">
        <f>'HR Track 3 HER-TSA'!BB13</f>
        <v>0</v>
      </c>
      <c r="BC95" s="1334">
        <f>'HR Track 3 HER-TSA'!BC13</f>
        <v>0</v>
      </c>
      <c r="BD95" s="1335">
        <f>'HR Track 3 HER-TSA'!BD13</f>
        <v>0</v>
      </c>
      <c r="BE95" s="1335">
        <f>'HR Track 3 HER-TSA'!BE13</f>
        <v>0</v>
      </c>
      <c r="BF95" s="1335">
        <f>'HR Track 3 HER-TSA'!BF13</f>
        <v>0</v>
      </c>
      <c r="BG95" s="1335">
        <f>'HR Track 3 HER-TSA'!BG13</f>
        <v>0</v>
      </c>
    </row>
    <row r="96" spans="1:59" ht="15.75" customHeight="1">
      <c r="A96" s="501">
        <f>'HR Track 2 HER-TSA '!A21</f>
        <v>0</v>
      </c>
      <c r="B96" s="716" t="str">
        <f>'HR Track 2 HER-TSA '!B21</f>
        <v>85-2.06</v>
      </c>
      <c r="C96" s="451">
        <f>'HR Track 2 HER-TSA '!C21</f>
        <v>85268.07</v>
      </c>
      <c r="D96" s="453">
        <f>'HR Track 2 HER-TSA '!D21</f>
        <v>0</v>
      </c>
      <c r="E96" s="452">
        <f>'HR Track 2 HER-TSA '!E21</f>
        <v>0</v>
      </c>
      <c r="F96" s="453">
        <f>'HR Track 2 HER-TSA '!F21</f>
        <v>0</v>
      </c>
      <c r="G96" s="500">
        <f>'HR Track 2 HER-TSA '!G21</f>
        <v>0</v>
      </c>
      <c r="H96" s="453" t="str">
        <f>'HR Track 2 HER-TSA '!H21</f>
        <v>A/S</v>
      </c>
      <c r="I96" s="501" t="str">
        <f>'HR Track 2 HER-TSA '!I21</f>
        <v>CP+AnMC</v>
      </c>
      <c r="J96" s="583">
        <f>'HR Track 2 HER-TSA '!J21</f>
        <v>0</v>
      </c>
      <c r="K96" s="452">
        <f>'HR Track 2 HER-TSA '!K21</f>
        <v>0</v>
      </c>
      <c r="L96" s="452" t="str">
        <f>'HR Track 2 HER-TSA '!L21</f>
        <v>HEB-300L</v>
      </c>
      <c r="M96" s="452" t="str">
        <f>'HR Track 2 HER-TSA '!M21</f>
        <v>C7R</v>
      </c>
      <c r="N96" s="501" t="str">
        <f>'HR Track 2 HER-TSA '!N21</f>
        <v>EMT-2</v>
      </c>
      <c r="O96" s="501">
        <f>'HR Track 2 HER-TSA '!O21</f>
        <v>0</v>
      </c>
      <c r="P96" s="501">
        <f>'HR Track 2 HER-TSA '!P21</f>
        <v>0</v>
      </c>
      <c r="Q96" s="452">
        <f>'HR Track 2 HER-TSA '!Q21</f>
        <v>0</v>
      </c>
      <c r="R96" s="452">
        <f>'HR Track 2 HER-TSA '!R21</f>
        <v>0</v>
      </c>
      <c r="S96" s="500">
        <f>'HR Track 2 HER-TSA '!S21</f>
        <v>0</v>
      </c>
      <c r="T96" s="452">
        <f>'HR Track 2 HER-TSA '!T21</f>
        <v>25</v>
      </c>
      <c r="U96" s="452">
        <f>'HR Track 2 HER-TSA '!U21</f>
        <v>0</v>
      </c>
      <c r="V96" s="452">
        <f>'HR Track 2 HER-TSA '!V21</f>
        <v>0</v>
      </c>
      <c r="W96" s="452">
        <f>'HR Track 2 HER-TSA '!W21</f>
        <v>1.4</v>
      </c>
      <c r="X96" s="452">
        <f>'HR Track 2 HER-TSA '!X21</f>
        <v>0</v>
      </c>
      <c r="Y96" s="452">
        <f>'HR Track 2 HER-TSA '!Y21</f>
        <v>0</v>
      </c>
      <c r="Z96" s="452">
        <f>'HR Track 2 HER-TSA '!Z21</f>
        <v>0</v>
      </c>
      <c r="AA96" s="452">
        <f>'HR Track 2 HER-TSA '!AA21</f>
        <v>0</v>
      </c>
      <c r="AB96" s="452">
        <f>'HR Track 2 HER-TSA '!AB21</f>
        <v>0</v>
      </c>
      <c r="AC96" s="452" t="str">
        <f>'HR Track 2 HER-TSA '!AC21</f>
        <v>PH-1150</v>
      </c>
      <c r="AD96" s="452">
        <f>'HR Track 2 HER-TSA '!AD21</f>
        <v>0</v>
      </c>
      <c r="AE96" s="452">
        <f>'HR Track 2 HER-TSA '!AE21</f>
        <v>0</v>
      </c>
      <c r="AF96" s="452">
        <f>'HR Track 2 HER-TSA '!AF21</f>
        <v>6000</v>
      </c>
      <c r="AG96" s="451">
        <f>'HR Track 2 HER-TSA '!AG21</f>
        <v>85268</v>
      </c>
      <c r="AH96" s="452">
        <f>'HR Track 2 HER-TSA '!AH21</f>
        <v>2603</v>
      </c>
      <c r="AI96" s="452">
        <f>'HR Track 2 HER-TSA '!AI21</f>
        <v>470</v>
      </c>
      <c r="AJ96" s="452">
        <f>'HR Track 2 HER-TSA '!AJ21</f>
        <v>0</v>
      </c>
      <c r="AK96" s="452">
        <f>'HR Track 2 HER-TSA '!AK21</f>
        <v>0</v>
      </c>
      <c r="AL96" s="452" t="str">
        <f>'HR Track 2 HER-TSA '!AL21</f>
        <v>PR1B</v>
      </c>
      <c r="AM96" s="452" t="str">
        <f>'HR Track 2 HER-TSA '!AM21</f>
        <v>RW1</v>
      </c>
      <c r="AN96" s="500">
        <f>'HR Track 2 HER-TSA '!AN21</f>
        <v>5.5</v>
      </c>
      <c r="AO96" s="452">
        <f>'HR Track 2 HER-TSA '!AO21</f>
        <v>0</v>
      </c>
      <c r="AP96" s="452">
        <f>'HR Track 2 HER-TSA '!AP21</f>
        <v>0</v>
      </c>
      <c r="AQ96" s="452">
        <f>'HR Track 2 HER-TSA '!AQ21</f>
        <v>0</v>
      </c>
      <c r="AR96" s="452">
        <f>'HR Track 2 HER-TSA '!AR21</f>
        <v>0</v>
      </c>
      <c r="AS96" s="452">
        <f>'HR Track 2 HER-TSA '!AS21</f>
        <v>0</v>
      </c>
      <c r="AT96" s="452">
        <f>'HR Track 2 HER-TSA '!AT21</f>
        <v>8.8444203445015397</v>
      </c>
      <c r="AU96" s="452">
        <f>'HR Track 2 HER-TSA '!AU21</f>
        <v>0</v>
      </c>
      <c r="AV96" s="452">
        <f>'HR Track 2 HER-TSA '!AV21</f>
        <v>0</v>
      </c>
      <c r="AW96" s="452" t="str">
        <f>'HR Track 2 HER-TSA '!AW21</f>
        <v>Soil B</v>
      </c>
      <c r="AX96" s="452" t="str">
        <f>'HR Track 2 HER-TSA '!AX21</f>
        <v>PT</v>
      </c>
      <c r="AY96" s="500">
        <f>'HR Track 2 HER-TSA '!AY21</f>
        <v>3.5</v>
      </c>
      <c r="AZ96" s="500">
        <f>'HR Track 2 HER-TSA '!AZ21</f>
        <v>0</v>
      </c>
      <c r="BA96" s="1333" t="str">
        <f>'HR Track 2 HER-TSA '!BA21</f>
        <v>ü</v>
      </c>
      <c r="BB96" s="452" t="str">
        <f>'HR Track 2 HER-TSA '!BB21</f>
        <v>App.8-V08F-P10.3</v>
      </c>
      <c r="BC96" s="1334">
        <f>'HR Track 2 HER-TSA '!BC21</f>
        <v>0</v>
      </c>
      <c r="BD96" s="1335">
        <f>'HR Track 2 HER-TSA '!BD21</f>
        <v>0</v>
      </c>
      <c r="BE96" s="1335">
        <f>'HR Track 2 HER-TSA '!BE21</f>
        <v>0</v>
      </c>
      <c r="BF96" s="1335">
        <f>'HR Track 2 HER-TSA '!BF21</f>
        <v>0</v>
      </c>
      <c r="BG96" s="1335">
        <f>'HR Track 2 HER-TSA '!BG21</f>
        <v>0</v>
      </c>
    </row>
    <row r="97" spans="2:55" ht="15.75" customHeight="1">
      <c r="B97" s="175"/>
      <c r="C97" s="617"/>
      <c r="D97" s="175"/>
      <c r="E97" s="177"/>
      <c r="F97" s="177"/>
      <c r="G97" s="458"/>
      <c r="K97" s="169"/>
      <c r="L97" s="169"/>
      <c r="M97" s="169"/>
      <c r="N97" s="169"/>
      <c r="Q97" s="169"/>
      <c r="R97" s="169"/>
      <c r="S97" s="458"/>
      <c r="T97" s="169"/>
      <c r="U97" s="169"/>
      <c r="V97" s="169"/>
      <c r="W97" s="169"/>
      <c r="X97" s="169"/>
      <c r="Y97" s="169"/>
      <c r="Z97" s="169"/>
      <c r="AA97" s="169"/>
      <c r="AB97" s="169"/>
      <c r="AC97" s="169"/>
      <c r="AD97" s="169"/>
      <c r="AE97" s="169"/>
      <c r="AF97" s="169"/>
      <c r="AG97" s="617"/>
      <c r="AH97" s="169"/>
      <c r="AI97" s="169"/>
      <c r="AJ97" s="169"/>
      <c r="AK97" s="169"/>
      <c r="AL97" s="169"/>
      <c r="AM97" s="169"/>
      <c r="AN97" s="454"/>
      <c r="AO97" s="178"/>
      <c r="AP97" s="178"/>
      <c r="AY97" s="458"/>
      <c r="AZ97" s="458"/>
      <c r="BA97" s="1305"/>
      <c r="BC97" s="169"/>
    </row>
    <row r="98" spans="2:55" ht="15.75" customHeight="1">
      <c r="B98" s="175"/>
      <c r="C98" s="617"/>
      <c r="D98" s="175"/>
      <c r="E98" s="177"/>
      <c r="F98" s="177"/>
      <c r="G98" s="458"/>
      <c r="K98" s="169"/>
      <c r="L98" s="169"/>
      <c r="M98" s="169"/>
      <c r="Q98" s="169"/>
      <c r="R98" s="169"/>
      <c r="S98" s="458"/>
      <c r="T98" s="169"/>
      <c r="U98" s="169"/>
      <c r="V98" s="169"/>
      <c r="W98" s="169"/>
      <c r="X98" s="169"/>
      <c r="Y98" s="169"/>
      <c r="Z98" s="169"/>
      <c r="AA98" s="169"/>
      <c r="AB98" s="169"/>
      <c r="AC98" s="169"/>
      <c r="AD98" s="169"/>
      <c r="AE98" s="169"/>
      <c r="AF98" s="169"/>
      <c r="AG98" s="617"/>
      <c r="AH98" s="169"/>
      <c r="AI98" s="169"/>
      <c r="AJ98" s="169"/>
      <c r="AK98" s="169"/>
      <c r="AL98" s="169"/>
      <c r="AM98" s="169"/>
      <c r="AN98" s="454"/>
      <c r="AO98" s="178"/>
      <c r="AP98" s="178"/>
      <c r="AY98" s="458"/>
      <c r="AZ98" s="458"/>
      <c r="BA98" s="1305"/>
      <c r="BC98" s="169"/>
    </row>
    <row r="99" spans="2:55" ht="15.75" customHeight="1">
      <c r="B99" s="175"/>
      <c r="C99" s="617"/>
      <c r="D99" s="175"/>
      <c r="E99" s="177"/>
      <c r="F99" s="177"/>
      <c r="G99" s="458"/>
      <c r="H99" s="169"/>
      <c r="K99" s="169"/>
      <c r="L99" s="169"/>
      <c r="M99" s="169"/>
      <c r="N99" s="169"/>
      <c r="O99" s="682"/>
      <c r="Q99" s="169"/>
      <c r="R99" s="169"/>
      <c r="S99" s="458"/>
      <c r="T99" s="169"/>
      <c r="U99" s="169"/>
      <c r="V99" s="169"/>
      <c r="W99" s="169"/>
      <c r="X99" s="169"/>
      <c r="Y99" s="169"/>
      <c r="Z99" s="169"/>
      <c r="AA99" s="169"/>
      <c r="AB99" s="169"/>
      <c r="AC99" s="169"/>
      <c r="AD99" s="169"/>
      <c r="AE99" s="169"/>
      <c r="AF99" s="169"/>
      <c r="AG99" s="617"/>
      <c r="AH99" s="169"/>
      <c r="AI99" s="169"/>
      <c r="AJ99" s="169"/>
      <c r="AK99" s="169"/>
      <c r="AL99" s="169"/>
      <c r="AM99" s="169"/>
      <c r="AN99" s="454"/>
      <c r="AO99" s="178"/>
      <c r="AP99" s="178"/>
      <c r="AY99" s="458"/>
      <c r="AZ99" s="458"/>
      <c r="BA99" s="1305"/>
      <c r="BC99" s="169"/>
    </row>
    <row r="100" spans="2:55" ht="15.75" customHeight="1">
      <c r="B100" s="175"/>
      <c r="C100" s="617"/>
      <c r="D100" s="175"/>
      <c r="E100" s="177"/>
      <c r="F100" s="177"/>
      <c r="G100" s="458"/>
      <c r="K100" s="169"/>
      <c r="L100" s="169"/>
      <c r="M100" s="169"/>
      <c r="Q100" s="169"/>
      <c r="R100" s="169"/>
      <c r="S100" s="458"/>
      <c r="T100" s="169"/>
      <c r="U100" s="169"/>
      <c r="V100" s="169"/>
      <c r="W100" s="169"/>
      <c r="X100" s="169"/>
      <c r="Y100" s="169"/>
      <c r="Z100" s="169"/>
      <c r="AA100" s="169"/>
      <c r="AB100" s="169"/>
      <c r="AC100" s="169"/>
      <c r="AD100" s="169"/>
      <c r="AE100" s="169"/>
      <c r="AF100" s="169"/>
      <c r="AG100" s="617"/>
      <c r="AH100" s="169"/>
      <c r="AI100" s="169"/>
      <c r="AJ100" s="169"/>
      <c r="AK100" s="169"/>
      <c r="AL100" s="169"/>
      <c r="AM100" s="169"/>
      <c r="AN100" s="454"/>
      <c r="AO100" s="178"/>
      <c r="AP100" s="178"/>
      <c r="AY100" s="458"/>
      <c r="AZ100" s="458"/>
      <c r="BA100" s="1305"/>
      <c r="BC100" s="169"/>
    </row>
    <row r="101" spans="2:55" ht="15.75" customHeight="1">
      <c r="B101" s="175"/>
      <c r="C101" s="617"/>
      <c r="D101" s="175"/>
      <c r="E101" s="177"/>
      <c r="F101" s="177"/>
      <c r="G101" s="458"/>
      <c r="I101" s="182"/>
      <c r="K101" s="169"/>
      <c r="L101" s="169"/>
      <c r="M101" s="169"/>
      <c r="Q101" s="169"/>
      <c r="R101" s="169"/>
      <c r="S101" s="458"/>
      <c r="T101" s="169"/>
      <c r="U101" s="169"/>
      <c r="V101" s="169"/>
      <c r="W101" s="169"/>
      <c r="X101" s="169"/>
      <c r="Y101" s="169"/>
      <c r="Z101" s="169"/>
      <c r="AA101" s="169"/>
      <c r="AB101" s="169"/>
      <c r="AC101" s="169"/>
      <c r="AD101" s="169"/>
      <c r="AE101" s="169"/>
      <c r="AF101" s="169"/>
      <c r="AG101" s="617"/>
      <c r="AH101" s="169"/>
      <c r="AI101" s="169"/>
      <c r="AJ101" s="169"/>
      <c r="AK101" s="169"/>
      <c r="AL101" s="169"/>
      <c r="AM101" s="169"/>
      <c r="AN101" s="454"/>
      <c r="AO101" s="178"/>
      <c r="AP101" s="178"/>
      <c r="AY101" s="458"/>
      <c r="AZ101" s="458"/>
      <c r="BA101" s="1305"/>
      <c r="BC101" s="169"/>
    </row>
    <row r="102" spans="2:55" ht="15.75" customHeight="1">
      <c r="B102" s="175"/>
      <c r="C102" s="617"/>
      <c r="D102" s="175"/>
      <c r="E102" s="177"/>
      <c r="F102" s="177"/>
      <c r="G102" s="458"/>
      <c r="K102" s="169"/>
      <c r="L102" s="169"/>
      <c r="M102" s="169"/>
      <c r="Q102" s="169"/>
      <c r="R102" s="169"/>
      <c r="S102" s="458"/>
      <c r="T102" s="169"/>
      <c r="U102" s="169"/>
      <c r="V102" s="169"/>
      <c r="W102" s="169"/>
      <c r="X102" s="169"/>
      <c r="Y102" s="169"/>
      <c r="Z102" s="169"/>
      <c r="AA102" s="169"/>
      <c r="AB102" s="169"/>
      <c r="AC102" s="169"/>
      <c r="AD102" s="169"/>
      <c r="AE102" s="169"/>
      <c r="AF102" s="169"/>
      <c r="AG102" s="617"/>
      <c r="AH102" s="169"/>
      <c r="AI102" s="169"/>
      <c r="AJ102" s="169"/>
      <c r="AK102" s="169"/>
      <c r="AL102" s="169"/>
      <c r="AM102" s="169"/>
      <c r="AN102" s="454"/>
      <c r="AO102" s="178"/>
      <c r="AP102" s="178"/>
      <c r="AY102" s="458"/>
      <c r="AZ102" s="458"/>
      <c r="BA102" s="1305"/>
      <c r="BC102" s="169"/>
    </row>
    <row r="103" spans="2:55" ht="15.75" customHeight="1">
      <c r="B103" s="175"/>
      <c r="C103" s="617"/>
      <c r="D103" s="175"/>
      <c r="E103" s="177"/>
      <c r="F103" s="177"/>
      <c r="G103" s="458"/>
      <c r="K103" s="169"/>
      <c r="L103" s="169"/>
      <c r="M103" s="169"/>
      <c r="Q103" s="169"/>
      <c r="R103" s="169"/>
      <c r="S103" s="458"/>
      <c r="T103" s="169"/>
      <c r="U103" s="169"/>
      <c r="V103" s="169"/>
      <c r="W103" s="169"/>
      <c r="X103" s="169"/>
      <c r="Y103" s="169"/>
      <c r="Z103" s="169"/>
      <c r="AA103" s="169"/>
      <c r="AB103" s="169"/>
      <c r="AC103" s="169"/>
      <c r="AD103" s="169"/>
      <c r="AE103" s="169"/>
      <c r="AF103" s="169"/>
      <c r="AG103" s="617"/>
      <c r="AH103" s="169"/>
      <c r="AI103" s="169"/>
      <c r="AJ103" s="169"/>
      <c r="AK103" s="169"/>
      <c r="AL103" s="169"/>
      <c r="AM103" s="169"/>
      <c r="AN103" s="454"/>
      <c r="AO103" s="178"/>
      <c r="AP103" s="178"/>
      <c r="AY103" s="458"/>
      <c r="AZ103" s="458"/>
      <c r="BA103" s="1305"/>
      <c r="BC103" s="169"/>
    </row>
    <row r="104" spans="2:55" ht="15.75" customHeight="1">
      <c r="B104" s="175"/>
      <c r="C104" s="617"/>
      <c r="D104" s="175"/>
      <c r="E104" s="177"/>
      <c r="F104" s="177"/>
      <c r="G104" s="458"/>
      <c r="I104" s="169"/>
      <c r="K104" s="169"/>
      <c r="L104" s="169"/>
      <c r="M104" s="169"/>
      <c r="Q104" s="169"/>
      <c r="R104" s="169"/>
      <c r="S104" s="458"/>
      <c r="T104" s="169"/>
      <c r="U104" s="169"/>
      <c r="V104" s="169"/>
      <c r="W104" s="169"/>
      <c r="X104" s="169"/>
      <c r="Y104" s="169"/>
      <c r="Z104" s="169"/>
      <c r="AA104" s="169"/>
      <c r="AB104" s="169"/>
      <c r="AC104" s="169"/>
      <c r="AD104" s="169"/>
      <c r="AE104" s="169"/>
      <c r="AF104" s="169"/>
      <c r="AG104" s="617"/>
      <c r="AH104" s="169"/>
      <c r="AI104" s="169"/>
      <c r="AJ104" s="169"/>
      <c r="AK104" s="169"/>
      <c r="AL104" s="169"/>
      <c r="AM104" s="169"/>
      <c r="AN104" s="454"/>
      <c r="AO104" s="178"/>
      <c r="AP104" s="178"/>
      <c r="AY104" s="458"/>
      <c r="AZ104" s="458"/>
      <c r="BA104" s="1305"/>
      <c r="BC104" s="169"/>
    </row>
    <row r="105" spans="2:55" ht="15.75" customHeight="1">
      <c r="B105" s="175"/>
      <c r="C105" s="617"/>
      <c r="D105" s="175"/>
      <c r="E105" s="177"/>
      <c r="F105" s="177"/>
      <c r="G105" s="458"/>
      <c r="K105" s="169"/>
      <c r="L105" s="169"/>
      <c r="M105" s="169"/>
      <c r="N105" s="169"/>
      <c r="Q105" s="169"/>
      <c r="R105" s="169"/>
      <c r="S105" s="458"/>
      <c r="T105" s="169"/>
      <c r="U105" s="169"/>
      <c r="V105" s="169"/>
      <c r="W105" s="169"/>
      <c r="X105" s="169"/>
      <c r="Y105" s="169"/>
      <c r="Z105" s="169"/>
      <c r="AA105" s="169"/>
      <c r="AB105" s="169"/>
      <c r="AC105" s="169"/>
      <c r="AD105" s="169"/>
      <c r="AE105" s="169"/>
      <c r="AF105" s="169"/>
      <c r="AG105" s="617"/>
      <c r="AH105" s="169"/>
      <c r="AI105" s="169"/>
      <c r="AJ105" s="169"/>
      <c r="AK105" s="169"/>
      <c r="AL105" s="169"/>
      <c r="AM105" s="169"/>
      <c r="AN105" s="454"/>
      <c r="AO105" s="178"/>
      <c r="AP105" s="178"/>
      <c r="AY105" s="458"/>
      <c r="AZ105" s="458"/>
      <c r="BA105" s="1305"/>
      <c r="BC105" s="169"/>
    </row>
    <row r="106" spans="2:55" ht="15.75" customHeight="1">
      <c r="B106" s="175"/>
      <c r="C106" s="617"/>
      <c r="D106" s="177"/>
      <c r="E106" s="169"/>
      <c r="F106" s="177"/>
      <c r="G106" s="458"/>
      <c r="K106" s="169"/>
      <c r="L106" s="169"/>
      <c r="M106" s="169"/>
      <c r="Q106" s="169"/>
      <c r="R106" s="169"/>
      <c r="S106" s="458"/>
      <c r="T106" s="169"/>
      <c r="U106" s="169"/>
      <c r="V106" s="169"/>
      <c r="W106" s="169"/>
      <c r="X106" s="169"/>
      <c r="Y106" s="169"/>
      <c r="Z106" s="169"/>
      <c r="AA106" s="169"/>
      <c r="AB106" s="169"/>
      <c r="AC106" s="169"/>
      <c r="AD106" s="169"/>
      <c r="AE106" s="169"/>
      <c r="AF106" s="169"/>
      <c r="AG106" s="617"/>
      <c r="AH106" s="169"/>
      <c r="AI106" s="169"/>
      <c r="AJ106" s="169"/>
      <c r="AK106" s="169"/>
      <c r="AL106" s="169"/>
      <c r="AM106" s="169"/>
      <c r="AN106" s="454"/>
      <c r="AO106" s="178"/>
      <c r="AP106" s="178"/>
      <c r="AY106" s="458"/>
      <c r="AZ106" s="458"/>
      <c r="BA106" s="1305"/>
      <c r="BC106" s="169"/>
    </row>
    <row r="107" spans="2:55" ht="15.75" customHeight="1">
      <c r="B107" s="175"/>
      <c r="C107" s="617"/>
      <c r="D107" s="177"/>
      <c r="E107" s="169"/>
      <c r="F107" s="177"/>
      <c r="G107" s="458"/>
      <c r="K107" s="169"/>
      <c r="L107" s="169"/>
      <c r="M107" s="169"/>
      <c r="Q107" s="169"/>
      <c r="R107" s="169"/>
      <c r="S107" s="458"/>
      <c r="T107" s="169"/>
      <c r="U107" s="169"/>
      <c r="V107" s="169"/>
      <c r="W107" s="169"/>
      <c r="X107" s="169"/>
      <c r="Y107" s="169"/>
      <c r="Z107" s="169"/>
      <c r="AA107" s="169"/>
      <c r="AB107" s="169"/>
      <c r="AC107" s="169"/>
      <c r="AD107" s="169"/>
      <c r="AE107" s="169"/>
      <c r="AF107" s="169"/>
      <c r="AG107" s="617"/>
      <c r="AH107" s="169"/>
      <c r="AI107" s="169"/>
      <c r="AJ107" s="169"/>
      <c r="AK107" s="169"/>
      <c r="AL107" s="169"/>
      <c r="AM107" s="169"/>
      <c r="AN107" s="454"/>
      <c r="AO107" s="178"/>
      <c r="AP107" s="178"/>
      <c r="AY107" s="458"/>
      <c r="AZ107" s="458"/>
      <c r="BA107" s="1305"/>
      <c r="BC107" s="169"/>
    </row>
    <row r="108" spans="2:55" ht="15.75" customHeight="1">
      <c r="B108" s="175"/>
      <c r="C108" s="617"/>
      <c r="D108" s="177"/>
      <c r="E108" s="169"/>
      <c r="F108" s="177"/>
      <c r="G108" s="458"/>
      <c r="K108" s="169"/>
      <c r="L108" s="169"/>
      <c r="M108" s="169"/>
      <c r="Q108" s="169"/>
      <c r="R108" s="169"/>
      <c r="S108" s="458"/>
      <c r="T108" s="169"/>
      <c r="U108" s="169"/>
      <c r="V108" s="169"/>
      <c r="W108" s="169"/>
      <c r="X108" s="169"/>
      <c r="Y108" s="169"/>
      <c r="Z108" s="169"/>
      <c r="AA108" s="169"/>
      <c r="AB108" s="169"/>
      <c r="AC108" s="169"/>
      <c r="AD108" s="169"/>
      <c r="AE108" s="169"/>
      <c r="AF108" s="169"/>
      <c r="AG108" s="617"/>
      <c r="AH108" s="169"/>
      <c r="AI108" s="169"/>
      <c r="AJ108" s="169"/>
      <c r="AK108" s="169"/>
      <c r="AL108" s="169"/>
      <c r="AM108" s="169"/>
      <c r="AN108" s="454"/>
      <c r="AO108" s="178"/>
      <c r="AP108" s="178"/>
      <c r="AY108" s="458"/>
      <c r="AZ108" s="458"/>
      <c r="BA108" s="1305"/>
      <c r="BC108" s="169"/>
    </row>
    <row r="109" spans="2:55" ht="15.75" customHeight="1">
      <c r="B109" s="175"/>
      <c r="C109" s="617"/>
      <c r="D109" s="177"/>
      <c r="E109" s="169"/>
      <c r="F109" s="177"/>
      <c r="G109" s="458"/>
      <c r="K109" s="169"/>
      <c r="L109" s="169"/>
      <c r="M109" s="169"/>
      <c r="Q109" s="169"/>
      <c r="R109" s="169"/>
      <c r="S109" s="458"/>
      <c r="T109" s="169"/>
      <c r="U109" s="169"/>
      <c r="V109" s="169"/>
      <c r="W109" s="169"/>
      <c r="X109" s="169"/>
      <c r="Y109" s="169"/>
      <c r="Z109" s="169"/>
      <c r="AA109" s="169"/>
      <c r="AB109" s="169"/>
      <c r="AC109" s="169"/>
      <c r="AD109" s="169"/>
      <c r="AE109" s="169"/>
      <c r="AF109" s="169"/>
      <c r="AG109" s="617"/>
      <c r="AH109" s="169"/>
      <c r="AI109" s="169"/>
      <c r="AJ109" s="169"/>
      <c r="AK109" s="169"/>
      <c r="AL109" s="169"/>
      <c r="AM109" s="169"/>
      <c r="AN109" s="454"/>
      <c r="AO109" s="178"/>
      <c r="AP109" s="178"/>
      <c r="AY109" s="458"/>
      <c r="AZ109" s="458"/>
      <c r="BA109" s="1305"/>
      <c r="BC109" s="169"/>
    </row>
    <row r="110" spans="2:55" ht="15.75" customHeight="1">
      <c r="B110" s="175"/>
      <c r="C110" s="617"/>
      <c r="D110" s="177"/>
      <c r="E110" s="169"/>
      <c r="F110" s="177"/>
      <c r="G110" s="458"/>
      <c r="K110" s="169"/>
      <c r="L110" s="169"/>
      <c r="M110" s="169"/>
      <c r="Q110" s="169"/>
      <c r="R110" s="169"/>
      <c r="S110" s="458"/>
      <c r="T110" s="169"/>
      <c r="U110" s="169"/>
      <c r="V110" s="169"/>
      <c r="W110" s="169"/>
      <c r="X110" s="169"/>
      <c r="Y110" s="169"/>
      <c r="Z110" s="169"/>
      <c r="AA110" s="169"/>
      <c r="AB110" s="169"/>
      <c r="AC110" s="169"/>
      <c r="AD110" s="169"/>
      <c r="AE110" s="169"/>
      <c r="AF110" s="169"/>
      <c r="AG110" s="617"/>
      <c r="AH110" s="169"/>
      <c r="AI110" s="169"/>
      <c r="AJ110" s="169"/>
      <c r="AK110" s="169"/>
      <c r="AL110" s="169"/>
      <c r="AM110" s="169"/>
      <c r="AN110" s="454"/>
      <c r="AO110" s="178"/>
      <c r="AP110" s="178"/>
      <c r="AY110" s="458"/>
      <c r="AZ110" s="458"/>
      <c r="BA110" s="1305"/>
      <c r="BC110" s="169"/>
    </row>
    <row r="111" spans="2:55" ht="15.75" customHeight="1">
      <c r="B111" s="175"/>
      <c r="C111" s="617"/>
      <c r="D111" s="177"/>
      <c r="E111" s="169"/>
      <c r="F111" s="177"/>
      <c r="G111" s="458"/>
      <c r="K111" s="169"/>
      <c r="L111" s="169"/>
      <c r="M111" s="169"/>
      <c r="Q111" s="169"/>
      <c r="R111" s="169"/>
      <c r="S111" s="458"/>
      <c r="T111" s="169"/>
      <c r="U111" s="169"/>
      <c r="V111" s="169"/>
      <c r="W111" s="169"/>
      <c r="X111" s="169"/>
      <c r="Y111" s="169"/>
      <c r="Z111" s="169"/>
      <c r="AA111" s="169"/>
      <c r="AB111" s="169"/>
      <c r="AC111" s="169"/>
      <c r="AD111" s="169"/>
      <c r="AE111" s="169"/>
      <c r="AF111" s="169"/>
      <c r="AG111" s="617"/>
      <c r="AH111" s="169"/>
      <c r="AI111" s="169"/>
      <c r="AJ111" s="169"/>
      <c r="AK111" s="169"/>
      <c r="AL111" s="169"/>
      <c r="AM111" s="169"/>
      <c r="AN111" s="454"/>
      <c r="AO111" s="178"/>
      <c r="AP111" s="178"/>
      <c r="AY111" s="458"/>
      <c r="AZ111" s="458"/>
      <c r="BA111" s="1305"/>
      <c r="BC111" s="169"/>
    </row>
    <row r="112" spans="2:55" ht="15.75" customHeight="1">
      <c r="B112" s="175"/>
      <c r="C112" s="617"/>
      <c r="D112" s="177"/>
      <c r="E112" s="169"/>
      <c r="F112" s="177"/>
      <c r="G112" s="458"/>
      <c r="K112" s="169"/>
      <c r="L112" s="169"/>
      <c r="M112" s="169"/>
      <c r="Q112" s="169"/>
      <c r="R112" s="169"/>
      <c r="S112" s="458"/>
      <c r="T112" s="169"/>
      <c r="U112" s="169"/>
      <c r="V112" s="169"/>
      <c r="W112" s="169"/>
      <c r="X112" s="169"/>
      <c r="Y112" s="169"/>
      <c r="Z112" s="169"/>
      <c r="AA112" s="169"/>
      <c r="AB112" s="169"/>
      <c r="AC112" s="169"/>
      <c r="AD112" s="169"/>
      <c r="AE112" s="169"/>
      <c r="AF112" s="169"/>
      <c r="AG112" s="617"/>
      <c r="AH112" s="169"/>
      <c r="AI112" s="169"/>
      <c r="AJ112" s="169"/>
      <c r="AK112" s="169"/>
      <c r="AL112" s="169"/>
      <c r="AM112" s="169"/>
      <c r="AN112" s="454"/>
      <c r="AO112" s="178"/>
      <c r="AP112" s="178"/>
      <c r="AY112" s="458"/>
      <c r="AZ112" s="458"/>
      <c r="BA112" s="1305"/>
      <c r="BC112" s="169"/>
    </row>
    <row r="113" spans="2:55" ht="15.75" customHeight="1">
      <c r="B113" s="175"/>
      <c r="C113" s="617"/>
      <c r="D113" s="177"/>
      <c r="E113" s="169"/>
      <c r="F113" s="177"/>
      <c r="G113" s="458"/>
      <c r="K113" s="169"/>
      <c r="L113" s="169"/>
      <c r="M113" s="169"/>
      <c r="Q113" s="169"/>
      <c r="R113" s="169"/>
      <c r="S113" s="458"/>
      <c r="T113" s="169"/>
      <c r="U113" s="169"/>
      <c r="V113" s="169"/>
      <c r="W113" s="169"/>
      <c r="X113" s="169"/>
      <c r="Y113" s="169"/>
      <c r="Z113" s="169"/>
      <c r="AA113" s="169"/>
      <c r="AB113" s="169"/>
      <c r="AC113" s="169"/>
      <c r="AD113" s="169"/>
      <c r="AE113" s="169"/>
      <c r="AF113" s="169"/>
      <c r="AG113" s="617"/>
      <c r="AH113" s="169"/>
      <c r="AI113" s="169"/>
      <c r="AJ113" s="169"/>
      <c r="AK113" s="169"/>
      <c r="AL113" s="169"/>
      <c r="AM113" s="169"/>
      <c r="AN113" s="454"/>
      <c r="AO113" s="178"/>
      <c r="AP113" s="178"/>
      <c r="AY113" s="458"/>
      <c r="AZ113" s="458"/>
      <c r="BA113" s="1305"/>
      <c r="BC113" s="169"/>
    </row>
    <row r="114" spans="2:55" ht="15.75" customHeight="1">
      <c r="B114" s="175"/>
      <c r="C114" s="617"/>
      <c r="D114" s="177"/>
      <c r="E114" s="169"/>
      <c r="F114" s="177"/>
      <c r="G114" s="458"/>
      <c r="K114" s="169"/>
      <c r="L114" s="169"/>
      <c r="M114" s="169"/>
      <c r="Q114" s="169"/>
      <c r="R114" s="169"/>
      <c r="S114" s="458"/>
      <c r="T114" s="169"/>
      <c r="U114" s="169"/>
      <c r="V114" s="169"/>
      <c r="W114" s="169"/>
      <c r="X114" s="169"/>
      <c r="Y114" s="169"/>
      <c r="Z114" s="169"/>
      <c r="AA114" s="169"/>
      <c r="AB114" s="169"/>
      <c r="AC114" s="169"/>
      <c r="AD114" s="169"/>
      <c r="AE114" s="169"/>
      <c r="AF114" s="169"/>
      <c r="AG114" s="617"/>
      <c r="AH114" s="169"/>
      <c r="AI114" s="169"/>
      <c r="AJ114" s="169"/>
      <c r="AK114" s="169"/>
      <c r="AL114" s="169"/>
      <c r="AM114" s="169"/>
      <c r="AN114" s="454"/>
      <c r="AO114" s="178"/>
      <c r="AP114" s="178"/>
      <c r="AY114" s="458"/>
      <c r="AZ114" s="458"/>
      <c r="BA114" s="1305"/>
      <c r="BC114" s="169"/>
    </row>
    <row r="115" spans="2:55" ht="15.75" customHeight="1">
      <c r="B115" s="175"/>
      <c r="C115" s="617"/>
      <c r="D115" s="177"/>
      <c r="E115" s="169"/>
      <c r="F115" s="177"/>
      <c r="G115" s="458"/>
      <c r="K115" s="169"/>
      <c r="L115" s="169"/>
      <c r="M115" s="169"/>
      <c r="Q115" s="169"/>
      <c r="R115" s="169"/>
      <c r="S115" s="458"/>
      <c r="T115" s="169"/>
      <c r="U115" s="169"/>
      <c r="V115" s="169"/>
      <c r="W115" s="169"/>
      <c r="X115" s="169"/>
      <c r="Y115" s="169"/>
      <c r="Z115" s="169"/>
      <c r="AA115" s="169"/>
      <c r="AB115" s="169"/>
      <c r="AC115" s="169"/>
      <c r="AD115" s="169"/>
      <c r="AE115" s="169"/>
      <c r="AF115" s="169"/>
      <c r="AG115" s="617"/>
      <c r="AH115" s="169"/>
      <c r="AI115" s="169"/>
      <c r="AJ115" s="169"/>
      <c r="AK115" s="169"/>
      <c r="AL115" s="169"/>
      <c r="AM115" s="169"/>
      <c r="AN115" s="454"/>
      <c r="AO115" s="178"/>
      <c r="AP115" s="178"/>
      <c r="AY115" s="458"/>
      <c r="AZ115" s="458"/>
      <c r="BA115" s="1305"/>
      <c r="BC115" s="169"/>
    </row>
    <row r="116" spans="2:55" ht="15.75" customHeight="1">
      <c r="B116" s="175"/>
      <c r="C116" s="617"/>
      <c r="D116" s="177"/>
      <c r="E116" s="169"/>
      <c r="F116" s="177"/>
      <c r="G116" s="458"/>
      <c r="K116" s="169"/>
      <c r="L116" s="169"/>
      <c r="M116" s="169"/>
      <c r="Q116" s="169"/>
      <c r="R116" s="169"/>
      <c r="S116" s="458"/>
      <c r="T116" s="169"/>
      <c r="U116" s="169"/>
      <c r="V116" s="169"/>
      <c r="W116" s="169"/>
      <c r="X116" s="169"/>
      <c r="Y116" s="169"/>
      <c r="Z116" s="169"/>
      <c r="AA116" s="169"/>
      <c r="AB116" s="169"/>
      <c r="AC116" s="169"/>
      <c r="AD116" s="169"/>
      <c r="AE116" s="169"/>
      <c r="AF116" s="169"/>
      <c r="AG116" s="617"/>
      <c r="AH116" s="169"/>
      <c r="AI116" s="169"/>
      <c r="AJ116" s="169"/>
      <c r="AK116" s="169"/>
      <c r="AL116" s="169"/>
      <c r="AM116" s="169"/>
      <c r="AN116" s="454"/>
      <c r="AO116" s="178"/>
      <c r="AP116" s="178"/>
      <c r="AY116" s="458"/>
      <c r="AZ116" s="458"/>
      <c r="BA116" s="1305"/>
      <c r="BC116" s="169"/>
    </row>
    <row r="117" spans="2:55" ht="15.75" customHeight="1">
      <c r="B117" s="175"/>
      <c r="C117" s="617"/>
      <c r="D117" s="177"/>
      <c r="E117" s="169"/>
      <c r="F117" s="177"/>
      <c r="G117" s="458"/>
      <c r="K117" s="169"/>
      <c r="L117" s="169"/>
      <c r="M117" s="169"/>
      <c r="Q117" s="169"/>
      <c r="R117" s="169"/>
      <c r="S117" s="458"/>
      <c r="T117" s="169"/>
      <c r="U117" s="169"/>
      <c r="V117" s="169"/>
      <c r="W117" s="169"/>
      <c r="X117" s="169"/>
      <c r="Y117" s="169"/>
      <c r="Z117" s="169"/>
      <c r="AA117" s="169"/>
      <c r="AB117" s="169"/>
      <c r="AC117" s="169"/>
      <c r="AD117" s="169"/>
      <c r="AE117" s="169"/>
      <c r="AF117" s="169"/>
      <c r="AG117" s="617"/>
      <c r="AH117" s="169"/>
      <c r="AI117" s="169"/>
      <c r="AJ117" s="169"/>
      <c r="AK117" s="169"/>
      <c r="AL117" s="169"/>
      <c r="AM117" s="169"/>
      <c r="AN117" s="454"/>
      <c r="AO117" s="178"/>
      <c r="AP117" s="178"/>
      <c r="AY117" s="458"/>
      <c r="AZ117" s="458"/>
      <c r="BA117" s="1305"/>
      <c r="BC117" s="169"/>
    </row>
    <row r="118" spans="2:55" ht="15.75" customHeight="1">
      <c r="B118" s="175"/>
      <c r="C118" s="617"/>
      <c r="D118" s="177"/>
      <c r="E118" s="169"/>
      <c r="F118" s="177"/>
      <c r="G118" s="458"/>
      <c r="K118" s="169"/>
      <c r="L118" s="169"/>
      <c r="M118" s="169"/>
      <c r="Q118" s="169"/>
      <c r="R118" s="169"/>
      <c r="S118" s="458"/>
      <c r="T118" s="169"/>
      <c r="U118" s="169"/>
      <c r="V118" s="169"/>
      <c r="W118" s="169"/>
      <c r="X118" s="169"/>
      <c r="Y118" s="169"/>
      <c r="Z118" s="169"/>
      <c r="AA118" s="169"/>
      <c r="AB118" s="169"/>
      <c r="AC118" s="169"/>
      <c r="AD118" s="169"/>
      <c r="AE118" s="169"/>
      <c r="AF118" s="169"/>
      <c r="AG118" s="617"/>
      <c r="AH118" s="169"/>
      <c r="AI118" s="169"/>
      <c r="AJ118" s="169"/>
      <c r="AK118" s="169"/>
      <c r="AL118" s="169"/>
      <c r="AM118" s="169"/>
      <c r="AN118" s="454"/>
      <c r="AO118" s="178"/>
      <c r="AP118" s="178"/>
      <c r="AY118" s="458"/>
      <c r="AZ118" s="458"/>
      <c r="BA118" s="1305"/>
      <c r="BC118" s="169"/>
    </row>
    <row r="119" spans="2:55" ht="15.75" customHeight="1">
      <c r="B119" s="175"/>
      <c r="C119" s="617"/>
      <c r="D119" s="177"/>
      <c r="E119" s="169"/>
      <c r="F119" s="177"/>
      <c r="G119" s="458"/>
      <c r="K119" s="169"/>
      <c r="L119" s="169"/>
      <c r="M119" s="169"/>
      <c r="Q119" s="169"/>
      <c r="R119" s="169"/>
      <c r="S119" s="458"/>
      <c r="T119" s="169"/>
      <c r="U119" s="169"/>
      <c r="V119" s="169"/>
      <c r="W119" s="169"/>
      <c r="X119" s="169"/>
      <c r="Y119" s="169"/>
      <c r="Z119" s="169"/>
      <c r="AA119" s="169"/>
      <c r="AB119" s="169"/>
      <c r="AC119" s="169"/>
      <c r="AD119" s="169"/>
      <c r="AE119" s="169"/>
      <c r="AF119" s="169"/>
      <c r="AG119" s="617"/>
      <c r="AH119" s="169"/>
      <c r="AI119" s="169"/>
      <c r="AJ119" s="169"/>
      <c r="AK119" s="169"/>
      <c r="AL119" s="169"/>
      <c r="AM119" s="169"/>
      <c r="AN119" s="454"/>
      <c r="AO119" s="178"/>
      <c r="AP119" s="178"/>
      <c r="AY119" s="458"/>
      <c r="AZ119" s="458"/>
      <c r="BA119" s="1305"/>
      <c r="BC119" s="169"/>
    </row>
    <row r="120" spans="2:55" ht="15.75" customHeight="1">
      <c r="B120" s="175"/>
      <c r="C120" s="617"/>
      <c r="D120" s="177"/>
      <c r="E120" s="169"/>
      <c r="F120" s="177"/>
      <c r="G120" s="458"/>
      <c r="K120" s="169"/>
      <c r="L120" s="169"/>
      <c r="M120" s="169"/>
      <c r="Q120" s="169"/>
      <c r="R120" s="169"/>
      <c r="S120" s="458"/>
      <c r="T120" s="169"/>
      <c r="U120" s="169"/>
      <c r="V120" s="169"/>
      <c r="W120" s="169"/>
      <c r="X120" s="169"/>
      <c r="Y120" s="169"/>
      <c r="Z120" s="169"/>
      <c r="AA120" s="169"/>
      <c r="AB120" s="169"/>
      <c r="AC120" s="169"/>
      <c r="AD120" s="169"/>
      <c r="AE120" s="169"/>
      <c r="AF120" s="169"/>
      <c r="AG120" s="617"/>
      <c r="AH120" s="169"/>
      <c r="AI120" s="169"/>
      <c r="AJ120" s="169"/>
      <c r="AK120" s="169"/>
      <c r="AL120" s="169"/>
      <c r="AM120" s="169"/>
      <c r="AN120" s="454"/>
      <c r="AO120" s="178"/>
      <c r="AP120" s="178"/>
      <c r="AY120" s="458"/>
      <c r="AZ120" s="458"/>
      <c r="BA120" s="1305"/>
      <c r="BC120" s="169"/>
    </row>
    <row r="121" spans="2:55" ht="15.75" customHeight="1">
      <c r="B121" s="175"/>
      <c r="C121" s="617"/>
      <c r="D121" s="177"/>
      <c r="E121" s="169"/>
      <c r="F121" s="177"/>
      <c r="G121" s="458"/>
      <c r="K121" s="169"/>
      <c r="L121" s="169"/>
      <c r="M121" s="169"/>
      <c r="Q121" s="169"/>
      <c r="R121" s="169"/>
      <c r="S121" s="458"/>
      <c r="T121" s="169"/>
      <c r="U121" s="169"/>
      <c r="V121" s="169"/>
      <c r="W121" s="169"/>
      <c r="X121" s="169"/>
      <c r="Y121" s="169"/>
      <c r="Z121" s="169"/>
      <c r="AA121" s="169"/>
      <c r="AB121" s="169"/>
      <c r="AC121" s="169"/>
      <c r="AD121" s="169"/>
      <c r="AE121" s="169"/>
      <c r="AF121" s="169"/>
      <c r="AG121" s="617"/>
      <c r="AH121" s="169"/>
      <c r="AI121" s="169"/>
      <c r="AJ121" s="169"/>
      <c r="AK121" s="169"/>
      <c r="AL121" s="169"/>
      <c r="AM121" s="169"/>
      <c r="AN121" s="454"/>
      <c r="AO121" s="178"/>
      <c r="AP121" s="178"/>
      <c r="AY121" s="458"/>
      <c r="AZ121" s="458"/>
      <c r="BA121" s="1305"/>
      <c r="BC121" s="169"/>
    </row>
    <row r="122" spans="2:55" ht="15.75" customHeight="1">
      <c r="B122" s="175"/>
      <c r="C122" s="617"/>
      <c r="D122" s="177"/>
      <c r="E122" s="169"/>
      <c r="F122" s="177"/>
      <c r="G122" s="458"/>
      <c r="K122" s="169"/>
      <c r="L122" s="169"/>
      <c r="M122" s="169"/>
      <c r="Q122" s="169"/>
      <c r="R122" s="169"/>
      <c r="S122" s="458"/>
      <c r="T122" s="169"/>
      <c r="U122" s="169"/>
      <c r="V122" s="169"/>
      <c r="W122" s="169"/>
      <c r="X122" s="169"/>
      <c r="Y122" s="169"/>
      <c r="Z122" s="169"/>
      <c r="AA122" s="169"/>
      <c r="AB122" s="169"/>
      <c r="AC122" s="169"/>
      <c r="AD122" s="169"/>
      <c r="AE122" s="169"/>
      <c r="AF122" s="169"/>
      <c r="AG122" s="617"/>
      <c r="AH122" s="169"/>
      <c r="AI122" s="169"/>
      <c r="AJ122" s="169"/>
      <c r="AK122" s="169"/>
      <c r="AL122" s="169"/>
      <c r="AM122" s="169"/>
      <c r="AN122" s="454"/>
      <c r="AO122" s="178"/>
      <c r="AP122" s="178"/>
      <c r="AY122" s="458"/>
      <c r="AZ122" s="458"/>
      <c r="BA122" s="1305"/>
      <c r="BC122" s="169"/>
    </row>
    <row r="123" spans="2:55" ht="15.75" customHeight="1">
      <c r="B123" s="618"/>
      <c r="C123" s="617"/>
      <c r="D123" s="177"/>
      <c r="E123" s="169"/>
      <c r="F123" s="177"/>
      <c r="G123" s="458"/>
      <c r="H123" s="169"/>
      <c r="I123" s="169"/>
      <c r="J123" s="617"/>
      <c r="K123" s="169"/>
      <c r="L123" s="169"/>
      <c r="M123" s="169"/>
      <c r="N123" s="169"/>
      <c r="O123" s="169"/>
      <c r="P123" s="169"/>
      <c r="Q123" s="169"/>
      <c r="R123" s="169"/>
      <c r="S123" s="458"/>
      <c r="T123" s="169"/>
      <c r="U123" s="169"/>
      <c r="V123" s="169"/>
      <c r="W123" s="169"/>
      <c r="X123" s="169"/>
      <c r="Y123" s="169"/>
      <c r="Z123" s="169"/>
      <c r="AA123" s="169"/>
      <c r="AB123" s="169"/>
      <c r="AC123" s="169"/>
      <c r="AD123" s="169"/>
      <c r="AE123" s="169"/>
      <c r="AF123" s="169"/>
      <c r="AG123" s="617"/>
      <c r="AH123" s="169"/>
      <c r="AI123" s="169"/>
      <c r="AJ123" s="169"/>
      <c r="AK123" s="169"/>
      <c r="AL123" s="169"/>
      <c r="AM123" s="169"/>
      <c r="AN123" s="454"/>
      <c r="AO123" s="178"/>
      <c r="AP123" s="178"/>
      <c r="AY123" s="458"/>
      <c r="AZ123" s="458"/>
      <c r="BA123" s="1305"/>
      <c r="BC123" s="169"/>
    </row>
    <row r="124" spans="2:55" ht="15.75" customHeight="1">
      <c r="B124" s="618"/>
      <c r="C124" s="617"/>
      <c r="D124" s="177"/>
      <c r="E124" s="169"/>
      <c r="F124" s="177"/>
      <c r="G124" s="458"/>
      <c r="H124" s="169"/>
      <c r="I124" s="169"/>
      <c r="J124" s="617"/>
      <c r="K124" s="169"/>
      <c r="L124" s="169"/>
      <c r="M124" s="169"/>
      <c r="N124" s="169"/>
      <c r="O124" s="169"/>
      <c r="P124" s="169"/>
      <c r="Q124" s="169"/>
      <c r="R124" s="169"/>
      <c r="S124" s="458"/>
      <c r="T124" s="169"/>
      <c r="U124" s="169"/>
      <c r="V124" s="169"/>
      <c r="W124" s="169"/>
      <c r="X124" s="169"/>
      <c r="Y124" s="169"/>
      <c r="Z124" s="169"/>
      <c r="AA124" s="169"/>
      <c r="AB124" s="169"/>
      <c r="AC124" s="169"/>
      <c r="AD124" s="169"/>
      <c r="AE124" s="169"/>
      <c r="AF124" s="169"/>
      <c r="AG124" s="617"/>
      <c r="AH124" s="169"/>
      <c r="AI124" s="169"/>
      <c r="AJ124" s="169"/>
      <c r="AK124" s="169"/>
      <c r="AL124" s="169"/>
      <c r="AM124" s="169"/>
      <c r="AY124" s="458"/>
      <c r="AZ124" s="458"/>
      <c r="BA124" s="1305"/>
      <c r="BC124" s="169"/>
    </row>
    <row r="125" spans="2:55" ht="15.75" customHeight="1">
      <c r="B125" s="618"/>
      <c r="C125" s="617"/>
      <c r="D125" s="177"/>
      <c r="E125" s="169"/>
      <c r="F125" s="177"/>
      <c r="G125" s="458"/>
      <c r="H125" s="169"/>
      <c r="I125" s="169"/>
      <c r="J125" s="617"/>
      <c r="K125" s="169"/>
      <c r="L125" s="169"/>
      <c r="M125" s="169"/>
      <c r="N125" s="169"/>
      <c r="O125" s="169"/>
      <c r="P125" s="169"/>
      <c r="Q125" s="169"/>
      <c r="R125" s="169"/>
      <c r="S125" s="458"/>
      <c r="T125" s="169"/>
      <c r="U125" s="169"/>
      <c r="V125" s="169"/>
      <c r="W125" s="169"/>
      <c r="X125" s="169"/>
      <c r="Y125" s="169"/>
      <c r="Z125" s="169"/>
      <c r="AA125" s="169"/>
      <c r="AB125" s="169"/>
      <c r="AC125" s="169"/>
      <c r="AD125" s="169"/>
      <c r="AE125" s="169"/>
      <c r="AF125" s="169"/>
      <c r="AG125" s="617"/>
      <c r="AH125" s="169"/>
      <c r="AI125" s="169"/>
      <c r="AJ125" s="169"/>
      <c r="AK125" s="169"/>
      <c r="AL125" s="169"/>
      <c r="AM125" s="169"/>
      <c r="AY125" s="458"/>
      <c r="AZ125" s="458"/>
      <c r="BA125" s="1305"/>
      <c r="BC125" s="169"/>
    </row>
    <row r="126" spans="2:55" ht="15.75" customHeight="1">
      <c r="S126" s="454"/>
      <c r="AY126" s="458"/>
      <c r="AZ126" s="458"/>
      <c r="BA126" s="1305"/>
      <c r="BC126" s="169"/>
    </row>
    <row r="127" spans="2:55" ht="15.75" customHeight="1">
      <c r="S127" s="454"/>
      <c r="AY127" s="458"/>
      <c r="AZ127" s="458"/>
      <c r="BA127" s="1305"/>
      <c r="BC127" s="169"/>
    </row>
    <row r="128" spans="2:55" ht="15.75" customHeight="1">
      <c r="S128" s="454"/>
      <c r="AY128" s="458"/>
      <c r="AZ128" s="458"/>
      <c r="BA128" s="1305"/>
      <c r="BC128" s="169"/>
    </row>
    <row r="129" spans="19:55" ht="15.75" customHeight="1">
      <c r="S129" s="454"/>
      <c r="AY129" s="458"/>
      <c r="AZ129" s="458"/>
      <c r="BA129" s="1305"/>
      <c r="BC129" s="169"/>
    </row>
    <row r="130" spans="19:55" ht="15.75" customHeight="1">
      <c r="S130" s="454"/>
      <c r="AY130" s="458"/>
      <c r="AZ130" s="458"/>
      <c r="BA130" s="1305"/>
      <c r="BC130" s="169"/>
    </row>
    <row r="131" spans="19:55" ht="15.75" customHeight="1">
      <c r="S131" s="454"/>
      <c r="AY131" s="458"/>
      <c r="AZ131" s="458"/>
      <c r="BA131" s="1305"/>
      <c r="BC131" s="169"/>
    </row>
    <row r="132" spans="19:55" ht="15.75" customHeight="1">
      <c r="S132" s="454"/>
      <c r="AY132" s="458"/>
      <c r="AZ132" s="458"/>
      <c r="BA132" s="1305"/>
      <c r="BC132" s="169"/>
    </row>
    <row r="133" spans="19:55" ht="15.75" customHeight="1">
      <c r="S133" s="454"/>
      <c r="AY133" s="458"/>
      <c r="AZ133" s="458"/>
      <c r="BA133" s="1305"/>
      <c r="BC133" s="169"/>
    </row>
    <row r="134" spans="19:55" ht="15.75" customHeight="1">
      <c r="S134" s="454"/>
      <c r="AY134" s="458"/>
      <c r="AZ134" s="458"/>
      <c r="BA134" s="1305"/>
      <c r="BC134" s="169"/>
    </row>
    <row r="135" spans="19:55" ht="15.75" customHeight="1">
      <c r="S135" s="454"/>
      <c r="AY135" s="458"/>
      <c r="AZ135" s="458"/>
      <c r="BA135" s="1305"/>
      <c r="BC135" s="169"/>
    </row>
    <row r="136" spans="19:55" ht="15.75" customHeight="1">
      <c r="S136" s="454"/>
      <c r="AY136" s="458"/>
      <c r="AZ136" s="458"/>
      <c r="BA136" s="1305"/>
      <c r="BC136" s="169"/>
    </row>
    <row r="137" spans="19:55" ht="15.75" customHeight="1">
      <c r="S137" s="454"/>
      <c r="AY137" s="458"/>
      <c r="AZ137" s="458"/>
      <c r="BA137" s="1305"/>
      <c r="BC137" s="169"/>
    </row>
    <row r="138" spans="19:55" ht="15.75" customHeight="1">
      <c r="S138" s="454"/>
      <c r="AY138" s="458"/>
      <c r="AZ138" s="458"/>
      <c r="BA138" s="1305"/>
      <c r="BC138" s="169"/>
    </row>
    <row r="139" spans="19:55" ht="15.75" customHeight="1">
      <c r="S139" s="454"/>
      <c r="AY139" s="458"/>
      <c r="AZ139" s="458"/>
      <c r="BA139" s="1305"/>
      <c r="BC139" s="169"/>
    </row>
    <row r="140" spans="19:55" ht="15.75" customHeight="1">
      <c r="S140" s="454"/>
      <c r="AY140" s="458"/>
      <c r="AZ140" s="458"/>
      <c r="BA140" s="1305"/>
      <c r="BC140" s="169"/>
    </row>
    <row r="141" spans="19:55" ht="15.75" customHeight="1">
      <c r="S141" s="454"/>
      <c r="AY141" s="458"/>
      <c r="AZ141" s="458"/>
      <c r="BA141" s="1305"/>
      <c r="BC141" s="169"/>
    </row>
    <row r="142" spans="19:55" ht="15.75" customHeight="1">
      <c r="S142" s="454"/>
      <c r="AY142" s="458"/>
      <c r="AZ142" s="458"/>
      <c r="BA142" s="1305"/>
      <c r="BC142" s="169"/>
    </row>
    <row r="143" spans="19:55" ht="15.75" customHeight="1">
      <c r="S143" s="454"/>
      <c r="AY143" s="458"/>
      <c r="AZ143" s="458"/>
      <c r="BA143" s="1305"/>
      <c r="BC143" s="169"/>
    </row>
    <row r="144" spans="19:55" ht="15.75" customHeight="1">
      <c r="S144" s="454"/>
      <c r="AY144" s="458"/>
      <c r="AZ144" s="458"/>
      <c r="BA144" s="1305"/>
      <c r="BC144" s="169"/>
    </row>
    <row r="145" spans="19:55" ht="15.75" customHeight="1">
      <c r="S145" s="454"/>
      <c r="AY145" s="458"/>
      <c r="AZ145" s="458"/>
      <c r="BA145" s="1305"/>
      <c r="BC145" s="169"/>
    </row>
    <row r="146" spans="19:55" ht="15.75" customHeight="1">
      <c r="S146" s="454"/>
      <c r="AY146" s="458"/>
      <c r="AZ146" s="458"/>
      <c r="BA146" s="1305"/>
      <c r="BC146" s="169"/>
    </row>
    <row r="147" spans="19:55" ht="15.75" customHeight="1">
      <c r="S147" s="454"/>
      <c r="AY147" s="458"/>
      <c r="AZ147" s="458"/>
      <c r="BA147" s="1305"/>
      <c r="BC147" s="169"/>
    </row>
    <row r="148" spans="19:55" ht="15.75" customHeight="1">
      <c r="S148" s="454"/>
      <c r="AY148" s="458"/>
      <c r="AZ148" s="458"/>
      <c r="BA148" s="1305"/>
      <c r="BC148" s="169"/>
    </row>
    <row r="149" spans="19:55" ht="15.75" customHeight="1">
      <c r="S149" s="454"/>
      <c r="AY149" s="458"/>
      <c r="AZ149" s="458"/>
      <c r="BA149" s="1305"/>
      <c r="BC149" s="169"/>
    </row>
    <row r="150" spans="19:55" ht="15.75" customHeight="1">
      <c r="S150" s="454"/>
      <c r="AY150" s="458"/>
      <c r="AZ150" s="458"/>
      <c r="BA150" s="1305"/>
      <c r="BC150" s="169"/>
    </row>
    <row r="151" spans="19:55" ht="15.75" customHeight="1">
      <c r="S151" s="454"/>
      <c r="AY151" s="458"/>
      <c r="AZ151" s="458"/>
      <c r="BA151" s="1305"/>
      <c r="BC151" s="169"/>
    </row>
    <row r="152" spans="19:55" ht="15.75" customHeight="1">
      <c r="S152" s="454"/>
      <c r="AY152" s="458"/>
      <c r="AZ152" s="458"/>
      <c r="BA152" s="1305"/>
      <c r="BC152" s="169"/>
    </row>
    <row r="153" spans="19:55" ht="15.75" customHeight="1">
      <c r="S153" s="454"/>
      <c r="AY153" s="458"/>
      <c r="AZ153" s="458"/>
      <c r="BA153" s="1305"/>
      <c r="BC153" s="169"/>
    </row>
    <row r="154" spans="19:55" ht="15.75" customHeight="1">
      <c r="S154" s="454"/>
      <c r="AY154" s="458"/>
      <c r="AZ154" s="458"/>
      <c r="BA154" s="1305"/>
      <c r="BC154" s="169"/>
    </row>
    <row r="155" spans="19:55" ht="15.75" customHeight="1">
      <c r="S155" s="454"/>
      <c r="AY155" s="458"/>
      <c r="AZ155" s="458"/>
      <c r="BA155" s="1305"/>
      <c r="BC155" s="169"/>
    </row>
    <row r="156" spans="19:55" ht="15.75" customHeight="1">
      <c r="S156" s="454"/>
      <c r="AY156" s="458"/>
      <c r="AZ156" s="458"/>
      <c r="BA156" s="1305"/>
      <c r="BC156" s="169"/>
    </row>
    <row r="157" spans="19:55" ht="15.75" customHeight="1">
      <c r="S157" s="454"/>
      <c r="AY157" s="458"/>
      <c r="AZ157" s="458"/>
      <c r="BA157" s="1305"/>
      <c r="BC157" s="169"/>
    </row>
    <row r="158" spans="19:55" ht="15.75" customHeight="1">
      <c r="S158" s="454"/>
      <c r="AY158" s="458"/>
      <c r="AZ158" s="458"/>
      <c r="BA158" s="1305"/>
      <c r="BC158" s="169"/>
    </row>
    <row r="159" spans="19:55" ht="15.75" customHeight="1">
      <c r="S159" s="454"/>
      <c r="AY159" s="458"/>
      <c r="AZ159" s="458"/>
      <c r="BA159" s="1305"/>
      <c r="BC159" s="169"/>
    </row>
    <row r="160" spans="19:55" ht="15.75" customHeight="1">
      <c r="S160" s="454"/>
      <c r="AY160" s="458"/>
      <c r="AZ160" s="458"/>
      <c r="BA160" s="1305"/>
      <c r="BC160" s="169"/>
    </row>
    <row r="161" spans="19:55" ht="15.75" customHeight="1">
      <c r="S161" s="454"/>
      <c r="AY161" s="458"/>
      <c r="AZ161" s="458"/>
      <c r="BA161" s="1305"/>
      <c r="BC161" s="169"/>
    </row>
    <row r="162" spans="19:55" ht="15.75" customHeight="1">
      <c r="S162" s="454"/>
      <c r="AY162" s="458"/>
      <c r="AZ162" s="458"/>
      <c r="BA162" s="1305"/>
      <c r="BC162" s="169"/>
    </row>
    <row r="163" spans="19:55" ht="15.75" customHeight="1">
      <c r="S163" s="454"/>
      <c r="AY163" s="458"/>
      <c r="AZ163" s="458"/>
      <c r="BA163" s="1305"/>
      <c r="BC163" s="169"/>
    </row>
    <row r="164" spans="19:55" ht="15.75" customHeight="1">
      <c r="S164" s="454"/>
      <c r="AY164" s="458"/>
      <c r="AZ164" s="458"/>
      <c r="BA164" s="1305"/>
      <c r="BC164" s="169"/>
    </row>
    <row r="165" spans="19:55" ht="15.75" customHeight="1">
      <c r="S165" s="454"/>
      <c r="AY165" s="458"/>
      <c r="AZ165" s="458"/>
      <c r="BA165" s="1305"/>
      <c r="BC165" s="169"/>
    </row>
    <row r="166" spans="19:55" ht="15.75" customHeight="1">
      <c r="S166" s="454"/>
      <c r="AY166" s="458"/>
      <c r="AZ166" s="458"/>
      <c r="BA166" s="1305"/>
      <c r="BC166" s="169"/>
    </row>
    <row r="167" spans="19:55" ht="15.75" customHeight="1">
      <c r="S167" s="454"/>
      <c r="AY167" s="458"/>
      <c r="AZ167" s="458"/>
      <c r="BA167" s="1305"/>
      <c r="BC167" s="169"/>
    </row>
    <row r="168" spans="19:55" ht="15.75" customHeight="1">
      <c r="S168" s="454"/>
      <c r="AY168" s="458"/>
      <c r="AZ168" s="458"/>
      <c r="BA168" s="1305"/>
      <c r="BC168" s="169"/>
    </row>
    <row r="169" spans="19:55" ht="15.75" customHeight="1">
      <c r="S169" s="454"/>
      <c r="AY169" s="458"/>
      <c r="AZ169" s="458"/>
      <c r="BA169" s="1305"/>
      <c r="BC169" s="169"/>
    </row>
    <row r="170" spans="19:55" ht="15.75" customHeight="1">
      <c r="S170" s="454"/>
      <c r="AY170" s="458"/>
      <c r="AZ170" s="458"/>
      <c r="BA170" s="1305"/>
      <c r="BC170" s="169"/>
    </row>
    <row r="171" spans="19:55" ht="15.75" customHeight="1">
      <c r="S171" s="454"/>
      <c r="AY171" s="458"/>
      <c r="AZ171" s="458"/>
      <c r="BA171" s="1305"/>
      <c r="BC171" s="169"/>
    </row>
    <row r="172" spans="19:55" ht="15.75" customHeight="1">
      <c r="S172" s="454"/>
      <c r="AY172" s="458"/>
      <c r="AZ172" s="458"/>
      <c r="BA172" s="1305"/>
      <c r="BC172" s="169"/>
    </row>
    <row r="173" spans="19:55" ht="15.75" customHeight="1">
      <c r="S173" s="454"/>
      <c r="AY173" s="458"/>
      <c r="AZ173" s="458"/>
      <c r="BA173" s="1305"/>
      <c r="BC173" s="169"/>
    </row>
    <row r="174" spans="19:55" ht="15.75" customHeight="1">
      <c r="S174" s="454"/>
      <c r="AY174" s="458"/>
      <c r="AZ174" s="458"/>
      <c r="BA174" s="1305"/>
      <c r="BC174" s="169"/>
    </row>
    <row r="175" spans="19:55" ht="15.75" customHeight="1">
      <c r="S175" s="454"/>
      <c r="AY175" s="458"/>
      <c r="AZ175" s="458"/>
      <c r="BA175" s="1305"/>
      <c r="BC175" s="169"/>
    </row>
    <row r="176" spans="19:55" ht="15.75" customHeight="1">
      <c r="S176" s="454"/>
      <c r="AY176" s="458"/>
      <c r="AZ176" s="458"/>
      <c r="BA176" s="1305"/>
      <c r="BC176" s="169"/>
    </row>
    <row r="177" spans="19:55" ht="15.75" customHeight="1">
      <c r="S177" s="454"/>
      <c r="AY177" s="458"/>
      <c r="AZ177" s="458"/>
      <c r="BA177" s="1305"/>
      <c r="BC177" s="169"/>
    </row>
    <row r="178" spans="19:55" ht="15.75" customHeight="1">
      <c r="S178" s="454"/>
      <c r="AY178" s="458"/>
      <c r="AZ178" s="458"/>
      <c r="BA178" s="1305"/>
      <c r="BC178" s="169"/>
    </row>
    <row r="179" spans="19:55" ht="15.75" customHeight="1">
      <c r="S179" s="454"/>
      <c r="AY179" s="458"/>
      <c r="AZ179" s="458"/>
      <c r="BA179" s="1305"/>
      <c r="BC179" s="169"/>
    </row>
    <row r="180" spans="19:55" ht="15.75" customHeight="1">
      <c r="S180" s="454"/>
      <c r="AY180" s="458"/>
      <c r="AZ180" s="458"/>
      <c r="BA180" s="1305"/>
      <c r="BC180" s="169"/>
    </row>
    <row r="181" spans="19:55" ht="15.75" customHeight="1">
      <c r="S181" s="454"/>
      <c r="AY181" s="458"/>
      <c r="AZ181" s="458"/>
      <c r="BA181" s="1305"/>
      <c r="BC181" s="169"/>
    </row>
    <row r="182" spans="19:55" ht="15.75" customHeight="1">
      <c r="S182" s="454"/>
      <c r="AY182" s="458"/>
      <c r="AZ182" s="458"/>
      <c r="BA182" s="1305"/>
      <c r="BC182" s="169"/>
    </row>
    <row r="183" spans="19:55" ht="15.75" customHeight="1">
      <c r="S183" s="454"/>
      <c r="AY183" s="458"/>
      <c r="AZ183" s="458"/>
      <c r="BA183" s="1305"/>
      <c r="BC183" s="169"/>
    </row>
    <row r="184" spans="19:55" ht="15.75" customHeight="1">
      <c r="S184" s="454"/>
      <c r="AY184" s="458"/>
      <c r="AZ184" s="458"/>
      <c r="BA184" s="1305"/>
      <c r="BC184" s="169"/>
    </row>
    <row r="185" spans="19:55" ht="15.75" customHeight="1">
      <c r="S185" s="454"/>
      <c r="AY185" s="458"/>
      <c r="AZ185" s="458"/>
      <c r="BA185" s="1305"/>
      <c r="BC185" s="169"/>
    </row>
    <row r="186" spans="19:55" ht="15.75" customHeight="1">
      <c r="S186" s="454"/>
      <c r="AY186" s="458"/>
      <c r="AZ186" s="458"/>
      <c r="BA186" s="1305"/>
      <c r="BC186" s="169"/>
    </row>
    <row r="187" spans="19:55" ht="15.75" customHeight="1">
      <c r="S187" s="454"/>
      <c r="AY187" s="458"/>
      <c r="AZ187" s="458"/>
      <c r="BA187" s="1305"/>
      <c r="BC187" s="169"/>
    </row>
    <row r="188" spans="19:55" ht="15.75" customHeight="1">
      <c r="S188" s="454"/>
      <c r="AY188" s="458"/>
      <c r="AZ188" s="458"/>
      <c r="BA188" s="1305"/>
      <c r="BC188" s="169"/>
    </row>
    <row r="189" spans="19:55" ht="15.75" customHeight="1">
      <c r="S189" s="454"/>
      <c r="AY189" s="458"/>
      <c r="AZ189" s="458"/>
      <c r="BA189" s="1305"/>
      <c r="BC189" s="169"/>
    </row>
    <row r="190" spans="19:55" ht="15.75" customHeight="1">
      <c r="S190" s="454"/>
      <c r="AY190" s="458"/>
      <c r="AZ190" s="458"/>
      <c r="BA190" s="1305"/>
      <c r="BC190" s="169"/>
    </row>
    <row r="191" spans="19:55" ht="15.75" customHeight="1">
      <c r="S191" s="454"/>
      <c r="AY191" s="458"/>
      <c r="AZ191" s="458"/>
      <c r="BA191" s="1305"/>
      <c r="BC191" s="169"/>
    </row>
    <row r="192" spans="19:55" ht="15.75" customHeight="1">
      <c r="S192" s="454"/>
      <c r="AY192" s="458"/>
      <c r="AZ192" s="458"/>
      <c r="BA192" s="1305"/>
      <c r="BC192" s="169"/>
    </row>
    <row r="193" spans="19:55" ht="15.75" customHeight="1">
      <c r="S193" s="454"/>
      <c r="AY193" s="458"/>
      <c r="AZ193" s="458"/>
      <c r="BA193" s="1305"/>
      <c r="BC193" s="169"/>
    </row>
    <row r="194" spans="19:55" ht="15.75" customHeight="1">
      <c r="S194" s="454"/>
      <c r="AY194" s="458"/>
      <c r="AZ194" s="458"/>
      <c r="BA194" s="1305"/>
      <c r="BC194" s="169"/>
    </row>
    <row r="195" spans="19:55" ht="15.75" customHeight="1">
      <c r="S195" s="454"/>
      <c r="AY195" s="458"/>
      <c r="AZ195" s="458"/>
      <c r="BA195" s="1305"/>
      <c r="BC195" s="169"/>
    </row>
    <row r="196" spans="19:55" ht="15.75" customHeight="1">
      <c r="S196" s="454"/>
      <c r="AY196" s="458"/>
      <c r="AZ196" s="458"/>
      <c r="BA196" s="1305"/>
      <c r="BC196" s="169"/>
    </row>
    <row r="197" spans="19:55" ht="15.75" customHeight="1">
      <c r="S197" s="454"/>
      <c r="AY197" s="458"/>
      <c r="AZ197" s="458"/>
      <c r="BA197" s="1305"/>
      <c r="BC197" s="169"/>
    </row>
    <row r="198" spans="19:55" ht="15.75" customHeight="1">
      <c r="S198" s="454"/>
      <c r="AY198" s="458"/>
      <c r="AZ198" s="458"/>
      <c r="BA198" s="1305"/>
      <c r="BC198" s="169"/>
    </row>
    <row r="199" spans="19:55" ht="15.75" customHeight="1">
      <c r="S199" s="454"/>
      <c r="AY199" s="458"/>
      <c r="AZ199" s="458"/>
      <c r="BA199" s="1305"/>
      <c r="BC199" s="169"/>
    </row>
    <row r="200" spans="19:55" ht="15.75" customHeight="1">
      <c r="S200" s="454"/>
      <c r="AY200" s="458"/>
      <c r="AZ200" s="458"/>
      <c r="BA200" s="1305"/>
      <c r="BC200" s="169"/>
    </row>
    <row r="201" spans="19:55" ht="15.75" customHeight="1">
      <c r="S201" s="454"/>
      <c r="AY201" s="458"/>
      <c r="AZ201" s="458"/>
      <c r="BA201" s="1305"/>
      <c r="BC201" s="169"/>
    </row>
    <row r="202" spans="19:55" ht="15.75" customHeight="1">
      <c r="S202" s="454"/>
      <c r="AY202" s="458"/>
      <c r="AZ202" s="458"/>
      <c r="BA202" s="1305"/>
      <c r="BC202" s="169"/>
    </row>
    <row r="203" spans="19:55" ht="15.75" customHeight="1">
      <c r="S203" s="454"/>
      <c r="AY203" s="458"/>
      <c r="AZ203" s="458"/>
      <c r="BA203" s="1305"/>
      <c r="BC203" s="169"/>
    </row>
    <row r="204" spans="19:55" ht="15.75" customHeight="1">
      <c r="S204" s="454"/>
      <c r="AV204" s="178"/>
      <c r="AW204" s="178"/>
      <c r="AX204" s="178"/>
      <c r="AY204" s="454"/>
      <c r="AZ204" s="454"/>
      <c r="BA204" s="1306"/>
      <c r="BC204" s="169"/>
    </row>
    <row r="205" spans="19:55" ht="15.75" customHeight="1">
      <c r="S205" s="454"/>
      <c r="AV205" s="178"/>
      <c r="AW205" s="178"/>
      <c r="AX205" s="178"/>
      <c r="AY205" s="454"/>
      <c r="AZ205" s="454"/>
      <c r="BA205" s="1306"/>
      <c r="BC205" s="169"/>
    </row>
    <row r="206" spans="19:55" ht="15.75" customHeight="1">
      <c r="S206" s="454"/>
      <c r="AN206" s="454"/>
      <c r="AO206" s="178"/>
      <c r="AP206" s="178"/>
      <c r="AQ206" s="454"/>
      <c r="AR206" s="454"/>
      <c r="AS206" s="454"/>
      <c r="AT206" s="454"/>
      <c r="AU206" s="178"/>
      <c r="AV206" s="178"/>
      <c r="AW206" s="178"/>
      <c r="AX206" s="178"/>
      <c r="AY206" s="454"/>
      <c r="AZ206" s="454"/>
      <c r="BA206" s="1306"/>
      <c r="BC206" s="169"/>
    </row>
    <row r="207" spans="19:55" ht="15.75" customHeight="1">
      <c r="S207" s="454"/>
      <c r="AN207" s="454"/>
      <c r="AO207" s="178"/>
      <c r="AP207" s="178"/>
      <c r="AQ207" s="454"/>
      <c r="AR207" s="454"/>
      <c r="AS207" s="454"/>
      <c r="AT207" s="454"/>
      <c r="AU207" s="178"/>
      <c r="AV207" s="178"/>
      <c r="AW207" s="178"/>
      <c r="AX207" s="178"/>
      <c r="AY207" s="454"/>
      <c r="AZ207" s="454"/>
      <c r="BA207" s="1306"/>
      <c r="BC207" s="169"/>
    </row>
    <row r="208" spans="19:55" ht="15.75" customHeight="1">
      <c r="S208" s="454"/>
      <c r="AN208" s="454"/>
      <c r="AO208" s="178"/>
      <c r="AP208" s="178"/>
      <c r="AQ208" s="454"/>
      <c r="AR208" s="454"/>
      <c r="AS208" s="454"/>
      <c r="AT208" s="454"/>
      <c r="AU208" s="178"/>
      <c r="AV208" s="178"/>
      <c r="AW208" s="178"/>
      <c r="AX208" s="178"/>
      <c r="AY208" s="454"/>
      <c r="AZ208" s="454"/>
      <c r="BA208" s="1306"/>
      <c r="BC208" s="169"/>
    </row>
    <row r="209" spans="19:55" ht="15.75" customHeight="1">
      <c r="S209" s="454"/>
      <c r="AN209" s="454"/>
      <c r="AO209" s="178"/>
      <c r="AP209" s="178"/>
      <c r="AQ209" s="454"/>
      <c r="AR209" s="454"/>
      <c r="AS209" s="454"/>
      <c r="AT209" s="454"/>
      <c r="AU209" s="178"/>
      <c r="AY209" s="458"/>
      <c r="AZ209" s="458"/>
      <c r="BA209" s="1305"/>
      <c r="BC209" s="169"/>
    </row>
    <row r="210" spans="19:55" ht="15.75" customHeight="1">
      <c r="S210" s="454"/>
      <c r="AN210" s="454"/>
      <c r="AO210" s="178"/>
      <c r="AP210" s="178"/>
      <c r="AQ210" s="454"/>
      <c r="AR210" s="454"/>
      <c r="AS210" s="454"/>
      <c r="AT210" s="454"/>
      <c r="AU210" s="178"/>
      <c r="AY210" s="458"/>
      <c r="AZ210" s="458"/>
      <c r="BA210" s="1305"/>
      <c r="BC210" s="169"/>
    </row>
    <row r="211" spans="19:55" ht="15.75" customHeight="1">
      <c r="S211" s="454"/>
      <c r="AY211" s="458"/>
      <c r="AZ211" s="458"/>
      <c r="BA211" s="1305"/>
      <c r="BC211" s="169"/>
    </row>
    <row r="212" spans="19:55" ht="15.75" customHeight="1">
      <c r="S212" s="454"/>
      <c r="AY212" s="458"/>
      <c r="AZ212" s="458"/>
      <c r="BA212" s="1305"/>
      <c r="BC212" s="169"/>
    </row>
    <row r="213" spans="19:55" ht="15.75" customHeight="1">
      <c r="S213" s="454"/>
      <c r="AY213" s="458"/>
      <c r="AZ213" s="458"/>
      <c r="BA213" s="1305"/>
      <c r="BC213" s="169"/>
    </row>
    <row r="214" spans="19:55" ht="15.75" customHeight="1">
      <c r="S214" s="454"/>
      <c r="AY214" s="458"/>
      <c r="AZ214" s="458"/>
      <c r="BA214" s="1305"/>
      <c r="BC214" s="169"/>
    </row>
    <row r="215" spans="19:55" ht="15.75" customHeight="1">
      <c r="S215" s="454"/>
      <c r="AY215" s="458"/>
      <c r="AZ215" s="458"/>
      <c r="BA215" s="1305"/>
      <c r="BC215" s="169"/>
    </row>
    <row r="216" spans="19:55" ht="15.75" customHeight="1">
      <c r="S216" s="454"/>
      <c r="AY216" s="458"/>
      <c r="AZ216" s="458"/>
      <c r="BA216" s="1305"/>
      <c r="BC216" s="169"/>
    </row>
    <row r="217" spans="19:55" ht="15.75" customHeight="1">
      <c r="S217" s="454"/>
      <c r="AY217" s="458"/>
      <c r="AZ217" s="458"/>
      <c r="BA217" s="1305"/>
      <c r="BC217" s="169"/>
    </row>
    <row r="218" spans="19:55" ht="15.75" customHeight="1">
      <c r="S218" s="454"/>
      <c r="AY218" s="458"/>
      <c r="AZ218" s="458"/>
      <c r="BA218" s="1305"/>
      <c r="BC218" s="169"/>
    </row>
    <row r="219" spans="19:55" ht="15.75" customHeight="1">
      <c r="S219" s="454"/>
      <c r="AY219" s="458"/>
      <c r="AZ219" s="458"/>
      <c r="BA219" s="1305"/>
      <c r="BC219" s="169"/>
    </row>
    <row r="220" spans="19:55" ht="15.75" customHeight="1">
      <c r="S220" s="454"/>
      <c r="AY220" s="458"/>
      <c r="AZ220" s="458"/>
      <c r="BA220" s="1305"/>
      <c r="BC220" s="169"/>
    </row>
    <row r="221" spans="19:55" ht="15.75" customHeight="1">
      <c r="S221" s="454"/>
      <c r="AY221" s="458"/>
      <c r="AZ221" s="458"/>
      <c r="BA221" s="1305"/>
      <c r="BC221" s="169"/>
    </row>
    <row r="222" spans="19:55" ht="15.75" customHeight="1">
      <c r="S222" s="454"/>
      <c r="AY222" s="458"/>
      <c r="AZ222" s="458"/>
      <c r="BA222" s="1305"/>
      <c r="BC222" s="169"/>
    </row>
    <row r="223" spans="19:55" ht="15.75" customHeight="1">
      <c r="S223" s="454"/>
      <c r="AY223" s="458"/>
      <c r="AZ223" s="458"/>
      <c r="BA223" s="1305"/>
      <c r="BC223" s="169"/>
    </row>
    <row r="224" spans="19:55" ht="15.75" customHeight="1">
      <c r="S224" s="454"/>
      <c r="AY224" s="458"/>
      <c r="AZ224" s="458"/>
      <c r="BA224" s="1305"/>
      <c r="BC224" s="169"/>
    </row>
    <row r="225" spans="19:55" ht="15.75" customHeight="1">
      <c r="S225" s="454"/>
      <c r="AY225" s="458"/>
      <c r="AZ225" s="458"/>
      <c r="BA225" s="1305"/>
      <c r="BC225" s="169"/>
    </row>
    <row r="226" spans="19:55" ht="15.75" customHeight="1">
      <c r="S226" s="454"/>
      <c r="AY226" s="458"/>
      <c r="AZ226" s="458"/>
      <c r="BA226" s="1305"/>
      <c r="BC226" s="169"/>
    </row>
    <row r="227" spans="19:55" ht="15.75" customHeight="1">
      <c r="S227" s="454"/>
      <c r="AY227" s="458"/>
      <c r="AZ227" s="458"/>
      <c r="BA227" s="1305"/>
      <c r="BC227" s="169"/>
    </row>
    <row r="228" spans="19:55" ht="15.75" customHeight="1">
      <c r="S228" s="454"/>
      <c r="AY228" s="458"/>
      <c r="AZ228" s="458"/>
      <c r="BA228" s="1305"/>
      <c r="BC228" s="169"/>
    </row>
    <row r="229" spans="19:55" ht="15.75" customHeight="1">
      <c r="S229" s="454"/>
      <c r="AY229" s="458"/>
      <c r="AZ229" s="458"/>
      <c r="BA229" s="1305"/>
      <c r="BC229" s="169"/>
    </row>
    <row r="230" spans="19:55" ht="15.75" customHeight="1">
      <c r="S230" s="454"/>
      <c r="AY230" s="458"/>
      <c r="AZ230" s="458"/>
      <c r="BA230" s="1305"/>
      <c r="BC230" s="169"/>
    </row>
    <row r="231" spans="19:55" ht="15.75" customHeight="1">
      <c r="S231" s="454"/>
      <c r="AY231" s="458"/>
      <c r="AZ231" s="458"/>
      <c r="BA231" s="1305"/>
      <c r="BC231" s="169"/>
    </row>
    <row r="232" spans="19:55" ht="15.75" customHeight="1">
      <c r="S232" s="454"/>
      <c r="AY232" s="458"/>
      <c r="AZ232" s="458"/>
      <c r="BA232" s="1305"/>
      <c r="BC232" s="169"/>
    </row>
    <row r="233" spans="19:55" ht="15.75" customHeight="1">
      <c r="S233" s="454"/>
      <c r="AY233" s="458"/>
      <c r="AZ233" s="458"/>
      <c r="BA233" s="1305"/>
      <c r="BC233" s="169"/>
    </row>
    <row r="234" spans="19:55" ht="15.75" customHeight="1">
      <c r="S234" s="454"/>
      <c r="AY234" s="458"/>
      <c r="AZ234" s="458"/>
      <c r="BA234" s="1305"/>
      <c r="BC234" s="169"/>
    </row>
    <row r="235" spans="19:55" ht="15.75" customHeight="1">
      <c r="S235" s="454"/>
      <c r="AY235" s="458"/>
      <c r="AZ235" s="458"/>
      <c r="BA235" s="1305"/>
      <c r="BC235" s="169"/>
    </row>
    <row r="236" spans="19:55" ht="15.75" customHeight="1">
      <c r="S236" s="454"/>
      <c r="AY236" s="458"/>
      <c r="AZ236" s="458"/>
      <c r="BA236" s="1305"/>
      <c r="BC236" s="169"/>
    </row>
    <row r="237" spans="19:55" ht="15.75" customHeight="1">
      <c r="S237" s="454"/>
      <c r="AY237" s="458"/>
      <c r="AZ237" s="458"/>
      <c r="BA237" s="1305"/>
      <c r="BC237" s="169"/>
    </row>
    <row r="238" spans="19:55" ht="15.75" customHeight="1">
      <c r="S238" s="454"/>
      <c r="AY238" s="458"/>
      <c r="AZ238" s="458"/>
      <c r="BA238" s="1305"/>
      <c r="BC238" s="169"/>
    </row>
    <row r="239" spans="19:55" ht="15.75" customHeight="1">
      <c r="S239" s="454"/>
      <c r="AY239" s="458"/>
      <c r="AZ239" s="458"/>
      <c r="BA239" s="1305"/>
      <c r="BC239" s="169"/>
    </row>
    <row r="240" spans="19:55" ht="15.75" customHeight="1">
      <c r="S240" s="454"/>
      <c r="AY240" s="458"/>
      <c r="AZ240" s="458"/>
      <c r="BA240" s="1305"/>
      <c r="BC240" s="169"/>
    </row>
    <row r="241" spans="19:55" ht="15.75" customHeight="1">
      <c r="S241" s="454"/>
      <c r="AY241" s="458"/>
      <c r="AZ241" s="458"/>
      <c r="BA241" s="1305"/>
      <c r="BC241" s="169"/>
    </row>
    <row r="242" spans="19:55" ht="15.75" customHeight="1">
      <c r="S242" s="454"/>
      <c r="AY242" s="458"/>
      <c r="AZ242" s="458"/>
      <c r="BA242" s="1305"/>
      <c r="BC242" s="169"/>
    </row>
    <row r="243" spans="19:55" ht="15.75" customHeight="1">
      <c r="S243" s="454"/>
      <c r="AY243" s="458"/>
      <c r="AZ243" s="458"/>
      <c r="BA243" s="1305"/>
      <c r="BC243" s="169"/>
    </row>
    <row r="244" spans="19:55" ht="15.75" customHeight="1">
      <c r="S244" s="454"/>
      <c r="AY244" s="458"/>
      <c r="AZ244" s="458"/>
      <c r="BA244" s="1305"/>
      <c r="BC244" s="169"/>
    </row>
    <row r="245" spans="19:55" ht="15.75" customHeight="1">
      <c r="S245" s="454"/>
      <c r="AY245" s="458"/>
      <c r="AZ245" s="458"/>
      <c r="BA245" s="1305"/>
      <c r="BC245" s="169"/>
    </row>
    <row r="246" spans="19:55" ht="15.75" customHeight="1">
      <c r="S246" s="454"/>
      <c r="AY246" s="458"/>
      <c r="AZ246" s="458"/>
      <c r="BA246" s="1305"/>
      <c r="BC246" s="169"/>
    </row>
    <row r="247" spans="19:55" ht="15.75" customHeight="1">
      <c r="S247" s="454"/>
      <c r="AY247" s="458"/>
      <c r="AZ247" s="458"/>
      <c r="BA247" s="1305"/>
      <c r="BC247" s="169"/>
    </row>
    <row r="248" spans="19:55" ht="15.75" customHeight="1">
      <c r="S248" s="454"/>
      <c r="AY248" s="458"/>
      <c r="AZ248" s="458"/>
      <c r="BA248" s="1305"/>
      <c r="BC248" s="169"/>
    </row>
    <row r="249" spans="19:55" ht="15.75" customHeight="1">
      <c r="S249" s="454"/>
      <c r="AY249" s="458"/>
      <c r="AZ249" s="458"/>
      <c r="BA249" s="1305"/>
      <c r="BC249" s="169"/>
    </row>
    <row r="250" spans="19:55" ht="15.75" customHeight="1">
      <c r="S250" s="454"/>
      <c r="AY250" s="458"/>
      <c r="AZ250" s="458"/>
      <c r="BA250" s="1305"/>
      <c r="BC250" s="169"/>
    </row>
    <row r="251" spans="19:55" ht="15.75" customHeight="1">
      <c r="S251" s="454"/>
      <c r="AY251" s="458"/>
      <c r="AZ251" s="458"/>
      <c r="BA251" s="1305"/>
      <c r="BC251" s="169"/>
    </row>
    <row r="252" spans="19:55" ht="15.75" customHeight="1">
      <c r="S252" s="454"/>
      <c r="AY252" s="458"/>
      <c r="AZ252" s="458"/>
      <c r="BA252" s="1305"/>
      <c r="BC252" s="169"/>
    </row>
    <row r="253" spans="19:55" ht="15.75" customHeight="1">
      <c r="S253" s="454"/>
      <c r="AY253" s="458"/>
      <c r="AZ253" s="458"/>
      <c r="BA253" s="1305"/>
      <c r="BC253" s="169"/>
    </row>
    <row r="254" spans="19:55" ht="15.75" customHeight="1">
      <c r="S254" s="454"/>
      <c r="AY254" s="458"/>
      <c r="AZ254" s="458"/>
      <c r="BA254" s="1305"/>
      <c r="BC254" s="169"/>
    </row>
    <row r="255" spans="19:55" ht="15.75" customHeight="1">
      <c r="S255" s="454"/>
      <c r="AY255" s="458"/>
      <c r="AZ255" s="458"/>
      <c r="BA255" s="1305"/>
      <c r="BC255" s="169"/>
    </row>
    <row r="256" spans="19:55" ht="15.75" customHeight="1">
      <c r="S256" s="454"/>
      <c r="AY256" s="458"/>
      <c r="AZ256" s="458"/>
      <c r="BA256" s="1305"/>
      <c r="BC256" s="169"/>
    </row>
    <row r="257" spans="19:55" ht="15.75" customHeight="1">
      <c r="S257" s="454"/>
      <c r="AY257" s="458"/>
      <c r="AZ257" s="458"/>
      <c r="BA257" s="1305"/>
      <c r="BC257" s="169"/>
    </row>
    <row r="258" spans="19:55" ht="15.75" customHeight="1">
      <c r="S258" s="454"/>
      <c r="AY258" s="458"/>
      <c r="AZ258" s="458"/>
      <c r="BA258" s="1305"/>
      <c r="BC258" s="169"/>
    </row>
    <row r="259" spans="19:55" ht="15.75" customHeight="1">
      <c r="S259" s="454"/>
      <c r="AY259" s="458"/>
      <c r="AZ259" s="458"/>
      <c r="BA259" s="1305"/>
      <c r="BC259" s="169"/>
    </row>
    <row r="260" spans="19:55" ht="15.75" customHeight="1">
      <c r="S260" s="454"/>
      <c r="AY260" s="458"/>
      <c r="AZ260" s="458"/>
      <c r="BA260" s="1305"/>
      <c r="BC260" s="169"/>
    </row>
    <row r="261" spans="19:55" ht="15.75" customHeight="1">
      <c r="S261" s="454"/>
      <c r="AY261" s="458"/>
      <c r="AZ261" s="458"/>
      <c r="BA261" s="1305"/>
      <c r="BC261" s="169"/>
    </row>
    <row r="262" spans="19:55" ht="15.75" customHeight="1">
      <c r="S262" s="454"/>
      <c r="AY262" s="458"/>
      <c r="AZ262" s="458"/>
      <c r="BA262" s="1305"/>
      <c r="BC262" s="169"/>
    </row>
    <row r="263" spans="19:55" ht="15.75" customHeight="1">
      <c r="S263" s="454"/>
      <c r="AY263" s="458"/>
      <c r="AZ263" s="458"/>
      <c r="BA263" s="1305"/>
      <c r="BC263" s="169"/>
    </row>
    <row r="264" spans="19:55" ht="15.75" customHeight="1">
      <c r="S264" s="454"/>
      <c r="AY264" s="458"/>
      <c r="AZ264" s="458"/>
      <c r="BA264" s="1305"/>
      <c r="BC264" s="169"/>
    </row>
    <row r="265" spans="19:55" ht="15.75" customHeight="1">
      <c r="S265" s="454"/>
      <c r="AY265" s="458"/>
      <c r="AZ265" s="458"/>
      <c r="BA265" s="1305"/>
      <c r="BC265" s="169"/>
    </row>
    <row r="266" spans="19:55" ht="15.75" customHeight="1">
      <c r="S266" s="454"/>
      <c r="AY266" s="458"/>
      <c r="AZ266" s="458"/>
      <c r="BA266" s="1305"/>
      <c r="BC266" s="169"/>
    </row>
    <row r="267" spans="19:55" ht="15.75" customHeight="1">
      <c r="S267" s="454"/>
      <c r="AY267" s="458"/>
      <c r="AZ267" s="458"/>
      <c r="BA267" s="1305"/>
      <c r="BC267" s="169"/>
    </row>
    <row r="268" spans="19:55" ht="15.75" customHeight="1">
      <c r="S268" s="454"/>
      <c r="AY268" s="458"/>
      <c r="AZ268" s="458"/>
      <c r="BA268" s="1305"/>
      <c r="BC268" s="169"/>
    </row>
    <row r="269" spans="19:55" ht="15.75" customHeight="1">
      <c r="S269" s="454"/>
      <c r="AY269" s="458"/>
      <c r="AZ269" s="458"/>
      <c r="BA269" s="1305"/>
      <c r="BC269" s="169"/>
    </row>
    <row r="270" spans="19:55" ht="15.75" customHeight="1">
      <c r="S270" s="454"/>
      <c r="AY270" s="458"/>
      <c r="AZ270" s="458"/>
      <c r="BA270" s="1305"/>
      <c r="BC270" s="169"/>
    </row>
    <row r="271" spans="19:55" ht="15.75" customHeight="1">
      <c r="S271" s="454"/>
      <c r="AY271" s="458"/>
      <c r="AZ271" s="458"/>
      <c r="BA271" s="1305"/>
      <c r="BC271" s="169"/>
    </row>
    <row r="272" spans="19:55" ht="15.75" customHeight="1">
      <c r="S272" s="454"/>
      <c r="AY272" s="458"/>
      <c r="AZ272" s="458"/>
      <c r="BA272" s="1305"/>
      <c r="BC272" s="169"/>
    </row>
    <row r="273" spans="19:55" ht="15.75" customHeight="1">
      <c r="S273" s="454"/>
      <c r="AY273" s="458"/>
      <c r="AZ273" s="458"/>
      <c r="BA273" s="1305"/>
      <c r="BC273" s="169"/>
    </row>
    <row r="274" spans="19:55" ht="15.75" customHeight="1">
      <c r="S274" s="454"/>
      <c r="AY274" s="458"/>
      <c r="AZ274" s="458"/>
      <c r="BA274" s="1305"/>
      <c r="BC274" s="169"/>
    </row>
    <row r="275" spans="19:55" ht="15.75" customHeight="1">
      <c r="S275" s="454"/>
      <c r="AY275" s="458"/>
      <c r="AZ275" s="458"/>
      <c r="BA275" s="1305"/>
      <c r="BC275" s="169"/>
    </row>
    <row r="276" spans="19:55" ht="15.75" customHeight="1">
      <c r="S276" s="454"/>
      <c r="AY276" s="458"/>
      <c r="AZ276" s="458"/>
      <c r="BA276" s="1305"/>
      <c r="BC276" s="169"/>
    </row>
    <row r="277" spans="19:55" ht="15.75" customHeight="1">
      <c r="S277" s="454"/>
      <c r="AY277" s="458"/>
      <c r="AZ277" s="458"/>
      <c r="BA277" s="1305"/>
      <c r="BC277" s="169"/>
    </row>
    <row r="278" spans="19:55" ht="15.75" customHeight="1">
      <c r="S278" s="454"/>
      <c r="AY278" s="458"/>
      <c r="AZ278" s="458"/>
      <c r="BA278" s="1305"/>
      <c r="BC278" s="169"/>
    </row>
    <row r="279" spans="19:55" ht="15.75" customHeight="1">
      <c r="S279" s="454"/>
      <c r="AY279" s="458"/>
      <c r="AZ279" s="458"/>
      <c r="BA279" s="1305"/>
      <c r="BC279" s="169"/>
    </row>
    <row r="280" spans="19:55" ht="15.75" customHeight="1">
      <c r="S280" s="454"/>
      <c r="AY280" s="458"/>
      <c r="AZ280" s="458"/>
      <c r="BA280" s="1305"/>
      <c r="BC280" s="169"/>
    </row>
    <row r="281" spans="19:55" ht="15.75" customHeight="1">
      <c r="S281" s="454"/>
      <c r="AY281" s="458"/>
      <c r="AZ281" s="458"/>
      <c r="BA281" s="1305"/>
      <c r="BC281" s="169"/>
    </row>
    <row r="282" spans="19:55" ht="15.75" customHeight="1">
      <c r="S282" s="454"/>
      <c r="AY282" s="458"/>
      <c r="AZ282" s="458"/>
      <c r="BA282" s="1305"/>
      <c r="BC282" s="169"/>
    </row>
    <row r="283" spans="19:55" ht="15.75" customHeight="1">
      <c r="S283" s="454"/>
      <c r="AY283" s="458"/>
      <c r="AZ283" s="458"/>
      <c r="BA283" s="1305"/>
      <c r="BC283" s="169"/>
    </row>
    <row r="284" spans="19:55" ht="15.75" customHeight="1">
      <c r="S284" s="454"/>
      <c r="AY284" s="458"/>
      <c r="AZ284" s="458"/>
      <c r="BA284" s="1305"/>
      <c r="BC284" s="169"/>
    </row>
    <row r="285" spans="19:55" ht="15.75" customHeight="1">
      <c r="S285" s="454"/>
      <c r="AY285" s="458"/>
      <c r="AZ285" s="458"/>
      <c r="BA285" s="1305"/>
      <c r="BC285" s="169"/>
    </row>
    <row r="286" spans="19:55" ht="15.75" customHeight="1">
      <c r="S286" s="454"/>
      <c r="AY286" s="458"/>
      <c r="AZ286" s="458"/>
      <c r="BA286" s="1305"/>
      <c r="BC286" s="169"/>
    </row>
    <row r="287" spans="19:55" ht="15.75" customHeight="1">
      <c r="S287" s="454"/>
      <c r="AY287" s="458"/>
      <c r="AZ287" s="458"/>
      <c r="BA287" s="1305"/>
      <c r="BC287" s="169"/>
    </row>
    <row r="288" spans="19:55" ht="15.75" customHeight="1">
      <c r="S288" s="454"/>
      <c r="AY288" s="458"/>
      <c r="AZ288" s="458"/>
      <c r="BA288" s="1305"/>
      <c r="BC288" s="169"/>
    </row>
    <row r="289" spans="19:55" ht="15.75" customHeight="1">
      <c r="S289" s="454"/>
      <c r="AY289" s="458"/>
      <c r="AZ289" s="458"/>
      <c r="BA289" s="1305"/>
      <c r="BC289" s="169"/>
    </row>
    <row r="290" spans="19:55" ht="15.75" customHeight="1">
      <c r="S290" s="454"/>
      <c r="AY290" s="458"/>
      <c r="AZ290" s="458"/>
      <c r="BA290" s="1305"/>
      <c r="BC290" s="169"/>
    </row>
    <row r="291" spans="19:55" ht="15.75" customHeight="1">
      <c r="S291" s="454"/>
      <c r="AY291" s="458"/>
      <c r="AZ291" s="458"/>
      <c r="BA291" s="1305"/>
      <c r="BC291" s="169"/>
    </row>
    <row r="292" spans="19:55" ht="15.75" customHeight="1">
      <c r="S292" s="454"/>
      <c r="AY292" s="458"/>
      <c r="AZ292" s="458"/>
      <c r="BA292" s="1305"/>
      <c r="BC292" s="169"/>
    </row>
    <row r="293" spans="19:55" ht="15.75" customHeight="1">
      <c r="S293" s="454"/>
      <c r="AY293" s="458"/>
      <c r="AZ293" s="458"/>
      <c r="BA293" s="1305"/>
      <c r="BC293" s="169"/>
    </row>
    <row r="294" spans="19:55" ht="15.75" customHeight="1">
      <c r="S294" s="454"/>
      <c r="AY294" s="458"/>
      <c r="AZ294" s="458"/>
      <c r="BA294" s="1305"/>
      <c r="BC294" s="169"/>
    </row>
    <row r="295" spans="19:55" ht="15.75" customHeight="1">
      <c r="S295" s="454"/>
      <c r="AY295" s="458"/>
      <c r="AZ295" s="458"/>
      <c r="BA295" s="1305"/>
      <c r="BC295" s="169"/>
    </row>
    <row r="296" spans="19:55" ht="15.75" customHeight="1">
      <c r="S296" s="454"/>
      <c r="AY296" s="458"/>
      <c r="AZ296" s="458"/>
      <c r="BA296" s="1305"/>
      <c r="BC296" s="169"/>
    </row>
    <row r="297" spans="19:55" ht="15.75" customHeight="1">
      <c r="S297" s="454"/>
      <c r="AY297" s="458"/>
      <c r="AZ297" s="458"/>
      <c r="BA297" s="1305"/>
      <c r="BC297" s="169"/>
    </row>
    <row r="298" spans="19:55" ht="15.75" customHeight="1">
      <c r="S298" s="454"/>
      <c r="AY298" s="458"/>
      <c r="AZ298" s="458"/>
      <c r="BA298" s="1305"/>
      <c r="BC298" s="169"/>
    </row>
    <row r="299" spans="19:55" ht="15.75" customHeight="1">
      <c r="S299" s="454"/>
      <c r="AY299" s="458"/>
      <c r="AZ299" s="458"/>
      <c r="BA299" s="1305"/>
      <c r="BC299" s="169"/>
    </row>
    <row r="300" spans="19:55" ht="15.75" customHeight="1">
      <c r="S300" s="454"/>
      <c r="AY300" s="458"/>
      <c r="AZ300" s="458"/>
      <c r="BA300" s="1305"/>
      <c r="BC300" s="169"/>
    </row>
    <row r="301" spans="19:55" ht="15.75" customHeight="1">
      <c r="S301" s="454"/>
      <c r="AY301" s="458"/>
      <c r="AZ301" s="458"/>
      <c r="BA301" s="1305"/>
      <c r="BC301" s="169"/>
    </row>
    <row r="302" spans="19:55" ht="15.75" customHeight="1">
      <c r="S302" s="454"/>
      <c r="AY302" s="458"/>
      <c r="AZ302" s="458"/>
      <c r="BA302" s="1305"/>
      <c r="BC302" s="169"/>
    </row>
    <row r="303" spans="19:55" ht="15.75" customHeight="1">
      <c r="S303" s="454"/>
      <c r="AY303" s="458"/>
      <c r="AZ303" s="458"/>
      <c r="BA303" s="1305"/>
      <c r="BC303" s="169"/>
    </row>
    <row r="304" spans="19:55" ht="15.75" customHeight="1">
      <c r="S304" s="454"/>
      <c r="AY304" s="458"/>
      <c r="AZ304" s="458"/>
      <c r="BA304" s="1305"/>
      <c r="BC304" s="169"/>
    </row>
    <row r="305" spans="19:55" ht="15.75" customHeight="1">
      <c r="S305" s="454"/>
      <c r="AY305" s="458"/>
      <c r="AZ305" s="458"/>
      <c r="BA305" s="1305"/>
      <c r="BC305" s="169"/>
    </row>
    <row r="306" spans="19:55" ht="15.75" customHeight="1">
      <c r="S306" s="454"/>
      <c r="AY306" s="458"/>
      <c r="AZ306" s="458"/>
      <c r="BA306" s="1305"/>
      <c r="BC306" s="169"/>
    </row>
    <row r="307" spans="19:55" ht="15.75" customHeight="1">
      <c r="S307" s="454"/>
      <c r="AY307" s="458"/>
      <c r="AZ307" s="458"/>
      <c r="BA307" s="1305"/>
      <c r="BC307" s="169"/>
    </row>
    <row r="308" spans="19:55" ht="15.75" customHeight="1">
      <c r="S308" s="454"/>
      <c r="AY308" s="458"/>
      <c r="AZ308" s="458"/>
      <c r="BA308" s="1305"/>
      <c r="BC308" s="169"/>
    </row>
    <row r="309" spans="19:55" ht="15.75" customHeight="1">
      <c r="S309" s="454"/>
      <c r="AY309" s="458"/>
      <c r="AZ309" s="458"/>
      <c r="BA309" s="1305"/>
      <c r="BC309" s="169"/>
    </row>
    <row r="310" spans="19:55" ht="15.75" customHeight="1">
      <c r="S310" s="454"/>
      <c r="AY310" s="458"/>
      <c r="AZ310" s="458"/>
      <c r="BA310" s="1305"/>
      <c r="BC310" s="169"/>
    </row>
    <row r="311" spans="19:55" ht="15.75" customHeight="1">
      <c r="S311" s="454"/>
      <c r="AY311" s="458"/>
      <c r="AZ311" s="458"/>
      <c r="BA311" s="1305"/>
      <c r="BC311" s="169"/>
    </row>
    <row r="312" spans="19:55" ht="15.75" customHeight="1">
      <c r="S312" s="454"/>
      <c r="AY312" s="458"/>
      <c r="AZ312" s="458"/>
      <c r="BA312" s="1305"/>
      <c r="BC312" s="169"/>
    </row>
    <row r="313" spans="19:55" ht="15.75" customHeight="1">
      <c r="S313" s="454"/>
      <c r="AY313" s="458"/>
      <c r="AZ313" s="458"/>
      <c r="BA313" s="1305"/>
      <c r="BC313" s="169"/>
    </row>
    <row r="314" spans="19:55" ht="15.75" customHeight="1">
      <c r="S314" s="454"/>
      <c r="AY314" s="458"/>
      <c r="AZ314" s="458"/>
      <c r="BA314" s="1305"/>
      <c r="BC314" s="169"/>
    </row>
    <row r="315" spans="19:55" ht="15.75" customHeight="1">
      <c r="S315" s="454"/>
      <c r="AY315" s="458"/>
      <c r="AZ315" s="458"/>
      <c r="BA315" s="1305"/>
      <c r="BC315" s="169"/>
    </row>
    <row r="316" spans="19:55" ht="15.75" customHeight="1">
      <c r="S316" s="454"/>
      <c r="AY316" s="458"/>
      <c r="AZ316" s="458"/>
      <c r="BA316" s="1305"/>
      <c r="BC316" s="169"/>
    </row>
    <row r="317" spans="19:55" ht="15.75" customHeight="1">
      <c r="S317" s="454"/>
      <c r="AY317" s="458"/>
      <c r="AZ317" s="458"/>
      <c r="BA317" s="1305"/>
      <c r="BC317" s="169"/>
    </row>
    <row r="318" spans="19:55" ht="15.75" customHeight="1">
      <c r="S318" s="454"/>
      <c r="AY318" s="458"/>
      <c r="AZ318" s="458"/>
      <c r="BA318" s="1305"/>
      <c r="BC318" s="169"/>
    </row>
    <row r="319" spans="19:55" ht="15.75" customHeight="1">
      <c r="S319" s="454"/>
      <c r="AY319" s="458"/>
      <c r="AZ319" s="458"/>
      <c r="BA319" s="1305"/>
      <c r="BC319" s="169"/>
    </row>
    <row r="320" spans="19:55" ht="15.75" customHeight="1">
      <c r="S320" s="454"/>
      <c r="AY320" s="458"/>
      <c r="AZ320" s="458"/>
      <c r="BA320" s="1305"/>
      <c r="BC320" s="169"/>
    </row>
    <row r="321" spans="19:55" ht="15.75" customHeight="1">
      <c r="S321" s="454"/>
      <c r="AY321" s="458"/>
      <c r="AZ321" s="458"/>
      <c r="BA321" s="1305"/>
      <c r="BC321" s="169"/>
    </row>
    <row r="322" spans="19:55" ht="15.75" customHeight="1">
      <c r="S322" s="454"/>
      <c r="AY322" s="458"/>
      <c r="AZ322" s="458"/>
      <c r="BA322" s="1305"/>
      <c r="BC322" s="169"/>
    </row>
    <row r="323" spans="19:55" ht="15.75" customHeight="1">
      <c r="S323" s="454"/>
      <c r="AY323" s="458"/>
      <c r="AZ323" s="458"/>
      <c r="BA323" s="1305"/>
      <c r="BC323" s="169"/>
    </row>
    <row r="324" spans="19:55" ht="15.75" customHeight="1">
      <c r="S324" s="454"/>
      <c r="AY324" s="458"/>
      <c r="AZ324" s="458"/>
      <c r="BA324" s="1305"/>
      <c r="BC324" s="169"/>
    </row>
    <row r="325" spans="19:55" ht="15.75" customHeight="1">
      <c r="S325" s="454"/>
      <c r="AY325" s="458"/>
      <c r="AZ325" s="458"/>
      <c r="BA325" s="1305"/>
      <c r="BC325" s="169"/>
    </row>
    <row r="326" spans="19:55" ht="15.75" customHeight="1">
      <c r="S326" s="454"/>
      <c r="AY326" s="458"/>
      <c r="AZ326" s="458"/>
      <c r="BA326" s="1305"/>
      <c r="BC326" s="169"/>
    </row>
    <row r="327" spans="19:55" ht="15.75" customHeight="1">
      <c r="S327" s="454"/>
      <c r="AY327" s="458"/>
      <c r="AZ327" s="458"/>
      <c r="BA327" s="1305"/>
      <c r="BC327" s="169"/>
    </row>
    <row r="328" spans="19:55" ht="15.75" customHeight="1">
      <c r="S328" s="454"/>
      <c r="AY328" s="458"/>
      <c r="AZ328" s="458"/>
      <c r="BA328" s="1305"/>
      <c r="BC328" s="169"/>
    </row>
    <row r="329" spans="19:55" ht="15.75" customHeight="1">
      <c r="S329" s="454"/>
      <c r="AY329" s="458"/>
      <c r="AZ329" s="458"/>
      <c r="BA329" s="1305"/>
      <c r="BC329" s="169"/>
    </row>
    <row r="330" spans="19:55" ht="15.75" customHeight="1">
      <c r="S330" s="454"/>
      <c r="AY330" s="458"/>
      <c r="AZ330" s="458"/>
      <c r="BA330" s="1305"/>
      <c r="BC330" s="169"/>
    </row>
    <row r="331" spans="19:55" ht="15.75" customHeight="1">
      <c r="S331" s="454"/>
      <c r="AY331" s="458"/>
      <c r="AZ331" s="458"/>
      <c r="BA331" s="1305"/>
      <c r="BC331" s="169"/>
    </row>
    <row r="332" spans="19:55" ht="15.75" customHeight="1">
      <c r="S332" s="454"/>
      <c r="AY332" s="458"/>
      <c r="AZ332" s="458"/>
      <c r="BA332" s="1305"/>
      <c r="BC332" s="169"/>
    </row>
    <row r="333" spans="19:55" ht="15.75" customHeight="1">
      <c r="S333" s="454"/>
      <c r="AY333" s="458"/>
      <c r="AZ333" s="458"/>
      <c r="BA333" s="1305"/>
      <c r="BC333" s="169"/>
    </row>
    <row r="334" spans="19:55" ht="15.75" customHeight="1">
      <c r="S334" s="454"/>
      <c r="AY334" s="458"/>
      <c r="AZ334" s="458"/>
      <c r="BA334" s="1305"/>
      <c r="BC334" s="169"/>
    </row>
    <row r="335" spans="19:55" ht="15.75" customHeight="1">
      <c r="S335" s="454"/>
      <c r="AY335" s="458"/>
      <c r="AZ335" s="458"/>
      <c r="BA335" s="1305"/>
      <c r="BC335" s="169"/>
    </row>
    <row r="336" spans="19:55" ht="15.75" customHeight="1">
      <c r="S336" s="454"/>
      <c r="AY336" s="458"/>
      <c r="AZ336" s="458"/>
      <c r="BA336" s="1305"/>
      <c r="BC336" s="169"/>
    </row>
    <row r="337" spans="19:55" ht="15.75" customHeight="1">
      <c r="S337" s="454"/>
      <c r="AY337" s="458"/>
      <c r="AZ337" s="458"/>
      <c r="BA337" s="1305"/>
      <c r="BC337" s="169"/>
    </row>
    <row r="338" spans="19:55" ht="15.75" customHeight="1">
      <c r="S338" s="454"/>
      <c r="AY338" s="458"/>
      <c r="AZ338" s="458"/>
      <c r="BA338" s="1305"/>
      <c r="BC338" s="169"/>
    </row>
    <row r="339" spans="19:55" ht="15.75" customHeight="1">
      <c r="S339" s="454"/>
      <c r="AY339" s="458"/>
      <c r="AZ339" s="458"/>
      <c r="BA339" s="1305"/>
      <c r="BC339" s="169"/>
    </row>
    <row r="340" spans="19:55" ht="15.75" customHeight="1">
      <c r="S340" s="454"/>
      <c r="AY340" s="458"/>
      <c r="AZ340" s="458"/>
      <c r="BA340" s="1305"/>
      <c r="BC340" s="169"/>
    </row>
    <row r="341" spans="19:55" ht="15.75" customHeight="1">
      <c r="S341" s="454"/>
      <c r="AY341" s="458"/>
      <c r="AZ341" s="458"/>
      <c r="BA341" s="1305"/>
      <c r="BC341" s="169"/>
    </row>
    <row r="342" spans="19:55" ht="15.75" customHeight="1">
      <c r="S342" s="454"/>
      <c r="AY342" s="458"/>
      <c r="AZ342" s="458"/>
      <c r="BA342" s="1305"/>
      <c r="BC342" s="169"/>
    </row>
    <row r="343" spans="19:55" ht="15.75" customHeight="1">
      <c r="S343" s="454"/>
      <c r="AY343" s="458"/>
      <c r="AZ343" s="458"/>
      <c r="BA343" s="1305"/>
      <c r="BC343" s="169"/>
    </row>
    <row r="344" spans="19:55" ht="15.75" customHeight="1">
      <c r="S344" s="454"/>
      <c r="AY344" s="458"/>
      <c r="AZ344" s="458"/>
      <c r="BA344" s="1305"/>
      <c r="BC344" s="169"/>
    </row>
    <row r="345" spans="19:55" ht="15.75" customHeight="1">
      <c r="S345" s="454"/>
      <c r="AY345" s="458"/>
      <c r="AZ345" s="458"/>
      <c r="BA345" s="1305"/>
      <c r="BC345" s="169"/>
    </row>
    <row r="346" spans="19:55" ht="15.75" customHeight="1">
      <c r="S346" s="454"/>
      <c r="AY346" s="458"/>
      <c r="AZ346" s="458"/>
      <c r="BA346" s="1305"/>
      <c r="BC346" s="169"/>
    </row>
    <row r="347" spans="19:55" ht="15.75" customHeight="1">
      <c r="S347" s="454"/>
      <c r="AY347" s="458"/>
      <c r="AZ347" s="458"/>
      <c r="BA347" s="1305"/>
      <c r="BC347" s="169"/>
    </row>
    <row r="348" spans="19:55" ht="15.75" customHeight="1">
      <c r="S348" s="454"/>
      <c r="AY348" s="458"/>
      <c r="AZ348" s="458"/>
      <c r="BA348" s="1305"/>
      <c r="BC348" s="169"/>
    </row>
    <row r="349" spans="19:55" ht="15.75" customHeight="1">
      <c r="S349" s="454"/>
      <c r="AY349" s="458"/>
      <c r="AZ349" s="458"/>
      <c r="BA349" s="1305"/>
      <c r="BC349" s="169"/>
    </row>
    <row r="350" spans="19:55" ht="15.75" customHeight="1">
      <c r="S350" s="454"/>
      <c r="AY350" s="458"/>
      <c r="AZ350" s="458"/>
      <c r="BA350" s="1305"/>
      <c r="BC350" s="169"/>
    </row>
    <row r="351" spans="19:55" ht="15.75" customHeight="1">
      <c r="S351" s="454"/>
      <c r="AY351" s="458"/>
      <c r="AZ351" s="458"/>
      <c r="BA351" s="1305"/>
      <c r="BC351" s="169"/>
    </row>
    <row r="352" spans="19:55" ht="15.75" customHeight="1">
      <c r="S352" s="454"/>
      <c r="AY352" s="458"/>
      <c r="AZ352" s="458"/>
      <c r="BA352" s="1305"/>
      <c r="BC352" s="169"/>
    </row>
    <row r="353" spans="19:55" ht="15.75" customHeight="1">
      <c r="S353" s="454"/>
      <c r="AY353" s="458"/>
      <c r="AZ353" s="458"/>
      <c r="BA353" s="1305"/>
      <c r="BC353" s="169"/>
    </row>
    <row r="354" spans="19:55" ht="15.75" customHeight="1">
      <c r="S354" s="454"/>
      <c r="AY354" s="458"/>
      <c r="AZ354" s="458"/>
      <c r="BA354" s="1305"/>
      <c r="BC354" s="169"/>
    </row>
    <row r="355" spans="19:55" ht="15.75" customHeight="1">
      <c r="S355" s="454"/>
      <c r="AY355" s="458"/>
      <c r="AZ355" s="458"/>
      <c r="BA355" s="1305"/>
      <c r="BC355" s="169"/>
    </row>
    <row r="356" spans="19:55" ht="15.75" customHeight="1">
      <c r="S356" s="454"/>
      <c r="AY356" s="458"/>
      <c r="AZ356" s="458"/>
      <c r="BA356" s="1305"/>
      <c r="BC356" s="169"/>
    </row>
    <row r="357" spans="19:55" ht="15.75" customHeight="1">
      <c r="S357" s="454"/>
      <c r="AY357" s="458"/>
      <c r="AZ357" s="458"/>
      <c r="BA357" s="1305"/>
      <c r="BC357" s="169"/>
    </row>
    <row r="358" spans="19:55" ht="15.75" customHeight="1">
      <c r="S358" s="454"/>
      <c r="AY358" s="458"/>
      <c r="AZ358" s="458"/>
      <c r="BA358" s="1305"/>
      <c r="BC358" s="169"/>
    </row>
    <row r="359" spans="19:55" ht="15.75" customHeight="1">
      <c r="S359" s="454"/>
      <c r="AY359" s="458"/>
      <c r="AZ359" s="458"/>
      <c r="BA359" s="1305"/>
      <c r="BC359" s="169"/>
    </row>
    <row r="360" spans="19:55" ht="15.75" customHeight="1">
      <c r="S360" s="454"/>
      <c r="AY360" s="458"/>
      <c r="AZ360" s="458"/>
      <c r="BA360" s="1305"/>
      <c r="BC360" s="169"/>
    </row>
    <row r="361" spans="19:55" ht="15.75" customHeight="1">
      <c r="S361" s="454"/>
      <c r="AY361" s="458"/>
      <c r="AZ361" s="458"/>
      <c r="BA361" s="1305"/>
      <c r="BC361" s="169"/>
    </row>
    <row r="362" spans="19:55" ht="15.75" customHeight="1">
      <c r="S362" s="454"/>
      <c r="AY362" s="458"/>
      <c r="AZ362" s="458"/>
      <c r="BA362" s="1305"/>
      <c r="BC362" s="169"/>
    </row>
    <row r="363" spans="19:55" ht="15.75" customHeight="1">
      <c r="S363" s="454"/>
      <c r="AY363" s="458"/>
      <c r="AZ363" s="458"/>
      <c r="BA363" s="1305"/>
      <c r="BC363" s="169"/>
    </row>
    <row r="364" spans="19:55" ht="15.75" customHeight="1">
      <c r="S364" s="454"/>
      <c r="AY364" s="458"/>
      <c r="AZ364" s="458"/>
      <c r="BA364" s="1305"/>
      <c r="BC364" s="169"/>
    </row>
    <row r="365" spans="19:55" ht="15.75" customHeight="1">
      <c r="S365" s="454"/>
      <c r="AY365" s="458"/>
      <c r="AZ365" s="458"/>
      <c r="BA365" s="1305"/>
      <c r="BC365" s="169"/>
    </row>
    <row r="366" spans="19:55" ht="15.75" customHeight="1">
      <c r="S366" s="454"/>
      <c r="AY366" s="458"/>
      <c r="AZ366" s="458"/>
      <c r="BA366" s="1305"/>
      <c r="BC366" s="169"/>
    </row>
    <row r="367" spans="19:55" ht="15.75" customHeight="1">
      <c r="S367" s="454"/>
      <c r="AY367" s="458"/>
      <c r="AZ367" s="458"/>
      <c r="BA367" s="1305"/>
      <c r="BC367" s="169"/>
    </row>
    <row r="368" spans="19:55" ht="15.75" customHeight="1">
      <c r="S368" s="454"/>
      <c r="AY368" s="458"/>
      <c r="AZ368" s="458"/>
      <c r="BA368" s="1305"/>
      <c r="BC368" s="169"/>
    </row>
    <row r="369" spans="19:55" ht="15.75" customHeight="1">
      <c r="S369" s="454"/>
      <c r="AY369" s="458"/>
      <c r="AZ369" s="458"/>
      <c r="BA369" s="1305"/>
      <c r="BC369" s="169"/>
    </row>
    <row r="370" spans="19:55" ht="15.75" customHeight="1">
      <c r="S370" s="454"/>
      <c r="AY370" s="458"/>
      <c r="AZ370" s="458"/>
      <c r="BA370" s="1305"/>
      <c r="BC370" s="169"/>
    </row>
    <row r="371" spans="19:55" ht="15.75" customHeight="1">
      <c r="S371" s="454"/>
      <c r="AY371" s="458"/>
      <c r="AZ371" s="458"/>
      <c r="BA371" s="1305"/>
      <c r="BC371" s="169"/>
    </row>
    <row r="372" spans="19:55" ht="15.75" customHeight="1">
      <c r="S372" s="454"/>
      <c r="AY372" s="458"/>
      <c r="AZ372" s="458"/>
      <c r="BA372" s="1305"/>
      <c r="BC372" s="169"/>
    </row>
    <row r="373" spans="19:55" ht="15.75" customHeight="1">
      <c r="S373" s="454"/>
      <c r="AY373" s="458"/>
      <c r="AZ373" s="458"/>
      <c r="BA373" s="1305"/>
      <c r="BC373" s="169"/>
    </row>
    <row r="374" spans="19:55" ht="15.75" customHeight="1">
      <c r="S374" s="454"/>
      <c r="AY374" s="458"/>
      <c r="AZ374" s="458"/>
      <c r="BA374" s="1305"/>
      <c r="BC374" s="169"/>
    </row>
    <row r="375" spans="19:55" ht="15.75" customHeight="1">
      <c r="S375" s="454"/>
      <c r="AY375" s="458"/>
      <c r="AZ375" s="458"/>
      <c r="BA375" s="1305"/>
      <c r="BC375" s="169"/>
    </row>
    <row r="376" spans="19:55" ht="15.75" customHeight="1">
      <c r="S376" s="454"/>
      <c r="AY376" s="458"/>
      <c r="AZ376" s="458"/>
      <c r="BA376" s="1305"/>
      <c r="BC376" s="169"/>
    </row>
    <row r="377" spans="19:55" ht="15.75" customHeight="1">
      <c r="S377" s="454"/>
      <c r="AY377" s="458"/>
      <c r="AZ377" s="458"/>
      <c r="BA377" s="1305"/>
      <c r="BC377" s="169"/>
    </row>
    <row r="378" spans="19:55" ht="15.75" customHeight="1">
      <c r="S378" s="454"/>
      <c r="AY378" s="458"/>
      <c r="AZ378" s="458"/>
      <c r="BA378" s="1305"/>
      <c r="BC378" s="169"/>
    </row>
    <row r="379" spans="19:55" ht="15.75" customHeight="1">
      <c r="S379" s="454"/>
      <c r="AY379" s="458"/>
      <c r="AZ379" s="458"/>
      <c r="BA379" s="1305"/>
      <c r="BC379" s="169"/>
    </row>
    <row r="380" spans="19:55" ht="15.75" customHeight="1">
      <c r="S380" s="454"/>
      <c r="AY380" s="458"/>
      <c r="AZ380" s="458"/>
      <c r="BA380" s="1305"/>
      <c r="BC380" s="169"/>
    </row>
    <row r="381" spans="19:55" ht="15.75" customHeight="1">
      <c r="S381" s="454"/>
      <c r="AY381" s="458"/>
      <c r="AZ381" s="458"/>
      <c r="BA381" s="1305"/>
      <c r="BC381" s="169"/>
    </row>
    <row r="382" spans="19:55" ht="15.75" customHeight="1">
      <c r="S382" s="454"/>
      <c r="AY382" s="458"/>
      <c r="AZ382" s="458"/>
      <c r="BA382" s="1305"/>
      <c r="BC382" s="169"/>
    </row>
    <row r="383" spans="19:55" ht="15.75" customHeight="1">
      <c r="S383" s="454"/>
      <c r="AY383" s="458"/>
      <c r="AZ383" s="458"/>
      <c r="BA383" s="1305"/>
      <c r="BC383" s="169"/>
    </row>
    <row r="384" spans="19:55" ht="15.75" customHeight="1">
      <c r="S384" s="454"/>
      <c r="AY384" s="458"/>
      <c r="AZ384" s="458"/>
      <c r="BA384" s="1305"/>
      <c r="BC384" s="169"/>
    </row>
    <row r="385" spans="19:55" ht="15.75" customHeight="1">
      <c r="S385" s="454"/>
      <c r="AY385" s="458"/>
      <c r="AZ385" s="458"/>
      <c r="BA385" s="1305"/>
      <c r="BC385" s="169"/>
    </row>
    <row r="386" spans="19:55" ht="15.75" customHeight="1">
      <c r="S386" s="454"/>
      <c r="AY386" s="458"/>
      <c r="AZ386" s="458"/>
      <c r="BA386" s="1305"/>
      <c r="BC386" s="169"/>
    </row>
    <row r="387" spans="19:55" ht="15.75" customHeight="1">
      <c r="S387" s="454"/>
      <c r="AY387" s="458"/>
      <c r="AZ387" s="458"/>
      <c r="BA387" s="1305"/>
      <c r="BC387" s="169"/>
    </row>
    <row r="388" spans="19:55" ht="15.75" customHeight="1">
      <c r="S388" s="454"/>
      <c r="AY388" s="458"/>
      <c r="AZ388" s="458"/>
      <c r="BA388" s="1305"/>
      <c r="BC388" s="169"/>
    </row>
    <row r="389" spans="19:55" ht="15.75" customHeight="1">
      <c r="S389" s="454"/>
      <c r="AY389" s="458"/>
      <c r="AZ389" s="458"/>
      <c r="BA389" s="1305"/>
      <c r="BC389" s="169"/>
    </row>
    <row r="390" spans="19:55" ht="15.75" customHeight="1">
      <c r="S390" s="454"/>
      <c r="AY390" s="458"/>
      <c r="AZ390" s="458"/>
      <c r="BA390" s="1305"/>
      <c r="BC390" s="169"/>
    </row>
    <row r="391" spans="19:55" ht="15.75" customHeight="1">
      <c r="S391" s="454"/>
      <c r="AY391" s="458"/>
      <c r="AZ391" s="458"/>
      <c r="BA391" s="1305"/>
      <c r="BC391" s="169"/>
    </row>
    <row r="392" spans="19:55" ht="15.75" customHeight="1">
      <c r="S392" s="454"/>
      <c r="AY392" s="458"/>
      <c r="AZ392" s="458"/>
      <c r="BA392" s="1305"/>
      <c r="BC392" s="169"/>
    </row>
    <row r="393" spans="19:55" ht="15.75" customHeight="1">
      <c r="S393" s="454"/>
      <c r="AY393" s="458"/>
      <c r="AZ393" s="458"/>
      <c r="BA393" s="1305"/>
      <c r="BC393" s="169"/>
    </row>
    <row r="394" spans="19:55" ht="15.75" customHeight="1">
      <c r="S394" s="454"/>
      <c r="AY394" s="458"/>
      <c r="AZ394" s="458"/>
      <c r="BA394" s="1305"/>
      <c r="BC394" s="169"/>
    </row>
    <row r="395" spans="19:55" ht="15.75" customHeight="1">
      <c r="S395" s="454"/>
      <c r="AY395" s="458"/>
      <c r="AZ395" s="458"/>
      <c r="BA395" s="1305"/>
      <c r="BC395" s="169"/>
    </row>
    <row r="396" spans="19:55" ht="15.75" customHeight="1">
      <c r="S396" s="454"/>
      <c r="AY396" s="458"/>
      <c r="AZ396" s="458"/>
      <c r="BA396" s="1305"/>
      <c r="BC396" s="169"/>
    </row>
    <row r="397" spans="19:55" ht="15.75" customHeight="1">
      <c r="S397" s="454"/>
      <c r="AY397" s="458"/>
      <c r="AZ397" s="458"/>
      <c r="BA397" s="1305"/>
      <c r="BC397" s="169"/>
    </row>
    <row r="398" spans="19:55" ht="15.75" customHeight="1">
      <c r="S398" s="454"/>
      <c r="AY398" s="458"/>
      <c r="AZ398" s="458"/>
      <c r="BA398" s="1305"/>
      <c r="BC398" s="169"/>
    </row>
    <row r="399" spans="19:55" ht="15.75" customHeight="1">
      <c r="S399" s="454"/>
      <c r="AY399" s="458"/>
      <c r="AZ399" s="458"/>
      <c r="BA399" s="1305"/>
      <c r="BC399" s="169"/>
    </row>
    <row r="400" spans="19:55" ht="15.75" customHeight="1">
      <c r="S400" s="454"/>
      <c r="AY400" s="458"/>
      <c r="AZ400" s="458"/>
      <c r="BA400" s="1305"/>
      <c r="BC400" s="169"/>
    </row>
    <row r="401" spans="19:55" ht="15.75" customHeight="1">
      <c r="S401" s="454"/>
      <c r="AY401" s="458"/>
      <c r="AZ401" s="458"/>
      <c r="BA401" s="1305"/>
      <c r="BC401" s="169"/>
    </row>
    <row r="402" spans="19:55" ht="15.75" customHeight="1">
      <c r="S402" s="454"/>
      <c r="AY402" s="458"/>
      <c r="AZ402" s="458"/>
      <c r="BA402" s="1305"/>
      <c r="BC402" s="169"/>
    </row>
    <row r="403" spans="19:55" ht="15.75" customHeight="1">
      <c r="S403" s="454"/>
      <c r="AY403" s="458"/>
      <c r="AZ403" s="458"/>
      <c r="BA403" s="1305"/>
      <c r="BC403" s="169"/>
    </row>
    <row r="404" spans="19:55" ht="15.75" customHeight="1">
      <c r="S404" s="454"/>
      <c r="AY404" s="458"/>
      <c r="AZ404" s="458"/>
      <c r="BA404" s="1305"/>
      <c r="BC404" s="169"/>
    </row>
    <row r="405" spans="19:55" ht="15.75" customHeight="1">
      <c r="S405" s="454"/>
      <c r="AY405" s="458"/>
      <c r="AZ405" s="458"/>
      <c r="BA405" s="1305"/>
      <c r="BC405" s="169"/>
    </row>
    <row r="406" spans="19:55" ht="15.75" customHeight="1">
      <c r="S406" s="454"/>
      <c r="AY406" s="458"/>
      <c r="AZ406" s="458"/>
      <c r="BA406" s="1305"/>
      <c r="BC406" s="169"/>
    </row>
    <row r="407" spans="19:55" ht="15.75" customHeight="1">
      <c r="S407" s="454"/>
      <c r="AY407" s="458"/>
      <c r="AZ407" s="458"/>
      <c r="BA407" s="1305"/>
      <c r="BC407" s="169"/>
    </row>
    <row r="408" spans="19:55" ht="15.75" customHeight="1">
      <c r="S408" s="454"/>
      <c r="AY408" s="458"/>
      <c r="AZ408" s="458"/>
      <c r="BA408" s="1305"/>
      <c r="BC408" s="169"/>
    </row>
    <row r="409" spans="19:55" ht="15.75" customHeight="1">
      <c r="S409" s="454"/>
      <c r="AY409" s="458"/>
      <c r="AZ409" s="458"/>
      <c r="BA409" s="1305"/>
      <c r="BC409" s="169"/>
    </row>
    <row r="410" spans="19:55" ht="15.75" customHeight="1">
      <c r="S410" s="454"/>
      <c r="AY410" s="458"/>
      <c r="AZ410" s="458"/>
      <c r="BA410" s="1305"/>
      <c r="BC410" s="169"/>
    </row>
    <row r="411" spans="19:55" ht="15.75" customHeight="1">
      <c r="S411" s="454"/>
      <c r="AY411" s="458"/>
      <c r="AZ411" s="458"/>
      <c r="BA411" s="1305"/>
      <c r="BC411" s="169"/>
    </row>
    <row r="412" spans="19:55" ht="15.75" customHeight="1">
      <c r="S412" s="454"/>
      <c r="AY412" s="458"/>
      <c r="AZ412" s="458"/>
      <c r="BA412" s="1305"/>
      <c r="BC412" s="169"/>
    </row>
    <row r="413" spans="19:55" ht="15.75" customHeight="1">
      <c r="S413" s="454"/>
      <c r="AY413" s="458"/>
      <c r="AZ413" s="458"/>
      <c r="BA413" s="1305"/>
      <c r="BC413" s="169"/>
    </row>
    <row r="414" spans="19:55" ht="15.75" customHeight="1">
      <c r="S414" s="454"/>
      <c r="AY414" s="458"/>
      <c r="AZ414" s="458"/>
      <c r="BA414" s="1305"/>
      <c r="BC414" s="169"/>
    </row>
    <row r="415" spans="19:55" ht="15.75" customHeight="1">
      <c r="S415" s="454"/>
      <c r="AY415" s="458"/>
      <c r="AZ415" s="458"/>
      <c r="BA415" s="1305"/>
      <c r="BC415" s="169"/>
    </row>
    <row r="416" spans="19:55" ht="15.75" customHeight="1">
      <c r="S416" s="454"/>
      <c r="AY416" s="458"/>
      <c r="AZ416" s="458"/>
      <c r="BA416" s="1305"/>
      <c r="BC416" s="169"/>
    </row>
    <row r="417" spans="19:55" ht="15.75" customHeight="1">
      <c r="S417" s="454"/>
      <c r="AY417" s="458"/>
      <c r="AZ417" s="458"/>
      <c r="BA417" s="1305"/>
      <c r="BC417" s="169"/>
    </row>
    <row r="418" spans="19:55" ht="15.75" customHeight="1">
      <c r="S418" s="454"/>
      <c r="AY418" s="458"/>
      <c r="AZ418" s="458"/>
      <c r="BA418" s="1305"/>
      <c r="BC418" s="169"/>
    </row>
    <row r="419" spans="19:55" ht="15.75" customHeight="1">
      <c r="S419" s="454"/>
      <c r="AY419" s="458"/>
      <c r="AZ419" s="458"/>
      <c r="BA419" s="1305"/>
      <c r="BC419" s="169"/>
    </row>
    <row r="420" spans="19:55" ht="15.75" customHeight="1">
      <c r="S420" s="454"/>
      <c r="AY420" s="458"/>
      <c r="AZ420" s="458"/>
      <c r="BA420" s="1305"/>
      <c r="BC420" s="169"/>
    </row>
    <row r="421" spans="19:55" ht="15.75" customHeight="1">
      <c r="S421" s="454"/>
      <c r="AY421" s="458"/>
      <c r="AZ421" s="458"/>
      <c r="BA421" s="1305"/>
      <c r="BC421" s="169"/>
    </row>
    <row r="422" spans="19:55" ht="15.75" customHeight="1">
      <c r="S422" s="454"/>
      <c r="AY422" s="458"/>
      <c r="AZ422" s="458"/>
      <c r="BA422" s="1305"/>
      <c r="BC422" s="169"/>
    </row>
    <row r="423" spans="19:55" ht="15.75" customHeight="1">
      <c r="S423" s="454"/>
      <c r="AY423" s="458"/>
      <c r="AZ423" s="458"/>
      <c r="BA423" s="1305"/>
      <c r="BC423" s="169"/>
    </row>
    <row r="424" spans="19:55" ht="15.75" customHeight="1">
      <c r="S424" s="454"/>
      <c r="AY424" s="458"/>
      <c r="AZ424" s="458"/>
      <c r="BA424" s="1305"/>
      <c r="BC424" s="169"/>
    </row>
    <row r="425" spans="19:55" ht="15.75" customHeight="1">
      <c r="S425" s="454"/>
      <c r="AY425" s="458"/>
      <c r="AZ425" s="458"/>
      <c r="BA425" s="1305"/>
      <c r="BC425" s="169"/>
    </row>
    <row r="426" spans="19:55" ht="15.75" customHeight="1">
      <c r="S426" s="454"/>
      <c r="AY426" s="458"/>
      <c r="AZ426" s="458"/>
      <c r="BA426" s="1305"/>
      <c r="BC426" s="169"/>
    </row>
    <row r="427" spans="19:55" ht="15.75" customHeight="1">
      <c r="S427" s="454"/>
      <c r="AY427" s="458"/>
      <c r="AZ427" s="458"/>
      <c r="BA427" s="1305"/>
      <c r="BC427" s="169"/>
    </row>
    <row r="428" spans="19:55" ht="15.75" customHeight="1">
      <c r="S428" s="454"/>
      <c r="AY428" s="458"/>
      <c r="AZ428" s="458"/>
      <c r="BA428" s="1305"/>
      <c r="BC428" s="169"/>
    </row>
    <row r="429" spans="19:55" ht="15.75" customHeight="1">
      <c r="S429" s="454"/>
      <c r="AY429" s="458"/>
      <c r="AZ429" s="458"/>
      <c r="BA429" s="1305"/>
      <c r="BC429" s="169"/>
    </row>
    <row r="430" spans="19:55" ht="15.75" customHeight="1">
      <c r="S430" s="454"/>
      <c r="AY430" s="458"/>
      <c r="AZ430" s="458"/>
      <c r="BA430" s="1305"/>
      <c r="BC430" s="169"/>
    </row>
    <row r="431" spans="19:55" ht="15.75" customHeight="1">
      <c r="S431" s="454"/>
      <c r="AY431" s="458"/>
      <c r="AZ431" s="458"/>
      <c r="BA431" s="1305"/>
      <c r="BC431" s="169"/>
    </row>
    <row r="432" spans="19:55" ht="15.75" customHeight="1">
      <c r="S432" s="454"/>
      <c r="AY432" s="458"/>
      <c r="AZ432" s="458"/>
      <c r="BA432" s="1305"/>
      <c r="BC432" s="169"/>
    </row>
    <row r="433" spans="19:55" ht="15.75" customHeight="1">
      <c r="S433" s="454"/>
      <c r="AY433" s="458"/>
      <c r="AZ433" s="458"/>
      <c r="BA433" s="1305"/>
      <c r="BC433" s="169"/>
    </row>
    <row r="434" spans="19:55" ht="15.75" customHeight="1">
      <c r="S434" s="454"/>
      <c r="AY434" s="458"/>
      <c r="AZ434" s="458"/>
      <c r="BA434" s="1305"/>
      <c r="BC434" s="169"/>
    </row>
    <row r="435" spans="19:55" ht="15.75" customHeight="1">
      <c r="S435" s="454"/>
      <c r="AY435" s="458"/>
      <c r="AZ435" s="458"/>
      <c r="BA435" s="1305"/>
      <c r="BC435" s="169"/>
    </row>
    <row r="436" spans="19:55" ht="15.75" customHeight="1">
      <c r="S436" s="454"/>
      <c r="AY436" s="458"/>
      <c r="AZ436" s="458"/>
      <c r="BA436" s="1305"/>
      <c r="BC436" s="169"/>
    </row>
    <row r="437" spans="19:55" ht="15.75" customHeight="1">
      <c r="S437" s="454"/>
      <c r="AY437" s="458"/>
      <c r="AZ437" s="458"/>
      <c r="BA437" s="1305"/>
      <c r="BC437" s="169"/>
    </row>
    <row r="438" spans="19:55" ht="15.75" customHeight="1">
      <c r="S438" s="454"/>
      <c r="AY438" s="458"/>
      <c r="AZ438" s="458"/>
      <c r="BA438" s="1305"/>
      <c r="BC438" s="169"/>
    </row>
    <row r="439" spans="19:55" ht="15.75" customHeight="1">
      <c r="S439" s="454"/>
      <c r="AY439" s="458"/>
      <c r="AZ439" s="458"/>
      <c r="BA439" s="1305"/>
      <c r="BC439" s="169"/>
    </row>
    <row r="440" spans="19:55" ht="15.75" customHeight="1">
      <c r="S440" s="454"/>
      <c r="AY440" s="458"/>
      <c r="AZ440" s="458"/>
      <c r="BA440" s="1305"/>
      <c r="BC440" s="169"/>
    </row>
    <row r="441" spans="19:55" ht="15.75" customHeight="1">
      <c r="S441" s="454"/>
      <c r="AY441" s="458"/>
      <c r="AZ441" s="458"/>
      <c r="BA441" s="1305"/>
      <c r="BC441" s="169"/>
    </row>
    <row r="442" spans="19:55" ht="15.75" customHeight="1">
      <c r="S442" s="454"/>
      <c r="AY442" s="458"/>
      <c r="AZ442" s="458"/>
      <c r="BA442" s="1305"/>
      <c r="BC442" s="169"/>
    </row>
    <row r="443" spans="19:55" ht="15.75" customHeight="1">
      <c r="S443" s="454"/>
      <c r="AY443" s="458"/>
      <c r="AZ443" s="458"/>
      <c r="BA443" s="1305"/>
      <c r="BC443" s="169"/>
    </row>
    <row r="444" spans="19:55" ht="15.75" customHeight="1">
      <c r="S444" s="454"/>
      <c r="AY444" s="458"/>
      <c r="AZ444" s="458"/>
      <c r="BA444" s="1305"/>
      <c r="BC444" s="169"/>
    </row>
    <row r="445" spans="19:55" ht="15.75" customHeight="1">
      <c r="S445" s="454"/>
      <c r="AY445" s="458"/>
      <c r="AZ445" s="458"/>
      <c r="BA445" s="1305"/>
      <c r="BC445" s="169"/>
    </row>
    <row r="446" spans="19:55" ht="15.75" customHeight="1">
      <c r="S446" s="454"/>
      <c r="AY446" s="458"/>
      <c r="AZ446" s="458"/>
      <c r="BA446" s="1305"/>
      <c r="BC446" s="169"/>
    </row>
    <row r="447" spans="19:55" ht="15.75" customHeight="1">
      <c r="S447" s="454"/>
      <c r="AY447" s="458"/>
      <c r="AZ447" s="458"/>
      <c r="BA447" s="1305"/>
      <c r="BC447" s="169"/>
    </row>
    <row r="448" spans="19:55" ht="15.75" customHeight="1">
      <c r="S448" s="454"/>
      <c r="AY448" s="458"/>
      <c r="AZ448" s="458"/>
      <c r="BA448" s="1305"/>
      <c r="BC448" s="169"/>
    </row>
    <row r="449" spans="19:55" ht="15.75" customHeight="1">
      <c r="S449" s="454"/>
      <c r="AY449" s="458"/>
      <c r="AZ449" s="458"/>
      <c r="BA449" s="1305"/>
      <c r="BC449" s="169"/>
    </row>
    <row r="450" spans="19:55" ht="15.75" customHeight="1">
      <c r="S450" s="454"/>
      <c r="AY450" s="458"/>
      <c r="AZ450" s="458"/>
      <c r="BA450" s="1305"/>
      <c r="BC450" s="169"/>
    </row>
    <row r="451" spans="19:55" ht="15.75" customHeight="1">
      <c r="S451" s="454"/>
      <c r="AY451" s="458"/>
      <c r="AZ451" s="458"/>
      <c r="BA451" s="1305"/>
      <c r="BC451" s="169"/>
    </row>
    <row r="452" spans="19:55" ht="15.75" customHeight="1">
      <c r="S452" s="454"/>
      <c r="AY452" s="458"/>
      <c r="AZ452" s="458"/>
      <c r="BA452" s="1305"/>
      <c r="BC452" s="169"/>
    </row>
    <row r="453" spans="19:55" ht="15.75" customHeight="1">
      <c r="S453" s="454"/>
      <c r="AY453" s="458"/>
      <c r="AZ453" s="458"/>
      <c r="BA453" s="1305"/>
      <c r="BC453" s="169"/>
    </row>
    <row r="454" spans="19:55" ht="15.75" customHeight="1">
      <c r="S454" s="454"/>
      <c r="AY454" s="458"/>
      <c r="AZ454" s="458"/>
      <c r="BA454" s="1305"/>
      <c r="BC454" s="169"/>
    </row>
    <row r="455" spans="19:55" ht="15.75" customHeight="1">
      <c r="S455" s="454"/>
      <c r="AY455" s="458"/>
      <c r="AZ455" s="458"/>
      <c r="BA455" s="1305"/>
      <c r="BC455" s="169"/>
    </row>
    <row r="456" spans="19:55" ht="15.75" customHeight="1">
      <c r="S456" s="454"/>
      <c r="AY456" s="458"/>
      <c r="AZ456" s="458"/>
      <c r="BA456" s="1305"/>
      <c r="BC456" s="169"/>
    </row>
    <row r="457" spans="19:55" ht="15.75" customHeight="1">
      <c r="S457" s="454"/>
      <c r="AY457" s="458"/>
      <c r="AZ457" s="458"/>
      <c r="BA457" s="1305"/>
      <c r="BC457" s="169"/>
    </row>
    <row r="458" spans="19:55" ht="15.75" customHeight="1">
      <c r="S458" s="454"/>
      <c r="AY458" s="458"/>
      <c r="AZ458" s="458"/>
      <c r="BA458" s="1305"/>
      <c r="BC458" s="169"/>
    </row>
    <row r="459" spans="19:55" ht="15.75" customHeight="1">
      <c r="S459" s="454"/>
      <c r="AY459" s="458"/>
      <c r="AZ459" s="458"/>
      <c r="BA459" s="1305"/>
      <c r="BC459" s="169"/>
    </row>
    <row r="460" spans="19:55" ht="15.75" customHeight="1">
      <c r="S460" s="454"/>
      <c r="AY460" s="458"/>
      <c r="AZ460" s="458"/>
      <c r="BA460" s="1305"/>
      <c r="BC460" s="169"/>
    </row>
    <row r="461" spans="19:55" ht="15.75" customHeight="1">
      <c r="S461" s="454"/>
      <c r="AY461" s="458"/>
      <c r="AZ461" s="458"/>
      <c r="BA461" s="1305"/>
      <c r="BC461" s="169"/>
    </row>
    <row r="462" spans="19:55" ht="15.75" customHeight="1">
      <c r="S462" s="454"/>
      <c r="AY462" s="458"/>
      <c r="AZ462" s="458"/>
      <c r="BA462" s="1305"/>
      <c r="BC462" s="169"/>
    </row>
    <row r="463" spans="19:55" ht="15.75" customHeight="1">
      <c r="S463" s="454"/>
      <c r="AY463" s="458"/>
      <c r="AZ463" s="458"/>
      <c r="BA463" s="1305"/>
      <c r="BC463" s="169"/>
    </row>
    <row r="464" spans="19:55" ht="15.75" customHeight="1">
      <c r="S464" s="454"/>
      <c r="AY464" s="458"/>
      <c r="AZ464" s="458"/>
      <c r="BA464" s="1305"/>
      <c r="BC464" s="169"/>
    </row>
    <row r="465" spans="19:55" ht="15.75" customHeight="1">
      <c r="S465" s="454"/>
      <c r="AY465" s="458"/>
      <c r="AZ465" s="458"/>
      <c r="BA465" s="1305"/>
      <c r="BC465" s="169"/>
    </row>
    <row r="466" spans="19:55" ht="15.75" customHeight="1">
      <c r="S466" s="454"/>
      <c r="AY466" s="458"/>
      <c r="AZ466" s="458"/>
      <c r="BA466" s="1305"/>
      <c r="BC466" s="169"/>
    </row>
    <row r="467" spans="19:55" ht="15.75" customHeight="1">
      <c r="S467" s="454"/>
      <c r="AY467" s="458"/>
      <c r="AZ467" s="458"/>
      <c r="BA467" s="1305"/>
      <c r="BC467" s="169"/>
    </row>
    <row r="468" spans="19:55" ht="15.75" customHeight="1">
      <c r="S468" s="454"/>
      <c r="AY468" s="458"/>
      <c r="AZ468" s="458"/>
      <c r="BA468" s="1305"/>
      <c r="BC468" s="169"/>
    </row>
    <row r="469" spans="19:55" ht="15.75" customHeight="1">
      <c r="S469" s="454"/>
      <c r="AY469" s="458"/>
      <c r="AZ469" s="458"/>
      <c r="BA469" s="1305"/>
      <c r="BC469" s="169"/>
    </row>
    <row r="470" spans="19:55" ht="15.75" customHeight="1">
      <c r="S470" s="454"/>
      <c r="AY470" s="458"/>
      <c r="AZ470" s="458"/>
      <c r="BA470" s="1305"/>
      <c r="BC470" s="169"/>
    </row>
    <row r="471" spans="19:55" ht="15.75" customHeight="1">
      <c r="S471" s="454"/>
      <c r="AY471" s="458"/>
      <c r="AZ471" s="458"/>
      <c r="BA471" s="1305"/>
      <c r="BC471" s="169"/>
    </row>
    <row r="472" spans="19:55" ht="15.75" customHeight="1">
      <c r="S472" s="454"/>
      <c r="AY472" s="458"/>
      <c r="AZ472" s="458"/>
      <c r="BA472" s="1305"/>
      <c r="BC472" s="169"/>
    </row>
    <row r="473" spans="19:55" ht="15.75" customHeight="1">
      <c r="S473" s="454"/>
      <c r="AY473" s="458"/>
      <c r="AZ473" s="458"/>
      <c r="BA473" s="1305"/>
      <c r="BC473" s="169"/>
    </row>
    <row r="474" spans="19:55" ht="15.75" customHeight="1">
      <c r="S474" s="454"/>
      <c r="AY474" s="458"/>
      <c r="AZ474" s="458"/>
      <c r="BA474" s="1305"/>
      <c r="BC474" s="169"/>
    </row>
    <row r="475" spans="19:55" ht="15.75" customHeight="1">
      <c r="S475" s="454"/>
      <c r="AY475" s="458"/>
      <c r="AZ475" s="458"/>
      <c r="BA475" s="1305"/>
      <c r="BC475" s="169"/>
    </row>
    <row r="476" spans="19:55" ht="15.75" customHeight="1">
      <c r="S476" s="454"/>
      <c r="AY476" s="458"/>
      <c r="AZ476" s="458"/>
      <c r="BA476" s="1305"/>
      <c r="BC476" s="169"/>
    </row>
    <row r="477" spans="19:55" ht="15.75" customHeight="1">
      <c r="S477" s="454"/>
      <c r="AY477" s="458"/>
      <c r="AZ477" s="458"/>
      <c r="BA477" s="1305"/>
      <c r="BC477" s="169"/>
    </row>
    <row r="478" spans="19:55" ht="15.75" customHeight="1">
      <c r="S478" s="454"/>
      <c r="AY478" s="458"/>
      <c r="AZ478" s="458"/>
      <c r="BA478" s="1305"/>
      <c r="BC478" s="169"/>
    </row>
    <row r="479" spans="19:55" ht="15.75" customHeight="1">
      <c r="S479" s="454"/>
      <c r="AY479" s="458"/>
      <c r="AZ479" s="458"/>
      <c r="BA479" s="1305"/>
      <c r="BC479" s="169"/>
    </row>
    <row r="480" spans="19:55" ht="15.75" customHeight="1">
      <c r="S480" s="454"/>
      <c r="AY480" s="458"/>
      <c r="AZ480" s="458"/>
      <c r="BA480" s="1305"/>
      <c r="BC480" s="169"/>
    </row>
    <row r="481" spans="19:55" ht="15.75" customHeight="1">
      <c r="S481" s="454"/>
      <c r="AY481" s="458"/>
      <c r="AZ481" s="458"/>
      <c r="BA481" s="1305"/>
      <c r="BC481" s="169"/>
    </row>
    <row r="482" spans="19:55" ht="15.75" customHeight="1">
      <c r="S482" s="454"/>
      <c r="AY482" s="458"/>
      <c r="AZ482" s="458"/>
      <c r="BA482" s="1305"/>
      <c r="BC482" s="169"/>
    </row>
    <row r="483" spans="19:55" ht="15.75" customHeight="1">
      <c r="S483" s="454"/>
      <c r="AY483" s="458"/>
      <c r="AZ483" s="458"/>
      <c r="BA483" s="1305"/>
      <c r="BC483" s="169"/>
    </row>
    <row r="484" spans="19:55" ht="15.75" customHeight="1">
      <c r="S484" s="454"/>
      <c r="AY484" s="458"/>
      <c r="AZ484" s="458"/>
      <c r="BA484" s="1305"/>
      <c r="BC484" s="169"/>
    </row>
    <row r="485" spans="19:55" ht="15.75" customHeight="1">
      <c r="S485" s="454"/>
      <c r="AY485" s="458"/>
      <c r="AZ485" s="458"/>
      <c r="BA485" s="1305"/>
      <c r="BC485" s="169"/>
    </row>
    <row r="486" spans="19:55" ht="15.75" customHeight="1">
      <c r="S486" s="454"/>
      <c r="AY486" s="458"/>
      <c r="AZ486" s="458"/>
      <c r="BA486" s="1305"/>
      <c r="BC486" s="169"/>
    </row>
    <row r="487" spans="19:55" ht="15.75" customHeight="1">
      <c r="S487" s="454"/>
      <c r="AY487" s="458"/>
      <c r="AZ487" s="458"/>
      <c r="BA487" s="1305"/>
      <c r="BC487" s="169"/>
    </row>
    <row r="488" spans="19:55" ht="15.75" customHeight="1">
      <c r="S488" s="454"/>
      <c r="AY488" s="458"/>
      <c r="AZ488" s="458"/>
      <c r="BA488" s="1305"/>
      <c r="BC488" s="169"/>
    </row>
    <row r="489" spans="19:55" ht="15.75" customHeight="1">
      <c r="S489" s="454"/>
      <c r="AY489" s="458"/>
      <c r="AZ489" s="458"/>
      <c r="BA489" s="1305"/>
      <c r="BC489" s="169"/>
    </row>
    <row r="490" spans="19:55" ht="15.75" customHeight="1">
      <c r="S490" s="454"/>
      <c r="AY490" s="458"/>
      <c r="AZ490" s="458"/>
      <c r="BA490" s="1305"/>
      <c r="BC490" s="169"/>
    </row>
    <row r="491" spans="19:55" ht="15.75" customHeight="1">
      <c r="S491" s="454"/>
      <c r="AY491" s="458"/>
      <c r="AZ491" s="458"/>
      <c r="BA491" s="1305"/>
      <c r="BC491" s="169"/>
    </row>
    <row r="492" spans="19:55" ht="15.75" customHeight="1">
      <c r="S492" s="454"/>
      <c r="AY492" s="458"/>
      <c r="AZ492" s="458"/>
      <c r="BA492" s="1305"/>
      <c r="BC492" s="169"/>
    </row>
    <row r="493" spans="19:55" ht="15.75" customHeight="1">
      <c r="S493" s="454"/>
      <c r="AY493" s="458"/>
      <c r="AZ493" s="458"/>
      <c r="BA493" s="1305"/>
      <c r="BC493" s="169"/>
    </row>
    <row r="494" spans="19:55" ht="15.75" customHeight="1">
      <c r="S494" s="454"/>
      <c r="AY494" s="458"/>
      <c r="AZ494" s="458"/>
      <c r="BA494" s="1305"/>
      <c r="BC494" s="169"/>
    </row>
    <row r="495" spans="19:55" ht="15.75" customHeight="1">
      <c r="S495" s="454"/>
      <c r="AY495" s="458"/>
      <c r="AZ495" s="458"/>
      <c r="BA495" s="1305"/>
      <c r="BC495" s="169"/>
    </row>
    <row r="496" spans="19:55" ht="15.75" customHeight="1">
      <c r="S496" s="454"/>
      <c r="AY496" s="458"/>
      <c r="AZ496" s="458"/>
      <c r="BA496" s="1305"/>
      <c r="BC496" s="169"/>
    </row>
    <row r="497" spans="19:55" ht="15.75" customHeight="1">
      <c r="S497" s="454"/>
      <c r="AY497" s="458"/>
      <c r="AZ497" s="458"/>
      <c r="BA497" s="1305"/>
      <c r="BC497" s="169"/>
    </row>
    <row r="498" spans="19:55" ht="15.75" customHeight="1">
      <c r="S498" s="454"/>
      <c r="AY498" s="458"/>
      <c r="AZ498" s="458"/>
      <c r="BA498" s="1305"/>
      <c r="BC498" s="169"/>
    </row>
    <row r="499" spans="19:55" ht="15.75" customHeight="1">
      <c r="S499" s="454"/>
      <c r="AY499" s="458"/>
      <c r="AZ499" s="458"/>
      <c r="BA499" s="1305"/>
      <c r="BC499" s="169"/>
    </row>
    <row r="500" spans="19:55" ht="15.75" customHeight="1">
      <c r="S500" s="454"/>
      <c r="AY500" s="458"/>
      <c r="AZ500" s="458"/>
      <c r="BA500" s="1305"/>
      <c r="BC500" s="169"/>
    </row>
    <row r="501" spans="19:55" ht="15.75" customHeight="1">
      <c r="S501" s="454"/>
      <c r="AY501" s="458"/>
      <c r="AZ501" s="458"/>
      <c r="BA501" s="1305"/>
      <c r="BC501" s="169"/>
    </row>
    <row r="502" spans="19:55" ht="15.75" customHeight="1">
      <c r="S502" s="454"/>
      <c r="AY502" s="458"/>
      <c r="AZ502" s="458"/>
      <c r="BA502" s="1305"/>
      <c r="BC502" s="169"/>
    </row>
    <row r="503" spans="19:55" ht="15.75" customHeight="1">
      <c r="S503" s="454"/>
      <c r="AY503" s="458"/>
      <c r="AZ503" s="458"/>
      <c r="BA503" s="1305"/>
      <c r="BC503" s="169"/>
    </row>
    <row r="504" spans="19:55" ht="15.75" customHeight="1">
      <c r="S504" s="454"/>
      <c r="AY504" s="458"/>
      <c r="AZ504" s="458"/>
      <c r="BA504" s="1305"/>
      <c r="BC504" s="169"/>
    </row>
    <row r="505" spans="19:55" ht="15.75" customHeight="1">
      <c r="S505" s="454"/>
      <c r="AY505" s="458"/>
      <c r="AZ505" s="458"/>
      <c r="BA505" s="1305"/>
      <c r="BC505" s="169"/>
    </row>
    <row r="506" spans="19:55" ht="15.75" customHeight="1">
      <c r="S506" s="454"/>
      <c r="AY506" s="458"/>
      <c r="AZ506" s="458"/>
      <c r="BA506" s="1305"/>
      <c r="BC506" s="169"/>
    </row>
    <row r="507" spans="19:55" ht="15.75" customHeight="1">
      <c r="S507" s="454"/>
      <c r="AV507" s="177"/>
      <c r="AW507" s="177"/>
      <c r="AX507" s="177"/>
      <c r="AY507" s="458"/>
      <c r="AZ507" s="458"/>
      <c r="BA507" s="1307"/>
      <c r="BC507" s="169"/>
    </row>
    <row r="508" spans="19:55" ht="15.75" customHeight="1">
      <c r="S508" s="454"/>
      <c r="AV508" s="177"/>
      <c r="AW508" s="177"/>
      <c r="AX508" s="177"/>
      <c r="AY508" s="458"/>
      <c r="AZ508" s="458"/>
      <c r="BA508" s="1307"/>
      <c r="BC508" s="169"/>
    </row>
    <row r="509" spans="19:55" ht="15.75" customHeight="1">
      <c r="S509" s="454"/>
      <c r="AU509" s="177"/>
      <c r="AV509" s="177"/>
      <c r="AW509" s="177"/>
      <c r="AX509" s="177"/>
      <c r="AY509" s="458"/>
      <c r="AZ509" s="458"/>
      <c r="BA509" s="1307"/>
      <c r="BC509" s="169"/>
    </row>
    <row r="510" spans="19:55" ht="15.75" customHeight="1">
      <c r="S510" s="454"/>
      <c r="AU510" s="177"/>
      <c r="AV510" s="177"/>
      <c r="AW510" s="177"/>
      <c r="AX510" s="177"/>
      <c r="AY510" s="458"/>
      <c r="AZ510" s="458"/>
      <c r="BA510" s="1307"/>
      <c r="BC510" s="169"/>
    </row>
    <row r="511" spans="19:55" ht="15.75" customHeight="1">
      <c r="S511" s="454"/>
      <c r="AU511" s="177"/>
      <c r="AV511" s="177"/>
      <c r="AW511" s="177"/>
      <c r="AX511" s="177"/>
      <c r="AY511" s="458"/>
      <c r="AZ511" s="458"/>
      <c r="BA511" s="1307"/>
      <c r="BC511" s="169"/>
    </row>
    <row r="512" spans="19:55" ht="15.75" customHeight="1">
      <c r="S512" s="454"/>
      <c r="AU512" s="177"/>
      <c r="AV512" s="177"/>
      <c r="AW512" s="177"/>
      <c r="AX512" s="177"/>
      <c r="AY512" s="458"/>
      <c r="AZ512" s="458"/>
      <c r="BA512" s="1307"/>
      <c r="BC512" s="169"/>
    </row>
    <row r="513" spans="19:55" ht="15.75" customHeight="1">
      <c r="S513" s="454"/>
      <c r="AU513" s="177"/>
      <c r="AV513" s="177"/>
      <c r="AW513" s="177"/>
      <c r="AX513" s="177"/>
      <c r="AY513" s="458"/>
      <c r="AZ513" s="458"/>
      <c r="BA513" s="1307"/>
      <c r="BC513" s="169"/>
    </row>
    <row r="514" spans="19:55" ht="15.75" customHeight="1">
      <c r="S514" s="454"/>
      <c r="AU514" s="177"/>
      <c r="AV514" s="177"/>
      <c r="AW514" s="177"/>
      <c r="AX514" s="177"/>
      <c r="AY514" s="458"/>
      <c r="AZ514" s="458"/>
      <c r="BA514" s="1307"/>
      <c r="BC514" s="169"/>
    </row>
    <row r="515" spans="19:55" ht="15.75" customHeight="1">
      <c r="S515" s="454"/>
      <c r="AU515" s="177"/>
      <c r="AV515" s="177"/>
      <c r="AW515" s="177"/>
      <c r="AX515" s="177"/>
      <c r="AY515" s="458"/>
      <c r="AZ515" s="458"/>
      <c r="BA515" s="1307"/>
      <c r="BC515" s="169"/>
    </row>
    <row r="516" spans="19:55" ht="15.75" customHeight="1">
      <c r="S516" s="454"/>
      <c r="AU516" s="177"/>
      <c r="AV516" s="177"/>
      <c r="AW516" s="177"/>
      <c r="AX516" s="177"/>
      <c r="AY516" s="458"/>
      <c r="AZ516" s="458"/>
      <c r="BA516" s="1307"/>
      <c r="BC516" s="169"/>
    </row>
    <row r="517" spans="19:55" ht="15.75" customHeight="1">
      <c r="S517" s="454"/>
      <c r="AU517" s="177"/>
      <c r="AV517" s="177"/>
      <c r="AW517" s="177"/>
      <c r="AX517" s="177"/>
      <c r="AY517" s="458"/>
      <c r="AZ517" s="458"/>
      <c r="BA517" s="1307"/>
      <c r="BC517" s="169"/>
    </row>
    <row r="518" spans="19:55" ht="15.75" customHeight="1">
      <c r="S518" s="454"/>
      <c r="AU518" s="177"/>
      <c r="AV518" s="177"/>
      <c r="AW518" s="177"/>
      <c r="AX518" s="177"/>
      <c r="AY518" s="458"/>
      <c r="AZ518" s="458"/>
      <c r="BA518" s="1307"/>
      <c r="BC518" s="169"/>
    </row>
    <row r="519" spans="19:55" ht="15.75" customHeight="1">
      <c r="S519" s="454"/>
      <c r="AU519" s="177"/>
      <c r="AV519" s="177"/>
      <c r="AW519" s="177"/>
      <c r="AX519" s="177"/>
      <c r="AY519" s="458"/>
      <c r="AZ519" s="458"/>
      <c r="BA519" s="1307"/>
      <c r="BC519" s="169"/>
    </row>
    <row r="520" spans="19:55" ht="15.75" customHeight="1">
      <c r="S520" s="454"/>
      <c r="AU520" s="177"/>
      <c r="AY520" s="458"/>
      <c r="AZ520" s="458"/>
      <c r="BA520" s="1305"/>
      <c r="BC520" s="169"/>
    </row>
    <row r="521" spans="19:55" ht="15.75" customHeight="1">
      <c r="S521" s="454"/>
      <c r="AU521" s="177"/>
      <c r="AY521" s="458"/>
      <c r="AZ521" s="458"/>
      <c r="BA521" s="1305"/>
      <c r="BC521" s="169"/>
    </row>
    <row r="522" spans="19:55" ht="15.75" customHeight="1">
      <c r="S522" s="454"/>
      <c r="AY522" s="458"/>
      <c r="AZ522" s="458"/>
      <c r="BA522" s="1305"/>
      <c r="BC522" s="169"/>
    </row>
    <row r="523" spans="19:55" ht="15.75" customHeight="1">
      <c r="S523" s="454"/>
      <c r="AY523" s="458"/>
      <c r="AZ523" s="458"/>
      <c r="BA523" s="1305"/>
      <c r="BC523" s="169"/>
    </row>
    <row r="524" spans="19:55" ht="15.75" customHeight="1">
      <c r="S524" s="454"/>
      <c r="AY524" s="458"/>
      <c r="AZ524" s="458"/>
      <c r="BA524" s="1305"/>
      <c r="BC524" s="169"/>
    </row>
    <row r="525" spans="19:55" ht="15.75" customHeight="1">
      <c r="S525" s="454"/>
      <c r="AV525" s="177"/>
      <c r="AW525" s="177"/>
      <c r="AX525" s="177"/>
      <c r="AY525" s="458"/>
      <c r="AZ525" s="458"/>
      <c r="BA525" s="1307"/>
      <c r="BC525" s="169"/>
    </row>
    <row r="526" spans="19:55" ht="15.75" customHeight="1">
      <c r="S526" s="454"/>
      <c r="AV526" s="177"/>
      <c r="AW526" s="177"/>
      <c r="AX526" s="177"/>
      <c r="AY526" s="458"/>
      <c r="AZ526" s="458"/>
      <c r="BA526" s="1307"/>
      <c r="BC526" s="169"/>
    </row>
    <row r="527" spans="19:55" ht="15.75" customHeight="1">
      <c r="S527" s="454"/>
      <c r="AU527" s="177"/>
      <c r="AV527" s="177"/>
      <c r="AW527" s="177"/>
      <c r="AX527" s="177"/>
      <c r="AY527" s="458"/>
      <c r="AZ527" s="458"/>
      <c r="BA527" s="1307"/>
      <c r="BC527" s="169"/>
    </row>
    <row r="528" spans="19:55" ht="15.75" customHeight="1">
      <c r="S528" s="454"/>
      <c r="AU528" s="177"/>
      <c r="AV528" s="177"/>
      <c r="AW528" s="177"/>
      <c r="AX528" s="177"/>
      <c r="AY528" s="458"/>
      <c r="AZ528" s="458"/>
      <c r="BA528" s="1307"/>
      <c r="BC528" s="169"/>
    </row>
    <row r="529" spans="19:55" ht="15.75" customHeight="1">
      <c r="S529" s="454"/>
      <c r="AU529" s="177"/>
      <c r="AV529" s="177"/>
      <c r="AW529" s="177"/>
      <c r="AX529" s="177"/>
      <c r="AY529" s="458"/>
      <c r="AZ529" s="458"/>
      <c r="BA529" s="1307"/>
      <c r="BC529" s="169"/>
    </row>
    <row r="530" spans="19:55" ht="15.75" customHeight="1">
      <c r="S530" s="454"/>
      <c r="AU530" s="177"/>
      <c r="AY530" s="458"/>
      <c r="AZ530" s="458"/>
      <c r="BA530" s="1305"/>
      <c r="BC530" s="169"/>
    </row>
    <row r="531" spans="19:55" ht="15.75" customHeight="1">
      <c r="S531" s="454"/>
      <c r="AU531" s="177"/>
      <c r="AY531" s="458"/>
      <c r="AZ531" s="458"/>
      <c r="BA531" s="1305"/>
      <c r="BC531" s="169"/>
    </row>
    <row r="532" spans="19:55" ht="15.75" customHeight="1">
      <c r="S532" s="454"/>
      <c r="AY532" s="458"/>
      <c r="AZ532" s="458"/>
      <c r="BA532" s="1305"/>
      <c r="BC532" s="169"/>
    </row>
    <row r="533" spans="19:55" ht="15.75" customHeight="1">
      <c r="S533" s="454"/>
      <c r="AV533" s="177"/>
      <c r="AW533" s="177"/>
      <c r="AX533" s="177"/>
      <c r="AY533" s="458"/>
      <c r="AZ533" s="458"/>
      <c r="BA533" s="1307"/>
      <c r="BC533" s="169"/>
    </row>
    <row r="534" spans="19:55" ht="15.75" customHeight="1">
      <c r="S534" s="454"/>
      <c r="AV534" s="177"/>
      <c r="AW534" s="177"/>
      <c r="AX534" s="177"/>
      <c r="AY534" s="458"/>
      <c r="AZ534" s="458"/>
      <c r="BA534" s="1307"/>
      <c r="BC534" s="169"/>
    </row>
    <row r="535" spans="19:55" ht="15.75" customHeight="1">
      <c r="S535" s="454"/>
      <c r="AU535" s="177"/>
      <c r="AV535" s="177"/>
      <c r="AW535" s="177"/>
      <c r="AX535" s="177"/>
      <c r="AY535" s="458"/>
      <c r="AZ535" s="458"/>
      <c r="BA535" s="1307"/>
      <c r="BC535" s="169"/>
    </row>
    <row r="536" spans="19:55" ht="15.75" customHeight="1">
      <c r="S536" s="454"/>
      <c r="AU536" s="177"/>
      <c r="AV536" s="177"/>
      <c r="AW536" s="177"/>
      <c r="AX536" s="177"/>
      <c r="AY536" s="458"/>
      <c r="AZ536" s="458"/>
      <c r="BA536" s="1307"/>
      <c r="BC536" s="169"/>
    </row>
    <row r="537" spans="19:55" ht="15.75" customHeight="1">
      <c r="S537" s="454"/>
      <c r="AU537" s="177"/>
      <c r="AV537" s="177"/>
      <c r="AW537" s="177"/>
      <c r="AX537" s="177"/>
      <c r="AY537" s="458"/>
      <c r="AZ537" s="458"/>
      <c r="BA537" s="1307"/>
      <c r="BC537" s="169"/>
    </row>
    <row r="538" spans="19:55" ht="15.75" customHeight="1">
      <c r="S538" s="454"/>
      <c r="AU538" s="177"/>
      <c r="AV538" s="177"/>
      <c r="AW538" s="177"/>
      <c r="AX538" s="177"/>
      <c r="AY538" s="458"/>
      <c r="AZ538" s="458"/>
      <c r="BA538" s="1307"/>
      <c r="BC538" s="169"/>
    </row>
    <row r="539" spans="19:55" ht="15.75" customHeight="1">
      <c r="S539" s="454"/>
      <c r="AU539" s="177"/>
      <c r="AV539" s="177"/>
      <c r="AW539" s="177"/>
      <c r="AX539" s="177"/>
      <c r="AY539" s="458"/>
      <c r="AZ539" s="458"/>
      <c r="BA539" s="1307"/>
      <c r="BC539" s="169"/>
    </row>
    <row r="540" spans="19:55" ht="15.75" customHeight="1">
      <c r="S540" s="454"/>
      <c r="AU540" s="177"/>
      <c r="AY540" s="458"/>
      <c r="AZ540" s="458"/>
      <c r="BA540" s="1305"/>
      <c r="BC540" s="169"/>
    </row>
    <row r="541" spans="19:55" ht="15.75" customHeight="1">
      <c r="S541" s="454"/>
      <c r="AU541" s="177"/>
      <c r="AY541" s="458"/>
      <c r="AZ541" s="458"/>
      <c r="BA541" s="1305"/>
      <c r="BC541" s="169"/>
    </row>
    <row r="542" spans="19:55" ht="15.75" customHeight="1">
      <c r="S542" s="454"/>
      <c r="AY542" s="458"/>
      <c r="AZ542" s="458"/>
      <c r="BA542" s="1305"/>
      <c r="BC542" s="169"/>
    </row>
    <row r="543" spans="19:55" ht="15.75" customHeight="1">
      <c r="S543" s="454"/>
      <c r="AY543" s="458"/>
      <c r="AZ543" s="458"/>
      <c r="BA543" s="1305"/>
      <c r="BC543" s="169"/>
    </row>
    <row r="544" spans="19:55" ht="15.75" customHeight="1">
      <c r="S544" s="454"/>
      <c r="AY544" s="458"/>
      <c r="AZ544" s="458"/>
      <c r="BA544" s="1305"/>
      <c r="BC544" s="169"/>
    </row>
    <row r="545" spans="19:55" ht="15.75" customHeight="1">
      <c r="S545" s="454"/>
      <c r="AY545" s="458"/>
      <c r="AZ545" s="458"/>
      <c r="BA545" s="1305"/>
      <c r="BC545" s="169"/>
    </row>
    <row r="546" spans="19:55" ht="15.75" customHeight="1">
      <c r="S546" s="454"/>
      <c r="AY546" s="458"/>
      <c r="AZ546" s="458"/>
      <c r="BA546" s="1305"/>
      <c r="BC546" s="169"/>
    </row>
    <row r="547" spans="19:55" ht="15.75" customHeight="1">
      <c r="S547" s="454"/>
      <c r="AY547" s="458"/>
      <c r="AZ547" s="458"/>
      <c r="BA547" s="1305"/>
      <c r="BC547" s="169"/>
    </row>
    <row r="548" spans="19:55" ht="15.75" customHeight="1">
      <c r="S548" s="454"/>
      <c r="AY548" s="458"/>
      <c r="AZ548" s="458"/>
      <c r="BA548" s="1305"/>
      <c r="BC548" s="169"/>
    </row>
    <row r="549" spans="19:55" ht="15.75" customHeight="1">
      <c r="S549" s="454"/>
      <c r="AY549" s="458"/>
      <c r="AZ549" s="458"/>
      <c r="BA549" s="1305"/>
      <c r="BC549" s="169"/>
    </row>
    <row r="550" spans="19:55" ht="15.75" customHeight="1">
      <c r="S550" s="454"/>
      <c r="AY550" s="458"/>
      <c r="AZ550" s="458"/>
      <c r="BA550" s="1305"/>
      <c r="BC550" s="169"/>
    </row>
    <row r="551" spans="19:55" ht="15.75" customHeight="1">
      <c r="S551" s="454"/>
      <c r="AY551" s="458"/>
      <c r="AZ551" s="458"/>
      <c r="BA551" s="1305"/>
      <c r="BC551" s="169"/>
    </row>
    <row r="552" spans="19:55" ht="15.75" customHeight="1">
      <c r="S552" s="454"/>
      <c r="AY552" s="458"/>
      <c r="AZ552" s="458"/>
      <c r="BA552" s="1305"/>
      <c r="BC552" s="169"/>
    </row>
    <row r="553" spans="19:55" ht="15.75" customHeight="1">
      <c r="S553" s="454"/>
      <c r="AY553" s="458"/>
      <c r="AZ553" s="458"/>
      <c r="BA553" s="1305"/>
      <c r="BC553" s="169"/>
    </row>
    <row r="554" spans="19:55" ht="15.75" customHeight="1">
      <c r="S554" s="454"/>
      <c r="AY554" s="458"/>
      <c r="AZ554" s="458"/>
      <c r="BA554" s="1305"/>
      <c r="BC554" s="169"/>
    </row>
    <row r="555" spans="19:55" ht="15.75" customHeight="1">
      <c r="S555" s="454"/>
      <c r="AY555" s="458"/>
      <c r="AZ555" s="458"/>
      <c r="BA555" s="1305"/>
      <c r="BC555" s="169"/>
    </row>
    <row r="556" spans="19:55" ht="15.75" customHeight="1">
      <c r="S556" s="454"/>
      <c r="AY556" s="458"/>
      <c r="AZ556" s="458"/>
      <c r="BA556" s="1305"/>
      <c r="BC556" s="169"/>
    </row>
    <row r="557" spans="19:55" ht="15.75" customHeight="1">
      <c r="S557" s="454"/>
      <c r="AY557" s="458"/>
      <c r="AZ557" s="458"/>
      <c r="BA557" s="1305"/>
      <c r="BC557" s="169"/>
    </row>
    <row r="558" spans="19:55" ht="15.75" customHeight="1">
      <c r="S558" s="454"/>
      <c r="AY558" s="458"/>
      <c r="AZ558" s="458"/>
      <c r="BA558" s="1305"/>
      <c r="BC558" s="169"/>
    </row>
    <row r="559" spans="19:55" ht="15.75" customHeight="1">
      <c r="S559" s="454"/>
      <c r="AY559" s="458"/>
      <c r="AZ559" s="458"/>
      <c r="BA559" s="1305"/>
      <c r="BC559" s="169"/>
    </row>
    <row r="560" spans="19:55" ht="15.75" customHeight="1">
      <c r="S560" s="454"/>
      <c r="AY560" s="458"/>
      <c r="AZ560" s="458"/>
      <c r="BA560" s="1305"/>
      <c r="BC560" s="169"/>
    </row>
    <row r="561" spans="19:55" ht="15.75" customHeight="1">
      <c r="S561" s="454"/>
      <c r="AY561" s="458"/>
      <c r="AZ561" s="458"/>
      <c r="BA561" s="1305"/>
      <c r="BC561" s="169"/>
    </row>
    <row r="562" spans="19:55" ht="15.75" customHeight="1">
      <c r="S562" s="454"/>
      <c r="AY562" s="458"/>
      <c r="AZ562" s="458"/>
      <c r="BA562" s="1305"/>
      <c r="BC562" s="169"/>
    </row>
    <row r="563" spans="19:55" ht="15.75" customHeight="1">
      <c r="S563" s="454"/>
      <c r="AY563" s="458"/>
      <c r="AZ563" s="458"/>
      <c r="BA563" s="1305"/>
      <c r="BC563" s="169"/>
    </row>
    <row r="564" spans="19:55" ht="15.75" customHeight="1">
      <c r="S564" s="454"/>
      <c r="AY564" s="458"/>
      <c r="AZ564" s="458"/>
      <c r="BA564" s="1305"/>
      <c r="BC564" s="169"/>
    </row>
    <row r="565" spans="19:55" ht="15.75" customHeight="1">
      <c r="S565" s="454"/>
      <c r="AY565" s="458"/>
      <c r="AZ565" s="458"/>
      <c r="BA565" s="1305"/>
      <c r="BC565" s="169"/>
    </row>
    <row r="566" spans="19:55" ht="15.75" customHeight="1">
      <c r="S566" s="454"/>
      <c r="AY566" s="458"/>
      <c r="AZ566" s="458"/>
      <c r="BA566" s="1305"/>
      <c r="BC566" s="169"/>
    </row>
    <row r="567" spans="19:55" ht="15.75" customHeight="1">
      <c r="S567" s="454"/>
      <c r="AY567" s="458"/>
      <c r="AZ567" s="458"/>
      <c r="BA567" s="1305"/>
      <c r="BC567" s="169"/>
    </row>
    <row r="568" spans="19:55" ht="15.75" customHeight="1">
      <c r="S568" s="454"/>
      <c r="AY568" s="458"/>
      <c r="AZ568" s="458"/>
      <c r="BA568" s="1305"/>
      <c r="BC568" s="169"/>
    </row>
    <row r="569" spans="19:55" ht="15.75" customHeight="1">
      <c r="S569" s="454"/>
      <c r="AY569" s="458"/>
      <c r="AZ569" s="458"/>
      <c r="BA569" s="1305"/>
      <c r="BC569" s="169"/>
    </row>
    <row r="570" spans="19:55" ht="15.75" customHeight="1">
      <c r="S570" s="454"/>
      <c r="AY570" s="458"/>
      <c r="AZ570" s="458"/>
      <c r="BA570" s="1305"/>
      <c r="BC570" s="169"/>
    </row>
    <row r="571" spans="19:55" ht="15.75" customHeight="1">
      <c r="S571" s="454"/>
      <c r="AY571" s="458"/>
      <c r="AZ571" s="458"/>
      <c r="BA571" s="1305"/>
      <c r="BC571" s="169"/>
    </row>
    <row r="572" spans="19:55" ht="15.75" customHeight="1">
      <c r="S572" s="454"/>
      <c r="AY572" s="458"/>
      <c r="AZ572" s="458"/>
      <c r="BA572" s="1305"/>
      <c r="BC572" s="169"/>
    </row>
    <row r="573" spans="19:55" ht="15.75" customHeight="1">
      <c r="S573" s="454"/>
      <c r="AY573" s="458"/>
      <c r="AZ573" s="458"/>
      <c r="BA573" s="1305"/>
      <c r="BC573" s="169"/>
    </row>
    <row r="574" spans="19:55" ht="15.75" customHeight="1">
      <c r="S574" s="454"/>
      <c r="AY574" s="458"/>
      <c r="AZ574" s="458"/>
      <c r="BA574" s="1305"/>
      <c r="BC574" s="169"/>
    </row>
    <row r="575" spans="19:55" ht="15.75" customHeight="1">
      <c r="S575" s="454"/>
      <c r="AY575" s="458"/>
      <c r="AZ575" s="458"/>
      <c r="BA575" s="1305"/>
      <c r="BC575" s="169"/>
    </row>
    <row r="576" spans="19:55" ht="15.75" customHeight="1">
      <c r="S576" s="454"/>
      <c r="AY576" s="458"/>
      <c r="AZ576" s="458"/>
      <c r="BA576" s="1305"/>
      <c r="BC576" s="169"/>
    </row>
    <row r="577" spans="19:55" ht="15.75" customHeight="1">
      <c r="S577" s="454"/>
      <c r="AY577" s="458"/>
      <c r="AZ577" s="458"/>
      <c r="BA577" s="1305"/>
      <c r="BC577" s="169"/>
    </row>
    <row r="578" spans="19:55" ht="15.75" customHeight="1">
      <c r="S578" s="454"/>
      <c r="AY578" s="458"/>
      <c r="AZ578" s="458"/>
      <c r="BA578" s="1305"/>
      <c r="BC578" s="169"/>
    </row>
    <row r="579" spans="19:55" ht="15.75" customHeight="1">
      <c r="S579" s="454"/>
      <c r="AY579" s="458"/>
      <c r="AZ579" s="458"/>
      <c r="BA579" s="1305"/>
      <c r="BC579" s="169"/>
    </row>
    <row r="580" spans="19:55" ht="15.75" customHeight="1">
      <c r="S580" s="454"/>
      <c r="AY580" s="458"/>
      <c r="AZ580" s="458"/>
      <c r="BA580" s="1305"/>
      <c r="BC580" s="169"/>
    </row>
    <row r="581" spans="19:55" ht="15.75" customHeight="1">
      <c r="S581" s="454"/>
      <c r="AY581" s="458"/>
      <c r="AZ581" s="458"/>
      <c r="BA581" s="1305"/>
      <c r="BC581" s="169"/>
    </row>
    <row r="582" spans="19:55" ht="15.75" customHeight="1">
      <c r="S582" s="454"/>
      <c r="AY582" s="458"/>
      <c r="AZ582" s="458"/>
      <c r="BA582" s="1305"/>
      <c r="BC582" s="169"/>
    </row>
    <row r="583" spans="19:55" ht="15.75" customHeight="1">
      <c r="S583" s="454"/>
      <c r="AY583" s="458"/>
      <c r="AZ583" s="458"/>
      <c r="BA583" s="1305"/>
      <c r="BC583" s="169"/>
    </row>
    <row r="584" spans="19:55" ht="15.75" customHeight="1">
      <c r="S584" s="454"/>
      <c r="AY584" s="458"/>
      <c r="AZ584" s="458"/>
      <c r="BA584" s="1305"/>
      <c r="BC584" s="169"/>
    </row>
    <row r="585" spans="19:55" ht="15.75" customHeight="1">
      <c r="S585" s="454"/>
      <c r="AY585" s="458"/>
      <c r="AZ585" s="458"/>
      <c r="BA585" s="1305"/>
      <c r="BC585" s="169"/>
    </row>
    <row r="586" spans="19:55" ht="15.75" customHeight="1">
      <c r="S586" s="454"/>
      <c r="AY586" s="458"/>
      <c r="AZ586" s="458"/>
      <c r="BA586" s="1305"/>
      <c r="BC586" s="169"/>
    </row>
    <row r="587" spans="19:55" ht="15.75" customHeight="1">
      <c r="S587" s="454"/>
      <c r="AY587" s="458"/>
      <c r="AZ587" s="458"/>
      <c r="BA587" s="1305"/>
      <c r="BC587" s="169"/>
    </row>
    <row r="588" spans="19:55" ht="15.75" customHeight="1">
      <c r="S588" s="454"/>
      <c r="AY588" s="458"/>
      <c r="AZ588" s="458"/>
      <c r="BA588" s="1305"/>
      <c r="BC588" s="169"/>
    </row>
    <row r="589" spans="19:55" ht="15.75" customHeight="1">
      <c r="S589" s="454"/>
      <c r="AY589" s="458"/>
      <c r="AZ589" s="458"/>
      <c r="BA589" s="1305"/>
      <c r="BC589" s="169"/>
    </row>
    <row r="590" spans="19:55" ht="15.75" customHeight="1">
      <c r="S590" s="454"/>
      <c r="AY590" s="458"/>
      <c r="AZ590" s="458"/>
      <c r="BA590" s="1305"/>
      <c r="BC590" s="169"/>
    </row>
    <row r="591" spans="19:55" ht="15.75" customHeight="1">
      <c r="S591" s="454"/>
      <c r="AY591" s="458"/>
      <c r="AZ591" s="458"/>
      <c r="BA591" s="1305"/>
      <c r="BC591" s="169"/>
    </row>
    <row r="592" spans="19:55" ht="15.75" customHeight="1">
      <c r="S592" s="454"/>
      <c r="AY592" s="458"/>
      <c r="AZ592" s="458"/>
      <c r="BA592" s="1305"/>
      <c r="BC592" s="169"/>
    </row>
    <row r="593" spans="19:55" ht="15.75" customHeight="1">
      <c r="S593" s="454"/>
      <c r="AY593" s="458"/>
      <c r="AZ593" s="458"/>
      <c r="BA593" s="1305"/>
      <c r="BC593" s="169"/>
    </row>
    <row r="594" spans="19:55" ht="15.75" customHeight="1">
      <c r="S594" s="454"/>
      <c r="AY594" s="458"/>
      <c r="AZ594" s="458"/>
      <c r="BA594" s="1305"/>
      <c r="BC594" s="169"/>
    </row>
    <row r="595" spans="19:55" ht="15.75" customHeight="1">
      <c r="S595" s="454"/>
      <c r="AY595" s="458"/>
      <c r="AZ595" s="458"/>
      <c r="BA595" s="1305"/>
      <c r="BC595" s="169"/>
    </row>
    <row r="596" spans="19:55" ht="15.75" customHeight="1">
      <c r="S596" s="454"/>
      <c r="AY596" s="458"/>
      <c r="AZ596" s="458"/>
      <c r="BA596" s="1305"/>
      <c r="BC596" s="169"/>
    </row>
    <row r="597" spans="19:55" ht="15.75" customHeight="1">
      <c r="S597" s="454"/>
      <c r="AY597" s="458"/>
      <c r="AZ597" s="458"/>
      <c r="BA597" s="1305"/>
      <c r="BC597" s="169"/>
    </row>
    <row r="598" spans="19:55" ht="15.75" customHeight="1">
      <c r="S598" s="454"/>
      <c r="AY598" s="458"/>
      <c r="AZ598" s="458"/>
      <c r="BA598" s="1305"/>
      <c r="BC598" s="169"/>
    </row>
    <row r="599" spans="19:55" ht="15.75" customHeight="1">
      <c r="S599" s="454"/>
      <c r="AY599" s="458"/>
      <c r="AZ599" s="458"/>
      <c r="BA599" s="1305"/>
      <c r="BC599" s="169"/>
    </row>
    <row r="600" spans="19:55" ht="15.75" customHeight="1">
      <c r="S600" s="454"/>
      <c r="AY600" s="458"/>
      <c r="AZ600" s="458"/>
      <c r="BA600" s="1305"/>
      <c r="BC600" s="169"/>
    </row>
    <row r="601" spans="19:55" ht="15.75" customHeight="1">
      <c r="S601" s="454"/>
      <c r="AY601" s="458"/>
      <c r="AZ601" s="458"/>
      <c r="BA601" s="1305"/>
      <c r="BC601" s="169"/>
    </row>
    <row r="602" spans="19:55" ht="15.75" customHeight="1">
      <c r="S602" s="454"/>
      <c r="AY602" s="458"/>
      <c r="AZ602" s="458"/>
      <c r="BA602" s="1305"/>
      <c r="BC602" s="169"/>
    </row>
    <row r="603" spans="19:55" ht="15.75" customHeight="1">
      <c r="S603" s="454"/>
      <c r="AY603" s="458"/>
      <c r="AZ603" s="458"/>
      <c r="BA603" s="1305"/>
      <c r="BC603" s="169"/>
    </row>
    <row r="604" spans="19:55" ht="15.75" customHeight="1">
      <c r="S604" s="454"/>
      <c r="AY604" s="458"/>
      <c r="AZ604" s="458"/>
      <c r="BA604" s="1305"/>
      <c r="BC604" s="169"/>
    </row>
    <row r="605" spans="19:55" ht="15.75" customHeight="1">
      <c r="S605" s="454"/>
      <c r="AY605" s="458"/>
      <c r="AZ605" s="458"/>
      <c r="BA605" s="1305"/>
      <c r="BC605" s="169"/>
    </row>
    <row r="606" spans="19:55" ht="15.75" customHeight="1">
      <c r="S606" s="454"/>
      <c r="AY606" s="458"/>
      <c r="AZ606" s="458"/>
      <c r="BA606" s="1305"/>
      <c r="BC606" s="169"/>
    </row>
    <row r="607" spans="19:55" ht="15.75" customHeight="1">
      <c r="S607" s="454"/>
      <c r="AY607" s="458"/>
      <c r="AZ607" s="458"/>
      <c r="BA607" s="1305"/>
      <c r="BC607" s="169"/>
    </row>
    <row r="608" spans="19:55" ht="15.75" customHeight="1">
      <c r="S608" s="454"/>
      <c r="AY608" s="458"/>
      <c r="AZ608" s="458"/>
      <c r="BA608" s="1305"/>
      <c r="BC608" s="169"/>
    </row>
    <row r="609" spans="19:55" ht="15.75" customHeight="1">
      <c r="S609" s="454"/>
      <c r="AY609" s="458"/>
      <c r="AZ609" s="458"/>
      <c r="BA609" s="1305"/>
      <c r="BC609" s="169"/>
    </row>
    <row r="610" spans="19:55" ht="15.75" customHeight="1">
      <c r="S610" s="454"/>
      <c r="AY610" s="458"/>
      <c r="AZ610" s="458"/>
      <c r="BA610" s="1305"/>
      <c r="BC610" s="169"/>
    </row>
    <row r="611" spans="19:55" ht="15.75" customHeight="1">
      <c r="S611" s="454"/>
      <c r="AY611" s="458"/>
      <c r="AZ611" s="458"/>
      <c r="BA611" s="1305"/>
      <c r="BC611" s="169"/>
    </row>
    <row r="612" spans="19:55" ht="15.75" customHeight="1">
      <c r="S612" s="454"/>
      <c r="AY612" s="458"/>
      <c r="AZ612" s="458"/>
      <c r="BA612" s="1305"/>
      <c r="BC612" s="169"/>
    </row>
    <row r="613" spans="19:55" ht="15.75" customHeight="1">
      <c r="S613" s="454"/>
      <c r="AY613" s="458"/>
      <c r="AZ613" s="458"/>
      <c r="BA613" s="1305"/>
      <c r="BC613" s="169"/>
    </row>
    <row r="614" spans="19:55" ht="15.75" customHeight="1">
      <c r="S614" s="454"/>
      <c r="AY614" s="458"/>
      <c r="AZ614" s="458"/>
      <c r="BA614" s="1305"/>
      <c r="BC614" s="169"/>
    </row>
    <row r="615" spans="19:55" ht="15.75" customHeight="1">
      <c r="S615" s="454"/>
      <c r="AY615" s="458"/>
      <c r="AZ615" s="458"/>
      <c r="BA615" s="1305"/>
      <c r="BC615" s="169"/>
    </row>
    <row r="616" spans="19:55" ht="15.75" customHeight="1">
      <c r="S616" s="454"/>
      <c r="AY616" s="458"/>
      <c r="AZ616" s="458"/>
      <c r="BA616" s="1305"/>
      <c r="BC616" s="169"/>
    </row>
    <row r="617" spans="19:55" ht="15.75" customHeight="1">
      <c r="S617" s="454"/>
      <c r="AY617" s="458"/>
      <c r="AZ617" s="458"/>
      <c r="BA617" s="1305"/>
      <c r="BC617" s="169"/>
    </row>
    <row r="618" spans="19:55" ht="15.75" customHeight="1">
      <c r="S618" s="454"/>
      <c r="AY618" s="458"/>
      <c r="AZ618" s="458"/>
      <c r="BA618" s="1305"/>
      <c r="BC618" s="169"/>
    </row>
    <row r="619" spans="19:55" ht="15.75" customHeight="1">
      <c r="S619" s="454"/>
      <c r="AY619" s="458"/>
      <c r="AZ619" s="458"/>
      <c r="BA619" s="1305"/>
      <c r="BC619" s="169"/>
    </row>
    <row r="620" spans="19:55" ht="15.75" customHeight="1">
      <c r="S620" s="454"/>
      <c r="AY620" s="458"/>
      <c r="AZ620" s="458"/>
      <c r="BA620" s="1305"/>
      <c r="BC620" s="169"/>
    </row>
    <row r="621" spans="19:55" ht="15.75" customHeight="1">
      <c r="S621" s="454"/>
      <c r="AY621" s="458"/>
      <c r="AZ621" s="458"/>
      <c r="BA621" s="1305"/>
      <c r="BC621" s="169"/>
    </row>
    <row r="622" spans="19:55" ht="15.75" customHeight="1">
      <c r="S622" s="454"/>
      <c r="AY622" s="458"/>
      <c r="AZ622" s="458"/>
      <c r="BA622" s="1305"/>
      <c r="BC622" s="169"/>
    </row>
    <row r="623" spans="19:55" ht="15.75" customHeight="1">
      <c r="S623" s="454"/>
      <c r="AY623" s="458"/>
      <c r="AZ623" s="458"/>
      <c r="BA623" s="1305"/>
      <c r="BC623" s="169"/>
    </row>
    <row r="624" spans="19:55" ht="15.75" customHeight="1">
      <c r="S624" s="454"/>
      <c r="AY624" s="458"/>
      <c r="AZ624" s="458"/>
      <c r="BA624" s="1305"/>
      <c r="BC624" s="169"/>
    </row>
    <row r="625" spans="19:55" ht="15.75" customHeight="1">
      <c r="S625" s="454"/>
      <c r="AY625" s="458"/>
      <c r="AZ625" s="458"/>
      <c r="BA625" s="1305"/>
      <c r="BC625" s="169"/>
    </row>
    <row r="626" spans="19:55" ht="15.75" customHeight="1">
      <c r="S626" s="454"/>
      <c r="AY626" s="458"/>
      <c r="AZ626" s="458"/>
      <c r="BA626" s="1305"/>
      <c r="BC626" s="169"/>
    </row>
    <row r="627" spans="19:55" ht="15.75" customHeight="1">
      <c r="S627" s="454"/>
      <c r="AY627" s="458"/>
      <c r="AZ627" s="458"/>
      <c r="BA627" s="1305"/>
      <c r="BC627" s="169"/>
    </row>
    <row r="628" spans="19:55" ht="15.75" customHeight="1">
      <c r="S628" s="454"/>
      <c r="AY628" s="458"/>
      <c r="AZ628" s="458"/>
      <c r="BA628" s="1305"/>
      <c r="BC628" s="169"/>
    </row>
    <row r="629" spans="19:55" ht="15.75" customHeight="1">
      <c r="S629" s="454"/>
      <c r="AY629" s="458"/>
      <c r="AZ629" s="458"/>
      <c r="BA629" s="1305"/>
      <c r="BC629" s="169"/>
    </row>
    <row r="630" spans="19:55" ht="15.75" customHeight="1">
      <c r="S630" s="454"/>
      <c r="AY630" s="458"/>
      <c r="AZ630" s="458"/>
      <c r="BA630" s="1305"/>
      <c r="BC630" s="169"/>
    </row>
    <row r="631" spans="19:55" ht="15.75" customHeight="1">
      <c r="S631" s="454"/>
      <c r="AY631" s="458"/>
      <c r="AZ631" s="458"/>
      <c r="BA631" s="1305"/>
      <c r="BC631" s="169"/>
    </row>
    <row r="632" spans="19:55" ht="15.75" customHeight="1">
      <c r="S632" s="454"/>
      <c r="AY632" s="458"/>
      <c r="AZ632" s="458"/>
      <c r="BA632" s="1305"/>
      <c r="BC632" s="169"/>
    </row>
    <row r="633" spans="19:55" ht="15.75" customHeight="1">
      <c r="S633" s="454"/>
      <c r="AY633" s="458"/>
      <c r="AZ633" s="458"/>
      <c r="BA633" s="1305"/>
      <c r="BC633" s="169"/>
    </row>
    <row r="634" spans="19:55" ht="15.75" customHeight="1">
      <c r="S634" s="454"/>
      <c r="AY634" s="458"/>
      <c r="AZ634" s="458"/>
      <c r="BA634" s="1305"/>
      <c r="BC634" s="169"/>
    </row>
    <row r="635" spans="19:55" ht="15.75" customHeight="1">
      <c r="S635" s="454"/>
      <c r="AY635" s="458"/>
      <c r="AZ635" s="458"/>
      <c r="BA635" s="1305"/>
      <c r="BC635" s="169"/>
    </row>
    <row r="636" spans="19:55" ht="15.75" customHeight="1">
      <c r="S636" s="454"/>
      <c r="AY636" s="458"/>
      <c r="AZ636" s="458"/>
      <c r="BA636" s="1305"/>
      <c r="BC636" s="169"/>
    </row>
    <row r="637" spans="19:55" ht="15.75" customHeight="1">
      <c r="S637" s="454"/>
      <c r="AY637" s="458"/>
      <c r="AZ637" s="458"/>
      <c r="BA637" s="1305"/>
      <c r="BC637" s="169"/>
    </row>
    <row r="638" spans="19:55" ht="15.75" customHeight="1">
      <c r="S638" s="454"/>
      <c r="AY638" s="458"/>
      <c r="AZ638" s="458"/>
      <c r="BA638" s="1305"/>
      <c r="BC638" s="169"/>
    </row>
    <row r="639" spans="19:55" ht="15.75" customHeight="1">
      <c r="S639" s="454"/>
      <c r="AY639" s="458"/>
      <c r="AZ639" s="458"/>
      <c r="BA639" s="1305"/>
      <c r="BC639" s="169"/>
    </row>
    <row r="640" spans="19:55" ht="15.75" customHeight="1">
      <c r="S640" s="454"/>
      <c r="AY640" s="458"/>
      <c r="AZ640" s="458"/>
      <c r="BA640" s="1305"/>
      <c r="BC640" s="169"/>
    </row>
    <row r="641" spans="19:55" ht="15.75" customHeight="1">
      <c r="S641" s="454"/>
      <c r="AY641" s="458"/>
      <c r="AZ641" s="458"/>
      <c r="BA641" s="1305"/>
      <c r="BC641" s="169"/>
    </row>
    <row r="642" spans="19:55" ht="15.75" customHeight="1">
      <c r="S642" s="454"/>
      <c r="AY642" s="458"/>
      <c r="AZ642" s="458"/>
      <c r="BA642" s="1305"/>
      <c r="BC642" s="169"/>
    </row>
    <row r="643" spans="19:55" ht="15.75" customHeight="1">
      <c r="S643" s="454"/>
      <c r="AY643" s="458"/>
      <c r="AZ643" s="458"/>
      <c r="BA643" s="1305"/>
      <c r="BC643" s="169"/>
    </row>
    <row r="644" spans="19:55" ht="15.75" customHeight="1">
      <c r="S644" s="454"/>
      <c r="AY644" s="458"/>
      <c r="AZ644" s="458"/>
      <c r="BA644" s="1305"/>
      <c r="BC644" s="169"/>
    </row>
    <row r="645" spans="19:55" ht="15.75" customHeight="1">
      <c r="S645" s="454"/>
      <c r="AY645" s="458"/>
      <c r="AZ645" s="458"/>
      <c r="BA645" s="1305"/>
      <c r="BC645" s="169"/>
    </row>
    <row r="646" spans="19:55" ht="15.75" customHeight="1">
      <c r="S646" s="454"/>
      <c r="AY646" s="458"/>
      <c r="AZ646" s="458"/>
      <c r="BA646" s="1305"/>
      <c r="BC646" s="169"/>
    </row>
    <row r="647" spans="19:55" ht="15.75" customHeight="1">
      <c r="S647" s="454"/>
      <c r="AY647" s="458"/>
      <c r="AZ647" s="458"/>
      <c r="BA647" s="1305"/>
      <c r="BC647" s="169"/>
    </row>
    <row r="648" spans="19:55" ht="15.75" customHeight="1">
      <c r="S648" s="454"/>
      <c r="AY648" s="458"/>
      <c r="AZ648" s="458"/>
      <c r="BA648" s="1305"/>
      <c r="BC648" s="169"/>
    </row>
    <row r="649" spans="19:55" ht="15.75" customHeight="1">
      <c r="S649" s="454"/>
      <c r="AY649" s="458"/>
      <c r="AZ649" s="458"/>
      <c r="BA649" s="1305"/>
      <c r="BC649" s="169"/>
    </row>
    <row r="650" spans="19:55" ht="15.75" customHeight="1">
      <c r="S650" s="454"/>
      <c r="AY650" s="458"/>
      <c r="AZ650" s="458"/>
      <c r="BA650" s="1305"/>
      <c r="BC650" s="169"/>
    </row>
    <row r="651" spans="19:55" ht="15.75" customHeight="1">
      <c r="S651" s="454"/>
      <c r="AY651" s="458"/>
      <c r="AZ651" s="458"/>
      <c r="BA651" s="1305"/>
      <c r="BC651" s="169"/>
    </row>
    <row r="652" spans="19:55" ht="15.75" customHeight="1">
      <c r="S652" s="454"/>
      <c r="AY652" s="458"/>
      <c r="AZ652" s="458"/>
      <c r="BA652" s="1305"/>
      <c r="BC652" s="169"/>
    </row>
    <row r="653" spans="19:55" ht="15.75" customHeight="1">
      <c r="S653" s="454"/>
      <c r="AY653" s="458"/>
      <c r="AZ653" s="458"/>
      <c r="BA653" s="1305"/>
      <c r="BC653" s="169"/>
    </row>
    <row r="654" spans="19:55" ht="15.75" customHeight="1">
      <c r="S654" s="454"/>
      <c r="AY654" s="458"/>
      <c r="AZ654" s="458"/>
      <c r="BA654" s="1305"/>
      <c r="BC654" s="169"/>
    </row>
    <row r="655" spans="19:55" ht="15.75" customHeight="1">
      <c r="S655" s="454"/>
      <c r="AY655" s="458"/>
      <c r="AZ655" s="458"/>
      <c r="BA655" s="1305"/>
      <c r="BC655" s="169"/>
    </row>
    <row r="656" spans="19:55" ht="15.75" customHeight="1">
      <c r="S656" s="454"/>
      <c r="AY656" s="458"/>
      <c r="AZ656" s="458"/>
      <c r="BA656" s="1305"/>
      <c r="BC656" s="169"/>
    </row>
    <row r="657" spans="19:55" ht="15.75" customHeight="1">
      <c r="S657" s="454"/>
      <c r="AY657" s="458"/>
      <c r="AZ657" s="458"/>
      <c r="BA657" s="1305"/>
      <c r="BC657" s="169"/>
    </row>
    <row r="658" spans="19:55" ht="15.75" customHeight="1">
      <c r="S658" s="454"/>
      <c r="AY658" s="458"/>
      <c r="AZ658" s="458"/>
      <c r="BA658" s="1305"/>
      <c r="BC658" s="169"/>
    </row>
    <row r="659" spans="19:55" ht="15.75" customHeight="1">
      <c r="S659" s="454"/>
      <c r="AY659" s="458"/>
      <c r="AZ659" s="458"/>
      <c r="BA659" s="1305"/>
      <c r="BC659" s="169"/>
    </row>
    <row r="660" spans="19:55" ht="15.75" customHeight="1">
      <c r="S660" s="454"/>
      <c r="AY660" s="458"/>
      <c r="AZ660" s="458"/>
      <c r="BA660" s="1305"/>
      <c r="BC660" s="169"/>
    </row>
    <row r="661" spans="19:55" ht="15.75" customHeight="1">
      <c r="S661" s="454"/>
      <c r="AY661" s="458"/>
      <c r="AZ661" s="458"/>
      <c r="BA661" s="1305"/>
      <c r="BC661" s="169"/>
    </row>
    <row r="662" spans="19:55" ht="15.75" customHeight="1">
      <c r="S662" s="454"/>
      <c r="AY662" s="458"/>
      <c r="AZ662" s="458"/>
      <c r="BA662" s="1305"/>
      <c r="BC662" s="169"/>
    </row>
    <row r="663" spans="19:55" ht="15.75" customHeight="1">
      <c r="S663" s="454"/>
      <c r="AY663" s="458"/>
      <c r="AZ663" s="458"/>
      <c r="BA663" s="1305"/>
      <c r="BC663" s="169"/>
    </row>
    <row r="664" spans="19:55" ht="15.75" customHeight="1">
      <c r="S664" s="454"/>
      <c r="AY664" s="458"/>
      <c r="AZ664" s="458"/>
      <c r="BA664" s="1305"/>
      <c r="BC664" s="169"/>
    </row>
    <row r="665" spans="19:55" ht="15.75" customHeight="1">
      <c r="S665" s="454"/>
      <c r="AY665" s="458"/>
      <c r="AZ665" s="458"/>
      <c r="BA665" s="1305"/>
      <c r="BC665" s="169"/>
    </row>
    <row r="666" spans="19:55" ht="15.75" customHeight="1">
      <c r="S666" s="454"/>
      <c r="AY666" s="458"/>
      <c r="AZ666" s="458"/>
      <c r="BA666" s="1305"/>
      <c r="BC666" s="169"/>
    </row>
    <row r="667" spans="19:55" ht="15.75" customHeight="1">
      <c r="S667" s="454"/>
      <c r="AY667" s="458"/>
      <c r="AZ667" s="458"/>
      <c r="BA667" s="1305"/>
      <c r="BC667" s="169"/>
    </row>
    <row r="668" spans="19:55" ht="15.75" customHeight="1">
      <c r="S668" s="454"/>
      <c r="AY668" s="458"/>
      <c r="AZ668" s="458"/>
      <c r="BA668" s="1305"/>
      <c r="BC668" s="169"/>
    </row>
    <row r="669" spans="19:55" ht="15.75" customHeight="1">
      <c r="S669" s="454"/>
      <c r="AY669" s="458"/>
      <c r="AZ669" s="458"/>
      <c r="BA669" s="1305"/>
      <c r="BC669" s="169"/>
    </row>
    <row r="670" spans="19:55" ht="15.75" customHeight="1">
      <c r="S670" s="454"/>
      <c r="AY670" s="458"/>
      <c r="AZ670" s="458"/>
      <c r="BA670" s="1305"/>
      <c r="BC670" s="169"/>
    </row>
    <row r="671" spans="19:55" ht="15.75" customHeight="1">
      <c r="S671" s="454"/>
      <c r="AY671" s="458"/>
      <c r="AZ671" s="458"/>
      <c r="BA671" s="1305"/>
      <c r="BC671" s="169"/>
    </row>
    <row r="672" spans="19:55" ht="15.75" customHeight="1">
      <c r="S672" s="454"/>
      <c r="AY672" s="458"/>
      <c r="AZ672" s="458"/>
      <c r="BA672" s="1305"/>
      <c r="BC672" s="169"/>
    </row>
    <row r="673" spans="19:55" ht="15.75" customHeight="1">
      <c r="S673" s="454"/>
      <c r="AY673" s="458"/>
      <c r="AZ673" s="458"/>
      <c r="BA673" s="1305"/>
      <c r="BC673" s="169"/>
    </row>
    <row r="674" spans="19:55" ht="15.75" customHeight="1">
      <c r="S674" s="454"/>
      <c r="AY674" s="458"/>
      <c r="AZ674" s="458"/>
      <c r="BA674" s="1305"/>
      <c r="BC674" s="169"/>
    </row>
    <row r="675" spans="19:55" ht="15.75" customHeight="1">
      <c r="S675" s="454"/>
      <c r="AY675" s="458"/>
      <c r="AZ675" s="458"/>
      <c r="BA675" s="1305"/>
      <c r="BC675" s="169"/>
    </row>
    <row r="676" spans="19:55" ht="15.75" customHeight="1">
      <c r="S676" s="454"/>
      <c r="AY676" s="458"/>
      <c r="AZ676" s="458"/>
      <c r="BA676" s="1305"/>
      <c r="BC676" s="169"/>
    </row>
    <row r="677" spans="19:55" ht="15.75" customHeight="1">
      <c r="S677" s="454"/>
      <c r="AY677" s="458"/>
      <c r="AZ677" s="458"/>
      <c r="BA677" s="1305"/>
      <c r="BC677" s="169"/>
    </row>
    <row r="678" spans="19:55" ht="15.75" customHeight="1">
      <c r="S678" s="454"/>
      <c r="AY678" s="458"/>
      <c r="AZ678" s="458"/>
      <c r="BA678" s="1305"/>
      <c r="BC678" s="169"/>
    </row>
    <row r="679" spans="19:55" ht="15.75" customHeight="1">
      <c r="S679" s="454"/>
      <c r="AY679" s="458"/>
      <c r="AZ679" s="458"/>
      <c r="BA679" s="1305"/>
      <c r="BC679" s="169"/>
    </row>
    <row r="680" spans="19:55" ht="15.75" customHeight="1">
      <c r="S680" s="454"/>
      <c r="AY680" s="458"/>
      <c r="AZ680" s="458"/>
      <c r="BA680" s="1305"/>
      <c r="BC680" s="169"/>
    </row>
    <row r="681" spans="19:55" ht="15.75" customHeight="1">
      <c r="S681" s="454"/>
      <c r="AY681" s="458"/>
      <c r="AZ681" s="458"/>
      <c r="BA681" s="1305"/>
      <c r="BC681" s="169"/>
    </row>
    <row r="682" spans="19:55" ht="15.75" customHeight="1">
      <c r="S682" s="454"/>
      <c r="AY682" s="458"/>
      <c r="AZ682" s="458"/>
      <c r="BA682" s="1305"/>
      <c r="BC682" s="169"/>
    </row>
    <row r="683" spans="19:55" ht="15.75" customHeight="1">
      <c r="S683" s="454"/>
      <c r="AY683" s="458"/>
      <c r="AZ683" s="458"/>
      <c r="BA683" s="1305"/>
      <c r="BC683" s="169"/>
    </row>
    <row r="684" spans="19:55" ht="15.75" customHeight="1">
      <c r="S684" s="454"/>
      <c r="AY684" s="458"/>
      <c r="AZ684" s="458"/>
      <c r="BA684" s="1305"/>
      <c r="BC684" s="169"/>
    </row>
    <row r="685" spans="19:55" ht="15.75" customHeight="1">
      <c r="S685" s="454"/>
      <c r="AY685" s="458"/>
      <c r="AZ685" s="458"/>
      <c r="BA685" s="1305"/>
      <c r="BC685" s="169"/>
    </row>
    <row r="686" spans="19:55" ht="15.75" customHeight="1">
      <c r="S686" s="454"/>
      <c r="AY686" s="458"/>
      <c r="AZ686" s="458"/>
      <c r="BA686" s="1305"/>
      <c r="BC686" s="169"/>
    </row>
    <row r="687" spans="19:55" ht="15.75" customHeight="1">
      <c r="S687" s="454"/>
      <c r="AY687" s="458"/>
      <c r="AZ687" s="458"/>
      <c r="BA687" s="1305"/>
      <c r="BC687" s="169"/>
    </row>
    <row r="688" spans="19:55" ht="15.75" customHeight="1">
      <c r="S688" s="454"/>
      <c r="AY688" s="458"/>
      <c r="AZ688" s="458"/>
      <c r="BA688" s="1305"/>
      <c r="BC688" s="169"/>
    </row>
    <row r="689" spans="19:55" ht="15.75" customHeight="1">
      <c r="S689" s="454"/>
      <c r="AY689" s="458"/>
      <c r="AZ689" s="458"/>
      <c r="BA689" s="1305"/>
      <c r="BC689" s="169"/>
    </row>
    <row r="690" spans="19:55" ht="15.75" customHeight="1">
      <c r="S690" s="454"/>
      <c r="AY690" s="458"/>
      <c r="AZ690" s="458"/>
      <c r="BA690" s="1305"/>
      <c r="BC690" s="169"/>
    </row>
    <row r="691" spans="19:55" ht="15.75" customHeight="1">
      <c r="S691" s="454"/>
      <c r="AY691" s="458"/>
      <c r="AZ691" s="458"/>
      <c r="BA691" s="1305"/>
      <c r="BC691" s="169"/>
    </row>
    <row r="692" spans="19:55" ht="15.75" customHeight="1">
      <c r="S692" s="454"/>
      <c r="AY692" s="458"/>
      <c r="AZ692" s="458"/>
      <c r="BA692" s="1305"/>
      <c r="BC692" s="169"/>
    </row>
    <row r="693" spans="19:55" ht="15.75" customHeight="1">
      <c r="S693" s="454"/>
      <c r="AY693" s="458"/>
      <c r="AZ693" s="458"/>
      <c r="BA693" s="1305"/>
      <c r="BC693" s="169"/>
    </row>
    <row r="694" spans="19:55" ht="15.75" customHeight="1">
      <c r="S694" s="454"/>
      <c r="AY694" s="458"/>
      <c r="AZ694" s="458"/>
      <c r="BA694" s="1305"/>
      <c r="BC694" s="169"/>
    </row>
    <row r="695" spans="19:55" ht="15.75" customHeight="1">
      <c r="S695" s="454"/>
      <c r="AY695" s="458"/>
      <c r="AZ695" s="458"/>
      <c r="BA695" s="1305"/>
      <c r="BC695" s="169"/>
    </row>
    <row r="696" spans="19:55" ht="15.75" customHeight="1">
      <c r="S696" s="454"/>
      <c r="AY696" s="458"/>
      <c r="AZ696" s="458"/>
      <c r="BA696" s="1305"/>
      <c r="BC696" s="169"/>
    </row>
    <row r="697" spans="19:55" ht="15.75" customHeight="1">
      <c r="S697" s="454"/>
      <c r="AY697" s="458"/>
      <c r="AZ697" s="458"/>
      <c r="BA697" s="1305"/>
      <c r="BC697" s="169"/>
    </row>
    <row r="698" spans="19:55" ht="15.75" customHeight="1">
      <c r="S698" s="454"/>
      <c r="AY698" s="458"/>
      <c r="AZ698" s="458"/>
      <c r="BA698" s="1305"/>
      <c r="BC698" s="169"/>
    </row>
    <row r="699" spans="19:55" ht="15.75" customHeight="1">
      <c r="S699" s="454"/>
      <c r="AY699" s="458"/>
      <c r="AZ699" s="458"/>
      <c r="BA699" s="1305"/>
      <c r="BC699" s="169"/>
    </row>
    <row r="700" spans="19:55" ht="15.75" customHeight="1">
      <c r="S700" s="454"/>
      <c r="AY700" s="458"/>
      <c r="AZ700" s="458"/>
      <c r="BA700" s="1305"/>
      <c r="BC700" s="169"/>
    </row>
    <row r="701" spans="19:55" ht="15.75" customHeight="1">
      <c r="S701" s="454"/>
      <c r="AY701" s="458"/>
      <c r="AZ701" s="458"/>
      <c r="BA701" s="1305"/>
      <c r="BC701" s="169"/>
    </row>
    <row r="702" spans="19:55" ht="15.75" customHeight="1">
      <c r="S702" s="454"/>
      <c r="AY702" s="458"/>
      <c r="AZ702" s="458"/>
      <c r="BA702" s="1305"/>
      <c r="BC702" s="169"/>
    </row>
    <row r="703" spans="19:55" ht="15.75" customHeight="1">
      <c r="S703" s="454"/>
      <c r="AY703" s="458"/>
      <c r="AZ703" s="458"/>
      <c r="BA703" s="1305"/>
      <c r="BC703" s="169"/>
    </row>
    <row r="704" spans="19:55" ht="15.75" customHeight="1">
      <c r="S704" s="454"/>
      <c r="AY704" s="458"/>
      <c r="AZ704" s="458"/>
      <c r="BA704" s="1305"/>
      <c r="BC704" s="169"/>
    </row>
    <row r="705" spans="19:55" ht="15.75" customHeight="1">
      <c r="S705" s="454"/>
      <c r="AY705" s="458"/>
      <c r="AZ705" s="458"/>
      <c r="BA705" s="1305"/>
      <c r="BC705" s="169"/>
    </row>
    <row r="706" spans="19:55" ht="15.75" customHeight="1">
      <c r="S706" s="454"/>
      <c r="AY706" s="458"/>
      <c r="AZ706" s="458"/>
      <c r="BA706" s="1305"/>
      <c r="BC706" s="169"/>
    </row>
    <row r="707" spans="19:55" ht="15.75" customHeight="1">
      <c r="S707" s="454"/>
      <c r="AY707" s="458"/>
      <c r="AZ707" s="458"/>
      <c r="BA707" s="1305"/>
      <c r="BC707" s="169"/>
    </row>
    <row r="708" spans="19:55" ht="15.75" customHeight="1">
      <c r="S708" s="454"/>
      <c r="AY708" s="458"/>
      <c r="AZ708" s="458"/>
      <c r="BA708" s="1305"/>
      <c r="BC708" s="169"/>
    </row>
    <row r="709" spans="19:55" ht="15.75" customHeight="1">
      <c r="S709" s="454"/>
      <c r="AY709" s="458"/>
      <c r="AZ709" s="458"/>
      <c r="BA709" s="1305"/>
      <c r="BC709" s="169"/>
    </row>
    <row r="710" spans="19:55" ht="15.75" customHeight="1">
      <c r="S710" s="454"/>
      <c r="AY710" s="458"/>
      <c r="AZ710" s="458"/>
      <c r="BA710" s="1305"/>
      <c r="BC710" s="169"/>
    </row>
    <row r="711" spans="19:55" ht="15.75" customHeight="1">
      <c r="S711" s="454"/>
      <c r="AY711" s="458"/>
      <c r="AZ711" s="458"/>
      <c r="BA711" s="1305"/>
      <c r="BC711" s="169"/>
    </row>
    <row r="712" spans="19:55" ht="15.75" customHeight="1">
      <c r="S712" s="454"/>
      <c r="AY712" s="458"/>
      <c r="AZ712" s="458"/>
      <c r="BA712" s="1305"/>
      <c r="BC712" s="169"/>
    </row>
    <row r="713" spans="19:55" ht="15.75" customHeight="1">
      <c r="S713" s="454"/>
      <c r="AY713" s="458"/>
      <c r="AZ713" s="458"/>
      <c r="BA713" s="1305"/>
      <c r="BC713" s="169"/>
    </row>
    <row r="714" spans="19:55" ht="15.75" customHeight="1">
      <c r="S714" s="454"/>
      <c r="AY714" s="458"/>
      <c r="AZ714" s="458"/>
      <c r="BA714" s="1305"/>
      <c r="BC714" s="169"/>
    </row>
    <row r="715" spans="19:55" ht="15.75" customHeight="1">
      <c r="S715" s="454"/>
      <c r="AY715" s="458"/>
      <c r="AZ715" s="458"/>
      <c r="BA715" s="1305"/>
      <c r="BC715" s="169"/>
    </row>
    <row r="716" spans="19:55" ht="15.75" customHeight="1">
      <c r="S716" s="454"/>
      <c r="AY716" s="458"/>
      <c r="AZ716" s="458"/>
      <c r="BA716" s="1305"/>
      <c r="BC716" s="169"/>
    </row>
    <row r="717" spans="19:55" ht="15.75" customHeight="1">
      <c r="S717" s="454"/>
      <c r="AY717" s="458"/>
      <c r="AZ717" s="458"/>
      <c r="BA717" s="1305"/>
      <c r="BC717" s="169"/>
    </row>
    <row r="718" spans="19:55" ht="15.75" customHeight="1">
      <c r="S718" s="454"/>
      <c r="AY718" s="458"/>
      <c r="AZ718" s="458"/>
      <c r="BA718" s="1305"/>
      <c r="BC718" s="169"/>
    </row>
    <row r="719" spans="19:55" ht="15.75" customHeight="1">
      <c r="S719" s="454"/>
      <c r="AY719" s="458"/>
      <c r="AZ719" s="458"/>
      <c r="BA719" s="1305"/>
      <c r="BC719" s="169"/>
    </row>
    <row r="720" spans="19:55" ht="15.75" customHeight="1">
      <c r="S720" s="454"/>
      <c r="AY720" s="458"/>
      <c r="AZ720" s="458"/>
      <c r="BA720" s="1305"/>
      <c r="BC720" s="169"/>
    </row>
    <row r="721" spans="19:55" ht="15.75" customHeight="1">
      <c r="S721" s="454"/>
      <c r="AY721" s="458"/>
      <c r="AZ721" s="458"/>
      <c r="BA721" s="1305"/>
      <c r="BC721" s="169"/>
    </row>
    <row r="722" spans="19:55" ht="15.75" customHeight="1">
      <c r="S722" s="454"/>
      <c r="AY722" s="458"/>
      <c r="AZ722" s="458"/>
      <c r="BA722" s="1305"/>
      <c r="BC722" s="169"/>
    </row>
    <row r="723" spans="19:55" ht="15.75" customHeight="1">
      <c r="S723" s="454"/>
      <c r="AY723" s="458"/>
      <c r="AZ723" s="458"/>
      <c r="BA723" s="1305"/>
      <c r="BC723" s="169"/>
    </row>
    <row r="724" spans="19:55" ht="15.75" customHeight="1">
      <c r="S724" s="454"/>
      <c r="AY724" s="458"/>
      <c r="AZ724" s="458"/>
      <c r="BA724" s="1305"/>
      <c r="BC724" s="169"/>
    </row>
    <row r="725" spans="19:55" ht="15.75" customHeight="1">
      <c r="S725" s="454"/>
      <c r="AY725" s="458"/>
      <c r="AZ725" s="458"/>
      <c r="BA725" s="1305"/>
      <c r="BC725" s="169"/>
    </row>
    <row r="726" spans="19:55" ht="15.75" customHeight="1">
      <c r="S726" s="454"/>
      <c r="AY726" s="458"/>
      <c r="AZ726" s="458"/>
      <c r="BA726" s="1305"/>
      <c r="BC726" s="169"/>
    </row>
    <row r="727" spans="19:55" ht="15.75" customHeight="1">
      <c r="S727" s="454"/>
      <c r="AY727" s="458"/>
      <c r="AZ727" s="458"/>
      <c r="BA727" s="1305"/>
      <c r="BC727" s="169"/>
    </row>
    <row r="728" spans="19:55" ht="15.75" customHeight="1">
      <c r="S728" s="454"/>
      <c r="AY728" s="458"/>
      <c r="AZ728" s="458"/>
      <c r="BA728" s="1305"/>
      <c r="BC728" s="169"/>
    </row>
    <row r="729" spans="19:55" ht="15.75" customHeight="1">
      <c r="S729" s="454"/>
      <c r="AY729" s="458"/>
      <c r="AZ729" s="458"/>
      <c r="BA729" s="1305"/>
      <c r="BC729" s="169"/>
    </row>
    <row r="730" spans="19:55" ht="15.75" customHeight="1">
      <c r="S730" s="454"/>
      <c r="AY730" s="458"/>
      <c r="AZ730" s="458"/>
      <c r="BA730" s="1305"/>
      <c r="BC730" s="169"/>
    </row>
    <row r="731" spans="19:55" ht="15.75" customHeight="1">
      <c r="S731" s="454"/>
      <c r="AY731" s="458"/>
      <c r="AZ731" s="458"/>
      <c r="BA731" s="1305"/>
      <c r="BC731" s="169"/>
    </row>
    <row r="732" spans="19:55" ht="15.75" customHeight="1">
      <c r="S732" s="454"/>
      <c r="AY732" s="458"/>
      <c r="AZ732" s="458"/>
      <c r="BA732" s="1305"/>
      <c r="BC732" s="169"/>
    </row>
    <row r="733" spans="19:55" ht="15.75" customHeight="1">
      <c r="S733" s="454"/>
      <c r="AY733" s="458"/>
      <c r="AZ733" s="458"/>
      <c r="BA733" s="1305"/>
      <c r="BC733" s="169"/>
    </row>
    <row r="734" spans="19:55" ht="15.75" customHeight="1">
      <c r="S734" s="454"/>
      <c r="AY734" s="458"/>
      <c r="AZ734" s="458"/>
      <c r="BA734" s="1305"/>
      <c r="BC734" s="169"/>
    </row>
    <row r="735" spans="19:55" ht="15.75" customHeight="1">
      <c r="S735" s="454"/>
      <c r="AY735" s="458"/>
      <c r="AZ735" s="458"/>
      <c r="BA735" s="1305"/>
      <c r="BC735" s="169"/>
    </row>
    <row r="736" spans="19:55" ht="15.75" customHeight="1">
      <c r="S736" s="454"/>
      <c r="AY736" s="458"/>
      <c r="AZ736" s="458"/>
      <c r="BA736" s="1305"/>
      <c r="BC736" s="169"/>
    </row>
    <row r="737" spans="19:55" ht="15.75" customHeight="1">
      <c r="S737" s="454"/>
      <c r="AY737" s="458"/>
      <c r="AZ737" s="458"/>
      <c r="BA737" s="1305"/>
      <c r="BC737" s="169"/>
    </row>
    <row r="738" spans="19:55" ht="15.75" customHeight="1">
      <c r="S738" s="454"/>
      <c r="AY738" s="458"/>
      <c r="AZ738" s="458"/>
      <c r="BA738" s="1305"/>
      <c r="BC738" s="169"/>
    </row>
    <row r="739" spans="19:55" ht="15.75" customHeight="1">
      <c r="S739" s="454"/>
      <c r="AY739" s="458"/>
      <c r="AZ739" s="458"/>
      <c r="BA739" s="1305"/>
      <c r="BC739" s="169"/>
    </row>
    <row r="740" spans="19:55" ht="15.75" customHeight="1">
      <c r="S740" s="454"/>
      <c r="AY740" s="458"/>
      <c r="AZ740" s="458"/>
      <c r="BA740" s="1305"/>
      <c r="BC740" s="169"/>
    </row>
    <row r="741" spans="19:55" ht="15.75" customHeight="1">
      <c r="S741" s="454"/>
      <c r="AY741" s="458"/>
      <c r="AZ741" s="458"/>
      <c r="BA741" s="1305"/>
      <c r="BC741" s="169"/>
    </row>
    <row r="742" spans="19:55" ht="15.75" customHeight="1">
      <c r="S742" s="454"/>
      <c r="AY742" s="458"/>
      <c r="AZ742" s="458"/>
      <c r="BA742" s="1305"/>
      <c r="BC742" s="169"/>
    </row>
    <row r="743" spans="19:55" ht="15.75" customHeight="1">
      <c r="S743" s="454"/>
      <c r="AY743" s="458"/>
      <c r="AZ743" s="458"/>
      <c r="BA743" s="1305"/>
      <c r="BC743" s="169"/>
    </row>
    <row r="744" spans="19:55" ht="15.75" customHeight="1">
      <c r="S744" s="454"/>
      <c r="AY744" s="458"/>
      <c r="AZ744" s="458"/>
      <c r="BA744" s="1305"/>
      <c r="BC744" s="169"/>
    </row>
    <row r="745" spans="19:55" ht="15.75" customHeight="1">
      <c r="S745" s="454"/>
      <c r="AY745" s="458"/>
      <c r="AZ745" s="458"/>
      <c r="BA745" s="1305"/>
      <c r="BC745" s="169"/>
    </row>
    <row r="746" spans="19:55" ht="15.75" customHeight="1">
      <c r="S746" s="454"/>
      <c r="AY746" s="458"/>
      <c r="AZ746" s="458"/>
      <c r="BA746" s="1305"/>
      <c r="BC746" s="169"/>
    </row>
    <row r="747" spans="19:55" ht="15.75" customHeight="1">
      <c r="S747" s="454"/>
      <c r="AY747" s="458"/>
      <c r="AZ747" s="458"/>
      <c r="BA747" s="1305"/>
      <c r="BC747" s="169"/>
    </row>
    <row r="748" spans="19:55" ht="15.75" customHeight="1">
      <c r="S748" s="454"/>
      <c r="AY748" s="458"/>
      <c r="AZ748" s="458"/>
      <c r="BA748" s="1305"/>
      <c r="BC748" s="169"/>
    </row>
    <row r="749" spans="19:55" ht="15.75" customHeight="1">
      <c r="S749" s="454"/>
      <c r="AY749" s="458"/>
      <c r="AZ749" s="458"/>
      <c r="BA749" s="1305"/>
      <c r="BC749" s="169"/>
    </row>
    <row r="750" spans="19:55" ht="15.75" customHeight="1">
      <c r="S750" s="454"/>
      <c r="AY750" s="458"/>
      <c r="AZ750" s="458"/>
      <c r="BA750" s="1305"/>
      <c r="BC750" s="169"/>
    </row>
    <row r="751" spans="19:55" ht="15.75" customHeight="1">
      <c r="S751" s="454"/>
      <c r="AY751" s="458"/>
      <c r="AZ751" s="458"/>
      <c r="BA751" s="1305"/>
      <c r="BC751" s="169"/>
    </row>
    <row r="752" spans="19:55" ht="15.75" customHeight="1">
      <c r="S752" s="454"/>
      <c r="AY752" s="458"/>
      <c r="AZ752" s="458"/>
      <c r="BA752" s="1305"/>
      <c r="BC752" s="169"/>
    </row>
    <row r="753" spans="19:55" ht="15.75" customHeight="1">
      <c r="S753" s="454"/>
      <c r="AY753" s="458"/>
      <c r="AZ753" s="458"/>
      <c r="BA753" s="1305"/>
      <c r="BC753" s="169"/>
    </row>
    <row r="754" spans="19:55" ht="15.75" customHeight="1">
      <c r="S754" s="454"/>
      <c r="AY754" s="458"/>
      <c r="AZ754" s="458"/>
      <c r="BA754" s="1305"/>
      <c r="BC754" s="169"/>
    </row>
    <row r="755" spans="19:55" ht="15.75" customHeight="1">
      <c r="S755" s="454"/>
      <c r="AY755" s="458"/>
      <c r="AZ755" s="458"/>
      <c r="BA755" s="1305"/>
      <c r="BC755" s="169"/>
    </row>
    <row r="756" spans="19:55" ht="15.75" customHeight="1">
      <c r="S756" s="454"/>
      <c r="AY756" s="458"/>
      <c r="AZ756" s="458"/>
      <c r="BA756" s="1305"/>
      <c r="BC756" s="169"/>
    </row>
    <row r="757" spans="19:55" ht="15.75" customHeight="1">
      <c r="S757" s="454"/>
      <c r="AY757" s="458"/>
      <c r="AZ757" s="458"/>
      <c r="BA757" s="1305"/>
      <c r="BC757" s="169"/>
    </row>
    <row r="758" spans="19:55" ht="15.75" customHeight="1">
      <c r="S758" s="454"/>
      <c r="AY758" s="458"/>
      <c r="AZ758" s="458"/>
      <c r="BA758" s="1305"/>
      <c r="BC758" s="169"/>
    </row>
    <row r="759" spans="19:55" ht="15.75" customHeight="1">
      <c r="S759" s="454"/>
      <c r="AY759" s="458"/>
      <c r="AZ759" s="458"/>
      <c r="BA759" s="1305"/>
      <c r="BC759" s="169"/>
    </row>
    <row r="760" spans="19:55" ht="15.75" customHeight="1">
      <c r="S760" s="454"/>
      <c r="AY760" s="458"/>
      <c r="AZ760" s="458"/>
      <c r="BA760" s="1305"/>
      <c r="BC760" s="169"/>
    </row>
    <row r="761" spans="19:55" ht="15.75" customHeight="1">
      <c r="S761" s="454"/>
      <c r="AY761" s="458"/>
      <c r="AZ761" s="458"/>
      <c r="BA761" s="1305"/>
      <c r="BC761" s="169"/>
    </row>
    <row r="762" spans="19:55" ht="15.75" customHeight="1">
      <c r="S762" s="454"/>
      <c r="AY762" s="458"/>
      <c r="AZ762" s="458"/>
      <c r="BA762" s="1305"/>
      <c r="BC762" s="169"/>
    </row>
    <row r="763" spans="19:55" ht="15.75" customHeight="1">
      <c r="S763" s="454"/>
      <c r="AY763" s="458"/>
      <c r="AZ763" s="458"/>
      <c r="BA763" s="1305"/>
      <c r="BC763" s="169"/>
    </row>
    <row r="764" spans="19:55" ht="15.75" customHeight="1">
      <c r="S764" s="454"/>
      <c r="AY764" s="458"/>
      <c r="AZ764" s="458"/>
      <c r="BA764" s="1305"/>
      <c r="BC764" s="169"/>
    </row>
    <row r="765" spans="19:55" ht="15.75" customHeight="1">
      <c r="S765" s="454"/>
      <c r="AY765" s="458"/>
      <c r="AZ765" s="458"/>
      <c r="BA765" s="1305"/>
      <c r="BC765" s="169"/>
    </row>
    <row r="766" spans="19:55" ht="15.75" customHeight="1">
      <c r="S766" s="454"/>
      <c r="AY766" s="458"/>
      <c r="AZ766" s="458"/>
      <c r="BA766" s="1305"/>
      <c r="BC766" s="169"/>
    </row>
    <row r="767" spans="19:55" ht="15.75" customHeight="1">
      <c r="S767" s="454"/>
      <c r="AY767" s="458"/>
      <c r="AZ767" s="458"/>
      <c r="BA767" s="1305"/>
      <c r="BC767" s="169"/>
    </row>
    <row r="768" spans="19:55" ht="15.75" customHeight="1">
      <c r="S768" s="454"/>
      <c r="AY768" s="458"/>
      <c r="AZ768" s="458"/>
      <c r="BA768" s="1305"/>
      <c r="BC768" s="169"/>
    </row>
    <row r="769" spans="19:55" ht="15.75" customHeight="1">
      <c r="S769" s="454"/>
      <c r="AY769" s="458"/>
      <c r="AZ769" s="458"/>
      <c r="BA769" s="1305"/>
      <c r="BC769" s="169"/>
    </row>
    <row r="770" spans="19:55" ht="15.75" customHeight="1">
      <c r="S770" s="454"/>
      <c r="AY770" s="458"/>
      <c r="AZ770" s="458"/>
      <c r="BA770" s="1305"/>
      <c r="BC770" s="169"/>
    </row>
    <row r="771" spans="19:55" ht="15.75" customHeight="1">
      <c r="S771" s="454"/>
      <c r="AY771" s="458"/>
      <c r="AZ771" s="458"/>
      <c r="BA771" s="1305"/>
      <c r="BC771" s="169"/>
    </row>
    <row r="772" spans="19:55" ht="15.75" customHeight="1">
      <c r="S772" s="454"/>
      <c r="AY772" s="458"/>
      <c r="AZ772" s="458"/>
      <c r="BA772" s="1305"/>
      <c r="BC772" s="169"/>
    </row>
    <row r="773" spans="19:55" ht="15.75" customHeight="1">
      <c r="S773" s="454"/>
      <c r="AY773" s="458"/>
      <c r="AZ773" s="458"/>
      <c r="BA773" s="1305"/>
      <c r="BC773" s="169"/>
    </row>
    <row r="774" spans="19:55" ht="15.75" customHeight="1">
      <c r="S774" s="454"/>
      <c r="AY774" s="458"/>
      <c r="AZ774" s="458"/>
      <c r="BA774" s="1305"/>
      <c r="BC774" s="169"/>
    </row>
    <row r="775" spans="19:55" ht="15.75" customHeight="1">
      <c r="S775" s="454"/>
      <c r="AY775" s="458"/>
      <c r="AZ775" s="458"/>
      <c r="BA775" s="1305"/>
      <c r="BC775" s="169"/>
    </row>
    <row r="776" spans="19:55" ht="15.75" customHeight="1">
      <c r="S776" s="454"/>
      <c r="AY776" s="458"/>
      <c r="AZ776" s="458"/>
      <c r="BA776" s="1305"/>
      <c r="BC776" s="169"/>
    </row>
    <row r="777" spans="19:55" ht="15.75" customHeight="1">
      <c r="S777" s="454"/>
      <c r="AY777" s="458"/>
      <c r="AZ777" s="458"/>
      <c r="BA777" s="1305"/>
      <c r="BC777" s="169"/>
    </row>
    <row r="778" spans="19:55" ht="15.75" customHeight="1">
      <c r="S778" s="454"/>
      <c r="AY778" s="458"/>
      <c r="AZ778" s="458"/>
      <c r="BA778" s="1305"/>
      <c r="BC778" s="169"/>
    </row>
    <row r="779" spans="19:55" ht="15.75" customHeight="1">
      <c r="S779" s="454"/>
      <c r="AY779" s="458"/>
      <c r="AZ779" s="458"/>
      <c r="BA779" s="1305"/>
      <c r="BC779" s="169"/>
    </row>
    <row r="780" spans="19:55" ht="15.75" customHeight="1">
      <c r="S780" s="454"/>
      <c r="AY780" s="458"/>
      <c r="AZ780" s="458"/>
      <c r="BA780" s="1305"/>
      <c r="BC780" s="169"/>
    </row>
    <row r="781" spans="19:55" ht="15.75" customHeight="1">
      <c r="S781" s="454"/>
      <c r="AY781" s="458"/>
      <c r="AZ781" s="458"/>
      <c r="BA781" s="1305"/>
      <c r="BC781" s="169"/>
    </row>
    <row r="782" spans="19:55" ht="15.75" customHeight="1">
      <c r="S782" s="454"/>
      <c r="AY782" s="458"/>
      <c r="AZ782" s="458"/>
      <c r="BA782" s="1305"/>
      <c r="BC782" s="169"/>
    </row>
    <row r="783" spans="19:55" ht="15.75" customHeight="1">
      <c r="S783" s="454"/>
      <c r="AY783" s="458"/>
      <c r="AZ783" s="458"/>
      <c r="BA783" s="1305"/>
      <c r="BC783" s="169"/>
    </row>
    <row r="784" spans="19:55" ht="15.75" customHeight="1">
      <c r="S784" s="454"/>
      <c r="AY784" s="458"/>
      <c r="AZ784" s="458"/>
      <c r="BA784" s="1305"/>
      <c r="BC784" s="169"/>
    </row>
    <row r="785" spans="19:55" ht="15.75" customHeight="1">
      <c r="S785" s="454"/>
      <c r="AY785" s="458"/>
      <c r="AZ785" s="458"/>
      <c r="BA785" s="1305"/>
      <c r="BC785" s="169"/>
    </row>
    <row r="786" spans="19:55" ht="15.75" customHeight="1">
      <c r="S786" s="454"/>
      <c r="AY786" s="458"/>
      <c r="AZ786" s="458"/>
      <c r="BA786" s="1305"/>
      <c r="BC786" s="169"/>
    </row>
    <row r="787" spans="19:55" ht="15.75" customHeight="1">
      <c r="S787" s="454"/>
      <c r="AY787" s="458"/>
      <c r="AZ787" s="458"/>
      <c r="BA787" s="1305"/>
      <c r="BC787" s="169"/>
    </row>
    <row r="788" spans="19:55" ht="15.75" customHeight="1">
      <c r="S788" s="454"/>
      <c r="AY788" s="458"/>
      <c r="AZ788" s="458"/>
      <c r="BA788" s="1305"/>
      <c r="BC788" s="169"/>
    </row>
    <row r="789" spans="19:55" ht="15.75" customHeight="1">
      <c r="S789" s="454"/>
      <c r="AY789" s="458"/>
      <c r="AZ789" s="458"/>
      <c r="BA789" s="1305"/>
      <c r="BC789" s="169"/>
    </row>
    <row r="790" spans="19:55" ht="15.75" customHeight="1">
      <c r="S790" s="454"/>
      <c r="AY790" s="458"/>
      <c r="AZ790" s="458"/>
      <c r="BA790" s="1305"/>
      <c r="BC790" s="169"/>
    </row>
    <row r="791" spans="19:55" ht="15.75" customHeight="1">
      <c r="S791" s="454"/>
      <c r="AY791" s="458"/>
      <c r="AZ791" s="458"/>
      <c r="BA791" s="1305"/>
      <c r="BC791" s="169"/>
    </row>
    <row r="792" spans="19:55" ht="15.75" customHeight="1">
      <c r="S792" s="454"/>
      <c r="AY792" s="458"/>
      <c r="AZ792" s="458"/>
      <c r="BA792" s="1305"/>
      <c r="BC792" s="169"/>
    </row>
    <row r="793" spans="19:55" ht="15.75" customHeight="1">
      <c r="S793" s="454"/>
      <c r="AY793" s="458"/>
      <c r="AZ793" s="458"/>
      <c r="BA793" s="1305"/>
      <c r="BC793" s="169"/>
    </row>
    <row r="794" spans="19:55" ht="15.75" customHeight="1">
      <c r="S794" s="454"/>
      <c r="AY794" s="458"/>
      <c r="AZ794" s="458"/>
      <c r="BA794" s="1305"/>
      <c r="BC794" s="169"/>
    </row>
    <row r="795" spans="19:55" ht="15.75" customHeight="1">
      <c r="S795" s="454"/>
      <c r="AY795" s="458"/>
      <c r="AZ795" s="458"/>
      <c r="BA795" s="1305"/>
      <c r="BC795" s="169"/>
    </row>
    <row r="796" spans="19:55" ht="15.75" customHeight="1">
      <c r="S796" s="454"/>
      <c r="AY796" s="458"/>
      <c r="AZ796" s="458"/>
      <c r="BA796" s="1305"/>
      <c r="BC796" s="169"/>
    </row>
    <row r="797" spans="19:55" ht="15.75" customHeight="1">
      <c r="S797" s="454"/>
      <c r="AY797" s="458"/>
      <c r="AZ797" s="458"/>
      <c r="BA797" s="1305"/>
      <c r="BC797" s="169"/>
    </row>
    <row r="798" spans="19:55" ht="15.75" customHeight="1">
      <c r="S798" s="454"/>
      <c r="AY798" s="458"/>
      <c r="AZ798" s="458"/>
      <c r="BA798" s="1305"/>
      <c r="BC798" s="169"/>
    </row>
    <row r="799" spans="19:55" ht="15.75" customHeight="1">
      <c r="S799" s="454"/>
      <c r="AY799" s="458"/>
      <c r="AZ799" s="458"/>
      <c r="BA799" s="1305"/>
      <c r="BC799" s="169"/>
    </row>
    <row r="800" spans="19:55" ht="15.75" customHeight="1">
      <c r="S800" s="454"/>
      <c r="AY800" s="458"/>
      <c r="AZ800" s="458"/>
      <c r="BA800" s="1305"/>
      <c r="BC800" s="169"/>
    </row>
    <row r="801" spans="19:55" ht="15.75" customHeight="1">
      <c r="S801" s="454"/>
      <c r="AY801" s="458"/>
      <c r="AZ801" s="458"/>
      <c r="BA801" s="1305"/>
      <c r="BC801" s="169"/>
    </row>
    <row r="802" spans="19:55" ht="15.75" customHeight="1">
      <c r="S802" s="454"/>
      <c r="AY802" s="458"/>
      <c r="AZ802" s="458"/>
      <c r="BA802" s="1305"/>
      <c r="BC802" s="169"/>
    </row>
    <row r="803" spans="19:55" ht="15.75" customHeight="1">
      <c r="S803" s="454"/>
      <c r="AY803" s="458"/>
      <c r="AZ803" s="458"/>
      <c r="BA803" s="1305"/>
      <c r="BC803" s="169"/>
    </row>
    <row r="804" spans="19:55" ht="15.75" customHeight="1">
      <c r="S804" s="454"/>
      <c r="AY804" s="458"/>
      <c r="AZ804" s="458"/>
      <c r="BA804" s="1305"/>
      <c r="BC804" s="169"/>
    </row>
    <row r="805" spans="19:55" ht="15.75" customHeight="1">
      <c r="S805" s="454"/>
      <c r="AY805" s="458"/>
      <c r="AZ805" s="458"/>
      <c r="BA805" s="1305"/>
      <c r="BC805" s="169"/>
    </row>
    <row r="806" spans="19:55" ht="15.75" customHeight="1">
      <c r="S806" s="454"/>
      <c r="AY806" s="458"/>
      <c r="AZ806" s="458"/>
      <c r="BA806" s="1305"/>
      <c r="BC806" s="169"/>
    </row>
    <row r="807" spans="19:55" ht="15.75" customHeight="1">
      <c r="S807" s="454"/>
      <c r="AY807" s="458"/>
      <c r="AZ807" s="458"/>
      <c r="BA807" s="1305"/>
      <c r="BC807" s="169"/>
    </row>
    <row r="808" spans="19:55" ht="15.75" customHeight="1">
      <c r="S808" s="454"/>
      <c r="AY808" s="458"/>
      <c r="AZ808" s="458"/>
      <c r="BA808" s="1305"/>
      <c r="BC808" s="169"/>
    </row>
    <row r="809" spans="19:55" ht="15.75" customHeight="1">
      <c r="S809" s="454"/>
      <c r="AY809" s="458"/>
      <c r="AZ809" s="458"/>
      <c r="BA809" s="1305"/>
      <c r="BC809" s="169"/>
    </row>
    <row r="810" spans="19:55" ht="15.75" customHeight="1">
      <c r="S810" s="454"/>
      <c r="AY810" s="458"/>
      <c r="AZ810" s="458"/>
      <c r="BA810" s="1305"/>
      <c r="BC810" s="169"/>
    </row>
    <row r="811" spans="19:55" ht="15.75" customHeight="1">
      <c r="S811" s="454"/>
      <c r="AY811" s="458"/>
      <c r="AZ811" s="458"/>
      <c r="BA811" s="1305"/>
      <c r="BC811" s="169"/>
    </row>
    <row r="812" spans="19:55" ht="15.75" customHeight="1">
      <c r="S812" s="454"/>
      <c r="AY812" s="458"/>
      <c r="AZ812" s="458"/>
      <c r="BA812" s="1305"/>
      <c r="BC812" s="169"/>
    </row>
    <row r="813" spans="19:55" ht="15.75" customHeight="1">
      <c r="S813" s="454"/>
      <c r="AY813" s="458"/>
      <c r="AZ813" s="458"/>
      <c r="BA813" s="1305"/>
      <c r="BC813" s="169"/>
    </row>
    <row r="814" spans="19:55" ht="15.75" customHeight="1">
      <c r="S814" s="454"/>
      <c r="AY814" s="458"/>
      <c r="AZ814" s="458"/>
      <c r="BA814" s="1305"/>
      <c r="BC814" s="169"/>
    </row>
    <row r="815" spans="19:55" ht="15.75" customHeight="1">
      <c r="S815" s="454"/>
      <c r="AY815" s="458"/>
      <c r="AZ815" s="458"/>
      <c r="BA815" s="1305"/>
      <c r="BC815" s="169"/>
    </row>
    <row r="816" spans="19:55" ht="15.75" customHeight="1">
      <c r="S816" s="454"/>
      <c r="AY816" s="458"/>
      <c r="AZ816" s="458"/>
      <c r="BA816" s="1305"/>
      <c r="BC816" s="169"/>
    </row>
    <row r="817" spans="19:55" ht="15.75" customHeight="1">
      <c r="S817" s="454"/>
      <c r="AY817" s="458"/>
      <c r="AZ817" s="458"/>
      <c r="BA817" s="1305"/>
      <c r="BC817" s="169"/>
    </row>
    <row r="818" spans="19:55" ht="15.75" customHeight="1">
      <c r="S818" s="454"/>
      <c r="AY818" s="458"/>
      <c r="AZ818" s="458"/>
      <c r="BA818" s="1305"/>
      <c r="BC818" s="169"/>
    </row>
    <row r="819" spans="19:55" ht="15.75" customHeight="1">
      <c r="S819" s="454"/>
      <c r="AY819" s="458"/>
      <c r="AZ819" s="458"/>
      <c r="BA819" s="1305"/>
      <c r="BC819" s="169"/>
    </row>
    <row r="820" spans="19:55" ht="15.75" customHeight="1">
      <c r="S820" s="454"/>
      <c r="AY820" s="458"/>
      <c r="AZ820" s="458"/>
      <c r="BA820" s="1305"/>
      <c r="BC820" s="169"/>
    </row>
    <row r="821" spans="19:55" ht="15.75" customHeight="1">
      <c r="S821" s="454"/>
      <c r="AY821" s="458"/>
      <c r="AZ821" s="458"/>
      <c r="BA821" s="1305"/>
      <c r="BC821" s="169"/>
    </row>
    <row r="822" spans="19:55" ht="15.75" customHeight="1">
      <c r="S822" s="454"/>
      <c r="AY822" s="458"/>
      <c r="AZ822" s="458"/>
      <c r="BA822" s="1305"/>
      <c r="BC822" s="169"/>
    </row>
    <row r="823" spans="19:55" ht="15.75" customHeight="1">
      <c r="S823" s="454"/>
      <c r="AY823" s="458"/>
      <c r="AZ823" s="458"/>
      <c r="BA823" s="1305"/>
      <c r="BC823" s="169"/>
    </row>
    <row r="824" spans="19:55" ht="15.75" customHeight="1">
      <c r="S824" s="454"/>
      <c r="AY824" s="458"/>
      <c r="AZ824" s="458"/>
      <c r="BA824" s="1305"/>
      <c r="BC824" s="169"/>
    </row>
    <row r="825" spans="19:55" ht="15.75" customHeight="1">
      <c r="S825" s="454"/>
      <c r="AY825" s="458"/>
      <c r="AZ825" s="458"/>
      <c r="BA825" s="1305"/>
      <c r="BC825" s="169"/>
    </row>
    <row r="826" spans="19:55" ht="15.75" customHeight="1">
      <c r="S826" s="454"/>
      <c r="AY826" s="458"/>
      <c r="AZ826" s="458"/>
      <c r="BA826" s="1305"/>
      <c r="BC826" s="169"/>
    </row>
    <row r="827" spans="19:55" ht="15.75" customHeight="1">
      <c r="S827" s="454"/>
      <c r="AY827" s="458"/>
      <c r="AZ827" s="458"/>
      <c r="BA827" s="1305"/>
      <c r="BC827" s="169"/>
    </row>
    <row r="828" spans="19:55" ht="15.75" customHeight="1">
      <c r="S828" s="454"/>
      <c r="AY828" s="458"/>
      <c r="AZ828" s="458"/>
      <c r="BA828" s="1305"/>
      <c r="BC828" s="169"/>
    </row>
    <row r="829" spans="19:55" ht="15.75" customHeight="1">
      <c r="S829" s="454"/>
      <c r="AY829" s="458"/>
      <c r="AZ829" s="458"/>
      <c r="BA829" s="1305"/>
      <c r="BC829" s="169"/>
    </row>
    <row r="830" spans="19:55" ht="15.75" customHeight="1">
      <c r="S830" s="454"/>
      <c r="AY830" s="458"/>
      <c r="AZ830" s="458"/>
      <c r="BA830" s="1305"/>
      <c r="BC830" s="169"/>
    </row>
    <row r="831" spans="19:55" ht="15.75" customHeight="1">
      <c r="S831" s="454"/>
      <c r="AY831" s="458"/>
      <c r="AZ831" s="458"/>
      <c r="BA831" s="1305"/>
      <c r="BC831" s="169"/>
    </row>
    <row r="832" spans="19:55" ht="15.75" customHeight="1">
      <c r="S832" s="454"/>
      <c r="AY832" s="458"/>
      <c r="AZ832" s="458"/>
      <c r="BA832" s="1305"/>
      <c r="BC832" s="169"/>
    </row>
    <row r="833" spans="19:55" ht="15.75" customHeight="1">
      <c r="S833" s="454"/>
      <c r="AY833" s="458"/>
      <c r="AZ833" s="458"/>
      <c r="BA833" s="1305"/>
      <c r="BC833" s="169"/>
    </row>
    <row r="834" spans="19:55" ht="15.75" customHeight="1">
      <c r="S834" s="454"/>
      <c r="AY834" s="458"/>
      <c r="AZ834" s="458"/>
      <c r="BA834" s="1305"/>
      <c r="BC834" s="169"/>
    </row>
    <row r="835" spans="19:55" ht="15.75" customHeight="1">
      <c r="S835" s="454"/>
      <c r="AY835" s="458"/>
      <c r="AZ835" s="458"/>
      <c r="BA835" s="1305"/>
      <c r="BC835" s="169"/>
    </row>
    <row r="836" spans="19:55" ht="15.75" customHeight="1">
      <c r="S836" s="454"/>
      <c r="AY836" s="458"/>
      <c r="AZ836" s="458"/>
      <c r="BA836" s="1305"/>
      <c r="BC836" s="169"/>
    </row>
    <row r="837" spans="19:55" ht="15.75" customHeight="1">
      <c r="S837" s="454"/>
      <c r="AY837" s="458"/>
      <c r="AZ837" s="458"/>
      <c r="BA837" s="1305"/>
      <c r="BC837" s="169"/>
    </row>
    <row r="838" spans="19:55" ht="15.75" customHeight="1">
      <c r="S838" s="454"/>
      <c r="AY838" s="458"/>
      <c r="AZ838" s="458"/>
      <c r="BA838" s="1305"/>
      <c r="BC838" s="169"/>
    </row>
    <row r="839" spans="19:55" ht="15.75" customHeight="1">
      <c r="S839" s="454"/>
      <c r="AY839" s="458"/>
      <c r="AZ839" s="458"/>
      <c r="BA839" s="1305"/>
      <c r="BC839" s="169"/>
    </row>
    <row r="840" spans="19:55" ht="15.75" customHeight="1">
      <c r="S840" s="454"/>
      <c r="AY840" s="458"/>
      <c r="AZ840" s="458"/>
      <c r="BA840" s="1305"/>
      <c r="BC840" s="169"/>
    </row>
    <row r="841" spans="19:55" ht="15.75" customHeight="1">
      <c r="S841" s="454"/>
      <c r="AY841" s="458"/>
      <c r="AZ841" s="458"/>
      <c r="BA841" s="1305"/>
      <c r="BC841" s="169"/>
    </row>
    <row r="842" spans="19:55" ht="15.75" customHeight="1">
      <c r="S842" s="454"/>
      <c r="AY842" s="458"/>
      <c r="AZ842" s="458"/>
      <c r="BA842" s="1305"/>
      <c r="BC842" s="169"/>
    </row>
    <row r="843" spans="19:55" ht="15.75" customHeight="1">
      <c r="S843" s="454"/>
      <c r="AY843" s="458"/>
      <c r="AZ843" s="458"/>
      <c r="BA843" s="1305"/>
      <c r="BC843" s="169"/>
    </row>
    <row r="844" spans="19:55" ht="15.75" customHeight="1">
      <c r="S844" s="454"/>
      <c r="AY844" s="458"/>
      <c r="AZ844" s="458"/>
      <c r="BA844" s="1305"/>
      <c r="BC844" s="169"/>
    </row>
    <row r="845" spans="19:55" ht="15.75" customHeight="1">
      <c r="S845" s="454"/>
      <c r="AY845" s="458"/>
      <c r="AZ845" s="458"/>
      <c r="BA845" s="1305"/>
      <c r="BC845" s="169"/>
    </row>
    <row r="846" spans="19:55" ht="15.75" customHeight="1">
      <c r="S846" s="454"/>
      <c r="AY846" s="458"/>
      <c r="AZ846" s="458"/>
      <c r="BA846" s="1305"/>
      <c r="BC846" s="169"/>
    </row>
    <row r="847" spans="19:55" ht="15.75" customHeight="1">
      <c r="S847" s="454"/>
      <c r="AY847" s="458"/>
      <c r="AZ847" s="458"/>
      <c r="BA847" s="1305"/>
      <c r="BC847" s="169"/>
    </row>
    <row r="848" spans="19:55" ht="15.75" customHeight="1">
      <c r="S848" s="454"/>
      <c r="AY848" s="458"/>
      <c r="AZ848" s="458"/>
      <c r="BA848" s="1305"/>
      <c r="BC848" s="169"/>
    </row>
    <row r="849" spans="19:55" ht="15.75" customHeight="1">
      <c r="S849" s="454"/>
      <c r="AY849" s="458"/>
      <c r="AZ849" s="458"/>
      <c r="BA849" s="1305"/>
      <c r="BC849" s="169"/>
    </row>
    <row r="850" spans="19:55" ht="15.75" customHeight="1">
      <c r="S850" s="454"/>
      <c r="AY850" s="458"/>
      <c r="AZ850" s="458"/>
      <c r="BA850" s="1305"/>
      <c r="BC850" s="169"/>
    </row>
    <row r="851" spans="19:55" ht="15.75" customHeight="1">
      <c r="S851" s="454"/>
      <c r="AY851" s="458"/>
      <c r="AZ851" s="458"/>
      <c r="BA851" s="1305"/>
      <c r="BC851" s="169"/>
    </row>
    <row r="852" spans="19:55" ht="15.75" customHeight="1">
      <c r="S852" s="454"/>
      <c r="AY852" s="458"/>
      <c r="AZ852" s="458"/>
      <c r="BA852" s="1305"/>
      <c r="BC852" s="169"/>
    </row>
    <row r="853" spans="19:55" ht="15.75" customHeight="1">
      <c r="S853" s="454"/>
      <c r="AY853" s="458"/>
      <c r="AZ853" s="458"/>
      <c r="BA853" s="1305"/>
      <c r="BC853" s="169"/>
    </row>
    <row r="854" spans="19:55" ht="15.75" customHeight="1">
      <c r="S854" s="454"/>
      <c r="AY854" s="458"/>
      <c r="AZ854" s="458"/>
      <c r="BA854" s="1305"/>
      <c r="BC854" s="169"/>
    </row>
    <row r="855" spans="19:55" ht="15.75" customHeight="1">
      <c r="S855" s="454"/>
      <c r="AY855" s="458"/>
      <c r="AZ855" s="458"/>
      <c r="BA855" s="1305"/>
      <c r="BC855" s="169"/>
    </row>
    <row r="856" spans="19:55" ht="15.75" customHeight="1">
      <c r="S856" s="454"/>
      <c r="AY856" s="458"/>
      <c r="AZ856" s="458"/>
      <c r="BA856" s="1305"/>
      <c r="BC856" s="169"/>
    </row>
    <row r="857" spans="19:55" ht="15.75" customHeight="1">
      <c r="S857" s="454"/>
      <c r="AY857" s="458"/>
      <c r="AZ857" s="458"/>
      <c r="BA857" s="1305"/>
      <c r="BC857" s="169"/>
    </row>
    <row r="858" spans="19:55" ht="15.75" customHeight="1">
      <c r="S858" s="454"/>
      <c r="AY858" s="458"/>
      <c r="AZ858" s="458"/>
      <c r="BA858" s="1305"/>
      <c r="BC858" s="169"/>
    </row>
    <row r="859" spans="19:55" ht="15.75" customHeight="1">
      <c r="S859" s="454"/>
      <c r="AY859" s="458"/>
      <c r="AZ859" s="458"/>
      <c r="BA859" s="1305"/>
      <c r="BC859" s="169"/>
    </row>
    <row r="860" spans="19:55" ht="15.75" customHeight="1">
      <c r="S860" s="454"/>
      <c r="AY860" s="458"/>
      <c r="AZ860" s="458"/>
      <c r="BA860" s="1305"/>
      <c r="BC860" s="169"/>
    </row>
    <row r="861" spans="19:55" ht="15.75" customHeight="1">
      <c r="S861" s="454"/>
      <c r="AY861" s="458"/>
      <c r="AZ861" s="458"/>
      <c r="BA861" s="1305"/>
      <c r="BC861" s="169"/>
    </row>
    <row r="862" spans="19:55" ht="15.75" customHeight="1">
      <c r="S862" s="454"/>
      <c r="AY862" s="458"/>
      <c r="AZ862" s="458"/>
      <c r="BA862" s="1305"/>
      <c r="BC862" s="169"/>
    </row>
    <row r="863" spans="19:55" ht="15.75" customHeight="1">
      <c r="S863" s="454"/>
      <c r="AY863" s="458"/>
      <c r="AZ863" s="458"/>
      <c r="BA863" s="1305"/>
      <c r="BC863" s="169"/>
    </row>
    <row r="864" spans="19:55" ht="15.75" customHeight="1">
      <c r="S864" s="454"/>
      <c r="AY864" s="458"/>
      <c r="AZ864" s="458"/>
      <c r="BA864" s="1305"/>
      <c r="BC864" s="169"/>
    </row>
    <row r="865" spans="19:55" ht="15.75" customHeight="1">
      <c r="S865" s="454"/>
      <c r="AY865" s="458"/>
      <c r="AZ865" s="458"/>
      <c r="BA865" s="1305"/>
      <c r="BC865" s="169"/>
    </row>
    <row r="866" spans="19:55" ht="15.75" customHeight="1">
      <c r="S866" s="454"/>
      <c r="AY866" s="458"/>
      <c r="AZ866" s="458"/>
      <c r="BA866" s="1305"/>
      <c r="BC866" s="169"/>
    </row>
    <row r="867" spans="19:55" ht="15.75" customHeight="1">
      <c r="S867" s="454"/>
      <c r="AY867" s="458"/>
      <c r="AZ867" s="458"/>
      <c r="BA867" s="1305"/>
      <c r="BC867" s="169"/>
    </row>
    <row r="868" spans="19:55" ht="15.75" customHeight="1">
      <c r="S868" s="454"/>
      <c r="AY868" s="458"/>
      <c r="AZ868" s="458"/>
      <c r="BA868" s="1305"/>
      <c r="BC868" s="169"/>
    </row>
    <row r="869" spans="19:55" ht="15.75" customHeight="1">
      <c r="S869" s="454"/>
      <c r="AY869" s="458"/>
      <c r="AZ869" s="458"/>
      <c r="BA869" s="1305"/>
      <c r="BC869" s="169"/>
    </row>
    <row r="870" spans="19:55" ht="15.75" customHeight="1">
      <c r="S870" s="454"/>
      <c r="AY870" s="458"/>
      <c r="AZ870" s="458"/>
      <c r="BA870" s="1305"/>
      <c r="BC870" s="169"/>
    </row>
    <row r="871" spans="19:55" ht="15.75" customHeight="1">
      <c r="S871" s="454"/>
      <c r="AY871" s="458"/>
      <c r="AZ871" s="458"/>
      <c r="BA871" s="1305"/>
      <c r="BC871" s="169"/>
    </row>
    <row r="872" spans="19:55" ht="15.75" customHeight="1">
      <c r="S872" s="454"/>
      <c r="AY872" s="458"/>
      <c r="AZ872" s="458"/>
      <c r="BA872" s="1305"/>
      <c r="BC872" s="169"/>
    </row>
    <row r="873" spans="19:55" ht="15.75" customHeight="1">
      <c r="S873" s="454"/>
      <c r="AY873" s="458"/>
      <c r="AZ873" s="458"/>
      <c r="BA873" s="1305"/>
      <c r="BC873" s="169"/>
    </row>
    <row r="874" spans="19:55" ht="15.75" customHeight="1">
      <c r="S874" s="454"/>
      <c r="AY874" s="458"/>
      <c r="AZ874" s="458"/>
      <c r="BA874" s="1305"/>
      <c r="BC874" s="169"/>
    </row>
    <row r="875" spans="19:55" ht="15.75" customHeight="1">
      <c r="S875" s="454"/>
      <c r="AY875" s="458"/>
      <c r="AZ875" s="458"/>
      <c r="BA875" s="1305"/>
      <c r="BC875" s="169"/>
    </row>
    <row r="876" spans="19:55" ht="15.75" customHeight="1">
      <c r="S876" s="454"/>
      <c r="AY876" s="458"/>
      <c r="AZ876" s="458"/>
      <c r="BA876" s="1305"/>
      <c r="BC876" s="169"/>
    </row>
    <row r="877" spans="19:55" ht="15.75" customHeight="1">
      <c r="S877" s="454"/>
      <c r="AY877" s="458"/>
      <c r="AZ877" s="458"/>
      <c r="BA877" s="1305"/>
      <c r="BC877" s="169"/>
    </row>
    <row r="878" spans="19:55" ht="15.75" customHeight="1">
      <c r="S878" s="454"/>
      <c r="AY878" s="458"/>
      <c r="AZ878" s="458"/>
      <c r="BA878" s="1305"/>
      <c r="BC878" s="169"/>
    </row>
    <row r="879" spans="19:55" ht="15.75" customHeight="1">
      <c r="S879" s="454"/>
      <c r="AY879" s="458"/>
      <c r="AZ879" s="458"/>
      <c r="BA879" s="1305"/>
      <c r="BC879" s="169"/>
    </row>
    <row r="880" spans="19:55" ht="15.75" customHeight="1">
      <c r="S880" s="454"/>
      <c r="AY880" s="458"/>
      <c r="AZ880" s="458"/>
      <c r="BA880" s="1305"/>
      <c r="BC880" s="169"/>
    </row>
    <row r="881" spans="19:55" ht="15.75" customHeight="1">
      <c r="S881" s="454"/>
      <c r="AY881" s="458"/>
      <c r="AZ881" s="458"/>
      <c r="BA881" s="1305"/>
      <c r="BC881" s="169"/>
    </row>
    <row r="882" spans="19:55" ht="15.75" customHeight="1">
      <c r="S882" s="454"/>
      <c r="AY882" s="458"/>
      <c r="AZ882" s="458"/>
      <c r="BA882" s="1305"/>
      <c r="BC882" s="169"/>
    </row>
    <row r="883" spans="19:55" ht="15.75" customHeight="1">
      <c r="S883" s="454"/>
      <c r="AY883" s="458"/>
      <c r="AZ883" s="458"/>
      <c r="BA883" s="1305"/>
      <c r="BC883" s="169"/>
    </row>
    <row r="884" spans="19:55" ht="15.75" customHeight="1">
      <c r="S884" s="454"/>
      <c r="AY884" s="458"/>
      <c r="AZ884" s="458"/>
      <c r="BA884" s="1305"/>
      <c r="BC884" s="169"/>
    </row>
    <row r="885" spans="19:55" ht="15.75" customHeight="1">
      <c r="S885" s="454"/>
      <c r="AY885" s="458"/>
      <c r="AZ885" s="458"/>
      <c r="BA885" s="1305"/>
      <c r="BC885" s="169"/>
    </row>
    <row r="886" spans="19:55" ht="15.75" customHeight="1">
      <c r="S886" s="454"/>
      <c r="AY886" s="458"/>
      <c r="AZ886" s="458"/>
      <c r="BA886" s="1305"/>
      <c r="BC886" s="169"/>
    </row>
    <row r="887" spans="19:55" ht="15.75" customHeight="1">
      <c r="S887" s="454"/>
      <c r="AY887" s="458"/>
      <c r="AZ887" s="458"/>
      <c r="BA887" s="1305"/>
      <c r="BC887" s="169"/>
    </row>
    <row r="888" spans="19:55" ht="15.75" customHeight="1">
      <c r="S888" s="454"/>
      <c r="AY888" s="458"/>
      <c r="AZ888" s="458"/>
      <c r="BA888" s="1305"/>
      <c r="BC888" s="169"/>
    </row>
    <row r="889" spans="19:55" ht="15.75" customHeight="1">
      <c r="S889" s="454"/>
      <c r="AY889" s="458"/>
      <c r="AZ889" s="458"/>
      <c r="BA889" s="1305"/>
      <c r="BC889" s="169"/>
    </row>
    <row r="890" spans="19:55" ht="15.75" customHeight="1">
      <c r="S890" s="454"/>
      <c r="AY890" s="458"/>
      <c r="AZ890" s="458"/>
      <c r="BA890" s="1305"/>
      <c r="BC890" s="169"/>
    </row>
    <row r="891" spans="19:55" ht="15.75" customHeight="1">
      <c r="S891" s="454"/>
      <c r="AY891" s="458"/>
      <c r="AZ891" s="458"/>
      <c r="BA891" s="1305"/>
      <c r="BC891" s="169"/>
    </row>
    <row r="892" spans="19:55" ht="15.75" customHeight="1">
      <c r="S892" s="454"/>
      <c r="AY892" s="458"/>
      <c r="AZ892" s="458"/>
      <c r="BA892" s="1305"/>
      <c r="BC892" s="169"/>
    </row>
    <row r="893" spans="19:55" ht="15.75" customHeight="1">
      <c r="S893" s="454"/>
      <c r="AY893" s="458"/>
      <c r="AZ893" s="458"/>
      <c r="BA893" s="1305"/>
      <c r="BC893" s="169"/>
    </row>
    <row r="894" spans="19:55" ht="15.75" customHeight="1">
      <c r="S894" s="454"/>
      <c r="AY894" s="458"/>
      <c r="AZ894" s="458"/>
      <c r="BA894" s="1305"/>
      <c r="BC894" s="169"/>
    </row>
    <row r="895" spans="19:55" ht="15.75" customHeight="1">
      <c r="S895" s="454"/>
      <c r="AY895" s="458"/>
      <c r="AZ895" s="458"/>
      <c r="BA895" s="1305"/>
      <c r="BC895" s="169"/>
    </row>
    <row r="896" spans="19:55" ht="15.75" customHeight="1">
      <c r="S896" s="454"/>
      <c r="AY896" s="458"/>
      <c r="AZ896" s="458"/>
      <c r="BA896" s="1305"/>
      <c r="BC896" s="169"/>
    </row>
    <row r="897" spans="19:55" ht="15.75" customHeight="1">
      <c r="S897" s="454"/>
      <c r="AY897" s="458"/>
      <c r="AZ897" s="458"/>
      <c r="BA897" s="1305"/>
      <c r="BC897" s="169"/>
    </row>
    <row r="898" spans="19:55" ht="15.75" customHeight="1">
      <c r="S898" s="454"/>
      <c r="AY898" s="458"/>
      <c r="AZ898" s="458"/>
      <c r="BA898" s="1305"/>
      <c r="BC898" s="169"/>
    </row>
    <row r="899" spans="19:55" ht="15.75" customHeight="1">
      <c r="S899" s="454"/>
      <c r="AY899" s="458"/>
      <c r="AZ899" s="458"/>
      <c r="BA899" s="1305"/>
      <c r="BC899" s="169"/>
    </row>
    <row r="900" spans="19:55" ht="15.75" customHeight="1">
      <c r="S900" s="454"/>
      <c r="AY900" s="458"/>
      <c r="AZ900" s="458"/>
      <c r="BA900" s="1305"/>
      <c r="BC900" s="169"/>
    </row>
    <row r="901" spans="19:55" ht="15.75" customHeight="1">
      <c r="S901" s="454"/>
      <c r="AY901" s="458"/>
      <c r="AZ901" s="458"/>
      <c r="BA901" s="1305"/>
      <c r="BC901" s="169"/>
    </row>
    <row r="902" spans="19:55" ht="15.75" customHeight="1">
      <c r="S902" s="454"/>
      <c r="AY902" s="458"/>
      <c r="AZ902" s="458"/>
      <c r="BA902" s="1305"/>
      <c r="BC902" s="169"/>
    </row>
    <row r="903" spans="19:55" ht="15.75" customHeight="1">
      <c r="S903" s="454"/>
      <c r="AY903" s="458"/>
      <c r="AZ903" s="458"/>
      <c r="BA903" s="1305"/>
      <c r="BC903" s="169"/>
    </row>
    <row r="904" spans="19:55" ht="15.75" customHeight="1">
      <c r="S904" s="454"/>
      <c r="AY904" s="458"/>
      <c r="AZ904" s="458"/>
      <c r="BA904" s="1305"/>
      <c r="BC904" s="169"/>
    </row>
    <row r="905" spans="19:55" ht="15.75" customHeight="1">
      <c r="S905" s="454"/>
      <c r="AY905" s="458"/>
      <c r="AZ905" s="458"/>
      <c r="BA905" s="1305"/>
      <c r="BC905" s="169"/>
    </row>
    <row r="906" spans="19:55" ht="15.75" customHeight="1">
      <c r="S906" s="454"/>
      <c r="AY906" s="458"/>
      <c r="AZ906" s="458"/>
      <c r="BA906" s="1305"/>
      <c r="BC906" s="169"/>
    </row>
    <row r="907" spans="19:55" ht="15.75" customHeight="1">
      <c r="S907" s="454"/>
      <c r="AY907" s="458"/>
      <c r="AZ907" s="458"/>
      <c r="BA907" s="1305"/>
      <c r="BC907" s="169"/>
    </row>
    <row r="908" spans="19:55" ht="15.75" customHeight="1">
      <c r="S908" s="454"/>
      <c r="AY908" s="458"/>
      <c r="AZ908" s="458"/>
      <c r="BA908" s="1305"/>
      <c r="BC908" s="169"/>
    </row>
    <row r="909" spans="19:55" ht="15.75" customHeight="1">
      <c r="S909" s="454"/>
      <c r="AY909" s="458"/>
      <c r="AZ909" s="458"/>
      <c r="BA909" s="1305"/>
      <c r="BC909" s="169"/>
    </row>
    <row r="910" spans="19:55" ht="15.75" customHeight="1">
      <c r="S910" s="454"/>
      <c r="AY910" s="458"/>
      <c r="AZ910" s="458"/>
      <c r="BA910" s="1305"/>
      <c r="BC910" s="169"/>
    </row>
    <row r="911" spans="19:55" ht="15.75" customHeight="1">
      <c r="S911" s="454"/>
      <c r="AY911" s="458"/>
      <c r="AZ911" s="458"/>
      <c r="BA911" s="1305"/>
      <c r="BC911" s="169"/>
    </row>
    <row r="912" spans="19:55" ht="15.75" customHeight="1">
      <c r="S912" s="454"/>
      <c r="AY912" s="458"/>
      <c r="AZ912" s="458"/>
      <c r="BA912" s="1305"/>
      <c r="BC912" s="169"/>
    </row>
    <row r="913" spans="19:55" ht="15.75" customHeight="1">
      <c r="S913" s="454"/>
      <c r="AY913" s="458"/>
      <c r="AZ913" s="458"/>
      <c r="BA913" s="1305"/>
      <c r="BC913" s="169"/>
    </row>
    <row r="914" spans="19:55" ht="15.75" customHeight="1">
      <c r="S914" s="454"/>
      <c r="AY914" s="458"/>
      <c r="AZ914" s="458"/>
      <c r="BA914" s="1305"/>
      <c r="BC914" s="169"/>
    </row>
    <row r="915" spans="19:55" ht="15.75" customHeight="1">
      <c r="S915" s="454"/>
      <c r="AY915" s="458"/>
      <c r="AZ915" s="458"/>
      <c r="BA915" s="1305"/>
      <c r="BC915" s="169"/>
    </row>
    <row r="916" spans="19:55" ht="15.75" customHeight="1">
      <c r="S916" s="454"/>
      <c r="AY916" s="458"/>
      <c r="AZ916" s="458"/>
      <c r="BA916" s="1305"/>
      <c r="BC916" s="169"/>
    </row>
    <row r="917" spans="19:55" ht="15.75" customHeight="1">
      <c r="S917" s="454"/>
      <c r="AY917" s="458"/>
      <c r="AZ917" s="458"/>
      <c r="BA917" s="1305"/>
      <c r="BC917" s="169"/>
    </row>
    <row r="918" spans="19:55" ht="15.75" customHeight="1">
      <c r="S918" s="454"/>
      <c r="AY918" s="458"/>
      <c r="AZ918" s="458"/>
      <c r="BA918" s="1305"/>
      <c r="BC918" s="169"/>
    </row>
    <row r="919" spans="19:55" ht="15.75" customHeight="1">
      <c r="S919" s="454"/>
      <c r="AY919" s="458"/>
      <c r="AZ919" s="458"/>
      <c r="BA919" s="1305"/>
      <c r="BC919" s="169"/>
    </row>
    <row r="920" spans="19:55" ht="15.75" customHeight="1">
      <c r="S920" s="454"/>
      <c r="AY920" s="458"/>
      <c r="AZ920" s="458"/>
      <c r="BA920" s="1305"/>
      <c r="BC920" s="169"/>
    </row>
    <row r="921" spans="19:55" ht="15.75" customHeight="1">
      <c r="S921" s="454"/>
      <c r="AY921" s="458"/>
      <c r="AZ921" s="458"/>
      <c r="BA921" s="1305"/>
      <c r="BC921" s="169"/>
    </row>
    <row r="922" spans="19:55" ht="15.75" customHeight="1">
      <c r="S922" s="454"/>
      <c r="AY922" s="458"/>
      <c r="AZ922" s="458"/>
      <c r="BA922" s="1305"/>
      <c r="BC922" s="169"/>
    </row>
    <row r="923" spans="19:55" ht="15.75" customHeight="1">
      <c r="S923" s="454"/>
      <c r="AY923" s="458"/>
      <c r="AZ923" s="458"/>
      <c r="BA923" s="1305"/>
      <c r="BC923" s="169"/>
    </row>
    <row r="924" spans="19:55" ht="15.75" customHeight="1">
      <c r="S924" s="454"/>
      <c r="AY924" s="458"/>
      <c r="AZ924" s="458"/>
      <c r="BA924" s="1305"/>
      <c r="BC924" s="169"/>
    </row>
    <row r="925" spans="19:55" ht="15.75" customHeight="1">
      <c r="S925" s="454"/>
      <c r="AY925" s="458"/>
      <c r="AZ925" s="458"/>
      <c r="BA925" s="1305"/>
      <c r="BC925" s="169"/>
    </row>
    <row r="926" spans="19:55" ht="15.75" customHeight="1">
      <c r="S926" s="454"/>
      <c r="AY926" s="458"/>
      <c r="AZ926" s="458"/>
      <c r="BA926" s="1305"/>
      <c r="BC926" s="169"/>
    </row>
    <row r="927" spans="19:55" ht="15.75" customHeight="1">
      <c r="S927" s="454"/>
      <c r="AY927" s="458"/>
      <c r="AZ927" s="458"/>
      <c r="BA927" s="1305"/>
      <c r="BC927" s="169"/>
    </row>
    <row r="928" spans="19:55" ht="15.75" customHeight="1">
      <c r="S928" s="454"/>
      <c r="AY928" s="458"/>
      <c r="AZ928" s="458"/>
      <c r="BA928" s="1305"/>
      <c r="BC928" s="169"/>
    </row>
    <row r="929" spans="19:55" ht="15.75" customHeight="1">
      <c r="S929" s="454"/>
      <c r="AY929" s="458"/>
      <c r="AZ929" s="458"/>
      <c r="BA929" s="1305"/>
      <c r="BC929" s="169"/>
    </row>
    <row r="930" spans="19:55" ht="15.75" customHeight="1">
      <c r="S930" s="454"/>
      <c r="AY930" s="458"/>
      <c r="AZ930" s="458"/>
      <c r="BA930" s="1305"/>
      <c r="BC930" s="169"/>
    </row>
    <row r="931" spans="19:55" ht="15.75" customHeight="1">
      <c r="S931" s="454"/>
      <c r="AY931" s="458"/>
      <c r="AZ931" s="458"/>
      <c r="BA931" s="1305"/>
      <c r="BC931" s="169"/>
    </row>
    <row r="932" spans="19:55" ht="15.75" customHeight="1">
      <c r="S932" s="454"/>
      <c r="AY932" s="458"/>
      <c r="AZ932" s="458"/>
      <c r="BA932" s="1305"/>
      <c r="BC932" s="169"/>
    </row>
    <row r="933" spans="19:55" ht="15.75" customHeight="1">
      <c r="S933" s="454"/>
      <c r="AY933" s="458"/>
      <c r="AZ933" s="458"/>
      <c r="BA933" s="1305"/>
      <c r="BC933" s="169"/>
    </row>
    <row r="934" spans="19:55" ht="15.75" customHeight="1">
      <c r="S934" s="454"/>
      <c r="AY934" s="458"/>
      <c r="AZ934" s="458"/>
      <c r="BA934" s="1305"/>
      <c r="BC934" s="169"/>
    </row>
    <row r="935" spans="19:55" ht="15.75" customHeight="1">
      <c r="S935" s="454"/>
      <c r="AY935" s="458"/>
      <c r="AZ935" s="458"/>
      <c r="BA935" s="1305"/>
      <c r="BC935" s="169"/>
    </row>
    <row r="936" spans="19:55" ht="15.75" customHeight="1">
      <c r="S936" s="454"/>
      <c r="AY936" s="458"/>
      <c r="AZ936" s="458"/>
      <c r="BA936" s="1305"/>
      <c r="BC936" s="169"/>
    </row>
    <row r="937" spans="19:55" ht="15.75" customHeight="1">
      <c r="S937" s="454"/>
      <c r="AY937" s="458"/>
      <c r="AZ937" s="458"/>
      <c r="BA937" s="1305"/>
      <c r="BC937" s="169"/>
    </row>
    <row r="938" spans="19:55" ht="15.75" customHeight="1">
      <c r="S938" s="454"/>
      <c r="AY938" s="458"/>
      <c r="AZ938" s="458"/>
      <c r="BA938" s="1305"/>
      <c r="BC938" s="169"/>
    </row>
    <row r="939" spans="19:55" ht="15.75" customHeight="1">
      <c r="S939" s="454"/>
      <c r="AY939" s="458"/>
      <c r="AZ939" s="458"/>
      <c r="BA939" s="1305"/>
      <c r="BC939" s="169"/>
    </row>
    <row r="940" spans="19:55" ht="15.75" customHeight="1">
      <c r="S940" s="454"/>
      <c r="AY940" s="458"/>
      <c r="AZ940" s="458"/>
      <c r="BA940" s="1305"/>
      <c r="BC940" s="169"/>
    </row>
    <row r="941" spans="19:55" ht="15.75" customHeight="1">
      <c r="S941" s="454"/>
      <c r="AY941" s="458"/>
      <c r="AZ941" s="458"/>
      <c r="BA941" s="1305"/>
      <c r="BC941" s="169"/>
    </row>
    <row r="942" spans="19:55" ht="15.75" customHeight="1">
      <c r="S942" s="454"/>
      <c r="AY942" s="458"/>
      <c r="AZ942" s="458"/>
      <c r="BA942" s="1305"/>
      <c r="BC942" s="169"/>
    </row>
    <row r="943" spans="19:55" ht="15.75" customHeight="1">
      <c r="S943" s="454"/>
      <c r="AY943" s="458"/>
      <c r="AZ943" s="458"/>
      <c r="BA943" s="1305"/>
      <c r="BC943" s="169"/>
    </row>
    <row r="944" spans="19:55" ht="15.75" customHeight="1">
      <c r="S944" s="454"/>
      <c r="AY944" s="458"/>
      <c r="AZ944" s="458"/>
      <c r="BA944" s="1305"/>
      <c r="BC944" s="169"/>
    </row>
    <row r="945" spans="19:55" ht="15.75" customHeight="1">
      <c r="S945" s="454"/>
      <c r="AY945" s="458"/>
      <c r="AZ945" s="458"/>
      <c r="BA945" s="1305"/>
      <c r="BC945" s="169"/>
    </row>
    <row r="946" spans="19:55" ht="15.75" customHeight="1">
      <c r="S946" s="454"/>
      <c r="AY946" s="458"/>
      <c r="AZ946" s="458"/>
      <c r="BA946" s="1305"/>
      <c r="BC946" s="169"/>
    </row>
    <row r="947" spans="19:55" ht="15.75" customHeight="1">
      <c r="S947" s="454"/>
      <c r="AY947" s="458"/>
      <c r="AZ947" s="458"/>
      <c r="BA947" s="1305"/>
      <c r="BC947" s="169"/>
    </row>
    <row r="948" spans="19:55" ht="15.75" customHeight="1">
      <c r="S948" s="454"/>
      <c r="AY948" s="458"/>
      <c r="AZ948" s="458"/>
      <c r="BA948" s="1305"/>
      <c r="BC948" s="169"/>
    </row>
    <row r="949" spans="19:55" ht="15.75" customHeight="1">
      <c r="S949" s="454"/>
      <c r="AY949" s="458"/>
      <c r="AZ949" s="458"/>
      <c r="BA949" s="1305"/>
      <c r="BC949" s="169"/>
    </row>
    <row r="950" spans="19:55" ht="15.75" customHeight="1">
      <c r="S950" s="454"/>
      <c r="AY950" s="458"/>
      <c r="AZ950" s="458"/>
      <c r="BA950" s="1305"/>
      <c r="BC950" s="169"/>
    </row>
    <row r="951" spans="19:55" ht="15.75" customHeight="1">
      <c r="S951" s="454"/>
      <c r="AY951" s="458"/>
      <c r="AZ951" s="458"/>
      <c r="BA951" s="1305"/>
      <c r="BC951" s="169"/>
    </row>
    <row r="952" spans="19:55" ht="15.75" customHeight="1">
      <c r="S952" s="454"/>
      <c r="AY952" s="458"/>
      <c r="AZ952" s="458"/>
      <c r="BA952" s="1305"/>
      <c r="BC952" s="169"/>
    </row>
    <row r="953" spans="19:55" ht="15.75" customHeight="1">
      <c r="S953" s="454"/>
      <c r="AY953" s="458"/>
      <c r="AZ953" s="458"/>
      <c r="BA953" s="1305"/>
      <c r="BC953" s="169"/>
    </row>
    <row r="954" spans="19:55" ht="15.75" customHeight="1">
      <c r="S954" s="454"/>
      <c r="AY954" s="458"/>
      <c r="AZ954" s="458"/>
      <c r="BA954" s="1305"/>
      <c r="BC954" s="169"/>
    </row>
    <row r="955" spans="19:55" ht="15.75" customHeight="1">
      <c r="S955" s="454"/>
      <c r="AY955" s="458"/>
      <c r="AZ955" s="458"/>
      <c r="BA955" s="1305"/>
      <c r="BC955" s="169"/>
    </row>
    <row r="956" spans="19:55" ht="15.75" customHeight="1">
      <c r="S956" s="454"/>
      <c r="AY956" s="458"/>
      <c r="AZ956" s="458"/>
      <c r="BA956" s="1305"/>
      <c r="BC956" s="169"/>
    </row>
    <row r="957" spans="19:55" ht="15.75" customHeight="1">
      <c r="S957" s="454"/>
      <c r="AY957" s="458"/>
      <c r="AZ957" s="458"/>
      <c r="BA957" s="1305"/>
      <c r="BC957" s="169"/>
    </row>
    <row r="958" spans="19:55" ht="15.75" customHeight="1">
      <c r="S958" s="454"/>
      <c r="AY958" s="458"/>
      <c r="AZ958" s="458"/>
      <c r="BA958" s="1305"/>
      <c r="BC958" s="169"/>
    </row>
    <row r="959" spans="19:55" ht="15.75" customHeight="1">
      <c r="S959" s="454"/>
      <c r="AY959" s="458"/>
      <c r="AZ959" s="458"/>
      <c r="BA959" s="1305"/>
      <c r="BC959" s="169"/>
    </row>
    <row r="960" spans="19:55" ht="15.75" customHeight="1">
      <c r="S960" s="454"/>
      <c r="AY960" s="458"/>
      <c r="AZ960" s="458"/>
      <c r="BA960" s="1305"/>
      <c r="BC960" s="169"/>
    </row>
    <row r="961" spans="19:55" ht="15.75" customHeight="1">
      <c r="S961" s="454"/>
      <c r="AY961" s="458"/>
      <c r="AZ961" s="458"/>
      <c r="BA961" s="1305"/>
      <c r="BC961" s="169"/>
    </row>
    <row r="962" spans="19:55" ht="15.75" customHeight="1">
      <c r="S962" s="454"/>
      <c r="AY962" s="458"/>
      <c r="AZ962" s="458"/>
      <c r="BA962" s="1305"/>
      <c r="BC962" s="169"/>
    </row>
    <row r="963" spans="19:55" ht="15.75" customHeight="1">
      <c r="S963" s="454"/>
      <c r="AY963" s="458"/>
      <c r="AZ963" s="458"/>
      <c r="BA963" s="1305"/>
      <c r="BC963" s="169"/>
    </row>
    <row r="964" spans="19:55" ht="15.75" customHeight="1">
      <c r="S964" s="454"/>
      <c r="AY964" s="458"/>
      <c r="AZ964" s="458"/>
      <c r="BA964" s="1305"/>
      <c r="BC964" s="169"/>
    </row>
    <row r="965" spans="19:55" ht="15.75" customHeight="1">
      <c r="S965" s="454"/>
      <c r="AY965" s="458"/>
      <c r="AZ965" s="458"/>
      <c r="BA965" s="1305"/>
      <c r="BC965" s="169"/>
    </row>
    <row r="966" spans="19:55" ht="15.75" customHeight="1">
      <c r="S966" s="454"/>
      <c r="AY966" s="458"/>
      <c r="AZ966" s="458"/>
      <c r="BA966" s="1305"/>
      <c r="BC966" s="169"/>
    </row>
    <row r="967" spans="19:55" ht="15.75" customHeight="1">
      <c r="S967" s="454"/>
      <c r="AY967" s="458"/>
      <c r="AZ967" s="458"/>
      <c r="BA967" s="1305"/>
      <c r="BC967" s="169"/>
    </row>
    <row r="968" spans="19:55" ht="15.75" customHeight="1">
      <c r="S968" s="454"/>
      <c r="AY968" s="458"/>
      <c r="AZ968" s="458"/>
      <c r="BA968" s="1305"/>
      <c r="BC968" s="169"/>
    </row>
    <row r="969" spans="19:55" ht="15.75" customHeight="1">
      <c r="S969" s="454"/>
      <c r="AY969" s="458"/>
      <c r="AZ969" s="458"/>
      <c r="BA969" s="1305"/>
      <c r="BC969" s="169"/>
    </row>
    <row r="970" spans="19:55" ht="15.75" customHeight="1">
      <c r="S970" s="454"/>
      <c r="AY970" s="458"/>
      <c r="AZ970" s="458"/>
      <c r="BA970" s="1305"/>
      <c r="BC970" s="169"/>
    </row>
    <row r="971" spans="19:55" ht="15.75" customHeight="1">
      <c r="S971" s="454"/>
      <c r="AY971" s="458"/>
      <c r="AZ971" s="458"/>
      <c r="BA971" s="1305"/>
      <c r="BC971" s="169"/>
    </row>
    <row r="972" spans="19:55" ht="15.75" customHeight="1">
      <c r="S972" s="454"/>
      <c r="AY972" s="458"/>
      <c r="AZ972" s="458"/>
      <c r="BA972" s="1305"/>
      <c r="BC972" s="169"/>
    </row>
    <row r="973" spans="19:55" ht="15.75" customHeight="1">
      <c r="S973" s="454"/>
      <c r="AY973" s="458"/>
      <c r="AZ973" s="458"/>
      <c r="BA973" s="1305"/>
      <c r="BC973" s="169"/>
    </row>
    <row r="974" spans="19:55" ht="15.75" customHeight="1">
      <c r="S974" s="454"/>
      <c r="AY974" s="458"/>
      <c r="AZ974" s="458"/>
      <c r="BA974" s="1305"/>
      <c r="BC974" s="169"/>
    </row>
    <row r="975" spans="19:55" ht="15.75" customHeight="1">
      <c r="S975" s="454"/>
      <c r="AY975" s="458"/>
      <c r="AZ975" s="458"/>
      <c r="BA975" s="1305"/>
      <c r="BC975" s="169"/>
    </row>
    <row r="976" spans="19:55" ht="15.75" customHeight="1">
      <c r="S976" s="454"/>
      <c r="AY976" s="458"/>
      <c r="AZ976" s="458"/>
      <c r="BA976" s="1305"/>
      <c r="BC976" s="169"/>
    </row>
    <row r="977" spans="19:55" ht="15.75" customHeight="1">
      <c r="S977" s="454"/>
      <c r="AY977" s="458"/>
      <c r="AZ977" s="458"/>
      <c r="BA977" s="1305"/>
      <c r="BC977" s="169"/>
    </row>
    <row r="978" spans="19:55" ht="15.75" customHeight="1">
      <c r="S978" s="454"/>
      <c r="AY978" s="458"/>
      <c r="AZ978" s="458"/>
      <c r="BA978" s="1305"/>
      <c r="BC978" s="169"/>
    </row>
    <row r="979" spans="19:55" ht="15.75" customHeight="1">
      <c r="S979" s="454"/>
      <c r="AY979" s="458"/>
      <c r="AZ979" s="458"/>
      <c r="BA979" s="1305"/>
      <c r="BC979" s="169"/>
    </row>
    <row r="980" spans="19:55" ht="15.75" customHeight="1">
      <c r="S980" s="454"/>
      <c r="AY980" s="458"/>
      <c r="AZ980" s="458"/>
      <c r="BA980" s="1305"/>
      <c r="BC980" s="169"/>
    </row>
    <row r="981" spans="19:55" ht="15.75" customHeight="1">
      <c r="S981" s="454"/>
      <c r="AY981" s="458"/>
      <c r="AZ981" s="458"/>
      <c r="BA981" s="1305"/>
      <c r="BC981" s="169"/>
    </row>
    <row r="982" spans="19:55" ht="15.75" customHeight="1">
      <c r="S982" s="454"/>
      <c r="AY982" s="458"/>
      <c r="AZ982" s="458"/>
      <c r="BA982" s="1305"/>
      <c r="BC982" s="169"/>
    </row>
    <row r="983" spans="19:55" ht="15.75" customHeight="1">
      <c r="S983" s="454"/>
      <c r="AY983" s="458"/>
      <c r="AZ983" s="458"/>
      <c r="BA983" s="1305"/>
      <c r="BC983" s="169"/>
    </row>
    <row r="984" spans="19:55" ht="15.75" customHeight="1">
      <c r="S984" s="454"/>
      <c r="AY984" s="458"/>
      <c r="AZ984" s="458"/>
      <c r="BA984" s="1305"/>
      <c r="BC984" s="169"/>
    </row>
    <row r="985" spans="19:55" ht="15.75" customHeight="1">
      <c r="S985" s="454"/>
      <c r="AY985" s="458"/>
      <c r="AZ985" s="458"/>
      <c r="BA985" s="1305"/>
      <c r="BC985" s="169"/>
    </row>
    <row r="986" spans="19:55" ht="15.75" customHeight="1">
      <c r="S986" s="454"/>
      <c r="AY986" s="458"/>
      <c r="AZ986" s="458"/>
      <c r="BA986" s="1305"/>
      <c r="BC986" s="169"/>
    </row>
    <row r="987" spans="19:55" ht="15.75" customHeight="1">
      <c r="S987" s="454"/>
      <c r="AY987" s="458"/>
      <c r="AZ987" s="458"/>
      <c r="BA987" s="1305"/>
      <c r="BC987" s="169"/>
    </row>
    <row r="988" spans="19:55" ht="15.75" customHeight="1">
      <c r="S988" s="454"/>
      <c r="AY988" s="458"/>
      <c r="AZ988" s="458"/>
      <c r="BA988" s="1305"/>
      <c r="BC988" s="169"/>
    </row>
    <row r="989" spans="19:55" ht="15.75" customHeight="1">
      <c r="S989" s="454"/>
      <c r="AY989" s="458"/>
      <c r="AZ989" s="458"/>
      <c r="BA989" s="1305"/>
      <c r="BC989" s="169"/>
    </row>
    <row r="990" spans="19:55" ht="15.75" customHeight="1">
      <c r="S990" s="454"/>
      <c r="AY990" s="458"/>
      <c r="AZ990" s="458"/>
      <c r="BA990" s="1305"/>
      <c r="BC990" s="169"/>
    </row>
    <row r="991" spans="19:55" ht="15.75" customHeight="1">
      <c r="S991" s="454"/>
      <c r="AY991" s="458"/>
      <c r="AZ991" s="458"/>
      <c r="BA991" s="1305"/>
      <c r="BC991" s="169"/>
    </row>
    <row r="992" spans="19:55" ht="15.75" customHeight="1">
      <c r="S992" s="454"/>
      <c r="AY992" s="458"/>
      <c r="AZ992" s="458"/>
      <c r="BA992" s="1305"/>
      <c r="BC992" s="169"/>
    </row>
    <row r="993" spans="19:55" ht="15.75" customHeight="1">
      <c r="S993" s="454"/>
      <c r="AY993" s="458"/>
      <c r="AZ993" s="458"/>
      <c r="BA993" s="1305"/>
      <c r="BC993" s="169"/>
    </row>
    <row r="994" spans="19:55" ht="15.75" customHeight="1">
      <c r="S994" s="454"/>
      <c r="AY994" s="458"/>
      <c r="AZ994" s="458"/>
      <c r="BA994" s="1305"/>
      <c r="BC994" s="169"/>
    </row>
    <row r="995" spans="19:55" ht="15.75" customHeight="1">
      <c r="S995" s="454"/>
      <c r="AY995" s="458"/>
      <c r="AZ995" s="458"/>
      <c r="BA995" s="1305"/>
      <c r="BC995" s="169"/>
    </row>
    <row r="996" spans="19:55" ht="15.75" customHeight="1">
      <c r="S996" s="454"/>
      <c r="AY996" s="458"/>
      <c r="AZ996" s="458"/>
      <c r="BA996" s="1305"/>
      <c r="BC996" s="169"/>
    </row>
    <row r="997" spans="19:55" ht="15.75" customHeight="1">
      <c r="S997" s="454"/>
      <c r="AY997" s="458"/>
      <c r="AZ997" s="458"/>
      <c r="BA997" s="1305"/>
      <c r="BC997" s="169"/>
    </row>
    <row r="998" spans="19:55" ht="15.75" customHeight="1">
      <c r="S998" s="454"/>
      <c r="AY998" s="458"/>
      <c r="AZ998" s="458"/>
      <c r="BA998" s="1305"/>
      <c r="BC998" s="169"/>
    </row>
    <row r="999" spans="19:55" ht="15.75" customHeight="1">
      <c r="S999" s="454"/>
      <c r="AY999" s="458"/>
      <c r="AZ999" s="458"/>
      <c r="BA999" s="1305"/>
      <c r="BC999" s="169"/>
    </row>
    <row r="1000" spans="19:55" ht="15.75" customHeight="1">
      <c r="S1000" s="454"/>
      <c r="AY1000" s="458"/>
      <c r="AZ1000" s="458"/>
      <c r="BA1000" s="1305"/>
      <c r="BC1000" s="169"/>
    </row>
    <row r="1001" spans="19:55" ht="15.75" customHeight="1">
      <c r="S1001" s="454"/>
      <c r="AY1001" s="458"/>
      <c r="AZ1001" s="458"/>
      <c r="BA1001" s="1305"/>
      <c r="BC1001" s="169"/>
    </row>
    <row r="1002" spans="19:55" ht="15.75" customHeight="1">
      <c r="S1002" s="454"/>
      <c r="AY1002" s="458"/>
      <c r="AZ1002" s="458"/>
      <c r="BA1002" s="1305"/>
      <c r="BC1002" s="169"/>
    </row>
    <row r="1003" spans="19:55" ht="15.75" customHeight="1">
      <c r="S1003" s="454"/>
      <c r="AY1003" s="458"/>
      <c r="AZ1003" s="458"/>
      <c r="BA1003" s="1305"/>
      <c r="BC1003" s="169"/>
    </row>
    <row r="1004" spans="19:55" ht="15.75" customHeight="1">
      <c r="S1004" s="454"/>
      <c r="AY1004" s="458"/>
      <c r="AZ1004" s="458"/>
      <c r="BA1004" s="1305"/>
      <c r="BC1004" s="169"/>
    </row>
    <row r="1005" spans="19:55" ht="15.75" customHeight="1">
      <c r="S1005" s="454"/>
      <c r="AY1005" s="458"/>
      <c r="AZ1005" s="458"/>
      <c r="BA1005" s="1305"/>
      <c r="BC1005" s="169"/>
    </row>
    <row r="1006" spans="19:55" ht="15.75" customHeight="1">
      <c r="S1006" s="454"/>
      <c r="AY1006" s="458"/>
      <c r="AZ1006" s="458"/>
      <c r="BA1006" s="1305"/>
      <c r="BC1006" s="169"/>
    </row>
    <row r="1007" spans="19:55" ht="15.75" customHeight="1">
      <c r="S1007" s="454"/>
      <c r="AY1007" s="458"/>
      <c r="AZ1007" s="458"/>
      <c r="BA1007" s="1305"/>
      <c r="BC1007" s="169"/>
    </row>
    <row r="1008" spans="19:55" ht="15.75" customHeight="1">
      <c r="S1008" s="454"/>
      <c r="AY1008" s="458"/>
      <c r="AZ1008" s="458"/>
      <c r="BA1008" s="1305"/>
      <c r="BC1008" s="169"/>
    </row>
    <row r="1009" spans="19:55" ht="15.75" customHeight="1">
      <c r="S1009" s="454"/>
      <c r="AY1009" s="458"/>
      <c r="AZ1009" s="458"/>
      <c r="BA1009" s="1305"/>
      <c r="BC1009" s="169"/>
    </row>
    <row r="1010" spans="19:55" ht="15.75" customHeight="1">
      <c r="S1010" s="454"/>
      <c r="AY1010" s="458"/>
      <c r="AZ1010" s="458"/>
      <c r="BA1010" s="1305"/>
      <c r="BC1010" s="169"/>
    </row>
    <row r="1011" spans="19:55" ht="15.75" customHeight="1">
      <c r="S1011" s="454"/>
      <c r="AY1011" s="458"/>
      <c r="AZ1011" s="458"/>
      <c r="BA1011" s="1305"/>
      <c r="BC1011" s="169"/>
    </row>
    <row r="1012" spans="19:55" ht="15.75" customHeight="1">
      <c r="S1012" s="454"/>
      <c r="AY1012" s="458"/>
      <c r="AZ1012" s="458"/>
      <c r="BA1012" s="1305"/>
      <c r="BC1012" s="169"/>
    </row>
    <row r="1013" spans="19:55" ht="15.75" customHeight="1">
      <c r="S1013" s="454"/>
      <c r="AY1013" s="458"/>
      <c r="AZ1013" s="458"/>
      <c r="BA1013" s="1305"/>
      <c r="BC1013" s="169"/>
    </row>
    <row r="1014" spans="19:55" ht="15.75" customHeight="1">
      <c r="S1014" s="454"/>
      <c r="AY1014" s="458"/>
      <c r="AZ1014" s="458"/>
      <c r="BA1014" s="1305"/>
      <c r="BC1014" s="169"/>
    </row>
    <row r="1015" spans="19:55" ht="15.75" customHeight="1">
      <c r="S1015" s="454"/>
      <c r="AY1015" s="458"/>
      <c r="AZ1015" s="458"/>
      <c r="BA1015" s="1305"/>
      <c r="BC1015" s="169"/>
    </row>
    <row r="1016" spans="19:55" ht="15.75" customHeight="1">
      <c r="S1016" s="454"/>
      <c r="AY1016" s="458"/>
      <c r="AZ1016" s="458"/>
      <c r="BA1016" s="1305"/>
      <c r="BC1016" s="169"/>
    </row>
    <row r="1017" spans="19:55" ht="15.75" customHeight="1">
      <c r="S1017" s="454"/>
      <c r="AY1017" s="458"/>
      <c r="AZ1017" s="458"/>
      <c r="BA1017" s="1305"/>
      <c r="BC1017" s="169"/>
    </row>
    <row r="1018" spans="19:55" ht="15.75" customHeight="1">
      <c r="S1018" s="454"/>
      <c r="AY1018" s="458"/>
      <c r="AZ1018" s="458"/>
      <c r="BA1018" s="1305"/>
      <c r="BC1018" s="169"/>
    </row>
    <row r="1019" spans="19:55" ht="15.75" customHeight="1">
      <c r="S1019" s="454"/>
      <c r="AY1019" s="458"/>
      <c r="AZ1019" s="458"/>
      <c r="BA1019" s="1305"/>
      <c r="BC1019" s="169"/>
    </row>
    <row r="1020" spans="19:55" ht="15.75" customHeight="1">
      <c r="S1020" s="454"/>
      <c r="AY1020" s="458"/>
      <c r="AZ1020" s="458"/>
      <c r="BA1020" s="1305"/>
      <c r="BC1020" s="169"/>
    </row>
    <row r="1021" spans="19:55" ht="15.75" customHeight="1">
      <c r="S1021" s="454"/>
      <c r="AY1021" s="458"/>
      <c r="AZ1021" s="458"/>
      <c r="BA1021" s="1305"/>
      <c r="BC1021" s="169"/>
    </row>
    <row r="1022" spans="19:55" ht="15.75" customHeight="1">
      <c r="S1022" s="454"/>
      <c r="AY1022" s="458"/>
      <c r="AZ1022" s="458"/>
      <c r="BA1022" s="1305"/>
      <c r="BC1022" s="169"/>
    </row>
    <row r="1023" spans="19:55" ht="15.75" customHeight="1">
      <c r="S1023" s="454"/>
      <c r="AY1023" s="458"/>
      <c r="AZ1023" s="458"/>
      <c r="BA1023" s="1305"/>
      <c r="BC1023" s="169"/>
    </row>
    <row r="1024" spans="19:55" ht="15.75" customHeight="1">
      <c r="S1024" s="454"/>
      <c r="AY1024" s="458"/>
      <c r="AZ1024" s="458"/>
      <c r="BA1024" s="1305"/>
      <c r="BC1024" s="169"/>
    </row>
    <row r="1025" spans="19:55" ht="15.75" customHeight="1">
      <c r="S1025" s="454"/>
      <c r="AY1025" s="458"/>
      <c r="AZ1025" s="458"/>
      <c r="BA1025" s="1305"/>
      <c r="BC1025" s="169"/>
    </row>
    <row r="1026" spans="19:55" ht="15.75" customHeight="1">
      <c r="S1026" s="454"/>
      <c r="AY1026" s="458"/>
      <c r="AZ1026" s="458"/>
      <c r="BA1026" s="1305"/>
      <c r="BC1026" s="169"/>
    </row>
    <row r="1027" spans="19:55" ht="15.75" customHeight="1">
      <c r="S1027" s="454"/>
      <c r="AY1027" s="458"/>
      <c r="AZ1027" s="458"/>
      <c r="BA1027" s="1305"/>
      <c r="BC1027" s="169"/>
    </row>
    <row r="1028" spans="19:55" ht="15.75" customHeight="1">
      <c r="S1028" s="454"/>
      <c r="AY1028" s="458"/>
      <c r="AZ1028" s="458"/>
      <c r="BA1028" s="1305"/>
      <c r="BC1028" s="169"/>
    </row>
    <row r="1029" spans="19:55" ht="15.75" customHeight="1">
      <c r="S1029" s="454"/>
      <c r="AY1029" s="458"/>
      <c r="AZ1029" s="458"/>
      <c r="BA1029" s="1305"/>
      <c r="BC1029" s="169"/>
    </row>
    <row r="1030" spans="19:55" ht="15.75" customHeight="1">
      <c r="S1030" s="454"/>
      <c r="AY1030" s="458"/>
      <c r="AZ1030" s="458"/>
      <c r="BA1030" s="1305"/>
      <c r="BC1030" s="169"/>
    </row>
    <row r="1031" spans="19:55" ht="15.75" customHeight="1">
      <c r="S1031" s="454"/>
      <c r="AY1031" s="458"/>
      <c r="AZ1031" s="458"/>
      <c r="BA1031" s="1305"/>
      <c r="BC1031" s="169"/>
    </row>
    <row r="1032" spans="19:55" ht="15.75" customHeight="1">
      <c r="S1032" s="454"/>
      <c r="AY1032" s="458"/>
      <c r="AZ1032" s="458"/>
      <c r="BA1032" s="1305"/>
      <c r="BC1032" s="169"/>
    </row>
    <row r="1033" spans="19:55" ht="15.75" customHeight="1">
      <c r="S1033" s="454"/>
      <c r="AY1033" s="458"/>
      <c r="AZ1033" s="458"/>
      <c r="BA1033" s="1305"/>
      <c r="BC1033" s="169"/>
    </row>
    <row r="1034" spans="19:55" ht="15.75" customHeight="1">
      <c r="S1034" s="454"/>
      <c r="AY1034" s="458"/>
      <c r="AZ1034" s="458"/>
      <c r="BA1034" s="1305"/>
      <c r="BC1034" s="169"/>
    </row>
    <row r="1035" spans="19:55" ht="15.75" customHeight="1">
      <c r="S1035" s="454"/>
      <c r="AY1035" s="458"/>
      <c r="AZ1035" s="458"/>
      <c r="BA1035" s="1305"/>
      <c r="BC1035" s="169"/>
    </row>
    <row r="1036" spans="19:55" ht="15.75" customHeight="1">
      <c r="S1036" s="454"/>
      <c r="AY1036" s="458"/>
      <c r="AZ1036" s="458"/>
      <c r="BA1036" s="1305"/>
      <c r="BC1036" s="169"/>
    </row>
    <row r="1037" spans="19:55" ht="15.75" customHeight="1">
      <c r="S1037" s="454"/>
      <c r="AY1037" s="458"/>
      <c r="AZ1037" s="458"/>
      <c r="BA1037" s="1305"/>
      <c r="BC1037" s="169"/>
    </row>
    <row r="1038" spans="19:55" ht="15.75" customHeight="1">
      <c r="S1038" s="454"/>
      <c r="AY1038" s="458"/>
      <c r="AZ1038" s="458"/>
      <c r="BA1038" s="1305"/>
      <c r="BC1038" s="169"/>
    </row>
    <row r="1039" spans="19:55" ht="15.75" customHeight="1">
      <c r="S1039" s="454"/>
      <c r="AY1039" s="458"/>
      <c r="AZ1039" s="458"/>
      <c r="BA1039" s="1305"/>
      <c r="BC1039" s="169"/>
    </row>
    <row r="1040" spans="19:55" ht="15.75" customHeight="1">
      <c r="S1040" s="454"/>
      <c r="AY1040" s="458"/>
      <c r="AZ1040" s="458"/>
      <c r="BA1040" s="1305"/>
      <c r="BC1040" s="169"/>
    </row>
    <row r="1041" spans="19:55" ht="15.75" customHeight="1">
      <c r="S1041" s="454"/>
      <c r="AY1041" s="458"/>
      <c r="AZ1041" s="458"/>
      <c r="BA1041" s="1305"/>
      <c r="BC1041" s="169"/>
    </row>
    <row r="1042" spans="19:55" ht="15.75" customHeight="1">
      <c r="S1042" s="454"/>
      <c r="AY1042" s="458"/>
      <c r="AZ1042" s="458"/>
      <c r="BA1042" s="1305"/>
      <c r="BC1042" s="169"/>
    </row>
    <row r="1043" spans="19:55" ht="15.75" customHeight="1">
      <c r="S1043" s="454"/>
      <c r="AY1043" s="458"/>
      <c r="AZ1043" s="458"/>
      <c r="BA1043" s="1305"/>
      <c r="BC1043" s="169"/>
    </row>
    <row r="1044" spans="19:55" ht="15.75" customHeight="1">
      <c r="S1044" s="454"/>
      <c r="AY1044" s="458"/>
      <c r="AZ1044" s="458"/>
      <c r="BA1044" s="1305"/>
      <c r="BC1044" s="169"/>
    </row>
    <row r="1045" spans="19:55" ht="15.75" customHeight="1">
      <c r="S1045" s="454"/>
      <c r="AY1045" s="458"/>
      <c r="AZ1045" s="458"/>
      <c r="BA1045" s="1305"/>
      <c r="BC1045" s="169"/>
    </row>
    <row r="1046" spans="19:55" ht="15.75" customHeight="1">
      <c r="S1046" s="454"/>
      <c r="AY1046" s="458"/>
      <c r="AZ1046" s="458"/>
      <c r="BA1046" s="1305"/>
      <c r="BC1046" s="169"/>
    </row>
    <row r="1047" spans="19:55" ht="15.75" customHeight="1">
      <c r="S1047" s="454"/>
      <c r="AY1047" s="458"/>
      <c r="AZ1047" s="458"/>
      <c r="BA1047" s="1305"/>
      <c r="BC1047" s="169"/>
    </row>
    <row r="1048" spans="19:55" ht="15.75" customHeight="1">
      <c r="S1048" s="454"/>
      <c r="AY1048" s="458"/>
      <c r="AZ1048" s="458"/>
      <c r="BA1048" s="1305"/>
      <c r="BC1048" s="169"/>
    </row>
    <row r="1049" spans="19:55" ht="15.75" customHeight="1">
      <c r="S1049" s="454"/>
      <c r="AY1049" s="458"/>
      <c r="AZ1049" s="458"/>
      <c r="BA1049" s="1305"/>
      <c r="BC1049" s="169"/>
    </row>
    <row r="1050" spans="19:55" ht="15.75" customHeight="1">
      <c r="S1050" s="454"/>
      <c r="AY1050" s="458"/>
      <c r="AZ1050" s="458"/>
      <c r="BA1050" s="1305"/>
      <c r="BC1050" s="169"/>
    </row>
    <row r="1051" spans="19:55" ht="15.75" customHeight="1">
      <c r="S1051" s="454"/>
      <c r="AY1051" s="458"/>
      <c r="AZ1051" s="458"/>
      <c r="BA1051" s="1305"/>
      <c r="BC1051" s="169"/>
    </row>
    <row r="1052" spans="19:55" ht="15.75" customHeight="1">
      <c r="S1052" s="454"/>
      <c r="AY1052" s="458"/>
      <c r="AZ1052" s="458"/>
      <c r="BA1052" s="1305"/>
      <c r="BC1052" s="169"/>
    </row>
    <row r="1053" spans="19:55" ht="15.75" customHeight="1">
      <c r="S1053" s="454"/>
      <c r="AY1053" s="458"/>
      <c r="AZ1053" s="458"/>
      <c r="BA1053" s="1305"/>
      <c r="BC1053" s="169"/>
    </row>
    <row r="1054" spans="19:55" ht="15.75" customHeight="1">
      <c r="S1054" s="454"/>
      <c r="AY1054" s="458"/>
      <c r="AZ1054" s="458"/>
      <c r="BA1054" s="1305"/>
      <c r="BC1054" s="169"/>
    </row>
    <row r="1055" spans="19:55" ht="15.75" customHeight="1">
      <c r="S1055" s="454"/>
      <c r="AY1055" s="458"/>
      <c r="AZ1055" s="458"/>
      <c r="BA1055" s="1305"/>
      <c r="BC1055" s="169"/>
    </row>
    <row r="1056" spans="19:55" ht="15.75" customHeight="1">
      <c r="S1056" s="454"/>
      <c r="AY1056" s="458"/>
      <c r="AZ1056" s="458"/>
      <c r="BA1056" s="1305"/>
      <c r="BC1056" s="169"/>
    </row>
    <row r="1057" spans="19:55" ht="15.75" customHeight="1">
      <c r="S1057" s="454"/>
      <c r="AY1057" s="458"/>
      <c r="AZ1057" s="458"/>
      <c r="BA1057" s="1305"/>
      <c r="BC1057" s="169"/>
    </row>
    <row r="1058" spans="19:55" ht="15.75" customHeight="1">
      <c r="S1058" s="454"/>
      <c r="AY1058" s="458"/>
      <c r="AZ1058" s="458"/>
      <c r="BA1058" s="1305"/>
      <c r="BC1058" s="169"/>
    </row>
    <row r="1059" spans="19:55" ht="15.75" customHeight="1">
      <c r="S1059" s="454"/>
      <c r="AY1059" s="458"/>
      <c r="AZ1059" s="458"/>
      <c r="BA1059" s="1305"/>
      <c r="BC1059" s="169"/>
    </row>
    <row r="1060" spans="19:55" ht="15.75" customHeight="1">
      <c r="S1060" s="454"/>
      <c r="AY1060" s="458"/>
      <c r="AZ1060" s="458"/>
      <c r="BA1060" s="1305"/>
      <c r="BC1060" s="169"/>
    </row>
    <row r="1061" spans="19:55" ht="15.75" customHeight="1">
      <c r="S1061" s="454"/>
      <c r="AY1061" s="458"/>
      <c r="AZ1061" s="458"/>
      <c r="BA1061" s="1305"/>
      <c r="BC1061" s="169"/>
    </row>
    <row r="1062" spans="19:55" ht="15.75" customHeight="1">
      <c r="S1062" s="454"/>
      <c r="AY1062" s="458"/>
      <c r="AZ1062" s="458"/>
      <c r="BA1062" s="1305"/>
      <c r="BC1062" s="169"/>
    </row>
    <row r="1063" spans="19:55" ht="15.75" customHeight="1">
      <c r="S1063" s="454"/>
      <c r="AY1063" s="458"/>
      <c r="AZ1063" s="458"/>
      <c r="BA1063" s="1305"/>
      <c r="BC1063" s="169"/>
    </row>
    <row r="1064" spans="19:55" ht="15.75" customHeight="1">
      <c r="S1064" s="454"/>
      <c r="AY1064" s="458"/>
      <c r="AZ1064" s="458"/>
      <c r="BA1064" s="1305"/>
      <c r="BC1064" s="169"/>
    </row>
    <row r="1065" spans="19:55" ht="15.75" customHeight="1">
      <c r="S1065" s="454"/>
      <c r="AY1065" s="458"/>
      <c r="AZ1065" s="458"/>
      <c r="BA1065" s="1305"/>
      <c r="BC1065" s="169"/>
    </row>
    <row r="1066" spans="19:55" ht="15.75" customHeight="1">
      <c r="S1066" s="454"/>
      <c r="AY1066" s="458"/>
      <c r="AZ1066" s="458"/>
      <c r="BA1066" s="1305"/>
      <c r="BC1066" s="169"/>
    </row>
    <row r="1067" spans="19:55" ht="15.75" customHeight="1">
      <c r="S1067" s="454"/>
      <c r="AY1067" s="458"/>
      <c r="AZ1067" s="458"/>
      <c r="BA1067" s="1305"/>
      <c r="BC1067" s="169"/>
    </row>
    <row r="1068" spans="19:55" ht="15.75" customHeight="1">
      <c r="S1068" s="454"/>
      <c r="AY1068" s="458"/>
      <c r="AZ1068" s="458"/>
      <c r="BA1068" s="1305"/>
      <c r="BC1068" s="169"/>
    </row>
    <row r="1069" spans="19:55" ht="15.75" customHeight="1">
      <c r="S1069" s="454"/>
      <c r="AY1069" s="458"/>
      <c r="AZ1069" s="458"/>
      <c r="BA1069" s="1305"/>
      <c r="BC1069" s="169"/>
    </row>
    <row r="1070" spans="19:55" ht="15.75" customHeight="1">
      <c r="S1070" s="454"/>
      <c r="AY1070" s="458"/>
      <c r="AZ1070" s="458"/>
      <c r="BA1070" s="1305"/>
      <c r="BC1070" s="169"/>
    </row>
    <row r="1071" spans="19:55" ht="15.75" customHeight="1">
      <c r="S1071" s="454"/>
      <c r="AY1071" s="458"/>
      <c r="AZ1071" s="458"/>
      <c r="BA1071" s="1305"/>
      <c r="BC1071" s="169"/>
    </row>
    <row r="1072" spans="19:55" ht="15.75" customHeight="1">
      <c r="S1072" s="454"/>
      <c r="AY1072" s="458"/>
      <c r="AZ1072" s="458"/>
      <c r="BA1072" s="1305"/>
      <c r="BC1072" s="169"/>
    </row>
    <row r="1073" spans="19:55" ht="15.75" customHeight="1">
      <c r="S1073" s="454"/>
      <c r="AY1073" s="458"/>
      <c r="AZ1073" s="458"/>
      <c r="BA1073" s="1305"/>
      <c r="BC1073" s="169"/>
    </row>
    <row r="1074" spans="19:55" ht="15.75" customHeight="1">
      <c r="S1074" s="454"/>
      <c r="AY1074" s="458"/>
      <c r="AZ1074" s="458"/>
      <c r="BA1074" s="1305"/>
      <c r="BC1074" s="169"/>
    </row>
    <row r="1075" spans="19:55" ht="15.75" customHeight="1">
      <c r="S1075" s="454"/>
      <c r="AY1075" s="458"/>
      <c r="AZ1075" s="458"/>
      <c r="BA1075" s="1305"/>
      <c r="BC1075" s="169"/>
    </row>
    <row r="1076" spans="19:55" ht="15.75" customHeight="1">
      <c r="S1076" s="454"/>
      <c r="AY1076" s="458"/>
      <c r="AZ1076" s="458"/>
      <c r="BA1076" s="1305"/>
      <c r="BC1076" s="169"/>
    </row>
    <row r="1077" spans="19:55" ht="15.75" customHeight="1">
      <c r="S1077" s="454"/>
      <c r="AY1077" s="458"/>
      <c r="AZ1077" s="458"/>
      <c r="BA1077" s="1305"/>
      <c r="BC1077" s="169"/>
    </row>
    <row r="1078" spans="19:55" ht="15.75" customHeight="1">
      <c r="S1078" s="454"/>
      <c r="AY1078" s="458"/>
      <c r="AZ1078" s="458"/>
      <c r="BA1078" s="1305"/>
      <c r="BC1078" s="169"/>
    </row>
    <row r="1079" spans="19:55" ht="15.75" customHeight="1">
      <c r="S1079" s="454"/>
      <c r="AY1079" s="458"/>
      <c r="AZ1079" s="458"/>
      <c r="BA1079" s="1305"/>
      <c r="BC1079" s="169"/>
    </row>
    <row r="1080" spans="19:55" ht="15.75" customHeight="1">
      <c r="S1080" s="454"/>
      <c r="AY1080" s="458"/>
      <c r="AZ1080" s="458"/>
      <c r="BA1080" s="1305"/>
      <c r="BC1080" s="169"/>
    </row>
    <row r="1081" spans="19:55" ht="15.75" customHeight="1">
      <c r="S1081" s="454"/>
      <c r="AY1081" s="458"/>
      <c r="AZ1081" s="458"/>
      <c r="BA1081" s="1305"/>
      <c r="BC1081" s="169"/>
    </row>
    <row r="1082" spans="19:55" ht="15.75" customHeight="1">
      <c r="S1082" s="454"/>
      <c r="AY1082" s="458"/>
      <c r="AZ1082" s="458"/>
      <c r="BA1082" s="1305"/>
      <c r="BC1082" s="169"/>
    </row>
    <row r="1083" spans="19:55" ht="15.75" customHeight="1">
      <c r="S1083" s="454"/>
      <c r="AY1083" s="458"/>
      <c r="AZ1083" s="458"/>
      <c r="BA1083" s="1305"/>
      <c r="BC1083" s="169"/>
    </row>
    <row r="1084" spans="19:55" ht="15.75" customHeight="1">
      <c r="S1084" s="454"/>
      <c r="AY1084" s="458"/>
      <c r="AZ1084" s="458"/>
      <c r="BA1084" s="1305"/>
      <c r="BC1084" s="169"/>
    </row>
    <row r="1085" spans="19:55" ht="15.75" customHeight="1">
      <c r="S1085" s="454"/>
      <c r="AY1085" s="458"/>
      <c r="AZ1085" s="458"/>
      <c r="BA1085" s="1305"/>
      <c r="BC1085" s="169"/>
    </row>
    <row r="1086" spans="19:55" ht="15.75" customHeight="1">
      <c r="S1086" s="454"/>
      <c r="AY1086" s="458"/>
      <c r="AZ1086" s="458"/>
      <c r="BA1086" s="1305"/>
      <c r="BC1086" s="169"/>
    </row>
    <row r="1087" spans="19:55" ht="15.75" customHeight="1">
      <c r="S1087" s="454"/>
      <c r="AY1087" s="458"/>
      <c r="AZ1087" s="458"/>
      <c r="BA1087" s="1305"/>
      <c r="BC1087" s="169"/>
    </row>
    <row r="1088" spans="19:55" ht="15.75" customHeight="1">
      <c r="S1088" s="454"/>
      <c r="AY1088" s="458"/>
      <c r="AZ1088" s="458"/>
      <c r="BA1088" s="1305"/>
      <c r="BC1088" s="169"/>
    </row>
    <row r="1089" spans="19:55" ht="15.75" customHeight="1">
      <c r="S1089" s="454"/>
      <c r="AY1089" s="458"/>
      <c r="AZ1089" s="458"/>
      <c r="BA1089" s="1305"/>
      <c r="BC1089" s="169"/>
    </row>
    <row r="1090" spans="19:55" ht="15.75" customHeight="1">
      <c r="S1090" s="454"/>
      <c r="AY1090" s="458"/>
      <c r="AZ1090" s="458"/>
      <c r="BA1090" s="1305"/>
      <c r="BC1090" s="169"/>
    </row>
    <row r="1091" spans="19:55" ht="15.75" customHeight="1">
      <c r="S1091" s="454"/>
      <c r="AY1091" s="458"/>
      <c r="AZ1091" s="458"/>
      <c r="BA1091" s="1305"/>
      <c r="BC1091" s="169"/>
    </row>
    <row r="1092" spans="19:55" ht="15.75" customHeight="1">
      <c r="S1092" s="454"/>
      <c r="AY1092" s="458"/>
      <c r="AZ1092" s="458"/>
      <c r="BA1092" s="1305"/>
      <c r="BC1092" s="169"/>
    </row>
    <row r="1093" spans="19:55" ht="15.75" customHeight="1">
      <c r="S1093" s="454"/>
      <c r="AY1093" s="458"/>
      <c r="AZ1093" s="458"/>
      <c r="BA1093" s="1305"/>
      <c r="BC1093" s="169"/>
    </row>
    <row r="1094" spans="19:55" ht="15.75" customHeight="1">
      <c r="S1094" s="454"/>
      <c r="AY1094" s="458"/>
      <c r="AZ1094" s="458"/>
      <c r="BA1094" s="1266"/>
      <c r="BC1094" s="169"/>
    </row>
    <row r="1095" spans="19:55" ht="15.75" customHeight="1">
      <c r="S1095" s="454"/>
      <c r="AY1095" s="458"/>
      <c r="AZ1095" s="458"/>
      <c r="BA1095" s="1266"/>
      <c r="BC1095" s="169"/>
    </row>
    <row r="1096" spans="19:55" ht="15.75" customHeight="1">
      <c r="S1096" s="454"/>
      <c r="AY1096" s="458"/>
      <c r="AZ1096" s="458"/>
      <c r="BA1096" s="1266"/>
      <c r="BC1096" s="169"/>
    </row>
    <row r="1097" spans="19:55" ht="15.75" customHeight="1">
      <c r="S1097" s="454"/>
      <c r="AY1097" s="458"/>
      <c r="AZ1097" s="458"/>
      <c r="BA1097" s="1266"/>
      <c r="BC1097" s="169"/>
    </row>
    <row r="1098" spans="19:55" ht="15.75" customHeight="1">
      <c r="S1098" s="454"/>
      <c r="AY1098" s="458"/>
      <c r="AZ1098" s="458"/>
      <c r="BA1098" s="1266"/>
      <c r="BC1098" s="169"/>
    </row>
    <row r="1099" spans="19:55" ht="15.75" customHeight="1">
      <c r="S1099" s="454"/>
      <c r="AY1099" s="458"/>
      <c r="AZ1099" s="458"/>
      <c r="BA1099" s="1266"/>
      <c r="BC1099" s="169"/>
    </row>
    <row r="1100" spans="19:55" ht="15.75" customHeight="1">
      <c r="S1100" s="454"/>
      <c r="AY1100" s="458"/>
      <c r="AZ1100" s="458"/>
      <c r="BA1100" s="1266"/>
      <c r="BC1100" s="169"/>
    </row>
    <row r="1101" spans="19:55" ht="15.75" customHeight="1">
      <c r="S1101" s="454"/>
      <c r="AY1101" s="458"/>
      <c r="AZ1101" s="458"/>
      <c r="BA1101" s="1266"/>
      <c r="BC1101" s="169"/>
    </row>
    <row r="1102" spans="19:55" ht="15.75" customHeight="1">
      <c r="S1102" s="454"/>
      <c r="AY1102" s="458"/>
      <c r="AZ1102" s="458"/>
      <c r="BA1102" s="1266"/>
      <c r="BC1102" s="169"/>
    </row>
    <row r="1103" spans="19:55" ht="15.75" customHeight="1">
      <c r="S1103" s="454"/>
      <c r="AY1103" s="458"/>
      <c r="AZ1103" s="458"/>
      <c r="BA1103" s="1266"/>
      <c r="BC1103" s="169"/>
    </row>
    <row r="1104" spans="19:55" ht="15.75" customHeight="1">
      <c r="S1104" s="454"/>
      <c r="AY1104" s="458"/>
      <c r="AZ1104" s="458"/>
      <c r="BA1104" s="1266"/>
      <c r="BC1104" s="169"/>
    </row>
    <row r="1105" spans="19:55" ht="15.75" customHeight="1">
      <c r="S1105" s="454"/>
      <c r="AY1105" s="458"/>
      <c r="AZ1105" s="458"/>
      <c r="BA1105" s="1266"/>
      <c r="BC1105" s="169"/>
    </row>
    <row r="1106" spans="19:55" ht="15.75" customHeight="1">
      <c r="S1106" s="454"/>
      <c r="AY1106" s="458"/>
      <c r="AZ1106" s="458"/>
      <c r="BA1106" s="1266"/>
      <c r="BC1106" s="169"/>
    </row>
    <row r="1107" spans="19:55" ht="15.75" customHeight="1">
      <c r="S1107" s="454"/>
      <c r="AY1107" s="458"/>
      <c r="AZ1107" s="458"/>
      <c r="BA1107" s="1266"/>
      <c r="BC1107" s="169"/>
    </row>
    <row r="1108" spans="19:55" ht="15.75" customHeight="1">
      <c r="S1108" s="454"/>
      <c r="AY1108" s="458"/>
      <c r="AZ1108" s="458"/>
      <c r="BA1108" s="1266"/>
      <c r="BC1108" s="169"/>
    </row>
    <row r="1109" spans="19:55" ht="15.75" customHeight="1">
      <c r="S1109" s="454"/>
      <c r="AY1109" s="458"/>
      <c r="AZ1109" s="458"/>
      <c r="BA1109" s="1266"/>
      <c r="BC1109" s="169"/>
    </row>
    <row r="1110" spans="19:55" ht="15.75" customHeight="1">
      <c r="S1110" s="454"/>
      <c r="AY1110" s="458"/>
      <c r="AZ1110" s="458"/>
      <c r="BA1110" s="1266"/>
      <c r="BC1110" s="169"/>
    </row>
    <row r="1111" spans="19:55" ht="15.75" customHeight="1">
      <c r="S1111" s="454"/>
      <c r="AY1111" s="458"/>
      <c r="AZ1111" s="458"/>
      <c r="BA1111" s="1266"/>
      <c r="BC1111" s="169"/>
    </row>
    <row r="1112" spans="19:55" ht="15.75" customHeight="1">
      <c r="S1112" s="454"/>
      <c r="AY1112" s="458"/>
      <c r="AZ1112" s="458"/>
      <c r="BA1112" s="1266"/>
      <c r="BC1112" s="169"/>
    </row>
    <row r="1113" spans="19:55" ht="15.75" customHeight="1">
      <c r="S1113" s="454"/>
      <c r="AY1113" s="458"/>
      <c r="AZ1113" s="458"/>
      <c r="BA1113" s="1266"/>
      <c r="BC1113" s="169"/>
    </row>
    <row r="1114" spans="19:55" ht="15.75" customHeight="1">
      <c r="S1114" s="454"/>
      <c r="AY1114" s="458"/>
      <c r="AZ1114" s="458"/>
      <c r="BA1114" s="1266"/>
      <c r="BC1114" s="169"/>
    </row>
    <row r="1115" spans="19:55" ht="15.75" customHeight="1">
      <c r="S1115" s="454"/>
      <c r="AY1115" s="458"/>
      <c r="AZ1115" s="458"/>
      <c r="BA1115" s="1266"/>
      <c r="BC1115" s="169"/>
    </row>
    <row r="1116" spans="19:55" ht="15.75" customHeight="1">
      <c r="S1116" s="454"/>
      <c r="AY1116" s="458"/>
      <c r="AZ1116" s="458"/>
      <c r="BA1116" s="1266"/>
      <c r="BC1116" s="169"/>
    </row>
    <row r="1117" spans="19:55" ht="15.75" customHeight="1">
      <c r="S1117" s="454"/>
      <c r="AY1117" s="458"/>
      <c r="AZ1117" s="458"/>
      <c r="BA1117" s="1266"/>
      <c r="BC1117" s="169"/>
    </row>
    <row r="1118" spans="19:55" ht="15.75" customHeight="1">
      <c r="S1118" s="454"/>
      <c r="AY1118" s="458"/>
      <c r="AZ1118" s="458"/>
      <c r="BA1118" s="1266"/>
      <c r="BC1118" s="169"/>
    </row>
    <row r="1119" spans="19:55" ht="15.75" customHeight="1">
      <c r="S1119" s="454"/>
      <c r="AY1119" s="458"/>
      <c r="AZ1119" s="458"/>
      <c r="BA1119" s="1266"/>
      <c r="BC1119" s="169"/>
    </row>
    <row r="1120" spans="19:55" ht="15.75" customHeight="1">
      <c r="S1120" s="454"/>
      <c r="AY1120" s="458"/>
      <c r="AZ1120" s="458"/>
      <c r="BA1120" s="1266"/>
      <c r="BC1120" s="169"/>
    </row>
    <row r="1121" spans="19:55" ht="15.75" customHeight="1">
      <c r="S1121" s="454"/>
      <c r="AY1121" s="458"/>
      <c r="AZ1121" s="458"/>
      <c r="BA1121" s="1266"/>
      <c r="BC1121" s="169"/>
    </row>
    <row r="1122" spans="19:55" ht="15.75" customHeight="1">
      <c r="S1122" s="454"/>
      <c r="AY1122" s="458"/>
      <c r="AZ1122" s="458"/>
      <c r="BA1122" s="1266"/>
      <c r="BC1122" s="169"/>
    </row>
    <row r="1123" spans="19:55" ht="15.75" customHeight="1">
      <c r="S1123" s="454"/>
      <c r="AY1123" s="458"/>
      <c r="AZ1123" s="458"/>
      <c r="BA1123" s="1266"/>
      <c r="BC1123" s="169"/>
    </row>
    <row r="1124" spans="19:55" ht="15.75" customHeight="1">
      <c r="S1124" s="454"/>
      <c r="AY1124" s="458"/>
      <c r="AZ1124" s="458"/>
      <c r="BA1124" s="1266"/>
      <c r="BC1124" s="169"/>
    </row>
    <row r="1125" spans="19:55" ht="15.75" customHeight="1">
      <c r="S1125" s="454"/>
      <c r="AY1125" s="458"/>
      <c r="AZ1125" s="458"/>
      <c r="BA1125" s="1266"/>
      <c r="BC1125" s="169"/>
    </row>
    <row r="1126" spans="19:55" ht="15.75" customHeight="1">
      <c r="S1126" s="454"/>
      <c r="AY1126" s="458"/>
      <c r="AZ1126" s="458"/>
      <c r="BA1126" s="1266"/>
      <c r="BC1126" s="169"/>
    </row>
    <row r="1127" spans="19:55" ht="15.75" customHeight="1">
      <c r="S1127" s="454"/>
      <c r="AY1127" s="458"/>
      <c r="AZ1127" s="458"/>
      <c r="BA1127" s="1266"/>
      <c r="BC1127" s="169"/>
    </row>
    <row r="1128" spans="19:55" ht="15.75" customHeight="1">
      <c r="S1128" s="454"/>
      <c r="AY1128" s="458"/>
      <c r="AZ1128" s="458"/>
      <c r="BA1128" s="1266"/>
      <c r="BC1128" s="169"/>
    </row>
    <row r="1129" spans="19:55" ht="15.75" customHeight="1">
      <c r="S1129" s="454"/>
      <c r="AY1129" s="458"/>
      <c r="AZ1129" s="458"/>
      <c r="BA1129" s="1266"/>
      <c r="BC1129" s="169"/>
    </row>
    <row r="1130" spans="19:55" ht="15.75" customHeight="1">
      <c r="S1130" s="454"/>
      <c r="AY1130" s="458"/>
      <c r="AZ1130" s="458"/>
      <c r="BA1130" s="1266"/>
      <c r="BC1130" s="169"/>
    </row>
    <row r="1131" spans="19:55" ht="15.75" customHeight="1">
      <c r="S1131" s="454"/>
      <c r="AY1131" s="458"/>
      <c r="AZ1131" s="458"/>
      <c r="BA1131" s="1266"/>
      <c r="BC1131" s="169"/>
    </row>
    <row r="1132" spans="19:55" ht="15.75" customHeight="1">
      <c r="S1132" s="454"/>
      <c r="AY1132" s="458"/>
      <c r="AZ1132" s="458"/>
      <c r="BA1132" s="1266"/>
      <c r="BC1132" s="169"/>
    </row>
    <row r="1133" spans="19:55" ht="15.75" customHeight="1">
      <c r="S1133" s="454"/>
      <c r="AY1133" s="458"/>
      <c r="AZ1133" s="458"/>
      <c r="BA1133" s="1266"/>
      <c r="BC1133" s="169"/>
    </row>
    <row r="1134" spans="19:55" ht="15.75" customHeight="1">
      <c r="S1134" s="454"/>
      <c r="AY1134" s="458"/>
      <c r="AZ1134" s="458"/>
      <c r="BA1134" s="1266"/>
      <c r="BC1134" s="169"/>
    </row>
    <row r="1135" spans="19:55" ht="15.75" customHeight="1">
      <c r="S1135" s="454"/>
      <c r="AY1135" s="458"/>
      <c r="AZ1135" s="458"/>
      <c r="BA1135" s="1266"/>
      <c r="BC1135" s="169"/>
    </row>
    <row r="1136" spans="19:55" ht="15.75" customHeight="1">
      <c r="S1136" s="454"/>
      <c r="AY1136" s="458"/>
      <c r="AZ1136" s="458"/>
      <c r="BA1136" s="1266"/>
      <c r="BC1136" s="169"/>
    </row>
    <row r="1137" spans="19:55" ht="15.75" customHeight="1">
      <c r="S1137" s="454"/>
      <c r="AY1137" s="458"/>
      <c r="AZ1137" s="458"/>
      <c r="BA1137" s="1266"/>
      <c r="BC1137" s="169"/>
    </row>
    <row r="1138" spans="19:55" ht="15.75" customHeight="1">
      <c r="S1138" s="454"/>
      <c r="AY1138" s="458"/>
      <c r="AZ1138" s="458"/>
      <c r="BA1138" s="1266"/>
      <c r="BC1138" s="169"/>
    </row>
    <row r="1139" spans="19:55" ht="15.75" customHeight="1">
      <c r="S1139" s="454"/>
      <c r="AY1139" s="458"/>
      <c r="AZ1139" s="458"/>
      <c r="BA1139" s="1266"/>
      <c r="BC1139" s="169"/>
    </row>
    <row r="1140" spans="19:55" ht="15.75" customHeight="1">
      <c r="S1140" s="454"/>
      <c r="AY1140" s="458"/>
      <c r="AZ1140" s="458"/>
      <c r="BA1140" s="1266"/>
      <c r="BC1140" s="169"/>
    </row>
    <row r="1141" spans="19:55" ht="15.75" customHeight="1">
      <c r="S1141" s="454"/>
      <c r="AY1141" s="458"/>
      <c r="AZ1141" s="458"/>
      <c r="BA1141" s="1266"/>
      <c r="BC1141" s="169"/>
    </row>
    <row r="1142" spans="19:55" ht="15.75" customHeight="1">
      <c r="S1142" s="454"/>
      <c r="AY1142" s="458"/>
      <c r="AZ1142" s="458"/>
      <c r="BA1142" s="1266"/>
      <c r="BC1142" s="169"/>
    </row>
    <row r="1143" spans="19:55" ht="15.75" customHeight="1">
      <c r="S1143" s="454"/>
      <c r="AY1143" s="458"/>
      <c r="AZ1143" s="458"/>
      <c r="BA1143" s="1266"/>
      <c r="BC1143" s="169"/>
    </row>
    <row r="1144" spans="19:55" ht="15.75" customHeight="1">
      <c r="S1144" s="454"/>
      <c r="AY1144" s="458"/>
      <c r="AZ1144" s="458"/>
      <c r="BA1144" s="1266"/>
      <c r="BC1144" s="169"/>
    </row>
    <row r="1145" spans="19:55" ht="15.75" customHeight="1">
      <c r="S1145" s="454"/>
      <c r="AY1145" s="458"/>
      <c r="AZ1145" s="458"/>
      <c r="BA1145" s="1266"/>
      <c r="BC1145" s="169"/>
    </row>
    <row r="1146" spans="19:55" ht="15.75" customHeight="1">
      <c r="S1146" s="454"/>
      <c r="AY1146" s="458"/>
      <c r="AZ1146" s="458"/>
      <c r="BA1146" s="1266"/>
      <c r="BC1146" s="169"/>
    </row>
    <row r="1147" spans="19:55" ht="15.75" customHeight="1">
      <c r="S1147" s="454"/>
      <c r="AY1147" s="458"/>
      <c r="AZ1147" s="458"/>
      <c r="BA1147" s="1266"/>
      <c r="BC1147" s="169"/>
    </row>
    <row r="1148" spans="19:55" ht="15.75" customHeight="1">
      <c r="S1148" s="454"/>
      <c r="AY1148" s="458"/>
      <c r="AZ1148" s="458"/>
      <c r="BA1148" s="1266"/>
      <c r="BC1148" s="169"/>
    </row>
    <row r="1149" spans="19:55" ht="15.75" customHeight="1">
      <c r="S1149" s="454"/>
      <c r="AY1149" s="458"/>
      <c r="AZ1149" s="458"/>
      <c r="BA1149" s="1266"/>
      <c r="BC1149" s="169"/>
    </row>
    <row r="1150" spans="19:55" ht="15.75" customHeight="1">
      <c r="S1150" s="454"/>
      <c r="AY1150" s="458"/>
      <c r="AZ1150" s="458"/>
      <c r="BA1150" s="1266"/>
      <c r="BC1150" s="169"/>
    </row>
    <row r="1151" spans="19:55" ht="15.75" customHeight="1">
      <c r="S1151" s="454"/>
      <c r="AY1151" s="458"/>
      <c r="AZ1151" s="458"/>
      <c r="BA1151" s="1266"/>
      <c r="BC1151" s="169"/>
    </row>
    <row r="1152" spans="19:55" ht="15.75" customHeight="1">
      <c r="S1152" s="454"/>
      <c r="AY1152" s="458"/>
      <c r="AZ1152" s="458"/>
      <c r="BA1152" s="1266"/>
      <c r="BC1152" s="169"/>
    </row>
    <row r="1153" spans="19:55" ht="15.75" customHeight="1">
      <c r="S1153" s="454"/>
      <c r="AY1153" s="458"/>
      <c r="AZ1153" s="458"/>
      <c r="BA1153" s="1266"/>
      <c r="BC1153" s="169"/>
    </row>
    <row r="1154" spans="19:55" ht="15.75" customHeight="1">
      <c r="S1154" s="454"/>
      <c r="AY1154" s="458"/>
      <c r="AZ1154" s="458"/>
      <c r="BA1154" s="1266"/>
      <c r="BC1154" s="169"/>
    </row>
    <row r="1155" spans="19:55" ht="15.75" customHeight="1">
      <c r="S1155" s="454"/>
      <c r="AY1155" s="458"/>
      <c r="AZ1155" s="458"/>
      <c r="BA1155" s="1266"/>
      <c r="BC1155" s="169"/>
    </row>
    <row r="1156" spans="19:55" ht="15.75" customHeight="1">
      <c r="S1156" s="454"/>
      <c r="AY1156" s="458"/>
      <c r="AZ1156" s="458"/>
      <c r="BA1156" s="1266"/>
      <c r="BC1156" s="169"/>
    </row>
    <row r="1157" spans="19:55" ht="15.75" customHeight="1">
      <c r="S1157" s="454"/>
      <c r="AY1157" s="458"/>
      <c r="AZ1157" s="458"/>
      <c r="BA1157" s="1266"/>
      <c r="BC1157" s="169"/>
    </row>
    <row r="1158" spans="19:55" ht="15.75" customHeight="1">
      <c r="S1158" s="454"/>
      <c r="AY1158" s="458"/>
      <c r="AZ1158" s="458"/>
      <c r="BA1158" s="1266"/>
      <c r="BC1158" s="169"/>
    </row>
    <row r="1159" spans="19:55" ht="15.75" customHeight="1">
      <c r="S1159" s="454"/>
      <c r="AY1159" s="458"/>
      <c r="AZ1159" s="458"/>
      <c r="BA1159" s="1266"/>
      <c r="BC1159" s="169"/>
    </row>
    <row r="1160" spans="19:55" ht="15.75" customHeight="1">
      <c r="S1160" s="454"/>
      <c r="AY1160" s="458"/>
      <c r="AZ1160" s="458"/>
      <c r="BA1160" s="1266"/>
      <c r="BC1160" s="169"/>
    </row>
    <row r="1161" spans="19:55" ht="15.75" customHeight="1">
      <c r="S1161" s="454"/>
      <c r="AY1161" s="458"/>
      <c r="AZ1161" s="458"/>
      <c r="BA1161" s="1266"/>
      <c r="BC1161" s="169"/>
    </row>
    <row r="1162" spans="19:55" ht="15.75" customHeight="1">
      <c r="S1162" s="454"/>
      <c r="AY1162" s="458"/>
      <c r="AZ1162" s="458"/>
      <c r="BA1162" s="1266"/>
      <c r="BC1162" s="169"/>
    </row>
    <row r="1163" spans="19:55" ht="15.75" customHeight="1">
      <c r="S1163" s="454"/>
      <c r="AY1163" s="458"/>
      <c r="AZ1163" s="458"/>
      <c r="BA1163" s="1266"/>
      <c r="BC1163" s="169"/>
    </row>
    <row r="1164" spans="19:55" ht="15.75" customHeight="1">
      <c r="S1164" s="454"/>
      <c r="AY1164" s="458"/>
      <c r="AZ1164" s="458"/>
      <c r="BA1164" s="1266"/>
      <c r="BC1164" s="169"/>
    </row>
    <row r="1165" spans="19:55" ht="15.75" customHeight="1">
      <c r="S1165" s="454"/>
      <c r="AY1165" s="458"/>
      <c r="AZ1165" s="458"/>
      <c r="BA1165" s="1266"/>
      <c r="BC1165" s="169"/>
    </row>
    <row r="1166" spans="19:55" ht="15.75" customHeight="1">
      <c r="S1166" s="454"/>
      <c r="AY1166" s="458"/>
      <c r="AZ1166" s="458"/>
      <c r="BA1166" s="1266"/>
      <c r="BC1166" s="169"/>
    </row>
    <row r="1167" spans="19:55" ht="15.75" customHeight="1">
      <c r="S1167" s="454"/>
      <c r="AY1167" s="458"/>
      <c r="AZ1167" s="458"/>
      <c r="BA1167" s="1266"/>
      <c r="BC1167" s="169"/>
    </row>
    <row r="1168" spans="19:55" ht="15.75" customHeight="1">
      <c r="S1168" s="454"/>
      <c r="AY1168" s="458"/>
      <c r="AZ1168" s="458"/>
      <c r="BA1168" s="1266"/>
      <c r="BC1168" s="169"/>
    </row>
    <row r="1169" spans="19:55" ht="15.75" customHeight="1">
      <c r="S1169" s="454"/>
      <c r="AY1169" s="458"/>
      <c r="AZ1169" s="458"/>
      <c r="BA1169" s="1266"/>
      <c r="BC1169" s="169"/>
    </row>
    <row r="1170" spans="19:55" ht="15.75" customHeight="1">
      <c r="S1170" s="454"/>
      <c r="AY1170" s="458"/>
      <c r="AZ1170" s="458"/>
      <c r="BA1170" s="1266"/>
      <c r="BC1170" s="169"/>
    </row>
    <row r="1171" spans="19:55" ht="15.75" customHeight="1">
      <c r="S1171" s="454"/>
      <c r="AY1171" s="458"/>
      <c r="AZ1171" s="458"/>
      <c r="BA1171" s="1266"/>
      <c r="BC1171" s="169"/>
    </row>
    <row r="1172" spans="19:55" ht="15.75" customHeight="1">
      <c r="S1172" s="454"/>
      <c r="AY1172" s="458"/>
      <c r="AZ1172" s="458"/>
      <c r="BA1172" s="1266"/>
      <c r="BC1172" s="169"/>
    </row>
    <row r="1173" spans="19:55" ht="15.75" customHeight="1">
      <c r="S1173" s="454"/>
      <c r="AY1173" s="458"/>
      <c r="AZ1173" s="458"/>
      <c r="BA1173" s="1266"/>
      <c r="BC1173" s="169"/>
    </row>
    <row r="1174" spans="19:55" ht="15.75" customHeight="1">
      <c r="S1174" s="454"/>
      <c r="AY1174" s="458"/>
      <c r="AZ1174" s="458"/>
      <c r="BA1174" s="1266"/>
      <c r="BC1174" s="169"/>
    </row>
    <row r="1175" spans="19:55" ht="15.75" customHeight="1">
      <c r="S1175" s="454"/>
      <c r="AY1175" s="458"/>
      <c r="AZ1175" s="458"/>
      <c r="BA1175" s="1266"/>
      <c r="BC1175" s="169"/>
    </row>
    <row r="1176" spans="19:55" ht="15.75" customHeight="1">
      <c r="S1176" s="454"/>
      <c r="AY1176" s="458"/>
      <c r="AZ1176" s="458"/>
      <c r="BA1176" s="1266"/>
      <c r="BC1176" s="169"/>
    </row>
    <row r="1177" spans="19:55" ht="15.75" customHeight="1">
      <c r="S1177" s="454"/>
      <c r="AY1177" s="458"/>
      <c r="AZ1177" s="458"/>
      <c r="BA1177" s="1266"/>
      <c r="BC1177" s="169"/>
    </row>
    <row r="1178" spans="19:55" ht="15.75" customHeight="1">
      <c r="S1178" s="454"/>
      <c r="AY1178" s="458"/>
      <c r="AZ1178" s="458"/>
      <c r="BA1178" s="1266"/>
      <c r="BC1178" s="169"/>
    </row>
    <row r="1179" spans="19:55" ht="15.75" customHeight="1">
      <c r="S1179" s="454"/>
      <c r="AY1179" s="458"/>
      <c r="AZ1179" s="458"/>
      <c r="BA1179" s="1266"/>
      <c r="BC1179" s="169"/>
    </row>
    <row r="1180" spans="19:55" ht="15.75" customHeight="1">
      <c r="S1180" s="454"/>
      <c r="AY1180" s="458"/>
      <c r="AZ1180" s="458"/>
      <c r="BA1180" s="1266"/>
      <c r="BC1180" s="169"/>
    </row>
    <row r="1181" spans="19:55" ht="15.75" customHeight="1">
      <c r="S1181" s="454"/>
      <c r="AY1181" s="458"/>
      <c r="AZ1181" s="458"/>
      <c r="BA1181" s="1266"/>
      <c r="BC1181" s="169"/>
    </row>
    <row r="1182" spans="19:55" ht="15.75" customHeight="1">
      <c r="S1182" s="454"/>
      <c r="AY1182" s="458"/>
      <c r="AZ1182" s="458"/>
      <c r="BA1182" s="1266"/>
      <c r="BC1182" s="169"/>
    </row>
    <row r="1183" spans="19:55" ht="15.75" customHeight="1">
      <c r="S1183" s="454"/>
      <c r="AY1183" s="458"/>
      <c r="AZ1183" s="458"/>
      <c r="BA1183" s="1266"/>
      <c r="BC1183" s="169"/>
    </row>
    <row r="1184" spans="19:55" ht="15.75" customHeight="1">
      <c r="S1184" s="454"/>
      <c r="AY1184" s="458"/>
      <c r="AZ1184" s="458"/>
      <c r="BA1184" s="1266"/>
      <c r="BC1184" s="169"/>
    </row>
    <row r="1185" spans="19:55" ht="15.75" customHeight="1">
      <c r="S1185" s="454"/>
      <c r="AY1185" s="458"/>
      <c r="AZ1185" s="458"/>
      <c r="BA1185" s="1266"/>
      <c r="BC1185" s="169"/>
    </row>
    <row r="1186" spans="19:55" ht="15.75" customHeight="1">
      <c r="S1186" s="454"/>
      <c r="AY1186" s="458"/>
      <c r="AZ1186" s="458"/>
      <c r="BA1186" s="1266"/>
      <c r="BC1186" s="169"/>
    </row>
    <row r="1187" spans="19:55" ht="15.75" customHeight="1">
      <c r="S1187" s="454"/>
      <c r="AY1187" s="458"/>
      <c r="AZ1187" s="458"/>
      <c r="BA1187" s="1266"/>
      <c r="BC1187" s="169"/>
    </row>
    <row r="1188" spans="19:55" ht="15.75" customHeight="1">
      <c r="S1188" s="454"/>
      <c r="AY1188" s="458"/>
      <c r="AZ1188" s="458"/>
      <c r="BA1188" s="1266"/>
      <c r="BC1188" s="169"/>
    </row>
    <row r="1189" spans="19:55" ht="15.75" customHeight="1">
      <c r="S1189" s="454"/>
      <c r="AY1189" s="458"/>
      <c r="AZ1189" s="458"/>
      <c r="BA1189" s="1266"/>
      <c r="BC1189" s="169"/>
    </row>
    <row r="1190" spans="19:55" ht="15.75" customHeight="1">
      <c r="S1190" s="454"/>
      <c r="AY1190" s="458"/>
      <c r="AZ1190" s="458"/>
      <c r="BA1190" s="1266"/>
      <c r="BC1190" s="169"/>
    </row>
    <row r="1191" spans="19:55" ht="15.75" customHeight="1">
      <c r="S1191" s="454"/>
      <c r="AY1191" s="458"/>
      <c r="AZ1191" s="458"/>
      <c r="BA1191" s="1266"/>
      <c r="BC1191" s="169"/>
    </row>
    <row r="1192" spans="19:55" ht="15.75" customHeight="1">
      <c r="S1192" s="454"/>
      <c r="AY1192" s="458"/>
      <c r="AZ1192" s="458"/>
      <c r="BA1192" s="1266"/>
      <c r="BC1192" s="169"/>
    </row>
    <row r="1193" spans="19:55" ht="15.75" customHeight="1">
      <c r="S1193" s="454"/>
      <c r="AY1193" s="458"/>
      <c r="AZ1193" s="458"/>
      <c r="BA1193" s="1266"/>
      <c r="BC1193" s="169"/>
    </row>
    <row r="1194" spans="19:55" ht="15.75" customHeight="1">
      <c r="S1194" s="454"/>
      <c r="AY1194" s="458"/>
      <c r="AZ1194" s="458"/>
      <c r="BA1194" s="1266"/>
      <c r="BC1194" s="169"/>
    </row>
    <row r="1195" spans="19:55" ht="15.75" customHeight="1">
      <c r="S1195" s="454"/>
      <c r="AY1195" s="458"/>
      <c r="AZ1195" s="458"/>
      <c r="BA1195" s="1266"/>
      <c r="BC1195" s="169"/>
    </row>
    <row r="1196" spans="19:55" ht="15.75" customHeight="1">
      <c r="S1196" s="454"/>
      <c r="AY1196" s="458"/>
      <c r="AZ1196" s="458"/>
      <c r="BA1196" s="1266"/>
      <c r="BC1196" s="169"/>
    </row>
    <row r="1197" spans="19:55" ht="15.75" customHeight="1">
      <c r="S1197" s="454"/>
      <c r="AY1197" s="458"/>
      <c r="AZ1197" s="458"/>
      <c r="BA1197" s="1266"/>
      <c r="BC1197" s="169"/>
    </row>
    <row r="1198" spans="19:55" ht="15.75" customHeight="1">
      <c r="S1198" s="454"/>
      <c r="AY1198" s="458"/>
      <c r="AZ1198" s="458"/>
      <c r="BA1198" s="1266"/>
      <c r="BC1198" s="169"/>
    </row>
    <row r="1199" spans="19:55" ht="15.75" customHeight="1">
      <c r="S1199" s="454"/>
      <c r="AY1199" s="458"/>
      <c r="AZ1199" s="458"/>
      <c r="BA1199" s="1266"/>
      <c r="BC1199" s="169"/>
    </row>
    <row r="1200" spans="19:55" ht="15.75" customHeight="1">
      <c r="S1200" s="454"/>
      <c r="AY1200" s="458"/>
      <c r="AZ1200" s="458"/>
      <c r="BA1200" s="1266"/>
      <c r="BC1200" s="169"/>
    </row>
    <row r="1201" spans="19:55" ht="15.75" customHeight="1">
      <c r="S1201" s="454"/>
      <c r="AY1201" s="458"/>
      <c r="AZ1201" s="458"/>
      <c r="BA1201" s="1266"/>
      <c r="BC1201" s="169"/>
    </row>
    <row r="1202" spans="19:55" ht="15.75" customHeight="1">
      <c r="S1202" s="454"/>
      <c r="AY1202" s="458"/>
      <c r="AZ1202" s="458"/>
      <c r="BA1202" s="1266"/>
      <c r="BC1202" s="169"/>
    </row>
    <row r="1203" spans="19:55" ht="15.75" customHeight="1">
      <c r="S1203" s="454"/>
      <c r="AY1203" s="458"/>
      <c r="AZ1203" s="458"/>
      <c r="BA1203" s="1266"/>
      <c r="BC1203" s="169"/>
    </row>
    <row r="1204" spans="19:55" ht="15.75" customHeight="1">
      <c r="S1204" s="454"/>
      <c r="AY1204" s="458"/>
      <c r="AZ1204" s="458"/>
      <c r="BA1204" s="1266"/>
      <c r="BC1204" s="169"/>
    </row>
    <row r="1205" spans="19:55" ht="15.75" customHeight="1">
      <c r="S1205" s="454"/>
      <c r="AY1205" s="458"/>
      <c r="AZ1205" s="458"/>
      <c r="BA1205" s="1266"/>
      <c r="BC1205" s="169"/>
    </row>
    <row r="1206" spans="19:55" ht="15.75" customHeight="1">
      <c r="S1206" s="454"/>
      <c r="AY1206" s="458"/>
      <c r="AZ1206" s="458"/>
      <c r="BA1206" s="1266"/>
      <c r="BC1206" s="169"/>
    </row>
    <row r="1207" spans="19:55" ht="15.75" customHeight="1">
      <c r="S1207" s="454"/>
      <c r="AY1207" s="458"/>
      <c r="AZ1207" s="458"/>
      <c r="BA1207" s="1266"/>
      <c r="BC1207" s="169"/>
    </row>
    <row r="1208" spans="19:55" ht="15.75" customHeight="1">
      <c r="S1208" s="454"/>
      <c r="AY1208" s="458"/>
      <c r="AZ1208" s="458"/>
      <c r="BA1208" s="1266"/>
      <c r="BC1208" s="169"/>
    </row>
    <row r="1209" spans="19:55" ht="15.75" customHeight="1">
      <c r="S1209" s="454"/>
      <c r="AY1209" s="458"/>
      <c r="AZ1209" s="458"/>
      <c r="BA1209" s="1266"/>
      <c r="BC1209" s="169"/>
    </row>
    <row r="1210" spans="19:55" ht="15.75" customHeight="1">
      <c r="S1210" s="454"/>
      <c r="AY1210" s="458"/>
      <c r="AZ1210" s="458"/>
      <c r="BA1210" s="1266"/>
      <c r="BC1210" s="169"/>
    </row>
    <row r="1211" spans="19:55" ht="15.75" customHeight="1">
      <c r="S1211" s="454"/>
      <c r="AY1211" s="458"/>
      <c r="AZ1211" s="458"/>
      <c r="BA1211" s="1266"/>
      <c r="BC1211" s="169"/>
    </row>
    <row r="1212" spans="19:55" ht="15.75" customHeight="1">
      <c r="S1212" s="454"/>
      <c r="AY1212" s="458"/>
      <c r="AZ1212" s="458"/>
      <c r="BA1212" s="1266"/>
      <c r="BC1212" s="169"/>
    </row>
    <row r="1213" spans="19:55" ht="15.75" customHeight="1">
      <c r="S1213" s="454"/>
      <c r="AY1213" s="458"/>
      <c r="AZ1213" s="458"/>
      <c r="BA1213" s="1266"/>
      <c r="BC1213" s="169"/>
    </row>
    <row r="1214" spans="19:55" ht="15.75" customHeight="1">
      <c r="S1214" s="454"/>
      <c r="AY1214" s="458"/>
      <c r="AZ1214" s="458"/>
      <c r="BA1214" s="1266"/>
      <c r="BC1214" s="169"/>
    </row>
    <row r="1215" spans="19:55" ht="15.75" customHeight="1">
      <c r="S1215" s="454"/>
      <c r="AY1215" s="458"/>
      <c r="AZ1215" s="458"/>
      <c r="BA1215" s="1266"/>
      <c r="BC1215" s="169"/>
    </row>
    <row r="1216" spans="19:55" ht="15.75" customHeight="1">
      <c r="S1216" s="454"/>
      <c r="AY1216" s="458"/>
      <c r="AZ1216" s="458"/>
      <c r="BA1216" s="1266"/>
      <c r="BC1216" s="169"/>
    </row>
    <row r="1217" spans="19:55" ht="15.75" customHeight="1">
      <c r="S1217" s="454"/>
      <c r="AY1217" s="458"/>
      <c r="AZ1217" s="458"/>
      <c r="BA1217" s="1266"/>
      <c r="BC1217" s="169"/>
    </row>
    <row r="1218" spans="19:55" ht="15.75" customHeight="1">
      <c r="S1218" s="454"/>
      <c r="AY1218" s="458"/>
      <c r="AZ1218" s="458"/>
      <c r="BA1218" s="1266"/>
      <c r="BC1218" s="169"/>
    </row>
    <row r="1219" spans="19:55" ht="15.75" customHeight="1">
      <c r="S1219" s="454"/>
      <c r="AY1219" s="458"/>
      <c r="AZ1219" s="458"/>
      <c r="BA1219" s="1266"/>
      <c r="BC1219" s="169"/>
    </row>
    <row r="1220" spans="19:55" ht="15.75" customHeight="1">
      <c r="S1220" s="454"/>
      <c r="AY1220" s="458"/>
      <c r="AZ1220" s="458"/>
      <c r="BA1220" s="1266"/>
      <c r="BC1220" s="169"/>
    </row>
    <row r="1221" spans="19:55" ht="15.75" customHeight="1">
      <c r="S1221" s="454"/>
      <c r="AY1221" s="458"/>
      <c r="AZ1221" s="458"/>
      <c r="BA1221" s="1266"/>
      <c r="BC1221" s="169"/>
    </row>
    <row r="1222" spans="19:55" ht="15.75" customHeight="1">
      <c r="S1222" s="454"/>
      <c r="AY1222" s="458"/>
      <c r="AZ1222" s="458"/>
      <c r="BA1222" s="1266"/>
      <c r="BC1222" s="169"/>
    </row>
    <row r="1223" spans="19:55" ht="15.75" customHeight="1">
      <c r="S1223" s="454"/>
      <c r="AY1223" s="458"/>
      <c r="AZ1223" s="458"/>
      <c r="BA1223" s="1266"/>
      <c r="BC1223" s="169"/>
    </row>
    <row r="1224" spans="19:55" ht="15.75" customHeight="1">
      <c r="S1224" s="454"/>
      <c r="AY1224" s="458"/>
      <c r="AZ1224" s="458"/>
      <c r="BA1224" s="1266"/>
      <c r="BC1224" s="169"/>
    </row>
    <row r="1225" spans="19:55" ht="15.75" customHeight="1">
      <c r="S1225" s="454"/>
      <c r="AY1225" s="458"/>
      <c r="AZ1225" s="458"/>
      <c r="BA1225" s="1266"/>
      <c r="BC1225" s="169"/>
    </row>
    <row r="1226" spans="19:55" ht="15.75" customHeight="1">
      <c r="S1226" s="454"/>
      <c r="AY1226" s="458"/>
      <c r="AZ1226" s="458"/>
      <c r="BA1226" s="1266"/>
      <c r="BC1226" s="169"/>
    </row>
    <row r="1227" spans="19:55" ht="15.75" customHeight="1">
      <c r="S1227" s="454"/>
      <c r="AY1227" s="458"/>
      <c r="AZ1227" s="458"/>
      <c r="BA1227" s="1266"/>
      <c r="BC1227" s="169"/>
    </row>
    <row r="1228" spans="19:55" ht="15.75" customHeight="1">
      <c r="S1228" s="454"/>
      <c r="AY1228" s="458"/>
      <c r="AZ1228" s="458"/>
      <c r="BA1228" s="1266"/>
      <c r="BC1228" s="169"/>
    </row>
    <row r="1229" spans="19:55" ht="15.75" customHeight="1">
      <c r="S1229" s="454"/>
      <c r="AY1229" s="458"/>
      <c r="AZ1229" s="458"/>
      <c r="BA1229" s="1266"/>
      <c r="BC1229" s="169"/>
    </row>
    <row r="1230" spans="19:55" ht="15.75" customHeight="1">
      <c r="S1230" s="454"/>
      <c r="AY1230" s="458"/>
      <c r="AZ1230" s="458"/>
      <c r="BA1230" s="1266"/>
      <c r="BC1230" s="169"/>
    </row>
    <row r="1231" spans="19:55" ht="15.75" customHeight="1">
      <c r="S1231" s="454"/>
      <c r="AY1231" s="458"/>
      <c r="AZ1231" s="458"/>
      <c r="BA1231" s="1266"/>
      <c r="BC1231" s="169"/>
    </row>
    <row r="1232" spans="19:55" ht="15.75" customHeight="1">
      <c r="S1232" s="454"/>
      <c r="AY1232" s="458"/>
      <c r="AZ1232" s="458"/>
      <c r="BA1232" s="1266"/>
      <c r="BC1232" s="169"/>
    </row>
    <row r="1233" spans="19:55" ht="15.75" customHeight="1">
      <c r="S1233" s="454"/>
      <c r="AY1233" s="458"/>
      <c r="AZ1233" s="458"/>
      <c r="BA1233" s="1266"/>
      <c r="BC1233" s="169"/>
    </row>
    <row r="1234" spans="19:55" ht="15.75" customHeight="1">
      <c r="S1234" s="454"/>
      <c r="AY1234" s="458"/>
      <c r="AZ1234" s="458"/>
      <c r="BA1234" s="1266"/>
      <c r="BC1234" s="169"/>
    </row>
    <row r="1235" spans="19:55" ht="15.75" customHeight="1">
      <c r="S1235" s="454"/>
      <c r="AY1235" s="458"/>
      <c r="AZ1235" s="458"/>
      <c r="BA1235" s="1266"/>
      <c r="BC1235" s="169"/>
    </row>
    <row r="1236" spans="19:55" ht="15.75" customHeight="1">
      <c r="S1236" s="454"/>
      <c r="AY1236" s="458"/>
      <c r="AZ1236" s="458"/>
      <c r="BA1236" s="1266"/>
      <c r="BC1236" s="169"/>
    </row>
    <row r="1237" spans="19:55" ht="15.75" customHeight="1">
      <c r="S1237" s="454"/>
      <c r="AY1237" s="458"/>
      <c r="AZ1237" s="458"/>
      <c r="BA1237" s="1266"/>
      <c r="BC1237" s="169"/>
    </row>
    <row r="1238" spans="19:55" ht="15.75" customHeight="1">
      <c r="S1238" s="454"/>
      <c r="AY1238" s="458"/>
      <c r="AZ1238" s="458"/>
      <c r="BA1238" s="1266"/>
      <c r="BC1238" s="169"/>
    </row>
    <row r="1239" spans="19:55" ht="15.75" customHeight="1">
      <c r="S1239" s="454"/>
      <c r="AY1239" s="458"/>
      <c r="AZ1239" s="458"/>
      <c r="BA1239" s="1266"/>
      <c r="BC1239" s="169"/>
    </row>
    <row r="1240" spans="19:55" ht="15.75" customHeight="1">
      <c r="S1240" s="454"/>
      <c r="AY1240" s="458"/>
      <c r="AZ1240" s="458"/>
      <c r="BA1240" s="1266"/>
      <c r="BC1240" s="169"/>
    </row>
    <row r="1241" spans="19:55" ht="15.75" customHeight="1">
      <c r="S1241" s="454"/>
      <c r="AY1241" s="458"/>
      <c r="AZ1241" s="458"/>
      <c r="BA1241" s="1266"/>
      <c r="BC1241" s="169"/>
    </row>
    <row r="1242" spans="19:55" ht="15.75" customHeight="1">
      <c r="S1242" s="454"/>
      <c r="AY1242" s="458"/>
      <c r="AZ1242" s="458"/>
      <c r="BA1242" s="1266"/>
      <c r="BC1242" s="169"/>
    </row>
    <row r="1243" spans="19:55" ht="15.75" customHeight="1">
      <c r="S1243" s="454"/>
      <c r="AY1243" s="458"/>
      <c r="AZ1243" s="458"/>
      <c r="BA1243" s="1266"/>
      <c r="BC1243" s="169"/>
    </row>
    <row r="1244" spans="19:55" ht="15.75" customHeight="1">
      <c r="S1244" s="454"/>
      <c r="AY1244" s="458"/>
      <c r="AZ1244" s="458"/>
      <c r="BA1244" s="1266"/>
      <c r="BC1244" s="169"/>
    </row>
    <row r="1245" spans="19:55" ht="15.75" customHeight="1">
      <c r="S1245" s="454"/>
      <c r="AY1245" s="458"/>
      <c r="AZ1245" s="458"/>
      <c r="BA1245" s="1266"/>
      <c r="BC1245" s="169"/>
    </row>
    <row r="1246" spans="19:55" ht="15.75" customHeight="1">
      <c r="S1246" s="454"/>
      <c r="AY1246" s="458"/>
      <c r="AZ1246" s="458"/>
      <c r="BA1246" s="1266"/>
      <c r="BC1246" s="169"/>
    </row>
    <row r="1247" spans="19:55" ht="15.75" customHeight="1">
      <c r="S1247" s="454"/>
      <c r="AY1247" s="458"/>
      <c r="AZ1247" s="458"/>
      <c r="BA1247" s="1266"/>
      <c r="BC1247" s="169"/>
    </row>
    <row r="1248" spans="19:55" ht="15.75" customHeight="1">
      <c r="S1248" s="454"/>
      <c r="AY1248" s="458"/>
      <c r="AZ1248" s="458"/>
      <c r="BA1248" s="1266"/>
      <c r="BC1248" s="169"/>
    </row>
    <row r="1249" spans="19:55" ht="15.75" customHeight="1">
      <c r="S1249" s="454"/>
      <c r="AY1249" s="458"/>
      <c r="AZ1249" s="458"/>
      <c r="BA1249" s="1266"/>
      <c r="BC1249" s="169"/>
    </row>
    <row r="1250" spans="19:55" ht="15.75" customHeight="1">
      <c r="S1250" s="454"/>
      <c r="AY1250" s="458"/>
      <c r="AZ1250" s="458"/>
      <c r="BA1250" s="1266"/>
      <c r="BC1250" s="169"/>
    </row>
    <row r="1251" spans="19:55" ht="15.75" customHeight="1">
      <c r="S1251" s="454"/>
      <c r="AY1251" s="458"/>
      <c r="AZ1251" s="458"/>
      <c r="BA1251" s="1266"/>
      <c r="BC1251" s="169"/>
    </row>
    <row r="1252" spans="19:55" ht="15.75" customHeight="1">
      <c r="S1252" s="454"/>
      <c r="AY1252" s="458"/>
      <c r="AZ1252" s="458"/>
      <c r="BA1252" s="1266"/>
      <c r="BC1252" s="169"/>
    </row>
    <row r="1253" spans="19:55" ht="15.75" customHeight="1">
      <c r="S1253" s="454"/>
      <c r="AY1253" s="458"/>
      <c r="AZ1253" s="458"/>
      <c r="BA1253" s="1266"/>
      <c r="BC1253" s="169"/>
    </row>
    <row r="1254" spans="19:55" ht="15.75" customHeight="1">
      <c r="S1254" s="454"/>
      <c r="AY1254" s="458"/>
      <c r="AZ1254" s="458"/>
      <c r="BA1254" s="1266"/>
      <c r="BC1254" s="169"/>
    </row>
    <row r="1255" spans="19:55" ht="15.75" customHeight="1">
      <c r="S1255" s="454"/>
      <c r="AY1255" s="458"/>
      <c r="AZ1255" s="458"/>
      <c r="BA1255" s="1266"/>
      <c r="BC1255" s="169"/>
    </row>
    <row r="1256" spans="19:55" ht="15.75" customHeight="1">
      <c r="S1256" s="454"/>
      <c r="AY1256" s="458"/>
      <c r="AZ1256" s="458"/>
      <c r="BA1256" s="1266"/>
      <c r="BC1256" s="169"/>
    </row>
    <row r="1257" spans="19:55" ht="15.75" customHeight="1">
      <c r="S1257" s="454"/>
      <c r="AY1257" s="458"/>
      <c r="AZ1257" s="458"/>
      <c r="BA1257" s="1266"/>
      <c r="BC1257" s="169"/>
    </row>
    <row r="1258" spans="19:55" ht="15.75" customHeight="1">
      <c r="S1258" s="454"/>
      <c r="AY1258" s="458"/>
      <c r="AZ1258" s="458"/>
      <c r="BA1258" s="1266"/>
      <c r="BC1258" s="169"/>
    </row>
    <row r="1259" spans="19:55" ht="15.75" customHeight="1">
      <c r="S1259" s="454"/>
      <c r="AY1259" s="458"/>
      <c r="AZ1259" s="458"/>
      <c r="BA1259" s="1266"/>
      <c r="BC1259" s="169"/>
    </row>
    <row r="1260" spans="19:55" ht="15.75" customHeight="1">
      <c r="S1260" s="454"/>
      <c r="AY1260" s="458"/>
      <c r="AZ1260" s="458"/>
      <c r="BA1260" s="1266"/>
      <c r="BC1260" s="169"/>
    </row>
    <row r="1261" spans="19:55" ht="15.75" customHeight="1">
      <c r="S1261" s="454"/>
      <c r="AY1261" s="458"/>
      <c r="AZ1261" s="458"/>
      <c r="BA1261" s="1266"/>
      <c r="BC1261" s="169"/>
    </row>
    <row r="1262" spans="19:55" ht="15.75" customHeight="1">
      <c r="S1262" s="454"/>
      <c r="AY1262" s="458"/>
      <c r="AZ1262" s="458"/>
      <c r="BA1262" s="1266"/>
      <c r="BC1262" s="169"/>
    </row>
    <row r="1263" spans="19:55" ht="15.75" customHeight="1">
      <c r="S1263" s="454"/>
      <c r="AY1263" s="458"/>
      <c r="AZ1263" s="458"/>
      <c r="BA1263" s="1266"/>
      <c r="BC1263" s="169"/>
    </row>
    <row r="1264" spans="19:55" ht="15.75" customHeight="1">
      <c r="S1264" s="454"/>
      <c r="AY1264" s="458"/>
      <c r="AZ1264" s="458"/>
      <c r="BA1264" s="1266"/>
      <c r="BC1264" s="169"/>
    </row>
    <row r="1265" spans="19:55" ht="15.75" customHeight="1">
      <c r="S1265" s="454"/>
      <c r="AY1265" s="458"/>
      <c r="AZ1265" s="458"/>
      <c r="BA1265" s="1266"/>
      <c r="BC1265" s="169"/>
    </row>
    <row r="1266" spans="19:55" ht="15.75" customHeight="1">
      <c r="S1266" s="454"/>
      <c r="AY1266" s="458"/>
      <c r="AZ1266" s="458"/>
      <c r="BA1266" s="1266"/>
      <c r="BC1266" s="169"/>
    </row>
    <row r="1267" spans="19:55" ht="15.75" customHeight="1">
      <c r="S1267" s="454"/>
      <c r="AY1267" s="458"/>
      <c r="AZ1267" s="458"/>
      <c r="BA1267" s="1266"/>
      <c r="BC1267" s="169"/>
    </row>
    <row r="1268" spans="19:55" ht="15.75" customHeight="1">
      <c r="S1268" s="454"/>
      <c r="AY1268" s="458"/>
      <c r="AZ1268" s="458"/>
      <c r="BA1268" s="1266"/>
      <c r="BC1268" s="169"/>
    </row>
    <row r="1269" spans="19:55" ht="15.75" customHeight="1">
      <c r="S1269" s="454"/>
      <c r="AY1269" s="458"/>
      <c r="AZ1269" s="458"/>
      <c r="BA1269" s="1266"/>
      <c r="BC1269" s="169"/>
    </row>
    <row r="1270" spans="19:55" ht="15.75" customHeight="1">
      <c r="S1270" s="454"/>
      <c r="AY1270" s="458"/>
      <c r="AZ1270" s="458"/>
      <c r="BA1270" s="1266"/>
      <c r="BC1270" s="169"/>
    </row>
    <row r="1271" spans="19:55" ht="15.75" customHeight="1">
      <c r="S1271" s="454"/>
      <c r="AY1271" s="458"/>
      <c r="AZ1271" s="458"/>
      <c r="BA1271" s="1266"/>
      <c r="BC1271" s="169"/>
    </row>
    <row r="1272" spans="19:55" ht="15.75" customHeight="1">
      <c r="S1272" s="454"/>
      <c r="AY1272" s="458"/>
      <c r="AZ1272" s="458"/>
      <c r="BA1272" s="1266"/>
      <c r="BC1272" s="169"/>
    </row>
    <row r="1273" spans="19:55" ht="15.75" customHeight="1">
      <c r="S1273" s="454"/>
      <c r="AY1273" s="458"/>
      <c r="AZ1273" s="458"/>
      <c r="BA1273" s="1266"/>
      <c r="BC1273" s="169"/>
    </row>
    <row r="1274" spans="19:55" ht="15.75" customHeight="1">
      <c r="S1274" s="454"/>
      <c r="AY1274" s="458"/>
      <c r="AZ1274" s="458"/>
      <c r="BA1274" s="1266"/>
      <c r="BC1274" s="169"/>
    </row>
    <row r="1275" spans="19:55" ht="15.75" customHeight="1">
      <c r="S1275" s="454"/>
      <c r="AY1275" s="458"/>
      <c r="AZ1275" s="458"/>
      <c r="BA1275" s="1266"/>
      <c r="BC1275" s="169"/>
    </row>
    <row r="1276" spans="19:55" ht="15.75" customHeight="1">
      <c r="S1276" s="454"/>
      <c r="AY1276" s="458"/>
      <c r="AZ1276" s="458"/>
      <c r="BA1276" s="1266"/>
      <c r="BC1276" s="169"/>
    </row>
    <row r="1277" spans="19:55" ht="15.75" customHeight="1">
      <c r="S1277" s="454"/>
      <c r="AY1277" s="458"/>
      <c r="AZ1277" s="458"/>
      <c r="BA1277" s="1266"/>
      <c r="BC1277" s="169"/>
    </row>
    <row r="1278" spans="19:55" ht="15.75" customHeight="1">
      <c r="S1278" s="454"/>
      <c r="AY1278" s="458"/>
      <c r="AZ1278" s="458"/>
      <c r="BA1278" s="1266"/>
      <c r="BC1278" s="169"/>
    </row>
    <row r="1279" spans="19:55" ht="15.75" customHeight="1">
      <c r="S1279" s="454"/>
      <c r="AY1279" s="458"/>
      <c r="AZ1279" s="458"/>
      <c r="BA1279" s="1266"/>
      <c r="BC1279" s="169"/>
    </row>
    <row r="1280" spans="19:55" ht="15.75" customHeight="1">
      <c r="S1280" s="454"/>
      <c r="AY1280" s="458"/>
      <c r="AZ1280" s="458"/>
      <c r="BA1280" s="1266"/>
      <c r="BC1280" s="169"/>
    </row>
    <row r="1281" spans="19:55" ht="15.75" customHeight="1">
      <c r="S1281" s="454"/>
      <c r="AY1281" s="458"/>
      <c r="AZ1281" s="458"/>
      <c r="BA1281" s="1266"/>
      <c r="BC1281" s="169"/>
    </row>
    <row r="1282" spans="19:55" ht="15.75" customHeight="1">
      <c r="S1282" s="454"/>
      <c r="AY1282" s="458"/>
      <c r="AZ1282" s="458"/>
      <c r="BA1282" s="1266"/>
      <c r="BC1282" s="169"/>
    </row>
    <row r="1283" spans="19:55" ht="15.75" customHeight="1">
      <c r="S1283" s="454"/>
      <c r="AY1283" s="458"/>
      <c r="AZ1283" s="458"/>
      <c r="BA1283" s="1266"/>
      <c r="BC1283" s="169"/>
    </row>
    <row r="1284" spans="19:55" ht="15.75" customHeight="1">
      <c r="S1284" s="454"/>
      <c r="AY1284" s="458"/>
      <c r="AZ1284" s="458"/>
      <c r="BA1284" s="1266"/>
      <c r="BC1284" s="169"/>
    </row>
    <row r="1285" spans="19:55" ht="15.75" customHeight="1">
      <c r="S1285" s="454"/>
      <c r="AY1285" s="458"/>
      <c r="AZ1285" s="458"/>
      <c r="BA1285" s="1266"/>
      <c r="BC1285" s="169"/>
    </row>
    <row r="1286" spans="19:55" ht="15.75" customHeight="1">
      <c r="S1286" s="454"/>
      <c r="AY1286" s="458"/>
      <c r="AZ1286" s="458"/>
      <c r="BA1286" s="1266"/>
      <c r="BC1286" s="169"/>
    </row>
    <row r="1287" spans="19:55" ht="15.75" customHeight="1">
      <c r="S1287" s="454"/>
      <c r="AY1287" s="458"/>
      <c r="AZ1287" s="458"/>
      <c r="BA1287" s="1266"/>
      <c r="BC1287" s="169"/>
    </row>
    <row r="1288" spans="19:55" ht="15.75" customHeight="1">
      <c r="S1288" s="454"/>
      <c r="AY1288" s="458"/>
      <c r="AZ1288" s="458"/>
      <c r="BA1288" s="1266"/>
      <c r="BC1288" s="169"/>
    </row>
    <row r="1289" spans="19:55" ht="15.75" customHeight="1">
      <c r="S1289" s="454"/>
      <c r="AY1289" s="458"/>
      <c r="AZ1289" s="458"/>
      <c r="BA1289" s="1266"/>
      <c r="BC1289" s="169"/>
    </row>
    <row r="1290" spans="19:55" ht="15.75" customHeight="1">
      <c r="S1290" s="454"/>
      <c r="AY1290" s="458"/>
      <c r="AZ1290" s="458"/>
      <c r="BA1290" s="1266"/>
      <c r="BC1290" s="169"/>
    </row>
    <row r="1291" spans="19:55" ht="15.75" customHeight="1">
      <c r="S1291" s="454"/>
      <c r="AY1291" s="458"/>
      <c r="AZ1291" s="458"/>
      <c r="BA1291" s="1266"/>
      <c r="BC1291" s="169"/>
    </row>
    <row r="1292" spans="19:55" ht="15.75" customHeight="1">
      <c r="S1292" s="454"/>
      <c r="AY1292" s="458"/>
      <c r="AZ1292" s="458"/>
      <c r="BA1292" s="1266"/>
      <c r="BC1292" s="169"/>
    </row>
    <row r="1293" spans="19:55" ht="15.75" customHeight="1">
      <c r="S1293" s="454"/>
      <c r="AY1293" s="458"/>
      <c r="AZ1293" s="458"/>
      <c r="BA1293" s="1266"/>
      <c r="BC1293" s="169"/>
    </row>
    <row r="1294" spans="19:55" ht="15.75" customHeight="1">
      <c r="S1294" s="454"/>
      <c r="AY1294" s="458"/>
      <c r="AZ1294" s="458"/>
      <c r="BA1294" s="1266"/>
      <c r="BC1294" s="169"/>
    </row>
    <row r="1295" spans="19:55" ht="15.75" customHeight="1">
      <c r="S1295" s="454"/>
      <c r="AY1295" s="458"/>
      <c r="AZ1295" s="458"/>
      <c r="BA1295" s="1266"/>
      <c r="BC1295" s="169"/>
    </row>
    <row r="1296" spans="19:55" ht="15.75" customHeight="1">
      <c r="S1296" s="454"/>
      <c r="AY1296" s="458"/>
      <c r="AZ1296" s="458"/>
      <c r="BA1296" s="1266"/>
      <c r="BC1296" s="169"/>
    </row>
    <row r="1297" spans="19:55" ht="15.75" customHeight="1">
      <c r="S1297" s="454"/>
      <c r="AY1297" s="458"/>
      <c r="AZ1297" s="458"/>
      <c r="BC1297" s="169"/>
    </row>
    <row r="1298" spans="19:55" ht="15.75" customHeight="1">
      <c r="S1298" s="454"/>
      <c r="AY1298" s="458"/>
      <c r="AZ1298" s="458"/>
      <c r="BC1298" s="169"/>
    </row>
    <row r="1299" spans="19:55" ht="15.75" customHeight="1">
      <c r="S1299" s="454"/>
      <c r="AY1299" s="458"/>
      <c r="AZ1299" s="458"/>
      <c r="BC1299" s="169"/>
    </row>
    <row r="1300" spans="19:55" ht="15.75" customHeight="1">
      <c r="S1300" s="454"/>
      <c r="AY1300" s="458"/>
      <c r="AZ1300" s="458"/>
      <c r="BC1300" s="169"/>
    </row>
    <row r="1301" spans="19:55" ht="15.75" customHeight="1">
      <c r="S1301" s="454"/>
      <c r="AY1301" s="458"/>
      <c r="AZ1301" s="458"/>
      <c r="BC1301" s="169"/>
    </row>
    <row r="1302" spans="19:55" ht="15.75" customHeight="1">
      <c r="S1302" s="454"/>
      <c r="AY1302" s="458"/>
      <c r="AZ1302" s="458"/>
      <c r="BC1302" s="169"/>
    </row>
    <row r="1303" spans="19:55" ht="15.75" customHeight="1">
      <c r="S1303" s="454"/>
      <c r="AY1303" s="458"/>
      <c r="AZ1303" s="458"/>
      <c r="BC1303" s="169"/>
    </row>
    <row r="1304" spans="19:55" ht="15.75" customHeight="1">
      <c r="S1304" s="454"/>
      <c r="AY1304" s="458"/>
      <c r="AZ1304" s="458"/>
      <c r="BC1304" s="169"/>
    </row>
    <row r="1305" spans="19:55" ht="15.75" customHeight="1">
      <c r="S1305" s="454"/>
      <c r="AY1305" s="458"/>
      <c r="AZ1305" s="458"/>
      <c r="BC1305" s="169"/>
    </row>
    <row r="1306" spans="19:55" ht="15.75" customHeight="1">
      <c r="S1306" s="454"/>
      <c r="AY1306" s="458"/>
      <c r="AZ1306" s="458"/>
      <c r="BC1306" s="169"/>
    </row>
    <row r="1307" spans="19:55" ht="15.75" customHeight="1">
      <c r="S1307" s="454"/>
      <c r="AY1307" s="458"/>
      <c r="AZ1307" s="458"/>
      <c r="BC1307" s="169"/>
    </row>
    <row r="1308" spans="19:55" ht="15.75" customHeight="1">
      <c r="S1308" s="454"/>
      <c r="AY1308" s="458"/>
      <c r="AZ1308" s="458"/>
      <c r="BC1308" s="169"/>
    </row>
    <row r="1309" spans="19:55" ht="15.75" customHeight="1">
      <c r="S1309" s="454"/>
      <c r="BC1309" s="169"/>
    </row>
    <row r="1310" spans="19:55" ht="15.75" customHeight="1">
      <c r="S1310" s="454"/>
      <c r="BC1310" s="169"/>
    </row>
    <row r="1311" spans="19:55" ht="15.75" customHeight="1">
      <c r="S1311" s="454"/>
      <c r="BC1311" s="169"/>
    </row>
    <row r="1312" spans="19:55" ht="15.75" customHeight="1">
      <c r="S1312" s="454"/>
      <c r="BC1312" s="169"/>
    </row>
    <row r="1313" spans="19:55" ht="15.75" customHeight="1">
      <c r="S1313" s="454"/>
      <c r="BC1313" s="169"/>
    </row>
    <row r="1314" spans="19:55" ht="15.75" customHeight="1">
      <c r="S1314" s="454"/>
      <c r="BC1314" s="169"/>
    </row>
    <row r="1315" spans="19:55" ht="15.75" customHeight="1">
      <c r="S1315" s="454"/>
      <c r="BC1315" s="169"/>
    </row>
    <row r="1316" spans="19:55" ht="15.75" customHeight="1">
      <c r="S1316" s="454"/>
      <c r="BC1316" s="169"/>
    </row>
    <row r="1317" spans="19:55" ht="15.75" customHeight="1">
      <c r="S1317" s="454"/>
      <c r="BC1317" s="169"/>
    </row>
    <row r="1318" spans="19:55" ht="15.75" customHeight="1">
      <c r="S1318" s="454"/>
      <c r="BC1318" s="169"/>
    </row>
    <row r="1319" spans="19:55" ht="15.75" customHeight="1">
      <c r="S1319" s="454"/>
      <c r="BC1319" s="169"/>
    </row>
    <row r="1320" spans="19:55" ht="15.75" customHeight="1">
      <c r="S1320" s="454"/>
      <c r="BC1320" s="169"/>
    </row>
    <row r="1321" spans="19:55" ht="15.75" customHeight="1">
      <c r="S1321" s="454"/>
      <c r="BC1321" s="169"/>
    </row>
    <row r="1322" spans="19:55" ht="15.75" customHeight="1">
      <c r="S1322" s="454"/>
      <c r="BC1322" s="169"/>
    </row>
    <row r="1323" spans="19:55" ht="15.75" customHeight="1">
      <c r="S1323" s="454"/>
      <c r="BC1323" s="169"/>
    </row>
    <row r="1324" spans="19:55" ht="15.75" customHeight="1">
      <c r="S1324" s="454"/>
      <c r="BC1324" s="169"/>
    </row>
    <row r="1325" spans="19:55" ht="15.75" customHeight="1">
      <c r="S1325" s="454"/>
      <c r="BC1325" s="169"/>
    </row>
    <row r="1326" spans="19:55" ht="15.75" customHeight="1">
      <c r="S1326" s="454"/>
      <c r="BC1326" s="169"/>
    </row>
    <row r="1327" spans="19:55" ht="15.75" customHeight="1">
      <c r="S1327" s="454"/>
      <c r="BC1327" s="169"/>
    </row>
    <row r="1328" spans="19:55" ht="15.75" customHeight="1">
      <c r="S1328" s="454"/>
      <c r="BC1328" s="169"/>
    </row>
    <row r="1329" spans="19:55" ht="15.75" customHeight="1">
      <c r="S1329" s="454"/>
      <c r="BC1329" s="169"/>
    </row>
    <row r="1330" spans="19:55" ht="15.75" customHeight="1">
      <c r="S1330" s="454"/>
      <c r="BC1330" s="169"/>
    </row>
    <row r="1331" spans="19:55" ht="15.75" customHeight="1">
      <c r="S1331" s="454"/>
      <c r="BC1331" s="169"/>
    </row>
    <row r="1332" spans="19:55" ht="15.75" customHeight="1">
      <c r="S1332" s="454"/>
      <c r="BC1332" s="169"/>
    </row>
    <row r="1333" spans="19:55" ht="15.75" customHeight="1">
      <c r="S1333" s="454"/>
      <c r="BC1333" s="169"/>
    </row>
    <row r="1334" spans="19:55" ht="15.75" customHeight="1">
      <c r="S1334" s="454"/>
      <c r="BC1334" s="169"/>
    </row>
    <row r="1335" spans="19:55" ht="15.75" customHeight="1">
      <c r="S1335" s="454"/>
      <c r="BC1335" s="169"/>
    </row>
    <row r="1336" spans="19:55" ht="15.75" customHeight="1">
      <c r="S1336" s="454"/>
      <c r="BC1336" s="169"/>
    </row>
    <row r="1337" spans="19:55" ht="15.75" customHeight="1">
      <c r="S1337" s="454"/>
      <c r="BC1337" s="169"/>
    </row>
    <row r="1338" spans="19:55" ht="15.75" customHeight="1">
      <c r="S1338" s="454"/>
      <c r="BC1338" s="169"/>
    </row>
    <row r="1339" spans="19:55" ht="15.75" customHeight="1">
      <c r="S1339" s="454"/>
      <c r="BC1339" s="169"/>
    </row>
    <row r="1340" spans="19:55" ht="15.75" customHeight="1">
      <c r="S1340" s="454"/>
      <c r="BC1340" s="169"/>
    </row>
    <row r="1341" spans="19:55" ht="15.75" customHeight="1">
      <c r="S1341" s="454"/>
      <c r="BC1341" s="169"/>
    </row>
    <row r="1342" spans="19:55" ht="15.75" customHeight="1">
      <c r="S1342" s="454"/>
      <c r="BC1342" s="169"/>
    </row>
    <row r="1343" spans="19:55" ht="15.75" customHeight="1">
      <c r="S1343" s="454"/>
      <c r="BC1343" s="169"/>
    </row>
    <row r="1344" spans="19:55" ht="15.75" customHeight="1">
      <c r="S1344" s="454"/>
      <c r="BC1344" s="169"/>
    </row>
    <row r="1345" spans="19:55" ht="15.75" customHeight="1">
      <c r="S1345" s="454"/>
      <c r="BC1345" s="169"/>
    </row>
    <row r="1346" spans="19:55" ht="15.75" customHeight="1">
      <c r="S1346" s="454"/>
      <c r="BC1346" s="169"/>
    </row>
    <row r="1347" spans="19:55" ht="15.75" customHeight="1">
      <c r="S1347" s="454"/>
      <c r="BC1347" s="169"/>
    </row>
    <row r="1348" spans="19:55" ht="15.75" customHeight="1">
      <c r="S1348" s="454"/>
      <c r="BC1348" s="169"/>
    </row>
    <row r="1349" spans="19:55" ht="15.75" customHeight="1">
      <c r="S1349" s="454"/>
      <c r="BC1349" s="169"/>
    </row>
    <row r="1350" spans="19:55" ht="15.75" customHeight="1">
      <c r="S1350" s="454"/>
      <c r="BC1350" s="169"/>
    </row>
    <row r="1351" spans="19:55" ht="15.75" customHeight="1">
      <c r="S1351" s="454"/>
      <c r="BC1351" s="169"/>
    </row>
    <row r="1352" spans="19:55" ht="15.75" customHeight="1">
      <c r="S1352" s="454"/>
      <c r="BC1352" s="169"/>
    </row>
    <row r="1353" spans="19:55" ht="15.75" customHeight="1">
      <c r="S1353" s="454"/>
      <c r="BC1353" s="169"/>
    </row>
    <row r="1354" spans="19:55" ht="15.75" customHeight="1">
      <c r="S1354" s="454"/>
      <c r="BC1354" s="169"/>
    </row>
    <row r="1355" spans="19:55" ht="15.75" customHeight="1">
      <c r="S1355" s="454"/>
      <c r="BC1355" s="169"/>
    </row>
    <row r="1356" spans="19:55" ht="15.75" customHeight="1">
      <c r="S1356" s="454"/>
      <c r="BC1356" s="169"/>
    </row>
    <row r="1357" spans="19:55" ht="15.75" customHeight="1">
      <c r="S1357" s="454"/>
      <c r="BC1357" s="169"/>
    </row>
    <row r="1358" spans="19:55" ht="15.75" customHeight="1">
      <c r="S1358" s="454"/>
      <c r="BC1358" s="169"/>
    </row>
    <row r="1359" spans="19:55" ht="15.75" customHeight="1">
      <c r="S1359" s="454"/>
      <c r="BC1359" s="169"/>
    </row>
    <row r="1360" spans="19:55" ht="15.75" customHeight="1">
      <c r="S1360" s="454"/>
      <c r="BC1360" s="169"/>
    </row>
    <row r="1361" spans="19:55" ht="15.75" customHeight="1">
      <c r="S1361" s="454"/>
      <c r="BC1361" s="169"/>
    </row>
    <row r="1362" spans="19:55" ht="15.75" customHeight="1">
      <c r="S1362" s="454"/>
      <c r="BC1362" s="169"/>
    </row>
    <row r="1363" spans="19:55" ht="15.75" customHeight="1">
      <c r="S1363" s="454"/>
      <c r="BC1363" s="169"/>
    </row>
    <row r="1364" spans="19:55" ht="15.75" customHeight="1">
      <c r="S1364" s="454"/>
      <c r="BC1364" s="169"/>
    </row>
    <row r="1365" spans="19:55" ht="15.75" customHeight="1">
      <c r="S1365" s="454"/>
      <c r="BC1365" s="169"/>
    </row>
    <row r="1366" spans="19:55" ht="15.75" customHeight="1">
      <c r="S1366" s="454"/>
      <c r="BC1366" s="169"/>
    </row>
    <row r="1367" spans="19:55" ht="15.75" customHeight="1">
      <c r="S1367" s="454"/>
      <c r="BC1367" s="169"/>
    </row>
    <row r="1368" spans="19:55" ht="15.75" customHeight="1">
      <c r="S1368" s="454"/>
      <c r="BC1368" s="169"/>
    </row>
    <row r="1369" spans="19:55" ht="15.75" customHeight="1">
      <c r="S1369" s="454"/>
      <c r="BC1369" s="169"/>
    </row>
    <row r="1370" spans="19:55" ht="15.75" customHeight="1">
      <c r="S1370" s="454"/>
      <c r="BC1370" s="169"/>
    </row>
    <row r="1371" spans="19:55" ht="15.75" customHeight="1">
      <c r="S1371" s="454"/>
      <c r="BC1371" s="169"/>
    </row>
    <row r="1372" spans="19:55" ht="15.75" customHeight="1">
      <c r="S1372" s="454"/>
      <c r="BC1372" s="169"/>
    </row>
    <row r="1373" spans="19:55" ht="15.75" customHeight="1">
      <c r="S1373" s="454"/>
      <c r="BC1373" s="169"/>
    </row>
    <row r="1374" spans="19:55" ht="15.75" customHeight="1">
      <c r="S1374" s="454"/>
      <c r="BC1374" s="169"/>
    </row>
    <row r="1375" spans="19:55" ht="15.75" customHeight="1">
      <c r="S1375" s="454"/>
      <c r="BC1375" s="169"/>
    </row>
    <row r="1376" spans="19:55" ht="15.75" customHeight="1">
      <c r="S1376" s="454"/>
      <c r="BC1376" s="169"/>
    </row>
    <row r="1377" spans="19:55" ht="15.75" customHeight="1">
      <c r="S1377" s="454"/>
      <c r="BC1377" s="169"/>
    </row>
    <row r="1378" spans="19:55" ht="15.75" customHeight="1">
      <c r="S1378" s="454"/>
      <c r="BC1378" s="169"/>
    </row>
    <row r="1379" spans="19:55" ht="15.75" customHeight="1">
      <c r="S1379" s="454"/>
      <c r="BC1379" s="169"/>
    </row>
    <row r="1380" spans="19:55" ht="15.75" customHeight="1">
      <c r="S1380" s="454"/>
      <c r="BC1380" s="169"/>
    </row>
    <row r="1381" spans="19:55" ht="15.75" customHeight="1">
      <c r="S1381" s="454"/>
      <c r="BC1381" s="169"/>
    </row>
    <row r="1382" spans="19:55" ht="15.75" customHeight="1">
      <c r="S1382" s="454"/>
      <c r="BC1382" s="169"/>
    </row>
    <row r="1383" spans="19:55" ht="15.75" customHeight="1">
      <c r="S1383" s="454"/>
      <c r="BC1383" s="169"/>
    </row>
    <row r="1384" spans="19:55" ht="15.75" customHeight="1">
      <c r="S1384" s="454"/>
      <c r="BC1384" s="169"/>
    </row>
    <row r="1385" spans="19:55" ht="15.75" customHeight="1">
      <c r="S1385" s="454"/>
      <c r="BC1385" s="169"/>
    </row>
    <row r="1386" spans="19:55" ht="15.75" customHeight="1">
      <c r="S1386" s="454"/>
      <c r="BC1386" s="169"/>
    </row>
    <row r="1387" spans="19:55" ht="15.75" customHeight="1">
      <c r="S1387" s="454"/>
      <c r="BC1387" s="169"/>
    </row>
    <row r="1388" spans="19:55" ht="15.75" customHeight="1">
      <c r="S1388" s="454"/>
      <c r="BC1388" s="169"/>
    </row>
    <row r="1389" spans="19:55" ht="15.75" customHeight="1">
      <c r="S1389" s="454"/>
      <c r="BC1389" s="169"/>
    </row>
    <row r="1390" spans="19:55" ht="15.75" customHeight="1">
      <c r="S1390" s="454"/>
      <c r="BC1390" s="169"/>
    </row>
    <row r="1391" spans="19:55" ht="15.75" customHeight="1">
      <c r="S1391" s="454"/>
      <c r="BC1391" s="169"/>
    </row>
    <row r="1392" spans="19:55" ht="15.75" customHeight="1">
      <c r="S1392" s="454"/>
      <c r="BC1392" s="169"/>
    </row>
    <row r="1393" spans="19:55" ht="15.75" customHeight="1">
      <c r="S1393" s="454"/>
      <c r="BC1393" s="169"/>
    </row>
    <row r="1394" spans="19:55" ht="15.75" customHeight="1">
      <c r="S1394" s="454"/>
      <c r="BC1394" s="169"/>
    </row>
    <row r="1395" spans="19:55" ht="15.75" customHeight="1">
      <c r="S1395" s="454"/>
      <c r="BC1395" s="169"/>
    </row>
    <row r="1396" spans="19:55" ht="15.75" customHeight="1">
      <c r="S1396" s="454"/>
      <c r="BC1396" s="169"/>
    </row>
    <row r="1397" spans="19:55" ht="15.75" customHeight="1">
      <c r="S1397" s="454"/>
      <c r="BC1397" s="169"/>
    </row>
    <row r="1398" spans="19:55" ht="15.75" customHeight="1">
      <c r="S1398" s="454"/>
      <c r="BC1398" s="169"/>
    </row>
    <row r="1399" spans="19:55" ht="15.75" customHeight="1">
      <c r="S1399" s="454"/>
      <c r="BC1399" s="169"/>
    </row>
    <row r="1400" spans="19:55" ht="15.75" customHeight="1">
      <c r="S1400" s="454"/>
      <c r="BC1400" s="169"/>
    </row>
    <row r="1401" spans="19:55" ht="15.75" customHeight="1">
      <c r="S1401" s="454"/>
      <c r="BC1401" s="169"/>
    </row>
    <row r="1402" spans="19:55" ht="15.75" customHeight="1">
      <c r="S1402" s="454"/>
      <c r="BC1402" s="169"/>
    </row>
    <row r="1403" spans="19:55" ht="15.75" customHeight="1">
      <c r="S1403" s="454"/>
      <c r="BC1403" s="169"/>
    </row>
    <row r="1404" spans="19:55" ht="15.75" customHeight="1">
      <c r="S1404" s="454"/>
      <c r="BC1404" s="169"/>
    </row>
    <row r="1405" spans="19:55" ht="15.75" customHeight="1">
      <c r="S1405" s="454"/>
      <c r="BC1405" s="169"/>
    </row>
    <row r="1406" spans="19:55" ht="15.75" customHeight="1">
      <c r="S1406" s="454"/>
      <c r="BC1406" s="169"/>
    </row>
    <row r="1407" spans="19:55" ht="15.75" customHeight="1">
      <c r="S1407" s="454"/>
      <c r="BC1407" s="169"/>
    </row>
    <row r="1408" spans="19:55" ht="15.75" customHeight="1">
      <c r="S1408" s="454"/>
      <c r="BC1408" s="169"/>
    </row>
    <row r="1409" spans="19:55" ht="15.75" customHeight="1">
      <c r="S1409" s="454"/>
      <c r="BC1409" s="169"/>
    </row>
    <row r="1410" spans="19:55" ht="15.75" customHeight="1">
      <c r="S1410" s="454"/>
      <c r="BC1410" s="169"/>
    </row>
    <row r="1411" spans="19:55" ht="15.75" customHeight="1">
      <c r="S1411" s="454"/>
      <c r="BC1411" s="169"/>
    </row>
    <row r="1412" spans="19:55" ht="15.75" customHeight="1">
      <c r="S1412" s="454"/>
      <c r="BC1412" s="169"/>
    </row>
    <row r="1413" spans="19:55" ht="15.75" customHeight="1">
      <c r="S1413" s="454"/>
      <c r="BC1413" s="169"/>
    </row>
    <row r="1414" spans="19:55" ht="15.75" customHeight="1">
      <c r="S1414" s="454"/>
      <c r="BC1414" s="169"/>
    </row>
    <row r="1415" spans="19:55" ht="15.75" customHeight="1">
      <c r="S1415" s="454"/>
      <c r="BC1415" s="169"/>
    </row>
    <row r="1416" spans="19:55" ht="15.75" customHeight="1">
      <c r="S1416" s="454"/>
      <c r="BC1416" s="169"/>
    </row>
    <row r="1417" spans="19:55" ht="15.75" customHeight="1">
      <c r="S1417" s="454"/>
      <c r="BC1417" s="169"/>
    </row>
    <row r="1418" spans="19:55" ht="15.75" customHeight="1">
      <c r="S1418" s="454"/>
      <c r="BC1418" s="169"/>
    </row>
    <row r="1419" spans="19:55" ht="15.75" customHeight="1">
      <c r="S1419" s="454"/>
      <c r="BC1419" s="169"/>
    </row>
    <row r="1420" spans="19:55" ht="15.75" customHeight="1">
      <c r="S1420" s="454"/>
      <c r="BC1420" s="169"/>
    </row>
    <row r="1421" spans="19:55" ht="15.75" customHeight="1">
      <c r="S1421" s="454"/>
      <c r="BC1421" s="169"/>
    </row>
    <row r="1422" spans="19:55" ht="15.75" customHeight="1">
      <c r="S1422" s="454"/>
      <c r="BC1422" s="169"/>
    </row>
    <row r="1423" spans="19:55" ht="15.75" customHeight="1">
      <c r="S1423" s="454"/>
      <c r="BC1423" s="169"/>
    </row>
    <row r="1424" spans="19:55" ht="15.75" customHeight="1">
      <c r="S1424" s="454"/>
      <c r="BC1424" s="169"/>
    </row>
    <row r="1425" spans="19:55" ht="15.75" customHeight="1">
      <c r="S1425" s="454"/>
      <c r="BC1425" s="169"/>
    </row>
    <row r="1426" spans="19:55" ht="15.75" customHeight="1">
      <c r="S1426" s="454"/>
      <c r="BC1426" s="169"/>
    </row>
    <row r="1427" spans="19:55" ht="15.75" customHeight="1">
      <c r="S1427" s="454"/>
      <c r="BC1427" s="169"/>
    </row>
    <row r="1428" spans="19:55" ht="15.75" customHeight="1">
      <c r="S1428" s="454"/>
      <c r="BC1428" s="169"/>
    </row>
    <row r="1429" spans="19:55" ht="15.75" customHeight="1">
      <c r="S1429" s="454"/>
      <c r="BC1429" s="169"/>
    </row>
    <row r="1430" spans="19:55" ht="15.75" customHeight="1">
      <c r="S1430" s="454"/>
      <c r="BC1430" s="169"/>
    </row>
    <row r="1431" spans="19:55" ht="15.75" customHeight="1">
      <c r="S1431" s="454"/>
      <c r="BC1431" s="169"/>
    </row>
    <row r="1432" spans="19:55" ht="15.75" customHeight="1">
      <c r="S1432" s="454"/>
      <c r="BC1432" s="169"/>
    </row>
    <row r="1433" spans="19:55" ht="15.75" customHeight="1">
      <c r="S1433" s="454"/>
      <c r="BC1433" s="169"/>
    </row>
    <row r="1434" spans="19:55" ht="15.75" customHeight="1">
      <c r="S1434" s="454"/>
      <c r="BC1434" s="169"/>
    </row>
    <row r="1435" spans="19:55" ht="15.75" customHeight="1">
      <c r="S1435" s="454"/>
      <c r="BC1435" s="169"/>
    </row>
    <row r="1436" spans="19:55" ht="15.75" customHeight="1">
      <c r="S1436" s="454"/>
      <c r="BC1436" s="169"/>
    </row>
    <row r="1437" spans="19:55" ht="15.75" customHeight="1">
      <c r="S1437" s="454"/>
      <c r="BC1437" s="169"/>
    </row>
    <row r="1438" spans="19:55" ht="15.75" customHeight="1">
      <c r="S1438" s="454"/>
      <c r="BC1438" s="169"/>
    </row>
    <row r="1439" spans="19:55" ht="15.75" customHeight="1">
      <c r="S1439" s="454"/>
      <c r="BC1439" s="169"/>
    </row>
    <row r="1440" spans="19:55" ht="15.75" customHeight="1">
      <c r="S1440" s="454"/>
      <c r="BC1440" s="169"/>
    </row>
    <row r="1441" spans="19:55" ht="15.75" customHeight="1">
      <c r="S1441" s="454"/>
      <c r="BC1441" s="169"/>
    </row>
    <row r="1442" spans="19:55" ht="15.75" customHeight="1">
      <c r="S1442" s="454"/>
      <c r="BC1442" s="169"/>
    </row>
    <row r="1443" spans="19:55" ht="15.75" customHeight="1">
      <c r="S1443" s="454"/>
      <c r="BC1443" s="169"/>
    </row>
    <row r="1444" spans="19:55" ht="15.75" customHeight="1">
      <c r="S1444" s="454"/>
      <c r="BC1444" s="169"/>
    </row>
    <row r="1445" spans="19:55" ht="15.75" customHeight="1">
      <c r="S1445" s="454"/>
      <c r="BC1445" s="169"/>
    </row>
    <row r="1446" spans="19:55" ht="15.75" customHeight="1">
      <c r="S1446" s="454"/>
      <c r="BC1446" s="169"/>
    </row>
    <row r="1447" spans="19:55" ht="15.75" customHeight="1">
      <c r="S1447" s="454"/>
      <c r="BC1447" s="169"/>
    </row>
    <row r="1448" spans="19:55" ht="15.75" customHeight="1">
      <c r="S1448" s="454"/>
      <c r="BC1448" s="169"/>
    </row>
    <row r="1449" spans="19:55" ht="15.75" customHeight="1">
      <c r="S1449" s="454"/>
      <c r="BC1449" s="169"/>
    </row>
    <row r="1450" spans="19:55" ht="15.75" customHeight="1">
      <c r="S1450" s="454"/>
      <c r="BC1450" s="169"/>
    </row>
    <row r="1451" spans="19:55" ht="15.75" customHeight="1">
      <c r="S1451" s="454"/>
      <c r="BC1451" s="169"/>
    </row>
    <row r="1452" spans="19:55" ht="15.75" customHeight="1">
      <c r="S1452" s="454"/>
      <c r="BC1452" s="169"/>
    </row>
    <row r="1453" spans="19:55" ht="15.75" customHeight="1">
      <c r="S1453" s="454"/>
      <c r="BC1453" s="169"/>
    </row>
    <row r="1454" spans="19:55" ht="15.75" customHeight="1">
      <c r="S1454" s="454"/>
      <c r="BC1454" s="169"/>
    </row>
    <row r="1455" spans="19:55" ht="15.75" customHeight="1">
      <c r="S1455" s="454"/>
      <c r="BC1455" s="169"/>
    </row>
    <row r="1456" spans="19:55" ht="15.75" customHeight="1">
      <c r="S1456" s="454"/>
      <c r="BC1456" s="169"/>
    </row>
    <row r="1457" spans="19:55" ht="15.75" customHeight="1">
      <c r="S1457" s="454"/>
      <c r="BC1457" s="169"/>
    </row>
    <row r="1458" spans="19:55" ht="15.75" customHeight="1">
      <c r="S1458" s="454"/>
      <c r="BC1458" s="169"/>
    </row>
    <row r="1459" spans="19:55" ht="15.75" customHeight="1">
      <c r="S1459" s="454"/>
      <c r="BC1459" s="169"/>
    </row>
    <row r="1460" spans="19:55" ht="15.75" customHeight="1">
      <c r="S1460" s="454"/>
      <c r="BC1460" s="169"/>
    </row>
    <row r="1461" spans="19:55" ht="15.75" customHeight="1">
      <c r="S1461" s="454"/>
      <c r="BC1461" s="169"/>
    </row>
    <row r="1462" spans="19:55" ht="15.75" customHeight="1">
      <c r="S1462" s="454"/>
      <c r="BC1462" s="169"/>
    </row>
    <row r="1463" spans="19:55" ht="15.75" customHeight="1">
      <c r="S1463" s="454"/>
      <c r="BC1463" s="169"/>
    </row>
    <row r="1464" spans="19:55" ht="15.75" customHeight="1">
      <c r="S1464" s="454"/>
      <c r="BC1464" s="169"/>
    </row>
    <row r="1465" spans="19:55" ht="15.75" customHeight="1">
      <c r="S1465" s="454"/>
      <c r="BC1465" s="169"/>
    </row>
    <row r="1466" spans="19:55" ht="15.75" customHeight="1">
      <c r="S1466" s="454"/>
      <c r="BC1466" s="169"/>
    </row>
    <row r="1467" spans="19:55" ht="15.75" customHeight="1">
      <c r="S1467" s="454"/>
      <c r="BC1467" s="169"/>
    </row>
    <row r="1468" spans="19:55" ht="15.75" customHeight="1">
      <c r="S1468" s="454"/>
      <c r="BC1468" s="169"/>
    </row>
    <row r="1469" spans="19:55" ht="15.75" customHeight="1">
      <c r="S1469" s="454"/>
      <c r="BC1469" s="169"/>
    </row>
    <row r="1470" spans="19:55" ht="15.75" customHeight="1">
      <c r="S1470" s="454"/>
      <c r="BC1470" s="169"/>
    </row>
    <row r="1471" spans="19:55" ht="15.75" customHeight="1">
      <c r="S1471" s="454"/>
      <c r="BC1471" s="169"/>
    </row>
    <row r="1472" spans="19:55" ht="15.75" customHeight="1">
      <c r="S1472" s="454"/>
      <c r="BC1472" s="169"/>
    </row>
    <row r="1473" spans="19:55" ht="15.75" customHeight="1">
      <c r="S1473" s="454"/>
      <c r="BC1473" s="169"/>
    </row>
    <row r="1474" spans="19:55" ht="15.75" customHeight="1">
      <c r="S1474" s="454"/>
      <c r="BC1474" s="169"/>
    </row>
    <row r="1475" spans="19:55" ht="15.75" customHeight="1">
      <c r="S1475" s="454"/>
      <c r="BC1475" s="169"/>
    </row>
    <row r="1476" spans="19:55" ht="15.75" customHeight="1">
      <c r="S1476" s="454"/>
      <c r="BC1476" s="169"/>
    </row>
    <row r="1477" spans="19:55" ht="15.75" customHeight="1">
      <c r="S1477" s="454"/>
      <c r="BC1477" s="169"/>
    </row>
    <row r="1478" spans="19:55" ht="15.75" customHeight="1">
      <c r="S1478" s="454"/>
      <c r="BC1478" s="169"/>
    </row>
    <row r="1479" spans="19:55" ht="15.75" customHeight="1">
      <c r="S1479" s="454"/>
      <c r="BC1479" s="169"/>
    </row>
    <row r="1480" spans="19:55" ht="15.75" customHeight="1">
      <c r="S1480" s="454"/>
      <c r="BC1480" s="169"/>
    </row>
    <row r="1481" spans="19:55" ht="15.75" customHeight="1">
      <c r="S1481" s="454"/>
      <c r="BC1481" s="169"/>
    </row>
    <row r="1482" spans="19:55" ht="15.75" customHeight="1">
      <c r="S1482" s="454"/>
      <c r="BC1482" s="169"/>
    </row>
    <row r="1483" spans="19:55" ht="15.75" customHeight="1">
      <c r="S1483" s="454"/>
      <c r="BC1483" s="169"/>
    </row>
    <row r="1484" spans="19:55" ht="15.75" customHeight="1">
      <c r="S1484" s="454"/>
      <c r="BC1484" s="169"/>
    </row>
    <row r="1485" spans="19:55" ht="15.75" customHeight="1">
      <c r="S1485" s="454"/>
      <c r="BC1485" s="169"/>
    </row>
    <row r="1486" spans="19:55" ht="15.75" customHeight="1">
      <c r="S1486" s="454"/>
      <c r="BC1486" s="169"/>
    </row>
    <row r="1487" spans="19:55" ht="15.75" customHeight="1">
      <c r="S1487" s="454"/>
      <c r="BC1487" s="169"/>
    </row>
    <row r="1488" spans="19:55" ht="15.75" customHeight="1">
      <c r="S1488" s="454"/>
      <c r="BC1488" s="169"/>
    </row>
    <row r="1489" spans="19:55" ht="15.75" customHeight="1">
      <c r="S1489" s="454"/>
      <c r="BC1489" s="169"/>
    </row>
    <row r="1490" spans="19:55" ht="15.75" customHeight="1">
      <c r="S1490" s="454"/>
      <c r="BC1490" s="169"/>
    </row>
    <row r="1491" spans="19:55" ht="15.75" customHeight="1">
      <c r="S1491" s="454"/>
      <c r="BC1491" s="169"/>
    </row>
    <row r="1492" spans="19:55" ht="15.75" customHeight="1">
      <c r="S1492" s="454"/>
      <c r="BC1492" s="169"/>
    </row>
    <row r="1493" spans="19:55" ht="15.75" customHeight="1">
      <c r="S1493" s="454"/>
      <c r="BC1493" s="169"/>
    </row>
    <row r="1494" spans="19:55" ht="15.75" customHeight="1">
      <c r="BC1494" s="169"/>
    </row>
    <row r="1495" spans="19:55" ht="15.75" customHeight="1">
      <c r="BC1495" s="169"/>
    </row>
    <row r="1496" spans="19:55" ht="15.75" customHeight="1">
      <c r="BC1496" s="169"/>
    </row>
    <row r="1497" spans="19:55" ht="15.75" customHeight="1">
      <c r="BC1497" s="169"/>
    </row>
    <row r="1498" spans="19:55" ht="15.75" customHeight="1">
      <c r="BC1498" s="169"/>
    </row>
    <row r="1499" spans="19:55" ht="15.75" customHeight="1">
      <c r="BC1499" s="169"/>
    </row>
    <row r="1500" spans="19:55" ht="15.75" customHeight="1">
      <c r="BC1500" s="169"/>
    </row>
    <row r="1501" spans="19:55" ht="15.75" customHeight="1">
      <c r="BC1501" s="169"/>
    </row>
    <row r="1502" spans="19:55" ht="15.75" customHeight="1">
      <c r="BC1502" s="169"/>
    </row>
    <row r="1503" spans="19:55" ht="15.75" customHeight="1">
      <c r="BC1503" s="169"/>
    </row>
    <row r="1504" spans="19:55" ht="15.75" customHeight="1">
      <c r="BC1504" s="169"/>
    </row>
    <row r="1505" spans="55:55" ht="15.75" customHeight="1">
      <c r="BC1505" s="169"/>
    </row>
    <row r="1506" spans="55:55" ht="15.75" customHeight="1">
      <c r="BC1506" s="169"/>
    </row>
    <row r="1507" spans="55:55" ht="15.75" customHeight="1">
      <c r="BC1507" s="169"/>
    </row>
    <row r="1508" spans="55:55" ht="15.75" customHeight="1">
      <c r="BC1508" s="169"/>
    </row>
    <row r="1509" spans="55:55" ht="15.75" customHeight="1">
      <c r="BC1509" s="169"/>
    </row>
    <row r="1510" spans="55:55" ht="15.75" customHeight="1">
      <c r="BC1510" s="169"/>
    </row>
    <row r="1511" spans="55:55" ht="15.75" customHeight="1">
      <c r="BC1511" s="169"/>
    </row>
    <row r="1512" spans="55:55" ht="15.75" customHeight="1">
      <c r="BC1512" s="169"/>
    </row>
    <row r="1513" spans="55:55" ht="15.75" customHeight="1">
      <c r="BC1513" s="169"/>
    </row>
    <row r="1514" spans="55:55" ht="15.75" customHeight="1">
      <c r="BC1514" s="169"/>
    </row>
    <row r="1515" spans="55:55" ht="15.75" customHeight="1">
      <c r="BC1515" s="169"/>
    </row>
    <row r="1516" spans="55:55" ht="15.75" customHeight="1">
      <c r="BC1516" s="169"/>
    </row>
    <row r="1517" spans="55:55" ht="15.75" customHeight="1">
      <c r="BC1517" s="169"/>
    </row>
    <row r="1518" spans="55:55" ht="15.75" customHeight="1">
      <c r="BC1518" s="169"/>
    </row>
    <row r="1519" spans="55:55" ht="15.75" customHeight="1">
      <c r="BC1519" s="169"/>
    </row>
    <row r="1520" spans="55:55" ht="15.75" customHeight="1">
      <c r="BC1520" s="169"/>
    </row>
    <row r="1521" spans="55:55" ht="15.75" customHeight="1">
      <c r="BC1521" s="169"/>
    </row>
    <row r="1522" spans="55:55" ht="15.75" customHeight="1">
      <c r="BC1522" s="169"/>
    </row>
    <row r="1523" spans="55:55" ht="15.75" customHeight="1">
      <c r="BC1523" s="169"/>
    </row>
    <row r="1524" spans="55:55" ht="15.75" customHeight="1">
      <c r="BC1524" s="169"/>
    </row>
    <row r="1525" spans="55:55" ht="15.75" customHeight="1">
      <c r="BC1525" s="169"/>
    </row>
    <row r="1526" spans="55:55" ht="15.75" customHeight="1">
      <c r="BC1526" s="169"/>
    </row>
    <row r="1527" spans="55:55" ht="15.75" customHeight="1">
      <c r="BC1527" s="169"/>
    </row>
    <row r="1528" spans="55:55" ht="15.75" customHeight="1">
      <c r="BC1528" s="169"/>
    </row>
    <row r="1529" spans="55:55" ht="15.75" customHeight="1">
      <c r="BC1529" s="169"/>
    </row>
    <row r="1530" spans="55:55" ht="15.75" customHeight="1">
      <c r="BC1530" s="169"/>
    </row>
    <row r="1531" spans="55:55" ht="15.75" customHeight="1">
      <c r="BC1531" s="169"/>
    </row>
    <row r="1532" spans="55:55" ht="15.75" customHeight="1">
      <c r="BC1532" s="169"/>
    </row>
    <row r="1533" spans="55:55" ht="15.75" customHeight="1">
      <c r="BC1533" s="169"/>
    </row>
    <row r="1534" spans="55:55" ht="15.75" customHeight="1">
      <c r="BC1534" s="169"/>
    </row>
    <row r="1535" spans="55:55" ht="15.75" customHeight="1">
      <c r="BC1535" s="169"/>
    </row>
    <row r="1536" spans="55:55" ht="15.75" customHeight="1">
      <c r="BC1536" s="169"/>
    </row>
    <row r="1537" spans="55:55" ht="15.75" customHeight="1">
      <c r="BC1537" s="169"/>
    </row>
    <row r="1538" spans="55:55" ht="15.75" customHeight="1">
      <c r="BC1538" s="169"/>
    </row>
    <row r="1539" spans="55:55" ht="15.75" customHeight="1">
      <c r="BC1539" s="169"/>
    </row>
    <row r="1540" spans="55:55" ht="15.75" customHeight="1">
      <c r="BC1540" s="169"/>
    </row>
    <row r="1541" spans="55:55" ht="15.75" customHeight="1">
      <c r="BC1541" s="169"/>
    </row>
    <row r="1542" spans="55:55" ht="15.75" customHeight="1">
      <c r="BC1542" s="169"/>
    </row>
    <row r="1543" spans="55:55" ht="15.75" customHeight="1">
      <c r="BC1543" s="169"/>
    </row>
    <row r="1544" spans="55:55" ht="15.75" customHeight="1">
      <c r="BC1544" s="169"/>
    </row>
    <row r="1545" spans="55:55" ht="15.75" customHeight="1">
      <c r="BC1545" s="169"/>
    </row>
    <row r="1546" spans="55:55" ht="15.75" customHeight="1">
      <c r="BC1546" s="169"/>
    </row>
    <row r="1547" spans="55:55" ht="15.75" customHeight="1">
      <c r="BC1547" s="169"/>
    </row>
    <row r="1548" spans="55:55" ht="15.75" customHeight="1">
      <c r="BC1548" s="169"/>
    </row>
    <row r="1549" spans="55:55" ht="15.75" customHeight="1">
      <c r="BC1549" s="169"/>
    </row>
    <row r="1550" spans="55:55" ht="15.75" customHeight="1">
      <c r="BC1550" s="169"/>
    </row>
    <row r="1551" spans="55:55" ht="15.75" customHeight="1">
      <c r="BC1551" s="169"/>
    </row>
    <row r="1552" spans="55:55" ht="15.75" customHeight="1">
      <c r="BC1552" s="169"/>
    </row>
    <row r="1553" spans="55:55" ht="15.75" customHeight="1">
      <c r="BC1553" s="169"/>
    </row>
    <row r="1554" spans="55:55" ht="15.75" customHeight="1">
      <c r="BC1554" s="169"/>
    </row>
    <row r="1555" spans="55:55" ht="15.75" customHeight="1">
      <c r="BC1555" s="169"/>
    </row>
    <row r="1556" spans="55:55" ht="15.75" customHeight="1">
      <c r="BC1556" s="169"/>
    </row>
    <row r="1557" spans="55:55" ht="15.75" customHeight="1">
      <c r="BC1557" s="169"/>
    </row>
    <row r="1558" spans="55:55" ht="15.75" customHeight="1">
      <c r="BC1558" s="169"/>
    </row>
    <row r="1559" spans="55:55" ht="15.75" customHeight="1">
      <c r="BC1559" s="169"/>
    </row>
    <row r="1560" spans="55:55" ht="15.75" customHeight="1">
      <c r="BC1560" s="169"/>
    </row>
    <row r="1561" spans="55:55" ht="15.75" customHeight="1">
      <c r="BC1561" s="169"/>
    </row>
    <row r="1562" spans="55:55" ht="15.75" customHeight="1">
      <c r="BC1562" s="169"/>
    </row>
    <row r="1563" spans="55:55" ht="15.75" customHeight="1">
      <c r="BC1563" s="169"/>
    </row>
    <row r="1564" spans="55:55" ht="15.75" customHeight="1">
      <c r="BC1564" s="169"/>
    </row>
    <row r="1565" spans="55:55" ht="15.75" customHeight="1">
      <c r="BC1565" s="169"/>
    </row>
    <row r="1566" spans="55:55" ht="15.75" customHeight="1">
      <c r="BC1566" s="169"/>
    </row>
    <row r="1567" spans="55:55" ht="15.75" customHeight="1">
      <c r="BC1567" s="169"/>
    </row>
    <row r="1568" spans="55:55" ht="15.75" customHeight="1">
      <c r="BC1568" s="169"/>
    </row>
    <row r="1569" spans="55:55" ht="15.75" customHeight="1">
      <c r="BC1569" s="169"/>
    </row>
    <row r="1570" spans="55:55" ht="15.75" customHeight="1">
      <c r="BC1570" s="169"/>
    </row>
    <row r="1571" spans="55:55" ht="15.75" customHeight="1">
      <c r="BC1571" s="169"/>
    </row>
    <row r="1572" spans="55:55" ht="15.75" customHeight="1">
      <c r="BC1572" s="169"/>
    </row>
    <row r="1573" spans="55:55" ht="15.75" customHeight="1">
      <c r="BC1573" s="169"/>
    </row>
    <row r="1574" spans="55:55" ht="15.75" customHeight="1">
      <c r="BC1574" s="169"/>
    </row>
    <row r="1575" spans="55:55" ht="15.75" customHeight="1">
      <c r="BC1575" s="169"/>
    </row>
    <row r="1576" spans="55:55" ht="15.75" customHeight="1">
      <c r="BC1576" s="169"/>
    </row>
    <row r="1577" spans="55:55" ht="15.75" customHeight="1">
      <c r="BC1577" s="169"/>
    </row>
    <row r="1578" spans="55:55" ht="15.75" customHeight="1">
      <c r="BC1578" s="169"/>
    </row>
    <row r="1579" spans="55:55" ht="15.75" customHeight="1">
      <c r="BC1579" s="169"/>
    </row>
    <row r="1580" spans="55:55" ht="15.75" customHeight="1">
      <c r="BC1580" s="169"/>
    </row>
    <row r="1581" spans="55:55" ht="15.75" customHeight="1">
      <c r="BC1581" s="169"/>
    </row>
    <row r="1582" spans="55:55" ht="15.75" customHeight="1">
      <c r="BC1582" s="169"/>
    </row>
    <row r="1583" spans="55:55" ht="15.75" customHeight="1">
      <c r="BC1583" s="169"/>
    </row>
    <row r="1584" spans="55:55" ht="15.75" customHeight="1">
      <c r="BC1584" s="169"/>
    </row>
    <row r="1585" spans="55:55" ht="15.75" customHeight="1">
      <c r="BC1585" s="169"/>
    </row>
    <row r="1586" spans="55:55" ht="15.75" customHeight="1">
      <c r="BC1586" s="169"/>
    </row>
    <row r="1587" spans="55:55" ht="15.75" customHeight="1">
      <c r="BC1587" s="169"/>
    </row>
    <row r="1588" spans="55:55" ht="15.75" customHeight="1">
      <c r="BC1588" s="169"/>
    </row>
    <row r="1589" spans="55:55" ht="15.75" customHeight="1">
      <c r="BC1589" s="169"/>
    </row>
    <row r="1590" spans="55:55" ht="15.75" customHeight="1">
      <c r="BC1590" s="169"/>
    </row>
    <row r="1591" spans="55:55" ht="15.75" customHeight="1">
      <c r="BC1591" s="169"/>
    </row>
    <row r="1592" spans="55:55" ht="15.75" customHeight="1">
      <c r="BC1592" s="169"/>
    </row>
    <row r="1593" spans="55:55" ht="15.75" customHeight="1">
      <c r="BC1593" s="169"/>
    </row>
    <row r="1594" spans="55:55" ht="15.75" customHeight="1">
      <c r="BC1594" s="169"/>
    </row>
    <row r="1595" spans="55:55" ht="15.75" customHeight="1">
      <c r="BC1595" s="169"/>
    </row>
    <row r="1596" spans="55:55" ht="15.75" customHeight="1">
      <c r="BC1596" s="169"/>
    </row>
    <row r="1597" spans="55:55" ht="15.75" customHeight="1">
      <c r="BC1597" s="169"/>
    </row>
    <row r="1598" spans="55:55" ht="15.75" customHeight="1">
      <c r="BC1598" s="169"/>
    </row>
    <row r="1599" spans="55:55" ht="15.75" customHeight="1">
      <c r="BC1599" s="169"/>
    </row>
    <row r="1600" spans="55:55" ht="15.75" customHeight="1">
      <c r="BC1600" s="169"/>
    </row>
    <row r="1601" spans="55:55" ht="15.75" customHeight="1">
      <c r="BC1601" s="169"/>
    </row>
    <row r="1602" spans="55:55" ht="15.75" customHeight="1">
      <c r="BC1602" s="169"/>
    </row>
    <row r="1603" spans="55:55" ht="15.75" customHeight="1">
      <c r="BC1603" s="169"/>
    </row>
    <row r="1604" spans="55:55" ht="15.75" customHeight="1">
      <c r="BC1604" s="169"/>
    </row>
    <row r="1605" spans="55:55" ht="15.75" customHeight="1">
      <c r="BC1605" s="169"/>
    </row>
    <row r="1606" spans="55:55" ht="15.75" customHeight="1">
      <c r="BC1606" s="169"/>
    </row>
    <row r="1607" spans="55:55" ht="15.75" customHeight="1">
      <c r="BC1607" s="169"/>
    </row>
    <row r="1608" spans="55:55" ht="15.75" customHeight="1">
      <c r="BC1608" s="169"/>
    </row>
    <row r="1609" spans="55:55" ht="15.75" customHeight="1">
      <c r="BC1609" s="169"/>
    </row>
    <row r="1610" spans="55:55" ht="15.75" customHeight="1">
      <c r="BC1610" s="169"/>
    </row>
    <row r="1611" spans="55:55" ht="15.75" customHeight="1">
      <c r="BC1611" s="169"/>
    </row>
    <row r="1612" spans="55:55" ht="15.75" customHeight="1">
      <c r="BC1612" s="169"/>
    </row>
    <row r="1613" spans="55:55" ht="15.75" customHeight="1">
      <c r="BC1613" s="169"/>
    </row>
    <row r="1614" spans="55:55" ht="15.75" customHeight="1">
      <c r="BC1614" s="169"/>
    </row>
    <row r="1615" spans="55:55" ht="15.75" customHeight="1">
      <c r="BC1615" s="169"/>
    </row>
    <row r="1616" spans="55:55" ht="15.75" customHeight="1">
      <c r="BC1616" s="169"/>
    </row>
    <row r="1617" spans="55:55" ht="15.75" customHeight="1">
      <c r="BC1617" s="169"/>
    </row>
    <row r="1618" spans="55:55" ht="15.75" customHeight="1">
      <c r="BC1618" s="169"/>
    </row>
    <row r="1619" spans="55:55" ht="15.75" customHeight="1">
      <c r="BC1619" s="169"/>
    </row>
    <row r="1620" spans="55:55" ht="15.75" customHeight="1">
      <c r="BC1620" s="169"/>
    </row>
    <row r="1621" spans="55:55" ht="15.75" customHeight="1">
      <c r="BC1621" s="169"/>
    </row>
    <row r="1622" spans="55:55" ht="15.75" customHeight="1">
      <c r="BC1622" s="169"/>
    </row>
    <row r="1623" spans="55:55" ht="15.75" customHeight="1">
      <c r="BC1623" s="169"/>
    </row>
    <row r="1624" spans="55:55" ht="15.75" customHeight="1">
      <c r="BC1624" s="169"/>
    </row>
    <row r="1625" spans="55:55" ht="15.75" customHeight="1">
      <c r="BC1625" s="169"/>
    </row>
    <row r="1626" spans="55:55" ht="15.75" customHeight="1">
      <c r="BC1626" s="169"/>
    </row>
    <row r="1627" spans="55:55" ht="15.75" customHeight="1">
      <c r="BC1627" s="169"/>
    </row>
    <row r="1628" spans="55:55" ht="15.75" customHeight="1">
      <c r="BC1628" s="169"/>
    </row>
    <row r="1629" spans="55:55" ht="15.75" customHeight="1">
      <c r="BC1629" s="169"/>
    </row>
    <row r="1630" spans="55:55" ht="15.75" customHeight="1">
      <c r="BC1630" s="169"/>
    </row>
    <row r="1631" spans="55:55" ht="15.75" customHeight="1">
      <c r="BC1631" s="169"/>
    </row>
    <row r="1632" spans="55:55" ht="15.75" customHeight="1">
      <c r="BC1632" s="169"/>
    </row>
    <row r="1633" spans="55:55" ht="15.75" customHeight="1">
      <c r="BC1633" s="169"/>
    </row>
    <row r="1634" spans="55:55" ht="15.75" customHeight="1">
      <c r="BC1634" s="169"/>
    </row>
    <row r="1635" spans="55:55" ht="15.75" customHeight="1">
      <c r="BC1635" s="169"/>
    </row>
    <row r="1636" spans="55:55" ht="15.75" customHeight="1">
      <c r="BC1636" s="169"/>
    </row>
    <row r="1637" spans="55:55" ht="15.75" customHeight="1">
      <c r="BC1637" s="169"/>
    </row>
    <row r="1638" spans="55:55" ht="15.75" customHeight="1">
      <c r="BC1638" s="169"/>
    </row>
    <row r="1639" spans="55:55" ht="15.75" customHeight="1">
      <c r="BC1639" s="169"/>
    </row>
    <row r="1640" spans="55:55" ht="15.75" customHeight="1">
      <c r="BC1640" s="169"/>
    </row>
    <row r="1641" spans="55:55" ht="15.75" customHeight="1">
      <c r="BC1641" s="169"/>
    </row>
    <row r="1642" spans="55:55" ht="15.75" customHeight="1">
      <c r="BC1642" s="169"/>
    </row>
    <row r="1643" spans="55:55" ht="15.75" customHeight="1">
      <c r="BC1643" s="169"/>
    </row>
    <row r="1644" spans="55:55" ht="15.75" customHeight="1">
      <c r="BC1644" s="169"/>
    </row>
    <row r="1645" spans="55:55" ht="15.75" customHeight="1">
      <c r="BC1645" s="169"/>
    </row>
    <row r="1646" spans="55:55" ht="15.75" customHeight="1">
      <c r="BC1646" s="169"/>
    </row>
    <row r="1647" spans="55:55" ht="15.75" customHeight="1">
      <c r="BC1647" s="169"/>
    </row>
    <row r="1648" spans="55:55" ht="15.75" customHeight="1">
      <c r="BC1648" s="169"/>
    </row>
    <row r="1649" spans="55:55" ht="15.75" customHeight="1">
      <c r="BC1649" s="169"/>
    </row>
    <row r="1650" spans="55:55" ht="15.75" customHeight="1">
      <c r="BC1650" s="169"/>
    </row>
    <row r="1651" spans="55:55" ht="15.75" customHeight="1">
      <c r="BC1651" s="169"/>
    </row>
    <row r="1652" spans="55:55" ht="15.75" customHeight="1">
      <c r="BC1652" s="169"/>
    </row>
    <row r="1653" spans="55:55" ht="15.75" customHeight="1">
      <c r="BC1653" s="169"/>
    </row>
    <row r="1654" spans="55:55" ht="15.75" customHeight="1">
      <c r="BC1654" s="169"/>
    </row>
    <row r="1655" spans="55:55" ht="15.75" customHeight="1">
      <c r="BC1655" s="169"/>
    </row>
    <row r="1656" spans="55:55" ht="15.75" customHeight="1">
      <c r="BC1656" s="169"/>
    </row>
    <row r="1657" spans="55:55" ht="15.75" customHeight="1">
      <c r="BC1657" s="169"/>
    </row>
    <row r="1658" spans="55:55" ht="15.75" customHeight="1">
      <c r="BC1658" s="169"/>
    </row>
    <row r="1659" spans="55:55" ht="15.75" customHeight="1">
      <c r="BC1659" s="169"/>
    </row>
    <row r="1660" spans="55:55" ht="15.75" customHeight="1">
      <c r="BC1660" s="169"/>
    </row>
    <row r="1661" spans="55:55" ht="15.75" customHeight="1">
      <c r="BC1661" s="169"/>
    </row>
    <row r="1662" spans="55:55" ht="15.75" customHeight="1">
      <c r="BC1662" s="169"/>
    </row>
    <row r="1663" spans="55:55" ht="15.75" customHeight="1">
      <c r="BC1663" s="169"/>
    </row>
    <row r="1664" spans="55:55" ht="15.75" customHeight="1">
      <c r="BC1664" s="169"/>
    </row>
    <row r="1665" spans="55:55" ht="15.75" customHeight="1">
      <c r="BC1665" s="169"/>
    </row>
    <row r="1666" spans="55:55" ht="15.75" customHeight="1">
      <c r="BC1666" s="169"/>
    </row>
    <row r="1667" spans="55:55" ht="15.75" customHeight="1">
      <c r="BC1667" s="169"/>
    </row>
    <row r="1668" spans="55:55" ht="15.75" customHeight="1">
      <c r="BC1668" s="169"/>
    </row>
    <row r="1669" spans="55:55" ht="15.75" customHeight="1">
      <c r="BC1669" s="169"/>
    </row>
    <row r="1670" spans="55:55" ht="15.75" customHeight="1">
      <c r="BC1670" s="169"/>
    </row>
    <row r="1671" spans="55:55" ht="15.75" customHeight="1">
      <c r="BC1671" s="169"/>
    </row>
    <row r="1672" spans="55:55" ht="15.75" customHeight="1">
      <c r="BC1672" s="169"/>
    </row>
    <row r="1673" spans="55:55" ht="15.75" customHeight="1">
      <c r="BC1673" s="169"/>
    </row>
    <row r="1674" spans="55:55" ht="15.75" customHeight="1">
      <c r="BC1674" s="169"/>
    </row>
    <row r="1675" spans="55:55" ht="15.75" customHeight="1">
      <c r="BC1675" s="169"/>
    </row>
    <row r="1676" spans="55:55" ht="15.75" customHeight="1">
      <c r="BC1676" s="169"/>
    </row>
    <row r="1677" spans="55:55" ht="15.75" customHeight="1">
      <c r="BC1677" s="169"/>
    </row>
    <row r="1678" spans="55:55" ht="15.75" customHeight="1">
      <c r="BC1678" s="169"/>
    </row>
    <row r="1679" spans="55:55" ht="15.75" customHeight="1">
      <c r="BC1679" s="169"/>
    </row>
    <row r="1680" spans="55:55" ht="15.75" customHeight="1">
      <c r="BC1680" s="169"/>
    </row>
    <row r="1681" spans="55:55" ht="15.75" customHeight="1">
      <c r="BC1681" s="169"/>
    </row>
    <row r="1682" spans="55:55" ht="15.75" customHeight="1">
      <c r="BC1682" s="169"/>
    </row>
    <row r="1683" spans="55:55" ht="15.75" customHeight="1">
      <c r="BC1683" s="169"/>
    </row>
    <row r="1684" spans="55:55" ht="15.75" customHeight="1">
      <c r="BC1684" s="169"/>
    </row>
    <row r="1685" spans="55:55" ht="15.75" customHeight="1">
      <c r="BC1685" s="169"/>
    </row>
    <row r="1686" spans="55:55" ht="15.75" customHeight="1">
      <c r="BC1686" s="169"/>
    </row>
    <row r="1687" spans="55:55" ht="15.75" customHeight="1">
      <c r="BC1687" s="169"/>
    </row>
    <row r="1688" spans="55:55" ht="15.75" customHeight="1">
      <c r="BC1688" s="169"/>
    </row>
    <row r="1689" spans="55:55" ht="15.75" customHeight="1">
      <c r="BC1689" s="169"/>
    </row>
    <row r="1690" spans="55:55" ht="15.75" customHeight="1">
      <c r="BC1690" s="169"/>
    </row>
    <row r="1691" spans="55:55" ht="15.75" customHeight="1">
      <c r="BC1691" s="169"/>
    </row>
    <row r="1692" spans="55:55" ht="15.75" customHeight="1">
      <c r="BC1692" s="169"/>
    </row>
    <row r="1693" spans="55:55" ht="15.75" customHeight="1">
      <c r="BC1693" s="169"/>
    </row>
    <row r="1694" spans="55:55" ht="15.75" customHeight="1">
      <c r="BC1694" s="169"/>
    </row>
    <row r="1695" spans="55:55" ht="15.75" customHeight="1">
      <c r="BC1695" s="169"/>
    </row>
    <row r="1696" spans="55:55" ht="15.75" customHeight="1">
      <c r="BC1696" s="169"/>
    </row>
    <row r="1697" spans="55:55" ht="15.75" customHeight="1">
      <c r="BC1697" s="169"/>
    </row>
    <row r="1698" spans="55:55" ht="15.75" customHeight="1">
      <c r="BC1698" s="169"/>
    </row>
    <row r="1699" spans="55:55" ht="15.75" customHeight="1">
      <c r="BC1699" s="169"/>
    </row>
    <row r="1700" spans="55:55" ht="15.75" customHeight="1">
      <c r="BC1700" s="169"/>
    </row>
    <row r="1701" spans="55:55" ht="15.75" customHeight="1">
      <c r="BC1701" s="169"/>
    </row>
    <row r="1702" spans="55:55" ht="15.75" customHeight="1">
      <c r="BC1702" s="169"/>
    </row>
    <row r="1703" spans="55:55" ht="15.75" customHeight="1">
      <c r="BC1703" s="169"/>
    </row>
    <row r="1704" spans="55:55" ht="15.75" customHeight="1">
      <c r="BC1704" s="169"/>
    </row>
    <row r="1705" spans="55:55" ht="15.75" customHeight="1">
      <c r="BC1705" s="169"/>
    </row>
    <row r="1706" spans="55:55" ht="15.75" customHeight="1">
      <c r="BC1706" s="169"/>
    </row>
    <row r="1707" spans="55:55" ht="15.75" customHeight="1">
      <c r="BC1707" s="169"/>
    </row>
    <row r="1708" spans="55:55" ht="15.75" customHeight="1">
      <c r="BC1708" s="169"/>
    </row>
    <row r="1709" spans="55:55" ht="15.75" customHeight="1">
      <c r="BC1709" s="169"/>
    </row>
    <row r="1710" spans="55:55" ht="15.75" customHeight="1">
      <c r="BC1710" s="169"/>
    </row>
    <row r="1711" spans="55:55" ht="15.75" customHeight="1">
      <c r="BC1711" s="169"/>
    </row>
    <row r="1712" spans="55:55" ht="15.75" customHeight="1">
      <c r="BC1712" s="169"/>
    </row>
    <row r="1713" spans="55:55" ht="15.75" customHeight="1">
      <c r="BC1713" s="169"/>
    </row>
    <row r="1714" spans="55:55" ht="15.75" customHeight="1">
      <c r="BC1714" s="169"/>
    </row>
    <row r="1715" spans="55:55" ht="15.75" customHeight="1">
      <c r="BC1715" s="169"/>
    </row>
    <row r="1716" spans="55:55" ht="15.75" customHeight="1">
      <c r="BC1716" s="169"/>
    </row>
    <row r="1717" spans="55:55" ht="15.75" customHeight="1">
      <c r="BC1717" s="169"/>
    </row>
    <row r="1718" spans="55:55" ht="15.75" customHeight="1">
      <c r="BC1718" s="169"/>
    </row>
    <row r="1719" spans="55:55" ht="15.75" customHeight="1">
      <c r="BC1719" s="169"/>
    </row>
    <row r="1720" spans="55:55" ht="15.75" customHeight="1">
      <c r="BC1720" s="169"/>
    </row>
    <row r="1721" spans="55:55" ht="15.75" customHeight="1">
      <c r="BC1721" s="169"/>
    </row>
    <row r="1722" spans="55:55" ht="15.75" customHeight="1">
      <c r="BC1722" s="169"/>
    </row>
    <row r="1723" spans="55:55" ht="15.75" customHeight="1">
      <c r="BC1723" s="169"/>
    </row>
    <row r="1724" spans="55:55" ht="15.75" customHeight="1">
      <c r="BC1724" s="169"/>
    </row>
    <row r="1725" spans="55:55" ht="15.75" customHeight="1">
      <c r="BC1725" s="169"/>
    </row>
    <row r="1726" spans="55:55" ht="15.75" customHeight="1">
      <c r="BC1726" s="169"/>
    </row>
    <row r="1727" spans="55:55" ht="15.75" customHeight="1">
      <c r="BC1727" s="169"/>
    </row>
    <row r="1728" spans="55:55" ht="15.75" customHeight="1">
      <c r="BC1728" s="169"/>
    </row>
    <row r="1729" spans="55:55" ht="15.75" customHeight="1">
      <c r="BC1729" s="169"/>
    </row>
    <row r="1730" spans="55:55" ht="15.75" customHeight="1">
      <c r="BC1730" s="169"/>
    </row>
    <row r="1731" spans="55:55" ht="15.75" customHeight="1">
      <c r="BC1731" s="169"/>
    </row>
    <row r="1732" spans="55:55" ht="15.75" customHeight="1">
      <c r="BC1732" s="169"/>
    </row>
    <row r="1733" spans="55:55" ht="15.75" customHeight="1">
      <c r="BC1733" s="169"/>
    </row>
    <row r="1734" spans="55:55" ht="15.75" customHeight="1">
      <c r="BC1734" s="169"/>
    </row>
    <row r="1735" spans="55:55" ht="15.75" customHeight="1">
      <c r="BC1735" s="169"/>
    </row>
    <row r="1736" spans="55:55" ht="15.75" customHeight="1">
      <c r="BC1736" s="169"/>
    </row>
    <row r="1737" spans="55:55" ht="15.75" customHeight="1">
      <c r="BC1737" s="169"/>
    </row>
    <row r="1738" spans="55:55" ht="15.75" customHeight="1">
      <c r="BC1738" s="169"/>
    </row>
    <row r="1739" spans="55:55" ht="15.75" customHeight="1">
      <c r="BC1739" s="169"/>
    </row>
    <row r="1740" spans="55:55" ht="15.75" customHeight="1">
      <c r="BC1740" s="169"/>
    </row>
    <row r="1741" spans="55:55" ht="15.75" customHeight="1">
      <c r="BC1741" s="169"/>
    </row>
    <row r="1742" spans="55:55" ht="15.75" customHeight="1">
      <c r="BC1742" s="169"/>
    </row>
    <row r="1743" spans="55:55" ht="15.75" customHeight="1">
      <c r="BC1743" s="169"/>
    </row>
    <row r="1744" spans="55:55" ht="15.75" customHeight="1">
      <c r="BC1744" s="169"/>
    </row>
    <row r="1745" spans="55:55" ht="15.75" customHeight="1">
      <c r="BC1745" s="169"/>
    </row>
    <row r="1746" spans="55:55" ht="15.75" customHeight="1">
      <c r="BC1746" s="169"/>
    </row>
    <row r="1747" spans="55:55" ht="15.75" customHeight="1">
      <c r="BC1747" s="169"/>
    </row>
    <row r="1748" spans="55:55" ht="15.75" customHeight="1">
      <c r="BC1748" s="169"/>
    </row>
    <row r="1749" spans="55:55" ht="15.75" customHeight="1">
      <c r="BC1749" s="169"/>
    </row>
    <row r="1750" spans="55:55" ht="15.75" customHeight="1">
      <c r="BC1750" s="169"/>
    </row>
    <row r="1751" spans="55:55" ht="15.75" customHeight="1">
      <c r="BC1751" s="169"/>
    </row>
    <row r="1752" spans="55:55" ht="15.75" customHeight="1">
      <c r="BC1752" s="169"/>
    </row>
    <row r="1753" spans="55:55" ht="15.75" customHeight="1">
      <c r="BC1753" s="169"/>
    </row>
    <row r="1754" spans="55:55" ht="15.75" customHeight="1">
      <c r="BC1754" s="169"/>
    </row>
    <row r="1755" spans="55:55" ht="15.75" customHeight="1">
      <c r="BC1755" s="169"/>
    </row>
    <row r="1756" spans="55:55" ht="15.75" customHeight="1">
      <c r="BC1756" s="169"/>
    </row>
    <row r="1757" spans="55:55" ht="15.75" customHeight="1">
      <c r="BC1757" s="169"/>
    </row>
    <row r="1758" spans="55:55" ht="15.75" customHeight="1">
      <c r="BC1758" s="169"/>
    </row>
    <row r="1759" spans="55:55" ht="15.75" customHeight="1">
      <c r="BC1759" s="169"/>
    </row>
    <row r="1760" spans="55:55" ht="15.75" customHeight="1">
      <c r="BC1760" s="169"/>
    </row>
    <row r="1761" spans="55:55" ht="15.75" customHeight="1">
      <c r="BC1761" s="169"/>
    </row>
    <row r="1762" spans="55:55" ht="15.75" customHeight="1">
      <c r="BC1762" s="169"/>
    </row>
    <row r="1763" spans="55:55" ht="15.75" customHeight="1">
      <c r="BC1763" s="169"/>
    </row>
    <row r="1764" spans="55:55" ht="15.75" customHeight="1">
      <c r="BC1764" s="169"/>
    </row>
    <row r="1765" spans="55:55" ht="15.75" customHeight="1">
      <c r="BC1765" s="169"/>
    </row>
    <row r="1766" spans="55:55" ht="15.75" customHeight="1">
      <c r="BC1766" s="169"/>
    </row>
    <row r="1767" spans="55:55" ht="15.75" customHeight="1">
      <c r="BC1767" s="169"/>
    </row>
    <row r="1768" spans="55:55" ht="15.75" customHeight="1">
      <c r="BC1768" s="169"/>
    </row>
    <row r="1769" spans="55:55" ht="15.75" customHeight="1">
      <c r="BC1769" s="169"/>
    </row>
    <row r="1770" spans="55:55" ht="15.75" customHeight="1">
      <c r="BC1770" s="169"/>
    </row>
    <row r="1771" spans="55:55" ht="15.75" customHeight="1">
      <c r="BC1771" s="169"/>
    </row>
    <row r="1772" spans="55:55" ht="15.75" customHeight="1">
      <c r="BC1772" s="169"/>
    </row>
    <row r="1773" spans="55:55" ht="15.75" customHeight="1">
      <c r="BC1773" s="169"/>
    </row>
    <row r="1774" spans="55:55" ht="15.75" customHeight="1">
      <c r="BC1774" s="169"/>
    </row>
    <row r="1775" spans="55:55" ht="15.75" customHeight="1">
      <c r="BC1775" s="169"/>
    </row>
    <row r="1776" spans="55:55" ht="15.75" customHeight="1">
      <c r="BC1776" s="169"/>
    </row>
    <row r="1777" spans="55:55" ht="15.75" customHeight="1">
      <c r="BC1777" s="169"/>
    </row>
    <row r="1778" spans="55:55" ht="15.75" customHeight="1">
      <c r="BC1778" s="169"/>
    </row>
    <row r="1779" spans="55:55" ht="15.75" customHeight="1">
      <c r="BC1779" s="169"/>
    </row>
    <row r="1780" spans="55:55" ht="15.75" customHeight="1">
      <c r="BC1780" s="169"/>
    </row>
    <row r="1781" spans="55:55" ht="15.75" customHeight="1">
      <c r="BC1781" s="169"/>
    </row>
    <row r="1782" spans="55:55" ht="15.75" customHeight="1">
      <c r="BC1782" s="169"/>
    </row>
    <row r="1783" spans="55:55" ht="15.75" customHeight="1">
      <c r="BC1783" s="169"/>
    </row>
    <row r="1784" spans="55:55" ht="15.75" customHeight="1">
      <c r="BC1784" s="169"/>
    </row>
    <row r="1785" spans="55:55" ht="15.75" customHeight="1">
      <c r="BC1785" s="169"/>
    </row>
    <row r="1786" spans="55:55" ht="15.75" customHeight="1">
      <c r="BC1786" s="169"/>
    </row>
    <row r="1787" spans="55:55" ht="15.75" customHeight="1">
      <c r="BC1787" s="169"/>
    </row>
    <row r="1788" spans="55:55" ht="15.75" customHeight="1">
      <c r="BC1788" s="169"/>
    </row>
    <row r="1789" spans="55:55" ht="15.75" customHeight="1">
      <c r="BC1789" s="169"/>
    </row>
    <row r="1790" spans="55:55" ht="15.75" customHeight="1">
      <c r="BC1790" s="169"/>
    </row>
    <row r="1791" spans="55:55" ht="15.75" customHeight="1">
      <c r="BC1791" s="169"/>
    </row>
    <row r="1792" spans="55:55" ht="15.75" customHeight="1">
      <c r="BC1792" s="169"/>
    </row>
    <row r="1793" spans="55:55" ht="15.75" customHeight="1">
      <c r="BC1793" s="169"/>
    </row>
    <row r="1794" spans="55:55" ht="15.75" customHeight="1">
      <c r="BC1794" s="169"/>
    </row>
    <row r="1795" spans="55:55" ht="15.75" customHeight="1">
      <c r="BC1795" s="169"/>
    </row>
    <row r="1796" spans="55:55" ht="15.75" customHeight="1">
      <c r="BC1796" s="169"/>
    </row>
    <row r="1797" spans="55:55" ht="15.75" customHeight="1">
      <c r="BC1797" s="169"/>
    </row>
    <row r="1798" spans="55:55" ht="15.75" customHeight="1">
      <c r="BC1798" s="169"/>
    </row>
    <row r="1799" spans="55:55" ht="15.75" customHeight="1">
      <c r="BC1799" s="169"/>
    </row>
    <row r="1800" spans="55:55" ht="15.75" customHeight="1">
      <c r="BC1800" s="169"/>
    </row>
    <row r="1801" spans="55:55" ht="15.75" customHeight="1">
      <c r="BC1801" s="169"/>
    </row>
    <row r="1802" spans="55:55" ht="15.75" customHeight="1">
      <c r="BC1802" s="169"/>
    </row>
    <row r="1803" spans="55:55" ht="15.75" customHeight="1">
      <c r="BC1803" s="169"/>
    </row>
    <row r="1804" spans="55:55" ht="15.75" customHeight="1">
      <c r="BC1804" s="169"/>
    </row>
    <row r="1805" spans="55:55" ht="15.75" customHeight="1">
      <c r="BC1805" s="169"/>
    </row>
    <row r="1806" spans="55:55" ht="15.75" customHeight="1">
      <c r="BC1806" s="169"/>
    </row>
    <row r="1807" spans="55:55" ht="15.75" customHeight="1">
      <c r="BC1807" s="169"/>
    </row>
    <row r="1808" spans="55:55" ht="15.75" customHeight="1">
      <c r="BC1808" s="169"/>
    </row>
    <row r="1809" spans="55:55" ht="15.75" customHeight="1">
      <c r="BC1809" s="169"/>
    </row>
    <row r="1810" spans="55:55" ht="15.75" customHeight="1">
      <c r="BC1810" s="169"/>
    </row>
    <row r="1811" spans="55:55" ht="15.75" customHeight="1">
      <c r="BC1811" s="169"/>
    </row>
    <row r="1812" spans="55:55" ht="15.75" customHeight="1">
      <c r="BC1812" s="169"/>
    </row>
    <row r="1813" spans="55:55" ht="15.75" customHeight="1">
      <c r="BC1813" s="169"/>
    </row>
    <row r="1814" spans="55:55" ht="15.75" customHeight="1">
      <c r="BC1814" s="169"/>
    </row>
    <row r="1815" spans="55:55" ht="15.75" customHeight="1">
      <c r="BC1815" s="169"/>
    </row>
    <row r="1816" spans="55:55" ht="15.75" customHeight="1">
      <c r="BC1816" s="169"/>
    </row>
    <row r="1817" spans="55:55" ht="15.75" customHeight="1">
      <c r="BC1817" s="169"/>
    </row>
    <row r="1818" spans="55:55" ht="15.75" customHeight="1">
      <c r="BC1818" s="169"/>
    </row>
    <row r="1819" spans="55:55" ht="15.75" customHeight="1">
      <c r="BC1819" s="169"/>
    </row>
    <row r="1820" spans="55:55" ht="15.75" customHeight="1">
      <c r="BC1820" s="169"/>
    </row>
    <row r="1821" spans="55:55" ht="15.75" customHeight="1">
      <c r="BC1821" s="169"/>
    </row>
    <row r="1822" spans="55:55" ht="15.75" customHeight="1">
      <c r="BC1822" s="169"/>
    </row>
    <row r="1823" spans="55:55" ht="15.75" customHeight="1">
      <c r="BC1823" s="169"/>
    </row>
    <row r="1824" spans="55:55" ht="15.75" customHeight="1">
      <c r="BC1824" s="169"/>
    </row>
    <row r="1825" spans="55:55" ht="15.75" customHeight="1">
      <c r="BC1825" s="169"/>
    </row>
    <row r="1826" spans="55:55" ht="15.75" customHeight="1">
      <c r="BC1826" s="169"/>
    </row>
    <row r="1827" spans="55:55" ht="15.75" customHeight="1">
      <c r="BC1827" s="169"/>
    </row>
    <row r="1828" spans="55:55" ht="15.75" customHeight="1">
      <c r="BC1828" s="169"/>
    </row>
    <row r="1829" spans="55:55" ht="15.75" customHeight="1">
      <c r="BC1829" s="169"/>
    </row>
    <row r="1830" spans="55:55" ht="15.75" customHeight="1">
      <c r="BC1830" s="169"/>
    </row>
    <row r="1831" spans="55:55" ht="15.75" customHeight="1">
      <c r="BC1831" s="169"/>
    </row>
    <row r="1832" spans="55:55" ht="15.75" customHeight="1">
      <c r="BC1832" s="169"/>
    </row>
    <row r="1833" spans="55:55" ht="15.75" customHeight="1">
      <c r="BC1833" s="169"/>
    </row>
    <row r="1834" spans="55:55" ht="15.75" customHeight="1">
      <c r="BC1834" s="169"/>
    </row>
    <row r="1835" spans="55:55" ht="15.75" customHeight="1">
      <c r="BC1835" s="169"/>
    </row>
    <row r="1836" spans="55:55" ht="15.75" customHeight="1">
      <c r="BC1836" s="169"/>
    </row>
    <row r="1837" spans="55:55" ht="15.75" customHeight="1">
      <c r="BC1837" s="169"/>
    </row>
    <row r="1838" spans="55:55" ht="15.75" customHeight="1">
      <c r="BC1838" s="169"/>
    </row>
    <row r="1839" spans="55:55" ht="15.75" customHeight="1">
      <c r="BC1839" s="169"/>
    </row>
    <row r="1840" spans="55:55" ht="15.75" customHeight="1">
      <c r="BC1840" s="169"/>
    </row>
    <row r="1841" spans="55:55" ht="15.75" customHeight="1">
      <c r="BC1841" s="169"/>
    </row>
    <row r="1842" spans="55:55" ht="15.75" customHeight="1">
      <c r="BC1842" s="169"/>
    </row>
    <row r="1843" spans="55:55" ht="15.75" customHeight="1">
      <c r="BC1843" s="169"/>
    </row>
    <row r="1844" spans="55:55" ht="15.75" customHeight="1">
      <c r="BC1844" s="169"/>
    </row>
    <row r="1845" spans="55:55" ht="15.75" customHeight="1">
      <c r="BC1845" s="169"/>
    </row>
    <row r="1846" spans="55:55" ht="15.75" customHeight="1">
      <c r="BC1846" s="169"/>
    </row>
    <row r="1847" spans="55:55" ht="15.75" customHeight="1">
      <c r="BC1847" s="169"/>
    </row>
    <row r="1848" spans="55:55" ht="15.75" customHeight="1">
      <c r="BC1848" s="169"/>
    </row>
    <row r="1849" spans="55:55" ht="15.75" customHeight="1">
      <c r="BC1849" s="169"/>
    </row>
    <row r="1850" spans="55:55" ht="15.75" customHeight="1">
      <c r="BC1850" s="169"/>
    </row>
    <row r="1851" spans="55:55" ht="15.75" customHeight="1">
      <c r="BC1851" s="169"/>
    </row>
    <row r="1852" spans="55:55" ht="15.75" customHeight="1">
      <c r="BC1852" s="169"/>
    </row>
    <row r="1853" spans="55:55" ht="15.75" customHeight="1">
      <c r="BC1853" s="169"/>
    </row>
    <row r="1854" spans="55:55" ht="15.75" customHeight="1">
      <c r="BC1854" s="169"/>
    </row>
    <row r="1855" spans="55:55" ht="15.75" customHeight="1">
      <c r="BC1855" s="169"/>
    </row>
    <row r="1856" spans="55:55" ht="15.75" customHeight="1">
      <c r="BC1856" s="169"/>
    </row>
    <row r="1857" spans="55:55" ht="15.75" customHeight="1">
      <c r="BC1857" s="169"/>
    </row>
    <row r="1858" spans="55:55" ht="15.75" customHeight="1">
      <c r="BC1858" s="169"/>
    </row>
    <row r="1859" spans="55:55" ht="15.75" customHeight="1">
      <c r="BC1859" s="169"/>
    </row>
    <row r="1860" spans="55:55" ht="15.75" customHeight="1">
      <c r="BC1860" s="169"/>
    </row>
    <row r="1861" spans="55:55" ht="15.75" customHeight="1">
      <c r="BC1861" s="169"/>
    </row>
    <row r="1862" spans="55:55" ht="15.75" customHeight="1">
      <c r="BC1862" s="169"/>
    </row>
    <row r="1863" spans="55:55" ht="15.75" customHeight="1">
      <c r="BC1863" s="169"/>
    </row>
    <row r="1864" spans="55:55" ht="15.75" customHeight="1">
      <c r="BC1864" s="169"/>
    </row>
    <row r="1865" spans="55:55" ht="15.75" customHeight="1">
      <c r="BC1865" s="169"/>
    </row>
    <row r="1866" spans="55:55" ht="15.75" customHeight="1">
      <c r="BC1866" s="169"/>
    </row>
    <row r="1867" spans="55:55" ht="15.75" customHeight="1">
      <c r="BC1867" s="169"/>
    </row>
    <row r="1868" spans="55:55" ht="15.75" customHeight="1">
      <c r="BC1868" s="169"/>
    </row>
    <row r="1869" spans="55:55" ht="15.75" customHeight="1">
      <c r="BC1869" s="169"/>
    </row>
    <row r="1870" spans="55:55" ht="15.75" customHeight="1">
      <c r="BC1870" s="169"/>
    </row>
    <row r="1871" spans="55:55" ht="15.75" customHeight="1">
      <c r="BC1871" s="169"/>
    </row>
    <row r="1872" spans="55:55" ht="15.75" customHeight="1">
      <c r="BC1872" s="169"/>
    </row>
    <row r="1873" spans="55:55" ht="15.75" customHeight="1">
      <c r="BC1873" s="169"/>
    </row>
    <row r="1874" spans="55:55" ht="15.75" customHeight="1">
      <c r="BC1874" s="169"/>
    </row>
    <row r="1875" spans="55:55" ht="15.75" customHeight="1">
      <c r="BC1875" s="169"/>
    </row>
    <row r="1876" spans="55:55" ht="15.75" customHeight="1">
      <c r="BC1876" s="169"/>
    </row>
    <row r="1877" spans="55:55" ht="15.75" customHeight="1">
      <c r="BC1877" s="169"/>
    </row>
    <row r="1878" spans="55:55" ht="15.75" customHeight="1">
      <c r="BC1878" s="169"/>
    </row>
    <row r="1879" spans="55:55" ht="15.75" customHeight="1">
      <c r="BC1879" s="169"/>
    </row>
    <row r="1880" spans="55:55" ht="15.75" customHeight="1">
      <c r="BC1880" s="169"/>
    </row>
    <row r="1881" spans="55:55" ht="15.75" customHeight="1">
      <c r="BC1881" s="169"/>
    </row>
    <row r="1882" spans="55:55" ht="15.75" customHeight="1">
      <c r="BC1882" s="169"/>
    </row>
    <row r="1883" spans="55:55" ht="15.75" customHeight="1">
      <c r="BC1883" s="169"/>
    </row>
    <row r="1884" spans="55:55" ht="15.75" customHeight="1">
      <c r="BC1884" s="169"/>
    </row>
    <row r="1885" spans="55:55" ht="15.75" customHeight="1">
      <c r="BC1885" s="169"/>
    </row>
    <row r="1886" spans="55:55" ht="15.75" customHeight="1">
      <c r="BC1886" s="169"/>
    </row>
    <row r="1887" spans="55:55" ht="15.75" customHeight="1">
      <c r="BC1887" s="169"/>
    </row>
    <row r="1888" spans="55:55" ht="15.75" customHeight="1">
      <c r="BC1888" s="169"/>
    </row>
    <row r="1889" spans="55:55" ht="15.75" customHeight="1">
      <c r="BC1889" s="169"/>
    </row>
    <row r="1890" spans="55:55" ht="15.75" customHeight="1">
      <c r="BC1890" s="169"/>
    </row>
    <row r="1891" spans="55:55" ht="15.75" customHeight="1">
      <c r="BC1891" s="169"/>
    </row>
    <row r="1892" spans="55:55" ht="15.75" customHeight="1">
      <c r="BC1892" s="169"/>
    </row>
    <row r="1893" spans="55:55" ht="15.75" customHeight="1">
      <c r="BC1893" s="169"/>
    </row>
    <row r="1894" spans="55:55" ht="15.75" customHeight="1">
      <c r="BC1894" s="169"/>
    </row>
    <row r="1895" spans="55:55" ht="15.75" customHeight="1">
      <c r="BC1895" s="169"/>
    </row>
    <row r="1896" spans="55:55" ht="15.75" customHeight="1">
      <c r="BC1896" s="169"/>
    </row>
    <row r="1897" spans="55:55" ht="15.75" customHeight="1">
      <c r="BC1897" s="169"/>
    </row>
    <row r="1898" spans="55:55" ht="15.75" customHeight="1">
      <c r="BC1898" s="169"/>
    </row>
    <row r="1899" spans="55:55" ht="15.75" customHeight="1">
      <c r="BC1899" s="169"/>
    </row>
    <row r="1900" spans="55:55" ht="15.75" customHeight="1">
      <c r="BC1900" s="169"/>
    </row>
    <row r="1901" spans="55:55" ht="15.75" customHeight="1">
      <c r="BC1901" s="169"/>
    </row>
    <row r="1902" spans="55:55" ht="15.75" customHeight="1">
      <c r="BC1902" s="169"/>
    </row>
    <row r="1903" spans="55:55" ht="15.75" customHeight="1">
      <c r="BC1903" s="169"/>
    </row>
    <row r="1904" spans="55:55" ht="15.75" customHeight="1">
      <c r="BC1904" s="169"/>
    </row>
    <row r="1905" spans="55:55" ht="15.75" customHeight="1">
      <c r="BC1905" s="169"/>
    </row>
    <row r="1906" spans="55:55" ht="15.75" customHeight="1">
      <c r="BC1906" s="169"/>
    </row>
    <row r="1907" spans="55:55" ht="15.75" customHeight="1">
      <c r="BC1907" s="169"/>
    </row>
    <row r="1908" spans="55:55" ht="15.75" customHeight="1">
      <c r="BC1908" s="169"/>
    </row>
    <row r="1909" spans="55:55" ht="15.75" customHeight="1">
      <c r="BC1909" s="169"/>
    </row>
    <row r="1910" spans="55:55" ht="15.75" customHeight="1">
      <c r="BC1910" s="169"/>
    </row>
    <row r="1911" spans="55:55" ht="15.75" customHeight="1">
      <c r="BC1911" s="169"/>
    </row>
    <row r="1912" spans="55:55" ht="15.75" customHeight="1">
      <c r="BC1912" s="169"/>
    </row>
    <row r="1913" spans="55:55" ht="15.75" customHeight="1">
      <c r="BC1913" s="169"/>
    </row>
    <row r="1914" spans="55:55" ht="15.75" customHeight="1">
      <c r="BC1914" s="169"/>
    </row>
    <row r="1915" spans="55:55" ht="15.75" customHeight="1">
      <c r="BC1915" s="169"/>
    </row>
    <row r="1916" spans="55:55" ht="15.75" customHeight="1">
      <c r="BC1916" s="169"/>
    </row>
    <row r="1917" spans="55:55" ht="15.75" customHeight="1">
      <c r="BC1917" s="169"/>
    </row>
    <row r="1918" spans="55:55" ht="15.75" customHeight="1">
      <c r="BC1918" s="169"/>
    </row>
    <row r="1919" spans="55:55" ht="15.75" customHeight="1">
      <c r="BC1919" s="169"/>
    </row>
    <row r="1920" spans="55:55" ht="15.75" customHeight="1">
      <c r="BC1920" s="169"/>
    </row>
    <row r="1921" spans="55:55" ht="15.75" customHeight="1">
      <c r="BC1921" s="169"/>
    </row>
    <row r="1922" spans="55:55" ht="15.75" customHeight="1">
      <c r="BC1922" s="169"/>
    </row>
    <row r="1923" spans="55:55" ht="15.75" customHeight="1">
      <c r="BC1923" s="169"/>
    </row>
    <row r="1924" spans="55:55" ht="15.75" customHeight="1">
      <c r="BC1924" s="169"/>
    </row>
    <row r="1925" spans="55:55" ht="15.75" customHeight="1">
      <c r="BC1925" s="169"/>
    </row>
    <row r="1926" spans="55:55" ht="15.75" customHeight="1">
      <c r="BC1926" s="169"/>
    </row>
    <row r="1927" spans="55:55" ht="15.75" customHeight="1">
      <c r="BC1927" s="169"/>
    </row>
    <row r="1928" spans="55:55" ht="15.75" customHeight="1">
      <c r="BC1928" s="169"/>
    </row>
    <row r="1929" spans="55:55" ht="15.75" customHeight="1">
      <c r="BC1929" s="169"/>
    </row>
    <row r="1930" spans="55:55" ht="15.75" customHeight="1">
      <c r="BC1930" s="169"/>
    </row>
    <row r="1931" spans="55:55" ht="15.75" customHeight="1">
      <c r="BC1931" s="169"/>
    </row>
    <row r="1932" spans="55:55" ht="15.75" customHeight="1">
      <c r="BC1932" s="169"/>
    </row>
    <row r="1933" spans="55:55" ht="15.75" customHeight="1">
      <c r="BC1933" s="169"/>
    </row>
    <row r="1934" spans="55:55" ht="15.75" customHeight="1">
      <c r="BC1934" s="169"/>
    </row>
    <row r="1935" spans="55:55" ht="15.75" customHeight="1">
      <c r="BC1935" s="169"/>
    </row>
    <row r="1936" spans="55:55" ht="15.75" customHeight="1">
      <c r="BC1936" s="169"/>
    </row>
    <row r="1937" spans="55:55" ht="15.75" customHeight="1">
      <c r="BC1937" s="169"/>
    </row>
    <row r="1938" spans="55:55" ht="15.75" customHeight="1">
      <c r="BC1938" s="169"/>
    </row>
    <row r="1939" spans="55:55" ht="15.75" customHeight="1">
      <c r="BC1939" s="169"/>
    </row>
    <row r="1940" spans="55:55" ht="15.75" customHeight="1">
      <c r="BC1940" s="169"/>
    </row>
    <row r="1941" spans="55:55" ht="15.75" customHeight="1">
      <c r="BC1941" s="169"/>
    </row>
    <row r="1942" spans="55:55" ht="15.75" customHeight="1">
      <c r="BC1942" s="169"/>
    </row>
    <row r="1943" spans="55:55" ht="15.75" customHeight="1">
      <c r="BC1943" s="169"/>
    </row>
    <row r="1944" spans="55:55" ht="15.75" customHeight="1">
      <c r="BC1944" s="169"/>
    </row>
    <row r="1945" spans="55:55" ht="15.75" customHeight="1">
      <c r="BC1945" s="169"/>
    </row>
    <row r="1946" spans="55:55" ht="15.75" customHeight="1">
      <c r="BC1946" s="169"/>
    </row>
    <row r="1947" spans="55:55" ht="15.75" customHeight="1">
      <c r="BC1947" s="169"/>
    </row>
    <row r="1948" spans="55:55" ht="15.75" customHeight="1">
      <c r="BC1948" s="169"/>
    </row>
    <row r="1949" spans="55:55" ht="15.75" customHeight="1">
      <c r="BC1949" s="169"/>
    </row>
    <row r="1950" spans="55:55" ht="15.75" customHeight="1">
      <c r="BC1950" s="169"/>
    </row>
    <row r="1951" spans="55:55" ht="15.75" customHeight="1">
      <c r="BC1951" s="169"/>
    </row>
    <row r="1952" spans="55:55" ht="15.75" customHeight="1">
      <c r="BC1952" s="169"/>
    </row>
    <row r="1953" spans="55:55" ht="15.75" customHeight="1">
      <c r="BC1953" s="169"/>
    </row>
    <row r="1954" spans="55:55" ht="15.75" customHeight="1">
      <c r="BC1954" s="169"/>
    </row>
    <row r="1955" spans="55:55" ht="15.75" customHeight="1">
      <c r="BC1955" s="169"/>
    </row>
    <row r="1956" spans="55:55" ht="15.75" customHeight="1">
      <c r="BC1956" s="169"/>
    </row>
    <row r="1957" spans="55:55" ht="15.75" customHeight="1">
      <c r="BC1957" s="169"/>
    </row>
    <row r="1958" spans="55:55" ht="15.75" customHeight="1">
      <c r="BC1958" s="169"/>
    </row>
    <row r="1959" spans="55:55" ht="15.75" customHeight="1">
      <c r="BC1959" s="169"/>
    </row>
    <row r="1960" spans="55:55" ht="15.75" customHeight="1">
      <c r="BC1960" s="169"/>
    </row>
    <row r="1961" spans="55:55" ht="15.75" customHeight="1">
      <c r="BC1961" s="169"/>
    </row>
    <row r="1962" spans="55:55" ht="15.75" customHeight="1">
      <c r="BC1962" s="169"/>
    </row>
    <row r="1963" spans="55:55" ht="15.75" customHeight="1">
      <c r="BC1963" s="169"/>
    </row>
    <row r="1964" spans="55:55" ht="15.75" customHeight="1">
      <c r="BC1964" s="169"/>
    </row>
    <row r="1965" spans="55:55" ht="15.75" customHeight="1">
      <c r="BC1965" s="169"/>
    </row>
    <row r="1966" spans="55:55" ht="15.75" customHeight="1">
      <c r="BC1966" s="169"/>
    </row>
    <row r="1967" spans="55:55" ht="15.75" customHeight="1">
      <c r="BC1967" s="169"/>
    </row>
    <row r="1968" spans="55:55" ht="15.75" customHeight="1">
      <c r="BC1968" s="169"/>
    </row>
    <row r="1969" spans="55:55" ht="15.75" customHeight="1">
      <c r="BC1969" s="169"/>
    </row>
    <row r="1970" spans="55:55" ht="15.75" customHeight="1">
      <c r="BC1970" s="169"/>
    </row>
    <row r="1971" spans="55:55" ht="15.75" customHeight="1">
      <c r="BC1971" s="169"/>
    </row>
    <row r="1972" spans="55:55" ht="15.75" customHeight="1">
      <c r="BC1972" s="169"/>
    </row>
    <row r="1973" spans="55:55" ht="15.75" customHeight="1">
      <c r="BC1973" s="169"/>
    </row>
    <row r="1974" spans="55:55" ht="15.75" customHeight="1">
      <c r="BC1974" s="169"/>
    </row>
    <row r="1975" spans="55:55" ht="15.75" customHeight="1">
      <c r="BC1975" s="169"/>
    </row>
    <row r="1976" spans="55:55" ht="15.75" customHeight="1">
      <c r="BC1976" s="169"/>
    </row>
    <row r="1977" spans="55:55" ht="15.75" customHeight="1">
      <c r="BC1977" s="169"/>
    </row>
    <row r="1978" spans="55:55" ht="15.75" customHeight="1">
      <c r="BC1978" s="169"/>
    </row>
    <row r="1979" spans="55:55" ht="15.75" customHeight="1">
      <c r="BC1979" s="169"/>
    </row>
    <row r="1980" spans="55:55" ht="15.75" customHeight="1">
      <c r="BC1980" s="169"/>
    </row>
    <row r="1981" spans="55:55" ht="15.75" customHeight="1">
      <c r="BC1981" s="169"/>
    </row>
    <row r="1982" spans="55:55" ht="15.75" customHeight="1">
      <c r="BC1982" s="169"/>
    </row>
    <row r="1983" spans="55:55" ht="15.75" customHeight="1">
      <c r="BC1983" s="169"/>
    </row>
    <row r="1984" spans="55:55" ht="15.75" customHeight="1">
      <c r="BC1984" s="169"/>
    </row>
    <row r="1985" spans="55:55" ht="15.75" customHeight="1">
      <c r="BC1985" s="169"/>
    </row>
    <row r="1986" spans="55:55" ht="15.75" customHeight="1">
      <c r="BC1986" s="169"/>
    </row>
    <row r="1987" spans="55:55" ht="15.75" customHeight="1">
      <c r="BC1987" s="169"/>
    </row>
    <row r="1988" spans="55:55" ht="15.75" customHeight="1">
      <c r="BC1988" s="169"/>
    </row>
    <row r="1989" spans="55:55" ht="15.75" customHeight="1">
      <c r="BC1989" s="169"/>
    </row>
    <row r="1990" spans="55:55" ht="15.75" customHeight="1">
      <c r="BC1990" s="169"/>
    </row>
    <row r="1991" spans="55:55" ht="15.75" customHeight="1">
      <c r="BC1991" s="169"/>
    </row>
    <row r="1992" spans="55:55" ht="15.75" customHeight="1">
      <c r="BC1992" s="169"/>
    </row>
    <row r="1993" spans="55:55" ht="15.75" customHeight="1">
      <c r="BC1993" s="169"/>
    </row>
    <row r="1994" spans="55:55" ht="15.75" customHeight="1">
      <c r="BC1994" s="169"/>
    </row>
    <row r="1995" spans="55:55" ht="15.75" customHeight="1">
      <c r="BC1995" s="169"/>
    </row>
    <row r="1996" spans="55:55" ht="15.75" customHeight="1">
      <c r="BC1996" s="169"/>
    </row>
    <row r="1997" spans="55:55" ht="15.75" customHeight="1">
      <c r="BC1997" s="169"/>
    </row>
    <row r="1998" spans="55:55" ht="15.75" customHeight="1">
      <c r="BC1998" s="169"/>
    </row>
    <row r="1999" spans="55:55" ht="15.75" customHeight="1">
      <c r="BC1999" s="169"/>
    </row>
  </sheetData>
  <autoFilter ref="A2:BG96" xr:uid="{00000000-0009-0000-0000-000006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autoFilter>
  <mergeCells count="10">
    <mergeCell ref="BD1:BG1"/>
    <mergeCell ref="AN2:AP2"/>
    <mergeCell ref="AQ2:AS2"/>
    <mergeCell ref="AT2:AV2"/>
    <mergeCell ref="A1:BB1"/>
    <mergeCell ref="N2:P2"/>
    <mergeCell ref="T2:V2"/>
    <mergeCell ref="W2:Y2"/>
    <mergeCell ref="Z2:AB2"/>
    <mergeCell ref="AC2:AE2"/>
  </mergeCells>
  <conditionalFormatting sqref="A87:BA87">
    <cfRule type="cellIs" dxfId="1353" priority="30" operator="equal">
      <formula>0</formula>
    </cfRule>
  </conditionalFormatting>
  <conditionalFormatting sqref="BB87">
    <cfRule type="cellIs" dxfId="1352" priority="29" operator="equal">
      <formula>0</formula>
    </cfRule>
  </conditionalFormatting>
  <conditionalFormatting sqref="B5:BA73 B76:BA87 B74:G75 L74:BA75">
    <cfRule type="expression" dxfId="1351" priority="23">
      <formula>$M5="NON DEFINED"</formula>
    </cfRule>
    <cfRule type="expression" dxfId="1350" priority="24">
      <formula>$AY5="N.D."</formula>
    </cfRule>
  </conditionalFormatting>
  <conditionalFormatting sqref="BD8:BE8 BD10:BE10 BD12:BE12 BD20:BE20 BE14 BD22:BE22 BD28:BE28 BE26 BD30:BE30 BD42:BE42 BE32 BD58:BG58 BE44 BD62:BG62 BE60 BD74:BG74 BE64 BD76:BE76 BD80:BE80 BE78 BD82:BE82 BD6:BE6 BD5 BD13 BE16 BE18 BD19 BD24:BE24 BD23 BD31 BE34 BE36 BE38 BE40 BE46 BE48 BE50 BE52 BE54 BE56 BE66 BE68 BE70 BE72 BD84:BE84 BD83 BD86:BE86 BD85 BG60 BG64 BG76 BG6 BG8 BG10 BG12 BG14 BG16 BG18 BG20 BG22 BG24 BG26 BG28 BG30 BG32 BG34 BG36 BG38 BG40 BG42 BG44 BG46 BG48 BG50 BG52 BG54 BG56 BG66 BG68 BG70 BG72 BG78 BG80 BG82 BG84 BG86">
    <cfRule type="containsBlanks" dxfId="1349" priority="17">
      <formula>LEN(TRIM(BD5))=0</formula>
    </cfRule>
  </conditionalFormatting>
  <conditionalFormatting sqref="BC5:BC87 BC97:BC1999">
    <cfRule type="containsText" dxfId="1348" priority="15" operator="containsText" text="a">
      <formula>NOT(ISERROR(SEARCH("a",BC5)))</formula>
    </cfRule>
    <cfRule type="containsText" dxfId="1347" priority="16" operator="containsText" text="R">
      <formula>NOT(ISERROR(SEARCH("R",BC5)))</formula>
    </cfRule>
  </conditionalFormatting>
  <conditionalFormatting sqref="BA5:BA87">
    <cfRule type="expression" dxfId="1346" priority="14">
      <formula>$BC5="R"</formula>
    </cfRule>
  </conditionalFormatting>
  <conditionalFormatting sqref="A4:BB4">
    <cfRule type="cellIs" dxfId="1345" priority="13" operator="equal">
      <formula>0</formula>
    </cfRule>
  </conditionalFormatting>
  <conditionalFormatting sqref="B4:BA4 BC4:BG4">
    <cfRule type="expression" dxfId="1344" priority="11">
      <formula>$M4="NON DEFINED"</formula>
    </cfRule>
    <cfRule type="expression" dxfId="1343" priority="12">
      <formula>$AY4="N.D."</formula>
    </cfRule>
  </conditionalFormatting>
  <conditionalFormatting sqref="BA4">
    <cfRule type="expression" dxfId="1342" priority="10">
      <formula>$BC4="R"</formula>
    </cfRule>
  </conditionalFormatting>
  <conditionalFormatting sqref="BC4:BG4">
    <cfRule type="cellIs" dxfId="1341" priority="9" operator="equal">
      <formula>0</formula>
    </cfRule>
  </conditionalFormatting>
  <conditionalFormatting sqref="H74:K75">
    <cfRule type="expression" dxfId="1340" priority="7">
      <formula>$M74="NON DEFINED"</formula>
    </cfRule>
    <cfRule type="expression" dxfId="1339" priority="8">
      <formula>$AY74="N.D."</formula>
    </cfRule>
  </conditionalFormatting>
  <conditionalFormatting sqref="BC88:BG96">
    <cfRule type="cellIs" dxfId="1338" priority="2" operator="equal">
      <formula>0</formula>
    </cfRule>
  </conditionalFormatting>
  <conditionalFormatting sqref="A88:BB96">
    <cfRule type="cellIs" dxfId="1337" priority="6" operator="equal">
      <formula>0</formula>
    </cfRule>
  </conditionalFormatting>
  <conditionalFormatting sqref="B88:BA96 BC88:BG96">
    <cfRule type="expression" dxfId="1336" priority="4">
      <formula>$M88="NON DEFINED"</formula>
    </cfRule>
    <cfRule type="expression" dxfId="1335" priority="5">
      <formula>$AY88="N.D."</formula>
    </cfRule>
  </conditionalFormatting>
  <conditionalFormatting sqref="BA88:BA96">
    <cfRule type="expression" dxfId="1334" priority="3">
      <formula>$BC88="R"</formula>
    </cfRule>
  </conditionalFormatting>
  <conditionalFormatting sqref="AN4:AN96">
    <cfRule type="cellIs" dxfId="1333" priority="1" operator="notEqual">
      <formula>5.5</formula>
    </cfRule>
  </conditionalFormatting>
  <printOptions horizontalCentered="1" gridLines="1"/>
  <pageMargins left="0.39370078740157483" right="0.39370078740157483" top="0.78740157480314965" bottom="0.78740157480314965" header="0.31496062992125984" footer="0.31496062992125984"/>
  <pageSetup paperSize="9" scale="53" fitToHeight="0" orientation="landscape" r:id="rId1"/>
  <headerFooter alignWithMargins="0">
    <oddHeader>&amp;L&amp;G&amp;C
LAYOUT AND EQUIPMENT
EP06 TRACK 2 HER
KP82+550 - 85+000&amp;R&amp;G</oddHeader>
    <oddFooter>&amp;L&amp;G
&amp;F&amp;C&amp;D&amp;RPag &amp;P of &amp;N</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32">
    <tabColor theme="2" tint="-0.499984740745262"/>
    <pageSetUpPr fitToPage="1"/>
  </sheetPr>
  <dimension ref="A1:BG2165"/>
  <sheetViews>
    <sheetView view="pageBreakPreview" zoomScale="70" zoomScaleNormal="85" zoomScaleSheetLayoutView="70" workbookViewId="0">
      <pane xSplit="2" ySplit="3" topLeftCell="C4" activePane="bottomRight" state="frozen"/>
      <selection activeCell="G124" sqref="G124"/>
      <selection pane="topRight" activeCell="G124" sqref="G124"/>
      <selection pane="bottomLeft" activeCell="G124" sqref="G124"/>
      <selection pane="bottomRight" activeCell="G124" sqref="G124"/>
    </sheetView>
  </sheetViews>
  <sheetFormatPr baseColWidth="10" defaultColWidth="11.453125" defaultRowHeight="15.75" customHeight="1"/>
  <cols>
    <col min="1" max="1" width="20.6328125" style="178" customWidth="1"/>
    <col min="2" max="2" width="12.6328125" style="178" customWidth="1"/>
    <col min="3" max="3" width="12.6328125" style="184" customWidth="1"/>
    <col min="4" max="5" width="12.6328125" style="178" hidden="1" customWidth="1"/>
    <col min="6" max="6" width="12.6328125" style="179" customWidth="1"/>
    <col min="7" max="7" width="12.6328125" style="454" customWidth="1"/>
    <col min="8" max="8" width="18.6328125" style="178" customWidth="1"/>
    <col min="9" max="9" width="12.6328125" style="178" customWidth="1"/>
    <col min="10" max="10" width="12.6328125" style="184" customWidth="1"/>
    <col min="11" max="11" width="12.6328125" style="178" customWidth="1"/>
    <col min="12" max="13" width="14.6328125" style="178" customWidth="1"/>
    <col min="14" max="16" width="8.6328125" style="178" hidden="1" customWidth="1"/>
    <col min="17" max="19" width="12.6328125" style="178" hidden="1" customWidth="1"/>
    <col min="20" max="28" width="8.6328125" style="178" hidden="1" customWidth="1"/>
    <col min="29" max="31" width="10.6328125" style="178" hidden="1" customWidth="1"/>
    <col min="32" max="32" width="13.54296875" style="178" hidden="1" customWidth="1"/>
    <col min="33" max="33" width="12.6328125" style="184" hidden="1" customWidth="1"/>
    <col min="34" max="36" width="12.6328125" style="178" hidden="1" customWidth="1"/>
    <col min="37" max="38" width="12.6328125" style="178" customWidth="1"/>
    <col min="39" max="39" width="12.6328125" style="178" hidden="1" customWidth="1"/>
    <col min="40" max="42" width="8.6328125" style="169" hidden="1" customWidth="1"/>
    <col min="43" max="46" width="8.6328125" style="458" hidden="1" customWidth="1"/>
    <col min="47" max="48" width="8.6328125" style="169" hidden="1" customWidth="1"/>
    <col min="49" max="53" width="12.6328125" style="169" customWidth="1"/>
    <col min="54" max="54" width="21.6328125" style="178" customWidth="1"/>
    <col min="55" max="55" width="18" style="178" customWidth="1"/>
    <col min="56" max="59" width="14.54296875" style="1323" customWidth="1"/>
    <col min="60" max="60" width="11.453125" style="178" customWidth="1"/>
    <col min="61" max="16384" width="11.453125" style="178"/>
  </cols>
  <sheetData>
    <row r="1" spans="1:59" ht="35.25" customHeight="1">
      <c r="A1" s="1605" t="s">
        <v>2420</v>
      </c>
      <c r="B1" s="1605"/>
      <c r="C1" s="1605"/>
      <c r="D1" s="1605"/>
      <c r="E1" s="1605"/>
      <c r="F1" s="1605"/>
      <c r="G1" s="1605"/>
      <c r="H1" s="1605"/>
      <c r="I1" s="1605"/>
      <c r="J1" s="1605"/>
      <c r="K1" s="1605"/>
      <c r="L1" s="1605"/>
      <c r="M1" s="1605"/>
      <c r="N1" s="1605"/>
      <c r="O1" s="1605"/>
      <c r="P1" s="1605"/>
      <c r="Q1" s="1605"/>
      <c r="R1" s="1605"/>
      <c r="S1" s="1605"/>
      <c r="T1" s="1605"/>
      <c r="U1" s="1605"/>
      <c r="V1" s="1605"/>
      <c r="W1" s="1605"/>
      <c r="X1" s="1605"/>
      <c r="Y1" s="1605"/>
      <c r="Z1" s="1605"/>
      <c r="AA1" s="1605"/>
      <c r="AB1" s="1605"/>
      <c r="AC1" s="1605"/>
      <c r="AD1" s="1605"/>
      <c r="AE1" s="1605"/>
      <c r="AF1" s="1605"/>
      <c r="AG1" s="1605"/>
      <c r="AH1" s="1605"/>
      <c r="AI1" s="1605"/>
      <c r="AJ1" s="1605"/>
      <c r="AK1" s="1605"/>
      <c r="AL1" s="1605"/>
      <c r="AM1" s="1605"/>
      <c r="AN1" s="1605"/>
      <c r="AO1" s="1605"/>
      <c r="AP1" s="1605"/>
      <c r="AQ1" s="1605"/>
      <c r="AR1" s="1605"/>
      <c r="AS1" s="1605"/>
      <c r="AT1" s="1605"/>
      <c r="AU1" s="1605"/>
      <c r="AV1" s="1605"/>
      <c r="AW1" s="1605"/>
      <c r="AX1" s="1605"/>
      <c r="AY1" s="1605"/>
      <c r="AZ1" s="1605"/>
      <c r="BA1" s="1605"/>
      <c r="BB1" s="1605"/>
      <c r="BC1" s="693" t="s">
        <v>4947</v>
      </c>
      <c r="BD1" s="1599" t="s">
        <v>4916</v>
      </c>
      <c r="BE1" s="1599"/>
      <c r="BF1" s="1599"/>
      <c r="BG1" s="1599"/>
    </row>
    <row r="2" spans="1:59" s="699" customFormat="1" ht="42" customHeight="1">
      <c r="A2" s="1255" t="s">
        <v>4417</v>
      </c>
      <c r="B2" s="1255" t="s">
        <v>4418</v>
      </c>
      <c r="C2" s="884" t="s">
        <v>2315</v>
      </c>
      <c r="D2" s="1255" t="s">
        <v>4419</v>
      </c>
      <c r="E2" s="1255" t="s">
        <v>4855</v>
      </c>
      <c r="F2" s="885" t="s">
        <v>4856</v>
      </c>
      <c r="G2" s="1256" t="s">
        <v>4857</v>
      </c>
      <c r="H2" s="1255" t="s">
        <v>455</v>
      </c>
      <c r="I2" s="1255" t="s">
        <v>454</v>
      </c>
      <c r="J2" s="1255" t="s">
        <v>4423</v>
      </c>
      <c r="K2" s="1255" t="s">
        <v>1362</v>
      </c>
      <c r="L2" s="1255" t="s">
        <v>456</v>
      </c>
      <c r="M2" s="1255" t="s">
        <v>453</v>
      </c>
      <c r="N2" s="1603" t="s">
        <v>457</v>
      </c>
      <c r="O2" s="1603"/>
      <c r="P2" s="1603"/>
      <c r="Q2" s="1255" t="s">
        <v>4858</v>
      </c>
      <c r="R2" s="1255" t="s">
        <v>4859</v>
      </c>
      <c r="S2" s="1255" t="s">
        <v>4860</v>
      </c>
      <c r="T2" s="1603" t="s">
        <v>4861</v>
      </c>
      <c r="U2" s="1603"/>
      <c r="V2" s="1603"/>
      <c r="W2" s="1603" t="s">
        <v>4862</v>
      </c>
      <c r="X2" s="1603"/>
      <c r="Y2" s="1603"/>
      <c r="Z2" s="1603" t="s">
        <v>4863</v>
      </c>
      <c r="AA2" s="1603"/>
      <c r="AB2" s="1603"/>
      <c r="AC2" s="1603" t="s">
        <v>628</v>
      </c>
      <c r="AD2" s="1603"/>
      <c r="AE2" s="1603"/>
      <c r="AF2" s="1255" t="s">
        <v>4872</v>
      </c>
      <c r="AG2" s="884" t="s">
        <v>4864</v>
      </c>
      <c r="AH2" s="1255" t="s">
        <v>4865</v>
      </c>
      <c r="AI2" s="1255" t="s">
        <v>4866</v>
      </c>
      <c r="AJ2" s="1255" t="s">
        <v>629</v>
      </c>
      <c r="AK2" s="1255" t="s">
        <v>458</v>
      </c>
      <c r="AL2" s="1255" t="s">
        <v>459</v>
      </c>
      <c r="AM2" s="1255" t="s">
        <v>631</v>
      </c>
      <c r="AN2" s="1603" t="s">
        <v>4867</v>
      </c>
      <c r="AO2" s="1603"/>
      <c r="AP2" s="1603"/>
      <c r="AQ2" s="1604" t="s">
        <v>460</v>
      </c>
      <c r="AR2" s="1604"/>
      <c r="AS2" s="1604"/>
      <c r="AT2" s="1603" t="s">
        <v>630</v>
      </c>
      <c r="AU2" s="1603"/>
      <c r="AV2" s="1603"/>
      <c r="AW2" s="1255" t="s">
        <v>4868</v>
      </c>
      <c r="AX2" s="1255" t="s">
        <v>4904</v>
      </c>
      <c r="AY2" s="1255" t="s">
        <v>4869</v>
      </c>
      <c r="AZ2" s="1255" t="s">
        <v>4870</v>
      </c>
      <c r="BA2" s="1255" t="s">
        <v>1670</v>
      </c>
      <c r="BB2" s="1255" t="s">
        <v>4871</v>
      </c>
      <c r="BC2" s="693" t="s">
        <v>4948</v>
      </c>
      <c r="BD2" s="1320" t="s">
        <v>453</v>
      </c>
      <c r="BE2" s="1320" t="s">
        <v>4922</v>
      </c>
      <c r="BF2" s="1320" t="s">
        <v>4915</v>
      </c>
      <c r="BG2" s="1320" t="s">
        <v>457</v>
      </c>
    </row>
    <row r="3" spans="1:59" ht="15.75" customHeight="1">
      <c r="A3" s="1239"/>
      <c r="B3" s="1239"/>
      <c r="C3" s="171"/>
      <c r="D3" s="1239"/>
      <c r="E3" s="1239"/>
      <c r="F3" s="448"/>
      <c r="G3" s="455"/>
      <c r="H3" s="1239"/>
      <c r="I3" s="1239"/>
      <c r="J3" s="171"/>
      <c r="K3" s="1239"/>
      <c r="L3" s="1239"/>
      <c r="M3" s="1239"/>
      <c r="N3" s="420" t="s">
        <v>123</v>
      </c>
      <c r="O3" s="420" t="s">
        <v>124</v>
      </c>
      <c r="P3" s="420" t="s">
        <v>125</v>
      </c>
      <c r="Q3" s="1239"/>
      <c r="R3" s="1239"/>
      <c r="S3" s="1239"/>
      <c r="T3" s="676" t="s">
        <v>126</v>
      </c>
      <c r="U3" s="676" t="s">
        <v>127</v>
      </c>
      <c r="V3" s="676" t="s">
        <v>128</v>
      </c>
      <c r="W3" s="676" t="s">
        <v>129</v>
      </c>
      <c r="X3" s="676" t="s">
        <v>130</v>
      </c>
      <c r="Y3" s="676" t="s">
        <v>131</v>
      </c>
      <c r="Z3" s="676" t="s">
        <v>132</v>
      </c>
      <c r="AA3" s="676" t="s">
        <v>133</v>
      </c>
      <c r="AB3" s="676" t="s">
        <v>134</v>
      </c>
      <c r="AC3" s="676" t="s">
        <v>135</v>
      </c>
      <c r="AD3" s="676" t="s">
        <v>136</v>
      </c>
      <c r="AE3" s="676" t="s">
        <v>137</v>
      </c>
      <c r="AF3" s="1239"/>
      <c r="AG3" s="171"/>
      <c r="AH3" s="1239"/>
      <c r="AI3" s="1239"/>
      <c r="AJ3" s="1239"/>
      <c r="AK3" s="1239"/>
      <c r="AL3" s="1239"/>
      <c r="AM3" s="1239"/>
      <c r="AN3" s="676" t="s">
        <v>129</v>
      </c>
      <c r="AO3" s="676" t="s">
        <v>130</v>
      </c>
      <c r="AP3" s="676" t="s">
        <v>131</v>
      </c>
      <c r="AQ3" s="697" t="s">
        <v>613</v>
      </c>
      <c r="AR3" s="697" t="s">
        <v>614</v>
      </c>
      <c r="AS3" s="697" t="s">
        <v>615</v>
      </c>
      <c r="AT3" s="697" t="s">
        <v>616</v>
      </c>
      <c r="AU3" s="676" t="s">
        <v>617</v>
      </c>
      <c r="AV3" s="676" t="s">
        <v>618</v>
      </c>
      <c r="AW3" s="1239"/>
      <c r="AX3" s="1239"/>
      <c r="AY3" s="1239"/>
      <c r="AZ3" s="1239"/>
      <c r="BA3" s="1239"/>
      <c r="BB3" s="1239"/>
      <c r="BD3" s="1239"/>
      <c r="BE3" s="1239"/>
      <c r="BF3" s="1239"/>
      <c r="BG3" s="1239"/>
    </row>
    <row r="4" spans="1:59" ht="15.75" customHeight="1">
      <c r="A4" s="1239"/>
      <c r="B4" s="173"/>
      <c r="C4" s="446"/>
      <c r="D4" s="447"/>
      <c r="E4" s="447"/>
      <c r="F4" s="448"/>
      <c r="G4" s="484"/>
      <c r="H4" s="1239"/>
      <c r="I4" s="1239"/>
      <c r="J4" s="446">
        <f>C5-7.5</f>
        <v>83159.409999999989</v>
      </c>
      <c r="K4" s="638" t="s">
        <v>2787</v>
      </c>
      <c r="L4" s="638"/>
      <c r="M4" s="638"/>
      <c r="N4" s="1239"/>
      <c r="O4" s="1239"/>
      <c r="P4" s="638"/>
      <c r="Q4" s="638"/>
      <c r="R4" s="638"/>
      <c r="S4" s="484"/>
      <c r="T4" s="638"/>
      <c r="U4" s="638"/>
      <c r="V4" s="638"/>
      <c r="W4" s="638"/>
      <c r="X4" s="638"/>
      <c r="Y4" s="638"/>
      <c r="Z4" s="638"/>
      <c r="AA4" s="638"/>
      <c r="AB4" s="638"/>
      <c r="AC4" s="638"/>
      <c r="AD4" s="638"/>
      <c r="AE4" s="638"/>
      <c r="AF4" s="638"/>
      <c r="AG4" s="446"/>
      <c r="AH4" s="638"/>
      <c r="AI4" s="185"/>
      <c r="AJ4" s="638"/>
      <c r="AK4" s="1239"/>
      <c r="AL4" s="638"/>
      <c r="AM4" s="638"/>
      <c r="AN4" s="455"/>
      <c r="AO4" s="1239"/>
      <c r="AP4" s="1239"/>
      <c r="AQ4" s="484"/>
      <c r="AR4" s="484"/>
      <c r="AS4" s="484"/>
      <c r="AT4" s="484"/>
      <c r="AU4" s="638"/>
      <c r="AV4" s="638"/>
      <c r="AW4" s="638" t="str">
        <f>VLOOKUP(J4,'Foundation Calculation'!$A$2:$C$33,3,1)</f>
        <v>Soil A</v>
      </c>
      <c r="AX4" s="638" t="str">
        <f>VLOOKUP(J4,'Foundation Calculation'!$E$2:$G$33,3,1)</f>
        <v>PT</v>
      </c>
      <c r="AY4" s="484"/>
      <c r="AZ4" s="484">
        <f>IF(AX4="PT",VLOOKUP(K4,'Foundation Calculation'!$K$2:$R$40,VLOOKUP(AW4,'Foundation Calculation'!$I$2:$J$8,2,FALSE),0),IF(AX4="K",VLOOKUP(K4,'Foundation Calculation'!$K$42:$R$80,VLOOKUP(AW4,'Foundation Calculation'!$I$2:$J$8,2,FALSE),0),""))</f>
        <v>3.3</v>
      </c>
      <c r="BA4" s="671" t="s">
        <v>2809</v>
      </c>
      <c r="BB4" s="1239"/>
      <c r="BC4" s="169"/>
      <c r="BD4" s="1329"/>
      <c r="BE4" s="1330"/>
      <c r="BF4" s="1330"/>
      <c r="BG4" s="1330"/>
    </row>
    <row r="5" spans="1:59" ht="15.75" customHeight="1">
      <c r="A5" s="1239"/>
      <c r="B5" s="173" t="s">
        <v>3774</v>
      </c>
      <c r="C5" s="446">
        <v>83166.909999999989</v>
      </c>
      <c r="D5" s="447"/>
      <c r="E5" s="447"/>
      <c r="F5" s="447" t="s">
        <v>2312</v>
      </c>
      <c r="G5" s="484"/>
      <c r="H5" s="1239" t="s">
        <v>138</v>
      </c>
      <c r="I5" s="1239" t="s">
        <v>623</v>
      </c>
      <c r="J5" s="446"/>
      <c r="K5" s="638"/>
      <c r="L5" s="638" t="s">
        <v>898</v>
      </c>
      <c r="M5" s="638" t="str">
        <f>IF(AX5="PT",VLOOKUP(L5,'Foundation Calculation'!$V$2:$X$40,VLOOKUP(AX5,'Foundation Calculation'!$I$10:$J$13,2,FALSE),0),IF(AX5="K",VLOOKUP(L5,'Foundation Calculation'!$V$42:$X$80,VLOOKUP(AX5,'Foundation Calculation'!$I$10:$J$13,2,FALSE),0),""))</f>
        <v>C4R</v>
      </c>
      <c r="N5" s="1239"/>
      <c r="O5" s="1239"/>
      <c r="P5" s="638"/>
      <c r="Q5" s="638"/>
      <c r="R5" s="638"/>
      <c r="S5" s="484"/>
      <c r="T5" s="759">
        <v>30</v>
      </c>
      <c r="U5" s="638"/>
      <c r="V5" s="638"/>
      <c r="W5" s="638"/>
      <c r="X5" s="638"/>
      <c r="Y5" s="638"/>
      <c r="Z5" s="638"/>
      <c r="AA5" s="638"/>
      <c r="AB5" s="638"/>
      <c r="AC5" s="638"/>
      <c r="AD5" s="638"/>
      <c r="AE5" s="638"/>
      <c r="AF5" s="638"/>
      <c r="AG5" s="446"/>
      <c r="AH5" s="638"/>
      <c r="AI5" s="185"/>
      <c r="AJ5" s="638"/>
      <c r="AK5" s="1239"/>
      <c r="AL5" s="638"/>
      <c r="AM5" s="638" t="s">
        <v>1042</v>
      </c>
      <c r="AN5" s="455"/>
      <c r="AO5" s="1239"/>
      <c r="AP5" s="1239"/>
      <c r="AQ5" s="484"/>
      <c r="AR5" s="484"/>
      <c r="AS5" s="484"/>
      <c r="AT5" s="484"/>
      <c r="AU5" s="638"/>
      <c r="AV5" s="638"/>
      <c r="AW5" s="638" t="str">
        <f>VLOOKUP(C5,'Foundation Calculation'!$A$2:$C$33,3,1)</f>
        <v>Soil A</v>
      </c>
      <c r="AX5" s="638" t="str">
        <f>VLOOKUP(C5,'Foundation Calculation'!$E$2:$G$33,3,1)</f>
        <v>PT</v>
      </c>
      <c r="AY5" s="484">
        <f>IF(AX5="PT",VLOOKUP(L5,'Foundation Calculation'!$K$2:$R$40,VLOOKUP(AW5,'Foundation Calculation'!$I$2:$J$8,2,FALSE),0),IF(AX5="K",VLOOKUP(L5,'Foundation Calculation'!$K$42:$R$80,VLOOKUP(AW5,'Foundation Calculation'!$I$2:$J$8,2,FALSE),0),""))</f>
        <v>3.5</v>
      </c>
      <c r="AZ5" s="484"/>
      <c r="BA5" s="671" t="s">
        <v>2809</v>
      </c>
      <c r="BB5" s="1239" t="str">
        <f>Pole_Calculations!A20</f>
        <v>App.7-V11A-P9.5.1.6</v>
      </c>
      <c r="BC5" s="169"/>
      <c r="BD5" s="1329"/>
      <c r="BE5" s="1329"/>
      <c r="BF5" s="1330"/>
      <c r="BG5" s="1330"/>
    </row>
    <row r="6" spans="1:59" ht="15.75" customHeight="1">
      <c r="A6" s="1239"/>
      <c r="B6" s="173"/>
      <c r="C6" s="446"/>
      <c r="D6" s="447"/>
      <c r="E6" s="447"/>
      <c r="F6" s="448"/>
      <c r="G6" s="484">
        <v>54</v>
      </c>
      <c r="H6" s="1239"/>
      <c r="I6" s="448">
        <f>C23-C5</f>
        <v>409.59999999999127</v>
      </c>
      <c r="J6" s="446"/>
      <c r="K6" s="638"/>
      <c r="L6" s="638"/>
      <c r="M6" s="638"/>
      <c r="N6" s="1239"/>
      <c r="O6" s="1239"/>
      <c r="P6" s="638"/>
      <c r="Q6" s="638"/>
      <c r="R6" s="638"/>
      <c r="S6" s="484"/>
      <c r="T6" s="638"/>
      <c r="U6" s="638"/>
      <c r="V6" s="638"/>
      <c r="W6" s="638"/>
      <c r="X6" s="638"/>
      <c r="Y6" s="638"/>
      <c r="Z6" s="638"/>
      <c r="AA6" s="638"/>
      <c r="AB6" s="638"/>
      <c r="AC6" s="638"/>
      <c r="AD6" s="638"/>
      <c r="AE6" s="638"/>
      <c r="AF6" s="638"/>
      <c r="AG6" s="446"/>
      <c r="AH6" s="638"/>
      <c r="AI6" s="185"/>
      <c r="AJ6" s="638"/>
      <c r="AK6" s="1239"/>
      <c r="AL6" s="638"/>
      <c r="AM6" s="638"/>
      <c r="AN6" s="455"/>
      <c r="AO6" s="1239"/>
      <c r="AP6" s="1239"/>
      <c r="AQ6" s="484"/>
      <c r="AR6" s="484"/>
      <c r="AS6" s="484"/>
      <c r="AT6" s="484"/>
      <c r="AU6" s="638"/>
      <c r="AV6" s="638"/>
      <c r="AW6" s="638"/>
      <c r="AX6" s="638"/>
      <c r="AY6" s="484"/>
      <c r="AZ6" s="484"/>
      <c r="BA6" s="671"/>
      <c r="BB6" s="1239"/>
      <c r="BC6" s="169"/>
      <c r="BD6" s="1330"/>
      <c r="BE6" s="1330"/>
      <c r="BF6" s="1330"/>
      <c r="BG6" s="1330"/>
    </row>
    <row r="7" spans="1:59" ht="15.75" customHeight="1">
      <c r="A7" s="1239"/>
      <c r="B7" s="435" t="s">
        <v>3775</v>
      </c>
      <c r="C7" s="446">
        <f>+$C$5+$G$6</f>
        <v>83220.909999999989</v>
      </c>
      <c r="D7" s="447"/>
      <c r="E7" s="447"/>
      <c r="F7" s="447" t="s">
        <v>2312</v>
      </c>
      <c r="G7" s="484"/>
      <c r="H7" s="1239" t="s">
        <v>890</v>
      </c>
      <c r="I7" s="172"/>
      <c r="J7" s="446"/>
      <c r="K7" s="638"/>
      <c r="L7" s="638" t="s">
        <v>2670</v>
      </c>
      <c r="M7" s="638"/>
      <c r="N7" s="1239" t="s">
        <v>143</v>
      </c>
      <c r="O7" s="1239"/>
      <c r="P7" s="638"/>
      <c r="Q7" s="638"/>
      <c r="R7" s="638"/>
      <c r="S7" s="484"/>
      <c r="T7" s="638">
        <v>-30</v>
      </c>
      <c r="U7" s="638"/>
      <c r="V7" s="638"/>
      <c r="W7" s="638">
        <v>1.4</v>
      </c>
      <c r="X7" s="638"/>
      <c r="Y7" s="638"/>
      <c r="Z7" s="638"/>
      <c r="AA7" s="638"/>
      <c r="AB7" s="638"/>
      <c r="AC7" s="638" t="str">
        <f>IF(OR(AT7&gt;8,AT7&lt;-8),"PH",IF(OR(AT7&gt;5,AT7&lt;-5),"PH-Q",IF(OR(AT7&gt;1,AT7&lt;-1),"PH-C")))</f>
        <v>PH-Q</v>
      </c>
      <c r="AD7" s="638"/>
      <c r="AE7" s="638"/>
      <c r="AF7" s="638"/>
      <c r="AG7" s="446"/>
      <c r="AH7" s="638"/>
      <c r="AI7" s="185"/>
      <c r="AJ7" s="638"/>
      <c r="AK7" s="1239"/>
      <c r="AL7" s="638"/>
      <c r="AM7" s="445"/>
      <c r="AN7" s="455">
        <v>5.15</v>
      </c>
      <c r="AO7" s="1239"/>
      <c r="AP7" s="1239"/>
      <c r="AQ7" s="484"/>
      <c r="AR7" s="484"/>
      <c r="AS7" s="484"/>
      <c r="AT7" s="484">
        <f>+ab($T$7,$T$5,-$U$9,$G$6,$G$8, 1*$F$7,1200)</f>
        <v>-7.2883715851341062</v>
      </c>
      <c r="AU7" s="638"/>
      <c r="AV7" s="638"/>
      <c r="AW7" s="484"/>
      <c r="AX7" s="484"/>
      <c r="AY7" s="484"/>
      <c r="AZ7" s="484"/>
      <c r="BA7" s="671"/>
      <c r="BB7" s="1239"/>
      <c r="BC7" s="169"/>
      <c r="BD7" s="1330"/>
      <c r="BE7" s="1330"/>
      <c r="BF7" s="1330"/>
      <c r="BG7" s="1329"/>
    </row>
    <row r="8" spans="1:59" ht="15.75" customHeight="1">
      <c r="A8" s="1239"/>
      <c r="B8" s="173"/>
      <c r="C8" s="446"/>
      <c r="D8" s="447"/>
      <c r="E8" s="447"/>
      <c r="F8" s="448"/>
      <c r="G8" s="484">
        <v>39.799999999999997</v>
      </c>
      <c r="H8" s="1239"/>
      <c r="I8" s="1239">
        <v>308</v>
      </c>
      <c r="J8" s="446"/>
      <c r="K8" s="638"/>
      <c r="L8" s="638"/>
      <c r="M8" s="638"/>
      <c r="N8" s="1239"/>
      <c r="O8" s="1239"/>
      <c r="P8" s="638"/>
      <c r="Q8" s="638"/>
      <c r="R8" s="638"/>
      <c r="S8" s="484"/>
      <c r="T8" s="638"/>
      <c r="U8" s="638"/>
      <c r="V8" s="638"/>
      <c r="W8" s="638"/>
      <c r="X8" s="638"/>
      <c r="Y8" s="638"/>
      <c r="Z8" s="638"/>
      <c r="AA8" s="638"/>
      <c r="AB8" s="638"/>
      <c r="AC8" s="638"/>
      <c r="AD8" s="638"/>
      <c r="AE8" s="638"/>
      <c r="AF8" s="638"/>
      <c r="AG8" s="446"/>
      <c r="AH8" s="638"/>
      <c r="AI8" s="185"/>
      <c r="AJ8" s="638"/>
      <c r="AK8" s="1239"/>
      <c r="AL8" s="638"/>
      <c r="AM8" s="638"/>
      <c r="AN8" s="455"/>
      <c r="AO8" s="1239"/>
      <c r="AP8" s="1239"/>
      <c r="AQ8" s="484">
        <f>+FL_1(-$U$9,$T$7,$G$8,1200,9.28, 1*$F$9)</f>
        <v>0.30006372347738691</v>
      </c>
      <c r="AR8" s="484"/>
      <c r="AS8" s="484"/>
      <c r="AT8" s="484"/>
      <c r="AU8" s="638"/>
      <c r="AV8" s="638"/>
      <c r="AW8" s="638"/>
      <c r="AX8" s="638"/>
      <c r="AY8" s="484"/>
      <c r="AZ8" s="484"/>
      <c r="BA8" s="671"/>
      <c r="BB8" s="1239"/>
      <c r="BC8" s="169"/>
      <c r="BD8" s="1330"/>
      <c r="BE8" s="1330"/>
      <c r="BF8" s="1330"/>
      <c r="BG8" s="1330"/>
    </row>
    <row r="9" spans="1:59" ht="15.75" customHeight="1">
      <c r="A9" s="1239"/>
      <c r="B9" s="435" t="s">
        <v>3776</v>
      </c>
      <c r="C9" s="446">
        <f>+$C$7+$G$8</f>
        <v>83260.709999999992</v>
      </c>
      <c r="D9" s="447"/>
      <c r="E9" s="447"/>
      <c r="F9" s="447" t="s">
        <v>2312</v>
      </c>
      <c r="G9" s="484"/>
      <c r="H9" s="1239" t="s">
        <v>619</v>
      </c>
      <c r="I9" s="445"/>
      <c r="J9" s="446"/>
      <c r="K9" s="638"/>
      <c r="L9" s="638"/>
      <c r="M9" s="638"/>
      <c r="N9" s="1239" t="s">
        <v>845</v>
      </c>
      <c r="O9" s="1239" t="s">
        <v>843</v>
      </c>
      <c r="P9" s="638"/>
      <c r="Q9" s="638"/>
      <c r="R9" s="638"/>
      <c r="S9" s="484"/>
      <c r="T9" s="638">
        <v>45</v>
      </c>
      <c r="U9" s="638">
        <v>-30</v>
      </c>
      <c r="V9" s="638"/>
      <c r="W9" s="638">
        <v>1.4</v>
      </c>
      <c r="X9" s="638">
        <v>1.8</v>
      </c>
      <c r="Y9" s="638"/>
      <c r="Z9" s="638">
        <v>0.6</v>
      </c>
      <c r="AA9" s="638"/>
      <c r="AB9" s="638"/>
      <c r="AC9" s="638"/>
      <c r="AD9" s="638"/>
      <c r="AE9" s="638"/>
      <c r="AF9" s="638"/>
      <c r="AG9" s="446"/>
      <c r="AH9" s="638"/>
      <c r="AI9" s="185"/>
      <c r="AJ9" s="638"/>
      <c r="AK9" s="1239" t="s">
        <v>4658</v>
      </c>
      <c r="AL9" s="638"/>
      <c r="AM9" s="445"/>
      <c r="AN9" s="455">
        <v>5.15</v>
      </c>
      <c r="AO9" s="1239"/>
      <c r="AP9" s="1239"/>
      <c r="AQ9" s="484"/>
      <c r="AR9" s="484"/>
      <c r="AS9" s="484"/>
      <c r="AT9" s="484">
        <f>+ab(-$U$9,$T$7,$T$11,$G$8,$G$10, 1*$F$9,1200)</f>
        <v>5.438832836524905</v>
      </c>
      <c r="AU9" s="638"/>
      <c r="AV9" s="638"/>
      <c r="AW9" s="484"/>
      <c r="AX9" s="484"/>
      <c r="AY9" s="484"/>
      <c r="AZ9" s="484"/>
      <c r="BA9" s="671"/>
      <c r="BB9" s="449" t="s">
        <v>4657</v>
      </c>
      <c r="BC9" s="169"/>
      <c r="BD9" s="1330"/>
      <c r="BE9" s="1329"/>
      <c r="BF9" s="1330"/>
      <c r="BG9" s="1329"/>
    </row>
    <row r="10" spans="1:59" ht="15.75" customHeight="1">
      <c r="A10" s="1239"/>
      <c r="B10" s="173"/>
      <c r="C10" s="446"/>
      <c r="D10" s="447"/>
      <c r="E10" s="447"/>
      <c r="F10" s="448"/>
      <c r="G10" s="484">
        <v>39.799999999999997</v>
      </c>
      <c r="H10" s="1239"/>
      <c r="I10" s="455"/>
      <c r="J10" s="446"/>
      <c r="K10" s="638"/>
      <c r="L10" s="638"/>
      <c r="M10" s="638"/>
      <c r="N10" s="1239"/>
      <c r="O10" s="1239"/>
      <c r="P10" s="638"/>
      <c r="Q10" s="638"/>
      <c r="R10" s="638"/>
      <c r="S10" s="484"/>
      <c r="T10" s="638"/>
      <c r="U10" s="638"/>
      <c r="V10" s="638"/>
      <c r="W10" s="638"/>
      <c r="X10" s="638"/>
      <c r="Y10" s="638"/>
      <c r="Z10" s="638"/>
      <c r="AA10" s="638"/>
      <c r="AB10" s="638"/>
      <c r="AC10" s="638"/>
      <c r="AD10" s="638"/>
      <c r="AE10" s="638"/>
      <c r="AF10" s="638"/>
      <c r="AG10" s="446"/>
      <c r="AH10" s="638"/>
      <c r="AI10" s="185"/>
      <c r="AJ10" s="638"/>
      <c r="AK10" s="1239"/>
      <c r="AL10" s="638"/>
      <c r="AM10" s="638"/>
      <c r="AN10" s="455"/>
      <c r="AO10" s="1239"/>
      <c r="AP10" s="1239"/>
      <c r="AQ10" s="484">
        <f>+FL_2($U$11,-$U$9,$G$10,1200,9.28, 1*$F$11)</f>
        <v>-0.35</v>
      </c>
      <c r="AR10" s="484"/>
      <c r="AS10" s="484"/>
      <c r="AT10" s="484"/>
      <c r="AU10" s="638"/>
      <c r="AV10" s="638"/>
      <c r="AW10" s="484"/>
      <c r="AX10" s="484"/>
      <c r="AY10" s="484"/>
      <c r="AZ10" s="484"/>
      <c r="BA10" s="671"/>
      <c r="BB10" s="1239"/>
      <c r="BC10" s="169"/>
      <c r="BD10" s="1330"/>
      <c r="BE10" s="1330"/>
      <c r="BF10" s="1330"/>
      <c r="BG10" s="1330"/>
    </row>
    <row r="11" spans="1:59" ht="15.75" customHeight="1">
      <c r="A11" s="449"/>
      <c r="B11" s="485" t="s">
        <v>3777</v>
      </c>
      <c r="C11" s="446">
        <f>+$C$9+$G$10</f>
        <v>83300.509999999995</v>
      </c>
      <c r="D11" s="445"/>
      <c r="E11" s="445"/>
      <c r="F11" s="447" t="s">
        <v>2312</v>
      </c>
      <c r="G11" s="484"/>
      <c r="H11" s="445" t="s">
        <v>4093</v>
      </c>
      <c r="I11" s="1239"/>
      <c r="J11" s="446"/>
      <c r="K11" s="638"/>
      <c r="L11" s="638" t="s">
        <v>2670</v>
      </c>
      <c r="M11" s="638"/>
      <c r="N11" s="1239" t="s">
        <v>140</v>
      </c>
      <c r="O11" s="1239" t="s">
        <v>143</v>
      </c>
      <c r="P11" s="445" t="s">
        <v>144</v>
      </c>
      <c r="Q11" s="638"/>
      <c r="R11" s="638"/>
      <c r="S11" s="484"/>
      <c r="T11" s="638">
        <v>-50</v>
      </c>
      <c r="U11" s="638">
        <v>-35</v>
      </c>
      <c r="V11" s="638">
        <v>-20</v>
      </c>
      <c r="W11" s="638">
        <v>2</v>
      </c>
      <c r="X11" s="638">
        <v>1.8</v>
      </c>
      <c r="Y11" s="638">
        <v>1.4</v>
      </c>
      <c r="Z11" s="638">
        <v>0.45</v>
      </c>
      <c r="AA11" s="638"/>
      <c r="AB11" s="638"/>
      <c r="AC11" s="638"/>
      <c r="AD11" s="638" t="s">
        <v>1428</v>
      </c>
      <c r="AE11" s="638" t="s">
        <v>2773</v>
      </c>
      <c r="AF11" s="638"/>
      <c r="AG11" s="446"/>
      <c r="AH11" s="638"/>
      <c r="AI11" s="185"/>
      <c r="AJ11" s="445"/>
      <c r="AK11" s="445"/>
      <c r="AL11" s="445"/>
      <c r="AM11" s="445"/>
      <c r="AN11" s="455">
        <v>5.15</v>
      </c>
      <c r="AO11" s="1239"/>
      <c r="AP11" s="1239"/>
      <c r="AQ11" s="484"/>
      <c r="AR11" s="484"/>
      <c r="AS11" s="484"/>
      <c r="AT11" s="484">
        <f>+ab($U$11,-$U$9,$U$13,$G$10,$G$12, 1*$F$11,1200)</f>
        <v>-6.1830024078975354</v>
      </c>
      <c r="AU11" s="638"/>
      <c r="AV11" s="638"/>
      <c r="AW11" s="484"/>
      <c r="AX11" s="484"/>
      <c r="AY11" s="484"/>
      <c r="AZ11" s="484"/>
      <c r="BA11" s="1304"/>
      <c r="BB11" s="449"/>
      <c r="BC11" s="169"/>
      <c r="BD11" s="1330"/>
      <c r="BE11" s="1330"/>
      <c r="BF11" s="1330"/>
      <c r="BG11" s="1329"/>
    </row>
    <row r="12" spans="1:59" ht="15.75" customHeight="1">
      <c r="A12" s="449"/>
      <c r="B12" s="445"/>
      <c r="C12" s="446"/>
      <c r="D12" s="445"/>
      <c r="E12" s="445"/>
      <c r="F12" s="447"/>
      <c r="G12" s="484">
        <v>48</v>
      </c>
      <c r="H12" s="445"/>
      <c r="I12" s="1239"/>
      <c r="J12" s="171"/>
      <c r="K12" s="1239"/>
      <c r="L12" s="445"/>
      <c r="M12" s="445"/>
      <c r="N12" s="445"/>
      <c r="O12" s="445"/>
      <c r="P12" s="445"/>
      <c r="Q12" s="638"/>
      <c r="R12" s="638"/>
      <c r="S12" s="484"/>
      <c r="T12" s="638"/>
      <c r="U12" s="638"/>
      <c r="V12" s="638"/>
      <c r="W12" s="638"/>
      <c r="X12" s="638"/>
      <c r="Y12" s="638"/>
      <c r="Z12" s="638"/>
      <c r="AA12" s="638"/>
      <c r="AB12" s="638"/>
      <c r="AC12" s="638"/>
      <c r="AD12" s="638"/>
      <c r="AE12" s="638"/>
      <c r="AF12" s="638"/>
      <c r="AG12" s="446"/>
      <c r="AH12" s="638"/>
      <c r="AI12" s="185"/>
      <c r="AJ12" s="445"/>
      <c r="AK12" s="445"/>
      <c r="AL12" s="445"/>
      <c r="AM12" s="445"/>
      <c r="AN12" s="484"/>
      <c r="AO12" s="445"/>
      <c r="AP12" s="445"/>
      <c r="AQ12" s="484">
        <f>+FL_2($U$13,$U$11,$G$12,1200,9.28, 1*$F$13)</f>
        <v>-0.36022448800000006</v>
      </c>
      <c r="AR12" s="484"/>
      <c r="AS12" s="484"/>
      <c r="AT12" s="484"/>
      <c r="AU12" s="638"/>
      <c r="AV12" s="638"/>
      <c r="AW12" s="638"/>
      <c r="AX12" s="638"/>
      <c r="AY12" s="484"/>
      <c r="AZ12" s="484"/>
      <c r="BA12" s="1304"/>
      <c r="BB12" s="449"/>
      <c r="BC12" s="169"/>
      <c r="BD12" s="1330"/>
      <c r="BE12" s="1330"/>
      <c r="BF12" s="1330"/>
      <c r="BG12" s="1330"/>
    </row>
    <row r="13" spans="1:59" ht="15.75" customHeight="1">
      <c r="A13" s="449"/>
      <c r="B13" s="450" t="s">
        <v>3778</v>
      </c>
      <c r="C13" s="446">
        <f>+$C$11+$G$12</f>
        <v>83348.509999999995</v>
      </c>
      <c r="D13" s="445"/>
      <c r="E13" s="445"/>
      <c r="F13" s="447" t="s">
        <v>2312</v>
      </c>
      <c r="G13" s="484"/>
      <c r="H13" s="445" t="s">
        <v>3134</v>
      </c>
      <c r="I13" s="445"/>
      <c r="J13" s="446"/>
      <c r="K13" s="638"/>
      <c r="L13" s="638" t="s">
        <v>4666</v>
      </c>
      <c r="M13" s="638" t="str">
        <f>IF(AX13="PT",VLOOKUP(L13,'Foundation Calculation'!$V$2:$X$40,VLOOKUP(AX13,'Foundation Calculation'!$I$10:$J$13,2,FALSE),0),IF(AX13="K",VLOOKUP(L13,'Foundation Calculation'!$V$42:$X$80,VLOOKUP(AX13,'Foundation Calculation'!$I$10:$J$13,2,FALSE),0),""))</f>
        <v>C12R</v>
      </c>
      <c r="N13" s="1239" t="s">
        <v>143</v>
      </c>
      <c r="O13" s="1239" t="s">
        <v>144</v>
      </c>
      <c r="P13" s="445" t="s">
        <v>140</v>
      </c>
      <c r="Q13" s="638"/>
      <c r="R13" s="638"/>
      <c r="S13" s="484"/>
      <c r="T13" s="638">
        <v>20</v>
      </c>
      <c r="U13" s="638">
        <v>35</v>
      </c>
      <c r="V13" s="638">
        <v>50</v>
      </c>
      <c r="W13" s="638">
        <v>2</v>
      </c>
      <c r="X13" s="638">
        <v>1.8</v>
      </c>
      <c r="Y13" s="638">
        <v>1.4</v>
      </c>
      <c r="Z13" s="638"/>
      <c r="AA13" s="638"/>
      <c r="AB13" s="638">
        <v>0.45</v>
      </c>
      <c r="AC13" s="638" t="s">
        <v>1428</v>
      </c>
      <c r="AD13" s="638" t="s">
        <v>2773</v>
      </c>
      <c r="AE13" s="638"/>
      <c r="AF13" s="638"/>
      <c r="AG13" s="446"/>
      <c r="AH13" s="638"/>
      <c r="AI13" s="185"/>
      <c r="AJ13" s="445" t="s">
        <v>864</v>
      </c>
      <c r="AK13" s="445"/>
      <c r="AL13" s="445" t="s">
        <v>2142</v>
      </c>
      <c r="AM13" s="445"/>
      <c r="AN13" s="455">
        <v>5.15</v>
      </c>
      <c r="AO13" s="1239"/>
      <c r="AP13" s="1239"/>
      <c r="AQ13" s="484"/>
      <c r="AR13" s="484"/>
      <c r="AS13" s="484"/>
      <c r="AT13" s="484">
        <f>+ab($U$13,$U$11,$T$15,$G$12,$G$14, 1*$F$13,1200)</f>
        <v>12.934032506548364</v>
      </c>
      <c r="AU13" s="638"/>
      <c r="AV13" s="638"/>
      <c r="AW13" s="638" t="str">
        <f>VLOOKUP(C13,'Foundation Calculation'!$A$2:$C$33,3,1)</f>
        <v>Soil A</v>
      </c>
      <c r="AX13" s="638" t="str">
        <f>VLOOKUP(C13,'Foundation Calculation'!$E$2:$G$33,3,1)</f>
        <v>PT</v>
      </c>
      <c r="AY13" s="484">
        <f>IF(AX13="PT",VLOOKUP(L13,'Foundation Calculation'!$K$2:$R$40,VLOOKUP(AW13,'Foundation Calculation'!$I$2:$J$8,2,FALSE),0),IF(AX13="K",VLOOKUP(L13,'Foundation Calculation'!$K$42:$R$80,VLOOKUP(AW13,'Foundation Calculation'!$I$2:$J$8,2,FALSE),0),""))</f>
        <v>6</v>
      </c>
      <c r="AZ13" s="484"/>
      <c r="BA13" s="671" t="s">
        <v>2809</v>
      </c>
      <c r="BB13" s="1239" t="str">
        <f>Pole_Calculations!A178</f>
        <v>App.8-V08F-P10.3</v>
      </c>
      <c r="BC13" s="169"/>
      <c r="BD13" s="1329"/>
      <c r="BE13" s="1329"/>
      <c r="BF13" s="1329"/>
      <c r="BG13" s="1329"/>
    </row>
    <row r="14" spans="1:59" ht="15.75" customHeight="1">
      <c r="A14" s="449" t="s">
        <v>1852</v>
      </c>
      <c r="B14" s="445"/>
      <c r="C14" s="446"/>
      <c r="D14" s="445"/>
      <c r="E14" s="445"/>
      <c r="F14" s="447"/>
      <c r="G14" s="484">
        <v>52.5</v>
      </c>
      <c r="H14" s="445"/>
      <c r="I14" s="455"/>
      <c r="J14" s="446"/>
      <c r="K14" s="445"/>
      <c r="L14" s="445"/>
      <c r="M14" s="445"/>
      <c r="N14" s="445"/>
      <c r="O14" s="445"/>
      <c r="P14" s="445"/>
      <c r="Q14" s="638"/>
      <c r="R14" s="638"/>
      <c r="S14" s="484"/>
      <c r="T14" s="638"/>
      <c r="U14" s="638"/>
      <c r="V14" s="638"/>
      <c r="W14" s="638"/>
      <c r="X14" s="638"/>
      <c r="Y14" s="638"/>
      <c r="Z14" s="638"/>
      <c r="AA14" s="638"/>
      <c r="AB14" s="638"/>
      <c r="AC14" s="638"/>
      <c r="AD14" s="638"/>
      <c r="AE14" s="638"/>
      <c r="AF14" s="638"/>
      <c r="AG14" s="446"/>
      <c r="AH14" s="638"/>
      <c r="AI14" s="185"/>
      <c r="AJ14" s="445"/>
      <c r="AK14" s="445"/>
      <c r="AL14" s="445"/>
      <c r="AM14" s="445"/>
      <c r="AN14" s="484"/>
      <c r="AO14" s="445"/>
      <c r="AP14" s="445"/>
      <c r="AQ14" s="484">
        <f>+FL_1($T$15,$U$13,$G$14,1200,9.28, 1*$F$15)</f>
        <v>0.61643749999999997</v>
      </c>
      <c r="AR14" s="484"/>
      <c r="AS14" s="484"/>
      <c r="AT14" s="484"/>
      <c r="AU14" s="638"/>
      <c r="AV14" s="638"/>
      <c r="AW14" s="638"/>
      <c r="AX14" s="638"/>
      <c r="AY14" s="484"/>
      <c r="AZ14" s="484"/>
      <c r="BA14" s="1304"/>
      <c r="BB14" s="1239"/>
      <c r="BC14" s="169"/>
      <c r="BD14" s="1330"/>
      <c r="BE14" s="1330"/>
      <c r="BF14" s="1330"/>
      <c r="BG14" s="1330"/>
    </row>
    <row r="15" spans="1:59" ht="15.75" customHeight="1">
      <c r="A15" s="449"/>
      <c r="B15" s="450" t="s">
        <v>3779</v>
      </c>
      <c r="C15" s="446">
        <f>+$C$13+$G$14</f>
        <v>83401.009999999995</v>
      </c>
      <c r="D15" s="445"/>
      <c r="E15" s="445"/>
      <c r="F15" s="447" t="s">
        <v>2312</v>
      </c>
      <c r="G15" s="484"/>
      <c r="H15" s="445" t="s">
        <v>3714</v>
      </c>
      <c r="I15" s="1239" t="s">
        <v>624</v>
      </c>
      <c r="J15" s="446"/>
      <c r="K15" s="445"/>
      <c r="L15" s="638" t="s">
        <v>4666</v>
      </c>
      <c r="M15" s="638" t="str">
        <f>IF(AX15="PT",VLOOKUP(L15,'Foundation Calculation'!$V$2:$X$40,VLOOKUP(AX15,'Foundation Calculation'!$I$10:$J$13,2,FALSE),0),IF(AX15="K",VLOOKUP(L15,'Foundation Calculation'!$V$42:$X$80,VLOOKUP(AX15,'Foundation Calculation'!$I$10:$J$13,2,FALSE),0),""))</f>
        <v>C12R</v>
      </c>
      <c r="N15" s="1239" t="s">
        <v>144</v>
      </c>
      <c r="O15" s="445" t="s">
        <v>143</v>
      </c>
      <c r="P15" s="445"/>
      <c r="Q15" s="638"/>
      <c r="R15" s="638"/>
      <c r="S15" s="484"/>
      <c r="T15" s="638">
        <v>35</v>
      </c>
      <c r="U15" s="638">
        <v>20</v>
      </c>
      <c r="V15" s="638"/>
      <c r="W15" s="638">
        <v>1.4</v>
      </c>
      <c r="X15" s="638">
        <v>1.8</v>
      </c>
      <c r="Y15" s="638"/>
      <c r="Z15" s="638"/>
      <c r="AA15" s="638"/>
      <c r="AB15" s="638"/>
      <c r="AC15" s="638" t="s">
        <v>2773</v>
      </c>
      <c r="AD15" s="638" t="s">
        <v>1428</v>
      </c>
      <c r="AE15" s="638"/>
      <c r="AF15" s="638"/>
      <c r="AG15" s="446"/>
      <c r="AH15" s="638"/>
      <c r="AI15" s="185"/>
      <c r="AJ15" s="445" t="s">
        <v>864</v>
      </c>
      <c r="AK15" s="445"/>
      <c r="AL15" s="445" t="s">
        <v>2142</v>
      </c>
      <c r="AM15" s="445"/>
      <c r="AN15" s="455">
        <v>5.15</v>
      </c>
      <c r="AO15" s="1239"/>
      <c r="AP15" s="1239"/>
      <c r="AQ15" s="484"/>
      <c r="AR15" s="484"/>
      <c r="AS15" s="484"/>
      <c r="AT15" s="484">
        <f>+ab($T$15,$U$13,$T$17,$G$14,$G$16, 1*$F$15,1200)</f>
        <v>17.252538374357627</v>
      </c>
      <c r="AU15" s="638"/>
      <c r="AV15" s="638"/>
      <c r="AW15" s="638" t="str">
        <f>VLOOKUP(C15,'Foundation Calculation'!$A$2:$C$33,3,1)</f>
        <v>Soil A</v>
      </c>
      <c r="AX15" s="638" t="str">
        <f>VLOOKUP(C15,'Foundation Calculation'!$E$2:$G$33,3,1)</f>
        <v>PT</v>
      </c>
      <c r="AY15" s="484">
        <f>IF(AX15="PT",VLOOKUP(L15,'Foundation Calculation'!$K$2:$R$40,VLOOKUP(AW15,'Foundation Calculation'!$I$2:$J$8,2,FALSE),0),IF(AX15="K",VLOOKUP(L15,'Foundation Calculation'!$K$42:$R$80,VLOOKUP(AW15,'Foundation Calculation'!$I$2:$J$8,2,FALSE),0),""))</f>
        <v>6</v>
      </c>
      <c r="AZ15" s="484"/>
      <c r="BA15" s="671" t="s">
        <v>2809</v>
      </c>
      <c r="BB15" s="1239" t="str">
        <f>Pole_Calculations!A178</f>
        <v>App.8-V08F-P10.3</v>
      </c>
      <c r="BC15" s="169"/>
      <c r="BD15" s="1329"/>
      <c r="BE15" s="1329"/>
      <c r="BF15" s="1329"/>
      <c r="BG15" s="1329"/>
    </row>
    <row r="16" spans="1:59" ht="15.75" customHeight="1">
      <c r="A16" s="449"/>
      <c r="B16" s="445"/>
      <c r="C16" s="446"/>
      <c r="D16" s="445"/>
      <c r="E16" s="445"/>
      <c r="F16" s="447"/>
      <c r="G16" s="484">
        <v>51</v>
      </c>
      <c r="H16" s="445"/>
      <c r="I16" s="172"/>
      <c r="J16" s="446"/>
      <c r="K16" s="638"/>
      <c r="L16" s="445"/>
      <c r="M16" s="445"/>
      <c r="N16" s="445"/>
      <c r="O16" s="445"/>
      <c r="P16" s="445"/>
      <c r="Q16" s="638"/>
      <c r="R16" s="638"/>
      <c r="S16" s="484"/>
      <c r="T16" s="638"/>
      <c r="U16" s="638"/>
      <c r="V16" s="638"/>
      <c r="W16" s="638"/>
      <c r="X16" s="638"/>
      <c r="Y16" s="638"/>
      <c r="Z16" s="638"/>
      <c r="AA16" s="638"/>
      <c r="AB16" s="638"/>
      <c r="AC16" s="638"/>
      <c r="AD16" s="638"/>
      <c r="AE16" s="638"/>
      <c r="AF16" s="638"/>
      <c r="AG16" s="446"/>
      <c r="AH16" s="638"/>
      <c r="AI16" s="185"/>
      <c r="AJ16" s="445"/>
      <c r="AK16" s="445"/>
      <c r="AL16" s="445"/>
      <c r="AM16" s="445"/>
      <c r="AN16" s="484"/>
      <c r="AO16" s="445"/>
      <c r="AP16" s="445"/>
      <c r="AQ16" s="484">
        <f>+FL_1($T$17,$T$15,$G$16,1200,9.28, 1*$F$17)</f>
        <v>0.40162487647058831</v>
      </c>
      <c r="AR16" s="484"/>
      <c r="AS16" s="484"/>
      <c r="AT16" s="484"/>
      <c r="AU16" s="638"/>
      <c r="AV16" s="638"/>
      <c r="AW16" s="638"/>
      <c r="AX16" s="638"/>
      <c r="AY16" s="484"/>
      <c r="AZ16" s="484"/>
      <c r="BA16" s="671"/>
      <c r="BB16" s="449"/>
      <c r="BC16" s="169"/>
      <c r="BD16" s="1330"/>
      <c r="BE16" s="1330"/>
      <c r="BF16" s="1330"/>
      <c r="BG16" s="1330"/>
    </row>
    <row r="17" spans="1:59" ht="15.75" customHeight="1">
      <c r="A17" s="449"/>
      <c r="B17" s="450" t="s">
        <v>3780</v>
      </c>
      <c r="C17" s="446">
        <f>+$C$15+$G$16</f>
        <v>83452.009999999995</v>
      </c>
      <c r="D17" s="445"/>
      <c r="E17" s="445"/>
      <c r="F17" s="447" t="s">
        <v>2312</v>
      </c>
      <c r="G17" s="484"/>
      <c r="H17" s="445" t="s">
        <v>2133</v>
      </c>
      <c r="I17" s="445" t="s">
        <v>623</v>
      </c>
      <c r="J17" s="446"/>
      <c r="K17" s="638"/>
      <c r="L17" s="638" t="s">
        <v>4666</v>
      </c>
      <c r="M17" s="638" t="str">
        <f>IF(AX17="PT",VLOOKUP(L17,'Foundation Calculation'!$V$2:$X$40,VLOOKUP(AX17,'Foundation Calculation'!$I$10:$J$13,2,FALSE),0),IF(AX17="K",VLOOKUP(L17,'Foundation Calculation'!$V$42:$X$80,VLOOKUP(AX17,'Foundation Calculation'!$I$10:$J$13,2,FALSE),0),""))</f>
        <v>C12R</v>
      </c>
      <c r="N17" s="1239" t="s">
        <v>143</v>
      </c>
      <c r="O17" s="445" t="s">
        <v>140</v>
      </c>
      <c r="P17" s="445"/>
      <c r="Q17" s="638"/>
      <c r="R17" s="638"/>
      <c r="S17" s="484"/>
      <c r="T17" s="638">
        <v>-20</v>
      </c>
      <c r="U17" s="638">
        <v>-55</v>
      </c>
      <c r="V17" s="638"/>
      <c r="W17" s="638">
        <v>1.4</v>
      </c>
      <c r="X17" s="638">
        <v>1.8</v>
      </c>
      <c r="Y17" s="638"/>
      <c r="Z17" s="638"/>
      <c r="AA17" s="638">
        <v>0.45</v>
      </c>
      <c r="AB17" s="638"/>
      <c r="AC17" s="638" t="str">
        <f>IF(OR(AT17&gt;8,AT17&lt;-8),"PH",IF(OR(AT17&gt;5,AT17&lt;-5),"PH-Q",IF(OR(AT17&gt;1,AT17&lt;-1),"PH-C")))</f>
        <v>PH</v>
      </c>
      <c r="AD17" s="638"/>
      <c r="AE17" s="638"/>
      <c r="AF17" s="638"/>
      <c r="AG17" s="446"/>
      <c r="AH17" s="638"/>
      <c r="AI17" s="185"/>
      <c r="AJ17" s="445"/>
      <c r="AK17" s="445"/>
      <c r="AL17" s="445" t="s">
        <v>2142</v>
      </c>
      <c r="AM17" s="445"/>
      <c r="AN17" s="455">
        <v>5.15</v>
      </c>
      <c r="AO17" s="1239"/>
      <c r="AP17" s="1239"/>
      <c r="AQ17" s="484"/>
      <c r="AR17" s="484"/>
      <c r="AS17" s="484"/>
      <c r="AT17" s="484">
        <f>+ab($T$17,$T$15,$U$19,$G$16,$G$18, 1*$F$17,1200)</f>
        <v>-10.187231119706862</v>
      </c>
      <c r="AU17" s="638"/>
      <c r="AV17" s="638"/>
      <c r="AW17" s="638" t="str">
        <f>VLOOKUP(C17,'Foundation Calculation'!$A$2:$C$33,3,1)</f>
        <v>Soil A</v>
      </c>
      <c r="AX17" s="638" t="str">
        <f>VLOOKUP(C17,'Foundation Calculation'!$E$2:$G$33,3,1)</f>
        <v>PT</v>
      </c>
      <c r="AY17" s="484">
        <f>IF(AX17="PT",VLOOKUP(L17,'Foundation Calculation'!$K$2:$R$40,VLOOKUP(AW17,'Foundation Calculation'!$I$2:$J$8,2,FALSE),0),IF(AX17="K",VLOOKUP(L17,'Foundation Calculation'!$K$42:$R$80,VLOOKUP(AW17,'Foundation Calculation'!$I$2:$J$8,2,FALSE),0),""))</f>
        <v>6</v>
      </c>
      <c r="AZ17" s="484"/>
      <c r="BA17" s="671" t="s">
        <v>2809</v>
      </c>
      <c r="BB17" s="1239" t="str">
        <f>Pole_Calculations!A178</f>
        <v>App.8-V08F-P10.3</v>
      </c>
      <c r="BC17" s="169"/>
      <c r="BD17" s="1329"/>
      <c r="BE17" s="1329"/>
      <c r="BF17" s="1329"/>
      <c r="BG17" s="1329"/>
    </row>
    <row r="18" spans="1:59" ht="15.75" customHeight="1">
      <c r="A18" s="449"/>
      <c r="B18" s="445"/>
      <c r="C18" s="446"/>
      <c r="D18" s="445"/>
      <c r="E18" s="445"/>
      <c r="F18" s="447"/>
      <c r="G18" s="484">
        <v>38.200000000000003</v>
      </c>
      <c r="H18" s="445"/>
      <c r="I18" s="445"/>
      <c r="J18" s="446"/>
      <c r="K18" s="445"/>
      <c r="L18" s="445"/>
      <c r="M18" s="445"/>
      <c r="N18" s="445"/>
      <c r="O18" s="445"/>
      <c r="P18" s="445"/>
      <c r="Q18" s="638"/>
      <c r="R18" s="638"/>
      <c r="S18" s="484"/>
      <c r="T18" s="638"/>
      <c r="U18" s="638"/>
      <c r="V18" s="638"/>
      <c r="W18" s="638"/>
      <c r="X18" s="638"/>
      <c r="Y18" s="638"/>
      <c r="Z18" s="638"/>
      <c r="AA18" s="638"/>
      <c r="AB18" s="638"/>
      <c r="AC18" s="638"/>
      <c r="AD18" s="638"/>
      <c r="AE18" s="638"/>
      <c r="AF18" s="638"/>
      <c r="AG18" s="446"/>
      <c r="AH18" s="638"/>
      <c r="AI18" s="185"/>
      <c r="AJ18" s="445"/>
      <c r="AK18" s="445"/>
      <c r="AL18" s="445"/>
      <c r="AM18" s="445"/>
      <c r="AN18" s="484"/>
      <c r="AO18" s="445"/>
      <c r="AP18" s="445"/>
      <c r="AQ18" s="484">
        <f>+FL_1($U$19,$T$17,$G$18,1200,9.28, 1*$F$19)</f>
        <v>0.13093654391623036</v>
      </c>
      <c r="AR18" s="484"/>
      <c r="AS18" s="484"/>
      <c r="AT18" s="484"/>
      <c r="AU18" s="638"/>
      <c r="AV18" s="638"/>
      <c r="AW18" s="638"/>
      <c r="AX18" s="638"/>
      <c r="AY18" s="484"/>
      <c r="AZ18" s="484"/>
      <c r="BA18" s="1304"/>
      <c r="BB18" s="449"/>
      <c r="BC18" s="169"/>
      <c r="BD18" s="1330"/>
      <c r="BE18" s="1330"/>
      <c r="BF18" s="1330"/>
      <c r="BG18" s="1330"/>
    </row>
    <row r="19" spans="1:59" ht="15.75" customHeight="1">
      <c r="A19" s="449"/>
      <c r="B19" s="450" t="s">
        <v>3781</v>
      </c>
      <c r="C19" s="446">
        <f>+$C$17+$G$18</f>
        <v>83490.209999999992</v>
      </c>
      <c r="D19" s="445"/>
      <c r="E19" s="445"/>
      <c r="F19" s="447" t="s">
        <v>2312</v>
      </c>
      <c r="G19" s="484"/>
      <c r="H19" s="1239" t="s">
        <v>2139</v>
      </c>
      <c r="I19" s="1239" t="s">
        <v>624</v>
      </c>
      <c r="J19" s="446"/>
      <c r="K19" s="445"/>
      <c r="L19" s="638" t="s">
        <v>4666</v>
      </c>
      <c r="M19" s="638" t="str">
        <f>IF(AX19="PT",VLOOKUP(L19,'Foundation Calculation'!$V$2:$X$40,VLOOKUP(AX19,'Foundation Calculation'!$I$10:$J$13,2,FALSE),0),IF(AX19="K",VLOOKUP(L19,'Foundation Calculation'!$V$42:$X$80,VLOOKUP(AX19,'Foundation Calculation'!$I$10:$J$13,2,FALSE),0),""))</f>
        <v>C12R</v>
      </c>
      <c r="N19" s="445" t="s">
        <v>140</v>
      </c>
      <c r="O19" s="445" t="s">
        <v>144</v>
      </c>
      <c r="P19" s="445"/>
      <c r="Q19" s="638"/>
      <c r="R19" s="638"/>
      <c r="S19" s="484"/>
      <c r="T19" s="638">
        <v>55</v>
      </c>
      <c r="U19" s="638">
        <v>10</v>
      </c>
      <c r="V19" s="638"/>
      <c r="W19" s="638">
        <v>1.4</v>
      </c>
      <c r="X19" s="638">
        <v>1.8</v>
      </c>
      <c r="Y19" s="638"/>
      <c r="Z19" s="638">
        <v>0.4</v>
      </c>
      <c r="AA19" s="638"/>
      <c r="AB19" s="638"/>
      <c r="AC19" s="638"/>
      <c r="AD19" s="638"/>
      <c r="AE19" s="638"/>
      <c r="AF19" s="638"/>
      <c r="AG19" s="446"/>
      <c r="AH19" s="638"/>
      <c r="AI19" s="185"/>
      <c r="AJ19" s="445"/>
      <c r="AK19" s="445"/>
      <c r="AL19" s="445" t="s">
        <v>4895</v>
      </c>
      <c r="AM19" s="445"/>
      <c r="AN19" s="455">
        <v>5.15</v>
      </c>
      <c r="AO19" s="1239"/>
      <c r="AP19" s="1239"/>
      <c r="AQ19" s="484"/>
      <c r="AR19" s="484"/>
      <c r="AS19" s="484"/>
      <c r="AT19" s="484">
        <f>+ab($U$19,$T$17,$U$21,$G$18,$G$20, 1*$F$19,1200)</f>
        <v>8.5420118870543718</v>
      </c>
      <c r="AU19" s="638"/>
      <c r="AV19" s="638"/>
      <c r="AW19" s="638" t="str">
        <f>VLOOKUP(C19,'Foundation Calculation'!$A$2:$C$33,3,1)</f>
        <v>Soil A</v>
      </c>
      <c r="AX19" s="638" t="str">
        <f>VLOOKUP(C19,'Foundation Calculation'!$E$2:$G$33,3,1)</f>
        <v>PT</v>
      </c>
      <c r="AY19" s="484">
        <f>IF(AX19="PT",VLOOKUP(L19,'Foundation Calculation'!$K$2:$R$40,VLOOKUP(AW19,'Foundation Calculation'!$I$2:$J$8,2,FALSE),0),IF(AX19="K",VLOOKUP(L19,'Foundation Calculation'!$K$42:$R$80,VLOOKUP(AW19,'Foundation Calculation'!$I$2:$J$8,2,FALSE),0),""))</f>
        <v>6</v>
      </c>
      <c r="AZ19" s="484"/>
      <c r="BA19" s="671" t="s">
        <v>2809</v>
      </c>
      <c r="BB19" s="1239" t="str">
        <f>Pole_Calculations!A178</f>
        <v>App.8-V08F-P10.3</v>
      </c>
      <c r="BC19" s="169"/>
      <c r="BD19" s="1329"/>
      <c r="BE19" s="1329"/>
      <c r="BF19" s="1329"/>
      <c r="BG19" s="1329"/>
    </row>
    <row r="20" spans="1:59" ht="15.75" customHeight="1">
      <c r="A20" s="449"/>
      <c r="B20" s="435"/>
      <c r="C20" s="446"/>
      <c r="D20" s="173"/>
      <c r="E20" s="447"/>
      <c r="F20" s="447"/>
      <c r="G20" s="484">
        <v>45</v>
      </c>
      <c r="H20" s="1239"/>
      <c r="I20" s="1239"/>
      <c r="J20" s="171"/>
      <c r="K20" s="638"/>
      <c r="L20" s="638"/>
      <c r="M20" s="638"/>
      <c r="N20" s="1239"/>
      <c r="O20" s="1239"/>
      <c r="P20" s="1239"/>
      <c r="Q20" s="638"/>
      <c r="R20" s="638"/>
      <c r="S20" s="484"/>
      <c r="T20" s="638"/>
      <c r="U20" s="638"/>
      <c r="V20" s="638"/>
      <c r="W20" s="638"/>
      <c r="X20" s="638"/>
      <c r="Y20" s="638"/>
      <c r="Z20" s="638"/>
      <c r="AA20" s="638"/>
      <c r="AB20" s="638"/>
      <c r="AC20" s="638"/>
      <c r="AD20" s="638"/>
      <c r="AE20" s="638"/>
      <c r="AF20" s="638"/>
      <c r="AG20" s="446"/>
      <c r="AH20" s="638"/>
      <c r="AI20" s="638"/>
      <c r="AJ20" s="638"/>
      <c r="AK20" s="638"/>
      <c r="AL20" s="638"/>
      <c r="AM20" s="638"/>
      <c r="AN20" s="455"/>
      <c r="AO20" s="1239"/>
      <c r="AP20" s="1239"/>
      <c r="AQ20" s="484">
        <f>+FL_1($T$21,$T$19,$G$20,1200,9.28, 1*$F$21)</f>
        <v>0.56308482947170169</v>
      </c>
      <c r="AR20" s="484"/>
      <c r="AS20" s="484"/>
      <c r="AT20" s="484"/>
      <c r="AU20" s="638"/>
      <c r="AV20" s="638"/>
      <c r="AW20" s="638"/>
      <c r="AX20" s="638"/>
      <c r="AY20" s="484"/>
      <c r="AZ20" s="484"/>
      <c r="BA20" s="671"/>
      <c r="BB20" s="449"/>
      <c r="BC20" s="169"/>
      <c r="BD20" s="1330"/>
      <c r="BE20" s="1330"/>
      <c r="BF20" s="1330"/>
      <c r="BG20" s="1330"/>
    </row>
    <row r="21" spans="1:59" ht="15.75" customHeight="1">
      <c r="A21" s="449" t="s">
        <v>3806</v>
      </c>
      <c r="B21" s="485" t="s">
        <v>3782</v>
      </c>
      <c r="C21" s="446">
        <f>+$C$19+$G$20</f>
        <v>83535.209999999992</v>
      </c>
      <c r="D21" s="445"/>
      <c r="E21" s="445"/>
      <c r="F21" s="448">
        <f>-(347^2)/(C21-83525.76)</f>
        <v>-12741.693121697046</v>
      </c>
      <c r="G21" s="484"/>
      <c r="H21" s="445" t="s">
        <v>619</v>
      </c>
      <c r="I21" s="445" t="s">
        <v>1429</v>
      </c>
      <c r="J21" s="446"/>
      <c r="K21" s="445"/>
      <c r="L21" s="638" t="s">
        <v>2670</v>
      </c>
      <c r="M21" s="445"/>
      <c r="N21" s="1239" t="s">
        <v>143</v>
      </c>
      <c r="O21" s="445" t="s">
        <v>140</v>
      </c>
      <c r="P21" s="445"/>
      <c r="Q21" s="638"/>
      <c r="R21" s="638"/>
      <c r="S21" s="484"/>
      <c r="T21" s="638">
        <v>-10</v>
      </c>
      <c r="U21" s="638">
        <v>-55</v>
      </c>
      <c r="V21" s="638"/>
      <c r="W21" s="638">
        <v>1.4</v>
      </c>
      <c r="X21" s="638">
        <v>1.8</v>
      </c>
      <c r="Y21" s="638"/>
      <c r="Z21" s="638"/>
      <c r="AA21" s="638">
        <v>0.4</v>
      </c>
      <c r="AB21" s="638"/>
      <c r="AC21" s="638" t="str">
        <f>IF(OR(AT21&gt;8,AT21&lt;-8),"PH",IF(OR(AT21&gt;5,AT21&lt;-5),"PH-Q",IF(OR(AT21&gt;1,AT21&lt;-1),"PH-C")))</f>
        <v>PH</v>
      </c>
      <c r="AD21" s="638"/>
      <c r="AE21" s="638"/>
      <c r="AF21" s="638"/>
      <c r="AG21" s="446"/>
      <c r="AH21" s="638"/>
      <c r="AI21" s="185"/>
      <c r="AJ21" s="445" t="s">
        <v>2154</v>
      </c>
      <c r="AK21" s="445"/>
      <c r="AL21" s="445"/>
      <c r="AM21" s="445"/>
      <c r="AN21" s="455">
        <v>5.15</v>
      </c>
      <c r="AO21" s="1239"/>
      <c r="AP21" s="1239"/>
      <c r="AQ21" s="484"/>
      <c r="AR21" s="484"/>
      <c r="AS21" s="484"/>
      <c r="AT21" s="484">
        <f>+ab($T$21,$T$19,$T$23,$G$20,$G$22, 1*$F$21,1200)</f>
        <v>-12.254514414555155</v>
      </c>
      <c r="AU21" s="638"/>
      <c r="AV21" s="638"/>
      <c r="AW21" s="484"/>
      <c r="AX21" s="484"/>
      <c r="AY21" s="484"/>
      <c r="AZ21" s="484"/>
      <c r="BA21" s="1304"/>
      <c r="BB21" s="449"/>
      <c r="BC21" s="169"/>
      <c r="BD21" s="1330"/>
      <c r="BE21" s="1330"/>
      <c r="BF21" s="1330"/>
      <c r="BG21" s="1329"/>
    </row>
    <row r="22" spans="1:59" ht="15.75" customHeight="1">
      <c r="A22" s="449"/>
      <c r="B22" s="445"/>
      <c r="C22" s="446"/>
      <c r="D22" s="445"/>
      <c r="E22" s="445"/>
      <c r="F22" s="447"/>
      <c r="G22" s="484">
        <v>41.4</v>
      </c>
      <c r="H22" s="445"/>
      <c r="I22" s="447">
        <f>C23-C5</f>
        <v>409.59999999999127</v>
      </c>
      <c r="J22" s="446"/>
      <c r="K22" s="445"/>
      <c r="L22" s="445"/>
      <c r="M22" s="445"/>
      <c r="N22" s="445"/>
      <c r="O22" s="445"/>
      <c r="P22" s="445"/>
      <c r="Q22" s="638"/>
      <c r="R22" s="638"/>
      <c r="S22" s="484"/>
      <c r="T22" s="638"/>
      <c r="U22" s="638"/>
      <c r="V22" s="638"/>
      <c r="W22" s="638"/>
      <c r="X22" s="638"/>
      <c r="Y22" s="638"/>
      <c r="Z22" s="638"/>
      <c r="AA22" s="638"/>
      <c r="AB22" s="638"/>
      <c r="AC22" s="638"/>
      <c r="AD22" s="638"/>
      <c r="AE22" s="638"/>
      <c r="AF22" s="638"/>
      <c r="AG22" s="446"/>
      <c r="AH22" s="638"/>
      <c r="AI22" s="185"/>
      <c r="AJ22" s="445"/>
      <c r="AK22" s="445"/>
      <c r="AL22" s="445"/>
      <c r="AM22" s="445"/>
      <c r="AN22" s="484"/>
      <c r="AO22" s="445"/>
      <c r="AP22" s="445"/>
      <c r="AQ22" s="484">
        <f>+FL_2($T$23,$T$21,$G$22,1200,9.28, 1*$F$23)</f>
        <v>-0.23474769857156119</v>
      </c>
      <c r="AR22" s="484"/>
      <c r="AS22" s="484"/>
      <c r="AT22" s="484"/>
      <c r="AU22" s="638"/>
      <c r="AV22" s="638"/>
      <c r="AW22" s="445"/>
      <c r="AX22" s="638"/>
      <c r="AY22" s="484"/>
      <c r="AZ22" s="484"/>
      <c r="BA22" s="1304"/>
      <c r="BB22" s="449"/>
      <c r="BC22" s="169"/>
      <c r="BD22" s="1330"/>
      <c r="BE22" s="1330"/>
      <c r="BF22" s="1330"/>
      <c r="BG22" s="1330"/>
    </row>
    <row r="23" spans="1:59" ht="15.75" customHeight="1">
      <c r="A23" s="449"/>
      <c r="B23" s="485" t="s">
        <v>3783</v>
      </c>
      <c r="C23" s="446">
        <f>+$C$21+$G$22-0.1</f>
        <v>83576.50999999998</v>
      </c>
      <c r="D23" s="445"/>
      <c r="E23" s="445"/>
      <c r="F23" s="447">
        <v>-2404.6999999999998</v>
      </c>
      <c r="G23" s="484"/>
      <c r="H23" s="445" t="s">
        <v>138</v>
      </c>
      <c r="I23" s="445" t="s">
        <v>624</v>
      </c>
      <c r="J23" s="446"/>
      <c r="K23" s="445"/>
      <c r="L23" s="638" t="s">
        <v>2670</v>
      </c>
      <c r="M23" s="445"/>
      <c r="N23" s="445" t="s">
        <v>143</v>
      </c>
      <c r="O23" s="445"/>
      <c r="P23" s="445"/>
      <c r="Q23" s="638"/>
      <c r="R23" s="638"/>
      <c r="S23" s="484"/>
      <c r="T23" s="638">
        <v>-20</v>
      </c>
      <c r="U23" s="638"/>
      <c r="V23" s="638"/>
      <c r="W23" s="638">
        <v>1.4</v>
      </c>
      <c r="X23" s="638"/>
      <c r="Y23" s="638"/>
      <c r="Z23" s="638"/>
      <c r="AA23" s="638"/>
      <c r="AB23" s="638"/>
      <c r="AC23" s="638" t="str">
        <f>IF(OR(AT23&gt;8,AT23&lt;-8),"PH",IF(OR(AT23&gt;5,AT23&lt;-5),"PH-Q",IF(OR(AT23&gt;1,AT23&lt;-1),"PH-C")))</f>
        <v>PH</v>
      </c>
      <c r="AD23" s="638"/>
      <c r="AE23" s="638"/>
      <c r="AF23" s="638"/>
      <c r="AG23" s="446"/>
      <c r="AH23" s="638"/>
      <c r="AI23" s="185"/>
      <c r="AJ23" s="445"/>
      <c r="AK23" s="445"/>
      <c r="AL23" s="445"/>
      <c r="AM23" s="445"/>
      <c r="AN23" s="455">
        <v>5.15</v>
      </c>
      <c r="AO23" s="1239"/>
      <c r="AP23" s="1239"/>
      <c r="AQ23" s="484"/>
      <c r="AR23" s="484"/>
      <c r="AS23" s="484"/>
      <c r="AT23" s="484">
        <f>+ab($T$23,$T$21,$T$25,$G$22,$G$24, 1*$F$23,1200)</f>
        <v>-9.7605566861192159</v>
      </c>
      <c r="AU23" s="638"/>
      <c r="AV23" s="638"/>
      <c r="AW23" s="484"/>
      <c r="AX23" s="484"/>
      <c r="AY23" s="484"/>
      <c r="AZ23" s="484"/>
      <c r="BA23" s="1304"/>
      <c r="BB23" s="449"/>
      <c r="BC23" s="169"/>
      <c r="BD23" s="1330"/>
      <c r="BE23" s="1330"/>
      <c r="BF23" s="1330"/>
      <c r="BG23" s="1329"/>
    </row>
    <row r="24" spans="1:59" ht="15.75" customHeight="1">
      <c r="A24" s="449"/>
      <c r="B24" s="1278"/>
      <c r="C24" s="1274"/>
      <c r="D24" s="1279"/>
      <c r="E24" s="1275"/>
      <c r="F24" s="1275"/>
      <c r="G24" s="545">
        <v>50.2</v>
      </c>
      <c r="H24" s="496"/>
      <c r="I24" s="496"/>
      <c r="J24" s="1276">
        <f>C23+7.5</f>
        <v>83584.00999999998</v>
      </c>
      <c r="K24" s="441" t="s">
        <v>2787</v>
      </c>
      <c r="L24" s="441"/>
      <c r="M24" s="441"/>
      <c r="N24" s="496"/>
      <c r="O24" s="496"/>
      <c r="P24" s="496"/>
      <c r="Q24" s="441"/>
      <c r="R24" s="441"/>
      <c r="S24" s="545"/>
      <c r="T24" s="441"/>
      <c r="U24" s="441"/>
      <c r="V24" s="441"/>
      <c r="W24" s="441"/>
      <c r="X24" s="441"/>
      <c r="Y24" s="441"/>
      <c r="Z24" s="441"/>
      <c r="AA24" s="441"/>
      <c r="AB24" s="441"/>
      <c r="AC24" s="441"/>
      <c r="AD24" s="441"/>
      <c r="AE24" s="441"/>
      <c r="AF24" s="441"/>
      <c r="AG24" s="1274"/>
      <c r="AH24" s="441"/>
      <c r="AI24" s="441"/>
      <c r="AJ24" s="441"/>
      <c r="AK24" s="441"/>
      <c r="AL24" s="441"/>
      <c r="AM24" s="441"/>
      <c r="AN24" s="546"/>
      <c r="AO24" s="496"/>
      <c r="AP24" s="496"/>
      <c r="AQ24" s="545">
        <f>+FL_2($T$25,$T$23,$G$24,1200,9.28, 1*$F$25)</f>
        <v>-0.36815530160668147</v>
      </c>
      <c r="AR24" s="545"/>
      <c r="AS24" s="545"/>
      <c r="AT24" s="545"/>
      <c r="AU24" s="441"/>
      <c r="AV24" s="441"/>
      <c r="AW24" s="441" t="str">
        <f>VLOOKUP(J24,'Foundation Calculation'!$A$2:$C$33,3,1)</f>
        <v>Soil A</v>
      </c>
      <c r="AX24" s="441" t="str">
        <f>VLOOKUP(J24,'Foundation Calculation'!$E$2:$G$33,3,1)</f>
        <v>PT</v>
      </c>
      <c r="AY24" s="545"/>
      <c r="AZ24" s="545"/>
      <c r="BA24" s="1300"/>
      <c r="BB24" s="449"/>
      <c r="BC24" s="169"/>
      <c r="BD24" s="1329"/>
      <c r="BE24" s="1330"/>
      <c r="BF24" s="1330"/>
      <c r="BG24" s="1330"/>
    </row>
    <row r="25" spans="1:59" ht="15.75" customHeight="1">
      <c r="A25" s="449"/>
      <c r="B25" s="582" t="s">
        <v>3784</v>
      </c>
      <c r="C25" s="446">
        <f>+$C$23+$G$24</f>
        <v>83626.709999999977</v>
      </c>
      <c r="D25" s="638"/>
      <c r="E25" s="638"/>
      <c r="F25" s="447">
        <v>-2404.6999999999998</v>
      </c>
      <c r="G25" s="484"/>
      <c r="H25" s="638"/>
      <c r="I25" s="638"/>
      <c r="J25" s="446"/>
      <c r="K25" s="638"/>
      <c r="L25" s="638"/>
      <c r="M25" s="445"/>
      <c r="N25" s="445" t="s">
        <v>843</v>
      </c>
      <c r="O25" s="445"/>
      <c r="P25" s="445"/>
      <c r="Q25" s="638"/>
      <c r="R25" s="638"/>
      <c r="S25" s="484"/>
      <c r="T25" s="638">
        <v>-30</v>
      </c>
      <c r="U25" s="638"/>
      <c r="V25" s="638"/>
      <c r="W25" s="638">
        <v>1.4</v>
      </c>
      <c r="X25" s="638"/>
      <c r="Y25" s="638"/>
      <c r="Z25" s="638"/>
      <c r="AA25" s="638"/>
      <c r="AB25" s="638"/>
      <c r="AC25" s="638" t="str">
        <f>IF(OR(AT25&gt;8,AT25&lt;-8),"PH",IF(OR(AT25&gt;5,AT25&lt;-5),"PH-Q",IF(OR(AT25&gt;1,AT25&lt;-1),"PH-C")))</f>
        <v>PH</v>
      </c>
      <c r="AD25" s="638"/>
      <c r="AE25" s="638"/>
      <c r="AF25" s="638"/>
      <c r="AG25" s="446"/>
      <c r="AH25" s="638"/>
      <c r="AI25" s="185"/>
      <c r="AJ25" s="445"/>
      <c r="AK25" s="445" t="s">
        <v>139</v>
      </c>
      <c r="AL25" s="445"/>
      <c r="AM25" s="445"/>
      <c r="AN25" s="455">
        <v>5.15</v>
      </c>
      <c r="AO25" s="1239"/>
      <c r="AP25" s="1239"/>
      <c r="AQ25" s="484"/>
      <c r="AR25" s="484"/>
      <c r="AS25" s="484"/>
      <c r="AT25" s="484">
        <f>+ab($T$25,$T$23,$T$27,$G$24,$G$26, 1*$F$25,1200)</f>
        <v>-8.3396243790304592</v>
      </c>
      <c r="AU25" s="638"/>
      <c r="AV25" s="638"/>
      <c r="AW25" s="484"/>
      <c r="AX25" s="484"/>
      <c r="AY25" s="484"/>
      <c r="AZ25" s="484"/>
      <c r="BA25" s="1304"/>
      <c r="BB25" s="449"/>
      <c r="BC25" s="169"/>
      <c r="BD25" s="1330"/>
      <c r="BE25" s="1329"/>
      <c r="BF25" s="1330"/>
      <c r="BG25" s="1329"/>
    </row>
    <row r="26" spans="1:59" ht="15.75" customHeight="1">
      <c r="A26" s="647" t="s">
        <v>3049</v>
      </c>
      <c r="B26" s="705"/>
      <c r="C26" s="649"/>
      <c r="D26" s="653"/>
      <c r="E26" s="653"/>
      <c r="F26" s="648"/>
      <c r="G26" s="654">
        <v>50.1</v>
      </c>
      <c r="H26" s="653"/>
      <c r="I26" s="653"/>
      <c r="J26" s="649"/>
      <c r="K26" s="653"/>
      <c r="L26" s="653"/>
      <c r="M26" s="653"/>
      <c r="N26" s="647"/>
      <c r="O26" s="647"/>
      <c r="P26" s="653"/>
      <c r="Q26" s="653"/>
      <c r="R26" s="653"/>
      <c r="S26" s="654"/>
      <c r="T26" s="653"/>
      <c r="U26" s="653"/>
      <c r="V26" s="653"/>
      <c r="W26" s="653"/>
      <c r="X26" s="653"/>
      <c r="Y26" s="653"/>
      <c r="Z26" s="653"/>
      <c r="AA26" s="653"/>
      <c r="AB26" s="653"/>
      <c r="AC26" s="653"/>
      <c r="AD26" s="653"/>
      <c r="AE26" s="653"/>
      <c r="AF26" s="653"/>
      <c r="AG26" s="649"/>
      <c r="AH26" s="653"/>
      <c r="AI26" s="704"/>
      <c r="AJ26" s="653"/>
      <c r="AK26" s="647"/>
      <c r="AL26" s="653"/>
      <c r="AM26" s="653"/>
      <c r="AN26" s="651"/>
      <c r="AO26" s="647"/>
      <c r="AP26" s="657"/>
      <c r="AQ26" s="654">
        <f>+FL_2($T$27,$T$25,$G$26,1200,9.28, 1*$F$27)</f>
        <v>-0.41215658460222615</v>
      </c>
      <c r="AR26" s="654"/>
      <c r="AS26" s="654"/>
      <c r="AT26" s="654"/>
      <c r="AU26" s="653"/>
      <c r="AV26" s="653"/>
      <c r="AW26" s="653"/>
      <c r="AX26" s="653"/>
      <c r="AY26" s="654"/>
      <c r="AZ26" s="654"/>
      <c r="BA26" s="1316"/>
      <c r="BB26" s="647"/>
      <c r="BC26" s="169"/>
      <c r="BD26" s="1330"/>
      <c r="BE26" s="1330"/>
      <c r="BF26" s="1330"/>
      <c r="BG26" s="1330"/>
    </row>
    <row r="27" spans="1:59" ht="15.75" customHeight="1">
      <c r="A27" s="1239"/>
      <c r="B27" s="435" t="s">
        <v>3785</v>
      </c>
      <c r="C27" s="446">
        <f>+$C$25+$G$26</f>
        <v>83676.809999999983</v>
      </c>
      <c r="D27" s="638"/>
      <c r="E27" s="638"/>
      <c r="F27" s="447">
        <v>-2404.6999999999998</v>
      </c>
      <c r="G27" s="484"/>
      <c r="H27" s="638"/>
      <c r="I27" s="1239"/>
      <c r="J27" s="446"/>
      <c r="K27" s="638"/>
      <c r="L27" s="445"/>
      <c r="M27" s="445"/>
      <c r="N27" s="445" t="s">
        <v>843</v>
      </c>
      <c r="O27" s="445"/>
      <c r="P27" s="445"/>
      <c r="Q27" s="638"/>
      <c r="R27" s="638"/>
      <c r="S27" s="484"/>
      <c r="T27" s="638">
        <v>-30</v>
      </c>
      <c r="U27" s="638"/>
      <c r="V27" s="638"/>
      <c r="W27" s="638">
        <v>1.4</v>
      </c>
      <c r="X27" s="638"/>
      <c r="Y27" s="638"/>
      <c r="Z27" s="638"/>
      <c r="AA27" s="638"/>
      <c r="AB27" s="638"/>
      <c r="AC27" s="638" t="str">
        <f>IF(OR(AT27&gt;8,AT27&lt;-8),"PH",IF(OR(AT27&gt;5,AT27&lt;-5),"PH-Q",IF(OR(AT27&gt;1,AT27&lt;-1),"PH-C")))</f>
        <v>PH</v>
      </c>
      <c r="AD27" s="638"/>
      <c r="AE27" s="638"/>
      <c r="AF27" s="638"/>
      <c r="AG27" s="446"/>
      <c r="AH27" s="638"/>
      <c r="AI27" s="185"/>
      <c r="AJ27" s="638"/>
      <c r="AK27" s="638" t="s">
        <v>139</v>
      </c>
      <c r="AL27" s="638"/>
      <c r="AM27" s="445"/>
      <c r="AN27" s="455">
        <v>5.15</v>
      </c>
      <c r="AO27" s="1239"/>
      <c r="AP27" s="1239"/>
      <c r="AQ27" s="484"/>
      <c r="AR27" s="484"/>
      <c r="AS27" s="484"/>
      <c r="AT27" s="484">
        <f>+ab($T$27,$T$25,$T$29,$G$26,$G$28, 1*$F$27,1200)</f>
        <v>-8.7132547588622664</v>
      </c>
      <c r="AU27" s="638"/>
      <c r="AV27" s="638"/>
      <c r="AW27" s="484"/>
      <c r="AX27" s="484"/>
      <c r="AY27" s="484"/>
      <c r="AZ27" s="484"/>
      <c r="BA27" s="1304"/>
      <c r="BB27" s="1239"/>
      <c r="BC27" s="169"/>
      <c r="BD27" s="1330"/>
      <c r="BE27" s="1329"/>
      <c r="BF27" s="1330"/>
      <c r="BG27" s="1329"/>
    </row>
    <row r="28" spans="1:59" ht="15.75" customHeight="1">
      <c r="A28" s="1239"/>
      <c r="B28" s="173"/>
      <c r="C28" s="446"/>
      <c r="D28" s="638"/>
      <c r="E28" s="638"/>
      <c r="F28" s="447"/>
      <c r="G28" s="484">
        <v>55</v>
      </c>
      <c r="H28" s="1239"/>
      <c r="I28" s="1239"/>
      <c r="J28" s="446"/>
      <c r="K28" s="638"/>
      <c r="L28" s="638"/>
      <c r="M28" s="638"/>
      <c r="N28" s="1239"/>
      <c r="O28" s="1239"/>
      <c r="P28" s="638"/>
      <c r="Q28" s="638"/>
      <c r="R28" s="638"/>
      <c r="S28" s="484"/>
      <c r="T28" s="638"/>
      <c r="U28" s="638"/>
      <c r="V28" s="638"/>
      <c r="W28" s="638"/>
      <c r="X28" s="638"/>
      <c r="Y28" s="638"/>
      <c r="Z28" s="638"/>
      <c r="AA28" s="638"/>
      <c r="AB28" s="638"/>
      <c r="AC28" s="638"/>
      <c r="AD28" s="638"/>
      <c r="AE28" s="638"/>
      <c r="AF28" s="638"/>
      <c r="AG28" s="446"/>
      <c r="AH28" s="638"/>
      <c r="AI28" s="638"/>
      <c r="AJ28" s="638"/>
      <c r="AK28" s="638"/>
      <c r="AL28" s="638"/>
      <c r="AM28" s="638"/>
      <c r="AN28" s="455"/>
      <c r="AO28" s="1239"/>
      <c r="AP28" s="445"/>
      <c r="AQ28" s="484">
        <f>+FL_2($T$29,$T$27,$G$28,1200,9.28, 1*$F$29)</f>
        <v>-0.43516737832742236</v>
      </c>
      <c r="AR28" s="484"/>
      <c r="AS28" s="484"/>
      <c r="AT28" s="484"/>
      <c r="AU28" s="638"/>
      <c r="AV28" s="638"/>
      <c r="AW28" s="638"/>
      <c r="AX28" s="638"/>
      <c r="AY28" s="484"/>
      <c r="AZ28" s="484"/>
      <c r="BA28" s="671"/>
      <c r="BB28" s="1239"/>
      <c r="BC28" s="169"/>
      <c r="BD28" s="1330"/>
      <c r="BE28" s="1330"/>
      <c r="BF28" s="1330"/>
      <c r="BG28" s="1330"/>
    </row>
    <row r="29" spans="1:59" ht="15.75" customHeight="1">
      <c r="A29" s="1239"/>
      <c r="B29" s="435" t="s">
        <v>3786</v>
      </c>
      <c r="C29" s="446">
        <f>+$C$27+$G$28</f>
        <v>83731.809999999983</v>
      </c>
      <c r="D29" s="638"/>
      <c r="E29" s="638"/>
      <c r="F29" s="447">
        <v>-2404.6999999999998</v>
      </c>
      <c r="G29" s="484"/>
      <c r="H29" s="1239"/>
      <c r="I29" s="1239"/>
      <c r="J29" s="446"/>
      <c r="K29" s="638"/>
      <c r="L29" s="445"/>
      <c r="M29" s="445"/>
      <c r="N29" s="445" t="s">
        <v>843</v>
      </c>
      <c r="O29" s="445"/>
      <c r="P29" s="445"/>
      <c r="Q29" s="638"/>
      <c r="R29" s="638"/>
      <c r="S29" s="484"/>
      <c r="T29" s="638">
        <v>-30</v>
      </c>
      <c r="U29" s="638"/>
      <c r="V29" s="638"/>
      <c r="W29" s="638">
        <v>1.4</v>
      </c>
      <c r="X29" s="638"/>
      <c r="Y29" s="638"/>
      <c r="Z29" s="638"/>
      <c r="AA29" s="638"/>
      <c r="AB29" s="638"/>
      <c r="AC29" s="638" t="str">
        <f>IF(OR(AT29&gt;8,AT29&lt;-8),"PH",IF(OR(AT29&gt;5,AT29&lt;-5),"PH-Q",IF(OR(AT29&gt;1,AT29&lt;-1),"PH-C")))</f>
        <v>PH</v>
      </c>
      <c r="AD29" s="638"/>
      <c r="AE29" s="638"/>
      <c r="AF29" s="638"/>
      <c r="AG29" s="446"/>
      <c r="AH29" s="638"/>
      <c r="AI29" s="185"/>
      <c r="AJ29" s="638"/>
      <c r="AK29" s="638" t="s">
        <v>139</v>
      </c>
      <c r="AL29" s="638"/>
      <c r="AM29" s="445"/>
      <c r="AN29" s="455">
        <v>5.15</v>
      </c>
      <c r="AO29" s="1239"/>
      <c r="AP29" s="1239"/>
      <c r="AQ29" s="484"/>
      <c r="AR29" s="484"/>
      <c r="AS29" s="484"/>
      <c r="AT29" s="484">
        <f>+ab($T$29,$T$27,$T$31,$G$28,$G$30, 1*$F$29,1200)</f>
        <v>-8.7214255653035906</v>
      </c>
      <c r="AU29" s="638"/>
      <c r="AV29" s="638"/>
      <c r="AW29" s="484"/>
      <c r="AX29" s="484"/>
      <c r="AY29" s="484"/>
      <c r="AZ29" s="484"/>
      <c r="BA29" s="671"/>
      <c r="BB29" s="1239"/>
      <c r="BC29" s="169"/>
      <c r="BD29" s="1330"/>
      <c r="BE29" s="1329"/>
      <c r="BF29" s="1330"/>
      <c r="BG29" s="1329"/>
    </row>
    <row r="30" spans="1:59" ht="15.75" customHeight="1">
      <c r="A30" s="1239"/>
      <c r="B30" s="173"/>
      <c r="C30" s="446"/>
      <c r="D30" s="638"/>
      <c r="E30" s="638"/>
      <c r="F30" s="447"/>
      <c r="G30" s="484">
        <v>50</v>
      </c>
      <c r="H30" s="638"/>
      <c r="I30" s="1239"/>
      <c r="J30" s="446"/>
      <c r="K30" s="638"/>
      <c r="L30" s="638"/>
      <c r="M30" s="638"/>
      <c r="N30" s="1239"/>
      <c r="O30" s="1239"/>
      <c r="P30" s="638"/>
      <c r="Q30" s="638"/>
      <c r="R30" s="638"/>
      <c r="S30" s="484"/>
      <c r="T30" s="638"/>
      <c r="U30" s="638"/>
      <c r="V30" s="638"/>
      <c r="W30" s="638"/>
      <c r="X30" s="638"/>
      <c r="Y30" s="638"/>
      <c r="Z30" s="638"/>
      <c r="AA30" s="638"/>
      <c r="AB30" s="638"/>
      <c r="AC30" s="638"/>
      <c r="AD30" s="638"/>
      <c r="AE30" s="638"/>
      <c r="AF30" s="638"/>
      <c r="AG30" s="446"/>
      <c r="AH30" s="638"/>
      <c r="AI30" s="185"/>
      <c r="AJ30" s="638"/>
      <c r="AK30" s="638"/>
      <c r="AL30" s="638"/>
      <c r="AM30" s="638"/>
      <c r="AN30" s="455"/>
      <c r="AO30" s="1239"/>
      <c r="AP30" s="1239"/>
      <c r="AQ30" s="484">
        <f>+FL_2($T$31,$T$29,$G$30,1200,9.28, 1*$F$31)</f>
        <v>-0.41170931462390092</v>
      </c>
      <c r="AR30" s="484"/>
      <c r="AS30" s="484"/>
      <c r="AT30" s="484"/>
      <c r="AU30" s="638"/>
      <c r="AV30" s="638"/>
      <c r="AW30" s="638"/>
      <c r="AX30" s="638"/>
      <c r="AY30" s="484"/>
      <c r="AZ30" s="484"/>
      <c r="BA30" s="671"/>
      <c r="BB30" s="1239"/>
      <c r="BC30" s="169"/>
      <c r="BD30" s="1330"/>
      <c r="BE30" s="1330"/>
      <c r="BF30" s="1330"/>
      <c r="BG30" s="1330"/>
    </row>
    <row r="31" spans="1:59" ht="15.75" customHeight="1">
      <c r="A31" s="1239"/>
      <c r="B31" s="435" t="s">
        <v>3787</v>
      </c>
      <c r="C31" s="446">
        <f>+$C$29+$G$30</f>
        <v>83781.809999999983</v>
      </c>
      <c r="D31" s="638"/>
      <c r="E31" s="638"/>
      <c r="F31" s="447">
        <v>-2404.6999999999998</v>
      </c>
      <c r="G31" s="484"/>
      <c r="H31" s="1239"/>
      <c r="I31" s="1239"/>
      <c r="J31" s="446"/>
      <c r="K31" s="638"/>
      <c r="L31" s="445"/>
      <c r="M31" s="445"/>
      <c r="N31" s="445" t="s">
        <v>843</v>
      </c>
      <c r="O31" s="445"/>
      <c r="P31" s="445"/>
      <c r="Q31" s="638"/>
      <c r="R31" s="638"/>
      <c r="S31" s="484"/>
      <c r="T31" s="638">
        <v>-30</v>
      </c>
      <c r="U31" s="638"/>
      <c r="V31" s="638"/>
      <c r="W31" s="638">
        <v>1.2</v>
      </c>
      <c r="X31" s="638"/>
      <c r="Y31" s="638"/>
      <c r="Z31" s="638"/>
      <c r="AA31" s="638"/>
      <c r="AB31" s="638"/>
      <c r="AC31" s="638" t="str">
        <f>IF(OR(AT31&gt;8,AT31&lt;-8),"PH",IF(OR(AT31&gt;5,AT31&lt;-5),"PH-Q",IF(OR(AT31&gt;1,AT31&lt;-1),"PH-C")))</f>
        <v>PH-Q</v>
      </c>
      <c r="AD31" s="638"/>
      <c r="AE31" s="638"/>
      <c r="AF31" s="638"/>
      <c r="AG31" s="446"/>
      <c r="AH31" s="638"/>
      <c r="AI31" s="185"/>
      <c r="AJ31" s="638"/>
      <c r="AK31" s="638" t="s">
        <v>139</v>
      </c>
      <c r="AL31" s="638"/>
      <c r="AM31" s="445"/>
      <c r="AN31" s="455">
        <v>5.15</v>
      </c>
      <c r="AO31" s="1239"/>
      <c r="AP31" s="1239"/>
      <c r="AQ31" s="484"/>
      <c r="AR31" s="484"/>
      <c r="AS31" s="484"/>
      <c r="AT31" s="484">
        <f>+ab($T$31,$T$29,-$T$33,$G$30,$G$32, 1*$F$31,1200)</f>
        <v>-6.2050061335068101</v>
      </c>
      <c r="AU31" s="638"/>
      <c r="AV31" s="638"/>
      <c r="AW31" s="484"/>
      <c r="AX31" s="484"/>
      <c r="AY31" s="484"/>
      <c r="AZ31" s="484"/>
      <c r="BA31" s="671"/>
      <c r="BB31" s="1239"/>
      <c r="BC31" s="169"/>
      <c r="BD31" s="1330"/>
      <c r="BE31" s="1329"/>
      <c r="BF31" s="1330"/>
      <c r="BG31" s="1329"/>
    </row>
    <row r="32" spans="1:59" ht="15.75" customHeight="1">
      <c r="A32" s="694" t="s">
        <v>3717</v>
      </c>
      <c r="B32" s="717"/>
      <c r="C32" s="718"/>
      <c r="D32" s="721"/>
      <c r="E32" s="721"/>
      <c r="F32" s="719"/>
      <c r="G32" s="720">
        <v>51</v>
      </c>
      <c r="H32" s="721"/>
      <c r="I32" s="694"/>
      <c r="J32" s="718"/>
      <c r="K32" s="721"/>
      <c r="L32" s="721"/>
      <c r="M32" s="721"/>
      <c r="N32" s="694"/>
      <c r="O32" s="721"/>
      <c r="P32" s="721"/>
      <c r="Q32" s="721"/>
      <c r="R32" s="721"/>
      <c r="S32" s="720"/>
      <c r="T32" s="721"/>
      <c r="U32" s="721"/>
      <c r="V32" s="721"/>
      <c r="W32" s="721"/>
      <c r="X32" s="721"/>
      <c r="Y32" s="721"/>
      <c r="Z32" s="721"/>
      <c r="AA32" s="721"/>
      <c r="AB32" s="721"/>
      <c r="AC32" s="721"/>
      <c r="AD32" s="721"/>
      <c r="AE32" s="721"/>
      <c r="AF32" s="721"/>
      <c r="AG32" s="718"/>
      <c r="AH32" s="721"/>
      <c r="AI32" s="723"/>
      <c r="AJ32" s="721"/>
      <c r="AK32" s="721"/>
      <c r="AL32" s="721"/>
      <c r="AM32" s="721"/>
      <c r="AN32" s="724"/>
      <c r="AO32" s="694"/>
      <c r="AP32" s="694"/>
      <c r="AQ32" s="720">
        <f>+FL_1(-$T$33,$T$31,$G$32,1200,9.28, 1*$F$33)</f>
        <v>0.32393737048281812</v>
      </c>
      <c r="AR32" s="720"/>
      <c r="AS32" s="720"/>
      <c r="AT32" s="720"/>
      <c r="AU32" s="721"/>
      <c r="AV32" s="721"/>
      <c r="AW32" s="720"/>
      <c r="AX32" s="720"/>
      <c r="AY32" s="720"/>
      <c r="AZ32" s="720"/>
      <c r="BA32" s="726"/>
      <c r="BB32" s="694"/>
      <c r="BC32" s="169"/>
      <c r="BD32" s="1330"/>
      <c r="BE32" s="1330"/>
      <c r="BF32" s="1330"/>
      <c r="BG32" s="1330"/>
    </row>
    <row r="33" spans="1:59" ht="15.75" customHeight="1">
      <c r="A33" s="420"/>
      <c r="B33" s="725" t="s">
        <v>3788</v>
      </c>
      <c r="C33" s="416">
        <f>+$C$31+$G$32</f>
        <v>83832.809999999983</v>
      </c>
      <c r="D33" s="418"/>
      <c r="E33" s="418"/>
      <c r="F33" s="421">
        <f>-(347^2)/(C33-83805.19)</f>
        <v>-4359.4858798002806</v>
      </c>
      <c r="G33" s="422"/>
      <c r="H33" s="420"/>
      <c r="I33" s="420"/>
      <c r="J33" s="416"/>
      <c r="K33" s="417"/>
      <c r="L33" s="415" t="s">
        <v>4488</v>
      </c>
      <c r="M33" s="415" t="str">
        <f>IF(AX33="PT",VLOOKUP(L33,'Foundation Calculation'!$V$2:$X$40,VLOOKUP(AX33,'Foundation Calculation'!$I$10:$J$13,2,FALSE),0),IF(AX33="K",VLOOKUP(L33,'Foundation Calculation'!$V$42:$X$80,VLOOKUP(AX33,'Foundation Calculation'!$I$10:$J$13,2,FALSE),0),""))</f>
        <v>C11R</v>
      </c>
      <c r="N33" s="420" t="s">
        <v>143</v>
      </c>
      <c r="O33" s="420"/>
      <c r="P33" s="417"/>
      <c r="Q33" s="417"/>
      <c r="R33" s="417"/>
      <c r="S33" s="422"/>
      <c r="T33" s="417">
        <v>-20</v>
      </c>
      <c r="U33" s="417"/>
      <c r="V33" s="417"/>
      <c r="W33" s="417">
        <v>0.9</v>
      </c>
      <c r="X33" s="417"/>
      <c r="Y33" s="417"/>
      <c r="Z33" s="417"/>
      <c r="AA33" s="417"/>
      <c r="AB33" s="417"/>
      <c r="AC33" s="417" t="str">
        <f>IF(OR(AT33&gt;8,AT33&lt;-8),"PH",IF(OR(AT33&gt;5,AT33&lt;-5),"PH-Q",IF(OR(AT33&gt;1,AT33&lt;-1),"PH-C")))</f>
        <v>PH</v>
      </c>
      <c r="AD33" s="417"/>
      <c r="AE33" s="417"/>
      <c r="AF33" s="417"/>
      <c r="AG33" s="416"/>
      <c r="AH33" s="417"/>
      <c r="AI33" s="607"/>
      <c r="AJ33" s="417"/>
      <c r="AK33" s="417"/>
      <c r="AL33" s="417" t="s">
        <v>4490</v>
      </c>
      <c r="AM33" s="417" t="s">
        <v>1042</v>
      </c>
      <c r="AN33" s="444">
        <v>5.15</v>
      </c>
      <c r="AO33" s="420"/>
      <c r="AP33" s="420"/>
      <c r="AQ33" s="422"/>
      <c r="AR33" s="422"/>
      <c r="AS33" s="422"/>
      <c r="AT33" s="422">
        <f>+ab($T$39,$T$37,$T$41,$G$38,$G$40,-1*$F$39,1200)</f>
        <v>14.393286337563163</v>
      </c>
      <c r="AU33" s="417"/>
      <c r="AV33" s="417"/>
      <c r="AW33" s="422" t="str">
        <f>VLOOKUP(C33,'Foundation Calculation'!$A$2:$C$33,3,1)</f>
        <v>Soil B</v>
      </c>
      <c r="AX33" s="422" t="str">
        <f>VLOOKUP(C33,'Foundation Calculation'!$E$2:$G$33,3,1)</f>
        <v>PT</v>
      </c>
      <c r="AY33" s="1297">
        <f>IF(AX33="PT",VLOOKUP(L33,'Foundation Calculation'!$K$2:$R$40,VLOOKUP(AW33,'Foundation Calculation'!$I$2:$J$8,2,FALSE),0),IF(AX33="K",VLOOKUP(L33,'Foundation Calculation'!$K$42:$R$80,VLOOKUP(AW33,'Foundation Calculation'!$I$2:$J$8,2,FALSE),0),""))</f>
        <v>4.5999999999999996</v>
      </c>
      <c r="AZ33" s="422"/>
      <c r="BA33" s="604" t="s">
        <v>2809</v>
      </c>
      <c r="BB33" s="420" t="str">
        <f>Pole_Calculations!A178</f>
        <v>App.8-V08F-P10.3</v>
      </c>
      <c r="BC33" s="169"/>
      <c r="BD33" s="1329"/>
      <c r="BE33" s="1329"/>
      <c r="BF33" s="1329"/>
      <c r="BG33" s="1329"/>
    </row>
    <row r="34" spans="1:59" ht="15.75" customHeight="1">
      <c r="A34" s="495" t="s">
        <v>3718</v>
      </c>
      <c r="B34" s="639"/>
      <c r="C34" s="489"/>
      <c r="D34" s="491"/>
      <c r="E34" s="491"/>
      <c r="F34" s="492"/>
      <c r="G34" s="493">
        <v>57</v>
      </c>
      <c r="H34" s="490"/>
      <c r="I34" s="457"/>
      <c r="J34" s="489"/>
      <c r="K34" s="490"/>
      <c r="L34" s="490"/>
      <c r="M34" s="490"/>
      <c r="N34" s="495"/>
      <c r="O34" s="495"/>
      <c r="P34" s="490"/>
      <c r="Q34" s="490"/>
      <c r="R34" s="490"/>
      <c r="S34" s="493"/>
      <c r="T34" s="490"/>
      <c r="U34" s="490"/>
      <c r="V34" s="490"/>
      <c r="W34" s="490"/>
      <c r="X34" s="490"/>
      <c r="Y34" s="490"/>
      <c r="Z34" s="490"/>
      <c r="AA34" s="490"/>
      <c r="AB34" s="490"/>
      <c r="AC34" s="490"/>
      <c r="AD34" s="490"/>
      <c r="AE34" s="490"/>
      <c r="AF34" s="490"/>
      <c r="AG34" s="489"/>
      <c r="AH34" s="490"/>
      <c r="AI34" s="640"/>
      <c r="AJ34" s="490"/>
      <c r="AK34" s="490"/>
      <c r="AL34" s="490"/>
      <c r="AM34" s="490"/>
      <c r="AN34" s="457"/>
      <c r="AO34" s="495"/>
      <c r="AP34" s="495"/>
      <c r="AQ34" s="493">
        <f>+FL_1($T$35,-$T$33,$G$34,1200,9.28, 1*$F$35)</f>
        <v>0.51407000000000003</v>
      </c>
      <c r="AR34" s="493"/>
      <c r="AS34" s="493"/>
      <c r="AT34" s="493"/>
      <c r="AU34" s="490"/>
      <c r="AV34" s="490"/>
      <c r="AW34" s="493"/>
      <c r="AX34" s="493"/>
      <c r="AY34" s="493"/>
      <c r="AZ34" s="493"/>
      <c r="BA34" s="602"/>
      <c r="BB34" s="495"/>
      <c r="BC34" s="169"/>
      <c r="BD34" s="1330"/>
      <c r="BE34" s="1330"/>
      <c r="BF34" s="1330"/>
      <c r="BG34" s="1330"/>
    </row>
    <row r="35" spans="1:59" s="1436" customFormat="1" ht="15.75" customHeight="1">
      <c r="A35" s="1430"/>
      <c r="B35" s="1476" t="s">
        <v>3789</v>
      </c>
      <c r="C35" s="1427">
        <f>+$C$33+$G$34</f>
        <v>83889.809999999983</v>
      </c>
      <c r="D35" s="1449"/>
      <c r="E35" s="1449"/>
      <c r="F35" s="1428">
        <v>0</v>
      </c>
      <c r="G35" s="1432"/>
      <c r="H35" s="1500"/>
      <c r="I35" s="1430"/>
      <c r="J35" s="1427"/>
      <c r="K35" s="1431"/>
      <c r="L35" s="1426" t="s">
        <v>230</v>
      </c>
      <c r="M35" s="1426" t="str">
        <f>IF(AX35="PT",VLOOKUP(L35,'Foundation Calculation'!$V$2:$X$40,VLOOKUP(AX35,'Foundation Calculation'!$I$10:$J$13,2,FALSE),0),IF(AX35="K",VLOOKUP(L35,'Foundation Calculation'!$V$42:$X$80,VLOOKUP(AX35,'Foundation Calculation'!$I$10:$J$13,2,FALSE),0),""))</f>
        <v>C4R</v>
      </c>
      <c r="N35" s="1430" t="s">
        <v>144</v>
      </c>
      <c r="O35" s="1430"/>
      <c r="P35" s="1431"/>
      <c r="Q35" s="1431">
        <v>0</v>
      </c>
      <c r="R35" s="1431">
        <v>0</v>
      </c>
      <c r="S35" s="1429"/>
      <c r="T35" s="1431">
        <v>20</v>
      </c>
      <c r="U35" s="1431"/>
      <c r="V35" s="1431"/>
      <c r="W35" s="1431">
        <v>0.9</v>
      </c>
      <c r="X35" s="1431"/>
      <c r="Y35" s="1431"/>
      <c r="Z35" s="1431"/>
      <c r="AA35" s="1431"/>
      <c r="AB35" s="1431"/>
      <c r="AC35" s="1431" t="str">
        <f>IF(OR(AT35&gt;8,AT35&lt;-8),"PH",IF(OR(AT35&gt;5,AT35&lt;-5),"PH-Q",IF(OR(AT35&gt;1,AT35&lt;-1),"PH-C")))</f>
        <v>PH</v>
      </c>
      <c r="AD35" s="1431"/>
      <c r="AE35" s="1431"/>
      <c r="AF35" s="1431">
        <v>5400</v>
      </c>
      <c r="AG35" s="1427"/>
      <c r="AH35" s="1431">
        <v>1803</v>
      </c>
      <c r="AI35" s="1477">
        <v>80</v>
      </c>
      <c r="AJ35" s="1431"/>
      <c r="AK35" s="1431"/>
      <c r="AL35" s="1431"/>
      <c r="AM35" s="1426" t="s">
        <v>1042</v>
      </c>
      <c r="AN35" s="1432">
        <v>5.15</v>
      </c>
      <c r="AO35" s="1430"/>
      <c r="AP35" s="1430"/>
      <c r="AQ35" s="1429"/>
      <c r="AR35" s="1429"/>
      <c r="AS35" s="1429"/>
      <c r="AT35" s="1429">
        <f>+ab($T$35,-$T$33,$T$37,$G$34,$G$36, 1*$F$35,1200)</f>
        <v>28.556476856794902</v>
      </c>
      <c r="AU35" s="1478"/>
      <c r="AV35" s="1478"/>
      <c r="AW35" s="1429" t="str">
        <f>VLOOKUP(C35,'Foundation Calculation'!$A$2:$C$33,3,1)</f>
        <v>Soil B</v>
      </c>
      <c r="AX35" s="1429" t="str">
        <f>VLOOKUP(C35,'Foundation Calculation'!$E$2:$G$33,3,1)</f>
        <v>PT</v>
      </c>
      <c r="AY35" s="1429">
        <f>IF(AX35="PT",VLOOKUP(L35,'Foundation Calculation'!$K$2:$R$40,VLOOKUP(AW35,'Foundation Calculation'!$I$2:$J$8,2,FALSE),0),IF(AX35="K",VLOOKUP(L35,'Foundation Calculation'!$K$42:$R$80,VLOOKUP(AW35,'Foundation Calculation'!$I$2:$J$8,2,FALSE),0),""))</f>
        <v>3.5</v>
      </c>
      <c r="AZ35" s="1429"/>
      <c r="BA35" s="1431" t="s">
        <v>2809</v>
      </c>
      <c r="BB35" s="1430" t="str">
        <f>Pole_Calculations!A152</f>
        <v>App.7.1-V01-P9.5.1.1</v>
      </c>
      <c r="BC35" s="1434"/>
      <c r="BD35" s="1435"/>
      <c r="BE35" s="1435"/>
      <c r="BF35" s="1435"/>
      <c r="BG35" s="1435"/>
    </row>
    <row r="36" spans="1:59" ht="15.75" customHeight="1">
      <c r="A36" s="420"/>
      <c r="B36" s="606"/>
      <c r="C36" s="416"/>
      <c r="D36" s="418"/>
      <c r="E36" s="418"/>
      <c r="F36" s="421"/>
      <c r="G36" s="444">
        <v>65</v>
      </c>
      <c r="H36" s="417"/>
      <c r="I36" s="420"/>
      <c r="J36" s="416"/>
      <c r="K36" s="417"/>
      <c r="L36" s="417"/>
      <c r="M36" s="417"/>
      <c r="N36" s="420"/>
      <c r="O36" s="417"/>
      <c r="P36" s="417"/>
      <c r="Q36" s="417"/>
      <c r="R36" s="417"/>
      <c r="S36" s="422"/>
      <c r="T36" s="417"/>
      <c r="U36" s="417"/>
      <c r="V36" s="417"/>
      <c r="W36" s="417"/>
      <c r="X36" s="417"/>
      <c r="Y36" s="417"/>
      <c r="Z36" s="417"/>
      <c r="AA36" s="417"/>
      <c r="AB36" s="417"/>
      <c r="AC36" s="417"/>
      <c r="AD36" s="417"/>
      <c r="AE36" s="417"/>
      <c r="AF36" s="417"/>
      <c r="AG36" s="416"/>
      <c r="AH36" s="417"/>
      <c r="AI36" s="607"/>
      <c r="AJ36" s="417"/>
      <c r="AK36" s="417"/>
      <c r="AL36" s="417"/>
      <c r="AM36" s="417"/>
      <c r="AN36" s="444"/>
      <c r="AO36" s="420"/>
      <c r="AP36" s="420"/>
      <c r="AQ36" s="422">
        <f>+FL_1($T$37,$T$35,$G$36,1200,9.28, 1*$F$37)</f>
        <v>0.43290146338461521</v>
      </c>
      <c r="AR36" s="422"/>
      <c r="AS36" s="422"/>
      <c r="AT36" s="422"/>
      <c r="AU36" s="417"/>
      <c r="AV36" s="417"/>
      <c r="AW36" s="417"/>
      <c r="AX36" s="417"/>
      <c r="AY36" s="422"/>
      <c r="AZ36" s="422"/>
      <c r="BA36" s="604"/>
      <c r="BB36" s="420"/>
      <c r="BC36" s="169"/>
      <c r="BD36" s="1330"/>
      <c r="BE36" s="1330"/>
      <c r="BF36" s="1330"/>
      <c r="BG36" s="1330"/>
    </row>
    <row r="37" spans="1:59" ht="15.75" customHeight="1">
      <c r="A37" s="417"/>
      <c r="B37" s="725" t="s">
        <v>3790</v>
      </c>
      <c r="C37" s="416">
        <f>+$C$35+$G$36</f>
        <v>83954.809999999983</v>
      </c>
      <c r="D37" s="418"/>
      <c r="E37" s="418"/>
      <c r="F37" s="421">
        <v>0</v>
      </c>
      <c r="G37" s="422"/>
      <c r="H37" s="420" t="s">
        <v>873</v>
      </c>
      <c r="I37" s="420"/>
      <c r="J37" s="416"/>
      <c r="K37" s="417"/>
      <c r="L37" s="415" t="s">
        <v>4666</v>
      </c>
      <c r="M37" s="415" t="str">
        <f>IF(AX37="PT",VLOOKUP(L37,'Foundation Calculation'!$V$2:$X$40,VLOOKUP(AX37,'Foundation Calculation'!$I$10:$J$13,2,FALSE),0),IF(AX37="K",VLOOKUP(L37,'Foundation Calculation'!$V$42:$X$80,VLOOKUP(AX37,'Foundation Calculation'!$I$10:$J$13,2,FALSE),0),""))</f>
        <v>C12R</v>
      </c>
      <c r="N37" s="420" t="s">
        <v>843</v>
      </c>
      <c r="O37" s="420"/>
      <c r="P37" s="417"/>
      <c r="Q37" s="417"/>
      <c r="R37" s="417"/>
      <c r="S37" s="422"/>
      <c r="T37" s="417">
        <v>-20</v>
      </c>
      <c r="U37" s="417"/>
      <c r="V37" s="417"/>
      <c r="W37" s="417">
        <v>1.2</v>
      </c>
      <c r="X37" s="417"/>
      <c r="Y37" s="417"/>
      <c r="Z37" s="417"/>
      <c r="AA37" s="417"/>
      <c r="AB37" s="417"/>
      <c r="AC37" s="417" t="str">
        <f>IF(OR(AT37&gt;8,AT37&lt;-8),"PH",IF(OR(AT37&gt;5,AT37&lt;-5),"PH-Q",IF(OR(AT37&gt;1,AT37&lt;-1),"PH-C")))</f>
        <v>PH</v>
      </c>
      <c r="AD37" s="417"/>
      <c r="AE37" s="417"/>
      <c r="AF37" s="417"/>
      <c r="AG37" s="416"/>
      <c r="AH37" s="417"/>
      <c r="AI37" s="607"/>
      <c r="AJ37" s="417"/>
      <c r="AK37" s="417" t="s">
        <v>139</v>
      </c>
      <c r="AL37" s="417" t="s">
        <v>4490</v>
      </c>
      <c r="AM37" s="415"/>
      <c r="AN37" s="444">
        <v>5.15</v>
      </c>
      <c r="AO37" s="420"/>
      <c r="AP37" s="420"/>
      <c r="AQ37" s="422"/>
      <c r="AR37" s="422"/>
      <c r="AS37" s="422"/>
      <c r="AT37" s="422">
        <f>+ab($T$37,$T$35,$T$39,$G$36,$G$38, 1*$F$37,1200)</f>
        <v>-15.222758329848761</v>
      </c>
      <c r="AU37" s="417"/>
      <c r="AV37" s="417"/>
      <c r="AW37" s="422" t="str">
        <f>VLOOKUP(C37,'Foundation Calculation'!$A$2:$C$33,3,1)</f>
        <v>Soil B</v>
      </c>
      <c r="AX37" s="422" t="str">
        <f>VLOOKUP(C37,'Foundation Calculation'!$E$2:$G$33,3,1)</f>
        <v>PT</v>
      </c>
      <c r="AY37" s="422">
        <f>IF(AX37="PT",VLOOKUP(L37,'Foundation Calculation'!$K$2:$R$40,VLOOKUP(AW37,'Foundation Calculation'!$I$2:$J$8,2,FALSE),0),IF(AX37="K",VLOOKUP(L37,'Foundation Calculation'!$K$42:$R$80,VLOOKUP(AW37,'Foundation Calculation'!$I$2:$J$8,2,FALSE),0),""))</f>
        <v>5.6</v>
      </c>
      <c r="AZ37" s="422"/>
      <c r="BA37" s="604" t="s">
        <v>2809</v>
      </c>
      <c r="BB37" s="420" t="str">
        <f>Pole_Calculations!A178</f>
        <v>App.8-V08F-P10.3</v>
      </c>
      <c r="BC37" s="169"/>
      <c r="BD37" s="1329"/>
      <c r="BE37" s="1329"/>
      <c r="BF37" s="1329"/>
      <c r="BG37" s="1329"/>
    </row>
    <row r="38" spans="1:59" ht="15.75" customHeight="1">
      <c r="A38" s="647" t="s">
        <v>3720</v>
      </c>
      <c r="B38" s="705"/>
      <c r="C38" s="649"/>
      <c r="D38" s="648"/>
      <c r="E38" s="648"/>
      <c r="F38" s="650"/>
      <c r="G38" s="654">
        <v>65</v>
      </c>
      <c r="H38" s="653"/>
      <c r="I38" s="647"/>
      <c r="J38" s="649"/>
      <c r="K38" s="653"/>
      <c r="L38" s="653"/>
      <c r="M38" s="653"/>
      <c r="N38" s="647"/>
      <c r="O38" s="653"/>
      <c r="P38" s="653"/>
      <c r="Q38" s="653"/>
      <c r="R38" s="653"/>
      <c r="S38" s="654"/>
      <c r="T38" s="653"/>
      <c r="U38" s="653"/>
      <c r="V38" s="653"/>
      <c r="W38" s="653"/>
      <c r="X38" s="653"/>
      <c r="Y38" s="653"/>
      <c r="Z38" s="653"/>
      <c r="AA38" s="653"/>
      <c r="AB38" s="653"/>
      <c r="AC38" s="653"/>
      <c r="AD38" s="653"/>
      <c r="AE38" s="653"/>
      <c r="AF38" s="653"/>
      <c r="AG38" s="649"/>
      <c r="AH38" s="653"/>
      <c r="AI38" s="704"/>
      <c r="AJ38" s="653"/>
      <c r="AK38" s="653"/>
      <c r="AL38" s="653"/>
      <c r="AM38" s="653"/>
      <c r="AN38" s="651"/>
      <c r="AO38" s="647"/>
      <c r="AP38" s="647"/>
      <c r="AQ38" s="654">
        <f>+FL_1($T$39,$T$37,$G$38,1200,9.28, 1*$F$39)</f>
        <v>0.43290146338461533</v>
      </c>
      <c r="AR38" s="654"/>
      <c r="AS38" s="654"/>
      <c r="AT38" s="654"/>
      <c r="AU38" s="653"/>
      <c r="AV38" s="653"/>
      <c r="AW38" s="653"/>
      <c r="AX38" s="653"/>
      <c r="AY38" s="654"/>
      <c r="AZ38" s="654"/>
      <c r="BA38" s="701"/>
      <c r="BB38" s="647"/>
      <c r="BC38" s="169"/>
      <c r="BD38" s="1330"/>
      <c r="BE38" s="1330"/>
      <c r="BF38" s="1330"/>
      <c r="BG38" s="1330"/>
    </row>
    <row r="39" spans="1:59" ht="15.75" customHeight="1">
      <c r="A39" s="414"/>
      <c r="B39" s="725" t="s">
        <v>3791</v>
      </c>
      <c r="C39" s="416">
        <f>+$C$37+$G$38</f>
        <v>84019.809999999983</v>
      </c>
      <c r="D39" s="418"/>
      <c r="E39" s="418"/>
      <c r="F39" s="421">
        <v>0</v>
      </c>
      <c r="G39" s="422"/>
      <c r="H39" s="417" t="s">
        <v>873</v>
      </c>
      <c r="I39" s="433"/>
      <c r="J39" s="416"/>
      <c r="K39" s="417"/>
      <c r="L39" s="415" t="s">
        <v>4666</v>
      </c>
      <c r="M39" s="415" t="str">
        <f>IF(AX39="PT",VLOOKUP(L39,'Foundation Calculation'!$V$2:$X$40,VLOOKUP(AX39,'Foundation Calculation'!$I$10:$J$13,2,FALSE),0),IF(AX39="K",VLOOKUP(L39,'Foundation Calculation'!$V$42:$X$80,VLOOKUP(AX39,'Foundation Calculation'!$I$10:$J$13,2,FALSE),0),""))</f>
        <v>C12R</v>
      </c>
      <c r="N39" s="420" t="s">
        <v>844</v>
      </c>
      <c r="O39" s="420"/>
      <c r="P39" s="417"/>
      <c r="Q39" s="417"/>
      <c r="R39" s="417"/>
      <c r="S39" s="422"/>
      <c r="T39" s="417">
        <v>20</v>
      </c>
      <c r="U39" s="417"/>
      <c r="V39" s="417"/>
      <c r="W39" s="417">
        <v>1.4</v>
      </c>
      <c r="X39" s="417"/>
      <c r="Y39" s="417"/>
      <c r="Z39" s="417"/>
      <c r="AA39" s="417"/>
      <c r="AB39" s="417"/>
      <c r="AC39" s="417" t="str">
        <f>IF(OR(AT39&gt;8,AT39&lt;-8),"PH",IF(OR(AT39&gt;5,AT39&lt;-5),"PH-Q",IF(OR(AT39&gt;1,AT39&lt;-1),"PH-C")))</f>
        <v>PH</v>
      </c>
      <c r="AD39" s="417"/>
      <c r="AE39" s="417"/>
      <c r="AF39" s="417"/>
      <c r="AG39" s="416"/>
      <c r="AH39" s="417"/>
      <c r="AI39" s="607"/>
      <c r="AJ39" s="417"/>
      <c r="AK39" s="417" t="s">
        <v>139</v>
      </c>
      <c r="AL39" s="417" t="s">
        <v>4490</v>
      </c>
      <c r="AM39" s="415"/>
      <c r="AN39" s="444">
        <v>5.15</v>
      </c>
      <c r="AO39" s="420"/>
      <c r="AP39" s="420"/>
      <c r="AQ39" s="422"/>
      <c r="AR39" s="422"/>
      <c r="AS39" s="422"/>
      <c r="AT39" s="422">
        <f>+ab($T$39,$T$37,$T$41,$G$38,$G$40, 1*$F$39,1200)</f>
        <v>14.393286337563163</v>
      </c>
      <c r="AU39" s="417"/>
      <c r="AV39" s="417"/>
      <c r="AW39" s="422" t="str">
        <f>VLOOKUP(C39,'Foundation Calculation'!$A$2:$C$33,3,1)</f>
        <v>Soil B</v>
      </c>
      <c r="AX39" s="422" t="str">
        <f>VLOOKUP(C39,'Foundation Calculation'!$E$2:$G$33,3,1)</f>
        <v>PT</v>
      </c>
      <c r="AY39" s="422">
        <f>IF(AX39="PT",VLOOKUP(L39,'Foundation Calculation'!$K$2:$R$40,VLOOKUP(AW39,'Foundation Calculation'!$I$2:$J$8,2,FALSE),0),IF(AX39="K",VLOOKUP(L39,'Foundation Calculation'!$K$42:$R$80,VLOOKUP(AW39,'Foundation Calculation'!$I$2:$J$8,2,FALSE),0),""))</f>
        <v>5.6</v>
      </c>
      <c r="AZ39" s="422"/>
      <c r="BA39" s="604" t="s">
        <v>2809</v>
      </c>
      <c r="BB39" s="414" t="str">
        <f>Pole_Calculations!A178</f>
        <v>App.8-V08F-P10.3</v>
      </c>
      <c r="BC39" s="169"/>
      <c r="BD39" s="1329"/>
      <c r="BE39" s="1329"/>
      <c r="BF39" s="1329"/>
      <c r="BG39" s="1329"/>
    </row>
    <row r="40" spans="1:59" ht="15.75" customHeight="1">
      <c r="A40" s="420"/>
      <c r="B40" s="606"/>
      <c r="C40" s="416"/>
      <c r="D40" s="418"/>
      <c r="E40" s="418"/>
      <c r="F40" s="421"/>
      <c r="G40" s="422">
        <v>58</v>
      </c>
      <c r="H40" s="417"/>
      <c r="I40" s="421">
        <f>C41-C17</f>
        <v>625.79999999998836</v>
      </c>
      <c r="J40" s="416"/>
      <c r="K40" s="417"/>
      <c r="L40" s="417"/>
      <c r="M40" s="417"/>
      <c r="N40" s="420"/>
      <c r="O40" s="420"/>
      <c r="P40" s="417"/>
      <c r="Q40" s="417"/>
      <c r="R40" s="417"/>
      <c r="S40" s="422"/>
      <c r="T40" s="417"/>
      <c r="U40" s="417"/>
      <c r="V40" s="417"/>
      <c r="W40" s="417"/>
      <c r="X40" s="417"/>
      <c r="Y40" s="417"/>
      <c r="Z40" s="417"/>
      <c r="AA40" s="417"/>
      <c r="AB40" s="417"/>
      <c r="AC40" s="417"/>
      <c r="AD40" s="417"/>
      <c r="AE40" s="417"/>
      <c r="AF40" s="417"/>
      <c r="AG40" s="416"/>
      <c r="AH40" s="417"/>
      <c r="AI40" s="607"/>
      <c r="AJ40" s="417"/>
      <c r="AK40" s="417"/>
      <c r="AL40" s="417"/>
      <c r="AM40" s="417"/>
      <c r="AN40" s="444"/>
      <c r="AO40" s="420"/>
      <c r="AP40" s="420"/>
      <c r="AQ40" s="422">
        <f>+FL_1($T$41,$T$39,$G$40,1200,9.28, 1*$F$41)</f>
        <v>0.35593823337931035</v>
      </c>
      <c r="AR40" s="422"/>
      <c r="AS40" s="422"/>
      <c r="AT40" s="422"/>
      <c r="AU40" s="417"/>
      <c r="AV40" s="417"/>
      <c r="AW40" s="417"/>
      <c r="AX40" s="417"/>
      <c r="AY40" s="422"/>
      <c r="AZ40" s="422"/>
      <c r="BA40" s="604"/>
      <c r="BB40" s="420"/>
      <c r="BC40" s="169"/>
      <c r="BD40" s="1330"/>
      <c r="BE40" s="1330"/>
      <c r="BF40" s="1330"/>
      <c r="BG40" s="1330"/>
    </row>
    <row r="41" spans="1:59" ht="15.75" customHeight="1">
      <c r="A41" s="420"/>
      <c r="B41" s="725" t="s">
        <v>3792</v>
      </c>
      <c r="C41" s="416">
        <f>+$C$39+$G$40</f>
        <v>84077.809999999983</v>
      </c>
      <c r="D41" s="418"/>
      <c r="E41" s="418"/>
      <c r="F41" s="421">
        <v>0</v>
      </c>
      <c r="G41" s="422"/>
      <c r="H41" s="417" t="s">
        <v>4091</v>
      </c>
      <c r="I41" s="433"/>
      <c r="J41" s="416"/>
      <c r="K41" s="417"/>
      <c r="L41" s="415" t="s">
        <v>4666</v>
      </c>
      <c r="M41" s="415" t="str">
        <f>IF(AX41="PT",VLOOKUP(L41,'Foundation Calculation'!$V$2:$X$40,VLOOKUP(AX41,'Foundation Calculation'!$I$10:$J$13,2,FALSE),0),IF(AX41="K",VLOOKUP(L41,'Foundation Calculation'!$V$42:$X$80,VLOOKUP(AX41,'Foundation Calculation'!$I$10:$J$13,2,FALSE),0),""))</f>
        <v>C12R</v>
      </c>
      <c r="N41" s="420" t="s">
        <v>843</v>
      </c>
      <c r="O41" s="420"/>
      <c r="P41" s="417"/>
      <c r="Q41" s="417"/>
      <c r="R41" s="417"/>
      <c r="S41" s="422"/>
      <c r="T41" s="417">
        <v>-20</v>
      </c>
      <c r="U41" s="417"/>
      <c r="V41" s="417"/>
      <c r="W41" s="417">
        <v>1.4</v>
      </c>
      <c r="X41" s="417"/>
      <c r="Y41" s="417"/>
      <c r="Z41" s="417"/>
      <c r="AA41" s="417"/>
      <c r="AB41" s="417"/>
      <c r="AC41" s="417" t="str">
        <f>IF(OR(AT41&gt;8,AT41&lt;-8),"PH",IF(OR(AT41&gt;5,AT41&lt;-5),"PH-Q",IF(OR(AT41&gt;1,AT41&lt;-1),"PH-C")))</f>
        <v>PH</v>
      </c>
      <c r="AD41" s="417"/>
      <c r="AE41" s="417"/>
      <c r="AF41" s="417"/>
      <c r="AG41" s="416"/>
      <c r="AH41" s="417"/>
      <c r="AI41" s="607"/>
      <c r="AJ41" s="417"/>
      <c r="AK41" s="417" t="s">
        <v>139</v>
      </c>
      <c r="AL41" s="417" t="s">
        <v>4490</v>
      </c>
      <c r="AM41" s="415"/>
      <c r="AN41" s="444">
        <v>5.15</v>
      </c>
      <c r="AO41" s="420"/>
      <c r="AP41" s="420"/>
      <c r="AQ41" s="422"/>
      <c r="AR41" s="422"/>
      <c r="AS41" s="422"/>
      <c r="AT41" s="422">
        <f>+ab($T$41,$T$39,$T$43,$G$40,$G$42, 1*$F$41,1200)</f>
        <v>-13.870603305805139</v>
      </c>
      <c r="AU41" s="417"/>
      <c r="AV41" s="417"/>
      <c r="AW41" s="422" t="str">
        <f>VLOOKUP(C41,'Foundation Calculation'!$A$2:$C$33,3,1)</f>
        <v>Soil B</v>
      </c>
      <c r="AX41" s="422" t="str">
        <f>VLOOKUP(C41,'Foundation Calculation'!$E$2:$G$33,3,1)</f>
        <v>PT</v>
      </c>
      <c r="AY41" s="422">
        <f>IF(AX41="PT",VLOOKUP(L41,'Foundation Calculation'!$K$2:$R$40,VLOOKUP(AW41,'Foundation Calculation'!$I$2:$J$8,2,FALSE),0),IF(AX41="K",VLOOKUP(L41,'Foundation Calculation'!$K$42:$R$80,VLOOKUP(AW41,'Foundation Calculation'!$I$2:$J$8,2,FALSE),0),""))</f>
        <v>5.6</v>
      </c>
      <c r="AZ41" s="422"/>
      <c r="BA41" s="604" t="s">
        <v>2809</v>
      </c>
      <c r="BB41" s="420" t="str">
        <f>Pole_Calculations!A178</f>
        <v>App.8-V08F-P10.3</v>
      </c>
      <c r="BC41" s="169"/>
      <c r="BD41" s="1329"/>
      <c r="BE41" s="1329"/>
      <c r="BF41" s="1329"/>
      <c r="BG41" s="1329"/>
    </row>
    <row r="42" spans="1:59" ht="15.75" customHeight="1">
      <c r="A42" s="414" t="s">
        <v>3719</v>
      </c>
      <c r="B42" s="606"/>
      <c r="C42" s="416"/>
      <c r="D42" s="418"/>
      <c r="E42" s="418"/>
      <c r="F42" s="421"/>
      <c r="G42" s="422">
        <v>60</v>
      </c>
      <c r="H42" s="417"/>
      <c r="I42" s="418">
        <f>C67-C41</f>
        <v>634.80000000000291</v>
      </c>
      <c r="J42" s="416"/>
      <c r="K42" s="417"/>
      <c r="L42" s="417"/>
      <c r="M42" s="417"/>
      <c r="N42" s="420"/>
      <c r="O42" s="420"/>
      <c r="P42" s="417"/>
      <c r="Q42" s="417"/>
      <c r="R42" s="417"/>
      <c r="S42" s="422"/>
      <c r="T42" s="417"/>
      <c r="U42" s="417"/>
      <c r="V42" s="417"/>
      <c r="W42" s="417"/>
      <c r="X42" s="417"/>
      <c r="Y42" s="417"/>
      <c r="Z42" s="417"/>
      <c r="AA42" s="417"/>
      <c r="AB42" s="417"/>
      <c r="AC42" s="417"/>
      <c r="AD42" s="417"/>
      <c r="AE42" s="417"/>
      <c r="AF42" s="417"/>
      <c r="AG42" s="416"/>
      <c r="AH42" s="417"/>
      <c r="AI42" s="607"/>
      <c r="AJ42" s="417"/>
      <c r="AK42" s="417"/>
      <c r="AL42" s="417"/>
      <c r="AM42" s="417"/>
      <c r="AN42" s="444"/>
      <c r="AO42" s="420"/>
      <c r="AP42" s="420"/>
      <c r="AQ42" s="422">
        <f>+FL_2($T$43,$T$41,$G$42,1200,9.28, 1*$F$43)</f>
        <v>-0.4289873413006296</v>
      </c>
      <c r="AR42" s="422"/>
      <c r="AS42" s="422"/>
      <c r="AT42" s="422"/>
      <c r="AU42" s="417"/>
      <c r="AV42" s="417"/>
      <c r="AW42" s="417"/>
      <c r="AX42" s="417"/>
      <c r="AY42" s="422"/>
      <c r="AZ42" s="422"/>
      <c r="BA42" s="604"/>
      <c r="BB42" s="414"/>
      <c r="BC42" s="169"/>
      <c r="BD42" s="1330"/>
      <c r="BE42" s="1330"/>
      <c r="BF42" s="1330"/>
      <c r="BG42" s="1330"/>
    </row>
    <row r="43" spans="1:59" ht="15.75" customHeight="1">
      <c r="A43" s="414" t="s">
        <v>1854</v>
      </c>
      <c r="B43" s="578" t="s">
        <v>3793</v>
      </c>
      <c r="C43" s="432">
        <f>+$C$41+$G$42</f>
        <v>84137.809999999983</v>
      </c>
      <c r="D43" s="420"/>
      <c r="E43" s="420"/>
      <c r="F43" s="421">
        <v>8000</v>
      </c>
      <c r="G43" s="422"/>
      <c r="H43" s="417" t="s">
        <v>873</v>
      </c>
      <c r="I43" s="420"/>
      <c r="J43" s="416"/>
      <c r="K43" s="417"/>
      <c r="L43" s="415" t="s">
        <v>4666</v>
      </c>
      <c r="M43" s="415" t="str">
        <f>IF(AX43="PT",VLOOKUP(L43,'Foundation Calculation'!$V$2:$X$40,VLOOKUP(AX43,'Foundation Calculation'!$I$10:$J$13,2,FALSE),0),IF(AX43="K",VLOOKUP(L43,'Foundation Calculation'!$V$42:$X$80,VLOOKUP(AX43,'Foundation Calculation'!$I$10:$J$13,2,FALSE),0),""))</f>
        <v>C12R</v>
      </c>
      <c r="N43" s="420" t="s">
        <v>844</v>
      </c>
      <c r="O43" s="420"/>
      <c r="P43" s="417"/>
      <c r="Q43" s="417"/>
      <c r="R43" s="417"/>
      <c r="S43" s="422"/>
      <c r="T43" s="417">
        <v>20</v>
      </c>
      <c r="U43" s="417"/>
      <c r="V43" s="417"/>
      <c r="W43" s="417">
        <v>1.4</v>
      </c>
      <c r="X43" s="417"/>
      <c r="Y43" s="417"/>
      <c r="Z43" s="417"/>
      <c r="AA43" s="417"/>
      <c r="AB43" s="417"/>
      <c r="AC43" s="417" t="str">
        <f>IF(OR(AT43&gt;8,AT43&lt;-8),"PH",IF(OR(AT43&gt;5,AT43&lt;-5),"PH-Q",IF(OR(AT43&gt;1,AT43&lt;-1),"PH-C")))</f>
        <v>PH</v>
      </c>
      <c r="AD43" s="417"/>
      <c r="AE43" s="417"/>
      <c r="AF43" s="417"/>
      <c r="AG43" s="416"/>
      <c r="AH43" s="417"/>
      <c r="AI43" s="607"/>
      <c r="AJ43" s="417"/>
      <c r="AK43" s="417" t="s">
        <v>139</v>
      </c>
      <c r="AL43" s="417" t="s">
        <v>4490</v>
      </c>
      <c r="AM43" s="415"/>
      <c r="AN43" s="444">
        <v>5.15</v>
      </c>
      <c r="AO43" s="420"/>
      <c r="AP43" s="420"/>
      <c r="AQ43" s="422"/>
      <c r="AR43" s="422"/>
      <c r="AS43" s="422"/>
      <c r="AT43" s="422">
        <f>+ab($T$43,$T$41,$T$45,$G$42,$G$44, 1*$F$43,1200)</f>
        <v>8.8372251718073667</v>
      </c>
      <c r="AU43" s="417"/>
      <c r="AV43" s="417"/>
      <c r="AW43" s="422" t="str">
        <f>VLOOKUP(C43,'Foundation Calculation'!$A$2:$C$33,3,1)</f>
        <v>Soil B</v>
      </c>
      <c r="AX43" s="422" t="str">
        <f>VLOOKUP(C43,'Foundation Calculation'!$E$2:$G$33,3,1)</f>
        <v>PT</v>
      </c>
      <c r="AY43" s="422">
        <f>IF(AX43="PT",VLOOKUP(L43,'Foundation Calculation'!$K$2:$R$40,VLOOKUP(AW43,'Foundation Calculation'!$I$2:$J$8,2,FALSE),0),IF(AX43="K",VLOOKUP(L43,'Foundation Calculation'!$K$42:$R$80,VLOOKUP(AW43,'Foundation Calculation'!$I$2:$J$8,2,FALSE),0),""))</f>
        <v>5.6</v>
      </c>
      <c r="AZ43" s="422"/>
      <c r="BA43" s="604" t="s">
        <v>2809</v>
      </c>
      <c r="BB43" s="414" t="str">
        <f>Pole_Calculations!A178</f>
        <v>App.8-V08F-P10.3</v>
      </c>
      <c r="BC43" s="169"/>
      <c r="BD43" s="1329"/>
      <c r="BE43" s="1329"/>
      <c r="BF43" s="1329"/>
      <c r="BG43" s="1329"/>
    </row>
    <row r="44" spans="1:59" ht="15.75" customHeight="1">
      <c r="A44" s="420"/>
      <c r="B44" s="420"/>
      <c r="C44" s="420"/>
      <c r="D44" s="420"/>
      <c r="E44" s="420"/>
      <c r="F44" s="421"/>
      <c r="G44" s="422">
        <v>50</v>
      </c>
      <c r="H44" s="420"/>
      <c r="I44" s="420"/>
      <c r="J44" s="416"/>
      <c r="K44" s="417"/>
      <c r="L44" s="417"/>
      <c r="M44" s="417"/>
      <c r="N44" s="420"/>
      <c r="O44" s="420"/>
      <c r="P44" s="417"/>
      <c r="Q44" s="417"/>
      <c r="R44" s="417"/>
      <c r="S44" s="422"/>
      <c r="T44" s="417"/>
      <c r="U44" s="417"/>
      <c r="V44" s="417"/>
      <c r="W44" s="417"/>
      <c r="X44" s="417"/>
      <c r="Y44" s="417"/>
      <c r="Z44" s="417"/>
      <c r="AA44" s="417"/>
      <c r="AB44" s="417"/>
      <c r="AC44" s="417"/>
      <c r="AD44" s="417"/>
      <c r="AE44" s="417"/>
      <c r="AF44" s="417"/>
      <c r="AG44" s="416"/>
      <c r="AH44" s="417"/>
      <c r="AI44" s="607"/>
      <c r="AJ44" s="417"/>
      <c r="AK44" s="417"/>
      <c r="AL44" s="417"/>
      <c r="AM44" s="417"/>
      <c r="AN44" s="444"/>
      <c r="AO44" s="420"/>
      <c r="AP44" s="420"/>
      <c r="AQ44" s="422">
        <f>+FL_2($T$45,$T$43,$G$44,1200,9.28, 1*$F$45)</f>
        <v>-0.31635075109626692</v>
      </c>
      <c r="AR44" s="422"/>
      <c r="AS44" s="422"/>
      <c r="AT44" s="422"/>
      <c r="AU44" s="417"/>
      <c r="AV44" s="417"/>
      <c r="AW44" s="417"/>
      <c r="AX44" s="417"/>
      <c r="AY44" s="422"/>
      <c r="AZ44" s="422"/>
      <c r="BA44" s="604"/>
      <c r="BB44" s="420"/>
      <c r="BC44" s="169"/>
      <c r="BD44" s="1330"/>
      <c r="BE44" s="1330"/>
      <c r="BF44" s="1330"/>
      <c r="BG44" s="1330"/>
    </row>
    <row r="45" spans="1:59" ht="15.75" customHeight="1">
      <c r="A45" s="420"/>
      <c r="B45" s="686" t="s">
        <v>3794</v>
      </c>
      <c r="C45" s="416">
        <f>+$C$43+$G$44</f>
        <v>84187.809999999983</v>
      </c>
      <c r="D45" s="417"/>
      <c r="E45" s="417"/>
      <c r="F45" s="421">
        <v>8000</v>
      </c>
      <c r="G45" s="422"/>
      <c r="H45" s="417"/>
      <c r="I45" s="417"/>
      <c r="J45" s="416"/>
      <c r="K45" s="417"/>
      <c r="L45" s="415" t="s">
        <v>4488</v>
      </c>
      <c r="M45" s="415" t="str">
        <f>IF(AX45="PT",VLOOKUP(L45,'Foundation Calculation'!$V$2:$X$40,VLOOKUP(AX45,'Foundation Calculation'!$I$10:$J$13,2,FALSE),0),IF(AX45="K",VLOOKUP(L45,'Foundation Calculation'!$V$42:$X$80,VLOOKUP(AX45,'Foundation Calculation'!$I$10:$J$13,2,FALSE),0),""))</f>
        <v>C11R</v>
      </c>
      <c r="N45" s="420" t="s">
        <v>843</v>
      </c>
      <c r="O45" s="420"/>
      <c r="P45" s="417"/>
      <c r="Q45" s="417"/>
      <c r="R45" s="417"/>
      <c r="S45" s="422"/>
      <c r="T45" s="417">
        <v>-20</v>
      </c>
      <c r="U45" s="417"/>
      <c r="V45" s="417"/>
      <c r="W45" s="417">
        <v>1.2</v>
      </c>
      <c r="X45" s="417"/>
      <c r="Y45" s="417"/>
      <c r="Z45" s="417"/>
      <c r="AA45" s="417"/>
      <c r="AB45" s="417"/>
      <c r="AC45" s="417" t="str">
        <f>IF(OR(AT45&gt;8,AT45&lt;-8),"PH",IF(OR(AT45&gt;5,AT45&lt;-5),"PH-Q",IF(OR(AT45&gt;1,AT45&lt;-1),"PH-C")))</f>
        <v>PH</v>
      </c>
      <c r="AD45" s="417"/>
      <c r="AE45" s="417"/>
      <c r="AF45" s="417"/>
      <c r="AG45" s="416"/>
      <c r="AH45" s="417"/>
      <c r="AI45" s="607"/>
      <c r="AJ45" s="417"/>
      <c r="AK45" s="417" t="s">
        <v>139</v>
      </c>
      <c r="AL45" s="417" t="s">
        <v>4490</v>
      </c>
      <c r="AM45" s="415"/>
      <c r="AN45" s="444">
        <v>5.15</v>
      </c>
      <c r="AO45" s="420"/>
      <c r="AP45" s="420"/>
      <c r="AQ45" s="422"/>
      <c r="AR45" s="422"/>
      <c r="AS45" s="422"/>
      <c r="AT45" s="422">
        <f>+ab($T$45,$T$43,$T$47,$G$44,$G$46, 1*$F$45,1200)</f>
        <v>-17.387044001929713</v>
      </c>
      <c r="AU45" s="417"/>
      <c r="AV45" s="417"/>
      <c r="AW45" s="422" t="str">
        <f>VLOOKUP(C45,'Foundation Calculation'!$A$2:$C$33,3,1)</f>
        <v>Soil B</v>
      </c>
      <c r="AX45" s="422" t="str">
        <f>VLOOKUP(C45,'Foundation Calculation'!$E$2:$G$33,3,1)</f>
        <v>PT</v>
      </c>
      <c r="AY45" s="422">
        <f>IF(AX45="PT",VLOOKUP(L45,'Foundation Calculation'!$K$2:$R$40,VLOOKUP(AW45,'Foundation Calculation'!$I$2:$J$8,2,FALSE),0),IF(AX45="K",VLOOKUP(L45,'Foundation Calculation'!$K$42:$R$80,VLOOKUP(AW45,'Foundation Calculation'!$I$2:$J$8,2,FALSE),0),""))</f>
        <v>4.5999999999999996</v>
      </c>
      <c r="AZ45" s="422"/>
      <c r="BA45" s="604" t="s">
        <v>2809</v>
      </c>
      <c r="BB45" s="420" t="str">
        <f>Pole_Calculations!A178</f>
        <v>App.8-V08F-P10.3</v>
      </c>
      <c r="BC45" s="169"/>
      <c r="BD45" s="1329"/>
      <c r="BE45" s="1329"/>
      <c r="BF45" s="1329"/>
      <c r="BG45" s="1329"/>
    </row>
    <row r="46" spans="1:59" ht="15.75" customHeight="1">
      <c r="A46" s="420"/>
      <c r="B46" s="417"/>
      <c r="C46" s="417"/>
      <c r="D46" s="417"/>
      <c r="E46" s="417"/>
      <c r="F46" s="418"/>
      <c r="G46" s="422">
        <v>46</v>
      </c>
      <c r="H46" s="417"/>
      <c r="I46" s="417"/>
      <c r="J46" s="416"/>
      <c r="K46" s="417"/>
      <c r="L46" s="417"/>
      <c r="M46" s="417"/>
      <c r="N46" s="420"/>
      <c r="O46" s="420"/>
      <c r="P46" s="417"/>
      <c r="Q46" s="417"/>
      <c r="R46" s="417"/>
      <c r="S46" s="422"/>
      <c r="T46" s="417"/>
      <c r="U46" s="417"/>
      <c r="V46" s="417"/>
      <c r="W46" s="417"/>
      <c r="X46" s="417"/>
      <c r="Y46" s="417"/>
      <c r="Z46" s="417"/>
      <c r="AA46" s="417"/>
      <c r="AB46" s="417"/>
      <c r="AC46" s="417"/>
      <c r="AD46" s="417"/>
      <c r="AE46" s="417"/>
      <c r="AF46" s="417"/>
      <c r="AG46" s="416"/>
      <c r="AH46" s="417"/>
      <c r="AI46" s="607"/>
      <c r="AJ46" s="417"/>
      <c r="AK46" s="417"/>
      <c r="AL46" s="417"/>
      <c r="AM46" s="417"/>
      <c r="AN46" s="444"/>
      <c r="AO46" s="420"/>
      <c r="AP46" s="420"/>
      <c r="AQ46" s="422">
        <f>+FL_1($T$47,$T$45,$G$46,1200,9.28, 1*$F$47)</f>
        <v>0.2534352584347826</v>
      </c>
      <c r="AR46" s="422"/>
      <c r="AS46" s="422"/>
      <c r="AT46" s="422"/>
      <c r="AU46" s="417"/>
      <c r="AV46" s="417"/>
      <c r="AW46" s="417"/>
      <c r="AX46" s="417"/>
      <c r="AY46" s="422"/>
      <c r="AZ46" s="422"/>
      <c r="BA46" s="604"/>
      <c r="BB46" s="420"/>
      <c r="BC46" s="169"/>
      <c r="BD46" s="1330"/>
      <c r="BE46" s="1330"/>
      <c r="BF46" s="1330"/>
      <c r="BG46" s="1330"/>
    </row>
    <row r="47" spans="1:59" ht="15.75" customHeight="1">
      <c r="A47" s="420"/>
      <c r="B47" s="686" t="s">
        <v>3795</v>
      </c>
      <c r="C47" s="416">
        <f>+$C$45+$G$46</f>
        <v>84233.809999999983</v>
      </c>
      <c r="D47" s="417"/>
      <c r="E47" s="417"/>
      <c r="F47" s="421">
        <v>0</v>
      </c>
      <c r="G47" s="422"/>
      <c r="H47" s="417"/>
      <c r="I47" s="417"/>
      <c r="J47" s="416"/>
      <c r="K47" s="417"/>
      <c r="L47" s="415" t="s">
        <v>4488</v>
      </c>
      <c r="M47" s="415" t="str">
        <f>IF(AX47="PT",VLOOKUP(L47,'Foundation Calculation'!$V$2:$X$40,VLOOKUP(AX47,'Foundation Calculation'!$I$10:$J$13,2,FALSE),0),IF(AX47="K",VLOOKUP(L47,'Foundation Calculation'!$V$42:$X$80,VLOOKUP(AX47,'Foundation Calculation'!$I$10:$J$13,2,FALSE),0),""))</f>
        <v>C11R</v>
      </c>
      <c r="N47" s="420" t="s">
        <v>144</v>
      </c>
      <c r="O47" s="420"/>
      <c r="P47" s="417"/>
      <c r="Q47" s="417"/>
      <c r="R47" s="417"/>
      <c r="S47" s="422"/>
      <c r="T47" s="417">
        <v>20</v>
      </c>
      <c r="U47" s="417"/>
      <c r="V47" s="417"/>
      <c r="W47" s="417">
        <v>1</v>
      </c>
      <c r="X47" s="417"/>
      <c r="Y47" s="417"/>
      <c r="Z47" s="417"/>
      <c r="AA47" s="417"/>
      <c r="AB47" s="417"/>
      <c r="AC47" s="417" t="str">
        <f>IF(OR(AT47&gt;8,AT47&lt;-8),"PH",IF(OR(AT47&gt;5,AT47&lt;-5),"PH-Q",IF(OR(AT47&gt;1,AT47&lt;-1),"PH-C")))</f>
        <v>PH</v>
      </c>
      <c r="AD47" s="417"/>
      <c r="AE47" s="417"/>
      <c r="AF47" s="417"/>
      <c r="AG47" s="416"/>
      <c r="AH47" s="417"/>
      <c r="AI47" s="607"/>
      <c r="AJ47" s="417"/>
      <c r="AK47" s="417" t="s">
        <v>139</v>
      </c>
      <c r="AL47" s="417" t="s">
        <v>4490</v>
      </c>
      <c r="AM47" s="415"/>
      <c r="AN47" s="444">
        <v>5.15</v>
      </c>
      <c r="AO47" s="420"/>
      <c r="AP47" s="420"/>
      <c r="AQ47" s="422"/>
      <c r="AR47" s="422"/>
      <c r="AS47" s="422"/>
      <c r="AT47" s="422">
        <f>+ab($T$47,$T$45,$T$49,$G$46,$G$48, 1*$F$47,1200)</f>
        <v>10.900357186434954</v>
      </c>
      <c r="AU47" s="417"/>
      <c r="AV47" s="417"/>
      <c r="AW47" s="422" t="str">
        <f>VLOOKUP(C47,'Foundation Calculation'!$A$2:$C$33,3,1)</f>
        <v>Soil B</v>
      </c>
      <c r="AX47" s="422" t="str">
        <f>VLOOKUP(C47,'Foundation Calculation'!$E$2:$G$33,3,1)</f>
        <v>PT</v>
      </c>
      <c r="AY47" s="422">
        <f>IF(AX47="PT",VLOOKUP(L47,'Foundation Calculation'!$K$2:$R$40,VLOOKUP(AW47,'Foundation Calculation'!$I$2:$J$8,2,FALSE),0),IF(AX47="K",VLOOKUP(L47,'Foundation Calculation'!$K$42:$R$80,VLOOKUP(AW47,'Foundation Calculation'!$I$2:$J$8,2,FALSE),0),""))</f>
        <v>4.5999999999999996</v>
      </c>
      <c r="AZ47" s="422"/>
      <c r="BA47" s="604" t="s">
        <v>2809</v>
      </c>
      <c r="BB47" s="420" t="str">
        <f>Pole_Calculations!A178</f>
        <v>App.8-V08F-P10.3</v>
      </c>
      <c r="BC47" s="169"/>
      <c r="BD47" s="1329"/>
      <c r="BE47" s="1329"/>
      <c r="BF47" s="1329"/>
      <c r="BG47" s="1329"/>
    </row>
    <row r="48" spans="1:59" ht="15.75" customHeight="1">
      <c r="A48" s="647" t="s">
        <v>3049</v>
      </c>
      <c r="B48" s="705"/>
      <c r="C48" s="649"/>
      <c r="D48" s="648"/>
      <c r="E48" s="648"/>
      <c r="F48" s="650"/>
      <c r="G48" s="654">
        <v>46</v>
      </c>
      <c r="H48" s="653"/>
      <c r="I48" s="648"/>
      <c r="J48" s="649"/>
      <c r="K48" s="653"/>
      <c r="L48" s="653"/>
      <c r="M48" s="653"/>
      <c r="N48" s="647"/>
      <c r="O48" s="647"/>
      <c r="P48" s="653"/>
      <c r="Q48" s="653"/>
      <c r="R48" s="653"/>
      <c r="S48" s="654"/>
      <c r="T48" s="653"/>
      <c r="U48" s="653"/>
      <c r="V48" s="653"/>
      <c r="W48" s="653"/>
      <c r="X48" s="653"/>
      <c r="Y48" s="653"/>
      <c r="Z48" s="653"/>
      <c r="AA48" s="653"/>
      <c r="AB48" s="653"/>
      <c r="AC48" s="653"/>
      <c r="AD48" s="653"/>
      <c r="AE48" s="653"/>
      <c r="AF48" s="653"/>
      <c r="AG48" s="649"/>
      <c r="AH48" s="653"/>
      <c r="AI48" s="704"/>
      <c r="AJ48" s="653"/>
      <c r="AK48" s="653"/>
      <c r="AL48" s="653"/>
      <c r="AM48" s="653"/>
      <c r="AN48" s="651"/>
      <c r="AO48" s="647"/>
      <c r="AP48" s="647"/>
      <c r="AQ48" s="654">
        <f>+FL_2($T$49,$T$47,$G$48,1200,9.28, 1*$F$49)</f>
        <v>-0.2534352584347826</v>
      </c>
      <c r="AR48" s="654"/>
      <c r="AS48" s="654"/>
      <c r="AT48" s="654"/>
      <c r="AU48" s="653"/>
      <c r="AV48" s="653"/>
      <c r="AW48" s="653"/>
      <c r="AX48" s="653"/>
      <c r="AY48" s="654"/>
      <c r="AZ48" s="654"/>
      <c r="BA48" s="701"/>
      <c r="BB48" s="647"/>
      <c r="BC48" s="169"/>
      <c r="BD48" s="1330"/>
      <c r="BE48" s="1330"/>
      <c r="BF48" s="1330"/>
      <c r="BG48" s="1330"/>
    </row>
    <row r="49" spans="1:59" ht="15.75" customHeight="1">
      <c r="A49" s="420"/>
      <c r="B49" s="725" t="s">
        <v>3796</v>
      </c>
      <c r="C49" s="416">
        <f>+$C$47+$G$48</f>
        <v>84279.809999999983</v>
      </c>
      <c r="D49" s="418"/>
      <c r="E49" s="418"/>
      <c r="F49" s="421">
        <v>0</v>
      </c>
      <c r="G49" s="422"/>
      <c r="H49" s="417"/>
      <c r="I49" s="419"/>
      <c r="J49" s="416"/>
      <c r="K49" s="417"/>
      <c r="L49" s="415"/>
      <c r="M49" s="415"/>
      <c r="N49" s="420" t="s">
        <v>843</v>
      </c>
      <c r="O49" s="420"/>
      <c r="P49" s="417"/>
      <c r="Q49" s="417"/>
      <c r="R49" s="417"/>
      <c r="S49" s="422"/>
      <c r="T49" s="417">
        <v>-20</v>
      </c>
      <c r="U49" s="417"/>
      <c r="V49" s="417"/>
      <c r="W49" s="417">
        <v>0.8</v>
      </c>
      <c r="X49" s="417"/>
      <c r="Y49" s="417"/>
      <c r="Z49" s="417"/>
      <c r="AA49" s="417"/>
      <c r="AB49" s="417"/>
      <c r="AC49" s="417" t="str">
        <f>IF(OR(AT49&gt;8,AT49&lt;-8),"PH",IF(OR(AT49&gt;5,AT49&lt;-5),"PH-Q",IF(OR(AT49&gt;1,AT49&lt;-1),"PH-C")))</f>
        <v>PH</v>
      </c>
      <c r="AD49" s="417"/>
      <c r="AE49" s="417"/>
      <c r="AF49" s="417"/>
      <c r="AG49" s="416"/>
      <c r="AH49" s="417"/>
      <c r="AI49" s="607"/>
      <c r="AJ49" s="417"/>
      <c r="AK49" s="417" t="s">
        <v>139</v>
      </c>
      <c r="AL49" s="417"/>
      <c r="AM49" s="415"/>
      <c r="AN49" s="444">
        <v>5.15</v>
      </c>
      <c r="AO49" s="420"/>
      <c r="AP49" s="420"/>
      <c r="AQ49" s="422"/>
      <c r="AR49" s="422"/>
      <c r="AS49" s="422"/>
      <c r="AT49" s="422">
        <f>+ab($T$49,$T$47,$T$51,$G$48,$G$50, 1*$F$49,1200)</f>
        <v>-10.016263912779147</v>
      </c>
      <c r="AU49" s="417"/>
      <c r="AV49" s="417"/>
      <c r="AW49" s="422"/>
      <c r="AX49" s="422"/>
      <c r="AY49" s="422"/>
      <c r="AZ49" s="422"/>
      <c r="BA49" s="604"/>
      <c r="BB49" s="420"/>
      <c r="BC49" s="169"/>
      <c r="BD49" s="1330"/>
      <c r="BE49" s="1329"/>
      <c r="BF49" s="1330"/>
      <c r="BG49" s="1329"/>
    </row>
    <row r="50" spans="1:59" ht="15.75" customHeight="1">
      <c r="A50" s="694" t="s">
        <v>3717</v>
      </c>
      <c r="B50" s="717"/>
      <c r="C50" s="718"/>
      <c r="D50" s="719"/>
      <c r="E50" s="719"/>
      <c r="F50" s="722"/>
      <c r="G50" s="720">
        <v>48.7</v>
      </c>
      <c r="H50" s="721"/>
      <c r="I50" s="721"/>
      <c r="J50" s="718"/>
      <c r="K50" s="721"/>
      <c r="L50" s="721"/>
      <c r="M50" s="721"/>
      <c r="N50" s="694"/>
      <c r="O50" s="694"/>
      <c r="P50" s="721"/>
      <c r="Q50" s="721"/>
      <c r="R50" s="721"/>
      <c r="S50" s="720"/>
      <c r="T50" s="721"/>
      <c r="U50" s="721"/>
      <c r="V50" s="721"/>
      <c r="W50" s="721"/>
      <c r="X50" s="721"/>
      <c r="Y50" s="721"/>
      <c r="Z50" s="721"/>
      <c r="AA50" s="721"/>
      <c r="AB50" s="721"/>
      <c r="AC50" s="721"/>
      <c r="AD50" s="721"/>
      <c r="AE50" s="721"/>
      <c r="AF50" s="721"/>
      <c r="AG50" s="718"/>
      <c r="AH50" s="721"/>
      <c r="AI50" s="723"/>
      <c r="AJ50" s="721"/>
      <c r="AK50" s="721"/>
      <c r="AL50" s="721"/>
      <c r="AM50" s="721"/>
      <c r="AN50" s="724"/>
      <c r="AO50" s="694"/>
      <c r="AP50" s="694"/>
      <c r="AQ50" s="720">
        <f>+FL_1($T$51,$T$49,$G$50,1200,9.28, 1*$F$51)</f>
        <v>0.37499087020348587</v>
      </c>
      <c r="AR50" s="720"/>
      <c r="AS50" s="720"/>
      <c r="AT50" s="720"/>
      <c r="AU50" s="721"/>
      <c r="AV50" s="721"/>
      <c r="AW50" s="721"/>
      <c r="AX50" s="721"/>
      <c r="AY50" s="720"/>
      <c r="AZ50" s="720"/>
      <c r="BA50" s="726"/>
      <c r="BB50" s="694"/>
      <c r="BC50" s="169"/>
      <c r="BD50" s="1330"/>
      <c r="BE50" s="1330"/>
      <c r="BF50" s="1330"/>
      <c r="BG50" s="1330"/>
    </row>
    <row r="51" spans="1:59" ht="15.75" customHeight="1">
      <c r="A51" s="1239"/>
      <c r="B51" s="435" t="s">
        <v>3797</v>
      </c>
      <c r="C51" s="446">
        <f>+$C$49+$G$50</f>
        <v>84328.50999999998</v>
      </c>
      <c r="D51" s="447"/>
      <c r="E51" s="447"/>
      <c r="F51" s="448">
        <v>-8000</v>
      </c>
      <c r="G51" s="484"/>
      <c r="H51" s="638"/>
      <c r="I51" s="638"/>
      <c r="J51" s="446"/>
      <c r="K51" s="638"/>
      <c r="L51" s="445"/>
      <c r="M51" s="445"/>
      <c r="N51" s="1239" t="s">
        <v>844</v>
      </c>
      <c r="O51" s="1239"/>
      <c r="P51" s="638"/>
      <c r="Q51" s="638"/>
      <c r="R51" s="638"/>
      <c r="S51" s="484"/>
      <c r="T51" s="638">
        <v>30</v>
      </c>
      <c r="U51" s="638"/>
      <c r="V51" s="638"/>
      <c r="W51" s="638">
        <v>0.68</v>
      </c>
      <c r="X51" s="638"/>
      <c r="Y51" s="638"/>
      <c r="Z51" s="638"/>
      <c r="AA51" s="638"/>
      <c r="AB51" s="638"/>
      <c r="AC51" s="638" t="str">
        <f>IF(OR(AT51&gt;8,AT51&lt;-8),"PH",IF(OR(AT51&gt;5,AT51&lt;-5),"PH-Q",IF(OR(AT51&gt;1,AT51&lt;-1),"PH-C")))</f>
        <v>PH</v>
      </c>
      <c r="AD51" s="638"/>
      <c r="AE51" s="638"/>
      <c r="AF51" s="638"/>
      <c r="AG51" s="446"/>
      <c r="AH51" s="638"/>
      <c r="AI51" s="185"/>
      <c r="AJ51" s="638"/>
      <c r="AK51" s="638" t="s">
        <v>139</v>
      </c>
      <c r="AL51" s="638"/>
      <c r="AM51" s="445"/>
      <c r="AN51" s="455">
        <v>5.15</v>
      </c>
      <c r="AO51" s="1239"/>
      <c r="AP51" s="1239"/>
      <c r="AQ51" s="484"/>
      <c r="AR51" s="484"/>
      <c r="AS51" s="484"/>
      <c r="AT51" s="484">
        <f>+ab($T$51,$T$49,$T$53,$G$50,$G$52, 1*$F$51,1200)</f>
        <v>9.2922180536123538</v>
      </c>
      <c r="AU51" s="638"/>
      <c r="AV51" s="638"/>
      <c r="AW51" s="484"/>
      <c r="AX51" s="484"/>
      <c r="AY51" s="484"/>
      <c r="AZ51" s="484"/>
      <c r="BA51" s="671"/>
      <c r="BB51" s="1239"/>
      <c r="BC51" s="169"/>
      <c r="BD51" s="1330"/>
      <c r="BE51" s="1329"/>
      <c r="BF51" s="1330"/>
      <c r="BG51" s="1329"/>
    </row>
    <row r="52" spans="1:59" ht="15.75" customHeight="1">
      <c r="A52" s="495"/>
      <c r="B52" s="639"/>
      <c r="C52" s="489"/>
      <c r="D52" s="491"/>
      <c r="E52" s="491"/>
      <c r="F52" s="492"/>
      <c r="G52" s="493">
        <v>41.1</v>
      </c>
      <c r="H52" s="588"/>
      <c r="I52" s="490"/>
      <c r="J52" s="489"/>
      <c r="K52" s="490"/>
      <c r="L52" s="490"/>
      <c r="M52" s="490"/>
      <c r="N52" s="495"/>
      <c r="O52" s="495"/>
      <c r="P52" s="490"/>
      <c r="Q52" s="490"/>
      <c r="R52" s="490"/>
      <c r="S52" s="493"/>
      <c r="T52" s="490"/>
      <c r="U52" s="490"/>
      <c r="V52" s="490"/>
      <c r="W52" s="490"/>
      <c r="X52" s="490"/>
      <c r="Y52" s="490"/>
      <c r="Z52" s="490"/>
      <c r="AA52" s="490"/>
      <c r="AB52" s="490"/>
      <c r="AC52" s="490"/>
      <c r="AD52" s="490"/>
      <c r="AE52" s="490"/>
      <c r="AF52" s="490"/>
      <c r="AG52" s="489"/>
      <c r="AH52" s="490"/>
      <c r="AI52" s="640"/>
      <c r="AJ52" s="490"/>
      <c r="AK52" s="490"/>
      <c r="AL52" s="490"/>
      <c r="AM52" s="490"/>
      <c r="AN52" s="457"/>
      <c r="AO52" s="495"/>
      <c r="AP52" s="495"/>
      <c r="AQ52" s="493">
        <f>+FL_2($T$53,$T$51,$G$52,1200,9.28, 1*$F$53)</f>
        <v>-0.35</v>
      </c>
      <c r="AR52" s="493"/>
      <c r="AS52" s="493"/>
      <c r="AT52" s="493"/>
      <c r="AU52" s="490"/>
      <c r="AV52" s="490"/>
      <c r="AW52" s="490"/>
      <c r="AX52" s="490"/>
      <c r="AY52" s="493"/>
      <c r="AZ52" s="493"/>
      <c r="BA52" s="602"/>
      <c r="BB52" s="495"/>
      <c r="BC52" s="169"/>
      <c r="BD52" s="1330"/>
      <c r="BE52" s="1330"/>
      <c r="BF52" s="1330"/>
      <c r="BG52" s="1330"/>
    </row>
    <row r="53" spans="1:59" ht="15.75" customHeight="1">
      <c r="A53" s="495" t="s">
        <v>3721</v>
      </c>
      <c r="B53" s="711" t="s">
        <v>3798</v>
      </c>
      <c r="C53" s="489">
        <f>+$C$51+$G$52+0.1</f>
        <v>84369.709999999992</v>
      </c>
      <c r="D53" s="491"/>
      <c r="E53" s="491"/>
      <c r="F53" s="492">
        <v>-8000</v>
      </c>
      <c r="G53" s="493"/>
      <c r="H53" s="495"/>
      <c r="I53" s="495"/>
      <c r="J53" s="489"/>
      <c r="K53" s="490"/>
      <c r="L53" s="490" t="s">
        <v>234</v>
      </c>
      <c r="M53" s="490"/>
      <c r="N53" s="490" t="s">
        <v>633</v>
      </c>
      <c r="O53" s="495"/>
      <c r="P53" s="490"/>
      <c r="Q53" s="490"/>
      <c r="R53" s="490"/>
      <c r="S53" s="493"/>
      <c r="T53" s="490">
        <v>-35</v>
      </c>
      <c r="U53" s="490"/>
      <c r="V53" s="490"/>
      <c r="W53" s="490">
        <v>0.68</v>
      </c>
      <c r="X53" s="490"/>
      <c r="Y53" s="490"/>
      <c r="Z53" s="490"/>
      <c r="AA53" s="490"/>
      <c r="AB53" s="490"/>
      <c r="AC53" s="490" t="str">
        <f>IF(OR(AT53&gt;8,AT53&lt;-8),"PH",IF(OR(AT53&gt;5,AT53&lt;-5),"PH-Q",IF(OR(AT53&gt;1,AT53&lt;-1),"PH-C")))</f>
        <v>PH-Q</v>
      </c>
      <c r="AD53" s="490"/>
      <c r="AE53" s="490"/>
      <c r="AF53" s="490"/>
      <c r="AG53" s="489"/>
      <c r="AH53" s="490"/>
      <c r="AI53" s="640"/>
      <c r="AJ53" s="490"/>
      <c r="AK53" s="490"/>
      <c r="AL53" s="490"/>
      <c r="AM53" s="490" t="s">
        <v>2879</v>
      </c>
      <c r="AN53" s="457">
        <v>5.15</v>
      </c>
      <c r="AO53" s="495"/>
      <c r="AP53" s="495"/>
      <c r="AQ53" s="493"/>
      <c r="AR53" s="493"/>
      <c r="AS53" s="493"/>
      <c r="AT53" s="493">
        <f>+ab($T$53,$T$51,-$U$55,$G$52,$G$54, 1*$F$53,1200)</f>
        <v>-5.2001497968813917</v>
      </c>
      <c r="AU53" s="490"/>
      <c r="AV53" s="490"/>
      <c r="AW53" s="490"/>
      <c r="AX53" s="490"/>
      <c r="AY53" s="493"/>
      <c r="AZ53" s="493"/>
      <c r="BA53" s="602"/>
      <c r="BB53" s="495"/>
      <c r="BC53" s="169"/>
      <c r="BD53" s="1330"/>
      <c r="BE53" s="1329"/>
      <c r="BF53" s="1330"/>
      <c r="BG53" s="1329"/>
    </row>
    <row r="54" spans="1:59" ht="15.75" customHeight="1">
      <c r="A54" s="1239"/>
      <c r="B54" s="173"/>
      <c r="C54" s="446"/>
      <c r="D54" s="447"/>
      <c r="E54" s="447"/>
      <c r="F54" s="448"/>
      <c r="G54" s="484">
        <v>41</v>
      </c>
      <c r="H54" s="1239"/>
      <c r="I54" s="1239"/>
      <c r="J54" s="446"/>
      <c r="K54" s="638"/>
      <c r="L54" s="638"/>
      <c r="M54" s="638"/>
      <c r="N54" s="1239"/>
      <c r="O54" s="1239"/>
      <c r="P54" s="638"/>
      <c r="Q54" s="638"/>
      <c r="R54" s="638"/>
      <c r="S54" s="484"/>
      <c r="T54" s="638"/>
      <c r="U54" s="638"/>
      <c r="V54" s="638"/>
      <c r="W54" s="638"/>
      <c r="X54" s="638"/>
      <c r="Y54" s="638"/>
      <c r="Z54" s="638"/>
      <c r="AA54" s="638"/>
      <c r="AB54" s="638"/>
      <c r="AC54" s="638"/>
      <c r="AD54" s="638"/>
      <c r="AE54" s="638"/>
      <c r="AF54" s="638"/>
      <c r="AG54" s="446"/>
      <c r="AH54" s="638"/>
      <c r="AI54" s="185"/>
      <c r="AJ54" s="638"/>
      <c r="AK54" s="638"/>
      <c r="AL54" s="638"/>
      <c r="AM54" s="638"/>
      <c r="AN54" s="455"/>
      <c r="AO54" s="1239"/>
      <c r="AP54" s="1239"/>
      <c r="AQ54" s="484">
        <f>+FL_2(-$U$55,$T$53,$G$54,1200,9.28, 1*$F$55)</f>
        <v>-0.34999999999999992</v>
      </c>
      <c r="AR54" s="484"/>
      <c r="AS54" s="484"/>
      <c r="AT54" s="484"/>
      <c r="AU54" s="638"/>
      <c r="AV54" s="638"/>
      <c r="AW54" s="638"/>
      <c r="AX54" s="638"/>
      <c r="AY54" s="484"/>
      <c r="AZ54" s="484"/>
      <c r="BA54" s="671"/>
      <c r="BB54" s="1239"/>
      <c r="BC54" s="169"/>
      <c r="BD54" s="1330"/>
      <c r="BE54" s="1330"/>
      <c r="BF54" s="1330"/>
      <c r="BG54" s="1330"/>
    </row>
    <row r="55" spans="1:59" ht="15.75" customHeight="1">
      <c r="A55" s="1239"/>
      <c r="B55" s="435" t="s">
        <v>3799</v>
      </c>
      <c r="C55" s="446">
        <f>+$C$53+$G$54</f>
        <v>84410.709999999992</v>
      </c>
      <c r="D55" s="447"/>
      <c r="E55" s="447"/>
      <c r="F55" s="448">
        <v>0</v>
      </c>
      <c r="G55" s="484"/>
      <c r="H55" s="1239" t="s">
        <v>619</v>
      </c>
      <c r="I55" s="1239"/>
      <c r="J55" s="446"/>
      <c r="K55" s="638"/>
      <c r="L55" s="638"/>
      <c r="M55" s="638"/>
      <c r="N55" s="1239" t="s">
        <v>845</v>
      </c>
      <c r="O55" s="1239" t="s">
        <v>843</v>
      </c>
      <c r="P55" s="638"/>
      <c r="Q55" s="638"/>
      <c r="R55" s="638"/>
      <c r="S55" s="484"/>
      <c r="T55" s="638">
        <v>-45</v>
      </c>
      <c r="U55" s="638">
        <v>-30</v>
      </c>
      <c r="V55" s="638"/>
      <c r="W55" s="638">
        <v>0.68</v>
      </c>
      <c r="X55" s="638">
        <v>0.55000000000000004</v>
      </c>
      <c r="Y55" s="638"/>
      <c r="Z55" s="638">
        <v>0.3</v>
      </c>
      <c r="AA55" s="638"/>
      <c r="AB55" s="638"/>
      <c r="AC55" s="638"/>
      <c r="AD55" s="638"/>
      <c r="AE55" s="638"/>
      <c r="AF55" s="638"/>
      <c r="AG55" s="446"/>
      <c r="AH55" s="638"/>
      <c r="AI55" s="185"/>
      <c r="AJ55" s="638"/>
      <c r="AK55" s="638" t="s">
        <v>228</v>
      </c>
      <c r="AL55" s="638"/>
      <c r="AM55" s="445"/>
      <c r="AN55" s="455">
        <v>5.15</v>
      </c>
      <c r="AO55" s="1239"/>
      <c r="AP55" s="1239"/>
      <c r="AQ55" s="484"/>
      <c r="AR55" s="484"/>
      <c r="AS55" s="484"/>
      <c r="AT55" s="484">
        <f>+ab(-$U$55,$T$53,$V$57,$G$54,$G$56, 1*$F$55,1200)</f>
        <v>11.928577362915046</v>
      </c>
      <c r="AU55" s="638"/>
      <c r="AV55" s="638"/>
      <c r="AW55" s="484"/>
      <c r="AX55" s="484"/>
      <c r="AY55" s="484"/>
      <c r="AZ55" s="484"/>
      <c r="BA55" s="671"/>
      <c r="BB55" s="1239"/>
      <c r="BC55" s="169"/>
      <c r="BD55" s="1330"/>
      <c r="BE55" s="1329"/>
      <c r="BF55" s="1330"/>
      <c r="BG55" s="1329"/>
    </row>
    <row r="56" spans="1:59" ht="15.75" customHeight="1">
      <c r="A56" s="1239"/>
      <c r="B56" s="173"/>
      <c r="C56" s="446"/>
      <c r="D56" s="447"/>
      <c r="E56" s="447"/>
      <c r="F56" s="448"/>
      <c r="G56" s="484">
        <v>48.1</v>
      </c>
      <c r="H56" s="1239"/>
      <c r="I56" s="1239"/>
      <c r="J56" s="446"/>
      <c r="K56" s="638"/>
      <c r="L56" s="638"/>
      <c r="M56" s="638"/>
      <c r="N56" s="1239"/>
      <c r="O56" s="1239"/>
      <c r="P56" s="638"/>
      <c r="Q56" s="638"/>
      <c r="R56" s="638"/>
      <c r="S56" s="484"/>
      <c r="T56" s="638"/>
      <c r="U56" s="638"/>
      <c r="V56" s="638"/>
      <c r="W56" s="638"/>
      <c r="X56" s="638"/>
      <c r="Y56" s="638"/>
      <c r="Z56" s="638"/>
      <c r="AA56" s="638"/>
      <c r="AB56" s="638"/>
      <c r="AC56" s="638"/>
      <c r="AD56" s="638"/>
      <c r="AE56" s="638"/>
      <c r="AF56" s="638"/>
      <c r="AG56" s="446"/>
      <c r="AH56" s="638"/>
      <c r="AI56" s="185"/>
      <c r="AJ56" s="638"/>
      <c r="AK56" s="638"/>
      <c r="AL56" s="638"/>
      <c r="AM56" s="638"/>
      <c r="AN56" s="455"/>
      <c r="AO56" s="1239"/>
      <c r="AP56" s="1239"/>
      <c r="AQ56" s="484">
        <f>+FL_2($V$57,$U$55,$G$56,1200,9.28, 1*$F$57)</f>
        <v>-0.34165363932483828</v>
      </c>
      <c r="AR56" s="484"/>
      <c r="AS56" s="484"/>
      <c r="AT56" s="484"/>
      <c r="AU56" s="638"/>
      <c r="AV56" s="638"/>
      <c r="AW56" s="638"/>
      <c r="AX56" s="638"/>
      <c r="AY56" s="484"/>
      <c r="AZ56" s="484"/>
      <c r="BA56" s="671"/>
      <c r="BB56" s="1239"/>
      <c r="BC56" s="169"/>
      <c r="BD56" s="1330"/>
      <c r="BE56" s="1330"/>
      <c r="BF56" s="1330"/>
      <c r="BG56" s="1330"/>
    </row>
    <row r="57" spans="1:59" ht="15.75" customHeight="1">
      <c r="A57" s="1239"/>
      <c r="B57" s="435" t="s">
        <v>3800</v>
      </c>
      <c r="C57" s="446">
        <f>+$C$55+$G$56</f>
        <v>84458.81</v>
      </c>
      <c r="D57" s="447"/>
      <c r="E57" s="447"/>
      <c r="F57" s="448">
        <v>10000</v>
      </c>
      <c r="G57" s="484"/>
      <c r="H57" s="1239" t="s">
        <v>2551</v>
      </c>
      <c r="I57" s="1239"/>
      <c r="J57" s="446"/>
      <c r="K57" s="638"/>
      <c r="L57" s="638"/>
      <c r="M57" s="638"/>
      <c r="N57" s="638" t="s">
        <v>845</v>
      </c>
      <c r="O57" s="638" t="s">
        <v>845</v>
      </c>
      <c r="P57" s="638" t="s">
        <v>844</v>
      </c>
      <c r="Q57" s="638"/>
      <c r="R57" s="638"/>
      <c r="S57" s="484"/>
      <c r="T57" s="638">
        <v>45</v>
      </c>
      <c r="U57" s="638">
        <v>-45</v>
      </c>
      <c r="V57" s="638">
        <v>30</v>
      </c>
      <c r="W57" s="638">
        <v>0.8</v>
      </c>
      <c r="X57" s="638">
        <v>1</v>
      </c>
      <c r="Y57" s="638">
        <v>0.68</v>
      </c>
      <c r="Z57" s="638">
        <v>0.45</v>
      </c>
      <c r="AA57" s="638">
        <v>0.3</v>
      </c>
      <c r="AB57" s="638"/>
      <c r="AC57" s="638"/>
      <c r="AD57" s="638"/>
      <c r="AE57" s="638"/>
      <c r="AF57" s="638"/>
      <c r="AG57" s="446"/>
      <c r="AH57" s="638"/>
      <c r="AI57" s="185"/>
      <c r="AJ57" s="638"/>
      <c r="AK57" s="638" t="s">
        <v>3133</v>
      </c>
      <c r="AL57" s="638"/>
      <c r="AM57" s="445"/>
      <c r="AN57" s="455">
        <v>5.22</v>
      </c>
      <c r="AO57" s="1239"/>
      <c r="AP57" s="1239"/>
      <c r="AQ57" s="484"/>
      <c r="AR57" s="484"/>
      <c r="AS57" s="484"/>
      <c r="AT57" s="484">
        <f>+ab($V$57,$U$55,$U$59,$G$56,$G$58, 1*$F$57,1200)</f>
        <v>9.8010133096161081</v>
      </c>
      <c r="AU57" s="638"/>
      <c r="AV57" s="638"/>
      <c r="AW57" s="484"/>
      <c r="AX57" s="484"/>
      <c r="AY57" s="484"/>
      <c r="AZ57" s="484"/>
      <c r="BA57" s="671"/>
      <c r="BB57" s="1239"/>
      <c r="BC57" s="169"/>
      <c r="BD57" s="1330"/>
      <c r="BE57" s="1329"/>
      <c r="BF57" s="1330"/>
      <c r="BG57" s="1329"/>
    </row>
    <row r="58" spans="1:59" ht="15.75" customHeight="1">
      <c r="A58" s="1239"/>
      <c r="B58" s="173"/>
      <c r="C58" s="446"/>
      <c r="D58" s="447"/>
      <c r="E58" s="447"/>
      <c r="F58" s="448"/>
      <c r="G58" s="484">
        <v>50.8</v>
      </c>
      <c r="H58" s="638"/>
      <c r="I58" s="447"/>
      <c r="J58" s="446"/>
      <c r="K58" s="638"/>
      <c r="L58" s="638"/>
      <c r="M58" s="638"/>
      <c r="N58" s="1239"/>
      <c r="O58" s="1239"/>
      <c r="P58" s="638"/>
      <c r="Q58" s="638"/>
      <c r="R58" s="638"/>
      <c r="S58" s="484"/>
      <c r="T58" s="638"/>
      <c r="U58" s="638"/>
      <c r="V58" s="638"/>
      <c r="W58" s="638"/>
      <c r="X58" s="638"/>
      <c r="Y58" s="638"/>
      <c r="Z58" s="638"/>
      <c r="AA58" s="638"/>
      <c r="AB58" s="638"/>
      <c r="AC58" s="638"/>
      <c r="AD58" s="638"/>
      <c r="AE58" s="638"/>
      <c r="AF58" s="638"/>
      <c r="AG58" s="446"/>
      <c r="AH58" s="638"/>
      <c r="AI58" s="185"/>
      <c r="AJ58" s="638"/>
      <c r="AK58" s="638"/>
      <c r="AL58" s="638"/>
      <c r="AM58" s="638"/>
      <c r="AN58" s="455"/>
      <c r="AO58" s="1239"/>
      <c r="AP58" s="1239"/>
      <c r="AQ58" s="484">
        <f>+FL_1($V$59,-$V$57,$G$58,1200,9.28, 1*$F$59)</f>
        <v>0.38031471102362202</v>
      </c>
      <c r="AR58" s="484"/>
      <c r="AS58" s="484"/>
      <c r="AT58" s="484"/>
      <c r="AU58" s="638"/>
      <c r="AV58" s="638"/>
      <c r="AW58" s="638"/>
      <c r="AX58" s="638"/>
      <c r="AY58" s="484"/>
      <c r="AZ58" s="484"/>
      <c r="BA58" s="671"/>
      <c r="BB58" s="1239"/>
      <c r="BC58" s="169"/>
      <c r="BD58" s="1330"/>
      <c r="BE58" s="1330"/>
      <c r="BF58" s="1330"/>
      <c r="BG58" s="1330"/>
    </row>
    <row r="59" spans="1:59" ht="15.75" customHeight="1">
      <c r="A59" s="1239"/>
      <c r="B59" s="435" t="s">
        <v>3801</v>
      </c>
      <c r="C59" s="446">
        <f>+$C$57+$G$58</f>
        <v>84509.61</v>
      </c>
      <c r="D59" s="173"/>
      <c r="E59" s="447"/>
      <c r="F59" s="447">
        <v>0</v>
      </c>
      <c r="G59" s="484"/>
      <c r="H59" s="1239" t="s">
        <v>3134</v>
      </c>
      <c r="I59" s="1239"/>
      <c r="J59" s="171"/>
      <c r="K59" s="1239"/>
      <c r="L59" s="638"/>
      <c r="M59" s="638"/>
      <c r="N59" s="638" t="s">
        <v>845</v>
      </c>
      <c r="O59" s="1239" t="s">
        <v>843</v>
      </c>
      <c r="P59" s="1239" t="s">
        <v>844</v>
      </c>
      <c r="Q59" s="638"/>
      <c r="R59" s="638"/>
      <c r="S59" s="484"/>
      <c r="T59" s="638">
        <v>50</v>
      </c>
      <c r="U59" s="638">
        <v>20</v>
      </c>
      <c r="V59" s="638">
        <v>35</v>
      </c>
      <c r="W59" s="638">
        <v>1</v>
      </c>
      <c r="X59" s="638">
        <v>1.2</v>
      </c>
      <c r="Y59" s="638">
        <v>1.4</v>
      </c>
      <c r="Z59" s="638">
        <v>0.55000000000000004</v>
      </c>
      <c r="AA59" s="638"/>
      <c r="AB59" s="638"/>
      <c r="AC59" s="638"/>
      <c r="AD59" s="638" t="s">
        <v>1428</v>
      </c>
      <c r="AE59" s="638" t="s">
        <v>2773</v>
      </c>
      <c r="AF59" s="638"/>
      <c r="AG59" s="446"/>
      <c r="AH59" s="638"/>
      <c r="AI59" s="638"/>
      <c r="AJ59" s="638" t="s">
        <v>864</v>
      </c>
      <c r="AK59" s="638" t="s">
        <v>3133</v>
      </c>
      <c r="AL59" s="638"/>
      <c r="AM59" s="445"/>
      <c r="AN59" s="455">
        <v>5.32</v>
      </c>
      <c r="AO59" s="1239"/>
      <c r="AP59" s="1239"/>
      <c r="AQ59" s="484"/>
      <c r="AR59" s="484"/>
      <c r="AS59" s="484"/>
      <c r="AT59" s="484">
        <f>+ab(-$V$59,$V$57,$T$61,$G$58,$G$60, 1*$F$59,1200)</f>
        <v>-11.971468044272468</v>
      </c>
      <c r="AU59" s="638"/>
      <c r="AV59" s="638"/>
      <c r="AW59" s="484"/>
      <c r="AX59" s="484"/>
      <c r="AY59" s="484"/>
      <c r="AZ59" s="484"/>
      <c r="BA59" s="671"/>
      <c r="BB59" s="1239"/>
      <c r="BC59" s="169"/>
      <c r="BD59" s="1330"/>
      <c r="BE59" s="1329"/>
      <c r="BF59" s="1330"/>
      <c r="BG59" s="1329"/>
    </row>
    <row r="60" spans="1:59" ht="15.75" customHeight="1">
      <c r="A60" s="1239"/>
      <c r="B60" s="173"/>
      <c r="C60" s="446"/>
      <c r="D60" s="173"/>
      <c r="E60" s="447"/>
      <c r="F60" s="447"/>
      <c r="G60" s="484">
        <v>50</v>
      </c>
      <c r="H60" s="638"/>
      <c r="I60" s="447"/>
      <c r="J60" s="171"/>
      <c r="K60" s="638"/>
      <c r="L60" s="638"/>
      <c r="M60" s="638"/>
      <c r="N60" s="1239"/>
      <c r="O60" s="1239"/>
      <c r="P60" s="1239"/>
      <c r="Q60" s="638"/>
      <c r="R60" s="638"/>
      <c r="S60" s="484"/>
      <c r="T60" s="638"/>
      <c r="U60" s="638"/>
      <c r="V60" s="638"/>
      <c r="W60" s="638"/>
      <c r="X60" s="638"/>
      <c r="Y60" s="638"/>
      <c r="Z60" s="638"/>
      <c r="AA60" s="638"/>
      <c r="AB60" s="638"/>
      <c r="AC60" s="638"/>
      <c r="AD60" s="638"/>
      <c r="AE60" s="638"/>
      <c r="AF60" s="638"/>
      <c r="AG60" s="446"/>
      <c r="AH60" s="638"/>
      <c r="AI60" s="638"/>
      <c r="AJ60" s="185"/>
      <c r="AK60" s="185"/>
      <c r="AL60" s="638"/>
      <c r="AM60" s="638"/>
      <c r="AN60" s="455"/>
      <c r="AO60" s="1239"/>
      <c r="AP60" s="1239"/>
      <c r="AQ60" s="484">
        <f>+FL_1($U$61,$V$59,$G$60,1200,9.28, 1*$F$61)</f>
        <v>0.36839080000000002</v>
      </c>
      <c r="AR60" s="484"/>
      <c r="AS60" s="484"/>
      <c r="AT60" s="484"/>
      <c r="AU60" s="638"/>
      <c r="AV60" s="638"/>
      <c r="AW60" s="638"/>
      <c r="AX60" s="638"/>
      <c r="AY60" s="484"/>
      <c r="AZ60" s="484"/>
      <c r="BA60" s="671"/>
      <c r="BB60" s="1239"/>
      <c r="BC60" s="169"/>
      <c r="BD60" s="1330"/>
      <c r="BE60" s="1330"/>
      <c r="BF60" s="1330"/>
      <c r="BG60" s="1330"/>
    </row>
    <row r="61" spans="1:59" ht="15.75" customHeight="1">
      <c r="A61" s="1239"/>
      <c r="B61" s="435" t="s">
        <v>3802</v>
      </c>
      <c r="C61" s="446">
        <f>+$C$59+$G$60</f>
        <v>84559.61</v>
      </c>
      <c r="D61" s="173"/>
      <c r="E61" s="447"/>
      <c r="F61" s="447">
        <v>0</v>
      </c>
      <c r="G61" s="484"/>
      <c r="H61" s="1239" t="s">
        <v>2505</v>
      </c>
      <c r="I61" s="1239"/>
      <c r="J61" s="171"/>
      <c r="K61" s="638"/>
      <c r="L61" s="638"/>
      <c r="M61" s="638"/>
      <c r="N61" s="1239" t="s">
        <v>844</v>
      </c>
      <c r="O61" s="1239" t="s">
        <v>843</v>
      </c>
      <c r="P61" s="638"/>
      <c r="Q61" s="638"/>
      <c r="R61" s="638"/>
      <c r="S61" s="484"/>
      <c r="T61" s="638">
        <v>-20</v>
      </c>
      <c r="U61" s="638">
        <v>-35</v>
      </c>
      <c r="V61" s="638"/>
      <c r="W61" s="638">
        <v>1.4</v>
      </c>
      <c r="X61" s="638">
        <v>1.8</v>
      </c>
      <c r="Y61" s="638"/>
      <c r="Z61" s="638"/>
      <c r="AA61" s="638"/>
      <c r="AB61" s="638"/>
      <c r="AC61" s="638" t="s">
        <v>2773</v>
      </c>
      <c r="AD61" s="638" t="s">
        <v>1428</v>
      </c>
      <c r="AE61" s="638"/>
      <c r="AF61" s="638"/>
      <c r="AG61" s="446"/>
      <c r="AH61" s="638"/>
      <c r="AI61" s="185"/>
      <c r="AJ61" s="638" t="s">
        <v>864</v>
      </c>
      <c r="AK61" s="638" t="s">
        <v>228</v>
      </c>
      <c r="AL61" s="638"/>
      <c r="AM61" s="445"/>
      <c r="AN61" s="455">
        <v>5.42</v>
      </c>
      <c r="AO61" s="1239"/>
      <c r="AP61" s="1239"/>
      <c r="AQ61" s="484"/>
      <c r="AR61" s="484"/>
      <c r="AS61" s="484"/>
      <c r="AT61" s="484">
        <f>+ab($U$61,$V$59,-$T$63,$G$60,$G$62, 1*$F$61,1200)</f>
        <v>-6.9856550838046356</v>
      </c>
      <c r="AU61" s="638"/>
      <c r="AV61" s="638"/>
      <c r="AW61" s="484"/>
      <c r="AX61" s="484"/>
      <c r="AY61" s="484"/>
      <c r="AZ61" s="484"/>
      <c r="BA61" s="671"/>
      <c r="BB61" s="1239"/>
      <c r="BC61" s="169"/>
      <c r="BD61" s="1330"/>
      <c r="BE61" s="1329"/>
      <c r="BF61" s="1330"/>
      <c r="BG61" s="1329"/>
    </row>
    <row r="62" spans="1:59" ht="15.75" customHeight="1">
      <c r="A62" s="1239"/>
      <c r="B62" s="173"/>
      <c r="C62" s="446"/>
      <c r="D62" s="173"/>
      <c r="E62" s="447"/>
      <c r="F62" s="447"/>
      <c r="G62" s="484">
        <v>52.5</v>
      </c>
      <c r="H62" s="638"/>
      <c r="I62" s="638"/>
      <c r="J62" s="446"/>
      <c r="K62" s="638"/>
      <c r="L62" s="638"/>
      <c r="M62" s="638"/>
      <c r="N62" s="1239"/>
      <c r="O62" s="1239"/>
      <c r="P62" s="1239"/>
      <c r="Q62" s="638"/>
      <c r="R62" s="638"/>
      <c r="S62" s="484"/>
      <c r="T62" s="638"/>
      <c r="U62" s="638"/>
      <c r="V62" s="638"/>
      <c r="W62" s="638"/>
      <c r="X62" s="638"/>
      <c r="Y62" s="638"/>
      <c r="Z62" s="638"/>
      <c r="AA62" s="638"/>
      <c r="AB62" s="638"/>
      <c r="AC62" s="638"/>
      <c r="AD62" s="638"/>
      <c r="AE62" s="638"/>
      <c r="AF62" s="638"/>
      <c r="AG62" s="446"/>
      <c r="AH62" s="638"/>
      <c r="AI62" s="638"/>
      <c r="AJ62" s="185"/>
      <c r="AK62" s="185"/>
      <c r="AL62" s="638"/>
      <c r="AM62" s="638"/>
      <c r="AN62" s="455"/>
      <c r="AO62" s="1239"/>
      <c r="AP62" s="1239"/>
      <c r="AQ62" s="484">
        <f>+FL_2(-$T$63,$U$61,$G$62,1200,9.28, 1*$F$63)</f>
        <v>-0.38138002799999993</v>
      </c>
      <c r="AR62" s="484"/>
      <c r="AS62" s="484"/>
      <c r="AT62" s="484"/>
      <c r="AU62" s="638"/>
      <c r="AV62" s="638"/>
      <c r="AW62" s="638"/>
      <c r="AX62" s="638"/>
      <c r="AY62" s="484"/>
      <c r="AZ62" s="484"/>
      <c r="BA62" s="671"/>
      <c r="BB62" s="1239"/>
      <c r="BC62" s="169"/>
      <c r="BD62" s="1330"/>
      <c r="BE62" s="1330"/>
      <c r="BF62" s="1330"/>
      <c r="BG62" s="1330"/>
    </row>
    <row r="63" spans="1:59" ht="15.75" customHeight="1">
      <c r="A63" s="1239"/>
      <c r="B63" s="435" t="s">
        <v>3803</v>
      </c>
      <c r="C63" s="446">
        <f>+$C$61+$G$62</f>
        <v>84612.11</v>
      </c>
      <c r="D63" s="173"/>
      <c r="E63" s="447"/>
      <c r="F63" s="447">
        <v>0</v>
      </c>
      <c r="G63" s="484"/>
      <c r="H63" s="638"/>
      <c r="I63" s="638"/>
      <c r="J63" s="446"/>
      <c r="K63" s="638"/>
      <c r="L63" s="638"/>
      <c r="M63" s="638"/>
      <c r="N63" s="1239" t="s">
        <v>843</v>
      </c>
      <c r="O63" s="1239"/>
      <c r="P63" s="1239"/>
      <c r="Q63" s="638"/>
      <c r="R63" s="638"/>
      <c r="S63" s="484"/>
      <c r="T63" s="638">
        <v>-35</v>
      </c>
      <c r="U63" s="638"/>
      <c r="V63" s="638"/>
      <c r="W63" s="638">
        <v>1.4</v>
      </c>
      <c r="X63" s="638"/>
      <c r="Y63" s="638"/>
      <c r="Z63" s="638"/>
      <c r="AA63" s="638"/>
      <c r="AB63" s="638"/>
      <c r="AC63" s="638" t="str">
        <f>IF(OR(AT63&gt;8,AT63&lt;-8),"PH",IF(OR(AT63&gt;5,AT63&lt;-5),"PH-Q",IF(OR(AT63&gt;1,AT63&lt;-1),"PH-C")))</f>
        <v>PH</v>
      </c>
      <c r="AD63" s="638"/>
      <c r="AE63" s="638"/>
      <c r="AF63" s="638"/>
      <c r="AG63" s="446"/>
      <c r="AH63" s="638"/>
      <c r="AI63" s="638"/>
      <c r="AJ63" s="185"/>
      <c r="AK63" s="185" t="s">
        <v>139</v>
      </c>
      <c r="AL63" s="638"/>
      <c r="AM63" s="445"/>
      <c r="AN63" s="455">
        <v>5.5</v>
      </c>
      <c r="AO63" s="1239"/>
      <c r="AP63" s="1239"/>
      <c r="AQ63" s="484"/>
      <c r="AR63" s="484"/>
      <c r="AS63" s="484"/>
      <c r="AT63" s="484">
        <f>+ab(-$T$63,$U$61,$T$65,$G$62,$G$64, 1*$F$63,1200)</f>
        <v>14.100178020396985</v>
      </c>
      <c r="AU63" s="638"/>
      <c r="AV63" s="638"/>
      <c r="AW63" s="484"/>
      <c r="AX63" s="484"/>
      <c r="AY63" s="484"/>
      <c r="AZ63" s="484"/>
      <c r="BA63" s="671"/>
      <c r="BB63" s="1239"/>
      <c r="BC63" s="169"/>
      <c r="BD63" s="1330"/>
      <c r="BE63" s="1329"/>
      <c r="BF63" s="1330"/>
      <c r="BG63" s="1329"/>
    </row>
    <row r="64" spans="1:59" ht="15.75" customHeight="1">
      <c r="A64" s="1239"/>
      <c r="B64" s="173"/>
      <c r="C64" s="446"/>
      <c r="D64" s="173"/>
      <c r="E64" s="447"/>
      <c r="F64" s="447"/>
      <c r="G64" s="484">
        <v>48</v>
      </c>
      <c r="H64" s="638"/>
      <c r="I64" s="638"/>
      <c r="J64" s="446"/>
      <c r="K64" s="638"/>
      <c r="L64" s="638"/>
      <c r="M64" s="638"/>
      <c r="N64" s="1239"/>
      <c r="O64" s="1239"/>
      <c r="P64" s="1239"/>
      <c r="Q64" s="638"/>
      <c r="R64" s="638"/>
      <c r="S64" s="484"/>
      <c r="T64" s="638"/>
      <c r="U64" s="638"/>
      <c r="V64" s="638"/>
      <c r="W64" s="638"/>
      <c r="X64" s="638"/>
      <c r="Y64" s="638"/>
      <c r="Z64" s="638"/>
      <c r="AA64" s="638"/>
      <c r="AB64" s="638"/>
      <c r="AC64" s="638"/>
      <c r="AD64" s="638"/>
      <c r="AE64" s="638"/>
      <c r="AF64" s="638"/>
      <c r="AG64" s="446"/>
      <c r="AH64" s="638"/>
      <c r="AI64" s="638"/>
      <c r="AJ64" s="185"/>
      <c r="AK64" s="638"/>
      <c r="AL64" s="638"/>
      <c r="AM64" s="638"/>
      <c r="AN64" s="455"/>
      <c r="AO64" s="1239"/>
      <c r="AP64" s="1239"/>
      <c r="AQ64" s="484">
        <f>+FL_2(-$T$65,-$T$63,$G$64,1200,9.28, 1*$F$65)</f>
        <v>-0.36022448799999995</v>
      </c>
      <c r="AR64" s="484"/>
      <c r="AS64" s="484"/>
      <c r="AT64" s="484"/>
      <c r="AU64" s="638"/>
      <c r="AV64" s="638"/>
      <c r="AW64" s="638"/>
      <c r="AX64" s="638"/>
      <c r="AY64" s="484"/>
      <c r="AZ64" s="484"/>
      <c r="BA64" s="671"/>
      <c r="BB64" s="1239"/>
      <c r="BC64" s="169"/>
      <c r="BD64" s="1330"/>
      <c r="BE64" s="1330"/>
      <c r="BF64" s="1330"/>
      <c r="BG64" s="1330"/>
    </row>
    <row r="65" spans="1:59" ht="15.75" customHeight="1">
      <c r="A65" s="1239"/>
      <c r="B65" s="435" t="s">
        <v>3804</v>
      </c>
      <c r="C65" s="446">
        <f>+$C$63+$G$64</f>
        <v>84660.11</v>
      </c>
      <c r="D65" s="173"/>
      <c r="E65" s="447"/>
      <c r="F65" s="447">
        <v>0</v>
      </c>
      <c r="G65" s="484"/>
      <c r="H65" s="638"/>
      <c r="I65" s="638"/>
      <c r="J65" s="446"/>
      <c r="K65" s="638"/>
      <c r="L65" s="638"/>
      <c r="M65" s="638"/>
      <c r="N65" s="638" t="s">
        <v>844</v>
      </c>
      <c r="O65" s="1239"/>
      <c r="P65" s="1239"/>
      <c r="Q65" s="638"/>
      <c r="R65" s="638"/>
      <c r="S65" s="484"/>
      <c r="T65" s="638">
        <v>35</v>
      </c>
      <c r="U65" s="638"/>
      <c r="V65" s="638"/>
      <c r="W65" s="638">
        <v>1.4</v>
      </c>
      <c r="X65" s="638"/>
      <c r="Y65" s="638"/>
      <c r="Z65" s="638"/>
      <c r="AA65" s="638"/>
      <c r="AB65" s="638"/>
      <c r="AC65" s="638" t="str">
        <f>IF(OR(AT65&gt;8,AT65&lt;-8),"PH",IF(OR(AT65&gt;5,AT65&lt;-5),"PH-Q",IF(OR(AT65&gt;1,AT65&lt;-1),"PH-C")))</f>
        <v>PH-Q</v>
      </c>
      <c r="AD65" s="638"/>
      <c r="AE65" s="638"/>
      <c r="AF65" s="638"/>
      <c r="AG65" s="446"/>
      <c r="AH65" s="638"/>
      <c r="AI65" s="638"/>
      <c r="AJ65" s="185"/>
      <c r="AK65" s="185" t="s">
        <v>139</v>
      </c>
      <c r="AL65" s="638"/>
      <c r="AM65" s="445"/>
      <c r="AN65" s="455">
        <v>5.5</v>
      </c>
      <c r="AO65" s="1239"/>
      <c r="AP65" s="1239"/>
      <c r="AQ65" s="484"/>
      <c r="AR65" s="484"/>
      <c r="AS65" s="484"/>
      <c r="AT65" s="484">
        <f>+ab(-$T$65,-$T$63,$T$67,$G$64,$G$66, 1*$F$65,1200)</f>
        <v>-6.8410835637659231</v>
      </c>
      <c r="AU65" s="638"/>
      <c r="AV65" s="638"/>
      <c r="AW65" s="484"/>
      <c r="AX65" s="484"/>
      <c r="AY65" s="484"/>
      <c r="AZ65" s="484"/>
      <c r="BA65" s="671"/>
      <c r="BB65" s="1239"/>
      <c r="BC65" s="169"/>
      <c r="BD65" s="1330"/>
      <c r="BE65" s="1329"/>
      <c r="BF65" s="1330"/>
      <c r="BG65" s="1329"/>
    </row>
    <row r="66" spans="1:59" ht="15.75" customHeight="1">
      <c r="A66" s="1239"/>
      <c r="B66" s="173"/>
      <c r="C66" s="446"/>
      <c r="D66" s="173"/>
      <c r="E66" s="447"/>
      <c r="F66" s="447"/>
      <c r="G66" s="484">
        <v>52.5</v>
      </c>
      <c r="H66" s="638"/>
      <c r="I66" s="638"/>
      <c r="J66" s="446"/>
      <c r="K66" s="638"/>
      <c r="L66" s="638"/>
      <c r="M66" s="638"/>
      <c r="N66" s="1239"/>
      <c r="O66" s="1239"/>
      <c r="P66" s="1239"/>
      <c r="Q66" s="638"/>
      <c r="R66" s="638"/>
      <c r="S66" s="484"/>
      <c r="T66" s="638"/>
      <c r="U66" s="638"/>
      <c r="V66" s="638"/>
      <c r="W66" s="638"/>
      <c r="X66" s="638"/>
      <c r="Y66" s="638"/>
      <c r="Z66" s="638"/>
      <c r="AA66" s="638"/>
      <c r="AB66" s="638"/>
      <c r="AC66" s="638"/>
      <c r="AD66" s="638"/>
      <c r="AE66" s="638"/>
      <c r="AF66" s="638"/>
      <c r="AG66" s="446"/>
      <c r="AH66" s="638"/>
      <c r="AI66" s="638"/>
      <c r="AJ66" s="185"/>
      <c r="AK66" s="638"/>
      <c r="AL66" s="638"/>
      <c r="AM66" s="638"/>
      <c r="AN66" s="455"/>
      <c r="AO66" s="1239"/>
      <c r="AP66" s="1239"/>
      <c r="AQ66" s="484"/>
      <c r="AR66" s="484"/>
      <c r="AS66" s="484"/>
      <c r="AT66" s="484"/>
      <c r="AU66" s="638"/>
      <c r="AV66" s="638"/>
      <c r="AW66" s="638"/>
      <c r="AX66" s="638"/>
      <c r="AY66" s="484"/>
      <c r="AZ66" s="484"/>
      <c r="BA66" s="671"/>
      <c r="BB66" s="1239"/>
      <c r="BC66" s="169"/>
      <c r="BD66" s="1330"/>
      <c r="BE66" s="1330"/>
      <c r="BF66" s="1330"/>
      <c r="BG66" s="1330"/>
    </row>
    <row r="67" spans="1:59" ht="15.75" customHeight="1">
      <c r="A67" s="501">
        <f>'HR Track 2 HER'!A74</f>
        <v>0</v>
      </c>
      <c r="B67" s="716" t="str">
        <f>'HR Track 2 HER'!B74</f>
        <v>84-2.15</v>
      </c>
      <c r="C67" s="451">
        <f>'HR Track 2 HER'!C74</f>
        <v>84712.609999999986</v>
      </c>
      <c r="D67" s="453">
        <f>'HR Track 2 HER'!D74</f>
        <v>0</v>
      </c>
      <c r="E67" s="452">
        <f>'HR Track 2 HER'!E74</f>
        <v>0</v>
      </c>
      <c r="F67" s="453">
        <f>'HR Track 2 HER'!F74</f>
        <v>0</v>
      </c>
      <c r="G67" s="500">
        <f>'HR Track 2 HER'!G74</f>
        <v>0</v>
      </c>
      <c r="H67" s="453" t="str">
        <f>'HR Track 2 HER'!H74</f>
        <v>A/S</v>
      </c>
      <c r="I67" s="501" t="str">
        <f>'HR Track 2 HER'!I74</f>
        <v>CP+AnMC</v>
      </c>
      <c r="J67" s="583">
        <f>'HR Track 2 HER'!J74</f>
        <v>0</v>
      </c>
      <c r="K67" s="452">
        <f>'HR Track 2 HER'!K74</f>
        <v>0</v>
      </c>
      <c r="L67" s="452" t="str">
        <f>'HR Track 2 HER'!L74</f>
        <v>HEB-320L</v>
      </c>
      <c r="M67" s="452" t="str">
        <f>'HR Track 2 HER'!M74</f>
        <v>C7R</v>
      </c>
      <c r="N67" s="501" t="str">
        <f>'HR Track 2 HER'!N74</f>
        <v>EMT-2</v>
      </c>
      <c r="O67" s="501">
        <f>'HR Track 2 HER'!O74</f>
        <v>0</v>
      </c>
      <c r="P67" s="501">
        <f>'HR Track 2 HER'!P74</f>
        <v>0</v>
      </c>
      <c r="Q67" s="452">
        <f>'HR Track 2 HER'!Q74</f>
        <v>0</v>
      </c>
      <c r="R67" s="452">
        <f>'HR Track 2 HER'!R74</f>
        <v>0</v>
      </c>
      <c r="S67" s="500">
        <f>'HR Track 2 HER'!S74</f>
        <v>0</v>
      </c>
      <c r="T67" s="452">
        <f>'HR Track 2 HER'!T74</f>
        <v>35</v>
      </c>
      <c r="U67" s="452">
        <f>'HR Track 2 HER'!U74</f>
        <v>0</v>
      </c>
      <c r="V67" s="452">
        <f>'HR Track 2 HER'!V74</f>
        <v>0</v>
      </c>
      <c r="W67" s="452">
        <f>'HR Track 2 HER'!W74</f>
        <v>1.4</v>
      </c>
      <c r="X67" s="452">
        <f>'HR Track 2 HER'!X74</f>
        <v>0</v>
      </c>
      <c r="Y67" s="452">
        <f>'HR Track 2 HER'!Y74</f>
        <v>0</v>
      </c>
      <c r="Z67" s="452">
        <f>'HR Track 2 HER'!Z74</f>
        <v>0</v>
      </c>
      <c r="AA67" s="452">
        <f>'HR Track 2 HER'!AA74</f>
        <v>0</v>
      </c>
      <c r="AB67" s="452">
        <f>'HR Track 2 HER'!AB74</f>
        <v>0</v>
      </c>
      <c r="AC67" s="452" t="str">
        <f>'HR Track 2 HER'!AC74</f>
        <v>PH</v>
      </c>
      <c r="AD67" s="452">
        <f>'HR Track 2 HER'!AD74</f>
        <v>0</v>
      </c>
      <c r="AE67" s="452">
        <f>'HR Track 2 HER'!AE74</f>
        <v>0</v>
      </c>
      <c r="AF67" s="452">
        <f>'HR Track 2 HER'!AF74</f>
        <v>0</v>
      </c>
      <c r="AG67" s="451">
        <f>'HR Track 2 HER'!AG74</f>
        <v>0</v>
      </c>
      <c r="AH67" s="452">
        <f>'HR Track 2 HER'!AH74</f>
        <v>0</v>
      </c>
      <c r="AI67" s="452">
        <f>'HR Track 2 HER'!AI74</f>
        <v>0</v>
      </c>
      <c r="AJ67" s="452">
        <f>'HR Track 2 HER'!AJ74</f>
        <v>0</v>
      </c>
      <c r="AK67" s="452">
        <f>'HR Track 2 HER'!AK74</f>
        <v>0</v>
      </c>
      <c r="AL67" s="452" t="str">
        <f>'HR Track 2 HER'!AL74</f>
        <v>PR1C</v>
      </c>
      <c r="AM67" s="452" t="str">
        <f>'HR Track 2 HER'!AM74</f>
        <v>RW1</v>
      </c>
      <c r="AN67" s="500">
        <f>'HR Track 2 HER'!AN74</f>
        <v>5.5</v>
      </c>
      <c r="AO67" s="452">
        <f>'HR Track 2 HER'!AO74</f>
        <v>0</v>
      </c>
      <c r="AP67" s="452">
        <f>'HR Track 2 HER'!AP74</f>
        <v>0</v>
      </c>
      <c r="AQ67" s="452">
        <f>'HR Track 2 HER'!AQ74</f>
        <v>0</v>
      </c>
      <c r="AR67" s="452">
        <f>'HR Track 2 HER'!AR74</f>
        <v>0</v>
      </c>
      <c r="AS67" s="452">
        <f>'HR Track 2 HER'!AS74</f>
        <v>0</v>
      </c>
      <c r="AT67" s="452">
        <f>'HR Track 2 HER'!AT74</f>
        <v>12.625157334620512</v>
      </c>
      <c r="AU67" s="452">
        <f>'HR Track 2 HER'!AU74</f>
        <v>0</v>
      </c>
      <c r="AV67" s="452">
        <f>'HR Track 2 HER'!AV74</f>
        <v>0</v>
      </c>
      <c r="AW67" s="452" t="str">
        <f>'HR Track 2 HER'!AW74</f>
        <v>Soil B</v>
      </c>
      <c r="AX67" s="452" t="str">
        <f>'HR Track 2 HER'!AX74</f>
        <v>PT</v>
      </c>
      <c r="AY67" s="500">
        <f>'HR Track 2 HER'!AY74</f>
        <v>3.5</v>
      </c>
      <c r="AZ67" s="500">
        <f>'HR Track 2 HER'!AZ74</f>
        <v>0</v>
      </c>
      <c r="BA67" s="1333" t="str">
        <f>'HR Track 2 HER'!BA74</f>
        <v>ü</v>
      </c>
      <c r="BB67" s="452" t="str">
        <f>'HR Track 2 HER'!BB74</f>
        <v>App.8-V08F-P10.3</v>
      </c>
      <c r="BC67" s="1334">
        <f>'HR Track 2 HER'!BC74</f>
        <v>0</v>
      </c>
      <c r="BD67" s="1335">
        <f>'HR Track 2 HER'!BD74</f>
        <v>0</v>
      </c>
      <c r="BE67" s="1335">
        <f>'HR Track 2 HER'!BE74</f>
        <v>0</v>
      </c>
      <c r="BF67" s="1335">
        <f>'HR Track 2 HER'!BF74</f>
        <v>0</v>
      </c>
      <c r="BG67" s="1335">
        <f>'HR Track 2 HER'!BG74</f>
        <v>0</v>
      </c>
    </row>
    <row r="68" spans="1:59" ht="15.75" customHeight="1">
      <c r="A68" s="501">
        <f>'HR Track 2 HER'!A75</f>
        <v>0</v>
      </c>
      <c r="B68" s="716">
        <f>'HR Track 2 HER'!B75</f>
        <v>0</v>
      </c>
      <c r="C68" s="451">
        <f>'HR Track 2 HER'!C75</f>
        <v>0</v>
      </c>
      <c r="D68" s="453">
        <f>'HR Track 2 HER'!D75</f>
        <v>0</v>
      </c>
      <c r="E68" s="452">
        <f>'HR Track 2 HER'!E75</f>
        <v>0</v>
      </c>
      <c r="F68" s="453">
        <f>'HR Track 2 HER'!F75</f>
        <v>0</v>
      </c>
      <c r="G68" s="500">
        <f>'HR Track 2 HER'!G75</f>
        <v>50</v>
      </c>
      <c r="H68" s="453">
        <f>'HR Track 2 HER'!H75</f>
        <v>0</v>
      </c>
      <c r="I68" s="501">
        <f>'HR Track 2 HER'!I75</f>
        <v>0</v>
      </c>
      <c r="J68" s="583">
        <f>'HR Track 2 HER'!J75</f>
        <v>84720.109999999986</v>
      </c>
      <c r="K68" s="452" t="str">
        <f>'HR Track 2 HER'!K75</f>
        <v>AnMC-R</v>
      </c>
      <c r="L68" s="452">
        <f>'HR Track 2 HER'!L75</f>
        <v>0</v>
      </c>
      <c r="M68" s="452">
        <f>'HR Track 2 HER'!M75</f>
        <v>0</v>
      </c>
      <c r="N68" s="501">
        <f>'HR Track 2 HER'!N75</f>
        <v>0</v>
      </c>
      <c r="O68" s="501">
        <f>'HR Track 2 HER'!O75</f>
        <v>0</v>
      </c>
      <c r="P68" s="501">
        <f>'HR Track 2 HER'!P75</f>
        <v>0</v>
      </c>
      <c r="Q68" s="452">
        <f>'HR Track 2 HER'!Q75</f>
        <v>0</v>
      </c>
      <c r="R68" s="452">
        <f>'HR Track 2 HER'!R75</f>
        <v>0</v>
      </c>
      <c r="S68" s="500">
        <f>'HR Track 2 HER'!S75</f>
        <v>0</v>
      </c>
      <c r="T68" s="452">
        <f>'HR Track 2 HER'!T75</f>
        <v>0</v>
      </c>
      <c r="U68" s="452">
        <f>'HR Track 2 HER'!U75</f>
        <v>0</v>
      </c>
      <c r="V68" s="452">
        <f>'HR Track 2 HER'!V75</f>
        <v>0</v>
      </c>
      <c r="W68" s="452">
        <f>'HR Track 2 HER'!W75</f>
        <v>0</v>
      </c>
      <c r="X68" s="452">
        <f>'HR Track 2 HER'!X75</f>
        <v>0</v>
      </c>
      <c r="Y68" s="452">
        <f>'HR Track 2 HER'!Y75</f>
        <v>0</v>
      </c>
      <c r="Z68" s="452">
        <f>'HR Track 2 HER'!Z75</f>
        <v>0</v>
      </c>
      <c r="AA68" s="452">
        <f>'HR Track 2 HER'!AA75</f>
        <v>0</v>
      </c>
      <c r="AB68" s="452">
        <f>'HR Track 2 HER'!AB75</f>
        <v>0</v>
      </c>
      <c r="AC68" s="452">
        <f>'HR Track 2 HER'!AC75</f>
        <v>0</v>
      </c>
      <c r="AD68" s="452">
        <f>'HR Track 2 HER'!AD75</f>
        <v>0</v>
      </c>
      <c r="AE68" s="452">
        <f>'HR Track 2 HER'!AE75</f>
        <v>0</v>
      </c>
      <c r="AF68" s="452">
        <f>'HR Track 2 HER'!AF75</f>
        <v>0</v>
      </c>
      <c r="AG68" s="451">
        <f>'HR Track 2 HER'!AG75</f>
        <v>0</v>
      </c>
      <c r="AH68" s="452">
        <f>'HR Track 2 HER'!AH75</f>
        <v>0</v>
      </c>
      <c r="AI68" s="452">
        <f>'HR Track 2 HER'!AI75</f>
        <v>0</v>
      </c>
      <c r="AJ68" s="452">
        <f>'HR Track 2 HER'!AJ75</f>
        <v>0</v>
      </c>
      <c r="AK68" s="452">
        <f>'HR Track 2 HER'!AK75</f>
        <v>0</v>
      </c>
      <c r="AL68" s="452">
        <f>'HR Track 2 HER'!AL75</f>
        <v>0</v>
      </c>
      <c r="AM68" s="452">
        <f>'HR Track 2 HER'!AM75</f>
        <v>0</v>
      </c>
      <c r="AN68" s="500">
        <f>'HR Track 2 HER'!AN75</f>
        <v>0</v>
      </c>
      <c r="AO68" s="452">
        <f>'HR Track 2 HER'!AO75</f>
        <v>0</v>
      </c>
      <c r="AP68" s="452">
        <f>'HR Track 2 HER'!AP75</f>
        <v>0</v>
      </c>
      <c r="AQ68" s="452">
        <f>'HR Track 2 HER'!AQ75</f>
        <v>-0.36839079999999996</v>
      </c>
      <c r="AR68" s="452">
        <f>'HR Track 2 HER'!AR75</f>
        <v>0</v>
      </c>
      <c r="AS68" s="452">
        <f>'HR Track 2 HER'!AS75</f>
        <v>0</v>
      </c>
      <c r="AT68" s="452">
        <f>'HR Track 2 HER'!AT75</f>
        <v>0</v>
      </c>
      <c r="AU68" s="452">
        <f>'HR Track 2 HER'!AU75</f>
        <v>0</v>
      </c>
      <c r="AV68" s="452">
        <f>'HR Track 2 HER'!AV75</f>
        <v>0</v>
      </c>
      <c r="AW68" s="452" t="str">
        <f>'HR Track 2 HER'!AW75</f>
        <v>Soil B</v>
      </c>
      <c r="AX68" s="452" t="str">
        <f>'HR Track 2 HER'!AX75</f>
        <v>PT</v>
      </c>
      <c r="AY68" s="500">
        <f>'HR Track 2 HER'!AY75</f>
        <v>0</v>
      </c>
      <c r="AZ68" s="500">
        <f>'HR Track 2 HER'!AZ75</f>
        <v>3.9</v>
      </c>
      <c r="BA68" s="1333" t="str">
        <f>'HR Track 2 HER'!BA75</f>
        <v>ü</v>
      </c>
      <c r="BB68" s="452">
        <f>'HR Track 2 HER'!BB75</f>
        <v>0</v>
      </c>
      <c r="BC68" s="1334">
        <f>'HR Track 2 HER'!BC75</f>
        <v>0</v>
      </c>
      <c r="BD68" s="1335">
        <f>'HR Track 2 HER'!BD75</f>
        <v>0</v>
      </c>
      <c r="BE68" s="1335">
        <f>'HR Track 2 HER'!BE75</f>
        <v>0</v>
      </c>
      <c r="BF68" s="1335">
        <f>'HR Track 2 HER'!BF75</f>
        <v>0</v>
      </c>
      <c r="BG68" s="1335">
        <f>'HR Track 2 HER'!BG75</f>
        <v>0</v>
      </c>
    </row>
    <row r="69" spans="1:59" ht="15.75" customHeight="1">
      <c r="B69" s="175"/>
      <c r="C69" s="617"/>
      <c r="D69" s="175"/>
      <c r="E69" s="177"/>
      <c r="F69" s="177"/>
      <c r="G69" s="458"/>
      <c r="K69" s="169"/>
      <c r="L69" s="169"/>
      <c r="M69" s="169"/>
      <c r="Q69" s="169"/>
      <c r="R69" s="169"/>
      <c r="S69" s="458"/>
      <c r="T69" s="169"/>
      <c r="U69" s="169"/>
      <c r="V69" s="169"/>
      <c r="W69" s="169"/>
      <c r="X69" s="169"/>
      <c r="Y69" s="169"/>
      <c r="Z69" s="169"/>
      <c r="AA69" s="169"/>
      <c r="AB69" s="169"/>
      <c r="AC69" s="169"/>
      <c r="AD69" s="169"/>
      <c r="AE69" s="169"/>
      <c r="AF69" s="169"/>
      <c r="AG69" s="617"/>
      <c r="AH69" s="169"/>
      <c r="AI69" s="169"/>
      <c r="AJ69" s="629"/>
      <c r="AK69" s="169"/>
      <c r="AL69" s="169"/>
      <c r="AM69" s="169"/>
      <c r="AN69" s="454"/>
      <c r="AO69" s="178"/>
      <c r="AP69" s="178"/>
      <c r="AY69" s="458"/>
      <c r="AZ69" s="458"/>
      <c r="BA69" s="1305"/>
      <c r="BC69" s="169"/>
    </row>
    <row r="70" spans="1:59" ht="15.75" customHeight="1">
      <c r="B70" s="175"/>
      <c r="C70" s="617"/>
      <c r="D70" s="175"/>
      <c r="E70" s="177"/>
      <c r="F70" s="177"/>
      <c r="G70" s="458"/>
      <c r="K70" s="169"/>
      <c r="L70" s="169"/>
      <c r="M70" s="169"/>
      <c r="Q70" s="169"/>
      <c r="R70" s="169"/>
      <c r="S70" s="458"/>
      <c r="T70" s="169"/>
      <c r="U70" s="169"/>
      <c r="V70" s="169"/>
      <c r="W70" s="169"/>
      <c r="X70" s="169"/>
      <c r="Y70" s="169"/>
      <c r="Z70" s="169"/>
      <c r="AA70" s="169"/>
      <c r="AB70" s="169"/>
      <c r="AC70" s="169"/>
      <c r="AD70" s="169"/>
      <c r="AE70" s="169"/>
      <c r="AF70" s="169"/>
      <c r="AG70" s="617"/>
      <c r="AH70" s="169"/>
      <c r="AI70" s="169"/>
      <c r="AJ70" s="629"/>
      <c r="AK70" s="169"/>
      <c r="AL70" s="169"/>
      <c r="AM70" s="169"/>
      <c r="AN70" s="454"/>
      <c r="AO70" s="178"/>
      <c r="AP70" s="178"/>
      <c r="AY70" s="458"/>
      <c r="AZ70" s="458"/>
      <c r="BA70" s="1305"/>
      <c r="BC70" s="169"/>
    </row>
    <row r="71" spans="1:59" ht="15.75" customHeight="1">
      <c r="B71" s="175"/>
      <c r="C71" s="617"/>
      <c r="D71" s="175"/>
      <c r="E71" s="177"/>
      <c r="F71" s="177"/>
      <c r="G71" s="458"/>
      <c r="K71" s="169"/>
      <c r="L71" s="169"/>
      <c r="M71" s="169"/>
      <c r="Q71" s="169"/>
      <c r="R71" s="169"/>
      <c r="S71" s="458"/>
      <c r="T71" s="169"/>
      <c r="U71" s="169"/>
      <c r="V71" s="169"/>
      <c r="W71" s="169"/>
      <c r="X71" s="169"/>
      <c r="Y71" s="169"/>
      <c r="Z71" s="169"/>
      <c r="AA71" s="169"/>
      <c r="AB71" s="169"/>
      <c r="AC71" s="169"/>
      <c r="AD71" s="169"/>
      <c r="AE71" s="169"/>
      <c r="AF71" s="169"/>
      <c r="AG71" s="617"/>
      <c r="AH71" s="169"/>
      <c r="AI71" s="169"/>
      <c r="AJ71" s="629"/>
      <c r="AK71" s="169"/>
      <c r="AL71" s="169"/>
      <c r="AM71" s="169"/>
      <c r="AN71" s="454"/>
      <c r="AO71" s="178"/>
      <c r="AP71" s="178"/>
      <c r="AY71" s="458"/>
      <c r="AZ71" s="458"/>
      <c r="BA71" s="1305"/>
      <c r="BC71" s="169"/>
    </row>
    <row r="72" spans="1:59" ht="15.75" customHeight="1">
      <c r="B72" s="175"/>
      <c r="C72" s="617"/>
      <c r="D72" s="175"/>
      <c r="E72" s="177"/>
      <c r="F72" s="177"/>
      <c r="G72" s="458"/>
      <c r="K72" s="169"/>
      <c r="L72" s="169"/>
      <c r="M72" s="169"/>
      <c r="Q72" s="169"/>
      <c r="R72" s="169"/>
      <c r="S72" s="458"/>
      <c r="T72" s="169"/>
      <c r="U72" s="169"/>
      <c r="V72" s="169"/>
      <c r="W72" s="169"/>
      <c r="X72" s="169"/>
      <c r="Y72" s="169"/>
      <c r="Z72" s="169"/>
      <c r="AA72" s="169"/>
      <c r="AB72" s="169"/>
      <c r="AC72" s="169"/>
      <c r="AD72" s="169"/>
      <c r="AE72" s="169"/>
      <c r="AF72" s="169"/>
      <c r="AG72" s="617"/>
      <c r="AH72" s="169"/>
      <c r="AI72" s="169"/>
      <c r="AJ72" s="169"/>
      <c r="AK72" s="169"/>
      <c r="AL72" s="169"/>
      <c r="AM72" s="169"/>
      <c r="AN72" s="454"/>
      <c r="AO72" s="178"/>
      <c r="AP72" s="178"/>
      <c r="AY72" s="458"/>
      <c r="AZ72" s="458"/>
      <c r="BA72" s="1305"/>
      <c r="BC72" s="169"/>
    </row>
    <row r="73" spans="1:59" ht="15.75" customHeight="1">
      <c r="B73" s="175"/>
      <c r="C73" s="617"/>
      <c r="D73" s="175"/>
      <c r="E73" s="177"/>
      <c r="F73" s="177"/>
      <c r="G73" s="458"/>
      <c r="K73" s="169"/>
      <c r="L73" s="169"/>
      <c r="M73" s="169"/>
      <c r="Q73" s="169"/>
      <c r="R73" s="169"/>
      <c r="S73" s="458"/>
      <c r="T73" s="169"/>
      <c r="U73" s="169"/>
      <c r="V73" s="169"/>
      <c r="W73" s="169"/>
      <c r="X73" s="169"/>
      <c r="Y73" s="169"/>
      <c r="Z73" s="169"/>
      <c r="AA73" s="169"/>
      <c r="AB73" s="169"/>
      <c r="AC73" s="169"/>
      <c r="AD73" s="169"/>
      <c r="AE73" s="169"/>
      <c r="AF73" s="169"/>
      <c r="AG73" s="617"/>
      <c r="AH73" s="169"/>
      <c r="AI73" s="169"/>
      <c r="AJ73" s="169"/>
      <c r="AK73" s="169"/>
      <c r="AL73" s="169"/>
      <c r="AM73" s="169"/>
      <c r="AN73" s="454"/>
      <c r="AO73" s="178"/>
      <c r="AP73" s="178"/>
      <c r="AY73" s="458"/>
      <c r="AZ73" s="458"/>
      <c r="BA73" s="1305"/>
      <c r="BC73" s="169"/>
    </row>
    <row r="74" spans="1:59" ht="15.75" customHeight="1">
      <c r="B74" s="175"/>
      <c r="C74" s="617"/>
      <c r="D74" s="175"/>
      <c r="E74" s="177"/>
      <c r="F74" s="177"/>
      <c r="G74" s="458"/>
      <c r="I74" s="182"/>
      <c r="K74" s="169"/>
      <c r="L74" s="169"/>
      <c r="M74" s="169"/>
      <c r="N74" s="169"/>
      <c r="Q74" s="169"/>
      <c r="R74" s="169"/>
      <c r="S74" s="458"/>
      <c r="T74" s="169"/>
      <c r="U74" s="169"/>
      <c r="V74" s="169"/>
      <c r="W74" s="169"/>
      <c r="X74" s="169"/>
      <c r="Y74" s="169"/>
      <c r="Z74" s="169"/>
      <c r="AA74" s="169"/>
      <c r="AB74" s="169"/>
      <c r="AC74" s="169"/>
      <c r="AD74" s="169"/>
      <c r="AE74" s="169"/>
      <c r="AF74" s="169"/>
      <c r="AG74" s="617"/>
      <c r="AH74" s="169"/>
      <c r="AI74" s="169"/>
      <c r="AJ74" s="169"/>
      <c r="AK74" s="169"/>
      <c r="AL74" s="169"/>
      <c r="AM74" s="169"/>
      <c r="AN74" s="454"/>
      <c r="AO74" s="178"/>
      <c r="AP74" s="178"/>
      <c r="AY74" s="458"/>
      <c r="AZ74" s="458"/>
      <c r="BA74" s="1305"/>
      <c r="BC74" s="169"/>
    </row>
    <row r="75" spans="1:59" ht="15.75" customHeight="1">
      <c r="B75" s="175"/>
      <c r="C75" s="617"/>
      <c r="D75" s="175"/>
      <c r="E75" s="177"/>
      <c r="F75" s="177"/>
      <c r="G75" s="458"/>
      <c r="K75" s="169"/>
      <c r="L75" s="169"/>
      <c r="M75" s="169"/>
      <c r="Q75" s="169"/>
      <c r="R75" s="169"/>
      <c r="S75" s="458"/>
      <c r="T75" s="169"/>
      <c r="U75" s="169"/>
      <c r="V75" s="169"/>
      <c r="W75" s="169"/>
      <c r="X75" s="169"/>
      <c r="Y75" s="169"/>
      <c r="Z75" s="169"/>
      <c r="AA75" s="169"/>
      <c r="AB75" s="169"/>
      <c r="AC75" s="169"/>
      <c r="AD75" s="169"/>
      <c r="AE75" s="169"/>
      <c r="AF75" s="169"/>
      <c r="AG75" s="617"/>
      <c r="AH75" s="169"/>
      <c r="AI75" s="169"/>
      <c r="AJ75" s="169"/>
      <c r="AK75" s="169"/>
      <c r="AL75" s="169"/>
      <c r="AM75" s="169"/>
      <c r="AN75" s="454"/>
      <c r="AO75" s="178"/>
      <c r="AP75" s="178"/>
      <c r="AY75" s="458"/>
      <c r="AZ75" s="458"/>
      <c r="BA75" s="1305"/>
      <c r="BC75" s="169"/>
    </row>
    <row r="76" spans="1:59" ht="15.75" customHeight="1">
      <c r="B76" s="175"/>
      <c r="C76" s="617"/>
      <c r="D76" s="175"/>
      <c r="E76" s="177"/>
      <c r="F76" s="177"/>
      <c r="G76" s="458"/>
      <c r="I76" s="182"/>
      <c r="K76" s="169"/>
      <c r="L76" s="169"/>
      <c r="M76" s="169"/>
      <c r="N76" s="169"/>
      <c r="Q76" s="169"/>
      <c r="R76" s="169"/>
      <c r="S76" s="458"/>
      <c r="T76" s="169"/>
      <c r="U76" s="169"/>
      <c r="V76" s="169"/>
      <c r="W76" s="169"/>
      <c r="X76" s="169"/>
      <c r="Y76" s="169"/>
      <c r="Z76" s="169"/>
      <c r="AA76" s="169"/>
      <c r="AB76" s="169"/>
      <c r="AC76" s="169"/>
      <c r="AD76" s="169"/>
      <c r="AE76" s="169"/>
      <c r="AF76" s="169"/>
      <c r="AG76" s="617"/>
      <c r="AH76" s="169"/>
      <c r="AI76" s="169"/>
      <c r="AJ76" s="169"/>
      <c r="AK76" s="169"/>
      <c r="AL76" s="169"/>
      <c r="AM76" s="169"/>
      <c r="AN76" s="454"/>
      <c r="AO76" s="178"/>
      <c r="AP76" s="178"/>
      <c r="AY76" s="458"/>
      <c r="AZ76" s="458"/>
      <c r="BA76" s="1305"/>
      <c r="BC76" s="169"/>
    </row>
    <row r="77" spans="1:59" ht="15.75" customHeight="1">
      <c r="B77" s="175"/>
      <c r="C77" s="617"/>
      <c r="D77" s="175"/>
      <c r="E77" s="177"/>
      <c r="F77" s="177"/>
      <c r="G77" s="458"/>
      <c r="K77" s="169"/>
      <c r="L77" s="169"/>
      <c r="M77" s="169"/>
      <c r="Q77" s="169"/>
      <c r="R77" s="169"/>
      <c r="S77" s="458"/>
      <c r="T77" s="169"/>
      <c r="U77" s="169"/>
      <c r="V77" s="169"/>
      <c r="W77" s="169"/>
      <c r="X77" s="169"/>
      <c r="Y77" s="169"/>
      <c r="Z77" s="169"/>
      <c r="AA77" s="169"/>
      <c r="AB77" s="169"/>
      <c r="AC77" s="169"/>
      <c r="AD77" s="169"/>
      <c r="AE77" s="169"/>
      <c r="AF77" s="169"/>
      <c r="AG77" s="617"/>
      <c r="AH77" s="169"/>
      <c r="AI77" s="169"/>
      <c r="AJ77" s="169"/>
      <c r="AK77" s="169"/>
      <c r="AL77" s="169"/>
      <c r="AM77" s="169"/>
      <c r="AN77" s="454"/>
      <c r="AO77" s="178"/>
      <c r="AP77" s="178"/>
      <c r="AY77" s="458"/>
      <c r="AZ77" s="458"/>
      <c r="BA77" s="1305"/>
      <c r="BC77" s="169"/>
    </row>
    <row r="78" spans="1:59" ht="15.75" customHeight="1">
      <c r="B78" s="175"/>
      <c r="C78" s="617"/>
      <c r="D78" s="175"/>
      <c r="E78" s="177"/>
      <c r="F78" s="177"/>
      <c r="G78" s="458"/>
      <c r="H78" s="169"/>
      <c r="I78" s="169"/>
      <c r="J78" s="617"/>
      <c r="K78" s="169"/>
      <c r="L78" s="169"/>
      <c r="M78" s="169"/>
      <c r="Q78" s="169"/>
      <c r="R78" s="169"/>
      <c r="S78" s="458"/>
      <c r="T78" s="169"/>
      <c r="U78" s="169"/>
      <c r="V78" s="169"/>
      <c r="W78" s="169"/>
      <c r="X78" s="169"/>
      <c r="Y78" s="169"/>
      <c r="Z78" s="169"/>
      <c r="AA78" s="169"/>
      <c r="AB78" s="169"/>
      <c r="AC78" s="169"/>
      <c r="AD78" s="169"/>
      <c r="AE78" s="169"/>
      <c r="AF78" s="169"/>
      <c r="AG78" s="617"/>
      <c r="AH78" s="169"/>
      <c r="AI78" s="169"/>
      <c r="AJ78" s="169"/>
      <c r="AK78" s="169"/>
      <c r="AL78" s="169"/>
      <c r="AM78" s="169"/>
      <c r="AN78" s="454"/>
      <c r="AO78" s="178"/>
      <c r="AP78" s="178"/>
      <c r="AY78" s="458"/>
      <c r="AZ78" s="458"/>
      <c r="BA78" s="1305"/>
      <c r="BC78" s="169"/>
    </row>
    <row r="79" spans="1:59" ht="15.75" customHeight="1">
      <c r="B79" s="175"/>
      <c r="C79" s="617"/>
      <c r="D79" s="175"/>
      <c r="E79" s="177"/>
      <c r="F79" s="177"/>
      <c r="G79" s="458"/>
      <c r="H79" s="169"/>
      <c r="I79" s="169"/>
      <c r="J79" s="617"/>
      <c r="K79" s="169"/>
      <c r="L79" s="169"/>
      <c r="M79" s="169"/>
      <c r="Q79" s="169"/>
      <c r="R79" s="169"/>
      <c r="S79" s="458"/>
      <c r="T79" s="169"/>
      <c r="U79" s="169"/>
      <c r="V79" s="169"/>
      <c r="W79" s="169"/>
      <c r="X79" s="169"/>
      <c r="Y79" s="169"/>
      <c r="Z79" s="169"/>
      <c r="AA79" s="169"/>
      <c r="AB79" s="169"/>
      <c r="AC79" s="169"/>
      <c r="AD79" s="169"/>
      <c r="AE79" s="169"/>
      <c r="AF79" s="169"/>
      <c r="AG79" s="617"/>
      <c r="AH79" s="169"/>
      <c r="AI79" s="169"/>
      <c r="AJ79" s="169"/>
      <c r="AK79" s="169"/>
      <c r="AL79" s="169"/>
      <c r="AM79" s="169"/>
      <c r="AN79" s="454"/>
      <c r="AO79" s="178"/>
      <c r="AP79" s="178"/>
      <c r="AY79" s="458"/>
      <c r="AZ79" s="458"/>
      <c r="BA79" s="1305"/>
      <c r="BC79" s="169"/>
    </row>
    <row r="80" spans="1:59" ht="15.75" customHeight="1">
      <c r="B80" s="175"/>
      <c r="C80" s="617"/>
      <c r="D80" s="175"/>
      <c r="E80" s="177"/>
      <c r="F80" s="177"/>
      <c r="G80" s="458"/>
      <c r="K80" s="169"/>
      <c r="L80" s="169"/>
      <c r="M80" s="169"/>
      <c r="Q80" s="169"/>
      <c r="R80" s="169"/>
      <c r="S80" s="458"/>
      <c r="T80" s="169"/>
      <c r="U80" s="169"/>
      <c r="V80" s="169"/>
      <c r="W80" s="169"/>
      <c r="X80" s="169"/>
      <c r="Y80" s="169"/>
      <c r="Z80" s="169"/>
      <c r="AA80" s="169"/>
      <c r="AB80" s="169"/>
      <c r="AC80" s="169"/>
      <c r="AD80" s="169"/>
      <c r="AE80" s="169"/>
      <c r="AF80" s="169"/>
      <c r="AG80" s="617"/>
      <c r="AH80" s="169"/>
      <c r="AI80" s="169"/>
      <c r="AJ80" s="169"/>
      <c r="AK80" s="169"/>
      <c r="AL80" s="169"/>
      <c r="AM80" s="169"/>
      <c r="AN80" s="454"/>
      <c r="AO80" s="178"/>
      <c r="AP80" s="178"/>
      <c r="AY80" s="458"/>
      <c r="AZ80" s="458"/>
      <c r="BA80" s="1305"/>
      <c r="BC80" s="169"/>
    </row>
    <row r="81" spans="2:55" ht="15.75" customHeight="1">
      <c r="B81" s="175"/>
      <c r="C81" s="617"/>
      <c r="D81" s="175"/>
      <c r="E81" s="177"/>
      <c r="F81" s="177"/>
      <c r="G81" s="458"/>
      <c r="K81" s="169"/>
      <c r="L81" s="169"/>
      <c r="M81" s="169"/>
      <c r="Q81" s="169"/>
      <c r="R81" s="169"/>
      <c r="S81" s="458"/>
      <c r="T81" s="169"/>
      <c r="U81" s="169"/>
      <c r="V81" s="169"/>
      <c r="W81" s="169"/>
      <c r="X81" s="169"/>
      <c r="Y81" s="169"/>
      <c r="Z81" s="169"/>
      <c r="AA81" s="169"/>
      <c r="AB81" s="169"/>
      <c r="AC81" s="169"/>
      <c r="AD81" s="169"/>
      <c r="AE81" s="169"/>
      <c r="AF81" s="169"/>
      <c r="AG81" s="617"/>
      <c r="AH81" s="169"/>
      <c r="AI81" s="169"/>
      <c r="AJ81" s="169"/>
      <c r="AK81" s="169"/>
      <c r="AL81" s="169"/>
      <c r="AM81" s="169"/>
      <c r="AN81" s="454"/>
      <c r="AO81" s="178"/>
      <c r="AP81" s="178"/>
      <c r="AY81" s="458"/>
      <c r="AZ81" s="458"/>
      <c r="BA81" s="1305"/>
      <c r="BC81" s="169"/>
    </row>
    <row r="82" spans="2:55" ht="15.75" customHeight="1">
      <c r="B82" s="175"/>
      <c r="C82" s="617"/>
      <c r="D82" s="175"/>
      <c r="E82" s="177"/>
      <c r="F82" s="177"/>
      <c r="G82" s="458"/>
      <c r="K82" s="169"/>
      <c r="L82" s="169"/>
      <c r="M82" s="169"/>
      <c r="N82" s="169"/>
      <c r="Q82" s="169"/>
      <c r="R82" s="169"/>
      <c r="S82" s="458"/>
      <c r="T82" s="169"/>
      <c r="U82" s="169"/>
      <c r="V82" s="169"/>
      <c r="W82" s="169"/>
      <c r="X82" s="169"/>
      <c r="Y82" s="169"/>
      <c r="Z82" s="169"/>
      <c r="AA82" s="169"/>
      <c r="AB82" s="169"/>
      <c r="AC82" s="169"/>
      <c r="AD82" s="169"/>
      <c r="AE82" s="169"/>
      <c r="AF82" s="169"/>
      <c r="AG82" s="617"/>
      <c r="AH82" s="169"/>
      <c r="AI82" s="169"/>
      <c r="AJ82" s="169"/>
      <c r="AK82" s="169"/>
      <c r="AL82" s="169"/>
      <c r="AM82" s="169"/>
      <c r="AN82" s="454"/>
      <c r="AO82" s="178"/>
      <c r="AP82" s="178"/>
      <c r="AY82" s="458"/>
      <c r="AZ82" s="458"/>
      <c r="BA82" s="1305"/>
      <c r="BC82" s="169"/>
    </row>
    <row r="83" spans="2:55" ht="15.75" customHeight="1">
      <c r="B83" s="175"/>
      <c r="C83" s="617"/>
      <c r="D83" s="175"/>
      <c r="E83" s="177"/>
      <c r="F83" s="177"/>
      <c r="G83" s="458"/>
      <c r="K83" s="169"/>
      <c r="L83" s="169"/>
      <c r="M83" s="169"/>
      <c r="Q83" s="169"/>
      <c r="R83" s="169"/>
      <c r="S83" s="458"/>
      <c r="T83" s="169"/>
      <c r="U83" s="169"/>
      <c r="V83" s="169"/>
      <c r="W83" s="169"/>
      <c r="X83" s="169"/>
      <c r="Y83" s="169"/>
      <c r="Z83" s="169"/>
      <c r="AA83" s="169"/>
      <c r="AB83" s="169"/>
      <c r="AC83" s="169"/>
      <c r="AD83" s="169"/>
      <c r="AE83" s="169"/>
      <c r="AF83" s="169"/>
      <c r="AG83" s="617"/>
      <c r="AH83" s="169"/>
      <c r="AI83" s="169"/>
      <c r="AJ83" s="169"/>
      <c r="AK83" s="169"/>
      <c r="AL83" s="169"/>
      <c r="AM83" s="169"/>
      <c r="AN83" s="454"/>
      <c r="AO83" s="178"/>
      <c r="AP83" s="178"/>
      <c r="AY83" s="458"/>
      <c r="AZ83" s="458"/>
      <c r="BA83" s="1305"/>
      <c r="BC83" s="169"/>
    </row>
    <row r="84" spans="2:55" ht="15.75" customHeight="1">
      <c r="B84" s="175"/>
      <c r="C84" s="617"/>
      <c r="D84" s="175"/>
      <c r="E84" s="177"/>
      <c r="F84" s="177"/>
      <c r="G84" s="458"/>
      <c r="K84" s="169"/>
      <c r="L84" s="169"/>
      <c r="M84" s="169"/>
      <c r="N84" s="169"/>
      <c r="Q84" s="169"/>
      <c r="R84" s="169"/>
      <c r="S84" s="458"/>
      <c r="T84" s="169"/>
      <c r="U84" s="169"/>
      <c r="V84" s="169"/>
      <c r="W84" s="169"/>
      <c r="X84" s="169"/>
      <c r="Y84" s="169"/>
      <c r="Z84" s="169"/>
      <c r="AA84" s="169"/>
      <c r="AB84" s="169"/>
      <c r="AC84" s="169"/>
      <c r="AD84" s="169"/>
      <c r="AE84" s="169"/>
      <c r="AF84" s="169"/>
      <c r="AG84" s="617"/>
      <c r="AH84" s="169"/>
      <c r="AI84" s="169"/>
      <c r="AJ84" s="169"/>
      <c r="AK84" s="169"/>
      <c r="AL84" s="169"/>
      <c r="AM84" s="169"/>
      <c r="AN84" s="454"/>
      <c r="AO84" s="178"/>
      <c r="AP84" s="178"/>
      <c r="AY84" s="458"/>
      <c r="AZ84" s="458"/>
      <c r="BA84" s="1305"/>
      <c r="BC84" s="169"/>
    </row>
    <row r="85" spans="2:55" ht="15.75" customHeight="1">
      <c r="B85" s="175"/>
      <c r="C85" s="617"/>
      <c r="D85" s="175"/>
      <c r="E85" s="177"/>
      <c r="F85" s="177"/>
      <c r="G85" s="458"/>
      <c r="K85" s="169"/>
      <c r="L85" s="169"/>
      <c r="M85" s="169"/>
      <c r="O85" s="169"/>
      <c r="P85" s="169"/>
      <c r="Q85" s="169"/>
      <c r="R85" s="169"/>
      <c r="S85" s="458"/>
      <c r="T85" s="169"/>
      <c r="U85" s="169"/>
      <c r="V85" s="169"/>
      <c r="W85" s="169"/>
      <c r="X85" s="169"/>
      <c r="Y85" s="169"/>
      <c r="Z85" s="169"/>
      <c r="AA85" s="169"/>
      <c r="AB85" s="169"/>
      <c r="AC85" s="169"/>
      <c r="AD85" s="169"/>
      <c r="AE85" s="169"/>
      <c r="AF85" s="169"/>
      <c r="AG85" s="617"/>
      <c r="AH85" s="169"/>
      <c r="AI85" s="169"/>
      <c r="AJ85" s="169"/>
      <c r="AK85" s="169"/>
      <c r="AL85" s="169"/>
      <c r="AM85" s="169"/>
      <c r="AN85" s="454"/>
      <c r="AO85" s="178"/>
      <c r="AP85" s="178"/>
      <c r="AY85" s="458"/>
      <c r="AZ85" s="458"/>
      <c r="BA85" s="1305"/>
      <c r="BC85" s="169"/>
    </row>
    <row r="86" spans="2:55" ht="15.75" customHeight="1">
      <c r="B86" s="175"/>
      <c r="C86" s="617"/>
      <c r="D86" s="175"/>
      <c r="E86" s="177"/>
      <c r="F86" s="177"/>
      <c r="G86" s="458"/>
      <c r="K86" s="169"/>
      <c r="L86" s="169"/>
      <c r="M86" s="169"/>
      <c r="Q86" s="169"/>
      <c r="R86" s="169"/>
      <c r="S86" s="458"/>
      <c r="T86" s="169"/>
      <c r="U86" s="169"/>
      <c r="V86" s="169"/>
      <c r="W86" s="169"/>
      <c r="X86" s="169"/>
      <c r="Y86" s="169"/>
      <c r="Z86" s="169"/>
      <c r="AA86" s="169"/>
      <c r="AB86" s="169"/>
      <c r="AC86" s="169"/>
      <c r="AD86" s="169"/>
      <c r="AE86" s="169"/>
      <c r="AF86" s="169"/>
      <c r="AG86" s="617"/>
      <c r="AH86" s="169"/>
      <c r="AI86" s="169"/>
      <c r="AJ86" s="169"/>
      <c r="AK86" s="169"/>
      <c r="AL86" s="169"/>
      <c r="AM86" s="169"/>
      <c r="AN86" s="454"/>
      <c r="AO86" s="178"/>
      <c r="AP86" s="178"/>
      <c r="AY86" s="458"/>
      <c r="AZ86" s="458"/>
      <c r="BA86" s="1305"/>
      <c r="BC86" s="169"/>
    </row>
    <row r="87" spans="2:55" ht="15.75" customHeight="1">
      <c r="B87" s="175"/>
      <c r="C87" s="617"/>
      <c r="D87" s="175"/>
      <c r="E87" s="177"/>
      <c r="F87" s="177"/>
      <c r="G87" s="458"/>
      <c r="K87" s="169"/>
      <c r="L87" s="169"/>
      <c r="M87" s="169"/>
      <c r="O87" s="169"/>
      <c r="P87" s="169"/>
      <c r="Q87" s="169"/>
      <c r="R87" s="169"/>
      <c r="S87" s="458"/>
      <c r="T87" s="169"/>
      <c r="U87" s="169"/>
      <c r="V87" s="169"/>
      <c r="W87" s="169"/>
      <c r="X87" s="169"/>
      <c r="Y87" s="169"/>
      <c r="Z87" s="169"/>
      <c r="AA87" s="169"/>
      <c r="AB87" s="169"/>
      <c r="AC87" s="169"/>
      <c r="AD87" s="169"/>
      <c r="AE87" s="169"/>
      <c r="AF87" s="169"/>
      <c r="AG87" s="617"/>
      <c r="AH87" s="169"/>
      <c r="AI87" s="169"/>
      <c r="AJ87" s="169"/>
      <c r="AK87" s="169"/>
      <c r="AL87" s="169"/>
      <c r="AM87" s="169"/>
      <c r="AN87" s="454"/>
      <c r="AO87" s="178"/>
      <c r="AP87" s="178"/>
      <c r="AY87" s="458"/>
      <c r="AZ87" s="458"/>
      <c r="BA87" s="1305"/>
      <c r="BC87" s="169"/>
    </row>
    <row r="88" spans="2:55" ht="15.75" customHeight="1">
      <c r="B88" s="175"/>
      <c r="C88" s="617"/>
      <c r="D88" s="175"/>
      <c r="E88" s="177"/>
      <c r="F88" s="177"/>
      <c r="G88" s="458"/>
      <c r="I88" s="179"/>
      <c r="K88" s="169"/>
      <c r="L88" s="169"/>
      <c r="M88" s="169"/>
      <c r="Q88" s="169"/>
      <c r="R88" s="169"/>
      <c r="S88" s="458"/>
      <c r="T88" s="169"/>
      <c r="U88" s="169"/>
      <c r="V88" s="169"/>
      <c r="W88" s="169"/>
      <c r="X88" s="169"/>
      <c r="Y88" s="169"/>
      <c r="Z88" s="169"/>
      <c r="AA88" s="169"/>
      <c r="AB88" s="169"/>
      <c r="AC88" s="169"/>
      <c r="AD88" s="169"/>
      <c r="AE88" s="169"/>
      <c r="AF88" s="169"/>
      <c r="AG88" s="617"/>
      <c r="AH88" s="169"/>
      <c r="AI88" s="169"/>
      <c r="AJ88" s="169"/>
      <c r="AK88" s="169"/>
      <c r="AL88" s="169"/>
      <c r="AM88" s="169"/>
      <c r="AN88" s="454"/>
      <c r="AO88" s="178"/>
      <c r="AP88" s="178"/>
      <c r="AY88" s="458"/>
      <c r="AZ88" s="458"/>
      <c r="BA88" s="1305"/>
      <c r="BC88" s="169"/>
    </row>
    <row r="89" spans="2:55" ht="15.75" customHeight="1">
      <c r="B89" s="175"/>
      <c r="C89" s="617"/>
      <c r="D89" s="175"/>
      <c r="E89" s="177"/>
      <c r="F89" s="177"/>
      <c r="G89" s="458"/>
      <c r="K89" s="169"/>
      <c r="L89" s="169"/>
      <c r="M89" s="169"/>
      <c r="Q89" s="169"/>
      <c r="R89" s="169"/>
      <c r="S89" s="458"/>
      <c r="T89" s="169"/>
      <c r="U89" s="169"/>
      <c r="V89" s="169"/>
      <c r="W89" s="169"/>
      <c r="X89" s="169"/>
      <c r="Y89" s="169"/>
      <c r="Z89" s="169"/>
      <c r="AA89" s="169"/>
      <c r="AB89" s="169"/>
      <c r="AC89" s="169"/>
      <c r="AD89" s="169"/>
      <c r="AE89" s="169"/>
      <c r="AF89" s="169"/>
      <c r="AG89" s="617"/>
      <c r="AH89" s="169"/>
      <c r="AI89" s="169"/>
      <c r="AJ89" s="169"/>
      <c r="AK89" s="169"/>
      <c r="AL89" s="169"/>
      <c r="AM89" s="169"/>
      <c r="AN89" s="454"/>
      <c r="AO89" s="178"/>
      <c r="AP89" s="178"/>
      <c r="AY89" s="458"/>
      <c r="AZ89" s="458"/>
      <c r="BA89" s="1305"/>
      <c r="BC89" s="169"/>
    </row>
    <row r="90" spans="2:55" ht="15.75" customHeight="1">
      <c r="B90" s="175"/>
      <c r="C90" s="617"/>
      <c r="D90" s="175"/>
      <c r="E90" s="177"/>
      <c r="F90" s="177"/>
      <c r="G90" s="458"/>
      <c r="K90" s="169"/>
      <c r="L90" s="169"/>
      <c r="M90" s="169"/>
      <c r="Q90" s="169"/>
      <c r="R90" s="169"/>
      <c r="S90" s="458"/>
      <c r="T90" s="169"/>
      <c r="U90" s="169"/>
      <c r="V90" s="169"/>
      <c r="W90" s="169"/>
      <c r="X90" s="169"/>
      <c r="Y90" s="169"/>
      <c r="Z90" s="169"/>
      <c r="AA90" s="169"/>
      <c r="AB90" s="169"/>
      <c r="AC90" s="169"/>
      <c r="AD90" s="169"/>
      <c r="AE90" s="169"/>
      <c r="AF90" s="169"/>
      <c r="AG90" s="617"/>
      <c r="AH90" s="169"/>
      <c r="AI90" s="169"/>
      <c r="AJ90" s="169"/>
      <c r="AK90" s="169"/>
      <c r="AL90" s="169"/>
      <c r="AM90" s="169"/>
      <c r="AN90" s="454"/>
      <c r="AO90" s="178"/>
      <c r="AP90" s="178"/>
      <c r="AY90" s="458"/>
      <c r="AZ90" s="458"/>
      <c r="BA90" s="1305"/>
      <c r="BC90" s="169"/>
    </row>
    <row r="91" spans="2:55" ht="15.75" customHeight="1">
      <c r="B91" s="175"/>
      <c r="C91" s="617"/>
      <c r="D91" s="175"/>
      <c r="E91" s="177"/>
      <c r="F91" s="177"/>
      <c r="G91" s="458"/>
      <c r="K91" s="169"/>
      <c r="L91" s="169"/>
      <c r="M91" s="169"/>
      <c r="Q91" s="169"/>
      <c r="R91" s="169"/>
      <c r="S91" s="458"/>
      <c r="T91" s="169"/>
      <c r="U91" s="169"/>
      <c r="V91" s="169"/>
      <c r="W91" s="169"/>
      <c r="X91" s="169"/>
      <c r="Y91" s="169"/>
      <c r="Z91" s="169"/>
      <c r="AA91" s="169"/>
      <c r="AB91" s="169"/>
      <c r="AC91" s="169"/>
      <c r="AD91" s="169"/>
      <c r="AE91" s="169"/>
      <c r="AF91" s="169"/>
      <c r="AG91" s="617"/>
      <c r="AH91" s="169"/>
      <c r="AI91" s="169"/>
      <c r="AJ91" s="169"/>
      <c r="AK91" s="169"/>
      <c r="AL91" s="169"/>
      <c r="AM91" s="169"/>
      <c r="AN91" s="454"/>
      <c r="AO91" s="178"/>
      <c r="AP91" s="178"/>
      <c r="AY91" s="458"/>
      <c r="AZ91" s="458"/>
      <c r="BA91" s="1305"/>
      <c r="BC91" s="169"/>
    </row>
    <row r="92" spans="2:55" ht="15.75" customHeight="1">
      <c r="B92" s="175"/>
      <c r="C92" s="617"/>
      <c r="D92" s="175"/>
      <c r="E92" s="177"/>
      <c r="F92" s="177"/>
      <c r="G92" s="458"/>
      <c r="K92" s="169"/>
      <c r="L92" s="169"/>
      <c r="M92" s="169"/>
      <c r="N92" s="169"/>
      <c r="Q92" s="169"/>
      <c r="R92" s="169"/>
      <c r="S92" s="458"/>
      <c r="T92" s="169"/>
      <c r="U92" s="169"/>
      <c r="V92" s="169"/>
      <c r="W92" s="169"/>
      <c r="X92" s="169"/>
      <c r="Y92" s="169"/>
      <c r="Z92" s="169"/>
      <c r="AA92" s="169"/>
      <c r="AB92" s="169"/>
      <c r="AC92" s="169"/>
      <c r="AD92" s="169"/>
      <c r="AE92" s="169"/>
      <c r="AF92" s="169"/>
      <c r="AG92" s="617"/>
      <c r="AH92" s="169"/>
      <c r="AI92" s="169"/>
      <c r="AJ92" s="169"/>
      <c r="AK92" s="169"/>
      <c r="AL92" s="169"/>
      <c r="AM92" s="169"/>
      <c r="AN92" s="454"/>
      <c r="AO92" s="178"/>
      <c r="AP92" s="178"/>
      <c r="AY92" s="458"/>
      <c r="AZ92" s="458"/>
      <c r="BA92" s="1305"/>
      <c r="BC92" s="169"/>
    </row>
    <row r="93" spans="2:55" ht="15.75" customHeight="1">
      <c r="B93" s="175"/>
      <c r="C93" s="617"/>
      <c r="D93" s="175"/>
      <c r="E93" s="177"/>
      <c r="F93" s="177"/>
      <c r="G93" s="458"/>
      <c r="K93" s="169"/>
      <c r="L93" s="169"/>
      <c r="M93" s="169"/>
      <c r="Q93" s="169"/>
      <c r="R93" s="169"/>
      <c r="S93" s="458"/>
      <c r="T93" s="169"/>
      <c r="U93" s="169"/>
      <c r="V93" s="169"/>
      <c r="W93" s="169"/>
      <c r="X93" s="169"/>
      <c r="Y93" s="169"/>
      <c r="Z93" s="169"/>
      <c r="AA93" s="169"/>
      <c r="AB93" s="169"/>
      <c r="AC93" s="169"/>
      <c r="AD93" s="169"/>
      <c r="AE93" s="169"/>
      <c r="AF93" s="169"/>
      <c r="AG93" s="617"/>
      <c r="AH93" s="169"/>
      <c r="AI93" s="169"/>
      <c r="AJ93" s="169"/>
      <c r="AK93" s="169"/>
      <c r="AL93" s="169"/>
      <c r="AM93" s="169"/>
      <c r="AN93" s="454"/>
      <c r="AO93" s="178"/>
      <c r="AP93" s="178"/>
      <c r="AY93" s="458"/>
      <c r="AZ93" s="458"/>
      <c r="BA93" s="1305"/>
      <c r="BC93" s="169"/>
    </row>
    <row r="94" spans="2:55" ht="15.75" customHeight="1">
      <c r="B94" s="175"/>
      <c r="C94" s="617"/>
      <c r="D94" s="175"/>
      <c r="E94" s="177"/>
      <c r="F94" s="177"/>
      <c r="G94" s="458"/>
      <c r="I94" s="179"/>
      <c r="K94" s="169"/>
      <c r="L94" s="169"/>
      <c r="M94" s="169"/>
      <c r="Q94" s="169"/>
      <c r="R94" s="169"/>
      <c r="S94" s="458"/>
      <c r="T94" s="169"/>
      <c r="U94" s="169"/>
      <c r="V94" s="169"/>
      <c r="W94" s="169"/>
      <c r="X94" s="169"/>
      <c r="Y94" s="169"/>
      <c r="Z94" s="169"/>
      <c r="AA94" s="169"/>
      <c r="AB94" s="169"/>
      <c r="AC94" s="169"/>
      <c r="AD94" s="169"/>
      <c r="AE94" s="169"/>
      <c r="AF94" s="169"/>
      <c r="AG94" s="617"/>
      <c r="AH94" s="169"/>
      <c r="AI94" s="169"/>
      <c r="AJ94" s="169"/>
      <c r="AK94" s="169"/>
      <c r="AL94" s="169"/>
      <c r="AM94" s="169"/>
      <c r="AN94" s="454"/>
      <c r="AO94" s="178"/>
      <c r="AP94" s="178"/>
      <c r="AY94" s="458"/>
      <c r="AZ94" s="458"/>
      <c r="BA94" s="1305"/>
      <c r="BC94" s="169"/>
    </row>
    <row r="95" spans="2:55" ht="15.75" customHeight="1">
      <c r="B95" s="175"/>
      <c r="C95" s="617"/>
      <c r="D95" s="175"/>
      <c r="E95" s="177"/>
      <c r="F95" s="177"/>
      <c r="G95" s="458"/>
      <c r="K95" s="169"/>
      <c r="L95" s="169"/>
      <c r="M95" s="169"/>
      <c r="Q95" s="169"/>
      <c r="R95" s="169"/>
      <c r="S95" s="458"/>
      <c r="T95" s="169"/>
      <c r="U95" s="169"/>
      <c r="V95" s="169"/>
      <c r="W95" s="169"/>
      <c r="X95" s="169"/>
      <c r="Y95" s="169"/>
      <c r="Z95" s="169"/>
      <c r="AA95" s="169"/>
      <c r="AB95" s="169"/>
      <c r="AC95" s="169"/>
      <c r="AD95" s="169"/>
      <c r="AE95" s="169"/>
      <c r="AF95" s="169"/>
      <c r="AG95" s="617"/>
      <c r="AH95" s="169"/>
      <c r="AI95" s="169"/>
      <c r="AJ95" s="169"/>
      <c r="AK95" s="169"/>
      <c r="AL95" s="169"/>
      <c r="AM95" s="169"/>
      <c r="AN95" s="454"/>
      <c r="AO95" s="178"/>
      <c r="AP95" s="178"/>
      <c r="AY95" s="458"/>
      <c r="AZ95" s="458"/>
      <c r="BA95" s="1305"/>
      <c r="BC95" s="169"/>
    </row>
    <row r="96" spans="2:55" ht="15.75" customHeight="1">
      <c r="B96" s="175"/>
      <c r="C96" s="617"/>
      <c r="D96" s="175"/>
      <c r="E96" s="177"/>
      <c r="F96" s="177"/>
      <c r="G96" s="458"/>
      <c r="K96" s="169"/>
      <c r="L96" s="169"/>
      <c r="M96" s="169"/>
      <c r="Q96" s="169"/>
      <c r="R96" s="169"/>
      <c r="S96" s="458"/>
      <c r="T96" s="169"/>
      <c r="U96" s="169"/>
      <c r="V96" s="169"/>
      <c r="W96" s="169"/>
      <c r="X96" s="169"/>
      <c r="Y96" s="169"/>
      <c r="Z96" s="169"/>
      <c r="AA96" s="169"/>
      <c r="AB96" s="169"/>
      <c r="AC96" s="169"/>
      <c r="AD96" s="169"/>
      <c r="AE96" s="169"/>
      <c r="AF96" s="169"/>
      <c r="AG96" s="617"/>
      <c r="AH96" s="169"/>
      <c r="AI96" s="169"/>
      <c r="AJ96" s="169"/>
      <c r="AK96" s="169"/>
      <c r="AL96" s="169"/>
      <c r="AM96" s="169"/>
      <c r="AN96" s="454"/>
      <c r="AO96" s="178"/>
      <c r="AP96" s="178"/>
      <c r="AY96" s="458"/>
      <c r="AZ96" s="458"/>
      <c r="BA96" s="1305"/>
      <c r="BC96" s="169"/>
    </row>
    <row r="97" spans="2:55" ht="15.75" customHeight="1">
      <c r="B97" s="175"/>
      <c r="C97" s="617"/>
      <c r="D97" s="175"/>
      <c r="E97" s="177"/>
      <c r="F97" s="177"/>
      <c r="G97" s="458"/>
      <c r="K97" s="169"/>
      <c r="L97" s="169"/>
      <c r="M97" s="169"/>
      <c r="Q97" s="169"/>
      <c r="R97" s="169"/>
      <c r="S97" s="458"/>
      <c r="T97" s="169"/>
      <c r="U97" s="169"/>
      <c r="V97" s="169"/>
      <c r="W97" s="169"/>
      <c r="X97" s="169"/>
      <c r="Y97" s="169"/>
      <c r="Z97" s="169"/>
      <c r="AA97" s="169"/>
      <c r="AB97" s="169"/>
      <c r="AC97" s="169"/>
      <c r="AD97" s="169"/>
      <c r="AE97" s="169"/>
      <c r="AF97" s="169"/>
      <c r="AG97" s="617"/>
      <c r="AH97" s="169"/>
      <c r="AI97" s="169"/>
      <c r="AJ97" s="169"/>
      <c r="AK97" s="169"/>
      <c r="AL97" s="169"/>
      <c r="AM97" s="169"/>
      <c r="AN97" s="454"/>
      <c r="AO97" s="178"/>
      <c r="AP97" s="178"/>
      <c r="AY97" s="458"/>
      <c r="AZ97" s="458"/>
      <c r="BA97" s="1305"/>
      <c r="BC97" s="169"/>
    </row>
    <row r="98" spans="2:55" ht="15.75" customHeight="1">
      <c r="B98" s="175"/>
      <c r="C98" s="617"/>
      <c r="D98" s="175"/>
      <c r="E98" s="177"/>
      <c r="F98" s="177"/>
      <c r="G98" s="458"/>
      <c r="K98" s="169"/>
      <c r="L98" s="169"/>
      <c r="M98" s="169"/>
      <c r="N98" s="169"/>
      <c r="Q98" s="169"/>
      <c r="R98" s="169"/>
      <c r="S98" s="458"/>
      <c r="T98" s="169"/>
      <c r="U98" s="169"/>
      <c r="V98" s="169"/>
      <c r="W98" s="169"/>
      <c r="X98" s="169"/>
      <c r="Y98" s="169"/>
      <c r="Z98" s="169"/>
      <c r="AA98" s="169"/>
      <c r="AB98" s="169"/>
      <c r="AC98" s="169"/>
      <c r="AD98" s="169"/>
      <c r="AE98" s="169"/>
      <c r="AF98" s="169"/>
      <c r="AG98" s="617"/>
      <c r="AH98" s="169"/>
      <c r="AI98" s="169"/>
      <c r="AJ98" s="169"/>
      <c r="AK98" s="169"/>
      <c r="AL98" s="169"/>
      <c r="AM98" s="169"/>
      <c r="AN98" s="454"/>
      <c r="AO98" s="178"/>
      <c r="AP98" s="178"/>
      <c r="AY98" s="458"/>
      <c r="AZ98" s="458"/>
      <c r="BA98" s="1305"/>
      <c r="BC98" s="169"/>
    </row>
    <row r="99" spans="2:55" ht="15.75" customHeight="1">
      <c r="B99" s="175"/>
      <c r="C99" s="617"/>
      <c r="D99" s="175"/>
      <c r="E99" s="177"/>
      <c r="F99" s="177"/>
      <c r="G99" s="458"/>
      <c r="K99" s="169"/>
      <c r="L99" s="169"/>
      <c r="M99" s="169"/>
      <c r="Q99" s="169"/>
      <c r="R99" s="169"/>
      <c r="S99" s="458"/>
      <c r="T99" s="169"/>
      <c r="U99" s="169"/>
      <c r="V99" s="169"/>
      <c r="W99" s="169"/>
      <c r="X99" s="169"/>
      <c r="Y99" s="169"/>
      <c r="Z99" s="169"/>
      <c r="AA99" s="169"/>
      <c r="AB99" s="169"/>
      <c r="AC99" s="169"/>
      <c r="AD99" s="169"/>
      <c r="AE99" s="169"/>
      <c r="AF99" s="169"/>
      <c r="AG99" s="617"/>
      <c r="AH99" s="169"/>
      <c r="AI99" s="169"/>
      <c r="AJ99" s="169"/>
      <c r="AK99" s="169"/>
      <c r="AL99" s="169"/>
      <c r="AM99" s="169"/>
      <c r="AN99" s="454"/>
      <c r="AO99" s="178"/>
      <c r="AP99" s="178"/>
      <c r="AY99" s="458"/>
      <c r="AZ99" s="458"/>
      <c r="BA99" s="1305"/>
      <c r="BC99" s="169"/>
    </row>
    <row r="100" spans="2:55" ht="15.75" customHeight="1">
      <c r="B100" s="175"/>
      <c r="C100" s="617"/>
      <c r="D100" s="175"/>
      <c r="E100" s="177"/>
      <c r="F100" s="177"/>
      <c r="G100" s="458"/>
      <c r="H100" s="169"/>
      <c r="K100" s="169"/>
      <c r="L100" s="169"/>
      <c r="M100" s="169"/>
      <c r="N100" s="169"/>
      <c r="O100" s="682"/>
      <c r="Q100" s="169"/>
      <c r="R100" s="169"/>
      <c r="S100" s="458"/>
      <c r="T100" s="169"/>
      <c r="U100" s="169"/>
      <c r="V100" s="169"/>
      <c r="W100" s="169"/>
      <c r="X100" s="169"/>
      <c r="Y100" s="169"/>
      <c r="Z100" s="169"/>
      <c r="AA100" s="169"/>
      <c r="AB100" s="169"/>
      <c r="AC100" s="169"/>
      <c r="AD100" s="169"/>
      <c r="AE100" s="169"/>
      <c r="AF100" s="169"/>
      <c r="AG100" s="617"/>
      <c r="AH100" s="169"/>
      <c r="AI100" s="169"/>
      <c r="AJ100" s="169"/>
      <c r="AK100" s="169"/>
      <c r="AL100" s="169"/>
      <c r="AM100" s="169"/>
      <c r="AN100" s="454"/>
      <c r="AO100" s="178"/>
      <c r="AP100" s="178"/>
      <c r="AY100" s="458"/>
      <c r="AZ100" s="458"/>
      <c r="BA100" s="1305"/>
      <c r="BC100" s="169"/>
    </row>
    <row r="101" spans="2:55" ht="15.75" customHeight="1">
      <c r="B101" s="175"/>
      <c r="C101" s="617"/>
      <c r="D101" s="175"/>
      <c r="E101" s="177"/>
      <c r="F101" s="177"/>
      <c r="G101" s="458"/>
      <c r="K101" s="169"/>
      <c r="L101" s="169"/>
      <c r="M101" s="169"/>
      <c r="Q101" s="169"/>
      <c r="R101" s="169"/>
      <c r="S101" s="458"/>
      <c r="T101" s="169"/>
      <c r="U101" s="169"/>
      <c r="V101" s="169"/>
      <c r="W101" s="169"/>
      <c r="X101" s="169"/>
      <c r="Y101" s="169"/>
      <c r="Z101" s="169"/>
      <c r="AA101" s="169"/>
      <c r="AB101" s="169"/>
      <c r="AC101" s="169"/>
      <c r="AD101" s="169"/>
      <c r="AE101" s="169"/>
      <c r="AF101" s="169"/>
      <c r="AG101" s="617"/>
      <c r="AH101" s="169"/>
      <c r="AI101" s="169"/>
      <c r="AJ101" s="169"/>
      <c r="AK101" s="169"/>
      <c r="AL101" s="169"/>
      <c r="AM101" s="169"/>
      <c r="AN101" s="454"/>
      <c r="AO101" s="178"/>
      <c r="AP101" s="178"/>
      <c r="AY101" s="458"/>
      <c r="AZ101" s="458"/>
      <c r="BA101" s="1305"/>
      <c r="BC101" s="169"/>
    </row>
    <row r="102" spans="2:55" ht="15.75" customHeight="1">
      <c r="B102" s="175"/>
      <c r="C102" s="617"/>
      <c r="D102" s="175"/>
      <c r="E102" s="177"/>
      <c r="F102" s="177"/>
      <c r="G102" s="458"/>
      <c r="I102" s="182"/>
      <c r="K102" s="169"/>
      <c r="L102" s="169"/>
      <c r="M102" s="169"/>
      <c r="Q102" s="169"/>
      <c r="R102" s="169"/>
      <c r="S102" s="458"/>
      <c r="T102" s="169"/>
      <c r="U102" s="169"/>
      <c r="V102" s="169"/>
      <c r="W102" s="169"/>
      <c r="X102" s="169"/>
      <c r="Y102" s="169"/>
      <c r="Z102" s="169"/>
      <c r="AA102" s="169"/>
      <c r="AB102" s="169"/>
      <c r="AC102" s="169"/>
      <c r="AD102" s="169"/>
      <c r="AE102" s="169"/>
      <c r="AF102" s="169"/>
      <c r="AG102" s="617"/>
      <c r="AH102" s="169"/>
      <c r="AI102" s="169"/>
      <c r="AJ102" s="169"/>
      <c r="AK102" s="169"/>
      <c r="AL102" s="169"/>
      <c r="AM102" s="169"/>
      <c r="AN102" s="454"/>
      <c r="AO102" s="178"/>
      <c r="AP102" s="178"/>
      <c r="AY102" s="458"/>
      <c r="AZ102" s="458"/>
      <c r="BA102" s="1305"/>
      <c r="BC102" s="169"/>
    </row>
    <row r="103" spans="2:55" ht="15.75" customHeight="1">
      <c r="B103" s="175"/>
      <c r="C103" s="617"/>
      <c r="D103" s="175"/>
      <c r="E103" s="177"/>
      <c r="F103" s="177"/>
      <c r="G103" s="458"/>
      <c r="K103" s="169"/>
      <c r="L103" s="169"/>
      <c r="M103" s="169"/>
      <c r="Q103" s="169"/>
      <c r="R103" s="169"/>
      <c r="S103" s="458"/>
      <c r="T103" s="169"/>
      <c r="U103" s="169"/>
      <c r="V103" s="169"/>
      <c r="W103" s="169"/>
      <c r="X103" s="169"/>
      <c r="Y103" s="169"/>
      <c r="Z103" s="169"/>
      <c r="AA103" s="169"/>
      <c r="AB103" s="169"/>
      <c r="AC103" s="169"/>
      <c r="AD103" s="169"/>
      <c r="AE103" s="169"/>
      <c r="AF103" s="169"/>
      <c r="AG103" s="617"/>
      <c r="AH103" s="169"/>
      <c r="AI103" s="169"/>
      <c r="AJ103" s="169"/>
      <c r="AK103" s="169"/>
      <c r="AL103" s="169"/>
      <c r="AM103" s="169"/>
      <c r="AN103" s="454"/>
      <c r="AO103" s="178"/>
      <c r="AP103" s="178"/>
      <c r="AY103" s="458"/>
      <c r="AZ103" s="458"/>
      <c r="BA103" s="1305"/>
      <c r="BC103" s="169"/>
    </row>
    <row r="104" spans="2:55" ht="15.75" customHeight="1">
      <c r="B104" s="175"/>
      <c r="C104" s="617"/>
      <c r="D104" s="175"/>
      <c r="E104" s="177"/>
      <c r="F104" s="177"/>
      <c r="G104" s="458"/>
      <c r="K104" s="169"/>
      <c r="L104" s="169"/>
      <c r="M104" s="169"/>
      <c r="Q104" s="169"/>
      <c r="R104" s="169"/>
      <c r="S104" s="458"/>
      <c r="T104" s="169"/>
      <c r="U104" s="169"/>
      <c r="V104" s="169"/>
      <c r="W104" s="169"/>
      <c r="X104" s="169"/>
      <c r="Y104" s="169"/>
      <c r="Z104" s="169"/>
      <c r="AA104" s="169"/>
      <c r="AB104" s="169"/>
      <c r="AC104" s="169"/>
      <c r="AD104" s="169"/>
      <c r="AE104" s="169"/>
      <c r="AF104" s="169"/>
      <c r="AG104" s="617"/>
      <c r="AH104" s="169"/>
      <c r="AI104" s="169"/>
      <c r="AJ104" s="169"/>
      <c r="AK104" s="169"/>
      <c r="AL104" s="169"/>
      <c r="AM104" s="169"/>
      <c r="AN104" s="454"/>
      <c r="AO104" s="178"/>
      <c r="AP104" s="178"/>
      <c r="AY104" s="458"/>
      <c r="AZ104" s="458"/>
      <c r="BA104" s="1305"/>
      <c r="BC104" s="169"/>
    </row>
    <row r="105" spans="2:55" ht="15.75" customHeight="1">
      <c r="B105" s="175"/>
      <c r="C105" s="617"/>
      <c r="D105" s="175"/>
      <c r="E105" s="177"/>
      <c r="F105" s="177"/>
      <c r="G105" s="458"/>
      <c r="I105" s="169"/>
      <c r="K105" s="169"/>
      <c r="L105" s="169"/>
      <c r="M105" s="169"/>
      <c r="Q105" s="169"/>
      <c r="R105" s="169"/>
      <c r="S105" s="458"/>
      <c r="T105" s="169"/>
      <c r="U105" s="169"/>
      <c r="V105" s="169"/>
      <c r="W105" s="169"/>
      <c r="X105" s="169"/>
      <c r="Y105" s="169"/>
      <c r="Z105" s="169"/>
      <c r="AA105" s="169"/>
      <c r="AB105" s="169"/>
      <c r="AC105" s="169"/>
      <c r="AD105" s="169"/>
      <c r="AE105" s="169"/>
      <c r="AF105" s="169"/>
      <c r="AG105" s="617"/>
      <c r="AH105" s="169"/>
      <c r="AI105" s="169"/>
      <c r="AJ105" s="169"/>
      <c r="AK105" s="169"/>
      <c r="AL105" s="169"/>
      <c r="AM105" s="169"/>
      <c r="AN105" s="454"/>
      <c r="AO105" s="178"/>
      <c r="AP105" s="178"/>
      <c r="AY105" s="458"/>
      <c r="AZ105" s="458"/>
      <c r="BA105" s="1305"/>
      <c r="BC105" s="169"/>
    </row>
    <row r="106" spans="2:55" ht="15.75" customHeight="1">
      <c r="B106" s="175"/>
      <c r="C106" s="617"/>
      <c r="D106" s="175"/>
      <c r="E106" s="177"/>
      <c r="F106" s="177"/>
      <c r="G106" s="458"/>
      <c r="K106" s="169"/>
      <c r="L106" s="169"/>
      <c r="M106" s="169"/>
      <c r="N106" s="169"/>
      <c r="Q106" s="169"/>
      <c r="R106" s="169"/>
      <c r="S106" s="458"/>
      <c r="T106" s="169"/>
      <c r="U106" s="169"/>
      <c r="V106" s="169"/>
      <c r="W106" s="169"/>
      <c r="X106" s="169"/>
      <c r="Y106" s="169"/>
      <c r="Z106" s="169"/>
      <c r="AA106" s="169"/>
      <c r="AB106" s="169"/>
      <c r="AC106" s="169"/>
      <c r="AD106" s="169"/>
      <c r="AE106" s="169"/>
      <c r="AF106" s="169"/>
      <c r="AG106" s="617"/>
      <c r="AH106" s="169"/>
      <c r="AI106" s="169"/>
      <c r="AJ106" s="169"/>
      <c r="AK106" s="169"/>
      <c r="AL106" s="169"/>
      <c r="AM106" s="169"/>
      <c r="AN106" s="454"/>
      <c r="AO106" s="178"/>
      <c r="AP106" s="178"/>
      <c r="AY106" s="458"/>
      <c r="AZ106" s="458"/>
      <c r="BA106" s="1305"/>
      <c r="BC106" s="169"/>
    </row>
    <row r="107" spans="2:55" ht="15.75" customHeight="1">
      <c r="B107" s="175"/>
      <c r="C107" s="617"/>
      <c r="D107" s="177"/>
      <c r="E107" s="169"/>
      <c r="F107" s="177"/>
      <c r="G107" s="458"/>
      <c r="K107" s="169"/>
      <c r="L107" s="169"/>
      <c r="M107" s="169"/>
      <c r="Q107" s="169"/>
      <c r="R107" s="169"/>
      <c r="S107" s="458"/>
      <c r="T107" s="169"/>
      <c r="U107" s="169"/>
      <c r="V107" s="169"/>
      <c r="W107" s="169"/>
      <c r="X107" s="169"/>
      <c r="Y107" s="169"/>
      <c r="Z107" s="169"/>
      <c r="AA107" s="169"/>
      <c r="AB107" s="169"/>
      <c r="AC107" s="169"/>
      <c r="AD107" s="169"/>
      <c r="AE107" s="169"/>
      <c r="AF107" s="169"/>
      <c r="AG107" s="617"/>
      <c r="AH107" s="169"/>
      <c r="AI107" s="169"/>
      <c r="AJ107" s="169"/>
      <c r="AK107" s="169"/>
      <c r="AL107" s="169"/>
      <c r="AM107" s="169"/>
      <c r="AN107" s="454"/>
      <c r="AO107" s="178"/>
      <c r="AP107" s="178"/>
      <c r="AY107" s="458"/>
      <c r="AZ107" s="458"/>
      <c r="BA107" s="1305"/>
      <c r="BC107" s="169"/>
    </row>
    <row r="108" spans="2:55" ht="15.75" customHeight="1">
      <c r="B108" s="175"/>
      <c r="C108" s="617"/>
      <c r="D108" s="177"/>
      <c r="E108" s="169"/>
      <c r="F108" s="177"/>
      <c r="G108" s="458"/>
      <c r="K108" s="169"/>
      <c r="L108" s="169"/>
      <c r="M108" s="169"/>
      <c r="Q108" s="169"/>
      <c r="R108" s="169"/>
      <c r="S108" s="458"/>
      <c r="T108" s="169"/>
      <c r="U108" s="169"/>
      <c r="V108" s="169"/>
      <c r="W108" s="169"/>
      <c r="X108" s="169"/>
      <c r="Y108" s="169"/>
      <c r="Z108" s="169"/>
      <c r="AA108" s="169"/>
      <c r="AB108" s="169"/>
      <c r="AC108" s="169"/>
      <c r="AD108" s="169"/>
      <c r="AE108" s="169"/>
      <c r="AF108" s="169"/>
      <c r="AG108" s="617"/>
      <c r="AH108" s="169"/>
      <c r="AI108" s="169"/>
      <c r="AJ108" s="169"/>
      <c r="AK108" s="169"/>
      <c r="AL108" s="169"/>
      <c r="AM108" s="169"/>
      <c r="AN108" s="454"/>
      <c r="AO108" s="178"/>
      <c r="AP108" s="178"/>
      <c r="AY108" s="458"/>
      <c r="AZ108" s="458"/>
      <c r="BA108" s="1305"/>
      <c r="BC108" s="169"/>
    </row>
    <row r="109" spans="2:55" ht="15.75" customHeight="1">
      <c r="B109" s="175"/>
      <c r="C109" s="617"/>
      <c r="D109" s="177"/>
      <c r="E109" s="169"/>
      <c r="F109" s="177"/>
      <c r="G109" s="458"/>
      <c r="K109" s="169"/>
      <c r="L109" s="169"/>
      <c r="M109" s="169"/>
      <c r="Q109" s="169"/>
      <c r="R109" s="169"/>
      <c r="S109" s="458"/>
      <c r="T109" s="169"/>
      <c r="U109" s="169"/>
      <c r="V109" s="169"/>
      <c r="W109" s="169"/>
      <c r="X109" s="169"/>
      <c r="Y109" s="169"/>
      <c r="Z109" s="169"/>
      <c r="AA109" s="169"/>
      <c r="AB109" s="169"/>
      <c r="AC109" s="169"/>
      <c r="AD109" s="169"/>
      <c r="AE109" s="169"/>
      <c r="AF109" s="169"/>
      <c r="AG109" s="617"/>
      <c r="AH109" s="169"/>
      <c r="AI109" s="169"/>
      <c r="AJ109" s="169"/>
      <c r="AK109" s="169"/>
      <c r="AL109" s="169"/>
      <c r="AM109" s="169"/>
      <c r="AN109" s="454"/>
      <c r="AO109" s="178"/>
      <c r="AP109" s="178"/>
      <c r="AY109" s="458"/>
      <c r="AZ109" s="458"/>
      <c r="BA109" s="1305"/>
      <c r="BC109" s="169"/>
    </row>
    <row r="110" spans="2:55" ht="15.75" customHeight="1">
      <c r="B110" s="175"/>
      <c r="C110" s="617"/>
      <c r="D110" s="177"/>
      <c r="E110" s="169"/>
      <c r="F110" s="177"/>
      <c r="G110" s="458"/>
      <c r="K110" s="169"/>
      <c r="L110" s="169"/>
      <c r="M110" s="169"/>
      <c r="Q110" s="169"/>
      <c r="R110" s="169"/>
      <c r="S110" s="458"/>
      <c r="T110" s="169"/>
      <c r="U110" s="169"/>
      <c r="V110" s="169"/>
      <c r="W110" s="169"/>
      <c r="X110" s="169"/>
      <c r="Y110" s="169"/>
      <c r="Z110" s="169"/>
      <c r="AA110" s="169"/>
      <c r="AB110" s="169"/>
      <c r="AC110" s="169"/>
      <c r="AD110" s="169"/>
      <c r="AE110" s="169"/>
      <c r="AF110" s="169"/>
      <c r="AG110" s="617"/>
      <c r="AH110" s="169"/>
      <c r="AI110" s="169"/>
      <c r="AJ110" s="169"/>
      <c r="AK110" s="169"/>
      <c r="AL110" s="169"/>
      <c r="AM110" s="169"/>
      <c r="AN110" s="454"/>
      <c r="AO110" s="178"/>
      <c r="AP110" s="178"/>
      <c r="AY110" s="458"/>
      <c r="AZ110" s="458"/>
      <c r="BA110" s="1305"/>
      <c r="BC110" s="169"/>
    </row>
    <row r="111" spans="2:55" ht="15.75" customHeight="1">
      <c r="B111" s="175"/>
      <c r="C111" s="617"/>
      <c r="D111" s="177"/>
      <c r="E111" s="169"/>
      <c r="F111" s="177"/>
      <c r="G111" s="458"/>
      <c r="K111" s="169"/>
      <c r="L111" s="169"/>
      <c r="M111" s="169"/>
      <c r="Q111" s="169"/>
      <c r="R111" s="169"/>
      <c r="S111" s="458"/>
      <c r="T111" s="169"/>
      <c r="U111" s="169"/>
      <c r="V111" s="169"/>
      <c r="W111" s="169"/>
      <c r="X111" s="169"/>
      <c r="Y111" s="169"/>
      <c r="Z111" s="169"/>
      <c r="AA111" s="169"/>
      <c r="AB111" s="169"/>
      <c r="AC111" s="169"/>
      <c r="AD111" s="169"/>
      <c r="AE111" s="169"/>
      <c r="AF111" s="169"/>
      <c r="AG111" s="617"/>
      <c r="AH111" s="169"/>
      <c r="AI111" s="169"/>
      <c r="AJ111" s="169"/>
      <c r="AK111" s="169"/>
      <c r="AL111" s="169"/>
      <c r="AM111" s="169"/>
      <c r="AN111" s="454"/>
      <c r="AO111" s="178"/>
      <c r="AP111" s="178"/>
      <c r="AY111" s="458"/>
      <c r="AZ111" s="458"/>
      <c r="BA111" s="1305"/>
      <c r="BC111" s="169"/>
    </row>
    <row r="112" spans="2:55" ht="15.75" customHeight="1">
      <c r="B112" s="175"/>
      <c r="C112" s="617"/>
      <c r="D112" s="177"/>
      <c r="E112" s="169"/>
      <c r="F112" s="177"/>
      <c r="G112" s="458"/>
      <c r="K112" s="169"/>
      <c r="L112" s="169"/>
      <c r="M112" s="169"/>
      <c r="Q112" s="169"/>
      <c r="R112" s="169"/>
      <c r="S112" s="458"/>
      <c r="T112" s="169"/>
      <c r="U112" s="169"/>
      <c r="V112" s="169"/>
      <c r="W112" s="169"/>
      <c r="X112" s="169"/>
      <c r="Y112" s="169"/>
      <c r="Z112" s="169"/>
      <c r="AA112" s="169"/>
      <c r="AB112" s="169"/>
      <c r="AC112" s="169"/>
      <c r="AD112" s="169"/>
      <c r="AE112" s="169"/>
      <c r="AF112" s="169"/>
      <c r="AG112" s="617"/>
      <c r="AH112" s="169"/>
      <c r="AI112" s="169"/>
      <c r="AJ112" s="169"/>
      <c r="AK112" s="169"/>
      <c r="AL112" s="169"/>
      <c r="AM112" s="169"/>
      <c r="AN112" s="454"/>
      <c r="AO112" s="178"/>
      <c r="AP112" s="178"/>
      <c r="AY112" s="458"/>
      <c r="AZ112" s="458"/>
      <c r="BA112" s="1305"/>
      <c r="BC112" s="169"/>
    </row>
    <row r="113" spans="2:55" ht="15.75" customHeight="1">
      <c r="B113" s="175"/>
      <c r="C113" s="617"/>
      <c r="D113" s="177"/>
      <c r="E113" s="169"/>
      <c r="F113" s="177"/>
      <c r="G113" s="458"/>
      <c r="K113" s="169"/>
      <c r="L113" s="169"/>
      <c r="M113" s="169"/>
      <c r="Q113" s="169"/>
      <c r="R113" s="169"/>
      <c r="S113" s="458"/>
      <c r="T113" s="169"/>
      <c r="U113" s="169"/>
      <c r="V113" s="169"/>
      <c r="W113" s="169"/>
      <c r="X113" s="169"/>
      <c r="Y113" s="169"/>
      <c r="Z113" s="169"/>
      <c r="AA113" s="169"/>
      <c r="AB113" s="169"/>
      <c r="AC113" s="169"/>
      <c r="AD113" s="169"/>
      <c r="AE113" s="169"/>
      <c r="AF113" s="169"/>
      <c r="AG113" s="617"/>
      <c r="AH113" s="169"/>
      <c r="AI113" s="169"/>
      <c r="AJ113" s="169"/>
      <c r="AK113" s="169"/>
      <c r="AL113" s="169"/>
      <c r="AM113" s="169"/>
      <c r="AN113" s="454"/>
      <c r="AO113" s="178"/>
      <c r="AP113" s="178"/>
      <c r="AY113" s="458"/>
      <c r="AZ113" s="458"/>
      <c r="BA113" s="1305"/>
      <c r="BC113" s="169"/>
    </row>
    <row r="114" spans="2:55" ht="15.75" customHeight="1">
      <c r="B114" s="175"/>
      <c r="C114" s="617"/>
      <c r="D114" s="177"/>
      <c r="E114" s="169"/>
      <c r="F114" s="177"/>
      <c r="G114" s="458"/>
      <c r="K114" s="169"/>
      <c r="L114" s="169"/>
      <c r="M114" s="169"/>
      <c r="Q114" s="169"/>
      <c r="R114" s="169"/>
      <c r="S114" s="458"/>
      <c r="T114" s="169"/>
      <c r="U114" s="169"/>
      <c r="V114" s="169"/>
      <c r="W114" s="169"/>
      <c r="X114" s="169"/>
      <c r="Y114" s="169"/>
      <c r="Z114" s="169"/>
      <c r="AA114" s="169"/>
      <c r="AB114" s="169"/>
      <c r="AC114" s="169"/>
      <c r="AD114" s="169"/>
      <c r="AE114" s="169"/>
      <c r="AF114" s="169"/>
      <c r="AG114" s="617"/>
      <c r="AH114" s="169"/>
      <c r="AI114" s="169"/>
      <c r="AJ114" s="169"/>
      <c r="AK114" s="169"/>
      <c r="AL114" s="169"/>
      <c r="AM114" s="169"/>
      <c r="AN114" s="454"/>
      <c r="AO114" s="178"/>
      <c r="AP114" s="178"/>
      <c r="AY114" s="458"/>
      <c r="AZ114" s="458"/>
      <c r="BA114" s="1305"/>
      <c r="BC114" s="169"/>
    </row>
    <row r="115" spans="2:55" ht="15.75" customHeight="1">
      <c r="B115" s="175"/>
      <c r="C115" s="617"/>
      <c r="D115" s="177"/>
      <c r="E115" s="169"/>
      <c r="F115" s="177"/>
      <c r="G115" s="458"/>
      <c r="K115" s="169"/>
      <c r="L115" s="169"/>
      <c r="M115" s="169"/>
      <c r="Q115" s="169"/>
      <c r="R115" s="169"/>
      <c r="S115" s="458"/>
      <c r="T115" s="169"/>
      <c r="U115" s="169"/>
      <c r="V115" s="169"/>
      <c r="W115" s="169"/>
      <c r="X115" s="169"/>
      <c r="Y115" s="169"/>
      <c r="Z115" s="169"/>
      <c r="AA115" s="169"/>
      <c r="AB115" s="169"/>
      <c r="AC115" s="169"/>
      <c r="AD115" s="169"/>
      <c r="AE115" s="169"/>
      <c r="AF115" s="169"/>
      <c r="AG115" s="617"/>
      <c r="AH115" s="169"/>
      <c r="AI115" s="169"/>
      <c r="AJ115" s="169"/>
      <c r="AK115" s="169"/>
      <c r="AL115" s="169"/>
      <c r="AM115" s="169"/>
      <c r="AN115" s="454"/>
      <c r="AO115" s="178"/>
      <c r="AP115" s="178"/>
      <c r="AY115" s="458"/>
      <c r="AZ115" s="458"/>
      <c r="BA115" s="1305"/>
      <c r="BC115" s="169"/>
    </row>
    <row r="116" spans="2:55" ht="15.75" customHeight="1">
      <c r="B116" s="175"/>
      <c r="C116" s="617"/>
      <c r="D116" s="177"/>
      <c r="E116" s="169"/>
      <c r="F116" s="177"/>
      <c r="G116" s="458"/>
      <c r="K116" s="169"/>
      <c r="L116" s="169"/>
      <c r="M116" s="169"/>
      <c r="Q116" s="169"/>
      <c r="R116" s="169"/>
      <c r="S116" s="458"/>
      <c r="T116" s="169"/>
      <c r="U116" s="169"/>
      <c r="V116" s="169"/>
      <c r="W116" s="169"/>
      <c r="X116" s="169"/>
      <c r="Y116" s="169"/>
      <c r="Z116" s="169"/>
      <c r="AA116" s="169"/>
      <c r="AB116" s="169"/>
      <c r="AC116" s="169"/>
      <c r="AD116" s="169"/>
      <c r="AE116" s="169"/>
      <c r="AF116" s="169"/>
      <c r="AG116" s="617"/>
      <c r="AH116" s="169"/>
      <c r="AI116" s="169"/>
      <c r="AJ116" s="169"/>
      <c r="AK116" s="169"/>
      <c r="AL116" s="169"/>
      <c r="AM116" s="169"/>
      <c r="AN116" s="454"/>
      <c r="AO116" s="178"/>
      <c r="AP116" s="178"/>
      <c r="AY116" s="458"/>
      <c r="AZ116" s="458"/>
      <c r="BA116" s="1305"/>
      <c r="BC116" s="169"/>
    </row>
    <row r="117" spans="2:55" ht="15.75" customHeight="1">
      <c r="B117" s="175"/>
      <c r="C117" s="617"/>
      <c r="D117" s="177"/>
      <c r="E117" s="169"/>
      <c r="F117" s="177"/>
      <c r="G117" s="458"/>
      <c r="K117" s="169"/>
      <c r="L117" s="169"/>
      <c r="M117" s="169"/>
      <c r="Q117" s="169"/>
      <c r="R117" s="169"/>
      <c r="S117" s="458"/>
      <c r="T117" s="169"/>
      <c r="U117" s="169"/>
      <c r="V117" s="169"/>
      <c r="W117" s="169"/>
      <c r="X117" s="169"/>
      <c r="Y117" s="169"/>
      <c r="Z117" s="169"/>
      <c r="AA117" s="169"/>
      <c r="AB117" s="169"/>
      <c r="AC117" s="169"/>
      <c r="AD117" s="169"/>
      <c r="AE117" s="169"/>
      <c r="AF117" s="169"/>
      <c r="AG117" s="617"/>
      <c r="AH117" s="169"/>
      <c r="AI117" s="169"/>
      <c r="AJ117" s="169"/>
      <c r="AK117" s="169"/>
      <c r="AL117" s="169"/>
      <c r="AM117" s="169"/>
      <c r="AN117" s="454"/>
      <c r="AO117" s="178"/>
      <c r="AP117" s="178"/>
      <c r="AY117" s="458"/>
      <c r="AZ117" s="458"/>
      <c r="BA117" s="1305"/>
      <c r="BC117" s="169"/>
    </row>
    <row r="118" spans="2:55" ht="15.75" customHeight="1">
      <c r="B118" s="175"/>
      <c r="C118" s="617"/>
      <c r="D118" s="177"/>
      <c r="E118" s="169"/>
      <c r="F118" s="177"/>
      <c r="G118" s="458"/>
      <c r="K118" s="169"/>
      <c r="L118" s="169"/>
      <c r="M118" s="169"/>
      <c r="Q118" s="169"/>
      <c r="R118" s="169"/>
      <c r="S118" s="458"/>
      <c r="T118" s="169"/>
      <c r="U118" s="169"/>
      <c r="V118" s="169"/>
      <c r="W118" s="169"/>
      <c r="X118" s="169"/>
      <c r="Y118" s="169"/>
      <c r="Z118" s="169"/>
      <c r="AA118" s="169"/>
      <c r="AB118" s="169"/>
      <c r="AC118" s="169"/>
      <c r="AD118" s="169"/>
      <c r="AE118" s="169"/>
      <c r="AF118" s="169"/>
      <c r="AG118" s="617"/>
      <c r="AH118" s="169"/>
      <c r="AI118" s="169"/>
      <c r="AJ118" s="169"/>
      <c r="AK118" s="169"/>
      <c r="AL118" s="169"/>
      <c r="AM118" s="169"/>
      <c r="AN118" s="454"/>
      <c r="AO118" s="178"/>
      <c r="AP118" s="178"/>
      <c r="AY118" s="458"/>
      <c r="AZ118" s="458"/>
      <c r="BA118" s="1305"/>
      <c r="BC118" s="169"/>
    </row>
    <row r="119" spans="2:55" ht="15.75" customHeight="1">
      <c r="B119" s="175"/>
      <c r="C119" s="617"/>
      <c r="D119" s="177"/>
      <c r="E119" s="169"/>
      <c r="F119" s="177"/>
      <c r="G119" s="458"/>
      <c r="K119" s="169"/>
      <c r="L119" s="169"/>
      <c r="M119" s="169"/>
      <c r="Q119" s="169"/>
      <c r="R119" s="169"/>
      <c r="S119" s="458"/>
      <c r="T119" s="169"/>
      <c r="U119" s="169"/>
      <c r="V119" s="169"/>
      <c r="W119" s="169"/>
      <c r="X119" s="169"/>
      <c r="Y119" s="169"/>
      <c r="Z119" s="169"/>
      <c r="AA119" s="169"/>
      <c r="AB119" s="169"/>
      <c r="AC119" s="169"/>
      <c r="AD119" s="169"/>
      <c r="AE119" s="169"/>
      <c r="AF119" s="169"/>
      <c r="AG119" s="617"/>
      <c r="AH119" s="169"/>
      <c r="AI119" s="169"/>
      <c r="AJ119" s="169"/>
      <c r="AK119" s="169"/>
      <c r="AL119" s="169"/>
      <c r="AM119" s="169"/>
      <c r="AN119" s="454"/>
      <c r="AO119" s="178"/>
      <c r="AP119" s="178"/>
      <c r="AY119" s="458"/>
      <c r="AZ119" s="458"/>
      <c r="BA119" s="1305"/>
      <c r="BC119" s="169"/>
    </row>
    <row r="120" spans="2:55" ht="15.75" customHeight="1">
      <c r="B120" s="175"/>
      <c r="C120" s="617"/>
      <c r="D120" s="177"/>
      <c r="E120" s="169"/>
      <c r="F120" s="177"/>
      <c r="G120" s="458"/>
      <c r="K120" s="169"/>
      <c r="L120" s="169"/>
      <c r="M120" s="169"/>
      <c r="Q120" s="169"/>
      <c r="R120" s="169"/>
      <c r="S120" s="458"/>
      <c r="T120" s="169"/>
      <c r="U120" s="169"/>
      <c r="V120" s="169"/>
      <c r="W120" s="169"/>
      <c r="X120" s="169"/>
      <c r="Y120" s="169"/>
      <c r="Z120" s="169"/>
      <c r="AA120" s="169"/>
      <c r="AB120" s="169"/>
      <c r="AC120" s="169"/>
      <c r="AD120" s="169"/>
      <c r="AE120" s="169"/>
      <c r="AF120" s="169"/>
      <c r="AG120" s="617"/>
      <c r="AH120" s="169"/>
      <c r="AI120" s="169"/>
      <c r="AJ120" s="169"/>
      <c r="AK120" s="169"/>
      <c r="AL120" s="169"/>
      <c r="AM120" s="169"/>
      <c r="AN120" s="454"/>
      <c r="AO120" s="178"/>
      <c r="AP120" s="178"/>
      <c r="AY120" s="458"/>
      <c r="AZ120" s="458"/>
      <c r="BA120" s="1305"/>
      <c r="BC120" s="169"/>
    </row>
    <row r="121" spans="2:55" ht="15.75" customHeight="1">
      <c r="B121" s="175"/>
      <c r="C121" s="617"/>
      <c r="D121" s="177"/>
      <c r="E121" s="169"/>
      <c r="F121" s="177"/>
      <c r="G121" s="458"/>
      <c r="K121" s="169"/>
      <c r="L121" s="169"/>
      <c r="M121" s="169"/>
      <c r="Q121" s="169"/>
      <c r="R121" s="169"/>
      <c r="S121" s="458"/>
      <c r="T121" s="169"/>
      <c r="U121" s="169"/>
      <c r="V121" s="169"/>
      <c r="W121" s="169"/>
      <c r="X121" s="169"/>
      <c r="Y121" s="169"/>
      <c r="Z121" s="169"/>
      <c r="AA121" s="169"/>
      <c r="AB121" s="169"/>
      <c r="AC121" s="169"/>
      <c r="AD121" s="169"/>
      <c r="AE121" s="169"/>
      <c r="AF121" s="169"/>
      <c r="AG121" s="617"/>
      <c r="AH121" s="169"/>
      <c r="AI121" s="169"/>
      <c r="AJ121" s="169"/>
      <c r="AK121" s="169"/>
      <c r="AL121" s="169"/>
      <c r="AM121" s="169"/>
      <c r="AN121" s="454"/>
      <c r="AO121" s="178"/>
      <c r="AP121" s="178"/>
      <c r="AY121" s="458"/>
      <c r="AZ121" s="458"/>
      <c r="BA121" s="1305"/>
      <c r="BC121" s="169"/>
    </row>
    <row r="122" spans="2:55" ht="15.75" customHeight="1">
      <c r="B122" s="175"/>
      <c r="C122" s="617"/>
      <c r="D122" s="177"/>
      <c r="E122" s="169"/>
      <c r="F122" s="177"/>
      <c r="G122" s="458"/>
      <c r="K122" s="169"/>
      <c r="L122" s="169"/>
      <c r="M122" s="169"/>
      <c r="Q122" s="169"/>
      <c r="R122" s="169"/>
      <c r="S122" s="458"/>
      <c r="T122" s="169"/>
      <c r="U122" s="169"/>
      <c r="V122" s="169"/>
      <c r="W122" s="169"/>
      <c r="X122" s="169"/>
      <c r="Y122" s="169"/>
      <c r="Z122" s="169"/>
      <c r="AA122" s="169"/>
      <c r="AB122" s="169"/>
      <c r="AC122" s="169"/>
      <c r="AD122" s="169"/>
      <c r="AE122" s="169"/>
      <c r="AF122" s="169"/>
      <c r="AG122" s="617"/>
      <c r="AH122" s="169"/>
      <c r="AI122" s="169"/>
      <c r="AJ122" s="169"/>
      <c r="AK122" s="169"/>
      <c r="AL122" s="169"/>
      <c r="AM122" s="169"/>
      <c r="AN122" s="454"/>
      <c r="AO122" s="178"/>
      <c r="AP122" s="178"/>
      <c r="AY122" s="458"/>
      <c r="AZ122" s="458"/>
      <c r="BA122" s="1305"/>
      <c r="BC122" s="169"/>
    </row>
    <row r="123" spans="2:55" ht="15.75" customHeight="1">
      <c r="B123" s="175"/>
      <c r="C123" s="617"/>
      <c r="D123" s="177"/>
      <c r="E123" s="169"/>
      <c r="F123" s="177"/>
      <c r="G123" s="458"/>
      <c r="K123" s="169"/>
      <c r="L123" s="169"/>
      <c r="M123" s="169"/>
      <c r="Q123" s="169"/>
      <c r="R123" s="169"/>
      <c r="S123" s="458"/>
      <c r="T123" s="169"/>
      <c r="U123" s="169"/>
      <c r="V123" s="169"/>
      <c r="W123" s="169"/>
      <c r="X123" s="169"/>
      <c r="Y123" s="169"/>
      <c r="Z123" s="169"/>
      <c r="AA123" s="169"/>
      <c r="AB123" s="169"/>
      <c r="AC123" s="169"/>
      <c r="AD123" s="169"/>
      <c r="AE123" s="169"/>
      <c r="AF123" s="169"/>
      <c r="AG123" s="617"/>
      <c r="AH123" s="169"/>
      <c r="AI123" s="169"/>
      <c r="AJ123" s="169"/>
      <c r="AK123" s="169"/>
      <c r="AL123" s="169"/>
      <c r="AM123" s="169"/>
      <c r="AN123" s="454"/>
      <c r="AO123" s="178"/>
      <c r="AP123" s="178"/>
      <c r="AY123" s="458"/>
      <c r="AZ123" s="458"/>
      <c r="BA123" s="1305"/>
      <c r="BC123" s="169"/>
    </row>
    <row r="124" spans="2:55" ht="15.75" customHeight="1">
      <c r="B124" s="618"/>
      <c r="C124" s="617"/>
      <c r="D124" s="177"/>
      <c r="E124" s="169"/>
      <c r="F124" s="177"/>
      <c r="G124" s="458"/>
      <c r="H124" s="169"/>
      <c r="I124" s="169"/>
      <c r="J124" s="617"/>
      <c r="K124" s="169"/>
      <c r="L124" s="169"/>
      <c r="M124" s="169"/>
      <c r="N124" s="169"/>
      <c r="O124" s="169"/>
      <c r="P124" s="169"/>
      <c r="Q124" s="169"/>
      <c r="R124" s="169"/>
      <c r="S124" s="458"/>
      <c r="T124" s="169"/>
      <c r="U124" s="169"/>
      <c r="V124" s="169"/>
      <c r="W124" s="169"/>
      <c r="X124" s="169"/>
      <c r="Y124" s="169"/>
      <c r="Z124" s="169"/>
      <c r="AA124" s="169"/>
      <c r="AB124" s="169"/>
      <c r="AC124" s="169"/>
      <c r="AD124" s="169"/>
      <c r="AE124" s="169"/>
      <c r="AF124" s="169"/>
      <c r="AG124" s="617"/>
      <c r="AH124" s="169"/>
      <c r="AI124" s="169"/>
      <c r="AJ124" s="169"/>
      <c r="AK124" s="169"/>
      <c r="AL124" s="169"/>
      <c r="AM124" s="169"/>
      <c r="AN124" s="454"/>
      <c r="AO124" s="178"/>
      <c r="AP124" s="178"/>
      <c r="AY124" s="458"/>
      <c r="AZ124" s="458"/>
      <c r="BA124" s="1305"/>
      <c r="BC124" s="169"/>
    </row>
    <row r="125" spans="2:55" ht="15.75" customHeight="1">
      <c r="B125" s="618"/>
      <c r="C125" s="617"/>
      <c r="D125" s="177"/>
      <c r="E125" s="169"/>
      <c r="F125" s="177"/>
      <c r="G125" s="458"/>
      <c r="H125" s="169"/>
      <c r="I125" s="169"/>
      <c r="J125" s="617"/>
      <c r="K125" s="169"/>
      <c r="L125" s="169"/>
      <c r="M125" s="169"/>
      <c r="N125" s="169"/>
      <c r="O125" s="169"/>
      <c r="P125" s="169"/>
      <c r="Q125" s="169"/>
      <c r="R125" s="169"/>
      <c r="S125" s="458"/>
      <c r="T125" s="169"/>
      <c r="U125" s="169"/>
      <c r="V125" s="169"/>
      <c r="W125" s="169"/>
      <c r="X125" s="169"/>
      <c r="Y125" s="169"/>
      <c r="Z125" s="169"/>
      <c r="AA125" s="169"/>
      <c r="AB125" s="169"/>
      <c r="AC125" s="169"/>
      <c r="AD125" s="169"/>
      <c r="AE125" s="169"/>
      <c r="AF125" s="169"/>
      <c r="AG125" s="617"/>
      <c r="AH125" s="169"/>
      <c r="AI125" s="169"/>
      <c r="AJ125" s="169"/>
      <c r="AK125" s="169"/>
      <c r="AL125" s="169"/>
      <c r="AM125" s="169"/>
      <c r="AN125" s="458"/>
      <c r="AY125" s="458"/>
      <c r="AZ125" s="458"/>
      <c r="BA125" s="1305"/>
      <c r="BC125" s="169"/>
    </row>
    <row r="126" spans="2:55" ht="15.75" customHeight="1">
      <c r="B126" s="618"/>
      <c r="C126" s="617"/>
      <c r="D126" s="177"/>
      <c r="E126" s="169"/>
      <c r="F126" s="177"/>
      <c r="G126" s="458"/>
      <c r="H126" s="169"/>
      <c r="I126" s="169"/>
      <c r="J126" s="617"/>
      <c r="K126" s="169"/>
      <c r="L126" s="169"/>
      <c r="M126" s="169"/>
      <c r="N126" s="169"/>
      <c r="O126" s="169"/>
      <c r="P126" s="169"/>
      <c r="Q126" s="169"/>
      <c r="R126" s="169"/>
      <c r="S126" s="458"/>
      <c r="T126" s="169"/>
      <c r="U126" s="169"/>
      <c r="V126" s="169"/>
      <c r="W126" s="169"/>
      <c r="X126" s="169"/>
      <c r="Y126" s="169"/>
      <c r="Z126" s="169"/>
      <c r="AA126" s="169"/>
      <c r="AB126" s="169"/>
      <c r="AC126" s="169"/>
      <c r="AD126" s="169"/>
      <c r="AE126" s="169"/>
      <c r="AF126" s="169"/>
      <c r="AG126" s="617"/>
      <c r="AH126" s="169"/>
      <c r="AI126" s="169"/>
      <c r="AJ126" s="169"/>
      <c r="AK126" s="169"/>
      <c r="AL126" s="169"/>
      <c r="AM126" s="169"/>
      <c r="AN126" s="458"/>
      <c r="AY126" s="458"/>
      <c r="AZ126" s="458"/>
      <c r="BA126" s="1305"/>
      <c r="BC126" s="169"/>
    </row>
    <row r="127" spans="2:55" ht="15.75" customHeight="1">
      <c r="S127" s="454"/>
      <c r="AN127" s="458"/>
      <c r="AY127" s="458"/>
      <c r="AZ127" s="458"/>
      <c r="BA127" s="1305"/>
      <c r="BC127" s="169"/>
    </row>
    <row r="128" spans="2:55" ht="15.75" customHeight="1">
      <c r="S128" s="454"/>
      <c r="AN128" s="458"/>
      <c r="AY128" s="458"/>
      <c r="AZ128" s="458"/>
      <c r="BA128" s="1305"/>
      <c r="BC128" s="169"/>
    </row>
    <row r="129" spans="19:55" ht="15.75" customHeight="1">
      <c r="S129" s="454"/>
      <c r="AN129" s="458"/>
      <c r="AY129" s="458"/>
      <c r="AZ129" s="458"/>
      <c r="BA129" s="1305"/>
      <c r="BC129" s="169"/>
    </row>
    <row r="130" spans="19:55" ht="15.75" customHeight="1">
      <c r="S130" s="454"/>
      <c r="AN130" s="458"/>
      <c r="AY130" s="458"/>
      <c r="AZ130" s="458"/>
      <c r="BA130" s="1305"/>
      <c r="BC130" s="169"/>
    </row>
    <row r="131" spans="19:55" ht="15.75" customHeight="1">
      <c r="S131" s="454"/>
      <c r="AN131" s="458"/>
      <c r="AY131" s="458"/>
      <c r="AZ131" s="458"/>
      <c r="BA131" s="1305"/>
      <c r="BC131" s="169"/>
    </row>
    <row r="132" spans="19:55" ht="15.75" customHeight="1">
      <c r="S132" s="454"/>
      <c r="AN132" s="458"/>
      <c r="AY132" s="458"/>
      <c r="AZ132" s="458"/>
      <c r="BA132" s="1305"/>
      <c r="BC132" s="169"/>
    </row>
    <row r="133" spans="19:55" ht="15.75" customHeight="1">
      <c r="S133" s="454"/>
      <c r="AN133" s="458"/>
      <c r="AY133" s="458"/>
      <c r="AZ133" s="458"/>
      <c r="BA133" s="1305"/>
      <c r="BC133" s="169"/>
    </row>
    <row r="134" spans="19:55" ht="15.75" customHeight="1">
      <c r="S134" s="454"/>
      <c r="AN134" s="458"/>
      <c r="AY134" s="458"/>
      <c r="AZ134" s="458"/>
      <c r="BA134" s="1305"/>
      <c r="BC134" s="169"/>
    </row>
    <row r="135" spans="19:55" ht="15.75" customHeight="1">
      <c r="S135" s="454"/>
      <c r="AN135" s="458"/>
      <c r="AY135" s="458"/>
      <c r="AZ135" s="458"/>
      <c r="BA135" s="1305"/>
      <c r="BC135" s="169"/>
    </row>
    <row r="136" spans="19:55" ht="15.75" customHeight="1">
      <c r="S136" s="454"/>
      <c r="AN136" s="458"/>
      <c r="AY136" s="458"/>
      <c r="AZ136" s="458"/>
      <c r="BA136" s="1305"/>
      <c r="BC136" s="169"/>
    </row>
    <row r="137" spans="19:55" ht="15.75" customHeight="1">
      <c r="S137" s="454"/>
      <c r="AN137" s="458"/>
      <c r="AY137" s="458"/>
      <c r="AZ137" s="458"/>
      <c r="BA137" s="1305"/>
      <c r="BC137" s="169"/>
    </row>
    <row r="138" spans="19:55" ht="15.75" customHeight="1">
      <c r="S138" s="454"/>
      <c r="AN138" s="458"/>
      <c r="AY138" s="458"/>
      <c r="AZ138" s="458"/>
      <c r="BA138" s="1305"/>
      <c r="BC138" s="169"/>
    </row>
    <row r="139" spans="19:55" ht="15.75" customHeight="1">
      <c r="S139" s="454"/>
      <c r="AN139" s="458"/>
      <c r="AY139" s="458"/>
      <c r="AZ139" s="458"/>
      <c r="BA139" s="1305"/>
      <c r="BC139" s="169"/>
    </row>
    <row r="140" spans="19:55" ht="15.75" customHeight="1">
      <c r="S140" s="454"/>
      <c r="AN140" s="458"/>
      <c r="AY140" s="458"/>
      <c r="AZ140" s="458"/>
      <c r="BA140" s="1305"/>
      <c r="BC140" s="169"/>
    </row>
    <row r="141" spans="19:55" ht="15.75" customHeight="1">
      <c r="S141" s="454"/>
      <c r="AN141" s="458"/>
      <c r="AY141" s="458"/>
      <c r="AZ141" s="458"/>
      <c r="BA141" s="1305"/>
      <c r="BC141" s="169"/>
    </row>
    <row r="142" spans="19:55" ht="15.75" customHeight="1">
      <c r="S142" s="454"/>
      <c r="AN142" s="458"/>
      <c r="AY142" s="458"/>
      <c r="AZ142" s="458"/>
      <c r="BA142" s="1305"/>
      <c r="BC142" s="169"/>
    </row>
    <row r="143" spans="19:55" ht="15.75" customHeight="1">
      <c r="S143" s="454"/>
      <c r="AN143" s="458"/>
      <c r="AY143" s="458"/>
      <c r="AZ143" s="458"/>
      <c r="BA143" s="1305"/>
      <c r="BC143" s="169"/>
    </row>
    <row r="144" spans="19:55" ht="15.75" customHeight="1">
      <c r="S144" s="454"/>
      <c r="AN144" s="458"/>
      <c r="AY144" s="458"/>
      <c r="AZ144" s="458"/>
      <c r="BA144" s="1305"/>
      <c r="BC144" s="169"/>
    </row>
    <row r="145" spans="19:55" ht="15.75" customHeight="1">
      <c r="S145" s="454"/>
      <c r="AN145" s="458"/>
      <c r="AY145" s="458"/>
      <c r="AZ145" s="458"/>
      <c r="BA145" s="1305"/>
      <c r="BC145" s="169"/>
    </row>
    <row r="146" spans="19:55" ht="15.75" customHeight="1">
      <c r="S146" s="454"/>
      <c r="AN146" s="458"/>
      <c r="AY146" s="458"/>
      <c r="AZ146" s="458"/>
      <c r="BA146" s="1305"/>
      <c r="BC146" s="169"/>
    </row>
    <row r="147" spans="19:55" ht="15.75" customHeight="1">
      <c r="S147" s="454"/>
      <c r="AN147" s="458"/>
      <c r="AY147" s="458"/>
      <c r="AZ147" s="458"/>
      <c r="BA147" s="1305"/>
      <c r="BC147" s="169"/>
    </row>
    <row r="148" spans="19:55" ht="15.75" customHeight="1">
      <c r="S148" s="454"/>
      <c r="AN148" s="458"/>
      <c r="AY148" s="458"/>
      <c r="AZ148" s="458"/>
      <c r="BA148" s="1305"/>
      <c r="BC148" s="169"/>
    </row>
    <row r="149" spans="19:55" ht="15.75" customHeight="1">
      <c r="S149" s="454"/>
      <c r="AN149" s="458"/>
      <c r="AY149" s="458"/>
      <c r="AZ149" s="458"/>
      <c r="BA149" s="1305"/>
      <c r="BC149" s="169"/>
    </row>
    <row r="150" spans="19:55" ht="15.75" customHeight="1">
      <c r="S150" s="454"/>
      <c r="AN150" s="458"/>
      <c r="AY150" s="458"/>
      <c r="AZ150" s="458"/>
      <c r="BA150" s="1305"/>
      <c r="BC150" s="169"/>
    </row>
    <row r="151" spans="19:55" ht="15.75" customHeight="1">
      <c r="S151" s="454"/>
      <c r="AN151" s="458"/>
      <c r="AY151" s="458"/>
      <c r="AZ151" s="458"/>
      <c r="BA151" s="1305"/>
      <c r="BC151" s="169"/>
    </row>
    <row r="152" spans="19:55" ht="15.75" customHeight="1">
      <c r="S152" s="454"/>
      <c r="AN152" s="458"/>
      <c r="AY152" s="458"/>
      <c r="AZ152" s="458"/>
      <c r="BA152" s="1305"/>
      <c r="BC152" s="169"/>
    </row>
    <row r="153" spans="19:55" ht="15.75" customHeight="1">
      <c r="S153" s="454"/>
      <c r="AN153" s="458"/>
      <c r="AY153" s="458"/>
      <c r="AZ153" s="458"/>
      <c r="BA153" s="1305"/>
      <c r="BC153" s="169"/>
    </row>
    <row r="154" spans="19:55" ht="15.75" customHeight="1">
      <c r="S154" s="454"/>
      <c r="AN154" s="458"/>
      <c r="AY154" s="458"/>
      <c r="AZ154" s="458"/>
      <c r="BA154" s="1305"/>
      <c r="BC154" s="169"/>
    </row>
    <row r="155" spans="19:55" ht="15.75" customHeight="1">
      <c r="S155" s="454"/>
      <c r="AN155" s="458"/>
      <c r="AY155" s="458"/>
      <c r="AZ155" s="458"/>
      <c r="BA155" s="1305"/>
      <c r="BC155" s="169"/>
    </row>
    <row r="156" spans="19:55" ht="15.75" customHeight="1">
      <c r="S156" s="454"/>
      <c r="AN156" s="458"/>
      <c r="AY156" s="458"/>
      <c r="AZ156" s="458"/>
      <c r="BA156" s="1305"/>
      <c r="BC156" s="169"/>
    </row>
    <row r="157" spans="19:55" ht="15.75" customHeight="1">
      <c r="S157" s="454"/>
      <c r="AN157" s="458"/>
      <c r="AY157" s="458"/>
      <c r="AZ157" s="458"/>
      <c r="BA157" s="1305"/>
      <c r="BC157" s="169"/>
    </row>
    <row r="158" spans="19:55" ht="15.75" customHeight="1">
      <c r="S158" s="454"/>
      <c r="AN158" s="458"/>
      <c r="AY158" s="458"/>
      <c r="AZ158" s="458"/>
      <c r="BA158" s="1305"/>
      <c r="BC158" s="169"/>
    </row>
    <row r="159" spans="19:55" ht="15.75" customHeight="1">
      <c r="S159" s="454"/>
      <c r="AN159" s="458"/>
      <c r="AY159" s="458"/>
      <c r="AZ159" s="458"/>
      <c r="BA159" s="1305"/>
      <c r="BC159" s="169"/>
    </row>
    <row r="160" spans="19:55" ht="15.75" customHeight="1">
      <c r="S160" s="454"/>
      <c r="AN160" s="458"/>
      <c r="AY160" s="458"/>
      <c r="AZ160" s="458"/>
      <c r="BA160" s="1305"/>
      <c r="BC160" s="169"/>
    </row>
    <row r="161" spans="19:55" ht="15.75" customHeight="1">
      <c r="S161" s="454"/>
      <c r="AN161" s="458"/>
      <c r="AY161" s="458"/>
      <c r="AZ161" s="458"/>
      <c r="BA161" s="1305"/>
      <c r="BC161" s="169"/>
    </row>
    <row r="162" spans="19:55" ht="15.75" customHeight="1">
      <c r="S162" s="454"/>
      <c r="AN162" s="458"/>
      <c r="AY162" s="458"/>
      <c r="AZ162" s="458"/>
      <c r="BA162" s="1305"/>
      <c r="BC162" s="169"/>
    </row>
    <row r="163" spans="19:55" ht="15.75" customHeight="1">
      <c r="S163" s="454"/>
      <c r="AN163" s="458"/>
      <c r="AY163" s="458"/>
      <c r="AZ163" s="458"/>
      <c r="BA163" s="1305"/>
      <c r="BC163" s="169"/>
    </row>
    <row r="164" spans="19:55" ht="15.75" customHeight="1">
      <c r="S164" s="454"/>
      <c r="AN164" s="458"/>
      <c r="AY164" s="458"/>
      <c r="AZ164" s="458"/>
      <c r="BA164" s="1305"/>
      <c r="BC164" s="169"/>
    </row>
    <row r="165" spans="19:55" ht="15.75" customHeight="1">
      <c r="S165" s="454"/>
      <c r="AN165" s="458"/>
      <c r="AY165" s="458"/>
      <c r="AZ165" s="458"/>
      <c r="BA165" s="1305"/>
      <c r="BC165" s="169"/>
    </row>
    <row r="166" spans="19:55" ht="15.75" customHeight="1">
      <c r="S166" s="454"/>
      <c r="AN166" s="458"/>
      <c r="AY166" s="458"/>
      <c r="AZ166" s="458"/>
      <c r="BA166" s="1305"/>
      <c r="BC166" s="169"/>
    </row>
    <row r="167" spans="19:55" ht="15.75" customHeight="1">
      <c r="S167" s="454"/>
      <c r="AN167" s="458"/>
      <c r="AY167" s="458"/>
      <c r="AZ167" s="458"/>
      <c r="BA167" s="1305"/>
      <c r="BC167" s="169"/>
    </row>
    <row r="168" spans="19:55" ht="15.75" customHeight="1">
      <c r="S168" s="454"/>
      <c r="AN168" s="458"/>
      <c r="AY168" s="458"/>
      <c r="AZ168" s="458"/>
      <c r="BA168" s="1305"/>
      <c r="BC168" s="169"/>
    </row>
    <row r="169" spans="19:55" ht="15.75" customHeight="1">
      <c r="S169" s="454"/>
      <c r="AN169" s="458"/>
      <c r="AY169" s="458"/>
      <c r="AZ169" s="458"/>
      <c r="BA169" s="1305"/>
      <c r="BC169" s="169"/>
    </row>
    <row r="170" spans="19:55" ht="15.75" customHeight="1">
      <c r="S170" s="454"/>
      <c r="AN170" s="458"/>
      <c r="AY170" s="458"/>
      <c r="AZ170" s="458"/>
      <c r="BA170" s="1305"/>
      <c r="BC170" s="169"/>
    </row>
    <row r="171" spans="19:55" ht="15.75" customHeight="1">
      <c r="S171" s="454"/>
      <c r="AN171" s="458"/>
      <c r="AY171" s="458"/>
      <c r="AZ171" s="458"/>
      <c r="BA171" s="1305"/>
      <c r="BC171" s="169"/>
    </row>
    <row r="172" spans="19:55" ht="15.75" customHeight="1">
      <c r="S172" s="454"/>
      <c r="AN172" s="458"/>
      <c r="AY172" s="458"/>
      <c r="AZ172" s="458"/>
      <c r="BA172" s="1305"/>
      <c r="BC172" s="169"/>
    </row>
    <row r="173" spans="19:55" ht="15.75" customHeight="1">
      <c r="S173" s="454"/>
      <c r="AN173" s="458"/>
      <c r="AY173" s="458"/>
      <c r="AZ173" s="458"/>
      <c r="BA173" s="1305"/>
      <c r="BC173" s="169"/>
    </row>
    <row r="174" spans="19:55" ht="15.75" customHeight="1">
      <c r="S174" s="454"/>
      <c r="AN174" s="458"/>
      <c r="AY174" s="458"/>
      <c r="AZ174" s="458"/>
      <c r="BA174" s="1305"/>
      <c r="BC174" s="169"/>
    </row>
    <row r="175" spans="19:55" ht="15.75" customHeight="1">
      <c r="S175" s="454"/>
      <c r="AN175" s="458"/>
      <c r="AY175" s="458"/>
      <c r="AZ175" s="458"/>
      <c r="BA175" s="1305"/>
      <c r="BC175" s="169"/>
    </row>
    <row r="176" spans="19:55" ht="15.75" customHeight="1">
      <c r="S176" s="454"/>
      <c r="AN176" s="458"/>
      <c r="AY176" s="458"/>
      <c r="AZ176" s="458"/>
      <c r="BA176" s="1305"/>
      <c r="BC176" s="169"/>
    </row>
    <row r="177" spans="19:55" ht="15.75" customHeight="1">
      <c r="S177" s="454"/>
      <c r="AN177" s="458"/>
      <c r="AY177" s="458"/>
      <c r="AZ177" s="458"/>
      <c r="BA177" s="1305"/>
      <c r="BC177" s="169"/>
    </row>
    <row r="178" spans="19:55" ht="15.75" customHeight="1">
      <c r="S178" s="454"/>
      <c r="AN178" s="458"/>
      <c r="AY178" s="458"/>
      <c r="AZ178" s="458"/>
      <c r="BA178" s="1305"/>
      <c r="BC178" s="169"/>
    </row>
    <row r="179" spans="19:55" ht="15.75" customHeight="1">
      <c r="S179" s="454"/>
      <c r="AN179" s="458"/>
      <c r="AY179" s="458"/>
      <c r="AZ179" s="458"/>
      <c r="BA179" s="1305"/>
      <c r="BC179" s="169"/>
    </row>
    <row r="180" spans="19:55" ht="15.75" customHeight="1">
      <c r="S180" s="454"/>
      <c r="AN180" s="458"/>
      <c r="AY180" s="458"/>
      <c r="AZ180" s="458"/>
      <c r="BA180" s="1305"/>
      <c r="BC180" s="169"/>
    </row>
    <row r="181" spans="19:55" ht="15.75" customHeight="1">
      <c r="S181" s="454"/>
      <c r="AN181" s="458"/>
      <c r="AY181" s="458"/>
      <c r="AZ181" s="458"/>
      <c r="BA181" s="1305"/>
      <c r="BC181" s="169"/>
    </row>
    <row r="182" spans="19:55" ht="15.75" customHeight="1">
      <c r="S182" s="454"/>
      <c r="AN182" s="458"/>
      <c r="AY182" s="458"/>
      <c r="AZ182" s="458"/>
      <c r="BA182" s="1305"/>
      <c r="BC182" s="169"/>
    </row>
    <row r="183" spans="19:55" ht="15.75" customHeight="1">
      <c r="S183" s="454"/>
      <c r="AN183" s="458"/>
      <c r="AY183" s="458"/>
      <c r="AZ183" s="458"/>
      <c r="BA183" s="1305"/>
      <c r="BC183" s="169"/>
    </row>
    <row r="184" spans="19:55" ht="15.75" customHeight="1">
      <c r="S184" s="454"/>
      <c r="AN184" s="458"/>
      <c r="AY184" s="458"/>
      <c r="AZ184" s="458"/>
      <c r="BA184" s="1305"/>
      <c r="BC184" s="169"/>
    </row>
    <row r="185" spans="19:55" ht="15.75" customHeight="1">
      <c r="S185" s="454"/>
      <c r="AN185" s="458"/>
      <c r="AY185" s="458"/>
      <c r="AZ185" s="458"/>
      <c r="BA185" s="1305"/>
      <c r="BC185" s="169"/>
    </row>
    <row r="186" spans="19:55" ht="15.75" customHeight="1">
      <c r="S186" s="454"/>
      <c r="AN186" s="458"/>
      <c r="AY186" s="458"/>
      <c r="AZ186" s="458"/>
      <c r="BA186" s="1305"/>
      <c r="BC186" s="169"/>
    </row>
    <row r="187" spans="19:55" ht="15.75" customHeight="1">
      <c r="S187" s="454"/>
      <c r="AN187" s="458"/>
      <c r="AY187" s="458"/>
      <c r="AZ187" s="458"/>
      <c r="BA187" s="1305"/>
      <c r="BC187" s="169"/>
    </row>
    <row r="188" spans="19:55" ht="15.75" customHeight="1">
      <c r="S188" s="454"/>
      <c r="AN188" s="458"/>
      <c r="AY188" s="458"/>
      <c r="AZ188" s="458"/>
      <c r="BA188" s="1305"/>
      <c r="BC188" s="169"/>
    </row>
    <row r="189" spans="19:55" ht="15.75" customHeight="1">
      <c r="S189" s="454"/>
      <c r="AN189" s="458"/>
      <c r="AY189" s="458"/>
      <c r="AZ189" s="458"/>
      <c r="BA189" s="1305"/>
      <c r="BC189" s="169"/>
    </row>
    <row r="190" spans="19:55" ht="15.75" customHeight="1">
      <c r="S190" s="454"/>
      <c r="AN190" s="458"/>
      <c r="AY190" s="458"/>
      <c r="AZ190" s="458"/>
      <c r="BA190" s="1305"/>
      <c r="BC190" s="169"/>
    </row>
    <row r="191" spans="19:55" ht="15.75" customHeight="1">
      <c r="S191" s="454"/>
      <c r="AN191" s="458"/>
      <c r="AY191" s="458"/>
      <c r="AZ191" s="458"/>
      <c r="BA191" s="1305"/>
      <c r="BC191" s="169"/>
    </row>
    <row r="192" spans="19:55" ht="15.75" customHeight="1">
      <c r="S192" s="454"/>
      <c r="AN192" s="458"/>
      <c r="AY192" s="458"/>
      <c r="AZ192" s="458"/>
      <c r="BA192" s="1305"/>
      <c r="BC192" s="169"/>
    </row>
    <row r="193" spans="19:55" ht="15.75" customHeight="1">
      <c r="S193" s="454"/>
      <c r="AN193" s="458"/>
      <c r="AY193" s="458"/>
      <c r="AZ193" s="458"/>
      <c r="BA193" s="1305"/>
      <c r="BC193" s="169"/>
    </row>
    <row r="194" spans="19:55" ht="15.75" customHeight="1">
      <c r="S194" s="454"/>
      <c r="AN194" s="458"/>
      <c r="AY194" s="458"/>
      <c r="AZ194" s="458"/>
      <c r="BA194" s="1305"/>
      <c r="BC194" s="169"/>
    </row>
    <row r="195" spans="19:55" ht="15.75" customHeight="1">
      <c r="S195" s="454"/>
      <c r="AN195" s="458"/>
      <c r="AY195" s="458"/>
      <c r="AZ195" s="458"/>
      <c r="BA195" s="1305"/>
      <c r="BC195" s="169"/>
    </row>
    <row r="196" spans="19:55" ht="15.75" customHeight="1">
      <c r="S196" s="454"/>
      <c r="AN196" s="458"/>
      <c r="AY196" s="458"/>
      <c r="AZ196" s="458"/>
      <c r="BA196" s="1305"/>
      <c r="BC196" s="169"/>
    </row>
    <row r="197" spans="19:55" ht="15.75" customHeight="1">
      <c r="S197" s="454"/>
      <c r="AN197" s="458"/>
      <c r="AY197" s="458"/>
      <c r="AZ197" s="458"/>
      <c r="BA197" s="1305"/>
      <c r="BC197" s="169"/>
    </row>
    <row r="198" spans="19:55" ht="15.75" customHeight="1">
      <c r="S198" s="454"/>
      <c r="AN198" s="458"/>
      <c r="AY198" s="458"/>
      <c r="AZ198" s="458"/>
      <c r="BA198" s="1305"/>
      <c r="BC198" s="169"/>
    </row>
    <row r="199" spans="19:55" ht="15.75" customHeight="1">
      <c r="S199" s="454"/>
      <c r="AN199" s="458"/>
      <c r="AY199" s="458"/>
      <c r="AZ199" s="458"/>
      <c r="BA199" s="1305"/>
      <c r="BC199" s="169"/>
    </row>
    <row r="200" spans="19:55" ht="15.75" customHeight="1">
      <c r="S200" s="454"/>
      <c r="AN200" s="458"/>
      <c r="AY200" s="458"/>
      <c r="AZ200" s="458"/>
      <c r="BA200" s="1305"/>
      <c r="BC200" s="169"/>
    </row>
    <row r="201" spans="19:55" ht="15.75" customHeight="1">
      <c r="S201" s="454"/>
      <c r="AN201" s="458"/>
      <c r="AY201" s="458"/>
      <c r="AZ201" s="458"/>
      <c r="BA201" s="1305"/>
      <c r="BC201" s="169"/>
    </row>
    <row r="202" spans="19:55" ht="15.75" customHeight="1">
      <c r="S202" s="454"/>
      <c r="AN202" s="458"/>
      <c r="AY202" s="458"/>
      <c r="AZ202" s="458"/>
      <c r="BA202" s="1305"/>
      <c r="BC202" s="169"/>
    </row>
    <row r="203" spans="19:55" ht="15.75" customHeight="1">
      <c r="S203" s="454"/>
      <c r="AN203" s="458"/>
      <c r="AY203" s="458"/>
      <c r="AZ203" s="458"/>
      <c r="BA203" s="1305"/>
      <c r="BC203" s="169"/>
    </row>
    <row r="204" spans="19:55" ht="15.75" customHeight="1">
      <c r="S204" s="454"/>
      <c r="AN204" s="458"/>
      <c r="AY204" s="458"/>
      <c r="AZ204" s="458"/>
      <c r="BA204" s="1305"/>
      <c r="BC204" s="169"/>
    </row>
    <row r="205" spans="19:55" ht="15.75" customHeight="1">
      <c r="S205" s="454"/>
      <c r="AN205" s="458"/>
      <c r="AV205" s="178"/>
      <c r="AW205" s="178"/>
      <c r="AX205" s="178"/>
      <c r="AY205" s="454"/>
      <c r="AZ205" s="454"/>
      <c r="BA205" s="1306"/>
      <c r="BC205" s="169"/>
    </row>
    <row r="206" spans="19:55" ht="15.75" customHeight="1">
      <c r="S206" s="454"/>
      <c r="AN206" s="458"/>
      <c r="AV206" s="178"/>
      <c r="AW206" s="178"/>
      <c r="AX206" s="178"/>
      <c r="AY206" s="454"/>
      <c r="AZ206" s="454"/>
      <c r="BA206" s="1306"/>
      <c r="BC206" s="169"/>
    </row>
    <row r="207" spans="19:55" ht="15.75" customHeight="1">
      <c r="S207" s="454"/>
      <c r="AN207" s="454"/>
      <c r="AO207" s="178"/>
      <c r="AP207" s="178"/>
      <c r="AQ207" s="454"/>
      <c r="AR207" s="454"/>
      <c r="AS207" s="454"/>
      <c r="AT207" s="454"/>
      <c r="AU207" s="178"/>
      <c r="AV207" s="178"/>
      <c r="AW207" s="178"/>
      <c r="AX207" s="178"/>
      <c r="AY207" s="454"/>
      <c r="AZ207" s="454"/>
      <c r="BA207" s="1306"/>
      <c r="BC207" s="169"/>
    </row>
    <row r="208" spans="19:55" ht="15.75" customHeight="1">
      <c r="S208" s="454"/>
      <c r="AN208" s="454"/>
      <c r="AO208" s="178"/>
      <c r="AP208" s="178"/>
      <c r="AQ208" s="454"/>
      <c r="AR208" s="454"/>
      <c r="AS208" s="454"/>
      <c r="AT208" s="454"/>
      <c r="AU208" s="178"/>
      <c r="AV208" s="178"/>
      <c r="AW208" s="178"/>
      <c r="AX208" s="178"/>
      <c r="AY208" s="454"/>
      <c r="AZ208" s="454"/>
      <c r="BA208" s="1306"/>
      <c r="BC208" s="169"/>
    </row>
    <row r="209" spans="19:55" ht="15.75" customHeight="1">
      <c r="S209" s="454"/>
      <c r="AN209" s="454"/>
      <c r="AO209" s="178"/>
      <c r="AP209" s="178"/>
      <c r="AQ209" s="454"/>
      <c r="AR209" s="454"/>
      <c r="AS209" s="454"/>
      <c r="AT209" s="454"/>
      <c r="AU209" s="178"/>
      <c r="AV209" s="178"/>
      <c r="AW209" s="178"/>
      <c r="AX209" s="178"/>
      <c r="AY209" s="454"/>
      <c r="AZ209" s="454"/>
      <c r="BA209" s="1306"/>
      <c r="BC209" s="169"/>
    </row>
    <row r="210" spans="19:55" ht="15.75" customHeight="1">
      <c r="S210" s="454"/>
      <c r="AN210" s="454"/>
      <c r="AO210" s="178"/>
      <c r="AP210" s="178"/>
      <c r="AQ210" s="454"/>
      <c r="AR210" s="454"/>
      <c r="AS210" s="454"/>
      <c r="AT210" s="454"/>
      <c r="AU210" s="178"/>
      <c r="AY210" s="458"/>
      <c r="AZ210" s="458"/>
      <c r="BA210" s="1305"/>
      <c r="BC210" s="169"/>
    </row>
    <row r="211" spans="19:55" ht="15.75" customHeight="1">
      <c r="S211" s="454"/>
      <c r="AN211" s="454"/>
      <c r="AO211" s="178"/>
      <c r="AP211" s="178"/>
      <c r="AQ211" s="454"/>
      <c r="AR211" s="454"/>
      <c r="AS211" s="454"/>
      <c r="AT211" s="454"/>
      <c r="AU211" s="178"/>
      <c r="AY211" s="458"/>
      <c r="AZ211" s="458"/>
      <c r="BA211" s="1305"/>
      <c r="BC211" s="169"/>
    </row>
    <row r="212" spans="19:55" ht="15.75" customHeight="1">
      <c r="S212" s="454"/>
      <c r="AN212" s="458"/>
      <c r="AY212" s="458"/>
      <c r="AZ212" s="458"/>
      <c r="BA212" s="1305"/>
      <c r="BC212" s="169"/>
    </row>
    <row r="213" spans="19:55" ht="15.75" customHeight="1">
      <c r="S213" s="454"/>
      <c r="AN213" s="458"/>
      <c r="AY213" s="458"/>
      <c r="AZ213" s="458"/>
      <c r="BA213" s="1305"/>
      <c r="BC213" s="169"/>
    </row>
    <row r="214" spans="19:55" ht="15.75" customHeight="1">
      <c r="S214" s="454"/>
      <c r="AN214" s="458"/>
      <c r="AY214" s="458"/>
      <c r="AZ214" s="458"/>
      <c r="BA214" s="1305"/>
      <c r="BC214" s="169"/>
    </row>
    <row r="215" spans="19:55" ht="15.75" customHeight="1">
      <c r="S215" s="454"/>
      <c r="AN215" s="458"/>
      <c r="AY215" s="458"/>
      <c r="AZ215" s="458"/>
      <c r="BA215" s="1305"/>
      <c r="BC215" s="169"/>
    </row>
    <row r="216" spans="19:55" ht="15.75" customHeight="1">
      <c r="S216" s="454"/>
      <c r="AN216" s="458"/>
      <c r="AY216" s="458"/>
      <c r="AZ216" s="458"/>
      <c r="BA216" s="1305"/>
      <c r="BC216" s="169"/>
    </row>
    <row r="217" spans="19:55" ht="15.75" customHeight="1">
      <c r="S217" s="454"/>
      <c r="AN217" s="458"/>
      <c r="AY217" s="458"/>
      <c r="AZ217" s="458"/>
      <c r="BA217" s="1305"/>
      <c r="BC217" s="169"/>
    </row>
    <row r="218" spans="19:55" ht="15.75" customHeight="1">
      <c r="S218" s="454"/>
      <c r="AN218" s="458"/>
      <c r="AY218" s="458"/>
      <c r="AZ218" s="458"/>
      <c r="BA218" s="1305"/>
      <c r="BC218" s="169"/>
    </row>
    <row r="219" spans="19:55" ht="15.75" customHeight="1">
      <c r="S219" s="454"/>
      <c r="AN219" s="458"/>
      <c r="AY219" s="458"/>
      <c r="AZ219" s="458"/>
      <c r="BA219" s="1305"/>
      <c r="BC219" s="169"/>
    </row>
    <row r="220" spans="19:55" ht="15.75" customHeight="1">
      <c r="S220" s="454"/>
      <c r="AN220" s="458"/>
      <c r="AY220" s="458"/>
      <c r="AZ220" s="458"/>
      <c r="BA220" s="1305"/>
      <c r="BC220" s="169"/>
    </row>
    <row r="221" spans="19:55" ht="15.75" customHeight="1">
      <c r="S221" s="454"/>
      <c r="AN221" s="458"/>
      <c r="AY221" s="458"/>
      <c r="AZ221" s="458"/>
      <c r="BA221" s="1305"/>
      <c r="BC221" s="169"/>
    </row>
    <row r="222" spans="19:55" ht="15.75" customHeight="1">
      <c r="S222" s="454"/>
      <c r="AN222" s="458"/>
      <c r="AY222" s="458"/>
      <c r="AZ222" s="458"/>
      <c r="BA222" s="1305"/>
      <c r="BC222" s="169"/>
    </row>
    <row r="223" spans="19:55" ht="15.75" customHeight="1">
      <c r="S223" s="454"/>
      <c r="AN223" s="458"/>
      <c r="AY223" s="458"/>
      <c r="AZ223" s="458"/>
      <c r="BA223" s="1305"/>
      <c r="BC223" s="169"/>
    </row>
    <row r="224" spans="19:55" ht="15.75" customHeight="1">
      <c r="S224" s="454"/>
      <c r="AN224" s="458"/>
      <c r="AY224" s="458"/>
      <c r="AZ224" s="458"/>
      <c r="BA224" s="1305"/>
      <c r="BC224" s="169"/>
    </row>
    <row r="225" spans="19:55" ht="15.75" customHeight="1">
      <c r="S225" s="454"/>
      <c r="AN225" s="458"/>
      <c r="AY225" s="458"/>
      <c r="AZ225" s="458"/>
      <c r="BA225" s="1305"/>
      <c r="BC225" s="169"/>
    </row>
    <row r="226" spans="19:55" ht="15.75" customHeight="1">
      <c r="S226" s="454"/>
      <c r="AN226" s="458"/>
      <c r="AY226" s="458"/>
      <c r="AZ226" s="458"/>
      <c r="BA226" s="1305"/>
      <c r="BC226" s="169"/>
    </row>
    <row r="227" spans="19:55" ht="15.75" customHeight="1">
      <c r="S227" s="454"/>
      <c r="AN227" s="458"/>
      <c r="AY227" s="458"/>
      <c r="AZ227" s="458"/>
      <c r="BA227" s="1305"/>
      <c r="BC227" s="169"/>
    </row>
    <row r="228" spans="19:55" ht="15.75" customHeight="1">
      <c r="S228" s="454"/>
      <c r="AN228" s="458"/>
      <c r="AY228" s="458"/>
      <c r="AZ228" s="458"/>
      <c r="BA228" s="1305"/>
      <c r="BC228" s="169"/>
    </row>
    <row r="229" spans="19:55" ht="15.75" customHeight="1">
      <c r="S229" s="454"/>
      <c r="AN229" s="458"/>
      <c r="AY229" s="458"/>
      <c r="AZ229" s="458"/>
      <c r="BA229" s="1305"/>
      <c r="BC229" s="169"/>
    </row>
    <row r="230" spans="19:55" ht="15.75" customHeight="1">
      <c r="S230" s="454"/>
      <c r="AN230" s="458"/>
      <c r="AY230" s="458"/>
      <c r="AZ230" s="458"/>
      <c r="BA230" s="1305"/>
      <c r="BC230" s="169"/>
    </row>
    <row r="231" spans="19:55" ht="15.75" customHeight="1">
      <c r="S231" s="454"/>
      <c r="AN231" s="458"/>
      <c r="AY231" s="458"/>
      <c r="AZ231" s="458"/>
      <c r="BA231" s="1305"/>
      <c r="BC231" s="169"/>
    </row>
    <row r="232" spans="19:55" ht="15.75" customHeight="1">
      <c r="S232" s="454"/>
      <c r="AN232" s="458"/>
      <c r="AY232" s="458"/>
      <c r="AZ232" s="458"/>
      <c r="BA232" s="1305"/>
      <c r="BC232" s="169"/>
    </row>
    <row r="233" spans="19:55" ht="15.75" customHeight="1">
      <c r="S233" s="454"/>
      <c r="AN233" s="458"/>
      <c r="AY233" s="458"/>
      <c r="AZ233" s="458"/>
      <c r="BA233" s="1305"/>
      <c r="BC233" s="169"/>
    </row>
    <row r="234" spans="19:55" ht="15.75" customHeight="1">
      <c r="S234" s="454"/>
      <c r="AN234" s="458"/>
      <c r="AY234" s="458"/>
      <c r="AZ234" s="458"/>
      <c r="BA234" s="1305"/>
      <c r="BC234" s="169"/>
    </row>
    <row r="235" spans="19:55" ht="15.75" customHeight="1">
      <c r="S235" s="454"/>
      <c r="AN235" s="458"/>
      <c r="AY235" s="458"/>
      <c r="AZ235" s="458"/>
      <c r="BA235" s="1305"/>
      <c r="BC235" s="169"/>
    </row>
    <row r="236" spans="19:55" ht="15.75" customHeight="1">
      <c r="S236" s="454"/>
      <c r="AN236" s="458"/>
      <c r="AY236" s="458"/>
      <c r="AZ236" s="458"/>
      <c r="BA236" s="1305"/>
      <c r="BC236" s="169"/>
    </row>
    <row r="237" spans="19:55" ht="15.75" customHeight="1">
      <c r="S237" s="454"/>
      <c r="AN237" s="458"/>
      <c r="AY237" s="458"/>
      <c r="AZ237" s="458"/>
      <c r="BA237" s="1305"/>
      <c r="BC237" s="169"/>
    </row>
    <row r="238" spans="19:55" ht="15.75" customHeight="1">
      <c r="S238" s="454"/>
      <c r="AN238" s="458"/>
      <c r="AY238" s="458"/>
      <c r="AZ238" s="458"/>
      <c r="BA238" s="1305"/>
      <c r="BC238" s="169"/>
    </row>
    <row r="239" spans="19:55" ht="15.75" customHeight="1">
      <c r="S239" s="454"/>
      <c r="AN239" s="458"/>
      <c r="AY239" s="458"/>
      <c r="AZ239" s="458"/>
      <c r="BA239" s="1305"/>
      <c r="BC239" s="169"/>
    </row>
    <row r="240" spans="19:55" ht="15.75" customHeight="1">
      <c r="S240" s="454"/>
      <c r="AN240" s="458"/>
      <c r="AY240" s="458"/>
      <c r="AZ240" s="458"/>
      <c r="BA240" s="1305"/>
      <c r="BC240" s="169"/>
    </row>
    <row r="241" spans="19:55" ht="15.75" customHeight="1">
      <c r="S241" s="454"/>
      <c r="AN241" s="458"/>
      <c r="AY241" s="458"/>
      <c r="AZ241" s="458"/>
      <c r="BA241" s="1305"/>
      <c r="BC241" s="169"/>
    </row>
    <row r="242" spans="19:55" ht="15.75" customHeight="1">
      <c r="S242" s="454"/>
      <c r="AN242" s="458"/>
      <c r="AY242" s="458"/>
      <c r="AZ242" s="458"/>
      <c r="BA242" s="1305"/>
      <c r="BC242" s="169"/>
    </row>
    <row r="243" spans="19:55" ht="15.75" customHeight="1">
      <c r="S243" s="454"/>
      <c r="AN243" s="458"/>
      <c r="AY243" s="458"/>
      <c r="AZ243" s="458"/>
      <c r="BA243" s="1305"/>
      <c r="BC243" s="169"/>
    </row>
    <row r="244" spans="19:55" ht="15.75" customHeight="1">
      <c r="S244" s="454"/>
      <c r="AN244" s="458"/>
      <c r="AY244" s="458"/>
      <c r="AZ244" s="458"/>
      <c r="BA244" s="1305"/>
      <c r="BC244" s="169"/>
    </row>
    <row r="245" spans="19:55" ht="15.75" customHeight="1">
      <c r="S245" s="454"/>
      <c r="AN245" s="458"/>
      <c r="AY245" s="458"/>
      <c r="AZ245" s="458"/>
      <c r="BA245" s="1305"/>
      <c r="BC245" s="169"/>
    </row>
    <row r="246" spans="19:55" ht="15.75" customHeight="1">
      <c r="S246" s="454"/>
      <c r="AN246" s="458"/>
      <c r="AY246" s="458"/>
      <c r="AZ246" s="458"/>
      <c r="BA246" s="1305"/>
      <c r="BC246" s="169"/>
    </row>
    <row r="247" spans="19:55" ht="15.75" customHeight="1">
      <c r="S247" s="454"/>
      <c r="AN247" s="458"/>
      <c r="AY247" s="458"/>
      <c r="AZ247" s="458"/>
      <c r="BA247" s="1305"/>
      <c r="BC247" s="169"/>
    </row>
    <row r="248" spans="19:55" ht="15.75" customHeight="1">
      <c r="S248" s="454"/>
      <c r="AN248" s="458"/>
      <c r="AY248" s="458"/>
      <c r="AZ248" s="458"/>
      <c r="BA248" s="1305"/>
      <c r="BC248" s="169"/>
    </row>
    <row r="249" spans="19:55" ht="15.75" customHeight="1">
      <c r="S249" s="454"/>
      <c r="AN249" s="458"/>
      <c r="AY249" s="458"/>
      <c r="AZ249" s="458"/>
      <c r="BA249" s="1305"/>
      <c r="BC249" s="169"/>
    </row>
    <row r="250" spans="19:55" ht="15.75" customHeight="1">
      <c r="S250" s="454"/>
      <c r="AN250" s="458"/>
      <c r="AY250" s="458"/>
      <c r="AZ250" s="458"/>
      <c r="BA250" s="1305"/>
      <c r="BC250" s="169"/>
    </row>
    <row r="251" spans="19:55" ht="15.75" customHeight="1">
      <c r="S251" s="454"/>
      <c r="AN251" s="458"/>
      <c r="AY251" s="458"/>
      <c r="AZ251" s="458"/>
      <c r="BA251" s="1305"/>
      <c r="BC251" s="169"/>
    </row>
    <row r="252" spans="19:55" ht="15.75" customHeight="1">
      <c r="S252" s="454"/>
      <c r="AN252" s="458"/>
      <c r="AY252" s="458"/>
      <c r="AZ252" s="458"/>
      <c r="BA252" s="1305"/>
      <c r="BC252" s="169"/>
    </row>
    <row r="253" spans="19:55" ht="15.75" customHeight="1">
      <c r="S253" s="454"/>
      <c r="AN253" s="458"/>
      <c r="AY253" s="458"/>
      <c r="AZ253" s="458"/>
      <c r="BA253" s="1305"/>
      <c r="BC253" s="169"/>
    </row>
    <row r="254" spans="19:55" ht="15.75" customHeight="1">
      <c r="S254" s="454"/>
      <c r="AN254" s="458"/>
      <c r="AY254" s="458"/>
      <c r="AZ254" s="458"/>
      <c r="BA254" s="1305"/>
      <c r="BC254" s="169"/>
    </row>
    <row r="255" spans="19:55" ht="15.75" customHeight="1">
      <c r="S255" s="454"/>
      <c r="AN255" s="458"/>
      <c r="AY255" s="458"/>
      <c r="AZ255" s="458"/>
      <c r="BA255" s="1305"/>
      <c r="BC255" s="169"/>
    </row>
    <row r="256" spans="19:55" ht="15.75" customHeight="1">
      <c r="S256" s="454"/>
      <c r="AN256" s="458"/>
      <c r="AY256" s="458"/>
      <c r="AZ256" s="458"/>
      <c r="BA256" s="1305"/>
      <c r="BC256" s="169"/>
    </row>
    <row r="257" spans="19:55" ht="15.75" customHeight="1">
      <c r="S257" s="454"/>
      <c r="AN257" s="458"/>
      <c r="AY257" s="458"/>
      <c r="AZ257" s="458"/>
      <c r="BA257" s="1305"/>
      <c r="BC257" s="169"/>
    </row>
    <row r="258" spans="19:55" ht="15.75" customHeight="1">
      <c r="S258" s="454"/>
      <c r="AN258" s="458"/>
      <c r="AY258" s="458"/>
      <c r="AZ258" s="458"/>
      <c r="BA258" s="1305"/>
      <c r="BC258" s="169"/>
    </row>
    <row r="259" spans="19:55" ht="15.75" customHeight="1">
      <c r="S259" s="454"/>
      <c r="AN259" s="458"/>
      <c r="AY259" s="458"/>
      <c r="AZ259" s="458"/>
      <c r="BA259" s="1305"/>
      <c r="BC259" s="169"/>
    </row>
    <row r="260" spans="19:55" ht="15.75" customHeight="1">
      <c r="S260" s="454"/>
      <c r="AN260" s="458"/>
      <c r="AY260" s="458"/>
      <c r="AZ260" s="458"/>
      <c r="BA260" s="1305"/>
      <c r="BC260" s="169"/>
    </row>
    <row r="261" spans="19:55" ht="15.75" customHeight="1">
      <c r="S261" s="454"/>
      <c r="AN261" s="458"/>
      <c r="AY261" s="458"/>
      <c r="AZ261" s="458"/>
      <c r="BA261" s="1305"/>
      <c r="BC261" s="169"/>
    </row>
    <row r="262" spans="19:55" ht="15.75" customHeight="1">
      <c r="S262" s="454"/>
      <c r="AN262" s="458"/>
      <c r="AY262" s="458"/>
      <c r="AZ262" s="458"/>
      <c r="BA262" s="1305"/>
      <c r="BC262" s="169"/>
    </row>
    <row r="263" spans="19:55" ht="15.75" customHeight="1">
      <c r="S263" s="454"/>
      <c r="AN263" s="458"/>
      <c r="AY263" s="458"/>
      <c r="AZ263" s="458"/>
      <c r="BA263" s="1305"/>
      <c r="BC263" s="169"/>
    </row>
    <row r="264" spans="19:55" ht="15.75" customHeight="1">
      <c r="S264" s="454"/>
      <c r="AN264" s="458"/>
      <c r="AY264" s="458"/>
      <c r="AZ264" s="458"/>
      <c r="BA264" s="1305"/>
      <c r="BC264" s="169"/>
    </row>
    <row r="265" spans="19:55" ht="15.75" customHeight="1">
      <c r="S265" s="454"/>
      <c r="AN265" s="458"/>
      <c r="AY265" s="458"/>
      <c r="AZ265" s="458"/>
      <c r="BA265" s="1305"/>
      <c r="BC265" s="169"/>
    </row>
    <row r="266" spans="19:55" ht="15.75" customHeight="1">
      <c r="S266" s="454"/>
      <c r="AN266" s="458"/>
      <c r="AY266" s="458"/>
      <c r="AZ266" s="458"/>
      <c r="BA266" s="1305"/>
      <c r="BC266" s="169"/>
    </row>
    <row r="267" spans="19:55" ht="15.75" customHeight="1">
      <c r="S267" s="454"/>
      <c r="AN267" s="458"/>
      <c r="AY267" s="458"/>
      <c r="AZ267" s="458"/>
      <c r="BA267" s="1305"/>
      <c r="BC267" s="169"/>
    </row>
    <row r="268" spans="19:55" ht="15.75" customHeight="1">
      <c r="S268" s="454"/>
      <c r="AN268" s="458"/>
      <c r="AY268" s="458"/>
      <c r="AZ268" s="458"/>
      <c r="BA268" s="1305"/>
      <c r="BC268" s="169"/>
    </row>
    <row r="269" spans="19:55" ht="15.75" customHeight="1">
      <c r="S269" s="454"/>
      <c r="AN269" s="458"/>
      <c r="AY269" s="458"/>
      <c r="AZ269" s="458"/>
      <c r="BA269" s="1305"/>
      <c r="BC269" s="169"/>
    </row>
    <row r="270" spans="19:55" ht="15.75" customHeight="1">
      <c r="S270" s="454"/>
      <c r="AN270" s="458"/>
      <c r="AY270" s="458"/>
      <c r="AZ270" s="458"/>
      <c r="BA270" s="1305"/>
      <c r="BC270" s="169"/>
    </row>
    <row r="271" spans="19:55" ht="15.75" customHeight="1">
      <c r="S271" s="454"/>
      <c r="AN271" s="458"/>
      <c r="AY271" s="458"/>
      <c r="AZ271" s="458"/>
      <c r="BA271" s="1305"/>
      <c r="BC271" s="169"/>
    </row>
    <row r="272" spans="19:55" ht="15.75" customHeight="1">
      <c r="S272" s="454"/>
      <c r="AN272" s="458"/>
      <c r="AY272" s="458"/>
      <c r="AZ272" s="458"/>
      <c r="BA272" s="1305"/>
      <c r="BC272" s="169"/>
    </row>
    <row r="273" spans="19:55" ht="15.75" customHeight="1">
      <c r="S273" s="454"/>
      <c r="AN273" s="458"/>
      <c r="AY273" s="458"/>
      <c r="AZ273" s="458"/>
      <c r="BA273" s="1305"/>
      <c r="BC273" s="169"/>
    </row>
    <row r="274" spans="19:55" ht="15.75" customHeight="1">
      <c r="S274" s="454"/>
      <c r="AN274" s="458"/>
      <c r="AY274" s="458"/>
      <c r="AZ274" s="458"/>
      <c r="BA274" s="1305"/>
      <c r="BC274" s="169"/>
    </row>
    <row r="275" spans="19:55" ht="15.75" customHeight="1">
      <c r="S275" s="454"/>
      <c r="AN275" s="458"/>
      <c r="AY275" s="458"/>
      <c r="AZ275" s="458"/>
      <c r="BA275" s="1305"/>
      <c r="BC275" s="169"/>
    </row>
    <row r="276" spans="19:55" ht="15.75" customHeight="1">
      <c r="S276" s="454"/>
      <c r="AN276" s="458"/>
      <c r="AY276" s="458"/>
      <c r="AZ276" s="458"/>
      <c r="BA276" s="1305"/>
      <c r="BC276" s="169"/>
    </row>
    <row r="277" spans="19:55" ht="15.75" customHeight="1">
      <c r="S277" s="454"/>
      <c r="AN277" s="458"/>
      <c r="AY277" s="458"/>
      <c r="AZ277" s="458"/>
      <c r="BA277" s="1305"/>
      <c r="BC277" s="169"/>
    </row>
    <row r="278" spans="19:55" ht="15.75" customHeight="1">
      <c r="S278" s="454"/>
      <c r="AN278" s="458"/>
      <c r="AY278" s="458"/>
      <c r="AZ278" s="458"/>
      <c r="BA278" s="1305"/>
      <c r="BC278" s="169"/>
    </row>
    <row r="279" spans="19:55" ht="15.75" customHeight="1">
      <c r="S279" s="454"/>
      <c r="AN279" s="458"/>
      <c r="AY279" s="458"/>
      <c r="AZ279" s="458"/>
      <c r="BA279" s="1305"/>
      <c r="BC279" s="169"/>
    </row>
    <row r="280" spans="19:55" ht="15.75" customHeight="1">
      <c r="S280" s="454"/>
      <c r="AN280" s="458"/>
      <c r="AY280" s="458"/>
      <c r="AZ280" s="458"/>
      <c r="BA280" s="1305"/>
      <c r="BC280" s="169"/>
    </row>
    <row r="281" spans="19:55" ht="15.75" customHeight="1">
      <c r="S281" s="454"/>
      <c r="AN281" s="458"/>
      <c r="AY281" s="458"/>
      <c r="AZ281" s="458"/>
      <c r="BA281" s="1305"/>
      <c r="BC281" s="169"/>
    </row>
    <row r="282" spans="19:55" ht="15.75" customHeight="1">
      <c r="S282" s="454"/>
      <c r="AN282" s="458"/>
      <c r="AY282" s="458"/>
      <c r="AZ282" s="458"/>
      <c r="BA282" s="1305"/>
      <c r="BC282" s="169"/>
    </row>
    <row r="283" spans="19:55" ht="15.75" customHeight="1">
      <c r="S283" s="454"/>
      <c r="AN283" s="458"/>
      <c r="AY283" s="458"/>
      <c r="AZ283" s="458"/>
      <c r="BA283" s="1305"/>
      <c r="BC283" s="169"/>
    </row>
    <row r="284" spans="19:55" ht="15.75" customHeight="1">
      <c r="S284" s="454"/>
      <c r="AN284" s="458"/>
      <c r="AY284" s="458"/>
      <c r="AZ284" s="458"/>
      <c r="BA284" s="1305"/>
      <c r="BC284" s="169"/>
    </row>
    <row r="285" spans="19:55" ht="15.75" customHeight="1">
      <c r="S285" s="454"/>
      <c r="AN285" s="458"/>
      <c r="AY285" s="458"/>
      <c r="AZ285" s="458"/>
      <c r="BA285" s="1305"/>
      <c r="BC285" s="169"/>
    </row>
    <row r="286" spans="19:55" ht="15.75" customHeight="1">
      <c r="S286" s="454"/>
      <c r="AN286" s="458"/>
      <c r="AY286" s="458"/>
      <c r="AZ286" s="458"/>
      <c r="BA286" s="1305"/>
      <c r="BC286" s="169"/>
    </row>
    <row r="287" spans="19:55" ht="15.75" customHeight="1">
      <c r="S287" s="454"/>
      <c r="AN287" s="458"/>
      <c r="AY287" s="458"/>
      <c r="AZ287" s="458"/>
      <c r="BA287" s="1305"/>
      <c r="BC287" s="169"/>
    </row>
    <row r="288" spans="19:55" ht="15.75" customHeight="1">
      <c r="S288" s="454"/>
      <c r="AN288" s="458"/>
      <c r="AY288" s="458"/>
      <c r="AZ288" s="458"/>
      <c r="BA288" s="1305"/>
      <c r="BC288" s="169"/>
    </row>
    <row r="289" spans="19:55" ht="15.75" customHeight="1">
      <c r="S289" s="454"/>
      <c r="AN289" s="458"/>
      <c r="AY289" s="458"/>
      <c r="AZ289" s="458"/>
      <c r="BA289" s="1305"/>
      <c r="BC289" s="169"/>
    </row>
    <row r="290" spans="19:55" ht="15.75" customHeight="1">
      <c r="S290" s="454"/>
      <c r="AN290" s="458"/>
      <c r="AY290" s="458"/>
      <c r="AZ290" s="458"/>
      <c r="BA290" s="1305"/>
      <c r="BC290" s="169"/>
    </row>
    <row r="291" spans="19:55" ht="15.75" customHeight="1">
      <c r="S291" s="454"/>
      <c r="AN291" s="458"/>
      <c r="AY291" s="458"/>
      <c r="AZ291" s="458"/>
      <c r="BA291" s="1305"/>
      <c r="BC291" s="169"/>
    </row>
    <row r="292" spans="19:55" ht="15.75" customHeight="1">
      <c r="S292" s="454"/>
      <c r="AN292" s="458"/>
      <c r="AY292" s="458"/>
      <c r="AZ292" s="458"/>
      <c r="BA292" s="1305"/>
      <c r="BC292" s="169"/>
    </row>
    <row r="293" spans="19:55" ht="15.75" customHeight="1">
      <c r="S293" s="454"/>
      <c r="AN293" s="458"/>
      <c r="AY293" s="458"/>
      <c r="AZ293" s="458"/>
      <c r="BA293" s="1305"/>
      <c r="BC293" s="169"/>
    </row>
    <row r="294" spans="19:55" ht="15.75" customHeight="1">
      <c r="S294" s="454"/>
      <c r="AN294" s="458"/>
      <c r="AY294" s="458"/>
      <c r="AZ294" s="458"/>
      <c r="BA294" s="1305"/>
      <c r="BC294" s="169"/>
    </row>
    <row r="295" spans="19:55" ht="15.75" customHeight="1">
      <c r="S295" s="454"/>
      <c r="AN295" s="458"/>
      <c r="AY295" s="458"/>
      <c r="AZ295" s="458"/>
      <c r="BA295" s="1305"/>
      <c r="BC295" s="169"/>
    </row>
    <row r="296" spans="19:55" ht="15.75" customHeight="1">
      <c r="S296" s="454"/>
      <c r="AN296" s="458"/>
      <c r="AY296" s="458"/>
      <c r="AZ296" s="458"/>
      <c r="BA296" s="1305"/>
      <c r="BC296" s="169"/>
    </row>
    <row r="297" spans="19:55" ht="15.75" customHeight="1">
      <c r="S297" s="454"/>
      <c r="AN297" s="458"/>
      <c r="AY297" s="458"/>
      <c r="AZ297" s="458"/>
      <c r="BA297" s="1305"/>
      <c r="BC297" s="169"/>
    </row>
    <row r="298" spans="19:55" ht="15.75" customHeight="1">
      <c r="S298" s="454"/>
      <c r="AN298" s="458"/>
      <c r="AY298" s="458"/>
      <c r="AZ298" s="458"/>
      <c r="BA298" s="1305"/>
      <c r="BC298" s="169"/>
    </row>
    <row r="299" spans="19:55" ht="15.75" customHeight="1">
      <c r="S299" s="454"/>
      <c r="AN299" s="458"/>
      <c r="AY299" s="458"/>
      <c r="AZ299" s="458"/>
      <c r="BA299" s="1305"/>
      <c r="BC299" s="169"/>
    </row>
    <row r="300" spans="19:55" ht="15.75" customHeight="1">
      <c r="S300" s="454"/>
      <c r="AN300" s="458"/>
      <c r="AY300" s="458"/>
      <c r="AZ300" s="458"/>
      <c r="BA300" s="1305"/>
      <c r="BC300" s="169"/>
    </row>
    <row r="301" spans="19:55" ht="15.75" customHeight="1">
      <c r="S301" s="454"/>
      <c r="AN301" s="458"/>
      <c r="AY301" s="458"/>
      <c r="AZ301" s="458"/>
      <c r="BA301" s="1305"/>
      <c r="BC301" s="169"/>
    </row>
    <row r="302" spans="19:55" ht="15.75" customHeight="1">
      <c r="S302" s="454"/>
      <c r="AN302" s="458"/>
      <c r="AY302" s="458"/>
      <c r="AZ302" s="458"/>
      <c r="BA302" s="1305"/>
      <c r="BC302" s="169"/>
    </row>
    <row r="303" spans="19:55" ht="15.75" customHeight="1">
      <c r="S303" s="454"/>
      <c r="AN303" s="458"/>
      <c r="AY303" s="458"/>
      <c r="AZ303" s="458"/>
      <c r="BA303" s="1305"/>
      <c r="BC303" s="169"/>
    </row>
    <row r="304" spans="19:55" ht="15.75" customHeight="1">
      <c r="S304" s="454"/>
      <c r="AN304" s="458"/>
      <c r="AY304" s="458"/>
      <c r="AZ304" s="458"/>
      <c r="BA304" s="1305"/>
      <c r="BC304" s="169"/>
    </row>
    <row r="305" spans="19:55" ht="15.75" customHeight="1">
      <c r="S305" s="454"/>
      <c r="AN305" s="458"/>
      <c r="AY305" s="458"/>
      <c r="AZ305" s="458"/>
      <c r="BA305" s="1305"/>
      <c r="BC305" s="169"/>
    </row>
    <row r="306" spans="19:55" ht="15.75" customHeight="1">
      <c r="S306" s="454"/>
      <c r="AN306" s="458"/>
      <c r="AY306" s="458"/>
      <c r="AZ306" s="458"/>
      <c r="BA306" s="1305"/>
      <c r="BC306" s="169"/>
    </row>
    <row r="307" spans="19:55" ht="15.75" customHeight="1">
      <c r="S307" s="454"/>
      <c r="AN307" s="458"/>
      <c r="AY307" s="458"/>
      <c r="AZ307" s="458"/>
      <c r="BA307" s="1305"/>
      <c r="BC307" s="169"/>
    </row>
    <row r="308" spans="19:55" ht="15.75" customHeight="1">
      <c r="S308" s="454"/>
      <c r="AN308" s="458"/>
      <c r="AY308" s="458"/>
      <c r="AZ308" s="458"/>
      <c r="BA308" s="1305"/>
      <c r="BC308" s="169"/>
    </row>
    <row r="309" spans="19:55" ht="15.75" customHeight="1">
      <c r="S309" s="454"/>
      <c r="AN309" s="458"/>
      <c r="AY309" s="458"/>
      <c r="AZ309" s="458"/>
      <c r="BA309" s="1305"/>
      <c r="BC309" s="169"/>
    </row>
    <row r="310" spans="19:55" ht="15.75" customHeight="1">
      <c r="S310" s="454"/>
      <c r="AN310" s="458"/>
      <c r="AY310" s="458"/>
      <c r="AZ310" s="458"/>
      <c r="BA310" s="1305"/>
      <c r="BC310" s="169"/>
    </row>
    <row r="311" spans="19:55" ht="15.75" customHeight="1">
      <c r="S311" s="454"/>
      <c r="AN311" s="458"/>
      <c r="AY311" s="458"/>
      <c r="AZ311" s="458"/>
      <c r="BA311" s="1305"/>
      <c r="BC311" s="169"/>
    </row>
    <row r="312" spans="19:55" ht="15.75" customHeight="1">
      <c r="S312" s="454"/>
      <c r="AN312" s="458"/>
      <c r="AY312" s="458"/>
      <c r="AZ312" s="458"/>
      <c r="BA312" s="1305"/>
      <c r="BC312" s="169"/>
    </row>
    <row r="313" spans="19:55" ht="15.75" customHeight="1">
      <c r="S313" s="454"/>
      <c r="AN313" s="458"/>
      <c r="AY313" s="458"/>
      <c r="AZ313" s="458"/>
      <c r="BA313" s="1305"/>
      <c r="BC313" s="169"/>
    </row>
    <row r="314" spans="19:55" ht="15.75" customHeight="1">
      <c r="S314" s="454"/>
      <c r="AN314" s="458"/>
      <c r="AY314" s="458"/>
      <c r="AZ314" s="458"/>
      <c r="BA314" s="1305"/>
      <c r="BC314" s="169"/>
    </row>
    <row r="315" spans="19:55" ht="15.75" customHeight="1">
      <c r="S315" s="454"/>
      <c r="AN315" s="458"/>
      <c r="AY315" s="458"/>
      <c r="AZ315" s="458"/>
      <c r="BA315" s="1305"/>
      <c r="BC315" s="169"/>
    </row>
    <row r="316" spans="19:55" ht="15.75" customHeight="1">
      <c r="S316" s="454"/>
      <c r="AN316" s="458"/>
      <c r="AY316" s="458"/>
      <c r="AZ316" s="458"/>
      <c r="BA316" s="1305"/>
      <c r="BC316" s="169"/>
    </row>
    <row r="317" spans="19:55" ht="15.75" customHeight="1">
      <c r="S317" s="454"/>
      <c r="AN317" s="458"/>
      <c r="AY317" s="458"/>
      <c r="AZ317" s="458"/>
      <c r="BA317" s="1305"/>
      <c r="BC317" s="169"/>
    </row>
    <row r="318" spans="19:55" ht="15.75" customHeight="1">
      <c r="S318" s="454"/>
      <c r="AN318" s="458"/>
      <c r="AY318" s="458"/>
      <c r="AZ318" s="458"/>
      <c r="BA318" s="1305"/>
      <c r="BC318" s="169"/>
    </row>
    <row r="319" spans="19:55" ht="15.75" customHeight="1">
      <c r="S319" s="454"/>
      <c r="AN319" s="458"/>
      <c r="AY319" s="458"/>
      <c r="AZ319" s="458"/>
      <c r="BA319" s="1305"/>
      <c r="BC319" s="169"/>
    </row>
    <row r="320" spans="19:55" ht="15.75" customHeight="1">
      <c r="S320" s="454"/>
      <c r="AN320" s="458"/>
      <c r="AY320" s="458"/>
      <c r="AZ320" s="458"/>
      <c r="BA320" s="1305"/>
      <c r="BC320" s="169"/>
    </row>
    <row r="321" spans="19:55" ht="15.75" customHeight="1">
      <c r="S321" s="454"/>
      <c r="AN321" s="458"/>
      <c r="AY321" s="458"/>
      <c r="AZ321" s="458"/>
      <c r="BA321" s="1305"/>
      <c r="BC321" s="169"/>
    </row>
    <row r="322" spans="19:55" ht="15.75" customHeight="1">
      <c r="S322" s="454"/>
      <c r="AN322" s="458"/>
      <c r="AY322" s="458"/>
      <c r="AZ322" s="458"/>
      <c r="BA322" s="1305"/>
      <c r="BC322" s="169"/>
    </row>
    <row r="323" spans="19:55" ht="15.75" customHeight="1">
      <c r="S323" s="454"/>
      <c r="AN323" s="458"/>
      <c r="AY323" s="458"/>
      <c r="AZ323" s="458"/>
      <c r="BA323" s="1305"/>
      <c r="BC323" s="169"/>
    </row>
    <row r="324" spans="19:55" ht="15.75" customHeight="1">
      <c r="S324" s="454"/>
      <c r="AN324" s="458"/>
      <c r="AY324" s="458"/>
      <c r="AZ324" s="458"/>
      <c r="BA324" s="1305"/>
      <c r="BC324" s="169"/>
    </row>
    <row r="325" spans="19:55" ht="15.75" customHeight="1">
      <c r="S325" s="454"/>
      <c r="AN325" s="458"/>
      <c r="AY325" s="458"/>
      <c r="AZ325" s="458"/>
      <c r="BA325" s="1305"/>
      <c r="BC325" s="169"/>
    </row>
    <row r="326" spans="19:55" ht="15.75" customHeight="1">
      <c r="S326" s="454"/>
      <c r="AN326" s="458"/>
      <c r="AY326" s="458"/>
      <c r="AZ326" s="458"/>
      <c r="BA326" s="1305"/>
      <c r="BC326" s="169"/>
    </row>
    <row r="327" spans="19:55" ht="15.75" customHeight="1">
      <c r="S327" s="454"/>
      <c r="AN327" s="458"/>
      <c r="AY327" s="458"/>
      <c r="AZ327" s="458"/>
      <c r="BA327" s="1305"/>
      <c r="BC327" s="169"/>
    </row>
    <row r="328" spans="19:55" ht="15.75" customHeight="1">
      <c r="S328" s="454"/>
      <c r="AN328" s="458"/>
      <c r="AY328" s="458"/>
      <c r="AZ328" s="458"/>
      <c r="BA328" s="1305"/>
      <c r="BC328" s="169"/>
    </row>
    <row r="329" spans="19:55" ht="15.75" customHeight="1">
      <c r="S329" s="454"/>
      <c r="AN329" s="458"/>
      <c r="AY329" s="458"/>
      <c r="AZ329" s="458"/>
      <c r="BA329" s="1305"/>
      <c r="BC329" s="169"/>
    </row>
    <row r="330" spans="19:55" ht="15.75" customHeight="1">
      <c r="S330" s="454"/>
      <c r="AN330" s="458"/>
      <c r="AY330" s="458"/>
      <c r="AZ330" s="458"/>
      <c r="BA330" s="1305"/>
      <c r="BC330" s="169"/>
    </row>
    <row r="331" spans="19:55" ht="15.75" customHeight="1">
      <c r="S331" s="454"/>
      <c r="AN331" s="458"/>
      <c r="AY331" s="458"/>
      <c r="AZ331" s="458"/>
      <c r="BA331" s="1305"/>
      <c r="BC331" s="169"/>
    </row>
    <row r="332" spans="19:55" ht="15.75" customHeight="1">
      <c r="S332" s="454"/>
      <c r="AN332" s="458"/>
      <c r="AY332" s="458"/>
      <c r="AZ332" s="458"/>
      <c r="BA332" s="1305"/>
      <c r="BC332" s="169"/>
    </row>
    <row r="333" spans="19:55" ht="15.75" customHeight="1">
      <c r="S333" s="454"/>
      <c r="AN333" s="458"/>
      <c r="AY333" s="458"/>
      <c r="AZ333" s="458"/>
      <c r="BA333" s="1305"/>
      <c r="BC333" s="169"/>
    </row>
    <row r="334" spans="19:55" ht="15.75" customHeight="1">
      <c r="S334" s="454"/>
      <c r="AN334" s="458"/>
      <c r="AY334" s="458"/>
      <c r="AZ334" s="458"/>
      <c r="BA334" s="1305"/>
      <c r="BC334" s="169"/>
    </row>
    <row r="335" spans="19:55" ht="15.75" customHeight="1">
      <c r="S335" s="454"/>
      <c r="AN335" s="458"/>
      <c r="AY335" s="458"/>
      <c r="AZ335" s="458"/>
      <c r="BA335" s="1305"/>
      <c r="BC335" s="169"/>
    </row>
    <row r="336" spans="19:55" ht="15.75" customHeight="1">
      <c r="S336" s="454"/>
      <c r="AN336" s="458"/>
      <c r="AY336" s="458"/>
      <c r="AZ336" s="458"/>
      <c r="BA336" s="1305"/>
      <c r="BC336" s="169"/>
    </row>
    <row r="337" spans="19:55" ht="15.75" customHeight="1">
      <c r="S337" s="454"/>
      <c r="AN337" s="458"/>
      <c r="AY337" s="458"/>
      <c r="AZ337" s="458"/>
      <c r="BA337" s="1305"/>
      <c r="BC337" s="169"/>
    </row>
    <row r="338" spans="19:55" ht="15.75" customHeight="1">
      <c r="S338" s="454"/>
      <c r="AN338" s="458"/>
      <c r="AY338" s="458"/>
      <c r="AZ338" s="458"/>
      <c r="BA338" s="1305"/>
      <c r="BC338" s="169"/>
    </row>
    <row r="339" spans="19:55" ht="15.75" customHeight="1">
      <c r="S339" s="454"/>
      <c r="AN339" s="458"/>
      <c r="AY339" s="458"/>
      <c r="AZ339" s="458"/>
      <c r="BA339" s="1305"/>
      <c r="BC339" s="169"/>
    </row>
    <row r="340" spans="19:55" ht="15.75" customHeight="1">
      <c r="S340" s="454"/>
      <c r="AN340" s="458"/>
      <c r="AY340" s="458"/>
      <c r="AZ340" s="458"/>
      <c r="BA340" s="1305"/>
      <c r="BC340" s="169"/>
    </row>
    <row r="341" spans="19:55" ht="15.75" customHeight="1">
      <c r="S341" s="454"/>
      <c r="AN341" s="458"/>
      <c r="AY341" s="458"/>
      <c r="AZ341" s="458"/>
      <c r="BA341" s="1305"/>
      <c r="BC341" s="169"/>
    </row>
    <row r="342" spans="19:55" ht="15.75" customHeight="1">
      <c r="S342" s="454"/>
      <c r="AN342" s="458"/>
      <c r="AY342" s="458"/>
      <c r="AZ342" s="458"/>
      <c r="BA342" s="1305"/>
      <c r="BC342" s="169"/>
    </row>
    <row r="343" spans="19:55" ht="15.75" customHeight="1">
      <c r="S343" s="454"/>
      <c r="AN343" s="458"/>
      <c r="AY343" s="458"/>
      <c r="AZ343" s="458"/>
      <c r="BA343" s="1305"/>
      <c r="BC343" s="169"/>
    </row>
    <row r="344" spans="19:55" ht="15.75" customHeight="1">
      <c r="S344" s="454"/>
      <c r="AN344" s="458"/>
      <c r="AY344" s="458"/>
      <c r="AZ344" s="458"/>
      <c r="BA344" s="1305"/>
      <c r="BC344" s="169"/>
    </row>
    <row r="345" spans="19:55" ht="15.75" customHeight="1">
      <c r="S345" s="454"/>
      <c r="AN345" s="458"/>
      <c r="AY345" s="458"/>
      <c r="AZ345" s="458"/>
      <c r="BA345" s="1305"/>
      <c r="BC345" s="169"/>
    </row>
    <row r="346" spans="19:55" ht="15.75" customHeight="1">
      <c r="S346" s="454"/>
      <c r="AN346" s="458"/>
      <c r="AY346" s="458"/>
      <c r="AZ346" s="458"/>
      <c r="BA346" s="1305"/>
      <c r="BC346" s="169"/>
    </row>
    <row r="347" spans="19:55" ht="15.75" customHeight="1">
      <c r="S347" s="454"/>
      <c r="AN347" s="458"/>
      <c r="AY347" s="458"/>
      <c r="AZ347" s="458"/>
      <c r="BA347" s="1305"/>
      <c r="BC347" s="169"/>
    </row>
    <row r="348" spans="19:55" ht="15.75" customHeight="1">
      <c r="S348" s="454"/>
      <c r="AN348" s="458"/>
      <c r="AY348" s="458"/>
      <c r="AZ348" s="458"/>
      <c r="BA348" s="1305"/>
      <c r="BC348" s="169"/>
    </row>
    <row r="349" spans="19:55" ht="15.75" customHeight="1">
      <c r="S349" s="454"/>
      <c r="AN349" s="458"/>
      <c r="AY349" s="458"/>
      <c r="AZ349" s="458"/>
      <c r="BA349" s="1305"/>
      <c r="BC349" s="169"/>
    </row>
    <row r="350" spans="19:55" ht="15.75" customHeight="1">
      <c r="S350" s="454"/>
      <c r="AN350" s="458"/>
      <c r="AY350" s="458"/>
      <c r="AZ350" s="458"/>
      <c r="BA350" s="1305"/>
      <c r="BC350" s="169"/>
    </row>
    <row r="351" spans="19:55" ht="15.75" customHeight="1">
      <c r="S351" s="454"/>
      <c r="AN351" s="458"/>
      <c r="AY351" s="458"/>
      <c r="AZ351" s="458"/>
      <c r="BA351" s="1305"/>
      <c r="BC351" s="169"/>
    </row>
    <row r="352" spans="19:55" ht="15.75" customHeight="1">
      <c r="S352" s="454"/>
      <c r="AN352" s="458"/>
      <c r="AY352" s="458"/>
      <c r="AZ352" s="458"/>
      <c r="BA352" s="1305"/>
      <c r="BC352" s="169"/>
    </row>
    <row r="353" spans="19:55" ht="15.75" customHeight="1">
      <c r="S353" s="454"/>
      <c r="AN353" s="458"/>
      <c r="AY353" s="458"/>
      <c r="AZ353" s="458"/>
      <c r="BA353" s="1305"/>
      <c r="BC353" s="169"/>
    </row>
    <row r="354" spans="19:55" ht="15.75" customHeight="1">
      <c r="S354" s="454"/>
      <c r="AN354" s="458"/>
      <c r="AY354" s="458"/>
      <c r="AZ354" s="458"/>
      <c r="BA354" s="1305"/>
      <c r="BC354" s="169"/>
    </row>
    <row r="355" spans="19:55" ht="15.75" customHeight="1">
      <c r="S355" s="454"/>
      <c r="AN355" s="458"/>
      <c r="AY355" s="458"/>
      <c r="AZ355" s="458"/>
      <c r="BA355" s="1305"/>
      <c r="BC355" s="169"/>
    </row>
    <row r="356" spans="19:55" ht="15.75" customHeight="1">
      <c r="S356" s="454"/>
      <c r="AN356" s="458"/>
      <c r="AY356" s="458"/>
      <c r="AZ356" s="458"/>
      <c r="BA356" s="1305"/>
      <c r="BC356" s="169"/>
    </row>
    <row r="357" spans="19:55" ht="15.75" customHeight="1">
      <c r="S357" s="454"/>
      <c r="AN357" s="458"/>
      <c r="AY357" s="458"/>
      <c r="AZ357" s="458"/>
      <c r="BA357" s="1305"/>
      <c r="BC357" s="169"/>
    </row>
    <row r="358" spans="19:55" ht="15.75" customHeight="1">
      <c r="S358" s="454"/>
      <c r="AN358" s="458"/>
      <c r="AY358" s="458"/>
      <c r="AZ358" s="458"/>
      <c r="BA358" s="1305"/>
      <c r="BC358" s="169"/>
    </row>
    <row r="359" spans="19:55" ht="15.75" customHeight="1">
      <c r="S359" s="454"/>
      <c r="AN359" s="458"/>
      <c r="AY359" s="458"/>
      <c r="AZ359" s="458"/>
      <c r="BA359" s="1305"/>
      <c r="BC359" s="169"/>
    </row>
    <row r="360" spans="19:55" ht="15.75" customHeight="1">
      <c r="S360" s="454"/>
      <c r="AN360" s="458"/>
      <c r="AY360" s="458"/>
      <c r="AZ360" s="458"/>
      <c r="BA360" s="1305"/>
      <c r="BC360" s="169"/>
    </row>
    <row r="361" spans="19:55" ht="15.75" customHeight="1">
      <c r="S361" s="454"/>
      <c r="AN361" s="458"/>
      <c r="AY361" s="458"/>
      <c r="AZ361" s="458"/>
      <c r="BA361" s="1305"/>
      <c r="BC361" s="169"/>
    </row>
    <row r="362" spans="19:55" ht="15.75" customHeight="1">
      <c r="S362" s="454"/>
      <c r="AN362" s="458"/>
      <c r="AY362" s="458"/>
      <c r="AZ362" s="458"/>
      <c r="BA362" s="1305"/>
      <c r="BC362" s="169"/>
    </row>
    <row r="363" spans="19:55" ht="15.75" customHeight="1">
      <c r="S363" s="454"/>
      <c r="AN363" s="458"/>
      <c r="AY363" s="458"/>
      <c r="AZ363" s="458"/>
      <c r="BA363" s="1305"/>
      <c r="BC363" s="169"/>
    </row>
    <row r="364" spans="19:55" ht="15.75" customHeight="1">
      <c r="S364" s="454"/>
      <c r="AN364" s="458"/>
      <c r="AY364" s="458"/>
      <c r="AZ364" s="458"/>
      <c r="BA364" s="1305"/>
      <c r="BC364" s="169"/>
    </row>
    <row r="365" spans="19:55" ht="15.75" customHeight="1">
      <c r="S365" s="454"/>
      <c r="AN365" s="458"/>
      <c r="AY365" s="458"/>
      <c r="AZ365" s="458"/>
      <c r="BA365" s="1305"/>
      <c r="BC365" s="169"/>
    </row>
    <row r="366" spans="19:55" ht="15.75" customHeight="1">
      <c r="S366" s="454"/>
      <c r="AN366" s="458"/>
      <c r="AY366" s="458"/>
      <c r="AZ366" s="458"/>
      <c r="BA366" s="1305"/>
      <c r="BC366" s="169"/>
    </row>
    <row r="367" spans="19:55" ht="15.75" customHeight="1">
      <c r="S367" s="454"/>
      <c r="AN367" s="458"/>
      <c r="AY367" s="458"/>
      <c r="AZ367" s="458"/>
      <c r="BA367" s="1305"/>
      <c r="BC367" s="169"/>
    </row>
    <row r="368" spans="19:55" ht="15.75" customHeight="1">
      <c r="S368" s="454"/>
      <c r="AN368" s="458"/>
      <c r="AY368" s="458"/>
      <c r="AZ368" s="458"/>
      <c r="BA368" s="1305"/>
      <c r="BC368" s="169"/>
    </row>
    <row r="369" spans="19:55" ht="15.75" customHeight="1">
      <c r="S369" s="454"/>
      <c r="AN369" s="458"/>
      <c r="AY369" s="458"/>
      <c r="AZ369" s="458"/>
      <c r="BA369" s="1305"/>
      <c r="BC369" s="169"/>
    </row>
    <row r="370" spans="19:55" ht="15.75" customHeight="1">
      <c r="S370" s="454"/>
      <c r="AN370" s="458"/>
      <c r="AY370" s="458"/>
      <c r="AZ370" s="458"/>
      <c r="BA370" s="1305"/>
      <c r="BC370" s="169"/>
    </row>
    <row r="371" spans="19:55" ht="15.75" customHeight="1">
      <c r="S371" s="454"/>
      <c r="AN371" s="458"/>
      <c r="AY371" s="458"/>
      <c r="AZ371" s="458"/>
      <c r="BA371" s="1305"/>
      <c r="BC371" s="169"/>
    </row>
    <row r="372" spans="19:55" ht="15.75" customHeight="1">
      <c r="S372" s="454"/>
      <c r="AN372" s="458"/>
      <c r="AY372" s="458"/>
      <c r="AZ372" s="458"/>
      <c r="BA372" s="1305"/>
      <c r="BC372" s="169"/>
    </row>
    <row r="373" spans="19:55" ht="15.75" customHeight="1">
      <c r="S373" s="454"/>
      <c r="AN373" s="458"/>
      <c r="AY373" s="458"/>
      <c r="AZ373" s="458"/>
      <c r="BA373" s="1305"/>
      <c r="BC373" s="169"/>
    </row>
    <row r="374" spans="19:55" ht="15.75" customHeight="1">
      <c r="S374" s="454"/>
      <c r="AN374" s="458"/>
      <c r="AY374" s="458"/>
      <c r="AZ374" s="458"/>
      <c r="BA374" s="1305"/>
      <c r="BC374" s="169"/>
    </row>
    <row r="375" spans="19:55" ht="15.75" customHeight="1">
      <c r="S375" s="454"/>
      <c r="AN375" s="458"/>
      <c r="AY375" s="458"/>
      <c r="AZ375" s="458"/>
      <c r="BA375" s="1305"/>
      <c r="BC375" s="169"/>
    </row>
    <row r="376" spans="19:55" ht="15.75" customHeight="1">
      <c r="S376" s="454"/>
      <c r="AN376" s="458"/>
      <c r="AY376" s="458"/>
      <c r="AZ376" s="458"/>
      <c r="BA376" s="1305"/>
      <c r="BC376" s="169"/>
    </row>
    <row r="377" spans="19:55" ht="15.75" customHeight="1">
      <c r="S377" s="454"/>
      <c r="AN377" s="458"/>
      <c r="AY377" s="458"/>
      <c r="AZ377" s="458"/>
      <c r="BA377" s="1305"/>
      <c r="BC377" s="169"/>
    </row>
    <row r="378" spans="19:55" ht="15.75" customHeight="1">
      <c r="S378" s="454"/>
      <c r="AN378" s="458"/>
      <c r="AY378" s="458"/>
      <c r="AZ378" s="458"/>
      <c r="BA378" s="1305"/>
      <c r="BC378" s="169"/>
    </row>
    <row r="379" spans="19:55" ht="15.75" customHeight="1">
      <c r="S379" s="454"/>
      <c r="AN379" s="458"/>
      <c r="AY379" s="458"/>
      <c r="AZ379" s="458"/>
      <c r="BA379" s="1305"/>
      <c r="BC379" s="169"/>
    </row>
    <row r="380" spans="19:55" ht="15.75" customHeight="1">
      <c r="S380" s="454"/>
      <c r="AN380" s="458"/>
      <c r="AY380" s="458"/>
      <c r="AZ380" s="458"/>
      <c r="BA380" s="1305"/>
      <c r="BC380" s="169"/>
    </row>
    <row r="381" spans="19:55" ht="15.75" customHeight="1">
      <c r="S381" s="454"/>
      <c r="AN381" s="458"/>
      <c r="AY381" s="458"/>
      <c r="AZ381" s="458"/>
      <c r="BA381" s="1305"/>
      <c r="BC381" s="169"/>
    </row>
    <row r="382" spans="19:55" ht="15.75" customHeight="1">
      <c r="S382" s="454"/>
      <c r="AN382" s="458"/>
      <c r="AY382" s="458"/>
      <c r="AZ382" s="458"/>
      <c r="BA382" s="1305"/>
      <c r="BC382" s="169"/>
    </row>
    <row r="383" spans="19:55" ht="15.75" customHeight="1">
      <c r="S383" s="454"/>
      <c r="AN383" s="458"/>
      <c r="AY383" s="458"/>
      <c r="AZ383" s="458"/>
      <c r="BA383" s="1305"/>
      <c r="BC383" s="169"/>
    </row>
    <row r="384" spans="19:55" ht="15.75" customHeight="1">
      <c r="S384" s="454"/>
      <c r="AN384" s="458"/>
      <c r="AY384" s="458"/>
      <c r="AZ384" s="458"/>
      <c r="BA384" s="1305"/>
      <c r="BC384" s="169"/>
    </row>
    <row r="385" spans="19:55" ht="15.75" customHeight="1">
      <c r="S385" s="454"/>
      <c r="AN385" s="458"/>
      <c r="AY385" s="458"/>
      <c r="AZ385" s="458"/>
      <c r="BA385" s="1305"/>
      <c r="BC385" s="169"/>
    </row>
    <row r="386" spans="19:55" ht="15.75" customHeight="1">
      <c r="S386" s="454"/>
      <c r="AN386" s="458"/>
      <c r="AY386" s="458"/>
      <c r="AZ386" s="458"/>
      <c r="BA386" s="1305"/>
      <c r="BC386" s="169"/>
    </row>
    <row r="387" spans="19:55" ht="15.75" customHeight="1">
      <c r="S387" s="454"/>
      <c r="AN387" s="458"/>
      <c r="AY387" s="458"/>
      <c r="AZ387" s="458"/>
      <c r="BA387" s="1305"/>
      <c r="BC387" s="169"/>
    </row>
    <row r="388" spans="19:55" ht="15.75" customHeight="1">
      <c r="S388" s="454"/>
      <c r="AN388" s="458"/>
      <c r="AY388" s="458"/>
      <c r="AZ388" s="458"/>
      <c r="BA388" s="1305"/>
      <c r="BC388" s="169"/>
    </row>
    <row r="389" spans="19:55" ht="15.75" customHeight="1">
      <c r="S389" s="454"/>
      <c r="AN389" s="458"/>
      <c r="AY389" s="458"/>
      <c r="AZ389" s="458"/>
      <c r="BA389" s="1305"/>
      <c r="BC389" s="169"/>
    </row>
    <row r="390" spans="19:55" ht="15.75" customHeight="1">
      <c r="S390" s="454"/>
      <c r="AN390" s="458"/>
      <c r="AY390" s="458"/>
      <c r="AZ390" s="458"/>
      <c r="BA390" s="1305"/>
      <c r="BC390" s="169"/>
    </row>
    <row r="391" spans="19:55" ht="15.75" customHeight="1">
      <c r="S391" s="454"/>
      <c r="AN391" s="458"/>
      <c r="AY391" s="458"/>
      <c r="AZ391" s="458"/>
      <c r="BA391" s="1305"/>
      <c r="BC391" s="169"/>
    </row>
    <row r="392" spans="19:55" ht="15.75" customHeight="1">
      <c r="S392" s="454"/>
      <c r="AN392" s="458"/>
      <c r="AY392" s="458"/>
      <c r="AZ392" s="458"/>
      <c r="BA392" s="1305"/>
      <c r="BC392" s="169"/>
    </row>
    <row r="393" spans="19:55" ht="15.75" customHeight="1">
      <c r="S393" s="454"/>
      <c r="AN393" s="458"/>
      <c r="AY393" s="458"/>
      <c r="AZ393" s="458"/>
      <c r="BA393" s="1305"/>
      <c r="BC393" s="169"/>
    </row>
    <row r="394" spans="19:55" ht="15.75" customHeight="1">
      <c r="S394" s="454"/>
      <c r="AN394" s="458"/>
      <c r="AY394" s="458"/>
      <c r="AZ394" s="458"/>
      <c r="BA394" s="1305"/>
      <c r="BC394" s="169"/>
    </row>
    <row r="395" spans="19:55" ht="15.75" customHeight="1">
      <c r="S395" s="454"/>
      <c r="AN395" s="458"/>
      <c r="AY395" s="458"/>
      <c r="AZ395" s="458"/>
      <c r="BA395" s="1305"/>
      <c r="BC395" s="169"/>
    </row>
    <row r="396" spans="19:55" ht="15.75" customHeight="1">
      <c r="S396" s="454"/>
      <c r="AN396" s="458"/>
      <c r="AY396" s="458"/>
      <c r="AZ396" s="458"/>
      <c r="BA396" s="1305"/>
      <c r="BC396" s="169"/>
    </row>
    <row r="397" spans="19:55" ht="15.75" customHeight="1">
      <c r="S397" s="454"/>
      <c r="AN397" s="458"/>
      <c r="AY397" s="458"/>
      <c r="AZ397" s="458"/>
      <c r="BA397" s="1305"/>
      <c r="BC397" s="169"/>
    </row>
    <row r="398" spans="19:55" ht="15.75" customHeight="1">
      <c r="S398" s="454"/>
      <c r="AN398" s="458"/>
      <c r="AY398" s="458"/>
      <c r="AZ398" s="458"/>
      <c r="BA398" s="1305"/>
      <c r="BC398" s="169"/>
    </row>
    <row r="399" spans="19:55" ht="15.75" customHeight="1">
      <c r="S399" s="454"/>
      <c r="AN399" s="458"/>
      <c r="AY399" s="458"/>
      <c r="AZ399" s="458"/>
      <c r="BA399" s="1305"/>
      <c r="BC399" s="169"/>
    </row>
    <row r="400" spans="19:55" ht="15.75" customHeight="1">
      <c r="S400" s="454"/>
      <c r="AN400" s="458"/>
      <c r="AY400" s="458"/>
      <c r="AZ400" s="458"/>
      <c r="BA400" s="1305"/>
      <c r="BC400" s="169"/>
    </row>
    <row r="401" spans="19:55" ht="15.75" customHeight="1">
      <c r="S401" s="454"/>
      <c r="AN401" s="458"/>
      <c r="AY401" s="458"/>
      <c r="AZ401" s="458"/>
      <c r="BA401" s="1305"/>
      <c r="BC401" s="169"/>
    </row>
    <row r="402" spans="19:55" ht="15.75" customHeight="1">
      <c r="S402" s="454"/>
      <c r="AN402" s="458"/>
      <c r="AY402" s="458"/>
      <c r="AZ402" s="458"/>
      <c r="BA402" s="1305"/>
      <c r="BC402" s="169"/>
    </row>
    <row r="403" spans="19:55" ht="15.75" customHeight="1">
      <c r="S403" s="454"/>
      <c r="AN403" s="458"/>
      <c r="AY403" s="458"/>
      <c r="AZ403" s="458"/>
      <c r="BA403" s="1305"/>
      <c r="BC403" s="169"/>
    </row>
    <row r="404" spans="19:55" ht="15.75" customHeight="1">
      <c r="S404" s="454"/>
      <c r="AN404" s="458"/>
      <c r="AY404" s="458"/>
      <c r="AZ404" s="458"/>
      <c r="BA404" s="1305"/>
      <c r="BC404" s="169"/>
    </row>
    <row r="405" spans="19:55" ht="15.75" customHeight="1">
      <c r="S405" s="454"/>
      <c r="AN405" s="458"/>
      <c r="AY405" s="458"/>
      <c r="AZ405" s="458"/>
      <c r="BA405" s="1305"/>
      <c r="BC405" s="169"/>
    </row>
    <row r="406" spans="19:55" ht="15.75" customHeight="1">
      <c r="S406" s="454"/>
      <c r="AN406" s="458"/>
      <c r="AY406" s="458"/>
      <c r="AZ406" s="458"/>
      <c r="BA406" s="1305"/>
      <c r="BC406" s="169"/>
    </row>
    <row r="407" spans="19:55" ht="15.75" customHeight="1">
      <c r="S407" s="454"/>
      <c r="AN407" s="458"/>
      <c r="AY407" s="458"/>
      <c r="AZ407" s="458"/>
      <c r="BA407" s="1305"/>
      <c r="BC407" s="169"/>
    </row>
    <row r="408" spans="19:55" ht="15.75" customHeight="1">
      <c r="S408" s="454"/>
      <c r="AN408" s="458"/>
      <c r="AY408" s="458"/>
      <c r="AZ408" s="458"/>
      <c r="BA408" s="1305"/>
      <c r="BC408" s="169"/>
    </row>
    <row r="409" spans="19:55" ht="15.75" customHeight="1">
      <c r="S409" s="454"/>
      <c r="AN409" s="458"/>
      <c r="AY409" s="458"/>
      <c r="AZ409" s="458"/>
      <c r="BA409" s="1305"/>
      <c r="BC409" s="169"/>
    </row>
    <row r="410" spans="19:55" ht="15.75" customHeight="1">
      <c r="S410" s="454"/>
      <c r="AN410" s="458"/>
      <c r="AY410" s="458"/>
      <c r="AZ410" s="458"/>
      <c r="BA410" s="1305"/>
      <c r="BC410" s="169"/>
    </row>
    <row r="411" spans="19:55" ht="15.75" customHeight="1">
      <c r="S411" s="454"/>
      <c r="AN411" s="458"/>
      <c r="AY411" s="458"/>
      <c r="AZ411" s="458"/>
      <c r="BA411" s="1305"/>
      <c r="BC411" s="169"/>
    </row>
    <row r="412" spans="19:55" ht="15.75" customHeight="1">
      <c r="S412" s="454"/>
      <c r="AN412" s="458"/>
      <c r="AY412" s="458"/>
      <c r="AZ412" s="458"/>
      <c r="BA412" s="1305"/>
      <c r="BC412" s="169"/>
    </row>
    <row r="413" spans="19:55" ht="15.75" customHeight="1">
      <c r="S413" s="454"/>
      <c r="AN413" s="458"/>
      <c r="AY413" s="458"/>
      <c r="AZ413" s="458"/>
      <c r="BA413" s="1305"/>
      <c r="BC413" s="169"/>
    </row>
    <row r="414" spans="19:55" ht="15.75" customHeight="1">
      <c r="S414" s="454"/>
      <c r="AN414" s="458"/>
      <c r="AY414" s="458"/>
      <c r="AZ414" s="458"/>
      <c r="BA414" s="1305"/>
      <c r="BC414" s="169"/>
    </row>
    <row r="415" spans="19:55" ht="15.75" customHeight="1">
      <c r="S415" s="454"/>
      <c r="AN415" s="458"/>
      <c r="AY415" s="458"/>
      <c r="AZ415" s="458"/>
      <c r="BA415" s="1305"/>
      <c r="BC415" s="169"/>
    </row>
    <row r="416" spans="19:55" ht="15.75" customHeight="1">
      <c r="S416" s="454"/>
      <c r="AN416" s="458"/>
      <c r="AY416" s="458"/>
      <c r="AZ416" s="458"/>
      <c r="BA416" s="1305"/>
      <c r="BC416" s="169"/>
    </row>
    <row r="417" spans="19:55" ht="15.75" customHeight="1">
      <c r="S417" s="454"/>
      <c r="AN417" s="458"/>
      <c r="AY417" s="458"/>
      <c r="AZ417" s="458"/>
      <c r="BA417" s="1305"/>
      <c r="BC417" s="169"/>
    </row>
    <row r="418" spans="19:55" ht="15.75" customHeight="1">
      <c r="S418" s="454"/>
      <c r="AN418" s="458"/>
      <c r="AY418" s="458"/>
      <c r="AZ418" s="458"/>
      <c r="BA418" s="1305"/>
      <c r="BC418" s="169"/>
    </row>
    <row r="419" spans="19:55" ht="15.75" customHeight="1">
      <c r="S419" s="454"/>
      <c r="AN419" s="458"/>
      <c r="AY419" s="458"/>
      <c r="AZ419" s="458"/>
      <c r="BA419" s="1305"/>
      <c r="BC419" s="169"/>
    </row>
    <row r="420" spans="19:55" ht="15.75" customHeight="1">
      <c r="S420" s="454"/>
      <c r="AN420" s="458"/>
      <c r="AY420" s="458"/>
      <c r="AZ420" s="458"/>
      <c r="BA420" s="1305"/>
      <c r="BC420" s="169"/>
    </row>
    <row r="421" spans="19:55" ht="15.75" customHeight="1">
      <c r="S421" s="454"/>
      <c r="AN421" s="458"/>
      <c r="AY421" s="458"/>
      <c r="AZ421" s="458"/>
      <c r="BA421" s="1305"/>
      <c r="BC421" s="169"/>
    </row>
    <row r="422" spans="19:55" ht="15.75" customHeight="1">
      <c r="S422" s="454"/>
      <c r="AN422" s="458"/>
      <c r="AY422" s="458"/>
      <c r="AZ422" s="458"/>
      <c r="BA422" s="1305"/>
      <c r="BC422" s="169"/>
    </row>
    <row r="423" spans="19:55" ht="15.75" customHeight="1">
      <c r="S423" s="454"/>
      <c r="AN423" s="458"/>
      <c r="AY423" s="458"/>
      <c r="AZ423" s="458"/>
      <c r="BA423" s="1305"/>
      <c r="BC423" s="169"/>
    </row>
    <row r="424" spans="19:55" ht="15.75" customHeight="1">
      <c r="S424" s="454"/>
      <c r="AN424" s="458"/>
      <c r="AY424" s="458"/>
      <c r="AZ424" s="458"/>
      <c r="BA424" s="1305"/>
      <c r="BC424" s="169"/>
    </row>
    <row r="425" spans="19:55" ht="15.75" customHeight="1">
      <c r="S425" s="454"/>
      <c r="AN425" s="458"/>
      <c r="AY425" s="458"/>
      <c r="AZ425" s="458"/>
      <c r="BA425" s="1305"/>
      <c r="BC425" s="169"/>
    </row>
    <row r="426" spans="19:55" ht="15.75" customHeight="1">
      <c r="S426" s="454"/>
      <c r="AN426" s="458"/>
      <c r="AY426" s="458"/>
      <c r="AZ426" s="458"/>
      <c r="BA426" s="1305"/>
      <c r="BC426" s="169"/>
    </row>
    <row r="427" spans="19:55" ht="15.75" customHeight="1">
      <c r="S427" s="454"/>
      <c r="AN427" s="458"/>
      <c r="AY427" s="458"/>
      <c r="AZ427" s="458"/>
      <c r="BA427" s="1305"/>
      <c r="BC427" s="169"/>
    </row>
    <row r="428" spans="19:55" ht="15.75" customHeight="1">
      <c r="S428" s="454"/>
      <c r="AN428" s="458"/>
      <c r="AY428" s="458"/>
      <c r="AZ428" s="458"/>
      <c r="BA428" s="1305"/>
      <c r="BC428" s="169"/>
    </row>
    <row r="429" spans="19:55" ht="15.75" customHeight="1">
      <c r="S429" s="454"/>
      <c r="AN429" s="458"/>
      <c r="AY429" s="458"/>
      <c r="AZ429" s="458"/>
      <c r="BA429" s="1305"/>
      <c r="BC429" s="169"/>
    </row>
    <row r="430" spans="19:55" ht="15.75" customHeight="1">
      <c r="S430" s="454"/>
      <c r="AN430" s="458"/>
      <c r="AY430" s="458"/>
      <c r="AZ430" s="458"/>
      <c r="BA430" s="1305"/>
      <c r="BC430" s="169"/>
    </row>
    <row r="431" spans="19:55" ht="15.75" customHeight="1">
      <c r="S431" s="454"/>
      <c r="AN431" s="458"/>
      <c r="AY431" s="458"/>
      <c r="AZ431" s="458"/>
      <c r="BA431" s="1305"/>
      <c r="BC431" s="169"/>
    </row>
    <row r="432" spans="19:55" ht="15.75" customHeight="1">
      <c r="S432" s="454"/>
      <c r="AN432" s="458"/>
      <c r="AY432" s="458"/>
      <c r="AZ432" s="458"/>
      <c r="BA432" s="1305"/>
      <c r="BC432" s="169"/>
    </row>
    <row r="433" spans="19:55" ht="15.75" customHeight="1">
      <c r="S433" s="454"/>
      <c r="AN433" s="458"/>
      <c r="AY433" s="458"/>
      <c r="AZ433" s="458"/>
      <c r="BA433" s="1305"/>
      <c r="BC433" s="169"/>
    </row>
    <row r="434" spans="19:55" ht="15.75" customHeight="1">
      <c r="S434" s="454"/>
      <c r="AN434" s="458"/>
      <c r="AY434" s="458"/>
      <c r="AZ434" s="458"/>
      <c r="BA434" s="1305"/>
      <c r="BC434" s="169"/>
    </row>
    <row r="435" spans="19:55" ht="15.75" customHeight="1">
      <c r="S435" s="454"/>
      <c r="AN435" s="458"/>
      <c r="AY435" s="458"/>
      <c r="AZ435" s="458"/>
      <c r="BA435" s="1305"/>
      <c r="BC435" s="169"/>
    </row>
    <row r="436" spans="19:55" ht="15.75" customHeight="1">
      <c r="S436" s="454"/>
      <c r="AN436" s="458"/>
      <c r="AY436" s="458"/>
      <c r="AZ436" s="458"/>
      <c r="BA436" s="1305"/>
      <c r="BC436" s="169"/>
    </row>
    <row r="437" spans="19:55" ht="15.75" customHeight="1">
      <c r="S437" s="454"/>
      <c r="AN437" s="458"/>
      <c r="AY437" s="458"/>
      <c r="AZ437" s="458"/>
      <c r="BA437" s="1305"/>
      <c r="BC437" s="169"/>
    </row>
    <row r="438" spans="19:55" ht="15.75" customHeight="1">
      <c r="S438" s="454"/>
      <c r="AN438" s="458"/>
      <c r="AY438" s="458"/>
      <c r="AZ438" s="458"/>
      <c r="BA438" s="1305"/>
      <c r="BC438" s="169"/>
    </row>
    <row r="439" spans="19:55" ht="15.75" customHeight="1">
      <c r="S439" s="454"/>
      <c r="AN439" s="458"/>
      <c r="AY439" s="458"/>
      <c r="AZ439" s="458"/>
      <c r="BA439" s="1305"/>
      <c r="BC439" s="169"/>
    </row>
    <row r="440" spans="19:55" ht="15.75" customHeight="1">
      <c r="S440" s="454"/>
      <c r="AN440" s="458"/>
      <c r="AY440" s="458"/>
      <c r="AZ440" s="458"/>
      <c r="BA440" s="1305"/>
      <c r="BC440" s="169"/>
    </row>
    <row r="441" spans="19:55" ht="15.75" customHeight="1">
      <c r="S441" s="454"/>
      <c r="AN441" s="458"/>
      <c r="AY441" s="458"/>
      <c r="AZ441" s="458"/>
      <c r="BA441" s="1305"/>
      <c r="BC441" s="169"/>
    </row>
    <row r="442" spans="19:55" ht="15.75" customHeight="1">
      <c r="S442" s="454"/>
      <c r="AN442" s="458"/>
      <c r="AY442" s="458"/>
      <c r="AZ442" s="458"/>
      <c r="BA442" s="1305"/>
      <c r="BC442" s="169"/>
    </row>
    <row r="443" spans="19:55" ht="15.75" customHeight="1">
      <c r="S443" s="454"/>
      <c r="AN443" s="458"/>
      <c r="AY443" s="458"/>
      <c r="AZ443" s="458"/>
      <c r="BA443" s="1305"/>
      <c r="BC443" s="169"/>
    </row>
    <row r="444" spans="19:55" ht="15.75" customHeight="1">
      <c r="S444" s="454"/>
      <c r="AN444" s="458"/>
      <c r="AY444" s="458"/>
      <c r="AZ444" s="458"/>
      <c r="BA444" s="1305"/>
      <c r="BC444" s="169"/>
    </row>
    <row r="445" spans="19:55" ht="15.75" customHeight="1">
      <c r="S445" s="454"/>
      <c r="AN445" s="458"/>
      <c r="AY445" s="458"/>
      <c r="AZ445" s="458"/>
      <c r="BA445" s="1305"/>
      <c r="BC445" s="169"/>
    </row>
    <row r="446" spans="19:55" ht="15.75" customHeight="1">
      <c r="S446" s="454"/>
      <c r="AN446" s="458"/>
      <c r="AY446" s="458"/>
      <c r="AZ446" s="458"/>
      <c r="BA446" s="1305"/>
      <c r="BC446" s="169"/>
    </row>
    <row r="447" spans="19:55" ht="15.75" customHeight="1">
      <c r="S447" s="454"/>
      <c r="AN447" s="458"/>
      <c r="AY447" s="458"/>
      <c r="AZ447" s="458"/>
      <c r="BA447" s="1305"/>
      <c r="BC447" s="169"/>
    </row>
    <row r="448" spans="19:55" ht="15.75" customHeight="1">
      <c r="S448" s="454"/>
      <c r="AN448" s="458"/>
      <c r="AY448" s="458"/>
      <c r="AZ448" s="458"/>
      <c r="BA448" s="1305"/>
      <c r="BC448" s="169"/>
    </row>
    <row r="449" spans="19:55" ht="15.75" customHeight="1">
      <c r="S449" s="454"/>
      <c r="AN449" s="458"/>
      <c r="AY449" s="458"/>
      <c r="AZ449" s="458"/>
      <c r="BA449" s="1305"/>
      <c r="BC449" s="169"/>
    </row>
    <row r="450" spans="19:55" ht="15.75" customHeight="1">
      <c r="S450" s="454"/>
      <c r="AN450" s="458"/>
      <c r="AY450" s="458"/>
      <c r="AZ450" s="458"/>
      <c r="BA450" s="1305"/>
      <c r="BC450" s="169"/>
    </row>
    <row r="451" spans="19:55" ht="15.75" customHeight="1">
      <c r="S451" s="454"/>
      <c r="AN451" s="458"/>
      <c r="AY451" s="458"/>
      <c r="AZ451" s="458"/>
      <c r="BA451" s="1305"/>
      <c r="BC451" s="169"/>
    </row>
    <row r="452" spans="19:55" ht="15.75" customHeight="1">
      <c r="S452" s="454"/>
      <c r="AN452" s="458"/>
      <c r="AY452" s="458"/>
      <c r="AZ452" s="458"/>
      <c r="BA452" s="1305"/>
      <c r="BC452" s="169"/>
    </row>
    <row r="453" spans="19:55" ht="15.75" customHeight="1">
      <c r="S453" s="454"/>
      <c r="AN453" s="458"/>
      <c r="AY453" s="458"/>
      <c r="AZ453" s="458"/>
      <c r="BA453" s="1305"/>
      <c r="BC453" s="169"/>
    </row>
    <row r="454" spans="19:55" ht="15.75" customHeight="1">
      <c r="S454" s="454"/>
      <c r="AN454" s="458"/>
      <c r="AY454" s="458"/>
      <c r="AZ454" s="458"/>
      <c r="BA454" s="1305"/>
      <c r="BC454" s="169"/>
    </row>
    <row r="455" spans="19:55" ht="15.75" customHeight="1">
      <c r="S455" s="454"/>
      <c r="AN455" s="458"/>
      <c r="AY455" s="458"/>
      <c r="AZ455" s="458"/>
      <c r="BA455" s="1305"/>
      <c r="BC455" s="169"/>
    </row>
    <row r="456" spans="19:55" ht="15.75" customHeight="1">
      <c r="S456" s="454"/>
      <c r="AN456" s="458"/>
      <c r="AY456" s="458"/>
      <c r="AZ456" s="458"/>
      <c r="BA456" s="1305"/>
      <c r="BC456" s="169"/>
    </row>
    <row r="457" spans="19:55" ht="15.75" customHeight="1">
      <c r="S457" s="454"/>
      <c r="AN457" s="458"/>
      <c r="AY457" s="458"/>
      <c r="AZ457" s="458"/>
      <c r="BA457" s="1305"/>
      <c r="BC457" s="169"/>
    </row>
    <row r="458" spans="19:55" ht="15.75" customHeight="1">
      <c r="S458" s="454"/>
      <c r="AN458" s="458"/>
      <c r="AY458" s="458"/>
      <c r="AZ458" s="458"/>
      <c r="BA458" s="1305"/>
      <c r="BC458" s="169"/>
    </row>
    <row r="459" spans="19:55" ht="15.75" customHeight="1">
      <c r="S459" s="454"/>
      <c r="AN459" s="458"/>
      <c r="AY459" s="458"/>
      <c r="AZ459" s="458"/>
      <c r="BA459" s="1305"/>
      <c r="BC459" s="169"/>
    </row>
    <row r="460" spans="19:55" ht="15.75" customHeight="1">
      <c r="S460" s="454"/>
      <c r="AN460" s="458"/>
      <c r="AY460" s="458"/>
      <c r="AZ460" s="458"/>
      <c r="BA460" s="1305"/>
      <c r="BC460" s="169"/>
    </row>
    <row r="461" spans="19:55" ht="15.75" customHeight="1">
      <c r="S461" s="454"/>
      <c r="AN461" s="458"/>
      <c r="AY461" s="458"/>
      <c r="AZ461" s="458"/>
      <c r="BA461" s="1305"/>
      <c r="BC461" s="169"/>
    </row>
    <row r="462" spans="19:55" ht="15.75" customHeight="1">
      <c r="S462" s="454"/>
      <c r="AN462" s="458"/>
      <c r="AY462" s="458"/>
      <c r="AZ462" s="458"/>
      <c r="BA462" s="1305"/>
      <c r="BC462" s="169"/>
    </row>
    <row r="463" spans="19:55" ht="15.75" customHeight="1">
      <c r="S463" s="454"/>
      <c r="AN463" s="458"/>
      <c r="AY463" s="458"/>
      <c r="AZ463" s="458"/>
      <c r="BA463" s="1305"/>
      <c r="BC463" s="169"/>
    </row>
    <row r="464" spans="19:55" ht="15.75" customHeight="1">
      <c r="S464" s="454"/>
      <c r="AN464" s="458"/>
      <c r="AY464" s="458"/>
      <c r="AZ464" s="458"/>
      <c r="BA464" s="1305"/>
      <c r="BC464" s="169"/>
    </row>
    <row r="465" spans="19:55" ht="15.75" customHeight="1">
      <c r="S465" s="454"/>
      <c r="AN465" s="458"/>
      <c r="AY465" s="458"/>
      <c r="AZ465" s="458"/>
      <c r="BA465" s="1305"/>
      <c r="BC465" s="169"/>
    </row>
    <row r="466" spans="19:55" ht="15.75" customHeight="1">
      <c r="S466" s="454"/>
      <c r="AN466" s="458"/>
      <c r="AY466" s="458"/>
      <c r="AZ466" s="458"/>
      <c r="BA466" s="1305"/>
      <c r="BC466" s="169"/>
    </row>
    <row r="467" spans="19:55" ht="15.75" customHeight="1">
      <c r="S467" s="454"/>
      <c r="AN467" s="458"/>
      <c r="AY467" s="458"/>
      <c r="AZ467" s="458"/>
      <c r="BA467" s="1305"/>
      <c r="BC467" s="169"/>
    </row>
    <row r="468" spans="19:55" ht="15.75" customHeight="1">
      <c r="S468" s="454"/>
      <c r="AN468" s="458"/>
      <c r="AY468" s="458"/>
      <c r="AZ468" s="458"/>
      <c r="BA468" s="1305"/>
      <c r="BC468" s="169"/>
    </row>
    <row r="469" spans="19:55" ht="15.75" customHeight="1">
      <c r="S469" s="454"/>
      <c r="AN469" s="458"/>
      <c r="AY469" s="458"/>
      <c r="AZ469" s="458"/>
      <c r="BA469" s="1305"/>
      <c r="BC469" s="169"/>
    </row>
    <row r="470" spans="19:55" ht="15.75" customHeight="1">
      <c r="S470" s="454"/>
      <c r="AN470" s="458"/>
      <c r="AY470" s="458"/>
      <c r="AZ470" s="458"/>
      <c r="BA470" s="1305"/>
      <c r="BC470" s="169"/>
    </row>
    <row r="471" spans="19:55" ht="15.75" customHeight="1">
      <c r="S471" s="454"/>
      <c r="AN471" s="458"/>
      <c r="AY471" s="458"/>
      <c r="AZ471" s="458"/>
      <c r="BA471" s="1305"/>
      <c r="BC471" s="169"/>
    </row>
    <row r="472" spans="19:55" ht="15.75" customHeight="1">
      <c r="S472" s="454"/>
      <c r="AN472" s="458"/>
      <c r="AY472" s="458"/>
      <c r="AZ472" s="458"/>
      <c r="BA472" s="1305"/>
      <c r="BC472" s="169"/>
    </row>
    <row r="473" spans="19:55" ht="15.75" customHeight="1">
      <c r="S473" s="454"/>
      <c r="AN473" s="458"/>
      <c r="AY473" s="458"/>
      <c r="AZ473" s="458"/>
      <c r="BA473" s="1305"/>
      <c r="BC473" s="169"/>
    </row>
    <row r="474" spans="19:55" ht="15.75" customHeight="1">
      <c r="S474" s="454"/>
      <c r="AN474" s="458"/>
      <c r="AY474" s="458"/>
      <c r="AZ474" s="458"/>
      <c r="BA474" s="1305"/>
      <c r="BC474" s="169"/>
    </row>
    <row r="475" spans="19:55" ht="15.75" customHeight="1">
      <c r="S475" s="454"/>
      <c r="AN475" s="458"/>
      <c r="AY475" s="458"/>
      <c r="AZ475" s="458"/>
      <c r="BA475" s="1305"/>
      <c r="BC475" s="169"/>
    </row>
    <row r="476" spans="19:55" ht="15.75" customHeight="1">
      <c r="S476" s="454"/>
      <c r="AN476" s="458"/>
      <c r="AY476" s="458"/>
      <c r="AZ476" s="458"/>
      <c r="BA476" s="1305"/>
      <c r="BC476" s="169"/>
    </row>
    <row r="477" spans="19:55" ht="15.75" customHeight="1">
      <c r="S477" s="454"/>
      <c r="AN477" s="458"/>
      <c r="AY477" s="458"/>
      <c r="AZ477" s="458"/>
      <c r="BA477" s="1305"/>
      <c r="BC477" s="169"/>
    </row>
    <row r="478" spans="19:55" ht="15.75" customHeight="1">
      <c r="S478" s="454"/>
      <c r="AN478" s="458"/>
      <c r="AY478" s="458"/>
      <c r="AZ478" s="458"/>
      <c r="BA478" s="1305"/>
      <c r="BC478" s="169"/>
    </row>
    <row r="479" spans="19:55" ht="15.75" customHeight="1">
      <c r="S479" s="454"/>
      <c r="AN479" s="458"/>
      <c r="AY479" s="458"/>
      <c r="AZ479" s="458"/>
      <c r="BA479" s="1305"/>
      <c r="BC479" s="169"/>
    </row>
    <row r="480" spans="19:55" ht="15.75" customHeight="1">
      <c r="S480" s="454"/>
      <c r="AN480" s="458"/>
      <c r="AY480" s="458"/>
      <c r="AZ480" s="458"/>
      <c r="BA480" s="1305"/>
      <c r="BC480" s="169"/>
    </row>
    <row r="481" spans="19:55" ht="15.75" customHeight="1">
      <c r="S481" s="454"/>
      <c r="AN481" s="458"/>
      <c r="AY481" s="458"/>
      <c r="AZ481" s="458"/>
      <c r="BA481" s="1305"/>
      <c r="BC481" s="169"/>
    </row>
    <row r="482" spans="19:55" ht="15.75" customHeight="1">
      <c r="S482" s="454"/>
      <c r="AN482" s="458"/>
      <c r="AY482" s="458"/>
      <c r="AZ482" s="458"/>
      <c r="BA482" s="1305"/>
      <c r="BC482" s="169"/>
    </row>
    <row r="483" spans="19:55" ht="15.75" customHeight="1">
      <c r="S483" s="454"/>
      <c r="AN483" s="458"/>
      <c r="AY483" s="458"/>
      <c r="AZ483" s="458"/>
      <c r="BA483" s="1305"/>
      <c r="BC483" s="169"/>
    </row>
    <row r="484" spans="19:55" ht="15.75" customHeight="1">
      <c r="S484" s="454"/>
      <c r="AN484" s="458"/>
      <c r="AY484" s="458"/>
      <c r="AZ484" s="458"/>
      <c r="BA484" s="1305"/>
      <c r="BC484" s="169"/>
    </row>
    <row r="485" spans="19:55" ht="15.75" customHeight="1">
      <c r="S485" s="454"/>
      <c r="AN485" s="458"/>
      <c r="AY485" s="458"/>
      <c r="AZ485" s="458"/>
      <c r="BA485" s="1305"/>
      <c r="BC485" s="169"/>
    </row>
    <row r="486" spans="19:55" ht="15.75" customHeight="1">
      <c r="S486" s="454"/>
      <c r="AN486" s="458"/>
      <c r="AY486" s="458"/>
      <c r="AZ486" s="458"/>
      <c r="BA486" s="1305"/>
      <c r="BC486" s="169"/>
    </row>
    <row r="487" spans="19:55" ht="15.75" customHeight="1">
      <c r="S487" s="454"/>
      <c r="AN487" s="458"/>
      <c r="AY487" s="458"/>
      <c r="AZ487" s="458"/>
      <c r="BA487" s="1305"/>
      <c r="BC487" s="169"/>
    </row>
    <row r="488" spans="19:55" ht="15.75" customHeight="1">
      <c r="S488" s="454"/>
      <c r="AN488" s="458"/>
      <c r="AY488" s="458"/>
      <c r="AZ488" s="458"/>
      <c r="BA488" s="1305"/>
      <c r="BC488" s="169"/>
    </row>
    <row r="489" spans="19:55" ht="15.75" customHeight="1">
      <c r="S489" s="454"/>
      <c r="AN489" s="458"/>
      <c r="AY489" s="458"/>
      <c r="AZ489" s="458"/>
      <c r="BA489" s="1305"/>
      <c r="BC489" s="169"/>
    </row>
    <row r="490" spans="19:55" ht="15.75" customHeight="1">
      <c r="S490" s="454"/>
      <c r="AN490" s="458"/>
      <c r="AY490" s="458"/>
      <c r="AZ490" s="458"/>
      <c r="BA490" s="1305"/>
      <c r="BC490" s="169"/>
    </row>
    <row r="491" spans="19:55" ht="15.75" customHeight="1">
      <c r="S491" s="454"/>
      <c r="AN491" s="458"/>
      <c r="AY491" s="458"/>
      <c r="AZ491" s="458"/>
      <c r="BA491" s="1305"/>
      <c r="BC491" s="169"/>
    </row>
    <row r="492" spans="19:55" ht="15.75" customHeight="1">
      <c r="S492" s="454"/>
      <c r="AN492" s="458"/>
      <c r="AY492" s="458"/>
      <c r="AZ492" s="458"/>
      <c r="BA492" s="1305"/>
      <c r="BC492" s="169"/>
    </row>
    <row r="493" spans="19:55" ht="15.75" customHeight="1">
      <c r="S493" s="454"/>
      <c r="AN493" s="458"/>
      <c r="AY493" s="458"/>
      <c r="AZ493" s="458"/>
      <c r="BA493" s="1305"/>
      <c r="BC493" s="169"/>
    </row>
    <row r="494" spans="19:55" ht="15.75" customHeight="1">
      <c r="S494" s="454"/>
      <c r="AN494" s="458"/>
      <c r="AY494" s="458"/>
      <c r="AZ494" s="458"/>
      <c r="BA494" s="1305"/>
      <c r="BC494" s="169"/>
    </row>
    <row r="495" spans="19:55" ht="15.75" customHeight="1">
      <c r="S495" s="454"/>
      <c r="AN495" s="458"/>
      <c r="AY495" s="458"/>
      <c r="AZ495" s="458"/>
      <c r="BA495" s="1305"/>
      <c r="BC495" s="169"/>
    </row>
    <row r="496" spans="19:55" ht="15.75" customHeight="1">
      <c r="S496" s="454"/>
      <c r="AN496" s="458"/>
      <c r="AY496" s="458"/>
      <c r="AZ496" s="458"/>
      <c r="BA496" s="1305"/>
      <c r="BC496" s="169"/>
    </row>
    <row r="497" spans="19:55" ht="15.75" customHeight="1">
      <c r="S497" s="454"/>
      <c r="AN497" s="458"/>
      <c r="AY497" s="458"/>
      <c r="AZ497" s="458"/>
      <c r="BA497" s="1305"/>
      <c r="BC497" s="169"/>
    </row>
    <row r="498" spans="19:55" ht="15.75" customHeight="1">
      <c r="S498" s="454"/>
      <c r="AN498" s="458"/>
      <c r="AY498" s="458"/>
      <c r="AZ498" s="458"/>
      <c r="BA498" s="1305"/>
      <c r="BC498" s="169"/>
    </row>
    <row r="499" spans="19:55" ht="15.75" customHeight="1">
      <c r="S499" s="454"/>
      <c r="AN499" s="458"/>
      <c r="AY499" s="458"/>
      <c r="AZ499" s="458"/>
      <c r="BA499" s="1305"/>
      <c r="BC499" s="169"/>
    </row>
    <row r="500" spans="19:55" ht="15.75" customHeight="1">
      <c r="S500" s="454"/>
      <c r="AN500" s="458"/>
      <c r="AY500" s="458"/>
      <c r="AZ500" s="458"/>
      <c r="BA500" s="1305"/>
      <c r="BC500" s="169"/>
    </row>
    <row r="501" spans="19:55" ht="15.75" customHeight="1">
      <c r="S501" s="454"/>
      <c r="AN501" s="458"/>
      <c r="AY501" s="458"/>
      <c r="AZ501" s="458"/>
      <c r="BA501" s="1305"/>
      <c r="BC501" s="169"/>
    </row>
    <row r="502" spans="19:55" ht="15.75" customHeight="1">
      <c r="S502" s="454"/>
      <c r="AN502" s="458"/>
      <c r="AY502" s="458"/>
      <c r="AZ502" s="458"/>
      <c r="BA502" s="1305"/>
      <c r="BC502" s="169"/>
    </row>
    <row r="503" spans="19:55" ht="15.75" customHeight="1">
      <c r="S503" s="454"/>
      <c r="AN503" s="458"/>
      <c r="AY503" s="458"/>
      <c r="AZ503" s="458"/>
      <c r="BA503" s="1305"/>
      <c r="BC503" s="169"/>
    </row>
    <row r="504" spans="19:55" ht="15.75" customHeight="1">
      <c r="S504" s="454"/>
      <c r="AN504" s="458"/>
      <c r="AY504" s="458"/>
      <c r="AZ504" s="458"/>
      <c r="BA504" s="1305"/>
      <c r="BC504" s="169"/>
    </row>
    <row r="505" spans="19:55" ht="15.75" customHeight="1">
      <c r="S505" s="454"/>
      <c r="AN505" s="458"/>
      <c r="AY505" s="458"/>
      <c r="AZ505" s="458"/>
      <c r="BA505" s="1305"/>
      <c r="BC505" s="169"/>
    </row>
    <row r="506" spans="19:55" ht="15.75" customHeight="1">
      <c r="S506" s="454"/>
      <c r="AN506" s="458"/>
      <c r="AY506" s="458"/>
      <c r="AZ506" s="458"/>
      <c r="BA506" s="1305"/>
      <c r="BC506" s="169"/>
    </row>
    <row r="507" spans="19:55" ht="15.75" customHeight="1">
      <c r="S507" s="454"/>
      <c r="AN507" s="458"/>
      <c r="AY507" s="458"/>
      <c r="AZ507" s="458"/>
      <c r="BA507" s="1305"/>
      <c r="BC507" s="169"/>
    </row>
    <row r="508" spans="19:55" ht="15.75" customHeight="1">
      <c r="S508" s="454"/>
      <c r="AN508" s="458"/>
      <c r="AV508" s="177"/>
      <c r="AW508" s="177"/>
      <c r="AX508" s="177"/>
      <c r="AY508" s="458"/>
      <c r="AZ508" s="458"/>
      <c r="BA508" s="1307"/>
      <c r="BC508" s="169"/>
    </row>
    <row r="509" spans="19:55" ht="15.75" customHeight="1">
      <c r="S509" s="454"/>
      <c r="AN509" s="458"/>
      <c r="AV509" s="177"/>
      <c r="AW509" s="177"/>
      <c r="AX509" s="177"/>
      <c r="AY509" s="458"/>
      <c r="AZ509" s="458"/>
      <c r="BA509" s="1307"/>
      <c r="BC509" s="169"/>
    </row>
    <row r="510" spans="19:55" ht="15.75" customHeight="1">
      <c r="S510" s="454"/>
      <c r="AN510" s="458"/>
      <c r="AU510" s="177"/>
      <c r="AV510" s="177"/>
      <c r="AW510" s="177"/>
      <c r="AX510" s="177"/>
      <c r="AY510" s="458"/>
      <c r="AZ510" s="458"/>
      <c r="BA510" s="1307"/>
      <c r="BC510" s="169"/>
    </row>
    <row r="511" spans="19:55" ht="15.75" customHeight="1">
      <c r="S511" s="454"/>
      <c r="AN511" s="458"/>
      <c r="AU511" s="177"/>
      <c r="AV511" s="177"/>
      <c r="AW511" s="177"/>
      <c r="AX511" s="177"/>
      <c r="AY511" s="458"/>
      <c r="AZ511" s="458"/>
      <c r="BA511" s="1307"/>
      <c r="BC511" s="169"/>
    </row>
    <row r="512" spans="19:55" ht="15.75" customHeight="1">
      <c r="S512" s="454"/>
      <c r="AN512" s="458"/>
      <c r="AU512" s="177"/>
      <c r="AV512" s="177"/>
      <c r="AW512" s="177"/>
      <c r="AX512" s="177"/>
      <c r="AY512" s="458"/>
      <c r="AZ512" s="458"/>
      <c r="BA512" s="1307"/>
      <c r="BC512" s="169"/>
    </row>
    <row r="513" spans="19:55" ht="15.75" customHeight="1">
      <c r="S513" s="454"/>
      <c r="AN513" s="458"/>
      <c r="AU513" s="177"/>
      <c r="AV513" s="177"/>
      <c r="AW513" s="177"/>
      <c r="AX513" s="177"/>
      <c r="AY513" s="458"/>
      <c r="AZ513" s="458"/>
      <c r="BA513" s="1307"/>
      <c r="BC513" s="169"/>
    </row>
    <row r="514" spans="19:55" ht="15.75" customHeight="1">
      <c r="S514" s="454"/>
      <c r="AN514" s="458"/>
      <c r="AU514" s="177"/>
      <c r="AV514" s="177"/>
      <c r="AW514" s="177"/>
      <c r="AX514" s="177"/>
      <c r="AY514" s="458"/>
      <c r="AZ514" s="458"/>
      <c r="BA514" s="1307"/>
      <c r="BC514" s="169"/>
    </row>
    <row r="515" spans="19:55" ht="15.75" customHeight="1">
      <c r="S515" s="454"/>
      <c r="AN515" s="458"/>
      <c r="AU515" s="177"/>
      <c r="AV515" s="177"/>
      <c r="AW515" s="177"/>
      <c r="AX515" s="177"/>
      <c r="AY515" s="458"/>
      <c r="AZ515" s="458"/>
      <c r="BA515" s="1307"/>
      <c r="BC515" s="169"/>
    </row>
    <row r="516" spans="19:55" ht="15.75" customHeight="1">
      <c r="S516" s="454"/>
      <c r="AN516" s="458"/>
      <c r="AU516" s="177"/>
      <c r="AV516" s="177"/>
      <c r="AW516" s="177"/>
      <c r="AX516" s="177"/>
      <c r="AY516" s="458"/>
      <c r="AZ516" s="458"/>
      <c r="BA516" s="1307"/>
      <c r="BC516" s="169"/>
    </row>
    <row r="517" spans="19:55" ht="15.75" customHeight="1">
      <c r="S517" s="454"/>
      <c r="AN517" s="458"/>
      <c r="AU517" s="177"/>
      <c r="AV517" s="177"/>
      <c r="AW517" s="177"/>
      <c r="AX517" s="177"/>
      <c r="AY517" s="458"/>
      <c r="AZ517" s="458"/>
      <c r="BA517" s="1307"/>
      <c r="BC517" s="169"/>
    </row>
    <row r="518" spans="19:55" ht="15.75" customHeight="1">
      <c r="S518" s="454"/>
      <c r="AN518" s="458"/>
      <c r="AU518" s="177"/>
      <c r="AV518" s="177"/>
      <c r="AW518" s="177"/>
      <c r="AX518" s="177"/>
      <c r="AY518" s="458"/>
      <c r="AZ518" s="458"/>
      <c r="BA518" s="1307"/>
      <c r="BC518" s="169"/>
    </row>
    <row r="519" spans="19:55" ht="15.75" customHeight="1">
      <c r="S519" s="454"/>
      <c r="AN519" s="458"/>
      <c r="AU519" s="177"/>
      <c r="AV519" s="177"/>
      <c r="AW519" s="177"/>
      <c r="AX519" s="177"/>
      <c r="AY519" s="458"/>
      <c r="AZ519" s="458"/>
      <c r="BA519" s="1307"/>
      <c r="BC519" s="169"/>
    </row>
    <row r="520" spans="19:55" ht="15.75" customHeight="1">
      <c r="S520" s="454"/>
      <c r="AN520" s="458"/>
      <c r="AU520" s="177"/>
      <c r="AV520" s="177"/>
      <c r="AW520" s="177"/>
      <c r="AX520" s="177"/>
      <c r="AY520" s="458"/>
      <c r="AZ520" s="458"/>
      <c r="BA520" s="1307"/>
      <c r="BC520" s="169"/>
    </row>
    <row r="521" spans="19:55" ht="15.75" customHeight="1">
      <c r="S521" s="454"/>
      <c r="AN521" s="458"/>
      <c r="AU521" s="177"/>
      <c r="AY521" s="458"/>
      <c r="AZ521" s="458"/>
      <c r="BA521" s="1305"/>
      <c r="BC521" s="169"/>
    </row>
    <row r="522" spans="19:55" ht="15.75" customHeight="1">
      <c r="S522" s="454"/>
      <c r="AN522" s="458"/>
      <c r="AU522" s="177"/>
      <c r="AY522" s="458"/>
      <c r="AZ522" s="458"/>
      <c r="BA522" s="1305"/>
      <c r="BC522" s="169"/>
    </row>
    <row r="523" spans="19:55" ht="15.75" customHeight="1">
      <c r="S523" s="454"/>
      <c r="AN523" s="458"/>
      <c r="AY523" s="458"/>
      <c r="AZ523" s="458"/>
      <c r="BA523" s="1305"/>
      <c r="BC523" s="169"/>
    </row>
    <row r="524" spans="19:55" ht="15.75" customHeight="1">
      <c r="S524" s="454"/>
      <c r="AN524" s="458"/>
      <c r="AY524" s="458"/>
      <c r="AZ524" s="458"/>
      <c r="BA524" s="1305"/>
      <c r="BC524" s="169"/>
    </row>
    <row r="525" spans="19:55" ht="15.75" customHeight="1">
      <c r="S525" s="454"/>
      <c r="AN525" s="458"/>
      <c r="AY525" s="458"/>
      <c r="AZ525" s="458"/>
      <c r="BA525" s="1305"/>
      <c r="BC525" s="169"/>
    </row>
    <row r="526" spans="19:55" ht="15.75" customHeight="1">
      <c r="S526" s="454"/>
      <c r="AN526" s="458"/>
      <c r="AV526" s="177"/>
      <c r="AW526" s="177"/>
      <c r="AX526" s="177"/>
      <c r="AY526" s="458"/>
      <c r="AZ526" s="458"/>
      <c r="BA526" s="1307"/>
      <c r="BC526" s="169"/>
    </row>
    <row r="527" spans="19:55" ht="15.75" customHeight="1">
      <c r="S527" s="454"/>
      <c r="AN527" s="458"/>
      <c r="AV527" s="177"/>
      <c r="AW527" s="177"/>
      <c r="AX527" s="177"/>
      <c r="AY527" s="458"/>
      <c r="AZ527" s="458"/>
      <c r="BA527" s="1307"/>
      <c r="BC527" s="169"/>
    </row>
    <row r="528" spans="19:55" ht="15.75" customHeight="1">
      <c r="S528" s="454"/>
      <c r="AN528" s="458"/>
      <c r="AU528" s="177"/>
      <c r="AV528" s="177"/>
      <c r="AW528" s="177"/>
      <c r="AX528" s="177"/>
      <c r="AY528" s="458"/>
      <c r="AZ528" s="458"/>
      <c r="BA528" s="1307"/>
      <c r="BC528" s="169"/>
    </row>
    <row r="529" spans="19:55" ht="15.75" customHeight="1">
      <c r="S529" s="454"/>
      <c r="AN529" s="458"/>
      <c r="AU529" s="177"/>
      <c r="AV529" s="177"/>
      <c r="AW529" s="177"/>
      <c r="AX529" s="177"/>
      <c r="AY529" s="458"/>
      <c r="AZ529" s="458"/>
      <c r="BA529" s="1307"/>
      <c r="BC529" s="169"/>
    </row>
    <row r="530" spans="19:55" ht="15.75" customHeight="1">
      <c r="S530" s="454"/>
      <c r="AN530" s="458"/>
      <c r="AU530" s="177"/>
      <c r="AV530" s="177"/>
      <c r="AW530" s="177"/>
      <c r="AX530" s="177"/>
      <c r="AY530" s="458"/>
      <c r="AZ530" s="458"/>
      <c r="BA530" s="1307"/>
      <c r="BC530" s="169"/>
    </row>
    <row r="531" spans="19:55" ht="15.75" customHeight="1">
      <c r="S531" s="454"/>
      <c r="AN531" s="458"/>
      <c r="AU531" s="177"/>
      <c r="AY531" s="458"/>
      <c r="AZ531" s="458"/>
      <c r="BA531" s="1305"/>
      <c r="BC531" s="169"/>
    </row>
    <row r="532" spans="19:55" ht="15.75" customHeight="1">
      <c r="S532" s="454"/>
      <c r="AN532" s="458"/>
      <c r="AU532" s="177"/>
      <c r="AY532" s="458"/>
      <c r="AZ532" s="458"/>
      <c r="BA532" s="1305"/>
      <c r="BC532" s="169"/>
    </row>
    <row r="533" spans="19:55" ht="15.75" customHeight="1">
      <c r="S533" s="454"/>
      <c r="AN533" s="458"/>
      <c r="AY533" s="458"/>
      <c r="AZ533" s="458"/>
      <c r="BA533" s="1305"/>
      <c r="BC533" s="169"/>
    </row>
    <row r="534" spans="19:55" ht="15.75" customHeight="1">
      <c r="S534" s="454"/>
      <c r="AN534" s="458"/>
      <c r="AV534" s="177"/>
      <c r="AW534" s="177"/>
      <c r="AX534" s="177"/>
      <c r="AY534" s="458"/>
      <c r="AZ534" s="458"/>
      <c r="BA534" s="1307"/>
      <c r="BC534" s="169"/>
    </row>
    <row r="535" spans="19:55" ht="15.75" customHeight="1">
      <c r="S535" s="454"/>
      <c r="AN535" s="458"/>
      <c r="AV535" s="177"/>
      <c r="AW535" s="177"/>
      <c r="AX535" s="177"/>
      <c r="AY535" s="458"/>
      <c r="AZ535" s="458"/>
      <c r="BA535" s="1307"/>
      <c r="BC535" s="169"/>
    </row>
    <row r="536" spans="19:55" ht="15.75" customHeight="1">
      <c r="S536" s="454"/>
      <c r="AN536" s="458"/>
      <c r="AU536" s="177"/>
      <c r="AV536" s="177"/>
      <c r="AW536" s="177"/>
      <c r="AX536" s="177"/>
      <c r="AY536" s="458"/>
      <c r="AZ536" s="458"/>
      <c r="BA536" s="1307"/>
      <c r="BC536" s="169"/>
    </row>
    <row r="537" spans="19:55" ht="15.75" customHeight="1">
      <c r="S537" s="454"/>
      <c r="AN537" s="458"/>
      <c r="AU537" s="177"/>
      <c r="AV537" s="177"/>
      <c r="AW537" s="177"/>
      <c r="AX537" s="177"/>
      <c r="AY537" s="458"/>
      <c r="AZ537" s="458"/>
      <c r="BA537" s="1307"/>
      <c r="BC537" s="169"/>
    </row>
    <row r="538" spans="19:55" ht="15.75" customHeight="1">
      <c r="S538" s="454"/>
      <c r="AN538" s="458"/>
      <c r="AU538" s="177"/>
      <c r="AV538" s="177"/>
      <c r="AW538" s="177"/>
      <c r="AX538" s="177"/>
      <c r="AY538" s="458"/>
      <c r="AZ538" s="458"/>
      <c r="BA538" s="1307"/>
      <c r="BC538" s="169"/>
    </row>
    <row r="539" spans="19:55" ht="15.75" customHeight="1">
      <c r="S539" s="454"/>
      <c r="AN539" s="458"/>
      <c r="AU539" s="177"/>
      <c r="AV539" s="177"/>
      <c r="AW539" s="177"/>
      <c r="AX539" s="177"/>
      <c r="AY539" s="458"/>
      <c r="AZ539" s="458"/>
      <c r="BA539" s="1307"/>
      <c r="BC539" s="169"/>
    </row>
    <row r="540" spans="19:55" ht="15.75" customHeight="1">
      <c r="S540" s="454"/>
      <c r="AN540" s="458"/>
      <c r="AU540" s="177"/>
      <c r="AV540" s="177"/>
      <c r="AW540" s="177"/>
      <c r="AX540" s="177"/>
      <c r="AY540" s="458"/>
      <c r="AZ540" s="458"/>
      <c r="BA540" s="1307"/>
      <c r="BC540" s="169"/>
    </row>
    <row r="541" spans="19:55" ht="15.75" customHeight="1">
      <c r="S541" s="454"/>
      <c r="AN541" s="458"/>
      <c r="AU541" s="177"/>
      <c r="AY541" s="458"/>
      <c r="AZ541" s="458"/>
      <c r="BA541" s="1305"/>
      <c r="BC541" s="169"/>
    </row>
    <row r="542" spans="19:55" ht="15.75" customHeight="1">
      <c r="S542" s="454"/>
      <c r="AN542" s="458"/>
      <c r="AU542" s="177"/>
      <c r="AY542" s="458"/>
      <c r="AZ542" s="458"/>
      <c r="BA542" s="1305"/>
      <c r="BC542" s="169"/>
    </row>
    <row r="543" spans="19:55" ht="15.75" customHeight="1">
      <c r="S543" s="454"/>
      <c r="AN543" s="458"/>
      <c r="AY543" s="458"/>
      <c r="AZ543" s="458"/>
      <c r="BA543" s="1305"/>
      <c r="BC543" s="169"/>
    </row>
    <row r="544" spans="19:55" ht="15.75" customHeight="1">
      <c r="S544" s="454"/>
      <c r="AN544" s="458"/>
      <c r="AY544" s="458"/>
      <c r="AZ544" s="458"/>
      <c r="BA544" s="1305"/>
      <c r="BC544" s="169"/>
    </row>
    <row r="545" spans="19:55" ht="15.75" customHeight="1">
      <c r="S545" s="454"/>
      <c r="AN545" s="458"/>
      <c r="AY545" s="458"/>
      <c r="AZ545" s="458"/>
      <c r="BA545" s="1305"/>
      <c r="BC545" s="169"/>
    </row>
    <row r="546" spans="19:55" ht="15.75" customHeight="1">
      <c r="S546" s="454"/>
      <c r="AN546" s="458"/>
      <c r="AY546" s="458"/>
      <c r="AZ546" s="458"/>
      <c r="BA546" s="1305"/>
      <c r="BC546" s="169"/>
    </row>
    <row r="547" spans="19:55" ht="15.75" customHeight="1">
      <c r="S547" s="454"/>
      <c r="AN547" s="458"/>
      <c r="AY547" s="458"/>
      <c r="AZ547" s="458"/>
      <c r="BA547" s="1305"/>
      <c r="BC547" s="169"/>
    </row>
    <row r="548" spans="19:55" ht="15.75" customHeight="1">
      <c r="S548" s="454"/>
      <c r="AN548" s="458"/>
      <c r="AY548" s="458"/>
      <c r="AZ548" s="458"/>
      <c r="BA548" s="1305"/>
      <c r="BC548" s="169"/>
    </row>
    <row r="549" spans="19:55" ht="15.75" customHeight="1">
      <c r="S549" s="454"/>
      <c r="AN549" s="458"/>
      <c r="AY549" s="458"/>
      <c r="AZ549" s="458"/>
      <c r="BA549" s="1305"/>
      <c r="BC549" s="169"/>
    </row>
    <row r="550" spans="19:55" ht="15.75" customHeight="1">
      <c r="S550" s="454"/>
      <c r="AN550" s="458"/>
      <c r="AY550" s="458"/>
      <c r="AZ550" s="458"/>
      <c r="BA550" s="1305"/>
      <c r="BC550" s="169"/>
    </row>
    <row r="551" spans="19:55" ht="15.75" customHeight="1">
      <c r="S551" s="454"/>
      <c r="AN551" s="458"/>
      <c r="AY551" s="458"/>
      <c r="AZ551" s="458"/>
      <c r="BA551" s="1305"/>
      <c r="BC551" s="169"/>
    </row>
    <row r="552" spans="19:55" ht="15.75" customHeight="1">
      <c r="S552" s="454"/>
      <c r="AN552" s="458"/>
      <c r="AY552" s="458"/>
      <c r="AZ552" s="458"/>
      <c r="BA552" s="1305"/>
      <c r="BC552" s="169"/>
    </row>
    <row r="553" spans="19:55" ht="15.75" customHeight="1">
      <c r="S553" s="454"/>
      <c r="AN553" s="458"/>
      <c r="AY553" s="458"/>
      <c r="AZ553" s="458"/>
      <c r="BA553" s="1305"/>
      <c r="BC553" s="169"/>
    </row>
    <row r="554" spans="19:55" ht="15.75" customHeight="1">
      <c r="S554" s="454"/>
      <c r="AN554" s="458"/>
      <c r="AY554" s="458"/>
      <c r="AZ554" s="458"/>
      <c r="BA554" s="1305"/>
      <c r="BC554" s="169"/>
    </row>
    <row r="555" spans="19:55" ht="15.75" customHeight="1">
      <c r="S555" s="454"/>
      <c r="AN555" s="458"/>
      <c r="AY555" s="458"/>
      <c r="AZ555" s="458"/>
      <c r="BA555" s="1305"/>
      <c r="BC555" s="169"/>
    </row>
    <row r="556" spans="19:55" ht="15.75" customHeight="1">
      <c r="S556" s="454"/>
      <c r="AN556" s="458"/>
      <c r="AY556" s="458"/>
      <c r="AZ556" s="458"/>
      <c r="BA556" s="1305"/>
      <c r="BC556" s="169"/>
    </row>
    <row r="557" spans="19:55" ht="15.75" customHeight="1">
      <c r="S557" s="454"/>
      <c r="AN557" s="458"/>
      <c r="AY557" s="458"/>
      <c r="AZ557" s="458"/>
      <c r="BA557" s="1305"/>
      <c r="BC557" s="169"/>
    </row>
    <row r="558" spans="19:55" ht="15.75" customHeight="1">
      <c r="S558" s="454"/>
      <c r="AN558" s="458"/>
      <c r="AY558" s="458"/>
      <c r="AZ558" s="458"/>
      <c r="BA558" s="1305"/>
      <c r="BC558" s="169"/>
    </row>
    <row r="559" spans="19:55" ht="15.75" customHeight="1">
      <c r="S559" s="454"/>
      <c r="AN559" s="458"/>
      <c r="AY559" s="458"/>
      <c r="AZ559" s="458"/>
      <c r="BA559" s="1305"/>
      <c r="BC559" s="169"/>
    </row>
    <row r="560" spans="19:55" ht="15.75" customHeight="1">
      <c r="S560" s="454"/>
      <c r="AN560" s="458"/>
      <c r="AY560" s="458"/>
      <c r="AZ560" s="458"/>
      <c r="BA560" s="1305"/>
      <c r="BC560" s="169"/>
    </row>
    <row r="561" spans="19:55" ht="15.75" customHeight="1">
      <c r="S561" s="454"/>
      <c r="AN561" s="458"/>
      <c r="AY561" s="458"/>
      <c r="AZ561" s="458"/>
      <c r="BA561" s="1305"/>
      <c r="BC561" s="169"/>
    </row>
    <row r="562" spans="19:55" ht="15.75" customHeight="1">
      <c r="S562" s="454"/>
      <c r="AN562" s="458"/>
      <c r="AY562" s="458"/>
      <c r="AZ562" s="458"/>
      <c r="BA562" s="1305"/>
      <c r="BC562" s="169"/>
    </row>
    <row r="563" spans="19:55" ht="15.75" customHeight="1">
      <c r="S563" s="454"/>
      <c r="AN563" s="458"/>
      <c r="AY563" s="458"/>
      <c r="AZ563" s="458"/>
      <c r="BA563" s="1305"/>
      <c r="BC563" s="169"/>
    </row>
    <row r="564" spans="19:55" ht="15.75" customHeight="1">
      <c r="S564" s="454"/>
      <c r="AN564" s="458"/>
      <c r="AY564" s="458"/>
      <c r="AZ564" s="458"/>
      <c r="BA564" s="1305"/>
      <c r="BC564" s="169"/>
    </row>
    <row r="565" spans="19:55" ht="15.75" customHeight="1">
      <c r="S565" s="454"/>
      <c r="AN565" s="458"/>
      <c r="AY565" s="458"/>
      <c r="AZ565" s="458"/>
      <c r="BA565" s="1305"/>
      <c r="BC565" s="169"/>
    </row>
    <row r="566" spans="19:55" ht="15.75" customHeight="1">
      <c r="S566" s="454"/>
      <c r="AN566" s="458"/>
      <c r="AY566" s="458"/>
      <c r="AZ566" s="458"/>
      <c r="BA566" s="1305"/>
      <c r="BC566" s="169"/>
    </row>
    <row r="567" spans="19:55" ht="15.75" customHeight="1">
      <c r="S567" s="454"/>
      <c r="AN567" s="458"/>
      <c r="AY567" s="458"/>
      <c r="AZ567" s="458"/>
      <c r="BA567" s="1305"/>
      <c r="BC567" s="169"/>
    </row>
    <row r="568" spans="19:55" ht="15.75" customHeight="1">
      <c r="S568" s="454"/>
      <c r="AN568" s="458"/>
      <c r="AY568" s="458"/>
      <c r="AZ568" s="458"/>
      <c r="BA568" s="1305"/>
      <c r="BC568" s="169"/>
    </row>
    <row r="569" spans="19:55" ht="15.75" customHeight="1">
      <c r="S569" s="454"/>
      <c r="AN569" s="458"/>
      <c r="AY569" s="458"/>
      <c r="AZ569" s="458"/>
      <c r="BA569" s="1305"/>
      <c r="BC569" s="169"/>
    </row>
    <row r="570" spans="19:55" ht="15.75" customHeight="1">
      <c r="S570" s="454"/>
      <c r="AN570" s="458"/>
      <c r="AY570" s="458"/>
      <c r="AZ570" s="458"/>
      <c r="BA570" s="1305"/>
      <c r="BC570" s="169"/>
    </row>
    <row r="571" spans="19:55" ht="15.75" customHeight="1">
      <c r="S571" s="454"/>
      <c r="AN571" s="458"/>
      <c r="AY571" s="458"/>
      <c r="AZ571" s="458"/>
      <c r="BA571" s="1305"/>
      <c r="BC571" s="169"/>
    </row>
    <row r="572" spans="19:55" ht="15.75" customHeight="1">
      <c r="S572" s="454"/>
      <c r="AN572" s="458"/>
      <c r="AY572" s="458"/>
      <c r="AZ572" s="458"/>
      <c r="BA572" s="1305"/>
      <c r="BC572" s="169"/>
    </row>
    <row r="573" spans="19:55" ht="15.75" customHeight="1">
      <c r="S573" s="454"/>
      <c r="AN573" s="458"/>
      <c r="AY573" s="458"/>
      <c r="AZ573" s="458"/>
      <c r="BA573" s="1305"/>
      <c r="BC573" s="169"/>
    </row>
    <row r="574" spans="19:55" ht="15.75" customHeight="1">
      <c r="S574" s="454"/>
      <c r="AN574" s="458"/>
      <c r="AY574" s="458"/>
      <c r="AZ574" s="458"/>
      <c r="BA574" s="1305"/>
      <c r="BC574" s="169"/>
    </row>
    <row r="575" spans="19:55" ht="15.75" customHeight="1">
      <c r="S575" s="454"/>
      <c r="AN575" s="458"/>
      <c r="AY575" s="458"/>
      <c r="AZ575" s="458"/>
      <c r="BA575" s="1305"/>
      <c r="BC575" s="169"/>
    </row>
    <row r="576" spans="19:55" ht="15.75" customHeight="1">
      <c r="S576" s="454"/>
      <c r="AN576" s="458"/>
      <c r="AY576" s="458"/>
      <c r="AZ576" s="458"/>
      <c r="BA576" s="1305"/>
      <c r="BC576" s="169"/>
    </row>
    <row r="577" spans="19:55" ht="15.75" customHeight="1">
      <c r="S577" s="454"/>
      <c r="AN577" s="458"/>
      <c r="AY577" s="458"/>
      <c r="AZ577" s="458"/>
      <c r="BA577" s="1305"/>
      <c r="BC577" s="169"/>
    </row>
    <row r="578" spans="19:55" ht="15.75" customHeight="1">
      <c r="S578" s="454"/>
      <c r="AN578" s="458"/>
      <c r="AY578" s="458"/>
      <c r="AZ578" s="458"/>
      <c r="BA578" s="1305"/>
      <c r="BC578" s="169"/>
    </row>
    <row r="579" spans="19:55" ht="15.75" customHeight="1">
      <c r="S579" s="454"/>
      <c r="AN579" s="458"/>
      <c r="AY579" s="458"/>
      <c r="AZ579" s="458"/>
      <c r="BA579" s="1305"/>
      <c r="BC579" s="169"/>
    </row>
    <row r="580" spans="19:55" ht="15.75" customHeight="1">
      <c r="S580" s="454"/>
      <c r="AN580" s="458"/>
      <c r="AY580" s="458"/>
      <c r="AZ580" s="458"/>
      <c r="BA580" s="1305"/>
      <c r="BC580" s="169"/>
    </row>
    <row r="581" spans="19:55" ht="15.75" customHeight="1">
      <c r="S581" s="454"/>
      <c r="AN581" s="458"/>
      <c r="AY581" s="458"/>
      <c r="AZ581" s="458"/>
      <c r="BA581" s="1305"/>
      <c r="BC581" s="169"/>
    </row>
    <row r="582" spans="19:55" ht="15.75" customHeight="1">
      <c r="S582" s="454"/>
      <c r="AN582" s="458"/>
      <c r="AY582" s="458"/>
      <c r="AZ582" s="458"/>
      <c r="BA582" s="1305"/>
      <c r="BC582" s="169"/>
    </row>
    <row r="583" spans="19:55" ht="15.75" customHeight="1">
      <c r="S583" s="454"/>
      <c r="AN583" s="458"/>
      <c r="AY583" s="458"/>
      <c r="AZ583" s="458"/>
      <c r="BA583" s="1305"/>
      <c r="BC583" s="169"/>
    </row>
    <row r="584" spans="19:55" ht="15.75" customHeight="1">
      <c r="S584" s="454"/>
      <c r="AN584" s="458"/>
      <c r="AY584" s="458"/>
      <c r="AZ584" s="458"/>
      <c r="BA584" s="1305"/>
      <c r="BC584" s="169"/>
    </row>
    <row r="585" spans="19:55" ht="15.75" customHeight="1">
      <c r="S585" s="454"/>
      <c r="AN585" s="458"/>
      <c r="AY585" s="458"/>
      <c r="AZ585" s="458"/>
      <c r="BA585" s="1305"/>
      <c r="BC585" s="169"/>
    </row>
    <row r="586" spans="19:55" ht="15.75" customHeight="1">
      <c r="S586" s="454"/>
      <c r="AN586" s="458"/>
      <c r="AY586" s="458"/>
      <c r="AZ586" s="458"/>
      <c r="BA586" s="1305"/>
      <c r="BC586" s="169"/>
    </row>
    <row r="587" spans="19:55" ht="15.75" customHeight="1">
      <c r="S587" s="454"/>
      <c r="AN587" s="458"/>
      <c r="AY587" s="458"/>
      <c r="AZ587" s="458"/>
      <c r="BA587" s="1305"/>
      <c r="BC587" s="169"/>
    </row>
    <row r="588" spans="19:55" ht="15.75" customHeight="1">
      <c r="S588" s="454"/>
      <c r="AN588" s="458"/>
      <c r="AY588" s="458"/>
      <c r="AZ588" s="458"/>
      <c r="BA588" s="1305"/>
      <c r="BC588" s="169"/>
    </row>
    <row r="589" spans="19:55" ht="15.75" customHeight="1">
      <c r="S589" s="454"/>
      <c r="AN589" s="458"/>
      <c r="AY589" s="458"/>
      <c r="AZ589" s="458"/>
      <c r="BA589" s="1305"/>
      <c r="BC589" s="169"/>
    </row>
    <row r="590" spans="19:55" ht="15.75" customHeight="1">
      <c r="S590" s="454"/>
      <c r="AN590" s="458"/>
      <c r="AY590" s="458"/>
      <c r="AZ590" s="458"/>
      <c r="BA590" s="1305"/>
      <c r="BC590" s="169"/>
    </row>
    <row r="591" spans="19:55" ht="15.75" customHeight="1">
      <c r="S591" s="454"/>
      <c r="AN591" s="458"/>
      <c r="AY591" s="458"/>
      <c r="AZ591" s="458"/>
      <c r="BA591" s="1305"/>
      <c r="BC591" s="169"/>
    </row>
    <row r="592" spans="19:55" ht="15.75" customHeight="1">
      <c r="S592" s="454"/>
      <c r="AN592" s="458"/>
      <c r="AY592" s="458"/>
      <c r="AZ592" s="458"/>
      <c r="BA592" s="1305"/>
      <c r="BC592" s="169"/>
    </row>
    <row r="593" spans="19:55" ht="15.75" customHeight="1">
      <c r="S593" s="454"/>
      <c r="AN593" s="458"/>
      <c r="AY593" s="458"/>
      <c r="AZ593" s="458"/>
      <c r="BA593" s="1305"/>
      <c r="BC593" s="169"/>
    </row>
    <row r="594" spans="19:55" ht="15.75" customHeight="1">
      <c r="S594" s="454"/>
      <c r="AN594" s="458"/>
      <c r="AY594" s="458"/>
      <c r="AZ594" s="458"/>
      <c r="BA594" s="1305"/>
      <c r="BC594" s="169"/>
    </row>
    <row r="595" spans="19:55" ht="15.75" customHeight="1">
      <c r="S595" s="454"/>
      <c r="AN595" s="458"/>
      <c r="AY595" s="458"/>
      <c r="AZ595" s="458"/>
      <c r="BA595" s="1305"/>
      <c r="BC595" s="169"/>
    </row>
    <row r="596" spans="19:55" ht="15.75" customHeight="1">
      <c r="S596" s="454"/>
      <c r="AN596" s="458"/>
      <c r="AY596" s="458"/>
      <c r="AZ596" s="458"/>
      <c r="BA596" s="1305"/>
      <c r="BC596" s="169"/>
    </row>
    <row r="597" spans="19:55" ht="15.75" customHeight="1">
      <c r="S597" s="454"/>
      <c r="AN597" s="458"/>
      <c r="AY597" s="458"/>
      <c r="AZ597" s="458"/>
      <c r="BA597" s="1305"/>
      <c r="BC597" s="169"/>
    </row>
    <row r="598" spans="19:55" ht="15.75" customHeight="1">
      <c r="S598" s="454"/>
      <c r="AN598" s="458"/>
      <c r="AY598" s="458"/>
      <c r="AZ598" s="458"/>
      <c r="BA598" s="1305"/>
      <c r="BC598" s="169"/>
    </row>
    <row r="599" spans="19:55" ht="15.75" customHeight="1">
      <c r="S599" s="454"/>
      <c r="AN599" s="458"/>
      <c r="AY599" s="458"/>
      <c r="AZ599" s="458"/>
      <c r="BA599" s="1305"/>
      <c r="BC599" s="169"/>
    </row>
    <row r="600" spans="19:55" ht="15.75" customHeight="1">
      <c r="S600" s="454"/>
      <c r="AN600" s="458"/>
      <c r="AY600" s="458"/>
      <c r="AZ600" s="458"/>
      <c r="BA600" s="1305"/>
      <c r="BC600" s="169"/>
    </row>
    <row r="601" spans="19:55" ht="15.75" customHeight="1">
      <c r="S601" s="454"/>
      <c r="AN601" s="458"/>
      <c r="AY601" s="458"/>
      <c r="AZ601" s="458"/>
      <c r="BA601" s="1305"/>
      <c r="BC601" s="169"/>
    </row>
    <row r="602" spans="19:55" ht="15.75" customHeight="1">
      <c r="S602" s="454"/>
      <c r="AN602" s="458"/>
      <c r="AY602" s="458"/>
      <c r="AZ602" s="458"/>
      <c r="BA602" s="1305"/>
      <c r="BC602" s="169"/>
    </row>
    <row r="603" spans="19:55" ht="15.75" customHeight="1">
      <c r="S603" s="454"/>
      <c r="AN603" s="458"/>
      <c r="AY603" s="458"/>
      <c r="AZ603" s="458"/>
      <c r="BA603" s="1305"/>
      <c r="BC603" s="169"/>
    </row>
    <row r="604" spans="19:55" ht="15.75" customHeight="1">
      <c r="S604" s="454"/>
      <c r="AN604" s="458"/>
      <c r="AY604" s="458"/>
      <c r="AZ604" s="458"/>
      <c r="BA604" s="1305"/>
      <c r="BC604" s="169"/>
    </row>
    <row r="605" spans="19:55" ht="15.75" customHeight="1">
      <c r="S605" s="454"/>
      <c r="AN605" s="458"/>
      <c r="AY605" s="458"/>
      <c r="AZ605" s="458"/>
      <c r="BA605" s="1305"/>
      <c r="BC605" s="169"/>
    </row>
    <row r="606" spans="19:55" ht="15.75" customHeight="1">
      <c r="S606" s="454"/>
      <c r="AN606" s="458"/>
      <c r="AY606" s="458"/>
      <c r="AZ606" s="458"/>
      <c r="BA606" s="1305"/>
      <c r="BC606" s="169"/>
    </row>
    <row r="607" spans="19:55" ht="15.75" customHeight="1">
      <c r="S607" s="454"/>
      <c r="AN607" s="458"/>
      <c r="AY607" s="458"/>
      <c r="AZ607" s="458"/>
      <c r="BA607" s="1305"/>
      <c r="BC607" s="169"/>
    </row>
    <row r="608" spans="19:55" ht="15.75" customHeight="1">
      <c r="S608" s="454"/>
      <c r="AN608" s="458"/>
      <c r="AY608" s="458"/>
      <c r="AZ608" s="458"/>
      <c r="BA608" s="1305"/>
      <c r="BC608" s="169"/>
    </row>
    <row r="609" spans="19:55" ht="15.75" customHeight="1">
      <c r="S609" s="454"/>
      <c r="AN609" s="458"/>
      <c r="AY609" s="458"/>
      <c r="AZ609" s="458"/>
      <c r="BA609" s="1305"/>
      <c r="BC609" s="169"/>
    </row>
    <row r="610" spans="19:55" ht="15.75" customHeight="1">
      <c r="S610" s="454"/>
      <c r="AN610" s="458"/>
      <c r="AY610" s="458"/>
      <c r="AZ610" s="458"/>
      <c r="BA610" s="1305"/>
      <c r="BC610" s="169"/>
    </row>
    <row r="611" spans="19:55" ht="15.75" customHeight="1">
      <c r="S611" s="454"/>
      <c r="AN611" s="458"/>
      <c r="AY611" s="458"/>
      <c r="AZ611" s="458"/>
      <c r="BA611" s="1305"/>
      <c r="BC611" s="169"/>
    </row>
    <row r="612" spans="19:55" ht="15.75" customHeight="1">
      <c r="S612" s="454"/>
      <c r="AN612" s="458"/>
      <c r="AY612" s="458"/>
      <c r="AZ612" s="458"/>
      <c r="BA612" s="1305"/>
      <c r="BC612" s="169"/>
    </row>
    <row r="613" spans="19:55" ht="15.75" customHeight="1">
      <c r="S613" s="454"/>
      <c r="AN613" s="458"/>
      <c r="AY613" s="458"/>
      <c r="AZ613" s="458"/>
      <c r="BA613" s="1305"/>
      <c r="BC613" s="169"/>
    </row>
    <row r="614" spans="19:55" ht="15.75" customHeight="1">
      <c r="S614" s="454"/>
      <c r="AN614" s="458"/>
      <c r="AY614" s="458"/>
      <c r="AZ614" s="458"/>
      <c r="BA614" s="1305"/>
      <c r="BC614" s="169"/>
    </row>
    <row r="615" spans="19:55" ht="15.75" customHeight="1">
      <c r="S615" s="454"/>
      <c r="AN615" s="458"/>
      <c r="AY615" s="458"/>
      <c r="AZ615" s="458"/>
      <c r="BA615" s="1305"/>
      <c r="BC615" s="169"/>
    </row>
    <row r="616" spans="19:55" ht="15.75" customHeight="1">
      <c r="S616" s="454"/>
      <c r="AN616" s="458"/>
      <c r="AY616" s="458"/>
      <c r="AZ616" s="458"/>
      <c r="BA616" s="1305"/>
      <c r="BC616" s="169"/>
    </row>
    <row r="617" spans="19:55" ht="15.75" customHeight="1">
      <c r="S617" s="454"/>
      <c r="AN617" s="458"/>
      <c r="AY617" s="458"/>
      <c r="AZ617" s="458"/>
      <c r="BA617" s="1305"/>
      <c r="BC617" s="169"/>
    </row>
    <row r="618" spans="19:55" ht="15.75" customHeight="1">
      <c r="S618" s="454"/>
      <c r="AN618" s="458"/>
      <c r="AY618" s="458"/>
      <c r="AZ618" s="458"/>
      <c r="BA618" s="1305"/>
      <c r="BC618" s="169"/>
    </row>
    <row r="619" spans="19:55" ht="15.75" customHeight="1">
      <c r="S619" s="454"/>
      <c r="AN619" s="458"/>
      <c r="AY619" s="458"/>
      <c r="AZ619" s="458"/>
      <c r="BA619" s="1305"/>
      <c r="BC619" s="169"/>
    </row>
    <row r="620" spans="19:55" ht="15.75" customHeight="1">
      <c r="S620" s="454"/>
      <c r="AN620" s="458"/>
      <c r="AY620" s="458"/>
      <c r="AZ620" s="458"/>
      <c r="BA620" s="1305"/>
      <c r="BC620" s="169"/>
    </row>
    <row r="621" spans="19:55" ht="15.75" customHeight="1">
      <c r="S621" s="454"/>
      <c r="AN621" s="458"/>
      <c r="AY621" s="458"/>
      <c r="AZ621" s="458"/>
      <c r="BA621" s="1305"/>
      <c r="BC621" s="169"/>
    </row>
    <row r="622" spans="19:55" ht="15.75" customHeight="1">
      <c r="S622" s="454"/>
      <c r="AN622" s="458"/>
      <c r="AY622" s="458"/>
      <c r="AZ622" s="458"/>
      <c r="BA622" s="1305"/>
      <c r="BC622" s="169"/>
    </row>
    <row r="623" spans="19:55" ht="15.75" customHeight="1">
      <c r="S623" s="454"/>
      <c r="AN623" s="458"/>
      <c r="AY623" s="458"/>
      <c r="AZ623" s="458"/>
      <c r="BA623" s="1305"/>
      <c r="BC623" s="169"/>
    </row>
    <row r="624" spans="19:55" ht="15.75" customHeight="1">
      <c r="S624" s="454"/>
      <c r="AN624" s="458"/>
      <c r="AY624" s="458"/>
      <c r="AZ624" s="458"/>
      <c r="BA624" s="1305"/>
      <c r="BC624" s="169"/>
    </row>
    <row r="625" spans="19:55" ht="15.75" customHeight="1">
      <c r="S625" s="454"/>
      <c r="AN625" s="458"/>
      <c r="AY625" s="458"/>
      <c r="AZ625" s="458"/>
      <c r="BA625" s="1305"/>
      <c r="BC625" s="169"/>
    </row>
    <row r="626" spans="19:55" ht="15.75" customHeight="1">
      <c r="S626" s="454"/>
      <c r="AN626" s="458"/>
      <c r="AY626" s="458"/>
      <c r="AZ626" s="458"/>
      <c r="BA626" s="1305"/>
      <c r="BC626" s="169"/>
    </row>
    <row r="627" spans="19:55" ht="15.75" customHeight="1">
      <c r="S627" s="454"/>
      <c r="AN627" s="458"/>
      <c r="AY627" s="458"/>
      <c r="AZ627" s="458"/>
      <c r="BA627" s="1305"/>
      <c r="BC627" s="169"/>
    </row>
    <row r="628" spans="19:55" ht="15.75" customHeight="1">
      <c r="S628" s="454"/>
      <c r="AN628" s="458"/>
      <c r="AY628" s="458"/>
      <c r="AZ628" s="458"/>
      <c r="BA628" s="1305"/>
      <c r="BC628" s="169"/>
    </row>
    <row r="629" spans="19:55" ht="15.75" customHeight="1">
      <c r="S629" s="454"/>
      <c r="AN629" s="458"/>
      <c r="AY629" s="458"/>
      <c r="AZ629" s="458"/>
      <c r="BA629" s="1305"/>
      <c r="BC629" s="169"/>
    </row>
    <row r="630" spans="19:55" ht="15.75" customHeight="1">
      <c r="S630" s="454"/>
      <c r="AN630" s="458"/>
      <c r="AY630" s="458"/>
      <c r="AZ630" s="458"/>
      <c r="BA630" s="1305"/>
      <c r="BC630" s="169"/>
    </row>
    <row r="631" spans="19:55" ht="15.75" customHeight="1">
      <c r="S631" s="454"/>
      <c r="AN631" s="458"/>
      <c r="AY631" s="458"/>
      <c r="AZ631" s="458"/>
      <c r="BA631" s="1305"/>
      <c r="BC631" s="169"/>
    </row>
    <row r="632" spans="19:55" ht="15.75" customHeight="1">
      <c r="S632" s="454"/>
      <c r="AN632" s="458"/>
      <c r="AY632" s="458"/>
      <c r="AZ632" s="458"/>
      <c r="BA632" s="1305"/>
      <c r="BC632" s="169"/>
    </row>
    <row r="633" spans="19:55" ht="15.75" customHeight="1">
      <c r="S633" s="454"/>
      <c r="AN633" s="458"/>
      <c r="AY633" s="458"/>
      <c r="AZ633" s="458"/>
      <c r="BA633" s="1305"/>
      <c r="BC633" s="169"/>
    </row>
    <row r="634" spans="19:55" ht="15.75" customHeight="1">
      <c r="S634" s="454"/>
      <c r="AN634" s="458"/>
      <c r="AY634" s="458"/>
      <c r="AZ634" s="458"/>
      <c r="BA634" s="1305"/>
      <c r="BC634" s="169"/>
    </row>
    <row r="635" spans="19:55" ht="15.75" customHeight="1">
      <c r="S635" s="454"/>
      <c r="AN635" s="458"/>
      <c r="AY635" s="458"/>
      <c r="AZ635" s="458"/>
      <c r="BA635" s="1305"/>
      <c r="BC635" s="169"/>
    </row>
    <row r="636" spans="19:55" ht="15.75" customHeight="1">
      <c r="S636" s="454"/>
      <c r="AN636" s="458"/>
      <c r="AY636" s="458"/>
      <c r="AZ636" s="458"/>
      <c r="BA636" s="1305"/>
      <c r="BC636" s="169"/>
    </row>
    <row r="637" spans="19:55" ht="15.75" customHeight="1">
      <c r="S637" s="454"/>
      <c r="AN637" s="458"/>
      <c r="AY637" s="458"/>
      <c r="AZ637" s="458"/>
      <c r="BA637" s="1305"/>
      <c r="BC637" s="169"/>
    </row>
    <row r="638" spans="19:55" ht="15.75" customHeight="1">
      <c r="S638" s="454"/>
      <c r="AN638" s="458"/>
      <c r="AY638" s="458"/>
      <c r="AZ638" s="458"/>
      <c r="BA638" s="1305"/>
      <c r="BC638" s="169"/>
    </row>
    <row r="639" spans="19:55" ht="15.75" customHeight="1">
      <c r="S639" s="454"/>
      <c r="AN639" s="458"/>
      <c r="AY639" s="458"/>
      <c r="AZ639" s="458"/>
      <c r="BA639" s="1305"/>
      <c r="BC639" s="169"/>
    </row>
    <row r="640" spans="19:55" ht="15.75" customHeight="1">
      <c r="S640" s="454"/>
      <c r="AN640" s="458"/>
      <c r="AY640" s="458"/>
      <c r="AZ640" s="458"/>
      <c r="BA640" s="1305"/>
      <c r="BC640" s="169"/>
    </row>
    <row r="641" spans="19:55" ht="15.75" customHeight="1">
      <c r="S641" s="454"/>
      <c r="AN641" s="458"/>
      <c r="AY641" s="458"/>
      <c r="AZ641" s="458"/>
      <c r="BA641" s="1305"/>
      <c r="BC641" s="169"/>
    </row>
    <row r="642" spans="19:55" ht="15.75" customHeight="1">
      <c r="S642" s="454"/>
      <c r="AN642" s="458"/>
      <c r="AY642" s="458"/>
      <c r="AZ642" s="458"/>
      <c r="BA642" s="1305"/>
      <c r="BC642" s="169"/>
    </row>
    <row r="643" spans="19:55" ht="15.75" customHeight="1">
      <c r="S643" s="454"/>
      <c r="AN643" s="458"/>
      <c r="AY643" s="458"/>
      <c r="AZ643" s="458"/>
      <c r="BA643" s="1305"/>
      <c r="BC643" s="169"/>
    </row>
    <row r="644" spans="19:55" ht="15.75" customHeight="1">
      <c r="S644" s="454"/>
      <c r="AN644" s="458"/>
      <c r="AY644" s="458"/>
      <c r="AZ644" s="458"/>
      <c r="BA644" s="1305"/>
      <c r="BC644" s="169"/>
    </row>
    <row r="645" spans="19:55" ht="15.75" customHeight="1">
      <c r="S645" s="454"/>
      <c r="AN645" s="458"/>
      <c r="AY645" s="458"/>
      <c r="AZ645" s="458"/>
      <c r="BA645" s="1305"/>
      <c r="BC645" s="169"/>
    </row>
    <row r="646" spans="19:55" ht="15.75" customHeight="1">
      <c r="S646" s="454"/>
      <c r="AN646" s="458"/>
      <c r="AY646" s="458"/>
      <c r="AZ646" s="458"/>
      <c r="BA646" s="1305"/>
      <c r="BC646" s="169"/>
    </row>
    <row r="647" spans="19:55" ht="15.75" customHeight="1">
      <c r="S647" s="454"/>
      <c r="AN647" s="458"/>
      <c r="AY647" s="458"/>
      <c r="AZ647" s="458"/>
      <c r="BA647" s="1305"/>
      <c r="BC647" s="169"/>
    </row>
    <row r="648" spans="19:55" ht="15.75" customHeight="1">
      <c r="S648" s="454"/>
      <c r="AN648" s="458"/>
      <c r="AY648" s="458"/>
      <c r="AZ648" s="458"/>
      <c r="BA648" s="1305"/>
      <c r="BC648" s="169"/>
    </row>
    <row r="649" spans="19:55" ht="15.75" customHeight="1">
      <c r="S649" s="454"/>
      <c r="AN649" s="458"/>
      <c r="AY649" s="458"/>
      <c r="AZ649" s="458"/>
      <c r="BA649" s="1305"/>
      <c r="BC649" s="169"/>
    </row>
    <row r="650" spans="19:55" ht="15.75" customHeight="1">
      <c r="S650" s="454"/>
      <c r="AN650" s="458"/>
      <c r="AY650" s="458"/>
      <c r="AZ650" s="458"/>
      <c r="BA650" s="1305"/>
      <c r="BC650" s="169"/>
    </row>
    <row r="651" spans="19:55" ht="15.75" customHeight="1">
      <c r="S651" s="454"/>
      <c r="AN651" s="458"/>
      <c r="AY651" s="458"/>
      <c r="AZ651" s="458"/>
      <c r="BA651" s="1305"/>
      <c r="BC651" s="169"/>
    </row>
    <row r="652" spans="19:55" ht="15.75" customHeight="1">
      <c r="S652" s="454"/>
      <c r="AN652" s="458"/>
      <c r="AY652" s="458"/>
      <c r="AZ652" s="458"/>
      <c r="BA652" s="1305"/>
      <c r="BC652" s="169"/>
    </row>
    <row r="653" spans="19:55" ht="15.75" customHeight="1">
      <c r="S653" s="454"/>
      <c r="AN653" s="458"/>
      <c r="AY653" s="458"/>
      <c r="AZ653" s="458"/>
      <c r="BA653" s="1305"/>
      <c r="BC653" s="169"/>
    </row>
    <row r="654" spans="19:55" ht="15.75" customHeight="1">
      <c r="S654" s="454"/>
      <c r="AN654" s="458"/>
      <c r="AY654" s="458"/>
      <c r="AZ654" s="458"/>
      <c r="BA654" s="1305"/>
      <c r="BC654" s="169"/>
    </row>
    <row r="655" spans="19:55" ht="15.75" customHeight="1">
      <c r="S655" s="454"/>
      <c r="AN655" s="458"/>
      <c r="AY655" s="458"/>
      <c r="AZ655" s="458"/>
      <c r="BA655" s="1305"/>
      <c r="BC655" s="169"/>
    </row>
    <row r="656" spans="19:55" ht="15.75" customHeight="1">
      <c r="S656" s="454"/>
      <c r="AN656" s="458"/>
      <c r="AY656" s="458"/>
      <c r="AZ656" s="458"/>
      <c r="BA656" s="1305"/>
      <c r="BC656" s="169"/>
    </row>
    <row r="657" spans="19:55" ht="15.75" customHeight="1">
      <c r="S657" s="454"/>
      <c r="AN657" s="458"/>
      <c r="AY657" s="458"/>
      <c r="AZ657" s="458"/>
      <c r="BA657" s="1305"/>
      <c r="BC657" s="169"/>
    </row>
    <row r="658" spans="19:55" ht="15.75" customHeight="1">
      <c r="S658" s="454"/>
      <c r="AN658" s="458"/>
      <c r="AY658" s="458"/>
      <c r="AZ658" s="458"/>
      <c r="BA658" s="1305"/>
      <c r="BC658" s="169"/>
    </row>
    <row r="659" spans="19:55" ht="15.75" customHeight="1">
      <c r="S659" s="454"/>
      <c r="AN659" s="458"/>
      <c r="AY659" s="458"/>
      <c r="AZ659" s="458"/>
      <c r="BA659" s="1305"/>
      <c r="BC659" s="169"/>
    </row>
    <row r="660" spans="19:55" ht="15.75" customHeight="1">
      <c r="S660" s="454"/>
      <c r="AN660" s="458"/>
      <c r="AY660" s="458"/>
      <c r="AZ660" s="458"/>
      <c r="BA660" s="1305"/>
      <c r="BC660" s="169"/>
    </row>
    <row r="661" spans="19:55" ht="15.75" customHeight="1">
      <c r="S661" s="454"/>
      <c r="AN661" s="458"/>
      <c r="AY661" s="458"/>
      <c r="AZ661" s="458"/>
      <c r="BA661" s="1305"/>
      <c r="BC661" s="169"/>
    </row>
    <row r="662" spans="19:55" ht="15.75" customHeight="1">
      <c r="S662" s="454"/>
      <c r="AN662" s="458"/>
      <c r="AY662" s="458"/>
      <c r="AZ662" s="458"/>
      <c r="BA662" s="1305"/>
      <c r="BC662" s="169"/>
    </row>
    <row r="663" spans="19:55" ht="15.75" customHeight="1">
      <c r="S663" s="454"/>
      <c r="AN663" s="458"/>
      <c r="AY663" s="458"/>
      <c r="AZ663" s="458"/>
      <c r="BA663" s="1305"/>
      <c r="BC663" s="169"/>
    </row>
    <row r="664" spans="19:55" ht="15.75" customHeight="1">
      <c r="S664" s="454"/>
      <c r="AN664" s="458"/>
      <c r="AY664" s="458"/>
      <c r="AZ664" s="458"/>
      <c r="BA664" s="1305"/>
      <c r="BC664" s="169"/>
    </row>
    <row r="665" spans="19:55" ht="15.75" customHeight="1">
      <c r="S665" s="454"/>
      <c r="AN665" s="458"/>
      <c r="AY665" s="458"/>
      <c r="AZ665" s="458"/>
      <c r="BA665" s="1305"/>
      <c r="BC665" s="169"/>
    </row>
    <row r="666" spans="19:55" ht="15.75" customHeight="1">
      <c r="S666" s="454"/>
      <c r="AN666" s="458"/>
      <c r="AY666" s="458"/>
      <c r="AZ666" s="458"/>
      <c r="BA666" s="1305"/>
      <c r="BC666" s="169"/>
    </row>
    <row r="667" spans="19:55" ht="15.75" customHeight="1">
      <c r="S667" s="454"/>
      <c r="AN667" s="458"/>
      <c r="AY667" s="458"/>
      <c r="AZ667" s="458"/>
      <c r="BA667" s="1305"/>
      <c r="BC667" s="169"/>
    </row>
    <row r="668" spans="19:55" ht="15.75" customHeight="1">
      <c r="S668" s="454"/>
      <c r="AN668" s="458"/>
      <c r="AY668" s="458"/>
      <c r="AZ668" s="458"/>
      <c r="BA668" s="1305"/>
      <c r="BC668" s="169"/>
    </row>
    <row r="669" spans="19:55" ht="15.75" customHeight="1">
      <c r="S669" s="454"/>
      <c r="AN669" s="458"/>
      <c r="AY669" s="458"/>
      <c r="AZ669" s="458"/>
      <c r="BA669" s="1305"/>
      <c r="BC669" s="169"/>
    </row>
    <row r="670" spans="19:55" ht="15.75" customHeight="1">
      <c r="S670" s="454"/>
      <c r="AN670" s="458"/>
      <c r="AY670" s="458"/>
      <c r="AZ670" s="458"/>
      <c r="BA670" s="1305"/>
      <c r="BC670" s="169"/>
    </row>
    <row r="671" spans="19:55" ht="15.75" customHeight="1">
      <c r="S671" s="454"/>
      <c r="AN671" s="458"/>
      <c r="AY671" s="458"/>
      <c r="AZ671" s="458"/>
      <c r="BA671" s="1305"/>
      <c r="BC671" s="169"/>
    </row>
    <row r="672" spans="19:55" ht="15.75" customHeight="1">
      <c r="S672" s="454"/>
      <c r="AN672" s="458"/>
      <c r="AY672" s="458"/>
      <c r="AZ672" s="458"/>
      <c r="BA672" s="1305"/>
      <c r="BC672" s="169"/>
    </row>
    <row r="673" spans="19:55" ht="15.75" customHeight="1">
      <c r="S673" s="454"/>
      <c r="AN673" s="458"/>
      <c r="AY673" s="458"/>
      <c r="AZ673" s="458"/>
      <c r="BA673" s="1305"/>
      <c r="BC673" s="169"/>
    </row>
    <row r="674" spans="19:55" ht="15.75" customHeight="1">
      <c r="S674" s="454"/>
      <c r="AN674" s="458"/>
      <c r="AY674" s="458"/>
      <c r="AZ674" s="458"/>
      <c r="BA674" s="1305"/>
      <c r="BC674" s="169"/>
    </row>
    <row r="675" spans="19:55" ht="15.75" customHeight="1">
      <c r="S675" s="454"/>
      <c r="AN675" s="458"/>
      <c r="AY675" s="458"/>
      <c r="AZ675" s="458"/>
      <c r="BA675" s="1305"/>
      <c r="BC675" s="169"/>
    </row>
    <row r="676" spans="19:55" ht="15.75" customHeight="1">
      <c r="S676" s="454"/>
      <c r="AN676" s="458"/>
      <c r="AY676" s="458"/>
      <c r="AZ676" s="458"/>
      <c r="BA676" s="1305"/>
      <c r="BC676" s="169"/>
    </row>
    <row r="677" spans="19:55" ht="15.75" customHeight="1">
      <c r="S677" s="454"/>
      <c r="AN677" s="458"/>
      <c r="AY677" s="458"/>
      <c r="AZ677" s="458"/>
      <c r="BA677" s="1305"/>
      <c r="BC677" s="169"/>
    </row>
    <row r="678" spans="19:55" ht="15.75" customHeight="1">
      <c r="S678" s="454"/>
      <c r="AN678" s="458"/>
      <c r="AY678" s="458"/>
      <c r="AZ678" s="458"/>
      <c r="BA678" s="1305"/>
      <c r="BC678" s="169"/>
    </row>
    <row r="679" spans="19:55" ht="15.75" customHeight="1">
      <c r="S679" s="454"/>
      <c r="AN679" s="458"/>
      <c r="AY679" s="458"/>
      <c r="AZ679" s="458"/>
      <c r="BA679" s="1305"/>
      <c r="BC679" s="169"/>
    </row>
    <row r="680" spans="19:55" ht="15.75" customHeight="1">
      <c r="S680" s="454"/>
      <c r="AN680" s="458"/>
      <c r="AY680" s="458"/>
      <c r="AZ680" s="458"/>
      <c r="BA680" s="1305"/>
      <c r="BC680" s="169"/>
    </row>
    <row r="681" spans="19:55" ht="15.75" customHeight="1">
      <c r="S681" s="454"/>
      <c r="AN681" s="458"/>
      <c r="AY681" s="458"/>
      <c r="AZ681" s="458"/>
      <c r="BA681" s="1305"/>
      <c r="BC681" s="169"/>
    </row>
    <row r="682" spans="19:55" ht="15.75" customHeight="1">
      <c r="S682" s="454"/>
      <c r="AN682" s="458"/>
      <c r="AY682" s="458"/>
      <c r="AZ682" s="458"/>
      <c r="BA682" s="1305"/>
      <c r="BC682" s="169"/>
    </row>
    <row r="683" spans="19:55" ht="15.75" customHeight="1">
      <c r="S683" s="454"/>
      <c r="AN683" s="458"/>
      <c r="AY683" s="458"/>
      <c r="AZ683" s="458"/>
      <c r="BA683" s="1305"/>
      <c r="BC683" s="169"/>
    </row>
    <row r="684" spans="19:55" ht="15.75" customHeight="1">
      <c r="S684" s="454"/>
      <c r="AN684" s="458"/>
      <c r="AY684" s="458"/>
      <c r="AZ684" s="458"/>
      <c r="BA684" s="1305"/>
      <c r="BC684" s="169"/>
    </row>
    <row r="685" spans="19:55" ht="15.75" customHeight="1">
      <c r="S685" s="454"/>
      <c r="AN685" s="458"/>
      <c r="AY685" s="458"/>
      <c r="AZ685" s="458"/>
      <c r="BA685" s="1305"/>
      <c r="BC685" s="169"/>
    </row>
    <row r="686" spans="19:55" ht="15.75" customHeight="1">
      <c r="S686" s="454"/>
      <c r="AN686" s="458"/>
      <c r="AY686" s="458"/>
      <c r="AZ686" s="458"/>
      <c r="BA686" s="1305"/>
      <c r="BC686" s="169"/>
    </row>
    <row r="687" spans="19:55" ht="15.75" customHeight="1">
      <c r="S687" s="454"/>
      <c r="AN687" s="458"/>
      <c r="AY687" s="458"/>
      <c r="AZ687" s="458"/>
      <c r="BA687" s="1305"/>
      <c r="BC687" s="169"/>
    </row>
    <row r="688" spans="19:55" ht="15.75" customHeight="1">
      <c r="S688" s="454"/>
      <c r="AN688" s="458"/>
      <c r="AY688" s="458"/>
      <c r="AZ688" s="458"/>
      <c r="BA688" s="1305"/>
      <c r="BC688" s="169"/>
    </row>
    <row r="689" spans="19:55" ht="15.75" customHeight="1">
      <c r="S689" s="454"/>
      <c r="AN689" s="458"/>
      <c r="AY689" s="458"/>
      <c r="AZ689" s="458"/>
      <c r="BA689" s="1305"/>
      <c r="BC689" s="169"/>
    </row>
    <row r="690" spans="19:55" ht="15.75" customHeight="1">
      <c r="S690" s="454"/>
      <c r="AN690" s="458"/>
      <c r="AY690" s="458"/>
      <c r="AZ690" s="458"/>
      <c r="BA690" s="1305"/>
      <c r="BC690" s="169"/>
    </row>
    <row r="691" spans="19:55" ht="15.75" customHeight="1">
      <c r="S691" s="454"/>
      <c r="AN691" s="458"/>
      <c r="AY691" s="458"/>
      <c r="AZ691" s="458"/>
      <c r="BA691" s="1305"/>
      <c r="BC691" s="169"/>
    </row>
    <row r="692" spans="19:55" ht="15.75" customHeight="1">
      <c r="S692" s="454"/>
      <c r="AN692" s="458"/>
      <c r="AY692" s="458"/>
      <c r="AZ692" s="458"/>
      <c r="BA692" s="1305"/>
      <c r="BC692" s="169"/>
    </row>
    <row r="693" spans="19:55" ht="15.75" customHeight="1">
      <c r="S693" s="454"/>
      <c r="AN693" s="458"/>
      <c r="AY693" s="458"/>
      <c r="AZ693" s="458"/>
      <c r="BA693" s="1305"/>
      <c r="BC693" s="169"/>
    </row>
    <row r="694" spans="19:55" ht="15.75" customHeight="1">
      <c r="S694" s="454"/>
      <c r="AN694" s="458"/>
      <c r="AY694" s="458"/>
      <c r="AZ694" s="458"/>
      <c r="BA694" s="1305"/>
      <c r="BC694" s="169"/>
    </row>
    <row r="695" spans="19:55" ht="15.75" customHeight="1">
      <c r="S695" s="454"/>
      <c r="AN695" s="458"/>
      <c r="AY695" s="458"/>
      <c r="AZ695" s="458"/>
      <c r="BA695" s="1305"/>
      <c r="BC695" s="169"/>
    </row>
    <row r="696" spans="19:55" ht="15.75" customHeight="1">
      <c r="S696" s="454"/>
      <c r="AN696" s="458"/>
      <c r="AY696" s="458"/>
      <c r="AZ696" s="458"/>
      <c r="BA696" s="1305"/>
      <c r="BC696" s="169"/>
    </row>
    <row r="697" spans="19:55" ht="15.75" customHeight="1">
      <c r="S697" s="454"/>
      <c r="AN697" s="458"/>
      <c r="AY697" s="458"/>
      <c r="AZ697" s="458"/>
      <c r="BA697" s="1305"/>
      <c r="BC697" s="169"/>
    </row>
    <row r="698" spans="19:55" ht="15.75" customHeight="1">
      <c r="S698" s="454"/>
      <c r="AN698" s="458"/>
      <c r="AY698" s="458"/>
      <c r="AZ698" s="458"/>
      <c r="BA698" s="1305"/>
      <c r="BC698" s="169"/>
    </row>
    <row r="699" spans="19:55" ht="15.75" customHeight="1">
      <c r="S699" s="454"/>
      <c r="AN699" s="458"/>
      <c r="AY699" s="458"/>
      <c r="AZ699" s="458"/>
      <c r="BA699" s="1305"/>
      <c r="BC699" s="169"/>
    </row>
    <row r="700" spans="19:55" ht="15.75" customHeight="1">
      <c r="S700" s="454"/>
      <c r="AN700" s="458"/>
      <c r="AY700" s="458"/>
      <c r="AZ700" s="458"/>
      <c r="BA700" s="1305"/>
      <c r="BC700" s="169"/>
    </row>
    <row r="701" spans="19:55" ht="15.75" customHeight="1">
      <c r="S701" s="454"/>
      <c r="AN701" s="458"/>
      <c r="AY701" s="458"/>
      <c r="AZ701" s="458"/>
      <c r="BA701" s="1305"/>
      <c r="BC701" s="169"/>
    </row>
    <row r="702" spans="19:55" ht="15.75" customHeight="1">
      <c r="S702" s="454"/>
      <c r="AN702" s="458"/>
      <c r="AY702" s="458"/>
      <c r="AZ702" s="458"/>
      <c r="BA702" s="1305"/>
      <c r="BC702" s="169"/>
    </row>
    <row r="703" spans="19:55" ht="15.75" customHeight="1">
      <c r="S703" s="454"/>
      <c r="AN703" s="458"/>
      <c r="AY703" s="458"/>
      <c r="AZ703" s="458"/>
      <c r="BA703" s="1305"/>
      <c r="BC703" s="169"/>
    </row>
    <row r="704" spans="19:55" ht="15.75" customHeight="1">
      <c r="S704" s="454"/>
      <c r="AN704" s="458"/>
      <c r="AY704" s="458"/>
      <c r="AZ704" s="458"/>
      <c r="BA704" s="1305"/>
      <c r="BC704" s="169"/>
    </row>
    <row r="705" spans="19:55" ht="15.75" customHeight="1">
      <c r="S705" s="454"/>
      <c r="AN705" s="458"/>
      <c r="AY705" s="458"/>
      <c r="AZ705" s="458"/>
      <c r="BA705" s="1305"/>
      <c r="BC705" s="169"/>
    </row>
    <row r="706" spans="19:55" ht="15.75" customHeight="1">
      <c r="S706" s="454"/>
      <c r="AN706" s="458"/>
      <c r="AY706" s="458"/>
      <c r="AZ706" s="458"/>
      <c r="BA706" s="1305"/>
      <c r="BC706" s="169"/>
    </row>
    <row r="707" spans="19:55" ht="15.75" customHeight="1">
      <c r="S707" s="454"/>
      <c r="AN707" s="458"/>
      <c r="AY707" s="458"/>
      <c r="AZ707" s="458"/>
      <c r="BA707" s="1305"/>
      <c r="BC707" s="169"/>
    </row>
    <row r="708" spans="19:55" ht="15.75" customHeight="1">
      <c r="S708" s="454"/>
      <c r="AN708" s="458"/>
      <c r="AY708" s="458"/>
      <c r="AZ708" s="458"/>
      <c r="BA708" s="1305"/>
      <c r="BC708" s="169"/>
    </row>
    <row r="709" spans="19:55" ht="15.75" customHeight="1">
      <c r="S709" s="454"/>
      <c r="AN709" s="458"/>
      <c r="AY709" s="458"/>
      <c r="AZ709" s="458"/>
      <c r="BA709" s="1305"/>
      <c r="BC709" s="169"/>
    </row>
    <row r="710" spans="19:55" ht="15.75" customHeight="1">
      <c r="S710" s="454"/>
      <c r="AN710" s="458"/>
      <c r="AY710" s="458"/>
      <c r="AZ710" s="458"/>
      <c r="BA710" s="1305"/>
      <c r="BC710" s="169"/>
    </row>
    <row r="711" spans="19:55" ht="15.75" customHeight="1">
      <c r="S711" s="454"/>
      <c r="AN711" s="458"/>
      <c r="AY711" s="458"/>
      <c r="AZ711" s="458"/>
      <c r="BA711" s="1305"/>
      <c r="BC711" s="169"/>
    </row>
    <row r="712" spans="19:55" ht="15.75" customHeight="1">
      <c r="S712" s="454"/>
      <c r="AN712" s="458"/>
      <c r="AY712" s="458"/>
      <c r="AZ712" s="458"/>
      <c r="BA712" s="1305"/>
      <c r="BC712" s="169"/>
    </row>
    <row r="713" spans="19:55" ht="15.75" customHeight="1">
      <c r="S713" s="454"/>
      <c r="AN713" s="458"/>
      <c r="AY713" s="458"/>
      <c r="AZ713" s="458"/>
      <c r="BA713" s="1305"/>
      <c r="BC713" s="169"/>
    </row>
    <row r="714" spans="19:55" ht="15.75" customHeight="1">
      <c r="S714" s="454"/>
      <c r="AN714" s="458"/>
      <c r="AY714" s="458"/>
      <c r="AZ714" s="458"/>
      <c r="BA714" s="1305"/>
      <c r="BC714" s="169"/>
    </row>
    <row r="715" spans="19:55" ht="15.75" customHeight="1">
      <c r="S715" s="454"/>
      <c r="AN715" s="458"/>
      <c r="AY715" s="458"/>
      <c r="AZ715" s="458"/>
      <c r="BA715" s="1305"/>
      <c r="BC715" s="169"/>
    </row>
    <row r="716" spans="19:55" ht="15.75" customHeight="1">
      <c r="S716" s="454"/>
      <c r="AN716" s="458"/>
      <c r="AY716" s="458"/>
      <c r="AZ716" s="458"/>
      <c r="BA716" s="1305"/>
      <c r="BC716" s="169"/>
    </row>
    <row r="717" spans="19:55" ht="15.75" customHeight="1">
      <c r="S717" s="454"/>
      <c r="AN717" s="458"/>
      <c r="AY717" s="458"/>
      <c r="AZ717" s="458"/>
      <c r="BA717" s="1305"/>
      <c r="BC717" s="169"/>
    </row>
    <row r="718" spans="19:55" ht="15.75" customHeight="1">
      <c r="S718" s="454"/>
      <c r="AN718" s="458"/>
      <c r="AY718" s="458"/>
      <c r="AZ718" s="458"/>
      <c r="BA718" s="1305"/>
      <c r="BC718" s="169"/>
    </row>
    <row r="719" spans="19:55" ht="15.75" customHeight="1">
      <c r="S719" s="454"/>
      <c r="AN719" s="458"/>
      <c r="AY719" s="458"/>
      <c r="AZ719" s="458"/>
      <c r="BA719" s="1305"/>
      <c r="BC719" s="169"/>
    </row>
    <row r="720" spans="19:55" ht="15.75" customHeight="1">
      <c r="S720" s="454"/>
      <c r="AN720" s="458"/>
      <c r="AY720" s="458"/>
      <c r="AZ720" s="458"/>
      <c r="BA720" s="1305"/>
      <c r="BC720" s="169"/>
    </row>
    <row r="721" spans="19:55" ht="15.75" customHeight="1">
      <c r="S721" s="454"/>
      <c r="AN721" s="458"/>
      <c r="AY721" s="458"/>
      <c r="AZ721" s="458"/>
      <c r="BA721" s="1305"/>
      <c r="BC721" s="169"/>
    </row>
    <row r="722" spans="19:55" ht="15.75" customHeight="1">
      <c r="S722" s="454"/>
      <c r="AN722" s="458"/>
      <c r="AY722" s="458"/>
      <c r="AZ722" s="458"/>
      <c r="BA722" s="1305"/>
      <c r="BC722" s="169"/>
    </row>
    <row r="723" spans="19:55" ht="15.75" customHeight="1">
      <c r="S723" s="454"/>
      <c r="AN723" s="458"/>
      <c r="AY723" s="458"/>
      <c r="AZ723" s="458"/>
      <c r="BA723" s="1305"/>
      <c r="BC723" s="169"/>
    </row>
    <row r="724" spans="19:55" ht="15.75" customHeight="1">
      <c r="S724" s="454"/>
      <c r="AN724" s="458"/>
      <c r="AY724" s="458"/>
      <c r="AZ724" s="458"/>
      <c r="BA724" s="1305"/>
      <c r="BC724" s="169"/>
    </row>
    <row r="725" spans="19:55" ht="15.75" customHeight="1">
      <c r="S725" s="454"/>
      <c r="AN725" s="458"/>
      <c r="AY725" s="458"/>
      <c r="AZ725" s="458"/>
      <c r="BA725" s="1305"/>
      <c r="BC725" s="169"/>
    </row>
    <row r="726" spans="19:55" ht="15.75" customHeight="1">
      <c r="S726" s="454"/>
      <c r="AN726" s="458"/>
      <c r="AY726" s="458"/>
      <c r="AZ726" s="458"/>
      <c r="BA726" s="1305"/>
      <c r="BC726" s="169"/>
    </row>
    <row r="727" spans="19:55" ht="15.75" customHeight="1">
      <c r="S727" s="454"/>
      <c r="AN727" s="458"/>
      <c r="AY727" s="458"/>
      <c r="AZ727" s="458"/>
      <c r="BA727" s="1305"/>
      <c r="BC727" s="169"/>
    </row>
    <row r="728" spans="19:55" ht="15.75" customHeight="1">
      <c r="S728" s="454"/>
      <c r="AN728" s="458"/>
      <c r="AY728" s="458"/>
      <c r="AZ728" s="458"/>
      <c r="BA728" s="1305"/>
      <c r="BC728" s="169"/>
    </row>
    <row r="729" spans="19:55" ht="15.75" customHeight="1">
      <c r="S729" s="454"/>
      <c r="AN729" s="458"/>
      <c r="AY729" s="458"/>
      <c r="AZ729" s="458"/>
      <c r="BA729" s="1305"/>
      <c r="BC729" s="169"/>
    </row>
    <row r="730" spans="19:55" ht="15.75" customHeight="1">
      <c r="S730" s="454"/>
      <c r="AN730" s="458"/>
      <c r="AY730" s="458"/>
      <c r="AZ730" s="458"/>
      <c r="BA730" s="1305"/>
      <c r="BC730" s="169"/>
    </row>
    <row r="731" spans="19:55" ht="15.75" customHeight="1">
      <c r="S731" s="454"/>
      <c r="AN731" s="458"/>
      <c r="AY731" s="458"/>
      <c r="AZ731" s="458"/>
      <c r="BA731" s="1305"/>
      <c r="BC731" s="169"/>
    </row>
    <row r="732" spans="19:55" ht="15.75" customHeight="1">
      <c r="S732" s="454"/>
      <c r="AN732" s="458"/>
      <c r="AY732" s="458"/>
      <c r="AZ732" s="458"/>
      <c r="BA732" s="1305"/>
      <c r="BC732" s="169"/>
    </row>
    <row r="733" spans="19:55" ht="15.75" customHeight="1">
      <c r="S733" s="454"/>
      <c r="AN733" s="458"/>
      <c r="AY733" s="458"/>
      <c r="AZ733" s="458"/>
      <c r="BA733" s="1305"/>
      <c r="BC733" s="169"/>
    </row>
    <row r="734" spans="19:55" ht="15.75" customHeight="1">
      <c r="S734" s="454"/>
      <c r="AN734" s="458"/>
      <c r="AY734" s="458"/>
      <c r="AZ734" s="458"/>
      <c r="BA734" s="1305"/>
      <c r="BC734" s="169"/>
    </row>
    <row r="735" spans="19:55" ht="15.75" customHeight="1">
      <c r="S735" s="454"/>
      <c r="AN735" s="458"/>
      <c r="AY735" s="458"/>
      <c r="AZ735" s="458"/>
      <c r="BA735" s="1305"/>
      <c r="BC735" s="169"/>
    </row>
    <row r="736" spans="19:55" ht="15.75" customHeight="1">
      <c r="S736" s="454"/>
      <c r="AN736" s="458"/>
      <c r="AY736" s="458"/>
      <c r="AZ736" s="458"/>
      <c r="BA736" s="1305"/>
      <c r="BC736" s="169"/>
    </row>
    <row r="737" spans="19:55" ht="15.75" customHeight="1">
      <c r="S737" s="454"/>
      <c r="AN737" s="458"/>
      <c r="AY737" s="458"/>
      <c r="AZ737" s="458"/>
      <c r="BA737" s="1305"/>
      <c r="BC737" s="169"/>
    </row>
    <row r="738" spans="19:55" ht="15.75" customHeight="1">
      <c r="S738" s="454"/>
      <c r="AN738" s="458"/>
      <c r="AY738" s="458"/>
      <c r="AZ738" s="458"/>
      <c r="BA738" s="1305"/>
      <c r="BC738" s="169"/>
    </row>
    <row r="739" spans="19:55" ht="15.75" customHeight="1">
      <c r="S739" s="454"/>
      <c r="AN739" s="458"/>
      <c r="AY739" s="458"/>
      <c r="AZ739" s="458"/>
      <c r="BA739" s="1305"/>
      <c r="BC739" s="169"/>
    </row>
    <row r="740" spans="19:55" ht="15.75" customHeight="1">
      <c r="S740" s="454"/>
      <c r="AN740" s="458"/>
      <c r="AY740" s="458"/>
      <c r="AZ740" s="458"/>
      <c r="BA740" s="1305"/>
      <c r="BC740" s="169"/>
    </row>
    <row r="741" spans="19:55" ht="15.75" customHeight="1">
      <c r="S741" s="454"/>
      <c r="AN741" s="458"/>
      <c r="AY741" s="458"/>
      <c r="AZ741" s="458"/>
      <c r="BA741" s="1305"/>
      <c r="BC741" s="169"/>
    </row>
    <row r="742" spans="19:55" ht="15.75" customHeight="1">
      <c r="S742" s="454"/>
      <c r="AN742" s="458"/>
      <c r="AY742" s="458"/>
      <c r="AZ742" s="458"/>
      <c r="BA742" s="1305"/>
      <c r="BC742" s="169"/>
    </row>
    <row r="743" spans="19:55" ht="15.75" customHeight="1">
      <c r="S743" s="454"/>
      <c r="AN743" s="458"/>
      <c r="AY743" s="458"/>
      <c r="AZ743" s="458"/>
      <c r="BA743" s="1305"/>
      <c r="BC743" s="169"/>
    </row>
    <row r="744" spans="19:55" ht="15.75" customHeight="1">
      <c r="S744" s="454"/>
      <c r="AN744" s="458"/>
      <c r="AY744" s="458"/>
      <c r="AZ744" s="458"/>
      <c r="BA744" s="1305"/>
      <c r="BC744" s="169"/>
    </row>
    <row r="745" spans="19:55" ht="15.75" customHeight="1">
      <c r="S745" s="454"/>
      <c r="AN745" s="458"/>
      <c r="AY745" s="458"/>
      <c r="AZ745" s="458"/>
      <c r="BA745" s="1305"/>
      <c r="BC745" s="169"/>
    </row>
    <row r="746" spans="19:55" ht="15.75" customHeight="1">
      <c r="S746" s="454"/>
      <c r="AN746" s="458"/>
      <c r="AY746" s="458"/>
      <c r="AZ746" s="458"/>
      <c r="BA746" s="1305"/>
      <c r="BC746" s="169"/>
    </row>
    <row r="747" spans="19:55" ht="15.75" customHeight="1">
      <c r="S747" s="454"/>
      <c r="AN747" s="458"/>
      <c r="AY747" s="458"/>
      <c r="AZ747" s="458"/>
      <c r="BA747" s="1305"/>
      <c r="BC747" s="169"/>
    </row>
    <row r="748" spans="19:55" ht="15.75" customHeight="1">
      <c r="S748" s="454"/>
      <c r="AN748" s="458"/>
      <c r="AY748" s="458"/>
      <c r="AZ748" s="458"/>
      <c r="BA748" s="1305"/>
      <c r="BC748" s="169"/>
    </row>
    <row r="749" spans="19:55" ht="15.75" customHeight="1">
      <c r="S749" s="454"/>
      <c r="AN749" s="458"/>
      <c r="AY749" s="458"/>
      <c r="AZ749" s="458"/>
      <c r="BA749" s="1305"/>
      <c r="BC749" s="169"/>
    </row>
    <row r="750" spans="19:55" ht="15.75" customHeight="1">
      <c r="S750" s="454"/>
      <c r="AN750" s="458"/>
      <c r="AY750" s="458"/>
      <c r="AZ750" s="458"/>
      <c r="BA750" s="1305"/>
      <c r="BC750" s="169"/>
    </row>
    <row r="751" spans="19:55" ht="15.75" customHeight="1">
      <c r="S751" s="454"/>
      <c r="AN751" s="458"/>
      <c r="AY751" s="458"/>
      <c r="AZ751" s="458"/>
      <c r="BA751" s="1305"/>
      <c r="BC751" s="169"/>
    </row>
    <row r="752" spans="19:55" ht="15.75" customHeight="1">
      <c r="S752" s="454"/>
      <c r="AN752" s="458"/>
      <c r="AY752" s="458"/>
      <c r="AZ752" s="458"/>
      <c r="BA752" s="1305"/>
      <c r="BC752" s="169"/>
    </row>
    <row r="753" spans="19:55" ht="15.75" customHeight="1">
      <c r="S753" s="454"/>
      <c r="AN753" s="458"/>
      <c r="AY753" s="458"/>
      <c r="AZ753" s="458"/>
      <c r="BA753" s="1305"/>
      <c r="BC753" s="169"/>
    </row>
    <row r="754" spans="19:55" ht="15.75" customHeight="1">
      <c r="S754" s="454"/>
      <c r="AN754" s="458"/>
      <c r="AY754" s="458"/>
      <c r="AZ754" s="458"/>
      <c r="BA754" s="1305"/>
      <c r="BC754" s="169"/>
    </row>
    <row r="755" spans="19:55" ht="15.75" customHeight="1">
      <c r="S755" s="454"/>
      <c r="AN755" s="458"/>
      <c r="AY755" s="458"/>
      <c r="AZ755" s="458"/>
      <c r="BA755" s="1305"/>
      <c r="BC755" s="169"/>
    </row>
    <row r="756" spans="19:55" ht="15.75" customHeight="1">
      <c r="S756" s="454"/>
      <c r="AN756" s="458"/>
      <c r="AY756" s="458"/>
      <c r="AZ756" s="458"/>
      <c r="BA756" s="1305"/>
      <c r="BC756" s="169"/>
    </row>
    <row r="757" spans="19:55" ht="15.75" customHeight="1">
      <c r="S757" s="454"/>
      <c r="AN757" s="458"/>
      <c r="AY757" s="458"/>
      <c r="AZ757" s="458"/>
      <c r="BA757" s="1305"/>
      <c r="BC757" s="169"/>
    </row>
    <row r="758" spans="19:55" ht="15.75" customHeight="1">
      <c r="S758" s="454"/>
      <c r="AN758" s="458"/>
      <c r="AY758" s="458"/>
      <c r="AZ758" s="458"/>
      <c r="BA758" s="1305"/>
      <c r="BC758" s="169"/>
    </row>
    <row r="759" spans="19:55" ht="15.75" customHeight="1">
      <c r="S759" s="454"/>
      <c r="AN759" s="458"/>
      <c r="AY759" s="458"/>
      <c r="AZ759" s="458"/>
      <c r="BA759" s="1305"/>
      <c r="BC759" s="169"/>
    </row>
    <row r="760" spans="19:55" ht="15.75" customHeight="1">
      <c r="S760" s="454"/>
      <c r="AN760" s="458"/>
      <c r="AY760" s="458"/>
      <c r="AZ760" s="458"/>
      <c r="BA760" s="1305"/>
      <c r="BC760" s="169"/>
    </row>
    <row r="761" spans="19:55" ht="15.75" customHeight="1">
      <c r="S761" s="454"/>
      <c r="AN761" s="458"/>
      <c r="AY761" s="458"/>
      <c r="AZ761" s="458"/>
      <c r="BA761" s="1305"/>
      <c r="BC761" s="169"/>
    </row>
    <row r="762" spans="19:55" ht="15.75" customHeight="1">
      <c r="S762" s="454"/>
      <c r="AN762" s="458"/>
      <c r="AY762" s="458"/>
      <c r="AZ762" s="458"/>
      <c r="BA762" s="1305"/>
      <c r="BC762" s="169"/>
    </row>
    <row r="763" spans="19:55" ht="15.75" customHeight="1">
      <c r="S763" s="454"/>
      <c r="AN763" s="458"/>
      <c r="AY763" s="458"/>
      <c r="AZ763" s="458"/>
      <c r="BA763" s="1305"/>
      <c r="BC763" s="169"/>
    </row>
    <row r="764" spans="19:55" ht="15.75" customHeight="1">
      <c r="S764" s="454"/>
      <c r="AN764" s="458"/>
      <c r="AY764" s="458"/>
      <c r="AZ764" s="458"/>
      <c r="BA764" s="1305"/>
      <c r="BC764" s="169"/>
    </row>
    <row r="765" spans="19:55" ht="15.75" customHeight="1">
      <c r="S765" s="454"/>
      <c r="AN765" s="458"/>
      <c r="AY765" s="458"/>
      <c r="AZ765" s="458"/>
      <c r="BA765" s="1305"/>
      <c r="BC765" s="169"/>
    </row>
    <row r="766" spans="19:55" ht="15.75" customHeight="1">
      <c r="S766" s="454"/>
      <c r="AN766" s="458"/>
      <c r="AY766" s="458"/>
      <c r="AZ766" s="458"/>
      <c r="BA766" s="1305"/>
      <c r="BC766" s="169"/>
    </row>
    <row r="767" spans="19:55" ht="15.75" customHeight="1">
      <c r="S767" s="454"/>
      <c r="AN767" s="458"/>
      <c r="AY767" s="458"/>
      <c r="AZ767" s="458"/>
      <c r="BA767" s="1305"/>
      <c r="BC767" s="169"/>
    </row>
    <row r="768" spans="19:55" ht="15.75" customHeight="1">
      <c r="S768" s="454"/>
      <c r="AN768" s="458"/>
      <c r="AY768" s="458"/>
      <c r="AZ768" s="458"/>
      <c r="BA768" s="1305"/>
      <c r="BC768" s="169"/>
    </row>
    <row r="769" spans="19:55" ht="15.75" customHeight="1">
      <c r="S769" s="454"/>
      <c r="AN769" s="458"/>
      <c r="AY769" s="458"/>
      <c r="AZ769" s="458"/>
      <c r="BA769" s="1305"/>
      <c r="BC769" s="169"/>
    </row>
    <row r="770" spans="19:55" ht="15.75" customHeight="1">
      <c r="S770" s="454"/>
      <c r="AN770" s="458"/>
      <c r="AY770" s="458"/>
      <c r="AZ770" s="458"/>
      <c r="BA770" s="1305"/>
      <c r="BC770" s="169"/>
    </row>
    <row r="771" spans="19:55" ht="15.75" customHeight="1">
      <c r="S771" s="454"/>
      <c r="AN771" s="458"/>
      <c r="AY771" s="458"/>
      <c r="AZ771" s="458"/>
      <c r="BA771" s="1305"/>
      <c r="BC771" s="169"/>
    </row>
    <row r="772" spans="19:55" ht="15.75" customHeight="1">
      <c r="S772" s="454"/>
      <c r="AN772" s="458"/>
      <c r="AY772" s="458"/>
      <c r="AZ772" s="458"/>
      <c r="BA772" s="1305"/>
      <c r="BC772" s="169"/>
    </row>
    <row r="773" spans="19:55" ht="15.75" customHeight="1">
      <c r="S773" s="454"/>
      <c r="AN773" s="458"/>
      <c r="AY773" s="458"/>
      <c r="AZ773" s="458"/>
      <c r="BA773" s="1305"/>
      <c r="BC773" s="169"/>
    </row>
    <row r="774" spans="19:55" ht="15.75" customHeight="1">
      <c r="S774" s="454"/>
      <c r="AN774" s="458"/>
      <c r="AY774" s="458"/>
      <c r="AZ774" s="458"/>
      <c r="BA774" s="1305"/>
      <c r="BC774" s="169"/>
    </row>
    <row r="775" spans="19:55" ht="15.75" customHeight="1">
      <c r="S775" s="454"/>
      <c r="AN775" s="458"/>
      <c r="AY775" s="458"/>
      <c r="AZ775" s="458"/>
      <c r="BA775" s="1305"/>
      <c r="BC775" s="169"/>
    </row>
    <row r="776" spans="19:55" ht="15.75" customHeight="1">
      <c r="S776" s="454"/>
      <c r="AN776" s="458"/>
      <c r="AY776" s="458"/>
      <c r="AZ776" s="458"/>
      <c r="BA776" s="1305"/>
      <c r="BC776" s="169"/>
    </row>
    <row r="777" spans="19:55" ht="15.75" customHeight="1">
      <c r="S777" s="454"/>
      <c r="AN777" s="458"/>
      <c r="AY777" s="458"/>
      <c r="AZ777" s="458"/>
      <c r="BA777" s="1305"/>
      <c r="BC777" s="169"/>
    </row>
    <row r="778" spans="19:55" ht="15.75" customHeight="1">
      <c r="S778" s="454"/>
      <c r="AN778" s="458"/>
      <c r="AY778" s="458"/>
      <c r="AZ778" s="458"/>
      <c r="BA778" s="1305"/>
      <c r="BC778" s="169"/>
    </row>
    <row r="779" spans="19:55" ht="15.75" customHeight="1">
      <c r="S779" s="454"/>
      <c r="AN779" s="458"/>
      <c r="AY779" s="458"/>
      <c r="AZ779" s="458"/>
      <c r="BA779" s="1305"/>
      <c r="BC779" s="169"/>
    </row>
    <row r="780" spans="19:55" ht="15.75" customHeight="1">
      <c r="S780" s="454"/>
      <c r="AN780" s="458"/>
      <c r="AY780" s="458"/>
      <c r="AZ780" s="458"/>
      <c r="BA780" s="1305"/>
      <c r="BC780" s="169"/>
    </row>
    <row r="781" spans="19:55" ht="15.75" customHeight="1">
      <c r="S781" s="454"/>
      <c r="AN781" s="458"/>
      <c r="AY781" s="458"/>
      <c r="AZ781" s="458"/>
      <c r="BA781" s="1305"/>
      <c r="BC781" s="169"/>
    </row>
    <row r="782" spans="19:55" ht="15.75" customHeight="1">
      <c r="S782" s="454"/>
      <c r="AN782" s="458"/>
      <c r="AY782" s="458"/>
      <c r="AZ782" s="458"/>
      <c r="BA782" s="1305"/>
      <c r="BC782" s="169"/>
    </row>
    <row r="783" spans="19:55" ht="15.75" customHeight="1">
      <c r="S783" s="454"/>
      <c r="AN783" s="458"/>
      <c r="AY783" s="458"/>
      <c r="AZ783" s="458"/>
      <c r="BA783" s="1305"/>
      <c r="BC783" s="169"/>
    </row>
    <row r="784" spans="19:55" ht="15.75" customHeight="1">
      <c r="S784" s="454"/>
      <c r="AN784" s="458"/>
      <c r="AY784" s="458"/>
      <c r="AZ784" s="458"/>
      <c r="BA784" s="1305"/>
      <c r="BC784" s="169"/>
    </row>
    <row r="785" spans="19:55" ht="15.75" customHeight="1">
      <c r="S785" s="454"/>
      <c r="AN785" s="458"/>
      <c r="AY785" s="458"/>
      <c r="AZ785" s="458"/>
      <c r="BA785" s="1305"/>
      <c r="BC785" s="169"/>
    </row>
    <row r="786" spans="19:55" ht="15.75" customHeight="1">
      <c r="S786" s="454"/>
      <c r="AN786" s="458"/>
      <c r="AY786" s="458"/>
      <c r="AZ786" s="458"/>
      <c r="BA786" s="1305"/>
      <c r="BC786" s="169"/>
    </row>
    <row r="787" spans="19:55" ht="15.75" customHeight="1">
      <c r="S787" s="454"/>
      <c r="AN787" s="458"/>
      <c r="AY787" s="458"/>
      <c r="AZ787" s="458"/>
      <c r="BA787" s="1305"/>
      <c r="BC787" s="169"/>
    </row>
    <row r="788" spans="19:55" ht="15.75" customHeight="1">
      <c r="S788" s="454"/>
      <c r="AN788" s="458"/>
      <c r="AY788" s="458"/>
      <c r="AZ788" s="458"/>
      <c r="BA788" s="1305"/>
      <c r="BC788" s="169"/>
    </row>
    <row r="789" spans="19:55" ht="15.75" customHeight="1">
      <c r="S789" s="454"/>
      <c r="AN789" s="458"/>
      <c r="AY789" s="458"/>
      <c r="AZ789" s="458"/>
      <c r="BA789" s="1305"/>
      <c r="BC789" s="169"/>
    </row>
    <row r="790" spans="19:55" ht="15.75" customHeight="1">
      <c r="S790" s="454"/>
      <c r="AN790" s="458"/>
      <c r="AY790" s="458"/>
      <c r="AZ790" s="458"/>
      <c r="BA790" s="1305"/>
      <c r="BC790" s="169"/>
    </row>
    <row r="791" spans="19:55" ht="15.75" customHeight="1">
      <c r="S791" s="454"/>
      <c r="AN791" s="458"/>
      <c r="AY791" s="458"/>
      <c r="AZ791" s="458"/>
      <c r="BA791" s="1305"/>
      <c r="BC791" s="169"/>
    </row>
    <row r="792" spans="19:55" ht="15.75" customHeight="1">
      <c r="S792" s="454"/>
      <c r="AN792" s="458"/>
      <c r="AY792" s="458"/>
      <c r="AZ792" s="458"/>
      <c r="BA792" s="1305"/>
      <c r="BC792" s="169"/>
    </row>
    <row r="793" spans="19:55" ht="15.75" customHeight="1">
      <c r="S793" s="454"/>
      <c r="AN793" s="458"/>
      <c r="AY793" s="458"/>
      <c r="AZ793" s="458"/>
      <c r="BA793" s="1305"/>
      <c r="BC793" s="169"/>
    </row>
    <row r="794" spans="19:55" ht="15.75" customHeight="1">
      <c r="S794" s="454"/>
      <c r="AN794" s="458"/>
      <c r="AY794" s="458"/>
      <c r="AZ794" s="458"/>
      <c r="BA794" s="1305"/>
      <c r="BC794" s="169"/>
    </row>
    <row r="795" spans="19:55" ht="15.75" customHeight="1">
      <c r="S795" s="454"/>
      <c r="AN795" s="458"/>
      <c r="AY795" s="458"/>
      <c r="AZ795" s="458"/>
      <c r="BA795" s="1305"/>
      <c r="BC795" s="169"/>
    </row>
    <row r="796" spans="19:55" ht="15.75" customHeight="1">
      <c r="S796" s="454"/>
      <c r="AN796" s="458"/>
      <c r="AY796" s="458"/>
      <c r="AZ796" s="458"/>
      <c r="BA796" s="1305"/>
      <c r="BC796" s="169"/>
    </row>
    <row r="797" spans="19:55" ht="15.75" customHeight="1">
      <c r="S797" s="454"/>
      <c r="AN797" s="458"/>
      <c r="AY797" s="458"/>
      <c r="AZ797" s="458"/>
      <c r="BA797" s="1305"/>
      <c r="BC797" s="169"/>
    </row>
    <row r="798" spans="19:55" ht="15.75" customHeight="1">
      <c r="S798" s="454"/>
      <c r="AN798" s="458"/>
      <c r="AY798" s="458"/>
      <c r="AZ798" s="458"/>
      <c r="BA798" s="1305"/>
      <c r="BC798" s="169"/>
    </row>
    <row r="799" spans="19:55" ht="15.75" customHeight="1">
      <c r="S799" s="454"/>
      <c r="AN799" s="458"/>
      <c r="AY799" s="458"/>
      <c r="AZ799" s="458"/>
      <c r="BA799" s="1305"/>
      <c r="BC799" s="169"/>
    </row>
    <row r="800" spans="19:55" ht="15.75" customHeight="1">
      <c r="S800" s="454"/>
      <c r="AN800" s="458"/>
      <c r="AY800" s="458"/>
      <c r="AZ800" s="458"/>
      <c r="BA800" s="1305"/>
      <c r="BC800" s="169"/>
    </row>
    <row r="801" spans="19:55" ht="15.75" customHeight="1">
      <c r="S801" s="454"/>
      <c r="AN801" s="458"/>
      <c r="AY801" s="458"/>
      <c r="AZ801" s="458"/>
      <c r="BA801" s="1305"/>
      <c r="BC801" s="169"/>
    </row>
    <row r="802" spans="19:55" ht="15.75" customHeight="1">
      <c r="S802" s="454"/>
      <c r="AN802" s="458"/>
      <c r="AY802" s="458"/>
      <c r="AZ802" s="458"/>
      <c r="BA802" s="1305"/>
      <c r="BC802" s="169"/>
    </row>
    <row r="803" spans="19:55" ht="15.75" customHeight="1">
      <c r="S803" s="454"/>
      <c r="AN803" s="458"/>
      <c r="AY803" s="458"/>
      <c r="AZ803" s="458"/>
      <c r="BA803" s="1305"/>
      <c r="BC803" s="169"/>
    </row>
    <row r="804" spans="19:55" ht="15.75" customHeight="1">
      <c r="S804" s="454"/>
      <c r="AN804" s="458"/>
      <c r="AY804" s="458"/>
      <c r="AZ804" s="458"/>
      <c r="BA804" s="1305"/>
      <c r="BC804" s="169"/>
    </row>
    <row r="805" spans="19:55" ht="15.75" customHeight="1">
      <c r="S805" s="454"/>
      <c r="AN805" s="458"/>
      <c r="AY805" s="458"/>
      <c r="AZ805" s="458"/>
      <c r="BA805" s="1305"/>
      <c r="BC805" s="169"/>
    </row>
    <row r="806" spans="19:55" ht="15.75" customHeight="1">
      <c r="S806" s="454"/>
      <c r="AN806" s="458"/>
      <c r="AY806" s="458"/>
      <c r="AZ806" s="458"/>
      <c r="BA806" s="1305"/>
      <c r="BC806" s="169"/>
    </row>
    <row r="807" spans="19:55" ht="15.75" customHeight="1">
      <c r="S807" s="454"/>
      <c r="AN807" s="458"/>
      <c r="AY807" s="458"/>
      <c r="AZ807" s="458"/>
      <c r="BA807" s="1305"/>
      <c r="BC807" s="169"/>
    </row>
    <row r="808" spans="19:55" ht="15.75" customHeight="1">
      <c r="S808" s="454"/>
      <c r="AN808" s="458"/>
      <c r="AY808" s="458"/>
      <c r="AZ808" s="458"/>
      <c r="BA808" s="1305"/>
      <c r="BC808" s="169"/>
    </row>
    <row r="809" spans="19:55" ht="15.75" customHeight="1">
      <c r="S809" s="454"/>
      <c r="AN809" s="458"/>
      <c r="AY809" s="458"/>
      <c r="AZ809" s="458"/>
      <c r="BA809" s="1305"/>
      <c r="BC809" s="169"/>
    </row>
    <row r="810" spans="19:55" ht="15.75" customHeight="1">
      <c r="S810" s="454"/>
      <c r="AN810" s="458"/>
      <c r="AY810" s="458"/>
      <c r="AZ810" s="458"/>
      <c r="BA810" s="1305"/>
      <c r="BC810" s="169"/>
    </row>
    <row r="811" spans="19:55" ht="15.75" customHeight="1">
      <c r="S811" s="454"/>
      <c r="AN811" s="458"/>
      <c r="AY811" s="458"/>
      <c r="AZ811" s="458"/>
      <c r="BA811" s="1305"/>
      <c r="BC811" s="169"/>
    </row>
    <row r="812" spans="19:55" ht="15.75" customHeight="1">
      <c r="S812" s="454"/>
      <c r="AN812" s="458"/>
      <c r="AY812" s="458"/>
      <c r="AZ812" s="458"/>
      <c r="BA812" s="1305"/>
      <c r="BC812" s="169"/>
    </row>
    <row r="813" spans="19:55" ht="15.75" customHeight="1">
      <c r="S813" s="454"/>
      <c r="AN813" s="458"/>
      <c r="AY813" s="458"/>
      <c r="AZ813" s="458"/>
      <c r="BA813" s="1305"/>
      <c r="BC813" s="169"/>
    </row>
    <row r="814" spans="19:55" ht="15.75" customHeight="1">
      <c r="S814" s="454"/>
      <c r="AN814" s="458"/>
      <c r="AY814" s="458"/>
      <c r="AZ814" s="458"/>
      <c r="BA814" s="1305"/>
      <c r="BC814" s="169"/>
    </row>
    <row r="815" spans="19:55" ht="15.75" customHeight="1">
      <c r="S815" s="454"/>
      <c r="AN815" s="458"/>
      <c r="AY815" s="458"/>
      <c r="AZ815" s="458"/>
      <c r="BA815" s="1305"/>
      <c r="BC815" s="169"/>
    </row>
    <row r="816" spans="19:55" ht="15.75" customHeight="1">
      <c r="S816" s="454"/>
      <c r="AN816" s="458"/>
      <c r="AY816" s="458"/>
      <c r="AZ816" s="458"/>
      <c r="BA816" s="1305"/>
      <c r="BC816" s="169"/>
    </row>
    <row r="817" spans="19:55" ht="15.75" customHeight="1">
      <c r="S817" s="454"/>
      <c r="AN817" s="458"/>
      <c r="AY817" s="458"/>
      <c r="AZ817" s="458"/>
      <c r="BA817" s="1305"/>
      <c r="BC817" s="169"/>
    </row>
    <row r="818" spans="19:55" ht="15.75" customHeight="1">
      <c r="S818" s="454"/>
      <c r="AN818" s="458"/>
      <c r="AY818" s="458"/>
      <c r="AZ818" s="458"/>
      <c r="BA818" s="1305"/>
      <c r="BC818" s="169"/>
    </row>
    <row r="819" spans="19:55" ht="15.75" customHeight="1">
      <c r="S819" s="454"/>
      <c r="AN819" s="458"/>
      <c r="AY819" s="458"/>
      <c r="AZ819" s="458"/>
      <c r="BA819" s="1305"/>
      <c r="BC819" s="169"/>
    </row>
    <row r="820" spans="19:55" ht="15.75" customHeight="1">
      <c r="S820" s="454"/>
      <c r="AN820" s="458"/>
      <c r="AY820" s="458"/>
      <c r="AZ820" s="458"/>
      <c r="BA820" s="1305"/>
      <c r="BC820" s="169"/>
    </row>
    <row r="821" spans="19:55" ht="15.75" customHeight="1">
      <c r="S821" s="454"/>
      <c r="AN821" s="458"/>
      <c r="AY821" s="458"/>
      <c r="AZ821" s="458"/>
      <c r="BA821" s="1305"/>
      <c r="BC821" s="169"/>
    </row>
    <row r="822" spans="19:55" ht="15.75" customHeight="1">
      <c r="S822" s="454"/>
      <c r="AN822" s="458"/>
      <c r="AY822" s="458"/>
      <c r="AZ822" s="458"/>
      <c r="BA822" s="1305"/>
      <c r="BC822" s="169"/>
    </row>
    <row r="823" spans="19:55" ht="15.75" customHeight="1">
      <c r="S823" s="454"/>
      <c r="AN823" s="458"/>
      <c r="AY823" s="458"/>
      <c r="AZ823" s="458"/>
      <c r="BA823" s="1305"/>
      <c r="BC823" s="169"/>
    </row>
    <row r="824" spans="19:55" ht="15.75" customHeight="1">
      <c r="S824" s="454"/>
      <c r="AN824" s="458"/>
      <c r="AY824" s="458"/>
      <c r="AZ824" s="458"/>
      <c r="BA824" s="1305"/>
      <c r="BC824" s="169"/>
    </row>
    <row r="825" spans="19:55" ht="15.75" customHeight="1">
      <c r="S825" s="454"/>
      <c r="AN825" s="458"/>
      <c r="AY825" s="458"/>
      <c r="AZ825" s="458"/>
      <c r="BA825" s="1305"/>
      <c r="BC825" s="169"/>
    </row>
    <row r="826" spans="19:55" ht="15.75" customHeight="1">
      <c r="S826" s="454"/>
      <c r="AN826" s="458"/>
      <c r="AY826" s="458"/>
      <c r="AZ826" s="458"/>
      <c r="BA826" s="1305"/>
      <c r="BC826" s="169"/>
    </row>
    <row r="827" spans="19:55" ht="15.75" customHeight="1">
      <c r="S827" s="454"/>
      <c r="AN827" s="458"/>
      <c r="AY827" s="458"/>
      <c r="AZ827" s="458"/>
      <c r="BA827" s="1305"/>
      <c r="BC827" s="169"/>
    </row>
    <row r="828" spans="19:55" ht="15.75" customHeight="1">
      <c r="S828" s="454"/>
      <c r="AN828" s="458"/>
      <c r="AY828" s="458"/>
      <c r="AZ828" s="458"/>
      <c r="BA828" s="1305"/>
      <c r="BC828" s="169"/>
    </row>
    <row r="829" spans="19:55" ht="15.75" customHeight="1">
      <c r="S829" s="454"/>
      <c r="AN829" s="458"/>
      <c r="AY829" s="458"/>
      <c r="AZ829" s="458"/>
      <c r="BA829" s="1305"/>
      <c r="BC829" s="169"/>
    </row>
    <row r="830" spans="19:55" ht="15.75" customHeight="1">
      <c r="S830" s="454"/>
      <c r="AN830" s="458"/>
      <c r="AY830" s="458"/>
      <c r="AZ830" s="458"/>
      <c r="BA830" s="1305"/>
      <c r="BC830" s="169"/>
    </row>
    <row r="831" spans="19:55" ht="15.75" customHeight="1">
      <c r="S831" s="454"/>
      <c r="AN831" s="458"/>
      <c r="AY831" s="458"/>
      <c r="AZ831" s="458"/>
      <c r="BA831" s="1305"/>
      <c r="BC831" s="169"/>
    </row>
    <row r="832" spans="19:55" ht="15.75" customHeight="1">
      <c r="S832" s="454"/>
      <c r="AN832" s="458"/>
      <c r="AY832" s="458"/>
      <c r="AZ832" s="458"/>
      <c r="BA832" s="1305"/>
      <c r="BC832" s="169"/>
    </row>
    <row r="833" spans="19:55" ht="15.75" customHeight="1">
      <c r="S833" s="454"/>
      <c r="AN833" s="458"/>
      <c r="AY833" s="458"/>
      <c r="AZ833" s="458"/>
      <c r="BA833" s="1305"/>
      <c r="BC833" s="169"/>
    </row>
    <row r="834" spans="19:55" ht="15.75" customHeight="1">
      <c r="S834" s="454"/>
      <c r="AN834" s="458"/>
      <c r="AY834" s="458"/>
      <c r="AZ834" s="458"/>
      <c r="BA834" s="1305"/>
      <c r="BC834" s="169"/>
    </row>
    <row r="835" spans="19:55" ht="15.75" customHeight="1">
      <c r="S835" s="454"/>
      <c r="AN835" s="458"/>
      <c r="AY835" s="458"/>
      <c r="AZ835" s="458"/>
      <c r="BA835" s="1305"/>
      <c r="BC835" s="169"/>
    </row>
    <row r="836" spans="19:55" ht="15.75" customHeight="1">
      <c r="S836" s="454"/>
      <c r="AN836" s="458"/>
      <c r="AY836" s="458"/>
      <c r="AZ836" s="458"/>
      <c r="BA836" s="1305"/>
      <c r="BC836" s="169"/>
    </row>
    <row r="837" spans="19:55" ht="15.75" customHeight="1">
      <c r="S837" s="454"/>
      <c r="AN837" s="458"/>
      <c r="AY837" s="458"/>
      <c r="AZ837" s="458"/>
      <c r="BA837" s="1305"/>
      <c r="BC837" s="169"/>
    </row>
    <row r="838" spans="19:55" ht="15.75" customHeight="1">
      <c r="S838" s="454"/>
      <c r="AN838" s="458"/>
      <c r="AY838" s="458"/>
      <c r="AZ838" s="458"/>
      <c r="BA838" s="1305"/>
      <c r="BC838" s="169"/>
    </row>
    <row r="839" spans="19:55" ht="15.75" customHeight="1">
      <c r="S839" s="454"/>
      <c r="AN839" s="458"/>
      <c r="AY839" s="458"/>
      <c r="AZ839" s="458"/>
      <c r="BA839" s="1305"/>
      <c r="BC839" s="169"/>
    </row>
    <row r="840" spans="19:55" ht="15.75" customHeight="1">
      <c r="S840" s="454"/>
      <c r="AN840" s="458"/>
      <c r="AY840" s="458"/>
      <c r="AZ840" s="458"/>
      <c r="BA840" s="1305"/>
      <c r="BC840" s="169"/>
    </row>
    <row r="841" spans="19:55" ht="15.75" customHeight="1">
      <c r="S841" s="454"/>
      <c r="AN841" s="458"/>
      <c r="AY841" s="458"/>
      <c r="AZ841" s="458"/>
      <c r="BA841" s="1305"/>
      <c r="BC841" s="169"/>
    </row>
    <row r="842" spans="19:55" ht="15.75" customHeight="1">
      <c r="S842" s="454"/>
      <c r="AN842" s="458"/>
      <c r="AY842" s="458"/>
      <c r="AZ842" s="458"/>
      <c r="BA842" s="1305"/>
      <c r="BC842" s="169"/>
    </row>
    <row r="843" spans="19:55" ht="15.75" customHeight="1">
      <c r="S843" s="454"/>
      <c r="AN843" s="458"/>
      <c r="AY843" s="458"/>
      <c r="AZ843" s="458"/>
      <c r="BA843" s="1305"/>
      <c r="BC843" s="169"/>
    </row>
    <row r="844" spans="19:55" ht="15.75" customHeight="1">
      <c r="S844" s="454"/>
      <c r="AN844" s="458"/>
      <c r="AY844" s="458"/>
      <c r="AZ844" s="458"/>
      <c r="BA844" s="1305"/>
      <c r="BC844" s="169"/>
    </row>
    <row r="845" spans="19:55" ht="15.75" customHeight="1">
      <c r="S845" s="454"/>
      <c r="AN845" s="458"/>
      <c r="AY845" s="458"/>
      <c r="AZ845" s="458"/>
      <c r="BA845" s="1305"/>
      <c r="BC845" s="169"/>
    </row>
    <row r="846" spans="19:55" ht="15.75" customHeight="1">
      <c r="S846" s="454"/>
      <c r="AN846" s="458"/>
      <c r="AY846" s="458"/>
      <c r="AZ846" s="458"/>
      <c r="BA846" s="1305"/>
      <c r="BC846" s="169"/>
    </row>
    <row r="847" spans="19:55" ht="15.75" customHeight="1">
      <c r="S847" s="454"/>
      <c r="AN847" s="458"/>
      <c r="AY847" s="458"/>
      <c r="AZ847" s="458"/>
      <c r="BA847" s="1305"/>
      <c r="BC847" s="169"/>
    </row>
    <row r="848" spans="19:55" ht="15.75" customHeight="1">
      <c r="S848" s="454"/>
      <c r="AN848" s="458"/>
      <c r="AY848" s="458"/>
      <c r="AZ848" s="458"/>
      <c r="BA848" s="1305"/>
      <c r="BC848" s="169"/>
    </row>
    <row r="849" spans="19:55" ht="15.75" customHeight="1">
      <c r="S849" s="454"/>
      <c r="AN849" s="458"/>
      <c r="AY849" s="458"/>
      <c r="AZ849" s="458"/>
      <c r="BA849" s="1305"/>
      <c r="BC849" s="169"/>
    </row>
    <row r="850" spans="19:55" ht="15.75" customHeight="1">
      <c r="S850" s="454"/>
      <c r="AN850" s="458"/>
      <c r="AY850" s="458"/>
      <c r="AZ850" s="458"/>
      <c r="BA850" s="1305"/>
      <c r="BC850" s="169"/>
    </row>
    <row r="851" spans="19:55" ht="15.75" customHeight="1">
      <c r="S851" s="454"/>
      <c r="AN851" s="458"/>
      <c r="AY851" s="458"/>
      <c r="AZ851" s="458"/>
      <c r="BA851" s="1305"/>
      <c r="BC851" s="169"/>
    </row>
    <row r="852" spans="19:55" ht="15.75" customHeight="1">
      <c r="S852" s="454"/>
      <c r="AN852" s="458"/>
      <c r="AY852" s="458"/>
      <c r="AZ852" s="458"/>
      <c r="BA852" s="1305"/>
      <c r="BC852" s="169"/>
    </row>
    <row r="853" spans="19:55" ht="15.75" customHeight="1">
      <c r="S853" s="454"/>
      <c r="AN853" s="458"/>
      <c r="AY853" s="458"/>
      <c r="AZ853" s="458"/>
      <c r="BA853" s="1305"/>
      <c r="BC853" s="169"/>
    </row>
    <row r="854" spans="19:55" ht="15.75" customHeight="1">
      <c r="S854" s="454"/>
      <c r="AN854" s="458"/>
      <c r="AY854" s="458"/>
      <c r="AZ854" s="458"/>
      <c r="BA854" s="1305"/>
      <c r="BC854" s="169"/>
    </row>
    <row r="855" spans="19:55" ht="15.75" customHeight="1">
      <c r="S855" s="454"/>
      <c r="AN855" s="458"/>
      <c r="AY855" s="458"/>
      <c r="AZ855" s="458"/>
      <c r="BA855" s="1305"/>
      <c r="BC855" s="169"/>
    </row>
    <row r="856" spans="19:55" ht="15.75" customHeight="1">
      <c r="S856" s="454"/>
      <c r="AN856" s="458"/>
      <c r="AY856" s="458"/>
      <c r="AZ856" s="458"/>
      <c r="BA856" s="1305"/>
      <c r="BC856" s="169"/>
    </row>
    <row r="857" spans="19:55" ht="15.75" customHeight="1">
      <c r="S857" s="454"/>
      <c r="AN857" s="458"/>
      <c r="AY857" s="458"/>
      <c r="AZ857" s="458"/>
      <c r="BA857" s="1305"/>
      <c r="BC857" s="169"/>
    </row>
    <row r="858" spans="19:55" ht="15.75" customHeight="1">
      <c r="S858" s="454"/>
      <c r="AN858" s="458"/>
      <c r="AY858" s="458"/>
      <c r="AZ858" s="458"/>
      <c r="BA858" s="1305"/>
      <c r="BC858" s="169"/>
    </row>
    <row r="859" spans="19:55" ht="15.75" customHeight="1">
      <c r="S859" s="454"/>
      <c r="AN859" s="458"/>
      <c r="AY859" s="458"/>
      <c r="AZ859" s="458"/>
      <c r="BA859" s="1305"/>
      <c r="BC859" s="169"/>
    </row>
    <row r="860" spans="19:55" ht="15.75" customHeight="1">
      <c r="S860" s="454"/>
      <c r="AN860" s="458"/>
      <c r="AY860" s="458"/>
      <c r="AZ860" s="458"/>
      <c r="BA860" s="1305"/>
      <c r="BC860" s="169"/>
    </row>
    <row r="861" spans="19:55" ht="15.75" customHeight="1">
      <c r="S861" s="454"/>
      <c r="AN861" s="458"/>
      <c r="AY861" s="458"/>
      <c r="AZ861" s="458"/>
      <c r="BA861" s="1305"/>
      <c r="BC861" s="169"/>
    </row>
    <row r="862" spans="19:55" ht="15.75" customHeight="1">
      <c r="S862" s="454"/>
      <c r="AN862" s="458"/>
      <c r="AY862" s="458"/>
      <c r="AZ862" s="458"/>
      <c r="BA862" s="1305"/>
      <c r="BC862" s="169"/>
    </row>
    <row r="863" spans="19:55" ht="15.75" customHeight="1">
      <c r="S863" s="454"/>
      <c r="AN863" s="458"/>
      <c r="AY863" s="458"/>
      <c r="AZ863" s="458"/>
      <c r="BA863" s="1305"/>
      <c r="BC863" s="169"/>
    </row>
    <row r="864" spans="19:55" ht="15.75" customHeight="1">
      <c r="S864" s="454"/>
      <c r="AN864" s="458"/>
      <c r="AY864" s="458"/>
      <c r="AZ864" s="458"/>
      <c r="BA864" s="1305"/>
      <c r="BC864" s="169"/>
    </row>
    <row r="865" spans="19:55" ht="15.75" customHeight="1">
      <c r="S865" s="454"/>
      <c r="AN865" s="458"/>
      <c r="AY865" s="458"/>
      <c r="AZ865" s="458"/>
      <c r="BA865" s="1305"/>
      <c r="BC865" s="169"/>
    </row>
    <row r="866" spans="19:55" ht="15.75" customHeight="1">
      <c r="S866" s="454"/>
      <c r="AN866" s="458"/>
      <c r="AY866" s="458"/>
      <c r="AZ866" s="458"/>
      <c r="BA866" s="1305"/>
      <c r="BC866" s="169"/>
    </row>
    <row r="867" spans="19:55" ht="15.75" customHeight="1">
      <c r="S867" s="454"/>
      <c r="AN867" s="458"/>
      <c r="AY867" s="458"/>
      <c r="AZ867" s="458"/>
      <c r="BA867" s="1305"/>
      <c r="BC867" s="169"/>
    </row>
    <row r="868" spans="19:55" ht="15.75" customHeight="1">
      <c r="S868" s="454"/>
      <c r="AN868" s="458"/>
      <c r="AY868" s="458"/>
      <c r="AZ868" s="458"/>
      <c r="BA868" s="1305"/>
      <c r="BC868" s="169"/>
    </row>
    <row r="869" spans="19:55" ht="15.75" customHeight="1">
      <c r="S869" s="454"/>
      <c r="AN869" s="458"/>
      <c r="AY869" s="458"/>
      <c r="AZ869" s="458"/>
      <c r="BA869" s="1305"/>
      <c r="BC869" s="169"/>
    </row>
    <row r="870" spans="19:55" ht="15.75" customHeight="1">
      <c r="S870" s="454"/>
      <c r="AN870" s="458"/>
      <c r="AY870" s="458"/>
      <c r="AZ870" s="458"/>
      <c r="BA870" s="1305"/>
      <c r="BC870" s="169"/>
    </row>
    <row r="871" spans="19:55" ht="15.75" customHeight="1">
      <c r="S871" s="454"/>
      <c r="AN871" s="458"/>
      <c r="AY871" s="458"/>
      <c r="AZ871" s="458"/>
      <c r="BA871" s="1305"/>
      <c r="BC871" s="169"/>
    </row>
    <row r="872" spans="19:55" ht="15.75" customHeight="1">
      <c r="S872" s="454"/>
      <c r="AN872" s="458"/>
      <c r="AY872" s="458"/>
      <c r="AZ872" s="458"/>
      <c r="BA872" s="1305"/>
      <c r="BC872" s="169"/>
    </row>
    <row r="873" spans="19:55" ht="15.75" customHeight="1">
      <c r="S873" s="454"/>
      <c r="AN873" s="458"/>
      <c r="AY873" s="458"/>
      <c r="AZ873" s="458"/>
      <c r="BA873" s="1305"/>
      <c r="BC873" s="169"/>
    </row>
    <row r="874" spans="19:55" ht="15.75" customHeight="1">
      <c r="S874" s="454"/>
      <c r="AN874" s="458"/>
      <c r="AY874" s="458"/>
      <c r="AZ874" s="458"/>
      <c r="BA874" s="1305"/>
      <c r="BC874" s="169"/>
    </row>
    <row r="875" spans="19:55" ht="15.75" customHeight="1">
      <c r="S875" s="454"/>
      <c r="AN875" s="458"/>
      <c r="AY875" s="458"/>
      <c r="AZ875" s="458"/>
      <c r="BA875" s="1305"/>
      <c r="BC875" s="169"/>
    </row>
    <row r="876" spans="19:55" ht="15.75" customHeight="1">
      <c r="S876" s="454"/>
      <c r="AN876" s="458"/>
      <c r="AY876" s="458"/>
      <c r="AZ876" s="458"/>
      <c r="BA876" s="1305"/>
      <c r="BC876" s="169"/>
    </row>
    <row r="877" spans="19:55" ht="15.75" customHeight="1">
      <c r="S877" s="454"/>
      <c r="AN877" s="458"/>
      <c r="AY877" s="458"/>
      <c r="AZ877" s="458"/>
      <c r="BA877" s="1305"/>
      <c r="BC877" s="169"/>
    </row>
    <row r="878" spans="19:55" ht="15.75" customHeight="1">
      <c r="S878" s="454"/>
      <c r="AN878" s="458"/>
      <c r="AY878" s="458"/>
      <c r="AZ878" s="458"/>
      <c r="BA878" s="1305"/>
      <c r="BC878" s="169"/>
    </row>
    <row r="879" spans="19:55" ht="15.75" customHeight="1">
      <c r="S879" s="454"/>
      <c r="AN879" s="458"/>
      <c r="AY879" s="458"/>
      <c r="AZ879" s="458"/>
      <c r="BA879" s="1305"/>
      <c r="BC879" s="169"/>
    </row>
    <row r="880" spans="19:55" ht="15.75" customHeight="1">
      <c r="S880" s="454"/>
      <c r="AN880" s="458"/>
      <c r="AY880" s="458"/>
      <c r="AZ880" s="458"/>
      <c r="BA880" s="1305"/>
      <c r="BC880" s="169"/>
    </row>
    <row r="881" spans="19:55" ht="15.75" customHeight="1">
      <c r="S881" s="454"/>
      <c r="AN881" s="458"/>
      <c r="AY881" s="458"/>
      <c r="AZ881" s="458"/>
      <c r="BA881" s="1305"/>
      <c r="BC881" s="169"/>
    </row>
    <row r="882" spans="19:55" ht="15.75" customHeight="1">
      <c r="S882" s="454"/>
      <c r="AN882" s="458"/>
      <c r="AY882" s="458"/>
      <c r="AZ882" s="458"/>
      <c r="BA882" s="1305"/>
      <c r="BC882" s="169"/>
    </row>
    <row r="883" spans="19:55" ht="15.75" customHeight="1">
      <c r="S883" s="454"/>
      <c r="AN883" s="458"/>
      <c r="AY883" s="458"/>
      <c r="AZ883" s="458"/>
      <c r="BA883" s="1305"/>
      <c r="BC883" s="169"/>
    </row>
    <row r="884" spans="19:55" ht="15.75" customHeight="1">
      <c r="S884" s="454"/>
      <c r="AN884" s="458"/>
      <c r="AY884" s="458"/>
      <c r="AZ884" s="458"/>
      <c r="BA884" s="1305"/>
      <c r="BC884" s="169"/>
    </row>
    <row r="885" spans="19:55" ht="15.75" customHeight="1">
      <c r="S885" s="454"/>
      <c r="AN885" s="458"/>
      <c r="AY885" s="458"/>
      <c r="AZ885" s="458"/>
      <c r="BA885" s="1305"/>
      <c r="BC885" s="169"/>
    </row>
    <row r="886" spans="19:55" ht="15.75" customHeight="1">
      <c r="S886" s="454"/>
      <c r="AN886" s="458"/>
      <c r="AY886" s="458"/>
      <c r="AZ886" s="458"/>
      <c r="BA886" s="1305"/>
      <c r="BC886" s="169"/>
    </row>
    <row r="887" spans="19:55" ht="15.75" customHeight="1">
      <c r="S887" s="454"/>
      <c r="AN887" s="458"/>
      <c r="AY887" s="458"/>
      <c r="AZ887" s="458"/>
      <c r="BA887" s="1305"/>
      <c r="BC887" s="169"/>
    </row>
    <row r="888" spans="19:55" ht="15.75" customHeight="1">
      <c r="S888" s="454"/>
      <c r="AN888" s="458"/>
      <c r="AY888" s="458"/>
      <c r="AZ888" s="458"/>
      <c r="BA888" s="1305"/>
      <c r="BC888" s="169"/>
    </row>
    <row r="889" spans="19:55" ht="15.75" customHeight="1">
      <c r="S889" s="454"/>
      <c r="AN889" s="458"/>
      <c r="AY889" s="458"/>
      <c r="AZ889" s="458"/>
      <c r="BA889" s="1305"/>
      <c r="BC889" s="169"/>
    </row>
    <row r="890" spans="19:55" ht="15.75" customHeight="1">
      <c r="S890" s="454"/>
      <c r="AN890" s="458"/>
      <c r="AY890" s="458"/>
      <c r="AZ890" s="458"/>
      <c r="BA890" s="1305"/>
      <c r="BC890" s="169"/>
    </row>
    <row r="891" spans="19:55" ht="15.75" customHeight="1">
      <c r="S891" s="454"/>
      <c r="AN891" s="458"/>
      <c r="AY891" s="458"/>
      <c r="AZ891" s="458"/>
      <c r="BA891" s="1305"/>
      <c r="BC891" s="169"/>
    </row>
    <row r="892" spans="19:55" ht="15.75" customHeight="1">
      <c r="S892" s="454"/>
      <c r="AN892" s="458"/>
      <c r="AY892" s="458"/>
      <c r="AZ892" s="458"/>
      <c r="BA892" s="1305"/>
      <c r="BC892" s="169"/>
    </row>
    <row r="893" spans="19:55" ht="15.75" customHeight="1">
      <c r="S893" s="454"/>
      <c r="AN893" s="458"/>
      <c r="AY893" s="458"/>
      <c r="AZ893" s="458"/>
      <c r="BA893" s="1305"/>
      <c r="BC893" s="169"/>
    </row>
    <row r="894" spans="19:55" ht="15.75" customHeight="1">
      <c r="S894" s="454"/>
      <c r="AN894" s="458"/>
      <c r="AY894" s="458"/>
      <c r="AZ894" s="458"/>
      <c r="BA894" s="1305"/>
      <c r="BC894" s="169"/>
    </row>
    <row r="895" spans="19:55" ht="15.75" customHeight="1">
      <c r="S895" s="454"/>
      <c r="AN895" s="458"/>
      <c r="AY895" s="458"/>
      <c r="AZ895" s="458"/>
      <c r="BA895" s="1305"/>
      <c r="BC895" s="169"/>
    </row>
    <row r="896" spans="19:55" ht="15.75" customHeight="1">
      <c r="S896" s="454"/>
      <c r="AN896" s="458"/>
      <c r="AY896" s="458"/>
      <c r="AZ896" s="458"/>
      <c r="BA896" s="1305"/>
      <c r="BC896" s="169"/>
    </row>
    <row r="897" spans="19:55" ht="15.75" customHeight="1">
      <c r="S897" s="454"/>
      <c r="AN897" s="458"/>
      <c r="AY897" s="458"/>
      <c r="AZ897" s="458"/>
      <c r="BA897" s="1305"/>
      <c r="BC897" s="169"/>
    </row>
    <row r="898" spans="19:55" ht="15.75" customHeight="1">
      <c r="S898" s="454"/>
      <c r="AN898" s="458"/>
      <c r="AY898" s="458"/>
      <c r="AZ898" s="458"/>
      <c r="BA898" s="1305"/>
      <c r="BC898" s="169"/>
    </row>
    <row r="899" spans="19:55" ht="15.75" customHeight="1">
      <c r="S899" s="454"/>
      <c r="AN899" s="458"/>
      <c r="AY899" s="458"/>
      <c r="AZ899" s="458"/>
      <c r="BA899" s="1305"/>
      <c r="BC899" s="169"/>
    </row>
    <row r="900" spans="19:55" ht="15.75" customHeight="1">
      <c r="S900" s="454"/>
      <c r="AN900" s="458"/>
      <c r="AY900" s="458"/>
      <c r="AZ900" s="458"/>
      <c r="BA900" s="1305"/>
      <c r="BC900" s="169"/>
    </row>
    <row r="901" spans="19:55" ht="15.75" customHeight="1">
      <c r="S901" s="454"/>
      <c r="AN901" s="458"/>
      <c r="AY901" s="458"/>
      <c r="AZ901" s="458"/>
      <c r="BA901" s="1305"/>
      <c r="BC901" s="169"/>
    </row>
    <row r="902" spans="19:55" ht="15.75" customHeight="1">
      <c r="S902" s="454"/>
      <c r="AN902" s="458"/>
      <c r="AY902" s="458"/>
      <c r="AZ902" s="458"/>
      <c r="BA902" s="1305"/>
      <c r="BC902" s="169"/>
    </row>
    <row r="903" spans="19:55" ht="15.75" customHeight="1">
      <c r="S903" s="454"/>
      <c r="AN903" s="458"/>
      <c r="AY903" s="458"/>
      <c r="AZ903" s="458"/>
      <c r="BA903" s="1305"/>
      <c r="BC903" s="169"/>
    </row>
    <row r="904" spans="19:55" ht="15.75" customHeight="1">
      <c r="S904" s="454"/>
      <c r="AN904" s="458"/>
      <c r="AY904" s="458"/>
      <c r="AZ904" s="458"/>
      <c r="BA904" s="1305"/>
      <c r="BC904" s="169"/>
    </row>
    <row r="905" spans="19:55" ht="15.75" customHeight="1">
      <c r="S905" s="454"/>
      <c r="AN905" s="458"/>
      <c r="AY905" s="458"/>
      <c r="AZ905" s="458"/>
      <c r="BA905" s="1305"/>
      <c r="BC905" s="169"/>
    </row>
    <row r="906" spans="19:55" ht="15.75" customHeight="1">
      <c r="S906" s="454"/>
      <c r="AN906" s="458"/>
      <c r="AY906" s="458"/>
      <c r="AZ906" s="458"/>
      <c r="BA906" s="1305"/>
      <c r="BC906" s="169"/>
    </row>
    <row r="907" spans="19:55" ht="15.75" customHeight="1">
      <c r="S907" s="454"/>
      <c r="AN907" s="458"/>
      <c r="AY907" s="458"/>
      <c r="AZ907" s="458"/>
      <c r="BA907" s="1305"/>
      <c r="BC907" s="169"/>
    </row>
    <row r="908" spans="19:55" ht="15.75" customHeight="1">
      <c r="S908" s="454"/>
      <c r="AN908" s="458"/>
      <c r="AY908" s="458"/>
      <c r="AZ908" s="458"/>
      <c r="BA908" s="1305"/>
      <c r="BC908" s="169"/>
    </row>
    <row r="909" spans="19:55" ht="15.75" customHeight="1">
      <c r="S909" s="454"/>
      <c r="AN909" s="458"/>
      <c r="AY909" s="458"/>
      <c r="AZ909" s="458"/>
      <c r="BA909" s="1305"/>
      <c r="BC909" s="169"/>
    </row>
    <row r="910" spans="19:55" ht="15.75" customHeight="1">
      <c r="S910" s="454"/>
      <c r="AN910" s="458"/>
      <c r="AY910" s="458"/>
      <c r="AZ910" s="458"/>
      <c r="BA910" s="1305"/>
      <c r="BC910" s="169"/>
    </row>
    <row r="911" spans="19:55" ht="15.75" customHeight="1">
      <c r="S911" s="454"/>
      <c r="AN911" s="458"/>
      <c r="AY911" s="458"/>
      <c r="AZ911" s="458"/>
      <c r="BA911" s="1305"/>
      <c r="BC911" s="169"/>
    </row>
    <row r="912" spans="19:55" ht="15.75" customHeight="1">
      <c r="S912" s="454"/>
      <c r="AN912" s="458"/>
      <c r="AY912" s="458"/>
      <c r="AZ912" s="458"/>
      <c r="BA912" s="1305"/>
      <c r="BC912" s="169"/>
    </row>
    <row r="913" spans="19:55" ht="15.75" customHeight="1">
      <c r="S913" s="454"/>
      <c r="AN913" s="458"/>
      <c r="AY913" s="458"/>
      <c r="AZ913" s="458"/>
      <c r="BA913" s="1305"/>
      <c r="BC913" s="169"/>
    </row>
    <row r="914" spans="19:55" ht="15.75" customHeight="1">
      <c r="S914" s="454"/>
      <c r="AN914" s="458"/>
      <c r="AY914" s="458"/>
      <c r="AZ914" s="458"/>
      <c r="BA914" s="1305"/>
      <c r="BC914" s="169"/>
    </row>
    <row r="915" spans="19:55" ht="15.75" customHeight="1">
      <c r="S915" s="454"/>
      <c r="AN915" s="458"/>
      <c r="AY915" s="458"/>
      <c r="AZ915" s="458"/>
      <c r="BA915" s="1305"/>
      <c r="BC915" s="169"/>
    </row>
    <row r="916" spans="19:55" ht="15.75" customHeight="1">
      <c r="S916" s="454"/>
      <c r="AN916" s="458"/>
      <c r="AY916" s="458"/>
      <c r="AZ916" s="458"/>
      <c r="BA916" s="1305"/>
      <c r="BC916" s="169"/>
    </row>
    <row r="917" spans="19:55" ht="15.75" customHeight="1">
      <c r="S917" s="454"/>
      <c r="AN917" s="458"/>
      <c r="AY917" s="458"/>
      <c r="AZ917" s="458"/>
      <c r="BA917" s="1305"/>
      <c r="BC917" s="169"/>
    </row>
    <row r="918" spans="19:55" ht="15.75" customHeight="1">
      <c r="S918" s="454"/>
      <c r="AN918" s="458"/>
      <c r="AY918" s="458"/>
      <c r="AZ918" s="458"/>
      <c r="BA918" s="1305"/>
      <c r="BC918" s="169"/>
    </row>
    <row r="919" spans="19:55" ht="15.75" customHeight="1">
      <c r="S919" s="454"/>
      <c r="AN919" s="458"/>
      <c r="AY919" s="458"/>
      <c r="AZ919" s="458"/>
      <c r="BA919" s="1305"/>
      <c r="BC919" s="169"/>
    </row>
    <row r="920" spans="19:55" ht="15.75" customHeight="1">
      <c r="S920" s="454"/>
      <c r="AN920" s="458"/>
      <c r="AY920" s="458"/>
      <c r="AZ920" s="458"/>
      <c r="BA920" s="1305"/>
      <c r="BC920" s="169"/>
    </row>
    <row r="921" spans="19:55" ht="15.75" customHeight="1">
      <c r="S921" s="454"/>
      <c r="AN921" s="458"/>
      <c r="AY921" s="458"/>
      <c r="AZ921" s="458"/>
      <c r="BA921" s="1305"/>
      <c r="BC921" s="169"/>
    </row>
    <row r="922" spans="19:55" ht="15.75" customHeight="1">
      <c r="S922" s="454"/>
      <c r="AN922" s="458"/>
      <c r="AY922" s="458"/>
      <c r="AZ922" s="458"/>
      <c r="BA922" s="1305"/>
      <c r="BC922" s="169"/>
    </row>
    <row r="923" spans="19:55" ht="15.75" customHeight="1">
      <c r="S923" s="454"/>
      <c r="AN923" s="458"/>
      <c r="AY923" s="458"/>
      <c r="AZ923" s="458"/>
      <c r="BA923" s="1305"/>
      <c r="BC923" s="169"/>
    </row>
    <row r="924" spans="19:55" ht="15.75" customHeight="1">
      <c r="S924" s="454"/>
      <c r="AN924" s="458"/>
      <c r="AY924" s="458"/>
      <c r="AZ924" s="458"/>
      <c r="BA924" s="1305"/>
      <c r="BC924" s="169"/>
    </row>
    <row r="925" spans="19:55" ht="15.75" customHeight="1">
      <c r="S925" s="454"/>
      <c r="AN925" s="458"/>
      <c r="AY925" s="458"/>
      <c r="AZ925" s="458"/>
      <c r="BA925" s="1305"/>
      <c r="BC925" s="169"/>
    </row>
    <row r="926" spans="19:55" ht="15.75" customHeight="1">
      <c r="S926" s="454"/>
      <c r="AN926" s="458"/>
      <c r="AY926" s="458"/>
      <c r="AZ926" s="458"/>
      <c r="BA926" s="1305"/>
      <c r="BC926" s="169"/>
    </row>
    <row r="927" spans="19:55" ht="15.75" customHeight="1">
      <c r="S927" s="454"/>
      <c r="AN927" s="458"/>
      <c r="AY927" s="458"/>
      <c r="AZ927" s="458"/>
      <c r="BA927" s="1305"/>
      <c r="BC927" s="169"/>
    </row>
    <row r="928" spans="19:55" ht="15.75" customHeight="1">
      <c r="S928" s="454"/>
      <c r="AN928" s="458"/>
      <c r="AY928" s="458"/>
      <c r="AZ928" s="458"/>
      <c r="BA928" s="1305"/>
      <c r="BC928" s="169"/>
    </row>
    <row r="929" spans="19:55" ht="15.75" customHeight="1">
      <c r="S929" s="454"/>
      <c r="AN929" s="458"/>
      <c r="AY929" s="458"/>
      <c r="AZ929" s="458"/>
      <c r="BA929" s="1305"/>
      <c r="BC929" s="169"/>
    </row>
    <row r="930" spans="19:55" ht="15.75" customHeight="1">
      <c r="S930" s="454"/>
      <c r="AN930" s="458"/>
      <c r="AY930" s="458"/>
      <c r="AZ930" s="458"/>
      <c r="BA930" s="1305"/>
      <c r="BC930" s="169"/>
    </row>
    <row r="931" spans="19:55" ht="15.75" customHeight="1">
      <c r="S931" s="454"/>
      <c r="AN931" s="458"/>
      <c r="AY931" s="458"/>
      <c r="AZ931" s="458"/>
      <c r="BA931" s="1305"/>
      <c r="BC931" s="169"/>
    </row>
    <row r="932" spans="19:55" ht="15.75" customHeight="1">
      <c r="S932" s="454"/>
      <c r="AN932" s="458"/>
      <c r="AY932" s="458"/>
      <c r="AZ932" s="458"/>
      <c r="BA932" s="1305"/>
      <c r="BC932" s="169"/>
    </row>
    <row r="933" spans="19:55" ht="15.75" customHeight="1">
      <c r="S933" s="454"/>
      <c r="AN933" s="458"/>
      <c r="AY933" s="458"/>
      <c r="AZ933" s="458"/>
      <c r="BA933" s="1305"/>
      <c r="BC933" s="169"/>
    </row>
    <row r="934" spans="19:55" ht="15.75" customHeight="1">
      <c r="S934" s="454"/>
      <c r="AN934" s="458"/>
      <c r="AY934" s="458"/>
      <c r="AZ934" s="458"/>
      <c r="BA934" s="1305"/>
      <c r="BC934" s="169"/>
    </row>
    <row r="935" spans="19:55" ht="15.75" customHeight="1">
      <c r="S935" s="454"/>
      <c r="AN935" s="458"/>
      <c r="AY935" s="458"/>
      <c r="AZ935" s="458"/>
      <c r="BA935" s="1305"/>
      <c r="BC935" s="169"/>
    </row>
    <row r="936" spans="19:55" ht="15.75" customHeight="1">
      <c r="S936" s="454"/>
      <c r="AN936" s="458"/>
      <c r="AY936" s="458"/>
      <c r="AZ936" s="458"/>
      <c r="BA936" s="1305"/>
      <c r="BC936" s="169"/>
    </row>
    <row r="937" spans="19:55" ht="15.75" customHeight="1">
      <c r="S937" s="454"/>
      <c r="AN937" s="458"/>
      <c r="AY937" s="458"/>
      <c r="AZ937" s="458"/>
      <c r="BA937" s="1305"/>
      <c r="BC937" s="169"/>
    </row>
    <row r="938" spans="19:55" ht="15.75" customHeight="1">
      <c r="S938" s="454"/>
      <c r="AN938" s="458"/>
      <c r="AY938" s="458"/>
      <c r="AZ938" s="458"/>
      <c r="BA938" s="1305"/>
      <c r="BC938" s="169"/>
    </row>
    <row r="939" spans="19:55" ht="15.75" customHeight="1">
      <c r="S939" s="454"/>
      <c r="AN939" s="458"/>
      <c r="AY939" s="458"/>
      <c r="AZ939" s="458"/>
      <c r="BA939" s="1305"/>
      <c r="BC939" s="169"/>
    </row>
    <row r="940" spans="19:55" ht="15.75" customHeight="1">
      <c r="S940" s="454"/>
      <c r="AN940" s="458"/>
      <c r="AY940" s="458"/>
      <c r="AZ940" s="458"/>
      <c r="BA940" s="1305"/>
      <c r="BC940" s="169"/>
    </row>
    <row r="941" spans="19:55" ht="15.75" customHeight="1">
      <c r="S941" s="454"/>
      <c r="AN941" s="458"/>
      <c r="AY941" s="458"/>
      <c r="AZ941" s="458"/>
      <c r="BA941" s="1305"/>
      <c r="BC941" s="169"/>
    </row>
    <row r="942" spans="19:55" ht="15.75" customHeight="1">
      <c r="S942" s="454"/>
      <c r="AN942" s="458"/>
      <c r="AY942" s="458"/>
      <c r="AZ942" s="458"/>
      <c r="BA942" s="1305"/>
      <c r="BC942" s="169"/>
    </row>
    <row r="943" spans="19:55" ht="15.75" customHeight="1">
      <c r="S943" s="454"/>
      <c r="AN943" s="458"/>
      <c r="AY943" s="458"/>
      <c r="AZ943" s="458"/>
      <c r="BA943" s="1305"/>
      <c r="BC943" s="169"/>
    </row>
    <row r="944" spans="19:55" ht="15.75" customHeight="1">
      <c r="S944" s="454"/>
      <c r="AN944" s="458"/>
      <c r="AY944" s="458"/>
      <c r="AZ944" s="458"/>
      <c r="BA944" s="1305"/>
      <c r="BC944" s="169"/>
    </row>
    <row r="945" spans="19:55" ht="15.75" customHeight="1">
      <c r="S945" s="454"/>
      <c r="AN945" s="458"/>
      <c r="AY945" s="458"/>
      <c r="AZ945" s="458"/>
      <c r="BA945" s="1305"/>
      <c r="BC945" s="169"/>
    </row>
    <row r="946" spans="19:55" ht="15.75" customHeight="1">
      <c r="S946" s="454"/>
      <c r="AN946" s="458"/>
      <c r="AY946" s="458"/>
      <c r="AZ946" s="458"/>
      <c r="BA946" s="1305"/>
      <c r="BC946" s="169"/>
    </row>
    <row r="947" spans="19:55" ht="15.75" customHeight="1">
      <c r="S947" s="454"/>
      <c r="AN947" s="458"/>
      <c r="AY947" s="458"/>
      <c r="AZ947" s="458"/>
      <c r="BA947" s="1305"/>
      <c r="BC947" s="169"/>
    </row>
    <row r="948" spans="19:55" ht="15.75" customHeight="1">
      <c r="S948" s="454"/>
      <c r="AN948" s="458"/>
      <c r="AY948" s="458"/>
      <c r="AZ948" s="458"/>
      <c r="BA948" s="1305"/>
      <c r="BC948" s="169"/>
    </row>
    <row r="949" spans="19:55" ht="15.75" customHeight="1">
      <c r="S949" s="454"/>
      <c r="AN949" s="458"/>
      <c r="AY949" s="458"/>
      <c r="AZ949" s="458"/>
      <c r="BA949" s="1305"/>
      <c r="BC949" s="169"/>
    </row>
    <row r="950" spans="19:55" ht="15.75" customHeight="1">
      <c r="S950" s="454"/>
      <c r="AN950" s="458"/>
      <c r="AY950" s="458"/>
      <c r="AZ950" s="458"/>
      <c r="BA950" s="1305"/>
      <c r="BC950" s="169"/>
    </row>
    <row r="951" spans="19:55" ht="15.75" customHeight="1">
      <c r="S951" s="454"/>
      <c r="AN951" s="458"/>
      <c r="AY951" s="458"/>
      <c r="AZ951" s="458"/>
      <c r="BA951" s="1305"/>
      <c r="BC951" s="169"/>
    </row>
    <row r="952" spans="19:55" ht="15.75" customHeight="1">
      <c r="S952" s="454"/>
      <c r="AN952" s="458"/>
      <c r="AY952" s="458"/>
      <c r="AZ952" s="458"/>
      <c r="BA952" s="1305"/>
      <c r="BC952" s="169"/>
    </row>
    <row r="953" spans="19:55" ht="15.75" customHeight="1">
      <c r="S953" s="454"/>
      <c r="AN953" s="458"/>
      <c r="AY953" s="458"/>
      <c r="AZ953" s="458"/>
      <c r="BA953" s="1305"/>
      <c r="BC953" s="169"/>
    </row>
    <row r="954" spans="19:55" ht="15.75" customHeight="1">
      <c r="S954" s="454"/>
      <c r="AN954" s="458"/>
      <c r="AY954" s="458"/>
      <c r="AZ954" s="458"/>
      <c r="BA954" s="1305"/>
      <c r="BC954" s="169"/>
    </row>
    <row r="955" spans="19:55" ht="15.75" customHeight="1">
      <c r="S955" s="454"/>
      <c r="AN955" s="458"/>
      <c r="AY955" s="458"/>
      <c r="AZ955" s="458"/>
      <c r="BA955" s="1305"/>
      <c r="BC955" s="169"/>
    </row>
    <row r="956" spans="19:55" ht="15.75" customHeight="1">
      <c r="S956" s="454"/>
      <c r="AN956" s="458"/>
      <c r="AY956" s="458"/>
      <c r="AZ956" s="458"/>
      <c r="BA956" s="1305"/>
      <c r="BC956" s="169"/>
    </row>
    <row r="957" spans="19:55" ht="15.75" customHeight="1">
      <c r="S957" s="454"/>
      <c r="AN957" s="458"/>
      <c r="AY957" s="458"/>
      <c r="AZ957" s="458"/>
      <c r="BA957" s="1305"/>
      <c r="BC957" s="169"/>
    </row>
    <row r="958" spans="19:55" ht="15.75" customHeight="1">
      <c r="S958" s="454"/>
      <c r="AN958" s="458"/>
      <c r="AY958" s="458"/>
      <c r="AZ958" s="458"/>
      <c r="BA958" s="1305"/>
      <c r="BC958" s="169"/>
    </row>
    <row r="959" spans="19:55" ht="15.75" customHeight="1">
      <c r="S959" s="454"/>
      <c r="AN959" s="458"/>
      <c r="AY959" s="458"/>
      <c r="AZ959" s="458"/>
      <c r="BA959" s="1305"/>
      <c r="BC959" s="169"/>
    </row>
    <row r="960" spans="19:55" ht="15.75" customHeight="1">
      <c r="S960" s="454"/>
      <c r="AN960" s="458"/>
      <c r="AY960" s="458"/>
      <c r="AZ960" s="458"/>
      <c r="BA960" s="1305"/>
      <c r="BC960" s="169"/>
    </row>
    <row r="961" spans="19:55" ht="15.75" customHeight="1">
      <c r="S961" s="454"/>
      <c r="AN961" s="458"/>
      <c r="AY961" s="458"/>
      <c r="AZ961" s="458"/>
      <c r="BA961" s="1305"/>
      <c r="BC961" s="169"/>
    </row>
    <row r="962" spans="19:55" ht="15.75" customHeight="1">
      <c r="S962" s="454"/>
      <c r="AN962" s="458"/>
      <c r="AY962" s="458"/>
      <c r="AZ962" s="458"/>
      <c r="BA962" s="1305"/>
      <c r="BC962" s="169"/>
    </row>
    <row r="963" spans="19:55" ht="15.75" customHeight="1">
      <c r="S963" s="454"/>
      <c r="AN963" s="458"/>
      <c r="AY963" s="458"/>
      <c r="AZ963" s="458"/>
      <c r="BA963" s="1305"/>
      <c r="BC963" s="169"/>
    </row>
    <row r="964" spans="19:55" ht="15.75" customHeight="1">
      <c r="S964" s="454"/>
      <c r="AN964" s="458"/>
      <c r="AY964" s="458"/>
      <c r="AZ964" s="458"/>
      <c r="BA964" s="1305"/>
      <c r="BC964" s="169"/>
    </row>
    <row r="965" spans="19:55" ht="15.75" customHeight="1">
      <c r="S965" s="454"/>
      <c r="AN965" s="458"/>
      <c r="AY965" s="458"/>
      <c r="AZ965" s="458"/>
      <c r="BA965" s="1305"/>
      <c r="BC965" s="169"/>
    </row>
    <row r="966" spans="19:55" ht="15.75" customHeight="1">
      <c r="S966" s="454"/>
      <c r="AN966" s="458"/>
      <c r="AY966" s="458"/>
      <c r="AZ966" s="458"/>
      <c r="BA966" s="1305"/>
      <c r="BC966" s="169"/>
    </row>
    <row r="967" spans="19:55" ht="15.75" customHeight="1">
      <c r="S967" s="454"/>
      <c r="AN967" s="458"/>
      <c r="AY967" s="458"/>
      <c r="AZ967" s="458"/>
      <c r="BA967" s="1305"/>
      <c r="BC967" s="169"/>
    </row>
    <row r="968" spans="19:55" ht="15.75" customHeight="1">
      <c r="S968" s="454"/>
      <c r="AN968" s="458"/>
      <c r="AY968" s="458"/>
      <c r="AZ968" s="458"/>
      <c r="BA968" s="1305"/>
      <c r="BC968" s="169"/>
    </row>
    <row r="969" spans="19:55" ht="15.75" customHeight="1">
      <c r="S969" s="454"/>
      <c r="AN969" s="458"/>
      <c r="AY969" s="458"/>
      <c r="AZ969" s="458"/>
      <c r="BA969" s="1305"/>
      <c r="BC969" s="169"/>
    </row>
    <row r="970" spans="19:55" ht="15.75" customHeight="1">
      <c r="S970" s="454"/>
      <c r="AN970" s="458"/>
      <c r="AY970" s="458"/>
      <c r="AZ970" s="458"/>
      <c r="BA970" s="1305"/>
      <c r="BC970" s="169"/>
    </row>
    <row r="971" spans="19:55" ht="15.75" customHeight="1">
      <c r="S971" s="454"/>
      <c r="AN971" s="458"/>
      <c r="AY971" s="458"/>
      <c r="AZ971" s="458"/>
      <c r="BA971" s="1305"/>
      <c r="BC971" s="169"/>
    </row>
    <row r="972" spans="19:55" ht="15.75" customHeight="1">
      <c r="S972" s="454"/>
      <c r="AN972" s="458"/>
      <c r="AY972" s="458"/>
      <c r="AZ972" s="458"/>
      <c r="BA972" s="1305"/>
      <c r="BC972" s="169"/>
    </row>
    <row r="973" spans="19:55" ht="15.75" customHeight="1">
      <c r="S973" s="454"/>
      <c r="AN973" s="458"/>
      <c r="AY973" s="458"/>
      <c r="AZ973" s="458"/>
      <c r="BA973" s="1305"/>
      <c r="BC973" s="169"/>
    </row>
    <row r="974" spans="19:55" ht="15.75" customHeight="1">
      <c r="S974" s="454"/>
      <c r="AN974" s="458"/>
      <c r="AY974" s="458"/>
      <c r="AZ974" s="458"/>
      <c r="BA974" s="1305"/>
      <c r="BC974" s="169"/>
    </row>
    <row r="975" spans="19:55" ht="15.75" customHeight="1">
      <c r="S975" s="454"/>
      <c r="AN975" s="458"/>
      <c r="AY975" s="458"/>
      <c r="AZ975" s="458"/>
      <c r="BA975" s="1305"/>
      <c r="BC975" s="169"/>
    </row>
    <row r="976" spans="19:55" ht="15.75" customHeight="1">
      <c r="S976" s="454"/>
      <c r="AN976" s="458"/>
      <c r="AY976" s="458"/>
      <c r="AZ976" s="458"/>
      <c r="BA976" s="1305"/>
      <c r="BC976" s="169"/>
    </row>
    <row r="977" spans="19:55" ht="15.75" customHeight="1">
      <c r="S977" s="454"/>
      <c r="AN977" s="458"/>
      <c r="AY977" s="458"/>
      <c r="AZ977" s="458"/>
      <c r="BA977" s="1305"/>
      <c r="BC977" s="169"/>
    </row>
    <row r="978" spans="19:55" ht="15.75" customHeight="1">
      <c r="S978" s="454"/>
      <c r="AN978" s="458"/>
      <c r="AY978" s="458"/>
      <c r="AZ978" s="458"/>
      <c r="BA978" s="1305"/>
      <c r="BC978" s="169"/>
    </row>
    <row r="979" spans="19:55" ht="15.75" customHeight="1">
      <c r="S979" s="454"/>
      <c r="AN979" s="458"/>
      <c r="AY979" s="458"/>
      <c r="AZ979" s="458"/>
      <c r="BA979" s="1305"/>
      <c r="BC979" s="169"/>
    </row>
    <row r="980" spans="19:55" ht="15.75" customHeight="1">
      <c r="S980" s="454"/>
      <c r="AN980" s="458"/>
      <c r="AY980" s="458"/>
      <c r="AZ980" s="458"/>
      <c r="BA980" s="1305"/>
      <c r="BC980" s="169"/>
    </row>
    <row r="981" spans="19:55" ht="15.75" customHeight="1">
      <c r="S981" s="454"/>
      <c r="AN981" s="458"/>
      <c r="AY981" s="458"/>
      <c r="AZ981" s="458"/>
      <c r="BA981" s="1305"/>
      <c r="BC981" s="169"/>
    </row>
    <row r="982" spans="19:55" ht="15.75" customHeight="1">
      <c r="S982" s="454"/>
      <c r="AN982" s="458"/>
      <c r="AY982" s="458"/>
      <c r="AZ982" s="458"/>
      <c r="BA982" s="1305"/>
      <c r="BC982" s="169"/>
    </row>
    <row r="983" spans="19:55" ht="15.75" customHeight="1">
      <c r="S983" s="454"/>
      <c r="AN983" s="458"/>
      <c r="AY983" s="458"/>
      <c r="AZ983" s="458"/>
      <c r="BA983" s="1305"/>
      <c r="BC983" s="169"/>
    </row>
    <row r="984" spans="19:55" ht="15.75" customHeight="1">
      <c r="S984" s="454"/>
      <c r="AN984" s="458"/>
      <c r="AY984" s="458"/>
      <c r="AZ984" s="458"/>
      <c r="BA984" s="1305"/>
      <c r="BC984" s="169"/>
    </row>
    <row r="985" spans="19:55" ht="15.75" customHeight="1">
      <c r="S985" s="454"/>
      <c r="AN985" s="458"/>
      <c r="AY985" s="458"/>
      <c r="AZ985" s="458"/>
      <c r="BA985" s="1305"/>
      <c r="BC985" s="169"/>
    </row>
    <row r="986" spans="19:55" ht="15.75" customHeight="1">
      <c r="S986" s="454"/>
      <c r="AN986" s="458"/>
      <c r="AY986" s="458"/>
      <c r="AZ986" s="458"/>
      <c r="BA986" s="1305"/>
      <c r="BC986" s="169"/>
    </row>
    <row r="987" spans="19:55" ht="15.75" customHeight="1">
      <c r="S987" s="454"/>
      <c r="AN987" s="458"/>
      <c r="AY987" s="458"/>
      <c r="AZ987" s="458"/>
      <c r="BA987" s="1305"/>
      <c r="BC987" s="169"/>
    </row>
    <row r="988" spans="19:55" ht="15.75" customHeight="1">
      <c r="S988" s="454"/>
      <c r="AN988" s="458"/>
      <c r="AY988" s="458"/>
      <c r="AZ988" s="458"/>
      <c r="BA988" s="1305"/>
      <c r="BC988" s="169"/>
    </row>
    <row r="989" spans="19:55" ht="15.75" customHeight="1">
      <c r="S989" s="454"/>
      <c r="AN989" s="458"/>
      <c r="AY989" s="458"/>
      <c r="AZ989" s="458"/>
      <c r="BA989" s="1305"/>
      <c r="BC989" s="169"/>
    </row>
    <row r="990" spans="19:55" ht="15.75" customHeight="1">
      <c r="S990" s="454"/>
      <c r="AN990" s="458"/>
      <c r="AY990" s="458"/>
      <c r="AZ990" s="458"/>
      <c r="BA990" s="1305"/>
      <c r="BC990" s="169"/>
    </row>
    <row r="991" spans="19:55" ht="15.75" customHeight="1">
      <c r="S991" s="454"/>
      <c r="AN991" s="458"/>
      <c r="AY991" s="458"/>
      <c r="AZ991" s="458"/>
      <c r="BA991" s="1305"/>
      <c r="BC991" s="169"/>
    </row>
    <row r="992" spans="19:55" ht="15.75" customHeight="1">
      <c r="S992" s="454"/>
      <c r="AN992" s="458"/>
      <c r="AY992" s="458"/>
      <c r="AZ992" s="458"/>
      <c r="BA992" s="1305"/>
      <c r="BC992" s="169"/>
    </row>
    <row r="993" spans="19:55" ht="15.75" customHeight="1">
      <c r="S993" s="454"/>
      <c r="AN993" s="458"/>
      <c r="AY993" s="458"/>
      <c r="AZ993" s="458"/>
      <c r="BA993" s="1305"/>
      <c r="BC993" s="169"/>
    </row>
    <row r="994" spans="19:55" ht="15.75" customHeight="1">
      <c r="S994" s="454"/>
      <c r="AN994" s="458"/>
      <c r="AY994" s="458"/>
      <c r="AZ994" s="458"/>
      <c r="BA994" s="1305"/>
      <c r="BC994" s="169"/>
    </row>
    <row r="995" spans="19:55" ht="15.75" customHeight="1">
      <c r="S995" s="454"/>
      <c r="AN995" s="458"/>
      <c r="AY995" s="458"/>
      <c r="AZ995" s="458"/>
      <c r="BA995" s="1305"/>
      <c r="BC995" s="169"/>
    </row>
    <row r="996" spans="19:55" ht="15.75" customHeight="1">
      <c r="S996" s="454"/>
      <c r="AN996" s="458"/>
      <c r="AY996" s="458"/>
      <c r="AZ996" s="458"/>
      <c r="BA996" s="1305"/>
      <c r="BC996" s="169"/>
    </row>
    <row r="997" spans="19:55" ht="15.75" customHeight="1">
      <c r="S997" s="454"/>
      <c r="AN997" s="458"/>
      <c r="AY997" s="458"/>
      <c r="AZ997" s="458"/>
      <c r="BA997" s="1305"/>
      <c r="BC997" s="169"/>
    </row>
    <row r="998" spans="19:55" ht="15.75" customHeight="1">
      <c r="S998" s="454"/>
      <c r="AN998" s="458"/>
      <c r="AY998" s="458"/>
      <c r="AZ998" s="458"/>
      <c r="BA998" s="1305"/>
      <c r="BC998" s="169"/>
    </row>
    <row r="999" spans="19:55" ht="15.75" customHeight="1">
      <c r="S999" s="454"/>
      <c r="AN999" s="458"/>
      <c r="AY999" s="458"/>
      <c r="AZ999" s="458"/>
      <c r="BA999" s="1305"/>
      <c r="BC999" s="169"/>
    </row>
    <row r="1000" spans="19:55" ht="15.75" customHeight="1">
      <c r="S1000" s="454"/>
      <c r="AN1000" s="458"/>
      <c r="AY1000" s="458"/>
      <c r="AZ1000" s="458"/>
      <c r="BA1000" s="1305"/>
      <c r="BC1000" s="169"/>
    </row>
    <row r="1001" spans="19:55" ht="15.75" customHeight="1">
      <c r="S1001" s="454"/>
      <c r="AN1001" s="458"/>
      <c r="AY1001" s="458"/>
      <c r="AZ1001" s="458"/>
      <c r="BA1001" s="1305"/>
      <c r="BC1001" s="169"/>
    </row>
    <row r="1002" spans="19:55" ht="15.75" customHeight="1">
      <c r="S1002" s="454"/>
      <c r="AN1002" s="458"/>
      <c r="AY1002" s="458"/>
      <c r="AZ1002" s="458"/>
      <c r="BA1002" s="1305"/>
      <c r="BC1002" s="169"/>
    </row>
    <row r="1003" spans="19:55" ht="15.75" customHeight="1">
      <c r="S1003" s="454"/>
      <c r="AN1003" s="458"/>
      <c r="AY1003" s="458"/>
      <c r="AZ1003" s="458"/>
      <c r="BA1003" s="1305"/>
      <c r="BC1003" s="169"/>
    </row>
    <row r="1004" spans="19:55" ht="15.75" customHeight="1">
      <c r="S1004" s="454"/>
      <c r="AN1004" s="458"/>
      <c r="AY1004" s="458"/>
      <c r="AZ1004" s="458"/>
      <c r="BA1004" s="1305"/>
      <c r="BC1004" s="169"/>
    </row>
    <row r="1005" spans="19:55" ht="15.75" customHeight="1">
      <c r="S1005" s="454"/>
      <c r="AN1005" s="458"/>
      <c r="AY1005" s="458"/>
      <c r="AZ1005" s="458"/>
      <c r="BA1005" s="1305"/>
      <c r="BC1005" s="169"/>
    </row>
    <row r="1006" spans="19:55" ht="15.75" customHeight="1">
      <c r="S1006" s="454"/>
      <c r="AN1006" s="458"/>
      <c r="AY1006" s="458"/>
      <c r="AZ1006" s="458"/>
      <c r="BA1006" s="1305"/>
      <c r="BC1006" s="169"/>
    </row>
    <row r="1007" spans="19:55" ht="15.75" customHeight="1">
      <c r="S1007" s="454"/>
      <c r="AN1007" s="458"/>
      <c r="AY1007" s="458"/>
      <c r="AZ1007" s="458"/>
      <c r="BA1007" s="1305"/>
      <c r="BC1007" s="169"/>
    </row>
    <row r="1008" spans="19:55" ht="15.75" customHeight="1">
      <c r="S1008" s="454"/>
      <c r="AN1008" s="458"/>
      <c r="AY1008" s="458"/>
      <c r="AZ1008" s="458"/>
      <c r="BA1008" s="1305"/>
      <c r="BC1008" s="169"/>
    </row>
    <row r="1009" spans="19:55" ht="15.75" customHeight="1">
      <c r="S1009" s="454"/>
      <c r="AN1009" s="458"/>
      <c r="AY1009" s="458"/>
      <c r="AZ1009" s="458"/>
      <c r="BA1009" s="1305"/>
      <c r="BC1009" s="169"/>
    </row>
    <row r="1010" spans="19:55" ht="15.75" customHeight="1">
      <c r="S1010" s="454"/>
      <c r="AN1010" s="458"/>
      <c r="AY1010" s="458"/>
      <c r="AZ1010" s="458"/>
      <c r="BA1010" s="1305"/>
      <c r="BC1010" s="169"/>
    </row>
    <row r="1011" spans="19:55" ht="15.75" customHeight="1">
      <c r="S1011" s="454"/>
      <c r="AN1011" s="458"/>
      <c r="AY1011" s="458"/>
      <c r="AZ1011" s="458"/>
      <c r="BA1011" s="1305"/>
      <c r="BC1011" s="169"/>
    </row>
    <row r="1012" spans="19:55" ht="15.75" customHeight="1">
      <c r="S1012" s="454"/>
      <c r="AN1012" s="458"/>
      <c r="AY1012" s="458"/>
      <c r="AZ1012" s="458"/>
      <c r="BA1012" s="1305"/>
      <c r="BC1012" s="169"/>
    </row>
    <row r="1013" spans="19:55" ht="15.75" customHeight="1">
      <c r="S1013" s="454"/>
      <c r="AN1013" s="458"/>
      <c r="AY1013" s="458"/>
      <c r="AZ1013" s="458"/>
      <c r="BA1013" s="1305"/>
      <c r="BC1013" s="169"/>
    </row>
    <row r="1014" spans="19:55" ht="15.75" customHeight="1">
      <c r="S1014" s="454"/>
      <c r="AN1014" s="458"/>
      <c r="AY1014" s="458"/>
      <c r="AZ1014" s="458"/>
      <c r="BA1014" s="1305"/>
      <c r="BC1014" s="169"/>
    </row>
    <row r="1015" spans="19:55" ht="15.75" customHeight="1">
      <c r="S1015" s="454"/>
      <c r="AN1015" s="458"/>
      <c r="AY1015" s="458"/>
      <c r="AZ1015" s="458"/>
      <c r="BA1015" s="1305"/>
      <c r="BC1015" s="169"/>
    </row>
    <row r="1016" spans="19:55" ht="15.75" customHeight="1">
      <c r="S1016" s="454"/>
      <c r="AN1016" s="458"/>
      <c r="AY1016" s="458"/>
      <c r="AZ1016" s="458"/>
      <c r="BA1016" s="1305"/>
      <c r="BC1016" s="169"/>
    </row>
    <row r="1017" spans="19:55" ht="15.75" customHeight="1">
      <c r="S1017" s="454"/>
      <c r="AN1017" s="458"/>
      <c r="AY1017" s="458"/>
      <c r="AZ1017" s="458"/>
      <c r="BA1017" s="1305"/>
      <c r="BC1017" s="169"/>
    </row>
    <row r="1018" spans="19:55" ht="15.75" customHeight="1">
      <c r="S1018" s="454"/>
      <c r="AN1018" s="458"/>
      <c r="AY1018" s="458"/>
      <c r="AZ1018" s="458"/>
      <c r="BA1018" s="1305"/>
      <c r="BC1018" s="169"/>
    </row>
    <row r="1019" spans="19:55" ht="15.75" customHeight="1">
      <c r="S1019" s="454"/>
      <c r="AN1019" s="458"/>
      <c r="AY1019" s="458"/>
      <c r="AZ1019" s="458"/>
      <c r="BA1019" s="1305"/>
      <c r="BC1019" s="169"/>
    </row>
    <row r="1020" spans="19:55" ht="15.75" customHeight="1">
      <c r="S1020" s="454"/>
      <c r="AN1020" s="458"/>
      <c r="AY1020" s="458"/>
      <c r="AZ1020" s="458"/>
      <c r="BA1020" s="1305"/>
      <c r="BC1020" s="169"/>
    </row>
    <row r="1021" spans="19:55" ht="15.75" customHeight="1">
      <c r="S1021" s="454"/>
      <c r="AN1021" s="458"/>
      <c r="AY1021" s="458"/>
      <c r="AZ1021" s="458"/>
      <c r="BA1021" s="1305"/>
      <c r="BC1021" s="169"/>
    </row>
    <row r="1022" spans="19:55" ht="15.75" customHeight="1">
      <c r="S1022" s="454"/>
      <c r="AN1022" s="458"/>
      <c r="AY1022" s="458"/>
      <c r="AZ1022" s="458"/>
      <c r="BA1022" s="1305"/>
      <c r="BC1022" s="169"/>
    </row>
    <row r="1023" spans="19:55" ht="15.75" customHeight="1">
      <c r="S1023" s="454"/>
      <c r="AN1023" s="458"/>
      <c r="AY1023" s="458"/>
      <c r="AZ1023" s="458"/>
      <c r="BA1023" s="1305"/>
      <c r="BC1023" s="169"/>
    </row>
    <row r="1024" spans="19:55" ht="15.75" customHeight="1">
      <c r="S1024" s="454"/>
      <c r="AN1024" s="458"/>
      <c r="AY1024" s="458"/>
      <c r="AZ1024" s="458"/>
      <c r="BA1024" s="1305"/>
      <c r="BC1024" s="169"/>
    </row>
    <row r="1025" spans="19:55" ht="15.75" customHeight="1">
      <c r="S1025" s="454"/>
      <c r="AN1025" s="458"/>
      <c r="AY1025" s="458"/>
      <c r="AZ1025" s="458"/>
      <c r="BA1025" s="1305"/>
      <c r="BC1025" s="169"/>
    </row>
    <row r="1026" spans="19:55" ht="15.75" customHeight="1">
      <c r="S1026" s="454"/>
      <c r="AN1026" s="458"/>
      <c r="AY1026" s="458"/>
      <c r="AZ1026" s="458"/>
      <c r="BA1026" s="1305"/>
      <c r="BC1026" s="169"/>
    </row>
    <row r="1027" spans="19:55" ht="15.75" customHeight="1">
      <c r="S1027" s="454"/>
      <c r="AN1027" s="458"/>
      <c r="AY1027" s="458"/>
      <c r="AZ1027" s="458"/>
      <c r="BA1027" s="1305"/>
      <c r="BC1027" s="169"/>
    </row>
    <row r="1028" spans="19:55" ht="15.75" customHeight="1">
      <c r="S1028" s="454"/>
      <c r="AN1028" s="458"/>
      <c r="AY1028" s="458"/>
      <c r="AZ1028" s="458"/>
      <c r="BA1028" s="1305"/>
      <c r="BC1028" s="169"/>
    </row>
    <row r="1029" spans="19:55" ht="15.75" customHeight="1">
      <c r="S1029" s="454"/>
      <c r="AN1029" s="458"/>
      <c r="AY1029" s="458"/>
      <c r="AZ1029" s="458"/>
      <c r="BA1029" s="1305"/>
      <c r="BC1029" s="169"/>
    </row>
    <row r="1030" spans="19:55" ht="15.75" customHeight="1">
      <c r="S1030" s="454"/>
      <c r="AN1030" s="458"/>
      <c r="AY1030" s="458"/>
      <c r="AZ1030" s="458"/>
      <c r="BA1030" s="1305"/>
      <c r="BC1030" s="169"/>
    </row>
    <row r="1031" spans="19:55" ht="15.75" customHeight="1">
      <c r="S1031" s="454"/>
      <c r="AN1031" s="458"/>
      <c r="AY1031" s="458"/>
      <c r="AZ1031" s="458"/>
      <c r="BA1031" s="1305"/>
      <c r="BC1031" s="169"/>
    </row>
    <row r="1032" spans="19:55" ht="15.75" customHeight="1">
      <c r="S1032" s="454"/>
      <c r="AN1032" s="458"/>
      <c r="AY1032" s="458"/>
      <c r="AZ1032" s="458"/>
      <c r="BA1032" s="1305"/>
      <c r="BC1032" s="169"/>
    </row>
    <row r="1033" spans="19:55" ht="15.75" customHeight="1">
      <c r="S1033" s="454"/>
      <c r="AN1033" s="458"/>
      <c r="AY1033" s="458"/>
      <c r="AZ1033" s="458"/>
      <c r="BA1033" s="1305"/>
      <c r="BC1033" s="169"/>
    </row>
    <row r="1034" spans="19:55" ht="15.75" customHeight="1">
      <c r="S1034" s="454"/>
      <c r="AN1034" s="458"/>
      <c r="AY1034" s="458"/>
      <c r="AZ1034" s="458"/>
      <c r="BA1034" s="1305"/>
      <c r="BC1034" s="169"/>
    </row>
    <row r="1035" spans="19:55" ht="15.75" customHeight="1">
      <c r="S1035" s="454"/>
      <c r="AN1035" s="458"/>
      <c r="AY1035" s="458"/>
      <c r="AZ1035" s="458"/>
      <c r="BA1035" s="1305"/>
      <c r="BC1035" s="169"/>
    </row>
    <row r="1036" spans="19:55" ht="15.75" customHeight="1">
      <c r="S1036" s="454"/>
      <c r="AN1036" s="458"/>
      <c r="AY1036" s="458"/>
      <c r="AZ1036" s="458"/>
      <c r="BA1036" s="1305"/>
      <c r="BC1036" s="169"/>
    </row>
    <row r="1037" spans="19:55" ht="15.75" customHeight="1">
      <c r="S1037" s="454"/>
      <c r="AN1037" s="458"/>
      <c r="AY1037" s="458"/>
      <c r="AZ1037" s="458"/>
      <c r="BA1037" s="1305"/>
      <c r="BC1037" s="169"/>
    </row>
    <row r="1038" spans="19:55" ht="15.75" customHeight="1">
      <c r="S1038" s="454"/>
      <c r="AN1038" s="458"/>
      <c r="AY1038" s="458"/>
      <c r="AZ1038" s="458"/>
      <c r="BA1038" s="1305"/>
      <c r="BC1038" s="169"/>
    </row>
    <row r="1039" spans="19:55" ht="15.75" customHeight="1">
      <c r="S1039" s="454"/>
      <c r="AN1039" s="458"/>
      <c r="AY1039" s="458"/>
      <c r="AZ1039" s="458"/>
      <c r="BA1039" s="1305"/>
      <c r="BC1039" s="169"/>
    </row>
    <row r="1040" spans="19:55" ht="15.75" customHeight="1">
      <c r="S1040" s="454"/>
      <c r="AN1040" s="458"/>
      <c r="AY1040" s="458"/>
      <c r="AZ1040" s="458"/>
      <c r="BA1040" s="1305"/>
      <c r="BC1040" s="169"/>
    </row>
    <row r="1041" spans="19:55" ht="15.75" customHeight="1">
      <c r="S1041" s="454"/>
      <c r="AN1041" s="458"/>
      <c r="AY1041" s="458"/>
      <c r="AZ1041" s="458"/>
      <c r="BA1041" s="1305"/>
      <c r="BC1041" s="169"/>
    </row>
    <row r="1042" spans="19:55" ht="15.75" customHeight="1">
      <c r="S1042" s="454"/>
      <c r="AN1042" s="458"/>
      <c r="AY1042" s="458"/>
      <c r="AZ1042" s="458"/>
      <c r="BA1042" s="1305"/>
      <c r="BC1042" s="169"/>
    </row>
    <row r="1043" spans="19:55" ht="15.75" customHeight="1">
      <c r="S1043" s="454"/>
      <c r="AN1043" s="458"/>
      <c r="AY1043" s="458"/>
      <c r="AZ1043" s="458"/>
      <c r="BA1043" s="1305"/>
      <c r="BC1043" s="169"/>
    </row>
    <row r="1044" spans="19:55" ht="15.75" customHeight="1">
      <c r="S1044" s="454"/>
      <c r="AN1044" s="458"/>
      <c r="AY1044" s="458"/>
      <c r="AZ1044" s="458"/>
      <c r="BA1044" s="1305"/>
      <c r="BC1044" s="169"/>
    </row>
    <row r="1045" spans="19:55" ht="15.75" customHeight="1">
      <c r="S1045" s="454"/>
      <c r="AN1045" s="458"/>
      <c r="AY1045" s="458"/>
      <c r="AZ1045" s="458"/>
      <c r="BA1045" s="1305"/>
      <c r="BC1045" s="169"/>
    </row>
    <row r="1046" spans="19:55" ht="15.75" customHeight="1">
      <c r="S1046" s="454"/>
      <c r="AN1046" s="458"/>
      <c r="AY1046" s="458"/>
      <c r="AZ1046" s="458"/>
      <c r="BA1046" s="1305"/>
      <c r="BC1046" s="169"/>
    </row>
    <row r="1047" spans="19:55" ht="15.75" customHeight="1">
      <c r="S1047" s="454"/>
      <c r="AN1047" s="458"/>
      <c r="AY1047" s="458"/>
      <c r="AZ1047" s="458"/>
      <c r="BA1047" s="1305"/>
      <c r="BC1047" s="169"/>
    </row>
    <row r="1048" spans="19:55" ht="15.75" customHeight="1">
      <c r="S1048" s="454"/>
      <c r="AN1048" s="458"/>
      <c r="AY1048" s="458"/>
      <c r="AZ1048" s="458"/>
      <c r="BA1048" s="1305"/>
      <c r="BC1048" s="169"/>
    </row>
    <row r="1049" spans="19:55" ht="15.75" customHeight="1">
      <c r="S1049" s="454"/>
      <c r="AN1049" s="458"/>
      <c r="AY1049" s="458"/>
      <c r="AZ1049" s="458"/>
      <c r="BA1049" s="1305"/>
      <c r="BC1049" s="169"/>
    </row>
    <row r="1050" spans="19:55" ht="15.75" customHeight="1">
      <c r="S1050" s="454"/>
      <c r="AN1050" s="458"/>
      <c r="AY1050" s="458"/>
      <c r="AZ1050" s="458"/>
      <c r="BA1050" s="1305"/>
      <c r="BC1050" s="169"/>
    </row>
    <row r="1051" spans="19:55" ht="15.75" customHeight="1">
      <c r="S1051" s="454"/>
      <c r="AN1051" s="458"/>
      <c r="AY1051" s="458"/>
      <c r="AZ1051" s="458"/>
      <c r="BA1051" s="1305"/>
      <c r="BC1051" s="169"/>
    </row>
    <row r="1052" spans="19:55" ht="15.75" customHeight="1">
      <c r="S1052" s="454"/>
      <c r="AN1052" s="458"/>
      <c r="AY1052" s="458"/>
      <c r="AZ1052" s="458"/>
      <c r="BA1052" s="1305"/>
      <c r="BC1052" s="169"/>
    </row>
    <row r="1053" spans="19:55" ht="15.75" customHeight="1">
      <c r="S1053" s="454"/>
      <c r="AN1053" s="458"/>
      <c r="AY1053" s="458"/>
      <c r="AZ1053" s="458"/>
      <c r="BA1053" s="1305"/>
      <c r="BC1053" s="169"/>
    </row>
    <row r="1054" spans="19:55" ht="15.75" customHeight="1">
      <c r="S1054" s="454"/>
      <c r="AN1054" s="458"/>
      <c r="AY1054" s="458"/>
      <c r="AZ1054" s="458"/>
      <c r="BA1054" s="1305"/>
      <c r="BC1054" s="169"/>
    </row>
    <row r="1055" spans="19:55" ht="15.75" customHeight="1">
      <c r="S1055" s="454"/>
      <c r="AN1055" s="458"/>
      <c r="AY1055" s="458"/>
      <c r="AZ1055" s="458"/>
      <c r="BA1055" s="1305"/>
      <c r="BC1055" s="169"/>
    </row>
    <row r="1056" spans="19:55" ht="15.75" customHeight="1">
      <c r="S1056" s="454"/>
      <c r="AN1056" s="458"/>
      <c r="AY1056" s="458"/>
      <c r="AZ1056" s="458"/>
      <c r="BA1056" s="1305"/>
      <c r="BC1056" s="169"/>
    </row>
    <row r="1057" spans="19:55" ht="15.75" customHeight="1">
      <c r="S1057" s="454"/>
      <c r="AN1057" s="458"/>
      <c r="AY1057" s="458"/>
      <c r="AZ1057" s="458"/>
      <c r="BA1057" s="1305"/>
      <c r="BC1057" s="169"/>
    </row>
    <row r="1058" spans="19:55" ht="15.75" customHeight="1">
      <c r="S1058" s="454"/>
      <c r="AN1058" s="458"/>
      <c r="AY1058" s="458"/>
      <c r="AZ1058" s="458"/>
      <c r="BA1058" s="1305"/>
      <c r="BC1058" s="169"/>
    </row>
    <row r="1059" spans="19:55" ht="15.75" customHeight="1">
      <c r="S1059" s="454"/>
      <c r="AN1059" s="458"/>
      <c r="AY1059" s="458"/>
      <c r="AZ1059" s="458"/>
      <c r="BA1059" s="1305"/>
      <c r="BC1059" s="169"/>
    </row>
    <row r="1060" spans="19:55" ht="15.75" customHeight="1">
      <c r="S1060" s="454"/>
      <c r="AN1060" s="458"/>
      <c r="AY1060" s="458"/>
      <c r="AZ1060" s="458"/>
      <c r="BA1060" s="1305"/>
      <c r="BC1060" s="169"/>
    </row>
    <row r="1061" spans="19:55" ht="15.75" customHeight="1">
      <c r="S1061" s="454"/>
      <c r="AN1061" s="458"/>
      <c r="AY1061" s="458"/>
      <c r="AZ1061" s="458"/>
      <c r="BA1061" s="1305"/>
      <c r="BC1061" s="169"/>
    </row>
    <row r="1062" spans="19:55" ht="15.75" customHeight="1">
      <c r="S1062" s="454"/>
      <c r="AN1062" s="458"/>
      <c r="AY1062" s="458"/>
      <c r="AZ1062" s="458"/>
      <c r="BA1062" s="1305"/>
      <c r="BC1062" s="169"/>
    </row>
    <row r="1063" spans="19:55" ht="15.75" customHeight="1">
      <c r="S1063" s="454"/>
      <c r="AN1063" s="458"/>
      <c r="AY1063" s="458"/>
      <c r="AZ1063" s="458"/>
      <c r="BA1063" s="1305"/>
      <c r="BC1063" s="169"/>
    </row>
    <row r="1064" spans="19:55" ht="15.75" customHeight="1">
      <c r="S1064" s="454"/>
      <c r="AN1064" s="458"/>
      <c r="AY1064" s="458"/>
      <c r="AZ1064" s="458"/>
      <c r="BA1064" s="1305"/>
      <c r="BC1064" s="169"/>
    </row>
    <row r="1065" spans="19:55" ht="15.75" customHeight="1">
      <c r="S1065" s="454"/>
      <c r="AN1065" s="458"/>
      <c r="AY1065" s="458"/>
      <c r="AZ1065" s="458"/>
      <c r="BA1065" s="1305"/>
      <c r="BC1065" s="169"/>
    </row>
    <row r="1066" spans="19:55" ht="15.75" customHeight="1">
      <c r="S1066" s="454"/>
      <c r="AN1066" s="458"/>
      <c r="AY1066" s="458"/>
      <c r="AZ1066" s="458"/>
      <c r="BA1066" s="1305"/>
      <c r="BC1066" s="169"/>
    </row>
    <row r="1067" spans="19:55" ht="15.75" customHeight="1">
      <c r="S1067" s="454"/>
      <c r="AN1067" s="458"/>
      <c r="AY1067" s="458"/>
      <c r="AZ1067" s="458"/>
      <c r="BA1067" s="1305"/>
      <c r="BC1067" s="169"/>
    </row>
    <row r="1068" spans="19:55" ht="15.75" customHeight="1">
      <c r="S1068" s="454"/>
      <c r="AN1068" s="458"/>
      <c r="AY1068" s="458"/>
      <c r="AZ1068" s="458"/>
      <c r="BA1068" s="1305"/>
      <c r="BC1068" s="169"/>
    </row>
    <row r="1069" spans="19:55" ht="15.75" customHeight="1">
      <c r="S1069" s="454"/>
      <c r="AN1069" s="458"/>
      <c r="AY1069" s="458"/>
      <c r="AZ1069" s="458"/>
      <c r="BA1069" s="1305"/>
      <c r="BC1069" s="169"/>
    </row>
    <row r="1070" spans="19:55" ht="15.75" customHeight="1">
      <c r="S1070" s="454"/>
      <c r="AN1070" s="458"/>
      <c r="AY1070" s="458"/>
      <c r="AZ1070" s="458"/>
      <c r="BA1070" s="1305"/>
      <c r="BC1070" s="169"/>
    </row>
    <row r="1071" spans="19:55" ht="15.75" customHeight="1">
      <c r="S1071" s="454"/>
      <c r="AN1071" s="458"/>
      <c r="AY1071" s="458"/>
      <c r="AZ1071" s="458"/>
      <c r="BA1071" s="1305"/>
      <c r="BC1071" s="169"/>
    </row>
    <row r="1072" spans="19:55" ht="15.75" customHeight="1">
      <c r="S1072" s="454"/>
      <c r="AN1072" s="458"/>
      <c r="AY1072" s="458"/>
      <c r="AZ1072" s="458"/>
      <c r="BA1072" s="1305"/>
      <c r="BC1072" s="169"/>
    </row>
    <row r="1073" spans="19:55" ht="15.75" customHeight="1">
      <c r="S1073" s="454"/>
      <c r="AN1073" s="458"/>
      <c r="AY1073" s="458"/>
      <c r="AZ1073" s="458"/>
      <c r="BA1073" s="1305"/>
      <c r="BC1073" s="169"/>
    </row>
    <row r="1074" spans="19:55" ht="15.75" customHeight="1">
      <c r="S1074" s="454"/>
      <c r="AN1074" s="458"/>
      <c r="AY1074" s="458"/>
      <c r="AZ1074" s="458"/>
      <c r="BA1074" s="1305"/>
      <c r="BC1074" s="169"/>
    </row>
    <row r="1075" spans="19:55" ht="15.75" customHeight="1">
      <c r="S1075" s="454"/>
      <c r="AN1075" s="458"/>
      <c r="AY1075" s="458"/>
      <c r="AZ1075" s="458"/>
      <c r="BA1075" s="1305"/>
      <c r="BC1075" s="169"/>
    </row>
    <row r="1076" spans="19:55" ht="15.75" customHeight="1">
      <c r="S1076" s="454"/>
      <c r="AN1076" s="458"/>
      <c r="AY1076" s="458"/>
      <c r="AZ1076" s="458"/>
      <c r="BA1076" s="1305"/>
      <c r="BC1076" s="169"/>
    </row>
    <row r="1077" spans="19:55" ht="15.75" customHeight="1">
      <c r="S1077" s="454"/>
      <c r="AN1077" s="458"/>
      <c r="AY1077" s="458"/>
      <c r="AZ1077" s="458"/>
      <c r="BA1077" s="1305"/>
      <c r="BC1077" s="169"/>
    </row>
    <row r="1078" spans="19:55" ht="15.75" customHeight="1">
      <c r="S1078" s="454"/>
      <c r="AN1078" s="458"/>
      <c r="AY1078" s="458"/>
      <c r="AZ1078" s="458"/>
      <c r="BA1078" s="1305"/>
      <c r="BC1078" s="169"/>
    </row>
    <row r="1079" spans="19:55" ht="15.75" customHeight="1">
      <c r="S1079" s="454"/>
      <c r="AN1079" s="458"/>
      <c r="AY1079" s="458"/>
      <c r="AZ1079" s="458"/>
      <c r="BA1079" s="1305"/>
      <c r="BC1079" s="169"/>
    </row>
    <row r="1080" spans="19:55" ht="15.75" customHeight="1">
      <c r="S1080" s="454"/>
      <c r="AN1080" s="458"/>
      <c r="AY1080" s="458"/>
      <c r="AZ1080" s="458"/>
      <c r="BA1080" s="1305"/>
      <c r="BC1080" s="169"/>
    </row>
    <row r="1081" spans="19:55" ht="15.75" customHeight="1">
      <c r="S1081" s="454"/>
      <c r="AN1081" s="458"/>
      <c r="AY1081" s="458"/>
      <c r="AZ1081" s="458"/>
      <c r="BA1081" s="1305"/>
      <c r="BC1081" s="169"/>
    </row>
    <row r="1082" spans="19:55" ht="15.75" customHeight="1">
      <c r="S1082" s="454"/>
      <c r="AN1082" s="458"/>
      <c r="AY1082" s="458"/>
      <c r="AZ1082" s="458"/>
      <c r="BA1082" s="1305"/>
      <c r="BC1082" s="169"/>
    </row>
    <row r="1083" spans="19:55" ht="15.75" customHeight="1">
      <c r="S1083" s="454"/>
      <c r="AN1083" s="458"/>
      <c r="AY1083" s="458"/>
      <c r="AZ1083" s="458"/>
      <c r="BA1083" s="1305"/>
      <c r="BC1083" s="169"/>
    </row>
    <row r="1084" spans="19:55" ht="15.75" customHeight="1">
      <c r="S1084" s="454"/>
      <c r="AN1084" s="458"/>
      <c r="AY1084" s="458"/>
      <c r="AZ1084" s="458"/>
      <c r="BA1084" s="1305"/>
      <c r="BC1084" s="169"/>
    </row>
    <row r="1085" spans="19:55" ht="15.75" customHeight="1">
      <c r="S1085" s="454"/>
      <c r="AN1085" s="458"/>
      <c r="AY1085" s="458"/>
      <c r="AZ1085" s="458"/>
      <c r="BA1085" s="1305"/>
      <c r="BC1085" s="169"/>
    </row>
    <row r="1086" spans="19:55" ht="15.75" customHeight="1">
      <c r="S1086" s="454"/>
      <c r="AN1086" s="458"/>
      <c r="AY1086" s="458"/>
      <c r="AZ1086" s="458"/>
      <c r="BA1086" s="1305"/>
      <c r="BC1086" s="169"/>
    </row>
    <row r="1087" spans="19:55" ht="15.75" customHeight="1">
      <c r="S1087" s="454"/>
      <c r="AN1087" s="458"/>
      <c r="AY1087" s="458"/>
      <c r="AZ1087" s="458"/>
      <c r="BA1087" s="1305"/>
      <c r="BC1087" s="169"/>
    </row>
    <row r="1088" spans="19:55" ht="15.75" customHeight="1">
      <c r="S1088" s="454"/>
      <c r="AN1088" s="458"/>
      <c r="AY1088" s="458"/>
      <c r="AZ1088" s="458"/>
      <c r="BA1088" s="1305"/>
      <c r="BC1088" s="169"/>
    </row>
    <row r="1089" spans="19:55" ht="15.75" customHeight="1">
      <c r="S1089" s="454"/>
      <c r="AN1089" s="458"/>
      <c r="AY1089" s="458"/>
      <c r="AZ1089" s="458"/>
      <c r="BA1089" s="1305"/>
      <c r="BC1089" s="169"/>
    </row>
    <row r="1090" spans="19:55" ht="15.75" customHeight="1">
      <c r="S1090" s="454"/>
      <c r="AN1090" s="458"/>
      <c r="AY1090" s="458"/>
      <c r="AZ1090" s="458"/>
      <c r="BA1090" s="1305"/>
      <c r="BC1090" s="169"/>
    </row>
    <row r="1091" spans="19:55" ht="15.75" customHeight="1">
      <c r="S1091" s="454"/>
      <c r="AN1091" s="458"/>
      <c r="AY1091" s="458"/>
      <c r="AZ1091" s="458"/>
      <c r="BA1091" s="1305"/>
      <c r="BC1091" s="169"/>
    </row>
    <row r="1092" spans="19:55" ht="15.75" customHeight="1">
      <c r="S1092" s="454"/>
      <c r="AN1092" s="458"/>
      <c r="AY1092" s="458"/>
      <c r="AZ1092" s="458"/>
      <c r="BA1092" s="1305"/>
      <c r="BC1092" s="169"/>
    </row>
    <row r="1093" spans="19:55" ht="15.75" customHeight="1">
      <c r="S1093" s="454"/>
      <c r="AN1093" s="458"/>
      <c r="AY1093" s="458"/>
      <c r="AZ1093" s="458"/>
      <c r="BA1093" s="1305"/>
      <c r="BC1093" s="169"/>
    </row>
    <row r="1094" spans="19:55" ht="15.75" customHeight="1">
      <c r="S1094" s="454"/>
      <c r="AN1094" s="458"/>
      <c r="AY1094" s="458"/>
      <c r="AZ1094" s="458"/>
      <c r="BA1094" s="1266"/>
      <c r="BC1094" s="169"/>
    </row>
    <row r="1095" spans="19:55" ht="15.75" customHeight="1">
      <c r="S1095" s="454"/>
      <c r="AN1095" s="458"/>
      <c r="AY1095" s="458"/>
      <c r="AZ1095" s="458"/>
      <c r="BA1095" s="1266"/>
      <c r="BC1095" s="169"/>
    </row>
    <row r="1096" spans="19:55" ht="15.75" customHeight="1">
      <c r="S1096" s="454"/>
      <c r="AN1096" s="458"/>
      <c r="AY1096" s="458"/>
      <c r="AZ1096" s="458"/>
      <c r="BA1096" s="1266"/>
      <c r="BC1096" s="169"/>
    </row>
    <row r="1097" spans="19:55" ht="15.75" customHeight="1">
      <c r="S1097" s="454"/>
      <c r="AN1097" s="458"/>
      <c r="AY1097" s="458"/>
      <c r="AZ1097" s="458"/>
      <c r="BA1097" s="1266"/>
      <c r="BC1097" s="169"/>
    </row>
    <row r="1098" spans="19:55" ht="15.75" customHeight="1">
      <c r="S1098" s="454"/>
      <c r="AN1098" s="458"/>
      <c r="AY1098" s="458"/>
      <c r="AZ1098" s="458"/>
      <c r="BA1098" s="1266"/>
      <c r="BC1098" s="169"/>
    </row>
    <row r="1099" spans="19:55" ht="15.75" customHeight="1">
      <c r="S1099" s="454"/>
      <c r="AN1099" s="458"/>
      <c r="AY1099" s="458"/>
      <c r="AZ1099" s="458"/>
      <c r="BA1099" s="1266"/>
      <c r="BC1099" s="169"/>
    </row>
    <row r="1100" spans="19:55" ht="15.75" customHeight="1">
      <c r="S1100" s="454"/>
      <c r="AN1100" s="458"/>
      <c r="AY1100" s="458"/>
      <c r="AZ1100" s="458"/>
      <c r="BA1100" s="1266"/>
      <c r="BC1100" s="169"/>
    </row>
    <row r="1101" spans="19:55" ht="15.75" customHeight="1">
      <c r="S1101" s="454"/>
      <c r="AN1101" s="458"/>
      <c r="AY1101" s="458"/>
      <c r="AZ1101" s="458"/>
      <c r="BA1101" s="1266"/>
      <c r="BC1101" s="169"/>
    </row>
    <row r="1102" spans="19:55" ht="15.75" customHeight="1">
      <c r="S1102" s="454"/>
      <c r="AN1102" s="458"/>
      <c r="AY1102" s="458"/>
      <c r="AZ1102" s="458"/>
      <c r="BA1102" s="1266"/>
      <c r="BC1102" s="169"/>
    </row>
    <row r="1103" spans="19:55" ht="15.75" customHeight="1">
      <c r="S1103" s="454"/>
      <c r="AN1103" s="458"/>
      <c r="AY1103" s="458"/>
      <c r="AZ1103" s="458"/>
      <c r="BA1103" s="1266"/>
      <c r="BC1103" s="169"/>
    </row>
    <row r="1104" spans="19:55" ht="15.75" customHeight="1">
      <c r="S1104" s="454"/>
      <c r="AN1104" s="458"/>
      <c r="AY1104" s="458"/>
      <c r="AZ1104" s="458"/>
      <c r="BA1104" s="1266"/>
      <c r="BC1104" s="169"/>
    </row>
    <row r="1105" spans="19:55" ht="15.75" customHeight="1">
      <c r="S1105" s="454"/>
      <c r="AN1105" s="458"/>
      <c r="AY1105" s="458"/>
      <c r="AZ1105" s="458"/>
      <c r="BA1105" s="1266"/>
      <c r="BC1105" s="169"/>
    </row>
    <row r="1106" spans="19:55" ht="15.75" customHeight="1">
      <c r="S1106" s="454"/>
      <c r="AN1106" s="458"/>
      <c r="AY1106" s="458"/>
      <c r="AZ1106" s="458"/>
      <c r="BA1106" s="1266"/>
      <c r="BC1106" s="169"/>
    </row>
    <row r="1107" spans="19:55" ht="15.75" customHeight="1">
      <c r="S1107" s="454"/>
      <c r="AN1107" s="458"/>
      <c r="AY1107" s="458"/>
      <c r="AZ1107" s="458"/>
      <c r="BA1107" s="1266"/>
      <c r="BC1107" s="169"/>
    </row>
    <row r="1108" spans="19:55" ht="15.75" customHeight="1">
      <c r="S1108" s="454"/>
      <c r="AN1108" s="458"/>
      <c r="AY1108" s="458"/>
      <c r="AZ1108" s="458"/>
      <c r="BA1108" s="1266"/>
      <c r="BC1108" s="169"/>
    </row>
    <row r="1109" spans="19:55" ht="15.75" customHeight="1">
      <c r="S1109" s="454"/>
      <c r="AN1109" s="458"/>
      <c r="AY1109" s="458"/>
      <c r="AZ1109" s="458"/>
      <c r="BA1109" s="1266"/>
      <c r="BC1109" s="169"/>
    </row>
    <row r="1110" spans="19:55" ht="15.75" customHeight="1">
      <c r="S1110" s="454"/>
      <c r="AN1110" s="458"/>
      <c r="AY1110" s="458"/>
      <c r="AZ1110" s="458"/>
      <c r="BA1110" s="1266"/>
      <c r="BC1110" s="169"/>
    </row>
    <row r="1111" spans="19:55" ht="15.75" customHeight="1">
      <c r="S1111" s="454"/>
      <c r="AN1111" s="458"/>
      <c r="AY1111" s="458"/>
      <c r="AZ1111" s="458"/>
      <c r="BA1111" s="1266"/>
      <c r="BC1111" s="169"/>
    </row>
    <row r="1112" spans="19:55" ht="15.75" customHeight="1">
      <c r="S1112" s="454"/>
      <c r="AN1112" s="458"/>
      <c r="AY1112" s="458"/>
      <c r="AZ1112" s="458"/>
      <c r="BA1112" s="1266"/>
      <c r="BC1112" s="169"/>
    </row>
    <row r="1113" spans="19:55" ht="15.75" customHeight="1">
      <c r="S1113" s="454"/>
      <c r="AN1113" s="458"/>
      <c r="AY1113" s="458"/>
      <c r="AZ1113" s="458"/>
      <c r="BA1113" s="1266"/>
      <c r="BC1113" s="169"/>
    </row>
    <row r="1114" spans="19:55" ht="15.75" customHeight="1">
      <c r="S1114" s="454"/>
      <c r="AN1114" s="458"/>
      <c r="AY1114" s="458"/>
      <c r="AZ1114" s="458"/>
      <c r="BA1114" s="1266"/>
      <c r="BC1114" s="169"/>
    </row>
    <row r="1115" spans="19:55" ht="15.75" customHeight="1">
      <c r="S1115" s="454"/>
      <c r="AN1115" s="458"/>
      <c r="AY1115" s="458"/>
      <c r="AZ1115" s="458"/>
      <c r="BA1115" s="1266"/>
      <c r="BC1115" s="169"/>
    </row>
    <row r="1116" spans="19:55" ht="15.75" customHeight="1">
      <c r="S1116" s="454"/>
      <c r="AN1116" s="458"/>
      <c r="AY1116" s="458"/>
      <c r="AZ1116" s="458"/>
      <c r="BA1116" s="1266"/>
      <c r="BC1116" s="169"/>
    </row>
    <row r="1117" spans="19:55" ht="15.75" customHeight="1">
      <c r="S1117" s="454"/>
      <c r="AN1117" s="458"/>
      <c r="AY1117" s="458"/>
      <c r="AZ1117" s="458"/>
      <c r="BA1117" s="1266"/>
      <c r="BC1117" s="169"/>
    </row>
    <row r="1118" spans="19:55" ht="15.75" customHeight="1">
      <c r="S1118" s="454"/>
      <c r="AN1118" s="458"/>
      <c r="AY1118" s="458"/>
      <c r="AZ1118" s="458"/>
      <c r="BA1118" s="1266"/>
      <c r="BC1118" s="169"/>
    </row>
    <row r="1119" spans="19:55" ht="15.75" customHeight="1">
      <c r="S1119" s="454"/>
      <c r="AN1119" s="458"/>
      <c r="AY1119" s="458"/>
      <c r="AZ1119" s="458"/>
      <c r="BA1119" s="1266"/>
      <c r="BC1119" s="169"/>
    </row>
    <row r="1120" spans="19:55" ht="15.75" customHeight="1">
      <c r="S1120" s="454"/>
      <c r="AN1120" s="458"/>
      <c r="AY1120" s="458"/>
      <c r="AZ1120" s="458"/>
      <c r="BA1120" s="1266"/>
      <c r="BC1120" s="169"/>
    </row>
    <row r="1121" spans="19:55" ht="15.75" customHeight="1">
      <c r="S1121" s="454"/>
      <c r="AN1121" s="458"/>
      <c r="AY1121" s="458"/>
      <c r="AZ1121" s="458"/>
      <c r="BA1121" s="1266"/>
      <c r="BC1121" s="169"/>
    </row>
    <row r="1122" spans="19:55" ht="15.75" customHeight="1">
      <c r="S1122" s="454"/>
      <c r="AN1122" s="458"/>
      <c r="AY1122" s="458"/>
      <c r="AZ1122" s="458"/>
      <c r="BA1122" s="1266"/>
      <c r="BC1122" s="169"/>
    </row>
    <row r="1123" spans="19:55" ht="15.75" customHeight="1">
      <c r="S1123" s="454"/>
      <c r="AN1123" s="458"/>
      <c r="AY1123" s="458"/>
      <c r="AZ1123" s="458"/>
      <c r="BA1123" s="1266"/>
      <c r="BC1123" s="169"/>
    </row>
    <row r="1124" spans="19:55" ht="15.75" customHeight="1">
      <c r="S1124" s="454"/>
      <c r="AN1124" s="458"/>
      <c r="AY1124" s="458"/>
      <c r="AZ1124" s="458"/>
      <c r="BA1124" s="1266"/>
      <c r="BC1124" s="169"/>
    </row>
    <row r="1125" spans="19:55" ht="15.75" customHeight="1">
      <c r="S1125" s="454"/>
      <c r="AN1125" s="458"/>
      <c r="AY1125" s="458"/>
      <c r="AZ1125" s="458"/>
      <c r="BA1125" s="1266"/>
      <c r="BC1125" s="169"/>
    </row>
    <row r="1126" spans="19:55" ht="15.75" customHeight="1">
      <c r="S1126" s="454"/>
      <c r="AN1126" s="458"/>
      <c r="AY1126" s="458"/>
      <c r="AZ1126" s="458"/>
      <c r="BA1126" s="1266"/>
      <c r="BC1126" s="169"/>
    </row>
    <row r="1127" spans="19:55" ht="15.75" customHeight="1">
      <c r="S1127" s="454"/>
      <c r="AN1127" s="458"/>
      <c r="AY1127" s="458"/>
      <c r="AZ1127" s="458"/>
      <c r="BA1127" s="1266"/>
      <c r="BC1127" s="169"/>
    </row>
    <row r="1128" spans="19:55" ht="15.75" customHeight="1">
      <c r="S1128" s="454"/>
      <c r="AN1128" s="458"/>
      <c r="AY1128" s="458"/>
      <c r="AZ1128" s="458"/>
      <c r="BA1128" s="1266"/>
      <c r="BC1128" s="169"/>
    </row>
    <row r="1129" spans="19:55" ht="15.75" customHeight="1">
      <c r="S1129" s="454"/>
      <c r="AN1129" s="458"/>
      <c r="AY1129" s="458"/>
      <c r="AZ1129" s="458"/>
      <c r="BA1129" s="1266"/>
      <c r="BC1129" s="169"/>
    </row>
    <row r="1130" spans="19:55" ht="15.75" customHeight="1">
      <c r="S1130" s="454"/>
      <c r="AN1130" s="458"/>
      <c r="AY1130" s="458"/>
      <c r="AZ1130" s="458"/>
      <c r="BA1130" s="1266"/>
      <c r="BC1130" s="169"/>
    </row>
    <row r="1131" spans="19:55" ht="15.75" customHeight="1">
      <c r="S1131" s="454"/>
      <c r="AN1131" s="458"/>
      <c r="AY1131" s="458"/>
      <c r="AZ1131" s="458"/>
      <c r="BA1131" s="1266"/>
      <c r="BC1131" s="169"/>
    </row>
    <row r="1132" spans="19:55" ht="15.75" customHeight="1">
      <c r="S1132" s="454"/>
      <c r="AN1132" s="458"/>
      <c r="AY1132" s="458"/>
      <c r="AZ1132" s="458"/>
      <c r="BA1132" s="1266"/>
      <c r="BC1132" s="169"/>
    </row>
    <row r="1133" spans="19:55" ht="15.75" customHeight="1">
      <c r="S1133" s="454"/>
      <c r="AN1133" s="458"/>
      <c r="AY1133" s="458"/>
      <c r="AZ1133" s="458"/>
      <c r="BA1133" s="1266"/>
      <c r="BC1133" s="169"/>
    </row>
    <row r="1134" spans="19:55" ht="15.75" customHeight="1">
      <c r="S1134" s="454"/>
      <c r="AN1134" s="458"/>
      <c r="AY1134" s="458"/>
      <c r="AZ1134" s="458"/>
      <c r="BA1134" s="1266"/>
      <c r="BC1134" s="169"/>
    </row>
    <row r="1135" spans="19:55" ht="15.75" customHeight="1">
      <c r="S1135" s="454"/>
      <c r="AN1135" s="458"/>
      <c r="AY1135" s="458"/>
      <c r="AZ1135" s="458"/>
      <c r="BA1135" s="1266"/>
      <c r="BC1135" s="169"/>
    </row>
    <row r="1136" spans="19:55" ht="15.75" customHeight="1">
      <c r="S1136" s="454"/>
      <c r="AN1136" s="458"/>
      <c r="AY1136" s="458"/>
      <c r="AZ1136" s="458"/>
      <c r="BA1136" s="1266"/>
      <c r="BC1136" s="169"/>
    </row>
    <row r="1137" spans="19:55" ht="15.75" customHeight="1">
      <c r="S1137" s="454"/>
      <c r="AN1137" s="458"/>
      <c r="AY1137" s="458"/>
      <c r="AZ1137" s="458"/>
      <c r="BA1137" s="1266"/>
      <c r="BC1137" s="169"/>
    </row>
    <row r="1138" spans="19:55" ht="15.75" customHeight="1">
      <c r="S1138" s="454"/>
      <c r="AN1138" s="458"/>
      <c r="AY1138" s="458"/>
      <c r="AZ1138" s="458"/>
      <c r="BA1138" s="1266"/>
      <c r="BC1138" s="169"/>
    </row>
    <row r="1139" spans="19:55" ht="15.75" customHeight="1">
      <c r="S1139" s="454"/>
      <c r="AN1139" s="458"/>
      <c r="AY1139" s="458"/>
      <c r="AZ1139" s="458"/>
      <c r="BA1139" s="1266"/>
      <c r="BC1139" s="169"/>
    </row>
    <row r="1140" spans="19:55" ht="15.75" customHeight="1">
      <c r="S1140" s="454"/>
      <c r="AN1140" s="458"/>
      <c r="AY1140" s="458"/>
      <c r="AZ1140" s="458"/>
      <c r="BA1140" s="1266"/>
      <c r="BC1140" s="169"/>
    </row>
    <row r="1141" spans="19:55" ht="15.75" customHeight="1">
      <c r="S1141" s="454"/>
      <c r="AN1141" s="458"/>
      <c r="AY1141" s="458"/>
      <c r="AZ1141" s="458"/>
      <c r="BA1141" s="1266"/>
      <c r="BC1141" s="169"/>
    </row>
    <row r="1142" spans="19:55" ht="15.75" customHeight="1">
      <c r="S1142" s="454"/>
      <c r="AN1142" s="458"/>
      <c r="AY1142" s="458"/>
      <c r="AZ1142" s="458"/>
      <c r="BA1142" s="1266"/>
      <c r="BC1142" s="169"/>
    </row>
    <row r="1143" spans="19:55" ht="15.75" customHeight="1">
      <c r="S1143" s="454"/>
      <c r="AN1143" s="458"/>
      <c r="AY1143" s="458"/>
      <c r="AZ1143" s="458"/>
      <c r="BA1143" s="1266"/>
      <c r="BC1143" s="169"/>
    </row>
    <row r="1144" spans="19:55" ht="15.75" customHeight="1">
      <c r="S1144" s="454"/>
      <c r="AN1144" s="458"/>
      <c r="AY1144" s="458"/>
      <c r="AZ1144" s="458"/>
      <c r="BA1144" s="1266"/>
      <c r="BC1144" s="169"/>
    </row>
    <row r="1145" spans="19:55" ht="15.75" customHeight="1">
      <c r="S1145" s="454"/>
      <c r="AN1145" s="458"/>
      <c r="AY1145" s="458"/>
      <c r="AZ1145" s="458"/>
      <c r="BA1145" s="1266"/>
      <c r="BC1145" s="169"/>
    </row>
    <row r="1146" spans="19:55" ht="15.75" customHeight="1">
      <c r="S1146" s="454"/>
      <c r="AN1146" s="458"/>
      <c r="AY1146" s="458"/>
      <c r="AZ1146" s="458"/>
      <c r="BA1146" s="1266"/>
      <c r="BC1146" s="169"/>
    </row>
    <row r="1147" spans="19:55" ht="15.75" customHeight="1">
      <c r="S1147" s="454"/>
      <c r="AN1147" s="458"/>
      <c r="AY1147" s="458"/>
      <c r="AZ1147" s="458"/>
      <c r="BA1147" s="1266"/>
      <c r="BC1147" s="169"/>
    </row>
    <row r="1148" spans="19:55" ht="15.75" customHeight="1">
      <c r="S1148" s="454"/>
      <c r="AN1148" s="458"/>
      <c r="AY1148" s="458"/>
      <c r="AZ1148" s="458"/>
      <c r="BA1148" s="1266"/>
      <c r="BC1148" s="169"/>
    </row>
    <row r="1149" spans="19:55" ht="15.75" customHeight="1">
      <c r="S1149" s="454"/>
      <c r="AN1149" s="458"/>
      <c r="AY1149" s="458"/>
      <c r="AZ1149" s="458"/>
      <c r="BA1149" s="1266"/>
      <c r="BC1149" s="169"/>
    </row>
    <row r="1150" spans="19:55" ht="15.75" customHeight="1">
      <c r="S1150" s="454"/>
      <c r="AN1150" s="458"/>
      <c r="AY1150" s="458"/>
      <c r="AZ1150" s="458"/>
      <c r="BA1150" s="1266"/>
      <c r="BC1150" s="169"/>
    </row>
    <row r="1151" spans="19:55" ht="15.75" customHeight="1">
      <c r="S1151" s="454"/>
      <c r="AN1151" s="458"/>
      <c r="AY1151" s="458"/>
      <c r="AZ1151" s="458"/>
      <c r="BA1151" s="1266"/>
      <c r="BC1151" s="169"/>
    </row>
    <row r="1152" spans="19:55" ht="15.75" customHeight="1">
      <c r="S1152" s="454"/>
      <c r="AN1152" s="458"/>
      <c r="AY1152" s="458"/>
      <c r="AZ1152" s="458"/>
      <c r="BA1152" s="1266"/>
      <c r="BC1152" s="169"/>
    </row>
    <row r="1153" spans="19:55" ht="15.75" customHeight="1">
      <c r="S1153" s="454"/>
      <c r="AN1153" s="458"/>
      <c r="AY1153" s="458"/>
      <c r="AZ1153" s="458"/>
      <c r="BA1153" s="1266"/>
      <c r="BC1153" s="169"/>
    </row>
    <row r="1154" spans="19:55" ht="15.75" customHeight="1">
      <c r="S1154" s="454"/>
      <c r="AN1154" s="458"/>
      <c r="AY1154" s="458"/>
      <c r="AZ1154" s="458"/>
      <c r="BA1154" s="1266"/>
      <c r="BC1154" s="169"/>
    </row>
    <row r="1155" spans="19:55" ht="15.75" customHeight="1">
      <c r="S1155" s="454"/>
      <c r="AN1155" s="458"/>
      <c r="AY1155" s="458"/>
      <c r="AZ1155" s="458"/>
      <c r="BA1155" s="1266"/>
      <c r="BC1155" s="169"/>
    </row>
    <row r="1156" spans="19:55" ht="15.75" customHeight="1">
      <c r="S1156" s="454"/>
      <c r="AN1156" s="458"/>
      <c r="AY1156" s="458"/>
      <c r="AZ1156" s="458"/>
      <c r="BA1156" s="1266"/>
      <c r="BC1156" s="169"/>
    </row>
    <row r="1157" spans="19:55" ht="15.75" customHeight="1">
      <c r="S1157" s="454"/>
      <c r="AN1157" s="458"/>
      <c r="AY1157" s="458"/>
      <c r="AZ1157" s="458"/>
      <c r="BA1157" s="1266"/>
      <c r="BC1157" s="169"/>
    </row>
    <row r="1158" spans="19:55" ht="15.75" customHeight="1">
      <c r="S1158" s="454"/>
      <c r="AN1158" s="458"/>
      <c r="AY1158" s="458"/>
      <c r="AZ1158" s="458"/>
      <c r="BA1158" s="1266"/>
      <c r="BC1158" s="169"/>
    </row>
    <row r="1159" spans="19:55" ht="15.75" customHeight="1">
      <c r="S1159" s="454"/>
      <c r="AN1159" s="458"/>
      <c r="AY1159" s="458"/>
      <c r="AZ1159" s="458"/>
      <c r="BA1159" s="1266"/>
      <c r="BC1159" s="169"/>
    </row>
    <row r="1160" spans="19:55" ht="15.75" customHeight="1">
      <c r="S1160" s="454"/>
      <c r="AN1160" s="458"/>
      <c r="AY1160" s="458"/>
      <c r="AZ1160" s="458"/>
      <c r="BA1160" s="1266"/>
      <c r="BC1160" s="169"/>
    </row>
    <row r="1161" spans="19:55" ht="15.75" customHeight="1">
      <c r="S1161" s="454"/>
      <c r="AN1161" s="458"/>
      <c r="AY1161" s="458"/>
      <c r="AZ1161" s="458"/>
      <c r="BA1161" s="1266"/>
      <c r="BC1161" s="169"/>
    </row>
    <row r="1162" spans="19:55" ht="15.75" customHeight="1">
      <c r="S1162" s="454"/>
      <c r="AN1162" s="458"/>
      <c r="AY1162" s="458"/>
      <c r="AZ1162" s="458"/>
      <c r="BA1162" s="1266"/>
      <c r="BC1162" s="169"/>
    </row>
    <row r="1163" spans="19:55" ht="15.75" customHeight="1">
      <c r="S1163" s="454"/>
      <c r="AN1163" s="458"/>
      <c r="AY1163" s="458"/>
      <c r="AZ1163" s="458"/>
      <c r="BA1163" s="1266"/>
      <c r="BC1163" s="169"/>
    </row>
    <row r="1164" spans="19:55" ht="15.75" customHeight="1">
      <c r="S1164" s="454"/>
      <c r="AN1164" s="458"/>
      <c r="AY1164" s="458"/>
      <c r="AZ1164" s="458"/>
      <c r="BA1164" s="1266"/>
      <c r="BC1164" s="169"/>
    </row>
    <row r="1165" spans="19:55" ht="15.75" customHeight="1">
      <c r="S1165" s="454"/>
      <c r="AN1165" s="458"/>
      <c r="AY1165" s="458"/>
      <c r="AZ1165" s="458"/>
      <c r="BA1165" s="1266"/>
      <c r="BC1165" s="169"/>
    </row>
    <row r="1166" spans="19:55" ht="15.75" customHeight="1">
      <c r="S1166" s="454"/>
      <c r="AN1166" s="458"/>
      <c r="AY1166" s="458"/>
      <c r="AZ1166" s="458"/>
      <c r="BA1166" s="1266"/>
      <c r="BC1166" s="169"/>
    </row>
    <row r="1167" spans="19:55" ht="15.75" customHeight="1">
      <c r="S1167" s="454"/>
      <c r="AN1167" s="458"/>
      <c r="AY1167" s="458"/>
      <c r="AZ1167" s="458"/>
      <c r="BA1167" s="1266"/>
      <c r="BC1167" s="169"/>
    </row>
    <row r="1168" spans="19:55" ht="15.75" customHeight="1">
      <c r="S1168" s="454"/>
      <c r="AN1168" s="458"/>
      <c r="AY1168" s="458"/>
      <c r="AZ1168" s="458"/>
      <c r="BA1168" s="1266"/>
      <c r="BC1168" s="169"/>
    </row>
    <row r="1169" spans="19:55" ht="15.75" customHeight="1">
      <c r="S1169" s="454"/>
      <c r="AN1169" s="458"/>
      <c r="AY1169" s="458"/>
      <c r="AZ1169" s="458"/>
      <c r="BA1169" s="1266"/>
      <c r="BC1169" s="169"/>
    </row>
    <row r="1170" spans="19:55" ht="15.75" customHeight="1">
      <c r="S1170" s="454"/>
      <c r="AN1170" s="458"/>
      <c r="AY1170" s="458"/>
      <c r="AZ1170" s="458"/>
      <c r="BA1170" s="1266"/>
      <c r="BC1170" s="169"/>
    </row>
    <row r="1171" spans="19:55" ht="15.75" customHeight="1">
      <c r="S1171" s="454"/>
      <c r="AN1171" s="458"/>
      <c r="AY1171" s="458"/>
      <c r="AZ1171" s="458"/>
      <c r="BA1171" s="1266"/>
      <c r="BC1171" s="169"/>
    </row>
    <row r="1172" spans="19:55" ht="15.75" customHeight="1">
      <c r="S1172" s="454"/>
      <c r="AN1172" s="458"/>
      <c r="AY1172" s="458"/>
      <c r="AZ1172" s="458"/>
      <c r="BA1172" s="1266"/>
      <c r="BC1172" s="169"/>
    </row>
    <row r="1173" spans="19:55" ht="15.75" customHeight="1">
      <c r="S1173" s="454"/>
      <c r="AN1173" s="458"/>
      <c r="AY1173" s="458"/>
      <c r="AZ1173" s="458"/>
      <c r="BA1173" s="1266"/>
      <c r="BC1173" s="169"/>
    </row>
    <row r="1174" spans="19:55" ht="15.75" customHeight="1">
      <c r="S1174" s="454"/>
      <c r="AN1174" s="458"/>
      <c r="AY1174" s="458"/>
      <c r="AZ1174" s="458"/>
      <c r="BA1174" s="1266"/>
      <c r="BC1174" s="169"/>
    </row>
    <row r="1175" spans="19:55" ht="15.75" customHeight="1">
      <c r="S1175" s="454"/>
      <c r="AN1175" s="458"/>
      <c r="AY1175" s="458"/>
      <c r="AZ1175" s="458"/>
      <c r="BA1175" s="1266"/>
      <c r="BC1175" s="169"/>
    </row>
    <row r="1176" spans="19:55" ht="15.75" customHeight="1">
      <c r="S1176" s="454"/>
      <c r="AN1176" s="458"/>
      <c r="AY1176" s="458"/>
      <c r="AZ1176" s="458"/>
      <c r="BA1176" s="1266"/>
      <c r="BC1176" s="169"/>
    </row>
    <row r="1177" spans="19:55" ht="15.75" customHeight="1">
      <c r="S1177" s="454"/>
      <c r="AN1177" s="458"/>
      <c r="AY1177" s="458"/>
      <c r="AZ1177" s="458"/>
      <c r="BA1177" s="1266"/>
      <c r="BC1177" s="169"/>
    </row>
    <row r="1178" spans="19:55" ht="15.75" customHeight="1">
      <c r="S1178" s="454"/>
      <c r="AN1178" s="458"/>
      <c r="AY1178" s="458"/>
      <c r="AZ1178" s="458"/>
      <c r="BA1178" s="1266"/>
      <c r="BC1178" s="169"/>
    </row>
    <row r="1179" spans="19:55" ht="15.75" customHeight="1">
      <c r="S1179" s="454"/>
      <c r="AN1179" s="458"/>
      <c r="AY1179" s="458"/>
      <c r="AZ1179" s="458"/>
      <c r="BA1179" s="1266"/>
      <c r="BC1179" s="169"/>
    </row>
    <row r="1180" spans="19:55" ht="15.75" customHeight="1">
      <c r="S1180" s="454"/>
      <c r="AN1180" s="458"/>
      <c r="AY1180" s="458"/>
      <c r="AZ1180" s="458"/>
      <c r="BA1180" s="1266"/>
      <c r="BC1180" s="169"/>
    </row>
    <row r="1181" spans="19:55" ht="15.75" customHeight="1">
      <c r="S1181" s="454"/>
      <c r="AN1181" s="458"/>
      <c r="AY1181" s="458"/>
      <c r="AZ1181" s="458"/>
      <c r="BA1181" s="1266"/>
      <c r="BC1181" s="169"/>
    </row>
    <row r="1182" spans="19:55" ht="15.75" customHeight="1">
      <c r="S1182" s="454"/>
      <c r="AN1182" s="458"/>
      <c r="AY1182" s="458"/>
      <c r="AZ1182" s="458"/>
      <c r="BA1182" s="1266"/>
      <c r="BC1182" s="169"/>
    </row>
    <row r="1183" spans="19:55" ht="15.75" customHeight="1">
      <c r="S1183" s="454"/>
      <c r="AN1183" s="458"/>
      <c r="AY1183" s="458"/>
      <c r="AZ1183" s="458"/>
      <c r="BA1183" s="1266"/>
      <c r="BC1183" s="169"/>
    </row>
    <row r="1184" spans="19:55" ht="15.75" customHeight="1">
      <c r="S1184" s="454"/>
      <c r="AN1184" s="458"/>
      <c r="AY1184" s="458"/>
      <c r="AZ1184" s="458"/>
      <c r="BA1184" s="1266"/>
      <c r="BC1184" s="169"/>
    </row>
    <row r="1185" spans="19:55" ht="15.75" customHeight="1">
      <c r="S1185" s="454"/>
      <c r="AN1185" s="458"/>
      <c r="AY1185" s="458"/>
      <c r="AZ1185" s="458"/>
      <c r="BA1185" s="1266"/>
      <c r="BC1185" s="169"/>
    </row>
    <row r="1186" spans="19:55" ht="15.75" customHeight="1">
      <c r="S1186" s="454"/>
      <c r="AN1186" s="458"/>
      <c r="AY1186" s="458"/>
      <c r="AZ1186" s="458"/>
      <c r="BA1186" s="1266"/>
      <c r="BC1186" s="169"/>
    </row>
    <row r="1187" spans="19:55" ht="15.75" customHeight="1">
      <c r="S1187" s="454"/>
      <c r="AN1187" s="458"/>
      <c r="AY1187" s="458"/>
      <c r="AZ1187" s="458"/>
      <c r="BA1187" s="1266"/>
      <c r="BC1187" s="169"/>
    </row>
    <row r="1188" spans="19:55" ht="15.75" customHeight="1">
      <c r="S1188" s="454"/>
      <c r="AN1188" s="458"/>
      <c r="AY1188" s="458"/>
      <c r="AZ1188" s="458"/>
      <c r="BA1188" s="1266"/>
      <c r="BC1188" s="169"/>
    </row>
    <row r="1189" spans="19:55" ht="15.75" customHeight="1">
      <c r="S1189" s="454"/>
      <c r="AN1189" s="458"/>
      <c r="AY1189" s="458"/>
      <c r="AZ1189" s="458"/>
      <c r="BA1189" s="1266"/>
      <c r="BC1189" s="169"/>
    </row>
    <row r="1190" spans="19:55" ht="15.75" customHeight="1">
      <c r="S1190" s="454"/>
      <c r="AN1190" s="458"/>
      <c r="AY1190" s="458"/>
      <c r="AZ1190" s="458"/>
      <c r="BA1190" s="1266"/>
      <c r="BC1190" s="169"/>
    </row>
    <row r="1191" spans="19:55" ht="15.75" customHeight="1">
      <c r="S1191" s="454"/>
      <c r="AN1191" s="458"/>
      <c r="AY1191" s="458"/>
      <c r="AZ1191" s="458"/>
      <c r="BA1191" s="1266"/>
      <c r="BC1191" s="169"/>
    </row>
    <row r="1192" spans="19:55" ht="15.75" customHeight="1">
      <c r="S1192" s="454"/>
      <c r="AN1192" s="458"/>
      <c r="AY1192" s="458"/>
      <c r="AZ1192" s="458"/>
      <c r="BA1192" s="1266"/>
      <c r="BC1192" s="169"/>
    </row>
    <row r="1193" spans="19:55" ht="15.75" customHeight="1">
      <c r="S1193" s="454"/>
      <c r="AN1193" s="458"/>
      <c r="AY1193" s="458"/>
      <c r="AZ1193" s="458"/>
      <c r="BA1193" s="1266"/>
      <c r="BC1193" s="169"/>
    </row>
    <row r="1194" spans="19:55" ht="15.75" customHeight="1">
      <c r="S1194" s="454"/>
      <c r="AN1194" s="458"/>
      <c r="AY1194" s="458"/>
      <c r="AZ1194" s="458"/>
      <c r="BA1194" s="1266"/>
      <c r="BC1194" s="169"/>
    </row>
    <row r="1195" spans="19:55" ht="15.75" customHeight="1">
      <c r="S1195" s="454"/>
      <c r="AN1195" s="458"/>
      <c r="AY1195" s="458"/>
      <c r="AZ1195" s="458"/>
      <c r="BA1195" s="1266"/>
      <c r="BC1195" s="169"/>
    </row>
    <row r="1196" spans="19:55" ht="15.75" customHeight="1">
      <c r="S1196" s="454"/>
      <c r="AN1196" s="458"/>
      <c r="AY1196" s="458"/>
      <c r="AZ1196" s="458"/>
      <c r="BA1196" s="1266"/>
      <c r="BC1196" s="169"/>
    </row>
    <row r="1197" spans="19:55" ht="15.75" customHeight="1">
      <c r="S1197" s="454"/>
      <c r="AN1197" s="458"/>
      <c r="AY1197" s="458"/>
      <c r="AZ1197" s="458"/>
      <c r="BA1197" s="1266"/>
      <c r="BC1197" s="169"/>
    </row>
    <row r="1198" spans="19:55" ht="15.75" customHeight="1">
      <c r="S1198" s="454"/>
      <c r="AN1198" s="458"/>
      <c r="AY1198" s="458"/>
      <c r="AZ1198" s="458"/>
      <c r="BA1198" s="1266"/>
      <c r="BC1198" s="169"/>
    </row>
    <row r="1199" spans="19:55" ht="15.75" customHeight="1">
      <c r="S1199" s="454"/>
      <c r="AN1199" s="458"/>
      <c r="AY1199" s="458"/>
      <c r="AZ1199" s="458"/>
      <c r="BA1199" s="1266"/>
      <c r="BC1199" s="169"/>
    </row>
    <row r="1200" spans="19:55" ht="15.75" customHeight="1">
      <c r="S1200" s="454"/>
      <c r="AN1200" s="458"/>
      <c r="AY1200" s="458"/>
      <c r="AZ1200" s="458"/>
      <c r="BA1200" s="1266"/>
      <c r="BC1200" s="169"/>
    </row>
    <row r="1201" spans="19:55" ht="15.75" customHeight="1">
      <c r="S1201" s="454"/>
      <c r="AN1201" s="458"/>
      <c r="AY1201" s="458"/>
      <c r="AZ1201" s="458"/>
      <c r="BA1201" s="1266"/>
      <c r="BC1201" s="169"/>
    </row>
    <row r="1202" spans="19:55" ht="15.75" customHeight="1">
      <c r="S1202" s="454"/>
      <c r="AN1202" s="458"/>
      <c r="AY1202" s="458"/>
      <c r="AZ1202" s="458"/>
      <c r="BA1202" s="1266"/>
      <c r="BC1202" s="169"/>
    </row>
    <row r="1203" spans="19:55" ht="15.75" customHeight="1">
      <c r="S1203" s="454"/>
      <c r="AN1203" s="458"/>
      <c r="AY1203" s="458"/>
      <c r="AZ1203" s="458"/>
      <c r="BA1203" s="1266"/>
      <c r="BC1203" s="169"/>
    </row>
    <row r="1204" spans="19:55" ht="15.75" customHeight="1">
      <c r="S1204" s="454"/>
      <c r="AN1204" s="458"/>
      <c r="AY1204" s="458"/>
      <c r="AZ1204" s="458"/>
      <c r="BA1204" s="1266"/>
      <c r="BC1204" s="169"/>
    </row>
    <row r="1205" spans="19:55" ht="15.75" customHeight="1">
      <c r="S1205" s="454"/>
      <c r="AN1205" s="458"/>
      <c r="AY1205" s="458"/>
      <c r="AZ1205" s="458"/>
      <c r="BA1205" s="1266"/>
      <c r="BC1205" s="169"/>
    </row>
    <row r="1206" spans="19:55" ht="15.75" customHeight="1">
      <c r="S1206" s="454"/>
      <c r="AN1206" s="458"/>
      <c r="AY1206" s="458"/>
      <c r="AZ1206" s="458"/>
      <c r="BA1206" s="1266"/>
      <c r="BC1206" s="169"/>
    </row>
    <row r="1207" spans="19:55" ht="15.75" customHeight="1">
      <c r="S1207" s="454"/>
      <c r="AN1207" s="458"/>
      <c r="AY1207" s="458"/>
      <c r="AZ1207" s="458"/>
      <c r="BA1207" s="1266"/>
      <c r="BC1207" s="169"/>
    </row>
    <row r="1208" spans="19:55" ht="15.75" customHeight="1">
      <c r="S1208" s="454"/>
      <c r="AN1208" s="458"/>
      <c r="AY1208" s="458"/>
      <c r="AZ1208" s="458"/>
      <c r="BA1208" s="1266"/>
      <c r="BC1208" s="169"/>
    </row>
    <row r="1209" spans="19:55" ht="15.75" customHeight="1">
      <c r="S1209" s="454"/>
      <c r="AN1209" s="458"/>
      <c r="AY1209" s="458"/>
      <c r="AZ1209" s="458"/>
      <c r="BA1209" s="1266"/>
      <c r="BC1209" s="169"/>
    </row>
    <row r="1210" spans="19:55" ht="15.75" customHeight="1">
      <c r="S1210" s="454"/>
      <c r="AN1210" s="458"/>
      <c r="AY1210" s="458"/>
      <c r="AZ1210" s="458"/>
      <c r="BA1210" s="1266"/>
      <c r="BC1210" s="169"/>
    </row>
    <row r="1211" spans="19:55" ht="15.75" customHeight="1">
      <c r="S1211" s="454"/>
      <c r="AN1211" s="458"/>
      <c r="AY1211" s="458"/>
      <c r="AZ1211" s="458"/>
      <c r="BA1211" s="1266"/>
      <c r="BC1211" s="169"/>
    </row>
    <row r="1212" spans="19:55" ht="15.75" customHeight="1">
      <c r="S1212" s="454"/>
      <c r="AN1212" s="458"/>
      <c r="AY1212" s="458"/>
      <c r="AZ1212" s="458"/>
      <c r="BA1212" s="1266"/>
      <c r="BC1212" s="169"/>
    </row>
    <row r="1213" spans="19:55" ht="15.75" customHeight="1">
      <c r="S1213" s="454"/>
      <c r="AN1213" s="458"/>
      <c r="AY1213" s="458"/>
      <c r="AZ1213" s="458"/>
      <c r="BA1213" s="1266"/>
      <c r="BC1213" s="169"/>
    </row>
    <row r="1214" spans="19:55" ht="15.75" customHeight="1">
      <c r="S1214" s="454"/>
      <c r="AN1214" s="458"/>
      <c r="AY1214" s="458"/>
      <c r="AZ1214" s="458"/>
      <c r="BA1214" s="1266"/>
      <c r="BC1214" s="169"/>
    </row>
    <row r="1215" spans="19:55" ht="15.75" customHeight="1">
      <c r="S1215" s="454"/>
      <c r="AN1215" s="458"/>
      <c r="AY1215" s="458"/>
      <c r="AZ1215" s="458"/>
      <c r="BA1215" s="1266"/>
      <c r="BC1215" s="169"/>
    </row>
    <row r="1216" spans="19:55" ht="15.75" customHeight="1">
      <c r="S1216" s="454"/>
      <c r="AN1216" s="458"/>
      <c r="AY1216" s="458"/>
      <c r="AZ1216" s="458"/>
      <c r="BA1216" s="1266"/>
      <c r="BC1216" s="169"/>
    </row>
    <row r="1217" spans="19:55" ht="15.75" customHeight="1">
      <c r="S1217" s="454"/>
      <c r="AN1217" s="458"/>
      <c r="AY1217" s="458"/>
      <c r="AZ1217" s="458"/>
      <c r="BA1217" s="1266"/>
      <c r="BC1217" s="169"/>
    </row>
    <row r="1218" spans="19:55" ht="15.75" customHeight="1">
      <c r="S1218" s="454"/>
      <c r="AN1218" s="458"/>
      <c r="AY1218" s="458"/>
      <c r="AZ1218" s="458"/>
      <c r="BA1218" s="1266"/>
      <c r="BC1218" s="169"/>
    </row>
    <row r="1219" spans="19:55" ht="15.75" customHeight="1">
      <c r="S1219" s="454"/>
      <c r="AN1219" s="458"/>
      <c r="AY1219" s="458"/>
      <c r="AZ1219" s="458"/>
      <c r="BA1219" s="1266"/>
      <c r="BC1219" s="169"/>
    </row>
    <row r="1220" spans="19:55" ht="15.75" customHeight="1">
      <c r="S1220" s="454"/>
      <c r="AN1220" s="458"/>
      <c r="AY1220" s="458"/>
      <c r="AZ1220" s="458"/>
      <c r="BA1220" s="1266"/>
      <c r="BC1220" s="169"/>
    </row>
    <row r="1221" spans="19:55" ht="15.75" customHeight="1">
      <c r="S1221" s="454"/>
      <c r="AN1221" s="458"/>
      <c r="AY1221" s="458"/>
      <c r="AZ1221" s="458"/>
      <c r="BA1221" s="1266"/>
      <c r="BC1221" s="169"/>
    </row>
    <row r="1222" spans="19:55" ht="15.75" customHeight="1">
      <c r="S1222" s="454"/>
      <c r="AN1222" s="458"/>
      <c r="AY1222" s="458"/>
      <c r="AZ1222" s="458"/>
      <c r="BA1222" s="1266"/>
      <c r="BC1222" s="169"/>
    </row>
    <row r="1223" spans="19:55" ht="15.75" customHeight="1">
      <c r="S1223" s="454"/>
      <c r="AN1223" s="458"/>
      <c r="AY1223" s="458"/>
      <c r="AZ1223" s="458"/>
      <c r="BA1223" s="1266"/>
      <c r="BC1223" s="169"/>
    </row>
    <row r="1224" spans="19:55" ht="15.75" customHeight="1">
      <c r="S1224" s="454"/>
      <c r="AN1224" s="458"/>
      <c r="AY1224" s="458"/>
      <c r="AZ1224" s="458"/>
      <c r="BA1224" s="1266"/>
      <c r="BC1224" s="169"/>
    </row>
    <row r="1225" spans="19:55" ht="15.75" customHeight="1">
      <c r="S1225" s="454"/>
      <c r="AN1225" s="458"/>
      <c r="AY1225" s="458"/>
      <c r="AZ1225" s="458"/>
      <c r="BA1225" s="1266"/>
      <c r="BC1225" s="169"/>
    </row>
    <row r="1226" spans="19:55" ht="15.75" customHeight="1">
      <c r="S1226" s="454"/>
      <c r="AN1226" s="458"/>
      <c r="AY1226" s="458"/>
      <c r="AZ1226" s="458"/>
      <c r="BA1226" s="1266"/>
      <c r="BC1226" s="169"/>
    </row>
    <row r="1227" spans="19:55" ht="15.75" customHeight="1">
      <c r="S1227" s="454"/>
      <c r="AN1227" s="458"/>
      <c r="AY1227" s="458"/>
      <c r="AZ1227" s="458"/>
      <c r="BA1227" s="1266"/>
      <c r="BC1227" s="169"/>
    </row>
    <row r="1228" spans="19:55" ht="15.75" customHeight="1">
      <c r="S1228" s="454"/>
      <c r="AN1228" s="458"/>
      <c r="AY1228" s="458"/>
      <c r="AZ1228" s="458"/>
      <c r="BA1228" s="1266"/>
      <c r="BC1228" s="169"/>
    </row>
    <row r="1229" spans="19:55" ht="15.75" customHeight="1">
      <c r="S1229" s="454"/>
      <c r="AN1229" s="458"/>
      <c r="AY1229" s="458"/>
      <c r="AZ1229" s="458"/>
      <c r="BA1229" s="1266"/>
      <c r="BC1229" s="169"/>
    </row>
    <row r="1230" spans="19:55" ht="15.75" customHeight="1">
      <c r="S1230" s="454"/>
      <c r="AN1230" s="458"/>
      <c r="AY1230" s="458"/>
      <c r="AZ1230" s="458"/>
      <c r="BA1230" s="1266"/>
      <c r="BC1230" s="169"/>
    </row>
    <row r="1231" spans="19:55" ht="15.75" customHeight="1">
      <c r="S1231" s="454"/>
      <c r="AN1231" s="458"/>
      <c r="AY1231" s="458"/>
      <c r="AZ1231" s="458"/>
      <c r="BA1231" s="1266"/>
      <c r="BC1231" s="169"/>
    </row>
    <row r="1232" spans="19:55" ht="15.75" customHeight="1">
      <c r="S1232" s="454"/>
      <c r="AN1232" s="458"/>
      <c r="AY1232" s="458"/>
      <c r="AZ1232" s="458"/>
      <c r="BA1232" s="1266"/>
      <c r="BC1232" s="169"/>
    </row>
    <row r="1233" spans="19:55" ht="15.75" customHeight="1">
      <c r="S1233" s="454"/>
      <c r="AN1233" s="458"/>
      <c r="AY1233" s="458"/>
      <c r="AZ1233" s="458"/>
      <c r="BA1233" s="1266"/>
      <c r="BC1233" s="169"/>
    </row>
    <row r="1234" spans="19:55" ht="15.75" customHeight="1">
      <c r="S1234" s="454"/>
      <c r="AN1234" s="458"/>
      <c r="AY1234" s="458"/>
      <c r="AZ1234" s="458"/>
      <c r="BA1234" s="1266"/>
      <c r="BC1234" s="169"/>
    </row>
    <row r="1235" spans="19:55" ht="15.75" customHeight="1">
      <c r="S1235" s="454"/>
      <c r="AN1235" s="458"/>
      <c r="AY1235" s="458"/>
      <c r="AZ1235" s="458"/>
      <c r="BA1235" s="1266"/>
      <c r="BC1235" s="169"/>
    </row>
    <row r="1236" spans="19:55" ht="15.75" customHeight="1">
      <c r="S1236" s="454"/>
      <c r="AN1236" s="458"/>
      <c r="AY1236" s="458"/>
      <c r="AZ1236" s="458"/>
      <c r="BA1236" s="1266"/>
      <c r="BC1236" s="169"/>
    </row>
    <row r="1237" spans="19:55" ht="15.75" customHeight="1">
      <c r="S1237" s="454"/>
      <c r="AN1237" s="458"/>
      <c r="AY1237" s="458"/>
      <c r="AZ1237" s="458"/>
      <c r="BA1237" s="1266"/>
      <c r="BC1237" s="169"/>
    </row>
    <row r="1238" spans="19:55" ht="15.75" customHeight="1">
      <c r="S1238" s="454"/>
      <c r="AN1238" s="458"/>
      <c r="AY1238" s="458"/>
      <c r="AZ1238" s="458"/>
      <c r="BA1238" s="1266"/>
      <c r="BC1238" s="169"/>
    </row>
    <row r="1239" spans="19:55" ht="15.75" customHeight="1">
      <c r="S1239" s="454"/>
      <c r="AN1239" s="458"/>
      <c r="AY1239" s="458"/>
      <c r="AZ1239" s="458"/>
      <c r="BA1239" s="1266"/>
      <c r="BC1239" s="169"/>
    </row>
    <row r="1240" spans="19:55" ht="15.75" customHeight="1">
      <c r="S1240" s="454"/>
      <c r="AN1240" s="458"/>
      <c r="AY1240" s="458"/>
      <c r="AZ1240" s="458"/>
      <c r="BA1240" s="1266"/>
      <c r="BC1240" s="169"/>
    </row>
    <row r="1241" spans="19:55" ht="15.75" customHeight="1">
      <c r="S1241" s="454"/>
      <c r="AN1241" s="458"/>
      <c r="AY1241" s="458"/>
      <c r="AZ1241" s="458"/>
      <c r="BA1241" s="1266"/>
      <c r="BC1241" s="169"/>
    </row>
    <row r="1242" spans="19:55" ht="15.75" customHeight="1">
      <c r="S1242" s="454"/>
      <c r="AN1242" s="458"/>
      <c r="AY1242" s="458"/>
      <c r="AZ1242" s="458"/>
      <c r="BA1242" s="1266"/>
      <c r="BC1242" s="169"/>
    </row>
    <row r="1243" spans="19:55" ht="15.75" customHeight="1">
      <c r="S1243" s="454"/>
      <c r="AN1243" s="458"/>
      <c r="AY1243" s="458"/>
      <c r="AZ1243" s="458"/>
      <c r="BA1243" s="1266"/>
      <c r="BC1243" s="169"/>
    </row>
    <row r="1244" spans="19:55" ht="15.75" customHeight="1">
      <c r="S1244" s="454"/>
      <c r="AN1244" s="458"/>
      <c r="AY1244" s="458"/>
      <c r="AZ1244" s="458"/>
      <c r="BA1244" s="1266"/>
      <c r="BC1244" s="169"/>
    </row>
    <row r="1245" spans="19:55" ht="15.75" customHeight="1">
      <c r="S1245" s="454"/>
      <c r="AN1245" s="458"/>
      <c r="AY1245" s="458"/>
      <c r="AZ1245" s="458"/>
      <c r="BA1245" s="1266"/>
      <c r="BC1245" s="169"/>
    </row>
    <row r="1246" spans="19:55" ht="15.75" customHeight="1">
      <c r="S1246" s="454"/>
      <c r="AN1246" s="458"/>
      <c r="AY1246" s="458"/>
      <c r="AZ1246" s="458"/>
      <c r="BA1246" s="1266"/>
      <c r="BC1246" s="169"/>
    </row>
    <row r="1247" spans="19:55" ht="15.75" customHeight="1">
      <c r="S1247" s="454"/>
      <c r="AN1247" s="458"/>
      <c r="AY1247" s="458"/>
      <c r="AZ1247" s="458"/>
      <c r="BA1247" s="1266"/>
      <c r="BC1247" s="169"/>
    </row>
    <row r="1248" spans="19:55" ht="15.75" customHeight="1">
      <c r="S1248" s="454"/>
      <c r="AN1248" s="458"/>
      <c r="AY1248" s="458"/>
      <c r="AZ1248" s="458"/>
      <c r="BA1248" s="1266"/>
      <c r="BC1248" s="169"/>
    </row>
    <row r="1249" spans="19:55" ht="15.75" customHeight="1">
      <c r="S1249" s="454"/>
      <c r="AN1249" s="458"/>
      <c r="AY1249" s="458"/>
      <c r="AZ1249" s="458"/>
      <c r="BA1249" s="1266"/>
      <c r="BC1249" s="169"/>
    </row>
    <row r="1250" spans="19:55" ht="15.75" customHeight="1">
      <c r="S1250" s="454"/>
      <c r="AN1250" s="458"/>
      <c r="AY1250" s="458"/>
      <c r="AZ1250" s="458"/>
      <c r="BA1250" s="1266"/>
      <c r="BC1250" s="169"/>
    </row>
    <row r="1251" spans="19:55" ht="15.75" customHeight="1">
      <c r="S1251" s="454"/>
      <c r="AN1251" s="458"/>
      <c r="AY1251" s="458"/>
      <c r="AZ1251" s="458"/>
      <c r="BA1251" s="1266"/>
      <c r="BC1251" s="169"/>
    </row>
    <row r="1252" spans="19:55" ht="15.75" customHeight="1">
      <c r="S1252" s="454"/>
      <c r="AN1252" s="458"/>
      <c r="AY1252" s="458"/>
      <c r="AZ1252" s="458"/>
      <c r="BA1252" s="1266"/>
      <c r="BC1252" s="169"/>
    </row>
    <row r="1253" spans="19:55" ht="15.75" customHeight="1">
      <c r="S1253" s="454"/>
      <c r="AN1253" s="458"/>
      <c r="AY1253" s="458"/>
      <c r="AZ1253" s="458"/>
      <c r="BA1253" s="1266"/>
      <c r="BC1253" s="169"/>
    </row>
    <row r="1254" spans="19:55" ht="15.75" customHeight="1">
      <c r="S1254" s="454"/>
      <c r="AN1254" s="458"/>
      <c r="AY1254" s="458"/>
      <c r="AZ1254" s="458"/>
      <c r="BA1254" s="1266"/>
      <c r="BC1254" s="169"/>
    </row>
    <row r="1255" spans="19:55" ht="15.75" customHeight="1">
      <c r="S1255" s="454"/>
      <c r="AN1255" s="458"/>
      <c r="AY1255" s="458"/>
      <c r="AZ1255" s="458"/>
      <c r="BA1255" s="1266"/>
      <c r="BC1255" s="169"/>
    </row>
    <row r="1256" spans="19:55" ht="15.75" customHeight="1">
      <c r="S1256" s="454"/>
      <c r="AN1256" s="458"/>
      <c r="AY1256" s="458"/>
      <c r="AZ1256" s="458"/>
      <c r="BA1256" s="1266"/>
      <c r="BC1256" s="169"/>
    </row>
    <row r="1257" spans="19:55" ht="15.75" customHeight="1">
      <c r="S1257" s="454"/>
      <c r="AN1257" s="458"/>
      <c r="AY1257" s="458"/>
      <c r="AZ1257" s="458"/>
      <c r="BA1257" s="1266"/>
      <c r="BC1257" s="169"/>
    </row>
    <row r="1258" spans="19:55" ht="15.75" customHeight="1">
      <c r="S1258" s="454"/>
      <c r="AN1258" s="458"/>
      <c r="AY1258" s="458"/>
      <c r="AZ1258" s="458"/>
      <c r="BA1258" s="1266"/>
      <c r="BC1258" s="169"/>
    </row>
    <row r="1259" spans="19:55" ht="15.75" customHeight="1">
      <c r="S1259" s="454"/>
      <c r="AN1259" s="458"/>
      <c r="AY1259" s="458"/>
      <c r="AZ1259" s="458"/>
      <c r="BA1259" s="1266"/>
      <c r="BC1259" s="169"/>
    </row>
    <row r="1260" spans="19:55" ht="15.75" customHeight="1">
      <c r="S1260" s="454"/>
      <c r="AN1260" s="458"/>
      <c r="AY1260" s="458"/>
      <c r="AZ1260" s="458"/>
      <c r="BA1260" s="1266"/>
      <c r="BC1260" s="169"/>
    </row>
    <row r="1261" spans="19:55" ht="15.75" customHeight="1">
      <c r="S1261" s="454"/>
      <c r="AN1261" s="458"/>
      <c r="AY1261" s="458"/>
      <c r="AZ1261" s="458"/>
      <c r="BA1261" s="1266"/>
      <c r="BC1261" s="169"/>
    </row>
    <row r="1262" spans="19:55" ht="15.75" customHeight="1">
      <c r="S1262" s="454"/>
      <c r="AN1262" s="458"/>
      <c r="AY1262" s="458"/>
      <c r="AZ1262" s="458"/>
      <c r="BA1262" s="1266"/>
      <c r="BC1262" s="169"/>
    </row>
    <row r="1263" spans="19:55" ht="15.75" customHeight="1">
      <c r="S1263" s="454"/>
      <c r="AN1263" s="458"/>
      <c r="AY1263" s="458"/>
      <c r="AZ1263" s="458"/>
      <c r="BA1263" s="1266"/>
      <c r="BC1263" s="169"/>
    </row>
    <row r="1264" spans="19:55" ht="15.75" customHeight="1">
      <c r="S1264" s="454"/>
      <c r="AN1264" s="458"/>
      <c r="AY1264" s="458"/>
      <c r="AZ1264" s="458"/>
      <c r="BA1264" s="1266"/>
      <c r="BC1264" s="169"/>
    </row>
    <row r="1265" spans="19:55" ht="15.75" customHeight="1">
      <c r="S1265" s="454"/>
      <c r="AN1265" s="458"/>
      <c r="AY1265" s="458"/>
      <c r="AZ1265" s="458"/>
      <c r="BA1265" s="1266"/>
      <c r="BC1265" s="169"/>
    </row>
    <row r="1266" spans="19:55" ht="15.75" customHeight="1">
      <c r="S1266" s="454"/>
      <c r="AN1266" s="458"/>
      <c r="AY1266" s="458"/>
      <c r="AZ1266" s="458"/>
      <c r="BA1266" s="1266"/>
      <c r="BC1266" s="169"/>
    </row>
    <row r="1267" spans="19:55" ht="15.75" customHeight="1">
      <c r="S1267" s="454"/>
      <c r="AN1267" s="458"/>
      <c r="AY1267" s="458"/>
      <c r="AZ1267" s="458"/>
      <c r="BA1267" s="1266"/>
      <c r="BC1267" s="169"/>
    </row>
    <row r="1268" spans="19:55" ht="15.75" customHeight="1">
      <c r="S1268" s="454"/>
      <c r="AN1268" s="458"/>
      <c r="AY1268" s="458"/>
      <c r="AZ1268" s="458"/>
      <c r="BA1268" s="1266"/>
      <c r="BC1268" s="169"/>
    </row>
    <row r="1269" spans="19:55" ht="15.75" customHeight="1">
      <c r="S1269" s="454"/>
      <c r="AN1269" s="458"/>
      <c r="AY1269" s="458"/>
      <c r="AZ1269" s="458"/>
      <c r="BA1269" s="1266"/>
      <c r="BC1269" s="169"/>
    </row>
    <row r="1270" spans="19:55" ht="15.75" customHeight="1">
      <c r="S1270" s="454"/>
      <c r="AN1270" s="458"/>
      <c r="AY1270" s="458"/>
      <c r="AZ1270" s="458"/>
      <c r="BA1270" s="1266"/>
      <c r="BC1270" s="169"/>
    </row>
    <row r="1271" spans="19:55" ht="15.75" customHeight="1">
      <c r="S1271" s="454"/>
      <c r="AN1271" s="458"/>
      <c r="AY1271" s="458"/>
      <c r="AZ1271" s="458"/>
      <c r="BA1271" s="1266"/>
      <c r="BC1271" s="169"/>
    </row>
    <row r="1272" spans="19:55" ht="15.75" customHeight="1">
      <c r="S1272" s="454"/>
      <c r="AN1272" s="458"/>
      <c r="AY1272" s="458"/>
      <c r="AZ1272" s="458"/>
      <c r="BA1272" s="1266"/>
      <c r="BC1272" s="169"/>
    </row>
    <row r="1273" spans="19:55" ht="15.75" customHeight="1">
      <c r="S1273" s="454"/>
      <c r="AN1273" s="458"/>
      <c r="AY1273" s="458"/>
      <c r="AZ1273" s="458"/>
      <c r="BA1273" s="1266"/>
      <c r="BC1273" s="169"/>
    </row>
    <row r="1274" spans="19:55" ht="15.75" customHeight="1">
      <c r="S1274" s="454"/>
      <c r="AN1274" s="458"/>
      <c r="AY1274" s="458"/>
      <c r="AZ1274" s="458"/>
      <c r="BA1274" s="1266"/>
      <c r="BC1274" s="169"/>
    </row>
    <row r="1275" spans="19:55" ht="15.75" customHeight="1">
      <c r="S1275" s="454"/>
      <c r="AN1275" s="458"/>
      <c r="AY1275" s="458"/>
      <c r="AZ1275" s="458"/>
      <c r="BA1275" s="1266"/>
      <c r="BC1275" s="169"/>
    </row>
    <row r="1276" spans="19:55" ht="15.75" customHeight="1">
      <c r="S1276" s="454"/>
      <c r="AN1276" s="458"/>
      <c r="AY1276" s="458"/>
      <c r="AZ1276" s="458"/>
      <c r="BA1276" s="1266"/>
      <c r="BC1276" s="169"/>
    </row>
    <row r="1277" spans="19:55" ht="15.75" customHeight="1">
      <c r="S1277" s="454"/>
      <c r="AN1277" s="458"/>
      <c r="AY1277" s="458"/>
      <c r="AZ1277" s="458"/>
      <c r="BA1277" s="1266"/>
      <c r="BC1277" s="169"/>
    </row>
    <row r="1278" spans="19:55" ht="15.75" customHeight="1">
      <c r="S1278" s="454"/>
      <c r="AN1278" s="458"/>
      <c r="AY1278" s="458"/>
      <c r="AZ1278" s="458"/>
      <c r="BA1278" s="1266"/>
      <c r="BC1278" s="169"/>
    </row>
    <row r="1279" spans="19:55" ht="15.75" customHeight="1">
      <c r="S1279" s="454"/>
      <c r="AN1279" s="458"/>
      <c r="AY1279" s="458"/>
      <c r="AZ1279" s="458"/>
      <c r="BA1279" s="1266"/>
      <c r="BC1279" s="169"/>
    </row>
    <row r="1280" spans="19:55" ht="15.75" customHeight="1">
      <c r="S1280" s="454"/>
      <c r="AN1280" s="458"/>
      <c r="AY1280" s="458"/>
      <c r="AZ1280" s="458"/>
      <c r="BA1280" s="1266"/>
      <c r="BC1280" s="169"/>
    </row>
    <row r="1281" spans="19:55" ht="15.75" customHeight="1">
      <c r="S1281" s="454"/>
      <c r="AN1281" s="458"/>
      <c r="AY1281" s="458"/>
      <c r="AZ1281" s="458"/>
      <c r="BA1281" s="1266"/>
      <c r="BC1281" s="169"/>
    </row>
    <row r="1282" spans="19:55" ht="15.75" customHeight="1">
      <c r="S1282" s="454"/>
      <c r="AN1282" s="458"/>
      <c r="AY1282" s="458"/>
      <c r="AZ1282" s="458"/>
      <c r="BA1282" s="1266"/>
      <c r="BC1282" s="169"/>
    </row>
    <row r="1283" spans="19:55" ht="15.75" customHeight="1">
      <c r="S1283" s="454"/>
      <c r="AN1283" s="458"/>
      <c r="AY1283" s="458"/>
      <c r="AZ1283" s="458"/>
      <c r="BA1283" s="1266"/>
      <c r="BC1283" s="169"/>
    </row>
    <row r="1284" spans="19:55" ht="15.75" customHeight="1">
      <c r="S1284" s="454"/>
      <c r="AN1284" s="458"/>
      <c r="AY1284" s="458"/>
      <c r="AZ1284" s="458"/>
      <c r="BA1284" s="1266"/>
      <c r="BC1284" s="169"/>
    </row>
    <row r="1285" spans="19:55" ht="15.75" customHeight="1">
      <c r="S1285" s="454"/>
      <c r="AN1285" s="458"/>
      <c r="AY1285" s="458"/>
      <c r="AZ1285" s="458"/>
      <c r="BA1285" s="1266"/>
      <c r="BC1285" s="169"/>
    </row>
    <row r="1286" spans="19:55" ht="15.75" customHeight="1">
      <c r="S1286" s="454"/>
      <c r="AN1286" s="458"/>
      <c r="AY1286" s="458"/>
      <c r="AZ1286" s="458"/>
      <c r="BA1286" s="1266"/>
      <c r="BC1286" s="169"/>
    </row>
    <row r="1287" spans="19:55" ht="15.75" customHeight="1">
      <c r="S1287" s="454"/>
      <c r="AN1287" s="458"/>
      <c r="AY1287" s="458"/>
      <c r="AZ1287" s="458"/>
      <c r="BA1287" s="1266"/>
      <c r="BC1287" s="169"/>
    </row>
    <row r="1288" spans="19:55" ht="15.75" customHeight="1">
      <c r="S1288" s="454"/>
      <c r="AN1288" s="458"/>
      <c r="AY1288" s="458"/>
      <c r="AZ1288" s="458"/>
      <c r="BA1288" s="1266"/>
      <c r="BC1288" s="169"/>
    </row>
    <row r="1289" spans="19:55" ht="15.75" customHeight="1">
      <c r="S1289" s="454"/>
      <c r="AN1289" s="458"/>
      <c r="AY1289" s="458"/>
      <c r="AZ1289" s="458"/>
      <c r="BA1289" s="1266"/>
      <c r="BC1289" s="169"/>
    </row>
    <row r="1290" spans="19:55" ht="15.75" customHeight="1">
      <c r="S1290" s="454"/>
      <c r="AN1290" s="458"/>
      <c r="AY1290" s="458"/>
      <c r="AZ1290" s="458"/>
      <c r="BA1290" s="1266"/>
      <c r="BC1290" s="169"/>
    </row>
    <row r="1291" spans="19:55" ht="15.75" customHeight="1">
      <c r="S1291" s="454"/>
      <c r="AN1291" s="458"/>
      <c r="AY1291" s="458"/>
      <c r="AZ1291" s="458"/>
      <c r="BA1291" s="1266"/>
      <c r="BC1291" s="169"/>
    </row>
    <row r="1292" spans="19:55" ht="15.75" customHeight="1">
      <c r="S1292" s="454"/>
      <c r="AN1292" s="458"/>
      <c r="AY1292" s="458"/>
      <c r="AZ1292" s="458"/>
      <c r="BA1292" s="1266"/>
      <c r="BC1292" s="169"/>
    </row>
    <row r="1293" spans="19:55" ht="15.75" customHeight="1">
      <c r="S1293" s="454"/>
      <c r="AN1293" s="458"/>
      <c r="AY1293" s="458"/>
      <c r="AZ1293" s="458"/>
      <c r="BA1293" s="1266"/>
      <c r="BC1293" s="169"/>
    </row>
    <row r="1294" spans="19:55" ht="15.75" customHeight="1">
      <c r="S1294" s="454"/>
      <c r="AN1294" s="458"/>
      <c r="AY1294" s="458"/>
      <c r="AZ1294" s="458"/>
      <c r="BA1294" s="1266"/>
      <c r="BC1294" s="169"/>
    </row>
    <row r="1295" spans="19:55" ht="15.75" customHeight="1">
      <c r="S1295" s="454"/>
      <c r="AN1295" s="458"/>
      <c r="AY1295" s="458"/>
      <c r="AZ1295" s="458"/>
      <c r="BA1295" s="1266"/>
      <c r="BC1295" s="169"/>
    </row>
    <row r="1296" spans="19:55" ht="15.75" customHeight="1">
      <c r="S1296" s="454"/>
      <c r="AN1296" s="458"/>
      <c r="AY1296" s="458"/>
      <c r="AZ1296" s="458"/>
      <c r="BA1296" s="1266"/>
      <c r="BC1296" s="169"/>
    </row>
    <row r="1297" spans="19:55" ht="15.75" customHeight="1">
      <c r="S1297" s="454"/>
      <c r="AN1297" s="458"/>
      <c r="AY1297" s="458"/>
      <c r="AZ1297" s="458"/>
      <c r="BC1297" s="169"/>
    </row>
    <row r="1298" spans="19:55" ht="15.75" customHeight="1">
      <c r="S1298" s="454"/>
      <c r="AN1298" s="458"/>
      <c r="AY1298" s="458"/>
      <c r="AZ1298" s="458"/>
      <c r="BC1298" s="169"/>
    </row>
    <row r="1299" spans="19:55" ht="15.75" customHeight="1">
      <c r="S1299" s="454"/>
      <c r="AN1299" s="458"/>
      <c r="AY1299" s="458"/>
      <c r="AZ1299" s="458"/>
      <c r="BC1299" s="169"/>
    </row>
    <row r="1300" spans="19:55" ht="15.75" customHeight="1">
      <c r="S1300" s="454"/>
      <c r="AN1300" s="458"/>
      <c r="AY1300" s="458"/>
      <c r="AZ1300" s="458"/>
      <c r="BC1300" s="169"/>
    </row>
    <row r="1301" spans="19:55" ht="15.75" customHeight="1">
      <c r="S1301" s="454"/>
      <c r="AN1301" s="458"/>
      <c r="AY1301" s="458"/>
      <c r="AZ1301" s="458"/>
      <c r="BC1301" s="169"/>
    </row>
    <row r="1302" spans="19:55" ht="15.75" customHeight="1">
      <c r="S1302" s="454"/>
      <c r="AN1302" s="458"/>
      <c r="AY1302" s="458"/>
      <c r="AZ1302" s="458"/>
      <c r="BC1302" s="169"/>
    </row>
    <row r="1303" spans="19:55" ht="15.75" customHeight="1">
      <c r="S1303" s="454"/>
      <c r="AN1303" s="458"/>
      <c r="AY1303" s="458"/>
      <c r="AZ1303" s="458"/>
      <c r="BC1303" s="169"/>
    </row>
    <row r="1304" spans="19:55" ht="15.75" customHeight="1">
      <c r="S1304" s="454"/>
      <c r="AN1304" s="458"/>
      <c r="AY1304" s="458"/>
      <c r="AZ1304" s="458"/>
      <c r="BC1304" s="169"/>
    </row>
    <row r="1305" spans="19:55" ht="15.75" customHeight="1">
      <c r="S1305" s="454"/>
      <c r="AN1305" s="458"/>
      <c r="AY1305" s="458"/>
      <c r="AZ1305" s="458"/>
      <c r="BC1305" s="169"/>
    </row>
    <row r="1306" spans="19:55" ht="15.75" customHeight="1">
      <c r="S1306" s="454"/>
      <c r="AN1306" s="458"/>
      <c r="AY1306" s="458"/>
      <c r="AZ1306" s="458"/>
      <c r="BC1306" s="169"/>
    </row>
    <row r="1307" spans="19:55" ht="15.75" customHeight="1">
      <c r="S1307" s="454"/>
      <c r="AN1307" s="458"/>
      <c r="AY1307" s="458"/>
      <c r="AZ1307" s="458"/>
      <c r="BC1307" s="169"/>
    </row>
    <row r="1308" spans="19:55" ht="15.75" customHeight="1">
      <c r="S1308" s="454"/>
      <c r="AN1308" s="458"/>
      <c r="AY1308" s="458"/>
      <c r="AZ1308" s="458"/>
      <c r="BC1308" s="169"/>
    </row>
    <row r="1309" spans="19:55" ht="15.75" customHeight="1">
      <c r="S1309" s="454"/>
      <c r="AN1309" s="458"/>
      <c r="BC1309" s="169"/>
    </row>
    <row r="1310" spans="19:55" ht="15.75" customHeight="1">
      <c r="S1310" s="454"/>
      <c r="AN1310" s="458"/>
      <c r="BC1310" s="169"/>
    </row>
    <row r="1311" spans="19:55" ht="15.75" customHeight="1">
      <c r="S1311" s="454"/>
      <c r="AN1311" s="458"/>
      <c r="BC1311" s="169"/>
    </row>
    <row r="1312" spans="19:55" ht="15.75" customHeight="1">
      <c r="S1312" s="454"/>
      <c r="AN1312" s="458"/>
      <c r="BC1312" s="169"/>
    </row>
    <row r="1313" spans="19:55" ht="15.75" customHeight="1">
      <c r="S1313" s="454"/>
      <c r="AN1313" s="458"/>
      <c r="BC1313" s="169"/>
    </row>
    <row r="1314" spans="19:55" ht="15.75" customHeight="1">
      <c r="S1314" s="454"/>
      <c r="AN1314" s="458"/>
      <c r="BC1314" s="169"/>
    </row>
    <row r="1315" spans="19:55" ht="15.75" customHeight="1">
      <c r="S1315" s="454"/>
      <c r="AN1315" s="458"/>
      <c r="BC1315" s="169"/>
    </row>
    <row r="1316" spans="19:55" ht="15.75" customHeight="1">
      <c r="S1316" s="454"/>
      <c r="AN1316" s="458"/>
      <c r="BC1316" s="169"/>
    </row>
    <row r="1317" spans="19:55" ht="15.75" customHeight="1">
      <c r="S1317" s="454"/>
      <c r="AN1317" s="458"/>
      <c r="BC1317" s="169"/>
    </row>
    <row r="1318" spans="19:55" ht="15.75" customHeight="1">
      <c r="S1318" s="454"/>
      <c r="AN1318" s="458"/>
      <c r="BC1318" s="169"/>
    </row>
    <row r="1319" spans="19:55" ht="15.75" customHeight="1">
      <c r="S1319" s="454"/>
      <c r="AN1319" s="458"/>
      <c r="BC1319" s="169"/>
    </row>
    <row r="1320" spans="19:55" ht="15.75" customHeight="1">
      <c r="S1320" s="454"/>
      <c r="AN1320" s="458"/>
      <c r="BC1320" s="169"/>
    </row>
    <row r="1321" spans="19:55" ht="15.75" customHeight="1">
      <c r="S1321" s="454"/>
      <c r="AN1321" s="458"/>
      <c r="BC1321" s="169"/>
    </row>
    <row r="1322" spans="19:55" ht="15.75" customHeight="1">
      <c r="S1322" s="454"/>
      <c r="AN1322" s="458"/>
      <c r="BC1322" s="169"/>
    </row>
    <row r="1323" spans="19:55" ht="15.75" customHeight="1">
      <c r="S1323" s="454"/>
      <c r="AN1323" s="458"/>
      <c r="BC1323" s="169"/>
    </row>
    <row r="1324" spans="19:55" ht="15.75" customHeight="1">
      <c r="S1324" s="454"/>
      <c r="AN1324" s="458"/>
      <c r="BC1324" s="169"/>
    </row>
    <row r="1325" spans="19:55" ht="15.75" customHeight="1">
      <c r="S1325" s="454"/>
      <c r="AN1325" s="458"/>
      <c r="BC1325" s="169"/>
    </row>
    <row r="1326" spans="19:55" ht="15.75" customHeight="1">
      <c r="S1326" s="454"/>
      <c r="AN1326" s="458"/>
      <c r="BC1326" s="169"/>
    </row>
    <row r="1327" spans="19:55" ht="15.75" customHeight="1">
      <c r="S1327" s="454"/>
      <c r="AN1327" s="458"/>
      <c r="BC1327" s="169"/>
    </row>
    <row r="1328" spans="19:55" ht="15.75" customHeight="1">
      <c r="S1328" s="454"/>
      <c r="AN1328" s="458"/>
      <c r="BC1328" s="169"/>
    </row>
    <row r="1329" spans="19:55" ht="15.75" customHeight="1">
      <c r="S1329" s="454"/>
      <c r="AN1329" s="458"/>
      <c r="BC1329" s="169"/>
    </row>
    <row r="1330" spans="19:55" ht="15.75" customHeight="1">
      <c r="S1330" s="454"/>
      <c r="AN1330" s="458"/>
      <c r="BC1330" s="169"/>
    </row>
    <row r="1331" spans="19:55" ht="15.75" customHeight="1">
      <c r="S1331" s="454"/>
      <c r="AN1331" s="458"/>
      <c r="BC1331" s="169"/>
    </row>
    <row r="1332" spans="19:55" ht="15.75" customHeight="1">
      <c r="S1332" s="454"/>
      <c r="AN1332" s="458"/>
      <c r="BC1332" s="169"/>
    </row>
    <row r="1333" spans="19:55" ht="15.75" customHeight="1">
      <c r="S1333" s="454"/>
      <c r="AN1333" s="458"/>
      <c r="BC1333" s="169"/>
    </row>
    <row r="1334" spans="19:55" ht="15.75" customHeight="1">
      <c r="S1334" s="454"/>
      <c r="AN1334" s="458"/>
      <c r="BC1334" s="169"/>
    </row>
    <row r="1335" spans="19:55" ht="15.75" customHeight="1">
      <c r="S1335" s="454"/>
      <c r="AN1335" s="458"/>
      <c r="BC1335" s="169"/>
    </row>
    <row r="1336" spans="19:55" ht="15.75" customHeight="1">
      <c r="S1336" s="454"/>
      <c r="AN1336" s="458"/>
      <c r="BC1336" s="169"/>
    </row>
    <row r="1337" spans="19:55" ht="15.75" customHeight="1">
      <c r="S1337" s="454"/>
      <c r="AN1337" s="458"/>
      <c r="BC1337" s="169"/>
    </row>
    <row r="1338" spans="19:55" ht="15.75" customHeight="1">
      <c r="S1338" s="454"/>
      <c r="AN1338" s="458"/>
      <c r="BC1338" s="169"/>
    </row>
    <row r="1339" spans="19:55" ht="15.75" customHeight="1">
      <c r="S1339" s="454"/>
      <c r="AN1339" s="458"/>
      <c r="BC1339" s="169"/>
    </row>
    <row r="1340" spans="19:55" ht="15.75" customHeight="1">
      <c r="S1340" s="454"/>
      <c r="AN1340" s="458"/>
      <c r="BC1340" s="169"/>
    </row>
    <row r="1341" spans="19:55" ht="15.75" customHeight="1">
      <c r="S1341" s="454"/>
      <c r="AN1341" s="458"/>
      <c r="BC1341" s="169"/>
    </row>
    <row r="1342" spans="19:55" ht="15.75" customHeight="1">
      <c r="S1342" s="454"/>
      <c r="AN1342" s="458"/>
      <c r="BC1342" s="169"/>
    </row>
    <row r="1343" spans="19:55" ht="15.75" customHeight="1">
      <c r="S1343" s="454"/>
      <c r="AN1343" s="458"/>
      <c r="BC1343" s="169"/>
    </row>
    <row r="1344" spans="19:55" ht="15.75" customHeight="1">
      <c r="S1344" s="454"/>
      <c r="AN1344" s="458"/>
      <c r="BC1344" s="169"/>
    </row>
    <row r="1345" spans="19:55" ht="15.75" customHeight="1">
      <c r="S1345" s="454"/>
      <c r="AN1345" s="458"/>
      <c r="BC1345" s="169"/>
    </row>
    <row r="1346" spans="19:55" ht="15.75" customHeight="1">
      <c r="S1346" s="454"/>
      <c r="AN1346" s="458"/>
      <c r="BC1346" s="169"/>
    </row>
    <row r="1347" spans="19:55" ht="15.75" customHeight="1">
      <c r="S1347" s="454"/>
      <c r="AN1347" s="458"/>
      <c r="BC1347" s="169"/>
    </row>
    <row r="1348" spans="19:55" ht="15.75" customHeight="1">
      <c r="S1348" s="454"/>
      <c r="AN1348" s="458"/>
      <c r="BC1348" s="169"/>
    </row>
    <row r="1349" spans="19:55" ht="15.75" customHeight="1">
      <c r="S1349" s="454"/>
      <c r="AN1349" s="458"/>
      <c r="BC1349" s="169"/>
    </row>
    <row r="1350" spans="19:55" ht="15.75" customHeight="1">
      <c r="S1350" s="454"/>
      <c r="AN1350" s="458"/>
      <c r="BC1350" s="169"/>
    </row>
    <row r="1351" spans="19:55" ht="15.75" customHeight="1">
      <c r="S1351" s="454"/>
      <c r="AN1351" s="458"/>
      <c r="BC1351" s="169"/>
    </row>
    <row r="1352" spans="19:55" ht="15.75" customHeight="1">
      <c r="S1352" s="454"/>
      <c r="AN1352" s="458"/>
      <c r="BC1352" s="169"/>
    </row>
    <row r="1353" spans="19:55" ht="15.75" customHeight="1">
      <c r="S1353" s="454"/>
      <c r="AN1353" s="458"/>
      <c r="BC1353" s="169"/>
    </row>
    <row r="1354" spans="19:55" ht="15.75" customHeight="1">
      <c r="S1354" s="454"/>
      <c r="AN1354" s="458"/>
      <c r="BC1354" s="169"/>
    </row>
    <row r="1355" spans="19:55" ht="15.75" customHeight="1">
      <c r="S1355" s="454"/>
      <c r="AN1355" s="458"/>
      <c r="BC1355" s="169"/>
    </row>
    <row r="1356" spans="19:55" ht="15.75" customHeight="1">
      <c r="S1356" s="454"/>
      <c r="AN1356" s="458"/>
      <c r="BC1356" s="169"/>
    </row>
    <row r="1357" spans="19:55" ht="15.75" customHeight="1">
      <c r="S1357" s="454"/>
      <c r="AN1357" s="458"/>
      <c r="BC1357" s="169"/>
    </row>
    <row r="1358" spans="19:55" ht="15.75" customHeight="1">
      <c r="S1358" s="454"/>
      <c r="AN1358" s="458"/>
      <c r="BC1358" s="169"/>
    </row>
    <row r="1359" spans="19:55" ht="15.75" customHeight="1">
      <c r="S1359" s="454"/>
      <c r="AN1359" s="458"/>
      <c r="BC1359" s="169"/>
    </row>
    <row r="1360" spans="19:55" ht="15.75" customHeight="1">
      <c r="S1360" s="454"/>
      <c r="AN1360" s="458"/>
      <c r="BC1360" s="169"/>
    </row>
    <row r="1361" spans="19:55" ht="15.75" customHeight="1">
      <c r="S1361" s="454"/>
      <c r="AN1361" s="458"/>
      <c r="BC1361" s="169"/>
    </row>
    <row r="1362" spans="19:55" ht="15.75" customHeight="1">
      <c r="S1362" s="454"/>
      <c r="AN1362" s="458"/>
      <c r="BC1362" s="169"/>
    </row>
    <row r="1363" spans="19:55" ht="15.75" customHeight="1">
      <c r="S1363" s="454"/>
      <c r="AN1363" s="458"/>
      <c r="BC1363" s="169"/>
    </row>
    <row r="1364" spans="19:55" ht="15.75" customHeight="1">
      <c r="S1364" s="454"/>
      <c r="AN1364" s="458"/>
      <c r="BC1364" s="169"/>
    </row>
    <row r="1365" spans="19:55" ht="15.75" customHeight="1">
      <c r="S1365" s="454"/>
      <c r="AN1365" s="458"/>
      <c r="BC1365" s="169"/>
    </row>
    <row r="1366" spans="19:55" ht="15.75" customHeight="1">
      <c r="S1366" s="454"/>
      <c r="AN1366" s="458"/>
      <c r="BC1366" s="169"/>
    </row>
    <row r="1367" spans="19:55" ht="15.75" customHeight="1">
      <c r="S1367" s="454"/>
      <c r="AN1367" s="458"/>
      <c r="BC1367" s="169"/>
    </row>
    <row r="1368" spans="19:55" ht="15.75" customHeight="1">
      <c r="S1368" s="454"/>
      <c r="AN1368" s="458"/>
      <c r="BC1368" s="169"/>
    </row>
    <row r="1369" spans="19:55" ht="15.75" customHeight="1">
      <c r="S1369" s="454"/>
      <c r="AN1369" s="458"/>
      <c r="BC1369" s="169"/>
    </row>
    <row r="1370" spans="19:55" ht="15.75" customHeight="1">
      <c r="S1370" s="454"/>
      <c r="AN1370" s="458"/>
      <c r="BC1370" s="169"/>
    </row>
    <row r="1371" spans="19:55" ht="15.75" customHeight="1">
      <c r="S1371" s="454"/>
      <c r="AN1371" s="458"/>
      <c r="BC1371" s="169"/>
    </row>
    <row r="1372" spans="19:55" ht="15.75" customHeight="1">
      <c r="S1372" s="454"/>
      <c r="AN1372" s="458"/>
      <c r="BC1372" s="169"/>
    </row>
    <row r="1373" spans="19:55" ht="15.75" customHeight="1">
      <c r="S1373" s="454"/>
      <c r="AN1373" s="458"/>
      <c r="BC1373" s="169"/>
    </row>
    <row r="1374" spans="19:55" ht="15.75" customHeight="1">
      <c r="S1374" s="454"/>
      <c r="AN1374" s="458"/>
      <c r="BC1374" s="169"/>
    </row>
    <row r="1375" spans="19:55" ht="15.75" customHeight="1">
      <c r="S1375" s="454"/>
      <c r="AN1375" s="458"/>
      <c r="BC1375" s="169"/>
    </row>
    <row r="1376" spans="19:55" ht="15.75" customHeight="1">
      <c r="S1376" s="454"/>
      <c r="AN1376" s="458"/>
      <c r="BC1376" s="169"/>
    </row>
    <row r="1377" spans="19:55" ht="15.75" customHeight="1">
      <c r="S1377" s="454"/>
      <c r="AN1377" s="458"/>
      <c r="BC1377" s="169"/>
    </row>
    <row r="1378" spans="19:55" ht="15.75" customHeight="1">
      <c r="S1378" s="454"/>
      <c r="AN1378" s="458"/>
      <c r="BC1378" s="169"/>
    </row>
    <row r="1379" spans="19:55" ht="15.75" customHeight="1">
      <c r="S1379" s="454"/>
      <c r="AN1379" s="458"/>
      <c r="BC1379" s="169"/>
    </row>
    <row r="1380" spans="19:55" ht="15.75" customHeight="1">
      <c r="S1380" s="454"/>
      <c r="AN1380" s="458"/>
      <c r="BC1380" s="169"/>
    </row>
    <row r="1381" spans="19:55" ht="15.75" customHeight="1">
      <c r="S1381" s="454"/>
      <c r="AN1381" s="458"/>
      <c r="BC1381" s="169"/>
    </row>
    <row r="1382" spans="19:55" ht="15.75" customHeight="1">
      <c r="S1382" s="454"/>
      <c r="AN1382" s="458"/>
      <c r="BC1382" s="169"/>
    </row>
    <row r="1383" spans="19:55" ht="15.75" customHeight="1">
      <c r="S1383" s="454"/>
      <c r="AN1383" s="458"/>
      <c r="BC1383" s="169"/>
    </row>
    <row r="1384" spans="19:55" ht="15.75" customHeight="1">
      <c r="S1384" s="454"/>
      <c r="AN1384" s="458"/>
      <c r="BC1384" s="169"/>
    </row>
    <row r="1385" spans="19:55" ht="15.75" customHeight="1">
      <c r="S1385" s="454"/>
      <c r="AN1385" s="458"/>
      <c r="BC1385" s="169"/>
    </row>
    <row r="1386" spans="19:55" ht="15.75" customHeight="1">
      <c r="S1386" s="454"/>
      <c r="AN1386" s="458"/>
      <c r="BC1386" s="169"/>
    </row>
    <row r="1387" spans="19:55" ht="15.75" customHeight="1">
      <c r="S1387" s="454"/>
      <c r="AN1387" s="458"/>
      <c r="BC1387" s="169"/>
    </row>
    <row r="1388" spans="19:55" ht="15.75" customHeight="1">
      <c r="S1388" s="454"/>
      <c r="AN1388" s="458"/>
      <c r="BC1388" s="169"/>
    </row>
    <row r="1389" spans="19:55" ht="15.75" customHeight="1">
      <c r="S1389" s="454"/>
      <c r="AN1389" s="458"/>
      <c r="BC1389" s="169"/>
    </row>
    <row r="1390" spans="19:55" ht="15.75" customHeight="1">
      <c r="S1390" s="454"/>
      <c r="AN1390" s="458"/>
      <c r="BC1390" s="169"/>
    </row>
    <row r="1391" spans="19:55" ht="15.75" customHeight="1">
      <c r="S1391" s="454"/>
      <c r="AN1391" s="458"/>
      <c r="BC1391" s="169"/>
    </row>
    <row r="1392" spans="19:55" ht="15.75" customHeight="1">
      <c r="S1392" s="454"/>
      <c r="AN1392" s="458"/>
      <c r="BC1392" s="169"/>
    </row>
    <row r="1393" spans="19:55" ht="15.75" customHeight="1">
      <c r="S1393" s="454"/>
      <c r="AN1393" s="458"/>
      <c r="BC1393" s="169"/>
    </row>
    <row r="1394" spans="19:55" ht="15.75" customHeight="1">
      <c r="S1394" s="454"/>
      <c r="AN1394" s="458"/>
      <c r="BC1394" s="169"/>
    </row>
    <row r="1395" spans="19:55" ht="15.75" customHeight="1">
      <c r="S1395" s="454"/>
      <c r="AN1395" s="458"/>
      <c r="BC1395" s="169"/>
    </row>
    <row r="1396" spans="19:55" ht="15.75" customHeight="1">
      <c r="S1396" s="454"/>
      <c r="AN1396" s="458"/>
      <c r="BC1396" s="169"/>
    </row>
    <row r="1397" spans="19:55" ht="15.75" customHeight="1">
      <c r="S1397" s="454"/>
      <c r="AN1397" s="458"/>
      <c r="BC1397" s="169"/>
    </row>
    <row r="1398" spans="19:55" ht="15.75" customHeight="1">
      <c r="S1398" s="454"/>
      <c r="AN1398" s="458"/>
      <c r="BC1398" s="169"/>
    </row>
    <row r="1399" spans="19:55" ht="15.75" customHeight="1">
      <c r="S1399" s="454"/>
      <c r="AN1399" s="458"/>
      <c r="BC1399" s="169"/>
    </row>
    <row r="1400" spans="19:55" ht="15.75" customHeight="1">
      <c r="S1400" s="454"/>
      <c r="AN1400" s="458"/>
      <c r="BC1400" s="169"/>
    </row>
    <row r="1401" spans="19:55" ht="15.75" customHeight="1">
      <c r="S1401" s="454"/>
      <c r="AN1401" s="458"/>
      <c r="BC1401" s="169"/>
    </row>
    <row r="1402" spans="19:55" ht="15.75" customHeight="1">
      <c r="S1402" s="454"/>
      <c r="AN1402" s="458"/>
      <c r="BC1402" s="169"/>
    </row>
    <row r="1403" spans="19:55" ht="15.75" customHeight="1">
      <c r="S1403" s="454"/>
      <c r="AN1403" s="458"/>
      <c r="BC1403" s="169"/>
    </row>
    <row r="1404" spans="19:55" ht="15.75" customHeight="1">
      <c r="S1404" s="454"/>
      <c r="AN1404" s="458"/>
      <c r="BC1404" s="169"/>
    </row>
    <row r="1405" spans="19:55" ht="15.75" customHeight="1">
      <c r="S1405" s="454"/>
      <c r="AN1405" s="458"/>
      <c r="BC1405" s="169"/>
    </row>
    <row r="1406" spans="19:55" ht="15.75" customHeight="1">
      <c r="S1406" s="454"/>
      <c r="AN1406" s="458"/>
      <c r="BC1406" s="169"/>
    </row>
    <row r="1407" spans="19:55" ht="15.75" customHeight="1">
      <c r="S1407" s="454"/>
      <c r="AN1407" s="458"/>
      <c r="BC1407" s="169"/>
    </row>
    <row r="1408" spans="19:55" ht="15.75" customHeight="1">
      <c r="S1408" s="454"/>
      <c r="AN1408" s="458"/>
      <c r="BC1408" s="169"/>
    </row>
    <row r="1409" spans="19:55" ht="15.75" customHeight="1">
      <c r="S1409" s="454"/>
      <c r="AN1409" s="458"/>
      <c r="BC1409" s="169"/>
    </row>
    <row r="1410" spans="19:55" ht="15.75" customHeight="1">
      <c r="S1410" s="454"/>
      <c r="AN1410" s="458"/>
      <c r="BC1410" s="169"/>
    </row>
    <row r="1411" spans="19:55" ht="15.75" customHeight="1">
      <c r="S1411" s="454"/>
      <c r="AN1411" s="458"/>
      <c r="BC1411" s="169"/>
    </row>
    <row r="1412" spans="19:55" ht="15.75" customHeight="1">
      <c r="S1412" s="454"/>
      <c r="AN1412" s="458"/>
      <c r="BC1412" s="169"/>
    </row>
    <row r="1413" spans="19:55" ht="15.75" customHeight="1">
      <c r="S1413" s="454"/>
      <c r="AN1413" s="458"/>
      <c r="BC1413" s="169"/>
    </row>
    <row r="1414" spans="19:55" ht="15.75" customHeight="1">
      <c r="S1414" s="454"/>
      <c r="AN1414" s="458"/>
      <c r="BC1414" s="169"/>
    </row>
    <row r="1415" spans="19:55" ht="15.75" customHeight="1">
      <c r="S1415" s="454"/>
      <c r="AN1415" s="458"/>
      <c r="BC1415" s="169"/>
    </row>
    <row r="1416" spans="19:55" ht="15.75" customHeight="1">
      <c r="S1416" s="454"/>
      <c r="AN1416" s="458"/>
      <c r="BC1416" s="169"/>
    </row>
    <row r="1417" spans="19:55" ht="15.75" customHeight="1">
      <c r="S1417" s="454"/>
      <c r="AN1417" s="458"/>
      <c r="BC1417" s="169"/>
    </row>
    <row r="1418" spans="19:55" ht="15.75" customHeight="1">
      <c r="S1418" s="454"/>
      <c r="AN1418" s="458"/>
      <c r="BC1418" s="169"/>
    </row>
    <row r="1419" spans="19:55" ht="15.75" customHeight="1">
      <c r="S1419" s="454"/>
      <c r="AN1419" s="458"/>
      <c r="BC1419" s="169"/>
    </row>
    <row r="1420" spans="19:55" ht="15.75" customHeight="1">
      <c r="S1420" s="454"/>
      <c r="AN1420" s="458"/>
      <c r="BC1420" s="169"/>
    </row>
    <row r="1421" spans="19:55" ht="15.75" customHeight="1">
      <c r="S1421" s="454"/>
      <c r="AN1421" s="458"/>
      <c r="BC1421" s="169"/>
    </row>
    <row r="1422" spans="19:55" ht="15.75" customHeight="1">
      <c r="S1422" s="454"/>
      <c r="AN1422" s="458"/>
      <c r="BC1422" s="169"/>
    </row>
    <row r="1423" spans="19:55" ht="15.75" customHeight="1">
      <c r="S1423" s="454"/>
      <c r="AN1423" s="458"/>
      <c r="BC1423" s="169"/>
    </row>
    <row r="1424" spans="19:55" ht="15.75" customHeight="1">
      <c r="S1424" s="454"/>
      <c r="AN1424" s="458"/>
      <c r="BC1424" s="169"/>
    </row>
    <row r="1425" spans="19:55" ht="15.75" customHeight="1">
      <c r="S1425" s="454"/>
      <c r="AN1425" s="458"/>
      <c r="BC1425" s="169"/>
    </row>
    <row r="1426" spans="19:55" ht="15.75" customHeight="1">
      <c r="S1426" s="454"/>
      <c r="AN1426" s="458"/>
      <c r="BC1426" s="169"/>
    </row>
    <row r="1427" spans="19:55" ht="15.75" customHeight="1">
      <c r="S1427" s="454"/>
      <c r="AN1427" s="458"/>
      <c r="BC1427" s="169"/>
    </row>
    <row r="1428" spans="19:55" ht="15.75" customHeight="1">
      <c r="S1428" s="454"/>
      <c r="AN1428" s="458"/>
      <c r="BC1428" s="169"/>
    </row>
    <row r="1429" spans="19:55" ht="15.75" customHeight="1">
      <c r="S1429" s="454"/>
      <c r="AN1429" s="458"/>
      <c r="BC1429" s="169"/>
    </row>
    <row r="1430" spans="19:55" ht="15.75" customHeight="1">
      <c r="S1430" s="454"/>
      <c r="AN1430" s="458"/>
      <c r="BC1430" s="169"/>
    </row>
    <row r="1431" spans="19:55" ht="15.75" customHeight="1">
      <c r="S1431" s="454"/>
      <c r="AN1431" s="458"/>
      <c r="BC1431" s="169"/>
    </row>
    <row r="1432" spans="19:55" ht="15.75" customHeight="1">
      <c r="S1432" s="454"/>
      <c r="AN1432" s="458"/>
      <c r="BC1432" s="169"/>
    </row>
    <row r="1433" spans="19:55" ht="15.75" customHeight="1">
      <c r="S1433" s="454"/>
      <c r="AN1433" s="458"/>
      <c r="BC1433" s="169"/>
    </row>
    <row r="1434" spans="19:55" ht="15.75" customHeight="1">
      <c r="S1434" s="454"/>
      <c r="AN1434" s="458"/>
      <c r="BC1434" s="169"/>
    </row>
    <row r="1435" spans="19:55" ht="15.75" customHeight="1">
      <c r="S1435" s="454"/>
      <c r="AN1435" s="458"/>
      <c r="BC1435" s="169"/>
    </row>
    <row r="1436" spans="19:55" ht="15.75" customHeight="1">
      <c r="S1436" s="454"/>
      <c r="AN1436" s="458"/>
      <c r="BC1436" s="169"/>
    </row>
    <row r="1437" spans="19:55" ht="15.75" customHeight="1">
      <c r="S1437" s="454"/>
      <c r="AN1437" s="458"/>
      <c r="BC1437" s="169"/>
    </row>
    <row r="1438" spans="19:55" ht="15.75" customHeight="1">
      <c r="S1438" s="454"/>
      <c r="AN1438" s="458"/>
      <c r="BC1438" s="169"/>
    </row>
    <row r="1439" spans="19:55" ht="15.75" customHeight="1">
      <c r="S1439" s="454"/>
      <c r="AN1439" s="458"/>
      <c r="BC1439" s="169"/>
    </row>
    <row r="1440" spans="19:55" ht="15.75" customHeight="1">
      <c r="S1440" s="454"/>
      <c r="AN1440" s="458"/>
      <c r="BC1440" s="169"/>
    </row>
    <row r="1441" spans="19:55" ht="15.75" customHeight="1">
      <c r="S1441" s="454"/>
      <c r="AN1441" s="458"/>
      <c r="BC1441" s="169"/>
    </row>
    <row r="1442" spans="19:55" ht="15.75" customHeight="1">
      <c r="S1442" s="454"/>
      <c r="AN1442" s="458"/>
      <c r="BC1442" s="169"/>
    </row>
    <row r="1443" spans="19:55" ht="15.75" customHeight="1">
      <c r="S1443" s="454"/>
      <c r="AN1443" s="458"/>
      <c r="BC1443" s="169"/>
    </row>
    <row r="1444" spans="19:55" ht="15.75" customHeight="1">
      <c r="S1444" s="454"/>
      <c r="AN1444" s="458"/>
      <c r="BC1444" s="169"/>
    </row>
    <row r="1445" spans="19:55" ht="15.75" customHeight="1">
      <c r="S1445" s="454"/>
      <c r="AN1445" s="458"/>
      <c r="BC1445" s="169"/>
    </row>
    <row r="1446" spans="19:55" ht="15.75" customHeight="1">
      <c r="S1446" s="454"/>
      <c r="AN1446" s="458"/>
      <c r="BC1446" s="169"/>
    </row>
    <row r="1447" spans="19:55" ht="15.75" customHeight="1">
      <c r="S1447" s="454"/>
      <c r="AN1447" s="458"/>
      <c r="BC1447" s="169"/>
    </row>
    <row r="1448" spans="19:55" ht="15.75" customHeight="1">
      <c r="S1448" s="454"/>
      <c r="AN1448" s="458"/>
      <c r="BC1448" s="169"/>
    </row>
    <row r="1449" spans="19:55" ht="15.75" customHeight="1">
      <c r="S1449" s="454"/>
      <c r="AN1449" s="458"/>
      <c r="BC1449" s="169"/>
    </row>
    <row r="1450" spans="19:55" ht="15.75" customHeight="1">
      <c r="S1450" s="454"/>
      <c r="AN1450" s="458"/>
      <c r="BC1450" s="169"/>
    </row>
    <row r="1451" spans="19:55" ht="15.75" customHeight="1">
      <c r="S1451" s="454"/>
      <c r="AN1451" s="458"/>
      <c r="BC1451" s="169"/>
    </row>
    <row r="1452" spans="19:55" ht="15.75" customHeight="1">
      <c r="S1452" s="454"/>
      <c r="AN1452" s="458"/>
      <c r="BC1452" s="169"/>
    </row>
    <row r="1453" spans="19:55" ht="15.75" customHeight="1">
      <c r="S1453" s="454"/>
      <c r="AN1453" s="458"/>
      <c r="BC1453" s="169"/>
    </row>
    <row r="1454" spans="19:55" ht="15.75" customHeight="1">
      <c r="S1454" s="454"/>
      <c r="AN1454" s="458"/>
      <c r="BC1454" s="169"/>
    </row>
    <row r="1455" spans="19:55" ht="15.75" customHeight="1">
      <c r="S1455" s="454"/>
      <c r="AN1455" s="458"/>
      <c r="BC1455" s="169"/>
    </row>
    <row r="1456" spans="19:55" ht="15.75" customHeight="1">
      <c r="S1456" s="454"/>
      <c r="AN1456" s="458"/>
      <c r="BC1456" s="169"/>
    </row>
    <row r="1457" spans="19:55" ht="15.75" customHeight="1">
      <c r="S1457" s="454"/>
      <c r="AN1457" s="458"/>
      <c r="BC1457" s="169"/>
    </row>
    <row r="1458" spans="19:55" ht="15.75" customHeight="1">
      <c r="S1458" s="454"/>
      <c r="AN1458" s="458"/>
      <c r="BC1458" s="169"/>
    </row>
    <row r="1459" spans="19:55" ht="15.75" customHeight="1">
      <c r="S1459" s="454"/>
      <c r="AN1459" s="458"/>
      <c r="BC1459" s="169"/>
    </row>
    <row r="1460" spans="19:55" ht="15.75" customHeight="1">
      <c r="S1460" s="454"/>
      <c r="AN1460" s="458"/>
      <c r="BC1460" s="169"/>
    </row>
    <row r="1461" spans="19:55" ht="15.75" customHeight="1">
      <c r="S1461" s="454"/>
      <c r="AN1461" s="458"/>
      <c r="BC1461" s="169"/>
    </row>
    <row r="1462" spans="19:55" ht="15.75" customHeight="1">
      <c r="S1462" s="454"/>
      <c r="AN1462" s="458"/>
      <c r="BC1462" s="169"/>
    </row>
    <row r="1463" spans="19:55" ht="15.75" customHeight="1">
      <c r="S1463" s="454"/>
      <c r="AN1463" s="458"/>
      <c r="BC1463" s="169"/>
    </row>
    <row r="1464" spans="19:55" ht="15.75" customHeight="1">
      <c r="S1464" s="454"/>
      <c r="AN1464" s="458"/>
      <c r="BC1464" s="169"/>
    </row>
    <row r="1465" spans="19:55" ht="15.75" customHeight="1">
      <c r="S1465" s="454"/>
      <c r="AN1465" s="458"/>
      <c r="BC1465" s="169"/>
    </row>
    <row r="1466" spans="19:55" ht="15.75" customHeight="1">
      <c r="S1466" s="454"/>
      <c r="AN1466" s="458"/>
      <c r="BC1466" s="169"/>
    </row>
    <row r="1467" spans="19:55" ht="15.75" customHeight="1">
      <c r="S1467" s="454"/>
      <c r="AN1467" s="458"/>
      <c r="BC1467" s="169"/>
    </row>
    <row r="1468" spans="19:55" ht="15.75" customHeight="1">
      <c r="S1468" s="454"/>
      <c r="AN1468" s="458"/>
      <c r="BC1468" s="169"/>
    </row>
    <row r="1469" spans="19:55" ht="15.75" customHeight="1">
      <c r="S1469" s="454"/>
      <c r="AN1469" s="458"/>
      <c r="BC1469" s="169"/>
    </row>
    <row r="1470" spans="19:55" ht="15.75" customHeight="1">
      <c r="S1470" s="454"/>
      <c r="AN1470" s="458"/>
      <c r="BC1470" s="169"/>
    </row>
    <row r="1471" spans="19:55" ht="15.75" customHeight="1">
      <c r="S1471" s="454"/>
      <c r="AN1471" s="458"/>
      <c r="BC1471" s="169"/>
    </row>
    <row r="1472" spans="19:55" ht="15.75" customHeight="1">
      <c r="S1472" s="454"/>
      <c r="AN1472" s="458"/>
      <c r="BC1472" s="169"/>
    </row>
    <row r="1473" spans="19:55" ht="15.75" customHeight="1">
      <c r="S1473" s="454"/>
      <c r="AN1473" s="458"/>
      <c r="BC1473" s="169"/>
    </row>
    <row r="1474" spans="19:55" ht="15.75" customHeight="1">
      <c r="S1474" s="454"/>
      <c r="AN1474" s="458"/>
      <c r="BC1474" s="169"/>
    </row>
    <row r="1475" spans="19:55" ht="15.75" customHeight="1">
      <c r="S1475" s="454"/>
      <c r="AN1475" s="458"/>
      <c r="BC1475" s="169"/>
    </row>
    <row r="1476" spans="19:55" ht="15.75" customHeight="1">
      <c r="S1476" s="454"/>
      <c r="AN1476" s="458"/>
      <c r="BC1476" s="169"/>
    </row>
    <row r="1477" spans="19:55" ht="15.75" customHeight="1">
      <c r="S1477" s="454"/>
      <c r="AN1477" s="458"/>
      <c r="BC1477" s="169"/>
    </row>
    <row r="1478" spans="19:55" ht="15.75" customHeight="1">
      <c r="S1478" s="454"/>
      <c r="AN1478" s="458"/>
      <c r="BC1478" s="169"/>
    </row>
    <row r="1479" spans="19:55" ht="15.75" customHeight="1">
      <c r="S1479" s="454"/>
      <c r="AN1479" s="458"/>
      <c r="BC1479" s="169"/>
    </row>
    <row r="1480" spans="19:55" ht="15.75" customHeight="1">
      <c r="S1480" s="454"/>
      <c r="AN1480" s="458"/>
      <c r="BC1480" s="169"/>
    </row>
    <row r="1481" spans="19:55" ht="15.75" customHeight="1">
      <c r="S1481" s="454"/>
      <c r="AN1481" s="458"/>
      <c r="BC1481" s="169"/>
    </row>
    <row r="1482" spans="19:55" ht="15.75" customHeight="1">
      <c r="S1482" s="454"/>
      <c r="AN1482" s="458"/>
      <c r="BC1482" s="169"/>
    </row>
    <row r="1483" spans="19:55" ht="15.75" customHeight="1">
      <c r="S1483" s="454"/>
      <c r="AN1483" s="458"/>
      <c r="BC1483" s="169"/>
    </row>
    <row r="1484" spans="19:55" ht="15.75" customHeight="1">
      <c r="S1484" s="454"/>
      <c r="AN1484" s="458"/>
      <c r="BC1484" s="169"/>
    </row>
    <row r="1485" spans="19:55" ht="15.75" customHeight="1">
      <c r="S1485" s="454"/>
      <c r="AN1485" s="458"/>
      <c r="BC1485" s="169"/>
    </row>
    <row r="1486" spans="19:55" ht="15.75" customHeight="1">
      <c r="S1486" s="454"/>
      <c r="AN1486" s="458"/>
      <c r="BC1486" s="169"/>
    </row>
    <row r="1487" spans="19:55" ht="15.75" customHeight="1">
      <c r="S1487" s="454"/>
      <c r="AN1487" s="458"/>
      <c r="BC1487" s="169"/>
    </row>
    <row r="1488" spans="19:55" ht="15.75" customHeight="1">
      <c r="S1488" s="454"/>
      <c r="AN1488" s="458"/>
      <c r="BC1488" s="169"/>
    </row>
    <row r="1489" spans="19:55" ht="15.75" customHeight="1">
      <c r="S1489" s="454"/>
      <c r="AN1489" s="458"/>
      <c r="BC1489" s="169"/>
    </row>
    <row r="1490" spans="19:55" ht="15.75" customHeight="1">
      <c r="S1490" s="454"/>
      <c r="AN1490" s="458"/>
      <c r="BC1490" s="169"/>
    </row>
    <row r="1491" spans="19:55" ht="15.75" customHeight="1">
      <c r="S1491" s="454"/>
      <c r="AN1491" s="458"/>
      <c r="BC1491" s="169"/>
    </row>
    <row r="1492" spans="19:55" ht="15.75" customHeight="1">
      <c r="S1492" s="454"/>
      <c r="AN1492" s="458"/>
      <c r="BC1492" s="169"/>
    </row>
    <row r="1493" spans="19:55" ht="15.75" customHeight="1">
      <c r="S1493" s="454"/>
      <c r="AN1493" s="458"/>
      <c r="BC1493" s="169"/>
    </row>
    <row r="1494" spans="19:55" ht="15.75" customHeight="1">
      <c r="AN1494" s="458"/>
      <c r="BC1494" s="169"/>
    </row>
    <row r="1495" spans="19:55" ht="15.75" customHeight="1">
      <c r="AN1495" s="458"/>
      <c r="BC1495" s="169"/>
    </row>
    <row r="1496" spans="19:55" ht="15.75" customHeight="1">
      <c r="AN1496" s="458"/>
      <c r="BC1496" s="169"/>
    </row>
    <row r="1497" spans="19:55" ht="15.75" customHeight="1">
      <c r="AN1497" s="458"/>
      <c r="BC1497" s="169"/>
    </row>
    <row r="1498" spans="19:55" ht="15.75" customHeight="1">
      <c r="AN1498" s="458"/>
      <c r="BC1498" s="169"/>
    </row>
    <row r="1499" spans="19:55" ht="15.75" customHeight="1">
      <c r="AN1499" s="458"/>
      <c r="BC1499" s="169"/>
    </row>
    <row r="1500" spans="19:55" ht="15.75" customHeight="1">
      <c r="AN1500" s="458"/>
      <c r="BC1500" s="169"/>
    </row>
    <row r="1501" spans="19:55" ht="15.75" customHeight="1">
      <c r="AN1501" s="458"/>
      <c r="BC1501" s="169"/>
    </row>
    <row r="1502" spans="19:55" ht="15.75" customHeight="1">
      <c r="AN1502" s="458"/>
      <c r="BC1502" s="169"/>
    </row>
    <row r="1503" spans="19:55" ht="15.75" customHeight="1">
      <c r="AN1503" s="458"/>
      <c r="BC1503" s="169"/>
    </row>
    <row r="1504" spans="19:55" ht="15.75" customHeight="1">
      <c r="AN1504" s="458"/>
      <c r="BC1504" s="169"/>
    </row>
    <row r="1505" spans="40:55" ht="15.75" customHeight="1">
      <c r="AN1505" s="458"/>
      <c r="BC1505" s="169"/>
    </row>
    <row r="1506" spans="40:55" ht="15.75" customHeight="1">
      <c r="AN1506" s="458"/>
      <c r="BC1506" s="169"/>
    </row>
    <row r="1507" spans="40:55" ht="15.75" customHeight="1">
      <c r="AN1507" s="458"/>
      <c r="BC1507" s="169"/>
    </row>
    <row r="1508" spans="40:55" ht="15.75" customHeight="1">
      <c r="AN1508" s="458"/>
      <c r="BC1508" s="169"/>
    </row>
    <row r="1509" spans="40:55" ht="15.75" customHeight="1">
      <c r="AN1509" s="458"/>
      <c r="BC1509" s="169"/>
    </row>
    <row r="1510" spans="40:55" ht="15.75" customHeight="1">
      <c r="AN1510" s="458"/>
      <c r="BC1510" s="169"/>
    </row>
    <row r="1511" spans="40:55" ht="15.75" customHeight="1">
      <c r="AN1511" s="458"/>
      <c r="BC1511" s="169"/>
    </row>
    <row r="1512" spans="40:55" ht="15.75" customHeight="1">
      <c r="AN1512" s="458"/>
      <c r="BC1512" s="169"/>
    </row>
    <row r="1513" spans="40:55" ht="15.75" customHeight="1">
      <c r="AN1513" s="458"/>
      <c r="BC1513" s="169"/>
    </row>
    <row r="1514" spans="40:55" ht="15.75" customHeight="1">
      <c r="AN1514" s="458"/>
      <c r="BC1514" s="169"/>
    </row>
    <row r="1515" spans="40:55" ht="15.75" customHeight="1">
      <c r="AN1515" s="458"/>
      <c r="BC1515" s="169"/>
    </row>
    <row r="1516" spans="40:55" ht="15.75" customHeight="1">
      <c r="AN1516" s="458"/>
      <c r="BC1516" s="169"/>
    </row>
    <row r="1517" spans="40:55" ht="15.75" customHeight="1">
      <c r="AN1517" s="458"/>
      <c r="BC1517" s="169"/>
    </row>
    <row r="1518" spans="40:55" ht="15.75" customHeight="1">
      <c r="AN1518" s="458"/>
      <c r="BC1518" s="169"/>
    </row>
    <row r="1519" spans="40:55" ht="15.75" customHeight="1">
      <c r="AN1519" s="458"/>
      <c r="BC1519" s="169"/>
    </row>
    <row r="1520" spans="40:55" ht="15.75" customHeight="1">
      <c r="AN1520" s="458"/>
      <c r="BC1520" s="169"/>
    </row>
    <row r="1521" spans="40:55" ht="15.75" customHeight="1">
      <c r="AN1521" s="458"/>
      <c r="BC1521" s="169"/>
    </row>
    <row r="1522" spans="40:55" ht="15.75" customHeight="1">
      <c r="AN1522" s="458"/>
      <c r="BC1522" s="169"/>
    </row>
    <row r="1523" spans="40:55" ht="15.75" customHeight="1">
      <c r="AN1523" s="458"/>
      <c r="BC1523" s="169"/>
    </row>
    <row r="1524" spans="40:55" ht="15.75" customHeight="1">
      <c r="AN1524" s="458"/>
      <c r="BC1524" s="169"/>
    </row>
    <row r="1525" spans="40:55" ht="15.75" customHeight="1">
      <c r="AN1525" s="458"/>
      <c r="BC1525" s="169"/>
    </row>
    <row r="1526" spans="40:55" ht="15.75" customHeight="1">
      <c r="AN1526" s="458"/>
      <c r="BC1526" s="169"/>
    </row>
    <row r="1527" spans="40:55" ht="15.75" customHeight="1">
      <c r="AN1527" s="458"/>
      <c r="BC1527" s="169"/>
    </row>
    <row r="1528" spans="40:55" ht="15.75" customHeight="1">
      <c r="AN1528" s="458"/>
      <c r="BC1528" s="169"/>
    </row>
    <row r="1529" spans="40:55" ht="15.75" customHeight="1">
      <c r="AN1529" s="458"/>
      <c r="BC1529" s="169"/>
    </row>
    <row r="1530" spans="40:55" ht="15.75" customHeight="1">
      <c r="AN1530" s="458"/>
      <c r="BC1530" s="169"/>
    </row>
    <row r="1531" spans="40:55" ht="15.75" customHeight="1">
      <c r="AN1531" s="458"/>
      <c r="BC1531" s="169"/>
    </row>
    <row r="1532" spans="40:55" ht="15.75" customHeight="1">
      <c r="AN1532" s="458"/>
      <c r="BC1532" s="169"/>
    </row>
    <row r="1533" spans="40:55" ht="15.75" customHeight="1">
      <c r="AN1533" s="458"/>
      <c r="BC1533" s="169"/>
    </row>
    <row r="1534" spans="40:55" ht="15.75" customHeight="1">
      <c r="AN1534" s="458"/>
      <c r="BC1534" s="169"/>
    </row>
    <row r="1535" spans="40:55" ht="15.75" customHeight="1">
      <c r="AN1535" s="458"/>
      <c r="BC1535" s="169"/>
    </row>
    <row r="1536" spans="40:55" ht="15.75" customHeight="1">
      <c r="AN1536" s="458"/>
      <c r="BC1536" s="169"/>
    </row>
    <row r="1537" spans="40:55" ht="15.75" customHeight="1">
      <c r="AN1537" s="458"/>
      <c r="BC1537" s="169"/>
    </row>
    <row r="1538" spans="40:55" ht="15.75" customHeight="1">
      <c r="AN1538" s="458"/>
      <c r="BC1538" s="169"/>
    </row>
    <row r="1539" spans="40:55" ht="15.75" customHeight="1">
      <c r="AN1539" s="458"/>
      <c r="BC1539" s="169"/>
    </row>
    <row r="1540" spans="40:55" ht="15.75" customHeight="1">
      <c r="AN1540" s="458"/>
      <c r="BC1540" s="169"/>
    </row>
    <row r="1541" spans="40:55" ht="15.75" customHeight="1">
      <c r="AN1541" s="458"/>
      <c r="BC1541" s="169"/>
    </row>
    <row r="1542" spans="40:55" ht="15.75" customHeight="1">
      <c r="AN1542" s="458"/>
      <c r="BC1542" s="169"/>
    </row>
    <row r="1543" spans="40:55" ht="15.75" customHeight="1">
      <c r="AN1543" s="458"/>
      <c r="BC1543" s="169"/>
    </row>
    <row r="1544" spans="40:55" ht="15.75" customHeight="1">
      <c r="AN1544" s="458"/>
      <c r="BC1544" s="169"/>
    </row>
    <row r="1545" spans="40:55" ht="15.75" customHeight="1">
      <c r="AN1545" s="458"/>
      <c r="BC1545" s="169"/>
    </row>
    <row r="1546" spans="40:55" ht="15.75" customHeight="1">
      <c r="AN1546" s="458"/>
      <c r="BC1546" s="169"/>
    </row>
    <row r="1547" spans="40:55" ht="15.75" customHeight="1">
      <c r="AN1547" s="458"/>
      <c r="BC1547" s="169"/>
    </row>
    <row r="1548" spans="40:55" ht="15.75" customHeight="1">
      <c r="AN1548" s="458"/>
      <c r="BC1548" s="169"/>
    </row>
    <row r="1549" spans="40:55" ht="15.75" customHeight="1">
      <c r="AN1549" s="458"/>
      <c r="BC1549" s="169"/>
    </row>
    <row r="1550" spans="40:55" ht="15.75" customHeight="1">
      <c r="AN1550" s="458"/>
      <c r="BC1550" s="169"/>
    </row>
    <row r="1551" spans="40:55" ht="15.75" customHeight="1">
      <c r="AN1551" s="458"/>
      <c r="BC1551" s="169"/>
    </row>
    <row r="1552" spans="40:55" ht="15.75" customHeight="1">
      <c r="AN1552" s="458"/>
      <c r="BC1552" s="169"/>
    </row>
    <row r="1553" spans="40:55" ht="15.75" customHeight="1">
      <c r="AN1553" s="458"/>
      <c r="BC1553" s="169"/>
    </row>
    <row r="1554" spans="40:55" ht="15.75" customHeight="1">
      <c r="AN1554" s="458"/>
      <c r="BC1554" s="169"/>
    </row>
    <row r="1555" spans="40:55" ht="15.75" customHeight="1">
      <c r="AN1555" s="458"/>
      <c r="BC1555" s="169"/>
    </row>
    <row r="1556" spans="40:55" ht="15.75" customHeight="1">
      <c r="AN1556" s="458"/>
      <c r="BC1556" s="169"/>
    </row>
    <row r="1557" spans="40:55" ht="15.75" customHeight="1">
      <c r="AN1557" s="458"/>
      <c r="BC1557" s="169"/>
    </row>
    <row r="1558" spans="40:55" ht="15.75" customHeight="1">
      <c r="AN1558" s="458"/>
      <c r="BC1558" s="169"/>
    </row>
    <row r="1559" spans="40:55" ht="15.75" customHeight="1">
      <c r="AN1559" s="458"/>
      <c r="BC1559" s="169"/>
    </row>
    <row r="1560" spans="40:55" ht="15.75" customHeight="1">
      <c r="AN1560" s="458"/>
      <c r="BC1560" s="169"/>
    </row>
    <row r="1561" spans="40:55" ht="15.75" customHeight="1">
      <c r="AN1561" s="458"/>
      <c r="BC1561" s="169"/>
    </row>
    <row r="1562" spans="40:55" ht="15.75" customHeight="1">
      <c r="AN1562" s="458"/>
      <c r="BC1562" s="169"/>
    </row>
    <row r="1563" spans="40:55" ht="15.75" customHeight="1">
      <c r="AN1563" s="458"/>
      <c r="BC1563" s="169"/>
    </row>
    <row r="1564" spans="40:55" ht="15.75" customHeight="1">
      <c r="AN1564" s="458"/>
      <c r="BC1564" s="169"/>
    </row>
    <row r="1565" spans="40:55" ht="15.75" customHeight="1">
      <c r="AN1565" s="458"/>
      <c r="BC1565" s="169"/>
    </row>
    <row r="1566" spans="40:55" ht="15.75" customHeight="1">
      <c r="AN1566" s="458"/>
      <c r="BC1566" s="169"/>
    </row>
    <row r="1567" spans="40:55" ht="15.75" customHeight="1">
      <c r="AN1567" s="458"/>
      <c r="BC1567" s="169"/>
    </row>
    <row r="1568" spans="40:55" ht="15.75" customHeight="1">
      <c r="AN1568" s="458"/>
      <c r="BC1568" s="169"/>
    </row>
    <row r="1569" spans="40:55" ht="15.75" customHeight="1">
      <c r="AN1569" s="458"/>
      <c r="BC1569" s="169"/>
    </row>
    <row r="1570" spans="40:55" ht="15.75" customHeight="1">
      <c r="AN1570" s="458"/>
      <c r="BC1570" s="169"/>
    </row>
    <row r="1571" spans="40:55" ht="15.75" customHeight="1">
      <c r="AN1571" s="458"/>
      <c r="BC1571" s="169"/>
    </row>
    <row r="1572" spans="40:55" ht="15.75" customHeight="1">
      <c r="AN1572" s="458"/>
      <c r="BC1572" s="169"/>
    </row>
    <row r="1573" spans="40:55" ht="15.75" customHeight="1">
      <c r="AN1573" s="458"/>
      <c r="BC1573" s="169"/>
    </row>
    <row r="1574" spans="40:55" ht="15.75" customHeight="1">
      <c r="AN1574" s="458"/>
      <c r="BC1574" s="169"/>
    </row>
    <row r="1575" spans="40:55" ht="15.75" customHeight="1">
      <c r="AN1575" s="458"/>
      <c r="BC1575" s="169"/>
    </row>
    <row r="1576" spans="40:55" ht="15.75" customHeight="1">
      <c r="AN1576" s="458"/>
      <c r="BC1576" s="169"/>
    </row>
    <row r="1577" spans="40:55" ht="15.75" customHeight="1">
      <c r="AN1577" s="458"/>
      <c r="BC1577" s="169"/>
    </row>
    <row r="1578" spans="40:55" ht="15.75" customHeight="1">
      <c r="AN1578" s="458"/>
      <c r="BC1578" s="169"/>
    </row>
    <row r="1579" spans="40:55" ht="15.75" customHeight="1">
      <c r="AN1579" s="458"/>
      <c r="BC1579" s="169"/>
    </row>
    <row r="1580" spans="40:55" ht="15.75" customHeight="1">
      <c r="AN1580" s="458"/>
      <c r="BC1580" s="169"/>
    </row>
    <row r="1581" spans="40:55" ht="15.75" customHeight="1">
      <c r="AN1581" s="458"/>
      <c r="BC1581" s="169"/>
    </row>
    <row r="1582" spans="40:55" ht="15.75" customHeight="1">
      <c r="AN1582" s="458"/>
      <c r="BC1582" s="169"/>
    </row>
    <row r="1583" spans="40:55" ht="15.75" customHeight="1">
      <c r="AN1583" s="458"/>
      <c r="BC1583" s="169"/>
    </row>
    <row r="1584" spans="40:55" ht="15.75" customHeight="1">
      <c r="AN1584" s="458"/>
      <c r="BC1584" s="169"/>
    </row>
    <row r="1585" spans="40:55" ht="15.75" customHeight="1">
      <c r="AN1585" s="458"/>
      <c r="BC1585" s="169"/>
    </row>
    <row r="1586" spans="40:55" ht="15.75" customHeight="1">
      <c r="AN1586" s="458"/>
      <c r="BC1586" s="169"/>
    </row>
    <row r="1587" spans="40:55" ht="15.75" customHeight="1">
      <c r="AN1587" s="458"/>
      <c r="BC1587" s="169"/>
    </row>
    <row r="1588" spans="40:55" ht="15.75" customHeight="1">
      <c r="AN1588" s="458"/>
      <c r="BC1588" s="169"/>
    </row>
    <row r="1589" spans="40:55" ht="15.75" customHeight="1">
      <c r="AN1589" s="458"/>
      <c r="BC1589" s="169"/>
    </row>
    <row r="1590" spans="40:55" ht="15.75" customHeight="1">
      <c r="AN1590" s="458"/>
      <c r="BC1590" s="169"/>
    </row>
    <row r="1591" spans="40:55" ht="15.75" customHeight="1">
      <c r="AN1591" s="458"/>
      <c r="BC1591" s="169"/>
    </row>
    <row r="1592" spans="40:55" ht="15.75" customHeight="1">
      <c r="AN1592" s="458"/>
      <c r="BC1592" s="169"/>
    </row>
    <row r="1593" spans="40:55" ht="15.75" customHeight="1">
      <c r="AN1593" s="458"/>
      <c r="BC1593" s="169"/>
    </row>
    <row r="1594" spans="40:55" ht="15.75" customHeight="1">
      <c r="AN1594" s="458"/>
      <c r="BC1594" s="169"/>
    </row>
    <row r="1595" spans="40:55" ht="15.75" customHeight="1">
      <c r="AN1595" s="458"/>
      <c r="BC1595" s="169"/>
    </row>
    <row r="1596" spans="40:55" ht="15.75" customHeight="1">
      <c r="AN1596" s="458"/>
      <c r="BC1596" s="169"/>
    </row>
    <row r="1597" spans="40:55" ht="15.75" customHeight="1">
      <c r="AN1597" s="458"/>
      <c r="BC1597" s="169"/>
    </row>
    <row r="1598" spans="40:55" ht="15.75" customHeight="1">
      <c r="AN1598" s="458"/>
      <c r="BC1598" s="169"/>
    </row>
    <row r="1599" spans="40:55" ht="15.75" customHeight="1">
      <c r="AN1599" s="458"/>
      <c r="BC1599" s="169"/>
    </row>
    <row r="1600" spans="40:55" ht="15.75" customHeight="1">
      <c r="AN1600" s="458"/>
      <c r="BC1600" s="169"/>
    </row>
    <row r="1601" spans="40:55" ht="15.75" customHeight="1">
      <c r="AN1601" s="458"/>
      <c r="BC1601" s="169"/>
    </row>
    <row r="1602" spans="40:55" ht="15.75" customHeight="1">
      <c r="AN1602" s="458"/>
      <c r="BC1602" s="169"/>
    </row>
    <row r="1603" spans="40:55" ht="15.75" customHeight="1">
      <c r="AN1603" s="458"/>
      <c r="BC1603" s="169"/>
    </row>
    <row r="1604" spans="40:55" ht="15.75" customHeight="1">
      <c r="AN1604" s="458"/>
      <c r="BC1604" s="169"/>
    </row>
    <row r="1605" spans="40:55" ht="15.75" customHeight="1">
      <c r="AN1605" s="458"/>
      <c r="BC1605" s="169"/>
    </row>
    <row r="1606" spans="40:55" ht="15.75" customHeight="1">
      <c r="AN1606" s="458"/>
      <c r="BC1606" s="169"/>
    </row>
    <row r="1607" spans="40:55" ht="15.75" customHeight="1">
      <c r="AN1607" s="458"/>
      <c r="BC1607" s="169"/>
    </row>
    <row r="1608" spans="40:55" ht="15.75" customHeight="1">
      <c r="AN1608" s="458"/>
      <c r="BC1608" s="169"/>
    </row>
    <row r="1609" spans="40:55" ht="15.75" customHeight="1">
      <c r="AN1609" s="458"/>
      <c r="BC1609" s="169"/>
    </row>
    <row r="1610" spans="40:55" ht="15.75" customHeight="1">
      <c r="AN1610" s="458"/>
      <c r="BC1610" s="169"/>
    </row>
    <row r="1611" spans="40:55" ht="15.75" customHeight="1">
      <c r="AN1611" s="458"/>
      <c r="BC1611" s="169"/>
    </row>
    <row r="1612" spans="40:55" ht="15.75" customHeight="1">
      <c r="AN1612" s="458"/>
      <c r="BC1612" s="169"/>
    </row>
    <row r="1613" spans="40:55" ht="15.75" customHeight="1">
      <c r="AN1613" s="458"/>
      <c r="BC1613" s="169"/>
    </row>
    <row r="1614" spans="40:55" ht="15.75" customHeight="1">
      <c r="AN1614" s="458"/>
      <c r="BC1614" s="169"/>
    </row>
    <row r="1615" spans="40:55" ht="15.75" customHeight="1">
      <c r="AN1615" s="458"/>
      <c r="BC1615" s="169"/>
    </row>
    <row r="1616" spans="40:55" ht="15.75" customHeight="1">
      <c r="AN1616" s="458"/>
      <c r="BC1616" s="169"/>
    </row>
    <row r="1617" spans="40:55" ht="15.75" customHeight="1">
      <c r="AN1617" s="458"/>
      <c r="BC1617" s="169"/>
    </row>
    <row r="1618" spans="40:55" ht="15.75" customHeight="1">
      <c r="AN1618" s="458"/>
      <c r="BC1618" s="169"/>
    </row>
    <row r="1619" spans="40:55" ht="15.75" customHeight="1">
      <c r="AN1619" s="458"/>
      <c r="BC1619" s="169"/>
    </row>
    <row r="1620" spans="40:55" ht="15.75" customHeight="1">
      <c r="AN1620" s="458"/>
      <c r="BC1620" s="169"/>
    </row>
    <row r="1621" spans="40:55" ht="15.75" customHeight="1">
      <c r="AN1621" s="458"/>
      <c r="BC1621" s="169"/>
    </row>
    <row r="1622" spans="40:55" ht="15.75" customHeight="1">
      <c r="AN1622" s="458"/>
      <c r="BC1622" s="169"/>
    </row>
    <row r="1623" spans="40:55" ht="15.75" customHeight="1">
      <c r="AN1623" s="458"/>
      <c r="BC1623" s="169"/>
    </row>
    <row r="1624" spans="40:55" ht="15.75" customHeight="1">
      <c r="AN1624" s="458"/>
      <c r="BC1624" s="169"/>
    </row>
    <row r="1625" spans="40:55" ht="15.75" customHeight="1">
      <c r="AN1625" s="458"/>
      <c r="BC1625" s="169"/>
    </row>
    <row r="1626" spans="40:55" ht="15.75" customHeight="1">
      <c r="AN1626" s="458"/>
      <c r="BC1626" s="169"/>
    </row>
    <row r="1627" spans="40:55" ht="15.75" customHeight="1">
      <c r="AN1627" s="458"/>
      <c r="BC1627" s="169"/>
    </row>
    <row r="1628" spans="40:55" ht="15.75" customHeight="1">
      <c r="AN1628" s="458"/>
      <c r="BC1628" s="169"/>
    </row>
    <row r="1629" spans="40:55" ht="15.75" customHeight="1">
      <c r="AN1629" s="458"/>
      <c r="BC1629" s="169"/>
    </row>
    <row r="1630" spans="40:55" ht="15.75" customHeight="1">
      <c r="AN1630" s="458"/>
      <c r="BC1630" s="169"/>
    </row>
    <row r="1631" spans="40:55" ht="15.75" customHeight="1">
      <c r="AN1631" s="458"/>
      <c r="BC1631" s="169"/>
    </row>
    <row r="1632" spans="40:55" ht="15.75" customHeight="1">
      <c r="AN1632" s="458"/>
      <c r="BC1632" s="169"/>
    </row>
    <row r="1633" spans="40:55" ht="15.75" customHeight="1">
      <c r="AN1633" s="458"/>
      <c r="BC1633" s="169"/>
    </row>
    <row r="1634" spans="40:55" ht="15.75" customHeight="1">
      <c r="AN1634" s="458"/>
      <c r="BC1634" s="169"/>
    </row>
    <row r="1635" spans="40:55" ht="15.75" customHeight="1">
      <c r="AN1635" s="458"/>
      <c r="BC1635" s="169"/>
    </row>
    <row r="1636" spans="40:55" ht="15.75" customHeight="1">
      <c r="AN1636" s="458"/>
      <c r="BC1636" s="169"/>
    </row>
    <row r="1637" spans="40:55" ht="15.75" customHeight="1">
      <c r="AN1637" s="458"/>
      <c r="BC1637" s="169"/>
    </row>
    <row r="1638" spans="40:55" ht="15.75" customHeight="1">
      <c r="AN1638" s="458"/>
      <c r="BC1638" s="169"/>
    </row>
    <row r="1639" spans="40:55" ht="15.75" customHeight="1">
      <c r="AN1639" s="458"/>
      <c r="BC1639" s="169"/>
    </row>
    <row r="1640" spans="40:55" ht="15.75" customHeight="1">
      <c r="AN1640" s="458"/>
      <c r="BC1640" s="169"/>
    </row>
    <row r="1641" spans="40:55" ht="15.75" customHeight="1">
      <c r="AN1641" s="458"/>
      <c r="BC1641" s="169"/>
    </row>
    <row r="1642" spans="40:55" ht="15.75" customHeight="1">
      <c r="AN1642" s="458"/>
      <c r="BC1642" s="169"/>
    </row>
    <row r="1643" spans="40:55" ht="15.75" customHeight="1">
      <c r="AN1643" s="458"/>
      <c r="BC1643" s="169"/>
    </row>
    <row r="1644" spans="40:55" ht="15.75" customHeight="1">
      <c r="AN1644" s="458"/>
      <c r="BC1644" s="169"/>
    </row>
    <row r="1645" spans="40:55" ht="15.75" customHeight="1">
      <c r="AN1645" s="458"/>
      <c r="BC1645" s="169"/>
    </row>
    <row r="1646" spans="40:55" ht="15.75" customHeight="1">
      <c r="AN1646" s="458"/>
      <c r="BC1646" s="169"/>
    </row>
    <row r="1647" spans="40:55" ht="15.75" customHeight="1">
      <c r="AN1647" s="458"/>
      <c r="BC1647" s="169"/>
    </row>
    <row r="1648" spans="40:55" ht="15.75" customHeight="1">
      <c r="AN1648" s="458"/>
      <c r="BC1648" s="169"/>
    </row>
    <row r="1649" spans="40:55" ht="15.75" customHeight="1">
      <c r="AN1649" s="458"/>
      <c r="BC1649" s="169"/>
    </row>
    <row r="1650" spans="40:55" ht="15.75" customHeight="1">
      <c r="AN1650" s="458"/>
      <c r="BC1650" s="169"/>
    </row>
    <row r="1651" spans="40:55" ht="15.75" customHeight="1">
      <c r="AN1651" s="458"/>
      <c r="BC1651" s="169"/>
    </row>
    <row r="1652" spans="40:55" ht="15.75" customHeight="1">
      <c r="AN1652" s="458"/>
      <c r="BC1652" s="169"/>
    </row>
    <row r="1653" spans="40:55" ht="15.75" customHeight="1">
      <c r="AN1653" s="458"/>
      <c r="BC1653" s="169"/>
    </row>
    <row r="1654" spans="40:55" ht="15.75" customHeight="1">
      <c r="AN1654" s="458"/>
      <c r="BC1654" s="169"/>
    </row>
    <row r="1655" spans="40:55" ht="15.75" customHeight="1">
      <c r="AN1655" s="458"/>
      <c r="BC1655" s="169"/>
    </row>
    <row r="1656" spans="40:55" ht="15.75" customHeight="1">
      <c r="AN1656" s="458"/>
      <c r="BC1656" s="169"/>
    </row>
    <row r="1657" spans="40:55" ht="15.75" customHeight="1">
      <c r="AN1657" s="458"/>
      <c r="BC1657" s="169"/>
    </row>
    <row r="1658" spans="40:55" ht="15.75" customHeight="1">
      <c r="AN1658" s="458"/>
      <c r="BC1658" s="169"/>
    </row>
    <row r="1659" spans="40:55" ht="15.75" customHeight="1">
      <c r="AN1659" s="458"/>
      <c r="BC1659" s="169"/>
    </row>
    <row r="1660" spans="40:55" ht="15.75" customHeight="1">
      <c r="AN1660" s="458"/>
      <c r="BC1660" s="169"/>
    </row>
    <row r="1661" spans="40:55" ht="15.75" customHeight="1">
      <c r="AN1661" s="458"/>
      <c r="BC1661" s="169"/>
    </row>
    <row r="1662" spans="40:55" ht="15.75" customHeight="1">
      <c r="AN1662" s="458"/>
      <c r="BC1662" s="169"/>
    </row>
    <row r="1663" spans="40:55" ht="15.75" customHeight="1">
      <c r="AN1663" s="458"/>
      <c r="BC1663" s="169"/>
    </row>
    <row r="1664" spans="40:55" ht="15.75" customHeight="1">
      <c r="AN1664" s="458"/>
      <c r="BC1664" s="169"/>
    </row>
    <row r="1665" spans="40:55" ht="15.75" customHeight="1">
      <c r="AN1665" s="458"/>
      <c r="BC1665" s="169"/>
    </row>
    <row r="1666" spans="40:55" ht="15.75" customHeight="1">
      <c r="AN1666" s="458"/>
      <c r="BC1666" s="169"/>
    </row>
    <row r="1667" spans="40:55" ht="15.75" customHeight="1">
      <c r="AN1667" s="458"/>
      <c r="BC1667" s="169"/>
    </row>
    <row r="1668" spans="40:55" ht="15.75" customHeight="1">
      <c r="AN1668" s="458"/>
      <c r="BC1668" s="169"/>
    </row>
    <row r="1669" spans="40:55" ht="15.75" customHeight="1">
      <c r="AN1669" s="458"/>
      <c r="BC1669" s="169"/>
    </row>
    <row r="1670" spans="40:55" ht="15.75" customHeight="1">
      <c r="AN1670" s="458"/>
      <c r="BC1670" s="169"/>
    </row>
    <row r="1671" spans="40:55" ht="15.75" customHeight="1">
      <c r="AN1671" s="458"/>
      <c r="BC1671" s="169"/>
    </row>
    <row r="1672" spans="40:55" ht="15.75" customHeight="1">
      <c r="AN1672" s="458"/>
      <c r="BC1672" s="169"/>
    </row>
    <row r="1673" spans="40:55" ht="15.75" customHeight="1">
      <c r="AN1673" s="458"/>
      <c r="BC1673" s="169"/>
    </row>
    <row r="1674" spans="40:55" ht="15.75" customHeight="1">
      <c r="AN1674" s="458"/>
      <c r="BC1674" s="169"/>
    </row>
    <row r="1675" spans="40:55" ht="15.75" customHeight="1">
      <c r="AN1675" s="458"/>
      <c r="BC1675" s="169"/>
    </row>
    <row r="1676" spans="40:55" ht="15.75" customHeight="1">
      <c r="AN1676" s="458"/>
      <c r="BC1676" s="169"/>
    </row>
    <row r="1677" spans="40:55" ht="15.75" customHeight="1">
      <c r="AN1677" s="458"/>
      <c r="BC1677" s="169"/>
    </row>
    <row r="1678" spans="40:55" ht="15.75" customHeight="1">
      <c r="AN1678" s="458"/>
      <c r="BC1678" s="169"/>
    </row>
    <row r="1679" spans="40:55" ht="15.75" customHeight="1">
      <c r="AN1679" s="458"/>
      <c r="BC1679" s="169"/>
    </row>
    <row r="1680" spans="40:55" ht="15.75" customHeight="1">
      <c r="AN1680" s="458"/>
      <c r="BC1680" s="169"/>
    </row>
    <row r="1681" spans="40:55" ht="15.75" customHeight="1">
      <c r="AN1681" s="458"/>
      <c r="BC1681" s="169"/>
    </row>
    <row r="1682" spans="40:55" ht="15.75" customHeight="1">
      <c r="AN1682" s="458"/>
      <c r="BC1682" s="169"/>
    </row>
    <row r="1683" spans="40:55" ht="15.75" customHeight="1">
      <c r="AN1683" s="458"/>
      <c r="BC1683" s="169"/>
    </row>
    <row r="1684" spans="40:55" ht="15.75" customHeight="1">
      <c r="AN1684" s="458"/>
      <c r="BC1684" s="169"/>
    </row>
    <row r="1685" spans="40:55" ht="15.75" customHeight="1">
      <c r="AN1685" s="458"/>
      <c r="BC1685" s="169"/>
    </row>
    <row r="1686" spans="40:55" ht="15.75" customHeight="1">
      <c r="AN1686" s="458"/>
      <c r="BC1686" s="169"/>
    </row>
    <row r="1687" spans="40:55" ht="15.75" customHeight="1">
      <c r="AN1687" s="458"/>
      <c r="BC1687" s="169"/>
    </row>
    <row r="1688" spans="40:55" ht="15.75" customHeight="1">
      <c r="AN1688" s="458"/>
      <c r="BC1688" s="169"/>
    </row>
    <row r="1689" spans="40:55" ht="15.75" customHeight="1">
      <c r="AN1689" s="458"/>
      <c r="BC1689" s="169"/>
    </row>
    <row r="1690" spans="40:55" ht="15.75" customHeight="1">
      <c r="AN1690" s="458"/>
      <c r="BC1690" s="169"/>
    </row>
    <row r="1691" spans="40:55" ht="15.75" customHeight="1">
      <c r="AN1691" s="458"/>
      <c r="BC1691" s="169"/>
    </row>
    <row r="1692" spans="40:55" ht="15.75" customHeight="1">
      <c r="AN1692" s="458"/>
      <c r="BC1692" s="169"/>
    </row>
    <row r="1693" spans="40:55" ht="15.75" customHeight="1">
      <c r="AN1693" s="458"/>
      <c r="BC1693" s="169"/>
    </row>
    <row r="1694" spans="40:55" ht="15.75" customHeight="1">
      <c r="AN1694" s="458"/>
      <c r="BC1694" s="169"/>
    </row>
    <row r="1695" spans="40:55" ht="15.75" customHeight="1">
      <c r="AN1695" s="458"/>
      <c r="BC1695" s="169"/>
    </row>
    <row r="1696" spans="40:55" ht="15.75" customHeight="1">
      <c r="AN1696" s="458"/>
      <c r="BC1696" s="169"/>
    </row>
    <row r="1697" spans="40:55" ht="15.75" customHeight="1">
      <c r="AN1697" s="458"/>
      <c r="BC1697" s="169"/>
    </row>
    <row r="1698" spans="40:55" ht="15.75" customHeight="1">
      <c r="AN1698" s="458"/>
      <c r="BC1698" s="169"/>
    </row>
    <row r="1699" spans="40:55" ht="15.75" customHeight="1">
      <c r="AN1699" s="458"/>
      <c r="BC1699" s="169"/>
    </row>
    <row r="1700" spans="40:55" ht="15.75" customHeight="1">
      <c r="AN1700" s="458"/>
      <c r="BC1700" s="169"/>
    </row>
    <row r="1701" spans="40:55" ht="15.75" customHeight="1">
      <c r="AN1701" s="458"/>
      <c r="BC1701" s="169"/>
    </row>
    <row r="1702" spans="40:55" ht="15.75" customHeight="1">
      <c r="AN1702" s="458"/>
      <c r="BC1702" s="169"/>
    </row>
    <row r="1703" spans="40:55" ht="15.75" customHeight="1">
      <c r="AN1703" s="458"/>
      <c r="BC1703" s="169"/>
    </row>
    <row r="1704" spans="40:55" ht="15.75" customHeight="1">
      <c r="AN1704" s="458"/>
      <c r="BC1704" s="169"/>
    </row>
    <row r="1705" spans="40:55" ht="15.75" customHeight="1">
      <c r="AN1705" s="458"/>
      <c r="BC1705" s="169"/>
    </row>
    <row r="1706" spans="40:55" ht="15.75" customHeight="1">
      <c r="AN1706" s="458"/>
      <c r="BC1706" s="169"/>
    </row>
    <row r="1707" spans="40:55" ht="15.75" customHeight="1">
      <c r="AN1707" s="458"/>
      <c r="BC1707" s="169"/>
    </row>
    <row r="1708" spans="40:55" ht="15.75" customHeight="1">
      <c r="AN1708" s="458"/>
      <c r="BC1708" s="169"/>
    </row>
    <row r="1709" spans="40:55" ht="15.75" customHeight="1">
      <c r="AN1709" s="458"/>
      <c r="BC1709" s="169"/>
    </row>
    <row r="1710" spans="40:55" ht="15.75" customHeight="1">
      <c r="AN1710" s="458"/>
      <c r="BC1710" s="169"/>
    </row>
    <row r="1711" spans="40:55" ht="15.75" customHeight="1">
      <c r="AN1711" s="458"/>
      <c r="BC1711" s="169"/>
    </row>
    <row r="1712" spans="40:55" ht="15.75" customHeight="1">
      <c r="AN1712" s="458"/>
      <c r="BC1712" s="169"/>
    </row>
    <row r="1713" spans="40:55" ht="15.75" customHeight="1">
      <c r="AN1713" s="458"/>
      <c r="BC1713" s="169"/>
    </row>
    <row r="1714" spans="40:55" ht="15.75" customHeight="1">
      <c r="AN1714" s="458"/>
      <c r="BC1714" s="169"/>
    </row>
    <row r="1715" spans="40:55" ht="15.75" customHeight="1">
      <c r="AN1715" s="458"/>
      <c r="BC1715" s="169"/>
    </row>
    <row r="1716" spans="40:55" ht="15.75" customHeight="1">
      <c r="AN1716" s="458"/>
      <c r="BC1716" s="169"/>
    </row>
    <row r="1717" spans="40:55" ht="15.75" customHeight="1">
      <c r="AN1717" s="458"/>
      <c r="BC1717" s="169"/>
    </row>
    <row r="1718" spans="40:55" ht="15.75" customHeight="1">
      <c r="AN1718" s="458"/>
      <c r="BC1718" s="169"/>
    </row>
    <row r="1719" spans="40:55" ht="15.75" customHeight="1">
      <c r="AN1719" s="458"/>
      <c r="BC1719" s="169"/>
    </row>
    <row r="1720" spans="40:55" ht="15.75" customHeight="1">
      <c r="AN1720" s="458"/>
      <c r="BC1720" s="169"/>
    </row>
    <row r="1721" spans="40:55" ht="15.75" customHeight="1">
      <c r="AN1721" s="458"/>
      <c r="BC1721" s="169"/>
    </row>
    <row r="1722" spans="40:55" ht="15.75" customHeight="1">
      <c r="AN1722" s="458"/>
      <c r="BC1722" s="169"/>
    </row>
    <row r="1723" spans="40:55" ht="15.75" customHeight="1">
      <c r="AN1723" s="458"/>
      <c r="BC1723" s="169"/>
    </row>
    <row r="1724" spans="40:55" ht="15.75" customHeight="1">
      <c r="AN1724" s="458"/>
      <c r="BC1724" s="169"/>
    </row>
    <row r="1725" spans="40:55" ht="15.75" customHeight="1">
      <c r="AN1725" s="458"/>
      <c r="BC1725" s="169"/>
    </row>
    <row r="1726" spans="40:55" ht="15.75" customHeight="1">
      <c r="AN1726" s="458"/>
      <c r="BC1726" s="169"/>
    </row>
    <row r="1727" spans="40:55" ht="15.75" customHeight="1">
      <c r="AN1727" s="458"/>
      <c r="BC1727" s="169"/>
    </row>
    <row r="1728" spans="40:55" ht="15.75" customHeight="1">
      <c r="AN1728" s="458"/>
      <c r="BC1728" s="169"/>
    </row>
    <row r="1729" spans="40:55" ht="15.75" customHeight="1">
      <c r="AN1729" s="458"/>
      <c r="BC1729" s="169"/>
    </row>
    <row r="1730" spans="40:55" ht="15.75" customHeight="1">
      <c r="AN1730" s="458"/>
      <c r="BC1730" s="169"/>
    </row>
    <row r="1731" spans="40:55" ht="15.75" customHeight="1">
      <c r="AN1731" s="458"/>
      <c r="BC1731" s="169"/>
    </row>
    <row r="1732" spans="40:55" ht="15.75" customHeight="1">
      <c r="AN1732" s="458"/>
      <c r="BC1732" s="169"/>
    </row>
    <row r="1733" spans="40:55" ht="15.75" customHeight="1">
      <c r="AN1733" s="458"/>
      <c r="BC1733" s="169"/>
    </row>
    <row r="1734" spans="40:55" ht="15.75" customHeight="1">
      <c r="AN1734" s="458"/>
      <c r="BC1734" s="169"/>
    </row>
    <row r="1735" spans="40:55" ht="15.75" customHeight="1">
      <c r="AN1735" s="458"/>
      <c r="BC1735" s="169"/>
    </row>
    <row r="1736" spans="40:55" ht="15.75" customHeight="1">
      <c r="AN1736" s="458"/>
      <c r="BC1736" s="169"/>
    </row>
    <row r="1737" spans="40:55" ht="15.75" customHeight="1">
      <c r="AN1737" s="458"/>
      <c r="BC1737" s="169"/>
    </row>
    <row r="1738" spans="40:55" ht="15.75" customHeight="1">
      <c r="AN1738" s="458"/>
      <c r="BC1738" s="169"/>
    </row>
    <row r="1739" spans="40:55" ht="15.75" customHeight="1">
      <c r="AN1739" s="458"/>
      <c r="BC1739" s="169"/>
    </row>
    <row r="1740" spans="40:55" ht="15.75" customHeight="1">
      <c r="AN1740" s="458"/>
      <c r="BC1740" s="169"/>
    </row>
    <row r="1741" spans="40:55" ht="15.75" customHeight="1">
      <c r="AN1741" s="458"/>
      <c r="BC1741" s="169"/>
    </row>
    <row r="1742" spans="40:55" ht="15.75" customHeight="1">
      <c r="AN1742" s="458"/>
      <c r="BC1742" s="169"/>
    </row>
    <row r="1743" spans="40:55" ht="15.75" customHeight="1">
      <c r="AN1743" s="458"/>
      <c r="BC1743" s="169"/>
    </row>
    <row r="1744" spans="40:55" ht="15.75" customHeight="1">
      <c r="AN1744" s="458"/>
      <c r="BC1744" s="169"/>
    </row>
    <row r="1745" spans="40:55" ht="15.75" customHeight="1">
      <c r="AN1745" s="458"/>
      <c r="BC1745" s="169"/>
    </row>
    <row r="1746" spans="40:55" ht="15.75" customHeight="1">
      <c r="AN1746" s="458"/>
      <c r="BC1746" s="169"/>
    </row>
    <row r="1747" spans="40:55" ht="15.75" customHeight="1">
      <c r="AN1747" s="458"/>
      <c r="BC1747" s="169"/>
    </row>
    <row r="1748" spans="40:55" ht="15.75" customHeight="1">
      <c r="AN1748" s="458"/>
      <c r="BC1748" s="169"/>
    </row>
    <row r="1749" spans="40:55" ht="15.75" customHeight="1">
      <c r="AN1749" s="458"/>
      <c r="BC1749" s="169"/>
    </row>
    <row r="1750" spans="40:55" ht="15.75" customHeight="1">
      <c r="AN1750" s="458"/>
      <c r="BC1750" s="169"/>
    </row>
    <row r="1751" spans="40:55" ht="15.75" customHeight="1">
      <c r="AN1751" s="458"/>
      <c r="BC1751" s="169"/>
    </row>
    <row r="1752" spans="40:55" ht="15.75" customHeight="1">
      <c r="AN1752" s="458"/>
      <c r="BC1752" s="169"/>
    </row>
    <row r="1753" spans="40:55" ht="15.75" customHeight="1">
      <c r="AN1753" s="458"/>
      <c r="BC1753" s="169"/>
    </row>
    <row r="1754" spans="40:55" ht="15.75" customHeight="1">
      <c r="AN1754" s="458"/>
      <c r="BC1754" s="169"/>
    </row>
    <row r="1755" spans="40:55" ht="15.75" customHeight="1">
      <c r="AN1755" s="458"/>
      <c r="BC1755" s="169"/>
    </row>
    <row r="1756" spans="40:55" ht="15.75" customHeight="1">
      <c r="AN1756" s="458"/>
      <c r="BC1756" s="169"/>
    </row>
    <row r="1757" spans="40:55" ht="15.75" customHeight="1">
      <c r="AN1757" s="458"/>
      <c r="BC1757" s="169"/>
    </row>
    <row r="1758" spans="40:55" ht="15.75" customHeight="1">
      <c r="AN1758" s="458"/>
      <c r="BC1758" s="169"/>
    </row>
    <row r="1759" spans="40:55" ht="15.75" customHeight="1">
      <c r="AN1759" s="458"/>
      <c r="BC1759" s="169"/>
    </row>
    <row r="1760" spans="40:55" ht="15.75" customHeight="1">
      <c r="AN1760" s="458"/>
      <c r="BC1760" s="169"/>
    </row>
    <row r="1761" spans="40:55" ht="15.75" customHeight="1">
      <c r="AN1761" s="458"/>
      <c r="BC1761" s="169"/>
    </row>
    <row r="1762" spans="40:55" ht="15.75" customHeight="1">
      <c r="AN1762" s="458"/>
      <c r="BC1762" s="169"/>
    </row>
    <row r="1763" spans="40:55" ht="15.75" customHeight="1">
      <c r="AN1763" s="458"/>
      <c r="BC1763" s="169"/>
    </row>
    <row r="1764" spans="40:55" ht="15.75" customHeight="1">
      <c r="AN1764" s="458"/>
      <c r="BC1764" s="169"/>
    </row>
    <row r="1765" spans="40:55" ht="15.75" customHeight="1">
      <c r="AN1765" s="458"/>
      <c r="BC1765" s="169"/>
    </row>
    <row r="1766" spans="40:55" ht="15.75" customHeight="1">
      <c r="AN1766" s="458"/>
      <c r="BC1766" s="169"/>
    </row>
    <row r="1767" spans="40:55" ht="15.75" customHeight="1">
      <c r="AN1767" s="458"/>
      <c r="BC1767" s="169"/>
    </row>
    <row r="1768" spans="40:55" ht="15.75" customHeight="1">
      <c r="AN1768" s="458"/>
      <c r="BC1768" s="169"/>
    </row>
    <row r="1769" spans="40:55" ht="15.75" customHeight="1">
      <c r="AN1769" s="458"/>
      <c r="BC1769" s="169"/>
    </row>
    <row r="1770" spans="40:55" ht="15.75" customHeight="1">
      <c r="AN1770" s="458"/>
      <c r="BC1770" s="169"/>
    </row>
    <row r="1771" spans="40:55" ht="15.75" customHeight="1">
      <c r="AN1771" s="458"/>
      <c r="BC1771" s="169"/>
    </row>
    <row r="1772" spans="40:55" ht="15.75" customHeight="1">
      <c r="AN1772" s="458"/>
      <c r="BC1772" s="169"/>
    </row>
    <row r="1773" spans="40:55" ht="15.75" customHeight="1">
      <c r="AN1773" s="458"/>
      <c r="BC1773" s="169"/>
    </row>
    <row r="1774" spans="40:55" ht="15.75" customHeight="1">
      <c r="AN1774" s="458"/>
      <c r="BC1774" s="169"/>
    </row>
    <row r="1775" spans="40:55" ht="15.75" customHeight="1">
      <c r="AN1775" s="458"/>
      <c r="BC1775" s="169"/>
    </row>
    <row r="1776" spans="40:55" ht="15.75" customHeight="1">
      <c r="AN1776" s="458"/>
      <c r="BC1776" s="169"/>
    </row>
    <row r="1777" spans="40:55" ht="15.75" customHeight="1">
      <c r="AN1777" s="458"/>
      <c r="BC1777" s="169"/>
    </row>
    <row r="1778" spans="40:55" ht="15.75" customHeight="1">
      <c r="AN1778" s="458"/>
      <c r="BC1778" s="169"/>
    </row>
    <row r="1779" spans="40:55" ht="15.75" customHeight="1">
      <c r="AN1779" s="458"/>
      <c r="BC1779" s="169"/>
    </row>
    <row r="1780" spans="40:55" ht="15.75" customHeight="1">
      <c r="AN1780" s="458"/>
      <c r="BC1780" s="169"/>
    </row>
    <row r="1781" spans="40:55" ht="15.75" customHeight="1">
      <c r="AN1781" s="458"/>
      <c r="BC1781" s="169"/>
    </row>
    <row r="1782" spans="40:55" ht="15.75" customHeight="1">
      <c r="AN1782" s="458"/>
      <c r="BC1782" s="169"/>
    </row>
    <row r="1783" spans="40:55" ht="15.75" customHeight="1">
      <c r="AN1783" s="458"/>
      <c r="BC1783" s="169"/>
    </row>
    <row r="1784" spans="40:55" ht="15.75" customHeight="1">
      <c r="AN1784" s="458"/>
      <c r="BC1784" s="169"/>
    </row>
    <row r="1785" spans="40:55" ht="15.75" customHeight="1">
      <c r="AN1785" s="458"/>
      <c r="BC1785" s="169"/>
    </row>
    <row r="1786" spans="40:55" ht="15.75" customHeight="1">
      <c r="AN1786" s="458"/>
      <c r="BC1786" s="169"/>
    </row>
    <row r="1787" spans="40:55" ht="15.75" customHeight="1">
      <c r="AN1787" s="458"/>
      <c r="BC1787" s="169"/>
    </row>
    <row r="1788" spans="40:55" ht="15.75" customHeight="1">
      <c r="AN1788" s="458"/>
      <c r="BC1788" s="169"/>
    </row>
    <row r="1789" spans="40:55" ht="15.75" customHeight="1">
      <c r="AN1789" s="458"/>
      <c r="BC1789" s="169"/>
    </row>
    <row r="1790" spans="40:55" ht="15.75" customHeight="1">
      <c r="AN1790" s="458"/>
      <c r="BC1790" s="169"/>
    </row>
    <row r="1791" spans="40:55" ht="15.75" customHeight="1">
      <c r="AN1791" s="458"/>
      <c r="BC1791" s="169"/>
    </row>
    <row r="1792" spans="40:55" ht="15.75" customHeight="1">
      <c r="AN1792" s="458"/>
      <c r="BC1792" s="169"/>
    </row>
    <row r="1793" spans="40:55" ht="15.75" customHeight="1">
      <c r="AN1793" s="458"/>
      <c r="BC1793" s="169"/>
    </row>
    <row r="1794" spans="40:55" ht="15.75" customHeight="1">
      <c r="AN1794" s="458"/>
      <c r="BC1794" s="169"/>
    </row>
    <row r="1795" spans="40:55" ht="15.75" customHeight="1">
      <c r="AN1795" s="458"/>
      <c r="BC1795" s="169"/>
    </row>
    <row r="1796" spans="40:55" ht="15.75" customHeight="1">
      <c r="AN1796" s="458"/>
      <c r="BC1796" s="169"/>
    </row>
    <row r="1797" spans="40:55" ht="15.75" customHeight="1">
      <c r="AN1797" s="458"/>
      <c r="BC1797" s="169"/>
    </row>
    <row r="1798" spans="40:55" ht="15.75" customHeight="1">
      <c r="AN1798" s="458"/>
      <c r="BC1798" s="169"/>
    </row>
    <row r="1799" spans="40:55" ht="15.75" customHeight="1">
      <c r="AN1799" s="458"/>
      <c r="BC1799" s="169"/>
    </row>
    <row r="1800" spans="40:55" ht="15.75" customHeight="1">
      <c r="AN1800" s="458"/>
      <c r="BC1800" s="169"/>
    </row>
    <row r="1801" spans="40:55" ht="15.75" customHeight="1">
      <c r="AN1801" s="458"/>
      <c r="BC1801" s="169"/>
    </row>
    <row r="1802" spans="40:55" ht="15.75" customHeight="1">
      <c r="AN1802" s="458"/>
      <c r="BC1802" s="169"/>
    </row>
    <row r="1803" spans="40:55" ht="15.75" customHeight="1">
      <c r="AN1803" s="458"/>
      <c r="BC1803" s="169"/>
    </row>
    <row r="1804" spans="40:55" ht="15.75" customHeight="1">
      <c r="AN1804" s="458"/>
      <c r="BC1804" s="169"/>
    </row>
    <row r="1805" spans="40:55" ht="15.75" customHeight="1">
      <c r="AN1805" s="458"/>
      <c r="BC1805" s="169"/>
    </row>
    <row r="1806" spans="40:55" ht="15.75" customHeight="1">
      <c r="AN1806" s="458"/>
      <c r="BC1806" s="169"/>
    </row>
    <row r="1807" spans="40:55" ht="15.75" customHeight="1">
      <c r="AN1807" s="458"/>
      <c r="BC1807" s="169"/>
    </row>
    <row r="1808" spans="40:55" ht="15.75" customHeight="1">
      <c r="AN1808" s="458"/>
      <c r="BC1808" s="169"/>
    </row>
    <row r="1809" spans="40:55" ht="15.75" customHeight="1">
      <c r="AN1809" s="458"/>
      <c r="BC1809" s="169"/>
    </row>
    <row r="1810" spans="40:55" ht="15.75" customHeight="1">
      <c r="AN1810" s="458"/>
      <c r="BC1810" s="169"/>
    </row>
    <row r="1811" spans="40:55" ht="15.75" customHeight="1">
      <c r="AN1811" s="458"/>
      <c r="BC1811" s="169"/>
    </row>
    <row r="1812" spans="40:55" ht="15.75" customHeight="1">
      <c r="AN1812" s="458"/>
      <c r="BC1812" s="169"/>
    </row>
    <row r="1813" spans="40:55" ht="15.75" customHeight="1">
      <c r="AN1813" s="458"/>
      <c r="BC1813" s="169"/>
    </row>
    <row r="1814" spans="40:55" ht="15.75" customHeight="1">
      <c r="AN1814" s="458"/>
      <c r="BC1814" s="169"/>
    </row>
    <row r="1815" spans="40:55" ht="15.75" customHeight="1">
      <c r="AN1815" s="458"/>
      <c r="BC1815" s="169"/>
    </row>
    <row r="1816" spans="40:55" ht="15.75" customHeight="1">
      <c r="AN1816" s="458"/>
      <c r="BC1816" s="169"/>
    </row>
    <row r="1817" spans="40:55" ht="15.75" customHeight="1">
      <c r="AN1817" s="458"/>
      <c r="BC1817" s="169"/>
    </row>
    <row r="1818" spans="40:55" ht="15.75" customHeight="1">
      <c r="AN1818" s="458"/>
      <c r="BC1818" s="169"/>
    </row>
    <row r="1819" spans="40:55" ht="15.75" customHeight="1">
      <c r="AN1819" s="458"/>
      <c r="BC1819" s="169"/>
    </row>
    <row r="1820" spans="40:55" ht="15.75" customHeight="1">
      <c r="AN1820" s="458"/>
      <c r="BC1820" s="169"/>
    </row>
    <row r="1821" spans="40:55" ht="15.75" customHeight="1">
      <c r="AN1821" s="458"/>
      <c r="BC1821" s="169"/>
    </row>
    <row r="1822" spans="40:55" ht="15.75" customHeight="1">
      <c r="AN1822" s="458"/>
      <c r="BC1822" s="169"/>
    </row>
    <row r="1823" spans="40:55" ht="15.75" customHeight="1">
      <c r="AN1823" s="458"/>
      <c r="BC1823" s="169"/>
    </row>
    <row r="1824" spans="40:55" ht="15.75" customHeight="1">
      <c r="AN1824" s="458"/>
      <c r="BC1824" s="169"/>
    </row>
    <row r="1825" spans="40:55" ht="15.75" customHeight="1">
      <c r="AN1825" s="458"/>
      <c r="BC1825" s="169"/>
    </row>
    <row r="1826" spans="40:55" ht="15.75" customHeight="1">
      <c r="AN1826" s="458"/>
      <c r="BC1826" s="169"/>
    </row>
    <row r="1827" spans="40:55" ht="15.75" customHeight="1">
      <c r="AN1827" s="458"/>
      <c r="BC1827" s="169"/>
    </row>
    <row r="1828" spans="40:55" ht="15.75" customHeight="1">
      <c r="AN1828" s="458"/>
      <c r="BC1828" s="169"/>
    </row>
    <row r="1829" spans="40:55" ht="15.75" customHeight="1">
      <c r="AN1829" s="458"/>
      <c r="BC1829" s="169"/>
    </row>
    <row r="1830" spans="40:55" ht="15.75" customHeight="1">
      <c r="AN1830" s="458"/>
      <c r="BC1830" s="169"/>
    </row>
    <row r="1831" spans="40:55" ht="15.75" customHeight="1">
      <c r="AN1831" s="458"/>
      <c r="BC1831" s="169"/>
    </row>
    <row r="1832" spans="40:55" ht="15.75" customHeight="1">
      <c r="AN1832" s="458"/>
      <c r="BC1832" s="169"/>
    </row>
    <row r="1833" spans="40:55" ht="15.75" customHeight="1">
      <c r="AN1833" s="458"/>
      <c r="BC1833" s="169"/>
    </row>
    <row r="1834" spans="40:55" ht="15.75" customHeight="1">
      <c r="AN1834" s="458"/>
      <c r="BC1834" s="169"/>
    </row>
    <row r="1835" spans="40:55" ht="15.75" customHeight="1">
      <c r="AN1835" s="458"/>
      <c r="BC1835" s="169"/>
    </row>
    <row r="1836" spans="40:55" ht="15.75" customHeight="1">
      <c r="AN1836" s="458"/>
      <c r="BC1836" s="169"/>
    </row>
    <row r="1837" spans="40:55" ht="15.75" customHeight="1">
      <c r="AN1837" s="458"/>
      <c r="BC1837" s="169"/>
    </row>
    <row r="1838" spans="40:55" ht="15.75" customHeight="1">
      <c r="AN1838" s="458"/>
      <c r="BC1838" s="169"/>
    </row>
    <row r="1839" spans="40:55" ht="15.75" customHeight="1">
      <c r="AN1839" s="458"/>
      <c r="BC1839" s="169"/>
    </row>
    <row r="1840" spans="40:55" ht="15.75" customHeight="1">
      <c r="AN1840" s="458"/>
      <c r="BC1840" s="169"/>
    </row>
    <row r="1841" spans="40:55" ht="15.75" customHeight="1">
      <c r="AN1841" s="458"/>
      <c r="BC1841" s="169"/>
    </row>
    <row r="1842" spans="40:55" ht="15.75" customHeight="1">
      <c r="AN1842" s="458"/>
      <c r="BC1842" s="169"/>
    </row>
    <row r="1843" spans="40:55" ht="15.75" customHeight="1">
      <c r="AN1843" s="458"/>
      <c r="BC1843" s="169"/>
    </row>
    <row r="1844" spans="40:55" ht="15.75" customHeight="1">
      <c r="AN1844" s="458"/>
      <c r="BC1844" s="169"/>
    </row>
    <row r="1845" spans="40:55" ht="15.75" customHeight="1">
      <c r="AN1845" s="458"/>
      <c r="BC1845" s="169"/>
    </row>
    <row r="1846" spans="40:55" ht="15.75" customHeight="1">
      <c r="AN1846" s="458"/>
      <c r="BC1846" s="169"/>
    </row>
    <row r="1847" spans="40:55" ht="15.75" customHeight="1">
      <c r="AN1847" s="458"/>
      <c r="BC1847" s="169"/>
    </row>
    <row r="1848" spans="40:55" ht="15.75" customHeight="1">
      <c r="AN1848" s="458"/>
      <c r="BC1848" s="169"/>
    </row>
    <row r="1849" spans="40:55" ht="15.75" customHeight="1">
      <c r="AN1849" s="458"/>
      <c r="BC1849" s="169"/>
    </row>
    <row r="1850" spans="40:55" ht="15.75" customHeight="1">
      <c r="AN1850" s="458"/>
      <c r="BC1850" s="169"/>
    </row>
    <row r="1851" spans="40:55" ht="15.75" customHeight="1">
      <c r="AN1851" s="458"/>
      <c r="BC1851" s="169"/>
    </row>
    <row r="1852" spans="40:55" ht="15.75" customHeight="1">
      <c r="AN1852" s="458"/>
      <c r="BC1852" s="169"/>
    </row>
    <row r="1853" spans="40:55" ht="15.75" customHeight="1">
      <c r="AN1853" s="458"/>
      <c r="BC1853" s="169"/>
    </row>
    <row r="1854" spans="40:55" ht="15.75" customHeight="1">
      <c r="AN1854" s="458"/>
      <c r="BC1854" s="169"/>
    </row>
    <row r="1855" spans="40:55" ht="15.75" customHeight="1">
      <c r="AN1855" s="458"/>
      <c r="BC1855" s="169"/>
    </row>
    <row r="1856" spans="40:55" ht="15.75" customHeight="1">
      <c r="AN1856" s="458"/>
      <c r="BC1856" s="169"/>
    </row>
    <row r="1857" spans="40:55" ht="15.75" customHeight="1">
      <c r="AN1857" s="458"/>
      <c r="BC1857" s="169"/>
    </row>
    <row r="1858" spans="40:55" ht="15.75" customHeight="1">
      <c r="AN1858" s="458"/>
      <c r="BC1858" s="169"/>
    </row>
    <row r="1859" spans="40:55" ht="15.75" customHeight="1">
      <c r="AN1859" s="458"/>
      <c r="BC1859" s="169"/>
    </row>
    <row r="1860" spans="40:55" ht="15.75" customHeight="1">
      <c r="AN1860" s="458"/>
      <c r="BC1860" s="169"/>
    </row>
    <row r="1861" spans="40:55" ht="15.75" customHeight="1">
      <c r="AN1861" s="458"/>
      <c r="BC1861" s="169"/>
    </row>
    <row r="1862" spans="40:55" ht="15.75" customHeight="1">
      <c r="AN1862" s="458"/>
      <c r="BC1862" s="169"/>
    </row>
    <row r="1863" spans="40:55" ht="15.75" customHeight="1">
      <c r="AN1863" s="458"/>
      <c r="BC1863" s="169"/>
    </row>
    <row r="1864" spans="40:55" ht="15.75" customHeight="1">
      <c r="AN1864" s="458"/>
      <c r="BC1864" s="169"/>
    </row>
    <row r="1865" spans="40:55" ht="15.75" customHeight="1">
      <c r="AN1865" s="458"/>
      <c r="BC1865" s="169"/>
    </row>
    <row r="1866" spans="40:55" ht="15.75" customHeight="1">
      <c r="AN1866" s="458"/>
      <c r="BC1866" s="169"/>
    </row>
    <row r="1867" spans="40:55" ht="15.75" customHeight="1">
      <c r="AN1867" s="458"/>
      <c r="BC1867" s="169"/>
    </row>
    <row r="1868" spans="40:55" ht="15.75" customHeight="1">
      <c r="AN1868" s="458"/>
      <c r="BC1868" s="169"/>
    </row>
    <row r="1869" spans="40:55" ht="15.75" customHeight="1">
      <c r="AN1869" s="458"/>
      <c r="BC1869" s="169"/>
    </row>
    <row r="1870" spans="40:55" ht="15.75" customHeight="1">
      <c r="AN1870" s="458"/>
      <c r="BC1870" s="169"/>
    </row>
    <row r="1871" spans="40:55" ht="15.75" customHeight="1">
      <c r="AN1871" s="458"/>
      <c r="BC1871" s="169"/>
    </row>
    <row r="1872" spans="40:55" ht="15.75" customHeight="1">
      <c r="AN1872" s="458"/>
      <c r="BC1872" s="169"/>
    </row>
    <row r="1873" spans="40:55" ht="15.75" customHeight="1">
      <c r="AN1873" s="458"/>
      <c r="BC1873" s="169"/>
    </row>
    <row r="1874" spans="40:55" ht="15.75" customHeight="1">
      <c r="AN1874" s="458"/>
      <c r="BC1874" s="169"/>
    </row>
    <row r="1875" spans="40:55" ht="15.75" customHeight="1">
      <c r="AN1875" s="458"/>
      <c r="BC1875" s="169"/>
    </row>
    <row r="1876" spans="40:55" ht="15.75" customHeight="1">
      <c r="AN1876" s="458"/>
      <c r="BC1876" s="169"/>
    </row>
    <row r="1877" spans="40:55" ht="15.75" customHeight="1">
      <c r="AN1877" s="458"/>
      <c r="BC1877" s="169"/>
    </row>
    <row r="1878" spans="40:55" ht="15.75" customHeight="1">
      <c r="AN1878" s="458"/>
      <c r="BC1878" s="169"/>
    </row>
    <row r="1879" spans="40:55" ht="15.75" customHeight="1">
      <c r="AN1879" s="458"/>
      <c r="BC1879" s="169"/>
    </row>
    <row r="1880" spans="40:55" ht="15.75" customHeight="1">
      <c r="AN1880" s="458"/>
      <c r="BC1880" s="169"/>
    </row>
    <row r="1881" spans="40:55" ht="15.75" customHeight="1">
      <c r="AN1881" s="458"/>
      <c r="BC1881" s="169"/>
    </row>
    <row r="1882" spans="40:55" ht="15.75" customHeight="1">
      <c r="AN1882" s="458"/>
      <c r="BC1882" s="169"/>
    </row>
    <row r="1883" spans="40:55" ht="15.75" customHeight="1">
      <c r="AN1883" s="458"/>
      <c r="BC1883" s="169"/>
    </row>
    <row r="1884" spans="40:55" ht="15.75" customHeight="1">
      <c r="AN1884" s="458"/>
      <c r="BC1884" s="169"/>
    </row>
    <row r="1885" spans="40:55" ht="15.75" customHeight="1">
      <c r="AN1885" s="458"/>
      <c r="BC1885" s="169"/>
    </row>
    <row r="1886" spans="40:55" ht="15.75" customHeight="1">
      <c r="AN1886" s="458"/>
      <c r="BC1886" s="169"/>
    </row>
    <row r="1887" spans="40:55" ht="15.75" customHeight="1">
      <c r="AN1887" s="458"/>
      <c r="BC1887" s="169"/>
    </row>
    <row r="1888" spans="40:55" ht="15.75" customHeight="1">
      <c r="AN1888" s="458"/>
      <c r="BC1888" s="169"/>
    </row>
    <row r="1889" spans="40:55" ht="15.75" customHeight="1">
      <c r="AN1889" s="458"/>
      <c r="BC1889" s="169"/>
    </row>
    <row r="1890" spans="40:55" ht="15.75" customHeight="1">
      <c r="AN1890" s="458"/>
      <c r="BC1890" s="169"/>
    </row>
    <row r="1891" spans="40:55" ht="15.75" customHeight="1">
      <c r="AN1891" s="458"/>
      <c r="BC1891" s="169"/>
    </row>
    <row r="1892" spans="40:55" ht="15.75" customHeight="1">
      <c r="AN1892" s="458"/>
      <c r="BC1892" s="169"/>
    </row>
    <row r="1893" spans="40:55" ht="15.75" customHeight="1">
      <c r="AN1893" s="458"/>
      <c r="BC1893" s="169"/>
    </row>
    <row r="1894" spans="40:55" ht="15.75" customHeight="1">
      <c r="AN1894" s="458"/>
      <c r="BC1894" s="169"/>
    </row>
    <row r="1895" spans="40:55" ht="15.75" customHeight="1">
      <c r="AN1895" s="458"/>
      <c r="BC1895" s="169"/>
    </row>
    <row r="1896" spans="40:55" ht="15.75" customHeight="1">
      <c r="AN1896" s="458"/>
      <c r="BC1896" s="169"/>
    </row>
    <row r="1897" spans="40:55" ht="15.75" customHeight="1">
      <c r="AN1897" s="458"/>
      <c r="BC1897" s="169"/>
    </row>
    <row r="1898" spans="40:55" ht="15.75" customHeight="1">
      <c r="AN1898" s="458"/>
      <c r="BC1898" s="169"/>
    </row>
    <row r="1899" spans="40:55" ht="15.75" customHeight="1">
      <c r="AN1899" s="458"/>
      <c r="BC1899" s="169"/>
    </row>
    <row r="1900" spans="40:55" ht="15.75" customHeight="1">
      <c r="AN1900" s="458"/>
      <c r="BC1900" s="169"/>
    </row>
    <row r="1901" spans="40:55" ht="15.75" customHeight="1">
      <c r="AN1901" s="458"/>
      <c r="BC1901" s="169"/>
    </row>
    <row r="1902" spans="40:55" ht="15.75" customHeight="1">
      <c r="AN1902" s="458"/>
      <c r="BC1902" s="169"/>
    </row>
    <row r="1903" spans="40:55" ht="15.75" customHeight="1">
      <c r="AN1903" s="458"/>
      <c r="BC1903" s="169"/>
    </row>
    <row r="1904" spans="40:55" ht="15.75" customHeight="1">
      <c r="AN1904" s="458"/>
      <c r="BC1904" s="169"/>
    </row>
    <row r="1905" spans="40:55" ht="15.75" customHeight="1">
      <c r="AN1905" s="458"/>
      <c r="BC1905" s="169"/>
    </row>
    <row r="1906" spans="40:55" ht="15.75" customHeight="1">
      <c r="AN1906" s="458"/>
      <c r="BC1906" s="169"/>
    </row>
    <row r="1907" spans="40:55" ht="15.75" customHeight="1">
      <c r="AN1907" s="458"/>
      <c r="BC1907" s="169"/>
    </row>
    <row r="1908" spans="40:55" ht="15.75" customHeight="1">
      <c r="AN1908" s="458"/>
      <c r="BC1908" s="169"/>
    </row>
    <row r="1909" spans="40:55" ht="15.75" customHeight="1">
      <c r="AN1909" s="458"/>
      <c r="BC1909" s="169"/>
    </row>
    <row r="1910" spans="40:55" ht="15.75" customHeight="1">
      <c r="AN1910" s="458"/>
      <c r="BC1910" s="169"/>
    </row>
    <row r="1911" spans="40:55" ht="15.75" customHeight="1">
      <c r="AN1911" s="458"/>
      <c r="BC1911" s="169"/>
    </row>
    <row r="1912" spans="40:55" ht="15.75" customHeight="1">
      <c r="AN1912" s="458"/>
      <c r="BC1912" s="169"/>
    </row>
    <row r="1913" spans="40:55" ht="15.75" customHeight="1">
      <c r="AN1913" s="458"/>
      <c r="BC1913" s="169"/>
    </row>
    <row r="1914" spans="40:55" ht="15.75" customHeight="1">
      <c r="AN1914" s="458"/>
      <c r="BC1914" s="169"/>
    </row>
    <row r="1915" spans="40:55" ht="15.75" customHeight="1">
      <c r="AN1915" s="458"/>
      <c r="BC1915" s="169"/>
    </row>
    <row r="1916" spans="40:55" ht="15.75" customHeight="1">
      <c r="AN1916" s="458"/>
      <c r="BC1916" s="169"/>
    </row>
    <row r="1917" spans="40:55" ht="15.75" customHeight="1">
      <c r="AN1917" s="458"/>
      <c r="BC1917" s="169"/>
    </row>
    <row r="1918" spans="40:55" ht="15.75" customHeight="1">
      <c r="AN1918" s="458"/>
      <c r="BC1918" s="169"/>
    </row>
    <row r="1919" spans="40:55" ht="15.75" customHeight="1">
      <c r="AN1919" s="458"/>
      <c r="BC1919" s="169"/>
    </row>
    <row r="1920" spans="40:55" ht="15.75" customHeight="1">
      <c r="AN1920" s="458"/>
      <c r="BC1920" s="169"/>
    </row>
    <row r="1921" spans="40:55" ht="15.75" customHeight="1">
      <c r="AN1921" s="458"/>
      <c r="BC1921" s="169"/>
    </row>
    <row r="1922" spans="40:55" ht="15.75" customHeight="1">
      <c r="AN1922" s="458"/>
      <c r="BC1922" s="169"/>
    </row>
    <row r="1923" spans="40:55" ht="15.75" customHeight="1">
      <c r="AN1923" s="458"/>
      <c r="BC1923" s="169"/>
    </row>
    <row r="1924" spans="40:55" ht="15.75" customHeight="1">
      <c r="AN1924" s="458"/>
      <c r="BC1924" s="169"/>
    </row>
    <row r="1925" spans="40:55" ht="15.75" customHeight="1">
      <c r="AN1925" s="458"/>
      <c r="BC1925" s="169"/>
    </row>
    <row r="1926" spans="40:55" ht="15.75" customHeight="1">
      <c r="AN1926" s="458"/>
      <c r="BC1926" s="169"/>
    </row>
    <row r="1927" spans="40:55" ht="15.75" customHeight="1">
      <c r="AN1927" s="458"/>
      <c r="BC1927" s="169"/>
    </row>
    <row r="1928" spans="40:55" ht="15.75" customHeight="1">
      <c r="AN1928" s="458"/>
      <c r="BC1928" s="169"/>
    </row>
    <row r="1929" spans="40:55" ht="15.75" customHeight="1">
      <c r="AN1929" s="458"/>
      <c r="BC1929" s="169"/>
    </row>
    <row r="1930" spans="40:55" ht="15.75" customHeight="1">
      <c r="AN1930" s="458"/>
      <c r="BC1930" s="169"/>
    </row>
    <row r="1931" spans="40:55" ht="15.75" customHeight="1">
      <c r="AN1931" s="458"/>
      <c r="BC1931" s="169"/>
    </row>
    <row r="1932" spans="40:55" ht="15.75" customHeight="1">
      <c r="AN1932" s="458"/>
      <c r="BC1932" s="169"/>
    </row>
    <row r="1933" spans="40:55" ht="15.75" customHeight="1">
      <c r="AN1933" s="458"/>
      <c r="BC1933" s="169"/>
    </row>
    <row r="1934" spans="40:55" ht="15.75" customHeight="1">
      <c r="AN1934" s="458"/>
      <c r="BC1934" s="169"/>
    </row>
    <row r="1935" spans="40:55" ht="15.75" customHeight="1">
      <c r="AN1935" s="458"/>
      <c r="BC1935" s="169"/>
    </row>
    <row r="1936" spans="40:55" ht="15.75" customHeight="1">
      <c r="AN1936" s="458"/>
      <c r="BC1936" s="169"/>
    </row>
    <row r="1937" spans="40:55" ht="15.75" customHeight="1">
      <c r="AN1937" s="458"/>
      <c r="BC1937" s="169"/>
    </row>
    <row r="1938" spans="40:55" ht="15.75" customHeight="1">
      <c r="AN1938" s="458"/>
      <c r="BC1938" s="169"/>
    </row>
    <row r="1939" spans="40:55" ht="15.75" customHeight="1">
      <c r="AN1939" s="458"/>
      <c r="BC1939" s="169"/>
    </row>
    <row r="1940" spans="40:55" ht="15.75" customHeight="1">
      <c r="AN1940" s="458"/>
      <c r="BC1940" s="169"/>
    </row>
    <row r="1941" spans="40:55" ht="15.75" customHeight="1">
      <c r="AN1941" s="458"/>
      <c r="BC1941" s="169"/>
    </row>
    <row r="1942" spans="40:55" ht="15.75" customHeight="1">
      <c r="AN1942" s="458"/>
      <c r="BC1942" s="169"/>
    </row>
    <row r="1943" spans="40:55" ht="15.75" customHeight="1">
      <c r="AN1943" s="458"/>
      <c r="BC1943" s="169"/>
    </row>
    <row r="1944" spans="40:55" ht="15.75" customHeight="1">
      <c r="AN1944" s="458"/>
      <c r="BC1944" s="169"/>
    </row>
    <row r="1945" spans="40:55" ht="15.75" customHeight="1">
      <c r="AN1945" s="458"/>
      <c r="BC1945" s="169"/>
    </row>
    <row r="1946" spans="40:55" ht="15.75" customHeight="1">
      <c r="AN1946" s="458"/>
      <c r="BC1946" s="169"/>
    </row>
    <row r="1947" spans="40:55" ht="15.75" customHeight="1">
      <c r="AN1947" s="458"/>
      <c r="BC1947" s="169"/>
    </row>
    <row r="1948" spans="40:55" ht="15.75" customHeight="1">
      <c r="AN1948" s="458"/>
      <c r="BC1948" s="169"/>
    </row>
    <row r="1949" spans="40:55" ht="15.75" customHeight="1">
      <c r="AN1949" s="458"/>
      <c r="BC1949" s="169"/>
    </row>
    <row r="1950" spans="40:55" ht="15.75" customHeight="1">
      <c r="AN1950" s="458"/>
      <c r="BC1950" s="169"/>
    </row>
    <row r="1951" spans="40:55" ht="15.75" customHeight="1">
      <c r="AN1951" s="458"/>
      <c r="BC1951" s="169"/>
    </row>
    <row r="1952" spans="40:55" ht="15.75" customHeight="1">
      <c r="AN1952" s="458"/>
      <c r="BC1952" s="169"/>
    </row>
    <row r="1953" spans="40:55" ht="15.75" customHeight="1">
      <c r="AN1953" s="458"/>
      <c r="BC1953" s="169"/>
    </row>
    <row r="1954" spans="40:55" ht="15.75" customHeight="1">
      <c r="AN1954" s="458"/>
      <c r="BC1954" s="169"/>
    </row>
    <row r="1955" spans="40:55" ht="15.75" customHeight="1">
      <c r="AN1955" s="458"/>
      <c r="BC1955" s="169"/>
    </row>
    <row r="1956" spans="40:55" ht="15.75" customHeight="1">
      <c r="AN1956" s="458"/>
      <c r="BC1956" s="169"/>
    </row>
    <row r="1957" spans="40:55" ht="15.75" customHeight="1">
      <c r="AN1957" s="458"/>
      <c r="BC1957" s="169"/>
    </row>
    <row r="1958" spans="40:55" ht="15.75" customHeight="1">
      <c r="AN1958" s="458"/>
      <c r="BC1958" s="169"/>
    </row>
    <row r="1959" spans="40:55" ht="15.75" customHeight="1">
      <c r="AN1959" s="458"/>
      <c r="BC1959" s="169"/>
    </row>
    <row r="1960" spans="40:55" ht="15.75" customHeight="1">
      <c r="AN1960" s="458"/>
      <c r="BC1960" s="169"/>
    </row>
    <row r="1961" spans="40:55" ht="15.75" customHeight="1">
      <c r="AN1961" s="458"/>
      <c r="BC1961" s="169"/>
    </row>
    <row r="1962" spans="40:55" ht="15.75" customHeight="1">
      <c r="AN1962" s="458"/>
      <c r="BC1962" s="169"/>
    </row>
    <row r="1963" spans="40:55" ht="15.75" customHeight="1">
      <c r="AN1963" s="458"/>
      <c r="BC1963" s="169"/>
    </row>
    <row r="1964" spans="40:55" ht="15.75" customHeight="1">
      <c r="AN1964" s="458"/>
      <c r="BC1964" s="169"/>
    </row>
    <row r="1965" spans="40:55" ht="15.75" customHeight="1">
      <c r="AN1965" s="458"/>
      <c r="BC1965" s="169"/>
    </row>
    <row r="1966" spans="40:55" ht="15.75" customHeight="1">
      <c r="AN1966" s="458"/>
      <c r="BC1966" s="169"/>
    </row>
    <row r="1967" spans="40:55" ht="15.75" customHeight="1">
      <c r="AN1967" s="458"/>
      <c r="BC1967" s="169"/>
    </row>
    <row r="1968" spans="40:55" ht="15.75" customHeight="1">
      <c r="AN1968" s="458"/>
      <c r="BC1968" s="169"/>
    </row>
    <row r="1969" spans="40:55" ht="15.75" customHeight="1">
      <c r="AN1969" s="458"/>
      <c r="BC1969" s="169"/>
    </row>
    <row r="1970" spans="40:55" ht="15.75" customHeight="1">
      <c r="AN1970" s="458"/>
      <c r="BC1970" s="169"/>
    </row>
    <row r="1971" spans="40:55" ht="15.75" customHeight="1">
      <c r="AN1971" s="458"/>
      <c r="BC1971" s="169"/>
    </row>
    <row r="1972" spans="40:55" ht="15.75" customHeight="1">
      <c r="AN1972" s="458"/>
      <c r="BC1972" s="169"/>
    </row>
    <row r="1973" spans="40:55" ht="15.75" customHeight="1">
      <c r="AN1973" s="458"/>
      <c r="BC1973" s="169"/>
    </row>
    <row r="1974" spans="40:55" ht="15.75" customHeight="1">
      <c r="AN1974" s="458"/>
      <c r="BC1974" s="169"/>
    </row>
    <row r="1975" spans="40:55" ht="15.75" customHeight="1">
      <c r="AN1975" s="458"/>
      <c r="BC1975" s="169"/>
    </row>
    <row r="1976" spans="40:55" ht="15.75" customHeight="1">
      <c r="AN1976" s="458"/>
      <c r="BC1976" s="169"/>
    </row>
    <row r="1977" spans="40:55" ht="15.75" customHeight="1">
      <c r="AN1977" s="458"/>
      <c r="BC1977" s="169"/>
    </row>
    <row r="1978" spans="40:55" ht="15.75" customHeight="1">
      <c r="AN1978" s="458"/>
      <c r="BC1978" s="169"/>
    </row>
    <row r="1979" spans="40:55" ht="15.75" customHeight="1">
      <c r="AN1979" s="458"/>
      <c r="BC1979" s="169"/>
    </row>
    <row r="1980" spans="40:55" ht="15.75" customHeight="1">
      <c r="AN1980" s="458"/>
      <c r="BC1980" s="169"/>
    </row>
    <row r="1981" spans="40:55" ht="15.75" customHeight="1">
      <c r="AN1981" s="458"/>
      <c r="BC1981" s="169"/>
    </row>
    <row r="1982" spans="40:55" ht="15.75" customHeight="1">
      <c r="AN1982" s="458"/>
      <c r="BC1982" s="169"/>
    </row>
    <row r="1983" spans="40:55" ht="15.75" customHeight="1">
      <c r="AN1983" s="458"/>
      <c r="BC1983" s="169"/>
    </row>
    <row r="1984" spans="40:55" ht="15.75" customHeight="1">
      <c r="AN1984" s="458"/>
      <c r="BC1984" s="169"/>
    </row>
    <row r="1985" spans="40:55" ht="15.75" customHeight="1">
      <c r="AN1985" s="458"/>
      <c r="BC1985" s="169"/>
    </row>
    <row r="1986" spans="40:55" ht="15.75" customHeight="1">
      <c r="AN1986" s="458"/>
      <c r="BC1986" s="169"/>
    </row>
    <row r="1987" spans="40:55" ht="15.75" customHeight="1">
      <c r="AN1987" s="458"/>
      <c r="BC1987" s="169"/>
    </row>
    <row r="1988" spans="40:55" ht="15.75" customHeight="1">
      <c r="AN1988" s="458"/>
      <c r="BC1988" s="169"/>
    </row>
    <row r="1989" spans="40:55" ht="15.75" customHeight="1">
      <c r="AN1989" s="458"/>
      <c r="BC1989" s="169"/>
    </row>
    <row r="1990" spans="40:55" ht="15.75" customHeight="1">
      <c r="AN1990" s="458"/>
      <c r="BC1990" s="169"/>
    </row>
    <row r="1991" spans="40:55" ht="15.75" customHeight="1">
      <c r="AN1991" s="458"/>
      <c r="BC1991" s="169"/>
    </row>
    <row r="1992" spans="40:55" ht="15.75" customHeight="1">
      <c r="AN1992" s="458"/>
      <c r="BC1992" s="169"/>
    </row>
    <row r="1993" spans="40:55" ht="15.75" customHeight="1">
      <c r="AN1993" s="458"/>
      <c r="BC1993" s="169"/>
    </row>
    <row r="1994" spans="40:55" ht="15.75" customHeight="1">
      <c r="AN1994" s="458"/>
      <c r="BC1994" s="169"/>
    </row>
    <row r="1995" spans="40:55" ht="15.75" customHeight="1">
      <c r="AN1995" s="458"/>
      <c r="BC1995" s="169"/>
    </row>
    <row r="1996" spans="40:55" ht="15.75" customHeight="1">
      <c r="AN1996" s="458"/>
      <c r="BC1996" s="169"/>
    </row>
    <row r="1997" spans="40:55" ht="15.75" customHeight="1">
      <c r="AN1997" s="458"/>
      <c r="BC1997" s="169"/>
    </row>
    <row r="1998" spans="40:55" ht="15.75" customHeight="1">
      <c r="AN1998" s="458"/>
      <c r="BC1998" s="169"/>
    </row>
    <row r="1999" spans="40:55" ht="15.75" customHeight="1">
      <c r="AN1999" s="458"/>
      <c r="BC1999" s="169"/>
    </row>
    <row r="2000" spans="40:55" ht="15.75" customHeight="1">
      <c r="AN2000" s="458"/>
    </row>
    <row r="2001" spans="40:40" ht="15.75" customHeight="1">
      <c r="AN2001" s="458"/>
    </row>
    <row r="2002" spans="40:40" ht="15.75" customHeight="1">
      <c r="AN2002" s="458"/>
    </row>
    <row r="2003" spans="40:40" ht="15.75" customHeight="1">
      <c r="AN2003" s="458"/>
    </row>
    <row r="2004" spans="40:40" ht="15.75" customHeight="1">
      <c r="AN2004" s="458"/>
    </row>
    <row r="2005" spans="40:40" ht="15.75" customHeight="1">
      <c r="AN2005" s="458"/>
    </row>
    <row r="2006" spans="40:40" ht="15.75" customHeight="1">
      <c r="AN2006" s="458"/>
    </row>
    <row r="2007" spans="40:40" ht="15.75" customHeight="1">
      <c r="AN2007" s="458"/>
    </row>
    <row r="2008" spans="40:40" ht="15.75" customHeight="1">
      <c r="AN2008" s="458"/>
    </row>
    <row r="2009" spans="40:40" ht="15.75" customHeight="1">
      <c r="AN2009" s="458"/>
    </row>
    <row r="2010" spans="40:40" ht="15.75" customHeight="1">
      <c r="AN2010" s="458"/>
    </row>
    <row r="2011" spans="40:40" ht="15.75" customHeight="1">
      <c r="AN2011" s="458"/>
    </row>
    <row r="2012" spans="40:40" ht="15.75" customHeight="1">
      <c r="AN2012" s="458"/>
    </row>
    <row r="2013" spans="40:40" ht="15.75" customHeight="1">
      <c r="AN2013" s="458"/>
    </row>
    <row r="2014" spans="40:40" ht="15.75" customHeight="1">
      <c r="AN2014" s="458"/>
    </row>
    <row r="2015" spans="40:40" ht="15.75" customHeight="1">
      <c r="AN2015" s="458"/>
    </row>
    <row r="2016" spans="40:40" ht="15.75" customHeight="1">
      <c r="AN2016" s="458"/>
    </row>
    <row r="2017" spans="40:40" ht="15.75" customHeight="1">
      <c r="AN2017" s="458"/>
    </row>
    <row r="2018" spans="40:40" ht="15.75" customHeight="1">
      <c r="AN2018" s="458"/>
    </row>
    <row r="2019" spans="40:40" ht="15.75" customHeight="1">
      <c r="AN2019" s="458"/>
    </row>
    <row r="2020" spans="40:40" ht="15.75" customHeight="1">
      <c r="AN2020" s="458"/>
    </row>
    <row r="2021" spans="40:40" ht="15.75" customHeight="1">
      <c r="AN2021" s="458"/>
    </row>
    <row r="2022" spans="40:40" ht="15.75" customHeight="1">
      <c r="AN2022" s="458"/>
    </row>
    <row r="2023" spans="40:40" ht="15.75" customHeight="1">
      <c r="AN2023" s="458"/>
    </row>
    <row r="2024" spans="40:40" ht="15.75" customHeight="1">
      <c r="AN2024" s="458"/>
    </row>
    <row r="2025" spans="40:40" ht="15.75" customHeight="1">
      <c r="AN2025" s="458"/>
    </row>
    <row r="2026" spans="40:40" ht="15.75" customHeight="1">
      <c r="AN2026" s="458"/>
    </row>
    <row r="2027" spans="40:40" ht="15.75" customHeight="1">
      <c r="AN2027" s="458"/>
    </row>
    <row r="2028" spans="40:40" ht="15.75" customHeight="1">
      <c r="AN2028" s="458"/>
    </row>
    <row r="2029" spans="40:40" ht="15.75" customHeight="1">
      <c r="AN2029" s="458"/>
    </row>
    <row r="2030" spans="40:40" ht="15.75" customHeight="1">
      <c r="AN2030" s="458"/>
    </row>
    <row r="2031" spans="40:40" ht="15.75" customHeight="1">
      <c r="AN2031" s="458"/>
    </row>
    <row r="2032" spans="40:40" ht="15.75" customHeight="1">
      <c r="AN2032" s="458"/>
    </row>
    <row r="2033" spans="40:40" ht="15.75" customHeight="1">
      <c r="AN2033" s="458"/>
    </row>
    <row r="2034" spans="40:40" ht="15.75" customHeight="1">
      <c r="AN2034" s="458"/>
    </row>
    <row r="2035" spans="40:40" ht="15.75" customHeight="1">
      <c r="AN2035" s="458"/>
    </row>
    <row r="2036" spans="40:40" ht="15.75" customHeight="1">
      <c r="AN2036" s="458"/>
    </row>
    <row r="2037" spans="40:40" ht="15.75" customHeight="1">
      <c r="AN2037" s="458"/>
    </row>
    <row r="2038" spans="40:40" ht="15.75" customHeight="1">
      <c r="AN2038" s="458"/>
    </row>
    <row r="2039" spans="40:40" ht="15.75" customHeight="1">
      <c r="AN2039" s="458"/>
    </row>
    <row r="2040" spans="40:40" ht="15.75" customHeight="1">
      <c r="AN2040" s="458"/>
    </row>
    <row r="2041" spans="40:40" ht="15.75" customHeight="1">
      <c r="AN2041" s="458"/>
    </row>
    <row r="2042" spans="40:40" ht="15.75" customHeight="1">
      <c r="AN2042" s="458"/>
    </row>
    <row r="2043" spans="40:40" ht="15.75" customHeight="1">
      <c r="AN2043" s="458"/>
    </row>
    <row r="2044" spans="40:40" ht="15.75" customHeight="1">
      <c r="AN2044" s="458"/>
    </row>
    <row r="2045" spans="40:40" ht="15.75" customHeight="1">
      <c r="AN2045" s="458"/>
    </row>
    <row r="2046" spans="40:40" ht="15.75" customHeight="1">
      <c r="AN2046" s="458"/>
    </row>
    <row r="2047" spans="40:40" ht="15.75" customHeight="1">
      <c r="AN2047" s="458"/>
    </row>
    <row r="2048" spans="40:40" ht="15.75" customHeight="1">
      <c r="AN2048" s="458"/>
    </row>
    <row r="2049" spans="40:40" ht="15.75" customHeight="1">
      <c r="AN2049" s="458"/>
    </row>
    <row r="2050" spans="40:40" ht="15.75" customHeight="1">
      <c r="AN2050" s="458"/>
    </row>
    <row r="2051" spans="40:40" ht="15.75" customHeight="1">
      <c r="AN2051" s="458"/>
    </row>
    <row r="2052" spans="40:40" ht="15.75" customHeight="1">
      <c r="AN2052" s="458"/>
    </row>
    <row r="2053" spans="40:40" ht="15.75" customHeight="1">
      <c r="AN2053" s="458"/>
    </row>
    <row r="2054" spans="40:40" ht="15.75" customHeight="1">
      <c r="AN2054" s="458"/>
    </row>
    <row r="2055" spans="40:40" ht="15.75" customHeight="1">
      <c r="AN2055" s="458"/>
    </row>
    <row r="2056" spans="40:40" ht="15.75" customHeight="1">
      <c r="AN2056" s="458"/>
    </row>
    <row r="2057" spans="40:40" ht="15.75" customHeight="1">
      <c r="AN2057" s="458"/>
    </row>
    <row r="2058" spans="40:40" ht="15.75" customHeight="1">
      <c r="AN2058" s="458"/>
    </row>
    <row r="2059" spans="40:40" ht="15.75" customHeight="1">
      <c r="AN2059" s="458"/>
    </row>
    <row r="2060" spans="40:40" ht="15.75" customHeight="1">
      <c r="AN2060" s="458"/>
    </row>
    <row r="2061" spans="40:40" ht="15.75" customHeight="1">
      <c r="AN2061" s="458"/>
    </row>
    <row r="2062" spans="40:40" ht="15.75" customHeight="1">
      <c r="AN2062" s="458"/>
    </row>
    <row r="2063" spans="40:40" ht="15.75" customHeight="1">
      <c r="AN2063" s="458"/>
    </row>
    <row r="2064" spans="40:40" ht="15.75" customHeight="1">
      <c r="AN2064" s="458"/>
    </row>
    <row r="2065" spans="40:40" ht="15.75" customHeight="1">
      <c r="AN2065" s="458"/>
    </row>
    <row r="2066" spans="40:40" ht="15.75" customHeight="1">
      <c r="AN2066" s="458"/>
    </row>
    <row r="2067" spans="40:40" ht="15.75" customHeight="1">
      <c r="AN2067" s="458"/>
    </row>
    <row r="2068" spans="40:40" ht="15.75" customHeight="1">
      <c r="AN2068" s="458"/>
    </row>
    <row r="2069" spans="40:40" ht="15.75" customHeight="1">
      <c r="AN2069" s="458"/>
    </row>
    <row r="2070" spans="40:40" ht="15.75" customHeight="1">
      <c r="AN2070" s="458"/>
    </row>
    <row r="2071" spans="40:40" ht="15.75" customHeight="1">
      <c r="AN2071" s="458"/>
    </row>
    <row r="2072" spans="40:40" ht="15.75" customHeight="1">
      <c r="AN2072" s="458"/>
    </row>
    <row r="2073" spans="40:40" ht="15.75" customHeight="1">
      <c r="AN2073" s="458"/>
    </row>
    <row r="2074" spans="40:40" ht="15.75" customHeight="1">
      <c r="AN2074" s="458"/>
    </row>
    <row r="2075" spans="40:40" ht="15.75" customHeight="1">
      <c r="AN2075" s="458"/>
    </row>
    <row r="2076" spans="40:40" ht="15.75" customHeight="1">
      <c r="AN2076" s="458"/>
    </row>
    <row r="2077" spans="40:40" ht="15.75" customHeight="1">
      <c r="AN2077" s="458"/>
    </row>
    <row r="2078" spans="40:40" ht="15.75" customHeight="1">
      <c r="AN2078" s="458"/>
    </row>
    <row r="2079" spans="40:40" ht="15.75" customHeight="1">
      <c r="AN2079" s="458"/>
    </row>
    <row r="2080" spans="40:40" ht="15.75" customHeight="1">
      <c r="AN2080" s="458"/>
    </row>
    <row r="2081" spans="40:40" ht="15.75" customHeight="1">
      <c r="AN2081" s="458"/>
    </row>
    <row r="2082" spans="40:40" ht="15.75" customHeight="1">
      <c r="AN2082" s="458"/>
    </row>
    <row r="2083" spans="40:40" ht="15.75" customHeight="1">
      <c r="AN2083" s="458"/>
    </row>
    <row r="2084" spans="40:40" ht="15.75" customHeight="1">
      <c r="AN2084" s="458"/>
    </row>
    <row r="2085" spans="40:40" ht="15.75" customHeight="1">
      <c r="AN2085" s="458"/>
    </row>
    <row r="2086" spans="40:40" ht="15.75" customHeight="1">
      <c r="AN2086" s="458"/>
    </row>
    <row r="2087" spans="40:40" ht="15.75" customHeight="1">
      <c r="AN2087" s="458"/>
    </row>
    <row r="2088" spans="40:40" ht="15.75" customHeight="1">
      <c r="AN2088" s="458"/>
    </row>
    <row r="2089" spans="40:40" ht="15.75" customHeight="1">
      <c r="AN2089" s="458"/>
    </row>
    <row r="2090" spans="40:40" ht="15.75" customHeight="1">
      <c r="AN2090" s="458"/>
    </row>
    <row r="2091" spans="40:40" ht="15.75" customHeight="1">
      <c r="AN2091" s="458"/>
    </row>
    <row r="2092" spans="40:40" ht="15.75" customHeight="1">
      <c r="AN2092" s="458"/>
    </row>
    <row r="2093" spans="40:40" ht="15.75" customHeight="1">
      <c r="AN2093" s="458"/>
    </row>
    <row r="2094" spans="40:40" ht="15.75" customHeight="1">
      <c r="AN2094" s="458"/>
    </row>
    <row r="2095" spans="40:40" ht="15.75" customHeight="1">
      <c r="AN2095" s="458"/>
    </row>
    <row r="2096" spans="40:40" ht="15.75" customHeight="1">
      <c r="AN2096" s="458"/>
    </row>
    <row r="2097" spans="40:40" ht="15.75" customHeight="1">
      <c r="AN2097" s="458"/>
    </row>
    <row r="2098" spans="40:40" ht="15.75" customHeight="1">
      <c r="AN2098" s="458"/>
    </row>
    <row r="2099" spans="40:40" ht="15.75" customHeight="1">
      <c r="AN2099" s="458"/>
    </row>
    <row r="2100" spans="40:40" ht="15.75" customHeight="1">
      <c r="AN2100" s="458"/>
    </row>
    <row r="2101" spans="40:40" ht="15.75" customHeight="1">
      <c r="AN2101" s="458"/>
    </row>
    <row r="2102" spans="40:40" ht="15.75" customHeight="1">
      <c r="AN2102" s="458"/>
    </row>
    <row r="2103" spans="40:40" ht="15.75" customHeight="1">
      <c r="AN2103" s="458"/>
    </row>
    <row r="2104" spans="40:40" ht="15.75" customHeight="1">
      <c r="AN2104" s="458"/>
    </row>
    <row r="2105" spans="40:40" ht="15.75" customHeight="1">
      <c r="AN2105" s="458"/>
    </row>
    <row r="2106" spans="40:40" ht="15.75" customHeight="1">
      <c r="AN2106" s="458"/>
    </row>
    <row r="2107" spans="40:40" ht="15.75" customHeight="1">
      <c r="AN2107" s="458"/>
    </row>
    <row r="2108" spans="40:40" ht="15.75" customHeight="1">
      <c r="AN2108" s="458"/>
    </row>
    <row r="2109" spans="40:40" ht="15.75" customHeight="1">
      <c r="AN2109" s="458"/>
    </row>
    <row r="2110" spans="40:40" ht="15.75" customHeight="1">
      <c r="AN2110" s="458"/>
    </row>
    <row r="2111" spans="40:40" ht="15.75" customHeight="1">
      <c r="AN2111" s="458"/>
    </row>
    <row r="2112" spans="40:40" ht="15.75" customHeight="1">
      <c r="AN2112" s="458"/>
    </row>
    <row r="2113" spans="40:40" ht="15.75" customHeight="1">
      <c r="AN2113" s="458"/>
    </row>
    <row r="2114" spans="40:40" ht="15.75" customHeight="1">
      <c r="AN2114" s="458"/>
    </row>
    <row r="2115" spans="40:40" ht="15.75" customHeight="1">
      <c r="AN2115" s="458"/>
    </row>
    <row r="2116" spans="40:40" ht="15.75" customHeight="1">
      <c r="AN2116" s="458"/>
    </row>
    <row r="2117" spans="40:40" ht="15.75" customHeight="1">
      <c r="AN2117" s="458"/>
    </row>
    <row r="2118" spans="40:40" ht="15.75" customHeight="1">
      <c r="AN2118" s="458"/>
    </row>
    <row r="2119" spans="40:40" ht="15.75" customHeight="1">
      <c r="AN2119" s="458"/>
    </row>
    <row r="2120" spans="40:40" ht="15.75" customHeight="1">
      <c r="AN2120" s="458"/>
    </row>
    <row r="2121" spans="40:40" ht="15.75" customHeight="1">
      <c r="AN2121" s="458"/>
    </row>
    <row r="2122" spans="40:40" ht="15.75" customHeight="1">
      <c r="AN2122" s="458"/>
    </row>
    <row r="2123" spans="40:40" ht="15.75" customHeight="1">
      <c r="AN2123" s="458"/>
    </row>
    <row r="2124" spans="40:40" ht="15.75" customHeight="1">
      <c r="AN2124" s="458"/>
    </row>
    <row r="2125" spans="40:40" ht="15.75" customHeight="1">
      <c r="AN2125" s="458"/>
    </row>
    <row r="2126" spans="40:40" ht="15.75" customHeight="1">
      <c r="AN2126" s="458"/>
    </row>
    <row r="2127" spans="40:40" ht="15.75" customHeight="1">
      <c r="AN2127" s="458"/>
    </row>
    <row r="2128" spans="40:40" ht="15.75" customHeight="1">
      <c r="AN2128" s="458"/>
    </row>
    <row r="2129" spans="40:40" ht="15.75" customHeight="1">
      <c r="AN2129" s="458"/>
    </row>
    <row r="2130" spans="40:40" ht="15.75" customHeight="1">
      <c r="AN2130" s="458"/>
    </row>
    <row r="2131" spans="40:40" ht="15.75" customHeight="1">
      <c r="AN2131" s="458"/>
    </row>
    <row r="2132" spans="40:40" ht="15.75" customHeight="1">
      <c r="AN2132" s="458"/>
    </row>
    <row r="2133" spans="40:40" ht="15.75" customHeight="1">
      <c r="AN2133" s="458"/>
    </row>
    <row r="2134" spans="40:40" ht="15.75" customHeight="1">
      <c r="AN2134" s="458"/>
    </row>
    <row r="2135" spans="40:40" ht="15.75" customHeight="1">
      <c r="AN2135" s="458"/>
    </row>
    <row r="2136" spans="40:40" ht="15.75" customHeight="1">
      <c r="AN2136" s="458"/>
    </row>
    <row r="2137" spans="40:40" ht="15.75" customHeight="1">
      <c r="AN2137" s="458"/>
    </row>
    <row r="2138" spans="40:40" ht="15.75" customHeight="1">
      <c r="AN2138" s="458"/>
    </row>
    <row r="2139" spans="40:40" ht="15.75" customHeight="1">
      <c r="AN2139" s="458"/>
    </row>
    <row r="2140" spans="40:40" ht="15.75" customHeight="1">
      <c r="AN2140" s="458"/>
    </row>
    <row r="2141" spans="40:40" ht="15.75" customHeight="1">
      <c r="AN2141" s="458"/>
    </row>
    <row r="2142" spans="40:40" ht="15.75" customHeight="1">
      <c r="AN2142" s="458"/>
    </row>
    <row r="2143" spans="40:40" ht="15.75" customHeight="1">
      <c r="AN2143" s="458"/>
    </row>
    <row r="2144" spans="40:40" ht="15.75" customHeight="1">
      <c r="AN2144" s="458"/>
    </row>
    <row r="2145" spans="40:40" ht="15.75" customHeight="1">
      <c r="AN2145" s="458"/>
    </row>
    <row r="2146" spans="40:40" ht="15.75" customHeight="1">
      <c r="AN2146" s="458"/>
    </row>
    <row r="2147" spans="40:40" ht="15.75" customHeight="1">
      <c r="AN2147" s="458"/>
    </row>
    <row r="2148" spans="40:40" ht="15.75" customHeight="1">
      <c r="AN2148" s="458"/>
    </row>
    <row r="2149" spans="40:40" ht="15.75" customHeight="1">
      <c r="AN2149" s="458"/>
    </row>
    <row r="2150" spans="40:40" ht="15.75" customHeight="1">
      <c r="AN2150" s="458"/>
    </row>
    <row r="2151" spans="40:40" ht="15.75" customHeight="1">
      <c r="AN2151" s="458"/>
    </row>
    <row r="2152" spans="40:40" ht="15.75" customHeight="1">
      <c r="AN2152" s="458"/>
    </row>
    <row r="2153" spans="40:40" ht="15.75" customHeight="1">
      <c r="AN2153" s="458"/>
    </row>
    <row r="2154" spans="40:40" ht="15.75" customHeight="1">
      <c r="AN2154" s="458"/>
    </row>
    <row r="2155" spans="40:40" ht="15.75" customHeight="1">
      <c r="AN2155" s="458"/>
    </row>
    <row r="2156" spans="40:40" ht="15.75" customHeight="1">
      <c r="AN2156" s="458"/>
    </row>
    <row r="2157" spans="40:40" ht="15.75" customHeight="1">
      <c r="AN2157" s="458"/>
    </row>
    <row r="2158" spans="40:40" ht="15.75" customHeight="1">
      <c r="AN2158" s="458"/>
    </row>
    <row r="2159" spans="40:40" ht="15.75" customHeight="1">
      <c r="AN2159" s="458"/>
    </row>
    <row r="2160" spans="40:40" ht="15.75" customHeight="1">
      <c r="AN2160" s="458"/>
    </row>
    <row r="2161" spans="40:40" ht="15.75" customHeight="1">
      <c r="AN2161" s="458"/>
    </row>
    <row r="2162" spans="40:40" ht="15.75" customHeight="1">
      <c r="AN2162" s="458"/>
    </row>
    <row r="2163" spans="40:40" ht="15.75" customHeight="1">
      <c r="AN2163" s="458"/>
    </row>
    <row r="2164" spans="40:40" ht="15.75" customHeight="1">
      <c r="AN2164" s="458"/>
    </row>
    <row r="2165" spans="40:40" ht="15.75" customHeight="1">
      <c r="AN2165" s="458"/>
    </row>
  </sheetData>
  <autoFilter ref="A2:BG68" xr:uid="{00000000-0009-0000-0000-000007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autoFilter>
  <mergeCells count="10">
    <mergeCell ref="BD1:BG1"/>
    <mergeCell ref="AN2:AP2"/>
    <mergeCell ref="AQ2:AS2"/>
    <mergeCell ref="AT2:AV2"/>
    <mergeCell ref="A1:BB1"/>
    <mergeCell ref="N2:P2"/>
    <mergeCell ref="T2:V2"/>
    <mergeCell ref="W2:Y2"/>
    <mergeCell ref="Z2:AB2"/>
    <mergeCell ref="AC2:AE2"/>
  </mergeCells>
  <conditionalFormatting sqref="B33:AK33 B34:BA46 B47:AV47 B4:BA32 B48:BA66">
    <cfRule type="expression" dxfId="1332" priority="16">
      <formula>$M4="NON DEFINED"</formula>
    </cfRule>
    <cfRule type="expression" dxfId="1331" priority="17">
      <formula>$AY4="N.D."</formula>
    </cfRule>
  </conditionalFormatting>
  <conditionalFormatting sqref="AL33:BA33">
    <cfRule type="expression" dxfId="1330" priority="14">
      <formula>$M33="NON DEFINED"</formula>
    </cfRule>
    <cfRule type="expression" dxfId="1329" priority="15">
      <formula>$AY33="N.D."</formula>
    </cfRule>
  </conditionalFormatting>
  <conditionalFormatting sqref="AW47:BA47">
    <cfRule type="expression" dxfId="1328" priority="12">
      <formula>$M47="NON DEFINED"</formula>
    </cfRule>
    <cfRule type="expression" dxfId="1327" priority="13">
      <formula>$AY47="N.D."</formula>
    </cfRule>
  </conditionalFormatting>
  <conditionalFormatting sqref="BD5:BE5 BE25 BD35:BE35 BE49 BD4 BE9 BD24 BE27 BE29 BE31 BE51 BE53 BE55 BE57 BE59 BE61 BE63 BE65 BD13:BG13 BD15:BG15 BD17:BG17 BD19:BG19 BD33:BG33 BG35 BD37:BG37 BD39:BG39 BD41:BG41 BD43:BG43 BD45:BG45 BD47:BG47">
    <cfRule type="containsBlanks" dxfId="1326" priority="11">
      <formula>LEN(TRIM(BD4))=0</formula>
    </cfRule>
  </conditionalFormatting>
  <conditionalFormatting sqref="BG65 BG63 BG61 BG59 BG57 BG55 BG53 BG51 BG49 BG31 BG29 BG27 BG25 BG23 BG21 BG11 BG9 BG7">
    <cfRule type="containsBlanks" dxfId="1325" priority="10">
      <formula>LEN(TRIM(BG7))=0</formula>
    </cfRule>
  </conditionalFormatting>
  <conditionalFormatting sqref="BC4:BC66 BC69:BC1999">
    <cfRule type="containsText" dxfId="1324" priority="8" operator="containsText" text="a">
      <formula>NOT(ISERROR(SEARCH("a",BC4)))</formula>
    </cfRule>
    <cfRule type="containsText" dxfId="1323" priority="9" operator="containsText" text="R">
      <formula>NOT(ISERROR(SEARCH("R",BC4)))</formula>
    </cfRule>
  </conditionalFormatting>
  <conditionalFormatting sqref="BA4:BA66">
    <cfRule type="expression" dxfId="1322" priority="7">
      <formula>$BC4="R"</formula>
    </cfRule>
  </conditionalFormatting>
  <conditionalFormatting sqref="BC67:BG68">
    <cfRule type="cellIs" dxfId="1321" priority="2" operator="equal">
      <formula>0</formula>
    </cfRule>
  </conditionalFormatting>
  <conditionalFormatting sqref="A67:BB68">
    <cfRule type="cellIs" dxfId="1320" priority="6" operator="equal">
      <formula>0</formula>
    </cfRule>
  </conditionalFormatting>
  <conditionalFormatting sqref="B67:BA68 BC67:BG68">
    <cfRule type="expression" dxfId="1319" priority="4">
      <formula>$M67="NON DEFINED"</formula>
    </cfRule>
    <cfRule type="expression" dxfId="1318" priority="5">
      <formula>$AY67="N.D."</formula>
    </cfRule>
  </conditionalFormatting>
  <conditionalFormatting sqref="BA67:BA68">
    <cfRule type="expression" dxfId="1317" priority="3">
      <formula>$BC67="R"</formula>
    </cfRule>
  </conditionalFormatting>
  <conditionalFormatting sqref="AN4:AN68">
    <cfRule type="cellIs" dxfId="1316" priority="1" operator="notEqual">
      <formula>5.5</formula>
    </cfRule>
  </conditionalFormatting>
  <printOptions horizontalCentered="1" gridLines="1"/>
  <pageMargins left="0.39370078740157483" right="0.39370078740157483" top="0.78740157480314965" bottom="0.78740157480314965" header="0.31496062992125984" footer="0.31496062992125984"/>
  <pageSetup paperSize="9" scale="53" fitToHeight="0" orientation="landscape" r:id="rId1"/>
  <headerFooter alignWithMargins="0">
    <oddHeader>&amp;L&amp;G&amp;C
LAYOUT AND EQUIPMENT
EP06 TRACK 3 HER
KP82+550 - 85+000&amp;R&amp;G</oddHeader>
    <oddFooter>&amp;L&amp;G
&amp;F&amp;C&amp;D&amp;RPag &amp;P of &amp;N</oddFoot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33">
    <tabColor theme="2" tint="-0.499984740745262"/>
    <pageSetUpPr fitToPage="1"/>
  </sheetPr>
  <dimension ref="A1:BG2165"/>
  <sheetViews>
    <sheetView tabSelected="1" view="pageBreakPreview" zoomScale="55" zoomScaleNormal="85" zoomScaleSheetLayoutView="55" workbookViewId="0">
      <pane xSplit="2" ySplit="3" topLeftCell="C4" activePane="bottomRight" state="frozen"/>
      <selection activeCell="G124" sqref="G124"/>
      <selection pane="topRight" activeCell="G124" sqref="G124"/>
      <selection pane="bottomLeft" activeCell="G124" sqref="G124"/>
      <selection pane="bottomRight" activeCell="G124" sqref="G124"/>
    </sheetView>
  </sheetViews>
  <sheetFormatPr baseColWidth="10" defaultColWidth="11.453125" defaultRowHeight="15.75" customHeight="1"/>
  <cols>
    <col min="1" max="1" width="17.36328125" style="178" bestFit="1" customWidth="1"/>
    <col min="2" max="2" width="12.6328125" style="178" customWidth="1"/>
    <col min="3" max="3" width="12.6328125" style="184" customWidth="1"/>
    <col min="4" max="5" width="12.6328125" style="178" hidden="1" customWidth="1"/>
    <col min="6" max="6" width="12.6328125" style="178" customWidth="1"/>
    <col min="7" max="7" width="11.90625" style="454" customWidth="1"/>
    <col min="8" max="8" width="18.6328125" style="178" customWidth="1"/>
    <col min="9" max="9" width="12.6328125" style="178" customWidth="1"/>
    <col min="10" max="10" width="12.6328125" style="184" customWidth="1"/>
    <col min="11" max="11" width="12.6328125" style="178" customWidth="1"/>
    <col min="12" max="13" width="14.6328125" style="178" customWidth="1"/>
    <col min="14" max="16" width="8.6328125" style="178" hidden="1" customWidth="1"/>
    <col min="17" max="19" width="12.6328125" style="178" hidden="1" customWidth="1"/>
    <col min="20" max="28" width="8.6328125" style="178" hidden="1" customWidth="1"/>
    <col min="29" max="31" width="10.6328125" style="178" hidden="1" customWidth="1"/>
    <col min="32" max="32" width="13.54296875" style="178" hidden="1" customWidth="1"/>
    <col min="33" max="33" width="12.6328125" style="184" hidden="1" customWidth="1"/>
    <col min="34" max="36" width="12.6328125" style="178" hidden="1" customWidth="1"/>
    <col min="37" max="38" width="12.6328125" style="178" customWidth="1"/>
    <col min="39" max="39" width="12.6328125" style="178" hidden="1" customWidth="1"/>
    <col min="40" max="42" width="8.6328125" style="169" hidden="1" customWidth="1"/>
    <col min="43" max="46" width="8.6328125" style="458" hidden="1" customWidth="1"/>
    <col min="47" max="48" width="8.6328125" style="169" hidden="1" customWidth="1"/>
    <col min="49" max="50" width="12.6328125" style="169" customWidth="1"/>
    <col min="51" max="52" width="12.6328125" style="458" customWidth="1"/>
    <col min="53" max="53" width="12.6328125" style="169" customWidth="1"/>
    <col min="54" max="54" width="21.6328125" style="178" customWidth="1"/>
    <col min="55" max="55" width="18" style="178" customWidth="1"/>
    <col min="56" max="59" width="14.54296875" style="1323" customWidth="1"/>
    <col min="60" max="60" width="11.453125" style="178" customWidth="1"/>
    <col min="61" max="16384" width="11.453125" style="178"/>
  </cols>
  <sheetData>
    <row r="1" spans="1:59" ht="35.25" customHeight="1">
      <c r="A1" s="1605" t="s">
        <v>2421</v>
      </c>
      <c r="B1" s="1605"/>
      <c r="C1" s="1605"/>
      <c r="D1" s="1605"/>
      <c r="E1" s="1605"/>
      <c r="F1" s="1605"/>
      <c r="G1" s="1605"/>
      <c r="H1" s="1605"/>
      <c r="I1" s="1605"/>
      <c r="J1" s="1605"/>
      <c r="K1" s="1605"/>
      <c r="L1" s="1605"/>
      <c r="M1" s="1605"/>
      <c r="N1" s="1605"/>
      <c r="O1" s="1605"/>
      <c r="P1" s="1605"/>
      <c r="Q1" s="1605"/>
      <c r="R1" s="1605"/>
      <c r="S1" s="1605"/>
      <c r="T1" s="1605"/>
      <c r="U1" s="1605"/>
      <c r="V1" s="1605"/>
      <c r="W1" s="1605"/>
      <c r="X1" s="1605"/>
      <c r="Y1" s="1605"/>
      <c r="Z1" s="1605"/>
      <c r="AA1" s="1605"/>
      <c r="AB1" s="1605"/>
      <c r="AC1" s="1605"/>
      <c r="AD1" s="1605"/>
      <c r="AE1" s="1605"/>
      <c r="AF1" s="1605"/>
      <c r="AG1" s="1605"/>
      <c r="AH1" s="1605"/>
      <c r="AI1" s="1605"/>
      <c r="AJ1" s="1605"/>
      <c r="AK1" s="1605"/>
      <c r="AL1" s="1605"/>
      <c r="AM1" s="1605"/>
      <c r="AN1" s="1605"/>
      <c r="AO1" s="1605"/>
      <c r="AP1" s="1605"/>
      <c r="AQ1" s="1605"/>
      <c r="AR1" s="1605"/>
      <c r="AS1" s="1605"/>
      <c r="AT1" s="1605"/>
      <c r="AU1" s="1605"/>
      <c r="AV1" s="1605"/>
      <c r="AW1" s="1605"/>
      <c r="AX1" s="1605"/>
      <c r="AY1" s="1605"/>
      <c r="AZ1" s="1605"/>
      <c r="BA1" s="1605"/>
      <c r="BB1" s="1605"/>
      <c r="BC1" s="693" t="s">
        <v>4947</v>
      </c>
      <c r="BD1" s="1599" t="s">
        <v>4916</v>
      </c>
      <c r="BE1" s="1599"/>
      <c r="BF1" s="1599"/>
      <c r="BG1" s="1599"/>
    </row>
    <row r="2" spans="1:59" s="699" customFormat="1" ht="42" customHeight="1">
      <c r="A2" s="1255" t="s">
        <v>4417</v>
      </c>
      <c r="B2" s="1255" t="s">
        <v>4418</v>
      </c>
      <c r="C2" s="884" t="s">
        <v>2315</v>
      </c>
      <c r="D2" s="1255" t="s">
        <v>4419</v>
      </c>
      <c r="E2" s="1255" t="s">
        <v>4855</v>
      </c>
      <c r="F2" s="1255" t="s">
        <v>4856</v>
      </c>
      <c r="G2" s="1255" t="s">
        <v>4857</v>
      </c>
      <c r="H2" s="1255" t="s">
        <v>455</v>
      </c>
      <c r="I2" s="1255" t="s">
        <v>454</v>
      </c>
      <c r="J2" s="1255" t="s">
        <v>4423</v>
      </c>
      <c r="K2" s="1255" t="s">
        <v>1362</v>
      </c>
      <c r="L2" s="1255" t="s">
        <v>456</v>
      </c>
      <c r="M2" s="1255" t="s">
        <v>453</v>
      </c>
      <c r="N2" s="1603" t="s">
        <v>457</v>
      </c>
      <c r="O2" s="1603"/>
      <c r="P2" s="1603"/>
      <c r="Q2" s="1255" t="s">
        <v>4858</v>
      </c>
      <c r="R2" s="1255" t="s">
        <v>4859</v>
      </c>
      <c r="S2" s="1255" t="s">
        <v>4860</v>
      </c>
      <c r="T2" s="1603" t="s">
        <v>4861</v>
      </c>
      <c r="U2" s="1603"/>
      <c r="V2" s="1603"/>
      <c r="W2" s="1603" t="s">
        <v>4862</v>
      </c>
      <c r="X2" s="1603"/>
      <c r="Y2" s="1603"/>
      <c r="Z2" s="1603" t="s">
        <v>4863</v>
      </c>
      <c r="AA2" s="1603"/>
      <c r="AB2" s="1603"/>
      <c r="AC2" s="1603" t="s">
        <v>628</v>
      </c>
      <c r="AD2" s="1603"/>
      <c r="AE2" s="1603"/>
      <c r="AF2" s="1255" t="s">
        <v>4872</v>
      </c>
      <c r="AG2" s="884" t="s">
        <v>4864</v>
      </c>
      <c r="AH2" s="1255" t="s">
        <v>4865</v>
      </c>
      <c r="AI2" s="1255" t="s">
        <v>4866</v>
      </c>
      <c r="AJ2" s="1255" t="s">
        <v>629</v>
      </c>
      <c r="AK2" s="1255" t="s">
        <v>458</v>
      </c>
      <c r="AL2" s="1255" t="s">
        <v>459</v>
      </c>
      <c r="AM2" s="1255" t="s">
        <v>631</v>
      </c>
      <c r="AN2" s="1603" t="s">
        <v>4867</v>
      </c>
      <c r="AO2" s="1603"/>
      <c r="AP2" s="1603"/>
      <c r="AQ2" s="1604" t="s">
        <v>460</v>
      </c>
      <c r="AR2" s="1604"/>
      <c r="AS2" s="1604"/>
      <c r="AT2" s="1603" t="s">
        <v>630</v>
      </c>
      <c r="AU2" s="1603"/>
      <c r="AV2" s="1603"/>
      <c r="AW2" s="1255" t="s">
        <v>4868</v>
      </c>
      <c r="AX2" s="1255" t="s">
        <v>4904</v>
      </c>
      <c r="AY2" s="1256" t="s">
        <v>4869</v>
      </c>
      <c r="AZ2" s="1256" t="s">
        <v>4870</v>
      </c>
      <c r="BA2" s="1255" t="s">
        <v>1670</v>
      </c>
      <c r="BB2" s="1255" t="s">
        <v>4871</v>
      </c>
      <c r="BC2" s="693" t="s">
        <v>4948</v>
      </c>
      <c r="BD2" s="1320" t="s">
        <v>453</v>
      </c>
      <c r="BE2" s="1320" t="s">
        <v>4922</v>
      </c>
      <c r="BF2" s="1320" t="s">
        <v>4915</v>
      </c>
      <c r="BG2" s="1320" t="s">
        <v>457</v>
      </c>
    </row>
    <row r="3" spans="1:59" ht="15.75" customHeight="1">
      <c r="A3" s="1239"/>
      <c r="B3" s="1239"/>
      <c r="C3" s="171"/>
      <c r="D3" s="1239"/>
      <c r="E3" s="1239"/>
      <c r="F3" s="172"/>
      <c r="G3" s="1239"/>
      <c r="H3" s="1239"/>
      <c r="I3" s="1239"/>
      <c r="J3" s="171"/>
      <c r="K3" s="1239"/>
      <c r="L3" s="1239"/>
      <c r="M3" s="1239"/>
      <c r="N3" s="420" t="s">
        <v>123</v>
      </c>
      <c r="O3" s="420" t="s">
        <v>124</v>
      </c>
      <c r="P3" s="420" t="s">
        <v>125</v>
      </c>
      <c r="Q3" s="1239"/>
      <c r="R3" s="1239"/>
      <c r="S3" s="1239"/>
      <c r="T3" s="676" t="s">
        <v>126</v>
      </c>
      <c r="U3" s="676" t="s">
        <v>127</v>
      </c>
      <c r="V3" s="676" t="s">
        <v>128</v>
      </c>
      <c r="W3" s="676" t="s">
        <v>129</v>
      </c>
      <c r="X3" s="676" t="s">
        <v>130</v>
      </c>
      <c r="Y3" s="676" t="s">
        <v>131</v>
      </c>
      <c r="Z3" s="676" t="s">
        <v>132</v>
      </c>
      <c r="AA3" s="676" t="s">
        <v>133</v>
      </c>
      <c r="AB3" s="676" t="s">
        <v>134</v>
      </c>
      <c r="AC3" s="676" t="s">
        <v>135</v>
      </c>
      <c r="AD3" s="676" t="s">
        <v>136</v>
      </c>
      <c r="AE3" s="676" t="s">
        <v>137</v>
      </c>
      <c r="AF3" s="1239"/>
      <c r="AG3" s="171"/>
      <c r="AH3" s="1239"/>
      <c r="AI3" s="1239"/>
      <c r="AJ3" s="1239"/>
      <c r="AK3" s="1239"/>
      <c r="AL3" s="1239"/>
      <c r="AM3" s="1239"/>
      <c r="AN3" s="676" t="s">
        <v>129</v>
      </c>
      <c r="AO3" s="676" t="s">
        <v>130</v>
      </c>
      <c r="AP3" s="676" t="s">
        <v>131</v>
      </c>
      <c r="AQ3" s="697" t="s">
        <v>613</v>
      </c>
      <c r="AR3" s="697" t="s">
        <v>614</v>
      </c>
      <c r="AS3" s="697" t="s">
        <v>615</v>
      </c>
      <c r="AT3" s="697" t="s">
        <v>616</v>
      </c>
      <c r="AU3" s="676" t="s">
        <v>617</v>
      </c>
      <c r="AV3" s="676" t="s">
        <v>618</v>
      </c>
      <c r="AW3" s="1239"/>
      <c r="AX3" s="1239"/>
      <c r="AY3" s="455"/>
      <c r="AZ3" s="455"/>
      <c r="BA3" s="1239"/>
      <c r="BB3" s="1239"/>
      <c r="BD3" s="1239"/>
      <c r="BE3" s="1239"/>
      <c r="BF3" s="1239"/>
      <c r="BG3" s="1239"/>
    </row>
    <row r="4" spans="1:59" ht="15.75" customHeight="1">
      <c r="A4" s="501"/>
      <c r="B4" s="716" t="str">
        <f>'HR Track 1 RIS-HER'!B125</f>
        <v>82-1.08</v>
      </c>
      <c r="C4" s="451">
        <f>'HR Track 1 RIS-HER'!C125</f>
        <v>82445.23</v>
      </c>
      <c r="D4" s="453">
        <f>'HR Track 1 RIS-HER'!D125</f>
        <v>0</v>
      </c>
      <c r="E4" s="452">
        <f>'HR Track 1 RIS-HER'!E125</f>
        <v>0</v>
      </c>
      <c r="F4" s="453">
        <f>'HR Track 1 RIS-HER'!F125</f>
        <v>-3000</v>
      </c>
      <c r="G4" s="500"/>
      <c r="H4" s="453" t="str">
        <f>'HR Track 1 RIS-HER'!H125</f>
        <v>AnMP</v>
      </c>
      <c r="I4" s="501"/>
      <c r="J4" s="583"/>
      <c r="K4" s="452"/>
      <c r="L4" s="452" t="str">
        <f>'HR Track 1 RIS-HER'!L125</f>
        <v>HEB-260</v>
      </c>
      <c r="M4" s="452" t="str">
        <f>'HR Track 1 RIS-HER'!M125</f>
        <v>C4R</v>
      </c>
      <c r="N4" s="501" t="str">
        <f>'HR Track 1 RIS-HER'!N125</f>
        <v>EMT-2</v>
      </c>
      <c r="O4" s="501">
        <f>'HR Track 1 RIS-HER'!O125</f>
        <v>0</v>
      </c>
      <c r="P4" s="501">
        <f>'HR Track 1 RIS-HER'!P125</f>
        <v>0</v>
      </c>
      <c r="Q4" s="452">
        <f>'HR Track 1 RIS-HER'!Q125</f>
        <v>0</v>
      </c>
      <c r="R4" s="452">
        <f>'HR Track 1 RIS-HER'!R125</f>
        <v>0</v>
      </c>
      <c r="S4" s="500">
        <f>'HR Track 1 RIS-HER'!S125</f>
        <v>0</v>
      </c>
      <c r="T4" s="452">
        <f>'HR Track 1 RIS-HER'!T125</f>
        <v>20</v>
      </c>
      <c r="U4" s="452">
        <f>'HR Track 1 RIS-HER'!U125</f>
        <v>0</v>
      </c>
      <c r="V4" s="452">
        <f>'HR Track 1 RIS-HER'!V125</f>
        <v>0</v>
      </c>
      <c r="W4" s="452">
        <f>'HR Track 1 RIS-HER'!W125</f>
        <v>1.4</v>
      </c>
      <c r="X4" s="452">
        <f>'HR Track 1 RIS-HER'!X125</f>
        <v>0</v>
      </c>
      <c r="Y4" s="452">
        <f>'HR Track 1 RIS-HER'!Y125</f>
        <v>0</v>
      </c>
      <c r="Z4" s="452">
        <f>'HR Track 1 RIS-HER'!Z125</f>
        <v>0</v>
      </c>
      <c r="AA4" s="452">
        <f>'HR Track 1 RIS-HER'!AA125</f>
        <v>0</v>
      </c>
      <c r="AB4" s="452">
        <f>'HR Track 1 RIS-HER'!AB125</f>
        <v>0</v>
      </c>
      <c r="AC4" s="452" t="str">
        <f>'HR Track 1 RIS-HER'!AC125</f>
        <v>PH-Q</v>
      </c>
      <c r="AD4" s="452">
        <f>'HR Track 1 RIS-HER'!AD125</f>
        <v>0</v>
      </c>
      <c r="AE4" s="452">
        <f>'HR Track 1 RIS-HER'!AE125</f>
        <v>0</v>
      </c>
      <c r="AF4" s="452">
        <f>'HR Track 1 RIS-HER'!AF125</f>
        <v>0</v>
      </c>
      <c r="AG4" s="451">
        <f>'HR Track 1 RIS-HER'!AG125</f>
        <v>0</v>
      </c>
      <c r="AH4" s="452">
        <f>'HR Track 1 RIS-HER'!AH125</f>
        <v>0</v>
      </c>
      <c r="AI4" s="452">
        <f>'HR Track 1 RIS-HER'!AI125</f>
        <v>0</v>
      </c>
      <c r="AJ4" s="452">
        <f>'HR Track 1 RIS-HER'!AJ125</f>
        <v>0</v>
      </c>
      <c r="AK4" s="452">
        <f>'HR Track 1 RIS-HER'!AK125</f>
        <v>0</v>
      </c>
      <c r="AL4" s="452">
        <f>'HR Track 1 RIS-HER'!AL125</f>
        <v>0</v>
      </c>
      <c r="AM4" s="452" t="str">
        <f>'HR Track 1 RIS-HER'!AM125</f>
        <v>RW2</v>
      </c>
      <c r="AN4" s="500">
        <f>'HR Track 1 RIS-HER'!AN125</f>
        <v>5.5</v>
      </c>
      <c r="AO4" s="452">
        <f>'HR Track 1 RIS-HER'!AO125</f>
        <v>0</v>
      </c>
      <c r="AP4" s="452">
        <f>'HR Track 1 RIS-HER'!AP125</f>
        <v>0</v>
      </c>
      <c r="AQ4" s="452"/>
      <c r="AR4" s="452"/>
      <c r="AS4" s="452"/>
      <c r="AT4" s="452">
        <f>'HR Track 1 RIS-HER'!AT125</f>
        <v>5.2189543079995184</v>
      </c>
      <c r="AU4" s="452">
        <f>'HR Track 1 RIS-HER'!AU125</f>
        <v>0</v>
      </c>
      <c r="AV4" s="452">
        <f>'HR Track 1 RIS-HER'!AV125</f>
        <v>0</v>
      </c>
      <c r="AW4" s="452" t="str">
        <f>'HR Track 1 RIS-HER'!AW125</f>
        <v>Soil A</v>
      </c>
      <c r="AX4" s="452" t="str">
        <f>'HR Track 1 RIS-HER'!AX125</f>
        <v>PT</v>
      </c>
      <c r="AY4" s="500">
        <f>'HR Track 1 RIS-HER'!AY125</f>
        <v>3.5</v>
      </c>
      <c r="AZ4" s="500"/>
      <c r="BA4" s="1333" t="str">
        <f>'HR Track 1 RIS-HER'!BA125</f>
        <v>ü</v>
      </c>
      <c r="BB4" s="452" t="str">
        <f>'HR Track 1 RIS-HER'!BB125</f>
        <v>App.7-V11A-P9.5.1.3</v>
      </c>
      <c r="BC4" s="1334">
        <f>'HR Track 1 RIS-HER'!BC125</f>
        <v>0</v>
      </c>
      <c r="BD4" s="1335">
        <f>'HR Track 1 RIS-HER'!BD125</f>
        <v>0</v>
      </c>
      <c r="BE4" s="1335">
        <f>'HR Track 1 RIS-HER'!BE125</f>
        <v>0</v>
      </c>
      <c r="BF4" s="1335">
        <f>'HR Track 1 RIS-HER'!BF125</f>
        <v>0</v>
      </c>
      <c r="BG4" s="1335">
        <f>'HR Track 1 RIS-HER'!BG125</f>
        <v>0</v>
      </c>
    </row>
    <row r="5" spans="1:59" ht="15.75" customHeight="1">
      <c r="A5" s="1239"/>
      <c r="B5" s="173"/>
      <c r="C5" s="446"/>
      <c r="D5" s="447"/>
      <c r="E5" s="447"/>
      <c r="F5" s="1239"/>
      <c r="G5" s="484">
        <f>'HR Track 1 RIS-HER'!G126</f>
        <v>60</v>
      </c>
      <c r="H5" s="1239"/>
      <c r="I5" s="448"/>
      <c r="J5" s="451">
        <f>'HR Track 1 RIS-HER'!J126</f>
        <v>82452.73</v>
      </c>
      <c r="K5" s="452" t="str">
        <f>'HR Track 1 RIS-HER'!K126</f>
        <v>AnM-R</v>
      </c>
      <c r="L5" s="452"/>
      <c r="M5" s="452"/>
      <c r="N5" s="501"/>
      <c r="O5" s="501"/>
      <c r="P5" s="452"/>
      <c r="Q5" s="452"/>
      <c r="R5" s="452"/>
      <c r="S5" s="500"/>
      <c r="T5" s="452"/>
      <c r="U5" s="452"/>
      <c r="V5" s="452"/>
      <c r="W5" s="452"/>
      <c r="X5" s="452"/>
      <c r="Y5" s="452"/>
      <c r="Z5" s="452"/>
      <c r="AA5" s="452"/>
      <c r="AB5" s="452"/>
      <c r="AC5" s="452"/>
      <c r="AD5" s="452"/>
      <c r="AE5" s="452"/>
      <c r="AF5" s="452"/>
      <c r="AG5" s="451"/>
      <c r="AH5" s="452"/>
      <c r="AI5" s="729"/>
      <c r="AJ5" s="452"/>
      <c r="AK5" s="501"/>
      <c r="AL5" s="452"/>
      <c r="AM5" s="452"/>
      <c r="AN5" s="502"/>
      <c r="AO5" s="501"/>
      <c r="AP5" s="501"/>
      <c r="AQ5" s="500">
        <f>'HR Track 1 RIS-HER'!AQ126</f>
        <v>-0.4428994186666666</v>
      </c>
      <c r="AR5" s="500">
        <f>'HR Track 1 RIS-HER'!AR126</f>
        <v>0</v>
      </c>
      <c r="AS5" s="500">
        <f>'HR Track 1 RIS-HER'!AS126</f>
        <v>0</v>
      </c>
      <c r="AT5" s="500"/>
      <c r="AU5" s="452"/>
      <c r="AV5" s="452"/>
      <c r="AW5" s="452" t="str">
        <f>'HR Track 1 RIS-HER'!AW126</f>
        <v>Soil A</v>
      </c>
      <c r="AX5" s="452" t="str">
        <f>'HR Track 1 RIS-HER'!AX126</f>
        <v>PT</v>
      </c>
      <c r="AY5" s="500"/>
      <c r="AZ5" s="500">
        <f>'HR Track 1 RIS-HER'!AZ126</f>
        <v>2.8</v>
      </c>
      <c r="BA5" s="671" t="str">
        <f>'HR Track 1 RIS-HER'!BA126</f>
        <v>ü</v>
      </c>
      <c r="BB5" s="1239"/>
      <c r="BC5" s="169"/>
      <c r="BD5" s="1329"/>
      <c r="BE5" s="1330"/>
      <c r="BF5" s="1330"/>
      <c r="BG5" s="1330"/>
    </row>
    <row r="6" spans="1:59" ht="15.75" customHeight="1">
      <c r="A6" s="1239"/>
      <c r="B6" s="435" t="s">
        <v>3807</v>
      </c>
      <c r="C6" s="446">
        <f>+$C$4+$G$5</f>
        <v>82505.23</v>
      </c>
      <c r="D6" s="447"/>
      <c r="E6" s="447"/>
      <c r="F6" s="1239">
        <v>0</v>
      </c>
      <c r="G6" s="484"/>
      <c r="H6" s="1239"/>
      <c r="I6" s="445" t="s">
        <v>1471</v>
      </c>
      <c r="J6" s="446"/>
      <c r="K6" s="638"/>
      <c r="L6" s="638" t="s">
        <v>229</v>
      </c>
      <c r="M6" s="638" t="str">
        <f>IF(AX6="PT",VLOOKUP(L6,'Foundation Calculation'!$V$2:$X$40,VLOOKUP(AX6,'Foundation Calculation'!$I$10:$J$13,2,FALSE),0),IF(AX6="K",VLOOKUP(L6,'Foundation Calculation'!$V$42:$X$80,VLOOKUP(AX6,'Foundation Calculation'!$I$10:$J$13,2,FALSE),0),""))</f>
        <v>C3R</v>
      </c>
      <c r="N6" s="1239" t="s">
        <v>143</v>
      </c>
      <c r="O6" s="1239"/>
      <c r="P6" s="638"/>
      <c r="Q6" s="638"/>
      <c r="R6" s="638"/>
      <c r="S6" s="484"/>
      <c r="T6" s="638">
        <v>-30</v>
      </c>
      <c r="U6" s="638"/>
      <c r="V6" s="638"/>
      <c r="W6" s="638">
        <v>1.4</v>
      </c>
      <c r="X6" s="638"/>
      <c r="Y6" s="638"/>
      <c r="Z6" s="638"/>
      <c r="AA6" s="638"/>
      <c r="AB6" s="638"/>
      <c r="AC6" s="638" t="str">
        <f>IF(OR(AT6&gt;8,AT6&lt;-8),"PH",IF(OR(AT6&gt;5,AT6&lt;-5),"PH-Q",IF(OR(AT6&gt;1,AT6&lt;-1),"PH-C")))</f>
        <v>PH</v>
      </c>
      <c r="AD6" s="638"/>
      <c r="AE6" s="638"/>
      <c r="AF6" s="638"/>
      <c r="AG6" s="446"/>
      <c r="AH6" s="638"/>
      <c r="AI6" s="185"/>
      <c r="AJ6" s="638"/>
      <c r="AK6" s="1239"/>
      <c r="AL6" s="638"/>
      <c r="AM6" s="445" t="s">
        <v>1043</v>
      </c>
      <c r="AN6" s="455">
        <v>5.5</v>
      </c>
      <c r="AO6" s="1239"/>
      <c r="AP6" s="1239"/>
      <c r="AQ6" s="484"/>
      <c r="AR6" s="484"/>
      <c r="AS6" s="484"/>
      <c r="AT6" s="484">
        <f>+ab($T$6,$T$4,-$T$8,$G$5,$G$7,-1*$F$6,1200)</f>
        <v>-10.352747389609581</v>
      </c>
      <c r="AU6" s="638"/>
      <c r="AV6" s="638"/>
      <c r="AW6" s="638" t="str">
        <f>VLOOKUP(C6,'Foundation Calculation'!$A$2:$C$33,3,1)</f>
        <v>Soil A</v>
      </c>
      <c r="AX6" s="638" t="str">
        <f>VLOOKUP(C6,'Foundation Calculation'!$E$2:$G$33,3,1)</f>
        <v>PT</v>
      </c>
      <c r="AY6" s="484">
        <f>IF(AX6="PT",VLOOKUP(L6,'Foundation Calculation'!$K$2:$R$40,VLOOKUP(AW6,'Foundation Calculation'!$I$2:$J$8,2,FALSE),0),IF(AX6="K",VLOOKUP(L6,'Foundation Calculation'!$K$42:$R$80,VLOOKUP(AW6,'Foundation Calculation'!$I$2:$J$8,2,FALSE),0),""))</f>
        <v>3.5</v>
      </c>
      <c r="AZ6" s="484"/>
      <c r="BA6" s="671" t="s">
        <v>2809</v>
      </c>
      <c r="BB6" s="1239" t="str">
        <f>Pole_Calculations!A15</f>
        <v>App.7-V11A-P9.5.1.1</v>
      </c>
      <c r="BC6" s="169"/>
      <c r="BD6" s="1329"/>
      <c r="BE6" s="1329"/>
      <c r="BF6" s="1330"/>
      <c r="BG6" s="1329"/>
    </row>
    <row r="7" spans="1:59" ht="15.75" customHeight="1">
      <c r="A7" s="1239"/>
      <c r="B7" s="173"/>
      <c r="C7" s="446"/>
      <c r="D7" s="447"/>
      <c r="E7" s="447"/>
      <c r="F7" s="1239"/>
      <c r="G7" s="484">
        <v>60</v>
      </c>
      <c r="H7" s="1239"/>
      <c r="I7" s="455"/>
      <c r="J7" s="446">
        <f>C6+7.5</f>
        <v>82512.73</v>
      </c>
      <c r="K7" s="638" t="s">
        <v>2788</v>
      </c>
      <c r="L7" s="638"/>
      <c r="M7" s="638"/>
      <c r="N7" s="1239"/>
      <c r="O7" s="1239"/>
      <c r="P7" s="638"/>
      <c r="Q7" s="638"/>
      <c r="R7" s="638"/>
      <c r="S7" s="484"/>
      <c r="T7" s="638"/>
      <c r="U7" s="638"/>
      <c r="V7" s="638"/>
      <c r="W7" s="638"/>
      <c r="X7" s="638"/>
      <c r="Y7" s="638"/>
      <c r="Z7" s="638"/>
      <c r="AA7" s="638"/>
      <c r="AB7" s="638"/>
      <c r="AC7" s="638"/>
      <c r="AD7" s="638"/>
      <c r="AE7" s="638"/>
      <c r="AF7" s="638"/>
      <c r="AG7" s="446"/>
      <c r="AH7" s="638"/>
      <c r="AI7" s="185"/>
      <c r="AJ7" s="638"/>
      <c r="AK7" s="1239"/>
      <c r="AL7" s="638"/>
      <c r="AM7" s="638"/>
      <c r="AN7" s="455"/>
      <c r="AO7" s="1239"/>
      <c r="AP7" s="1239"/>
      <c r="AQ7" s="484">
        <f>+FL_2(-$T$8,$T$6,$G$7,1200,9.28,-1*$F$8)</f>
        <v>-0.39823740222285853</v>
      </c>
      <c r="AR7" s="484"/>
      <c r="AS7" s="484"/>
      <c r="AT7" s="484"/>
      <c r="AU7" s="638"/>
      <c r="AV7" s="638"/>
      <c r="AW7" s="638" t="str">
        <f>VLOOKUP(J7,'Foundation Calculation'!$A$2:$C$33,3,1)</f>
        <v>Soil A</v>
      </c>
      <c r="AX7" s="638" t="str">
        <f>VLOOKUP(J7,'Foundation Calculation'!$E$2:$G$33,3,1)</f>
        <v>PT</v>
      </c>
      <c r="AY7" s="484"/>
      <c r="AZ7" s="484">
        <f>IF(AX7="PT",VLOOKUP(K7,'Foundation Calculation'!$K$2:$R$40,VLOOKUP(AW7,'Foundation Calculation'!$I$2:$J$8,2,FALSE),0),IF(AX7="K",VLOOKUP(K7,'Foundation Calculation'!$K$42:$R$80,VLOOKUP(AW7,'Foundation Calculation'!$I$2:$J$8,2,FALSE),0),""))</f>
        <v>2.8</v>
      </c>
      <c r="BA7" s="671" t="s">
        <v>2809</v>
      </c>
      <c r="BB7" s="1239"/>
      <c r="BC7" s="169"/>
      <c r="BD7" s="1329"/>
      <c r="BE7" s="1330"/>
      <c r="BF7" s="1330"/>
      <c r="BG7" s="1330"/>
    </row>
    <row r="8" spans="1:59" ht="15.75" customHeight="1">
      <c r="A8" s="449"/>
      <c r="B8" s="485" t="s">
        <v>3808</v>
      </c>
      <c r="C8" s="446">
        <f>+$C$6+$G$7</f>
        <v>82565.23</v>
      </c>
      <c r="D8" s="445"/>
      <c r="E8" s="445"/>
      <c r="F8" s="448">
        <f>(346^2)/(C8-82560.46)</f>
        <v>25097.693920390557</v>
      </c>
      <c r="G8" s="484"/>
      <c r="H8" s="445"/>
      <c r="I8" s="1239" t="s">
        <v>1039</v>
      </c>
      <c r="J8" s="446"/>
      <c r="K8" s="638"/>
      <c r="L8" s="638" t="s">
        <v>229</v>
      </c>
      <c r="M8" s="638" t="str">
        <f>IF(AX8="PT",VLOOKUP(L8,'Foundation Calculation'!$V$2:$X$40,VLOOKUP(AX8,'Foundation Calculation'!$I$10:$J$13,2,FALSE),0),IF(AX8="K",VLOOKUP(L8,'Foundation Calculation'!$V$42:$X$80,VLOOKUP(AX8,'Foundation Calculation'!$I$10:$J$13,2,FALSE),0),""))</f>
        <v>C3R</v>
      </c>
      <c r="N8" s="1239" t="s">
        <v>143</v>
      </c>
      <c r="O8" s="1239"/>
      <c r="P8" s="445"/>
      <c r="Q8" s="638"/>
      <c r="R8" s="638"/>
      <c r="S8" s="484"/>
      <c r="T8" s="638">
        <v>-30</v>
      </c>
      <c r="U8" s="638"/>
      <c r="V8" s="638"/>
      <c r="W8" s="638">
        <v>1.4</v>
      </c>
      <c r="X8" s="638"/>
      <c r="Y8" s="638"/>
      <c r="Z8" s="638"/>
      <c r="AA8" s="638"/>
      <c r="AB8" s="638"/>
      <c r="AC8" s="638" t="str">
        <f>IF(OR(AT8&gt;8,AT8&lt;-8),"PH",IF(OR(AT8&gt;5,AT8&lt;-5),"PH-Q",IF(OR(AT8&gt;1,AT8&lt;-1),"PH-C")))</f>
        <v>PH</v>
      </c>
      <c r="AD8" s="638"/>
      <c r="AE8" s="638"/>
      <c r="AF8" s="638"/>
      <c r="AG8" s="446"/>
      <c r="AH8" s="638"/>
      <c r="AI8" s="185"/>
      <c r="AJ8" s="445"/>
      <c r="AK8" s="445"/>
      <c r="AL8" s="445"/>
      <c r="AM8" s="445" t="s">
        <v>1042</v>
      </c>
      <c r="AN8" s="455">
        <v>5.5</v>
      </c>
      <c r="AO8" s="1239"/>
      <c r="AP8" s="1239"/>
      <c r="AQ8" s="484"/>
      <c r="AR8" s="484"/>
      <c r="AS8" s="484"/>
      <c r="AT8" s="484">
        <f>+ab($T$8,-$T$6,$T$10,$G$7,$G$9,-1*$F$8,1200)</f>
        <v>-9.1800752562926444</v>
      </c>
      <c r="AU8" s="638"/>
      <c r="AV8" s="638"/>
      <c r="AW8" s="638" t="str">
        <f>VLOOKUP(C8,'Foundation Calculation'!$A$2:$C$33,3,1)</f>
        <v>Soil A</v>
      </c>
      <c r="AX8" s="638" t="str">
        <f>VLOOKUP(C8,'Foundation Calculation'!$E$2:$G$33,3,1)</f>
        <v>PT</v>
      </c>
      <c r="AY8" s="484">
        <f>IF(AX8="PT",VLOOKUP(L8,'Foundation Calculation'!$K$2:$R$40,VLOOKUP(AW8,'Foundation Calculation'!$I$2:$J$8,2,FALSE),0),IF(AX8="K",VLOOKUP(L8,'Foundation Calculation'!$K$42:$R$80,VLOOKUP(AW8,'Foundation Calculation'!$I$2:$J$8,2,FALSE),0),""))</f>
        <v>3.5</v>
      </c>
      <c r="AZ8" s="484"/>
      <c r="BA8" s="671" t="s">
        <v>2809</v>
      </c>
      <c r="BB8" s="449" t="str">
        <f>Pole_Calculations!A15</f>
        <v>App.7-V11A-P9.5.1.1</v>
      </c>
      <c r="BC8" s="169"/>
      <c r="BD8" s="1329"/>
      <c r="BE8" s="1329"/>
      <c r="BF8" s="1330"/>
      <c r="BG8" s="1329"/>
    </row>
    <row r="9" spans="1:59" ht="15.75" customHeight="1">
      <c r="A9" s="449"/>
      <c r="B9" s="445"/>
      <c r="C9" s="446"/>
      <c r="D9" s="445"/>
      <c r="E9" s="445"/>
      <c r="F9" s="445"/>
      <c r="G9" s="484">
        <v>60</v>
      </c>
      <c r="H9" s="445"/>
      <c r="I9" s="1239"/>
      <c r="J9" s="171"/>
      <c r="K9" s="638"/>
      <c r="L9" s="445"/>
      <c r="M9" s="445"/>
      <c r="N9" s="445"/>
      <c r="O9" s="445"/>
      <c r="P9" s="445"/>
      <c r="Q9" s="638"/>
      <c r="R9" s="638"/>
      <c r="S9" s="484"/>
      <c r="T9" s="638"/>
      <c r="U9" s="638"/>
      <c r="V9" s="638"/>
      <c r="W9" s="638"/>
      <c r="X9" s="638"/>
      <c r="Y9" s="638"/>
      <c r="Z9" s="638"/>
      <c r="AA9" s="638"/>
      <c r="AB9" s="638"/>
      <c r="AC9" s="638"/>
      <c r="AD9" s="638"/>
      <c r="AE9" s="638"/>
      <c r="AF9" s="638"/>
      <c r="AG9" s="446"/>
      <c r="AH9" s="638"/>
      <c r="AI9" s="185"/>
      <c r="AJ9" s="445"/>
      <c r="AK9" s="445"/>
      <c r="AL9" s="445"/>
      <c r="AM9" s="445"/>
      <c r="AN9" s="484"/>
      <c r="AO9" s="445"/>
      <c r="AP9" s="445"/>
      <c r="AQ9" s="484">
        <f>+FL_1($T$10,$T$8,$G$9,1200,9.28,-1*$F$10)</f>
        <v>0.44443186236415178</v>
      </c>
      <c r="AR9" s="484"/>
      <c r="AS9" s="484"/>
      <c r="AT9" s="484"/>
      <c r="AU9" s="638"/>
      <c r="AV9" s="638"/>
      <c r="AW9" s="638"/>
      <c r="AX9" s="638"/>
      <c r="AY9" s="484"/>
      <c r="AZ9" s="484"/>
      <c r="BA9" s="671"/>
      <c r="BB9" s="449"/>
      <c r="BC9" s="169"/>
      <c r="BD9" s="1330"/>
      <c r="BE9" s="1330"/>
      <c r="BF9" s="1330"/>
      <c r="BG9" s="1330"/>
    </row>
    <row r="10" spans="1:59" ht="15.75" customHeight="1">
      <c r="A10" s="449"/>
      <c r="B10" s="485" t="s">
        <v>3809</v>
      </c>
      <c r="C10" s="446">
        <f>+$C$8+$G$9</f>
        <v>82625.23</v>
      </c>
      <c r="D10" s="445"/>
      <c r="E10" s="445"/>
      <c r="F10" s="445" t="s">
        <v>3764</v>
      </c>
      <c r="G10" s="484"/>
      <c r="H10" s="445" t="s">
        <v>138</v>
      </c>
      <c r="I10" s="445" t="s">
        <v>4896</v>
      </c>
      <c r="J10" s="446"/>
      <c r="K10" s="638"/>
      <c r="L10" s="445" t="s">
        <v>899</v>
      </c>
      <c r="M10" s="638" t="str">
        <f>IF(AX10="PT",VLOOKUP(L10,'Foundation Calculation'!$V$2:$X$40,VLOOKUP(AX10,'Foundation Calculation'!$I$10:$J$13,2,FALSE),0),IF(AX10="K",VLOOKUP(L10,'Foundation Calculation'!$V$42:$X$80,VLOOKUP(AX10,'Foundation Calculation'!$I$10:$J$13,2,FALSE),0),""))</f>
        <v>C5R</v>
      </c>
      <c r="N10" s="445" t="s">
        <v>144</v>
      </c>
      <c r="O10" s="445"/>
      <c r="P10" s="445"/>
      <c r="Q10" s="638"/>
      <c r="R10" s="638"/>
      <c r="S10" s="484"/>
      <c r="T10" s="638">
        <v>20</v>
      </c>
      <c r="U10" s="638"/>
      <c r="V10" s="638"/>
      <c r="W10" s="638">
        <v>1.4</v>
      </c>
      <c r="X10" s="638"/>
      <c r="Y10" s="638"/>
      <c r="Z10" s="638"/>
      <c r="AA10" s="638"/>
      <c r="AB10" s="638"/>
      <c r="AC10" s="638" t="str">
        <f>IF(OR(AT10&gt;8,AT10&lt;-8),"PH",IF(OR(AT10&gt;5,AT10&lt;-5),"PH-Q",IF(OR(AT10&gt;1,AT10&lt;-1),"PH-C")))</f>
        <v>PH</v>
      </c>
      <c r="AD10" s="638"/>
      <c r="AE10" s="638"/>
      <c r="AF10" s="638"/>
      <c r="AG10" s="446"/>
      <c r="AH10" s="638"/>
      <c r="AI10" s="185"/>
      <c r="AJ10" s="445"/>
      <c r="AK10" s="445"/>
      <c r="AL10" s="445"/>
      <c r="AM10" s="445" t="s">
        <v>1042</v>
      </c>
      <c r="AN10" s="455">
        <v>5.5</v>
      </c>
      <c r="AO10" s="1239"/>
      <c r="AP10" s="1239"/>
      <c r="AQ10" s="484"/>
      <c r="AR10" s="484"/>
      <c r="AS10" s="484"/>
      <c r="AT10" s="484">
        <f>+ab(-$T$10,$T$8,$T$12,$G$9,$G$11,-1*$F$10,1200)</f>
        <v>-8.787039116470563</v>
      </c>
      <c r="AU10" s="638"/>
      <c r="AV10" s="638"/>
      <c r="AW10" s="638" t="str">
        <f>VLOOKUP(C10,'Foundation Calculation'!$A$2:$C$33,3,1)</f>
        <v>Soil A</v>
      </c>
      <c r="AX10" s="638" t="str">
        <f>VLOOKUP(C10,'Foundation Calculation'!$E$2:$G$33,3,1)</f>
        <v>PT</v>
      </c>
      <c r="AY10" s="484">
        <f>IF(AX10="PT",VLOOKUP(L10,'Foundation Calculation'!$K$2:$R$40,VLOOKUP(AW10,'Foundation Calculation'!$I$2:$J$8,2,FALSE),0),IF(AX10="K",VLOOKUP(L10,'Foundation Calculation'!$K$42:$R$80,VLOOKUP(AW10,'Foundation Calculation'!$I$2:$J$8,2,FALSE),0),""))</f>
        <v>3.5</v>
      </c>
      <c r="AZ10" s="484"/>
      <c r="BA10" s="671" t="s">
        <v>2809</v>
      </c>
      <c r="BB10" s="449" t="str">
        <f>Pole_Calculations!A46</f>
        <v>App.7-V11A-P9.5.4.6</v>
      </c>
      <c r="BC10" s="169"/>
      <c r="BD10" s="1329"/>
      <c r="BE10" s="1329"/>
      <c r="BF10" s="1330"/>
      <c r="BG10" s="1329"/>
    </row>
    <row r="11" spans="1:59" ht="15.75" customHeight="1">
      <c r="A11" s="449"/>
      <c r="B11" s="445"/>
      <c r="C11" s="446"/>
      <c r="D11" s="445"/>
      <c r="E11" s="445"/>
      <c r="F11" s="445"/>
      <c r="G11" s="484">
        <v>60</v>
      </c>
      <c r="H11" s="445"/>
      <c r="I11" s="455"/>
      <c r="J11" s="446"/>
      <c r="K11" s="445"/>
      <c r="L11" s="445"/>
      <c r="M11" s="445"/>
      <c r="N11" s="445"/>
      <c r="O11" s="445"/>
      <c r="P11" s="445"/>
      <c r="Q11" s="638"/>
      <c r="R11" s="638"/>
      <c r="S11" s="484"/>
      <c r="T11" s="638"/>
      <c r="U11" s="638"/>
      <c r="V11" s="638"/>
      <c r="W11" s="638"/>
      <c r="X11" s="638"/>
      <c r="Y11" s="638"/>
      <c r="Z11" s="638"/>
      <c r="AA11" s="638"/>
      <c r="AB11" s="638"/>
      <c r="AC11" s="638"/>
      <c r="AD11" s="638"/>
      <c r="AE11" s="638"/>
      <c r="AF11" s="638"/>
      <c r="AG11" s="446"/>
      <c r="AH11" s="638"/>
      <c r="AI11" s="185"/>
      <c r="AJ11" s="445"/>
      <c r="AK11" s="445"/>
      <c r="AL11" s="445"/>
      <c r="AM11" s="445"/>
      <c r="AN11" s="484"/>
      <c r="AO11" s="445"/>
      <c r="AP11" s="445"/>
      <c r="AQ11" s="484">
        <f>+FL_1($T$12,-$T$10,$G$11,1200,9.28,-1*$F$12)</f>
        <v>0.4428994186666666</v>
      </c>
      <c r="AR11" s="484"/>
      <c r="AS11" s="484"/>
      <c r="AT11" s="484"/>
      <c r="AU11" s="638"/>
      <c r="AV11" s="638"/>
      <c r="AW11" s="638"/>
      <c r="AX11" s="638"/>
      <c r="AY11" s="484"/>
      <c r="AZ11" s="484"/>
      <c r="BA11" s="671"/>
      <c r="BB11" s="449"/>
      <c r="BC11" s="169"/>
      <c r="BD11" s="1330"/>
      <c r="BE11" s="1330"/>
      <c r="BF11" s="1330"/>
      <c r="BG11" s="1330"/>
    </row>
    <row r="12" spans="1:59" ht="15.75" customHeight="1">
      <c r="A12" s="1239"/>
      <c r="B12" s="435" t="s">
        <v>3810</v>
      </c>
      <c r="C12" s="446">
        <f>+$C$10+$G$11</f>
        <v>82685.23</v>
      </c>
      <c r="D12" s="447"/>
      <c r="E12" s="447"/>
      <c r="F12" s="1239">
        <v>0</v>
      </c>
      <c r="G12" s="484"/>
      <c r="H12" s="1239"/>
      <c r="I12" s="172"/>
      <c r="J12" s="446"/>
      <c r="K12" s="638"/>
      <c r="L12" s="638"/>
      <c r="M12" s="638"/>
      <c r="N12" s="1239" t="s">
        <v>844</v>
      </c>
      <c r="O12" s="1239"/>
      <c r="P12" s="638"/>
      <c r="Q12" s="638"/>
      <c r="R12" s="638"/>
      <c r="S12" s="484"/>
      <c r="T12" s="638">
        <v>30</v>
      </c>
      <c r="U12" s="638"/>
      <c r="V12" s="638"/>
      <c r="W12" s="638">
        <v>1.4</v>
      </c>
      <c r="X12" s="638"/>
      <c r="Y12" s="638"/>
      <c r="Z12" s="638"/>
      <c r="AA12" s="638"/>
      <c r="AB12" s="638"/>
      <c r="AC12" s="638" t="str">
        <f>IF(OR(AT12&gt;8,AT12&lt;-8),"PH",IF(OR(AT12&gt;5,AT12&lt;-5),"PH-Q",IF(OR(AT12&gt;1,AT12&lt;-1),"PH-C")))</f>
        <v>PH</v>
      </c>
      <c r="AD12" s="638"/>
      <c r="AE12" s="638"/>
      <c r="AF12" s="638"/>
      <c r="AG12" s="446"/>
      <c r="AH12" s="638"/>
      <c r="AI12" s="185"/>
      <c r="AJ12" s="638"/>
      <c r="AK12" s="1239" t="s">
        <v>139</v>
      </c>
      <c r="AL12" s="638"/>
      <c r="AM12" s="445"/>
      <c r="AN12" s="455">
        <v>5.5</v>
      </c>
      <c r="AO12" s="1239"/>
      <c r="AP12" s="1239"/>
      <c r="AQ12" s="484"/>
      <c r="AR12" s="484"/>
      <c r="AS12" s="484"/>
      <c r="AT12" s="484">
        <f>+ab($T$12,-$T$10,$T$14,$G$11,$G$13,-1*$F$12,1200)</f>
        <v>9.9116886905950032</v>
      </c>
      <c r="AU12" s="638"/>
      <c r="AV12" s="638"/>
      <c r="AW12" s="445"/>
      <c r="AX12" s="445"/>
      <c r="AY12" s="484"/>
      <c r="AZ12" s="484"/>
      <c r="BA12" s="671"/>
      <c r="BB12" s="1239"/>
      <c r="BC12" s="169"/>
      <c r="BD12" s="1330"/>
      <c r="BE12" s="1330"/>
      <c r="BF12" s="1330"/>
      <c r="BG12" s="1329"/>
    </row>
    <row r="13" spans="1:59" ht="15.75" customHeight="1">
      <c r="A13" s="1239"/>
      <c r="B13" s="173"/>
      <c r="C13" s="446"/>
      <c r="D13" s="447"/>
      <c r="E13" s="447"/>
      <c r="F13" s="1239"/>
      <c r="G13" s="484">
        <v>60</v>
      </c>
      <c r="H13" s="1239"/>
      <c r="I13" s="448"/>
      <c r="J13" s="446"/>
      <c r="K13" s="638"/>
      <c r="L13" s="638"/>
      <c r="M13" s="638"/>
      <c r="N13" s="1239"/>
      <c r="O13" s="1239"/>
      <c r="P13" s="638"/>
      <c r="Q13" s="638"/>
      <c r="R13" s="638"/>
      <c r="S13" s="484"/>
      <c r="T13" s="638"/>
      <c r="U13" s="638"/>
      <c r="V13" s="638"/>
      <c r="W13" s="638"/>
      <c r="X13" s="638"/>
      <c r="Y13" s="638"/>
      <c r="Z13" s="638"/>
      <c r="AA13" s="638"/>
      <c r="AB13" s="638"/>
      <c r="AC13" s="638"/>
      <c r="AD13" s="638"/>
      <c r="AE13" s="638"/>
      <c r="AF13" s="638"/>
      <c r="AG13" s="446"/>
      <c r="AH13" s="638"/>
      <c r="AI13" s="185"/>
      <c r="AJ13" s="638"/>
      <c r="AK13" s="1239"/>
      <c r="AL13" s="638"/>
      <c r="AM13" s="638"/>
      <c r="AN13" s="455"/>
      <c r="AO13" s="1239"/>
      <c r="AP13" s="1239"/>
      <c r="AQ13" s="484">
        <f>+FL_2($T$14,$T$12,$G$13,1200,9.28,-1*$F$14)</f>
        <v>-0.44888002799999999</v>
      </c>
      <c r="AR13" s="484"/>
      <c r="AS13" s="484"/>
      <c r="AT13" s="484"/>
      <c r="AU13" s="638"/>
      <c r="AV13" s="638"/>
      <c r="AW13" s="638"/>
      <c r="AX13" s="638"/>
      <c r="AY13" s="484"/>
      <c r="AZ13" s="484"/>
      <c r="BA13" s="671"/>
      <c r="BB13" s="1239"/>
      <c r="BC13" s="169"/>
      <c r="BD13" s="1330"/>
      <c r="BE13" s="1330"/>
      <c r="BF13" s="1330"/>
      <c r="BG13" s="1330"/>
    </row>
    <row r="14" spans="1:59" ht="15.75" customHeight="1">
      <c r="A14" s="1239"/>
      <c r="B14" s="435" t="s">
        <v>3811</v>
      </c>
      <c r="C14" s="446">
        <f>+$C$12+$G$13</f>
        <v>82745.23</v>
      </c>
      <c r="D14" s="447"/>
      <c r="E14" s="447"/>
      <c r="F14" s="1239">
        <v>0</v>
      </c>
      <c r="G14" s="484"/>
      <c r="H14" s="1239"/>
      <c r="I14" s="445"/>
      <c r="J14" s="446"/>
      <c r="K14" s="638"/>
      <c r="L14" s="638"/>
      <c r="M14" s="638"/>
      <c r="N14" s="1239" t="s">
        <v>843</v>
      </c>
      <c r="O14" s="1239"/>
      <c r="P14" s="638"/>
      <c r="Q14" s="638"/>
      <c r="R14" s="638"/>
      <c r="S14" s="484"/>
      <c r="T14" s="638">
        <v>-35</v>
      </c>
      <c r="U14" s="638"/>
      <c r="V14" s="638"/>
      <c r="W14" s="638">
        <v>1.4</v>
      </c>
      <c r="X14" s="638"/>
      <c r="Y14" s="638"/>
      <c r="Z14" s="638"/>
      <c r="AA14" s="638"/>
      <c r="AB14" s="638"/>
      <c r="AC14" s="638" t="str">
        <f>IF(OR(AT14&gt;8,AT14&lt;-8),"PH",IF(OR(AT14&gt;5,AT14&lt;-5),"PH-Q",IF(OR(AT14&gt;1,AT14&lt;-1),"PH-C")))</f>
        <v>PH</v>
      </c>
      <c r="AD14" s="638"/>
      <c r="AE14" s="638"/>
      <c r="AF14" s="638"/>
      <c r="AG14" s="446"/>
      <c r="AH14" s="638"/>
      <c r="AI14" s="185"/>
      <c r="AJ14" s="638"/>
      <c r="AK14" s="1239" t="s">
        <v>139</v>
      </c>
      <c r="AL14" s="638"/>
      <c r="AM14" s="445"/>
      <c r="AN14" s="455">
        <v>5.5</v>
      </c>
      <c r="AO14" s="1239"/>
      <c r="AP14" s="1239"/>
      <c r="AQ14" s="484"/>
      <c r="AR14" s="484"/>
      <c r="AS14" s="484"/>
      <c r="AT14" s="484">
        <f>+ab($T$14,$T$12,$T$16,$G$13,$G$15,-1*$F$14,1200)</f>
        <v>-8.6083033211149758</v>
      </c>
      <c r="AU14" s="638"/>
      <c r="AV14" s="638"/>
      <c r="AW14" s="445"/>
      <c r="AX14" s="445"/>
      <c r="AY14" s="484"/>
      <c r="AZ14" s="484"/>
      <c r="BA14" s="671"/>
      <c r="BB14" s="1239"/>
      <c r="BC14" s="169"/>
      <c r="BD14" s="1330"/>
      <c r="BE14" s="1330"/>
      <c r="BF14" s="1330"/>
      <c r="BG14" s="1329"/>
    </row>
    <row r="15" spans="1:59" ht="15.75" customHeight="1">
      <c r="A15" s="1239"/>
      <c r="B15" s="173"/>
      <c r="C15" s="446"/>
      <c r="D15" s="447"/>
      <c r="E15" s="447"/>
      <c r="F15" s="1239"/>
      <c r="G15" s="484">
        <v>62</v>
      </c>
      <c r="H15" s="1239"/>
      <c r="I15" s="455"/>
      <c r="J15" s="446"/>
      <c r="K15" s="638"/>
      <c r="L15" s="638"/>
      <c r="M15" s="638"/>
      <c r="N15" s="1239"/>
      <c r="O15" s="1239"/>
      <c r="P15" s="638"/>
      <c r="Q15" s="638"/>
      <c r="R15" s="638"/>
      <c r="S15" s="484"/>
      <c r="T15" s="638"/>
      <c r="U15" s="638"/>
      <c r="V15" s="638"/>
      <c r="W15" s="638"/>
      <c r="X15" s="638"/>
      <c r="Y15" s="638"/>
      <c r="Z15" s="638"/>
      <c r="AA15" s="638"/>
      <c r="AB15" s="638"/>
      <c r="AC15" s="638"/>
      <c r="AD15" s="638"/>
      <c r="AE15" s="638"/>
      <c r="AF15" s="638"/>
      <c r="AG15" s="446"/>
      <c r="AH15" s="638"/>
      <c r="AI15" s="185"/>
      <c r="AJ15" s="638"/>
      <c r="AK15" s="1239"/>
      <c r="AL15" s="638"/>
      <c r="AM15" s="638"/>
      <c r="AN15" s="455"/>
      <c r="AO15" s="1239"/>
      <c r="AP15" s="1239"/>
      <c r="AQ15" s="484">
        <f>+FL_1($T$16,$T$14,$G$15,1200,9.28,-1*$F$16)</f>
        <v>0.45400350967741931</v>
      </c>
      <c r="AR15" s="484"/>
      <c r="AS15" s="484"/>
      <c r="AT15" s="484"/>
      <c r="AU15" s="638"/>
      <c r="AV15" s="638"/>
      <c r="AW15" s="484"/>
      <c r="AX15" s="484"/>
      <c r="AY15" s="484"/>
      <c r="AZ15" s="484"/>
      <c r="BA15" s="671"/>
      <c r="BB15" s="1239"/>
      <c r="BC15" s="169"/>
      <c r="BD15" s="1330"/>
      <c r="BE15" s="1330"/>
      <c r="BF15" s="1330"/>
      <c r="BG15" s="1330"/>
    </row>
    <row r="16" spans="1:59" ht="15.75" customHeight="1">
      <c r="A16" s="449"/>
      <c r="B16" s="485" t="s">
        <v>3812</v>
      </c>
      <c r="C16" s="446">
        <f>+$C$14+$G$15</f>
        <v>82807.23</v>
      </c>
      <c r="D16" s="445"/>
      <c r="E16" s="445"/>
      <c r="F16" s="448">
        <v>0</v>
      </c>
      <c r="G16" s="484"/>
      <c r="H16" s="445"/>
      <c r="I16" s="1239"/>
      <c r="J16" s="446"/>
      <c r="K16" s="638"/>
      <c r="L16" s="638"/>
      <c r="M16" s="638"/>
      <c r="N16" s="1239" t="s">
        <v>844</v>
      </c>
      <c r="O16" s="1239"/>
      <c r="P16" s="638"/>
      <c r="Q16" s="638"/>
      <c r="R16" s="638"/>
      <c r="S16" s="484"/>
      <c r="T16" s="638">
        <v>35</v>
      </c>
      <c r="U16" s="638"/>
      <c r="V16" s="638"/>
      <c r="W16" s="638">
        <v>1.4</v>
      </c>
      <c r="X16" s="638"/>
      <c r="Y16" s="638"/>
      <c r="Z16" s="638"/>
      <c r="AA16" s="638"/>
      <c r="AB16" s="638"/>
      <c r="AC16" s="638" t="str">
        <f>IF(OR(AT16&gt;8,AT16&lt;-8),"PH",IF(OR(AT16&gt;5,AT16&lt;-5),"PH-Q",IF(OR(AT16&gt;1,AT16&lt;-1),"PH-C")))</f>
        <v>PH</v>
      </c>
      <c r="AD16" s="638"/>
      <c r="AE16" s="638"/>
      <c r="AF16" s="638"/>
      <c r="AG16" s="446"/>
      <c r="AH16" s="638"/>
      <c r="AI16" s="185"/>
      <c r="AJ16" s="638"/>
      <c r="AK16" s="1239" t="s">
        <v>139</v>
      </c>
      <c r="AL16" s="638"/>
      <c r="AM16" s="445"/>
      <c r="AN16" s="455">
        <v>5.41</v>
      </c>
      <c r="AO16" s="1239"/>
      <c r="AP16" s="1239"/>
      <c r="AQ16" s="484"/>
      <c r="AR16" s="484"/>
      <c r="AS16" s="484"/>
      <c r="AT16" s="484">
        <f>+ab($T$16,$T$14,$U$18,$G$15,$G$17,-1*$F$16,1200)</f>
        <v>8.744294114244191</v>
      </c>
      <c r="AU16" s="638"/>
      <c r="AV16" s="638"/>
      <c r="AW16" s="445"/>
      <c r="AX16" s="445"/>
      <c r="AY16" s="484"/>
      <c r="AZ16" s="484"/>
      <c r="BA16" s="671"/>
      <c r="BB16" s="449"/>
      <c r="BC16" s="169"/>
      <c r="BD16" s="1330"/>
      <c r="BE16" s="1330"/>
      <c r="BF16" s="1330"/>
      <c r="BG16" s="1329"/>
    </row>
    <row r="17" spans="1:59" ht="15.75" customHeight="1">
      <c r="A17" s="449"/>
      <c r="B17" s="445"/>
      <c r="C17" s="446"/>
      <c r="D17" s="445"/>
      <c r="E17" s="445"/>
      <c r="F17" s="445"/>
      <c r="G17" s="484">
        <v>62</v>
      </c>
      <c r="H17" s="445"/>
      <c r="I17" s="1239"/>
      <c r="J17" s="171">
        <f>C18-7.5</f>
        <v>82861.73</v>
      </c>
      <c r="K17" s="1239" t="s">
        <v>2788</v>
      </c>
      <c r="L17" s="445"/>
      <c r="M17" s="445"/>
      <c r="N17" s="445"/>
      <c r="O17" s="445"/>
      <c r="P17" s="445"/>
      <c r="Q17" s="638"/>
      <c r="R17" s="638"/>
      <c r="S17" s="484"/>
      <c r="T17" s="638"/>
      <c r="U17" s="638"/>
      <c r="V17" s="638"/>
      <c r="W17" s="638"/>
      <c r="X17" s="638"/>
      <c r="Y17" s="638"/>
      <c r="Z17" s="638"/>
      <c r="AA17" s="638"/>
      <c r="AB17" s="638"/>
      <c r="AC17" s="638"/>
      <c r="AD17" s="638"/>
      <c r="AE17" s="638"/>
      <c r="AF17" s="638"/>
      <c r="AG17" s="446"/>
      <c r="AH17" s="638"/>
      <c r="AI17" s="185"/>
      <c r="AJ17" s="445"/>
      <c r="AK17" s="445"/>
      <c r="AL17" s="445"/>
      <c r="AM17" s="445"/>
      <c r="AN17" s="484"/>
      <c r="AO17" s="445"/>
      <c r="AP17" s="445"/>
      <c r="AQ17" s="484">
        <f>+FL_1($U$18,$T$16,$G$17,1200,9.28,-1*$F$18)</f>
        <v>0.46765016498924739</v>
      </c>
      <c r="AR17" s="484"/>
      <c r="AS17" s="484"/>
      <c r="AT17" s="484"/>
      <c r="AU17" s="638"/>
      <c r="AV17" s="638"/>
      <c r="AW17" s="638" t="str">
        <f>VLOOKUP(J17,'Foundation Calculation'!$A$2:$C$33,3,1)</f>
        <v>Soil A</v>
      </c>
      <c r="AX17" s="638" t="str">
        <f>VLOOKUP(J17,'Foundation Calculation'!$E$2:$G$33,3,1)</f>
        <v>PT</v>
      </c>
      <c r="AY17" s="484"/>
      <c r="AZ17" s="484">
        <f>IF(AX17="PT",VLOOKUP(K17,'Foundation Calculation'!$K$2:$R$40,VLOOKUP(AW17,'Foundation Calculation'!$I$2:$J$8,2,FALSE),0),IF(AX17="K",VLOOKUP(K17,'Foundation Calculation'!$K$42:$R$80,VLOOKUP(AW17,'Foundation Calculation'!$I$2:$J$8,2,FALSE),0),""))</f>
        <v>2.8</v>
      </c>
      <c r="BA17" s="671" t="s">
        <v>2809</v>
      </c>
      <c r="BB17" s="449"/>
      <c r="BC17" s="169"/>
      <c r="BD17" s="1329"/>
      <c r="BE17" s="1330"/>
      <c r="BF17" s="1330"/>
      <c r="BG17" s="1330"/>
    </row>
    <row r="18" spans="1:59" ht="15.75" customHeight="1">
      <c r="A18" s="1239" t="s">
        <v>3857</v>
      </c>
      <c r="B18" s="485" t="s">
        <v>3813</v>
      </c>
      <c r="C18" s="446">
        <f>+$C$16+$G$17</f>
        <v>82869.23</v>
      </c>
      <c r="D18" s="445"/>
      <c r="E18" s="445"/>
      <c r="F18" s="445" t="s">
        <v>2312</v>
      </c>
      <c r="G18" s="484"/>
      <c r="H18" s="445" t="s">
        <v>619</v>
      </c>
      <c r="I18" s="445" t="s">
        <v>2685</v>
      </c>
      <c r="J18" s="446"/>
      <c r="K18" s="638"/>
      <c r="L18" s="445" t="s">
        <v>821</v>
      </c>
      <c r="M18" s="638" t="str">
        <f>IF(AX18="PT",VLOOKUP(L18,'Foundation Calculation'!$V$2:$X$40,VLOOKUP(AX18,'Foundation Calculation'!$I$10:$J$13,2,FALSE),0),IF(AX18="K",VLOOKUP(L18,'Foundation Calculation'!$V$42:$X$80,VLOOKUP(AX18,'Foundation Calculation'!$I$10:$J$13,2,FALSE),0),""))</f>
        <v>C7R</v>
      </c>
      <c r="N18" s="445" t="s">
        <v>140</v>
      </c>
      <c r="O18" s="445" t="s">
        <v>143</v>
      </c>
      <c r="P18" s="445"/>
      <c r="Q18" s="638"/>
      <c r="R18" s="638"/>
      <c r="S18" s="484"/>
      <c r="T18" s="638">
        <v>15</v>
      </c>
      <c r="U18" s="638">
        <v>-30</v>
      </c>
      <c r="V18" s="638"/>
      <c r="W18" s="638">
        <v>1.4</v>
      </c>
      <c r="X18" s="638">
        <v>2.2999999999999998</v>
      </c>
      <c r="Y18" s="638"/>
      <c r="Z18" s="638">
        <v>0.51</v>
      </c>
      <c r="AA18" s="638"/>
      <c r="AB18" s="638"/>
      <c r="AC18" s="638"/>
      <c r="AD18" s="638"/>
      <c r="AE18" s="638"/>
      <c r="AF18" s="638"/>
      <c r="AG18" s="446"/>
      <c r="AH18" s="638"/>
      <c r="AI18" s="185"/>
      <c r="AJ18" s="638" t="s">
        <v>2154</v>
      </c>
      <c r="AK18" s="445"/>
      <c r="AL18" s="445" t="s">
        <v>2142</v>
      </c>
      <c r="AM18" s="445" t="s">
        <v>1042</v>
      </c>
      <c r="AN18" s="455">
        <v>5.32</v>
      </c>
      <c r="AO18" s="1239"/>
      <c r="AP18" s="1239"/>
      <c r="AQ18" s="484"/>
      <c r="AR18" s="484"/>
      <c r="AS18" s="484"/>
      <c r="AT18" s="484">
        <f>+ab($U$18,$T$16,$U$20,$G$17,$G$19,-1*$F$18,1200)</f>
        <v>-14.481770598853728</v>
      </c>
      <c r="AU18" s="638"/>
      <c r="AV18" s="638"/>
      <c r="AW18" s="638" t="str">
        <f>VLOOKUP(C18,'Foundation Calculation'!$A$2:$C$33,3,1)</f>
        <v>Soil A</v>
      </c>
      <c r="AX18" s="638" t="str">
        <f>VLOOKUP(C18,'Foundation Calculation'!$E$2:$G$33,3,1)</f>
        <v>PT</v>
      </c>
      <c r="AY18" s="484">
        <f>IF(AX18="PT",VLOOKUP(L18,'Foundation Calculation'!$K$2:$R$40,VLOOKUP(AW18,'Foundation Calculation'!$I$2:$J$8,2,FALSE),0),IF(AX18="K",VLOOKUP(L18,'Foundation Calculation'!$K$42:$R$80,VLOOKUP(AW18,'Foundation Calculation'!$I$2:$J$8,2,FALSE),0),""))</f>
        <v>4</v>
      </c>
      <c r="AZ18" s="484"/>
      <c r="BA18" s="671" t="s">
        <v>2809</v>
      </c>
      <c r="BB18" s="1239" t="str">
        <f>Pole_Calculations!A178</f>
        <v>App.8-V08F-P10.3</v>
      </c>
      <c r="BC18" s="169"/>
      <c r="BD18" s="1329"/>
      <c r="BE18" s="1329"/>
      <c r="BF18" s="1329"/>
      <c r="BG18" s="1329"/>
    </row>
    <row r="19" spans="1:59" ht="15.75" customHeight="1">
      <c r="A19" s="449"/>
      <c r="B19" s="445"/>
      <c r="C19" s="446"/>
      <c r="D19" s="445"/>
      <c r="E19" s="445"/>
      <c r="F19" s="445"/>
      <c r="G19" s="484">
        <v>60.4</v>
      </c>
      <c r="H19" s="445"/>
      <c r="I19" s="455"/>
      <c r="J19" s="446"/>
      <c r="K19" s="445"/>
      <c r="L19" s="445"/>
      <c r="M19" s="445"/>
      <c r="N19" s="445"/>
      <c r="O19" s="445"/>
      <c r="P19" s="445"/>
      <c r="Q19" s="638"/>
      <c r="R19" s="638"/>
      <c r="S19" s="484"/>
      <c r="T19" s="638"/>
      <c r="U19" s="638"/>
      <c r="V19" s="638"/>
      <c r="W19" s="638"/>
      <c r="X19" s="638"/>
      <c r="Y19" s="638"/>
      <c r="Z19" s="638"/>
      <c r="AA19" s="638"/>
      <c r="AB19" s="638"/>
      <c r="AC19" s="638"/>
      <c r="AD19" s="638"/>
      <c r="AE19" s="638"/>
      <c r="AF19" s="638"/>
      <c r="AG19" s="446"/>
      <c r="AH19" s="638"/>
      <c r="AI19" s="185"/>
      <c r="AJ19" s="445"/>
      <c r="AK19" s="445"/>
      <c r="AL19" s="445"/>
      <c r="AM19" s="445"/>
      <c r="AN19" s="455"/>
      <c r="AO19" s="445"/>
      <c r="AP19" s="445"/>
      <c r="AQ19" s="484">
        <f>+FL_1($U$20,$U$18,$G$19,1200,9.28,-1*$F$20)</f>
        <v>0.1316430689713024</v>
      </c>
      <c r="AR19" s="484"/>
      <c r="AS19" s="484"/>
      <c r="AT19" s="484"/>
      <c r="AU19" s="638"/>
      <c r="AV19" s="638"/>
      <c r="AW19" s="638"/>
      <c r="AX19" s="638"/>
      <c r="AY19" s="484"/>
      <c r="AZ19" s="484"/>
      <c r="BA19" s="671"/>
      <c r="BB19" s="449"/>
      <c r="BC19" s="169"/>
      <c r="BD19" s="1330"/>
      <c r="BE19" s="1330"/>
      <c r="BF19" s="1330"/>
      <c r="BG19" s="1330"/>
    </row>
    <row r="20" spans="1:59" ht="15.75" customHeight="1">
      <c r="A20" s="1239"/>
      <c r="B20" s="435" t="s">
        <v>3814</v>
      </c>
      <c r="C20" s="446">
        <f>+$C$18+$G$19</f>
        <v>82929.62999999999</v>
      </c>
      <c r="D20" s="447"/>
      <c r="E20" s="447"/>
      <c r="F20" s="1239">
        <v>0</v>
      </c>
      <c r="G20" s="484"/>
      <c r="H20" s="1239" t="s">
        <v>619</v>
      </c>
      <c r="I20" s="172"/>
      <c r="J20" s="446"/>
      <c r="K20" s="638"/>
      <c r="L20" s="445" t="s">
        <v>821</v>
      </c>
      <c r="M20" s="638" t="str">
        <f>IF(AX20="PT",VLOOKUP(L20,'Foundation Calculation'!$V$2:$X$40,VLOOKUP(AX20,'Foundation Calculation'!$I$10:$J$13,2,FALSE),0),IF(AX20="K",VLOOKUP(L20,'Foundation Calculation'!$V$42:$X$80,VLOOKUP(AX20,'Foundation Calculation'!$I$10:$J$13,2,FALSE),0),""))</f>
        <v>C7R</v>
      </c>
      <c r="N20" s="1239" t="s">
        <v>144</v>
      </c>
      <c r="O20" s="445" t="s">
        <v>140</v>
      </c>
      <c r="P20" s="638"/>
      <c r="Q20" s="638"/>
      <c r="R20" s="638"/>
      <c r="S20" s="484"/>
      <c r="T20" s="638">
        <v>30</v>
      </c>
      <c r="U20" s="638">
        <v>-15</v>
      </c>
      <c r="V20" s="638"/>
      <c r="W20" s="638">
        <v>1.4</v>
      </c>
      <c r="X20" s="638">
        <v>2.2999999999999998</v>
      </c>
      <c r="Y20" s="638"/>
      <c r="Z20" s="638"/>
      <c r="AA20" s="638">
        <v>0.69</v>
      </c>
      <c r="AB20" s="638"/>
      <c r="AC20" s="638" t="str">
        <f>IF(OR(AT20&gt;8,AT20&lt;-8),"PH",IF(OR(AT20&gt;5,AT20&lt;-5),"PH-Q",IF(OR(AT20&gt;1,AT20&lt;-1),"PH-C")))</f>
        <v>PH</v>
      </c>
      <c r="AD20" s="638"/>
      <c r="AE20" s="638"/>
      <c r="AF20" s="638"/>
      <c r="AG20" s="446"/>
      <c r="AH20" s="638"/>
      <c r="AI20" s="185"/>
      <c r="AJ20" s="638"/>
      <c r="AK20" s="1239"/>
      <c r="AL20" s="445" t="s">
        <v>2142</v>
      </c>
      <c r="AM20" s="445" t="s">
        <v>1042</v>
      </c>
      <c r="AN20" s="455">
        <v>5.23</v>
      </c>
      <c r="AO20" s="1239"/>
      <c r="AP20" s="1239"/>
      <c r="AQ20" s="484"/>
      <c r="AR20" s="484"/>
      <c r="AS20" s="484"/>
      <c r="AT20" s="484">
        <f>+ab($T$20,$T$18,$T$22,$G$19,$G$21,-1*$F$20,1200)</f>
        <v>12.988117434352784</v>
      </c>
      <c r="AU20" s="638"/>
      <c r="AV20" s="638"/>
      <c r="AW20" s="638" t="str">
        <f>VLOOKUP(C20,'Foundation Calculation'!$A$2:$C$33,3,1)</f>
        <v>Soil A</v>
      </c>
      <c r="AX20" s="638" t="str">
        <f>VLOOKUP(C20,'Foundation Calculation'!$E$2:$G$33,3,1)</f>
        <v>PT</v>
      </c>
      <c r="AY20" s="484">
        <f>IF(AX20="PT",VLOOKUP(L20,'Foundation Calculation'!$K$2:$R$40,VLOOKUP(AW20,'Foundation Calculation'!$I$2:$J$8,2,FALSE),0),IF(AX20="K",VLOOKUP(L20,'Foundation Calculation'!$K$42:$R$80,VLOOKUP(AW20,'Foundation Calculation'!$I$2:$J$8,2,FALSE),0),""))</f>
        <v>4</v>
      </c>
      <c r="AZ20" s="484"/>
      <c r="BA20" s="671" t="s">
        <v>2809</v>
      </c>
      <c r="BB20" s="1239" t="str">
        <f>Pole_Calculations!A178</f>
        <v>App.8-V08F-P10.3</v>
      </c>
      <c r="BC20" s="169"/>
      <c r="BD20" s="1329"/>
      <c r="BE20" s="1329"/>
      <c r="BF20" s="1329"/>
      <c r="BG20" s="1329"/>
    </row>
    <row r="21" spans="1:59" ht="15.75" customHeight="1">
      <c r="A21" s="1239"/>
      <c r="B21" s="173"/>
      <c r="C21" s="446"/>
      <c r="D21" s="447"/>
      <c r="E21" s="447"/>
      <c r="F21" s="1239"/>
      <c r="G21" s="484">
        <v>54</v>
      </c>
      <c r="H21" s="1239"/>
      <c r="I21" s="448"/>
      <c r="J21" s="446"/>
      <c r="K21" s="638"/>
      <c r="L21" s="638"/>
      <c r="M21" s="638"/>
      <c r="N21" s="1239"/>
      <c r="O21" s="1239"/>
      <c r="P21" s="638"/>
      <c r="Q21" s="638"/>
      <c r="R21" s="638"/>
      <c r="S21" s="484"/>
      <c r="T21" s="638"/>
      <c r="U21" s="638"/>
      <c r="V21" s="638"/>
      <c r="W21" s="638"/>
      <c r="X21" s="638"/>
      <c r="Y21" s="638"/>
      <c r="Z21" s="638"/>
      <c r="AA21" s="638"/>
      <c r="AB21" s="638"/>
      <c r="AC21" s="638"/>
      <c r="AD21" s="638"/>
      <c r="AE21" s="638"/>
      <c r="AF21" s="638"/>
      <c r="AG21" s="446"/>
      <c r="AH21" s="638"/>
      <c r="AI21" s="185"/>
      <c r="AJ21" s="638"/>
      <c r="AK21" s="1239"/>
      <c r="AL21" s="638"/>
      <c r="AM21" s="638"/>
      <c r="AN21" s="455"/>
      <c r="AO21" s="1239"/>
      <c r="AP21" s="1239"/>
      <c r="AQ21" s="484">
        <f>+FL_2($T$22,$T$20,$G$21,1200,9.28,-1*$F$22)</f>
        <v>-0.37802175327991644</v>
      </c>
      <c r="AR21" s="484"/>
      <c r="AS21" s="484"/>
      <c r="AT21" s="484"/>
      <c r="AU21" s="638"/>
      <c r="AV21" s="638"/>
      <c r="AW21" s="638"/>
      <c r="AX21" s="638"/>
      <c r="AY21" s="484"/>
      <c r="AZ21" s="484"/>
      <c r="BA21" s="671"/>
      <c r="BB21" s="1239"/>
      <c r="BC21" s="169"/>
      <c r="BD21" s="1330"/>
      <c r="BE21" s="1330"/>
      <c r="BF21" s="1330"/>
      <c r="BG21" s="1330"/>
    </row>
    <row r="22" spans="1:59" ht="15.75" customHeight="1">
      <c r="A22" s="1239"/>
      <c r="B22" s="435" t="s">
        <v>3815</v>
      </c>
      <c r="C22" s="446">
        <f>+$C$20+$G$21+0.18</f>
        <v>82983.809999999983</v>
      </c>
      <c r="D22" s="447"/>
      <c r="E22" s="447"/>
      <c r="F22" s="1239">
        <v>10000</v>
      </c>
      <c r="G22" s="484"/>
      <c r="H22" s="1239" t="s">
        <v>138</v>
      </c>
      <c r="I22" s="445" t="s">
        <v>623</v>
      </c>
      <c r="J22" s="446"/>
      <c r="K22" s="638"/>
      <c r="L22" s="445" t="s">
        <v>821</v>
      </c>
      <c r="M22" s="638" t="str">
        <f>IF(AX22="PT",VLOOKUP(L22,'Foundation Calculation'!$V$2:$X$40,VLOOKUP(AX22,'Foundation Calculation'!$I$10:$J$13,2,FALSE),0),IF(AX22="K",VLOOKUP(L22,'Foundation Calculation'!$V$42:$X$80,VLOOKUP(AX22,'Foundation Calculation'!$I$10:$J$13,2,FALSE),0),""))</f>
        <v>C7R</v>
      </c>
      <c r="N22" s="1239" t="s">
        <v>143</v>
      </c>
      <c r="O22" s="1239"/>
      <c r="P22" s="638"/>
      <c r="Q22" s="638"/>
      <c r="R22" s="638"/>
      <c r="S22" s="484"/>
      <c r="T22" s="638">
        <v>-35</v>
      </c>
      <c r="U22" s="638"/>
      <c r="V22" s="638"/>
      <c r="W22" s="638">
        <v>1.2</v>
      </c>
      <c r="X22" s="638"/>
      <c r="Y22" s="638"/>
      <c r="Z22" s="638"/>
      <c r="AA22" s="638"/>
      <c r="AB22" s="638"/>
      <c r="AC22" s="638" t="str">
        <f>IF(OR(AT22&gt;8,AT22&lt;-8),"PH",IF(OR(AT22&gt;5,AT22&lt;-5),"PH-Q",IF(OR(AT22&gt;1,AT22&lt;-1),"PH-C")))</f>
        <v>PH-Q</v>
      </c>
      <c r="AD22" s="638"/>
      <c r="AE22" s="638"/>
      <c r="AF22" s="638"/>
      <c r="AG22" s="446"/>
      <c r="AH22" s="638"/>
      <c r="AI22" s="185"/>
      <c r="AJ22" s="638"/>
      <c r="AK22" s="1239"/>
      <c r="AL22" s="445" t="s">
        <v>2142</v>
      </c>
      <c r="AM22" s="445" t="s">
        <v>1042</v>
      </c>
      <c r="AN22" s="455">
        <v>5.15</v>
      </c>
      <c r="AO22" s="1239"/>
      <c r="AP22" s="1239"/>
      <c r="AQ22" s="484"/>
      <c r="AR22" s="484"/>
      <c r="AS22" s="484"/>
      <c r="AT22" s="484">
        <f>+ab($T$22,$T$20,$T$24,$G$21,$G$23,-1*$F$22,1200)</f>
        <v>-5.8220454110856892</v>
      </c>
      <c r="AU22" s="638"/>
      <c r="AV22" s="638"/>
      <c r="AW22" s="638" t="str">
        <f>VLOOKUP(C22,'Foundation Calculation'!$A$2:$C$33,3,1)</f>
        <v>Soil A</v>
      </c>
      <c r="AX22" s="638" t="str">
        <f>VLOOKUP(C22,'Foundation Calculation'!$E$2:$G$33,3,1)</f>
        <v>PT</v>
      </c>
      <c r="AY22" s="484">
        <f>IF(AX22="PT",VLOOKUP(L22,'Foundation Calculation'!$K$2:$R$40,VLOOKUP(AW22,'Foundation Calculation'!$I$2:$J$8,2,FALSE),0),IF(AX22="K",VLOOKUP(L22,'Foundation Calculation'!$K$42:$R$80,VLOOKUP(AW22,'Foundation Calculation'!$I$2:$J$8,2,FALSE),0),""))</f>
        <v>4</v>
      </c>
      <c r="AZ22" s="484"/>
      <c r="BA22" s="671" t="s">
        <v>2809</v>
      </c>
      <c r="BB22" s="1239" t="str">
        <f>Pole_Calculations!A178</f>
        <v>App.8-V08F-P10.3</v>
      </c>
      <c r="BC22" s="169"/>
      <c r="BD22" s="1329"/>
      <c r="BE22" s="1329"/>
      <c r="BF22" s="1329"/>
      <c r="BG22" s="1329"/>
    </row>
    <row r="23" spans="1:59" ht="15.75" customHeight="1">
      <c r="A23" s="1239"/>
      <c r="B23" s="173"/>
      <c r="C23" s="446"/>
      <c r="D23" s="447"/>
      <c r="E23" s="447"/>
      <c r="F23" s="1239"/>
      <c r="G23" s="484">
        <v>40.4</v>
      </c>
      <c r="H23" s="1239"/>
      <c r="I23" s="455"/>
      <c r="J23" s="446">
        <f>C22+7.5</f>
        <v>82991.309999999983</v>
      </c>
      <c r="K23" s="638" t="s">
        <v>2787</v>
      </c>
      <c r="L23" s="638"/>
      <c r="M23" s="638"/>
      <c r="N23" s="1239"/>
      <c r="O23" s="1239"/>
      <c r="P23" s="638"/>
      <c r="Q23" s="638"/>
      <c r="R23" s="638"/>
      <c r="S23" s="484"/>
      <c r="T23" s="638"/>
      <c r="U23" s="638"/>
      <c r="V23" s="638"/>
      <c r="W23" s="638"/>
      <c r="X23" s="638"/>
      <c r="Y23" s="638"/>
      <c r="Z23" s="638"/>
      <c r="AA23" s="638"/>
      <c r="AB23" s="638"/>
      <c r="AC23" s="638"/>
      <c r="AD23" s="638"/>
      <c r="AE23" s="638"/>
      <c r="AF23" s="638"/>
      <c r="AG23" s="446"/>
      <c r="AH23" s="638"/>
      <c r="AI23" s="185"/>
      <c r="AJ23" s="638"/>
      <c r="AK23" s="1239"/>
      <c r="AL23" s="638"/>
      <c r="AM23" s="638"/>
      <c r="AN23" s="455"/>
      <c r="AO23" s="1239"/>
      <c r="AP23" s="1239"/>
      <c r="AQ23" s="484">
        <f>+FL_2($T$24,$T$22,$G$23,1200,9.28,-1*$F$24)</f>
        <v>-0.35000000000000031</v>
      </c>
      <c r="AR23" s="484"/>
      <c r="AS23" s="484"/>
      <c r="AT23" s="484"/>
      <c r="AU23" s="638"/>
      <c r="AV23" s="638"/>
      <c r="AW23" s="638" t="str">
        <f>VLOOKUP(J23,'Foundation Calculation'!$A$2:$C$33,3,1)</f>
        <v>Soil A</v>
      </c>
      <c r="AX23" s="638" t="str">
        <f>VLOOKUP(J23,'Foundation Calculation'!$E$2:$G$33,3,1)</f>
        <v>PT</v>
      </c>
      <c r="AY23" s="484"/>
      <c r="AZ23" s="484">
        <f>IF(AX23="PT",VLOOKUP(K23,'Foundation Calculation'!$K$2:$R$40,VLOOKUP(AW23,'Foundation Calculation'!$I$2:$J$8,2,FALSE),0),IF(AX23="K",VLOOKUP(K23,'Foundation Calculation'!$K$42:$R$80,VLOOKUP(AW23,'Foundation Calculation'!$I$2:$J$8,2,FALSE),0),""))</f>
        <v>3.3</v>
      </c>
      <c r="BA23" s="671" t="s">
        <v>2809</v>
      </c>
      <c r="BB23" s="1239"/>
      <c r="BC23" s="169"/>
      <c r="BD23" s="1329"/>
      <c r="BE23" s="1330"/>
      <c r="BF23" s="1330"/>
      <c r="BG23" s="1330"/>
    </row>
    <row r="24" spans="1:59" s="1436" customFormat="1" ht="15.75" customHeight="1">
      <c r="A24" s="1425" t="s">
        <v>3862</v>
      </c>
      <c r="B24" s="1475" t="s">
        <v>3816</v>
      </c>
      <c r="C24" s="1427">
        <f>+$C$22+$G$23</f>
        <v>83024.209999999977</v>
      </c>
      <c r="D24" s="1426"/>
      <c r="E24" s="1426"/>
      <c r="F24" s="1428">
        <v>10000</v>
      </c>
      <c r="G24" s="1429"/>
      <c r="H24" s="1426" t="s">
        <v>890</v>
      </c>
      <c r="I24" s="1430" t="s">
        <v>624</v>
      </c>
      <c r="J24" s="1427">
        <f>C24-7.5</f>
        <v>83016.709999999977</v>
      </c>
      <c r="K24" s="1431" t="s">
        <v>2787</v>
      </c>
      <c r="L24" s="1426" t="s">
        <v>821</v>
      </c>
      <c r="M24" s="1431" t="str">
        <f>IF(AX24="PT",VLOOKUP(L24,'Foundation Calculation'!$V$2:$X$40,VLOOKUP(AX24,'Foundation Calculation'!$I$10:$J$13,2,FALSE),0),IF(AX24="K",VLOOKUP(L24,'Foundation Calculation'!$V$42:$X$80,VLOOKUP(AX24,'Foundation Calculation'!$I$10:$J$13,2,FALSE),0),""))</f>
        <v>C7R</v>
      </c>
      <c r="N24" s="1430" t="s">
        <v>144</v>
      </c>
      <c r="O24" s="1430"/>
      <c r="P24" s="1426"/>
      <c r="Q24" s="1431">
        <v>0</v>
      </c>
      <c r="R24" s="1431">
        <v>0</v>
      </c>
      <c r="S24" s="1429"/>
      <c r="T24" s="1431">
        <v>30</v>
      </c>
      <c r="U24" s="1431"/>
      <c r="V24" s="1431"/>
      <c r="W24" s="1431">
        <v>1.1000000000000001</v>
      </c>
      <c r="X24" s="1431"/>
      <c r="Y24" s="1431"/>
      <c r="Z24" s="1431"/>
      <c r="AA24" s="1431"/>
      <c r="AB24" s="1431"/>
      <c r="AC24" s="1431" t="str">
        <f>IF(OR(AT24&gt;8,AT24&lt;-8),"PH",IF(OR(AT24&gt;5,AT24&lt;-5),"PH-Q",IF(OR(AT24&gt;1,AT24&lt;-1),"PH-C")))</f>
        <v>PH-Q</v>
      </c>
      <c r="AD24" s="1431"/>
      <c r="AE24" s="1431"/>
      <c r="AF24" s="1431">
        <v>6000</v>
      </c>
      <c r="AG24" s="1427"/>
      <c r="AH24" s="1431">
        <v>2583</v>
      </c>
      <c r="AI24" s="1477">
        <v>630</v>
      </c>
      <c r="AJ24" s="1426" t="s">
        <v>4154</v>
      </c>
      <c r="AK24" s="1426"/>
      <c r="AL24" s="1426" t="s">
        <v>2142</v>
      </c>
      <c r="AM24" s="1426" t="s">
        <v>1042</v>
      </c>
      <c r="AN24" s="1432">
        <v>5.15</v>
      </c>
      <c r="AO24" s="1430"/>
      <c r="AP24" s="1430"/>
      <c r="AQ24" s="1429"/>
      <c r="AR24" s="1429"/>
      <c r="AS24" s="1429"/>
      <c r="AT24" s="1429">
        <f>+ab($T$24,$T$22,$U$26,$G$23,$G$25,-1*$F$24,1200)</f>
        <v>7.6714517841392462</v>
      </c>
      <c r="AU24" s="1478"/>
      <c r="AV24" s="1478"/>
      <c r="AW24" s="1431" t="str">
        <f>VLOOKUP(C24,'Foundation Calculation'!$A$2:$C$33,3,1)</f>
        <v>Soil A</v>
      </c>
      <c r="AX24" s="1431" t="str">
        <f>VLOOKUP(C24,'Foundation Calculation'!$E$2:$G$33,3,1)</f>
        <v>PT</v>
      </c>
      <c r="AY24" s="1429">
        <f>IF(AX24="PT",VLOOKUP(L24,'Foundation Calculation'!$K$2:$R$40,VLOOKUP(AW24,'Foundation Calculation'!$I$2:$J$8,2,FALSE),0),IF(AX24="K",VLOOKUP(L24,'Foundation Calculation'!$K$42:$R$80,VLOOKUP(AW24,'Foundation Calculation'!$I$2:$J$8,2,FALSE),0),""))</f>
        <v>4</v>
      </c>
      <c r="AZ24" s="1429"/>
      <c r="BA24" s="1546" t="s">
        <v>2809</v>
      </c>
      <c r="BB24" s="1425" t="str">
        <f>Pole_Calculations!A178</f>
        <v>App.8-V08F-P10.3</v>
      </c>
      <c r="BC24" s="1434"/>
      <c r="BD24" s="1435"/>
      <c r="BE24" s="1435"/>
      <c r="BF24" s="1435"/>
      <c r="BG24" s="1435"/>
    </row>
    <row r="25" spans="1:59" ht="15.75" customHeight="1">
      <c r="A25" s="449"/>
      <c r="B25" s="445"/>
      <c r="C25" s="446"/>
      <c r="D25" s="445"/>
      <c r="E25" s="445"/>
      <c r="F25" s="445"/>
      <c r="G25" s="484">
        <v>39.200000000000003</v>
      </c>
      <c r="H25" s="445"/>
      <c r="I25" s="1239">
        <v>277</v>
      </c>
      <c r="J25" s="171">
        <f>C26-7.5</f>
        <v>83055.909999999974</v>
      </c>
      <c r="K25" s="1239" t="s">
        <v>2788</v>
      </c>
      <c r="L25" s="445"/>
      <c r="M25" s="445"/>
      <c r="N25" s="445"/>
      <c r="O25" s="445"/>
      <c r="P25" s="445"/>
      <c r="Q25" s="638"/>
      <c r="R25" s="638"/>
      <c r="S25" s="484"/>
      <c r="T25" s="638"/>
      <c r="U25" s="638"/>
      <c r="V25" s="638"/>
      <c r="W25" s="638"/>
      <c r="X25" s="638"/>
      <c r="Y25" s="638"/>
      <c r="Z25" s="638"/>
      <c r="AA25" s="638"/>
      <c r="AB25" s="638"/>
      <c r="AC25" s="638"/>
      <c r="AD25" s="638"/>
      <c r="AE25" s="638"/>
      <c r="AF25" s="638"/>
      <c r="AG25" s="446"/>
      <c r="AH25" s="638"/>
      <c r="AI25" s="185"/>
      <c r="AJ25" s="445"/>
      <c r="AK25" s="445"/>
      <c r="AL25" s="445"/>
      <c r="AM25" s="445"/>
      <c r="AN25" s="484"/>
      <c r="AO25" s="445"/>
      <c r="AP25" s="445"/>
      <c r="AQ25" s="484">
        <f>+FL_2($U$26,$T$24,$G$25,1200,9.28,-1*$F$26)</f>
        <v>-0.20373106065306124</v>
      </c>
      <c r="AR25" s="484"/>
      <c r="AS25" s="484"/>
      <c r="AT25" s="484"/>
      <c r="AU25" s="638"/>
      <c r="AV25" s="638"/>
      <c r="AW25" s="638" t="str">
        <f>VLOOKUP(J25,'Foundation Calculation'!$A$2:$C$33,3,1)</f>
        <v>Soil A</v>
      </c>
      <c r="AX25" s="638" t="str">
        <f>VLOOKUP(J25,'Foundation Calculation'!$E$2:$G$33,3,1)</f>
        <v>PT</v>
      </c>
      <c r="AY25" s="484"/>
      <c r="AZ25" s="484">
        <f>IF(AX25="PT",VLOOKUP(K25,'Foundation Calculation'!$K$2:$R$40,VLOOKUP(AW25,'Foundation Calculation'!$I$2:$J$8,2,FALSE),0),IF(AX25="K",VLOOKUP(K25,'Foundation Calculation'!$K$42:$R$80,VLOOKUP(AW25,'Foundation Calculation'!$I$2:$J$8,2,FALSE),0),""))</f>
        <v>2.8</v>
      </c>
      <c r="BA25" s="671" t="s">
        <v>2809</v>
      </c>
      <c r="BB25" s="449"/>
      <c r="BC25" s="169"/>
      <c r="BD25" s="1329"/>
      <c r="BE25" s="1330"/>
      <c r="BF25" s="1330"/>
      <c r="BG25" s="1330"/>
    </row>
    <row r="26" spans="1:59" s="1436" customFormat="1" ht="15.75" customHeight="1">
      <c r="A26" s="1425"/>
      <c r="B26" s="1475" t="s">
        <v>3817</v>
      </c>
      <c r="C26" s="1427">
        <f>+$C$24+$G$25</f>
        <v>83063.409999999974</v>
      </c>
      <c r="D26" s="1426"/>
      <c r="E26" s="1426"/>
      <c r="F26" s="1426" t="s">
        <v>2312</v>
      </c>
      <c r="G26" s="1429"/>
      <c r="H26" s="1426" t="s">
        <v>2921</v>
      </c>
      <c r="I26" s="1426"/>
      <c r="J26" s="1427"/>
      <c r="K26" s="1431"/>
      <c r="L26" s="1426" t="s">
        <v>895</v>
      </c>
      <c r="M26" s="1431" t="str">
        <f>IF(AX26="PT",VLOOKUP(L26,'Foundation Calculation'!$V$2:$X$40,VLOOKUP(AX26,'Foundation Calculation'!$I$10:$J$13,2,FALSE),0),IF(AX26="K",VLOOKUP(L26,'Foundation Calculation'!$V$42:$X$80,VLOOKUP(AX26,'Foundation Calculation'!$I$10:$J$13,2,FALSE),0),""))</f>
        <v>2C3R</v>
      </c>
      <c r="N26" s="1426" t="s">
        <v>140</v>
      </c>
      <c r="O26" s="1426" t="s">
        <v>143</v>
      </c>
      <c r="P26" s="1426"/>
      <c r="Q26" s="1431">
        <v>0</v>
      </c>
      <c r="R26" s="1431">
        <v>0</v>
      </c>
      <c r="S26" s="1429"/>
      <c r="T26" s="1431">
        <v>-55</v>
      </c>
      <c r="U26" s="1431">
        <v>-20</v>
      </c>
      <c r="V26" s="1431"/>
      <c r="W26" s="1431">
        <v>1</v>
      </c>
      <c r="X26" s="1431">
        <v>0.9</v>
      </c>
      <c r="Y26" s="1431"/>
      <c r="Z26" s="1431">
        <v>0.4</v>
      </c>
      <c r="AA26" s="1431"/>
      <c r="AB26" s="1431"/>
      <c r="AC26" s="1431"/>
      <c r="AD26" s="1431"/>
      <c r="AE26" s="1431"/>
      <c r="AF26" s="1431">
        <v>5800</v>
      </c>
      <c r="AG26" s="1427"/>
      <c r="AH26" s="1431">
        <v>2923</v>
      </c>
      <c r="AI26" s="1477">
        <v>570</v>
      </c>
      <c r="AJ26" s="1426"/>
      <c r="AK26" s="1426"/>
      <c r="AL26" s="1426"/>
      <c r="AM26" s="1426" t="s">
        <v>1042</v>
      </c>
      <c r="AN26" s="1432">
        <v>5.15</v>
      </c>
      <c r="AO26" s="1430"/>
      <c r="AP26" s="1430"/>
      <c r="AQ26" s="1429"/>
      <c r="AR26" s="1429"/>
      <c r="AS26" s="1429"/>
      <c r="AT26" s="1429">
        <f>+ab($U$26,$T$24,$U$28,$G$25,$G$27,-1*$F$26,1200)</f>
        <v>-8.0976385438108309</v>
      </c>
      <c r="AU26" s="1478"/>
      <c r="AV26" s="1478"/>
      <c r="AW26" s="1431" t="str">
        <f>VLOOKUP(C26,'Foundation Calculation'!$A$2:$C$33,3,1)</f>
        <v>Soil A</v>
      </c>
      <c r="AX26" s="1431" t="str">
        <f>VLOOKUP(C26,'Foundation Calculation'!$E$2:$G$33,3,1)</f>
        <v>PT</v>
      </c>
      <c r="AY26" s="1429">
        <f>IF(AX26="PT",VLOOKUP(L26,'Foundation Calculation'!$K$2:$R$40,VLOOKUP(AW26,'Foundation Calculation'!$I$2:$J$8,2,FALSE),0),IF(AX26="K",VLOOKUP(L26,'Foundation Calculation'!$K$42:$R$80,VLOOKUP(AW26,'Foundation Calculation'!$I$2:$J$8,2,FALSE),0),""))</f>
        <v>3.7</v>
      </c>
      <c r="AZ26" s="1429"/>
      <c r="BA26" s="1546" t="s">
        <v>2809</v>
      </c>
      <c r="BB26" s="1425" t="str">
        <f>Pole_Calculations!A19</f>
        <v>App.7-V11A-P9.5.1.5</v>
      </c>
      <c r="BC26" s="1434"/>
      <c r="BD26" s="1435"/>
      <c r="BE26" s="1435"/>
      <c r="BF26" s="1435"/>
      <c r="BG26" s="1435"/>
    </row>
    <row r="27" spans="1:59" ht="15.75" customHeight="1">
      <c r="A27" s="495" t="s">
        <v>3718</v>
      </c>
      <c r="B27" s="494"/>
      <c r="C27" s="489"/>
      <c r="D27" s="494"/>
      <c r="E27" s="494"/>
      <c r="F27" s="494"/>
      <c r="G27" s="493">
        <v>51</v>
      </c>
      <c r="H27" s="494"/>
      <c r="I27" s="492">
        <f>C28-C14</f>
        <v>369.17999999997846</v>
      </c>
      <c r="J27" s="489">
        <f>C28-7.5</f>
        <v>83106.909999999974</v>
      </c>
      <c r="K27" s="494" t="s">
        <v>2787</v>
      </c>
      <c r="L27" s="494"/>
      <c r="M27" s="494"/>
      <c r="N27" s="494"/>
      <c r="O27" s="494"/>
      <c r="P27" s="494"/>
      <c r="Q27" s="490"/>
      <c r="R27" s="490"/>
      <c r="S27" s="493"/>
      <c r="T27" s="490"/>
      <c r="U27" s="490"/>
      <c r="V27" s="490"/>
      <c r="W27" s="490"/>
      <c r="X27" s="490"/>
      <c r="Y27" s="490"/>
      <c r="Z27" s="490"/>
      <c r="AA27" s="490"/>
      <c r="AB27" s="490"/>
      <c r="AC27" s="490"/>
      <c r="AD27" s="490"/>
      <c r="AE27" s="490"/>
      <c r="AF27" s="490"/>
      <c r="AG27" s="489"/>
      <c r="AH27" s="490"/>
      <c r="AI27" s="640"/>
      <c r="AJ27" s="494"/>
      <c r="AK27" s="494"/>
      <c r="AL27" s="494"/>
      <c r="AM27" s="494"/>
      <c r="AN27" s="493"/>
      <c r="AO27" s="494"/>
      <c r="AP27" s="494"/>
      <c r="AQ27" s="493">
        <f>+FL_2($U$28,$U$26,$G$27,1200,9.28,-1*$F$28)</f>
        <v>-0.25162487647058834</v>
      </c>
      <c r="AR27" s="493"/>
      <c r="AS27" s="493"/>
      <c r="AT27" s="493"/>
      <c r="AU27" s="490"/>
      <c r="AV27" s="490"/>
      <c r="AW27" s="490" t="str">
        <f>VLOOKUP(J27,'Foundation Calculation'!$A$2:$C$33,3,1)</f>
        <v>Soil A</v>
      </c>
      <c r="AX27" s="490" t="str">
        <f>VLOOKUP(J27,'Foundation Calculation'!$E$2:$G$33,3,1)</f>
        <v>PT</v>
      </c>
      <c r="AY27" s="493"/>
      <c r="AZ27" s="493">
        <f>IF(AX27="PT",VLOOKUP(K27,'Foundation Calculation'!$K$2:$R$40,VLOOKUP(AW27,'Foundation Calculation'!$I$2:$J$8,2,FALSE),0),IF(AX27="K",VLOOKUP(K27,'Foundation Calculation'!$K$42:$R$80,VLOOKUP(AW27,'Foundation Calculation'!$I$2:$J$8,2,FALSE),0),""))</f>
        <v>3.3</v>
      </c>
      <c r="BA27" s="602" t="s">
        <v>2809</v>
      </c>
      <c r="BB27" s="495"/>
      <c r="BC27" s="169"/>
      <c r="BD27" s="1329"/>
      <c r="BE27" s="1330"/>
      <c r="BF27" s="1330"/>
      <c r="BG27" s="1330"/>
    </row>
    <row r="28" spans="1:59" s="1436" customFormat="1" ht="29">
      <c r="A28" s="1430"/>
      <c r="B28" s="1476" t="s">
        <v>3818</v>
      </c>
      <c r="C28" s="1427">
        <f>+$C$26+$G$27</f>
        <v>83114.409999999974</v>
      </c>
      <c r="D28" s="1449"/>
      <c r="E28" s="1449"/>
      <c r="F28" s="1430">
        <v>0</v>
      </c>
      <c r="G28" s="1429"/>
      <c r="H28" s="1500" t="s">
        <v>3859</v>
      </c>
      <c r="I28" s="1501" t="s">
        <v>3860</v>
      </c>
      <c r="J28" s="1427"/>
      <c r="K28" s="1431"/>
      <c r="L28" s="1431" t="s">
        <v>896</v>
      </c>
      <c r="M28" s="1431" t="str">
        <f>IF(AX28="PT",VLOOKUP(L28,'Foundation Calculation'!$V$2:$X$40,VLOOKUP(AX28,'Foundation Calculation'!$I$10:$J$13,2,FALSE),0),IF(AX28="K",VLOOKUP(L28,'Foundation Calculation'!$V$42:$X$80,VLOOKUP(AX28,'Foundation Calculation'!$I$10:$J$13,2,FALSE),0),""))</f>
        <v>2C4R</v>
      </c>
      <c r="N28" s="1430" t="s">
        <v>143</v>
      </c>
      <c r="O28" s="1430" t="s">
        <v>144</v>
      </c>
      <c r="P28" s="1431"/>
      <c r="Q28" s="1431">
        <v>0</v>
      </c>
      <c r="R28" s="1431">
        <v>0</v>
      </c>
      <c r="S28" s="1429"/>
      <c r="T28" s="1431">
        <v>20</v>
      </c>
      <c r="U28" s="1431">
        <v>35</v>
      </c>
      <c r="V28" s="1431"/>
      <c r="W28" s="1431">
        <v>1</v>
      </c>
      <c r="X28" s="1431">
        <v>0.9</v>
      </c>
      <c r="Y28" s="1431"/>
      <c r="Z28" s="1431"/>
      <c r="AA28" s="1431"/>
      <c r="AB28" s="1431"/>
      <c r="AC28" s="1431" t="s">
        <v>1428</v>
      </c>
      <c r="AD28" s="1431" t="s">
        <v>2773</v>
      </c>
      <c r="AE28" s="1431"/>
      <c r="AF28" s="1431">
        <v>5800</v>
      </c>
      <c r="AG28" s="1427"/>
      <c r="AH28" s="1431">
        <v>2883</v>
      </c>
      <c r="AI28" s="1477">
        <v>610</v>
      </c>
      <c r="AJ28" s="1431"/>
      <c r="AK28" s="1430"/>
      <c r="AL28" s="1426"/>
      <c r="AM28" s="1426" t="s">
        <v>1042</v>
      </c>
      <c r="AN28" s="1432">
        <v>5.15</v>
      </c>
      <c r="AO28" s="1430"/>
      <c r="AP28" s="1430"/>
      <c r="AQ28" s="1429"/>
      <c r="AR28" s="1429"/>
      <c r="AS28" s="1429"/>
      <c r="AT28" s="1429">
        <f>+ab($U$28,$U$26,$U$30,$G$27,$G$29,-1*$F$28,1200)</f>
        <v>15.926448565738415</v>
      </c>
      <c r="AU28" s="1478"/>
      <c r="AV28" s="1478"/>
      <c r="AW28" s="1431" t="str">
        <f>VLOOKUP(C28,'Foundation Calculation'!$A$2:$C$33,3,1)</f>
        <v>Soil A</v>
      </c>
      <c r="AX28" s="1431" t="str">
        <f>VLOOKUP(C28,'Foundation Calculation'!$E$2:$G$33,3,1)</f>
        <v>PT</v>
      </c>
      <c r="AY28" s="1429">
        <f>IF(AX28="PT",VLOOKUP(L28,'Foundation Calculation'!$K$2:$R$40,VLOOKUP(AW28,'Foundation Calculation'!$I$2:$J$8,2,FALSE),0),IF(AX28="K",VLOOKUP(L28,'Foundation Calculation'!$K$42:$R$80,VLOOKUP(AW28,'Foundation Calculation'!$I$2:$J$8,2,FALSE),0),""))</f>
        <v>4</v>
      </c>
      <c r="AZ28" s="1429"/>
      <c r="BA28" s="1546" t="s">
        <v>2809</v>
      </c>
      <c r="BB28" s="1430" t="str">
        <f>Pole_Calculations!A22</f>
        <v>App.7-V11A-P9.5.1.8</v>
      </c>
      <c r="BC28" s="1434"/>
      <c r="BD28" s="1435"/>
      <c r="BE28" s="1435"/>
      <c r="BF28" s="1435"/>
      <c r="BG28" s="1435"/>
    </row>
    <row r="29" spans="1:59" ht="15.75" customHeight="1">
      <c r="A29" s="1239" t="s">
        <v>1852</v>
      </c>
      <c r="B29" s="173"/>
      <c r="C29" s="446"/>
      <c r="D29" s="447"/>
      <c r="E29" s="447"/>
      <c r="F29" s="1239"/>
      <c r="G29" s="484">
        <v>52.5</v>
      </c>
      <c r="H29" s="1239"/>
      <c r="I29" s="448">
        <f>C46-C28</f>
        <v>420.80000000000291</v>
      </c>
      <c r="J29" s="446"/>
      <c r="K29" s="638"/>
      <c r="L29" s="638"/>
      <c r="M29" s="638"/>
      <c r="N29" s="1239"/>
      <c r="O29" s="1239"/>
      <c r="P29" s="638"/>
      <c r="Q29" s="638"/>
      <c r="R29" s="638"/>
      <c r="S29" s="484"/>
      <c r="T29" s="638"/>
      <c r="U29" s="638"/>
      <c r="V29" s="638"/>
      <c r="W29" s="638"/>
      <c r="X29" s="638"/>
      <c r="Y29" s="638"/>
      <c r="Z29" s="638"/>
      <c r="AA29" s="638"/>
      <c r="AB29" s="638"/>
      <c r="AC29" s="638"/>
      <c r="AD29" s="638"/>
      <c r="AE29" s="638"/>
      <c r="AF29" s="638"/>
      <c r="AG29" s="446"/>
      <c r="AH29" s="638"/>
      <c r="AI29" s="185"/>
      <c r="AJ29" s="638"/>
      <c r="AK29" s="1239"/>
      <c r="AL29" s="638"/>
      <c r="AM29" s="638"/>
      <c r="AN29" s="455"/>
      <c r="AO29" s="1239"/>
      <c r="AP29" s="1239"/>
      <c r="AQ29" s="484">
        <f>+FL_1($U$30,$U$28,$G$29,1200,9.28,-1*$F$30)</f>
        <v>0.5920239405714286</v>
      </c>
      <c r="AR29" s="484"/>
      <c r="AS29" s="484"/>
      <c r="AT29" s="484"/>
      <c r="AU29" s="638"/>
      <c r="AV29" s="638"/>
      <c r="AW29" s="638"/>
      <c r="AX29" s="638"/>
      <c r="AY29" s="484"/>
      <c r="AZ29" s="484"/>
      <c r="BA29" s="671"/>
      <c r="BB29" s="1239"/>
      <c r="BC29" s="169"/>
      <c r="BD29" s="1330"/>
      <c r="BE29" s="1330"/>
      <c r="BF29" s="1330"/>
      <c r="BG29" s="1330"/>
    </row>
    <row r="30" spans="1:59" s="1436" customFormat="1" ht="29">
      <c r="A30" s="1430"/>
      <c r="B30" s="1476" t="s">
        <v>3819</v>
      </c>
      <c r="C30" s="1427">
        <f>+$C$28+$G$29</f>
        <v>83166.909999999974</v>
      </c>
      <c r="D30" s="1449"/>
      <c r="E30" s="1449"/>
      <c r="F30" s="1430">
        <v>0</v>
      </c>
      <c r="G30" s="1429"/>
      <c r="H30" s="1500" t="s">
        <v>3861</v>
      </c>
      <c r="I30" s="1426" t="s">
        <v>1039</v>
      </c>
      <c r="J30" s="1427">
        <f>C30+7.5</f>
        <v>83174.409999999974</v>
      </c>
      <c r="K30" s="1431" t="s">
        <v>2788</v>
      </c>
      <c r="L30" s="1431" t="s">
        <v>896</v>
      </c>
      <c r="M30" s="1431" t="str">
        <f>IF(AX30="PT",VLOOKUP(L30,'Foundation Calculation'!$V$2:$X$40,VLOOKUP(AX30,'Foundation Calculation'!$I$10:$J$13,2,FALSE),0),IF(AX30="K",VLOOKUP(L30,'Foundation Calculation'!$V$42:$X$80,VLOOKUP(AX30,'Foundation Calculation'!$I$10:$J$13,2,FALSE),0),""))</f>
        <v>2C4R</v>
      </c>
      <c r="N30" s="1430" t="s">
        <v>140</v>
      </c>
      <c r="O30" s="1430" t="s">
        <v>144</v>
      </c>
      <c r="P30" s="1431" t="s">
        <v>143</v>
      </c>
      <c r="Q30" s="1431">
        <v>0</v>
      </c>
      <c r="R30" s="1431">
        <v>0</v>
      </c>
      <c r="S30" s="1429"/>
      <c r="T30" s="1431">
        <v>45</v>
      </c>
      <c r="U30" s="1431">
        <v>30</v>
      </c>
      <c r="V30" s="1431">
        <v>15</v>
      </c>
      <c r="W30" s="1431">
        <v>1</v>
      </c>
      <c r="X30" s="1431">
        <v>1.2</v>
      </c>
      <c r="Y30" s="1431">
        <v>1.6</v>
      </c>
      <c r="Z30" s="1431">
        <v>0.4</v>
      </c>
      <c r="AA30" s="1431"/>
      <c r="AB30" s="1431"/>
      <c r="AC30" s="1431"/>
      <c r="AD30" s="1431" t="s">
        <v>2773</v>
      </c>
      <c r="AE30" s="1431" t="s">
        <v>1428</v>
      </c>
      <c r="AF30" s="1431">
        <v>5900</v>
      </c>
      <c r="AG30" s="1427"/>
      <c r="AH30" s="1431">
        <v>2363</v>
      </c>
      <c r="AI30" s="1477">
        <v>520</v>
      </c>
      <c r="AJ30" s="1431"/>
      <c r="AK30" s="1430"/>
      <c r="AL30" s="1431"/>
      <c r="AM30" s="1426" t="s">
        <v>1042</v>
      </c>
      <c r="AN30" s="1432">
        <v>5.15</v>
      </c>
      <c r="AO30" s="1430"/>
      <c r="AP30" s="1430"/>
      <c r="AQ30" s="1429"/>
      <c r="AR30" s="1429"/>
      <c r="AS30" s="1429"/>
      <c r="AT30" s="1429">
        <f>+ab($U$30,$U$28,$U$32,$G$29,$G$31,-1*$F$30,1200)</f>
        <v>16.811781876848819</v>
      </c>
      <c r="AU30" s="1478"/>
      <c r="AV30" s="1478"/>
      <c r="AW30" s="1431" t="str">
        <f>VLOOKUP(C30,'Foundation Calculation'!$A$2:$C$33,3,1)</f>
        <v>Soil A</v>
      </c>
      <c r="AX30" s="1431" t="str">
        <f>VLOOKUP(C30,'Foundation Calculation'!$E$2:$G$33,3,1)</f>
        <v>PT</v>
      </c>
      <c r="AY30" s="1429">
        <f>IF(AX30="PT",VLOOKUP(L30,'Foundation Calculation'!$K$2:$R$40,VLOOKUP(AW30,'Foundation Calculation'!$I$2:$J$8,2,FALSE),0),IF(AX30="K",VLOOKUP(L30,'Foundation Calculation'!$K$42:$R$80,VLOOKUP(AW30,'Foundation Calculation'!$I$2:$J$8,2,FALSE),0),""))</f>
        <v>4</v>
      </c>
      <c r="AZ30" s="1429">
        <f>IF(AX30="PT",VLOOKUP(K30,'Foundation Calculation'!$K$2:$R$40,VLOOKUP(AW30,'Foundation Calculation'!$I$2:$J$8,2,FALSE),0),IF(AX30="K",VLOOKUP(K30,'Foundation Calculation'!$K$42:$R$80,VLOOKUP(AW30,'Foundation Calculation'!$I$2:$J$8,2,FALSE),0),""))</f>
        <v>2.8</v>
      </c>
      <c r="BA30" s="1546" t="s">
        <v>2809</v>
      </c>
      <c r="BB30" s="1430" t="str">
        <f>Pole_Calculations!A23</f>
        <v>App.7-V11A-P9.5.1.9</v>
      </c>
      <c r="BC30" s="1434"/>
      <c r="BD30" s="1435"/>
      <c r="BE30" s="1435"/>
      <c r="BF30" s="1435"/>
      <c r="BG30" s="1435"/>
    </row>
    <row r="31" spans="1:59" ht="15.75" customHeight="1">
      <c r="A31" s="1239"/>
      <c r="B31" s="173"/>
      <c r="C31" s="446"/>
      <c r="D31" s="447"/>
      <c r="E31" s="447"/>
      <c r="F31" s="1239"/>
      <c r="G31" s="484">
        <v>54</v>
      </c>
      <c r="H31" s="1239"/>
      <c r="I31" s="455"/>
      <c r="J31" s="446">
        <f>C30+9.5</f>
        <v>83176.409999999974</v>
      </c>
      <c r="K31" s="638" t="s">
        <v>2788</v>
      </c>
      <c r="L31" s="638"/>
      <c r="M31" s="638"/>
      <c r="N31" s="1239"/>
      <c r="O31" s="1239"/>
      <c r="P31" s="638"/>
      <c r="Q31" s="638"/>
      <c r="R31" s="638"/>
      <c r="S31" s="484"/>
      <c r="T31" s="638"/>
      <c r="U31" s="638"/>
      <c r="V31" s="638"/>
      <c r="W31" s="638"/>
      <c r="X31" s="638"/>
      <c r="Y31" s="638"/>
      <c r="Z31" s="638"/>
      <c r="AA31" s="638"/>
      <c r="AB31" s="638"/>
      <c r="AC31" s="638"/>
      <c r="AD31" s="638"/>
      <c r="AE31" s="638"/>
      <c r="AF31" s="638"/>
      <c r="AG31" s="446"/>
      <c r="AH31" s="638"/>
      <c r="AI31" s="185"/>
      <c r="AJ31" s="638"/>
      <c r="AK31" s="1239"/>
      <c r="AL31" s="638"/>
      <c r="AM31" s="638"/>
      <c r="AN31" s="455"/>
      <c r="AO31" s="1239"/>
      <c r="AP31" s="1239"/>
      <c r="AQ31" s="484">
        <f>+FL_1($U$32,$U$30,$G$31,1200,9.28,-1*$F$32)</f>
        <v>0.35055903866666654</v>
      </c>
      <c r="AR31" s="484"/>
      <c r="AS31" s="484"/>
      <c r="AT31" s="484"/>
      <c r="AU31" s="638"/>
      <c r="AV31" s="638"/>
      <c r="AW31" s="638" t="str">
        <f>VLOOKUP(J31,'Foundation Calculation'!$A$2:$C$33,3,1)</f>
        <v>Soil A</v>
      </c>
      <c r="AX31" s="638" t="str">
        <f>VLOOKUP(J31,'Foundation Calculation'!$E$2:$G$33,3,1)</f>
        <v>PT</v>
      </c>
      <c r="AY31" s="484"/>
      <c r="AZ31" s="484">
        <f>IF(AX31="PT",VLOOKUP(K31,'Foundation Calculation'!$K$2:$R$40,VLOOKUP(AW31,'Foundation Calculation'!$I$2:$J$8,2,FALSE),0),IF(AX31="K",VLOOKUP(K31,'Foundation Calculation'!$K$42:$R$80,VLOOKUP(AW31,'Foundation Calculation'!$I$2:$J$8,2,FALSE),0),""))</f>
        <v>2.8</v>
      </c>
      <c r="BA31" s="671" t="s">
        <v>2809</v>
      </c>
      <c r="BB31" s="1239"/>
      <c r="BC31" s="169"/>
      <c r="BD31" s="1329"/>
      <c r="BE31" s="1330"/>
      <c r="BF31" s="1330"/>
      <c r="BG31" s="1330"/>
    </row>
    <row r="32" spans="1:59" s="1436" customFormat="1" ht="15.65" customHeight="1">
      <c r="A32" s="1425"/>
      <c r="B32" s="1475" t="s">
        <v>3820</v>
      </c>
      <c r="C32" s="1427">
        <f>+$C$30+$G$31</f>
        <v>83220.909999999974</v>
      </c>
      <c r="D32" s="1426"/>
      <c r="E32" s="1426"/>
      <c r="F32" s="1428">
        <v>0</v>
      </c>
      <c r="G32" s="1429"/>
      <c r="H32" s="1502" t="s">
        <v>2818</v>
      </c>
      <c r="I32" s="1430" t="s">
        <v>1039</v>
      </c>
      <c r="J32" s="1427"/>
      <c r="K32" s="1431"/>
      <c r="L32" s="1431" t="s">
        <v>4666</v>
      </c>
      <c r="M32" s="1431" t="s">
        <v>4680</v>
      </c>
      <c r="N32" s="1430" t="s">
        <v>144</v>
      </c>
      <c r="O32" s="1430" t="s">
        <v>143</v>
      </c>
      <c r="P32" s="1426" t="s">
        <v>140</v>
      </c>
      <c r="Q32" s="1431">
        <v>0</v>
      </c>
      <c r="R32" s="1431">
        <v>0</v>
      </c>
      <c r="S32" s="1429"/>
      <c r="T32" s="1431">
        <v>-20</v>
      </c>
      <c r="U32" s="1431">
        <v>-35</v>
      </c>
      <c r="V32" s="1431">
        <v>-50</v>
      </c>
      <c r="W32" s="1431">
        <v>1.2</v>
      </c>
      <c r="X32" s="1431">
        <v>1.6</v>
      </c>
      <c r="Y32" s="1431">
        <v>2</v>
      </c>
      <c r="Z32" s="1431"/>
      <c r="AA32" s="1431"/>
      <c r="AB32" s="1431">
        <v>0.4</v>
      </c>
      <c r="AC32" s="1431" t="s">
        <v>2773</v>
      </c>
      <c r="AD32" s="1431" t="s">
        <v>1428</v>
      </c>
      <c r="AE32" s="1431"/>
      <c r="AF32" s="1431">
        <v>5500</v>
      </c>
      <c r="AG32" s="1427"/>
      <c r="AH32" s="1431">
        <v>2283</v>
      </c>
      <c r="AI32" s="1477">
        <v>350</v>
      </c>
      <c r="AJ32" s="1426"/>
      <c r="AK32" s="1426"/>
      <c r="AL32" s="1431" t="s">
        <v>4490</v>
      </c>
      <c r="AM32" s="1426" t="s">
        <v>1042</v>
      </c>
      <c r="AN32" s="1432">
        <v>5.15</v>
      </c>
      <c r="AO32" s="1430"/>
      <c r="AP32" s="1430"/>
      <c r="AQ32" s="1429"/>
      <c r="AR32" s="1429"/>
      <c r="AS32" s="1429"/>
      <c r="AT32" s="1429">
        <f>+ab($U$32,$U$30,-$T$34,$G$31,$G$33,-1*$F$32,1200)</f>
        <v>-6.4500190950169705</v>
      </c>
      <c r="AU32" s="1478"/>
      <c r="AV32" s="1478"/>
      <c r="AW32" s="1431" t="str">
        <f>VLOOKUP(C32,'Foundation Calculation'!$A$2:$C$33,3,1)</f>
        <v>Soil A</v>
      </c>
      <c r="AX32" s="1431" t="str">
        <f>VLOOKUP(C32,'Foundation Calculation'!$E$2:$G$33,3,1)</f>
        <v>PT</v>
      </c>
      <c r="AY32" s="1429">
        <f>IF(AX32="PT",VLOOKUP(L32,'Foundation Calculation'!$K$2:$R$40,VLOOKUP(AW32,'Foundation Calculation'!$I$2:$J$8,2,FALSE),0),IF(AX32="K",VLOOKUP(L32,'Foundation Calculation'!$K$42:$R$80,VLOOKUP(AW32,'Foundation Calculation'!$I$2:$J$8,2,FALSE),0),""))</f>
        <v>6</v>
      </c>
      <c r="AZ32" s="1429"/>
      <c r="BA32" s="1546" t="s">
        <v>2809</v>
      </c>
      <c r="BB32" s="1425" t="str">
        <f>Pole_Calculations!A178</f>
        <v>App.8-V08F-P10.3</v>
      </c>
      <c r="BC32" s="1434"/>
      <c r="BD32" s="1435"/>
      <c r="BE32" s="1435"/>
      <c r="BF32" s="1435"/>
      <c r="BG32" s="1435"/>
    </row>
    <row r="33" spans="1:59" ht="15.75" customHeight="1">
      <c r="A33" s="449"/>
      <c r="B33" s="445"/>
      <c r="C33" s="446"/>
      <c r="D33" s="445"/>
      <c r="E33" s="445"/>
      <c r="F33" s="445"/>
      <c r="G33" s="484">
        <v>39.799999999999997</v>
      </c>
      <c r="H33" s="445"/>
      <c r="I33" s="1239"/>
      <c r="J33" s="171"/>
      <c r="K33" s="1239"/>
      <c r="L33" s="445"/>
      <c r="M33" s="445"/>
      <c r="N33" s="445"/>
      <c r="O33" s="445"/>
      <c r="P33" s="445"/>
      <c r="Q33" s="638"/>
      <c r="R33" s="638"/>
      <c r="S33" s="484"/>
      <c r="T33" s="638"/>
      <c r="U33" s="638"/>
      <c r="V33" s="638"/>
      <c r="W33" s="638"/>
      <c r="X33" s="638"/>
      <c r="Y33" s="638"/>
      <c r="Z33" s="638"/>
      <c r="AA33" s="638"/>
      <c r="AB33" s="638"/>
      <c r="AC33" s="638"/>
      <c r="AD33" s="638"/>
      <c r="AE33" s="638"/>
      <c r="AF33" s="638"/>
      <c r="AG33" s="446"/>
      <c r="AH33" s="638"/>
      <c r="AI33" s="185"/>
      <c r="AJ33" s="445" t="s">
        <v>864</v>
      </c>
      <c r="AK33" s="445"/>
      <c r="AL33" s="445"/>
      <c r="AM33" s="445"/>
      <c r="AN33" s="484"/>
      <c r="AO33" s="445"/>
      <c r="AP33" s="445"/>
      <c r="AQ33" s="484">
        <f>+FL_2(-$T$34,$U$32,$G$33,1200,9.28,-1*$F$34)</f>
        <v>-0.35000000000000137</v>
      </c>
      <c r="AR33" s="484"/>
      <c r="AS33" s="484"/>
      <c r="AT33" s="484"/>
      <c r="AU33" s="638"/>
      <c r="AV33" s="638"/>
      <c r="AW33" s="638"/>
      <c r="AX33" s="638"/>
      <c r="AY33" s="484"/>
      <c r="AZ33" s="484"/>
      <c r="BA33" s="1304"/>
      <c r="BB33" s="449"/>
      <c r="BC33" s="169"/>
      <c r="BD33" s="1330"/>
      <c r="BE33" s="1330"/>
      <c r="BF33" s="1330"/>
      <c r="BG33" s="1330"/>
    </row>
    <row r="34" spans="1:59" ht="15.75" customHeight="1">
      <c r="A34" s="449"/>
      <c r="B34" s="485" t="s">
        <v>3821</v>
      </c>
      <c r="C34" s="446">
        <f>+$C$32+$G$33</f>
        <v>83260.709999999977</v>
      </c>
      <c r="D34" s="445"/>
      <c r="E34" s="445"/>
      <c r="F34" s="445" t="s">
        <v>2312</v>
      </c>
      <c r="G34" s="484"/>
      <c r="H34" s="445" t="s">
        <v>619</v>
      </c>
      <c r="I34" s="445"/>
      <c r="J34" s="446"/>
      <c r="K34" s="638"/>
      <c r="L34" s="445"/>
      <c r="M34" s="445"/>
      <c r="N34" s="445" t="s">
        <v>843</v>
      </c>
      <c r="O34" s="445" t="s">
        <v>845</v>
      </c>
      <c r="P34" s="445"/>
      <c r="Q34" s="638"/>
      <c r="R34" s="638"/>
      <c r="S34" s="484"/>
      <c r="T34" s="638">
        <v>-35</v>
      </c>
      <c r="U34" s="638">
        <v>45</v>
      </c>
      <c r="V34" s="638"/>
      <c r="W34" s="638">
        <v>2</v>
      </c>
      <c r="X34" s="638">
        <v>1.6</v>
      </c>
      <c r="Y34" s="638"/>
      <c r="Z34" s="638"/>
      <c r="AA34" s="638"/>
      <c r="AB34" s="638">
        <v>0.4</v>
      </c>
      <c r="AC34" s="638" t="str">
        <f>IF(OR(AT34&gt;8,AT34&lt;-8),"PH",IF(OR(AT34&gt;5,AT34&lt;-5),"PH-Q",IF(OR(AT34&gt;1,AT34&lt;-1),"PH-C")))</f>
        <v>PH-Q</v>
      </c>
      <c r="AD34" s="638"/>
      <c r="AE34" s="638"/>
      <c r="AF34" s="638"/>
      <c r="AG34" s="446"/>
      <c r="AH34" s="638"/>
      <c r="AI34" s="185"/>
      <c r="AJ34" s="445" t="s">
        <v>2762</v>
      </c>
      <c r="AK34" s="445" t="s">
        <v>4658</v>
      </c>
      <c r="AL34" s="445"/>
      <c r="AM34" s="445"/>
      <c r="AN34" s="455">
        <v>5.15</v>
      </c>
      <c r="AO34" s="1239"/>
      <c r="AP34" s="1239"/>
      <c r="AQ34" s="484"/>
      <c r="AR34" s="484"/>
      <c r="AS34" s="484"/>
      <c r="AT34" s="484">
        <f>+ab(-$T$34,$U$32,$T$36,$G$33,$G$35,-1*$F$34,1200)</f>
        <v>5.4388328365249059</v>
      </c>
      <c r="AU34" s="638"/>
      <c r="AV34" s="638"/>
      <c r="AW34" s="638"/>
      <c r="AX34" s="638"/>
      <c r="AY34" s="484"/>
      <c r="AZ34" s="484"/>
      <c r="BA34" s="671"/>
      <c r="BB34" s="449" t="s">
        <v>4657</v>
      </c>
      <c r="BC34" s="169"/>
      <c r="BD34" s="1330"/>
      <c r="BE34" s="1330"/>
      <c r="BF34" s="1330"/>
      <c r="BG34" s="1329"/>
    </row>
    <row r="35" spans="1:59" ht="15.75" customHeight="1">
      <c r="A35" s="449"/>
      <c r="B35" s="445"/>
      <c r="C35" s="446"/>
      <c r="D35" s="445"/>
      <c r="E35" s="445"/>
      <c r="F35" s="445"/>
      <c r="G35" s="484">
        <v>39.799999999999997</v>
      </c>
      <c r="H35" s="445"/>
      <c r="I35" s="448">
        <v>318</v>
      </c>
      <c r="J35" s="446"/>
      <c r="K35" s="445"/>
      <c r="L35" s="445"/>
      <c r="M35" s="445"/>
      <c r="N35" s="445"/>
      <c r="O35" s="445"/>
      <c r="P35" s="445"/>
      <c r="Q35" s="638"/>
      <c r="R35" s="638"/>
      <c r="S35" s="484"/>
      <c r="T35" s="638"/>
      <c r="U35" s="638"/>
      <c r="V35" s="638"/>
      <c r="W35" s="638"/>
      <c r="X35" s="638"/>
      <c r="Y35" s="638"/>
      <c r="Z35" s="638"/>
      <c r="AA35" s="638"/>
      <c r="AB35" s="638"/>
      <c r="AC35" s="638"/>
      <c r="AD35" s="638"/>
      <c r="AE35" s="638"/>
      <c r="AF35" s="638"/>
      <c r="AG35" s="446"/>
      <c r="AH35" s="638"/>
      <c r="AI35" s="185"/>
      <c r="AJ35" s="445"/>
      <c r="AK35" s="445"/>
      <c r="AL35" s="445"/>
      <c r="AM35" s="445"/>
      <c r="AN35" s="484"/>
      <c r="AO35" s="445"/>
      <c r="AP35" s="445"/>
      <c r="AQ35" s="484">
        <f>+FL_2($T$36,-$T$34,$G$35,1200,9.28,-1*$F$36)</f>
        <v>-0.35</v>
      </c>
      <c r="AR35" s="484"/>
      <c r="AS35" s="484"/>
      <c r="AT35" s="484"/>
      <c r="AU35" s="638"/>
      <c r="AV35" s="638"/>
      <c r="AW35" s="638"/>
      <c r="AX35" s="638"/>
      <c r="AY35" s="484"/>
      <c r="AZ35" s="484"/>
      <c r="BA35" s="671"/>
      <c r="BB35" s="449"/>
      <c r="BC35" s="169"/>
      <c r="BD35" s="1330"/>
      <c r="BE35" s="1330"/>
      <c r="BF35" s="1330"/>
      <c r="BG35" s="1330"/>
    </row>
    <row r="36" spans="1:59" s="1436" customFormat="1" ht="15.75" customHeight="1">
      <c r="A36" s="1430"/>
      <c r="B36" s="1476" t="s">
        <v>3822</v>
      </c>
      <c r="C36" s="1427">
        <f>+$C$34+$G$35</f>
        <v>83300.50999999998</v>
      </c>
      <c r="D36" s="1449"/>
      <c r="E36" s="1449"/>
      <c r="F36" s="1430">
        <v>0</v>
      </c>
      <c r="G36" s="1429"/>
      <c r="H36" s="1430" t="s">
        <v>890</v>
      </c>
      <c r="I36" s="1497" t="s">
        <v>624</v>
      </c>
      <c r="J36" s="1427"/>
      <c r="K36" s="1431"/>
      <c r="L36" s="1431" t="s">
        <v>4666</v>
      </c>
      <c r="M36" s="1431" t="s">
        <v>4680</v>
      </c>
      <c r="N36" s="1430" t="s">
        <v>143</v>
      </c>
      <c r="O36" s="1430"/>
      <c r="P36" s="1431"/>
      <c r="Q36" s="1431">
        <v>0</v>
      </c>
      <c r="R36" s="1431">
        <v>0</v>
      </c>
      <c r="S36" s="1429"/>
      <c r="T36" s="1431">
        <v>-35</v>
      </c>
      <c r="U36" s="1431"/>
      <c r="V36" s="1431"/>
      <c r="W36" s="1431">
        <v>1.4</v>
      </c>
      <c r="X36" s="1431"/>
      <c r="Y36" s="1431"/>
      <c r="Z36" s="1431"/>
      <c r="AA36" s="1431"/>
      <c r="AB36" s="1431"/>
      <c r="AC36" s="1431" t="str">
        <f>IF(OR(AT36&gt;8,AT36&lt;-8),"PH",IF(OR(AT36&gt;5,AT36&lt;-5),"PH-Q",IF(OR(AT36&gt;1,AT36&lt;-1),"PH-C")))</f>
        <v>PH-Q</v>
      </c>
      <c r="AD36" s="1431"/>
      <c r="AE36" s="1431"/>
      <c r="AF36" s="1431">
        <v>5800</v>
      </c>
      <c r="AG36" s="1427"/>
      <c r="AH36" s="1431">
        <v>2453</v>
      </c>
      <c r="AI36" s="1477">
        <v>440</v>
      </c>
      <c r="AJ36" s="1431"/>
      <c r="AK36" s="1430"/>
      <c r="AL36" s="1431" t="s">
        <v>4490</v>
      </c>
      <c r="AM36" s="1426"/>
      <c r="AN36" s="1432">
        <v>5.15</v>
      </c>
      <c r="AO36" s="1430"/>
      <c r="AP36" s="1430"/>
      <c r="AQ36" s="1429"/>
      <c r="AR36" s="1429"/>
      <c r="AS36" s="1429"/>
      <c r="AT36" s="1429">
        <f>+ab($T$36,-$T$34,$T$38,$G$35,$G$37,-1*$F$36,1200)</f>
        <v>-5.9433200946688629</v>
      </c>
      <c r="AU36" s="1478"/>
      <c r="AV36" s="1478"/>
      <c r="AW36" s="1431" t="str">
        <f>VLOOKUP(C36,'Foundation Calculation'!$A$2:$C$33,3,1)</f>
        <v>Soil A</v>
      </c>
      <c r="AX36" s="1431" t="str">
        <f>VLOOKUP(C36,'Foundation Calculation'!$E$2:$G$33,3,1)</f>
        <v>PT</v>
      </c>
      <c r="AY36" s="1429">
        <f>IF(AX36="PT",VLOOKUP(L36,'Foundation Calculation'!$K$2:$R$40,VLOOKUP(AW36,'Foundation Calculation'!$I$2:$J$8,2,FALSE),0),IF(AX36="K",VLOOKUP(L36,'Foundation Calculation'!$K$42:$R$80,VLOOKUP(AW36,'Foundation Calculation'!$I$2:$J$8,2,FALSE),0),""))</f>
        <v>6</v>
      </c>
      <c r="AZ36" s="1429"/>
      <c r="BA36" s="1546" t="s">
        <v>2809</v>
      </c>
      <c r="BB36" s="1430" t="str">
        <f>Pole_Calculations!A178</f>
        <v>App.8-V08F-P10.3</v>
      </c>
      <c r="BC36" s="1434"/>
      <c r="BD36" s="1435"/>
      <c r="BE36" s="1435"/>
      <c r="BF36" s="1435"/>
      <c r="BG36" s="1435"/>
    </row>
    <row r="37" spans="1:59" ht="15.75" customHeight="1">
      <c r="A37" s="1239"/>
      <c r="B37" s="173"/>
      <c r="C37" s="446"/>
      <c r="D37" s="447"/>
      <c r="E37" s="447"/>
      <c r="F37" s="1239"/>
      <c r="G37" s="484">
        <v>48</v>
      </c>
      <c r="H37" s="1239"/>
      <c r="I37" s="448"/>
      <c r="J37" s="446"/>
      <c r="K37" s="638"/>
      <c r="L37" s="638"/>
      <c r="M37" s="638"/>
      <c r="N37" s="1239"/>
      <c r="O37" s="1239"/>
      <c r="P37" s="638"/>
      <c r="Q37" s="638"/>
      <c r="R37" s="638"/>
      <c r="S37" s="484"/>
      <c r="T37" s="638"/>
      <c r="U37" s="638"/>
      <c r="V37" s="638"/>
      <c r="W37" s="638"/>
      <c r="X37" s="638"/>
      <c r="Y37" s="638"/>
      <c r="Z37" s="638"/>
      <c r="AA37" s="638"/>
      <c r="AB37" s="638"/>
      <c r="AC37" s="638"/>
      <c r="AD37" s="638"/>
      <c r="AE37" s="638"/>
      <c r="AF37" s="638"/>
      <c r="AG37" s="446"/>
      <c r="AH37" s="638"/>
      <c r="AI37" s="185"/>
      <c r="AJ37" s="638"/>
      <c r="AK37" s="1239"/>
      <c r="AL37" s="638"/>
      <c r="AM37" s="638"/>
      <c r="AN37" s="455"/>
      <c r="AO37" s="1239"/>
      <c r="AP37" s="1239"/>
      <c r="AQ37" s="484">
        <f>+FL_2($T$38,$T$36,$G$37,1200,9.28,-1*$F$38)</f>
        <v>-0.36022448800000006</v>
      </c>
      <c r="AR37" s="484"/>
      <c r="AS37" s="484"/>
      <c r="AT37" s="484"/>
      <c r="AU37" s="638"/>
      <c r="AV37" s="638"/>
      <c r="AW37" s="638"/>
      <c r="AX37" s="638"/>
      <c r="AY37" s="484"/>
      <c r="AZ37" s="484"/>
      <c r="BA37" s="671"/>
      <c r="BB37" s="1239"/>
      <c r="BC37" s="169"/>
      <c r="BD37" s="1330"/>
      <c r="BE37" s="1330"/>
      <c r="BF37" s="1330"/>
      <c r="BG37" s="1330"/>
    </row>
    <row r="38" spans="1:59" ht="15.75" customHeight="1">
      <c r="A38" s="1239"/>
      <c r="B38" s="435" t="s">
        <v>3823</v>
      </c>
      <c r="C38" s="446">
        <f>+$C$36+$G$37</f>
        <v>83348.50999999998</v>
      </c>
      <c r="D38" s="447"/>
      <c r="E38" s="447"/>
      <c r="F38" s="1239">
        <v>0</v>
      </c>
      <c r="G38" s="484"/>
      <c r="H38" s="1239" t="s">
        <v>138</v>
      </c>
      <c r="I38" s="445" t="s">
        <v>623</v>
      </c>
      <c r="J38" s="446"/>
      <c r="K38" s="638"/>
      <c r="L38" s="638" t="s">
        <v>3665</v>
      </c>
      <c r="M38" s="638"/>
      <c r="N38" s="1239" t="s">
        <v>844</v>
      </c>
      <c r="O38" s="1239"/>
      <c r="P38" s="638"/>
      <c r="Q38" s="638"/>
      <c r="R38" s="638"/>
      <c r="S38" s="484"/>
      <c r="T38" s="638">
        <v>35</v>
      </c>
      <c r="U38" s="638"/>
      <c r="V38" s="638"/>
      <c r="W38" s="638">
        <v>1.4</v>
      </c>
      <c r="X38" s="638"/>
      <c r="Y38" s="638"/>
      <c r="Z38" s="638"/>
      <c r="AA38" s="638"/>
      <c r="AB38" s="638"/>
      <c r="AC38" s="638" t="str">
        <f>IF(OR(AT38&gt;8,AT38&lt;-8),"PH",IF(OR(AT38&gt;5,AT38&lt;-5),"PH-Q",IF(OR(AT38&gt;1,AT38&lt;-1),"PH-C")))</f>
        <v>PH-Q</v>
      </c>
      <c r="AD38" s="638"/>
      <c r="AE38" s="638"/>
      <c r="AF38" s="638"/>
      <c r="AG38" s="446"/>
      <c r="AH38" s="638"/>
      <c r="AI38" s="185"/>
      <c r="AJ38" s="638"/>
      <c r="AK38" s="1239" t="s">
        <v>139</v>
      </c>
      <c r="AL38" s="638"/>
      <c r="AM38" s="445"/>
      <c r="AN38" s="455">
        <v>5.15</v>
      </c>
      <c r="AO38" s="1239"/>
      <c r="AP38" s="1239"/>
      <c r="AQ38" s="484"/>
      <c r="AR38" s="484"/>
      <c r="AS38" s="484"/>
      <c r="AT38" s="484">
        <f>+ab($T$38,$T$36,$U$40,$G$37,$G$39,-1*$F$38,1200)</f>
        <v>7.0802743531728032</v>
      </c>
      <c r="AU38" s="638"/>
      <c r="AV38" s="638"/>
      <c r="AW38" s="638"/>
      <c r="AX38" s="638"/>
      <c r="AY38" s="484"/>
      <c r="AZ38" s="484"/>
      <c r="BA38" s="671"/>
      <c r="BB38" s="1239"/>
      <c r="BC38" s="169"/>
      <c r="BD38" s="1330"/>
      <c r="BE38" s="1330"/>
      <c r="BF38" s="1330"/>
      <c r="BG38" s="1329"/>
    </row>
    <row r="39" spans="1:59" ht="15.75" customHeight="1">
      <c r="A39" s="1239"/>
      <c r="B39" s="173"/>
      <c r="C39" s="446"/>
      <c r="D39" s="447"/>
      <c r="E39" s="447"/>
      <c r="F39" s="1239"/>
      <c r="G39" s="484">
        <v>52.5</v>
      </c>
      <c r="H39" s="1239"/>
      <c r="I39" s="455" t="s">
        <v>1039</v>
      </c>
      <c r="J39" s="446"/>
      <c r="K39" s="638"/>
      <c r="L39" s="638"/>
      <c r="M39" s="638"/>
      <c r="N39" s="1239"/>
      <c r="O39" s="1239"/>
      <c r="P39" s="638"/>
      <c r="Q39" s="638"/>
      <c r="R39" s="638"/>
      <c r="S39" s="484"/>
      <c r="T39" s="638"/>
      <c r="U39" s="638"/>
      <c r="V39" s="638"/>
      <c r="W39" s="638"/>
      <c r="X39" s="638"/>
      <c r="Y39" s="638"/>
      <c r="Z39" s="638"/>
      <c r="AA39" s="638"/>
      <c r="AB39" s="638"/>
      <c r="AC39" s="638"/>
      <c r="AD39" s="638"/>
      <c r="AE39" s="638"/>
      <c r="AF39" s="638"/>
      <c r="AG39" s="446"/>
      <c r="AH39" s="638"/>
      <c r="AI39" s="185"/>
      <c r="AJ39" s="638"/>
      <c r="AK39" s="1239"/>
      <c r="AL39" s="638"/>
      <c r="AM39" s="638"/>
      <c r="AN39" s="455"/>
      <c r="AO39" s="1239"/>
      <c r="AP39" s="1239"/>
      <c r="AQ39" s="484">
        <f>+FL_1($U$40,$T$38,$G$39,1200,9.28,-1*$F$40)</f>
        <v>0.39054610895238095</v>
      </c>
      <c r="AR39" s="484"/>
      <c r="AS39" s="484"/>
      <c r="AT39" s="484"/>
      <c r="AU39" s="638"/>
      <c r="AV39" s="638"/>
      <c r="AW39" s="484"/>
      <c r="AX39" s="484"/>
      <c r="AY39" s="484"/>
      <c r="AZ39" s="484"/>
      <c r="BA39" s="671"/>
      <c r="BB39" s="1239"/>
      <c r="BC39" s="169"/>
      <c r="BD39" s="1330"/>
      <c r="BE39" s="1330"/>
      <c r="BF39" s="1330"/>
      <c r="BG39" s="1330"/>
    </row>
    <row r="40" spans="1:59" ht="15.75" customHeight="1">
      <c r="A40" s="449"/>
      <c r="B40" s="485" t="s">
        <v>3824</v>
      </c>
      <c r="C40" s="446">
        <f>+$C$38+$G$39</f>
        <v>83401.00999999998</v>
      </c>
      <c r="D40" s="445"/>
      <c r="E40" s="445"/>
      <c r="F40" s="448">
        <v>0</v>
      </c>
      <c r="G40" s="484"/>
      <c r="H40" s="445" t="s">
        <v>619</v>
      </c>
      <c r="I40" s="1239"/>
      <c r="J40" s="446"/>
      <c r="K40" s="638"/>
      <c r="L40" s="638" t="s">
        <v>3665</v>
      </c>
      <c r="M40" s="638"/>
      <c r="N40" s="1239" t="s">
        <v>845</v>
      </c>
      <c r="O40" s="1239" t="s">
        <v>843</v>
      </c>
      <c r="P40" s="638"/>
      <c r="Q40" s="638"/>
      <c r="R40" s="638"/>
      <c r="S40" s="484"/>
      <c r="T40" s="638">
        <v>15</v>
      </c>
      <c r="U40" s="638">
        <v>-30</v>
      </c>
      <c r="V40" s="638"/>
      <c r="W40" s="638">
        <v>1.4</v>
      </c>
      <c r="X40" s="638">
        <v>2.2999999999999998</v>
      </c>
      <c r="Y40" s="638"/>
      <c r="Z40" s="638">
        <v>0.45</v>
      </c>
      <c r="AA40" s="638"/>
      <c r="AB40" s="638"/>
      <c r="AC40" s="638" t="str">
        <f>IF(OR(AT40&gt;8,AT40&lt;-8),"PH",IF(OR(AT40&gt;5,AT40&lt;-5),"PH-Q",IF(OR(AT40&gt;1,AT40&lt;-1),"PH-C")))</f>
        <v>PH</v>
      </c>
      <c r="AD40" s="638"/>
      <c r="AE40" s="638"/>
      <c r="AF40" s="638"/>
      <c r="AG40" s="446"/>
      <c r="AH40" s="638"/>
      <c r="AI40" s="185"/>
      <c r="AJ40" s="638"/>
      <c r="AK40" s="1239" t="s">
        <v>228</v>
      </c>
      <c r="AL40" s="638"/>
      <c r="AM40" s="445"/>
      <c r="AN40" s="455">
        <v>5.15</v>
      </c>
      <c r="AO40" s="1239"/>
      <c r="AP40" s="1239"/>
      <c r="AQ40" s="484"/>
      <c r="AR40" s="484"/>
      <c r="AS40" s="484"/>
      <c r="AT40" s="484">
        <f>+ab($U$40,$T$38,$U$42,$G$39,$G$41,-1*$F$40,1200)</f>
        <v>-12.330001945335061</v>
      </c>
      <c r="AU40" s="638"/>
      <c r="AV40" s="638"/>
      <c r="AW40" s="638"/>
      <c r="AX40" s="638"/>
      <c r="AY40" s="484"/>
      <c r="AZ40" s="484"/>
      <c r="BA40" s="671"/>
      <c r="BB40" s="449"/>
      <c r="BC40" s="169"/>
      <c r="BD40" s="1330"/>
      <c r="BE40" s="1330"/>
      <c r="BF40" s="1330"/>
      <c r="BG40" s="1329"/>
    </row>
    <row r="41" spans="1:59" ht="15.75" customHeight="1">
      <c r="A41" s="449"/>
      <c r="B41" s="445"/>
      <c r="C41" s="446"/>
      <c r="D41" s="445"/>
      <c r="E41" s="445"/>
      <c r="F41" s="445"/>
      <c r="G41" s="484">
        <v>51</v>
      </c>
      <c r="H41" s="445"/>
      <c r="I41" s="1239" t="s">
        <v>1039</v>
      </c>
      <c r="J41" s="171"/>
      <c r="K41" s="1239"/>
      <c r="L41" s="445"/>
      <c r="M41" s="445"/>
      <c r="N41" s="445"/>
      <c r="O41" s="445"/>
      <c r="P41" s="445"/>
      <c r="Q41" s="638"/>
      <c r="R41" s="638"/>
      <c r="S41" s="484"/>
      <c r="T41" s="638"/>
      <c r="U41" s="638"/>
      <c r="V41" s="638"/>
      <c r="W41" s="638"/>
      <c r="X41" s="638"/>
      <c r="Y41" s="638"/>
      <c r="Z41" s="638"/>
      <c r="AA41" s="638"/>
      <c r="AB41" s="638"/>
      <c r="AC41" s="638"/>
      <c r="AD41" s="638"/>
      <c r="AE41" s="638"/>
      <c r="AF41" s="638"/>
      <c r="AG41" s="446"/>
      <c r="AH41" s="638"/>
      <c r="AI41" s="185"/>
      <c r="AJ41" s="445"/>
      <c r="AK41" s="445"/>
      <c r="AL41" s="445"/>
      <c r="AM41" s="445"/>
      <c r="AN41" s="484"/>
      <c r="AO41" s="445"/>
      <c r="AP41" s="445"/>
      <c r="AQ41" s="484">
        <f>+FL_1($U$42,$U$40,$G$41,1200,9.28,-1*$F$42)</f>
        <v>3.2023003921568607E-2</v>
      </c>
      <c r="AR41" s="484"/>
      <c r="AS41" s="484"/>
      <c r="AT41" s="484"/>
      <c r="AU41" s="638"/>
      <c r="AV41" s="638"/>
      <c r="AW41" s="638"/>
      <c r="AX41" s="638"/>
      <c r="AY41" s="484"/>
      <c r="AZ41" s="484"/>
      <c r="BA41" s="1304"/>
      <c r="BB41" s="449"/>
      <c r="BC41" s="169"/>
      <c r="BD41" s="1330"/>
      <c r="BE41" s="1330"/>
      <c r="BF41" s="1330"/>
      <c r="BG41" s="1330"/>
    </row>
    <row r="42" spans="1:59" ht="15.75" customHeight="1">
      <c r="A42" s="449" t="s">
        <v>3863</v>
      </c>
      <c r="B42" s="485" t="s">
        <v>3825</v>
      </c>
      <c r="C42" s="446">
        <f>+$C$40+$G$41</f>
        <v>83452.00999999998</v>
      </c>
      <c r="D42" s="445"/>
      <c r="E42" s="445"/>
      <c r="F42" s="445" t="s">
        <v>2312</v>
      </c>
      <c r="G42" s="484"/>
      <c r="H42" s="445" t="s">
        <v>619</v>
      </c>
      <c r="I42" s="445" t="s">
        <v>3858</v>
      </c>
      <c r="J42" s="446"/>
      <c r="K42" s="638"/>
      <c r="L42" s="638" t="s">
        <v>3665</v>
      </c>
      <c r="M42" s="638"/>
      <c r="N42" s="1239" t="s">
        <v>844</v>
      </c>
      <c r="O42" s="1239" t="s">
        <v>845</v>
      </c>
      <c r="P42" s="638"/>
      <c r="Q42" s="638"/>
      <c r="R42" s="638"/>
      <c r="S42" s="484"/>
      <c r="T42" s="638">
        <v>30</v>
      </c>
      <c r="U42" s="638">
        <v>-15</v>
      </c>
      <c r="V42" s="638"/>
      <c r="W42" s="638">
        <v>1.4</v>
      </c>
      <c r="X42" s="638">
        <v>2.2999999999999998</v>
      </c>
      <c r="Y42" s="638"/>
      <c r="Z42" s="638"/>
      <c r="AA42" s="638">
        <v>0.45</v>
      </c>
      <c r="AB42" s="638"/>
      <c r="AC42" s="638" t="str">
        <f>IF(OR(AT42&gt;8,AT42&lt;-8),"PH",IF(OR(AT42&gt;5,AT42&lt;-5),"PH-Q",IF(OR(AT42&gt;1,AT42&lt;-1),"PH-C")))</f>
        <v>PH</v>
      </c>
      <c r="AD42" s="638"/>
      <c r="AE42" s="638"/>
      <c r="AF42" s="638"/>
      <c r="AG42" s="446"/>
      <c r="AH42" s="638"/>
      <c r="AI42" s="185"/>
      <c r="AJ42" s="638" t="s">
        <v>2154</v>
      </c>
      <c r="AK42" s="1239" t="s">
        <v>228</v>
      </c>
      <c r="AL42" s="638"/>
      <c r="AM42" s="445"/>
      <c r="AN42" s="455">
        <v>5.15</v>
      </c>
      <c r="AO42" s="1239"/>
      <c r="AP42" s="1239"/>
      <c r="AQ42" s="484"/>
      <c r="AR42" s="484"/>
      <c r="AS42" s="484"/>
      <c r="AT42" s="484">
        <f>+ab($T$42,$T$40,$T$44,$G$41,$G$43,-1*$F$42,1200)</f>
        <v>9.5265691600811664</v>
      </c>
      <c r="AU42" s="638"/>
      <c r="AV42" s="638"/>
      <c r="AW42" s="638"/>
      <c r="AX42" s="638"/>
      <c r="AY42" s="484"/>
      <c r="AZ42" s="484"/>
      <c r="BA42" s="671"/>
      <c r="BB42" s="449"/>
      <c r="BC42" s="169"/>
      <c r="BD42" s="1330"/>
      <c r="BE42" s="1330"/>
      <c r="BF42" s="1330"/>
      <c r="BG42" s="1329"/>
    </row>
    <row r="43" spans="1:59" ht="15.75" customHeight="1">
      <c r="A43" s="449"/>
      <c r="B43" s="445"/>
      <c r="C43" s="446"/>
      <c r="D43" s="445"/>
      <c r="E43" s="445"/>
      <c r="F43" s="445"/>
      <c r="G43" s="484">
        <v>38.200000000000003</v>
      </c>
      <c r="H43" s="445"/>
      <c r="I43" s="455"/>
      <c r="J43" s="446"/>
      <c r="K43" s="445"/>
      <c r="L43" s="445"/>
      <c r="M43" s="445"/>
      <c r="N43" s="445"/>
      <c r="O43" s="445"/>
      <c r="P43" s="445"/>
      <c r="Q43" s="638"/>
      <c r="R43" s="638"/>
      <c r="S43" s="484"/>
      <c r="T43" s="638"/>
      <c r="U43" s="638"/>
      <c r="V43" s="638"/>
      <c r="W43" s="638"/>
      <c r="X43" s="638"/>
      <c r="Y43" s="638"/>
      <c r="Z43" s="638"/>
      <c r="AA43" s="638"/>
      <c r="AB43" s="638"/>
      <c r="AC43" s="638"/>
      <c r="AD43" s="638"/>
      <c r="AE43" s="638"/>
      <c r="AF43" s="638"/>
      <c r="AG43" s="446"/>
      <c r="AH43" s="638"/>
      <c r="AI43" s="185"/>
      <c r="AJ43" s="445"/>
      <c r="AK43" s="445"/>
      <c r="AL43" s="445"/>
      <c r="AM43" s="445"/>
      <c r="AN43" s="455"/>
      <c r="AO43" s="445"/>
      <c r="AP43" s="445"/>
      <c r="AQ43" s="484">
        <f>+FL_2($U$44,$U$42,$G$43,1200,9.28,-1*$F$44)</f>
        <v>-0.56195175271204201</v>
      </c>
      <c r="AR43" s="484"/>
      <c r="AS43" s="484"/>
      <c r="AT43" s="484"/>
      <c r="AU43" s="638"/>
      <c r="AV43" s="638"/>
      <c r="AW43" s="638"/>
      <c r="AX43" s="638"/>
      <c r="AY43" s="484"/>
      <c r="AZ43" s="484"/>
      <c r="BA43" s="671"/>
      <c r="BB43" s="449"/>
      <c r="BC43" s="169"/>
      <c r="BD43" s="1330"/>
      <c r="BE43" s="1330"/>
      <c r="BF43" s="1330"/>
      <c r="BG43" s="1330"/>
    </row>
    <row r="44" spans="1:59" ht="15.75" customHeight="1">
      <c r="A44" s="1239"/>
      <c r="B44" s="435" t="s">
        <v>3826</v>
      </c>
      <c r="C44" s="446">
        <f>+$C$42+$G$43</f>
        <v>83490.209999999977</v>
      </c>
      <c r="D44" s="447"/>
      <c r="E44" s="447"/>
      <c r="F44" s="1239">
        <v>0</v>
      </c>
      <c r="G44" s="484"/>
      <c r="H44" s="1239" t="s">
        <v>619</v>
      </c>
      <c r="I44" s="172"/>
      <c r="J44" s="446"/>
      <c r="K44" s="638"/>
      <c r="L44" s="638" t="s">
        <v>3665</v>
      </c>
      <c r="M44" s="638"/>
      <c r="N44" s="1239" t="s">
        <v>843</v>
      </c>
      <c r="O44" s="1239" t="s">
        <v>845</v>
      </c>
      <c r="P44" s="638"/>
      <c r="Q44" s="638"/>
      <c r="R44" s="638"/>
      <c r="S44" s="484"/>
      <c r="T44" s="638">
        <v>-35</v>
      </c>
      <c r="U44" s="638">
        <v>-55</v>
      </c>
      <c r="V44" s="638"/>
      <c r="W44" s="638">
        <v>1.4</v>
      </c>
      <c r="X44" s="638">
        <v>2.2999999999999998</v>
      </c>
      <c r="Y44" s="638"/>
      <c r="Z44" s="638"/>
      <c r="AA44" s="638">
        <v>0.6</v>
      </c>
      <c r="AB44" s="638"/>
      <c r="AC44" s="638" t="str">
        <f>IF(OR(AT44&gt;8,AT44&lt;-8),"PH",IF(OR(AT44&gt;5,AT44&lt;-5),"PH-Q",IF(OR(AT44&gt;1,AT44&lt;-1),"PH-C")))</f>
        <v>PH-Q</v>
      </c>
      <c r="AD44" s="638"/>
      <c r="AE44" s="638"/>
      <c r="AF44" s="638"/>
      <c r="AG44" s="446"/>
      <c r="AH44" s="638"/>
      <c r="AI44" s="185"/>
      <c r="AJ44" s="638"/>
      <c r="AK44" s="1239" t="s">
        <v>228</v>
      </c>
      <c r="AL44" s="638"/>
      <c r="AM44" s="445"/>
      <c r="AN44" s="455">
        <v>5.15</v>
      </c>
      <c r="AO44" s="1239"/>
      <c r="AP44" s="1239"/>
      <c r="AQ44" s="484"/>
      <c r="AR44" s="484"/>
      <c r="AS44" s="484"/>
      <c r="AT44" s="484">
        <f>+ab($T$44,$T$42,$T$46,$G$43,$G$45,-1*$F$44,1200)</f>
        <v>-5.8708459494212102</v>
      </c>
      <c r="AU44" s="638"/>
      <c r="AV44" s="638"/>
      <c r="AW44" s="638"/>
      <c r="AX44" s="638"/>
      <c r="AY44" s="484"/>
      <c r="AZ44" s="484"/>
      <c r="BA44" s="671"/>
      <c r="BB44" s="1239"/>
      <c r="BC44" s="169"/>
      <c r="BD44" s="1330"/>
      <c r="BE44" s="1330"/>
      <c r="BF44" s="1330"/>
      <c r="BG44" s="1329"/>
    </row>
    <row r="45" spans="1:59" ht="15.75" customHeight="1">
      <c r="A45" s="1239"/>
      <c r="B45" s="173"/>
      <c r="C45" s="446"/>
      <c r="D45" s="447"/>
      <c r="E45" s="447"/>
      <c r="F45" s="1239"/>
      <c r="G45" s="484">
        <v>45</v>
      </c>
      <c r="H45" s="1239"/>
      <c r="I45" s="448"/>
      <c r="J45" s="446"/>
      <c r="K45" s="638"/>
      <c r="L45" s="638"/>
      <c r="M45" s="638"/>
      <c r="N45" s="1239"/>
      <c r="O45" s="1239"/>
      <c r="P45" s="638"/>
      <c r="Q45" s="638"/>
      <c r="R45" s="638"/>
      <c r="S45" s="484"/>
      <c r="T45" s="638"/>
      <c r="U45" s="638"/>
      <c r="V45" s="638"/>
      <c r="W45" s="638"/>
      <c r="X45" s="638"/>
      <c r="Y45" s="638"/>
      <c r="Z45" s="638"/>
      <c r="AA45" s="638"/>
      <c r="AB45" s="638"/>
      <c r="AC45" s="638"/>
      <c r="AD45" s="638"/>
      <c r="AE45" s="638"/>
      <c r="AF45" s="638"/>
      <c r="AG45" s="446"/>
      <c r="AH45" s="638"/>
      <c r="AI45" s="185"/>
      <c r="AJ45" s="638"/>
      <c r="AK45" s="1239"/>
      <c r="AL45" s="638"/>
      <c r="AM45" s="638"/>
      <c r="AN45" s="455"/>
      <c r="AO45" s="1239"/>
      <c r="AP45" s="1239"/>
      <c r="AQ45" s="484">
        <f>+FL_1($T$46,$T$44,$G$45,1200,9.28,-1*$F$46)</f>
        <v>0.35219954355555555</v>
      </c>
      <c r="AR45" s="484"/>
      <c r="AS45" s="484"/>
      <c r="AT45" s="484"/>
      <c r="AU45" s="638"/>
      <c r="AV45" s="638"/>
      <c r="AW45" s="638"/>
      <c r="AX45" s="638"/>
      <c r="AY45" s="484"/>
      <c r="AZ45" s="484"/>
      <c r="BA45" s="671"/>
      <c r="BB45" s="1239"/>
      <c r="BC45" s="169"/>
      <c r="BD45" s="1330"/>
      <c r="BE45" s="1330"/>
      <c r="BF45" s="1330"/>
      <c r="BG45" s="1330"/>
    </row>
    <row r="46" spans="1:59" s="1436" customFormat="1" ht="15.75" customHeight="1">
      <c r="A46" s="1430"/>
      <c r="B46" s="1476" t="s">
        <v>3827</v>
      </c>
      <c r="C46" s="1427">
        <f>+$C$44+$G$45</f>
        <v>83535.209999999977</v>
      </c>
      <c r="D46" s="1499"/>
      <c r="E46" s="1449"/>
      <c r="F46" s="1449">
        <v>0</v>
      </c>
      <c r="G46" s="1429"/>
      <c r="H46" s="1430" t="s">
        <v>138</v>
      </c>
      <c r="I46" s="1430" t="s">
        <v>623</v>
      </c>
      <c r="J46" s="1433"/>
      <c r="K46" s="1431"/>
      <c r="L46" s="1431" t="s">
        <v>821</v>
      </c>
      <c r="M46" s="1431" t="s">
        <v>2402</v>
      </c>
      <c r="N46" s="1430" t="s">
        <v>144</v>
      </c>
      <c r="O46" s="1430"/>
      <c r="P46" s="1430"/>
      <c r="Q46" s="1431">
        <v>0</v>
      </c>
      <c r="R46" s="1431">
        <v>0</v>
      </c>
      <c r="S46" s="1429"/>
      <c r="T46" s="1431">
        <v>35</v>
      </c>
      <c r="U46" s="1431"/>
      <c r="V46" s="1431"/>
      <c r="W46" s="1431">
        <v>1.4</v>
      </c>
      <c r="X46" s="1431"/>
      <c r="Y46" s="1431"/>
      <c r="Z46" s="1431"/>
      <c r="AA46" s="1431"/>
      <c r="AB46" s="1431"/>
      <c r="AC46" s="1431" t="str">
        <f>IF(OR(AT46&gt;8,AT46&lt;-8),"PH",IF(OR(AT46&gt;5,AT46&lt;-5),"PH-Q",IF(OR(AT46&gt;1,AT46&lt;-1),"PH-C")))</f>
        <v>PH-Q</v>
      </c>
      <c r="AD46" s="1431"/>
      <c r="AE46" s="1431"/>
      <c r="AF46" s="1431">
        <v>5400</v>
      </c>
      <c r="AG46" s="1427"/>
      <c r="AH46" s="1431">
        <v>2263</v>
      </c>
      <c r="AI46" s="1431">
        <v>140</v>
      </c>
      <c r="AJ46" s="1431"/>
      <c r="AK46" s="1431"/>
      <c r="AL46" s="1431" t="s">
        <v>2142</v>
      </c>
      <c r="AM46" s="1431" t="s">
        <v>1042</v>
      </c>
      <c r="AN46" s="1432">
        <v>5.15</v>
      </c>
      <c r="AO46" s="1430"/>
      <c r="AP46" s="1430"/>
      <c r="AQ46" s="1429"/>
      <c r="AR46" s="1429"/>
      <c r="AS46" s="1429"/>
      <c r="AT46" s="1429">
        <f>+ab($T$46,$T$44,$T$48,$G$45,$G$47,-1*$F$46,1200)</f>
        <v>6.1160343221800826</v>
      </c>
      <c r="AU46" s="1431"/>
      <c r="AV46" s="1431"/>
      <c r="AW46" s="1431"/>
      <c r="AX46" s="1431"/>
      <c r="AY46" s="1429"/>
      <c r="AZ46" s="1429"/>
      <c r="BA46" s="1431"/>
      <c r="BB46" s="1430" t="str">
        <f>Pole_Calculations!A178</f>
        <v>App.8-V08F-P10.3</v>
      </c>
      <c r="BC46" s="1434"/>
      <c r="BD46" s="1435"/>
      <c r="BE46" s="1435"/>
      <c r="BF46" s="1435"/>
      <c r="BG46" s="1435"/>
    </row>
    <row r="47" spans="1:59" ht="15.75" customHeight="1">
      <c r="A47" s="1239"/>
      <c r="B47" s="435"/>
      <c r="C47" s="446"/>
      <c r="D47" s="173"/>
      <c r="E47" s="447"/>
      <c r="F47" s="447"/>
      <c r="G47" s="484">
        <v>41.4</v>
      </c>
      <c r="H47" s="1239"/>
      <c r="I47" s="1239"/>
      <c r="J47" s="171">
        <f>C46+7.5</f>
        <v>83542.709999999977</v>
      </c>
      <c r="K47" s="638" t="s">
        <v>2787</v>
      </c>
      <c r="L47" s="638"/>
      <c r="M47" s="638" t="s">
        <v>2402</v>
      </c>
      <c r="N47" s="1239"/>
      <c r="O47" s="1239"/>
      <c r="P47" s="1239"/>
      <c r="Q47" s="638"/>
      <c r="R47" s="638"/>
      <c r="S47" s="484"/>
      <c r="T47" s="638"/>
      <c r="U47" s="638"/>
      <c r="V47" s="638"/>
      <c r="W47" s="638"/>
      <c r="X47" s="638"/>
      <c r="Y47" s="638"/>
      <c r="Z47" s="638"/>
      <c r="AA47" s="638"/>
      <c r="AB47" s="638"/>
      <c r="AC47" s="638"/>
      <c r="AD47" s="638"/>
      <c r="AE47" s="638"/>
      <c r="AF47" s="638"/>
      <c r="AG47" s="446"/>
      <c r="AH47" s="638"/>
      <c r="AI47" s="638"/>
      <c r="AJ47" s="638"/>
      <c r="AK47" s="638"/>
      <c r="AL47" s="638"/>
      <c r="AM47" s="638"/>
      <c r="AN47" s="455"/>
      <c r="AO47" s="1239"/>
      <c r="AP47" s="1239"/>
      <c r="AQ47" s="484">
        <f>+FL_1($T$48,$T$46,$G$47,1200,9.28,-1*$F$48)</f>
        <v>0.34999999999999981</v>
      </c>
      <c r="AR47" s="484"/>
      <c r="AS47" s="484"/>
      <c r="AT47" s="484"/>
      <c r="AU47" s="638"/>
      <c r="AV47" s="638"/>
      <c r="AW47" s="638"/>
      <c r="AX47" s="638"/>
      <c r="AY47" s="484"/>
      <c r="AZ47" s="484"/>
      <c r="BA47" s="671"/>
      <c r="BB47" s="1239"/>
      <c r="BC47" s="169"/>
      <c r="BD47" s="1329"/>
      <c r="BE47" s="1330"/>
      <c r="BF47" s="1330"/>
      <c r="BG47" s="1330"/>
    </row>
    <row r="48" spans="1:59" s="1436" customFormat="1" ht="15.75" customHeight="1">
      <c r="A48" s="1425"/>
      <c r="B48" s="1476" t="s">
        <v>3828</v>
      </c>
      <c r="C48" s="1427">
        <f>+$C$46+$G$47-0.1</f>
        <v>83576.509999999966</v>
      </c>
      <c r="D48" s="1499"/>
      <c r="E48" s="1449"/>
      <c r="F48" s="1449">
        <f>-(481^2)/(C48-83542.42)</f>
        <v>-6786.7703138815259</v>
      </c>
      <c r="G48" s="1429"/>
      <c r="H48" s="1430"/>
      <c r="I48" s="1430"/>
      <c r="J48" s="1433"/>
      <c r="K48" s="1431"/>
      <c r="L48" s="1431" t="s">
        <v>4395</v>
      </c>
      <c r="M48" s="1431" t="s">
        <v>2402</v>
      </c>
      <c r="N48" s="1430" t="s">
        <v>143</v>
      </c>
      <c r="O48" s="1430"/>
      <c r="P48" s="1430"/>
      <c r="Q48" s="1431">
        <v>-30</v>
      </c>
      <c r="R48" s="1431">
        <v>-6784.2</v>
      </c>
      <c r="S48" s="1429"/>
      <c r="T48" s="1431">
        <v>-30</v>
      </c>
      <c r="U48" s="1431"/>
      <c r="V48" s="1431"/>
      <c r="W48" s="1431">
        <v>1.4</v>
      </c>
      <c r="X48" s="1431"/>
      <c r="Y48" s="1431"/>
      <c r="Z48" s="1431"/>
      <c r="AA48" s="1431"/>
      <c r="AB48" s="1431"/>
      <c r="AC48" s="1431" t="str">
        <f>IF(OR(AT48&gt;8,AT48&lt;-8),"PH",IF(OR(AT48&gt;5,AT48&lt;-5),"PH-Q",IF(OR(AT48&gt;1,AT48&lt;-1),"PH-C")))</f>
        <v>PH</v>
      </c>
      <c r="AD48" s="1431"/>
      <c r="AE48" s="1431"/>
      <c r="AF48" s="1431">
        <v>5400</v>
      </c>
      <c r="AG48" s="1427"/>
      <c r="AH48" s="1431">
        <v>2223</v>
      </c>
      <c r="AI48" s="1431">
        <v>210</v>
      </c>
      <c r="AJ48" s="1431"/>
      <c r="AK48" s="1431"/>
      <c r="AL48" s="1431" t="s">
        <v>2142</v>
      </c>
      <c r="AM48" s="1431" t="s">
        <v>1042</v>
      </c>
      <c r="AN48" s="1432">
        <v>5.15</v>
      </c>
      <c r="AO48" s="1430"/>
      <c r="AP48" s="1430"/>
      <c r="AQ48" s="1429"/>
      <c r="AR48" s="1429"/>
      <c r="AS48" s="1429"/>
      <c r="AT48" s="1429">
        <f>+ab($T$48,$T$46,$T$50,$G$47,$G$49,-1*$F$48,1200)</f>
        <v>-9.1022452673104954</v>
      </c>
      <c r="AU48" s="1431"/>
      <c r="AV48" s="1431"/>
      <c r="AW48" s="1431"/>
      <c r="AX48" s="1431"/>
      <c r="AY48" s="1429"/>
      <c r="AZ48" s="1429"/>
      <c r="BA48" s="1431"/>
      <c r="BB48" s="1425" t="str">
        <f>Pole_Calculations!A178</f>
        <v>App.8-V08F-P10.3</v>
      </c>
      <c r="BC48" s="1434"/>
      <c r="BD48" s="1435"/>
      <c r="BE48" s="1435"/>
      <c r="BF48" s="1435"/>
      <c r="BG48" s="1435"/>
    </row>
    <row r="49" spans="1:59" ht="15.75" customHeight="1">
      <c r="A49" s="449"/>
      <c r="B49" s="435"/>
      <c r="C49" s="446"/>
      <c r="D49" s="445"/>
      <c r="E49" s="445"/>
      <c r="F49" s="445"/>
      <c r="G49" s="484">
        <v>50.2</v>
      </c>
      <c r="H49" s="445"/>
      <c r="I49" s="1239"/>
      <c r="J49" s="171"/>
      <c r="K49" s="1239"/>
      <c r="L49" s="445"/>
      <c r="M49" s="445"/>
      <c r="N49" s="445"/>
      <c r="O49" s="445"/>
      <c r="P49" s="445"/>
      <c r="Q49" s="638"/>
      <c r="R49" s="638"/>
      <c r="S49" s="484"/>
      <c r="T49" s="638"/>
      <c r="U49" s="638"/>
      <c r="V49" s="638"/>
      <c r="W49" s="638"/>
      <c r="X49" s="638"/>
      <c r="Y49" s="638"/>
      <c r="Z49" s="638"/>
      <c r="AA49" s="638"/>
      <c r="AB49" s="638"/>
      <c r="AC49" s="638"/>
      <c r="AD49" s="638"/>
      <c r="AE49" s="638"/>
      <c r="AF49" s="638"/>
      <c r="AG49" s="446"/>
      <c r="AH49" s="638"/>
      <c r="AI49" s="185"/>
      <c r="AJ49" s="445"/>
      <c r="AK49" s="445"/>
      <c r="AL49" s="445"/>
      <c r="AM49" s="445"/>
      <c r="AN49" s="484"/>
      <c r="AO49" s="445"/>
      <c r="AP49" s="445"/>
      <c r="AQ49" s="484">
        <f>+FL_2($T$50,$T$48,$G$49,1200,9.28,-1*$F$50)</f>
        <v>-0.4211536286666791</v>
      </c>
      <c r="AR49" s="484"/>
      <c r="AS49" s="484"/>
      <c r="AT49" s="484"/>
      <c r="AU49" s="638"/>
      <c r="AV49" s="638"/>
      <c r="AW49" s="638"/>
      <c r="AX49" s="638"/>
      <c r="AY49" s="484"/>
      <c r="AZ49" s="484"/>
      <c r="BA49" s="1304"/>
      <c r="BB49" s="449"/>
      <c r="BC49" s="169"/>
      <c r="BD49" s="1330"/>
      <c r="BE49" s="1330"/>
      <c r="BF49" s="1330"/>
      <c r="BG49" s="1330"/>
    </row>
    <row r="50" spans="1:59" s="1436" customFormat="1" ht="15.75" customHeight="1">
      <c r="A50" s="1425"/>
      <c r="B50" s="1476" t="s">
        <v>3829</v>
      </c>
      <c r="C50" s="1427">
        <f>+$C$48+$G$49</f>
        <v>83626.709999999963</v>
      </c>
      <c r="D50" s="1499"/>
      <c r="E50" s="1449"/>
      <c r="F50" s="1449">
        <f>-(481^2)/(C50-83542.42)</f>
        <v>-2744.8214497579484</v>
      </c>
      <c r="G50" s="1429"/>
      <c r="H50" s="1430"/>
      <c r="I50" s="1430"/>
      <c r="J50" s="1433"/>
      <c r="K50" s="1431"/>
      <c r="L50" s="1431" t="s">
        <v>4488</v>
      </c>
      <c r="M50" s="1431" t="str">
        <f>IF(AX50="PT",VLOOKUP(L50,'Foundation Calculation'!$V$2:$X$40,VLOOKUP(AX50,'Foundation Calculation'!$I$10:$J$13,2,FALSE),0),IF(AX50="K",VLOOKUP(L50,'Foundation Calculation'!$V$42:$X$80,VLOOKUP(AX50,'Foundation Calculation'!$I$10:$J$13,2,FALSE),0),""))</f>
        <v>C11R</v>
      </c>
      <c r="N50" s="1430" t="s">
        <v>144</v>
      </c>
      <c r="O50" s="1430"/>
      <c r="P50" s="1430"/>
      <c r="Q50" s="1431">
        <v>-60</v>
      </c>
      <c r="R50" s="1431">
        <v>-2674.8629999999998</v>
      </c>
      <c r="S50" s="1429"/>
      <c r="T50" s="1431">
        <v>30</v>
      </c>
      <c r="U50" s="1431"/>
      <c r="V50" s="1431"/>
      <c r="W50" s="1431">
        <v>1.4</v>
      </c>
      <c r="X50" s="1431"/>
      <c r="Y50" s="1431"/>
      <c r="Z50" s="1431"/>
      <c r="AA50" s="1431"/>
      <c r="AB50" s="1431"/>
      <c r="AC50" s="1431" t="str">
        <f>IF(OR(AT50&gt;8,AT50&lt;-8),"PH",IF(OR(AT50&gt;5,AT50&lt;-5),"PH-Q",IF(OR(AT50&gt;1,AT50&lt;-1),"PH-C")))</f>
        <v>PH-Q</v>
      </c>
      <c r="AD50" s="1431"/>
      <c r="AE50" s="1431"/>
      <c r="AF50" s="1431">
        <v>6000</v>
      </c>
      <c r="AG50" s="1427"/>
      <c r="AH50" s="1431">
        <v>2123</v>
      </c>
      <c r="AI50" s="1431">
        <v>520</v>
      </c>
      <c r="AJ50" s="1431"/>
      <c r="AK50" s="1431"/>
      <c r="AL50" s="1431" t="s">
        <v>4490</v>
      </c>
      <c r="AM50" s="1431"/>
      <c r="AN50" s="1432">
        <v>5.15</v>
      </c>
      <c r="AO50" s="1430"/>
      <c r="AP50" s="1430"/>
      <c r="AQ50" s="1429"/>
      <c r="AR50" s="1429"/>
      <c r="AS50" s="1429"/>
      <c r="AT50" s="1429">
        <f>+ab($T$50,$T$48,$T$52,$G$49,$G$51,-1*$F$50,1200)</f>
        <v>6.3234347671720759</v>
      </c>
      <c r="AU50" s="1431"/>
      <c r="AV50" s="1431"/>
      <c r="AW50" s="1431" t="str">
        <f>VLOOKUP(C50,'Foundation Calculation'!$A$2:$C$33,3,1)</f>
        <v>Soil A</v>
      </c>
      <c r="AX50" s="1431" t="str">
        <f>VLOOKUP(C50,'Foundation Calculation'!$E$2:$G$33,3,1)</f>
        <v>PT</v>
      </c>
      <c r="AY50" s="1429">
        <f>IF(AX50="PT",VLOOKUP(L50,'Foundation Calculation'!$K$2:$R$40,VLOOKUP(AW50,'Foundation Calculation'!$I$2:$J$8,2,FALSE),0),IF(AX50="K",VLOOKUP(L50,'Foundation Calculation'!$K$42:$R$80,VLOOKUP(AW50,'Foundation Calculation'!$I$2:$J$8,2,FALSE),0),""))</f>
        <v>4.5999999999999996</v>
      </c>
      <c r="AZ50" s="1429"/>
      <c r="BA50" s="1546" t="s">
        <v>2809</v>
      </c>
      <c r="BB50" s="1425" t="str">
        <f>Pole_Calculations!A178</f>
        <v>App.8-V08F-P10.3</v>
      </c>
      <c r="BC50" s="1434"/>
      <c r="BD50" s="1435"/>
      <c r="BE50" s="1435"/>
      <c r="BF50" s="1435"/>
      <c r="BG50" s="1435"/>
    </row>
    <row r="51" spans="1:59" ht="15.75" customHeight="1">
      <c r="A51" s="647" t="s">
        <v>3049</v>
      </c>
      <c r="B51" s="657"/>
      <c r="C51" s="649"/>
      <c r="D51" s="657"/>
      <c r="E51" s="657"/>
      <c r="F51" s="657"/>
      <c r="G51" s="654">
        <v>50.1</v>
      </c>
      <c r="H51" s="657"/>
      <c r="I51" s="651"/>
      <c r="J51" s="649"/>
      <c r="K51" s="657"/>
      <c r="L51" s="657"/>
      <c r="M51" s="657"/>
      <c r="N51" s="657"/>
      <c r="O51" s="657"/>
      <c r="P51" s="657"/>
      <c r="Q51" s="653"/>
      <c r="R51" s="653"/>
      <c r="S51" s="654"/>
      <c r="T51" s="653"/>
      <c r="U51" s="653"/>
      <c r="V51" s="653"/>
      <c r="W51" s="653"/>
      <c r="X51" s="653"/>
      <c r="Y51" s="653"/>
      <c r="Z51" s="653"/>
      <c r="AA51" s="653"/>
      <c r="AB51" s="653"/>
      <c r="AC51" s="653"/>
      <c r="AD51" s="653"/>
      <c r="AE51" s="653"/>
      <c r="AF51" s="653"/>
      <c r="AG51" s="649"/>
      <c r="AH51" s="653"/>
      <c r="AI51" s="704"/>
      <c r="AJ51" s="657"/>
      <c r="AK51" s="657"/>
      <c r="AL51" s="657"/>
      <c r="AM51" s="657"/>
      <c r="AN51" s="651"/>
      <c r="AO51" s="657"/>
      <c r="AP51" s="657"/>
      <c r="AQ51" s="654">
        <f>+FL_1($T$52,$T$50,$G$51,1200,9.28,-1*$F$52)</f>
        <v>0.39322362772653863</v>
      </c>
      <c r="AR51" s="654"/>
      <c r="AS51" s="654"/>
      <c r="AT51" s="654"/>
      <c r="AU51" s="653"/>
      <c r="AV51" s="653"/>
      <c r="AW51" s="653"/>
      <c r="AX51" s="653"/>
      <c r="AY51" s="654"/>
      <c r="AZ51" s="654"/>
      <c r="BA51" s="701"/>
      <c r="BB51" s="647"/>
      <c r="BC51" s="169"/>
      <c r="BD51" s="1330"/>
      <c r="BE51" s="1330"/>
      <c r="BF51" s="1330"/>
      <c r="BG51" s="1330"/>
    </row>
    <row r="52" spans="1:59" s="1436" customFormat="1" ht="15.75" customHeight="1">
      <c r="A52" s="1430"/>
      <c r="B52" s="1476" t="s">
        <v>3830</v>
      </c>
      <c r="C52" s="1427">
        <f>+$C$50+$G$51</f>
        <v>83676.809999999969</v>
      </c>
      <c r="D52" s="1449"/>
      <c r="E52" s="1449"/>
      <c r="F52" s="1430">
        <v>-2100</v>
      </c>
      <c r="G52" s="1429"/>
      <c r="H52" s="1430"/>
      <c r="I52" s="1497"/>
      <c r="J52" s="1427"/>
      <c r="K52" s="1431"/>
      <c r="L52" s="1431" t="s">
        <v>4488</v>
      </c>
      <c r="M52" s="1431" t="str">
        <f>IF(AX52="PT",VLOOKUP(L52,'Foundation Calculation'!$V$2:$X$40,VLOOKUP(AX52,'Foundation Calculation'!$I$10:$J$13,2,FALSE),0),IF(AX52="K",VLOOKUP(L52,'Foundation Calculation'!$V$42:$X$80,VLOOKUP(AX52,'Foundation Calculation'!$I$10:$J$13,2,FALSE),0),""))</f>
        <v>C11R</v>
      </c>
      <c r="N52" s="1430" t="s">
        <v>144</v>
      </c>
      <c r="O52" s="1430"/>
      <c r="P52" s="1431"/>
      <c r="Q52" s="1431">
        <v>-60</v>
      </c>
      <c r="R52" s="1431">
        <v>-2100</v>
      </c>
      <c r="S52" s="1429"/>
      <c r="T52" s="1431">
        <v>30</v>
      </c>
      <c r="U52" s="1431"/>
      <c r="V52" s="1431"/>
      <c r="W52" s="1431">
        <v>1.4</v>
      </c>
      <c r="X52" s="1431"/>
      <c r="Y52" s="1431"/>
      <c r="Z52" s="1431"/>
      <c r="AA52" s="1431"/>
      <c r="AB52" s="1431"/>
      <c r="AC52" s="1431" t="str">
        <f>IF(OR(AT52&gt;8,AT52&lt;-8),"PH",IF(OR(AT52&gt;5,AT52&lt;-5),"PH-Q",IF(OR(AT52&gt;1,AT52&lt;-1),"PH-C")))</f>
        <v>PH-Q</v>
      </c>
      <c r="AD52" s="1431"/>
      <c r="AE52" s="1431"/>
      <c r="AF52" s="1431">
        <v>6000</v>
      </c>
      <c r="AG52" s="1427"/>
      <c r="AH52" s="1431">
        <v>2483</v>
      </c>
      <c r="AI52" s="1477">
        <v>530</v>
      </c>
      <c r="AJ52" s="1431"/>
      <c r="AK52" s="1430"/>
      <c r="AL52" s="1431" t="s">
        <v>4490</v>
      </c>
      <c r="AM52" s="1426"/>
      <c r="AN52" s="1432">
        <v>5.15</v>
      </c>
      <c r="AO52" s="1430"/>
      <c r="AP52" s="1430"/>
      <c r="AQ52" s="1429"/>
      <c r="AR52" s="1429"/>
      <c r="AS52" s="1429"/>
      <c r="AT52" s="1429">
        <f>+ab($T$52,$T$50,$T$54,$G$51,$G$53,-1*$F$52,1200)</f>
        <v>7.6231014496651195</v>
      </c>
      <c r="AU52" s="1478"/>
      <c r="AV52" s="1478"/>
      <c r="AW52" s="1431" t="str">
        <f>VLOOKUP(C52,'Foundation Calculation'!$A$2:$C$33,3,1)</f>
        <v>Soil A</v>
      </c>
      <c r="AX52" s="1431" t="str">
        <f>VLOOKUP(C52,'Foundation Calculation'!$E$2:$G$33,3,1)</f>
        <v>PT</v>
      </c>
      <c r="AY52" s="1429">
        <f>IF(AX52="PT",VLOOKUP(L52,'Foundation Calculation'!$K$2:$R$40,VLOOKUP(AW52,'Foundation Calculation'!$I$2:$J$8,2,FALSE),0),IF(AX52="K",VLOOKUP(L52,'Foundation Calculation'!$K$42:$R$80,VLOOKUP(AW52,'Foundation Calculation'!$I$2:$J$8,2,FALSE),0),""))</f>
        <v>4.5999999999999996</v>
      </c>
      <c r="AZ52" s="1429"/>
      <c r="BA52" s="1546" t="s">
        <v>2809</v>
      </c>
      <c r="BB52" s="1430" t="str">
        <f>Pole_Calculations!A178</f>
        <v>App.8-V08F-P10.3</v>
      </c>
      <c r="BC52" s="1434"/>
      <c r="BD52" s="1435"/>
      <c r="BE52" s="1435"/>
      <c r="BF52" s="1435"/>
      <c r="BG52" s="1435"/>
    </row>
    <row r="53" spans="1:59" ht="15.75" customHeight="1">
      <c r="A53" s="1239"/>
      <c r="B53" s="173"/>
      <c r="C53" s="446"/>
      <c r="D53" s="447"/>
      <c r="E53" s="447"/>
      <c r="F53" s="1239"/>
      <c r="G53" s="484">
        <v>55</v>
      </c>
      <c r="H53" s="1239"/>
      <c r="I53" s="448"/>
      <c r="J53" s="446"/>
      <c r="K53" s="638"/>
      <c r="L53" s="638"/>
      <c r="M53" s="638"/>
      <c r="N53" s="1239"/>
      <c r="O53" s="1239"/>
      <c r="P53" s="638"/>
      <c r="Q53" s="638"/>
      <c r="R53" s="638"/>
      <c r="S53" s="484"/>
      <c r="T53" s="638"/>
      <c r="U53" s="638"/>
      <c r="V53" s="638"/>
      <c r="W53" s="638"/>
      <c r="X53" s="638"/>
      <c r="Y53" s="638"/>
      <c r="Z53" s="638"/>
      <c r="AA53" s="638"/>
      <c r="AB53" s="638"/>
      <c r="AC53" s="638"/>
      <c r="AD53" s="638"/>
      <c r="AE53" s="638"/>
      <c r="AF53" s="638"/>
      <c r="AG53" s="446"/>
      <c r="AH53" s="638"/>
      <c r="AI53" s="185"/>
      <c r="AJ53" s="638"/>
      <c r="AK53" s="1239"/>
      <c r="AL53" s="638"/>
      <c r="AM53" s="638"/>
      <c r="AN53" s="455"/>
      <c r="AO53" s="1239"/>
      <c r="AP53" s="1239"/>
      <c r="AQ53" s="484">
        <f>+FL_1($T$54,$T$52,$G$53,1200,9.28,-1*$F$54)</f>
        <v>0.41234942280679987</v>
      </c>
      <c r="AR53" s="484"/>
      <c r="AS53" s="484"/>
      <c r="AT53" s="484"/>
      <c r="AU53" s="638"/>
      <c r="AV53" s="638"/>
      <c r="AW53" s="638"/>
      <c r="AX53" s="638"/>
      <c r="AY53" s="484"/>
      <c r="AZ53" s="484"/>
      <c r="BA53" s="671"/>
      <c r="BB53" s="1239"/>
      <c r="BC53" s="169"/>
      <c r="BD53" s="1330"/>
      <c r="BE53" s="1330"/>
      <c r="BF53" s="1330"/>
      <c r="BG53" s="1330"/>
    </row>
    <row r="54" spans="1:59" ht="15.75" customHeight="1">
      <c r="A54" s="1239"/>
      <c r="B54" s="435" t="s">
        <v>3831</v>
      </c>
      <c r="C54" s="446">
        <f>+$C$52+$G$53</f>
        <v>83731.809999999969</v>
      </c>
      <c r="D54" s="447"/>
      <c r="E54" s="447"/>
      <c r="F54" s="1239">
        <v>-2100</v>
      </c>
      <c r="G54" s="484"/>
      <c r="H54" s="1239"/>
      <c r="I54" s="445"/>
      <c r="J54" s="446"/>
      <c r="K54" s="638"/>
      <c r="L54" s="638" t="s">
        <v>4488</v>
      </c>
      <c r="M54" s="638" t="str">
        <f>IF(AX54="PT",VLOOKUP(L54,'Foundation Calculation'!$V$2:$X$40,VLOOKUP(AX54,'Foundation Calculation'!$I$10:$J$13,2,FALSE),0),IF(AX54="K",VLOOKUP(L54,'Foundation Calculation'!$V$42:$X$80,VLOOKUP(AX54,'Foundation Calculation'!$I$10:$J$13,2,FALSE),0),""))</f>
        <v>C11R</v>
      </c>
      <c r="N54" s="1239" t="s">
        <v>144</v>
      </c>
      <c r="O54" s="1239"/>
      <c r="P54" s="638"/>
      <c r="Q54" s="638"/>
      <c r="R54" s="638"/>
      <c r="S54" s="484"/>
      <c r="T54" s="638">
        <v>30</v>
      </c>
      <c r="U54" s="638"/>
      <c r="V54" s="638"/>
      <c r="W54" s="638">
        <v>1.4</v>
      </c>
      <c r="X54" s="638"/>
      <c r="Y54" s="638"/>
      <c r="Z54" s="638"/>
      <c r="AA54" s="638"/>
      <c r="AB54" s="638"/>
      <c r="AC54" s="638" t="str">
        <f>IF(OR(AT54&gt;8,AT54&lt;-8),"PH",IF(OR(AT54&gt;5,AT54&lt;-5),"PH-Q",IF(OR(AT54&gt;1,AT54&lt;-1),"PH-C")))</f>
        <v>PH-Q</v>
      </c>
      <c r="AD54" s="638"/>
      <c r="AE54" s="638"/>
      <c r="AF54" s="638"/>
      <c r="AG54" s="446"/>
      <c r="AH54" s="638"/>
      <c r="AI54" s="185"/>
      <c r="AJ54" s="638"/>
      <c r="AK54" s="1239"/>
      <c r="AL54" s="638" t="s">
        <v>4490</v>
      </c>
      <c r="AM54" s="445" t="s">
        <v>1042</v>
      </c>
      <c r="AN54" s="455">
        <v>5.15</v>
      </c>
      <c r="AO54" s="1239"/>
      <c r="AP54" s="1239"/>
      <c r="AQ54" s="484"/>
      <c r="AR54" s="484"/>
      <c r="AS54" s="484"/>
      <c r="AT54" s="484">
        <f>+ab($T$54,$T$52,$T$56,$G$53,$G$55,-1*$F$54,1200)</f>
        <v>7.6302760504335234</v>
      </c>
      <c r="AU54" s="638"/>
      <c r="AV54" s="638"/>
      <c r="AW54" s="638" t="str">
        <f>VLOOKUP(C54,'Foundation Calculation'!$A$2:$C$33,3,1)</f>
        <v>Soil A</v>
      </c>
      <c r="AX54" s="638" t="str">
        <f>VLOOKUP(C54,'Foundation Calculation'!$E$2:$G$33,3,1)</f>
        <v>PT</v>
      </c>
      <c r="AY54" s="484">
        <f>IF(AX54="PT",VLOOKUP(L54,'Foundation Calculation'!$K$2:$R$40,VLOOKUP(AW54,'Foundation Calculation'!$I$2:$J$8,2,FALSE),0),IF(AX54="K",VLOOKUP(L54,'Foundation Calculation'!$K$42:$R$80,VLOOKUP(AW54,'Foundation Calculation'!$I$2:$J$8,2,FALSE),0),""))</f>
        <v>4.5999999999999996</v>
      </c>
      <c r="AZ54" s="484"/>
      <c r="BA54" s="671" t="s">
        <v>2809</v>
      </c>
      <c r="BB54" s="1239" t="str">
        <f>Pole_Calculations!A178</f>
        <v>App.8-V08F-P10.3</v>
      </c>
      <c r="BC54" s="169"/>
      <c r="BD54" s="1329"/>
      <c r="BE54" s="1329"/>
      <c r="BF54" s="1329"/>
      <c r="BG54" s="1329"/>
    </row>
    <row r="55" spans="1:59" ht="15.75" customHeight="1">
      <c r="A55" s="1239"/>
      <c r="B55" s="173"/>
      <c r="C55" s="446"/>
      <c r="D55" s="447"/>
      <c r="E55" s="447"/>
      <c r="F55" s="1239"/>
      <c r="G55" s="484">
        <v>50</v>
      </c>
      <c r="H55" s="1239"/>
      <c r="I55" s="455"/>
      <c r="J55" s="446"/>
      <c r="K55" s="638"/>
      <c r="L55" s="638"/>
      <c r="M55" s="638"/>
      <c r="N55" s="1239"/>
      <c r="O55" s="1239"/>
      <c r="P55" s="638"/>
      <c r="Q55" s="638"/>
      <c r="R55" s="638"/>
      <c r="S55" s="484"/>
      <c r="T55" s="638"/>
      <c r="U55" s="638"/>
      <c r="V55" s="638"/>
      <c r="W55" s="638"/>
      <c r="X55" s="638"/>
      <c r="Y55" s="638"/>
      <c r="Z55" s="638"/>
      <c r="AA55" s="638"/>
      <c r="AB55" s="638"/>
      <c r="AC55" s="638"/>
      <c r="AD55" s="638"/>
      <c r="AE55" s="638"/>
      <c r="AF55" s="638"/>
      <c r="AG55" s="446"/>
      <c r="AH55" s="638"/>
      <c r="AI55" s="185"/>
      <c r="AJ55" s="638"/>
      <c r="AK55" s="1239"/>
      <c r="AL55" s="638"/>
      <c r="AM55" s="638"/>
      <c r="AN55" s="455"/>
      <c r="AO55" s="1239"/>
      <c r="AP55" s="1239"/>
      <c r="AQ55" s="484">
        <f>+FL_1($T$56,$T$54,$G$55,1200,9.28,-1*$F$56)</f>
        <v>0.39285187003739941</v>
      </c>
      <c r="AR55" s="484"/>
      <c r="AS55" s="484"/>
      <c r="AT55" s="484"/>
      <c r="AU55" s="638"/>
      <c r="AV55" s="638"/>
      <c r="AW55" s="484"/>
      <c r="AX55" s="484"/>
      <c r="AY55" s="484"/>
      <c r="AZ55" s="484"/>
      <c r="BA55" s="671"/>
      <c r="BB55" s="1239"/>
      <c r="BC55" s="169"/>
      <c r="BD55" s="1330"/>
      <c r="BE55" s="1330"/>
      <c r="BF55" s="1330"/>
      <c r="BG55" s="1330"/>
    </row>
    <row r="56" spans="1:59" ht="15.75" customHeight="1">
      <c r="A56" s="1239"/>
      <c r="B56" s="485" t="s">
        <v>3832</v>
      </c>
      <c r="C56" s="446">
        <f>+$C$54+$G$55</f>
        <v>83781.809999999969</v>
      </c>
      <c r="D56" s="445"/>
      <c r="E56" s="445"/>
      <c r="F56" s="1239">
        <v>-2100</v>
      </c>
      <c r="G56" s="484"/>
      <c r="H56" s="445"/>
      <c r="I56" s="1239"/>
      <c r="J56" s="446"/>
      <c r="K56" s="638"/>
      <c r="L56" s="638"/>
      <c r="M56" s="638"/>
      <c r="N56" s="1239" t="s">
        <v>844</v>
      </c>
      <c r="O56" s="1239"/>
      <c r="P56" s="638"/>
      <c r="Q56" s="638"/>
      <c r="R56" s="638"/>
      <c r="S56" s="484"/>
      <c r="T56" s="638">
        <v>30</v>
      </c>
      <c r="U56" s="638"/>
      <c r="V56" s="638"/>
      <c r="W56" s="638">
        <v>1.2</v>
      </c>
      <c r="X56" s="638"/>
      <c r="Y56" s="638"/>
      <c r="Z56" s="638"/>
      <c r="AA56" s="638"/>
      <c r="AB56" s="638"/>
      <c r="AC56" s="638" t="str">
        <f>IF(OR(AT56&gt;8,AT56&lt;-8),"PH",IF(OR(AT56&gt;5,AT56&lt;-5),"PH-Q",IF(OR(AT56&gt;1,AT56&lt;-1),"PH-C")))</f>
        <v>PH-Q</v>
      </c>
      <c r="AD56" s="638"/>
      <c r="AE56" s="638"/>
      <c r="AF56" s="638"/>
      <c r="AG56" s="446"/>
      <c r="AH56" s="638"/>
      <c r="AI56" s="185"/>
      <c r="AJ56" s="445"/>
      <c r="AK56" s="445" t="s">
        <v>139</v>
      </c>
      <c r="AL56" s="445"/>
      <c r="AM56" s="445"/>
      <c r="AN56" s="455">
        <v>5.15</v>
      </c>
      <c r="AO56" s="1239"/>
      <c r="AP56" s="1239"/>
      <c r="AQ56" s="484"/>
      <c r="AR56" s="484"/>
      <c r="AS56" s="484"/>
      <c r="AT56" s="484">
        <f>+ab($T$56,$T$54,$T$58,$G$55,$G$57,-1*$F$56,1200)</f>
        <v>7.3377214261373434</v>
      </c>
      <c r="AU56" s="638"/>
      <c r="AV56" s="638"/>
      <c r="AW56" s="638"/>
      <c r="AX56" s="638"/>
      <c r="AY56" s="484"/>
      <c r="AZ56" s="484"/>
      <c r="BA56" s="671"/>
      <c r="BB56" s="1239"/>
      <c r="BC56" s="169"/>
      <c r="BD56" s="1330"/>
      <c r="BE56" s="1330"/>
      <c r="BF56" s="1330"/>
      <c r="BG56" s="1329"/>
    </row>
    <row r="57" spans="1:59" ht="15.75" customHeight="1">
      <c r="A57" s="694" t="s">
        <v>3717</v>
      </c>
      <c r="B57" s="731"/>
      <c r="C57" s="718"/>
      <c r="D57" s="731"/>
      <c r="E57" s="731"/>
      <c r="F57" s="731"/>
      <c r="G57" s="720">
        <v>51</v>
      </c>
      <c r="H57" s="731"/>
      <c r="I57" s="694"/>
      <c r="J57" s="732"/>
      <c r="K57" s="694"/>
      <c r="L57" s="731"/>
      <c r="M57" s="731"/>
      <c r="N57" s="731"/>
      <c r="O57" s="731"/>
      <c r="P57" s="731"/>
      <c r="Q57" s="721"/>
      <c r="R57" s="721"/>
      <c r="S57" s="720"/>
      <c r="T57" s="721"/>
      <c r="U57" s="721"/>
      <c r="V57" s="721"/>
      <c r="W57" s="721"/>
      <c r="X57" s="721"/>
      <c r="Y57" s="721"/>
      <c r="Z57" s="721"/>
      <c r="AA57" s="721"/>
      <c r="AB57" s="721"/>
      <c r="AC57" s="721"/>
      <c r="AD57" s="721"/>
      <c r="AE57" s="721"/>
      <c r="AF57" s="721"/>
      <c r="AG57" s="718"/>
      <c r="AH57" s="721"/>
      <c r="AI57" s="723"/>
      <c r="AJ57" s="731"/>
      <c r="AK57" s="731"/>
      <c r="AL57" s="731"/>
      <c r="AM57" s="731"/>
      <c r="AN57" s="724"/>
      <c r="AO57" s="731"/>
      <c r="AP57" s="731"/>
      <c r="AQ57" s="720">
        <f>+FL_1($T$58,$T$56,$G$57,1200,9.28,-1*$F$58)</f>
        <v>0.41586925112291862</v>
      </c>
      <c r="AR57" s="720"/>
      <c r="AS57" s="720"/>
      <c r="AT57" s="720"/>
      <c r="AU57" s="721"/>
      <c r="AV57" s="721"/>
      <c r="AW57" s="721"/>
      <c r="AX57" s="721"/>
      <c r="AY57" s="720"/>
      <c r="AZ57" s="720"/>
      <c r="BA57" s="1317"/>
      <c r="BB57" s="694"/>
      <c r="BC57" s="169"/>
      <c r="BD57" s="1330"/>
      <c r="BE57" s="1330"/>
      <c r="BF57" s="1330"/>
      <c r="BG57" s="1330"/>
    </row>
    <row r="58" spans="1:59" ht="15.75" customHeight="1">
      <c r="A58" s="420"/>
      <c r="B58" s="437" t="s">
        <v>3833</v>
      </c>
      <c r="C58" s="416">
        <f>+$C$56+$G$57</f>
        <v>83832.809999999969</v>
      </c>
      <c r="D58" s="415"/>
      <c r="E58" s="415"/>
      <c r="F58" s="421">
        <f>(481^2)/(C58-83896.44)</f>
        <v>-3636.0364607870069</v>
      </c>
      <c r="G58" s="422"/>
      <c r="H58" s="415"/>
      <c r="I58" s="415"/>
      <c r="J58" s="416"/>
      <c r="K58" s="417"/>
      <c r="L58" s="417"/>
      <c r="M58" s="417"/>
      <c r="N58" s="420" t="s">
        <v>844</v>
      </c>
      <c r="O58" s="420"/>
      <c r="P58" s="415"/>
      <c r="Q58" s="417"/>
      <c r="R58" s="417"/>
      <c r="S58" s="422"/>
      <c r="T58" s="417">
        <v>20</v>
      </c>
      <c r="U58" s="417"/>
      <c r="V58" s="417"/>
      <c r="W58" s="417">
        <v>0.9</v>
      </c>
      <c r="X58" s="417"/>
      <c r="Y58" s="417"/>
      <c r="Z58" s="417"/>
      <c r="AA58" s="417"/>
      <c r="AB58" s="417"/>
      <c r="AC58" s="417" t="str">
        <f>IF(OR(AT58&gt;8,AT58&lt;-8),"PH",IF(OR(AT58&gt;5,AT58&lt;-5),"PH-Q",IF(OR(AT58&gt;1,AT58&lt;-1),"PH-C")))</f>
        <v>PH</v>
      </c>
      <c r="AD58" s="417"/>
      <c r="AE58" s="417"/>
      <c r="AF58" s="417"/>
      <c r="AG58" s="416"/>
      <c r="AH58" s="417"/>
      <c r="AI58" s="607"/>
      <c r="AJ58" s="415"/>
      <c r="AK58" s="415" t="s">
        <v>139</v>
      </c>
      <c r="AL58" s="415"/>
      <c r="AM58" s="415"/>
      <c r="AN58" s="444">
        <v>5.15</v>
      </c>
      <c r="AO58" s="420"/>
      <c r="AP58" s="420"/>
      <c r="AQ58" s="422"/>
      <c r="AR58" s="422"/>
      <c r="AS58" s="422"/>
      <c r="AT58" s="422">
        <f>+ab($T$58,$T$56,$T$60,$G$57,$G$59,-1*$F$58,1200)</f>
        <v>9.5495068176158906</v>
      </c>
      <c r="AU58" s="417"/>
      <c r="AV58" s="417"/>
      <c r="AW58" s="417"/>
      <c r="AX58" s="417"/>
      <c r="AY58" s="422"/>
      <c r="AZ58" s="422"/>
      <c r="BA58" s="604"/>
      <c r="BB58" s="420"/>
      <c r="BC58" s="169"/>
      <c r="BD58" s="1330"/>
      <c r="BE58" s="1330"/>
      <c r="BF58" s="1330"/>
      <c r="BG58" s="1329"/>
    </row>
    <row r="59" spans="1:59" ht="15.75" customHeight="1">
      <c r="A59" s="495" t="s">
        <v>3718</v>
      </c>
      <c r="B59" s="494"/>
      <c r="C59" s="489"/>
      <c r="D59" s="494"/>
      <c r="E59" s="494"/>
      <c r="F59" s="494"/>
      <c r="G59" s="493">
        <v>57</v>
      </c>
      <c r="H59" s="494"/>
      <c r="I59" s="457"/>
      <c r="J59" s="489"/>
      <c r="K59" s="494"/>
      <c r="L59" s="494"/>
      <c r="M59" s="494"/>
      <c r="N59" s="494"/>
      <c r="O59" s="494"/>
      <c r="P59" s="494"/>
      <c r="Q59" s="490"/>
      <c r="R59" s="490"/>
      <c r="S59" s="493"/>
      <c r="T59" s="490"/>
      <c r="U59" s="490"/>
      <c r="V59" s="490"/>
      <c r="W59" s="490"/>
      <c r="X59" s="490"/>
      <c r="Y59" s="490"/>
      <c r="Z59" s="490"/>
      <c r="AA59" s="490"/>
      <c r="AB59" s="490"/>
      <c r="AC59" s="490"/>
      <c r="AD59" s="490"/>
      <c r="AE59" s="490"/>
      <c r="AF59" s="490"/>
      <c r="AG59" s="489"/>
      <c r="AH59" s="490"/>
      <c r="AI59" s="640"/>
      <c r="AJ59" s="494"/>
      <c r="AK59" s="494"/>
      <c r="AL59" s="494"/>
      <c r="AM59" s="494"/>
      <c r="AN59" s="457"/>
      <c r="AO59" s="494"/>
      <c r="AP59" s="494"/>
      <c r="AQ59" s="493">
        <f>+FL_2($T$60,$T$58,$G$59,1200,9.28,-1*$F$60)</f>
        <v>-0.356410463689801</v>
      </c>
      <c r="AR59" s="493"/>
      <c r="AS59" s="493"/>
      <c r="AT59" s="493"/>
      <c r="AU59" s="490"/>
      <c r="AV59" s="490"/>
      <c r="AW59" s="490"/>
      <c r="AX59" s="490"/>
      <c r="AY59" s="493"/>
      <c r="AZ59" s="493"/>
      <c r="BA59" s="602"/>
      <c r="BB59" s="495"/>
      <c r="BC59" s="169"/>
      <c r="BD59" s="1330"/>
      <c r="BE59" s="1330"/>
      <c r="BF59" s="1330"/>
      <c r="BG59" s="1330"/>
    </row>
    <row r="60" spans="1:59" ht="15.75" customHeight="1">
      <c r="A60" s="420"/>
      <c r="B60" s="439" t="s">
        <v>3834</v>
      </c>
      <c r="C60" s="416">
        <f>+$C$58+$G$59</f>
        <v>83889.809999999969</v>
      </c>
      <c r="D60" s="418"/>
      <c r="E60" s="418"/>
      <c r="F60" s="421">
        <f>(481^2)/(C60-83896.44)</f>
        <v>-34896.078431194859</v>
      </c>
      <c r="G60" s="444"/>
      <c r="H60" s="420"/>
      <c r="I60" s="433"/>
      <c r="J60" s="416"/>
      <c r="K60" s="417"/>
      <c r="L60" s="417" t="s">
        <v>230</v>
      </c>
      <c r="M60" s="417" t="str">
        <f>IF(AX60="PT",VLOOKUP(L60,'Foundation Calculation'!$V$2:$X$40,VLOOKUP(AX60,'Foundation Calculation'!$I$10:$J$13,2,FALSE),0),IF(AX60="K",VLOOKUP(L60,'Foundation Calculation'!$V$42:$X$80,VLOOKUP(AX60,'Foundation Calculation'!$I$10:$J$13,2,FALSE),0),""))</f>
        <v>C4R</v>
      </c>
      <c r="N60" s="420" t="s">
        <v>143</v>
      </c>
      <c r="O60" s="420"/>
      <c r="P60" s="415"/>
      <c r="Q60" s="417"/>
      <c r="R60" s="417"/>
      <c r="S60" s="422"/>
      <c r="T60" s="417">
        <v>-20</v>
      </c>
      <c r="U60" s="417"/>
      <c r="V60" s="417"/>
      <c r="W60" s="417">
        <v>0.9</v>
      </c>
      <c r="X60" s="417"/>
      <c r="Y60" s="417"/>
      <c r="Z60" s="417"/>
      <c r="AA60" s="417"/>
      <c r="AB60" s="417"/>
      <c r="AC60" s="417" t="str">
        <f>IF(OR(AT60&gt;8,AT60&lt;-8),"PH",IF(OR(AT60&gt;5,AT60&lt;-5),"PH-Q",IF(OR(AT60&gt;1,AT60&lt;-1),"PH-C")))</f>
        <v>PH</v>
      </c>
      <c r="AD60" s="417"/>
      <c r="AE60" s="417"/>
      <c r="AF60" s="417"/>
      <c r="AG60" s="416"/>
      <c r="AH60" s="417"/>
      <c r="AI60" s="607"/>
      <c r="AJ60" s="415"/>
      <c r="AK60" s="415"/>
      <c r="AL60" s="415"/>
      <c r="AM60" s="415" t="s">
        <v>1042</v>
      </c>
      <c r="AN60" s="444">
        <v>5.15</v>
      </c>
      <c r="AO60" s="420"/>
      <c r="AP60" s="420"/>
      <c r="AQ60" s="422"/>
      <c r="AR60" s="422"/>
      <c r="AS60" s="422"/>
      <c r="AT60" s="422">
        <f>+ab($T$60,$T$58,$T$62,$G$59,$G$61,-1*$F$60,1200)</f>
        <v>-16.340372012817827</v>
      </c>
      <c r="AU60" s="417"/>
      <c r="AV60" s="417"/>
      <c r="AW60" s="417" t="str">
        <f>VLOOKUP(C60,'Foundation Calculation'!$A$2:$C$33,3,1)</f>
        <v>Soil B</v>
      </c>
      <c r="AX60" s="417" t="str">
        <f>VLOOKUP(C60,'Foundation Calculation'!$E$2:$G$33,3,1)</f>
        <v>PT</v>
      </c>
      <c r="AY60" s="422">
        <f>IF(AX60="PT",VLOOKUP(L60,'Foundation Calculation'!$K$2:$R$40,VLOOKUP(AW60,'Foundation Calculation'!$I$2:$J$8,2,FALSE),0),IF(AX60="K",VLOOKUP(L60,'Foundation Calculation'!$K$42:$R$80,VLOOKUP(AW60,'Foundation Calculation'!$I$2:$J$8,2,FALSE),0),""))</f>
        <v>3.5</v>
      </c>
      <c r="AZ60" s="422"/>
      <c r="BA60" s="604" t="s">
        <v>2809</v>
      </c>
      <c r="BB60" s="420" t="str">
        <f>Pole_Calculations!A152</f>
        <v>App.7.1-V01-P9.5.1.1</v>
      </c>
      <c r="BC60" s="169"/>
      <c r="BD60" s="1329"/>
      <c r="BE60" s="1329"/>
      <c r="BF60" s="1330"/>
      <c r="BG60" s="1329"/>
    </row>
    <row r="61" spans="1:59" ht="15.75" customHeight="1">
      <c r="A61" s="420"/>
      <c r="B61" s="606"/>
      <c r="C61" s="416"/>
      <c r="D61" s="418"/>
      <c r="E61" s="418"/>
      <c r="F61" s="420"/>
      <c r="G61" s="444">
        <v>65</v>
      </c>
      <c r="H61" s="420"/>
      <c r="I61" s="421"/>
      <c r="J61" s="416"/>
      <c r="K61" s="417"/>
      <c r="L61" s="417"/>
      <c r="M61" s="417"/>
      <c r="N61" s="420"/>
      <c r="O61" s="420"/>
      <c r="P61" s="417"/>
      <c r="Q61" s="417"/>
      <c r="R61" s="417"/>
      <c r="S61" s="422"/>
      <c r="T61" s="417"/>
      <c r="U61" s="417"/>
      <c r="V61" s="417"/>
      <c r="W61" s="417"/>
      <c r="X61" s="417"/>
      <c r="Y61" s="417"/>
      <c r="Z61" s="417"/>
      <c r="AA61" s="417"/>
      <c r="AB61" s="417"/>
      <c r="AC61" s="417"/>
      <c r="AD61" s="417"/>
      <c r="AE61" s="417"/>
      <c r="AF61" s="417"/>
      <c r="AG61" s="416"/>
      <c r="AH61" s="417"/>
      <c r="AI61" s="607"/>
      <c r="AJ61" s="417"/>
      <c r="AK61" s="420"/>
      <c r="AL61" s="417"/>
      <c r="AM61" s="417"/>
      <c r="AN61" s="444"/>
      <c r="AO61" s="420"/>
      <c r="AP61" s="420"/>
      <c r="AQ61" s="422">
        <f>+FL_1($T$62,$T$60,$G$61,1200,9.28,-1*$F$62)</f>
        <v>0.43290146338461533</v>
      </c>
      <c r="AR61" s="422"/>
      <c r="AS61" s="422"/>
      <c r="AT61" s="422"/>
      <c r="AU61" s="417"/>
      <c r="AV61" s="417"/>
      <c r="AW61" s="417"/>
      <c r="AX61" s="417"/>
      <c r="AY61" s="422"/>
      <c r="AZ61" s="422"/>
      <c r="BA61" s="604"/>
      <c r="BB61" s="420"/>
      <c r="BC61" s="169"/>
      <c r="BD61" s="1330"/>
      <c r="BE61" s="1330"/>
      <c r="BF61" s="1330"/>
      <c r="BG61" s="1330"/>
    </row>
    <row r="62" spans="1:59" ht="15.75" customHeight="1">
      <c r="A62" s="417"/>
      <c r="B62" s="725" t="s">
        <v>3835</v>
      </c>
      <c r="C62" s="416">
        <f>+$C$60+$G$61</f>
        <v>83954.809999999969</v>
      </c>
      <c r="D62" s="418"/>
      <c r="E62" s="418"/>
      <c r="F62" s="420">
        <v>0</v>
      </c>
      <c r="G62" s="422"/>
      <c r="H62" s="420"/>
      <c r="I62" s="415"/>
      <c r="J62" s="416"/>
      <c r="K62" s="417"/>
      <c r="L62" s="417"/>
      <c r="M62" s="417"/>
      <c r="N62" s="420" t="s">
        <v>844</v>
      </c>
      <c r="O62" s="420"/>
      <c r="P62" s="415"/>
      <c r="Q62" s="417"/>
      <c r="R62" s="417"/>
      <c r="S62" s="422"/>
      <c r="T62" s="417">
        <v>20</v>
      </c>
      <c r="U62" s="417"/>
      <c r="V62" s="417"/>
      <c r="W62" s="417">
        <v>1.2</v>
      </c>
      <c r="X62" s="417"/>
      <c r="Y62" s="417"/>
      <c r="Z62" s="417"/>
      <c r="AA62" s="417"/>
      <c r="AB62" s="417"/>
      <c r="AC62" s="417" t="str">
        <f>IF(OR(AT62&gt;8,AT62&lt;-8),"PH",IF(OR(AT62&gt;5,AT62&lt;-5),"PH-Q",IF(OR(AT62&gt;1,AT62&lt;-1),"PH-C")))</f>
        <v>PH</v>
      </c>
      <c r="AD62" s="417"/>
      <c r="AE62" s="417"/>
      <c r="AF62" s="417"/>
      <c r="AG62" s="416"/>
      <c r="AH62" s="417"/>
      <c r="AI62" s="607"/>
      <c r="AJ62" s="415"/>
      <c r="AK62" s="415" t="s">
        <v>139</v>
      </c>
      <c r="AL62" s="415"/>
      <c r="AM62" s="415"/>
      <c r="AN62" s="444">
        <v>5.15</v>
      </c>
      <c r="AO62" s="420"/>
      <c r="AP62" s="420"/>
      <c r="AQ62" s="422"/>
      <c r="AR62" s="422"/>
      <c r="AS62" s="422"/>
      <c r="AT62" s="422">
        <f>+ab($T$62,$T$60,$T$64,$G$61,$G$63,-1*$F$62,1200)</f>
        <v>15.222605000849795</v>
      </c>
      <c r="AU62" s="417"/>
      <c r="AV62" s="417"/>
      <c r="AW62" s="417"/>
      <c r="AX62" s="417"/>
      <c r="AY62" s="422"/>
      <c r="AZ62" s="422"/>
      <c r="BA62" s="604"/>
      <c r="BB62" s="417"/>
      <c r="BC62" s="169"/>
      <c r="BD62" s="1330"/>
      <c r="BE62" s="1330"/>
      <c r="BF62" s="1330"/>
      <c r="BG62" s="1329"/>
    </row>
    <row r="63" spans="1:59" ht="15.75" customHeight="1">
      <c r="A63" s="647" t="s">
        <v>3720</v>
      </c>
      <c r="B63" s="705"/>
      <c r="C63" s="649"/>
      <c r="D63" s="648"/>
      <c r="E63" s="648"/>
      <c r="F63" s="647"/>
      <c r="G63" s="654">
        <v>65</v>
      </c>
      <c r="H63" s="647"/>
      <c r="I63" s="650">
        <f>C64-C38</f>
        <v>671.29999999998836</v>
      </c>
      <c r="J63" s="649"/>
      <c r="K63" s="653"/>
      <c r="L63" s="653"/>
      <c r="M63" s="653"/>
      <c r="N63" s="647"/>
      <c r="O63" s="647"/>
      <c r="P63" s="653"/>
      <c r="Q63" s="653"/>
      <c r="R63" s="653"/>
      <c r="S63" s="654"/>
      <c r="T63" s="653"/>
      <c r="U63" s="653"/>
      <c r="V63" s="653"/>
      <c r="W63" s="653"/>
      <c r="X63" s="653"/>
      <c r="Y63" s="653"/>
      <c r="Z63" s="653"/>
      <c r="AA63" s="653"/>
      <c r="AB63" s="653"/>
      <c r="AC63" s="653"/>
      <c r="AD63" s="653"/>
      <c r="AE63" s="653"/>
      <c r="AF63" s="653"/>
      <c r="AG63" s="649"/>
      <c r="AH63" s="653"/>
      <c r="AI63" s="704"/>
      <c r="AJ63" s="653"/>
      <c r="AK63" s="647"/>
      <c r="AL63" s="653"/>
      <c r="AM63" s="653"/>
      <c r="AN63" s="651"/>
      <c r="AO63" s="647"/>
      <c r="AP63" s="647"/>
      <c r="AQ63" s="654">
        <f>+FL_1($T$64,$T$62,$G$63,1200,9.28,-1*$F$64)</f>
        <v>0.43290146338461521</v>
      </c>
      <c r="AR63" s="654"/>
      <c r="AS63" s="654"/>
      <c r="AT63" s="654"/>
      <c r="AU63" s="653"/>
      <c r="AV63" s="653"/>
      <c r="AW63" s="654"/>
      <c r="AX63" s="654"/>
      <c r="AY63" s="654"/>
      <c r="AZ63" s="654"/>
      <c r="BA63" s="701"/>
      <c r="BB63" s="647"/>
      <c r="BC63" s="169"/>
      <c r="BD63" s="1330"/>
      <c r="BE63" s="1330"/>
      <c r="BF63" s="1330"/>
      <c r="BG63" s="1330"/>
    </row>
    <row r="64" spans="1:59" ht="15.75" customHeight="1">
      <c r="A64" s="414"/>
      <c r="B64" s="437" t="s">
        <v>3836</v>
      </c>
      <c r="C64" s="416">
        <f>+$C$62+$G$63</f>
        <v>84019.809999999969</v>
      </c>
      <c r="D64" s="415"/>
      <c r="E64" s="415"/>
      <c r="F64" s="421">
        <v>0</v>
      </c>
      <c r="G64" s="422"/>
      <c r="H64" s="415" t="s">
        <v>874</v>
      </c>
      <c r="I64" s="420"/>
      <c r="J64" s="416"/>
      <c r="K64" s="417"/>
      <c r="L64" s="417"/>
      <c r="M64" s="417"/>
      <c r="N64" s="420" t="s">
        <v>843</v>
      </c>
      <c r="O64" s="420"/>
      <c r="P64" s="415"/>
      <c r="Q64" s="417"/>
      <c r="R64" s="417"/>
      <c r="S64" s="422"/>
      <c r="T64" s="417">
        <v>-20</v>
      </c>
      <c r="U64" s="417"/>
      <c r="V64" s="417"/>
      <c r="W64" s="417">
        <v>1.4</v>
      </c>
      <c r="X64" s="417"/>
      <c r="Y64" s="417"/>
      <c r="Z64" s="417"/>
      <c r="AA64" s="417"/>
      <c r="AB64" s="417"/>
      <c r="AC64" s="417" t="str">
        <f>IF(OR(AT64&gt;8,AT64&lt;-8),"PH",IF(OR(AT64&gt;5,AT64&lt;-5),"PH-Q",IF(OR(AT64&gt;1,AT64&lt;-1),"PH-C")))</f>
        <v>PH</v>
      </c>
      <c r="AD64" s="417"/>
      <c r="AE64" s="417"/>
      <c r="AF64" s="417"/>
      <c r="AG64" s="416"/>
      <c r="AH64" s="417"/>
      <c r="AI64" s="607"/>
      <c r="AJ64" s="415"/>
      <c r="AK64" s="415" t="s">
        <v>139</v>
      </c>
      <c r="AL64" s="415"/>
      <c r="AM64" s="415"/>
      <c r="AN64" s="444">
        <v>5.15</v>
      </c>
      <c r="AO64" s="420"/>
      <c r="AP64" s="420"/>
      <c r="AQ64" s="422"/>
      <c r="AR64" s="422"/>
      <c r="AS64" s="422"/>
      <c r="AT64" s="422">
        <f>+ab($T$64,$T$62,$T$66,$G$63,$G$65,-1*$F$64,1200)</f>
        <v>-14.393416359177577</v>
      </c>
      <c r="AU64" s="417"/>
      <c r="AV64" s="417"/>
      <c r="AW64" s="417"/>
      <c r="AX64" s="417"/>
      <c r="AY64" s="422"/>
      <c r="AZ64" s="422"/>
      <c r="BA64" s="604"/>
      <c r="BB64" s="414"/>
      <c r="BC64" s="169"/>
      <c r="BD64" s="1330"/>
      <c r="BE64" s="1330"/>
      <c r="BF64" s="1330"/>
      <c r="BG64" s="1329"/>
    </row>
    <row r="65" spans="1:59" ht="15.75" customHeight="1">
      <c r="A65" s="420"/>
      <c r="B65" s="415"/>
      <c r="C65" s="416"/>
      <c r="D65" s="415"/>
      <c r="E65" s="415"/>
      <c r="F65" s="415"/>
      <c r="G65" s="422">
        <v>58</v>
      </c>
      <c r="H65" s="415"/>
      <c r="I65" s="421">
        <f>C90-C64</f>
        <v>640.30000000001746</v>
      </c>
      <c r="J65" s="432"/>
      <c r="K65" s="420"/>
      <c r="L65" s="415"/>
      <c r="M65" s="415"/>
      <c r="N65" s="420"/>
      <c r="O65" s="415"/>
      <c r="P65" s="415"/>
      <c r="Q65" s="417"/>
      <c r="R65" s="417"/>
      <c r="S65" s="422"/>
      <c r="T65" s="417"/>
      <c r="U65" s="417"/>
      <c r="V65" s="417"/>
      <c r="W65" s="417"/>
      <c r="X65" s="417"/>
      <c r="Y65" s="417"/>
      <c r="Z65" s="417"/>
      <c r="AA65" s="417"/>
      <c r="AB65" s="417"/>
      <c r="AC65" s="417"/>
      <c r="AD65" s="417"/>
      <c r="AE65" s="417"/>
      <c r="AF65" s="417"/>
      <c r="AG65" s="416"/>
      <c r="AH65" s="417"/>
      <c r="AI65" s="607"/>
      <c r="AJ65" s="415"/>
      <c r="AK65" s="415"/>
      <c r="AL65" s="415"/>
      <c r="AM65" s="415"/>
      <c r="AN65" s="444"/>
      <c r="AO65" s="415"/>
      <c r="AP65" s="415"/>
      <c r="AQ65" s="422">
        <f>+FL_2($T$66,$T$64,$G$65,1200,9.28,-1*$F$66)</f>
        <v>-0.35593823337931035</v>
      </c>
      <c r="AR65" s="422"/>
      <c r="AS65" s="422"/>
      <c r="AT65" s="422"/>
      <c r="AU65" s="417"/>
      <c r="AV65" s="417"/>
      <c r="AW65" s="417"/>
      <c r="AX65" s="417"/>
      <c r="AY65" s="422"/>
      <c r="AZ65" s="422"/>
      <c r="BA65" s="1311"/>
      <c r="BB65" s="420"/>
      <c r="BC65" s="169"/>
      <c r="BD65" s="1330"/>
      <c r="BE65" s="1330"/>
      <c r="BF65" s="1330"/>
      <c r="BG65" s="1330"/>
    </row>
    <row r="66" spans="1:59" ht="15.75" customHeight="1">
      <c r="A66" s="420"/>
      <c r="B66" s="437" t="s">
        <v>3837</v>
      </c>
      <c r="C66" s="416">
        <f>+$C$64+$G$65</f>
        <v>84077.809999999969</v>
      </c>
      <c r="D66" s="415"/>
      <c r="E66" s="415"/>
      <c r="F66" s="415" t="s">
        <v>2312</v>
      </c>
      <c r="G66" s="422"/>
      <c r="H66" s="420"/>
      <c r="I66" s="415"/>
      <c r="J66" s="416"/>
      <c r="K66" s="417"/>
      <c r="L66" s="417"/>
      <c r="M66" s="417"/>
      <c r="N66" s="420" t="s">
        <v>844</v>
      </c>
      <c r="O66" s="420"/>
      <c r="P66" s="415"/>
      <c r="Q66" s="417"/>
      <c r="R66" s="417"/>
      <c r="S66" s="422"/>
      <c r="T66" s="417">
        <v>20</v>
      </c>
      <c r="U66" s="417"/>
      <c r="V66" s="417"/>
      <c r="W66" s="417">
        <v>1.4</v>
      </c>
      <c r="X66" s="417"/>
      <c r="Y66" s="417"/>
      <c r="Z66" s="417"/>
      <c r="AA66" s="417"/>
      <c r="AB66" s="417"/>
      <c r="AC66" s="417" t="str">
        <f>IF(OR(AT66&gt;8,AT66&lt;-8),"PH",IF(OR(AT66&gt;5,AT66&lt;-5),"PH-Q",IF(OR(AT66&gt;1,AT66&lt;-1),"PH-C")))</f>
        <v>PH</v>
      </c>
      <c r="AD66" s="417"/>
      <c r="AE66" s="417"/>
      <c r="AF66" s="417"/>
      <c r="AG66" s="416"/>
      <c r="AH66" s="417"/>
      <c r="AI66" s="607"/>
      <c r="AJ66" s="415"/>
      <c r="AK66" s="415" t="s">
        <v>139</v>
      </c>
      <c r="AL66" s="415"/>
      <c r="AM66" s="415"/>
      <c r="AN66" s="444">
        <v>5.15</v>
      </c>
      <c r="AO66" s="420"/>
      <c r="AP66" s="420"/>
      <c r="AQ66" s="422"/>
      <c r="AR66" s="422"/>
      <c r="AS66" s="422"/>
      <c r="AT66" s="422">
        <f>+ab($T$66,$T$64,$T$68,$G$65,$G$67,-1*$F$66,1200)</f>
        <v>13.870487291927581</v>
      </c>
      <c r="AU66" s="417"/>
      <c r="AV66" s="417"/>
      <c r="AW66" s="417"/>
      <c r="AX66" s="417"/>
      <c r="AY66" s="422"/>
      <c r="AZ66" s="422"/>
      <c r="BA66" s="604"/>
      <c r="BB66" s="420"/>
      <c r="BC66" s="169"/>
      <c r="BD66" s="1330"/>
      <c r="BE66" s="1330"/>
      <c r="BF66" s="1330"/>
      <c r="BG66" s="1329"/>
    </row>
    <row r="67" spans="1:59" ht="15.75" customHeight="1">
      <c r="A67" s="414" t="s">
        <v>3719</v>
      </c>
      <c r="B67" s="415"/>
      <c r="C67" s="416"/>
      <c r="D67" s="415"/>
      <c r="E67" s="415"/>
      <c r="F67" s="415"/>
      <c r="G67" s="422">
        <v>60</v>
      </c>
      <c r="H67" s="415"/>
      <c r="I67" s="444"/>
      <c r="J67" s="416"/>
      <c r="K67" s="415"/>
      <c r="L67" s="415"/>
      <c r="M67" s="415"/>
      <c r="N67" s="415"/>
      <c r="O67" s="415"/>
      <c r="P67" s="415"/>
      <c r="Q67" s="417"/>
      <c r="R67" s="417"/>
      <c r="S67" s="422"/>
      <c r="T67" s="417"/>
      <c r="U67" s="417"/>
      <c r="V67" s="417"/>
      <c r="W67" s="417"/>
      <c r="X67" s="417"/>
      <c r="Y67" s="417"/>
      <c r="Z67" s="417"/>
      <c r="AA67" s="417"/>
      <c r="AB67" s="417"/>
      <c r="AC67" s="417"/>
      <c r="AD67" s="417"/>
      <c r="AE67" s="417"/>
      <c r="AF67" s="417"/>
      <c r="AG67" s="416"/>
      <c r="AH67" s="417"/>
      <c r="AI67" s="607"/>
      <c r="AJ67" s="415"/>
      <c r="AK67" s="415"/>
      <c r="AL67" s="415"/>
      <c r="AM67" s="415"/>
      <c r="AN67" s="444"/>
      <c r="AO67" s="415"/>
      <c r="AP67" s="415"/>
      <c r="AQ67" s="422">
        <f>+FL_2($T$68,$T$66,$G$67,1200,9.28,-1*$F$68)</f>
        <v>-0.44664107752141041</v>
      </c>
      <c r="AR67" s="422"/>
      <c r="AS67" s="422"/>
      <c r="AT67" s="422"/>
      <c r="AU67" s="417"/>
      <c r="AV67" s="417"/>
      <c r="AW67" s="417"/>
      <c r="AX67" s="417"/>
      <c r="AY67" s="422"/>
      <c r="AZ67" s="422"/>
      <c r="BA67" s="604"/>
      <c r="BB67" s="414"/>
      <c r="BC67" s="169"/>
      <c r="BD67" s="1330"/>
      <c r="BE67" s="1330"/>
      <c r="BF67" s="1330"/>
      <c r="BG67" s="1330"/>
    </row>
    <row r="68" spans="1:59" ht="15.75" customHeight="1">
      <c r="A68" s="414" t="s">
        <v>1854</v>
      </c>
      <c r="B68" s="725" t="s">
        <v>3838</v>
      </c>
      <c r="C68" s="416">
        <f>+$C$66+$G$67</f>
        <v>84137.809999999969</v>
      </c>
      <c r="D68" s="418"/>
      <c r="E68" s="418"/>
      <c r="F68" s="420">
        <v>-6000</v>
      </c>
      <c r="G68" s="422"/>
      <c r="H68" s="420"/>
      <c r="I68" s="433"/>
      <c r="J68" s="416"/>
      <c r="K68" s="417"/>
      <c r="L68" s="417"/>
      <c r="M68" s="417"/>
      <c r="N68" s="420" t="s">
        <v>843</v>
      </c>
      <c r="O68" s="420"/>
      <c r="P68" s="415"/>
      <c r="Q68" s="417"/>
      <c r="R68" s="417"/>
      <c r="S68" s="422"/>
      <c r="T68" s="417">
        <v>-20</v>
      </c>
      <c r="U68" s="417"/>
      <c r="V68" s="417"/>
      <c r="W68" s="417">
        <v>1.4</v>
      </c>
      <c r="X68" s="417"/>
      <c r="Y68" s="417"/>
      <c r="Z68" s="417"/>
      <c r="AA68" s="417"/>
      <c r="AB68" s="417"/>
      <c r="AC68" s="417" t="str">
        <f>IF(OR(AT68&gt;8,AT68&lt;-8),"PH",IF(OR(AT68&gt;5,AT68&lt;-5),"PH-Q",IF(OR(AT68&gt;1,AT68&lt;-1),"PH-C")))</f>
        <v>PH</v>
      </c>
      <c r="AD68" s="417"/>
      <c r="AE68" s="417"/>
      <c r="AF68" s="417"/>
      <c r="AG68" s="416"/>
      <c r="AH68" s="417"/>
      <c r="AI68" s="607"/>
      <c r="AJ68" s="415"/>
      <c r="AK68" s="415" t="s">
        <v>139</v>
      </c>
      <c r="AL68" s="415"/>
      <c r="AM68" s="415"/>
      <c r="AN68" s="444">
        <v>5.15</v>
      </c>
      <c r="AO68" s="420"/>
      <c r="AP68" s="420"/>
      <c r="AQ68" s="422"/>
      <c r="AR68" s="422"/>
      <c r="AS68" s="422"/>
      <c r="AT68" s="422">
        <f>+ab($T$68,$T$66,$T$70,$G$67,$G$69,-1*$F$68,1200)</f>
        <v>-31.338808388646196</v>
      </c>
      <c r="AU68" s="417"/>
      <c r="AV68" s="417"/>
      <c r="AW68" s="417"/>
      <c r="AX68" s="417"/>
      <c r="AY68" s="422"/>
      <c r="AZ68" s="422"/>
      <c r="BA68" s="604"/>
      <c r="BB68" s="414"/>
      <c r="BC68" s="169"/>
      <c r="BD68" s="1330"/>
      <c r="BE68" s="1330"/>
      <c r="BF68" s="1330"/>
      <c r="BG68" s="1329"/>
    </row>
    <row r="69" spans="1:59" ht="15.75" customHeight="1">
      <c r="A69" s="420"/>
      <c r="B69" s="606"/>
      <c r="C69" s="416"/>
      <c r="D69" s="418"/>
      <c r="E69" s="418"/>
      <c r="F69" s="420"/>
      <c r="G69" s="422">
        <v>50</v>
      </c>
      <c r="H69" s="420"/>
      <c r="I69" s="421"/>
      <c r="J69" s="416"/>
      <c r="K69" s="417"/>
      <c r="L69" s="417"/>
      <c r="M69" s="417"/>
      <c r="N69" s="420"/>
      <c r="O69" s="420"/>
      <c r="P69" s="417"/>
      <c r="Q69" s="417"/>
      <c r="R69" s="417"/>
      <c r="S69" s="422"/>
      <c r="T69" s="417"/>
      <c r="U69" s="417"/>
      <c r="V69" s="417"/>
      <c r="W69" s="417"/>
      <c r="X69" s="417"/>
      <c r="Y69" s="417"/>
      <c r="Z69" s="417"/>
      <c r="AA69" s="417"/>
      <c r="AB69" s="417"/>
      <c r="AC69" s="417"/>
      <c r="AD69" s="417"/>
      <c r="AE69" s="417"/>
      <c r="AF69" s="417"/>
      <c r="AG69" s="416"/>
      <c r="AH69" s="417"/>
      <c r="AI69" s="607"/>
      <c r="AJ69" s="417"/>
      <c r="AK69" s="420"/>
      <c r="AL69" s="417"/>
      <c r="AM69" s="417"/>
      <c r="AN69" s="444"/>
      <c r="AO69" s="420"/>
      <c r="AP69" s="420"/>
      <c r="AQ69" s="422">
        <f>+FL_2($T$70,$T$68,$G$69,1200,9.28,-1*$F$70)</f>
        <v>-0.32779272970472029</v>
      </c>
      <c r="AR69" s="422"/>
      <c r="AS69" s="422"/>
      <c r="AT69" s="422"/>
      <c r="AU69" s="417"/>
      <c r="AV69" s="417"/>
      <c r="AW69" s="417"/>
      <c r="AX69" s="417"/>
      <c r="AY69" s="422"/>
      <c r="AZ69" s="422"/>
      <c r="BA69" s="604"/>
      <c r="BB69" s="420"/>
      <c r="BC69" s="169"/>
      <c r="BD69" s="1330"/>
      <c r="BE69" s="1330"/>
      <c r="BF69" s="1330"/>
      <c r="BG69" s="1330"/>
    </row>
    <row r="70" spans="1:59" ht="15.75" customHeight="1">
      <c r="A70" s="420"/>
      <c r="B70" s="725" t="s">
        <v>3839</v>
      </c>
      <c r="C70" s="416">
        <f>+$C$68+$G$69</f>
        <v>84187.809999999969</v>
      </c>
      <c r="D70" s="418"/>
      <c r="E70" s="418"/>
      <c r="F70" s="420">
        <v>-6000</v>
      </c>
      <c r="G70" s="422"/>
      <c r="H70" s="420"/>
      <c r="I70" s="415"/>
      <c r="J70" s="416"/>
      <c r="K70" s="417"/>
      <c r="L70" s="417"/>
      <c r="M70" s="417"/>
      <c r="N70" s="420" t="s">
        <v>844</v>
      </c>
      <c r="O70" s="420"/>
      <c r="P70" s="415"/>
      <c r="Q70" s="417"/>
      <c r="R70" s="417"/>
      <c r="S70" s="422"/>
      <c r="T70" s="417">
        <v>20</v>
      </c>
      <c r="U70" s="417"/>
      <c r="V70" s="417"/>
      <c r="W70" s="417">
        <v>1.2</v>
      </c>
      <c r="X70" s="417"/>
      <c r="Y70" s="417"/>
      <c r="Z70" s="417"/>
      <c r="AA70" s="417"/>
      <c r="AB70" s="417"/>
      <c r="AC70" s="417" t="str">
        <f>IF(OR(AT70&gt;8,AT70&lt;-8),"PH",IF(OR(AT70&gt;5,AT70&lt;-5),"PH-Q",IF(OR(AT70&gt;1,AT70&lt;-1),"PH-C")))</f>
        <v>PH-Q</v>
      </c>
      <c r="AD70" s="417"/>
      <c r="AE70" s="417"/>
      <c r="AF70" s="417"/>
      <c r="AG70" s="416"/>
      <c r="AH70" s="417"/>
      <c r="AI70" s="607"/>
      <c r="AJ70" s="415"/>
      <c r="AK70" s="415" t="s">
        <v>139</v>
      </c>
      <c r="AL70" s="415"/>
      <c r="AM70" s="415"/>
      <c r="AN70" s="444">
        <v>5.15</v>
      </c>
      <c r="AO70" s="420"/>
      <c r="AP70" s="420"/>
      <c r="AQ70" s="422"/>
      <c r="AR70" s="422"/>
      <c r="AS70" s="422"/>
      <c r="AT70" s="422">
        <f>+ab($T$70,$T$68,$T$72,$G$69,$G$71,-1*$F$70,1200)</f>
        <v>7.723182987668868</v>
      </c>
      <c r="AU70" s="417"/>
      <c r="AV70" s="417"/>
      <c r="AW70" s="417"/>
      <c r="AX70" s="417"/>
      <c r="AY70" s="422"/>
      <c r="AZ70" s="422"/>
      <c r="BA70" s="604"/>
      <c r="BB70" s="420"/>
      <c r="BC70" s="169"/>
      <c r="BD70" s="1330"/>
      <c r="BE70" s="1330"/>
      <c r="BF70" s="1330"/>
      <c r="BG70" s="1329"/>
    </row>
    <row r="71" spans="1:59" ht="15.75" customHeight="1">
      <c r="A71" s="420"/>
      <c r="B71" s="606"/>
      <c r="C71" s="416"/>
      <c r="D71" s="418"/>
      <c r="E71" s="418"/>
      <c r="F71" s="420"/>
      <c r="G71" s="422">
        <v>46</v>
      </c>
      <c r="H71" s="420"/>
      <c r="I71" s="444"/>
      <c r="J71" s="416"/>
      <c r="K71" s="417"/>
      <c r="L71" s="417"/>
      <c r="M71" s="417"/>
      <c r="N71" s="420"/>
      <c r="O71" s="420"/>
      <c r="P71" s="417"/>
      <c r="Q71" s="417"/>
      <c r="R71" s="417"/>
      <c r="S71" s="422"/>
      <c r="T71" s="417"/>
      <c r="U71" s="417"/>
      <c r="V71" s="417"/>
      <c r="W71" s="417"/>
      <c r="X71" s="417"/>
      <c r="Y71" s="417"/>
      <c r="Z71" s="417"/>
      <c r="AA71" s="417"/>
      <c r="AB71" s="417"/>
      <c r="AC71" s="417"/>
      <c r="AD71" s="417"/>
      <c r="AE71" s="417"/>
      <c r="AF71" s="417"/>
      <c r="AG71" s="416"/>
      <c r="AH71" s="417"/>
      <c r="AI71" s="607"/>
      <c r="AJ71" s="417"/>
      <c r="AK71" s="420"/>
      <c r="AL71" s="417"/>
      <c r="AM71" s="417"/>
      <c r="AN71" s="444"/>
      <c r="AO71" s="420"/>
      <c r="AP71" s="420"/>
      <c r="AQ71" s="422">
        <f>+FL_2($T$72,$T$70,$G$71,1200,9.28,-1*$F$72)</f>
        <v>-0.28885052140361811</v>
      </c>
      <c r="AR71" s="422"/>
      <c r="AS71" s="422"/>
      <c r="AT71" s="422"/>
      <c r="AU71" s="417"/>
      <c r="AV71" s="417"/>
      <c r="AW71" s="422"/>
      <c r="AX71" s="422"/>
      <c r="AY71" s="422"/>
      <c r="AZ71" s="422"/>
      <c r="BA71" s="604"/>
      <c r="BB71" s="420"/>
      <c r="BC71" s="169"/>
      <c r="BD71" s="1330"/>
      <c r="BE71" s="1330"/>
      <c r="BF71" s="1330"/>
      <c r="BG71" s="1330"/>
    </row>
    <row r="72" spans="1:59" ht="15.75" customHeight="1">
      <c r="A72" s="420"/>
      <c r="B72" s="437" t="s">
        <v>3840</v>
      </c>
      <c r="C72" s="416">
        <f>+$C$70+$G$71</f>
        <v>84233.809999999969</v>
      </c>
      <c r="D72" s="415"/>
      <c r="E72" s="415"/>
      <c r="F72" s="420">
        <v>-6000</v>
      </c>
      <c r="G72" s="422"/>
      <c r="H72" s="415"/>
      <c r="I72" s="420"/>
      <c r="J72" s="416"/>
      <c r="K72" s="417"/>
      <c r="L72" s="417"/>
      <c r="M72" s="417"/>
      <c r="N72" s="420" t="s">
        <v>843</v>
      </c>
      <c r="O72" s="420"/>
      <c r="P72" s="415"/>
      <c r="Q72" s="417"/>
      <c r="R72" s="417"/>
      <c r="S72" s="422"/>
      <c r="T72" s="417">
        <v>-20</v>
      </c>
      <c r="U72" s="417"/>
      <c r="V72" s="417"/>
      <c r="W72" s="417">
        <v>1</v>
      </c>
      <c r="X72" s="417"/>
      <c r="Y72" s="417"/>
      <c r="Z72" s="417"/>
      <c r="AA72" s="417"/>
      <c r="AB72" s="417"/>
      <c r="AC72" s="417" t="str">
        <f>IF(OR(AT72&gt;8,AT72&lt;-8),"PH",IF(OR(AT72&gt;5,AT72&lt;-5),"PH-Q",IF(OR(AT72&gt;1,AT72&lt;-1),"PH-C")))</f>
        <v>PH</v>
      </c>
      <c r="AD72" s="417"/>
      <c r="AE72" s="417"/>
      <c r="AF72" s="417"/>
      <c r="AG72" s="416"/>
      <c r="AH72" s="417"/>
      <c r="AI72" s="607"/>
      <c r="AJ72" s="415"/>
      <c r="AK72" s="415" t="s">
        <v>139</v>
      </c>
      <c r="AL72" s="415"/>
      <c r="AM72" s="415"/>
      <c r="AN72" s="444">
        <v>5.15</v>
      </c>
      <c r="AO72" s="420"/>
      <c r="AP72" s="420"/>
      <c r="AQ72" s="422"/>
      <c r="AR72" s="422"/>
      <c r="AS72" s="422"/>
      <c r="AT72" s="422">
        <f>+ab($T$72,$T$70,$T$74,$G$71,$G$73,-1*$F$72,1200)</f>
        <v>-19.003670957253661</v>
      </c>
      <c r="AU72" s="417"/>
      <c r="AV72" s="417"/>
      <c r="AW72" s="417"/>
      <c r="AX72" s="417"/>
      <c r="AY72" s="422"/>
      <c r="AZ72" s="422"/>
      <c r="BA72" s="604"/>
      <c r="BB72" s="420"/>
      <c r="BC72" s="169"/>
      <c r="BD72" s="1330"/>
      <c r="BE72" s="1330"/>
      <c r="BF72" s="1330"/>
      <c r="BG72" s="1329"/>
    </row>
    <row r="73" spans="1:59" ht="15.75" customHeight="1">
      <c r="A73" s="647" t="s">
        <v>3049</v>
      </c>
      <c r="B73" s="657"/>
      <c r="C73" s="649"/>
      <c r="D73" s="657"/>
      <c r="E73" s="657"/>
      <c r="F73" s="657"/>
      <c r="G73" s="654">
        <v>46</v>
      </c>
      <c r="H73" s="657"/>
      <c r="I73" s="647"/>
      <c r="J73" s="652"/>
      <c r="K73" s="647"/>
      <c r="L73" s="657"/>
      <c r="M73" s="657"/>
      <c r="N73" s="657"/>
      <c r="O73" s="657"/>
      <c r="P73" s="657"/>
      <c r="Q73" s="653"/>
      <c r="R73" s="653"/>
      <c r="S73" s="654"/>
      <c r="T73" s="653"/>
      <c r="U73" s="653"/>
      <c r="V73" s="653"/>
      <c r="W73" s="653"/>
      <c r="X73" s="653"/>
      <c r="Y73" s="653"/>
      <c r="Z73" s="653"/>
      <c r="AA73" s="653"/>
      <c r="AB73" s="653"/>
      <c r="AC73" s="653"/>
      <c r="AD73" s="653"/>
      <c r="AE73" s="653"/>
      <c r="AF73" s="653"/>
      <c r="AG73" s="649"/>
      <c r="AH73" s="653"/>
      <c r="AI73" s="704"/>
      <c r="AJ73" s="657"/>
      <c r="AK73" s="657"/>
      <c r="AL73" s="657"/>
      <c r="AM73" s="657"/>
      <c r="AN73" s="651"/>
      <c r="AO73" s="657"/>
      <c r="AP73" s="657"/>
      <c r="AQ73" s="654">
        <f>+FL_1($T$74,$T$72,$G$73,1200,9.28,-1*$F$74)</f>
        <v>0.2534352584347826</v>
      </c>
      <c r="AR73" s="654"/>
      <c r="AS73" s="654"/>
      <c r="AT73" s="654"/>
      <c r="AU73" s="653"/>
      <c r="AV73" s="653"/>
      <c r="AW73" s="653"/>
      <c r="AX73" s="653"/>
      <c r="AY73" s="654"/>
      <c r="AZ73" s="654"/>
      <c r="BA73" s="1316"/>
      <c r="BB73" s="647"/>
      <c r="BC73" s="169"/>
      <c r="BD73" s="1330"/>
      <c r="BE73" s="1330"/>
      <c r="BF73" s="1330"/>
      <c r="BG73" s="1330"/>
    </row>
    <row r="74" spans="1:59" ht="15.75" customHeight="1">
      <c r="A74" s="420"/>
      <c r="B74" s="437" t="s">
        <v>3841</v>
      </c>
      <c r="C74" s="416">
        <f>+$C$72+$G$73</f>
        <v>84279.809999999969</v>
      </c>
      <c r="D74" s="415"/>
      <c r="E74" s="415"/>
      <c r="F74" s="415" t="s">
        <v>2312</v>
      </c>
      <c r="G74" s="422"/>
      <c r="H74" s="415"/>
      <c r="I74" s="415"/>
      <c r="J74" s="416"/>
      <c r="K74" s="417"/>
      <c r="L74" s="417"/>
      <c r="M74" s="417"/>
      <c r="N74" s="420" t="s">
        <v>844</v>
      </c>
      <c r="O74" s="420"/>
      <c r="P74" s="415"/>
      <c r="Q74" s="417"/>
      <c r="R74" s="417"/>
      <c r="S74" s="422"/>
      <c r="T74" s="417">
        <v>20</v>
      </c>
      <c r="U74" s="417"/>
      <c r="V74" s="417"/>
      <c r="W74" s="417">
        <v>0.8</v>
      </c>
      <c r="X74" s="417"/>
      <c r="Y74" s="417"/>
      <c r="Z74" s="417"/>
      <c r="AA74" s="417"/>
      <c r="AB74" s="417"/>
      <c r="AC74" s="417" t="str">
        <f>IF(OR(AT74&gt;8,AT74&lt;-8),"PH",IF(OR(AT74&gt;5,AT74&lt;-5),"PH-Q",IF(OR(AT74&gt;1,AT74&lt;-1),"PH-C")))</f>
        <v>PH</v>
      </c>
      <c r="AD74" s="417"/>
      <c r="AE74" s="417"/>
      <c r="AF74" s="417"/>
      <c r="AG74" s="416"/>
      <c r="AH74" s="417"/>
      <c r="AI74" s="607"/>
      <c r="AJ74" s="415"/>
      <c r="AK74" s="415" t="s">
        <v>139</v>
      </c>
      <c r="AL74" s="415"/>
      <c r="AM74" s="415"/>
      <c r="AN74" s="444">
        <v>5.15</v>
      </c>
      <c r="AO74" s="420"/>
      <c r="AP74" s="420"/>
      <c r="AQ74" s="422"/>
      <c r="AR74" s="422"/>
      <c r="AS74" s="422"/>
      <c r="AT74" s="422">
        <f>+ab($T$74,$T$72,$T$76,$G$73,$G$75,-1*$F$74,1200)</f>
        <v>26.757957638287589</v>
      </c>
      <c r="AU74" s="417"/>
      <c r="AV74" s="417"/>
      <c r="AW74" s="417"/>
      <c r="AX74" s="417"/>
      <c r="AY74" s="422"/>
      <c r="AZ74" s="422"/>
      <c r="BA74" s="604"/>
      <c r="BB74" s="420"/>
      <c r="BC74" s="169"/>
      <c r="BD74" s="1330"/>
      <c r="BE74" s="1330"/>
      <c r="BF74" s="1330"/>
      <c r="BG74" s="1329"/>
    </row>
    <row r="75" spans="1:59" ht="15.75" customHeight="1">
      <c r="A75" s="694" t="s">
        <v>3717</v>
      </c>
      <c r="B75" s="731"/>
      <c r="C75" s="718"/>
      <c r="D75" s="731"/>
      <c r="E75" s="731"/>
      <c r="F75" s="731"/>
      <c r="G75" s="720">
        <v>48.7</v>
      </c>
      <c r="H75" s="731"/>
      <c r="I75" s="724"/>
      <c r="J75" s="718"/>
      <c r="K75" s="731"/>
      <c r="L75" s="731"/>
      <c r="M75" s="731"/>
      <c r="N75" s="731"/>
      <c r="O75" s="731"/>
      <c r="P75" s="731"/>
      <c r="Q75" s="721"/>
      <c r="R75" s="721"/>
      <c r="S75" s="720"/>
      <c r="T75" s="721"/>
      <c r="U75" s="721"/>
      <c r="V75" s="721"/>
      <c r="W75" s="721"/>
      <c r="X75" s="721"/>
      <c r="Y75" s="721"/>
      <c r="Z75" s="721"/>
      <c r="AA75" s="721"/>
      <c r="AB75" s="721"/>
      <c r="AC75" s="721"/>
      <c r="AD75" s="721"/>
      <c r="AE75" s="721"/>
      <c r="AF75" s="721"/>
      <c r="AG75" s="718"/>
      <c r="AH75" s="721"/>
      <c r="AI75" s="723"/>
      <c r="AJ75" s="731"/>
      <c r="AK75" s="731"/>
      <c r="AL75" s="731"/>
      <c r="AM75" s="731"/>
      <c r="AN75" s="724"/>
      <c r="AO75" s="731"/>
      <c r="AP75" s="731"/>
      <c r="AQ75" s="720">
        <f>+FL_1(-$T$76,$T$74,$G$75,1200,9.28,-1*$F$76)</f>
        <v>0.24741642119917862</v>
      </c>
      <c r="AR75" s="720"/>
      <c r="AS75" s="720"/>
      <c r="AT75" s="720"/>
      <c r="AU75" s="721"/>
      <c r="AV75" s="721"/>
      <c r="AW75" s="721"/>
      <c r="AX75" s="721"/>
      <c r="AY75" s="720"/>
      <c r="AZ75" s="720"/>
      <c r="BA75" s="726"/>
      <c r="BB75" s="694"/>
      <c r="BC75" s="169"/>
      <c r="BD75" s="1330"/>
      <c r="BE75" s="1330"/>
      <c r="BF75" s="1330"/>
      <c r="BG75" s="1330"/>
    </row>
    <row r="76" spans="1:59" ht="15.75" customHeight="1">
      <c r="A76" s="1239"/>
      <c r="B76" s="435" t="s">
        <v>3842</v>
      </c>
      <c r="C76" s="446">
        <f>+$C$74+$G$75</f>
        <v>84328.509999999966</v>
      </c>
      <c r="D76" s="447"/>
      <c r="E76" s="447"/>
      <c r="F76" s="1239">
        <v>0</v>
      </c>
      <c r="G76" s="484"/>
      <c r="H76" s="1239"/>
      <c r="I76" s="172"/>
      <c r="J76" s="446"/>
      <c r="K76" s="638"/>
      <c r="L76" s="638"/>
      <c r="M76" s="638"/>
      <c r="N76" s="1239" t="s">
        <v>844</v>
      </c>
      <c r="O76" s="1239"/>
      <c r="P76" s="445"/>
      <c r="Q76" s="638"/>
      <c r="R76" s="638"/>
      <c r="S76" s="484"/>
      <c r="T76" s="638">
        <v>30</v>
      </c>
      <c r="U76" s="638"/>
      <c r="V76" s="638"/>
      <c r="W76" s="638">
        <v>0.68</v>
      </c>
      <c r="X76" s="638"/>
      <c r="Y76" s="638"/>
      <c r="Z76" s="638"/>
      <c r="AA76" s="638"/>
      <c r="AB76" s="638"/>
      <c r="AC76" s="638" t="str">
        <f>IF(OR(AT76&gt;8,AT76&lt;-8),"PH",IF(OR(AT76&gt;5,AT76&lt;-5),"PH-Q",IF(OR(AT76&gt;1,AT76&lt;-1),"PH-C")))</f>
        <v>PH</v>
      </c>
      <c r="AD76" s="638"/>
      <c r="AE76" s="638"/>
      <c r="AF76" s="638"/>
      <c r="AG76" s="446"/>
      <c r="AH76" s="638"/>
      <c r="AI76" s="185"/>
      <c r="AJ76" s="445"/>
      <c r="AK76" s="445" t="s">
        <v>139</v>
      </c>
      <c r="AL76" s="445"/>
      <c r="AM76" s="445"/>
      <c r="AN76" s="455">
        <v>5.15</v>
      </c>
      <c r="AO76" s="1239"/>
      <c r="AP76" s="1239"/>
      <c r="AQ76" s="484"/>
      <c r="AR76" s="484"/>
      <c r="AS76" s="484"/>
      <c r="AT76" s="484">
        <f>+ab(-$T$76,$T$74,$T$78,$G$75,$G$77,-1*$F$76,1200)</f>
        <v>-18.066815207073855</v>
      </c>
      <c r="AU76" s="638"/>
      <c r="AV76" s="638"/>
      <c r="AW76" s="638"/>
      <c r="AX76" s="638"/>
      <c r="AY76" s="484"/>
      <c r="AZ76" s="484"/>
      <c r="BA76" s="671"/>
      <c r="BB76" s="1239"/>
      <c r="BC76" s="169"/>
      <c r="BD76" s="1330"/>
      <c r="BE76" s="1330"/>
      <c r="BF76" s="1330"/>
      <c r="BG76" s="1329"/>
    </row>
    <row r="77" spans="1:59" ht="15.75" customHeight="1">
      <c r="A77" s="495"/>
      <c r="B77" s="639"/>
      <c r="C77" s="489"/>
      <c r="D77" s="491"/>
      <c r="E77" s="491"/>
      <c r="F77" s="495"/>
      <c r="G77" s="493">
        <v>41.1</v>
      </c>
      <c r="H77" s="495"/>
      <c r="I77" s="492"/>
      <c r="J77" s="489"/>
      <c r="K77" s="490"/>
      <c r="L77" s="490"/>
      <c r="M77" s="490"/>
      <c r="N77" s="495"/>
      <c r="O77" s="495"/>
      <c r="P77" s="490"/>
      <c r="Q77" s="490"/>
      <c r="R77" s="490"/>
      <c r="S77" s="493"/>
      <c r="T77" s="490"/>
      <c r="U77" s="490"/>
      <c r="V77" s="490"/>
      <c r="W77" s="490"/>
      <c r="X77" s="490"/>
      <c r="Y77" s="490"/>
      <c r="Z77" s="490"/>
      <c r="AA77" s="490"/>
      <c r="AB77" s="490"/>
      <c r="AC77" s="490"/>
      <c r="AD77" s="490"/>
      <c r="AE77" s="490"/>
      <c r="AF77" s="490"/>
      <c r="AG77" s="489"/>
      <c r="AH77" s="490"/>
      <c r="AI77" s="640"/>
      <c r="AJ77" s="490"/>
      <c r="AK77" s="490"/>
      <c r="AL77" s="490"/>
      <c r="AM77" s="490"/>
      <c r="AN77" s="457"/>
      <c r="AO77" s="495"/>
      <c r="AP77" s="495"/>
      <c r="AQ77" s="493">
        <f>+FL_1($T$78,$T$76,$G$77,1200,9.28,-1*$F$78)</f>
        <v>0.31257799065122793</v>
      </c>
      <c r="AR77" s="493"/>
      <c r="AS77" s="493"/>
      <c r="AT77" s="493"/>
      <c r="AU77" s="490"/>
      <c r="AV77" s="490"/>
      <c r="AW77" s="490"/>
      <c r="AX77" s="490"/>
      <c r="AY77" s="493"/>
      <c r="AZ77" s="493"/>
      <c r="BA77" s="602"/>
      <c r="BB77" s="495"/>
      <c r="BC77" s="169"/>
      <c r="BD77" s="1330"/>
      <c r="BE77" s="1330"/>
      <c r="BF77" s="1330"/>
      <c r="BG77" s="1330"/>
    </row>
    <row r="78" spans="1:59" ht="15.75" customHeight="1">
      <c r="A78" s="495" t="s">
        <v>3721</v>
      </c>
      <c r="B78" s="711" t="s">
        <v>3843</v>
      </c>
      <c r="C78" s="489">
        <f>+$C$76+$G$77+0.1</f>
        <v>84369.709999999977</v>
      </c>
      <c r="D78" s="491"/>
      <c r="E78" s="491"/>
      <c r="F78" s="492">
        <f>-(358^2)/(C78-84392.1)</f>
        <v>5724.1625725697513</v>
      </c>
      <c r="G78" s="493"/>
      <c r="H78" s="495"/>
      <c r="I78" s="494"/>
      <c r="J78" s="489"/>
      <c r="K78" s="490"/>
      <c r="L78" s="490" t="s">
        <v>234</v>
      </c>
      <c r="M78" s="490"/>
      <c r="N78" s="490" t="s">
        <v>633</v>
      </c>
      <c r="O78" s="495"/>
      <c r="P78" s="490"/>
      <c r="Q78" s="490"/>
      <c r="R78" s="490"/>
      <c r="S78" s="493"/>
      <c r="T78" s="490">
        <v>-30</v>
      </c>
      <c r="U78" s="490"/>
      <c r="V78" s="490"/>
      <c r="W78" s="490">
        <v>0.68</v>
      </c>
      <c r="X78" s="490"/>
      <c r="Y78" s="490"/>
      <c r="Z78" s="490"/>
      <c r="AA78" s="490"/>
      <c r="AB78" s="490"/>
      <c r="AC78" s="490" t="str">
        <f>IF(OR(AT78&gt;8,AT78&lt;-8),"PH",IF(OR(AT78&gt;5,AT78&lt;-5),"PH-Q",IF(OR(AT78&gt;1,AT78&lt;-1),"PH-C")))</f>
        <v>PH-Q</v>
      </c>
      <c r="AD78" s="490"/>
      <c r="AE78" s="490"/>
      <c r="AF78" s="490"/>
      <c r="AG78" s="489"/>
      <c r="AH78" s="490"/>
      <c r="AI78" s="640"/>
      <c r="AJ78" s="490"/>
      <c r="AK78" s="490"/>
      <c r="AL78" s="490"/>
      <c r="AM78" s="490" t="s">
        <v>2879</v>
      </c>
      <c r="AN78" s="457">
        <v>5.15</v>
      </c>
      <c r="AO78" s="495"/>
      <c r="AP78" s="495"/>
      <c r="AQ78" s="493"/>
      <c r="AR78" s="493"/>
      <c r="AS78" s="493"/>
      <c r="AT78" s="493">
        <f>+ab($T$78,$T$76,$T$80,$G$77,$G$79,-1*$F$78,1200)</f>
        <v>-5.6315100022741005</v>
      </c>
      <c r="AU78" s="490"/>
      <c r="AV78" s="490"/>
      <c r="AW78" s="490"/>
      <c r="AX78" s="490"/>
      <c r="AY78" s="493"/>
      <c r="AZ78" s="493"/>
      <c r="BA78" s="602"/>
      <c r="BB78" s="495"/>
      <c r="BC78" s="169"/>
      <c r="BD78" s="1330"/>
      <c r="BE78" s="1329"/>
      <c r="BF78" s="1330"/>
      <c r="BG78" s="1329"/>
    </row>
    <row r="79" spans="1:59" ht="15.75" customHeight="1">
      <c r="A79" s="1239"/>
      <c r="B79" s="173"/>
      <c r="C79" s="446"/>
      <c r="D79" s="447"/>
      <c r="E79" s="447"/>
      <c r="F79" s="1239"/>
      <c r="G79" s="484">
        <v>41</v>
      </c>
      <c r="H79" s="1239"/>
      <c r="I79" s="455"/>
      <c r="J79" s="446"/>
      <c r="K79" s="638"/>
      <c r="L79" s="638"/>
      <c r="M79" s="638"/>
      <c r="N79" s="1239"/>
      <c r="O79" s="1239"/>
      <c r="P79" s="638"/>
      <c r="Q79" s="638"/>
      <c r="R79" s="638"/>
      <c r="S79" s="484"/>
      <c r="T79" s="638"/>
      <c r="U79" s="638"/>
      <c r="V79" s="638"/>
      <c r="W79" s="638"/>
      <c r="X79" s="638"/>
      <c r="Y79" s="638"/>
      <c r="Z79" s="638"/>
      <c r="AA79" s="638"/>
      <c r="AB79" s="638"/>
      <c r="AC79" s="638"/>
      <c r="AD79" s="638"/>
      <c r="AE79" s="638"/>
      <c r="AF79" s="638"/>
      <c r="AG79" s="446"/>
      <c r="AH79" s="638"/>
      <c r="AI79" s="185"/>
      <c r="AJ79" s="638"/>
      <c r="AK79" s="1239"/>
      <c r="AL79" s="638"/>
      <c r="AM79" s="638"/>
      <c r="AN79" s="455"/>
      <c r="AO79" s="1239"/>
      <c r="AP79" s="1239"/>
      <c r="AQ79" s="484">
        <f>+FL_2($T$80,$T$78,$G$79,1200,9.28,-1*$F$80)</f>
        <v>-0.29999999999999849</v>
      </c>
      <c r="AR79" s="484"/>
      <c r="AS79" s="484"/>
      <c r="AT79" s="484"/>
      <c r="AU79" s="638"/>
      <c r="AV79" s="638"/>
      <c r="AW79" s="484"/>
      <c r="AX79" s="484"/>
      <c r="AY79" s="484"/>
      <c r="AZ79" s="484"/>
      <c r="BA79" s="671"/>
      <c r="BB79" s="1239"/>
      <c r="BC79" s="169"/>
      <c r="BD79" s="1330"/>
      <c r="BE79" s="1330"/>
      <c r="BF79" s="1330"/>
      <c r="BG79" s="1330"/>
    </row>
    <row r="80" spans="1:59" ht="15.75" customHeight="1">
      <c r="A80" s="449"/>
      <c r="B80" s="485" t="s">
        <v>3844</v>
      </c>
      <c r="C80" s="446">
        <f>+$C$78+$G$79</f>
        <v>84410.709999999977</v>
      </c>
      <c r="D80" s="445"/>
      <c r="E80" s="445"/>
      <c r="F80" s="448">
        <v>3200</v>
      </c>
      <c r="G80" s="484"/>
      <c r="H80" s="445"/>
      <c r="I80" s="1239"/>
      <c r="J80" s="446"/>
      <c r="K80" s="638"/>
      <c r="L80" s="638"/>
      <c r="M80" s="638"/>
      <c r="N80" s="1239" t="s">
        <v>844</v>
      </c>
      <c r="O80" s="1239"/>
      <c r="P80" s="445"/>
      <c r="Q80" s="638"/>
      <c r="R80" s="638"/>
      <c r="S80" s="484"/>
      <c r="T80" s="638">
        <v>20</v>
      </c>
      <c r="U80" s="638"/>
      <c r="V80" s="638"/>
      <c r="W80" s="638">
        <v>0.68</v>
      </c>
      <c r="X80" s="638"/>
      <c r="Y80" s="638"/>
      <c r="Z80" s="638"/>
      <c r="AA80" s="638"/>
      <c r="AB80" s="638"/>
      <c r="AC80" s="638" t="str">
        <f>IF(OR(AT80&gt;8,AT80&lt;-8),"PH",IF(OR(AT80&gt;5,AT80&lt;-5),"PH-Q",IF(OR(AT80&gt;1,AT80&lt;-1),"PH-C")))</f>
        <v>PH</v>
      </c>
      <c r="AD80" s="638"/>
      <c r="AE80" s="638"/>
      <c r="AF80" s="638"/>
      <c r="AG80" s="446"/>
      <c r="AH80" s="638"/>
      <c r="AI80" s="185"/>
      <c r="AJ80" s="445"/>
      <c r="AK80" s="445" t="s">
        <v>139</v>
      </c>
      <c r="AL80" s="445"/>
      <c r="AM80" s="445"/>
      <c r="AN80" s="455">
        <v>5.15</v>
      </c>
      <c r="AO80" s="1239"/>
      <c r="AP80" s="1239"/>
      <c r="AQ80" s="484"/>
      <c r="AR80" s="484"/>
      <c r="AS80" s="484"/>
      <c r="AT80" s="484">
        <f>+ab($T$80,$T$78,$U$82,$G$79,$G$81,-1*$F$80,1200)</f>
        <v>21.125056448325129</v>
      </c>
      <c r="AU80" s="638"/>
      <c r="AV80" s="638"/>
      <c r="AW80" s="638"/>
      <c r="AX80" s="638"/>
      <c r="AY80" s="484"/>
      <c r="AZ80" s="484"/>
      <c r="BA80" s="671"/>
      <c r="BB80" s="449"/>
      <c r="BC80" s="169"/>
      <c r="BD80" s="1330"/>
      <c r="BE80" s="1330"/>
      <c r="BF80" s="1330"/>
      <c r="BG80" s="1329"/>
    </row>
    <row r="81" spans="1:59" ht="15.75" customHeight="1">
      <c r="A81" s="449"/>
      <c r="B81" s="445"/>
      <c r="C81" s="446"/>
      <c r="D81" s="445"/>
      <c r="E81" s="445"/>
      <c r="F81" s="445"/>
      <c r="G81" s="484">
        <v>48.1</v>
      </c>
      <c r="H81" s="445"/>
      <c r="I81" s="1239"/>
      <c r="J81" s="171"/>
      <c r="K81" s="1239"/>
      <c r="L81" s="445"/>
      <c r="M81" s="445"/>
      <c r="N81" s="445"/>
      <c r="O81" s="445"/>
      <c r="P81" s="445"/>
      <c r="Q81" s="638"/>
      <c r="R81" s="638"/>
      <c r="S81" s="484"/>
      <c r="T81" s="638"/>
      <c r="U81" s="638"/>
      <c r="V81" s="638"/>
      <c r="W81" s="638"/>
      <c r="X81" s="638"/>
      <c r="Y81" s="638"/>
      <c r="Z81" s="638"/>
      <c r="AA81" s="638"/>
      <c r="AB81" s="638"/>
      <c r="AC81" s="638"/>
      <c r="AD81" s="638"/>
      <c r="AE81" s="638"/>
      <c r="AF81" s="638"/>
      <c r="AG81" s="446"/>
      <c r="AH81" s="638"/>
      <c r="AI81" s="185"/>
      <c r="AJ81" s="445"/>
      <c r="AK81" s="445"/>
      <c r="AL81" s="445"/>
      <c r="AM81" s="445"/>
      <c r="AN81" s="455"/>
      <c r="AO81" s="445"/>
      <c r="AP81" s="445"/>
      <c r="AQ81" s="484">
        <f>+FL_1($U$82,$T$80,$G$81,1200,9.28,-1*$F$82)</f>
        <v>0.24574604739573896</v>
      </c>
      <c r="AR81" s="484"/>
      <c r="AS81" s="484"/>
      <c r="AT81" s="484"/>
      <c r="AU81" s="638"/>
      <c r="AV81" s="638"/>
      <c r="AW81" s="638"/>
      <c r="AX81" s="638"/>
      <c r="AY81" s="484"/>
      <c r="AZ81" s="484"/>
      <c r="BA81" s="1304"/>
      <c r="BB81" s="449"/>
      <c r="BC81" s="169"/>
      <c r="BD81" s="1330"/>
      <c r="BE81" s="1330"/>
      <c r="BF81" s="1330"/>
      <c r="BG81" s="1330"/>
    </row>
    <row r="82" spans="1:59" ht="15.75" customHeight="1">
      <c r="A82" s="449" t="s">
        <v>3864</v>
      </c>
      <c r="B82" s="485" t="s">
        <v>3845</v>
      </c>
      <c r="C82" s="446">
        <f>+$C$80+$G$81</f>
        <v>84458.809999999983</v>
      </c>
      <c r="D82" s="445"/>
      <c r="E82" s="445"/>
      <c r="F82" s="448">
        <f>-(358^2)/(C82-84460.24)</f>
        <v>89625.174823788519</v>
      </c>
      <c r="G82" s="484"/>
      <c r="H82" s="445" t="s">
        <v>619</v>
      </c>
      <c r="I82" s="455" t="s">
        <v>3858</v>
      </c>
      <c r="J82" s="446"/>
      <c r="K82" s="445"/>
      <c r="L82" s="445"/>
      <c r="M82" s="445"/>
      <c r="N82" s="445" t="s">
        <v>845</v>
      </c>
      <c r="O82" s="445" t="s">
        <v>843</v>
      </c>
      <c r="P82" s="445"/>
      <c r="Q82" s="638"/>
      <c r="R82" s="638"/>
      <c r="S82" s="484"/>
      <c r="T82" s="638">
        <v>15</v>
      </c>
      <c r="U82" s="638">
        <v>-30</v>
      </c>
      <c r="V82" s="638"/>
      <c r="W82" s="638">
        <v>0.8</v>
      </c>
      <c r="X82" s="638">
        <v>1</v>
      </c>
      <c r="Y82" s="638"/>
      <c r="Z82" s="638">
        <v>0.55000000000000004</v>
      </c>
      <c r="AA82" s="638"/>
      <c r="AB82" s="638"/>
      <c r="AC82" s="638"/>
      <c r="AD82" s="638"/>
      <c r="AE82" s="638"/>
      <c r="AF82" s="638"/>
      <c r="AG82" s="446"/>
      <c r="AH82" s="638"/>
      <c r="AI82" s="185"/>
      <c r="AJ82" s="445" t="s">
        <v>2154</v>
      </c>
      <c r="AK82" s="445" t="s">
        <v>228</v>
      </c>
      <c r="AL82" s="445"/>
      <c r="AM82" s="445"/>
      <c r="AN82" s="455">
        <v>5.22</v>
      </c>
      <c r="AO82" s="1239"/>
      <c r="AP82" s="1239"/>
      <c r="AQ82" s="484"/>
      <c r="AR82" s="484"/>
      <c r="AS82" s="484"/>
      <c r="AT82" s="484">
        <f>+ab($U$82,$T$80,$T$84,$G$81,$G$83,-1*$F$82,1200)</f>
        <v>-8.3718667679477559</v>
      </c>
      <c r="AU82" s="638"/>
      <c r="AV82" s="638"/>
      <c r="AW82" s="638"/>
      <c r="AX82" s="638"/>
      <c r="AY82" s="484"/>
      <c r="AZ82" s="484"/>
      <c r="BA82" s="671"/>
      <c r="BB82" s="449"/>
      <c r="BC82" s="169"/>
      <c r="BD82" s="1330"/>
      <c r="BE82" s="1330"/>
      <c r="BF82" s="1330"/>
      <c r="BG82" s="1329"/>
    </row>
    <row r="83" spans="1:59" ht="15.75" customHeight="1">
      <c r="A83" s="449"/>
      <c r="B83" s="445"/>
      <c r="C83" s="446"/>
      <c r="D83" s="445"/>
      <c r="E83" s="445"/>
      <c r="F83" s="445"/>
      <c r="G83" s="484">
        <v>50.8</v>
      </c>
      <c r="H83" s="445"/>
      <c r="I83" s="455"/>
      <c r="J83" s="446"/>
      <c r="K83" s="445"/>
      <c r="L83" s="445"/>
      <c r="M83" s="445"/>
      <c r="N83" s="445"/>
      <c r="O83" s="445"/>
      <c r="P83" s="445"/>
      <c r="Q83" s="638"/>
      <c r="R83" s="638"/>
      <c r="S83" s="484"/>
      <c r="T83" s="638"/>
      <c r="U83" s="638"/>
      <c r="V83" s="638"/>
      <c r="W83" s="638"/>
      <c r="X83" s="638"/>
      <c r="Y83" s="638"/>
      <c r="Z83" s="638"/>
      <c r="AA83" s="638"/>
      <c r="AB83" s="638"/>
      <c r="AC83" s="638"/>
      <c r="AD83" s="638"/>
      <c r="AE83" s="638"/>
      <c r="AF83" s="638"/>
      <c r="AG83" s="446"/>
      <c r="AH83" s="638"/>
      <c r="AI83" s="185"/>
      <c r="AJ83" s="445"/>
      <c r="AK83" s="445"/>
      <c r="AL83" s="445"/>
      <c r="AM83" s="445"/>
      <c r="AN83" s="455"/>
      <c r="AO83" s="445"/>
      <c r="AP83" s="445"/>
      <c r="AQ83" s="484">
        <f>+FL_1($U$84,$U$82,$G$83,1200,9.28,-1*$F$84)</f>
        <v>3.0098999559055067E-2</v>
      </c>
      <c r="AR83" s="484"/>
      <c r="AS83" s="484"/>
      <c r="AT83" s="484"/>
      <c r="AU83" s="638"/>
      <c r="AV83" s="638"/>
      <c r="AW83" s="638"/>
      <c r="AX83" s="638"/>
      <c r="AY83" s="484"/>
      <c r="AZ83" s="484"/>
      <c r="BA83" s="671"/>
      <c r="BB83" s="449"/>
      <c r="BC83" s="169"/>
      <c r="BD83" s="1330"/>
      <c r="BE83" s="1330"/>
      <c r="BF83" s="1330"/>
      <c r="BG83" s="1330"/>
    </row>
    <row r="84" spans="1:59" ht="15.75" customHeight="1">
      <c r="A84" s="1239"/>
      <c r="B84" s="435" t="s">
        <v>3846</v>
      </c>
      <c r="C84" s="446">
        <f>+$C$82+$G$83</f>
        <v>84509.609999999986</v>
      </c>
      <c r="D84" s="447"/>
      <c r="E84" s="447"/>
      <c r="F84" s="1239">
        <v>0</v>
      </c>
      <c r="G84" s="484"/>
      <c r="H84" s="1239" t="s">
        <v>619</v>
      </c>
      <c r="I84" s="172"/>
      <c r="J84" s="446"/>
      <c r="K84" s="638"/>
      <c r="L84" s="445"/>
      <c r="M84" s="638"/>
      <c r="N84" s="1239" t="s">
        <v>844</v>
      </c>
      <c r="O84" s="445" t="s">
        <v>845</v>
      </c>
      <c r="P84" s="638"/>
      <c r="Q84" s="638"/>
      <c r="R84" s="638"/>
      <c r="S84" s="484"/>
      <c r="T84" s="638">
        <v>30</v>
      </c>
      <c r="U84" s="638">
        <v>-15</v>
      </c>
      <c r="V84" s="638"/>
      <c r="W84" s="638">
        <v>1.2</v>
      </c>
      <c r="X84" s="638">
        <v>1.6</v>
      </c>
      <c r="Y84" s="638"/>
      <c r="Z84" s="638"/>
      <c r="AA84" s="638">
        <v>0.35</v>
      </c>
      <c r="AB84" s="638"/>
      <c r="AC84" s="638" t="str">
        <f>IF(OR(AT84&gt;8,AT84&lt;-8),"PH",IF(OR(AT84&gt;5,AT84&lt;-5),"PH-Q",IF(OR(AT84&gt;1,AT84&lt;-1),"PH-C")))</f>
        <v>PH</v>
      </c>
      <c r="AD84" s="638"/>
      <c r="AE84" s="638"/>
      <c r="AF84" s="638"/>
      <c r="AG84" s="446"/>
      <c r="AH84" s="638"/>
      <c r="AI84" s="185"/>
      <c r="AJ84" s="638"/>
      <c r="AK84" s="445" t="s">
        <v>228</v>
      </c>
      <c r="AL84" s="445"/>
      <c r="AM84" s="445"/>
      <c r="AN84" s="455">
        <v>5.32</v>
      </c>
      <c r="AO84" s="1239"/>
      <c r="AP84" s="1239"/>
      <c r="AQ84" s="484"/>
      <c r="AR84" s="484"/>
      <c r="AS84" s="484"/>
      <c r="AT84" s="484">
        <f>+ab($T$84,$T$82,$T$86,$G$83,$G$85,-1*$F$84,1200)</f>
        <v>11.856577526034387</v>
      </c>
      <c r="AU84" s="638"/>
      <c r="AV84" s="638"/>
      <c r="AW84" s="638"/>
      <c r="AX84" s="638"/>
      <c r="AY84" s="484"/>
      <c r="AZ84" s="484"/>
      <c r="BA84" s="671"/>
      <c r="BB84" s="1239"/>
      <c r="BC84" s="169"/>
      <c r="BD84" s="1330"/>
      <c r="BE84" s="1330"/>
      <c r="BF84" s="1330"/>
      <c r="BG84" s="1329"/>
    </row>
    <row r="85" spans="1:59" ht="15.75" customHeight="1">
      <c r="A85" s="1239"/>
      <c r="B85" s="173"/>
      <c r="C85" s="446"/>
      <c r="D85" s="447"/>
      <c r="E85" s="447"/>
      <c r="F85" s="1239"/>
      <c r="G85" s="484">
        <v>50</v>
      </c>
      <c r="H85" s="1239"/>
      <c r="I85" s="448"/>
      <c r="J85" s="446"/>
      <c r="K85" s="638"/>
      <c r="L85" s="638"/>
      <c r="M85" s="638"/>
      <c r="N85" s="1239"/>
      <c r="O85" s="1239"/>
      <c r="P85" s="638"/>
      <c r="Q85" s="638"/>
      <c r="R85" s="638"/>
      <c r="S85" s="484"/>
      <c r="T85" s="638"/>
      <c r="U85" s="638"/>
      <c r="V85" s="638"/>
      <c r="W85" s="638"/>
      <c r="X85" s="638"/>
      <c r="Y85" s="638"/>
      <c r="Z85" s="638"/>
      <c r="AA85" s="638"/>
      <c r="AB85" s="638"/>
      <c r="AC85" s="638"/>
      <c r="AD85" s="638"/>
      <c r="AE85" s="638"/>
      <c r="AF85" s="638"/>
      <c r="AG85" s="446"/>
      <c r="AH85" s="638"/>
      <c r="AI85" s="185"/>
      <c r="AJ85" s="638"/>
      <c r="AK85" s="1239"/>
      <c r="AL85" s="638"/>
      <c r="AM85" s="638"/>
      <c r="AN85" s="455"/>
      <c r="AO85" s="1239"/>
      <c r="AP85" s="1239"/>
      <c r="AQ85" s="484">
        <f>+FL_2($T$86,$T$84,$G$85,1200,9.28,-1*$F$86)</f>
        <v>-0.37593390799999998</v>
      </c>
      <c r="AR85" s="484"/>
      <c r="AS85" s="484"/>
      <c r="AT85" s="484"/>
      <c r="AU85" s="638"/>
      <c r="AV85" s="638"/>
      <c r="AW85" s="638"/>
      <c r="AX85" s="638"/>
      <c r="AY85" s="484"/>
      <c r="AZ85" s="484"/>
      <c r="BA85" s="671"/>
      <c r="BB85" s="1239"/>
      <c r="BC85" s="169"/>
      <c r="BD85" s="1330"/>
      <c r="BE85" s="1330"/>
      <c r="BF85" s="1330"/>
      <c r="BG85" s="1330"/>
    </row>
    <row r="86" spans="1:59" ht="15.75" customHeight="1">
      <c r="A86" s="1239"/>
      <c r="B86" s="435" t="s">
        <v>3847</v>
      </c>
      <c r="C86" s="446">
        <f>+$C$84+$G$85</f>
        <v>84559.609999999986</v>
      </c>
      <c r="D86" s="447"/>
      <c r="E86" s="447"/>
      <c r="F86" s="1239">
        <v>0</v>
      </c>
      <c r="G86" s="484"/>
      <c r="H86" s="1239"/>
      <c r="I86" s="445"/>
      <c r="J86" s="446"/>
      <c r="K86" s="638"/>
      <c r="L86" s="445"/>
      <c r="M86" s="638"/>
      <c r="N86" s="1239" t="s">
        <v>843</v>
      </c>
      <c r="O86" s="1239"/>
      <c r="P86" s="638"/>
      <c r="Q86" s="638"/>
      <c r="R86" s="638"/>
      <c r="S86" s="484"/>
      <c r="T86" s="638">
        <v>-35</v>
      </c>
      <c r="U86" s="638"/>
      <c r="V86" s="638"/>
      <c r="W86" s="638">
        <v>1.4</v>
      </c>
      <c r="X86" s="638"/>
      <c r="Y86" s="638"/>
      <c r="Z86" s="638"/>
      <c r="AA86" s="638"/>
      <c r="AB86" s="638"/>
      <c r="AC86" s="638" t="str">
        <f>IF(OR(AT86&gt;8,AT86&lt;-8),"PH",IF(OR(AT86&gt;5,AT86&lt;-5),"PH-Q",IF(OR(AT86&gt;1,AT86&lt;-1),"PH-C")))</f>
        <v>PH-Q</v>
      </c>
      <c r="AD86" s="638"/>
      <c r="AE86" s="638"/>
      <c r="AF86" s="638"/>
      <c r="AG86" s="446"/>
      <c r="AH86" s="638"/>
      <c r="AI86" s="185"/>
      <c r="AJ86" s="638"/>
      <c r="AK86" s="1239" t="s">
        <v>139</v>
      </c>
      <c r="AL86" s="638"/>
      <c r="AM86" s="445"/>
      <c r="AN86" s="455">
        <v>5.42</v>
      </c>
      <c r="AO86" s="1239"/>
      <c r="AP86" s="1239"/>
      <c r="AQ86" s="484"/>
      <c r="AR86" s="484"/>
      <c r="AS86" s="484"/>
      <c r="AT86" s="484">
        <f>+ab($T$86,$T$84,$U$88,$G$85,$G$87,-1*$F$86,1200)</f>
        <v>-7.2481632069639188</v>
      </c>
      <c r="AU86" s="638"/>
      <c r="AV86" s="638"/>
      <c r="AW86" s="638"/>
      <c r="AX86" s="638"/>
      <c r="AY86" s="484"/>
      <c r="AZ86" s="484"/>
      <c r="BA86" s="671"/>
      <c r="BB86" s="1239"/>
      <c r="BC86" s="169"/>
      <c r="BD86" s="1330"/>
      <c r="BE86" s="1330"/>
      <c r="BF86" s="1330"/>
      <c r="BG86" s="1329"/>
    </row>
    <row r="87" spans="1:59" ht="15.75" customHeight="1">
      <c r="A87" s="1239"/>
      <c r="B87" s="173"/>
      <c r="C87" s="446"/>
      <c r="D87" s="447"/>
      <c r="E87" s="447"/>
      <c r="F87" s="1239"/>
      <c r="G87" s="484">
        <v>52.5</v>
      </c>
      <c r="H87" s="1239"/>
      <c r="I87" s="455"/>
      <c r="J87" s="446"/>
      <c r="K87" s="638"/>
      <c r="L87" s="638"/>
      <c r="M87" s="638"/>
      <c r="N87" s="1239"/>
      <c r="O87" s="1239"/>
      <c r="P87" s="638"/>
      <c r="Q87" s="638"/>
      <c r="R87" s="638"/>
      <c r="S87" s="484"/>
      <c r="T87" s="638"/>
      <c r="U87" s="638"/>
      <c r="V87" s="638"/>
      <c r="W87" s="638"/>
      <c r="X87" s="638"/>
      <c r="Y87" s="638"/>
      <c r="Z87" s="638"/>
      <c r="AA87" s="638"/>
      <c r="AB87" s="638"/>
      <c r="AC87" s="638"/>
      <c r="AD87" s="638"/>
      <c r="AE87" s="638"/>
      <c r="AF87" s="638"/>
      <c r="AG87" s="446"/>
      <c r="AH87" s="638"/>
      <c r="AI87" s="185"/>
      <c r="AJ87" s="638"/>
      <c r="AK87" s="1239"/>
      <c r="AL87" s="638"/>
      <c r="AM87" s="638"/>
      <c r="AN87" s="455"/>
      <c r="AO87" s="1239"/>
      <c r="AP87" s="1239"/>
      <c r="AQ87" s="484">
        <f>+FL_1($U$88,$T$86,$G$87,1200,9.28,-1*$F$88)</f>
        <v>0.38138002799999998</v>
      </c>
      <c r="AR87" s="484"/>
      <c r="AS87" s="484"/>
      <c r="AT87" s="484"/>
      <c r="AU87" s="638"/>
      <c r="AV87" s="638"/>
      <c r="AW87" s="484"/>
      <c r="AX87" s="484"/>
      <c r="AY87" s="484"/>
      <c r="AZ87" s="484"/>
      <c r="BA87" s="671"/>
      <c r="BB87" s="1239"/>
      <c r="BC87" s="169"/>
      <c r="BD87" s="1330"/>
      <c r="BE87" s="1330"/>
      <c r="BF87" s="1330"/>
      <c r="BG87" s="1330"/>
    </row>
    <row r="88" spans="1:59" ht="15.75" customHeight="1">
      <c r="A88" s="449"/>
      <c r="B88" s="485" t="s">
        <v>3848</v>
      </c>
      <c r="C88" s="446">
        <f>+$C$86+$G$87</f>
        <v>84612.109999999986</v>
      </c>
      <c r="D88" s="445"/>
      <c r="E88" s="445"/>
      <c r="F88" s="448">
        <v>0</v>
      </c>
      <c r="G88" s="484"/>
      <c r="H88" s="445" t="s">
        <v>2818</v>
      </c>
      <c r="I88" s="1239"/>
      <c r="J88" s="446"/>
      <c r="K88" s="638"/>
      <c r="L88" s="638"/>
      <c r="M88" s="638"/>
      <c r="N88" s="445" t="s">
        <v>845</v>
      </c>
      <c r="O88" s="1239" t="s">
        <v>844</v>
      </c>
      <c r="P88" s="1239" t="s">
        <v>843</v>
      </c>
      <c r="Q88" s="638"/>
      <c r="R88" s="638"/>
      <c r="S88" s="484"/>
      <c r="T88" s="638">
        <v>50</v>
      </c>
      <c r="U88" s="638">
        <v>35</v>
      </c>
      <c r="V88" s="638">
        <v>20</v>
      </c>
      <c r="W88" s="638">
        <v>1.4</v>
      </c>
      <c r="X88" s="638">
        <v>1.6</v>
      </c>
      <c r="Y88" s="638">
        <v>1.8</v>
      </c>
      <c r="Z88" s="638">
        <v>0.45</v>
      </c>
      <c r="AA88" s="638"/>
      <c r="AB88" s="638"/>
      <c r="AC88" s="638"/>
      <c r="AD88" s="638" t="s">
        <v>2773</v>
      </c>
      <c r="AE88" s="638" t="s">
        <v>1428</v>
      </c>
      <c r="AF88" s="638"/>
      <c r="AG88" s="446"/>
      <c r="AH88" s="638"/>
      <c r="AI88" s="185"/>
      <c r="AJ88" s="445"/>
      <c r="AK88" s="445" t="s">
        <v>3133</v>
      </c>
      <c r="AL88" s="445"/>
      <c r="AM88" s="445"/>
      <c r="AN88" s="455">
        <v>5.5</v>
      </c>
      <c r="AO88" s="1239"/>
      <c r="AP88" s="1239"/>
      <c r="AQ88" s="484"/>
      <c r="AR88" s="484"/>
      <c r="AS88" s="484"/>
      <c r="AT88" s="484">
        <f>+ab(-$U$88,$T$86,$U$90,$G$87,$G$89,-1*$F$88,1200)</f>
        <v>-12.93411864334513</v>
      </c>
      <c r="AU88" s="638"/>
      <c r="AV88" s="638"/>
      <c r="AW88" s="638"/>
      <c r="AX88" s="638"/>
      <c r="AY88" s="484"/>
      <c r="AZ88" s="484"/>
      <c r="BA88" s="671"/>
      <c r="BB88" s="449"/>
      <c r="BC88" s="169"/>
      <c r="BD88" s="1330"/>
      <c r="BE88" s="1330"/>
      <c r="BF88" s="1330"/>
      <c r="BG88" s="1329"/>
    </row>
    <row r="89" spans="1:59" ht="15.75" customHeight="1">
      <c r="A89" s="449"/>
      <c r="B89" s="445"/>
      <c r="C89" s="446"/>
      <c r="D89" s="445"/>
      <c r="E89" s="445"/>
      <c r="F89" s="445"/>
      <c r="G89" s="484">
        <v>48</v>
      </c>
      <c r="H89" s="445"/>
      <c r="I89" s="1239"/>
      <c r="J89" s="171"/>
      <c r="K89" s="1239"/>
      <c r="L89" s="445"/>
      <c r="M89" s="445"/>
      <c r="N89" s="445"/>
      <c r="O89" s="445"/>
      <c r="P89" s="445"/>
      <c r="Q89" s="638"/>
      <c r="R89" s="638"/>
      <c r="S89" s="484"/>
      <c r="T89" s="638"/>
      <c r="U89" s="638"/>
      <c r="V89" s="638"/>
      <c r="W89" s="638"/>
      <c r="X89" s="638"/>
      <c r="Y89" s="638"/>
      <c r="Z89" s="638"/>
      <c r="AA89" s="638"/>
      <c r="AB89" s="638"/>
      <c r="AC89" s="638"/>
      <c r="AD89" s="638"/>
      <c r="AE89" s="638"/>
      <c r="AF89" s="638"/>
      <c r="AG89" s="446"/>
      <c r="AH89" s="638"/>
      <c r="AI89" s="185"/>
      <c r="AJ89" s="445"/>
      <c r="AK89" s="445"/>
      <c r="AL89" s="445"/>
      <c r="AM89" s="445"/>
      <c r="AN89" s="484"/>
      <c r="AO89" s="445"/>
      <c r="AP89" s="445"/>
      <c r="AQ89" s="484">
        <f>+FL_1($U$90,-$U$88,$G$89,1200,9.28,-1*$F$90)</f>
        <v>0.36022448799999995</v>
      </c>
      <c r="AR89" s="484"/>
      <c r="AS89" s="484"/>
      <c r="AT89" s="484"/>
      <c r="AU89" s="638"/>
      <c r="AV89" s="638"/>
      <c r="AW89" s="638"/>
      <c r="AX89" s="638"/>
      <c r="AY89" s="484"/>
      <c r="AZ89" s="484"/>
      <c r="BA89" s="1304"/>
      <c r="BB89" s="449"/>
      <c r="BC89" s="169"/>
      <c r="BD89" s="1330"/>
      <c r="BE89" s="1330"/>
      <c r="BF89" s="1330"/>
      <c r="BG89" s="1330"/>
    </row>
    <row r="90" spans="1:59" ht="15.75" customHeight="1">
      <c r="A90" s="449"/>
      <c r="B90" s="485" t="s">
        <v>3849</v>
      </c>
      <c r="C90" s="446">
        <f>+$C$88+$G$89</f>
        <v>84660.109999999986</v>
      </c>
      <c r="D90" s="445"/>
      <c r="E90" s="445"/>
      <c r="F90" s="445" t="s">
        <v>2312</v>
      </c>
      <c r="G90" s="484"/>
      <c r="H90" s="445" t="s">
        <v>2818</v>
      </c>
      <c r="I90" s="445"/>
      <c r="J90" s="446"/>
      <c r="K90" s="638"/>
      <c r="L90" s="445"/>
      <c r="M90" s="445"/>
      <c r="N90" s="1239" t="s">
        <v>843</v>
      </c>
      <c r="O90" s="1239" t="s">
        <v>844</v>
      </c>
      <c r="P90" s="445" t="s">
        <v>845</v>
      </c>
      <c r="Q90" s="638"/>
      <c r="R90" s="638"/>
      <c r="S90" s="484"/>
      <c r="T90" s="638">
        <v>20</v>
      </c>
      <c r="U90" s="638">
        <v>35</v>
      </c>
      <c r="V90" s="638">
        <v>50</v>
      </c>
      <c r="W90" s="638">
        <v>2</v>
      </c>
      <c r="X90" s="638">
        <v>1.6</v>
      </c>
      <c r="Y90" s="638">
        <v>1.4</v>
      </c>
      <c r="Z90" s="638"/>
      <c r="AA90" s="638"/>
      <c r="AB90" s="638">
        <v>0.45</v>
      </c>
      <c r="AC90" s="638" t="s">
        <v>1428</v>
      </c>
      <c r="AD90" s="638" t="s">
        <v>2773</v>
      </c>
      <c r="AE90" s="638"/>
      <c r="AF90" s="638"/>
      <c r="AG90" s="446"/>
      <c r="AH90" s="638"/>
      <c r="AI90" s="185"/>
      <c r="AJ90" s="445"/>
      <c r="AK90" s="445" t="s">
        <v>3133</v>
      </c>
      <c r="AL90" s="445"/>
      <c r="AM90" s="445"/>
      <c r="AN90" s="484">
        <v>5.5</v>
      </c>
      <c r="AO90" s="1239"/>
      <c r="AP90" s="1239"/>
      <c r="AQ90" s="484"/>
      <c r="AR90" s="484"/>
      <c r="AS90" s="484"/>
      <c r="AT90" s="484">
        <f>+ab($U$90,-$U$88,$U$94,$G$89,$G$91,-1*$F$90,1200)</f>
        <v>12.934043734265915</v>
      </c>
      <c r="AU90" s="638"/>
      <c r="AV90" s="638"/>
      <c r="AW90" s="638"/>
      <c r="AX90" s="638"/>
      <c r="AY90" s="484"/>
      <c r="AZ90" s="484"/>
      <c r="BA90" s="671"/>
      <c r="BB90" s="449"/>
      <c r="BC90" s="169"/>
      <c r="BD90" s="1330"/>
      <c r="BE90" s="1330"/>
      <c r="BF90" s="1330"/>
      <c r="BG90" s="1329"/>
    </row>
    <row r="91" spans="1:59" ht="15.75" customHeight="1">
      <c r="A91" s="449"/>
      <c r="B91" s="445"/>
      <c r="C91" s="446"/>
      <c r="D91" s="445"/>
      <c r="E91" s="445"/>
      <c r="F91" s="445"/>
      <c r="G91" s="484">
        <v>26.3</v>
      </c>
      <c r="H91" s="445"/>
      <c r="I91" s="455"/>
      <c r="J91" s="446"/>
      <c r="K91" s="445"/>
      <c r="L91" s="445"/>
      <c r="M91" s="445"/>
      <c r="N91" s="445"/>
      <c r="O91" s="445"/>
      <c r="P91" s="445"/>
      <c r="Q91" s="638"/>
      <c r="R91" s="638"/>
      <c r="S91" s="484"/>
      <c r="T91" s="638"/>
      <c r="U91" s="638"/>
      <c r="V91" s="638"/>
      <c r="W91" s="638"/>
      <c r="X91" s="638"/>
      <c r="Y91" s="638"/>
      <c r="Z91" s="638"/>
      <c r="AA91" s="638"/>
      <c r="AB91" s="638"/>
      <c r="AC91" s="638"/>
      <c r="AD91" s="638"/>
      <c r="AE91" s="638"/>
      <c r="AF91" s="638"/>
      <c r="AG91" s="446"/>
      <c r="AH91" s="638"/>
      <c r="AI91" s="185"/>
      <c r="AJ91" s="445"/>
      <c r="AK91" s="445"/>
      <c r="AL91" s="445"/>
      <c r="AM91" s="445"/>
      <c r="AN91" s="484"/>
      <c r="AO91" s="445"/>
      <c r="AP91" s="445"/>
      <c r="AQ91" s="484"/>
      <c r="AR91" s="484"/>
      <c r="AS91" s="484"/>
      <c r="AT91" s="484"/>
      <c r="AU91" s="638"/>
      <c r="AV91" s="638"/>
      <c r="AW91" s="638"/>
      <c r="AX91" s="638"/>
      <c r="AY91" s="484"/>
      <c r="AZ91" s="484"/>
      <c r="BA91" s="671"/>
      <c r="BB91" s="449"/>
      <c r="BC91" s="169"/>
      <c r="BD91" s="1330"/>
      <c r="BE91" s="1330"/>
      <c r="BF91" s="1330"/>
      <c r="BG91" s="1330"/>
    </row>
    <row r="92" spans="1:59" ht="25">
      <c r="A92" s="1239" t="s">
        <v>1852</v>
      </c>
      <c r="B92" s="435" t="s">
        <v>3856</v>
      </c>
      <c r="C92" s="446">
        <f>+$C$90+$G$91-0.1</f>
        <v>84686.309999999983</v>
      </c>
      <c r="D92" s="447"/>
      <c r="E92" s="447"/>
      <c r="F92" s="1239">
        <v>0</v>
      </c>
      <c r="G92" s="484"/>
      <c r="H92" s="168" t="s">
        <v>3865</v>
      </c>
      <c r="I92" s="172" t="s">
        <v>1039</v>
      </c>
      <c r="J92" s="446"/>
      <c r="K92" s="638"/>
      <c r="L92" s="638" t="s">
        <v>896</v>
      </c>
      <c r="M92" s="638" t="str">
        <f>IF(AX92="PT",VLOOKUP(L92,'Foundation Calculation'!$V$2:$X$40,VLOOKUP(AX92,'Foundation Calculation'!$I$10:$J$13,2,FALSE),0),IF(AX92="K",VLOOKUP(L92,'Foundation Calculation'!$V$42:$X$80,VLOOKUP(AX92,'Foundation Calculation'!$I$10:$J$13,2,FALSE),0),""))</f>
        <v>2C4R</v>
      </c>
      <c r="N92" s="1239"/>
      <c r="O92" s="1239"/>
      <c r="P92" s="638"/>
      <c r="Q92" s="638"/>
      <c r="R92" s="638"/>
      <c r="S92" s="484"/>
      <c r="T92" s="638"/>
      <c r="U92" s="638"/>
      <c r="V92" s="638"/>
      <c r="W92" s="638"/>
      <c r="X92" s="638"/>
      <c r="Y92" s="638"/>
      <c r="Z92" s="638"/>
      <c r="AA92" s="638"/>
      <c r="AB92" s="638"/>
      <c r="AC92" s="638"/>
      <c r="AD92" s="638"/>
      <c r="AE92" s="638"/>
      <c r="AF92" s="638"/>
      <c r="AG92" s="446"/>
      <c r="AH92" s="638"/>
      <c r="AI92" s="185"/>
      <c r="AJ92" s="638"/>
      <c r="AK92" s="1239"/>
      <c r="AL92" s="638"/>
      <c r="AM92" s="445" t="s">
        <v>1042</v>
      </c>
      <c r="AN92" s="455"/>
      <c r="AO92" s="1239"/>
      <c r="AP92" s="1239"/>
      <c r="AQ92" s="484"/>
      <c r="AR92" s="484"/>
      <c r="AS92" s="484"/>
      <c r="AT92" s="484"/>
      <c r="AU92" s="638"/>
      <c r="AV92" s="638"/>
      <c r="AW92" s="638" t="str">
        <f>VLOOKUP(C92,'Foundation Calculation'!$A$2:$C$33,3,1)</f>
        <v>Soil B</v>
      </c>
      <c r="AX92" s="638" t="str">
        <f>VLOOKUP(C92,'Foundation Calculation'!$E$2:$G$33,3,1)</f>
        <v>PT</v>
      </c>
      <c r="AY92" s="484">
        <f>IF(AX92="PT",VLOOKUP(L92,'Foundation Calculation'!$K$2:$R$40,VLOOKUP(AW92,'Foundation Calculation'!$I$2:$J$8,2,FALSE),0),IF(AX92="K",VLOOKUP(L92,'Foundation Calculation'!$K$42:$R$80,VLOOKUP(AW92,'Foundation Calculation'!$I$2:$J$8,2,FALSE),0),""))</f>
        <v>4</v>
      </c>
      <c r="AZ92" s="484"/>
      <c r="BA92" s="671" t="s">
        <v>2809</v>
      </c>
      <c r="BB92" s="1239" t="str">
        <f>Pole_Calculations!A121</f>
        <v>App.7-V11A-P9.5.11.2</v>
      </c>
      <c r="BC92" s="169"/>
      <c r="BD92" s="1329"/>
      <c r="BE92" s="1329"/>
      <c r="BF92" s="1330"/>
      <c r="BG92" s="1330"/>
    </row>
    <row r="93" spans="1:59" ht="15.75" customHeight="1">
      <c r="A93" s="1239"/>
      <c r="B93" s="173"/>
      <c r="C93" s="446"/>
      <c r="D93" s="447"/>
      <c r="E93" s="447"/>
      <c r="F93" s="1239"/>
      <c r="G93" s="484">
        <v>26.3</v>
      </c>
      <c r="H93" s="1239"/>
      <c r="I93" s="448"/>
      <c r="J93" s="446"/>
      <c r="K93" s="638"/>
      <c r="L93" s="638"/>
      <c r="M93" s="638"/>
      <c r="N93" s="445"/>
      <c r="O93" s="1239"/>
      <c r="P93" s="1239"/>
      <c r="Q93" s="638"/>
      <c r="R93" s="638"/>
      <c r="S93" s="484"/>
      <c r="T93" s="638"/>
      <c r="U93" s="638"/>
      <c r="V93" s="638"/>
      <c r="W93" s="638"/>
      <c r="X93" s="638"/>
      <c r="Y93" s="638"/>
      <c r="Z93" s="638"/>
      <c r="AA93" s="638"/>
      <c r="AB93" s="638"/>
      <c r="AC93" s="638"/>
      <c r="AD93" s="638"/>
      <c r="AE93" s="638"/>
      <c r="AF93" s="638"/>
      <c r="AG93" s="446"/>
      <c r="AH93" s="638"/>
      <c r="AI93" s="185"/>
      <c r="AJ93" s="638"/>
      <c r="AK93" s="1239"/>
      <c r="AL93" s="638"/>
      <c r="AM93" s="638"/>
      <c r="AN93" s="455"/>
      <c r="AO93" s="1239"/>
      <c r="AP93" s="1239"/>
      <c r="AQ93" s="484">
        <f>+FL_1($U$94,$U$90,52.5,1200,9.28,-1*$F$94)</f>
        <v>0.61643749999999997</v>
      </c>
      <c r="AR93" s="484"/>
      <c r="AS93" s="484"/>
      <c r="AT93" s="484"/>
      <c r="AU93" s="638"/>
      <c r="AV93" s="638"/>
      <c r="AW93" s="638"/>
      <c r="AX93" s="638"/>
      <c r="AY93" s="484"/>
      <c r="AZ93" s="484"/>
      <c r="BA93" s="671"/>
      <c r="BB93" s="1239"/>
      <c r="BC93" s="169"/>
      <c r="BD93" s="1330"/>
      <c r="BE93" s="1330"/>
      <c r="BF93" s="1330"/>
      <c r="BG93" s="1330"/>
    </row>
    <row r="94" spans="1:59" ht="15.75" customHeight="1">
      <c r="A94" s="1239"/>
      <c r="B94" s="485" t="s">
        <v>3850</v>
      </c>
      <c r="C94" s="446">
        <f>+$C$92+$G$93</f>
        <v>84712.609999999986</v>
      </c>
      <c r="D94" s="447"/>
      <c r="E94" s="447"/>
      <c r="F94" s="1239">
        <v>0</v>
      </c>
      <c r="G94" s="484"/>
      <c r="H94" s="445" t="s">
        <v>2818</v>
      </c>
      <c r="I94" s="445"/>
      <c r="J94" s="446"/>
      <c r="K94" s="638"/>
      <c r="L94" s="638"/>
      <c r="M94" s="638"/>
      <c r="N94" s="445" t="s">
        <v>845</v>
      </c>
      <c r="O94" s="1239" t="s">
        <v>844</v>
      </c>
      <c r="P94" s="1239" t="s">
        <v>843</v>
      </c>
      <c r="Q94" s="638"/>
      <c r="R94" s="638"/>
      <c r="S94" s="484"/>
      <c r="T94" s="638">
        <v>50</v>
      </c>
      <c r="U94" s="638">
        <v>35</v>
      </c>
      <c r="V94" s="638">
        <v>20</v>
      </c>
      <c r="W94" s="638">
        <v>1.4</v>
      </c>
      <c r="X94" s="638">
        <v>1.6</v>
      </c>
      <c r="Y94" s="638">
        <v>1.8</v>
      </c>
      <c r="Z94" s="638">
        <v>0.45</v>
      </c>
      <c r="AA94" s="638"/>
      <c r="AB94" s="638"/>
      <c r="AC94" s="638"/>
      <c r="AD94" s="638" t="s">
        <v>2773</v>
      </c>
      <c r="AE94" s="638" t="s">
        <v>1428</v>
      </c>
      <c r="AF94" s="638"/>
      <c r="AG94" s="446"/>
      <c r="AH94" s="638"/>
      <c r="AI94" s="185"/>
      <c r="AJ94" s="638"/>
      <c r="AK94" s="1239" t="s">
        <v>3133</v>
      </c>
      <c r="AL94" s="638"/>
      <c r="AM94" s="445"/>
      <c r="AN94" s="484">
        <v>5.5</v>
      </c>
      <c r="AO94" s="1239"/>
      <c r="AP94" s="1239"/>
      <c r="AQ94" s="484"/>
      <c r="AR94" s="484"/>
      <c r="AS94" s="484"/>
      <c r="AT94" s="484">
        <f>+ab($U$94,$T$90,$U$98,52.5,$G$97,-1*$F$94,1200)</f>
        <v>11.237098655072334</v>
      </c>
      <c r="AU94" s="638"/>
      <c r="AV94" s="638"/>
      <c r="AW94" s="638"/>
      <c r="AX94" s="638"/>
      <c r="AY94" s="484"/>
      <c r="AZ94" s="484"/>
      <c r="BA94" s="671"/>
      <c r="BB94" s="1239"/>
      <c r="BC94" s="169"/>
      <c r="BD94" s="1330"/>
      <c r="BE94" s="1330"/>
      <c r="BF94" s="1330"/>
      <c r="BG94" s="1329"/>
    </row>
    <row r="95" spans="1:59" ht="15.75" customHeight="1">
      <c r="A95" s="1239"/>
      <c r="B95" s="485"/>
      <c r="C95" s="446"/>
      <c r="D95" s="447"/>
      <c r="E95" s="447"/>
      <c r="F95" s="1239"/>
      <c r="G95" s="733">
        <v>38.700000000000003</v>
      </c>
      <c r="H95" s="1239"/>
      <c r="I95" s="445"/>
      <c r="J95" s="446"/>
      <c r="K95" s="638"/>
      <c r="L95" s="638"/>
      <c r="M95" s="638"/>
      <c r="N95" s="1239"/>
      <c r="O95" s="1239"/>
      <c r="P95" s="638"/>
      <c r="Q95" s="638"/>
      <c r="R95" s="638"/>
      <c r="S95" s="484"/>
      <c r="T95" s="638"/>
      <c r="U95" s="638"/>
      <c r="V95" s="638"/>
      <c r="W95" s="638"/>
      <c r="X95" s="638"/>
      <c r="Y95" s="638"/>
      <c r="Z95" s="638"/>
      <c r="AA95" s="638"/>
      <c r="AB95" s="638"/>
      <c r="AC95" s="638"/>
      <c r="AD95" s="638"/>
      <c r="AE95" s="638"/>
      <c r="AF95" s="638"/>
      <c r="AG95" s="446"/>
      <c r="AH95" s="638"/>
      <c r="AI95" s="185"/>
      <c r="AJ95" s="638"/>
      <c r="AK95" s="1239"/>
      <c r="AL95" s="638"/>
      <c r="AM95" s="445"/>
      <c r="AN95" s="484"/>
      <c r="AO95" s="1239"/>
      <c r="AP95" s="1239"/>
      <c r="AQ95" s="484">
        <f>+FL_1($U$98,$U$94,$G$97,1200,9.28,-1*$F$98)</f>
        <v>0.36839080000000002</v>
      </c>
      <c r="AR95" s="484"/>
      <c r="AS95" s="484"/>
      <c r="AT95" s="484"/>
      <c r="AU95" s="638"/>
      <c r="AV95" s="638"/>
      <c r="AW95" s="638"/>
      <c r="AX95" s="638"/>
      <c r="AY95" s="484"/>
      <c r="AZ95" s="484"/>
      <c r="BA95" s="671"/>
      <c r="BB95" s="1239"/>
      <c r="BC95" s="169"/>
      <c r="BD95" s="1330"/>
      <c r="BE95" s="1330"/>
      <c r="BF95" s="1330"/>
      <c r="BG95" s="1330"/>
    </row>
    <row r="96" spans="1:59" ht="15.75" customHeight="1">
      <c r="A96" s="1239"/>
      <c r="B96" s="485" t="s">
        <v>3866</v>
      </c>
      <c r="C96" s="446">
        <f>+$C$94+$G$95</f>
        <v>84751.309999999983</v>
      </c>
      <c r="D96" s="447"/>
      <c r="E96" s="447"/>
      <c r="F96" s="1239">
        <v>0</v>
      </c>
      <c r="G96" s="484"/>
      <c r="H96" s="1239"/>
      <c r="I96" s="445"/>
      <c r="J96" s="446"/>
      <c r="K96" s="638"/>
      <c r="L96" s="638" t="s">
        <v>819</v>
      </c>
      <c r="M96" s="638" t="str">
        <f>IF(AX96="PT",VLOOKUP(L96,'Foundation Calculation'!$V$2:$X$40,VLOOKUP(AX96,'Foundation Calculation'!$I$10:$J$13,2,FALSE),0),IF(AX96="K",VLOOKUP(L96,'Foundation Calculation'!$V$42:$X$80,VLOOKUP(AX96,'Foundation Calculation'!$I$10:$J$13,2,FALSE),0),""))</f>
        <v>C5R</v>
      </c>
      <c r="N96" s="1239"/>
      <c r="O96" s="1239"/>
      <c r="P96" s="638"/>
      <c r="Q96" s="638"/>
      <c r="R96" s="638"/>
      <c r="S96" s="484"/>
      <c r="T96" s="638"/>
      <c r="U96" s="638"/>
      <c r="V96" s="638"/>
      <c r="W96" s="638"/>
      <c r="X96" s="638"/>
      <c r="Y96" s="638"/>
      <c r="Z96" s="638"/>
      <c r="AA96" s="638"/>
      <c r="AB96" s="638"/>
      <c r="AC96" s="638"/>
      <c r="AD96" s="638"/>
      <c r="AE96" s="638"/>
      <c r="AF96" s="638"/>
      <c r="AG96" s="446"/>
      <c r="AH96" s="638"/>
      <c r="AI96" s="185"/>
      <c r="AJ96" s="638"/>
      <c r="AK96" s="1239"/>
      <c r="AL96" s="638" t="s">
        <v>2127</v>
      </c>
      <c r="AM96" s="445" t="s">
        <v>1042</v>
      </c>
      <c r="AN96" s="484"/>
      <c r="AO96" s="1239"/>
      <c r="AP96" s="1239"/>
      <c r="AQ96" s="484"/>
      <c r="AR96" s="484"/>
      <c r="AS96" s="484"/>
      <c r="AT96" s="484"/>
      <c r="AU96" s="638"/>
      <c r="AV96" s="638"/>
      <c r="AW96" s="638" t="str">
        <f>VLOOKUP(C96,'Foundation Calculation'!$A$2:$C$33,3,1)</f>
        <v>Soil B</v>
      </c>
      <c r="AX96" s="638" t="str">
        <f>VLOOKUP(C96,'Foundation Calculation'!$E$2:$G$33,3,1)</f>
        <v>PT</v>
      </c>
      <c r="AY96" s="484">
        <f>IF(AX96="PT",VLOOKUP(L96,'Foundation Calculation'!$K$2:$R$40,VLOOKUP(AW96,'Foundation Calculation'!$I$2:$J$8,2,FALSE),0),IF(AX96="K",VLOOKUP(L96,'Foundation Calculation'!$K$42:$R$80,VLOOKUP(AW96,'Foundation Calculation'!$I$2:$J$8,2,FALSE),0),""))</f>
        <v>3.5</v>
      </c>
      <c r="AZ96" s="484"/>
      <c r="BA96" s="671" t="s">
        <v>2809</v>
      </c>
      <c r="BB96" s="1239" t="str">
        <f>Pole_Calculations!A178</f>
        <v>App.8-V08F-P10.3</v>
      </c>
      <c r="BC96" s="169"/>
      <c r="BD96" s="1329"/>
      <c r="BE96" s="1329"/>
      <c r="BF96" s="1329"/>
      <c r="BG96" s="1330"/>
    </row>
    <row r="97" spans="1:59" ht="15.75" customHeight="1">
      <c r="A97" s="1239"/>
      <c r="B97" s="173"/>
      <c r="C97" s="446"/>
      <c r="D97" s="447"/>
      <c r="E97" s="447"/>
      <c r="F97" s="1239"/>
      <c r="G97" s="484">
        <v>50</v>
      </c>
      <c r="H97" s="1239"/>
      <c r="I97" s="455"/>
      <c r="J97" s="446"/>
      <c r="K97" s="638"/>
      <c r="L97" s="638"/>
      <c r="M97" s="638"/>
      <c r="N97" s="1239"/>
      <c r="O97" s="1239"/>
      <c r="P97" s="638"/>
      <c r="Q97" s="638"/>
      <c r="R97" s="638"/>
      <c r="S97" s="484"/>
      <c r="T97" s="638"/>
      <c r="U97" s="638"/>
      <c r="V97" s="638"/>
      <c r="W97" s="638"/>
      <c r="X97" s="638"/>
      <c r="Y97" s="638"/>
      <c r="Z97" s="638"/>
      <c r="AA97" s="638"/>
      <c r="AB97" s="638"/>
      <c r="AC97" s="638"/>
      <c r="AD97" s="638"/>
      <c r="AE97" s="638"/>
      <c r="AF97" s="638"/>
      <c r="AG97" s="446"/>
      <c r="AH97" s="638"/>
      <c r="AI97" s="185"/>
      <c r="AJ97" s="638"/>
      <c r="AK97" s="1239"/>
      <c r="AL97" s="638"/>
      <c r="AM97" s="638"/>
      <c r="AN97" s="455"/>
      <c r="AO97" s="1239"/>
      <c r="AP97" s="1239"/>
      <c r="AQ97" s="484"/>
      <c r="AR97" s="484"/>
      <c r="AS97" s="484"/>
      <c r="AT97" s="484"/>
      <c r="AU97" s="638"/>
      <c r="AV97" s="638"/>
      <c r="AW97" s="484"/>
      <c r="AX97" s="484"/>
      <c r="AY97" s="484"/>
      <c r="AZ97" s="484"/>
      <c r="BA97" s="671"/>
      <c r="BB97" s="1239"/>
      <c r="BC97" s="169"/>
      <c r="BD97" s="1330"/>
      <c r="BE97" s="1330"/>
      <c r="BF97" s="1330"/>
      <c r="BG97" s="1330"/>
    </row>
    <row r="98" spans="1:59" ht="15.75" customHeight="1">
      <c r="A98" s="449"/>
      <c r="B98" s="485" t="s">
        <v>3851</v>
      </c>
      <c r="C98" s="446">
        <f>+$C$94+$G$97</f>
        <v>84762.609999999986</v>
      </c>
      <c r="D98" s="445"/>
      <c r="E98" s="445"/>
      <c r="F98" s="448">
        <v>0</v>
      </c>
      <c r="G98" s="484"/>
      <c r="H98" s="445" t="s">
        <v>2818</v>
      </c>
      <c r="I98" s="1239"/>
      <c r="J98" s="446"/>
      <c r="K98" s="638"/>
      <c r="L98" s="638" t="s">
        <v>896</v>
      </c>
      <c r="M98" s="638" t="s">
        <v>4451</v>
      </c>
      <c r="N98" s="1239" t="s">
        <v>844</v>
      </c>
      <c r="O98" s="1239" t="s">
        <v>4085</v>
      </c>
      <c r="P98" s="445" t="s">
        <v>845</v>
      </c>
      <c r="Q98" s="638"/>
      <c r="R98" s="638"/>
      <c r="S98" s="484"/>
      <c r="T98" s="638">
        <v>-20</v>
      </c>
      <c r="U98" s="638">
        <v>-35</v>
      </c>
      <c r="V98" s="638">
        <v>-50</v>
      </c>
      <c r="W98" s="638">
        <v>1.4</v>
      </c>
      <c r="X98" s="638">
        <v>1.6</v>
      </c>
      <c r="Y98" s="638">
        <v>1.8</v>
      </c>
      <c r="Z98" s="638"/>
      <c r="AA98" s="638"/>
      <c r="AB98" s="638">
        <v>0.45</v>
      </c>
      <c r="AC98" s="638" t="s">
        <v>2773</v>
      </c>
      <c r="AD98" s="638" t="s">
        <v>1428</v>
      </c>
      <c r="AE98" s="638"/>
      <c r="AF98" s="638"/>
      <c r="AG98" s="446"/>
      <c r="AH98" s="638"/>
      <c r="AI98" s="185"/>
      <c r="AJ98" s="445"/>
      <c r="AK98" s="445"/>
      <c r="AL98" s="445"/>
      <c r="AM98" s="445" t="s">
        <v>1042</v>
      </c>
      <c r="AN98" s="455">
        <v>5.5</v>
      </c>
      <c r="AO98" s="1239"/>
      <c r="AP98" s="1239"/>
      <c r="AQ98" s="484"/>
      <c r="AR98" s="484"/>
      <c r="AS98" s="484"/>
      <c r="AT98" s="484">
        <f>+ab($U$98,$U$94,$T$102,$G$97,$G$101,-1*$F$98,1200)</f>
        <v>-13.453820528525231</v>
      </c>
      <c r="AU98" s="638"/>
      <c r="AV98" s="638"/>
      <c r="AW98" s="638" t="str">
        <f>VLOOKUP(C98,'Foundation Calculation'!$A$2:$C$33,3,1)</f>
        <v>Soil B</v>
      </c>
      <c r="AX98" s="638" t="str">
        <f>VLOOKUP(C98,'Foundation Calculation'!$E$2:$G$33,3,1)</f>
        <v>PT</v>
      </c>
      <c r="AY98" s="484">
        <f>IF(AX98="PT",VLOOKUP(L98,'Foundation Calculation'!$K$2:$R$40,VLOOKUP(AW98,'Foundation Calculation'!$I$2:$J$8,2,FALSE),0),IF(AX98="K",VLOOKUP(L98,'Foundation Calculation'!$K$42:$R$80,VLOOKUP(AW98,'Foundation Calculation'!$I$2:$J$8,2,FALSE),0),""))</f>
        <v>4</v>
      </c>
      <c r="AZ98" s="484"/>
      <c r="BA98" s="671" t="s">
        <v>2809</v>
      </c>
      <c r="BB98" s="449" t="str">
        <f>Pole_Calculations!A23</f>
        <v>App.7-V11A-P9.5.1.9</v>
      </c>
      <c r="BC98" s="169"/>
      <c r="BD98" s="1329"/>
      <c r="BE98" s="1329"/>
      <c r="BF98" s="1330"/>
      <c r="BG98" s="1329"/>
    </row>
    <row r="99" spans="1:59" ht="15.75" customHeight="1">
      <c r="A99" s="449"/>
      <c r="B99" s="485"/>
      <c r="C99" s="446"/>
      <c r="D99" s="445"/>
      <c r="E99" s="445"/>
      <c r="F99" s="448"/>
      <c r="G99" s="733">
        <v>38.700000000000003</v>
      </c>
      <c r="H99" s="445"/>
      <c r="I99" s="1239">
        <v>327</v>
      </c>
      <c r="J99" s="446"/>
      <c r="K99" s="638"/>
      <c r="L99" s="638"/>
      <c r="M99" s="638"/>
      <c r="N99" s="1239"/>
      <c r="O99" s="1239"/>
      <c r="P99" s="445"/>
      <c r="Q99" s="638"/>
      <c r="R99" s="638"/>
      <c r="S99" s="484"/>
      <c r="T99" s="638"/>
      <c r="U99" s="638"/>
      <c r="V99" s="638"/>
      <c r="W99" s="638"/>
      <c r="X99" s="638"/>
      <c r="Y99" s="638"/>
      <c r="Z99" s="638"/>
      <c r="AA99" s="638"/>
      <c r="AB99" s="638"/>
      <c r="AC99" s="638"/>
      <c r="AD99" s="638"/>
      <c r="AE99" s="638"/>
      <c r="AF99" s="638"/>
      <c r="AG99" s="446"/>
      <c r="AH99" s="638"/>
      <c r="AI99" s="185"/>
      <c r="AJ99" s="445"/>
      <c r="AK99" s="445"/>
      <c r="AL99" s="445"/>
      <c r="AM99" s="445"/>
      <c r="AN99" s="455"/>
      <c r="AO99" s="1239"/>
      <c r="AP99" s="1239"/>
      <c r="AQ99" s="484">
        <f>+FL_2(-$T$102,$U$98,$G$101,1200,9.28,-1*$F$102)</f>
        <v>-0.38080511887022894</v>
      </c>
      <c r="AR99" s="484"/>
      <c r="AS99" s="484"/>
      <c r="AT99" s="484"/>
      <c r="AU99" s="638"/>
      <c r="AV99" s="638"/>
      <c r="AW99" s="638"/>
      <c r="AX99" s="638"/>
      <c r="AY99" s="484"/>
      <c r="AZ99" s="484"/>
      <c r="BA99" s="671"/>
      <c r="BB99" s="449"/>
      <c r="BC99" s="169"/>
      <c r="BD99" s="1330"/>
      <c r="BE99" s="1330"/>
      <c r="BF99" s="1330"/>
      <c r="BG99" s="1330"/>
    </row>
    <row r="100" spans="1:59" ht="25">
      <c r="A100" s="449"/>
      <c r="B100" s="485" t="s">
        <v>3867</v>
      </c>
      <c r="C100" s="446">
        <f>+$C$96+$G$99</f>
        <v>84790.00999999998</v>
      </c>
      <c r="D100" s="445"/>
      <c r="E100" s="445"/>
      <c r="F100" s="448">
        <v>0</v>
      </c>
      <c r="G100" s="484"/>
      <c r="H100" s="445" t="s">
        <v>4204</v>
      </c>
      <c r="I100" s="168" t="s">
        <v>4923</v>
      </c>
      <c r="J100" s="446"/>
      <c r="K100" s="638"/>
      <c r="L100" s="638" t="s">
        <v>821</v>
      </c>
      <c r="M100" s="638" t="str">
        <f>IF(AX100="PT",VLOOKUP(L100,'Foundation Calculation'!$V$2:$X$40,VLOOKUP(AX100,'Foundation Calculation'!$I$10:$J$13,2,FALSE),0),IF(AX100="K",VLOOKUP(L100,'Foundation Calculation'!$V$42:$X$80,VLOOKUP(AX100,'Foundation Calculation'!$I$10:$J$13,2,FALSE),0),""))</f>
        <v>C7R</v>
      </c>
      <c r="N100" s="1239"/>
      <c r="O100" s="1239"/>
      <c r="P100" s="445"/>
      <c r="Q100" s="638"/>
      <c r="R100" s="638"/>
      <c r="S100" s="484"/>
      <c r="T100" s="638"/>
      <c r="U100" s="638"/>
      <c r="V100" s="638"/>
      <c r="W100" s="638"/>
      <c r="X100" s="638"/>
      <c r="Y100" s="638"/>
      <c r="Z100" s="638"/>
      <c r="AA100" s="638"/>
      <c r="AB100" s="638"/>
      <c r="AC100" s="638"/>
      <c r="AD100" s="638"/>
      <c r="AE100" s="638"/>
      <c r="AF100" s="638"/>
      <c r="AG100" s="446"/>
      <c r="AH100" s="638"/>
      <c r="AI100" s="185"/>
      <c r="AJ100" s="445"/>
      <c r="AK100" s="445"/>
      <c r="AL100" s="445" t="s">
        <v>2142</v>
      </c>
      <c r="AM100" s="445" t="s">
        <v>1042</v>
      </c>
      <c r="AN100" s="455"/>
      <c r="AO100" s="1239"/>
      <c r="AP100" s="1239"/>
      <c r="AQ100" s="484"/>
      <c r="AR100" s="484"/>
      <c r="AS100" s="484"/>
      <c r="AT100" s="484"/>
      <c r="AU100" s="638"/>
      <c r="AV100" s="638"/>
      <c r="AW100" s="638" t="str">
        <f>VLOOKUP(C100,'Foundation Calculation'!$A$2:$C$33,3,1)</f>
        <v>Soil B</v>
      </c>
      <c r="AX100" s="638" t="str">
        <f>VLOOKUP(C100,'Foundation Calculation'!$E$2:$G$33,3,1)</f>
        <v>PT</v>
      </c>
      <c r="AY100" s="484">
        <f>IF(AX100="PT",VLOOKUP(L100,'Foundation Calculation'!$K$2:$R$40,VLOOKUP(AW100,'Foundation Calculation'!$I$2:$J$8,2,FALSE),0),IF(AX100="K",VLOOKUP(L100,'Foundation Calculation'!$K$42:$R$80,VLOOKUP(AW100,'Foundation Calculation'!$I$2:$J$8,2,FALSE),0),""))</f>
        <v>3.5</v>
      </c>
      <c r="AZ100" s="484"/>
      <c r="BA100" s="671" t="s">
        <v>2809</v>
      </c>
      <c r="BB100" s="449" t="str">
        <f>Pole_Calculations!A178</f>
        <v>App.8-V08F-P10.3</v>
      </c>
      <c r="BC100" s="169"/>
      <c r="BD100" s="1329"/>
      <c r="BE100" s="1329"/>
      <c r="BF100" s="1329"/>
      <c r="BG100" s="1330"/>
    </row>
    <row r="101" spans="1:59" ht="15.75" customHeight="1">
      <c r="A101" s="1239"/>
      <c r="B101" s="445" t="s">
        <v>4198</v>
      </c>
      <c r="C101" s="446"/>
      <c r="D101" s="445"/>
      <c r="E101" s="445"/>
      <c r="F101" s="445"/>
      <c r="G101" s="484">
        <v>52.4</v>
      </c>
      <c r="H101" s="445"/>
      <c r="I101" s="1239"/>
      <c r="J101" s="171"/>
      <c r="K101" s="1239"/>
      <c r="L101" s="445"/>
      <c r="M101" s="445"/>
      <c r="N101" s="1239" t="s">
        <v>4087</v>
      </c>
      <c r="O101" s="445"/>
      <c r="P101" s="445"/>
      <c r="Q101" s="638"/>
      <c r="R101" s="638"/>
      <c r="S101" s="484"/>
      <c r="T101" s="638">
        <v>-5</v>
      </c>
      <c r="U101" s="638"/>
      <c r="V101" s="638"/>
      <c r="W101" s="638">
        <v>1.4</v>
      </c>
      <c r="X101" s="638"/>
      <c r="Y101" s="638"/>
      <c r="Z101" s="638"/>
      <c r="AA101" s="638"/>
      <c r="AB101" s="638"/>
      <c r="AC101" s="638"/>
      <c r="AD101" s="638"/>
      <c r="AE101" s="638"/>
      <c r="AF101" s="638"/>
      <c r="AG101" s="446"/>
      <c r="AH101" s="638"/>
      <c r="AI101" s="185"/>
      <c r="AJ101" s="445" t="s">
        <v>864</v>
      </c>
      <c r="AK101" s="445" t="s">
        <v>4086</v>
      </c>
      <c r="AL101" s="445"/>
      <c r="AM101" s="445"/>
      <c r="AN101" s="484"/>
      <c r="AO101" s="445"/>
      <c r="AP101" s="445"/>
      <c r="AQ101" s="484"/>
      <c r="AR101" s="484"/>
      <c r="AS101" s="484"/>
      <c r="AT101" s="484"/>
      <c r="AU101" s="638"/>
      <c r="AV101" s="638"/>
      <c r="AW101" s="638"/>
      <c r="AX101" s="638"/>
      <c r="AY101" s="484"/>
      <c r="AZ101" s="484"/>
      <c r="BA101" s="1304"/>
      <c r="BB101" s="1239"/>
      <c r="BC101" s="169"/>
      <c r="BD101" s="1330"/>
      <c r="BE101" s="1330"/>
      <c r="BF101" s="1330"/>
      <c r="BG101" s="1329"/>
    </row>
    <row r="102" spans="1:59" ht="15.65" customHeight="1">
      <c r="A102" s="449"/>
      <c r="B102" s="485" t="s">
        <v>3852</v>
      </c>
      <c r="C102" s="446">
        <f>+$C$98+$G$101</f>
        <v>84815.00999999998</v>
      </c>
      <c r="D102" s="445"/>
      <c r="E102" s="445"/>
      <c r="F102" s="445" t="s">
        <v>2312</v>
      </c>
      <c r="G102" s="484"/>
      <c r="H102" s="445"/>
      <c r="I102" s="445" t="s">
        <v>3976</v>
      </c>
      <c r="J102" s="446"/>
      <c r="K102" s="638"/>
      <c r="L102" s="445"/>
      <c r="M102" s="445"/>
      <c r="N102" s="1239" t="s">
        <v>843</v>
      </c>
      <c r="O102" s="445"/>
      <c r="P102" s="445"/>
      <c r="Q102" s="638"/>
      <c r="R102" s="638"/>
      <c r="S102" s="484"/>
      <c r="T102" s="638">
        <v>-35</v>
      </c>
      <c r="U102" s="638"/>
      <c r="V102" s="638"/>
      <c r="W102" s="638">
        <v>1.4</v>
      </c>
      <c r="X102" s="638"/>
      <c r="Y102" s="638"/>
      <c r="Z102" s="638"/>
      <c r="AA102" s="638"/>
      <c r="AB102" s="638"/>
      <c r="AC102" s="638" t="str">
        <f>IF(OR(AT102&gt;8,AT102&lt;-8),"PH",IF(OR(AT102&gt;5,AT102&lt;-5),"PH-Q",IF(OR(AT102&gt;1,AT102&lt;-1),"PH-C")))</f>
        <v>PH-Q</v>
      </c>
      <c r="AD102" s="638"/>
      <c r="AE102" s="638"/>
      <c r="AF102" s="638"/>
      <c r="AG102" s="446"/>
      <c r="AH102" s="638"/>
      <c r="AI102" s="185"/>
      <c r="AJ102" s="445"/>
      <c r="AK102" s="183" t="s">
        <v>139</v>
      </c>
      <c r="AL102" s="445"/>
      <c r="AM102" s="445"/>
      <c r="AN102" s="484">
        <v>5.5</v>
      </c>
      <c r="AO102" s="1239"/>
      <c r="AP102" s="1239"/>
      <c r="AQ102" s="484"/>
      <c r="AR102" s="484"/>
      <c r="AS102" s="484"/>
      <c r="AT102" s="484">
        <f>+ab(-$T$102,$U$98,$T$106,$G$101,$G$105,-1*$F$102,1200)</f>
        <v>7.3353064558111845</v>
      </c>
      <c r="AU102" s="638"/>
      <c r="AV102" s="638"/>
      <c r="AW102" s="638"/>
      <c r="AX102" s="638"/>
      <c r="AY102" s="484"/>
      <c r="AZ102" s="484"/>
      <c r="BA102" s="671"/>
      <c r="BB102" s="449"/>
      <c r="BC102" s="169"/>
      <c r="BD102" s="1330"/>
      <c r="BE102" s="1330"/>
      <c r="BF102" s="1330"/>
      <c r="BG102" s="1329"/>
    </row>
    <row r="103" spans="1:59" ht="15.75" customHeight="1">
      <c r="A103" s="449"/>
      <c r="B103" s="1298"/>
      <c r="C103" s="1274"/>
      <c r="D103" s="641"/>
      <c r="E103" s="641"/>
      <c r="F103" s="641"/>
      <c r="G103" s="545">
        <v>26</v>
      </c>
      <c r="H103" s="641"/>
      <c r="I103" s="641"/>
      <c r="J103" s="1274">
        <f>C104-9.5</f>
        <v>84831.50999999998</v>
      </c>
      <c r="K103" s="441" t="s">
        <v>2788</v>
      </c>
      <c r="L103" s="641"/>
      <c r="M103" s="641"/>
      <c r="N103" s="641"/>
      <c r="O103" s="641"/>
      <c r="P103" s="641"/>
      <c r="Q103" s="441"/>
      <c r="R103" s="441"/>
      <c r="S103" s="545"/>
      <c r="T103" s="441"/>
      <c r="U103" s="441"/>
      <c r="V103" s="441"/>
      <c r="W103" s="441"/>
      <c r="X103" s="441"/>
      <c r="Y103" s="441"/>
      <c r="Z103" s="441"/>
      <c r="AA103" s="441"/>
      <c r="AB103" s="441"/>
      <c r="AC103" s="441"/>
      <c r="AD103" s="441"/>
      <c r="AE103" s="441"/>
      <c r="AF103" s="441"/>
      <c r="AG103" s="1274"/>
      <c r="AH103" s="441"/>
      <c r="AI103" s="1277"/>
      <c r="AJ103" s="641"/>
      <c r="AK103" s="1299"/>
      <c r="AL103" s="641"/>
      <c r="AM103" s="641"/>
      <c r="AN103" s="545"/>
      <c r="AO103" s="496"/>
      <c r="AP103" s="496"/>
      <c r="AQ103" s="545">
        <f>+FL_2($T$106,-$T$102,$G$105,1200,9.28,-1*$F$106)</f>
        <v>-0.3911778078540733</v>
      </c>
      <c r="AR103" s="545"/>
      <c r="AS103" s="545"/>
      <c r="AT103" s="545"/>
      <c r="AU103" s="441"/>
      <c r="AV103" s="441"/>
      <c r="AW103" s="441"/>
      <c r="AX103" s="441"/>
      <c r="AY103" s="545"/>
      <c r="AZ103" s="545"/>
      <c r="BA103" s="1300"/>
      <c r="BB103" s="449"/>
      <c r="BC103" s="169"/>
      <c r="BD103" s="1329"/>
      <c r="BE103" s="1330"/>
      <c r="BF103" s="1330"/>
      <c r="BG103" s="1330"/>
    </row>
    <row r="104" spans="1:59" ht="15.75" customHeight="1">
      <c r="A104" s="449"/>
      <c r="B104" s="485" t="s">
        <v>3868</v>
      </c>
      <c r="C104" s="446">
        <f>+$C$102+$G$103</f>
        <v>84841.00999999998</v>
      </c>
      <c r="D104" s="445"/>
      <c r="E104" s="445"/>
      <c r="F104" s="445" t="s">
        <v>2312</v>
      </c>
      <c r="G104" s="484"/>
      <c r="H104" s="445" t="s">
        <v>873</v>
      </c>
      <c r="I104" s="445" t="s">
        <v>1039</v>
      </c>
      <c r="J104" s="446">
        <f>C104-7.5</f>
        <v>84833.50999999998</v>
      </c>
      <c r="K104" s="638" t="s">
        <v>2788</v>
      </c>
      <c r="L104" s="445" t="s">
        <v>819</v>
      </c>
      <c r="M104" s="445" t="s">
        <v>2402</v>
      </c>
      <c r="N104" s="445"/>
      <c r="O104" s="445"/>
      <c r="P104" s="445"/>
      <c r="Q104" s="638"/>
      <c r="R104" s="638"/>
      <c r="S104" s="484"/>
      <c r="T104" s="638"/>
      <c r="U104" s="638"/>
      <c r="V104" s="638"/>
      <c r="W104" s="638"/>
      <c r="X104" s="638"/>
      <c r="Y104" s="638"/>
      <c r="Z104" s="638"/>
      <c r="AA104" s="638"/>
      <c r="AB104" s="638"/>
      <c r="AC104" s="638" t="b">
        <f>IF(OR(AT104&gt;8,AT104&lt;-8),"PH",IF(OR(AT104&gt;5,AT104&lt;-5),"PH-Q",IF(OR(AT104&gt;1,AT104&lt;-1),"PH-C")))</f>
        <v>0</v>
      </c>
      <c r="AD104" s="638"/>
      <c r="AE104" s="638"/>
      <c r="AF104" s="638"/>
      <c r="AG104" s="446"/>
      <c r="AH104" s="638"/>
      <c r="AI104" s="185"/>
      <c r="AJ104" s="445"/>
      <c r="AK104" s="183"/>
      <c r="AL104" s="445" t="s">
        <v>2127</v>
      </c>
      <c r="AM104" s="445" t="s">
        <v>1042</v>
      </c>
      <c r="AN104" s="484"/>
      <c r="AO104" s="1239"/>
      <c r="AP104" s="1239"/>
      <c r="AQ104" s="484"/>
      <c r="AR104" s="484"/>
      <c r="AS104" s="484"/>
      <c r="AT104" s="484"/>
      <c r="AU104" s="638"/>
      <c r="AV104" s="638"/>
      <c r="AW104" s="638"/>
      <c r="AX104" s="638"/>
      <c r="AY104" s="484"/>
      <c r="AZ104" s="484"/>
      <c r="BA104" s="671"/>
      <c r="BB104" s="449" t="str">
        <f>Pole_Calculations!A178</f>
        <v>App.8-V08F-P10.3</v>
      </c>
      <c r="BC104" s="169"/>
      <c r="BD104" s="1329"/>
      <c r="BE104" s="1329"/>
      <c r="BF104" s="1329"/>
      <c r="BG104" s="1330"/>
    </row>
    <row r="105" spans="1:59" ht="15.75" customHeight="1">
      <c r="A105" s="424"/>
      <c r="B105" s="425"/>
      <c r="C105" s="426"/>
      <c r="D105" s="425"/>
      <c r="E105" s="425"/>
      <c r="F105" s="425"/>
      <c r="G105" s="486">
        <v>55.3</v>
      </c>
      <c r="H105" s="425"/>
      <c r="I105" s="456"/>
      <c r="J105" s="426"/>
      <c r="K105" s="425"/>
      <c r="L105" s="425"/>
      <c r="M105" s="425"/>
      <c r="N105" s="425"/>
      <c r="O105" s="425"/>
      <c r="P105" s="425"/>
      <c r="Q105" s="487"/>
      <c r="R105" s="487"/>
      <c r="S105" s="486"/>
      <c r="T105" s="487"/>
      <c r="U105" s="487"/>
      <c r="V105" s="487"/>
      <c r="W105" s="487"/>
      <c r="X105" s="487"/>
      <c r="Y105" s="487"/>
      <c r="Z105" s="487"/>
      <c r="AA105" s="487"/>
      <c r="AB105" s="487"/>
      <c r="AC105" s="487"/>
      <c r="AD105" s="487"/>
      <c r="AE105" s="487"/>
      <c r="AF105" s="487"/>
      <c r="AG105" s="426"/>
      <c r="AH105" s="487"/>
      <c r="AI105" s="734"/>
      <c r="AJ105" s="425"/>
      <c r="AK105" s="425"/>
      <c r="AL105" s="425"/>
      <c r="AM105" s="425"/>
      <c r="AN105" s="486"/>
      <c r="AO105" s="428"/>
      <c r="AP105" s="428"/>
      <c r="AQ105" s="486"/>
      <c r="AR105" s="486"/>
      <c r="AS105" s="486"/>
      <c r="AT105" s="486"/>
      <c r="AU105" s="487"/>
      <c r="AV105" s="487"/>
      <c r="AW105" s="487"/>
      <c r="AX105" s="487"/>
      <c r="AY105" s="486"/>
      <c r="AZ105" s="486"/>
      <c r="BA105" s="672"/>
      <c r="BB105" s="424"/>
      <c r="BC105" s="169"/>
      <c r="BD105" s="1330"/>
      <c r="BE105" s="1330"/>
      <c r="BF105" s="1330"/>
      <c r="BG105" s="1330"/>
    </row>
    <row r="106" spans="1:59" ht="15.75" customHeight="1">
      <c r="A106" s="424" t="s">
        <v>1663</v>
      </c>
      <c r="B106" s="728" t="s">
        <v>3853</v>
      </c>
      <c r="C106" s="426">
        <f>+$C$102+$G$105</f>
        <v>84870.309999999983</v>
      </c>
      <c r="D106" s="427"/>
      <c r="E106" s="427"/>
      <c r="F106" s="429">
        <f>(346^2)/(C106-84866.34)</f>
        <v>30155.163728061387</v>
      </c>
      <c r="G106" s="486"/>
      <c r="H106" s="428"/>
      <c r="I106" s="735"/>
      <c r="J106" s="426"/>
      <c r="K106" s="487"/>
      <c r="L106" s="487" t="s">
        <v>229</v>
      </c>
      <c r="M106" s="487" t="str">
        <f>IF(AX106="PT",VLOOKUP(L106,'Foundation Calculation'!$V$2:$X$40,VLOOKUP(AX106,'Foundation Calculation'!$I$10:$J$13,2,FALSE),0),IF(AX106="K",VLOOKUP(L106,'Foundation Calculation'!$V$42:$X$80,VLOOKUP(AX106,'Foundation Calculation'!$I$10:$J$13,2,FALSE),0),""))</f>
        <v>C3R</v>
      </c>
      <c r="N106" s="428" t="s">
        <v>143</v>
      </c>
      <c r="O106" s="428"/>
      <c r="P106" s="487"/>
      <c r="Q106" s="487"/>
      <c r="R106" s="487"/>
      <c r="S106" s="486"/>
      <c r="T106" s="487">
        <v>-35</v>
      </c>
      <c r="U106" s="487"/>
      <c r="V106" s="487"/>
      <c r="W106" s="487">
        <v>1.4</v>
      </c>
      <c r="X106" s="487"/>
      <c r="Y106" s="487"/>
      <c r="Z106" s="487"/>
      <c r="AA106" s="487"/>
      <c r="AB106" s="487"/>
      <c r="AC106" s="487" t="str">
        <f>IF(OR(AT106&gt;8,AT106&lt;-8),"PH",IF(OR(AT106&gt;5,AT106&lt;-5),"PH-Q",IF(OR(AT106&gt;1,AT106&lt;-1),"PH-C")))</f>
        <v>PH</v>
      </c>
      <c r="AD106" s="487"/>
      <c r="AE106" s="487"/>
      <c r="AF106" s="487"/>
      <c r="AG106" s="426"/>
      <c r="AH106" s="487"/>
      <c r="AI106" s="734"/>
      <c r="AJ106" s="487"/>
      <c r="AK106" s="428"/>
      <c r="AL106" s="487"/>
      <c r="AM106" s="425" t="s">
        <v>1042</v>
      </c>
      <c r="AN106" s="456">
        <v>5.5</v>
      </c>
      <c r="AO106" s="428"/>
      <c r="AP106" s="428"/>
      <c r="AQ106" s="486"/>
      <c r="AR106" s="486"/>
      <c r="AS106" s="486"/>
      <c r="AT106" s="486">
        <f>+ab(-$T$106,$T$102,$U$110,$G$105,$G$109,-1*$F$106,1200)</f>
        <v>8.018348496666702</v>
      </c>
      <c r="AU106" s="487"/>
      <c r="AV106" s="487"/>
      <c r="AW106" s="487" t="str">
        <f>VLOOKUP(C106,'Foundation Calculation'!$A$2:$C$33,3,1)</f>
        <v>Soil B</v>
      </c>
      <c r="AX106" s="487" t="str">
        <f>VLOOKUP(C106,'Foundation Calculation'!$E$2:$G$33,3,1)</f>
        <v>PT</v>
      </c>
      <c r="AY106" s="486">
        <f>IF(AX106="PT",VLOOKUP(L106,'Foundation Calculation'!$K$2:$R$40,VLOOKUP(AW106,'Foundation Calculation'!$I$2:$J$8,2,FALSE),0),IF(AX106="K",VLOOKUP(L106,'Foundation Calculation'!$K$42:$R$80,VLOOKUP(AW106,'Foundation Calculation'!$I$2:$J$8,2,FALSE),0),""))</f>
        <v>3.5</v>
      </c>
      <c r="AZ106" s="486"/>
      <c r="BA106" s="672" t="s">
        <v>2809</v>
      </c>
      <c r="BB106" s="424" t="str">
        <f>Pole_Calculations!A15</f>
        <v>App.7-V11A-P9.5.1.1</v>
      </c>
      <c r="BC106" s="169"/>
      <c r="BD106" s="1329"/>
      <c r="BE106" s="1329"/>
      <c r="BF106" s="1330"/>
      <c r="BG106" s="1329"/>
    </row>
    <row r="107" spans="1:59" ht="15.75" customHeight="1">
      <c r="A107" s="424"/>
      <c r="B107" s="728"/>
      <c r="C107" s="426"/>
      <c r="D107" s="427"/>
      <c r="E107" s="427"/>
      <c r="F107" s="429"/>
      <c r="G107" s="736">
        <v>39.700000000000003</v>
      </c>
      <c r="H107" s="428"/>
      <c r="I107" s="735"/>
      <c r="J107" s="426">
        <f>C108-7.5</f>
        <v>84873.209999999977</v>
      </c>
      <c r="K107" s="487" t="s">
        <v>2787</v>
      </c>
      <c r="L107" s="487"/>
      <c r="M107" s="487"/>
      <c r="N107" s="428"/>
      <c r="O107" s="428"/>
      <c r="P107" s="487"/>
      <c r="Q107" s="487"/>
      <c r="R107" s="487"/>
      <c r="S107" s="486"/>
      <c r="T107" s="487"/>
      <c r="U107" s="487"/>
      <c r="V107" s="487"/>
      <c r="W107" s="487"/>
      <c r="X107" s="487"/>
      <c r="Y107" s="487"/>
      <c r="Z107" s="487"/>
      <c r="AA107" s="487"/>
      <c r="AB107" s="487"/>
      <c r="AC107" s="487"/>
      <c r="AD107" s="487"/>
      <c r="AE107" s="487"/>
      <c r="AF107" s="487"/>
      <c r="AG107" s="426"/>
      <c r="AH107" s="487"/>
      <c r="AI107" s="734"/>
      <c r="AJ107" s="487"/>
      <c r="AK107" s="428"/>
      <c r="AL107" s="487"/>
      <c r="AM107" s="425"/>
      <c r="AN107" s="456"/>
      <c r="AO107" s="428"/>
      <c r="AP107" s="428"/>
      <c r="AQ107" s="486">
        <f>+FL_2($U$110,$T$106,-$G$109,1200,9.28,-1*$F$110)</f>
        <v>-0.3</v>
      </c>
      <c r="AR107" s="486"/>
      <c r="AS107" s="486"/>
      <c r="AT107" s="486"/>
      <c r="AU107" s="487"/>
      <c r="AV107" s="487"/>
      <c r="AW107" s="487" t="str">
        <f>VLOOKUP(J107,'Foundation Calculation'!$A$2:$C$33,3,1)</f>
        <v>Soil B</v>
      </c>
      <c r="AX107" s="487" t="str">
        <f>VLOOKUP(J107,'Foundation Calculation'!$E$2:$G$33,3,1)</f>
        <v>PT</v>
      </c>
      <c r="AY107" s="486"/>
      <c r="AZ107" s="486">
        <f>IF(AX107="PT",VLOOKUP(K107,'Foundation Calculation'!$K$2:$R$40,VLOOKUP(AW107,'Foundation Calculation'!$I$2:$J$8,2,FALSE),0),IF(AX107="K",VLOOKUP(K107,'Foundation Calculation'!$K$42:$R$80,VLOOKUP(AW107,'Foundation Calculation'!$I$2:$J$8,2,FALSE),0),""))</f>
        <v>3.9</v>
      </c>
      <c r="BA107" s="672" t="s">
        <v>2809</v>
      </c>
      <c r="BB107" s="424"/>
      <c r="BC107" s="169"/>
      <c r="BD107" s="1329"/>
      <c r="BE107" s="1330"/>
      <c r="BF107" s="1330"/>
      <c r="BG107" s="1330"/>
    </row>
    <row r="108" spans="1:59" ht="15.75" customHeight="1">
      <c r="A108" s="424"/>
      <c r="B108" s="728" t="s">
        <v>3869</v>
      </c>
      <c r="C108" s="426">
        <f>C104+G107</f>
        <v>84880.709999999977</v>
      </c>
      <c r="D108" s="427"/>
      <c r="E108" s="427"/>
      <c r="F108" s="429">
        <f>(346^2)/(C108-84866.34)</f>
        <v>8330.9672929826047</v>
      </c>
      <c r="G108" s="486"/>
      <c r="H108" s="428" t="s">
        <v>138</v>
      </c>
      <c r="I108" s="735" t="s">
        <v>623</v>
      </c>
      <c r="J108" s="426"/>
      <c r="K108" s="487"/>
      <c r="L108" s="487" t="s">
        <v>819</v>
      </c>
      <c r="M108" s="487" t="str">
        <f>IF(AX108="PT",VLOOKUP(L108,'Foundation Calculation'!$V$2:$X$40,VLOOKUP(AX108,'Foundation Calculation'!$I$10:$J$13,2,FALSE),0),IF(AX108="K",VLOOKUP(L108,'Foundation Calculation'!$V$42:$X$80,VLOOKUP(AX108,'Foundation Calculation'!$I$10:$J$13,2,FALSE),0),""))</f>
        <v>C5R</v>
      </c>
      <c r="N108" s="428"/>
      <c r="O108" s="428"/>
      <c r="P108" s="487"/>
      <c r="Q108" s="487"/>
      <c r="R108" s="487"/>
      <c r="S108" s="486"/>
      <c r="T108" s="487"/>
      <c r="U108" s="487"/>
      <c r="V108" s="487"/>
      <c r="W108" s="487"/>
      <c r="X108" s="487"/>
      <c r="Y108" s="487"/>
      <c r="Z108" s="487"/>
      <c r="AA108" s="487"/>
      <c r="AB108" s="487"/>
      <c r="AC108" s="487"/>
      <c r="AD108" s="487"/>
      <c r="AE108" s="487"/>
      <c r="AF108" s="487"/>
      <c r="AG108" s="426"/>
      <c r="AH108" s="487"/>
      <c r="AI108" s="734"/>
      <c r="AJ108" s="487"/>
      <c r="AK108" s="428"/>
      <c r="AL108" s="487" t="s">
        <v>2127</v>
      </c>
      <c r="AM108" s="425" t="s">
        <v>1042</v>
      </c>
      <c r="AN108" s="456"/>
      <c r="AO108" s="428"/>
      <c r="AP108" s="428"/>
      <c r="AQ108" s="486"/>
      <c r="AR108" s="486"/>
      <c r="AS108" s="486"/>
      <c r="AT108" s="486"/>
      <c r="AU108" s="487"/>
      <c r="AV108" s="487"/>
      <c r="AW108" s="487" t="str">
        <f>VLOOKUP(C108,'Foundation Calculation'!$A$2:$C$33,3,1)</f>
        <v>Soil B</v>
      </c>
      <c r="AX108" s="487" t="str">
        <f>VLOOKUP(C108,'Foundation Calculation'!$E$2:$G$33,3,1)</f>
        <v>PT</v>
      </c>
      <c r="AY108" s="486">
        <f>IF(AX108="PT",VLOOKUP(L108,'Foundation Calculation'!$K$2:$R$40,VLOOKUP(AW108,'Foundation Calculation'!$I$2:$J$8,2,FALSE),0),IF(AX108="K",VLOOKUP(L108,'Foundation Calculation'!$K$42:$R$80,VLOOKUP(AW108,'Foundation Calculation'!$I$2:$J$8,2,FALSE),0),""))</f>
        <v>3.5</v>
      </c>
      <c r="AZ108" s="486"/>
      <c r="BA108" s="672" t="s">
        <v>2809</v>
      </c>
      <c r="BB108" s="424" t="str">
        <f>Pole_Calculations!A178</f>
        <v>App.8-V08F-P10.3</v>
      </c>
      <c r="BC108" s="169"/>
      <c r="BD108" s="1329"/>
      <c r="BE108" s="1329"/>
      <c r="BF108" s="1329"/>
      <c r="BG108" s="1330"/>
    </row>
    <row r="109" spans="1:59" ht="15.75" customHeight="1">
      <c r="A109" s="1239"/>
      <c r="B109" s="173"/>
      <c r="C109" s="446"/>
      <c r="D109" s="447"/>
      <c r="E109" s="447"/>
      <c r="F109" s="1239"/>
      <c r="G109" s="484">
        <v>50.5</v>
      </c>
      <c r="H109" s="1239"/>
      <c r="I109" s="448"/>
      <c r="J109" s="446"/>
      <c r="K109" s="638"/>
      <c r="L109" s="638"/>
      <c r="M109" s="638"/>
      <c r="N109" s="1239"/>
      <c r="O109" s="1239"/>
      <c r="P109" s="638"/>
      <c r="Q109" s="638"/>
      <c r="R109" s="638"/>
      <c r="S109" s="484"/>
      <c r="T109" s="638"/>
      <c r="U109" s="638"/>
      <c r="V109" s="638"/>
      <c r="W109" s="638"/>
      <c r="X109" s="638"/>
      <c r="Y109" s="638"/>
      <c r="Z109" s="638"/>
      <c r="AA109" s="638"/>
      <c r="AB109" s="638"/>
      <c r="AC109" s="638"/>
      <c r="AD109" s="638"/>
      <c r="AE109" s="638"/>
      <c r="AF109" s="638"/>
      <c r="AG109" s="446"/>
      <c r="AH109" s="638"/>
      <c r="AI109" s="185"/>
      <c r="AJ109" s="638"/>
      <c r="AK109" s="1239"/>
      <c r="AL109" s="638"/>
      <c r="AM109" s="638"/>
      <c r="AN109" s="455"/>
      <c r="AO109" s="1239"/>
      <c r="AP109" s="1239"/>
      <c r="AQ109" s="484"/>
      <c r="AR109" s="484"/>
      <c r="AS109" s="484"/>
      <c r="AT109" s="484"/>
      <c r="AU109" s="638"/>
      <c r="AV109" s="638"/>
      <c r="AW109" s="638"/>
      <c r="AX109" s="638"/>
      <c r="AY109" s="484"/>
      <c r="AZ109" s="484"/>
      <c r="BA109" s="671"/>
      <c r="BB109" s="1239"/>
      <c r="BC109" s="169"/>
      <c r="BD109" s="1330"/>
      <c r="BE109" s="1330"/>
      <c r="BF109" s="1330"/>
      <c r="BG109" s="1330"/>
    </row>
    <row r="110" spans="1:59" ht="15.75" customHeight="1">
      <c r="A110" s="1239"/>
      <c r="B110" s="435" t="s">
        <v>3854</v>
      </c>
      <c r="C110" s="446">
        <f>+$C$106+$G$109</f>
        <v>84920.809999999983</v>
      </c>
      <c r="D110" s="447"/>
      <c r="E110" s="447"/>
      <c r="F110" s="1239">
        <v>4000</v>
      </c>
      <c r="G110" s="484"/>
      <c r="H110" s="1239" t="s">
        <v>619</v>
      </c>
      <c r="I110" s="445"/>
      <c r="J110" s="446"/>
      <c r="K110" s="638"/>
      <c r="L110" s="638" t="s">
        <v>895</v>
      </c>
      <c r="M110" s="638" t="str">
        <f>IF(AX110="PT",VLOOKUP(L110,'Foundation Calculation'!$V$2:$X$40,VLOOKUP(AX110,'Foundation Calculation'!$I$10:$J$13,2,FALSE),0),IF(AX110="K",VLOOKUP(L110,'Foundation Calculation'!$V$42:$X$80,VLOOKUP(AX110,'Foundation Calculation'!$I$10:$J$13,2,FALSE),0),""))</f>
        <v>2C3R</v>
      </c>
      <c r="N110" s="1239" t="s">
        <v>140</v>
      </c>
      <c r="O110" s="1239" t="s">
        <v>143</v>
      </c>
      <c r="P110" s="638"/>
      <c r="Q110" s="638"/>
      <c r="R110" s="638"/>
      <c r="S110" s="484"/>
      <c r="T110" s="638">
        <v>15</v>
      </c>
      <c r="U110" s="638">
        <v>-30</v>
      </c>
      <c r="V110" s="638"/>
      <c r="W110" s="638">
        <v>1.4</v>
      </c>
      <c r="X110" s="638">
        <v>2.2999999999999998</v>
      </c>
      <c r="Y110" s="638"/>
      <c r="Z110" s="638">
        <v>0.45</v>
      </c>
      <c r="AA110" s="638"/>
      <c r="AB110" s="638"/>
      <c r="AC110" s="638"/>
      <c r="AD110" s="638"/>
      <c r="AE110" s="638"/>
      <c r="AF110" s="638"/>
      <c r="AG110" s="446"/>
      <c r="AH110" s="638"/>
      <c r="AI110" s="185"/>
      <c r="AJ110" s="638"/>
      <c r="AK110" s="1239"/>
      <c r="AL110" s="638"/>
      <c r="AM110" s="445" t="s">
        <v>1042</v>
      </c>
      <c r="AN110" s="455">
        <v>5.5</v>
      </c>
      <c r="AO110" s="1239"/>
      <c r="AP110" s="1239"/>
      <c r="AQ110" s="484"/>
      <c r="AR110" s="484"/>
      <c r="AS110" s="484"/>
      <c r="AT110" s="484">
        <f>+ab($U$110,-$T$106,$U$112,$G$109,$G$111,-1*$F$110,1200)</f>
        <v>-6.7178014591242476</v>
      </c>
      <c r="AU110" s="638"/>
      <c r="AV110" s="638"/>
      <c r="AW110" s="638" t="str">
        <f>VLOOKUP(C110,'Foundation Calculation'!$A$2:$C$33,3,1)</f>
        <v>Soil B</v>
      </c>
      <c r="AX110" s="638" t="str">
        <f>VLOOKUP(C110,'Foundation Calculation'!$E$2:$G$33,3,1)</f>
        <v>PT</v>
      </c>
      <c r="AY110" s="484">
        <f>IF(AX110="PT",VLOOKUP(L110,'Foundation Calculation'!$K$2:$R$40,VLOOKUP(AW110,'Foundation Calculation'!$I$2:$J$8,2,FALSE),0),IF(AX110="K",VLOOKUP(L110,'Foundation Calculation'!$K$42:$R$80,VLOOKUP(AW110,'Foundation Calculation'!$I$2:$J$8,2,FALSE),0),""))</f>
        <v>3.5</v>
      </c>
      <c r="AZ110" s="484"/>
      <c r="BA110" s="671" t="s">
        <v>2809</v>
      </c>
      <c r="BB110" s="1239" t="str">
        <f>Pole_Calculations!A19</f>
        <v>App.7-V11A-P9.5.1.5</v>
      </c>
      <c r="BC110" s="169"/>
      <c r="BD110" s="1329"/>
      <c r="BE110" s="1329"/>
      <c r="BF110" s="1330"/>
      <c r="BG110" s="1329"/>
    </row>
    <row r="111" spans="1:59" ht="15.75" customHeight="1">
      <c r="A111" s="1239"/>
      <c r="B111" s="173"/>
      <c r="C111" s="446"/>
      <c r="D111" s="447"/>
      <c r="E111" s="447"/>
      <c r="F111" s="1239"/>
      <c r="G111" s="484">
        <v>50</v>
      </c>
      <c r="H111" s="1239"/>
      <c r="I111" s="455"/>
      <c r="J111" s="446"/>
      <c r="K111" s="638"/>
      <c r="L111" s="638"/>
      <c r="M111" s="638" t="str">
        <f>IF(AX111="PT",VLOOKUP(L111,'Foundation Calculation'!$V$2:$X$40,VLOOKUP(AX111,'Foundation Calculation'!$I$10:$J$13,2,FALSE),0),IF(AX111="K",VLOOKUP(L111,'Foundation Calculation'!$V$42:$X$80,VLOOKUP(AX111,'Foundation Calculation'!$I$10:$J$13,2,FALSE),0),""))</f>
        <v/>
      </c>
      <c r="N111" s="1239"/>
      <c r="O111" s="1239"/>
      <c r="P111" s="638"/>
      <c r="Q111" s="638"/>
      <c r="R111" s="638"/>
      <c r="S111" s="484"/>
      <c r="T111" s="638"/>
      <c r="U111" s="638"/>
      <c r="V111" s="638"/>
      <c r="W111" s="638"/>
      <c r="X111" s="638"/>
      <c r="Y111" s="638"/>
      <c r="Z111" s="638"/>
      <c r="AA111" s="638"/>
      <c r="AB111" s="638"/>
      <c r="AC111" s="638"/>
      <c r="AD111" s="638"/>
      <c r="AE111" s="638"/>
      <c r="AF111" s="638"/>
      <c r="AG111" s="446"/>
      <c r="AH111" s="638"/>
      <c r="AI111" s="185"/>
      <c r="AJ111" s="638"/>
      <c r="AK111" s="1239"/>
      <c r="AL111" s="638"/>
      <c r="AM111" s="638"/>
      <c r="AN111" s="455"/>
      <c r="AO111" s="1239"/>
      <c r="AP111" s="1239"/>
      <c r="AQ111" s="484">
        <f>+FL_1($U$112,$U$110,$G$111,1200,9.28,-1*$F$112)</f>
        <v>7.0090396567440358E-2</v>
      </c>
      <c r="AR111" s="484"/>
      <c r="AS111" s="484"/>
      <c r="AT111" s="484"/>
      <c r="AU111" s="638"/>
      <c r="AV111" s="638"/>
      <c r="AW111" s="484"/>
      <c r="AX111" s="484"/>
      <c r="AY111" s="484"/>
      <c r="AZ111" s="484"/>
      <c r="BA111" s="671"/>
      <c r="BB111" s="1239"/>
      <c r="BC111" s="169"/>
      <c r="BD111" s="1330"/>
      <c r="BE111" s="1330"/>
      <c r="BF111" s="1330"/>
      <c r="BG111" s="1330"/>
    </row>
    <row r="112" spans="1:59" ht="15.75" customHeight="1">
      <c r="A112" s="449" t="s">
        <v>3870</v>
      </c>
      <c r="B112" s="485" t="s">
        <v>3855</v>
      </c>
      <c r="C112" s="446">
        <f>+$C$110+$G$111</f>
        <v>84970.809999999983</v>
      </c>
      <c r="D112" s="445"/>
      <c r="E112" s="445"/>
      <c r="F112" s="448">
        <f>-(346^2)/(C112-84989.42)</f>
        <v>6432.8855454004643</v>
      </c>
      <c r="G112" s="484"/>
      <c r="H112" s="445" t="s">
        <v>619</v>
      </c>
      <c r="I112" s="1239" t="s">
        <v>3858</v>
      </c>
      <c r="J112" s="446"/>
      <c r="K112" s="638"/>
      <c r="L112" s="638" t="s">
        <v>1697</v>
      </c>
      <c r="M112" s="638" t="str">
        <f>IF(AX112="PT",VLOOKUP(L112,'Foundation Calculation'!$V$2:$X$40,VLOOKUP(AX112,'Foundation Calculation'!$I$10:$J$13,2,FALSE),0),IF(AX112="K",VLOOKUP(L112,'Foundation Calculation'!$V$42:$X$80,VLOOKUP(AX112,'Foundation Calculation'!$I$10:$J$13,2,FALSE),0),""))</f>
        <v>2C3R</v>
      </c>
      <c r="N112" s="1239" t="s">
        <v>144</v>
      </c>
      <c r="O112" s="1239" t="s">
        <v>140</v>
      </c>
      <c r="P112" s="445"/>
      <c r="Q112" s="638"/>
      <c r="R112" s="638"/>
      <c r="S112" s="484"/>
      <c r="T112" s="638">
        <v>30</v>
      </c>
      <c r="U112" s="638">
        <v>-15</v>
      </c>
      <c r="V112" s="638"/>
      <c r="W112" s="638">
        <v>1.4</v>
      </c>
      <c r="X112" s="638">
        <v>2.2999999999999998</v>
      </c>
      <c r="Y112" s="638"/>
      <c r="Z112" s="638"/>
      <c r="AA112" s="638">
        <v>0.45</v>
      </c>
      <c r="AB112" s="638"/>
      <c r="AC112" s="638" t="str">
        <f>IF(OR(AT112&gt;8,AT112&lt;-8),"PH",IF(OR(AT112&gt;5,AT112&lt;-5),"PH-Q",IF(OR(AT112&gt;1,AT112&lt;-1),"PH-C")))</f>
        <v>PH</v>
      </c>
      <c r="AD112" s="638"/>
      <c r="AE112" s="638"/>
      <c r="AF112" s="638"/>
      <c r="AG112" s="446"/>
      <c r="AH112" s="638"/>
      <c r="AI112" s="185"/>
      <c r="AJ112" s="445" t="s">
        <v>877</v>
      </c>
      <c r="AK112" s="445"/>
      <c r="AL112" s="445"/>
      <c r="AM112" s="445" t="s">
        <v>1042</v>
      </c>
      <c r="AN112" s="455">
        <v>5.5</v>
      </c>
      <c r="AO112" s="1239"/>
      <c r="AP112" s="1239"/>
      <c r="AQ112" s="484"/>
      <c r="AR112" s="484"/>
      <c r="AS112" s="484"/>
      <c r="AT112" s="484">
        <f>+ab($T$112,$T$110,$T$114,$G$111,$G$113,-1*$F$112,1200)</f>
        <v>19.595307106482878</v>
      </c>
      <c r="AU112" s="638"/>
      <c r="AV112" s="638"/>
      <c r="AW112" s="638" t="str">
        <f>VLOOKUP(C112,'Foundation Calculation'!$A$2:$C$33,3,1)</f>
        <v>Soil B</v>
      </c>
      <c r="AX112" s="638" t="str">
        <f>VLOOKUP(C112,'Foundation Calculation'!$E$2:$G$33,3,1)</f>
        <v>PT</v>
      </c>
      <c r="AY112" s="484">
        <f>IF(AX112="PT",VLOOKUP(L112,'Foundation Calculation'!$K$2:$R$40,VLOOKUP(AW112,'Foundation Calculation'!$I$2:$J$8,2,FALSE),0),IF(AX112="K",VLOOKUP(L112,'Foundation Calculation'!$K$42:$R$80,VLOOKUP(AW112,'Foundation Calculation'!$I$2:$J$8,2,FALSE),0),""))</f>
        <v>3.5</v>
      </c>
      <c r="AZ112" s="484"/>
      <c r="BA112" s="671" t="s">
        <v>2809</v>
      </c>
      <c r="BB112" s="449" t="str">
        <f>Pole_Calculations!A19</f>
        <v>App.7-V11A-P9.5.1.5</v>
      </c>
      <c r="BC112" s="169"/>
      <c r="BD112" s="1329"/>
      <c r="BE112" s="1329"/>
      <c r="BF112" s="1330"/>
      <c r="BG112" s="1329"/>
    </row>
    <row r="113" spans="1:59" ht="15.75" customHeight="1">
      <c r="A113" s="449"/>
      <c r="B113" s="445"/>
      <c r="C113" s="446"/>
      <c r="D113" s="445"/>
      <c r="E113" s="445"/>
      <c r="F113" s="445"/>
      <c r="G113" s="484">
        <v>43.8</v>
      </c>
      <c r="H113" s="445"/>
      <c r="I113" s="448">
        <f>C114-C76</f>
        <v>687.06000000002678</v>
      </c>
      <c r="J113" s="171"/>
      <c r="K113" s="1239"/>
      <c r="L113" s="445"/>
      <c r="M113" s="445"/>
      <c r="N113" s="445"/>
      <c r="O113" s="445"/>
      <c r="P113" s="445"/>
      <c r="Q113" s="638"/>
      <c r="R113" s="638"/>
      <c r="S113" s="484"/>
      <c r="T113" s="638"/>
      <c r="U113" s="638"/>
      <c r="V113" s="638"/>
      <c r="W113" s="638"/>
      <c r="X113" s="638"/>
      <c r="Y113" s="638"/>
      <c r="Z113" s="638"/>
      <c r="AA113" s="638"/>
      <c r="AB113" s="638"/>
      <c r="AC113" s="638"/>
      <c r="AD113" s="638"/>
      <c r="AE113" s="638"/>
      <c r="AF113" s="638"/>
      <c r="AG113" s="446"/>
      <c r="AH113" s="638"/>
      <c r="AI113" s="185"/>
      <c r="AJ113" s="445"/>
      <c r="AK113" s="445"/>
      <c r="AL113" s="445"/>
      <c r="AM113" s="445"/>
      <c r="AN113" s="484"/>
      <c r="AO113" s="445"/>
      <c r="AP113" s="445"/>
      <c r="AQ113" s="484">
        <f>+FL_2($T$114,$T$112,$G$113,1200,9.28,-1*$F$114)</f>
        <v>-0.3067762210593607</v>
      </c>
      <c r="AR113" s="484"/>
      <c r="AS113" s="484"/>
      <c r="AT113" s="484"/>
      <c r="AU113" s="638"/>
      <c r="AV113" s="638"/>
      <c r="AW113" s="638"/>
      <c r="AX113" s="638"/>
      <c r="AY113" s="484"/>
      <c r="AZ113" s="484"/>
      <c r="BA113" s="1304"/>
      <c r="BB113" s="449"/>
      <c r="BC113" s="169"/>
      <c r="BD113" s="1330"/>
      <c r="BE113" s="1330"/>
      <c r="BF113" s="1330"/>
      <c r="BG113" s="1330"/>
    </row>
    <row r="114" spans="1:59" ht="15.75" customHeight="1">
      <c r="A114" s="449"/>
      <c r="B114" s="485" t="s">
        <v>3763</v>
      </c>
      <c r="C114" s="446">
        <f>+$C$112+$G$113+0.96</f>
        <v>85015.569999999992</v>
      </c>
      <c r="D114" s="445"/>
      <c r="E114" s="445"/>
      <c r="F114" s="445" t="s">
        <v>2312</v>
      </c>
      <c r="G114" s="484"/>
      <c r="H114" s="445" t="s">
        <v>138</v>
      </c>
      <c r="I114" s="445" t="s">
        <v>623</v>
      </c>
      <c r="J114" s="446"/>
      <c r="K114" s="638"/>
      <c r="L114" s="445" t="s">
        <v>898</v>
      </c>
      <c r="M114" s="638" t="str">
        <f>IF(AX114="PT",VLOOKUP(L114,'Foundation Calculation'!$V$2:$X$40,VLOOKUP(AX114,'Foundation Calculation'!$I$10:$J$13,2,FALSE),0),IF(AX114="K",VLOOKUP(L114,'Foundation Calculation'!$V$42:$X$80,VLOOKUP(AX114,'Foundation Calculation'!$I$10:$J$13,2,FALSE),0),""))</f>
        <v>C4R</v>
      </c>
      <c r="N114" s="445" t="s">
        <v>143</v>
      </c>
      <c r="O114" s="445"/>
      <c r="P114" s="445"/>
      <c r="Q114" s="638"/>
      <c r="R114" s="638"/>
      <c r="S114" s="484"/>
      <c r="T114" s="638">
        <v>-30</v>
      </c>
      <c r="U114" s="638"/>
      <c r="V114" s="638"/>
      <c r="W114" s="638">
        <v>1.4</v>
      </c>
      <c r="X114" s="638"/>
      <c r="Y114" s="638"/>
      <c r="Z114" s="638"/>
      <c r="AA114" s="638"/>
      <c r="AB114" s="638"/>
      <c r="AC114" s="638" t="str">
        <f>IF(OR(AT114&gt;8,AT114&lt;-8),"PH",IF(OR(AT114&gt;5,AT114&lt;-5),"PH-Q",IF(OR(AT114&gt;1,AT114&lt;-1),"PH-C")))</f>
        <v>PH-Q</v>
      </c>
      <c r="AD114" s="638"/>
      <c r="AE114" s="638"/>
      <c r="AF114" s="638"/>
      <c r="AG114" s="446"/>
      <c r="AH114" s="638"/>
      <c r="AI114" s="185"/>
      <c r="AJ114" s="445"/>
      <c r="AK114" s="445"/>
      <c r="AL114" s="445"/>
      <c r="AM114" s="445" t="s">
        <v>1042</v>
      </c>
      <c r="AN114" s="455">
        <v>5.5</v>
      </c>
      <c r="AO114" s="1239"/>
      <c r="AP114" s="1239"/>
      <c r="AQ114" s="484"/>
      <c r="AR114" s="484"/>
      <c r="AS114" s="484"/>
      <c r="AT114" s="484">
        <f>+ab($T$114,$T$112,$T$116,$G$113,$G$115,-1*$F$114,1200)</f>
        <v>-7.7222775117873672</v>
      </c>
      <c r="AU114" s="638"/>
      <c r="AV114" s="638"/>
      <c r="AW114" s="638" t="str">
        <f>VLOOKUP(C114,'Foundation Calculation'!$A$2:$C$33,3,1)</f>
        <v>Soil B</v>
      </c>
      <c r="AX114" s="638" t="str">
        <f>VLOOKUP(C114,'Foundation Calculation'!$E$2:$G$33,3,1)</f>
        <v>PT</v>
      </c>
      <c r="AY114" s="484">
        <f>IF(AX114="PT",VLOOKUP(L114,'Foundation Calculation'!$K$2:$R$40,VLOOKUP(AW114,'Foundation Calculation'!$I$2:$J$8,2,FALSE),0),IF(AX114="K",VLOOKUP(L114,'Foundation Calculation'!$K$42:$R$80,VLOOKUP(AW114,'Foundation Calculation'!$I$2:$J$8,2,FALSE),0),""))</f>
        <v>3.5</v>
      </c>
      <c r="AZ114" s="484"/>
      <c r="BA114" s="671" t="s">
        <v>2809</v>
      </c>
      <c r="BB114" s="449" t="str">
        <f>Pole_Calculations!A20</f>
        <v>App.7-V11A-P9.5.1.6</v>
      </c>
      <c r="BC114" s="169"/>
      <c r="BD114" s="1329"/>
      <c r="BE114" s="1329"/>
      <c r="BF114" s="1330"/>
      <c r="BG114" s="1329"/>
    </row>
    <row r="115" spans="1:59" ht="15.75" customHeight="1">
      <c r="A115" s="449"/>
      <c r="B115" s="445"/>
      <c r="C115" s="446"/>
      <c r="D115" s="445"/>
      <c r="E115" s="445"/>
      <c r="F115" s="445"/>
      <c r="G115" s="484">
        <v>50</v>
      </c>
      <c r="H115" s="445"/>
      <c r="I115" s="455"/>
      <c r="J115" s="446">
        <f>C114+7.5</f>
        <v>85023.069999999992</v>
      </c>
      <c r="K115" s="445" t="s">
        <v>2787</v>
      </c>
      <c r="L115" s="445"/>
      <c r="M115" s="445"/>
      <c r="N115" s="445"/>
      <c r="O115" s="445"/>
      <c r="P115" s="445"/>
      <c r="Q115" s="638"/>
      <c r="R115" s="638"/>
      <c r="S115" s="484"/>
      <c r="T115" s="638"/>
      <c r="U115" s="638"/>
      <c r="V115" s="638"/>
      <c r="W115" s="638"/>
      <c r="X115" s="638"/>
      <c r="Y115" s="638"/>
      <c r="Z115" s="638"/>
      <c r="AA115" s="638"/>
      <c r="AB115" s="638"/>
      <c r="AC115" s="638"/>
      <c r="AD115" s="638"/>
      <c r="AE115" s="638"/>
      <c r="AF115" s="638"/>
      <c r="AG115" s="446"/>
      <c r="AH115" s="638"/>
      <c r="AI115" s="185"/>
      <c r="AJ115" s="445"/>
      <c r="AK115" s="445"/>
      <c r="AL115" s="445"/>
      <c r="AM115" s="445"/>
      <c r="AN115" s="484"/>
      <c r="AO115" s="445"/>
      <c r="AP115" s="445"/>
      <c r="AQ115" s="484">
        <f>+FL_2($T$116,$T$114,$G$115,1200,9.28,-1*$F$116)</f>
        <v>-0.36102014140970595</v>
      </c>
      <c r="AR115" s="484"/>
      <c r="AS115" s="484"/>
      <c r="AT115" s="484"/>
      <c r="AU115" s="638"/>
      <c r="AV115" s="638"/>
      <c r="AW115" s="638" t="str">
        <f>VLOOKUP(J115,'Foundation Calculation'!$A$2:$C$33,3,1)</f>
        <v>Soil B</v>
      </c>
      <c r="AX115" s="638" t="str">
        <f>VLOOKUP(J115,'Foundation Calculation'!$E$2:$G$33,3,1)</f>
        <v>PT</v>
      </c>
      <c r="AY115" s="484"/>
      <c r="AZ115" s="484">
        <f>IF(AX115="PT",VLOOKUP(K115,'Foundation Calculation'!$K$2:$R$40,VLOOKUP(AW115,'Foundation Calculation'!$I$2:$J$8,2,FALSE),0),IF(AX115="K",VLOOKUP(K115,'Foundation Calculation'!$K$42:$R$80,VLOOKUP(AW115,'Foundation Calculation'!$I$2:$J$8,2,FALSE),0),""))</f>
        <v>3.9</v>
      </c>
      <c r="BA115" s="671" t="s">
        <v>2809</v>
      </c>
      <c r="BB115" s="449"/>
      <c r="BC115" s="169"/>
      <c r="BD115" s="1329"/>
      <c r="BE115" s="1330"/>
      <c r="BF115" s="1330"/>
      <c r="BG115" s="1330"/>
    </row>
    <row r="116" spans="1:59" ht="15.75" customHeight="1">
      <c r="A116" s="501">
        <f>'HR Track 2 HER-TSA '!A13</f>
        <v>0</v>
      </c>
      <c r="B116" s="716" t="str">
        <f>'HR Track 2 HER-TSA '!B13</f>
        <v>85-2.02</v>
      </c>
      <c r="C116" s="451">
        <f>'HR Track 2 HER-TSA '!C13</f>
        <v>85065.57</v>
      </c>
      <c r="D116" s="453">
        <f>'HR Track 2 HER-TSA '!D13</f>
        <v>0</v>
      </c>
      <c r="E116" s="452">
        <f>'HR Track 2 HER-TSA '!E13</f>
        <v>0</v>
      </c>
      <c r="F116" s="453">
        <f>'HR Track 2 HER-TSA '!F13</f>
        <v>-13652.597994529089</v>
      </c>
      <c r="G116" s="500">
        <f>'HR Track 2 HER-TSA '!G13</f>
        <v>0</v>
      </c>
      <c r="H116" s="453">
        <f>'HR Track 2 HER-TSA '!H13</f>
        <v>0</v>
      </c>
      <c r="I116" s="501" t="str">
        <f>'HR Track 2 HER-TSA '!I13</f>
        <v>AnRW</v>
      </c>
      <c r="J116" s="583">
        <f>'HR Track 2 HER-TSA '!J13</f>
        <v>0</v>
      </c>
      <c r="K116" s="452">
        <f>'HR Track 2 HER-TSA '!K13</f>
        <v>0</v>
      </c>
      <c r="L116" s="452" t="str">
        <f>'HR Track 2 HER-TSA '!L13</f>
        <v>HEB-240</v>
      </c>
      <c r="M116" s="452" t="str">
        <f>'HR Track 2 HER-TSA '!M13</f>
        <v>C3R</v>
      </c>
      <c r="N116" s="501" t="str">
        <f>'HR Track 2 HER-TSA '!N13</f>
        <v>EMT-2</v>
      </c>
      <c r="O116" s="501">
        <f>'HR Track 2 HER-TSA '!O13</f>
        <v>0</v>
      </c>
      <c r="P116" s="501">
        <f>'HR Track 2 HER-TSA '!P13</f>
        <v>0</v>
      </c>
      <c r="Q116" s="452">
        <f>'HR Track 2 HER-TSA '!Q13</f>
        <v>40</v>
      </c>
      <c r="R116" s="452">
        <f>'HR Track 2 HER-TSA '!R13</f>
        <v>15770</v>
      </c>
      <c r="S116" s="500">
        <f>'HR Track 2 HER-TSA '!S13</f>
        <v>0</v>
      </c>
      <c r="T116" s="452">
        <f>'HR Track 2 HER-TSA '!T13</f>
        <v>25</v>
      </c>
      <c r="U116" s="452">
        <f>'HR Track 2 HER-TSA '!U13</f>
        <v>0</v>
      </c>
      <c r="V116" s="452">
        <f>'HR Track 2 HER-TSA '!V13</f>
        <v>0</v>
      </c>
      <c r="W116" s="452">
        <f>'HR Track 2 HER-TSA '!W13</f>
        <v>1.4</v>
      </c>
      <c r="X116" s="452">
        <f>'HR Track 2 HER-TSA '!X13</f>
        <v>0</v>
      </c>
      <c r="Y116" s="452">
        <f>'HR Track 2 HER-TSA '!Y13</f>
        <v>0</v>
      </c>
      <c r="Z116" s="452">
        <f>'HR Track 2 HER-TSA '!Z13</f>
        <v>0</v>
      </c>
      <c r="AA116" s="452">
        <f>'HR Track 2 HER-TSA '!AA13</f>
        <v>0</v>
      </c>
      <c r="AB116" s="452">
        <f>'HR Track 2 HER-TSA '!AB13</f>
        <v>0</v>
      </c>
      <c r="AC116" s="452" t="str">
        <f>'HR Track 2 HER-TSA '!AC13</f>
        <v>PH-1150</v>
      </c>
      <c r="AD116" s="452">
        <f>'HR Track 2 HER-TSA '!AD13</f>
        <v>0</v>
      </c>
      <c r="AE116" s="452">
        <f>'HR Track 2 HER-TSA '!AE13</f>
        <v>0</v>
      </c>
      <c r="AF116" s="452">
        <f>'HR Track 2 HER-TSA '!AF13</f>
        <v>6000</v>
      </c>
      <c r="AG116" s="451">
        <f>'HR Track 2 HER-TSA '!AG13</f>
        <v>85065</v>
      </c>
      <c r="AH116" s="452">
        <f>'HR Track 2 HER-TSA '!AH13</f>
        <v>2193</v>
      </c>
      <c r="AI116" s="452">
        <f>'HR Track 2 HER-TSA '!AI13</f>
        <v>370</v>
      </c>
      <c r="AJ116" s="452">
        <f>'HR Track 2 HER-TSA '!AJ13</f>
        <v>0</v>
      </c>
      <c r="AK116" s="452">
        <f>'HR Track 2 HER-TSA '!AK13</f>
        <v>0</v>
      </c>
      <c r="AL116" s="452">
        <f>'HR Track 2 HER-TSA '!AL13</f>
        <v>0</v>
      </c>
      <c r="AM116" s="452" t="str">
        <f>'HR Track 2 HER-TSA '!AM13</f>
        <v>RW1</v>
      </c>
      <c r="AN116" s="500">
        <f>'HR Track 2 HER-TSA '!AN13</f>
        <v>5.5</v>
      </c>
      <c r="AO116" s="452">
        <f>'HR Track 2 HER-TSA '!AO13</f>
        <v>0</v>
      </c>
      <c r="AP116" s="452">
        <f>'HR Track 2 HER-TSA '!AP13</f>
        <v>0</v>
      </c>
      <c r="AQ116" s="452">
        <f>'HR Track 2 HER-TSA '!AQ13</f>
        <v>0</v>
      </c>
      <c r="AR116" s="452">
        <f>'HR Track 2 HER-TSA '!AR13</f>
        <v>0</v>
      </c>
      <c r="AS116" s="452">
        <f>'HR Track 2 HER-TSA '!AS13</f>
        <v>0</v>
      </c>
      <c r="AT116" s="452">
        <f>'HR Track 2 HER-TSA '!AT13</f>
        <v>12.070096911974433</v>
      </c>
      <c r="AU116" s="452">
        <f>'HR Track 2 HER-TSA '!AU13</f>
        <v>0</v>
      </c>
      <c r="AV116" s="452">
        <f>'HR Track 2 HER-TSA '!AV13</f>
        <v>0</v>
      </c>
      <c r="AW116" s="452" t="str">
        <f>'HR Track 2 HER-TSA '!AW13</f>
        <v>Soil B</v>
      </c>
      <c r="AX116" s="452" t="str">
        <f>'HR Track 2 HER-TSA '!AX13</f>
        <v>PT</v>
      </c>
      <c r="AY116" s="500">
        <f>'HR Track 2 HER-TSA '!AY13</f>
        <v>3.5</v>
      </c>
      <c r="AZ116" s="500">
        <f>'HR Track 2 HER-TSA '!AZ13</f>
        <v>0</v>
      </c>
      <c r="BA116" s="1333" t="str">
        <f>'HR Track 2 HER-TSA '!BA13</f>
        <v>ü</v>
      </c>
      <c r="BB116" s="452" t="str">
        <f>'HR Track 2 HER-TSA '!BB13</f>
        <v>App.7-V11A-P9.5.1.1</v>
      </c>
      <c r="BC116" s="1334">
        <f>'HR Track 2 HER-TSA '!BC13</f>
        <v>0</v>
      </c>
      <c r="BD116" s="1335">
        <f>'HR Track 2 HER-TSA '!BD13</f>
        <v>0</v>
      </c>
      <c r="BE116" s="1335">
        <f>'HR Track 2 HER-TSA '!BE13</f>
        <v>0</v>
      </c>
      <c r="BF116" s="1335">
        <f>'HR Track 2 HER-TSA '!BF13</f>
        <v>0</v>
      </c>
      <c r="BG116" s="1335">
        <f>'HR Track 2 HER-TSA '!BG13</f>
        <v>0</v>
      </c>
    </row>
    <row r="117" spans="1:59" ht="15.75" customHeight="1">
      <c r="A117" s="174"/>
      <c r="B117" s="618"/>
      <c r="C117" s="617"/>
      <c r="D117" s="618"/>
      <c r="E117" s="618"/>
      <c r="F117" s="618"/>
      <c r="G117" s="458"/>
      <c r="H117" s="618"/>
      <c r="I117" s="454"/>
      <c r="J117" s="617"/>
      <c r="K117" s="618"/>
      <c r="L117" s="618"/>
      <c r="M117" s="618"/>
      <c r="N117" s="618"/>
      <c r="O117" s="618"/>
      <c r="P117" s="618"/>
      <c r="Q117" s="169"/>
      <c r="R117" s="169"/>
      <c r="S117" s="458"/>
      <c r="T117" s="169"/>
      <c r="U117" s="169"/>
      <c r="V117" s="169"/>
      <c r="W117" s="169"/>
      <c r="X117" s="169"/>
      <c r="Y117" s="169"/>
      <c r="Z117" s="169"/>
      <c r="AA117" s="169"/>
      <c r="AB117" s="169"/>
      <c r="AC117" s="169"/>
      <c r="AD117" s="169"/>
      <c r="AE117" s="169"/>
      <c r="AF117" s="169"/>
      <c r="AG117" s="617"/>
      <c r="AH117" s="169"/>
      <c r="AI117" s="629"/>
      <c r="AJ117" s="618"/>
      <c r="AK117" s="618"/>
      <c r="AL117" s="618"/>
      <c r="AM117" s="618"/>
      <c r="AN117" s="458"/>
      <c r="AO117" s="618"/>
      <c r="AP117" s="618"/>
      <c r="BA117" s="1305"/>
      <c r="BB117" s="174"/>
      <c r="BC117" s="169"/>
      <c r="BD117" s="1324"/>
      <c r="BE117" s="1324"/>
      <c r="BF117" s="1324"/>
      <c r="BG117" s="1324"/>
    </row>
    <row r="118" spans="1:59" ht="15.75" customHeight="1">
      <c r="B118" s="180"/>
      <c r="C118" s="617"/>
      <c r="D118" s="177"/>
      <c r="E118" s="177"/>
      <c r="G118" s="458"/>
      <c r="I118" s="182"/>
      <c r="J118" s="617"/>
      <c r="K118" s="169"/>
      <c r="L118" s="169"/>
      <c r="M118" s="169"/>
      <c r="P118" s="169"/>
      <c r="Q118" s="169"/>
      <c r="R118" s="169"/>
      <c r="S118" s="458"/>
      <c r="T118" s="169"/>
      <c r="U118" s="169"/>
      <c r="V118" s="169"/>
      <c r="W118" s="169"/>
      <c r="X118" s="169"/>
      <c r="Y118" s="169"/>
      <c r="Z118" s="169"/>
      <c r="AA118" s="169"/>
      <c r="AB118" s="169"/>
      <c r="AC118" s="169"/>
      <c r="AD118" s="169"/>
      <c r="AE118" s="169"/>
      <c r="AF118" s="169"/>
      <c r="AG118" s="617"/>
      <c r="AH118" s="169"/>
      <c r="AI118" s="629"/>
      <c r="AJ118" s="169"/>
      <c r="AL118" s="169"/>
      <c r="AM118" s="618"/>
      <c r="AN118" s="454"/>
      <c r="AO118" s="178"/>
      <c r="AP118" s="178"/>
      <c r="BA118" s="1305"/>
      <c r="BC118" s="169"/>
    </row>
    <row r="119" spans="1:59" ht="15.75" customHeight="1">
      <c r="B119" s="175"/>
      <c r="C119" s="617"/>
      <c r="D119" s="177"/>
      <c r="E119" s="177"/>
      <c r="G119" s="458"/>
      <c r="I119" s="179"/>
      <c r="J119" s="617"/>
      <c r="K119" s="169"/>
      <c r="L119" s="169"/>
      <c r="M119" s="169"/>
      <c r="P119" s="169"/>
      <c r="Q119" s="169"/>
      <c r="R119" s="169"/>
      <c r="S119" s="458"/>
      <c r="T119" s="169"/>
      <c r="U119" s="169"/>
      <c r="V119" s="169"/>
      <c r="W119" s="169"/>
      <c r="X119" s="169"/>
      <c r="Y119" s="169"/>
      <c r="Z119" s="169"/>
      <c r="AA119" s="169"/>
      <c r="AB119" s="169"/>
      <c r="AC119" s="169"/>
      <c r="AD119" s="169"/>
      <c r="AE119" s="169"/>
      <c r="AF119" s="169"/>
      <c r="AG119" s="617"/>
      <c r="AH119" s="169"/>
      <c r="AI119" s="629"/>
      <c r="AJ119" s="169"/>
      <c r="AL119" s="169"/>
      <c r="AM119" s="169"/>
      <c r="AN119" s="454"/>
      <c r="AO119" s="178"/>
      <c r="AP119" s="178"/>
      <c r="BA119" s="1305"/>
      <c r="BC119" s="169"/>
    </row>
    <row r="120" spans="1:59" ht="15.75" customHeight="1">
      <c r="B120" s="180"/>
      <c r="C120" s="617"/>
      <c r="D120" s="177"/>
      <c r="E120" s="177"/>
      <c r="G120" s="458"/>
      <c r="I120" s="618"/>
      <c r="J120" s="617"/>
      <c r="K120" s="169"/>
      <c r="L120" s="169"/>
      <c r="M120" s="169"/>
      <c r="P120" s="169"/>
      <c r="Q120" s="169"/>
      <c r="R120" s="169"/>
      <c r="S120" s="458"/>
      <c r="T120" s="169"/>
      <c r="U120" s="169"/>
      <c r="V120" s="169"/>
      <c r="W120" s="169"/>
      <c r="X120" s="169"/>
      <c r="Y120" s="169"/>
      <c r="Z120" s="169"/>
      <c r="AA120" s="169"/>
      <c r="AB120" s="169"/>
      <c r="AC120" s="169"/>
      <c r="AD120" s="169"/>
      <c r="AE120" s="169"/>
      <c r="AF120" s="169"/>
      <c r="AG120" s="617"/>
      <c r="AH120" s="169"/>
      <c r="AI120" s="629"/>
      <c r="AJ120" s="169"/>
      <c r="AL120" s="169"/>
      <c r="AM120" s="618"/>
      <c r="AN120" s="454"/>
      <c r="AO120" s="178"/>
      <c r="AP120" s="178"/>
      <c r="BA120" s="1305"/>
      <c r="BC120" s="169"/>
    </row>
    <row r="121" spans="1:59" ht="15.75" customHeight="1">
      <c r="B121" s="175"/>
      <c r="C121" s="617"/>
      <c r="D121" s="177"/>
      <c r="E121" s="177"/>
      <c r="G121" s="458"/>
      <c r="I121" s="454"/>
      <c r="J121" s="617"/>
      <c r="K121" s="169"/>
      <c r="L121" s="169"/>
      <c r="M121" s="169"/>
      <c r="P121" s="169"/>
      <c r="Q121" s="169"/>
      <c r="R121" s="169"/>
      <c r="S121" s="458"/>
      <c r="T121" s="169"/>
      <c r="U121" s="169"/>
      <c r="V121" s="169"/>
      <c r="W121" s="169"/>
      <c r="X121" s="169"/>
      <c r="Y121" s="169"/>
      <c r="Z121" s="169"/>
      <c r="AA121" s="169"/>
      <c r="AB121" s="169"/>
      <c r="AC121" s="169"/>
      <c r="AD121" s="169"/>
      <c r="AE121" s="169"/>
      <c r="AF121" s="169"/>
      <c r="AG121" s="617"/>
      <c r="AH121" s="169"/>
      <c r="AI121" s="629"/>
      <c r="AJ121" s="169"/>
      <c r="AL121" s="169"/>
      <c r="AM121" s="169"/>
      <c r="AN121" s="454"/>
      <c r="AO121" s="178"/>
      <c r="AP121" s="178"/>
      <c r="AW121" s="458"/>
      <c r="AX121" s="458"/>
      <c r="BA121" s="1305"/>
      <c r="BC121" s="169"/>
    </row>
    <row r="122" spans="1:59" ht="15.75" customHeight="1">
      <c r="A122" s="174"/>
      <c r="B122" s="642"/>
      <c r="C122" s="617"/>
      <c r="D122" s="618"/>
      <c r="E122" s="618"/>
      <c r="F122" s="179"/>
      <c r="G122" s="458"/>
      <c r="H122" s="618"/>
      <c r="J122" s="617"/>
      <c r="K122" s="169"/>
      <c r="L122" s="169"/>
      <c r="M122" s="169"/>
      <c r="P122" s="618"/>
      <c r="Q122" s="169"/>
      <c r="R122" s="169"/>
      <c r="S122" s="458"/>
      <c r="T122" s="169"/>
      <c r="U122" s="169"/>
      <c r="V122" s="169"/>
      <c r="W122" s="169"/>
      <c r="X122" s="169"/>
      <c r="Y122" s="169"/>
      <c r="Z122" s="169"/>
      <c r="AA122" s="169"/>
      <c r="AB122" s="169"/>
      <c r="AC122" s="169"/>
      <c r="AD122" s="169"/>
      <c r="AE122" s="169"/>
      <c r="AF122" s="169"/>
      <c r="AG122" s="617"/>
      <c r="AH122" s="169"/>
      <c r="AI122" s="629"/>
      <c r="AJ122" s="618"/>
      <c r="AK122" s="618"/>
      <c r="AL122" s="618"/>
      <c r="AM122" s="618"/>
      <c r="AN122" s="454"/>
      <c r="AO122" s="178"/>
      <c r="AP122" s="178"/>
      <c r="BA122" s="1305"/>
      <c r="BB122" s="174"/>
      <c r="BC122" s="169"/>
      <c r="BD122" s="1324"/>
      <c r="BE122" s="1324"/>
      <c r="BF122" s="1324"/>
      <c r="BG122" s="1324"/>
    </row>
    <row r="123" spans="1:59" ht="15.75" customHeight="1">
      <c r="A123" s="174"/>
      <c r="B123" s="618"/>
      <c r="C123" s="617"/>
      <c r="D123" s="618"/>
      <c r="E123" s="618"/>
      <c r="F123" s="618"/>
      <c r="G123" s="458"/>
      <c r="H123" s="618"/>
      <c r="L123" s="618"/>
      <c r="M123" s="618"/>
      <c r="N123" s="618"/>
      <c r="O123" s="618"/>
      <c r="P123" s="618"/>
      <c r="Q123" s="169"/>
      <c r="R123" s="169"/>
      <c r="S123" s="458"/>
      <c r="T123" s="169"/>
      <c r="U123" s="169"/>
      <c r="V123" s="169"/>
      <c r="W123" s="169"/>
      <c r="X123" s="169"/>
      <c r="Y123" s="169"/>
      <c r="Z123" s="169"/>
      <c r="AA123" s="169"/>
      <c r="AB123" s="169"/>
      <c r="AC123" s="169"/>
      <c r="AD123" s="169"/>
      <c r="AE123" s="169"/>
      <c r="AF123" s="169"/>
      <c r="AG123" s="617"/>
      <c r="AH123" s="169"/>
      <c r="AI123" s="629"/>
      <c r="AJ123" s="618"/>
      <c r="AK123" s="618"/>
      <c r="AL123" s="618"/>
      <c r="AM123" s="618"/>
      <c r="AN123" s="458"/>
      <c r="AO123" s="618"/>
      <c r="AP123" s="618"/>
      <c r="BA123" s="1318"/>
      <c r="BB123" s="174"/>
      <c r="BC123" s="169"/>
      <c r="BD123" s="1324"/>
      <c r="BE123" s="1324"/>
      <c r="BF123" s="1324"/>
      <c r="BG123" s="1324"/>
    </row>
    <row r="124" spans="1:59" ht="15.75" customHeight="1">
      <c r="A124" s="174"/>
      <c r="B124" s="642"/>
      <c r="C124" s="617"/>
      <c r="D124" s="618"/>
      <c r="E124" s="618"/>
      <c r="F124" s="618"/>
      <c r="G124" s="458"/>
      <c r="H124" s="618"/>
      <c r="I124" s="618"/>
      <c r="J124" s="617"/>
      <c r="K124" s="169"/>
      <c r="L124" s="618"/>
      <c r="M124" s="618"/>
      <c r="N124" s="618"/>
      <c r="O124" s="618"/>
      <c r="P124" s="618"/>
      <c r="Q124" s="169"/>
      <c r="R124" s="169"/>
      <c r="S124" s="458"/>
      <c r="T124" s="169"/>
      <c r="U124" s="169"/>
      <c r="V124" s="169"/>
      <c r="W124" s="169"/>
      <c r="X124" s="169"/>
      <c r="Y124" s="169"/>
      <c r="Z124" s="169"/>
      <c r="AA124" s="169"/>
      <c r="AB124" s="169"/>
      <c r="AC124" s="169"/>
      <c r="AD124" s="169"/>
      <c r="AE124" s="169"/>
      <c r="AF124" s="169"/>
      <c r="AG124" s="617"/>
      <c r="AH124" s="169"/>
      <c r="AI124" s="629"/>
      <c r="AJ124" s="618"/>
      <c r="AK124" s="618"/>
      <c r="AL124" s="618"/>
      <c r="AM124" s="618"/>
      <c r="AN124" s="454"/>
      <c r="AO124" s="178"/>
      <c r="AP124" s="178"/>
      <c r="BA124" s="1305"/>
      <c r="BB124" s="174"/>
      <c r="BC124" s="169"/>
      <c r="BD124" s="1324"/>
      <c r="BE124" s="1324"/>
      <c r="BF124" s="1324"/>
      <c r="BG124" s="1324"/>
    </row>
    <row r="125" spans="1:59" ht="15.75" customHeight="1">
      <c r="A125" s="174"/>
      <c r="B125" s="618"/>
      <c r="C125" s="617"/>
      <c r="D125" s="618"/>
      <c r="E125" s="618"/>
      <c r="F125" s="618"/>
      <c r="G125" s="458"/>
      <c r="H125" s="618"/>
      <c r="I125" s="454"/>
      <c r="J125" s="617"/>
      <c r="K125" s="618"/>
      <c r="L125" s="618"/>
      <c r="M125" s="618"/>
      <c r="N125" s="618"/>
      <c r="O125" s="618"/>
      <c r="P125" s="618"/>
      <c r="Q125" s="169"/>
      <c r="R125" s="169"/>
      <c r="S125" s="458"/>
      <c r="T125" s="169"/>
      <c r="U125" s="169"/>
      <c r="V125" s="169"/>
      <c r="W125" s="169"/>
      <c r="X125" s="169"/>
      <c r="Y125" s="169"/>
      <c r="Z125" s="169"/>
      <c r="AA125" s="169"/>
      <c r="AB125" s="169"/>
      <c r="AC125" s="169"/>
      <c r="AD125" s="169"/>
      <c r="AE125" s="169"/>
      <c r="AF125" s="169"/>
      <c r="AG125" s="617"/>
      <c r="AH125" s="169"/>
      <c r="AI125" s="629"/>
      <c r="AJ125" s="618"/>
      <c r="AK125" s="618"/>
      <c r="AL125" s="618"/>
      <c r="AM125" s="618"/>
      <c r="AN125" s="458"/>
      <c r="AO125" s="618"/>
      <c r="AP125" s="618"/>
      <c r="BA125" s="1305"/>
      <c r="BB125" s="174"/>
      <c r="BC125" s="169"/>
      <c r="BD125" s="1324"/>
      <c r="BE125" s="1324"/>
      <c r="BF125" s="1324"/>
      <c r="BG125" s="1324"/>
    </row>
    <row r="126" spans="1:59" ht="15.75" customHeight="1">
      <c r="B126" s="180"/>
      <c r="C126" s="617"/>
      <c r="D126" s="177"/>
      <c r="E126" s="177"/>
      <c r="G126" s="458"/>
      <c r="I126" s="182"/>
      <c r="J126" s="617"/>
      <c r="K126" s="169"/>
      <c r="L126" s="169"/>
      <c r="M126" s="169"/>
      <c r="P126" s="169"/>
      <c r="Q126" s="169"/>
      <c r="R126" s="169"/>
      <c r="S126" s="458"/>
      <c r="T126" s="169"/>
      <c r="U126" s="169"/>
      <c r="V126" s="169"/>
      <c r="W126" s="169"/>
      <c r="X126" s="169"/>
      <c r="Y126" s="169"/>
      <c r="Z126" s="169"/>
      <c r="AA126" s="169"/>
      <c r="AB126" s="169"/>
      <c r="AC126" s="169"/>
      <c r="AD126" s="169"/>
      <c r="AE126" s="169"/>
      <c r="AF126" s="169"/>
      <c r="AG126" s="617"/>
      <c r="AH126" s="169"/>
      <c r="AI126" s="629"/>
      <c r="AJ126" s="169"/>
      <c r="AL126" s="169"/>
      <c r="AM126" s="618"/>
      <c r="AN126" s="454"/>
      <c r="AO126" s="178"/>
      <c r="AP126" s="178"/>
      <c r="BA126" s="1305"/>
      <c r="BC126" s="169"/>
    </row>
    <row r="127" spans="1:59" ht="15.75" customHeight="1">
      <c r="B127" s="175"/>
      <c r="C127" s="617"/>
      <c r="D127" s="177"/>
      <c r="E127" s="177"/>
      <c r="G127" s="458"/>
      <c r="I127" s="179"/>
      <c r="J127" s="617"/>
      <c r="K127" s="169"/>
      <c r="L127" s="169"/>
      <c r="M127" s="169"/>
      <c r="P127" s="169"/>
      <c r="Q127" s="169"/>
      <c r="R127" s="169"/>
      <c r="S127" s="458"/>
      <c r="T127" s="169"/>
      <c r="U127" s="169"/>
      <c r="V127" s="169"/>
      <c r="W127" s="169"/>
      <c r="X127" s="169"/>
      <c r="Y127" s="169"/>
      <c r="Z127" s="169"/>
      <c r="AA127" s="169"/>
      <c r="AB127" s="169"/>
      <c r="AC127" s="169"/>
      <c r="AD127" s="169"/>
      <c r="AE127" s="169"/>
      <c r="AF127" s="169"/>
      <c r="AG127" s="617"/>
      <c r="AH127" s="169"/>
      <c r="AI127" s="629"/>
      <c r="AJ127" s="169"/>
      <c r="AL127" s="169"/>
      <c r="AM127" s="169"/>
      <c r="AN127" s="454"/>
      <c r="AO127" s="178"/>
      <c r="AP127" s="178"/>
      <c r="BA127" s="1305"/>
      <c r="BC127" s="169"/>
    </row>
    <row r="128" spans="1:59" ht="15.75" customHeight="1">
      <c r="B128" s="180"/>
      <c r="C128" s="617"/>
      <c r="D128" s="177"/>
      <c r="E128" s="177"/>
      <c r="G128" s="458"/>
      <c r="I128" s="618"/>
      <c r="J128" s="617"/>
      <c r="K128" s="169"/>
      <c r="L128" s="169"/>
      <c r="M128" s="169"/>
      <c r="P128" s="169"/>
      <c r="Q128" s="169"/>
      <c r="R128" s="169"/>
      <c r="S128" s="458"/>
      <c r="T128" s="169"/>
      <c r="U128" s="169"/>
      <c r="V128" s="169"/>
      <c r="W128" s="169"/>
      <c r="X128" s="169"/>
      <c r="Y128" s="169"/>
      <c r="Z128" s="169"/>
      <c r="AA128" s="169"/>
      <c r="AB128" s="169"/>
      <c r="AC128" s="169"/>
      <c r="AD128" s="169"/>
      <c r="AE128" s="169"/>
      <c r="AF128" s="169"/>
      <c r="AG128" s="617"/>
      <c r="AH128" s="169"/>
      <c r="AI128" s="629"/>
      <c r="AJ128" s="169"/>
      <c r="AL128" s="169"/>
      <c r="AM128" s="618"/>
      <c r="AN128" s="454"/>
      <c r="AO128" s="178"/>
      <c r="AP128" s="178"/>
      <c r="BA128" s="1305"/>
      <c r="BC128" s="169"/>
    </row>
    <row r="129" spans="1:59" ht="15.75" customHeight="1">
      <c r="B129" s="175"/>
      <c r="C129" s="617"/>
      <c r="D129" s="177"/>
      <c r="E129" s="177"/>
      <c r="G129" s="458"/>
      <c r="I129" s="454"/>
      <c r="J129" s="617"/>
      <c r="K129" s="169"/>
      <c r="L129" s="169"/>
      <c r="M129" s="169"/>
      <c r="P129" s="169"/>
      <c r="Q129" s="169"/>
      <c r="R129" s="169"/>
      <c r="S129" s="458"/>
      <c r="T129" s="169"/>
      <c r="U129" s="169"/>
      <c r="V129" s="169"/>
      <c r="W129" s="169"/>
      <c r="X129" s="169"/>
      <c r="Y129" s="169"/>
      <c r="Z129" s="169"/>
      <c r="AA129" s="169"/>
      <c r="AB129" s="169"/>
      <c r="AC129" s="169"/>
      <c r="AD129" s="169"/>
      <c r="AE129" s="169"/>
      <c r="AF129" s="169"/>
      <c r="AG129" s="617"/>
      <c r="AH129" s="169"/>
      <c r="AI129" s="629"/>
      <c r="AJ129" s="169"/>
      <c r="AL129" s="169"/>
      <c r="AM129" s="169"/>
      <c r="AN129" s="454"/>
      <c r="AO129" s="178"/>
      <c r="AP129" s="178"/>
      <c r="AW129" s="458"/>
      <c r="AX129" s="458"/>
      <c r="BA129" s="1305"/>
      <c r="BC129" s="169"/>
    </row>
    <row r="130" spans="1:59" ht="15.75" customHeight="1">
      <c r="A130" s="174"/>
      <c r="B130" s="642"/>
      <c r="C130" s="617"/>
      <c r="D130" s="618"/>
      <c r="E130" s="618"/>
      <c r="F130" s="179"/>
      <c r="G130" s="458"/>
      <c r="H130" s="618"/>
      <c r="J130" s="617"/>
      <c r="K130" s="169"/>
      <c r="L130" s="169"/>
      <c r="M130" s="169"/>
      <c r="P130" s="618"/>
      <c r="Q130" s="169"/>
      <c r="R130" s="169"/>
      <c r="S130" s="458"/>
      <c r="T130" s="169"/>
      <c r="U130" s="169"/>
      <c r="V130" s="169"/>
      <c r="W130" s="169"/>
      <c r="X130" s="169"/>
      <c r="Y130" s="169"/>
      <c r="Z130" s="169"/>
      <c r="AA130" s="169"/>
      <c r="AB130" s="169"/>
      <c r="AC130" s="169"/>
      <c r="AD130" s="169"/>
      <c r="AE130" s="169"/>
      <c r="AF130" s="169"/>
      <c r="AG130" s="617"/>
      <c r="AH130" s="169"/>
      <c r="AI130" s="629"/>
      <c r="AJ130" s="618"/>
      <c r="AK130" s="618"/>
      <c r="AL130" s="618"/>
      <c r="AM130" s="618"/>
      <c r="AN130" s="454"/>
      <c r="AO130" s="178"/>
      <c r="AP130" s="178"/>
      <c r="BA130" s="1305"/>
      <c r="BB130" s="174"/>
      <c r="BC130" s="169"/>
      <c r="BD130" s="1324"/>
      <c r="BE130" s="1324"/>
      <c r="BF130" s="1324"/>
      <c r="BG130" s="1324"/>
    </row>
    <row r="131" spans="1:59" ht="15.75" customHeight="1">
      <c r="A131" s="174"/>
      <c r="B131" s="618"/>
      <c r="C131" s="617"/>
      <c r="D131" s="618"/>
      <c r="E131" s="618"/>
      <c r="F131" s="618"/>
      <c r="G131" s="458"/>
      <c r="H131" s="618"/>
      <c r="L131" s="618"/>
      <c r="M131" s="618"/>
      <c r="N131" s="618"/>
      <c r="O131" s="618"/>
      <c r="P131" s="618"/>
      <c r="Q131" s="169"/>
      <c r="R131" s="169"/>
      <c r="S131" s="458"/>
      <c r="T131" s="169"/>
      <c r="U131" s="169"/>
      <c r="V131" s="169"/>
      <c r="W131" s="169"/>
      <c r="X131" s="169"/>
      <c r="Y131" s="169"/>
      <c r="Z131" s="169"/>
      <c r="AA131" s="169"/>
      <c r="AB131" s="169"/>
      <c r="AC131" s="169"/>
      <c r="AD131" s="169"/>
      <c r="AE131" s="169"/>
      <c r="AF131" s="169"/>
      <c r="AG131" s="617"/>
      <c r="AH131" s="169"/>
      <c r="AI131" s="629"/>
      <c r="AJ131" s="618"/>
      <c r="AK131" s="618"/>
      <c r="AL131" s="618"/>
      <c r="AM131" s="618"/>
      <c r="AN131" s="458"/>
      <c r="AO131" s="618"/>
      <c r="AP131" s="618"/>
      <c r="BA131" s="1318"/>
      <c r="BB131" s="174"/>
      <c r="BC131" s="169"/>
      <c r="BD131" s="1324"/>
      <c r="BE131" s="1324"/>
      <c r="BF131" s="1324"/>
      <c r="BG131" s="1324"/>
    </row>
    <row r="132" spans="1:59" ht="15.75" customHeight="1">
      <c r="A132" s="174"/>
      <c r="B132" s="642"/>
      <c r="C132" s="617"/>
      <c r="D132" s="618"/>
      <c r="E132" s="618"/>
      <c r="F132" s="618"/>
      <c r="G132" s="458"/>
      <c r="H132" s="618"/>
      <c r="I132" s="618"/>
      <c r="J132" s="617"/>
      <c r="K132" s="169"/>
      <c r="L132" s="618"/>
      <c r="M132" s="618"/>
      <c r="N132" s="618"/>
      <c r="O132" s="618"/>
      <c r="P132" s="618"/>
      <c r="Q132" s="169"/>
      <c r="R132" s="169"/>
      <c r="S132" s="458"/>
      <c r="T132" s="169"/>
      <c r="U132" s="169"/>
      <c r="V132" s="169"/>
      <c r="W132" s="169"/>
      <c r="X132" s="169"/>
      <c r="Y132" s="169"/>
      <c r="Z132" s="169"/>
      <c r="AA132" s="169"/>
      <c r="AB132" s="169"/>
      <c r="AC132" s="169"/>
      <c r="AD132" s="169"/>
      <c r="AE132" s="169"/>
      <c r="AF132" s="169"/>
      <c r="AG132" s="617"/>
      <c r="AH132" s="169"/>
      <c r="AI132" s="629"/>
      <c r="AJ132" s="618"/>
      <c r="AK132" s="618"/>
      <c r="AL132" s="618"/>
      <c r="AM132" s="618"/>
      <c r="AN132" s="454"/>
      <c r="AO132" s="178"/>
      <c r="AP132" s="178"/>
      <c r="BA132" s="1305"/>
      <c r="BB132" s="174"/>
      <c r="BC132" s="169"/>
      <c r="BD132" s="1324"/>
      <c r="BE132" s="1324"/>
      <c r="BF132" s="1324"/>
      <c r="BG132" s="1324"/>
    </row>
    <row r="133" spans="1:59" ht="15.75" customHeight="1">
      <c r="A133" s="174"/>
      <c r="B133" s="618"/>
      <c r="C133" s="617"/>
      <c r="D133" s="618"/>
      <c r="E133" s="618"/>
      <c r="F133" s="618"/>
      <c r="G133" s="458"/>
      <c r="H133" s="618"/>
      <c r="I133" s="454"/>
      <c r="J133" s="617"/>
      <c r="K133" s="618"/>
      <c r="L133" s="618"/>
      <c r="M133" s="618"/>
      <c r="N133" s="618"/>
      <c r="O133" s="618"/>
      <c r="P133" s="618"/>
      <c r="Q133" s="169"/>
      <c r="R133" s="169"/>
      <c r="S133" s="458"/>
      <c r="T133" s="169"/>
      <c r="U133" s="169"/>
      <c r="V133" s="169"/>
      <c r="W133" s="169"/>
      <c r="X133" s="169"/>
      <c r="Y133" s="169"/>
      <c r="Z133" s="169"/>
      <c r="AA133" s="169"/>
      <c r="AB133" s="169"/>
      <c r="AC133" s="169"/>
      <c r="AD133" s="169"/>
      <c r="AE133" s="169"/>
      <c r="AF133" s="169"/>
      <c r="AG133" s="617"/>
      <c r="AH133" s="169"/>
      <c r="AI133" s="629"/>
      <c r="AJ133" s="618"/>
      <c r="AK133" s="618"/>
      <c r="AL133" s="618"/>
      <c r="AM133" s="618"/>
      <c r="AN133" s="458"/>
      <c r="AO133" s="618"/>
      <c r="AP133" s="618"/>
      <c r="BA133" s="1305"/>
      <c r="BB133" s="174"/>
      <c r="BC133" s="169"/>
      <c r="BD133" s="1324"/>
      <c r="BE133" s="1324"/>
      <c r="BF133" s="1324"/>
      <c r="BG133" s="1324"/>
    </row>
    <row r="134" spans="1:59" ht="15.75" customHeight="1">
      <c r="B134" s="180"/>
      <c r="C134" s="617"/>
      <c r="D134" s="177"/>
      <c r="E134" s="177"/>
      <c r="G134" s="458"/>
      <c r="I134" s="182"/>
      <c r="J134" s="617"/>
      <c r="K134" s="169"/>
      <c r="L134" s="169"/>
      <c r="M134" s="169"/>
      <c r="P134" s="169"/>
      <c r="Q134" s="169"/>
      <c r="R134" s="169"/>
      <c r="S134" s="458"/>
      <c r="T134" s="169"/>
      <c r="U134" s="169"/>
      <c r="V134" s="169"/>
      <c r="W134" s="169"/>
      <c r="X134" s="169"/>
      <c r="Y134" s="169"/>
      <c r="Z134" s="169"/>
      <c r="AA134" s="169"/>
      <c r="AB134" s="169"/>
      <c r="AC134" s="169"/>
      <c r="AD134" s="169"/>
      <c r="AE134" s="169"/>
      <c r="AF134" s="169"/>
      <c r="AG134" s="617"/>
      <c r="AH134" s="169"/>
      <c r="AI134" s="629"/>
      <c r="AJ134" s="169"/>
      <c r="AL134" s="169"/>
      <c r="AM134" s="618"/>
      <c r="AN134" s="454"/>
      <c r="AO134" s="178"/>
      <c r="AP134" s="178"/>
      <c r="BA134" s="1305"/>
      <c r="BC134" s="169"/>
    </row>
    <row r="135" spans="1:59" ht="15.75" customHeight="1">
      <c r="B135" s="175"/>
      <c r="C135" s="617"/>
      <c r="D135" s="177"/>
      <c r="E135" s="177"/>
      <c r="G135" s="458"/>
      <c r="I135" s="179"/>
      <c r="J135" s="617"/>
      <c r="K135" s="169"/>
      <c r="L135" s="169"/>
      <c r="M135" s="169"/>
      <c r="P135" s="169"/>
      <c r="Q135" s="169"/>
      <c r="R135" s="169"/>
      <c r="S135" s="458"/>
      <c r="T135" s="169"/>
      <c r="U135" s="169"/>
      <c r="V135" s="169"/>
      <c r="W135" s="169"/>
      <c r="X135" s="169"/>
      <c r="Y135" s="169"/>
      <c r="Z135" s="169"/>
      <c r="AA135" s="169"/>
      <c r="AB135" s="169"/>
      <c r="AC135" s="169"/>
      <c r="AD135" s="169"/>
      <c r="AE135" s="169"/>
      <c r="AF135" s="169"/>
      <c r="AG135" s="617"/>
      <c r="AH135" s="169"/>
      <c r="AI135" s="629"/>
      <c r="AJ135" s="169"/>
      <c r="AL135" s="169"/>
      <c r="AM135" s="169"/>
      <c r="AN135" s="454"/>
      <c r="AO135" s="178"/>
      <c r="AP135" s="178"/>
      <c r="BA135" s="1305"/>
      <c r="BC135" s="169"/>
    </row>
    <row r="136" spans="1:59" ht="15.75" customHeight="1">
      <c r="B136" s="180"/>
      <c r="C136" s="617"/>
      <c r="D136" s="177"/>
      <c r="E136" s="177"/>
      <c r="G136" s="458"/>
      <c r="I136" s="618"/>
      <c r="J136" s="617"/>
      <c r="K136" s="169"/>
      <c r="L136" s="169"/>
      <c r="M136" s="169"/>
      <c r="P136" s="169"/>
      <c r="Q136" s="169"/>
      <c r="R136" s="169"/>
      <c r="S136" s="458"/>
      <c r="T136" s="169"/>
      <c r="U136" s="169"/>
      <c r="V136" s="169"/>
      <c r="W136" s="169"/>
      <c r="X136" s="169"/>
      <c r="Y136" s="169"/>
      <c r="Z136" s="169"/>
      <c r="AA136" s="169"/>
      <c r="AB136" s="169"/>
      <c r="AC136" s="169"/>
      <c r="AD136" s="169"/>
      <c r="AE136" s="169"/>
      <c r="AF136" s="169"/>
      <c r="AG136" s="617"/>
      <c r="AH136" s="169"/>
      <c r="AI136" s="629"/>
      <c r="AJ136" s="169"/>
      <c r="AL136" s="169"/>
      <c r="AM136" s="618"/>
      <c r="AN136" s="454"/>
      <c r="AO136" s="178"/>
      <c r="AP136" s="178"/>
      <c r="BA136" s="1305"/>
      <c r="BC136" s="169"/>
    </row>
    <row r="137" spans="1:59" ht="15.75" customHeight="1">
      <c r="B137" s="175"/>
      <c r="C137" s="617"/>
      <c r="D137" s="177"/>
      <c r="E137" s="177"/>
      <c r="G137" s="458"/>
      <c r="I137" s="454"/>
      <c r="J137" s="617"/>
      <c r="K137" s="169"/>
      <c r="L137" s="169"/>
      <c r="M137" s="169"/>
      <c r="P137" s="169"/>
      <c r="Q137" s="169"/>
      <c r="R137" s="169"/>
      <c r="S137" s="458"/>
      <c r="T137" s="169"/>
      <c r="U137" s="169"/>
      <c r="V137" s="169"/>
      <c r="W137" s="169"/>
      <c r="X137" s="169"/>
      <c r="Y137" s="169"/>
      <c r="Z137" s="169"/>
      <c r="AA137" s="169"/>
      <c r="AB137" s="169"/>
      <c r="AC137" s="169"/>
      <c r="AD137" s="169"/>
      <c r="AE137" s="169"/>
      <c r="AF137" s="169"/>
      <c r="AG137" s="617"/>
      <c r="AH137" s="169"/>
      <c r="AI137" s="629"/>
      <c r="AJ137" s="169"/>
      <c r="AL137" s="169"/>
      <c r="AM137" s="169"/>
      <c r="AN137" s="454"/>
      <c r="AO137" s="178"/>
      <c r="AP137" s="178"/>
      <c r="AW137" s="458"/>
      <c r="AX137" s="458"/>
      <c r="BA137" s="1305"/>
      <c r="BC137" s="169"/>
    </row>
    <row r="138" spans="1:59" ht="15.75" customHeight="1">
      <c r="A138" s="174"/>
      <c r="B138" s="642"/>
      <c r="C138" s="617"/>
      <c r="D138" s="618"/>
      <c r="E138" s="618"/>
      <c r="F138" s="179"/>
      <c r="G138" s="458"/>
      <c r="H138" s="618"/>
      <c r="J138" s="617"/>
      <c r="K138" s="169"/>
      <c r="L138" s="169"/>
      <c r="M138" s="169"/>
      <c r="P138" s="618"/>
      <c r="Q138" s="169"/>
      <c r="R138" s="169"/>
      <c r="S138" s="458"/>
      <c r="T138" s="169"/>
      <c r="U138" s="169"/>
      <c r="V138" s="169"/>
      <c r="W138" s="169"/>
      <c r="X138" s="169"/>
      <c r="Y138" s="169"/>
      <c r="Z138" s="169"/>
      <c r="AA138" s="169"/>
      <c r="AB138" s="169"/>
      <c r="AC138" s="169"/>
      <c r="AD138" s="169"/>
      <c r="AE138" s="169"/>
      <c r="AF138" s="169"/>
      <c r="AG138" s="617"/>
      <c r="AH138" s="169"/>
      <c r="AI138" s="629"/>
      <c r="AJ138" s="618"/>
      <c r="AK138" s="618"/>
      <c r="AL138" s="618"/>
      <c r="AM138" s="618"/>
      <c r="AN138" s="454"/>
      <c r="AO138" s="178"/>
      <c r="AP138" s="178"/>
      <c r="BA138" s="1305"/>
      <c r="BB138" s="174"/>
      <c r="BC138" s="169"/>
      <c r="BD138" s="1324"/>
      <c r="BE138" s="1324"/>
      <c r="BF138" s="1324"/>
      <c r="BG138" s="1324"/>
    </row>
    <row r="139" spans="1:59" ht="15.75" customHeight="1">
      <c r="A139" s="174"/>
      <c r="B139" s="618"/>
      <c r="C139" s="617"/>
      <c r="D139" s="618"/>
      <c r="E139" s="618"/>
      <c r="F139" s="618"/>
      <c r="G139" s="458"/>
      <c r="H139" s="618"/>
      <c r="L139" s="618"/>
      <c r="M139" s="618"/>
      <c r="N139" s="618"/>
      <c r="O139" s="618"/>
      <c r="P139" s="618"/>
      <c r="Q139" s="169"/>
      <c r="R139" s="169"/>
      <c r="S139" s="458"/>
      <c r="T139" s="169"/>
      <c r="U139" s="169"/>
      <c r="V139" s="169"/>
      <c r="W139" s="169"/>
      <c r="X139" s="169"/>
      <c r="Y139" s="169"/>
      <c r="Z139" s="169"/>
      <c r="AA139" s="169"/>
      <c r="AB139" s="169"/>
      <c r="AC139" s="169"/>
      <c r="AD139" s="169"/>
      <c r="AE139" s="169"/>
      <c r="AF139" s="169"/>
      <c r="AG139" s="617"/>
      <c r="AH139" s="169"/>
      <c r="AI139" s="629"/>
      <c r="AJ139" s="618"/>
      <c r="AK139" s="618"/>
      <c r="AL139" s="618"/>
      <c r="AM139" s="618"/>
      <c r="AN139" s="458"/>
      <c r="AO139" s="618"/>
      <c r="AP139" s="618"/>
      <c r="BA139" s="1318"/>
      <c r="BB139" s="174"/>
      <c r="BC139" s="169"/>
      <c r="BD139" s="1324"/>
      <c r="BE139" s="1324"/>
      <c r="BF139" s="1324"/>
      <c r="BG139" s="1324"/>
    </row>
    <row r="140" spans="1:59" ht="15.75" customHeight="1">
      <c r="A140" s="174"/>
      <c r="B140" s="642"/>
      <c r="C140" s="617"/>
      <c r="D140" s="618"/>
      <c r="E140" s="618"/>
      <c r="F140" s="618"/>
      <c r="G140" s="458"/>
      <c r="H140" s="618"/>
      <c r="I140" s="618"/>
      <c r="J140" s="617"/>
      <c r="K140" s="169"/>
      <c r="L140" s="618"/>
      <c r="M140" s="618"/>
      <c r="N140" s="618"/>
      <c r="O140" s="618"/>
      <c r="P140" s="618"/>
      <c r="Q140" s="169"/>
      <c r="R140" s="169"/>
      <c r="S140" s="458"/>
      <c r="T140" s="169"/>
      <c r="U140" s="169"/>
      <c r="V140" s="169"/>
      <c r="W140" s="169"/>
      <c r="X140" s="169"/>
      <c r="Y140" s="169"/>
      <c r="Z140" s="169"/>
      <c r="AA140" s="169"/>
      <c r="AB140" s="169"/>
      <c r="AC140" s="169"/>
      <c r="AD140" s="169"/>
      <c r="AE140" s="169"/>
      <c r="AF140" s="169"/>
      <c r="AG140" s="617"/>
      <c r="AH140" s="169"/>
      <c r="AI140" s="629"/>
      <c r="AJ140" s="618"/>
      <c r="AK140" s="618"/>
      <c r="AL140" s="618"/>
      <c r="AM140" s="618"/>
      <c r="AN140" s="454"/>
      <c r="AO140" s="178"/>
      <c r="AP140" s="178"/>
      <c r="BA140" s="1305"/>
      <c r="BB140" s="174"/>
      <c r="BC140" s="169"/>
      <c r="BD140" s="1324"/>
      <c r="BE140" s="1324"/>
      <c r="BF140" s="1324"/>
      <c r="BG140" s="1324"/>
    </row>
    <row r="141" spans="1:59" ht="15.75" customHeight="1">
      <c r="A141" s="174"/>
      <c r="B141" s="618"/>
      <c r="C141" s="617"/>
      <c r="D141" s="618"/>
      <c r="E141" s="618"/>
      <c r="F141" s="618"/>
      <c r="G141" s="458"/>
      <c r="H141" s="618"/>
      <c r="I141" s="454"/>
      <c r="J141" s="617"/>
      <c r="K141" s="618"/>
      <c r="L141" s="618"/>
      <c r="M141" s="618"/>
      <c r="N141" s="618"/>
      <c r="O141" s="618"/>
      <c r="P141" s="618"/>
      <c r="Q141" s="169"/>
      <c r="R141" s="169"/>
      <c r="S141" s="458"/>
      <c r="T141" s="169"/>
      <c r="U141" s="169"/>
      <c r="V141" s="169"/>
      <c r="W141" s="169"/>
      <c r="X141" s="169"/>
      <c r="Y141" s="169"/>
      <c r="Z141" s="169"/>
      <c r="AA141" s="169"/>
      <c r="AB141" s="169"/>
      <c r="AC141" s="169"/>
      <c r="AD141" s="169"/>
      <c r="AE141" s="169"/>
      <c r="AF141" s="169"/>
      <c r="AG141" s="617"/>
      <c r="AH141" s="169"/>
      <c r="AI141" s="629"/>
      <c r="AJ141" s="618"/>
      <c r="AK141" s="618"/>
      <c r="AL141" s="618"/>
      <c r="AM141" s="618"/>
      <c r="AN141" s="458"/>
      <c r="AO141" s="618"/>
      <c r="AP141" s="618"/>
      <c r="BA141" s="1305"/>
      <c r="BB141" s="174"/>
      <c r="BC141" s="169"/>
      <c r="BD141" s="1324"/>
      <c r="BE141" s="1324"/>
      <c r="BF141" s="1324"/>
      <c r="BG141" s="1324"/>
    </row>
    <row r="142" spans="1:59" ht="15.75" customHeight="1">
      <c r="B142" s="180"/>
      <c r="C142" s="617"/>
      <c r="D142" s="177"/>
      <c r="E142" s="177"/>
      <c r="G142" s="458"/>
      <c r="I142" s="182"/>
      <c r="J142" s="617"/>
      <c r="K142" s="169"/>
      <c r="L142" s="169"/>
      <c r="M142" s="169"/>
      <c r="P142" s="169"/>
      <c r="Q142" s="169"/>
      <c r="R142" s="169"/>
      <c r="S142" s="458"/>
      <c r="T142" s="169"/>
      <c r="U142" s="169"/>
      <c r="V142" s="169"/>
      <c r="W142" s="169"/>
      <c r="X142" s="169"/>
      <c r="Y142" s="169"/>
      <c r="Z142" s="169"/>
      <c r="AA142" s="169"/>
      <c r="AB142" s="169"/>
      <c r="AC142" s="169"/>
      <c r="AD142" s="169"/>
      <c r="AE142" s="169"/>
      <c r="AF142" s="169"/>
      <c r="AG142" s="617"/>
      <c r="AH142" s="169"/>
      <c r="AI142" s="629"/>
      <c r="AJ142" s="169"/>
      <c r="AL142" s="169"/>
      <c r="AM142" s="618"/>
      <c r="AN142" s="454"/>
      <c r="AO142" s="178"/>
      <c r="AP142" s="178"/>
      <c r="BA142" s="1305"/>
      <c r="BC142" s="169"/>
    </row>
    <row r="143" spans="1:59" ht="15.75" customHeight="1">
      <c r="B143" s="175"/>
      <c r="C143" s="617"/>
      <c r="D143" s="177"/>
      <c r="E143" s="177"/>
      <c r="G143" s="458"/>
      <c r="I143" s="179"/>
      <c r="J143" s="617"/>
      <c r="K143" s="169"/>
      <c r="L143" s="169"/>
      <c r="M143" s="169"/>
      <c r="P143" s="169"/>
      <c r="Q143" s="169"/>
      <c r="R143" s="169"/>
      <c r="S143" s="458"/>
      <c r="T143" s="169"/>
      <c r="U143" s="169"/>
      <c r="V143" s="169"/>
      <c r="W143" s="169"/>
      <c r="X143" s="169"/>
      <c r="Y143" s="169"/>
      <c r="Z143" s="169"/>
      <c r="AA143" s="169"/>
      <c r="AB143" s="169"/>
      <c r="AC143" s="169"/>
      <c r="AD143" s="169"/>
      <c r="AE143" s="169"/>
      <c r="AF143" s="169"/>
      <c r="AG143" s="617"/>
      <c r="AH143" s="169"/>
      <c r="AI143" s="629"/>
      <c r="AJ143" s="169"/>
      <c r="AL143" s="169"/>
      <c r="AM143" s="169"/>
      <c r="AN143" s="454"/>
      <c r="AO143" s="178"/>
      <c r="AP143" s="178"/>
      <c r="BA143" s="1305"/>
      <c r="BC143" s="169"/>
    </row>
    <row r="144" spans="1:59" ht="15.75" customHeight="1">
      <c r="B144" s="180"/>
      <c r="C144" s="617"/>
      <c r="D144" s="177"/>
      <c r="E144" s="177"/>
      <c r="G144" s="458"/>
      <c r="I144" s="618"/>
      <c r="J144" s="617"/>
      <c r="K144" s="169"/>
      <c r="L144" s="169"/>
      <c r="M144" s="169"/>
      <c r="P144" s="169"/>
      <c r="Q144" s="169"/>
      <c r="R144" s="169"/>
      <c r="S144" s="458"/>
      <c r="T144" s="169"/>
      <c r="U144" s="169"/>
      <c r="V144" s="169"/>
      <c r="W144" s="169"/>
      <c r="X144" s="169"/>
      <c r="Y144" s="169"/>
      <c r="Z144" s="169"/>
      <c r="AA144" s="169"/>
      <c r="AB144" s="169"/>
      <c r="AC144" s="169"/>
      <c r="AD144" s="169"/>
      <c r="AE144" s="169"/>
      <c r="AF144" s="169"/>
      <c r="AG144" s="617"/>
      <c r="AH144" s="169"/>
      <c r="AI144" s="629"/>
      <c r="AJ144" s="169"/>
      <c r="AL144" s="169"/>
      <c r="AM144" s="618"/>
      <c r="AN144" s="454"/>
      <c r="AO144" s="178"/>
      <c r="AP144" s="178"/>
      <c r="BA144" s="1305"/>
      <c r="BC144" s="169"/>
    </row>
    <row r="145" spans="1:59" ht="15.75" customHeight="1">
      <c r="B145" s="175"/>
      <c r="C145" s="617"/>
      <c r="D145" s="177"/>
      <c r="E145" s="177"/>
      <c r="G145" s="458"/>
      <c r="I145" s="454"/>
      <c r="J145" s="617"/>
      <c r="K145" s="169"/>
      <c r="L145" s="169"/>
      <c r="M145" s="169"/>
      <c r="P145" s="169"/>
      <c r="Q145" s="169"/>
      <c r="R145" s="169"/>
      <c r="S145" s="458"/>
      <c r="T145" s="169"/>
      <c r="U145" s="169"/>
      <c r="V145" s="169"/>
      <c r="W145" s="169"/>
      <c r="X145" s="169"/>
      <c r="Y145" s="169"/>
      <c r="Z145" s="169"/>
      <c r="AA145" s="169"/>
      <c r="AB145" s="169"/>
      <c r="AC145" s="169"/>
      <c r="AD145" s="169"/>
      <c r="AE145" s="169"/>
      <c r="AF145" s="169"/>
      <c r="AG145" s="617"/>
      <c r="AH145" s="169"/>
      <c r="AI145" s="629"/>
      <c r="AJ145" s="169"/>
      <c r="AL145" s="169"/>
      <c r="AM145" s="169"/>
      <c r="AN145" s="454"/>
      <c r="AO145" s="178"/>
      <c r="AP145" s="178"/>
      <c r="AW145" s="458"/>
      <c r="AX145" s="458"/>
      <c r="BA145" s="1305"/>
      <c r="BC145" s="169"/>
    </row>
    <row r="146" spans="1:59" ht="15.75" customHeight="1">
      <c r="A146" s="174"/>
      <c r="B146" s="642"/>
      <c r="C146" s="617"/>
      <c r="D146" s="618"/>
      <c r="E146" s="618"/>
      <c r="F146" s="179"/>
      <c r="G146" s="458"/>
      <c r="H146" s="618"/>
      <c r="J146" s="617"/>
      <c r="K146" s="169"/>
      <c r="L146" s="169"/>
      <c r="M146" s="169"/>
      <c r="P146" s="618"/>
      <c r="Q146" s="169"/>
      <c r="R146" s="169"/>
      <c r="S146" s="458"/>
      <c r="T146" s="169"/>
      <c r="U146" s="169"/>
      <c r="V146" s="169"/>
      <c r="W146" s="169"/>
      <c r="X146" s="169"/>
      <c r="Y146" s="169"/>
      <c r="Z146" s="169"/>
      <c r="AA146" s="169"/>
      <c r="AB146" s="169"/>
      <c r="AC146" s="169"/>
      <c r="AD146" s="169"/>
      <c r="AE146" s="169"/>
      <c r="AF146" s="169"/>
      <c r="AG146" s="617"/>
      <c r="AH146" s="169"/>
      <c r="AI146" s="629"/>
      <c r="AJ146" s="618"/>
      <c r="AK146" s="618"/>
      <c r="AL146" s="618"/>
      <c r="AM146" s="618"/>
      <c r="AN146" s="454"/>
      <c r="AO146" s="178"/>
      <c r="AP146" s="178"/>
      <c r="BA146" s="1305"/>
      <c r="BB146" s="174"/>
      <c r="BC146" s="169"/>
      <c r="BD146" s="1324"/>
      <c r="BE146" s="1324"/>
      <c r="BF146" s="1324"/>
      <c r="BG146" s="1324"/>
    </row>
    <row r="147" spans="1:59" ht="15.75" customHeight="1">
      <c r="A147" s="174"/>
      <c r="B147" s="618"/>
      <c r="C147" s="617"/>
      <c r="D147" s="618"/>
      <c r="E147" s="618"/>
      <c r="F147" s="618"/>
      <c r="G147" s="458"/>
      <c r="H147" s="618"/>
      <c r="L147" s="618"/>
      <c r="M147" s="618"/>
      <c r="N147" s="618"/>
      <c r="O147" s="618"/>
      <c r="P147" s="618"/>
      <c r="Q147" s="169"/>
      <c r="R147" s="169"/>
      <c r="S147" s="458"/>
      <c r="T147" s="169"/>
      <c r="U147" s="169"/>
      <c r="V147" s="169"/>
      <c r="W147" s="169"/>
      <c r="X147" s="169"/>
      <c r="Y147" s="169"/>
      <c r="Z147" s="169"/>
      <c r="AA147" s="169"/>
      <c r="AB147" s="169"/>
      <c r="AC147" s="169"/>
      <c r="AD147" s="169"/>
      <c r="AE147" s="169"/>
      <c r="AF147" s="169"/>
      <c r="AG147" s="617"/>
      <c r="AH147" s="169"/>
      <c r="AI147" s="629"/>
      <c r="AJ147" s="618"/>
      <c r="AK147" s="618"/>
      <c r="AL147" s="618"/>
      <c r="AM147" s="618"/>
      <c r="AN147" s="458"/>
      <c r="AO147" s="618"/>
      <c r="AP147" s="618"/>
      <c r="BA147" s="1318"/>
      <c r="BB147" s="174"/>
      <c r="BC147" s="169"/>
      <c r="BD147" s="1324"/>
      <c r="BE147" s="1324"/>
      <c r="BF147" s="1324"/>
      <c r="BG147" s="1324"/>
    </row>
    <row r="148" spans="1:59" ht="15.75" customHeight="1">
      <c r="A148" s="174"/>
      <c r="B148" s="642"/>
      <c r="C148" s="617"/>
      <c r="D148" s="618"/>
      <c r="E148" s="618"/>
      <c r="F148" s="618"/>
      <c r="G148" s="458"/>
      <c r="H148" s="618"/>
      <c r="I148" s="618"/>
      <c r="J148" s="617"/>
      <c r="K148" s="169"/>
      <c r="L148" s="618"/>
      <c r="M148" s="618"/>
      <c r="N148" s="618"/>
      <c r="O148" s="618"/>
      <c r="P148" s="618"/>
      <c r="Q148" s="169"/>
      <c r="R148" s="169"/>
      <c r="S148" s="458"/>
      <c r="T148" s="169"/>
      <c r="U148" s="169"/>
      <c r="V148" s="169"/>
      <c r="W148" s="169"/>
      <c r="X148" s="169"/>
      <c r="Y148" s="169"/>
      <c r="Z148" s="169"/>
      <c r="AA148" s="169"/>
      <c r="AB148" s="169"/>
      <c r="AC148" s="169"/>
      <c r="AD148" s="169"/>
      <c r="AE148" s="169"/>
      <c r="AF148" s="169"/>
      <c r="AG148" s="617"/>
      <c r="AH148" s="169"/>
      <c r="AI148" s="629"/>
      <c r="AJ148" s="618"/>
      <c r="AK148" s="618"/>
      <c r="AL148" s="618"/>
      <c r="AM148" s="618"/>
      <c r="AN148" s="454"/>
      <c r="AO148" s="178"/>
      <c r="AP148" s="178"/>
      <c r="BA148" s="1305"/>
      <c r="BB148" s="174"/>
      <c r="BC148" s="169"/>
      <c r="BD148" s="1324"/>
      <c r="BE148" s="1324"/>
      <c r="BF148" s="1324"/>
      <c r="BG148" s="1324"/>
    </row>
    <row r="149" spans="1:59" ht="15.75" customHeight="1">
      <c r="A149" s="174"/>
      <c r="B149" s="618"/>
      <c r="C149" s="617"/>
      <c r="D149" s="618"/>
      <c r="E149" s="618"/>
      <c r="F149" s="618"/>
      <c r="G149" s="458"/>
      <c r="H149" s="618"/>
      <c r="I149" s="454"/>
      <c r="J149" s="617"/>
      <c r="K149" s="618"/>
      <c r="L149" s="618"/>
      <c r="M149" s="618"/>
      <c r="N149" s="618"/>
      <c r="O149" s="618"/>
      <c r="P149" s="618"/>
      <c r="Q149" s="169"/>
      <c r="R149" s="169"/>
      <c r="S149" s="458"/>
      <c r="T149" s="169"/>
      <c r="U149" s="169"/>
      <c r="V149" s="169"/>
      <c r="W149" s="169"/>
      <c r="X149" s="169"/>
      <c r="Y149" s="169"/>
      <c r="Z149" s="169"/>
      <c r="AA149" s="169"/>
      <c r="AB149" s="169"/>
      <c r="AC149" s="169"/>
      <c r="AD149" s="169"/>
      <c r="AE149" s="169"/>
      <c r="AF149" s="169"/>
      <c r="AG149" s="617"/>
      <c r="AH149" s="169"/>
      <c r="AI149" s="629"/>
      <c r="AJ149" s="618"/>
      <c r="AK149" s="618"/>
      <c r="AL149" s="618"/>
      <c r="AM149" s="618"/>
      <c r="AN149" s="458"/>
      <c r="AO149" s="618"/>
      <c r="AP149" s="618"/>
      <c r="BA149" s="1305"/>
      <c r="BB149" s="174"/>
      <c r="BC149" s="169"/>
      <c r="BD149" s="1324"/>
      <c r="BE149" s="1324"/>
      <c r="BF149" s="1324"/>
      <c r="BG149" s="1324"/>
    </row>
    <row r="150" spans="1:59" ht="15.75" customHeight="1">
      <c r="B150" s="180"/>
      <c r="C150" s="617"/>
      <c r="D150" s="177"/>
      <c r="E150" s="177"/>
      <c r="G150" s="458"/>
      <c r="I150" s="182"/>
      <c r="J150" s="617"/>
      <c r="K150" s="169"/>
      <c r="L150" s="169"/>
      <c r="M150" s="169"/>
      <c r="P150" s="169"/>
      <c r="Q150" s="169"/>
      <c r="R150" s="169"/>
      <c r="S150" s="458"/>
      <c r="T150" s="169"/>
      <c r="U150" s="169"/>
      <c r="V150" s="169"/>
      <c r="W150" s="169"/>
      <c r="X150" s="169"/>
      <c r="Y150" s="169"/>
      <c r="Z150" s="169"/>
      <c r="AA150" s="169"/>
      <c r="AB150" s="169"/>
      <c r="AC150" s="169"/>
      <c r="AD150" s="169"/>
      <c r="AE150" s="169"/>
      <c r="AF150" s="169"/>
      <c r="AG150" s="617"/>
      <c r="AH150" s="169"/>
      <c r="AI150" s="629"/>
      <c r="AJ150" s="169"/>
      <c r="AL150" s="169"/>
      <c r="AM150" s="618"/>
      <c r="AN150" s="454"/>
      <c r="AO150" s="178"/>
      <c r="AP150" s="178"/>
      <c r="BA150" s="1305"/>
      <c r="BC150" s="169"/>
    </row>
    <row r="151" spans="1:59" ht="15.75" customHeight="1">
      <c r="B151" s="175"/>
      <c r="C151" s="617"/>
      <c r="D151" s="177"/>
      <c r="E151" s="177"/>
      <c r="G151" s="458"/>
      <c r="I151" s="179"/>
      <c r="J151" s="617"/>
      <c r="K151" s="169"/>
      <c r="L151" s="169"/>
      <c r="M151" s="169"/>
      <c r="P151" s="169"/>
      <c r="Q151" s="169"/>
      <c r="R151" s="169"/>
      <c r="S151" s="458"/>
      <c r="T151" s="169"/>
      <c r="U151" s="169"/>
      <c r="V151" s="169"/>
      <c r="W151" s="169"/>
      <c r="X151" s="169"/>
      <c r="Y151" s="169"/>
      <c r="Z151" s="169"/>
      <c r="AA151" s="169"/>
      <c r="AB151" s="169"/>
      <c r="AC151" s="169"/>
      <c r="AD151" s="169"/>
      <c r="AE151" s="169"/>
      <c r="AF151" s="169"/>
      <c r="AG151" s="617"/>
      <c r="AH151" s="169"/>
      <c r="AI151" s="629"/>
      <c r="AJ151" s="169"/>
      <c r="AL151" s="169"/>
      <c r="AM151" s="169"/>
      <c r="AN151" s="454"/>
      <c r="AO151" s="178"/>
      <c r="AP151" s="178"/>
      <c r="BA151" s="1305"/>
      <c r="BC151" s="169"/>
    </row>
    <row r="152" spans="1:59" ht="15.75" customHeight="1">
      <c r="B152" s="180"/>
      <c r="C152" s="617"/>
      <c r="D152" s="177"/>
      <c r="E152" s="177"/>
      <c r="G152" s="458"/>
      <c r="I152" s="618"/>
      <c r="J152" s="617"/>
      <c r="K152" s="169"/>
      <c r="L152" s="169"/>
      <c r="M152" s="169"/>
      <c r="P152" s="169"/>
      <c r="Q152" s="169"/>
      <c r="R152" s="169"/>
      <c r="S152" s="458"/>
      <c r="T152" s="169"/>
      <c r="U152" s="169"/>
      <c r="V152" s="169"/>
      <c r="W152" s="169"/>
      <c r="X152" s="169"/>
      <c r="Y152" s="169"/>
      <c r="Z152" s="169"/>
      <c r="AA152" s="169"/>
      <c r="AB152" s="169"/>
      <c r="AC152" s="169"/>
      <c r="AD152" s="169"/>
      <c r="AE152" s="169"/>
      <c r="AF152" s="169"/>
      <c r="AG152" s="617"/>
      <c r="AH152" s="169"/>
      <c r="AI152" s="629"/>
      <c r="AJ152" s="169"/>
      <c r="AL152" s="169"/>
      <c r="AM152" s="618"/>
      <c r="AN152" s="454"/>
      <c r="AO152" s="178"/>
      <c r="AP152" s="178"/>
      <c r="BA152" s="1305"/>
      <c r="BC152" s="169"/>
    </row>
    <row r="153" spans="1:59" ht="15.75" customHeight="1">
      <c r="B153" s="175"/>
      <c r="C153" s="617"/>
      <c r="D153" s="177"/>
      <c r="E153" s="177"/>
      <c r="G153" s="458"/>
      <c r="I153" s="454"/>
      <c r="J153" s="617"/>
      <c r="K153" s="169"/>
      <c r="L153" s="169"/>
      <c r="M153" s="169"/>
      <c r="P153" s="169"/>
      <c r="Q153" s="169"/>
      <c r="R153" s="169"/>
      <c r="S153" s="458"/>
      <c r="T153" s="169"/>
      <c r="U153" s="169"/>
      <c r="V153" s="169"/>
      <c r="W153" s="169"/>
      <c r="X153" s="169"/>
      <c r="Y153" s="169"/>
      <c r="Z153" s="169"/>
      <c r="AA153" s="169"/>
      <c r="AB153" s="169"/>
      <c r="AC153" s="169"/>
      <c r="AD153" s="169"/>
      <c r="AE153" s="169"/>
      <c r="AF153" s="169"/>
      <c r="AG153" s="617"/>
      <c r="AH153" s="169"/>
      <c r="AI153" s="629"/>
      <c r="AJ153" s="169"/>
      <c r="AL153" s="169"/>
      <c r="AM153" s="169"/>
      <c r="AN153" s="454"/>
      <c r="AO153" s="178"/>
      <c r="AP153" s="178"/>
      <c r="AW153" s="458"/>
      <c r="AX153" s="458"/>
      <c r="BA153" s="1305"/>
      <c r="BC153" s="169"/>
    </row>
    <row r="154" spans="1:59" ht="15.75" customHeight="1">
      <c r="A154" s="174"/>
      <c r="B154" s="642"/>
      <c r="C154" s="617"/>
      <c r="D154" s="618"/>
      <c r="E154" s="618"/>
      <c r="F154" s="179"/>
      <c r="G154" s="458"/>
      <c r="H154" s="618"/>
      <c r="J154" s="617"/>
      <c r="K154" s="169"/>
      <c r="L154" s="169"/>
      <c r="M154" s="169"/>
      <c r="P154" s="618"/>
      <c r="Q154" s="169"/>
      <c r="R154" s="169"/>
      <c r="S154" s="458"/>
      <c r="T154" s="169"/>
      <c r="U154" s="169"/>
      <c r="V154" s="169"/>
      <c r="W154" s="169"/>
      <c r="X154" s="169"/>
      <c r="Y154" s="169"/>
      <c r="Z154" s="169"/>
      <c r="AA154" s="169"/>
      <c r="AB154" s="169"/>
      <c r="AC154" s="169"/>
      <c r="AD154" s="169"/>
      <c r="AE154" s="169"/>
      <c r="AF154" s="169"/>
      <c r="AG154" s="617"/>
      <c r="AH154" s="169"/>
      <c r="AI154" s="629"/>
      <c r="AJ154" s="618"/>
      <c r="AK154" s="618"/>
      <c r="AL154" s="618"/>
      <c r="AM154" s="618"/>
      <c r="AN154" s="454"/>
      <c r="AO154" s="178"/>
      <c r="AP154" s="178"/>
      <c r="BA154" s="1305"/>
      <c r="BB154" s="174"/>
      <c r="BC154" s="169"/>
      <c r="BD154" s="1324"/>
      <c r="BE154" s="1324"/>
      <c r="BF154" s="1324"/>
      <c r="BG154" s="1324"/>
    </row>
    <row r="155" spans="1:59" ht="15.75" customHeight="1">
      <c r="A155" s="174"/>
      <c r="B155" s="618"/>
      <c r="C155" s="617"/>
      <c r="D155" s="618"/>
      <c r="E155" s="618"/>
      <c r="F155" s="618"/>
      <c r="G155" s="458"/>
      <c r="H155" s="618"/>
      <c r="L155" s="618"/>
      <c r="M155" s="618"/>
      <c r="N155" s="618"/>
      <c r="O155" s="618"/>
      <c r="P155" s="618"/>
      <c r="Q155" s="169"/>
      <c r="R155" s="169"/>
      <c r="S155" s="458"/>
      <c r="T155" s="169"/>
      <c r="U155" s="169"/>
      <c r="V155" s="169"/>
      <c r="W155" s="169"/>
      <c r="X155" s="169"/>
      <c r="Y155" s="169"/>
      <c r="Z155" s="169"/>
      <c r="AA155" s="169"/>
      <c r="AB155" s="169"/>
      <c r="AC155" s="169"/>
      <c r="AD155" s="169"/>
      <c r="AE155" s="169"/>
      <c r="AF155" s="169"/>
      <c r="AG155" s="617"/>
      <c r="AH155" s="169"/>
      <c r="AI155" s="629"/>
      <c r="AJ155" s="618"/>
      <c r="AK155" s="618"/>
      <c r="AL155" s="618"/>
      <c r="AM155" s="618"/>
      <c r="AN155" s="458"/>
      <c r="AO155" s="618"/>
      <c r="AP155" s="618"/>
      <c r="BA155" s="1318"/>
      <c r="BB155" s="174"/>
      <c r="BC155" s="169"/>
      <c r="BD155" s="1324"/>
      <c r="BE155" s="1324"/>
      <c r="BF155" s="1324"/>
      <c r="BG155" s="1324"/>
    </row>
    <row r="156" spans="1:59" ht="15.75" customHeight="1">
      <c r="A156" s="174"/>
      <c r="B156" s="642"/>
      <c r="C156" s="617"/>
      <c r="D156" s="618"/>
      <c r="E156" s="618"/>
      <c r="F156" s="618"/>
      <c r="G156" s="458"/>
      <c r="H156" s="618"/>
      <c r="I156" s="618"/>
      <c r="J156" s="617"/>
      <c r="K156" s="169"/>
      <c r="L156" s="618"/>
      <c r="M156" s="618"/>
      <c r="N156" s="618"/>
      <c r="O156" s="618"/>
      <c r="P156" s="618"/>
      <c r="Q156" s="169"/>
      <c r="R156" s="169"/>
      <c r="S156" s="458"/>
      <c r="T156" s="169"/>
      <c r="U156" s="169"/>
      <c r="V156" s="169"/>
      <c r="W156" s="169"/>
      <c r="X156" s="169"/>
      <c r="Y156" s="169"/>
      <c r="Z156" s="169"/>
      <c r="AA156" s="169"/>
      <c r="AB156" s="169"/>
      <c r="AC156" s="169"/>
      <c r="AD156" s="169"/>
      <c r="AE156" s="169"/>
      <c r="AF156" s="169"/>
      <c r="AG156" s="617"/>
      <c r="AH156" s="169"/>
      <c r="AI156" s="629"/>
      <c r="AJ156" s="618"/>
      <c r="AK156" s="618"/>
      <c r="AL156" s="618"/>
      <c r="AM156" s="618"/>
      <c r="AN156" s="454"/>
      <c r="AO156" s="178"/>
      <c r="AP156" s="178"/>
      <c r="BA156" s="1305"/>
      <c r="BB156" s="174"/>
      <c r="BC156" s="169"/>
      <c r="BD156" s="1324"/>
      <c r="BE156" s="1324"/>
      <c r="BF156" s="1324"/>
      <c r="BG156" s="1324"/>
    </row>
    <row r="157" spans="1:59" ht="15.75" customHeight="1">
      <c r="A157" s="174"/>
      <c r="B157" s="618"/>
      <c r="C157" s="617"/>
      <c r="D157" s="618"/>
      <c r="E157" s="618"/>
      <c r="F157" s="618"/>
      <c r="G157" s="458"/>
      <c r="H157" s="618"/>
      <c r="I157" s="454"/>
      <c r="J157" s="617"/>
      <c r="K157" s="618"/>
      <c r="L157" s="618"/>
      <c r="M157" s="618"/>
      <c r="N157" s="618"/>
      <c r="O157" s="618"/>
      <c r="P157" s="618"/>
      <c r="Q157" s="169"/>
      <c r="R157" s="169"/>
      <c r="S157" s="458"/>
      <c r="T157" s="169"/>
      <c r="U157" s="169"/>
      <c r="V157" s="169"/>
      <c r="W157" s="169"/>
      <c r="X157" s="169"/>
      <c r="Y157" s="169"/>
      <c r="Z157" s="169"/>
      <c r="AA157" s="169"/>
      <c r="AB157" s="169"/>
      <c r="AC157" s="169"/>
      <c r="AD157" s="169"/>
      <c r="AE157" s="169"/>
      <c r="AF157" s="169"/>
      <c r="AG157" s="617"/>
      <c r="AH157" s="169"/>
      <c r="AI157" s="629"/>
      <c r="AJ157" s="618"/>
      <c r="AK157" s="618"/>
      <c r="AL157" s="618"/>
      <c r="AM157" s="618"/>
      <c r="AN157" s="458"/>
      <c r="AO157" s="618"/>
      <c r="AP157" s="618"/>
      <c r="BA157" s="1305"/>
      <c r="BB157" s="174"/>
      <c r="BC157" s="169"/>
      <c r="BD157" s="1324"/>
      <c r="BE157" s="1324"/>
      <c r="BF157" s="1324"/>
      <c r="BG157" s="1324"/>
    </row>
    <row r="158" spans="1:59" ht="15.75" customHeight="1">
      <c r="B158" s="180"/>
      <c r="C158" s="617"/>
      <c r="D158" s="177"/>
      <c r="E158" s="177"/>
      <c r="G158" s="458"/>
      <c r="I158" s="182"/>
      <c r="J158" s="617"/>
      <c r="K158" s="169"/>
      <c r="L158" s="169"/>
      <c r="M158" s="169"/>
      <c r="P158" s="169"/>
      <c r="Q158" s="169"/>
      <c r="R158" s="169"/>
      <c r="S158" s="458"/>
      <c r="T158" s="169"/>
      <c r="U158" s="169"/>
      <c r="V158" s="169"/>
      <c r="W158" s="169"/>
      <c r="X158" s="169"/>
      <c r="Y158" s="169"/>
      <c r="Z158" s="169"/>
      <c r="AA158" s="169"/>
      <c r="AB158" s="169"/>
      <c r="AC158" s="169"/>
      <c r="AD158" s="169"/>
      <c r="AE158" s="169"/>
      <c r="AF158" s="169"/>
      <c r="AG158" s="617"/>
      <c r="AH158" s="169"/>
      <c r="AI158" s="629"/>
      <c r="AJ158" s="169"/>
      <c r="AL158" s="169"/>
      <c r="AM158" s="618"/>
      <c r="AN158" s="454"/>
      <c r="AO158" s="178"/>
      <c r="AP158" s="178"/>
      <c r="BA158" s="1305"/>
      <c r="BC158" s="169"/>
    </row>
    <row r="159" spans="1:59" ht="15.75" customHeight="1">
      <c r="B159" s="175"/>
      <c r="C159" s="617"/>
      <c r="D159" s="177"/>
      <c r="E159" s="177"/>
      <c r="G159" s="458"/>
      <c r="I159" s="179"/>
      <c r="J159" s="617"/>
      <c r="K159" s="169"/>
      <c r="L159" s="169"/>
      <c r="M159" s="169"/>
      <c r="P159" s="169"/>
      <c r="Q159" s="169"/>
      <c r="R159" s="169"/>
      <c r="S159" s="458"/>
      <c r="T159" s="169"/>
      <c r="U159" s="169"/>
      <c r="V159" s="169"/>
      <c r="W159" s="169"/>
      <c r="X159" s="169"/>
      <c r="Y159" s="169"/>
      <c r="Z159" s="169"/>
      <c r="AA159" s="169"/>
      <c r="AB159" s="169"/>
      <c r="AC159" s="169"/>
      <c r="AD159" s="169"/>
      <c r="AE159" s="169"/>
      <c r="AF159" s="169"/>
      <c r="AG159" s="617"/>
      <c r="AH159" s="169"/>
      <c r="AI159" s="629"/>
      <c r="AJ159" s="169"/>
      <c r="AL159" s="169"/>
      <c r="AM159" s="169"/>
      <c r="AN159" s="454"/>
      <c r="AO159" s="178"/>
      <c r="AP159" s="178"/>
      <c r="BA159" s="1305"/>
      <c r="BC159" s="169"/>
    </row>
    <row r="160" spans="1:59" ht="15.75" customHeight="1">
      <c r="B160" s="180"/>
      <c r="C160" s="617"/>
      <c r="D160" s="177"/>
      <c r="E160" s="177"/>
      <c r="G160" s="458"/>
      <c r="I160" s="618"/>
      <c r="J160" s="617"/>
      <c r="K160" s="169"/>
      <c r="L160" s="169"/>
      <c r="M160" s="169"/>
      <c r="P160" s="169"/>
      <c r="Q160" s="169"/>
      <c r="R160" s="169"/>
      <c r="S160" s="458"/>
      <c r="T160" s="169"/>
      <c r="U160" s="169"/>
      <c r="V160" s="169"/>
      <c r="W160" s="169"/>
      <c r="X160" s="169"/>
      <c r="Y160" s="169"/>
      <c r="Z160" s="169"/>
      <c r="AA160" s="169"/>
      <c r="AB160" s="169"/>
      <c r="AC160" s="169"/>
      <c r="AD160" s="169"/>
      <c r="AE160" s="169"/>
      <c r="AF160" s="169"/>
      <c r="AG160" s="617"/>
      <c r="AH160" s="169"/>
      <c r="AI160" s="629"/>
      <c r="AJ160" s="169"/>
      <c r="AL160" s="169"/>
      <c r="AM160" s="618"/>
      <c r="AN160" s="454"/>
      <c r="AO160" s="178"/>
      <c r="AP160" s="178"/>
      <c r="BA160" s="1305"/>
      <c r="BC160" s="169"/>
    </row>
    <row r="161" spans="1:59" ht="15.75" customHeight="1">
      <c r="B161" s="175"/>
      <c r="C161" s="617"/>
      <c r="D161" s="177"/>
      <c r="E161" s="177"/>
      <c r="G161" s="458"/>
      <c r="I161" s="454"/>
      <c r="J161" s="617"/>
      <c r="K161" s="169"/>
      <c r="L161" s="169"/>
      <c r="M161" s="169"/>
      <c r="P161" s="169"/>
      <c r="Q161" s="169"/>
      <c r="R161" s="169"/>
      <c r="S161" s="458"/>
      <c r="T161" s="169"/>
      <c r="U161" s="169"/>
      <c r="V161" s="169"/>
      <c r="W161" s="169"/>
      <c r="X161" s="169"/>
      <c r="Y161" s="169"/>
      <c r="Z161" s="169"/>
      <c r="AA161" s="169"/>
      <c r="AB161" s="169"/>
      <c r="AC161" s="169"/>
      <c r="AD161" s="169"/>
      <c r="AE161" s="169"/>
      <c r="AF161" s="169"/>
      <c r="AG161" s="617"/>
      <c r="AH161" s="169"/>
      <c r="AI161" s="629"/>
      <c r="AJ161" s="169"/>
      <c r="AL161" s="169"/>
      <c r="AM161" s="169"/>
      <c r="AN161" s="454"/>
      <c r="AO161" s="178"/>
      <c r="AP161" s="178"/>
      <c r="AW161" s="458"/>
      <c r="AX161" s="458"/>
      <c r="BA161" s="1305"/>
      <c r="BC161" s="169"/>
    </row>
    <row r="162" spans="1:59" ht="15.75" customHeight="1">
      <c r="A162" s="174"/>
      <c r="B162" s="642"/>
      <c r="C162" s="617"/>
      <c r="D162" s="618"/>
      <c r="E162" s="618"/>
      <c r="F162" s="179"/>
      <c r="G162" s="458"/>
      <c r="H162" s="618"/>
      <c r="J162" s="617"/>
      <c r="K162" s="169"/>
      <c r="L162" s="169"/>
      <c r="M162" s="169"/>
      <c r="P162" s="618"/>
      <c r="Q162" s="169"/>
      <c r="R162" s="169"/>
      <c r="S162" s="458"/>
      <c r="T162" s="169"/>
      <c r="U162" s="169"/>
      <c r="V162" s="169"/>
      <c r="W162" s="169"/>
      <c r="X162" s="169"/>
      <c r="Y162" s="169"/>
      <c r="Z162" s="169"/>
      <c r="AA162" s="169"/>
      <c r="AB162" s="169"/>
      <c r="AC162" s="169"/>
      <c r="AD162" s="169"/>
      <c r="AE162" s="169"/>
      <c r="AF162" s="169"/>
      <c r="AG162" s="617"/>
      <c r="AH162" s="169"/>
      <c r="AI162" s="629"/>
      <c r="AJ162" s="618"/>
      <c r="AK162" s="618"/>
      <c r="AL162" s="618"/>
      <c r="AM162" s="618"/>
      <c r="AN162" s="454"/>
      <c r="AO162" s="178"/>
      <c r="AP162" s="178"/>
      <c r="BA162" s="1305"/>
      <c r="BB162" s="174"/>
      <c r="BC162" s="169"/>
      <c r="BD162" s="1324"/>
      <c r="BE162" s="1324"/>
      <c r="BF162" s="1324"/>
      <c r="BG162" s="1324"/>
    </row>
    <row r="163" spans="1:59" ht="15.75" customHeight="1">
      <c r="A163" s="174"/>
      <c r="B163" s="618"/>
      <c r="C163" s="617"/>
      <c r="D163" s="618"/>
      <c r="E163" s="618"/>
      <c r="F163" s="618"/>
      <c r="G163" s="458"/>
      <c r="H163" s="618"/>
      <c r="L163" s="618"/>
      <c r="M163" s="618"/>
      <c r="N163" s="618"/>
      <c r="O163" s="618"/>
      <c r="P163" s="618"/>
      <c r="Q163" s="169"/>
      <c r="R163" s="169"/>
      <c r="S163" s="458"/>
      <c r="T163" s="169"/>
      <c r="U163" s="169"/>
      <c r="V163" s="169"/>
      <c r="W163" s="169"/>
      <c r="X163" s="169"/>
      <c r="Y163" s="169"/>
      <c r="Z163" s="169"/>
      <c r="AA163" s="169"/>
      <c r="AB163" s="169"/>
      <c r="AC163" s="169"/>
      <c r="AD163" s="169"/>
      <c r="AE163" s="169"/>
      <c r="AF163" s="169"/>
      <c r="AG163" s="617"/>
      <c r="AH163" s="169"/>
      <c r="AI163" s="629"/>
      <c r="AJ163" s="618"/>
      <c r="AK163" s="618"/>
      <c r="AL163" s="618"/>
      <c r="AM163" s="618"/>
      <c r="AN163" s="458"/>
      <c r="AO163" s="618"/>
      <c r="AP163" s="618"/>
      <c r="BA163" s="1318"/>
      <c r="BB163" s="174"/>
      <c r="BC163" s="169"/>
      <c r="BD163" s="1324"/>
      <c r="BE163" s="1324"/>
      <c r="BF163" s="1324"/>
      <c r="BG163" s="1324"/>
    </row>
    <row r="164" spans="1:59" ht="15.75" customHeight="1">
      <c r="A164" s="174"/>
      <c r="B164" s="642"/>
      <c r="C164" s="617"/>
      <c r="D164" s="618"/>
      <c r="E164" s="618"/>
      <c r="F164" s="618"/>
      <c r="G164" s="458"/>
      <c r="H164" s="618"/>
      <c r="I164" s="618"/>
      <c r="J164" s="617"/>
      <c r="K164" s="169"/>
      <c r="L164" s="618"/>
      <c r="M164" s="618"/>
      <c r="N164" s="618"/>
      <c r="O164" s="618"/>
      <c r="P164" s="618"/>
      <c r="Q164" s="169"/>
      <c r="R164" s="169"/>
      <c r="S164" s="458"/>
      <c r="T164" s="169"/>
      <c r="U164" s="169"/>
      <c r="V164" s="169"/>
      <c r="W164" s="169"/>
      <c r="X164" s="169"/>
      <c r="Y164" s="169"/>
      <c r="Z164" s="169"/>
      <c r="AA164" s="169"/>
      <c r="AB164" s="169"/>
      <c r="AC164" s="169"/>
      <c r="AD164" s="169"/>
      <c r="AE164" s="169"/>
      <c r="AF164" s="169"/>
      <c r="AG164" s="617"/>
      <c r="AH164" s="169"/>
      <c r="AI164" s="629"/>
      <c r="AJ164" s="618"/>
      <c r="AK164" s="618"/>
      <c r="AL164" s="618"/>
      <c r="AM164" s="618"/>
      <c r="AN164" s="454"/>
      <c r="AO164" s="178"/>
      <c r="AP164" s="178"/>
      <c r="BA164" s="1305"/>
      <c r="BB164" s="174"/>
      <c r="BC164" s="169"/>
      <c r="BD164" s="1324"/>
      <c r="BE164" s="1324"/>
      <c r="BF164" s="1324"/>
      <c r="BG164" s="1324"/>
    </row>
    <row r="165" spans="1:59" ht="15.75" customHeight="1">
      <c r="A165" s="174"/>
      <c r="B165" s="618"/>
      <c r="C165" s="617"/>
      <c r="D165" s="618"/>
      <c r="E165" s="618"/>
      <c r="F165" s="618"/>
      <c r="G165" s="458"/>
      <c r="H165" s="618"/>
      <c r="I165" s="454"/>
      <c r="J165" s="617"/>
      <c r="K165" s="618"/>
      <c r="L165" s="618"/>
      <c r="M165" s="618"/>
      <c r="N165" s="618"/>
      <c r="O165" s="618"/>
      <c r="P165" s="618"/>
      <c r="Q165" s="169"/>
      <c r="R165" s="169"/>
      <c r="S165" s="458"/>
      <c r="T165" s="169"/>
      <c r="U165" s="169"/>
      <c r="V165" s="169"/>
      <c r="W165" s="169"/>
      <c r="X165" s="169"/>
      <c r="Y165" s="169"/>
      <c r="Z165" s="169"/>
      <c r="AA165" s="169"/>
      <c r="AB165" s="169"/>
      <c r="AC165" s="169"/>
      <c r="AD165" s="169"/>
      <c r="AE165" s="169"/>
      <c r="AF165" s="169"/>
      <c r="AG165" s="617"/>
      <c r="AH165" s="169"/>
      <c r="AI165" s="629"/>
      <c r="AJ165" s="618"/>
      <c r="AK165" s="618"/>
      <c r="AL165" s="618"/>
      <c r="AM165" s="618"/>
      <c r="AN165" s="458"/>
      <c r="AO165" s="618"/>
      <c r="AP165" s="618"/>
      <c r="BA165" s="1305"/>
      <c r="BB165" s="174"/>
      <c r="BC165" s="169"/>
      <c r="BD165" s="1324"/>
      <c r="BE165" s="1324"/>
      <c r="BF165" s="1324"/>
      <c r="BG165" s="1324"/>
    </row>
    <row r="166" spans="1:59" ht="15.75" customHeight="1">
      <c r="B166" s="180"/>
      <c r="C166" s="617"/>
      <c r="D166" s="177"/>
      <c r="E166" s="177"/>
      <c r="G166" s="458"/>
      <c r="I166" s="182"/>
      <c r="J166" s="617"/>
      <c r="K166" s="169"/>
      <c r="L166" s="169"/>
      <c r="M166" s="169"/>
      <c r="P166" s="169"/>
      <c r="Q166" s="169"/>
      <c r="R166" s="169"/>
      <c r="S166" s="458"/>
      <c r="T166" s="169"/>
      <c r="U166" s="169"/>
      <c r="V166" s="169"/>
      <c r="W166" s="169"/>
      <c r="X166" s="169"/>
      <c r="Y166" s="169"/>
      <c r="Z166" s="169"/>
      <c r="AA166" s="169"/>
      <c r="AB166" s="169"/>
      <c r="AC166" s="169"/>
      <c r="AD166" s="169"/>
      <c r="AE166" s="169"/>
      <c r="AF166" s="169"/>
      <c r="AG166" s="617"/>
      <c r="AH166" s="169"/>
      <c r="AI166" s="629"/>
      <c r="AJ166" s="169"/>
      <c r="AL166" s="169"/>
      <c r="AM166" s="618"/>
      <c r="AN166" s="454"/>
      <c r="AO166" s="178"/>
      <c r="AP166" s="178"/>
      <c r="BA166" s="1305"/>
      <c r="BC166" s="169"/>
    </row>
    <row r="167" spans="1:59" ht="15.75" customHeight="1">
      <c r="B167" s="175"/>
      <c r="C167" s="617"/>
      <c r="D167" s="177"/>
      <c r="E167" s="177"/>
      <c r="G167" s="458"/>
      <c r="I167" s="179"/>
      <c r="J167" s="617"/>
      <c r="K167" s="169"/>
      <c r="L167" s="169"/>
      <c r="M167" s="169"/>
      <c r="P167" s="169"/>
      <c r="Q167" s="169"/>
      <c r="R167" s="169"/>
      <c r="S167" s="458"/>
      <c r="T167" s="169"/>
      <c r="U167" s="169"/>
      <c r="V167" s="169"/>
      <c r="W167" s="169"/>
      <c r="X167" s="169"/>
      <c r="Y167" s="169"/>
      <c r="Z167" s="169"/>
      <c r="AA167" s="169"/>
      <c r="AB167" s="169"/>
      <c r="AC167" s="169"/>
      <c r="AD167" s="169"/>
      <c r="AE167" s="169"/>
      <c r="AF167" s="169"/>
      <c r="AG167" s="617"/>
      <c r="AH167" s="169"/>
      <c r="AI167" s="629"/>
      <c r="AJ167" s="169"/>
      <c r="AL167" s="169"/>
      <c r="AM167" s="169"/>
      <c r="AN167" s="454"/>
      <c r="AO167" s="178"/>
      <c r="AP167" s="178"/>
      <c r="BA167" s="1305"/>
      <c r="BC167" s="169"/>
    </row>
    <row r="168" spans="1:59" ht="15.75" customHeight="1">
      <c r="B168" s="180"/>
      <c r="C168" s="617"/>
      <c r="D168" s="177"/>
      <c r="E168" s="177"/>
      <c r="G168" s="458"/>
      <c r="I168" s="618"/>
      <c r="J168" s="617"/>
      <c r="K168" s="169"/>
      <c r="L168" s="169"/>
      <c r="M168" s="169"/>
      <c r="P168" s="169"/>
      <c r="Q168" s="169"/>
      <c r="R168" s="169"/>
      <c r="S168" s="458"/>
      <c r="T168" s="169"/>
      <c r="U168" s="169"/>
      <c r="V168" s="169"/>
      <c r="W168" s="169"/>
      <c r="X168" s="169"/>
      <c r="Y168" s="169"/>
      <c r="Z168" s="169"/>
      <c r="AA168" s="169"/>
      <c r="AB168" s="169"/>
      <c r="AC168" s="169"/>
      <c r="AD168" s="169"/>
      <c r="AE168" s="169"/>
      <c r="AF168" s="169"/>
      <c r="AG168" s="617"/>
      <c r="AH168" s="169"/>
      <c r="AI168" s="629"/>
      <c r="AJ168" s="169"/>
      <c r="AL168" s="169"/>
      <c r="AM168" s="618"/>
      <c r="AN168" s="454"/>
      <c r="AO168" s="178"/>
      <c r="AP168" s="178"/>
      <c r="BA168" s="1305"/>
      <c r="BC168" s="169"/>
    </row>
    <row r="169" spans="1:59" ht="15.75" customHeight="1">
      <c r="B169" s="175"/>
      <c r="C169" s="617"/>
      <c r="D169" s="177"/>
      <c r="E169" s="177"/>
      <c r="G169" s="458"/>
      <c r="I169" s="454"/>
      <c r="J169" s="617"/>
      <c r="K169" s="169"/>
      <c r="L169" s="169"/>
      <c r="M169" s="169"/>
      <c r="P169" s="169"/>
      <c r="Q169" s="169"/>
      <c r="R169" s="169"/>
      <c r="S169" s="458"/>
      <c r="T169" s="169"/>
      <c r="U169" s="169"/>
      <c r="V169" s="169"/>
      <c r="W169" s="169"/>
      <c r="X169" s="169"/>
      <c r="Y169" s="169"/>
      <c r="Z169" s="169"/>
      <c r="AA169" s="169"/>
      <c r="AB169" s="169"/>
      <c r="AC169" s="169"/>
      <c r="AD169" s="169"/>
      <c r="AE169" s="169"/>
      <c r="AF169" s="169"/>
      <c r="AG169" s="617"/>
      <c r="AH169" s="169"/>
      <c r="AI169" s="629"/>
      <c r="AJ169" s="169"/>
      <c r="AL169" s="169"/>
      <c r="AM169" s="169"/>
      <c r="AN169" s="454"/>
      <c r="AO169" s="178"/>
      <c r="AP169" s="178"/>
      <c r="AW169" s="458"/>
      <c r="AX169" s="458"/>
      <c r="BA169" s="1305"/>
      <c r="BC169" s="169"/>
    </row>
    <row r="170" spans="1:59" ht="15.75" customHeight="1">
      <c r="A170" s="174"/>
      <c r="B170" s="642"/>
      <c r="C170" s="617"/>
      <c r="D170" s="618"/>
      <c r="E170" s="618"/>
      <c r="F170" s="179"/>
      <c r="G170" s="458"/>
      <c r="H170" s="618"/>
      <c r="J170" s="617"/>
      <c r="K170" s="169"/>
      <c r="L170" s="169"/>
      <c r="M170" s="169"/>
      <c r="P170" s="618"/>
      <c r="Q170" s="169"/>
      <c r="R170" s="169"/>
      <c r="S170" s="458"/>
      <c r="T170" s="169"/>
      <c r="U170" s="169"/>
      <c r="V170" s="169"/>
      <c r="W170" s="169"/>
      <c r="X170" s="169"/>
      <c r="Y170" s="169"/>
      <c r="Z170" s="169"/>
      <c r="AA170" s="169"/>
      <c r="AB170" s="169"/>
      <c r="AC170" s="169"/>
      <c r="AD170" s="169"/>
      <c r="AE170" s="169"/>
      <c r="AF170" s="169"/>
      <c r="AG170" s="617"/>
      <c r="AH170" s="169"/>
      <c r="AI170" s="629"/>
      <c r="AJ170" s="618"/>
      <c r="AK170" s="618"/>
      <c r="AL170" s="618"/>
      <c r="AM170" s="618"/>
      <c r="AN170" s="454"/>
      <c r="AO170" s="178"/>
      <c r="AP170" s="178"/>
      <c r="BA170" s="1305"/>
      <c r="BB170" s="174"/>
      <c r="BC170" s="169"/>
      <c r="BD170" s="1324"/>
      <c r="BE170" s="1324"/>
      <c r="BF170" s="1324"/>
      <c r="BG170" s="1324"/>
    </row>
    <row r="171" spans="1:59" ht="15.75" customHeight="1">
      <c r="A171" s="174"/>
      <c r="B171" s="618"/>
      <c r="C171" s="617"/>
      <c r="D171" s="618"/>
      <c r="E171" s="618"/>
      <c r="F171" s="618"/>
      <c r="G171" s="458"/>
      <c r="H171" s="618"/>
      <c r="L171" s="618"/>
      <c r="M171" s="618"/>
      <c r="N171" s="618"/>
      <c r="O171" s="618"/>
      <c r="P171" s="618"/>
      <c r="Q171" s="169"/>
      <c r="R171" s="169"/>
      <c r="S171" s="458"/>
      <c r="T171" s="169"/>
      <c r="U171" s="169"/>
      <c r="V171" s="169"/>
      <c r="W171" s="169"/>
      <c r="X171" s="169"/>
      <c r="Y171" s="169"/>
      <c r="Z171" s="169"/>
      <c r="AA171" s="169"/>
      <c r="AB171" s="169"/>
      <c r="AC171" s="169"/>
      <c r="AD171" s="169"/>
      <c r="AE171" s="169"/>
      <c r="AF171" s="169"/>
      <c r="AG171" s="617"/>
      <c r="AH171" s="169"/>
      <c r="AI171" s="629"/>
      <c r="AJ171" s="618"/>
      <c r="AK171" s="618"/>
      <c r="AL171" s="618"/>
      <c r="AM171" s="618"/>
      <c r="AN171" s="458"/>
      <c r="AO171" s="618"/>
      <c r="AP171" s="618"/>
      <c r="BA171" s="1318"/>
      <c r="BB171" s="174"/>
      <c r="BC171" s="169"/>
      <c r="BD171" s="1324"/>
      <c r="BE171" s="1324"/>
      <c r="BF171" s="1324"/>
      <c r="BG171" s="1324"/>
    </row>
    <row r="172" spans="1:59" ht="15.75" customHeight="1">
      <c r="A172" s="174"/>
      <c r="B172" s="642"/>
      <c r="C172" s="617"/>
      <c r="D172" s="618"/>
      <c r="E172" s="618"/>
      <c r="F172" s="618"/>
      <c r="G172" s="458"/>
      <c r="H172" s="618"/>
      <c r="I172" s="618"/>
      <c r="J172" s="617"/>
      <c r="K172" s="169"/>
      <c r="L172" s="618"/>
      <c r="M172" s="618"/>
      <c r="N172" s="618"/>
      <c r="O172" s="618"/>
      <c r="P172" s="618"/>
      <c r="Q172" s="169"/>
      <c r="R172" s="169"/>
      <c r="S172" s="458"/>
      <c r="T172" s="169"/>
      <c r="U172" s="169"/>
      <c r="V172" s="169"/>
      <c r="W172" s="169"/>
      <c r="X172" s="169"/>
      <c r="Y172" s="169"/>
      <c r="Z172" s="169"/>
      <c r="AA172" s="169"/>
      <c r="AB172" s="169"/>
      <c r="AC172" s="169"/>
      <c r="AD172" s="169"/>
      <c r="AE172" s="169"/>
      <c r="AF172" s="169"/>
      <c r="AG172" s="617"/>
      <c r="AH172" s="169"/>
      <c r="AI172" s="629"/>
      <c r="AJ172" s="618"/>
      <c r="AK172" s="618"/>
      <c r="AL172" s="618"/>
      <c r="AM172" s="618"/>
      <c r="AN172" s="454"/>
      <c r="AO172" s="178"/>
      <c r="AP172" s="178"/>
      <c r="BA172" s="1305"/>
      <c r="BB172" s="174"/>
      <c r="BC172" s="169"/>
      <c r="BD172" s="1324"/>
      <c r="BE172" s="1324"/>
      <c r="BF172" s="1324"/>
      <c r="BG172" s="1324"/>
    </row>
    <row r="173" spans="1:59" ht="15.75" customHeight="1">
      <c r="A173" s="174"/>
      <c r="B173" s="618"/>
      <c r="C173" s="617"/>
      <c r="D173" s="618"/>
      <c r="E173" s="618"/>
      <c r="F173" s="618"/>
      <c r="G173" s="458"/>
      <c r="H173" s="618"/>
      <c r="I173" s="454"/>
      <c r="J173" s="617"/>
      <c r="K173" s="618"/>
      <c r="L173" s="618"/>
      <c r="M173" s="618"/>
      <c r="N173" s="618"/>
      <c r="O173" s="618"/>
      <c r="P173" s="618"/>
      <c r="Q173" s="169"/>
      <c r="R173" s="169"/>
      <c r="S173" s="458"/>
      <c r="T173" s="169"/>
      <c r="U173" s="169"/>
      <c r="V173" s="169"/>
      <c r="W173" s="169"/>
      <c r="X173" s="169"/>
      <c r="Y173" s="169"/>
      <c r="Z173" s="169"/>
      <c r="AA173" s="169"/>
      <c r="AB173" s="169"/>
      <c r="AC173" s="169"/>
      <c r="AD173" s="169"/>
      <c r="AE173" s="169"/>
      <c r="AF173" s="169"/>
      <c r="AG173" s="617"/>
      <c r="AH173" s="169"/>
      <c r="AI173" s="629"/>
      <c r="AJ173" s="618"/>
      <c r="AK173" s="618"/>
      <c r="AL173" s="618"/>
      <c r="AM173" s="618"/>
      <c r="AN173" s="458"/>
      <c r="AO173" s="618"/>
      <c r="AP173" s="618"/>
      <c r="BA173" s="1305"/>
      <c r="BB173" s="174"/>
      <c r="BC173" s="169"/>
      <c r="BD173" s="1324"/>
      <c r="BE173" s="1324"/>
      <c r="BF173" s="1324"/>
      <c r="BG173" s="1324"/>
    </row>
    <row r="174" spans="1:59" ht="15.75" customHeight="1">
      <c r="B174" s="180"/>
      <c r="C174" s="617"/>
      <c r="D174" s="177"/>
      <c r="E174" s="177"/>
      <c r="G174" s="458"/>
      <c r="I174" s="182"/>
      <c r="J174" s="617"/>
      <c r="K174" s="169"/>
      <c r="L174" s="169"/>
      <c r="M174" s="169"/>
      <c r="P174" s="169"/>
      <c r="Q174" s="169"/>
      <c r="R174" s="169"/>
      <c r="S174" s="458"/>
      <c r="T174" s="169"/>
      <c r="U174" s="169"/>
      <c r="V174" s="169"/>
      <c r="W174" s="169"/>
      <c r="X174" s="169"/>
      <c r="Y174" s="169"/>
      <c r="Z174" s="169"/>
      <c r="AA174" s="169"/>
      <c r="AB174" s="169"/>
      <c r="AC174" s="169"/>
      <c r="AD174" s="169"/>
      <c r="AE174" s="169"/>
      <c r="AF174" s="169"/>
      <c r="AG174" s="617"/>
      <c r="AH174" s="169"/>
      <c r="AI174" s="629"/>
      <c r="AJ174" s="169"/>
      <c r="AL174" s="169"/>
      <c r="AM174" s="618"/>
      <c r="AN174" s="454"/>
      <c r="AO174" s="178"/>
      <c r="AP174" s="178"/>
      <c r="BA174" s="1305"/>
      <c r="BC174" s="169"/>
    </row>
    <row r="175" spans="1:59" ht="15.75" customHeight="1">
      <c r="B175" s="175"/>
      <c r="C175" s="617"/>
      <c r="D175" s="177"/>
      <c r="E175" s="177"/>
      <c r="G175" s="458"/>
      <c r="I175" s="179"/>
      <c r="J175" s="617"/>
      <c r="K175" s="169"/>
      <c r="L175" s="169"/>
      <c r="M175" s="169"/>
      <c r="P175" s="169"/>
      <c r="Q175" s="169"/>
      <c r="R175" s="169"/>
      <c r="S175" s="458"/>
      <c r="T175" s="169"/>
      <c r="U175" s="169"/>
      <c r="V175" s="169"/>
      <c r="W175" s="169"/>
      <c r="X175" s="169"/>
      <c r="Y175" s="169"/>
      <c r="Z175" s="169"/>
      <c r="AA175" s="169"/>
      <c r="AB175" s="169"/>
      <c r="AC175" s="169"/>
      <c r="AD175" s="169"/>
      <c r="AE175" s="169"/>
      <c r="AF175" s="169"/>
      <c r="AG175" s="617"/>
      <c r="AH175" s="169"/>
      <c r="AI175" s="629"/>
      <c r="AJ175" s="169"/>
      <c r="AL175" s="169"/>
      <c r="AM175" s="169"/>
      <c r="AN175" s="454"/>
      <c r="AO175" s="178"/>
      <c r="AP175" s="178"/>
      <c r="BA175" s="1305"/>
      <c r="BC175" s="169"/>
    </row>
    <row r="176" spans="1:59" ht="15.75" customHeight="1">
      <c r="B176" s="180"/>
      <c r="C176" s="617"/>
      <c r="D176" s="177"/>
      <c r="E176" s="177"/>
      <c r="G176" s="458"/>
      <c r="I176" s="618"/>
      <c r="J176" s="617"/>
      <c r="K176" s="169"/>
      <c r="L176" s="169"/>
      <c r="M176" s="169"/>
      <c r="P176" s="169"/>
      <c r="Q176" s="169"/>
      <c r="R176" s="169"/>
      <c r="S176" s="458"/>
      <c r="T176" s="169"/>
      <c r="U176" s="169"/>
      <c r="V176" s="169"/>
      <c r="W176" s="169"/>
      <c r="X176" s="169"/>
      <c r="Y176" s="169"/>
      <c r="Z176" s="169"/>
      <c r="AA176" s="169"/>
      <c r="AB176" s="169"/>
      <c r="AC176" s="169"/>
      <c r="AD176" s="169"/>
      <c r="AE176" s="169"/>
      <c r="AF176" s="169"/>
      <c r="AG176" s="617"/>
      <c r="AH176" s="169"/>
      <c r="AI176" s="629"/>
      <c r="AJ176" s="169"/>
      <c r="AL176" s="169"/>
      <c r="AM176" s="618"/>
      <c r="AN176" s="454"/>
      <c r="AO176" s="178"/>
      <c r="AP176" s="178"/>
      <c r="BA176" s="1305"/>
      <c r="BC176" s="169"/>
    </row>
    <row r="177" spans="1:59" ht="15.75" customHeight="1">
      <c r="B177" s="175"/>
      <c r="C177" s="617"/>
      <c r="D177" s="177"/>
      <c r="E177" s="177"/>
      <c r="G177" s="458"/>
      <c r="I177" s="454"/>
      <c r="J177" s="617"/>
      <c r="K177" s="169"/>
      <c r="L177" s="169"/>
      <c r="M177" s="169"/>
      <c r="P177" s="169"/>
      <c r="Q177" s="169"/>
      <c r="R177" s="169"/>
      <c r="S177" s="458"/>
      <c r="T177" s="169"/>
      <c r="U177" s="169"/>
      <c r="V177" s="169"/>
      <c r="W177" s="169"/>
      <c r="X177" s="169"/>
      <c r="Y177" s="169"/>
      <c r="Z177" s="169"/>
      <c r="AA177" s="169"/>
      <c r="AB177" s="169"/>
      <c r="AC177" s="169"/>
      <c r="AD177" s="169"/>
      <c r="AE177" s="169"/>
      <c r="AF177" s="169"/>
      <c r="AG177" s="617"/>
      <c r="AH177" s="169"/>
      <c r="AI177" s="629"/>
      <c r="AJ177" s="169"/>
      <c r="AL177" s="169"/>
      <c r="AM177" s="169"/>
      <c r="AN177" s="454"/>
      <c r="AO177" s="178"/>
      <c r="AP177" s="178"/>
      <c r="AW177" s="458"/>
      <c r="AX177" s="458"/>
      <c r="BA177" s="1305"/>
      <c r="BC177" s="169"/>
    </row>
    <row r="178" spans="1:59" ht="15.75" customHeight="1">
      <c r="A178" s="174"/>
      <c r="B178" s="642"/>
      <c r="C178" s="617"/>
      <c r="D178" s="618"/>
      <c r="E178" s="618"/>
      <c r="F178" s="179"/>
      <c r="G178" s="458"/>
      <c r="H178" s="618"/>
      <c r="J178" s="617"/>
      <c r="K178" s="169"/>
      <c r="L178" s="169"/>
      <c r="M178" s="169"/>
      <c r="P178" s="618"/>
      <c r="Q178" s="169"/>
      <c r="R178" s="169"/>
      <c r="S178" s="458"/>
      <c r="T178" s="169"/>
      <c r="U178" s="169"/>
      <c r="V178" s="169"/>
      <c r="W178" s="169"/>
      <c r="X178" s="169"/>
      <c r="Y178" s="169"/>
      <c r="Z178" s="169"/>
      <c r="AA178" s="169"/>
      <c r="AB178" s="169"/>
      <c r="AC178" s="169"/>
      <c r="AD178" s="169"/>
      <c r="AE178" s="169"/>
      <c r="AF178" s="169"/>
      <c r="AG178" s="617"/>
      <c r="AH178" s="169"/>
      <c r="AI178" s="629"/>
      <c r="AJ178" s="618"/>
      <c r="AK178" s="618"/>
      <c r="AL178" s="618"/>
      <c r="AM178" s="618"/>
      <c r="AN178" s="454"/>
      <c r="AO178" s="178"/>
      <c r="AP178" s="178"/>
      <c r="BA178" s="1305"/>
      <c r="BB178" s="174"/>
      <c r="BC178" s="169"/>
      <c r="BD178" s="1324"/>
      <c r="BE178" s="1324"/>
      <c r="BF178" s="1324"/>
      <c r="BG178" s="1324"/>
    </row>
    <row r="179" spans="1:59" ht="15.75" customHeight="1">
      <c r="A179" s="174"/>
      <c r="B179" s="618"/>
      <c r="C179" s="617"/>
      <c r="D179" s="618"/>
      <c r="E179" s="618"/>
      <c r="F179" s="618"/>
      <c r="G179" s="458"/>
      <c r="H179" s="618"/>
      <c r="L179" s="618"/>
      <c r="M179" s="618"/>
      <c r="N179" s="618"/>
      <c r="O179" s="618"/>
      <c r="P179" s="618"/>
      <c r="Q179" s="169"/>
      <c r="R179" s="169"/>
      <c r="S179" s="458"/>
      <c r="T179" s="169"/>
      <c r="U179" s="169"/>
      <c r="V179" s="169"/>
      <c r="W179" s="169"/>
      <c r="X179" s="169"/>
      <c r="Y179" s="169"/>
      <c r="Z179" s="169"/>
      <c r="AA179" s="169"/>
      <c r="AB179" s="169"/>
      <c r="AC179" s="169"/>
      <c r="AD179" s="169"/>
      <c r="AE179" s="169"/>
      <c r="AF179" s="169"/>
      <c r="AG179" s="617"/>
      <c r="AH179" s="169"/>
      <c r="AI179" s="629"/>
      <c r="AJ179" s="618"/>
      <c r="AK179" s="618"/>
      <c r="AL179" s="618"/>
      <c r="AM179" s="618"/>
      <c r="AN179" s="458"/>
      <c r="AO179" s="618"/>
      <c r="AP179" s="618"/>
      <c r="BA179" s="1318"/>
      <c r="BB179" s="174"/>
      <c r="BC179" s="169"/>
      <c r="BD179" s="1324"/>
      <c r="BE179" s="1324"/>
      <c r="BF179" s="1324"/>
      <c r="BG179" s="1324"/>
    </row>
    <row r="180" spans="1:59" ht="15.75" customHeight="1">
      <c r="A180" s="174"/>
      <c r="B180" s="642"/>
      <c r="C180" s="617"/>
      <c r="D180" s="618"/>
      <c r="E180" s="618"/>
      <c r="F180" s="618"/>
      <c r="G180" s="458"/>
      <c r="H180" s="618"/>
      <c r="I180" s="618"/>
      <c r="J180" s="617"/>
      <c r="K180" s="169"/>
      <c r="L180" s="618"/>
      <c r="M180" s="618"/>
      <c r="N180" s="618"/>
      <c r="O180" s="618"/>
      <c r="P180" s="618"/>
      <c r="Q180" s="169"/>
      <c r="R180" s="169"/>
      <c r="S180" s="458"/>
      <c r="T180" s="169"/>
      <c r="U180" s="169"/>
      <c r="V180" s="169"/>
      <c r="W180" s="169"/>
      <c r="X180" s="169"/>
      <c r="Y180" s="169"/>
      <c r="Z180" s="169"/>
      <c r="AA180" s="169"/>
      <c r="AB180" s="169"/>
      <c r="AC180" s="169"/>
      <c r="AD180" s="169"/>
      <c r="AE180" s="169"/>
      <c r="AF180" s="169"/>
      <c r="AG180" s="617"/>
      <c r="AH180" s="169"/>
      <c r="AI180" s="629"/>
      <c r="AJ180" s="618"/>
      <c r="AK180" s="618"/>
      <c r="AL180" s="618"/>
      <c r="AM180" s="618"/>
      <c r="AN180" s="454"/>
      <c r="AO180" s="178"/>
      <c r="AP180" s="178"/>
      <c r="BA180" s="1305"/>
      <c r="BB180" s="174"/>
      <c r="BC180" s="169"/>
      <c r="BD180" s="1324"/>
      <c r="BE180" s="1324"/>
      <c r="BF180" s="1324"/>
      <c r="BG180" s="1324"/>
    </row>
    <row r="181" spans="1:59" ht="15.75" customHeight="1">
      <c r="A181" s="174"/>
      <c r="B181" s="618"/>
      <c r="C181" s="617"/>
      <c r="D181" s="618"/>
      <c r="E181" s="618"/>
      <c r="F181" s="618"/>
      <c r="G181" s="458"/>
      <c r="H181" s="618"/>
      <c r="I181" s="454"/>
      <c r="J181" s="617"/>
      <c r="K181" s="618"/>
      <c r="L181" s="618"/>
      <c r="M181" s="618"/>
      <c r="N181" s="618"/>
      <c r="O181" s="618"/>
      <c r="P181" s="618"/>
      <c r="Q181" s="169"/>
      <c r="R181" s="169"/>
      <c r="S181" s="458"/>
      <c r="T181" s="169"/>
      <c r="U181" s="169"/>
      <c r="V181" s="169"/>
      <c r="W181" s="169"/>
      <c r="X181" s="169"/>
      <c r="Y181" s="169"/>
      <c r="Z181" s="169"/>
      <c r="AA181" s="169"/>
      <c r="AB181" s="169"/>
      <c r="AC181" s="169"/>
      <c r="AD181" s="169"/>
      <c r="AE181" s="169"/>
      <c r="AF181" s="169"/>
      <c r="AG181" s="617"/>
      <c r="AH181" s="169"/>
      <c r="AI181" s="629"/>
      <c r="AJ181" s="618"/>
      <c r="AK181" s="618"/>
      <c r="AL181" s="618"/>
      <c r="AM181" s="618"/>
      <c r="AN181" s="458"/>
      <c r="AO181" s="618"/>
      <c r="AP181" s="618"/>
      <c r="BA181" s="1305"/>
      <c r="BB181" s="174"/>
      <c r="BC181" s="169"/>
      <c r="BD181" s="1324"/>
      <c r="BE181" s="1324"/>
      <c r="BF181" s="1324"/>
      <c r="BG181" s="1324"/>
    </row>
    <row r="182" spans="1:59" ht="15.75" customHeight="1">
      <c r="B182" s="180"/>
      <c r="C182" s="617"/>
      <c r="D182" s="177"/>
      <c r="E182" s="177"/>
      <c r="G182" s="458"/>
      <c r="I182" s="182"/>
      <c r="J182" s="617"/>
      <c r="K182" s="169"/>
      <c r="L182" s="169"/>
      <c r="M182" s="169"/>
      <c r="P182" s="169"/>
      <c r="Q182" s="169"/>
      <c r="R182" s="169"/>
      <c r="S182" s="458"/>
      <c r="T182" s="169"/>
      <c r="U182" s="169"/>
      <c r="V182" s="169"/>
      <c r="W182" s="169"/>
      <c r="X182" s="169"/>
      <c r="Y182" s="169"/>
      <c r="Z182" s="169"/>
      <c r="AA182" s="169"/>
      <c r="AB182" s="169"/>
      <c r="AC182" s="169"/>
      <c r="AD182" s="169"/>
      <c r="AE182" s="169"/>
      <c r="AF182" s="169"/>
      <c r="AG182" s="617"/>
      <c r="AH182" s="169"/>
      <c r="AI182" s="629"/>
      <c r="AJ182" s="169"/>
      <c r="AL182" s="169"/>
      <c r="AM182" s="618"/>
      <c r="AN182" s="454"/>
      <c r="AO182" s="178"/>
      <c r="AP182" s="178"/>
      <c r="BA182" s="1305"/>
      <c r="BC182" s="169"/>
    </row>
    <row r="183" spans="1:59" ht="15.75" customHeight="1">
      <c r="B183" s="175"/>
      <c r="C183" s="617"/>
      <c r="D183" s="177"/>
      <c r="E183" s="177"/>
      <c r="G183" s="458"/>
      <c r="I183" s="179"/>
      <c r="J183" s="617"/>
      <c r="K183" s="169"/>
      <c r="L183" s="169"/>
      <c r="M183" s="169"/>
      <c r="P183" s="169"/>
      <c r="Q183" s="169"/>
      <c r="R183" s="169"/>
      <c r="S183" s="458"/>
      <c r="T183" s="169"/>
      <c r="U183" s="169"/>
      <c r="V183" s="169"/>
      <c r="W183" s="169"/>
      <c r="X183" s="169"/>
      <c r="Y183" s="169"/>
      <c r="Z183" s="169"/>
      <c r="AA183" s="169"/>
      <c r="AB183" s="169"/>
      <c r="AC183" s="169"/>
      <c r="AD183" s="169"/>
      <c r="AE183" s="169"/>
      <c r="AF183" s="169"/>
      <c r="AG183" s="617"/>
      <c r="AH183" s="169"/>
      <c r="AI183" s="629"/>
      <c r="AJ183" s="169"/>
      <c r="AL183" s="169"/>
      <c r="AM183" s="169"/>
      <c r="AN183" s="454"/>
      <c r="AO183" s="178"/>
      <c r="AP183" s="178"/>
      <c r="BA183" s="1305"/>
      <c r="BC183" s="169"/>
    </row>
    <row r="184" spans="1:59" ht="15.75" customHeight="1">
      <c r="B184" s="180"/>
      <c r="C184" s="617"/>
      <c r="D184" s="177"/>
      <c r="E184" s="177"/>
      <c r="G184" s="458"/>
      <c r="I184" s="618"/>
      <c r="J184" s="617"/>
      <c r="K184" s="169"/>
      <c r="L184" s="169"/>
      <c r="M184" s="169"/>
      <c r="P184" s="169"/>
      <c r="Q184" s="169"/>
      <c r="R184" s="169"/>
      <c r="S184" s="458"/>
      <c r="T184" s="169"/>
      <c r="U184" s="169"/>
      <c r="V184" s="169"/>
      <c r="W184" s="169"/>
      <c r="X184" s="169"/>
      <c r="Y184" s="169"/>
      <c r="Z184" s="169"/>
      <c r="AA184" s="169"/>
      <c r="AB184" s="169"/>
      <c r="AC184" s="169"/>
      <c r="AD184" s="169"/>
      <c r="AE184" s="169"/>
      <c r="AF184" s="169"/>
      <c r="AG184" s="617"/>
      <c r="AH184" s="169"/>
      <c r="AI184" s="629"/>
      <c r="AJ184" s="169"/>
      <c r="AL184" s="169"/>
      <c r="AM184" s="618"/>
      <c r="AN184" s="454"/>
      <c r="AO184" s="178"/>
      <c r="AP184" s="178"/>
      <c r="BA184" s="1305"/>
      <c r="BC184" s="169"/>
    </row>
    <row r="185" spans="1:59" ht="15.75" customHeight="1">
      <c r="B185" s="175"/>
      <c r="C185" s="617"/>
      <c r="D185" s="177"/>
      <c r="E185" s="177"/>
      <c r="G185" s="458"/>
      <c r="I185" s="454"/>
      <c r="J185" s="617"/>
      <c r="K185" s="169"/>
      <c r="L185" s="169"/>
      <c r="M185" s="169"/>
      <c r="P185" s="169"/>
      <c r="Q185" s="169"/>
      <c r="R185" s="169"/>
      <c r="S185" s="458"/>
      <c r="T185" s="169"/>
      <c r="U185" s="169"/>
      <c r="V185" s="169"/>
      <c r="W185" s="169"/>
      <c r="X185" s="169"/>
      <c r="Y185" s="169"/>
      <c r="Z185" s="169"/>
      <c r="AA185" s="169"/>
      <c r="AB185" s="169"/>
      <c r="AC185" s="169"/>
      <c r="AD185" s="169"/>
      <c r="AE185" s="169"/>
      <c r="AF185" s="169"/>
      <c r="AG185" s="617"/>
      <c r="AH185" s="169"/>
      <c r="AI185" s="629"/>
      <c r="AJ185" s="169"/>
      <c r="AL185" s="169"/>
      <c r="AM185" s="169"/>
      <c r="AN185" s="454"/>
      <c r="AO185" s="178"/>
      <c r="AP185" s="178"/>
      <c r="AW185" s="458"/>
      <c r="AX185" s="458"/>
      <c r="BA185" s="1305"/>
      <c r="BC185" s="169"/>
    </row>
    <row r="186" spans="1:59" ht="15.75" customHeight="1">
      <c r="A186" s="174"/>
      <c r="B186" s="642"/>
      <c r="C186" s="617"/>
      <c r="D186" s="618"/>
      <c r="E186" s="618"/>
      <c r="F186" s="179"/>
      <c r="G186" s="458"/>
      <c r="H186" s="618"/>
      <c r="J186" s="617"/>
      <c r="K186" s="169"/>
      <c r="L186" s="169"/>
      <c r="M186" s="169"/>
      <c r="P186" s="618"/>
      <c r="Q186" s="169"/>
      <c r="R186" s="169"/>
      <c r="S186" s="458"/>
      <c r="T186" s="169"/>
      <c r="U186" s="169"/>
      <c r="V186" s="169"/>
      <c r="W186" s="169"/>
      <c r="X186" s="169"/>
      <c r="Y186" s="169"/>
      <c r="Z186" s="169"/>
      <c r="AA186" s="169"/>
      <c r="AB186" s="169"/>
      <c r="AC186" s="169"/>
      <c r="AD186" s="169"/>
      <c r="AE186" s="169"/>
      <c r="AF186" s="169"/>
      <c r="AG186" s="617"/>
      <c r="AH186" s="169"/>
      <c r="AI186" s="629"/>
      <c r="AJ186" s="618"/>
      <c r="AK186" s="618"/>
      <c r="AL186" s="618"/>
      <c r="AM186" s="618"/>
      <c r="AN186" s="454"/>
      <c r="AO186" s="178"/>
      <c r="AP186" s="178"/>
      <c r="BA186" s="1305"/>
      <c r="BB186" s="174"/>
      <c r="BC186" s="169"/>
      <c r="BD186" s="1324"/>
      <c r="BE186" s="1324"/>
      <c r="BF186" s="1324"/>
      <c r="BG186" s="1324"/>
    </row>
    <row r="187" spans="1:59" ht="15.75" customHeight="1">
      <c r="A187" s="174"/>
      <c r="B187" s="618"/>
      <c r="C187" s="617"/>
      <c r="D187" s="618"/>
      <c r="E187" s="618"/>
      <c r="F187" s="618"/>
      <c r="G187" s="458"/>
      <c r="H187" s="618"/>
      <c r="L187" s="618"/>
      <c r="M187" s="618"/>
      <c r="N187" s="618"/>
      <c r="O187" s="618"/>
      <c r="P187" s="618"/>
      <c r="Q187" s="169"/>
      <c r="R187" s="169"/>
      <c r="S187" s="458"/>
      <c r="T187" s="169"/>
      <c r="U187" s="169"/>
      <c r="V187" s="169"/>
      <c r="W187" s="169"/>
      <c r="X187" s="169"/>
      <c r="Y187" s="169"/>
      <c r="Z187" s="169"/>
      <c r="AA187" s="169"/>
      <c r="AB187" s="169"/>
      <c r="AC187" s="169"/>
      <c r="AD187" s="169"/>
      <c r="AE187" s="169"/>
      <c r="AF187" s="169"/>
      <c r="AG187" s="617"/>
      <c r="AH187" s="169"/>
      <c r="AI187" s="629"/>
      <c r="AJ187" s="618"/>
      <c r="AK187" s="618"/>
      <c r="AL187" s="618"/>
      <c r="AM187" s="618"/>
      <c r="AN187" s="458"/>
      <c r="AO187" s="618"/>
      <c r="AP187" s="618"/>
      <c r="BA187" s="1318"/>
      <c r="BB187" s="174"/>
      <c r="BC187" s="169"/>
      <c r="BD187" s="1324"/>
      <c r="BE187" s="1324"/>
      <c r="BF187" s="1324"/>
      <c r="BG187" s="1324"/>
    </row>
    <row r="188" spans="1:59" ht="15.75" customHeight="1">
      <c r="A188" s="174"/>
      <c r="B188" s="642"/>
      <c r="C188" s="617"/>
      <c r="D188" s="618"/>
      <c r="E188" s="618"/>
      <c r="F188" s="618"/>
      <c r="G188" s="458"/>
      <c r="H188" s="618"/>
      <c r="I188" s="618"/>
      <c r="J188" s="617"/>
      <c r="K188" s="169"/>
      <c r="L188" s="618"/>
      <c r="M188" s="618"/>
      <c r="N188" s="618"/>
      <c r="O188" s="618"/>
      <c r="P188" s="618"/>
      <c r="Q188" s="169"/>
      <c r="R188" s="169"/>
      <c r="S188" s="458"/>
      <c r="T188" s="169"/>
      <c r="U188" s="169"/>
      <c r="V188" s="169"/>
      <c r="W188" s="169"/>
      <c r="X188" s="169"/>
      <c r="Y188" s="169"/>
      <c r="Z188" s="169"/>
      <c r="AA188" s="169"/>
      <c r="AB188" s="169"/>
      <c r="AC188" s="169"/>
      <c r="AD188" s="169"/>
      <c r="AE188" s="169"/>
      <c r="AF188" s="169"/>
      <c r="AG188" s="617"/>
      <c r="AH188" s="169"/>
      <c r="AI188" s="629"/>
      <c r="AJ188" s="618"/>
      <c r="AK188" s="618"/>
      <c r="AL188" s="618"/>
      <c r="AM188" s="618"/>
      <c r="AN188" s="454"/>
      <c r="AO188" s="178"/>
      <c r="AP188" s="178"/>
      <c r="BA188" s="1305"/>
      <c r="BB188" s="174"/>
      <c r="BC188" s="169"/>
      <c r="BD188" s="1324"/>
      <c r="BE188" s="1324"/>
      <c r="BF188" s="1324"/>
      <c r="BG188" s="1324"/>
    </row>
    <row r="189" spans="1:59" ht="15.75" customHeight="1">
      <c r="A189" s="174"/>
      <c r="B189" s="618"/>
      <c r="C189" s="617"/>
      <c r="D189" s="618"/>
      <c r="E189" s="618"/>
      <c r="F189" s="618"/>
      <c r="G189" s="458"/>
      <c r="H189" s="618"/>
      <c r="I189" s="454"/>
      <c r="J189" s="617"/>
      <c r="K189" s="618"/>
      <c r="L189" s="618"/>
      <c r="M189" s="618"/>
      <c r="N189" s="618"/>
      <c r="O189" s="618"/>
      <c r="P189" s="618"/>
      <c r="Q189" s="169"/>
      <c r="R189" s="169"/>
      <c r="S189" s="458"/>
      <c r="T189" s="169"/>
      <c r="U189" s="169"/>
      <c r="V189" s="169"/>
      <c r="W189" s="169"/>
      <c r="X189" s="169"/>
      <c r="Y189" s="169"/>
      <c r="Z189" s="169"/>
      <c r="AA189" s="169"/>
      <c r="AB189" s="169"/>
      <c r="AC189" s="169"/>
      <c r="AD189" s="169"/>
      <c r="AE189" s="169"/>
      <c r="AF189" s="169"/>
      <c r="AG189" s="617"/>
      <c r="AH189" s="169"/>
      <c r="AI189" s="629"/>
      <c r="AJ189" s="618"/>
      <c r="AK189" s="618"/>
      <c r="AL189" s="618"/>
      <c r="AM189" s="618"/>
      <c r="AN189" s="458"/>
      <c r="AO189" s="618"/>
      <c r="AP189" s="618"/>
      <c r="BA189" s="1305"/>
      <c r="BB189" s="174"/>
      <c r="BC189" s="169"/>
      <c r="BD189" s="1324"/>
      <c r="BE189" s="1324"/>
      <c r="BF189" s="1324"/>
      <c r="BG189" s="1324"/>
    </row>
    <row r="190" spans="1:59" ht="15.75" customHeight="1">
      <c r="B190" s="180"/>
      <c r="C190" s="617"/>
      <c r="D190" s="177"/>
      <c r="E190" s="177"/>
      <c r="G190" s="458"/>
      <c r="I190" s="182"/>
      <c r="J190" s="617"/>
      <c r="K190" s="169"/>
      <c r="L190" s="169"/>
      <c r="M190" s="169"/>
      <c r="P190" s="169"/>
      <c r="Q190" s="169"/>
      <c r="R190" s="169"/>
      <c r="S190" s="458"/>
      <c r="T190" s="169"/>
      <c r="U190" s="169"/>
      <c r="V190" s="169"/>
      <c r="W190" s="169"/>
      <c r="X190" s="169"/>
      <c r="Y190" s="169"/>
      <c r="Z190" s="169"/>
      <c r="AA190" s="169"/>
      <c r="AB190" s="169"/>
      <c r="AC190" s="169"/>
      <c r="AD190" s="169"/>
      <c r="AE190" s="169"/>
      <c r="AF190" s="169"/>
      <c r="AG190" s="617"/>
      <c r="AH190" s="169"/>
      <c r="AI190" s="629"/>
      <c r="AJ190" s="169"/>
      <c r="AL190" s="169"/>
      <c r="AM190" s="618"/>
      <c r="AN190" s="454"/>
      <c r="AO190" s="178"/>
      <c r="AP190" s="178"/>
      <c r="BA190" s="1305"/>
      <c r="BC190" s="169"/>
    </row>
    <row r="191" spans="1:59" ht="15.75" customHeight="1">
      <c r="B191" s="175"/>
      <c r="C191" s="617"/>
      <c r="D191" s="177"/>
      <c r="E191" s="177"/>
      <c r="G191" s="458"/>
      <c r="I191" s="179"/>
      <c r="J191" s="617"/>
      <c r="K191" s="169"/>
      <c r="L191" s="169"/>
      <c r="M191" s="169"/>
      <c r="P191" s="169"/>
      <c r="Q191" s="169"/>
      <c r="R191" s="169"/>
      <c r="S191" s="458"/>
      <c r="T191" s="169"/>
      <c r="U191" s="169"/>
      <c r="V191" s="169"/>
      <c r="W191" s="169"/>
      <c r="X191" s="169"/>
      <c r="Y191" s="169"/>
      <c r="Z191" s="169"/>
      <c r="AA191" s="169"/>
      <c r="AB191" s="169"/>
      <c r="AC191" s="169"/>
      <c r="AD191" s="169"/>
      <c r="AE191" s="169"/>
      <c r="AF191" s="169"/>
      <c r="AG191" s="617"/>
      <c r="AH191" s="169"/>
      <c r="AI191" s="629"/>
      <c r="AJ191" s="169"/>
      <c r="AL191" s="169"/>
      <c r="AM191" s="169"/>
      <c r="AN191" s="454"/>
      <c r="AO191" s="178"/>
      <c r="AP191" s="178"/>
      <c r="BA191" s="1305"/>
      <c r="BC191" s="169"/>
    </row>
    <row r="192" spans="1:59" ht="15.75" customHeight="1">
      <c r="B192" s="180"/>
      <c r="C192" s="617"/>
      <c r="D192" s="177"/>
      <c r="E192" s="177"/>
      <c r="G192" s="458"/>
      <c r="I192" s="618"/>
      <c r="J192" s="617"/>
      <c r="K192" s="169"/>
      <c r="L192" s="169"/>
      <c r="M192" s="169"/>
      <c r="P192" s="169"/>
      <c r="Q192" s="169"/>
      <c r="R192" s="169"/>
      <c r="S192" s="458"/>
      <c r="T192" s="169"/>
      <c r="U192" s="169"/>
      <c r="V192" s="169"/>
      <c r="W192" s="169"/>
      <c r="X192" s="169"/>
      <c r="Y192" s="169"/>
      <c r="Z192" s="169"/>
      <c r="AA192" s="169"/>
      <c r="AB192" s="169"/>
      <c r="AC192" s="169"/>
      <c r="AD192" s="169"/>
      <c r="AE192" s="169"/>
      <c r="AF192" s="169"/>
      <c r="AG192" s="617"/>
      <c r="AH192" s="169"/>
      <c r="AI192" s="629"/>
      <c r="AJ192" s="169"/>
      <c r="AL192" s="169"/>
      <c r="AM192" s="618"/>
      <c r="AN192" s="454"/>
      <c r="AO192" s="178"/>
      <c r="AP192" s="178"/>
      <c r="BA192" s="1305"/>
      <c r="BC192" s="169"/>
    </row>
    <row r="193" spans="1:59" ht="15.75" customHeight="1">
      <c r="B193" s="175"/>
      <c r="C193" s="617"/>
      <c r="D193" s="177"/>
      <c r="E193" s="177"/>
      <c r="G193" s="458"/>
      <c r="I193" s="454"/>
      <c r="J193" s="617"/>
      <c r="K193" s="169"/>
      <c r="L193" s="169"/>
      <c r="M193" s="169"/>
      <c r="P193" s="169"/>
      <c r="Q193" s="169"/>
      <c r="R193" s="169"/>
      <c r="S193" s="458"/>
      <c r="T193" s="169"/>
      <c r="U193" s="169"/>
      <c r="V193" s="169"/>
      <c r="W193" s="169"/>
      <c r="X193" s="169"/>
      <c r="Y193" s="169"/>
      <c r="Z193" s="169"/>
      <c r="AA193" s="169"/>
      <c r="AB193" s="169"/>
      <c r="AC193" s="169"/>
      <c r="AD193" s="169"/>
      <c r="AE193" s="169"/>
      <c r="AF193" s="169"/>
      <c r="AG193" s="617"/>
      <c r="AH193" s="169"/>
      <c r="AI193" s="629"/>
      <c r="AJ193" s="169"/>
      <c r="AL193" s="169"/>
      <c r="AM193" s="169"/>
      <c r="AN193" s="454"/>
      <c r="AO193" s="178"/>
      <c r="AP193" s="178"/>
      <c r="AW193" s="458"/>
      <c r="AX193" s="458"/>
      <c r="BA193" s="1305"/>
      <c r="BC193" s="169"/>
    </row>
    <row r="194" spans="1:59" ht="15.75" customHeight="1">
      <c r="A194" s="174"/>
      <c r="B194" s="642"/>
      <c r="C194" s="617"/>
      <c r="D194" s="618"/>
      <c r="E194" s="618"/>
      <c r="F194" s="179"/>
      <c r="G194" s="458"/>
      <c r="H194" s="618"/>
      <c r="J194" s="617"/>
      <c r="K194" s="169"/>
      <c r="L194" s="169"/>
      <c r="M194" s="169"/>
      <c r="P194" s="618"/>
      <c r="Q194" s="169"/>
      <c r="R194" s="169"/>
      <c r="S194" s="458"/>
      <c r="T194" s="169"/>
      <c r="U194" s="169"/>
      <c r="V194" s="169"/>
      <c r="W194" s="169"/>
      <c r="X194" s="169"/>
      <c r="Y194" s="169"/>
      <c r="Z194" s="169"/>
      <c r="AA194" s="169"/>
      <c r="AB194" s="169"/>
      <c r="AC194" s="169"/>
      <c r="AD194" s="169"/>
      <c r="AE194" s="169"/>
      <c r="AF194" s="169"/>
      <c r="AG194" s="617"/>
      <c r="AH194" s="169"/>
      <c r="AI194" s="629"/>
      <c r="AJ194" s="618"/>
      <c r="AK194" s="618"/>
      <c r="AL194" s="618"/>
      <c r="AM194" s="618"/>
      <c r="AN194" s="454"/>
      <c r="AO194" s="178"/>
      <c r="AP194" s="178"/>
      <c r="BA194" s="1305"/>
      <c r="BB194" s="174"/>
      <c r="BC194" s="169"/>
      <c r="BD194" s="1324"/>
      <c r="BE194" s="1324"/>
      <c r="BF194" s="1324"/>
      <c r="BG194" s="1324"/>
    </row>
    <row r="195" spans="1:59" ht="15.75" customHeight="1">
      <c r="A195" s="174"/>
      <c r="B195" s="618"/>
      <c r="C195" s="617"/>
      <c r="D195" s="618"/>
      <c r="E195" s="618"/>
      <c r="F195" s="618"/>
      <c r="G195" s="458"/>
      <c r="H195" s="618"/>
      <c r="L195" s="618"/>
      <c r="M195" s="618"/>
      <c r="N195" s="618"/>
      <c r="O195" s="618"/>
      <c r="P195" s="618"/>
      <c r="Q195" s="169"/>
      <c r="R195" s="169"/>
      <c r="S195" s="458"/>
      <c r="T195" s="169"/>
      <c r="U195" s="169"/>
      <c r="V195" s="169"/>
      <c r="W195" s="169"/>
      <c r="X195" s="169"/>
      <c r="Y195" s="169"/>
      <c r="Z195" s="169"/>
      <c r="AA195" s="169"/>
      <c r="AB195" s="169"/>
      <c r="AC195" s="169"/>
      <c r="AD195" s="169"/>
      <c r="AE195" s="169"/>
      <c r="AF195" s="169"/>
      <c r="AG195" s="617"/>
      <c r="AH195" s="169"/>
      <c r="AI195" s="629"/>
      <c r="AJ195" s="618"/>
      <c r="AK195" s="618"/>
      <c r="AL195" s="618"/>
      <c r="AM195" s="618"/>
      <c r="AN195" s="458"/>
      <c r="AO195" s="618"/>
      <c r="AP195" s="618"/>
      <c r="BA195" s="1318"/>
      <c r="BB195" s="174"/>
      <c r="BC195" s="169"/>
      <c r="BD195" s="1324"/>
      <c r="BE195" s="1324"/>
      <c r="BF195" s="1324"/>
      <c r="BG195" s="1324"/>
    </row>
    <row r="196" spans="1:59" ht="15.75" customHeight="1">
      <c r="A196" s="174"/>
      <c r="B196" s="642"/>
      <c r="C196" s="617"/>
      <c r="D196" s="618"/>
      <c r="E196" s="618"/>
      <c r="F196" s="618"/>
      <c r="G196" s="458"/>
      <c r="H196" s="618"/>
      <c r="I196" s="618"/>
      <c r="J196" s="617"/>
      <c r="K196" s="169"/>
      <c r="L196" s="618"/>
      <c r="M196" s="618"/>
      <c r="N196" s="618"/>
      <c r="O196" s="618"/>
      <c r="P196" s="618"/>
      <c r="Q196" s="169"/>
      <c r="R196" s="169"/>
      <c r="S196" s="458"/>
      <c r="T196" s="169"/>
      <c r="U196" s="169"/>
      <c r="V196" s="169"/>
      <c r="W196" s="169"/>
      <c r="X196" s="169"/>
      <c r="Y196" s="169"/>
      <c r="Z196" s="169"/>
      <c r="AA196" s="169"/>
      <c r="AB196" s="169"/>
      <c r="AC196" s="169"/>
      <c r="AD196" s="169"/>
      <c r="AE196" s="169"/>
      <c r="AF196" s="169"/>
      <c r="AG196" s="617"/>
      <c r="AH196" s="169"/>
      <c r="AI196" s="629"/>
      <c r="AJ196" s="618"/>
      <c r="AK196" s="618"/>
      <c r="AL196" s="618"/>
      <c r="AM196" s="618"/>
      <c r="AN196" s="454"/>
      <c r="AO196" s="178"/>
      <c r="AP196" s="178"/>
      <c r="BA196" s="1305"/>
      <c r="BB196" s="174"/>
      <c r="BC196" s="169"/>
      <c r="BD196" s="1324"/>
      <c r="BE196" s="1324"/>
      <c r="BF196" s="1324"/>
      <c r="BG196" s="1324"/>
    </row>
    <row r="197" spans="1:59" ht="15.75" customHeight="1">
      <c r="A197" s="174"/>
      <c r="B197" s="618"/>
      <c r="C197" s="617"/>
      <c r="D197" s="618"/>
      <c r="E197" s="618"/>
      <c r="F197" s="618"/>
      <c r="G197" s="458"/>
      <c r="H197" s="618"/>
      <c r="I197" s="454"/>
      <c r="J197" s="617"/>
      <c r="K197" s="618"/>
      <c r="L197" s="618"/>
      <c r="M197" s="618"/>
      <c r="N197" s="618"/>
      <c r="O197" s="618"/>
      <c r="P197" s="618"/>
      <c r="Q197" s="169"/>
      <c r="R197" s="169"/>
      <c r="S197" s="458"/>
      <c r="T197" s="169"/>
      <c r="U197" s="169"/>
      <c r="V197" s="169"/>
      <c r="W197" s="169"/>
      <c r="X197" s="169"/>
      <c r="Y197" s="169"/>
      <c r="Z197" s="169"/>
      <c r="AA197" s="169"/>
      <c r="AB197" s="169"/>
      <c r="AC197" s="169"/>
      <c r="AD197" s="169"/>
      <c r="AE197" s="169"/>
      <c r="AF197" s="169"/>
      <c r="AG197" s="617"/>
      <c r="AH197" s="169"/>
      <c r="AI197" s="629"/>
      <c r="AJ197" s="618"/>
      <c r="AK197" s="618"/>
      <c r="AL197" s="618"/>
      <c r="AM197" s="618"/>
      <c r="AN197" s="458"/>
      <c r="AO197" s="618"/>
      <c r="AP197" s="618"/>
      <c r="BA197" s="1305"/>
      <c r="BB197" s="174"/>
      <c r="BC197" s="169"/>
      <c r="BD197" s="1324"/>
      <c r="BE197" s="1324"/>
      <c r="BF197" s="1324"/>
      <c r="BG197" s="1324"/>
    </row>
    <row r="198" spans="1:59" ht="15.75" customHeight="1">
      <c r="B198" s="180"/>
      <c r="C198" s="617"/>
      <c r="D198" s="177"/>
      <c r="E198" s="177"/>
      <c r="G198" s="458"/>
      <c r="I198" s="182"/>
      <c r="J198" s="617"/>
      <c r="K198" s="169"/>
      <c r="L198" s="169"/>
      <c r="M198" s="169"/>
      <c r="P198" s="169"/>
      <c r="Q198" s="169"/>
      <c r="R198" s="169"/>
      <c r="S198" s="458"/>
      <c r="T198" s="169"/>
      <c r="U198" s="169"/>
      <c r="V198" s="169"/>
      <c r="W198" s="169"/>
      <c r="X198" s="169"/>
      <c r="Y198" s="169"/>
      <c r="Z198" s="169"/>
      <c r="AA198" s="169"/>
      <c r="AB198" s="169"/>
      <c r="AC198" s="169"/>
      <c r="AD198" s="169"/>
      <c r="AE198" s="169"/>
      <c r="AF198" s="169"/>
      <c r="AG198" s="617"/>
      <c r="AH198" s="169"/>
      <c r="AI198" s="629"/>
      <c r="AJ198" s="169"/>
      <c r="AL198" s="169"/>
      <c r="AM198" s="618"/>
      <c r="AN198" s="454"/>
      <c r="AO198" s="178"/>
      <c r="AP198" s="178"/>
      <c r="BA198" s="1305"/>
      <c r="BC198" s="169"/>
    </row>
    <row r="199" spans="1:59" ht="15.75" customHeight="1">
      <c r="B199" s="175"/>
      <c r="C199" s="617"/>
      <c r="D199" s="177"/>
      <c r="E199" s="177"/>
      <c r="G199" s="458"/>
      <c r="I199" s="179"/>
      <c r="J199" s="617"/>
      <c r="K199" s="169"/>
      <c r="L199" s="169"/>
      <c r="M199" s="169"/>
      <c r="P199" s="169"/>
      <c r="Q199" s="169"/>
      <c r="R199" s="169"/>
      <c r="S199" s="458"/>
      <c r="T199" s="169"/>
      <c r="U199" s="169"/>
      <c r="V199" s="169"/>
      <c r="W199" s="169"/>
      <c r="X199" s="169"/>
      <c r="Y199" s="169"/>
      <c r="Z199" s="169"/>
      <c r="AA199" s="169"/>
      <c r="AB199" s="169"/>
      <c r="AC199" s="169"/>
      <c r="AD199" s="169"/>
      <c r="AE199" s="169"/>
      <c r="AF199" s="169"/>
      <c r="AG199" s="617"/>
      <c r="AH199" s="169"/>
      <c r="AI199" s="629"/>
      <c r="AJ199" s="169"/>
      <c r="AL199" s="169"/>
      <c r="AM199" s="169"/>
      <c r="AN199" s="454"/>
      <c r="AO199" s="178"/>
      <c r="AP199" s="178"/>
      <c r="BA199" s="1305"/>
      <c r="BC199" s="169"/>
    </row>
    <row r="200" spans="1:59" ht="15.75" customHeight="1">
      <c r="B200" s="180"/>
      <c r="C200" s="617"/>
      <c r="D200" s="177"/>
      <c r="E200" s="177"/>
      <c r="G200" s="458"/>
      <c r="I200" s="618"/>
      <c r="J200" s="617"/>
      <c r="K200" s="169"/>
      <c r="L200" s="169"/>
      <c r="M200" s="169"/>
      <c r="P200" s="169"/>
      <c r="Q200" s="169"/>
      <c r="R200" s="169"/>
      <c r="S200" s="458"/>
      <c r="T200" s="169"/>
      <c r="U200" s="169"/>
      <c r="V200" s="169"/>
      <c r="W200" s="169"/>
      <c r="X200" s="169"/>
      <c r="Y200" s="169"/>
      <c r="Z200" s="169"/>
      <c r="AA200" s="169"/>
      <c r="AB200" s="169"/>
      <c r="AC200" s="169"/>
      <c r="AD200" s="169"/>
      <c r="AE200" s="169"/>
      <c r="AF200" s="169"/>
      <c r="AG200" s="617"/>
      <c r="AH200" s="169"/>
      <c r="AI200" s="629"/>
      <c r="AJ200" s="169"/>
      <c r="AL200" s="169"/>
      <c r="AM200" s="618"/>
      <c r="AN200" s="454"/>
      <c r="AO200" s="178"/>
      <c r="AP200" s="178"/>
      <c r="BA200" s="1305"/>
      <c r="BC200" s="169"/>
    </row>
    <row r="201" spans="1:59" ht="15.75" customHeight="1">
      <c r="B201" s="175"/>
      <c r="C201" s="617"/>
      <c r="D201" s="177"/>
      <c r="E201" s="177"/>
      <c r="G201" s="458"/>
      <c r="I201" s="454"/>
      <c r="J201" s="617"/>
      <c r="K201" s="169"/>
      <c r="L201" s="169"/>
      <c r="M201" s="169"/>
      <c r="P201" s="169"/>
      <c r="Q201" s="169"/>
      <c r="R201" s="169"/>
      <c r="S201" s="458"/>
      <c r="T201" s="169"/>
      <c r="U201" s="169"/>
      <c r="V201" s="169"/>
      <c r="W201" s="169"/>
      <c r="X201" s="169"/>
      <c r="Y201" s="169"/>
      <c r="Z201" s="169"/>
      <c r="AA201" s="169"/>
      <c r="AB201" s="169"/>
      <c r="AC201" s="169"/>
      <c r="AD201" s="169"/>
      <c r="AE201" s="169"/>
      <c r="AF201" s="169"/>
      <c r="AG201" s="617"/>
      <c r="AH201" s="169"/>
      <c r="AI201" s="629"/>
      <c r="AJ201" s="169"/>
      <c r="AL201" s="169"/>
      <c r="AM201" s="169"/>
      <c r="AN201" s="454"/>
      <c r="AO201" s="178"/>
      <c r="AP201" s="178"/>
      <c r="AW201" s="458"/>
      <c r="AX201" s="458"/>
      <c r="BA201" s="1305"/>
      <c r="BC201" s="169"/>
    </row>
    <row r="202" spans="1:59" ht="15.75" customHeight="1">
      <c r="A202" s="174"/>
      <c r="B202" s="642"/>
      <c r="C202" s="617"/>
      <c r="D202" s="618"/>
      <c r="E202" s="618"/>
      <c r="F202" s="179"/>
      <c r="G202" s="458"/>
      <c r="H202" s="618"/>
      <c r="J202" s="617"/>
      <c r="K202" s="169"/>
      <c r="L202" s="169"/>
      <c r="M202" s="169"/>
      <c r="P202" s="618"/>
      <c r="Q202" s="169"/>
      <c r="R202" s="169"/>
      <c r="S202" s="458"/>
      <c r="T202" s="169"/>
      <c r="U202" s="169"/>
      <c r="V202" s="169"/>
      <c r="W202" s="169"/>
      <c r="X202" s="169"/>
      <c r="Y202" s="169"/>
      <c r="Z202" s="169"/>
      <c r="AA202" s="169"/>
      <c r="AB202" s="169"/>
      <c r="AC202" s="169"/>
      <c r="AD202" s="169"/>
      <c r="AE202" s="169"/>
      <c r="AF202" s="169"/>
      <c r="AG202" s="617"/>
      <c r="AH202" s="169"/>
      <c r="AI202" s="629"/>
      <c r="AJ202" s="618"/>
      <c r="AK202" s="618"/>
      <c r="AL202" s="618"/>
      <c r="AM202" s="618"/>
      <c r="AN202" s="454"/>
      <c r="AO202" s="178"/>
      <c r="AP202" s="178"/>
      <c r="BA202" s="1305"/>
      <c r="BB202" s="174"/>
      <c r="BC202" s="169"/>
      <c r="BD202" s="1324"/>
      <c r="BE202" s="1324"/>
      <c r="BF202" s="1324"/>
      <c r="BG202" s="1324"/>
    </row>
    <row r="203" spans="1:59" ht="15.75" customHeight="1">
      <c r="A203" s="174"/>
      <c r="B203" s="618"/>
      <c r="C203" s="617"/>
      <c r="D203" s="618"/>
      <c r="E203" s="618"/>
      <c r="F203" s="618"/>
      <c r="G203" s="458"/>
      <c r="H203" s="618"/>
      <c r="L203" s="618"/>
      <c r="M203" s="618"/>
      <c r="N203" s="618"/>
      <c r="O203" s="618"/>
      <c r="P203" s="618"/>
      <c r="Q203" s="169"/>
      <c r="R203" s="169"/>
      <c r="S203" s="458"/>
      <c r="T203" s="169"/>
      <c r="U203" s="169"/>
      <c r="V203" s="169"/>
      <c r="W203" s="169"/>
      <c r="X203" s="169"/>
      <c r="Y203" s="169"/>
      <c r="Z203" s="169"/>
      <c r="AA203" s="169"/>
      <c r="AB203" s="169"/>
      <c r="AC203" s="169"/>
      <c r="AD203" s="169"/>
      <c r="AE203" s="169"/>
      <c r="AF203" s="169"/>
      <c r="AG203" s="617"/>
      <c r="AH203" s="169"/>
      <c r="AI203" s="629"/>
      <c r="AJ203" s="618"/>
      <c r="AK203" s="618"/>
      <c r="AL203" s="618"/>
      <c r="AM203" s="618"/>
      <c r="AN203" s="458"/>
      <c r="AO203" s="618"/>
      <c r="AP203" s="618"/>
      <c r="BA203" s="1318"/>
      <c r="BB203" s="174"/>
      <c r="BC203" s="169"/>
      <c r="BD203" s="1324"/>
      <c r="BE203" s="1324"/>
      <c r="BF203" s="1324"/>
      <c r="BG203" s="1324"/>
    </row>
    <row r="204" spans="1:59" ht="15.75" customHeight="1">
      <c r="A204" s="174"/>
      <c r="B204" s="642"/>
      <c r="C204" s="617"/>
      <c r="D204" s="618"/>
      <c r="E204" s="618"/>
      <c r="F204" s="618"/>
      <c r="G204" s="458"/>
      <c r="H204" s="618"/>
      <c r="I204" s="618"/>
      <c r="J204" s="617"/>
      <c r="K204" s="169"/>
      <c r="L204" s="618"/>
      <c r="M204" s="618"/>
      <c r="N204" s="618"/>
      <c r="O204" s="618"/>
      <c r="P204" s="618"/>
      <c r="Q204" s="169"/>
      <c r="R204" s="169"/>
      <c r="S204" s="458"/>
      <c r="T204" s="169"/>
      <c r="U204" s="169"/>
      <c r="V204" s="169"/>
      <c r="W204" s="169"/>
      <c r="X204" s="169"/>
      <c r="Y204" s="169"/>
      <c r="Z204" s="169"/>
      <c r="AA204" s="169"/>
      <c r="AB204" s="169"/>
      <c r="AC204" s="169"/>
      <c r="AD204" s="169"/>
      <c r="AE204" s="169"/>
      <c r="AF204" s="169"/>
      <c r="AG204" s="617"/>
      <c r="AH204" s="169"/>
      <c r="AI204" s="629"/>
      <c r="AJ204" s="618"/>
      <c r="AK204" s="618"/>
      <c r="AL204" s="618"/>
      <c r="AM204" s="618"/>
      <c r="AN204" s="454"/>
      <c r="AO204" s="178"/>
      <c r="AP204" s="178"/>
      <c r="BA204" s="1305"/>
      <c r="BB204" s="174"/>
      <c r="BC204" s="169"/>
      <c r="BD204" s="1324"/>
      <c r="BE204" s="1324"/>
      <c r="BF204" s="1324"/>
      <c r="BG204" s="1324"/>
    </row>
    <row r="205" spans="1:59" ht="15.75" customHeight="1">
      <c r="A205" s="174"/>
      <c r="B205" s="618"/>
      <c r="C205" s="617"/>
      <c r="D205" s="618"/>
      <c r="E205" s="618"/>
      <c r="F205" s="618"/>
      <c r="G205" s="458"/>
      <c r="H205" s="618"/>
      <c r="I205" s="454"/>
      <c r="J205" s="617"/>
      <c r="K205" s="618"/>
      <c r="L205" s="618"/>
      <c r="M205" s="618"/>
      <c r="N205" s="618"/>
      <c r="O205" s="618"/>
      <c r="P205" s="618"/>
      <c r="Q205" s="169"/>
      <c r="R205" s="169"/>
      <c r="S205" s="458"/>
      <c r="T205" s="169"/>
      <c r="U205" s="169"/>
      <c r="V205" s="169"/>
      <c r="W205" s="169"/>
      <c r="X205" s="169"/>
      <c r="Y205" s="169"/>
      <c r="Z205" s="169"/>
      <c r="AA205" s="169"/>
      <c r="AB205" s="169"/>
      <c r="AC205" s="169"/>
      <c r="AD205" s="169"/>
      <c r="AE205" s="169"/>
      <c r="AF205" s="169"/>
      <c r="AG205" s="617"/>
      <c r="AH205" s="169"/>
      <c r="AI205" s="629"/>
      <c r="AJ205" s="618"/>
      <c r="AK205" s="618"/>
      <c r="AL205" s="618"/>
      <c r="AM205" s="618"/>
      <c r="AN205" s="458"/>
      <c r="AO205" s="618"/>
      <c r="AP205" s="618"/>
      <c r="BA205" s="1305"/>
      <c r="BB205" s="174"/>
      <c r="BC205" s="169"/>
      <c r="BD205" s="1324"/>
      <c r="BE205" s="1324"/>
      <c r="BF205" s="1324"/>
      <c r="BG205" s="1324"/>
    </row>
    <row r="206" spans="1:59" ht="15.75" customHeight="1">
      <c r="B206" s="180"/>
      <c r="C206" s="617"/>
      <c r="D206" s="177"/>
      <c r="E206" s="177"/>
      <c r="G206" s="458"/>
      <c r="I206" s="182"/>
      <c r="J206" s="617"/>
      <c r="K206" s="169"/>
      <c r="L206" s="169"/>
      <c r="M206" s="169"/>
      <c r="P206" s="169"/>
      <c r="Q206" s="169"/>
      <c r="R206" s="169"/>
      <c r="S206" s="458"/>
      <c r="T206" s="169"/>
      <c r="U206" s="169"/>
      <c r="V206" s="169"/>
      <c r="W206" s="169"/>
      <c r="X206" s="169"/>
      <c r="Y206" s="169"/>
      <c r="Z206" s="169"/>
      <c r="AA206" s="169"/>
      <c r="AB206" s="169"/>
      <c r="AC206" s="169"/>
      <c r="AD206" s="169"/>
      <c r="AE206" s="169"/>
      <c r="AF206" s="169"/>
      <c r="AG206" s="617"/>
      <c r="AH206" s="169"/>
      <c r="AI206" s="629"/>
      <c r="AJ206" s="169"/>
      <c r="AL206" s="169"/>
      <c r="AM206" s="618"/>
      <c r="AN206" s="454"/>
      <c r="AO206" s="178"/>
      <c r="AP206" s="178"/>
      <c r="BA206" s="1305"/>
      <c r="BC206" s="169"/>
    </row>
    <row r="207" spans="1:59" ht="15.75" customHeight="1">
      <c r="B207" s="175"/>
      <c r="C207" s="617"/>
      <c r="D207" s="177"/>
      <c r="E207" s="177"/>
      <c r="G207" s="458"/>
      <c r="I207" s="179"/>
      <c r="J207" s="617"/>
      <c r="K207" s="169"/>
      <c r="L207" s="169"/>
      <c r="M207" s="169"/>
      <c r="P207" s="169"/>
      <c r="Q207" s="169"/>
      <c r="R207" s="169"/>
      <c r="S207" s="458"/>
      <c r="T207" s="169"/>
      <c r="U207" s="169"/>
      <c r="V207" s="169"/>
      <c r="W207" s="169"/>
      <c r="X207" s="169"/>
      <c r="Y207" s="169"/>
      <c r="Z207" s="169"/>
      <c r="AA207" s="169"/>
      <c r="AB207" s="169"/>
      <c r="AC207" s="169"/>
      <c r="AD207" s="169"/>
      <c r="AE207" s="169"/>
      <c r="AF207" s="169"/>
      <c r="AG207" s="617"/>
      <c r="AH207" s="169"/>
      <c r="AI207" s="629"/>
      <c r="AJ207" s="169"/>
      <c r="AL207" s="169"/>
      <c r="AM207" s="169"/>
      <c r="AN207" s="454"/>
      <c r="AO207" s="178"/>
      <c r="AP207" s="178"/>
      <c r="BA207" s="1305"/>
      <c r="BC207" s="169"/>
    </row>
    <row r="208" spans="1:59" ht="15.75" customHeight="1">
      <c r="B208" s="180"/>
      <c r="C208" s="617"/>
      <c r="D208" s="177"/>
      <c r="E208" s="177"/>
      <c r="G208" s="458"/>
      <c r="I208" s="618"/>
      <c r="J208" s="617"/>
      <c r="K208" s="169"/>
      <c r="L208" s="169"/>
      <c r="M208" s="169"/>
      <c r="P208" s="169"/>
      <c r="Q208" s="169"/>
      <c r="R208" s="169"/>
      <c r="S208" s="458"/>
      <c r="T208" s="169"/>
      <c r="U208" s="169"/>
      <c r="V208" s="169"/>
      <c r="W208" s="169"/>
      <c r="X208" s="169"/>
      <c r="Y208" s="169"/>
      <c r="Z208" s="169"/>
      <c r="AA208" s="169"/>
      <c r="AB208" s="169"/>
      <c r="AC208" s="169"/>
      <c r="AD208" s="169"/>
      <c r="AE208" s="169"/>
      <c r="AF208" s="169"/>
      <c r="AG208" s="617"/>
      <c r="AH208" s="169"/>
      <c r="AI208" s="629"/>
      <c r="AJ208" s="169"/>
      <c r="AL208" s="169"/>
      <c r="AM208" s="618"/>
      <c r="AN208" s="454"/>
      <c r="AO208" s="178"/>
      <c r="AP208" s="178"/>
      <c r="BA208" s="1305"/>
      <c r="BC208" s="169"/>
    </row>
    <row r="209" spans="1:59" ht="15.75" customHeight="1">
      <c r="B209" s="175"/>
      <c r="C209" s="617"/>
      <c r="D209" s="177"/>
      <c r="E209" s="177"/>
      <c r="G209" s="458"/>
      <c r="I209" s="454"/>
      <c r="J209" s="617"/>
      <c r="K209" s="169"/>
      <c r="L209" s="169"/>
      <c r="M209" s="169"/>
      <c r="P209" s="169"/>
      <c r="Q209" s="169"/>
      <c r="R209" s="169"/>
      <c r="S209" s="458"/>
      <c r="T209" s="169"/>
      <c r="U209" s="169"/>
      <c r="V209" s="169"/>
      <c r="W209" s="169"/>
      <c r="X209" s="169"/>
      <c r="Y209" s="169"/>
      <c r="Z209" s="169"/>
      <c r="AA209" s="169"/>
      <c r="AB209" s="169"/>
      <c r="AC209" s="169"/>
      <c r="AD209" s="169"/>
      <c r="AE209" s="169"/>
      <c r="AF209" s="169"/>
      <c r="AG209" s="617"/>
      <c r="AH209" s="169"/>
      <c r="AI209" s="629"/>
      <c r="AJ209" s="169"/>
      <c r="AL209" s="169"/>
      <c r="AM209" s="169"/>
      <c r="AN209" s="454"/>
      <c r="AO209" s="178"/>
      <c r="AP209" s="178"/>
      <c r="AW209" s="458"/>
      <c r="AX209" s="458"/>
      <c r="BA209" s="1305"/>
      <c r="BC209" s="169"/>
    </row>
    <row r="210" spans="1:59" ht="15.75" customHeight="1">
      <c r="A210" s="174"/>
      <c r="B210" s="642"/>
      <c r="C210" s="617"/>
      <c r="D210" s="618"/>
      <c r="E210" s="618"/>
      <c r="F210" s="179"/>
      <c r="G210" s="458"/>
      <c r="H210" s="618"/>
      <c r="J210" s="617"/>
      <c r="K210" s="169"/>
      <c r="L210" s="169"/>
      <c r="M210" s="169"/>
      <c r="P210" s="618"/>
      <c r="Q210" s="169"/>
      <c r="R210" s="169"/>
      <c r="S210" s="458"/>
      <c r="T210" s="169"/>
      <c r="U210" s="169"/>
      <c r="V210" s="169"/>
      <c r="W210" s="169"/>
      <c r="X210" s="169"/>
      <c r="Y210" s="169"/>
      <c r="Z210" s="169"/>
      <c r="AA210" s="169"/>
      <c r="AB210" s="169"/>
      <c r="AC210" s="169"/>
      <c r="AD210" s="169"/>
      <c r="AE210" s="169"/>
      <c r="AF210" s="169"/>
      <c r="AG210" s="617"/>
      <c r="AH210" s="169"/>
      <c r="AI210" s="629"/>
      <c r="AJ210" s="618"/>
      <c r="AK210" s="618"/>
      <c r="AL210" s="618"/>
      <c r="AM210" s="618"/>
      <c r="AN210" s="454"/>
      <c r="AO210" s="178"/>
      <c r="AP210" s="178"/>
      <c r="BA210" s="1305"/>
      <c r="BB210" s="174"/>
      <c r="BC210" s="169"/>
      <c r="BD210" s="1324"/>
      <c r="BE210" s="1324"/>
      <c r="BF210" s="1324"/>
      <c r="BG210" s="1324"/>
    </row>
    <row r="211" spans="1:59" ht="15.75" customHeight="1">
      <c r="A211" s="174"/>
      <c r="B211" s="618"/>
      <c r="C211" s="617"/>
      <c r="D211" s="618"/>
      <c r="E211" s="618"/>
      <c r="F211" s="618"/>
      <c r="G211" s="458"/>
      <c r="H211" s="618"/>
      <c r="L211" s="618"/>
      <c r="M211" s="618"/>
      <c r="N211" s="618"/>
      <c r="O211" s="618"/>
      <c r="P211" s="618"/>
      <c r="Q211" s="169"/>
      <c r="R211" s="169"/>
      <c r="S211" s="458"/>
      <c r="T211" s="169"/>
      <c r="U211" s="169"/>
      <c r="V211" s="169"/>
      <c r="W211" s="169"/>
      <c r="X211" s="169"/>
      <c r="Y211" s="169"/>
      <c r="Z211" s="169"/>
      <c r="AA211" s="169"/>
      <c r="AB211" s="169"/>
      <c r="AC211" s="169"/>
      <c r="AD211" s="169"/>
      <c r="AE211" s="169"/>
      <c r="AF211" s="169"/>
      <c r="AG211" s="617"/>
      <c r="AH211" s="169"/>
      <c r="AI211" s="629"/>
      <c r="AJ211" s="618"/>
      <c r="AK211" s="618"/>
      <c r="AL211" s="618"/>
      <c r="AM211" s="618"/>
      <c r="AN211" s="458"/>
      <c r="AO211" s="618"/>
      <c r="AP211" s="618"/>
      <c r="BA211" s="1318"/>
      <c r="BB211" s="174"/>
      <c r="BC211" s="169"/>
      <c r="BD211" s="1324"/>
      <c r="BE211" s="1324"/>
      <c r="BF211" s="1324"/>
      <c r="BG211" s="1324"/>
    </row>
    <row r="212" spans="1:59" ht="15.75" customHeight="1">
      <c r="A212" s="174"/>
      <c r="B212" s="642"/>
      <c r="C212" s="617"/>
      <c r="D212" s="618"/>
      <c r="E212" s="618"/>
      <c r="F212" s="618"/>
      <c r="G212" s="458"/>
      <c r="H212" s="618"/>
      <c r="I212" s="618"/>
      <c r="J212" s="617"/>
      <c r="K212" s="169"/>
      <c r="L212" s="618"/>
      <c r="M212" s="618"/>
      <c r="N212" s="618"/>
      <c r="O212" s="618"/>
      <c r="P212" s="618"/>
      <c r="Q212" s="169"/>
      <c r="R212" s="169"/>
      <c r="S212" s="458"/>
      <c r="T212" s="169"/>
      <c r="U212" s="169"/>
      <c r="V212" s="169"/>
      <c r="W212" s="169"/>
      <c r="X212" s="169"/>
      <c r="Y212" s="169"/>
      <c r="Z212" s="169"/>
      <c r="AA212" s="169"/>
      <c r="AB212" s="169"/>
      <c r="AC212" s="169"/>
      <c r="AD212" s="169"/>
      <c r="AE212" s="169"/>
      <c r="AF212" s="169"/>
      <c r="AG212" s="617"/>
      <c r="AH212" s="169"/>
      <c r="AI212" s="629"/>
      <c r="AJ212" s="618"/>
      <c r="AK212" s="618"/>
      <c r="AL212" s="618"/>
      <c r="AM212" s="618"/>
      <c r="AN212" s="454"/>
      <c r="AO212" s="178"/>
      <c r="AP212" s="178"/>
      <c r="BA212" s="1305"/>
      <c r="BB212" s="174"/>
      <c r="BC212" s="169"/>
      <c r="BD212" s="1324"/>
      <c r="BE212" s="1324"/>
      <c r="BF212" s="1324"/>
      <c r="BG212" s="1324"/>
    </row>
    <row r="213" spans="1:59" ht="15.75" customHeight="1">
      <c r="A213" s="174"/>
      <c r="B213" s="618"/>
      <c r="C213" s="617"/>
      <c r="D213" s="618"/>
      <c r="E213" s="618"/>
      <c r="F213" s="618"/>
      <c r="G213" s="458"/>
      <c r="H213" s="618"/>
      <c r="I213" s="454"/>
      <c r="J213" s="617"/>
      <c r="K213" s="618"/>
      <c r="L213" s="618"/>
      <c r="M213" s="618"/>
      <c r="N213" s="618"/>
      <c r="O213" s="618"/>
      <c r="P213" s="618"/>
      <c r="Q213" s="169"/>
      <c r="R213" s="169"/>
      <c r="S213" s="458"/>
      <c r="T213" s="169"/>
      <c r="U213" s="169"/>
      <c r="V213" s="169"/>
      <c r="W213" s="169"/>
      <c r="X213" s="169"/>
      <c r="Y213" s="169"/>
      <c r="Z213" s="169"/>
      <c r="AA213" s="169"/>
      <c r="AB213" s="169"/>
      <c r="AC213" s="169"/>
      <c r="AD213" s="169"/>
      <c r="AE213" s="169"/>
      <c r="AF213" s="169"/>
      <c r="AG213" s="617"/>
      <c r="AH213" s="169"/>
      <c r="AI213" s="629"/>
      <c r="AJ213" s="618"/>
      <c r="AK213" s="618"/>
      <c r="AL213" s="618"/>
      <c r="AM213" s="618"/>
      <c r="AN213" s="458"/>
      <c r="AO213" s="618"/>
      <c r="AP213" s="618"/>
      <c r="BA213" s="1305"/>
      <c r="BB213" s="174"/>
      <c r="BC213" s="169"/>
      <c r="BD213" s="1324"/>
      <c r="BE213" s="1324"/>
      <c r="BF213" s="1324"/>
      <c r="BG213" s="1324"/>
    </row>
    <row r="214" spans="1:59" ht="15.75" customHeight="1">
      <c r="B214" s="180"/>
      <c r="C214" s="617"/>
      <c r="D214" s="177"/>
      <c r="E214" s="177"/>
      <c r="G214" s="458"/>
      <c r="I214" s="182"/>
      <c r="J214" s="617"/>
      <c r="K214" s="169"/>
      <c r="L214" s="169"/>
      <c r="M214" s="169"/>
      <c r="P214" s="169"/>
      <c r="Q214" s="169"/>
      <c r="R214" s="169"/>
      <c r="S214" s="458"/>
      <c r="T214" s="169"/>
      <c r="U214" s="169"/>
      <c r="V214" s="169"/>
      <c r="W214" s="169"/>
      <c r="X214" s="169"/>
      <c r="Y214" s="169"/>
      <c r="Z214" s="169"/>
      <c r="AA214" s="169"/>
      <c r="AB214" s="169"/>
      <c r="AC214" s="169"/>
      <c r="AD214" s="169"/>
      <c r="AE214" s="169"/>
      <c r="AF214" s="169"/>
      <c r="AG214" s="617"/>
      <c r="AH214" s="169"/>
      <c r="AI214" s="629"/>
      <c r="AJ214" s="169"/>
      <c r="AL214" s="169"/>
      <c r="AM214" s="618"/>
      <c r="AN214" s="454"/>
      <c r="AO214" s="178"/>
      <c r="AP214" s="178"/>
      <c r="BA214" s="1305"/>
      <c r="BC214" s="169"/>
    </row>
    <row r="215" spans="1:59" ht="15.75" customHeight="1">
      <c r="B215" s="175"/>
      <c r="C215" s="617"/>
      <c r="D215" s="177"/>
      <c r="E215" s="177"/>
      <c r="G215" s="458"/>
      <c r="I215" s="179"/>
      <c r="J215" s="617"/>
      <c r="K215" s="169"/>
      <c r="L215" s="169"/>
      <c r="M215" s="169"/>
      <c r="P215" s="169"/>
      <c r="Q215" s="169"/>
      <c r="R215" s="169"/>
      <c r="S215" s="458"/>
      <c r="T215" s="169"/>
      <c r="U215" s="169"/>
      <c r="V215" s="169"/>
      <c r="W215" s="169"/>
      <c r="X215" s="169"/>
      <c r="Y215" s="169"/>
      <c r="Z215" s="169"/>
      <c r="AA215" s="169"/>
      <c r="AB215" s="169"/>
      <c r="AC215" s="169"/>
      <c r="AD215" s="169"/>
      <c r="AE215" s="169"/>
      <c r="AF215" s="169"/>
      <c r="AG215" s="617"/>
      <c r="AH215" s="169"/>
      <c r="AI215" s="629"/>
      <c r="AJ215" s="169"/>
      <c r="AL215" s="169"/>
      <c r="AM215" s="169"/>
      <c r="AN215" s="454"/>
      <c r="AO215" s="178"/>
      <c r="AP215" s="178"/>
      <c r="BA215" s="1305"/>
      <c r="BC215" s="169"/>
    </row>
    <row r="216" spans="1:59" ht="15.75" customHeight="1">
      <c r="B216" s="180"/>
      <c r="C216" s="617"/>
      <c r="D216" s="177"/>
      <c r="E216" s="177"/>
      <c r="G216" s="458"/>
      <c r="I216" s="618"/>
      <c r="J216" s="617"/>
      <c r="K216" s="169"/>
      <c r="L216" s="169"/>
      <c r="M216" s="169"/>
      <c r="P216" s="169"/>
      <c r="Q216" s="169"/>
      <c r="R216" s="169"/>
      <c r="S216" s="458"/>
      <c r="T216" s="169"/>
      <c r="U216" s="169"/>
      <c r="V216" s="169"/>
      <c r="W216" s="169"/>
      <c r="X216" s="169"/>
      <c r="Y216" s="169"/>
      <c r="Z216" s="169"/>
      <c r="AA216" s="169"/>
      <c r="AB216" s="169"/>
      <c r="AC216" s="169"/>
      <c r="AD216" s="169"/>
      <c r="AE216" s="169"/>
      <c r="AF216" s="169"/>
      <c r="AG216" s="617"/>
      <c r="AH216" s="169"/>
      <c r="AI216" s="629"/>
      <c r="AJ216" s="169"/>
      <c r="AL216" s="169"/>
      <c r="AM216" s="618"/>
      <c r="AN216" s="454"/>
      <c r="AO216" s="178"/>
      <c r="AP216" s="178"/>
      <c r="BA216" s="1305"/>
      <c r="BC216" s="169"/>
    </row>
    <row r="217" spans="1:59" ht="15.75" customHeight="1">
      <c r="B217" s="175"/>
      <c r="C217" s="617"/>
      <c r="D217" s="177"/>
      <c r="E217" s="177"/>
      <c r="G217" s="458"/>
      <c r="I217" s="454"/>
      <c r="J217" s="617"/>
      <c r="K217" s="169"/>
      <c r="L217" s="169"/>
      <c r="M217" s="169"/>
      <c r="P217" s="169"/>
      <c r="Q217" s="169"/>
      <c r="R217" s="169"/>
      <c r="S217" s="458"/>
      <c r="T217" s="169"/>
      <c r="U217" s="169"/>
      <c r="V217" s="169"/>
      <c r="W217" s="169"/>
      <c r="X217" s="169"/>
      <c r="Y217" s="169"/>
      <c r="Z217" s="169"/>
      <c r="AA217" s="169"/>
      <c r="AB217" s="169"/>
      <c r="AC217" s="169"/>
      <c r="AD217" s="169"/>
      <c r="AE217" s="169"/>
      <c r="AF217" s="169"/>
      <c r="AG217" s="617"/>
      <c r="AH217" s="169"/>
      <c r="AI217" s="629"/>
      <c r="AJ217" s="169"/>
      <c r="AL217" s="169"/>
      <c r="AM217" s="169"/>
      <c r="AN217" s="454"/>
      <c r="AO217" s="178"/>
      <c r="AP217" s="178"/>
      <c r="AW217" s="458"/>
      <c r="AX217" s="458"/>
      <c r="BA217" s="1305"/>
      <c r="BC217" s="169"/>
    </row>
    <row r="218" spans="1:59" ht="15.75" customHeight="1">
      <c r="A218" s="174"/>
      <c r="B218" s="642"/>
      <c r="C218" s="617"/>
      <c r="D218" s="618"/>
      <c r="E218" s="618"/>
      <c r="F218" s="179"/>
      <c r="G218" s="458"/>
      <c r="H218" s="618"/>
      <c r="J218" s="617"/>
      <c r="K218" s="169"/>
      <c r="L218" s="169"/>
      <c r="M218" s="169"/>
      <c r="P218" s="618"/>
      <c r="Q218" s="169"/>
      <c r="R218" s="169"/>
      <c r="S218" s="458"/>
      <c r="T218" s="169"/>
      <c r="U218" s="169"/>
      <c r="V218" s="169"/>
      <c r="W218" s="169"/>
      <c r="X218" s="169"/>
      <c r="Y218" s="169"/>
      <c r="Z218" s="169"/>
      <c r="AA218" s="169"/>
      <c r="AB218" s="169"/>
      <c r="AC218" s="169"/>
      <c r="AD218" s="169"/>
      <c r="AE218" s="169"/>
      <c r="AF218" s="169"/>
      <c r="AG218" s="617"/>
      <c r="AH218" s="169"/>
      <c r="AI218" s="629"/>
      <c r="AJ218" s="618"/>
      <c r="AK218" s="618"/>
      <c r="AL218" s="618"/>
      <c r="AM218" s="618"/>
      <c r="AN218" s="454"/>
      <c r="AO218" s="178"/>
      <c r="AP218" s="178"/>
      <c r="BA218" s="1305"/>
      <c r="BB218" s="174"/>
      <c r="BC218" s="169"/>
      <c r="BD218" s="1324"/>
      <c r="BE218" s="1324"/>
      <c r="BF218" s="1324"/>
      <c r="BG218" s="1324"/>
    </row>
    <row r="219" spans="1:59" ht="15.75" customHeight="1">
      <c r="A219" s="174"/>
      <c r="B219" s="618"/>
      <c r="C219" s="617"/>
      <c r="D219" s="618"/>
      <c r="E219" s="618"/>
      <c r="F219" s="618"/>
      <c r="G219" s="458"/>
      <c r="H219" s="618"/>
      <c r="L219" s="618"/>
      <c r="M219" s="618"/>
      <c r="N219" s="618"/>
      <c r="O219" s="618"/>
      <c r="P219" s="618"/>
      <c r="Q219" s="169"/>
      <c r="R219" s="169"/>
      <c r="S219" s="458"/>
      <c r="T219" s="169"/>
      <c r="U219" s="169"/>
      <c r="V219" s="169"/>
      <c r="W219" s="169"/>
      <c r="X219" s="169"/>
      <c r="Y219" s="169"/>
      <c r="Z219" s="169"/>
      <c r="AA219" s="169"/>
      <c r="AB219" s="169"/>
      <c r="AC219" s="169"/>
      <c r="AD219" s="169"/>
      <c r="AE219" s="169"/>
      <c r="AF219" s="169"/>
      <c r="AG219" s="617"/>
      <c r="AH219" s="169"/>
      <c r="AI219" s="629"/>
      <c r="AJ219" s="618"/>
      <c r="AK219" s="618"/>
      <c r="AL219" s="618"/>
      <c r="AM219" s="618"/>
      <c r="AN219" s="458"/>
      <c r="AO219" s="618"/>
      <c r="AP219" s="618"/>
      <c r="BA219" s="1318"/>
      <c r="BB219" s="174"/>
      <c r="BC219" s="169"/>
      <c r="BD219" s="1324"/>
      <c r="BE219" s="1324"/>
      <c r="BF219" s="1324"/>
      <c r="BG219" s="1324"/>
    </row>
    <row r="220" spans="1:59" ht="15.75" customHeight="1">
      <c r="A220" s="174"/>
      <c r="B220" s="642"/>
      <c r="C220" s="617"/>
      <c r="D220" s="618"/>
      <c r="E220" s="618"/>
      <c r="F220" s="618"/>
      <c r="G220" s="458"/>
      <c r="H220" s="618"/>
      <c r="I220" s="618"/>
      <c r="J220" s="617"/>
      <c r="K220" s="169"/>
      <c r="L220" s="618"/>
      <c r="M220" s="618"/>
      <c r="N220" s="618"/>
      <c r="O220" s="618"/>
      <c r="P220" s="618"/>
      <c r="Q220" s="169"/>
      <c r="R220" s="169"/>
      <c r="S220" s="458"/>
      <c r="T220" s="169"/>
      <c r="U220" s="169"/>
      <c r="V220" s="169"/>
      <c r="W220" s="169"/>
      <c r="X220" s="169"/>
      <c r="Y220" s="169"/>
      <c r="Z220" s="169"/>
      <c r="AA220" s="169"/>
      <c r="AB220" s="169"/>
      <c r="AC220" s="169"/>
      <c r="AD220" s="169"/>
      <c r="AE220" s="169"/>
      <c r="AF220" s="169"/>
      <c r="AG220" s="617"/>
      <c r="AH220" s="169"/>
      <c r="AI220" s="629"/>
      <c r="AJ220" s="618"/>
      <c r="AK220" s="618"/>
      <c r="AL220" s="618"/>
      <c r="AM220" s="618"/>
      <c r="AN220" s="454"/>
      <c r="AO220" s="178"/>
      <c r="AP220" s="178"/>
      <c r="BA220" s="1305"/>
      <c r="BB220" s="174"/>
      <c r="BC220" s="169"/>
      <c r="BD220" s="1324"/>
      <c r="BE220" s="1324"/>
      <c r="BF220" s="1324"/>
      <c r="BG220" s="1324"/>
    </row>
    <row r="221" spans="1:59" ht="15.75" customHeight="1">
      <c r="A221" s="174"/>
      <c r="B221" s="618"/>
      <c r="C221" s="617"/>
      <c r="D221" s="618"/>
      <c r="E221" s="618"/>
      <c r="F221" s="618"/>
      <c r="G221" s="458"/>
      <c r="H221" s="618"/>
      <c r="I221" s="454"/>
      <c r="J221" s="617"/>
      <c r="K221" s="618"/>
      <c r="L221" s="618"/>
      <c r="M221" s="618"/>
      <c r="N221" s="618"/>
      <c r="O221" s="618"/>
      <c r="P221" s="618"/>
      <c r="Q221" s="169"/>
      <c r="R221" s="169"/>
      <c r="S221" s="458"/>
      <c r="T221" s="169"/>
      <c r="U221" s="169"/>
      <c r="V221" s="169"/>
      <c r="W221" s="169"/>
      <c r="X221" s="169"/>
      <c r="Y221" s="169"/>
      <c r="Z221" s="169"/>
      <c r="AA221" s="169"/>
      <c r="AB221" s="169"/>
      <c r="AC221" s="169"/>
      <c r="AD221" s="169"/>
      <c r="AE221" s="169"/>
      <c r="AF221" s="169"/>
      <c r="AG221" s="617"/>
      <c r="AH221" s="169"/>
      <c r="AI221" s="629"/>
      <c r="AJ221" s="618"/>
      <c r="AK221" s="618"/>
      <c r="AL221" s="618"/>
      <c r="AM221" s="618"/>
      <c r="AN221" s="458"/>
      <c r="AO221" s="618"/>
      <c r="AP221" s="618"/>
      <c r="BA221" s="1305"/>
      <c r="BB221" s="174"/>
      <c r="BC221" s="169"/>
      <c r="BD221" s="1324"/>
      <c r="BE221" s="1324"/>
      <c r="BF221" s="1324"/>
      <c r="BG221" s="1324"/>
    </row>
    <row r="222" spans="1:59" ht="15.75" customHeight="1">
      <c r="B222" s="180"/>
      <c r="C222" s="617"/>
      <c r="D222" s="177"/>
      <c r="E222" s="177"/>
      <c r="G222" s="458"/>
      <c r="I222" s="182"/>
      <c r="J222" s="617"/>
      <c r="K222" s="169"/>
      <c r="L222" s="169"/>
      <c r="M222" s="169"/>
      <c r="P222" s="169"/>
      <c r="Q222" s="169"/>
      <c r="R222" s="169"/>
      <c r="S222" s="458"/>
      <c r="T222" s="169"/>
      <c r="U222" s="169"/>
      <c r="V222" s="169"/>
      <c r="W222" s="169"/>
      <c r="X222" s="169"/>
      <c r="Y222" s="169"/>
      <c r="Z222" s="169"/>
      <c r="AA222" s="169"/>
      <c r="AB222" s="169"/>
      <c r="AC222" s="169"/>
      <c r="AD222" s="169"/>
      <c r="AE222" s="169"/>
      <c r="AF222" s="169"/>
      <c r="AG222" s="617"/>
      <c r="AH222" s="169"/>
      <c r="AI222" s="629"/>
      <c r="AJ222" s="169"/>
      <c r="AL222" s="169"/>
      <c r="AM222" s="618"/>
      <c r="AN222" s="454"/>
      <c r="AO222" s="178"/>
      <c r="AP222" s="178"/>
      <c r="BA222" s="1305"/>
      <c r="BC222" s="169"/>
    </row>
    <row r="223" spans="1:59" ht="15.75" customHeight="1">
      <c r="B223" s="175"/>
      <c r="C223" s="617"/>
      <c r="D223" s="177"/>
      <c r="E223" s="177"/>
      <c r="G223" s="458"/>
      <c r="I223" s="179"/>
      <c r="J223" s="617"/>
      <c r="K223" s="169"/>
      <c r="L223" s="169"/>
      <c r="M223" s="169"/>
      <c r="P223" s="169"/>
      <c r="Q223" s="169"/>
      <c r="R223" s="169"/>
      <c r="S223" s="458"/>
      <c r="T223" s="169"/>
      <c r="U223" s="169"/>
      <c r="V223" s="169"/>
      <c r="W223" s="169"/>
      <c r="X223" s="169"/>
      <c r="Y223" s="169"/>
      <c r="Z223" s="169"/>
      <c r="AA223" s="169"/>
      <c r="AB223" s="169"/>
      <c r="AC223" s="169"/>
      <c r="AD223" s="169"/>
      <c r="AE223" s="169"/>
      <c r="AF223" s="169"/>
      <c r="AG223" s="617"/>
      <c r="AH223" s="169"/>
      <c r="AI223" s="629"/>
      <c r="AJ223" s="169"/>
      <c r="AL223" s="169"/>
      <c r="AM223" s="169"/>
      <c r="AN223" s="454"/>
      <c r="AO223" s="178"/>
      <c r="AP223" s="178"/>
      <c r="BA223" s="1305"/>
      <c r="BC223" s="169"/>
    </row>
    <row r="224" spans="1:59" ht="15.75" customHeight="1">
      <c r="B224" s="180"/>
      <c r="C224" s="617"/>
      <c r="D224" s="177"/>
      <c r="E224" s="177"/>
      <c r="G224" s="458"/>
      <c r="I224" s="618"/>
      <c r="J224" s="617"/>
      <c r="K224" s="169"/>
      <c r="L224" s="169"/>
      <c r="M224" s="169"/>
      <c r="P224" s="169"/>
      <c r="Q224" s="169"/>
      <c r="R224" s="169"/>
      <c r="S224" s="458"/>
      <c r="T224" s="169"/>
      <c r="U224" s="169"/>
      <c r="V224" s="169"/>
      <c r="W224" s="169"/>
      <c r="X224" s="169"/>
      <c r="Y224" s="169"/>
      <c r="Z224" s="169"/>
      <c r="AA224" s="169"/>
      <c r="AB224" s="169"/>
      <c r="AC224" s="169"/>
      <c r="AD224" s="169"/>
      <c r="AE224" s="169"/>
      <c r="AF224" s="169"/>
      <c r="AG224" s="617"/>
      <c r="AH224" s="169"/>
      <c r="AI224" s="629"/>
      <c r="AJ224" s="169"/>
      <c r="AL224" s="169"/>
      <c r="AM224" s="618"/>
      <c r="AN224" s="454"/>
      <c r="AO224" s="178"/>
      <c r="AP224" s="178"/>
      <c r="BA224" s="1305"/>
      <c r="BC224" s="169"/>
    </row>
    <row r="225" spans="1:59" ht="15.75" customHeight="1">
      <c r="B225" s="175"/>
      <c r="C225" s="617"/>
      <c r="D225" s="177"/>
      <c r="E225" s="177"/>
      <c r="G225" s="458"/>
      <c r="I225" s="454"/>
      <c r="J225" s="617"/>
      <c r="K225" s="169"/>
      <c r="L225" s="169"/>
      <c r="M225" s="169"/>
      <c r="P225" s="169"/>
      <c r="Q225" s="169"/>
      <c r="R225" s="169"/>
      <c r="S225" s="458"/>
      <c r="T225" s="169"/>
      <c r="U225" s="169"/>
      <c r="V225" s="169"/>
      <c r="W225" s="169"/>
      <c r="X225" s="169"/>
      <c r="Y225" s="169"/>
      <c r="Z225" s="169"/>
      <c r="AA225" s="169"/>
      <c r="AB225" s="169"/>
      <c r="AC225" s="169"/>
      <c r="AD225" s="169"/>
      <c r="AE225" s="169"/>
      <c r="AF225" s="169"/>
      <c r="AG225" s="617"/>
      <c r="AH225" s="169"/>
      <c r="AI225" s="629"/>
      <c r="AJ225" s="169"/>
      <c r="AL225" s="169"/>
      <c r="AM225" s="169"/>
      <c r="AN225" s="454"/>
      <c r="AO225" s="178"/>
      <c r="AP225" s="178"/>
      <c r="AW225" s="458"/>
      <c r="AX225" s="458"/>
      <c r="BA225" s="1305"/>
      <c r="BC225" s="169"/>
    </row>
    <row r="226" spans="1:59" ht="15.75" customHeight="1">
      <c r="A226" s="174"/>
      <c r="B226" s="642"/>
      <c r="C226" s="617"/>
      <c r="D226" s="618"/>
      <c r="E226" s="618"/>
      <c r="F226" s="179"/>
      <c r="G226" s="458"/>
      <c r="H226" s="618"/>
      <c r="J226" s="617"/>
      <c r="K226" s="169"/>
      <c r="L226" s="169"/>
      <c r="M226" s="169"/>
      <c r="P226" s="618"/>
      <c r="Q226" s="169"/>
      <c r="R226" s="169"/>
      <c r="S226" s="458"/>
      <c r="T226" s="169"/>
      <c r="U226" s="169"/>
      <c r="V226" s="169"/>
      <c r="W226" s="169"/>
      <c r="X226" s="169"/>
      <c r="Y226" s="169"/>
      <c r="Z226" s="169"/>
      <c r="AA226" s="169"/>
      <c r="AB226" s="169"/>
      <c r="AC226" s="169"/>
      <c r="AD226" s="169"/>
      <c r="AE226" s="169"/>
      <c r="AF226" s="169"/>
      <c r="AG226" s="617"/>
      <c r="AH226" s="169"/>
      <c r="AI226" s="629"/>
      <c r="AJ226" s="618"/>
      <c r="AK226" s="618"/>
      <c r="AL226" s="618"/>
      <c r="AM226" s="618"/>
      <c r="AN226" s="454"/>
      <c r="AO226" s="178"/>
      <c r="AP226" s="178"/>
      <c r="BA226" s="1305"/>
      <c r="BB226" s="174"/>
      <c r="BC226" s="169"/>
      <c r="BD226" s="1324"/>
      <c r="BE226" s="1324"/>
      <c r="BF226" s="1324"/>
      <c r="BG226" s="1324"/>
    </row>
    <row r="227" spans="1:59" ht="15.75" customHeight="1">
      <c r="A227" s="174"/>
      <c r="B227" s="618"/>
      <c r="C227" s="617"/>
      <c r="D227" s="618"/>
      <c r="E227" s="618"/>
      <c r="F227" s="618"/>
      <c r="G227" s="458"/>
      <c r="H227" s="618"/>
      <c r="L227" s="618"/>
      <c r="M227" s="618"/>
      <c r="N227" s="618"/>
      <c r="O227" s="618"/>
      <c r="P227" s="618"/>
      <c r="Q227" s="169"/>
      <c r="R227" s="169"/>
      <c r="S227" s="458"/>
      <c r="T227" s="169"/>
      <c r="U227" s="169"/>
      <c r="V227" s="169"/>
      <c r="W227" s="169"/>
      <c r="X227" s="169"/>
      <c r="Y227" s="169"/>
      <c r="Z227" s="169"/>
      <c r="AA227" s="169"/>
      <c r="AB227" s="169"/>
      <c r="AC227" s="169"/>
      <c r="AD227" s="169"/>
      <c r="AE227" s="169"/>
      <c r="AF227" s="169"/>
      <c r="AG227" s="617"/>
      <c r="AH227" s="169"/>
      <c r="AI227" s="629"/>
      <c r="AJ227" s="618"/>
      <c r="AK227" s="618"/>
      <c r="AL227" s="618"/>
      <c r="AM227" s="618"/>
      <c r="AN227" s="458"/>
      <c r="AO227" s="618"/>
      <c r="AP227" s="618"/>
      <c r="BA227" s="1318"/>
      <c r="BB227" s="174"/>
      <c r="BC227" s="169"/>
      <c r="BD227" s="1324"/>
      <c r="BE227" s="1324"/>
      <c r="BF227" s="1324"/>
      <c r="BG227" s="1324"/>
    </row>
    <row r="228" spans="1:59" ht="15.75" customHeight="1">
      <c r="A228" s="174"/>
      <c r="B228" s="642"/>
      <c r="C228" s="617"/>
      <c r="D228" s="618"/>
      <c r="E228" s="618"/>
      <c r="F228" s="618"/>
      <c r="G228" s="458"/>
      <c r="H228" s="618"/>
      <c r="I228" s="618"/>
      <c r="J228" s="617"/>
      <c r="K228" s="169"/>
      <c r="L228" s="618"/>
      <c r="M228" s="618"/>
      <c r="N228" s="618"/>
      <c r="O228" s="618"/>
      <c r="P228" s="618"/>
      <c r="Q228" s="169"/>
      <c r="R228" s="169"/>
      <c r="S228" s="458"/>
      <c r="T228" s="169"/>
      <c r="U228" s="169"/>
      <c r="V228" s="169"/>
      <c r="W228" s="169"/>
      <c r="X228" s="169"/>
      <c r="Y228" s="169"/>
      <c r="Z228" s="169"/>
      <c r="AA228" s="169"/>
      <c r="AB228" s="169"/>
      <c r="AC228" s="169"/>
      <c r="AD228" s="169"/>
      <c r="AE228" s="169"/>
      <c r="AF228" s="169"/>
      <c r="AG228" s="617"/>
      <c r="AH228" s="169"/>
      <c r="AI228" s="629"/>
      <c r="AJ228" s="618"/>
      <c r="AK228" s="618"/>
      <c r="AL228" s="618"/>
      <c r="AM228" s="618"/>
      <c r="AN228" s="454"/>
      <c r="AO228" s="178"/>
      <c r="AP228" s="178"/>
      <c r="BA228" s="1305"/>
      <c r="BB228" s="174"/>
      <c r="BC228" s="169"/>
      <c r="BD228" s="1324"/>
      <c r="BE228" s="1324"/>
      <c r="BF228" s="1324"/>
      <c r="BG228" s="1324"/>
    </row>
    <row r="229" spans="1:59" ht="15.75" customHeight="1">
      <c r="A229" s="174"/>
      <c r="B229" s="618"/>
      <c r="C229" s="617"/>
      <c r="D229" s="618"/>
      <c r="E229" s="618"/>
      <c r="F229" s="618"/>
      <c r="G229" s="458"/>
      <c r="H229" s="618"/>
      <c r="I229" s="454"/>
      <c r="J229" s="617"/>
      <c r="K229" s="618"/>
      <c r="L229" s="618"/>
      <c r="M229" s="618"/>
      <c r="N229" s="618"/>
      <c r="O229" s="618"/>
      <c r="P229" s="618"/>
      <c r="Q229" s="169"/>
      <c r="R229" s="169"/>
      <c r="S229" s="458"/>
      <c r="T229" s="169"/>
      <c r="U229" s="169"/>
      <c r="V229" s="169"/>
      <c r="W229" s="169"/>
      <c r="X229" s="169"/>
      <c r="Y229" s="169"/>
      <c r="Z229" s="169"/>
      <c r="AA229" s="169"/>
      <c r="AB229" s="169"/>
      <c r="AC229" s="169"/>
      <c r="AD229" s="169"/>
      <c r="AE229" s="169"/>
      <c r="AF229" s="169"/>
      <c r="AG229" s="617"/>
      <c r="AH229" s="169"/>
      <c r="AI229" s="629"/>
      <c r="AJ229" s="618"/>
      <c r="AK229" s="618"/>
      <c r="AL229" s="618"/>
      <c r="AM229" s="618"/>
      <c r="AN229" s="458"/>
      <c r="AO229" s="618"/>
      <c r="AP229" s="618"/>
      <c r="BA229" s="1305"/>
      <c r="BB229" s="174"/>
      <c r="BC229" s="169"/>
      <c r="BD229" s="1324"/>
      <c r="BE229" s="1324"/>
      <c r="BF229" s="1324"/>
      <c r="BG229" s="1324"/>
    </row>
    <row r="230" spans="1:59" ht="15.75" customHeight="1">
      <c r="B230" s="180"/>
      <c r="C230" s="617"/>
      <c r="D230" s="177"/>
      <c r="E230" s="177"/>
      <c r="G230" s="458"/>
      <c r="I230" s="182"/>
      <c r="J230" s="617"/>
      <c r="K230" s="169"/>
      <c r="L230" s="169"/>
      <c r="M230" s="169"/>
      <c r="P230" s="169"/>
      <c r="Q230" s="169"/>
      <c r="R230" s="169"/>
      <c r="S230" s="458"/>
      <c r="T230" s="169"/>
      <c r="U230" s="169"/>
      <c r="V230" s="169"/>
      <c r="W230" s="169"/>
      <c r="X230" s="169"/>
      <c r="Y230" s="169"/>
      <c r="Z230" s="169"/>
      <c r="AA230" s="169"/>
      <c r="AB230" s="169"/>
      <c r="AC230" s="169"/>
      <c r="AD230" s="169"/>
      <c r="AE230" s="169"/>
      <c r="AF230" s="169"/>
      <c r="AG230" s="617"/>
      <c r="AH230" s="169"/>
      <c r="AI230" s="629"/>
      <c r="AJ230" s="169"/>
      <c r="AL230" s="169"/>
      <c r="AM230" s="618"/>
      <c r="AN230" s="454"/>
      <c r="AO230" s="178"/>
      <c r="AP230" s="178"/>
      <c r="BA230" s="1305"/>
      <c r="BC230" s="169"/>
    </row>
    <row r="231" spans="1:59" ht="15.75" customHeight="1">
      <c r="B231" s="175"/>
      <c r="C231" s="617"/>
      <c r="D231" s="177"/>
      <c r="E231" s="177"/>
      <c r="G231" s="458"/>
      <c r="I231" s="179"/>
      <c r="J231" s="617"/>
      <c r="K231" s="169"/>
      <c r="L231" s="169"/>
      <c r="M231" s="169"/>
      <c r="P231" s="169"/>
      <c r="Q231" s="169"/>
      <c r="R231" s="169"/>
      <c r="S231" s="458"/>
      <c r="T231" s="169"/>
      <c r="U231" s="169"/>
      <c r="V231" s="169"/>
      <c r="W231" s="169"/>
      <c r="X231" s="169"/>
      <c r="Y231" s="169"/>
      <c r="Z231" s="169"/>
      <c r="AA231" s="169"/>
      <c r="AB231" s="169"/>
      <c r="AC231" s="169"/>
      <c r="AD231" s="169"/>
      <c r="AE231" s="169"/>
      <c r="AF231" s="169"/>
      <c r="AG231" s="617"/>
      <c r="AH231" s="169"/>
      <c r="AI231" s="629"/>
      <c r="AJ231" s="169"/>
      <c r="AL231" s="169"/>
      <c r="AM231" s="169"/>
      <c r="AN231" s="454"/>
      <c r="AO231" s="178"/>
      <c r="AP231" s="178"/>
      <c r="BA231" s="1305"/>
      <c r="BC231" s="169"/>
    </row>
    <row r="232" spans="1:59" ht="15.75" customHeight="1">
      <c r="B232" s="180"/>
      <c r="C232" s="617"/>
      <c r="D232" s="177"/>
      <c r="E232" s="177"/>
      <c r="G232" s="458"/>
      <c r="I232" s="618"/>
      <c r="J232" s="617"/>
      <c r="K232" s="169"/>
      <c r="L232" s="169"/>
      <c r="M232" s="169"/>
      <c r="P232" s="169"/>
      <c r="Q232" s="169"/>
      <c r="R232" s="169"/>
      <c r="S232" s="458"/>
      <c r="T232" s="169"/>
      <c r="U232" s="169"/>
      <c r="V232" s="169"/>
      <c r="W232" s="169"/>
      <c r="X232" s="169"/>
      <c r="Y232" s="169"/>
      <c r="Z232" s="169"/>
      <c r="AA232" s="169"/>
      <c r="AB232" s="169"/>
      <c r="AC232" s="169"/>
      <c r="AD232" s="169"/>
      <c r="AE232" s="169"/>
      <c r="AF232" s="169"/>
      <c r="AG232" s="617"/>
      <c r="AH232" s="169"/>
      <c r="AI232" s="629"/>
      <c r="AJ232" s="169"/>
      <c r="AL232" s="169"/>
      <c r="AM232" s="618"/>
      <c r="AN232" s="454"/>
      <c r="AO232" s="178"/>
      <c r="AP232" s="178"/>
      <c r="BA232" s="1305"/>
      <c r="BC232" s="169"/>
    </row>
    <row r="233" spans="1:59" ht="15.75" customHeight="1">
      <c r="B233" s="175"/>
      <c r="C233" s="617"/>
      <c r="D233" s="177"/>
      <c r="E233" s="177"/>
      <c r="G233" s="458"/>
      <c r="I233" s="454"/>
      <c r="J233" s="617"/>
      <c r="K233" s="169"/>
      <c r="L233" s="169"/>
      <c r="M233" s="169"/>
      <c r="P233" s="169"/>
      <c r="Q233" s="169"/>
      <c r="R233" s="169"/>
      <c r="S233" s="458"/>
      <c r="T233" s="169"/>
      <c r="U233" s="169"/>
      <c r="V233" s="169"/>
      <c r="W233" s="169"/>
      <c r="X233" s="169"/>
      <c r="Y233" s="169"/>
      <c r="Z233" s="169"/>
      <c r="AA233" s="169"/>
      <c r="AB233" s="169"/>
      <c r="AC233" s="169"/>
      <c r="AD233" s="169"/>
      <c r="AE233" s="169"/>
      <c r="AF233" s="169"/>
      <c r="AG233" s="617"/>
      <c r="AH233" s="169"/>
      <c r="AI233" s="629"/>
      <c r="AJ233" s="169"/>
      <c r="AL233" s="169"/>
      <c r="AM233" s="169"/>
      <c r="AN233" s="454"/>
      <c r="AO233" s="178"/>
      <c r="AP233" s="178"/>
      <c r="AW233" s="458"/>
      <c r="AX233" s="458"/>
      <c r="BA233" s="1305"/>
      <c r="BC233" s="169"/>
    </row>
    <row r="234" spans="1:59" ht="15.75" customHeight="1">
      <c r="A234" s="174"/>
      <c r="B234" s="642"/>
      <c r="C234" s="617"/>
      <c r="D234" s="618"/>
      <c r="E234" s="618"/>
      <c r="F234" s="179"/>
      <c r="G234" s="458"/>
      <c r="H234" s="618"/>
      <c r="J234" s="617"/>
      <c r="K234" s="169"/>
      <c r="L234" s="169"/>
      <c r="M234" s="169"/>
      <c r="P234" s="618"/>
      <c r="Q234" s="169"/>
      <c r="R234" s="169"/>
      <c r="S234" s="458"/>
      <c r="T234" s="169"/>
      <c r="U234" s="169"/>
      <c r="V234" s="169"/>
      <c r="W234" s="169"/>
      <c r="X234" s="169"/>
      <c r="Y234" s="169"/>
      <c r="Z234" s="169"/>
      <c r="AA234" s="169"/>
      <c r="AB234" s="169"/>
      <c r="AC234" s="169"/>
      <c r="AD234" s="169"/>
      <c r="AE234" s="169"/>
      <c r="AF234" s="169"/>
      <c r="AG234" s="617"/>
      <c r="AH234" s="169"/>
      <c r="AI234" s="629"/>
      <c r="AJ234" s="618"/>
      <c r="AK234" s="618"/>
      <c r="AL234" s="618"/>
      <c r="AM234" s="618"/>
      <c r="AN234" s="454"/>
      <c r="AO234" s="178"/>
      <c r="AP234" s="178"/>
      <c r="BA234" s="1305"/>
      <c r="BB234" s="174"/>
      <c r="BC234" s="169"/>
      <c r="BD234" s="1324"/>
      <c r="BE234" s="1324"/>
      <c r="BF234" s="1324"/>
      <c r="BG234" s="1324"/>
    </row>
    <row r="235" spans="1:59" ht="15.75" customHeight="1">
      <c r="A235" s="174"/>
      <c r="B235" s="618"/>
      <c r="C235" s="617"/>
      <c r="D235" s="618"/>
      <c r="E235" s="618"/>
      <c r="F235" s="618"/>
      <c r="G235" s="458"/>
      <c r="H235" s="618"/>
      <c r="L235" s="618"/>
      <c r="M235" s="618"/>
      <c r="N235" s="618"/>
      <c r="O235" s="618"/>
      <c r="P235" s="618"/>
      <c r="Q235" s="169"/>
      <c r="R235" s="169"/>
      <c r="S235" s="458"/>
      <c r="T235" s="169"/>
      <c r="U235" s="169"/>
      <c r="V235" s="169"/>
      <c r="W235" s="169"/>
      <c r="X235" s="169"/>
      <c r="Y235" s="169"/>
      <c r="Z235" s="169"/>
      <c r="AA235" s="169"/>
      <c r="AB235" s="169"/>
      <c r="AC235" s="169"/>
      <c r="AD235" s="169"/>
      <c r="AE235" s="169"/>
      <c r="AF235" s="169"/>
      <c r="AG235" s="617"/>
      <c r="AH235" s="169"/>
      <c r="AI235" s="629"/>
      <c r="AJ235" s="618"/>
      <c r="AK235" s="618"/>
      <c r="AL235" s="618"/>
      <c r="AM235" s="618"/>
      <c r="AN235" s="458"/>
      <c r="AO235" s="618"/>
      <c r="AP235" s="618"/>
      <c r="BA235" s="1318"/>
      <c r="BB235" s="174"/>
      <c r="BC235" s="169"/>
      <c r="BD235" s="1324"/>
      <c r="BE235" s="1324"/>
      <c r="BF235" s="1324"/>
      <c r="BG235" s="1324"/>
    </row>
    <row r="236" spans="1:59" ht="15.75" customHeight="1">
      <c r="A236" s="174"/>
      <c r="B236" s="642"/>
      <c r="C236" s="617"/>
      <c r="D236" s="618"/>
      <c r="E236" s="618"/>
      <c r="F236" s="618"/>
      <c r="G236" s="458"/>
      <c r="H236" s="618"/>
      <c r="I236" s="618"/>
      <c r="J236" s="617"/>
      <c r="K236" s="169"/>
      <c r="L236" s="618"/>
      <c r="M236" s="618"/>
      <c r="N236" s="618"/>
      <c r="O236" s="618"/>
      <c r="P236" s="618"/>
      <c r="Q236" s="169"/>
      <c r="R236" s="169"/>
      <c r="S236" s="458"/>
      <c r="T236" s="169"/>
      <c r="U236" s="169"/>
      <c r="V236" s="169"/>
      <c r="W236" s="169"/>
      <c r="X236" s="169"/>
      <c r="Y236" s="169"/>
      <c r="Z236" s="169"/>
      <c r="AA236" s="169"/>
      <c r="AB236" s="169"/>
      <c r="AC236" s="169"/>
      <c r="AD236" s="169"/>
      <c r="AE236" s="169"/>
      <c r="AF236" s="169"/>
      <c r="AG236" s="617"/>
      <c r="AH236" s="169"/>
      <c r="AI236" s="629"/>
      <c r="AJ236" s="618"/>
      <c r="AK236" s="618"/>
      <c r="AL236" s="618"/>
      <c r="AM236" s="618"/>
      <c r="AN236" s="454"/>
      <c r="AO236" s="178"/>
      <c r="AP236" s="178"/>
      <c r="BA236" s="1305"/>
      <c r="BB236" s="174"/>
      <c r="BC236" s="169"/>
      <c r="BD236" s="1324"/>
      <c r="BE236" s="1324"/>
      <c r="BF236" s="1324"/>
      <c r="BG236" s="1324"/>
    </row>
    <row r="237" spans="1:59" ht="15.75" customHeight="1">
      <c r="A237" s="174"/>
      <c r="B237" s="618"/>
      <c r="C237" s="617"/>
      <c r="D237" s="618"/>
      <c r="E237" s="618"/>
      <c r="F237" s="618"/>
      <c r="G237" s="458"/>
      <c r="H237" s="618"/>
      <c r="I237" s="454"/>
      <c r="J237" s="617"/>
      <c r="K237" s="618"/>
      <c r="L237" s="618"/>
      <c r="M237" s="618"/>
      <c r="N237" s="618"/>
      <c r="O237" s="618"/>
      <c r="P237" s="618"/>
      <c r="Q237" s="169"/>
      <c r="R237" s="169"/>
      <c r="S237" s="458"/>
      <c r="T237" s="169"/>
      <c r="U237" s="169"/>
      <c r="V237" s="169"/>
      <c r="W237" s="169"/>
      <c r="X237" s="169"/>
      <c r="Y237" s="169"/>
      <c r="Z237" s="169"/>
      <c r="AA237" s="169"/>
      <c r="AB237" s="169"/>
      <c r="AC237" s="169"/>
      <c r="AD237" s="169"/>
      <c r="AE237" s="169"/>
      <c r="AF237" s="169"/>
      <c r="AG237" s="617"/>
      <c r="AH237" s="169"/>
      <c r="AI237" s="629"/>
      <c r="AJ237" s="618"/>
      <c r="AK237" s="618"/>
      <c r="AL237" s="618"/>
      <c r="AM237" s="618"/>
      <c r="AN237" s="458"/>
      <c r="AO237" s="618"/>
      <c r="AP237" s="618"/>
      <c r="BA237" s="1305"/>
      <c r="BB237" s="174"/>
      <c r="BC237" s="169"/>
      <c r="BD237" s="1324"/>
      <c r="BE237" s="1324"/>
      <c r="BF237" s="1324"/>
      <c r="BG237" s="1324"/>
    </row>
    <row r="238" spans="1:59" ht="15.75" customHeight="1">
      <c r="B238" s="180"/>
      <c r="C238" s="617"/>
      <c r="D238" s="177"/>
      <c r="E238" s="177"/>
      <c r="G238" s="458"/>
      <c r="I238" s="182"/>
      <c r="J238" s="617"/>
      <c r="K238" s="169"/>
      <c r="L238" s="169"/>
      <c r="M238" s="169"/>
      <c r="P238" s="169"/>
      <c r="Q238" s="169"/>
      <c r="R238" s="169"/>
      <c r="S238" s="458"/>
      <c r="T238" s="169"/>
      <c r="U238" s="169"/>
      <c r="V238" s="169"/>
      <c r="W238" s="169"/>
      <c r="X238" s="169"/>
      <c r="Y238" s="169"/>
      <c r="Z238" s="169"/>
      <c r="AA238" s="169"/>
      <c r="AB238" s="169"/>
      <c r="AC238" s="169"/>
      <c r="AD238" s="169"/>
      <c r="AE238" s="169"/>
      <c r="AF238" s="169"/>
      <c r="AG238" s="617"/>
      <c r="AH238" s="169"/>
      <c r="AI238" s="629"/>
      <c r="AJ238" s="169"/>
      <c r="AL238" s="169"/>
      <c r="AM238" s="618"/>
      <c r="AN238" s="454"/>
      <c r="AO238" s="178"/>
      <c r="AP238" s="178"/>
      <c r="BA238" s="1305"/>
      <c r="BC238" s="169"/>
    </row>
    <row r="239" spans="1:59" ht="15.75" customHeight="1">
      <c r="B239" s="175"/>
      <c r="C239" s="617"/>
      <c r="D239" s="177"/>
      <c r="E239" s="177"/>
      <c r="G239" s="458"/>
      <c r="I239" s="179"/>
      <c r="J239" s="617"/>
      <c r="K239" s="169"/>
      <c r="L239" s="169"/>
      <c r="M239" s="169"/>
      <c r="P239" s="169"/>
      <c r="Q239" s="169"/>
      <c r="R239" s="169"/>
      <c r="S239" s="458"/>
      <c r="T239" s="169"/>
      <c r="U239" s="169"/>
      <c r="V239" s="169"/>
      <c r="W239" s="169"/>
      <c r="X239" s="169"/>
      <c r="Y239" s="169"/>
      <c r="Z239" s="169"/>
      <c r="AA239" s="169"/>
      <c r="AB239" s="169"/>
      <c r="AC239" s="169"/>
      <c r="AD239" s="169"/>
      <c r="AE239" s="169"/>
      <c r="AF239" s="169"/>
      <c r="AG239" s="617"/>
      <c r="AH239" s="169"/>
      <c r="AI239" s="629"/>
      <c r="AJ239" s="169"/>
      <c r="AL239" s="169"/>
      <c r="AM239" s="169"/>
      <c r="AN239" s="454"/>
      <c r="AO239" s="178"/>
      <c r="AP239" s="178"/>
      <c r="BA239" s="1305"/>
      <c r="BC239" s="169"/>
    </row>
    <row r="240" spans="1:59" ht="15.75" customHeight="1">
      <c r="B240" s="180"/>
      <c r="C240" s="617"/>
      <c r="D240" s="177"/>
      <c r="E240" s="177"/>
      <c r="G240" s="458"/>
      <c r="I240" s="618"/>
      <c r="J240" s="617"/>
      <c r="K240" s="169"/>
      <c r="L240" s="169"/>
      <c r="M240" s="169"/>
      <c r="P240" s="169"/>
      <c r="Q240" s="169"/>
      <c r="R240" s="169"/>
      <c r="S240" s="458"/>
      <c r="T240" s="169"/>
      <c r="U240" s="169"/>
      <c r="V240" s="169"/>
      <c r="W240" s="169"/>
      <c r="X240" s="169"/>
      <c r="Y240" s="169"/>
      <c r="Z240" s="169"/>
      <c r="AA240" s="169"/>
      <c r="AB240" s="169"/>
      <c r="AC240" s="169"/>
      <c r="AD240" s="169"/>
      <c r="AE240" s="169"/>
      <c r="AF240" s="169"/>
      <c r="AG240" s="617"/>
      <c r="AH240" s="169"/>
      <c r="AI240" s="629"/>
      <c r="AJ240" s="169"/>
      <c r="AL240" s="169"/>
      <c r="AM240" s="618"/>
      <c r="AN240" s="454"/>
      <c r="AO240" s="178"/>
      <c r="AP240" s="178"/>
      <c r="BA240" s="1305"/>
      <c r="BC240" s="169"/>
    </row>
    <row r="241" spans="1:59" ht="15.75" customHeight="1">
      <c r="B241" s="175"/>
      <c r="C241" s="617"/>
      <c r="D241" s="177"/>
      <c r="E241" s="177"/>
      <c r="G241" s="458"/>
      <c r="I241" s="454"/>
      <c r="J241" s="617"/>
      <c r="K241" s="169"/>
      <c r="L241" s="169"/>
      <c r="M241" s="169"/>
      <c r="P241" s="169"/>
      <c r="Q241" s="169"/>
      <c r="R241" s="169"/>
      <c r="S241" s="458"/>
      <c r="T241" s="169"/>
      <c r="U241" s="169"/>
      <c r="V241" s="169"/>
      <c r="W241" s="169"/>
      <c r="X241" s="169"/>
      <c r="Y241" s="169"/>
      <c r="Z241" s="169"/>
      <c r="AA241" s="169"/>
      <c r="AB241" s="169"/>
      <c r="AC241" s="169"/>
      <c r="AD241" s="169"/>
      <c r="AE241" s="169"/>
      <c r="AF241" s="169"/>
      <c r="AG241" s="617"/>
      <c r="AH241" s="169"/>
      <c r="AI241" s="629"/>
      <c r="AJ241" s="169"/>
      <c r="AL241" s="169"/>
      <c r="AM241" s="169"/>
      <c r="AN241" s="454"/>
      <c r="AO241" s="178"/>
      <c r="AP241" s="178"/>
      <c r="AW241" s="458"/>
      <c r="AX241" s="458"/>
      <c r="BA241" s="1305"/>
      <c r="BC241" s="169"/>
    </row>
    <row r="242" spans="1:59" ht="15.75" customHeight="1">
      <c r="A242" s="174"/>
      <c r="B242" s="642"/>
      <c r="C242" s="617"/>
      <c r="D242" s="618"/>
      <c r="E242" s="618"/>
      <c r="F242" s="179"/>
      <c r="G242" s="458"/>
      <c r="H242" s="618"/>
      <c r="J242" s="617"/>
      <c r="K242" s="169"/>
      <c r="L242" s="169"/>
      <c r="M242" s="169"/>
      <c r="P242" s="618"/>
      <c r="Q242" s="169"/>
      <c r="R242" s="169"/>
      <c r="S242" s="458"/>
      <c r="T242" s="169"/>
      <c r="U242" s="169"/>
      <c r="V242" s="169"/>
      <c r="W242" s="169"/>
      <c r="X242" s="169"/>
      <c r="Y242" s="169"/>
      <c r="Z242" s="169"/>
      <c r="AA242" s="169"/>
      <c r="AB242" s="169"/>
      <c r="AC242" s="169"/>
      <c r="AD242" s="169"/>
      <c r="AE242" s="169"/>
      <c r="AF242" s="169"/>
      <c r="AG242" s="617"/>
      <c r="AH242" s="169"/>
      <c r="AI242" s="629"/>
      <c r="AJ242" s="618"/>
      <c r="AK242" s="618"/>
      <c r="AL242" s="618"/>
      <c r="AM242" s="618"/>
      <c r="AN242" s="454"/>
      <c r="AO242" s="178"/>
      <c r="AP242" s="178"/>
      <c r="BA242" s="1305"/>
      <c r="BB242" s="174"/>
      <c r="BC242" s="169"/>
      <c r="BD242" s="1324"/>
      <c r="BE242" s="1324"/>
      <c r="BF242" s="1324"/>
      <c r="BG242" s="1324"/>
    </row>
    <row r="243" spans="1:59" ht="15.75" customHeight="1">
      <c r="A243" s="174"/>
      <c r="B243" s="618"/>
      <c r="C243" s="617"/>
      <c r="D243" s="618"/>
      <c r="E243" s="618"/>
      <c r="F243" s="618"/>
      <c r="G243" s="458"/>
      <c r="H243" s="618"/>
      <c r="L243" s="618"/>
      <c r="M243" s="618"/>
      <c r="N243" s="618"/>
      <c r="O243" s="618"/>
      <c r="P243" s="618"/>
      <c r="Q243" s="169"/>
      <c r="R243" s="169"/>
      <c r="S243" s="458"/>
      <c r="T243" s="169"/>
      <c r="U243" s="169"/>
      <c r="V243" s="169"/>
      <c r="W243" s="169"/>
      <c r="X243" s="169"/>
      <c r="Y243" s="169"/>
      <c r="Z243" s="169"/>
      <c r="AA243" s="169"/>
      <c r="AB243" s="169"/>
      <c r="AC243" s="169"/>
      <c r="AD243" s="169"/>
      <c r="AE243" s="169"/>
      <c r="AF243" s="169"/>
      <c r="AG243" s="617"/>
      <c r="AH243" s="169"/>
      <c r="AI243" s="629"/>
      <c r="AJ243" s="618"/>
      <c r="AK243" s="618"/>
      <c r="AL243" s="618"/>
      <c r="AM243" s="618"/>
      <c r="AN243" s="458"/>
      <c r="AO243" s="618"/>
      <c r="AP243" s="618"/>
      <c r="BA243" s="1318"/>
      <c r="BB243" s="174"/>
      <c r="BC243" s="169"/>
      <c r="BD243" s="1324"/>
      <c r="BE243" s="1324"/>
      <c r="BF243" s="1324"/>
      <c r="BG243" s="1324"/>
    </row>
    <row r="244" spans="1:59" ht="15.75" customHeight="1">
      <c r="A244" s="174"/>
      <c r="B244" s="642"/>
      <c r="C244" s="617"/>
      <c r="D244" s="618"/>
      <c r="E244" s="618"/>
      <c r="F244" s="618"/>
      <c r="G244" s="458"/>
      <c r="H244" s="618"/>
      <c r="I244" s="618"/>
      <c r="J244" s="617"/>
      <c r="K244" s="169"/>
      <c r="L244" s="618"/>
      <c r="M244" s="618"/>
      <c r="N244" s="618"/>
      <c r="O244" s="618"/>
      <c r="P244" s="618"/>
      <c r="Q244" s="169"/>
      <c r="R244" s="169"/>
      <c r="S244" s="458"/>
      <c r="T244" s="169"/>
      <c r="U244" s="169"/>
      <c r="V244" s="169"/>
      <c r="W244" s="169"/>
      <c r="X244" s="169"/>
      <c r="Y244" s="169"/>
      <c r="Z244" s="169"/>
      <c r="AA244" s="169"/>
      <c r="AB244" s="169"/>
      <c r="AC244" s="169"/>
      <c r="AD244" s="169"/>
      <c r="AE244" s="169"/>
      <c r="AF244" s="169"/>
      <c r="AG244" s="617"/>
      <c r="AH244" s="169"/>
      <c r="AI244" s="629"/>
      <c r="AJ244" s="618"/>
      <c r="AK244" s="618"/>
      <c r="AL244" s="618"/>
      <c r="AM244" s="618"/>
      <c r="AN244" s="454"/>
      <c r="AO244" s="178"/>
      <c r="AP244" s="178"/>
      <c r="BA244" s="1305"/>
      <c r="BB244" s="174"/>
      <c r="BC244" s="169"/>
      <c r="BD244" s="1324"/>
      <c r="BE244" s="1324"/>
      <c r="BF244" s="1324"/>
      <c r="BG244" s="1324"/>
    </row>
    <row r="245" spans="1:59" ht="15.75" customHeight="1">
      <c r="A245" s="174"/>
      <c r="B245" s="618"/>
      <c r="C245" s="617"/>
      <c r="D245" s="618"/>
      <c r="E245" s="618"/>
      <c r="F245" s="618"/>
      <c r="G245" s="458"/>
      <c r="H245" s="618"/>
      <c r="I245" s="454"/>
      <c r="J245" s="617"/>
      <c r="K245" s="618"/>
      <c r="L245" s="618"/>
      <c r="M245" s="618"/>
      <c r="N245" s="618"/>
      <c r="O245" s="618"/>
      <c r="P245" s="618"/>
      <c r="Q245" s="169"/>
      <c r="R245" s="169"/>
      <c r="S245" s="458"/>
      <c r="T245" s="169"/>
      <c r="U245" s="169"/>
      <c r="V245" s="169"/>
      <c r="W245" s="169"/>
      <c r="X245" s="169"/>
      <c r="Y245" s="169"/>
      <c r="Z245" s="169"/>
      <c r="AA245" s="169"/>
      <c r="AB245" s="169"/>
      <c r="AC245" s="169"/>
      <c r="AD245" s="169"/>
      <c r="AE245" s="169"/>
      <c r="AF245" s="169"/>
      <c r="AG245" s="617"/>
      <c r="AH245" s="169"/>
      <c r="AI245" s="629"/>
      <c r="AJ245" s="618"/>
      <c r="AK245" s="618"/>
      <c r="AL245" s="618"/>
      <c r="AM245" s="618"/>
      <c r="AN245" s="458"/>
      <c r="AO245" s="618"/>
      <c r="AP245" s="618"/>
      <c r="BA245" s="1305"/>
      <c r="BB245" s="174"/>
      <c r="BC245" s="169"/>
      <c r="BD245" s="1324"/>
      <c r="BE245" s="1324"/>
      <c r="BF245" s="1324"/>
      <c r="BG245" s="1324"/>
    </row>
    <row r="246" spans="1:59" ht="15.75" customHeight="1">
      <c r="B246" s="180"/>
      <c r="C246" s="617"/>
      <c r="D246" s="177"/>
      <c r="E246" s="177"/>
      <c r="G246" s="458"/>
      <c r="I246" s="182"/>
      <c r="J246" s="617"/>
      <c r="K246" s="169"/>
      <c r="L246" s="169"/>
      <c r="M246" s="169"/>
      <c r="P246" s="169"/>
      <c r="Q246" s="169"/>
      <c r="R246" s="169"/>
      <c r="S246" s="458"/>
      <c r="T246" s="169"/>
      <c r="U246" s="169"/>
      <c r="V246" s="169"/>
      <c r="W246" s="169"/>
      <c r="X246" s="169"/>
      <c r="Y246" s="169"/>
      <c r="Z246" s="169"/>
      <c r="AA246" s="169"/>
      <c r="AB246" s="169"/>
      <c r="AC246" s="169"/>
      <c r="AD246" s="169"/>
      <c r="AE246" s="169"/>
      <c r="AF246" s="169"/>
      <c r="AG246" s="617"/>
      <c r="AH246" s="169"/>
      <c r="AI246" s="629"/>
      <c r="AJ246" s="169"/>
      <c r="AL246" s="169"/>
      <c r="AM246" s="618"/>
      <c r="AN246" s="454"/>
      <c r="AO246" s="178"/>
      <c r="AP246" s="178"/>
      <c r="BA246" s="1305"/>
      <c r="BC246" s="169"/>
    </row>
    <row r="247" spans="1:59" ht="15.75" customHeight="1">
      <c r="B247" s="175"/>
      <c r="C247" s="617"/>
      <c r="D247" s="177"/>
      <c r="E247" s="177"/>
      <c r="G247" s="458"/>
      <c r="I247" s="179"/>
      <c r="J247" s="617"/>
      <c r="K247" s="169"/>
      <c r="L247" s="169"/>
      <c r="M247" s="169"/>
      <c r="P247" s="169"/>
      <c r="Q247" s="169"/>
      <c r="R247" s="169"/>
      <c r="S247" s="458"/>
      <c r="T247" s="169"/>
      <c r="U247" s="169"/>
      <c r="V247" s="169"/>
      <c r="W247" s="169"/>
      <c r="X247" s="169"/>
      <c r="Y247" s="169"/>
      <c r="Z247" s="169"/>
      <c r="AA247" s="169"/>
      <c r="AB247" s="169"/>
      <c r="AC247" s="169"/>
      <c r="AD247" s="169"/>
      <c r="AE247" s="169"/>
      <c r="AF247" s="169"/>
      <c r="AG247" s="617"/>
      <c r="AH247" s="169"/>
      <c r="AI247" s="629"/>
      <c r="AJ247" s="169"/>
      <c r="AL247" s="169"/>
      <c r="AM247" s="169"/>
      <c r="AN247" s="454"/>
      <c r="AO247" s="178"/>
      <c r="AP247" s="178"/>
      <c r="BA247" s="1305"/>
      <c r="BC247" s="169"/>
    </row>
    <row r="248" spans="1:59" ht="15.75" customHeight="1">
      <c r="B248" s="180"/>
      <c r="C248" s="617"/>
      <c r="D248" s="177"/>
      <c r="E248" s="177"/>
      <c r="G248" s="458"/>
      <c r="I248" s="618"/>
      <c r="J248" s="617"/>
      <c r="K248" s="169"/>
      <c r="L248" s="169"/>
      <c r="M248" s="169"/>
      <c r="P248" s="169"/>
      <c r="Q248" s="169"/>
      <c r="R248" s="169"/>
      <c r="S248" s="458"/>
      <c r="T248" s="169"/>
      <c r="U248" s="169"/>
      <c r="V248" s="169"/>
      <c r="W248" s="169"/>
      <c r="X248" s="169"/>
      <c r="Y248" s="169"/>
      <c r="Z248" s="169"/>
      <c r="AA248" s="169"/>
      <c r="AB248" s="169"/>
      <c r="AC248" s="169"/>
      <c r="AD248" s="169"/>
      <c r="AE248" s="169"/>
      <c r="AF248" s="169"/>
      <c r="AG248" s="617"/>
      <c r="AH248" s="169"/>
      <c r="AI248" s="629"/>
      <c r="AJ248" s="169"/>
      <c r="AL248" s="169"/>
      <c r="AM248" s="618"/>
      <c r="AN248" s="454"/>
      <c r="AO248" s="178"/>
      <c r="AP248" s="178"/>
      <c r="BA248" s="1305"/>
      <c r="BC248" s="169"/>
    </row>
    <row r="249" spans="1:59" ht="15.75" customHeight="1">
      <c r="B249" s="175"/>
      <c r="C249" s="617"/>
      <c r="D249" s="177"/>
      <c r="E249" s="177"/>
      <c r="G249" s="458"/>
      <c r="I249" s="454"/>
      <c r="J249" s="617"/>
      <c r="K249" s="169"/>
      <c r="L249" s="169"/>
      <c r="M249" s="169"/>
      <c r="P249" s="169"/>
      <c r="Q249" s="169"/>
      <c r="R249" s="169"/>
      <c r="S249" s="458"/>
      <c r="T249" s="169"/>
      <c r="U249" s="169"/>
      <c r="V249" s="169"/>
      <c r="W249" s="169"/>
      <c r="X249" s="169"/>
      <c r="Y249" s="169"/>
      <c r="Z249" s="169"/>
      <c r="AA249" s="169"/>
      <c r="AB249" s="169"/>
      <c r="AC249" s="169"/>
      <c r="AD249" s="169"/>
      <c r="AE249" s="169"/>
      <c r="AF249" s="169"/>
      <c r="AG249" s="617"/>
      <c r="AH249" s="169"/>
      <c r="AI249" s="629"/>
      <c r="AJ249" s="169"/>
      <c r="AL249" s="169"/>
      <c r="AM249" s="169"/>
      <c r="AN249" s="454"/>
      <c r="AO249" s="178"/>
      <c r="AP249" s="178"/>
      <c r="AW249" s="458"/>
      <c r="AX249" s="458"/>
      <c r="BA249" s="1305"/>
      <c r="BC249" s="169"/>
    </row>
    <row r="250" spans="1:59" ht="15.75" customHeight="1">
      <c r="A250" s="174"/>
      <c r="B250" s="642"/>
      <c r="C250" s="617"/>
      <c r="D250" s="618"/>
      <c r="E250" s="618"/>
      <c r="F250" s="179"/>
      <c r="G250" s="458"/>
      <c r="H250" s="618"/>
      <c r="J250" s="617"/>
      <c r="K250" s="169"/>
      <c r="L250" s="169"/>
      <c r="M250" s="169"/>
      <c r="P250" s="618"/>
      <c r="Q250" s="169"/>
      <c r="R250" s="169"/>
      <c r="S250" s="458"/>
      <c r="T250" s="169"/>
      <c r="U250" s="169"/>
      <c r="V250" s="169"/>
      <c r="W250" s="169"/>
      <c r="X250" s="169"/>
      <c r="Y250" s="169"/>
      <c r="Z250" s="169"/>
      <c r="AA250" s="169"/>
      <c r="AB250" s="169"/>
      <c r="AC250" s="169"/>
      <c r="AD250" s="169"/>
      <c r="AE250" s="169"/>
      <c r="AF250" s="169"/>
      <c r="AG250" s="617"/>
      <c r="AH250" s="169"/>
      <c r="AI250" s="629"/>
      <c r="AJ250" s="618"/>
      <c r="AK250" s="618"/>
      <c r="AL250" s="618"/>
      <c r="AM250" s="618"/>
      <c r="AN250" s="454"/>
      <c r="AO250" s="178"/>
      <c r="AP250" s="178"/>
      <c r="BA250" s="1305"/>
      <c r="BB250" s="174"/>
      <c r="BC250" s="169"/>
      <c r="BD250" s="1324"/>
      <c r="BE250" s="1324"/>
      <c r="BF250" s="1324"/>
      <c r="BG250" s="1324"/>
    </row>
    <row r="251" spans="1:59" ht="15.75" customHeight="1">
      <c r="A251" s="174"/>
      <c r="B251" s="618"/>
      <c r="C251" s="617"/>
      <c r="D251" s="618"/>
      <c r="E251" s="618"/>
      <c r="F251" s="618"/>
      <c r="G251" s="458"/>
      <c r="H251" s="618"/>
      <c r="L251" s="618"/>
      <c r="M251" s="618"/>
      <c r="N251" s="618"/>
      <c r="O251" s="618"/>
      <c r="P251" s="618"/>
      <c r="Q251" s="169"/>
      <c r="R251" s="169"/>
      <c r="S251" s="458"/>
      <c r="T251" s="169"/>
      <c r="U251" s="169"/>
      <c r="V251" s="169"/>
      <c r="W251" s="169"/>
      <c r="X251" s="169"/>
      <c r="Y251" s="169"/>
      <c r="Z251" s="169"/>
      <c r="AA251" s="169"/>
      <c r="AB251" s="169"/>
      <c r="AC251" s="169"/>
      <c r="AD251" s="169"/>
      <c r="AE251" s="169"/>
      <c r="AF251" s="169"/>
      <c r="AG251" s="617"/>
      <c r="AH251" s="169"/>
      <c r="AI251" s="629"/>
      <c r="AJ251" s="618"/>
      <c r="AK251" s="618"/>
      <c r="AL251" s="618"/>
      <c r="AM251" s="618"/>
      <c r="AN251" s="458"/>
      <c r="AO251" s="618"/>
      <c r="AP251" s="618"/>
      <c r="BA251" s="1318"/>
      <c r="BB251" s="174"/>
      <c r="BC251" s="169"/>
      <c r="BD251" s="1324"/>
      <c r="BE251" s="1324"/>
      <c r="BF251" s="1324"/>
      <c r="BG251" s="1324"/>
    </row>
    <row r="252" spans="1:59" ht="15.75" customHeight="1">
      <c r="A252" s="174"/>
      <c r="B252" s="642"/>
      <c r="C252" s="617"/>
      <c r="D252" s="618"/>
      <c r="E252" s="618"/>
      <c r="F252" s="618"/>
      <c r="G252" s="458"/>
      <c r="H252" s="618"/>
      <c r="I252" s="618"/>
      <c r="J252" s="617"/>
      <c r="K252" s="169"/>
      <c r="L252" s="618"/>
      <c r="M252" s="618"/>
      <c r="N252" s="618"/>
      <c r="O252" s="618"/>
      <c r="P252" s="618"/>
      <c r="Q252" s="169"/>
      <c r="R252" s="169"/>
      <c r="S252" s="458"/>
      <c r="T252" s="169"/>
      <c r="U252" s="169"/>
      <c r="V252" s="169"/>
      <c r="W252" s="169"/>
      <c r="X252" s="169"/>
      <c r="Y252" s="169"/>
      <c r="Z252" s="169"/>
      <c r="AA252" s="169"/>
      <c r="AB252" s="169"/>
      <c r="AC252" s="169"/>
      <c r="AD252" s="169"/>
      <c r="AE252" s="169"/>
      <c r="AF252" s="169"/>
      <c r="AG252" s="617"/>
      <c r="AH252" s="169"/>
      <c r="AI252" s="629"/>
      <c r="AJ252" s="618"/>
      <c r="AK252" s="618"/>
      <c r="AL252" s="618"/>
      <c r="AM252" s="618"/>
      <c r="AN252" s="454"/>
      <c r="AO252" s="178"/>
      <c r="AP252" s="178"/>
      <c r="BA252" s="1305"/>
      <c r="BB252" s="174"/>
      <c r="BC252" s="169"/>
      <c r="BD252" s="1324"/>
      <c r="BE252" s="1324"/>
      <c r="BF252" s="1324"/>
      <c r="BG252" s="1324"/>
    </row>
    <row r="253" spans="1:59" ht="15.75" customHeight="1">
      <c r="A253" s="174"/>
      <c r="B253" s="618"/>
      <c r="C253" s="617"/>
      <c r="D253" s="618"/>
      <c r="E253" s="618"/>
      <c r="F253" s="618"/>
      <c r="G253" s="458"/>
      <c r="H253" s="618"/>
      <c r="I253" s="454"/>
      <c r="J253" s="617"/>
      <c r="K253" s="618"/>
      <c r="L253" s="618"/>
      <c r="M253" s="618"/>
      <c r="N253" s="618"/>
      <c r="O253" s="618"/>
      <c r="P253" s="618"/>
      <c r="Q253" s="169"/>
      <c r="R253" s="169"/>
      <c r="S253" s="458"/>
      <c r="T253" s="169"/>
      <c r="U253" s="169"/>
      <c r="V253" s="169"/>
      <c r="W253" s="169"/>
      <c r="X253" s="169"/>
      <c r="Y253" s="169"/>
      <c r="Z253" s="169"/>
      <c r="AA253" s="169"/>
      <c r="AB253" s="169"/>
      <c r="AC253" s="169"/>
      <c r="AD253" s="169"/>
      <c r="AE253" s="169"/>
      <c r="AF253" s="169"/>
      <c r="AG253" s="617"/>
      <c r="AH253" s="169"/>
      <c r="AI253" s="629"/>
      <c r="AJ253" s="618"/>
      <c r="AK253" s="618"/>
      <c r="AL253" s="618"/>
      <c r="AM253" s="618"/>
      <c r="AN253" s="458"/>
      <c r="AO253" s="618"/>
      <c r="AP253" s="618"/>
      <c r="BA253" s="1305"/>
      <c r="BB253" s="174"/>
      <c r="BC253" s="169"/>
      <c r="BD253" s="1324"/>
      <c r="BE253" s="1324"/>
      <c r="BF253" s="1324"/>
      <c r="BG253" s="1324"/>
    </row>
    <row r="254" spans="1:59" ht="15.75" customHeight="1">
      <c r="B254" s="180"/>
      <c r="C254" s="617"/>
      <c r="D254" s="177"/>
      <c r="E254" s="177"/>
      <c r="G254" s="458"/>
      <c r="I254" s="182"/>
      <c r="J254" s="617"/>
      <c r="K254" s="169"/>
      <c r="L254" s="169"/>
      <c r="M254" s="169"/>
      <c r="P254" s="169"/>
      <c r="Q254" s="169"/>
      <c r="R254" s="169"/>
      <c r="S254" s="458"/>
      <c r="T254" s="169"/>
      <c r="U254" s="169"/>
      <c r="V254" s="169"/>
      <c r="W254" s="169"/>
      <c r="X254" s="169"/>
      <c r="Y254" s="169"/>
      <c r="Z254" s="169"/>
      <c r="AA254" s="169"/>
      <c r="AB254" s="169"/>
      <c r="AC254" s="169"/>
      <c r="AD254" s="169"/>
      <c r="AE254" s="169"/>
      <c r="AF254" s="169"/>
      <c r="AG254" s="617"/>
      <c r="AH254" s="169"/>
      <c r="AI254" s="629"/>
      <c r="AJ254" s="169"/>
      <c r="AL254" s="169"/>
      <c r="AM254" s="618"/>
      <c r="AN254" s="454"/>
      <c r="AO254" s="178"/>
      <c r="AP254" s="178"/>
      <c r="BA254" s="1305"/>
      <c r="BC254" s="169"/>
    </row>
    <row r="255" spans="1:59" ht="15.75" customHeight="1">
      <c r="B255" s="175"/>
      <c r="C255" s="617"/>
      <c r="D255" s="177"/>
      <c r="E255" s="177"/>
      <c r="G255" s="458"/>
      <c r="I255" s="179"/>
      <c r="J255" s="617"/>
      <c r="K255" s="169"/>
      <c r="L255" s="169"/>
      <c r="M255" s="169"/>
      <c r="P255" s="169"/>
      <c r="Q255" s="169"/>
      <c r="R255" s="169"/>
      <c r="S255" s="458"/>
      <c r="T255" s="169"/>
      <c r="U255" s="169"/>
      <c r="V255" s="169"/>
      <c r="W255" s="169"/>
      <c r="X255" s="169"/>
      <c r="Y255" s="169"/>
      <c r="Z255" s="169"/>
      <c r="AA255" s="169"/>
      <c r="AB255" s="169"/>
      <c r="AC255" s="169"/>
      <c r="AD255" s="169"/>
      <c r="AE255" s="169"/>
      <c r="AF255" s="169"/>
      <c r="AG255" s="617"/>
      <c r="AH255" s="169"/>
      <c r="AI255" s="629"/>
      <c r="AJ255" s="169"/>
      <c r="AL255" s="169"/>
      <c r="AM255" s="169"/>
      <c r="AN255" s="454"/>
      <c r="AO255" s="178"/>
      <c r="AP255" s="178"/>
      <c r="BA255" s="1305"/>
      <c r="BC255" s="169"/>
    </row>
    <row r="256" spans="1:59" ht="15.75" customHeight="1">
      <c r="B256" s="180"/>
      <c r="C256" s="617"/>
      <c r="D256" s="177"/>
      <c r="E256" s="177"/>
      <c r="G256" s="458"/>
      <c r="I256" s="618"/>
      <c r="J256" s="617"/>
      <c r="K256" s="169"/>
      <c r="L256" s="169"/>
      <c r="M256" s="169"/>
      <c r="P256" s="169"/>
      <c r="Q256" s="169"/>
      <c r="R256" s="169"/>
      <c r="S256" s="458"/>
      <c r="T256" s="169"/>
      <c r="U256" s="169"/>
      <c r="V256" s="169"/>
      <c r="W256" s="169"/>
      <c r="X256" s="169"/>
      <c r="Y256" s="169"/>
      <c r="Z256" s="169"/>
      <c r="AA256" s="169"/>
      <c r="AB256" s="169"/>
      <c r="AC256" s="169"/>
      <c r="AD256" s="169"/>
      <c r="AE256" s="169"/>
      <c r="AF256" s="169"/>
      <c r="AG256" s="617"/>
      <c r="AH256" s="169"/>
      <c r="AI256" s="629"/>
      <c r="AJ256" s="169"/>
      <c r="AL256" s="169"/>
      <c r="AM256" s="618"/>
      <c r="AN256" s="454"/>
      <c r="AO256" s="178"/>
      <c r="AP256" s="178"/>
      <c r="BA256" s="1305"/>
      <c r="BC256" s="169"/>
    </row>
    <row r="257" spans="1:59" ht="15.75" customHeight="1">
      <c r="B257" s="175"/>
      <c r="C257" s="617"/>
      <c r="D257" s="177"/>
      <c r="E257" s="177"/>
      <c r="G257" s="458"/>
      <c r="I257" s="454"/>
      <c r="J257" s="617"/>
      <c r="K257" s="169"/>
      <c r="L257" s="169"/>
      <c r="M257" s="169"/>
      <c r="P257" s="169"/>
      <c r="Q257" s="169"/>
      <c r="R257" s="169"/>
      <c r="S257" s="458"/>
      <c r="T257" s="169"/>
      <c r="U257" s="169"/>
      <c r="V257" s="169"/>
      <c r="W257" s="169"/>
      <c r="X257" s="169"/>
      <c r="Y257" s="169"/>
      <c r="Z257" s="169"/>
      <c r="AA257" s="169"/>
      <c r="AB257" s="169"/>
      <c r="AC257" s="169"/>
      <c r="AD257" s="169"/>
      <c r="AE257" s="169"/>
      <c r="AF257" s="169"/>
      <c r="AG257" s="617"/>
      <c r="AH257" s="169"/>
      <c r="AI257" s="629"/>
      <c r="AJ257" s="169"/>
      <c r="AL257" s="169"/>
      <c r="AM257" s="169"/>
      <c r="AN257" s="454"/>
      <c r="AO257" s="178"/>
      <c r="AP257" s="178"/>
      <c r="AW257" s="458"/>
      <c r="AX257" s="458"/>
      <c r="BA257" s="1305"/>
      <c r="BC257" s="169"/>
    </row>
    <row r="258" spans="1:59" ht="15.75" customHeight="1">
      <c r="A258" s="174"/>
      <c r="B258" s="642"/>
      <c r="C258" s="617"/>
      <c r="D258" s="618"/>
      <c r="E258" s="618"/>
      <c r="F258" s="179"/>
      <c r="G258" s="458"/>
      <c r="H258" s="618"/>
      <c r="J258" s="617"/>
      <c r="K258" s="169"/>
      <c r="L258" s="169"/>
      <c r="M258" s="169"/>
      <c r="P258" s="618"/>
      <c r="Q258" s="169"/>
      <c r="R258" s="169"/>
      <c r="S258" s="458"/>
      <c r="T258" s="169"/>
      <c r="U258" s="169"/>
      <c r="V258" s="169"/>
      <c r="W258" s="169"/>
      <c r="X258" s="169"/>
      <c r="Y258" s="169"/>
      <c r="Z258" s="169"/>
      <c r="AA258" s="169"/>
      <c r="AB258" s="169"/>
      <c r="AC258" s="169"/>
      <c r="AD258" s="169"/>
      <c r="AE258" s="169"/>
      <c r="AF258" s="169"/>
      <c r="AG258" s="617"/>
      <c r="AH258" s="169"/>
      <c r="AI258" s="629"/>
      <c r="AJ258" s="618"/>
      <c r="AK258" s="618"/>
      <c r="AL258" s="618"/>
      <c r="AM258" s="618"/>
      <c r="AN258" s="454"/>
      <c r="AO258" s="178"/>
      <c r="AP258" s="178"/>
      <c r="BA258" s="1305"/>
      <c r="BB258" s="174"/>
      <c r="BC258" s="169"/>
      <c r="BD258" s="1324"/>
      <c r="BE258" s="1324"/>
      <c r="BF258" s="1324"/>
      <c r="BG258" s="1324"/>
    </row>
    <row r="259" spans="1:59" ht="15.75" customHeight="1">
      <c r="A259" s="174"/>
      <c r="B259" s="618"/>
      <c r="C259" s="617"/>
      <c r="D259" s="618"/>
      <c r="E259" s="618"/>
      <c r="F259" s="618"/>
      <c r="G259" s="458"/>
      <c r="H259" s="618"/>
      <c r="L259" s="618"/>
      <c r="M259" s="618"/>
      <c r="N259" s="618"/>
      <c r="O259" s="618"/>
      <c r="P259" s="618"/>
      <c r="Q259" s="169"/>
      <c r="R259" s="169"/>
      <c r="S259" s="458"/>
      <c r="T259" s="169"/>
      <c r="U259" s="169"/>
      <c r="V259" s="169"/>
      <c r="W259" s="169"/>
      <c r="X259" s="169"/>
      <c r="Y259" s="169"/>
      <c r="Z259" s="169"/>
      <c r="AA259" s="169"/>
      <c r="AB259" s="169"/>
      <c r="AC259" s="169"/>
      <c r="AD259" s="169"/>
      <c r="AE259" s="169"/>
      <c r="AF259" s="169"/>
      <c r="AG259" s="617"/>
      <c r="AH259" s="169"/>
      <c r="AI259" s="629"/>
      <c r="AJ259" s="618"/>
      <c r="AK259" s="618"/>
      <c r="AL259" s="618"/>
      <c r="AM259" s="618"/>
      <c r="AN259" s="458"/>
      <c r="AO259" s="618"/>
      <c r="AP259" s="618"/>
      <c r="BA259" s="1318"/>
      <c r="BB259" s="174"/>
      <c r="BC259" s="169"/>
      <c r="BD259" s="1324"/>
      <c r="BE259" s="1324"/>
      <c r="BF259" s="1324"/>
      <c r="BG259" s="1324"/>
    </row>
    <row r="260" spans="1:59" ht="15.75" customHeight="1">
      <c r="A260" s="174"/>
      <c r="B260" s="642"/>
      <c r="C260" s="617"/>
      <c r="D260" s="618"/>
      <c r="E260" s="618"/>
      <c r="F260" s="618"/>
      <c r="G260" s="458"/>
      <c r="H260" s="618"/>
      <c r="I260" s="618"/>
      <c r="J260" s="617"/>
      <c r="K260" s="169"/>
      <c r="L260" s="618"/>
      <c r="M260" s="618"/>
      <c r="N260" s="618"/>
      <c r="O260" s="618"/>
      <c r="P260" s="618"/>
      <c r="Q260" s="169"/>
      <c r="R260" s="169"/>
      <c r="S260" s="458"/>
      <c r="T260" s="169"/>
      <c r="U260" s="169"/>
      <c r="V260" s="169"/>
      <c r="W260" s="169"/>
      <c r="X260" s="169"/>
      <c r="Y260" s="169"/>
      <c r="Z260" s="169"/>
      <c r="AA260" s="169"/>
      <c r="AB260" s="169"/>
      <c r="AC260" s="169"/>
      <c r="AD260" s="169"/>
      <c r="AE260" s="169"/>
      <c r="AF260" s="169"/>
      <c r="AG260" s="617"/>
      <c r="AH260" s="169"/>
      <c r="AI260" s="629"/>
      <c r="AJ260" s="618"/>
      <c r="AK260" s="618"/>
      <c r="AL260" s="618"/>
      <c r="AM260" s="618"/>
      <c r="AN260" s="454"/>
      <c r="AO260" s="178"/>
      <c r="AP260" s="178"/>
      <c r="BA260" s="1305"/>
      <c r="BB260" s="174"/>
      <c r="BC260" s="169"/>
      <c r="BD260" s="1324"/>
      <c r="BE260" s="1324"/>
      <c r="BF260" s="1324"/>
      <c r="BG260" s="1324"/>
    </row>
    <row r="261" spans="1:59" ht="15.75" customHeight="1">
      <c r="A261" s="174"/>
      <c r="B261" s="618"/>
      <c r="C261" s="617"/>
      <c r="D261" s="618"/>
      <c r="E261" s="618"/>
      <c r="F261" s="618"/>
      <c r="G261" s="458"/>
      <c r="H261" s="618"/>
      <c r="I261" s="454"/>
      <c r="J261" s="617"/>
      <c r="K261" s="618"/>
      <c r="L261" s="618"/>
      <c r="M261" s="618"/>
      <c r="N261" s="618"/>
      <c r="O261" s="618"/>
      <c r="P261" s="618"/>
      <c r="Q261" s="169"/>
      <c r="R261" s="169"/>
      <c r="S261" s="458"/>
      <c r="T261" s="169"/>
      <c r="U261" s="169"/>
      <c r="V261" s="169"/>
      <c r="W261" s="169"/>
      <c r="X261" s="169"/>
      <c r="Y261" s="169"/>
      <c r="Z261" s="169"/>
      <c r="AA261" s="169"/>
      <c r="AB261" s="169"/>
      <c r="AC261" s="169"/>
      <c r="AD261" s="169"/>
      <c r="AE261" s="169"/>
      <c r="AF261" s="169"/>
      <c r="AG261" s="617"/>
      <c r="AH261" s="169"/>
      <c r="AI261" s="629"/>
      <c r="AJ261" s="618"/>
      <c r="AK261" s="618"/>
      <c r="AL261" s="618"/>
      <c r="AM261" s="618"/>
      <c r="AN261" s="458"/>
      <c r="AO261" s="618"/>
      <c r="AP261" s="618"/>
      <c r="BA261" s="1305"/>
      <c r="BB261" s="174"/>
      <c r="BC261" s="169"/>
      <c r="BD261" s="1324"/>
      <c r="BE261" s="1324"/>
      <c r="BF261" s="1324"/>
      <c r="BG261" s="1324"/>
    </row>
    <row r="262" spans="1:59" ht="15.75" customHeight="1">
      <c r="B262" s="180"/>
      <c r="C262" s="617"/>
      <c r="D262" s="177"/>
      <c r="E262" s="177"/>
      <c r="G262" s="458"/>
      <c r="I262" s="182"/>
      <c r="J262" s="617"/>
      <c r="K262" s="169"/>
      <c r="L262" s="169"/>
      <c r="M262" s="169"/>
      <c r="P262" s="169"/>
      <c r="Q262" s="169"/>
      <c r="R262" s="169"/>
      <c r="S262" s="458"/>
      <c r="T262" s="169"/>
      <c r="U262" s="169"/>
      <c r="V262" s="169"/>
      <c r="W262" s="169"/>
      <c r="X262" s="169"/>
      <c r="Y262" s="169"/>
      <c r="Z262" s="169"/>
      <c r="AA262" s="169"/>
      <c r="AB262" s="169"/>
      <c r="AC262" s="169"/>
      <c r="AD262" s="169"/>
      <c r="AE262" s="169"/>
      <c r="AF262" s="169"/>
      <c r="AG262" s="617"/>
      <c r="AH262" s="169"/>
      <c r="AI262" s="629"/>
      <c r="AJ262" s="169"/>
      <c r="AL262" s="169"/>
      <c r="AM262" s="618"/>
      <c r="AN262" s="454"/>
      <c r="AO262" s="178"/>
      <c r="AP262" s="178"/>
      <c r="BA262" s="1305"/>
      <c r="BC262" s="169"/>
    </row>
    <row r="263" spans="1:59" ht="15.75" customHeight="1">
      <c r="B263" s="175"/>
      <c r="C263" s="617"/>
      <c r="D263" s="177"/>
      <c r="E263" s="177"/>
      <c r="G263" s="458"/>
      <c r="I263" s="179"/>
      <c r="J263" s="617"/>
      <c r="K263" s="169"/>
      <c r="L263" s="169"/>
      <c r="M263" s="169"/>
      <c r="P263" s="169"/>
      <c r="Q263" s="169"/>
      <c r="R263" s="169"/>
      <c r="S263" s="458"/>
      <c r="T263" s="169"/>
      <c r="U263" s="169"/>
      <c r="V263" s="169"/>
      <c r="W263" s="169"/>
      <c r="X263" s="169"/>
      <c r="Y263" s="169"/>
      <c r="Z263" s="169"/>
      <c r="AA263" s="169"/>
      <c r="AB263" s="169"/>
      <c r="AC263" s="169"/>
      <c r="AD263" s="169"/>
      <c r="AE263" s="169"/>
      <c r="AF263" s="169"/>
      <c r="AG263" s="617"/>
      <c r="AH263" s="169"/>
      <c r="AI263" s="629"/>
      <c r="AJ263" s="169"/>
      <c r="AL263" s="169"/>
      <c r="AM263" s="169"/>
      <c r="AN263" s="454"/>
      <c r="AO263" s="178"/>
      <c r="AP263" s="178"/>
      <c r="BA263" s="1305"/>
      <c r="BC263" s="169"/>
    </row>
    <row r="264" spans="1:59" ht="15.75" customHeight="1">
      <c r="B264" s="180"/>
      <c r="C264" s="617"/>
      <c r="D264" s="177"/>
      <c r="E264" s="177"/>
      <c r="G264" s="458"/>
      <c r="I264" s="618"/>
      <c r="J264" s="617"/>
      <c r="K264" s="169"/>
      <c r="L264" s="169"/>
      <c r="M264" s="169"/>
      <c r="P264" s="169"/>
      <c r="Q264" s="169"/>
      <c r="R264" s="169"/>
      <c r="S264" s="458"/>
      <c r="T264" s="169"/>
      <c r="U264" s="169"/>
      <c r="V264" s="169"/>
      <c r="W264" s="169"/>
      <c r="X264" s="169"/>
      <c r="Y264" s="169"/>
      <c r="Z264" s="169"/>
      <c r="AA264" s="169"/>
      <c r="AB264" s="169"/>
      <c r="AC264" s="169"/>
      <c r="AD264" s="169"/>
      <c r="AE264" s="169"/>
      <c r="AF264" s="169"/>
      <c r="AG264" s="617"/>
      <c r="AH264" s="169"/>
      <c r="AI264" s="629"/>
      <c r="AJ264" s="169"/>
      <c r="AL264" s="169"/>
      <c r="AM264" s="618"/>
      <c r="AN264" s="454"/>
      <c r="AO264" s="178"/>
      <c r="AP264" s="178"/>
      <c r="BA264" s="1305"/>
      <c r="BC264" s="169"/>
    </row>
    <row r="265" spans="1:59" ht="15.75" customHeight="1">
      <c r="B265" s="175"/>
      <c r="C265" s="617"/>
      <c r="D265" s="177"/>
      <c r="E265" s="177"/>
      <c r="G265" s="458"/>
      <c r="I265" s="454"/>
      <c r="J265" s="617"/>
      <c r="K265" s="169"/>
      <c r="L265" s="169"/>
      <c r="M265" s="169"/>
      <c r="P265" s="169"/>
      <c r="Q265" s="169"/>
      <c r="R265" s="169"/>
      <c r="S265" s="458"/>
      <c r="T265" s="169"/>
      <c r="U265" s="169"/>
      <c r="V265" s="169"/>
      <c r="W265" s="169"/>
      <c r="X265" s="169"/>
      <c r="Y265" s="169"/>
      <c r="Z265" s="169"/>
      <c r="AA265" s="169"/>
      <c r="AB265" s="169"/>
      <c r="AC265" s="169"/>
      <c r="AD265" s="169"/>
      <c r="AE265" s="169"/>
      <c r="AF265" s="169"/>
      <c r="AG265" s="617"/>
      <c r="AH265" s="169"/>
      <c r="AI265" s="629"/>
      <c r="AJ265" s="169"/>
      <c r="AL265" s="169"/>
      <c r="AM265" s="169"/>
      <c r="AN265" s="454"/>
      <c r="AO265" s="178"/>
      <c r="AP265" s="178"/>
      <c r="AW265" s="458"/>
      <c r="AX265" s="458"/>
      <c r="BA265" s="1305"/>
      <c r="BC265" s="169"/>
    </row>
    <row r="266" spans="1:59" ht="15.75" customHeight="1">
      <c r="A266" s="174"/>
      <c r="B266" s="642"/>
      <c r="C266" s="617"/>
      <c r="D266" s="618"/>
      <c r="E266" s="618"/>
      <c r="F266" s="179"/>
      <c r="G266" s="458"/>
      <c r="H266" s="618"/>
      <c r="J266" s="617"/>
      <c r="K266" s="169"/>
      <c r="L266" s="169"/>
      <c r="M266" s="169"/>
      <c r="P266" s="618"/>
      <c r="Q266" s="169"/>
      <c r="R266" s="169"/>
      <c r="S266" s="458"/>
      <c r="T266" s="169"/>
      <c r="U266" s="169"/>
      <c r="V266" s="169"/>
      <c r="W266" s="169"/>
      <c r="X266" s="169"/>
      <c r="Y266" s="169"/>
      <c r="Z266" s="169"/>
      <c r="AA266" s="169"/>
      <c r="AB266" s="169"/>
      <c r="AC266" s="169"/>
      <c r="AD266" s="169"/>
      <c r="AE266" s="169"/>
      <c r="AF266" s="169"/>
      <c r="AG266" s="617"/>
      <c r="AH266" s="169"/>
      <c r="AI266" s="629"/>
      <c r="AJ266" s="618"/>
      <c r="AK266" s="618"/>
      <c r="AL266" s="618"/>
      <c r="AM266" s="618"/>
      <c r="AN266" s="454"/>
      <c r="AO266" s="178"/>
      <c r="AP266" s="178"/>
      <c r="BA266" s="1305"/>
      <c r="BB266" s="174"/>
      <c r="BC266" s="169"/>
      <c r="BD266" s="1324"/>
      <c r="BE266" s="1324"/>
      <c r="BF266" s="1324"/>
      <c r="BG266" s="1324"/>
    </row>
    <row r="267" spans="1:59" ht="15.75" customHeight="1">
      <c r="A267" s="174"/>
      <c r="B267" s="618"/>
      <c r="C267" s="617"/>
      <c r="D267" s="618"/>
      <c r="E267" s="618"/>
      <c r="F267" s="618"/>
      <c r="G267" s="458"/>
      <c r="H267" s="618"/>
      <c r="L267" s="618"/>
      <c r="M267" s="618"/>
      <c r="N267" s="618"/>
      <c r="O267" s="618"/>
      <c r="P267" s="618"/>
      <c r="Q267" s="169"/>
      <c r="R267" s="169"/>
      <c r="S267" s="458"/>
      <c r="T267" s="169"/>
      <c r="U267" s="169"/>
      <c r="V267" s="169"/>
      <c r="W267" s="169"/>
      <c r="X267" s="169"/>
      <c r="Y267" s="169"/>
      <c r="Z267" s="169"/>
      <c r="AA267" s="169"/>
      <c r="AB267" s="169"/>
      <c r="AC267" s="169"/>
      <c r="AD267" s="169"/>
      <c r="AE267" s="169"/>
      <c r="AF267" s="169"/>
      <c r="AG267" s="617"/>
      <c r="AH267" s="169"/>
      <c r="AI267" s="629"/>
      <c r="AJ267" s="618"/>
      <c r="AK267" s="618"/>
      <c r="AL267" s="618"/>
      <c r="AM267" s="618"/>
      <c r="AN267" s="458"/>
      <c r="AO267" s="618"/>
      <c r="AP267" s="618"/>
      <c r="BA267" s="1318"/>
      <c r="BB267" s="174"/>
      <c r="BC267" s="169"/>
      <c r="BD267" s="1324"/>
      <c r="BE267" s="1324"/>
      <c r="BF267" s="1324"/>
      <c r="BG267" s="1324"/>
    </row>
    <row r="268" spans="1:59" ht="15.75" customHeight="1">
      <c r="A268" s="174"/>
      <c r="B268" s="642"/>
      <c r="C268" s="617"/>
      <c r="D268" s="618"/>
      <c r="E268" s="618"/>
      <c r="F268" s="618"/>
      <c r="G268" s="458"/>
      <c r="H268" s="618"/>
      <c r="I268" s="618"/>
      <c r="J268" s="617"/>
      <c r="K268" s="169"/>
      <c r="L268" s="618"/>
      <c r="M268" s="618"/>
      <c r="N268" s="618"/>
      <c r="O268" s="618"/>
      <c r="P268" s="618"/>
      <c r="Q268" s="169"/>
      <c r="R268" s="169"/>
      <c r="S268" s="458"/>
      <c r="T268" s="169"/>
      <c r="U268" s="169"/>
      <c r="V268" s="169"/>
      <c r="W268" s="169"/>
      <c r="X268" s="169"/>
      <c r="Y268" s="169"/>
      <c r="Z268" s="169"/>
      <c r="AA268" s="169"/>
      <c r="AB268" s="169"/>
      <c r="AC268" s="169"/>
      <c r="AD268" s="169"/>
      <c r="AE268" s="169"/>
      <c r="AF268" s="169"/>
      <c r="AG268" s="617"/>
      <c r="AH268" s="169"/>
      <c r="AI268" s="629"/>
      <c r="AJ268" s="618"/>
      <c r="AK268" s="618"/>
      <c r="AL268" s="618"/>
      <c r="AM268" s="618"/>
      <c r="AN268" s="454"/>
      <c r="AO268" s="178"/>
      <c r="AP268" s="178"/>
      <c r="BA268" s="1305"/>
      <c r="BB268" s="174"/>
      <c r="BC268" s="169"/>
      <c r="BD268" s="1324"/>
      <c r="BE268" s="1324"/>
      <c r="BF268" s="1324"/>
      <c r="BG268" s="1324"/>
    </row>
    <row r="269" spans="1:59" ht="15.75" customHeight="1">
      <c r="A269" s="174"/>
      <c r="B269" s="618"/>
      <c r="C269" s="617"/>
      <c r="D269" s="618"/>
      <c r="E269" s="618"/>
      <c r="F269" s="618"/>
      <c r="G269" s="458"/>
      <c r="H269" s="618"/>
      <c r="I269" s="454"/>
      <c r="J269" s="617"/>
      <c r="K269" s="618"/>
      <c r="L269" s="618"/>
      <c r="M269" s="618"/>
      <c r="N269" s="618"/>
      <c r="O269" s="618"/>
      <c r="P269" s="618"/>
      <c r="Q269" s="169"/>
      <c r="R269" s="169"/>
      <c r="S269" s="458"/>
      <c r="T269" s="169"/>
      <c r="U269" s="169"/>
      <c r="V269" s="169"/>
      <c r="W269" s="169"/>
      <c r="X269" s="169"/>
      <c r="Y269" s="169"/>
      <c r="Z269" s="169"/>
      <c r="AA269" s="169"/>
      <c r="AB269" s="169"/>
      <c r="AC269" s="169"/>
      <c r="AD269" s="169"/>
      <c r="AE269" s="169"/>
      <c r="AF269" s="169"/>
      <c r="AG269" s="617"/>
      <c r="AH269" s="169"/>
      <c r="AI269" s="629"/>
      <c r="AJ269" s="618"/>
      <c r="AK269" s="618"/>
      <c r="AL269" s="618"/>
      <c r="AM269" s="618"/>
      <c r="AN269" s="458"/>
      <c r="AO269" s="618"/>
      <c r="AP269" s="618"/>
      <c r="BA269" s="1305"/>
      <c r="BB269" s="174"/>
      <c r="BC269" s="169"/>
      <c r="BD269" s="1324"/>
      <c r="BE269" s="1324"/>
      <c r="BF269" s="1324"/>
      <c r="BG269" s="1324"/>
    </row>
    <row r="270" spans="1:59" ht="15.75" customHeight="1">
      <c r="B270" s="180"/>
      <c r="C270" s="617"/>
      <c r="D270" s="177"/>
      <c r="E270" s="177"/>
      <c r="G270" s="458"/>
      <c r="I270" s="182"/>
      <c r="J270" s="617"/>
      <c r="K270" s="169"/>
      <c r="L270" s="169"/>
      <c r="M270" s="169"/>
      <c r="P270" s="169"/>
      <c r="Q270" s="169"/>
      <c r="R270" s="169"/>
      <c r="S270" s="458"/>
      <c r="T270" s="169"/>
      <c r="U270" s="169"/>
      <c r="V270" s="169"/>
      <c r="W270" s="169"/>
      <c r="X270" s="169"/>
      <c r="Y270" s="169"/>
      <c r="Z270" s="169"/>
      <c r="AA270" s="169"/>
      <c r="AB270" s="169"/>
      <c r="AC270" s="169"/>
      <c r="AD270" s="169"/>
      <c r="AE270" s="169"/>
      <c r="AF270" s="169"/>
      <c r="AG270" s="617"/>
      <c r="AH270" s="169"/>
      <c r="AI270" s="629"/>
      <c r="AJ270" s="169"/>
      <c r="AL270" s="169"/>
      <c r="AM270" s="618"/>
      <c r="AN270" s="454"/>
      <c r="AO270" s="178"/>
      <c r="AP270" s="178"/>
      <c r="BA270" s="1305"/>
      <c r="BC270" s="169"/>
    </row>
    <row r="271" spans="1:59" ht="15.75" customHeight="1">
      <c r="B271" s="175"/>
      <c r="C271" s="617"/>
      <c r="D271" s="177"/>
      <c r="E271" s="177"/>
      <c r="G271" s="458"/>
      <c r="I271" s="179"/>
      <c r="J271" s="617"/>
      <c r="K271" s="169"/>
      <c r="L271" s="169"/>
      <c r="M271" s="169"/>
      <c r="P271" s="169"/>
      <c r="Q271" s="169"/>
      <c r="R271" s="169"/>
      <c r="S271" s="458"/>
      <c r="T271" s="169"/>
      <c r="U271" s="169"/>
      <c r="V271" s="169"/>
      <c r="W271" s="169"/>
      <c r="X271" s="169"/>
      <c r="Y271" s="169"/>
      <c r="Z271" s="169"/>
      <c r="AA271" s="169"/>
      <c r="AB271" s="169"/>
      <c r="AC271" s="169"/>
      <c r="AD271" s="169"/>
      <c r="AE271" s="169"/>
      <c r="AF271" s="169"/>
      <c r="AG271" s="617"/>
      <c r="AH271" s="169"/>
      <c r="AI271" s="629"/>
      <c r="AJ271" s="169"/>
      <c r="AL271" s="169"/>
      <c r="AM271" s="169"/>
      <c r="AN271" s="454"/>
      <c r="AO271" s="178"/>
      <c r="AP271" s="178"/>
      <c r="BA271" s="1305"/>
      <c r="BC271" s="169"/>
    </row>
    <row r="272" spans="1:59" ht="15.75" customHeight="1">
      <c r="B272" s="180"/>
      <c r="C272" s="617"/>
      <c r="D272" s="177"/>
      <c r="E272" s="177"/>
      <c r="G272" s="458"/>
      <c r="I272" s="618"/>
      <c r="J272" s="617"/>
      <c r="K272" s="169"/>
      <c r="L272" s="169"/>
      <c r="M272" s="169"/>
      <c r="P272" s="169"/>
      <c r="Q272" s="169"/>
      <c r="R272" s="169"/>
      <c r="S272" s="458"/>
      <c r="T272" s="169"/>
      <c r="U272" s="169"/>
      <c r="V272" s="169"/>
      <c r="W272" s="169"/>
      <c r="X272" s="169"/>
      <c r="Y272" s="169"/>
      <c r="Z272" s="169"/>
      <c r="AA272" s="169"/>
      <c r="AB272" s="169"/>
      <c r="AC272" s="169"/>
      <c r="AD272" s="169"/>
      <c r="AE272" s="169"/>
      <c r="AF272" s="169"/>
      <c r="AG272" s="617"/>
      <c r="AH272" s="169"/>
      <c r="AI272" s="629"/>
      <c r="AJ272" s="169"/>
      <c r="AL272" s="169"/>
      <c r="AM272" s="618"/>
      <c r="AN272" s="454"/>
      <c r="AO272" s="178"/>
      <c r="AP272" s="178"/>
      <c r="BA272" s="1305"/>
      <c r="BC272" s="169"/>
    </row>
    <row r="273" spans="1:59" ht="15.75" customHeight="1">
      <c r="B273" s="175"/>
      <c r="C273" s="617"/>
      <c r="D273" s="177"/>
      <c r="E273" s="177"/>
      <c r="G273" s="458"/>
      <c r="I273" s="454"/>
      <c r="J273" s="617"/>
      <c r="K273" s="169"/>
      <c r="L273" s="169"/>
      <c r="M273" s="169"/>
      <c r="P273" s="169"/>
      <c r="Q273" s="169"/>
      <c r="R273" s="169"/>
      <c r="S273" s="458"/>
      <c r="T273" s="169"/>
      <c r="U273" s="169"/>
      <c r="V273" s="169"/>
      <c r="W273" s="169"/>
      <c r="X273" s="169"/>
      <c r="Y273" s="169"/>
      <c r="Z273" s="169"/>
      <c r="AA273" s="169"/>
      <c r="AB273" s="169"/>
      <c r="AC273" s="169"/>
      <c r="AD273" s="169"/>
      <c r="AE273" s="169"/>
      <c r="AF273" s="169"/>
      <c r="AG273" s="617"/>
      <c r="AH273" s="169"/>
      <c r="AI273" s="629"/>
      <c r="AJ273" s="169"/>
      <c r="AL273" s="169"/>
      <c r="AM273" s="169"/>
      <c r="AN273" s="454"/>
      <c r="AO273" s="178"/>
      <c r="AP273" s="178"/>
      <c r="AW273" s="458"/>
      <c r="AX273" s="458"/>
      <c r="BA273" s="1305"/>
      <c r="BC273" s="169"/>
    </row>
    <row r="274" spans="1:59" ht="15.75" customHeight="1">
      <c r="A274" s="174"/>
      <c r="B274" s="642"/>
      <c r="C274" s="617"/>
      <c r="D274" s="618"/>
      <c r="E274" s="618"/>
      <c r="F274" s="179"/>
      <c r="G274" s="458"/>
      <c r="H274" s="618"/>
      <c r="J274" s="617"/>
      <c r="K274" s="169"/>
      <c r="L274" s="169"/>
      <c r="M274" s="169"/>
      <c r="P274" s="618"/>
      <c r="Q274" s="169"/>
      <c r="R274" s="169"/>
      <c r="S274" s="458"/>
      <c r="T274" s="169"/>
      <c r="U274" s="169"/>
      <c r="V274" s="169"/>
      <c r="W274" s="169"/>
      <c r="X274" s="169"/>
      <c r="Y274" s="169"/>
      <c r="Z274" s="169"/>
      <c r="AA274" s="169"/>
      <c r="AB274" s="169"/>
      <c r="AC274" s="169"/>
      <c r="AD274" s="169"/>
      <c r="AE274" s="169"/>
      <c r="AF274" s="169"/>
      <c r="AG274" s="617"/>
      <c r="AH274" s="169"/>
      <c r="AI274" s="629"/>
      <c r="AJ274" s="618"/>
      <c r="AK274" s="618"/>
      <c r="AL274" s="618"/>
      <c r="AM274" s="618"/>
      <c r="AN274" s="454"/>
      <c r="AO274" s="178"/>
      <c r="AP274" s="178"/>
      <c r="BA274" s="1305"/>
      <c r="BB274" s="174"/>
      <c r="BC274" s="169"/>
      <c r="BD274" s="1324"/>
      <c r="BE274" s="1324"/>
      <c r="BF274" s="1324"/>
      <c r="BG274" s="1324"/>
    </row>
    <row r="275" spans="1:59" ht="15.75" customHeight="1">
      <c r="A275" s="174"/>
      <c r="B275" s="618"/>
      <c r="C275" s="617"/>
      <c r="D275" s="618"/>
      <c r="E275" s="618"/>
      <c r="F275" s="618"/>
      <c r="G275" s="458"/>
      <c r="H275" s="618"/>
      <c r="L275" s="618"/>
      <c r="M275" s="618"/>
      <c r="N275" s="618"/>
      <c r="O275" s="618"/>
      <c r="P275" s="618"/>
      <c r="Q275" s="169"/>
      <c r="R275" s="169"/>
      <c r="S275" s="458"/>
      <c r="T275" s="169"/>
      <c r="U275" s="169"/>
      <c r="V275" s="169"/>
      <c r="W275" s="169"/>
      <c r="X275" s="169"/>
      <c r="Y275" s="169"/>
      <c r="Z275" s="169"/>
      <c r="AA275" s="169"/>
      <c r="AB275" s="169"/>
      <c r="AC275" s="169"/>
      <c r="AD275" s="169"/>
      <c r="AE275" s="169"/>
      <c r="AF275" s="169"/>
      <c r="AG275" s="617"/>
      <c r="AH275" s="169"/>
      <c r="AI275" s="629"/>
      <c r="AJ275" s="618"/>
      <c r="AK275" s="618"/>
      <c r="AL275" s="618"/>
      <c r="AM275" s="618"/>
      <c r="AN275" s="458"/>
      <c r="AO275" s="618"/>
      <c r="AP275" s="618"/>
      <c r="BA275" s="1318"/>
      <c r="BB275" s="174"/>
      <c r="BC275" s="169"/>
      <c r="BD275" s="1324"/>
      <c r="BE275" s="1324"/>
      <c r="BF275" s="1324"/>
      <c r="BG275" s="1324"/>
    </row>
    <row r="276" spans="1:59" ht="15.75" customHeight="1">
      <c r="A276" s="174"/>
      <c r="B276" s="642"/>
      <c r="C276" s="617"/>
      <c r="D276" s="618"/>
      <c r="E276" s="618"/>
      <c r="F276" s="618"/>
      <c r="G276" s="458"/>
      <c r="H276" s="618"/>
      <c r="I276" s="618"/>
      <c r="J276" s="617"/>
      <c r="K276" s="169"/>
      <c r="L276" s="618"/>
      <c r="M276" s="618"/>
      <c r="N276" s="618"/>
      <c r="O276" s="618"/>
      <c r="P276" s="618"/>
      <c r="Q276" s="169"/>
      <c r="R276" s="169"/>
      <c r="S276" s="458"/>
      <c r="T276" s="169"/>
      <c r="U276" s="169"/>
      <c r="V276" s="169"/>
      <c r="W276" s="169"/>
      <c r="X276" s="169"/>
      <c r="Y276" s="169"/>
      <c r="Z276" s="169"/>
      <c r="AA276" s="169"/>
      <c r="AB276" s="169"/>
      <c r="AC276" s="169"/>
      <c r="AD276" s="169"/>
      <c r="AE276" s="169"/>
      <c r="AF276" s="169"/>
      <c r="AG276" s="617"/>
      <c r="AH276" s="169"/>
      <c r="AI276" s="629"/>
      <c r="AJ276" s="618"/>
      <c r="AK276" s="618"/>
      <c r="AL276" s="618"/>
      <c r="AM276" s="618"/>
      <c r="AN276" s="454"/>
      <c r="AO276" s="178"/>
      <c r="AP276" s="178"/>
      <c r="BA276" s="1305"/>
      <c r="BB276" s="174"/>
      <c r="BC276" s="169"/>
      <c r="BD276" s="1324"/>
      <c r="BE276" s="1324"/>
      <c r="BF276" s="1324"/>
      <c r="BG276" s="1324"/>
    </row>
    <row r="277" spans="1:59" ht="15.75" customHeight="1">
      <c r="A277" s="174"/>
      <c r="B277" s="618"/>
      <c r="C277" s="617"/>
      <c r="D277" s="618"/>
      <c r="E277" s="618"/>
      <c r="F277" s="618"/>
      <c r="G277" s="458"/>
      <c r="H277" s="618"/>
      <c r="I277" s="454"/>
      <c r="J277" s="617"/>
      <c r="K277" s="618"/>
      <c r="L277" s="618"/>
      <c r="M277" s="618"/>
      <c r="N277" s="618"/>
      <c r="O277" s="618"/>
      <c r="P277" s="618"/>
      <c r="Q277" s="169"/>
      <c r="R277" s="169"/>
      <c r="S277" s="458"/>
      <c r="T277" s="169"/>
      <c r="U277" s="169"/>
      <c r="V277" s="169"/>
      <c r="W277" s="169"/>
      <c r="X277" s="169"/>
      <c r="Y277" s="169"/>
      <c r="Z277" s="169"/>
      <c r="AA277" s="169"/>
      <c r="AB277" s="169"/>
      <c r="AC277" s="169"/>
      <c r="AD277" s="169"/>
      <c r="AE277" s="169"/>
      <c r="AF277" s="169"/>
      <c r="AG277" s="617"/>
      <c r="AH277" s="169"/>
      <c r="AI277" s="629"/>
      <c r="AJ277" s="618"/>
      <c r="AK277" s="618"/>
      <c r="AL277" s="618"/>
      <c r="AM277" s="618"/>
      <c r="AN277" s="458"/>
      <c r="AO277" s="618"/>
      <c r="AP277" s="618"/>
      <c r="BA277" s="1305"/>
      <c r="BB277" s="174"/>
      <c r="BC277" s="169"/>
      <c r="BD277" s="1324"/>
      <c r="BE277" s="1324"/>
      <c r="BF277" s="1324"/>
      <c r="BG277" s="1324"/>
    </row>
    <row r="278" spans="1:59" ht="15.75" customHeight="1">
      <c r="B278" s="180"/>
      <c r="C278" s="617"/>
      <c r="D278" s="177"/>
      <c r="E278" s="177"/>
      <c r="G278" s="458"/>
      <c r="I278" s="182"/>
      <c r="J278" s="617"/>
      <c r="K278" s="169"/>
      <c r="L278" s="169"/>
      <c r="M278" s="169"/>
      <c r="P278" s="169"/>
      <c r="Q278" s="169"/>
      <c r="R278" s="169"/>
      <c r="S278" s="458"/>
      <c r="T278" s="169"/>
      <c r="U278" s="169"/>
      <c r="V278" s="169"/>
      <c r="W278" s="169"/>
      <c r="X278" s="169"/>
      <c r="Y278" s="169"/>
      <c r="Z278" s="169"/>
      <c r="AA278" s="169"/>
      <c r="AB278" s="169"/>
      <c r="AC278" s="169"/>
      <c r="AD278" s="169"/>
      <c r="AE278" s="169"/>
      <c r="AF278" s="169"/>
      <c r="AG278" s="617"/>
      <c r="AH278" s="169"/>
      <c r="AI278" s="629"/>
      <c r="AJ278" s="169"/>
      <c r="AL278" s="169"/>
      <c r="AM278" s="618"/>
      <c r="AN278" s="454"/>
      <c r="AO278" s="178"/>
      <c r="AP278" s="178"/>
      <c r="BA278" s="1305"/>
      <c r="BC278" s="169"/>
    </row>
    <row r="279" spans="1:59" ht="15.75" customHeight="1">
      <c r="B279" s="175"/>
      <c r="C279" s="617"/>
      <c r="D279" s="177"/>
      <c r="E279" s="177"/>
      <c r="G279" s="458"/>
      <c r="I279" s="179"/>
      <c r="J279" s="617"/>
      <c r="K279" s="169"/>
      <c r="L279" s="169"/>
      <c r="M279" s="169"/>
      <c r="P279" s="169"/>
      <c r="Q279" s="169"/>
      <c r="R279" s="169"/>
      <c r="S279" s="458"/>
      <c r="T279" s="169"/>
      <c r="U279" s="169"/>
      <c r="V279" s="169"/>
      <c r="W279" s="169"/>
      <c r="X279" s="169"/>
      <c r="Y279" s="169"/>
      <c r="Z279" s="169"/>
      <c r="AA279" s="169"/>
      <c r="AB279" s="169"/>
      <c r="AC279" s="169"/>
      <c r="AD279" s="169"/>
      <c r="AE279" s="169"/>
      <c r="AF279" s="169"/>
      <c r="AG279" s="617"/>
      <c r="AH279" s="169"/>
      <c r="AI279" s="629"/>
      <c r="AJ279" s="169"/>
      <c r="AL279" s="169"/>
      <c r="AM279" s="169"/>
      <c r="AN279" s="454"/>
      <c r="AO279" s="178"/>
      <c r="AP279" s="178"/>
      <c r="BA279" s="1305"/>
      <c r="BC279" s="169"/>
    </row>
    <row r="280" spans="1:59" ht="15.75" customHeight="1">
      <c r="B280" s="180"/>
      <c r="C280" s="617"/>
      <c r="D280" s="177"/>
      <c r="E280" s="177"/>
      <c r="G280" s="458"/>
      <c r="I280" s="618"/>
      <c r="J280" s="617"/>
      <c r="K280" s="169"/>
      <c r="L280" s="169"/>
      <c r="M280" s="169"/>
      <c r="P280" s="169"/>
      <c r="Q280" s="169"/>
      <c r="R280" s="169"/>
      <c r="S280" s="458"/>
      <c r="T280" s="169"/>
      <c r="U280" s="169"/>
      <c r="V280" s="169"/>
      <c r="W280" s="169"/>
      <c r="X280" s="169"/>
      <c r="Y280" s="169"/>
      <c r="Z280" s="169"/>
      <c r="AA280" s="169"/>
      <c r="AB280" s="169"/>
      <c r="AC280" s="169"/>
      <c r="AD280" s="169"/>
      <c r="AE280" s="169"/>
      <c r="AF280" s="169"/>
      <c r="AG280" s="617"/>
      <c r="AH280" s="169"/>
      <c r="AI280" s="629"/>
      <c r="AJ280" s="169"/>
      <c r="AL280" s="169"/>
      <c r="AM280" s="618"/>
      <c r="AN280" s="454"/>
      <c r="AO280" s="178"/>
      <c r="AP280" s="178"/>
      <c r="BA280" s="1305"/>
      <c r="BC280" s="169"/>
    </row>
    <row r="281" spans="1:59" ht="15.75" customHeight="1">
      <c r="B281" s="175"/>
      <c r="C281" s="617"/>
      <c r="D281" s="177"/>
      <c r="E281" s="177"/>
      <c r="G281" s="458"/>
      <c r="I281" s="454"/>
      <c r="J281" s="617"/>
      <c r="K281" s="169"/>
      <c r="L281" s="169"/>
      <c r="M281" s="169"/>
      <c r="P281" s="169"/>
      <c r="Q281" s="169"/>
      <c r="R281" s="169"/>
      <c r="S281" s="458"/>
      <c r="T281" s="169"/>
      <c r="U281" s="169"/>
      <c r="V281" s="169"/>
      <c r="W281" s="169"/>
      <c r="X281" s="169"/>
      <c r="Y281" s="169"/>
      <c r="Z281" s="169"/>
      <c r="AA281" s="169"/>
      <c r="AB281" s="169"/>
      <c r="AC281" s="169"/>
      <c r="AD281" s="169"/>
      <c r="AE281" s="169"/>
      <c r="AF281" s="169"/>
      <c r="AG281" s="617"/>
      <c r="AH281" s="169"/>
      <c r="AI281" s="629"/>
      <c r="AJ281" s="169"/>
      <c r="AL281" s="169"/>
      <c r="AM281" s="169"/>
      <c r="AN281" s="454"/>
      <c r="AO281" s="178"/>
      <c r="AP281" s="178"/>
      <c r="AW281" s="458"/>
      <c r="AX281" s="458"/>
      <c r="BA281" s="1305"/>
      <c r="BC281" s="169"/>
    </row>
    <row r="282" spans="1:59" ht="15.75" customHeight="1">
      <c r="A282" s="174"/>
      <c r="B282" s="642"/>
      <c r="C282" s="617"/>
      <c r="D282" s="618"/>
      <c r="E282" s="618"/>
      <c r="F282" s="179"/>
      <c r="G282" s="458"/>
      <c r="H282" s="618"/>
      <c r="J282" s="617"/>
      <c r="K282" s="169"/>
      <c r="L282" s="169"/>
      <c r="M282" s="169"/>
      <c r="P282" s="618"/>
      <c r="Q282" s="169"/>
      <c r="R282" s="169"/>
      <c r="S282" s="458"/>
      <c r="T282" s="169"/>
      <c r="U282" s="169"/>
      <c r="V282" s="169"/>
      <c r="W282" s="169"/>
      <c r="X282" s="169"/>
      <c r="Y282" s="169"/>
      <c r="Z282" s="169"/>
      <c r="AA282" s="169"/>
      <c r="AB282" s="169"/>
      <c r="AC282" s="169"/>
      <c r="AD282" s="169"/>
      <c r="AE282" s="169"/>
      <c r="AF282" s="169"/>
      <c r="AG282" s="617"/>
      <c r="AH282" s="169"/>
      <c r="AI282" s="629"/>
      <c r="AJ282" s="618"/>
      <c r="AK282" s="618"/>
      <c r="AL282" s="618"/>
      <c r="AM282" s="618"/>
      <c r="AN282" s="454"/>
      <c r="AO282" s="178"/>
      <c r="AP282" s="178"/>
      <c r="BA282" s="1305"/>
      <c r="BB282" s="174"/>
      <c r="BC282" s="169"/>
      <c r="BD282" s="1324"/>
      <c r="BE282" s="1324"/>
      <c r="BF282" s="1324"/>
      <c r="BG282" s="1324"/>
    </row>
    <row r="283" spans="1:59" ht="15.75" customHeight="1">
      <c r="A283" s="174"/>
      <c r="B283" s="618"/>
      <c r="C283" s="617"/>
      <c r="D283" s="618"/>
      <c r="E283" s="618"/>
      <c r="F283" s="618"/>
      <c r="G283" s="458"/>
      <c r="H283" s="618"/>
      <c r="L283" s="618"/>
      <c r="M283" s="618"/>
      <c r="N283" s="618"/>
      <c r="O283" s="618"/>
      <c r="P283" s="618"/>
      <c r="Q283" s="169"/>
      <c r="R283" s="169"/>
      <c r="S283" s="458"/>
      <c r="T283" s="169"/>
      <c r="U283" s="169"/>
      <c r="V283" s="169"/>
      <c r="W283" s="169"/>
      <c r="X283" s="169"/>
      <c r="Y283" s="169"/>
      <c r="Z283" s="169"/>
      <c r="AA283" s="169"/>
      <c r="AB283" s="169"/>
      <c r="AC283" s="169"/>
      <c r="AD283" s="169"/>
      <c r="AE283" s="169"/>
      <c r="AF283" s="169"/>
      <c r="AG283" s="617"/>
      <c r="AH283" s="169"/>
      <c r="AI283" s="629"/>
      <c r="AJ283" s="618"/>
      <c r="AK283" s="618"/>
      <c r="AL283" s="618"/>
      <c r="AM283" s="618"/>
      <c r="AN283" s="458"/>
      <c r="AO283" s="618"/>
      <c r="AP283" s="618"/>
      <c r="BA283" s="1318"/>
      <c r="BB283" s="174"/>
      <c r="BC283" s="169"/>
      <c r="BD283" s="1324"/>
      <c r="BE283" s="1324"/>
      <c r="BF283" s="1324"/>
      <c r="BG283" s="1324"/>
    </row>
    <row r="284" spans="1:59" ht="15.75" customHeight="1">
      <c r="A284" s="174"/>
      <c r="B284" s="642"/>
      <c r="C284" s="617"/>
      <c r="D284" s="618"/>
      <c r="E284" s="618"/>
      <c r="F284" s="618"/>
      <c r="G284" s="458"/>
      <c r="H284" s="618"/>
      <c r="I284" s="618"/>
      <c r="J284" s="617"/>
      <c r="K284" s="169"/>
      <c r="L284" s="618"/>
      <c r="M284" s="618"/>
      <c r="N284" s="618"/>
      <c r="O284" s="618"/>
      <c r="P284" s="618"/>
      <c r="Q284" s="169"/>
      <c r="R284" s="169"/>
      <c r="S284" s="458"/>
      <c r="T284" s="169"/>
      <c r="U284" s="169"/>
      <c r="V284" s="169"/>
      <c r="W284" s="169"/>
      <c r="X284" s="169"/>
      <c r="Y284" s="169"/>
      <c r="Z284" s="169"/>
      <c r="AA284" s="169"/>
      <c r="AB284" s="169"/>
      <c r="AC284" s="169"/>
      <c r="AD284" s="169"/>
      <c r="AE284" s="169"/>
      <c r="AF284" s="169"/>
      <c r="AG284" s="617"/>
      <c r="AH284" s="169"/>
      <c r="AI284" s="629"/>
      <c r="AJ284" s="618"/>
      <c r="AK284" s="618"/>
      <c r="AL284" s="618"/>
      <c r="AM284" s="618"/>
      <c r="AN284" s="454"/>
      <c r="AO284" s="178"/>
      <c r="AP284" s="178"/>
      <c r="BA284" s="1305"/>
      <c r="BB284" s="174"/>
      <c r="BC284" s="169"/>
      <c r="BD284" s="1324"/>
      <c r="BE284" s="1324"/>
      <c r="BF284" s="1324"/>
      <c r="BG284" s="1324"/>
    </row>
    <row r="285" spans="1:59" ht="15.75" customHeight="1">
      <c r="A285" s="174"/>
      <c r="B285" s="618"/>
      <c r="C285" s="617"/>
      <c r="D285" s="618"/>
      <c r="E285" s="618"/>
      <c r="F285" s="618"/>
      <c r="G285" s="458"/>
      <c r="H285" s="618"/>
      <c r="I285" s="454"/>
      <c r="J285" s="617"/>
      <c r="K285" s="618"/>
      <c r="L285" s="618"/>
      <c r="M285" s="618"/>
      <c r="N285" s="618"/>
      <c r="O285" s="618"/>
      <c r="P285" s="618"/>
      <c r="Q285" s="169"/>
      <c r="R285" s="169"/>
      <c r="S285" s="458"/>
      <c r="T285" s="169"/>
      <c r="U285" s="169"/>
      <c r="V285" s="169"/>
      <c r="W285" s="169"/>
      <c r="X285" s="169"/>
      <c r="Y285" s="169"/>
      <c r="Z285" s="169"/>
      <c r="AA285" s="169"/>
      <c r="AB285" s="169"/>
      <c r="AC285" s="169"/>
      <c r="AD285" s="169"/>
      <c r="AE285" s="169"/>
      <c r="AF285" s="169"/>
      <c r="AG285" s="617"/>
      <c r="AH285" s="169"/>
      <c r="AI285" s="629"/>
      <c r="AJ285" s="618"/>
      <c r="AK285" s="618"/>
      <c r="AL285" s="618"/>
      <c r="AM285" s="618"/>
      <c r="AN285" s="458"/>
      <c r="AO285" s="618"/>
      <c r="AP285" s="618"/>
      <c r="BA285" s="1305"/>
      <c r="BB285" s="174"/>
      <c r="BC285" s="169"/>
      <c r="BD285" s="1324"/>
      <c r="BE285" s="1324"/>
      <c r="BF285" s="1324"/>
      <c r="BG285" s="1324"/>
    </row>
    <row r="286" spans="1:59" ht="15.75" customHeight="1">
      <c r="B286" s="180"/>
      <c r="C286" s="617"/>
      <c r="D286" s="177"/>
      <c r="E286" s="177"/>
      <c r="G286" s="458"/>
      <c r="I286" s="182"/>
      <c r="J286" s="617"/>
      <c r="K286" s="169"/>
      <c r="L286" s="169"/>
      <c r="M286" s="169"/>
      <c r="P286" s="169"/>
      <c r="Q286" s="169"/>
      <c r="R286" s="169"/>
      <c r="S286" s="458"/>
      <c r="T286" s="169"/>
      <c r="U286" s="169"/>
      <c r="V286" s="169"/>
      <c r="W286" s="169"/>
      <c r="X286" s="169"/>
      <c r="Y286" s="169"/>
      <c r="Z286" s="169"/>
      <c r="AA286" s="169"/>
      <c r="AB286" s="169"/>
      <c r="AC286" s="169"/>
      <c r="AD286" s="169"/>
      <c r="AE286" s="169"/>
      <c r="AF286" s="169"/>
      <c r="AG286" s="617"/>
      <c r="AH286" s="169"/>
      <c r="AI286" s="629"/>
      <c r="AJ286" s="169"/>
      <c r="AL286" s="169"/>
      <c r="AM286" s="618"/>
      <c r="AN286" s="454"/>
      <c r="AO286" s="178"/>
      <c r="AP286" s="178"/>
      <c r="BA286" s="1305"/>
      <c r="BC286" s="169"/>
    </row>
    <row r="287" spans="1:59" ht="15.75" customHeight="1">
      <c r="B287" s="175"/>
      <c r="C287" s="617"/>
      <c r="D287" s="177"/>
      <c r="E287" s="177"/>
      <c r="G287" s="458"/>
      <c r="I287" s="179"/>
      <c r="J287" s="617"/>
      <c r="K287" s="169"/>
      <c r="L287" s="169"/>
      <c r="M287" s="169"/>
      <c r="P287" s="169"/>
      <c r="Q287" s="169"/>
      <c r="R287" s="169"/>
      <c r="S287" s="458"/>
      <c r="T287" s="169"/>
      <c r="U287" s="169"/>
      <c r="V287" s="169"/>
      <c r="W287" s="169"/>
      <c r="X287" s="169"/>
      <c r="Y287" s="169"/>
      <c r="Z287" s="169"/>
      <c r="AA287" s="169"/>
      <c r="AB287" s="169"/>
      <c r="AC287" s="169"/>
      <c r="AD287" s="169"/>
      <c r="AE287" s="169"/>
      <c r="AF287" s="169"/>
      <c r="AG287" s="617"/>
      <c r="AH287" s="169"/>
      <c r="AI287" s="629"/>
      <c r="AJ287" s="169"/>
      <c r="AL287" s="169"/>
      <c r="AM287" s="169"/>
      <c r="AN287" s="454"/>
      <c r="AO287" s="178"/>
      <c r="AP287" s="178"/>
      <c r="BA287" s="1305"/>
      <c r="BC287" s="169"/>
    </row>
    <row r="288" spans="1:59" ht="15.75" customHeight="1">
      <c r="B288" s="180"/>
      <c r="C288" s="617"/>
      <c r="D288" s="177"/>
      <c r="E288" s="177"/>
      <c r="G288" s="458"/>
      <c r="I288" s="618"/>
      <c r="J288" s="617"/>
      <c r="K288" s="169"/>
      <c r="L288" s="169"/>
      <c r="M288" s="169"/>
      <c r="P288" s="169"/>
      <c r="Q288" s="169"/>
      <c r="R288" s="169"/>
      <c r="S288" s="458"/>
      <c r="T288" s="169"/>
      <c r="U288" s="169"/>
      <c r="V288" s="169"/>
      <c r="W288" s="169"/>
      <c r="X288" s="169"/>
      <c r="Y288" s="169"/>
      <c r="Z288" s="169"/>
      <c r="AA288" s="169"/>
      <c r="AB288" s="169"/>
      <c r="AC288" s="169"/>
      <c r="AD288" s="169"/>
      <c r="AE288" s="169"/>
      <c r="AF288" s="169"/>
      <c r="AG288" s="617"/>
      <c r="AH288" s="169"/>
      <c r="AI288" s="629"/>
      <c r="AJ288" s="169"/>
      <c r="AL288" s="169"/>
      <c r="AM288" s="618"/>
      <c r="AN288" s="454"/>
      <c r="AO288" s="178"/>
      <c r="AP288" s="178"/>
      <c r="BA288" s="1305"/>
      <c r="BC288" s="169"/>
    </row>
    <row r="289" spans="1:59" ht="15.75" customHeight="1">
      <c r="B289" s="175"/>
      <c r="C289" s="617"/>
      <c r="D289" s="177"/>
      <c r="E289" s="177"/>
      <c r="G289" s="458"/>
      <c r="I289" s="454"/>
      <c r="J289" s="617"/>
      <c r="K289" s="169"/>
      <c r="L289" s="169"/>
      <c r="M289" s="169"/>
      <c r="P289" s="169"/>
      <c r="Q289" s="169"/>
      <c r="R289" s="169"/>
      <c r="S289" s="458"/>
      <c r="T289" s="169"/>
      <c r="U289" s="169"/>
      <c r="V289" s="169"/>
      <c r="W289" s="169"/>
      <c r="X289" s="169"/>
      <c r="Y289" s="169"/>
      <c r="Z289" s="169"/>
      <c r="AA289" s="169"/>
      <c r="AB289" s="169"/>
      <c r="AC289" s="169"/>
      <c r="AD289" s="169"/>
      <c r="AE289" s="169"/>
      <c r="AF289" s="169"/>
      <c r="AG289" s="617"/>
      <c r="AH289" s="169"/>
      <c r="AI289" s="629"/>
      <c r="AJ289" s="169"/>
      <c r="AL289" s="169"/>
      <c r="AM289" s="169"/>
      <c r="AN289" s="454"/>
      <c r="AO289" s="178"/>
      <c r="AP289" s="178"/>
      <c r="AW289" s="458"/>
      <c r="AX289" s="458"/>
      <c r="BA289" s="1305"/>
      <c r="BC289" s="169"/>
    </row>
    <row r="290" spans="1:59" ht="15.75" customHeight="1">
      <c r="A290" s="174"/>
      <c r="B290" s="642"/>
      <c r="C290" s="617"/>
      <c r="D290" s="618"/>
      <c r="E290" s="618"/>
      <c r="F290" s="179"/>
      <c r="G290" s="458"/>
      <c r="H290" s="618"/>
      <c r="J290" s="617"/>
      <c r="K290" s="169"/>
      <c r="L290" s="169"/>
      <c r="M290" s="169"/>
      <c r="P290" s="618"/>
      <c r="Q290" s="169"/>
      <c r="R290" s="169"/>
      <c r="S290" s="458"/>
      <c r="T290" s="169"/>
      <c r="U290" s="169"/>
      <c r="V290" s="169"/>
      <c r="W290" s="169"/>
      <c r="X290" s="169"/>
      <c r="Y290" s="169"/>
      <c r="Z290" s="169"/>
      <c r="AA290" s="169"/>
      <c r="AB290" s="169"/>
      <c r="AC290" s="169"/>
      <c r="AD290" s="169"/>
      <c r="AE290" s="169"/>
      <c r="AF290" s="169"/>
      <c r="AG290" s="617"/>
      <c r="AH290" s="169"/>
      <c r="AI290" s="629"/>
      <c r="AJ290" s="618"/>
      <c r="AK290" s="618"/>
      <c r="AL290" s="618"/>
      <c r="AM290" s="618"/>
      <c r="AN290" s="454"/>
      <c r="AO290" s="178"/>
      <c r="AP290" s="178"/>
      <c r="BA290" s="1305"/>
      <c r="BB290" s="174"/>
      <c r="BC290" s="169"/>
      <c r="BD290" s="1324"/>
      <c r="BE290" s="1324"/>
      <c r="BF290" s="1324"/>
      <c r="BG290" s="1324"/>
    </row>
    <row r="291" spans="1:59" ht="15.75" customHeight="1">
      <c r="A291" s="174"/>
      <c r="B291" s="618"/>
      <c r="C291" s="617"/>
      <c r="D291" s="618"/>
      <c r="E291" s="618"/>
      <c r="F291" s="618"/>
      <c r="G291" s="458"/>
      <c r="H291" s="618"/>
      <c r="L291" s="618"/>
      <c r="M291" s="618"/>
      <c r="N291" s="618"/>
      <c r="O291" s="618"/>
      <c r="P291" s="618"/>
      <c r="Q291" s="169"/>
      <c r="R291" s="169"/>
      <c r="S291" s="458"/>
      <c r="T291" s="169"/>
      <c r="U291" s="169"/>
      <c r="V291" s="169"/>
      <c r="W291" s="169"/>
      <c r="X291" s="169"/>
      <c r="Y291" s="169"/>
      <c r="Z291" s="169"/>
      <c r="AA291" s="169"/>
      <c r="AB291" s="169"/>
      <c r="AC291" s="169"/>
      <c r="AD291" s="169"/>
      <c r="AE291" s="169"/>
      <c r="AF291" s="169"/>
      <c r="AG291" s="617"/>
      <c r="AH291" s="169"/>
      <c r="AI291" s="629"/>
      <c r="AJ291" s="618"/>
      <c r="AK291" s="618"/>
      <c r="AL291" s="618"/>
      <c r="AM291" s="618"/>
      <c r="AN291" s="458"/>
      <c r="AO291" s="618"/>
      <c r="AP291" s="618"/>
      <c r="BA291" s="1318"/>
      <c r="BB291" s="174"/>
      <c r="BC291" s="169"/>
      <c r="BD291" s="1324"/>
      <c r="BE291" s="1324"/>
      <c r="BF291" s="1324"/>
      <c r="BG291" s="1324"/>
    </row>
    <row r="292" spans="1:59" ht="15.75" customHeight="1">
      <c r="A292" s="174"/>
      <c r="B292" s="642"/>
      <c r="C292" s="617"/>
      <c r="D292" s="618"/>
      <c r="E292" s="618"/>
      <c r="F292" s="618"/>
      <c r="G292" s="458"/>
      <c r="H292" s="618"/>
      <c r="I292" s="618"/>
      <c r="J292" s="617"/>
      <c r="K292" s="169"/>
      <c r="L292" s="618"/>
      <c r="M292" s="618"/>
      <c r="N292" s="618"/>
      <c r="O292" s="618"/>
      <c r="P292" s="618"/>
      <c r="Q292" s="169"/>
      <c r="R292" s="169"/>
      <c r="S292" s="458"/>
      <c r="T292" s="169"/>
      <c r="U292" s="169"/>
      <c r="V292" s="169"/>
      <c r="W292" s="169"/>
      <c r="X292" s="169"/>
      <c r="Y292" s="169"/>
      <c r="Z292" s="169"/>
      <c r="AA292" s="169"/>
      <c r="AB292" s="169"/>
      <c r="AC292" s="169"/>
      <c r="AD292" s="169"/>
      <c r="AE292" s="169"/>
      <c r="AF292" s="169"/>
      <c r="AG292" s="617"/>
      <c r="AH292" s="169"/>
      <c r="AI292" s="629"/>
      <c r="AJ292" s="618"/>
      <c r="AK292" s="618"/>
      <c r="AL292" s="618"/>
      <c r="AM292" s="618"/>
      <c r="AN292" s="454"/>
      <c r="AO292" s="178"/>
      <c r="AP292" s="178"/>
      <c r="BA292" s="1305"/>
      <c r="BB292" s="174"/>
      <c r="BC292" s="169"/>
      <c r="BD292" s="1324"/>
      <c r="BE292" s="1324"/>
      <c r="BF292" s="1324"/>
      <c r="BG292" s="1324"/>
    </row>
    <row r="293" spans="1:59" ht="15.75" customHeight="1">
      <c r="A293" s="174"/>
      <c r="B293" s="618"/>
      <c r="C293" s="617"/>
      <c r="D293" s="618"/>
      <c r="E293" s="618"/>
      <c r="F293" s="618"/>
      <c r="G293" s="458"/>
      <c r="H293" s="618"/>
      <c r="I293" s="454"/>
      <c r="J293" s="617"/>
      <c r="K293" s="618"/>
      <c r="L293" s="618"/>
      <c r="M293" s="618"/>
      <c r="N293" s="618"/>
      <c r="O293" s="618"/>
      <c r="P293" s="618"/>
      <c r="Q293" s="169"/>
      <c r="R293" s="169"/>
      <c r="S293" s="458"/>
      <c r="T293" s="169"/>
      <c r="U293" s="169"/>
      <c r="V293" s="169"/>
      <c r="W293" s="169"/>
      <c r="X293" s="169"/>
      <c r="Y293" s="169"/>
      <c r="Z293" s="169"/>
      <c r="AA293" s="169"/>
      <c r="AB293" s="169"/>
      <c r="AC293" s="169"/>
      <c r="AD293" s="169"/>
      <c r="AE293" s="169"/>
      <c r="AF293" s="169"/>
      <c r="AG293" s="617"/>
      <c r="AH293" s="169"/>
      <c r="AI293" s="629"/>
      <c r="AJ293" s="618"/>
      <c r="AK293" s="618"/>
      <c r="AL293" s="618"/>
      <c r="AM293" s="618"/>
      <c r="AN293" s="458"/>
      <c r="AO293" s="618"/>
      <c r="AP293" s="618"/>
      <c r="BA293" s="1305"/>
      <c r="BB293" s="174"/>
      <c r="BC293" s="169"/>
      <c r="BD293" s="1324"/>
      <c r="BE293" s="1324"/>
      <c r="BF293" s="1324"/>
      <c r="BG293" s="1324"/>
    </row>
    <row r="294" spans="1:59" ht="15.75" customHeight="1">
      <c r="B294" s="180"/>
      <c r="C294" s="617"/>
      <c r="D294" s="177"/>
      <c r="E294" s="177"/>
      <c r="G294" s="458"/>
      <c r="I294" s="182"/>
      <c r="J294" s="617"/>
      <c r="K294" s="169"/>
      <c r="L294" s="169"/>
      <c r="M294" s="169"/>
      <c r="P294" s="169"/>
      <c r="Q294" s="169"/>
      <c r="R294" s="169"/>
      <c r="S294" s="458"/>
      <c r="T294" s="169"/>
      <c r="U294" s="169"/>
      <c r="V294" s="169"/>
      <c r="W294" s="169"/>
      <c r="X294" s="169"/>
      <c r="Y294" s="169"/>
      <c r="Z294" s="169"/>
      <c r="AA294" s="169"/>
      <c r="AB294" s="169"/>
      <c r="AC294" s="169"/>
      <c r="AD294" s="169"/>
      <c r="AE294" s="169"/>
      <c r="AF294" s="169"/>
      <c r="AG294" s="617"/>
      <c r="AH294" s="169"/>
      <c r="AI294" s="629"/>
      <c r="AJ294" s="169"/>
      <c r="AL294" s="169"/>
      <c r="AM294" s="618"/>
      <c r="AN294" s="454"/>
      <c r="AO294" s="178"/>
      <c r="AP294" s="178"/>
      <c r="BA294" s="1305"/>
      <c r="BC294" s="169"/>
    </row>
    <row r="295" spans="1:59" ht="15.75" customHeight="1">
      <c r="B295" s="175"/>
      <c r="C295" s="617"/>
      <c r="D295" s="177"/>
      <c r="E295" s="177"/>
      <c r="G295" s="458"/>
      <c r="I295" s="179"/>
      <c r="J295" s="617"/>
      <c r="K295" s="169"/>
      <c r="L295" s="169"/>
      <c r="M295" s="169"/>
      <c r="P295" s="169"/>
      <c r="Q295" s="169"/>
      <c r="R295" s="169"/>
      <c r="S295" s="458"/>
      <c r="T295" s="169"/>
      <c r="U295" s="169"/>
      <c r="V295" s="169"/>
      <c r="W295" s="169"/>
      <c r="X295" s="169"/>
      <c r="Y295" s="169"/>
      <c r="Z295" s="169"/>
      <c r="AA295" s="169"/>
      <c r="AB295" s="169"/>
      <c r="AC295" s="169"/>
      <c r="AD295" s="169"/>
      <c r="AE295" s="169"/>
      <c r="AF295" s="169"/>
      <c r="AG295" s="617"/>
      <c r="AH295" s="169"/>
      <c r="AI295" s="629"/>
      <c r="AJ295" s="169"/>
      <c r="AL295" s="169"/>
      <c r="AM295" s="169"/>
      <c r="AN295" s="454"/>
      <c r="AO295" s="178"/>
      <c r="AP295" s="178"/>
      <c r="BA295" s="1305"/>
      <c r="BC295" s="169"/>
    </row>
    <row r="296" spans="1:59" ht="15.75" customHeight="1">
      <c r="B296" s="180"/>
      <c r="C296" s="617"/>
      <c r="D296" s="177"/>
      <c r="E296" s="177"/>
      <c r="G296" s="458"/>
      <c r="I296" s="618"/>
      <c r="J296" s="617"/>
      <c r="K296" s="169"/>
      <c r="L296" s="169"/>
      <c r="M296" s="169"/>
      <c r="P296" s="169"/>
      <c r="Q296" s="169"/>
      <c r="R296" s="169"/>
      <c r="S296" s="458"/>
      <c r="T296" s="169"/>
      <c r="U296" s="169"/>
      <c r="V296" s="169"/>
      <c r="W296" s="169"/>
      <c r="X296" s="169"/>
      <c r="Y296" s="169"/>
      <c r="Z296" s="169"/>
      <c r="AA296" s="169"/>
      <c r="AB296" s="169"/>
      <c r="AC296" s="169"/>
      <c r="AD296" s="169"/>
      <c r="AE296" s="169"/>
      <c r="AF296" s="169"/>
      <c r="AG296" s="617"/>
      <c r="AH296" s="169"/>
      <c r="AI296" s="629"/>
      <c r="AJ296" s="169"/>
      <c r="AL296" s="169"/>
      <c r="AM296" s="618"/>
      <c r="AN296" s="454"/>
      <c r="AO296" s="178"/>
      <c r="AP296" s="178"/>
      <c r="BA296" s="1305"/>
      <c r="BC296" s="169"/>
    </row>
    <row r="297" spans="1:59" ht="15.75" customHeight="1">
      <c r="B297" s="175"/>
      <c r="C297" s="617"/>
      <c r="D297" s="177"/>
      <c r="E297" s="177"/>
      <c r="G297" s="458"/>
      <c r="I297" s="454"/>
      <c r="J297" s="617"/>
      <c r="K297" s="169"/>
      <c r="L297" s="169"/>
      <c r="M297" s="169"/>
      <c r="P297" s="169"/>
      <c r="Q297" s="169"/>
      <c r="R297" s="169"/>
      <c r="S297" s="458"/>
      <c r="T297" s="169"/>
      <c r="U297" s="169"/>
      <c r="V297" s="169"/>
      <c r="W297" s="169"/>
      <c r="X297" s="169"/>
      <c r="Y297" s="169"/>
      <c r="Z297" s="169"/>
      <c r="AA297" s="169"/>
      <c r="AB297" s="169"/>
      <c r="AC297" s="169"/>
      <c r="AD297" s="169"/>
      <c r="AE297" s="169"/>
      <c r="AF297" s="169"/>
      <c r="AG297" s="617"/>
      <c r="AH297" s="169"/>
      <c r="AI297" s="629"/>
      <c r="AJ297" s="169"/>
      <c r="AL297" s="169"/>
      <c r="AM297" s="169"/>
      <c r="AN297" s="454"/>
      <c r="AO297" s="178"/>
      <c r="AP297" s="178"/>
      <c r="AW297" s="458"/>
      <c r="AX297" s="458"/>
      <c r="BA297" s="1305"/>
      <c r="BC297" s="169"/>
    </row>
    <row r="298" spans="1:59" ht="15.75" customHeight="1">
      <c r="A298" s="174"/>
      <c r="B298" s="642"/>
      <c r="C298" s="617"/>
      <c r="D298" s="618"/>
      <c r="E298" s="618"/>
      <c r="F298" s="179"/>
      <c r="G298" s="458"/>
      <c r="H298" s="618"/>
      <c r="J298" s="617"/>
      <c r="K298" s="169"/>
      <c r="L298" s="169"/>
      <c r="M298" s="169"/>
      <c r="P298" s="618"/>
      <c r="Q298" s="169"/>
      <c r="R298" s="169"/>
      <c r="S298" s="458"/>
      <c r="T298" s="169"/>
      <c r="U298" s="169"/>
      <c r="V298" s="169"/>
      <c r="W298" s="169"/>
      <c r="X298" s="169"/>
      <c r="Y298" s="169"/>
      <c r="Z298" s="169"/>
      <c r="AA298" s="169"/>
      <c r="AB298" s="169"/>
      <c r="AC298" s="169"/>
      <c r="AD298" s="169"/>
      <c r="AE298" s="169"/>
      <c r="AF298" s="169"/>
      <c r="AG298" s="617"/>
      <c r="AH298" s="169"/>
      <c r="AI298" s="629"/>
      <c r="AJ298" s="618"/>
      <c r="AK298" s="618"/>
      <c r="AL298" s="618"/>
      <c r="AM298" s="618"/>
      <c r="AN298" s="454"/>
      <c r="AO298" s="178"/>
      <c r="AP298" s="178"/>
      <c r="BA298" s="1305"/>
      <c r="BB298" s="174"/>
      <c r="BC298" s="169"/>
      <c r="BD298" s="1324"/>
      <c r="BE298" s="1324"/>
      <c r="BF298" s="1324"/>
      <c r="BG298" s="1324"/>
    </row>
    <row r="299" spans="1:59" ht="15.75" customHeight="1">
      <c r="A299" s="174"/>
      <c r="B299" s="618"/>
      <c r="C299" s="617"/>
      <c r="D299" s="618"/>
      <c r="E299" s="618"/>
      <c r="F299" s="618"/>
      <c r="G299" s="458"/>
      <c r="H299" s="618"/>
      <c r="L299" s="618"/>
      <c r="M299" s="618"/>
      <c r="N299" s="618"/>
      <c r="O299" s="618"/>
      <c r="P299" s="618"/>
      <c r="Q299" s="169"/>
      <c r="R299" s="169"/>
      <c r="S299" s="458"/>
      <c r="T299" s="169"/>
      <c r="U299" s="169"/>
      <c r="V299" s="169"/>
      <c r="W299" s="169"/>
      <c r="X299" s="169"/>
      <c r="Y299" s="169"/>
      <c r="Z299" s="169"/>
      <c r="AA299" s="169"/>
      <c r="AB299" s="169"/>
      <c r="AC299" s="169"/>
      <c r="AD299" s="169"/>
      <c r="AE299" s="169"/>
      <c r="AF299" s="169"/>
      <c r="AG299" s="617"/>
      <c r="AH299" s="169"/>
      <c r="AI299" s="629"/>
      <c r="AJ299" s="618"/>
      <c r="AK299" s="618"/>
      <c r="AL299" s="618"/>
      <c r="AM299" s="618"/>
      <c r="AN299" s="458"/>
      <c r="AO299" s="618"/>
      <c r="AP299" s="618"/>
      <c r="BA299" s="1318"/>
      <c r="BB299" s="174"/>
      <c r="BC299" s="169"/>
      <c r="BD299" s="1324"/>
      <c r="BE299" s="1324"/>
      <c r="BF299" s="1324"/>
      <c r="BG299" s="1324"/>
    </row>
    <row r="300" spans="1:59" ht="15.75" customHeight="1">
      <c r="A300" s="174"/>
      <c r="B300" s="642"/>
      <c r="C300" s="617"/>
      <c r="D300" s="618"/>
      <c r="E300" s="618"/>
      <c r="F300" s="618"/>
      <c r="G300" s="458"/>
      <c r="H300" s="618"/>
      <c r="I300" s="618"/>
      <c r="J300" s="617"/>
      <c r="K300" s="169"/>
      <c r="L300" s="618"/>
      <c r="M300" s="618"/>
      <c r="N300" s="618"/>
      <c r="O300" s="618"/>
      <c r="P300" s="618"/>
      <c r="Q300" s="169"/>
      <c r="R300" s="169"/>
      <c r="S300" s="458"/>
      <c r="T300" s="169"/>
      <c r="U300" s="169"/>
      <c r="V300" s="169"/>
      <c r="W300" s="169"/>
      <c r="X300" s="169"/>
      <c r="Y300" s="169"/>
      <c r="Z300" s="169"/>
      <c r="AA300" s="169"/>
      <c r="AB300" s="169"/>
      <c r="AC300" s="169"/>
      <c r="AD300" s="169"/>
      <c r="AE300" s="169"/>
      <c r="AF300" s="169"/>
      <c r="AG300" s="617"/>
      <c r="AH300" s="169"/>
      <c r="AI300" s="629"/>
      <c r="AJ300" s="618"/>
      <c r="AK300" s="618"/>
      <c r="AL300" s="618"/>
      <c r="AM300" s="618"/>
      <c r="AN300" s="454"/>
      <c r="AO300" s="178"/>
      <c r="AP300" s="178"/>
      <c r="BA300" s="1305"/>
      <c r="BB300" s="174"/>
      <c r="BC300" s="169"/>
      <c r="BD300" s="1324"/>
      <c r="BE300" s="1324"/>
      <c r="BF300" s="1324"/>
      <c r="BG300" s="1324"/>
    </row>
    <row r="301" spans="1:59" ht="15.75" customHeight="1">
      <c r="A301" s="174"/>
      <c r="B301" s="618"/>
      <c r="C301" s="617"/>
      <c r="D301" s="618"/>
      <c r="E301" s="618"/>
      <c r="F301" s="618"/>
      <c r="G301" s="458"/>
      <c r="H301" s="618"/>
      <c r="I301" s="454"/>
      <c r="J301" s="617"/>
      <c r="K301" s="618"/>
      <c r="L301" s="618"/>
      <c r="M301" s="618"/>
      <c r="N301" s="618"/>
      <c r="O301" s="618"/>
      <c r="P301" s="618"/>
      <c r="Q301" s="169"/>
      <c r="R301" s="169"/>
      <c r="S301" s="458"/>
      <c r="T301" s="169"/>
      <c r="U301" s="169"/>
      <c r="V301" s="169"/>
      <c r="W301" s="169"/>
      <c r="X301" s="169"/>
      <c r="Y301" s="169"/>
      <c r="Z301" s="169"/>
      <c r="AA301" s="169"/>
      <c r="AB301" s="169"/>
      <c r="AC301" s="169"/>
      <c r="AD301" s="169"/>
      <c r="AE301" s="169"/>
      <c r="AF301" s="169"/>
      <c r="AG301" s="617"/>
      <c r="AH301" s="169"/>
      <c r="AI301" s="629"/>
      <c r="AJ301" s="618"/>
      <c r="AK301" s="618"/>
      <c r="AL301" s="618"/>
      <c r="AM301" s="618"/>
      <c r="AN301" s="458"/>
      <c r="AO301" s="618"/>
      <c r="AP301" s="618"/>
      <c r="BA301" s="1305"/>
      <c r="BB301" s="174"/>
      <c r="BC301" s="169"/>
      <c r="BD301" s="1324"/>
      <c r="BE301" s="1324"/>
      <c r="BF301" s="1324"/>
      <c r="BG301" s="1324"/>
    </row>
    <row r="302" spans="1:59" ht="15.75" customHeight="1">
      <c r="B302" s="180"/>
      <c r="C302" s="617"/>
      <c r="D302" s="177"/>
      <c r="E302" s="177"/>
      <c r="G302" s="458"/>
      <c r="I302" s="182"/>
      <c r="J302" s="617"/>
      <c r="K302" s="169"/>
      <c r="L302" s="169"/>
      <c r="M302" s="169"/>
      <c r="P302" s="169"/>
      <c r="Q302" s="169"/>
      <c r="R302" s="169"/>
      <c r="S302" s="458"/>
      <c r="T302" s="169"/>
      <c r="U302" s="169"/>
      <c r="V302" s="169"/>
      <c r="W302" s="169"/>
      <c r="X302" s="169"/>
      <c r="Y302" s="169"/>
      <c r="Z302" s="169"/>
      <c r="AA302" s="169"/>
      <c r="AB302" s="169"/>
      <c r="AC302" s="169"/>
      <c r="AD302" s="169"/>
      <c r="AE302" s="169"/>
      <c r="AF302" s="169"/>
      <c r="AG302" s="617"/>
      <c r="AH302" s="169"/>
      <c r="AI302" s="629"/>
      <c r="AJ302" s="169"/>
      <c r="AL302" s="169"/>
      <c r="AM302" s="618"/>
      <c r="AN302" s="454"/>
      <c r="AO302" s="178"/>
      <c r="AP302" s="178"/>
      <c r="BA302" s="1305"/>
      <c r="BC302" s="169"/>
    </row>
    <row r="303" spans="1:59" ht="15.75" customHeight="1">
      <c r="B303" s="175"/>
      <c r="C303" s="617"/>
      <c r="D303" s="177"/>
      <c r="E303" s="177"/>
      <c r="G303" s="458"/>
      <c r="I303" s="179"/>
      <c r="J303" s="617"/>
      <c r="K303" s="169"/>
      <c r="L303" s="169"/>
      <c r="M303" s="169"/>
      <c r="P303" s="169"/>
      <c r="Q303" s="169"/>
      <c r="R303" s="169"/>
      <c r="S303" s="458"/>
      <c r="T303" s="169"/>
      <c r="U303" s="169"/>
      <c r="V303" s="169"/>
      <c r="W303" s="169"/>
      <c r="X303" s="169"/>
      <c r="Y303" s="169"/>
      <c r="Z303" s="169"/>
      <c r="AA303" s="169"/>
      <c r="AB303" s="169"/>
      <c r="AC303" s="169"/>
      <c r="AD303" s="169"/>
      <c r="AE303" s="169"/>
      <c r="AF303" s="169"/>
      <c r="AG303" s="617"/>
      <c r="AH303" s="169"/>
      <c r="AI303" s="629"/>
      <c r="AJ303" s="169"/>
      <c r="AL303" s="169"/>
      <c r="AM303" s="169"/>
      <c r="AN303" s="454"/>
      <c r="AO303" s="178"/>
      <c r="AP303" s="178"/>
      <c r="BA303" s="1305"/>
      <c r="BC303" s="169"/>
    </row>
    <row r="304" spans="1:59" ht="15.75" customHeight="1">
      <c r="B304" s="180"/>
      <c r="C304" s="617"/>
      <c r="D304" s="177"/>
      <c r="E304" s="177"/>
      <c r="G304" s="458"/>
      <c r="I304" s="618"/>
      <c r="J304" s="617"/>
      <c r="K304" s="169"/>
      <c r="L304" s="169"/>
      <c r="M304" s="169"/>
      <c r="P304" s="169"/>
      <c r="Q304" s="169"/>
      <c r="R304" s="169"/>
      <c r="S304" s="458"/>
      <c r="T304" s="169"/>
      <c r="U304" s="169"/>
      <c r="V304" s="169"/>
      <c r="W304" s="169"/>
      <c r="X304" s="169"/>
      <c r="Y304" s="169"/>
      <c r="Z304" s="169"/>
      <c r="AA304" s="169"/>
      <c r="AB304" s="169"/>
      <c r="AC304" s="169"/>
      <c r="AD304" s="169"/>
      <c r="AE304" s="169"/>
      <c r="AF304" s="169"/>
      <c r="AG304" s="617"/>
      <c r="AH304" s="169"/>
      <c r="AI304" s="629"/>
      <c r="AJ304" s="169"/>
      <c r="AL304" s="169"/>
      <c r="AM304" s="618"/>
      <c r="AN304" s="454"/>
      <c r="AO304" s="178"/>
      <c r="AP304" s="178"/>
      <c r="BA304" s="1305"/>
      <c r="BC304" s="169"/>
    </row>
    <row r="305" spans="1:59" ht="15.75" customHeight="1">
      <c r="B305" s="175"/>
      <c r="C305" s="617"/>
      <c r="D305" s="177"/>
      <c r="E305" s="177"/>
      <c r="G305" s="458"/>
      <c r="I305" s="454"/>
      <c r="J305" s="617"/>
      <c r="K305" s="169"/>
      <c r="L305" s="169"/>
      <c r="M305" s="169"/>
      <c r="P305" s="169"/>
      <c r="Q305" s="169"/>
      <c r="R305" s="169"/>
      <c r="S305" s="458"/>
      <c r="T305" s="169"/>
      <c r="U305" s="169"/>
      <c r="V305" s="169"/>
      <c r="W305" s="169"/>
      <c r="X305" s="169"/>
      <c r="Y305" s="169"/>
      <c r="Z305" s="169"/>
      <c r="AA305" s="169"/>
      <c r="AB305" s="169"/>
      <c r="AC305" s="169"/>
      <c r="AD305" s="169"/>
      <c r="AE305" s="169"/>
      <c r="AF305" s="169"/>
      <c r="AG305" s="617"/>
      <c r="AH305" s="169"/>
      <c r="AI305" s="629"/>
      <c r="AJ305" s="169"/>
      <c r="AL305" s="169"/>
      <c r="AM305" s="169"/>
      <c r="AN305" s="454"/>
      <c r="AO305" s="178"/>
      <c r="AP305" s="178"/>
      <c r="AW305" s="458"/>
      <c r="AX305" s="458"/>
      <c r="BA305" s="1305"/>
      <c r="BC305" s="169"/>
    </row>
    <row r="306" spans="1:59" ht="15.75" customHeight="1">
      <c r="A306" s="174"/>
      <c r="B306" s="642"/>
      <c r="C306" s="617"/>
      <c r="D306" s="618"/>
      <c r="E306" s="618"/>
      <c r="F306" s="179"/>
      <c r="G306" s="458"/>
      <c r="H306" s="618"/>
      <c r="J306" s="617"/>
      <c r="K306" s="169"/>
      <c r="L306" s="169"/>
      <c r="M306" s="169"/>
      <c r="P306" s="618"/>
      <c r="Q306" s="169"/>
      <c r="R306" s="169"/>
      <c r="S306" s="458"/>
      <c r="T306" s="169"/>
      <c r="U306" s="169"/>
      <c r="V306" s="169"/>
      <c r="W306" s="169"/>
      <c r="X306" s="169"/>
      <c r="Y306" s="169"/>
      <c r="Z306" s="169"/>
      <c r="AA306" s="169"/>
      <c r="AB306" s="169"/>
      <c r="AC306" s="169"/>
      <c r="AD306" s="169"/>
      <c r="AE306" s="169"/>
      <c r="AF306" s="169"/>
      <c r="AG306" s="617"/>
      <c r="AH306" s="169"/>
      <c r="AI306" s="629"/>
      <c r="AJ306" s="618"/>
      <c r="AK306" s="618"/>
      <c r="AL306" s="618"/>
      <c r="AM306" s="618"/>
      <c r="AN306" s="454"/>
      <c r="AO306" s="178"/>
      <c r="AP306" s="178"/>
      <c r="BA306" s="1305"/>
      <c r="BB306" s="174"/>
      <c r="BC306" s="169"/>
      <c r="BD306" s="1324"/>
      <c r="BE306" s="1324"/>
      <c r="BF306" s="1324"/>
      <c r="BG306" s="1324"/>
    </row>
    <row r="307" spans="1:59" ht="15.75" customHeight="1">
      <c r="A307" s="174"/>
      <c r="B307" s="618"/>
      <c r="C307" s="617"/>
      <c r="D307" s="618"/>
      <c r="E307" s="618"/>
      <c r="F307" s="618"/>
      <c r="G307" s="458"/>
      <c r="H307" s="618"/>
      <c r="L307" s="618"/>
      <c r="M307" s="618"/>
      <c r="N307" s="618"/>
      <c r="O307" s="618"/>
      <c r="P307" s="618"/>
      <c r="Q307" s="169"/>
      <c r="R307" s="169"/>
      <c r="S307" s="458"/>
      <c r="T307" s="169"/>
      <c r="U307" s="169"/>
      <c r="V307" s="169"/>
      <c r="W307" s="169"/>
      <c r="X307" s="169"/>
      <c r="Y307" s="169"/>
      <c r="Z307" s="169"/>
      <c r="AA307" s="169"/>
      <c r="AB307" s="169"/>
      <c r="AC307" s="169"/>
      <c r="AD307" s="169"/>
      <c r="AE307" s="169"/>
      <c r="AF307" s="169"/>
      <c r="AG307" s="617"/>
      <c r="AH307" s="169"/>
      <c r="AI307" s="629"/>
      <c r="AJ307" s="618"/>
      <c r="AK307" s="618"/>
      <c r="AL307" s="618"/>
      <c r="AM307" s="618"/>
      <c r="AN307" s="458"/>
      <c r="AO307" s="618"/>
      <c r="AP307" s="618"/>
      <c r="BA307" s="1318"/>
      <c r="BB307" s="174"/>
      <c r="BC307" s="169"/>
      <c r="BD307" s="1324"/>
      <c r="BE307" s="1324"/>
      <c r="BF307" s="1324"/>
      <c r="BG307" s="1324"/>
    </row>
    <row r="308" spans="1:59" ht="15.75" customHeight="1">
      <c r="A308" s="174"/>
      <c r="B308" s="642"/>
      <c r="C308" s="617"/>
      <c r="D308" s="618"/>
      <c r="E308" s="618"/>
      <c r="F308" s="618"/>
      <c r="G308" s="458"/>
      <c r="H308" s="618"/>
      <c r="I308" s="618"/>
      <c r="J308" s="617"/>
      <c r="K308" s="169"/>
      <c r="L308" s="618"/>
      <c r="M308" s="618"/>
      <c r="N308" s="618"/>
      <c r="O308" s="618"/>
      <c r="P308" s="618"/>
      <c r="Q308" s="169"/>
      <c r="R308" s="169"/>
      <c r="S308" s="458"/>
      <c r="T308" s="169"/>
      <c r="U308" s="169"/>
      <c r="V308" s="169"/>
      <c r="W308" s="169"/>
      <c r="X308" s="169"/>
      <c r="Y308" s="169"/>
      <c r="Z308" s="169"/>
      <c r="AA308" s="169"/>
      <c r="AB308" s="169"/>
      <c r="AC308" s="169"/>
      <c r="AD308" s="169"/>
      <c r="AE308" s="169"/>
      <c r="AF308" s="169"/>
      <c r="AG308" s="617"/>
      <c r="AH308" s="169"/>
      <c r="AI308" s="629"/>
      <c r="AJ308" s="618"/>
      <c r="AK308" s="618"/>
      <c r="AL308" s="618"/>
      <c r="AM308" s="618"/>
      <c r="AN308" s="454"/>
      <c r="AO308" s="178"/>
      <c r="AP308" s="178"/>
      <c r="BA308" s="1305"/>
      <c r="BB308" s="174"/>
      <c r="BC308" s="169"/>
      <c r="BD308" s="1324"/>
      <c r="BE308" s="1324"/>
      <c r="BF308" s="1324"/>
      <c r="BG308" s="1324"/>
    </row>
    <row r="309" spans="1:59" ht="15.75" customHeight="1">
      <c r="A309" s="174"/>
      <c r="B309" s="618"/>
      <c r="C309" s="617"/>
      <c r="D309" s="618"/>
      <c r="E309" s="618"/>
      <c r="F309" s="618"/>
      <c r="G309" s="458"/>
      <c r="H309" s="618"/>
      <c r="I309" s="454"/>
      <c r="J309" s="617"/>
      <c r="K309" s="618"/>
      <c r="L309" s="618"/>
      <c r="M309" s="618"/>
      <c r="N309" s="618"/>
      <c r="O309" s="618"/>
      <c r="P309" s="618"/>
      <c r="Q309" s="169"/>
      <c r="R309" s="169"/>
      <c r="S309" s="458"/>
      <c r="T309" s="169"/>
      <c r="U309" s="169"/>
      <c r="V309" s="169"/>
      <c r="W309" s="169"/>
      <c r="X309" s="169"/>
      <c r="Y309" s="169"/>
      <c r="Z309" s="169"/>
      <c r="AA309" s="169"/>
      <c r="AB309" s="169"/>
      <c r="AC309" s="169"/>
      <c r="AD309" s="169"/>
      <c r="AE309" s="169"/>
      <c r="AF309" s="169"/>
      <c r="AG309" s="617"/>
      <c r="AH309" s="169"/>
      <c r="AI309" s="629"/>
      <c r="AJ309" s="618"/>
      <c r="AK309" s="618"/>
      <c r="AL309" s="618"/>
      <c r="AM309" s="618"/>
      <c r="AN309" s="458"/>
      <c r="AO309" s="618"/>
      <c r="AP309" s="618"/>
      <c r="BA309" s="1305"/>
      <c r="BB309" s="174"/>
      <c r="BC309" s="169"/>
      <c r="BD309" s="1324"/>
      <c r="BE309" s="1324"/>
      <c r="BF309" s="1324"/>
      <c r="BG309" s="1324"/>
    </row>
    <row r="310" spans="1:59" ht="15.75" customHeight="1">
      <c r="B310" s="180"/>
      <c r="C310" s="617"/>
      <c r="D310" s="177"/>
      <c r="E310" s="177"/>
      <c r="G310" s="458"/>
      <c r="I310" s="182"/>
      <c r="J310" s="617"/>
      <c r="K310" s="169"/>
      <c r="L310" s="169"/>
      <c r="M310" s="169"/>
      <c r="P310" s="169"/>
      <c r="Q310" s="169"/>
      <c r="R310" s="169"/>
      <c r="S310" s="458"/>
      <c r="T310" s="169"/>
      <c r="U310" s="169"/>
      <c r="V310" s="169"/>
      <c r="W310" s="169"/>
      <c r="X310" s="169"/>
      <c r="Y310" s="169"/>
      <c r="Z310" s="169"/>
      <c r="AA310" s="169"/>
      <c r="AB310" s="169"/>
      <c r="AC310" s="169"/>
      <c r="AD310" s="169"/>
      <c r="AE310" s="169"/>
      <c r="AF310" s="169"/>
      <c r="AG310" s="617"/>
      <c r="AH310" s="169"/>
      <c r="AI310" s="629"/>
      <c r="AJ310" s="169"/>
      <c r="AL310" s="169"/>
      <c r="AM310" s="618"/>
      <c r="AN310" s="454"/>
      <c r="AO310" s="178"/>
      <c r="AP310" s="178"/>
      <c r="BA310" s="1305"/>
      <c r="BC310" s="169"/>
    </row>
    <row r="311" spans="1:59" ht="15.75" customHeight="1">
      <c r="B311" s="175"/>
      <c r="C311" s="617"/>
      <c r="D311" s="177"/>
      <c r="E311" s="177"/>
      <c r="G311" s="458"/>
      <c r="I311" s="179"/>
      <c r="J311" s="617"/>
      <c r="K311" s="169"/>
      <c r="L311" s="169"/>
      <c r="M311" s="169"/>
      <c r="P311" s="169"/>
      <c r="Q311" s="169"/>
      <c r="R311" s="169"/>
      <c r="S311" s="458"/>
      <c r="T311" s="169"/>
      <c r="U311" s="169"/>
      <c r="V311" s="169"/>
      <c r="W311" s="169"/>
      <c r="X311" s="169"/>
      <c r="Y311" s="169"/>
      <c r="Z311" s="169"/>
      <c r="AA311" s="169"/>
      <c r="AB311" s="169"/>
      <c r="AC311" s="169"/>
      <c r="AD311" s="169"/>
      <c r="AE311" s="169"/>
      <c r="AF311" s="169"/>
      <c r="AG311" s="617"/>
      <c r="AH311" s="169"/>
      <c r="AI311" s="629"/>
      <c r="AJ311" s="169"/>
      <c r="AL311" s="169"/>
      <c r="AM311" s="169"/>
      <c r="AN311" s="454"/>
      <c r="AO311" s="178"/>
      <c r="AP311" s="178"/>
      <c r="BA311" s="1305"/>
      <c r="BC311" s="169"/>
    </row>
    <row r="312" spans="1:59" ht="15.75" customHeight="1">
      <c r="B312" s="180"/>
      <c r="C312" s="617"/>
      <c r="D312" s="177"/>
      <c r="E312" s="177"/>
      <c r="G312" s="458"/>
      <c r="I312" s="618"/>
      <c r="J312" s="617"/>
      <c r="K312" s="169"/>
      <c r="L312" s="169"/>
      <c r="M312" s="169"/>
      <c r="P312" s="169"/>
      <c r="Q312" s="169"/>
      <c r="R312" s="169"/>
      <c r="S312" s="458"/>
      <c r="T312" s="169"/>
      <c r="U312" s="169"/>
      <c r="V312" s="169"/>
      <c r="W312" s="169"/>
      <c r="X312" s="169"/>
      <c r="Y312" s="169"/>
      <c r="Z312" s="169"/>
      <c r="AA312" s="169"/>
      <c r="AB312" s="169"/>
      <c r="AC312" s="169"/>
      <c r="AD312" s="169"/>
      <c r="AE312" s="169"/>
      <c r="AF312" s="169"/>
      <c r="AG312" s="617"/>
      <c r="AH312" s="169"/>
      <c r="AI312" s="629"/>
      <c r="AJ312" s="169"/>
      <c r="AL312" s="169"/>
      <c r="AM312" s="618"/>
      <c r="AN312" s="454"/>
      <c r="AO312" s="178"/>
      <c r="AP312" s="178"/>
      <c r="BA312" s="1305"/>
      <c r="BC312" s="169"/>
    </row>
    <row r="313" spans="1:59" ht="15.75" customHeight="1">
      <c r="B313" s="175"/>
      <c r="C313" s="617"/>
      <c r="D313" s="177"/>
      <c r="E313" s="177"/>
      <c r="G313" s="458"/>
      <c r="I313" s="454"/>
      <c r="J313" s="617"/>
      <c r="K313" s="169"/>
      <c r="L313" s="169"/>
      <c r="M313" s="169"/>
      <c r="P313" s="169"/>
      <c r="Q313" s="169"/>
      <c r="R313" s="169"/>
      <c r="S313" s="458"/>
      <c r="T313" s="169"/>
      <c r="U313" s="169"/>
      <c r="V313" s="169"/>
      <c r="W313" s="169"/>
      <c r="X313" s="169"/>
      <c r="Y313" s="169"/>
      <c r="Z313" s="169"/>
      <c r="AA313" s="169"/>
      <c r="AB313" s="169"/>
      <c r="AC313" s="169"/>
      <c r="AD313" s="169"/>
      <c r="AE313" s="169"/>
      <c r="AF313" s="169"/>
      <c r="AG313" s="617"/>
      <c r="AH313" s="169"/>
      <c r="AI313" s="629"/>
      <c r="AJ313" s="169"/>
      <c r="AL313" s="169"/>
      <c r="AM313" s="169"/>
      <c r="AN313" s="454"/>
      <c r="AO313" s="178"/>
      <c r="AP313" s="178"/>
      <c r="AW313" s="458"/>
      <c r="AX313" s="458"/>
      <c r="BA313" s="1305"/>
      <c r="BC313" s="169"/>
    </row>
    <row r="314" spans="1:59" ht="15.75" customHeight="1">
      <c r="A314" s="174"/>
      <c r="B314" s="642"/>
      <c r="C314" s="617"/>
      <c r="D314" s="618"/>
      <c r="E314" s="618"/>
      <c r="F314" s="179"/>
      <c r="G314" s="458"/>
      <c r="H314" s="618"/>
      <c r="J314" s="617"/>
      <c r="K314" s="169"/>
      <c r="L314" s="169"/>
      <c r="M314" s="169"/>
      <c r="P314" s="618"/>
      <c r="Q314" s="169"/>
      <c r="R314" s="169"/>
      <c r="S314" s="458"/>
      <c r="T314" s="169"/>
      <c r="U314" s="169"/>
      <c r="V314" s="169"/>
      <c r="W314" s="169"/>
      <c r="X314" s="169"/>
      <c r="Y314" s="169"/>
      <c r="Z314" s="169"/>
      <c r="AA314" s="169"/>
      <c r="AB314" s="169"/>
      <c r="AC314" s="169"/>
      <c r="AD314" s="169"/>
      <c r="AE314" s="169"/>
      <c r="AF314" s="169"/>
      <c r="AG314" s="617"/>
      <c r="AH314" s="169"/>
      <c r="AI314" s="629"/>
      <c r="AJ314" s="618"/>
      <c r="AK314" s="618"/>
      <c r="AL314" s="618"/>
      <c r="AM314" s="618"/>
      <c r="AN314" s="454"/>
      <c r="AO314" s="178"/>
      <c r="AP314" s="178"/>
      <c r="BA314" s="1305"/>
      <c r="BB314" s="174"/>
      <c r="BC314" s="169"/>
      <c r="BD314" s="1324"/>
      <c r="BE314" s="1324"/>
      <c r="BF314" s="1324"/>
      <c r="BG314" s="1324"/>
    </row>
    <row r="315" spans="1:59" ht="15.75" customHeight="1">
      <c r="A315" s="174"/>
      <c r="B315" s="618"/>
      <c r="C315" s="617"/>
      <c r="D315" s="618"/>
      <c r="E315" s="618"/>
      <c r="F315" s="618"/>
      <c r="G315" s="458"/>
      <c r="H315" s="618"/>
      <c r="L315" s="618"/>
      <c r="M315" s="618"/>
      <c r="N315" s="618"/>
      <c r="O315" s="618"/>
      <c r="P315" s="618"/>
      <c r="Q315" s="169"/>
      <c r="R315" s="169"/>
      <c r="S315" s="458"/>
      <c r="T315" s="169"/>
      <c r="U315" s="169"/>
      <c r="V315" s="169"/>
      <c r="W315" s="169"/>
      <c r="X315" s="169"/>
      <c r="Y315" s="169"/>
      <c r="Z315" s="169"/>
      <c r="AA315" s="169"/>
      <c r="AB315" s="169"/>
      <c r="AC315" s="169"/>
      <c r="AD315" s="169"/>
      <c r="AE315" s="169"/>
      <c r="AF315" s="169"/>
      <c r="AG315" s="617"/>
      <c r="AH315" s="169"/>
      <c r="AI315" s="629"/>
      <c r="AJ315" s="618"/>
      <c r="AK315" s="618"/>
      <c r="AL315" s="618"/>
      <c r="AM315" s="618"/>
      <c r="AN315" s="458"/>
      <c r="AO315" s="618"/>
      <c r="AP315" s="618"/>
      <c r="BA315" s="1318"/>
      <c r="BB315" s="174"/>
      <c r="BC315" s="169"/>
      <c r="BD315" s="1324"/>
      <c r="BE315" s="1324"/>
      <c r="BF315" s="1324"/>
      <c r="BG315" s="1324"/>
    </row>
    <row r="316" spans="1:59" ht="15.75" customHeight="1">
      <c r="A316" s="174"/>
      <c r="B316" s="642"/>
      <c r="C316" s="617"/>
      <c r="D316" s="618"/>
      <c r="E316" s="618"/>
      <c r="F316" s="618"/>
      <c r="G316" s="458"/>
      <c r="H316" s="618"/>
      <c r="I316" s="618"/>
      <c r="J316" s="617"/>
      <c r="K316" s="169"/>
      <c r="L316" s="618"/>
      <c r="M316" s="618"/>
      <c r="N316" s="618"/>
      <c r="O316" s="618"/>
      <c r="P316" s="618"/>
      <c r="Q316" s="169"/>
      <c r="R316" s="169"/>
      <c r="S316" s="458"/>
      <c r="T316" s="169"/>
      <c r="U316" s="169"/>
      <c r="V316" s="169"/>
      <c r="W316" s="169"/>
      <c r="X316" s="169"/>
      <c r="Y316" s="169"/>
      <c r="Z316" s="169"/>
      <c r="AA316" s="169"/>
      <c r="AB316" s="169"/>
      <c r="AC316" s="169"/>
      <c r="AD316" s="169"/>
      <c r="AE316" s="169"/>
      <c r="AF316" s="169"/>
      <c r="AG316" s="617"/>
      <c r="AH316" s="169"/>
      <c r="AI316" s="629"/>
      <c r="AJ316" s="618"/>
      <c r="AK316" s="618"/>
      <c r="AL316" s="618"/>
      <c r="AM316" s="618"/>
      <c r="AN316" s="454"/>
      <c r="AO316" s="178"/>
      <c r="AP316" s="178"/>
      <c r="BA316" s="1305"/>
      <c r="BB316" s="174"/>
      <c r="BC316" s="169"/>
      <c r="BD316" s="1324"/>
      <c r="BE316" s="1324"/>
      <c r="BF316" s="1324"/>
      <c r="BG316" s="1324"/>
    </row>
    <row r="317" spans="1:59" ht="15.75" customHeight="1">
      <c r="A317" s="174"/>
      <c r="B317" s="618"/>
      <c r="C317" s="617"/>
      <c r="D317" s="618"/>
      <c r="E317" s="618"/>
      <c r="F317" s="618"/>
      <c r="G317" s="458"/>
      <c r="H317" s="618"/>
      <c r="I317" s="454"/>
      <c r="J317" s="617"/>
      <c r="K317" s="618"/>
      <c r="L317" s="618"/>
      <c r="M317" s="618"/>
      <c r="N317" s="618"/>
      <c r="O317" s="618"/>
      <c r="P317" s="618"/>
      <c r="Q317" s="169"/>
      <c r="R317" s="169"/>
      <c r="S317" s="458"/>
      <c r="T317" s="169"/>
      <c r="U317" s="169"/>
      <c r="V317" s="169"/>
      <c r="W317" s="169"/>
      <c r="X317" s="169"/>
      <c r="Y317" s="169"/>
      <c r="Z317" s="169"/>
      <c r="AA317" s="169"/>
      <c r="AB317" s="169"/>
      <c r="AC317" s="169"/>
      <c r="AD317" s="169"/>
      <c r="AE317" s="169"/>
      <c r="AF317" s="169"/>
      <c r="AG317" s="617"/>
      <c r="AH317" s="169"/>
      <c r="AI317" s="629"/>
      <c r="AJ317" s="618"/>
      <c r="AK317" s="618"/>
      <c r="AL317" s="618"/>
      <c r="AM317" s="618"/>
      <c r="AN317" s="458"/>
      <c r="AO317" s="618"/>
      <c r="AP317" s="618"/>
      <c r="BA317" s="1305"/>
      <c r="BB317" s="174"/>
      <c r="BC317" s="169"/>
      <c r="BD317" s="1324"/>
      <c r="BE317" s="1324"/>
      <c r="BF317" s="1324"/>
      <c r="BG317" s="1324"/>
    </row>
    <row r="318" spans="1:59" ht="15.75" customHeight="1">
      <c r="B318" s="180"/>
      <c r="C318" s="617"/>
      <c r="D318" s="177"/>
      <c r="E318" s="177"/>
      <c r="G318" s="458"/>
      <c r="I318" s="182"/>
      <c r="J318" s="617"/>
      <c r="K318" s="169"/>
      <c r="L318" s="169"/>
      <c r="M318" s="169"/>
      <c r="P318" s="169"/>
      <c r="Q318" s="169"/>
      <c r="R318" s="169"/>
      <c r="S318" s="458"/>
      <c r="T318" s="169"/>
      <c r="U318" s="169"/>
      <c r="V318" s="169"/>
      <c r="W318" s="169"/>
      <c r="X318" s="169"/>
      <c r="Y318" s="169"/>
      <c r="Z318" s="169"/>
      <c r="AA318" s="169"/>
      <c r="AB318" s="169"/>
      <c r="AC318" s="169"/>
      <c r="AD318" s="169"/>
      <c r="AE318" s="169"/>
      <c r="AF318" s="169"/>
      <c r="AG318" s="617"/>
      <c r="AH318" s="169"/>
      <c r="AI318" s="629"/>
      <c r="AJ318" s="169"/>
      <c r="AL318" s="169"/>
      <c r="AM318" s="618"/>
      <c r="AN318" s="454"/>
      <c r="AO318" s="178"/>
      <c r="AP318" s="178"/>
      <c r="BA318" s="1305"/>
      <c r="BC318" s="169"/>
    </row>
    <row r="319" spans="1:59" ht="15.75" customHeight="1">
      <c r="B319" s="175"/>
      <c r="C319" s="617"/>
      <c r="D319" s="177"/>
      <c r="E319" s="177"/>
      <c r="G319" s="458"/>
      <c r="I319" s="179"/>
      <c r="J319" s="617"/>
      <c r="K319" s="169"/>
      <c r="L319" s="169"/>
      <c r="M319" s="169"/>
      <c r="P319" s="169"/>
      <c r="Q319" s="169"/>
      <c r="R319" s="169"/>
      <c r="S319" s="458"/>
      <c r="T319" s="169"/>
      <c r="U319" s="169"/>
      <c r="V319" s="169"/>
      <c r="W319" s="169"/>
      <c r="X319" s="169"/>
      <c r="Y319" s="169"/>
      <c r="Z319" s="169"/>
      <c r="AA319" s="169"/>
      <c r="AB319" s="169"/>
      <c r="AC319" s="169"/>
      <c r="AD319" s="169"/>
      <c r="AE319" s="169"/>
      <c r="AF319" s="169"/>
      <c r="AG319" s="617"/>
      <c r="AH319" s="169"/>
      <c r="AI319" s="629"/>
      <c r="AJ319" s="169"/>
      <c r="AL319" s="169"/>
      <c r="AM319" s="169"/>
      <c r="AN319" s="454"/>
      <c r="AO319" s="178"/>
      <c r="AP319" s="178"/>
      <c r="BA319" s="1305"/>
      <c r="BC319" s="169"/>
    </row>
    <row r="320" spans="1:59" ht="15.75" customHeight="1">
      <c r="B320" s="180"/>
      <c r="C320" s="617"/>
      <c r="D320" s="177"/>
      <c r="E320" s="177"/>
      <c r="G320" s="458"/>
      <c r="I320" s="618"/>
      <c r="J320" s="617"/>
      <c r="K320" s="169"/>
      <c r="L320" s="169"/>
      <c r="M320" s="169"/>
      <c r="P320" s="169"/>
      <c r="Q320" s="169"/>
      <c r="R320" s="169"/>
      <c r="S320" s="458"/>
      <c r="T320" s="169"/>
      <c r="U320" s="169"/>
      <c r="V320" s="169"/>
      <c r="W320" s="169"/>
      <c r="X320" s="169"/>
      <c r="Y320" s="169"/>
      <c r="Z320" s="169"/>
      <c r="AA320" s="169"/>
      <c r="AB320" s="169"/>
      <c r="AC320" s="169"/>
      <c r="AD320" s="169"/>
      <c r="AE320" s="169"/>
      <c r="AF320" s="169"/>
      <c r="AG320" s="617"/>
      <c r="AH320" s="169"/>
      <c r="AI320" s="629"/>
      <c r="AJ320" s="169"/>
      <c r="AL320" s="169"/>
      <c r="AM320" s="618"/>
      <c r="AN320" s="454"/>
      <c r="AO320" s="178"/>
      <c r="AP320" s="178"/>
      <c r="BA320" s="1305"/>
      <c r="BC320" s="169"/>
    </row>
    <row r="321" spans="1:59" ht="15.75" customHeight="1">
      <c r="B321" s="175"/>
      <c r="C321" s="617"/>
      <c r="D321" s="177"/>
      <c r="E321" s="177"/>
      <c r="G321" s="458"/>
      <c r="I321" s="454"/>
      <c r="J321" s="617"/>
      <c r="K321" s="169"/>
      <c r="L321" s="169"/>
      <c r="M321" s="169"/>
      <c r="P321" s="169"/>
      <c r="Q321" s="169"/>
      <c r="R321" s="169"/>
      <c r="S321" s="458"/>
      <c r="T321" s="169"/>
      <c r="U321" s="169"/>
      <c r="V321" s="169"/>
      <c r="W321" s="169"/>
      <c r="X321" s="169"/>
      <c r="Y321" s="169"/>
      <c r="Z321" s="169"/>
      <c r="AA321" s="169"/>
      <c r="AB321" s="169"/>
      <c r="AC321" s="169"/>
      <c r="AD321" s="169"/>
      <c r="AE321" s="169"/>
      <c r="AF321" s="169"/>
      <c r="AG321" s="617"/>
      <c r="AH321" s="169"/>
      <c r="AI321" s="629"/>
      <c r="AJ321" s="169"/>
      <c r="AL321" s="169"/>
      <c r="AM321" s="169"/>
      <c r="AN321" s="454"/>
      <c r="AO321" s="178"/>
      <c r="AP321" s="178"/>
      <c r="AW321" s="458"/>
      <c r="AX321" s="458"/>
      <c r="BA321" s="1305"/>
      <c r="BC321" s="169"/>
    </row>
    <row r="322" spans="1:59" ht="15.75" customHeight="1">
      <c r="A322" s="174"/>
      <c r="B322" s="642"/>
      <c r="C322" s="617"/>
      <c r="D322" s="618"/>
      <c r="E322" s="618"/>
      <c r="F322" s="179"/>
      <c r="G322" s="458"/>
      <c r="H322" s="618"/>
      <c r="J322" s="617"/>
      <c r="K322" s="169"/>
      <c r="L322" s="169"/>
      <c r="M322" s="169"/>
      <c r="P322" s="618"/>
      <c r="Q322" s="169"/>
      <c r="R322" s="169"/>
      <c r="S322" s="458"/>
      <c r="T322" s="169"/>
      <c r="U322" s="169"/>
      <c r="V322" s="169"/>
      <c r="W322" s="169"/>
      <c r="X322" s="169"/>
      <c r="Y322" s="169"/>
      <c r="Z322" s="169"/>
      <c r="AA322" s="169"/>
      <c r="AB322" s="169"/>
      <c r="AC322" s="169"/>
      <c r="AD322" s="169"/>
      <c r="AE322" s="169"/>
      <c r="AF322" s="169"/>
      <c r="AG322" s="617"/>
      <c r="AH322" s="169"/>
      <c r="AI322" s="629"/>
      <c r="AJ322" s="618"/>
      <c r="AK322" s="618"/>
      <c r="AL322" s="618"/>
      <c r="AM322" s="618"/>
      <c r="AN322" s="454"/>
      <c r="AO322" s="178"/>
      <c r="AP322" s="178"/>
      <c r="BA322" s="1305"/>
      <c r="BB322" s="174"/>
      <c r="BC322" s="169"/>
      <c r="BD322" s="1324"/>
      <c r="BE322" s="1324"/>
      <c r="BF322" s="1324"/>
      <c r="BG322" s="1324"/>
    </row>
    <row r="323" spans="1:59" ht="15.75" customHeight="1">
      <c r="A323" s="174"/>
      <c r="B323" s="618"/>
      <c r="C323" s="617"/>
      <c r="D323" s="618"/>
      <c r="E323" s="618"/>
      <c r="F323" s="618"/>
      <c r="G323" s="458"/>
      <c r="H323" s="618"/>
      <c r="L323" s="618"/>
      <c r="M323" s="618"/>
      <c r="N323" s="618"/>
      <c r="O323" s="618"/>
      <c r="P323" s="618"/>
      <c r="Q323" s="169"/>
      <c r="R323" s="169"/>
      <c r="S323" s="458"/>
      <c r="T323" s="169"/>
      <c r="U323" s="169"/>
      <c r="V323" s="169"/>
      <c r="W323" s="169"/>
      <c r="X323" s="169"/>
      <c r="Y323" s="169"/>
      <c r="Z323" s="169"/>
      <c r="AA323" s="169"/>
      <c r="AB323" s="169"/>
      <c r="AC323" s="169"/>
      <c r="AD323" s="169"/>
      <c r="AE323" s="169"/>
      <c r="AF323" s="169"/>
      <c r="AG323" s="617"/>
      <c r="AH323" s="169"/>
      <c r="AI323" s="629"/>
      <c r="AJ323" s="618"/>
      <c r="AK323" s="618"/>
      <c r="AL323" s="618"/>
      <c r="AM323" s="618"/>
      <c r="AN323" s="458"/>
      <c r="AO323" s="618"/>
      <c r="AP323" s="618"/>
      <c r="BA323" s="1318"/>
      <c r="BB323" s="174"/>
      <c r="BC323" s="169"/>
      <c r="BD323" s="1324"/>
      <c r="BE323" s="1324"/>
      <c r="BF323" s="1324"/>
      <c r="BG323" s="1324"/>
    </row>
    <row r="324" spans="1:59" ht="15.75" customHeight="1">
      <c r="A324" s="174"/>
      <c r="B324" s="642"/>
      <c r="C324" s="617"/>
      <c r="D324" s="618"/>
      <c r="E324" s="618"/>
      <c r="F324" s="618"/>
      <c r="G324" s="458"/>
      <c r="H324" s="618"/>
      <c r="I324" s="618"/>
      <c r="J324" s="617"/>
      <c r="K324" s="169"/>
      <c r="L324" s="618"/>
      <c r="M324" s="618"/>
      <c r="N324" s="618"/>
      <c r="O324" s="618"/>
      <c r="P324" s="618"/>
      <c r="Q324" s="169"/>
      <c r="R324" s="169"/>
      <c r="S324" s="458"/>
      <c r="T324" s="169"/>
      <c r="U324" s="169"/>
      <c r="V324" s="169"/>
      <c r="W324" s="169"/>
      <c r="X324" s="169"/>
      <c r="Y324" s="169"/>
      <c r="Z324" s="169"/>
      <c r="AA324" s="169"/>
      <c r="AB324" s="169"/>
      <c r="AC324" s="169"/>
      <c r="AD324" s="169"/>
      <c r="AE324" s="169"/>
      <c r="AF324" s="169"/>
      <c r="AG324" s="617"/>
      <c r="AH324" s="169"/>
      <c r="AI324" s="629"/>
      <c r="AJ324" s="618"/>
      <c r="AK324" s="618"/>
      <c r="AL324" s="618"/>
      <c r="AM324" s="618"/>
      <c r="AN324" s="454"/>
      <c r="AO324" s="178"/>
      <c r="AP324" s="178"/>
      <c r="BA324" s="1305"/>
      <c r="BB324" s="174"/>
      <c r="BC324" s="169"/>
      <c r="BD324" s="1324"/>
      <c r="BE324" s="1324"/>
      <c r="BF324" s="1324"/>
      <c r="BG324" s="1324"/>
    </row>
    <row r="325" spans="1:59" ht="15.75" customHeight="1">
      <c r="A325" s="174"/>
      <c r="B325" s="618"/>
      <c r="C325" s="617"/>
      <c r="D325" s="618"/>
      <c r="E325" s="618"/>
      <c r="F325" s="618"/>
      <c r="G325" s="458"/>
      <c r="H325" s="618"/>
      <c r="I325" s="454"/>
      <c r="J325" s="617"/>
      <c r="K325" s="618"/>
      <c r="L325" s="618"/>
      <c r="M325" s="618"/>
      <c r="N325" s="618"/>
      <c r="O325" s="618"/>
      <c r="P325" s="618"/>
      <c r="Q325" s="169"/>
      <c r="R325" s="169"/>
      <c r="S325" s="458"/>
      <c r="T325" s="169"/>
      <c r="U325" s="169"/>
      <c r="V325" s="169"/>
      <c r="W325" s="169"/>
      <c r="X325" s="169"/>
      <c r="Y325" s="169"/>
      <c r="Z325" s="169"/>
      <c r="AA325" s="169"/>
      <c r="AB325" s="169"/>
      <c r="AC325" s="169"/>
      <c r="AD325" s="169"/>
      <c r="AE325" s="169"/>
      <c r="AF325" s="169"/>
      <c r="AG325" s="617"/>
      <c r="AH325" s="169"/>
      <c r="AI325" s="629"/>
      <c r="AJ325" s="618"/>
      <c r="AK325" s="618"/>
      <c r="AL325" s="618"/>
      <c r="AM325" s="618"/>
      <c r="AN325" s="458"/>
      <c r="AO325" s="618"/>
      <c r="AP325" s="618"/>
      <c r="BA325" s="1305"/>
      <c r="BB325" s="174"/>
      <c r="BC325" s="169"/>
      <c r="BD325" s="1324"/>
      <c r="BE325" s="1324"/>
      <c r="BF325" s="1324"/>
      <c r="BG325" s="1324"/>
    </row>
    <row r="326" spans="1:59" ht="15.75" customHeight="1">
      <c r="B326" s="180"/>
      <c r="C326" s="617"/>
      <c r="D326" s="177"/>
      <c r="E326" s="177"/>
      <c r="G326" s="458"/>
      <c r="I326" s="182"/>
      <c r="J326" s="617"/>
      <c r="K326" s="169"/>
      <c r="L326" s="169"/>
      <c r="M326" s="169"/>
      <c r="P326" s="169"/>
      <c r="Q326" s="169"/>
      <c r="R326" s="169"/>
      <c r="S326" s="458"/>
      <c r="T326" s="169"/>
      <c r="U326" s="169"/>
      <c r="V326" s="169"/>
      <c r="W326" s="169"/>
      <c r="X326" s="169"/>
      <c r="Y326" s="169"/>
      <c r="Z326" s="169"/>
      <c r="AA326" s="169"/>
      <c r="AB326" s="169"/>
      <c r="AC326" s="169"/>
      <c r="AD326" s="169"/>
      <c r="AE326" s="169"/>
      <c r="AF326" s="169"/>
      <c r="AG326" s="617"/>
      <c r="AH326" s="169"/>
      <c r="AI326" s="629"/>
      <c r="AJ326" s="169"/>
      <c r="AL326" s="169"/>
      <c r="AM326" s="618"/>
      <c r="AN326" s="454"/>
      <c r="AO326" s="178"/>
      <c r="AP326" s="178"/>
      <c r="BA326" s="1305"/>
      <c r="BC326" s="169"/>
    </row>
    <row r="327" spans="1:59" ht="15.75" customHeight="1">
      <c r="B327" s="175"/>
      <c r="C327" s="617"/>
      <c r="D327" s="177"/>
      <c r="E327" s="177"/>
      <c r="G327" s="458"/>
      <c r="I327" s="179"/>
      <c r="J327" s="617"/>
      <c r="K327" s="169"/>
      <c r="L327" s="169"/>
      <c r="M327" s="169"/>
      <c r="P327" s="169"/>
      <c r="Q327" s="169"/>
      <c r="R327" s="169"/>
      <c r="S327" s="458"/>
      <c r="T327" s="169"/>
      <c r="U327" s="169"/>
      <c r="V327" s="169"/>
      <c r="W327" s="169"/>
      <c r="X327" s="169"/>
      <c r="Y327" s="169"/>
      <c r="Z327" s="169"/>
      <c r="AA327" s="169"/>
      <c r="AB327" s="169"/>
      <c r="AC327" s="169"/>
      <c r="AD327" s="169"/>
      <c r="AE327" s="169"/>
      <c r="AF327" s="169"/>
      <c r="AG327" s="617"/>
      <c r="AH327" s="169"/>
      <c r="AI327" s="629"/>
      <c r="AJ327" s="169"/>
      <c r="AL327" s="169"/>
      <c r="AM327" s="169"/>
      <c r="AN327" s="454"/>
      <c r="AO327" s="178"/>
      <c r="AP327" s="178"/>
      <c r="BA327" s="1305"/>
      <c r="BC327" s="169"/>
    </row>
    <row r="328" spans="1:59" ht="15.75" customHeight="1">
      <c r="B328" s="180"/>
      <c r="C328" s="617"/>
      <c r="D328" s="177"/>
      <c r="E328" s="177"/>
      <c r="G328" s="458"/>
      <c r="I328" s="618"/>
      <c r="J328" s="617"/>
      <c r="K328" s="169"/>
      <c r="L328" s="169"/>
      <c r="M328" s="169"/>
      <c r="P328" s="169"/>
      <c r="Q328" s="169"/>
      <c r="R328" s="169"/>
      <c r="S328" s="458"/>
      <c r="T328" s="169"/>
      <c r="U328" s="169"/>
      <c r="V328" s="169"/>
      <c r="W328" s="169"/>
      <c r="X328" s="169"/>
      <c r="Y328" s="169"/>
      <c r="Z328" s="169"/>
      <c r="AA328" s="169"/>
      <c r="AB328" s="169"/>
      <c r="AC328" s="169"/>
      <c r="AD328" s="169"/>
      <c r="AE328" s="169"/>
      <c r="AF328" s="169"/>
      <c r="AG328" s="617"/>
      <c r="AH328" s="169"/>
      <c r="AI328" s="629"/>
      <c r="AJ328" s="169"/>
      <c r="AL328" s="169"/>
      <c r="AM328" s="618"/>
      <c r="AN328" s="454"/>
      <c r="AO328" s="178"/>
      <c r="AP328" s="178"/>
      <c r="BA328" s="1305"/>
      <c r="BC328" s="169"/>
    </row>
    <row r="329" spans="1:59" ht="15.75" customHeight="1">
      <c r="B329" s="175"/>
      <c r="C329" s="617"/>
      <c r="D329" s="177"/>
      <c r="E329" s="177"/>
      <c r="G329" s="458"/>
      <c r="I329" s="454"/>
      <c r="J329" s="617"/>
      <c r="K329" s="169"/>
      <c r="L329" s="169"/>
      <c r="M329" s="169"/>
      <c r="P329" s="169"/>
      <c r="Q329" s="169"/>
      <c r="R329" s="169"/>
      <c r="S329" s="458"/>
      <c r="T329" s="169"/>
      <c r="U329" s="169"/>
      <c r="V329" s="169"/>
      <c r="W329" s="169"/>
      <c r="X329" s="169"/>
      <c r="Y329" s="169"/>
      <c r="Z329" s="169"/>
      <c r="AA329" s="169"/>
      <c r="AB329" s="169"/>
      <c r="AC329" s="169"/>
      <c r="AD329" s="169"/>
      <c r="AE329" s="169"/>
      <c r="AF329" s="169"/>
      <c r="AG329" s="617"/>
      <c r="AH329" s="169"/>
      <c r="AI329" s="629"/>
      <c r="AJ329" s="169"/>
      <c r="AL329" s="169"/>
      <c r="AM329" s="169"/>
      <c r="AN329" s="454"/>
      <c r="AO329" s="178"/>
      <c r="AP329" s="178"/>
      <c r="AW329" s="458"/>
      <c r="AX329" s="458"/>
      <c r="BA329" s="1305"/>
      <c r="BC329" s="169"/>
    </row>
    <row r="330" spans="1:59" ht="15.75" customHeight="1">
      <c r="A330" s="174"/>
      <c r="B330" s="642"/>
      <c r="C330" s="617"/>
      <c r="D330" s="618"/>
      <c r="E330" s="618"/>
      <c r="F330" s="179"/>
      <c r="G330" s="458"/>
      <c r="H330" s="618"/>
      <c r="J330" s="617"/>
      <c r="K330" s="169"/>
      <c r="L330" s="169"/>
      <c r="M330" s="169"/>
      <c r="P330" s="618"/>
      <c r="Q330" s="169"/>
      <c r="R330" s="169"/>
      <c r="S330" s="458"/>
      <c r="T330" s="169"/>
      <c r="U330" s="169"/>
      <c r="V330" s="169"/>
      <c r="W330" s="169"/>
      <c r="X330" s="169"/>
      <c r="Y330" s="169"/>
      <c r="Z330" s="169"/>
      <c r="AA330" s="169"/>
      <c r="AB330" s="169"/>
      <c r="AC330" s="169"/>
      <c r="AD330" s="169"/>
      <c r="AE330" s="169"/>
      <c r="AF330" s="169"/>
      <c r="AG330" s="617"/>
      <c r="AH330" s="169"/>
      <c r="AI330" s="629"/>
      <c r="AJ330" s="618"/>
      <c r="AK330" s="618"/>
      <c r="AL330" s="618"/>
      <c r="AM330" s="618"/>
      <c r="AN330" s="454"/>
      <c r="AO330" s="178"/>
      <c r="AP330" s="178"/>
      <c r="BA330" s="1305"/>
      <c r="BB330" s="174"/>
      <c r="BC330" s="169"/>
      <c r="BD330" s="1324"/>
      <c r="BE330" s="1324"/>
      <c r="BF330" s="1324"/>
      <c r="BG330" s="1324"/>
    </row>
    <row r="331" spans="1:59" ht="15.75" customHeight="1">
      <c r="A331" s="174"/>
      <c r="B331" s="618"/>
      <c r="C331" s="617"/>
      <c r="D331" s="618"/>
      <c r="E331" s="618"/>
      <c r="F331" s="618"/>
      <c r="G331" s="458"/>
      <c r="H331" s="618"/>
      <c r="L331" s="618"/>
      <c r="M331" s="618"/>
      <c r="N331" s="618"/>
      <c r="O331" s="618"/>
      <c r="P331" s="618"/>
      <c r="Q331" s="169"/>
      <c r="R331" s="169"/>
      <c r="S331" s="458"/>
      <c r="T331" s="169"/>
      <c r="U331" s="169"/>
      <c r="V331" s="169"/>
      <c r="W331" s="169"/>
      <c r="X331" s="169"/>
      <c r="Y331" s="169"/>
      <c r="Z331" s="169"/>
      <c r="AA331" s="169"/>
      <c r="AB331" s="169"/>
      <c r="AC331" s="169"/>
      <c r="AD331" s="169"/>
      <c r="AE331" s="169"/>
      <c r="AF331" s="169"/>
      <c r="AG331" s="617"/>
      <c r="AH331" s="169"/>
      <c r="AI331" s="629"/>
      <c r="AJ331" s="618"/>
      <c r="AK331" s="618"/>
      <c r="AL331" s="618"/>
      <c r="AM331" s="618"/>
      <c r="AN331" s="458"/>
      <c r="AO331" s="618"/>
      <c r="AP331" s="618"/>
      <c r="BA331" s="1318"/>
      <c r="BB331" s="174"/>
      <c r="BC331" s="169"/>
      <c r="BD331" s="1324"/>
      <c r="BE331" s="1324"/>
      <c r="BF331" s="1324"/>
      <c r="BG331" s="1324"/>
    </row>
    <row r="332" spans="1:59" ht="15.75" customHeight="1">
      <c r="A332" s="174"/>
      <c r="B332" s="642"/>
      <c r="C332" s="617"/>
      <c r="D332" s="618"/>
      <c r="E332" s="618"/>
      <c r="F332" s="618"/>
      <c r="G332" s="458"/>
      <c r="H332" s="618"/>
      <c r="I332" s="618"/>
      <c r="J332" s="617"/>
      <c r="K332" s="169"/>
      <c r="L332" s="618"/>
      <c r="M332" s="618"/>
      <c r="N332" s="618"/>
      <c r="O332" s="618"/>
      <c r="P332" s="618"/>
      <c r="Q332" s="169"/>
      <c r="R332" s="169"/>
      <c r="S332" s="458"/>
      <c r="T332" s="169"/>
      <c r="U332" s="169"/>
      <c r="V332" s="169"/>
      <c r="W332" s="169"/>
      <c r="X332" s="169"/>
      <c r="Y332" s="169"/>
      <c r="Z332" s="169"/>
      <c r="AA332" s="169"/>
      <c r="AB332" s="169"/>
      <c r="AC332" s="169"/>
      <c r="AD332" s="169"/>
      <c r="AE332" s="169"/>
      <c r="AF332" s="169"/>
      <c r="AG332" s="617"/>
      <c r="AH332" s="169"/>
      <c r="AI332" s="629"/>
      <c r="AJ332" s="618"/>
      <c r="AK332" s="618"/>
      <c r="AL332" s="618"/>
      <c r="AM332" s="618"/>
      <c r="AN332" s="454"/>
      <c r="AO332" s="178"/>
      <c r="AP332" s="178"/>
      <c r="BA332" s="1305"/>
      <c r="BB332" s="174"/>
      <c r="BC332" s="169"/>
      <c r="BD332" s="1324"/>
      <c r="BE332" s="1324"/>
      <c r="BF332" s="1324"/>
      <c r="BG332" s="1324"/>
    </row>
    <row r="333" spans="1:59" ht="15.75" customHeight="1">
      <c r="A333" s="174"/>
      <c r="B333" s="618"/>
      <c r="C333" s="617"/>
      <c r="D333" s="618"/>
      <c r="E333" s="618"/>
      <c r="F333" s="618"/>
      <c r="G333" s="458"/>
      <c r="H333" s="618"/>
      <c r="I333" s="454"/>
      <c r="J333" s="617"/>
      <c r="K333" s="618"/>
      <c r="L333" s="618"/>
      <c r="M333" s="618"/>
      <c r="N333" s="618"/>
      <c r="O333" s="618"/>
      <c r="P333" s="618"/>
      <c r="Q333" s="169"/>
      <c r="R333" s="169"/>
      <c r="S333" s="458"/>
      <c r="T333" s="169"/>
      <c r="U333" s="169"/>
      <c r="V333" s="169"/>
      <c r="W333" s="169"/>
      <c r="X333" s="169"/>
      <c r="Y333" s="169"/>
      <c r="Z333" s="169"/>
      <c r="AA333" s="169"/>
      <c r="AB333" s="169"/>
      <c r="AC333" s="169"/>
      <c r="AD333" s="169"/>
      <c r="AE333" s="169"/>
      <c r="AF333" s="169"/>
      <c r="AG333" s="617"/>
      <c r="AH333" s="169"/>
      <c r="AI333" s="629"/>
      <c r="AJ333" s="618"/>
      <c r="AK333" s="618"/>
      <c r="AL333" s="618"/>
      <c r="AM333" s="618"/>
      <c r="AN333" s="458"/>
      <c r="AO333" s="618"/>
      <c r="AP333" s="618"/>
      <c r="BA333" s="1305"/>
      <c r="BB333" s="174"/>
      <c r="BC333" s="169"/>
      <c r="BD333" s="1324"/>
      <c r="BE333" s="1324"/>
      <c r="BF333" s="1324"/>
      <c r="BG333" s="1324"/>
    </row>
    <row r="334" spans="1:59" ht="15.75" customHeight="1">
      <c r="B334" s="180"/>
      <c r="C334" s="617"/>
      <c r="D334" s="177"/>
      <c r="E334" s="177"/>
      <c r="G334" s="458"/>
      <c r="I334" s="182"/>
      <c r="J334" s="617"/>
      <c r="K334" s="169"/>
      <c r="L334" s="169"/>
      <c r="M334" s="169"/>
      <c r="P334" s="169"/>
      <c r="Q334" s="169"/>
      <c r="R334" s="169"/>
      <c r="S334" s="458"/>
      <c r="T334" s="169"/>
      <c r="U334" s="169"/>
      <c r="V334" s="169"/>
      <c r="W334" s="169"/>
      <c r="X334" s="169"/>
      <c r="Y334" s="169"/>
      <c r="Z334" s="169"/>
      <c r="AA334" s="169"/>
      <c r="AB334" s="169"/>
      <c r="AC334" s="169"/>
      <c r="AD334" s="169"/>
      <c r="AE334" s="169"/>
      <c r="AF334" s="169"/>
      <c r="AG334" s="617"/>
      <c r="AH334" s="169"/>
      <c r="AI334" s="629"/>
      <c r="AJ334" s="169"/>
      <c r="AL334" s="169"/>
      <c r="AM334" s="618"/>
      <c r="AN334" s="454"/>
      <c r="AO334" s="178"/>
      <c r="AP334" s="178"/>
      <c r="BA334" s="1305"/>
      <c r="BC334" s="169"/>
    </row>
    <row r="335" spans="1:59" ht="15.75" customHeight="1">
      <c r="B335" s="175"/>
      <c r="C335" s="617"/>
      <c r="D335" s="177"/>
      <c r="E335" s="177"/>
      <c r="G335" s="458"/>
      <c r="I335" s="179"/>
      <c r="J335" s="617"/>
      <c r="K335" s="169"/>
      <c r="L335" s="169"/>
      <c r="M335" s="169"/>
      <c r="P335" s="169"/>
      <c r="Q335" s="169"/>
      <c r="R335" s="169"/>
      <c r="S335" s="458"/>
      <c r="T335" s="169"/>
      <c r="U335" s="169"/>
      <c r="V335" s="169"/>
      <c r="W335" s="169"/>
      <c r="X335" s="169"/>
      <c r="Y335" s="169"/>
      <c r="Z335" s="169"/>
      <c r="AA335" s="169"/>
      <c r="AB335" s="169"/>
      <c r="AC335" s="169"/>
      <c r="AD335" s="169"/>
      <c r="AE335" s="169"/>
      <c r="AF335" s="169"/>
      <c r="AG335" s="617"/>
      <c r="AH335" s="169"/>
      <c r="AI335" s="629"/>
      <c r="AJ335" s="169"/>
      <c r="AL335" s="169"/>
      <c r="AM335" s="169"/>
      <c r="AN335" s="454"/>
      <c r="AO335" s="178"/>
      <c r="AP335" s="178"/>
      <c r="BA335" s="1305"/>
      <c r="BC335" s="169"/>
    </row>
    <row r="336" spans="1:59" ht="15.75" customHeight="1">
      <c r="B336" s="180"/>
      <c r="C336" s="617"/>
      <c r="D336" s="177"/>
      <c r="E336" s="177"/>
      <c r="G336" s="458"/>
      <c r="I336" s="618"/>
      <c r="J336" s="617"/>
      <c r="K336" s="169"/>
      <c r="L336" s="169"/>
      <c r="M336" s="169"/>
      <c r="P336" s="169"/>
      <c r="Q336" s="169"/>
      <c r="R336" s="169"/>
      <c r="S336" s="458"/>
      <c r="T336" s="169"/>
      <c r="U336" s="169"/>
      <c r="V336" s="169"/>
      <c r="W336" s="169"/>
      <c r="X336" s="169"/>
      <c r="Y336" s="169"/>
      <c r="Z336" s="169"/>
      <c r="AA336" s="169"/>
      <c r="AB336" s="169"/>
      <c r="AC336" s="169"/>
      <c r="AD336" s="169"/>
      <c r="AE336" s="169"/>
      <c r="AF336" s="169"/>
      <c r="AG336" s="617"/>
      <c r="AH336" s="169"/>
      <c r="AI336" s="629"/>
      <c r="AJ336" s="169"/>
      <c r="AL336" s="169"/>
      <c r="AM336" s="618"/>
      <c r="AN336" s="454"/>
      <c r="AO336" s="178"/>
      <c r="AP336" s="178"/>
      <c r="BA336" s="1305"/>
      <c r="BC336" s="169"/>
    </row>
    <row r="337" spans="1:59" ht="15.75" customHeight="1">
      <c r="B337" s="175"/>
      <c r="C337" s="617"/>
      <c r="D337" s="177"/>
      <c r="E337" s="177"/>
      <c r="G337" s="458"/>
      <c r="I337" s="454"/>
      <c r="J337" s="617"/>
      <c r="K337" s="169"/>
      <c r="L337" s="169"/>
      <c r="M337" s="169"/>
      <c r="P337" s="169"/>
      <c r="Q337" s="169"/>
      <c r="R337" s="169"/>
      <c r="S337" s="458"/>
      <c r="T337" s="169"/>
      <c r="U337" s="169"/>
      <c r="V337" s="169"/>
      <c r="W337" s="169"/>
      <c r="X337" s="169"/>
      <c r="Y337" s="169"/>
      <c r="Z337" s="169"/>
      <c r="AA337" s="169"/>
      <c r="AB337" s="169"/>
      <c r="AC337" s="169"/>
      <c r="AD337" s="169"/>
      <c r="AE337" s="169"/>
      <c r="AF337" s="169"/>
      <c r="AG337" s="617"/>
      <c r="AH337" s="169"/>
      <c r="AI337" s="629"/>
      <c r="AJ337" s="169"/>
      <c r="AL337" s="169"/>
      <c r="AM337" s="169"/>
      <c r="AN337" s="454"/>
      <c r="AO337" s="178"/>
      <c r="AP337" s="178"/>
      <c r="AW337" s="458"/>
      <c r="AX337" s="458"/>
      <c r="BA337" s="1305"/>
      <c r="BC337" s="169"/>
    </row>
    <row r="338" spans="1:59" ht="15.75" customHeight="1">
      <c r="A338" s="174"/>
      <c r="B338" s="642"/>
      <c r="C338" s="617"/>
      <c r="D338" s="618"/>
      <c r="E338" s="618"/>
      <c r="F338" s="179"/>
      <c r="G338" s="458"/>
      <c r="H338" s="618"/>
      <c r="J338" s="617"/>
      <c r="K338" s="169"/>
      <c r="L338" s="169"/>
      <c r="M338" s="169"/>
      <c r="P338" s="618"/>
      <c r="Q338" s="169"/>
      <c r="R338" s="169"/>
      <c r="S338" s="458"/>
      <c r="T338" s="169"/>
      <c r="U338" s="169"/>
      <c r="V338" s="169"/>
      <c r="W338" s="169"/>
      <c r="X338" s="169"/>
      <c r="Y338" s="169"/>
      <c r="Z338" s="169"/>
      <c r="AA338" s="169"/>
      <c r="AB338" s="169"/>
      <c r="AC338" s="169"/>
      <c r="AD338" s="169"/>
      <c r="AE338" s="169"/>
      <c r="AF338" s="169"/>
      <c r="AG338" s="617"/>
      <c r="AH338" s="169"/>
      <c r="AI338" s="629"/>
      <c r="AJ338" s="618"/>
      <c r="AK338" s="618"/>
      <c r="AL338" s="618"/>
      <c r="AM338" s="618"/>
      <c r="AN338" s="454"/>
      <c r="AO338" s="178"/>
      <c r="AP338" s="178"/>
      <c r="BA338" s="1305"/>
      <c r="BB338" s="174"/>
      <c r="BC338" s="169"/>
      <c r="BD338" s="1324"/>
      <c r="BE338" s="1324"/>
      <c r="BF338" s="1324"/>
      <c r="BG338" s="1324"/>
    </row>
    <row r="339" spans="1:59" ht="15.75" customHeight="1">
      <c r="A339" s="174"/>
      <c r="B339" s="618"/>
      <c r="C339" s="617"/>
      <c r="D339" s="618"/>
      <c r="E339" s="618"/>
      <c r="F339" s="618"/>
      <c r="G339" s="458"/>
      <c r="H339" s="618"/>
      <c r="L339" s="618"/>
      <c r="M339" s="618"/>
      <c r="N339" s="618"/>
      <c r="O339" s="618"/>
      <c r="P339" s="618"/>
      <c r="Q339" s="169"/>
      <c r="R339" s="169"/>
      <c r="S339" s="458"/>
      <c r="T339" s="169"/>
      <c r="U339" s="169"/>
      <c r="V339" s="169"/>
      <c r="W339" s="169"/>
      <c r="X339" s="169"/>
      <c r="Y339" s="169"/>
      <c r="Z339" s="169"/>
      <c r="AA339" s="169"/>
      <c r="AB339" s="169"/>
      <c r="AC339" s="169"/>
      <c r="AD339" s="169"/>
      <c r="AE339" s="169"/>
      <c r="AF339" s="169"/>
      <c r="AG339" s="617"/>
      <c r="AH339" s="169"/>
      <c r="AI339" s="629"/>
      <c r="AJ339" s="618"/>
      <c r="AK339" s="618"/>
      <c r="AL339" s="618"/>
      <c r="AM339" s="618"/>
      <c r="AN339" s="458"/>
      <c r="AO339" s="618"/>
      <c r="AP339" s="618"/>
      <c r="BA339" s="1318"/>
      <c r="BB339" s="174"/>
      <c r="BC339" s="169"/>
      <c r="BD339" s="1324"/>
      <c r="BE339" s="1324"/>
      <c r="BF339" s="1324"/>
      <c r="BG339" s="1324"/>
    </row>
    <row r="340" spans="1:59" ht="15.75" customHeight="1">
      <c r="A340" s="174"/>
      <c r="B340" s="642"/>
      <c r="C340" s="617"/>
      <c r="D340" s="618"/>
      <c r="E340" s="618"/>
      <c r="F340" s="618"/>
      <c r="G340" s="458"/>
      <c r="H340" s="618"/>
      <c r="I340" s="618"/>
      <c r="J340" s="617"/>
      <c r="K340" s="169"/>
      <c r="L340" s="618"/>
      <c r="M340" s="618"/>
      <c r="N340" s="618"/>
      <c r="O340" s="618"/>
      <c r="P340" s="618"/>
      <c r="Q340" s="169"/>
      <c r="R340" s="169"/>
      <c r="S340" s="458"/>
      <c r="T340" s="169"/>
      <c r="U340" s="169"/>
      <c r="V340" s="169"/>
      <c r="W340" s="169"/>
      <c r="X340" s="169"/>
      <c r="Y340" s="169"/>
      <c r="Z340" s="169"/>
      <c r="AA340" s="169"/>
      <c r="AB340" s="169"/>
      <c r="AC340" s="169"/>
      <c r="AD340" s="169"/>
      <c r="AE340" s="169"/>
      <c r="AF340" s="169"/>
      <c r="AG340" s="617"/>
      <c r="AH340" s="169"/>
      <c r="AI340" s="629"/>
      <c r="AJ340" s="618"/>
      <c r="AK340" s="618"/>
      <c r="AL340" s="618"/>
      <c r="AM340" s="618"/>
      <c r="AN340" s="454"/>
      <c r="AO340" s="178"/>
      <c r="AP340" s="178"/>
      <c r="BA340" s="1305"/>
      <c r="BB340" s="174"/>
      <c r="BC340" s="169"/>
      <c r="BD340" s="1324"/>
      <c r="BE340" s="1324"/>
      <c r="BF340" s="1324"/>
      <c r="BG340" s="1324"/>
    </row>
    <row r="341" spans="1:59" ht="15.75" customHeight="1">
      <c r="A341" s="174"/>
      <c r="B341" s="618"/>
      <c r="C341" s="617"/>
      <c r="D341" s="618"/>
      <c r="E341" s="618"/>
      <c r="F341" s="618"/>
      <c r="G341" s="458"/>
      <c r="H341" s="618"/>
      <c r="I341" s="454"/>
      <c r="J341" s="617"/>
      <c r="K341" s="618"/>
      <c r="L341" s="618"/>
      <c r="M341" s="618"/>
      <c r="N341" s="618"/>
      <c r="O341" s="618"/>
      <c r="P341" s="618"/>
      <c r="Q341" s="169"/>
      <c r="R341" s="169"/>
      <c r="S341" s="458"/>
      <c r="T341" s="169"/>
      <c r="U341" s="169"/>
      <c r="V341" s="169"/>
      <c r="W341" s="169"/>
      <c r="X341" s="169"/>
      <c r="Y341" s="169"/>
      <c r="Z341" s="169"/>
      <c r="AA341" s="169"/>
      <c r="AB341" s="169"/>
      <c r="AC341" s="169"/>
      <c r="AD341" s="169"/>
      <c r="AE341" s="169"/>
      <c r="AF341" s="169"/>
      <c r="AG341" s="617"/>
      <c r="AH341" s="169"/>
      <c r="AI341" s="629"/>
      <c r="AJ341" s="618"/>
      <c r="AK341" s="618"/>
      <c r="AL341" s="618"/>
      <c r="AM341" s="618"/>
      <c r="AN341" s="458"/>
      <c r="AO341" s="618"/>
      <c r="AP341" s="618"/>
      <c r="BA341" s="1305"/>
      <c r="BB341" s="174"/>
      <c r="BC341" s="169"/>
      <c r="BD341" s="1324"/>
      <c r="BE341" s="1324"/>
      <c r="BF341" s="1324"/>
      <c r="BG341" s="1324"/>
    </row>
    <row r="342" spans="1:59" ht="15.75" customHeight="1">
      <c r="B342" s="180"/>
      <c r="C342" s="617"/>
      <c r="D342" s="177"/>
      <c r="E342" s="177"/>
      <c r="G342" s="458"/>
      <c r="I342" s="182"/>
      <c r="J342" s="617"/>
      <c r="K342" s="169"/>
      <c r="L342" s="169"/>
      <c r="M342" s="169"/>
      <c r="P342" s="169"/>
      <c r="Q342" s="169"/>
      <c r="R342" s="169"/>
      <c r="S342" s="458"/>
      <c r="T342" s="169"/>
      <c r="U342" s="169"/>
      <c r="V342" s="169"/>
      <c r="W342" s="169"/>
      <c r="X342" s="169"/>
      <c r="Y342" s="169"/>
      <c r="Z342" s="169"/>
      <c r="AA342" s="169"/>
      <c r="AB342" s="169"/>
      <c r="AC342" s="169"/>
      <c r="AD342" s="169"/>
      <c r="AE342" s="169"/>
      <c r="AF342" s="169"/>
      <c r="AG342" s="617"/>
      <c r="AH342" s="169"/>
      <c r="AI342" s="629"/>
      <c r="AJ342" s="169"/>
      <c r="AL342" s="169"/>
      <c r="AM342" s="618"/>
      <c r="AN342" s="454"/>
      <c r="AO342" s="178"/>
      <c r="AP342" s="178"/>
      <c r="BA342" s="1305"/>
      <c r="BC342" s="169"/>
    </row>
    <row r="343" spans="1:59" ht="15.75" customHeight="1">
      <c r="B343" s="175"/>
      <c r="C343" s="617"/>
      <c r="D343" s="177"/>
      <c r="E343" s="177"/>
      <c r="G343" s="458"/>
      <c r="I343" s="179"/>
      <c r="J343" s="617"/>
      <c r="K343" s="169"/>
      <c r="L343" s="169"/>
      <c r="M343" s="169"/>
      <c r="P343" s="169"/>
      <c r="Q343" s="169"/>
      <c r="R343" s="169"/>
      <c r="S343" s="458"/>
      <c r="T343" s="169"/>
      <c r="U343" s="169"/>
      <c r="V343" s="169"/>
      <c r="W343" s="169"/>
      <c r="X343" s="169"/>
      <c r="Y343" s="169"/>
      <c r="Z343" s="169"/>
      <c r="AA343" s="169"/>
      <c r="AB343" s="169"/>
      <c r="AC343" s="169"/>
      <c r="AD343" s="169"/>
      <c r="AE343" s="169"/>
      <c r="AF343" s="169"/>
      <c r="AG343" s="617"/>
      <c r="AH343" s="169"/>
      <c r="AI343" s="629"/>
      <c r="AJ343" s="169"/>
      <c r="AL343" s="169"/>
      <c r="AM343" s="169"/>
      <c r="AN343" s="454"/>
      <c r="AO343" s="178"/>
      <c r="AP343" s="178"/>
      <c r="BA343" s="1305"/>
      <c r="BC343" s="169"/>
    </row>
    <row r="344" spans="1:59" ht="15.75" customHeight="1">
      <c r="B344" s="180"/>
      <c r="C344" s="617"/>
      <c r="D344" s="177"/>
      <c r="E344" s="177"/>
      <c r="G344" s="458"/>
      <c r="I344" s="618"/>
      <c r="J344" s="617"/>
      <c r="K344" s="169"/>
      <c r="L344" s="169"/>
      <c r="M344" s="169"/>
      <c r="P344" s="169"/>
      <c r="Q344" s="169"/>
      <c r="R344" s="169"/>
      <c r="S344" s="458"/>
      <c r="T344" s="169"/>
      <c r="U344" s="169"/>
      <c r="V344" s="169"/>
      <c r="W344" s="169"/>
      <c r="X344" s="169"/>
      <c r="Y344" s="169"/>
      <c r="Z344" s="169"/>
      <c r="AA344" s="169"/>
      <c r="AB344" s="169"/>
      <c r="AC344" s="169"/>
      <c r="AD344" s="169"/>
      <c r="AE344" s="169"/>
      <c r="AF344" s="169"/>
      <c r="AG344" s="617"/>
      <c r="AH344" s="169"/>
      <c r="AI344" s="629"/>
      <c r="AJ344" s="169"/>
      <c r="AL344" s="169"/>
      <c r="AM344" s="618"/>
      <c r="AN344" s="454"/>
      <c r="AO344" s="178"/>
      <c r="AP344" s="178"/>
      <c r="BA344" s="1305"/>
      <c r="BC344" s="169"/>
    </row>
    <row r="345" spans="1:59" ht="15.75" customHeight="1">
      <c r="B345" s="175"/>
      <c r="C345" s="617"/>
      <c r="D345" s="177"/>
      <c r="E345" s="177"/>
      <c r="G345" s="458"/>
      <c r="I345" s="454"/>
      <c r="J345" s="617"/>
      <c r="K345" s="169"/>
      <c r="L345" s="169"/>
      <c r="M345" s="169"/>
      <c r="P345" s="169"/>
      <c r="Q345" s="169"/>
      <c r="R345" s="169"/>
      <c r="S345" s="458"/>
      <c r="T345" s="169"/>
      <c r="U345" s="169"/>
      <c r="V345" s="169"/>
      <c r="W345" s="169"/>
      <c r="X345" s="169"/>
      <c r="Y345" s="169"/>
      <c r="Z345" s="169"/>
      <c r="AA345" s="169"/>
      <c r="AB345" s="169"/>
      <c r="AC345" s="169"/>
      <c r="AD345" s="169"/>
      <c r="AE345" s="169"/>
      <c r="AF345" s="169"/>
      <c r="AG345" s="617"/>
      <c r="AH345" s="169"/>
      <c r="AI345" s="629"/>
      <c r="AJ345" s="169"/>
      <c r="AL345" s="169"/>
      <c r="AM345" s="169"/>
      <c r="AN345" s="454"/>
      <c r="AO345" s="178"/>
      <c r="AP345" s="178"/>
      <c r="AW345" s="458"/>
      <c r="AX345" s="458"/>
      <c r="BA345" s="1305"/>
      <c r="BC345" s="169"/>
    </row>
    <row r="346" spans="1:59" ht="15.75" customHeight="1">
      <c r="A346" s="174"/>
      <c r="B346" s="642"/>
      <c r="C346" s="617"/>
      <c r="D346" s="618"/>
      <c r="E346" s="618"/>
      <c r="F346" s="179"/>
      <c r="G346" s="458"/>
      <c r="H346" s="618"/>
      <c r="J346" s="617"/>
      <c r="K346" s="169"/>
      <c r="L346" s="169"/>
      <c r="M346" s="169"/>
      <c r="P346" s="618"/>
      <c r="Q346" s="169"/>
      <c r="R346" s="169"/>
      <c r="S346" s="458"/>
      <c r="T346" s="169"/>
      <c r="U346" s="169"/>
      <c r="V346" s="169"/>
      <c r="W346" s="169"/>
      <c r="X346" s="169"/>
      <c r="Y346" s="169"/>
      <c r="Z346" s="169"/>
      <c r="AA346" s="169"/>
      <c r="AB346" s="169"/>
      <c r="AC346" s="169"/>
      <c r="AD346" s="169"/>
      <c r="AE346" s="169"/>
      <c r="AF346" s="169"/>
      <c r="AG346" s="617"/>
      <c r="AH346" s="169"/>
      <c r="AI346" s="629"/>
      <c r="AJ346" s="618"/>
      <c r="AK346" s="618"/>
      <c r="AL346" s="618"/>
      <c r="AM346" s="618"/>
      <c r="AN346" s="454"/>
      <c r="AO346" s="178"/>
      <c r="AP346" s="178"/>
      <c r="BA346" s="1305"/>
      <c r="BB346" s="174"/>
      <c r="BC346" s="169"/>
      <c r="BD346" s="1324"/>
      <c r="BE346" s="1324"/>
      <c r="BF346" s="1324"/>
      <c r="BG346" s="1324"/>
    </row>
    <row r="347" spans="1:59" ht="15.75" customHeight="1">
      <c r="A347" s="174"/>
      <c r="B347" s="618"/>
      <c r="C347" s="617"/>
      <c r="D347" s="618"/>
      <c r="E347" s="618"/>
      <c r="F347" s="618"/>
      <c r="G347" s="458"/>
      <c r="H347" s="618"/>
      <c r="L347" s="618"/>
      <c r="M347" s="618"/>
      <c r="N347" s="618"/>
      <c r="O347" s="618"/>
      <c r="P347" s="618"/>
      <c r="Q347" s="169"/>
      <c r="R347" s="169"/>
      <c r="S347" s="458"/>
      <c r="T347" s="169"/>
      <c r="U347" s="169"/>
      <c r="V347" s="169"/>
      <c r="W347" s="169"/>
      <c r="X347" s="169"/>
      <c r="Y347" s="169"/>
      <c r="Z347" s="169"/>
      <c r="AA347" s="169"/>
      <c r="AB347" s="169"/>
      <c r="AC347" s="169"/>
      <c r="AD347" s="169"/>
      <c r="AE347" s="169"/>
      <c r="AF347" s="169"/>
      <c r="AG347" s="617"/>
      <c r="AH347" s="169"/>
      <c r="AI347" s="629"/>
      <c r="AJ347" s="618"/>
      <c r="AK347" s="618"/>
      <c r="AL347" s="618"/>
      <c r="AM347" s="618"/>
      <c r="AN347" s="458"/>
      <c r="AO347" s="618"/>
      <c r="AP347" s="618"/>
      <c r="BA347" s="1318"/>
      <c r="BB347" s="174"/>
      <c r="BC347" s="169"/>
      <c r="BD347" s="1324"/>
      <c r="BE347" s="1324"/>
      <c r="BF347" s="1324"/>
      <c r="BG347" s="1324"/>
    </row>
    <row r="348" spans="1:59" ht="15.75" customHeight="1">
      <c r="A348" s="174"/>
      <c r="B348" s="642"/>
      <c r="C348" s="617"/>
      <c r="D348" s="618"/>
      <c r="E348" s="618"/>
      <c r="F348" s="618"/>
      <c r="G348" s="458"/>
      <c r="H348" s="618"/>
      <c r="I348" s="618"/>
      <c r="J348" s="617"/>
      <c r="K348" s="169"/>
      <c r="L348" s="618"/>
      <c r="M348" s="618"/>
      <c r="N348" s="618"/>
      <c r="O348" s="618"/>
      <c r="P348" s="618"/>
      <c r="Q348" s="169"/>
      <c r="R348" s="169"/>
      <c r="S348" s="458"/>
      <c r="T348" s="169"/>
      <c r="U348" s="169"/>
      <c r="V348" s="169"/>
      <c r="W348" s="169"/>
      <c r="X348" s="169"/>
      <c r="Y348" s="169"/>
      <c r="Z348" s="169"/>
      <c r="AA348" s="169"/>
      <c r="AB348" s="169"/>
      <c r="AC348" s="169"/>
      <c r="AD348" s="169"/>
      <c r="AE348" s="169"/>
      <c r="AF348" s="169"/>
      <c r="AG348" s="617"/>
      <c r="AH348" s="169"/>
      <c r="AI348" s="629"/>
      <c r="AJ348" s="618"/>
      <c r="AK348" s="618"/>
      <c r="AL348" s="618"/>
      <c r="AM348" s="618"/>
      <c r="AN348" s="454"/>
      <c r="AO348" s="178"/>
      <c r="AP348" s="178"/>
      <c r="BA348" s="1305"/>
      <c r="BB348" s="174"/>
      <c r="BC348" s="169"/>
      <c r="BD348" s="1324"/>
      <c r="BE348" s="1324"/>
      <c r="BF348" s="1324"/>
      <c r="BG348" s="1324"/>
    </row>
    <row r="349" spans="1:59" ht="15.75" customHeight="1">
      <c r="A349" s="174"/>
      <c r="B349" s="618"/>
      <c r="C349" s="617"/>
      <c r="D349" s="618"/>
      <c r="E349" s="618"/>
      <c r="F349" s="618"/>
      <c r="G349" s="458"/>
      <c r="H349" s="618"/>
      <c r="I349" s="454"/>
      <c r="J349" s="617"/>
      <c r="K349" s="618"/>
      <c r="L349" s="618"/>
      <c r="M349" s="618"/>
      <c r="N349" s="618"/>
      <c r="O349" s="618"/>
      <c r="P349" s="618"/>
      <c r="Q349" s="169"/>
      <c r="R349" s="169"/>
      <c r="S349" s="458"/>
      <c r="T349" s="169"/>
      <c r="U349" s="169"/>
      <c r="V349" s="169"/>
      <c r="W349" s="169"/>
      <c r="X349" s="169"/>
      <c r="Y349" s="169"/>
      <c r="Z349" s="169"/>
      <c r="AA349" s="169"/>
      <c r="AB349" s="169"/>
      <c r="AC349" s="169"/>
      <c r="AD349" s="169"/>
      <c r="AE349" s="169"/>
      <c r="AF349" s="169"/>
      <c r="AG349" s="617"/>
      <c r="AH349" s="169"/>
      <c r="AI349" s="629"/>
      <c r="AJ349" s="618"/>
      <c r="AK349" s="618"/>
      <c r="AL349" s="618"/>
      <c r="AM349" s="618"/>
      <c r="AN349" s="458"/>
      <c r="AO349" s="618"/>
      <c r="AP349" s="618"/>
      <c r="BA349" s="1305"/>
      <c r="BB349" s="174"/>
      <c r="BC349" s="169"/>
      <c r="BD349" s="1324"/>
      <c r="BE349" s="1324"/>
      <c r="BF349" s="1324"/>
      <c r="BG349" s="1324"/>
    </row>
    <row r="350" spans="1:59" ht="15.75" customHeight="1">
      <c r="B350" s="180"/>
      <c r="C350" s="617"/>
      <c r="D350" s="177"/>
      <c r="E350" s="177"/>
      <c r="G350" s="458"/>
      <c r="I350" s="182"/>
      <c r="J350" s="617"/>
      <c r="K350" s="169"/>
      <c r="L350" s="169"/>
      <c r="M350" s="169"/>
      <c r="P350" s="169"/>
      <c r="Q350" s="169"/>
      <c r="R350" s="169"/>
      <c r="S350" s="458"/>
      <c r="T350" s="169"/>
      <c r="U350" s="169"/>
      <c r="V350" s="169"/>
      <c r="W350" s="169"/>
      <c r="X350" s="169"/>
      <c r="Y350" s="169"/>
      <c r="Z350" s="169"/>
      <c r="AA350" s="169"/>
      <c r="AB350" s="169"/>
      <c r="AC350" s="169"/>
      <c r="AD350" s="169"/>
      <c r="AE350" s="169"/>
      <c r="AF350" s="169"/>
      <c r="AG350" s="617"/>
      <c r="AH350" s="169"/>
      <c r="AI350" s="629"/>
      <c r="AJ350" s="169"/>
      <c r="AL350" s="169"/>
      <c r="AM350" s="618"/>
      <c r="AN350" s="454"/>
      <c r="AO350" s="178"/>
      <c r="AP350" s="178"/>
      <c r="BA350" s="1305"/>
      <c r="BC350" s="169"/>
    </row>
    <row r="351" spans="1:59" ht="15.75" customHeight="1">
      <c r="B351" s="175"/>
      <c r="C351" s="617"/>
      <c r="D351" s="177"/>
      <c r="E351" s="177"/>
      <c r="G351" s="458"/>
      <c r="I351" s="179"/>
      <c r="J351" s="617"/>
      <c r="K351" s="169"/>
      <c r="L351" s="169"/>
      <c r="M351" s="169"/>
      <c r="P351" s="169"/>
      <c r="Q351" s="169"/>
      <c r="R351" s="169"/>
      <c r="S351" s="458"/>
      <c r="T351" s="169"/>
      <c r="U351" s="169"/>
      <c r="V351" s="169"/>
      <c r="W351" s="169"/>
      <c r="X351" s="169"/>
      <c r="Y351" s="169"/>
      <c r="Z351" s="169"/>
      <c r="AA351" s="169"/>
      <c r="AB351" s="169"/>
      <c r="AC351" s="169"/>
      <c r="AD351" s="169"/>
      <c r="AE351" s="169"/>
      <c r="AF351" s="169"/>
      <c r="AG351" s="617"/>
      <c r="AH351" s="169"/>
      <c r="AI351" s="629"/>
      <c r="AJ351" s="169"/>
      <c r="AL351" s="169"/>
      <c r="AM351" s="169"/>
      <c r="AN351" s="454"/>
      <c r="AO351" s="178"/>
      <c r="AP351" s="178"/>
      <c r="BA351" s="1305"/>
      <c r="BC351" s="169"/>
    </row>
    <row r="352" spans="1:59" ht="15.75" customHeight="1">
      <c r="B352" s="180"/>
      <c r="C352" s="617"/>
      <c r="D352" s="177"/>
      <c r="E352" s="177"/>
      <c r="G352" s="458"/>
      <c r="I352" s="618"/>
      <c r="J352" s="617"/>
      <c r="K352" s="169"/>
      <c r="L352" s="169"/>
      <c r="M352" s="169"/>
      <c r="P352" s="169"/>
      <c r="Q352" s="169"/>
      <c r="R352" s="169"/>
      <c r="S352" s="458"/>
      <c r="T352" s="169"/>
      <c r="U352" s="169"/>
      <c r="V352" s="169"/>
      <c r="W352" s="169"/>
      <c r="X352" s="169"/>
      <c r="Y352" s="169"/>
      <c r="Z352" s="169"/>
      <c r="AA352" s="169"/>
      <c r="AB352" s="169"/>
      <c r="AC352" s="169"/>
      <c r="AD352" s="169"/>
      <c r="AE352" s="169"/>
      <c r="AF352" s="169"/>
      <c r="AG352" s="617"/>
      <c r="AH352" s="169"/>
      <c r="AI352" s="629"/>
      <c r="AJ352" s="169"/>
      <c r="AL352" s="169"/>
      <c r="AM352" s="618"/>
      <c r="AN352" s="454"/>
      <c r="AO352" s="178"/>
      <c r="AP352" s="178"/>
      <c r="BA352" s="1305"/>
      <c r="BC352" s="169"/>
    </row>
    <row r="353" spans="1:59" ht="15.75" customHeight="1">
      <c r="B353" s="175"/>
      <c r="C353" s="617"/>
      <c r="D353" s="177"/>
      <c r="E353" s="177"/>
      <c r="G353" s="458"/>
      <c r="I353" s="454"/>
      <c r="J353" s="617"/>
      <c r="K353" s="169"/>
      <c r="L353" s="169"/>
      <c r="M353" s="169"/>
      <c r="P353" s="169"/>
      <c r="Q353" s="169"/>
      <c r="R353" s="169"/>
      <c r="S353" s="458"/>
      <c r="T353" s="169"/>
      <c r="U353" s="169"/>
      <c r="V353" s="169"/>
      <c r="W353" s="169"/>
      <c r="X353" s="169"/>
      <c r="Y353" s="169"/>
      <c r="Z353" s="169"/>
      <c r="AA353" s="169"/>
      <c r="AB353" s="169"/>
      <c r="AC353" s="169"/>
      <c r="AD353" s="169"/>
      <c r="AE353" s="169"/>
      <c r="AF353" s="169"/>
      <c r="AG353" s="617"/>
      <c r="AH353" s="169"/>
      <c r="AI353" s="629"/>
      <c r="AJ353" s="169"/>
      <c r="AL353" s="169"/>
      <c r="AM353" s="169"/>
      <c r="AN353" s="454"/>
      <c r="AO353" s="178"/>
      <c r="AP353" s="178"/>
      <c r="AW353" s="458"/>
      <c r="AX353" s="458"/>
      <c r="BA353" s="1305"/>
      <c r="BC353" s="169"/>
    </row>
    <row r="354" spans="1:59" ht="15.75" customHeight="1">
      <c r="A354" s="174"/>
      <c r="B354" s="642"/>
      <c r="C354" s="617"/>
      <c r="D354" s="618"/>
      <c r="E354" s="618"/>
      <c r="F354" s="179"/>
      <c r="G354" s="458"/>
      <c r="H354" s="618"/>
      <c r="J354" s="617"/>
      <c r="K354" s="169"/>
      <c r="L354" s="169"/>
      <c r="M354" s="169"/>
      <c r="P354" s="618"/>
      <c r="Q354" s="169"/>
      <c r="R354" s="169"/>
      <c r="S354" s="458"/>
      <c r="T354" s="169"/>
      <c r="U354" s="169"/>
      <c r="V354" s="169"/>
      <c r="W354" s="169"/>
      <c r="X354" s="169"/>
      <c r="Y354" s="169"/>
      <c r="Z354" s="169"/>
      <c r="AA354" s="169"/>
      <c r="AB354" s="169"/>
      <c r="AC354" s="169"/>
      <c r="AD354" s="169"/>
      <c r="AE354" s="169"/>
      <c r="AF354" s="169"/>
      <c r="AG354" s="617"/>
      <c r="AH354" s="169"/>
      <c r="AI354" s="629"/>
      <c r="AJ354" s="618"/>
      <c r="AK354" s="618"/>
      <c r="AL354" s="618"/>
      <c r="AM354" s="618"/>
      <c r="AN354" s="454"/>
      <c r="AO354" s="178"/>
      <c r="AP354" s="178"/>
      <c r="BA354" s="1305"/>
      <c r="BB354" s="174"/>
      <c r="BC354" s="169"/>
      <c r="BD354" s="1324"/>
      <c r="BE354" s="1324"/>
      <c r="BF354" s="1324"/>
      <c r="BG354" s="1324"/>
    </row>
    <row r="355" spans="1:59" ht="15.75" customHeight="1">
      <c r="A355" s="174"/>
      <c r="B355" s="618"/>
      <c r="C355" s="617"/>
      <c r="D355" s="618"/>
      <c r="E355" s="618"/>
      <c r="F355" s="618"/>
      <c r="G355" s="458"/>
      <c r="H355" s="618"/>
      <c r="L355" s="618"/>
      <c r="M355" s="618"/>
      <c r="N355" s="618"/>
      <c r="O355" s="618"/>
      <c r="P355" s="618"/>
      <c r="Q355" s="169"/>
      <c r="R355" s="169"/>
      <c r="S355" s="458"/>
      <c r="T355" s="169"/>
      <c r="U355" s="169"/>
      <c r="V355" s="169"/>
      <c r="W355" s="169"/>
      <c r="X355" s="169"/>
      <c r="Y355" s="169"/>
      <c r="Z355" s="169"/>
      <c r="AA355" s="169"/>
      <c r="AB355" s="169"/>
      <c r="AC355" s="169"/>
      <c r="AD355" s="169"/>
      <c r="AE355" s="169"/>
      <c r="AF355" s="169"/>
      <c r="AG355" s="617"/>
      <c r="AH355" s="169"/>
      <c r="AI355" s="629"/>
      <c r="AJ355" s="618"/>
      <c r="AK355" s="618"/>
      <c r="AL355" s="618"/>
      <c r="AM355" s="618"/>
      <c r="AN355" s="458"/>
      <c r="AO355" s="618"/>
      <c r="AP355" s="618"/>
      <c r="BA355" s="1318"/>
      <c r="BB355" s="174"/>
      <c r="BC355" s="169"/>
      <c r="BD355" s="1324"/>
      <c r="BE355" s="1324"/>
      <c r="BF355" s="1324"/>
      <c r="BG355" s="1324"/>
    </row>
    <row r="356" spans="1:59" ht="15.75" customHeight="1">
      <c r="A356" s="174"/>
      <c r="B356" s="642"/>
      <c r="C356" s="617"/>
      <c r="D356" s="618"/>
      <c r="E356" s="618"/>
      <c r="F356" s="618"/>
      <c r="G356" s="458"/>
      <c r="H356" s="618"/>
      <c r="I356" s="618"/>
      <c r="J356" s="617"/>
      <c r="K356" s="169"/>
      <c r="L356" s="618"/>
      <c r="M356" s="618"/>
      <c r="N356" s="618"/>
      <c r="O356" s="618"/>
      <c r="P356" s="618"/>
      <c r="Q356" s="169"/>
      <c r="R356" s="169"/>
      <c r="S356" s="458"/>
      <c r="T356" s="169"/>
      <c r="U356" s="169"/>
      <c r="V356" s="169"/>
      <c r="W356" s="169"/>
      <c r="X356" s="169"/>
      <c r="Y356" s="169"/>
      <c r="Z356" s="169"/>
      <c r="AA356" s="169"/>
      <c r="AB356" s="169"/>
      <c r="AC356" s="169"/>
      <c r="AD356" s="169"/>
      <c r="AE356" s="169"/>
      <c r="AF356" s="169"/>
      <c r="AG356" s="617"/>
      <c r="AH356" s="169"/>
      <c r="AI356" s="629"/>
      <c r="AJ356" s="618"/>
      <c r="AK356" s="618"/>
      <c r="AL356" s="618"/>
      <c r="AM356" s="618"/>
      <c r="AN356" s="454"/>
      <c r="AO356" s="178"/>
      <c r="AP356" s="178"/>
      <c r="BA356" s="1305"/>
      <c r="BB356" s="174"/>
      <c r="BC356" s="169"/>
      <c r="BD356" s="1324"/>
      <c r="BE356" s="1324"/>
      <c r="BF356" s="1324"/>
      <c r="BG356" s="1324"/>
    </row>
    <row r="357" spans="1:59" ht="15.75" customHeight="1">
      <c r="A357" s="174"/>
      <c r="B357" s="618"/>
      <c r="C357" s="617"/>
      <c r="D357" s="618"/>
      <c r="E357" s="618"/>
      <c r="F357" s="618"/>
      <c r="G357" s="458"/>
      <c r="H357" s="618"/>
      <c r="I357" s="454"/>
      <c r="J357" s="617"/>
      <c r="K357" s="618"/>
      <c r="L357" s="618"/>
      <c r="M357" s="618"/>
      <c r="N357" s="618"/>
      <c r="O357" s="618"/>
      <c r="P357" s="618"/>
      <c r="Q357" s="169"/>
      <c r="R357" s="169"/>
      <c r="S357" s="458"/>
      <c r="T357" s="169"/>
      <c r="U357" s="169"/>
      <c r="V357" s="169"/>
      <c r="W357" s="169"/>
      <c r="X357" s="169"/>
      <c r="Y357" s="169"/>
      <c r="Z357" s="169"/>
      <c r="AA357" s="169"/>
      <c r="AB357" s="169"/>
      <c r="AC357" s="169"/>
      <c r="AD357" s="169"/>
      <c r="AE357" s="169"/>
      <c r="AF357" s="169"/>
      <c r="AG357" s="617"/>
      <c r="AH357" s="169"/>
      <c r="AI357" s="629"/>
      <c r="AJ357" s="618"/>
      <c r="AK357" s="618"/>
      <c r="AL357" s="618"/>
      <c r="AM357" s="618"/>
      <c r="AN357" s="458"/>
      <c r="AO357" s="618"/>
      <c r="AP357" s="618"/>
      <c r="BA357" s="1305"/>
      <c r="BB357" s="174"/>
      <c r="BC357" s="169"/>
      <c r="BD357" s="1324"/>
      <c r="BE357" s="1324"/>
      <c r="BF357" s="1324"/>
      <c r="BG357" s="1324"/>
    </row>
    <row r="358" spans="1:59" ht="15.75" customHeight="1">
      <c r="B358" s="180"/>
      <c r="C358" s="617"/>
      <c r="D358" s="177"/>
      <c r="E358" s="177"/>
      <c r="G358" s="458"/>
      <c r="I358" s="182"/>
      <c r="J358" s="617"/>
      <c r="K358" s="169"/>
      <c r="L358" s="169"/>
      <c r="M358" s="169"/>
      <c r="P358" s="169"/>
      <c r="Q358" s="169"/>
      <c r="R358" s="169"/>
      <c r="S358" s="458"/>
      <c r="T358" s="169"/>
      <c r="U358" s="169"/>
      <c r="V358" s="169"/>
      <c r="W358" s="169"/>
      <c r="X358" s="169"/>
      <c r="Y358" s="169"/>
      <c r="Z358" s="169"/>
      <c r="AA358" s="169"/>
      <c r="AB358" s="169"/>
      <c r="AC358" s="169"/>
      <c r="AD358" s="169"/>
      <c r="AE358" s="169"/>
      <c r="AF358" s="169"/>
      <c r="AG358" s="617"/>
      <c r="AH358" s="169"/>
      <c r="AI358" s="629"/>
      <c r="AJ358" s="169"/>
      <c r="AL358" s="169"/>
      <c r="AM358" s="618"/>
      <c r="AN358" s="454"/>
      <c r="AO358" s="178"/>
      <c r="AP358" s="178"/>
      <c r="BA358" s="1305"/>
      <c r="BC358" s="169"/>
    </row>
    <row r="359" spans="1:59" ht="15.75" customHeight="1">
      <c r="B359" s="175"/>
      <c r="C359" s="617"/>
      <c r="D359" s="177"/>
      <c r="E359" s="177"/>
      <c r="G359" s="458"/>
      <c r="I359" s="179"/>
      <c r="J359" s="617"/>
      <c r="K359" s="169"/>
      <c r="L359" s="169"/>
      <c r="M359" s="169"/>
      <c r="P359" s="169"/>
      <c r="Q359" s="169"/>
      <c r="R359" s="169"/>
      <c r="S359" s="458"/>
      <c r="T359" s="169"/>
      <c r="U359" s="169"/>
      <c r="V359" s="169"/>
      <c r="W359" s="169"/>
      <c r="X359" s="169"/>
      <c r="Y359" s="169"/>
      <c r="Z359" s="169"/>
      <c r="AA359" s="169"/>
      <c r="AB359" s="169"/>
      <c r="AC359" s="169"/>
      <c r="AD359" s="169"/>
      <c r="AE359" s="169"/>
      <c r="AF359" s="169"/>
      <c r="AG359" s="617"/>
      <c r="AH359" s="169"/>
      <c r="AI359" s="629"/>
      <c r="AJ359" s="169"/>
      <c r="AL359" s="169"/>
      <c r="AM359" s="169"/>
      <c r="AN359" s="454"/>
      <c r="AO359" s="178"/>
      <c r="AP359" s="178"/>
      <c r="BA359" s="1305"/>
      <c r="BC359" s="169"/>
    </row>
    <row r="360" spans="1:59" ht="15.75" customHeight="1">
      <c r="B360" s="180"/>
      <c r="C360" s="617"/>
      <c r="D360" s="177"/>
      <c r="E360" s="177"/>
      <c r="G360" s="458"/>
      <c r="I360" s="618"/>
      <c r="J360" s="617"/>
      <c r="K360" s="169"/>
      <c r="L360" s="169"/>
      <c r="M360" s="169"/>
      <c r="P360" s="169"/>
      <c r="Q360" s="169"/>
      <c r="R360" s="169"/>
      <c r="S360" s="458"/>
      <c r="T360" s="169"/>
      <c r="U360" s="169"/>
      <c r="V360" s="169"/>
      <c r="W360" s="169"/>
      <c r="X360" s="169"/>
      <c r="Y360" s="169"/>
      <c r="Z360" s="169"/>
      <c r="AA360" s="169"/>
      <c r="AB360" s="169"/>
      <c r="AC360" s="169"/>
      <c r="AD360" s="169"/>
      <c r="AE360" s="169"/>
      <c r="AF360" s="169"/>
      <c r="AG360" s="617"/>
      <c r="AH360" s="169"/>
      <c r="AI360" s="629"/>
      <c r="AJ360" s="169"/>
      <c r="AL360" s="169"/>
      <c r="AM360" s="618"/>
      <c r="AN360" s="454"/>
      <c r="AO360" s="178"/>
      <c r="AP360" s="178"/>
      <c r="BA360" s="1305"/>
      <c r="BC360" s="169"/>
    </row>
    <row r="361" spans="1:59" ht="15.75" customHeight="1">
      <c r="B361" s="175"/>
      <c r="C361" s="617"/>
      <c r="D361" s="177"/>
      <c r="E361" s="177"/>
      <c r="G361" s="458"/>
      <c r="I361" s="454"/>
      <c r="J361" s="617"/>
      <c r="K361" s="169"/>
      <c r="L361" s="169"/>
      <c r="M361" s="169"/>
      <c r="P361" s="169"/>
      <c r="Q361" s="169"/>
      <c r="R361" s="169"/>
      <c r="S361" s="458"/>
      <c r="T361" s="169"/>
      <c r="U361" s="169"/>
      <c r="V361" s="169"/>
      <c r="W361" s="169"/>
      <c r="X361" s="169"/>
      <c r="Y361" s="169"/>
      <c r="Z361" s="169"/>
      <c r="AA361" s="169"/>
      <c r="AB361" s="169"/>
      <c r="AC361" s="169"/>
      <c r="AD361" s="169"/>
      <c r="AE361" s="169"/>
      <c r="AF361" s="169"/>
      <c r="AG361" s="617"/>
      <c r="AH361" s="169"/>
      <c r="AI361" s="629"/>
      <c r="AJ361" s="169"/>
      <c r="AL361" s="169"/>
      <c r="AM361" s="169"/>
      <c r="AN361" s="454"/>
      <c r="AO361" s="178"/>
      <c r="AP361" s="178"/>
      <c r="AW361" s="458"/>
      <c r="AX361" s="458"/>
      <c r="BA361" s="1305"/>
      <c r="BC361" s="169"/>
    </row>
    <row r="362" spans="1:59" ht="15.75" customHeight="1">
      <c r="A362" s="174"/>
      <c r="B362" s="642"/>
      <c r="C362" s="617"/>
      <c r="D362" s="618"/>
      <c r="E362" s="618"/>
      <c r="F362" s="179"/>
      <c r="G362" s="458"/>
      <c r="H362" s="618"/>
      <c r="J362" s="617"/>
      <c r="K362" s="169"/>
      <c r="L362" s="169"/>
      <c r="M362" s="169"/>
      <c r="P362" s="618"/>
      <c r="Q362" s="169"/>
      <c r="R362" s="169"/>
      <c r="S362" s="458"/>
      <c r="T362" s="169"/>
      <c r="U362" s="169"/>
      <c r="V362" s="169"/>
      <c r="W362" s="169"/>
      <c r="X362" s="169"/>
      <c r="Y362" s="169"/>
      <c r="Z362" s="169"/>
      <c r="AA362" s="169"/>
      <c r="AB362" s="169"/>
      <c r="AC362" s="169"/>
      <c r="AD362" s="169"/>
      <c r="AE362" s="169"/>
      <c r="AF362" s="169"/>
      <c r="AG362" s="617"/>
      <c r="AH362" s="169"/>
      <c r="AI362" s="629"/>
      <c r="AJ362" s="618"/>
      <c r="AK362" s="618"/>
      <c r="AL362" s="618"/>
      <c r="AM362" s="618"/>
      <c r="AN362" s="454"/>
      <c r="AO362" s="178"/>
      <c r="AP362" s="178"/>
      <c r="BA362" s="1305"/>
      <c r="BB362" s="174"/>
      <c r="BC362" s="169"/>
      <c r="BD362" s="1324"/>
      <c r="BE362" s="1324"/>
      <c r="BF362" s="1324"/>
      <c r="BG362" s="1324"/>
    </row>
    <row r="363" spans="1:59" ht="15.75" customHeight="1">
      <c r="A363" s="174"/>
      <c r="B363" s="618"/>
      <c r="C363" s="617"/>
      <c r="D363" s="618"/>
      <c r="E363" s="618"/>
      <c r="F363" s="618"/>
      <c r="G363" s="458"/>
      <c r="H363" s="618"/>
      <c r="L363" s="618"/>
      <c r="M363" s="618"/>
      <c r="N363" s="618"/>
      <c r="O363" s="618"/>
      <c r="P363" s="618"/>
      <c r="Q363" s="169"/>
      <c r="R363" s="169"/>
      <c r="S363" s="458"/>
      <c r="T363" s="169"/>
      <c r="U363" s="169"/>
      <c r="V363" s="169"/>
      <c r="W363" s="169"/>
      <c r="X363" s="169"/>
      <c r="Y363" s="169"/>
      <c r="Z363" s="169"/>
      <c r="AA363" s="169"/>
      <c r="AB363" s="169"/>
      <c r="AC363" s="169"/>
      <c r="AD363" s="169"/>
      <c r="AE363" s="169"/>
      <c r="AF363" s="169"/>
      <c r="AG363" s="617"/>
      <c r="AH363" s="169"/>
      <c r="AI363" s="629"/>
      <c r="AJ363" s="618"/>
      <c r="AK363" s="618"/>
      <c r="AL363" s="618"/>
      <c r="AM363" s="618"/>
      <c r="AN363" s="458"/>
      <c r="AO363" s="618"/>
      <c r="AP363" s="618"/>
      <c r="BA363" s="1318"/>
      <c r="BB363" s="174"/>
      <c r="BC363" s="169"/>
      <c r="BD363" s="1324"/>
      <c r="BE363" s="1324"/>
      <c r="BF363" s="1324"/>
      <c r="BG363" s="1324"/>
    </row>
    <row r="364" spans="1:59" ht="15.75" customHeight="1">
      <c r="A364" s="174"/>
      <c r="B364" s="642"/>
      <c r="C364" s="617"/>
      <c r="D364" s="618"/>
      <c r="E364" s="618"/>
      <c r="F364" s="618"/>
      <c r="G364" s="458"/>
      <c r="H364" s="618"/>
      <c r="I364" s="618"/>
      <c r="J364" s="617"/>
      <c r="K364" s="169"/>
      <c r="L364" s="618"/>
      <c r="M364" s="618"/>
      <c r="N364" s="618"/>
      <c r="O364" s="618"/>
      <c r="P364" s="618"/>
      <c r="Q364" s="169"/>
      <c r="R364" s="169"/>
      <c r="S364" s="458"/>
      <c r="T364" s="169"/>
      <c r="U364" s="169"/>
      <c r="V364" s="169"/>
      <c r="W364" s="169"/>
      <c r="X364" s="169"/>
      <c r="Y364" s="169"/>
      <c r="Z364" s="169"/>
      <c r="AA364" s="169"/>
      <c r="AB364" s="169"/>
      <c r="AC364" s="169"/>
      <c r="AD364" s="169"/>
      <c r="AE364" s="169"/>
      <c r="AF364" s="169"/>
      <c r="AG364" s="617"/>
      <c r="AH364" s="169"/>
      <c r="AI364" s="629"/>
      <c r="AJ364" s="618"/>
      <c r="AK364" s="618"/>
      <c r="AL364" s="618"/>
      <c r="AM364" s="618"/>
      <c r="AN364" s="454"/>
      <c r="AO364" s="178"/>
      <c r="AP364" s="178"/>
      <c r="BA364" s="1305"/>
      <c r="BB364" s="174"/>
      <c r="BC364" s="169"/>
      <c r="BD364" s="1324"/>
      <c r="BE364" s="1324"/>
      <c r="BF364" s="1324"/>
      <c r="BG364" s="1324"/>
    </row>
    <row r="365" spans="1:59" ht="15.75" customHeight="1">
      <c r="A365" s="174"/>
      <c r="B365" s="618"/>
      <c r="C365" s="617"/>
      <c r="D365" s="618"/>
      <c r="E365" s="618"/>
      <c r="F365" s="618"/>
      <c r="G365" s="458"/>
      <c r="H365" s="618"/>
      <c r="I365" s="454"/>
      <c r="J365" s="617"/>
      <c r="K365" s="618"/>
      <c r="L365" s="618"/>
      <c r="M365" s="618"/>
      <c r="N365" s="618"/>
      <c r="O365" s="618"/>
      <c r="P365" s="618"/>
      <c r="Q365" s="169"/>
      <c r="R365" s="169"/>
      <c r="S365" s="458"/>
      <c r="T365" s="169"/>
      <c r="U365" s="169"/>
      <c r="V365" s="169"/>
      <c r="W365" s="169"/>
      <c r="X365" s="169"/>
      <c r="Y365" s="169"/>
      <c r="Z365" s="169"/>
      <c r="AA365" s="169"/>
      <c r="AB365" s="169"/>
      <c r="AC365" s="169"/>
      <c r="AD365" s="169"/>
      <c r="AE365" s="169"/>
      <c r="AF365" s="169"/>
      <c r="AG365" s="617"/>
      <c r="AH365" s="169"/>
      <c r="AI365" s="629"/>
      <c r="AJ365" s="618"/>
      <c r="AK365" s="618"/>
      <c r="AL365" s="618"/>
      <c r="AM365" s="618"/>
      <c r="AN365" s="458"/>
      <c r="AO365" s="618"/>
      <c r="AP365" s="618"/>
      <c r="BA365" s="1305"/>
      <c r="BB365" s="174"/>
      <c r="BC365" s="169"/>
      <c r="BD365" s="1324"/>
      <c r="BE365" s="1324"/>
      <c r="BF365" s="1324"/>
      <c r="BG365" s="1324"/>
    </row>
    <row r="366" spans="1:59" ht="15.75" customHeight="1">
      <c r="B366" s="180"/>
      <c r="C366" s="617"/>
      <c r="D366" s="177"/>
      <c r="E366" s="177"/>
      <c r="G366" s="458"/>
      <c r="I366" s="182"/>
      <c r="J366" s="617"/>
      <c r="K366" s="169"/>
      <c r="L366" s="169"/>
      <c r="M366" s="169"/>
      <c r="P366" s="169"/>
      <c r="Q366" s="169"/>
      <c r="R366" s="169"/>
      <c r="S366" s="458"/>
      <c r="T366" s="169"/>
      <c r="U366" s="169"/>
      <c r="V366" s="169"/>
      <c r="W366" s="169"/>
      <c r="X366" s="169"/>
      <c r="Y366" s="169"/>
      <c r="Z366" s="169"/>
      <c r="AA366" s="169"/>
      <c r="AB366" s="169"/>
      <c r="AC366" s="169"/>
      <c r="AD366" s="169"/>
      <c r="AE366" s="169"/>
      <c r="AF366" s="169"/>
      <c r="AG366" s="617"/>
      <c r="AH366" s="169"/>
      <c r="AI366" s="629"/>
      <c r="AJ366" s="169"/>
      <c r="AL366" s="169"/>
      <c r="AM366" s="618"/>
      <c r="AN366" s="454"/>
      <c r="AO366" s="178"/>
      <c r="AP366" s="178"/>
      <c r="BA366" s="1305"/>
      <c r="BC366" s="169"/>
    </row>
    <row r="367" spans="1:59" ht="15.75" customHeight="1">
      <c r="B367" s="175"/>
      <c r="C367" s="617"/>
      <c r="D367" s="177"/>
      <c r="E367" s="177"/>
      <c r="G367" s="458"/>
      <c r="I367" s="179"/>
      <c r="J367" s="617"/>
      <c r="K367" s="169"/>
      <c r="L367" s="169"/>
      <c r="M367" s="169"/>
      <c r="P367" s="169"/>
      <c r="Q367" s="169"/>
      <c r="R367" s="169"/>
      <c r="S367" s="458"/>
      <c r="T367" s="169"/>
      <c r="U367" s="169"/>
      <c r="V367" s="169"/>
      <c r="W367" s="169"/>
      <c r="X367" s="169"/>
      <c r="Y367" s="169"/>
      <c r="Z367" s="169"/>
      <c r="AA367" s="169"/>
      <c r="AB367" s="169"/>
      <c r="AC367" s="169"/>
      <c r="AD367" s="169"/>
      <c r="AE367" s="169"/>
      <c r="AF367" s="169"/>
      <c r="AG367" s="617"/>
      <c r="AH367" s="169"/>
      <c r="AI367" s="629"/>
      <c r="AJ367" s="169"/>
      <c r="AL367" s="169"/>
      <c r="AM367" s="169"/>
      <c r="AN367" s="454"/>
      <c r="AO367" s="178"/>
      <c r="AP367" s="178"/>
      <c r="BA367" s="1305"/>
      <c r="BC367" s="169"/>
    </row>
    <row r="368" spans="1:59" ht="15.75" customHeight="1">
      <c r="B368" s="180"/>
      <c r="C368" s="617"/>
      <c r="D368" s="177"/>
      <c r="E368" s="177"/>
      <c r="G368" s="458"/>
      <c r="I368" s="618"/>
      <c r="J368" s="617"/>
      <c r="K368" s="169"/>
      <c r="L368" s="169"/>
      <c r="M368" s="169"/>
      <c r="P368" s="169"/>
      <c r="Q368" s="169"/>
      <c r="R368" s="169"/>
      <c r="S368" s="458"/>
      <c r="T368" s="169"/>
      <c r="U368" s="169"/>
      <c r="V368" s="169"/>
      <c r="W368" s="169"/>
      <c r="X368" s="169"/>
      <c r="Y368" s="169"/>
      <c r="Z368" s="169"/>
      <c r="AA368" s="169"/>
      <c r="AB368" s="169"/>
      <c r="AC368" s="169"/>
      <c r="AD368" s="169"/>
      <c r="AE368" s="169"/>
      <c r="AF368" s="169"/>
      <c r="AG368" s="617"/>
      <c r="AH368" s="169"/>
      <c r="AI368" s="629"/>
      <c r="AJ368" s="169"/>
      <c r="AL368" s="169"/>
      <c r="AM368" s="618"/>
      <c r="AN368" s="454"/>
      <c r="AO368" s="178"/>
      <c r="AP368" s="178"/>
      <c r="BA368" s="1305"/>
      <c r="BC368" s="169"/>
    </row>
    <row r="369" spans="1:59" ht="15.75" customHeight="1">
      <c r="B369" s="175"/>
      <c r="C369" s="617"/>
      <c r="D369" s="177"/>
      <c r="E369" s="177"/>
      <c r="G369" s="458"/>
      <c r="I369" s="454"/>
      <c r="J369" s="617"/>
      <c r="K369" s="169"/>
      <c r="L369" s="169"/>
      <c r="M369" s="169"/>
      <c r="P369" s="169"/>
      <c r="Q369" s="169"/>
      <c r="R369" s="169"/>
      <c r="S369" s="458"/>
      <c r="T369" s="169"/>
      <c r="U369" s="169"/>
      <c r="V369" s="169"/>
      <c r="W369" s="169"/>
      <c r="X369" s="169"/>
      <c r="Y369" s="169"/>
      <c r="Z369" s="169"/>
      <c r="AA369" s="169"/>
      <c r="AB369" s="169"/>
      <c r="AC369" s="169"/>
      <c r="AD369" s="169"/>
      <c r="AE369" s="169"/>
      <c r="AF369" s="169"/>
      <c r="AG369" s="617"/>
      <c r="AH369" s="169"/>
      <c r="AI369" s="629"/>
      <c r="AJ369" s="169"/>
      <c r="AL369" s="169"/>
      <c r="AM369" s="169"/>
      <c r="AN369" s="454"/>
      <c r="AO369" s="178"/>
      <c r="AP369" s="178"/>
      <c r="AW369" s="458"/>
      <c r="AX369" s="458"/>
      <c r="BA369" s="1305"/>
      <c r="BC369" s="169"/>
    </row>
    <row r="370" spans="1:59" ht="15.75" customHeight="1">
      <c r="A370" s="174"/>
      <c r="B370" s="642"/>
      <c r="C370" s="617"/>
      <c r="D370" s="618"/>
      <c r="E370" s="618"/>
      <c r="F370" s="179"/>
      <c r="G370" s="458"/>
      <c r="H370" s="618"/>
      <c r="J370" s="617"/>
      <c r="K370" s="169"/>
      <c r="L370" s="169"/>
      <c r="M370" s="169"/>
      <c r="P370" s="618"/>
      <c r="Q370" s="169"/>
      <c r="R370" s="169"/>
      <c r="S370" s="458"/>
      <c r="T370" s="169"/>
      <c r="U370" s="169"/>
      <c r="V370" s="169"/>
      <c r="W370" s="169"/>
      <c r="X370" s="169"/>
      <c r="Y370" s="169"/>
      <c r="Z370" s="169"/>
      <c r="AA370" s="169"/>
      <c r="AB370" s="169"/>
      <c r="AC370" s="169"/>
      <c r="AD370" s="169"/>
      <c r="AE370" s="169"/>
      <c r="AF370" s="169"/>
      <c r="AG370" s="617"/>
      <c r="AH370" s="169"/>
      <c r="AI370" s="629"/>
      <c r="AJ370" s="618"/>
      <c r="AK370" s="618"/>
      <c r="AL370" s="618"/>
      <c r="AM370" s="618"/>
      <c r="AN370" s="454"/>
      <c r="AO370" s="178"/>
      <c r="AP370" s="178"/>
      <c r="BA370" s="1305"/>
      <c r="BB370" s="174"/>
      <c r="BC370" s="169"/>
      <c r="BD370" s="1324"/>
      <c r="BE370" s="1324"/>
      <c r="BF370" s="1324"/>
      <c r="BG370" s="1324"/>
    </row>
    <row r="371" spans="1:59" ht="15.75" customHeight="1">
      <c r="A371" s="174"/>
      <c r="B371" s="618"/>
      <c r="C371" s="617"/>
      <c r="D371" s="618"/>
      <c r="E371" s="618"/>
      <c r="F371" s="618"/>
      <c r="G371" s="458"/>
      <c r="H371" s="618"/>
      <c r="L371" s="618"/>
      <c r="M371" s="618"/>
      <c r="N371" s="618"/>
      <c r="O371" s="618"/>
      <c r="P371" s="618"/>
      <c r="Q371" s="169"/>
      <c r="R371" s="169"/>
      <c r="S371" s="458"/>
      <c r="T371" s="169"/>
      <c r="U371" s="169"/>
      <c r="V371" s="169"/>
      <c r="W371" s="169"/>
      <c r="X371" s="169"/>
      <c r="Y371" s="169"/>
      <c r="Z371" s="169"/>
      <c r="AA371" s="169"/>
      <c r="AB371" s="169"/>
      <c r="AC371" s="169"/>
      <c r="AD371" s="169"/>
      <c r="AE371" s="169"/>
      <c r="AF371" s="169"/>
      <c r="AG371" s="617"/>
      <c r="AH371" s="169"/>
      <c r="AI371" s="629"/>
      <c r="AJ371" s="618"/>
      <c r="AK371" s="618"/>
      <c r="AL371" s="618"/>
      <c r="AM371" s="618"/>
      <c r="AN371" s="458"/>
      <c r="AO371" s="618"/>
      <c r="AP371" s="618"/>
      <c r="BA371" s="1318"/>
      <c r="BB371" s="174"/>
      <c r="BC371" s="169"/>
      <c r="BD371" s="1324"/>
      <c r="BE371" s="1324"/>
      <c r="BF371" s="1324"/>
      <c r="BG371" s="1324"/>
    </row>
    <row r="372" spans="1:59" ht="15.75" customHeight="1">
      <c r="A372" s="174"/>
      <c r="B372" s="642"/>
      <c r="C372" s="617"/>
      <c r="D372" s="618"/>
      <c r="E372" s="618"/>
      <c r="F372" s="618"/>
      <c r="G372" s="458"/>
      <c r="H372" s="618"/>
      <c r="I372" s="618"/>
      <c r="J372" s="617"/>
      <c r="K372" s="169"/>
      <c r="L372" s="618"/>
      <c r="M372" s="618"/>
      <c r="N372" s="618"/>
      <c r="O372" s="618"/>
      <c r="P372" s="618"/>
      <c r="Q372" s="169"/>
      <c r="R372" s="169"/>
      <c r="S372" s="458"/>
      <c r="T372" s="169"/>
      <c r="U372" s="169"/>
      <c r="V372" s="169"/>
      <c r="W372" s="169"/>
      <c r="X372" s="169"/>
      <c r="Y372" s="169"/>
      <c r="Z372" s="169"/>
      <c r="AA372" s="169"/>
      <c r="AB372" s="169"/>
      <c r="AC372" s="169"/>
      <c r="AD372" s="169"/>
      <c r="AE372" s="169"/>
      <c r="AF372" s="169"/>
      <c r="AG372" s="617"/>
      <c r="AH372" s="169"/>
      <c r="AI372" s="629"/>
      <c r="AJ372" s="618"/>
      <c r="AK372" s="618"/>
      <c r="AL372" s="618"/>
      <c r="AM372" s="618"/>
      <c r="AN372" s="454"/>
      <c r="AO372" s="178"/>
      <c r="AP372" s="178"/>
      <c r="BA372" s="1305"/>
      <c r="BB372" s="174"/>
      <c r="BC372" s="169"/>
      <c r="BD372" s="1324"/>
      <c r="BE372" s="1324"/>
      <c r="BF372" s="1324"/>
      <c r="BG372" s="1324"/>
    </row>
    <row r="373" spans="1:59" ht="15.75" customHeight="1">
      <c r="A373" s="174"/>
      <c r="B373" s="618"/>
      <c r="C373" s="617"/>
      <c r="D373" s="618"/>
      <c r="E373" s="618"/>
      <c r="F373" s="618"/>
      <c r="G373" s="458"/>
      <c r="H373" s="618"/>
      <c r="I373" s="454"/>
      <c r="J373" s="617"/>
      <c r="K373" s="618"/>
      <c r="L373" s="618"/>
      <c r="M373" s="618"/>
      <c r="N373" s="618"/>
      <c r="O373" s="618"/>
      <c r="P373" s="618"/>
      <c r="Q373" s="169"/>
      <c r="R373" s="169"/>
      <c r="S373" s="458"/>
      <c r="T373" s="169"/>
      <c r="U373" s="169"/>
      <c r="V373" s="169"/>
      <c r="W373" s="169"/>
      <c r="X373" s="169"/>
      <c r="Y373" s="169"/>
      <c r="Z373" s="169"/>
      <c r="AA373" s="169"/>
      <c r="AB373" s="169"/>
      <c r="AC373" s="169"/>
      <c r="AD373" s="169"/>
      <c r="AE373" s="169"/>
      <c r="AF373" s="169"/>
      <c r="AG373" s="617"/>
      <c r="AH373" s="169"/>
      <c r="AI373" s="629"/>
      <c r="AJ373" s="618"/>
      <c r="AK373" s="618"/>
      <c r="AL373" s="618"/>
      <c r="AM373" s="618"/>
      <c r="AN373" s="458"/>
      <c r="AO373" s="618"/>
      <c r="AP373" s="618"/>
      <c r="BA373" s="1305"/>
      <c r="BB373" s="174"/>
      <c r="BC373" s="169"/>
      <c r="BD373" s="1324"/>
      <c r="BE373" s="1324"/>
      <c r="BF373" s="1324"/>
      <c r="BG373" s="1324"/>
    </row>
    <row r="374" spans="1:59" ht="15.75" customHeight="1">
      <c r="B374" s="180"/>
      <c r="C374" s="617"/>
      <c r="D374" s="177"/>
      <c r="E374" s="177"/>
      <c r="G374" s="458"/>
      <c r="I374" s="182"/>
      <c r="J374" s="617"/>
      <c r="K374" s="169"/>
      <c r="L374" s="169"/>
      <c r="M374" s="169"/>
      <c r="P374" s="169"/>
      <c r="Q374" s="169"/>
      <c r="R374" s="169"/>
      <c r="S374" s="458"/>
      <c r="T374" s="169"/>
      <c r="U374" s="169"/>
      <c r="V374" s="169"/>
      <c r="W374" s="169"/>
      <c r="X374" s="169"/>
      <c r="Y374" s="169"/>
      <c r="Z374" s="169"/>
      <c r="AA374" s="169"/>
      <c r="AB374" s="169"/>
      <c r="AC374" s="169"/>
      <c r="AD374" s="169"/>
      <c r="AE374" s="169"/>
      <c r="AF374" s="169"/>
      <c r="AG374" s="617"/>
      <c r="AH374" s="169"/>
      <c r="AI374" s="629"/>
      <c r="AJ374" s="169"/>
      <c r="AL374" s="169"/>
      <c r="AM374" s="618"/>
      <c r="AN374" s="454"/>
      <c r="AO374" s="178"/>
      <c r="AP374" s="178"/>
      <c r="BA374" s="1305"/>
      <c r="BC374" s="169"/>
    </row>
    <row r="375" spans="1:59" ht="15.75" customHeight="1">
      <c r="B375" s="175"/>
      <c r="C375" s="617"/>
      <c r="D375" s="177"/>
      <c r="E375" s="177"/>
      <c r="G375" s="458"/>
      <c r="I375" s="179"/>
      <c r="J375" s="617"/>
      <c r="K375" s="169"/>
      <c r="L375" s="169"/>
      <c r="M375" s="169"/>
      <c r="P375" s="169"/>
      <c r="Q375" s="169"/>
      <c r="R375" s="169"/>
      <c r="S375" s="458"/>
      <c r="T375" s="169"/>
      <c r="U375" s="169"/>
      <c r="V375" s="169"/>
      <c r="W375" s="169"/>
      <c r="X375" s="169"/>
      <c r="Y375" s="169"/>
      <c r="Z375" s="169"/>
      <c r="AA375" s="169"/>
      <c r="AB375" s="169"/>
      <c r="AC375" s="169"/>
      <c r="AD375" s="169"/>
      <c r="AE375" s="169"/>
      <c r="AF375" s="169"/>
      <c r="AG375" s="617"/>
      <c r="AH375" s="169"/>
      <c r="AI375" s="629"/>
      <c r="AJ375" s="169"/>
      <c r="AL375" s="169"/>
      <c r="AM375" s="169"/>
      <c r="AN375" s="454"/>
      <c r="AO375" s="178"/>
      <c r="AP375" s="178"/>
      <c r="BA375" s="1305"/>
      <c r="BC375" s="169"/>
    </row>
    <row r="376" spans="1:59" ht="15.75" customHeight="1">
      <c r="B376" s="180"/>
      <c r="C376" s="617"/>
      <c r="D376" s="177"/>
      <c r="E376" s="177"/>
      <c r="G376" s="458"/>
      <c r="I376" s="618"/>
      <c r="J376" s="617"/>
      <c r="K376" s="169"/>
      <c r="L376" s="169"/>
      <c r="M376" s="169"/>
      <c r="P376" s="169"/>
      <c r="Q376" s="169"/>
      <c r="R376" s="169"/>
      <c r="S376" s="458"/>
      <c r="T376" s="169"/>
      <c r="U376" s="169"/>
      <c r="V376" s="169"/>
      <c r="W376" s="169"/>
      <c r="X376" s="169"/>
      <c r="Y376" s="169"/>
      <c r="Z376" s="169"/>
      <c r="AA376" s="169"/>
      <c r="AB376" s="169"/>
      <c r="AC376" s="169"/>
      <c r="AD376" s="169"/>
      <c r="AE376" s="169"/>
      <c r="AF376" s="169"/>
      <c r="AG376" s="617"/>
      <c r="AH376" s="169"/>
      <c r="AI376" s="629"/>
      <c r="AJ376" s="169"/>
      <c r="AL376" s="169"/>
      <c r="AM376" s="618"/>
      <c r="AN376" s="454"/>
      <c r="AO376" s="178"/>
      <c r="AP376" s="178"/>
      <c r="BA376" s="1305"/>
      <c r="BC376" s="169"/>
    </row>
    <row r="377" spans="1:59" ht="15.75" customHeight="1">
      <c r="B377" s="175"/>
      <c r="C377" s="617"/>
      <c r="D377" s="177"/>
      <c r="E377" s="177"/>
      <c r="G377" s="458"/>
      <c r="I377" s="454"/>
      <c r="J377" s="617"/>
      <c r="K377" s="169"/>
      <c r="L377" s="169"/>
      <c r="M377" s="169"/>
      <c r="P377" s="169"/>
      <c r="Q377" s="169"/>
      <c r="R377" s="169"/>
      <c r="S377" s="458"/>
      <c r="T377" s="169"/>
      <c r="U377" s="169"/>
      <c r="V377" s="169"/>
      <c r="W377" s="169"/>
      <c r="X377" s="169"/>
      <c r="Y377" s="169"/>
      <c r="Z377" s="169"/>
      <c r="AA377" s="169"/>
      <c r="AB377" s="169"/>
      <c r="AC377" s="169"/>
      <c r="AD377" s="169"/>
      <c r="AE377" s="169"/>
      <c r="AF377" s="169"/>
      <c r="AG377" s="617"/>
      <c r="AH377" s="169"/>
      <c r="AI377" s="629"/>
      <c r="AJ377" s="169"/>
      <c r="AL377" s="169"/>
      <c r="AM377" s="169"/>
      <c r="AN377" s="454"/>
      <c r="AO377" s="178"/>
      <c r="AP377" s="178"/>
      <c r="AW377" s="458"/>
      <c r="AX377" s="458"/>
      <c r="BA377" s="1305"/>
      <c r="BC377" s="169"/>
    </row>
    <row r="378" spans="1:59" ht="15.75" customHeight="1">
      <c r="A378" s="174"/>
      <c r="B378" s="642"/>
      <c r="C378" s="617"/>
      <c r="D378" s="618"/>
      <c r="E378" s="618"/>
      <c r="F378" s="179"/>
      <c r="G378" s="458"/>
      <c r="H378" s="618"/>
      <c r="J378" s="617"/>
      <c r="K378" s="169"/>
      <c r="L378" s="169"/>
      <c r="M378" s="169"/>
      <c r="P378" s="618"/>
      <c r="Q378" s="169"/>
      <c r="R378" s="169"/>
      <c r="S378" s="458"/>
      <c r="T378" s="169"/>
      <c r="U378" s="169"/>
      <c r="V378" s="169"/>
      <c r="W378" s="169"/>
      <c r="X378" s="169"/>
      <c r="Y378" s="169"/>
      <c r="Z378" s="169"/>
      <c r="AA378" s="169"/>
      <c r="AB378" s="169"/>
      <c r="AC378" s="169"/>
      <c r="AD378" s="169"/>
      <c r="AE378" s="169"/>
      <c r="AF378" s="169"/>
      <c r="AG378" s="617"/>
      <c r="AH378" s="169"/>
      <c r="AI378" s="629"/>
      <c r="AJ378" s="618"/>
      <c r="AK378" s="618"/>
      <c r="AL378" s="618"/>
      <c r="AM378" s="618"/>
      <c r="AN378" s="454"/>
      <c r="AO378" s="178"/>
      <c r="AP378" s="178"/>
      <c r="BA378" s="1305"/>
      <c r="BB378" s="174"/>
      <c r="BC378" s="169"/>
      <c r="BD378" s="1324"/>
      <c r="BE378" s="1324"/>
      <c r="BF378" s="1324"/>
      <c r="BG378" s="1324"/>
    </row>
    <row r="379" spans="1:59" ht="15.75" customHeight="1">
      <c r="A379" s="174"/>
      <c r="B379" s="618"/>
      <c r="C379" s="617"/>
      <c r="D379" s="618"/>
      <c r="E379" s="618"/>
      <c r="F379" s="618"/>
      <c r="G379" s="458"/>
      <c r="H379" s="618"/>
      <c r="L379" s="618"/>
      <c r="M379" s="618"/>
      <c r="N379" s="618"/>
      <c r="O379" s="618"/>
      <c r="P379" s="618"/>
      <c r="Q379" s="169"/>
      <c r="R379" s="169"/>
      <c r="S379" s="458"/>
      <c r="T379" s="169"/>
      <c r="U379" s="169"/>
      <c r="V379" s="169"/>
      <c r="W379" s="169"/>
      <c r="X379" s="169"/>
      <c r="Y379" s="169"/>
      <c r="Z379" s="169"/>
      <c r="AA379" s="169"/>
      <c r="AB379" s="169"/>
      <c r="AC379" s="169"/>
      <c r="AD379" s="169"/>
      <c r="AE379" s="169"/>
      <c r="AF379" s="169"/>
      <c r="AG379" s="617"/>
      <c r="AH379" s="169"/>
      <c r="AI379" s="629"/>
      <c r="AJ379" s="618"/>
      <c r="AK379" s="618"/>
      <c r="AL379" s="618"/>
      <c r="AM379" s="618"/>
      <c r="AN379" s="458"/>
      <c r="AO379" s="618"/>
      <c r="AP379" s="618"/>
      <c r="BA379" s="1318"/>
      <c r="BB379" s="174"/>
      <c r="BC379" s="169"/>
      <c r="BD379" s="1324"/>
      <c r="BE379" s="1324"/>
      <c r="BF379" s="1324"/>
      <c r="BG379" s="1324"/>
    </row>
    <row r="380" spans="1:59" ht="15.75" customHeight="1">
      <c r="A380" s="174"/>
      <c r="B380" s="642"/>
      <c r="C380" s="617"/>
      <c r="D380" s="618"/>
      <c r="E380" s="618"/>
      <c r="F380" s="618"/>
      <c r="G380" s="458"/>
      <c r="H380" s="618"/>
      <c r="I380" s="618"/>
      <c r="J380" s="617"/>
      <c r="K380" s="169"/>
      <c r="L380" s="618"/>
      <c r="M380" s="618"/>
      <c r="N380" s="618"/>
      <c r="O380" s="618"/>
      <c r="P380" s="618"/>
      <c r="Q380" s="169"/>
      <c r="R380" s="169"/>
      <c r="S380" s="458"/>
      <c r="T380" s="169"/>
      <c r="U380" s="169"/>
      <c r="V380" s="169"/>
      <c r="W380" s="169"/>
      <c r="X380" s="169"/>
      <c r="Y380" s="169"/>
      <c r="Z380" s="169"/>
      <c r="AA380" s="169"/>
      <c r="AB380" s="169"/>
      <c r="AC380" s="169"/>
      <c r="AD380" s="169"/>
      <c r="AE380" s="169"/>
      <c r="AF380" s="169"/>
      <c r="AG380" s="617"/>
      <c r="AH380" s="169"/>
      <c r="AI380" s="629"/>
      <c r="AJ380" s="618"/>
      <c r="AK380" s="618"/>
      <c r="AL380" s="618"/>
      <c r="AM380" s="618"/>
      <c r="AN380" s="454"/>
      <c r="AO380" s="178"/>
      <c r="AP380" s="178"/>
      <c r="BA380" s="1305"/>
      <c r="BB380" s="174"/>
      <c r="BC380" s="169"/>
      <c r="BD380" s="1324"/>
      <c r="BE380" s="1324"/>
      <c r="BF380" s="1324"/>
      <c r="BG380" s="1324"/>
    </row>
    <row r="381" spans="1:59" ht="15.75" customHeight="1">
      <c r="A381" s="174"/>
      <c r="B381" s="618"/>
      <c r="C381" s="617"/>
      <c r="D381" s="618"/>
      <c r="E381" s="618"/>
      <c r="F381" s="618"/>
      <c r="G381" s="458"/>
      <c r="H381" s="618"/>
      <c r="I381" s="454"/>
      <c r="J381" s="617"/>
      <c r="K381" s="618"/>
      <c r="L381" s="618"/>
      <c r="M381" s="618"/>
      <c r="N381" s="618"/>
      <c r="O381" s="618"/>
      <c r="P381" s="618"/>
      <c r="Q381" s="169"/>
      <c r="R381" s="169"/>
      <c r="S381" s="458"/>
      <c r="T381" s="169"/>
      <c r="U381" s="169"/>
      <c r="V381" s="169"/>
      <c r="W381" s="169"/>
      <c r="X381" s="169"/>
      <c r="Y381" s="169"/>
      <c r="Z381" s="169"/>
      <c r="AA381" s="169"/>
      <c r="AB381" s="169"/>
      <c r="AC381" s="169"/>
      <c r="AD381" s="169"/>
      <c r="AE381" s="169"/>
      <c r="AF381" s="169"/>
      <c r="AG381" s="617"/>
      <c r="AH381" s="169"/>
      <c r="AI381" s="629"/>
      <c r="AJ381" s="618"/>
      <c r="AK381" s="618"/>
      <c r="AL381" s="618"/>
      <c r="AM381" s="618"/>
      <c r="AN381" s="458"/>
      <c r="AO381" s="618"/>
      <c r="AP381" s="618"/>
      <c r="BA381" s="1305"/>
      <c r="BB381" s="174"/>
      <c r="BC381" s="169"/>
      <c r="BD381" s="1324"/>
      <c r="BE381" s="1324"/>
      <c r="BF381" s="1324"/>
      <c r="BG381" s="1324"/>
    </row>
    <row r="382" spans="1:59" ht="15.75" customHeight="1">
      <c r="B382" s="180"/>
      <c r="C382" s="617"/>
      <c r="D382" s="177"/>
      <c r="E382" s="177"/>
      <c r="G382" s="458"/>
      <c r="I382" s="182"/>
      <c r="J382" s="617"/>
      <c r="K382" s="169"/>
      <c r="L382" s="169"/>
      <c r="M382" s="169"/>
      <c r="P382" s="169"/>
      <c r="Q382" s="169"/>
      <c r="R382" s="169"/>
      <c r="S382" s="458"/>
      <c r="T382" s="169"/>
      <c r="U382" s="169"/>
      <c r="V382" s="169"/>
      <c r="W382" s="169"/>
      <c r="X382" s="169"/>
      <c r="Y382" s="169"/>
      <c r="Z382" s="169"/>
      <c r="AA382" s="169"/>
      <c r="AB382" s="169"/>
      <c r="AC382" s="169"/>
      <c r="AD382" s="169"/>
      <c r="AE382" s="169"/>
      <c r="AF382" s="169"/>
      <c r="AG382" s="617"/>
      <c r="AH382" s="169"/>
      <c r="AI382" s="629"/>
      <c r="AJ382" s="169"/>
      <c r="AL382" s="169"/>
      <c r="AM382" s="618"/>
      <c r="AN382" s="454"/>
      <c r="AO382" s="178"/>
      <c r="AP382" s="178"/>
      <c r="BA382" s="1305"/>
      <c r="BC382" s="169"/>
    </row>
    <row r="383" spans="1:59" ht="15.75" customHeight="1">
      <c r="B383" s="175"/>
      <c r="C383" s="617"/>
      <c r="D383" s="177"/>
      <c r="E383" s="177"/>
      <c r="G383" s="458"/>
      <c r="I383" s="179"/>
      <c r="J383" s="617"/>
      <c r="K383" s="169"/>
      <c r="L383" s="169"/>
      <c r="M383" s="169"/>
      <c r="P383" s="169"/>
      <c r="Q383" s="169"/>
      <c r="R383" s="169"/>
      <c r="S383" s="458"/>
      <c r="T383" s="169"/>
      <c r="U383" s="169"/>
      <c r="V383" s="169"/>
      <c r="W383" s="169"/>
      <c r="X383" s="169"/>
      <c r="Y383" s="169"/>
      <c r="Z383" s="169"/>
      <c r="AA383" s="169"/>
      <c r="AB383" s="169"/>
      <c r="AC383" s="169"/>
      <c r="AD383" s="169"/>
      <c r="AE383" s="169"/>
      <c r="AF383" s="169"/>
      <c r="AG383" s="617"/>
      <c r="AH383" s="169"/>
      <c r="AI383" s="629"/>
      <c r="AJ383" s="169"/>
      <c r="AL383" s="169"/>
      <c r="AM383" s="169"/>
      <c r="AN383" s="454"/>
      <c r="AO383" s="178"/>
      <c r="AP383" s="178"/>
      <c r="BA383" s="1305"/>
      <c r="BC383" s="169"/>
    </row>
    <row r="384" spans="1:59" ht="15.75" customHeight="1">
      <c r="B384" s="180"/>
      <c r="C384" s="617"/>
      <c r="D384" s="177"/>
      <c r="E384" s="177"/>
      <c r="G384" s="458"/>
      <c r="I384" s="618"/>
      <c r="J384" s="617"/>
      <c r="K384" s="169"/>
      <c r="L384" s="169"/>
      <c r="M384" s="169"/>
      <c r="P384" s="169"/>
      <c r="Q384" s="169"/>
      <c r="R384" s="169"/>
      <c r="S384" s="458"/>
      <c r="T384" s="169"/>
      <c r="U384" s="169"/>
      <c r="V384" s="169"/>
      <c r="W384" s="169"/>
      <c r="X384" s="169"/>
      <c r="Y384" s="169"/>
      <c r="Z384" s="169"/>
      <c r="AA384" s="169"/>
      <c r="AB384" s="169"/>
      <c r="AC384" s="169"/>
      <c r="AD384" s="169"/>
      <c r="AE384" s="169"/>
      <c r="AF384" s="169"/>
      <c r="AG384" s="617"/>
      <c r="AH384" s="169"/>
      <c r="AI384" s="629"/>
      <c r="AJ384" s="169"/>
      <c r="AL384" s="169"/>
      <c r="AM384" s="618"/>
      <c r="AN384" s="454"/>
      <c r="AO384" s="178"/>
      <c r="AP384" s="178"/>
      <c r="BA384" s="1305"/>
      <c r="BC384" s="169"/>
    </row>
    <row r="385" spans="1:59" ht="15.75" customHeight="1">
      <c r="B385" s="175"/>
      <c r="C385" s="617"/>
      <c r="D385" s="177"/>
      <c r="E385" s="177"/>
      <c r="G385" s="458"/>
      <c r="I385" s="454"/>
      <c r="J385" s="617"/>
      <c r="K385" s="169"/>
      <c r="L385" s="169"/>
      <c r="M385" s="169"/>
      <c r="P385" s="169"/>
      <c r="Q385" s="169"/>
      <c r="R385" s="169"/>
      <c r="S385" s="458"/>
      <c r="T385" s="169"/>
      <c r="U385" s="169"/>
      <c r="V385" s="169"/>
      <c r="W385" s="169"/>
      <c r="X385" s="169"/>
      <c r="Y385" s="169"/>
      <c r="Z385" s="169"/>
      <c r="AA385" s="169"/>
      <c r="AB385" s="169"/>
      <c r="AC385" s="169"/>
      <c r="AD385" s="169"/>
      <c r="AE385" s="169"/>
      <c r="AF385" s="169"/>
      <c r="AG385" s="617"/>
      <c r="AH385" s="169"/>
      <c r="AI385" s="629"/>
      <c r="AJ385" s="169"/>
      <c r="AL385" s="169"/>
      <c r="AM385" s="169"/>
      <c r="AN385" s="454"/>
      <c r="AO385" s="178"/>
      <c r="AP385" s="178"/>
      <c r="AW385" s="458"/>
      <c r="AX385" s="458"/>
      <c r="BA385" s="1305"/>
      <c r="BC385" s="169"/>
    </row>
    <row r="386" spans="1:59" ht="15.75" customHeight="1">
      <c r="A386" s="174"/>
      <c r="B386" s="642"/>
      <c r="C386" s="617"/>
      <c r="D386" s="618"/>
      <c r="E386" s="618"/>
      <c r="F386" s="179"/>
      <c r="G386" s="458"/>
      <c r="H386" s="618"/>
      <c r="J386" s="617"/>
      <c r="K386" s="169"/>
      <c r="L386" s="169"/>
      <c r="M386" s="169"/>
      <c r="P386" s="618"/>
      <c r="Q386" s="169"/>
      <c r="R386" s="169"/>
      <c r="S386" s="458"/>
      <c r="T386" s="169"/>
      <c r="U386" s="169"/>
      <c r="V386" s="169"/>
      <c r="W386" s="169"/>
      <c r="X386" s="169"/>
      <c r="Y386" s="169"/>
      <c r="Z386" s="169"/>
      <c r="AA386" s="169"/>
      <c r="AB386" s="169"/>
      <c r="AC386" s="169"/>
      <c r="AD386" s="169"/>
      <c r="AE386" s="169"/>
      <c r="AF386" s="169"/>
      <c r="AG386" s="617"/>
      <c r="AH386" s="169"/>
      <c r="AI386" s="629"/>
      <c r="AJ386" s="618"/>
      <c r="AK386" s="618"/>
      <c r="AL386" s="618"/>
      <c r="AM386" s="618"/>
      <c r="AN386" s="454"/>
      <c r="AO386" s="178"/>
      <c r="AP386" s="178"/>
      <c r="BA386" s="1305"/>
      <c r="BB386" s="174"/>
      <c r="BC386" s="169"/>
      <c r="BD386" s="1324"/>
      <c r="BE386" s="1324"/>
      <c r="BF386" s="1324"/>
      <c r="BG386" s="1324"/>
    </row>
    <row r="387" spans="1:59" ht="15.75" customHeight="1">
      <c r="A387" s="174"/>
      <c r="B387" s="618"/>
      <c r="C387" s="617"/>
      <c r="D387" s="618"/>
      <c r="E387" s="618"/>
      <c r="F387" s="618"/>
      <c r="G387" s="458"/>
      <c r="H387" s="618"/>
      <c r="L387" s="618"/>
      <c r="M387" s="618"/>
      <c r="N387" s="618"/>
      <c r="O387" s="618"/>
      <c r="P387" s="618"/>
      <c r="Q387" s="169"/>
      <c r="R387" s="169"/>
      <c r="S387" s="458"/>
      <c r="T387" s="169"/>
      <c r="U387" s="169"/>
      <c r="V387" s="169"/>
      <c r="W387" s="169"/>
      <c r="X387" s="169"/>
      <c r="Y387" s="169"/>
      <c r="Z387" s="169"/>
      <c r="AA387" s="169"/>
      <c r="AB387" s="169"/>
      <c r="AC387" s="169"/>
      <c r="AD387" s="169"/>
      <c r="AE387" s="169"/>
      <c r="AF387" s="169"/>
      <c r="AG387" s="617"/>
      <c r="AH387" s="169"/>
      <c r="AI387" s="629"/>
      <c r="AJ387" s="618"/>
      <c r="AK387" s="618"/>
      <c r="AL387" s="618"/>
      <c r="AM387" s="618"/>
      <c r="AN387" s="458"/>
      <c r="AO387" s="618"/>
      <c r="AP387" s="618"/>
      <c r="BA387" s="1318"/>
      <c r="BB387" s="174"/>
      <c r="BC387" s="169"/>
      <c r="BD387" s="1324"/>
      <c r="BE387" s="1324"/>
      <c r="BF387" s="1324"/>
      <c r="BG387" s="1324"/>
    </row>
    <row r="388" spans="1:59" ht="15.75" customHeight="1">
      <c r="A388" s="174"/>
      <c r="B388" s="642"/>
      <c r="C388" s="617"/>
      <c r="D388" s="618"/>
      <c r="E388" s="618"/>
      <c r="F388" s="618"/>
      <c r="G388" s="458"/>
      <c r="H388" s="618"/>
      <c r="I388" s="618"/>
      <c r="J388" s="617"/>
      <c r="K388" s="169"/>
      <c r="L388" s="618"/>
      <c r="M388" s="618"/>
      <c r="N388" s="618"/>
      <c r="O388" s="618"/>
      <c r="P388" s="618"/>
      <c r="Q388" s="169"/>
      <c r="R388" s="169"/>
      <c r="S388" s="458"/>
      <c r="T388" s="169"/>
      <c r="U388" s="169"/>
      <c r="V388" s="169"/>
      <c r="W388" s="169"/>
      <c r="X388" s="169"/>
      <c r="Y388" s="169"/>
      <c r="Z388" s="169"/>
      <c r="AA388" s="169"/>
      <c r="AB388" s="169"/>
      <c r="AC388" s="169"/>
      <c r="AD388" s="169"/>
      <c r="AE388" s="169"/>
      <c r="AF388" s="169"/>
      <c r="AG388" s="617"/>
      <c r="AH388" s="169"/>
      <c r="AI388" s="629"/>
      <c r="AJ388" s="618"/>
      <c r="AK388" s="618"/>
      <c r="AL388" s="618"/>
      <c r="AM388" s="618"/>
      <c r="AN388" s="454"/>
      <c r="AO388" s="178"/>
      <c r="AP388" s="178"/>
      <c r="BA388" s="1305"/>
      <c r="BB388" s="174"/>
      <c r="BC388" s="169"/>
      <c r="BD388" s="1324"/>
      <c r="BE388" s="1324"/>
      <c r="BF388" s="1324"/>
      <c r="BG388" s="1324"/>
    </row>
    <row r="389" spans="1:59" ht="15.75" customHeight="1">
      <c r="A389" s="174"/>
      <c r="B389" s="618"/>
      <c r="C389" s="617"/>
      <c r="D389" s="618"/>
      <c r="E389" s="618"/>
      <c r="F389" s="618"/>
      <c r="G389" s="458"/>
      <c r="H389" s="618"/>
      <c r="I389" s="454"/>
      <c r="J389" s="617"/>
      <c r="K389" s="618"/>
      <c r="L389" s="618"/>
      <c r="M389" s="618"/>
      <c r="N389" s="618"/>
      <c r="O389" s="618"/>
      <c r="P389" s="618"/>
      <c r="Q389" s="169"/>
      <c r="R389" s="169"/>
      <c r="S389" s="458"/>
      <c r="T389" s="169"/>
      <c r="U389" s="169"/>
      <c r="V389" s="169"/>
      <c r="W389" s="169"/>
      <c r="X389" s="169"/>
      <c r="Y389" s="169"/>
      <c r="Z389" s="169"/>
      <c r="AA389" s="169"/>
      <c r="AB389" s="169"/>
      <c r="AC389" s="169"/>
      <c r="AD389" s="169"/>
      <c r="AE389" s="169"/>
      <c r="AF389" s="169"/>
      <c r="AG389" s="617"/>
      <c r="AH389" s="169"/>
      <c r="AI389" s="629"/>
      <c r="AJ389" s="618"/>
      <c r="AK389" s="618"/>
      <c r="AL389" s="618"/>
      <c r="AM389" s="618"/>
      <c r="AN389" s="458"/>
      <c r="AO389" s="618"/>
      <c r="AP389" s="618"/>
      <c r="BA389" s="1305"/>
      <c r="BB389" s="174"/>
      <c r="BC389" s="169"/>
      <c r="BD389" s="1324"/>
      <c r="BE389" s="1324"/>
      <c r="BF389" s="1324"/>
      <c r="BG389" s="1324"/>
    </row>
    <row r="390" spans="1:59" ht="15.75" customHeight="1">
      <c r="B390" s="180"/>
      <c r="C390" s="617"/>
      <c r="D390" s="177"/>
      <c r="E390" s="177"/>
      <c r="G390" s="458"/>
      <c r="I390" s="182"/>
      <c r="J390" s="617"/>
      <c r="K390" s="169"/>
      <c r="L390" s="169"/>
      <c r="M390" s="169"/>
      <c r="P390" s="169"/>
      <c r="Q390" s="169"/>
      <c r="R390" s="169"/>
      <c r="S390" s="458"/>
      <c r="T390" s="169"/>
      <c r="U390" s="169"/>
      <c r="V390" s="169"/>
      <c r="W390" s="169"/>
      <c r="X390" s="169"/>
      <c r="Y390" s="169"/>
      <c r="Z390" s="169"/>
      <c r="AA390" s="169"/>
      <c r="AB390" s="169"/>
      <c r="AC390" s="169"/>
      <c r="AD390" s="169"/>
      <c r="AE390" s="169"/>
      <c r="AF390" s="169"/>
      <c r="AG390" s="617"/>
      <c r="AH390" s="169"/>
      <c r="AI390" s="629"/>
      <c r="AJ390" s="169"/>
      <c r="AL390" s="169"/>
      <c r="AM390" s="618"/>
      <c r="AN390" s="454"/>
      <c r="AO390" s="178"/>
      <c r="AP390" s="178"/>
      <c r="BA390" s="1305"/>
      <c r="BC390" s="169"/>
    </row>
    <row r="391" spans="1:59" ht="15.75" customHeight="1">
      <c r="B391" s="175"/>
      <c r="C391" s="617"/>
      <c r="D391" s="177"/>
      <c r="E391" s="177"/>
      <c r="G391" s="458"/>
      <c r="I391" s="179"/>
      <c r="J391" s="617"/>
      <c r="K391" s="169"/>
      <c r="L391" s="169"/>
      <c r="M391" s="169"/>
      <c r="P391" s="169"/>
      <c r="Q391" s="169"/>
      <c r="R391" s="169"/>
      <c r="S391" s="458"/>
      <c r="T391" s="169"/>
      <c r="U391" s="169"/>
      <c r="V391" s="169"/>
      <c r="W391" s="169"/>
      <c r="X391" s="169"/>
      <c r="Y391" s="169"/>
      <c r="Z391" s="169"/>
      <c r="AA391" s="169"/>
      <c r="AB391" s="169"/>
      <c r="AC391" s="169"/>
      <c r="AD391" s="169"/>
      <c r="AE391" s="169"/>
      <c r="AF391" s="169"/>
      <c r="AG391" s="617"/>
      <c r="AH391" s="169"/>
      <c r="AI391" s="629"/>
      <c r="AJ391" s="169"/>
      <c r="AL391" s="169"/>
      <c r="AM391" s="169"/>
      <c r="AN391" s="454"/>
      <c r="AO391" s="178"/>
      <c r="AP391" s="178"/>
      <c r="BA391" s="1305"/>
      <c r="BC391" s="169"/>
    </row>
    <row r="392" spans="1:59" ht="15.75" customHeight="1">
      <c r="B392" s="180"/>
      <c r="C392" s="617"/>
      <c r="D392" s="177"/>
      <c r="E392" s="177"/>
      <c r="G392" s="458"/>
      <c r="I392" s="618"/>
      <c r="J392" s="617"/>
      <c r="K392" s="169"/>
      <c r="L392" s="169"/>
      <c r="M392" s="169"/>
      <c r="P392" s="169"/>
      <c r="Q392" s="169"/>
      <c r="R392" s="169"/>
      <c r="S392" s="458"/>
      <c r="T392" s="169"/>
      <c r="U392" s="169"/>
      <c r="V392" s="169"/>
      <c r="W392" s="169"/>
      <c r="X392" s="169"/>
      <c r="Y392" s="169"/>
      <c r="Z392" s="169"/>
      <c r="AA392" s="169"/>
      <c r="AB392" s="169"/>
      <c r="AC392" s="169"/>
      <c r="AD392" s="169"/>
      <c r="AE392" s="169"/>
      <c r="AF392" s="169"/>
      <c r="AG392" s="617"/>
      <c r="AH392" s="169"/>
      <c r="AI392" s="629"/>
      <c r="AJ392" s="169"/>
      <c r="AL392" s="169"/>
      <c r="AM392" s="618"/>
      <c r="AN392" s="454"/>
      <c r="AO392" s="178"/>
      <c r="AP392" s="178"/>
      <c r="BA392" s="1305"/>
      <c r="BC392" s="169"/>
    </row>
    <row r="393" spans="1:59" ht="15.75" customHeight="1">
      <c r="B393" s="175"/>
      <c r="C393" s="617"/>
      <c r="D393" s="177"/>
      <c r="E393" s="177"/>
      <c r="G393" s="458"/>
      <c r="I393" s="454"/>
      <c r="J393" s="617"/>
      <c r="K393" s="169"/>
      <c r="L393" s="169"/>
      <c r="M393" s="169"/>
      <c r="P393" s="169"/>
      <c r="Q393" s="169"/>
      <c r="R393" s="169"/>
      <c r="S393" s="458"/>
      <c r="T393" s="169"/>
      <c r="U393" s="169"/>
      <c r="V393" s="169"/>
      <c r="W393" s="169"/>
      <c r="X393" s="169"/>
      <c r="Y393" s="169"/>
      <c r="Z393" s="169"/>
      <c r="AA393" s="169"/>
      <c r="AB393" s="169"/>
      <c r="AC393" s="169"/>
      <c r="AD393" s="169"/>
      <c r="AE393" s="169"/>
      <c r="AF393" s="169"/>
      <c r="AG393" s="617"/>
      <c r="AH393" s="169"/>
      <c r="AI393" s="629"/>
      <c r="AJ393" s="169"/>
      <c r="AL393" s="169"/>
      <c r="AM393" s="169"/>
      <c r="AN393" s="454"/>
      <c r="AO393" s="178"/>
      <c r="AP393" s="178"/>
      <c r="AW393" s="458"/>
      <c r="AX393" s="458"/>
      <c r="BA393" s="1305"/>
      <c r="BC393" s="169"/>
    </row>
    <row r="394" spans="1:59" ht="15.75" customHeight="1">
      <c r="A394" s="174"/>
      <c r="B394" s="642"/>
      <c r="C394" s="617"/>
      <c r="D394" s="618"/>
      <c r="E394" s="618"/>
      <c r="F394" s="179"/>
      <c r="G394" s="458"/>
      <c r="H394" s="618"/>
      <c r="J394" s="617"/>
      <c r="K394" s="169"/>
      <c r="L394" s="169"/>
      <c r="M394" s="169"/>
      <c r="P394" s="618"/>
      <c r="Q394" s="169"/>
      <c r="R394" s="169"/>
      <c r="S394" s="458"/>
      <c r="T394" s="169"/>
      <c r="U394" s="169"/>
      <c r="V394" s="169"/>
      <c r="W394" s="169"/>
      <c r="X394" s="169"/>
      <c r="Y394" s="169"/>
      <c r="Z394" s="169"/>
      <c r="AA394" s="169"/>
      <c r="AB394" s="169"/>
      <c r="AC394" s="169"/>
      <c r="AD394" s="169"/>
      <c r="AE394" s="169"/>
      <c r="AF394" s="169"/>
      <c r="AG394" s="617"/>
      <c r="AH394" s="169"/>
      <c r="AI394" s="629"/>
      <c r="AJ394" s="618"/>
      <c r="AK394" s="618"/>
      <c r="AL394" s="618"/>
      <c r="AM394" s="618"/>
      <c r="AN394" s="454"/>
      <c r="AO394" s="178"/>
      <c r="AP394" s="178"/>
      <c r="BA394" s="1305"/>
      <c r="BB394" s="174"/>
      <c r="BC394" s="169"/>
      <c r="BD394" s="1324"/>
      <c r="BE394" s="1324"/>
      <c r="BF394" s="1324"/>
      <c r="BG394" s="1324"/>
    </row>
    <row r="395" spans="1:59" ht="15.75" customHeight="1">
      <c r="A395" s="174"/>
      <c r="B395" s="618"/>
      <c r="C395" s="617"/>
      <c r="D395" s="618"/>
      <c r="E395" s="618"/>
      <c r="F395" s="618"/>
      <c r="G395" s="458"/>
      <c r="H395" s="618"/>
      <c r="L395" s="618"/>
      <c r="M395" s="618"/>
      <c r="N395" s="618"/>
      <c r="O395" s="618"/>
      <c r="P395" s="618"/>
      <c r="Q395" s="169"/>
      <c r="R395" s="169"/>
      <c r="S395" s="458"/>
      <c r="T395" s="169"/>
      <c r="U395" s="169"/>
      <c r="V395" s="169"/>
      <c r="W395" s="169"/>
      <c r="X395" s="169"/>
      <c r="Y395" s="169"/>
      <c r="Z395" s="169"/>
      <c r="AA395" s="169"/>
      <c r="AB395" s="169"/>
      <c r="AC395" s="169"/>
      <c r="AD395" s="169"/>
      <c r="AE395" s="169"/>
      <c r="AF395" s="169"/>
      <c r="AG395" s="617"/>
      <c r="AH395" s="169"/>
      <c r="AI395" s="629"/>
      <c r="AJ395" s="618"/>
      <c r="AK395" s="618"/>
      <c r="AL395" s="618"/>
      <c r="AM395" s="618"/>
      <c r="AN395" s="458"/>
      <c r="AO395" s="618"/>
      <c r="AP395" s="618"/>
      <c r="BA395" s="1318"/>
      <c r="BB395" s="174"/>
      <c r="BC395" s="169"/>
      <c r="BD395" s="1324"/>
      <c r="BE395" s="1324"/>
      <c r="BF395" s="1324"/>
      <c r="BG395" s="1324"/>
    </row>
    <row r="396" spans="1:59" ht="15.75" customHeight="1">
      <c r="A396" s="174"/>
      <c r="B396" s="642"/>
      <c r="C396" s="617"/>
      <c r="D396" s="618"/>
      <c r="E396" s="618"/>
      <c r="F396" s="618"/>
      <c r="G396" s="458"/>
      <c r="H396" s="618"/>
      <c r="I396" s="618"/>
      <c r="J396" s="617"/>
      <c r="K396" s="169"/>
      <c r="L396" s="618"/>
      <c r="M396" s="618"/>
      <c r="N396" s="618"/>
      <c r="O396" s="618"/>
      <c r="P396" s="618"/>
      <c r="Q396" s="169"/>
      <c r="R396" s="169"/>
      <c r="S396" s="458"/>
      <c r="T396" s="169"/>
      <c r="U396" s="169"/>
      <c r="V396" s="169"/>
      <c r="W396" s="169"/>
      <c r="X396" s="169"/>
      <c r="Y396" s="169"/>
      <c r="Z396" s="169"/>
      <c r="AA396" s="169"/>
      <c r="AB396" s="169"/>
      <c r="AC396" s="169"/>
      <c r="AD396" s="169"/>
      <c r="AE396" s="169"/>
      <c r="AF396" s="169"/>
      <c r="AG396" s="617"/>
      <c r="AH396" s="169"/>
      <c r="AI396" s="629"/>
      <c r="AJ396" s="618"/>
      <c r="AK396" s="618"/>
      <c r="AL396" s="618"/>
      <c r="AM396" s="618"/>
      <c r="AN396" s="454"/>
      <c r="AO396" s="178"/>
      <c r="AP396" s="178"/>
      <c r="BA396" s="1305"/>
      <c r="BB396" s="174"/>
      <c r="BC396" s="169"/>
      <c r="BD396" s="1324"/>
      <c r="BE396" s="1324"/>
      <c r="BF396" s="1324"/>
      <c r="BG396" s="1324"/>
    </row>
    <row r="397" spans="1:59" ht="15.75" customHeight="1">
      <c r="A397" s="174"/>
      <c r="B397" s="618"/>
      <c r="C397" s="617"/>
      <c r="D397" s="618"/>
      <c r="E397" s="618"/>
      <c r="F397" s="618"/>
      <c r="G397" s="458"/>
      <c r="H397" s="618"/>
      <c r="I397" s="454"/>
      <c r="J397" s="617"/>
      <c r="K397" s="618"/>
      <c r="L397" s="618"/>
      <c r="M397" s="618"/>
      <c r="N397" s="618"/>
      <c r="O397" s="618"/>
      <c r="P397" s="618"/>
      <c r="Q397" s="169"/>
      <c r="R397" s="169"/>
      <c r="S397" s="458"/>
      <c r="T397" s="169"/>
      <c r="U397" s="169"/>
      <c r="V397" s="169"/>
      <c r="W397" s="169"/>
      <c r="X397" s="169"/>
      <c r="Y397" s="169"/>
      <c r="Z397" s="169"/>
      <c r="AA397" s="169"/>
      <c r="AB397" s="169"/>
      <c r="AC397" s="169"/>
      <c r="AD397" s="169"/>
      <c r="AE397" s="169"/>
      <c r="AF397" s="169"/>
      <c r="AG397" s="617"/>
      <c r="AH397" s="169"/>
      <c r="AI397" s="629"/>
      <c r="AJ397" s="618"/>
      <c r="AK397" s="618"/>
      <c r="AL397" s="618"/>
      <c r="AM397" s="618"/>
      <c r="AN397" s="458"/>
      <c r="AO397" s="618"/>
      <c r="AP397" s="618"/>
      <c r="BA397" s="1305"/>
      <c r="BB397" s="174"/>
      <c r="BC397" s="169"/>
      <c r="BD397" s="1324"/>
      <c r="BE397" s="1324"/>
      <c r="BF397" s="1324"/>
      <c r="BG397" s="1324"/>
    </row>
    <row r="398" spans="1:59" ht="15.75" customHeight="1">
      <c r="B398" s="180"/>
      <c r="C398" s="617"/>
      <c r="D398" s="177"/>
      <c r="E398" s="177"/>
      <c r="G398" s="458"/>
      <c r="I398" s="182"/>
      <c r="J398" s="617"/>
      <c r="K398" s="169"/>
      <c r="L398" s="169"/>
      <c r="M398" s="169"/>
      <c r="P398" s="169"/>
      <c r="Q398" s="169"/>
      <c r="R398" s="169"/>
      <c r="S398" s="458"/>
      <c r="T398" s="169"/>
      <c r="U398" s="169"/>
      <c r="V398" s="169"/>
      <c r="W398" s="169"/>
      <c r="X398" s="169"/>
      <c r="Y398" s="169"/>
      <c r="Z398" s="169"/>
      <c r="AA398" s="169"/>
      <c r="AB398" s="169"/>
      <c r="AC398" s="169"/>
      <c r="AD398" s="169"/>
      <c r="AE398" s="169"/>
      <c r="AF398" s="169"/>
      <c r="AG398" s="617"/>
      <c r="AH398" s="169"/>
      <c r="AI398" s="629"/>
      <c r="AJ398" s="169"/>
      <c r="AL398" s="169"/>
      <c r="AM398" s="618"/>
      <c r="AN398" s="454"/>
      <c r="AO398" s="178"/>
      <c r="AP398" s="178"/>
      <c r="BA398" s="1305"/>
      <c r="BC398" s="169"/>
    </row>
    <row r="399" spans="1:59" ht="15.75" customHeight="1">
      <c r="B399" s="175"/>
      <c r="C399" s="617"/>
      <c r="D399" s="177"/>
      <c r="E399" s="177"/>
      <c r="G399" s="458"/>
      <c r="I399" s="179"/>
      <c r="J399" s="617"/>
      <c r="K399" s="169"/>
      <c r="L399" s="169"/>
      <c r="M399" s="169"/>
      <c r="P399" s="169"/>
      <c r="Q399" s="169"/>
      <c r="R399" s="169"/>
      <c r="S399" s="458"/>
      <c r="T399" s="169"/>
      <c r="U399" s="169"/>
      <c r="V399" s="169"/>
      <c r="W399" s="169"/>
      <c r="X399" s="169"/>
      <c r="Y399" s="169"/>
      <c r="Z399" s="169"/>
      <c r="AA399" s="169"/>
      <c r="AB399" s="169"/>
      <c r="AC399" s="169"/>
      <c r="AD399" s="169"/>
      <c r="AE399" s="169"/>
      <c r="AF399" s="169"/>
      <c r="AG399" s="617"/>
      <c r="AH399" s="169"/>
      <c r="AI399" s="629"/>
      <c r="AJ399" s="169"/>
      <c r="AL399" s="169"/>
      <c r="AM399" s="169"/>
      <c r="AN399" s="454"/>
      <c r="AO399" s="178"/>
      <c r="AP399" s="178"/>
      <c r="BA399" s="1305"/>
      <c r="BC399" s="169"/>
    </row>
    <row r="400" spans="1:59" ht="15.75" customHeight="1">
      <c r="B400" s="180"/>
      <c r="C400" s="617"/>
      <c r="D400" s="177"/>
      <c r="E400" s="177"/>
      <c r="G400" s="458"/>
      <c r="I400" s="618"/>
      <c r="J400" s="617"/>
      <c r="K400" s="169"/>
      <c r="L400" s="169"/>
      <c r="M400" s="169"/>
      <c r="P400" s="169"/>
      <c r="Q400" s="169"/>
      <c r="R400" s="169"/>
      <c r="S400" s="458"/>
      <c r="T400" s="169"/>
      <c r="U400" s="169"/>
      <c r="V400" s="169"/>
      <c r="W400" s="169"/>
      <c r="X400" s="169"/>
      <c r="Y400" s="169"/>
      <c r="Z400" s="169"/>
      <c r="AA400" s="169"/>
      <c r="AB400" s="169"/>
      <c r="AC400" s="169"/>
      <c r="AD400" s="169"/>
      <c r="AE400" s="169"/>
      <c r="AF400" s="169"/>
      <c r="AG400" s="617"/>
      <c r="AH400" s="169"/>
      <c r="AI400" s="629"/>
      <c r="AJ400" s="169"/>
      <c r="AL400" s="169"/>
      <c r="AM400" s="618"/>
      <c r="AN400" s="454"/>
      <c r="AO400" s="178"/>
      <c r="AP400" s="178"/>
      <c r="BA400" s="1305"/>
      <c r="BC400" s="169"/>
    </row>
    <row r="401" spans="1:59" ht="15.75" customHeight="1">
      <c r="B401" s="175"/>
      <c r="C401" s="617"/>
      <c r="D401" s="177"/>
      <c r="E401" s="177"/>
      <c r="G401" s="458"/>
      <c r="I401" s="454"/>
      <c r="J401" s="617"/>
      <c r="K401" s="169"/>
      <c r="L401" s="169"/>
      <c r="M401" s="169"/>
      <c r="P401" s="169"/>
      <c r="Q401" s="169"/>
      <c r="R401" s="169"/>
      <c r="S401" s="458"/>
      <c r="T401" s="169"/>
      <c r="U401" s="169"/>
      <c r="V401" s="169"/>
      <c r="W401" s="169"/>
      <c r="X401" s="169"/>
      <c r="Y401" s="169"/>
      <c r="Z401" s="169"/>
      <c r="AA401" s="169"/>
      <c r="AB401" s="169"/>
      <c r="AC401" s="169"/>
      <c r="AD401" s="169"/>
      <c r="AE401" s="169"/>
      <c r="AF401" s="169"/>
      <c r="AG401" s="617"/>
      <c r="AH401" s="169"/>
      <c r="AI401" s="629"/>
      <c r="AJ401" s="169"/>
      <c r="AL401" s="169"/>
      <c r="AM401" s="169"/>
      <c r="AN401" s="454"/>
      <c r="AO401" s="178"/>
      <c r="AP401" s="178"/>
      <c r="AW401" s="458"/>
      <c r="AX401" s="458"/>
      <c r="BA401" s="1305"/>
      <c r="BC401" s="169"/>
    </row>
    <row r="402" spans="1:59" ht="15.75" customHeight="1">
      <c r="A402" s="174"/>
      <c r="B402" s="642"/>
      <c r="C402" s="617"/>
      <c r="D402" s="618"/>
      <c r="E402" s="618"/>
      <c r="F402" s="179"/>
      <c r="G402" s="458"/>
      <c r="H402" s="618"/>
      <c r="J402" s="617"/>
      <c r="K402" s="169"/>
      <c r="L402" s="169"/>
      <c r="M402" s="169"/>
      <c r="P402" s="618"/>
      <c r="Q402" s="169"/>
      <c r="R402" s="169"/>
      <c r="S402" s="458"/>
      <c r="T402" s="169"/>
      <c r="U402" s="169"/>
      <c r="V402" s="169"/>
      <c r="W402" s="169"/>
      <c r="X402" s="169"/>
      <c r="Y402" s="169"/>
      <c r="Z402" s="169"/>
      <c r="AA402" s="169"/>
      <c r="AB402" s="169"/>
      <c r="AC402" s="169"/>
      <c r="AD402" s="169"/>
      <c r="AE402" s="169"/>
      <c r="AF402" s="169"/>
      <c r="AG402" s="617"/>
      <c r="AH402" s="169"/>
      <c r="AI402" s="629"/>
      <c r="AJ402" s="618"/>
      <c r="AK402" s="618"/>
      <c r="AL402" s="618"/>
      <c r="AM402" s="618"/>
      <c r="AN402" s="454"/>
      <c r="AO402" s="178"/>
      <c r="AP402" s="178"/>
      <c r="BA402" s="1305"/>
      <c r="BB402" s="174"/>
      <c r="BC402" s="169"/>
      <c r="BD402" s="1324"/>
      <c r="BE402" s="1324"/>
      <c r="BF402" s="1324"/>
      <c r="BG402" s="1324"/>
    </row>
    <row r="403" spans="1:59" ht="15.75" customHeight="1">
      <c r="A403" s="174"/>
      <c r="B403" s="618"/>
      <c r="C403" s="617"/>
      <c r="D403" s="618"/>
      <c r="E403" s="618"/>
      <c r="F403" s="618"/>
      <c r="G403" s="458"/>
      <c r="H403" s="618"/>
      <c r="L403" s="618"/>
      <c r="M403" s="618"/>
      <c r="N403" s="618"/>
      <c r="O403" s="618"/>
      <c r="P403" s="618"/>
      <c r="Q403" s="169"/>
      <c r="R403" s="169"/>
      <c r="S403" s="458"/>
      <c r="T403" s="169"/>
      <c r="U403" s="169"/>
      <c r="V403" s="169"/>
      <c r="W403" s="169"/>
      <c r="X403" s="169"/>
      <c r="Y403" s="169"/>
      <c r="Z403" s="169"/>
      <c r="AA403" s="169"/>
      <c r="AB403" s="169"/>
      <c r="AC403" s="169"/>
      <c r="AD403" s="169"/>
      <c r="AE403" s="169"/>
      <c r="AF403" s="169"/>
      <c r="AG403" s="617"/>
      <c r="AH403" s="169"/>
      <c r="AI403" s="629"/>
      <c r="AJ403" s="618"/>
      <c r="AK403" s="618"/>
      <c r="AL403" s="618"/>
      <c r="AM403" s="618"/>
      <c r="AN403" s="458"/>
      <c r="AO403" s="618"/>
      <c r="AP403" s="618"/>
      <c r="BA403" s="1318"/>
      <c r="BB403" s="174"/>
      <c r="BC403" s="169"/>
      <c r="BD403" s="1324"/>
      <c r="BE403" s="1324"/>
      <c r="BF403" s="1324"/>
      <c r="BG403" s="1324"/>
    </row>
    <row r="404" spans="1:59" ht="15.75" customHeight="1">
      <c r="A404" s="174"/>
      <c r="B404" s="642"/>
      <c r="C404" s="617"/>
      <c r="D404" s="618"/>
      <c r="E404" s="618"/>
      <c r="F404" s="618"/>
      <c r="G404" s="458"/>
      <c r="H404" s="618"/>
      <c r="I404" s="618"/>
      <c r="J404" s="617"/>
      <c r="K404" s="169"/>
      <c r="L404" s="618"/>
      <c r="M404" s="618"/>
      <c r="N404" s="618"/>
      <c r="O404" s="618"/>
      <c r="P404" s="618"/>
      <c r="Q404" s="169"/>
      <c r="R404" s="169"/>
      <c r="S404" s="458"/>
      <c r="T404" s="169"/>
      <c r="U404" s="169"/>
      <c r="V404" s="169"/>
      <c r="W404" s="169"/>
      <c r="X404" s="169"/>
      <c r="Y404" s="169"/>
      <c r="Z404" s="169"/>
      <c r="AA404" s="169"/>
      <c r="AB404" s="169"/>
      <c r="AC404" s="169"/>
      <c r="AD404" s="169"/>
      <c r="AE404" s="169"/>
      <c r="AF404" s="169"/>
      <c r="AG404" s="617"/>
      <c r="AH404" s="169"/>
      <c r="AI404" s="629"/>
      <c r="AJ404" s="618"/>
      <c r="AK404" s="618"/>
      <c r="AL404" s="618"/>
      <c r="AM404" s="618"/>
      <c r="AN404" s="454"/>
      <c r="AO404" s="178"/>
      <c r="AP404" s="178"/>
      <c r="BA404" s="1305"/>
      <c r="BB404" s="174"/>
      <c r="BC404" s="169"/>
      <c r="BD404" s="1324"/>
      <c r="BE404" s="1324"/>
      <c r="BF404" s="1324"/>
      <c r="BG404" s="1324"/>
    </row>
    <row r="405" spans="1:59" ht="15.75" customHeight="1">
      <c r="A405" s="174"/>
      <c r="B405" s="618"/>
      <c r="C405" s="617"/>
      <c r="D405" s="618"/>
      <c r="E405" s="618"/>
      <c r="F405" s="618"/>
      <c r="G405" s="458"/>
      <c r="H405" s="618"/>
      <c r="I405" s="454"/>
      <c r="J405" s="617"/>
      <c r="K405" s="618"/>
      <c r="L405" s="618"/>
      <c r="M405" s="618"/>
      <c r="N405" s="618"/>
      <c r="O405" s="618"/>
      <c r="P405" s="618"/>
      <c r="Q405" s="169"/>
      <c r="R405" s="169"/>
      <c r="S405" s="458"/>
      <c r="T405" s="169"/>
      <c r="U405" s="169"/>
      <c r="V405" s="169"/>
      <c r="W405" s="169"/>
      <c r="X405" s="169"/>
      <c r="Y405" s="169"/>
      <c r="Z405" s="169"/>
      <c r="AA405" s="169"/>
      <c r="AB405" s="169"/>
      <c r="AC405" s="169"/>
      <c r="AD405" s="169"/>
      <c r="AE405" s="169"/>
      <c r="AF405" s="169"/>
      <c r="AG405" s="617"/>
      <c r="AH405" s="169"/>
      <c r="AI405" s="629"/>
      <c r="AJ405" s="618"/>
      <c r="AK405" s="618"/>
      <c r="AL405" s="618"/>
      <c r="AM405" s="618"/>
      <c r="AN405" s="458"/>
      <c r="AO405" s="618"/>
      <c r="AP405" s="618"/>
      <c r="BA405" s="1305"/>
      <c r="BB405" s="174"/>
      <c r="BC405" s="169"/>
      <c r="BD405" s="1324"/>
      <c r="BE405" s="1324"/>
      <c r="BF405" s="1324"/>
      <c r="BG405" s="1324"/>
    </row>
    <row r="406" spans="1:59" ht="15.75" customHeight="1">
      <c r="B406" s="180"/>
      <c r="C406" s="617"/>
      <c r="D406" s="177"/>
      <c r="E406" s="177"/>
      <c r="G406" s="458"/>
      <c r="I406" s="182"/>
      <c r="J406" s="617"/>
      <c r="K406" s="169"/>
      <c r="L406" s="169"/>
      <c r="M406" s="169"/>
      <c r="P406" s="169"/>
      <c r="Q406" s="169"/>
      <c r="R406" s="169"/>
      <c r="S406" s="458"/>
      <c r="T406" s="169"/>
      <c r="U406" s="169"/>
      <c r="V406" s="169"/>
      <c r="W406" s="169"/>
      <c r="X406" s="169"/>
      <c r="Y406" s="169"/>
      <c r="Z406" s="169"/>
      <c r="AA406" s="169"/>
      <c r="AB406" s="169"/>
      <c r="AC406" s="169"/>
      <c r="AD406" s="169"/>
      <c r="AE406" s="169"/>
      <c r="AF406" s="169"/>
      <c r="AG406" s="617"/>
      <c r="AH406" s="169"/>
      <c r="AI406" s="629"/>
      <c r="AJ406" s="169"/>
      <c r="AL406" s="169"/>
      <c r="AM406" s="618"/>
      <c r="AN406" s="454"/>
      <c r="AO406" s="178"/>
      <c r="AP406" s="178"/>
      <c r="BA406" s="1305"/>
      <c r="BC406" s="169"/>
    </row>
    <row r="407" spans="1:59" ht="15.75" customHeight="1">
      <c r="B407" s="175"/>
      <c r="C407" s="617"/>
      <c r="D407" s="177"/>
      <c r="E407" s="177"/>
      <c r="G407" s="458"/>
      <c r="I407" s="179"/>
      <c r="J407" s="617"/>
      <c r="K407" s="169"/>
      <c r="L407" s="169"/>
      <c r="M407" s="169"/>
      <c r="P407" s="169"/>
      <c r="Q407" s="169"/>
      <c r="R407" s="169"/>
      <c r="S407" s="458"/>
      <c r="T407" s="169"/>
      <c r="U407" s="169"/>
      <c r="V407" s="169"/>
      <c r="W407" s="169"/>
      <c r="X407" s="169"/>
      <c r="Y407" s="169"/>
      <c r="Z407" s="169"/>
      <c r="AA407" s="169"/>
      <c r="AB407" s="169"/>
      <c r="AC407" s="169"/>
      <c r="AD407" s="169"/>
      <c r="AE407" s="169"/>
      <c r="AF407" s="169"/>
      <c r="AG407" s="617"/>
      <c r="AH407" s="169"/>
      <c r="AI407" s="629"/>
      <c r="AJ407" s="169"/>
      <c r="AL407" s="169"/>
      <c r="AM407" s="169"/>
      <c r="AN407" s="454"/>
      <c r="AO407" s="178"/>
      <c r="AP407" s="178"/>
      <c r="BA407" s="1305"/>
      <c r="BC407" s="169"/>
    </row>
    <row r="408" spans="1:59" ht="15.75" customHeight="1">
      <c r="B408" s="180"/>
      <c r="C408" s="617"/>
      <c r="D408" s="177"/>
      <c r="E408" s="177"/>
      <c r="G408" s="458"/>
      <c r="I408" s="618"/>
      <c r="J408" s="617"/>
      <c r="K408" s="169"/>
      <c r="L408" s="169"/>
      <c r="M408" s="169"/>
      <c r="P408" s="169"/>
      <c r="Q408" s="169"/>
      <c r="R408" s="169"/>
      <c r="S408" s="458"/>
      <c r="T408" s="169"/>
      <c r="U408" s="169"/>
      <c r="V408" s="169"/>
      <c r="W408" s="169"/>
      <c r="X408" s="169"/>
      <c r="Y408" s="169"/>
      <c r="Z408" s="169"/>
      <c r="AA408" s="169"/>
      <c r="AB408" s="169"/>
      <c r="AC408" s="169"/>
      <c r="AD408" s="169"/>
      <c r="AE408" s="169"/>
      <c r="AF408" s="169"/>
      <c r="AG408" s="617"/>
      <c r="AH408" s="169"/>
      <c r="AI408" s="629"/>
      <c r="AJ408" s="169"/>
      <c r="AL408" s="169"/>
      <c r="AM408" s="618"/>
      <c r="AN408" s="454"/>
      <c r="AO408" s="178"/>
      <c r="AP408" s="178"/>
      <c r="BA408" s="1305"/>
      <c r="BC408" s="169"/>
    </row>
    <row r="409" spans="1:59" ht="15.75" customHeight="1">
      <c r="B409" s="175"/>
      <c r="C409" s="617"/>
      <c r="D409" s="177"/>
      <c r="E409" s="177"/>
      <c r="G409" s="458"/>
      <c r="I409" s="454"/>
      <c r="J409" s="617"/>
      <c r="K409" s="169"/>
      <c r="L409" s="169"/>
      <c r="M409" s="169"/>
      <c r="P409" s="169"/>
      <c r="Q409" s="169"/>
      <c r="R409" s="169"/>
      <c r="S409" s="458"/>
      <c r="T409" s="169"/>
      <c r="U409" s="169"/>
      <c r="V409" s="169"/>
      <c r="W409" s="169"/>
      <c r="X409" s="169"/>
      <c r="Y409" s="169"/>
      <c r="Z409" s="169"/>
      <c r="AA409" s="169"/>
      <c r="AB409" s="169"/>
      <c r="AC409" s="169"/>
      <c r="AD409" s="169"/>
      <c r="AE409" s="169"/>
      <c r="AF409" s="169"/>
      <c r="AG409" s="617"/>
      <c r="AH409" s="169"/>
      <c r="AI409" s="629"/>
      <c r="AJ409" s="169"/>
      <c r="AL409" s="169"/>
      <c r="AM409" s="169"/>
      <c r="AN409" s="454"/>
      <c r="AO409" s="178"/>
      <c r="AP409" s="178"/>
      <c r="AW409" s="458"/>
      <c r="AX409" s="458"/>
      <c r="BA409" s="1305"/>
      <c r="BC409" s="169"/>
    </row>
    <row r="410" spans="1:59" ht="15.75" customHeight="1">
      <c r="A410" s="174"/>
      <c r="B410" s="642"/>
      <c r="C410" s="617"/>
      <c r="D410" s="618"/>
      <c r="E410" s="618"/>
      <c r="F410" s="179"/>
      <c r="G410" s="458"/>
      <c r="H410" s="618"/>
      <c r="J410" s="617"/>
      <c r="K410" s="169"/>
      <c r="L410" s="169"/>
      <c r="M410" s="169"/>
      <c r="P410" s="618"/>
      <c r="Q410" s="169"/>
      <c r="R410" s="169"/>
      <c r="S410" s="458"/>
      <c r="T410" s="169"/>
      <c r="U410" s="169"/>
      <c r="V410" s="169"/>
      <c r="W410" s="169"/>
      <c r="X410" s="169"/>
      <c r="Y410" s="169"/>
      <c r="Z410" s="169"/>
      <c r="AA410" s="169"/>
      <c r="AB410" s="169"/>
      <c r="AC410" s="169"/>
      <c r="AD410" s="169"/>
      <c r="AE410" s="169"/>
      <c r="AF410" s="169"/>
      <c r="AG410" s="617"/>
      <c r="AH410" s="169"/>
      <c r="AI410" s="629"/>
      <c r="AJ410" s="618"/>
      <c r="AK410" s="618"/>
      <c r="AL410" s="618"/>
      <c r="AM410" s="618"/>
      <c r="AN410" s="454"/>
      <c r="AO410" s="178"/>
      <c r="AP410" s="178"/>
      <c r="BA410" s="1305"/>
      <c r="BB410" s="174"/>
      <c r="BC410" s="169"/>
      <c r="BD410" s="1324"/>
      <c r="BE410" s="1324"/>
      <c r="BF410" s="1324"/>
      <c r="BG410" s="1324"/>
    </row>
    <row r="411" spans="1:59" ht="15.75" customHeight="1">
      <c r="A411" s="174"/>
      <c r="B411" s="618"/>
      <c r="C411" s="617"/>
      <c r="D411" s="618"/>
      <c r="E411" s="618"/>
      <c r="F411" s="618"/>
      <c r="G411" s="458"/>
      <c r="H411" s="618"/>
      <c r="L411" s="618"/>
      <c r="M411" s="618"/>
      <c r="N411" s="618"/>
      <c r="O411" s="618"/>
      <c r="P411" s="618"/>
      <c r="Q411" s="169"/>
      <c r="R411" s="169"/>
      <c r="S411" s="458"/>
      <c r="T411" s="169"/>
      <c r="U411" s="169"/>
      <c r="V411" s="169"/>
      <c r="W411" s="169"/>
      <c r="X411" s="169"/>
      <c r="Y411" s="169"/>
      <c r="Z411" s="169"/>
      <c r="AA411" s="169"/>
      <c r="AB411" s="169"/>
      <c r="AC411" s="169"/>
      <c r="AD411" s="169"/>
      <c r="AE411" s="169"/>
      <c r="AF411" s="169"/>
      <c r="AG411" s="617"/>
      <c r="AH411" s="169"/>
      <c r="AI411" s="629"/>
      <c r="AJ411" s="618"/>
      <c r="AK411" s="618"/>
      <c r="AL411" s="618"/>
      <c r="AM411" s="618"/>
      <c r="AN411" s="458"/>
      <c r="AO411" s="618"/>
      <c r="AP411" s="618"/>
      <c r="BA411" s="1318"/>
      <c r="BB411" s="174"/>
      <c r="BC411" s="169"/>
      <c r="BD411" s="1324"/>
      <c r="BE411" s="1324"/>
      <c r="BF411" s="1324"/>
      <c r="BG411" s="1324"/>
    </row>
    <row r="412" spans="1:59" ht="15.75" customHeight="1">
      <c r="A412" s="174"/>
      <c r="B412" s="642"/>
      <c r="C412" s="617"/>
      <c r="D412" s="618"/>
      <c r="E412" s="618"/>
      <c r="F412" s="618"/>
      <c r="G412" s="458"/>
      <c r="H412" s="618"/>
      <c r="I412" s="618"/>
      <c r="J412" s="617"/>
      <c r="K412" s="169"/>
      <c r="L412" s="618"/>
      <c r="M412" s="618"/>
      <c r="N412" s="618"/>
      <c r="O412" s="618"/>
      <c r="P412" s="618"/>
      <c r="Q412" s="169"/>
      <c r="R412" s="169"/>
      <c r="S412" s="458"/>
      <c r="T412" s="169"/>
      <c r="U412" s="169"/>
      <c r="V412" s="169"/>
      <c r="W412" s="169"/>
      <c r="X412" s="169"/>
      <c r="Y412" s="169"/>
      <c r="Z412" s="169"/>
      <c r="AA412" s="169"/>
      <c r="AB412" s="169"/>
      <c r="AC412" s="169"/>
      <c r="AD412" s="169"/>
      <c r="AE412" s="169"/>
      <c r="AF412" s="169"/>
      <c r="AG412" s="617"/>
      <c r="AH412" s="169"/>
      <c r="AI412" s="629"/>
      <c r="AJ412" s="618"/>
      <c r="AK412" s="618"/>
      <c r="AL412" s="618"/>
      <c r="AM412" s="618"/>
      <c r="AN412" s="454"/>
      <c r="AO412" s="178"/>
      <c r="AP412" s="178"/>
      <c r="BA412" s="1305"/>
      <c r="BB412" s="174"/>
      <c r="BC412" s="169"/>
      <c r="BD412" s="1324"/>
      <c r="BE412" s="1324"/>
      <c r="BF412" s="1324"/>
      <c r="BG412" s="1324"/>
    </row>
    <row r="413" spans="1:59" ht="15.75" customHeight="1">
      <c r="A413" s="174"/>
      <c r="B413" s="618"/>
      <c r="C413" s="617"/>
      <c r="D413" s="618"/>
      <c r="E413" s="618"/>
      <c r="F413" s="618"/>
      <c r="G413" s="458"/>
      <c r="H413" s="618"/>
      <c r="I413" s="454"/>
      <c r="J413" s="617"/>
      <c r="K413" s="618"/>
      <c r="L413" s="618"/>
      <c r="M413" s="618"/>
      <c r="N413" s="618"/>
      <c r="O413" s="618"/>
      <c r="P413" s="618"/>
      <c r="Q413" s="169"/>
      <c r="R413" s="169"/>
      <c r="S413" s="458"/>
      <c r="T413" s="169"/>
      <c r="U413" s="169"/>
      <c r="V413" s="169"/>
      <c r="W413" s="169"/>
      <c r="X413" s="169"/>
      <c r="Y413" s="169"/>
      <c r="Z413" s="169"/>
      <c r="AA413" s="169"/>
      <c r="AB413" s="169"/>
      <c r="AC413" s="169"/>
      <c r="AD413" s="169"/>
      <c r="AE413" s="169"/>
      <c r="AF413" s="169"/>
      <c r="AG413" s="617"/>
      <c r="AH413" s="169"/>
      <c r="AI413" s="629"/>
      <c r="AJ413" s="618"/>
      <c r="AK413" s="618"/>
      <c r="AL413" s="618"/>
      <c r="AM413" s="618"/>
      <c r="AN413" s="458"/>
      <c r="AO413" s="618"/>
      <c r="AP413" s="618"/>
      <c r="BA413" s="1305"/>
      <c r="BB413" s="174"/>
      <c r="BC413" s="169"/>
      <c r="BD413" s="1324"/>
      <c r="BE413" s="1324"/>
      <c r="BF413" s="1324"/>
      <c r="BG413" s="1324"/>
    </row>
    <row r="414" spans="1:59" ht="15.75" customHeight="1">
      <c r="B414" s="180"/>
      <c r="C414" s="617"/>
      <c r="D414" s="177"/>
      <c r="E414" s="177"/>
      <c r="G414" s="458"/>
      <c r="I414" s="182"/>
      <c r="J414" s="617"/>
      <c r="K414" s="169"/>
      <c r="L414" s="169"/>
      <c r="M414" s="169"/>
      <c r="P414" s="169"/>
      <c r="Q414" s="169"/>
      <c r="R414" s="169"/>
      <c r="S414" s="458"/>
      <c r="T414" s="169"/>
      <c r="U414" s="169"/>
      <c r="V414" s="169"/>
      <c r="W414" s="169"/>
      <c r="X414" s="169"/>
      <c r="Y414" s="169"/>
      <c r="Z414" s="169"/>
      <c r="AA414" s="169"/>
      <c r="AB414" s="169"/>
      <c r="AC414" s="169"/>
      <c r="AD414" s="169"/>
      <c r="AE414" s="169"/>
      <c r="AF414" s="169"/>
      <c r="AG414" s="617"/>
      <c r="AH414" s="169"/>
      <c r="AI414" s="629"/>
      <c r="AJ414" s="169"/>
      <c r="AL414" s="169"/>
      <c r="AM414" s="618"/>
      <c r="AN414" s="454"/>
      <c r="AO414" s="178"/>
      <c r="AP414" s="178"/>
      <c r="BA414" s="1305"/>
      <c r="BC414" s="169"/>
    </row>
    <row r="415" spans="1:59" ht="15.75" customHeight="1">
      <c r="B415" s="175"/>
      <c r="C415" s="617"/>
      <c r="D415" s="177"/>
      <c r="E415" s="177"/>
      <c r="G415" s="458"/>
      <c r="I415" s="179"/>
      <c r="J415" s="617"/>
      <c r="K415" s="169"/>
      <c r="L415" s="169"/>
      <c r="M415" s="169"/>
      <c r="P415" s="169"/>
      <c r="Q415" s="169"/>
      <c r="R415" s="169"/>
      <c r="S415" s="458"/>
      <c r="T415" s="169"/>
      <c r="U415" s="169"/>
      <c r="V415" s="169"/>
      <c r="W415" s="169"/>
      <c r="X415" s="169"/>
      <c r="Y415" s="169"/>
      <c r="Z415" s="169"/>
      <c r="AA415" s="169"/>
      <c r="AB415" s="169"/>
      <c r="AC415" s="169"/>
      <c r="AD415" s="169"/>
      <c r="AE415" s="169"/>
      <c r="AF415" s="169"/>
      <c r="AG415" s="617"/>
      <c r="AH415" s="169"/>
      <c r="AI415" s="629"/>
      <c r="AJ415" s="169"/>
      <c r="AL415" s="169"/>
      <c r="AM415" s="169"/>
      <c r="AN415" s="454"/>
      <c r="AO415" s="178"/>
      <c r="AP415" s="178"/>
      <c r="BA415" s="1305"/>
      <c r="BC415" s="169"/>
    </row>
    <row r="416" spans="1:59" ht="15.75" customHeight="1">
      <c r="B416" s="180"/>
      <c r="C416" s="617"/>
      <c r="D416" s="177"/>
      <c r="E416" s="177"/>
      <c r="G416" s="458"/>
      <c r="I416" s="618"/>
      <c r="J416" s="617"/>
      <c r="K416" s="169"/>
      <c r="L416" s="169"/>
      <c r="M416" s="169"/>
      <c r="P416" s="169"/>
      <c r="Q416" s="169"/>
      <c r="R416" s="169"/>
      <c r="S416" s="458"/>
      <c r="T416" s="169"/>
      <c r="U416" s="169"/>
      <c r="V416" s="169"/>
      <c r="W416" s="169"/>
      <c r="X416" s="169"/>
      <c r="Y416" s="169"/>
      <c r="Z416" s="169"/>
      <c r="AA416" s="169"/>
      <c r="AB416" s="169"/>
      <c r="AC416" s="169"/>
      <c r="AD416" s="169"/>
      <c r="AE416" s="169"/>
      <c r="AF416" s="169"/>
      <c r="AG416" s="617"/>
      <c r="AH416" s="169"/>
      <c r="AI416" s="629"/>
      <c r="AJ416" s="169"/>
      <c r="AL416" s="169"/>
      <c r="AM416" s="618"/>
      <c r="AN416" s="454"/>
      <c r="AO416" s="178"/>
      <c r="AP416" s="178"/>
      <c r="BA416" s="1305"/>
      <c r="BC416" s="169"/>
    </row>
    <row r="417" spans="1:59" ht="15.75" customHeight="1">
      <c r="B417" s="175"/>
      <c r="C417" s="617"/>
      <c r="D417" s="177"/>
      <c r="E417" s="177"/>
      <c r="G417" s="458"/>
      <c r="I417" s="454"/>
      <c r="J417" s="617"/>
      <c r="K417" s="169"/>
      <c r="L417" s="169"/>
      <c r="M417" s="169"/>
      <c r="P417" s="169"/>
      <c r="Q417" s="169"/>
      <c r="R417" s="169"/>
      <c r="S417" s="458"/>
      <c r="T417" s="169"/>
      <c r="U417" s="169"/>
      <c r="V417" s="169"/>
      <c r="W417" s="169"/>
      <c r="X417" s="169"/>
      <c r="Y417" s="169"/>
      <c r="Z417" s="169"/>
      <c r="AA417" s="169"/>
      <c r="AB417" s="169"/>
      <c r="AC417" s="169"/>
      <c r="AD417" s="169"/>
      <c r="AE417" s="169"/>
      <c r="AF417" s="169"/>
      <c r="AG417" s="617"/>
      <c r="AH417" s="169"/>
      <c r="AI417" s="629"/>
      <c r="AJ417" s="169"/>
      <c r="AL417" s="169"/>
      <c r="AM417" s="169"/>
      <c r="AN417" s="454"/>
      <c r="AO417" s="178"/>
      <c r="AP417" s="178"/>
      <c r="AW417" s="458"/>
      <c r="AX417" s="458"/>
      <c r="BA417" s="1305"/>
      <c r="BC417" s="169"/>
    </row>
    <row r="418" spans="1:59" ht="15.75" customHeight="1">
      <c r="A418" s="174"/>
      <c r="B418" s="642"/>
      <c r="C418" s="617"/>
      <c r="D418" s="618"/>
      <c r="E418" s="618"/>
      <c r="F418" s="179"/>
      <c r="G418" s="458"/>
      <c r="H418" s="618"/>
      <c r="J418" s="617"/>
      <c r="K418" s="169"/>
      <c r="L418" s="169"/>
      <c r="M418" s="169"/>
      <c r="P418" s="618"/>
      <c r="Q418" s="169"/>
      <c r="R418" s="169"/>
      <c r="S418" s="458"/>
      <c r="T418" s="169"/>
      <c r="U418" s="169"/>
      <c r="V418" s="169"/>
      <c r="W418" s="169"/>
      <c r="X418" s="169"/>
      <c r="Y418" s="169"/>
      <c r="Z418" s="169"/>
      <c r="AA418" s="169"/>
      <c r="AB418" s="169"/>
      <c r="AC418" s="169"/>
      <c r="AD418" s="169"/>
      <c r="AE418" s="169"/>
      <c r="AF418" s="169"/>
      <c r="AG418" s="617"/>
      <c r="AH418" s="169"/>
      <c r="AI418" s="629"/>
      <c r="AJ418" s="618"/>
      <c r="AK418" s="618"/>
      <c r="AL418" s="618"/>
      <c r="AM418" s="618"/>
      <c r="AN418" s="454"/>
      <c r="AO418" s="178"/>
      <c r="AP418" s="178"/>
      <c r="BA418" s="1305"/>
      <c r="BB418" s="174"/>
      <c r="BC418" s="169"/>
      <c r="BD418" s="1324"/>
      <c r="BE418" s="1324"/>
      <c r="BF418" s="1324"/>
      <c r="BG418" s="1324"/>
    </row>
    <row r="419" spans="1:59" ht="15.75" customHeight="1">
      <c r="A419" s="174"/>
      <c r="B419" s="618"/>
      <c r="C419" s="617"/>
      <c r="D419" s="618"/>
      <c r="E419" s="618"/>
      <c r="F419" s="618"/>
      <c r="G419" s="458"/>
      <c r="H419" s="618"/>
      <c r="L419" s="618"/>
      <c r="M419" s="618"/>
      <c r="N419" s="618"/>
      <c r="O419" s="618"/>
      <c r="P419" s="618"/>
      <c r="Q419" s="169"/>
      <c r="R419" s="169"/>
      <c r="S419" s="458"/>
      <c r="T419" s="169"/>
      <c r="U419" s="169"/>
      <c r="V419" s="169"/>
      <c r="W419" s="169"/>
      <c r="X419" s="169"/>
      <c r="Y419" s="169"/>
      <c r="Z419" s="169"/>
      <c r="AA419" s="169"/>
      <c r="AB419" s="169"/>
      <c r="AC419" s="169"/>
      <c r="AD419" s="169"/>
      <c r="AE419" s="169"/>
      <c r="AF419" s="169"/>
      <c r="AG419" s="617"/>
      <c r="AH419" s="169"/>
      <c r="AI419" s="629"/>
      <c r="AJ419" s="618"/>
      <c r="AK419" s="618"/>
      <c r="AL419" s="618"/>
      <c r="AM419" s="618"/>
      <c r="AN419" s="458"/>
      <c r="AO419" s="618"/>
      <c r="AP419" s="618"/>
      <c r="BA419" s="1318"/>
      <c r="BB419" s="174"/>
      <c r="BC419" s="169"/>
      <c r="BD419" s="1324"/>
      <c r="BE419" s="1324"/>
      <c r="BF419" s="1324"/>
      <c r="BG419" s="1324"/>
    </row>
    <row r="420" spans="1:59" ht="15.75" customHeight="1">
      <c r="A420" s="174"/>
      <c r="B420" s="642"/>
      <c r="C420" s="617"/>
      <c r="D420" s="618"/>
      <c r="E420" s="618"/>
      <c r="F420" s="618"/>
      <c r="G420" s="458"/>
      <c r="H420" s="618"/>
      <c r="I420" s="618"/>
      <c r="J420" s="617"/>
      <c r="K420" s="169"/>
      <c r="L420" s="618"/>
      <c r="M420" s="618"/>
      <c r="N420" s="618"/>
      <c r="O420" s="618"/>
      <c r="P420" s="618"/>
      <c r="Q420" s="169"/>
      <c r="R420" s="169"/>
      <c r="S420" s="458"/>
      <c r="T420" s="169"/>
      <c r="U420" s="169"/>
      <c r="V420" s="169"/>
      <c r="W420" s="169"/>
      <c r="X420" s="169"/>
      <c r="Y420" s="169"/>
      <c r="Z420" s="169"/>
      <c r="AA420" s="169"/>
      <c r="AB420" s="169"/>
      <c r="AC420" s="169"/>
      <c r="AD420" s="169"/>
      <c r="AE420" s="169"/>
      <c r="AF420" s="169"/>
      <c r="AG420" s="617"/>
      <c r="AH420" s="169"/>
      <c r="AI420" s="629"/>
      <c r="AJ420" s="618"/>
      <c r="AK420" s="618"/>
      <c r="AL420" s="618"/>
      <c r="AM420" s="618"/>
      <c r="AN420" s="454"/>
      <c r="AO420" s="178"/>
      <c r="AP420" s="178"/>
      <c r="BA420" s="1305"/>
      <c r="BB420" s="174"/>
      <c r="BC420" s="169"/>
      <c r="BD420" s="1324"/>
      <c r="BE420" s="1324"/>
      <c r="BF420" s="1324"/>
      <c r="BG420" s="1324"/>
    </row>
    <row r="421" spans="1:59" ht="15.75" customHeight="1">
      <c r="A421" s="174"/>
      <c r="B421" s="618"/>
      <c r="C421" s="617"/>
      <c r="D421" s="618"/>
      <c r="E421" s="618"/>
      <c r="F421" s="618"/>
      <c r="G421" s="458"/>
      <c r="H421" s="618"/>
      <c r="I421" s="454"/>
      <c r="J421" s="617"/>
      <c r="K421" s="618"/>
      <c r="L421" s="618"/>
      <c r="M421" s="618"/>
      <c r="N421" s="618"/>
      <c r="O421" s="618"/>
      <c r="P421" s="618"/>
      <c r="Q421" s="169"/>
      <c r="R421" s="169"/>
      <c r="S421" s="458"/>
      <c r="T421" s="169"/>
      <c r="U421" s="169"/>
      <c r="V421" s="169"/>
      <c r="W421" s="169"/>
      <c r="X421" s="169"/>
      <c r="Y421" s="169"/>
      <c r="Z421" s="169"/>
      <c r="AA421" s="169"/>
      <c r="AB421" s="169"/>
      <c r="AC421" s="169"/>
      <c r="AD421" s="169"/>
      <c r="AE421" s="169"/>
      <c r="AF421" s="169"/>
      <c r="AG421" s="617"/>
      <c r="AH421" s="169"/>
      <c r="AI421" s="629"/>
      <c r="AJ421" s="618"/>
      <c r="AK421" s="618"/>
      <c r="AL421" s="618"/>
      <c r="AM421" s="618"/>
      <c r="AN421" s="458"/>
      <c r="AO421" s="618"/>
      <c r="AP421" s="618"/>
      <c r="BA421" s="1305"/>
      <c r="BB421" s="174"/>
      <c r="BC421" s="169"/>
      <c r="BD421" s="1324"/>
      <c r="BE421" s="1324"/>
      <c r="BF421" s="1324"/>
      <c r="BG421" s="1324"/>
    </row>
    <row r="422" spans="1:59" ht="15.75" customHeight="1">
      <c r="B422" s="180"/>
      <c r="C422" s="617"/>
      <c r="D422" s="177"/>
      <c r="E422" s="177"/>
      <c r="G422" s="458"/>
      <c r="I422" s="182"/>
      <c r="J422" s="617"/>
      <c r="K422" s="169"/>
      <c r="L422" s="169"/>
      <c r="M422" s="169"/>
      <c r="P422" s="169"/>
      <c r="Q422" s="169"/>
      <c r="R422" s="169"/>
      <c r="S422" s="458"/>
      <c r="T422" s="169"/>
      <c r="U422" s="169"/>
      <c r="V422" s="169"/>
      <c r="W422" s="169"/>
      <c r="X422" s="169"/>
      <c r="Y422" s="169"/>
      <c r="Z422" s="169"/>
      <c r="AA422" s="169"/>
      <c r="AB422" s="169"/>
      <c r="AC422" s="169"/>
      <c r="AD422" s="169"/>
      <c r="AE422" s="169"/>
      <c r="AF422" s="169"/>
      <c r="AG422" s="617"/>
      <c r="AH422" s="169"/>
      <c r="AI422" s="629"/>
      <c r="AJ422" s="169"/>
      <c r="AL422" s="169"/>
      <c r="AM422" s="618"/>
      <c r="AN422" s="454"/>
      <c r="AO422" s="178"/>
      <c r="AP422" s="178"/>
      <c r="BA422" s="1305"/>
      <c r="BC422" s="169"/>
    </row>
    <row r="423" spans="1:59" ht="15.75" customHeight="1">
      <c r="B423" s="175"/>
      <c r="C423" s="617"/>
      <c r="D423" s="177"/>
      <c r="E423" s="177"/>
      <c r="G423" s="458"/>
      <c r="I423" s="179"/>
      <c r="J423" s="617"/>
      <c r="K423" s="169"/>
      <c r="L423" s="169"/>
      <c r="M423" s="169"/>
      <c r="P423" s="169"/>
      <c r="Q423" s="169"/>
      <c r="R423" s="169"/>
      <c r="S423" s="458"/>
      <c r="T423" s="169"/>
      <c r="U423" s="169"/>
      <c r="V423" s="169"/>
      <c r="W423" s="169"/>
      <c r="X423" s="169"/>
      <c r="Y423" s="169"/>
      <c r="Z423" s="169"/>
      <c r="AA423" s="169"/>
      <c r="AB423" s="169"/>
      <c r="AC423" s="169"/>
      <c r="AD423" s="169"/>
      <c r="AE423" s="169"/>
      <c r="AF423" s="169"/>
      <c r="AG423" s="617"/>
      <c r="AH423" s="169"/>
      <c r="AI423" s="629"/>
      <c r="AJ423" s="169"/>
      <c r="AL423" s="169"/>
      <c r="AM423" s="169"/>
      <c r="AN423" s="454"/>
      <c r="AO423" s="178"/>
      <c r="AP423" s="178"/>
      <c r="BA423" s="1305"/>
      <c r="BC423" s="169"/>
    </row>
    <row r="424" spans="1:59" ht="15.75" customHeight="1">
      <c r="B424" s="180"/>
      <c r="C424" s="617"/>
      <c r="D424" s="177"/>
      <c r="E424" s="177"/>
      <c r="G424" s="458"/>
      <c r="I424" s="618"/>
      <c r="J424" s="617"/>
      <c r="K424" s="169"/>
      <c r="L424" s="169"/>
      <c r="M424" s="169"/>
      <c r="P424" s="169"/>
      <c r="Q424" s="169"/>
      <c r="R424" s="169"/>
      <c r="S424" s="458"/>
      <c r="T424" s="169"/>
      <c r="U424" s="169"/>
      <c r="V424" s="169"/>
      <c r="W424" s="169"/>
      <c r="X424" s="169"/>
      <c r="Y424" s="169"/>
      <c r="Z424" s="169"/>
      <c r="AA424" s="169"/>
      <c r="AB424" s="169"/>
      <c r="AC424" s="169"/>
      <c r="AD424" s="169"/>
      <c r="AE424" s="169"/>
      <c r="AF424" s="169"/>
      <c r="AG424" s="617"/>
      <c r="AH424" s="169"/>
      <c r="AI424" s="629"/>
      <c r="AJ424" s="169"/>
      <c r="AL424" s="169"/>
      <c r="AM424" s="618"/>
      <c r="AN424" s="454"/>
      <c r="AO424" s="178"/>
      <c r="AP424" s="178"/>
      <c r="BA424" s="1305"/>
      <c r="BC424" s="169"/>
    </row>
    <row r="425" spans="1:59" ht="15.75" customHeight="1">
      <c r="B425" s="175"/>
      <c r="C425" s="617"/>
      <c r="D425" s="177"/>
      <c r="E425" s="177"/>
      <c r="G425" s="458"/>
      <c r="I425" s="454"/>
      <c r="J425" s="617"/>
      <c r="K425" s="169"/>
      <c r="L425" s="169"/>
      <c r="M425" s="169"/>
      <c r="P425" s="169"/>
      <c r="Q425" s="169"/>
      <c r="R425" s="169"/>
      <c r="S425" s="458"/>
      <c r="T425" s="169"/>
      <c r="U425" s="169"/>
      <c r="V425" s="169"/>
      <c r="W425" s="169"/>
      <c r="X425" s="169"/>
      <c r="Y425" s="169"/>
      <c r="Z425" s="169"/>
      <c r="AA425" s="169"/>
      <c r="AB425" s="169"/>
      <c r="AC425" s="169"/>
      <c r="AD425" s="169"/>
      <c r="AE425" s="169"/>
      <c r="AF425" s="169"/>
      <c r="AG425" s="617"/>
      <c r="AH425" s="169"/>
      <c r="AI425" s="629"/>
      <c r="AJ425" s="169"/>
      <c r="AL425" s="169"/>
      <c r="AM425" s="169"/>
      <c r="AN425" s="454"/>
      <c r="AO425" s="178"/>
      <c r="AP425" s="178"/>
      <c r="AW425" s="458"/>
      <c r="AX425" s="458"/>
      <c r="BA425" s="1305"/>
      <c r="BC425" s="169"/>
    </row>
    <row r="426" spans="1:59" ht="15.75" customHeight="1">
      <c r="A426" s="174"/>
      <c r="B426" s="642"/>
      <c r="C426" s="617"/>
      <c r="D426" s="618"/>
      <c r="E426" s="618"/>
      <c r="F426" s="179"/>
      <c r="G426" s="458"/>
      <c r="H426" s="618"/>
      <c r="J426" s="617"/>
      <c r="K426" s="169"/>
      <c r="L426" s="169"/>
      <c r="M426" s="169"/>
      <c r="P426" s="618"/>
      <c r="Q426" s="169"/>
      <c r="R426" s="169"/>
      <c r="S426" s="458"/>
      <c r="T426" s="169"/>
      <c r="U426" s="169"/>
      <c r="V426" s="169"/>
      <c r="W426" s="169"/>
      <c r="X426" s="169"/>
      <c r="Y426" s="169"/>
      <c r="Z426" s="169"/>
      <c r="AA426" s="169"/>
      <c r="AB426" s="169"/>
      <c r="AC426" s="169"/>
      <c r="AD426" s="169"/>
      <c r="AE426" s="169"/>
      <c r="AF426" s="169"/>
      <c r="AG426" s="617"/>
      <c r="AH426" s="169"/>
      <c r="AI426" s="629"/>
      <c r="AJ426" s="618"/>
      <c r="AK426" s="618"/>
      <c r="AL426" s="618"/>
      <c r="AM426" s="618"/>
      <c r="AN426" s="454"/>
      <c r="AO426" s="178"/>
      <c r="AP426" s="178"/>
      <c r="BA426" s="1305"/>
      <c r="BB426" s="174"/>
      <c r="BC426" s="169"/>
      <c r="BD426" s="1324"/>
      <c r="BE426" s="1324"/>
      <c r="BF426" s="1324"/>
      <c r="BG426" s="1324"/>
    </row>
    <row r="427" spans="1:59" ht="15.75" customHeight="1">
      <c r="A427" s="174"/>
      <c r="B427" s="618"/>
      <c r="C427" s="617"/>
      <c r="D427" s="618"/>
      <c r="E427" s="618"/>
      <c r="F427" s="618"/>
      <c r="G427" s="458"/>
      <c r="H427" s="618"/>
      <c r="L427" s="618"/>
      <c r="M427" s="618"/>
      <c r="N427" s="618"/>
      <c r="O427" s="618"/>
      <c r="P427" s="618"/>
      <c r="Q427" s="169"/>
      <c r="R427" s="169"/>
      <c r="S427" s="458"/>
      <c r="T427" s="169"/>
      <c r="U427" s="169"/>
      <c r="V427" s="169"/>
      <c r="W427" s="169"/>
      <c r="X427" s="169"/>
      <c r="Y427" s="169"/>
      <c r="Z427" s="169"/>
      <c r="AA427" s="169"/>
      <c r="AB427" s="169"/>
      <c r="AC427" s="169"/>
      <c r="AD427" s="169"/>
      <c r="AE427" s="169"/>
      <c r="AF427" s="169"/>
      <c r="AG427" s="617"/>
      <c r="AH427" s="169"/>
      <c r="AI427" s="629"/>
      <c r="AJ427" s="618"/>
      <c r="AK427" s="618"/>
      <c r="AL427" s="618"/>
      <c r="AM427" s="618"/>
      <c r="AN427" s="458"/>
      <c r="AO427" s="618"/>
      <c r="AP427" s="618"/>
      <c r="BA427" s="1318"/>
      <c r="BB427" s="174"/>
      <c r="BC427" s="169"/>
      <c r="BD427" s="1324"/>
      <c r="BE427" s="1324"/>
      <c r="BF427" s="1324"/>
      <c r="BG427" s="1324"/>
    </row>
    <row r="428" spans="1:59" ht="15.75" customHeight="1">
      <c r="A428" s="174"/>
      <c r="B428" s="642"/>
      <c r="C428" s="617"/>
      <c r="D428" s="618"/>
      <c r="E428" s="618"/>
      <c r="F428" s="618"/>
      <c r="G428" s="458"/>
      <c r="H428" s="618"/>
      <c r="I428" s="618"/>
      <c r="J428" s="617"/>
      <c r="K428" s="169"/>
      <c r="L428" s="618"/>
      <c r="M428" s="618"/>
      <c r="N428" s="618"/>
      <c r="O428" s="618"/>
      <c r="P428" s="618"/>
      <c r="Q428" s="169"/>
      <c r="R428" s="169"/>
      <c r="S428" s="458"/>
      <c r="T428" s="169"/>
      <c r="U428" s="169"/>
      <c r="V428" s="169"/>
      <c r="W428" s="169"/>
      <c r="X428" s="169"/>
      <c r="Y428" s="169"/>
      <c r="Z428" s="169"/>
      <c r="AA428" s="169"/>
      <c r="AB428" s="169"/>
      <c r="AC428" s="169"/>
      <c r="AD428" s="169"/>
      <c r="AE428" s="169"/>
      <c r="AF428" s="169"/>
      <c r="AG428" s="617"/>
      <c r="AH428" s="169"/>
      <c r="AI428" s="629"/>
      <c r="AJ428" s="618"/>
      <c r="AK428" s="618"/>
      <c r="AL428" s="618"/>
      <c r="AM428" s="618"/>
      <c r="AN428" s="454"/>
      <c r="AO428" s="178"/>
      <c r="AP428" s="178"/>
      <c r="BA428" s="1305"/>
      <c r="BB428" s="174"/>
      <c r="BC428" s="169"/>
      <c r="BD428" s="1324"/>
      <c r="BE428" s="1324"/>
      <c r="BF428" s="1324"/>
      <c r="BG428" s="1324"/>
    </row>
    <row r="429" spans="1:59" ht="15.75" customHeight="1">
      <c r="A429" s="174"/>
      <c r="B429" s="618"/>
      <c r="C429" s="617"/>
      <c r="D429" s="618"/>
      <c r="E429" s="618"/>
      <c r="F429" s="618"/>
      <c r="G429" s="458"/>
      <c r="H429" s="618"/>
      <c r="I429" s="454"/>
      <c r="J429" s="617"/>
      <c r="K429" s="618"/>
      <c r="L429" s="618"/>
      <c r="M429" s="618"/>
      <c r="N429" s="618"/>
      <c r="O429" s="618"/>
      <c r="P429" s="618"/>
      <c r="Q429" s="169"/>
      <c r="R429" s="169"/>
      <c r="S429" s="458"/>
      <c r="T429" s="169"/>
      <c r="U429" s="169"/>
      <c r="V429" s="169"/>
      <c r="W429" s="169"/>
      <c r="X429" s="169"/>
      <c r="Y429" s="169"/>
      <c r="Z429" s="169"/>
      <c r="AA429" s="169"/>
      <c r="AB429" s="169"/>
      <c r="AC429" s="169"/>
      <c r="AD429" s="169"/>
      <c r="AE429" s="169"/>
      <c r="AF429" s="169"/>
      <c r="AG429" s="617"/>
      <c r="AH429" s="169"/>
      <c r="AI429" s="629"/>
      <c r="AJ429" s="618"/>
      <c r="AK429" s="618"/>
      <c r="AL429" s="618"/>
      <c r="AM429" s="618"/>
      <c r="AN429" s="458"/>
      <c r="AO429" s="618"/>
      <c r="AP429" s="618"/>
      <c r="BA429" s="1305"/>
      <c r="BB429" s="174"/>
      <c r="BC429" s="169"/>
      <c r="BD429" s="1324"/>
      <c r="BE429" s="1324"/>
      <c r="BF429" s="1324"/>
      <c r="BG429" s="1324"/>
    </row>
    <row r="430" spans="1:59" ht="15.75" customHeight="1">
      <c r="B430" s="180"/>
      <c r="C430" s="617"/>
      <c r="D430" s="177"/>
      <c r="E430" s="177"/>
      <c r="G430" s="458"/>
      <c r="I430" s="182"/>
      <c r="J430" s="617"/>
      <c r="K430" s="169"/>
      <c r="L430" s="169"/>
      <c r="M430" s="169"/>
      <c r="P430" s="169"/>
      <c r="Q430" s="169"/>
      <c r="R430" s="169"/>
      <c r="S430" s="458"/>
      <c r="T430" s="169"/>
      <c r="U430" s="169"/>
      <c r="V430" s="169"/>
      <c r="W430" s="169"/>
      <c r="X430" s="169"/>
      <c r="Y430" s="169"/>
      <c r="Z430" s="169"/>
      <c r="AA430" s="169"/>
      <c r="AB430" s="169"/>
      <c r="AC430" s="169"/>
      <c r="AD430" s="169"/>
      <c r="AE430" s="169"/>
      <c r="AF430" s="169"/>
      <c r="AG430" s="617"/>
      <c r="AH430" s="169"/>
      <c r="AI430" s="629"/>
      <c r="AJ430" s="169"/>
      <c r="AL430" s="169"/>
      <c r="AM430" s="618"/>
      <c r="AN430" s="454"/>
      <c r="AO430" s="178"/>
      <c r="AP430" s="178"/>
      <c r="BA430" s="1305"/>
      <c r="BC430" s="169"/>
    </row>
    <row r="431" spans="1:59" ht="15.75" customHeight="1">
      <c r="B431" s="175"/>
      <c r="C431" s="617"/>
      <c r="D431" s="177"/>
      <c r="E431" s="177"/>
      <c r="G431" s="458"/>
      <c r="I431" s="179"/>
      <c r="J431" s="617"/>
      <c r="K431" s="169"/>
      <c r="L431" s="169"/>
      <c r="M431" s="169"/>
      <c r="P431" s="169"/>
      <c r="Q431" s="169"/>
      <c r="R431" s="169"/>
      <c r="S431" s="458"/>
      <c r="T431" s="169"/>
      <c r="U431" s="169"/>
      <c r="V431" s="169"/>
      <c r="W431" s="169"/>
      <c r="X431" s="169"/>
      <c r="Y431" s="169"/>
      <c r="Z431" s="169"/>
      <c r="AA431" s="169"/>
      <c r="AB431" s="169"/>
      <c r="AC431" s="169"/>
      <c r="AD431" s="169"/>
      <c r="AE431" s="169"/>
      <c r="AF431" s="169"/>
      <c r="AG431" s="617"/>
      <c r="AH431" s="169"/>
      <c r="AI431" s="629"/>
      <c r="AJ431" s="169"/>
      <c r="AL431" s="169"/>
      <c r="AM431" s="169"/>
      <c r="AN431" s="454"/>
      <c r="AO431" s="178"/>
      <c r="AP431" s="178"/>
      <c r="BA431" s="1305"/>
      <c r="BC431" s="169"/>
    </row>
    <row r="432" spans="1:59" ht="15.75" customHeight="1">
      <c r="B432" s="180"/>
      <c r="C432" s="617"/>
      <c r="D432" s="177"/>
      <c r="E432" s="177"/>
      <c r="G432" s="458"/>
      <c r="I432" s="618"/>
      <c r="J432" s="617"/>
      <c r="K432" s="169"/>
      <c r="L432" s="169"/>
      <c r="M432" s="169"/>
      <c r="P432" s="169"/>
      <c r="Q432" s="169"/>
      <c r="R432" s="169"/>
      <c r="S432" s="458"/>
      <c r="T432" s="169"/>
      <c r="U432" s="169"/>
      <c r="V432" s="169"/>
      <c r="W432" s="169"/>
      <c r="X432" s="169"/>
      <c r="Y432" s="169"/>
      <c r="Z432" s="169"/>
      <c r="AA432" s="169"/>
      <c r="AB432" s="169"/>
      <c r="AC432" s="169"/>
      <c r="AD432" s="169"/>
      <c r="AE432" s="169"/>
      <c r="AF432" s="169"/>
      <c r="AG432" s="617"/>
      <c r="AH432" s="169"/>
      <c r="AI432" s="629"/>
      <c r="AJ432" s="169"/>
      <c r="AL432" s="169"/>
      <c r="AM432" s="618"/>
      <c r="AN432" s="454"/>
      <c r="AO432" s="178"/>
      <c r="AP432" s="178"/>
      <c r="BA432" s="1305"/>
      <c r="BC432" s="169"/>
    </row>
    <row r="433" spans="1:59" ht="15.75" customHeight="1">
      <c r="B433" s="175"/>
      <c r="C433" s="617"/>
      <c r="D433" s="177"/>
      <c r="E433" s="177"/>
      <c r="G433" s="458"/>
      <c r="I433" s="454"/>
      <c r="J433" s="617"/>
      <c r="K433" s="169"/>
      <c r="L433" s="169"/>
      <c r="M433" s="169"/>
      <c r="P433" s="169"/>
      <c r="Q433" s="169"/>
      <c r="R433" s="169"/>
      <c r="S433" s="458"/>
      <c r="T433" s="169"/>
      <c r="U433" s="169"/>
      <c r="V433" s="169"/>
      <c r="W433" s="169"/>
      <c r="X433" s="169"/>
      <c r="Y433" s="169"/>
      <c r="Z433" s="169"/>
      <c r="AA433" s="169"/>
      <c r="AB433" s="169"/>
      <c r="AC433" s="169"/>
      <c r="AD433" s="169"/>
      <c r="AE433" s="169"/>
      <c r="AF433" s="169"/>
      <c r="AG433" s="617"/>
      <c r="AH433" s="169"/>
      <c r="AI433" s="629"/>
      <c r="AJ433" s="169"/>
      <c r="AL433" s="169"/>
      <c r="AM433" s="169"/>
      <c r="AN433" s="454"/>
      <c r="AO433" s="178"/>
      <c r="AP433" s="178"/>
      <c r="AW433" s="458"/>
      <c r="AX433" s="458"/>
      <c r="BA433" s="1305"/>
      <c r="BC433" s="169"/>
    </row>
    <row r="434" spans="1:59" ht="15.75" customHeight="1">
      <c r="A434" s="174"/>
      <c r="B434" s="642"/>
      <c r="C434" s="617"/>
      <c r="D434" s="618"/>
      <c r="E434" s="618"/>
      <c r="F434" s="179"/>
      <c r="G434" s="458"/>
      <c r="H434" s="618"/>
      <c r="J434" s="617"/>
      <c r="K434" s="169"/>
      <c r="L434" s="169"/>
      <c r="M434" s="169"/>
      <c r="P434" s="618"/>
      <c r="Q434" s="169"/>
      <c r="R434" s="169"/>
      <c r="S434" s="458"/>
      <c r="T434" s="169"/>
      <c r="U434" s="169"/>
      <c r="V434" s="169"/>
      <c r="W434" s="169"/>
      <c r="X434" s="169"/>
      <c r="Y434" s="169"/>
      <c r="Z434" s="169"/>
      <c r="AA434" s="169"/>
      <c r="AB434" s="169"/>
      <c r="AC434" s="169"/>
      <c r="AD434" s="169"/>
      <c r="AE434" s="169"/>
      <c r="AF434" s="169"/>
      <c r="AG434" s="617"/>
      <c r="AH434" s="169"/>
      <c r="AI434" s="629"/>
      <c r="AJ434" s="618"/>
      <c r="AK434" s="618"/>
      <c r="AL434" s="618"/>
      <c r="AM434" s="618"/>
      <c r="AN434" s="454"/>
      <c r="AO434" s="178"/>
      <c r="AP434" s="178"/>
      <c r="BA434" s="1305"/>
      <c r="BB434" s="174"/>
      <c r="BC434" s="169"/>
      <c r="BD434" s="1324"/>
      <c r="BE434" s="1324"/>
      <c r="BF434" s="1324"/>
      <c r="BG434" s="1324"/>
    </row>
    <row r="435" spans="1:59" ht="15.75" customHeight="1">
      <c r="A435" s="174"/>
      <c r="B435" s="618"/>
      <c r="C435" s="617"/>
      <c r="D435" s="618"/>
      <c r="E435" s="618"/>
      <c r="F435" s="618"/>
      <c r="G435" s="458"/>
      <c r="H435" s="618"/>
      <c r="L435" s="618"/>
      <c r="M435" s="618"/>
      <c r="N435" s="618"/>
      <c r="O435" s="618"/>
      <c r="P435" s="618"/>
      <c r="Q435" s="169"/>
      <c r="R435" s="169"/>
      <c r="S435" s="458"/>
      <c r="T435" s="169"/>
      <c r="U435" s="169"/>
      <c r="V435" s="169"/>
      <c r="W435" s="169"/>
      <c r="X435" s="169"/>
      <c r="Y435" s="169"/>
      <c r="Z435" s="169"/>
      <c r="AA435" s="169"/>
      <c r="AB435" s="169"/>
      <c r="AC435" s="169"/>
      <c r="AD435" s="169"/>
      <c r="AE435" s="169"/>
      <c r="AF435" s="169"/>
      <c r="AG435" s="617"/>
      <c r="AH435" s="169"/>
      <c r="AI435" s="629"/>
      <c r="AJ435" s="618"/>
      <c r="AK435" s="618"/>
      <c r="AL435" s="618"/>
      <c r="AM435" s="618"/>
      <c r="AN435" s="458"/>
      <c r="AO435" s="618"/>
      <c r="AP435" s="618"/>
      <c r="BA435" s="1318"/>
      <c r="BB435" s="174"/>
      <c r="BC435" s="169"/>
      <c r="BD435" s="1324"/>
      <c r="BE435" s="1324"/>
      <c r="BF435" s="1324"/>
      <c r="BG435" s="1324"/>
    </row>
    <row r="436" spans="1:59" ht="15.75" customHeight="1">
      <c r="A436" s="174"/>
      <c r="B436" s="642"/>
      <c r="C436" s="617"/>
      <c r="D436" s="618"/>
      <c r="E436" s="618"/>
      <c r="F436" s="618"/>
      <c r="G436" s="458"/>
      <c r="H436" s="618"/>
      <c r="I436" s="618"/>
      <c r="J436" s="617"/>
      <c r="K436" s="169"/>
      <c r="L436" s="618"/>
      <c r="M436" s="618"/>
      <c r="N436" s="618"/>
      <c r="O436" s="618"/>
      <c r="P436" s="618"/>
      <c r="Q436" s="169"/>
      <c r="R436" s="169"/>
      <c r="S436" s="458"/>
      <c r="T436" s="169"/>
      <c r="U436" s="169"/>
      <c r="V436" s="169"/>
      <c r="W436" s="169"/>
      <c r="X436" s="169"/>
      <c r="Y436" s="169"/>
      <c r="Z436" s="169"/>
      <c r="AA436" s="169"/>
      <c r="AB436" s="169"/>
      <c r="AC436" s="169"/>
      <c r="AD436" s="169"/>
      <c r="AE436" s="169"/>
      <c r="AF436" s="169"/>
      <c r="AG436" s="617"/>
      <c r="AH436" s="169"/>
      <c r="AI436" s="629"/>
      <c r="AJ436" s="618"/>
      <c r="AK436" s="618"/>
      <c r="AL436" s="618"/>
      <c r="AM436" s="618"/>
      <c r="AN436" s="454"/>
      <c r="AO436" s="178"/>
      <c r="AP436" s="178"/>
      <c r="BA436" s="1305"/>
      <c r="BB436" s="174"/>
      <c r="BC436" s="169"/>
      <c r="BD436" s="1324"/>
      <c r="BE436" s="1324"/>
      <c r="BF436" s="1324"/>
      <c r="BG436" s="1324"/>
    </row>
    <row r="437" spans="1:59" ht="15.75" customHeight="1">
      <c r="A437" s="174"/>
      <c r="B437" s="618"/>
      <c r="C437" s="617"/>
      <c r="D437" s="618"/>
      <c r="E437" s="618"/>
      <c r="F437" s="618"/>
      <c r="G437" s="458"/>
      <c r="H437" s="618"/>
      <c r="I437" s="454"/>
      <c r="J437" s="617"/>
      <c r="K437" s="618"/>
      <c r="L437" s="618"/>
      <c r="M437" s="618"/>
      <c r="N437" s="618"/>
      <c r="O437" s="618"/>
      <c r="P437" s="618"/>
      <c r="Q437" s="169"/>
      <c r="R437" s="169"/>
      <c r="S437" s="458"/>
      <c r="T437" s="169"/>
      <c r="U437" s="169"/>
      <c r="V437" s="169"/>
      <c r="W437" s="169"/>
      <c r="X437" s="169"/>
      <c r="Y437" s="169"/>
      <c r="Z437" s="169"/>
      <c r="AA437" s="169"/>
      <c r="AB437" s="169"/>
      <c r="AC437" s="169"/>
      <c r="AD437" s="169"/>
      <c r="AE437" s="169"/>
      <c r="AF437" s="169"/>
      <c r="AG437" s="617"/>
      <c r="AH437" s="169"/>
      <c r="AI437" s="629"/>
      <c r="AJ437" s="618"/>
      <c r="AK437" s="618"/>
      <c r="AL437" s="618"/>
      <c r="AM437" s="618"/>
      <c r="AN437" s="458"/>
      <c r="AO437" s="618"/>
      <c r="AP437" s="618"/>
      <c r="BA437" s="1305"/>
      <c r="BB437" s="174"/>
      <c r="BC437" s="169"/>
      <c r="BD437" s="1324"/>
      <c r="BE437" s="1324"/>
      <c r="BF437" s="1324"/>
      <c r="BG437" s="1324"/>
    </row>
    <row r="438" spans="1:59" ht="15.75" customHeight="1">
      <c r="B438" s="180"/>
      <c r="C438" s="617"/>
      <c r="D438" s="177"/>
      <c r="E438" s="177"/>
      <c r="G438" s="458"/>
      <c r="I438" s="182"/>
      <c r="J438" s="617"/>
      <c r="K438" s="169"/>
      <c r="L438" s="169"/>
      <c r="M438" s="169"/>
      <c r="P438" s="169"/>
      <c r="Q438" s="169"/>
      <c r="R438" s="169"/>
      <c r="S438" s="458"/>
      <c r="T438" s="169"/>
      <c r="U438" s="169"/>
      <c r="V438" s="169"/>
      <c r="W438" s="169"/>
      <c r="X438" s="169"/>
      <c r="Y438" s="169"/>
      <c r="Z438" s="169"/>
      <c r="AA438" s="169"/>
      <c r="AB438" s="169"/>
      <c r="AC438" s="169"/>
      <c r="AD438" s="169"/>
      <c r="AE438" s="169"/>
      <c r="AF438" s="169"/>
      <c r="AG438" s="617"/>
      <c r="AH438" s="169"/>
      <c r="AI438" s="629"/>
      <c r="AJ438" s="169"/>
      <c r="AL438" s="169"/>
      <c r="AM438" s="618"/>
      <c r="AN438" s="454"/>
      <c r="AO438" s="178"/>
      <c r="AP438" s="178"/>
      <c r="BA438" s="1305"/>
      <c r="BC438" s="169"/>
    </row>
    <row r="439" spans="1:59" ht="15.75" customHeight="1">
      <c r="B439" s="175"/>
      <c r="C439" s="617"/>
      <c r="D439" s="177"/>
      <c r="E439" s="177"/>
      <c r="G439" s="458"/>
      <c r="I439" s="179"/>
      <c r="J439" s="617"/>
      <c r="K439" s="169"/>
      <c r="L439" s="169"/>
      <c r="M439" s="169"/>
      <c r="P439" s="169"/>
      <c r="Q439" s="169"/>
      <c r="R439" s="169"/>
      <c r="S439" s="458"/>
      <c r="T439" s="169"/>
      <c r="U439" s="169"/>
      <c r="V439" s="169"/>
      <c r="W439" s="169"/>
      <c r="X439" s="169"/>
      <c r="Y439" s="169"/>
      <c r="Z439" s="169"/>
      <c r="AA439" s="169"/>
      <c r="AB439" s="169"/>
      <c r="AC439" s="169"/>
      <c r="AD439" s="169"/>
      <c r="AE439" s="169"/>
      <c r="AF439" s="169"/>
      <c r="AG439" s="617"/>
      <c r="AH439" s="169"/>
      <c r="AI439" s="629"/>
      <c r="AJ439" s="169"/>
      <c r="AL439" s="169"/>
      <c r="AM439" s="169"/>
      <c r="AN439" s="454"/>
      <c r="AO439" s="178"/>
      <c r="AP439" s="178"/>
      <c r="BA439" s="1305"/>
      <c r="BC439" s="169"/>
    </row>
    <row r="440" spans="1:59" ht="15.75" customHeight="1">
      <c r="B440" s="180"/>
      <c r="C440" s="617"/>
      <c r="D440" s="177"/>
      <c r="E440" s="177"/>
      <c r="G440" s="458"/>
      <c r="I440" s="618"/>
      <c r="J440" s="617"/>
      <c r="K440" s="169"/>
      <c r="L440" s="169"/>
      <c r="M440" s="169"/>
      <c r="P440" s="169"/>
      <c r="Q440" s="169"/>
      <c r="R440" s="169"/>
      <c r="S440" s="458"/>
      <c r="T440" s="169"/>
      <c r="U440" s="169"/>
      <c r="V440" s="169"/>
      <c r="W440" s="169"/>
      <c r="X440" s="169"/>
      <c r="Y440" s="169"/>
      <c r="Z440" s="169"/>
      <c r="AA440" s="169"/>
      <c r="AB440" s="169"/>
      <c r="AC440" s="169"/>
      <c r="AD440" s="169"/>
      <c r="AE440" s="169"/>
      <c r="AF440" s="169"/>
      <c r="AG440" s="617"/>
      <c r="AH440" s="169"/>
      <c r="AI440" s="629"/>
      <c r="AJ440" s="169"/>
      <c r="AL440" s="169"/>
      <c r="AM440" s="618"/>
      <c r="AN440" s="454"/>
      <c r="AO440" s="178"/>
      <c r="AP440" s="178"/>
      <c r="BA440" s="1305"/>
      <c r="BC440" s="169"/>
    </row>
    <row r="441" spans="1:59" ht="15.75" customHeight="1">
      <c r="B441" s="175"/>
      <c r="C441" s="617"/>
      <c r="D441" s="177"/>
      <c r="E441" s="177"/>
      <c r="G441" s="458"/>
      <c r="I441" s="454"/>
      <c r="J441" s="617"/>
      <c r="K441" s="169"/>
      <c r="L441" s="169"/>
      <c r="M441" s="169"/>
      <c r="P441" s="169"/>
      <c r="Q441" s="169"/>
      <c r="R441" s="169"/>
      <c r="S441" s="458"/>
      <c r="T441" s="169"/>
      <c r="U441" s="169"/>
      <c r="V441" s="169"/>
      <c r="W441" s="169"/>
      <c r="X441" s="169"/>
      <c r="Y441" s="169"/>
      <c r="Z441" s="169"/>
      <c r="AA441" s="169"/>
      <c r="AB441" s="169"/>
      <c r="AC441" s="169"/>
      <c r="AD441" s="169"/>
      <c r="AE441" s="169"/>
      <c r="AF441" s="169"/>
      <c r="AG441" s="617"/>
      <c r="AH441" s="169"/>
      <c r="AI441" s="629"/>
      <c r="AJ441" s="169"/>
      <c r="AL441" s="169"/>
      <c r="AM441" s="169"/>
      <c r="AN441" s="454"/>
      <c r="AO441" s="178"/>
      <c r="AP441" s="178"/>
      <c r="AW441" s="458"/>
      <c r="AX441" s="458"/>
      <c r="BA441" s="1305"/>
      <c r="BC441" s="169"/>
    </row>
    <row r="442" spans="1:59" ht="15.75" customHeight="1">
      <c r="A442" s="174"/>
      <c r="B442" s="642"/>
      <c r="C442" s="617"/>
      <c r="D442" s="618"/>
      <c r="E442" s="618"/>
      <c r="F442" s="179"/>
      <c r="G442" s="458"/>
      <c r="H442" s="618"/>
      <c r="J442" s="617"/>
      <c r="K442" s="169"/>
      <c r="L442" s="169"/>
      <c r="M442" s="169"/>
      <c r="P442" s="618"/>
      <c r="Q442" s="169"/>
      <c r="R442" s="169"/>
      <c r="S442" s="458"/>
      <c r="T442" s="169"/>
      <c r="U442" s="169"/>
      <c r="V442" s="169"/>
      <c r="W442" s="169"/>
      <c r="X442" s="169"/>
      <c r="Y442" s="169"/>
      <c r="Z442" s="169"/>
      <c r="AA442" s="169"/>
      <c r="AB442" s="169"/>
      <c r="AC442" s="169"/>
      <c r="AD442" s="169"/>
      <c r="AE442" s="169"/>
      <c r="AF442" s="169"/>
      <c r="AG442" s="617"/>
      <c r="AH442" s="169"/>
      <c r="AI442" s="629"/>
      <c r="AJ442" s="618"/>
      <c r="AK442" s="618"/>
      <c r="AL442" s="618"/>
      <c r="AM442" s="618"/>
      <c r="AN442" s="454"/>
      <c r="AO442" s="178"/>
      <c r="AP442" s="178"/>
      <c r="BA442" s="1305"/>
      <c r="BB442" s="174"/>
      <c r="BC442" s="169"/>
      <c r="BD442" s="1324"/>
      <c r="BE442" s="1324"/>
      <c r="BF442" s="1324"/>
      <c r="BG442" s="1324"/>
    </row>
    <row r="443" spans="1:59" ht="15.75" customHeight="1">
      <c r="A443" s="174"/>
      <c r="B443" s="618"/>
      <c r="C443" s="617"/>
      <c r="D443" s="618"/>
      <c r="E443" s="618"/>
      <c r="F443" s="618"/>
      <c r="G443" s="458"/>
      <c r="H443" s="618"/>
      <c r="L443" s="618"/>
      <c r="M443" s="618"/>
      <c r="N443" s="618"/>
      <c r="O443" s="618"/>
      <c r="P443" s="618"/>
      <c r="Q443" s="169"/>
      <c r="R443" s="169"/>
      <c r="S443" s="458"/>
      <c r="T443" s="169"/>
      <c r="U443" s="169"/>
      <c r="V443" s="169"/>
      <c r="W443" s="169"/>
      <c r="X443" s="169"/>
      <c r="Y443" s="169"/>
      <c r="Z443" s="169"/>
      <c r="AA443" s="169"/>
      <c r="AB443" s="169"/>
      <c r="AC443" s="169"/>
      <c r="AD443" s="169"/>
      <c r="AE443" s="169"/>
      <c r="AF443" s="169"/>
      <c r="AG443" s="617"/>
      <c r="AH443" s="169"/>
      <c r="AI443" s="629"/>
      <c r="AJ443" s="618"/>
      <c r="AK443" s="618"/>
      <c r="AL443" s="618"/>
      <c r="AM443" s="618"/>
      <c r="AN443" s="458"/>
      <c r="AO443" s="618"/>
      <c r="AP443" s="618"/>
      <c r="BA443" s="1318"/>
      <c r="BB443" s="174"/>
      <c r="BC443" s="169"/>
      <c r="BD443" s="1324"/>
      <c r="BE443" s="1324"/>
      <c r="BF443" s="1324"/>
      <c r="BG443" s="1324"/>
    </row>
    <row r="444" spans="1:59" ht="15.75" customHeight="1">
      <c r="A444" s="174"/>
      <c r="B444" s="642"/>
      <c r="C444" s="617"/>
      <c r="D444" s="618"/>
      <c r="E444" s="618"/>
      <c r="F444" s="618"/>
      <c r="G444" s="458"/>
      <c r="H444" s="618"/>
      <c r="I444" s="618"/>
      <c r="J444" s="617"/>
      <c r="K444" s="169"/>
      <c r="L444" s="618"/>
      <c r="M444" s="618"/>
      <c r="N444" s="618"/>
      <c r="O444" s="618"/>
      <c r="P444" s="618"/>
      <c r="Q444" s="169"/>
      <c r="R444" s="169"/>
      <c r="S444" s="458"/>
      <c r="T444" s="169"/>
      <c r="U444" s="169"/>
      <c r="V444" s="169"/>
      <c r="W444" s="169"/>
      <c r="X444" s="169"/>
      <c r="Y444" s="169"/>
      <c r="Z444" s="169"/>
      <c r="AA444" s="169"/>
      <c r="AB444" s="169"/>
      <c r="AC444" s="169"/>
      <c r="AD444" s="169"/>
      <c r="AE444" s="169"/>
      <c r="AF444" s="169"/>
      <c r="AG444" s="617"/>
      <c r="AH444" s="169"/>
      <c r="AI444" s="629"/>
      <c r="AJ444" s="618"/>
      <c r="AK444" s="618"/>
      <c r="AL444" s="618"/>
      <c r="AM444" s="618"/>
      <c r="AN444" s="454"/>
      <c r="AO444" s="178"/>
      <c r="AP444" s="178"/>
      <c r="BA444" s="1305"/>
      <c r="BB444" s="174"/>
      <c r="BC444" s="169"/>
      <c r="BD444" s="1324"/>
      <c r="BE444" s="1324"/>
      <c r="BF444" s="1324"/>
      <c r="BG444" s="1324"/>
    </row>
    <row r="445" spans="1:59" ht="15.75" customHeight="1">
      <c r="A445" s="174"/>
      <c r="B445" s="618"/>
      <c r="C445" s="617"/>
      <c r="D445" s="618"/>
      <c r="E445" s="618"/>
      <c r="F445" s="618"/>
      <c r="G445" s="458"/>
      <c r="H445" s="618"/>
      <c r="I445" s="454"/>
      <c r="J445" s="617"/>
      <c r="K445" s="618"/>
      <c r="L445" s="618"/>
      <c r="M445" s="618"/>
      <c r="N445" s="618"/>
      <c r="O445" s="618"/>
      <c r="P445" s="618"/>
      <c r="Q445" s="169"/>
      <c r="R445" s="169"/>
      <c r="S445" s="458"/>
      <c r="T445" s="169"/>
      <c r="U445" s="169"/>
      <c r="V445" s="169"/>
      <c r="W445" s="169"/>
      <c r="X445" s="169"/>
      <c r="Y445" s="169"/>
      <c r="Z445" s="169"/>
      <c r="AA445" s="169"/>
      <c r="AB445" s="169"/>
      <c r="AC445" s="169"/>
      <c r="AD445" s="169"/>
      <c r="AE445" s="169"/>
      <c r="AF445" s="169"/>
      <c r="AG445" s="617"/>
      <c r="AH445" s="169"/>
      <c r="AI445" s="629"/>
      <c r="AJ445" s="618"/>
      <c r="AK445" s="618"/>
      <c r="AL445" s="618"/>
      <c r="AM445" s="618"/>
      <c r="AN445" s="458"/>
      <c r="AO445" s="618"/>
      <c r="AP445" s="618"/>
      <c r="BA445" s="1305"/>
      <c r="BB445" s="174"/>
      <c r="BC445" s="169"/>
      <c r="BD445" s="1324"/>
      <c r="BE445" s="1324"/>
      <c r="BF445" s="1324"/>
      <c r="BG445" s="1324"/>
    </row>
    <row r="446" spans="1:59" ht="15.75" customHeight="1">
      <c r="B446" s="180"/>
      <c r="C446" s="617"/>
      <c r="D446" s="177"/>
      <c r="E446" s="177"/>
      <c r="G446" s="458"/>
      <c r="I446" s="182"/>
      <c r="J446" s="617"/>
      <c r="K446" s="169"/>
      <c r="L446" s="169"/>
      <c r="M446" s="169"/>
      <c r="P446" s="169"/>
      <c r="Q446" s="169"/>
      <c r="R446" s="169"/>
      <c r="S446" s="458"/>
      <c r="T446" s="169"/>
      <c r="U446" s="169"/>
      <c r="V446" s="169"/>
      <c r="W446" s="169"/>
      <c r="X446" s="169"/>
      <c r="Y446" s="169"/>
      <c r="Z446" s="169"/>
      <c r="AA446" s="169"/>
      <c r="AB446" s="169"/>
      <c r="AC446" s="169"/>
      <c r="AD446" s="169"/>
      <c r="AE446" s="169"/>
      <c r="AF446" s="169"/>
      <c r="AG446" s="617"/>
      <c r="AH446" s="169"/>
      <c r="AI446" s="629"/>
      <c r="AJ446" s="169"/>
      <c r="AL446" s="169"/>
      <c r="AM446" s="618"/>
      <c r="AN446" s="454"/>
      <c r="AO446" s="178"/>
      <c r="AP446" s="178"/>
      <c r="BA446" s="1305"/>
      <c r="BC446" s="169"/>
    </row>
    <row r="447" spans="1:59" ht="15.75" customHeight="1">
      <c r="B447" s="175"/>
      <c r="C447" s="617"/>
      <c r="D447" s="177"/>
      <c r="E447" s="177"/>
      <c r="G447" s="458"/>
      <c r="I447" s="179"/>
      <c r="J447" s="617"/>
      <c r="K447" s="169"/>
      <c r="L447" s="169"/>
      <c r="M447" s="169"/>
      <c r="P447" s="169"/>
      <c r="Q447" s="169"/>
      <c r="R447" s="169"/>
      <c r="S447" s="458"/>
      <c r="T447" s="169"/>
      <c r="U447" s="169"/>
      <c r="V447" s="169"/>
      <c r="W447" s="169"/>
      <c r="X447" s="169"/>
      <c r="Y447" s="169"/>
      <c r="Z447" s="169"/>
      <c r="AA447" s="169"/>
      <c r="AB447" s="169"/>
      <c r="AC447" s="169"/>
      <c r="AD447" s="169"/>
      <c r="AE447" s="169"/>
      <c r="AF447" s="169"/>
      <c r="AG447" s="617"/>
      <c r="AH447" s="169"/>
      <c r="AI447" s="629"/>
      <c r="AJ447" s="169"/>
      <c r="AL447" s="169"/>
      <c r="AM447" s="169"/>
      <c r="AN447" s="454"/>
      <c r="AO447" s="178"/>
      <c r="AP447" s="178"/>
      <c r="BA447" s="1305"/>
      <c r="BC447" s="169"/>
    </row>
    <row r="448" spans="1:59" ht="15.75" customHeight="1">
      <c r="B448" s="180"/>
      <c r="C448" s="617"/>
      <c r="D448" s="177"/>
      <c r="E448" s="177"/>
      <c r="G448" s="458"/>
      <c r="I448" s="618"/>
      <c r="J448" s="617"/>
      <c r="K448" s="169"/>
      <c r="L448" s="169"/>
      <c r="M448" s="169"/>
      <c r="P448" s="169"/>
      <c r="Q448" s="169"/>
      <c r="R448" s="169"/>
      <c r="S448" s="458"/>
      <c r="T448" s="169"/>
      <c r="U448" s="169"/>
      <c r="V448" s="169"/>
      <c r="W448" s="169"/>
      <c r="X448" s="169"/>
      <c r="Y448" s="169"/>
      <c r="Z448" s="169"/>
      <c r="AA448" s="169"/>
      <c r="AB448" s="169"/>
      <c r="AC448" s="169"/>
      <c r="AD448" s="169"/>
      <c r="AE448" s="169"/>
      <c r="AF448" s="169"/>
      <c r="AG448" s="617"/>
      <c r="AH448" s="169"/>
      <c r="AI448" s="629"/>
      <c r="AJ448" s="169"/>
      <c r="AL448" s="169"/>
      <c r="AM448" s="618"/>
      <c r="AN448" s="454"/>
      <c r="AO448" s="178"/>
      <c r="AP448" s="178"/>
      <c r="BA448" s="1305"/>
      <c r="BC448" s="169"/>
    </row>
    <row r="449" spans="1:59" ht="15.75" customHeight="1">
      <c r="B449" s="175"/>
      <c r="C449" s="617"/>
      <c r="D449" s="177"/>
      <c r="E449" s="177"/>
      <c r="G449" s="458"/>
      <c r="I449" s="454"/>
      <c r="J449" s="617"/>
      <c r="K449" s="169"/>
      <c r="L449" s="169"/>
      <c r="M449" s="169"/>
      <c r="P449" s="169"/>
      <c r="Q449" s="169"/>
      <c r="R449" s="169"/>
      <c r="S449" s="458"/>
      <c r="T449" s="169"/>
      <c r="U449" s="169"/>
      <c r="V449" s="169"/>
      <c r="W449" s="169"/>
      <c r="X449" s="169"/>
      <c r="Y449" s="169"/>
      <c r="Z449" s="169"/>
      <c r="AA449" s="169"/>
      <c r="AB449" s="169"/>
      <c r="AC449" s="169"/>
      <c r="AD449" s="169"/>
      <c r="AE449" s="169"/>
      <c r="AF449" s="169"/>
      <c r="AG449" s="617"/>
      <c r="AH449" s="169"/>
      <c r="AI449" s="629"/>
      <c r="AJ449" s="169"/>
      <c r="AL449" s="169"/>
      <c r="AM449" s="169"/>
      <c r="AN449" s="454"/>
      <c r="AO449" s="178"/>
      <c r="AP449" s="178"/>
      <c r="AW449" s="458"/>
      <c r="AX449" s="458"/>
      <c r="BA449" s="1305"/>
      <c r="BC449" s="169"/>
    </row>
    <row r="450" spans="1:59" ht="15.75" customHeight="1">
      <c r="A450" s="174"/>
      <c r="B450" s="642"/>
      <c r="C450" s="617"/>
      <c r="D450" s="618"/>
      <c r="E450" s="618"/>
      <c r="F450" s="179"/>
      <c r="G450" s="458"/>
      <c r="H450" s="618"/>
      <c r="J450" s="617"/>
      <c r="K450" s="169"/>
      <c r="L450" s="169"/>
      <c r="M450" s="169"/>
      <c r="P450" s="618"/>
      <c r="Q450" s="169"/>
      <c r="R450" s="169"/>
      <c r="S450" s="458"/>
      <c r="T450" s="169"/>
      <c r="U450" s="169"/>
      <c r="V450" s="169"/>
      <c r="W450" s="169"/>
      <c r="X450" s="169"/>
      <c r="Y450" s="169"/>
      <c r="Z450" s="169"/>
      <c r="AA450" s="169"/>
      <c r="AB450" s="169"/>
      <c r="AC450" s="169"/>
      <c r="AD450" s="169"/>
      <c r="AE450" s="169"/>
      <c r="AF450" s="169"/>
      <c r="AG450" s="617"/>
      <c r="AH450" s="169"/>
      <c r="AI450" s="629"/>
      <c r="AJ450" s="618"/>
      <c r="AK450" s="618"/>
      <c r="AL450" s="618"/>
      <c r="AM450" s="618"/>
      <c r="AN450" s="454"/>
      <c r="AO450" s="178"/>
      <c r="AP450" s="178"/>
      <c r="BA450" s="1305"/>
      <c r="BB450" s="174"/>
      <c r="BC450" s="169"/>
      <c r="BD450" s="1324"/>
      <c r="BE450" s="1324"/>
      <c r="BF450" s="1324"/>
      <c r="BG450" s="1324"/>
    </row>
    <row r="451" spans="1:59" ht="15.75" customHeight="1">
      <c r="A451" s="174"/>
      <c r="B451" s="618"/>
      <c r="C451" s="617"/>
      <c r="D451" s="618"/>
      <c r="E451" s="618"/>
      <c r="F451" s="618"/>
      <c r="G451" s="458"/>
      <c r="H451" s="618"/>
      <c r="L451" s="618"/>
      <c r="M451" s="618"/>
      <c r="N451" s="618"/>
      <c r="O451" s="618"/>
      <c r="P451" s="618"/>
      <c r="Q451" s="169"/>
      <c r="R451" s="169"/>
      <c r="S451" s="458"/>
      <c r="T451" s="169"/>
      <c r="U451" s="169"/>
      <c r="V451" s="169"/>
      <c r="W451" s="169"/>
      <c r="X451" s="169"/>
      <c r="Y451" s="169"/>
      <c r="Z451" s="169"/>
      <c r="AA451" s="169"/>
      <c r="AB451" s="169"/>
      <c r="AC451" s="169"/>
      <c r="AD451" s="169"/>
      <c r="AE451" s="169"/>
      <c r="AF451" s="169"/>
      <c r="AG451" s="617"/>
      <c r="AH451" s="169"/>
      <c r="AI451" s="629"/>
      <c r="AJ451" s="618"/>
      <c r="AK451" s="618"/>
      <c r="AL451" s="618"/>
      <c r="AM451" s="618"/>
      <c r="AN451" s="458"/>
      <c r="AO451" s="618"/>
      <c r="AP451" s="618"/>
      <c r="BA451" s="1318"/>
      <c r="BB451" s="174"/>
      <c r="BC451" s="169"/>
      <c r="BD451" s="1324"/>
      <c r="BE451" s="1324"/>
      <c r="BF451" s="1324"/>
      <c r="BG451" s="1324"/>
    </row>
    <row r="452" spans="1:59" ht="15.75" customHeight="1">
      <c r="A452" s="174"/>
      <c r="B452" s="642"/>
      <c r="C452" s="617"/>
      <c r="D452" s="618"/>
      <c r="E452" s="618"/>
      <c r="F452" s="618"/>
      <c r="G452" s="458"/>
      <c r="H452" s="618"/>
      <c r="I452" s="618"/>
      <c r="J452" s="617"/>
      <c r="K452" s="169"/>
      <c r="L452" s="618"/>
      <c r="M452" s="618"/>
      <c r="N452" s="618"/>
      <c r="O452" s="618"/>
      <c r="P452" s="618"/>
      <c r="Q452" s="169"/>
      <c r="R452" s="169"/>
      <c r="S452" s="458"/>
      <c r="T452" s="169"/>
      <c r="U452" s="169"/>
      <c r="V452" s="169"/>
      <c r="W452" s="169"/>
      <c r="X452" s="169"/>
      <c r="Y452" s="169"/>
      <c r="Z452" s="169"/>
      <c r="AA452" s="169"/>
      <c r="AB452" s="169"/>
      <c r="AC452" s="169"/>
      <c r="AD452" s="169"/>
      <c r="AE452" s="169"/>
      <c r="AF452" s="169"/>
      <c r="AG452" s="617"/>
      <c r="AH452" s="169"/>
      <c r="AI452" s="629"/>
      <c r="AJ452" s="618"/>
      <c r="AK452" s="618"/>
      <c r="AL452" s="618"/>
      <c r="AM452" s="618"/>
      <c r="AN452" s="454"/>
      <c r="AO452" s="178"/>
      <c r="AP452" s="178"/>
      <c r="BA452" s="1305"/>
      <c r="BB452" s="174"/>
      <c r="BC452" s="169"/>
      <c r="BD452" s="1324"/>
      <c r="BE452" s="1324"/>
      <c r="BF452" s="1324"/>
      <c r="BG452" s="1324"/>
    </row>
    <row r="453" spans="1:59" ht="15.75" customHeight="1">
      <c r="A453" s="174"/>
      <c r="B453" s="618"/>
      <c r="C453" s="617"/>
      <c r="D453" s="618"/>
      <c r="E453" s="618"/>
      <c r="F453" s="618"/>
      <c r="G453" s="458"/>
      <c r="H453" s="618"/>
      <c r="I453" s="454"/>
      <c r="J453" s="617"/>
      <c r="K453" s="618"/>
      <c r="L453" s="618"/>
      <c r="M453" s="618"/>
      <c r="N453" s="618"/>
      <c r="O453" s="618"/>
      <c r="P453" s="618"/>
      <c r="Q453" s="169"/>
      <c r="R453" s="169"/>
      <c r="S453" s="458"/>
      <c r="T453" s="169"/>
      <c r="U453" s="169"/>
      <c r="V453" s="169"/>
      <c r="W453" s="169"/>
      <c r="X453" s="169"/>
      <c r="Y453" s="169"/>
      <c r="Z453" s="169"/>
      <c r="AA453" s="169"/>
      <c r="AB453" s="169"/>
      <c r="AC453" s="169"/>
      <c r="AD453" s="169"/>
      <c r="AE453" s="169"/>
      <c r="AF453" s="169"/>
      <c r="AG453" s="617"/>
      <c r="AH453" s="169"/>
      <c r="AI453" s="629"/>
      <c r="AJ453" s="618"/>
      <c r="AK453" s="618"/>
      <c r="AL453" s="618"/>
      <c r="AM453" s="618"/>
      <c r="AN453" s="458"/>
      <c r="AO453" s="618"/>
      <c r="AP453" s="618"/>
      <c r="BA453" s="1305"/>
      <c r="BB453" s="174"/>
      <c r="BC453" s="169"/>
      <c r="BD453" s="1324"/>
      <c r="BE453" s="1324"/>
      <c r="BF453" s="1324"/>
      <c r="BG453" s="1324"/>
    </row>
    <row r="454" spans="1:59" ht="15.75" customHeight="1">
      <c r="B454" s="180"/>
      <c r="C454" s="617"/>
      <c r="D454" s="177"/>
      <c r="E454" s="177"/>
      <c r="G454" s="458"/>
      <c r="I454" s="182"/>
      <c r="J454" s="617"/>
      <c r="K454" s="169"/>
      <c r="L454" s="169"/>
      <c r="M454" s="169"/>
      <c r="P454" s="169"/>
      <c r="Q454" s="169"/>
      <c r="R454" s="169"/>
      <c r="S454" s="458"/>
      <c r="T454" s="169"/>
      <c r="U454" s="169"/>
      <c r="V454" s="169"/>
      <c r="W454" s="169"/>
      <c r="X454" s="169"/>
      <c r="Y454" s="169"/>
      <c r="Z454" s="169"/>
      <c r="AA454" s="169"/>
      <c r="AB454" s="169"/>
      <c r="AC454" s="169"/>
      <c r="AD454" s="169"/>
      <c r="AE454" s="169"/>
      <c r="AF454" s="169"/>
      <c r="AG454" s="617"/>
      <c r="AH454" s="169"/>
      <c r="AI454" s="629"/>
      <c r="AJ454" s="169"/>
      <c r="AL454" s="169"/>
      <c r="AM454" s="618"/>
      <c r="AN454" s="454"/>
      <c r="AO454" s="178"/>
      <c r="AP454" s="178"/>
      <c r="BA454" s="1305"/>
      <c r="BC454" s="169"/>
    </row>
    <row r="455" spans="1:59" ht="15.75" customHeight="1">
      <c r="B455" s="175"/>
      <c r="C455" s="617"/>
      <c r="D455" s="177"/>
      <c r="E455" s="177"/>
      <c r="G455" s="458"/>
      <c r="I455" s="179"/>
      <c r="J455" s="617"/>
      <c r="K455" s="169"/>
      <c r="L455" s="169"/>
      <c r="M455" s="169"/>
      <c r="P455" s="169"/>
      <c r="Q455" s="169"/>
      <c r="R455" s="169"/>
      <c r="S455" s="458"/>
      <c r="T455" s="169"/>
      <c r="U455" s="169"/>
      <c r="V455" s="169"/>
      <c r="W455" s="169"/>
      <c r="X455" s="169"/>
      <c r="Y455" s="169"/>
      <c r="Z455" s="169"/>
      <c r="AA455" s="169"/>
      <c r="AB455" s="169"/>
      <c r="AC455" s="169"/>
      <c r="AD455" s="169"/>
      <c r="AE455" s="169"/>
      <c r="AF455" s="169"/>
      <c r="AG455" s="617"/>
      <c r="AH455" s="169"/>
      <c r="AI455" s="629"/>
      <c r="AJ455" s="169"/>
      <c r="AL455" s="169"/>
      <c r="AM455" s="169"/>
      <c r="AN455" s="454"/>
      <c r="AO455" s="178"/>
      <c r="AP455" s="178"/>
      <c r="BA455" s="1305"/>
      <c r="BC455" s="169"/>
    </row>
    <row r="456" spans="1:59" ht="15.75" customHeight="1">
      <c r="B456" s="180"/>
      <c r="C456" s="617"/>
      <c r="D456" s="177"/>
      <c r="E456" s="177"/>
      <c r="G456" s="458"/>
      <c r="I456" s="618"/>
      <c r="J456" s="617"/>
      <c r="K456" s="169"/>
      <c r="L456" s="169"/>
      <c r="M456" s="169"/>
      <c r="P456" s="169"/>
      <c r="Q456" s="169"/>
      <c r="R456" s="169"/>
      <c r="S456" s="458"/>
      <c r="T456" s="169"/>
      <c r="U456" s="169"/>
      <c r="V456" s="169"/>
      <c r="W456" s="169"/>
      <c r="X456" s="169"/>
      <c r="Y456" s="169"/>
      <c r="Z456" s="169"/>
      <c r="AA456" s="169"/>
      <c r="AB456" s="169"/>
      <c r="AC456" s="169"/>
      <c r="AD456" s="169"/>
      <c r="AE456" s="169"/>
      <c r="AF456" s="169"/>
      <c r="AG456" s="617"/>
      <c r="AH456" s="169"/>
      <c r="AI456" s="629"/>
      <c r="AJ456" s="169"/>
      <c r="AL456" s="169"/>
      <c r="AM456" s="618"/>
      <c r="AN456" s="454"/>
      <c r="AO456" s="178"/>
      <c r="AP456" s="178"/>
      <c r="BA456" s="1305"/>
      <c r="BC456" s="169"/>
    </row>
    <row r="457" spans="1:59" ht="15.75" customHeight="1">
      <c r="B457" s="175"/>
      <c r="C457" s="617"/>
      <c r="D457" s="177"/>
      <c r="E457" s="177"/>
      <c r="G457" s="458"/>
      <c r="I457" s="454"/>
      <c r="J457" s="617"/>
      <c r="K457" s="169"/>
      <c r="L457" s="169"/>
      <c r="M457" s="169"/>
      <c r="P457" s="169"/>
      <c r="Q457" s="169"/>
      <c r="R457" s="169"/>
      <c r="S457" s="458"/>
      <c r="T457" s="169"/>
      <c r="U457" s="169"/>
      <c r="V457" s="169"/>
      <c r="W457" s="169"/>
      <c r="X457" s="169"/>
      <c r="Y457" s="169"/>
      <c r="Z457" s="169"/>
      <c r="AA457" s="169"/>
      <c r="AB457" s="169"/>
      <c r="AC457" s="169"/>
      <c r="AD457" s="169"/>
      <c r="AE457" s="169"/>
      <c r="AF457" s="169"/>
      <c r="AG457" s="617"/>
      <c r="AH457" s="169"/>
      <c r="AI457" s="629"/>
      <c r="AJ457" s="169"/>
      <c r="AL457" s="169"/>
      <c r="AM457" s="169"/>
      <c r="AN457" s="454"/>
      <c r="AO457" s="178"/>
      <c r="AP457" s="178"/>
      <c r="AW457" s="458"/>
      <c r="AX457" s="458"/>
      <c r="BA457" s="1305"/>
      <c r="BC457" s="169"/>
    </row>
    <row r="458" spans="1:59" ht="15.75" customHeight="1">
      <c r="A458" s="174"/>
      <c r="B458" s="642"/>
      <c r="C458" s="617"/>
      <c r="D458" s="618"/>
      <c r="E458" s="618"/>
      <c r="F458" s="179"/>
      <c r="G458" s="458"/>
      <c r="H458" s="618"/>
      <c r="J458" s="617"/>
      <c r="K458" s="169"/>
      <c r="L458" s="169"/>
      <c r="M458" s="169"/>
      <c r="P458" s="618"/>
      <c r="Q458" s="169"/>
      <c r="R458" s="169"/>
      <c r="S458" s="458"/>
      <c r="T458" s="169"/>
      <c r="U458" s="169"/>
      <c r="V458" s="169"/>
      <c r="W458" s="169"/>
      <c r="X458" s="169"/>
      <c r="Y458" s="169"/>
      <c r="Z458" s="169"/>
      <c r="AA458" s="169"/>
      <c r="AB458" s="169"/>
      <c r="AC458" s="169"/>
      <c r="AD458" s="169"/>
      <c r="AE458" s="169"/>
      <c r="AF458" s="169"/>
      <c r="AG458" s="617"/>
      <c r="AH458" s="169"/>
      <c r="AI458" s="629"/>
      <c r="AJ458" s="618"/>
      <c r="AK458" s="618"/>
      <c r="AL458" s="618"/>
      <c r="AM458" s="618"/>
      <c r="AN458" s="454"/>
      <c r="AO458" s="178"/>
      <c r="AP458" s="178"/>
      <c r="BA458" s="1305"/>
      <c r="BB458" s="174"/>
      <c r="BC458" s="169"/>
      <c r="BD458" s="1324"/>
      <c r="BE458" s="1324"/>
      <c r="BF458" s="1324"/>
      <c r="BG458" s="1324"/>
    </row>
    <row r="459" spans="1:59" ht="15.75" customHeight="1">
      <c r="A459" s="174"/>
      <c r="B459" s="618"/>
      <c r="C459" s="617"/>
      <c r="D459" s="618"/>
      <c r="E459" s="618"/>
      <c r="F459" s="618"/>
      <c r="G459" s="458"/>
      <c r="H459" s="618"/>
      <c r="L459" s="618"/>
      <c r="M459" s="618"/>
      <c r="N459" s="618"/>
      <c r="O459" s="618"/>
      <c r="P459" s="618"/>
      <c r="Q459" s="169"/>
      <c r="R459" s="169"/>
      <c r="S459" s="458"/>
      <c r="T459" s="169"/>
      <c r="U459" s="169"/>
      <c r="V459" s="169"/>
      <c r="W459" s="169"/>
      <c r="X459" s="169"/>
      <c r="Y459" s="169"/>
      <c r="Z459" s="169"/>
      <c r="AA459" s="169"/>
      <c r="AB459" s="169"/>
      <c r="AC459" s="169"/>
      <c r="AD459" s="169"/>
      <c r="AE459" s="169"/>
      <c r="AF459" s="169"/>
      <c r="AG459" s="617"/>
      <c r="AH459" s="169"/>
      <c r="AI459" s="629"/>
      <c r="AJ459" s="618"/>
      <c r="AK459" s="618"/>
      <c r="AL459" s="618"/>
      <c r="AM459" s="618"/>
      <c r="AN459" s="458"/>
      <c r="AO459" s="618"/>
      <c r="AP459" s="618"/>
      <c r="BA459" s="1318"/>
      <c r="BB459" s="174"/>
      <c r="BC459" s="169"/>
      <c r="BD459" s="1324"/>
      <c r="BE459" s="1324"/>
      <c r="BF459" s="1324"/>
      <c r="BG459" s="1324"/>
    </row>
    <row r="460" spans="1:59" ht="15.75" customHeight="1">
      <c r="A460" s="174"/>
      <c r="B460" s="642"/>
      <c r="C460" s="617"/>
      <c r="D460" s="618"/>
      <c r="E460" s="618"/>
      <c r="F460" s="618"/>
      <c r="G460" s="458"/>
      <c r="H460" s="618"/>
      <c r="I460" s="618"/>
      <c r="J460" s="617"/>
      <c r="K460" s="169"/>
      <c r="L460" s="618"/>
      <c r="M460" s="618"/>
      <c r="N460" s="618"/>
      <c r="O460" s="618"/>
      <c r="P460" s="618"/>
      <c r="Q460" s="169"/>
      <c r="R460" s="169"/>
      <c r="S460" s="458"/>
      <c r="T460" s="169"/>
      <c r="U460" s="169"/>
      <c r="V460" s="169"/>
      <c r="W460" s="169"/>
      <c r="X460" s="169"/>
      <c r="Y460" s="169"/>
      <c r="Z460" s="169"/>
      <c r="AA460" s="169"/>
      <c r="AB460" s="169"/>
      <c r="AC460" s="169"/>
      <c r="AD460" s="169"/>
      <c r="AE460" s="169"/>
      <c r="AF460" s="169"/>
      <c r="AG460" s="617"/>
      <c r="AH460" s="169"/>
      <c r="AI460" s="629"/>
      <c r="AJ460" s="618"/>
      <c r="AK460" s="618"/>
      <c r="AL460" s="618"/>
      <c r="AM460" s="618"/>
      <c r="AN460" s="454"/>
      <c r="AO460" s="178"/>
      <c r="AP460" s="178"/>
      <c r="BA460" s="1305"/>
      <c r="BB460" s="174"/>
      <c r="BC460" s="169"/>
      <c r="BD460" s="1324"/>
      <c r="BE460" s="1324"/>
      <c r="BF460" s="1324"/>
      <c r="BG460" s="1324"/>
    </row>
    <row r="461" spans="1:59" ht="15.75" customHeight="1">
      <c r="A461" s="174"/>
      <c r="B461" s="618"/>
      <c r="C461" s="617"/>
      <c r="D461" s="618"/>
      <c r="E461" s="618"/>
      <c r="F461" s="618"/>
      <c r="G461" s="458"/>
      <c r="H461" s="618"/>
      <c r="I461" s="454"/>
      <c r="J461" s="617"/>
      <c r="K461" s="618"/>
      <c r="L461" s="618"/>
      <c r="M461" s="618"/>
      <c r="N461" s="618"/>
      <c r="O461" s="618"/>
      <c r="P461" s="618"/>
      <c r="Q461" s="169"/>
      <c r="R461" s="169"/>
      <c r="S461" s="458"/>
      <c r="T461" s="169"/>
      <c r="U461" s="169"/>
      <c r="V461" s="169"/>
      <c r="W461" s="169"/>
      <c r="X461" s="169"/>
      <c r="Y461" s="169"/>
      <c r="Z461" s="169"/>
      <c r="AA461" s="169"/>
      <c r="AB461" s="169"/>
      <c r="AC461" s="169"/>
      <c r="AD461" s="169"/>
      <c r="AE461" s="169"/>
      <c r="AF461" s="169"/>
      <c r="AG461" s="617"/>
      <c r="AH461" s="169"/>
      <c r="AI461" s="629"/>
      <c r="AJ461" s="618"/>
      <c r="AK461" s="618"/>
      <c r="AL461" s="618"/>
      <c r="AM461" s="618"/>
      <c r="AN461" s="458"/>
      <c r="AO461" s="618"/>
      <c r="AP461" s="618"/>
      <c r="BA461" s="1305"/>
      <c r="BB461" s="174"/>
      <c r="BC461" s="169"/>
      <c r="BD461" s="1324"/>
      <c r="BE461" s="1324"/>
      <c r="BF461" s="1324"/>
      <c r="BG461" s="1324"/>
    </row>
    <row r="462" spans="1:59" ht="15.75" customHeight="1">
      <c r="B462" s="180"/>
      <c r="C462" s="617"/>
      <c r="D462" s="177"/>
      <c r="E462" s="177"/>
      <c r="G462" s="458"/>
      <c r="I462" s="182"/>
      <c r="J462" s="617"/>
      <c r="K462" s="169"/>
      <c r="L462" s="169"/>
      <c r="M462" s="169"/>
      <c r="P462" s="169"/>
      <c r="Q462" s="169"/>
      <c r="R462" s="169"/>
      <c r="S462" s="458"/>
      <c r="T462" s="169"/>
      <c r="U462" s="169"/>
      <c r="V462" s="169"/>
      <c r="W462" s="169"/>
      <c r="X462" s="169"/>
      <c r="Y462" s="169"/>
      <c r="Z462" s="169"/>
      <c r="AA462" s="169"/>
      <c r="AB462" s="169"/>
      <c r="AC462" s="169"/>
      <c r="AD462" s="169"/>
      <c r="AE462" s="169"/>
      <c r="AF462" s="169"/>
      <c r="AG462" s="617"/>
      <c r="AH462" s="169"/>
      <c r="AI462" s="629"/>
      <c r="AJ462" s="169"/>
      <c r="AL462" s="169"/>
      <c r="AM462" s="618"/>
      <c r="AN462" s="454"/>
      <c r="AO462" s="178"/>
      <c r="AP462" s="178"/>
      <c r="BA462" s="1305"/>
      <c r="BC462" s="169"/>
    </row>
    <row r="463" spans="1:59" ht="15.75" customHeight="1">
      <c r="S463" s="454"/>
      <c r="AN463" s="458"/>
      <c r="AV463" s="177"/>
      <c r="AW463" s="177"/>
      <c r="AX463" s="177"/>
      <c r="BA463" s="1307"/>
      <c r="BC463" s="169"/>
    </row>
    <row r="464" spans="1:59" ht="15.75" customHeight="1">
      <c r="S464" s="454"/>
      <c r="AN464" s="458"/>
      <c r="AU464" s="177"/>
      <c r="AV464" s="177"/>
      <c r="AW464" s="177"/>
      <c r="AX464" s="177"/>
      <c r="BA464" s="1307"/>
      <c r="BC464" s="169"/>
    </row>
    <row r="465" spans="19:55" ht="15.75" customHeight="1">
      <c r="S465" s="454"/>
      <c r="AN465" s="458"/>
      <c r="AU465" s="177"/>
      <c r="AV465" s="177"/>
      <c r="AW465" s="177"/>
      <c r="AX465" s="177"/>
      <c r="BA465" s="1307"/>
      <c r="BC465" s="169"/>
    </row>
    <row r="466" spans="19:55" ht="15.75" customHeight="1">
      <c r="S466" s="454"/>
      <c r="AN466" s="458"/>
      <c r="AU466" s="177"/>
      <c r="AV466" s="177"/>
      <c r="AW466" s="177"/>
      <c r="AX466" s="177"/>
      <c r="BA466" s="1307"/>
      <c r="BC466" s="169"/>
    </row>
    <row r="467" spans="19:55" ht="15.75" customHeight="1">
      <c r="S467" s="454"/>
      <c r="AN467" s="458"/>
      <c r="AU467" s="177"/>
      <c r="AV467" s="177"/>
      <c r="AW467" s="177"/>
      <c r="AX467" s="177"/>
      <c r="BA467" s="1307"/>
      <c r="BC467" s="169"/>
    </row>
    <row r="468" spans="19:55" ht="15.75" customHeight="1">
      <c r="S468" s="454"/>
      <c r="AN468" s="458"/>
      <c r="AU468" s="177"/>
      <c r="AV468" s="177"/>
      <c r="AW468" s="177"/>
      <c r="AX468" s="177"/>
      <c r="BA468" s="1307"/>
      <c r="BC468" s="169"/>
    </row>
    <row r="469" spans="19:55" ht="15.75" customHeight="1">
      <c r="S469" s="454"/>
      <c r="AN469" s="458"/>
      <c r="AU469" s="177"/>
      <c r="AV469" s="177"/>
      <c r="AW469" s="177"/>
      <c r="AX469" s="177"/>
      <c r="BA469" s="1307"/>
      <c r="BC469" s="169"/>
    </row>
    <row r="470" spans="19:55" ht="15.75" customHeight="1">
      <c r="S470" s="454"/>
      <c r="AN470" s="458"/>
      <c r="AU470" s="177"/>
      <c r="AV470" s="177"/>
      <c r="AW470" s="177"/>
      <c r="AX470" s="177"/>
      <c r="BA470" s="1307"/>
      <c r="BC470" s="169"/>
    </row>
    <row r="471" spans="19:55" ht="15.75" customHeight="1">
      <c r="S471" s="454"/>
      <c r="AN471" s="458"/>
      <c r="AU471" s="177"/>
      <c r="AV471" s="177"/>
      <c r="AW471" s="177"/>
      <c r="AX471" s="177"/>
      <c r="BA471" s="1307"/>
      <c r="BC471" s="169"/>
    </row>
    <row r="472" spans="19:55" ht="15.75" customHeight="1">
      <c r="S472" s="454"/>
      <c r="AN472" s="458"/>
      <c r="AU472" s="177"/>
      <c r="AV472" s="177"/>
      <c r="AW472" s="177"/>
      <c r="AX472" s="177"/>
      <c r="BA472" s="1307"/>
      <c r="BC472" s="169"/>
    </row>
    <row r="473" spans="19:55" ht="15.75" customHeight="1">
      <c r="S473" s="454"/>
      <c r="AN473" s="458"/>
      <c r="AU473" s="177"/>
      <c r="AV473" s="177"/>
      <c r="AW473" s="177"/>
      <c r="AX473" s="177"/>
      <c r="BA473" s="1307"/>
      <c r="BC473" s="169"/>
    </row>
    <row r="474" spans="19:55" ht="15.75" customHeight="1">
      <c r="S474" s="454"/>
      <c r="AN474" s="458"/>
      <c r="AU474" s="177"/>
      <c r="AV474" s="177"/>
      <c r="AW474" s="177"/>
      <c r="AX474" s="177"/>
      <c r="BA474" s="1307"/>
      <c r="BC474" s="169"/>
    </row>
    <row r="475" spans="19:55" ht="15.75" customHeight="1">
      <c r="S475" s="454"/>
      <c r="AN475" s="458"/>
      <c r="AU475" s="177"/>
      <c r="BA475" s="1305"/>
      <c r="BC475" s="169"/>
    </row>
    <row r="476" spans="19:55" ht="15.75" customHeight="1">
      <c r="S476" s="454"/>
      <c r="AN476" s="458"/>
      <c r="AU476" s="177"/>
      <c r="BA476" s="1305"/>
      <c r="BC476" s="169"/>
    </row>
    <row r="477" spans="19:55" ht="15.75" customHeight="1">
      <c r="S477" s="454"/>
      <c r="AN477" s="458"/>
      <c r="BA477" s="1305"/>
      <c r="BC477" s="169"/>
    </row>
    <row r="478" spans="19:55" ht="15.75" customHeight="1">
      <c r="S478" s="454"/>
      <c r="AN478" s="458"/>
      <c r="BA478" s="1305"/>
      <c r="BC478" s="169"/>
    </row>
    <row r="479" spans="19:55" ht="15.75" customHeight="1">
      <c r="S479" s="454"/>
      <c r="AN479" s="458"/>
      <c r="BA479" s="1305"/>
      <c r="BC479" s="169"/>
    </row>
    <row r="480" spans="19:55" ht="15.75" customHeight="1">
      <c r="S480" s="454"/>
      <c r="AN480" s="458"/>
      <c r="AV480" s="177"/>
      <c r="AW480" s="177"/>
      <c r="AX480" s="177"/>
      <c r="BA480" s="1307"/>
      <c r="BC480" s="169"/>
    </row>
    <row r="481" spans="19:55" ht="15.75" customHeight="1">
      <c r="S481" s="454"/>
      <c r="AN481" s="458"/>
      <c r="AV481" s="177"/>
      <c r="AW481" s="177"/>
      <c r="AX481" s="177"/>
      <c r="BA481" s="1307"/>
      <c r="BC481" s="169"/>
    </row>
    <row r="482" spans="19:55" ht="15.75" customHeight="1">
      <c r="S482" s="454"/>
      <c r="AN482" s="458"/>
      <c r="AU482" s="177"/>
      <c r="AV482" s="177"/>
      <c r="AW482" s="177"/>
      <c r="AX482" s="177"/>
      <c r="BA482" s="1307"/>
      <c r="BC482" s="169"/>
    </row>
    <row r="483" spans="19:55" ht="15.75" customHeight="1">
      <c r="S483" s="454"/>
      <c r="AN483" s="458"/>
      <c r="AU483" s="177"/>
      <c r="AV483" s="177"/>
      <c r="AW483" s="177"/>
      <c r="AX483" s="177"/>
      <c r="BA483" s="1307"/>
      <c r="BC483" s="169"/>
    </row>
    <row r="484" spans="19:55" ht="15.75" customHeight="1">
      <c r="S484" s="454"/>
      <c r="AN484" s="458"/>
      <c r="AU484" s="177"/>
      <c r="AV484" s="177"/>
      <c r="AW484" s="177"/>
      <c r="AX484" s="177"/>
      <c r="BA484" s="1307"/>
      <c r="BC484" s="169"/>
    </row>
    <row r="485" spans="19:55" ht="15.75" customHeight="1">
      <c r="S485" s="454"/>
      <c r="AN485" s="458"/>
      <c r="AU485" s="177"/>
      <c r="BA485" s="1305"/>
      <c r="BC485" s="169"/>
    </row>
    <row r="486" spans="19:55" ht="15.75" customHeight="1">
      <c r="S486" s="454"/>
      <c r="AN486" s="458"/>
      <c r="AU486" s="177"/>
      <c r="BA486" s="1305"/>
      <c r="BC486" s="169"/>
    </row>
    <row r="487" spans="19:55" ht="15.75" customHeight="1">
      <c r="S487" s="454"/>
      <c r="AN487" s="458"/>
      <c r="BA487" s="1305"/>
      <c r="BC487" s="169"/>
    </row>
    <row r="488" spans="19:55" ht="15.75" customHeight="1">
      <c r="S488" s="454"/>
      <c r="AN488" s="458"/>
      <c r="AV488" s="177"/>
      <c r="AW488" s="177"/>
      <c r="AX488" s="177"/>
      <c r="BA488" s="1307"/>
      <c r="BC488" s="169"/>
    </row>
    <row r="489" spans="19:55" ht="15.75" customHeight="1">
      <c r="S489" s="454"/>
      <c r="AN489" s="458"/>
      <c r="AV489" s="177"/>
      <c r="AW489" s="177"/>
      <c r="AX489" s="177"/>
      <c r="BA489" s="1307"/>
      <c r="BC489" s="169"/>
    </row>
    <row r="490" spans="19:55" ht="15.75" customHeight="1">
      <c r="S490" s="454"/>
      <c r="AN490" s="458"/>
      <c r="AU490" s="177"/>
      <c r="AV490" s="177"/>
      <c r="AW490" s="177"/>
      <c r="AX490" s="177"/>
      <c r="BA490" s="1307"/>
      <c r="BC490" s="169"/>
    </row>
    <row r="491" spans="19:55" ht="15.75" customHeight="1">
      <c r="S491" s="454"/>
      <c r="AN491" s="458"/>
      <c r="AU491" s="177"/>
      <c r="AV491" s="177"/>
      <c r="AW491" s="177"/>
      <c r="AX491" s="177"/>
      <c r="BA491" s="1307"/>
      <c r="BC491" s="169"/>
    </row>
    <row r="492" spans="19:55" ht="15.75" customHeight="1">
      <c r="S492" s="454"/>
      <c r="AN492" s="458"/>
      <c r="AU492" s="177"/>
      <c r="AV492" s="177"/>
      <c r="AW492" s="177"/>
      <c r="AX492" s="177"/>
      <c r="BA492" s="1307"/>
      <c r="BC492" s="169"/>
    </row>
    <row r="493" spans="19:55" ht="15.75" customHeight="1">
      <c r="S493" s="454"/>
      <c r="AN493" s="458"/>
      <c r="AU493" s="177"/>
      <c r="AV493" s="177"/>
      <c r="AW493" s="177"/>
      <c r="AX493" s="177"/>
      <c r="BA493" s="1307"/>
      <c r="BC493" s="169"/>
    </row>
    <row r="494" spans="19:55" ht="15.75" customHeight="1">
      <c r="S494" s="454"/>
      <c r="AN494" s="458"/>
      <c r="AU494" s="177"/>
      <c r="AV494" s="177"/>
      <c r="AW494" s="177"/>
      <c r="AX494" s="177"/>
      <c r="BA494" s="1307"/>
      <c r="BC494" s="169"/>
    </row>
    <row r="495" spans="19:55" ht="15.75" customHeight="1">
      <c r="S495" s="454"/>
      <c r="AN495" s="458"/>
      <c r="AU495" s="177"/>
      <c r="BA495" s="1305"/>
      <c r="BC495" s="169"/>
    </row>
    <row r="496" spans="19:55" ht="15.75" customHeight="1">
      <c r="S496" s="454"/>
      <c r="AN496" s="458"/>
      <c r="AU496" s="177"/>
      <c r="BA496" s="1305"/>
      <c r="BC496" s="169"/>
    </row>
    <row r="497" spans="19:55" ht="15.75" customHeight="1">
      <c r="S497" s="454"/>
      <c r="AN497" s="458"/>
      <c r="BA497" s="1305"/>
      <c r="BC497" s="169"/>
    </row>
    <row r="498" spans="19:55" ht="15.75" customHeight="1">
      <c r="S498" s="454"/>
      <c r="AN498" s="458"/>
      <c r="BA498" s="1305"/>
      <c r="BC498" s="169"/>
    </row>
    <row r="499" spans="19:55" ht="15.75" customHeight="1">
      <c r="S499" s="454"/>
      <c r="AN499" s="458"/>
      <c r="BA499" s="1305"/>
      <c r="BC499" s="169"/>
    </row>
    <row r="500" spans="19:55" ht="15.75" customHeight="1">
      <c r="S500" s="454"/>
      <c r="AN500" s="458"/>
      <c r="BA500" s="1305"/>
      <c r="BC500" s="169"/>
    </row>
    <row r="501" spans="19:55" ht="15.75" customHeight="1">
      <c r="S501" s="454"/>
      <c r="AN501" s="458"/>
      <c r="BA501" s="1305"/>
      <c r="BC501" s="169"/>
    </row>
    <row r="502" spans="19:55" ht="15.75" customHeight="1">
      <c r="S502" s="454"/>
      <c r="AN502" s="458"/>
      <c r="BA502" s="1305"/>
      <c r="BC502" s="169"/>
    </row>
    <row r="503" spans="19:55" ht="15.75" customHeight="1">
      <c r="S503" s="454"/>
      <c r="AN503" s="458"/>
      <c r="BA503" s="1305"/>
      <c r="BC503" s="169"/>
    </row>
    <row r="504" spans="19:55" ht="15.75" customHeight="1">
      <c r="S504" s="454"/>
      <c r="AN504" s="458"/>
      <c r="BA504" s="1305"/>
      <c r="BC504" s="169"/>
    </row>
    <row r="505" spans="19:55" ht="15.75" customHeight="1">
      <c r="S505" s="454"/>
      <c r="AN505" s="458"/>
      <c r="BA505" s="1305"/>
      <c r="BC505" s="169"/>
    </row>
    <row r="506" spans="19:55" ht="15.75" customHeight="1">
      <c r="S506" s="454"/>
      <c r="AN506" s="458"/>
      <c r="BA506" s="1305"/>
      <c r="BC506" s="169"/>
    </row>
    <row r="507" spans="19:55" ht="15.75" customHeight="1">
      <c r="S507" s="454"/>
      <c r="AN507" s="458"/>
      <c r="BA507" s="1305"/>
      <c r="BC507" s="169"/>
    </row>
    <row r="508" spans="19:55" ht="15.75" customHeight="1">
      <c r="S508" s="454"/>
      <c r="AN508" s="458"/>
      <c r="BA508" s="1305"/>
      <c r="BC508" s="169"/>
    </row>
    <row r="509" spans="19:55" ht="15.75" customHeight="1">
      <c r="S509" s="454"/>
      <c r="AN509" s="458"/>
      <c r="BA509" s="1305"/>
      <c r="BC509" s="169"/>
    </row>
    <row r="510" spans="19:55" ht="15.75" customHeight="1">
      <c r="S510" s="454"/>
      <c r="AN510" s="458"/>
      <c r="BA510" s="1305"/>
      <c r="BC510" s="169"/>
    </row>
    <row r="511" spans="19:55" ht="15.75" customHeight="1">
      <c r="S511" s="454"/>
      <c r="AN511" s="458"/>
      <c r="BA511" s="1305"/>
      <c r="BC511" s="169"/>
    </row>
    <row r="512" spans="19:55" ht="15.75" customHeight="1">
      <c r="S512" s="454"/>
      <c r="AN512" s="458"/>
      <c r="BA512" s="1305"/>
      <c r="BC512" s="169"/>
    </row>
    <row r="513" spans="19:55" ht="15.75" customHeight="1">
      <c r="S513" s="454"/>
      <c r="AN513" s="458"/>
      <c r="BA513" s="1305"/>
      <c r="BC513" s="169"/>
    </row>
    <row r="514" spans="19:55" ht="15.75" customHeight="1">
      <c r="S514" s="454"/>
      <c r="AN514" s="458"/>
      <c r="BA514" s="1305"/>
      <c r="BC514" s="169"/>
    </row>
    <row r="515" spans="19:55" ht="15.75" customHeight="1">
      <c r="S515" s="454"/>
      <c r="AN515" s="458"/>
      <c r="BA515" s="1305"/>
      <c r="BC515" s="169"/>
    </row>
    <row r="516" spans="19:55" ht="15.75" customHeight="1">
      <c r="S516" s="454"/>
      <c r="AN516" s="458"/>
      <c r="BA516" s="1305"/>
      <c r="BC516" s="169"/>
    </row>
    <row r="517" spans="19:55" ht="15.75" customHeight="1">
      <c r="S517" s="454"/>
      <c r="AN517" s="458"/>
      <c r="BA517" s="1305"/>
      <c r="BC517" s="169"/>
    </row>
    <row r="518" spans="19:55" ht="15.75" customHeight="1">
      <c r="S518" s="454"/>
      <c r="AN518" s="458"/>
      <c r="BA518" s="1305"/>
      <c r="BC518" s="169"/>
    </row>
    <row r="519" spans="19:55" ht="15.75" customHeight="1">
      <c r="S519" s="454"/>
      <c r="AN519" s="458"/>
      <c r="BA519" s="1305"/>
      <c r="BC519" s="169"/>
    </row>
    <row r="520" spans="19:55" ht="15.75" customHeight="1">
      <c r="S520" s="454"/>
      <c r="AN520" s="458"/>
      <c r="BA520" s="1305"/>
      <c r="BC520" s="169"/>
    </row>
    <row r="521" spans="19:55" ht="15.75" customHeight="1">
      <c r="S521" s="454"/>
      <c r="AN521" s="458"/>
      <c r="BA521" s="1305"/>
      <c r="BC521" s="169"/>
    </row>
    <row r="522" spans="19:55" ht="15.75" customHeight="1">
      <c r="S522" s="454"/>
      <c r="AN522" s="458"/>
      <c r="BA522" s="1305"/>
      <c r="BC522" s="169"/>
    </row>
    <row r="523" spans="19:55" ht="15.75" customHeight="1">
      <c r="S523" s="454"/>
      <c r="AN523" s="458"/>
      <c r="BA523" s="1305"/>
      <c r="BC523" s="169"/>
    </row>
    <row r="524" spans="19:55" ht="15.75" customHeight="1">
      <c r="S524" s="454"/>
      <c r="AN524" s="458"/>
      <c r="BA524" s="1305"/>
      <c r="BC524" s="169"/>
    </row>
    <row r="525" spans="19:55" ht="15.75" customHeight="1">
      <c r="S525" s="454"/>
      <c r="AN525" s="458"/>
      <c r="BA525" s="1305"/>
      <c r="BC525" s="169"/>
    </row>
    <row r="526" spans="19:55" ht="15.75" customHeight="1">
      <c r="S526" s="454"/>
      <c r="AN526" s="458"/>
      <c r="BA526" s="1305"/>
      <c r="BC526" s="169"/>
    </row>
    <row r="527" spans="19:55" ht="15.75" customHeight="1">
      <c r="S527" s="454"/>
      <c r="AN527" s="458"/>
      <c r="BA527" s="1305"/>
      <c r="BC527" s="169"/>
    </row>
    <row r="528" spans="19:55" ht="15.75" customHeight="1">
      <c r="S528" s="454"/>
      <c r="AN528" s="458"/>
      <c r="BA528" s="1305"/>
      <c r="BC528" s="169"/>
    </row>
    <row r="529" spans="19:55" ht="15.75" customHeight="1">
      <c r="S529" s="454"/>
      <c r="AN529" s="458"/>
      <c r="BA529" s="1305"/>
      <c r="BC529" s="169"/>
    </row>
    <row r="530" spans="19:55" ht="15.75" customHeight="1">
      <c r="S530" s="454"/>
      <c r="AN530" s="458"/>
      <c r="BA530" s="1305"/>
      <c r="BC530" s="169"/>
    </row>
    <row r="531" spans="19:55" ht="15.75" customHeight="1">
      <c r="S531" s="454"/>
      <c r="AN531" s="458"/>
      <c r="BA531" s="1305"/>
      <c r="BC531" s="169"/>
    </row>
    <row r="532" spans="19:55" ht="15.75" customHeight="1">
      <c r="S532" s="454"/>
      <c r="AN532" s="458"/>
      <c r="BA532" s="1305"/>
      <c r="BC532" s="169"/>
    </row>
    <row r="533" spans="19:55" ht="15.75" customHeight="1">
      <c r="S533" s="454"/>
      <c r="AN533" s="458"/>
      <c r="BA533" s="1305"/>
      <c r="BC533" s="169"/>
    </row>
    <row r="534" spans="19:55" ht="15.75" customHeight="1">
      <c r="S534" s="454"/>
      <c r="AN534" s="458"/>
      <c r="BA534" s="1305"/>
      <c r="BC534" s="169"/>
    </row>
    <row r="535" spans="19:55" ht="15.75" customHeight="1">
      <c r="S535" s="454"/>
      <c r="AN535" s="458"/>
      <c r="BA535" s="1305"/>
      <c r="BC535" s="169"/>
    </row>
    <row r="536" spans="19:55" ht="15.75" customHeight="1">
      <c r="S536" s="454"/>
      <c r="AN536" s="458"/>
      <c r="BA536" s="1305"/>
      <c r="BC536" s="169"/>
    </row>
    <row r="537" spans="19:55" ht="15.75" customHeight="1">
      <c r="S537" s="454"/>
      <c r="AN537" s="458"/>
      <c r="BA537" s="1305"/>
      <c r="BC537" s="169"/>
    </row>
    <row r="538" spans="19:55" ht="15.75" customHeight="1">
      <c r="S538" s="454"/>
      <c r="AN538" s="458"/>
      <c r="BA538" s="1305"/>
      <c r="BC538" s="169"/>
    </row>
    <row r="539" spans="19:55" ht="15.75" customHeight="1">
      <c r="S539" s="454"/>
      <c r="AN539" s="458"/>
      <c r="BA539" s="1305"/>
      <c r="BC539" s="169"/>
    </row>
    <row r="540" spans="19:55" ht="15.75" customHeight="1">
      <c r="S540" s="454"/>
      <c r="AN540" s="458"/>
      <c r="BA540" s="1305"/>
      <c r="BC540" s="169"/>
    </row>
    <row r="541" spans="19:55" ht="15.75" customHeight="1">
      <c r="S541" s="454"/>
      <c r="AN541" s="458"/>
      <c r="BA541" s="1305"/>
      <c r="BC541" s="169"/>
    </row>
    <row r="542" spans="19:55" ht="15.75" customHeight="1">
      <c r="S542" s="454"/>
      <c r="AN542" s="458"/>
      <c r="BA542" s="1305"/>
      <c r="BC542" s="169"/>
    </row>
    <row r="543" spans="19:55" ht="15.75" customHeight="1">
      <c r="S543" s="454"/>
      <c r="AN543" s="458"/>
      <c r="BA543" s="1305"/>
      <c r="BC543" s="169"/>
    </row>
    <row r="544" spans="19:55" ht="15.75" customHeight="1">
      <c r="S544" s="454"/>
      <c r="AN544" s="458"/>
      <c r="BA544" s="1305"/>
      <c r="BC544" s="169"/>
    </row>
    <row r="545" spans="19:55" ht="15.75" customHeight="1">
      <c r="S545" s="454"/>
      <c r="AN545" s="458"/>
      <c r="BA545" s="1305"/>
      <c r="BC545" s="169"/>
    </row>
    <row r="546" spans="19:55" ht="15.75" customHeight="1">
      <c r="S546" s="454"/>
      <c r="AN546" s="458"/>
      <c r="BA546" s="1305"/>
      <c r="BC546" s="169"/>
    </row>
    <row r="547" spans="19:55" ht="15.75" customHeight="1">
      <c r="S547" s="454"/>
      <c r="AN547" s="458"/>
      <c r="BA547" s="1305"/>
      <c r="BC547" s="169"/>
    </row>
    <row r="548" spans="19:55" ht="15.75" customHeight="1">
      <c r="S548" s="454"/>
      <c r="AN548" s="458"/>
      <c r="BA548" s="1305"/>
      <c r="BC548" s="169"/>
    </row>
    <row r="549" spans="19:55" ht="15.75" customHeight="1">
      <c r="S549" s="454"/>
      <c r="AN549" s="458"/>
      <c r="BA549" s="1305"/>
      <c r="BC549" s="169"/>
    </row>
    <row r="550" spans="19:55" ht="15.75" customHeight="1">
      <c r="S550" s="454"/>
      <c r="AN550" s="458"/>
      <c r="BA550" s="1305"/>
      <c r="BC550" s="169"/>
    </row>
    <row r="551" spans="19:55" ht="15.75" customHeight="1">
      <c r="S551" s="454"/>
      <c r="AN551" s="458"/>
      <c r="BA551" s="1305"/>
      <c r="BC551" s="169"/>
    </row>
    <row r="552" spans="19:55" ht="15.75" customHeight="1">
      <c r="S552" s="454"/>
      <c r="AN552" s="458"/>
      <c r="BA552" s="1305"/>
      <c r="BC552" s="169"/>
    </row>
    <row r="553" spans="19:55" ht="15.75" customHeight="1">
      <c r="S553" s="454"/>
      <c r="AN553" s="458"/>
      <c r="BA553" s="1305"/>
      <c r="BC553" s="169"/>
    </row>
    <row r="554" spans="19:55" ht="15.75" customHeight="1">
      <c r="S554" s="454"/>
      <c r="AN554" s="458"/>
      <c r="BA554" s="1305"/>
      <c r="BC554" s="169"/>
    </row>
    <row r="555" spans="19:55" ht="15.75" customHeight="1">
      <c r="S555" s="454"/>
      <c r="AN555" s="458"/>
      <c r="BA555" s="1305"/>
      <c r="BC555" s="169"/>
    </row>
    <row r="556" spans="19:55" ht="15.75" customHeight="1">
      <c r="S556" s="454"/>
      <c r="AN556" s="458"/>
      <c r="BA556" s="1305"/>
      <c r="BC556" s="169"/>
    </row>
    <row r="557" spans="19:55" ht="15.75" customHeight="1">
      <c r="S557" s="454"/>
      <c r="AN557" s="458"/>
      <c r="BA557" s="1305"/>
      <c r="BC557" s="169"/>
    </row>
    <row r="558" spans="19:55" ht="15.75" customHeight="1">
      <c r="S558" s="454"/>
      <c r="AN558" s="458"/>
      <c r="BA558" s="1305"/>
      <c r="BC558" s="169"/>
    </row>
    <row r="559" spans="19:55" ht="15.75" customHeight="1">
      <c r="S559" s="454"/>
      <c r="AN559" s="458"/>
      <c r="BA559" s="1305"/>
      <c r="BC559" s="169"/>
    </row>
    <row r="560" spans="19:55" ht="15.75" customHeight="1">
      <c r="S560" s="454"/>
      <c r="AN560" s="458"/>
      <c r="BA560" s="1305"/>
      <c r="BC560" s="169"/>
    </row>
    <row r="561" spans="19:55" ht="15.75" customHeight="1">
      <c r="S561" s="454"/>
      <c r="AN561" s="458"/>
      <c r="BA561" s="1305"/>
      <c r="BC561" s="169"/>
    </row>
    <row r="562" spans="19:55" ht="15.75" customHeight="1">
      <c r="S562" s="454"/>
      <c r="AN562" s="458"/>
      <c r="BA562" s="1305"/>
      <c r="BC562" s="169"/>
    </row>
    <row r="563" spans="19:55" ht="15.75" customHeight="1">
      <c r="S563" s="454"/>
      <c r="AN563" s="458"/>
      <c r="BA563" s="1305"/>
      <c r="BC563" s="169"/>
    </row>
    <row r="564" spans="19:55" ht="15.75" customHeight="1">
      <c r="S564" s="454"/>
      <c r="AN564" s="458"/>
      <c r="BA564" s="1305"/>
      <c r="BC564" s="169"/>
    </row>
    <row r="565" spans="19:55" ht="15.75" customHeight="1">
      <c r="S565" s="454"/>
      <c r="AN565" s="458"/>
      <c r="BA565" s="1305"/>
      <c r="BC565" s="169"/>
    </row>
    <row r="566" spans="19:55" ht="15.75" customHeight="1">
      <c r="S566" s="454"/>
      <c r="AN566" s="458"/>
      <c r="BA566" s="1305"/>
      <c r="BC566" s="169"/>
    </row>
    <row r="567" spans="19:55" ht="15.75" customHeight="1">
      <c r="S567" s="454"/>
      <c r="AN567" s="458"/>
      <c r="BA567" s="1305"/>
      <c r="BC567" s="169"/>
    </row>
    <row r="568" spans="19:55" ht="15.75" customHeight="1">
      <c r="S568" s="454"/>
      <c r="AN568" s="458"/>
      <c r="BA568" s="1305"/>
      <c r="BC568" s="169"/>
    </row>
    <row r="569" spans="19:55" ht="15.75" customHeight="1">
      <c r="S569" s="454"/>
      <c r="AN569" s="458"/>
      <c r="BA569" s="1305"/>
      <c r="BC569" s="169"/>
    </row>
    <row r="570" spans="19:55" ht="15.75" customHeight="1">
      <c r="S570" s="454"/>
      <c r="AN570" s="458"/>
      <c r="BA570" s="1305"/>
      <c r="BC570" s="169"/>
    </row>
    <row r="571" spans="19:55" ht="15.75" customHeight="1">
      <c r="S571" s="454"/>
      <c r="AN571" s="458"/>
      <c r="BA571" s="1305"/>
      <c r="BC571" s="169"/>
    </row>
    <row r="572" spans="19:55" ht="15.75" customHeight="1">
      <c r="S572" s="454"/>
      <c r="AN572" s="458"/>
      <c r="BA572" s="1305"/>
      <c r="BC572" s="169"/>
    </row>
    <row r="573" spans="19:55" ht="15.75" customHeight="1">
      <c r="S573" s="454"/>
      <c r="AN573" s="458"/>
      <c r="BA573" s="1305"/>
      <c r="BC573" s="169"/>
    </row>
    <row r="574" spans="19:55" ht="15.75" customHeight="1">
      <c r="S574" s="454"/>
      <c r="AN574" s="458"/>
      <c r="BA574" s="1305"/>
      <c r="BC574" s="169"/>
    </row>
    <row r="575" spans="19:55" ht="15.75" customHeight="1">
      <c r="S575" s="454"/>
      <c r="AN575" s="458"/>
      <c r="BA575" s="1305"/>
      <c r="BC575" s="169"/>
    </row>
    <row r="576" spans="19:55" ht="15.75" customHeight="1">
      <c r="S576" s="454"/>
      <c r="AN576" s="458"/>
      <c r="BA576" s="1305"/>
      <c r="BC576" s="169"/>
    </row>
    <row r="577" spans="19:55" ht="15.75" customHeight="1">
      <c r="S577" s="454"/>
      <c r="AN577" s="458"/>
      <c r="BA577" s="1305"/>
      <c r="BC577" s="169"/>
    </row>
    <row r="578" spans="19:55" ht="15.75" customHeight="1">
      <c r="S578" s="454"/>
      <c r="AN578" s="458"/>
      <c r="BA578" s="1305"/>
      <c r="BC578" s="169"/>
    </row>
    <row r="579" spans="19:55" ht="15.75" customHeight="1">
      <c r="S579" s="454"/>
      <c r="AN579" s="458"/>
      <c r="BA579" s="1305"/>
      <c r="BC579" s="169"/>
    </row>
    <row r="580" spans="19:55" ht="15.75" customHeight="1">
      <c r="S580" s="454"/>
      <c r="AN580" s="458"/>
      <c r="BA580" s="1305"/>
      <c r="BC580" s="169"/>
    </row>
    <row r="581" spans="19:55" ht="15.75" customHeight="1">
      <c r="S581" s="454"/>
      <c r="AN581" s="458"/>
      <c r="BA581" s="1305"/>
      <c r="BC581" s="169"/>
    </row>
    <row r="582" spans="19:55" ht="15.75" customHeight="1">
      <c r="S582" s="454"/>
      <c r="AN582" s="458"/>
      <c r="BA582" s="1305"/>
      <c r="BC582" s="169"/>
    </row>
    <row r="583" spans="19:55" ht="15.75" customHeight="1">
      <c r="S583" s="454"/>
      <c r="AN583" s="458"/>
      <c r="BA583" s="1305"/>
      <c r="BC583" s="169"/>
    </row>
    <row r="584" spans="19:55" ht="15.75" customHeight="1">
      <c r="S584" s="454"/>
      <c r="AN584" s="458"/>
      <c r="BA584" s="1305"/>
      <c r="BC584" s="169"/>
    </row>
    <row r="585" spans="19:55" ht="15.75" customHeight="1">
      <c r="S585" s="454"/>
      <c r="AN585" s="458"/>
      <c r="BA585" s="1305"/>
      <c r="BC585" s="169"/>
    </row>
    <row r="586" spans="19:55" ht="15.75" customHeight="1">
      <c r="S586" s="454"/>
      <c r="AN586" s="458"/>
      <c r="BA586" s="1305"/>
      <c r="BC586" s="169"/>
    </row>
    <row r="587" spans="19:55" ht="15.75" customHeight="1">
      <c r="S587" s="454"/>
      <c r="AN587" s="458"/>
      <c r="BA587" s="1305"/>
      <c r="BC587" s="169"/>
    </row>
    <row r="588" spans="19:55" ht="15.75" customHeight="1">
      <c r="S588" s="454"/>
      <c r="AN588" s="458"/>
      <c r="BA588" s="1305"/>
      <c r="BC588" s="169"/>
    </row>
    <row r="589" spans="19:55" ht="15.75" customHeight="1">
      <c r="S589" s="454"/>
      <c r="AN589" s="458"/>
      <c r="BA589" s="1305"/>
      <c r="BC589" s="169"/>
    </row>
    <row r="590" spans="19:55" ht="15.75" customHeight="1">
      <c r="S590" s="454"/>
      <c r="AN590" s="458"/>
      <c r="BA590" s="1305"/>
      <c r="BC590" s="169"/>
    </row>
    <row r="591" spans="19:55" ht="15.75" customHeight="1">
      <c r="S591" s="454"/>
      <c r="AN591" s="458"/>
      <c r="BA591" s="1305"/>
      <c r="BC591" s="169"/>
    </row>
    <row r="592" spans="19:55" ht="15.75" customHeight="1">
      <c r="S592" s="454"/>
      <c r="AN592" s="458"/>
      <c r="BA592" s="1305"/>
      <c r="BC592" s="169"/>
    </row>
    <row r="593" spans="19:55" ht="15.75" customHeight="1">
      <c r="S593" s="454"/>
      <c r="AN593" s="458"/>
      <c r="BA593" s="1305"/>
      <c r="BC593" s="169"/>
    </row>
    <row r="594" spans="19:55" ht="15.75" customHeight="1">
      <c r="S594" s="454"/>
      <c r="AN594" s="458"/>
      <c r="BA594" s="1305"/>
      <c r="BC594" s="169"/>
    </row>
    <row r="595" spans="19:55" ht="15.75" customHeight="1">
      <c r="S595" s="454"/>
      <c r="AN595" s="458"/>
      <c r="BA595" s="1305"/>
      <c r="BC595" s="169"/>
    </row>
    <row r="596" spans="19:55" ht="15.75" customHeight="1">
      <c r="S596" s="454"/>
      <c r="AN596" s="458"/>
      <c r="BA596" s="1305"/>
      <c r="BC596" s="169"/>
    </row>
    <row r="597" spans="19:55" ht="15.75" customHeight="1">
      <c r="S597" s="454"/>
      <c r="AN597" s="458"/>
      <c r="BA597" s="1305"/>
      <c r="BC597" s="169"/>
    </row>
    <row r="598" spans="19:55" ht="15.75" customHeight="1">
      <c r="S598" s="454"/>
      <c r="AN598" s="458"/>
      <c r="BA598" s="1305"/>
      <c r="BC598" s="169"/>
    </row>
    <row r="599" spans="19:55" ht="15.75" customHeight="1">
      <c r="S599" s="454"/>
      <c r="AN599" s="458"/>
      <c r="BA599" s="1305"/>
      <c r="BC599" s="169"/>
    </row>
    <row r="600" spans="19:55" ht="15.75" customHeight="1">
      <c r="S600" s="454"/>
      <c r="AN600" s="458"/>
      <c r="BA600" s="1305"/>
      <c r="BC600" s="169"/>
    </row>
    <row r="601" spans="19:55" ht="15.75" customHeight="1">
      <c r="S601" s="454"/>
      <c r="AN601" s="458"/>
      <c r="BA601" s="1305"/>
      <c r="BC601" s="169"/>
    </row>
    <row r="602" spans="19:55" ht="15.75" customHeight="1">
      <c r="S602" s="454"/>
      <c r="AN602" s="458"/>
      <c r="BA602" s="1305"/>
      <c r="BC602" s="169"/>
    </row>
    <row r="603" spans="19:55" ht="15.75" customHeight="1">
      <c r="S603" s="454"/>
      <c r="AN603" s="458"/>
      <c r="BA603" s="1305"/>
      <c r="BC603" s="169"/>
    </row>
    <row r="604" spans="19:55" ht="15.75" customHeight="1">
      <c r="S604" s="454"/>
      <c r="AN604" s="458"/>
      <c r="BA604" s="1305"/>
      <c r="BC604" s="169"/>
    </row>
    <row r="605" spans="19:55" ht="15.75" customHeight="1">
      <c r="S605" s="454"/>
      <c r="AN605" s="458"/>
      <c r="BA605" s="1305"/>
      <c r="BC605" s="169"/>
    </row>
    <row r="606" spans="19:55" ht="15.75" customHeight="1">
      <c r="S606" s="454"/>
      <c r="AN606" s="458"/>
      <c r="BA606" s="1305"/>
      <c r="BC606" s="169"/>
    </row>
    <row r="607" spans="19:55" ht="15.75" customHeight="1">
      <c r="S607" s="454"/>
      <c r="AN607" s="458"/>
      <c r="BA607" s="1305"/>
      <c r="BC607" s="169"/>
    </row>
    <row r="608" spans="19:55" ht="15.75" customHeight="1">
      <c r="S608" s="454"/>
      <c r="AN608" s="458"/>
      <c r="BA608" s="1305"/>
      <c r="BC608" s="169"/>
    </row>
    <row r="609" spans="19:55" ht="15.75" customHeight="1">
      <c r="S609" s="454"/>
      <c r="AN609" s="458"/>
      <c r="BA609" s="1305"/>
      <c r="BC609" s="169"/>
    </row>
    <row r="610" spans="19:55" ht="15.75" customHeight="1">
      <c r="S610" s="454"/>
      <c r="AN610" s="458"/>
      <c r="BA610" s="1305"/>
      <c r="BC610" s="169"/>
    </row>
    <row r="611" spans="19:55" ht="15.75" customHeight="1">
      <c r="S611" s="454"/>
      <c r="AN611" s="458"/>
      <c r="BA611" s="1305"/>
      <c r="BC611" s="169"/>
    </row>
    <row r="612" spans="19:55" ht="15.75" customHeight="1">
      <c r="S612" s="454"/>
      <c r="AN612" s="458"/>
      <c r="BA612" s="1305"/>
      <c r="BC612" s="169"/>
    </row>
    <row r="613" spans="19:55" ht="15.75" customHeight="1">
      <c r="S613" s="454"/>
      <c r="AN613" s="458"/>
      <c r="BA613" s="1305"/>
      <c r="BC613" s="169"/>
    </row>
    <row r="614" spans="19:55" ht="15.75" customHeight="1">
      <c r="S614" s="454"/>
      <c r="AN614" s="458"/>
      <c r="BA614" s="1305"/>
      <c r="BC614" s="169"/>
    </row>
    <row r="615" spans="19:55" ht="15.75" customHeight="1">
      <c r="S615" s="454"/>
      <c r="AN615" s="458"/>
      <c r="BA615" s="1305"/>
      <c r="BC615" s="169"/>
    </row>
    <row r="616" spans="19:55" ht="15.75" customHeight="1">
      <c r="S616" s="454"/>
      <c r="AN616" s="458"/>
      <c r="BA616" s="1305"/>
      <c r="BC616" s="169"/>
    </row>
    <row r="617" spans="19:55" ht="15.75" customHeight="1">
      <c r="S617" s="454"/>
      <c r="AN617" s="458"/>
      <c r="BA617" s="1305"/>
      <c r="BC617" s="169"/>
    </row>
    <row r="618" spans="19:55" ht="15.75" customHeight="1">
      <c r="S618" s="454"/>
      <c r="AN618" s="458"/>
      <c r="BA618" s="1305"/>
      <c r="BC618" s="169"/>
    </row>
    <row r="619" spans="19:55" ht="15.75" customHeight="1">
      <c r="S619" s="454"/>
      <c r="AN619" s="458"/>
      <c r="BA619" s="1305"/>
      <c r="BC619" s="169"/>
    </row>
    <row r="620" spans="19:55" ht="15.75" customHeight="1">
      <c r="S620" s="454"/>
      <c r="AN620" s="458"/>
      <c r="BA620" s="1305"/>
      <c r="BC620" s="169"/>
    </row>
    <row r="621" spans="19:55" ht="15.75" customHeight="1">
      <c r="S621" s="454"/>
      <c r="AN621" s="458"/>
      <c r="BA621" s="1305"/>
      <c r="BC621" s="169"/>
    </row>
    <row r="622" spans="19:55" ht="15.75" customHeight="1">
      <c r="S622" s="454"/>
      <c r="AN622" s="458"/>
      <c r="BA622" s="1305"/>
      <c r="BC622" s="169"/>
    </row>
    <row r="623" spans="19:55" ht="15.75" customHeight="1">
      <c r="S623" s="454"/>
      <c r="AN623" s="458"/>
      <c r="BA623" s="1305"/>
      <c r="BC623" s="169"/>
    </row>
    <row r="624" spans="19:55" ht="15.75" customHeight="1">
      <c r="S624" s="454"/>
      <c r="AN624" s="458"/>
      <c r="BA624" s="1305"/>
      <c r="BC624" s="169"/>
    </row>
    <row r="625" spans="19:55" ht="15.75" customHeight="1">
      <c r="S625" s="454"/>
      <c r="AN625" s="458"/>
      <c r="BA625" s="1305"/>
      <c r="BC625" s="169"/>
    </row>
    <row r="626" spans="19:55" ht="15.75" customHeight="1">
      <c r="S626" s="454"/>
      <c r="AN626" s="458"/>
      <c r="BA626" s="1305"/>
      <c r="BC626" s="169"/>
    </row>
    <row r="627" spans="19:55" ht="15.75" customHeight="1">
      <c r="S627" s="454"/>
      <c r="AN627" s="458"/>
      <c r="BA627" s="1305"/>
      <c r="BC627" s="169"/>
    </row>
    <row r="628" spans="19:55" ht="15.75" customHeight="1">
      <c r="S628" s="454"/>
      <c r="AN628" s="458"/>
      <c r="BA628" s="1305"/>
      <c r="BC628" s="169"/>
    </row>
    <row r="629" spans="19:55" ht="15.75" customHeight="1">
      <c r="S629" s="454"/>
      <c r="AN629" s="458"/>
      <c r="BA629" s="1305"/>
      <c r="BC629" s="169"/>
    </row>
    <row r="630" spans="19:55" ht="15.75" customHeight="1">
      <c r="S630" s="454"/>
      <c r="AN630" s="458"/>
      <c r="BA630" s="1305"/>
      <c r="BC630" s="169"/>
    </row>
    <row r="631" spans="19:55" ht="15.75" customHeight="1">
      <c r="S631" s="454"/>
      <c r="AN631" s="458"/>
      <c r="BA631" s="1305"/>
      <c r="BC631" s="169"/>
    </row>
    <row r="632" spans="19:55" ht="15.75" customHeight="1">
      <c r="S632" s="454"/>
      <c r="AN632" s="458"/>
      <c r="BA632" s="1305"/>
      <c r="BC632" s="169"/>
    </row>
    <row r="633" spans="19:55" ht="15.75" customHeight="1">
      <c r="S633" s="454"/>
      <c r="AN633" s="458"/>
      <c r="BA633" s="1305"/>
      <c r="BC633" s="169"/>
    </row>
    <row r="634" spans="19:55" ht="15.75" customHeight="1">
      <c r="S634" s="454"/>
      <c r="AN634" s="458"/>
      <c r="BA634" s="1305"/>
      <c r="BC634" s="169"/>
    </row>
    <row r="635" spans="19:55" ht="15.75" customHeight="1">
      <c r="S635" s="454"/>
      <c r="AN635" s="458"/>
      <c r="BA635" s="1305"/>
      <c r="BC635" s="169"/>
    </row>
    <row r="636" spans="19:55" ht="15.75" customHeight="1">
      <c r="S636" s="454"/>
      <c r="AN636" s="458"/>
      <c r="BA636" s="1305"/>
      <c r="BC636" s="169"/>
    </row>
    <row r="637" spans="19:55" ht="15.75" customHeight="1">
      <c r="S637" s="454"/>
      <c r="AN637" s="458"/>
      <c r="BA637" s="1305"/>
      <c r="BC637" s="169"/>
    </row>
    <row r="638" spans="19:55" ht="15.75" customHeight="1">
      <c r="S638" s="454"/>
      <c r="AN638" s="458"/>
      <c r="BA638" s="1305"/>
      <c r="BC638" s="169"/>
    </row>
    <row r="639" spans="19:55" ht="15.75" customHeight="1">
      <c r="S639" s="454"/>
      <c r="AN639" s="458"/>
      <c r="BA639" s="1305"/>
      <c r="BC639" s="169"/>
    </row>
    <row r="640" spans="19:55" ht="15.75" customHeight="1">
      <c r="S640" s="454"/>
      <c r="AN640" s="458"/>
      <c r="BA640" s="1305"/>
      <c r="BC640" s="169"/>
    </row>
    <row r="641" spans="19:55" ht="15.75" customHeight="1">
      <c r="S641" s="454"/>
      <c r="AN641" s="458"/>
      <c r="BA641" s="1305"/>
      <c r="BC641" s="169"/>
    </row>
    <row r="642" spans="19:55" ht="15.75" customHeight="1">
      <c r="S642" s="454"/>
      <c r="AN642" s="458"/>
      <c r="BA642" s="1305"/>
      <c r="BC642" s="169"/>
    </row>
    <row r="643" spans="19:55" ht="15.75" customHeight="1">
      <c r="S643" s="454"/>
      <c r="AN643" s="458"/>
      <c r="BA643" s="1305"/>
      <c r="BC643" s="169"/>
    </row>
    <row r="644" spans="19:55" ht="15.75" customHeight="1">
      <c r="S644" s="454"/>
      <c r="AN644" s="458"/>
      <c r="BA644" s="1305"/>
      <c r="BC644" s="169"/>
    </row>
    <row r="645" spans="19:55" ht="15.75" customHeight="1">
      <c r="S645" s="454"/>
      <c r="AN645" s="458"/>
      <c r="BA645" s="1305"/>
      <c r="BC645" s="169"/>
    </row>
    <row r="646" spans="19:55" ht="15.75" customHeight="1">
      <c r="S646" s="454"/>
      <c r="AN646" s="458"/>
      <c r="BA646" s="1305"/>
      <c r="BC646" s="169"/>
    </row>
    <row r="647" spans="19:55" ht="15.75" customHeight="1">
      <c r="S647" s="454"/>
      <c r="AN647" s="458"/>
      <c r="BA647" s="1305"/>
      <c r="BC647" s="169"/>
    </row>
    <row r="648" spans="19:55" ht="15.75" customHeight="1">
      <c r="S648" s="454"/>
      <c r="AN648" s="458"/>
      <c r="BA648" s="1305"/>
      <c r="BC648" s="169"/>
    </row>
    <row r="649" spans="19:55" ht="15.75" customHeight="1">
      <c r="S649" s="454"/>
      <c r="AN649" s="458"/>
      <c r="BA649" s="1305"/>
      <c r="BC649" s="169"/>
    </row>
    <row r="650" spans="19:55" ht="15.75" customHeight="1">
      <c r="S650" s="454"/>
      <c r="AN650" s="458"/>
      <c r="BA650" s="1305"/>
      <c r="BC650" s="169"/>
    </row>
    <row r="651" spans="19:55" ht="15.75" customHeight="1">
      <c r="S651" s="454"/>
      <c r="AN651" s="458"/>
      <c r="BA651" s="1305"/>
      <c r="BC651" s="169"/>
    </row>
    <row r="652" spans="19:55" ht="15.75" customHeight="1">
      <c r="S652" s="454"/>
      <c r="AN652" s="458"/>
      <c r="BA652" s="1305"/>
      <c r="BC652" s="169"/>
    </row>
    <row r="653" spans="19:55" ht="15.75" customHeight="1">
      <c r="S653" s="454"/>
      <c r="AN653" s="458"/>
      <c r="BA653" s="1305"/>
      <c r="BC653" s="169"/>
    </row>
    <row r="654" spans="19:55" ht="15.75" customHeight="1">
      <c r="S654" s="454"/>
      <c r="AN654" s="458"/>
      <c r="BA654" s="1305"/>
      <c r="BC654" s="169"/>
    </row>
    <row r="655" spans="19:55" ht="15.75" customHeight="1">
      <c r="S655" s="454"/>
      <c r="AN655" s="458"/>
      <c r="BA655" s="1305"/>
      <c r="BC655" s="169"/>
    </row>
    <row r="656" spans="19:55" ht="15.75" customHeight="1">
      <c r="S656" s="454"/>
      <c r="AN656" s="458"/>
      <c r="BA656" s="1305"/>
      <c r="BC656" s="169"/>
    </row>
    <row r="657" spans="19:55" ht="15.75" customHeight="1">
      <c r="S657" s="454"/>
      <c r="AN657" s="458"/>
      <c r="BA657" s="1305"/>
      <c r="BC657" s="169"/>
    </row>
    <row r="658" spans="19:55" ht="15.75" customHeight="1">
      <c r="S658" s="454"/>
      <c r="AN658" s="458"/>
      <c r="BA658" s="1305"/>
      <c r="BC658" s="169"/>
    </row>
    <row r="659" spans="19:55" ht="15.75" customHeight="1">
      <c r="S659" s="454"/>
      <c r="AN659" s="458"/>
      <c r="BA659" s="1305"/>
      <c r="BC659" s="169"/>
    </row>
    <row r="660" spans="19:55" ht="15.75" customHeight="1">
      <c r="S660" s="454"/>
      <c r="AN660" s="458"/>
      <c r="BA660" s="1305"/>
      <c r="BC660" s="169"/>
    </row>
    <row r="661" spans="19:55" ht="15.75" customHeight="1">
      <c r="S661" s="454"/>
      <c r="AN661" s="458"/>
      <c r="BA661" s="1305"/>
      <c r="BC661" s="169"/>
    </row>
    <row r="662" spans="19:55" ht="15.75" customHeight="1">
      <c r="S662" s="454"/>
      <c r="AN662" s="458"/>
      <c r="BA662" s="1305"/>
      <c r="BC662" s="169"/>
    </row>
    <row r="663" spans="19:55" ht="15.75" customHeight="1">
      <c r="S663" s="454"/>
      <c r="AN663" s="458"/>
      <c r="BA663" s="1305"/>
      <c r="BC663" s="169"/>
    </row>
    <row r="664" spans="19:55" ht="15.75" customHeight="1">
      <c r="S664" s="454"/>
      <c r="AN664" s="458"/>
      <c r="BA664" s="1305"/>
      <c r="BC664" s="169"/>
    </row>
    <row r="665" spans="19:55" ht="15.75" customHeight="1">
      <c r="S665" s="454"/>
      <c r="AN665" s="458"/>
      <c r="BA665" s="1305"/>
      <c r="BC665" s="169"/>
    </row>
    <row r="666" spans="19:55" ht="15.75" customHeight="1">
      <c r="S666" s="454"/>
      <c r="AN666" s="458"/>
      <c r="BA666" s="1305"/>
      <c r="BC666" s="169"/>
    </row>
    <row r="667" spans="19:55" ht="15.75" customHeight="1">
      <c r="S667" s="454"/>
      <c r="AN667" s="458"/>
      <c r="BA667" s="1305"/>
      <c r="BC667" s="169"/>
    </row>
    <row r="668" spans="19:55" ht="15.75" customHeight="1">
      <c r="S668" s="454"/>
      <c r="AN668" s="458"/>
      <c r="BA668" s="1305"/>
      <c r="BC668" s="169"/>
    </row>
    <row r="669" spans="19:55" ht="15.75" customHeight="1">
      <c r="S669" s="454"/>
      <c r="AN669" s="458"/>
      <c r="BA669" s="1305"/>
      <c r="BC669" s="169"/>
    </row>
    <row r="670" spans="19:55" ht="15.75" customHeight="1">
      <c r="S670" s="454"/>
      <c r="AN670" s="458"/>
      <c r="BA670" s="1305"/>
      <c r="BC670" s="169"/>
    </row>
    <row r="671" spans="19:55" ht="15.75" customHeight="1">
      <c r="S671" s="454"/>
      <c r="AN671" s="458"/>
      <c r="BA671" s="1305"/>
      <c r="BC671" s="169"/>
    </row>
    <row r="672" spans="19:55" ht="15.75" customHeight="1">
      <c r="S672" s="454"/>
      <c r="AN672" s="458"/>
      <c r="BA672" s="1305"/>
      <c r="BC672" s="169"/>
    </row>
    <row r="673" spans="19:55" ht="15.75" customHeight="1">
      <c r="S673" s="454"/>
      <c r="AN673" s="458"/>
      <c r="BA673" s="1305"/>
      <c r="BC673" s="169"/>
    </row>
    <row r="674" spans="19:55" ht="15.75" customHeight="1">
      <c r="S674" s="454"/>
      <c r="AN674" s="458"/>
      <c r="BA674" s="1305"/>
      <c r="BC674" s="169"/>
    </row>
    <row r="675" spans="19:55" ht="15.75" customHeight="1">
      <c r="S675" s="454"/>
      <c r="AN675" s="458"/>
      <c r="BA675" s="1305"/>
      <c r="BC675" s="169"/>
    </row>
    <row r="676" spans="19:55" ht="15.75" customHeight="1">
      <c r="S676" s="454"/>
      <c r="AN676" s="458"/>
      <c r="BA676" s="1305"/>
      <c r="BC676" s="169"/>
    </row>
    <row r="677" spans="19:55" ht="15.75" customHeight="1">
      <c r="S677" s="454"/>
      <c r="AN677" s="458"/>
      <c r="BA677" s="1305"/>
      <c r="BC677" s="169"/>
    </row>
    <row r="678" spans="19:55" ht="15.75" customHeight="1">
      <c r="S678" s="454"/>
      <c r="AN678" s="458"/>
      <c r="BA678" s="1305"/>
      <c r="BC678" s="169"/>
    </row>
    <row r="679" spans="19:55" ht="15.75" customHeight="1">
      <c r="S679" s="454"/>
      <c r="AN679" s="458"/>
      <c r="BA679" s="1305"/>
      <c r="BC679" s="169"/>
    </row>
    <row r="680" spans="19:55" ht="15.75" customHeight="1">
      <c r="S680" s="454"/>
      <c r="AN680" s="458"/>
      <c r="BA680" s="1305"/>
      <c r="BC680" s="169"/>
    </row>
    <row r="681" spans="19:55" ht="15.75" customHeight="1">
      <c r="S681" s="454"/>
      <c r="AN681" s="458"/>
      <c r="BA681" s="1305"/>
      <c r="BC681" s="169"/>
    </row>
    <row r="682" spans="19:55" ht="15.75" customHeight="1">
      <c r="S682" s="454"/>
      <c r="AN682" s="458"/>
      <c r="BA682" s="1305"/>
      <c r="BC682" s="169"/>
    </row>
    <row r="683" spans="19:55" ht="15.75" customHeight="1">
      <c r="S683" s="454"/>
      <c r="AN683" s="458"/>
      <c r="BA683" s="1305"/>
      <c r="BC683" s="169"/>
    </row>
    <row r="684" spans="19:55" ht="15.75" customHeight="1">
      <c r="S684" s="454"/>
      <c r="AN684" s="458"/>
      <c r="BA684" s="1305"/>
      <c r="BC684" s="169"/>
    </row>
    <row r="685" spans="19:55" ht="15.75" customHeight="1">
      <c r="S685" s="454"/>
      <c r="AN685" s="458"/>
      <c r="BA685" s="1305"/>
      <c r="BC685" s="169"/>
    </row>
    <row r="686" spans="19:55" ht="15.75" customHeight="1">
      <c r="S686" s="454"/>
      <c r="AN686" s="458"/>
      <c r="BA686" s="1305"/>
      <c r="BC686" s="169"/>
    </row>
    <row r="687" spans="19:55" ht="15.75" customHeight="1">
      <c r="S687" s="454"/>
      <c r="AN687" s="458"/>
      <c r="BA687" s="1305"/>
      <c r="BC687" s="169"/>
    </row>
    <row r="688" spans="19:55" ht="15.75" customHeight="1">
      <c r="S688" s="454"/>
      <c r="AN688" s="458"/>
      <c r="BA688" s="1305"/>
      <c r="BC688" s="169"/>
    </row>
    <row r="689" spans="19:55" ht="15.75" customHeight="1">
      <c r="S689" s="454"/>
      <c r="AN689" s="458"/>
      <c r="BA689" s="1305"/>
      <c r="BC689" s="169"/>
    </row>
    <row r="690" spans="19:55" ht="15.75" customHeight="1">
      <c r="S690" s="454"/>
      <c r="AN690" s="458"/>
      <c r="BA690" s="1305"/>
      <c r="BC690" s="169"/>
    </row>
    <row r="691" spans="19:55" ht="15.75" customHeight="1">
      <c r="S691" s="454"/>
      <c r="AN691" s="458"/>
      <c r="BA691" s="1305"/>
      <c r="BC691" s="169"/>
    </row>
    <row r="692" spans="19:55" ht="15.75" customHeight="1">
      <c r="S692" s="454"/>
      <c r="AN692" s="458"/>
      <c r="BA692" s="1305"/>
      <c r="BC692" s="169"/>
    </row>
    <row r="693" spans="19:55" ht="15.75" customHeight="1">
      <c r="S693" s="454"/>
      <c r="AN693" s="458"/>
      <c r="BA693" s="1305"/>
      <c r="BC693" s="169"/>
    </row>
    <row r="694" spans="19:55" ht="15.75" customHeight="1">
      <c r="S694" s="454"/>
      <c r="AN694" s="458"/>
      <c r="BA694" s="1305"/>
      <c r="BC694" s="169"/>
    </row>
    <row r="695" spans="19:55" ht="15.75" customHeight="1">
      <c r="S695" s="454"/>
      <c r="AN695" s="458"/>
      <c r="BA695" s="1305"/>
      <c r="BC695" s="169"/>
    </row>
    <row r="696" spans="19:55" ht="15.75" customHeight="1">
      <c r="S696" s="454"/>
      <c r="AN696" s="458"/>
      <c r="BA696" s="1305"/>
      <c r="BC696" s="169"/>
    </row>
    <row r="697" spans="19:55" ht="15.75" customHeight="1">
      <c r="S697" s="454"/>
      <c r="AN697" s="458"/>
      <c r="BA697" s="1305"/>
      <c r="BC697" s="169"/>
    </row>
    <row r="698" spans="19:55" ht="15.75" customHeight="1">
      <c r="S698" s="454"/>
      <c r="AN698" s="458"/>
      <c r="BA698" s="1305"/>
      <c r="BC698" s="169"/>
    </row>
    <row r="699" spans="19:55" ht="15.75" customHeight="1">
      <c r="S699" s="454"/>
      <c r="AN699" s="458"/>
      <c r="BA699" s="1305"/>
      <c r="BC699" s="169"/>
    </row>
    <row r="700" spans="19:55" ht="15.75" customHeight="1">
      <c r="S700" s="454"/>
      <c r="AN700" s="458"/>
      <c r="BA700" s="1305"/>
      <c r="BC700" s="169"/>
    </row>
    <row r="701" spans="19:55" ht="15.75" customHeight="1">
      <c r="S701" s="454"/>
      <c r="AN701" s="458"/>
      <c r="BA701" s="1305"/>
      <c r="BC701" s="169"/>
    </row>
    <row r="702" spans="19:55" ht="15.75" customHeight="1">
      <c r="S702" s="454"/>
      <c r="AN702" s="458"/>
      <c r="BA702" s="1305"/>
      <c r="BC702" s="169"/>
    </row>
    <row r="703" spans="19:55" ht="15.75" customHeight="1">
      <c r="S703" s="454"/>
      <c r="AN703" s="458"/>
      <c r="BA703" s="1305"/>
      <c r="BC703" s="169"/>
    </row>
    <row r="704" spans="19:55" ht="15.75" customHeight="1">
      <c r="S704" s="454"/>
      <c r="AN704" s="458"/>
      <c r="BA704" s="1305"/>
      <c r="BC704" s="169"/>
    </row>
    <row r="705" spans="19:55" ht="15.75" customHeight="1">
      <c r="S705" s="454"/>
      <c r="AN705" s="458"/>
      <c r="BA705" s="1305"/>
      <c r="BC705" s="169"/>
    </row>
    <row r="706" spans="19:55" ht="15.75" customHeight="1">
      <c r="S706" s="454"/>
      <c r="AN706" s="458"/>
      <c r="BA706" s="1305"/>
      <c r="BC706" s="169"/>
    </row>
    <row r="707" spans="19:55" ht="15.75" customHeight="1">
      <c r="S707" s="454"/>
      <c r="AN707" s="458"/>
      <c r="BA707" s="1305"/>
      <c r="BC707" s="169"/>
    </row>
    <row r="708" spans="19:55" ht="15.75" customHeight="1">
      <c r="S708" s="454"/>
      <c r="AN708" s="458"/>
      <c r="BA708" s="1305"/>
      <c r="BC708" s="169"/>
    </row>
    <row r="709" spans="19:55" ht="15.75" customHeight="1">
      <c r="S709" s="454"/>
      <c r="AN709" s="458"/>
      <c r="BA709" s="1305"/>
      <c r="BC709" s="169"/>
    </row>
    <row r="710" spans="19:55" ht="15.75" customHeight="1">
      <c r="S710" s="454"/>
      <c r="AN710" s="458"/>
      <c r="BA710" s="1305"/>
      <c r="BC710" s="169"/>
    </row>
    <row r="711" spans="19:55" ht="15.75" customHeight="1">
      <c r="S711" s="454"/>
      <c r="AN711" s="458"/>
      <c r="BA711" s="1305"/>
      <c r="BC711" s="169"/>
    </row>
    <row r="712" spans="19:55" ht="15.75" customHeight="1">
      <c r="S712" s="454"/>
      <c r="AN712" s="458"/>
      <c r="BA712" s="1305"/>
      <c r="BC712" s="169"/>
    </row>
    <row r="713" spans="19:55" ht="15.75" customHeight="1">
      <c r="S713" s="454"/>
      <c r="AN713" s="458"/>
      <c r="BA713" s="1305"/>
      <c r="BC713" s="169"/>
    </row>
    <row r="714" spans="19:55" ht="15.75" customHeight="1">
      <c r="S714" s="454"/>
      <c r="AN714" s="458"/>
      <c r="BA714" s="1305"/>
      <c r="BC714" s="169"/>
    </row>
    <row r="715" spans="19:55" ht="15.75" customHeight="1">
      <c r="S715" s="454"/>
      <c r="AN715" s="458"/>
      <c r="BA715" s="1305"/>
      <c r="BC715" s="169"/>
    </row>
    <row r="716" spans="19:55" ht="15.75" customHeight="1">
      <c r="S716" s="454"/>
      <c r="AN716" s="458"/>
      <c r="BA716" s="1305"/>
      <c r="BC716" s="169"/>
    </row>
    <row r="717" spans="19:55" ht="15.75" customHeight="1">
      <c r="S717" s="454"/>
      <c r="AN717" s="458"/>
      <c r="BA717" s="1305"/>
      <c r="BC717" s="169"/>
    </row>
    <row r="718" spans="19:55" ht="15.75" customHeight="1">
      <c r="S718" s="454"/>
      <c r="AN718" s="458"/>
      <c r="BA718" s="1305"/>
      <c r="BC718" s="169"/>
    </row>
    <row r="719" spans="19:55" ht="15.75" customHeight="1">
      <c r="S719" s="454"/>
      <c r="AN719" s="458"/>
      <c r="BA719" s="1305"/>
      <c r="BC719" s="169"/>
    </row>
    <row r="720" spans="19:55" ht="15.75" customHeight="1">
      <c r="S720" s="454"/>
      <c r="AN720" s="458"/>
      <c r="BA720" s="1305"/>
      <c r="BC720" s="169"/>
    </row>
    <row r="721" spans="19:55" ht="15.75" customHeight="1">
      <c r="S721" s="454"/>
      <c r="AN721" s="458"/>
      <c r="BA721" s="1305"/>
      <c r="BC721" s="169"/>
    </row>
    <row r="722" spans="19:55" ht="15.75" customHeight="1">
      <c r="S722" s="454"/>
      <c r="AN722" s="458"/>
      <c r="BA722" s="1305"/>
      <c r="BC722" s="169"/>
    </row>
    <row r="723" spans="19:55" ht="15.75" customHeight="1">
      <c r="S723" s="454"/>
      <c r="AN723" s="458"/>
      <c r="BA723" s="1305"/>
      <c r="BC723" s="169"/>
    </row>
    <row r="724" spans="19:55" ht="15.75" customHeight="1">
      <c r="S724" s="454"/>
      <c r="AN724" s="458"/>
      <c r="BA724" s="1305"/>
      <c r="BC724" s="169"/>
    </row>
    <row r="725" spans="19:55" ht="15.75" customHeight="1">
      <c r="S725" s="454"/>
      <c r="AN725" s="458"/>
      <c r="BA725" s="1305"/>
      <c r="BC725" s="169"/>
    </row>
    <row r="726" spans="19:55" ht="15.75" customHeight="1">
      <c r="S726" s="454"/>
      <c r="AN726" s="458"/>
      <c r="BA726" s="1305"/>
      <c r="BC726" s="169"/>
    </row>
    <row r="727" spans="19:55" ht="15.75" customHeight="1">
      <c r="S727" s="454"/>
      <c r="AN727" s="458"/>
      <c r="BA727" s="1305"/>
      <c r="BC727" s="169"/>
    </row>
    <row r="728" spans="19:55" ht="15.75" customHeight="1">
      <c r="S728" s="454"/>
      <c r="AN728" s="458"/>
      <c r="BA728" s="1305"/>
      <c r="BC728" s="169"/>
    </row>
    <row r="729" spans="19:55" ht="15.75" customHeight="1">
      <c r="S729" s="454"/>
      <c r="AN729" s="458"/>
      <c r="BA729" s="1305"/>
      <c r="BC729" s="169"/>
    </row>
    <row r="730" spans="19:55" ht="15.75" customHeight="1">
      <c r="S730" s="454"/>
      <c r="AN730" s="458"/>
      <c r="BA730" s="1305"/>
      <c r="BC730" s="169"/>
    </row>
    <row r="731" spans="19:55" ht="15.75" customHeight="1">
      <c r="S731" s="454"/>
      <c r="AN731" s="458"/>
      <c r="BA731" s="1305"/>
      <c r="BC731" s="169"/>
    </row>
    <row r="732" spans="19:55" ht="15.75" customHeight="1">
      <c r="S732" s="454"/>
      <c r="AN732" s="458"/>
      <c r="BA732" s="1305"/>
      <c r="BC732" s="169"/>
    </row>
    <row r="733" spans="19:55" ht="15.75" customHeight="1">
      <c r="S733" s="454"/>
      <c r="AN733" s="458"/>
      <c r="BA733" s="1305"/>
      <c r="BC733" s="169"/>
    </row>
    <row r="734" spans="19:55" ht="15.75" customHeight="1">
      <c r="S734" s="454"/>
      <c r="AN734" s="458"/>
      <c r="BA734" s="1305"/>
      <c r="BC734" s="169"/>
    </row>
    <row r="735" spans="19:55" ht="15.75" customHeight="1">
      <c r="S735" s="454"/>
      <c r="AN735" s="458"/>
      <c r="BA735" s="1305"/>
      <c r="BC735" s="169"/>
    </row>
    <row r="736" spans="19:55" ht="15.75" customHeight="1">
      <c r="S736" s="454"/>
      <c r="AN736" s="458"/>
      <c r="BA736" s="1305"/>
      <c r="BC736" s="169"/>
    </row>
    <row r="737" spans="19:55" ht="15.75" customHeight="1">
      <c r="S737" s="454"/>
      <c r="AN737" s="458"/>
      <c r="BA737" s="1305"/>
      <c r="BC737" s="169"/>
    </row>
    <row r="738" spans="19:55" ht="15.75" customHeight="1">
      <c r="S738" s="454"/>
      <c r="AN738" s="458"/>
      <c r="BA738" s="1305"/>
      <c r="BC738" s="169"/>
    </row>
    <row r="739" spans="19:55" ht="15.75" customHeight="1">
      <c r="S739" s="454"/>
      <c r="AN739" s="458"/>
      <c r="BA739" s="1305"/>
      <c r="BC739" s="169"/>
    </row>
    <row r="740" spans="19:55" ht="15.75" customHeight="1">
      <c r="S740" s="454"/>
      <c r="AN740" s="458"/>
      <c r="BA740" s="1305"/>
      <c r="BC740" s="169"/>
    </row>
    <row r="741" spans="19:55" ht="15.75" customHeight="1">
      <c r="S741" s="454"/>
      <c r="AN741" s="458"/>
      <c r="BA741" s="1305"/>
      <c r="BC741" s="169"/>
    </row>
    <row r="742" spans="19:55" ht="15.75" customHeight="1">
      <c r="S742" s="454"/>
      <c r="AN742" s="458"/>
      <c r="BA742" s="1305"/>
      <c r="BC742" s="169"/>
    </row>
    <row r="743" spans="19:55" ht="15.75" customHeight="1">
      <c r="S743" s="454"/>
      <c r="AN743" s="458"/>
      <c r="BA743" s="1305"/>
      <c r="BC743" s="169"/>
    </row>
    <row r="744" spans="19:55" ht="15.75" customHeight="1">
      <c r="S744" s="454"/>
      <c r="AN744" s="458"/>
      <c r="BA744" s="1305"/>
      <c r="BC744" s="169"/>
    </row>
    <row r="745" spans="19:55" ht="15.75" customHeight="1">
      <c r="S745" s="454"/>
      <c r="AN745" s="458"/>
      <c r="BA745" s="1305"/>
      <c r="BC745" s="169"/>
    </row>
    <row r="746" spans="19:55" ht="15.75" customHeight="1">
      <c r="S746" s="454"/>
      <c r="AN746" s="458"/>
      <c r="BA746" s="1305"/>
      <c r="BC746" s="169"/>
    </row>
    <row r="747" spans="19:55" ht="15.75" customHeight="1">
      <c r="S747" s="454"/>
      <c r="AN747" s="458"/>
      <c r="BA747" s="1305"/>
      <c r="BC747" s="169"/>
    </row>
    <row r="748" spans="19:55" ht="15.75" customHeight="1">
      <c r="S748" s="454"/>
      <c r="AN748" s="458"/>
      <c r="BA748" s="1305"/>
      <c r="BC748" s="169"/>
    </row>
    <row r="749" spans="19:55" ht="15.75" customHeight="1">
      <c r="S749" s="454"/>
      <c r="AN749" s="458"/>
      <c r="BA749" s="1305"/>
      <c r="BC749" s="169"/>
    </row>
    <row r="750" spans="19:55" ht="15.75" customHeight="1">
      <c r="S750" s="454"/>
      <c r="AN750" s="458"/>
      <c r="BA750" s="1305"/>
      <c r="BC750" s="169"/>
    </row>
    <row r="751" spans="19:55" ht="15.75" customHeight="1">
      <c r="S751" s="454"/>
      <c r="AN751" s="458"/>
      <c r="BA751" s="1305"/>
      <c r="BC751" s="169"/>
    </row>
    <row r="752" spans="19:55" ht="15.75" customHeight="1">
      <c r="S752" s="454"/>
      <c r="AN752" s="458"/>
      <c r="BA752" s="1305"/>
      <c r="BC752" s="169"/>
    </row>
    <row r="753" spans="19:55" ht="15.75" customHeight="1">
      <c r="S753" s="454"/>
      <c r="AN753" s="458"/>
      <c r="BA753" s="1305"/>
      <c r="BC753" s="169"/>
    </row>
    <row r="754" spans="19:55" ht="15.75" customHeight="1">
      <c r="S754" s="454"/>
      <c r="AN754" s="458"/>
      <c r="BA754" s="1305"/>
      <c r="BC754" s="169"/>
    </row>
    <row r="755" spans="19:55" ht="15.75" customHeight="1">
      <c r="S755" s="454"/>
      <c r="AN755" s="458"/>
      <c r="BA755" s="1305"/>
      <c r="BC755" s="169"/>
    </row>
    <row r="756" spans="19:55" ht="15.75" customHeight="1">
      <c r="S756" s="454"/>
      <c r="AN756" s="458"/>
      <c r="BA756" s="1305"/>
      <c r="BC756" s="169"/>
    </row>
    <row r="757" spans="19:55" ht="15.75" customHeight="1">
      <c r="S757" s="454"/>
      <c r="AN757" s="458"/>
      <c r="BA757" s="1305"/>
      <c r="BC757" s="169"/>
    </row>
    <row r="758" spans="19:55" ht="15.75" customHeight="1">
      <c r="S758" s="454"/>
      <c r="AN758" s="458"/>
      <c r="BA758" s="1305"/>
      <c r="BC758" s="169"/>
    </row>
    <row r="759" spans="19:55" ht="15.75" customHeight="1">
      <c r="S759" s="454"/>
      <c r="AN759" s="458"/>
      <c r="BA759" s="1305"/>
      <c r="BC759" s="169"/>
    </row>
    <row r="760" spans="19:55" ht="15.75" customHeight="1">
      <c r="S760" s="454"/>
      <c r="AN760" s="458"/>
      <c r="BA760" s="1305"/>
      <c r="BC760" s="169"/>
    </row>
    <row r="761" spans="19:55" ht="15.75" customHeight="1">
      <c r="S761" s="454"/>
      <c r="AN761" s="458"/>
      <c r="BA761" s="1305"/>
      <c r="BC761" s="169"/>
    </row>
    <row r="762" spans="19:55" ht="15.75" customHeight="1">
      <c r="S762" s="454"/>
      <c r="AN762" s="458"/>
      <c r="BA762" s="1305"/>
      <c r="BC762" s="169"/>
    </row>
    <row r="763" spans="19:55" ht="15.75" customHeight="1">
      <c r="S763" s="454"/>
      <c r="AN763" s="458"/>
      <c r="BA763" s="1305"/>
      <c r="BC763" s="169"/>
    </row>
    <row r="764" spans="19:55" ht="15.75" customHeight="1">
      <c r="S764" s="454"/>
      <c r="AN764" s="458"/>
      <c r="BA764" s="1305"/>
      <c r="BC764" s="169"/>
    </row>
    <row r="765" spans="19:55" ht="15.75" customHeight="1">
      <c r="S765" s="454"/>
      <c r="AN765" s="458"/>
      <c r="BA765" s="1305"/>
      <c r="BC765" s="169"/>
    </row>
    <row r="766" spans="19:55" ht="15.75" customHeight="1">
      <c r="S766" s="454"/>
      <c r="AN766" s="458"/>
      <c r="BA766" s="1305"/>
      <c r="BC766" s="169"/>
    </row>
    <row r="767" spans="19:55" ht="15.75" customHeight="1">
      <c r="S767" s="454"/>
      <c r="AN767" s="458"/>
      <c r="BA767" s="1305"/>
      <c r="BC767" s="169"/>
    </row>
    <row r="768" spans="19:55" ht="15.75" customHeight="1">
      <c r="S768" s="454"/>
      <c r="AN768" s="458"/>
      <c r="BA768" s="1305"/>
      <c r="BC768" s="169"/>
    </row>
    <row r="769" spans="19:55" ht="15.75" customHeight="1">
      <c r="S769" s="454"/>
      <c r="AN769" s="458"/>
      <c r="BA769" s="1305"/>
      <c r="BC769" s="169"/>
    </row>
    <row r="770" spans="19:55" ht="15.75" customHeight="1">
      <c r="S770" s="454"/>
      <c r="AN770" s="458"/>
      <c r="BA770" s="1305"/>
      <c r="BC770" s="169"/>
    </row>
    <row r="771" spans="19:55" ht="15.75" customHeight="1">
      <c r="S771" s="454"/>
      <c r="AN771" s="458"/>
      <c r="BA771" s="1305"/>
      <c r="BC771" s="169"/>
    </row>
    <row r="772" spans="19:55" ht="15.75" customHeight="1">
      <c r="S772" s="454"/>
      <c r="AN772" s="458"/>
      <c r="BA772" s="1305"/>
      <c r="BC772" s="169"/>
    </row>
    <row r="773" spans="19:55" ht="15.75" customHeight="1">
      <c r="S773" s="454"/>
      <c r="AN773" s="458"/>
      <c r="BA773" s="1305"/>
      <c r="BC773" s="169"/>
    </row>
    <row r="774" spans="19:55" ht="15.75" customHeight="1">
      <c r="S774" s="454"/>
      <c r="AN774" s="458"/>
      <c r="BA774" s="1305"/>
      <c r="BC774" s="169"/>
    </row>
    <row r="775" spans="19:55" ht="15.75" customHeight="1">
      <c r="S775" s="454"/>
      <c r="AN775" s="458"/>
      <c r="BA775" s="1305"/>
      <c r="BC775" s="169"/>
    </row>
    <row r="776" spans="19:55" ht="15.75" customHeight="1">
      <c r="S776" s="454"/>
      <c r="AN776" s="458"/>
      <c r="BA776" s="1305"/>
      <c r="BC776" s="169"/>
    </row>
    <row r="777" spans="19:55" ht="15.75" customHeight="1">
      <c r="S777" s="454"/>
      <c r="AN777" s="458"/>
      <c r="BA777" s="1305"/>
      <c r="BC777" s="169"/>
    </row>
    <row r="778" spans="19:55" ht="15.75" customHeight="1">
      <c r="S778" s="454"/>
      <c r="AN778" s="458"/>
      <c r="BA778" s="1305"/>
      <c r="BC778" s="169"/>
    </row>
    <row r="779" spans="19:55" ht="15.75" customHeight="1">
      <c r="S779" s="454"/>
      <c r="AN779" s="458"/>
      <c r="BA779" s="1305"/>
      <c r="BC779" s="169"/>
    </row>
    <row r="780" spans="19:55" ht="15.75" customHeight="1">
      <c r="S780" s="454"/>
      <c r="AN780" s="458"/>
      <c r="BA780" s="1305"/>
      <c r="BC780" s="169"/>
    </row>
    <row r="781" spans="19:55" ht="15.75" customHeight="1">
      <c r="S781" s="454"/>
      <c r="AN781" s="458"/>
      <c r="BA781" s="1305"/>
      <c r="BC781" s="169"/>
    </row>
    <row r="782" spans="19:55" ht="15.75" customHeight="1">
      <c r="S782" s="454"/>
      <c r="AN782" s="458"/>
      <c r="BA782" s="1305"/>
      <c r="BC782" s="169"/>
    </row>
    <row r="783" spans="19:55" ht="15.75" customHeight="1">
      <c r="S783" s="454"/>
      <c r="AN783" s="458"/>
      <c r="BA783" s="1305"/>
      <c r="BC783" s="169"/>
    </row>
    <row r="784" spans="19:55" ht="15.75" customHeight="1">
      <c r="S784" s="454"/>
      <c r="AN784" s="458"/>
      <c r="BA784" s="1305"/>
      <c r="BC784" s="169"/>
    </row>
    <row r="785" spans="19:55" ht="15.75" customHeight="1">
      <c r="S785" s="454"/>
      <c r="AN785" s="458"/>
      <c r="BA785" s="1305"/>
      <c r="BC785" s="169"/>
    </row>
    <row r="786" spans="19:55" ht="15.75" customHeight="1">
      <c r="S786" s="454"/>
      <c r="AN786" s="458"/>
      <c r="BA786" s="1305"/>
      <c r="BC786" s="169"/>
    </row>
    <row r="787" spans="19:55" ht="15.75" customHeight="1">
      <c r="S787" s="454"/>
      <c r="AN787" s="458"/>
      <c r="BA787" s="1305"/>
      <c r="BC787" s="169"/>
    </row>
    <row r="788" spans="19:55" ht="15.75" customHeight="1">
      <c r="S788" s="454"/>
      <c r="AN788" s="458"/>
      <c r="BA788" s="1305"/>
      <c r="BC788" s="169"/>
    </row>
    <row r="789" spans="19:55" ht="15.75" customHeight="1">
      <c r="S789" s="454"/>
      <c r="AN789" s="458"/>
      <c r="BA789" s="1305"/>
      <c r="BC789" s="169"/>
    </row>
    <row r="790" spans="19:55" ht="15.75" customHeight="1">
      <c r="S790" s="454"/>
      <c r="AN790" s="458"/>
      <c r="BA790" s="1305"/>
      <c r="BC790" s="169"/>
    </row>
    <row r="791" spans="19:55" ht="15.75" customHeight="1">
      <c r="S791" s="454"/>
      <c r="AN791" s="458"/>
      <c r="BA791" s="1305"/>
      <c r="BC791" s="169"/>
    </row>
    <row r="792" spans="19:55" ht="15.75" customHeight="1">
      <c r="S792" s="454"/>
      <c r="AN792" s="458"/>
      <c r="BA792" s="1305"/>
      <c r="BC792" s="169"/>
    </row>
    <row r="793" spans="19:55" ht="15.75" customHeight="1">
      <c r="S793" s="454"/>
      <c r="AN793" s="458"/>
      <c r="BA793" s="1305"/>
      <c r="BC793" s="169"/>
    </row>
    <row r="794" spans="19:55" ht="15.75" customHeight="1">
      <c r="S794" s="454"/>
      <c r="AN794" s="458"/>
      <c r="BA794" s="1305"/>
      <c r="BC794" s="169"/>
    </row>
    <row r="795" spans="19:55" ht="15.75" customHeight="1">
      <c r="S795" s="454"/>
      <c r="AN795" s="458"/>
      <c r="BA795" s="1305"/>
      <c r="BC795" s="169"/>
    </row>
    <row r="796" spans="19:55" ht="15.75" customHeight="1">
      <c r="S796" s="454"/>
      <c r="AN796" s="458"/>
      <c r="BA796" s="1305"/>
      <c r="BC796" s="169"/>
    </row>
    <row r="797" spans="19:55" ht="15.75" customHeight="1">
      <c r="S797" s="454"/>
      <c r="AN797" s="458"/>
      <c r="BA797" s="1305"/>
      <c r="BC797" s="169"/>
    </row>
    <row r="798" spans="19:55" ht="15.75" customHeight="1">
      <c r="S798" s="454"/>
      <c r="AN798" s="458"/>
      <c r="BA798" s="1305"/>
      <c r="BC798" s="169"/>
    </row>
    <row r="799" spans="19:55" ht="15.75" customHeight="1">
      <c r="S799" s="454"/>
      <c r="AN799" s="458"/>
      <c r="BA799" s="1305"/>
      <c r="BC799" s="169"/>
    </row>
    <row r="800" spans="19:55" ht="15.75" customHeight="1">
      <c r="S800" s="454"/>
      <c r="AN800" s="458"/>
      <c r="BA800" s="1305"/>
      <c r="BC800" s="169"/>
    </row>
    <row r="801" spans="19:55" ht="15.75" customHeight="1">
      <c r="S801" s="454"/>
      <c r="AN801" s="458"/>
      <c r="BA801" s="1305"/>
      <c r="BC801" s="169"/>
    </row>
    <row r="802" spans="19:55" ht="15.75" customHeight="1">
      <c r="S802" s="454"/>
      <c r="AN802" s="458"/>
      <c r="BA802" s="1305"/>
      <c r="BC802" s="169"/>
    </row>
    <row r="803" spans="19:55" ht="15.75" customHeight="1">
      <c r="S803" s="454"/>
      <c r="AN803" s="458"/>
      <c r="BA803" s="1305"/>
      <c r="BC803" s="169"/>
    </row>
    <row r="804" spans="19:55" ht="15.75" customHeight="1">
      <c r="S804" s="454"/>
      <c r="AN804" s="458"/>
      <c r="BA804" s="1305"/>
      <c r="BC804" s="169"/>
    </row>
    <row r="805" spans="19:55" ht="15.75" customHeight="1">
      <c r="S805" s="454"/>
      <c r="AN805" s="458"/>
      <c r="BA805" s="1305"/>
      <c r="BC805" s="169"/>
    </row>
    <row r="806" spans="19:55" ht="15.75" customHeight="1">
      <c r="S806" s="454"/>
      <c r="AN806" s="458"/>
      <c r="BA806" s="1305"/>
      <c r="BC806" s="169"/>
    </row>
    <row r="807" spans="19:55" ht="15.75" customHeight="1">
      <c r="S807" s="454"/>
      <c r="AN807" s="458"/>
      <c r="BA807" s="1305"/>
      <c r="BC807" s="169"/>
    </row>
    <row r="808" spans="19:55" ht="15.75" customHeight="1">
      <c r="S808" s="454"/>
      <c r="AN808" s="458"/>
      <c r="BA808" s="1305"/>
      <c r="BC808" s="169"/>
    </row>
    <row r="809" spans="19:55" ht="15.75" customHeight="1">
      <c r="S809" s="454"/>
      <c r="AN809" s="458"/>
      <c r="BA809" s="1305"/>
      <c r="BC809" s="169"/>
    </row>
    <row r="810" spans="19:55" ht="15.75" customHeight="1">
      <c r="S810" s="454"/>
      <c r="AN810" s="458"/>
      <c r="BA810" s="1305"/>
      <c r="BC810" s="169"/>
    </row>
    <row r="811" spans="19:55" ht="15.75" customHeight="1">
      <c r="S811" s="454"/>
      <c r="AN811" s="458"/>
      <c r="BA811" s="1305"/>
      <c r="BC811" s="169"/>
    </row>
    <row r="812" spans="19:55" ht="15.75" customHeight="1">
      <c r="S812" s="454"/>
      <c r="AN812" s="458"/>
      <c r="BA812" s="1305"/>
      <c r="BC812" s="169"/>
    </row>
    <row r="813" spans="19:55" ht="15.75" customHeight="1">
      <c r="S813" s="454"/>
      <c r="AN813" s="458"/>
      <c r="BA813" s="1305"/>
      <c r="BC813" s="169"/>
    </row>
    <row r="814" spans="19:55" ht="15.75" customHeight="1">
      <c r="S814" s="454"/>
      <c r="AN814" s="458"/>
      <c r="BA814" s="1305"/>
      <c r="BC814" s="169"/>
    </row>
    <row r="815" spans="19:55" ht="15.75" customHeight="1">
      <c r="S815" s="454"/>
      <c r="AN815" s="458"/>
      <c r="BA815" s="1305"/>
      <c r="BC815" s="169"/>
    </row>
    <row r="816" spans="19:55" ht="15.75" customHeight="1">
      <c r="S816" s="454"/>
      <c r="AN816" s="458"/>
      <c r="BA816" s="1305"/>
      <c r="BC816" s="169"/>
    </row>
    <row r="817" spans="19:55" ht="15.75" customHeight="1">
      <c r="S817" s="454"/>
      <c r="AN817" s="458"/>
      <c r="BA817" s="1305"/>
      <c r="BC817" s="169"/>
    </row>
    <row r="818" spans="19:55" ht="15.75" customHeight="1">
      <c r="S818" s="454"/>
      <c r="AN818" s="458"/>
      <c r="BA818" s="1305"/>
      <c r="BC818" s="169"/>
    </row>
    <row r="819" spans="19:55" ht="15.75" customHeight="1">
      <c r="S819" s="454"/>
      <c r="AN819" s="458"/>
      <c r="BA819" s="1305"/>
      <c r="BC819" s="169"/>
    </row>
    <row r="820" spans="19:55" ht="15.75" customHeight="1">
      <c r="S820" s="454"/>
      <c r="AN820" s="458"/>
      <c r="BA820" s="1305"/>
      <c r="BC820" s="169"/>
    </row>
    <row r="821" spans="19:55" ht="15.75" customHeight="1">
      <c r="S821" s="454"/>
      <c r="AN821" s="458"/>
      <c r="BA821" s="1305"/>
      <c r="BC821" s="169"/>
    </row>
    <row r="822" spans="19:55" ht="15.75" customHeight="1">
      <c r="S822" s="454"/>
      <c r="AN822" s="458"/>
      <c r="BA822" s="1305"/>
      <c r="BC822" s="169"/>
    </row>
    <row r="823" spans="19:55" ht="15.75" customHeight="1">
      <c r="S823" s="454"/>
      <c r="AN823" s="458"/>
      <c r="BA823" s="1305"/>
      <c r="BC823" s="169"/>
    </row>
    <row r="824" spans="19:55" ht="15.75" customHeight="1">
      <c r="S824" s="454"/>
      <c r="AN824" s="458"/>
      <c r="BA824" s="1305"/>
      <c r="BC824" s="169"/>
    </row>
    <row r="825" spans="19:55" ht="15.75" customHeight="1">
      <c r="S825" s="454"/>
      <c r="AN825" s="458"/>
      <c r="BA825" s="1305"/>
      <c r="BC825" s="169"/>
    </row>
    <row r="826" spans="19:55" ht="15.75" customHeight="1">
      <c r="S826" s="454"/>
      <c r="AN826" s="458"/>
      <c r="BA826" s="1305"/>
      <c r="BC826" s="169"/>
    </row>
    <row r="827" spans="19:55" ht="15.75" customHeight="1">
      <c r="S827" s="454"/>
      <c r="AN827" s="458"/>
      <c r="BA827" s="1305"/>
      <c r="BC827" s="169"/>
    </row>
    <row r="828" spans="19:55" ht="15.75" customHeight="1">
      <c r="S828" s="454"/>
      <c r="AN828" s="458"/>
      <c r="BA828" s="1305"/>
      <c r="BC828" s="169"/>
    </row>
    <row r="829" spans="19:55" ht="15.75" customHeight="1">
      <c r="S829" s="454"/>
      <c r="AN829" s="458"/>
      <c r="BA829" s="1305"/>
      <c r="BC829" s="169"/>
    </row>
    <row r="830" spans="19:55" ht="15.75" customHeight="1">
      <c r="S830" s="454"/>
      <c r="AN830" s="458"/>
      <c r="BA830" s="1305"/>
      <c r="BC830" s="169"/>
    </row>
    <row r="831" spans="19:55" ht="15.75" customHeight="1">
      <c r="S831" s="454"/>
      <c r="AN831" s="458"/>
      <c r="BA831" s="1305"/>
      <c r="BC831" s="169"/>
    </row>
    <row r="832" spans="19:55" ht="15.75" customHeight="1">
      <c r="S832" s="454"/>
      <c r="AN832" s="458"/>
      <c r="BA832" s="1305"/>
      <c r="BC832" s="169"/>
    </row>
    <row r="833" spans="19:55" ht="15.75" customHeight="1">
      <c r="S833" s="454"/>
      <c r="AN833" s="458"/>
      <c r="BA833" s="1305"/>
      <c r="BC833" s="169"/>
    </row>
    <row r="834" spans="19:55" ht="15.75" customHeight="1">
      <c r="S834" s="454"/>
      <c r="AN834" s="458"/>
      <c r="BA834" s="1305"/>
      <c r="BC834" s="169"/>
    </row>
    <row r="835" spans="19:55" ht="15.75" customHeight="1">
      <c r="S835" s="454"/>
      <c r="AN835" s="458"/>
      <c r="BA835" s="1305"/>
      <c r="BC835" s="169"/>
    </row>
    <row r="836" spans="19:55" ht="15.75" customHeight="1">
      <c r="S836" s="454"/>
      <c r="AN836" s="458"/>
      <c r="BA836" s="1305"/>
      <c r="BC836" s="169"/>
    </row>
    <row r="837" spans="19:55" ht="15.75" customHeight="1">
      <c r="S837" s="454"/>
      <c r="AN837" s="458"/>
      <c r="BA837" s="1305"/>
      <c r="BC837" s="169"/>
    </row>
    <row r="838" spans="19:55" ht="15.75" customHeight="1">
      <c r="S838" s="454"/>
      <c r="AN838" s="458"/>
      <c r="BA838" s="1305"/>
      <c r="BC838" s="169"/>
    </row>
    <row r="839" spans="19:55" ht="15.75" customHeight="1">
      <c r="S839" s="454"/>
      <c r="AN839" s="458"/>
      <c r="BA839" s="1305"/>
      <c r="BC839" s="169"/>
    </row>
    <row r="840" spans="19:55" ht="15.75" customHeight="1">
      <c r="S840" s="454"/>
      <c r="AN840" s="458"/>
      <c r="BA840" s="1305"/>
      <c r="BC840" s="169"/>
    </row>
    <row r="841" spans="19:55" ht="15.75" customHeight="1">
      <c r="S841" s="454"/>
      <c r="AN841" s="458"/>
      <c r="BA841" s="1305"/>
      <c r="BC841" s="169"/>
    </row>
    <row r="842" spans="19:55" ht="15.75" customHeight="1">
      <c r="S842" s="454"/>
      <c r="AN842" s="458"/>
      <c r="BA842" s="1305"/>
      <c r="BC842" s="169"/>
    </row>
    <row r="843" spans="19:55" ht="15.75" customHeight="1">
      <c r="S843" s="454"/>
      <c r="AN843" s="458"/>
      <c r="BA843" s="1305"/>
      <c r="BC843" s="169"/>
    </row>
    <row r="844" spans="19:55" ht="15.75" customHeight="1">
      <c r="S844" s="454"/>
      <c r="AN844" s="458"/>
      <c r="BA844" s="1305"/>
      <c r="BC844" s="169"/>
    </row>
    <row r="845" spans="19:55" ht="15.75" customHeight="1">
      <c r="S845" s="454"/>
      <c r="AN845" s="458"/>
      <c r="BA845" s="1305"/>
      <c r="BC845" s="169"/>
    </row>
    <row r="846" spans="19:55" ht="15.75" customHeight="1">
      <c r="S846" s="454"/>
      <c r="AN846" s="458"/>
      <c r="BA846" s="1305"/>
      <c r="BC846" s="169"/>
    </row>
    <row r="847" spans="19:55" ht="15.75" customHeight="1">
      <c r="S847" s="454"/>
      <c r="AN847" s="458"/>
      <c r="BA847" s="1305"/>
      <c r="BC847" s="169"/>
    </row>
    <row r="848" spans="19:55" ht="15.75" customHeight="1">
      <c r="S848" s="454"/>
      <c r="AN848" s="458"/>
      <c r="BA848" s="1305"/>
      <c r="BC848" s="169"/>
    </row>
    <row r="849" spans="19:55" ht="15.75" customHeight="1">
      <c r="S849" s="454"/>
      <c r="AN849" s="458"/>
      <c r="BA849" s="1305"/>
      <c r="BC849" s="169"/>
    </row>
    <row r="850" spans="19:55" ht="15.75" customHeight="1">
      <c r="S850" s="454"/>
      <c r="AN850" s="458"/>
      <c r="BA850" s="1305"/>
      <c r="BC850" s="169"/>
    </row>
    <row r="851" spans="19:55" ht="15.75" customHeight="1">
      <c r="S851" s="454"/>
      <c r="AN851" s="458"/>
      <c r="BA851" s="1305"/>
      <c r="BC851" s="169"/>
    </row>
    <row r="852" spans="19:55" ht="15.75" customHeight="1">
      <c r="S852" s="454"/>
      <c r="AN852" s="458"/>
      <c r="BA852" s="1305"/>
      <c r="BC852" s="169"/>
    </row>
    <row r="853" spans="19:55" ht="15.75" customHeight="1">
      <c r="S853" s="454"/>
      <c r="AN853" s="458"/>
      <c r="BA853" s="1305"/>
      <c r="BC853" s="169"/>
    </row>
    <row r="854" spans="19:55" ht="15.75" customHeight="1">
      <c r="S854" s="454"/>
      <c r="AN854" s="458"/>
      <c r="BA854" s="1305"/>
      <c r="BC854" s="169"/>
    </row>
    <row r="855" spans="19:55" ht="15.75" customHeight="1">
      <c r="S855" s="454"/>
      <c r="AN855" s="458"/>
      <c r="BA855" s="1305"/>
      <c r="BC855" s="169"/>
    </row>
    <row r="856" spans="19:55" ht="15.75" customHeight="1">
      <c r="S856" s="454"/>
      <c r="AN856" s="458"/>
      <c r="BA856" s="1305"/>
      <c r="BC856" s="169"/>
    </row>
    <row r="857" spans="19:55" ht="15.75" customHeight="1">
      <c r="S857" s="454"/>
      <c r="AN857" s="458"/>
      <c r="BA857" s="1305"/>
      <c r="BC857" s="169"/>
    </row>
    <row r="858" spans="19:55" ht="15.75" customHeight="1">
      <c r="S858" s="454"/>
      <c r="AN858" s="458"/>
      <c r="BA858" s="1305"/>
      <c r="BC858" s="169"/>
    </row>
    <row r="859" spans="19:55" ht="15.75" customHeight="1">
      <c r="S859" s="454"/>
      <c r="AN859" s="458"/>
      <c r="BA859" s="1305"/>
      <c r="BC859" s="169"/>
    </row>
    <row r="860" spans="19:55" ht="15.75" customHeight="1">
      <c r="S860" s="454"/>
      <c r="AN860" s="458"/>
      <c r="BA860" s="1305"/>
      <c r="BC860" s="169"/>
    </row>
    <row r="861" spans="19:55" ht="15.75" customHeight="1">
      <c r="S861" s="454"/>
      <c r="AN861" s="458"/>
      <c r="BA861" s="1305"/>
      <c r="BC861" s="169"/>
    </row>
    <row r="862" spans="19:55" ht="15.75" customHeight="1">
      <c r="S862" s="454"/>
      <c r="AN862" s="458"/>
      <c r="BA862" s="1305"/>
      <c r="BC862" s="169"/>
    </row>
    <row r="863" spans="19:55" ht="15.75" customHeight="1">
      <c r="S863" s="454"/>
      <c r="AN863" s="458"/>
      <c r="BA863" s="1305"/>
      <c r="BC863" s="169"/>
    </row>
    <row r="864" spans="19:55" ht="15.75" customHeight="1">
      <c r="S864" s="454"/>
      <c r="AN864" s="458"/>
      <c r="BA864" s="1305"/>
      <c r="BC864" s="169"/>
    </row>
    <row r="865" spans="19:55" ht="15.75" customHeight="1">
      <c r="S865" s="454"/>
      <c r="AN865" s="458"/>
      <c r="BA865" s="1305"/>
      <c r="BC865" s="169"/>
    </row>
    <row r="866" spans="19:55" ht="15.75" customHeight="1">
      <c r="S866" s="454"/>
      <c r="AN866" s="458"/>
      <c r="BA866" s="1305"/>
      <c r="BC866" s="169"/>
    </row>
    <row r="867" spans="19:55" ht="15.75" customHeight="1">
      <c r="S867" s="454"/>
      <c r="AN867" s="458"/>
      <c r="BA867" s="1305"/>
      <c r="BC867" s="169"/>
    </row>
    <row r="868" spans="19:55" ht="15.75" customHeight="1">
      <c r="S868" s="454"/>
      <c r="AN868" s="458"/>
      <c r="BA868" s="1305"/>
      <c r="BC868" s="169"/>
    </row>
    <row r="869" spans="19:55" ht="15.75" customHeight="1">
      <c r="S869" s="454"/>
      <c r="AN869" s="458"/>
      <c r="BA869" s="1305"/>
      <c r="BC869" s="169"/>
    </row>
    <row r="870" spans="19:55" ht="15.75" customHeight="1">
      <c r="S870" s="454"/>
      <c r="AN870" s="458"/>
      <c r="BA870" s="1305"/>
      <c r="BC870" s="169"/>
    </row>
    <row r="871" spans="19:55" ht="15.75" customHeight="1">
      <c r="S871" s="454"/>
      <c r="AN871" s="458"/>
      <c r="BA871" s="1305"/>
      <c r="BC871" s="169"/>
    </row>
    <row r="872" spans="19:55" ht="15.75" customHeight="1">
      <c r="S872" s="454"/>
      <c r="AN872" s="458"/>
      <c r="BA872" s="1305"/>
      <c r="BC872" s="169"/>
    </row>
    <row r="873" spans="19:55" ht="15.75" customHeight="1">
      <c r="S873" s="454"/>
      <c r="AN873" s="458"/>
      <c r="BA873" s="1305"/>
      <c r="BC873" s="169"/>
    </row>
    <row r="874" spans="19:55" ht="15.75" customHeight="1">
      <c r="S874" s="454"/>
      <c r="AN874" s="458"/>
      <c r="BA874" s="1305"/>
      <c r="BC874" s="169"/>
    </row>
    <row r="875" spans="19:55" ht="15.75" customHeight="1">
      <c r="S875" s="454"/>
      <c r="AN875" s="458"/>
      <c r="BA875" s="1305"/>
      <c r="BC875" s="169"/>
    </row>
    <row r="876" spans="19:55" ht="15.75" customHeight="1">
      <c r="S876" s="454"/>
      <c r="AN876" s="458"/>
      <c r="BA876" s="1305"/>
      <c r="BC876" s="169"/>
    </row>
    <row r="877" spans="19:55" ht="15.75" customHeight="1">
      <c r="S877" s="454"/>
      <c r="AN877" s="458"/>
      <c r="BA877" s="1305"/>
      <c r="BC877" s="169"/>
    </row>
    <row r="878" spans="19:55" ht="15.75" customHeight="1">
      <c r="S878" s="454"/>
      <c r="AN878" s="458"/>
      <c r="BA878" s="1305"/>
      <c r="BC878" s="169"/>
    </row>
    <row r="879" spans="19:55" ht="15.75" customHeight="1">
      <c r="S879" s="454"/>
      <c r="AN879" s="458"/>
      <c r="BA879" s="1305"/>
      <c r="BC879" s="169"/>
    </row>
    <row r="880" spans="19:55" ht="15.75" customHeight="1">
      <c r="S880" s="454"/>
      <c r="AN880" s="458"/>
      <c r="BA880" s="1305"/>
      <c r="BC880" s="169"/>
    </row>
    <row r="881" spans="19:55" ht="15.75" customHeight="1">
      <c r="S881" s="454"/>
      <c r="AN881" s="458"/>
      <c r="BA881" s="1305"/>
      <c r="BC881" s="169"/>
    </row>
    <row r="882" spans="19:55" ht="15.75" customHeight="1">
      <c r="S882" s="454"/>
      <c r="AN882" s="458"/>
      <c r="BA882" s="1305"/>
      <c r="BC882" s="169"/>
    </row>
    <row r="883" spans="19:55" ht="15.75" customHeight="1">
      <c r="S883" s="454"/>
      <c r="AN883" s="458"/>
      <c r="BA883" s="1305"/>
      <c r="BC883" s="169"/>
    </row>
    <row r="884" spans="19:55" ht="15.75" customHeight="1">
      <c r="S884" s="454"/>
      <c r="AN884" s="458"/>
      <c r="BA884" s="1305"/>
      <c r="BC884" s="169"/>
    </row>
    <row r="885" spans="19:55" ht="15.75" customHeight="1">
      <c r="S885" s="454"/>
      <c r="AN885" s="458"/>
      <c r="BA885" s="1305"/>
      <c r="BC885" s="169"/>
    </row>
    <row r="886" spans="19:55" ht="15.75" customHeight="1">
      <c r="S886" s="454"/>
      <c r="AN886" s="458"/>
      <c r="BA886" s="1305"/>
      <c r="BC886" s="169"/>
    </row>
    <row r="887" spans="19:55" ht="15.75" customHeight="1">
      <c r="S887" s="454"/>
      <c r="AN887" s="458"/>
      <c r="BA887" s="1305"/>
      <c r="BC887" s="169"/>
    </row>
    <row r="888" spans="19:55" ht="15.75" customHeight="1">
      <c r="S888" s="454"/>
      <c r="AN888" s="458"/>
      <c r="BA888" s="1305"/>
      <c r="BC888" s="169"/>
    </row>
    <row r="889" spans="19:55" ht="15.75" customHeight="1">
      <c r="S889" s="454"/>
      <c r="AN889" s="458"/>
      <c r="BA889" s="1305"/>
      <c r="BC889" s="169"/>
    </row>
    <row r="890" spans="19:55" ht="15.75" customHeight="1">
      <c r="S890" s="454"/>
      <c r="AN890" s="458"/>
      <c r="BA890" s="1305"/>
      <c r="BC890" s="169"/>
    </row>
    <row r="891" spans="19:55" ht="15.75" customHeight="1">
      <c r="S891" s="454"/>
      <c r="AN891" s="458"/>
      <c r="BA891" s="1305"/>
      <c r="BC891" s="169"/>
    </row>
    <row r="892" spans="19:55" ht="15.75" customHeight="1">
      <c r="S892" s="454"/>
      <c r="AN892" s="458"/>
      <c r="BA892" s="1305"/>
      <c r="BC892" s="169"/>
    </row>
    <row r="893" spans="19:55" ht="15.75" customHeight="1">
      <c r="S893" s="454"/>
      <c r="AN893" s="458"/>
      <c r="BA893" s="1305"/>
      <c r="BC893" s="169"/>
    </row>
    <row r="894" spans="19:55" ht="15.75" customHeight="1">
      <c r="S894" s="454"/>
      <c r="AN894" s="458"/>
      <c r="BA894" s="1305"/>
      <c r="BC894" s="169"/>
    </row>
    <row r="895" spans="19:55" ht="15.75" customHeight="1">
      <c r="S895" s="454"/>
      <c r="AN895" s="458"/>
      <c r="BA895" s="1305"/>
      <c r="BC895" s="169"/>
    </row>
    <row r="896" spans="19:55" ht="15.75" customHeight="1">
      <c r="S896" s="454"/>
      <c r="AN896" s="458"/>
      <c r="BA896" s="1305"/>
      <c r="BC896" s="169"/>
    </row>
    <row r="897" spans="19:55" ht="15.75" customHeight="1">
      <c r="S897" s="454"/>
      <c r="AN897" s="458"/>
      <c r="BA897" s="1305"/>
      <c r="BC897" s="169"/>
    </row>
    <row r="898" spans="19:55" ht="15.75" customHeight="1">
      <c r="S898" s="454"/>
      <c r="AN898" s="458"/>
      <c r="BA898" s="1305"/>
      <c r="BC898" s="169"/>
    </row>
    <row r="899" spans="19:55" ht="15.75" customHeight="1">
      <c r="S899" s="454"/>
      <c r="AN899" s="458"/>
      <c r="BA899" s="1305"/>
      <c r="BC899" s="169"/>
    </row>
    <row r="900" spans="19:55" ht="15.75" customHeight="1">
      <c r="S900" s="454"/>
      <c r="AN900" s="458"/>
      <c r="BA900" s="1305"/>
      <c r="BC900" s="169"/>
    </row>
    <row r="901" spans="19:55" ht="15.75" customHeight="1">
      <c r="S901" s="454"/>
      <c r="AN901" s="458"/>
      <c r="BA901" s="1305"/>
      <c r="BC901" s="169"/>
    </row>
    <row r="902" spans="19:55" ht="15.75" customHeight="1">
      <c r="S902" s="454"/>
      <c r="AN902" s="458"/>
      <c r="BA902" s="1305"/>
      <c r="BC902" s="169"/>
    </row>
    <row r="903" spans="19:55" ht="15.75" customHeight="1">
      <c r="S903" s="454"/>
      <c r="AN903" s="458"/>
      <c r="BA903" s="1305"/>
      <c r="BC903" s="169"/>
    </row>
    <row r="904" spans="19:55" ht="15.75" customHeight="1">
      <c r="S904" s="454"/>
      <c r="AN904" s="458"/>
      <c r="BA904" s="1305"/>
      <c r="BC904" s="169"/>
    </row>
    <row r="905" spans="19:55" ht="15.75" customHeight="1">
      <c r="S905" s="454"/>
      <c r="AN905" s="458"/>
      <c r="BA905" s="1305"/>
      <c r="BC905" s="169"/>
    </row>
    <row r="906" spans="19:55" ht="15.75" customHeight="1">
      <c r="S906" s="454"/>
      <c r="AN906" s="458"/>
      <c r="BA906" s="1305"/>
      <c r="BC906" s="169"/>
    </row>
    <row r="907" spans="19:55" ht="15.75" customHeight="1">
      <c r="S907" s="454"/>
      <c r="AN907" s="458"/>
      <c r="BA907" s="1305"/>
      <c r="BC907" s="169"/>
    </row>
    <row r="908" spans="19:55" ht="15.75" customHeight="1">
      <c r="S908" s="454"/>
      <c r="AN908" s="458"/>
      <c r="BA908" s="1305"/>
      <c r="BC908" s="169"/>
    </row>
    <row r="909" spans="19:55" ht="15.75" customHeight="1">
      <c r="S909" s="454"/>
      <c r="AN909" s="458"/>
      <c r="BA909" s="1305"/>
      <c r="BC909" s="169"/>
    </row>
    <row r="910" spans="19:55" ht="15.75" customHeight="1">
      <c r="S910" s="454"/>
      <c r="AN910" s="458"/>
      <c r="BA910" s="1305"/>
      <c r="BC910" s="169"/>
    </row>
    <row r="911" spans="19:55" ht="15.75" customHeight="1">
      <c r="S911" s="454"/>
      <c r="AN911" s="458"/>
      <c r="BA911" s="1305"/>
      <c r="BC911" s="169"/>
    </row>
    <row r="912" spans="19:55" ht="15.75" customHeight="1">
      <c r="S912" s="454"/>
      <c r="AN912" s="458"/>
      <c r="BA912" s="1305"/>
      <c r="BC912" s="169"/>
    </row>
    <row r="913" spans="19:55" ht="15.75" customHeight="1">
      <c r="S913" s="454"/>
      <c r="AN913" s="458"/>
      <c r="BA913" s="1305"/>
      <c r="BC913" s="169"/>
    </row>
    <row r="914" spans="19:55" ht="15.75" customHeight="1">
      <c r="S914" s="454"/>
      <c r="AN914" s="458"/>
      <c r="BA914" s="1305"/>
      <c r="BC914" s="169"/>
    </row>
    <row r="915" spans="19:55" ht="15.75" customHeight="1">
      <c r="S915" s="454"/>
      <c r="AN915" s="458"/>
      <c r="BA915" s="1305"/>
      <c r="BC915" s="169"/>
    </row>
    <row r="916" spans="19:55" ht="15.75" customHeight="1">
      <c r="S916" s="454"/>
      <c r="AN916" s="458"/>
      <c r="BA916" s="1305"/>
      <c r="BC916" s="169"/>
    </row>
    <row r="917" spans="19:55" ht="15.75" customHeight="1">
      <c r="S917" s="454"/>
      <c r="AN917" s="458"/>
      <c r="BA917" s="1305"/>
      <c r="BC917" s="169"/>
    </row>
    <row r="918" spans="19:55" ht="15.75" customHeight="1">
      <c r="S918" s="454"/>
      <c r="AN918" s="458"/>
      <c r="BA918" s="1305"/>
      <c r="BC918" s="169"/>
    </row>
    <row r="919" spans="19:55" ht="15.75" customHeight="1">
      <c r="S919" s="454"/>
      <c r="AN919" s="458"/>
      <c r="BA919" s="1305"/>
      <c r="BC919" s="169"/>
    </row>
    <row r="920" spans="19:55" ht="15.75" customHeight="1">
      <c r="S920" s="454"/>
      <c r="AN920" s="458"/>
      <c r="BA920" s="1305"/>
      <c r="BC920" s="169"/>
    </row>
    <row r="921" spans="19:55" ht="15.75" customHeight="1">
      <c r="S921" s="454"/>
      <c r="AN921" s="458"/>
      <c r="BA921" s="1305"/>
      <c r="BC921" s="169"/>
    </row>
    <row r="922" spans="19:55" ht="15.75" customHeight="1">
      <c r="S922" s="454"/>
      <c r="AN922" s="458"/>
      <c r="BA922" s="1305"/>
      <c r="BC922" s="169"/>
    </row>
    <row r="923" spans="19:55" ht="15.75" customHeight="1">
      <c r="S923" s="454"/>
      <c r="AN923" s="458"/>
      <c r="BA923" s="1305"/>
      <c r="BC923" s="169"/>
    </row>
    <row r="924" spans="19:55" ht="15.75" customHeight="1">
      <c r="S924" s="454"/>
      <c r="AN924" s="458"/>
      <c r="BA924" s="1305"/>
      <c r="BC924" s="169"/>
    </row>
    <row r="925" spans="19:55" ht="15.75" customHeight="1">
      <c r="S925" s="454"/>
      <c r="AN925" s="458"/>
      <c r="BA925" s="1305"/>
      <c r="BC925" s="169"/>
    </row>
    <row r="926" spans="19:55" ht="15.75" customHeight="1">
      <c r="S926" s="454"/>
      <c r="AN926" s="458"/>
      <c r="BA926" s="1305"/>
      <c r="BC926" s="169"/>
    </row>
    <row r="927" spans="19:55" ht="15.75" customHeight="1">
      <c r="S927" s="454"/>
      <c r="AN927" s="458"/>
      <c r="BA927" s="1305"/>
      <c r="BC927" s="169"/>
    </row>
    <row r="928" spans="19:55" ht="15.75" customHeight="1">
      <c r="S928" s="454"/>
      <c r="AN928" s="458"/>
      <c r="BA928" s="1305"/>
      <c r="BC928" s="169"/>
    </row>
    <row r="929" spans="19:55" ht="15.75" customHeight="1">
      <c r="S929" s="454"/>
      <c r="AN929" s="458"/>
      <c r="BA929" s="1305"/>
      <c r="BC929" s="169"/>
    </row>
    <row r="930" spans="19:55" ht="15.75" customHeight="1">
      <c r="S930" s="454"/>
      <c r="AN930" s="458"/>
      <c r="BA930" s="1305"/>
      <c r="BC930" s="169"/>
    </row>
    <row r="931" spans="19:55" ht="15.75" customHeight="1">
      <c r="S931" s="454"/>
      <c r="AN931" s="458"/>
      <c r="BA931" s="1305"/>
      <c r="BC931" s="169"/>
    </row>
    <row r="932" spans="19:55" ht="15.75" customHeight="1">
      <c r="S932" s="454"/>
      <c r="AN932" s="458"/>
      <c r="BA932" s="1305"/>
      <c r="BC932" s="169"/>
    </row>
    <row r="933" spans="19:55" ht="15.75" customHeight="1">
      <c r="S933" s="454"/>
      <c r="AN933" s="458"/>
      <c r="BA933" s="1305"/>
      <c r="BC933" s="169"/>
    </row>
    <row r="934" spans="19:55" ht="15.75" customHeight="1">
      <c r="S934" s="454"/>
      <c r="AN934" s="458"/>
      <c r="BA934" s="1305"/>
      <c r="BC934" s="169"/>
    </row>
    <row r="935" spans="19:55" ht="15.75" customHeight="1">
      <c r="S935" s="454"/>
      <c r="AN935" s="458"/>
      <c r="BA935" s="1305"/>
      <c r="BC935" s="169"/>
    </row>
    <row r="936" spans="19:55" ht="15.75" customHeight="1">
      <c r="S936" s="454"/>
      <c r="AN936" s="458"/>
      <c r="BA936" s="1305"/>
      <c r="BC936" s="169"/>
    </row>
    <row r="937" spans="19:55" ht="15.75" customHeight="1">
      <c r="S937" s="454"/>
      <c r="AN937" s="458"/>
      <c r="BA937" s="1305"/>
      <c r="BC937" s="169"/>
    </row>
    <row r="938" spans="19:55" ht="15.75" customHeight="1">
      <c r="S938" s="454"/>
      <c r="AN938" s="458"/>
      <c r="BA938" s="1305"/>
      <c r="BC938" s="169"/>
    </row>
    <row r="939" spans="19:55" ht="15.75" customHeight="1">
      <c r="S939" s="454"/>
      <c r="AN939" s="458"/>
      <c r="BA939" s="1305"/>
      <c r="BC939" s="169"/>
    </row>
    <row r="940" spans="19:55" ht="15.75" customHeight="1">
      <c r="S940" s="454"/>
      <c r="AN940" s="458"/>
      <c r="BA940" s="1305"/>
      <c r="BC940" s="169"/>
    </row>
    <row r="941" spans="19:55" ht="15.75" customHeight="1">
      <c r="S941" s="454"/>
      <c r="AN941" s="458"/>
      <c r="BA941" s="1305"/>
      <c r="BC941" s="169"/>
    </row>
    <row r="942" spans="19:55" ht="15.75" customHeight="1">
      <c r="S942" s="454"/>
      <c r="AN942" s="458"/>
      <c r="BA942" s="1305"/>
      <c r="BC942" s="169"/>
    </row>
    <row r="943" spans="19:55" ht="15.75" customHeight="1">
      <c r="S943" s="454"/>
      <c r="AN943" s="458"/>
      <c r="BA943" s="1305"/>
      <c r="BC943" s="169"/>
    </row>
    <row r="944" spans="19:55" ht="15.75" customHeight="1">
      <c r="S944" s="454"/>
      <c r="AN944" s="458"/>
      <c r="BA944" s="1305"/>
      <c r="BC944" s="169"/>
    </row>
    <row r="945" spans="19:55" ht="15.75" customHeight="1">
      <c r="S945" s="454"/>
      <c r="AN945" s="458"/>
      <c r="BA945" s="1305"/>
      <c r="BC945" s="169"/>
    </row>
    <row r="946" spans="19:55" ht="15.75" customHeight="1">
      <c r="S946" s="454"/>
      <c r="AN946" s="458"/>
      <c r="BA946" s="1305"/>
      <c r="BC946" s="169"/>
    </row>
    <row r="947" spans="19:55" ht="15.75" customHeight="1">
      <c r="S947" s="454"/>
      <c r="AN947" s="458"/>
      <c r="BA947" s="1305"/>
      <c r="BC947" s="169"/>
    </row>
    <row r="948" spans="19:55" ht="15.75" customHeight="1">
      <c r="S948" s="454"/>
      <c r="AN948" s="458"/>
      <c r="BA948" s="1305"/>
      <c r="BC948" s="169"/>
    </row>
    <row r="949" spans="19:55" ht="15.75" customHeight="1">
      <c r="S949" s="454"/>
      <c r="AN949" s="458"/>
      <c r="BA949" s="1305"/>
      <c r="BC949" s="169"/>
    </row>
    <row r="950" spans="19:55" ht="15.75" customHeight="1">
      <c r="S950" s="454"/>
      <c r="AN950" s="458"/>
      <c r="BA950" s="1305"/>
      <c r="BC950" s="169"/>
    </row>
    <row r="951" spans="19:55" ht="15.75" customHeight="1">
      <c r="S951" s="454"/>
      <c r="AN951" s="458"/>
      <c r="BA951" s="1305"/>
      <c r="BC951" s="169"/>
    </row>
    <row r="952" spans="19:55" ht="15.75" customHeight="1">
      <c r="S952" s="454"/>
      <c r="AN952" s="458"/>
      <c r="BA952" s="1305"/>
      <c r="BC952" s="169"/>
    </row>
    <row r="953" spans="19:55" ht="15.75" customHeight="1">
      <c r="S953" s="454"/>
      <c r="AN953" s="458"/>
      <c r="BA953" s="1305"/>
      <c r="BC953" s="169"/>
    </row>
    <row r="954" spans="19:55" ht="15.75" customHeight="1">
      <c r="S954" s="454"/>
      <c r="AN954" s="458"/>
      <c r="BA954" s="1305"/>
      <c r="BC954" s="169"/>
    </row>
    <row r="955" spans="19:55" ht="15.75" customHeight="1">
      <c r="S955" s="454"/>
      <c r="AN955" s="458"/>
      <c r="BA955" s="1305"/>
      <c r="BC955" s="169"/>
    </row>
    <row r="956" spans="19:55" ht="15.75" customHeight="1">
      <c r="S956" s="454"/>
      <c r="AN956" s="458"/>
      <c r="BA956" s="1305"/>
      <c r="BC956" s="169"/>
    </row>
    <row r="957" spans="19:55" ht="15.75" customHeight="1">
      <c r="S957" s="454"/>
      <c r="AN957" s="458"/>
      <c r="BA957" s="1305"/>
      <c r="BC957" s="169"/>
    </row>
    <row r="958" spans="19:55" ht="15.75" customHeight="1">
      <c r="S958" s="454"/>
      <c r="AN958" s="458"/>
      <c r="BA958" s="1305"/>
      <c r="BC958" s="169"/>
    </row>
    <row r="959" spans="19:55" ht="15.75" customHeight="1">
      <c r="S959" s="454"/>
      <c r="AN959" s="458"/>
      <c r="BA959" s="1305"/>
      <c r="BC959" s="169"/>
    </row>
    <row r="960" spans="19:55" ht="15.75" customHeight="1">
      <c r="S960" s="454"/>
      <c r="AN960" s="458"/>
      <c r="BA960" s="1305"/>
      <c r="BC960" s="169"/>
    </row>
    <row r="961" spans="19:55" ht="15.75" customHeight="1">
      <c r="S961" s="454"/>
      <c r="AN961" s="458"/>
      <c r="BA961" s="1305"/>
      <c r="BC961" s="169"/>
    </row>
    <row r="962" spans="19:55" ht="15.75" customHeight="1">
      <c r="S962" s="454"/>
      <c r="AN962" s="458"/>
      <c r="BA962" s="1305"/>
      <c r="BC962" s="169"/>
    </row>
    <row r="963" spans="19:55" ht="15.75" customHeight="1">
      <c r="S963" s="454"/>
      <c r="AN963" s="458"/>
      <c r="BA963" s="1305"/>
      <c r="BC963" s="169"/>
    </row>
    <row r="964" spans="19:55" ht="15.75" customHeight="1">
      <c r="S964" s="454"/>
      <c r="AN964" s="458"/>
      <c r="BA964" s="1305"/>
      <c r="BC964" s="169"/>
    </row>
    <row r="965" spans="19:55" ht="15.75" customHeight="1">
      <c r="S965" s="454"/>
      <c r="AN965" s="458"/>
      <c r="BA965" s="1305"/>
      <c r="BC965" s="169"/>
    </row>
    <row r="966" spans="19:55" ht="15.75" customHeight="1">
      <c r="S966" s="454"/>
      <c r="AN966" s="458"/>
      <c r="BA966" s="1305"/>
      <c r="BC966" s="169"/>
    </row>
    <row r="967" spans="19:55" ht="15.75" customHeight="1">
      <c r="S967" s="454"/>
      <c r="AN967" s="458"/>
      <c r="BA967" s="1305"/>
      <c r="BC967" s="169"/>
    </row>
    <row r="968" spans="19:55" ht="15.75" customHeight="1">
      <c r="S968" s="454"/>
      <c r="AN968" s="458"/>
      <c r="BA968" s="1305"/>
      <c r="BC968" s="169"/>
    </row>
    <row r="969" spans="19:55" ht="15.75" customHeight="1">
      <c r="S969" s="454"/>
      <c r="AN969" s="458"/>
      <c r="BA969" s="1305"/>
      <c r="BC969" s="169"/>
    </row>
    <row r="970" spans="19:55" ht="15.75" customHeight="1">
      <c r="S970" s="454"/>
      <c r="AN970" s="458"/>
      <c r="BA970" s="1305"/>
      <c r="BC970" s="169"/>
    </row>
    <row r="971" spans="19:55" ht="15.75" customHeight="1">
      <c r="S971" s="454"/>
      <c r="AN971" s="458"/>
      <c r="BA971" s="1305"/>
      <c r="BC971" s="169"/>
    </row>
    <row r="972" spans="19:55" ht="15.75" customHeight="1">
      <c r="S972" s="454"/>
      <c r="AN972" s="458"/>
      <c r="BA972" s="1305"/>
      <c r="BC972" s="169"/>
    </row>
    <row r="973" spans="19:55" ht="15.75" customHeight="1">
      <c r="S973" s="454"/>
      <c r="AN973" s="458"/>
      <c r="BA973" s="1305"/>
      <c r="BC973" s="169"/>
    </row>
    <row r="974" spans="19:55" ht="15.75" customHeight="1">
      <c r="S974" s="454"/>
      <c r="AN974" s="458"/>
      <c r="BA974" s="1305"/>
      <c r="BC974" s="169"/>
    </row>
    <row r="975" spans="19:55" ht="15.75" customHeight="1">
      <c r="S975" s="454"/>
      <c r="AN975" s="458"/>
      <c r="BA975" s="1305"/>
      <c r="BC975" s="169"/>
    </row>
    <row r="976" spans="19:55" ht="15.75" customHeight="1">
      <c r="S976" s="454"/>
      <c r="AN976" s="458"/>
      <c r="BA976" s="1305"/>
      <c r="BC976" s="169"/>
    </row>
    <row r="977" spans="19:55" ht="15.75" customHeight="1">
      <c r="S977" s="454"/>
      <c r="AN977" s="458"/>
      <c r="BA977" s="1305"/>
      <c r="BC977" s="169"/>
    </row>
    <row r="978" spans="19:55" ht="15.75" customHeight="1">
      <c r="S978" s="454"/>
      <c r="AN978" s="458"/>
      <c r="BA978" s="1305"/>
      <c r="BC978" s="169"/>
    </row>
    <row r="979" spans="19:55" ht="15.75" customHeight="1">
      <c r="S979" s="454"/>
      <c r="AN979" s="458"/>
      <c r="BA979" s="1305"/>
      <c r="BC979" s="169"/>
    </row>
    <row r="980" spans="19:55" ht="15.75" customHeight="1">
      <c r="S980" s="454"/>
      <c r="AN980" s="458"/>
      <c r="BA980" s="1305"/>
      <c r="BC980" s="169"/>
    </row>
    <row r="981" spans="19:55" ht="15.75" customHeight="1">
      <c r="S981" s="454"/>
      <c r="AN981" s="458"/>
      <c r="BA981" s="1305"/>
      <c r="BC981" s="169"/>
    </row>
    <row r="982" spans="19:55" ht="15.75" customHeight="1">
      <c r="S982" s="454"/>
      <c r="AN982" s="458"/>
      <c r="BA982" s="1305"/>
      <c r="BC982" s="169"/>
    </row>
    <row r="983" spans="19:55" ht="15.75" customHeight="1">
      <c r="S983" s="454"/>
      <c r="AN983" s="458"/>
      <c r="BA983" s="1305"/>
      <c r="BC983" s="169"/>
    </row>
    <row r="984" spans="19:55" ht="15.75" customHeight="1">
      <c r="S984" s="454"/>
      <c r="AN984" s="458"/>
      <c r="BA984" s="1305"/>
      <c r="BC984" s="169"/>
    </row>
    <row r="985" spans="19:55" ht="15.75" customHeight="1">
      <c r="S985" s="454"/>
      <c r="AN985" s="458"/>
      <c r="BA985" s="1305"/>
      <c r="BC985" s="169"/>
    </row>
    <row r="986" spans="19:55" ht="15.75" customHeight="1">
      <c r="S986" s="454"/>
      <c r="AN986" s="458"/>
      <c r="BA986" s="1305"/>
      <c r="BC986" s="169"/>
    </row>
    <row r="987" spans="19:55" ht="15.75" customHeight="1">
      <c r="S987" s="454"/>
      <c r="AN987" s="458"/>
      <c r="BA987" s="1305"/>
      <c r="BC987" s="169"/>
    </row>
    <row r="988" spans="19:55" ht="15.75" customHeight="1">
      <c r="S988" s="454"/>
      <c r="AN988" s="458"/>
      <c r="BA988" s="1305"/>
      <c r="BC988" s="169"/>
    </row>
    <row r="989" spans="19:55" ht="15.75" customHeight="1">
      <c r="S989" s="454"/>
      <c r="AN989" s="458"/>
      <c r="BA989" s="1305"/>
      <c r="BC989" s="169"/>
    </row>
    <row r="990" spans="19:55" ht="15.75" customHeight="1">
      <c r="S990" s="454"/>
      <c r="AN990" s="458"/>
      <c r="BA990" s="1305"/>
      <c r="BC990" s="169"/>
    </row>
    <row r="991" spans="19:55" ht="15.75" customHeight="1">
      <c r="S991" s="454"/>
      <c r="AN991" s="458"/>
      <c r="BA991" s="1305"/>
      <c r="BC991" s="169"/>
    </row>
    <row r="992" spans="19:55" ht="15.75" customHeight="1">
      <c r="S992" s="454"/>
      <c r="AN992" s="458"/>
      <c r="BA992" s="1305"/>
      <c r="BC992" s="169"/>
    </row>
    <row r="993" spans="19:55" ht="15.75" customHeight="1">
      <c r="S993" s="454"/>
      <c r="AN993" s="458"/>
      <c r="BA993" s="1305"/>
      <c r="BC993" s="169"/>
    </row>
    <row r="994" spans="19:55" ht="15.75" customHeight="1">
      <c r="S994" s="454"/>
      <c r="AN994" s="458"/>
      <c r="BA994" s="1305"/>
      <c r="BC994" s="169"/>
    </row>
    <row r="995" spans="19:55" ht="15.75" customHeight="1">
      <c r="S995" s="454"/>
      <c r="AN995" s="458"/>
      <c r="BA995" s="1305"/>
      <c r="BC995" s="169"/>
    </row>
    <row r="996" spans="19:55" ht="15.75" customHeight="1">
      <c r="S996" s="454"/>
      <c r="AN996" s="458"/>
      <c r="BA996" s="1305"/>
      <c r="BC996" s="169"/>
    </row>
    <row r="997" spans="19:55" ht="15.75" customHeight="1">
      <c r="S997" s="454"/>
      <c r="AN997" s="458"/>
      <c r="BA997" s="1305"/>
      <c r="BC997" s="169"/>
    </row>
    <row r="998" spans="19:55" ht="15.75" customHeight="1">
      <c r="S998" s="454"/>
      <c r="AN998" s="458"/>
      <c r="BA998" s="1305"/>
      <c r="BC998" s="169"/>
    </row>
    <row r="999" spans="19:55" ht="15.75" customHeight="1">
      <c r="S999" s="454"/>
      <c r="AN999" s="458"/>
      <c r="BA999" s="1305"/>
      <c r="BC999" s="169"/>
    </row>
    <row r="1000" spans="19:55" ht="15.75" customHeight="1">
      <c r="S1000" s="454"/>
      <c r="AN1000" s="458"/>
      <c r="BA1000" s="1305"/>
      <c r="BC1000" s="169"/>
    </row>
    <row r="1001" spans="19:55" ht="15.75" customHeight="1">
      <c r="S1001" s="454"/>
      <c r="AN1001" s="458"/>
      <c r="BA1001" s="1305"/>
      <c r="BC1001" s="169"/>
    </row>
    <row r="1002" spans="19:55" ht="15.75" customHeight="1">
      <c r="S1002" s="454"/>
      <c r="AN1002" s="458"/>
      <c r="BA1002" s="1305"/>
      <c r="BC1002" s="169"/>
    </row>
    <row r="1003" spans="19:55" ht="15.75" customHeight="1">
      <c r="S1003" s="454"/>
      <c r="AN1003" s="458"/>
      <c r="BA1003" s="1305"/>
      <c r="BC1003" s="169"/>
    </row>
    <row r="1004" spans="19:55" ht="15.75" customHeight="1">
      <c r="S1004" s="454"/>
      <c r="AN1004" s="458"/>
      <c r="BA1004" s="1305"/>
      <c r="BC1004" s="169"/>
    </row>
    <row r="1005" spans="19:55" ht="15.75" customHeight="1">
      <c r="S1005" s="454"/>
      <c r="AN1005" s="458"/>
      <c r="BA1005" s="1305"/>
      <c r="BC1005" s="169"/>
    </row>
    <row r="1006" spans="19:55" ht="15.75" customHeight="1">
      <c r="S1006" s="454"/>
      <c r="AN1006" s="458"/>
      <c r="BA1006" s="1305"/>
      <c r="BC1006" s="169"/>
    </row>
    <row r="1007" spans="19:55" ht="15.75" customHeight="1">
      <c r="S1007" s="454"/>
      <c r="AN1007" s="458"/>
      <c r="BA1007" s="1305"/>
      <c r="BC1007" s="169"/>
    </row>
    <row r="1008" spans="19:55" ht="15.75" customHeight="1">
      <c r="S1008" s="454"/>
      <c r="AN1008" s="458"/>
      <c r="BA1008" s="1305"/>
      <c r="BC1008" s="169"/>
    </row>
    <row r="1009" spans="19:55" ht="15.75" customHeight="1">
      <c r="S1009" s="454"/>
      <c r="AN1009" s="458"/>
      <c r="BA1009" s="1305"/>
      <c r="BC1009" s="169"/>
    </row>
    <row r="1010" spans="19:55" ht="15.75" customHeight="1">
      <c r="S1010" s="454"/>
      <c r="AN1010" s="458"/>
      <c r="BA1010" s="1305"/>
      <c r="BC1010" s="169"/>
    </row>
    <row r="1011" spans="19:55" ht="15.75" customHeight="1">
      <c r="S1011" s="454"/>
      <c r="AN1011" s="458"/>
      <c r="BA1011" s="1305"/>
      <c r="BC1011" s="169"/>
    </row>
    <row r="1012" spans="19:55" ht="15.75" customHeight="1">
      <c r="S1012" s="454"/>
      <c r="AN1012" s="458"/>
      <c r="BA1012" s="1305"/>
      <c r="BC1012" s="169"/>
    </row>
    <row r="1013" spans="19:55" ht="15.75" customHeight="1">
      <c r="S1013" s="454"/>
      <c r="AN1013" s="458"/>
      <c r="BA1013" s="1305"/>
      <c r="BC1013" s="169"/>
    </row>
    <row r="1014" spans="19:55" ht="15.75" customHeight="1">
      <c r="S1014" s="454"/>
      <c r="AN1014" s="458"/>
      <c r="BA1014" s="1305"/>
      <c r="BC1014" s="169"/>
    </row>
    <row r="1015" spans="19:55" ht="15.75" customHeight="1">
      <c r="S1015" s="454"/>
      <c r="AN1015" s="458"/>
      <c r="BA1015" s="1305"/>
      <c r="BC1015" s="169"/>
    </row>
    <row r="1016" spans="19:55" ht="15.75" customHeight="1">
      <c r="S1016" s="454"/>
      <c r="AN1016" s="458"/>
      <c r="BA1016" s="1305"/>
      <c r="BC1016" s="169"/>
    </row>
    <row r="1017" spans="19:55" ht="15.75" customHeight="1">
      <c r="S1017" s="454"/>
      <c r="AN1017" s="458"/>
      <c r="BA1017" s="1305"/>
      <c r="BC1017" s="169"/>
    </row>
    <row r="1018" spans="19:55" ht="15.75" customHeight="1">
      <c r="S1018" s="454"/>
      <c r="AN1018" s="458"/>
      <c r="BA1018" s="1305"/>
      <c r="BC1018" s="169"/>
    </row>
    <row r="1019" spans="19:55" ht="15.75" customHeight="1">
      <c r="S1019" s="454"/>
      <c r="AN1019" s="458"/>
      <c r="BA1019" s="1305"/>
      <c r="BC1019" s="169"/>
    </row>
    <row r="1020" spans="19:55" ht="15.75" customHeight="1">
      <c r="S1020" s="454"/>
      <c r="AN1020" s="458"/>
      <c r="BA1020" s="1305"/>
      <c r="BC1020" s="169"/>
    </row>
    <row r="1021" spans="19:55" ht="15.75" customHeight="1">
      <c r="S1021" s="454"/>
      <c r="AN1021" s="458"/>
      <c r="BA1021" s="1305"/>
      <c r="BC1021" s="169"/>
    </row>
    <row r="1022" spans="19:55" ht="15.75" customHeight="1">
      <c r="S1022" s="454"/>
      <c r="AN1022" s="458"/>
      <c r="BA1022" s="1305"/>
      <c r="BC1022" s="169"/>
    </row>
    <row r="1023" spans="19:55" ht="15.75" customHeight="1">
      <c r="S1023" s="454"/>
      <c r="AN1023" s="458"/>
      <c r="BA1023" s="1305"/>
      <c r="BC1023" s="169"/>
    </row>
    <row r="1024" spans="19:55" ht="15.75" customHeight="1">
      <c r="S1024" s="454"/>
      <c r="AN1024" s="458"/>
      <c r="BA1024" s="1305"/>
      <c r="BC1024" s="169"/>
    </row>
    <row r="1025" spans="19:55" ht="15.75" customHeight="1">
      <c r="S1025" s="454"/>
      <c r="AN1025" s="458"/>
      <c r="BA1025" s="1305"/>
      <c r="BC1025" s="169"/>
    </row>
    <row r="1026" spans="19:55" ht="15.75" customHeight="1">
      <c r="S1026" s="454"/>
      <c r="AN1026" s="458"/>
      <c r="BA1026" s="1305"/>
      <c r="BC1026" s="169"/>
    </row>
    <row r="1027" spans="19:55" ht="15.75" customHeight="1">
      <c r="S1027" s="454"/>
      <c r="AN1027" s="458"/>
      <c r="BA1027" s="1305"/>
      <c r="BC1027" s="169"/>
    </row>
    <row r="1028" spans="19:55" ht="15.75" customHeight="1">
      <c r="S1028" s="454"/>
      <c r="AN1028" s="458"/>
      <c r="BA1028" s="1305"/>
      <c r="BC1028" s="169"/>
    </row>
    <row r="1029" spans="19:55" ht="15.75" customHeight="1">
      <c r="S1029" s="454"/>
      <c r="AN1029" s="458"/>
      <c r="BA1029" s="1305"/>
      <c r="BC1029" s="169"/>
    </row>
    <row r="1030" spans="19:55" ht="15.75" customHeight="1">
      <c r="S1030" s="454"/>
      <c r="AN1030" s="458"/>
      <c r="BA1030" s="1305"/>
      <c r="BC1030" s="169"/>
    </row>
    <row r="1031" spans="19:55" ht="15.75" customHeight="1">
      <c r="S1031" s="454"/>
      <c r="AN1031" s="458"/>
      <c r="BA1031" s="1305"/>
      <c r="BC1031" s="169"/>
    </row>
    <row r="1032" spans="19:55" ht="15.75" customHeight="1">
      <c r="S1032" s="454"/>
      <c r="AN1032" s="458"/>
      <c r="BA1032" s="1305"/>
      <c r="BC1032" s="169"/>
    </row>
    <row r="1033" spans="19:55" ht="15.75" customHeight="1">
      <c r="S1033" s="454"/>
      <c r="AN1033" s="458"/>
      <c r="BA1033" s="1305"/>
      <c r="BC1033" s="169"/>
    </row>
    <row r="1034" spans="19:55" ht="15.75" customHeight="1">
      <c r="S1034" s="454"/>
      <c r="AN1034" s="458"/>
      <c r="BA1034" s="1305"/>
      <c r="BC1034" s="169"/>
    </row>
    <row r="1035" spans="19:55" ht="15.75" customHeight="1">
      <c r="S1035" s="454"/>
      <c r="AN1035" s="458"/>
      <c r="BA1035" s="1305"/>
      <c r="BC1035" s="169"/>
    </row>
    <row r="1036" spans="19:55" ht="15.75" customHeight="1">
      <c r="S1036" s="454"/>
      <c r="AN1036" s="458"/>
      <c r="BA1036" s="1305"/>
      <c r="BC1036" s="169"/>
    </row>
    <row r="1037" spans="19:55" ht="15.75" customHeight="1">
      <c r="S1037" s="454"/>
      <c r="AN1037" s="458"/>
      <c r="BA1037" s="1305"/>
      <c r="BC1037" s="169"/>
    </row>
    <row r="1038" spans="19:55" ht="15.75" customHeight="1">
      <c r="S1038" s="454"/>
      <c r="AN1038" s="458"/>
      <c r="BA1038" s="1305"/>
      <c r="BC1038" s="169"/>
    </row>
    <row r="1039" spans="19:55" ht="15.75" customHeight="1">
      <c r="S1039" s="454"/>
      <c r="AN1039" s="458"/>
      <c r="BA1039" s="1266"/>
      <c r="BC1039" s="169"/>
    </row>
    <row r="1040" spans="19:55" ht="15.75" customHeight="1">
      <c r="S1040" s="454"/>
      <c r="AN1040" s="458"/>
      <c r="BA1040" s="1266"/>
      <c r="BC1040" s="169"/>
    </row>
    <row r="1041" spans="19:55" ht="15.75" customHeight="1">
      <c r="S1041" s="454"/>
      <c r="AN1041" s="458"/>
      <c r="BA1041" s="1266"/>
      <c r="BC1041" s="169"/>
    </row>
    <row r="1042" spans="19:55" ht="15.75" customHeight="1">
      <c r="S1042" s="454"/>
      <c r="AN1042" s="458"/>
      <c r="BA1042" s="1266"/>
      <c r="BC1042" s="169"/>
    </row>
    <row r="1043" spans="19:55" ht="15.75" customHeight="1">
      <c r="S1043" s="454"/>
      <c r="AN1043" s="458"/>
      <c r="BA1043" s="1266"/>
      <c r="BC1043" s="169"/>
    </row>
    <row r="1044" spans="19:55" ht="15.75" customHeight="1">
      <c r="S1044" s="454"/>
      <c r="AN1044" s="458"/>
      <c r="BA1044" s="1266"/>
      <c r="BC1044" s="169"/>
    </row>
    <row r="1045" spans="19:55" ht="15.75" customHeight="1">
      <c r="S1045" s="454"/>
      <c r="AN1045" s="458"/>
      <c r="BA1045" s="1266"/>
      <c r="BC1045" s="169"/>
    </row>
    <row r="1046" spans="19:55" ht="15.75" customHeight="1">
      <c r="S1046" s="454"/>
      <c r="AN1046" s="458"/>
      <c r="BA1046" s="1266"/>
      <c r="BC1046" s="169"/>
    </row>
    <row r="1047" spans="19:55" ht="15.75" customHeight="1">
      <c r="S1047" s="454"/>
      <c r="AN1047" s="458"/>
      <c r="BA1047" s="1266"/>
      <c r="BC1047" s="169"/>
    </row>
    <row r="1048" spans="19:55" ht="15.75" customHeight="1">
      <c r="S1048" s="454"/>
      <c r="AN1048" s="458"/>
      <c r="BA1048" s="1266"/>
      <c r="BC1048" s="169"/>
    </row>
    <row r="1049" spans="19:55" ht="15.75" customHeight="1">
      <c r="S1049" s="454"/>
      <c r="AN1049" s="458"/>
      <c r="BA1049" s="1266"/>
      <c r="BC1049" s="169"/>
    </row>
    <row r="1050" spans="19:55" ht="15.75" customHeight="1">
      <c r="S1050" s="454"/>
      <c r="AN1050" s="458"/>
      <c r="BA1050" s="1266"/>
      <c r="BC1050" s="169"/>
    </row>
    <row r="1051" spans="19:55" ht="15.75" customHeight="1">
      <c r="S1051" s="454"/>
      <c r="AN1051" s="458"/>
      <c r="BA1051" s="1266"/>
      <c r="BC1051" s="169"/>
    </row>
    <row r="1052" spans="19:55" ht="15.75" customHeight="1">
      <c r="S1052" s="454"/>
      <c r="AN1052" s="458"/>
      <c r="BA1052" s="1266"/>
      <c r="BC1052" s="169"/>
    </row>
    <row r="1053" spans="19:55" ht="15.75" customHeight="1">
      <c r="S1053" s="454"/>
      <c r="AN1053" s="458"/>
      <c r="BA1053" s="1266"/>
      <c r="BC1053" s="169"/>
    </row>
    <row r="1054" spans="19:55" ht="15.75" customHeight="1">
      <c r="S1054" s="454"/>
      <c r="AN1054" s="458"/>
      <c r="BA1054" s="1266"/>
      <c r="BC1054" s="169"/>
    </row>
    <row r="1055" spans="19:55" ht="15.75" customHeight="1">
      <c r="S1055" s="454"/>
      <c r="AN1055" s="458"/>
      <c r="BA1055" s="1266"/>
      <c r="BC1055" s="169"/>
    </row>
    <row r="1056" spans="19:55" ht="15.75" customHeight="1">
      <c r="S1056" s="454"/>
      <c r="AN1056" s="458"/>
      <c r="BA1056" s="1266"/>
      <c r="BC1056" s="169"/>
    </row>
    <row r="1057" spans="19:55" ht="15.75" customHeight="1">
      <c r="S1057" s="454"/>
      <c r="AN1057" s="458"/>
      <c r="BA1057" s="1266"/>
      <c r="BC1057" s="169"/>
    </row>
    <row r="1058" spans="19:55" ht="15.75" customHeight="1">
      <c r="S1058" s="454"/>
      <c r="AN1058" s="458"/>
      <c r="BA1058" s="1266"/>
      <c r="BC1058" s="169"/>
    </row>
    <row r="1059" spans="19:55" ht="15.75" customHeight="1">
      <c r="S1059" s="454"/>
      <c r="AN1059" s="458"/>
      <c r="BA1059" s="1266"/>
      <c r="BC1059" s="169"/>
    </row>
    <row r="1060" spans="19:55" ht="15.75" customHeight="1">
      <c r="S1060" s="454"/>
      <c r="AN1060" s="458"/>
      <c r="BA1060" s="1266"/>
      <c r="BC1060" s="169"/>
    </row>
    <row r="1061" spans="19:55" ht="15.75" customHeight="1">
      <c r="S1061" s="454"/>
      <c r="AN1061" s="458"/>
      <c r="BA1061" s="1266"/>
      <c r="BC1061" s="169"/>
    </row>
    <row r="1062" spans="19:55" ht="15.75" customHeight="1">
      <c r="S1062" s="454"/>
      <c r="AN1062" s="458"/>
      <c r="BA1062" s="1266"/>
      <c r="BC1062" s="169"/>
    </row>
    <row r="1063" spans="19:55" ht="15.75" customHeight="1">
      <c r="S1063" s="454"/>
      <c r="AN1063" s="458"/>
      <c r="BA1063" s="1266"/>
      <c r="BC1063" s="169"/>
    </row>
    <row r="1064" spans="19:55" ht="15.75" customHeight="1">
      <c r="S1064" s="454"/>
      <c r="AN1064" s="458"/>
      <c r="BA1064" s="1266"/>
      <c r="BC1064" s="169"/>
    </row>
    <row r="1065" spans="19:55" ht="15.75" customHeight="1">
      <c r="S1065" s="454"/>
      <c r="AN1065" s="458"/>
      <c r="BA1065" s="1266"/>
      <c r="BC1065" s="169"/>
    </row>
    <row r="1066" spans="19:55" ht="15.75" customHeight="1">
      <c r="S1066" s="454"/>
      <c r="AN1066" s="458"/>
      <c r="BA1066" s="1266"/>
      <c r="BC1066" s="169"/>
    </row>
    <row r="1067" spans="19:55" ht="15.75" customHeight="1">
      <c r="S1067" s="454"/>
      <c r="AN1067" s="458"/>
      <c r="BA1067" s="1266"/>
      <c r="BC1067" s="169"/>
    </row>
    <row r="1068" spans="19:55" ht="15.75" customHeight="1">
      <c r="S1068" s="454"/>
      <c r="AN1068" s="458"/>
      <c r="BA1068" s="1266"/>
      <c r="BC1068" s="169"/>
    </row>
    <row r="1069" spans="19:55" ht="15.75" customHeight="1">
      <c r="S1069" s="454"/>
      <c r="AN1069" s="458"/>
      <c r="BA1069" s="1266"/>
      <c r="BC1069" s="169"/>
    </row>
    <row r="1070" spans="19:55" ht="15.75" customHeight="1">
      <c r="S1070" s="454"/>
      <c r="AN1070" s="458"/>
      <c r="BA1070" s="1266"/>
      <c r="BC1070" s="169"/>
    </row>
    <row r="1071" spans="19:55" ht="15.75" customHeight="1">
      <c r="S1071" s="454"/>
      <c r="AN1071" s="458"/>
      <c r="BA1071" s="1266"/>
      <c r="BC1071" s="169"/>
    </row>
    <row r="1072" spans="19:55" ht="15.75" customHeight="1">
      <c r="S1072" s="454"/>
      <c r="AN1072" s="458"/>
      <c r="BA1072" s="1266"/>
      <c r="BC1072" s="169"/>
    </row>
    <row r="1073" spans="19:55" ht="15.75" customHeight="1">
      <c r="S1073" s="454"/>
      <c r="AN1073" s="458"/>
      <c r="BA1073" s="1266"/>
      <c r="BC1073" s="169"/>
    </row>
    <row r="1074" spans="19:55" ht="15.75" customHeight="1">
      <c r="S1074" s="454"/>
      <c r="AN1074" s="458"/>
      <c r="BA1074" s="1266"/>
      <c r="BC1074" s="169"/>
    </row>
    <row r="1075" spans="19:55" ht="15.75" customHeight="1">
      <c r="S1075" s="454"/>
      <c r="AN1075" s="458"/>
      <c r="BA1075" s="1266"/>
      <c r="BC1075" s="169"/>
    </row>
    <row r="1076" spans="19:55" ht="15.75" customHeight="1">
      <c r="S1076" s="454"/>
      <c r="AN1076" s="458"/>
      <c r="BA1076" s="1266"/>
      <c r="BC1076" s="169"/>
    </row>
    <row r="1077" spans="19:55" ht="15.75" customHeight="1">
      <c r="S1077" s="454"/>
      <c r="AN1077" s="458"/>
      <c r="BA1077" s="1266"/>
      <c r="BC1077" s="169"/>
    </row>
    <row r="1078" spans="19:55" ht="15.75" customHeight="1">
      <c r="S1078" s="454"/>
      <c r="AN1078" s="458"/>
      <c r="BA1078" s="1266"/>
      <c r="BC1078" s="169"/>
    </row>
    <row r="1079" spans="19:55" ht="15.75" customHeight="1">
      <c r="S1079" s="454"/>
      <c r="AN1079" s="458"/>
      <c r="BA1079" s="1266"/>
      <c r="BC1079" s="169"/>
    </row>
    <row r="1080" spans="19:55" ht="15.75" customHeight="1">
      <c r="S1080" s="454"/>
      <c r="AN1080" s="458"/>
      <c r="BA1080" s="1266"/>
      <c r="BC1080" s="169"/>
    </row>
    <row r="1081" spans="19:55" ht="15.75" customHeight="1">
      <c r="S1081" s="454"/>
      <c r="AN1081" s="458"/>
      <c r="BA1081" s="1266"/>
      <c r="BC1081" s="169"/>
    </row>
    <row r="1082" spans="19:55" ht="15.75" customHeight="1">
      <c r="S1082" s="454"/>
      <c r="AN1082" s="458"/>
      <c r="BA1082" s="1266"/>
      <c r="BC1082" s="169"/>
    </row>
    <row r="1083" spans="19:55" ht="15.75" customHeight="1">
      <c r="S1083" s="454"/>
      <c r="AN1083" s="458"/>
      <c r="BA1083" s="1266"/>
      <c r="BC1083" s="169"/>
    </row>
    <row r="1084" spans="19:55" ht="15.75" customHeight="1">
      <c r="S1084" s="454"/>
      <c r="AN1084" s="458"/>
      <c r="BA1084" s="1266"/>
      <c r="BC1084" s="169"/>
    </row>
    <row r="1085" spans="19:55" ht="15.75" customHeight="1">
      <c r="S1085" s="454"/>
      <c r="AN1085" s="458"/>
      <c r="BA1085" s="1266"/>
      <c r="BC1085" s="169"/>
    </row>
    <row r="1086" spans="19:55" ht="15.75" customHeight="1">
      <c r="S1086" s="454"/>
      <c r="AN1086" s="458"/>
      <c r="BA1086" s="1266"/>
      <c r="BC1086" s="169"/>
    </row>
    <row r="1087" spans="19:55" ht="15.75" customHeight="1">
      <c r="S1087" s="454"/>
      <c r="AN1087" s="458"/>
      <c r="BA1087" s="1266"/>
      <c r="BC1087" s="169"/>
    </row>
    <row r="1088" spans="19:55" ht="15.75" customHeight="1">
      <c r="S1088" s="454"/>
      <c r="AN1088" s="458"/>
      <c r="BA1088" s="1266"/>
      <c r="BC1088" s="169"/>
    </row>
    <row r="1089" spans="19:55" ht="15.75" customHeight="1">
      <c r="S1089" s="454"/>
      <c r="AN1089" s="458"/>
      <c r="BA1089" s="1266"/>
      <c r="BC1089" s="169"/>
    </row>
    <row r="1090" spans="19:55" ht="15.75" customHeight="1">
      <c r="S1090" s="454"/>
      <c r="AN1090" s="458"/>
      <c r="BA1090" s="1266"/>
      <c r="BC1090" s="169"/>
    </row>
    <row r="1091" spans="19:55" ht="15.75" customHeight="1">
      <c r="S1091" s="454"/>
      <c r="AN1091" s="458"/>
      <c r="BA1091" s="1266"/>
      <c r="BC1091" s="169"/>
    </row>
    <row r="1092" spans="19:55" ht="15.75" customHeight="1">
      <c r="S1092" s="454"/>
      <c r="AN1092" s="458"/>
      <c r="BA1092" s="1266"/>
      <c r="BC1092" s="169"/>
    </row>
    <row r="1093" spans="19:55" ht="15.75" customHeight="1">
      <c r="S1093" s="454"/>
      <c r="AN1093" s="458"/>
      <c r="BA1093" s="1266"/>
      <c r="BC1093" s="169"/>
    </row>
    <row r="1094" spans="19:55" ht="15.75" customHeight="1">
      <c r="S1094" s="454"/>
      <c r="AN1094" s="458"/>
      <c r="BA1094" s="1266"/>
      <c r="BC1094" s="169"/>
    </row>
    <row r="1095" spans="19:55" ht="15.75" customHeight="1">
      <c r="S1095" s="454"/>
      <c r="AN1095" s="458"/>
      <c r="BA1095" s="1266"/>
      <c r="BC1095" s="169"/>
    </row>
    <row r="1096" spans="19:55" ht="15.75" customHeight="1">
      <c r="S1096" s="454"/>
      <c r="AN1096" s="458"/>
      <c r="BA1096" s="1266"/>
      <c r="BC1096" s="169"/>
    </row>
    <row r="1097" spans="19:55" ht="15.75" customHeight="1">
      <c r="S1097" s="454"/>
      <c r="AN1097" s="458"/>
      <c r="BA1097" s="1266"/>
      <c r="BC1097" s="169"/>
    </row>
    <row r="1098" spans="19:55" ht="15.75" customHeight="1">
      <c r="S1098" s="454"/>
      <c r="AN1098" s="458"/>
      <c r="BA1098" s="1266"/>
      <c r="BC1098" s="169"/>
    </row>
    <row r="1099" spans="19:55" ht="15.75" customHeight="1">
      <c r="S1099" s="454"/>
      <c r="AN1099" s="458"/>
      <c r="BA1099" s="1266"/>
      <c r="BC1099" s="169"/>
    </row>
    <row r="1100" spans="19:55" ht="15.75" customHeight="1">
      <c r="S1100" s="454"/>
      <c r="AN1100" s="458"/>
      <c r="BA1100" s="1266"/>
      <c r="BC1100" s="169"/>
    </row>
    <row r="1101" spans="19:55" ht="15.75" customHeight="1">
      <c r="S1101" s="454"/>
      <c r="AN1101" s="458"/>
      <c r="BA1101" s="1266"/>
      <c r="BC1101" s="169"/>
    </row>
    <row r="1102" spans="19:55" ht="15.75" customHeight="1">
      <c r="S1102" s="454"/>
      <c r="AN1102" s="458"/>
      <c r="BA1102" s="1266"/>
      <c r="BC1102" s="169"/>
    </row>
    <row r="1103" spans="19:55" ht="15.75" customHeight="1">
      <c r="S1103" s="454"/>
      <c r="AN1103" s="458"/>
      <c r="BA1103" s="1266"/>
      <c r="BC1103" s="169"/>
    </row>
    <row r="1104" spans="19:55" ht="15.75" customHeight="1">
      <c r="S1104" s="454"/>
      <c r="AN1104" s="458"/>
      <c r="BA1104" s="1266"/>
      <c r="BC1104" s="169"/>
    </row>
    <row r="1105" spans="19:55" ht="15.75" customHeight="1">
      <c r="S1105" s="454"/>
      <c r="AN1105" s="458"/>
      <c r="BA1105" s="1266"/>
      <c r="BC1105" s="169"/>
    </row>
    <row r="1106" spans="19:55" ht="15.75" customHeight="1">
      <c r="S1106" s="454"/>
      <c r="AN1106" s="458"/>
      <c r="BA1106" s="1266"/>
      <c r="BC1106" s="169"/>
    </row>
    <row r="1107" spans="19:55" ht="15.75" customHeight="1">
      <c r="S1107" s="454"/>
      <c r="AN1107" s="458"/>
      <c r="BA1107" s="1266"/>
      <c r="BC1107" s="169"/>
    </row>
    <row r="1108" spans="19:55" ht="15.75" customHeight="1">
      <c r="S1108" s="454"/>
      <c r="AN1108" s="458"/>
      <c r="BA1108" s="1266"/>
      <c r="BC1108" s="169"/>
    </row>
    <row r="1109" spans="19:55" ht="15.75" customHeight="1">
      <c r="S1109" s="454"/>
      <c r="AN1109" s="458"/>
      <c r="BA1109" s="1266"/>
      <c r="BC1109" s="169"/>
    </row>
    <row r="1110" spans="19:55" ht="15.75" customHeight="1">
      <c r="S1110" s="454"/>
      <c r="AN1110" s="458"/>
      <c r="BA1110" s="1266"/>
      <c r="BC1110" s="169"/>
    </row>
    <row r="1111" spans="19:55" ht="15.75" customHeight="1">
      <c r="S1111" s="454"/>
      <c r="AN1111" s="458"/>
      <c r="BA1111" s="1266"/>
      <c r="BC1111" s="169"/>
    </row>
    <row r="1112" spans="19:55" ht="15.75" customHeight="1">
      <c r="S1112" s="454"/>
      <c r="AN1112" s="458"/>
      <c r="BA1112" s="1266"/>
      <c r="BC1112" s="169"/>
    </row>
    <row r="1113" spans="19:55" ht="15.75" customHeight="1">
      <c r="S1113" s="454"/>
      <c r="AN1113" s="458"/>
      <c r="BA1113" s="1266"/>
      <c r="BC1113" s="169"/>
    </row>
    <row r="1114" spans="19:55" ht="15.75" customHeight="1">
      <c r="S1114" s="454"/>
      <c r="AN1114" s="458"/>
      <c r="BA1114" s="1266"/>
      <c r="BC1114" s="169"/>
    </row>
    <row r="1115" spans="19:55" ht="15.75" customHeight="1">
      <c r="S1115" s="454"/>
      <c r="AN1115" s="458"/>
      <c r="BA1115" s="1266"/>
      <c r="BC1115" s="169"/>
    </row>
    <row r="1116" spans="19:55" ht="15.75" customHeight="1">
      <c r="S1116" s="454"/>
      <c r="AN1116" s="458"/>
      <c r="BA1116" s="1266"/>
      <c r="BC1116" s="169"/>
    </row>
    <row r="1117" spans="19:55" ht="15.75" customHeight="1">
      <c r="S1117" s="454"/>
      <c r="AN1117" s="458"/>
      <c r="BA1117" s="1266"/>
      <c r="BC1117" s="169"/>
    </row>
    <row r="1118" spans="19:55" ht="15.75" customHeight="1">
      <c r="S1118" s="454"/>
      <c r="AN1118" s="458"/>
      <c r="BA1118" s="1266"/>
      <c r="BC1118" s="169"/>
    </row>
    <row r="1119" spans="19:55" ht="15.75" customHeight="1">
      <c r="S1119" s="454"/>
      <c r="AN1119" s="458"/>
      <c r="BA1119" s="1266"/>
      <c r="BC1119" s="169"/>
    </row>
    <row r="1120" spans="19:55" ht="15.75" customHeight="1">
      <c r="S1120" s="454"/>
      <c r="AN1120" s="458"/>
      <c r="BA1120" s="1266"/>
      <c r="BC1120" s="169"/>
    </row>
    <row r="1121" spans="19:55" ht="15.75" customHeight="1">
      <c r="S1121" s="454"/>
      <c r="AN1121" s="458"/>
      <c r="BA1121" s="1266"/>
      <c r="BC1121" s="169"/>
    </row>
    <row r="1122" spans="19:55" ht="15.75" customHeight="1">
      <c r="S1122" s="454"/>
      <c r="AN1122" s="458"/>
      <c r="BA1122" s="1266"/>
      <c r="BC1122" s="169"/>
    </row>
    <row r="1123" spans="19:55" ht="15.75" customHeight="1">
      <c r="S1123" s="454"/>
      <c r="AN1123" s="458"/>
      <c r="BA1123" s="1266"/>
      <c r="BC1123" s="169"/>
    </row>
    <row r="1124" spans="19:55" ht="15.75" customHeight="1">
      <c r="S1124" s="454"/>
      <c r="AN1124" s="458"/>
      <c r="BA1124" s="1266"/>
      <c r="BC1124" s="169"/>
    </row>
    <row r="1125" spans="19:55" ht="15.75" customHeight="1">
      <c r="S1125" s="454"/>
      <c r="AN1125" s="458"/>
      <c r="BA1125" s="1266"/>
      <c r="BC1125" s="169"/>
    </row>
    <row r="1126" spans="19:55" ht="15.75" customHeight="1">
      <c r="S1126" s="454"/>
      <c r="AN1126" s="458"/>
      <c r="BA1126" s="1266"/>
      <c r="BC1126" s="169"/>
    </row>
    <row r="1127" spans="19:55" ht="15.75" customHeight="1">
      <c r="S1127" s="454"/>
      <c r="AN1127" s="458"/>
      <c r="BA1127" s="1266"/>
      <c r="BC1127" s="169"/>
    </row>
    <row r="1128" spans="19:55" ht="15.75" customHeight="1">
      <c r="S1128" s="454"/>
      <c r="AN1128" s="458"/>
      <c r="BA1128" s="1266"/>
      <c r="BC1128" s="169"/>
    </row>
    <row r="1129" spans="19:55" ht="15.75" customHeight="1">
      <c r="S1129" s="454"/>
      <c r="AN1129" s="458"/>
      <c r="BA1129" s="1266"/>
      <c r="BC1129" s="169"/>
    </row>
    <row r="1130" spans="19:55" ht="15.75" customHeight="1">
      <c r="S1130" s="454"/>
      <c r="AN1130" s="458"/>
      <c r="BA1130" s="1266"/>
      <c r="BC1130" s="169"/>
    </row>
    <row r="1131" spans="19:55" ht="15.75" customHeight="1">
      <c r="S1131" s="454"/>
      <c r="AN1131" s="458"/>
      <c r="BA1131" s="1266"/>
      <c r="BC1131" s="169"/>
    </row>
    <row r="1132" spans="19:55" ht="15.75" customHeight="1">
      <c r="S1132" s="454"/>
      <c r="AN1132" s="458"/>
      <c r="BA1132" s="1266"/>
      <c r="BC1132" s="169"/>
    </row>
    <row r="1133" spans="19:55" ht="15.75" customHeight="1">
      <c r="S1133" s="454"/>
      <c r="AN1133" s="458"/>
      <c r="BA1133" s="1266"/>
      <c r="BC1133" s="169"/>
    </row>
    <row r="1134" spans="19:55" ht="15.75" customHeight="1">
      <c r="S1134" s="454"/>
      <c r="AN1134" s="458"/>
      <c r="BA1134" s="1266"/>
      <c r="BC1134" s="169"/>
    </row>
    <row r="1135" spans="19:55" ht="15.75" customHeight="1">
      <c r="S1135" s="454"/>
      <c r="AN1135" s="458"/>
      <c r="BA1135" s="1266"/>
      <c r="BC1135" s="169"/>
    </row>
    <row r="1136" spans="19:55" ht="15.75" customHeight="1">
      <c r="S1136" s="454"/>
      <c r="AN1136" s="458"/>
      <c r="BA1136" s="1266"/>
      <c r="BC1136" s="169"/>
    </row>
    <row r="1137" spans="19:55" ht="15.75" customHeight="1">
      <c r="S1137" s="454"/>
      <c r="AN1137" s="458"/>
      <c r="BA1137" s="1266"/>
      <c r="BC1137" s="169"/>
    </row>
    <row r="1138" spans="19:55" ht="15.75" customHeight="1">
      <c r="S1138" s="454"/>
      <c r="AN1138" s="458"/>
      <c r="BA1138" s="1266"/>
      <c r="BC1138" s="169"/>
    </row>
    <row r="1139" spans="19:55" ht="15.75" customHeight="1">
      <c r="S1139" s="454"/>
      <c r="AN1139" s="458"/>
      <c r="BA1139" s="1266"/>
      <c r="BC1139" s="169"/>
    </row>
    <row r="1140" spans="19:55" ht="15.75" customHeight="1">
      <c r="S1140" s="454"/>
      <c r="AN1140" s="458"/>
      <c r="BA1140" s="1266"/>
      <c r="BC1140" s="169"/>
    </row>
    <row r="1141" spans="19:55" ht="15.75" customHeight="1">
      <c r="S1141" s="454"/>
      <c r="AN1141" s="458"/>
      <c r="BA1141" s="1266"/>
      <c r="BC1141" s="169"/>
    </row>
    <row r="1142" spans="19:55" ht="15.75" customHeight="1">
      <c r="S1142" s="454"/>
      <c r="AN1142" s="458"/>
      <c r="BA1142" s="1266"/>
      <c r="BC1142" s="169"/>
    </row>
    <row r="1143" spans="19:55" ht="15.75" customHeight="1">
      <c r="S1143" s="454"/>
      <c r="AN1143" s="458"/>
      <c r="BA1143" s="1266"/>
      <c r="BC1143" s="169"/>
    </row>
    <row r="1144" spans="19:55" ht="15.75" customHeight="1">
      <c r="S1144" s="454"/>
      <c r="AN1144" s="458"/>
      <c r="BA1144" s="1266"/>
      <c r="BC1144" s="169"/>
    </row>
    <row r="1145" spans="19:55" ht="15.75" customHeight="1">
      <c r="S1145" s="454"/>
      <c r="AN1145" s="458"/>
      <c r="BA1145" s="1266"/>
      <c r="BC1145" s="169"/>
    </row>
    <row r="1146" spans="19:55" ht="15.75" customHeight="1">
      <c r="S1146" s="454"/>
      <c r="AN1146" s="458"/>
      <c r="BA1146" s="1266"/>
      <c r="BC1146" s="169"/>
    </row>
    <row r="1147" spans="19:55" ht="15.75" customHeight="1">
      <c r="S1147" s="454"/>
      <c r="AN1147" s="458"/>
      <c r="BA1147" s="1266"/>
      <c r="BC1147" s="169"/>
    </row>
    <row r="1148" spans="19:55" ht="15.75" customHeight="1">
      <c r="S1148" s="454"/>
      <c r="AN1148" s="458"/>
      <c r="BA1148" s="1266"/>
      <c r="BC1148" s="169"/>
    </row>
    <row r="1149" spans="19:55" ht="15.75" customHeight="1">
      <c r="S1149" s="454"/>
      <c r="AN1149" s="458"/>
      <c r="BA1149" s="1266"/>
      <c r="BC1149" s="169"/>
    </row>
    <row r="1150" spans="19:55" ht="15.75" customHeight="1">
      <c r="S1150" s="454"/>
      <c r="AN1150" s="458"/>
      <c r="BA1150" s="1266"/>
      <c r="BC1150" s="169"/>
    </row>
    <row r="1151" spans="19:55" ht="15.75" customHeight="1">
      <c r="S1151" s="454"/>
      <c r="AN1151" s="458"/>
      <c r="BA1151" s="1266"/>
      <c r="BC1151" s="169"/>
    </row>
    <row r="1152" spans="19:55" ht="15.75" customHeight="1">
      <c r="S1152" s="454"/>
      <c r="AN1152" s="458"/>
      <c r="BA1152" s="1266"/>
      <c r="BC1152" s="169"/>
    </row>
    <row r="1153" spans="19:55" ht="15.75" customHeight="1">
      <c r="S1153" s="454"/>
      <c r="AN1153" s="458"/>
      <c r="BA1153" s="1266"/>
      <c r="BC1153" s="169"/>
    </row>
    <row r="1154" spans="19:55" ht="15.75" customHeight="1">
      <c r="S1154" s="454"/>
      <c r="AN1154" s="458"/>
      <c r="BA1154" s="1266"/>
      <c r="BC1154" s="169"/>
    </row>
    <row r="1155" spans="19:55" ht="15.75" customHeight="1">
      <c r="S1155" s="454"/>
      <c r="AN1155" s="458"/>
      <c r="BA1155" s="1266"/>
      <c r="BC1155" s="169"/>
    </row>
    <row r="1156" spans="19:55" ht="15.75" customHeight="1">
      <c r="S1156" s="454"/>
      <c r="AN1156" s="458"/>
      <c r="BA1156" s="1266"/>
      <c r="BC1156" s="169"/>
    </row>
    <row r="1157" spans="19:55" ht="15.75" customHeight="1">
      <c r="S1157" s="454"/>
      <c r="AN1157" s="458"/>
      <c r="BA1157" s="1266"/>
      <c r="BC1157" s="169"/>
    </row>
    <row r="1158" spans="19:55" ht="15.75" customHeight="1">
      <c r="S1158" s="454"/>
      <c r="AN1158" s="458"/>
      <c r="BA1158" s="1266"/>
      <c r="BC1158" s="169"/>
    </row>
    <row r="1159" spans="19:55" ht="15.75" customHeight="1">
      <c r="S1159" s="454"/>
      <c r="AN1159" s="458"/>
      <c r="BA1159" s="1266"/>
      <c r="BC1159" s="169"/>
    </row>
    <row r="1160" spans="19:55" ht="15.75" customHeight="1">
      <c r="S1160" s="454"/>
      <c r="AN1160" s="458"/>
      <c r="BA1160" s="1266"/>
      <c r="BC1160" s="169"/>
    </row>
    <row r="1161" spans="19:55" ht="15.75" customHeight="1">
      <c r="S1161" s="454"/>
      <c r="AN1161" s="458"/>
      <c r="BA1161" s="1266"/>
      <c r="BC1161" s="169"/>
    </row>
    <row r="1162" spans="19:55" ht="15.75" customHeight="1">
      <c r="S1162" s="454"/>
      <c r="AN1162" s="458"/>
      <c r="BA1162" s="1266"/>
      <c r="BC1162" s="169"/>
    </row>
    <row r="1163" spans="19:55" ht="15.75" customHeight="1">
      <c r="S1163" s="454"/>
      <c r="AN1163" s="458"/>
      <c r="BA1163" s="1266"/>
      <c r="BC1163" s="169"/>
    </row>
    <row r="1164" spans="19:55" ht="15.75" customHeight="1">
      <c r="S1164" s="454"/>
      <c r="AN1164" s="458"/>
      <c r="BA1164" s="1266"/>
      <c r="BC1164" s="169"/>
    </row>
    <row r="1165" spans="19:55" ht="15.75" customHeight="1">
      <c r="S1165" s="454"/>
      <c r="AN1165" s="458"/>
      <c r="BA1165" s="1266"/>
      <c r="BC1165" s="169"/>
    </row>
    <row r="1166" spans="19:55" ht="15.75" customHeight="1">
      <c r="S1166" s="454"/>
      <c r="AN1166" s="458"/>
      <c r="BA1166" s="1266"/>
      <c r="BC1166" s="169"/>
    </row>
    <row r="1167" spans="19:55" ht="15.75" customHeight="1">
      <c r="S1167" s="454"/>
      <c r="AN1167" s="458"/>
      <c r="BA1167" s="1266"/>
      <c r="BC1167" s="169"/>
    </row>
    <row r="1168" spans="19:55" ht="15.75" customHeight="1">
      <c r="S1168" s="454"/>
      <c r="AN1168" s="458"/>
      <c r="BA1168" s="1266"/>
      <c r="BC1168" s="169"/>
    </row>
    <row r="1169" spans="19:55" ht="15.75" customHeight="1">
      <c r="S1169" s="454"/>
      <c r="AN1169" s="458"/>
      <c r="BA1169" s="1266"/>
      <c r="BC1169" s="169"/>
    </row>
    <row r="1170" spans="19:55" ht="15.75" customHeight="1">
      <c r="S1170" s="454"/>
      <c r="AN1170" s="458"/>
      <c r="BA1170" s="1266"/>
      <c r="BC1170" s="169"/>
    </row>
    <row r="1171" spans="19:55" ht="15.75" customHeight="1">
      <c r="S1171" s="454"/>
      <c r="AN1171" s="458"/>
      <c r="BA1171" s="1266"/>
      <c r="BC1171" s="169"/>
    </row>
    <row r="1172" spans="19:55" ht="15.75" customHeight="1">
      <c r="S1172" s="454"/>
      <c r="AN1172" s="458"/>
      <c r="BA1172" s="1266"/>
      <c r="BC1172" s="169"/>
    </row>
    <row r="1173" spans="19:55" ht="15.75" customHeight="1">
      <c r="S1173" s="454"/>
      <c r="AN1173" s="458"/>
      <c r="BA1173" s="1266"/>
      <c r="BC1173" s="169"/>
    </row>
    <row r="1174" spans="19:55" ht="15.75" customHeight="1">
      <c r="S1174" s="454"/>
      <c r="AN1174" s="458"/>
      <c r="BA1174" s="1266"/>
      <c r="BC1174" s="169"/>
    </row>
    <row r="1175" spans="19:55" ht="15.75" customHeight="1">
      <c r="S1175" s="454"/>
      <c r="AN1175" s="458"/>
      <c r="BA1175" s="1266"/>
      <c r="BC1175" s="169"/>
    </row>
    <row r="1176" spans="19:55" ht="15.75" customHeight="1">
      <c r="S1176" s="454"/>
      <c r="AN1176" s="458"/>
      <c r="BA1176" s="1266"/>
      <c r="BC1176" s="169"/>
    </row>
    <row r="1177" spans="19:55" ht="15.75" customHeight="1">
      <c r="S1177" s="454"/>
      <c r="AN1177" s="458"/>
      <c r="BA1177" s="1266"/>
      <c r="BC1177" s="169"/>
    </row>
    <row r="1178" spans="19:55" ht="15.75" customHeight="1">
      <c r="S1178" s="454"/>
      <c r="AN1178" s="458"/>
      <c r="BA1178" s="1266"/>
      <c r="BC1178" s="169"/>
    </row>
    <row r="1179" spans="19:55" ht="15.75" customHeight="1">
      <c r="S1179" s="454"/>
      <c r="AN1179" s="458"/>
      <c r="BA1179" s="1266"/>
      <c r="BC1179" s="169"/>
    </row>
    <row r="1180" spans="19:55" ht="15.75" customHeight="1">
      <c r="S1180" s="454"/>
      <c r="AN1180" s="458"/>
      <c r="BA1180" s="1266"/>
      <c r="BC1180" s="169"/>
    </row>
    <row r="1181" spans="19:55" ht="15.75" customHeight="1">
      <c r="S1181" s="454"/>
      <c r="AN1181" s="458"/>
      <c r="BA1181" s="1266"/>
      <c r="BC1181" s="169"/>
    </row>
    <row r="1182" spans="19:55" ht="15.75" customHeight="1">
      <c r="S1182" s="454"/>
      <c r="AN1182" s="458"/>
      <c r="BA1182" s="1266"/>
      <c r="BC1182" s="169"/>
    </row>
    <row r="1183" spans="19:55" ht="15.75" customHeight="1">
      <c r="S1183" s="454"/>
      <c r="AN1183" s="458"/>
      <c r="BA1183" s="1266"/>
      <c r="BC1183" s="169"/>
    </row>
    <row r="1184" spans="19:55" ht="15.75" customHeight="1">
      <c r="S1184" s="454"/>
      <c r="AN1184" s="458"/>
      <c r="BA1184" s="1266"/>
      <c r="BC1184" s="169"/>
    </row>
    <row r="1185" spans="19:55" ht="15.75" customHeight="1">
      <c r="S1185" s="454"/>
      <c r="AN1185" s="458"/>
      <c r="BA1185" s="1266"/>
      <c r="BC1185" s="169"/>
    </row>
    <row r="1186" spans="19:55" ht="15.75" customHeight="1">
      <c r="S1186" s="454"/>
      <c r="AN1186" s="458"/>
      <c r="BA1186" s="1266"/>
      <c r="BC1186" s="169"/>
    </row>
    <row r="1187" spans="19:55" ht="15.75" customHeight="1">
      <c r="S1187" s="454"/>
      <c r="AN1187" s="458"/>
      <c r="BA1187" s="1266"/>
      <c r="BC1187" s="169"/>
    </row>
    <row r="1188" spans="19:55" ht="15.75" customHeight="1">
      <c r="S1188" s="454"/>
      <c r="AN1188" s="458"/>
      <c r="BA1188" s="1266"/>
      <c r="BC1188" s="169"/>
    </row>
    <row r="1189" spans="19:55" ht="15.75" customHeight="1">
      <c r="S1189" s="454"/>
      <c r="AN1189" s="458"/>
      <c r="BA1189" s="1266"/>
      <c r="BC1189" s="169"/>
    </row>
    <row r="1190" spans="19:55" ht="15.75" customHeight="1">
      <c r="S1190" s="454"/>
      <c r="AN1190" s="458"/>
      <c r="BA1190" s="1266"/>
      <c r="BC1190" s="169"/>
    </row>
    <row r="1191" spans="19:55" ht="15.75" customHeight="1">
      <c r="S1191" s="454"/>
      <c r="AN1191" s="458"/>
      <c r="BA1191" s="1266"/>
      <c r="BC1191" s="169"/>
    </row>
    <row r="1192" spans="19:55" ht="15.75" customHeight="1">
      <c r="S1192" s="454"/>
      <c r="AN1192" s="458"/>
      <c r="BA1192" s="1266"/>
      <c r="BC1192" s="169"/>
    </row>
    <row r="1193" spans="19:55" ht="15.75" customHeight="1">
      <c r="S1193" s="454"/>
      <c r="AN1193" s="458"/>
      <c r="BA1193" s="1266"/>
      <c r="BC1193" s="169"/>
    </row>
    <row r="1194" spans="19:55" ht="15.75" customHeight="1">
      <c r="S1194" s="454"/>
      <c r="AN1194" s="458"/>
      <c r="BA1194" s="1266"/>
      <c r="BC1194" s="169"/>
    </row>
    <row r="1195" spans="19:55" ht="15.75" customHeight="1">
      <c r="S1195" s="454"/>
      <c r="AN1195" s="458"/>
      <c r="BA1195" s="1266"/>
      <c r="BC1195" s="169"/>
    </row>
    <row r="1196" spans="19:55" ht="15.75" customHeight="1">
      <c r="S1196" s="454"/>
      <c r="AN1196" s="458"/>
      <c r="BA1196" s="1266"/>
      <c r="BC1196" s="169"/>
    </row>
    <row r="1197" spans="19:55" ht="15.75" customHeight="1">
      <c r="S1197" s="454"/>
      <c r="AN1197" s="458"/>
      <c r="BA1197" s="1266"/>
      <c r="BC1197" s="169"/>
    </row>
    <row r="1198" spans="19:55" ht="15.75" customHeight="1">
      <c r="S1198" s="454"/>
      <c r="AN1198" s="458"/>
      <c r="BA1198" s="1266"/>
      <c r="BC1198" s="169"/>
    </row>
    <row r="1199" spans="19:55" ht="15.75" customHeight="1">
      <c r="S1199" s="454"/>
      <c r="AN1199" s="458"/>
      <c r="BA1199" s="1266"/>
      <c r="BC1199" s="169"/>
    </row>
    <row r="1200" spans="19:55" ht="15.75" customHeight="1">
      <c r="S1200" s="454"/>
      <c r="AN1200" s="458"/>
      <c r="BA1200" s="1266"/>
      <c r="BC1200" s="169"/>
    </row>
    <row r="1201" spans="19:55" ht="15.75" customHeight="1">
      <c r="S1201" s="454"/>
      <c r="AN1201" s="458"/>
      <c r="BA1201" s="1266"/>
      <c r="BC1201" s="169"/>
    </row>
    <row r="1202" spans="19:55" ht="15.75" customHeight="1">
      <c r="S1202" s="454"/>
      <c r="AN1202" s="458"/>
      <c r="BA1202" s="1266"/>
      <c r="BC1202" s="169"/>
    </row>
    <row r="1203" spans="19:55" ht="15.75" customHeight="1">
      <c r="S1203" s="454"/>
      <c r="AN1203" s="458"/>
      <c r="BA1203" s="1266"/>
      <c r="BC1203" s="169"/>
    </row>
    <row r="1204" spans="19:55" ht="15.75" customHeight="1">
      <c r="S1204" s="454"/>
      <c r="AN1204" s="458"/>
      <c r="BA1204" s="1266"/>
      <c r="BC1204" s="169"/>
    </row>
    <row r="1205" spans="19:55" ht="15.75" customHeight="1">
      <c r="S1205" s="454"/>
      <c r="AN1205" s="458"/>
      <c r="BA1205" s="1266"/>
      <c r="BC1205" s="169"/>
    </row>
    <row r="1206" spans="19:55" ht="15.75" customHeight="1">
      <c r="S1206" s="454"/>
      <c r="AN1206" s="458"/>
      <c r="BA1206" s="1266"/>
      <c r="BC1206" s="169"/>
    </row>
    <row r="1207" spans="19:55" ht="15.75" customHeight="1">
      <c r="S1207" s="454"/>
      <c r="AN1207" s="458"/>
      <c r="BA1207" s="1266"/>
      <c r="BC1207" s="169"/>
    </row>
    <row r="1208" spans="19:55" ht="15.75" customHeight="1">
      <c r="S1208" s="454"/>
      <c r="AN1208" s="458"/>
      <c r="BA1208" s="1266"/>
      <c r="BC1208" s="169"/>
    </row>
    <row r="1209" spans="19:55" ht="15.75" customHeight="1">
      <c r="S1209" s="454"/>
      <c r="AN1209" s="458"/>
      <c r="BA1209" s="1266"/>
      <c r="BC1209" s="169"/>
    </row>
    <row r="1210" spans="19:55" ht="15.75" customHeight="1">
      <c r="S1210" s="454"/>
      <c r="AN1210" s="458"/>
      <c r="BA1210" s="1266"/>
      <c r="BC1210" s="169"/>
    </row>
    <row r="1211" spans="19:55" ht="15.75" customHeight="1">
      <c r="S1211" s="454"/>
      <c r="AN1211" s="458"/>
      <c r="BA1211" s="1266"/>
      <c r="BC1211" s="169"/>
    </row>
    <row r="1212" spans="19:55" ht="15.75" customHeight="1">
      <c r="S1212" s="454"/>
      <c r="AN1212" s="458"/>
      <c r="BA1212" s="1266"/>
      <c r="BC1212" s="169"/>
    </row>
    <row r="1213" spans="19:55" ht="15.75" customHeight="1">
      <c r="S1213" s="454"/>
      <c r="AN1213" s="458"/>
      <c r="BA1213" s="1266"/>
      <c r="BC1213" s="169"/>
    </row>
    <row r="1214" spans="19:55" ht="15.75" customHeight="1">
      <c r="S1214" s="454"/>
      <c r="AN1214" s="458"/>
      <c r="BA1214" s="1266"/>
      <c r="BC1214" s="169"/>
    </row>
    <row r="1215" spans="19:55" ht="15.75" customHeight="1">
      <c r="S1215" s="454"/>
      <c r="AN1215" s="458"/>
      <c r="BA1215" s="1266"/>
      <c r="BC1215" s="169"/>
    </row>
    <row r="1216" spans="19:55" ht="15.75" customHeight="1">
      <c r="S1216" s="454"/>
      <c r="AN1216" s="458"/>
      <c r="BA1216" s="1266"/>
      <c r="BC1216" s="169"/>
    </row>
    <row r="1217" spans="19:55" ht="15.75" customHeight="1">
      <c r="S1217" s="454"/>
      <c r="AN1217" s="458"/>
      <c r="BA1217" s="1266"/>
      <c r="BC1217" s="169"/>
    </row>
    <row r="1218" spans="19:55" ht="15.75" customHeight="1">
      <c r="S1218" s="454"/>
      <c r="AN1218" s="458"/>
      <c r="BA1218" s="1266"/>
      <c r="BC1218" s="169"/>
    </row>
    <row r="1219" spans="19:55" ht="15.75" customHeight="1">
      <c r="S1219" s="454"/>
      <c r="AN1219" s="458"/>
      <c r="BA1219" s="1266"/>
      <c r="BC1219" s="169"/>
    </row>
    <row r="1220" spans="19:55" ht="15.75" customHeight="1">
      <c r="S1220" s="454"/>
      <c r="AN1220" s="458"/>
      <c r="BA1220" s="1266"/>
      <c r="BC1220" s="169"/>
    </row>
    <row r="1221" spans="19:55" ht="15.75" customHeight="1">
      <c r="S1221" s="454"/>
      <c r="AN1221" s="458"/>
      <c r="BA1221" s="1266"/>
      <c r="BC1221" s="169"/>
    </row>
    <row r="1222" spans="19:55" ht="15.75" customHeight="1">
      <c r="S1222" s="454"/>
      <c r="AN1222" s="458"/>
      <c r="BA1222" s="1266"/>
      <c r="BC1222" s="169"/>
    </row>
    <row r="1223" spans="19:55" ht="15.75" customHeight="1">
      <c r="S1223" s="454"/>
      <c r="AN1223" s="458"/>
      <c r="BA1223" s="1266"/>
      <c r="BC1223" s="169"/>
    </row>
    <row r="1224" spans="19:55" ht="15.75" customHeight="1">
      <c r="S1224" s="454"/>
      <c r="AN1224" s="458"/>
      <c r="BA1224" s="1266"/>
      <c r="BC1224" s="169"/>
    </row>
    <row r="1225" spans="19:55" ht="15.75" customHeight="1">
      <c r="S1225" s="454"/>
      <c r="AN1225" s="458"/>
      <c r="BA1225" s="1266"/>
      <c r="BC1225" s="169"/>
    </row>
    <row r="1226" spans="19:55" ht="15.75" customHeight="1">
      <c r="S1226" s="454"/>
      <c r="AN1226" s="458"/>
      <c r="BA1226" s="1266"/>
      <c r="BC1226" s="169"/>
    </row>
    <row r="1227" spans="19:55" ht="15.75" customHeight="1">
      <c r="S1227" s="454"/>
      <c r="AN1227" s="458"/>
      <c r="BA1227" s="1266"/>
      <c r="BC1227" s="169"/>
    </row>
    <row r="1228" spans="19:55" ht="15.75" customHeight="1">
      <c r="S1228" s="454"/>
      <c r="AN1228" s="458"/>
      <c r="BA1228" s="1266"/>
      <c r="BC1228" s="169"/>
    </row>
    <row r="1229" spans="19:55" ht="15.75" customHeight="1">
      <c r="S1229" s="454"/>
      <c r="AN1229" s="458"/>
      <c r="BA1229" s="1266"/>
      <c r="BC1229" s="169"/>
    </row>
    <row r="1230" spans="19:55" ht="15.75" customHeight="1">
      <c r="S1230" s="454"/>
      <c r="AN1230" s="458"/>
      <c r="BA1230" s="1266"/>
      <c r="BC1230" s="169"/>
    </row>
    <row r="1231" spans="19:55" ht="15.75" customHeight="1">
      <c r="S1231" s="454"/>
      <c r="AN1231" s="458"/>
      <c r="BA1231" s="1266"/>
      <c r="BC1231" s="169"/>
    </row>
    <row r="1232" spans="19:55" ht="15.75" customHeight="1">
      <c r="S1232" s="454"/>
      <c r="AN1232" s="458"/>
      <c r="BA1232" s="1266"/>
      <c r="BC1232" s="169"/>
    </row>
    <row r="1233" spans="19:55" ht="15.75" customHeight="1">
      <c r="S1233" s="454"/>
      <c r="AN1233" s="458"/>
      <c r="BA1233" s="1266"/>
      <c r="BC1233" s="169"/>
    </row>
    <row r="1234" spans="19:55" ht="15.75" customHeight="1">
      <c r="S1234" s="454"/>
      <c r="AN1234" s="458"/>
      <c r="BA1234" s="1266"/>
      <c r="BC1234" s="169"/>
    </row>
    <row r="1235" spans="19:55" ht="15.75" customHeight="1">
      <c r="S1235" s="454"/>
      <c r="AN1235" s="458"/>
      <c r="BA1235" s="1266"/>
      <c r="BC1235" s="169"/>
    </row>
    <row r="1236" spans="19:55" ht="15.75" customHeight="1">
      <c r="S1236" s="454"/>
      <c r="AN1236" s="458"/>
      <c r="BA1236" s="1266"/>
      <c r="BC1236" s="169"/>
    </row>
    <row r="1237" spans="19:55" ht="15.75" customHeight="1">
      <c r="S1237" s="454"/>
      <c r="AN1237" s="458"/>
      <c r="BA1237" s="1266"/>
      <c r="BC1237" s="169"/>
    </row>
    <row r="1238" spans="19:55" ht="15.75" customHeight="1">
      <c r="S1238" s="454"/>
      <c r="AN1238" s="458"/>
      <c r="BA1238" s="1266"/>
      <c r="BC1238" s="169"/>
    </row>
    <row r="1239" spans="19:55" ht="15.75" customHeight="1">
      <c r="S1239" s="454"/>
      <c r="AN1239" s="458"/>
      <c r="BA1239" s="1266"/>
      <c r="BC1239" s="169"/>
    </row>
    <row r="1240" spans="19:55" ht="15.75" customHeight="1">
      <c r="S1240" s="454"/>
      <c r="AN1240" s="458"/>
      <c r="BA1240" s="1266"/>
      <c r="BC1240" s="169"/>
    </row>
    <row r="1241" spans="19:55" ht="15.75" customHeight="1">
      <c r="S1241" s="454"/>
      <c r="AN1241" s="458"/>
      <c r="BA1241" s="1266"/>
      <c r="BC1241" s="169"/>
    </row>
    <row r="1242" spans="19:55" ht="15.75" customHeight="1">
      <c r="S1242" s="454"/>
      <c r="AN1242" s="458"/>
      <c r="BC1242" s="169"/>
    </row>
    <row r="1243" spans="19:55" ht="15.75" customHeight="1">
      <c r="S1243" s="454"/>
      <c r="AN1243" s="458"/>
      <c r="BC1243" s="169"/>
    </row>
    <row r="1244" spans="19:55" ht="15.75" customHeight="1">
      <c r="S1244" s="454"/>
      <c r="AN1244" s="458"/>
      <c r="BC1244" s="169"/>
    </row>
    <row r="1245" spans="19:55" ht="15.75" customHeight="1">
      <c r="S1245" s="454"/>
      <c r="AN1245" s="458"/>
      <c r="BC1245" s="169"/>
    </row>
    <row r="1246" spans="19:55" ht="15.75" customHeight="1">
      <c r="S1246" s="454"/>
      <c r="AN1246" s="458"/>
      <c r="BC1246" s="169"/>
    </row>
    <row r="1247" spans="19:55" ht="15.75" customHeight="1">
      <c r="S1247" s="454"/>
      <c r="AN1247" s="458"/>
      <c r="BC1247" s="169"/>
    </row>
    <row r="1248" spans="19:55" ht="15.75" customHeight="1">
      <c r="S1248" s="454"/>
      <c r="AN1248" s="458"/>
      <c r="BC1248" s="169"/>
    </row>
    <row r="1249" spans="19:55" ht="15.75" customHeight="1">
      <c r="S1249" s="454"/>
      <c r="AN1249" s="458"/>
      <c r="BC1249" s="169"/>
    </row>
    <row r="1250" spans="19:55" ht="15.75" customHeight="1">
      <c r="S1250" s="454"/>
      <c r="AN1250" s="458"/>
      <c r="BC1250" s="169"/>
    </row>
    <row r="1251" spans="19:55" ht="15.75" customHeight="1">
      <c r="S1251" s="454"/>
      <c r="AN1251" s="458"/>
      <c r="BC1251" s="169"/>
    </row>
    <row r="1252" spans="19:55" ht="15.75" customHeight="1">
      <c r="S1252" s="454"/>
      <c r="AN1252" s="458"/>
      <c r="BC1252" s="169"/>
    </row>
    <row r="1253" spans="19:55" ht="15.75" customHeight="1">
      <c r="S1253" s="454"/>
      <c r="AN1253" s="458"/>
      <c r="BC1253" s="169"/>
    </row>
    <row r="1254" spans="19:55" ht="15.75" customHeight="1">
      <c r="S1254" s="454"/>
      <c r="AN1254" s="458"/>
      <c r="BC1254" s="169"/>
    </row>
    <row r="1255" spans="19:55" ht="15.75" customHeight="1">
      <c r="S1255" s="454"/>
      <c r="AN1255" s="458"/>
      <c r="BC1255" s="169"/>
    </row>
    <row r="1256" spans="19:55" ht="15.75" customHeight="1">
      <c r="S1256" s="454"/>
      <c r="AN1256" s="458"/>
      <c r="BC1256" s="169"/>
    </row>
    <row r="1257" spans="19:55" ht="15.75" customHeight="1">
      <c r="S1257" s="454"/>
      <c r="AN1257" s="458"/>
      <c r="BC1257" s="169"/>
    </row>
    <row r="1258" spans="19:55" ht="15.75" customHeight="1">
      <c r="S1258" s="454"/>
      <c r="AN1258" s="458"/>
      <c r="BC1258" s="169"/>
    </row>
    <row r="1259" spans="19:55" ht="15.75" customHeight="1">
      <c r="S1259" s="454"/>
      <c r="AN1259" s="458"/>
      <c r="BC1259" s="169"/>
    </row>
    <row r="1260" spans="19:55" ht="15.75" customHeight="1">
      <c r="S1260" s="454"/>
      <c r="AN1260" s="458"/>
      <c r="BC1260" s="169"/>
    </row>
    <row r="1261" spans="19:55" ht="15.75" customHeight="1">
      <c r="S1261" s="454"/>
      <c r="AN1261" s="458"/>
      <c r="BC1261" s="169"/>
    </row>
    <row r="1262" spans="19:55" ht="15.75" customHeight="1">
      <c r="S1262" s="454"/>
      <c r="AN1262" s="458"/>
      <c r="BC1262" s="169"/>
    </row>
    <row r="1263" spans="19:55" ht="15.75" customHeight="1">
      <c r="S1263" s="454"/>
      <c r="AN1263" s="458"/>
      <c r="BC1263" s="169"/>
    </row>
    <row r="1264" spans="19:55" ht="15.75" customHeight="1">
      <c r="S1264" s="454"/>
      <c r="AN1264" s="458"/>
      <c r="BC1264" s="169"/>
    </row>
    <row r="1265" spans="19:55" ht="15.75" customHeight="1">
      <c r="S1265" s="454"/>
      <c r="AN1265" s="458"/>
      <c r="BC1265" s="169"/>
    </row>
    <row r="1266" spans="19:55" ht="15.75" customHeight="1">
      <c r="S1266" s="454"/>
      <c r="AN1266" s="458"/>
      <c r="BC1266" s="169"/>
    </row>
    <row r="1267" spans="19:55" ht="15.75" customHeight="1">
      <c r="S1267" s="454"/>
      <c r="AN1267" s="458"/>
      <c r="BC1267" s="169"/>
    </row>
    <row r="1268" spans="19:55" ht="15.75" customHeight="1">
      <c r="S1268" s="454"/>
      <c r="AN1268" s="458"/>
      <c r="BC1268" s="169"/>
    </row>
    <row r="1269" spans="19:55" ht="15.75" customHeight="1">
      <c r="S1269" s="454"/>
      <c r="AN1269" s="458"/>
      <c r="BC1269" s="169"/>
    </row>
    <row r="1270" spans="19:55" ht="15.75" customHeight="1">
      <c r="S1270" s="454"/>
      <c r="AN1270" s="458"/>
      <c r="BC1270" s="169"/>
    </row>
    <row r="1271" spans="19:55" ht="15.75" customHeight="1">
      <c r="S1271" s="454"/>
      <c r="AN1271" s="458"/>
      <c r="BC1271" s="169"/>
    </row>
    <row r="1272" spans="19:55" ht="15.75" customHeight="1">
      <c r="S1272" s="454"/>
      <c r="AN1272" s="458"/>
      <c r="BC1272" s="169"/>
    </row>
    <row r="1273" spans="19:55" ht="15.75" customHeight="1">
      <c r="S1273" s="454"/>
      <c r="AN1273" s="458"/>
      <c r="BC1273" s="169"/>
    </row>
    <row r="1274" spans="19:55" ht="15.75" customHeight="1">
      <c r="S1274" s="454"/>
      <c r="AN1274" s="458"/>
      <c r="BC1274" s="169"/>
    </row>
    <row r="1275" spans="19:55" ht="15.75" customHeight="1">
      <c r="S1275" s="454"/>
      <c r="AN1275" s="458"/>
      <c r="BC1275" s="169"/>
    </row>
    <row r="1276" spans="19:55" ht="15.75" customHeight="1">
      <c r="S1276" s="454"/>
      <c r="AN1276" s="458"/>
      <c r="BC1276" s="169"/>
    </row>
    <row r="1277" spans="19:55" ht="15.75" customHeight="1">
      <c r="S1277" s="454"/>
      <c r="AN1277" s="458"/>
      <c r="BC1277" s="169"/>
    </row>
    <row r="1278" spans="19:55" ht="15.75" customHeight="1">
      <c r="S1278" s="454"/>
      <c r="AN1278" s="458"/>
      <c r="BC1278" s="169"/>
    </row>
    <row r="1279" spans="19:55" ht="15.75" customHeight="1">
      <c r="S1279" s="454"/>
      <c r="AN1279" s="458"/>
      <c r="BC1279" s="169"/>
    </row>
    <row r="1280" spans="19:55" ht="15.75" customHeight="1">
      <c r="S1280" s="454"/>
      <c r="AN1280" s="458"/>
      <c r="BC1280" s="169"/>
    </row>
    <row r="1281" spans="19:55" ht="15.75" customHeight="1">
      <c r="S1281" s="454"/>
      <c r="AN1281" s="458"/>
      <c r="BC1281" s="169"/>
    </row>
    <row r="1282" spans="19:55" ht="15.75" customHeight="1">
      <c r="S1282" s="454"/>
      <c r="AN1282" s="458"/>
      <c r="BC1282" s="169"/>
    </row>
    <row r="1283" spans="19:55" ht="15.75" customHeight="1">
      <c r="S1283" s="454"/>
      <c r="AN1283" s="458"/>
      <c r="BC1283" s="169"/>
    </row>
    <row r="1284" spans="19:55" ht="15.75" customHeight="1">
      <c r="S1284" s="454"/>
      <c r="AN1284" s="458"/>
      <c r="BC1284" s="169"/>
    </row>
    <row r="1285" spans="19:55" ht="15.75" customHeight="1">
      <c r="S1285" s="454"/>
      <c r="AN1285" s="458"/>
      <c r="BC1285" s="169"/>
    </row>
    <row r="1286" spans="19:55" ht="15.75" customHeight="1">
      <c r="S1286" s="454"/>
      <c r="AN1286" s="458"/>
      <c r="BC1286" s="169"/>
    </row>
    <row r="1287" spans="19:55" ht="15.75" customHeight="1">
      <c r="S1287" s="454"/>
      <c r="AN1287" s="458"/>
      <c r="BC1287" s="169"/>
    </row>
    <row r="1288" spans="19:55" ht="15.75" customHeight="1">
      <c r="S1288" s="454"/>
      <c r="AN1288" s="458"/>
      <c r="BC1288" s="169"/>
    </row>
    <row r="1289" spans="19:55" ht="15.75" customHeight="1">
      <c r="S1289" s="454"/>
      <c r="AN1289" s="458"/>
      <c r="BC1289" s="169"/>
    </row>
    <row r="1290" spans="19:55" ht="15.75" customHeight="1">
      <c r="S1290" s="454"/>
      <c r="AN1290" s="458"/>
      <c r="BC1290" s="169"/>
    </row>
    <row r="1291" spans="19:55" ht="15.75" customHeight="1">
      <c r="S1291" s="454"/>
      <c r="AN1291" s="458"/>
      <c r="BC1291" s="169"/>
    </row>
    <row r="1292" spans="19:55" ht="15.75" customHeight="1">
      <c r="S1292" s="454"/>
      <c r="AN1292" s="458"/>
      <c r="BC1292" s="169"/>
    </row>
    <row r="1293" spans="19:55" ht="15.75" customHeight="1">
      <c r="S1293" s="454"/>
      <c r="AN1293" s="458"/>
      <c r="BC1293" s="169"/>
    </row>
    <row r="1294" spans="19:55" ht="15.75" customHeight="1">
      <c r="S1294" s="454"/>
      <c r="AN1294" s="458"/>
      <c r="BC1294" s="169"/>
    </row>
    <row r="1295" spans="19:55" ht="15.75" customHeight="1">
      <c r="S1295" s="454"/>
      <c r="AN1295" s="458"/>
      <c r="BC1295" s="169"/>
    </row>
    <row r="1296" spans="19:55" ht="15.75" customHeight="1">
      <c r="S1296" s="454"/>
      <c r="AN1296" s="458"/>
      <c r="BC1296" s="169"/>
    </row>
    <row r="1297" spans="19:55" ht="15.75" customHeight="1">
      <c r="S1297" s="454"/>
      <c r="AN1297" s="458"/>
      <c r="BC1297" s="169"/>
    </row>
    <row r="1298" spans="19:55" ht="15.75" customHeight="1">
      <c r="S1298" s="454"/>
      <c r="AN1298" s="458"/>
      <c r="BC1298" s="169"/>
    </row>
    <row r="1299" spans="19:55" ht="15.75" customHeight="1">
      <c r="S1299" s="454"/>
      <c r="AN1299" s="458"/>
      <c r="BC1299" s="169"/>
    </row>
    <row r="1300" spans="19:55" ht="15.75" customHeight="1">
      <c r="S1300" s="454"/>
      <c r="AN1300" s="458"/>
      <c r="BC1300" s="169"/>
    </row>
    <row r="1301" spans="19:55" ht="15.75" customHeight="1">
      <c r="S1301" s="454"/>
      <c r="AN1301" s="458"/>
      <c r="BC1301" s="169"/>
    </row>
    <row r="1302" spans="19:55" ht="15.75" customHeight="1">
      <c r="S1302" s="454"/>
      <c r="AN1302" s="458"/>
      <c r="BC1302" s="169"/>
    </row>
    <row r="1303" spans="19:55" ht="15.75" customHeight="1">
      <c r="S1303" s="454"/>
      <c r="AN1303" s="458"/>
      <c r="BC1303" s="169"/>
    </row>
    <row r="1304" spans="19:55" ht="15.75" customHeight="1">
      <c r="S1304" s="454"/>
      <c r="AN1304" s="458"/>
      <c r="BC1304" s="169"/>
    </row>
    <row r="1305" spans="19:55" ht="15.75" customHeight="1">
      <c r="S1305" s="454"/>
      <c r="AN1305" s="458"/>
      <c r="BC1305" s="169"/>
    </row>
    <row r="1306" spans="19:55" ht="15.75" customHeight="1">
      <c r="S1306" s="454"/>
      <c r="AN1306" s="458"/>
      <c r="BC1306" s="169"/>
    </row>
    <row r="1307" spans="19:55" ht="15.75" customHeight="1">
      <c r="S1307" s="454"/>
      <c r="AN1307" s="458"/>
      <c r="BC1307" s="169"/>
    </row>
    <row r="1308" spans="19:55" ht="15.75" customHeight="1">
      <c r="S1308" s="454"/>
      <c r="AN1308" s="458"/>
      <c r="BC1308" s="169"/>
    </row>
    <row r="1309" spans="19:55" ht="15.75" customHeight="1">
      <c r="S1309" s="454"/>
      <c r="AN1309" s="458"/>
      <c r="BC1309" s="169"/>
    </row>
    <row r="1310" spans="19:55" ht="15.75" customHeight="1">
      <c r="S1310" s="454"/>
      <c r="AN1310" s="458"/>
      <c r="BC1310" s="169"/>
    </row>
    <row r="1311" spans="19:55" ht="15.75" customHeight="1">
      <c r="S1311" s="454"/>
      <c r="AN1311" s="458"/>
      <c r="BC1311" s="169"/>
    </row>
    <row r="1312" spans="19:55" ht="15.75" customHeight="1">
      <c r="S1312" s="454"/>
      <c r="AN1312" s="458"/>
      <c r="BC1312" s="169"/>
    </row>
    <row r="1313" spans="19:55" ht="15.75" customHeight="1">
      <c r="S1313" s="454"/>
      <c r="AN1313" s="458"/>
      <c r="BC1313" s="169"/>
    </row>
    <row r="1314" spans="19:55" ht="15.75" customHeight="1">
      <c r="S1314" s="454"/>
      <c r="AN1314" s="458"/>
      <c r="BC1314" s="169"/>
    </row>
    <row r="1315" spans="19:55" ht="15.75" customHeight="1">
      <c r="S1315" s="454"/>
      <c r="AN1315" s="458"/>
      <c r="BC1315" s="169"/>
    </row>
    <row r="1316" spans="19:55" ht="15.75" customHeight="1">
      <c r="S1316" s="454"/>
      <c r="AN1316" s="458"/>
      <c r="BC1316" s="169"/>
    </row>
    <row r="1317" spans="19:55" ht="15.75" customHeight="1">
      <c r="S1317" s="454"/>
      <c r="AN1317" s="458"/>
      <c r="BC1317" s="169"/>
    </row>
    <row r="1318" spans="19:55" ht="15.75" customHeight="1">
      <c r="S1318" s="454"/>
      <c r="AN1318" s="458"/>
      <c r="BC1318" s="169"/>
    </row>
    <row r="1319" spans="19:55" ht="15.75" customHeight="1">
      <c r="S1319" s="454"/>
      <c r="AN1319" s="458"/>
      <c r="BC1319" s="169"/>
    </row>
    <row r="1320" spans="19:55" ht="15.75" customHeight="1">
      <c r="S1320" s="454"/>
      <c r="AN1320" s="458"/>
      <c r="BC1320" s="169"/>
    </row>
    <row r="1321" spans="19:55" ht="15.75" customHeight="1">
      <c r="S1321" s="454"/>
      <c r="AN1321" s="458"/>
      <c r="BC1321" s="169"/>
    </row>
    <row r="1322" spans="19:55" ht="15.75" customHeight="1">
      <c r="S1322" s="454"/>
      <c r="AN1322" s="458"/>
      <c r="BC1322" s="169"/>
    </row>
    <row r="1323" spans="19:55" ht="15.75" customHeight="1">
      <c r="S1323" s="454"/>
      <c r="AN1323" s="458"/>
      <c r="BC1323" s="169"/>
    </row>
    <row r="1324" spans="19:55" ht="15.75" customHeight="1">
      <c r="S1324" s="454"/>
      <c r="AN1324" s="458"/>
      <c r="BC1324" s="169"/>
    </row>
    <row r="1325" spans="19:55" ht="15.75" customHeight="1">
      <c r="S1325" s="454"/>
      <c r="AN1325" s="458"/>
      <c r="BC1325" s="169"/>
    </row>
    <row r="1326" spans="19:55" ht="15.75" customHeight="1">
      <c r="S1326" s="454"/>
      <c r="AN1326" s="458"/>
      <c r="BC1326" s="169"/>
    </row>
    <row r="1327" spans="19:55" ht="15.75" customHeight="1">
      <c r="S1327" s="454"/>
      <c r="AN1327" s="458"/>
      <c r="BC1327" s="169"/>
    </row>
    <row r="1328" spans="19:55" ht="15.75" customHeight="1">
      <c r="S1328" s="454"/>
      <c r="AN1328" s="458"/>
      <c r="BC1328" s="169"/>
    </row>
    <row r="1329" spans="19:55" ht="15.75" customHeight="1">
      <c r="S1329" s="454"/>
      <c r="AN1329" s="458"/>
      <c r="BC1329" s="169"/>
    </row>
    <row r="1330" spans="19:55" ht="15.75" customHeight="1">
      <c r="S1330" s="454"/>
      <c r="AN1330" s="458"/>
      <c r="BC1330" s="169"/>
    </row>
    <row r="1331" spans="19:55" ht="15.75" customHeight="1">
      <c r="S1331" s="454"/>
      <c r="AN1331" s="458"/>
      <c r="BC1331" s="169"/>
    </row>
    <row r="1332" spans="19:55" ht="15.75" customHeight="1">
      <c r="S1332" s="454"/>
      <c r="AN1332" s="458"/>
      <c r="BC1332" s="169"/>
    </row>
    <row r="1333" spans="19:55" ht="15.75" customHeight="1">
      <c r="S1333" s="454"/>
      <c r="AN1333" s="458"/>
      <c r="BC1333" s="169"/>
    </row>
    <row r="1334" spans="19:55" ht="15.75" customHeight="1">
      <c r="S1334" s="454"/>
      <c r="AN1334" s="458"/>
      <c r="BC1334" s="169"/>
    </row>
    <row r="1335" spans="19:55" ht="15.75" customHeight="1">
      <c r="S1335" s="454"/>
      <c r="AN1335" s="458"/>
      <c r="BC1335" s="169"/>
    </row>
    <row r="1336" spans="19:55" ht="15.75" customHeight="1">
      <c r="S1336" s="454"/>
      <c r="AN1336" s="458"/>
      <c r="BC1336" s="169"/>
    </row>
    <row r="1337" spans="19:55" ht="15.75" customHeight="1">
      <c r="S1337" s="454"/>
      <c r="AN1337" s="458"/>
      <c r="BC1337" s="169"/>
    </row>
    <row r="1338" spans="19:55" ht="15.75" customHeight="1">
      <c r="S1338" s="454"/>
      <c r="AN1338" s="458"/>
      <c r="BC1338" s="169"/>
    </row>
    <row r="1339" spans="19:55" ht="15.75" customHeight="1">
      <c r="S1339" s="454"/>
      <c r="AN1339" s="458"/>
      <c r="BC1339" s="169"/>
    </row>
    <row r="1340" spans="19:55" ht="15.75" customHeight="1">
      <c r="S1340" s="454"/>
      <c r="AN1340" s="458"/>
      <c r="BC1340" s="169"/>
    </row>
    <row r="1341" spans="19:55" ht="15.75" customHeight="1">
      <c r="S1341" s="454"/>
      <c r="AN1341" s="458"/>
      <c r="BC1341" s="169"/>
    </row>
    <row r="1342" spans="19:55" ht="15.75" customHeight="1">
      <c r="S1342" s="454"/>
      <c r="AN1342" s="458"/>
      <c r="BC1342" s="169"/>
    </row>
    <row r="1343" spans="19:55" ht="15.75" customHeight="1">
      <c r="S1343" s="454"/>
      <c r="AN1343" s="458"/>
      <c r="BC1343" s="169"/>
    </row>
    <row r="1344" spans="19:55" ht="15.75" customHeight="1">
      <c r="S1344" s="454"/>
      <c r="AN1344" s="458"/>
      <c r="BC1344" s="169"/>
    </row>
    <row r="1345" spans="19:55" ht="15.75" customHeight="1">
      <c r="S1345" s="454"/>
      <c r="AN1345" s="458"/>
      <c r="BC1345" s="169"/>
    </row>
    <row r="1346" spans="19:55" ht="15.75" customHeight="1">
      <c r="S1346" s="454"/>
      <c r="AN1346" s="458"/>
      <c r="BC1346" s="169"/>
    </row>
    <row r="1347" spans="19:55" ht="15.75" customHeight="1">
      <c r="S1347" s="454"/>
      <c r="AN1347" s="458"/>
      <c r="BC1347" s="169"/>
    </row>
    <row r="1348" spans="19:55" ht="15.75" customHeight="1">
      <c r="S1348" s="454"/>
      <c r="AN1348" s="458"/>
      <c r="BC1348" s="169"/>
    </row>
    <row r="1349" spans="19:55" ht="15.75" customHeight="1">
      <c r="S1349" s="454"/>
      <c r="AN1349" s="458"/>
      <c r="BC1349" s="169"/>
    </row>
    <row r="1350" spans="19:55" ht="15.75" customHeight="1">
      <c r="S1350" s="454"/>
      <c r="AN1350" s="458"/>
      <c r="BC1350" s="169"/>
    </row>
    <row r="1351" spans="19:55" ht="15.75" customHeight="1">
      <c r="S1351" s="454"/>
      <c r="AN1351" s="458"/>
      <c r="BC1351" s="169"/>
    </row>
    <row r="1352" spans="19:55" ht="15.75" customHeight="1">
      <c r="S1352" s="454"/>
      <c r="AN1352" s="458"/>
      <c r="BC1352" s="169"/>
    </row>
    <row r="1353" spans="19:55" ht="15.75" customHeight="1">
      <c r="S1353" s="454"/>
      <c r="AN1353" s="458"/>
      <c r="BC1353" s="169"/>
    </row>
    <row r="1354" spans="19:55" ht="15.75" customHeight="1">
      <c r="S1354" s="454"/>
      <c r="AN1354" s="458"/>
      <c r="BC1354" s="169"/>
    </row>
    <row r="1355" spans="19:55" ht="15.75" customHeight="1">
      <c r="S1355" s="454"/>
      <c r="AN1355" s="458"/>
      <c r="BC1355" s="169"/>
    </row>
    <row r="1356" spans="19:55" ht="15.75" customHeight="1">
      <c r="S1356" s="454"/>
      <c r="AN1356" s="458"/>
      <c r="BC1356" s="169"/>
    </row>
    <row r="1357" spans="19:55" ht="15.75" customHeight="1">
      <c r="S1357" s="454"/>
      <c r="AN1357" s="458"/>
      <c r="BC1357" s="169"/>
    </row>
    <row r="1358" spans="19:55" ht="15.75" customHeight="1">
      <c r="S1358" s="454"/>
      <c r="AN1358" s="458"/>
      <c r="BC1358" s="169"/>
    </row>
    <row r="1359" spans="19:55" ht="15.75" customHeight="1">
      <c r="S1359" s="454"/>
      <c r="AN1359" s="458"/>
      <c r="BC1359" s="169"/>
    </row>
    <row r="1360" spans="19:55" ht="15.75" customHeight="1">
      <c r="S1360" s="454"/>
      <c r="AN1360" s="458"/>
      <c r="BC1360" s="169"/>
    </row>
    <row r="1361" spans="19:55" ht="15.75" customHeight="1">
      <c r="S1361" s="454"/>
      <c r="AN1361" s="458"/>
      <c r="BC1361" s="169"/>
    </row>
    <row r="1362" spans="19:55" ht="15.75" customHeight="1">
      <c r="S1362" s="454"/>
      <c r="AN1362" s="458"/>
      <c r="BC1362" s="169"/>
    </row>
    <row r="1363" spans="19:55" ht="15.75" customHeight="1">
      <c r="S1363" s="454"/>
      <c r="AN1363" s="458"/>
      <c r="BC1363" s="169"/>
    </row>
    <row r="1364" spans="19:55" ht="15.75" customHeight="1">
      <c r="S1364" s="454"/>
      <c r="AN1364" s="458"/>
      <c r="BC1364" s="169"/>
    </row>
    <row r="1365" spans="19:55" ht="15.75" customHeight="1">
      <c r="S1365" s="454"/>
      <c r="AN1365" s="458"/>
      <c r="BC1365" s="169"/>
    </row>
    <row r="1366" spans="19:55" ht="15.75" customHeight="1">
      <c r="S1366" s="454"/>
      <c r="AN1366" s="458"/>
      <c r="BC1366" s="169"/>
    </row>
    <row r="1367" spans="19:55" ht="15.75" customHeight="1">
      <c r="S1367" s="454"/>
      <c r="AN1367" s="458"/>
      <c r="BC1367" s="169"/>
    </row>
    <row r="1368" spans="19:55" ht="15.75" customHeight="1">
      <c r="S1368" s="454"/>
      <c r="AN1368" s="458"/>
      <c r="BC1368" s="169"/>
    </row>
    <row r="1369" spans="19:55" ht="15.75" customHeight="1">
      <c r="S1369" s="454"/>
      <c r="AN1369" s="458"/>
      <c r="BC1369" s="169"/>
    </row>
    <row r="1370" spans="19:55" ht="15.75" customHeight="1">
      <c r="S1370" s="454"/>
      <c r="AN1370" s="458"/>
      <c r="BC1370" s="169"/>
    </row>
    <row r="1371" spans="19:55" ht="15.75" customHeight="1">
      <c r="S1371" s="454"/>
      <c r="AN1371" s="458"/>
      <c r="BC1371" s="169"/>
    </row>
    <row r="1372" spans="19:55" ht="15.75" customHeight="1">
      <c r="S1372" s="454"/>
      <c r="AN1372" s="458"/>
      <c r="BC1372" s="169"/>
    </row>
    <row r="1373" spans="19:55" ht="15.75" customHeight="1">
      <c r="S1373" s="454"/>
      <c r="AN1373" s="458"/>
      <c r="BC1373" s="169"/>
    </row>
    <row r="1374" spans="19:55" ht="15.75" customHeight="1">
      <c r="S1374" s="454"/>
      <c r="AN1374" s="458"/>
      <c r="BC1374" s="169"/>
    </row>
    <row r="1375" spans="19:55" ht="15.75" customHeight="1">
      <c r="S1375" s="454"/>
      <c r="AN1375" s="458"/>
      <c r="BC1375" s="169"/>
    </row>
    <row r="1376" spans="19:55" ht="15.75" customHeight="1">
      <c r="S1376" s="454"/>
      <c r="AN1376" s="458"/>
      <c r="BC1376" s="169"/>
    </row>
    <row r="1377" spans="19:55" ht="15.75" customHeight="1">
      <c r="S1377" s="454"/>
      <c r="AN1377" s="458"/>
      <c r="BC1377" s="169"/>
    </row>
    <row r="1378" spans="19:55" ht="15.75" customHeight="1">
      <c r="S1378" s="454"/>
      <c r="AN1378" s="458"/>
      <c r="BC1378" s="169"/>
    </row>
    <row r="1379" spans="19:55" ht="15.75" customHeight="1">
      <c r="S1379" s="454"/>
      <c r="AN1379" s="458"/>
      <c r="BC1379" s="169"/>
    </row>
    <row r="1380" spans="19:55" ht="15.75" customHeight="1">
      <c r="S1380" s="454"/>
      <c r="AN1380" s="458"/>
      <c r="BC1380" s="169"/>
    </row>
    <row r="1381" spans="19:55" ht="15.75" customHeight="1">
      <c r="S1381" s="454"/>
      <c r="AN1381" s="458"/>
      <c r="BC1381" s="169"/>
    </row>
    <row r="1382" spans="19:55" ht="15.75" customHeight="1">
      <c r="S1382" s="454"/>
      <c r="AN1382" s="458"/>
      <c r="BC1382" s="169"/>
    </row>
    <row r="1383" spans="19:55" ht="15.75" customHeight="1">
      <c r="S1383" s="454"/>
      <c r="AN1383" s="458"/>
      <c r="BC1383" s="169"/>
    </row>
    <row r="1384" spans="19:55" ht="15.75" customHeight="1">
      <c r="S1384" s="454"/>
      <c r="AN1384" s="458"/>
      <c r="BC1384" s="169"/>
    </row>
    <row r="1385" spans="19:55" ht="15.75" customHeight="1">
      <c r="S1385" s="454"/>
      <c r="AN1385" s="458"/>
      <c r="BC1385" s="169"/>
    </row>
    <row r="1386" spans="19:55" ht="15.75" customHeight="1">
      <c r="S1386" s="454"/>
      <c r="AN1386" s="458"/>
      <c r="BC1386" s="169"/>
    </row>
    <row r="1387" spans="19:55" ht="15.75" customHeight="1">
      <c r="S1387" s="454"/>
      <c r="AN1387" s="458"/>
      <c r="BC1387" s="169"/>
    </row>
    <row r="1388" spans="19:55" ht="15.75" customHeight="1">
      <c r="S1388" s="454"/>
      <c r="AN1388" s="458"/>
      <c r="BC1388" s="169"/>
    </row>
    <row r="1389" spans="19:55" ht="15.75" customHeight="1">
      <c r="S1389" s="454"/>
      <c r="AN1389" s="458"/>
      <c r="BC1389" s="169"/>
    </row>
    <row r="1390" spans="19:55" ht="15.75" customHeight="1">
      <c r="S1390" s="454"/>
      <c r="AN1390" s="458"/>
      <c r="BC1390" s="169"/>
    </row>
    <row r="1391" spans="19:55" ht="15.75" customHeight="1">
      <c r="S1391" s="454"/>
      <c r="AN1391" s="458"/>
      <c r="BC1391" s="169"/>
    </row>
    <row r="1392" spans="19:55" ht="15.75" customHeight="1">
      <c r="S1392" s="454"/>
      <c r="AN1392" s="458"/>
      <c r="BC1392" s="169"/>
    </row>
    <row r="1393" spans="19:55" ht="15.75" customHeight="1">
      <c r="S1393" s="454"/>
      <c r="AN1393" s="458"/>
      <c r="BC1393" s="169"/>
    </row>
    <row r="1394" spans="19:55" ht="15.75" customHeight="1">
      <c r="S1394" s="454"/>
      <c r="AN1394" s="458"/>
      <c r="BC1394" s="169"/>
    </row>
    <row r="1395" spans="19:55" ht="15.75" customHeight="1">
      <c r="S1395" s="454"/>
      <c r="AN1395" s="458"/>
      <c r="BC1395" s="169"/>
    </row>
    <row r="1396" spans="19:55" ht="15.75" customHeight="1">
      <c r="S1396" s="454"/>
      <c r="AN1396" s="458"/>
      <c r="BC1396" s="169"/>
    </row>
    <row r="1397" spans="19:55" ht="15.75" customHeight="1">
      <c r="S1397" s="454"/>
      <c r="AN1397" s="458"/>
      <c r="BC1397" s="169"/>
    </row>
    <row r="1398" spans="19:55" ht="15.75" customHeight="1">
      <c r="S1398" s="454"/>
      <c r="AN1398" s="458"/>
      <c r="BC1398" s="169"/>
    </row>
    <row r="1399" spans="19:55" ht="15.75" customHeight="1">
      <c r="S1399" s="454"/>
      <c r="AN1399" s="458"/>
      <c r="BC1399" s="169"/>
    </row>
    <row r="1400" spans="19:55" ht="15.75" customHeight="1">
      <c r="S1400" s="454"/>
      <c r="AN1400" s="458"/>
      <c r="BC1400" s="169"/>
    </row>
    <row r="1401" spans="19:55" ht="15.75" customHeight="1">
      <c r="S1401" s="454"/>
      <c r="AN1401" s="458"/>
      <c r="BC1401" s="169"/>
    </row>
    <row r="1402" spans="19:55" ht="15.75" customHeight="1">
      <c r="S1402" s="454"/>
      <c r="AN1402" s="458"/>
      <c r="BC1402" s="169"/>
    </row>
    <row r="1403" spans="19:55" ht="15.75" customHeight="1">
      <c r="S1403" s="454"/>
      <c r="AN1403" s="458"/>
      <c r="BC1403" s="169"/>
    </row>
    <row r="1404" spans="19:55" ht="15.75" customHeight="1">
      <c r="S1404" s="454"/>
      <c r="AN1404" s="458"/>
      <c r="BC1404" s="169"/>
    </row>
    <row r="1405" spans="19:55" ht="15.75" customHeight="1">
      <c r="S1405" s="454"/>
      <c r="AN1405" s="458"/>
      <c r="BC1405" s="169"/>
    </row>
    <row r="1406" spans="19:55" ht="15.75" customHeight="1">
      <c r="S1406" s="454"/>
      <c r="AN1406" s="458"/>
      <c r="BC1406" s="169"/>
    </row>
    <row r="1407" spans="19:55" ht="15.75" customHeight="1">
      <c r="S1407" s="454"/>
      <c r="AN1407" s="458"/>
      <c r="BC1407" s="169"/>
    </row>
    <row r="1408" spans="19:55" ht="15.75" customHeight="1">
      <c r="S1408" s="454"/>
      <c r="AN1408" s="458"/>
      <c r="BC1408" s="169"/>
    </row>
    <row r="1409" spans="19:55" ht="15.75" customHeight="1">
      <c r="S1409" s="454"/>
      <c r="AN1409" s="458"/>
      <c r="BC1409" s="169"/>
    </row>
    <row r="1410" spans="19:55" ht="15.75" customHeight="1">
      <c r="S1410" s="454"/>
      <c r="AN1410" s="458"/>
      <c r="BC1410" s="169"/>
    </row>
    <row r="1411" spans="19:55" ht="15.75" customHeight="1">
      <c r="S1411" s="454"/>
      <c r="AN1411" s="458"/>
      <c r="BC1411" s="169"/>
    </row>
    <row r="1412" spans="19:55" ht="15.75" customHeight="1">
      <c r="S1412" s="454"/>
      <c r="AN1412" s="458"/>
      <c r="BC1412" s="169"/>
    </row>
    <row r="1413" spans="19:55" ht="15.75" customHeight="1">
      <c r="S1413" s="454"/>
      <c r="AN1413" s="458"/>
      <c r="BC1413" s="169"/>
    </row>
    <row r="1414" spans="19:55" ht="15.75" customHeight="1">
      <c r="S1414" s="454"/>
      <c r="AN1414" s="458"/>
      <c r="BC1414" s="169"/>
    </row>
    <row r="1415" spans="19:55" ht="15.75" customHeight="1">
      <c r="S1415" s="454"/>
      <c r="AN1415" s="458"/>
      <c r="BC1415" s="169"/>
    </row>
    <row r="1416" spans="19:55" ht="15.75" customHeight="1">
      <c r="S1416" s="454"/>
      <c r="AN1416" s="458"/>
      <c r="BC1416" s="169"/>
    </row>
    <row r="1417" spans="19:55" ht="15.75" customHeight="1">
      <c r="S1417" s="454"/>
      <c r="AN1417" s="458"/>
      <c r="BC1417" s="169"/>
    </row>
    <row r="1418" spans="19:55" ht="15.75" customHeight="1">
      <c r="S1418" s="454"/>
      <c r="AN1418" s="458"/>
      <c r="BC1418" s="169"/>
    </row>
    <row r="1419" spans="19:55" ht="15.75" customHeight="1">
      <c r="S1419" s="454"/>
      <c r="AN1419" s="458"/>
      <c r="BC1419" s="169"/>
    </row>
    <row r="1420" spans="19:55" ht="15.75" customHeight="1">
      <c r="S1420" s="454"/>
      <c r="AN1420" s="458"/>
      <c r="BC1420" s="169"/>
    </row>
    <row r="1421" spans="19:55" ht="15.75" customHeight="1">
      <c r="S1421" s="454"/>
      <c r="AN1421" s="458"/>
      <c r="BC1421" s="169"/>
    </row>
    <row r="1422" spans="19:55" ht="15.75" customHeight="1">
      <c r="S1422" s="454"/>
      <c r="AN1422" s="458"/>
      <c r="BC1422" s="169"/>
    </row>
    <row r="1423" spans="19:55" ht="15.75" customHeight="1">
      <c r="S1423" s="454"/>
      <c r="AN1423" s="458"/>
      <c r="BC1423" s="169"/>
    </row>
    <row r="1424" spans="19:55" ht="15.75" customHeight="1">
      <c r="S1424" s="454"/>
      <c r="AN1424" s="458"/>
      <c r="BC1424" s="169"/>
    </row>
    <row r="1425" spans="19:55" ht="15.75" customHeight="1">
      <c r="S1425" s="454"/>
      <c r="AN1425" s="458"/>
      <c r="BC1425" s="169"/>
    </row>
    <row r="1426" spans="19:55" ht="15.75" customHeight="1">
      <c r="S1426" s="454"/>
      <c r="AN1426" s="458"/>
      <c r="BC1426" s="169"/>
    </row>
    <row r="1427" spans="19:55" ht="15.75" customHeight="1">
      <c r="S1427" s="454"/>
      <c r="AN1427" s="458"/>
      <c r="BC1427" s="169"/>
    </row>
    <row r="1428" spans="19:55" ht="15.75" customHeight="1">
      <c r="S1428" s="454"/>
      <c r="AN1428" s="458"/>
      <c r="BC1428" s="169"/>
    </row>
    <row r="1429" spans="19:55" ht="15.75" customHeight="1">
      <c r="S1429" s="454"/>
      <c r="AN1429" s="458"/>
      <c r="BC1429" s="169"/>
    </row>
    <row r="1430" spans="19:55" ht="15.75" customHeight="1">
      <c r="S1430" s="454"/>
      <c r="AN1430" s="458"/>
      <c r="BC1430" s="169"/>
    </row>
    <row r="1431" spans="19:55" ht="15.75" customHeight="1">
      <c r="S1431" s="454"/>
      <c r="AN1431" s="458"/>
      <c r="BC1431" s="169"/>
    </row>
    <row r="1432" spans="19:55" ht="15.75" customHeight="1">
      <c r="S1432" s="454"/>
      <c r="AN1432" s="458"/>
      <c r="BC1432" s="169"/>
    </row>
    <row r="1433" spans="19:55" ht="15.75" customHeight="1">
      <c r="S1433" s="454"/>
      <c r="AN1433" s="458"/>
      <c r="BC1433" s="169"/>
    </row>
    <row r="1434" spans="19:55" ht="15.75" customHeight="1">
      <c r="S1434" s="454"/>
      <c r="AN1434" s="458"/>
      <c r="BC1434" s="169"/>
    </row>
    <row r="1435" spans="19:55" ht="15.75" customHeight="1">
      <c r="S1435" s="454"/>
      <c r="AN1435" s="458"/>
      <c r="BC1435" s="169"/>
    </row>
    <row r="1436" spans="19:55" ht="15.75" customHeight="1">
      <c r="S1436" s="454"/>
      <c r="AN1436" s="458"/>
      <c r="BC1436" s="169"/>
    </row>
    <row r="1437" spans="19:55" ht="15.75" customHeight="1">
      <c r="S1437" s="454"/>
      <c r="AN1437" s="458"/>
      <c r="BC1437" s="169"/>
    </row>
    <row r="1438" spans="19:55" ht="15.75" customHeight="1">
      <c r="S1438" s="454"/>
      <c r="AN1438" s="458"/>
      <c r="BC1438" s="169"/>
    </row>
    <row r="1439" spans="19:55" ht="15.75" customHeight="1">
      <c r="S1439" s="454"/>
      <c r="AN1439" s="458"/>
      <c r="BC1439" s="169"/>
    </row>
    <row r="1440" spans="19:55" ht="15.75" customHeight="1">
      <c r="S1440" s="454"/>
      <c r="AN1440" s="458"/>
      <c r="BC1440" s="169"/>
    </row>
    <row r="1441" spans="19:55" ht="15.75" customHeight="1">
      <c r="S1441" s="454"/>
      <c r="AN1441" s="458"/>
      <c r="BC1441" s="169"/>
    </row>
    <row r="1442" spans="19:55" ht="15.75" customHeight="1">
      <c r="S1442" s="454"/>
      <c r="AN1442" s="458"/>
      <c r="BC1442" s="169"/>
    </row>
    <row r="1443" spans="19:55" ht="15.75" customHeight="1">
      <c r="S1443" s="454"/>
      <c r="AN1443" s="458"/>
      <c r="BC1443" s="169"/>
    </row>
    <row r="1444" spans="19:55" ht="15.75" customHeight="1">
      <c r="S1444" s="454"/>
      <c r="AN1444" s="458"/>
      <c r="BC1444" s="169"/>
    </row>
    <row r="1445" spans="19:55" ht="15.75" customHeight="1">
      <c r="S1445" s="454"/>
      <c r="AN1445" s="458"/>
      <c r="BC1445" s="169"/>
    </row>
    <row r="1446" spans="19:55" ht="15.75" customHeight="1">
      <c r="S1446" s="454"/>
      <c r="AN1446" s="458"/>
      <c r="BC1446" s="169"/>
    </row>
    <row r="1447" spans="19:55" ht="15.75" customHeight="1">
      <c r="S1447" s="454"/>
      <c r="AN1447" s="458"/>
      <c r="BC1447" s="169"/>
    </row>
    <row r="1448" spans="19:55" ht="15.75" customHeight="1">
      <c r="S1448" s="454"/>
      <c r="AN1448" s="458"/>
      <c r="BC1448" s="169"/>
    </row>
    <row r="1449" spans="19:55" ht="15.75" customHeight="1">
      <c r="S1449" s="454"/>
      <c r="AN1449" s="458"/>
      <c r="BC1449" s="169"/>
    </row>
    <row r="1450" spans="19:55" ht="15.75" customHeight="1">
      <c r="S1450" s="454"/>
      <c r="AN1450" s="458"/>
      <c r="BC1450" s="169"/>
    </row>
    <row r="1451" spans="19:55" ht="15.75" customHeight="1">
      <c r="S1451" s="454"/>
      <c r="AN1451" s="458"/>
      <c r="BC1451" s="169"/>
    </row>
    <row r="1452" spans="19:55" ht="15.75" customHeight="1">
      <c r="S1452" s="454"/>
      <c r="AN1452" s="458"/>
      <c r="BC1452" s="169"/>
    </row>
    <row r="1453" spans="19:55" ht="15.75" customHeight="1">
      <c r="S1453" s="454"/>
      <c r="AN1453" s="458"/>
      <c r="BC1453" s="169"/>
    </row>
    <row r="1454" spans="19:55" ht="15.75" customHeight="1">
      <c r="S1454" s="454"/>
      <c r="AN1454" s="458"/>
      <c r="BC1454" s="169"/>
    </row>
    <row r="1455" spans="19:55" ht="15.75" customHeight="1">
      <c r="S1455" s="454"/>
      <c r="AN1455" s="458"/>
      <c r="BC1455" s="169"/>
    </row>
    <row r="1456" spans="19:55" ht="15.75" customHeight="1">
      <c r="S1456" s="454"/>
      <c r="AN1456" s="458"/>
      <c r="BC1456" s="169"/>
    </row>
    <row r="1457" spans="19:55" ht="15.75" customHeight="1">
      <c r="S1457" s="454"/>
      <c r="AN1457" s="458"/>
      <c r="BC1457" s="169"/>
    </row>
    <row r="1458" spans="19:55" ht="15.75" customHeight="1">
      <c r="S1458" s="454"/>
      <c r="AN1458" s="458"/>
      <c r="BC1458" s="169"/>
    </row>
    <row r="1459" spans="19:55" ht="15.75" customHeight="1">
      <c r="S1459" s="454"/>
      <c r="AN1459" s="458"/>
      <c r="BC1459" s="169"/>
    </row>
    <row r="1460" spans="19:55" ht="15.75" customHeight="1">
      <c r="S1460" s="454"/>
      <c r="AN1460" s="458"/>
      <c r="BC1460" s="169"/>
    </row>
    <row r="1461" spans="19:55" ht="15.75" customHeight="1">
      <c r="S1461" s="454"/>
      <c r="AN1461" s="458"/>
      <c r="BC1461" s="169"/>
    </row>
    <row r="1462" spans="19:55" ht="15.75" customHeight="1">
      <c r="S1462" s="454"/>
      <c r="AN1462" s="458"/>
      <c r="BC1462" s="169"/>
    </row>
    <row r="1463" spans="19:55" ht="15.75" customHeight="1">
      <c r="S1463" s="454"/>
      <c r="AN1463" s="458"/>
      <c r="BC1463" s="169"/>
    </row>
    <row r="1464" spans="19:55" ht="15.75" customHeight="1">
      <c r="S1464" s="454"/>
      <c r="AN1464" s="458"/>
      <c r="BC1464" s="169"/>
    </row>
    <row r="1465" spans="19:55" ht="15.75" customHeight="1">
      <c r="S1465" s="454"/>
      <c r="AN1465" s="458"/>
      <c r="BC1465" s="169"/>
    </row>
    <row r="1466" spans="19:55" ht="15.75" customHeight="1">
      <c r="S1466" s="454"/>
      <c r="AN1466" s="458"/>
      <c r="BC1466" s="169"/>
    </row>
    <row r="1467" spans="19:55" ht="15.75" customHeight="1">
      <c r="S1467" s="454"/>
      <c r="AN1467" s="458"/>
      <c r="BC1467" s="169"/>
    </row>
    <row r="1468" spans="19:55" ht="15.75" customHeight="1">
      <c r="S1468" s="454"/>
      <c r="AN1468" s="458"/>
      <c r="BC1468" s="169"/>
    </row>
    <row r="1469" spans="19:55" ht="15.75" customHeight="1">
      <c r="S1469" s="454"/>
      <c r="AN1469" s="458"/>
      <c r="BC1469" s="169"/>
    </row>
    <row r="1470" spans="19:55" ht="15.75" customHeight="1">
      <c r="S1470" s="454"/>
      <c r="AN1470" s="458"/>
      <c r="BC1470" s="169"/>
    </row>
    <row r="1471" spans="19:55" ht="15.75" customHeight="1">
      <c r="S1471" s="454"/>
      <c r="AN1471" s="458"/>
      <c r="BC1471" s="169"/>
    </row>
    <row r="1472" spans="19:55" ht="15.75" customHeight="1">
      <c r="S1472" s="454"/>
      <c r="AN1472" s="458"/>
      <c r="BC1472" s="169"/>
    </row>
    <row r="1473" spans="19:55" ht="15.75" customHeight="1">
      <c r="S1473" s="454"/>
      <c r="AN1473" s="458"/>
      <c r="BC1473" s="169"/>
    </row>
    <row r="1474" spans="19:55" ht="15.75" customHeight="1">
      <c r="S1474" s="454"/>
      <c r="AN1474" s="458"/>
      <c r="BC1474" s="169"/>
    </row>
    <row r="1475" spans="19:55" ht="15.75" customHeight="1">
      <c r="S1475" s="454"/>
      <c r="AN1475" s="458"/>
      <c r="BC1475" s="169"/>
    </row>
    <row r="1476" spans="19:55" ht="15.75" customHeight="1">
      <c r="S1476" s="454"/>
      <c r="AN1476" s="458"/>
      <c r="BC1476" s="169"/>
    </row>
    <row r="1477" spans="19:55" ht="15.75" customHeight="1">
      <c r="S1477" s="454"/>
      <c r="AN1477" s="458"/>
      <c r="BC1477" s="169"/>
    </row>
    <row r="1478" spans="19:55" ht="15.75" customHeight="1">
      <c r="S1478" s="454"/>
      <c r="AN1478" s="458"/>
      <c r="BC1478" s="169"/>
    </row>
    <row r="1479" spans="19:55" ht="15.75" customHeight="1">
      <c r="S1479" s="454"/>
      <c r="AN1479" s="458"/>
      <c r="BC1479" s="169"/>
    </row>
    <row r="1480" spans="19:55" ht="15.75" customHeight="1">
      <c r="S1480" s="454"/>
      <c r="AN1480" s="458"/>
      <c r="BC1480" s="169"/>
    </row>
    <row r="1481" spans="19:55" ht="15.75" customHeight="1">
      <c r="S1481" s="454"/>
      <c r="AN1481" s="458"/>
      <c r="BC1481" s="169"/>
    </row>
    <row r="1482" spans="19:55" ht="15.75" customHeight="1">
      <c r="S1482" s="454"/>
      <c r="AN1482" s="458"/>
      <c r="BC1482" s="169"/>
    </row>
    <row r="1483" spans="19:55" ht="15.75" customHeight="1">
      <c r="S1483" s="454"/>
      <c r="AN1483" s="458"/>
      <c r="BC1483" s="169"/>
    </row>
    <row r="1484" spans="19:55" ht="15.75" customHeight="1">
      <c r="S1484" s="454"/>
      <c r="AN1484" s="458"/>
      <c r="BC1484" s="169"/>
    </row>
    <row r="1485" spans="19:55" ht="15.75" customHeight="1">
      <c r="S1485" s="454"/>
      <c r="AN1485" s="458"/>
      <c r="BC1485" s="169"/>
    </row>
    <row r="1486" spans="19:55" ht="15.75" customHeight="1">
      <c r="S1486" s="454"/>
      <c r="AN1486" s="458"/>
      <c r="BC1486" s="169"/>
    </row>
    <row r="1487" spans="19:55" ht="15.75" customHeight="1">
      <c r="S1487" s="454"/>
      <c r="AN1487" s="458"/>
      <c r="BC1487" s="169"/>
    </row>
    <row r="1488" spans="19:55" ht="15.75" customHeight="1">
      <c r="S1488" s="454"/>
      <c r="AN1488" s="458"/>
      <c r="BC1488" s="169"/>
    </row>
    <row r="1489" spans="19:55" ht="15.75" customHeight="1">
      <c r="S1489" s="454"/>
      <c r="AN1489" s="458"/>
      <c r="BC1489" s="169"/>
    </row>
    <row r="1490" spans="19:55" ht="15.75" customHeight="1">
      <c r="S1490" s="454"/>
      <c r="AN1490" s="458"/>
      <c r="BC1490" s="169"/>
    </row>
    <row r="1491" spans="19:55" ht="15.75" customHeight="1">
      <c r="S1491" s="454"/>
      <c r="AN1491" s="458"/>
      <c r="BC1491" s="169"/>
    </row>
    <row r="1492" spans="19:55" ht="15.75" customHeight="1">
      <c r="S1492" s="454"/>
      <c r="AN1492" s="458"/>
      <c r="BC1492" s="169"/>
    </row>
    <row r="1493" spans="19:55" ht="15.75" customHeight="1">
      <c r="S1493" s="454"/>
      <c r="AN1493" s="458"/>
      <c r="BC1493" s="169"/>
    </row>
    <row r="1494" spans="19:55" ht="15.75" customHeight="1">
      <c r="AN1494" s="458"/>
      <c r="BC1494" s="169"/>
    </row>
    <row r="1495" spans="19:55" ht="15.75" customHeight="1">
      <c r="AN1495" s="458"/>
      <c r="BC1495" s="169"/>
    </row>
    <row r="1496" spans="19:55" ht="15.75" customHeight="1">
      <c r="AN1496" s="458"/>
      <c r="BC1496" s="169"/>
    </row>
    <row r="1497" spans="19:55" ht="15.75" customHeight="1">
      <c r="AN1497" s="458"/>
      <c r="BC1497" s="169"/>
    </row>
    <row r="1498" spans="19:55" ht="15.75" customHeight="1">
      <c r="AN1498" s="458"/>
      <c r="BC1498" s="169"/>
    </row>
    <row r="1499" spans="19:55" ht="15.75" customHeight="1">
      <c r="AN1499" s="458"/>
      <c r="BC1499" s="169"/>
    </row>
    <row r="1500" spans="19:55" ht="15.75" customHeight="1">
      <c r="AN1500" s="458"/>
      <c r="BC1500" s="169"/>
    </row>
    <row r="1501" spans="19:55" ht="15.75" customHeight="1">
      <c r="AN1501" s="458"/>
      <c r="BC1501" s="169"/>
    </row>
    <row r="1502" spans="19:55" ht="15.75" customHeight="1">
      <c r="AN1502" s="458"/>
      <c r="BC1502" s="169"/>
    </row>
    <row r="1503" spans="19:55" ht="15.75" customHeight="1">
      <c r="AN1503" s="458"/>
      <c r="BC1503" s="169"/>
    </row>
    <row r="1504" spans="19:55" ht="15.75" customHeight="1">
      <c r="AN1504" s="458"/>
      <c r="BC1504" s="169"/>
    </row>
    <row r="1505" spans="40:55" ht="15.75" customHeight="1">
      <c r="AN1505" s="458"/>
      <c r="BC1505" s="169"/>
    </row>
    <row r="1506" spans="40:55" ht="15.75" customHeight="1">
      <c r="AN1506" s="458"/>
      <c r="BC1506" s="169"/>
    </row>
    <row r="1507" spans="40:55" ht="15.75" customHeight="1">
      <c r="AN1507" s="458"/>
      <c r="BC1507" s="169"/>
    </row>
    <row r="1508" spans="40:55" ht="15.75" customHeight="1">
      <c r="AN1508" s="458"/>
      <c r="BC1508" s="169"/>
    </row>
    <row r="1509" spans="40:55" ht="15.75" customHeight="1">
      <c r="AN1509" s="458"/>
      <c r="BC1509" s="169"/>
    </row>
    <row r="1510" spans="40:55" ht="15.75" customHeight="1">
      <c r="AN1510" s="458"/>
      <c r="BC1510" s="169"/>
    </row>
    <row r="1511" spans="40:55" ht="15.75" customHeight="1">
      <c r="AN1511" s="458"/>
      <c r="BC1511" s="169"/>
    </row>
    <row r="1512" spans="40:55" ht="15.75" customHeight="1">
      <c r="AN1512" s="458"/>
      <c r="BC1512" s="169"/>
    </row>
    <row r="1513" spans="40:55" ht="15.75" customHeight="1">
      <c r="AN1513" s="458"/>
      <c r="BC1513" s="169"/>
    </row>
    <row r="1514" spans="40:55" ht="15.75" customHeight="1">
      <c r="AN1514" s="458"/>
      <c r="BC1514" s="169"/>
    </row>
    <row r="1515" spans="40:55" ht="15.75" customHeight="1">
      <c r="AN1515" s="458"/>
      <c r="BC1515" s="169"/>
    </row>
    <row r="1516" spans="40:55" ht="15.75" customHeight="1">
      <c r="AN1516" s="458"/>
      <c r="BC1516" s="169"/>
    </row>
    <row r="1517" spans="40:55" ht="15.75" customHeight="1">
      <c r="AN1517" s="458"/>
      <c r="BC1517" s="169"/>
    </row>
    <row r="1518" spans="40:55" ht="15.75" customHeight="1">
      <c r="AN1518" s="458"/>
      <c r="BC1518" s="169"/>
    </row>
    <row r="1519" spans="40:55" ht="15.75" customHeight="1">
      <c r="AN1519" s="458"/>
      <c r="BC1519" s="169"/>
    </row>
    <row r="1520" spans="40:55" ht="15.75" customHeight="1">
      <c r="AN1520" s="458"/>
      <c r="BC1520" s="169"/>
    </row>
    <row r="1521" spans="40:55" ht="15.75" customHeight="1">
      <c r="AN1521" s="458"/>
      <c r="BC1521" s="169"/>
    </row>
    <row r="1522" spans="40:55" ht="15.75" customHeight="1">
      <c r="AN1522" s="458"/>
      <c r="BC1522" s="169"/>
    </row>
    <row r="1523" spans="40:55" ht="15.75" customHeight="1">
      <c r="AN1523" s="458"/>
      <c r="BC1523" s="169"/>
    </row>
    <row r="1524" spans="40:55" ht="15.75" customHeight="1">
      <c r="AN1524" s="458"/>
      <c r="BC1524" s="169"/>
    </row>
    <row r="1525" spans="40:55" ht="15.75" customHeight="1">
      <c r="AN1525" s="458"/>
      <c r="BC1525" s="169"/>
    </row>
    <row r="1526" spans="40:55" ht="15.75" customHeight="1">
      <c r="AN1526" s="458"/>
      <c r="BC1526" s="169"/>
    </row>
    <row r="1527" spans="40:55" ht="15.75" customHeight="1">
      <c r="AN1527" s="458"/>
      <c r="BC1527" s="169"/>
    </row>
    <row r="1528" spans="40:55" ht="15.75" customHeight="1">
      <c r="AN1528" s="458"/>
      <c r="BC1528" s="169"/>
    </row>
    <row r="1529" spans="40:55" ht="15.75" customHeight="1">
      <c r="AN1529" s="458"/>
      <c r="BC1529" s="169"/>
    </row>
    <row r="1530" spans="40:55" ht="15.75" customHeight="1">
      <c r="AN1530" s="458"/>
      <c r="BC1530" s="169"/>
    </row>
    <row r="1531" spans="40:55" ht="15.75" customHeight="1">
      <c r="AN1531" s="458"/>
      <c r="BC1531" s="169"/>
    </row>
    <row r="1532" spans="40:55" ht="15.75" customHeight="1">
      <c r="AN1532" s="458"/>
      <c r="BC1532" s="169"/>
    </row>
    <row r="1533" spans="40:55" ht="15.75" customHeight="1">
      <c r="AN1533" s="458"/>
      <c r="BC1533" s="169"/>
    </row>
    <row r="1534" spans="40:55" ht="15.75" customHeight="1">
      <c r="AN1534" s="458"/>
      <c r="BC1534" s="169"/>
    </row>
    <row r="1535" spans="40:55" ht="15.75" customHeight="1">
      <c r="AN1535" s="458"/>
      <c r="BC1535" s="169"/>
    </row>
    <row r="1536" spans="40:55" ht="15.75" customHeight="1">
      <c r="AN1536" s="458"/>
      <c r="BC1536" s="169"/>
    </row>
    <row r="1537" spans="40:55" ht="15.75" customHeight="1">
      <c r="AN1537" s="458"/>
      <c r="BC1537" s="169"/>
    </row>
    <row r="1538" spans="40:55" ht="15.75" customHeight="1">
      <c r="AN1538" s="458"/>
      <c r="BC1538" s="169"/>
    </row>
    <row r="1539" spans="40:55" ht="15.75" customHeight="1">
      <c r="AN1539" s="458"/>
      <c r="BC1539" s="169"/>
    </row>
    <row r="1540" spans="40:55" ht="15.75" customHeight="1">
      <c r="AN1540" s="458"/>
      <c r="BC1540" s="169"/>
    </row>
    <row r="1541" spans="40:55" ht="15.75" customHeight="1">
      <c r="AN1541" s="458"/>
      <c r="BC1541" s="169"/>
    </row>
    <row r="1542" spans="40:55" ht="15.75" customHeight="1">
      <c r="AN1542" s="458"/>
      <c r="BC1542" s="169"/>
    </row>
    <row r="1543" spans="40:55" ht="15.75" customHeight="1">
      <c r="AN1543" s="458"/>
      <c r="BC1543" s="169"/>
    </row>
    <row r="1544" spans="40:55" ht="15.75" customHeight="1">
      <c r="AN1544" s="458"/>
      <c r="BC1544" s="169"/>
    </row>
    <row r="1545" spans="40:55" ht="15.75" customHeight="1">
      <c r="AN1545" s="458"/>
      <c r="BC1545" s="169"/>
    </row>
    <row r="1546" spans="40:55" ht="15.75" customHeight="1">
      <c r="AN1546" s="458"/>
      <c r="BC1546" s="169"/>
    </row>
    <row r="1547" spans="40:55" ht="15.75" customHeight="1">
      <c r="AN1547" s="458"/>
      <c r="BC1547" s="169"/>
    </row>
    <row r="1548" spans="40:55" ht="15.75" customHeight="1">
      <c r="AN1548" s="458"/>
      <c r="BC1548" s="169"/>
    </row>
    <row r="1549" spans="40:55" ht="15.75" customHeight="1">
      <c r="AN1549" s="458"/>
      <c r="BC1549" s="169"/>
    </row>
    <row r="1550" spans="40:55" ht="15.75" customHeight="1">
      <c r="AN1550" s="458"/>
      <c r="BC1550" s="169"/>
    </row>
    <row r="1551" spans="40:55" ht="15.75" customHeight="1">
      <c r="AN1551" s="458"/>
      <c r="BC1551" s="169"/>
    </row>
    <row r="1552" spans="40:55" ht="15.75" customHeight="1">
      <c r="AN1552" s="458"/>
      <c r="BC1552" s="169"/>
    </row>
    <row r="1553" spans="40:55" ht="15.75" customHeight="1">
      <c r="AN1553" s="458"/>
      <c r="BC1553" s="169"/>
    </row>
    <row r="1554" spans="40:55" ht="15.75" customHeight="1">
      <c r="AN1554" s="458"/>
      <c r="BC1554" s="169"/>
    </row>
    <row r="1555" spans="40:55" ht="15.75" customHeight="1">
      <c r="AN1555" s="458"/>
      <c r="BC1555" s="169"/>
    </row>
    <row r="1556" spans="40:55" ht="15.75" customHeight="1">
      <c r="AN1556" s="458"/>
      <c r="BC1556" s="169"/>
    </row>
    <row r="1557" spans="40:55" ht="15.75" customHeight="1">
      <c r="AN1557" s="458"/>
      <c r="BC1557" s="169"/>
    </row>
    <row r="1558" spans="40:55" ht="15.75" customHeight="1">
      <c r="AN1558" s="458"/>
      <c r="BC1558" s="169"/>
    </row>
    <row r="1559" spans="40:55" ht="15.75" customHeight="1">
      <c r="AN1559" s="458"/>
      <c r="BC1559" s="169"/>
    </row>
    <row r="1560" spans="40:55" ht="15.75" customHeight="1">
      <c r="AN1560" s="458"/>
      <c r="BC1560" s="169"/>
    </row>
    <row r="1561" spans="40:55" ht="15.75" customHeight="1">
      <c r="AN1561" s="458"/>
      <c r="BC1561" s="169"/>
    </row>
    <row r="1562" spans="40:55" ht="15.75" customHeight="1">
      <c r="AN1562" s="458"/>
      <c r="BC1562" s="169"/>
    </row>
    <row r="1563" spans="40:55" ht="15.75" customHeight="1">
      <c r="AN1563" s="458"/>
      <c r="BC1563" s="169"/>
    </row>
    <row r="1564" spans="40:55" ht="15.75" customHeight="1">
      <c r="AN1564" s="458"/>
      <c r="BC1564" s="169"/>
    </row>
    <row r="1565" spans="40:55" ht="15.75" customHeight="1">
      <c r="AN1565" s="458"/>
      <c r="BC1565" s="169"/>
    </row>
    <row r="1566" spans="40:55" ht="15.75" customHeight="1">
      <c r="AN1566" s="458"/>
      <c r="BC1566" s="169"/>
    </row>
    <row r="1567" spans="40:55" ht="15.75" customHeight="1">
      <c r="AN1567" s="458"/>
      <c r="BC1567" s="169"/>
    </row>
    <row r="1568" spans="40:55" ht="15.75" customHeight="1">
      <c r="AN1568" s="458"/>
      <c r="BC1568" s="169"/>
    </row>
    <row r="1569" spans="40:55" ht="15.75" customHeight="1">
      <c r="AN1569" s="458"/>
      <c r="BC1569" s="169"/>
    </row>
    <row r="1570" spans="40:55" ht="15.75" customHeight="1">
      <c r="AN1570" s="458"/>
      <c r="BC1570" s="169"/>
    </row>
    <row r="1571" spans="40:55" ht="15.75" customHeight="1">
      <c r="AN1571" s="458"/>
      <c r="BC1571" s="169"/>
    </row>
    <row r="1572" spans="40:55" ht="15.75" customHeight="1">
      <c r="AN1572" s="458"/>
      <c r="BC1572" s="169"/>
    </row>
    <row r="1573" spans="40:55" ht="15.75" customHeight="1">
      <c r="AN1573" s="458"/>
      <c r="BC1573" s="169"/>
    </row>
    <row r="1574" spans="40:55" ht="15.75" customHeight="1">
      <c r="AN1574" s="458"/>
      <c r="BC1574" s="169"/>
    </row>
    <row r="1575" spans="40:55" ht="15.75" customHeight="1">
      <c r="AN1575" s="458"/>
      <c r="BC1575" s="169"/>
    </row>
    <row r="1576" spans="40:55" ht="15.75" customHeight="1">
      <c r="AN1576" s="458"/>
      <c r="BC1576" s="169"/>
    </row>
    <row r="1577" spans="40:55" ht="15.75" customHeight="1">
      <c r="AN1577" s="458"/>
      <c r="BC1577" s="169"/>
    </row>
    <row r="1578" spans="40:55" ht="15.75" customHeight="1">
      <c r="AN1578" s="458"/>
      <c r="BC1578" s="169"/>
    </row>
    <row r="1579" spans="40:55" ht="15.75" customHeight="1">
      <c r="AN1579" s="458"/>
      <c r="BC1579" s="169"/>
    </row>
    <row r="1580" spans="40:55" ht="15.75" customHeight="1">
      <c r="AN1580" s="458"/>
      <c r="BC1580" s="169"/>
    </row>
    <row r="1581" spans="40:55" ht="15.75" customHeight="1">
      <c r="AN1581" s="458"/>
      <c r="BC1581" s="169"/>
    </row>
    <row r="1582" spans="40:55" ht="15.75" customHeight="1">
      <c r="AN1582" s="458"/>
      <c r="BC1582" s="169"/>
    </row>
    <row r="1583" spans="40:55" ht="15.75" customHeight="1">
      <c r="AN1583" s="458"/>
      <c r="BC1583" s="169"/>
    </row>
    <row r="1584" spans="40:55" ht="15.75" customHeight="1">
      <c r="AN1584" s="458"/>
      <c r="BC1584" s="169"/>
    </row>
    <row r="1585" spans="40:55" ht="15.75" customHeight="1">
      <c r="AN1585" s="458"/>
      <c r="BC1585" s="169"/>
    </row>
    <row r="1586" spans="40:55" ht="15.75" customHeight="1">
      <c r="AN1586" s="458"/>
      <c r="BC1586" s="169"/>
    </row>
    <row r="1587" spans="40:55" ht="15.75" customHeight="1">
      <c r="AN1587" s="458"/>
      <c r="BC1587" s="169"/>
    </row>
    <row r="1588" spans="40:55" ht="15.75" customHeight="1">
      <c r="AN1588" s="458"/>
      <c r="BC1588" s="169"/>
    </row>
    <row r="1589" spans="40:55" ht="15.75" customHeight="1">
      <c r="AN1589" s="458"/>
      <c r="BC1589" s="169"/>
    </row>
    <row r="1590" spans="40:55" ht="15.75" customHeight="1">
      <c r="AN1590" s="458"/>
      <c r="BC1590" s="169"/>
    </row>
    <row r="1591" spans="40:55" ht="15.75" customHeight="1">
      <c r="AN1591" s="458"/>
      <c r="BC1591" s="169"/>
    </row>
    <row r="1592" spans="40:55" ht="15.75" customHeight="1">
      <c r="AN1592" s="458"/>
      <c r="BC1592" s="169"/>
    </row>
    <row r="1593" spans="40:55" ht="15.75" customHeight="1">
      <c r="AN1593" s="458"/>
      <c r="BC1593" s="169"/>
    </row>
    <row r="1594" spans="40:55" ht="15.75" customHeight="1">
      <c r="AN1594" s="458"/>
      <c r="BC1594" s="169"/>
    </row>
    <row r="1595" spans="40:55" ht="15.75" customHeight="1">
      <c r="AN1595" s="458"/>
      <c r="BC1595" s="169"/>
    </row>
    <row r="1596" spans="40:55" ht="15.75" customHeight="1">
      <c r="AN1596" s="458"/>
      <c r="BC1596" s="169"/>
    </row>
    <row r="1597" spans="40:55" ht="15.75" customHeight="1">
      <c r="AN1597" s="458"/>
      <c r="BC1597" s="169"/>
    </row>
    <row r="1598" spans="40:55" ht="15.75" customHeight="1">
      <c r="AN1598" s="458"/>
      <c r="BC1598" s="169"/>
    </row>
    <row r="1599" spans="40:55" ht="15.75" customHeight="1">
      <c r="AN1599" s="458"/>
      <c r="BC1599" s="169"/>
    </row>
    <row r="1600" spans="40:55" ht="15.75" customHeight="1">
      <c r="AN1600" s="458"/>
      <c r="BC1600" s="169"/>
    </row>
    <row r="1601" spans="40:55" ht="15.75" customHeight="1">
      <c r="AN1601" s="458"/>
      <c r="BC1601" s="169"/>
    </row>
    <row r="1602" spans="40:55" ht="15.75" customHeight="1">
      <c r="AN1602" s="458"/>
      <c r="BC1602" s="169"/>
    </row>
    <row r="1603" spans="40:55" ht="15.75" customHeight="1">
      <c r="AN1603" s="458"/>
      <c r="BC1603" s="169"/>
    </row>
    <row r="1604" spans="40:55" ht="15.75" customHeight="1">
      <c r="AN1604" s="458"/>
      <c r="BC1604" s="169"/>
    </row>
    <row r="1605" spans="40:55" ht="15.75" customHeight="1">
      <c r="AN1605" s="458"/>
      <c r="BC1605" s="169"/>
    </row>
    <row r="1606" spans="40:55" ht="15.75" customHeight="1">
      <c r="AN1606" s="458"/>
      <c r="BC1606" s="169"/>
    </row>
    <row r="1607" spans="40:55" ht="15.75" customHeight="1">
      <c r="AN1607" s="458"/>
      <c r="BC1607" s="169"/>
    </row>
    <row r="1608" spans="40:55" ht="15.75" customHeight="1">
      <c r="AN1608" s="458"/>
      <c r="BC1608" s="169"/>
    </row>
    <row r="1609" spans="40:55" ht="15.75" customHeight="1">
      <c r="AN1609" s="458"/>
      <c r="BC1609" s="169"/>
    </row>
    <row r="1610" spans="40:55" ht="15.75" customHeight="1">
      <c r="AN1610" s="458"/>
      <c r="BC1610" s="169"/>
    </row>
    <row r="1611" spans="40:55" ht="15.75" customHeight="1">
      <c r="AN1611" s="458"/>
      <c r="BC1611" s="169"/>
    </row>
    <row r="1612" spans="40:55" ht="15.75" customHeight="1">
      <c r="AN1612" s="458"/>
      <c r="BC1612" s="169"/>
    </row>
    <row r="1613" spans="40:55" ht="15.75" customHeight="1">
      <c r="AN1613" s="458"/>
      <c r="BC1613" s="169"/>
    </row>
    <row r="1614" spans="40:55" ht="15.75" customHeight="1">
      <c r="AN1614" s="458"/>
      <c r="BC1614" s="169"/>
    </row>
    <row r="1615" spans="40:55" ht="15.75" customHeight="1">
      <c r="AN1615" s="458"/>
      <c r="BC1615" s="169"/>
    </row>
    <row r="1616" spans="40:55" ht="15.75" customHeight="1">
      <c r="AN1616" s="458"/>
      <c r="BC1616" s="169"/>
    </row>
    <row r="1617" spans="40:55" ht="15.75" customHeight="1">
      <c r="AN1617" s="458"/>
      <c r="BC1617" s="169"/>
    </row>
    <row r="1618" spans="40:55" ht="15.75" customHeight="1">
      <c r="AN1618" s="458"/>
      <c r="BC1618" s="169"/>
    </row>
    <row r="1619" spans="40:55" ht="15.75" customHeight="1">
      <c r="AN1619" s="458"/>
      <c r="BC1619" s="169"/>
    </row>
    <row r="1620" spans="40:55" ht="15.75" customHeight="1">
      <c r="AN1620" s="458"/>
      <c r="BC1620" s="169"/>
    </row>
    <row r="1621" spans="40:55" ht="15.75" customHeight="1">
      <c r="AN1621" s="458"/>
      <c r="BC1621" s="169"/>
    </row>
    <row r="1622" spans="40:55" ht="15.75" customHeight="1">
      <c r="AN1622" s="458"/>
      <c r="BC1622" s="169"/>
    </row>
    <row r="1623" spans="40:55" ht="15.75" customHeight="1">
      <c r="AN1623" s="458"/>
      <c r="BC1623" s="169"/>
    </row>
    <row r="1624" spans="40:55" ht="15.75" customHeight="1">
      <c r="AN1624" s="458"/>
      <c r="BC1624" s="169"/>
    </row>
    <row r="1625" spans="40:55" ht="15.75" customHeight="1">
      <c r="AN1625" s="458"/>
      <c r="BC1625" s="169"/>
    </row>
    <row r="1626" spans="40:55" ht="15.75" customHeight="1">
      <c r="AN1626" s="458"/>
      <c r="BC1626" s="169"/>
    </row>
    <row r="1627" spans="40:55" ht="15.75" customHeight="1">
      <c r="AN1627" s="458"/>
      <c r="BC1627" s="169"/>
    </row>
    <row r="1628" spans="40:55" ht="15.75" customHeight="1">
      <c r="AN1628" s="458"/>
      <c r="BC1628" s="169"/>
    </row>
    <row r="1629" spans="40:55" ht="15.75" customHeight="1">
      <c r="AN1629" s="458"/>
      <c r="BC1629" s="169"/>
    </row>
    <row r="1630" spans="40:55" ht="15.75" customHeight="1">
      <c r="AN1630" s="458"/>
      <c r="BC1630" s="169"/>
    </row>
    <row r="1631" spans="40:55" ht="15.75" customHeight="1">
      <c r="AN1631" s="458"/>
      <c r="BC1631" s="169"/>
    </row>
    <row r="1632" spans="40:55" ht="15.75" customHeight="1">
      <c r="AN1632" s="458"/>
      <c r="BC1632" s="169"/>
    </row>
    <row r="1633" spans="40:55" ht="15.75" customHeight="1">
      <c r="AN1633" s="458"/>
      <c r="BC1633" s="169"/>
    </row>
    <row r="1634" spans="40:55" ht="15.75" customHeight="1">
      <c r="AN1634" s="458"/>
      <c r="BC1634" s="169"/>
    </row>
    <row r="1635" spans="40:55" ht="15.75" customHeight="1">
      <c r="AN1635" s="458"/>
      <c r="BC1635" s="169"/>
    </row>
    <row r="1636" spans="40:55" ht="15.75" customHeight="1">
      <c r="AN1636" s="458"/>
      <c r="BC1636" s="169"/>
    </row>
    <row r="1637" spans="40:55" ht="15.75" customHeight="1">
      <c r="AN1637" s="458"/>
      <c r="BC1637" s="169"/>
    </row>
    <row r="1638" spans="40:55" ht="15.75" customHeight="1">
      <c r="AN1638" s="458"/>
      <c r="BC1638" s="169"/>
    </row>
    <row r="1639" spans="40:55" ht="15.75" customHeight="1">
      <c r="AN1639" s="458"/>
      <c r="BC1639" s="169"/>
    </row>
    <row r="1640" spans="40:55" ht="15.75" customHeight="1">
      <c r="AN1640" s="458"/>
      <c r="BC1640" s="169"/>
    </row>
    <row r="1641" spans="40:55" ht="15.75" customHeight="1">
      <c r="AN1641" s="458"/>
      <c r="BC1641" s="169"/>
    </row>
    <row r="1642" spans="40:55" ht="15.75" customHeight="1">
      <c r="AN1642" s="458"/>
      <c r="BC1642" s="169"/>
    </row>
    <row r="1643" spans="40:55" ht="15.75" customHeight="1">
      <c r="AN1643" s="458"/>
      <c r="BC1643" s="169"/>
    </row>
    <row r="1644" spans="40:55" ht="15.75" customHeight="1">
      <c r="AN1644" s="458"/>
      <c r="BC1644" s="169"/>
    </row>
    <row r="1645" spans="40:55" ht="15.75" customHeight="1">
      <c r="AN1645" s="458"/>
      <c r="BC1645" s="169"/>
    </row>
    <row r="1646" spans="40:55" ht="15.75" customHeight="1">
      <c r="AN1646" s="458"/>
      <c r="BC1646" s="169"/>
    </row>
    <row r="1647" spans="40:55" ht="15.75" customHeight="1">
      <c r="AN1647" s="458"/>
      <c r="BC1647" s="169"/>
    </row>
    <row r="1648" spans="40:55" ht="15.75" customHeight="1">
      <c r="AN1648" s="458"/>
      <c r="BC1648" s="169"/>
    </row>
    <row r="1649" spans="40:55" ht="15.75" customHeight="1">
      <c r="AN1649" s="458"/>
      <c r="BC1649" s="169"/>
    </row>
    <row r="1650" spans="40:55" ht="15.75" customHeight="1">
      <c r="AN1650" s="458"/>
      <c r="BC1650" s="169"/>
    </row>
    <row r="1651" spans="40:55" ht="15.75" customHeight="1">
      <c r="AN1651" s="458"/>
      <c r="BC1651" s="169"/>
    </row>
    <row r="1652" spans="40:55" ht="15.75" customHeight="1">
      <c r="AN1652" s="458"/>
      <c r="BC1652" s="169"/>
    </row>
    <row r="1653" spans="40:55" ht="15.75" customHeight="1">
      <c r="AN1653" s="458"/>
      <c r="BC1653" s="169"/>
    </row>
    <row r="1654" spans="40:55" ht="15.75" customHeight="1">
      <c r="AN1654" s="458"/>
      <c r="BC1654" s="169"/>
    </row>
    <row r="1655" spans="40:55" ht="15.75" customHeight="1">
      <c r="AN1655" s="458"/>
      <c r="BC1655" s="169"/>
    </row>
    <row r="1656" spans="40:55" ht="15.75" customHeight="1">
      <c r="AN1656" s="458"/>
      <c r="BC1656" s="169"/>
    </row>
    <row r="1657" spans="40:55" ht="15.75" customHeight="1">
      <c r="AN1657" s="458"/>
      <c r="BC1657" s="169"/>
    </row>
    <row r="1658" spans="40:55" ht="15.75" customHeight="1">
      <c r="AN1658" s="458"/>
      <c r="BC1658" s="169"/>
    </row>
    <row r="1659" spans="40:55" ht="15.75" customHeight="1">
      <c r="AN1659" s="458"/>
      <c r="BC1659" s="169"/>
    </row>
    <row r="1660" spans="40:55" ht="15.75" customHeight="1">
      <c r="AN1660" s="458"/>
      <c r="BC1660" s="169"/>
    </row>
    <row r="1661" spans="40:55" ht="15.75" customHeight="1">
      <c r="AN1661" s="458"/>
      <c r="BC1661" s="169"/>
    </row>
    <row r="1662" spans="40:55" ht="15.75" customHeight="1">
      <c r="AN1662" s="458"/>
      <c r="BC1662" s="169"/>
    </row>
    <row r="1663" spans="40:55" ht="15.75" customHeight="1">
      <c r="AN1663" s="458"/>
      <c r="BC1663" s="169"/>
    </row>
    <row r="1664" spans="40:55" ht="15.75" customHeight="1">
      <c r="AN1664" s="458"/>
      <c r="BC1664" s="169"/>
    </row>
    <row r="1665" spans="40:55" ht="15.75" customHeight="1">
      <c r="AN1665" s="458"/>
      <c r="BC1665" s="169"/>
    </row>
    <row r="1666" spans="40:55" ht="15.75" customHeight="1">
      <c r="AN1666" s="458"/>
      <c r="BC1666" s="169"/>
    </row>
    <row r="1667" spans="40:55" ht="15.75" customHeight="1">
      <c r="AN1667" s="458"/>
      <c r="BC1667" s="169"/>
    </row>
    <row r="1668" spans="40:55" ht="15.75" customHeight="1">
      <c r="AN1668" s="458"/>
      <c r="BC1668" s="169"/>
    </row>
    <row r="1669" spans="40:55" ht="15.75" customHeight="1">
      <c r="AN1669" s="458"/>
      <c r="BC1669" s="169"/>
    </row>
    <row r="1670" spans="40:55" ht="15.75" customHeight="1">
      <c r="AN1670" s="458"/>
      <c r="BC1670" s="169"/>
    </row>
    <row r="1671" spans="40:55" ht="15.75" customHeight="1">
      <c r="AN1671" s="458"/>
      <c r="BC1671" s="169"/>
    </row>
    <row r="1672" spans="40:55" ht="15.75" customHeight="1">
      <c r="AN1672" s="458"/>
      <c r="BC1672" s="169"/>
    </row>
    <row r="1673" spans="40:55" ht="15.75" customHeight="1">
      <c r="AN1673" s="458"/>
      <c r="BC1673" s="169"/>
    </row>
    <row r="1674" spans="40:55" ht="15.75" customHeight="1">
      <c r="AN1674" s="458"/>
      <c r="BC1674" s="169"/>
    </row>
    <row r="1675" spans="40:55" ht="15.75" customHeight="1">
      <c r="AN1675" s="458"/>
      <c r="BC1675" s="169"/>
    </row>
    <row r="1676" spans="40:55" ht="15.75" customHeight="1">
      <c r="AN1676" s="458"/>
      <c r="BC1676" s="169"/>
    </row>
    <row r="1677" spans="40:55" ht="15.75" customHeight="1">
      <c r="AN1677" s="458"/>
      <c r="BC1677" s="169"/>
    </row>
    <row r="1678" spans="40:55" ht="15.75" customHeight="1">
      <c r="AN1678" s="458"/>
      <c r="BC1678" s="169"/>
    </row>
    <row r="1679" spans="40:55" ht="15.75" customHeight="1">
      <c r="AN1679" s="458"/>
      <c r="BC1679" s="169"/>
    </row>
    <row r="1680" spans="40:55" ht="15.75" customHeight="1">
      <c r="AN1680" s="458"/>
      <c r="BC1680" s="169"/>
    </row>
    <row r="1681" spans="40:55" ht="15.75" customHeight="1">
      <c r="AN1681" s="458"/>
      <c r="BC1681" s="169"/>
    </row>
    <row r="1682" spans="40:55" ht="15.75" customHeight="1">
      <c r="AN1682" s="458"/>
      <c r="BC1682" s="169"/>
    </row>
    <row r="1683" spans="40:55" ht="15.75" customHeight="1">
      <c r="AN1683" s="458"/>
      <c r="BC1683" s="169"/>
    </row>
    <row r="1684" spans="40:55" ht="15.75" customHeight="1">
      <c r="AN1684" s="458"/>
      <c r="BC1684" s="169"/>
    </row>
    <row r="1685" spans="40:55" ht="15.75" customHeight="1">
      <c r="AN1685" s="458"/>
      <c r="BC1685" s="169"/>
    </row>
    <row r="1686" spans="40:55" ht="15.75" customHeight="1">
      <c r="AN1686" s="458"/>
      <c r="BC1686" s="169"/>
    </row>
    <row r="1687" spans="40:55" ht="15.75" customHeight="1">
      <c r="AN1687" s="458"/>
      <c r="BC1687" s="169"/>
    </row>
    <row r="1688" spans="40:55" ht="15.75" customHeight="1">
      <c r="AN1688" s="458"/>
      <c r="BC1688" s="169"/>
    </row>
    <row r="1689" spans="40:55" ht="15.75" customHeight="1">
      <c r="AN1689" s="458"/>
      <c r="BC1689" s="169"/>
    </row>
    <row r="1690" spans="40:55" ht="15.75" customHeight="1">
      <c r="AN1690" s="458"/>
      <c r="BC1690" s="169"/>
    </row>
    <row r="1691" spans="40:55" ht="15.75" customHeight="1">
      <c r="AN1691" s="458"/>
      <c r="BC1691" s="169"/>
    </row>
    <row r="1692" spans="40:55" ht="15.75" customHeight="1">
      <c r="AN1692" s="458"/>
      <c r="BC1692" s="169"/>
    </row>
    <row r="1693" spans="40:55" ht="15.75" customHeight="1">
      <c r="AN1693" s="458"/>
      <c r="BC1693" s="169"/>
    </row>
    <row r="1694" spans="40:55" ht="15.75" customHeight="1">
      <c r="AN1694" s="458"/>
      <c r="BC1694" s="169"/>
    </row>
    <row r="1695" spans="40:55" ht="15.75" customHeight="1">
      <c r="AN1695" s="458"/>
      <c r="BC1695" s="169"/>
    </row>
    <row r="1696" spans="40:55" ht="15.75" customHeight="1">
      <c r="AN1696" s="458"/>
      <c r="BC1696" s="169"/>
    </row>
    <row r="1697" spans="40:55" ht="15.75" customHeight="1">
      <c r="AN1697" s="458"/>
      <c r="BC1697" s="169"/>
    </row>
    <row r="1698" spans="40:55" ht="15.75" customHeight="1">
      <c r="AN1698" s="458"/>
      <c r="BC1698" s="169"/>
    </row>
    <row r="1699" spans="40:55" ht="15.75" customHeight="1">
      <c r="AN1699" s="458"/>
      <c r="BC1699" s="169"/>
    </row>
    <row r="1700" spans="40:55" ht="15.75" customHeight="1">
      <c r="AN1700" s="458"/>
      <c r="BC1700" s="169"/>
    </row>
    <row r="1701" spans="40:55" ht="15.75" customHeight="1">
      <c r="AN1701" s="458"/>
      <c r="BC1701" s="169"/>
    </row>
    <row r="1702" spans="40:55" ht="15.75" customHeight="1">
      <c r="AN1702" s="458"/>
      <c r="BC1702" s="169"/>
    </row>
    <row r="1703" spans="40:55" ht="15.75" customHeight="1">
      <c r="AN1703" s="458"/>
      <c r="BC1703" s="169"/>
    </row>
    <row r="1704" spans="40:55" ht="15.75" customHeight="1">
      <c r="AN1704" s="458"/>
      <c r="BC1704" s="169"/>
    </row>
    <row r="1705" spans="40:55" ht="15.75" customHeight="1">
      <c r="AN1705" s="458"/>
      <c r="BC1705" s="169"/>
    </row>
    <row r="1706" spans="40:55" ht="15.75" customHeight="1">
      <c r="AN1706" s="458"/>
      <c r="BC1706" s="169"/>
    </row>
    <row r="1707" spans="40:55" ht="15.75" customHeight="1">
      <c r="AN1707" s="458"/>
      <c r="BC1707" s="169"/>
    </row>
    <row r="1708" spans="40:55" ht="15.75" customHeight="1">
      <c r="AN1708" s="458"/>
      <c r="BC1708" s="169"/>
    </row>
    <row r="1709" spans="40:55" ht="15.75" customHeight="1">
      <c r="AN1709" s="458"/>
      <c r="BC1709" s="169"/>
    </row>
    <row r="1710" spans="40:55" ht="15.75" customHeight="1">
      <c r="AN1710" s="458"/>
      <c r="BC1710" s="169"/>
    </row>
    <row r="1711" spans="40:55" ht="15.75" customHeight="1">
      <c r="AN1711" s="458"/>
      <c r="BC1711" s="169"/>
    </row>
    <row r="1712" spans="40:55" ht="15.75" customHeight="1">
      <c r="AN1712" s="458"/>
      <c r="BC1712" s="169"/>
    </row>
    <row r="1713" spans="40:55" ht="15.75" customHeight="1">
      <c r="AN1713" s="458"/>
      <c r="BC1713" s="169"/>
    </row>
    <row r="1714" spans="40:55" ht="15.75" customHeight="1">
      <c r="AN1714" s="458"/>
      <c r="BC1714" s="169"/>
    </row>
    <row r="1715" spans="40:55" ht="15.75" customHeight="1">
      <c r="AN1715" s="458"/>
      <c r="BC1715" s="169"/>
    </row>
    <row r="1716" spans="40:55" ht="15.75" customHeight="1">
      <c r="AN1716" s="458"/>
      <c r="BC1716" s="169"/>
    </row>
    <row r="1717" spans="40:55" ht="15.75" customHeight="1">
      <c r="AN1717" s="458"/>
      <c r="BC1717" s="169"/>
    </row>
    <row r="1718" spans="40:55" ht="15.75" customHeight="1">
      <c r="AN1718" s="458"/>
      <c r="BC1718" s="169"/>
    </row>
    <row r="1719" spans="40:55" ht="15.75" customHeight="1">
      <c r="AN1719" s="458"/>
      <c r="BC1719" s="169"/>
    </row>
    <row r="1720" spans="40:55" ht="15.75" customHeight="1">
      <c r="AN1720" s="458"/>
      <c r="BC1720" s="169"/>
    </row>
    <row r="1721" spans="40:55" ht="15.75" customHeight="1">
      <c r="AN1721" s="458"/>
      <c r="BC1721" s="169"/>
    </row>
    <row r="1722" spans="40:55" ht="15.75" customHeight="1">
      <c r="AN1722" s="458"/>
      <c r="BC1722" s="169"/>
    </row>
    <row r="1723" spans="40:55" ht="15.75" customHeight="1">
      <c r="AN1723" s="458"/>
      <c r="BC1723" s="169"/>
    </row>
    <row r="1724" spans="40:55" ht="15.75" customHeight="1">
      <c r="AN1724" s="458"/>
      <c r="BC1724" s="169"/>
    </row>
    <row r="1725" spans="40:55" ht="15.75" customHeight="1">
      <c r="AN1725" s="458"/>
      <c r="BC1725" s="169"/>
    </row>
    <row r="1726" spans="40:55" ht="15.75" customHeight="1">
      <c r="AN1726" s="458"/>
      <c r="BC1726" s="169"/>
    </row>
    <row r="1727" spans="40:55" ht="15.75" customHeight="1">
      <c r="AN1727" s="458"/>
      <c r="BC1727" s="169"/>
    </row>
    <row r="1728" spans="40:55" ht="15.75" customHeight="1">
      <c r="AN1728" s="458"/>
      <c r="BC1728" s="169"/>
    </row>
    <row r="1729" spans="40:55" ht="15.75" customHeight="1">
      <c r="AN1729" s="458"/>
      <c r="BC1729" s="169"/>
    </row>
    <row r="1730" spans="40:55" ht="15.75" customHeight="1">
      <c r="AN1730" s="458"/>
      <c r="BC1730" s="169"/>
    </row>
    <row r="1731" spans="40:55" ht="15.75" customHeight="1">
      <c r="AN1731" s="458"/>
      <c r="BC1731" s="169"/>
    </row>
    <row r="1732" spans="40:55" ht="15.75" customHeight="1">
      <c r="AN1732" s="458"/>
      <c r="BC1732" s="169"/>
    </row>
    <row r="1733" spans="40:55" ht="15.75" customHeight="1">
      <c r="AN1733" s="458"/>
      <c r="BC1733" s="169"/>
    </row>
    <row r="1734" spans="40:55" ht="15.75" customHeight="1">
      <c r="AN1734" s="458"/>
      <c r="BC1734" s="169"/>
    </row>
    <row r="1735" spans="40:55" ht="15.75" customHeight="1">
      <c r="AN1735" s="458"/>
      <c r="BC1735" s="169"/>
    </row>
    <row r="1736" spans="40:55" ht="15.75" customHeight="1">
      <c r="AN1736" s="458"/>
      <c r="BC1736" s="169"/>
    </row>
    <row r="1737" spans="40:55" ht="15.75" customHeight="1">
      <c r="AN1737" s="458"/>
      <c r="BC1737" s="169"/>
    </row>
    <row r="1738" spans="40:55" ht="15.75" customHeight="1">
      <c r="AN1738" s="458"/>
      <c r="BC1738" s="169"/>
    </row>
    <row r="1739" spans="40:55" ht="15.75" customHeight="1">
      <c r="AN1739" s="458"/>
      <c r="BC1739" s="169"/>
    </row>
    <row r="1740" spans="40:55" ht="15.75" customHeight="1">
      <c r="AN1740" s="458"/>
      <c r="BC1740" s="169"/>
    </row>
    <row r="1741" spans="40:55" ht="15.75" customHeight="1">
      <c r="AN1741" s="458"/>
      <c r="BC1741" s="169"/>
    </row>
    <row r="1742" spans="40:55" ht="15.75" customHeight="1">
      <c r="AN1742" s="458"/>
      <c r="BC1742" s="169"/>
    </row>
    <row r="1743" spans="40:55" ht="15.75" customHeight="1">
      <c r="AN1743" s="458"/>
      <c r="BC1743" s="169"/>
    </row>
    <row r="1744" spans="40:55" ht="15.75" customHeight="1">
      <c r="AN1744" s="458"/>
      <c r="BC1744" s="169"/>
    </row>
    <row r="1745" spans="40:55" ht="15.75" customHeight="1">
      <c r="AN1745" s="458"/>
      <c r="BC1745" s="169"/>
    </row>
    <row r="1746" spans="40:55" ht="15.75" customHeight="1">
      <c r="AN1746" s="458"/>
      <c r="BC1746" s="169"/>
    </row>
    <row r="1747" spans="40:55" ht="15.75" customHeight="1">
      <c r="AN1747" s="458"/>
      <c r="BC1747" s="169"/>
    </row>
    <row r="1748" spans="40:55" ht="15.75" customHeight="1">
      <c r="AN1748" s="458"/>
      <c r="BC1748" s="169"/>
    </row>
    <row r="1749" spans="40:55" ht="15.75" customHeight="1">
      <c r="AN1749" s="458"/>
      <c r="BC1749" s="169"/>
    </row>
    <row r="1750" spans="40:55" ht="15.75" customHeight="1">
      <c r="AN1750" s="458"/>
      <c r="BC1750" s="169"/>
    </row>
    <row r="1751" spans="40:55" ht="15.75" customHeight="1">
      <c r="AN1751" s="458"/>
      <c r="BC1751" s="169"/>
    </row>
    <row r="1752" spans="40:55" ht="15.75" customHeight="1">
      <c r="AN1752" s="458"/>
      <c r="BC1752" s="169"/>
    </row>
    <row r="1753" spans="40:55" ht="15.75" customHeight="1">
      <c r="AN1753" s="458"/>
      <c r="BC1753" s="169"/>
    </row>
    <row r="1754" spans="40:55" ht="15.75" customHeight="1">
      <c r="AN1754" s="458"/>
      <c r="BC1754" s="169"/>
    </row>
    <row r="1755" spans="40:55" ht="15.75" customHeight="1">
      <c r="AN1755" s="458"/>
      <c r="BC1755" s="169"/>
    </row>
    <row r="1756" spans="40:55" ht="15.75" customHeight="1">
      <c r="AN1756" s="458"/>
      <c r="BC1756" s="169"/>
    </row>
    <row r="1757" spans="40:55" ht="15.75" customHeight="1">
      <c r="AN1757" s="458"/>
      <c r="BC1757" s="169"/>
    </row>
    <row r="1758" spans="40:55" ht="15.75" customHeight="1">
      <c r="AN1758" s="458"/>
      <c r="BC1758" s="169"/>
    </row>
    <row r="1759" spans="40:55" ht="15.75" customHeight="1">
      <c r="AN1759" s="458"/>
      <c r="BC1759" s="169"/>
    </row>
    <row r="1760" spans="40:55" ht="15.75" customHeight="1">
      <c r="AN1760" s="458"/>
      <c r="BC1760" s="169"/>
    </row>
    <row r="1761" spans="40:55" ht="15.75" customHeight="1">
      <c r="AN1761" s="458"/>
      <c r="BC1761" s="169"/>
    </row>
    <row r="1762" spans="40:55" ht="15.75" customHeight="1">
      <c r="AN1762" s="458"/>
      <c r="BC1762" s="169"/>
    </row>
    <row r="1763" spans="40:55" ht="15.75" customHeight="1">
      <c r="AN1763" s="458"/>
      <c r="BC1763" s="169"/>
    </row>
    <row r="1764" spans="40:55" ht="15.75" customHeight="1">
      <c r="AN1764" s="458"/>
      <c r="BC1764" s="169"/>
    </row>
    <row r="1765" spans="40:55" ht="15.75" customHeight="1">
      <c r="AN1765" s="458"/>
      <c r="BC1765" s="169"/>
    </row>
    <row r="1766" spans="40:55" ht="15.75" customHeight="1">
      <c r="AN1766" s="458"/>
      <c r="BC1766" s="169"/>
    </row>
    <row r="1767" spans="40:55" ht="15.75" customHeight="1">
      <c r="AN1767" s="458"/>
      <c r="BC1767" s="169"/>
    </row>
    <row r="1768" spans="40:55" ht="15.75" customHeight="1">
      <c r="AN1768" s="458"/>
      <c r="BC1768" s="169"/>
    </row>
    <row r="1769" spans="40:55" ht="15.75" customHeight="1">
      <c r="AN1769" s="458"/>
      <c r="BC1769" s="169"/>
    </row>
    <row r="1770" spans="40:55" ht="15.75" customHeight="1">
      <c r="AN1770" s="458"/>
      <c r="BC1770" s="169"/>
    </row>
    <row r="1771" spans="40:55" ht="15.75" customHeight="1">
      <c r="AN1771" s="458"/>
      <c r="BC1771" s="169"/>
    </row>
    <row r="1772" spans="40:55" ht="15.75" customHeight="1">
      <c r="AN1772" s="458"/>
      <c r="BC1772" s="169"/>
    </row>
    <row r="1773" spans="40:55" ht="15.75" customHeight="1">
      <c r="AN1773" s="458"/>
      <c r="BC1773" s="169"/>
    </row>
    <row r="1774" spans="40:55" ht="15.75" customHeight="1">
      <c r="AN1774" s="458"/>
      <c r="BC1774" s="169"/>
    </row>
    <row r="1775" spans="40:55" ht="15.75" customHeight="1">
      <c r="AN1775" s="458"/>
      <c r="BC1775" s="169"/>
    </row>
    <row r="1776" spans="40:55" ht="15.75" customHeight="1">
      <c r="AN1776" s="458"/>
      <c r="BC1776" s="169"/>
    </row>
    <row r="1777" spans="40:55" ht="15.75" customHeight="1">
      <c r="AN1777" s="458"/>
      <c r="BC1777" s="169"/>
    </row>
    <row r="1778" spans="40:55" ht="15.75" customHeight="1">
      <c r="AN1778" s="458"/>
      <c r="BC1778" s="169"/>
    </row>
    <row r="1779" spans="40:55" ht="15.75" customHeight="1">
      <c r="AN1779" s="458"/>
      <c r="BC1779" s="169"/>
    </row>
    <row r="1780" spans="40:55" ht="15.75" customHeight="1">
      <c r="AN1780" s="458"/>
      <c r="BC1780" s="169"/>
    </row>
    <row r="1781" spans="40:55" ht="15.75" customHeight="1">
      <c r="AN1781" s="458"/>
      <c r="BC1781" s="169"/>
    </row>
    <row r="1782" spans="40:55" ht="15.75" customHeight="1">
      <c r="AN1782" s="458"/>
      <c r="BC1782" s="169"/>
    </row>
    <row r="1783" spans="40:55" ht="15.75" customHeight="1">
      <c r="AN1783" s="458"/>
      <c r="BC1783" s="169"/>
    </row>
    <row r="1784" spans="40:55" ht="15.75" customHeight="1">
      <c r="AN1784" s="458"/>
      <c r="BC1784" s="169"/>
    </row>
    <row r="1785" spans="40:55" ht="15.75" customHeight="1">
      <c r="AN1785" s="458"/>
      <c r="BC1785" s="169"/>
    </row>
    <row r="1786" spans="40:55" ht="15.75" customHeight="1">
      <c r="AN1786" s="458"/>
      <c r="BC1786" s="169"/>
    </row>
    <row r="1787" spans="40:55" ht="15.75" customHeight="1">
      <c r="AN1787" s="458"/>
      <c r="BC1787" s="169"/>
    </row>
    <row r="1788" spans="40:55" ht="15.75" customHeight="1">
      <c r="AN1788" s="458"/>
      <c r="BC1788" s="169"/>
    </row>
    <row r="1789" spans="40:55" ht="15.75" customHeight="1">
      <c r="AN1789" s="458"/>
      <c r="BC1789" s="169"/>
    </row>
    <row r="1790" spans="40:55" ht="15.75" customHeight="1">
      <c r="AN1790" s="458"/>
      <c r="BC1790" s="169"/>
    </row>
    <row r="1791" spans="40:55" ht="15.75" customHeight="1">
      <c r="AN1791" s="458"/>
      <c r="BC1791" s="169"/>
    </row>
    <row r="1792" spans="40:55" ht="15.75" customHeight="1">
      <c r="AN1792" s="458"/>
      <c r="BC1792" s="169"/>
    </row>
    <row r="1793" spans="40:55" ht="15.75" customHeight="1">
      <c r="AN1793" s="458"/>
      <c r="BC1793" s="169"/>
    </row>
    <row r="1794" spans="40:55" ht="15.75" customHeight="1">
      <c r="AN1794" s="458"/>
      <c r="BC1794" s="169"/>
    </row>
    <row r="1795" spans="40:55" ht="15.75" customHeight="1">
      <c r="AN1795" s="458"/>
      <c r="BC1795" s="169"/>
    </row>
    <row r="1796" spans="40:55" ht="15.75" customHeight="1">
      <c r="AN1796" s="458"/>
      <c r="BC1796" s="169"/>
    </row>
    <row r="1797" spans="40:55" ht="15.75" customHeight="1">
      <c r="AN1797" s="458"/>
      <c r="BC1797" s="169"/>
    </row>
    <row r="1798" spans="40:55" ht="15.75" customHeight="1">
      <c r="AN1798" s="458"/>
      <c r="BC1798" s="169"/>
    </row>
    <row r="1799" spans="40:55" ht="15.75" customHeight="1">
      <c r="AN1799" s="458"/>
      <c r="BC1799" s="169"/>
    </row>
    <row r="1800" spans="40:55" ht="15.75" customHeight="1">
      <c r="AN1800" s="458"/>
      <c r="BC1800" s="169"/>
    </row>
    <row r="1801" spans="40:55" ht="15.75" customHeight="1">
      <c r="AN1801" s="458"/>
      <c r="BC1801" s="169"/>
    </row>
    <row r="1802" spans="40:55" ht="15.75" customHeight="1">
      <c r="AN1802" s="458"/>
      <c r="BC1802" s="169"/>
    </row>
    <row r="1803" spans="40:55" ht="15.75" customHeight="1">
      <c r="AN1803" s="458"/>
      <c r="BC1803" s="169"/>
    </row>
    <row r="1804" spans="40:55" ht="15.75" customHeight="1">
      <c r="AN1804" s="458"/>
      <c r="BC1804" s="169"/>
    </row>
    <row r="1805" spans="40:55" ht="15.75" customHeight="1">
      <c r="AN1805" s="458"/>
      <c r="BC1805" s="169"/>
    </row>
    <row r="1806" spans="40:55" ht="15.75" customHeight="1">
      <c r="AN1806" s="458"/>
      <c r="BC1806" s="169"/>
    </row>
    <row r="1807" spans="40:55" ht="15.75" customHeight="1">
      <c r="AN1807" s="458"/>
      <c r="BC1807" s="169"/>
    </row>
    <row r="1808" spans="40:55" ht="15.75" customHeight="1">
      <c r="AN1808" s="458"/>
      <c r="BC1808" s="169"/>
    </row>
    <row r="1809" spans="40:55" ht="15.75" customHeight="1">
      <c r="AN1809" s="458"/>
      <c r="BC1809" s="169"/>
    </row>
    <row r="1810" spans="40:55" ht="15.75" customHeight="1">
      <c r="AN1810" s="458"/>
      <c r="BC1810" s="169"/>
    </row>
    <row r="1811" spans="40:55" ht="15.75" customHeight="1">
      <c r="AN1811" s="458"/>
      <c r="BC1811" s="169"/>
    </row>
    <row r="1812" spans="40:55" ht="15.75" customHeight="1">
      <c r="AN1812" s="458"/>
      <c r="BC1812" s="169"/>
    </row>
    <row r="1813" spans="40:55" ht="15.75" customHeight="1">
      <c r="AN1813" s="458"/>
      <c r="BC1813" s="169"/>
    </row>
    <row r="1814" spans="40:55" ht="15.75" customHeight="1">
      <c r="AN1814" s="458"/>
      <c r="BC1814" s="169"/>
    </row>
    <row r="1815" spans="40:55" ht="15.75" customHeight="1">
      <c r="AN1815" s="458"/>
      <c r="BC1815" s="169"/>
    </row>
    <row r="1816" spans="40:55" ht="15.75" customHeight="1">
      <c r="AN1816" s="458"/>
      <c r="BC1816" s="169"/>
    </row>
    <row r="1817" spans="40:55" ht="15.75" customHeight="1">
      <c r="AN1817" s="458"/>
      <c r="BC1817" s="169"/>
    </row>
    <row r="1818" spans="40:55" ht="15.75" customHeight="1">
      <c r="AN1818" s="458"/>
      <c r="BC1818" s="169"/>
    </row>
    <row r="1819" spans="40:55" ht="15.75" customHeight="1">
      <c r="AN1819" s="458"/>
      <c r="BC1819" s="169"/>
    </row>
    <row r="1820" spans="40:55" ht="15.75" customHeight="1">
      <c r="AN1820" s="458"/>
      <c r="BC1820" s="169"/>
    </row>
    <row r="1821" spans="40:55" ht="15.75" customHeight="1">
      <c r="AN1821" s="458"/>
      <c r="BC1821" s="169"/>
    </row>
    <row r="1822" spans="40:55" ht="15.75" customHeight="1">
      <c r="AN1822" s="458"/>
      <c r="BC1822" s="169"/>
    </row>
    <row r="1823" spans="40:55" ht="15.75" customHeight="1">
      <c r="AN1823" s="458"/>
      <c r="BC1823" s="169"/>
    </row>
    <row r="1824" spans="40:55" ht="15.75" customHeight="1">
      <c r="AN1824" s="458"/>
      <c r="BC1824" s="169"/>
    </row>
    <row r="1825" spans="40:55" ht="15.75" customHeight="1">
      <c r="AN1825" s="458"/>
      <c r="BC1825" s="169"/>
    </row>
    <row r="1826" spans="40:55" ht="15.75" customHeight="1">
      <c r="AN1826" s="458"/>
      <c r="BC1826" s="169"/>
    </row>
    <row r="1827" spans="40:55" ht="15.75" customHeight="1">
      <c r="AN1827" s="458"/>
      <c r="BC1827" s="169"/>
    </row>
    <row r="1828" spans="40:55" ht="15.75" customHeight="1">
      <c r="AN1828" s="458"/>
      <c r="BC1828" s="169"/>
    </row>
    <row r="1829" spans="40:55" ht="15.75" customHeight="1">
      <c r="AN1829" s="458"/>
      <c r="BC1829" s="169"/>
    </row>
    <row r="1830" spans="40:55" ht="15.75" customHeight="1">
      <c r="AN1830" s="458"/>
      <c r="BC1830" s="169"/>
    </row>
    <row r="1831" spans="40:55" ht="15.75" customHeight="1">
      <c r="AN1831" s="458"/>
      <c r="BC1831" s="169"/>
    </row>
    <row r="1832" spans="40:55" ht="15.75" customHeight="1">
      <c r="AN1832" s="458"/>
      <c r="BC1832" s="169"/>
    </row>
    <row r="1833" spans="40:55" ht="15.75" customHeight="1">
      <c r="AN1833" s="458"/>
      <c r="BC1833" s="169"/>
    </row>
    <row r="1834" spans="40:55" ht="15.75" customHeight="1">
      <c r="AN1834" s="458"/>
      <c r="BC1834" s="169"/>
    </row>
    <row r="1835" spans="40:55" ht="15.75" customHeight="1">
      <c r="AN1835" s="458"/>
      <c r="BC1835" s="169"/>
    </row>
    <row r="1836" spans="40:55" ht="15.75" customHeight="1">
      <c r="AN1836" s="458"/>
      <c r="BC1836" s="169"/>
    </row>
    <row r="1837" spans="40:55" ht="15.75" customHeight="1">
      <c r="AN1837" s="458"/>
      <c r="BC1837" s="169"/>
    </row>
    <row r="1838" spans="40:55" ht="15.75" customHeight="1">
      <c r="AN1838" s="458"/>
      <c r="BC1838" s="169"/>
    </row>
    <row r="1839" spans="40:55" ht="15.75" customHeight="1">
      <c r="AN1839" s="458"/>
      <c r="BC1839" s="169"/>
    </row>
    <row r="1840" spans="40:55" ht="15.75" customHeight="1">
      <c r="AN1840" s="458"/>
      <c r="BC1840" s="169"/>
    </row>
    <row r="1841" spans="40:55" ht="15.75" customHeight="1">
      <c r="AN1841" s="458"/>
      <c r="BC1841" s="169"/>
    </row>
    <row r="1842" spans="40:55" ht="15.75" customHeight="1">
      <c r="AN1842" s="458"/>
      <c r="BC1842" s="169"/>
    </row>
    <row r="1843" spans="40:55" ht="15.75" customHeight="1">
      <c r="AN1843" s="458"/>
      <c r="BC1843" s="169"/>
    </row>
    <row r="1844" spans="40:55" ht="15.75" customHeight="1">
      <c r="AN1844" s="458"/>
      <c r="BC1844" s="169"/>
    </row>
    <row r="1845" spans="40:55" ht="15.75" customHeight="1">
      <c r="AN1845" s="458"/>
      <c r="BC1845" s="169"/>
    </row>
    <row r="1846" spans="40:55" ht="15.75" customHeight="1">
      <c r="AN1846" s="458"/>
      <c r="BC1846" s="169"/>
    </row>
    <row r="1847" spans="40:55" ht="15.75" customHeight="1">
      <c r="AN1847" s="458"/>
      <c r="BC1847" s="169"/>
    </row>
    <row r="1848" spans="40:55" ht="15.75" customHeight="1">
      <c r="AN1848" s="458"/>
      <c r="BC1848" s="169"/>
    </row>
    <row r="1849" spans="40:55" ht="15.75" customHeight="1">
      <c r="AN1849" s="458"/>
      <c r="BC1849" s="169"/>
    </row>
    <row r="1850" spans="40:55" ht="15.75" customHeight="1">
      <c r="AN1850" s="458"/>
      <c r="BC1850" s="169"/>
    </row>
    <row r="1851" spans="40:55" ht="15.75" customHeight="1">
      <c r="AN1851" s="458"/>
      <c r="BC1851" s="169"/>
    </row>
    <row r="1852" spans="40:55" ht="15.75" customHeight="1">
      <c r="AN1852" s="458"/>
      <c r="BC1852" s="169"/>
    </row>
    <row r="1853" spans="40:55" ht="15.75" customHeight="1">
      <c r="AN1853" s="458"/>
      <c r="BC1853" s="169"/>
    </row>
    <row r="1854" spans="40:55" ht="15.75" customHeight="1">
      <c r="AN1854" s="458"/>
      <c r="BC1854" s="169"/>
    </row>
    <row r="1855" spans="40:55" ht="15.75" customHeight="1">
      <c r="AN1855" s="458"/>
      <c r="BC1855" s="169"/>
    </row>
    <row r="1856" spans="40:55" ht="15.75" customHeight="1">
      <c r="AN1856" s="458"/>
      <c r="BC1856" s="169"/>
    </row>
    <row r="1857" spans="40:55" ht="15.75" customHeight="1">
      <c r="AN1857" s="458"/>
      <c r="BC1857" s="169"/>
    </row>
    <row r="1858" spans="40:55" ht="15.75" customHeight="1">
      <c r="AN1858" s="458"/>
      <c r="BC1858" s="169"/>
    </row>
    <row r="1859" spans="40:55" ht="15.75" customHeight="1">
      <c r="AN1859" s="458"/>
      <c r="BC1859" s="169"/>
    </row>
    <row r="1860" spans="40:55" ht="15.75" customHeight="1">
      <c r="AN1860" s="458"/>
      <c r="BC1860" s="169"/>
    </row>
    <row r="1861" spans="40:55" ht="15.75" customHeight="1">
      <c r="AN1861" s="458"/>
      <c r="BC1861" s="169"/>
    </row>
    <row r="1862" spans="40:55" ht="15.75" customHeight="1">
      <c r="AN1862" s="458"/>
      <c r="BC1862" s="169"/>
    </row>
    <row r="1863" spans="40:55" ht="15.75" customHeight="1">
      <c r="AN1863" s="458"/>
      <c r="BC1863" s="169"/>
    </row>
    <row r="1864" spans="40:55" ht="15.75" customHeight="1">
      <c r="AN1864" s="458"/>
      <c r="BC1864" s="169"/>
    </row>
    <row r="1865" spans="40:55" ht="15.75" customHeight="1">
      <c r="AN1865" s="458"/>
      <c r="BC1865" s="169"/>
    </row>
    <row r="1866" spans="40:55" ht="15.75" customHeight="1">
      <c r="AN1866" s="458"/>
      <c r="BC1866" s="169"/>
    </row>
    <row r="1867" spans="40:55" ht="15.75" customHeight="1">
      <c r="AN1867" s="458"/>
      <c r="BC1867" s="169"/>
    </row>
    <row r="1868" spans="40:55" ht="15.75" customHeight="1">
      <c r="AN1868" s="458"/>
      <c r="BC1868" s="169"/>
    </row>
    <row r="1869" spans="40:55" ht="15.75" customHeight="1">
      <c r="AN1869" s="458"/>
      <c r="BC1869" s="169"/>
    </row>
    <row r="1870" spans="40:55" ht="15.75" customHeight="1">
      <c r="AN1870" s="458"/>
      <c r="BC1870" s="169"/>
    </row>
    <row r="1871" spans="40:55" ht="15.75" customHeight="1">
      <c r="AN1871" s="458"/>
      <c r="BC1871" s="169"/>
    </row>
    <row r="1872" spans="40:55" ht="15.75" customHeight="1">
      <c r="AN1872" s="458"/>
      <c r="BC1872" s="169"/>
    </row>
    <row r="1873" spans="40:55" ht="15.75" customHeight="1">
      <c r="AN1873" s="458"/>
      <c r="BC1873" s="169"/>
    </row>
    <row r="1874" spans="40:55" ht="15.75" customHeight="1">
      <c r="AN1874" s="458"/>
      <c r="BC1874" s="169"/>
    </row>
    <row r="1875" spans="40:55" ht="15.75" customHeight="1">
      <c r="AN1875" s="458"/>
      <c r="BC1875" s="169"/>
    </row>
    <row r="1876" spans="40:55" ht="15.75" customHeight="1">
      <c r="AN1876" s="458"/>
      <c r="BC1876" s="169"/>
    </row>
    <row r="1877" spans="40:55" ht="15.75" customHeight="1">
      <c r="AN1877" s="458"/>
      <c r="BC1877" s="169"/>
    </row>
    <row r="1878" spans="40:55" ht="15.75" customHeight="1">
      <c r="AN1878" s="458"/>
      <c r="BC1878" s="169"/>
    </row>
    <row r="1879" spans="40:55" ht="15.75" customHeight="1">
      <c r="AN1879" s="458"/>
      <c r="BC1879" s="169"/>
    </row>
    <row r="1880" spans="40:55" ht="15.75" customHeight="1">
      <c r="AN1880" s="458"/>
      <c r="BC1880" s="169"/>
    </row>
    <row r="1881" spans="40:55" ht="15.75" customHeight="1">
      <c r="AN1881" s="458"/>
      <c r="BC1881" s="169"/>
    </row>
    <row r="1882" spans="40:55" ht="15.75" customHeight="1">
      <c r="AN1882" s="458"/>
      <c r="BC1882" s="169"/>
    </row>
    <row r="1883" spans="40:55" ht="15.75" customHeight="1">
      <c r="AN1883" s="458"/>
      <c r="BC1883" s="169"/>
    </row>
    <row r="1884" spans="40:55" ht="15.75" customHeight="1">
      <c r="AN1884" s="458"/>
      <c r="BC1884" s="169"/>
    </row>
    <row r="1885" spans="40:55" ht="15.75" customHeight="1">
      <c r="AN1885" s="458"/>
      <c r="BC1885" s="169"/>
    </row>
    <row r="1886" spans="40:55" ht="15.75" customHeight="1">
      <c r="AN1886" s="458"/>
      <c r="BC1886" s="169"/>
    </row>
    <row r="1887" spans="40:55" ht="15.75" customHeight="1">
      <c r="AN1887" s="458"/>
      <c r="BC1887" s="169"/>
    </row>
    <row r="1888" spans="40:55" ht="15.75" customHeight="1">
      <c r="AN1888" s="458"/>
      <c r="BC1888" s="169"/>
    </row>
    <row r="1889" spans="40:55" ht="15.75" customHeight="1">
      <c r="AN1889" s="458"/>
      <c r="BC1889" s="169"/>
    </row>
    <row r="1890" spans="40:55" ht="15.75" customHeight="1">
      <c r="AN1890" s="458"/>
      <c r="BC1890" s="169"/>
    </row>
    <row r="1891" spans="40:55" ht="15.75" customHeight="1">
      <c r="AN1891" s="458"/>
      <c r="BC1891" s="169"/>
    </row>
    <row r="1892" spans="40:55" ht="15.75" customHeight="1">
      <c r="AN1892" s="458"/>
      <c r="BC1892" s="169"/>
    </row>
    <row r="1893" spans="40:55" ht="15.75" customHeight="1">
      <c r="AN1893" s="458"/>
      <c r="BC1893" s="169"/>
    </row>
    <row r="1894" spans="40:55" ht="15.75" customHeight="1">
      <c r="AN1894" s="458"/>
      <c r="BC1894" s="169"/>
    </row>
    <row r="1895" spans="40:55" ht="15.75" customHeight="1">
      <c r="AN1895" s="458"/>
      <c r="BC1895" s="169"/>
    </row>
    <row r="1896" spans="40:55" ht="15.75" customHeight="1">
      <c r="AN1896" s="458"/>
      <c r="BC1896" s="169"/>
    </row>
    <row r="1897" spans="40:55" ht="15.75" customHeight="1">
      <c r="AN1897" s="458"/>
      <c r="BC1897" s="169"/>
    </row>
    <row r="1898" spans="40:55" ht="15.75" customHeight="1">
      <c r="AN1898" s="458"/>
      <c r="BC1898" s="169"/>
    </row>
    <row r="1899" spans="40:55" ht="15.75" customHeight="1">
      <c r="AN1899" s="458"/>
      <c r="BC1899" s="169"/>
    </row>
    <row r="1900" spans="40:55" ht="15.75" customHeight="1">
      <c r="AN1900" s="458"/>
      <c r="BC1900" s="169"/>
    </row>
    <row r="1901" spans="40:55" ht="15.75" customHeight="1">
      <c r="AN1901" s="458"/>
      <c r="BC1901" s="169"/>
    </row>
    <row r="1902" spans="40:55" ht="15.75" customHeight="1">
      <c r="AN1902" s="458"/>
      <c r="BC1902" s="169"/>
    </row>
    <row r="1903" spans="40:55" ht="15.75" customHeight="1">
      <c r="AN1903" s="458"/>
      <c r="BC1903" s="169"/>
    </row>
    <row r="1904" spans="40:55" ht="15.75" customHeight="1">
      <c r="AN1904" s="458"/>
      <c r="BC1904" s="169"/>
    </row>
    <row r="1905" spans="40:55" ht="15.75" customHeight="1">
      <c r="AN1905" s="458"/>
      <c r="BC1905" s="169"/>
    </row>
    <row r="1906" spans="40:55" ht="15.75" customHeight="1">
      <c r="AN1906" s="458"/>
      <c r="BC1906" s="169"/>
    </row>
    <row r="1907" spans="40:55" ht="15.75" customHeight="1">
      <c r="AN1907" s="458"/>
      <c r="BC1907" s="169"/>
    </row>
    <row r="1908" spans="40:55" ht="15.75" customHeight="1">
      <c r="AN1908" s="458"/>
      <c r="BC1908" s="169"/>
    </row>
    <row r="1909" spans="40:55" ht="15.75" customHeight="1">
      <c r="AN1909" s="458"/>
      <c r="BC1909" s="169"/>
    </row>
    <row r="1910" spans="40:55" ht="15.75" customHeight="1">
      <c r="AN1910" s="458"/>
      <c r="BC1910" s="169"/>
    </row>
    <row r="1911" spans="40:55" ht="15.75" customHeight="1">
      <c r="AN1911" s="458"/>
      <c r="BC1911" s="169"/>
    </row>
    <row r="1912" spans="40:55" ht="15.75" customHeight="1">
      <c r="AN1912" s="458"/>
      <c r="BC1912" s="169"/>
    </row>
    <row r="1913" spans="40:55" ht="15.75" customHeight="1">
      <c r="AN1913" s="458"/>
      <c r="BC1913" s="169"/>
    </row>
    <row r="1914" spans="40:55" ht="15.75" customHeight="1">
      <c r="AN1914" s="458"/>
      <c r="BC1914" s="169"/>
    </row>
    <row r="1915" spans="40:55" ht="15.75" customHeight="1">
      <c r="AN1915" s="458"/>
      <c r="BC1915" s="169"/>
    </row>
    <row r="1916" spans="40:55" ht="15.75" customHeight="1">
      <c r="AN1916" s="458"/>
      <c r="BC1916" s="169"/>
    </row>
    <row r="1917" spans="40:55" ht="15.75" customHeight="1">
      <c r="AN1917" s="458"/>
      <c r="BC1917" s="169"/>
    </row>
    <row r="1918" spans="40:55" ht="15.75" customHeight="1">
      <c r="AN1918" s="458"/>
      <c r="BC1918" s="169"/>
    </row>
    <row r="1919" spans="40:55" ht="15.75" customHeight="1">
      <c r="AN1919" s="458"/>
      <c r="BC1919" s="169"/>
    </row>
    <row r="1920" spans="40:55" ht="15.75" customHeight="1">
      <c r="AN1920" s="458"/>
      <c r="BC1920" s="169"/>
    </row>
    <row r="1921" spans="40:55" ht="15.75" customHeight="1">
      <c r="AN1921" s="458"/>
      <c r="BC1921" s="169"/>
    </row>
    <row r="1922" spans="40:55" ht="15.75" customHeight="1">
      <c r="AN1922" s="458"/>
      <c r="BC1922" s="169"/>
    </row>
    <row r="1923" spans="40:55" ht="15.75" customHeight="1">
      <c r="AN1923" s="458"/>
      <c r="BC1923" s="169"/>
    </row>
    <row r="1924" spans="40:55" ht="15.75" customHeight="1">
      <c r="AN1924" s="458"/>
      <c r="BC1924" s="169"/>
    </row>
    <row r="1925" spans="40:55" ht="15.75" customHeight="1">
      <c r="AN1925" s="458"/>
      <c r="BC1925" s="169"/>
    </row>
    <row r="1926" spans="40:55" ht="15.75" customHeight="1">
      <c r="AN1926" s="458"/>
      <c r="BC1926" s="169"/>
    </row>
    <row r="1927" spans="40:55" ht="15.75" customHeight="1">
      <c r="AN1927" s="458"/>
      <c r="BC1927" s="169"/>
    </row>
    <row r="1928" spans="40:55" ht="15.75" customHeight="1">
      <c r="AN1928" s="458"/>
      <c r="BC1928" s="169"/>
    </row>
    <row r="1929" spans="40:55" ht="15.75" customHeight="1">
      <c r="AN1929" s="458"/>
      <c r="BC1929" s="169"/>
    </row>
    <row r="1930" spans="40:55" ht="15.75" customHeight="1">
      <c r="AN1930" s="458"/>
      <c r="BC1930" s="169"/>
    </row>
    <row r="1931" spans="40:55" ht="15.75" customHeight="1">
      <c r="AN1931" s="458"/>
      <c r="BC1931" s="169"/>
    </row>
    <row r="1932" spans="40:55" ht="15.75" customHeight="1">
      <c r="AN1932" s="458"/>
      <c r="BC1932" s="169"/>
    </row>
    <row r="1933" spans="40:55" ht="15.75" customHeight="1">
      <c r="AN1933" s="458"/>
      <c r="BC1933" s="169"/>
    </row>
    <row r="1934" spans="40:55" ht="15.75" customHeight="1">
      <c r="AN1934" s="458"/>
      <c r="BC1934" s="169"/>
    </row>
    <row r="1935" spans="40:55" ht="15.75" customHeight="1">
      <c r="AN1935" s="458"/>
      <c r="BC1935" s="169"/>
    </row>
    <row r="1936" spans="40:55" ht="15.75" customHeight="1">
      <c r="AN1936" s="458"/>
      <c r="BC1936" s="169"/>
    </row>
    <row r="1937" spans="40:55" ht="15.75" customHeight="1">
      <c r="AN1937" s="458"/>
      <c r="BC1937" s="169"/>
    </row>
    <row r="1938" spans="40:55" ht="15.75" customHeight="1">
      <c r="AN1938" s="458"/>
      <c r="BC1938" s="169"/>
    </row>
    <row r="1939" spans="40:55" ht="15.75" customHeight="1">
      <c r="AN1939" s="458"/>
      <c r="BC1939" s="169"/>
    </row>
    <row r="1940" spans="40:55" ht="15.75" customHeight="1">
      <c r="AN1940" s="458"/>
      <c r="BC1940" s="169"/>
    </row>
    <row r="1941" spans="40:55" ht="15.75" customHeight="1">
      <c r="AN1941" s="458"/>
      <c r="BC1941" s="169"/>
    </row>
    <row r="1942" spans="40:55" ht="15.75" customHeight="1">
      <c r="AN1942" s="458"/>
      <c r="BC1942" s="169"/>
    </row>
    <row r="1943" spans="40:55" ht="15.75" customHeight="1">
      <c r="AN1943" s="458"/>
      <c r="BC1943" s="169"/>
    </row>
    <row r="1944" spans="40:55" ht="15.75" customHeight="1">
      <c r="AN1944" s="458"/>
      <c r="BC1944" s="169"/>
    </row>
    <row r="1945" spans="40:55" ht="15.75" customHeight="1">
      <c r="AN1945" s="458"/>
    </row>
    <row r="1946" spans="40:55" ht="15.75" customHeight="1">
      <c r="AN1946" s="458"/>
    </row>
    <row r="1947" spans="40:55" ht="15.75" customHeight="1">
      <c r="AN1947" s="458"/>
    </row>
    <row r="1948" spans="40:55" ht="15.75" customHeight="1">
      <c r="AN1948" s="458"/>
    </row>
    <row r="1949" spans="40:55" ht="15.75" customHeight="1">
      <c r="AN1949" s="458"/>
    </row>
    <row r="1950" spans="40:55" ht="15.75" customHeight="1">
      <c r="AN1950" s="458"/>
    </row>
    <row r="1951" spans="40:55" ht="15.75" customHeight="1">
      <c r="AN1951" s="458"/>
    </row>
    <row r="1952" spans="40:55" ht="15.75" customHeight="1">
      <c r="AN1952" s="458"/>
    </row>
    <row r="1953" spans="40:40" ht="15.75" customHeight="1">
      <c r="AN1953" s="458"/>
    </row>
    <row r="1954" spans="40:40" ht="15.75" customHeight="1">
      <c r="AN1954" s="458"/>
    </row>
    <row r="1955" spans="40:40" ht="15.75" customHeight="1">
      <c r="AN1955" s="458"/>
    </row>
    <row r="1956" spans="40:40" ht="15.75" customHeight="1">
      <c r="AN1956" s="458"/>
    </row>
    <row r="1957" spans="40:40" ht="15.75" customHeight="1">
      <c r="AN1957" s="458"/>
    </row>
    <row r="1958" spans="40:40" ht="15.75" customHeight="1">
      <c r="AN1958" s="458"/>
    </row>
    <row r="1959" spans="40:40" ht="15.75" customHeight="1">
      <c r="AN1959" s="458"/>
    </row>
    <row r="1960" spans="40:40" ht="15.75" customHeight="1">
      <c r="AN1960" s="458"/>
    </row>
    <row r="1961" spans="40:40" ht="15.75" customHeight="1">
      <c r="AN1961" s="458"/>
    </row>
    <row r="1962" spans="40:40" ht="15.75" customHeight="1">
      <c r="AN1962" s="458"/>
    </row>
    <row r="1963" spans="40:40" ht="15.75" customHeight="1">
      <c r="AN1963" s="458"/>
    </row>
    <row r="1964" spans="40:40" ht="15.75" customHeight="1">
      <c r="AN1964" s="458"/>
    </row>
    <row r="1965" spans="40:40" ht="15.75" customHeight="1">
      <c r="AN1965" s="458"/>
    </row>
    <row r="1966" spans="40:40" ht="15.75" customHeight="1">
      <c r="AN1966" s="458"/>
    </row>
    <row r="1967" spans="40:40" ht="15.75" customHeight="1">
      <c r="AN1967" s="458"/>
    </row>
    <row r="1968" spans="40:40" ht="15.75" customHeight="1">
      <c r="AN1968" s="458"/>
    </row>
    <row r="1969" spans="40:40" ht="15.75" customHeight="1">
      <c r="AN1969" s="458"/>
    </row>
    <row r="1970" spans="40:40" ht="15.75" customHeight="1">
      <c r="AN1970" s="458"/>
    </row>
    <row r="1971" spans="40:40" ht="15.75" customHeight="1">
      <c r="AN1971" s="458"/>
    </row>
    <row r="1972" spans="40:40" ht="15.75" customHeight="1">
      <c r="AN1972" s="458"/>
    </row>
    <row r="1973" spans="40:40" ht="15.75" customHeight="1">
      <c r="AN1973" s="458"/>
    </row>
    <row r="1974" spans="40:40" ht="15.75" customHeight="1">
      <c r="AN1974" s="458"/>
    </row>
    <row r="1975" spans="40:40" ht="15.75" customHeight="1">
      <c r="AN1975" s="458"/>
    </row>
    <row r="1976" spans="40:40" ht="15.75" customHeight="1">
      <c r="AN1976" s="458"/>
    </row>
    <row r="1977" spans="40:40" ht="15.75" customHeight="1">
      <c r="AN1977" s="458"/>
    </row>
    <row r="1978" spans="40:40" ht="15.75" customHeight="1">
      <c r="AN1978" s="458"/>
    </row>
    <row r="1979" spans="40:40" ht="15.75" customHeight="1">
      <c r="AN1979" s="458"/>
    </row>
    <row r="1980" spans="40:40" ht="15.75" customHeight="1">
      <c r="AN1980" s="458"/>
    </row>
    <row r="1981" spans="40:40" ht="15.75" customHeight="1">
      <c r="AN1981" s="458"/>
    </row>
    <row r="1982" spans="40:40" ht="15.75" customHeight="1">
      <c r="AN1982" s="458"/>
    </row>
    <row r="1983" spans="40:40" ht="15.75" customHeight="1">
      <c r="AN1983" s="458"/>
    </row>
    <row r="1984" spans="40:40" ht="15.75" customHeight="1">
      <c r="AN1984" s="458"/>
    </row>
    <row r="1985" spans="40:40" ht="15.75" customHeight="1">
      <c r="AN1985" s="458"/>
    </row>
    <row r="1986" spans="40:40" ht="15.75" customHeight="1">
      <c r="AN1986" s="458"/>
    </row>
    <row r="1987" spans="40:40" ht="15.75" customHeight="1">
      <c r="AN1987" s="458"/>
    </row>
    <row r="1988" spans="40:40" ht="15.75" customHeight="1">
      <c r="AN1988" s="458"/>
    </row>
    <row r="1989" spans="40:40" ht="15.75" customHeight="1">
      <c r="AN1989" s="458"/>
    </row>
    <row r="1990" spans="40:40" ht="15.75" customHeight="1">
      <c r="AN1990" s="458"/>
    </row>
    <row r="1991" spans="40:40" ht="15.75" customHeight="1">
      <c r="AN1991" s="458"/>
    </row>
    <row r="1992" spans="40:40" ht="15.75" customHeight="1">
      <c r="AN1992" s="458"/>
    </row>
    <row r="1993" spans="40:40" ht="15.75" customHeight="1">
      <c r="AN1993" s="458"/>
    </row>
    <row r="1994" spans="40:40" ht="15.75" customHeight="1">
      <c r="AN1994" s="458"/>
    </row>
    <row r="1995" spans="40:40" ht="15.75" customHeight="1">
      <c r="AN1995" s="458"/>
    </row>
    <row r="1996" spans="40:40" ht="15.75" customHeight="1">
      <c r="AN1996" s="458"/>
    </row>
    <row r="1997" spans="40:40" ht="15.75" customHeight="1">
      <c r="AN1997" s="458"/>
    </row>
    <row r="1998" spans="40:40" ht="15.75" customHeight="1">
      <c r="AN1998" s="458"/>
    </row>
    <row r="1999" spans="40:40" ht="15.75" customHeight="1">
      <c r="AN1999" s="458"/>
    </row>
    <row r="2000" spans="40:40" ht="15.75" customHeight="1">
      <c r="AN2000" s="458"/>
    </row>
    <row r="2001" spans="40:40" ht="15.75" customHeight="1">
      <c r="AN2001" s="458"/>
    </row>
    <row r="2002" spans="40:40" ht="15.75" customHeight="1">
      <c r="AN2002" s="458"/>
    </row>
    <row r="2003" spans="40:40" ht="15.75" customHeight="1">
      <c r="AN2003" s="458"/>
    </row>
    <row r="2004" spans="40:40" ht="15.75" customHeight="1">
      <c r="AN2004" s="458"/>
    </row>
    <row r="2005" spans="40:40" ht="15.75" customHeight="1">
      <c r="AN2005" s="458"/>
    </row>
    <row r="2006" spans="40:40" ht="15.75" customHeight="1">
      <c r="AN2006" s="458"/>
    </row>
    <row r="2007" spans="40:40" ht="15.75" customHeight="1">
      <c r="AN2007" s="458"/>
    </row>
    <row r="2008" spans="40:40" ht="15.75" customHeight="1">
      <c r="AN2008" s="458"/>
    </row>
    <row r="2009" spans="40:40" ht="15.75" customHeight="1">
      <c r="AN2009" s="458"/>
    </row>
    <row r="2010" spans="40:40" ht="15.75" customHeight="1">
      <c r="AN2010" s="458"/>
    </row>
    <row r="2011" spans="40:40" ht="15.75" customHeight="1">
      <c r="AN2011" s="458"/>
    </row>
    <row r="2012" spans="40:40" ht="15.75" customHeight="1">
      <c r="AN2012" s="458"/>
    </row>
    <row r="2013" spans="40:40" ht="15.75" customHeight="1">
      <c r="AN2013" s="458"/>
    </row>
    <row r="2014" spans="40:40" ht="15.75" customHeight="1">
      <c r="AN2014" s="458"/>
    </row>
    <row r="2015" spans="40:40" ht="15.75" customHeight="1">
      <c r="AN2015" s="458"/>
    </row>
    <row r="2016" spans="40:40" ht="15.75" customHeight="1">
      <c r="AN2016" s="458"/>
    </row>
    <row r="2017" spans="40:40" ht="15.75" customHeight="1">
      <c r="AN2017" s="458"/>
    </row>
    <row r="2018" spans="40:40" ht="15.75" customHeight="1">
      <c r="AN2018" s="458"/>
    </row>
    <row r="2019" spans="40:40" ht="15.75" customHeight="1">
      <c r="AN2019" s="458"/>
    </row>
    <row r="2020" spans="40:40" ht="15.75" customHeight="1">
      <c r="AN2020" s="458"/>
    </row>
    <row r="2021" spans="40:40" ht="15.75" customHeight="1">
      <c r="AN2021" s="458"/>
    </row>
    <row r="2022" spans="40:40" ht="15.75" customHeight="1">
      <c r="AN2022" s="458"/>
    </row>
    <row r="2023" spans="40:40" ht="15.75" customHeight="1">
      <c r="AN2023" s="458"/>
    </row>
    <row r="2024" spans="40:40" ht="15.75" customHeight="1">
      <c r="AN2024" s="458"/>
    </row>
    <row r="2025" spans="40:40" ht="15.75" customHeight="1">
      <c r="AN2025" s="458"/>
    </row>
    <row r="2026" spans="40:40" ht="15.75" customHeight="1">
      <c r="AN2026" s="458"/>
    </row>
    <row r="2027" spans="40:40" ht="15.75" customHeight="1">
      <c r="AN2027" s="458"/>
    </row>
    <row r="2028" spans="40:40" ht="15.75" customHeight="1">
      <c r="AN2028" s="458"/>
    </row>
    <row r="2029" spans="40:40" ht="15.75" customHeight="1">
      <c r="AN2029" s="458"/>
    </row>
    <row r="2030" spans="40:40" ht="15.75" customHeight="1">
      <c r="AN2030" s="458"/>
    </row>
    <row r="2031" spans="40:40" ht="15.75" customHeight="1">
      <c r="AN2031" s="458"/>
    </row>
    <row r="2032" spans="40:40" ht="15.75" customHeight="1">
      <c r="AN2032" s="458"/>
    </row>
    <row r="2033" spans="40:40" ht="15.75" customHeight="1">
      <c r="AN2033" s="458"/>
    </row>
    <row r="2034" spans="40:40" ht="15.75" customHeight="1">
      <c r="AN2034" s="458"/>
    </row>
    <row r="2035" spans="40:40" ht="15.75" customHeight="1">
      <c r="AN2035" s="458"/>
    </row>
    <row r="2036" spans="40:40" ht="15.75" customHeight="1">
      <c r="AN2036" s="458"/>
    </row>
    <row r="2037" spans="40:40" ht="15.75" customHeight="1">
      <c r="AN2037" s="458"/>
    </row>
    <row r="2038" spans="40:40" ht="15.75" customHeight="1">
      <c r="AN2038" s="458"/>
    </row>
    <row r="2039" spans="40:40" ht="15.75" customHeight="1">
      <c r="AN2039" s="458"/>
    </row>
    <row r="2040" spans="40:40" ht="15.75" customHeight="1">
      <c r="AN2040" s="458"/>
    </row>
    <row r="2041" spans="40:40" ht="15.75" customHeight="1">
      <c r="AN2041" s="458"/>
    </row>
    <row r="2042" spans="40:40" ht="15.75" customHeight="1">
      <c r="AN2042" s="458"/>
    </row>
    <row r="2043" spans="40:40" ht="15.75" customHeight="1">
      <c r="AN2043" s="458"/>
    </row>
    <row r="2044" spans="40:40" ht="15.75" customHeight="1">
      <c r="AN2044" s="458"/>
    </row>
    <row r="2045" spans="40:40" ht="15.75" customHeight="1">
      <c r="AN2045" s="458"/>
    </row>
    <row r="2046" spans="40:40" ht="15.75" customHeight="1">
      <c r="AN2046" s="458"/>
    </row>
    <row r="2047" spans="40:40" ht="15.75" customHeight="1">
      <c r="AN2047" s="458"/>
    </row>
    <row r="2048" spans="40:40" ht="15.75" customHeight="1">
      <c r="AN2048" s="458"/>
    </row>
    <row r="2049" spans="40:40" ht="15.75" customHeight="1">
      <c r="AN2049" s="458"/>
    </row>
    <row r="2050" spans="40:40" ht="15.75" customHeight="1">
      <c r="AN2050" s="458"/>
    </row>
    <row r="2051" spans="40:40" ht="15.75" customHeight="1">
      <c r="AN2051" s="458"/>
    </row>
    <row r="2052" spans="40:40" ht="15.75" customHeight="1">
      <c r="AN2052" s="458"/>
    </row>
    <row r="2053" spans="40:40" ht="15.75" customHeight="1">
      <c r="AN2053" s="458"/>
    </row>
    <row r="2054" spans="40:40" ht="15.75" customHeight="1">
      <c r="AN2054" s="458"/>
    </row>
    <row r="2055" spans="40:40" ht="15.75" customHeight="1">
      <c r="AN2055" s="458"/>
    </row>
    <row r="2056" spans="40:40" ht="15.75" customHeight="1">
      <c r="AN2056" s="458"/>
    </row>
    <row r="2057" spans="40:40" ht="15.75" customHeight="1">
      <c r="AN2057" s="458"/>
    </row>
    <row r="2058" spans="40:40" ht="15.75" customHeight="1">
      <c r="AN2058" s="458"/>
    </row>
    <row r="2059" spans="40:40" ht="15.75" customHeight="1">
      <c r="AN2059" s="458"/>
    </row>
    <row r="2060" spans="40:40" ht="15.75" customHeight="1">
      <c r="AN2060" s="458"/>
    </row>
    <row r="2061" spans="40:40" ht="15.75" customHeight="1">
      <c r="AN2061" s="458"/>
    </row>
    <row r="2062" spans="40:40" ht="15.75" customHeight="1">
      <c r="AN2062" s="458"/>
    </row>
    <row r="2063" spans="40:40" ht="15.75" customHeight="1">
      <c r="AN2063" s="458"/>
    </row>
    <row r="2064" spans="40:40" ht="15.75" customHeight="1">
      <c r="AN2064" s="458"/>
    </row>
    <row r="2065" spans="40:40" ht="15.75" customHeight="1">
      <c r="AN2065" s="458"/>
    </row>
    <row r="2066" spans="40:40" ht="15.75" customHeight="1">
      <c r="AN2066" s="458"/>
    </row>
    <row r="2067" spans="40:40" ht="15.75" customHeight="1">
      <c r="AN2067" s="458"/>
    </row>
    <row r="2068" spans="40:40" ht="15.75" customHeight="1">
      <c r="AN2068" s="458"/>
    </row>
    <row r="2069" spans="40:40" ht="15.75" customHeight="1">
      <c r="AN2069" s="458"/>
    </row>
    <row r="2070" spans="40:40" ht="15.75" customHeight="1">
      <c r="AN2070" s="458"/>
    </row>
    <row r="2071" spans="40:40" ht="15.75" customHeight="1">
      <c r="AN2071" s="458"/>
    </row>
    <row r="2072" spans="40:40" ht="15.75" customHeight="1">
      <c r="AN2072" s="458"/>
    </row>
    <row r="2073" spans="40:40" ht="15.75" customHeight="1">
      <c r="AN2073" s="458"/>
    </row>
    <row r="2074" spans="40:40" ht="15.75" customHeight="1">
      <c r="AN2074" s="458"/>
    </row>
    <row r="2075" spans="40:40" ht="15.75" customHeight="1">
      <c r="AN2075" s="458"/>
    </row>
    <row r="2076" spans="40:40" ht="15.75" customHeight="1">
      <c r="AN2076" s="458"/>
    </row>
    <row r="2077" spans="40:40" ht="15.75" customHeight="1">
      <c r="AN2077" s="458"/>
    </row>
    <row r="2078" spans="40:40" ht="15.75" customHeight="1">
      <c r="AN2078" s="458"/>
    </row>
    <row r="2079" spans="40:40" ht="15.75" customHeight="1">
      <c r="AN2079" s="458"/>
    </row>
    <row r="2080" spans="40:40" ht="15.75" customHeight="1">
      <c r="AN2080" s="458"/>
    </row>
    <row r="2081" spans="40:40" ht="15.75" customHeight="1">
      <c r="AN2081" s="458"/>
    </row>
    <row r="2082" spans="40:40" ht="15.75" customHeight="1">
      <c r="AN2082" s="458"/>
    </row>
    <row r="2083" spans="40:40" ht="15.75" customHeight="1">
      <c r="AN2083" s="458"/>
    </row>
    <row r="2084" spans="40:40" ht="15.75" customHeight="1">
      <c r="AN2084" s="458"/>
    </row>
    <row r="2085" spans="40:40" ht="15.75" customHeight="1">
      <c r="AN2085" s="458"/>
    </row>
    <row r="2086" spans="40:40" ht="15.75" customHeight="1">
      <c r="AN2086" s="458"/>
    </row>
    <row r="2087" spans="40:40" ht="15.75" customHeight="1">
      <c r="AN2087" s="458"/>
    </row>
    <row r="2088" spans="40:40" ht="15.75" customHeight="1">
      <c r="AN2088" s="458"/>
    </row>
    <row r="2089" spans="40:40" ht="15.75" customHeight="1">
      <c r="AN2089" s="458"/>
    </row>
    <row r="2090" spans="40:40" ht="15.75" customHeight="1">
      <c r="AN2090" s="458"/>
    </row>
    <row r="2091" spans="40:40" ht="15.75" customHeight="1">
      <c r="AN2091" s="458"/>
    </row>
    <row r="2092" spans="40:40" ht="15.75" customHeight="1">
      <c r="AN2092" s="458"/>
    </row>
    <row r="2093" spans="40:40" ht="15.75" customHeight="1">
      <c r="AN2093" s="458"/>
    </row>
    <row r="2094" spans="40:40" ht="15.75" customHeight="1">
      <c r="AN2094" s="458"/>
    </row>
    <row r="2095" spans="40:40" ht="15.75" customHeight="1">
      <c r="AN2095" s="458"/>
    </row>
    <row r="2096" spans="40:40" ht="15.75" customHeight="1">
      <c r="AN2096" s="458"/>
    </row>
    <row r="2097" spans="40:40" ht="15.75" customHeight="1">
      <c r="AN2097" s="458"/>
    </row>
    <row r="2098" spans="40:40" ht="15.75" customHeight="1">
      <c r="AN2098" s="458"/>
    </row>
    <row r="2099" spans="40:40" ht="15.75" customHeight="1">
      <c r="AN2099" s="458"/>
    </row>
    <row r="2100" spans="40:40" ht="15.75" customHeight="1">
      <c r="AN2100" s="458"/>
    </row>
    <row r="2101" spans="40:40" ht="15.75" customHeight="1">
      <c r="AN2101" s="458"/>
    </row>
    <row r="2102" spans="40:40" ht="15.75" customHeight="1">
      <c r="AN2102" s="458"/>
    </row>
    <row r="2103" spans="40:40" ht="15.75" customHeight="1">
      <c r="AN2103" s="458"/>
    </row>
    <row r="2104" spans="40:40" ht="15.75" customHeight="1">
      <c r="AN2104" s="458"/>
    </row>
    <row r="2105" spans="40:40" ht="15.75" customHeight="1">
      <c r="AN2105" s="458"/>
    </row>
    <row r="2106" spans="40:40" ht="15.75" customHeight="1">
      <c r="AN2106" s="458"/>
    </row>
    <row r="2107" spans="40:40" ht="15.75" customHeight="1">
      <c r="AN2107" s="458"/>
    </row>
    <row r="2108" spans="40:40" ht="15.75" customHeight="1">
      <c r="AN2108" s="458"/>
    </row>
    <row r="2109" spans="40:40" ht="15.75" customHeight="1">
      <c r="AN2109" s="458"/>
    </row>
    <row r="2110" spans="40:40" ht="15.75" customHeight="1">
      <c r="AN2110" s="458"/>
    </row>
    <row r="2111" spans="40:40" ht="15.75" customHeight="1">
      <c r="AN2111" s="458"/>
    </row>
    <row r="2112" spans="40:40" ht="15.75" customHeight="1">
      <c r="AN2112" s="458"/>
    </row>
    <row r="2113" spans="40:40" ht="15.75" customHeight="1">
      <c r="AN2113" s="458"/>
    </row>
    <row r="2114" spans="40:40" ht="15.75" customHeight="1">
      <c r="AN2114" s="458"/>
    </row>
    <row r="2115" spans="40:40" ht="15.75" customHeight="1">
      <c r="AN2115" s="458"/>
    </row>
    <row r="2116" spans="40:40" ht="15.75" customHeight="1">
      <c r="AN2116" s="458"/>
    </row>
    <row r="2117" spans="40:40" ht="15.75" customHeight="1">
      <c r="AN2117" s="458"/>
    </row>
    <row r="2118" spans="40:40" ht="15.75" customHeight="1">
      <c r="AN2118" s="458"/>
    </row>
    <row r="2119" spans="40:40" ht="15.75" customHeight="1">
      <c r="AN2119" s="458"/>
    </row>
    <row r="2120" spans="40:40" ht="15.75" customHeight="1">
      <c r="AN2120" s="458"/>
    </row>
    <row r="2121" spans="40:40" ht="15.75" customHeight="1">
      <c r="AN2121" s="458"/>
    </row>
    <row r="2122" spans="40:40" ht="15.75" customHeight="1">
      <c r="AN2122" s="458"/>
    </row>
    <row r="2123" spans="40:40" ht="15.75" customHeight="1">
      <c r="AN2123" s="458"/>
    </row>
    <row r="2124" spans="40:40" ht="15.75" customHeight="1">
      <c r="AN2124" s="458"/>
    </row>
    <row r="2125" spans="40:40" ht="15.75" customHeight="1">
      <c r="AN2125" s="458"/>
    </row>
    <row r="2126" spans="40:40" ht="15.75" customHeight="1">
      <c r="AN2126" s="458"/>
    </row>
    <row r="2127" spans="40:40" ht="15.75" customHeight="1">
      <c r="AN2127" s="458"/>
    </row>
    <row r="2128" spans="40:40" ht="15.75" customHeight="1">
      <c r="AN2128" s="458"/>
    </row>
    <row r="2129" spans="40:40" ht="15.75" customHeight="1">
      <c r="AN2129" s="458"/>
    </row>
    <row r="2130" spans="40:40" ht="15.75" customHeight="1">
      <c r="AN2130" s="458"/>
    </row>
    <row r="2131" spans="40:40" ht="15.75" customHeight="1">
      <c r="AN2131" s="458"/>
    </row>
    <row r="2132" spans="40:40" ht="15.75" customHeight="1">
      <c r="AN2132" s="458"/>
    </row>
    <row r="2133" spans="40:40" ht="15.75" customHeight="1">
      <c r="AN2133" s="458"/>
    </row>
    <row r="2134" spans="40:40" ht="15.75" customHeight="1">
      <c r="AN2134" s="458"/>
    </row>
    <row r="2135" spans="40:40" ht="15.75" customHeight="1">
      <c r="AN2135" s="458"/>
    </row>
    <row r="2136" spans="40:40" ht="15.75" customHeight="1">
      <c r="AN2136" s="458"/>
    </row>
    <row r="2137" spans="40:40" ht="15.75" customHeight="1">
      <c r="AN2137" s="458"/>
    </row>
    <row r="2138" spans="40:40" ht="15.75" customHeight="1">
      <c r="AN2138" s="458"/>
    </row>
    <row r="2139" spans="40:40" ht="15.75" customHeight="1">
      <c r="AN2139" s="458"/>
    </row>
    <row r="2140" spans="40:40" ht="15.75" customHeight="1">
      <c r="AN2140" s="458"/>
    </row>
    <row r="2141" spans="40:40" ht="15.75" customHeight="1">
      <c r="AN2141" s="458"/>
    </row>
    <row r="2142" spans="40:40" ht="15.75" customHeight="1">
      <c r="AN2142" s="458"/>
    </row>
    <row r="2143" spans="40:40" ht="15.75" customHeight="1">
      <c r="AN2143" s="458"/>
    </row>
    <row r="2144" spans="40:40" ht="15.75" customHeight="1">
      <c r="AN2144" s="458"/>
    </row>
    <row r="2145" spans="40:40" ht="15.75" customHeight="1">
      <c r="AN2145" s="458"/>
    </row>
    <row r="2146" spans="40:40" ht="15.75" customHeight="1">
      <c r="AN2146" s="458"/>
    </row>
    <row r="2147" spans="40:40" ht="15.75" customHeight="1">
      <c r="AN2147" s="458"/>
    </row>
    <row r="2148" spans="40:40" ht="15.75" customHeight="1">
      <c r="AN2148" s="458"/>
    </row>
    <row r="2149" spans="40:40" ht="15.75" customHeight="1">
      <c r="AN2149" s="458"/>
    </row>
    <row r="2150" spans="40:40" ht="15.75" customHeight="1">
      <c r="AN2150" s="458"/>
    </row>
    <row r="2151" spans="40:40" ht="15.75" customHeight="1">
      <c r="AN2151" s="458"/>
    </row>
    <row r="2152" spans="40:40" ht="15.75" customHeight="1">
      <c r="AN2152" s="458"/>
    </row>
    <row r="2153" spans="40:40" ht="15.75" customHeight="1">
      <c r="AN2153" s="458"/>
    </row>
    <row r="2154" spans="40:40" ht="15.75" customHeight="1">
      <c r="AN2154" s="458"/>
    </row>
    <row r="2155" spans="40:40" ht="15.75" customHeight="1">
      <c r="AN2155" s="458"/>
    </row>
    <row r="2156" spans="40:40" ht="15.75" customHeight="1">
      <c r="AN2156" s="458"/>
    </row>
    <row r="2157" spans="40:40" ht="15.75" customHeight="1">
      <c r="AN2157" s="458"/>
    </row>
    <row r="2158" spans="40:40" ht="15.75" customHeight="1">
      <c r="AN2158" s="458"/>
    </row>
    <row r="2159" spans="40:40" ht="15.75" customHeight="1">
      <c r="AN2159" s="458"/>
    </row>
    <row r="2160" spans="40:40" ht="15.75" customHeight="1">
      <c r="AN2160" s="458"/>
    </row>
    <row r="2161" spans="40:40" ht="15.75" customHeight="1">
      <c r="AN2161" s="458"/>
    </row>
    <row r="2162" spans="40:40" ht="15.75" customHeight="1">
      <c r="AN2162" s="458"/>
    </row>
    <row r="2163" spans="40:40" ht="15.75" customHeight="1">
      <c r="AN2163" s="458"/>
    </row>
    <row r="2164" spans="40:40" ht="15.75" customHeight="1">
      <c r="AN2164" s="458"/>
    </row>
    <row r="2165" spans="40:40" ht="15.75" customHeight="1">
      <c r="AN2165" s="458"/>
    </row>
  </sheetData>
  <autoFilter ref="A2:BG116" xr:uid="{00000000-0009-0000-0000-000008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autoFilter>
  <mergeCells count="10">
    <mergeCell ref="BD1:BG1"/>
    <mergeCell ref="AN2:AP2"/>
    <mergeCell ref="AQ2:AS2"/>
    <mergeCell ref="AT2:AV2"/>
    <mergeCell ref="A1:BB1"/>
    <mergeCell ref="N2:P2"/>
    <mergeCell ref="T2:V2"/>
    <mergeCell ref="W2:Y2"/>
    <mergeCell ref="Z2:AB2"/>
    <mergeCell ref="AC2:AE2"/>
  </mergeCells>
  <conditionalFormatting sqref="A5:BA5">
    <cfRule type="cellIs" dxfId="1315" priority="28" operator="equal">
      <formula>0</formula>
    </cfRule>
  </conditionalFormatting>
  <conditionalFormatting sqref="BB5">
    <cfRule type="cellIs" dxfId="1314" priority="27" operator="equal">
      <formula>0</formula>
    </cfRule>
  </conditionalFormatting>
  <conditionalFormatting sqref="B5:BA115">
    <cfRule type="expression" dxfId="1313" priority="20">
      <formula>$M5="NON DEFINED"</formula>
    </cfRule>
    <cfRule type="expression" dxfId="1312" priority="21">
      <formula>$AY5="N.D."</formula>
    </cfRule>
  </conditionalFormatting>
  <conditionalFormatting sqref="BD18:BG18 BD20:BG20 BD22:BG22 BD24:BG24 BD23 BD32:BG32 BD26:BE26 BG26 BD36:BG36 BG34 BD46:BG46 BG38 BD48:BG48 BD47 BD50:BG50 BD52:BG52 BD54:BG54 BD96:BF96 BD60:BE60 BG56 BD100:BF100 BD98:BE98 BG98 BD104:BF104 BD103 BG101:BG102 BD108:BF108 BD106:BE106 BG106 BD110:BE110 BG110 BD10:BE10 BD17 BD30:BE30 BD92:BE92 BE78 BD112:BE112 BD114:BE114 BD6:BE6 BD5 BD8:BE8 BD7 BD25 BD28:BE28 BD27 BD31 BD107 BD115 BG6 BG8 BG10 BG12 BG14 BG16 BG28 BG30 BG40 BG42 BG44 BG58 BG60 BG62 BG64 BG66 BG68 BG70 BG72 BG74 BG76 BG78 BG80 BG82 BG84 BG86 BG88 BG90 BG94 BG112 BG114">
    <cfRule type="containsBlanks" dxfId="1311" priority="15">
      <formula>LEN(TRIM(BD5))=0</formula>
    </cfRule>
  </conditionalFormatting>
  <conditionalFormatting sqref="BC5:BC115 BC117:BC1944">
    <cfRule type="containsText" dxfId="1310" priority="13" operator="containsText" text="a">
      <formula>NOT(ISERROR(SEARCH("a",BC5)))</formula>
    </cfRule>
    <cfRule type="containsText" dxfId="1309" priority="14" operator="containsText" text="R">
      <formula>NOT(ISERROR(SEARCH("R",BC5)))</formula>
    </cfRule>
  </conditionalFormatting>
  <conditionalFormatting sqref="BA5:BA115">
    <cfRule type="expression" dxfId="1308" priority="12">
      <formula>$BC5="R"</formula>
    </cfRule>
  </conditionalFormatting>
  <conditionalFormatting sqref="A4:BB4">
    <cfRule type="cellIs" dxfId="1307" priority="11" operator="equal">
      <formula>0</formula>
    </cfRule>
  </conditionalFormatting>
  <conditionalFormatting sqref="B4:BA4 BC4:BG4">
    <cfRule type="expression" dxfId="1306" priority="9">
      <formula>$M4="NON DEFINED"</formula>
    </cfRule>
    <cfRule type="expression" dxfId="1305" priority="10">
      <formula>$AY4="N.D."</formula>
    </cfRule>
  </conditionalFormatting>
  <conditionalFormatting sqref="BA4">
    <cfRule type="expression" dxfId="1304" priority="8">
      <formula>$BC4="R"</formula>
    </cfRule>
  </conditionalFormatting>
  <conditionalFormatting sqref="BC4:BG4">
    <cfRule type="cellIs" dxfId="1303" priority="7" operator="equal">
      <formula>0</formula>
    </cfRule>
  </conditionalFormatting>
  <conditionalFormatting sqref="BC116:BG116">
    <cfRule type="cellIs" dxfId="1302" priority="2" operator="equal">
      <formula>0</formula>
    </cfRule>
  </conditionalFormatting>
  <conditionalFormatting sqref="A116:BB116">
    <cfRule type="cellIs" dxfId="1301" priority="6" operator="equal">
      <formula>0</formula>
    </cfRule>
  </conditionalFormatting>
  <conditionalFormatting sqref="B116:BA116 BC116:BG116">
    <cfRule type="expression" dxfId="1300" priority="4">
      <formula>$M116="NON DEFINED"</formula>
    </cfRule>
    <cfRule type="expression" dxfId="1299" priority="5">
      <formula>$AY116="N.D."</formula>
    </cfRule>
  </conditionalFormatting>
  <conditionalFormatting sqref="BA116">
    <cfRule type="expression" dxfId="1298" priority="3">
      <formula>$BC116="R"</formula>
    </cfRule>
  </conditionalFormatting>
  <conditionalFormatting sqref="AN4:AN116">
    <cfRule type="cellIs" dxfId="1297" priority="1" operator="notEqual">
      <formula>5.5</formula>
    </cfRule>
  </conditionalFormatting>
  <printOptions horizontalCentered="1" gridLines="1"/>
  <pageMargins left="0.39370078740157483" right="0.39370078740157483" top="0.78740157480314965" bottom="0.78740157480314965" header="0.31496062992125984" footer="0.31496062992125984"/>
  <pageSetup paperSize="9" scale="54" fitToHeight="0" orientation="landscape" r:id="rId1"/>
  <headerFooter alignWithMargins="0">
    <oddHeader>&amp;L&amp;G&amp;C
LAYOUT AND EQUIPMENT
EP06 TRACK 4 HER
KP82+550 - 85+000&amp;R&amp;G</oddHeader>
    <oddFooter>&amp;L&amp;G
&amp;F&amp;C&amp;D&amp;RPag &amp;P of &amp;N</oddFoot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21">
    <tabColor rgb="FFFF7C80"/>
    <pageSetUpPr fitToPage="1"/>
  </sheetPr>
  <dimension ref="A1:BG2005"/>
  <sheetViews>
    <sheetView view="pageBreakPreview" zoomScale="80" zoomScaleNormal="85" zoomScaleSheetLayoutView="80" workbookViewId="0">
      <pane xSplit="2" ySplit="3" topLeftCell="AN4" activePane="bottomRight" state="frozen"/>
      <selection activeCell="G124" sqref="G124"/>
      <selection pane="topRight" activeCell="G124" sqref="G124"/>
      <selection pane="bottomLeft" activeCell="G124" sqref="G124"/>
      <selection pane="bottomRight" activeCell="AL19" sqref="AL19"/>
    </sheetView>
  </sheetViews>
  <sheetFormatPr baseColWidth="10" defaultColWidth="11.453125" defaultRowHeight="15.75" customHeight="1"/>
  <cols>
    <col min="1" max="1" width="20.6328125" style="178" customWidth="1"/>
    <col min="2" max="2" width="12.6328125" style="178" customWidth="1"/>
    <col min="3" max="3" width="12.6328125" style="184" customWidth="1"/>
    <col min="4" max="5" width="12.6328125" style="178" customWidth="1"/>
    <col min="6" max="6" width="12.6328125" style="179" customWidth="1"/>
    <col min="7" max="7" width="12.6328125" style="454" customWidth="1"/>
    <col min="8" max="8" width="18.6328125" style="178" customWidth="1"/>
    <col min="9" max="9" width="12.6328125" style="179" customWidth="1"/>
    <col min="10" max="10" width="12.6328125" style="184" customWidth="1"/>
    <col min="11" max="11" width="12.6328125" style="178" customWidth="1"/>
    <col min="12" max="13" width="14.6328125" style="178" customWidth="1"/>
    <col min="14" max="16" width="8.6328125" style="178" customWidth="1"/>
    <col min="17" max="19" width="12.6328125" style="178" customWidth="1"/>
    <col min="20" max="28" width="8.6328125" style="178" customWidth="1"/>
    <col min="29" max="31" width="10.6328125" style="178" customWidth="1"/>
    <col min="32" max="32" width="13.54296875" style="178" customWidth="1"/>
    <col min="33" max="33" width="12.6328125" style="184" customWidth="1"/>
    <col min="34" max="39" width="12.6328125" style="178" customWidth="1"/>
    <col min="40" max="40" width="8.6328125" style="458" customWidth="1"/>
    <col min="41" max="42" width="8.6328125" style="169" customWidth="1"/>
    <col min="43" max="46" width="8.6328125" style="458" customWidth="1"/>
    <col min="47" max="48" width="8.6328125" style="169" customWidth="1"/>
    <col min="49" max="50" width="12.6328125" style="169" customWidth="1"/>
    <col min="51" max="52" width="12.6328125" style="458" customWidth="1"/>
    <col min="53" max="53" width="12.6328125" style="169" customWidth="1"/>
    <col min="54" max="54" width="21.6328125" style="178" customWidth="1"/>
    <col min="55" max="55" width="18" style="178" customWidth="1"/>
    <col min="56" max="59" width="14.54296875" style="1323" customWidth="1"/>
    <col min="60" max="60" width="11.453125" style="178" customWidth="1"/>
    <col min="61" max="16384" width="11.453125" style="178"/>
  </cols>
  <sheetData>
    <row r="1" spans="1:59" ht="35.25" customHeight="1">
      <c r="A1" s="1607" t="s">
        <v>2422</v>
      </c>
      <c r="B1" s="1607"/>
      <c r="C1" s="1607"/>
      <c r="D1" s="1607"/>
      <c r="E1" s="1607"/>
      <c r="F1" s="1607"/>
      <c r="G1" s="1607"/>
      <c r="H1" s="1607"/>
      <c r="I1" s="1607"/>
      <c r="J1" s="1607"/>
      <c r="K1" s="1607"/>
      <c r="L1" s="1607"/>
      <c r="M1" s="1607"/>
      <c r="N1" s="1607"/>
      <c r="O1" s="1607"/>
      <c r="P1" s="1607"/>
      <c r="Q1" s="1607"/>
      <c r="R1" s="1607"/>
      <c r="S1" s="1607"/>
      <c r="T1" s="1607"/>
      <c r="U1" s="1607"/>
      <c r="V1" s="1607"/>
      <c r="W1" s="1607"/>
      <c r="X1" s="1607"/>
      <c r="Y1" s="1607"/>
      <c r="Z1" s="1607"/>
      <c r="AA1" s="1607"/>
      <c r="AB1" s="1607"/>
      <c r="AC1" s="1607"/>
      <c r="AD1" s="1607"/>
      <c r="AE1" s="1607"/>
      <c r="AF1" s="1607"/>
      <c r="AG1" s="1607"/>
      <c r="AH1" s="1607"/>
      <c r="AI1" s="1607"/>
      <c r="AJ1" s="1607"/>
      <c r="AK1" s="1607"/>
      <c r="AL1" s="1607"/>
      <c r="AM1" s="1607"/>
      <c r="AN1" s="1607"/>
      <c r="AO1" s="1607"/>
      <c r="AP1" s="1607"/>
      <c r="AQ1" s="1607"/>
      <c r="AR1" s="1607"/>
      <c r="AS1" s="1607"/>
      <c r="AT1" s="1607"/>
      <c r="AU1" s="1607"/>
      <c r="AV1" s="1607"/>
      <c r="AW1" s="1607"/>
      <c r="AX1" s="1607"/>
      <c r="AY1" s="1607"/>
      <c r="AZ1" s="1607"/>
      <c r="BA1" s="1607"/>
      <c r="BB1" s="1607"/>
      <c r="BC1" s="693" t="s">
        <v>4947</v>
      </c>
      <c r="BD1" s="1599" t="s">
        <v>4916</v>
      </c>
      <c r="BE1" s="1599"/>
      <c r="BF1" s="1599"/>
      <c r="BG1" s="1599"/>
    </row>
    <row r="2" spans="1:59" s="699" customFormat="1" ht="42" customHeight="1">
      <c r="A2" s="1257" t="s">
        <v>4417</v>
      </c>
      <c r="B2" s="1257" t="s">
        <v>4418</v>
      </c>
      <c r="C2" s="947" t="s">
        <v>2315</v>
      </c>
      <c r="D2" s="1257" t="s">
        <v>4419</v>
      </c>
      <c r="E2" s="1257" t="s">
        <v>4855</v>
      </c>
      <c r="F2" s="948" t="s">
        <v>4856</v>
      </c>
      <c r="G2" s="1258" t="s">
        <v>4857</v>
      </c>
      <c r="H2" s="1257" t="s">
        <v>455</v>
      </c>
      <c r="I2" s="948" t="s">
        <v>454</v>
      </c>
      <c r="J2" s="948" t="s">
        <v>4423</v>
      </c>
      <c r="K2" s="1257" t="s">
        <v>1362</v>
      </c>
      <c r="L2" s="1257" t="s">
        <v>456</v>
      </c>
      <c r="M2" s="1257" t="s">
        <v>453</v>
      </c>
      <c r="N2" s="1606" t="s">
        <v>457</v>
      </c>
      <c r="O2" s="1606"/>
      <c r="P2" s="1606"/>
      <c r="Q2" s="1257" t="s">
        <v>4858</v>
      </c>
      <c r="R2" s="1257" t="s">
        <v>4859</v>
      </c>
      <c r="S2" s="1257" t="s">
        <v>4860</v>
      </c>
      <c r="T2" s="1606" t="s">
        <v>4861</v>
      </c>
      <c r="U2" s="1606"/>
      <c r="V2" s="1606"/>
      <c r="W2" s="1606" t="s">
        <v>4862</v>
      </c>
      <c r="X2" s="1606"/>
      <c r="Y2" s="1606"/>
      <c r="Z2" s="1606" t="s">
        <v>4863</v>
      </c>
      <c r="AA2" s="1606"/>
      <c r="AB2" s="1606"/>
      <c r="AC2" s="1606" t="s">
        <v>628</v>
      </c>
      <c r="AD2" s="1606"/>
      <c r="AE2" s="1606"/>
      <c r="AF2" s="1257" t="s">
        <v>4872</v>
      </c>
      <c r="AG2" s="947" t="s">
        <v>4864</v>
      </c>
      <c r="AH2" s="1257" t="s">
        <v>4865</v>
      </c>
      <c r="AI2" s="1257" t="s">
        <v>4866</v>
      </c>
      <c r="AJ2" s="1257" t="s">
        <v>629</v>
      </c>
      <c r="AK2" s="1257" t="s">
        <v>458</v>
      </c>
      <c r="AL2" s="1257" t="s">
        <v>459</v>
      </c>
      <c r="AM2" s="1257" t="s">
        <v>631</v>
      </c>
      <c r="AN2" s="1606" t="s">
        <v>4867</v>
      </c>
      <c r="AO2" s="1606"/>
      <c r="AP2" s="1606"/>
      <c r="AQ2" s="1608" t="s">
        <v>460</v>
      </c>
      <c r="AR2" s="1608"/>
      <c r="AS2" s="1608"/>
      <c r="AT2" s="1606" t="s">
        <v>630</v>
      </c>
      <c r="AU2" s="1606"/>
      <c r="AV2" s="1606"/>
      <c r="AW2" s="1257" t="s">
        <v>4868</v>
      </c>
      <c r="AX2" s="1257" t="s">
        <v>4904</v>
      </c>
      <c r="AY2" s="1258" t="s">
        <v>4869</v>
      </c>
      <c r="AZ2" s="1258" t="s">
        <v>4870</v>
      </c>
      <c r="BA2" s="1257" t="s">
        <v>1670</v>
      </c>
      <c r="BB2" s="1257" t="s">
        <v>4871</v>
      </c>
      <c r="BC2" s="693" t="s">
        <v>4948</v>
      </c>
      <c r="BD2" s="1320" t="s">
        <v>453</v>
      </c>
      <c r="BE2" s="1320" t="s">
        <v>4922</v>
      </c>
      <c r="BF2" s="1320" t="s">
        <v>4915</v>
      </c>
      <c r="BG2" s="1320" t="s">
        <v>457</v>
      </c>
    </row>
    <row r="3" spans="1:59" ht="15.65" customHeight="1">
      <c r="A3" s="1239"/>
      <c r="B3" s="1239"/>
      <c r="C3" s="171"/>
      <c r="D3" s="1239"/>
      <c r="E3" s="1239"/>
      <c r="F3" s="448"/>
      <c r="G3" s="455"/>
      <c r="H3" s="1239"/>
      <c r="I3" s="448"/>
      <c r="J3" s="171"/>
      <c r="K3" s="1239"/>
      <c r="L3" s="1239"/>
      <c r="M3" s="1239"/>
      <c r="N3" s="949" t="s">
        <v>123</v>
      </c>
      <c r="O3" s="949" t="s">
        <v>124</v>
      </c>
      <c r="P3" s="949" t="s">
        <v>125</v>
      </c>
      <c r="Q3" s="949"/>
      <c r="R3" s="949"/>
      <c r="S3" s="949"/>
      <c r="T3" s="949" t="s">
        <v>126</v>
      </c>
      <c r="U3" s="949" t="s">
        <v>127</v>
      </c>
      <c r="V3" s="949" t="s">
        <v>128</v>
      </c>
      <c r="W3" s="949" t="s">
        <v>129</v>
      </c>
      <c r="X3" s="949" t="s">
        <v>130</v>
      </c>
      <c r="Y3" s="949" t="s">
        <v>131</v>
      </c>
      <c r="Z3" s="949" t="s">
        <v>132</v>
      </c>
      <c r="AA3" s="949" t="s">
        <v>133</v>
      </c>
      <c r="AB3" s="949" t="s">
        <v>134</v>
      </c>
      <c r="AC3" s="949" t="s">
        <v>135</v>
      </c>
      <c r="AD3" s="949" t="s">
        <v>136</v>
      </c>
      <c r="AE3" s="949" t="s">
        <v>137</v>
      </c>
      <c r="AF3" s="1239"/>
      <c r="AG3" s="171"/>
      <c r="AH3" s="1239"/>
      <c r="AI3" s="1239"/>
      <c r="AJ3" s="1239"/>
      <c r="AK3" s="1239"/>
      <c r="AL3" s="1239"/>
      <c r="AM3" s="1239"/>
      <c r="AN3" s="1341" t="s">
        <v>129</v>
      </c>
      <c r="AO3" s="949" t="s">
        <v>130</v>
      </c>
      <c r="AP3" s="949" t="s">
        <v>131</v>
      </c>
      <c r="AQ3" s="950" t="s">
        <v>613</v>
      </c>
      <c r="AR3" s="950" t="s">
        <v>614</v>
      </c>
      <c r="AS3" s="950" t="s">
        <v>615</v>
      </c>
      <c r="AT3" s="950" t="s">
        <v>616</v>
      </c>
      <c r="AU3" s="949" t="s">
        <v>617</v>
      </c>
      <c r="AV3" s="949" t="s">
        <v>618</v>
      </c>
      <c r="AW3" s="1239"/>
      <c r="AX3" s="1239"/>
      <c r="AY3" s="455"/>
      <c r="AZ3" s="455"/>
      <c r="BA3" s="1239"/>
      <c r="BB3" s="1239"/>
      <c r="BD3" s="1239"/>
      <c r="BE3" s="1239"/>
      <c r="BF3" s="1239"/>
      <c r="BG3" s="1239"/>
    </row>
    <row r="4" spans="1:59" ht="15.75" customHeight="1">
      <c r="A4" s="501">
        <f>'HR Track 4 HER'!A107</f>
        <v>0</v>
      </c>
      <c r="B4" s="716">
        <f>'HR Track 4 HER'!B107</f>
        <v>0</v>
      </c>
      <c r="C4" s="451">
        <f>'HR Track 4 HER'!C107</f>
        <v>0</v>
      </c>
      <c r="D4" s="453">
        <f>'HR Track 4 HER'!D107</f>
        <v>0</v>
      </c>
      <c r="E4" s="452">
        <f>'HR Track 4 HER'!E107</f>
        <v>0</v>
      </c>
      <c r="F4" s="453">
        <f>'HR Track 4 HER'!F107</f>
        <v>0</v>
      </c>
      <c r="G4" s="500">
        <f>'HR Track 4 HER'!G107</f>
        <v>39.700000000000003</v>
      </c>
      <c r="H4" s="453">
        <f>'HR Track 4 HER'!H107</f>
        <v>0</v>
      </c>
      <c r="I4" s="501">
        <f>'HR Track 4 HER'!I107</f>
        <v>0</v>
      </c>
      <c r="J4" s="583">
        <f>'HR Track 4 HER'!J107</f>
        <v>84873.209999999977</v>
      </c>
      <c r="K4" s="452" t="str">
        <f>'HR Track 4 HER'!K107</f>
        <v>AnMC-R</v>
      </c>
      <c r="L4" s="452">
        <f>'HR Track 4 HER'!L107</f>
        <v>0</v>
      </c>
      <c r="M4" s="452">
        <f>'HR Track 4 HER'!M107</f>
        <v>0</v>
      </c>
      <c r="N4" s="501">
        <f>'HR Track 4 HER'!N107</f>
        <v>0</v>
      </c>
      <c r="O4" s="501">
        <f>'HR Track 4 HER'!O107</f>
        <v>0</v>
      </c>
      <c r="P4" s="501">
        <f>'HR Track 4 HER'!P107</f>
        <v>0</v>
      </c>
      <c r="Q4" s="452">
        <f>'HR Track 4 HER'!Q107</f>
        <v>0</v>
      </c>
      <c r="R4" s="452">
        <f>'HR Track 4 HER'!R107</f>
        <v>0</v>
      </c>
      <c r="S4" s="500">
        <f>'HR Track 4 HER'!S107</f>
        <v>0</v>
      </c>
      <c r="T4" s="452">
        <f>'HR Track 4 HER'!T107</f>
        <v>0</v>
      </c>
      <c r="U4" s="452">
        <f>'HR Track 4 HER'!U107</f>
        <v>0</v>
      </c>
      <c r="V4" s="452">
        <f>'HR Track 4 HER'!V107</f>
        <v>0</v>
      </c>
      <c r="W4" s="452">
        <f>'HR Track 4 HER'!W107</f>
        <v>0</v>
      </c>
      <c r="X4" s="452">
        <f>'HR Track 4 HER'!X107</f>
        <v>0</v>
      </c>
      <c r="Y4" s="452">
        <f>'HR Track 4 HER'!Y107</f>
        <v>0</v>
      </c>
      <c r="Z4" s="452">
        <f>'HR Track 4 HER'!Z107</f>
        <v>0</v>
      </c>
      <c r="AA4" s="452">
        <f>'HR Track 4 HER'!AA107</f>
        <v>0</v>
      </c>
      <c r="AB4" s="452">
        <f>'HR Track 4 HER'!AB107</f>
        <v>0</v>
      </c>
      <c r="AC4" s="452">
        <f>'HR Track 4 HER'!AC107</f>
        <v>0</v>
      </c>
      <c r="AD4" s="452">
        <f>'HR Track 4 HER'!AD107</f>
        <v>0</v>
      </c>
      <c r="AE4" s="452">
        <f>'HR Track 4 HER'!AE107</f>
        <v>0</v>
      </c>
      <c r="AF4" s="452">
        <f>'HR Track 4 HER'!AF107</f>
        <v>0</v>
      </c>
      <c r="AG4" s="451">
        <f>'HR Track 4 HER'!AG107</f>
        <v>0</v>
      </c>
      <c r="AH4" s="452">
        <f>'HR Track 4 HER'!AH107</f>
        <v>0</v>
      </c>
      <c r="AI4" s="452">
        <f>'HR Track 4 HER'!AI107</f>
        <v>0</v>
      </c>
      <c r="AJ4" s="452">
        <f>'HR Track 4 HER'!AJ107</f>
        <v>0</v>
      </c>
      <c r="AK4" s="452">
        <f>'HR Track 4 HER'!AK107</f>
        <v>0</v>
      </c>
      <c r="AL4" s="452">
        <f>'HR Track 4 HER'!AL107</f>
        <v>0</v>
      </c>
      <c r="AM4" s="452">
        <f>'HR Track 4 HER'!AM107</f>
        <v>0</v>
      </c>
      <c r="AN4" s="500">
        <f>'HR Track 4 HER'!AN107</f>
        <v>0</v>
      </c>
      <c r="AO4" s="452">
        <f>'HR Track 4 HER'!AO107</f>
        <v>0</v>
      </c>
      <c r="AP4" s="452">
        <f>'HR Track 4 HER'!AP107</f>
        <v>0</v>
      </c>
      <c r="AQ4" s="452">
        <f>'HR Track 4 HER'!AQ107</f>
        <v>-0.3</v>
      </c>
      <c r="AR4" s="452">
        <f>'HR Track 4 HER'!AR107</f>
        <v>0</v>
      </c>
      <c r="AS4" s="452">
        <f>'HR Track 4 HER'!AS107</f>
        <v>0</v>
      </c>
      <c r="AT4" s="452">
        <f>'HR Track 4 HER'!AT107</f>
        <v>0</v>
      </c>
      <c r="AU4" s="452">
        <f>'HR Track 4 HER'!AU107</f>
        <v>0</v>
      </c>
      <c r="AV4" s="452">
        <f>'HR Track 4 HER'!AV107</f>
        <v>0</v>
      </c>
      <c r="AW4" s="452" t="str">
        <f>'HR Track 4 HER'!AW107</f>
        <v>Soil B</v>
      </c>
      <c r="AX4" s="452" t="str">
        <f>'HR Track 4 HER'!AX107</f>
        <v>PT</v>
      </c>
      <c r="AY4" s="500">
        <f>'HR Track 4 HER'!AY107</f>
        <v>0</v>
      </c>
      <c r="AZ4" s="500">
        <f>'HR Track 4 HER'!AZ107</f>
        <v>3.9</v>
      </c>
      <c r="BA4" s="1333" t="str">
        <f>'HR Track 4 HER'!BA107</f>
        <v>ü</v>
      </c>
      <c r="BB4" s="452">
        <f>'HR Track 4 HER'!BB107</f>
        <v>0</v>
      </c>
      <c r="BC4" s="1334">
        <f>'HR Track 4 HER'!BC107</f>
        <v>0</v>
      </c>
      <c r="BD4" s="1335">
        <f>'HR Track 4 HER'!BD107</f>
        <v>0</v>
      </c>
      <c r="BE4" s="1335">
        <f>'HR Track 4 HER'!BE107</f>
        <v>0</v>
      </c>
      <c r="BF4" s="1335">
        <f>'HR Track 4 HER'!BF107</f>
        <v>0</v>
      </c>
      <c r="BG4" s="1335">
        <f>'HR Track 4 HER'!BG107</f>
        <v>0</v>
      </c>
    </row>
    <row r="5" spans="1:59" ht="15.75" customHeight="1">
      <c r="A5" s="501">
        <f>'HR Track 4 HER'!A108</f>
        <v>0</v>
      </c>
      <c r="B5" s="716" t="str">
        <f>'HR Track 4 HER'!B108</f>
        <v>84-4.18BIS</v>
      </c>
      <c r="C5" s="451">
        <f>'HR Track 4 HER'!C108</f>
        <v>84880.709999999977</v>
      </c>
      <c r="D5" s="453">
        <f>'HR Track 4 HER'!D108</f>
        <v>0</v>
      </c>
      <c r="E5" s="452">
        <f>'HR Track 4 HER'!E108</f>
        <v>0</v>
      </c>
      <c r="F5" s="453">
        <f>'HR Track 4 HER'!F108</f>
        <v>8330.9672929826047</v>
      </c>
      <c r="G5" s="500">
        <f>'HR Track 4 HER'!G108</f>
        <v>0</v>
      </c>
      <c r="H5" s="453" t="str">
        <f>'HR Track 4 HER'!H108</f>
        <v>A/S</v>
      </c>
      <c r="I5" s="501" t="str">
        <f>'HR Track 4 HER'!I108</f>
        <v>CP+AnMC</v>
      </c>
      <c r="J5" s="583">
        <f>'HR Track 4 HER'!J108</f>
        <v>0</v>
      </c>
      <c r="K5" s="452">
        <f>'HR Track 4 HER'!K108</f>
        <v>0</v>
      </c>
      <c r="L5" s="452" t="str">
        <f>'HR Track 4 HER'!L108</f>
        <v>HEB-280L</v>
      </c>
      <c r="M5" s="452" t="str">
        <f>'HR Track 4 HER'!M108</f>
        <v>C5R</v>
      </c>
      <c r="N5" s="501">
        <f>'HR Track 4 HER'!N108</f>
        <v>0</v>
      </c>
      <c r="O5" s="501">
        <f>'HR Track 4 HER'!O108</f>
        <v>0</v>
      </c>
      <c r="P5" s="501">
        <f>'HR Track 4 HER'!P108</f>
        <v>0</v>
      </c>
      <c r="Q5" s="452">
        <f>'HR Track 4 HER'!Q108</f>
        <v>0</v>
      </c>
      <c r="R5" s="452">
        <f>'HR Track 4 HER'!R108</f>
        <v>0</v>
      </c>
      <c r="S5" s="500">
        <f>'HR Track 4 HER'!S108</f>
        <v>0</v>
      </c>
      <c r="T5" s="452">
        <f>'HR Track 4 HER'!T108</f>
        <v>0</v>
      </c>
      <c r="U5" s="452">
        <f>'HR Track 4 HER'!U108</f>
        <v>0</v>
      </c>
      <c r="V5" s="452">
        <f>'HR Track 4 HER'!V108</f>
        <v>0</v>
      </c>
      <c r="W5" s="452">
        <f>'HR Track 4 HER'!W108</f>
        <v>0</v>
      </c>
      <c r="X5" s="452">
        <f>'HR Track 4 HER'!X108</f>
        <v>0</v>
      </c>
      <c r="Y5" s="452">
        <f>'HR Track 4 HER'!Y108</f>
        <v>0</v>
      </c>
      <c r="Z5" s="452">
        <f>'HR Track 4 HER'!Z108</f>
        <v>0</v>
      </c>
      <c r="AA5" s="452">
        <f>'HR Track 4 HER'!AA108</f>
        <v>0</v>
      </c>
      <c r="AB5" s="452">
        <f>'HR Track 4 HER'!AB108</f>
        <v>0</v>
      </c>
      <c r="AC5" s="452">
        <f>'HR Track 4 HER'!AC108</f>
        <v>0</v>
      </c>
      <c r="AD5" s="452">
        <f>'HR Track 4 HER'!AD108</f>
        <v>0</v>
      </c>
      <c r="AE5" s="452">
        <f>'HR Track 4 HER'!AE108</f>
        <v>0</v>
      </c>
      <c r="AF5" s="452">
        <f>'HR Track 4 HER'!AF108</f>
        <v>0</v>
      </c>
      <c r="AG5" s="451">
        <f>'HR Track 4 HER'!AG108</f>
        <v>0</v>
      </c>
      <c r="AH5" s="452">
        <f>'HR Track 4 HER'!AH108</f>
        <v>0</v>
      </c>
      <c r="AI5" s="452">
        <f>'HR Track 4 HER'!AI108</f>
        <v>0</v>
      </c>
      <c r="AJ5" s="452">
        <f>'HR Track 4 HER'!AJ108</f>
        <v>0</v>
      </c>
      <c r="AK5" s="452">
        <f>'HR Track 4 HER'!AK108</f>
        <v>0</v>
      </c>
      <c r="AL5" s="452" t="str">
        <f>'HR Track 4 HER'!AL108</f>
        <v>PR1B</v>
      </c>
      <c r="AM5" s="452" t="str">
        <f>'HR Track 4 HER'!AM108</f>
        <v>RW1</v>
      </c>
      <c r="AN5" s="500">
        <f>'HR Track 4 HER'!AN108</f>
        <v>0</v>
      </c>
      <c r="AO5" s="452">
        <f>'HR Track 4 HER'!AO108</f>
        <v>0</v>
      </c>
      <c r="AP5" s="452">
        <f>'HR Track 4 HER'!AP108</f>
        <v>0</v>
      </c>
      <c r="AQ5" s="452">
        <f>'HR Track 4 HER'!AQ108</f>
        <v>0</v>
      </c>
      <c r="AR5" s="452">
        <f>'HR Track 4 HER'!AR108</f>
        <v>0</v>
      </c>
      <c r="AS5" s="452">
        <f>'HR Track 4 HER'!AS108</f>
        <v>0</v>
      </c>
      <c r="AT5" s="452">
        <f>'HR Track 4 HER'!AT108</f>
        <v>0</v>
      </c>
      <c r="AU5" s="452">
        <f>'HR Track 4 HER'!AU108</f>
        <v>0</v>
      </c>
      <c r="AV5" s="452">
        <f>'HR Track 4 HER'!AV108</f>
        <v>0</v>
      </c>
      <c r="AW5" s="452" t="str">
        <f>'HR Track 4 HER'!AW108</f>
        <v>Soil B</v>
      </c>
      <c r="AX5" s="452" t="str">
        <f>'HR Track 4 HER'!AX108</f>
        <v>PT</v>
      </c>
      <c r="AY5" s="500">
        <f>'HR Track 4 HER'!AY108</f>
        <v>3.5</v>
      </c>
      <c r="AZ5" s="500">
        <f>'HR Track 4 HER'!AZ108</f>
        <v>0</v>
      </c>
      <c r="BA5" s="1333" t="str">
        <f>'HR Track 4 HER'!BA108</f>
        <v>ü</v>
      </c>
      <c r="BB5" s="452" t="str">
        <f>'HR Track 4 HER'!BB108</f>
        <v>App.8-V08F-P10.3</v>
      </c>
      <c r="BC5" s="1334">
        <f>'HR Track 4 HER'!BC108</f>
        <v>0</v>
      </c>
      <c r="BD5" s="1335">
        <f>'HR Track 4 HER'!BD108</f>
        <v>0</v>
      </c>
      <c r="BE5" s="1335">
        <f>'HR Track 4 HER'!BE108</f>
        <v>0</v>
      </c>
      <c r="BF5" s="1335">
        <f>'HR Track 4 HER'!BF108</f>
        <v>0</v>
      </c>
      <c r="BG5" s="1335">
        <f>'HR Track 4 HER'!BG108</f>
        <v>0</v>
      </c>
    </row>
    <row r="6" spans="1:59" ht="15.75" customHeight="1">
      <c r="A6" s="501">
        <f>'HR Track 4 HER'!A109</f>
        <v>0</v>
      </c>
      <c r="B6" s="716">
        <f>'HR Track 4 HER'!B109</f>
        <v>0</v>
      </c>
      <c r="C6" s="451">
        <f>'HR Track 4 HER'!C109</f>
        <v>0</v>
      </c>
      <c r="D6" s="453">
        <f>'HR Track 4 HER'!D109</f>
        <v>0</v>
      </c>
      <c r="E6" s="452">
        <f>'HR Track 4 HER'!E109</f>
        <v>0</v>
      </c>
      <c r="F6" s="453">
        <f>'HR Track 4 HER'!F109</f>
        <v>0</v>
      </c>
      <c r="G6" s="500">
        <f>'HR Track 4 HER'!G109</f>
        <v>50.5</v>
      </c>
      <c r="H6" s="453">
        <f>'HR Track 4 HER'!H109</f>
        <v>0</v>
      </c>
      <c r="I6" s="501">
        <f>'HR Track 4 HER'!I109</f>
        <v>0</v>
      </c>
      <c r="J6" s="583">
        <f>'HR Track 4 HER'!J109</f>
        <v>0</v>
      </c>
      <c r="K6" s="452">
        <f>'HR Track 4 HER'!K109</f>
        <v>0</v>
      </c>
      <c r="L6" s="452">
        <f>'HR Track 4 HER'!L109</f>
        <v>0</v>
      </c>
      <c r="M6" s="452">
        <f>'HR Track 4 HER'!M109</f>
        <v>0</v>
      </c>
      <c r="N6" s="501">
        <f>'HR Track 4 HER'!N109</f>
        <v>0</v>
      </c>
      <c r="O6" s="501">
        <f>'HR Track 4 HER'!O109</f>
        <v>0</v>
      </c>
      <c r="P6" s="501">
        <f>'HR Track 4 HER'!P109</f>
        <v>0</v>
      </c>
      <c r="Q6" s="452">
        <f>'HR Track 4 HER'!Q109</f>
        <v>0</v>
      </c>
      <c r="R6" s="452">
        <f>'HR Track 4 HER'!R109</f>
        <v>0</v>
      </c>
      <c r="S6" s="500">
        <f>'HR Track 4 HER'!S109</f>
        <v>0</v>
      </c>
      <c r="T6" s="452">
        <f>'HR Track 4 HER'!T109</f>
        <v>0</v>
      </c>
      <c r="U6" s="452">
        <f>'HR Track 4 HER'!U109</f>
        <v>0</v>
      </c>
      <c r="V6" s="452">
        <f>'HR Track 4 HER'!V109</f>
        <v>0</v>
      </c>
      <c r="W6" s="452">
        <f>'HR Track 4 HER'!W109</f>
        <v>0</v>
      </c>
      <c r="X6" s="452">
        <f>'HR Track 4 HER'!X109</f>
        <v>0</v>
      </c>
      <c r="Y6" s="452">
        <f>'HR Track 4 HER'!Y109</f>
        <v>0</v>
      </c>
      <c r="Z6" s="452">
        <f>'HR Track 4 HER'!Z109</f>
        <v>0</v>
      </c>
      <c r="AA6" s="452">
        <f>'HR Track 4 HER'!AA109</f>
        <v>0</v>
      </c>
      <c r="AB6" s="452">
        <f>'HR Track 4 HER'!AB109</f>
        <v>0</v>
      </c>
      <c r="AC6" s="452">
        <f>'HR Track 4 HER'!AC109</f>
        <v>0</v>
      </c>
      <c r="AD6" s="452">
        <f>'HR Track 4 HER'!AD109</f>
        <v>0</v>
      </c>
      <c r="AE6" s="452">
        <f>'HR Track 4 HER'!AE109</f>
        <v>0</v>
      </c>
      <c r="AF6" s="452">
        <f>'HR Track 4 HER'!AF109</f>
        <v>0</v>
      </c>
      <c r="AG6" s="451">
        <f>'HR Track 4 HER'!AG109</f>
        <v>0</v>
      </c>
      <c r="AH6" s="452">
        <f>'HR Track 4 HER'!AH109</f>
        <v>0</v>
      </c>
      <c r="AI6" s="452">
        <f>'HR Track 4 HER'!AI109</f>
        <v>0</v>
      </c>
      <c r="AJ6" s="452">
        <f>'HR Track 4 HER'!AJ109</f>
        <v>0</v>
      </c>
      <c r="AK6" s="452">
        <f>'HR Track 4 HER'!AK109</f>
        <v>0</v>
      </c>
      <c r="AL6" s="452">
        <f>'HR Track 4 HER'!AL109</f>
        <v>0</v>
      </c>
      <c r="AM6" s="452">
        <f>'HR Track 4 HER'!AM109</f>
        <v>0</v>
      </c>
      <c r="AN6" s="500">
        <f>'HR Track 4 HER'!AN109</f>
        <v>0</v>
      </c>
      <c r="AO6" s="452">
        <f>'HR Track 4 HER'!AO109</f>
        <v>0</v>
      </c>
      <c r="AP6" s="452">
        <f>'HR Track 4 HER'!AP109</f>
        <v>0</v>
      </c>
      <c r="AQ6" s="452">
        <f>'HR Track 4 HER'!AQ109</f>
        <v>0</v>
      </c>
      <c r="AR6" s="452">
        <f>'HR Track 4 HER'!AR109</f>
        <v>0</v>
      </c>
      <c r="AS6" s="452">
        <f>'HR Track 4 HER'!AS109</f>
        <v>0</v>
      </c>
      <c r="AT6" s="452">
        <f>'HR Track 4 HER'!AT109</f>
        <v>0</v>
      </c>
      <c r="AU6" s="452">
        <f>'HR Track 4 HER'!AU109</f>
        <v>0</v>
      </c>
      <c r="AV6" s="452">
        <f>'HR Track 4 HER'!AV109</f>
        <v>0</v>
      </c>
      <c r="AW6" s="452">
        <f>'HR Track 4 HER'!AW109</f>
        <v>0</v>
      </c>
      <c r="AX6" s="452">
        <f>'HR Track 4 HER'!AX109</f>
        <v>0</v>
      </c>
      <c r="AY6" s="500">
        <f>'HR Track 4 HER'!AY109</f>
        <v>0</v>
      </c>
      <c r="AZ6" s="500">
        <f>'HR Track 4 HER'!AZ109</f>
        <v>0</v>
      </c>
      <c r="BA6" s="1333">
        <f>'HR Track 4 HER'!BA109</f>
        <v>0</v>
      </c>
      <c r="BB6" s="452">
        <f>'HR Track 4 HER'!BB109</f>
        <v>0</v>
      </c>
      <c r="BC6" s="1334">
        <f>'HR Track 4 HER'!BC109</f>
        <v>0</v>
      </c>
      <c r="BD6" s="1335">
        <f>'HR Track 4 HER'!BD109</f>
        <v>0</v>
      </c>
      <c r="BE6" s="1335">
        <f>'HR Track 4 HER'!BE109</f>
        <v>0</v>
      </c>
      <c r="BF6" s="1335">
        <f>'HR Track 4 HER'!BF109</f>
        <v>0</v>
      </c>
      <c r="BG6" s="1335">
        <f>'HR Track 4 HER'!BG109</f>
        <v>0</v>
      </c>
    </row>
    <row r="7" spans="1:59" ht="15.75" customHeight="1">
      <c r="A7" s="501">
        <f>'HR Track 4 HER'!A110</f>
        <v>0</v>
      </c>
      <c r="B7" s="716" t="str">
        <f>'HR Track 4 HER'!B110</f>
        <v>84-4.19</v>
      </c>
      <c r="C7" s="451">
        <f>'HR Track 4 HER'!C110</f>
        <v>84920.809999999983</v>
      </c>
      <c r="D7" s="453">
        <f>'HR Track 4 HER'!D110</f>
        <v>0</v>
      </c>
      <c r="E7" s="452">
        <f>'HR Track 4 HER'!E110</f>
        <v>0</v>
      </c>
      <c r="F7" s="453">
        <f>'HR Track 4 HER'!F110</f>
        <v>4000</v>
      </c>
      <c r="G7" s="500">
        <f>'HR Track 4 HER'!G110</f>
        <v>0</v>
      </c>
      <c r="H7" s="453" t="str">
        <f>'HR Track 4 HER'!H110</f>
        <v>S/A</v>
      </c>
      <c r="I7" s="501">
        <f>'HR Track 4 HER'!I110</f>
        <v>0</v>
      </c>
      <c r="J7" s="583">
        <f>'HR Track 4 HER'!J110</f>
        <v>0</v>
      </c>
      <c r="K7" s="452">
        <f>'HR Track 4 HER'!K110</f>
        <v>0</v>
      </c>
      <c r="L7" s="452" t="str">
        <f>'HR Track 4 HER'!L110</f>
        <v>2HEB-240</v>
      </c>
      <c r="M7" s="452" t="str">
        <f>'HR Track 4 HER'!M110</f>
        <v>2C3R</v>
      </c>
      <c r="N7" s="501" t="str">
        <f>'HR Track 4 HER'!N110</f>
        <v>EMT-T</v>
      </c>
      <c r="O7" s="501" t="str">
        <f>'HR Track 4 HER'!O110</f>
        <v>EMT-1</v>
      </c>
      <c r="P7" s="501">
        <f>'HR Track 4 HER'!P110</f>
        <v>0</v>
      </c>
      <c r="Q7" s="452">
        <f>'HR Track 4 HER'!Q110</f>
        <v>0</v>
      </c>
      <c r="R7" s="452">
        <f>'HR Track 4 HER'!R110</f>
        <v>0</v>
      </c>
      <c r="S7" s="500">
        <f>'HR Track 4 HER'!S110</f>
        <v>0</v>
      </c>
      <c r="T7" s="452">
        <f>'HR Track 4 HER'!T110</f>
        <v>15</v>
      </c>
      <c r="U7" s="452">
        <f>'HR Track 4 HER'!U110</f>
        <v>-30</v>
      </c>
      <c r="V7" s="452">
        <f>'HR Track 4 HER'!V110</f>
        <v>0</v>
      </c>
      <c r="W7" s="452">
        <f>'HR Track 4 HER'!W110</f>
        <v>1.4</v>
      </c>
      <c r="X7" s="452">
        <f>'HR Track 4 HER'!X110</f>
        <v>2.2999999999999998</v>
      </c>
      <c r="Y7" s="452">
        <f>'HR Track 4 HER'!Y110</f>
        <v>0</v>
      </c>
      <c r="Z7" s="452">
        <f>'HR Track 4 HER'!Z110</f>
        <v>0.45</v>
      </c>
      <c r="AA7" s="452">
        <f>'HR Track 4 HER'!AA110</f>
        <v>0</v>
      </c>
      <c r="AB7" s="452">
        <f>'HR Track 4 HER'!AB110</f>
        <v>0</v>
      </c>
      <c r="AC7" s="452">
        <f>'HR Track 4 HER'!AC110</f>
        <v>0</v>
      </c>
      <c r="AD7" s="452">
        <f>'HR Track 4 HER'!AD110</f>
        <v>0</v>
      </c>
      <c r="AE7" s="452">
        <f>'HR Track 4 HER'!AE110</f>
        <v>0</v>
      </c>
      <c r="AF7" s="452">
        <f>'HR Track 4 HER'!AF110</f>
        <v>0</v>
      </c>
      <c r="AG7" s="451">
        <f>'HR Track 4 HER'!AG110</f>
        <v>0</v>
      </c>
      <c r="AH7" s="452">
        <f>'HR Track 4 HER'!AH110</f>
        <v>0</v>
      </c>
      <c r="AI7" s="452">
        <f>'HR Track 4 HER'!AI110</f>
        <v>0</v>
      </c>
      <c r="AJ7" s="452">
        <f>'HR Track 4 HER'!AJ110</f>
        <v>0</v>
      </c>
      <c r="AK7" s="452">
        <f>'HR Track 4 HER'!AK110</f>
        <v>0</v>
      </c>
      <c r="AL7" s="452">
        <f>'HR Track 4 HER'!AL110</f>
        <v>0</v>
      </c>
      <c r="AM7" s="452" t="str">
        <f>'HR Track 4 HER'!AM110</f>
        <v>RW1</v>
      </c>
      <c r="AN7" s="500">
        <f>'HR Track 4 HER'!AN110</f>
        <v>5.5</v>
      </c>
      <c r="AO7" s="452">
        <f>'HR Track 4 HER'!AO110</f>
        <v>0</v>
      </c>
      <c r="AP7" s="452">
        <f>'HR Track 4 HER'!AP110</f>
        <v>0</v>
      </c>
      <c r="AQ7" s="452">
        <f>'HR Track 4 HER'!AQ110</f>
        <v>0</v>
      </c>
      <c r="AR7" s="452">
        <f>'HR Track 4 HER'!AR110</f>
        <v>0</v>
      </c>
      <c r="AS7" s="452">
        <f>'HR Track 4 HER'!AS110</f>
        <v>0</v>
      </c>
      <c r="AT7" s="452">
        <f>'HR Track 4 HER'!AT110</f>
        <v>-6.7178014591242476</v>
      </c>
      <c r="AU7" s="452">
        <f>'HR Track 4 HER'!AU110</f>
        <v>0</v>
      </c>
      <c r="AV7" s="452">
        <f>'HR Track 4 HER'!AV110</f>
        <v>0</v>
      </c>
      <c r="AW7" s="452" t="str">
        <f>'HR Track 4 HER'!AW110</f>
        <v>Soil B</v>
      </c>
      <c r="AX7" s="452" t="str">
        <f>'HR Track 4 HER'!AX110</f>
        <v>PT</v>
      </c>
      <c r="AY7" s="500">
        <f>'HR Track 4 HER'!AY110</f>
        <v>3.5</v>
      </c>
      <c r="AZ7" s="500">
        <f>'HR Track 4 HER'!AZ110</f>
        <v>0</v>
      </c>
      <c r="BA7" s="1333" t="str">
        <f>'HR Track 4 HER'!BA110</f>
        <v>ü</v>
      </c>
      <c r="BB7" s="452" t="str">
        <f>'HR Track 4 HER'!BB110</f>
        <v>App.7-V11A-P9.5.1.5</v>
      </c>
      <c r="BC7" s="1334">
        <f>'HR Track 4 HER'!BC110</f>
        <v>0</v>
      </c>
      <c r="BD7" s="1335">
        <f>'HR Track 4 HER'!BD110</f>
        <v>0</v>
      </c>
      <c r="BE7" s="1335">
        <f>'HR Track 4 HER'!BE110</f>
        <v>0</v>
      </c>
      <c r="BF7" s="1335">
        <f>'HR Track 4 HER'!BF110</f>
        <v>0</v>
      </c>
      <c r="BG7" s="1335">
        <f>'HR Track 4 HER'!BG110</f>
        <v>0</v>
      </c>
    </row>
    <row r="8" spans="1:59" ht="15.75" customHeight="1">
      <c r="A8" s="501">
        <f>'HR Track 4 HER'!A111</f>
        <v>0</v>
      </c>
      <c r="B8" s="716">
        <f>'HR Track 4 HER'!B111</f>
        <v>0</v>
      </c>
      <c r="C8" s="451">
        <f>'HR Track 4 HER'!C111</f>
        <v>0</v>
      </c>
      <c r="D8" s="453">
        <f>'HR Track 4 HER'!D111</f>
        <v>0</v>
      </c>
      <c r="E8" s="452">
        <f>'HR Track 4 HER'!E111</f>
        <v>0</v>
      </c>
      <c r="F8" s="453">
        <f>'HR Track 4 HER'!F111</f>
        <v>0</v>
      </c>
      <c r="G8" s="500">
        <f>'HR Track 4 HER'!G111</f>
        <v>50</v>
      </c>
      <c r="H8" s="453">
        <f>'HR Track 4 HER'!H111</f>
        <v>0</v>
      </c>
      <c r="I8" s="501">
        <f>'HR Track 4 HER'!I111</f>
        <v>0</v>
      </c>
      <c r="J8" s="583">
        <f>'HR Track 4 HER'!J111</f>
        <v>0</v>
      </c>
      <c r="K8" s="452">
        <f>'HR Track 4 HER'!K111</f>
        <v>0</v>
      </c>
      <c r="L8" s="452">
        <f>'HR Track 4 HER'!L111</f>
        <v>0</v>
      </c>
      <c r="M8" s="452" t="str">
        <f>'HR Track 4 HER'!M111</f>
        <v/>
      </c>
      <c r="N8" s="501">
        <f>'HR Track 4 HER'!N111</f>
        <v>0</v>
      </c>
      <c r="O8" s="501">
        <f>'HR Track 4 HER'!O111</f>
        <v>0</v>
      </c>
      <c r="P8" s="501">
        <f>'HR Track 4 HER'!P111</f>
        <v>0</v>
      </c>
      <c r="Q8" s="452">
        <f>'HR Track 4 HER'!Q111</f>
        <v>0</v>
      </c>
      <c r="R8" s="452">
        <f>'HR Track 4 HER'!R111</f>
        <v>0</v>
      </c>
      <c r="S8" s="500">
        <f>'HR Track 4 HER'!S111</f>
        <v>0</v>
      </c>
      <c r="T8" s="452">
        <f>'HR Track 4 HER'!T111</f>
        <v>0</v>
      </c>
      <c r="U8" s="452">
        <f>'HR Track 4 HER'!U111</f>
        <v>0</v>
      </c>
      <c r="V8" s="452">
        <f>'HR Track 4 HER'!V111</f>
        <v>0</v>
      </c>
      <c r="W8" s="452">
        <f>'HR Track 4 HER'!W111</f>
        <v>0</v>
      </c>
      <c r="X8" s="452">
        <f>'HR Track 4 HER'!X111</f>
        <v>0</v>
      </c>
      <c r="Y8" s="452">
        <f>'HR Track 4 HER'!Y111</f>
        <v>0</v>
      </c>
      <c r="Z8" s="452">
        <f>'HR Track 4 HER'!Z111</f>
        <v>0</v>
      </c>
      <c r="AA8" s="452">
        <f>'HR Track 4 HER'!AA111</f>
        <v>0</v>
      </c>
      <c r="AB8" s="452">
        <f>'HR Track 4 HER'!AB111</f>
        <v>0</v>
      </c>
      <c r="AC8" s="452">
        <f>'HR Track 4 HER'!AC111</f>
        <v>0</v>
      </c>
      <c r="AD8" s="452">
        <f>'HR Track 4 HER'!AD111</f>
        <v>0</v>
      </c>
      <c r="AE8" s="452">
        <f>'HR Track 4 HER'!AE111</f>
        <v>0</v>
      </c>
      <c r="AF8" s="452">
        <f>'HR Track 4 HER'!AF111</f>
        <v>0</v>
      </c>
      <c r="AG8" s="451">
        <f>'HR Track 4 HER'!AG111</f>
        <v>0</v>
      </c>
      <c r="AH8" s="452">
        <f>'HR Track 4 HER'!AH111</f>
        <v>0</v>
      </c>
      <c r="AI8" s="452">
        <f>'HR Track 4 HER'!AI111</f>
        <v>0</v>
      </c>
      <c r="AJ8" s="452">
        <f>'HR Track 4 HER'!AJ111</f>
        <v>0</v>
      </c>
      <c r="AK8" s="452">
        <f>'HR Track 4 HER'!AK111</f>
        <v>0</v>
      </c>
      <c r="AL8" s="452">
        <f>'HR Track 4 HER'!AL111</f>
        <v>0</v>
      </c>
      <c r="AM8" s="452">
        <f>'HR Track 4 HER'!AM111</f>
        <v>0</v>
      </c>
      <c r="AN8" s="500">
        <f>'HR Track 4 HER'!AN111</f>
        <v>0</v>
      </c>
      <c r="AO8" s="452">
        <f>'HR Track 4 HER'!AO111</f>
        <v>0</v>
      </c>
      <c r="AP8" s="452">
        <f>'HR Track 4 HER'!AP111</f>
        <v>0</v>
      </c>
      <c r="AQ8" s="452">
        <f>'HR Track 4 HER'!AQ111</f>
        <v>7.0090396567440358E-2</v>
      </c>
      <c r="AR8" s="452">
        <f>'HR Track 4 HER'!AR111</f>
        <v>0</v>
      </c>
      <c r="AS8" s="452">
        <f>'HR Track 4 HER'!AS111</f>
        <v>0</v>
      </c>
      <c r="AT8" s="452">
        <f>'HR Track 4 HER'!AT111</f>
        <v>0</v>
      </c>
      <c r="AU8" s="452">
        <f>'HR Track 4 HER'!AU111</f>
        <v>0</v>
      </c>
      <c r="AV8" s="452">
        <f>'HR Track 4 HER'!AV111</f>
        <v>0</v>
      </c>
      <c r="AW8" s="452">
        <f>'HR Track 4 HER'!AW111</f>
        <v>0</v>
      </c>
      <c r="AX8" s="452">
        <f>'HR Track 4 HER'!AX111</f>
        <v>0</v>
      </c>
      <c r="AY8" s="500">
        <f>'HR Track 4 HER'!AY111</f>
        <v>0</v>
      </c>
      <c r="AZ8" s="500">
        <f>'HR Track 4 HER'!AZ111</f>
        <v>0</v>
      </c>
      <c r="BA8" s="1333">
        <f>'HR Track 4 HER'!BA111</f>
        <v>0</v>
      </c>
      <c r="BB8" s="452">
        <f>'HR Track 4 HER'!BB111</f>
        <v>0</v>
      </c>
      <c r="BC8" s="1334">
        <f>'HR Track 4 HER'!BC111</f>
        <v>0</v>
      </c>
      <c r="BD8" s="1335">
        <f>'HR Track 4 HER'!BD111</f>
        <v>0</v>
      </c>
      <c r="BE8" s="1335">
        <f>'HR Track 4 HER'!BE111</f>
        <v>0</v>
      </c>
      <c r="BF8" s="1335">
        <f>'HR Track 4 HER'!BF111</f>
        <v>0</v>
      </c>
      <c r="BG8" s="1335">
        <f>'HR Track 4 HER'!BG111</f>
        <v>0</v>
      </c>
    </row>
    <row r="9" spans="1:59" ht="15.75" customHeight="1">
      <c r="A9" s="501" t="str">
        <f>'HR Track 4 HER'!A112</f>
        <v>HER-18</v>
      </c>
      <c r="B9" s="716" t="str">
        <f>'HR Track 4 HER'!B112</f>
        <v>84-4.20</v>
      </c>
      <c r="C9" s="451">
        <f>'HR Track 4 HER'!C112</f>
        <v>84970.809999999983</v>
      </c>
      <c r="D9" s="453">
        <f>'HR Track 4 HER'!D112</f>
        <v>0</v>
      </c>
      <c r="E9" s="452">
        <f>'HR Track 4 HER'!E112</f>
        <v>0</v>
      </c>
      <c r="F9" s="453">
        <f>'HR Track 4 HER'!F112</f>
        <v>6432.8855454004643</v>
      </c>
      <c r="G9" s="500">
        <f>'HR Track 4 HER'!G112</f>
        <v>0</v>
      </c>
      <c r="H9" s="453" t="str">
        <f>'HR Track 4 HER'!H112</f>
        <v>S/A</v>
      </c>
      <c r="I9" s="501" t="str">
        <f>'HR Track 4 HER'!I112</f>
        <v xml:space="preserve">IO </v>
      </c>
      <c r="J9" s="583">
        <f>'HR Track 4 HER'!J112</f>
        <v>0</v>
      </c>
      <c r="K9" s="452">
        <f>'HR Track 4 HER'!K112</f>
        <v>0</v>
      </c>
      <c r="L9" s="452" t="str">
        <f>'HR Track 4 HER'!L112</f>
        <v>2HEB-240L</v>
      </c>
      <c r="M9" s="452" t="str">
        <f>'HR Track 4 HER'!M112</f>
        <v>2C3R</v>
      </c>
      <c r="N9" s="501" t="str">
        <f>'HR Track 4 HER'!N112</f>
        <v>EMT-2</v>
      </c>
      <c r="O9" s="501" t="str">
        <f>'HR Track 4 HER'!O112</f>
        <v>EMT-T</v>
      </c>
      <c r="P9" s="501">
        <f>'HR Track 4 HER'!P112</f>
        <v>0</v>
      </c>
      <c r="Q9" s="452">
        <f>'HR Track 4 HER'!Q112</f>
        <v>0</v>
      </c>
      <c r="R9" s="452">
        <f>'HR Track 4 HER'!R112</f>
        <v>0</v>
      </c>
      <c r="S9" s="500">
        <f>'HR Track 4 HER'!S112</f>
        <v>0</v>
      </c>
      <c r="T9" s="452">
        <f>'HR Track 4 HER'!T112</f>
        <v>30</v>
      </c>
      <c r="U9" s="452">
        <f>'HR Track 4 HER'!U112</f>
        <v>-15</v>
      </c>
      <c r="V9" s="452">
        <f>'HR Track 4 HER'!V112</f>
        <v>0</v>
      </c>
      <c r="W9" s="452">
        <f>'HR Track 4 HER'!W112</f>
        <v>1.4</v>
      </c>
      <c r="X9" s="452">
        <f>'HR Track 4 HER'!X112</f>
        <v>2.2999999999999998</v>
      </c>
      <c r="Y9" s="452">
        <f>'HR Track 4 HER'!Y112</f>
        <v>0</v>
      </c>
      <c r="Z9" s="452">
        <f>'HR Track 4 HER'!Z112</f>
        <v>0</v>
      </c>
      <c r="AA9" s="452">
        <f>'HR Track 4 HER'!AA112</f>
        <v>0.45</v>
      </c>
      <c r="AB9" s="452">
        <f>'HR Track 4 HER'!AB112</f>
        <v>0</v>
      </c>
      <c r="AC9" s="452" t="str">
        <f>'HR Track 4 HER'!AC112</f>
        <v>PH</v>
      </c>
      <c r="AD9" s="452">
        <f>'HR Track 4 HER'!AD112</f>
        <v>0</v>
      </c>
      <c r="AE9" s="452">
        <f>'HR Track 4 HER'!AE112</f>
        <v>0</v>
      </c>
      <c r="AF9" s="452">
        <f>'HR Track 4 HER'!AF112</f>
        <v>0</v>
      </c>
      <c r="AG9" s="451">
        <f>'HR Track 4 HER'!AG112</f>
        <v>0</v>
      </c>
      <c r="AH9" s="452">
        <f>'HR Track 4 HER'!AH112</f>
        <v>0</v>
      </c>
      <c r="AI9" s="452">
        <f>'HR Track 4 HER'!AI112</f>
        <v>0</v>
      </c>
      <c r="AJ9" s="452" t="str">
        <f>'HR Track 4 HER'!AJ112</f>
        <v>Disc/IO</v>
      </c>
      <c r="AK9" s="452">
        <f>'HR Track 4 HER'!AK112</f>
        <v>0</v>
      </c>
      <c r="AL9" s="452">
        <f>'HR Track 4 HER'!AL112</f>
        <v>0</v>
      </c>
      <c r="AM9" s="452" t="str">
        <f>'HR Track 4 HER'!AM112</f>
        <v>RW1</v>
      </c>
      <c r="AN9" s="500">
        <f>'HR Track 4 HER'!AN112</f>
        <v>5.5</v>
      </c>
      <c r="AO9" s="452">
        <f>'HR Track 4 HER'!AO112</f>
        <v>0</v>
      </c>
      <c r="AP9" s="452">
        <f>'HR Track 4 HER'!AP112</f>
        <v>0</v>
      </c>
      <c r="AQ9" s="452">
        <f>'HR Track 4 HER'!AQ112</f>
        <v>0</v>
      </c>
      <c r="AR9" s="452">
        <f>'HR Track 4 HER'!AR112</f>
        <v>0</v>
      </c>
      <c r="AS9" s="452">
        <f>'HR Track 4 HER'!AS112</f>
        <v>0</v>
      </c>
      <c r="AT9" s="452">
        <f>'HR Track 4 HER'!AT112</f>
        <v>19.595307106482878</v>
      </c>
      <c r="AU9" s="452">
        <f>'HR Track 4 HER'!AU112</f>
        <v>0</v>
      </c>
      <c r="AV9" s="452">
        <f>'HR Track 4 HER'!AV112</f>
        <v>0</v>
      </c>
      <c r="AW9" s="452" t="str">
        <f>'HR Track 4 HER'!AW112</f>
        <v>Soil B</v>
      </c>
      <c r="AX9" s="452" t="str">
        <f>'HR Track 4 HER'!AX112</f>
        <v>PT</v>
      </c>
      <c r="AY9" s="500">
        <f>'HR Track 4 HER'!AY112</f>
        <v>3.5</v>
      </c>
      <c r="AZ9" s="500">
        <f>'HR Track 4 HER'!AZ112</f>
        <v>0</v>
      </c>
      <c r="BA9" s="1333" t="str">
        <f>'HR Track 4 HER'!BA112</f>
        <v>ü</v>
      </c>
      <c r="BB9" s="452" t="str">
        <f>'HR Track 4 HER'!BB112</f>
        <v>App.7-V11A-P9.5.1.5</v>
      </c>
      <c r="BC9" s="1334">
        <f>'HR Track 4 HER'!BC112</f>
        <v>0</v>
      </c>
      <c r="BD9" s="1335">
        <f>'HR Track 4 HER'!BD112</f>
        <v>0</v>
      </c>
      <c r="BE9" s="1335">
        <f>'HR Track 4 HER'!BE112</f>
        <v>0</v>
      </c>
      <c r="BF9" s="1335">
        <f>'HR Track 4 HER'!BF112</f>
        <v>0</v>
      </c>
      <c r="BG9" s="1335">
        <f>'HR Track 4 HER'!BG112</f>
        <v>0</v>
      </c>
    </row>
    <row r="10" spans="1:59" ht="15.75" customHeight="1">
      <c r="A10" s="501">
        <f>'HR Track 4 HER'!A113</f>
        <v>0</v>
      </c>
      <c r="B10" s="716">
        <f>'HR Track 4 HER'!B113</f>
        <v>0</v>
      </c>
      <c r="C10" s="451">
        <f>'HR Track 4 HER'!C113</f>
        <v>0</v>
      </c>
      <c r="D10" s="453">
        <f>'HR Track 4 HER'!D113</f>
        <v>0</v>
      </c>
      <c r="E10" s="452">
        <f>'HR Track 4 HER'!E113</f>
        <v>0</v>
      </c>
      <c r="F10" s="453">
        <f>'HR Track 4 HER'!F113</f>
        <v>0</v>
      </c>
      <c r="G10" s="500">
        <f>'HR Track 4 HER'!G113</f>
        <v>43.8</v>
      </c>
      <c r="H10" s="453">
        <f>'HR Track 4 HER'!H113</f>
        <v>0</v>
      </c>
      <c r="I10" s="501">
        <f>'HR Track 4 HER'!I113</f>
        <v>687.06000000002678</v>
      </c>
      <c r="J10" s="583">
        <f>'HR Track 4 HER'!J113</f>
        <v>0</v>
      </c>
      <c r="K10" s="452">
        <f>'HR Track 4 HER'!K113</f>
        <v>0</v>
      </c>
      <c r="L10" s="452">
        <f>'HR Track 4 HER'!L113</f>
        <v>0</v>
      </c>
      <c r="M10" s="452">
        <f>'HR Track 4 HER'!M113</f>
        <v>0</v>
      </c>
      <c r="N10" s="501">
        <f>'HR Track 4 HER'!N113</f>
        <v>0</v>
      </c>
      <c r="O10" s="501">
        <f>'HR Track 4 HER'!O113</f>
        <v>0</v>
      </c>
      <c r="P10" s="501">
        <f>'HR Track 4 HER'!P113</f>
        <v>0</v>
      </c>
      <c r="Q10" s="452">
        <f>'HR Track 4 HER'!Q113</f>
        <v>0</v>
      </c>
      <c r="R10" s="452">
        <f>'HR Track 4 HER'!R113</f>
        <v>0</v>
      </c>
      <c r="S10" s="500">
        <f>'HR Track 4 HER'!S113</f>
        <v>0</v>
      </c>
      <c r="T10" s="452">
        <f>'HR Track 4 HER'!T113</f>
        <v>0</v>
      </c>
      <c r="U10" s="452">
        <f>'HR Track 4 HER'!U113</f>
        <v>0</v>
      </c>
      <c r="V10" s="452">
        <f>'HR Track 4 HER'!V113</f>
        <v>0</v>
      </c>
      <c r="W10" s="452">
        <f>'HR Track 4 HER'!W113</f>
        <v>0</v>
      </c>
      <c r="X10" s="452">
        <f>'HR Track 4 HER'!X113</f>
        <v>0</v>
      </c>
      <c r="Y10" s="452">
        <f>'HR Track 4 HER'!Y113</f>
        <v>0</v>
      </c>
      <c r="Z10" s="452">
        <f>'HR Track 4 HER'!Z113</f>
        <v>0</v>
      </c>
      <c r="AA10" s="452">
        <f>'HR Track 4 HER'!AA113</f>
        <v>0</v>
      </c>
      <c r="AB10" s="452">
        <f>'HR Track 4 HER'!AB113</f>
        <v>0</v>
      </c>
      <c r="AC10" s="452">
        <f>'HR Track 4 HER'!AC113</f>
        <v>0</v>
      </c>
      <c r="AD10" s="452">
        <f>'HR Track 4 HER'!AD113</f>
        <v>0</v>
      </c>
      <c r="AE10" s="452">
        <f>'HR Track 4 HER'!AE113</f>
        <v>0</v>
      </c>
      <c r="AF10" s="452">
        <f>'HR Track 4 HER'!AF113</f>
        <v>0</v>
      </c>
      <c r="AG10" s="451">
        <f>'HR Track 4 HER'!AG113</f>
        <v>0</v>
      </c>
      <c r="AH10" s="452">
        <f>'HR Track 4 HER'!AH113</f>
        <v>0</v>
      </c>
      <c r="AI10" s="452">
        <f>'HR Track 4 HER'!AI113</f>
        <v>0</v>
      </c>
      <c r="AJ10" s="452">
        <f>'HR Track 4 HER'!AJ113</f>
        <v>0</v>
      </c>
      <c r="AK10" s="452">
        <f>'HR Track 4 HER'!AK113</f>
        <v>0</v>
      </c>
      <c r="AL10" s="452">
        <f>'HR Track 4 HER'!AL113</f>
        <v>0</v>
      </c>
      <c r="AM10" s="452">
        <f>'HR Track 4 HER'!AM113</f>
        <v>0</v>
      </c>
      <c r="AN10" s="500">
        <f>'HR Track 4 HER'!AN113</f>
        <v>0</v>
      </c>
      <c r="AO10" s="452">
        <f>'HR Track 4 HER'!AO113</f>
        <v>0</v>
      </c>
      <c r="AP10" s="452">
        <f>'HR Track 4 HER'!AP113</f>
        <v>0</v>
      </c>
      <c r="AQ10" s="452">
        <f>'HR Track 4 HER'!AQ113</f>
        <v>-0.3067762210593607</v>
      </c>
      <c r="AR10" s="452">
        <f>'HR Track 4 HER'!AR113</f>
        <v>0</v>
      </c>
      <c r="AS10" s="452">
        <f>'HR Track 4 HER'!AS113</f>
        <v>0</v>
      </c>
      <c r="AT10" s="452">
        <f>'HR Track 4 HER'!AT113</f>
        <v>0</v>
      </c>
      <c r="AU10" s="452">
        <f>'HR Track 4 HER'!AU113</f>
        <v>0</v>
      </c>
      <c r="AV10" s="452">
        <f>'HR Track 4 HER'!AV113</f>
        <v>0</v>
      </c>
      <c r="AW10" s="452">
        <f>'HR Track 4 HER'!AW113</f>
        <v>0</v>
      </c>
      <c r="AX10" s="452">
        <f>'HR Track 4 HER'!AX113</f>
        <v>0</v>
      </c>
      <c r="AY10" s="500">
        <f>'HR Track 4 HER'!AY113</f>
        <v>0</v>
      </c>
      <c r="AZ10" s="500">
        <f>'HR Track 4 HER'!AZ113</f>
        <v>0</v>
      </c>
      <c r="BA10" s="1333">
        <f>'HR Track 4 HER'!BA113</f>
        <v>0</v>
      </c>
      <c r="BB10" s="452">
        <f>'HR Track 4 HER'!BB113</f>
        <v>0</v>
      </c>
      <c r="BC10" s="1334">
        <f>'HR Track 4 HER'!BC113</f>
        <v>0</v>
      </c>
      <c r="BD10" s="1335">
        <f>'HR Track 4 HER'!BD113</f>
        <v>0</v>
      </c>
      <c r="BE10" s="1335">
        <f>'HR Track 4 HER'!BE113</f>
        <v>0</v>
      </c>
      <c r="BF10" s="1335">
        <f>'HR Track 4 HER'!BF113</f>
        <v>0</v>
      </c>
      <c r="BG10" s="1335">
        <f>'HR Track 4 HER'!BG113</f>
        <v>0</v>
      </c>
    </row>
    <row r="11" spans="1:59" ht="15.75" customHeight="1">
      <c r="A11" s="501">
        <f>'HR Track 4 HER'!A114</f>
        <v>0</v>
      </c>
      <c r="B11" s="716" t="str">
        <f>'HR Track 4 HER'!B114</f>
        <v>85-2.01</v>
      </c>
      <c r="C11" s="451">
        <f>'HR Track 4 HER'!C114</f>
        <v>85015.569999999992</v>
      </c>
      <c r="D11" s="453">
        <f>'HR Track 4 HER'!D114</f>
        <v>0</v>
      </c>
      <c r="E11" s="452">
        <f>'HR Track 4 HER'!E114</f>
        <v>0</v>
      </c>
      <c r="F11" s="453" t="str">
        <f>'HR Track 4 HER'!F114</f>
        <v>0</v>
      </c>
      <c r="G11" s="500">
        <f>'HR Track 4 HER'!G114</f>
        <v>0</v>
      </c>
      <c r="H11" s="453" t="str">
        <f>'HR Track 4 HER'!H114</f>
        <v>A/S</v>
      </c>
      <c r="I11" s="501" t="str">
        <f>'HR Track 4 HER'!I114</f>
        <v>CP+AnMC</v>
      </c>
      <c r="J11" s="583">
        <f>'HR Track 4 HER'!J114</f>
        <v>0</v>
      </c>
      <c r="K11" s="452">
        <f>'HR Track 4 HER'!K114</f>
        <v>0</v>
      </c>
      <c r="L11" s="452" t="str">
        <f>'HR Track 4 HER'!L114</f>
        <v>HEB-260 (CP)</v>
      </c>
      <c r="M11" s="452" t="str">
        <f>'HR Track 4 HER'!M114</f>
        <v>C4R</v>
      </c>
      <c r="N11" s="501" t="str">
        <f>'HR Track 4 HER'!N114</f>
        <v>EMT-1</v>
      </c>
      <c r="O11" s="501">
        <f>'HR Track 4 HER'!O114</f>
        <v>0</v>
      </c>
      <c r="P11" s="501">
        <f>'HR Track 4 HER'!P114</f>
        <v>0</v>
      </c>
      <c r="Q11" s="452">
        <f>'HR Track 4 HER'!Q114</f>
        <v>0</v>
      </c>
      <c r="R11" s="452">
        <f>'HR Track 4 HER'!R114</f>
        <v>0</v>
      </c>
      <c r="S11" s="500">
        <f>'HR Track 4 HER'!S114</f>
        <v>0</v>
      </c>
      <c r="T11" s="452">
        <f>'HR Track 4 HER'!T114</f>
        <v>-30</v>
      </c>
      <c r="U11" s="452">
        <f>'HR Track 4 HER'!U114</f>
        <v>0</v>
      </c>
      <c r="V11" s="452">
        <f>'HR Track 4 HER'!V114</f>
        <v>0</v>
      </c>
      <c r="W11" s="452">
        <f>'HR Track 4 HER'!W114</f>
        <v>1.4</v>
      </c>
      <c r="X11" s="452">
        <f>'HR Track 4 HER'!X114</f>
        <v>0</v>
      </c>
      <c r="Y11" s="452">
        <f>'HR Track 4 HER'!Y114</f>
        <v>0</v>
      </c>
      <c r="Z11" s="452">
        <f>'HR Track 4 HER'!Z114</f>
        <v>0</v>
      </c>
      <c r="AA11" s="452">
        <f>'HR Track 4 HER'!AA114</f>
        <v>0</v>
      </c>
      <c r="AB11" s="452">
        <f>'HR Track 4 HER'!AB114</f>
        <v>0</v>
      </c>
      <c r="AC11" s="452" t="str">
        <f>'HR Track 4 HER'!AC114</f>
        <v>PH-Q</v>
      </c>
      <c r="AD11" s="452">
        <f>'HR Track 4 HER'!AD114</f>
        <v>0</v>
      </c>
      <c r="AE11" s="452">
        <f>'HR Track 4 HER'!AE114</f>
        <v>0</v>
      </c>
      <c r="AF11" s="452">
        <f>'HR Track 4 HER'!AF114</f>
        <v>0</v>
      </c>
      <c r="AG11" s="451">
        <f>'HR Track 4 HER'!AG114</f>
        <v>0</v>
      </c>
      <c r="AH11" s="452">
        <f>'HR Track 4 HER'!AH114</f>
        <v>0</v>
      </c>
      <c r="AI11" s="452">
        <f>'HR Track 4 HER'!AI114</f>
        <v>0</v>
      </c>
      <c r="AJ11" s="452">
        <f>'HR Track 4 HER'!AJ114</f>
        <v>0</v>
      </c>
      <c r="AK11" s="452">
        <f>'HR Track 4 HER'!AK114</f>
        <v>0</v>
      </c>
      <c r="AL11" s="452">
        <f>'HR Track 4 HER'!AL114</f>
        <v>0</v>
      </c>
      <c r="AM11" s="452" t="str">
        <f>'HR Track 4 HER'!AM114</f>
        <v>RW1</v>
      </c>
      <c r="AN11" s="500">
        <f>'HR Track 4 HER'!AN114</f>
        <v>5.5</v>
      </c>
      <c r="AO11" s="452">
        <f>'HR Track 4 HER'!AO114</f>
        <v>0</v>
      </c>
      <c r="AP11" s="452">
        <f>'HR Track 4 HER'!AP114</f>
        <v>0</v>
      </c>
      <c r="AQ11" s="452">
        <f>'HR Track 4 HER'!AQ114</f>
        <v>0</v>
      </c>
      <c r="AR11" s="452">
        <f>'HR Track 4 HER'!AR114</f>
        <v>0</v>
      </c>
      <c r="AS11" s="452">
        <f>'HR Track 4 HER'!AS114</f>
        <v>0</v>
      </c>
      <c r="AT11" s="452">
        <f>'HR Track 4 HER'!AT114</f>
        <v>-7.7222775117873672</v>
      </c>
      <c r="AU11" s="452">
        <f>'HR Track 4 HER'!AU114</f>
        <v>0</v>
      </c>
      <c r="AV11" s="452">
        <f>'HR Track 4 HER'!AV114</f>
        <v>0</v>
      </c>
      <c r="AW11" s="452" t="str">
        <f>'HR Track 4 HER'!AW114</f>
        <v>Soil B</v>
      </c>
      <c r="AX11" s="452" t="str">
        <f>'HR Track 4 HER'!AX114</f>
        <v>PT</v>
      </c>
      <c r="AY11" s="500">
        <f>'HR Track 4 HER'!AY114</f>
        <v>3.5</v>
      </c>
      <c r="AZ11" s="500">
        <f>'HR Track 4 HER'!AZ114</f>
        <v>0</v>
      </c>
      <c r="BA11" s="1333" t="str">
        <f>'HR Track 4 HER'!BA114</f>
        <v>ü</v>
      </c>
      <c r="BB11" s="452" t="str">
        <f>'HR Track 4 HER'!BB114</f>
        <v>App.7-V11A-P9.5.1.6</v>
      </c>
      <c r="BC11" s="1334">
        <f>'HR Track 4 HER'!BC114</f>
        <v>0</v>
      </c>
      <c r="BD11" s="1335">
        <f>'HR Track 4 HER'!BD114</f>
        <v>0</v>
      </c>
      <c r="BE11" s="1335">
        <f>'HR Track 4 HER'!BE114</f>
        <v>0</v>
      </c>
      <c r="BF11" s="1335">
        <f>'HR Track 4 HER'!BF114</f>
        <v>0</v>
      </c>
      <c r="BG11" s="1335">
        <f>'HR Track 4 HER'!BG114</f>
        <v>0</v>
      </c>
    </row>
    <row r="12" spans="1:59" ht="15.75" customHeight="1">
      <c r="A12" s="501"/>
      <c r="B12" s="716"/>
      <c r="C12" s="451"/>
      <c r="D12" s="453"/>
      <c r="E12" s="452"/>
      <c r="F12" s="453"/>
      <c r="G12" s="500">
        <f>'HR Track 4 HER'!G115</f>
        <v>50</v>
      </c>
      <c r="H12" s="453"/>
      <c r="I12" s="501"/>
      <c r="J12" s="583">
        <f>'HR Track 4 HER'!J115</f>
        <v>85023.069999999992</v>
      </c>
      <c r="K12" s="452" t="str">
        <f>'HR Track 4 HER'!K115</f>
        <v>AnMC-R</v>
      </c>
      <c r="L12" s="452"/>
      <c r="M12" s="452"/>
      <c r="N12" s="501"/>
      <c r="O12" s="501"/>
      <c r="P12" s="501"/>
      <c r="Q12" s="452"/>
      <c r="R12" s="452"/>
      <c r="S12" s="500">
        <f>AG13-AG11</f>
        <v>85065</v>
      </c>
      <c r="T12" s="452"/>
      <c r="U12" s="452"/>
      <c r="V12" s="452"/>
      <c r="W12" s="452"/>
      <c r="X12" s="452"/>
      <c r="Y12" s="452"/>
      <c r="Z12" s="452"/>
      <c r="AA12" s="452"/>
      <c r="AB12" s="452"/>
      <c r="AC12" s="452"/>
      <c r="AD12" s="452"/>
      <c r="AE12" s="452"/>
      <c r="AF12" s="452"/>
      <c r="AG12" s="451"/>
      <c r="AH12" s="452"/>
      <c r="AI12" s="452"/>
      <c r="AJ12" s="452"/>
      <c r="AK12" s="452"/>
      <c r="AL12" s="452"/>
      <c r="AM12" s="452"/>
      <c r="AN12" s="500"/>
      <c r="AO12" s="452"/>
      <c r="AP12" s="452"/>
      <c r="AQ12" s="452">
        <f>+FL_1(-$T$13,$T$11,$G$12,1200,9.28,-1*$F$13)</f>
        <v>-5.5508572921857208E-2</v>
      </c>
      <c r="AR12" s="452"/>
      <c r="AS12" s="452"/>
      <c r="AT12" s="452"/>
      <c r="AU12" s="452"/>
      <c r="AV12" s="452"/>
      <c r="AW12" s="452" t="str">
        <f>VLOOKUP(J12,'Foundation Calculation'!$A$2:$C$33,3,1)</f>
        <v>Soil B</v>
      </c>
      <c r="AX12" s="452" t="str">
        <f>VLOOKUP(J12,'Foundation Calculation'!$E$2:$G$33,3,1)</f>
        <v>PT</v>
      </c>
      <c r="AY12" s="500"/>
      <c r="AZ12" s="500">
        <v>3.9</v>
      </c>
      <c r="BA12" s="1333" t="s">
        <v>2809</v>
      </c>
      <c r="BB12" s="452"/>
      <c r="BC12" s="1334"/>
      <c r="BD12" s="1335"/>
      <c r="BE12" s="1335"/>
      <c r="BF12" s="1335"/>
      <c r="BG12" s="1335"/>
    </row>
    <row r="13" spans="1:59" ht="15.75" customHeight="1">
      <c r="A13" s="1239"/>
      <c r="B13" s="1239" t="s">
        <v>3361</v>
      </c>
      <c r="C13" s="171">
        <v>85065.57</v>
      </c>
      <c r="D13" s="1239"/>
      <c r="E13" s="1239"/>
      <c r="F13" s="448">
        <f>(387^2)/(85054.6-C13)</f>
        <v>-13652.597994529089</v>
      </c>
      <c r="G13" s="455"/>
      <c r="H13" s="1239"/>
      <c r="I13" s="448" t="s">
        <v>1039</v>
      </c>
      <c r="J13" s="171"/>
      <c r="K13" s="1239"/>
      <c r="L13" s="1239" t="s">
        <v>229</v>
      </c>
      <c r="M13" s="1239" t="str">
        <f>IF(AX13="PT",VLOOKUP(L13,'Foundation Calculation'!$V$2:$X$40,VLOOKUP(AX13,'Foundation Calculation'!$I$10:$J$13,2,FALSE),0),IF(AX13="K",VLOOKUP(L13,'Foundation Calculation'!$V$42:$X$80,VLOOKUP(AX13,'Foundation Calculation'!$I$10:$J$13,2,FALSE),0),""))</f>
        <v>C3R</v>
      </c>
      <c r="N13" s="1239" t="s">
        <v>144</v>
      </c>
      <c r="O13" s="1239"/>
      <c r="P13" s="1239"/>
      <c r="Q13" s="1239">
        <v>40</v>
      </c>
      <c r="R13" s="1239">
        <v>15770</v>
      </c>
      <c r="S13" s="455"/>
      <c r="T13" s="1285">
        <v>25</v>
      </c>
      <c r="U13" s="1285"/>
      <c r="V13" s="1285"/>
      <c r="W13" s="1285">
        <v>1.4</v>
      </c>
      <c r="X13" s="1285"/>
      <c r="Y13" s="1285"/>
      <c r="Z13" s="1285"/>
      <c r="AA13" s="1285"/>
      <c r="AB13" s="1285"/>
      <c r="AC13" s="1285" t="s">
        <v>1421</v>
      </c>
      <c r="AD13" s="1285"/>
      <c r="AE13" s="1285"/>
      <c r="AF13" s="1285">
        <v>6000</v>
      </c>
      <c r="AG13" s="1350">
        <v>85065</v>
      </c>
      <c r="AH13" s="1285">
        <v>2193</v>
      </c>
      <c r="AI13" s="1285">
        <v>370</v>
      </c>
      <c r="AJ13" s="1285"/>
      <c r="AK13" s="1285"/>
      <c r="AL13" s="1285"/>
      <c r="AM13" s="1285" t="s">
        <v>1042</v>
      </c>
      <c r="AN13" s="455">
        <v>5.5</v>
      </c>
      <c r="AO13" s="1239"/>
      <c r="AP13" s="1239"/>
      <c r="AQ13" s="455"/>
      <c r="AR13" s="1239"/>
      <c r="AS13" s="1239"/>
      <c r="AT13" s="455">
        <f>+ab($T$13,$T$11,$T$15,$G$12,$G$14,-1*$F$13,1200)</f>
        <v>12.070096911974433</v>
      </c>
      <c r="AU13" s="1239"/>
      <c r="AV13" s="1239"/>
      <c r="AW13" s="1239" t="str">
        <f>VLOOKUP(C13,'Foundation Calculation'!$A$2:$C$33,3,1)</f>
        <v>Soil B</v>
      </c>
      <c r="AX13" s="1239" t="str">
        <f>VLOOKUP(C13,'Foundation Calculation'!$E$2:$G$33,3,1)</f>
        <v>PT</v>
      </c>
      <c r="AY13" s="455">
        <f>IF(AX13="PT",VLOOKUP(L13,'Foundation Calculation'!$K$2:$R$40,VLOOKUP(AW13,'Foundation Calculation'!$I$2:$J$8,2,FALSE),0),IF(AX13="K",VLOOKUP(L13,'Foundation Calculation'!$K$42:$R$80,VLOOKUP(AW13,'Foundation Calculation'!$I$2:$J$8,2,FALSE),0),""))</f>
        <v>3.5</v>
      </c>
      <c r="AZ13" s="455"/>
      <c r="BA13" s="671" t="s">
        <v>2809</v>
      </c>
      <c r="BB13" s="1239" t="str">
        <f>Pole_Calculations!A15</f>
        <v>App.7-V11A-P9.5.1.1</v>
      </c>
      <c r="BC13" s="169"/>
      <c r="BD13" s="1329"/>
      <c r="BE13" s="1329"/>
      <c r="BF13" s="1329"/>
      <c r="BG13" s="1329"/>
    </row>
    <row r="14" spans="1:59" ht="15.75" customHeight="1">
      <c r="A14" s="1239"/>
      <c r="B14" s="1239"/>
      <c r="C14" s="171"/>
      <c r="D14" s="1239"/>
      <c r="E14" s="1239"/>
      <c r="F14" s="448"/>
      <c r="G14" s="455">
        <v>50</v>
      </c>
      <c r="H14" s="1239"/>
      <c r="I14" s="448"/>
      <c r="J14" s="171">
        <f>C13+7.5</f>
        <v>85073.07</v>
      </c>
      <c r="K14" s="1239" t="s">
        <v>2788</v>
      </c>
      <c r="L14" s="1239"/>
      <c r="M14" s="1239"/>
      <c r="N14" s="1239"/>
      <c r="O14" s="1239"/>
      <c r="P14" s="1239"/>
      <c r="Q14" s="1239"/>
      <c r="R14" s="1239"/>
      <c r="S14" s="455">
        <f t="shared" ref="S14" si="0">AG15-AG13</f>
        <v>50</v>
      </c>
      <c r="T14" s="1239"/>
      <c r="U14" s="1239"/>
      <c r="V14" s="1239"/>
      <c r="W14" s="1239"/>
      <c r="X14" s="1239"/>
      <c r="Y14" s="1239"/>
      <c r="Z14" s="1239"/>
      <c r="AA14" s="1239"/>
      <c r="AB14" s="1239"/>
      <c r="AC14" s="1239"/>
      <c r="AD14" s="1239"/>
      <c r="AE14" s="1239"/>
      <c r="AF14" s="1239"/>
      <c r="AG14" s="171"/>
      <c r="AH14" s="1239"/>
      <c r="AI14" s="1239"/>
      <c r="AJ14" s="1239"/>
      <c r="AK14" s="1239"/>
      <c r="AL14" s="1239"/>
      <c r="AM14" s="1239"/>
      <c r="AN14" s="455"/>
      <c r="AO14" s="1239"/>
      <c r="AP14" s="1239"/>
      <c r="AQ14" s="455">
        <f>+FL_1($T$15,-$T$13,$G$14,1200,9.28,-1*$F$15)</f>
        <v>0.22480605672907206</v>
      </c>
      <c r="AR14" s="1239"/>
      <c r="AS14" s="1239"/>
      <c r="AT14" s="455"/>
      <c r="AU14" s="1239"/>
      <c r="AV14" s="1239"/>
      <c r="AW14" s="638" t="str">
        <f>VLOOKUP(J14,'Foundation Calculation'!$A$2:$C$33,3,1)</f>
        <v>Soil B</v>
      </c>
      <c r="AX14" s="638" t="str">
        <f>VLOOKUP(J14,'Foundation Calculation'!$E$2:$G$33,3,1)</f>
        <v>PT</v>
      </c>
      <c r="AY14" s="484"/>
      <c r="AZ14" s="484">
        <f>IF(AX14="PT",VLOOKUP(K14,'Foundation Calculation'!$K$2:$R$40,VLOOKUP(AW14,'Foundation Calculation'!$I$2:$J$8,2,FALSE),0),IF(AX14="K",VLOOKUP(K14,'Foundation Calculation'!$K$42:$R$80,VLOOKUP(AW14,'Foundation Calculation'!$I$2:$J$8,2,FALSE),0),""))</f>
        <v>2.8</v>
      </c>
      <c r="BA14" s="671" t="s">
        <v>2809</v>
      </c>
      <c r="BB14" s="1239"/>
      <c r="BC14" s="169"/>
      <c r="BD14" s="1329"/>
      <c r="BE14" s="1330"/>
      <c r="BF14" s="1330"/>
      <c r="BG14" s="1330"/>
    </row>
    <row r="15" spans="1:59" ht="15.75" customHeight="1">
      <c r="A15" s="1239"/>
      <c r="B15" s="572" t="s">
        <v>3362</v>
      </c>
      <c r="C15" s="171">
        <f>+$C$13+$G$14</f>
        <v>85115.57</v>
      </c>
      <c r="D15" s="1239"/>
      <c r="E15" s="1239"/>
      <c r="F15" s="448">
        <v>-5000</v>
      </c>
      <c r="G15" s="455"/>
      <c r="H15" s="1239"/>
      <c r="I15" s="448" t="s">
        <v>1039</v>
      </c>
      <c r="J15" s="171"/>
      <c r="K15" s="1239"/>
      <c r="L15" s="1239" t="s">
        <v>229</v>
      </c>
      <c r="M15" s="1239" t="str">
        <f>IF(AX15="PT",VLOOKUP(L15,'Foundation Calculation'!$V$2:$X$40,VLOOKUP(AX15,'Foundation Calculation'!$I$10:$J$13,2,FALSE),0),IF(AX15="K",VLOOKUP(L15,'Foundation Calculation'!$V$42:$X$80,VLOOKUP(AX15,'Foundation Calculation'!$I$10:$J$13,2,FALSE),0),""))</f>
        <v>C3R</v>
      </c>
      <c r="N15" s="1239" t="s">
        <v>144</v>
      </c>
      <c r="O15" s="1239"/>
      <c r="P15" s="1239"/>
      <c r="Q15" s="1239">
        <v>10</v>
      </c>
      <c r="R15" s="1239">
        <v>5000</v>
      </c>
      <c r="S15" s="455"/>
      <c r="T15" s="1285">
        <v>20</v>
      </c>
      <c r="U15" s="1239"/>
      <c r="V15" s="1239"/>
      <c r="W15" s="1239">
        <v>1.4</v>
      </c>
      <c r="X15" s="1239"/>
      <c r="Y15" s="1239"/>
      <c r="Z15" s="1239"/>
      <c r="AA15" s="1239"/>
      <c r="AB15" s="1239"/>
      <c r="AC15" s="1285" t="s">
        <v>1421</v>
      </c>
      <c r="AD15" s="1239"/>
      <c r="AE15" s="1239"/>
      <c r="AF15" s="1285">
        <v>6000</v>
      </c>
      <c r="AG15" s="1350">
        <v>85115</v>
      </c>
      <c r="AH15" s="1285">
        <v>2193</v>
      </c>
      <c r="AI15" s="1285">
        <v>360</v>
      </c>
      <c r="AJ15" s="1285"/>
      <c r="AK15" s="1285"/>
      <c r="AL15" s="1285"/>
      <c r="AM15" s="1285" t="s">
        <v>1042</v>
      </c>
      <c r="AN15" s="455">
        <v>5.5</v>
      </c>
      <c r="AO15" s="1239"/>
      <c r="AP15" s="1239"/>
      <c r="AQ15" s="455"/>
      <c r="AR15" s="1239"/>
      <c r="AS15" s="1239"/>
      <c r="AT15" s="455">
        <f>+ab($T$15,-$T$13,$T$17,$G$14,$G$16,-1*$F$15,1200)</f>
        <v>9.9969175210201833</v>
      </c>
      <c r="AU15" s="1239"/>
      <c r="AV15" s="1239"/>
      <c r="AW15" s="1239" t="str">
        <f>VLOOKUP(C15,'Foundation Calculation'!$A$2:$C$33,3,1)</f>
        <v>Soil B</v>
      </c>
      <c r="AX15" s="1239" t="str">
        <f>VLOOKUP(C15,'Foundation Calculation'!$E$2:$G$33,3,1)</f>
        <v>PT</v>
      </c>
      <c r="AY15" s="455">
        <f>IF(AX15="PT",VLOOKUP(L15,'Foundation Calculation'!$K$2:$R$40,VLOOKUP(AW15,'Foundation Calculation'!$I$2:$J$8,2,FALSE),0),IF(AX15="K",VLOOKUP(L15,'Foundation Calculation'!$K$42:$R$80,VLOOKUP(AW15,'Foundation Calculation'!$I$2:$J$8,2,FALSE),0),""))</f>
        <v>3.5</v>
      </c>
      <c r="AZ15" s="455"/>
      <c r="BA15" s="671" t="s">
        <v>2809</v>
      </c>
      <c r="BB15" s="1239" t="str">
        <f>Pole_Calculations!A15</f>
        <v>App.7-V11A-P9.5.1.1</v>
      </c>
      <c r="BC15" s="169"/>
      <c r="BD15" s="1371"/>
      <c r="BE15" s="1371"/>
      <c r="BF15" s="1371"/>
      <c r="BG15" s="1371"/>
    </row>
    <row r="16" spans="1:59" ht="15.75" customHeight="1">
      <c r="A16" s="1239"/>
      <c r="B16" s="572"/>
      <c r="C16" s="171"/>
      <c r="D16" s="1239"/>
      <c r="E16" s="1239"/>
      <c r="F16" s="448"/>
      <c r="G16" s="455">
        <v>50</v>
      </c>
      <c r="H16" s="1239"/>
      <c r="I16" s="448"/>
      <c r="J16" s="171"/>
      <c r="K16" s="1239"/>
      <c r="L16" s="1239"/>
      <c r="M16" s="1239"/>
      <c r="N16" s="1239"/>
      <c r="O16" s="1239"/>
      <c r="P16" s="1239"/>
      <c r="Q16" s="1239"/>
      <c r="R16" s="1239"/>
      <c r="S16" s="455">
        <f t="shared" ref="S16" si="1">AG17-AG15</f>
        <v>50</v>
      </c>
      <c r="T16" s="1239"/>
      <c r="U16" s="1239"/>
      <c r="V16" s="1239"/>
      <c r="W16" s="1239"/>
      <c r="X16" s="1239"/>
      <c r="Y16" s="1239"/>
      <c r="Z16" s="1239"/>
      <c r="AA16" s="1239"/>
      <c r="AB16" s="1239"/>
      <c r="AC16" s="1239"/>
      <c r="AD16" s="1239"/>
      <c r="AE16" s="1239"/>
      <c r="AF16" s="1239"/>
      <c r="AG16" s="171"/>
      <c r="AH16" s="1239"/>
      <c r="AI16" s="1239"/>
      <c r="AJ16" s="1239"/>
      <c r="AK16" s="1239"/>
      <c r="AL16" s="1239"/>
      <c r="AM16" s="1239"/>
      <c r="AN16" s="455"/>
      <c r="AO16" s="1239"/>
      <c r="AP16" s="1239"/>
      <c r="AQ16" s="455">
        <f>+FL_1($T$17,$T$15,$G$16,1200,9.28,-1*$F$17)</f>
        <v>0.37916627603687325</v>
      </c>
      <c r="AR16" s="1239"/>
      <c r="AS16" s="1239"/>
      <c r="AT16" s="455"/>
      <c r="AU16" s="1239"/>
      <c r="AV16" s="1239"/>
      <c r="AW16" s="1239"/>
      <c r="AX16" s="1239"/>
      <c r="AY16" s="455"/>
      <c r="AZ16" s="455"/>
      <c r="BA16" s="671"/>
      <c r="BB16" s="1239"/>
      <c r="BC16" s="169"/>
      <c r="BD16" s="1371"/>
      <c r="BE16" s="1371"/>
      <c r="BF16" s="1371"/>
      <c r="BG16" s="1371"/>
    </row>
    <row r="17" spans="1:59" ht="15.75" customHeight="1">
      <c r="A17" s="1239"/>
      <c r="B17" s="572" t="s">
        <v>3363</v>
      </c>
      <c r="C17" s="171">
        <f>+$C$15+$G$16</f>
        <v>85165.57</v>
      </c>
      <c r="D17" s="1239"/>
      <c r="E17" s="1239"/>
      <c r="F17" s="448">
        <v>-5000</v>
      </c>
      <c r="G17" s="455"/>
      <c r="H17" s="1239"/>
      <c r="I17" s="448"/>
      <c r="J17" s="171"/>
      <c r="K17" s="1239"/>
      <c r="L17" s="1239" t="s">
        <v>229</v>
      </c>
      <c r="M17" s="1239" t="str">
        <f>IF(AX17="PT",VLOOKUP(L17,'Foundation Calculation'!$V$2:$X$40,VLOOKUP(AX17,'Foundation Calculation'!$I$10:$J$13,2,FALSE),0),IF(AX17="K",VLOOKUP(L17,'Foundation Calculation'!$V$42:$X$80,VLOOKUP(AX17,'Foundation Calculation'!$I$10:$J$13,2,FALSE),0),""))</f>
        <v>C3R</v>
      </c>
      <c r="N17" s="1239" t="s">
        <v>144</v>
      </c>
      <c r="O17" s="1239"/>
      <c r="P17" s="1239"/>
      <c r="Q17" s="1239">
        <v>10</v>
      </c>
      <c r="R17" s="1239">
        <v>5000</v>
      </c>
      <c r="S17" s="455"/>
      <c r="T17" s="1285">
        <v>20</v>
      </c>
      <c r="U17" s="1239"/>
      <c r="V17" s="1239"/>
      <c r="W17" s="1239">
        <v>1.4</v>
      </c>
      <c r="X17" s="1239"/>
      <c r="Y17" s="1239"/>
      <c r="Z17" s="1239"/>
      <c r="AA17" s="1239"/>
      <c r="AB17" s="1239"/>
      <c r="AC17" s="1285" t="s">
        <v>1421</v>
      </c>
      <c r="AD17" s="1239"/>
      <c r="AE17" s="1239"/>
      <c r="AF17" s="1285">
        <v>6000</v>
      </c>
      <c r="AG17" s="1350">
        <v>85165</v>
      </c>
      <c r="AH17" s="1285">
        <v>2533</v>
      </c>
      <c r="AI17" s="1285">
        <v>360</v>
      </c>
      <c r="AJ17" s="1285"/>
      <c r="AK17" s="1285"/>
      <c r="AL17" s="1285"/>
      <c r="AM17" s="1285" t="s">
        <v>1042</v>
      </c>
      <c r="AN17" s="455">
        <v>5.5</v>
      </c>
      <c r="AO17" s="1239"/>
      <c r="AP17" s="1239"/>
      <c r="AQ17" s="455"/>
      <c r="AR17" s="1239"/>
      <c r="AS17" s="1239"/>
      <c r="AT17" s="455">
        <f>+ab($T$17,$T$15,$T$19,$G$16,$G$18,-1*$F$17,1200)</f>
        <v>9.9969175210201833</v>
      </c>
      <c r="AU17" s="1239"/>
      <c r="AV17" s="1239"/>
      <c r="AW17" s="1239" t="str">
        <f>VLOOKUP(C17,'Foundation Calculation'!$A$2:$C$33,3,1)</f>
        <v>Soil B</v>
      </c>
      <c r="AX17" s="1239" t="str">
        <f>VLOOKUP(C17,'Foundation Calculation'!$E$2:$G$33,3,1)</f>
        <v>PT</v>
      </c>
      <c r="AY17" s="455">
        <f>IF(AX17="PT",VLOOKUP(L17,'Foundation Calculation'!$K$2:$R$40,VLOOKUP(AW17,'Foundation Calculation'!$I$2:$J$8,2,FALSE),0),IF(AX17="K",VLOOKUP(L17,'Foundation Calculation'!$K$42:$R$80,VLOOKUP(AW17,'Foundation Calculation'!$I$2:$J$8,2,FALSE),0),""))</f>
        <v>3.5</v>
      </c>
      <c r="AZ17" s="455"/>
      <c r="BA17" s="671" t="s">
        <v>2809</v>
      </c>
      <c r="BB17" s="1239" t="str">
        <f>Pole_Calculations!A15</f>
        <v>App.7-V11A-P9.5.1.1</v>
      </c>
      <c r="BC17" s="169"/>
      <c r="BD17" s="1371"/>
      <c r="BE17" s="1371"/>
      <c r="BF17" s="1371"/>
      <c r="BG17" s="1371"/>
    </row>
    <row r="18" spans="1:59" ht="15.75" customHeight="1">
      <c r="A18" s="1239"/>
      <c r="B18" s="572"/>
      <c r="C18" s="171"/>
      <c r="D18" s="1239"/>
      <c r="E18" s="1239"/>
      <c r="F18" s="448"/>
      <c r="G18" s="455">
        <v>50</v>
      </c>
      <c r="H18" s="1239"/>
      <c r="I18" s="448"/>
      <c r="J18" s="171"/>
      <c r="K18" s="1239"/>
      <c r="L18" s="1239"/>
      <c r="M18" s="1239"/>
      <c r="N18" s="1239"/>
      <c r="O18" s="1239"/>
      <c r="P18" s="1239"/>
      <c r="Q18" s="1239"/>
      <c r="R18" s="1239"/>
      <c r="S18" s="455">
        <f t="shared" ref="S18" si="2">AG19-AG17</f>
        <v>50</v>
      </c>
      <c r="T18" s="1239"/>
      <c r="U18" s="1239"/>
      <c r="V18" s="1239"/>
      <c r="W18" s="1239"/>
      <c r="X18" s="1239"/>
      <c r="Y18" s="1239"/>
      <c r="Z18" s="1239"/>
      <c r="AA18" s="1239"/>
      <c r="AB18" s="1239"/>
      <c r="AC18" s="1239"/>
      <c r="AD18" s="1239"/>
      <c r="AE18" s="1239"/>
      <c r="AF18" s="1239"/>
      <c r="AG18" s="171"/>
      <c r="AH18" s="1239"/>
      <c r="AI18" s="1239"/>
      <c r="AJ18" s="1239"/>
      <c r="AK18" s="1239"/>
      <c r="AL18" s="1239"/>
      <c r="AM18" s="1239"/>
      <c r="AN18" s="455"/>
      <c r="AO18" s="1239"/>
      <c r="AP18" s="1239"/>
      <c r="AQ18" s="455">
        <f>+FL_2($T$19,$T$17,$G$18,1200,9.28,-1*$F$19)</f>
        <v>-0.31903735466666666</v>
      </c>
      <c r="AR18" s="1239"/>
      <c r="AS18" s="1239"/>
      <c r="AT18" s="455"/>
      <c r="AU18" s="1239"/>
      <c r="AV18" s="1239"/>
      <c r="AW18" s="1239"/>
      <c r="AX18" s="1239"/>
      <c r="AY18" s="455"/>
      <c r="AZ18" s="455"/>
      <c r="BA18" s="671"/>
      <c r="BB18" s="1239"/>
      <c r="BC18" s="169"/>
      <c r="BD18" s="1371"/>
      <c r="BE18" s="1371"/>
      <c r="BF18" s="1371"/>
      <c r="BG18" s="1371"/>
    </row>
    <row r="19" spans="1:59" ht="15.75" customHeight="1">
      <c r="A19" s="1239"/>
      <c r="B19" s="572" t="s">
        <v>3364</v>
      </c>
      <c r="C19" s="171">
        <f>+$C$17+$G$18</f>
        <v>85215.57</v>
      </c>
      <c r="D19" s="1239"/>
      <c r="E19" s="1239"/>
      <c r="F19" s="448">
        <v>0</v>
      </c>
      <c r="G19" s="455"/>
      <c r="H19" s="1239"/>
      <c r="I19" s="448" t="s">
        <v>1039</v>
      </c>
      <c r="J19" s="171"/>
      <c r="K19" s="1239"/>
      <c r="L19" s="1239" t="s">
        <v>820</v>
      </c>
      <c r="M19" s="1239" t="str">
        <f>IF(AX19="PT",VLOOKUP(L19,'Foundation Calculation'!$V$2:$X$40,VLOOKUP(AX19,'Foundation Calculation'!$I$10:$J$13,2,FALSE),0),IF(AX19="K",VLOOKUP(L19,'Foundation Calculation'!$V$42:$X$80,VLOOKUP(AX19,'Foundation Calculation'!$I$10:$J$13,2,FALSE),0),""))</f>
        <v>C7R</v>
      </c>
      <c r="N19" s="1239" t="s">
        <v>143</v>
      </c>
      <c r="O19" s="1239"/>
      <c r="P19" s="1239"/>
      <c r="Q19" s="1239">
        <v>0</v>
      </c>
      <c r="R19" s="1239">
        <v>0</v>
      </c>
      <c r="S19" s="455"/>
      <c r="T19" s="1285">
        <v>-25</v>
      </c>
      <c r="U19" s="1239"/>
      <c r="V19" s="1239"/>
      <c r="W19" s="1239">
        <v>1.4</v>
      </c>
      <c r="X19" s="1239"/>
      <c r="Y19" s="1239"/>
      <c r="Z19" s="1239"/>
      <c r="AA19" s="1239"/>
      <c r="AB19" s="1239"/>
      <c r="AC19" s="1285" t="s">
        <v>1421</v>
      </c>
      <c r="AD19" s="1239"/>
      <c r="AE19" s="1239"/>
      <c r="AF19" s="1285">
        <v>6000</v>
      </c>
      <c r="AG19" s="1350">
        <v>85215</v>
      </c>
      <c r="AH19" s="1285">
        <v>2683</v>
      </c>
      <c r="AI19" s="1285">
        <v>220</v>
      </c>
      <c r="AJ19" s="1285"/>
      <c r="AK19" s="1285"/>
      <c r="AL19" s="1285" t="s">
        <v>2127</v>
      </c>
      <c r="AM19" s="1285" t="s">
        <v>1042</v>
      </c>
      <c r="AN19" s="455">
        <v>5.5</v>
      </c>
      <c r="AO19" s="1239"/>
      <c r="AP19" s="1239"/>
      <c r="AQ19" s="455"/>
      <c r="AR19" s="1239"/>
      <c r="AS19" s="1239"/>
      <c r="AT19" s="455">
        <f>+ab($T$19,$T$17,$T$21,$G$18,$G$20,-1*$F$19,1200)</f>
        <v>-10.248554849515539</v>
      </c>
      <c r="AU19" s="1239"/>
      <c r="AV19" s="1239"/>
      <c r="AW19" s="1239" t="str">
        <f>VLOOKUP(C19,'Foundation Calculation'!$A$2:$C$33,3,1)</f>
        <v>Soil B</v>
      </c>
      <c r="AX19" s="1239" t="str">
        <f>VLOOKUP(C19,'Foundation Calculation'!$E$2:$G$33,3,1)</f>
        <v>PT</v>
      </c>
      <c r="AY19" s="455">
        <f>IF(AX19="PT",VLOOKUP(L19,'Foundation Calculation'!$K$2:$R$40,VLOOKUP(AW19,'Foundation Calculation'!$I$2:$J$8,2,FALSE),0),IF(AX19="K",VLOOKUP(L19,'Foundation Calculation'!$K$42:$R$80,VLOOKUP(AW19,'Foundation Calculation'!$I$2:$J$8,2,FALSE),0),""))</f>
        <v>3.5</v>
      </c>
      <c r="AZ19" s="455"/>
      <c r="BA19" s="671" t="s">
        <v>2809</v>
      </c>
      <c r="BB19" s="1239" t="str">
        <f>Pole_Calculations!A178</f>
        <v>App.8-V08F-P10.3</v>
      </c>
      <c r="BC19" s="169"/>
      <c r="BD19" s="1371"/>
      <c r="BE19" s="1371"/>
      <c r="BF19" s="1371"/>
      <c r="BG19" s="1371"/>
    </row>
    <row r="20" spans="1:59" ht="15.75" customHeight="1">
      <c r="A20" s="1239"/>
      <c r="B20" s="572"/>
      <c r="C20" s="171"/>
      <c r="D20" s="1239"/>
      <c r="E20" s="1239"/>
      <c r="F20" s="448"/>
      <c r="G20" s="455">
        <v>52.5</v>
      </c>
      <c r="H20" s="1239"/>
      <c r="I20" s="448"/>
      <c r="J20" s="171"/>
      <c r="K20" s="1239"/>
      <c r="L20" s="1239"/>
      <c r="M20" s="1239"/>
      <c r="N20" s="1239"/>
      <c r="O20" s="1239"/>
      <c r="P20" s="1239"/>
      <c r="Q20" s="1239"/>
      <c r="R20" s="1239"/>
      <c r="S20" s="455">
        <f t="shared" ref="S20" si="3">AG21-AG19</f>
        <v>53</v>
      </c>
      <c r="T20" s="1239"/>
      <c r="U20" s="1239"/>
      <c r="V20" s="1239"/>
      <c r="W20" s="1239"/>
      <c r="X20" s="1239"/>
      <c r="Y20" s="1239"/>
      <c r="Z20" s="1239"/>
      <c r="AA20" s="1239"/>
      <c r="AB20" s="1239"/>
      <c r="AC20" s="1239"/>
      <c r="AD20" s="1239"/>
      <c r="AE20" s="1239"/>
      <c r="AF20" s="1239"/>
      <c r="AG20" s="171"/>
      <c r="AH20" s="1239"/>
      <c r="AI20" s="1239"/>
      <c r="AJ20" s="1239"/>
      <c r="AK20" s="1239"/>
      <c r="AL20" s="1239"/>
      <c r="AM20" s="1239"/>
      <c r="AN20" s="455"/>
      <c r="AO20" s="1239"/>
      <c r="AP20" s="1239"/>
      <c r="AQ20" s="455">
        <f>+FL_1($T$21,$T$19,$G$20,1200,9.28,-1*$F$21)</f>
        <v>0.32508163866666667</v>
      </c>
      <c r="AR20" s="1239"/>
      <c r="AS20" s="1239"/>
      <c r="AT20" s="455"/>
      <c r="AU20" s="1239"/>
      <c r="AV20" s="1239"/>
      <c r="AW20" s="1239"/>
      <c r="AX20" s="1239"/>
      <c r="AY20" s="455"/>
      <c r="AZ20" s="455"/>
      <c r="BA20" s="671"/>
      <c r="BB20" s="1239"/>
      <c r="BC20" s="169"/>
      <c r="BD20" s="1371"/>
      <c r="BE20" s="1371"/>
      <c r="BF20" s="1371"/>
      <c r="BG20" s="1371"/>
    </row>
    <row r="21" spans="1:59" ht="15.75" customHeight="1">
      <c r="A21" s="1239"/>
      <c r="B21" s="572" t="s">
        <v>3365</v>
      </c>
      <c r="C21" s="171">
        <f>+$C$19+$G$20</f>
        <v>85268.07</v>
      </c>
      <c r="D21" s="1239"/>
      <c r="E21" s="1239"/>
      <c r="F21" s="448">
        <v>0</v>
      </c>
      <c r="G21" s="455"/>
      <c r="H21" s="1239" t="s">
        <v>138</v>
      </c>
      <c r="I21" s="448" t="s">
        <v>623</v>
      </c>
      <c r="J21" s="171"/>
      <c r="K21" s="1239"/>
      <c r="L21" s="1239" t="s">
        <v>820</v>
      </c>
      <c r="M21" s="1239" t="str">
        <f>IF(AX21="PT",VLOOKUP(L21,'Foundation Calculation'!$V$2:$X$40,VLOOKUP(AX21,'Foundation Calculation'!$I$10:$J$13,2,FALSE),0),IF(AX21="K",VLOOKUP(L21,'Foundation Calculation'!$V$42:$X$80,VLOOKUP(AX21,'Foundation Calculation'!$I$10:$J$13,2,FALSE),0),""))</f>
        <v>C7R</v>
      </c>
      <c r="N21" s="1239" t="s">
        <v>144</v>
      </c>
      <c r="O21" s="1239"/>
      <c r="P21" s="1239"/>
      <c r="Q21" s="1239">
        <v>0</v>
      </c>
      <c r="R21" s="1239">
        <v>0</v>
      </c>
      <c r="S21" s="455"/>
      <c r="T21" s="1285">
        <v>25</v>
      </c>
      <c r="U21" s="1239"/>
      <c r="V21" s="1239"/>
      <c r="W21" s="1239">
        <v>1.4</v>
      </c>
      <c r="X21" s="1239"/>
      <c r="Y21" s="1239"/>
      <c r="Z21" s="1239"/>
      <c r="AA21" s="1239"/>
      <c r="AB21" s="1239"/>
      <c r="AC21" s="1285" t="s">
        <v>1421</v>
      </c>
      <c r="AD21" s="1239"/>
      <c r="AE21" s="1239"/>
      <c r="AF21" s="1285">
        <v>6000</v>
      </c>
      <c r="AG21" s="1350">
        <v>85268</v>
      </c>
      <c r="AH21" s="1285">
        <v>2603</v>
      </c>
      <c r="AI21" s="1285">
        <v>470</v>
      </c>
      <c r="AJ21" s="1285"/>
      <c r="AK21" s="1285"/>
      <c r="AL21" s="1285" t="s">
        <v>2127</v>
      </c>
      <c r="AM21" s="1285" t="s">
        <v>1042</v>
      </c>
      <c r="AN21" s="455">
        <v>5.5</v>
      </c>
      <c r="AO21" s="1239"/>
      <c r="AP21" s="1239"/>
      <c r="AQ21" s="455"/>
      <c r="AR21" s="1239"/>
      <c r="AS21" s="1239"/>
      <c r="AT21" s="455">
        <f>+ab($T$21,$T$19,$T$23,$G$20,$G$22,-1*$F$21,1200)</f>
        <v>8.8444203445015397</v>
      </c>
      <c r="AU21" s="1239"/>
      <c r="AV21" s="1239"/>
      <c r="AW21" s="1239" t="str">
        <f>VLOOKUP(C21,'Foundation Calculation'!$A$2:$C$33,3,1)</f>
        <v>Soil B</v>
      </c>
      <c r="AX21" s="1239" t="str">
        <f>VLOOKUP(C21,'Foundation Calculation'!$E$2:$G$33,3,1)</f>
        <v>PT</v>
      </c>
      <c r="AY21" s="455">
        <f>IF(AX21="PT",VLOOKUP(L21,'Foundation Calculation'!$K$2:$R$40,VLOOKUP(AW21,'Foundation Calculation'!$I$2:$J$8,2,FALSE),0),IF(AX21="K",VLOOKUP(L21,'Foundation Calculation'!$K$42:$R$80,VLOOKUP(AW21,'Foundation Calculation'!$I$2:$J$8,2,FALSE),0),""))</f>
        <v>3.5</v>
      </c>
      <c r="AZ21" s="455"/>
      <c r="BA21" s="671" t="s">
        <v>2809</v>
      </c>
      <c r="BB21" s="1239" t="str">
        <f>Pole_Calculations!A178</f>
        <v>App.8-V08F-P10.3</v>
      </c>
      <c r="BC21" s="169"/>
      <c r="BD21" s="1371"/>
      <c r="BE21" s="1371"/>
      <c r="BF21" s="1371"/>
      <c r="BG21" s="1371"/>
    </row>
    <row r="22" spans="1:59" ht="15.75" customHeight="1">
      <c r="A22" s="1239"/>
      <c r="B22" s="572"/>
      <c r="C22" s="171"/>
      <c r="D22" s="1239"/>
      <c r="E22" s="1239"/>
      <c r="F22" s="448"/>
      <c r="G22" s="455">
        <v>50</v>
      </c>
      <c r="H22" s="1239"/>
      <c r="I22" s="448"/>
      <c r="J22" s="171">
        <f>C21+7.5</f>
        <v>85275.57</v>
      </c>
      <c r="K22" s="1239" t="s">
        <v>2787</v>
      </c>
      <c r="L22" s="1239"/>
      <c r="M22" s="1239"/>
      <c r="N22" s="1239"/>
      <c r="O22" s="1239"/>
      <c r="P22" s="1239"/>
      <c r="Q22" s="1239"/>
      <c r="R22" s="1239"/>
      <c r="S22" s="455">
        <f t="shared" ref="S22" si="4">AG23-AG21</f>
        <v>50</v>
      </c>
      <c r="T22" s="1239"/>
      <c r="U22" s="1239"/>
      <c r="V22" s="1239"/>
      <c r="W22" s="1239"/>
      <c r="X22" s="1239"/>
      <c r="Y22" s="1239"/>
      <c r="Z22" s="1239"/>
      <c r="AA22" s="1239"/>
      <c r="AB22" s="1239"/>
      <c r="AC22" s="1239"/>
      <c r="AD22" s="1239"/>
      <c r="AE22" s="1239"/>
      <c r="AF22" s="1239"/>
      <c r="AG22" s="171"/>
      <c r="AH22" s="1239"/>
      <c r="AI22" s="1239"/>
      <c r="AJ22" s="1239"/>
      <c r="AK22" s="1239"/>
      <c r="AL22" s="1239"/>
      <c r="AM22" s="1239"/>
      <c r="AN22" s="455"/>
      <c r="AO22" s="1239"/>
      <c r="AP22" s="1239"/>
      <c r="AQ22" s="455">
        <f>+FL_2($T$23,$T$21,$G$22,1200,9.28,-1*$F$23)</f>
        <v>-0.384770112</v>
      </c>
      <c r="AR22" s="1239"/>
      <c r="AS22" s="1239"/>
      <c r="AT22" s="455"/>
      <c r="AU22" s="1239"/>
      <c r="AV22" s="1239"/>
      <c r="AW22" s="1239" t="str">
        <f>VLOOKUP(J22,'Foundation Calculation'!$A$2:$C$33,3,1)</f>
        <v>Soil B</v>
      </c>
      <c r="AX22" s="1239" t="str">
        <f>VLOOKUP(J22,'Foundation Calculation'!$E$2:$G$33,3,1)</f>
        <v>PT</v>
      </c>
      <c r="AY22" s="455"/>
      <c r="AZ22" s="455">
        <f>IF(AX22="PT",VLOOKUP(K22,'Foundation Calculation'!$K$2:$R$40,VLOOKUP(AW22,'Foundation Calculation'!$I$2:$J$8,2,FALSE),0),IF(AX22="K",VLOOKUP(K22,'Foundation Calculation'!$K$42:$R$80,VLOOKUP(AW22,'Foundation Calculation'!$I$2:$J$8,2,FALSE),0),""))</f>
        <v>3.9</v>
      </c>
      <c r="BA22" s="671" t="s">
        <v>2809</v>
      </c>
      <c r="BB22" s="1239"/>
      <c r="BC22" s="169"/>
      <c r="BD22" s="1371"/>
      <c r="BE22" s="1371"/>
      <c r="BF22" s="1371"/>
      <c r="BG22" s="1371"/>
    </row>
    <row r="23" spans="1:59" ht="15.75" customHeight="1">
      <c r="A23" s="1239"/>
      <c r="B23" s="572" t="s">
        <v>3366</v>
      </c>
      <c r="C23" s="171">
        <f>+$C$21+$G$22</f>
        <v>85318.07</v>
      </c>
      <c r="D23" s="1239"/>
      <c r="E23" s="1239"/>
      <c r="F23" s="448">
        <v>0</v>
      </c>
      <c r="G23" s="455"/>
      <c r="H23" s="1239"/>
      <c r="I23" s="448"/>
      <c r="J23" s="171"/>
      <c r="K23" s="1239"/>
      <c r="L23" s="1239" t="s">
        <v>229</v>
      </c>
      <c r="M23" s="1239" t="str">
        <f>IF(AX23="PT",VLOOKUP(L23,'Foundation Calculation'!$V$2:$X$40,VLOOKUP(AX23,'Foundation Calculation'!$I$10:$J$13,2,FALSE),0),IF(AX23="K",VLOOKUP(L23,'Foundation Calculation'!$V$42:$X$80,VLOOKUP(AX23,'Foundation Calculation'!$I$10:$J$13,2,FALSE),0),""))</f>
        <v>C3R</v>
      </c>
      <c r="N23" s="1239" t="s">
        <v>143</v>
      </c>
      <c r="O23" s="1239"/>
      <c r="P23" s="1239"/>
      <c r="Q23" s="1239">
        <v>0</v>
      </c>
      <c r="R23" s="1239">
        <v>0</v>
      </c>
      <c r="S23" s="455"/>
      <c r="T23" s="1239">
        <v>-35</v>
      </c>
      <c r="U23" s="1239"/>
      <c r="V23" s="1239"/>
      <c r="W23" s="1239">
        <v>1.4</v>
      </c>
      <c r="X23" s="1239"/>
      <c r="Y23" s="1239"/>
      <c r="Z23" s="1239"/>
      <c r="AA23" s="1239"/>
      <c r="AB23" s="1239"/>
      <c r="AC23" s="1239" t="s">
        <v>4090</v>
      </c>
      <c r="AD23" s="1239"/>
      <c r="AE23" s="1239"/>
      <c r="AF23" s="1239">
        <v>6000</v>
      </c>
      <c r="AG23" s="171">
        <v>85318</v>
      </c>
      <c r="AH23" s="1239">
        <v>2583</v>
      </c>
      <c r="AI23" s="1239">
        <v>380</v>
      </c>
      <c r="AJ23" s="1239"/>
      <c r="AK23" s="1239"/>
      <c r="AL23" s="1239"/>
      <c r="AM23" s="1239" t="s">
        <v>1042</v>
      </c>
      <c r="AN23" s="455">
        <v>5.5</v>
      </c>
      <c r="AO23" s="1239"/>
      <c r="AP23" s="1239"/>
      <c r="AQ23" s="455"/>
      <c r="AR23" s="1239"/>
      <c r="AS23" s="1239"/>
      <c r="AT23" s="455">
        <f>+ab($T$23,$T$21,$T$25,$G$22,$G$24,-1*$F$23,1200)</f>
        <v>-7.340081125831099</v>
      </c>
      <c r="AU23" s="1239"/>
      <c r="AV23" s="1239"/>
      <c r="AW23" s="1239" t="str">
        <f>VLOOKUP(C23,'Foundation Calculation'!$A$2:$C$33,3,1)</f>
        <v>Soil B</v>
      </c>
      <c r="AX23" s="1239" t="str">
        <f>VLOOKUP(C23,'Foundation Calculation'!$E$2:$G$33,3,1)</f>
        <v>PT</v>
      </c>
      <c r="AY23" s="455">
        <f>IF(AX23="PT",VLOOKUP(L23,'Foundation Calculation'!$K$2:$R$40,VLOOKUP(AW23,'Foundation Calculation'!$I$2:$J$8,2,FALSE),0),IF(AX23="K",VLOOKUP(L23,'Foundation Calculation'!$K$42:$R$80,VLOOKUP(AW23,'Foundation Calculation'!$I$2:$J$8,2,FALSE),0),""))</f>
        <v>3.5</v>
      </c>
      <c r="AZ23" s="455"/>
      <c r="BA23" s="671" t="s">
        <v>2809</v>
      </c>
      <c r="BB23" s="1239" t="str">
        <f>Pole_Calculations!A15</f>
        <v>App.7-V11A-P9.5.1.1</v>
      </c>
      <c r="BC23" s="169"/>
      <c r="BD23" s="1371"/>
      <c r="BE23" s="1371"/>
      <c r="BF23" s="1371"/>
      <c r="BG23" s="1371"/>
    </row>
    <row r="24" spans="1:59" ht="15.75" customHeight="1">
      <c r="A24" s="1239"/>
      <c r="B24" s="572"/>
      <c r="C24" s="171"/>
      <c r="D24" s="1239"/>
      <c r="E24" s="1239"/>
      <c r="F24" s="448"/>
      <c r="G24" s="455">
        <v>50</v>
      </c>
      <c r="H24" s="1239"/>
      <c r="I24" s="448"/>
      <c r="J24" s="171">
        <f>C25-7.5</f>
        <v>85360.57</v>
      </c>
      <c r="K24" s="1239" t="s">
        <v>2788</v>
      </c>
      <c r="L24" s="1239"/>
      <c r="M24" s="1239"/>
      <c r="N24" s="1239"/>
      <c r="O24" s="1239"/>
      <c r="P24" s="1239"/>
      <c r="Q24" s="1239"/>
      <c r="R24" s="1239"/>
      <c r="S24" s="455">
        <f t="shared" ref="S24" si="5">AG25-AG23</f>
        <v>50</v>
      </c>
      <c r="T24" s="1239"/>
      <c r="U24" s="1239"/>
      <c r="V24" s="1239"/>
      <c r="W24" s="1239"/>
      <c r="X24" s="1239"/>
      <c r="Y24" s="1239"/>
      <c r="Z24" s="1239"/>
      <c r="AA24" s="1239"/>
      <c r="AB24" s="1239"/>
      <c r="AC24" s="1239"/>
      <c r="AD24" s="1239"/>
      <c r="AE24" s="1239"/>
      <c r="AF24" s="1239"/>
      <c r="AG24" s="171"/>
      <c r="AH24" s="1239"/>
      <c r="AI24" s="1239"/>
      <c r="AJ24" s="1239"/>
      <c r="AK24" s="1239"/>
      <c r="AL24" s="1239"/>
      <c r="AM24" s="1239"/>
      <c r="AN24" s="455"/>
      <c r="AO24" s="1239"/>
      <c r="AP24" s="1239"/>
      <c r="AQ24" s="455">
        <f>+FL_1($T$25,$T$23,$G$24,1200,9.28,-1*$F$25)</f>
        <v>0.36839079999999996</v>
      </c>
      <c r="AR24" s="1239"/>
      <c r="AS24" s="1239"/>
      <c r="AT24" s="455"/>
      <c r="AU24" s="1239"/>
      <c r="AV24" s="1239"/>
      <c r="AW24" s="1239" t="str">
        <f>VLOOKUP(J24,'Foundation Calculation'!$A$2:$C$33,3,1)</f>
        <v>Soil B</v>
      </c>
      <c r="AX24" s="1239" t="str">
        <f>VLOOKUP(J24,'Foundation Calculation'!$E$2:$G$33,3,1)</f>
        <v>PT</v>
      </c>
      <c r="AY24" s="455"/>
      <c r="AZ24" s="455">
        <f>IF(AX24="PT",VLOOKUP(K24,'Foundation Calculation'!$K$2:$R$40,VLOOKUP(AW24,'Foundation Calculation'!$I$2:$J$8,2,FALSE),0),IF(AX24="K",VLOOKUP(K24,'Foundation Calculation'!$K$42:$R$80,VLOOKUP(AW24,'Foundation Calculation'!$I$2:$J$8,2,FALSE),0),""))</f>
        <v>2.8</v>
      </c>
      <c r="BA24" s="671" t="s">
        <v>2809</v>
      </c>
      <c r="BB24" s="1239"/>
      <c r="BC24" s="169"/>
      <c r="BD24" s="1371"/>
      <c r="BE24" s="1371"/>
      <c r="BF24" s="1371"/>
      <c r="BG24" s="1371"/>
    </row>
    <row r="25" spans="1:59" ht="15.75" customHeight="1">
      <c r="A25" s="1239"/>
      <c r="B25" s="572" t="s">
        <v>3367</v>
      </c>
      <c r="C25" s="171">
        <f>+$C$23+$G$24</f>
        <v>85368.07</v>
      </c>
      <c r="D25" s="1239"/>
      <c r="E25" s="1239"/>
      <c r="F25" s="448">
        <v>0</v>
      </c>
      <c r="G25" s="455"/>
      <c r="H25" s="1239" t="s">
        <v>873</v>
      </c>
      <c r="I25" s="448"/>
      <c r="J25" s="171"/>
      <c r="K25" s="1239"/>
      <c r="L25" s="1239" t="s">
        <v>230</v>
      </c>
      <c r="M25" s="1239" t="str">
        <f>IF(AX25="PT",VLOOKUP(L25,'Foundation Calculation'!$V$2:$X$40,VLOOKUP(AX25,'Foundation Calculation'!$I$10:$J$13,2,FALSE),0),IF(AX25="K",VLOOKUP(L25,'Foundation Calculation'!$V$42:$X$80,VLOOKUP(AX25,'Foundation Calculation'!$I$10:$J$13,2,FALSE),0),""))</f>
        <v>C4R</v>
      </c>
      <c r="N25" s="1239" t="s">
        <v>144</v>
      </c>
      <c r="O25" s="1239"/>
      <c r="P25" s="1239"/>
      <c r="Q25" s="1239">
        <v>0</v>
      </c>
      <c r="R25" s="1239">
        <v>0</v>
      </c>
      <c r="S25" s="455"/>
      <c r="T25" s="1239">
        <v>35</v>
      </c>
      <c r="U25" s="1239"/>
      <c r="V25" s="1239"/>
      <c r="W25" s="1239">
        <v>1.4</v>
      </c>
      <c r="X25" s="1239"/>
      <c r="Y25" s="1239"/>
      <c r="Z25" s="1239"/>
      <c r="AA25" s="1239"/>
      <c r="AB25" s="1239"/>
      <c r="AC25" s="1239" t="s">
        <v>4090</v>
      </c>
      <c r="AD25" s="1239"/>
      <c r="AE25" s="1239"/>
      <c r="AF25" s="1239">
        <v>6000</v>
      </c>
      <c r="AG25" s="171">
        <v>85368</v>
      </c>
      <c r="AH25" s="1239">
        <v>2573</v>
      </c>
      <c r="AI25" s="1239">
        <v>480</v>
      </c>
      <c r="AJ25" s="1239"/>
      <c r="AK25" s="1239"/>
      <c r="AL25" s="1239"/>
      <c r="AM25" s="1239" t="s">
        <v>1042</v>
      </c>
      <c r="AN25" s="455">
        <v>5.5</v>
      </c>
      <c r="AO25" s="1239"/>
      <c r="AP25" s="1239"/>
      <c r="AQ25" s="455"/>
      <c r="AR25" s="1239"/>
      <c r="AS25" s="1239"/>
      <c r="AT25" s="455">
        <f>+ab($T$25,$T$23,$T$27,$G$24,$G$26,-1*$F$25,1200)</f>
        <v>6.820891075690624</v>
      </c>
      <c r="AU25" s="1239"/>
      <c r="AV25" s="1239"/>
      <c r="AW25" s="1239" t="str">
        <f>VLOOKUP(C25,'Foundation Calculation'!$A$2:$C$33,3,1)</f>
        <v>Soil B</v>
      </c>
      <c r="AX25" s="1239" t="str">
        <f>VLOOKUP(C25,'Foundation Calculation'!$E$2:$G$33,3,1)</f>
        <v>PT</v>
      </c>
      <c r="AY25" s="455">
        <f>IF(AX25="PT",VLOOKUP(L25,'Foundation Calculation'!$K$2:$R$40,VLOOKUP(AW25,'Foundation Calculation'!$I$2:$J$8,2,FALSE),0),IF(AX25="K",VLOOKUP(L25,'Foundation Calculation'!$K$42:$R$80,VLOOKUP(AW25,'Foundation Calculation'!$I$2:$J$8,2,FALSE),0),""))</f>
        <v>3.5</v>
      </c>
      <c r="AZ25" s="455"/>
      <c r="BA25" s="671" t="s">
        <v>2809</v>
      </c>
      <c r="BB25" s="1239" t="str">
        <f>Pole_Calculations!A17</f>
        <v>App.7-V11A-P9.5.1.3</v>
      </c>
      <c r="BC25" s="169"/>
      <c r="BD25" s="1371"/>
      <c r="BE25" s="1371"/>
      <c r="BF25" s="1371"/>
      <c r="BG25" s="1371"/>
    </row>
    <row r="26" spans="1:59" ht="15.75" customHeight="1">
      <c r="A26" s="1239"/>
      <c r="B26" s="1239"/>
      <c r="C26" s="171"/>
      <c r="D26" s="1239"/>
      <c r="E26" s="1239"/>
      <c r="F26" s="448"/>
      <c r="G26" s="455">
        <v>50</v>
      </c>
      <c r="H26" s="1239"/>
      <c r="I26" s="448">
        <v>536</v>
      </c>
      <c r="J26" s="171"/>
      <c r="K26" s="1239"/>
      <c r="L26" s="1239"/>
      <c r="M26" s="1239"/>
      <c r="N26" s="1239"/>
      <c r="O26" s="1239"/>
      <c r="P26" s="1239"/>
      <c r="Q26" s="1239"/>
      <c r="R26" s="1239"/>
      <c r="S26" s="455">
        <f t="shared" ref="S26" si="6">AG27-AG25</f>
        <v>50</v>
      </c>
      <c r="T26" s="1239"/>
      <c r="U26" s="1239"/>
      <c r="V26" s="1239"/>
      <c r="W26" s="1239"/>
      <c r="X26" s="1239"/>
      <c r="Y26" s="1239"/>
      <c r="Z26" s="1239"/>
      <c r="AA26" s="1239"/>
      <c r="AB26" s="1239"/>
      <c r="AC26" s="1239"/>
      <c r="AD26" s="1239"/>
      <c r="AE26" s="1239"/>
      <c r="AF26" s="1239"/>
      <c r="AG26" s="171"/>
      <c r="AH26" s="1239"/>
      <c r="AI26" s="1239"/>
      <c r="AJ26" s="1239"/>
      <c r="AK26" s="1239"/>
      <c r="AL26" s="1239"/>
      <c r="AM26" s="1239"/>
      <c r="AN26" s="455"/>
      <c r="AO26" s="1239"/>
      <c r="AP26" s="1239"/>
      <c r="AQ26" s="455">
        <f>+FL_2($T$27,$T$25,$G$26,1200,9.28,-1*$F$27)</f>
        <v>-0.36839079999999996</v>
      </c>
      <c r="AR26" s="1239"/>
      <c r="AS26" s="1239"/>
      <c r="AT26" s="455"/>
      <c r="AU26" s="1239"/>
      <c r="AV26" s="1239"/>
      <c r="AW26" s="1239"/>
      <c r="AX26" s="1239"/>
      <c r="AY26" s="455"/>
      <c r="AZ26" s="455"/>
      <c r="BA26" s="1314"/>
      <c r="BB26" s="1239"/>
      <c r="BC26" s="169"/>
      <c r="BD26" s="1330"/>
      <c r="BE26" s="1330"/>
      <c r="BF26" s="1330"/>
      <c r="BG26" s="1330"/>
    </row>
    <row r="27" spans="1:59" ht="15.75" customHeight="1">
      <c r="A27" s="1239"/>
      <c r="B27" s="572" t="s">
        <v>3368</v>
      </c>
      <c r="C27" s="171">
        <f>+$C$25+$G$26</f>
        <v>85418.07</v>
      </c>
      <c r="D27" s="1239"/>
      <c r="E27" s="1239"/>
      <c r="F27" s="448">
        <v>0</v>
      </c>
      <c r="G27" s="455"/>
      <c r="H27" s="1239" t="s">
        <v>874</v>
      </c>
      <c r="I27" s="448"/>
      <c r="J27" s="171"/>
      <c r="K27" s="1239"/>
      <c r="L27" s="1239" t="s">
        <v>229</v>
      </c>
      <c r="M27" s="1239" t="str">
        <f>IF(AX27="PT",VLOOKUP(L27,'Foundation Calculation'!$V$2:$X$40,VLOOKUP(AX27,'Foundation Calculation'!$I$10:$J$13,2,FALSE),0),IF(AX27="K",VLOOKUP(L27,'Foundation Calculation'!$V$42:$X$80,VLOOKUP(AX27,'Foundation Calculation'!$I$10:$J$13,2,FALSE),0),""))</f>
        <v>C3R</v>
      </c>
      <c r="N27" s="1239" t="s">
        <v>143</v>
      </c>
      <c r="O27" s="1239"/>
      <c r="P27" s="1239"/>
      <c r="Q27" s="1239">
        <v>0</v>
      </c>
      <c r="R27" s="1239">
        <v>0</v>
      </c>
      <c r="S27" s="455"/>
      <c r="T27" s="1239">
        <v>-35</v>
      </c>
      <c r="U27" s="1239"/>
      <c r="V27" s="1239"/>
      <c r="W27" s="1239">
        <v>1.4</v>
      </c>
      <c r="X27" s="1239"/>
      <c r="Y27" s="1239"/>
      <c r="Z27" s="1239"/>
      <c r="AA27" s="1239"/>
      <c r="AB27" s="1239"/>
      <c r="AC27" s="1239" t="s">
        <v>4090</v>
      </c>
      <c r="AD27" s="1239"/>
      <c r="AE27" s="1239"/>
      <c r="AF27" s="1239">
        <v>6000</v>
      </c>
      <c r="AG27" s="171">
        <v>85418</v>
      </c>
      <c r="AH27" s="1239">
        <v>2703</v>
      </c>
      <c r="AI27" s="1239">
        <v>610</v>
      </c>
      <c r="AJ27" s="1239"/>
      <c r="AK27" s="1239"/>
      <c r="AL27" s="1239"/>
      <c r="AM27" s="1239" t="s">
        <v>1042</v>
      </c>
      <c r="AN27" s="455">
        <v>5.5</v>
      </c>
      <c r="AO27" s="1239"/>
      <c r="AP27" s="1239"/>
      <c r="AQ27" s="455"/>
      <c r="AR27" s="1239"/>
      <c r="AS27" s="1239"/>
      <c r="AT27" s="455">
        <f>+ab($T$27,$T$25,$T$29,$G$26,$G$28,-1*$F$27,1200)</f>
        <v>-6.8209152065487553</v>
      </c>
      <c r="AU27" s="1239"/>
      <c r="AV27" s="1239"/>
      <c r="AW27" s="1239" t="str">
        <f>VLOOKUP(C27,'Foundation Calculation'!$A$2:$C$33,3,1)</f>
        <v>Soil B</v>
      </c>
      <c r="AX27" s="1239" t="str">
        <f>VLOOKUP(C27,'Foundation Calculation'!$E$2:$G$33,3,1)</f>
        <v>PT</v>
      </c>
      <c r="AY27" s="455">
        <f>IF(AX27="PT",VLOOKUP(L27,'Foundation Calculation'!$K$2:$R$40,VLOOKUP(AW27,'Foundation Calculation'!$I$2:$J$8,2,FALSE),0),IF(AX27="K",VLOOKUP(L27,'Foundation Calculation'!$K$42:$R$80,VLOOKUP(AW27,'Foundation Calculation'!$I$2:$J$8,2,FALSE),0),""))</f>
        <v>3.5</v>
      </c>
      <c r="AZ27" s="455"/>
      <c r="BA27" s="671" t="s">
        <v>2809</v>
      </c>
      <c r="BB27" s="1239" t="str">
        <f>Pole_Calculations!A16</f>
        <v>App.7-V11A-P9.5.1.2</v>
      </c>
      <c r="BC27" s="169"/>
      <c r="BD27" s="1371"/>
      <c r="BE27" s="1371"/>
      <c r="BF27" s="1371"/>
      <c r="BG27" s="1371"/>
    </row>
    <row r="28" spans="1:59" ht="15.75" customHeight="1">
      <c r="A28" s="1239"/>
      <c r="B28" s="1239"/>
      <c r="C28" s="171"/>
      <c r="D28" s="1239"/>
      <c r="E28" s="1239"/>
      <c r="F28" s="448"/>
      <c r="G28" s="455">
        <v>50</v>
      </c>
      <c r="H28" s="1239"/>
      <c r="I28" s="448">
        <f>C45-C27</f>
        <v>488</v>
      </c>
      <c r="J28" s="171"/>
      <c r="K28" s="1239"/>
      <c r="L28" s="1239"/>
      <c r="M28" s="1239"/>
      <c r="N28" s="1239"/>
      <c r="O28" s="1239"/>
      <c r="P28" s="1239"/>
      <c r="Q28" s="1239"/>
      <c r="R28" s="1239"/>
      <c r="S28" s="455">
        <f t="shared" ref="S28" si="7">AG29-AG27</f>
        <v>50</v>
      </c>
      <c r="T28" s="1239"/>
      <c r="U28" s="1239"/>
      <c r="V28" s="1239"/>
      <c r="W28" s="1239"/>
      <c r="X28" s="1239"/>
      <c r="Y28" s="1239"/>
      <c r="Z28" s="1239"/>
      <c r="AA28" s="1239"/>
      <c r="AB28" s="1239"/>
      <c r="AC28" s="1239"/>
      <c r="AD28" s="1239"/>
      <c r="AE28" s="1239"/>
      <c r="AF28" s="1239"/>
      <c r="AG28" s="171"/>
      <c r="AH28" s="1239"/>
      <c r="AI28" s="1239"/>
      <c r="AJ28" s="1239"/>
      <c r="AK28" s="1239"/>
      <c r="AL28" s="1239"/>
      <c r="AM28" s="1239"/>
      <c r="AN28" s="455"/>
      <c r="AO28" s="1239"/>
      <c r="AP28" s="1239"/>
      <c r="AQ28" s="455">
        <f>+FL_1($T$29,$T$27,$G$28,1200,9.28,-1*$F$29)</f>
        <v>0.36839079999999996</v>
      </c>
      <c r="AR28" s="1239"/>
      <c r="AS28" s="1239"/>
      <c r="AT28" s="455"/>
      <c r="AU28" s="1239"/>
      <c r="AV28" s="1239"/>
      <c r="AW28" s="1239"/>
      <c r="AX28" s="1239"/>
      <c r="AY28" s="455"/>
      <c r="AZ28" s="455"/>
      <c r="BA28" s="1314"/>
      <c r="BB28" s="1239"/>
      <c r="BC28" s="169"/>
      <c r="BD28" s="1330"/>
      <c r="BE28" s="1330"/>
      <c r="BF28" s="1330"/>
      <c r="BG28" s="1330"/>
    </row>
    <row r="29" spans="1:59" ht="15.75" customHeight="1">
      <c r="A29" s="1239"/>
      <c r="B29" s="572" t="s">
        <v>3369</v>
      </c>
      <c r="C29" s="171">
        <f>+$C$27+$G$28</f>
        <v>85468.07</v>
      </c>
      <c r="D29" s="1239"/>
      <c r="E29" s="1239"/>
      <c r="F29" s="448">
        <v>0</v>
      </c>
      <c r="G29" s="455"/>
      <c r="H29" s="1239" t="s">
        <v>873</v>
      </c>
      <c r="I29" s="448"/>
      <c r="J29" s="171"/>
      <c r="K29" s="1239"/>
      <c r="L29" s="1239" t="s">
        <v>230</v>
      </c>
      <c r="M29" s="1239" t="str">
        <f>IF(AX29="PT",VLOOKUP(L29,'Foundation Calculation'!$V$2:$X$40,VLOOKUP(AX29,'Foundation Calculation'!$I$10:$J$13,2,FALSE),0),IF(AX29="K",VLOOKUP(L29,'Foundation Calculation'!$V$42:$X$80,VLOOKUP(AX29,'Foundation Calculation'!$I$10:$J$13,2,FALSE),0),""))</f>
        <v>C4R</v>
      </c>
      <c r="N29" s="1239" t="s">
        <v>144</v>
      </c>
      <c r="O29" s="1239"/>
      <c r="P29" s="1239"/>
      <c r="Q29" s="1239">
        <v>0</v>
      </c>
      <c r="R29" s="1239">
        <v>0</v>
      </c>
      <c r="S29" s="455"/>
      <c r="T29" s="1239">
        <v>35</v>
      </c>
      <c r="U29" s="1239"/>
      <c r="V29" s="1239"/>
      <c r="W29" s="1239">
        <v>1.4</v>
      </c>
      <c r="X29" s="1239"/>
      <c r="Y29" s="1239"/>
      <c r="Z29" s="1239"/>
      <c r="AA29" s="1239"/>
      <c r="AB29" s="1239"/>
      <c r="AC29" s="1239" t="s">
        <v>4090</v>
      </c>
      <c r="AD29" s="1239"/>
      <c r="AE29" s="1239"/>
      <c r="AF29" s="1239">
        <v>6000</v>
      </c>
      <c r="AG29" s="171">
        <v>85468</v>
      </c>
      <c r="AH29" s="1239">
        <v>2683</v>
      </c>
      <c r="AI29" s="1239">
        <v>610</v>
      </c>
      <c r="AJ29" s="1239"/>
      <c r="AK29" s="1239"/>
      <c r="AL29" s="1239"/>
      <c r="AM29" s="1239" t="s">
        <v>1042</v>
      </c>
      <c r="AN29" s="455">
        <v>5.5</v>
      </c>
      <c r="AO29" s="1239"/>
      <c r="AP29" s="1239"/>
      <c r="AQ29" s="455"/>
      <c r="AR29" s="1239"/>
      <c r="AS29" s="1239"/>
      <c r="AT29" s="455">
        <f>+ab($T$29,$T$27,$T$31,$G$28,$G$30,-1*$F$29,1200)</f>
        <v>6.9533366291400007</v>
      </c>
      <c r="AU29" s="1239"/>
      <c r="AV29" s="1239"/>
      <c r="AW29" s="1239" t="str">
        <f>VLOOKUP(C29,'Foundation Calculation'!$A$2:$C$33,3,1)</f>
        <v>Soil B</v>
      </c>
      <c r="AX29" s="1239" t="str">
        <f>VLOOKUP(C29,'Foundation Calculation'!$E$2:$G$33,3,1)</f>
        <v>PT</v>
      </c>
      <c r="AY29" s="455">
        <f>IF(AX29="PT",VLOOKUP(L29,'Foundation Calculation'!$K$2:$R$40,VLOOKUP(AW29,'Foundation Calculation'!$I$2:$J$8,2,FALSE),0),IF(AX29="K",VLOOKUP(L29,'Foundation Calculation'!$K$42:$R$80,VLOOKUP(AW29,'Foundation Calculation'!$I$2:$J$8,2,FALSE),0),""))</f>
        <v>3.5</v>
      </c>
      <c r="AZ29" s="455"/>
      <c r="BA29" s="671" t="s">
        <v>2809</v>
      </c>
      <c r="BB29" s="1239" t="str">
        <f>Pole_Calculations!A17</f>
        <v>App.7-V11A-P9.5.1.3</v>
      </c>
      <c r="BC29" s="169"/>
      <c r="BD29" s="1371"/>
      <c r="BE29" s="1371"/>
      <c r="BF29" s="1371"/>
      <c r="BG29" s="1371"/>
    </row>
    <row r="30" spans="1:59" ht="15.75" customHeight="1">
      <c r="A30" s="1239"/>
      <c r="B30" s="1239"/>
      <c r="C30" s="171"/>
      <c r="D30" s="1239"/>
      <c r="E30" s="1239"/>
      <c r="F30" s="448"/>
      <c r="G30" s="455">
        <v>52</v>
      </c>
      <c r="H30" s="1239"/>
      <c r="I30" s="448"/>
      <c r="J30" s="171">
        <f>C29+7.5</f>
        <v>85475.57</v>
      </c>
      <c r="K30" s="1239" t="s">
        <v>2788</v>
      </c>
      <c r="L30" s="1239"/>
      <c r="M30" s="1239"/>
      <c r="N30" s="1239"/>
      <c r="O30" s="1239"/>
      <c r="P30" s="1239"/>
      <c r="Q30" s="1239"/>
      <c r="R30" s="1239"/>
      <c r="S30" s="455">
        <f t="shared" ref="S30" si="8">AG31-AG29</f>
        <v>52</v>
      </c>
      <c r="T30" s="1239"/>
      <c r="U30" s="1239"/>
      <c r="V30" s="1239"/>
      <c r="W30" s="1239"/>
      <c r="X30" s="1239"/>
      <c r="Y30" s="1239"/>
      <c r="Z30" s="1239"/>
      <c r="AA30" s="1239"/>
      <c r="AB30" s="1239"/>
      <c r="AC30" s="1239"/>
      <c r="AD30" s="1239"/>
      <c r="AE30" s="1239"/>
      <c r="AF30" s="1239"/>
      <c r="AG30" s="171"/>
      <c r="AH30" s="1239"/>
      <c r="AI30" s="1239"/>
      <c r="AJ30" s="1239"/>
      <c r="AK30" s="1239"/>
      <c r="AL30" s="1239"/>
      <c r="AM30" s="1239"/>
      <c r="AN30" s="455"/>
      <c r="AO30" s="1239"/>
      <c r="AP30" s="1239"/>
      <c r="AQ30" s="455">
        <f>+FL_2($T$31,$T$29,$G$30,1200,9.28,-1*$F$31)</f>
        <v>-0.37855025261538461</v>
      </c>
      <c r="AR30" s="1239"/>
      <c r="AS30" s="1239"/>
      <c r="AT30" s="455"/>
      <c r="AU30" s="1239"/>
      <c r="AV30" s="1239"/>
      <c r="AW30" s="638" t="str">
        <f>VLOOKUP(J30,'Foundation Calculation'!$A$2:$C$33,3,1)</f>
        <v>Soil B</v>
      </c>
      <c r="AX30" s="638" t="str">
        <f>VLOOKUP(J30,'Foundation Calculation'!$E$2:$G$33,3,1)</f>
        <v>PT</v>
      </c>
      <c r="AY30" s="455"/>
      <c r="AZ30" s="484">
        <f>IF(AX30="PT",VLOOKUP(K30,'Foundation Calculation'!$K$2:$R$40,VLOOKUP(AW30,'Foundation Calculation'!$I$2:$J$8,2,FALSE),0),IF(AX30="K",VLOOKUP(K30,'Foundation Calculation'!$K$42:$R$80,VLOOKUP(AW30,'Foundation Calculation'!$I$2:$J$8,2,FALSE),0),""))</f>
        <v>2.8</v>
      </c>
      <c r="BA30" s="671" t="s">
        <v>2809</v>
      </c>
      <c r="BB30" s="1239"/>
      <c r="BC30" s="169"/>
      <c r="BD30" s="1329"/>
      <c r="BE30" s="1330"/>
      <c r="BF30" s="1330"/>
      <c r="BG30" s="1330"/>
    </row>
    <row r="31" spans="1:59" ht="15.75" customHeight="1">
      <c r="A31" s="1239"/>
      <c r="B31" s="572" t="s">
        <v>3370</v>
      </c>
      <c r="C31" s="171">
        <f>+$C$29+$G$30</f>
        <v>85520.07</v>
      </c>
      <c r="D31" s="1239"/>
      <c r="E31" s="1239"/>
      <c r="F31" s="448">
        <v>0</v>
      </c>
      <c r="G31" s="455"/>
      <c r="H31" s="1239"/>
      <c r="I31" s="448"/>
      <c r="J31" s="171"/>
      <c r="K31" s="1239"/>
      <c r="L31" s="1239" t="s">
        <v>229</v>
      </c>
      <c r="M31" s="1239" t="str">
        <f>IF(AX31="PT",VLOOKUP(L31,'Foundation Calculation'!$V$2:$X$40,VLOOKUP(AX31,'Foundation Calculation'!$I$10:$J$13,2,FALSE),0),IF(AX31="K",VLOOKUP(L31,'Foundation Calculation'!$V$42:$X$80,VLOOKUP(AX31,'Foundation Calculation'!$I$10:$J$13,2,FALSE),0),""))</f>
        <v>C3R</v>
      </c>
      <c r="N31" s="1239" t="s">
        <v>143</v>
      </c>
      <c r="O31" s="1239"/>
      <c r="P31" s="1239"/>
      <c r="Q31" s="1239">
        <v>0</v>
      </c>
      <c r="R31" s="1239">
        <v>0</v>
      </c>
      <c r="S31" s="455"/>
      <c r="T31" s="1239">
        <v>-35</v>
      </c>
      <c r="U31" s="1239"/>
      <c r="V31" s="1239"/>
      <c r="W31" s="1239">
        <v>1.4</v>
      </c>
      <c r="X31" s="1239"/>
      <c r="Y31" s="1239"/>
      <c r="Z31" s="1239"/>
      <c r="AA31" s="1239"/>
      <c r="AB31" s="1239"/>
      <c r="AC31" s="1239" t="s">
        <v>4090</v>
      </c>
      <c r="AD31" s="1239"/>
      <c r="AE31" s="1239"/>
      <c r="AF31" s="1239">
        <v>6000</v>
      </c>
      <c r="AG31" s="171">
        <v>85520</v>
      </c>
      <c r="AH31" s="1239">
        <v>2693</v>
      </c>
      <c r="AI31" s="1239">
        <v>610</v>
      </c>
      <c r="AJ31" s="1239"/>
      <c r="AK31" s="1239"/>
      <c r="AL31" s="1239"/>
      <c r="AM31" s="1239" t="s">
        <v>1042</v>
      </c>
      <c r="AN31" s="455">
        <v>5.5</v>
      </c>
      <c r="AO31" s="1239"/>
      <c r="AP31" s="1239"/>
      <c r="AQ31" s="455"/>
      <c r="AR31" s="1239"/>
      <c r="AS31" s="1239"/>
      <c r="AT31" s="455">
        <f>+ab($T$31,$T$29,$T$33,$G$30,$G$32,-1*$F$31,1200)</f>
        <v>-7.2877338051932652</v>
      </c>
      <c r="AU31" s="1239"/>
      <c r="AV31" s="1239"/>
      <c r="AW31" s="1239" t="str">
        <f>VLOOKUP(C31,'Foundation Calculation'!$A$2:$C$33,3,1)</f>
        <v>Soil B</v>
      </c>
      <c r="AX31" s="1239" t="str">
        <f>VLOOKUP(C31,'Foundation Calculation'!$E$2:$G$33,3,1)</f>
        <v>PT</v>
      </c>
      <c r="AY31" s="455">
        <f>IF(AX31="PT",VLOOKUP(L31,'Foundation Calculation'!$K$2:$R$40,VLOOKUP(AW31,'Foundation Calculation'!$I$2:$J$8,2,FALSE),0),IF(AX31="K",VLOOKUP(L31,'Foundation Calculation'!$K$42:$R$80,VLOOKUP(AW31,'Foundation Calculation'!$I$2:$J$8,2,FALSE),0),""))</f>
        <v>3.5</v>
      </c>
      <c r="AZ31" s="484"/>
      <c r="BA31" s="671" t="s">
        <v>2809</v>
      </c>
      <c r="BB31" s="1239" t="str">
        <f>Pole_Calculations!A15</f>
        <v>App.7-V11A-P9.5.1.1</v>
      </c>
      <c r="BC31" s="169"/>
      <c r="BD31" s="1371"/>
      <c r="BE31" s="1371"/>
      <c r="BF31" s="1371"/>
      <c r="BG31" s="1371"/>
    </row>
    <row r="32" spans="1:59" ht="15.75" customHeight="1">
      <c r="A32" s="1239"/>
      <c r="B32" s="1239"/>
      <c r="C32" s="171"/>
      <c r="D32" s="1239"/>
      <c r="E32" s="1239"/>
      <c r="F32" s="448"/>
      <c r="G32" s="455">
        <v>55</v>
      </c>
      <c r="H32" s="1239"/>
      <c r="I32" s="448"/>
      <c r="J32" s="171"/>
      <c r="K32" s="1239"/>
      <c r="L32" s="1239"/>
      <c r="M32" s="1239"/>
      <c r="N32" s="1239"/>
      <c r="O32" s="1239"/>
      <c r="P32" s="1239"/>
      <c r="Q32" s="1239"/>
      <c r="R32" s="1239"/>
      <c r="S32" s="455">
        <f t="shared" ref="S32" si="9">AG33-AG31</f>
        <v>55</v>
      </c>
      <c r="T32" s="1239"/>
      <c r="U32" s="1239"/>
      <c r="V32" s="1239"/>
      <c r="W32" s="1239"/>
      <c r="X32" s="1239"/>
      <c r="Y32" s="1239"/>
      <c r="Z32" s="1239"/>
      <c r="AA32" s="1239"/>
      <c r="AB32" s="1239"/>
      <c r="AC32" s="1239"/>
      <c r="AD32" s="1239"/>
      <c r="AE32" s="1239"/>
      <c r="AF32" s="1239"/>
      <c r="AG32" s="171"/>
      <c r="AH32" s="1239"/>
      <c r="AI32" s="1239"/>
      <c r="AJ32" s="1239"/>
      <c r="AK32" s="1239"/>
      <c r="AL32" s="1239"/>
      <c r="AM32" s="1239"/>
      <c r="AN32" s="455"/>
      <c r="AO32" s="1239"/>
      <c r="AP32" s="1239"/>
      <c r="AQ32" s="455">
        <f>+FL_2($T$33,$T$31,$G$32,1200,9.28,-1*$F$33)</f>
        <v>-0.39714735709090898</v>
      </c>
      <c r="AR32" s="1239"/>
      <c r="AS32" s="1239"/>
      <c r="AT32" s="455"/>
      <c r="AU32" s="1239"/>
      <c r="AV32" s="1239"/>
      <c r="AW32" s="1239"/>
      <c r="AX32" s="1239"/>
      <c r="AY32" s="455"/>
      <c r="AZ32" s="455"/>
      <c r="BA32" s="1314"/>
      <c r="BB32" s="1239"/>
      <c r="BC32" s="169"/>
      <c r="BD32" s="1330"/>
      <c r="BE32" s="1330"/>
      <c r="BF32" s="1330"/>
      <c r="BG32" s="1330"/>
    </row>
    <row r="33" spans="1:59" ht="15.75" customHeight="1">
      <c r="A33" s="1239"/>
      <c r="B33" s="572" t="s">
        <v>3371</v>
      </c>
      <c r="C33" s="171">
        <f>+$C$31+$G$32</f>
        <v>85575.07</v>
      </c>
      <c r="D33" s="1239"/>
      <c r="E33" s="1239"/>
      <c r="F33" s="448">
        <v>0</v>
      </c>
      <c r="G33" s="455"/>
      <c r="H33" s="1239"/>
      <c r="I33" s="448"/>
      <c r="J33" s="171"/>
      <c r="K33" s="1239"/>
      <c r="L33" s="1239" t="s">
        <v>229</v>
      </c>
      <c r="M33" s="1239" t="str">
        <f>IF(AX33="PT",VLOOKUP(L33,'Foundation Calculation'!$V$2:$X$40,VLOOKUP(AX33,'Foundation Calculation'!$I$10:$J$13,2,FALSE),0),IF(AX33="K",VLOOKUP(L33,'Foundation Calculation'!$V$42:$X$80,VLOOKUP(AX33,'Foundation Calculation'!$I$10:$J$13,2,FALSE),0),""))</f>
        <v>C3R</v>
      </c>
      <c r="N33" s="1239" t="s">
        <v>144</v>
      </c>
      <c r="O33" s="1239"/>
      <c r="P33" s="1239"/>
      <c r="Q33" s="1239">
        <v>0</v>
      </c>
      <c r="R33" s="1239">
        <v>0</v>
      </c>
      <c r="S33" s="455"/>
      <c r="T33" s="1239">
        <v>35</v>
      </c>
      <c r="U33" s="1239"/>
      <c r="V33" s="1239"/>
      <c r="W33" s="1239">
        <v>1.4</v>
      </c>
      <c r="X33" s="1239"/>
      <c r="Y33" s="1239"/>
      <c r="Z33" s="1239"/>
      <c r="AA33" s="1239"/>
      <c r="AB33" s="1239"/>
      <c r="AC33" s="1239" t="s">
        <v>4090</v>
      </c>
      <c r="AD33" s="1239"/>
      <c r="AE33" s="1239"/>
      <c r="AF33" s="1239">
        <v>6000</v>
      </c>
      <c r="AG33" s="171">
        <v>85575</v>
      </c>
      <c r="AH33" s="1239">
        <v>2763</v>
      </c>
      <c r="AI33" s="1239">
        <v>650</v>
      </c>
      <c r="AJ33" s="1239"/>
      <c r="AK33" s="1239"/>
      <c r="AL33" s="1239"/>
      <c r="AM33" s="1239" t="s">
        <v>1042</v>
      </c>
      <c r="AN33" s="455">
        <v>5.5</v>
      </c>
      <c r="AO33" s="1239"/>
      <c r="AP33" s="1239"/>
      <c r="AQ33" s="455"/>
      <c r="AR33" s="1239"/>
      <c r="AS33" s="1239"/>
      <c r="AT33" s="455">
        <f>+ab($T$33,$T$31,$T$35,$G$32,$G$34,-1*$F$33,1200)</f>
        <v>7.8175137683875535</v>
      </c>
      <c r="AU33" s="1239"/>
      <c r="AV33" s="1239"/>
      <c r="AW33" s="1239" t="str">
        <f>VLOOKUP(C33,'Foundation Calculation'!$A$2:$C$33,3,1)</f>
        <v>Soil B</v>
      </c>
      <c r="AX33" s="1239" t="str">
        <f>VLOOKUP(C33,'Foundation Calculation'!$E$2:$G$33,3,1)</f>
        <v>PT</v>
      </c>
      <c r="AY33" s="455">
        <f>IF(AX33="PT",VLOOKUP(L33,'Foundation Calculation'!$K$2:$R$40,VLOOKUP(AW33,'Foundation Calculation'!$I$2:$J$8,2,FALSE),0),IF(AX33="K",VLOOKUP(L33,'Foundation Calculation'!$K$42:$R$80,VLOOKUP(AW33,'Foundation Calculation'!$I$2:$J$8,2,FALSE),0),""))</f>
        <v>3.5</v>
      </c>
      <c r="AZ33" s="455"/>
      <c r="BA33" s="671" t="s">
        <v>2809</v>
      </c>
      <c r="BB33" s="1239" t="str">
        <f>Pole_Calculations!A15</f>
        <v>App.7-V11A-P9.5.1.1</v>
      </c>
      <c r="BC33" s="169"/>
      <c r="BD33" s="1371"/>
      <c r="BE33" s="1371"/>
      <c r="BF33" s="1371"/>
      <c r="BG33" s="1371"/>
    </row>
    <row r="34" spans="1:59" ht="15.75" customHeight="1">
      <c r="A34" s="1239"/>
      <c r="B34" s="1239"/>
      <c r="C34" s="171"/>
      <c r="D34" s="1239"/>
      <c r="E34" s="1239"/>
      <c r="F34" s="448"/>
      <c r="G34" s="455">
        <v>60</v>
      </c>
      <c r="H34" s="1239"/>
      <c r="I34" s="448"/>
      <c r="J34" s="171"/>
      <c r="K34" s="1239"/>
      <c r="L34" s="1239"/>
      <c r="M34" s="1239"/>
      <c r="N34" s="1239"/>
      <c r="O34" s="1239"/>
      <c r="P34" s="1239"/>
      <c r="Q34" s="1239"/>
      <c r="R34" s="1239"/>
      <c r="S34" s="455">
        <f t="shared" ref="S34" si="10">AG35-AG33</f>
        <v>60</v>
      </c>
      <c r="T34" s="1239"/>
      <c r="U34" s="1239"/>
      <c r="V34" s="1239"/>
      <c r="W34" s="1239"/>
      <c r="X34" s="1239"/>
      <c r="Y34" s="1239"/>
      <c r="Z34" s="1239"/>
      <c r="AA34" s="1239"/>
      <c r="AB34" s="1239"/>
      <c r="AC34" s="1239"/>
      <c r="AD34" s="1239"/>
      <c r="AE34" s="1239"/>
      <c r="AF34" s="1239"/>
      <c r="AG34" s="171"/>
      <c r="AH34" s="1239"/>
      <c r="AI34" s="1239"/>
      <c r="AJ34" s="1239"/>
      <c r="AK34" s="1239"/>
      <c r="AL34" s="1239"/>
      <c r="AM34" s="1239"/>
      <c r="AN34" s="455"/>
      <c r="AO34" s="1239"/>
      <c r="AP34" s="1239"/>
      <c r="AQ34" s="455">
        <f>+FL_2($T$35,$T$33,$G$34,1200,9.28,-1*$F$35)</f>
        <v>-0.43600286799999999</v>
      </c>
      <c r="AR34" s="1239"/>
      <c r="AS34" s="1239"/>
      <c r="AT34" s="455"/>
      <c r="AU34" s="1239"/>
      <c r="AV34" s="1239"/>
      <c r="AW34" s="1239"/>
      <c r="AX34" s="1239"/>
      <c r="AY34" s="455"/>
      <c r="AZ34" s="455"/>
      <c r="BA34" s="1314"/>
      <c r="BB34" s="1239"/>
      <c r="BC34" s="169"/>
      <c r="BD34" s="1330"/>
      <c r="BE34" s="1330"/>
      <c r="BF34" s="1330"/>
      <c r="BG34" s="1330"/>
    </row>
    <row r="35" spans="1:59" ht="15.75" customHeight="1">
      <c r="A35" s="1239"/>
      <c r="B35" s="572" t="s">
        <v>3372</v>
      </c>
      <c r="C35" s="171">
        <f>+$C$33+$G$34</f>
        <v>85635.07</v>
      </c>
      <c r="D35" s="1239"/>
      <c r="E35" s="1239"/>
      <c r="F35" s="448">
        <v>0</v>
      </c>
      <c r="G35" s="455"/>
      <c r="H35" s="1239"/>
      <c r="I35" s="448"/>
      <c r="J35" s="171"/>
      <c r="K35" s="1239"/>
      <c r="L35" s="1239" t="s">
        <v>229</v>
      </c>
      <c r="M35" s="1239" t="str">
        <f>IF(AX35="PT",VLOOKUP(L35,'Foundation Calculation'!$V$2:$X$40,VLOOKUP(AX35,'Foundation Calculation'!$I$10:$J$13,2,FALSE),0),IF(AX35="K",VLOOKUP(L35,'Foundation Calculation'!$V$42:$X$80,VLOOKUP(AX35,'Foundation Calculation'!$I$10:$J$13,2,FALSE),0),""))</f>
        <v>C3R</v>
      </c>
      <c r="N35" s="1239" t="s">
        <v>143</v>
      </c>
      <c r="O35" s="1239"/>
      <c r="P35" s="1239"/>
      <c r="Q35" s="1239">
        <v>0</v>
      </c>
      <c r="R35" s="1239">
        <v>0</v>
      </c>
      <c r="S35" s="455"/>
      <c r="T35" s="1239">
        <v>-35</v>
      </c>
      <c r="U35" s="1239"/>
      <c r="V35" s="1239"/>
      <c r="W35" s="1239">
        <v>1.4</v>
      </c>
      <c r="X35" s="1239"/>
      <c r="Y35" s="1239"/>
      <c r="Z35" s="1239"/>
      <c r="AA35" s="1239"/>
      <c r="AB35" s="1239"/>
      <c r="AC35" s="1239" t="s">
        <v>4090</v>
      </c>
      <c r="AD35" s="1239"/>
      <c r="AE35" s="1239"/>
      <c r="AF35" s="1239">
        <v>6000</v>
      </c>
      <c r="AG35" s="171">
        <v>85635</v>
      </c>
      <c r="AH35" s="1239">
        <v>2643</v>
      </c>
      <c r="AI35" s="1239">
        <v>550</v>
      </c>
      <c r="AJ35" s="1239"/>
      <c r="AK35" s="1239"/>
      <c r="AL35" s="1239"/>
      <c r="AM35" s="1239" t="s">
        <v>1042</v>
      </c>
      <c r="AN35" s="455">
        <v>5.5</v>
      </c>
      <c r="AO35" s="1239"/>
      <c r="AP35" s="1239"/>
      <c r="AQ35" s="455"/>
      <c r="AR35" s="1239"/>
      <c r="AS35" s="1239"/>
      <c r="AT35" s="455">
        <f>+ab($T$35,$T$33,$T$37,$G$34,$G$36,-1*$F$35,1200)</f>
        <v>-8.1162073500296401</v>
      </c>
      <c r="AU35" s="1239"/>
      <c r="AV35" s="1239"/>
      <c r="AW35" s="1239" t="str">
        <f>VLOOKUP(C35,'Foundation Calculation'!$A$2:$C$33,3,1)</f>
        <v>Soil B</v>
      </c>
      <c r="AX35" s="1239" t="str">
        <f>VLOOKUP(C35,'Foundation Calculation'!$E$2:$G$33,3,1)</f>
        <v>PT</v>
      </c>
      <c r="AY35" s="455">
        <f>IF(AX35="PT",VLOOKUP(L35,'Foundation Calculation'!$K$2:$R$40,VLOOKUP(AW35,'Foundation Calculation'!$I$2:$J$8,2,FALSE),0),IF(AX35="K",VLOOKUP(L35,'Foundation Calculation'!$K$42:$R$80,VLOOKUP(AW35,'Foundation Calculation'!$I$2:$J$8,2,FALSE),0),""))</f>
        <v>3.5</v>
      </c>
      <c r="AZ35" s="455"/>
      <c r="BA35" s="671" t="s">
        <v>2809</v>
      </c>
      <c r="BB35" s="1239" t="str">
        <f>Pole_Calculations!A15</f>
        <v>App.7-V11A-P9.5.1.1</v>
      </c>
      <c r="BC35" s="169"/>
      <c r="BD35" s="1371"/>
      <c r="BE35" s="1371"/>
      <c r="BF35" s="1371"/>
      <c r="BG35" s="1371"/>
    </row>
    <row r="36" spans="1:59" ht="15.75" customHeight="1">
      <c r="A36" s="1239"/>
      <c r="B36" s="1239"/>
      <c r="C36" s="171"/>
      <c r="D36" s="1239"/>
      <c r="E36" s="1239"/>
      <c r="F36" s="448"/>
      <c r="G36" s="455">
        <v>55</v>
      </c>
      <c r="H36" s="1239"/>
      <c r="I36" s="448"/>
      <c r="J36" s="171"/>
      <c r="K36" s="1239"/>
      <c r="L36" s="1239"/>
      <c r="M36" s="1239"/>
      <c r="N36" s="1239"/>
      <c r="O36" s="1239"/>
      <c r="P36" s="1239"/>
      <c r="Q36" s="1239"/>
      <c r="R36" s="1239"/>
      <c r="S36" s="455">
        <f t="shared" ref="S36" si="11">AG37-AG35</f>
        <v>55</v>
      </c>
      <c r="T36" s="1239"/>
      <c r="U36" s="1239"/>
      <c r="V36" s="1239"/>
      <c r="W36" s="1239"/>
      <c r="X36" s="1239"/>
      <c r="Y36" s="1239"/>
      <c r="Z36" s="1239"/>
      <c r="AA36" s="1239"/>
      <c r="AB36" s="1239"/>
      <c r="AC36" s="1239"/>
      <c r="AD36" s="1239"/>
      <c r="AE36" s="1239"/>
      <c r="AF36" s="1239"/>
      <c r="AG36" s="171"/>
      <c r="AH36" s="1239"/>
      <c r="AI36" s="1239"/>
      <c r="AJ36" s="1239"/>
      <c r="AK36" s="1239"/>
      <c r="AL36" s="1239"/>
      <c r="AM36" s="1239"/>
      <c r="AN36" s="455"/>
      <c r="AO36" s="1239"/>
      <c r="AP36" s="1239"/>
      <c r="AQ36" s="455">
        <f>+FL_2($T$37,$T$35,$G$36,1200,9.28,-1*$F$37)</f>
        <v>-0.40772017018181816</v>
      </c>
      <c r="AR36" s="1239"/>
      <c r="AS36" s="1239"/>
      <c r="AT36" s="455"/>
      <c r="AU36" s="1239"/>
      <c r="AV36" s="1239"/>
      <c r="AW36" s="1239"/>
      <c r="AX36" s="1239"/>
      <c r="AY36" s="455"/>
      <c r="AZ36" s="455"/>
      <c r="BA36" s="1314"/>
      <c r="BB36" s="1239"/>
      <c r="BC36" s="169"/>
      <c r="BD36" s="1330"/>
      <c r="BE36" s="1330"/>
      <c r="BF36" s="1330"/>
      <c r="BG36" s="1330"/>
    </row>
    <row r="37" spans="1:59" ht="15.75" customHeight="1">
      <c r="A37" s="1239"/>
      <c r="B37" s="572" t="s">
        <v>3373</v>
      </c>
      <c r="C37" s="171">
        <f>+$C$35+$G$36</f>
        <v>85690.07</v>
      </c>
      <c r="D37" s="1239"/>
      <c r="E37" s="1239"/>
      <c r="F37" s="448">
        <v>0</v>
      </c>
      <c r="G37" s="455"/>
      <c r="H37" s="1239"/>
      <c r="I37" s="448"/>
      <c r="J37" s="171"/>
      <c r="K37" s="1239"/>
      <c r="L37" s="1239" t="s">
        <v>229</v>
      </c>
      <c r="M37" s="1239" t="str">
        <f>IF(AX37="PT",VLOOKUP(L37,'Foundation Calculation'!$V$2:$X$40,VLOOKUP(AX37,'Foundation Calculation'!$I$10:$J$13,2,FALSE),0),IF(AX37="K",VLOOKUP(L37,'Foundation Calculation'!$V$42:$X$80,VLOOKUP(AX37,'Foundation Calculation'!$I$10:$J$13,2,FALSE),0),""))</f>
        <v>C3R</v>
      </c>
      <c r="N37" s="1239" t="s">
        <v>144</v>
      </c>
      <c r="O37" s="1239"/>
      <c r="P37" s="1239"/>
      <c r="Q37" s="1239">
        <v>0</v>
      </c>
      <c r="R37" s="1239">
        <v>0</v>
      </c>
      <c r="S37" s="455"/>
      <c r="T37" s="1239">
        <v>30</v>
      </c>
      <c r="U37" s="1239"/>
      <c r="V37" s="1239"/>
      <c r="W37" s="1239">
        <v>1.4</v>
      </c>
      <c r="X37" s="1239"/>
      <c r="Y37" s="1239"/>
      <c r="Z37" s="1239"/>
      <c r="AA37" s="1239"/>
      <c r="AB37" s="1239"/>
      <c r="AC37" s="1239" t="s">
        <v>4090</v>
      </c>
      <c r="AD37" s="1239"/>
      <c r="AE37" s="1239"/>
      <c r="AF37" s="1239">
        <v>6000</v>
      </c>
      <c r="AG37" s="171">
        <v>85690</v>
      </c>
      <c r="AH37" s="1239">
        <v>2643</v>
      </c>
      <c r="AI37" s="1239">
        <v>510</v>
      </c>
      <c r="AJ37" s="1239"/>
      <c r="AK37" s="1239"/>
      <c r="AL37" s="1239"/>
      <c r="AM37" s="1239" t="s">
        <v>1042</v>
      </c>
      <c r="AN37" s="455">
        <v>5.5</v>
      </c>
      <c r="AO37" s="1239"/>
      <c r="AP37" s="1239"/>
      <c r="AQ37" s="455"/>
      <c r="AR37" s="1239"/>
      <c r="AS37" s="1239"/>
      <c r="AT37" s="455">
        <f>+ab($T$37,$T$35,$T$39,$G$36,$G$38,-1*$F$37,1200)</f>
        <v>8.5054550613883215</v>
      </c>
      <c r="AU37" s="1239"/>
      <c r="AV37" s="1239"/>
      <c r="AW37" s="1239" t="str">
        <f>VLOOKUP(C37,'Foundation Calculation'!$A$2:$C$33,3,1)</f>
        <v>Soil B</v>
      </c>
      <c r="AX37" s="1239" t="str">
        <f>VLOOKUP(C37,'Foundation Calculation'!$E$2:$G$33,3,1)</f>
        <v>PT</v>
      </c>
      <c r="AY37" s="455">
        <f>IF(AX37="PT",VLOOKUP(L37,'Foundation Calculation'!$K$2:$R$40,VLOOKUP(AW37,'Foundation Calculation'!$I$2:$J$8,2,FALSE),0),IF(AX37="K",VLOOKUP(L37,'Foundation Calculation'!$K$42:$R$80,VLOOKUP(AW37,'Foundation Calculation'!$I$2:$J$8,2,FALSE),0),""))</f>
        <v>3.5</v>
      </c>
      <c r="AZ37" s="455"/>
      <c r="BA37" s="671" t="s">
        <v>2809</v>
      </c>
      <c r="BB37" s="1239" t="str">
        <f>Pole_Calculations!A15</f>
        <v>App.7-V11A-P9.5.1.1</v>
      </c>
      <c r="BC37" s="169"/>
      <c r="BD37" s="1371"/>
      <c r="BE37" s="1371"/>
      <c r="BF37" s="1371"/>
      <c r="BG37" s="1371"/>
    </row>
    <row r="38" spans="1:59" ht="15.75" customHeight="1">
      <c r="A38" s="647" t="s">
        <v>3049</v>
      </c>
      <c r="B38" s="647"/>
      <c r="C38" s="652"/>
      <c r="D38" s="647"/>
      <c r="E38" s="647"/>
      <c r="F38" s="650"/>
      <c r="G38" s="651">
        <v>52</v>
      </c>
      <c r="H38" s="647"/>
      <c r="I38" s="650"/>
      <c r="J38" s="652">
        <f>C39-7.5</f>
        <v>85734.57</v>
      </c>
      <c r="K38" s="647" t="s">
        <v>2787</v>
      </c>
      <c r="L38" s="647"/>
      <c r="M38" s="647"/>
      <c r="N38" s="647"/>
      <c r="O38" s="647"/>
      <c r="P38" s="647"/>
      <c r="Q38" s="647"/>
      <c r="R38" s="647"/>
      <c r="S38" s="651">
        <f t="shared" ref="S38" si="12">AG39-AG37</f>
        <v>44</v>
      </c>
      <c r="T38" s="647"/>
      <c r="U38" s="647"/>
      <c r="V38" s="647"/>
      <c r="W38" s="647"/>
      <c r="X38" s="647"/>
      <c r="Y38" s="647"/>
      <c r="Z38" s="647"/>
      <c r="AA38" s="647"/>
      <c r="AB38" s="647"/>
      <c r="AC38" s="647"/>
      <c r="AD38" s="647"/>
      <c r="AE38" s="647"/>
      <c r="AF38" s="647"/>
      <c r="AG38" s="652"/>
      <c r="AH38" s="647"/>
      <c r="AI38" s="647"/>
      <c r="AJ38" s="647"/>
      <c r="AK38" s="647"/>
      <c r="AL38" s="647"/>
      <c r="AM38" s="647"/>
      <c r="AN38" s="651"/>
      <c r="AO38" s="647"/>
      <c r="AP38" s="647"/>
      <c r="AQ38" s="651">
        <f>+FL_1($T$39,$T$37,$G$38,1200,9.28,-1*$F$39)</f>
        <v>0.35871724635897423</v>
      </c>
      <c r="AR38" s="647"/>
      <c r="AS38" s="647"/>
      <c r="AT38" s="651"/>
      <c r="AU38" s="647"/>
      <c r="AV38" s="647"/>
      <c r="AW38" s="647" t="str">
        <f>VLOOKUP(J38,'Foundation Calculation'!$A$2:$C$33,3,1)</f>
        <v>Soil B</v>
      </c>
      <c r="AX38" s="647" t="str">
        <f>VLOOKUP(J38,'Foundation Calculation'!$E$2:$G$33,3,1)</f>
        <v>PT</v>
      </c>
      <c r="AY38" s="651"/>
      <c r="AZ38" s="651">
        <f>IF(AX38="PT",VLOOKUP(K38,'Foundation Calculation'!$K$2:$R$40,VLOOKUP(AW38,'Foundation Calculation'!$I$2:$J$8,2,FALSE),0),IF(AX38="K",VLOOKUP(K38,'Foundation Calculation'!$K$42:$R$80,VLOOKUP(AW38,'Foundation Calculation'!$I$2:$J$8,2,FALSE),0),""))</f>
        <v>3.9</v>
      </c>
      <c r="BA38" s="701" t="s">
        <v>2809</v>
      </c>
      <c r="BB38" s="647"/>
      <c r="BC38" s="169"/>
      <c r="BD38" s="1329"/>
      <c r="BE38" s="1330"/>
      <c r="BF38" s="1330"/>
      <c r="BG38" s="1330"/>
    </row>
    <row r="39" spans="1:59" ht="15.75" customHeight="1">
      <c r="A39" s="1239"/>
      <c r="B39" s="572" t="s">
        <v>3374</v>
      </c>
      <c r="C39" s="171">
        <f>+$C$37+$G$38</f>
        <v>85742.07</v>
      </c>
      <c r="D39" s="1239"/>
      <c r="E39" s="1239"/>
      <c r="F39" s="448">
        <v>0</v>
      </c>
      <c r="G39" s="455"/>
      <c r="H39" s="1239" t="s">
        <v>138</v>
      </c>
      <c r="I39" s="448" t="s">
        <v>623</v>
      </c>
      <c r="J39" s="171"/>
      <c r="K39" s="1239"/>
      <c r="L39" s="1239" t="s">
        <v>898</v>
      </c>
      <c r="M39" s="1239" t="str">
        <f>IF(AX39="PT",VLOOKUP(L39,'Foundation Calculation'!$V$2:$X$40,VLOOKUP(AX39,'Foundation Calculation'!$I$10:$J$13,2,FALSE),0),IF(AX39="K",VLOOKUP(L39,'Foundation Calculation'!$V$42:$X$80,VLOOKUP(AX39,'Foundation Calculation'!$I$10:$J$13,2,FALSE),0),""))</f>
        <v>C4R</v>
      </c>
      <c r="N39" s="1239" t="s">
        <v>143</v>
      </c>
      <c r="O39" s="1239"/>
      <c r="P39" s="1239"/>
      <c r="Q39" s="1239">
        <v>0</v>
      </c>
      <c r="R39" s="1239">
        <v>0</v>
      </c>
      <c r="S39" s="455"/>
      <c r="T39" s="1239">
        <v>-25</v>
      </c>
      <c r="U39" s="1239"/>
      <c r="V39" s="1239"/>
      <c r="W39" s="1239">
        <v>1.4</v>
      </c>
      <c r="X39" s="1239"/>
      <c r="Y39" s="1239"/>
      <c r="Z39" s="1239"/>
      <c r="AA39" s="1239"/>
      <c r="AB39" s="1239"/>
      <c r="AC39" s="1239" t="s">
        <v>1421</v>
      </c>
      <c r="AD39" s="1239"/>
      <c r="AE39" s="1239"/>
      <c r="AF39" s="1239">
        <v>6000</v>
      </c>
      <c r="AG39" s="171">
        <v>85734</v>
      </c>
      <c r="AH39" s="1239">
        <v>2603</v>
      </c>
      <c r="AI39" s="1239">
        <v>490</v>
      </c>
      <c r="AJ39" s="1239"/>
      <c r="AK39" s="1239"/>
      <c r="AL39" s="1239"/>
      <c r="AM39" s="1239" t="s">
        <v>1042</v>
      </c>
      <c r="AN39" s="455">
        <v>5.5</v>
      </c>
      <c r="AO39" s="1239"/>
      <c r="AP39" s="1239"/>
      <c r="AQ39" s="455"/>
      <c r="AR39" s="1239"/>
      <c r="AS39" s="1239"/>
      <c r="AT39" s="455">
        <f>+ab($T$39,$T$37,$T$41,$G$38,$G$40,-1*$F$39,1200)</f>
        <v>-8.6114711809687048</v>
      </c>
      <c r="AU39" s="1239"/>
      <c r="AV39" s="1239"/>
      <c r="AW39" s="1239" t="str">
        <f>VLOOKUP(C39,'Foundation Calculation'!$A$2:$C$33,3,1)</f>
        <v>Soil B</v>
      </c>
      <c r="AX39" s="1239" t="str">
        <f>VLOOKUP(C39,'Foundation Calculation'!$E$2:$G$33,3,1)</f>
        <v>PT</v>
      </c>
      <c r="AY39" s="455">
        <f>IF(AX39="PT",VLOOKUP(L39,'Foundation Calculation'!$K$2:$R$40,VLOOKUP(AW39,'Foundation Calculation'!$I$2:$J$8,2,FALSE),0),IF(AX39="K",VLOOKUP(L39,'Foundation Calculation'!$K$42:$R$80,VLOOKUP(AW39,'Foundation Calculation'!$I$2:$J$8,2,FALSE),0),""))</f>
        <v>3.5</v>
      </c>
      <c r="AZ39" s="455"/>
      <c r="BA39" s="671" t="s">
        <v>2809</v>
      </c>
      <c r="BB39" s="1239" t="str">
        <f>Pole_Calculations!A20</f>
        <v>App.7-V11A-P9.5.1.6</v>
      </c>
      <c r="BC39" s="169"/>
      <c r="BD39" s="1371"/>
      <c r="BE39" s="1371"/>
      <c r="BF39" s="1371"/>
      <c r="BG39" s="1371"/>
    </row>
    <row r="40" spans="1:59" ht="15.75" customHeight="1">
      <c r="A40" s="1239"/>
      <c r="B40" s="1239"/>
      <c r="C40" s="171"/>
      <c r="D40" s="1239"/>
      <c r="E40" s="1239"/>
      <c r="F40" s="448"/>
      <c r="G40" s="455">
        <v>52</v>
      </c>
      <c r="H40" s="1239"/>
      <c r="I40" s="448"/>
      <c r="J40" s="171"/>
      <c r="K40" s="1239"/>
      <c r="L40" s="1239"/>
      <c r="M40" s="1239"/>
      <c r="N40" s="1239"/>
      <c r="O40" s="1239"/>
      <c r="P40" s="1239"/>
      <c r="Q40" s="1239"/>
      <c r="R40" s="1239"/>
      <c r="S40" s="455">
        <f t="shared" ref="S40" si="13">AG41-AG39</f>
        <v>60</v>
      </c>
      <c r="T40" s="1239"/>
      <c r="U40" s="1239"/>
      <c r="V40" s="1239"/>
      <c r="W40" s="1239"/>
      <c r="X40" s="1239"/>
      <c r="Y40" s="1239"/>
      <c r="Z40" s="1239"/>
      <c r="AA40" s="1239"/>
      <c r="AB40" s="1239"/>
      <c r="AC40" s="1239"/>
      <c r="AD40" s="1239"/>
      <c r="AE40" s="1239"/>
      <c r="AF40" s="1239"/>
      <c r="AG40" s="171"/>
      <c r="AH40" s="1239"/>
      <c r="AI40" s="1239"/>
      <c r="AJ40" s="1239"/>
      <c r="AK40" s="1239"/>
      <c r="AL40" s="1239"/>
      <c r="AM40" s="1239"/>
      <c r="AN40" s="455"/>
      <c r="AO40" s="1239"/>
      <c r="AP40" s="1239"/>
      <c r="AQ40" s="455">
        <f>+FL_2($U$41,$T$39,$G$40,1200,9.28,-1*$F$41)</f>
        <v>-0.34964416153846156</v>
      </c>
      <c r="AR40" s="1239"/>
      <c r="AS40" s="1239"/>
      <c r="AT40" s="455"/>
      <c r="AU40" s="1239"/>
      <c r="AV40" s="1239"/>
      <c r="AW40" s="1239"/>
      <c r="AX40" s="1239"/>
      <c r="AY40" s="455"/>
      <c r="AZ40" s="455"/>
      <c r="BA40" s="1314"/>
      <c r="BB40" s="1239"/>
      <c r="BC40" s="169"/>
      <c r="BD40" s="1330"/>
      <c r="BE40" s="1330"/>
      <c r="BF40" s="1330"/>
      <c r="BG40" s="1330"/>
    </row>
    <row r="41" spans="1:59" ht="15.75" customHeight="1">
      <c r="A41" s="1239"/>
      <c r="B41" s="572" t="s">
        <v>3375</v>
      </c>
      <c r="C41" s="171">
        <f>+$C$39+$G$40</f>
        <v>85794.07</v>
      </c>
      <c r="D41" s="1239"/>
      <c r="E41" s="1239"/>
      <c r="F41" s="448">
        <v>0</v>
      </c>
      <c r="G41" s="455"/>
      <c r="H41" s="1239" t="s">
        <v>619</v>
      </c>
      <c r="I41" s="448"/>
      <c r="J41" s="171"/>
      <c r="K41" s="1239"/>
      <c r="L41" s="1239" t="s">
        <v>895</v>
      </c>
      <c r="M41" s="1239" t="str">
        <f>IF(AX41="PT",VLOOKUP(L41,'Foundation Calculation'!$V$2:$X$40,VLOOKUP(AX41,'Foundation Calculation'!$I$10:$J$13,2,FALSE),0),IF(AX41="K",VLOOKUP(L41,'Foundation Calculation'!$V$42:$X$80,VLOOKUP(AX41,'Foundation Calculation'!$I$10:$J$13,2,FALSE),0),""))</f>
        <v>2C3R</v>
      </c>
      <c r="N41" s="1239" t="s">
        <v>140</v>
      </c>
      <c r="O41" s="1239" t="s">
        <v>144</v>
      </c>
      <c r="P41" s="1239"/>
      <c r="Q41" s="1239">
        <v>0</v>
      </c>
      <c r="R41" s="1239">
        <v>0</v>
      </c>
      <c r="S41" s="455"/>
      <c r="T41" s="1239">
        <v>35</v>
      </c>
      <c r="U41" s="1239">
        <v>15</v>
      </c>
      <c r="V41" s="1239"/>
      <c r="W41" s="1239">
        <v>1.4</v>
      </c>
      <c r="X41" s="1239">
        <v>2.2999999999999998</v>
      </c>
      <c r="Y41" s="1239"/>
      <c r="Z41" s="1239">
        <v>0.6</v>
      </c>
      <c r="AA41" s="1239"/>
      <c r="AB41" s="1239"/>
      <c r="AC41" s="1239" t="s">
        <v>1421</v>
      </c>
      <c r="AD41" s="1239"/>
      <c r="AE41" s="1239"/>
      <c r="AF41" s="1239">
        <v>6000</v>
      </c>
      <c r="AG41" s="171">
        <v>85794</v>
      </c>
      <c r="AH41" s="1239">
        <v>2533</v>
      </c>
      <c r="AI41" s="1239">
        <v>420</v>
      </c>
      <c r="AJ41" s="1239"/>
      <c r="AK41" s="1239"/>
      <c r="AL41" s="1239"/>
      <c r="AM41" s="1239" t="s">
        <v>1042</v>
      </c>
      <c r="AN41" s="455">
        <v>5.5</v>
      </c>
      <c r="AO41" s="1239"/>
      <c r="AP41" s="1239"/>
      <c r="AQ41" s="455"/>
      <c r="AR41" s="1239"/>
      <c r="AS41" s="1239"/>
      <c r="AT41" s="455">
        <f>+ab($U$41,$T$39,$U$43,$G$40,$G$42,-1*$F$41,1200)</f>
        <v>11.80416587022178</v>
      </c>
      <c r="AU41" s="1239"/>
      <c r="AV41" s="1239"/>
      <c r="AW41" s="1239" t="str">
        <f>VLOOKUP(C41,'Foundation Calculation'!$A$2:$C$33,3,1)</f>
        <v>Soil B</v>
      </c>
      <c r="AX41" s="1239" t="str">
        <f>VLOOKUP(C41,'Foundation Calculation'!$E$2:$G$33,3,1)</f>
        <v>PT</v>
      </c>
      <c r="AY41" s="455">
        <f>IF(AX41="PT",VLOOKUP(L41,'Foundation Calculation'!$K$2:$R$40,VLOOKUP(AW41,'Foundation Calculation'!$I$2:$J$8,2,FALSE),0),IF(AX41="K",VLOOKUP(L41,'Foundation Calculation'!$K$42:$R$80,VLOOKUP(AW41,'Foundation Calculation'!$I$2:$J$8,2,FALSE),0),""))</f>
        <v>3.5</v>
      </c>
      <c r="AZ41" s="455"/>
      <c r="BA41" s="671" t="s">
        <v>2809</v>
      </c>
      <c r="BB41" s="1239" t="str">
        <f>Pole_Calculations!A19</f>
        <v>App.7-V11A-P9.5.1.5</v>
      </c>
      <c r="BC41" s="169"/>
      <c r="BD41" s="1371"/>
      <c r="BE41" s="1371"/>
      <c r="BF41" s="1371"/>
      <c r="BG41" s="1371"/>
    </row>
    <row r="42" spans="1:59" ht="15.75" customHeight="1">
      <c r="A42" s="1239"/>
      <c r="B42" s="1239"/>
      <c r="C42" s="171"/>
      <c r="D42" s="1239"/>
      <c r="E42" s="1239"/>
      <c r="F42" s="448"/>
      <c r="G42" s="455">
        <v>60</v>
      </c>
      <c r="H42" s="1239"/>
      <c r="I42" s="448"/>
      <c r="J42" s="171"/>
      <c r="K42" s="1239"/>
      <c r="L42" s="1239"/>
      <c r="M42" s="1239"/>
      <c r="N42" s="1239"/>
      <c r="O42" s="1239"/>
      <c r="P42" s="1239"/>
      <c r="Q42" s="1239"/>
      <c r="R42" s="1239"/>
      <c r="S42" s="455">
        <f t="shared" ref="S42" si="14">AG43-AG41</f>
        <v>60</v>
      </c>
      <c r="T42" s="1239"/>
      <c r="U42" s="1239"/>
      <c r="V42" s="1239"/>
      <c r="W42" s="1239"/>
      <c r="X42" s="1239"/>
      <c r="Y42" s="1239"/>
      <c r="Z42" s="1239"/>
      <c r="AA42" s="1239"/>
      <c r="AB42" s="1239"/>
      <c r="AC42" s="1239"/>
      <c r="AD42" s="1239"/>
      <c r="AE42" s="1239"/>
      <c r="AF42" s="1239"/>
      <c r="AG42" s="171"/>
      <c r="AH42" s="1239"/>
      <c r="AI42" s="1239"/>
      <c r="AJ42" s="1239"/>
      <c r="AK42" s="1239"/>
      <c r="AL42" s="1239"/>
      <c r="AM42" s="1239"/>
      <c r="AN42" s="455"/>
      <c r="AO42" s="1239"/>
      <c r="AP42" s="1239"/>
      <c r="AQ42" s="455">
        <f>+FL_2($T$43,$U$41,$G$42,1200,9.28,-1*$F$43)</f>
        <v>-0.36416378533333332</v>
      </c>
      <c r="AR42" s="1239"/>
      <c r="AS42" s="1239"/>
      <c r="AT42" s="455"/>
      <c r="AU42" s="1239"/>
      <c r="AV42" s="1239"/>
      <c r="AW42" s="1239"/>
      <c r="AX42" s="1239"/>
      <c r="AY42" s="455"/>
      <c r="AZ42" s="455"/>
      <c r="BA42" s="1314"/>
      <c r="BB42" s="1239"/>
      <c r="BC42" s="169"/>
      <c r="BD42" s="1330"/>
      <c r="BE42" s="1330"/>
      <c r="BF42" s="1330"/>
      <c r="BG42" s="1330"/>
    </row>
    <row r="43" spans="1:59" ht="15.75" customHeight="1">
      <c r="A43" s="1239"/>
      <c r="B43" s="572" t="s">
        <v>3376</v>
      </c>
      <c r="C43" s="171">
        <f>+$C$41+$G$42</f>
        <v>85854.07</v>
      </c>
      <c r="D43" s="1239"/>
      <c r="E43" s="1239"/>
      <c r="F43" s="448">
        <v>0</v>
      </c>
      <c r="G43" s="455"/>
      <c r="H43" s="1239" t="s">
        <v>619</v>
      </c>
      <c r="I43" s="448"/>
      <c r="J43" s="171"/>
      <c r="K43" s="1239"/>
      <c r="L43" s="1239" t="s">
        <v>895</v>
      </c>
      <c r="M43" s="1239" t="str">
        <f>IF(AX43="PT",VLOOKUP(L43,'Foundation Calculation'!$V$2:$X$40,VLOOKUP(AX43,'Foundation Calculation'!$I$10:$J$13,2,FALSE),0),IF(AX43="K",VLOOKUP(L43,'Foundation Calculation'!$V$42:$X$80,VLOOKUP(AX43,'Foundation Calculation'!$I$10:$J$13,2,FALSE),0),""))</f>
        <v>2C3R</v>
      </c>
      <c r="N43" s="1239" t="s">
        <v>143</v>
      </c>
      <c r="O43" s="1239" t="s">
        <v>140</v>
      </c>
      <c r="P43" s="1239"/>
      <c r="Q43" s="1239">
        <v>0</v>
      </c>
      <c r="R43" s="1239">
        <v>0</v>
      </c>
      <c r="S43" s="455"/>
      <c r="T43" s="1239">
        <v>-15</v>
      </c>
      <c r="U43" s="1239">
        <v>-35</v>
      </c>
      <c r="V43" s="1239"/>
      <c r="W43" s="1239">
        <v>1.4</v>
      </c>
      <c r="X43" s="1239">
        <v>2.2999999999999998</v>
      </c>
      <c r="Y43" s="1239"/>
      <c r="Z43" s="1239"/>
      <c r="AA43" s="1239">
        <v>0.6</v>
      </c>
      <c r="AB43" s="1239"/>
      <c r="AC43" s="1239" t="s">
        <v>1421</v>
      </c>
      <c r="AD43" s="1239"/>
      <c r="AE43" s="1239"/>
      <c r="AF43" s="1239">
        <v>6000</v>
      </c>
      <c r="AG43" s="171">
        <v>85854</v>
      </c>
      <c r="AH43" s="1239">
        <v>2533</v>
      </c>
      <c r="AI43" s="1239">
        <v>510</v>
      </c>
      <c r="AJ43" s="1239"/>
      <c r="AK43" s="1239"/>
      <c r="AL43" s="1239"/>
      <c r="AM43" s="1239" t="s">
        <v>1042</v>
      </c>
      <c r="AN43" s="455">
        <v>5.5</v>
      </c>
      <c r="AO43" s="1239"/>
      <c r="AP43" s="1239"/>
      <c r="AQ43" s="455"/>
      <c r="AR43" s="1239"/>
      <c r="AS43" s="1239"/>
      <c r="AT43" s="455">
        <f>+ab($T$43,$T$41,$T$45,$G$42,$G$44,-1*$F$43,1200)</f>
        <v>-11.804246052776424</v>
      </c>
      <c r="AU43" s="1239"/>
      <c r="AV43" s="1239"/>
      <c r="AW43" s="1239" t="str">
        <f>VLOOKUP(C43,'Foundation Calculation'!$A$2:$C$33,3,1)</f>
        <v>Soil B</v>
      </c>
      <c r="AX43" s="1239" t="str">
        <f>VLOOKUP(C43,'Foundation Calculation'!$E$2:$G$33,3,1)</f>
        <v>PT</v>
      </c>
      <c r="AY43" s="455">
        <f>IF(AX43="PT",VLOOKUP(L43,'Foundation Calculation'!$K$2:$R$40,VLOOKUP(AW43,'Foundation Calculation'!$I$2:$J$8,2,FALSE),0),IF(AX43="K",VLOOKUP(L43,'Foundation Calculation'!$K$42:$R$80,VLOOKUP(AW43,'Foundation Calculation'!$I$2:$J$8,2,FALSE),0),""))</f>
        <v>3.5</v>
      </c>
      <c r="AZ43" s="455"/>
      <c r="BA43" s="671" t="s">
        <v>2809</v>
      </c>
      <c r="BB43" s="1239" t="str">
        <f>Pole_Calculations!A19</f>
        <v>App.7-V11A-P9.5.1.5</v>
      </c>
      <c r="BC43" s="169"/>
      <c r="BD43" s="1371"/>
      <c r="BE43" s="1371"/>
      <c r="BF43" s="1371"/>
      <c r="BG43" s="1371"/>
    </row>
    <row r="44" spans="1:59" ht="15.75" customHeight="1">
      <c r="A44" s="1239"/>
      <c r="B44" s="1239"/>
      <c r="C44" s="171"/>
      <c r="D44" s="1239"/>
      <c r="E44" s="1239"/>
      <c r="F44" s="448"/>
      <c r="G44" s="455">
        <v>52</v>
      </c>
      <c r="H44" s="1239"/>
      <c r="I44" s="448"/>
      <c r="J44" s="171"/>
      <c r="K44" s="1239"/>
      <c r="L44" s="1239"/>
      <c r="M44" s="1239"/>
      <c r="N44" s="1239"/>
      <c r="O44" s="1239"/>
      <c r="P44" s="1239"/>
      <c r="Q44" s="1239"/>
      <c r="R44" s="1239"/>
      <c r="S44" s="455">
        <f t="shared" ref="S44" si="15">AG45-AG43</f>
        <v>52</v>
      </c>
      <c r="T44" s="1239"/>
      <c r="U44" s="1239"/>
      <c r="V44" s="1239"/>
      <c r="W44" s="1239"/>
      <c r="X44" s="1239"/>
      <c r="Y44" s="1239"/>
      <c r="Z44" s="1239"/>
      <c r="AA44" s="1239"/>
      <c r="AB44" s="1239"/>
      <c r="AC44" s="1239"/>
      <c r="AD44" s="1239"/>
      <c r="AE44" s="1239"/>
      <c r="AF44" s="1239"/>
      <c r="AG44" s="171"/>
      <c r="AH44" s="1239"/>
      <c r="AI44" s="1239"/>
      <c r="AJ44" s="1239"/>
      <c r="AK44" s="1239"/>
      <c r="AL44" s="1239"/>
      <c r="AM44" s="1239"/>
      <c r="AN44" s="455"/>
      <c r="AO44" s="1239"/>
      <c r="AP44" s="1239"/>
      <c r="AQ44" s="455">
        <f>+FL_1($T$45,$T$43,$G$44,1200,9.28,-1*$F$45)</f>
        <v>0.34964416153846151</v>
      </c>
      <c r="AR44" s="1239"/>
      <c r="AS44" s="1239"/>
      <c r="AT44" s="455"/>
      <c r="AU44" s="1239"/>
      <c r="AV44" s="1239"/>
      <c r="AW44" s="1239"/>
      <c r="AX44" s="1239"/>
      <c r="AY44" s="455"/>
      <c r="AZ44" s="455"/>
      <c r="BA44" s="1314"/>
      <c r="BB44" s="1239"/>
      <c r="BC44" s="169"/>
      <c r="BD44" s="1330"/>
      <c r="BE44" s="1330"/>
      <c r="BF44" s="1330"/>
      <c r="BG44" s="1330"/>
    </row>
    <row r="45" spans="1:59" ht="15.75" customHeight="1">
      <c r="A45" s="1239"/>
      <c r="B45" s="572" t="s">
        <v>3377</v>
      </c>
      <c r="C45" s="171">
        <f>+$C$43+$G$44</f>
        <v>85906.07</v>
      </c>
      <c r="D45" s="1239"/>
      <c r="E45" s="1239"/>
      <c r="F45" s="448">
        <v>0</v>
      </c>
      <c r="G45" s="455"/>
      <c r="H45" s="1239" t="s">
        <v>138</v>
      </c>
      <c r="I45" s="448" t="s">
        <v>623</v>
      </c>
      <c r="J45" s="171"/>
      <c r="K45" s="1239"/>
      <c r="L45" s="1239" t="s">
        <v>898</v>
      </c>
      <c r="M45" s="1239" t="str">
        <f>IF(AX45="PT",VLOOKUP(L45,'Foundation Calculation'!$V$2:$X$40,VLOOKUP(AX45,'Foundation Calculation'!$I$10:$J$13,2,FALSE),0),IF(AX45="K",VLOOKUP(L45,'Foundation Calculation'!$V$42:$X$80,VLOOKUP(AX45,'Foundation Calculation'!$I$10:$J$13,2,FALSE),0),""))</f>
        <v>C4R</v>
      </c>
      <c r="N45" s="1239" t="s">
        <v>144</v>
      </c>
      <c r="O45" s="1239"/>
      <c r="P45" s="1239"/>
      <c r="Q45" s="1239">
        <v>0</v>
      </c>
      <c r="R45" s="1239">
        <v>0</v>
      </c>
      <c r="S45" s="455"/>
      <c r="T45" s="1239">
        <v>25</v>
      </c>
      <c r="U45" s="1239"/>
      <c r="V45" s="1239"/>
      <c r="W45" s="1239">
        <v>1.4</v>
      </c>
      <c r="X45" s="1239"/>
      <c r="Y45" s="1239"/>
      <c r="Z45" s="1239"/>
      <c r="AA45" s="1239"/>
      <c r="AB45" s="1239"/>
      <c r="AC45" s="1239" t="s">
        <v>1421</v>
      </c>
      <c r="AD45" s="1239"/>
      <c r="AE45" s="1239"/>
      <c r="AF45" s="1239">
        <v>6000</v>
      </c>
      <c r="AG45" s="171">
        <v>85906</v>
      </c>
      <c r="AH45" s="1239">
        <v>2683</v>
      </c>
      <c r="AI45" s="1239">
        <v>511</v>
      </c>
      <c r="AJ45" s="1239"/>
      <c r="AK45" s="1239"/>
      <c r="AL45" s="1239"/>
      <c r="AM45" s="1239" t="s">
        <v>1042</v>
      </c>
      <c r="AN45" s="455">
        <v>5.5</v>
      </c>
      <c r="AO45" s="1239"/>
      <c r="AP45" s="1239"/>
      <c r="AQ45" s="455"/>
      <c r="AR45" s="1239"/>
      <c r="AS45" s="1239"/>
      <c r="AT45" s="455">
        <f>+ab($T$45,$T$43,$T$47,$G$44,$G$46,-1*$F$45,1200)</f>
        <v>9.652167398423682</v>
      </c>
      <c r="AU45" s="1239"/>
      <c r="AV45" s="1239"/>
      <c r="AW45" s="1239" t="str">
        <f>VLOOKUP(C45,'Foundation Calculation'!$A$2:$C$33,3,1)</f>
        <v>Soil B</v>
      </c>
      <c r="AX45" s="1239" t="str">
        <f>VLOOKUP(C45,'Foundation Calculation'!$E$2:$G$33,3,1)</f>
        <v>PT</v>
      </c>
      <c r="AY45" s="455">
        <f>IF(AX45="PT",VLOOKUP(L45,'Foundation Calculation'!$K$2:$R$40,VLOOKUP(AW45,'Foundation Calculation'!$I$2:$J$8,2,FALSE),0),IF(AX45="K",VLOOKUP(L45,'Foundation Calculation'!$K$42:$R$80,VLOOKUP(AW45,'Foundation Calculation'!$I$2:$J$8,2,FALSE),0),""))</f>
        <v>3.5</v>
      </c>
      <c r="AZ45" s="455"/>
      <c r="BA45" s="671" t="s">
        <v>2809</v>
      </c>
      <c r="BB45" s="1239" t="str">
        <f>Pole_Calculations!A20</f>
        <v>App.7-V11A-P9.5.1.6</v>
      </c>
      <c r="BC45" s="169"/>
      <c r="BD45" s="1371"/>
      <c r="BE45" s="1371"/>
      <c r="BF45" s="1371"/>
      <c r="BG45" s="1371"/>
    </row>
    <row r="46" spans="1:59" ht="15.75" customHeight="1">
      <c r="A46" s="647" t="s">
        <v>3049</v>
      </c>
      <c r="B46" s="647"/>
      <c r="C46" s="652"/>
      <c r="D46" s="647"/>
      <c r="E46" s="647"/>
      <c r="F46" s="650"/>
      <c r="G46" s="651">
        <v>50</v>
      </c>
      <c r="H46" s="647"/>
      <c r="I46" s="650"/>
      <c r="J46" s="652">
        <f>C45+7.5</f>
        <v>85913.57</v>
      </c>
      <c r="K46" s="647" t="s">
        <v>2787</v>
      </c>
      <c r="L46" s="647"/>
      <c r="M46" s="647"/>
      <c r="N46" s="647"/>
      <c r="O46" s="647"/>
      <c r="P46" s="647"/>
      <c r="Q46" s="647"/>
      <c r="R46" s="647"/>
      <c r="S46" s="651">
        <f t="shared" ref="S46" si="16">AG47-AG45</f>
        <v>50</v>
      </c>
      <c r="T46" s="647"/>
      <c r="U46" s="647"/>
      <c r="V46" s="647"/>
      <c r="W46" s="647"/>
      <c r="X46" s="647"/>
      <c r="Y46" s="647"/>
      <c r="Z46" s="647"/>
      <c r="AA46" s="647"/>
      <c r="AB46" s="647"/>
      <c r="AC46" s="647"/>
      <c r="AD46" s="647"/>
      <c r="AE46" s="647"/>
      <c r="AF46" s="647"/>
      <c r="AG46" s="652"/>
      <c r="AH46" s="647"/>
      <c r="AI46" s="647"/>
      <c r="AJ46" s="647"/>
      <c r="AK46" s="647"/>
      <c r="AL46" s="647"/>
      <c r="AM46" s="647"/>
      <c r="AN46" s="651"/>
      <c r="AO46" s="647"/>
      <c r="AP46" s="647"/>
      <c r="AQ46" s="651">
        <f>+FL_2($T$47,$T$45,$G$46,1200,9.28,-1*$F$47)</f>
        <v>-0.38589693103031741</v>
      </c>
      <c r="AR46" s="647"/>
      <c r="AS46" s="647"/>
      <c r="AT46" s="651"/>
      <c r="AU46" s="647"/>
      <c r="AV46" s="647"/>
      <c r="AW46" s="647" t="str">
        <f>VLOOKUP(J46,'Foundation Calculation'!$A$2:$C$33,3,1)</f>
        <v>Soil B</v>
      </c>
      <c r="AX46" s="647" t="str">
        <f>VLOOKUP(J46,'Foundation Calculation'!$E$2:$G$33,3,1)</f>
        <v>PT</v>
      </c>
      <c r="AY46" s="651"/>
      <c r="AZ46" s="651">
        <f>IF(AX46="PT",VLOOKUP(K46,'Foundation Calculation'!$K$2:$R$40,VLOOKUP(AW46,'Foundation Calculation'!$I$2:$J$8,2,FALSE),0),IF(AX46="K",VLOOKUP(K46,'Foundation Calculation'!$K$42:$R$80,VLOOKUP(AW46,'Foundation Calculation'!$I$2:$J$8,2,FALSE),0),""))</f>
        <v>3.9</v>
      </c>
      <c r="BA46" s="701" t="s">
        <v>2809</v>
      </c>
      <c r="BB46" s="647"/>
      <c r="BC46" s="169"/>
      <c r="BD46" s="1329"/>
      <c r="BE46" s="1330"/>
      <c r="BF46" s="1330"/>
      <c r="BG46" s="1330"/>
    </row>
    <row r="47" spans="1:59" ht="15.75" customHeight="1">
      <c r="A47" s="1239"/>
      <c r="B47" s="572" t="s">
        <v>3378</v>
      </c>
      <c r="C47" s="171">
        <f>+$C$45+$G$46</f>
        <v>85956.07</v>
      </c>
      <c r="D47" s="1239"/>
      <c r="E47" s="1239"/>
      <c r="F47" s="448">
        <f>(675^2)/(85953.41-C47)</f>
        <v>-171287.59398473753</v>
      </c>
      <c r="G47" s="455"/>
      <c r="H47" s="1239"/>
      <c r="I47" s="448"/>
      <c r="J47" s="171"/>
      <c r="K47" s="1239"/>
      <c r="L47" s="1239" t="s">
        <v>229</v>
      </c>
      <c r="M47" s="1239" t="str">
        <f>IF(AX47="PT",VLOOKUP(L47,'Foundation Calculation'!$V$2:$X$40,VLOOKUP(AX47,'Foundation Calculation'!$I$10:$J$13,2,FALSE),0),IF(AX47="K",VLOOKUP(L47,'Foundation Calculation'!$V$42:$X$80,VLOOKUP(AX47,'Foundation Calculation'!$I$10:$J$13,2,FALSE),0),""))</f>
        <v>C3R</v>
      </c>
      <c r="N47" s="1239" t="s">
        <v>143</v>
      </c>
      <c r="O47" s="1239"/>
      <c r="P47" s="1239"/>
      <c r="Q47" s="1239">
        <v>0</v>
      </c>
      <c r="R47" s="1239">
        <v>0</v>
      </c>
      <c r="S47" s="455"/>
      <c r="T47" s="1239">
        <v>-35</v>
      </c>
      <c r="U47" s="1239"/>
      <c r="V47" s="1239"/>
      <c r="W47" s="1239">
        <v>1.4</v>
      </c>
      <c r="X47" s="1239"/>
      <c r="Y47" s="1239"/>
      <c r="Z47" s="1239"/>
      <c r="AA47" s="1239"/>
      <c r="AB47" s="1239"/>
      <c r="AC47" s="1239" t="s">
        <v>4090</v>
      </c>
      <c r="AD47" s="1239"/>
      <c r="AE47" s="1239"/>
      <c r="AF47" s="1239">
        <v>6000</v>
      </c>
      <c r="AG47" s="171">
        <v>85956</v>
      </c>
      <c r="AH47" s="1239">
        <v>2863</v>
      </c>
      <c r="AI47" s="1239">
        <v>650</v>
      </c>
      <c r="AJ47" s="1239"/>
      <c r="AK47" s="1239"/>
      <c r="AL47" s="1239"/>
      <c r="AM47" s="1239" t="s">
        <v>1042</v>
      </c>
      <c r="AN47" s="455">
        <v>5.42</v>
      </c>
      <c r="AO47" s="1239"/>
      <c r="AP47" s="1239"/>
      <c r="AQ47" s="455"/>
      <c r="AR47" s="1239"/>
      <c r="AS47" s="1239"/>
      <c r="AT47" s="455">
        <f>+ab($T$47,$T$45,$T$49,$G$46,$G$48,-1*$F$47,1200)</f>
        <v>-6.5348024802528064</v>
      </c>
      <c r="AU47" s="1239"/>
      <c r="AV47" s="1239"/>
      <c r="AW47" s="1239" t="str">
        <f>VLOOKUP(C47,'Foundation Calculation'!$A$2:$C$33,3,1)</f>
        <v>Soil B</v>
      </c>
      <c r="AX47" s="1239" t="str">
        <f>VLOOKUP(C47,'Foundation Calculation'!$E$2:$G$33,3,1)</f>
        <v>PT</v>
      </c>
      <c r="AY47" s="455">
        <f>IF(AX47="PT",VLOOKUP(L47,'Foundation Calculation'!$K$2:$R$40,VLOOKUP(AW47,'Foundation Calculation'!$I$2:$J$8,2,FALSE),0),IF(AX47="K",VLOOKUP(L47,'Foundation Calculation'!$K$42:$R$80,VLOOKUP(AW47,'Foundation Calculation'!$I$2:$J$8,2,FALSE),0),""))</f>
        <v>3.5</v>
      </c>
      <c r="AZ47" s="455"/>
      <c r="BA47" s="671" t="s">
        <v>2809</v>
      </c>
      <c r="BB47" s="1239" t="str">
        <f>Pole_Calculations!A15</f>
        <v>App.7-V11A-P9.5.1.1</v>
      </c>
      <c r="BC47" s="169"/>
      <c r="BD47" s="1371"/>
      <c r="BE47" s="1371"/>
      <c r="BF47" s="1371"/>
      <c r="BG47" s="1371"/>
    </row>
    <row r="48" spans="1:59" ht="15.75" customHeight="1">
      <c r="A48" s="1239"/>
      <c r="B48" s="1239"/>
      <c r="C48" s="171"/>
      <c r="D48" s="1239"/>
      <c r="E48" s="1239"/>
      <c r="F48" s="448"/>
      <c r="G48" s="455">
        <v>40</v>
      </c>
      <c r="H48" s="1239"/>
      <c r="I48" s="448"/>
      <c r="J48" s="171"/>
      <c r="K48" s="1239"/>
      <c r="L48" s="1239"/>
      <c r="M48" s="1239"/>
      <c r="N48" s="1239"/>
      <c r="O48" s="1239"/>
      <c r="P48" s="1239"/>
      <c r="Q48" s="1239"/>
      <c r="R48" s="1239"/>
      <c r="S48" s="455">
        <f t="shared" ref="S48" si="17">AG49-AG47</f>
        <v>-85956</v>
      </c>
      <c r="T48" s="1239"/>
      <c r="U48" s="1239"/>
      <c r="V48" s="1239"/>
      <c r="W48" s="1239"/>
      <c r="X48" s="1239"/>
      <c r="Y48" s="1239"/>
      <c r="Z48" s="1239"/>
      <c r="AA48" s="1239"/>
      <c r="AB48" s="1239"/>
      <c r="AC48" s="1239"/>
      <c r="AD48" s="1239"/>
      <c r="AE48" s="1239"/>
      <c r="AF48" s="1239"/>
      <c r="AG48" s="171"/>
      <c r="AH48" s="1239"/>
      <c r="AI48" s="1239"/>
      <c r="AJ48" s="1239"/>
      <c r="AK48" s="1239"/>
      <c r="AL48" s="1239"/>
      <c r="AM48" s="1239"/>
      <c r="AN48" s="455"/>
      <c r="AO48" s="1239"/>
      <c r="AP48" s="1239"/>
      <c r="AQ48" s="455">
        <f>+FL_2($T$49,$T$47,$G$48,1200,9.28,-1*$F$49)</f>
        <v>-0.35000000000000125</v>
      </c>
      <c r="AR48" s="1239"/>
      <c r="AS48" s="1239"/>
      <c r="AT48" s="455"/>
      <c r="AU48" s="1239"/>
      <c r="AV48" s="1239"/>
      <c r="AW48" s="1239"/>
      <c r="AX48" s="1239"/>
      <c r="AY48" s="455"/>
      <c r="AZ48" s="455"/>
      <c r="BA48" s="1314"/>
      <c r="BB48" s="1239"/>
      <c r="BC48" s="169"/>
      <c r="BD48" s="1330"/>
      <c r="BE48" s="1330"/>
      <c r="BF48" s="1330"/>
      <c r="BG48" s="1330"/>
    </row>
    <row r="49" spans="1:59" ht="15.75" customHeight="1">
      <c r="A49" s="1239"/>
      <c r="B49" s="572" t="s">
        <v>3379</v>
      </c>
      <c r="C49" s="171">
        <f>+$C$47+$G$48</f>
        <v>85996.07</v>
      </c>
      <c r="D49" s="1239"/>
      <c r="E49" s="1239"/>
      <c r="F49" s="448">
        <f>(675^2)/(85953.41-C49)</f>
        <v>-10680.379746834569</v>
      </c>
      <c r="G49" s="455"/>
      <c r="H49" s="1239"/>
      <c r="I49" s="448"/>
      <c r="J49" s="171"/>
      <c r="K49" s="1239"/>
      <c r="L49" s="1239" t="s">
        <v>229</v>
      </c>
      <c r="M49" s="1239" t="str">
        <f>IF(AX49="PT",VLOOKUP(L49,'Foundation Calculation'!$V$2:$X$40,VLOOKUP(AX49,'Foundation Calculation'!$I$10:$J$13,2,FALSE),0),IF(AX49="K",VLOOKUP(L49,'Foundation Calculation'!$V$42:$X$80,VLOOKUP(AX49,'Foundation Calculation'!$I$10:$J$13,2,FALSE),0),""))</f>
        <v>C3R</v>
      </c>
      <c r="N49" s="1239" t="s">
        <v>144</v>
      </c>
      <c r="O49" s="1239"/>
      <c r="P49" s="1239"/>
      <c r="Q49" s="1239"/>
      <c r="R49" s="1239"/>
      <c r="S49" s="455"/>
      <c r="T49" s="1239">
        <v>35</v>
      </c>
      <c r="U49" s="1239"/>
      <c r="V49" s="1239"/>
      <c r="W49" s="1239">
        <v>1.4</v>
      </c>
      <c r="X49" s="1239"/>
      <c r="Y49" s="1239"/>
      <c r="Z49" s="1239"/>
      <c r="AA49" s="1239"/>
      <c r="AB49" s="1239"/>
      <c r="AC49" s="1239" t="s">
        <v>3050</v>
      </c>
      <c r="AD49" s="1239"/>
      <c r="AE49" s="1239"/>
      <c r="AF49" s="1239">
        <v>5800</v>
      </c>
      <c r="AG49" s="171"/>
      <c r="AH49" s="1239"/>
      <c r="AI49" s="1239"/>
      <c r="AJ49" s="1239"/>
      <c r="AK49" s="1239"/>
      <c r="AL49" s="1239"/>
      <c r="AM49" s="1239" t="s">
        <v>1042</v>
      </c>
      <c r="AN49" s="455">
        <v>5.32</v>
      </c>
      <c r="AO49" s="1239"/>
      <c r="AP49" s="1239"/>
      <c r="AQ49" s="455"/>
      <c r="AR49" s="1239"/>
      <c r="AS49" s="1239"/>
      <c r="AT49" s="455">
        <f>+ab($T$49,$T$47,$T$51,$G$48,$G$50,-1*$F$49,1200)</f>
        <v>5.2793025772184379</v>
      </c>
      <c r="AU49" s="1239"/>
      <c r="AV49" s="1239"/>
      <c r="AW49" s="1239" t="str">
        <f>VLOOKUP(C49,'Foundation Calculation'!$A$2:$C$33,3,1)</f>
        <v>Soil B</v>
      </c>
      <c r="AX49" s="1239" t="str">
        <f>VLOOKUP(C49,'Foundation Calculation'!$E$2:$G$33,3,1)</f>
        <v>PT</v>
      </c>
      <c r="AY49" s="455">
        <f>IF(AX49="PT",VLOOKUP(L49,'Foundation Calculation'!$K$2:$R$40,VLOOKUP(AW49,'Foundation Calculation'!$I$2:$J$8,2,FALSE),0),IF(AX49="K",VLOOKUP(L49,'Foundation Calculation'!$K$42:$R$80,VLOOKUP(AW49,'Foundation Calculation'!$I$2:$J$8,2,FALSE),0),""))</f>
        <v>3.5</v>
      </c>
      <c r="AZ49" s="455"/>
      <c r="BA49" s="671" t="s">
        <v>2809</v>
      </c>
      <c r="BB49" s="1239" t="str">
        <f>Pole_Calculations!A15</f>
        <v>App.7-V11A-P9.5.1.1</v>
      </c>
      <c r="BC49" s="169"/>
      <c r="BD49" s="1329">
        <v>43820</v>
      </c>
      <c r="BE49" s="1329">
        <v>43859</v>
      </c>
      <c r="BF49" s="1329"/>
      <c r="BG49" s="1329">
        <v>43870</v>
      </c>
    </row>
    <row r="50" spans="1:59" ht="15.75" customHeight="1">
      <c r="A50" s="1239"/>
      <c r="B50" s="1239"/>
      <c r="C50" s="171"/>
      <c r="D50" s="1239"/>
      <c r="E50" s="1239"/>
      <c r="F50" s="448"/>
      <c r="G50" s="455">
        <v>40</v>
      </c>
      <c r="H50" s="1239"/>
      <c r="I50" s="448"/>
      <c r="J50" s="171"/>
      <c r="K50" s="1239"/>
      <c r="L50" s="1239"/>
      <c r="M50" s="1239"/>
      <c r="N50" s="1239"/>
      <c r="O50" s="1239"/>
      <c r="P50" s="1239"/>
      <c r="Q50" s="1239"/>
      <c r="R50" s="1239"/>
      <c r="S50" s="455">
        <f t="shared" ref="S50" si="18">AG51-AG49</f>
        <v>0</v>
      </c>
      <c r="T50" s="1239"/>
      <c r="U50" s="1239"/>
      <c r="V50" s="1239"/>
      <c r="W50" s="1239"/>
      <c r="X50" s="1239"/>
      <c r="Y50" s="1239"/>
      <c r="Z50" s="1239"/>
      <c r="AA50" s="1239"/>
      <c r="AB50" s="1239"/>
      <c r="AC50" s="1239"/>
      <c r="AD50" s="1239"/>
      <c r="AE50" s="1239"/>
      <c r="AF50" s="1239"/>
      <c r="AG50" s="171"/>
      <c r="AH50" s="1239"/>
      <c r="AI50" s="1239"/>
      <c r="AJ50" s="1239"/>
      <c r="AK50" s="1239"/>
      <c r="AL50" s="1239"/>
      <c r="AM50" s="1239"/>
      <c r="AN50" s="455"/>
      <c r="AO50" s="1239"/>
      <c r="AP50" s="1239"/>
      <c r="AQ50" s="455">
        <f>+FL_1($T$51,$T$49,$G$50,1200,9.28,-1*$F$51)</f>
        <v>0.34999999999999959</v>
      </c>
      <c r="AR50" s="1239"/>
      <c r="AS50" s="1239"/>
      <c r="AT50" s="455"/>
      <c r="AU50" s="1239"/>
      <c r="AV50" s="1239"/>
      <c r="AW50" s="1239"/>
      <c r="AX50" s="1239"/>
      <c r="AY50" s="455"/>
      <c r="AZ50" s="455"/>
      <c r="BA50" s="1314"/>
      <c r="BB50" s="1239"/>
      <c r="BC50" s="169"/>
      <c r="BD50" s="1330"/>
      <c r="BE50" s="1330"/>
      <c r="BF50" s="1330"/>
      <c r="BG50" s="1330"/>
    </row>
    <row r="51" spans="1:59" ht="15.75" customHeight="1">
      <c r="A51" s="1239"/>
      <c r="B51" s="572" t="s">
        <v>3380</v>
      </c>
      <c r="C51" s="171">
        <f>+$C$49+$G$50</f>
        <v>86036.07</v>
      </c>
      <c r="D51" s="1239"/>
      <c r="E51" s="1239"/>
      <c r="F51" s="448">
        <f>(675^2)/(85953.41-C51)</f>
        <v>-5512.0372610692084</v>
      </c>
      <c r="G51" s="455"/>
      <c r="H51" s="1239"/>
      <c r="I51" s="448"/>
      <c r="J51" s="171"/>
      <c r="K51" s="1239"/>
      <c r="L51" s="1239" t="s">
        <v>229</v>
      </c>
      <c r="M51" s="1239" t="str">
        <f>IF(AX51="PT",VLOOKUP(L51,'Foundation Calculation'!$V$2:$X$40,VLOOKUP(AX51,'Foundation Calculation'!$I$10:$J$13,2,FALSE),0),IF(AX51="K",VLOOKUP(L51,'Foundation Calculation'!$V$42:$X$80,VLOOKUP(AX51,'Foundation Calculation'!$I$10:$J$13,2,FALSE),0),""))</f>
        <v>C3R</v>
      </c>
      <c r="N51" s="1239" t="s">
        <v>143</v>
      </c>
      <c r="O51" s="1239"/>
      <c r="P51" s="1239"/>
      <c r="Q51" s="1239"/>
      <c r="R51" s="1239"/>
      <c r="S51" s="455"/>
      <c r="T51" s="1239">
        <v>-25</v>
      </c>
      <c r="U51" s="1239"/>
      <c r="V51" s="1239"/>
      <c r="W51" s="1239">
        <v>1.2</v>
      </c>
      <c r="X51" s="1239"/>
      <c r="Y51" s="1239"/>
      <c r="Z51" s="1239"/>
      <c r="AA51" s="1239"/>
      <c r="AB51" s="1239"/>
      <c r="AC51" s="1239" t="s">
        <v>1421</v>
      </c>
      <c r="AD51" s="1239"/>
      <c r="AE51" s="1239"/>
      <c r="AF51" s="1239">
        <v>5800</v>
      </c>
      <c r="AG51" s="171"/>
      <c r="AH51" s="1239"/>
      <c r="AI51" s="1239"/>
      <c r="AJ51" s="1239"/>
      <c r="AK51" s="1239"/>
      <c r="AL51" s="1239"/>
      <c r="AM51" s="1239" t="s">
        <v>1042</v>
      </c>
      <c r="AN51" s="455">
        <v>5.22</v>
      </c>
      <c r="AO51" s="1239"/>
      <c r="AP51" s="1239"/>
      <c r="AQ51" s="455"/>
      <c r="AR51" s="1239"/>
      <c r="AS51" s="1239"/>
      <c r="AT51" s="455">
        <f>+ab($T$51,$T$49,$T$53,$G$50,$G$52,-1*$F$51,1200)</f>
        <v>-11.54722492106324</v>
      </c>
      <c r="AU51" s="1239"/>
      <c r="AV51" s="1239"/>
      <c r="AW51" s="1239" t="str">
        <f>VLOOKUP(C51,'Foundation Calculation'!$A$2:$C$33,3,1)</f>
        <v>Soil B</v>
      </c>
      <c r="AX51" s="1239" t="str">
        <f>VLOOKUP(C51,'Foundation Calculation'!$E$2:$G$33,3,1)</f>
        <v>PT</v>
      </c>
      <c r="AY51" s="455">
        <f>IF(AX51="PT",VLOOKUP(L51,'Foundation Calculation'!$K$2:$R$40,VLOOKUP(AW51,'Foundation Calculation'!$I$2:$J$8,2,FALSE),0),IF(AX51="K",VLOOKUP(L51,'Foundation Calculation'!$K$42:$R$80,VLOOKUP(AW51,'Foundation Calculation'!$I$2:$J$8,2,FALSE),0),""))</f>
        <v>3.5</v>
      </c>
      <c r="AZ51" s="455"/>
      <c r="BA51" s="671" t="s">
        <v>2809</v>
      </c>
      <c r="BB51" s="1239" t="str">
        <f>Pole_Calculations!A15</f>
        <v>App.7-V11A-P9.5.1.1</v>
      </c>
      <c r="BC51" s="169"/>
      <c r="BD51" s="1329">
        <v>43820</v>
      </c>
      <c r="BE51" s="1329">
        <v>43859</v>
      </c>
      <c r="BF51" s="1329"/>
      <c r="BG51" s="1329">
        <v>43870</v>
      </c>
    </row>
    <row r="52" spans="1:59" ht="15.75" customHeight="1">
      <c r="A52" s="647" t="s">
        <v>3049</v>
      </c>
      <c r="B52" s="657"/>
      <c r="C52" s="649"/>
      <c r="D52" s="650"/>
      <c r="E52" s="650"/>
      <c r="F52" s="650"/>
      <c r="G52" s="651">
        <v>48</v>
      </c>
      <c r="H52" s="647"/>
      <c r="I52" s="650"/>
      <c r="J52" s="649"/>
      <c r="K52" s="653"/>
      <c r="L52" s="653"/>
      <c r="M52" s="653"/>
      <c r="N52" s="647"/>
      <c r="O52" s="647"/>
      <c r="P52" s="647"/>
      <c r="Q52" s="647"/>
      <c r="R52" s="647"/>
      <c r="S52" s="651">
        <f t="shared" ref="S52" si="19">AG53-AG51</f>
        <v>0</v>
      </c>
      <c r="T52" s="647"/>
      <c r="U52" s="647"/>
      <c r="V52" s="647"/>
      <c r="W52" s="647"/>
      <c r="X52" s="647"/>
      <c r="Y52" s="647"/>
      <c r="Z52" s="647"/>
      <c r="AA52" s="647"/>
      <c r="AB52" s="647"/>
      <c r="AC52" s="647"/>
      <c r="AD52" s="647"/>
      <c r="AE52" s="647"/>
      <c r="AF52" s="647"/>
      <c r="AG52" s="652"/>
      <c r="AH52" s="647"/>
      <c r="AI52" s="647"/>
      <c r="AJ52" s="653"/>
      <c r="AK52" s="647"/>
      <c r="AL52" s="653"/>
      <c r="AM52" s="647"/>
      <c r="AN52" s="651"/>
      <c r="AO52" s="647"/>
      <c r="AP52" s="647"/>
      <c r="AQ52" s="654">
        <f>+FL_2($T$53,$T$51,$G$52,1200,9.28,-1*$F$53)</f>
        <v>-0.37176451394112509</v>
      </c>
      <c r="AR52" s="653"/>
      <c r="AS52" s="653"/>
      <c r="AT52" s="654"/>
      <c r="AU52" s="653"/>
      <c r="AV52" s="653"/>
      <c r="AW52" s="654"/>
      <c r="AX52" s="654"/>
      <c r="AY52" s="654"/>
      <c r="AZ52" s="654"/>
      <c r="BA52" s="701"/>
      <c r="BB52" s="647"/>
      <c r="BC52" s="169"/>
      <c r="BD52" s="1330"/>
      <c r="BE52" s="1330"/>
      <c r="BF52" s="1330"/>
      <c r="BG52" s="1330"/>
    </row>
    <row r="53" spans="1:59" ht="15.75" customHeight="1">
      <c r="A53" s="1239"/>
      <c r="B53" s="485" t="s">
        <v>3381</v>
      </c>
      <c r="C53" s="446">
        <f>+$C$51+$G$52</f>
        <v>86084.07</v>
      </c>
      <c r="D53" s="448"/>
      <c r="E53" s="448"/>
      <c r="F53" s="448">
        <f>(675^2)/(85953.41-C53)</f>
        <v>-3487.1039338740839</v>
      </c>
      <c r="G53" s="455"/>
      <c r="H53" s="1239"/>
      <c r="I53" s="448"/>
      <c r="J53" s="446"/>
      <c r="K53" s="638"/>
      <c r="L53" s="638" t="s">
        <v>229</v>
      </c>
      <c r="M53" s="1239" t="str">
        <f>IF(AX53="PT",VLOOKUP(L53,'Foundation Calculation'!$V$2:$X$40,VLOOKUP(AX53,'Foundation Calculation'!$I$10:$J$13,2,FALSE),0),IF(AX53="K",VLOOKUP(L53,'Foundation Calculation'!$V$42:$X$80,VLOOKUP(AX53,'Foundation Calculation'!$I$10:$J$13,2,FALSE),0),""))</f>
        <v>C3R</v>
      </c>
      <c r="N53" s="1239" t="s">
        <v>144</v>
      </c>
      <c r="O53" s="1239"/>
      <c r="P53" s="1239"/>
      <c r="Q53" s="1239"/>
      <c r="R53" s="1239"/>
      <c r="S53" s="455"/>
      <c r="T53" s="1239">
        <v>20</v>
      </c>
      <c r="U53" s="1239"/>
      <c r="V53" s="1239"/>
      <c r="W53" s="1239">
        <v>1</v>
      </c>
      <c r="X53" s="1239"/>
      <c r="Y53" s="1239"/>
      <c r="Z53" s="1239"/>
      <c r="AA53" s="1239"/>
      <c r="AB53" s="1239"/>
      <c r="AC53" s="1239" t="s">
        <v>1421</v>
      </c>
      <c r="AD53" s="1239"/>
      <c r="AE53" s="1239"/>
      <c r="AF53" s="1239">
        <v>5800</v>
      </c>
      <c r="AG53" s="171"/>
      <c r="AH53" s="1239"/>
      <c r="AI53" s="1239"/>
      <c r="AJ53" s="638"/>
      <c r="AK53" s="1239"/>
      <c r="AL53" s="638"/>
      <c r="AM53" s="1239" t="s">
        <v>1042</v>
      </c>
      <c r="AN53" s="455">
        <v>5.15</v>
      </c>
      <c r="AO53" s="1239"/>
      <c r="AP53" s="1239"/>
      <c r="AQ53" s="484"/>
      <c r="AR53" s="484"/>
      <c r="AS53" s="484"/>
      <c r="AT53" s="484">
        <f>+ab($T$53,$T$51,$T$55,$G$52,$G$54,-1*$F$53,1200)</f>
        <v>9.0374494222741735</v>
      </c>
      <c r="AU53" s="638"/>
      <c r="AV53" s="638"/>
      <c r="AW53" s="1239" t="str">
        <f>VLOOKUP(C53,'Foundation Calculation'!$A$2:$C$33,3,1)</f>
        <v>Soil B</v>
      </c>
      <c r="AX53" s="1239" t="str">
        <f>VLOOKUP(C53,'Foundation Calculation'!$E$2:$G$33,3,1)</f>
        <v>PT</v>
      </c>
      <c r="AY53" s="455">
        <f>IF(AX53="PT",VLOOKUP(L53,'Foundation Calculation'!$K$2:$R$40,VLOOKUP(AW53,'Foundation Calculation'!$I$2:$J$8,2,FALSE),0),IF(AX53="K",VLOOKUP(L53,'Foundation Calculation'!$K$42:$R$80,VLOOKUP(AW53,'Foundation Calculation'!$I$2:$J$8,2,FALSE),0),""))</f>
        <v>3.5</v>
      </c>
      <c r="AZ53" s="455"/>
      <c r="BA53" s="671" t="s">
        <v>2809</v>
      </c>
      <c r="BB53" s="1239" t="str">
        <f>Pole_Calculations!A15</f>
        <v>App.7-V11A-P9.5.1.1</v>
      </c>
      <c r="BC53" s="169"/>
      <c r="BD53" s="1329">
        <v>43820</v>
      </c>
      <c r="BE53" s="1329">
        <v>43859</v>
      </c>
      <c r="BF53" s="1329"/>
      <c r="BG53" s="1329">
        <v>43870</v>
      </c>
    </row>
    <row r="54" spans="1:59" ht="15.75" customHeight="1">
      <c r="A54" s="488" t="s">
        <v>1851</v>
      </c>
      <c r="B54" s="494"/>
      <c r="C54" s="489"/>
      <c r="D54" s="492"/>
      <c r="E54" s="492"/>
      <c r="F54" s="492"/>
      <c r="G54" s="457">
        <v>48</v>
      </c>
      <c r="H54" s="495"/>
      <c r="I54" s="492"/>
      <c r="J54" s="489"/>
      <c r="K54" s="490"/>
      <c r="L54" s="490"/>
      <c r="M54" s="490"/>
      <c r="N54" s="495"/>
      <c r="O54" s="495"/>
      <c r="P54" s="495"/>
      <c r="Q54" s="495"/>
      <c r="R54" s="495"/>
      <c r="S54" s="457">
        <f t="shared" ref="S54" si="20">AG55-AG53</f>
        <v>0</v>
      </c>
      <c r="T54" s="495"/>
      <c r="U54" s="495"/>
      <c r="V54" s="495"/>
      <c r="W54" s="495"/>
      <c r="X54" s="495"/>
      <c r="Y54" s="495"/>
      <c r="Z54" s="495"/>
      <c r="AA54" s="495"/>
      <c r="AB54" s="495"/>
      <c r="AC54" s="495"/>
      <c r="AD54" s="495"/>
      <c r="AE54" s="495"/>
      <c r="AF54" s="495"/>
      <c r="AG54" s="431"/>
      <c r="AH54" s="495"/>
      <c r="AI54" s="495"/>
      <c r="AJ54" s="490"/>
      <c r="AK54" s="495"/>
      <c r="AL54" s="490"/>
      <c r="AM54" s="495"/>
      <c r="AN54" s="457"/>
      <c r="AO54" s="495"/>
      <c r="AP54" s="495"/>
      <c r="AQ54" s="493">
        <f>+FL_1($T$55,$T$53,$G$54,1200,9.28,-1*$F$55)</f>
        <v>0.36547970806523711</v>
      </c>
      <c r="AR54" s="493"/>
      <c r="AS54" s="493"/>
      <c r="AT54" s="493"/>
      <c r="AU54" s="490"/>
      <c r="AV54" s="490"/>
      <c r="AW54" s="493"/>
      <c r="AX54" s="493"/>
      <c r="AY54" s="493"/>
      <c r="AZ54" s="493"/>
      <c r="BA54" s="602"/>
      <c r="BB54" s="488"/>
      <c r="BC54" s="169"/>
      <c r="BD54" s="1330"/>
      <c r="BE54" s="1330"/>
      <c r="BF54" s="1330"/>
      <c r="BG54" s="1330"/>
    </row>
    <row r="55" spans="1:59" ht="15.75" customHeight="1">
      <c r="A55" s="1239"/>
      <c r="B55" s="485" t="s">
        <v>3382</v>
      </c>
      <c r="C55" s="446">
        <f>+$C$53+$G$54</f>
        <v>86132.07</v>
      </c>
      <c r="D55" s="448"/>
      <c r="E55" s="448"/>
      <c r="F55" s="448">
        <f>(675^2)/(85953.41-C55)</f>
        <v>-2550.2350833985843</v>
      </c>
      <c r="G55" s="455"/>
      <c r="H55" s="1239"/>
      <c r="I55" s="448"/>
      <c r="J55" s="446"/>
      <c r="K55" s="638"/>
      <c r="L55" s="638" t="s">
        <v>230</v>
      </c>
      <c r="M55" s="1239" t="str">
        <f>IF(AX55="PT",VLOOKUP(L55,'Foundation Calculation'!$V$2:$X$40,VLOOKUP(AX55,'Foundation Calculation'!$I$10:$J$13,2,FALSE),0),IF(AX55="K",VLOOKUP(L55,'Foundation Calculation'!$V$42:$X$80,VLOOKUP(AX55,'Foundation Calculation'!$I$10:$J$13,2,FALSE),0),""))</f>
        <v>C4R</v>
      </c>
      <c r="N55" s="1239" t="s">
        <v>144</v>
      </c>
      <c r="O55" s="1239"/>
      <c r="P55" s="1239"/>
      <c r="Q55" s="1239"/>
      <c r="R55" s="1239"/>
      <c r="S55" s="455"/>
      <c r="T55" s="1239">
        <v>30</v>
      </c>
      <c r="U55" s="1239"/>
      <c r="V55" s="1239"/>
      <c r="W55" s="1239">
        <v>1</v>
      </c>
      <c r="X55" s="1239"/>
      <c r="Y55" s="1239"/>
      <c r="Z55" s="1239"/>
      <c r="AA55" s="1239"/>
      <c r="AB55" s="1239"/>
      <c r="AC55" s="1239" t="s">
        <v>1421</v>
      </c>
      <c r="AD55" s="1239"/>
      <c r="AE55" s="1239"/>
      <c r="AF55" s="1239">
        <v>5800</v>
      </c>
      <c r="AG55" s="171"/>
      <c r="AH55" s="1239"/>
      <c r="AI55" s="1239"/>
      <c r="AJ55" s="638"/>
      <c r="AK55" s="1239"/>
      <c r="AL55" s="638"/>
      <c r="AM55" s="1239" t="s">
        <v>1042</v>
      </c>
      <c r="AN55" s="455">
        <v>5.15</v>
      </c>
      <c r="AO55" s="1239"/>
      <c r="AP55" s="1239"/>
      <c r="AQ55" s="484"/>
      <c r="AR55" s="484"/>
      <c r="AS55" s="484"/>
      <c r="AT55" s="484">
        <f>+ab($T$55,$T$53,$T$57,$G$54,$G$56,-1*$F$55,1200)</f>
        <v>9.0104623547667995</v>
      </c>
      <c r="AU55" s="638"/>
      <c r="AV55" s="638"/>
      <c r="AW55" s="1239" t="str">
        <f>VLOOKUP(C55,'Foundation Calculation'!$A$2:$C$33,3,1)</f>
        <v>Soil B</v>
      </c>
      <c r="AX55" s="1239" t="str">
        <f>VLOOKUP(C55,'Foundation Calculation'!$E$2:$G$33,3,1)</f>
        <v>PT</v>
      </c>
      <c r="AY55" s="455">
        <f>IF(AX55="PT",VLOOKUP(L55,'Foundation Calculation'!$K$2:$R$40,VLOOKUP(AW55,'Foundation Calculation'!$I$2:$J$8,2,FALSE),0),IF(AX55="K",VLOOKUP(L55,'Foundation Calculation'!$K$42:$R$80,VLOOKUP(AW55,'Foundation Calculation'!$I$2:$J$8,2,FALSE),0),""))</f>
        <v>3.5</v>
      </c>
      <c r="AZ55" s="455"/>
      <c r="BA55" s="671" t="s">
        <v>2809</v>
      </c>
      <c r="BB55" s="1239" t="str">
        <f>Pole_Calculations!A15</f>
        <v>App.7-V11A-P9.5.1.1</v>
      </c>
      <c r="BC55" s="169"/>
      <c r="BD55" s="1329">
        <v>43820</v>
      </c>
      <c r="BE55" s="1329">
        <v>43859</v>
      </c>
      <c r="BF55" s="1329"/>
      <c r="BG55" s="1329">
        <v>43870</v>
      </c>
    </row>
    <row r="56" spans="1:59" ht="15.75" customHeight="1">
      <c r="A56" s="1239" t="s">
        <v>4424</v>
      </c>
      <c r="B56" s="445"/>
      <c r="C56" s="446"/>
      <c r="D56" s="448"/>
      <c r="E56" s="448"/>
      <c r="F56" s="448"/>
      <c r="G56" s="455">
        <v>49.1</v>
      </c>
      <c r="H56" s="1239"/>
      <c r="I56" s="448"/>
      <c r="J56" s="446">
        <f>C57-7.5</f>
        <v>86173.670000000013</v>
      </c>
      <c r="K56" s="638" t="s">
        <v>2788</v>
      </c>
      <c r="L56" s="638"/>
      <c r="M56" s="638"/>
      <c r="N56" s="1239"/>
      <c r="O56" s="1239"/>
      <c r="P56" s="1239"/>
      <c r="Q56" s="1239"/>
      <c r="R56" s="1239"/>
      <c r="S56" s="455">
        <f t="shared" ref="S56" si="21">AG57-AG55</f>
        <v>86181</v>
      </c>
      <c r="T56" s="1239"/>
      <c r="U56" s="1239"/>
      <c r="V56" s="1239"/>
      <c r="W56" s="1239"/>
      <c r="X56" s="1239"/>
      <c r="Y56" s="1239"/>
      <c r="Z56" s="1239"/>
      <c r="AA56" s="1239"/>
      <c r="AB56" s="1239"/>
      <c r="AC56" s="1239"/>
      <c r="AD56" s="1239"/>
      <c r="AE56" s="1239"/>
      <c r="AF56" s="1239"/>
      <c r="AG56" s="171"/>
      <c r="AH56" s="1239"/>
      <c r="AI56" s="1239"/>
      <c r="AJ56" s="638"/>
      <c r="AK56" s="1239"/>
      <c r="AL56" s="638"/>
      <c r="AM56" s="1239"/>
      <c r="AN56" s="455"/>
      <c r="AO56" s="1239"/>
      <c r="AP56" s="1239"/>
      <c r="AQ56" s="484">
        <f>+FL_1($T$57,$T$55,$G$56,1200,9.28,-1*$F$57)</f>
        <v>0.38239839297736611</v>
      </c>
      <c r="AR56" s="484"/>
      <c r="AS56" s="484"/>
      <c r="AT56" s="484"/>
      <c r="AU56" s="638"/>
      <c r="AV56" s="638"/>
      <c r="AW56" s="638" t="str">
        <f>VLOOKUP(J56,'Foundation Calculation'!$A$2:$C$33,3,1)</f>
        <v>Soil B</v>
      </c>
      <c r="AX56" s="638" t="str">
        <f>VLOOKUP(J56,'Foundation Calculation'!$E$2:$G$33,3,1)</f>
        <v>PT</v>
      </c>
      <c r="AY56" s="484"/>
      <c r="AZ56" s="484">
        <f>IF(AX56="PT",VLOOKUP(K56,'Foundation Calculation'!$K$2:$R$40,VLOOKUP(AW56,'Foundation Calculation'!$I$2:$J$8,2,FALSE),0),IF(AX56="K",VLOOKUP(K56,'Foundation Calculation'!$K$42:$R$80,VLOOKUP(AW56,'Foundation Calculation'!$I$2:$J$8,2,FALSE),0),""))</f>
        <v>2.8</v>
      </c>
      <c r="BA56" s="671" t="s">
        <v>2809</v>
      </c>
      <c r="BB56" s="1239"/>
      <c r="BC56" s="169"/>
      <c r="BD56" s="1329">
        <v>43820</v>
      </c>
      <c r="BE56" s="1330"/>
      <c r="BF56" s="1330"/>
      <c r="BG56" s="1330"/>
    </row>
    <row r="57" spans="1:59" ht="15.75" customHeight="1">
      <c r="A57" s="1239"/>
      <c r="B57" s="485" t="s">
        <v>3383</v>
      </c>
      <c r="C57" s="446">
        <f>+$C$55+$G$56</f>
        <v>86181.170000000013</v>
      </c>
      <c r="D57" s="448"/>
      <c r="E57" s="448"/>
      <c r="F57" s="448">
        <f>(675^2)/(85953.41-C57)</f>
        <v>-2000.4610115910668</v>
      </c>
      <c r="G57" s="455"/>
      <c r="H57" s="1239" t="s">
        <v>873</v>
      </c>
      <c r="I57" s="448"/>
      <c r="J57" s="446"/>
      <c r="K57" s="638"/>
      <c r="L57" s="638" t="s">
        <v>230</v>
      </c>
      <c r="M57" s="1239" t="str">
        <f>IF(AX57="PT",VLOOKUP(L57,'Foundation Calculation'!$V$2:$X$40,VLOOKUP(AX57,'Foundation Calculation'!$I$10:$J$13,2,FALSE),0),IF(AX57="K",VLOOKUP(L57,'Foundation Calculation'!$V$42:$X$80,VLOOKUP(AX57,'Foundation Calculation'!$I$10:$J$13,2,FALSE),0),""))</f>
        <v>C4R</v>
      </c>
      <c r="N57" s="1239" t="s">
        <v>144</v>
      </c>
      <c r="O57" s="1239"/>
      <c r="P57" s="1239"/>
      <c r="Q57" s="1239">
        <v>90</v>
      </c>
      <c r="R57" s="1239">
        <v>2022.37</v>
      </c>
      <c r="S57" s="455"/>
      <c r="T57" s="1239">
        <v>30</v>
      </c>
      <c r="U57" s="1239"/>
      <c r="V57" s="1239"/>
      <c r="W57" s="1239">
        <v>1.2</v>
      </c>
      <c r="X57" s="1239"/>
      <c r="Y57" s="1239"/>
      <c r="Z57" s="1239"/>
      <c r="AA57" s="1239"/>
      <c r="AB57" s="1239"/>
      <c r="AC57" s="1239" t="s">
        <v>4090</v>
      </c>
      <c r="AD57" s="1239"/>
      <c r="AE57" s="1239"/>
      <c r="AF57" s="1239">
        <v>6000</v>
      </c>
      <c r="AG57" s="171">
        <v>86181</v>
      </c>
      <c r="AH57" s="1239">
        <v>2013</v>
      </c>
      <c r="AI57" s="1239">
        <v>610</v>
      </c>
      <c r="AJ57" s="638"/>
      <c r="AK57" s="1239"/>
      <c r="AL57" s="638"/>
      <c r="AM57" s="1239" t="s">
        <v>1042</v>
      </c>
      <c r="AN57" s="455">
        <v>5.15</v>
      </c>
      <c r="AO57" s="1239"/>
      <c r="AP57" s="1239"/>
      <c r="AQ57" s="484"/>
      <c r="AR57" s="484"/>
      <c r="AS57" s="484"/>
      <c r="AT57" s="484">
        <f>+ab($T$57,$T$55,$T$59,$G$56,$G$58,-1*$F$57,1200)</f>
        <v>7.5499384953648683</v>
      </c>
      <c r="AU57" s="638"/>
      <c r="AV57" s="638"/>
      <c r="AW57" s="1239" t="str">
        <f>VLOOKUP(C57,'Foundation Calculation'!$A$2:$C$33,3,1)</f>
        <v>Soil B</v>
      </c>
      <c r="AX57" s="1239" t="str">
        <f>VLOOKUP(C57,'Foundation Calculation'!$E$2:$G$33,3,1)</f>
        <v>PT</v>
      </c>
      <c r="AY57" s="455">
        <f>IF(AX57="PT",VLOOKUP(L57,'Foundation Calculation'!$K$2:$R$40,VLOOKUP(AW57,'Foundation Calculation'!$I$2:$J$8,2,FALSE),0),IF(AX57="K",VLOOKUP(L57,'Foundation Calculation'!$K$42:$R$80,VLOOKUP(AW57,'Foundation Calculation'!$I$2:$J$8,2,FALSE),0),""))</f>
        <v>3.5</v>
      </c>
      <c r="AZ57" s="455"/>
      <c r="BA57" s="671" t="s">
        <v>2809</v>
      </c>
      <c r="BB57" s="1239" t="str">
        <f>Pole_Calculations!A17</f>
        <v>App.7-V11A-P9.5.1.3</v>
      </c>
      <c r="BC57" s="169"/>
      <c r="BD57" s="1371">
        <v>43820</v>
      </c>
      <c r="BE57" s="1371"/>
      <c r="BF57" s="1371"/>
      <c r="BG57" s="1371"/>
    </row>
    <row r="58" spans="1:59" ht="15.75" customHeight="1">
      <c r="A58" s="1239"/>
      <c r="B58" s="445"/>
      <c r="C58" s="446"/>
      <c r="D58" s="448"/>
      <c r="E58" s="448"/>
      <c r="F58" s="448"/>
      <c r="G58" s="455">
        <v>52</v>
      </c>
      <c r="H58" s="1239"/>
      <c r="I58" s="448">
        <f>C59-C39</f>
        <v>491.10000000000582</v>
      </c>
      <c r="J58" s="446"/>
      <c r="K58" s="638"/>
      <c r="L58" s="638"/>
      <c r="M58" s="638"/>
      <c r="N58" s="1239"/>
      <c r="O58" s="1239"/>
      <c r="P58" s="1239"/>
      <c r="Q58" s="1239"/>
      <c r="R58" s="1239"/>
      <c r="S58" s="455">
        <f t="shared" ref="S58" si="22">AG59-AG57</f>
        <v>-86181</v>
      </c>
      <c r="T58" s="1239"/>
      <c r="U58" s="1239"/>
      <c r="V58" s="1239"/>
      <c r="W58" s="1239"/>
      <c r="X58" s="1239"/>
      <c r="Y58" s="1239"/>
      <c r="Z58" s="1239"/>
      <c r="AA58" s="1239"/>
      <c r="AB58" s="1239"/>
      <c r="AC58" s="1239"/>
      <c r="AD58" s="1239"/>
      <c r="AE58" s="1239"/>
      <c r="AF58" s="1239"/>
      <c r="AG58" s="171"/>
      <c r="AH58" s="1239"/>
      <c r="AI58" s="1239"/>
      <c r="AJ58" s="638"/>
      <c r="AK58" s="1239"/>
      <c r="AL58" s="638"/>
      <c r="AM58" s="1239"/>
      <c r="AN58" s="455"/>
      <c r="AO58" s="1239"/>
      <c r="AP58" s="1239"/>
      <c r="AQ58" s="484">
        <f>+FL_1($T$59,$T$57,$G$58,1200,9.28,-1*$F$59)</f>
        <v>0.38348360100863765</v>
      </c>
      <c r="AR58" s="484"/>
      <c r="AS58" s="484"/>
      <c r="AT58" s="484"/>
      <c r="AU58" s="638"/>
      <c r="AV58" s="638"/>
      <c r="AW58" s="484"/>
      <c r="AX58" s="484"/>
      <c r="AY58" s="484"/>
      <c r="AZ58" s="484"/>
      <c r="BA58" s="671"/>
      <c r="BB58" s="1239"/>
      <c r="BC58" s="169"/>
      <c r="BD58" s="1330"/>
      <c r="BE58" s="1330"/>
      <c r="BF58" s="1330"/>
      <c r="BG58" s="1330"/>
    </row>
    <row r="59" spans="1:59" ht="15.75" customHeight="1">
      <c r="A59" s="1239"/>
      <c r="B59" s="485" t="s">
        <v>3384</v>
      </c>
      <c r="C59" s="446">
        <f>+$C$57+$G$58</f>
        <v>86233.170000000013</v>
      </c>
      <c r="D59" s="448"/>
      <c r="E59" s="448"/>
      <c r="F59" s="448">
        <v>-1900</v>
      </c>
      <c r="G59" s="455"/>
      <c r="H59" s="1239" t="s">
        <v>874</v>
      </c>
      <c r="I59" s="448"/>
      <c r="J59" s="446"/>
      <c r="K59" s="638"/>
      <c r="L59" s="638" t="s">
        <v>230</v>
      </c>
      <c r="M59" s="1239" t="str">
        <f>IF(AX59="PT",VLOOKUP(L59,'Foundation Calculation'!$V$2:$X$40,VLOOKUP(AX59,'Foundation Calculation'!$I$10:$J$13,2,FALSE),0),IF(AX59="K",VLOOKUP(L59,'Foundation Calculation'!$V$42:$X$80,VLOOKUP(AX59,'Foundation Calculation'!$I$10:$J$13,2,FALSE),0),""))</f>
        <v>C4R</v>
      </c>
      <c r="N59" s="1239" t="s">
        <v>144</v>
      </c>
      <c r="O59" s="1239"/>
      <c r="P59" s="1239"/>
      <c r="Q59" s="1239"/>
      <c r="R59" s="1239"/>
      <c r="S59" s="455"/>
      <c r="T59" s="1239">
        <v>30</v>
      </c>
      <c r="U59" s="1239"/>
      <c r="V59" s="1239"/>
      <c r="W59" s="1239">
        <v>1.4</v>
      </c>
      <c r="X59" s="1239"/>
      <c r="Y59" s="1239"/>
      <c r="Z59" s="1239"/>
      <c r="AA59" s="1239"/>
      <c r="AB59" s="1239"/>
      <c r="AC59" s="1239" t="s">
        <v>4090</v>
      </c>
      <c r="AD59" s="1239"/>
      <c r="AE59" s="1239"/>
      <c r="AF59" s="1239">
        <v>5800</v>
      </c>
      <c r="AG59" s="171"/>
      <c r="AH59" s="1239"/>
      <c r="AI59" s="1239"/>
      <c r="AJ59" s="638"/>
      <c r="AK59" s="1239"/>
      <c r="AL59" s="638"/>
      <c r="AM59" s="1239" t="s">
        <v>1042</v>
      </c>
      <c r="AN59" s="455">
        <v>5.15</v>
      </c>
      <c r="AO59" s="1239"/>
      <c r="AP59" s="1239"/>
      <c r="AQ59" s="484"/>
      <c r="AR59" s="484"/>
      <c r="AS59" s="484"/>
      <c r="AT59" s="484">
        <f>+ab($T$59,$T$57,$T$61,$G$58,$G$60,-1*$F$59,1200)</f>
        <v>6.8463985381011394</v>
      </c>
      <c r="AU59" s="638"/>
      <c r="AV59" s="638"/>
      <c r="AW59" s="1239" t="str">
        <f>VLOOKUP(C59,'Foundation Calculation'!$A$2:$C$33,3,1)</f>
        <v>Soil B</v>
      </c>
      <c r="AX59" s="1239" t="str">
        <f>VLOOKUP(C59,'Foundation Calculation'!$E$2:$G$33,3,1)</f>
        <v>PT</v>
      </c>
      <c r="AY59" s="455">
        <f>IF(AX59="PT",VLOOKUP(L59,'Foundation Calculation'!$K$2:$R$40,VLOOKUP(AW59,'Foundation Calculation'!$I$2:$J$8,2,FALSE),0),IF(AX59="K",VLOOKUP(L59,'Foundation Calculation'!$K$42:$R$80,VLOOKUP(AW59,'Foundation Calculation'!$I$2:$J$8,2,FALSE),0),""))</f>
        <v>3.5</v>
      </c>
      <c r="AZ59" s="455"/>
      <c r="BA59" s="671" t="s">
        <v>2809</v>
      </c>
      <c r="BB59" s="1239" t="str">
        <f>Pole_Calculations!A16</f>
        <v>App.7-V11A-P9.5.1.2</v>
      </c>
      <c r="BC59" s="169"/>
      <c r="BD59" s="1329">
        <v>43820</v>
      </c>
      <c r="BE59" s="1329">
        <v>43859</v>
      </c>
      <c r="BF59" s="1329"/>
      <c r="BG59" s="1329">
        <v>43870</v>
      </c>
    </row>
    <row r="60" spans="1:59" ht="15.75" customHeight="1">
      <c r="A60" s="647" t="s">
        <v>3049</v>
      </c>
      <c r="B60" s="657"/>
      <c r="C60" s="649"/>
      <c r="D60" s="650"/>
      <c r="E60" s="650"/>
      <c r="F60" s="650"/>
      <c r="G60" s="651">
        <v>54</v>
      </c>
      <c r="H60" s="647"/>
      <c r="I60" s="650">
        <f>C87-C59</f>
        <v>519.3799999999901</v>
      </c>
      <c r="J60" s="649"/>
      <c r="K60" s="653"/>
      <c r="L60" s="653"/>
      <c r="M60" s="653"/>
      <c r="N60" s="647"/>
      <c r="O60" s="647"/>
      <c r="P60" s="647"/>
      <c r="Q60" s="647"/>
      <c r="R60" s="647"/>
      <c r="S60" s="651">
        <f t="shared" ref="S60" si="23">AG61-AG59</f>
        <v>86287</v>
      </c>
      <c r="T60" s="647"/>
      <c r="U60" s="647"/>
      <c r="V60" s="647"/>
      <c r="W60" s="647"/>
      <c r="X60" s="647"/>
      <c r="Y60" s="647"/>
      <c r="Z60" s="647"/>
      <c r="AA60" s="647"/>
      <c r="AB60" s="647"/>
      <c r="AC60" s="647"/>
      <c r="AD60" s="647"/>
      <c r="AE60" s="647"/>
      <c r="AF60" s="647"/>
      <c r="AG60" s="652"/>
      <c r="AH60" s="647"/>
      <c r="AI60" s="647"/>
      <c r="AJ60" s="653"/>
      <c r="AK60" s="647"/>
      <c r="AL60" s="653"/>
      <c r="AM60" s="647"/>
      <c r="AN60" s="651"/>
      <c r="AO60" s="647"/>
      <c r="AP60" s="647"/>
      <c r="AQ60" s="654">
        <f>+FL_1($T$61,$T$59,$G$60,1200,9.28,-1*$F$61)</f>
        <v>0.39002820865521137</v>
      </c>
      <c r="AR60" s="654"/>
      <c r="AS60" s="654"/>
      <c r="AT60" s="654"/>
      <c r="AU60" s="653"/>
      <c r="AV60" s="653"/>
      <c r="AW60" s="654"/>
      <c r="AX60" s="654"/>
      <c r="AY60" s="654"/>
      <c r="AZ60" s="654"/>
      <c r="BA60" s="701"/>
      <c r="BB60" s="647"/>
      <c r="BC60" s="169"/>
      <c r="BD60" s="1330"/>
      <c r="BE60" s="1330"/>
      <c r="BF60" s="1330"/>
      <c r="BG60" s="1330"/>
    </row>
    <row r="61" spans="1:59" ht="15.75" customHeight="1">
      <c r="A61" s="1239"/>
      <c r="B61" s="485" t="s">
        <v>3385</v>
      </c>
      <c r="C61" s="446">
        <f>+$C$59+$G$60</f>
        <v>86287.170000000013</v>
      </c>
      <c r="D61" s="448"/>
      <c r="E61" s="448"/>
      <c r="F61" s="448">
        <v>-1900</v>
      </c>
      <c r="G61" s="455"/>
      <c r="H61" s="1239" t="s">
        <v>873</v>
      </c>
      <c r="I61" s="448"/>
      <c r="J61" s="446"/>
      <c r="K61" s="638"/>
      <c r="L61" s="638" t="s">
        <v>230</v>
      </c>
      <c r="M61" s="1239" t="str">
        <f>IF(AX61="PT",VLOOKUP(L61,'Foundation Calculation'!$V$2:$X$40,VLOOKUP(AX61,'Foundation Calculation'!$I$10:$J$13,2,FALSE),0),IF(AX61="K",VLOOKUP(L61,'Foundation Calculation'!$V$42:$X$80,VLOOKUP(AX61,'Foundation Calculation'!$I$10:$J$13,2,FALSE),0),""))</f>
        <v>C4R</v>
      </c>
      <c r="N61" s="1239" t="s">
        <v>144</v>
      </c>
      <c r="O61" s="1239"/>
      <c r="P61" s="1239"/>
      <c r="Q61" s="1239">
        <v>100</v>
      </c>
      <c r="R61" s="1239">
        <v>-1900</v>
      </c>
      <c r="S61" s="455"/>
      <c r="T61" s="1239">
        <v>30</v>
      </c>
      <c r="U61" s="1239"/>
      <c r="V61" s="1239"/>
      <c r="W61" s="1239">
        <v>1.4</v>
      </c>
      <c r="X61" s="1239"/>
      <c r="Y61" s="1239"/>
      <c r="Z61" s="1239"/>
      <c r="AA61" s="1239"/>
      <c r="AB61" s="1239"/>
      <c r="AC61" s="1239" t="s">
        <v>4090</v>
      </c>
      <c r="AD61" s="1239"/>
      <c r="AE61" s="1239"/>
      <c r="AF61" s="1239">
        <v>6000</v>
      </c>
      <c r="AG61" s="171">
        <v>86287</v>
      </c>
      <c r="AH61" s="1239">
        <v>2003</v>
      </c>
      <c r="AI61" s="1239">
        <v>650</v>
      </c>
      <c r="AJ61" s="638"/>
      <c r="AK61" s="1239"/>
      <c r="AL61" s="638"/>
      <c r="AM61" s="1239" t="s">
        <v>1042</v>
      </c>
      <c r="AN61" s="455">
        <v>5.15</v>
      </c>
      <c r="AO61" s="1239"/>
      <c r="AP61" s="1239"/>
      <c r="AQ61" s="484"/>
      <c r="AR61" s="484"/>
      <c r="AS61" s="484"/>
      <c r="AT61" s="484">
        <f>+ab($T$61,$T$59,$T$63,$G$60,$G$62,-1*$F$61,1200)</f>
        <v>6.7830124471283586</v>
      </c>
      <c r="AU61" s="638"/>
      <c r="AV61" s="638"/>
      <c r="AW61" s="1239" t="str">
        <f>VLOOKUP(C61,'Foundation Calculation'!$A$2:$C$33,3,1)</f>
        <v>Soil B</v>
      </c>
      <c r="AX61" s="1239" t="str">
        <f>VLOOKUP(C61,'Foundation Calculation'!$E$2:$G$33,3,1)</f>
        <v>PT</v>
      </c>
      <c r="AY61" s="455">
        <f>IF(AX61="PT",VLOOKUP(L61,'Foundation Calculation'!$K$2:$R$40,VLOOKUP(AW61,'Foundation Calculation'!$I$2:$J$8,2,FALSE),0),IF(AX61="K",VLOOKUP(L61,'Foundation Calculation'!$K$42:$R$80,VLOOKUP(AW61,'Foundation Calculation'!$I$2:$J$8,2,FALSE),0),""))</f>
        <v>3.5</v>
      </c>
      <c r="AZ61" s="455"/>
      <c r="BA61" s="671" t="s">
        <v>2809</v>
      </c>
      <c r="BB61" s="1239" t="str">
        <f>Pole_Calculations!A17</f>
        <v>App.7-V11A-P9.5.1.3</v>
      </c>
      <c r="BC61" s="169"/>
      <c r="BD61" s="1371">
        <v>43820</v>
      </c>
      <c r="BE61" s="1371"/>
      <c r="BF61" s="1371"/>
      <c r="BG61" s="1371"/>
    </row>
    <row r="62" spans="1:59" ht="15.75" customHeight="1">
      <c r="A62" s="1239"/>
      <c r="B62" s="445"/>
      <c r="C62" s="446"/>
      <c r="D62" s="448"/>
      <c r="E62" s="448"/>
      <c r="F62" s="448"/>
      <c r="G62" s="455">
        <v>53</v>
      </c>
      <c r="H62" s="1239"/>
      <c r="I62" s="448"/>
      <c r="J62" s="446">
        <f>C61+7.5</f>
        <v>86294.670000000013</v>
      </c>
      <c r="K62" s="638" t="s">
        <v>2788</v>
      </c>
      <c r="L62" s="638"/>
      <c r="M62" s="638"/>
      <c r="N62" s="1239"/>
      <c r="O62" s="1239"/>
      <c r="P62" s="1239"/>
      <c r="Q62" s="1239"/>
      <c r="R62" s="1239"/>
      <c r="S62" s="455">
        <f t="shared" ref="S62" si="24">AG63-AG61</f>
        <v>-86287</v>
      </c>
      <c r="T62" s="1239"/>
      <c r="U62" s="1239"/>
      <c r="V62" s="1239"/>
      <c r="W62" s="1239"/>
      <c r="X62" s="1239"/>
      <c r="Y62" s="1239"/>
      <c r="Z62" s="1239"/>
      <c r="AA62" s="1239"/>
      <c r="AB62" s="1239"/>
      <c r="AC62" s="1239"/>
      <c r="AD62" s="1239"/>
      <c r="AE62" s="1239"/>
      <c r="AF62" s="1239"/>
      <c r="AG62" s="171"/>
      <c r="AH62" s="1239"/>
      <c r="AI62" s="1239"/>
      <c r="AJ62" s="638"/>
      <c r="AK62" s="1239"/>
      <c r="AL62" s="638"/>
      <c r="AM62" s="1239"/>
      <c r="AN62" s="455"/>
      <c r="AO62" s="1239"/>
      <c r="AP62" s="1239"/>
      <c r="AQ62" s="484">
        <f>+FL_1($T$63,$T$61,$G$62,1200,9.28,-1*$F$63)</f>
        <v>0.38672504684162567</v>
      </c>
      <c r="AR62" s="484"/>
      <c r="AS62" s="484"/>
      <c r="AT62" s="484"/>
      <c r="AU62" s="638"/>
      <c r="AV62" s="638"/>
      <c r="AW62" s="638" t="str">
        <f>VLOOKUP(J62,'Foundation Calculation'!$A$2:$C$33,3,1)</f>
        <v>Soil B</v>
      </c>
      <c r="AX62" s="638" t="str">
        <f>VLOOKUP(J62,'Foundation Calculation'!$E$2:$G$33,3,1)</f>
        <v>PT</v>
      </c>
      <c r="AY62" s="484"/>
      <c r="AZ62" s="484">
        <f>IF(AX62="PT",VLOOKUP(K62,'Foundation Calculation'!$K$2:$R$40,VLOOKUP(AW62,'Foundation Calculation'!$I$2:$J$8,2,FALSE),0),IF(AX62="K",VLOOKUP(K62,'Foundation Calculation'!$K$42:$R$80,VLOOKUP(AW62,'Foundation Calculation'!$I$2:$J$8,2,FALSE),0),""))</f>
        <v>2.8</v>
      </c>
      <c r="BA62" s="671" t="s">
        <v>2809</v>
      </c>
      <c r="BB62" s="1239"/>
      <c r="BC62" s="169"/>
      <c r="BD62" s="1329">
        <v>43820</v>
      </c>
      <c r="BE62" s="1330"/>
      <c r="BF62" s="1330"/>
      <c r="BG62" s="1330"/>
    </row>
    <row r="63" spans="1:59" ht="15.75" customHeight="1">
      <c r="A63" s="1239"/>
      <c r="B63" s="485" t="s">
        <v>3386</v>
      </c>
      <c r="C63" s="446">
        <f>+$C$61+$G$62</f>
        <v>86340.170000000013</v>
      </c>
      <c r="D63" s="448"/>
      <c r="E63" s="448"/>
      <c r="F63" s="448">
        <v>-1900</v>
      </c>
      <c r="G63" s="455"/>
      <c r="H63" s="1239"/>
      <c r="I63" s="448"/>
      <c r="J63" s="446"/>
      <c r="K63" s="638"/>
      <c r="L63" s="638" t="s">
        <v>230</v>
      </c>
      <c r="M63" s="1239" t="str">
        <f>IF(AX63="PT",VLOOKUP(L63,'Foundation Calculation'!$V$2:$X$40,VLOOKUP(AX63,'Foundation Calculation'!$I$10:$J$13,2,FALSE),0),IF(AX63="K",VLOOKUP(L63,'Foundation Calculation'!$V$42:$X$80,VLOOKUP(AX63,'Foundation Calculation'!$I$10:$J$13,2,FALSE),0),""))</f>
        <v>C4R</v>
      </c>
      <c r="N63" s="1239" t="s">
        <v>144</v>
      </c>
      <c r="O63" s="1239"/>
      <c r="P63" s="1239"/>
      <c r="Q63" s="1239"/>
      <c r="R63" s="1239"/>
      <c r="S63" s="455"/>
      <c r="T63" s="1239">
        <v>30</v>
      </c>
      <c r="U63" s="1239"/>
      <c r="V63" s="1239"/>
      <c r="W63" s="1239">
        <v>1.4</v>
      </c>
      <c r="X63" s="1239"/>
      <c r="Y63" s="1239"/>
      <c r="Z63" s="1239"/>
      <c r="AA63" s="1239"/>
      <c r="AB63" s="1239"/>
      <c r="AC63" s="1239" t="s">
        <v>4090</v>
      </c>
      <c r="AD63" s="1239"/>
      <c r="AE63" s="1239"/>
      <c r="AF63" s="1239">
        <v>5800</v>
      </c>
      <c r="AG63" s="171"/>
      <c r="AH63" s="1239"/>
      <c r="AI63" s="1239"/>
      <c r="AJ63" s="638"/>
      <c r="AK63" s="1239"/>
      <c r="AL63" s="638"/>
      <c r="AM63" s="1239" t="s">
        <v>1042</v>
      </c>
      <c r="AN63" s="455">
        <v>5.15</v>
      </c>
      <c r="AO63" s="1239"/>
      <c r="AP63" s="1239"/>
      <c r="AQ63" s="484"/>
      <c r="AR63" s="484"/>
      <c r="AS63" s="484"/>
      <c r="AT63" s="484">
        <f>+ab($T$63,$T$61,$T$65,$G$62,$G$64,-1*$F$63,1200)</f>
        <v>6.8463985381011394</v>
      </c>
      <c r="AU63" s="638"/>
      <c r="AV63" s="638"/>
      <c r="AW63" s="1239" t="str">
        <f>VLOOKUP(C63,'Foundation Calculation'!$A$2:$C$33,3,1)</f>
        <v>Soil B</v>
      </c>
      <c r="AX63" s="1239" t="str">
        <f>VLOOKUP(C63,'Foundation Calculation'!$E$2:$G$33,3,1)</f>
        <v>PT</v>
      </c>
      <c r="AY63" s="455">
        <f>IF(AX63="PT",VLOOKUP(L63,'Foundation Calculation'!$K$2:$R$40,VLOOKUP(AW63,'Foundation Calculation'!$I$2:$J$8,2,FALSE),0),IF(AX63="K",VLOOKUP(L63,'Foundation Calculation'!$K$42:$R$80,VLOOKUP(AW63,'Foundation Calculation'!$I$2:$J$8,2,FALSE),0),""))</f>
        <v>3.5</v>
      </c>
      <c r="AZ63" s="455"/>
      <c r="BA63" s="671" t="s">
        <v>2809</v>
      </c>
      <c r="BB63" s="1239" t="str">
        <f>Pole_Calculations!A15</f>
        <v>App.7-V11A-P9.5.1.1</v>
      </c>
      <c r="BC63" s="169"/>
      <c r="BD63" s="1329">
        <v>43820</v>
      </c>
      <c r="BE63" s="1329">
        <v>43859</v>
      </c>
      <c r="BF63" s="1329"/>
      <c r="BG63" s="1329">
        <v>43870</v>
      </c>
    </row>
    <row r="64" spans="1:59" ht="15.75" customHeight="1">
      <c r="A64" s="1239"/>
      <c r="B64" s="445"/>
      <c r="C64" s="446"/>
      <c r="D64" s="448"/>
      <c r="E64" s="448"/>
      <c r="F64" s="448"/>
      <c r="G64" s="455">
        <v>53</v>
      </c>
      <c r="H64" s="1239"/>
      <c r="I64" s="448"/>
      <c r="J64" s="446"/>
      <c r="K64" s="638"/>
      <c r="L64" s="638"/>
      <c r="M64" s="638"/>
      <c r="N64" s="1239"/>
      <c r="O64" s="1239"/>
      <c r="P64" s="1239"/>
      <c r="Q64" s="1239"/>
      <c r="R64" s="1239"/>
      <c r="S64" s="455">
        <f t="shared" ref="S64" si="25">AG65-AG63</f>
        <v>86393</v>
      </c>
      <c r="T64" s="1239"/>
      <c r="U64" s="1239"/>
      <c r="V64" s="1239"/>
      <c r="W64" s="1239"/>
      <c r="X64" s="1239"/>
      <c r="Y64" s="1239"/>
      <c r="Z64" s="1239"/>
      <c r="AA64" s="1239"/>
      <c r="AB64" s="1239"/>
      <c r="AC64" s="1239"/>
      <c r="AD64" s="1239"/>
      <c r="AE64" s="1239"/>
      <c r="AF64" s="1239"/>
      <c r="AG64" s="171"/>
      <c r="AH64" s="1239"/>
      <c r="AI64" s="1239"/>
      <c r="AJ64" s="638"/>
      <c r="AK64" s="1239"/>
      <c r="AL64" s="638"/>
      <c r="AM64" s="1239"/>
      <c r="AN64" s="455"/>
      <c r="AO64" s="1239"/>
      <c r="AP64" s="1239"/>
      <c r="AQ64" s="484">
        <f>+FL_1($T$65,$T$63,$G$64,1200,9.28,-1*$F$65)</f>
        <v>0.38672504684162567</v>
      </c>
      <c r="AR64" s="484"/>
      <c r="AS64" s="484"/>
      <c r="AT64" s="484"/>
      <c r="AU64" s="638"/>
      <c r="AV64" s="638"/>
      <c r="AW64" s="484"/>
      <c r="AX64" s="484"/>
      <c r="AY64" s="484"/>
      <c r="AZ64" s="484"/>
      <c r="BA64" s="671"/>
      <c r="BB64" s="1239"/>
      <c r="BC64" s="169"/>
      <c r="BD64" s="1330"/>
      <c r="BE64" s="1330"/>
      <c r="BF64" s="1330"/>
      <c r="BG64" s="1330"/>
    </row>
    <row r="65" spans="1:59" ht="15.75" customHeight="1">
      <c r="A65" s="1239"/>
      <c r="B65" s="582" t="s">
        <v>3387</v>
      </c>
      <c r="C65" s="446">
        <f>+$C$63+$G$64</f>
        <v>86393.170000000013</v>
      </c>
      <c r="D65" s="448"/>
      <c r="E65" s="448"/>
      <c r="F65" s="448">
        <v>-1900</v>
      </c>
      <c r="G65" s="455"/>
      <c r="H65" s="1239"/>
      <c r="I65" s="448"/>
      <c r="J65" s="446"/>
      <c r="K65" s="638"/>
      <c r="L65" s="638" t="s">
        <v>230</v>
      </c>
      <c r="M65" s="1239" t="str">
        <f>IF(AX65="PT",VLOOKUP(L65,'Foundation Calculation'!$V$2:$X$40,VLOOKUP(AX65,'Foundation Calculation'!$I$10:$J$13,2,FALSE),0),IF(AX65="K",VLOOKUP(L65,'Foundation Calculation'!$V$42:$X$80,VLOOKUP(AX65,'Foundation Calculation'!$I$10:$J$13,2,FALSE),0),""))</f>
        <v>C4R</v>
      </c>
      <c r="N65" s="1239" t="s">
        <v>144</v>
      </c>
      <c r="O65" s="1239"/>
      <c r="P65" s="1239"/>
      <c r="Q65" s="1239">
        <v>100</v>
      </c>
      <c r="R65" s="1239">
        <v>-1900</v>
      </c>
      <c r="S65" s="455"/>
      <c r="T65" s="1239">
        <v>30</v>
      </c>
      <c r="U65" s="1239"/>
      <c r="V65" s="1239"/>
      <c r="W65" s="1239">
        <v>1.4</v>
      </c>
      <c r="X65" s="1239"/>
      <c r="Y65" s="1239"/>
      <c r="Z65" s="1239"/>
      <c r="AA65" s="1239"/>
      <c r="AB65" s="1239"/>
      <c r="AC65" s="1239" t="s">
        <v>4090</v>
      </c>
      <c r="AD65" s="1239"/>
      <c r="AE65" s="1239"/>
      <c r="AF65" s="1239">
        <v>6000</v>
      </c>
      <c r="AG65" s="171">
        <v>86393</v>
      </c>
      <c r="AH65" s="1239">
        <v>2113</v>
      </c>
      <c r="AI65" s="1239">
        <v>610</v>
      </c>
      <c r="AJ65" s="1239"/>
      <c r="AK65" s="1239"/>
      <c r="AL65" s="1239"/>
      <c r="AM65" s="1239" t="s">
        <v>1042</v>
      </c>
      <c r="AN65" s="455">
        <v>5.15</v>
      </c>
      <c r="AO65" s="1239"/>
      <c r="AP65" s="1239"/>
      <c r="AQ65" s="484"/>
      <c r="AR65" s="484"/>
      <c r="AS65" s="484"/>
      <c r="AT65" s="484">
        <f>+ab($T$65,$T$63,$T$67,$G$64,$G$66,-1*$F$65,1200)</f>
        <v>6.9767744865038042</v>
      </c>
      <c r="AU65" s="638"/>
      <c r="AV65" s="638"/>
      <c r="AW65" s="1239" t="str">
        <f>VLOOKUP(C65,'Foundation Calculation'!$A$2:$C$33,3,1)</f>
        <v>Soil B</v>
      </c>
      <c r="AX65" s="1239" t="str">
        <f>VLOOKUP(C65,'Foundation Calculation'!$E$2:$G$33,3,1)</f>
        <v>PT</v>
      </c>
      <c r="AY65" s="455">
        <f>IF(AX65="PT",VLOOKUP(L65,'Foundation Calculation'!$K$2:$R$40,VLOOKUP(AW65,'Foundation Calculation'!$I$2:$J$8,2,FALSE),0),IF(AX65="K",VLOOKUP(L65,'Foundation Calculation'!$K$42:$R$80,VLOOKUP(AW65,'Foundation Calculation'!$I$2:$J$8,2,FALSE),0),""))</f>
        <v>3.5</v>
      </c>
      <c r="AZ65" s="455"/>
      <c r="BA65" s="671" t="s">
        <v>2809</v>
      </c>
      <c r="BB65" s="1239" t="str">
        <f>Pole_Calculations!A15</f>
        <v>App.7-V11A-P9.5.1.1</v>
      </c>
      <c r="BC65" s="169"/>
      <c r="BD65" s="1371">
        <v>43820</v>
      </c>
      <c r="BE65" s="1371"/>
      <c r="BF65" s="1371"/>
      <c r="BG65" s="1371"/>
    </row>
    <row r="66" spans="1:59" ht="15.75" customHeight="1">
      <c r="A66" s="647" t="s">
        <v>3049</v>
      </c>
      <c r="B66" s="648"/>
      <c r="C66" s="649"/>
      <c r="D66" s="650"/>
      <c r="E66" s="650"/>
      <c r="F66" s="650"/>
      <c r="G66" s="651">
        <v>51</v>
      </c>
      <c r="H66" s="647"/>
      <c r="I66" s="650"/>
      <c r="J66" s="649"/>
      <c r="K66" s="653"/>
      <c r="L66" s="647"/>
      <c r="M66" s="647"/>
      <c r="N66" s="647"/>
      <c r="O66" s="647"/>
      <c r="P66" s="647"/>
      <c r="Q66" s="647"/>
      <c r="R66" s="647"/>
      <c r="S66" s="651">
        <f t="shared" ref="S66" si="26">AG67-AG65</f>
        <v>52</v>
      </c>
      <c r="T66" s="647"/>
      <c r="U66" s="647"/>
      <c r="V66" s="647"/>
      <c r="W66" s="647"/>
      <c r="X66" s="647"/>
      <c r="Y66" s="647"/>
      <c r="Z66" s="647"/>
      <c r="AA66" s="647"/>
      <c r="AB66" s="647"/>
      <c r="AC66" s="647"/>
      <c r="AD66" s="647"/>
      <c r="AE66" s="647"/>
      <c r="AF66" s="647"/>
      <c r="AG66" s="652"/>
      <c r="AH66" s="647"/>
      <c r="AI66" s="647"/>
      <c r="AJ66" s="647"/>
      <c r="AK66" s="647"/>
      <c r="AL66" s="647"/>
      <c r="AM66" s="647"/>
      <c r="AN66" s="651"/>
      <c r="AO66" s="647"/>
      <c r="AP66" s="647"/>
      <c r="AQ66" s="654">
        <f>+FL_1($T$67,$T$65,$G$66,1200,9.28,-1*$F$67)</f>
        <v>0.38030387259165732</v>
      </c>
      <c r="AR66" s="654"/>
      <c r="AS66" s="654"/>
      <c r="AT66" s="654"/>
      <c r="AU66" s="653"/>
      <c r="AV66" s="653"/>
      <c r="AW66" s="653"/>
      <c r="AX66" s="653"/>
      <c r="AY66" s="654"/>
      <c r="AZ66" s="654"/>
      <c r="BA66" s="701"/>
      <c r="BB66" s="647"/>
      <c r="BC66" s="169"/>
      <c r="BD66" s="1330"/>
      <c r="BE66" s="1330"/>
      <c r="BF66" s="1330"/>
      <c r="BG66" s="1330"/>
    </row>
    <row r="67" spans="1:59" ht="15.75" customHeight="1">
      <c r="A67" s="658" t="s">
        <v>2971</v>
      </c>
      <c r="B67" s="664" t="s">
        <v>3061</v>
      </c>
      <c r="C67" s="660">
        <v>86445.85</v>
      </c>
      <c r="D67" s="661"/>
      <c r="E67" s="661"/>
      <c r="F67" s="661">
        <v>-1900</v>
      </c>
      <c r="G67" s="662"/>
      <c r="H67" s="658"/>
      <c r="I67" s="661"/>
      <c r="J67" s="660"/>
      <c r="K67" s="663"/>
      <c r="L67" s="658" t="s">
        <v>818</v>
      </c>
      <c r="M67" s="658" t="str">
        <f>IF(AX67="PT",VLOOKUP(L67,'Foundation Calculation'!$V$2:$X$40,VLOOKUP(AX67,'Foundation Calculation'!$I$10:$J$13,2,FALSE),0),IF(AX67="K",VLOOKUP(L67,'Foundation Calculation'!$V$42:$X$80,VLOOKUP(AX67,'Foundation Calculation'!$I$10:$J$13,2,FALSE),0),""))</f>
        <v>C4R</v>
      </c>
      <c r="N67" s="658" t="s">
        <v>144</v>
      </c>
      <c r="O67" s="658"/>
      <c r="P67" s="658"/>
      <c r="Q67" s="658">
        <v>110</v>
      </c>
      <c r="R67" s="658">
        <v>-1900</v>
      </c>
      <c r="S67" s="662"/>
      <c r="T67" s="658">
        <v>30</v>
      </c>
      <c r="U67" s="658"/>
      <c r="V67" s="658"/>
      <c r="W67" s="658">
        <v>1.4</v>
      </c>
      <c r="X67" s="658"/>
      <c r="Y67" s="658"/>
      <c r="Z67" s="658"/>
      <c r="AA67" s="658"/>
      <c r="AB67" s="658"/>
      <c r="AC67" s="658" t="s">
        <v>4090</v>
      </c>
      <c r="AD67" s="658"/>
      <c r="AE67" s="658"/>
      <c r="AF67" s="658">
        <v>6000</v>
      </c>
      <c r="AG67" s="739">
        <v>86445</v>
      </c>
      <c r="AH67" s="658">
        <v>1943</v>
      </c>
      <c r="AI67" s="658">
        <v>470</v>
      </c>
      <c r="AJ67" s="658" t="s">
        <v>2816</v>
      </c>
      <c r="AK67" s="658"/>
      <c r="AL67" s="658"/>
      <c r="AM67" s="658"/>
      <c r="AN67" s="662">
        <v>5.15</v>
      </c>
      <c r="AO67" s="658"/>
      <c r="AP67" s="658"/>
      <c r="AQ67" s="665"/>
      <c r="AR67" s="665"/>
      <c r="AS67" s="665"/>
      <c r="AT67" s="665">
        <f>+ab($T$67,$T$65,$T$69,$G$66,$G$68,-1*$F$67,1200)</f>
        <v>6.9767744865038042</v>
      </c>
      <c r="AU67" s="663"/>
      <c r="AV67" s="663"/>
      <c r="AW67" s="663" t="str">
        <f>VLOOKUP(C67,'Foundation Calculation'!$A$2:$C$33,3,1)</f>
        <v>Soil B</v>
      </c>
      <c r="AX67" s="684" t="str">
        <f>VLOOKUP(C67,'Foundation Calculation'!$E$2:$G$33,3,1)</f>
        <v>PT</v>
      </c>
      <c r="AY67" s="665">
        <f>IF(AX67="PT",VLOOKUP(L67,'Foundation Calculation'!$K$2:$R$40,VLOOKUP(AW67,'Foundation Calculation'!$I$2:$J$8,2,FALSE),0),IF(AX67="K",VLOOKUP(L67,'Foundation Calculation'!$K$42:$R$80,VLOOKUP(AW67,'Foundation Calculation'!$I$2:$J$8,2,FALSE),0),""))</f>
        <v>3.5</v>
      </c>
      <c r="AZ67" s="665"/>
      <c r="BA67" s="670" t="s">
        <v>2809</v>
      </c>
      <c r="BB67" s="658" t="str">
        <f>Pole_Calculations!A15</f>
        <v>App.7-V11A-P9.5.1.1</v>
      </c>
      <c r="BC67" s="169"/>
      <c r="BD67" s="1329">
        <v>43820</v>
      </c>
      <c r="BE67" s="1330"/>
      <c r="BF67" s="1330"/>
      <c r="BG67" s="1330"/>
    </row>
    <row r="68" spans="1:59" ht="15.75" customHeight="1">
      <c r="A68" s="658" t="s">
        <v>3517</v>
      </c>
      <c r="B68" s="664"/>
      <c r="C68" s="660"/>
      <c r="D68" s="661"/>
      <c r="E68" s="661"/>
      <c r="F68" s="661"/>
      <c r="G68" s="662">
        <v>53</v>
      </c>
      <c r="H68" s="658"/>
      <c r="I68" s="661"/>
      <c r="J68" s="660">
        <f>C69-7.5</f>
        <v>86491.35</v>
      </c>
      <c r="K68" s="663" t="s">
        <v>2787</v>
      </c>
      <c r="L68" s="658"/>
      <c r="M68" s="658"/>
      <c r="N68" s="658"/>
      <c r="O68" s="658"/>
      <c r="P68" s="658"/>
      <c r="Q68" s="658"/>
      <c r="R68" s="658"/>
      <c r="S68" s="662">
        <f t="shared" ref="S68" si="27">AG69-AG67</f>
        <v>53</v>
      </c>
      <c r="T68" s="658"/>
      <c r="U68" s="658"/>
      <c r="V68" s="658"/>
      <c r="W68" s="658"/>
      <c r="X68" s="658"/>
      <c r="Y68" s="658"/>
      <c r="Z68" s="658"/>
      <c r="AA68" s="658"/>
      <c r="AB68" s="658"/>
      <c r="AC68" s="658"/>
      <c r="AD68" s="658"/>
      <c r="AE68" s="658"/>
      <c r="AF68" s="658"/>
      <c r="AG68" s="739"/>
      <c r="AH68" s="658"/>
      <c r="AI68" s="658"/>
      <c r="AJ68" s="658"/>
      <c r="AK68" s="658"/>
      <c r="AL68" s="658"/>
      <c r="AM68" s="658"/>
      <c r="AN68" s="662"/>
      <c r="AO68" s="658"/>
      <c r="AP68" s="658"/>
      <c r="AQ68" s="665">
        <f>+FL_1($T$69,$T$67,$G$68,1200,9.28,-1*$F$69)</f>
        <v>0.38672504684162567</v>
      </c>
      <c r="AR68" s="665"/>
      <c r="AS68" s="665"/>
      <c r="AT68" s="665"/>
      <c r="AU68" s="663"/>
      <c r="AV68" s="663"/>
      <c r="AW68" s="663" t="str">
        <f>VLOOKUP(J68,'Foundation Calculation'!$A$2:$C$33,3,1)</f>
        <v>Soil B</v>
      </c>
      <c r="AX68" s="684" t="str">
        <f>VLOOKUP(J68,'Foundation Calculation'!$E$2:$G$33,3,1)</f>
        <v>PT</v>
      </c>
      <c r="AY68" s="665"/>
      <c r="AZ68" s="665">
        <f>IF(AX68="PT",VLOOKUP(K68,'Foundation Calculation'!$K$2:$R$40,VLOOKUP(AW68,'Foundation Calculation'!$I$2:$J$8,2,FALSE),0),IF(AX68="K",VLOOKUP(K68,'Foundation Calculation'!$K$42:$R$80,VLOOKUP(AW68,'Foundation Calculation'!$I$2:$J$8,2,FALSE),0),""))</f>
        <v>3.9</v>
      </c>
      <c r="BA68" s="670" t="s">
        <v>2809</v>
      </c>
      <c r="BB68" s="658"/>
      <c r="BC68" s="169"/>
      <c r="BD68" s="1329">
        <v>43819</v>
      </c>
      <c r="BE68" s="1330"/>
      <c r="BF68" s="1330"/>
      <c r="BG68" s="1330"/>
    </row>
    <row r="69" spans="1:59" ht="15.75" customHeight="1">
      <c r="A69" s="658"/>
      <c r="B69" s="664" t="s">
        <v>3062</v>
      </c>
      <c r="C69" s="660">
        <f>+$C$67+$G$68</f>
        <v>86498.85</v>
      </c>
      <c r="D69" s="661"/>
      <c r="E69" s="661"/>
      <c r="F69" s="661">
        <v>-1900</v>
      </c>
      <c r="G69" s="662"/>
      <c r="H69" s="658" t="s">
        <v>138</v>
      </c>
      <c r="I69" s="661" t="s">
        <v>623</v>
      </c>
      <c r="J69" s="660"/>
      <c r="K69" s="663"/>
      <c r="L69" s="658" t="s">
        <v>899</v>
      </c>
      <c r="M69" s="658" t="str">
        <f>IF(AX69="PT",VLOOKUP(L69,'Foundation Calculation'!$V$2:$X$40,VLOOKUP(AX69,'Foundation Calculation'!$I$10:$J$13,2,FALSE),0),IF(AX69="K",VLOOKUP(L69,'Foundation Calculation'!$V$42:$X$80,VLOOKUP(AX69,'Foundation Calculation'!$I$10:$J$13,2,FALSE),0),""))</f>
        <v>C5R</v>
      </c>
      <c r="N69" s="658" t="s">
        <v>144</v>
      </c>
      <c r="O69" s="658"/>
      <c r="P69" s="658"/>
      <c r="Q69" s="658">
        <v>90</v>
      </c>
      <c r="R69" s="658">
        <v>-1900</v>
      </c>
      <c r="S69" s="662"/>
      <c r="T69" s="658">
        <v>30</v>
      </c>
      <c r="U69" s="658"/>
      <c r="V69" s="658"/>
      <c r="W69" s="658">
        <v>1.4</v>
      </c>
      <c r="X69" s="658"/>
      <c r="Y69" s="658"/>
      <c r="Z69" s="658"/>
      <c r="AA69" s="658"/>
      <c r="AB69" s="658"/>
      <c r="AC69" s="658" t="s">
        <v>4090</v>
      </c>
      <c r="AD69" s="658"/>
      <c r="AE69" s="658"/>
      <c r="AF69" s="658">
        <v>6000</v>
      </c>
      <c r="AG69" s="739">
        <v>86498</v>
      </c>
      <c r="AH69" s="658">
        <v>2063</v>
      </c>
      <c r="AI69" s="658">
        <v>480</v>
      </c>
      <c r="AJ69" s="658"/>
      <c r="AK69" s="658"/>
      <c r="AL69" s="658"/>
      <c r="AM69" s="658" t="s">
        <v>1042</v>
      </c>
      <c r="AN69" s="662">
        <v>5.15</v>
      </c>
      <c r="AO69" s="658"/>
      <c r="AP69" s="658"/>
      <c r="AQ69" s="665"/>
      <c r="AR69" s="665"/>
      <c r="AS69" s="665"/>
      <c r="AT69" s="665">
        <f>+ab($T$69,$T$67,$U$73,$G$68,$G$70,-1*$F$69,1200)</f>
        <v>5.3405601339621454</v>
      </c>
      <c r="AU69" s="663"/>
      <c r="AV69" s="663"/>
      <c r="AW69" s="663" t="str">
        <f>VLOOKUP(C69,'Foundation Calculation'!$A$2:$C$33,3,1)</f>
        <v>Soil B</v>
      </c>
      <c r="AX69" s="684" t="str">
        <f>VLOOKUP(C69,'Foundation Calculation'!$E$2:$G$33,3,1)</f>
        <v>PT</v>
      </c>
      <c r="AY69" s="665">
        <f>IF(AX69="PT",VLOOKUP(L69,'Foundation Calculation'!$K$2:$R$40,VLOOKUP(AW69,'Foundation Calculation'!$I$2:$J$8,2,FALSE),0),IF(AX69="K",VLOOKUP(L69,'Foundation Calculation'!$K$42:$R$80,VLOOKUP(AW69,'Foundation Calculation'!$I$2:$J$8,2,FALSE),0),""))</f>
        <v>3.5</v>
      </c>
      <c r="AZ69" s="665"/>
      <c r="BA69" s="670" t="s">
        <v>2809</v>
      </c>
      <c r="BB69" s="658" t="str">
        <f>Pole_Calculations!A20</f>
        <v>App.7-V11A-P9.5.1.6</v>
      </c>
      <c r="BC69" s="169"/>
      <c r="BD69" s="1329">
        <v>43819</v>
      </c>
      <c r="BE69" s="1330"/>
      <c r="BF69" s="1330"/>
      <c r="BG69" s="1330"/>
    </row>
    <row r="70" spans="1:59" ht="15.75" customHeight="1">
      <c r="A70" s="647" t="s">
        <v>3049</v>
      </c>
      <c r="B70" s="648"/>
      <c r="C70" s="649"/>
      <c r="D70" s="650"/>
      <c r="E70" s="650"/>
      <c r="F70" s="650"/>
      <c r="G70" s="651">
        <v>56</v>
      </c>
      <c r="H70" s="647"/>
      <c r="I70" s="650"/>
      <c r="J70" s="649"/>
      <c r="K70" s="653"/>
      <c r="L70" s="647"/>
      <c r="M70" s="647"/>
      <c r="N70" s="647"/>
      <c r="O70" s="647"/>
      <c r="P70" s="647"/>
      <c r="Q70" s="647"/>
      <c r="R70" s="647"/>
      <c r="S70" s="651">
        <f t="shared" ref="S70" si="28">AG71-AG69</f>
        <v>-86498</v>
      </c>
      <c r="T70" s="647"/>
      <c r="U70" s="647"/>
      <c r="V70" s="647"/>
      <c r="W70" s="647"/>
      <c r="X70" s="647"/>
      <c r="Y70" s="647"/>
      <c r="Z70" s="647"/>
      <c r="AA70" s="647"/>
      <c r="AB70" s="647"/>
      <c r="AC70" s="647"/>
      <c r="AD70" s="647"/>
      <c r="AE70" s="647"/>
      <c r="AF70" s="647"/>
      <c r="AG70" s="652"/>
      <c r="AH70" s="647"/>
      <c r="AI70" s="647"/>
      <c r="AJ70" s="647"/>
      <c r="AK70" s="647"/>
      <c r="AL70" s="647"/>
      <c r="AM70" s="647"/>
      <c r="AN70" s="651"/>
      <c r="AO70" s="647"/>
      <c r="AP70" s="647"/>
      <c r="AQ70" s="654">
        <f>+FL_2($U$73,$T$69,$G$70,1200,9.28,-1*$F$73)</f>
        <v>-0.42910133242216164</v>
      </c>
      <c r="AR70" s="653"/>
      <c r="AS70" s="653"/>
      <c r="AT70" s="654"/>
      <c r="AU70" s="653"/>
      <c r="AV70" s="653"/>
      <c r="AW70" s="653"/>
      <c r="AX70" s="653"/>
      <c r="AY70" s="654"/>
      <c r="AZ70" s="654"/>
      <c r="BA70" s="701"/>
      <c r="BB70" s="647"/>
      <c r="BC70" s="169"/>
      <c r="BD70" s="1330"/>
      <c r="BE70" s="1330"/>
      <c r="BF70" s="1330"/>
      <c r="BG70" s="1330"/>
    </row>
    <row r="71" spans="1:59" ht="15.75" customHeight="1">
      <c r="A71" s="658"/>
      <c r="B71" s="664" t="s">
        <v>4936</v>
      </c>
      <c r="C71" s="660">
        <f>C73-25</f>
        <v>86529.85</v>
      </c>
      <c r="D71" s="661"/>
      <c r="E71" s="661"/>
      <c r="F71" s="661"/>
      <c r="G71" s="662"/>
      <c r="H71" s="658"/>
      <c r="I71" s="661"/>
      <c r="J71" s="660"/>
      <c r="K71" s="663"/>
      <c r="L71" s="663" t="s">
        <v>4420</v>
      </c>
      <c r="M71" s="663" t="s">
        <v>4399</v>
      </c>
      <c r="N71" s="658"/>
      <c r="O71" s="658"/>
      <c r="P71" s="658"/>
      <c r="Q71" s="658"/>
      <c r="R71" s="658"/>
      <c r="S71" s="662"/>
      <c r="T71" s="658"/>
      <c r="U71" s="658"/>
      <c r="V71" s="658"/>
      <c r="W71" s="658"/>
      <c r="X71" s="658"/>
      <c r="Y71" s="658"/>
      <c r="Z71" s="658"/>
      <c r="AA71" s="658"/>
      <c r="AB71" s="658"/>
      <c r="AC71" s="658"/>
      <c r="AD71" s="658"/>
      <c r="AE71" s="658"/>
      <c r="AF71" s="658"/>
      <c r="AG71" s="739"/>
      <c r="AH71" s="658"/>
      <c r="AI71" s="658"/>
      <c r="AJ71" s="658"/>
      <c r="AK71" s="658"/>
      <c r="AL71" s="658"/>
      <c r="AM71" s="658"/>
      <c r="AN71" s="662"/>
      <c r="AO71" s="658"/>
      <c r="AP71" s="658"/>
      <c r="AQ71" s="665"/>
      <c r="AR71" s="663"/>
      <c r="AS71" s="663"/>
      <c r="AT71" s="665"/>
      <c r="AU71" s="663"/>
      <c r="AV71" s="663"/>
      <c r="AW71" s="663" t="str">
        <f>VLOOKUP(C71,'Foundation Calculation'!$A$2:$C$33,3,1)</f>
        <v>Soil B</v>
      </c>
      <c r="AX71" s="684" t="str">
        <f>VLOOKUP(C71,'Foundation Calculation'!$E$2:$G$33,3,1)</f>
        <v>PT</v>
      </c>
      <c r="AY71" s="665">
        <v>1.2</v>
      </c>
      <c r="AZ71" s="665"/>
      <c r="BA71" s="670" t="s">
        <v>2809</v>
      </c>
      <c r="BB71" s="658"/>
      <c r="BC71" s="169"/>
      <c r="BD71" s="1329">
        <v>43820</v>
      </c>
      <c r="BE71" s="1329"/>
      <c r="BF71" s="1329"/>
      <c r="BG71" s="1329"/>
    </row>
    <row r="72" spans="1:59" ht="15.75" customHeight="1">
      <c r="A72" s="658"/>
      <c r="B72" s="664"/>
      <c r="C72" s="660"/>
      <c r="D72" s="661"/>
      <c r="E72" s="661"/>
      <c r="F72" s="661"/>
      <c r="G72" s="662"/>
      <c r="H72" s="658"/>
      <c r="I72" s="661"/>
      <c r="J72" s="660"/>
      <c r="K72" s="663"/>
      <c r="L72" s="658"/>
      <c r="M72" s="658"/>
      <c r="N72" s="658"/>
      <c r="O72" s="658"/>
      <c r="P72" s="658"/>
      <c r="Q72" s="658"/>
      <c r="R72" s="658"/>
      <c r="S72" s="662">
        <f t="shared" ref="S72" si="29">AG73-AG71</f>
        <v>86554</v>
      </c>
      <c r="T72" s="658"/>
      <c r="U72" s="658"/>
      <c r="V72" s="658"/>
      <c r="W72" s="658"/>
      <c r="X72" s="658"/>
      <c r="Y72" s="658"/>
      <c r="Z72" s="658"/>
      <c r="AA72" s="658"/>
      <c r="AB72" s="658"/>
      <c r="AC72" s="658"/>
      <c r="AD72" s="658"/>
      <c r="AE72" s="658"/>
      <c r="AF72" s="658"/>
      <c r="AG72" s="739"/>
      <c r="AH72" s="658"/>
      <c r="AI72" s="658"/>
      <c r="AJ72" s="658"/>
      <c r="AK72" s="658"/>
      <c r="AL72" s="658"/>
      <c r="AM72" s="658"/>
      <c r="AN72" s="662"/>
      <c r="AO72" s="658"/>
      <c r="AP72" s="658"/>
      <c r="AQ72" s="665"/>
      <c r="AR72" s="663"/>
      <c r="AS72" s="663"/>
      <c r="AT72" s="665"/>
      <c r="AU72" s="663"/>
      <c r="AV72" s="663"/>
      <c r="AW72" s="663"/>
      <c r="AX72" s="663"/>
      <c r="AY72" s="665"/>
      <c r="AZ72" s="665"/>
      <c r="BA72" s="670"/>
      <c r="BB72" s="658"/>
      <c r="BC72" s="169"/>
      <c r="BD72" s="1330"/>
      <c r="BE72" s="1330"/>
      <c r="BF72" s="1330"/>
      <c r="BG72" s="1330"/>
    </row>
    <row r="73" spans="1:59" ht="15.75" customHeight="1">
      <c r="A73" s="658" t="s">
        <v>3057</v>
      </c>
      <c r="B73" s="659" t="s">
        <v>3063</v>
      </c>
      <c r="C73" s="660">
        <f>+$C$69+$G$70</f>
        <v>86554.85</v>
      </c>
      <c r="D73" s="661"/>
      <c r="E73" s="661"/>
      <c r="F73" s="661">
        <v>-1900</v>
      </c>
      <c r="G73" s="662"/>
      <c r="H73" s="658" t="s">
        <v>619</v>
      </c>
      <c r="I73" s="661" t="s">
        <v>1429</v>
      </c>
      <c r="J73" s="660"/>
      <c r="K73" s="663"/>
      <c r="L73" s="663" t="s">
        <v>1697</v>
      </c>
      <c r="M73" s="663" t="str">
        <f>IF(AX73="PT",VLOOKUP(L73,'Foundation Calculation'!$V$2:$X$40,VLOOKUP(AX73,'Foundation Calculation'!$I$10:$J$13,2,FALSE),0),IF(AX73="K",VLOOKUP(L73,'Foundation Calculation'!$V$42:$X$80,VLOOKUP(AX73,'Foundation Calculation'!$I$10:$J$13,2,FALSE),0),""))</f>
        <v>2C3R</v>
      </c>
      <c r="N73" s="658" t="s">
        <v>140</v>
      </c>
      <c r="O73" s="658" t="s">
        <v>144</v>
      </c>
      <c r="P73" s="658"/>
      <c r="Q73" s="658">
        <v>100</v>
      </c>
      <c r="R73" s="658">
        <v>-1900</v>
      </c>
      <c r="S73" s="662"/>
      <c r="T73" s="658">
        <v>35</v>
      </c>
      <c r="U73" s="658">
        <v>-10</v>
      </c>
      <c r="V73" s="658"/>
      <c r="W73" s="658">
        <v>1.4</v>
      </c>
      <c r="X73" s="658">
        <v>2.2999999999999998</v>
      </c>
      <c r="Y73" s="658"/>
      <c r="Z73" s="658">
        <v>0.45</v>
      </c>
      <c r="AA73" s="658"/>
      <c r="AB73" s="658"/>
      <c r="AC73" s="658" t="s">
        <v>1423</v>
      </c>
      <c r="AD73" s="658"/>
      <c r="AE73" s="658"/>
      <c r="AF73" s="658">
        <v>6000</v>
      </c>
      <c r="AG73" s="739">
        <v>86554</v>
      </c>
      <c r="AH73" s="658">
        <v>2663</v>
      </c>
      <c r="AI73" s="658">
        <v>400</v>
      </c>
      <c r="AJ73" s="658" t="s">
        <v>3048</v>
      </c>
      <c r="AK73" s="658"/>
      <c r="AL73" s="658"/>
      <c r="AM73" s="658" t="s">
        <v>1042</v>
      </c>
      <c r="AN73" s="662">
        <v>5.15</v>
      </c>
      <c r="AO73" s="658"/>
      <c r="AP73" s="658"/>
      <c r="AQ73" s="665"/>
      <c r="AR73" s="663"/>
      <c r="AS73" s="663"/>
      <c r="AT73" s="665">
        <f>+ab($U$73,$T$69,$U$77,$G$70,$G$74,-1*$F$73,1200)</f>
        <v>9.5830546244113588</v>
      </c>
      <c r="AU73" s="663"/>
      <c r="AV73" s="663"/>
      <c r="AW73" s="663" t="str">
        <f>VLOOKUP(C73,'Foundation Calculation'!$A$2:$C$33,3,1)</f>
        <v>Soil B</v>
      </c>
      <c r="AX73" s="684" t="str">
        <f>VLOOKUP(C73,'Foundation Calculation'!$E$2:$G$33,3,1)</f>
        <v>PT</v>
      </c>
      <c r="AY73" s="665">
        <f>IF(AX73="PT",VLOOKUP(L73,'Foundation Calculation'!$K$2:$R$40,VLOOKUP(AW73,'Foundation Calculation'!$I$2:$J$8,2,FALSE),0),IF(AX73="K",VLOOKUP(L73,'Foundation Calculation'!$K$42:$R$80,VLOOKUP(AW73,'Foundation Calculation'!$I$2:$J$8,2,FALSE),0),""))</f>
        <v>3.5</v>
      </c>
      <c r="AZ73" s="665"/>
      <c r="BA73" s="670" t="s">
        <v>2809</v>
      </c>
      <c r="BB73" s="658" t="str">
        <f>Pole_Calculations!A19</f>
        <v>App.7-V11A-P9.5.1.5</v>
      </c>
      <c r="BC73" s="169"/>
      <c r="BD73" s="1329"/>
      <c r="BE73" s="1329"/>
      <c r="BF73" s="1329"/>
      <c r="BG73" s="1329"/>
    </row>
    <row r="74" spans="1:59" ht="15.75" customHeight="1">
      <c r="A74" s="658"/>
      <c r="B74" s="659"/>
      <c r="C74" s="660"/>
      <c r="D74" s="661"/>
      <c r="E74" s="661"/>
      <c r="F74" s="661"/>
      <c r="G74" s="662">
        <v>42</v>
      </c>
      <c r="H74" s="658"/>
      <c r="I74" s="661"/>
      <c r="J74" s="660"/>
      <c r="K74" s="663"/>
      <c r="L74" s="663"/>
      <c r="M74" s="663"/>
      <c r="N74" s="658"/>
      <c r="O74" s="658"/>
      <c r="P74" s="658"/>
      <c r="Q74" s="658"/>
      <c r="R74" s="658"/>
      <c r="S74" s="662">
        <f t="shared" ref="S74" si="30">AG75-AG73</f>
        <v>42</v>
      </c>
      <c r="T74" s="658"/>
      <c r="U74" s="658"/>
      <c r="V74" s="658"/>
      <c r="W74" s="658"/>
      <c r="X74" s="658"/>
      <c r="Y74" s="658"/>
      <c r="Z74" s="658"/>
      <c r="AA74" s="658"/>
      <c r="AB74" s="658"/>
      <c r="AC74" s="658"/>
      <c r="AD74" s="658"/>
      <c r="AE74" s="658"/>
      <c r="AF74" s="658"/>
      <c r="AG74" s="739"/>
      <c r="AH74" s="658"/>
      <c r="AI74" s="658"/>
      <c r="AJ74" s="658" t="s">
        <v>1360</v>
      </c>
      <c r="AK74" s="658"/>
      <c r="AL74" s="658"/>
      <c r="AM74" s="658"/>
      <c r="AN74" s="662"/>
      <c r="AO74" s="658"/>
      <c r="AP74" s="658"/>
      <c r="AQ74" s="665">
        <f>+FL_1($T$77,$T$73,$G$74,1200,9.28,-1*$F$77)</f>
        <v>0.39446920972837346</v>
      </c>
      <c r="AR74" s="663"/>
      <c r="AS74" s="663"/>
      <c r="AT74" s="665"/>
      <c r="AU74" s="663"/>
      <c r="AV74" s="663"/>
      <c r="AW74" s="663"/>
      <c r="AX74" s="684"/>
      <c r="AY74" s="665"/>
      <c r="AZ74" s="665"/>
      <c r="BA74" s="670"/>
      <c r="BB74" s="658"/>
      <c r="BC74" s="169"/>
      <c r="BD74" s="1329"/>
      <c r="BE74" s="1329"/>
      <c r="BF74" s="1329"/>
      <c r="BG74" s="1329"/>
    </row>
    <row r="75" spans="1:59" ht="15.75" customHeight="1">
      <c r="A75" s="658"/>
      <c r="B75" s="659" t="s">
        <v>3064</v>
      </c>
      <c r="C75" s="660">
        <f>+$C$73+$G$74</f>
        <v>86596.85</v>
      </c>
      <c r="D75" s="661"/>
      <c r="E75" s="661"/>
      <c r="F75" s="661"/>
      <c r="G75" s="662"/>
      <c r="H75" s="658"/>
      <c r="I75" s="661"/>
      <c r="J75" s="660"/>
      <c r="K75" s="663"/>
      <c r="L75" s="663" t="s">
        <v>1699</v>
      </c>
      <c r="M75" s="663" t="str">
        <f>IF(AX75="PT",VLOOKUP(L75,'Foundation Calculation'!$V$2:$X$40,VLOOKUP(AX75,'Foundation Calculation'!$I$10:$J$13,2,FALSE),0),IF(AX75="K",VLOOKUP(L75,'Foundation Calculation'!$V$42:$X$80,VLOOKUP(AX75,'Foundation Calculation'!$I$10:$J$13,2,FALSE),0),""))</f>
        <v>C7R</v>
      </c>
      <c r="N75" s="658"/>
      <c r="O75" s="658"/>
      <c r="P75" s="658"/>
      <c r="Q75" s="658">
        <v>100</v>
      </c>
      <c r="R75" s="658">
        <v>2068.9899999999998</v>
      </c>
      <c r="S75" s="662"/>
      <c r="T75" s="658"/>
      <c r="U75" s="658"/>
      <c r="V75" s="658"/>
      <c r="W75" s="658"/>
      <c r="X75" s="658"/>
      <c r="Y75" s="658"/>
      <c r="Z75" s="658"/>
      <c r="AA75" s="658"/>
      <c r="AB75" s="658"/>
      <c r="AC75" s="658"/>
      <c r="AD75" s="658"/>
      <c r="AE75" s="658"/>
      <c r="AF75" s="658"/>
      <c r="AG75" s="739">
        <v>86596</v>
      </c>
      <c r="AH75" s="658">
        <v>2553</v>
      </c>
      <c r="AI75" s="658">
        <v>290</v>
      </c>
      <c r="AJ75" s="658"/>
      <c r="AK75" s="658"/>
      <c r="AL75" s="658"/>
      <c r="AM75" s="658" t="s">
        <v>1042</v>
      </c>
      <c r="AN75" s="662"/>
      <c r="AO75" s="658"/>
      <c r="AP75" s="658"/>
      <c r="AQ75" s="665"/>
      <c r="AR75" s="663"/>
      <c r="AS75" s="663"/>
      <c r="AT75" s="665"/>
      <c r="AU75" s="663"/>
      <c r="AV75" s="663"/>
      <c r="AW75" s="663" t="str">
        <f>VLOOKUP(C75,'Foundation Calculation'!$A$2:$C$33,3,1)</f>
        <v>Soil B</v>
      </c>
      <c r="AX75" s="684" t="str">
        <f>VLOOKUP(C75,'Foundation Calculation'!$E$2:$G$33,3,1)</f>
        <v>PT</v>
      </c>
      <c r="AY75" s="665">
        <f>IF(AX75="PT",VLOOKUP(L75,'Foundation Calculation'!$K$2:$R$40,VLOOKUP(AW75,'Foundation Calculation'!$I$2:$J$8,2,FALSE),0),IF(AX75="K",VLOOKUP(L75,'Foundation Calculation'!$K$42:$R$80,VLOOKUP(AW75,'Foundation Calculation'!$I$2:$J$8,2,FALSE),0),""))</f>
        <v>4.4000000000000004</v>
      </c>
      <c r="AZ75" s="665"/>
      <c r="BA75" s="670" t="s">
        <v>2809</v>
      </c>
      <c r="BB75" s="658" t="str">
        <f>Pole_Calculations!A136</f>
        <v>App.7-V11A-P12.3.1.1</v>
      </c>
      <c r="BC75" s="169"/>
      <c r="BD75" s="1329"/>
      <c r="BE75" s="1329"/>
      <c r="BF75" s="1329"/>
      <c r="BG75" s="1329"/>
    </row>
    <row r="76" spans="1:59" ht="15.75" customHeight="1">
      <c r="A76" s="658"/>
      <c r="B76" s="659"/>
      <c r="C76" s="660"/>
      <c r="D76" s="661"/>
      <c r="E76" s="661"/>
      <c r="F76" s="661"/>
      <c r="G76" s="662">
        <v>5</v>
      </c>
      <c r="H76" s="658"/>
      <c r="I76" s="661"/>
      <c r="J76" s="660"/>
      <c r="K76" s="663"/>
      <c r="L76" s="663"/>
      <c r="M76" s="663"/>
      <c r="N76" s="658"/>
      <c r="O76" s="658"/>
      <c r="P76" s="658"/>
      <c r="Q76" s="658"/>
      <c r="R76" s="658"/>
      <c r="S76" s="662">
        <f t="shared" ref="S76" si="31">AG77-AG75</f>
        <v>5</v>
      </c>
      <c r="T76" s="658"/>
      <c r="U76" s="658"/>
      <c r="V76" s="658"/>
      <c r="W76" s="658"/>
      <c r="X76" s="658"/>
      <c r="Y76" s="658"/>
      <c r="Z76" s="658"/>
      <c r="AA76" s="658"/>
      <c r="AB76" s="658"/>
      <c r="AC76" s="658"/>
      <c r="AD76" s="658"/>
      <c r="AE76" s="658"/>
      <c r="AF76" s="658"/>
      <c r="AG76" s="739"/>
      <c r="AH76" s="658"/>
      <c r="AI76" s="658"/>
      <c r="AJ76" s="658"/>
      <c r="AK76" s="658"/>
      <c r="AL76" s="658"/>
      <c r="AM76" s="658"/>
      <c r="AN76" s="662"/>
      <c r="AO76" s="658"/>
      <c r="AP76" s="658"/>
      <c r="AQ76" s="665"/>
      <c r="AR76" s="663"/>
      <c r="AS76" s="663"/>
      <c r="AT76" s="665"/>
      <c r="AU76" s="663"/>
      <c r="AV76" s="663"/>
      <c r="AW76" s="663"/>
      <c r="AX76" s="684"/>
      <c r="AY76" s="665"/>
      <c r="AZ76" s="665"/>
      <c r="BA76" s="670"/>
      <c r="BB76" s="658"/>
      <c r="BC76" s="169"/>
      <c r="BD76" s="1329"/>
      <c r="BE76" s="1329"/>
      <c r="BF76" s="1329"/>
      <c r="BG76" s="1329"/>
    </row>
    <row r="77" spans="1:59" ht="15.75" customHeight="1">
      <c r="A77" s="658" t="s">
        <v>3058</v>
      </c>
      <c r="B77" s="659" t="s">
        <v>3065</v>
      </c>
      <c r="C77" s="660">
        <f>+$C$75+$G$76</f>
        <v>86601.85</v>
      </c>
      <c r="D77" s="661"/>
      <c r="E77" s="661"/>
      <c r="F77" s="661">
        <v>-2133</v>
      </c>
      <c r="G77" s="662"/>
      <c r="H77" s="658" t="s">
        <v>619</v>
      </c>
      <c r="I77" s="661" t="s">
        <v>1429</v>
      </c>
      <c r="J77" s="660"/>
      <c r="K77" s="663"/>
      <c r="L77" s="663" t="s">
        <v>1697</v>
      </c>
      <c r="M77" s="663" t="str">
        <f>IF(AX77="PT",VLOOKUP(L77,'Foundation Calculation'!$V$2:$X$40,VLOOKUP(AX77,'Foundation Calculation'!$I$10:$J$13,2,FALSE),0),IF(AX77="K",VLOOKUP(L77,'Foundation Calculation'!$V$42:$X$80,VLOOKUP(AX77,'Foundation Calculation'!$I$10:$J$13,2,FALSE),0),""))</f>
        <v>2C3R</v>
      </c>
      <c r="N77" s="658" t="s">
        <v>144</v>
      </c>
      <c r="O77" s="658" t="s">
        <v>140</v>
      </c>
      <c r="P77" s="658"/>
      <c r="Q77" s="658">
        <v>80</v>
      </c>
      <c r="R77" s="658">
        <v>2115.1</v>
      </c>
      <c r="S77" s="662"/>
      <c r="T77" s="658">
        <v>30</v>
      </c>
      <c r="U77" s="658">
        <v>-15</v>
      </c>
      <c r="V77" s="658"/>
      <c r="W77" s="658">
        <v>1.4</v>
      </c>
      <c r="X77" s="658">
        <v>2.2999999999999998</v>
      </c>
      <c r="Y77" s="658"/>
      <c r="Z77" s="658"/>
      <c r="AA77" s="658">
        <v>0.45</v>
      </c>
      <c r="AB77" s="658"/>
      <c r="AC77" s="658" t="s">
        <v>1421</v>
      </c>
      <c r="AD77" s="658"/>
      <c r="AE77" s="658"/>
      <c r="AF77" s="658">
        <v>6000</v>
      </c>
      <c r="AG77" s="739">
        <v>86601</v>
      </c>
      <c r="AH77" s="658">
        <v>2283</v>
      </c>
      <c r="AI77" s="658">
        <v>380</v>
      </c>
      <c r="AJ77" s="658" t="s">
        <v>3048</v>
      </c>
      <c r="AK77" s="658"/>
      <c r="AL77" s="658"/>
      <c r="AM77" s="658" t="s">
        <v>1042</v>
      </c>
      <c r="AN77" s="662">
        <v>5.15</v>
      </c>
      <c r="AO77" s="658"/>
      <c r="AP77" s="658"/>
      <c r="AQ77" s="665"/>
      <c r="AR77" s="663"/>
      <c r="AS77" s="663"/>
      <c r="AT77" s="665">
        <f>+ab($T$77,$T$73,$T$79,$G$74,$G$78,-1*$F$77,1200)</f>
        <v>10.202958152036054</v>
      </c>
      <c r="AU77" s="663"/>
      <c r="AV77" s="663"/>
      <c r="AW77" s="663" t="str">
        <f>VLOOKUP(C77,'Foundation Calculation'!$A$2:$C$33,3,1)</f>
        <v>Soil B</v>
      </c>
      <c r="AX77" s="684" t="str">
        <f>VLOOKUP(C77,'Foundation Calculation'!$E$2:$G$33,3,1)</f>
        <v>PT</v>
      </c>
      <c r="AY77" s="665">
        <f>IF(AX77="PT",VLOOKUP(L77,'Foundation Calculation'!$K$2:$R$40,VLOOKUP(AW77,'Foundation Calculation'!$I$2:$J$8,2,FALSE),0),IF(AX77="K",VLOOKUP(L77,'Foundation Calculation'!$K$42:$R$80,VLOOKUP(AW77,'Foundation Calculation'!$I$2:$J$8,2,FALSE),0),""))</f>
        <v>3.5</v>
      </c>
      <c r="AZ77" s="665"/>
      <c r="BA77" s="670" t="s">
        <v>2809</v>
      </c>
      <c r="BB77" s="658" t="str">
        <f>Pole_Calculations!A19</f>
        <v>App.7-V11A-P9.5.1.5</v>
      </c>
      <c r="BC77" s="169"/>
      <c r="BD77" s="1329">
        <v>43819</v>
      </c>
      <c r="BE77" s="1329"/>
      <c r="BF77" s="1329"/>
      <c r="BG77" s="1329"/>
    </row>
    <row r="78" spans="1:59" ht="15.75" customHeight="1">
      <c r="A78" s="658"/>
      <c r="B78" s="659"/>
      <c r="C78" s="660"/>
      <c r="D78" s="661"/>
      <c r="E78" s="661"/>
      <c r="F78" s="661"/>
      <c r="G78" s="662">
        <v>47</v>
      </c>
      <c r="H78" s="658"/>
      <c r="I78" s="661"/>
      <c r="J78" s="660"/>
      <c r="K78" s="663"/>
      <c r="L78" s="663"/>
      <c r="M78" s="663"/>
      <c r="N78" s="658"/>
      <c r="O78" s="658"/>
      <c r="P78" s="658"/>
      <c r="Q78" s="658"/>
      <c r="R78" s="658"/>
      <c r="S78" s="662">
        <f t="shared" ref="S78" si="32">AG79-AG77</f>
        <v>47</v>
      </c>
      <c r="T78" s="658"/>
      <c r="U78" s="658"/>
      <c r="V78" s="658"/>
      <c r="W78" s="658"/>
      <c r="X78" s="658"/>
      <c r="Y78" s="658"/>
      <c r="Z78" s="658"/>
      <c r="AA78" s="658"/>
      <c r="AB78" s="658"/>
      <c r="AC78" s="658"/>
      <c r="AD78" s="658"/>
      <c r="AE78" s="658"/>
      <c r="AF78" s="658"/>
      <c r="AG78" s="739"/>
      <c r="AH78" s="658"/>
      <c r="AI78" s="658"/>
      <c r="AJ78" s="658"/>
      <c r="AK78" s="658"/>
      <c r="AL78" s="658"/>
      <c r="AM78" s="658"/>
      <c r="AN78" s="662"/>
      <c r="AO78" s="658"/>
      <c r="AP78" s="658"/>
      <c r="AQ78" s="665">
        <f>+FL_1($T$79,$T$77,$G$78,1200,9.28,-1*$F$79)</f>
        <v>0.43899945580955024</v>
      </c>
      <c r="AR78" s="663"/>
      <c r="AS78" s="663"/>
      <c r="AT78" s="665"/>
      <c r="AU78" s="663"/>
      <c r="AV78" s="663"/>
      <c r="AW78" s="663"/>
      <c r="AX78" s="684"/>
      <c r="AY78" s="665"/>
      <c r="AZ78" s="665"/>
      <c r="BA78" s="670"/>
      <c r="BB78" s="658"/>
      <c r="BC78" s="169"/>
      <c r="BD78" s="1329"/>
      <c r="BE78" s="1329"/>
      <c r="BF78" s="1329"/>
      <c r="BG78" s="1329"/>
    </row>
    <row r="79" spans="1:59" ht="15.75" customHeight="1">
      <c r="A79" s="658"/>
      <c r="B79" s="659" t="s">
        <v>3066</v>
      </c>
      <c r="C79" s="660">
        <f>+$C$77+$G$78</f>
        <v>86648.85</v>
      </c>
      <c r="D79" s="661"/>
      <c r="E79" s="661"/>
      <c r="F79" s="661">
        <v>-2736</v>
      </c>
      <c r="G79" s="662"/>
      <c r="H79" s="658" t="s">
        <v>619</v>
      </c>
      <c r="I79" s="661"/>
      <c r="J79" s="660"/>
      <c r="K79" s="663"/>
      <c r="L79" s="663" t="s">
        <v>895</v>
      </c>
      <c r="M79" s="663" t="str">
        <f>IF(AX79="PT",VLOOKUP(L79,'Foundation Calculation'!$V$2:$X$40,VLOOKUP(AX79,'Foundation Calculation'!$I$10:$J$13,2,FALSE),0),IF(AX79="K",VLOOKUP(L79,'Foundation Calculation'!$V$42:$X$80,VLOOKUP(AX79,'Foundation Calculation'!$I$10:$J$13,2,FALSE),0),""))</f>
        <v>2C3R</v>
      </c>
      <c r="N79" s="658" t="s">
        <v>140</v>
      </c>
      <c r="O79" s="658" t="s">
        <v>144</v>
      </c>
      <c r="P79" s="658"/>
      <c r="Q79" s="658">
        <v>60</v>
      </c>
      <c r="R79" s="658">
        <v>2697</v>
      </c>
      <c r="S79" s="662"/>
      <c r="T79" s="658">
        <v>35</v>
      </c>
      <c r="U79" s="658">
        <v>-10</v>
      </c>
      <c r="V79" s="658"/>
      <c r="W79" s="658">
        <v>1</v>
      </c>
      <c r="X79" s="658">
        <v>2</v>
      </c>
      <c r="Y79" s="658"/>
      <c r="Z79" s="658">
        <v>0.45</v>
      </c>
      <c r="AA79" s="658"/>
      <c r="AB79" s="658"/>
      <c r="AC79" s="658" t="s">
        <v>1421</v>
      </c>
      <c r="AD79" s="658"/>
      <c r="AE79" s="658"/>
      <c r="AF79" s="658">
        <v>5800</v>
      </c>
      <c r="AG79" s="739">
        <v>86648</v>
      </c>
      <c r="AH79" s="658">
        <v>2543</v>
      </c>
      <c r="AI79" s="658">
        <v>390</v>
      </c>
      <c r="AJ79" s="658"/>
      <c r="AK79" s="658"/>
      <c r="AL79" s="658"/>
      <c r="AM79" s="658" t="s">
        <v>1042</v>
      </c>
      <c r="AN79" s="662">
        <v>5.15</v>
      </c>
      <c r="AO79" s="658"/>
      <c r="AP79" s="658"/>
      <c r="AQ79" s="665"/>
      <c r="AR79" s="663"/>
      <c r="AS79" s="663"/>
      <c r="AT79" s="665">
        <f>+ab($T$79,$T$77,$T$83,$G$78,$G$80,-1*$F$79,1200)</f>
        <v>17.586138558131349</v>
      </c>
      <c r="AU79" s="663"/>
      <c r="AV79" s="663"/>
      <c r="AW79" s="663" t="str">
        <f>VLOOKUP(C79,'Foundation Calculation'!$A$2:$C$33,3,1)</f>
        <v>Soil B</v>
      </c>
      <c r="AX79" s="684" t="str">
        <f>VLOOKUP(C79,'Foundation Calculation'!$E$2:$G$33,3,1)</f>
        <v>PT</v>
      </c>
      <c r="AY79" s="665">
        <f>IF(AX79="PT",VLOOKUP(L79,'Foundation Calculation'!$K$2:$R$40,VLOOKUP(AW79,'Foundation Calculation'!$I$2:$J$8,2,FALSE),0),IF(AX79="K",VLOOKUP(L79,'Foundation Calculation'!$K$42:$R$80,VLOOKUP(AW79,'Foundation Calculation'!$I$2:$J$8,2,FALSE),0),""))</f>
        <v>3.5</v>
      </c>
      <c r="AZ79" s="665"/>
      <c r="BA79" s="670" t="s">
        <v>2809</v>
      </c>
      <c r="BB79" s="658" t="str">
        <f>Pole_Calculations!A19</f>
        <v>App.7-V11A-P9.5.1.5</v>
      </c>
      <c r="BC79" s="169"/>
      <c r="BD79" s="1329"/>
      <c r="BE79" s="1329"/>
      <c r="BF79" s="1329"/>
      <c r="BG79" s="1329"/>
    </row>
    <row r="80" spans="1:59" ht="15.75" customHeight="1">
      <c r="A80" s="658"/>
      <c r="B80" s="659"/>
      <c r="C80" s="660"/>
      <c r="D80" s="661"/>
      <c r="E80" s="661"/>
      <c r="F80" s="661"/>
      <c r="G80" s="662">
        <v>5</v>
      </c>
      <c r="H80" s="658"/>
      <c r="I80" s="661"/>
      <c r="J80" s="660"/>
      <c r="K80" s="663"/>
      <c r="L80" s="663"/>
      <c r="M80" s="663"/>
      <c r="N80" s="658"/>
      <c r="O80" s="658"/>
      <c r="P80" s="658"/>
      <c r="Q80" s="658"/>
      <c r="R80" s="658"/>
      <c r="S80" s="662">
        <f t="shared" ref="S80" si="33">AG81-AG79</f>
        <v>2.7400000000052387</v>
      </c>
      <c r="T80" s="658"/>
      <c r="U80" s="658"/>
      <c r="V80" s="658"/>
      <c r="W80" s="658"/>
      <c r="X80" s="658"/>
      <c r="Y80" s="658"/>
      <c r="Z80" s="658"/>
      <c r="AA80" s="658"/>
      <c r="AB80" s="658"/>
      <c r="AC80" s="658"/>
      <c r="AD80" s="658"/>
      <c r="AE80" s="658"/>
      <c r="AF80" s="658"/>
      <c r="AG80" s="739"/>
      <c r="AH80" s="658"/>
      <c r="AI80" s="658"/>
      <c r="AJ80" s="658"/>
      <c r="AK80" s="658"/>
      <c r="AL80" s="658"/>
      <c r="AM80" s="658"/>
      <c r="AN80" s="662"/>
      <c r="AO80" s="658"/>
      <c r="AP80" s="658"/>
      <c r="AQ80" s="665">
        <f>+FL_1($T$83,$T$79,$G$82,1200,9.28,-1*$F$83)</f>
        <v>0.46269107996519188</v>
      </c>
      <c r="AR80" s="663"/>
      <c r="AS80" s="663"/>
      <c r="AT80" s="665"/>
      <c r="AU80" s="663"/>
      <c r="AV80" s="663"/>
      <c r="AW80" s="663"/>
      <c r="AX80" s="684"/>
      <c r="AY80" s="665"/>
      <c r="AZ80" s="665"/>
      <c r="BA80" s="670"/>
      <c r="BB80" s="658"/>
      <c r="BC80" s="169"/>
      <c r="BD80" s="1329"/>
      <c r="BE80" s="1329"/>
      <c r="BF80" s="1329"/>
      <c r="BG80" s="1329"/>
    </row>
    <row r="81" spans="1:59" ht="15.75" customHeight="1">
      <c r="A81" s="658"/>
      <c r="B81" s="659" t="s">
        <v>3067</v>
      </c>
      <c r="C81" s="660">
        <f>+$C$79+$G$80</f>
        <v>86653.85</v>
      </c>
      <c r="D81" s="661"/>
      <c r="E81" s="661"/>
      <c r="F81" s="661"/>
      <c r="G81" s="662"/>
      <c r="H81" s="658"/>
      <c r="I81" s="661"/>
      <c r="J81" s="660"/>
      <c r="K81" s="663"/>
      <c r="L81" s="663" t="s">
        <v>1699</v>
      </c>
      <c r="M81" s="663" t="str">
        <f>IF(AX81="PT",VLOOKUP(L81,'Foundation Calculation'!$V$2:$X$40,VLOOKUP(AX81,'Foundation Calculation'!$I$10:$J$13,2,FALSE),0),IF(AX81="K",VLOOKUP(L81,'Foundation Calculation'!$V$42:$X$80,VLOOKUP(AX81,'Foundation Calculation'!$I$10:$J$13,2,FALSE),0),""))</f>
        <v>C7R</v>
      </c>
      <c r="N81" s="658"/>
      <c r="O81" s="658"/>
      <c r="P81" s="658"/>
      <c r="Q81" s="658">
        <v>60</v>
      </c>
      <c r="R81" s="658">
        <v>2774.53</v>
      </c>
      <c r="S81" s="662"/>
      <c r="T81" s="658"/>
      <c r="U81" s="658"/>
      <c r="V81" s="658"/>
      <c r="W81" s="658"/>
      <c r="X81" s="658"/>
      <c r="Y81" s="658"/>
      <c r="Z81" s="658"/>
      <c r="AA81" s="658"/>
      <c r="AB81" s="658"/>
      <c r="AC81" s="658"/>
      <c r="AD81" s="658"/>
      <c r="AE81" s="658"/>
      <c r="AF81" s="658"/>
      <c r="AG81" s="739">
        <v>86650.74</v>
      </c>
      <c r="AH81" s="658">
        <v>2273</v>
      </c>
      <c r="AI81" s="658">
        <v>360</v>
      </c>
      <c r="AJ81" s="658"/>
      <c r="AK81" s="658"/>
      <c r="AL81" s="658"/>
      <c r="AM81" s="658" t="s">
        <v>1042</v>
      </c>
      <c r="AN81" s="662"/>
      <c r="AO81" s="658"/>
      <c r="AP81" s="658"/>
      <c r="AQ81" s="665"/>
      <c r="AR81" s="663"/>
      <c r="AS81" s="663"/>
      <c r="AT81" s="665"/>
      <c r="AU81" s="663"/>
      <c r="AV81" s="663"/>
      <c r="AW81" s="663" t="str">
        <f>VLOOKUP(C81,'Foundation Calculation'!$A$2:$C$33,3,1)</f>
        <v>Soil B</v>
      </c>
      <c r="AX81" s="684" t="str">
        <f>VLOOKUP(C81,'Foundation Calculation'!$E$2:$G$33,3,1)</f>
        <v>PT</v>
      </c>
      <c r="AY81" s="665">
        <f>IF(AX81="PT",VLOOKUP(L81,'Foundation Calculation'!$K$2:$R$40,VLOOKUP(AW81,'Foundation Calculation'!$I$2:$J$8,2,FALSE),0),IF(AX81="K",VLOOKUP(L81,'Foundation Calculation'!$K$42:$R$80,VLOOKUP(AW81,'Foundation Calculation'!$I$2:$J$8,2,FALSE),0),""))</f>
        <v>4.4000000000000004</v>
      </c>
      <c r="AZ81" s="665"/>
      <c r="BA81" s="670" t="s">
        <v>2809</v>
      </c>
      <c r="BB81" s="658" t="str">
        <f>Pole_Calculations!A136</f>
        <v>App.7-V11A-P12.3.1.1</v>
      </c>
      <c r="BC81" s="169"/>
      <c r="BD81" s="1329"/>
      <c r="BE81" s="1329"/>
      <c r="BF81" s="1329"/>
      <c r="BG81" s="1329"/>
    </row>
    <row r="82" spans="1:59" ht="15.75" customHeight="1">
      <c r="A82" s="658"/>
      <c r="B82" s="659"/>
      <c r="C82" s="660"/>
      <c r="D82" s="661"/>
      <c r="E82" s="661"/>
      <c r="F82" s="661"/>
      <c r="G82" s="662">
        <v>42</v>
      </c>
      <c r="H82" s="658"/>
      <c r="I82" s="661"/>
      <c r="J82" s="660"/>
      <c r="K82" s="663"/>
      <c r="L82" s="663"/>
      <c r="M82" s="663"/>
      <c r="N82" s="658"/>
      <c r="O82" s="658"/>
      <c r="P82" s="658"/>
      <c r="Q82" s="658"/>
      <c r="R82" s="658"/>
      <c r="S82" s="662">
        <f t="shared" ref="S82" si="34">AG83-AG81</f>
        <v>44.259999999994761</v>
      </c>
      <c r="T82" s="658"/>
      <c r="U82" s="658"/>
      <c r="V82" s="658"/>
      <c r="W82" s="658"/>
      <c r="X82" s="658"/>
      <c r="Y82" s="658"/>
      <c r="Z82" s="658"/>
      <c r="AA82" s="658"/>
      <c r="AB82" s="658"/>
      <c r="AC82" s="658"/>
      <c r="AD82" s="658"/>
      <c r="AE82" s="658"/>
      <c r="AF82" s="658"/>
      <c r="AG82" s="739"/>
      <c r="AH82" s="658"/>
      <c r="AI82" s="658"/>
      <c r="AJ82" s="658"/>
      <c r="AK82" s="658"/>
      <c r="AL82" s="658"/>
      <c r="AM82" s="658"/>
      <c r="AN82" s="662"/>
      <c r="AO82" s="658"/>
      <c r="AP82" s="658"/>
      <c r="AQ82" s="665"/>
      <c r="AR82" s="663"/>
      <c r="AS82" s="663"/>
      <c r="AT82" s="665"/>
      <c r="AU82" s="663"/>
      <c r="AV82" s="663"/>
      <c r="AW82" s="663"/>
      <c r="AX82" s="684"/>
      <c r="AY82" s="665"/>
      <c r="AZ82" s="665"/>
      <c r="BA82" s="670"/>
      <c r="BB82" s="658"/>
      <c r="BC82" s="169"/>
      <c r="BD82" s="1329"/>
      <c r="BE82" s="1329"/>
      <c r="BF82" s="1329"/>
      <c r="BG82" s="1329"/>
    </row>
    <row r="83" spans="1:59" ht="15.75" customHeight="1">
      <c r="A83" s="658" t="s">
        <v>3059</v>
      </c>
      <c r="B83" s="659" t="s">
        <v>3068</v>
      </c>
      <c r="C83" s="660">
        <f>+$C$81+$G$82</f>
        <v>86695.85</v>
      </c>
      <c r="D83" s="661"/>
      <c r="E83" s="661"/>
      <c r="F83" s="661">
        <v>-3813</v>
      </c>
      <c r="G83" s="662"/>
      <c r="H83" s="658" t="s">
        <v>619</v>
      </c>
      <c r="I83" s="661" t="s">
        <v>1429</v>
      </c>
      <c r="J83" s="660"/>
      <c r="K83" s="663"/>
      <c r="L83" s="663" t="s">
        <v>1697</v>
      </c>
      <c r="M83" s="663" t="str">
        <f>IF(AX83="PT",VLOOKUP(L83,'Foundation Calculation'!$V$2:$X$40,VLOOKUP(AX83,'Foundation Calculation'!$I$10:$J$13,2,FALSE),0),IF(AX83="K",VLOOKUP(L83,'Foundation Calculation'!$V$42:$X$80,VLOOKUP(AX83,'Foundation Calculation'!$I$10:$J$13,2,FALSE),0),""))</f>
        <v>2C3R</v>
      </c>
      <c r="N83" s="658" t="s">
        <v>144</v>
      </c>
      <c r="O83" s="658" t="s">
        <v>140</v>
      </c>
      <c r="P83" s="658"/>
      <c r="Q83" s="658">
        <v>20</v>
      </c>
      <c r="R83" s="658">
        <v>3745.41</v>
      </c>
      <c r="S83" s="662"/>
      <c r="T83" s="658">
        <v>35</v>
      </c>
      <c r="U83" s="658">
        <v>-10</v>
      </c>
      <c r="V83" s="658"/>
      <c r="W83" s="658">
        <v>0.8</v>
      </c>
      <c r="X83" s="658">
        <v>1.4</v>
      </c>
      <c r="Y83" s="658"/>
      <c r="Z83" s="658"/>
      <c r="AA83" s="658">
        <v>0.45</v>
      </c>
      <c r="AB83" s="658"/>
      <c r="AC83" s="658" t="s">
        <v>4115</v>
      </c>
      <c r="AD83" s="658"/>
      <c r="AE83" s="658"/>
      <c r="AF83" s="658">
        <v>5800</v>
      </c>
      <c r="AG83" s="739">
        <v>86695</v>
      </c>
      <c r="AH83" s="658">
        <v>2333</v>
      </c>
      <c r="AI83" s="658">
        <v>420</v>
      </c>
      <c r="AJ83" s="658" t="s">
        <v>3048</v>
      </c>
      <c r="AK83" s="658"/>
      <c r="AL83" s="658"/>
      <c r="AM83" s="658" t="s">
        <v>1042</v>
      </c>
      <c r="AN83" s="662">
        <v>5.15</v>
      </c>
      <c r="AO83" s="658"/>
      <c r="AP83" s="658"/>
      <c r="AQ83" s="665"/>
      <c r="AR83" s="663"/>
      <c r="AS83" s="663"/>
      <c r="AT83" s="665">
        <f>+ab($T$83,$T$79,$T$87,$G$82,$G$86,-1*$F$83,1200)</f>
        <v>7.8135869969324041</v>
      </c>
      <c r="AU83" s="663"/>
      <c r="AV83" s="663"/>
      <c r="AW83" s="663" t="str">
        <f>VLOOKUP(C83,'Foundation Calculation'!$A$2:$C$33,3,1)</f>
        <v>Soil B</v>
      </c>
      <c r="AX83" s="684" t="str">
        <f>VLOOKUP(C83,'Foundation Calculation'!$E$2:$G$33,3,1)</f>
        <v>PT</v>
      </c>
      <c r="AY83" s="665">
        <f>IF(AX83="PT",VLOOKUP(L83,'Foundation Calculation'!$K$2:$R$40,VLOOKUP(AW83,'Foundation Calculation'!$I$2:$J$8,2,FALSE),0),IF(AX83="K",VLOOKUP(L83,'Foundation Calculation'!$K$42:$R$80,VLOOKUP(AW83,'Foundation Calculation'!$I$2:$J$8,2,FALSE),0),""))</f>
        <v>3.5</v>
      </c>
      <c r="AZ83" s="665"/>
      <c r="BA83" s="670" t="s">
        <v>2809</v>
      </c>
      <c r="BB83" s="658" t="str">
        <f>Pole_Calculations!A19</f>
        <v>App.7-V11A-P9.5.1.5</v>
      </c>
      <c r="BC83" s="169"/>
      <c r="BD83" s="1329">
        <v>43819</v>
      </c>
      <c r="BE83" s="1329"/>
      <c r="BF83" s="1329"/>
      <c r="BG83" s="1329"/>
    </row>
    <row r="84" spans="1:59" ht="15.75" customHeight="1">
      <c r="A84" s="658"/>
      <c r="B84" s="659"/>
      <c r="C84" s="660"/>
      <c r="D84" s="661"/>
      <c r="E84" s="661"/>
      <c r="F84" s="661"/>
      <c r="G84" s="662"/>
      <c r="H84" s="658"/>
      <c r="I84" s="661"/>
      <c r="J84" s="660"/>
      <c r="K84" s="663"/>
      <c r="L84" s="658"/>
      <c r="M84" s="658"/>
      <c r="N84" s="658"/>
      <c r="O84" s="658"/>
      <c r="P84" s="658"/>
      <c r="Q84" s="658"/>
      <c r="R84" s="658"/>
      <c r="S84" s="662">
        <f t="shared" ref="S84" si="35">AG85-AG83</f>
        <v>-86695</v>
      </c>
      <c r="T84" s="658"/>
      <c r="U84" s="658"/>
      <c r="V84" s="658"/>
      <c r="W84" s="658"/>
      <c r="X84" s="658"/>
      <c r="Y84" s="658"/>
      <c r="Z84" s="658"/>
      <c r="AA84" s="658"/>
      <c r="AB84" s="658"/>
      <c r="AC84" s="658"/>
      <c r="AD84" s="658"/>
      <c r="AE84" s="658"/>
      <c r="AF84" s="658"/>
      <c r="AG84" s="739"/>
      <c r="AH84" s="658"/>
      <c r="AI84" s="658"/>
      <c r="AJ84" s="658" t="s">
        <v>1360</v>
      </c>
      <c r="AK84" s="658"/>
      <c r="AL84" s="658"/>
      <c r="AM84" s="658"/>
      <c r="AN84" s="662"/>
      <c r="AO84" s="658"/>
      <c r="AP84" s="658"/>
      <c r="AQ84" s="665"/>
      <c r="AR84" s="663"/>
      <c r="AS84" s="663"/>
      <c r="AT84" s="665"/>
      <c r="AU84" s="663"/>
      <c r="AV84" s="663"/>
      <c r="AW84" s="663"/>
      <c r="AX84" s="684"/>
      <c r="AY84" s="665"/>
      <c r="AZ84" s="665"/>
      <c r="BA84" s="670"/>
      <c r="BB84" s="658"/>
      <c r="BC84" s="169"/>
      <c r="BD84" s="1330"/>
      <c r="BE84" s="1330"/>
      <c r="BF84" s="1330"/>
      <c r="BG84" s="1330"/>
    </row>
    <row r="85" spans="1:59" ht="15.75" customHeight="1">
      <c r="A85" s="658"/>
      <c r="B85" s="659" t="s">
        <v>4937</v>
      </c>
      <c r="C85" s="660">
        <f>C83+25</f>
        <v>86720.85</v>
      </c>
      <c r="D85" s="661"/>
      <c r="E85" s="661"/>
      <c r="F85" s="661"/>
      <c r="G85" s="662"/>
      <c r="H85" s="658"/>
      <c r="I85" s="661"/>
      <c r="J85" s="660"/>
      <c r="K85" s="663"/>
      <c r="L85" s="663" t="s">
        <v>4420</v>
      </c>
      <c r="M85" s="663" t="s">
        <v>4399</v>
      </c>
      <c r="N85" s="658"/>
      <c r="O85" s="658"/>
      <c r="P85" s="658"/>
      <c r="Q85" s="658"/>
      <c r="R85" s="658"/>
      <c r="S85" s="662"/>
      <c r="T85" s="658"/>
      <c r="U85" s="658"/>
      <c r="V85" s="658"/>
      <c r="W85" s="658"/>
      <c r="X85" s="658"/>
      <c r="Y85" s="658"/>
      <c r="Z85" s="658"/>
      <c r="AA85" s="658"/>
      <c r="AB85" s="658"/>
      <c r="AC85" s="658"/>
      <c r="AD85" s="658"/>
      <c r="AE85" s="658"/>
      <c r="AF85" s="658"/>
      <c r="AG85" s="739"/>
      <c r="AH85" s="658"/>
      <c r="AI85" s="658"/>
      <c r="AJ85" s="658"/>
      <c r="AK85" s="658"/>
      <c r="AL85" s="658"/>
      <c r="AM85" s="658"/>
      <c r="AN85" s="662"/>
      <c r="AO85" s="658"/>
      <c r="AP85" s="658"/>
      <c r="AQ85" s="665"/>
      <c r="AR85" s="663"/>
      <c r="AS85" s="663"/>
      <c r="AT85" s="665"/>
      <c r="AU85" s="663"/>
      <c r="AV85" s="663"/>
      <c r="AW85" s="663" t="str">
        <f>VLOOKUP(C85,'Foundation Calculation'!$A$2:$C$33,3,1)</f>
        <v>Soil B</v>
      </c>
      <c r="AX85" s="684" t="str">
        <f>VLOOKUP(C85,'Foundation Calculation'!$E$2:$G$33,3,1)</f>
        <v>PT</v>
      </c>
      <c r="AY85" s="665">
        <v>1.2</v>
      </c>
      <c r="AZ85" s="665"/>
      <c r="BA85" s="670" t="s">
        <v>2809</v>
      </c>
      <c r="BB85" s="658"/>
      <c r="BC85" s="169"/>
      <c r="BD85" s="1329">
        <v>43819</v>
      </c>
      <c r="BE85" s="1329"/>
      <c r="BF85" s="1329"/>
      <c r="BG85" s="1329"/>
    </row>
    <row r="86" spans="1:59" ht="15.75" customHeight="1">
      <c r="A86" s="658"/>
      <c r="B86" s="664"/>
      <c r="C86" s="660"/>
      <c r="D86" s="661"/>
      <c r="E86" s="661"/>
      <c r="F86" s="661"/>
      <c r="G86" s="662">
        <v>56.7</v>
      </c>
      <c r="H86" s="658"/>
      <c r="I86" s="661"/>
      <c r="J86" s="660"/>
      <c r="K86" s="663"/>
      <c r="L86" s="658"/>
      <c r="M86" s="658"/>
      <c r="N86" s="658"/>
      <c r="O86" s="658"/>
      <c r="P86" s="658"/>
      <c r="Q86" s="658"/>
      <c r="R86" s="658"/>
      <c r="S86" s="662">
        <f t="shared" ref="S86" si="36">AG87-AG85</f>
        <v>86752</v>
      </c>
      <c r="T86" s="658"/>
      <c r="U86" s="658"/>
      <c r="V86" s="658"/>
      <c r="W86" s="658"/>
      <c r="X86" s="658"/>
      <c r="Y86" s="658"/>
      <c r="Z86" s="658"/>
      <c r="AA86" s="658"/>
      <c r="AB86" s="658"/>
      <c r="AC86" s="658"/>
      <c r="AD86" s="658"/>
      <c r="AE86" s="658"/>
      <c r="AF86" s="658"/>
      <c r="AG86" s="739"/>
      <c r="AH86" s="658"/>
      <c r="AI86" s="658"/>
      <c r="AJ86" s="658"/>
      <c r="AK86" s="658"/>
      <c r="AL86" s="658"/>
      <c r="AM86" s="658"/>
      <c r="AN86" s="662"/>
      <c r="AO86" s="658"/>
      <c r="AP86" s="658"/>
      <c r="AQ86" s="665">
        <f>+FL_2($T$87,$T$83,$G$86,1200,9.28,-1*$F$87)</f>
        <v>-0.41327975393305272</v>
      </c>
      <c r="AR86" s="663"/>
      <c r="AS86" s="663"/>
      <c r="AT86" s="665"/>
      <c r="AU86" s="663"/>
      <c r="AV86" s="663"/>
      <c r="AW86" s="663"/>
      <c r="AX86" s="663"/>
      <c r="AY86" s="665"/>
      <c r="AZ86" s="665"/>
      <c r="BA86" s="670"/>
      <c r="BB86" s="658"/>
      <c r="BC86" s="169"/>
      <c r="BD86" s="1330"/>
      <c r="BE86" s="1330"/>
      <c r="BF86" s="1330"/>
      <c r="BG86" s="1330"/>
    </row>
    <row r="87" spans="1:59" ht="15.75" customHeight="1">
      <c r="A87" s="658"/>
      <c r="B87" s="659" t="s">
        <v>3069</v>
      </c>
      <c r="C87" s="660">
        <f>+$C$83+$G$86</f>
        <v>86752.55</v>
      </c>
      <c r="D87" s="661"/>
      <c r="E87" s="661"/>
      <c r="F87" s="661">
        <v>-7255</v>
      </c>
      <c r="G87" s="662"/>
      <c r="H87" s="658" t="s">
        <v>138</v>
      </c>
      <c r="I87" s="661" t="s">
        <v>623</v>
      </c>
      <c r="J87" s="660"/>
      <c r="K87" s="663"/>
      <c r="L87" s="663" t="s">
        <v>898</v>
      </c>
      <c r="M87" s="663" t="str">
        <f>IF(AX87="PT",VLOOKUP(L87,'Foundation Calculation'!$V$2:$X$40,VLOOKUP(AX87,'Foundation Calculation'!$I$10:$J$13,2,FALSE),0),IF(AX87="K",VLOOKUP(L87,'Foundation Calculation'!$V$42:$X$80,VLOOKUP(AX87,'Foundation Calculation'!$I$10:$J$13,2,FALSE),0),""))</f>
        <v>C4R</v>
      </c>
      <c r="N87" s="658" t="s">
        <v>2789</v>
      </c>
      <c r="O87" s="658"/>
      <c r="P87" s="658"/>
      <c r="Q87" s="658">
        <v>40</v>
      </c>
      <c r="R87" s="658">
        <v>6887.5</v>
      </c>
      <c r="S87" s="662"/>
      <c r="T87" s="658">
        <v>-30</v>
      </c>
      <c r="U87" s="658"/>
      <c r="V87" s="658"/>
      <c r="W87" s="658">
        <v>0.6</v>
      </c>
      <c r="X87" s="658"/>
      <c r="Y87" s="658"/>
      <c r="Z87" s="658"/>
      <c r="AA87" s="658"/>
      <c r="AB87" s="658"/>
      <c r="AC87" s="658" t="s">
        <v>4115</v>
      </c>
      <c r="AD87" s="658"/>
      <c r="AE87" s="658"/>
      <c r="AF87" s="658">
        <v>5800</v>
      </c>
      <c r="AG87" s="739">
        <v>86752</v>
      </c>
      <c r="AH87" s="658">
        <v>2303</v>
      </c>
      <c r="AI87" s="658">
        <v>400</v>
      </c>
      <c r="AJ87" s="658"/>
      <c r="AK87" s="658"/>
      <c r="AL87" s="658"/>
      <c r="AM87" s="658" t="s">
        <v>1042</v>
      </c>
      <c r="AN87" s="662">
        <v>5.15</v>
      </c>
      <c r="AO87" s="658"/>
      <c r="AP87" s="658"/>
      <c r="AQ87" s="665"/>
      <c r="AR87" s="663"/>
      <c r="AS87" s="663"/>
      <c r="AT87" s="665">
        <f>+ab($T$87,$T$83,$T$89,$G$86,$G$88,-1*$F$87,1200)</f>
        <v>-10.049085032724239</v>
      </c>
      <c r="AU87" s="663"/>
      <c r="AV87" s="663"/>
      <c r="AW87" s="663" t="str">
        <f>VLOOKUP(C87,'Foundation Calculation'!$A$2:$C$33,3,1)</f>
        <v>Soil B</v>
      </c>
      <c r="AX87" s="684" t="str">
        <f>VLOOKUP(C87,'Foundation Calculation'!$E$2:$G$33,3,1)</f>
        <v>PT</v>
      </c>
      <c r="AY87" s="665">
        <f>IF(AX87="PT",VLOOKUP(L87,'Foundation Calculation'!$K$2:$R$40,VLOOKUP(AW87,'Foundation Calculation'!$I$2:$J$8,2,FALSE),0),IF(AX87="K",VLOOKUP(L87,'Foundation Calculation'!$K$42:$R$80,VLOOKUP(AW87,'Foundation Calculation'!$I$2:$J$8,2,FALSE),0),""))</f>
        <v>3.5</v>
      </c>
      <c r="AZ87" s="665"/>
      <c r="BA87" s="670" t="s">
        <v>2809</v>
      </c>
      <c r="BB87" s="658" t="str">
        <f>Pole_Calculations!A20</f>
        <v>App.7-V11A-P9.5.1.6</v>
      </c>
      <c r="BC87" s="169"/>
      <c r="BD87" s="1329">
        <v>43819</v>
      </c>
      <c r="BE87" s="1329"/>
      <c r="BF87" s="1329"/>
      <c r="BG87" s="1329"/>
    </row>
    <row r="88" spans="1:59" ht="15.75" customHeight="1">
      <c r="A88" s="495"/>
      <c r="B88" s="491"/>
      <c r="C88" s="489"/>
      <c r="D88" s="492"/>
      <c r="E88" s="492"/>
      <c r="F88" s="492"/>
      <c r="G88" s="457">
        <v>45</v>
      </c>
      <c r="H88" s="495"/>
      <c r="I88" s="492"/>
      <c r="J88" s="489">
        <f>C87+7.5</f>
        <v>86760.05</v>
      </c>
      <c r="K88" s="490" t="s">
        <v>2787</v>
      </c>
      <c r="L88" s="495"/>
      <c r="M88" s="495"/>
      <c r="N88" s="495"/>
      <c r="O88" s="495"/>
      <c r="P88" s="495"/>
      <c r="Q88" s="495"/>
      <c r="R88" s="495"/>
      <c r="S88" s="457">
        <f t="shared" ref="S88" si="37">AG89-AG87</f>
        <v>44</v>
      </c>
      <c r="T88" s="495"/>
      <c r="U88" s="495"/>
      <c r="V88" s="495"/>
      <c r="W88" s="495"/>
      <c r="X88" s="495"/>
      <c r="Y88" s="495"/>
      <c r="Z88" s="495"/>
      <c r="AA88" s="495"/>
      <c r="AB88" s="495"/>
      <c r="AC88" s="495"/>
      <c r="AD88" s="495"/>
      <c r="AE88" s="495"/>
      <c r="AF88" s="495"/>
      <c r="AG88" s="431"/>
      <c r="AH88" s="495"/>
      <c r="AI88" s="495"/>
      <c r="AJ88" s="495"/>
      <c r="AK88" s="495"/>
      <c r="AL88" s="495"/>
      <c r="AM88" s="495"/>
      <c r="AN88" s="457"/>
      <c r="AO88" s="495"/>
      <c r="AP88" s="495"/>
      <c r="AQ88" s="493">
        <f>+FL_1($T$89,$T$87,$G$88,1200,9.28,-1*$F$89)</f>
        <v>0.35284272661770588</v>
      </c>
      <c r="AR88" s="493"/>
      <c r="AS88" s="493"/>
      <c r="AT88" s="493"/>
      <c r="AU88" s="490"/>
      <c r="AV88" s="490"/>
      <c r="AW88" s="490" t="str">
        <f>VLOOKUP(J88,'Foundation Calculation'!$A$2:$C$33,3,1)</f>
        <v>Soil B</v>
      </c>
      <c r="AX88" s="490" t="str">
        <f>VLOOKUP(J88,'Foundation Calculation'!$E$2:$G$33,3,1)</f>
        <v>PT</v>
      </c>
      <c r="AY88" s="493"/>
      <c r="AZ88" s="493">
        <f>IF(AX88="PT",VLOOKUP(K88,'Foundation Calculation'!$K$2:$R$40,VLOOKUP(AW88,'Foundation Calculation'!$I$2:$J$8,2,FALSE),0),IF(AX88="K",VLOOKUP(K88,'Foundation Calculation'!$K$42:$R$80,VLOOKUP(AW88,'Foundation Calculation'!$I$2:$J$8,2,FALSE),0),""))</f>
        <v>3.9</v>
      </c>
      <c r="BA88" s="602" t="s">
        <v>2809</v>
      </c>
      <c r="BB88" s="495"/>
      <c r="BC88" s="169"/>
      <c r="BD88" s="1329">
        <v>43819</v>
      </c>
      <c r="BE88" s="1330"/>
      <c r="BF88" s="1330"/>
      <c r="BG88" s="1330"/>
    </row>
    <row r="89" spans="1:59" ht="15.75" customHeight="1">
      <c r="A89" s="488" t="s">
        <v>1851</v>
      </c>
      <c r="B89" s="656" t="s">
        <v>3070</v>
      </c>
      <c r="C89" s="489">
        <f>+$C$87+$G$88</f>
        <v>86797.55</v>
      </c>
      <c r="D89" s="492"/>
      <c r="E89" s="492"/>
      <c r="F89" s="492">
        <v>-24602</v>
      </c>
      <c r="G89" s="457"/>
      <c r="H89" s="495"/>
      <c r="I89" s="492"/>
      <c r="J89" s="489"/>
      <c r="K89" s="490"/>
      <c r="L89" s="495" t="s">
        <v>234</v>
      </c>
      <c r="M89" s="489"/>
      <c r="N89" s="495" t="s">
        <v>634</v>
      </c>
      <c r="O89" s="495"/>
      <c r="P89" s="495"/>
      <c r="Q89" s="495">
        <v>0</v>
      </c>
      <c r="R89" s="495">
        <v>0</v>
      </c>
      <c r="S89" s="457"/>
      <c r="T89" s="495">
        <v>35</v>
      </c>
      <c r="U89" s="495"/>
      <c r="V89" s="495"/>
      <c r="W89" s="495">
        <v>0.6</v>
      </c>
      <c r="X89" s="495"/>
      <c r="Y89" s="495"/>
      <c r="Z89" s="495"/>
      <c r="AA89" s="495"/>
      <c r="AB89" s="495"/>
      <c r="AC89" s="495" t="str">
        <f t="shared" ref="AC89:AC91" si="38">IF(OR(AT89&gt;8,AT89&lt;-8),"PH",IF(OR(AT89&gt;5,AT89&lt;-5),"PH-Q",IF(OR(AT89&gt;1,AT89&lt;-1),"PH-C")))</f>
        <v>PH-Q</v>
      </c>
      <c r="AD89" s="495"/>
      <c r="AE89" s="495"/>
      <c r="AF89" s="495"/>
      <c r="AG89" s="431">
        <v>86796</v>
      </c>
      <c r="AH89" s="495">
        <v>1893</v>
      </c>
      <c r="AI89" s="495">
        <v>-4860</v>
      </c>
      <c r="AJ89" s="495"/>
      <c r="AK89" s="495"/>
      <c r="AL89" s="495"/>
      <c r="AM89" s="495" t="s">
        <v>3329</v>
      </c>
      <c r="AN89" s="457">
        <v>5.15</v>
      </c>
      <c r="AO89" s="495"/>
      <c r="AP89" s="495"/>
      <c r="AQ89" s="493"/>
      <c r="AR89" s="493"/>
      <c r="AS89" s="493"/>
      <c r="AT89" s="493">
        <f>+ab($T$89,$T$87,$T$91,$G$88,$G$90,-1*$F$89,1200)</f>
        <v>6.0067362089805609</v>
      </c>
      <c r="AU89" s="490"/>
      <c r="AV89" s="490"/>
      <c r="AW89" s="490"/>
      <c r="AX89" s="490"/>
      <c r="AY89" s="493"/>
      <c r="AZ89" s="493"/>
      <c r="BA89" s="602"/>
      <c r="BB89" s="488"/>
      <c r="BC89" s="169"/>
      <c r="BD89" s="1330"/>
      <c r="BE89" s="1329"/>
      <c r="BF89" s="1329"/>
      <c r="BG89" s="1329"/>
    </row>
    <row r="90" spans="1:59" ht="15.75" customHeight="1">
      <c r="A90" s="495" t="s">
        <v>3517</v>
      </c>
      <c r="B90" s="491"/>
      <c r="C90" s="489"/>
      <c r="D90" s="492"/>
      <c r="E90" s="492"/>
      <c r="F90" s="492"/>
      <c r="G90" s="457">
        <v>45</v>
      </c>
      <c r="H90" s="495"/>
      <c r="I90" s="492"/>
      <c r="J90" s="489"/>
      <c r="K90" s="490"/>
      <c r="L90" s="495"/>
      <c r="M90" s="489"/>
      <c r="N90" s="495"/>
      <c r="O90" s="495"/>
      <c r="P90" s="495"/>
      <c r="Q90" s="495"/>
      <c r="R90" s="495"/>
      <c r="S90" s="457">
        <f t="shared" ref="S90" si="39">AG91-AG89</f>
        <v>46</v>
      </c>
      <c r="T90" s="495"/>
      <c r="U90" s="495"/>
      <c r="V90" s="495"/>
      <c r="W90" s="495"/>
      <c r="X90" s="495"/>
      <c r="Y90" s="495"/>
      <c r="Z90" s="495"/>
      <c r="AA90" s="495"/>
      <c r="AB90" s="495"/>
      <c r="AC90" s="495"/>
      <c r="AD90" s="495"/>
      <c r="AE90" s="495"/>
      <c r="AF90" s="495"/>
      <c r="AG90" s="431"/>
      <c r="AH90" s="495"/>
      <c r="AI90" s="495"/>
      <c r="AJ90" s="495"/>
      <c r="AK90" s="495"/>
      <c r="AL90" s="495"/>
      <c r="AM90" s="495"/>
      <c r="AN90" s="457"/>
      <c r="AO90" s="495"/>
      <c r="AP90" s="495"/>
      <c r="AQ90" s="493">
        <f>+FL_2($T$91,$T$89,$G$90,1200,9.28,-1*$F$91)</f>
        <v>-0.35219954355555555</v>
      </c>
      <c r="AR90" s="493"/>
      <c r="AS90" s="493"/>
      <c r="AT90" s="493"/>
      <c r="AU90" s="490"/>
      <c r="AV90" s="490"/>
      <c r="AW90" s="490"/>
      <c r="AX90" s="490"/>
      <c r="AY90" s="493"/>
      <c r="AZ90" s="493"/>
      <c r="BA90" s="602"/>
      <c r="BB90" s="495"/>
      <c r="BC90" s="169"/>
      <c r="BD90" s="1330"/>
      <c r="BE90" s="1330"/>
      <c r="BF90" s="1330"/>
      <c r="BG90" s="1330"/>
    </row>
    <row r="91" spans="1:59" ht="15.75" customHeight="1">
      <c r="A91" s="658" t="s">
        <v>3298</v>
      </c>
      <c r="B91" s="659" t="s">
        <v>3071</v>
      </c>
      <c r="C91" s="660">
        <f>+$C$89+$G$90</f>
        <v>86842.55</v>
      </c>
      <c r="D91" s="661"/>
      <c r="E91" s="661"/>
      <c r="F91" s="661">
        <v>0</v>
      </c>
      <c r="G91" s="662"/>
      <c r="H91" s="658"/>
      <c r="I91" s="661"/>
      <c r="J91" s="660"/>
      <c r="K91" s="663"/>
      <c r="L91" s="658" t="s">
        <v>818</v>
      </c>
      <c r="M91" s="660" t="str">
        <f>IF(AX91="PT",VLOOKUP(L91,'Foundation Calculation'!$V$2:$X$40,VLOOKUP(AX91,'Foundation Calculation'!$I$10:$J$13,2,FALSE),0),IF(AX91="K",VLOOKUP(L91,'Foundation Calculation'!$V$42:$X$80,VLOOKUP(AX91,'Foundation Calculation'!$I$10:$J$13,2,FALSE),0),""))</f>
        <v>C4R</v>
      </c>
      <c r="N91" s="658" t="s">
        <v>2796</v>
      </c>
      <c r="O91" s="658"/>
      <c r="P91" s="658"/>
      <c r="Q91" s="658">
        <v>30</v>
      </c>
      <c r="R91" s="658">
        <v>0</v>
      </c>
      <c r="S91" s="662"/>
      <c r="T91" s="658">
        <v>-35</v>
      </c>
      <c r="U91" s="658"/>
      <c r="V91" s="658"/>
      <c r="W91" s="658">
        <v>0.6</v>
      </c>
      <c r="X91" s="658"/>
      <c r="Y91" s="658"/>
      <c r="Z91" s="658"/>
      <c r="AA91" s="658"/>
      <c r="AB91" s="658"/>
      <c r="AC91" s="658" t="str">
        <f t="shared" si="38"/>
        <v>PH-Q</v>
      </c>
      <c r="AD91" s="658"/>
      <c r="AE91" s="658"/>
      <c r="AF91" s="658"/>
      <c r="AG91" s="1415">
        <v>86842</v>
      </c>
      <c r="AH91" s="1347">
        <v>2313</v>
      </c>
      <c r="AI91" s="1347">
        <v>330</v>
      </c>
      <c r="AJ91" s="658" t="s">
        <v>2816</v>
      </c>
      <c r="AK91" s="658"/>
      <c r="AL91" s="658"/>
      <c r="AM91" s="658" t="s">
        <v>1042</v>
      </c>
      <c r="AN91" s="662">
        <v>5.15</v>
      </c>
      <c r="AO91" s="658"/>
      <c r="AP91" s="658"/>
      <c r="AQ91" s="665"/>
      <c r="AR91" s="665"/>
      <c r="AS91" s="665"/>
      <c r="AT91" s="665">
        <f>+ab($T$91,$T$89,$T$93,$G$90,$G$92,-1*$F$91,1200)</f>
        <v>-6.0758067196573107</v>
      </c>
      <c r="AU91" s="663"/>
      <c r="AV91" s="663"/>
      <c r="AW91" s="663" t="str">
        <f>VLOOKUP(C91,'Foundation Calculation'!$A$2:$C$33,3,1)</f>
        <v>Soil B</v>
      </c>
      <c r="AX91" s="684" t="str">
        <f>VLOOKUP(C91,'Foundation Calculation'!$E$2:$G$33,3,1)</f>
        <v>PT</v>
      </c>
      <c r="AY91" s="665">
        <f>IF(AX91="PT",VLOOKUP(L91,'Foundation Calculation'!$K$2:$R$40,VLOOKUP(AW91,'Foundation Calculation'!$I$2:$J$8,2,FALSE),0),IF(AX91="K",VLOOKUP(L91,'Foundation Calculation'!$K$42:$R$80,VLOOKUP(AW91,'Foundation Calculation'!$I$2:$J$8,2,FALSE),0),""))</f>
        <v>3.5</v>
      </c>
      <c r="AZ91" s="665"/>
      <c r="BA91" s="670" t="s">
        <v>2809</v>
      </c>
      <c r="BB91" s="658" t="str">
        <f>Pole_Calculations!A15</f>
        <v>App.7-V11A-P9.5.1.1</v>
      </c>
      <c r="BC91" s="169"/>
      <c r="BD91" s="1329">
        <v>43819</v>
      </c>
      <c r="BE91" s="1329"/>
      <c r="BF91" s="1329"/>
      <c r="BG91" s="1329"/>
    </row>
    <row r="92" spans="1:59" ht="15.75" customHeight="1">
      <c r="A92" s="1239"/>
      <c r="B92" s="447"/>
      <c r="C92" s="446"/>
      <c r="D92" s="448"/>
      <c r="E92" s="448"/>
      <c r="F92" s="448"/>
      <c r="G92" s="455">
        <v>44</v>
      </c>
      <c r="H92" s="1239"/>
      <c r="I92" s="448"/>
      <c r="J92" s="446"/>
      <c r="K92" s="638"/>
      <c r="L92" s="1239"/>
      <c r="M92" s="446"/>
      <c r="N92" s="1239"/>
      <c r="O92" s="1239"/>
      <c r="P92" s="1239"/>
      <c r="Q92" s="1239"/>
      <c r="R92" s="1239"/>
      <c r="S92" s="455">
        <f t="shared" ref="S92" si="40">AG93-AG91</f>
        <v>-86842</v>
      </c>
      <c r="T92" s="1239"/>
      <c r="U92" s="1239"/>
      <c r="V92" s="1239"/>
      <c r="W92" s="1239"/>
      <c r="X92" s="1239"/>
      <c r="Y92" s="1239"/>
      <c r="Z92" s="1239"/>
      <c r="AA92" s="1239"/>
      <c r="AB92" s="1239"/>
      <c r="AC92" s="1239"/>
      <c r="AD92" s="1239"/>
      <c r="AE92" s="1239"/>
      <c r="AF92" s="1239"/>
      <c r="AG92" s="171"/>
      <c r="AH92" s="1239"/>
      <c r="AI92" s="1239"/>
      <c r="AJ92" s="1239"/>
      <c r="AK92" s="1239"/>
      <c r="AL92" s="1239"/>
      <c r="AM92" s="1239"/>
      <c r="AN92" s="455"/>
      <c r="AO92" s="1239"/>
      <c r="AP92" s="1239"/>
      <c r="AQ92" s="484">
        <f>+FL_1($T$93,$T$91,$G$92,1200,9.28,-1*$F$93)</f>
        <v>0.35078837199999996</v>
      </c>
      <c r="AR92" s="484"/>
      <c r="AS92" s="484"/>
      <c r="AT92" s="484"/>
      <c r="AU92" s="638"/>
      <c r="AV92" s="638"/>
      <c r="AW92" s="638"/>
      <c r="AX92" s="638"/>
      <c r="AY92" s="484"/>
      <c r="AZ92" s="484"/>
      <c r="BA92" s="671"/>
      <c r="BB92" s="1239"/>
      <c r="BC92" s="169"/>
      <c r="BD92" s="1330"/>
      <c r="BE92" s="1330"/>
      <c r="BF92" s="1330"/>
      <c r="BG92" s="1330"/>
    </row>
    <row r="93" spans="1:59" ht="15.75" customHeight="1">
      <c r="A93" s="1239"/>
      <c r="B93" s="582" t="s">
        <v>3072</v>
      </c>
      <c r="C93" s="446">
        <f>+$C$91+$G$92</f>
        <v>86886.55</v>
      </c>
      <c r="D93" s="448"/>
      <c r="E93" s="448"/>
      <c r="F93" s="448">
        <v>0</v>
      </c>
      <c r="G93" s="455"/>
      <c r="H93" s="1239"/>
      <c r="I93" s="448"/>
      <c r="J93" s="446"/>
      <c r="K93" s="638"/>
      <c r="L93" s="1239" t="s">
        <v>229</v>
      </c>
      <c r="M93" s="1239" t="str">
        <f>IF(AX93="PT",VLOOKUP(L93,'Foundation Calculation'!$V$2:$X$40,VLOOKUP(AX93,'Foundation Calculation'!$I$10:$J$13,2,FALSE),0),IF(AX93="K",VLOOKUP(L93,'Foundation Calculation'!$V$42:$X$80,VLOOKUP(AX93,'Foundation Calculation'!$I$10:$J$13,2,FALSE),0),""))</f>
        <v>C3R</v>
      </c>
      <c r="N93" s="1239" t="s">
        <v>2797</v>
      </c>
      <c r="O93" s="1239"/>
      <c r="P93" s="1239"/>
      <c r="Q93" s="1239"/>
      <c r="R93" s="1239"/>
      <c r="S93" s="455"/>
      <c r="T93" s="1239">
        <v>35</v>
      </c>
      <c r="U93" s="1239"/>
      <c r="V93" s="1239"/>
      <c r="W93" s="1239">
        <v>0.7</v>
      </c>
      <c r="X93" s="1239"/>
      <c r="Y93" s="1239"/>
      <c r="Z93" s="1239"/>
      <c r="AA93" s="1239"/>
      <c r="AB93" s="1239"/>
      <c r="AC93" s="1239" t="s">
        <v>4090</v>
      </c>
      <c r="AD93" s="1239"/>
      <c r="AE93" s="1239"/>
      <c r="AF93" s="1239">
        <v>6100</v>
      </c>
      <c r="AG93" s="171"/>
      <c r="AH93" s="1239"/>
      <c r="AI93" s="1239"/>
      <c r="AJ93" s="1239"/>
      <c r="AK93" s="1239"/>
      <c r="AL93" s="1239"/>
      <c r="AM93" s="1239" t="s">
        <v>1042</v>
      </c>
      <c r="AN93" s="455">
        <v>5.21</v>
      </c>
      <c r="AO93" s="1239"/>
      <c r="AP93" s="1239"/>
      <c r="AQ93" s="484"/>
      <c r="AR93" s="484"/>
      <c r="AS93" s="484"/>
      <c r="AT93" s="484">
        <f>+ab($T$93,$T$91,$T$95,$G$92,$G$94,-1*$F$93,1200)</f>
        <v>6.0087777218652709</v>
      </c>
      <c r="AU93" s="638"/>
      <c r="AV93" s="638"/>
      <c r="AW93" s="638" t="str">
        <f>VLOOKUP(C93,'Foundation Calculation'!$A$2:$C$33,3,1)</f>
        <v>Soil B</v>
      </c>
      <c r="AX93" s="572" t="str">
        <f>VLOOKUP(C93,'Foundation Calculation'!$E$2:$G$33,3,1)</f>
        <v>PT</v>
      </c>
      <c r="AY93" s="484">
        <f>IF(AX93="PT",VLOOKUP(L93,'Foundation Calculation'!$K$2:$R$40,VLOOKUP(AW93,'Foundation Calculation'!$I$2:$J$8,2,FALSE),0),IF(AX93="K",VLOOKUP(L93,'Foundation Calculation'!$K$42:$R$80,VLOOKUP(AW93,'Foundation Calculation'!$I$2:$J$8,2,FALSE),0),""))</f>
        <v>3.5</v>
      </c>
      <c r="AZ93" s="484"/>
      <c r="BA93" s="671" t="s">
        <v>2809</v>
      </c>
      <c r="BB93" s="1239" t="str">
        <f>Pole_Calculations!A15</f>
        <v>App.7-V11A-P9.5.1.1</v>
      </c>
      <c r="BC93" s="169"/>
      <c r="BD93" s="1329">
        <v>43819</v>
      </c>
      <c r="BE93" s="1329">
        <v>43859</v>
      </c>
      <c r="BF93" s="1329"/>
      <c r="BG93" s="1329">
        <v>43870</v>
      </c>
    </row>
    <row r="94" spans="1:59" ht="15.75" customHeight="1">
      <c r="A94" s="1239"/>
      <c r="B94" s="447"/>
      <c r="C94" s="446"/>
      <c r="D94" s="448"/>
      <c r="E94" s="448"/>
      <c r="F94" s="448"/>
      <c r="G94" s="455">
        <v>44</v>
      </c>
      <c r="H94" s="1239"/>
      <c r="I94" s="448"/>
      <c r="J94" s="446"/>
      <c r="K94" s="638"/>
      <c r="L94" s="1239"/>
      <c r="M94" s="446"/>
      <c r="N94" s="1239"/>
      <c r="O94" s="1239"/>
      <c r="P94" s="1239"/>
      <c r="Q94" s="1239"/>
      <c r="R94" s="1239"/>
      <c r="S94" s="455">
        <f t="shared" ref="S94" si="41">AG95-AG93</f>
        <v>86930</v>
      </c>
      <c r="T94" s="1239"/>
      <c r="U94" s="1239"/>
      <c r="V94" s="1239"/>
      <c r="W94" s="1239"/>
      <c r="X94" s="1239"/>
      <c r="Y94" s="1239"/>
      <c r="Z94" s="1239"/>
      <c r="AA94" s="1239"/>
      <c r="AB94" s="1239"/>
      <c r="AC94" s="1239"/>
      <c r="AD94" s="1239"/>
      <c r="AE94" s="1239"/>
      <c r="AF94" s="1239"/>
      <c r="AG94" s="171"/>
      <c r="AH94" s="1239"/>
      <c r="AI94" s="1239"/>
      <c r="AJ94" s="1239"/>
      <c r="AK94" s="1239"/>
      <c r="AL94" s="1239"/>
      <c r="AM94" s="1239"/>
      <c r="AN94" s="455"/>
      <c r="AO94" s="1239"/>
      <c r="AP94" s="1239"/>
      <c r="AQ94" s="484">
        <f>+FL_2($T$95,$T$93,$G$94,1200,9.28,-1*$F$95)</f>
        <v>-0.35078837199999996</v>
      </c>
      <c r="AR94" s="484"/>
      <c r="AS94" s="484"/>
      <c r="AT94" s="484"/>
      <c r="AU94" s="638"/>
      <c r="AV94" s="638"/>
      <c r="AW94" s="638"/>
      <c r="AX94" s="638"/>
      <c r="AY94" s="484"/>
      <c r="AZ94" s="484"/>
      <c r="BA94" s="671"/>
      <c r="BB94" s="1239"/>
      <c r="BC94" s="169"/>
      <c r="BD94" s="1330"/>
      <c r="BE94" s="1330"/>
      <c r="BF94" s="1330"/>
      <c r="BG94" s="1330"/>
    </row>
    <row r="95" spans="1:59" ht="15.75" customHeight="1">
      <c r="A95" s="1239"/>
      <c r="B95" s="582" t="s">
        <v>3073</v>
      </c>
      <c r="C95" s="446">
        <f>+$C$93+$G$94</f>
        <v>86930.55</v>
      </c>
      <c r="D95" s="448"/>
      <c r="E95" s="448"/>
      <c r="F95" s="448">
        <v>0</v>
      </c>
      <c r="G95" s="455"/>
      <c r="H95" s="1239"/>
      <c r="I95" s="448" t="s">
        <v>1039</v>
      </c>
      <c r="J95" s="446"/>
      <c r="K95" s="638"/>
      <c r="L95" s="1239" t="s">
        <v>229</v>
      </c>
      <c r="M95" s="1239" t="str">
        <f>IF(AX95="PT",VLOOKUP(L95,'Foundation Calculation'!$V$2:$X$40,VLOOKUP(AX95,'Foundation Calculation'!$I$10:$J$13,2,FALSE),0),IF(AX95="K",VLOOKUP(L95,'Foundation Calculation'!$V$42:$X$80,VLOOKUP(AX95,'Foundation Calculation'!$I$10:$J$13,2,FALSE),0),""))</f>
        <v>C3R</v>
      </c>
      <c r="N95" s="1239" t="s">
        <v>2789</v>
      </c>
      <c r="O95" s="1239"/>
      <c r="P95" s="1239"/>
      <c r="Q95" s="1239">
        <v>0</v>
      </c>
      <c r="R95" s="1239">
        <v>0</v>
      </c>
      <c r="S95" s="455"/>
      <c r="T95" s="1239">
        <v>-35</v>
      </c>
      <c r="U95" s="1239"/>
      <c r="V95" s="1239"/>
      <c r="W95" s="1239">
        <v>0.8</v>
      </c>
      <c r="X95" s="1239"/>
      <c r="Y95" s="1239"/>
      <c r="Z95" s="1239"/>
      <c r="AA95" s="1239"/>
      <c r="AB95" s="1239"/>
      <c r="AC95" s="1239" t="s">
        <v>4090</v>
      </c>
      <c r="AD95" s="1239"/>
      <c r="AE95" s="1239"/>
      <c r="AF95" s="1239">
        <v>5800</v>
      </c>
      <c r="AG95" s="171">
        <v>86930</v>
      </c>
      <c r="AH95" s="1239">
        <v>2333</v>
      </c>
      <c r="AI95" s="1239">
        <v>330</v>
      </c>
      <c r="AJ95" s="1239"/>
      <c r="AK95" s="1239"/>
      <c r="AL95" s="1239"/>
      <c r="AM95" s="1239" t="s">
        <v>1042</v>
      </c>
      <c r="AN95" s="455">
        <v>5.32</v>
      </c>
      <c r="AO95" s="1239"/>
      <c r="AP95" s="1239"/>
      <c r="AQ95" s="484"/>
      <c r="AR95" s="484"/>
      <c r="AS95" s="484"/>
      <c r="AT95" s="484">
        <f>+ab($T$95,$T$93,$T$97,$G$94,$G$96,-1*$F$95,1200)</f>
        <v>-6.0491852293148796</v>
      </c>
      <c r="AU95" s="638"/>
      <c r="AV95" s="638"/>
      <c r="AW95" s="638" t="str">
        <f>VLOOKUP(C95,'Foundation Calculation'!$A$2:$C$33,3,1)</f>
        <v>Soil B</v>
      </c>
      <c r="AX95" s="572" t="str">
        <f>VLOOKUP(C95,'Foundation Calculation'!$E$2:$G$33,3,1)</f>
        <v>PT</v>
      </c>
      <c r="AY95" s="484">
        <f>IF(AX95="PT",VLOOKUP(L95,'Foundation Calculation'!$K$2:$R$40,VLOOKUP(AW95,'Foundation Calculation'!$I$2:$J$8,2,FALSE),0),IF(AX95="K",VLOOKUP(L95,'Foundation Calculation'!$K$42:$R$80,VLOOKUP(AW95,'Foundation Calculation'!$I$2:$J$8,2,FALSE),0),""))</f>
        <v>3.5</v>
      </c>
      <c r="AZ95" s="484"/>
      <c r="BA95" s="671" t="s">
        <v>2809</v>
      </c>
      <c r="BB95" s="1239" t="str">
        <f>Pole_Calculations!A15</f>
        <v>App.7-V11A-P9.5.1.1</v>
      </c>
      <c r="BC95" s="169"/>
      <c r="BD95" s="1371">
        <v>43819</v>
      </c>
      <c r="BE95" s="1371">
        <v>43859</v>
      </c>
      <c r="BF95" s="1371"/>
      <c r="BG95" s="1371"/>
    </row>
    <row r="96" spans="1:59" ht="15.75" customHeight="1">
      <c r="A96" s="1239"/>
      <c r="B96" s="447"/>
      <c r="C96" s="446"/>
      <c r="D96" s="448"/>
      <c r="E96" s="448"/>
      <c r="F96" s="448"/>
      <c r="G96" s="455">
        <v>44.6</v>
      </c>
      <c r="H96" s="1239"/>
      <c r="I96" s="448"/>
      <c r="J96" s="446">
        <f>C95+7.5</f>
        <v>86938.05</v>
      </c>
      <c r="K96" s="638" t="s">
        <v>2788</v>
      </c>
      <c r="L96" s="1239"/>
      <c r="M96" s="446"/>
      <c r="N96" s="1239"/>
      <c r="O96" s="1239"/>
      <c r="P96" s="1239"/>
      <c r="Q96" s="1239"/>
      <c r="R96" s="1239"/>
      <c r="S96" s="455">
        <f t="shared" ref="S96" si="42">AG97-AG95</f>
        <v>45</v>
      </c>
      <c r="T96" s="1239"/>
      <c r="U96" s="1239"/>
      <c r="V96" s="1239"/>
      <c r="W96" s="1239"/>
      <c r="X96" s="1239"/>
      <c r="Y96" s="1239"/>
      <c r="Z96" s="1239"/>
      <c r="AA96" s="1239"/>
      <c r="AB96" s="1239"/>
      <c r="AC96" s="1239"/>
      <c r="AD96" s="1239"/>
      <c r="AE96" s="1239"/>
      <c r="AF96" s="1239"/>
      <c r="AG96" s="171"/>
      <c r="AH96" s="1239"/>
      <c r="AI96" s="1239"/>
      <c r="AJ96" s="1239"/>
      <c r="AK96" s="1239"/>
      <c r="AL96" s="1239"/>
      <c r="AM96" s="1239"/>
      <c r="AN96" s="455"/>
      <c r="AO96" s="1239"/>
      <c r="AP96" s="1239"/>
      <c r="AQ96" s="484">
        <f>+FL_2($T$97,$T$95,$G$96,1200,9.28,-1*$F$97)</f>
        <v>-0.35155386547085193</v>
      </c>
      <c r="AR96" s="484"/>
      <c r="AS96" s="484"/>
      <c r="AT96" s="484"/>
      <c r="AU96" s="638"/>
      <c r="AV96" s="638"/>
      <c r="AW96" s="638" t="str">
        <f>VLOOKUP(J96,'Foundation Calculation'!$A$2:$C$33,3,1)</f>
        <v>Soil B</v>
      </c>
      <c r="AX96" s="638" t="str">
        <f>VLOOKUP(J96,'Foundation Calculation'!$E$2:$G$33,3,1)</f>
        <v>PT</v>
      </c>
      <c r="AY96" s="484"/>
      <c r="AZ96" s="484">
        <f>IF(AX96="PT",VLOOKUP(K96,'Foundation Calculation'!$K$2:$R$40,VLOOKUP(AW96,'Foundation Calculation'!$I$2:$J$8,2,FALSE),0),IF(AX96="K",VLOOKUP(K96,'Foundation Calculation'!$K$42:$R$80,VLOOKUP(AW96,'Foundation Calculation'!$I$2:$J$8,2,FALSE),0),""))</f>
        <v>2.8</v>
      </c>
      <c r="BA96" s="671" t="s">
        <v>2809</v>
      </c>
      <c r="BB96" s="1239"/>
      <c r="BC96" s="169"/>
      <c r="BD96" s="1329">
        <v>43819</v>
      </c>
      <c r="BE96" s="1330"/>
      <c r="BF96" s="1330"/>
      <c r="BG96" s="1330"/>
    </row>
    <row r="97" spans="1:59" ht="15.75" customHeight="1">
      <c r="A97" s="1239"/>
      <c r="B97" s="582" t="s">
        <v>3074</v>
      </c>
      <c r="C97" s="446">
        <f>+$C$95+$G$96</f>
        <v>86975.150000000009</v>
      </c>
      <c r="D97" s="448"/>
      <c r="E97" s="448"/>
      <c r="F97" s="448">
        <v>0</v>
      </c>
      <c r="G97" s="455"/>
      <c r="H97" s="1239"/>
      <c r="I97" s="448"/>
      <c r="J97" s="446"/>
      <c r="K97" s="638"/>
      <c r="L97" s="1239"/>
      <c r="M97" s="446"/>
      <c r="N97" s="1239" t="s">
        <v>844</v>
      </c>
      <c r="O97" s="1239"/>
      <c r="P97" s="1239"/>
      <c r="Q97" s="1239">
        <v>0</v>
      </c>
      <c r="R97" s="1239">
        <v>0</v>
      </c>
      <c r="S97" s="455"/>
      <c r="T97" s="1239">
        <v>35</v>
      </c>
      <c r="U97" s="1239"/>
      <c r="V97" s="1239"/>
      <c r="W97" s="1239">
        <v>1</v>
      </c>
      <c r="X97" s="1239"/>
      <c r="Y97" s="1239"/>
      <c r="Z97" s="1239"/>
      <c r="AA97" s="1239"/>
      <c r="AB97" s="1239"/>
      <c r="AC97" s="1239" t="s">
        <v>4090</v>
      </c>
      <c r="AD97" s="1239"/>
      <c r="AE97" s="1239"/>
      <c r="AF97" s="1239">
        <v>6000</v>
      </c>
      <c r="AG97" s="171">
        <v>86975</v>
      </c>
      <c r="AH97" s="1239">
        <v>1743</v>
      </c>
      <c r="AI97" s="1239">
        <v>-5600</v>
      </c>
      <c r="AJ97" s="1239"/>
      <c r="AK97" s="1239" t="s">
        <v>139</v>
      </c>
      <c r="AL97" s="1239"/>
      <c r="AM97" s="1239"/>
      <c r="AN97" s="455">
        <v>5.43</v>
      </c>
      <c r="AO97" s="1239"/>
      <c r="AP97" s="1239"/>
      <c r="AQ97" s="484"/>
      <c r="AR97" s="484"/>
      <c r="AS97" s="484"/>
      <c r="AT97" s="484">
        <f>+ab($T$97,$T$95,$T$99,$G$96,$G$98,-1*$F$97,1200)</f>
        <v>6.5527168945168883</v>
      </c>
      <c r="AU97" s="638"/>
      <c r="AV97" s="638"/>
      <c r="AW97" s="638"/>
      <c r="AX97" s="638"/>
      <c r="AY97" s="484"/>
      <c r="AZ97" s="484"/>
      <c r="BA97" s="671"/>
      <c r="BB97" s="1239"/>
      <c r="BC97" s="169"/>
      <c r="BD97" s="1330"/>
      <c r="BE97" s="1329"/>
      <c r="BF97" s="1330"/>
      <c r="BG97" s="1329"/>
    </row>
    <row r="98" spans="1:59" ht="15.75" customHeight="1">
      <c r="A98" s="1239"/>
      <c r="B98" s="447"/>
      <c r="C98" s="446"/>
      <c r="D98" s="448"/>
      <c r="E98" s="448"/>
      <c r="F98" s="448"/>
      <c r="G98" s="455">
        <v>52</v>
      </c>
      <c r="H98" s="1239"/>
      <c r="I98" s="448">
        <f>C99-C69</f>
        <v>528.30000000000291</v>
      </c>
      <c r="J98" s="446"/>
      <c r="K98" s="638"/>
      <c r="L98" s="1239"/>
      <c r="M98" s="446"/>
      <c r="N98" s="1239"/>
      <c r="O98" s="1239"/>
      <c r="P98" s="1239"/>
      <c r="Q98" s="1239"/>
      <c r="R98" s="1239"/>
      <c r="S98" s="455">
        <f t="shared" ref="S98" si="43">AG99-AG97</f>
        <v>52</v>
      </c>
      <c r="T98" s="1239"/>
      <c r="U98" s="1239"/>
      <c r="V98" s="1239"/>
      <c r="W98" s="1239"/>
      <c r="X98" s="1239"/>
      <c r="Y98" s="1239"/>
      <c r="Z98" s="1239"/>
      <c r="AA98" s="1239"/>
      <c r="AB98" s="1239"/>
      <c r="AC98" s="1239"/>
      <c r="AD98" s="1239"/>
      <c r="AE98" s="1239"/>
      <c r="AF98" s="1239"/>
      <c r="AG98" s="171"/>
      <c r="AH98" s="1239"/>
      <c r="AI98" s="1239"/>
      <c r="AJ98" s="1239"/>
      <c r="AK98" s="638" t="s">
        <v>2760</v>
      </c>
      <c r="AL98" s="1239"/>
      <c r="AM98" s="1239"/>
      <c r="AN98" s="455"/>
      <c r="AO98" s="1239"/>
      <c r="AP98" s="1239"/>
      <c r="AQ98" s="484">
        <f>+FL_2($T$99,$T$97,$G$98,1200,9.28,-1*$F$99)</f>
        <v>-0.37855025261538461</v>
      </c>
      <c r="AR98" s="484"/>
      <c r="AS98" s="484"/>
      <c r="AT98" s="484"/>
      <c r="AU98" s="638"/>
      <c r="AV98" s="638"/>
      <c r="AW98" s="638"/>
      <c r="AX98" s="638"/>
      <c r="AY98" s="484"/>
      <c r="AZ98" s="484"/>
      <c r="BA98" s="671"/>
      <c r="BB98" s="1239"/>
      <c r="BC98" s="169"/>
      <c r="BD98" s="1330"/>
      <c r="BE98" s="1330"/>
      <c r="BF98" s="1330"/>
      <c r="BG98" s="1330"/>
    </row>
    <row r="99" spans="1:59" ht="15.75" customHeight="1">
      <c r="A99" s="1239"/>
      <c r="B99" s="582" t="s">
        <v>3075</v>
      </c>
      <c r="C99" s="446">
        <f>+$C$97+$G$98</f>
        <v>87027.150000000009</v>
      </c>
      <c r="D99" s="448"/>
      <c r="E99" s="448"/>
      <c r="F99" s="448">
        <v>0</v>
      </c>
      <c r="G99" s="455"/>
      <c r="H99" s="1239" t="s">
        <v>874</v>
      </c>
      <c r="I99" s="448"/>
      <c r="J99" s="446"/>
      <c r="K99" s="638"/>
      <c r="L99" s="1239"/>
      <c r="M99" s="446"/>
      <c r="N99" s="1239" t="s">
        <v>843</v>
      </c>
      <c r="O99" s="1239"/>
      <c r="P99" s="1239"/>
      <c r="Q99" s="1239">
        <v>0</v>
      </c>
      <c r="R99" s="1239">
        <v>0</v>
      </c>
      <c r="S99" s="455"/>
      <c r="T99" s="1239">
        <v>-35</v>
      </c>
      <c r="U99" s="1239"/>
      <c r="V99" s="1239"/>
      <c r="W99" s="1239">
        <v>1.2</v>
      </c>
      <c r="X99" s="1239"/>
      <c r="Y99" s="1239"/>
      <c r="Z99" s="1239"/>
      <c r="AA99" s="1239"/>
      <c r="AB99" s="1239"/>
      <c r="AC99" s="1239" t="s">
        <v>4115</v>
      </c>
      <c r="AD99" s="1239"/>
      <c r="AE99" s="1239"/>
      <c r="AF99" s="1239">
        <v>100</v>
      </c>
      <c r="AG99" s="171">
        <v>87027</v>
      </c>
      <c r="AH99" s="1239">
        <v>1823</v>
      </c>
      <c r="AI99" s="1239">
        <v>-5670</v>
      </c>
      <c r="AJ99" s="1239"/>
      <c r="AK99" s="1239" t="s">
        <v>139</v>
      </c>
      <c r="AL99" s="1239"/>
      <c r="AM99" s="1239"/>
      <c r="AN99" s="455">
        <v>5.5</v>
      </c>
      <c r="AO99" s="1239"/>
      <c r="AP99" s="1239"/>
      <c r="AQ99" s="484"/>
      <c r="AR99" s="484"/>
      <c r="AS99" s="484"/>
      <c r="AT99" s="484">
        <f>+ab($T$99,$T$97,$T$101,$G$98,$G$100,-1*$F$99,1200)</f>
        <v>-7.4735517384464334</v>
      </c>
      <c r="AU99" s="638"/>
      <c r="AV99" s="638"/>
      <c r="AW99" s="638"/>
      <c r="AX99" s="638"/>
      <c r="AY99" s="484"/>
      <c r="AZ99" s="484"/>
      <c r="BA99" s="671"/>
      <c r="BB99" s="1239"/>
      <c r="BC99" s="169"/>
      <c r="BD99" s="1330"/>
      <c r="BE99" s="1329"/>
      <c r="BF99" s="1330"/>
      <c r="BG99" s="1329"/>
    </row>
    <row r="100" spans="1:59" ht="15.75" customHeight="1">
      <c r="A100" s="647" t="s">
        <v>3049</v>
      </c>
      <c r="B100" s="648"/>
      <c r="C100" s="649"/>
      <c r="D100" s="650"/>
      <c r="E100" s="650"/>
      <c r="F100" s="650"/>
      <c r="G100" s="651">
        <v>58</v>
      </c>
      <c r="H100" s="647"/>
      <c r="I100" s="650">
        <f>C117-C99</f>
        <v>523</v>
      </c>
      <c r="J100" s="649"/>
      <c r="K100" s="653"/>
      <c r="L100" s="647"/>
      <c r="M100" s="649"/>
      <c r="N100" s="647"/>
      <c r="O100" s="647"/>
      <c r="P100" s="647"/>
      <c r="Q100" s="647"/>
      <c r="R100" s="647"/>
      <c r="S100" s="651">
        <f t="shared" ref="S100" si="44">AG101-AG99</f>
        <v>58</v>
      </c>
      <c r="T100" s="647"/>
      <c r="U100" s="647"/>
      <c r="V100" s="647"/>
      <c r="W100" s="647"/>
      <c r="X100" s="647"/>
      <c r="Y100" s="647"/>
      <c r="Z100" s="647"/>
      <c r="AA100" s="647"/>
      <c r="AB100" s="647"/>
      <c r="AC100" s="647"/>
      <c r="AD100" s="647"/>
      <c r="AE100" s="647"/>
      <c r="AF100" s="647"/>
      <c r="AG100" s="652"/>
      <c r="AH100" s="647"/>
      <c r="AI100" s="647"/>
      <c r="AJ100" s="647"/>
      <c r="AK100" s="653" t="s">
        <v>2760</v>
      </c>
      <c r="AL100" s="647"/>
      <c r="AM100" s="647"/>
      <c r="AN100" s="651"/>
      <c r="AO100" s="647"/>
      <c r="AP100" s="647"/>
      <c r="AQ100" s="654">
        <f>+FL_1($T$101,$T$99,$G$100,1200,9.28,-1*$F$101)</f>
        <v>0.41936333972413792</v>
      </c>
      <c r="AR100" s="654"/>
      <c r="AS100" s="654"/>
      <c r="AT100" s="654"/>
      <c r="AU100" s="653"/>
      <c r="AV100" s="653"/>
      <c r="AW100" s="653"/>
      <c r="AX100" s="653"/>
      <c r="AY100" s="654"/>
      <c r="AZ100" s="654"/>
      <c r="BA100" s="701"/>
      <c r="BB100" s="647"/>
      <c r="BC100" s="169"/>
      <c r="BD100" s="1330"/>
      <c r="BE100" s="1330"/>
      <c r="BF100" s="1330"/>
      <c r="BG100" s="1330"/>
    </row>
    <row r="101" spans="1:59" ht="15.75" customHeight="1">
      <c r="A101" s="1239"/>
      <c r="B101" s="582" t="s">
        <v>3076</v>
      </c>
      <c r="C101" s="446">
        <f>+$C$99+$G$100</f>
        <v>87085.150000000009</v>
      </c>
      <c r="D101" s="448"/>
      <c r="E101" s="448"/>
      <c r="F101" s="448">
        <v>0</v>
      </c>
      <c r="G101" s="455"/>
      <c r="H101" s="1239"/>
      <c r="I101" s="448"/>
      <c r="J101" s="446"/>
      <c r="K101" s="638"/>
      <c r="L101" s="1239"/>
      <c r="M101" s="446"/>
      <c r="N101" s="1239" t="s">
        <v>844</v>
      </c>
      <c r="O101" s="1239"/>
      <c r="P101" s="1239"/>
      <c r="Q101" s="1239">
        <v>0</v>
      </c>
      <c r="R101" s="1239">
        <v>0</v>
      </c>
      <c r="S101" s="455"/>
      <c r="T101" s="1239">
        <v>35</v>
      </c>
      <c r="U101" s="1239"/>
      <c r="V101" s="1239"/>
      <c r="W101" s="1239">
        <v>1.4</v>
      </c>
      <c r="X101" s="1239"/>
      <c r="Y101" s="1239"/>
      <c r="Z101" s="1239"/>
      <c r="AA101" s="1239"/>
      <c r="AB101" s="1239"/>
      <c r="AC101" s="1239" t="s">
        <v>4090</v>
      </c>
      <c r="AD101" s="1239"/>
      <c r="AE101" s="1239"/>
      <c r="AF101" s="1239">
        <v>100</v>
      </c>
      <c r="AG101" s="171">
        <v>87085</v>
      </c>
      <c r="AH101" s="1239">
        <v>1923</v>
      </c>
      <c r="AI101" s="1239">
        <v>-5760</v>
      </c>
      <c r="AJ101" s="1239"/>
      <c r="AK101" s="1239" t="s">
        <v>139</v>
      </c>
      <c r="AL101" s="1239"/>
      <c r="AM101" s="1239"/>
      <c r="AN101" s="455">
        <v>5.5</v>
      </c>
      <c r="AO101" s="1239"/>
      <c r="AP101" s="1239"/>
      <c r="AQ101" s="484"/>
      <c r="AR101" s="484"/>
      <c r="AS101" s="484"/>
      <c r="AT101" s="484">
        <f>+ab($T$101,$T$99,$T$103,$G$100,$G$102,-1*$F$101,1200)</f>
        <v>8.0315395844366186</v>
      </c>
      <c r="AU101" s="638"/>
      <c r="AV101" s="638"/>
      <c r="AW101" s="638"/>
      <c r="AX101" s="638"/>
      <c r="AY101" s="484"/>
      <c r="AZ101" s="484"/>
      <c r="BA101" s="671"/>
      <c r="BB101" s="1239"/>
      <c r="BC101" s="169"/>
      <c r="BD101" s="1330"/>
      <c r="BE101" s="1329"/>
      <c r="BF101" s="1330"/>
      <c r="BG101" s="1329"/>
    </row>
    <row r="102" spans="1:59" ht="15.75" customHeight="1">
      <c r="A102" s="1239"/>
      <c r="B102" s="447"/>
      <c r="C102" s="446"/>
      <c r="D102" s="448"/>
      <c r="E102" s="448"/>
      <c r="F102" s="448"/>
      <c r="G102" s="455">
        <v>60</v>
      </c>
      <c r="H102" s="1239"/>
      <c r="I102" s="448"/>
      <c r="J102" s="446"/>
      <c r="K102" s="638"/>
      <c r="L102" s="1239"/>
      <c r="M102" s="446"/>
      <c r="N102" s="1239"/>
      <c r="O102" s="1239"/>
      <c r="P102" s="1239"/>
      <c r="Q102" s="1239"/>
      <c r="R102" s="1239"/>
      <c r="S102" s="455">
        <f t="shared" ref="S102" si="45">AG103-AG101</f>
        <v>60</v>
      </c>
      <c r="T102" s="1239"/>
      <c r="U102" s="1239"/>
      <c r="V102" s="1239"/>
      <c r="W102" s="1239"/>
      <c r="X102" s="1239"/>
      <c r="Y102" s="1239"/>
      <c r="Z102" s="1239"/>
      <c r="AA102" s="1239"/>
      <c r="AB102" s="1239"/>
      <c r="AC102" s="1239"/>
      <c r="AD102" s="1239"/>
      <c r="AE102" s="1239"/>
      <c r="AF102" s="1239"/>
      <c r="AG102" s="171"/>
      <c r="AH102" s="1239"/>
      <c r="AI102" s="1239"/>
      <c r="AJ102" s="1239"/>
      <c r="AK102" s="1239"/>
      <c r="AL102" s="1239"/>
      <c r="AM102" s="1239"/>
      <c r="AN102" s="455"/>
      <c r="AO102" s="1239"/>
      <c r="AP102" s="1239"/>
      <c r="AQ102" s="484">
        <f>+FL_2($T$103,$T$101,$G$102,1200,9.28,-1*$F$103)</f>
        <v>-0.43600286799999999</v>
      </c>
      <c r="AR102" s="484"/>
      <c r="AS102" s="484"/>
      <c r="AT102" s="484"/>
      <c r="AU102" s="638"/>
      <c r="AV102" s="638"/>
      <c r="AW102" s="638"/>
      <c r="AX102" s="638"/>
      <c r="AY102" s="484"/>
      <c r="AZ102" s="484"/>
      <c r="BA102" s="671"/>
      <c r="BB102" s="1239"/>
      <c r="BC102" s="169"/>
      <c r="BD102" s="1330"/>
      <c r="BE102" s="1330"/>
      <c r="BF102" s="1330"/>
      <c r="BG102" s="1330"/>
    </row>
    <row r="103" spans="1:59" ht="15.75" customHeight="1">
      <c r="A103" s="1239"/>
      <c r="B103" s="582" t="s">
        <v>3077</v>
      </c>
      <c r="C103" s="446">
        <f>+$C$101+$G$102</f>
        <v>87145.150000000009</v>
      </c>
      <c r="D103" s="448"/>
      <c r="E103" s="448"/>
      <c r="F103" s="448">
        <v>0</v>
      </c>
      <c r="G103" s="455"/>
      <c r="H103" s="1239"/>
      <c r="I103" s="448"/>
      <c r="J103" s="446"/>
      <c r="K103" s="638"/>
      <c r="L103" s="1239"/>
      <c r="M103" s="446"/>
      <c r="N103" s="1239" t="s">
        <v>843</v>
      </c>
      <c r="O103" s="1239"/>
      <c r="P103" s="1239"/>
      <c r="Q103" s="1239">
        <v>0</v>
      </c>
      <c r="R103" s="1239">
        <v>0</v>
      </c>
      <c r="S103" s="455"/>
      <c r="T103" s="1239">
        <v>-35</v>
      </c>
      <c r="U103" s="1239"/>
      <c r="V103" s="1239"/>
      <c r="W103" s="1239">
        <v>1.4</v>
      </c>
      <c r="X103" s="1239"/>
      <c r="Y103" s="1239"/>
      <c r="Z103" s="1239"/>
      <c r="AA103" s="1239"/>
      <c r="AB103" s="1239"/>
      <c r="AC103" s="1239" t="s">
        <v>4115</v>
      </c>
      <c r="AD103" s="1239"/>
      <c r="AE103" s="1239"/>
      <c r="AF103" s="1239">
        <v>100</v>
      </c>
      <c r="AG103" s="171">
        <v>87145</v>
      </c>
      <c r="AH103" s="1239">
        <v>1793</v>
      </c>
      <c r="AI103" s="1239">
        <v>-5600</v>
      </c>
      <c r="AJ103" s="1239"/>
      <c r="AK103" s="1239" t="s">
        <v>139</v>
      </c>
      <c r="AL103" s="1239"/>
      <c r="AM103" s="1239"/>
      <c r="AN103" s="455">
        <v>5.5</v>
      </c>
      <c r="AO103" s="1239"/>
      <c r="AP103" s="1239"/>
      <c r="AQ103" s="484"/>
      <c r="AR103" s="484"/>
      <c r="AS103" s="484"/>
      <c r="AT103" s="484">
        <f>+ab($T$103,$T$101,$T$105,$G$102,$G$104,-1*$F$103,1200)</f>
        <v>-8.300256796512933</v>
      </c>
      <c r="AU103" s="638"/>
      <c r="AV103" s="638"/>
      <c r="AW103" s="638"/>
      <c r="AX103" s="638"/>
      <c r="AY103" s="484"/>
      <c r="AZ103" s="484"/>
      <c r="BA103" s="671"/>
      <c r="BB103" s="1239"/>
      <c r="BC103" s="169"/>
      <c r="BD103" s="1330"/>
      <c r="BE103" s="1329"/>
      <c r="BF103" s="1330"/>
      <c r="BG103" s="1329"/>
    </row>
    <row r="104" spans="1:59" ht="15.75" customHeight="1">
      <c r="A104" s="1239"/>
      <c r="B104" s="447"/>
      <c r="C104" s="446"/>
      <c r="D104" s="448"/>
      <c r="E104" s="448"/>
      <c r="F104" s="448"/>
      <c r="G104" s="455">
        <v>62</v>
      </c>
      <c r="H104" s="1239"/>
      <c r="I104" s="448"/>
      <c r="J104" s="446"/>
      <c r="K104" s="638"/>
      <c r="L104" s="1239"/>
      <c r="M104" s="446"/>
      <c r="N104" s="1239"/>
      <c r="O104" s="1239"/>
      <c r="P104" s="1239"/>
      <c r="Q104" s="1239"/>
      <c r="R104" s="1239"/>
      <c r="S104" s="455">
        <f t="shared" ref="S104" si="46">AG105-AG103</f>
        <v>62</v>
      </c>
      <c r="T104" s="1239"/>
      <c r="U104" s="1239"/>
      <c r="V104" s="1239"/>
      <c r="W104" s="1239"/>
      <c r="X104" s="1239"/>
      <c r="Y104" s="1239"/>
      <c r="Z104" s="1239"/>
      <c r="AA104" s="1239"/>
      <c r="AB104" s="1239"/>
      <c r="AC104" s="1239"/>
      <c r="AD104" s="1239"/>
      <c r="AE104" s="1239"/>
      <c r="AF104" s="1239"/>
      <c r="AG104" s="171"/>
      <c r="AH104" s="1239"/>
      <c r="AI104" s="1239"/>
      <c r="AJ104" s="1239"/>
      <c r="AK104" s="1239"/>
      <c r="AL104" s="1239"/>
      <c r="AM104" s="1239"/>
      <c r="AN104" s="455"/>
      <c r="AO104" s="1239"/>
      <c r="AP104" s="1239"/>
      <c r="AQ104" s="484">
        <f>+FL_1($T$105,$T$103,$G$104,1200,9.28,-1*$F$105)</f>
        <v>0.45400350967741931</v>
      </c>
      <c r="AR104" s="484"/>
      <c r="AS104" s="484"/>
      <c r="AT104" s="484"/>
      <c r="AU104" s="638"/>
      <c r="AV104" s="638"/>
      <c r="AW104" s="638"/>
      <c r="AX104" s="638"/>
      <c r="AY104" s="484"/>
      <c r="AZ104" s="484"/>
      <c r="BA104" s="671"/>
      <c r="BB104" s="1239"/>
      <c r="BC104" s="169"/>
      <c r="BD104" s="1330"/>
      <c r="BE104" s="1330"/>
      <c r="BF104" s="1330"/>
      <c r="BG104" s="1330"/>
    </row>
    <row r="105" spans="1:59" ht="15.75" customHeight="1">
      <c r="A105" s="1239"/>
      <c r="B105" s="582" t="s">
        <v>3078</v>
      </c>
      <c r="C105" s="446">
        <f>+$C$103+$G$104</f>
        <v>87207.150000000009</v>
      </c>
      <c r="D105" s="448"/>
      <c r="E105" s="448"/>
      <c r="F105" s="448">
        <v>0</v>
      </c>
      <c r="G105" s="455"/>
      <c r="H105" s="1239"/>
      <c r="I105" s="448"/>
      <c r="J105" s="446"/>
      <c r="K105" s="638"/>
      <c r="L105" s="1239"/>
      <c r="M105" s="446"/>
      <c r="N105" s="1239" t="s">
        <v>844</v>
      </c>
      <c r="O105" s="1239"/>
      <c r="P105" s="1239"/>
      <c r="Q105" s="1239">
        <v>0</v>
      </c>
      <c r="R105" s="1239">
        <v>0</v>
      </c>
      <c r="S105" s="455"/>
      <c r="T105" s="1239">
        <v>35</v>
      </c>
      <c r="U105" s="1239"/>
      <c r="V105" s="1239"/>
      <c r="W105" s="1239">
        <v>1.4</v>
      </c>
      <c r="X105" s="1239"/>
      <c r="Y105" s="1239"/>
      <c r="Z105" s="1239"/>
      <c r="AA105" s="1239"/>
      <c r="AB105" s="1239"/>
      <c r="AC105" s="1239" t="s">
        <v>1421</v>
      </c>
      <c r="AD105" s="1239"/>
      <c r="AE105" s="1239"/>
      <c r="AF105" s="1239">
        <v>100</v>
      </c>
      <c r="AG105" s="171">
        <v>87207</v>
      </c>
      <c r="AH105" s="1239">
        <v>1773</v>
      </c>
      <c r="AI105" s="1239">
        <v>-5784</v>
      </c>
      <c r="AJ105" s="1239"/>
      <c r="AK105" s="1239" t="s">
        <v>139</v>
      </c>
      <c r="AL105" s="1239"/>
      <c r="AM105" s="1239"/>
      <c r="AN105" s="455">
        <v>5.5</v>
      </c>
      <c r="AO105" s="1239"/>
      <c r="AP105" s="1239"/>
      <c r="AQ105" s="484"/>
      <c r="AR105" s="484"/>
      <c r="AS105" s="484"/>
      <c r="AT105" s="484">
        <f>+ab($T$105,$T$103,$T$107,$G$104,$G$106,-1*$F$105,1200)</f>
        <v>8.4674076290659155</v>
      </c>
      <c r="AU105" s="638"/>
      <c r="AV105" s="638"/>
      <c r="AW105" s="638"/>
      <c r="AX105" s="638"/>
      <c r="AY105" s="484"/>
      <c r="AZ105" s="484"/>
      <c r="BA105" s="671"/>
      <c r="BB105" s="1239"/>
      <c r="BC105" s="169"/>
      <c r="BD105" s="1330"/>
      <c r="BE105" s="1329"/>
      <c r="BF105" s="1330"/>
      <c r="BG105" s="1329"/>
    </row>
    <row r="106" spans="1:59" ht="15.75" customHeight="1">
      <c r="A106" s="1239"/>
      <c r="B106" s="447"/>
      <c r="C106" s="446"/>
      <c r="D106" s="448"/>
      <c r="E106" s="448"/>
      <c r="F106" s="448"/>
      <c r="G106" s="455">
        <v>58</v>
      </c>
      <c r="H106" s="1239"/>
      <c r="I106" s="448"/>
      <c r="J106" s="446"/>
      <c r="K106" s="638"/>
      <c r="L106" s="1239"/>
      <c r="M106" s="446"/>
      <c r="N106" s="1239"/>
      <c r="O106" s="1239"/>
      <c r="P106" s="1239"/>
      <c r="Q106" s="1239"/>
      <c r="R106" s="1239"/>
      <c r="S106" s="455">
        <f t="shared" ref="S106" si="47">AG107-AG105</f>
        <v>58</v>
      </c>
      <c r="T106" s="1239"/>
      <c r="U106" s="1239"/>
      <c r="V106" s="1239"/>
      <c r="W106" s="1239"/>
      <c r="X106" s="1239"/>
      <c r="Y106" s="1239"/>
      <c r="Z106" s="1239"/>
      <c r="AA106" s="1239"/>
      <c r="AB106" s="1239"/>
      <c r="AC106" s="1239"/>
      <c r="AD106" s="1239"/>
      <c r="AE106" s="1239"/>
      <c r="AF106" s="1239"/>
      <c r="AG106" s="171"/>
      <c r="AH106" s="1239"/>
      <c r="AI106" s="1239"/>
      <c r="AJ106" s="1239"/>
      <c r="AK106" s="1239"/>
      <c r="AL106" s="1239"/>
      <c r="AM106" s="1239"/>
      <c r="AN106" s="455"/>
      <c r="AO106" s="1239"/>
      <c r="AP106" s="1239"/>
      <c r="AQ106" s="484">
        <f>+FL_1($T$107,$T$105,$G$106,1200,9.28,-1*$F$107)</f>
        <v>0.43139002570114943</v>
      </c>
      <c r="AR106" s="484"/>
      <c r="AS106" s="484"/>
      <c r="AT106" s="484"/>
      <c r="AU106" s="638"/>
      <c r="AV106" s="638"/>
      <c r="AW106" s="638"/>
      <c r="AX106" s="638"/>
      <c r="AY106" s="484"/>
      <c r="AZ106" s="484"/>
      <c r="BA106" s="671"/>
      <c r="BB106" s="1239"/>
      <c r="BC106" s="169"/>
      <c r="BD106" s="1330"/>
      <c r="BE106" s="1330"/>
      <c r="BF106" s="1330"/>
      <c r="BG106" s="1330"/>
    </row>
    <row r="107" spans="1:59" ht="15.75" customHeight="1">
      <c r="A107" s="1239"/>
      <c r="B107" s="582" t="s">
        <v>3079</v>
      </c>
      <c r="C107" s="446">
        <f>+$C$105+$G$106</f>
        <v>87265.150000000009</v>
      </c>
      <c r="D107" s="448"/>
      <c r="E107" s="448"/>
      <c r="F107" s="448">
        <v>0</v>
      </c>
      <c r="G107" s="455"/>
      <c r="H107" s="1239"/>
      <c r="I107" s="448"/>
      <c r="J107" s="446"/>
      <c r="K107" s="638"/>
      <c r="L107" s="1239"/>
      <c r="M107" s="446"/>
      <c r="N107" s="1239" t="s">
        <v>843</v>
      </c>
      <c r="O107" s="1239"/>
      <c r="P107" s="1239"/>
      <c r="Q107" s="1239">
        <v>0</v>
      </c>
      <c r="R107" s="1239">
        <v>0</v>
      </c>
      <c r="S107" s="455"/>
      <c r="T107" s="1239">
        <v>-30</v>
      </c>
      <c r="U107" s="1239"/>
      <c r="V107" s="1239"/>
      <c r="W107" s="1239">
        <v>1.4</v>
      </c>
      <c r="X107" s="1239"/>
      <c r="Y107" s="1239"/>
      <c r="Z107" s="1239"/>
      <c r="AA107" s="1239"/>
      <c r="AB107" s="1239"/>
      <c r="AC107" s="1239" t="s">
        <v>1421</v>
      </c>
      <c r="AD107" s="1239"/>
      <c r="AE107" s="1239"/>
      <c r="AF107" s="1239">
        <v>100</v>
      </c>
      <c r="AG107" s="171">
        <v>87265</v>
      </c>
      <c r="AH107" s="1239">
        <v>1963</v>
      </c>
      <c r="AI107" s="1239">
        <v>-5700</v>
      </c>
      <c r="AJ107" s="1239"/>
      <c r="AK107" s="1239" t="s">
        <v>139</v>
      </c>
      <c r="AL107" s="1239"/>
      <c r="AM107" s="1239"/>
      <c r="AN107" s="455">
        <v>5.5</v>
      </c>
      <c r="AO107" s="1239"/>
      <c r="AP107" s="1239"/>
      <c r="AQ107" s="484"/>
      <c r="AR107" s="484"/>
      <c r="AS107" s="484"/>
      <c r="AT107" s="484">
        <f>+ab($T$107,$T$105,$T$109,$G$106,$G$108,-1*$F$107,1200)</f>
        <v>-8.9744989220435407</v>
      </c>
      <c r="AU107" s="638"/>
      <c r="AV107" s="638"/>
      <c r="AW107" s="638"/>
      <c r="AX107" s="638"/>
      <c r="AY107" s="484"/>
      <c r="AZ107" s="484"/>
      <c r="BA107" s="671"/>
      <c r="BB107" s="1239"/>
      <c r="BC107" s="169"/>
      <c r="BD107" s="1330"/>
      <c r="BE107" s="1329"/>
      <c r="BF107" s="1330"/>
      <c r="BG107" s="1329"/>
    </row>
    <row r="108" spans="1:59" ht="15.75" customHeight="1">
      <c r="A108" s="1239"/>
      <c r="B108" s="447"/>
      <c r="C108" s="446"/>
      <c r="D108" s="448"/>
      <c r="E108" s="448"/>
      <c r="F108" s="448"/>
      <c r="G108" s="455">
        <v>55</v>
      </c>
      <c r="H108" s="1239"/>
      <c r="I108" s="448"/>
      <c r="J108" s="446"/>
      <c r="K108" s="638"/>
      <c r="L108" s="1239"/>
      <c r="M108" s="446"/>
      <c r="N108" s="1239"/>
      <c r="O108" s="1239"/>
      <c r="P108" s="1239"/>
      <c r="Q108" s="1239"/>
      <c r="R108" s="1239"/>
      <c r="S108" s="455">
        <f t="shared" ref="S108" si="48">AG109-AG107</f>
        <v>55</v>
      </c>
      <c r="T108" s="1239"/>
      <c r="U108" s="1239"/>
      <c r="V108" s="1239"/>
      <c r="W108" s="1239"/>
      <c r="X108" s="1239"/>
      <c r="Y108" s="1239"/>
      <c r="Z108" s="1239"/>
      <c r="AA108" s="1239"/>
      <c r="AB108" s="1239"/>
      <c r="AC108" s="1239"/>
      <c r="AD108" s="1239"/>
      <c r="AE108" s="1239"/>
      <c r="AF108" s="1239"/>
      <c r="AG108" s="171"/>
      <c r="AH108" s="1239"/>
      <c r="AI108" s="1239"/>
      <c r="AJ108" s="1239"/>
      <c r="AK108" s="1239"/>
      <c r="AL108" s="1239"/>
      <c r="AM108" s="1239"/>
      <c r="AN108" s="455"/>
      <c r="AO108" s="1239"/>
      <c r="AP108" s="1239"/>
      <c r="AQ108" s="484">
        <f>+FL_2($T$109,$T$107,$G$108,1200,9.28,-1*$F$109)</f>
        <v>-0.38207183866666655</v>
      </c>
      <c r="AR108" s="484"/>
      <c r="AS108" s="484"/>
      <c r="AT108" s="484"/>
      <c r="AU108" s="638"/>
      <c r="AV108" s="638"/>
      <c r="AW108" s="638"/>
      <c r="AX108" s="638"/>
      <c r="AY108" s="484"/>
      <c r="AZ108" s="484"/>
      <c r="BA108" s="671"/>
      <c r="BB108" s="1239"/>
      <c r="BC108" s="169"/>
      <c r="BD108" s="1330"/>
      <c r="BE108" s="1330"/>
      <c r="BF108" s="1330"/>
      <c r="BG108" s="1330"/>
    </row>
    <row r="109" spans="1:59" ht="15.75" customHeight="1">
      <c r="A109" s="1239"/>
      <c r="B109" s="582" t="s">
        <v>3080</v>
      </c>
      <c r="C109" s="446">
        <f>+$C$107+$G$108</f>
        <v>87320.150000000009</v>
      </c>
      <c r="D109" s="448"/>
      <c r="E109" s="448"/>
      <c r="F109" s="448">
        <v>0</v>
      </c>
      <c r="G109" s="455"/>
      <c r="H109" s="1239"/>
      <c r="I109" s="448"/>
      <c r="J109" s="446"/>
      <c r="K109" s="638"/>
      <c r="L109" s="1239"/>
      <c r="M109" s="446"/>
      <c r="N109" s="1239" t="s">
        <v>844</v>
      </c>
      <c r="O109" s="1239"/>
      <c r="P109" s="1239"/>
      <c r="Q109" s="1239">
        <v>0</v>
      </c>
      <c r="R109" s="1239">
        <v>0</v>
      </c>
      <c r="S109" s="455"/>
      <c r="T109" s="1239">
        <v>25</v>
      </c>
      <c r="U109" s="1239"/>
      <c r="V109" s="1239"/>
      <c r="W109" s="1239">
        <v>1.4</v>
      </c>
      <c r="X109" s="1239"/>
      <c r="Y109" s="1239"/>
      <c r="Z109" s="1239"/>
      <c r="AA109" s="1239"/>
      <c r="AB109" s="1239"/>
      <c r="AC109" s="1239" t="s">
        <v>1421</v>
      </c>
      <c r="AD109" s="1239"/>
      <c r="AE109" s="1239"/>
      <c r="AF109" s="1239">
        <v>100</v>
      </c>
      <c r="AG109" s="171">
        <v>87320</v>
      </c>
      <c r="AH109" s="1239">
        <v>1873</v>
      </c>
      <c r="AI109" s="1239">
        <v>-5613</v>
      </c>
      <c r="AJ109" s="1239"/>
      <c r="AK109" s="1239" t="s">
        <v>139</v>
      </c>
      <c r="AL109" s="1239"/>
      <c r="AM109" s="1239"/>
      <c r="AN109" s="455">
        <v>5.5</v>
      </c>
      <c r="AO109" s="1239"/>
      <c r="AP109" s="1239"/>
      <c r="AQ109" s="484"/>
      <c r="AR109" s="484"/>
      <c r="AS109" s="484"/>
      <c r="AT109" s="484">
        <f>+ab($T$109,$T$107,$U$111,$G$108,$G$110,-1*$F$109,1200)</f>
        <v>10.54014263553416</v>
      </c>
      <c r="AU109" s="638"/>
      <c r="AV109" s="638"/>
      <c r="AW109" s="638"/>
      <c r="AX109" s="638"/>
      <c r="AY109" s="484"/>
      <c r="AZ109" s="484"/>
      <c r="BA109" s="671"/>
      <c r="BB109" s="1239"/>
      <c r="BC109" s="169"/>
      <c r="BD109" s="1330"/>
      <c r="BE109" s="1329"/>
      <c r="BF109" s="1330"/>
      <c r="BG109" s="1329"/>
    </row>
    <row r="110" spans="1:59" ht="15.75" customHeight="1">
      <c r="A110" s="449"/>
      <c r="B110" s="447"/>
      <c r="C110" s="446"/>
      <c r="D110" s="448"/>
      <c r="E110" s="448"/>
      <c r="F110" s="448"/>
      <c r="G110" s="484">
        <v>50</v>
      </c>
      <c r="H110" s="1239"/>
      <c r="I110" s="448"/>
      <c r="J110" s="446"/>
      <c r="K110" s="638"/>
      <c r="L110" s="1239"/>
      <c r="M110" s="446"/>
      <c r="N110" s="1239"/>
      <c r="O110" s="1239"/>
      <c r="P110" s="1239"/>
      <c r="Q110" s="1239"/>
      <c r="R110" s="1239"/>
      <c r="S110" s="455">
        <f t="shared" ref="S110" si="49">AG111-AG109</f>
        <v>50</v>
      </c>
      <c r="T110" s="1239"/>
      <c r="U110" s="1239"/>
      <c r="V110" s="1239"/>
      <c r="W110" s="1239"/>
      <c r="X110" s="1239"/>
      <c r="Y110" s="1239"/>
      <c r="Z110" s="1239"/>
      <c r="AA110" s="1239"/>
      <c r="AB110" s="1239"/>
      <c r="AC110" s="1239"/>
      <c r="AD110" s="1239"/>
      <c r="AE110" s="1239"/>
      <c r="AF110" s="1239"/>
      <c r="AG110" s="171"/>
      <c r="AH110" s="1239"/>
      <c r="AI110" s="1239"/>
      <c r="AJ110" s="1239"/>
      <c r="AK110" s="1239"/>
      <c r="AL110" s="1239"/>
      <c r="AM110" s="1239"/>
      <c r="AN110" s="455"/>
      <c r="AO110" s="1239"/>
      <c r="AP110" s="1239"/>
      <c r="AQ110" s="484">
        <f>+FL_2($U$111,$T$109,$G$110,1200,9.28,-1*$F$111)</f>
        <v>-0.23304596799999999</v>
      </c>
      <c r="AR110" s="484"/>
      <c r="AS110" s="484"/>
      <c r="AT110" s="484"/>
      <c r="AU110" s="638"/>
      <c r="AV110" s="638"/>
      <c r="AW110" s="638"/>
      <c r="AX110" s="638"/>
      <c r="AY110" s="484"/>
      <c r="AZ110" s="484"/>
      <c r="BA110" s="671"/>
      <c r="BB110" s="449"/>
      <c r="BC110" s="169"/>
      <c r="BD110" s="1330"/>
      <c r="BE110" s="1330"/>
      <c r="BF110" s="1330"/>
      <c r="BG110" s="1330"/>
    </row>
    <row r="111" spans="1:59" ht="15.75" customHeight="1">
      <c r="A111" s="1239"/>
      <c r="B111" s="582" t="s">
        <v>3081</v>
      </c>
      <c r="C111" s="446">
        <f>+$C$109+$G$110</f>
        <v>87370.150000000009</v>
      </c>
      <c r="D111" s="448"/>
      <c r="E111" s="448"/>
      <c r="F111" s="448">
        <v>0</v>
      </c>
      <c r="G111" s="455"/>
      <c r="H111" s="1239" t="s">
        <v>619</v>
      </c>
      <c r="I111" s="448"/>
      <c r="J111" s="446"/>
      <c r="K111" s="638"/>
      <c r="L111" s="1239"/>
      <c r="M111" s="446"/>
      <c r="N111" s="1239" t="s">
        <v>845</v>
      </c>
      <c r="O111" s="1239" t="s">
        <v>843</v>
      </c>
      <c r="P111" s="1239"/>
      <c r="Q111" s="1239">
        <v>0</v>
      </c>
      <c r="R111" s="1239">
        <v>0</v>
      </c>
      <c r="S111" s="455"/>
      <c r="T111" s="1239">
        <v>-35</v>
      </c>
      <c r="U111" s="1239">
        <v>-15</v>
      </c>
      <c r="V111" s="1239"/>
      <c r="W111" s="1239">
        <v>2.2999999999999998</v>
      </c>
      <c r="X111" s="1239">
        <v>1.4</v>
      </c>
      <c r="Y111" s="1239"/>
      <c r="Z111" s="1239">
        <v>0.6</v>
      </c>
      <c r="AA111" s="1239"/>
      <c r="AB111" s="1239"/>
      <c r="AC111" s="1239" t="s">
        <v>1417</v>
      </c>
      <c r="AD111" s="1239"/>
      <c r="AE111" s="1239"/>
      <c r="AF111" s="1239">
        <v>200</v>
      </c>
      <c r="AG111" s="171">
        <v>87370</v>
      </c>
      <c r="AH111" s="1239">
        <v>1873</v>
      </c>
      <c r="AI111" s="1239">
        <v>-5400</v>
      </c>
      <c r="AJ111" s="1239"/>
      <c r="AK111" s="1239" t="s">
        <v>228</v>
      </c>
      <c r="AL111" s="1239"/>
      <c r="AM111" s="1239"/>
      <c r="AN111" s="455">
        <v>5.5</v>
      </c>
      <c r="AO111" s="1239"/>
      <c r="AP111" s="1239"/>
      <c r="AQ111" s="484"/>
      <c r="AR111" s="484"/>
      <c r="AS111" s="484"/>
      <c r="AT111" s="484">
        <f>+ab($U$111,$T$109,$U$113,$G$110,$G$112,-1*$F$111,1200)</f>
        <v>-11.58794242320797</v>
      </c>
      <c r="AU111" s="638"/>
      <c r="AV111" s="638"/>
      <c r="AW111" s="638"/>
      <c r="AX111" s="638"/>
      <c r="AY111" s="484"/>
      <c r="AZ111" s="484"/>
      <c r="BA111" s="671"/>
      <c r="BB111" s="1239"/>
      <c r="BC111" s="169"/>
      <c r="BD111" s="1330"/>
      <c r="BE111" s="1329"/>
      <c r="BF111" s="1330"/>
      <c r="BG111" s="1329"/>
    </row>
    <row r="112" spans="1:59" ht="15.75" customHeight="1">
      <c r="A112" s="449"/>
      <c r="B112" s="447"/>
      <c r="C112" s="446"/>
      <c r="D112" s="448"/>
      <c r="E112" s="448"/>
      <c r="F112" s="448"/>
      <c r="G112" s="484">
        <v>60</v>
      </c>
      <c r="H112" s="1239"/>
      <c r="I112" s="448"/>
      <c r="J112" s="446"/>
      <c r="K112" s="638"/>
      <c r="L112" s="1239"/>
      <c r="M112" s="446"/>
      <c r="N112" s="1239"/>
      <c r="O112" s="1239"/>
      <c r="P112" s="1239"/>
      <c r="Q112" s="1239"/>
      <c r="R112" s="1239"/>
      <c r="S112" s="455">
        <f t="shared" ref="S112" si="50">AG113-AG111</f>
        <v>60</v>
      </c>
      <c r="T112" s="1239"/>
      <c r="U112" s="1239"/>
      <c r="V112" s="1239"/>
      <c r="W112" s="1239"/>
      <c r="X112" s="1239"/>
      <c r="Y112" s="1239"/>
      <c r="Z112" s="1239"/>
      <c r="AA112" s="1239"/>
      <c r="AB112" s="1239"/>
      <c r="AC112" s="1239"/>
      <c r="AD112" s="1239"/>
      <c r="AE112" s="1239"/>
      <c r="AF112" s="1239"/>
      <c r="AG112" s="171"/>
      <c r="AH112" s="1239"/>
      <c r="AI112" s="1239"/>
      <c r="AJ112" s="1239"/>
      <c r="AK112" s="1239"/>
      <c r="AL112" s="1239"/>
      <c r="AM112" s="1239"/>
      <c r="AN112" s="455"/>
      <c r="AO112" s="1239"/>
      <c r="AP112" s="1239"/>
      <c r="AQ112" s="484">
        <f>+FL_1($T$113,$T$111,$G$112,1200,9.28,-1*$F$113)</f>
        <v>0.29289941866666669</v>
      </c>
      <c r="AR112" s="484"/>
      <c r="AS112" s="484"/>
      <c r="AT112" s="484"/>
      <c r="AU112" s="638"/>
      <c r="AV112" s="638"/>
      <c r="AW112" s="638"/>
      <c r="AX112" s="638"/>
      <c r="AY112" s="484"/>
      <c r="AZ112" s="484"/>
      <c r="BA112" s="671"/>
      <c r="BB112" s="449"/>
      <c r="BC112" s="169"/>
      <c r="BD112" s="1330"/>
      <c r="BE112" s="1330"/>
      <c r="BF112" s="1330"/>
      <c r="BG112" s="1330"/>
    </row>
    <row r="113" spans="1:59" ht="15.75" customHeight="1">
      <c r="A113" s="1239"/>
      <c r="B113" s="582" t="s">
        <v>3082</v>
      </c>
      <c r="C113" s="446">
        <f>+$C$111+$G$112</f>
        <v>87430.150000000009</v>
      </c>
      <c r="D113" s="448"/>
      <c r="E113" s="448"/>
      <c r="F113" s="448">
        <v>0</v>
      </c>
      <c r="G113" s="455"/>
      <c r="H113" s="1239" t="s">
        <v>619</v>
      </c>
      <c r="I113" s="448"/>
      <c r="J113" s="446"/>
      <c r="K113" s="638"/>
      <c r="L113" s="1239"/>
      <c r="M113" s="446"/>
      <c r="N113" s="1239" t="s">
        <v>844</v>
      </c>
      <c r="O113" s="1239" t="s">
        <v>845</v>
      </c>
      <c r="P113" s="1239"/>
      <c r="Q113" s="1239">
        <v>0</v>
      </c>
      <c r="R113" s="1239">
        <v>0</v>
      </c>
      <c r="S113" s="455"/>
      <c r="T113" s="1239">
        <v>15</v>
      </c>
      <c r="U113" s="1239">
        <v>35</v>
      </c>
      <c r="V113" s="1239"/>
      <c r="W113" s="1239">
        <v>2.2999999999999998</v>
      </c>
      <c r="X113" s="1239">
        <v>1.4</v>
      </c>
      <c r="Y113" s="1239"/>
      <c r="Z113" s="1239"/>
      <c r="AA113" s="1239">
        <v>0.6</v>
      </c>
      <c r="AB113" s="1239"/>
      <c r="AC113" s="1239" t="s">
        <v>1421</v>
      </c>
      <c r="AD113" s="1239"/>
      <c r="AE113" s="1239"/>
      <c r="AF113" s="1239">
        <v>200</v>
      </c>
      <c r="AG113" s="171">
        <v>87430</v>
      </c>
      <c r="AH113" s="1239">
        <v>1843</v>
      </c>
      <c r="AI113" s="1239">
        <v>-5609</v>
      </c>
      <c r="AJ113" s="1239"/>
      <c r="AK113" s="1239" t="s">
        <v>228</v>
      </c>
      <c r="AL113" s="1239"/>
      <c r="AM113" s="1239"/>
      <c r="AN113" s="455">
        <v>5.5</v>
      </c>
      <c r="AO113" s="1239"/>
      <c r="AP113" s="1239"/>
      <c r="AQ113" s="484"/>
      <c r="AR113" s="484"/>
      <c r="AS113" s="484"/>
      <c r="AT113" s="484">
        <f>+ab($T$113,$T$111,$T$115,$G$112,$G$114,-1*$F$113,1200)</f>
        <v>12.586349449728194</v>
      </c>
      <c r="AU113" s="638"/>
      <c r="AV113" s="638"/>
      <c r="AW113" s="638"/>
      <c r="AX113" s="638"/>
      <c r="AY113" s="484"/>
      <c r="AZ113" s="484"/>
      <c r="BA113" s="671"/>
      <c r="BB113" s="1239"/>
      <c r="BC113" s="169"/>
      <c r="BD113" s="1330"/>
      <c r="BE113" s="1329"/>
      <c r="BF113" s="1330"/>
      <c r="BG113" s="1329"/>
    </row>
    <row r="114" spans="1:59" ht="15.75" customHeight="1">
      <c r="A114" s="449"/>
      <c r="B114" s="447"/>
      <c r="C114" s="446"/>
      <c r="D114" s="448"/>
      <c r="E114" s="448"/>
      <c r="F114" s="448"/>
      <c r="G114" s="484">
        <v>60</v>
      </c>
      <c r="H114" s="1239"/>
      <c r="I114" s="448"/>
      <c r="J114" s="446"/>
      <c r="K114" s="638"/>
      <c r="L114" s="1239"/>
      <c r="M114" s="446"/>
      <c r="N114" s="1239"/>
      <c r="O114" s="1239"/>
      <c r="P114" s="1239"/>
      <c r="Q114" s="1239"/>
      <c r="R114" s="1239"/>
      <c r="S114" s="455">
        <f t="shared" ref="S114" si="51">AG115-AG113</f>
        <v>60</v>
      </c>
      <c r="T114" s="1239"/>
      <c r="U114" s="1239"/>
      <c r="V114" s="1239"/>
      <c r="W114" s="1239"/>
      <c r="X114" s="1239"/>
      <c r="Y114" s="1239"/>
      <c r="Z114" s="1239"/>
      <c r="AA114" s="1239"/>
      <c r="AB114" s="1239"/>
      <c r="AC114" s="1239"/>
      <c r="AD114" s="1239"/>
      <c r="AE114" s="1239"/>
      <c r="AF114" s="1239"/>
      <c r="AG114" s="171"/>
      <c r="AH114" s="1239"/>
      <c r="AI114" s="1239"/>
      <c r="AJ114" s="1239"/>
      <c r="AK114" s="1239"/>
      <c r="AL114" s="1239"/>
      <c r="AM114" s="1239"/>
      <c r="AN114" s="455"/>
      <c r="AO114" s="1239"/>
      <c r="AP114" s="1239"/>
      <c r="AQ114" s="484">
        <f>+FL_2($T$115,$T$113,$G$114,1200,9.28,-1*$F$115)</f>
        <v>-0.42673563199999998</v>
      </c>
      <c r="AR114" s="484"/>
      <c r="AS114" s="484"/>
      <c r="AT114" s="484"/>
      <c r="AU114" s="638"/>
      <c r="AV114" s="638"/>
      <c r="AW114" s="638"/>
      <c r="AX114" s="638"/>
      <c r="AY114" s="484"/>
      <c r="AZ114" s="484"/>
      <c r="BA114" s="671"/>
      <c r="BB114" s="449"/>
      <c r="BC114" s="169"/>
      <c r="BD114" s="1330"/>
      <c r="BE114" s="1330"/>
      <c r="BF114" s="1330"/>
      <c r="BG114" s="1330"/>
    </row>
    <row r="115" spans="1:59" ht="15.75" customHeight="1">
      <c r="A115" s="449"/>
      <c r="B115" s="582" t="s">
        <v>3083</v>
      </c>
      <c r="C115" s="446">
        <f>+$C$113+$G$114</f>
        <v>87490.150000000009</v>
      </c>
      <c r="D115" s="448"/>
      <c r="E115" s="448"/>
      <c r="F115" s="448">
        <v>0</v>
      </c>
      <c r="G115" s="484"/>
      <c r="H115" s="1239"/>
      <c r="I115" s="448"/>
      <c r="J115" s="446"/>
      <c r="K115" s="638"/>
      <c r="L115" s="1239"/>
      <c r="M115" s="446"/>
      <c r="N115" s="1239" t="s">
        <v>843</v>
      </c>
      <c r="O115" s="1239"/>
      <c r="P115" s="1239"/>
      <c r="Q115" s="1239">
        <v>0</v>
      </c>
      <c r="R115" s="1239">
        <v>0</v>
      </c>
      <c r="S115" s="455"/>
      <c r="T115" s="1239">
        <v>-25</v>
      </c>
      <c r="U115" s="1239"/>
      <c r="V115" s="1239"/>
      <c r="W115" s="1239">
        <v>1.4</v>
      </c>
      <c r="X115" s="1239"/>
      <c r="Y115" s="1239"/>
      <c r="Z115" s="1239"/>
      <c r="AA115" s="1239"/>
      <c r="AB115" s="1239"/>
      <c r="AC115" s="1239" t="s">
        <v>1417</v>
      </c>
      <c r="AD115" s="1239"/>
      <c r="AE115" s="1239"/>
      <c r="AF115" s="1239">
        <v>100</v>
      </c>
      <c r="AG115" s="171">
        <v>87490</v>
      </c>
      <c r="AH115" s="1239">
        <v>1873</v>
      </c>
      <c r="AI115" s="1239">
        <v>-5633</v>
      </c>
      <c r="AJ115" s="1239"/>
      <c r="AK115" s="1239" t="s">
        <v>139</v>
      </c>
      <c r="AL115" s="1239"/>
      <c r="AM115" s="1239"/>
      <c r="AN115" s="455">
        <v>5.5</v>
      </c>
      <c r="AO115" s="1239"/>
      <c r="AP115" s="1239"/>
      <c r="AQ115" s="484"/>
      <c r="AR115" s="484"/>
      <c r="AS115" s="484"/>
      <c r="AT115" s="484">
        <f>+ab($T$115,$T$113,$T$117,$G$114,$G$116,-1*$F$115,1200)</f>
        <v>-11.943527124207192</v>
      </c>
      <c r="AU115" s="638"/>
      <c r="AV115" s="638"/>
      <c r="AW115" s="638"/>
      <c r="AX115" s="638"/>
      <c r="AY115" s="484"/>
      <c r="AZ115" s="484"/>
      <c r="BA115" s="671"/>
      <c r="BB115" s="449"/>
      <c r="BC115" s="169"/>
      <c r="BD115" s="1330"/>
      <c r="BE115" s="1329"/>
      <c r="BF115" s="1330"/>
      <c r="BG115" s="1329"/>
    </row>
    <row r="116" spans="1:59" ht="15.75" customHeight="1">
      <c r="A116" s="446"/>
      <c r="B116" s="447"/>
      <c r="C116" s="446"/>
      <c r="D116" s="448"/>
      <c r="E116" s="448"/>
      <c r="F116" s="448"/>
      <c r="G116" s="484">
        <v>60</v>
      </c>
      <c r="H116" s="1239"/>
      <c r="I116" s="448"/>
      <c r="J116" s="446"/>
      <c r="K116" s="638"/>
      <c r="L116" s="1239"/>
      <c r="M116" s="446"/>
      <c r="N116" s="1239"/>
      <c r="O116" s="1239"/>
      <c r="P116" s="1239"/>
      <c r="Q116" s="1239"/>
      <c r="R116" s="1239"/>
      <c r="S116" s="455">
        <f t="shared" ref="S116" si="52">AG117-AG115</f>
        <v>60</v>
      </c>
      <c r="T116" s="1239"/>
      <c r="U116" s="1239"/>
      <c r="V116" s="1239"/>
      <c r="W116" s="1239"/>
      <c r="X116" s="1239"/>
      <c r="Y116" s="1239"/>
      <c r="Z116" s="1239"/>
      <c r="AA116" s="1239"/>
      <c r="AB116" s="1239"/>
      <c r="AC116" s="1239"/>
      <c r="AD116" s="1239"/>
      <c r="AE116" s="1239"/>
      <c r="AF116" s="1239"/>
      <c r="AG116" s="171"/>
      <c r="AH116" s="1239"/>
      <c r="AI116" s="1239"/>
      <c r="AJ116" s="1239"/>
      <c r="AK116" s="1239"/>
      <c r="AL116" s="1239"/>
      <c r="AM116" s="1239"/>
      <c r="AN116" s="455"/>
      <c r="AO116" s="1239"/>
      <c r="AP116" s="1239"/>
      <c r="AQ116" s="484">
        <f>+FL_1($T$117,$T$115,$G$116,1200,9.28,-1*$F$117)</f>
        <v>0.42732829999999994</v>
      </c>
      <c r="AR116" s="484"/>
      <c r="AS116" s="484"/>
      <c r="AT116" s="484"/>
      <c r="AU116" s="638"/>
      <c r="AV116" s="638"/>
      <c r="AW116" s="638"/>
      <c r="AX116" s="638"/>
      <c r="AY116" s="484"/>
      <c r="AZ116" s="484"/>
      <c r="BA116" s="671"/>
      <c r="BB116" s="446"/>
      <c r="BC116" s="169"/>
      <c r="BD116" s="1330"/>
      <c r="BE116" s="1330"/>
      <c r="BF116" s="1330"/>
      <c r="BG116" s="1330"/>
    </row>
    <row r="117" spans="1:59" ht="15.75" customHeight="1">
      <c r="A117" s="447"/>
      <c r="B117" s="582" t="s">
        <v>3084</v>
      </c>
      <c r="C117" s="446">
        <f>+$C$115+$G$116</f>
        <v>87550.150000000009</v>
      </c>
      <c r="D117" s="448"/>
      <c r="E117" s="448"/>
      <c r="F117" s="448">
        <v>0</v>
      </c>
      <c r="G117" s="484"/>
      <c r="H117" s="1239"/>
      <c r="I117" s="448"/>
      <c r="J117" s="446"/>
      <c r="K117" s="638"/>
      <c r="L117" s="1239"/>
      <c r="M117" s="446"/>
      <c r="N117" s="1239" t="s">
        <v>844</v>
      </c>
      <c r="O117" s="1239"/>
      <c r="P117" s="1239"/>
      <c r="Q117" s="1239">
        <v>0</v>
      </c>
      <c r="R117" s="1239">
        <v>0</v>
      </c>
      <c r="S117" s="455"/>
      <c r="T117" s="1239">
        <v>30</v>
      </c>
      <c r="U117" s="1239"/>
      <c r="V117" s="1239"/>
      <c r="W117" s="1239">
        <v>1.4</v>
      </c>
      <c r="X117" s="1239"/>
      <c r="Y117" s="1239"/>
      <c r="Z117" s="1239"/>
      <c r="AA117" s="1239"/>
      <c r="AB117" s="1239"/>
      <c r="AC117" s="1239" t="s">
        <v>1421</v>
      </c>
      <c r="AD117" s="1239"/>
      <c r="AE117" s="1239"/>
      <c r="AF117" s="1239">
        <v>100</v>
      </c>
      <c r="AG117" s="171">
        <v>87550</v>
      </c>
      <c r="AH117" s="1239">
        <v>1833</v>
      </c>
      <c r="AI117" s="1239">
        <v>-5613</v>
      </c>
      <c r="AJ117" s="1239"/>
      <c r="AK117" s="1239" t="s">
        <v>139</v>
      </c>
      <c r="AL117" s="1239"/>
      <c r="AM117" s="1239"/>
      <c r="AN117" s="455">
        <v>5.5</v>
      </c>
      <c r="AO117" s="1239"/>
      <c r="AP117" s="1239"/>
      <c r="AQ117" s="484"/>
      <c r="AR117" s="484"/>
      <c r="AS117" s="484"/>
      <c r="AT117" s="484">
        <f>+ab($T$117,$T$115,$T$119,$G$116,$G$118,-1*$F$117,1200)</f>
        <v>9.5063995410137085</v>
      </c>
      <c r="AU117" s="638"/>
      <c r="AV117" s="638"/>
      <c r="AW117" s="638"/>
      <c r="AX117" s="638"/>
      <c r="AY117" s="484"/>
      <c r="AZ117" s="484"/>
      <c r="BA117" s="671"/>
      <c r="BB117" s="447"/>
      <c r="BC117" s="169"/>
      <c r="BD117" s="1330"/>
      <c r="BE117" s="1329"/>
      <c r="BF117" s="1330"/>
      <c r="BG117" s="1329"/>
    </row>
    <row r="118" spans="1:59" ht="15.75" customHeight="1">
      <c r="A118" s="447"/>
      <c r="B118" s="447"/>
      <c r="C118" s="446"/>
      <c r="D118" s="448"/>
      <c r="E118" s="448"/>
      <c r="F118" s="448"/>
      <c r="G118" s="484">
        <v>60</v>
      </c>
      <c r="H118" s="1239"/>
      <c r="I118" s="448"/>
      <c r="J118" s="446"/>
      <c r="K118" s="638"/>
      <c r="L118" s="1239"/>
      <c r="M118" s="446"/>
      <c r="N118" s="1239"/>
      <c r="O118" s="1239"/>
      <c r="P118" s="1239"/>
      <c r="Q118" s="1239"/>
      <c r="R118" s="1239"/>
      <c r="S118" s="455">
        <f t="shared" ref="S118" si="53">AG119-AG117</f>
        <v>60</v>
      </c>
      <c r="T118" s="1239"/>
      <c r="U118" s="1239"/>
      <c r="V118" s="1239"/>
      <c r="W118" s="1239"/>
      <c r="X118" s="1239"/>
      <c r="Y118" s="1239"/>
      <c r="Z118" s="1239"/>
      <c r="AA118" s="1239"/>
      <c r="AB118" s="1239"/>
      <c r="AC118" s="1239"/>
      <c r="AD118" s="1239"/>
      <c r="AE118" s="1239"/>
      <c r="AF118" s="1239"/>
      <c r="AG118" s="171"/>
      <c r="AH118" s="1239"/>
      <c r="AI118" s="1239"/>
      <c r="AJ118" s="1239"/>
      <c r="AK118" s="1239"/>
      <c r="AL118" s="1239"/>
      <c r="AM118" s="1239"/>
      <c r="AN118" s="455"/>
      <c r="AO118" s="1239"/>
      <c r="AP118" s="1239"/>
      <c r="AQ118" s="484">
        <f>+FL_2($T$119,$T$117,$G$118,1200,9.28,-1*$F$119)</f>
        <v>-0.44888002799999999</v>
      </c>
      <c r="AR118" s="484"/>
      <c r="AS118" s="484"/>
      <c r="AT118" s="484"/>
      <c r="AU118" s="638"/>
      <c r="AV118" s="638"/>
      <c r="AW118" s="638"/>
      <c r="AX118" s="638"/>
      <c r="AY118" s="484"/>
      <c r="AZ118" s="484"/>
      <c r="BA118" s="671"/>
      <c r="BB118" s="447"/>
      <c r="BC118" s="169"/>
      <c r="BD118" s="1330"/>
      <c r="BE118" s="1330"/>
      <c r="BF118" s="1330"/>
      <c r="BG118" s="1330"/>
    </row>
    <row r="119" spans="1:59" ht="15.75" customHeight="1">
      <c r="A119" s="447"/>
      <c r="B119" s="582" t="s">
        <v>3085</v>
      </c>
      <c r="C119" s="446">
        <f>+$C$117+$G$118</f>
        <v>87610.150000000009</v>
      </c>
      <c r="D119" s="448"/>
      <c r="E119" s="448"/>
      <c r="F119" s="448">
        <v>0</v>
      </c>
      <c r="G119" s="484"/>
      <c r="H119" s="1239"/>
      <c r="I119" s="448"/>
      <c r="J119" s="446"/>
      <c r="K119" s="638"/>
      <c r="L119" s="1239"/>
      <c r="M119" s="446"/>
      <c r="N119" s="1239" t="s">
        <v>843</v>
      </c>
      <c r="O119" s="1239"/>
      <c r="P119" s="1239"/>
      <c r="Q119" s="1239">
        <v>0</v>
      </c>
      <c r="R119" s="1239">
        <v>0</v>
      </c>
      <c r="S119" s="455"/>
      <c r="T119" s="1239">
        <v>-35</v>
      </c>
      <c r="U119" s="1239"/>
      <c r="V119" s="1239"/>
      <c r="W119" s="1239">
        <v>1.4</v>
      </c>
      <c r="X119" s="1239"/>
      <c r="Y119" s="1239"/>
      <c r="Z119" s="1239"/>
      <c r="AA119" s="1239"/>
      <c r="AB119" s="1239"/>
      <c r="AC119" s="1239" t="s">
        <v>1417</v>
      </c>
      <c r="AD119" s="1239"/>
      <c r="AE119" s="1239"/>
      <c r="AF119" s="1239">
        <v>100</v>
      </c>
      <c r="AG119" s="171">
        <v>87610</v>
      </c>
      <c r="AH119" s="1239">
        <v>1803</v>
      </c>
      <c r="AI119" s="1239">
        <v>-5600</v>
      </c>
      <c r="AJ119" s="1239"/>
      <c r="AK119" s="1239" t="s">
        <v>139</v>
      </c>
      <c r="AL119" s="1239"/>
      <c r="AM119" s="1239"/>
      <c r="AN119" s="455">
        <v>5.5</v>
      </c>
      <c r="AO119" s="1239"/>
      <c r="AP119" s="1239"/>
      <c r="AQ119" s="484"/>
      <c r="AR119" s="484"/>
      <c r="AS119" s="484"/>
      <c r="AT119" s="484">
        <f>+ab($T$119,$T$117,$T$121,$G$118,$G$120,-1*$F$119,1200)</f>
        <v>-8.4664207780936191</v>
      </c>
      <c r="AU119" s="638"/>
      <c r="AV119" s="638"/>
      <c r="AW119" s="638"/>
      <c r="AX119" s="638"/>
      <c r="AY119" s="484"/>
      <c r="AZ119" s="484"/>
      <c r="BA119" s="671"/>
      <c r="BB119" s="447"/>
      <c r="BC119" s="169"/>
      <c r="BD119" s="1330"/>
      <c r="BE119" s="1329"/>
      <c r="BF119" s="1330"/>
      <c r="BG119" s="1329"/>
    </row>
    <row r="120" spans="1:59" ht="15.75" customHeight="1">
      <c r="A120" s="447"/>
      <c r="B120" s="447"/>
      <c r="C120" s="446"/>
      <c r="D120" s="448"/>
      <c r="E120" s="448"/>
      <c r="F120" s="448"/>
      <c r="G120" s="484">
        <v>60</v>
      </c>
      <c r="H120" s="1239"/>
      <c r="I120" s="448"/>
      <c r="J120" s="446"/>
      <c r="K120" s="638"/>
      <c r="L120" s="1239"/>
      <c r="M120" s="446"/>
      <c r="N120" s="1239"/>
      <c r="O120" s="1239"/>
      <c r="P120" s="1239"/>
      <c r="Q120" s="1239"/>
      <c r="R120" s="1239"/>
      <c r="S120" s="455">
        <f t="shared" ref="S120" si="54">AG121-AG119</f>
        <v>60</v>
      </c>
      <c r="T120" s="1239"/>
      <c r="U120" s="1239"/>
      <c r="V120" s="1239"/>
      <c r="W120" s="1239"/>
      <c r="X120" s="1239"/>
      <c r="Y120" s="1239"/>
      <c r="Z120" s="1239"/>
      <c r="AA120" s="1239"/>
      <c r="AB120" s="1239"/>
      <c r="AC120" s="1239"/>
      <c r="AD120" s="1239"/>
      <c r="AE120" s="1239"/>
      <c r="AF120" s="1239"/>
      <c r="AG120" s="171"/>
      <c r="AH120" s="1239"/>
      <c r="AI120" s="1239"/>
      <c r="AJ120" s="1239"/>
      <c r="AK120" s="1239"/>
      <c r="AL120" s="1239"/>
      <c r="AM120" s="1239"/>
      <c r="AN120" s="455"/>
      <c r="AO120" s="1239"/>
      <c r="AP120" s="1239"/>
      <c r="AQ120" s="484">
        <f>+FL_1($T$121,$T$119,$G$120,1200,9.28,-1*$F$121)</f>
        <v>0.43600286799999999</v>
      </c>
      <c r="AR120" s="484"/>
      <c r="AS120" s="484"/>
      <c r="AT120" s="484"/>
      <c r="AU120" s="638"/>
      <c r="AV120" s="638"/>
      <c r="AW120" s="638"/>
      <c r="AX120" s="638"/>
      <c r="AY120" s="484"/>
      <c r="AZ120" s="484"/>
      <c r="BA120" s="671"/>
      <c r="BB120" s="447"/>
      <c r="BC120" s="169"/>
      <c r="BD120" s="1330"/>
      <c r="BE120" s="1330"/>
      <c r="BF120" s="1330"/>
      <c r="BG120" s="1330"/>
    </row>
    <row r="121" spans="1:59" ht="15.75" customHeight="1">
      <c r="A121" s="447"/>
      <c r="B121" s="582" t="s">
        <v>3086</v>
      </c>
      <c r="C121" s="446">
        <f>+$C$119+$G$120</f>
        <v>87670.150000000009</v>
      </c>
      <c r="D121" s="448"/>
      <c r="E121" s="448"/>
      <c r="F121" s="448">
        <v>0</v>
      </c>
      <c r="G121" s="484"/>
      <c r="H121" s="1239"/>
      <c r="I121" s="448"/>
      <c r="J121" s="446"/>
      <c r="K121" s="638"/>
      <c r="L121" s="1239"/>
      <c r="M121" s="446"/>
      <c r="N121" s="1239" t="s">
        <v>844</v>
      </c>
      <c r="O121" s="1239"/>
      <c r="P121" s="1239"/>
      <c r="Q121" s="1239">
        <v>0</v>
      </c>
      <c r="R121" s="1239">
        <v>0</v>
      </c>
      <c r="S121" s="455"/>
      <c r="T121" s="1239">
        <v>35</v>
      </c>
      <c r="U121" s="1239"/>
      <c r="V121" s="1239"/>
      <c r="W121" s="1239">
        <v>1.4</v>
      </c>
      <c r="X121" s="1239"/>
      <c r="Y121" s="1239"/>
      <c r="Z121" s="1239"/>
      <c r="AA121" s="1239"/>
      <c r="AB121" s="1239"/>
      <c r="AC121" s="1239" t="s">
        <v>1421</v>
      </c>
      <c r="AD121" s="1239"/>
      <c r="AE121" s="1239"/>
      <c r="AF121" s="1239">
        <v>100</v>
      </c>
      <c r="AG121" s="171">
        <v>87670</v>
      </c>
      <c r="AH121" s="1239">
        <v>1933</v>
      </c>
      <c r="AI121" s="1239">
        <v>-5577</v>
      </c>
      <c r="AJ121" s="1239"/>
      <c r="AK121" s="1239" t="s">
        <v>139</v>
      </c>
      <c r="AL121" s="1239"/>
      <c r="AM121" s="1239"/>
      <c r="AN121" s="455">
        <v>5.5</v>
      </c>
      <c r="AO121" s="1239"/>
      <c r="AP121" s="1239"/>
      <c r="AQ121" s="484"/>
      <c r="AR121" s="484"/>
      <c r="AS121" s="484"/>
      <c r="AT121" s="484">
        <f>+ab($T$121,$T$119,$T$123,$G$120,$G$122,-1*$F$121,1200)</f>
        <v>8.1681606014296726</v>
      </c>
      <c r="AU121" s="638"/>
      <c r="AV121" s="638"/>
      <c r="AW121" s="638"/>
      <c r="AX121" s="638"/>
      <c r="AY121" s="484"/>
      <c r="AZ121" s="484"/>
      <c r="BA121" s="671"/>
      <c r="BB121" s="447"/>
      <c r="BC121" s="169"/>
      <c r="BD121" s="1330"/>
      <c r="BE121" s="1329"/>
      <c r="BF121" s="1330"/>
      <c r="BG121" s="1329"/>
    </row>
    <row r="122" spans="1:59" ht="15.75" customHeight="1">
      <c r="A122" s="647" t="s">
        <v>3049</v>
      </c>
      <c r="B122" s="648"/>
      <c r="C122" s="649"/>
      <c r="D122" s="650"/>
      <c r="E122" s="650"/>
      <c r="F122" s="650"/>
      <c r="G122" s="654">
        <v>60</v>
      </c>
      <c r="H122" s="647"/>
      <c r="I122" s="650"/>
      <c r="J122" s="649"/>
      <c r="K122" s="653"/>
      <c r="L122" s="647"/>
      <c r="M122" s="649"/>
      <c r="N122" s="647"/>
      <c r="O122" s="647"/>
      <c r="P122" s="647"/>
      <c r="Q122" s="647"/>
      <c r="R122" s="647"/>
      <c r="S122" s="651">
        <f t="shared" ref="S122" si="55">AG123-AG121</f>
        <v>60</v>
      </c>
      <c r="T122" s="647"/>
      <c r="U122" s="647"/>
      <c r="V122" s="647"/>
      <c r="W122" s="647"/>
      <c r="X122" s="647"/>
      <c r="Y122" s="647"/>
      <c r="Z122" s="647"/>
      <c r="AA122" s="647"/>
      <c r="AB122" s="647"/>
      <c r="AC122" s="647"/>
      <c r="AD122" s="647"/>
      <c r="AE122" s="647"/>
      <c r="AF122" s="647"/>
      <c r="AG122" s="652"/>
      <c r="AH122" s="647"/>
      <c r="AI122" s="647"/>
      <c r="AJ122" s="647"/>
      <c r="AK122" s="647"/>
      <c r="AL122" s="647"/>
      <c r="AM122" s="647"/>
      <c r="AN122" s="651"/>
      <c r="AO122" s="647"/>
      <c r="AP122" s="647"/>
      <c r="AQ122" s="654">
        <f>+FL_2($T$123,$T$121,$G$122,1200,9.28,-1*$F$123)</f>
        <v>-0.43600286799999999</v>
      </c>
      <c r="AR122" s="654"/>
      <c r="AS122" s="654"/>
      <c r="AT122" s="654"/>
      <c r="AU122" s="653"/>
      <c r="AV122" s="653"/>
      <c r="AW122" s="653"/>
      <c r="AX122" s="653"/>
      <c r="AY122" s="654"/>
      <c r="AZ122" s="654"/>
      <c r="BA122" s="701"/>
      <c r="BB122" s="647"/>
      <c r="BC122" s="169"/>
      <c r="BD122" s="1330"/>
      <c r="BE122" s="1330"/>
      <c r="BF122" s="1330"/>
      <c r="BG122" s="1330"/>
    </row>
    <row r="123" spans="1:59" ht="15.75" customHeight="1">
      <c r="A123" s="449"/>
      <c r="B123" s="582" t="s">
        <v>3087</v>
      </c>
      <c r="C123" s="446">
        <f>+$C$121+$G$122</f>
        <v>87730.150000000009</v>
      </c>
      <c r="D123" s="448"/>
      <c r="E123" s="448"/>
      <c r="F123" s="448">
        <v>0</v>
      </c>
      <c r="G123" s="484"/>
      <c r="H123" s="1239"/>
      <c r="I123" s="448"/>
      <c r="J123" s="446"/>
      <c r="K123" s="638"/>
      <c r="L123" s="1239"/>
      <c r="M123" s="446"/>
      <c r="N123" s="1239" t="s">
        <v>843</v>
      </c>
      <c r="O123" s="1239"/>
      <c r="P123" s="1239"/>
      <c r="Q123" s="1239">
        <v>0</v>
      </c>
      <c r="R123" s="1239">
        <v>0</v>
      </c>
      <c r="S123" s="455"/>
      <c r="T123" s="1239">
        <v>-35</v>
      </c>
      <c r="U123" s="1239"/>
      <c r="V123" s="1239"/>
      <c r="W123" s="1239">
        <v>1.4</v>
      </c>
      <c r="X123" s="1239"/>
      <c r="Y123" s="1239"/>
      <c r="Z123" s="1239"/>
      <c r="AA123" s="1239"/>
      <c r="AB123" s="1239"/>
      <c r="AC123" s="1239" t="s">
        <v>4115</v>
      </c>
      <c r="AD123" s="1239"/>
      <c r="AE123" s="1239"/>
      <c r="AF123" s="1239">
        <v>100</v>
      </c>
      <c r="AG123" s="171">
        <v>87730</v>
      </c>
      <c r="AH123" s="1239">
        <v>1823</v>
      </c>
      <c r="AI123" s="1239">
        <v>-5600</v>
      </c>
      <c r="AJ123" s="1239"/>
      <c r="AK123" s="1239" t="s">
        <v>139</v>
      </c>
      <c r="AL123" s="1239"/>
      <c r="AM123" s="1239"/>
      <c r="AN123" s="455">
        <v>5.5</v>
      </c>
      <c r="AO123" s="1239"/>
      <c r="AP123" s="1239"/>
      <c r="AQ123" s="484"/>
      <c r="AR123" s="484"/>
      <c r="AS123" s="484"/>
      <c r="AT123" s="484">
        <f>+ab($T$123,$T$121,$T$125,$G$122,$G$124,-1*$F$123,1200)</f>
        <v>-8.1682020423530854</v>
      </c>
      <c r="AU123" s="638"/>
      <c r="AV123" s="638"/>
      <c r="AW123" s="638"/>
      <c r="AX123" s="638"/>
      <c r="AY123" s="484"/>
      <c r="AZ123" s="484"/>
      <c r="BA123" s="671"/>
      <c r="BB123" s="449"/>
      <c r="BC123" s="169"/>
      <c r="BD123" s="1330"/>
      <c r="BE123" s="1329"/>
      <c r="BF123" s="1330"/>
      <c r="BG123" s="1329"/>
    </row>
    <row r="124" spans="1:59" ht="15.75" customHeight="1">
      <c r="A124" s="449"/>
      <c r="B124" s="447"/>
      <c r="C124" s="446"/>
      <c r="D124" s="448"/>
      <c r="E124" s="448"/>
      <c r="F124" s="448"/>
      <c r="G124" s="484">
        <v>60</v>
      </c>
      <c r="H124" s="1239"/>
      <c r="I124" s="448"/>
      <c r="J124" s="446"/>
      <c r="K124" s="638"/>
      <c r="L124" s="1239"/>
      <c r="M124" s="446"/>
      <c r="N124" s="1239"/>
      <c r="O124" s="1239"/>
      <c r="P124" s="1239"/>
      <c r="Q124" s="1239"/>
      <c r="R124" s="1239"/>
      <c r="S124" s="455">
        <f t="shared" ref="S124" si="56">AG125-AG123</f>
        <v>60</v>
      </c>
      <c r="T124" s="1239"/>
      <c r="U124" s="1239"/>
      <c r="V124" s="1239"/>
      <c r="W124" s="1239"/>
      <c r="X124" s="1239"/>
      <c r="Y124" s="1239"/>
      <c r="Z124" s="1239"/>
      <c r="AA124" s="1239"/>
      <c r="AB124" s="1239"/>
      <c r="AC124" s="1239"/>
      <c r="AD124" s="1239"/>
      <c r="AE124" s="1239"/>
      <c r="AF124" s="1239"/>
      <c r="AG124" s="171"/>
      <c r="AH124" s="1239"/>
      <c r="AI124" s="1239"/>
      <c r="AJ124" s="1239"/>
      <c r="AK124" s="1239"/>
      <c r="AL124" s="1239"/>
      <c r="AM124" s="1239"/>
      <c r="AN124" s="455"/>
      <c r="AO124" s="1239"/>
      <c r="AP124" s="1239"/>
      <c r="AQ124" s="484">
        <f>+FL_1($T$125,$T$123,$G$124,1200,9.28,-1*$F$125)</f>
        <v>0.43600286799999999</v>
      </c>
      <c r="AR124" s="484"/>
      <c r="AS124" s="484"/>
      <c r="AT124" s="484"/>
      <c r="AU124" s="638"/>
      <c r="AV124" s="638"/>
      <c r="AW124" s="638"/>
      <c r="AX124" s="638"/>
      <c r="AY124" s="484"/>
      <c r="AZ124" s="484"/>
      <c r="BA124" s="671"/>
      <c r="BB124" s="449"/>
      <c r="BC124" s="169"/>
      <c r="BD124" s="1330"/>
      <c r="BE124" s="1330"/>
      <c r="BF124" s="1330"/>
      <c r="BG124" s="1330"/>
    </row>
    <row r="125" spans="1:59" ht="15.75" customHeight="1">
      <c r="A125" s="449"/>
      <c r="B125" s="582" t="s">
        <v>3088</v>
      </c>
      <c r="C125" s="446">
        <f>+$C$123+$G$124</f>
        <v>87790.150000000009</v>
      </c>
      <c r="D125" s="448"/>
      <c r="E125" s="448"/>
      <c r="F125" s="448">
        <v>0</v>
      </c>
      <c r="G125" s="484"/>
      <c r="H125" s="1239"/>
      <c r="I125" s="448"/>
      <c r="J125" s="446"/>
      <c r="K125" s="638"/>
      <c r="L125" s="1239"/>
      <c r="M125" s="446"/>
      <c r="N125" s="1239" t="s">
        <v>844</v>
      </c>
      <c r="O125" s="1239"/>
      <c r="P125" s="1239"/>
      <c r="Q125" s="1239">
        <v>0</v>
      </c>
      <c r="R125" s="1239">
        <v>0</v>
      </c>
      <c r="S125" s="455"/>
      <c r="T125" s="1239">
        <v>35</v>
      </c>
      <c r="U125" s="1239"/>
      <c r="V125" s="1239"/>
      <c r="W125" s="1239">
        <v>1.4</v>
      </c>
      <c r="X125" s="1239"/>
      <c r="Y125" s="1239"/>
      <c r="Z125" s="1239"/>
      <c r="AA125" s="1239"/>
      <c r="AB125" s="1239"/>
      <c r="AC125" s="1239" t="s">
        <v>1421</v>
      </c>
      <c r="AD125" s="1239"/>
      <c r="AE125" s="1239"/>
      <c r="AF125" s="1239">
        <v>100</v>
      </c>
      <c r="AG125" s="171">
        <v>87790</v>
      </c>
      <c r="AH125" s="1239">
        <v>1773</v>
      </c>
      <c r="AI125" s="1239">
        <v>-5600</v>
      </c>
      <c r="AJ125" s="1239"/>
      <c r="AK125" s="1239" t="s">
        <v>139</v>
      </c>
      <c r="AL125" s="1239"/>
      <c r="AM125" s="1239"/>
      <c r="AN125" s="455">
        <v>5.5</v>
      </c>
      <c r="AO125" s="1239"/>
      <c r="AP125" s="1239"/>
      <c r="AQ125" s="484"/>
      <c r="AR125" s="484"/>
      <c r="AS125" s="484"/>
      <c r="AT125" s="484">
        <f>+ab($T$125,$T$123,$T$127,$G$124,$G$126,-1*$F$125,1200)</f>
        <v>8.1681606014296726</v>
      </c>
      <c r="AU125" s="638"/>
      <c r="AV125" s="638"/>
      <c r="AW125" s="638"/>
      <c r="AX125" s="638"/>
      <c r="AY125" s="484"/>
      <c r="AZ125" s="484"/>
      <c r="BA125" s="671"/>
      <c r="BB125" s="449"/>
      <c r="BC125" s="169"/>
      <c r="BD125" s="1330"/>
      <c r="BE125" s="1329"/>
      <c r="BF125" s="1330"/>
      <c r="BG125" s="1329"/>
    </row>
    <row r="126" spans="1:59" ht="15.75" customHeight="1">
      <c r="A126" s="449"/>
      <c r="B126" s="447"/>
      <c r="C126" s="446"/>
      <c r="D126" s="448"/>
      <c r="E126" s="448"/>
      <c r="F126" s="448"/>
      <c r="G126" s="484">
        <v>60</v>
      </c>
      <c r="H126" s="1239"/>
      <c r="I126" s="448"/>
      <c r="J126" s="446"/>
      <c r="K126" s="638"/>
      <c r="L126" s="1239"/>
      <c r="M126" s="446"/>
      <c r="N126" s="1239"/>
      <c r="O126" s="1239"/>
      <c r="P126" s="1239"/>
      <c r="Q126" s="1239"/>
      <c r="R126" s="1239"/>
      <c r="S126" s="455">
        <f t="shared" ref="S126" si="57">AG127-AG125</f>
        <v>60</v>
      </c>
      <c r="T126" s="1239"/>
      <c r="U126" s="1239"/>
      <c r="V126" s="1239"/>
      <c r="W126" s="1239"/>
      <c r="X126" s="1239"/>
      <c r="Y126" s="1239"/>
      <c r="Z126" s="1239"/>
      <c r="AA126" s="1239"/>
      <c r="AB126" s="1239"/>
      <c r="AC126" s="1239"/>
      <c r="AD126" s="1239"/>
      <c r="AE126" s="1239"/>
      <c r="AF126" s="1239"/>
      <c r="AG126" s="171"/>
      <c r="AH126" s="1239"/>
      <c r="AI126" s="1239"/>
      <c r="AJ126" s="1239"/>
      <c r="AK126" s="1239"/>
      <c r="AL126" s="1239"/>
      <c r="AM126" s="1239"/>
      <c r="AN126" s="455"/>
      <c r="AO126" s="1239"/>
      <c r="AP126" s="1239"/>
      <c r="AQ126" s="484">
        <f>+FL_2($T$127,$T$125,$G$126,1200,9.28,-1*$F$127)</f>
        <v>-0.43600286799999999</v>
      </c>
      <c r="AR126" s="484"/>
      <c r="AS126" s="484"/>
      <c r="AT126" s="484"/>
      <c r="AU126" s="638"/>
      <c r="AV126" s="638"/>
      <c r="AW126" s="638"/>
      <c r="AX126" s="638"/>
      <c r="AY126" s="484"/>
      <c r="AZ126" s="484"/>
      <c r="BA126" s="671"/>
      <c r="BB126" s="449"/>
      <c r="BC126" s="169"/>
      <c r="BD126" s="1330"/>
      <c r="BE126" s="1330"/>
      <c r="BF126" s="1330"/>
      <c r="BG126" s="1330"/>
    </row>
    <row r="127" spans="1:59" ht="15.75" customHeight="1">
      <c r="A127" s="1239"/>
      <c r="B127" s="582" t="s">
        <v>3089</v>
      </c>
      <c r="C127" s="446">
        <f>+$C$125+$G$126</f>
        <v>87850.150000000009</v>
      </c>
      <c r="D127" s="448"/>
      <c r="E127" s="448"/>
      <c r="F127" s="448">
        <v>0</v>
      </c>
      <c r="G127" s="455"/>
      <c r="H127" s="1239"/>
      <c r="I127" s="448"/>
      <c r="J127" s="446"/>
      <c r="K127" s="638"/>
      <c r="L127" s="1239"/>
      <c r="M127" s="446"/>
      <c r="N127" s="1239" t="s">
        <v>843</v>
      </c>
      <c r="O127" s="1239"/>
      <c r="P127" s="1239"/>
      <c r="Q127" s="1239">
        <v>0</v>
      </c>
      <c r="R127" s="1239">
        <v>0</v>
      </c>
      <c r="S127" s="455"/>
      <c r="T127" s="1239">
        <v>-35</v>
      </c>
      <c r="U127" s="1239"/>
      <c r="V127" s="1239"/>
      <c r="W127" s="1239">
        <v>1.4</v>
      </c>
      <c r="X127" s="1239"/>
      <c r="Y127" s="1239"/>
      <c r="Z127" s="1239"/>
      <c r="AA127" s="1239"/>
      <c r="AB127" s="1239"/>
      <c r="AC127" s="1239" t="s">
        <v>4115</v>
      </c>
      <c r="AD127" s="1239"/>
      <c r="AE127" s="1239"/>
      <c r="AF127" s="1239">
        <v>100</v>
      </c>
      <c r="AG127" s="171">
        <v>87850</v>
      </c>
      <c r="AH127" s="1239">
        <v>1803</v>
      </c>
      <c r="AI127" s="1239">
        <v>-5588</v>
      </c>
      <c r="AJ127" s="1239"/>
      <c r="AK127" s="1239" t="s">
        <v>139</v>
      </c>
      <c r="AL127" s="1239"/>
      <c r="AM127" s="1239"/>
      <c r="AN127" s="455">
        <v>5.5</v>
      </c>
      <c r="AO127" s="1239"/>
      <c r="AP127" s="1239"/>
      <c r="AQ127" s="484"/>
      <c r="AR127" s="484"/>
      <c r="AS127" s="484"/>
      <c r="AT127" s="484">
        <f>+ab($T$127,$T$125,$T$129,$G$126,$G$128,-1*$F$127,1200)</f>
        <v>-7.4343488377840483</v>
      </c>
      <c r="AU127" s="638"/>
      <c r="AV127" s="638"/>
      <c r="AW127" s="638"/>
      <c r="AX127" s="638"/>
      <c r="AY127" s="484"/>
      <c r="AZ127" s="484"/>
      <c r="BA127" s="671"/>
      <c r="BB127" s="1239"/>
      <c r="BC127" s="169"/>
      <c r="BD127" s="1330"/>
      <c r="BE127" s="1329"/>
      <c r="BF127" s="1330"/>
      <c r="BG127" s="1329"/>
    </row>
    <row r="128" spans="1:59" ht="15.75" customHeight="1">
      <c r="A128" s="1239"/>
      <c r="B128" s="447"/>
      <c r="C128" s="446"/>
      <c r="D128" s="448"/>
      <c r="E128" s="448"/>
      <c r="F128" s="448"/>
      <c r="G128" s="455">
        <v>50</v>
      </c>
      <c r="H128" s="1239"/>
      <c r="I128" s="448">
        <f>C129-C107</f>
        <v>635</v>
      </c>
      <c r="J128" s="446"/>
      <c r="K128" s="638"/>
      <c r="L128" s="1239"/>
      <c r="M128" s="446"/>
      <c r="N128" s="1239"/>
      <c r="O128" s="1239"/>
      <c r="P128" s="1239"/>
      <c r="Q128" s="1239"/>
      <c r="R128" s="1239"/>
      <c r="S128" s="455">
        <f t="shared" ref="S128" si="58">AG129-AG127</f>
        <v>50</v>
      </c>
      <c r="T128" s="1239"/>
      <c r="U128" s="1239"/>
      <c r="V128" s="1239"/>
      <c r="W128" s="1239"/>
      <c r="X128" s="1239"/>
      <c r="Y128" s="1239"/>
      <c r="Z128" s="1239"/>
      <c r="AA128" s="1239"/>
      <c r="AB128" s="1239"/>
      <c r="AC128" s="1239"/>
      <c r="AD128" s="1239"/>
      <c r="AE128" s="1239"/>
      <c r="AF128" s="1239"/>
      <c r="AG128" s="171"/>
      <c r="AH128" s="1239"/>
      <c r="AI128" s="1239"/>
      <c r="AJ128" s="1239"/>
      <c r="AK128" s="638" t="s">
        <v>2760</v>
      </c>
      <c r="AL128" s="1239"/>
      <c r="AM128" s="1239"/>
      <c r="AN128" s="455"/>
      <c r="AO128" s="1239"/>
      <c r="AP128" s="1239"/>
      <c r="AQ128" s="484">
        <f>+FL_1($T$129,$T$127,$G$128,1200,9.28,-1*$F$129)</f>
        <v>0.36839079999999996</v>
      </c>
      <c r="AR128" s="484"/>
      <c r="AS128" s="484"/>
      <c r="AT128" s="484"/>
      <c r="AU128" s="638"/>
      <c r="AV128" s="638"/>
      <c r="AW128" s="638"/>
      <c r="AX128" s="638"/>
      <c r="AY128" s="484"/>
      <c r="AZ128" s="484"/>
      <c r="BA128" s="671"/>
      <c r="BB128" s="1239"/>
      <c r="BC128" s="169"/>
      <c r="BD128" s="1330"/>
      <c r="BE128" s="1330"/>
      <c r="BF128" s="1330"/>
      <c r="BG128" s="1330"/>
    </row>
    <row r="129" spans="1:59" ht="15.75" customHeight="1">
      <c r="A129" s="1239"/>
      <c r="B129" s="582" t="s">
        <v>3090</v>
      </c>
      <c r="C129" s="446">
        <f>+$C$127+$G$128</f>
        <v>87900.150000000009</v>
      </c>
      <c r="D129" s="448"/>
      <c r="E129" s="448"/>
      <c r="F129" s="448">
        <v>0</v>
      </c>
      <c r="G129" s="455"/>
      <c r="H129" s="1239" t="s">
        <v>874</v>
      </c>
      <c r="I129" s="448"/>
      <c r="J129" s="446"/>
      <c r="K129" s="638"/>
      <c r="L129" s="1239"/>
      <c r="M129" s="446"/>
      <c r="N129" s="1239" t="s">
        <v>844</v>
      </c>
      <c r="O129" s="1239"/>
      <c r="P129" s="1239"/>
      <c r="Q129" s="1239">
        <v>0</v>
      </c>
      <c r="R129" s="1239">
        <v>0</v>
      </c>
      <c r="S129" s="455"/>
      <c r="T129" s="1239">
        <v>35</v>
      </c>
      <c r="U129" s="1239"/>
      <c r="V129" s="1239"/>
      <c r="W129" s="1239">
        <v>1.4</v>
      </c>
      <c r="X129" s="1239"/>
      <c r="Y129" s="1239"/>
      <c r="Z129" s="1239"/>
      <c r="AA129" s="1239"/>
      <c r="AB129" s="1239"/>
      <c r="AC129" s="1239" t="s">
        <v>4090</v>
      </c>
      <c r="AD129" s="1239"/>
      <c r="AE129" s="1239"/>
      <c r="AF129" s="1239">
        <v>100</v>
      </c>
      <c r="AG129" s="171">
        <v>87900</v>
      </c>
      <c r="AH129" s="1239">
        <v>1843</v>
      </c>
      <c r="AI129" s="1239">
        <v>-5700</v>
      </c>
      <c r="AJ129" s="1239"/>
      <c r="AK129" s="1239" t="s">
        <v>139</v>
      </c>
      <c r="AL129" s="1239"/>
      <c r="AM129" s="1239"/>
      <c r="AN129" s="455">
        <v>5.5</v>
      </c>
      <c r="AO129" s="1239"/>
      <c r="AP129" s="1239"/>
      <c r="AQ129" s="484"/>
      <c r="AR129" s="484"/>
      <c r="AS129" s="484"/>
      <c r="AT129" s="484">
        <f>+ab($T$129,$T$127,$T$131,$G$128,$G$130,-1*$F$129,1200)</f>
        <v>6.820891075690624</v>
      </c>
      <c r="AU129" s="638"/>
      <c r="AV129" s="638"/>
      <c r="AW129" s="638"/>
      <c r="AX129" s="638"/>
      <c r="AY129" s="484"/>
      <c r="AZ129" s="484"/>
      <c r="BA129" s="671"/>
      <c r="BB129" s="1239"/>
      <c r="BC129" s="169"/>
      <c r="BD129" s="1330"/>
      <c r="BE129" s="1329"/>
      <c r="BF129" s="1330"/>
      <c r="BG129" s="1329"/>
    </row>
    <row r="130" spans="1:59" ht="15.75" customHeight="1">
      <c r="A130" s="1239"/>
      <c r="B130" s="447"/>
      <c r="C130" s="446"/>
      <c r="D130" s="448"/>
      <c r="E130" s="448"/>
      <c r="F130" s="448"/>
      <c r="G130" s="455">
        <v>50</v>
      </c>
      <c r="H130" s="1239"/>
      <c r="I130" s="448">
        <f>C151-C129</f>
        <v>601.69999999999709</v>
      </c>
      <c r="J130" s="446"/>
      <c r="K130" s="638"/>
      <c r="L130" s="1239"/>
      <c r="M130" s="446"/>
      <c r="N130" s="1239"/>
      <c r="O130" s="1239"/>
      <c r="P130" s="1239"/>
      <c r="Q130" s="1239"/>
      <c r="R130" s="1239"/>
      <c r="S130" s="455">
        <f t="shared" ref="S130" si="59">AG131-AG129</f>
        <v>50</v>
      </c>
      <c r="T130" s="1239"/>
      <c r="U130" s="1239"/>
      <c r="V130" s="1239"/>
      <c r="W130" s="1239"/>
      <c r="X130" s="1239"/>
      <c r="Y130" s="1239"/>
      <c r="Z130" s="1239"/>
      <c r="AA130" s="1239"/>
      <c r="AB130" s="1239"/>
      <c r="AC130" s="1239"/>
      <c r="AD130" s="1239"/>
      <c r="AE130" s="1239"/>
      <c r="AF130" s="1239"/>
      <c r="AG130" s="171"/>
      <c r="AH130" s="1239"/>
      <c r="AI130" s="1239"/>
      <c r="AJ130" s="1239"/>
      <c r="AK130" s="638" t="s">
        <v>2760</v>
      </c>
      <c r="AL130" s="1239"/>
      <c r="AM130" s="1239"/>
      <c r="AN130" s="455"/>
      <c r="AO130" s="1239"/>
      <c r="AP130" s="1239"/>
      <c r="AQ130" s="484">
        <f>+FL_1($T$131,$T$129,$G$130,1200,9.28,-1*$F$131)</f>
        <v>0.38513042393269048</v>
      </c>
      <c r="AR130" s="484"/>
      <c r="AS130" s="484"/>
      <c r="AT130" s="484"/>
      <c r="AU130" s="638"/>
      <c r="AV130" s="638"/>
      <c r="AW130" s="638"/>
      <c r="AX130" s="638"/>
      <c r="AY130" s="484"/>
      <c r="AZ130" s="484"/>
      <c r="BA130" s="671"/>
      <c r="BB130" s="1239"/>
      <c r="BC130" s="169"/>
      <c r="BD130" s="1330"/>
      <c r="BE130" s="1330"/>
      <c r="BF130" s="1330"/>
      <c r="BG130" s="1330"/>
    </row>
    <row r="131" spans="1:59" ht="15.75" customHeight="1">
      <c r="A131" s="1239"/>
      <c r="B131" s="582" t="s">
        <v>3091</v>
      </c>
      <c r="C131" s="446">
        <f>+$C$129+$G$130</f>
        <v>87950.150000000009</v>
      </c>
      <c r="D131" s="448"/>
      <c r="E131" s="448"/>
      <c r="F131" s="448">
        <v>10000</v>
      </c>
      <c r="G131" s="455"/>
      <c r="H131" s="1239"/>
      <c r="I131" s="448"/>
      <c r="J131" s="446"/>
      <c r="K131" s="638"/>
      <c r="L131" s="1239"/>
      <c r="M131" s="446"/>
      <c r="N131" s="1239" t="s">
        <v>843</v>
      </c>
      <c r="O131" s="1239"/>
      <c r="P131" s="1239"/>
      <c r="Q131" s="1239">
        <v>0</v>
      </c>
      <c r="R131" s="1239">
        <v>0</v>
      </c>
      <c r="S131" s="455"/>
      <c r="T131" s="1239">
        <v>-35</v>
      </c>
      <c r="U131" s="1239"/>
      <c r="V131" s="1239"/>
      <c r="W131" s="1239">
        <v>1.4</v>
      </c>
      <c r="X131" s="1239"/>
      <c r="Y131" s="1239"/>
      <c r="Z131" s="1239"/>
      <c r="AA131" s="1239"/>
      <c r="AB131" s="1239"/>
      <c r="AC131" s="1239" t="s">
        <v>4115</v>
      </c>
      <c r="AD131" s="1239"/>
      <c r="AE131" s="1239"/>
      <c r="AF131" s="1239">
        <v>100</v>
      </c>
      <c r="AG131" s="171">
        <v>87950</v>
      </c>
      <c r="AH131" s="1239">
        <v>1773</v>
      </c>
      <c r="AI131" s="1239">
        <v>-5500</v>
      </c>
      <c r="AJ131" s="1239"/>
      <c r="AK131" s="1239" t="s">
        <v>139</v>
      </c>
      <c r="AL131" s="1239"/>
      <c r="AM131" s="1239"/>
      <c r="AN131" s="455">
        <v>5.5</v>
      </c>
      <c r="AO131" s="1239"/>
      <c r="AP131" s="1239"/>
      <c r="AQ131" s="484"/>
      <c r="AR131" s="484"/>
      <c r="AS131" s="484"/>
      <c r="AT131" s="484">
        <f>+ab($T$131,$T$129,$T$133,$G$130,$G$132,-1*$F$131,1200)</f>
        <v>-5.8800349897369264</v>
      </c>
      <c r="AU131" s="638"/>
      <c r="AV131" s="638"/>
      <c r="AW131" s="638"/>
      <c r="AX131" s="638"/>
      <c r="AY131" s="484"/>
      <c r="AZ131" s="484"/>
      <c r="BA131" s="671"/>
      <c r="BB131" s="1239"/>
      <c r="BC131" s="169"/>
      <c r="BD131" s="1330"/>
      <c r="BE131" s="1329"/>
      <c r="BF131" s="1330"/>
      <c r="BG131" s="1329"/>
    </row>
    <row r="132" spans="1:59" ht="15.75" customHeight="1">
      <c r="A132" s="1239"/>
      <c r="B132" s="447"/>
      <c r="C132" s="446"/>
      <c r="D132" s="448"/>
      <c r="E132" s="448"/>
      <c r="F132" s="448"/>
      <c r="G132" s="455">
        <v>52.2</v>
      </c>
      <c r="H132" s="1239"/>
      <c r="I132" s="448"/>
      <c r="J132" s="446"/>
      <c r="K132" s="638"/>
      <c r="L132" s="1239"/>
      <c r="M132" s="446"/>
      <c r="N132" s="1239"/>
      <c r="O132" s="1239"/>
      <c r="P132" s="1239"/>
      <c r="Q132" s="1239"/>
      <c r="R132" s="1239"/>
      <c r="S132" s="455">
        <f t="shared" ref="S132" si="60">AG133-AG131</f>
        <v>52</v>
      </c>
      <c r="T132" s="1239"/>
      <c r="U132" s="1239"/>
      <c r="V132" s="1239"/>
      <c r="W132" s="1239"/>
      <c r="X132" s="1239"/>
      <c r="Y132" s="1239"/>
      <c r="Z132" s="1239"/>
      <c r="AA132" s="1239"/>
      <c r="AB132" s="1239"/>
      <c r="AC132" s="1239"/>
      <c r="AD132" s="1239"/>
      <c r="AE132" s="1239"/>
      <c r="AF132" s="1239"/>
      <c r="AG132" s="171"/>
      <c r="AH132" s="1239"/>
      <c r="AI132" s="1239"/>
      <c r="AJ132" s="1239"/>
      <c r="AK132" s="1239"/>
      <c r="AL132" s="1239"/>
      <c r="AM132" s="1239"/>
      <c r="AN132" s="455"/>
      <c r="AO132" s="1239"/>
      <c r="AP132" s="1239"/>
      <c r="AQ132" s="484">
        <f>+FL_1($T$133,$T$131,$G$132,1200,9.28,-1*$F$133)</f>
        <v>0.40041614502894513</v>
      </c>
      <c r="AR132" s="484"/>
      <c r="AS132" s="484"/>
      <c r="AT132" s="484"/>
      <c r="AU132" s="638"/>
      <c r="AV132" s="638"/>
      <c r="AW132" s="638"/>
      <c r="AX132" s="638"/>
      <c r="AY132" s="484"/>
      <c r="AZ132" s="484"/>
      <c r="BA132" s="671"/>
      <c r="BB132" s="1239"/>
      <c r="BC132" s="169"/>
      <c r="BD132" s="1330"/>
      <c r="BE132" s="1330"/>
      <c r="BF132" s="1330"/>
      <c r="BG132" s="1330"/>
    </row>
    <row r="133" spans="1:59" ht="15.75" customHeight="1">
      <c r="A133" s="1239"/>
      <c r="B133" s="582" t="s">
        <v>3092</v>
      </c>
      <c r="C133" s="446">
        <f>+$C$131+$G$132</f>
        <v>88002.35</v>
      </c>
      <c r="D133" s="448"/>
      <c r="E133" s="448"/>
      <c r="F133" s="448">
        <v>10000</v>
      </c>
      <c r="G133" s="455"/>
      <c r="H133" s="1239"/>
      <c r="I133" s="448"/>
      <c r="J133" s="446"/>
      <c r="K133" s="638"/>
      <c r="L133" s="1239"/>
      <c r="M133" s="446"/>
      <c r="N133" s="1239" t="s">
        <v>844</v>
      </c>
      <c r="O133" s="1239"/>
      <c r="P133" s="1239"/>
      <c r="Q133" s="1239">
        <v>0</v>
      </c>
      <c r="R133" s="1239">
        <v>0</v>
      </c>
      <c r="S133" s="455"/>
      <c r="T133" s="1239">
        <v>35</v>
      </c>
      <c r="U133" s="1239"/>
      <c r="V133" s="1239"/>
      <c r="W133" s="1239">
        <v>1.4</v>
      </c>
      <c r="X133" s="1239"/>
      <c r="Y133" s="1239"/>
      <c r="Z133" s="1239"/>
      <c r="AA133" s="1239"/>
      <c r="AB133" s="1239"/>
      <c r="AC133" s="1239" t="s">
        <v>4090</v>
      </c>
      <c r="AD133" s="1239"/>
      <c r="AE133" s="1239"/>
      <c r="AF133" s="1239">
        <v>100</v>
      </c>
      <c r="AG133" s="171">
        <v>88002</v>
      </c>
      <c r="AH133" s="1239">
        <v>1773</v>
      </c>
      <c r="AI133" s="1239">
        <v>-5705</v>
      </c>
      <c r="AJ133" s="1239"/>
      <c r="AK133" s="1239" t="s">
        <v>139</v>
      </c>
      <c r="AL133" s="1239"/>
      <c r="AM133" s="1239"/>
      <c r="AN133" s="455">
        <v>5.5</v>
      </c>
      <c r="AO133" s="1239"/>
      <c r="AP133" s="1239"/>
      <c r="AQ133" s="484"/>
      <c r="AR133" s="484"/>
      <c r="AS133" s="484"/>
      <c r="AT133" s="484">
        <f>+ab($T$133,$T$131,$T$135,$G$132,$G$134,-1*$F$133,1200)</f>
        <v>9.1569496762644924</v>
      </c>
      <c r="AU133" s="638"/>
      <c r="AV133" s="638"/>
      <c r="AW133" s="638"/>
      <c r="AX133" s="638"/>
      <c r="AY133" s="484"/>
      <c r="AZ133" s="484"/>
      <c r="BA133" s="671"/>
      <c r="BB133" s="1239"/>
      <c r="BC133" s="169"/>
      <c r="BD133" s="1330"/>
      <c r="BE133" s="1329"/>
      <c r="BF133" s="1330"/>
      <c r="BG133" s="1329"/>
    </row>
    <row r="134" spans="1:59" ht="16.5" customHeight="1">
      <c r="A134" s="1239"/>
      <c r="B134" s="447"/>
      <c r="C134" s="446"/>
      <c r="D134" s="448"/>
      <c r="E134" s="448"/>
      <c r="F134" s="448"/>
      <c r="G134" s="455">
        <v>55</v>
      </c>
      <c r="H134" s="1239"/>
      <c r="I134" s="448"/>
      <c r="J134" s="446"/>
      <c r="K134" s="638"/>
      <c r="L134" s="1239"/>
      <c r="M134" s="446"/>
      <c r="N134" s="1239"/>
      <c r="O134" s="1239"/>
      <c r="P134" s="1239"/>
      <c r="Q134" s="1239"/>
      <c r="R134" s="1239"/>
      <c r="S134" s="455">
        <f t="shared" ref="S134" si="61">AG135-AG133</f>
        <v>55</v>
      </c>
      <c r="T134" s="1239"/>
      <c r="U134" s="1239"/>
      <c r="V134" s="1239"/>
      <c r="W134" s="1239"/>
      <c r="X134" s="1239"/>
      <c r="Y134" s="1239"/>
      <c r="Z134" s="1239"/>
      <c r="AA134" s="1239"/>
      <c r="AB134" s="1239"/>
      <c r="AC134" s="1239"/>
      <c r="AD134" s="1239"/>
      <c r="AE134" s="1239"/>
      <c r="AF134" s="1239"/>
      <c r="AG134" s="171"/>
      <c r="AH134" s="1239"/>
      <c r="AI134" s="1239"/>
      <c r="AJ134" s="1239"/>
      <c r="AK134" s="1239"/>
      <c r="AL134" s="1239"/>
      <c r="AM134" s="1239"/>
      <c r="AN134" s="455"/>
      <c r="AO134" s="1239"/>
      <c r="AP134" s="1239"/>
      <c r="AQ134" s="484">
        <f>+FL_1($T$135,$T$133,$G$134,1200,9.28,-1*$F$135)</f>
        <v>0.39714735709090898</v>
      </c>
      <c r="AR134" s="484"/>
      <c r="AS134" s="484"/>
      <c r="AT134" s="484"/>
      <c r="AU134" s="638"/>
      <c r="AV134" s="638"/>
      <c r="AW134" s="638"/>
      <c r="AX134" s="638"/>
      <c r="AY134" s="484"/>
      <c r="AZ134" s="484"/>
      <c r="BA134" s="671"/>
      <c r="BB134" s="1239"/>
      <c r="BC134" s="169"/>
      <c r="BD134" s="1330"/>
      <c r="BE134" s="1330"/>
      <c r="BF134" s="1330"/>
      <c r="BG134" s="1330"/>
    </row>
    <row r="135" spans="1:59" ht="15.75" customHeight="1">
      <c r="A135" s="1239"/>
      <c r="B135" s="582" t="s">
        <v>3093</v>
      </c>
      <c r="C135" s="446">
        <f>+$C$133+$G$134</f>
        <v>88057.35</v>
      </c>
      <c r="D135" s="448"/>
      <c r="E135" s="448"/>
      <c r="F135" s="448">
        <v>0</v>
      </c>
      <c r="G135" s="455"/>
      <c r="H135" s="1239"/>
      <c r="I135" s="448"/>
      <c r="J135" s="446"/>
      <c r="K135" s="638"/>
      <c r="L135" s="1239"/>
      <c r="M135" s="446"/>
      <c r="N135" s="1239" t="s">
        <v>2794</v>
      </c>
      <c r="O135" s="1239"/>
      <c r="P135" s="1239"/>
      <c r="Q135" s="1239">
        <v>0</v>
      </c>
      <c r="R135" s="1239">
        <v>0</v>
      </c>
      <c r="S135" s="455"/>
      <c r="T135" s="1239">
        <v>-35</v>
      </c>
      <c r="U135" s="1239"/>
      <c r="V135" s="1239"/>
      <c r="W135" s="1239">
        <v>1.4</v>
      </c>
      <c r="X135" s="1239"/>
      <c r="Y135" s="1239"/>
      <c r="Z135" s="1239"/>
      <c r="AA135" s="1239"/>
      <c r="AB135" s="1239"/>
      <c r="AC135" s="1239" t="s">
        <v>4090</v>
      </c>
      <c r="AD135" s="1239"/>
      <c r="AE135" s="1239"/>
      <c r="AF135" s="1239">
        <v>100</v>
      </c>
      <c r="AG135" s="171">
        <v>88057</v>
      </c>
      <c r="AH135" s="1239">
        <v>1703</v>
      </c>
      <c r="AI135" s="1239">
        <v>-5550</v>
      </c>
      <c r="AJ135" s="1239"/>
      <c r="AK135" s="1239" t="s">
        <v>139</v>
      </c>
      <c r="AL135" s="1239"/>
      <c r="AM135" s="1239"/>
      <c r="AN135" s="455">
        <v>5.5</v>
      </c>
      <c r="AO135" s="1239"/>
      <c r="AP135" s="1239"/>
      <c r="AQ135" s="484"/>
      <c r="AR135" s="484"/>
      <c r="AS135" s="484"/>
      <c r="AT135" s="484">
        <f>+ab($T$135,$T$133,$T$137,$G$134,$G$136,-1*$F$135,1200)</f>
        <v>-7.8175501667728815</v>
      </c>
      <c r="AU135" s="638"/>
      <c r="AV135" s="638"/>
      <c r="AW135" s="638"/>
      <c r="AX135" s="638"/>
      <c r="AY135" s="484"/>
      <c r="AZ135" s="484"/>
      <c r="BA135" s="671"/>
      <c r="BB135" s="1239"/>
      <c r="BC135" s="169"/>
      <c r="BD135" s="1330"/>
      <c r="BE135" s="1329"/>
      <c r="BF135" s="1330"/>
      <c r="BG135" s="1329"/>
    </row>
    <row r="136" spans="1:59" ht="15.75" customHeight="1">
      <c r="A136" s="1239"/>
      <c r="B136" s="447"/>
      <c r="C136" s="446"/>
      <c r="D136" s="448"/>
      <c r="E136" s="448"/>
      <c r="F136" s="448"/>
      <c r="G136" s="455">
        <v>60</v>
      </c>
      <c r="H136" s="1239"/>
      <c r="I136" s="448"/>
      <c r="J136" s="446"/>
      <c r="K136" s="638"/>
      <c r="L136" s="1239"/>
      <c r="M136" s="446"/>
      <c r="N136" s="1239"/>
      <c r="O136" s="1239"/>
      <c r="P136" s="1239"/>
      <c r="Q136" s="1239"/>
      <c r="R136" s="1239"/>
      <c r="S136" s="455">
        <f t="shared" ref="S136" si="62">AG137-AG135</f>
        <v>60</v>
      </c>
      <c r="T136" s="1239"/>
      <c r="U136" s="1239"/>
      <c r="V136" s="1239"/>
      <c r="W136" s="1239"/>
      <c r="X136" s="1239"/>
      <c r="Y136" s="1239"/>
      <c r="Z136" s="1239"/>
      <c r="AA136" s="1239"/>
      <c r="AB136" s="1239"/>
      <c r="AC136" s="1239"/>
      <c r="AD136" s="1239"/>
      <c r="AE136" s="1239"/>
      <c r="AF136" s="1239"/>
      <c r="AG136" s="171"/>
      <c r="AH136" s="1239"/>
      <c r="AI136" s="1239"/>
      <c r="AJ136" s="1239"/>
      <c r="AK136" s="1239"/>
      <c r="AL136" s="1239"/>
      <c r="AM136" s="1239"/>
      <c r="AN136" s="455"/>
      <c r="AO136" s="1239"/>
      <c r="AP136" s="1239"/>
      <c r="AQ136" s="484">
        <f>+FL_1($T$137,$T$135,$G$136,1200,9.28,-1*$F$137)</f>
        <v>0.43600286799999999</v>
      </c>
      <c r="AR136" s="484"/>
      <c r="AS136" s="484"/>
      <c r="AT136" s="484"/>
      <c r="AU136" s="638"/>
      <c r="AV136" s="638"/>
      <c r="AW136" s="638"/>
      <c r="AX136" s="638"/>
      <c r="AY136" s="484"/>
      <c r="AZ136" s="484"/>
      <c r="BA136" s="671"/>
      <c r="BB136" s="1239"/>
      <c r="BC136" s="169"/>
      <c r="BD136" s="1330"/>
      <c r="BE136" s="1330"/>
      <c r="BF136" s="1330"/>
      <c r="BG136" s="1330"/>
    </row>
    <row r="137" spans="1:59" ht="15.75" customHeight="1">
      <c r="A137" s="1239"/>
      <c r="B137" s="582" t="s">
        <v>3094</v>
      </c>
      <c r="C137" s="446">
        <f>+$C$135+$G$136</f>
        <v>88117.35</v>
      </c>
      <c r="D137" s="448"/>
      <c r="E137" s="448"/>
      <c r="F137" s="448">
        <v>0</v>
      </c>
      <c r="G137" s="455"/>
      <c r="H137" s="1239"/>
      <c r="I137" s="448"/>
      <c r="J137" s="446"/>
      <c r="K137" s="638"/>
      <c r="L137" s="1239"/>
      <c r="M137" s="446"/>
      <c r="N137" s="1239" t="s">
        <v>844</v>
      </c>
      <c r="O137" s="1239"/>
      <c r="P137" s="1239"/>
      <c r="Q137" s="1239">
        <v>0</v>
      </c>
      <c r="R137" s="1239">
        <v>0</v>
      </c>
      <c r="S137" s="455"/>
      <c r="T137" s="1239">
        <v>35</v>
      </c>
      <c r="U137" s="1239"/>
      <c r="V137" s="1239"/>
      <c r="W137" s="1239">
        <v>1.4</v>
      </c>
      <c r="X137" s="1239"/>
      <c r="Y137" s="1239"/>
      <c r="Z137" s="1239"/>
      <c r="AA137" s="1239"/>
      <c r="AB137" s="1239"/>
      <c r="AC137" s="1239" t="s">
        <v>4090</v>
      </c>
      <c r="AD137" s="1239"/>
      <c r="AE137" s="1239"/>
      <c r="AF137" s="1239">
        <v>100</v>
      </c>
      <c r="AG137" s="171">
        <v>88117</v>
      </c>
      <c r="AH137" s="1239">
        <v>1743</v>
      </c>
      <c r="AI137" s="1239">
        <v>-5714</v>
      </c>
      <c r="AJ137" s="1239"/>
      <c r="AK137" s="1239" t="s">
        <v>139</v>
      </c>
      <c r="AL137" s="1239"/>
      <c r="AM137" s="1239"/>
      <c r="AN137" s="455">
        <v>5.5</v>
      </c>
      <c r="AO137" s="1239"/>
      <c r="AP137" s="1239"/>
      <c r="AQ137" s="484"/>
      <c r="AR137" s="484"/>
      <c r="AS137" s="484"/>
      <c r="AT137" s="484">
        <f>+ab($T$137,$T$135,$T$139,$G$136,$G$138,-1*$F$137,1200)</f>
        <v>16.017143181608795</v>
      </c>
      <c r="AU137" s="638"/>
      <c r="AV137" s="638"/>
      <c r="AW137" s="638"/>
      <c r="AX137" s="638"/>
      <c r="AY137" s="484"/>
      <c r="AZ137" s="484"/>
      <c r="BA137" s="671"/>
      <c r="BB137" s="1239"/>
      <c r="BC137" s="169"/>
      <c r="BD137" s="1330"/>
      <c r="BE137" s="1329"/>
      <c r="BF137" s="1330"/>
      <c r="BG137" s="1329"/>
    </row>
    <row r="138" spans="1:59" ht="15.75" customHeight="1">
      <c r="A138" s="449"/>
      <c r="B138" s="447"/>
      <c r="C138" s="446"/>
      <c r="D138" s="448"/>
      <c r="E138" s="448"/>
      <c r="F138" s="448"/>
      <c r="G138" s="484">
        <v>62</v>
      </c>
      <c r="H138" s="1239"/>
      <c r="I138" s="448"/>
      <c r="J138" s="446"/>
      <c r="K138" s="638"/>
      <c r="L138" s="1239"/>
      <c r="M138" s="446"/>
      <c r="N138" s="1239"/>
      <c r="O138" s="1239"/>
      <c r="P138" s="1239"/>
      <c r="Q138" s="1239"/>
      <c r="R138" s="1239"/>
      <c r="S138" s="455">
        <f t="shared" ref="S138" si="63">AG139-AG137</f>
        <v>62</v>
      </c>
      <c r="T138" s="1239"/>
      <c r="U138" s="1239"/>
      <c r="V138" s="1239"/>
      <c r="W138" s="1239"/>
      <c r="X138" s="1239"/>
      <c r="Y138" s="1239"/>
      <c r="Z138" s="1239"/>
      <c r="AA138" s="1239"/>
      <c r="AB138" s="1239"/>
      <c r="AC138" s="1239"/>
      <c r="AD138" s="1239"/>
      <c r="AE138" s="1239"/>
      <c r="AF138" s="1239"/>
      <c r="AG138" s="171"/>
      <c r="AH138" s="1239"/>
      <c r="AI138" s="1239"/>
      <c r="AJ138" s="1239"/>
      <c r="AK138" s="1239"/>
      <c r="AL138" s="1239"/>
      <c r="AM138" s="1239"/>
      <c r="AN138" s="455"/>
      <c r="AO138" s="1239"/>
      <c r="AP138" s="1239"/>
      <c r="AQ138" s="484">
        <f>+FL_2(-$T$139,$T$137,$G$138,1200,9.28, 1*$F$139)</f>
        <v>-0.45400350967741931</v>
      </c>
      <c r="AR138" s="484"/>
      <c r="AS138" s="484"/>
      <c r="AT138" s="484"/>
      <c r="AU138" s="638"/>
      <c r="AV138" s="638"/>
      <c r="AW138" s="638"/>
      <c r="AX138" s="638"/>
      <c r="AY138" s="484"/>
      <c r="AZ138" s="484"/>
      <c r="BA138" s="671"/>
      <c r="BB138" s="449"/>
      <c r="BC138" s="169"/>
      <c r="BD138" s="1330"/>
      <c r="BE138" s="1330"/>
      <c r="BF138" s="1330"/>
      <c r="BG138" s="1330"/>
    </row>
    <row r="139" spans="1:59" ht="15.75" customHeight="1">
      <c r="A139" s="1239"/>
      <c r="B139" s="582" t="s">
        <v>3095</v>
      </c>
      <c r="C139" s="446">
        <f>+$C$137+$G$138</f>
        <v>88179.35</v>
      </c>
      <c r="D139" s="448"/>
      <c r="E139" s="448"/>
      <c r="F139" s="448">
        <v>0</v>
      </c>
      <c r="G139" s="455"/>
      <c r="H139" s="1239"/>
      <c r="I139" s="448"/>
      <c r="J139" s="446"/>
      <c r="K139" s="638"/>
      <c r="L139" s="1239"/>
      <c r="M139" s="446"/>
      <c r="N139" s="1239" t="s">
        <v>844</v>
      </c>
      <c r="O139" s="1239"/>
      <c r="P139" s="1239"/>
      <c r="Q139" s="1239">
        <v>0</v>
      </c>
      <c r="R139" s="1239">
        <v>0</v>
      </c>
      <c r="S139" s="455"/>
      <c r="T139" s="1239">
        <v>35</v>
      </c>
      <c r="U139" s="1239"/>
      <c r="V139" s="1239"/>
      <c r="W139" s="1239">
        <v>1.4</v>
      </c>
      <c r="X139" s="1239"/>
      <c r="Y139" s="1239"/>
      <c r="Z139" s="1239"/>
      <c r="AA139" s="1239"/>
      <c r="AB139" s="1239"/>
      <c r="AC139" s="1239" t="s">
        <v>4090</v>
      </c>
      <c r="AD139" s="1239"/>
      <c r="AE139" s="1239"/>
      <c r="AF139" s="1239">
        <v>100</v>
      </c>
      <c r="AG139" s="171">
        <v>88179</v>
      </c>
      <c r="AH139" s="1239">
        <v>1833</v>
      </c>
      <c r="AI139" s="1239">
        <v>-5704</v>
      </c>
      <c r="AJ139" s="1239"/>
      <c r="AK139" s="1239" t="s">
        <v>139</v>
      </c>
      <c r="AL139" s="1239"/>
      <c r="AM139" s="1239"/>
      <c r="AN139" s="455">
        <v>5.5</v>
      </c>
      <c r="AO139" s="1239"/>
      <c r="AP139" s="1239"/>
      <c r="AQ139" s="484"/>
      <c r="AR139" s="484"/>
      <c r="AS139" s="484"/>
      <c r="AT139" s="484">
        <f>+ab($T$139,$T$137,$T$141,$G$138,$G$140, 1*$F$139,1200)</f>
        <v>19.08958390944349</v>
      </c>
      <c r="AU139" s="638"/>
      <c r="AV139" s="638"/>
      <c r="AW139" s="638"/>
      <c r="AX139" s="638"/>
      <c r="AY139" s="484"/>
      <c r="AZ139" s="484"/>
      <c r="BA139" s="671"/>
      <c r="BB139" s="1239"/>
      <c r="BC139" s="169"/>
      <c r="BD139" s="1330"/>
      <c r="BE139" s="1329"/>
      <c r="BF139" s="1330"/>
      <c r="BG139" s="1329"/>
    </row>
    <row r="140" spans="1:59" ht="15.75" customHeight="1">
      <c r="A140" s="449"/>
      <c r="B140" s="447"/>
      <c r="C140" s="446"/>
      <c r="D140" s="448"/>
      <c r="E140" s="448"/>
      <c r="F140" s="448"/>
      <c r="G140" s="484">
        <v>62</v>
      </c>
      <c r="H140" s="1239"/>
      <c r="I140" s="448"/>
      <c r="J140" s="446"/>
      <c r="K140" s="638"/>
      <c r="L140" s="1239"/>
      <c r="M140" s="446"/>
      <c r="N140" s="1239"/>
      <c r="O140" s="1239"/>
      <c r="P140" s="1239"/>
      <c r="Q140" s="1239"/>
      <c r="R140" s="1239"/>
      <c r="S140" s="455">
        <f t="shared" ref="S140" si="64">AG141-AG139</f>
        <v>62</v>
      </c>
      <c r="T140" s="1239"/>
      <c r="U140" s="1239"/>
      <c r="V140" s="1239"/>
      <c r="W140" s="1239"/>
      <c r="X140" s="1239"/>
      <c r="Y140" s="1239"/>
      <c r="Z140" s="1239"/>
      <c r="AA140" s="1239"/>
      <c r="AB140" s="1239"/>
      <c r="AC140" s="1239"/>
      <c r="AD140" s="1239"/>
      <c r="AE140" s="1239"/>
      <c r="AF140" s="1239"/>
      <c r="AG140" s="171"/>
      <c r="AH140" s="1239"/>
      <c r="AI140" s="1239"/>
      <c r="AJ140" s="1239"/>
      <c r="AK140" s="1239"/>
      <c r="AL140" s="1239"/>
      <c r="AM140" s="1239"/>
      <c r="AN140" s="455"/>
      <c r="AO140" s="1239"/>
      <c r="AP140" s="1239"/>
      <c r="AQ140" s="484">
        <f>+FL_2($T$141,$T$139,$G$140,1200,9.28, 1*$F$141)</f>
        <v>-0.38213781079569886</v>
      </c>
      <c r="AR140" s="484"/>
      <c r="AS140" s="484"/>
      <c r="AT140" s="484"/>
      <c r="AU140" s="638"/>
      <c r="AV140" s="638"/>
      <c r="AW140" s="638"/>
      <c r="AX140" s="638"/>
      <c r="AY140" s="484"/>
      <c r="AZ140" s="484"/>
      <c r="BA140" s="671"/>
      <c r="BB140" s="449"/>
      <c r="BC140" s="169"/>
      <c r="BD140" s="1330"/>
      <c r="BE140" s="1330"/>
      <c r="BF140" s="1330"/>
      <c r="BG140" s="1330"/>
    </row>
    <row r="141" spans="1:59" ht="15.75" customHeight="1">
      <c r="A141" s="1239"/>
      <c r="B141" s="582" t="s">
        <v>3096</v>
      </c>
      <c r="C141" s="446">
        <f>+$C$139+$G$140</f>
        <v>88241.35</v>
      </c>
      <c r="D141" s="448"/>
      <c r="E141" s="448"/>
      <c r="F141" s="448">
        <v>0</v>
      </c>
      <c r="G141" s="455"/>
      <c r="H141" s="1239"/>
      <c r="I141" s="448"/>
      <c r="J141" s="446"/>
      <c r="K141" s="638"/>
      <c r="L141" s="1239"/>
      <c r="M141" s="446"/>
      <c r="N141" s="1239" t="s">
        <v>843</v>
      </c>
      <c r="O141" s="1239"/>
      <c r="P141" s="1239"/>
      <c r="Q141" s="1239">
        <v>0</v>
      </c>
      <c r="R141" s="1239">
        <v>0</v>
      </c>
      <c r="S141" s="455"/>
      <c r="T141" s="1239">
        <v>-25</v>
      </c>
      <c r="U141" s="1239"/>
      <c r="V141" s="1239"/>
      <c r="W141" s="1239">
        <v>1.4</v>
      </c>
      <c r="X141" s="1239"/>
      <c r="Y141" s="1239"/>
      <c r="Z141" s="1239"/>
      <c r="AA141" s="1239"/>
      <c r="AB141" s="1239"/>
      <c r="AC141" s="1239" t="s">
        <v>4115</v>
      </c>
      <c r="AD141" s="1239"/>
      <c r="AE141" s="1239"/>
      <c r="AF141" s="1239">
        <v>100</v>
      </c>
      <c r="AG141" s="171">
        <v>88241</v>
      </c>
      <c r="AH141" s="1239">
        <v>1873</v>
      </c>
      <c r="AI141" s="1239">
        <v>-5710</v>
      </c>
      <c r="AJ141" s="1239"/>
      <c r="AK141" s="1239" t="s">
        <v>139</v>
      </c>
      <c r="AL141" s="1239"/>
      <c r="AM141" s="1239"/>
      <c r="AN141" s="455">
        <v>5.5</v>
      </c>
      <c r="AO141" s="1239"/>
      <c r="AP141" s="1239"/>
      <c r="AQ141" s="484"/>
      <c r="AR141" s="484"/>
      <c r="AS141" s="484"/>
      <c r="AT141" s="484">
        <f>+ab($T$141,$T$139,$U$143,$G$140,$G$142, 1*$F$141,1200)</f>
        <v>-12.329657504196032</v>
      </c>
      <c r="AU141" s="638"/>
      <c r="AV141" s="638"/>
      <c r="AW141" s="638"/>
      <c r="AX141" s="638"/>
      <c r="AY141" s="484"/>
      <c r="AZ141" s="484"/>
      <c r="BA141" s="671"/>
      <c r="BB141" s="1239"/>
      <c r="BC141" s="169"/>
      <c r="BD141" s="1330"/>
      <c r="BE141" s="1329"/>
      <c r="BF141" s="1330"/>
      <c r="BG141" s="1329"/>
    </row>
    <row r="142" spans="1:59" ht="15.75" customHeight="1">
      <c r="A142" s="449"/>
      <c r="B142" s="447"/>
      <c r="C142" s="446"/>
      <c r="D142" s="448"/>
      <c r="E142" s="448"/>
      <c r="F142" s="448"/>
      <c r="G142" s="484">
        <v>62</v>
      </c>
      <c r="H142" s="1239"/>
      <c r="I142" s="448"/>
      <c r="J142" s="446"/>
      <c r="K142" s="638"/>
      <c r="L142" s="1239"/>
      <c r="M142" s="446"/>
      <c r="N142" s="1239"/>
      <c r="O142" s="1239"/>
      <c r="P142" s="1239"/>
      <c r="Q142" s="1239"/>
      <c r="R142" s="1239"/>
      <c r="S142" s="455">
        <f t="shared" ref="S142" si="65">AG143-AG141</f>
        <v>62</v>
      </c>
      <c r="T142" s="1239"/>
      <c r="U142" s="1239"/>
      <c r="V142" s="1239"/>
      <c r="W142" s="1239"/>
      <c r="X142" s="1239"/>
      <c r="Y142" s="1239"/>
      <c r="Z142" s="1239"/>
      <c r="AA142" s="1239"/>
      <c r="AB142" s="1239"/>
      <c r="AC142" s="1239"/>
      <c r="AD142" s="1239"/>
      <c r="AE142" s="1239"/>
      <c r="AF142" s="1239"/>
      <c r="AG142" s="171"/>
      <c r="AH142" s="1239"/>
      <c r="AI142" s="1239"/>
      <c r="AJ142" s="1239"/>
      <c r="AK142" s="1239"/>
      <c r="AL142" s="1239"/>
      <c r="AM142" s="1239"/>
      <c r="AN142" s="455"/>
      <c r="AO142" s="1239"/>
      <c r="AP142" s="1239"/>
      <c r="AQ142" s="484">
        <f>+FL_1($U$143,$T$141,$G$142,1200,9.28, 1*$F$143)</f>
        <v>0.27219955729786222</v>
      </c>
      <c r="AR142" s="484"/>
      <c r="AS142" s="484"/>
      <c r="AT142" s="484"/>
      <c r="AU142" s="638"/>
      <c r="AV142" s="638"/>
      <c r="AW142" s="638"/>
      <c r="AX142" s="638"/>
      <c r="AY142" s="484"/>
      <c r="AZ142" s="484"/>
      <c r="BA142" s="671"/>
      <c r="BB142" s="449"/>
      <c r="BC142" s="169"/>
      <c r="BD142" s="1330"/>
      <c r="BE142" s="1330"/>
      <c r="BF142" s="1330"/>
      <c r="BG142" s="1330"/>
    </row>
    <row r="143" spans="1:59" ht="15.75" customHeight="1">
      <c r="A143" s="449"/>
      <c r="B143" s="582" t="s">
        <v>3097</v>
      </c>
      <c r="C143" s="446">
        <f>+$C$141+$G$142</f>
        <v>88303.35</v>
      </c>
      <c r="D143" s="448"/>
      <c r="E143" s="448"/>
      <c r="F143" s="448">
        <v>9999.7199999999993</v>
      </c>
      <c r="G143" s="455"/>
      <c r="H143" s="1239" t="s">
        <v>619</v>
      </c>
      <c r="I143" s="448"/>
      <c r="J143" s="446"/>
      <c r="K143" s="638"/>
      <c r="L143" s="1239"/>
      <c r="M143" s="446"/>
      <c r="N143" s="1239" t="s">
        <v>845</v>
      </c>
      <c r="O143" s="1239" t="s">
        <v>844</v>
      </c>
      <c r="P143" s="1239"/>
      <c r="Q143" s="1239">
        <v>0</v>
      </c>
      <c r="R143" s="1239">
        <v>0</v>
      </c>
      <c r="S143" s="455"/>
      <c r="T143" s="1239">
        <v>55</v>
      </c>
      <c r="U143" s="1239">
        <v>10</v>
      </c>
      <c r="V143" s="1239"/>
      <c r="W143" s="1239">
        <v>1.4</v>
      </c>
      <c r="X143" s="1239">
        <v>2.2999999999999998</v>
      </c>
      <c r="Y143" s="1239"/>
      <c r="Z143" s="1239">
        <v>0.6</v>
      </c>
      <c r="AA143" s="1239"/>
      <c r="AB143" s="1239"/>
      <c r="AC143" s="1239" t="s">
        <v>4090</v>
      </c>
      <c r="AD143" s="1239"/>
      <c r="AE143" s="1239"/>
      <c r="AF143" s="1239">
        <v>200</v>
      </c>
      <c r="AG143" s="171">
        <v>88303</v>
      </c>
      <c r="AH143" s="1239">
        <v>1783</v>
      </c>
      <c r="AI143" s="1239">
        <v>-5810</v>
      </c>
      <c r="AJ143" s="638"/>
      <c r="AK143" s="638" t="s">
        <v>228</v>
      </c>
      <c r="AL143" s="1239"/>
      <c r="AM143" s="1239"/>
      <c r="AN143" s="455">
        <v>5.5</v>
      </c>
      <c r="AO143" s="1239"/>
      <c r="AP143" s="1239"/>
      <c r="AQ143" s="484"/>
      <c r="AR143" s="484"/>
      <c r="AS143" s="484"/>
      <c r="AT143" s="484">
        <f>+ab($U$143,$T$141,$U$145,$G$142,$G$144, 1*$F$143,1200)</f>
        <v>8.3377527867583154</v>
      </c>
      <c r="AU143" s="638"/>
      <c r="AV143" s="638"/>
      <c r="AW143" s="638"/>
      <c r="AX143" s="638"/>
      <c r="AY143" s="484"/>
      <c r="AZ143" s="484"/>
      <c r="BA143" s="671"/>
      <c r="BB143" s="449"/>
      <c r="BC143" s="169"/>
      <c r="BD143" s="1330"/>
      <c r="BE143" s="1329"/>
      <c r="BF143" s="1330"/>
      <c r="BG143" s="1329"/>
    </row>
    <row r="144" spans="1:59" ht="15.75" customHeight="1">
      <c r="A144" s="449"/>
      <c r="B144" s="447"/>
      <c r="C144" s="446"/>
      <c r="D144" s="448"/>
      <c r="E144" s="448"/>
      <c r="F144" s="448"/>
      <c r="G144" s="484">
        <v>58</v>
      </c>
      <c r="H144" s="1239"/>
      <c r="I144" s="448"/>
      <c r="J144" s="446"/>
      <c r="K144" s="638"/>
      <c r="L144" s="1239"/>
      <c r="M144" s="446"/>
      <c r="N144" s="580"/>
      <c r="O144" s="1239"/>
      <c r="P144" s="1239"/>
      <c r="Q144" s="1239"/>
      <c r="R144" s="1239"/>
      <c r="S144" s="455">
        <f t="shared" ref="S144" si="66">AG145-AG143</f>
        <v>58</v>
      </c>
      <c r="T144" s="1239"/>
      <c r="U144" s="1239"/>
      <c r="V144" s="1239"/>
      <c r="W144" s="1239"/>
      <c r="X144" s="1239"/>
      <c r="Y144" s="1239"/>
      <c r="Z144" s="1239"/>
      <c r="AA144" s="1239"/>
      <c r="AB144" s="1239"/>
      <c r="AC144" s="1239"/>
      <c r="AD144" s="1239"/>
      <c r="AE144" s="1239"/>
      <c r="AF144" s="1239"/>
      <c r="AG144" s="171"/>
      <c r="AH144" s="1239"/>
      <c r="AI144" s="1239"/>
      <c r="AJ144" s="1239"/>
      <c r="AK144" s="1239"/>
      <c r="AL144" s="1239"/>
      <c r="AM144" s="1239"/>
      <c r="AN144" s="455"/>
      <c r="AO144" s="1239"/>
      <c r="AP144" s="1239"/>
      <c r="AQ144" s="484">
        <f>+FL_1($U$145,$U$143,$G$144,1200,9.28, 1*$F$145)</f>
        <v>0.18139002570114934</v>
      </c>
      <c r="AR144" s="484"/>
      <c r="AS144" s="484"/>
      <c r="AT144" s="484"/>
      <c r="AU144" s="638"/>
      <c r="AV144" s="638"/>
      <c r="AW144" s="638"/>
      <c r="AX144" s="638"/>
      <c r="AY144" s="484"/>
      <c r="AZ144" s="484"/>
      <c r="BA144" s="671"/>
      <c r="BB144" s="449"/>
      <c r="BC144" s="169"/>
      <c r="BD144" s="1330"/>
      <c r="BE144" s="1330"/>
      <c r="BF144" s="1330"/>
      <c r="BG144" s="1330"/>
    </row>
    <row r="145" spans="1:59" ht="15.75" customHeight="1">
      <c r="A145" s="449" t="s">
        <v>3131</v>
      </c>
      <c r="B145" s="582" t="s">
        <v>3098</v>
      </c>
      <c r="C145" s="446">
        <f>+$C$143+$G$144</f>
        <v>88361.35</v>
      </c>
      <c r="D145" s="448"/>
      <c r="E145" s="448"/>
      <c r="F145" s="448">
        <v>0</v>
      </c>
      <c r="G145" s="455"/>
      <c r="H145" s="1239" t="s">
        <v>619</v>
      </c>
      <c r="I145" s="448" t="s">
        <v>1429</v>
      </c>
      <c r="J145" s="446"/>
      <c r="K145" s="638"/>
      <c r="L145" s="1239"/>
      <c r="M145" s="446"/>
      <c r="N145" s="1239" t="s">
        <v>2794</v>
      </c>
      <c r="O145" s="1239" t="s">
        <v>845</v>
      </c>
      <c r="P145" s="1239"/>
      <c r="Q145" s="1239">
        <v>0</v>
      </c>
      <c r="R145" s="1239">
        <v>0</v>
      </c>
      <c r="S145" s="455"/>
      <c r="T145" s="1239">
        <v>-10</v>
      </c>
      <c r="U145" s="1239">
        <v>-55</v>
      </c>
      <c r="V145" s="1239"/>
      <c r="W145" s="1239">
        <v>1.4</v>
      </c>
      <c r="X145" s="1239">
        <v>2.2999999999999998</v>
      </c>
      <c r="Y145" s="1239"/>
      <c r="Z145" s="1239"/>
      <c r="AA145" s="1239">
        <v>0.6</v>
      </c>
      <c r="AB145" s="1239"/>
      <c r="AC145" s="1239" t="s">
        <v>1421</v>
      </c>
      <c r="AD145" s="1239"/>
      <c r="AE145" s="1239"/>
      <c r="AF145" s="1239">
        <v>200</v>
      </c>
      <c r="AG145" s="171">
        <v>88361</v>
      </c>
      <c r="AH145" s="1239">
        <v>1803</v>
      </c>
      <c r="AI145" s="1239">
        <v>-5200</v>
      </c>
      <c r="AJ145" s="638" t="s">
        <v>2154</v>
      </c>
      <c r="AK145" s="638" t="s">
        <v>228</v>
      </c>
      <c r="AL145" s="1239"/>
      <c r="AM145" s="1239"/>
      <c r="AN145" s="455">
        <v>5.5</v>
      </c>
      <c r="AO145" s="1239"/>
      <c r="AP145" s="1239"/>
      <c r="AQ145" s="484"/>
      <c r="AR145" s="484"/>
      <c r="AS145" s="484"/>
      <c r="AT145" s="484">
        <f>+ab($T$145,$T$143,$U$147,$G$144,$G$146, 1*$F$145,1200)</f>
        <v>-10.272541406916186</v>
      </c>
      <c r="AU145" s="638"/>
      <c r="AV145" s="638"/>
      <c r="AW145" s="638"/>
      <c r="AX145" s="638"/>
      <c r="AY145" s="484"/>
      <c r="AZ145" s="484"/>
      <c r="BA145" s="671"/>
      <c r="BB145" s="449"/>
      <c r="BC145" s="169"/>
      <c r="BD145" s="1330"/>
      <c r="BE145" s="1329"/>
      <c r="BF145" s="1330"/>
      <c r="BG145" s="1329"/>
    </row>
    <row r="146" spans="1:59" ht="15.75" customHeight="1">
      <c r="A146" s="449"/>
      <c r="B146" s="447"/>
      <c r="C146" s="446"/>
      <c r="D146" s="448"/>
      <c r="E146" s="448"/>
      <c r="F146" s="448"/>
      <c r="G146" s="484">
        <v>55</v>
      </c>
      <c r="H146" s="1239"/>
      <c r="I146" s="448"/>
      <c r="J146" s="446"/>
      <c r="K146" s="638"/>
      <c r="L146" s="1239"/>
      <c r="M146" s="446"/>
      <c r="N146" s="1239"/>
      <c r="O146" s="1239"/>
      <c r="P146" s="1239"/>
      <c r="Q146" s="1239"/>
      <c r="R146" s="1239"/>
      <c r="S146" s="455">
        <f t="shared" ref="S146" si="67">AG147-AG145</f>
        <v>55</v>
      </c>
      <c r="T146" s="1239"/>
      <c r="U146" s="1239"/>
      <c r="V146" s="1239"/>
      <c r="W146" s="1239"/>
      <c r="X146" s="1239"/>
      <c r="Y146" s="1239"/>
      <c r="Z146" s="1239"/>
      <c r="AA146" s="1239"/>
      <c r="AB146" s="1239"/>
      <c r="AC146" s="1239"/>
      <c r="AD146" s="1239"/>
      <c r="AE146" s="1239"/>
      <c r="AF146" s="1239"/>
      <c r="AG146" s="171"/>
      <c r="AH146" s="1239"/>
      <c r="AI146" s="1239"/>
      <c r="AJ146" s="1239"/>
      <c r="AK146" s="1239"/>
      <c r="AL146" s="1239"/>
      <c r="AM146" s="1239"/>
      <c r="AN146" s="455"/>
      <c r="AO146" s="1239"/>
      <c r="AP146" s="1239"/>
      <c r="AQ146" s="484">
        <f>+FL_2($U$147,$T$145,$G$146,1200,9.28, 1*$F$147)</f>
        <v>-0.22661443636363635</v>
      </c>
      <c r="AR146" s="484"/>
      <c r="AS146" s="484"/>
      <c r="AT146" s="484"/>
      <c r="AU146" s="638"/>
      <c r="AV146" s="638"/>
      <c r="AW146" s="638"/>
      <c r="AX146" s="638"/>
      <c r="AY146" s="484"/>
      <c r="AZ146" s="484"/>
      <c r="BA146" s="671"/>
      <c r="BB146" s="449"/>
      <c r="BC146" s="169"/>
      <c r="BD146" s="1330"/>
      <c r="BE146" s="1330"/>
      <c r="BF146" s="1330"/>
      <c r="BG146" s="1330"/>
    </row>
    <row r="147" spans="1:59" ht="15.75" customHeight="1">
      <c r="A147" s="449"/>
      <c r="B147" s="582" t="s">
        <v>3099</v>
      </c>
      <c r="C147" s="446">
        <f>+$C$145+$G$146</f>
        <v>88416.35</v>
      </c>
      <c r="D147" s="448"/>
      <c r="E147" s="448"/>
      <c r="F147" s="448">
        <v>0</v>
      </c>
      <c r="G147" s="455"/>
      <c r="H147" s="1239" t="s">
        <v>619</v>
      </c>
      <c r="I147" s="448"/>
      <c r="J147" s="446"/>
      <c r="K147" s="638"/>
      <c r="L147" s="1239"/>
      <c r="M147" s="446"/>
      <c r="N147" s="1239" t="s">
        <v>845</v>
      </c>
      <c r="O147" s="1239" t="s">
        <v>844</v>
      </c>
      <c r="P147" s="1239"/>
      <c r="Q147" s="1239">
        <v>0</v>
      </c>
      <c r="R147" s="1239">
        <v>0</v>
      </c>
      <c r="S147" s="455"/>
      <c r="T147" s="1239">
        <v>45</v>
      </c>
      <c r="U147" s="1239">
        <v>30</v>
      </c>
      <c r="V147" s="1239"/>
      <c r="W147" s="1239">
        <v>1.4</v>
      </c>
      <c r="X147" s="1239">
        <v>1.8</v>
      </c>
      <c r="Y147" s="1239"/>
      <c r="Z147" s="1239">
        <v>0.45</v>
      </c>
      <c r="AA147" s="1239"/>
      <c r="AB147" s="1239"/>
      <c r="AC147" s="1239" t="s">
        <v>1421</v>
      </c>
      <c r="AD147" s="1239"/>
      <c r="AE147" s="1239"/>
      <c r="AF147" s="1239">
        <v>200</v>
      </c>
      <c r="AG147" s="171">
        <v>88416</v>
      </c>
      <c r="AH147" s="1239">
        <v>1813</v>
      </c>
      <c r="AI147" s="1239">
        <v>-5600</v>
      </c>
      <c r="AJ147" s="1239"/>
      <c r="AK147" s="638" t="s">
        <v>228</v>
      </c>
      <c r="AL147" s="1239"/>
      <c r="AM147" s="1239"/>
      <c r="AN147" s="455">
        <v>5.5</v>
      </c>
      <c r="AO147" s="1239"/>
      <c r="AP147" s="1239"/>
      <c r="AQ147" s="484"/>
      <c r="AR147" s="484"/>
      <c r="AS147" s="484"/>
      <c r="AT147" s="484">
        <f>+ab($U$147,$T$145,$U$149,$G$146,$G$148, 1*$F$147,1200)</f>
        <v>9.8582201902210596</v>
      </c>
      <c r="AU147" s="638"/>
      <c r="AV147" s="638"/>
      <c r="AW147" s="638"/>
      <c r="AX147" s="638"/>
      <c r="AY147" s="484"/>
      <c r="AZ147" s="484"/>
      <c r="BA147" s="671"/>
      <c r="BB147" s="449"/>
      <c r="BC147" s="169"/>
      <c r="BD147" s="1330"/>
      <c r="BE147" s="1329"/>
      <c r="BF147" s="1330"/>
      <c r="BG147" s="1329"/>
    </row>
    <row r="148" spans="1:59" ht="15.75" customHeight="1">
      <c r="A148" s="449"/>
      <c r="B148" s="447"/>
      <c r="C148" s="446"/>
      <c r="D148" s="448"/>
      <c r="E148" s="448"/>
      <c r="F148" s="448"/>
      <c r="G148" s="484">
        <v>50</v>
      </c>
      <c r="H148" s="1239"/>
      <c r="I148" s="448"/>
      <c r="J148" s="446"/>
      <c r="K148" s="638"/>
      <c r="L148" s="1239"/>
      <c r="M148" s="446"/>
      <c r="N148" s="1239"/>
      <c r="O148" s="1239"/>
      <c r="P148" s="1239"/>
      <c r="Q148" s="1239"/>
      <c r="R148" s="1239"/>
      <c r="S148" s="455">
        <f t="shared" ref="S148" si="68">AG149-AG147</f>
        <v>50</v>
      </c>
      <c r="T148" s="1239"/>
      <c r="U148" s="1239"/>
      <c r="V148" s="1239"/>
      <c r="W148" s="1239"/>
      <c r="X148" s="1239"/>
      <c r="Y148" s="1239"/>
      <c r="Z148" s="1239"/>
      <c r="AA148" s="1239"/>
      <c r="AB148" s="1239"/>
      <c r="AC148" s="1239"/>
      <c r="AD148" s="1239"/>
      <c r="AE148" s="1239"/>
      <c r="AF148" s="1239"/>
      <c r="AG148" s="171"/>
      <c r="AH148" s="1239"/>
      <c r="AI148" s="1239"/>
      <c r="AJ148" s="1239"/>
      <c r="AK148" s="1239"/>
      <c r="AL148" s="1239"/>
      <c r="AM148" s="1239"/>
      <c r="AN148" s="455"/>
      <c r="AO148" s="1239"/>
      <c r="AP148" s="1239"/>
      <c r="AQ148" s="484">
        <f>+FL_1($U$149,$U$147,$G$148,1200,9.28, 1*$F$149)</f>
        <v>0.33477011200000012</v>
      </c>
      <c r="AR148" s="484"/>
      <c r="AS148" s="484"/>
      <c r="AT148" s="484"/>
      <c r="AU148" s="638"/>
      <c r="AV148" s="638"/>
      <c r="AW148" s="638"/>
      <c r="AX148" s="638"/>
      <c r="AY148" s="484"/>
      <c r="AZ148" s="484"/>
      <c r="BA148" s="671"/>
      <c r="BB148" s="449"/>
      <c r="BC148" s="169"/>
      <c r="BD148" s="1330"/>
      <c r="BE148" s="1330"/>
      <c r="BF148" s="1330"/>
      <c r="BG148" s="1330"/>
    </row>
    <row r="149" spans="1:59" s="1436" customFormat="1" ht="15.75" customHeight="1">
      <c r="A149" s="1425"/>
      <c r="B149" s="1450" t="s">
        <v>3100</v>
      </c>
      <c r="C149" s="1427">
        <f>+$C$147+$G$148</f>
        <v>88466.35</v>
      </c>
      <c r="D149" s="1428"/>
      <c r="E149" s="1428"/>
      <c r="F149" s="1428">
        <v>0</v>
      </c>
      <c r="G149" s="1429"/>
      <c r="H149" s="1430" t="s">
        <v>2505</v>
      </c>
      <c r="I149" s="1428"/>
      <c r="J149" s="1427"/>
      <c r="K149" s="1431"/>
      <c r="L149" s="1430"/>
      <c r="M149" s="1427"/>
      <c r="N149" s="1430" t="s">
        <v>844</v>
      </c>
      <c r="O149" s="1430" t="s">
        <v>843</v>
      </c>
      <c r="P149" s="1430"/>
      <c r="Q149" s="1430">
        <v>0</v>
      </c>
      <c r="R149" s="1430">
        <v>0</v>
      </c>
      <c r="S149" s="1432"/>
      <c r="T149" s="1430">
        <v>-15</v>
      </c>
      <c r="U149" s="1430">
        <v>-30</v>
      </c>
      <c r="V149" s="1430"/>
      <c r="W149" s="1430">
        <v>1.4</v>
      </c>
      <c r="X149" s="1430">
        <v>1.8</v>
      </c>
      <c r="Y149" s="1430"/>
      <c r="Z149" s="1430"/>
      <c r="AA149" s="1430"/>
      <c r="AB149" s="1430"/>
      <c r="AC149" s="1430" t="s">
        <v>2773</v>
      </c>
      <c r="AD149" s="1430" t="s">
        <v>1428</v>
      </c>
      <c r="AE149" s="1430"/>
      <c r="AF149" s="1430"/>
      <c r="AG149" s="1433">
        <v>88466</v>
      </c>
      <c r="AH149" s="1430">
        <v>1273</v>
      </c>
      <c r="AI149" s="1430">
        <v>-5564</v>
      </c>
      <c r="AJ149" s="1430"/>
      <c r="AK149" s="1431" t="s">
        <v>228</v>
      </c>
      <c r="AL149" s="1430"/>
      <c r="AM149" s="1430"/>
      <c r="AN149" s="1432">
        <v>5.5</v>
      </c>
      <c r="AO149" s="1430"/>
      <c r="AP149" s="1430"/>
      <c r="AQ149" s="1429"/>
      <c r="AR149" s="1429"/>
      <c r="AS149" s="1429"/>
      <c r="AT149" s="1429">
        <f>+ab($U$149,$U$147,$U$151,$G$148,$G$150, 1*$F$149,1200)</f>
        <v>-10.754028958632119</v>
      </c>
      <c r="AU149" s="1431"/>
      <c r="AV149" s="1431"/>
      <c r="AW149" s="1431"/>
      <c r="AX149" s="1431"/>
      <c r="AY149" s="1429"/>
      <c r="AZ149" s="1429"/>
      <c r="BA149" s="1431"/>
      <c r="BB149" s="1425"/>
      <c r="BC149" s="1434"/>
      <c r="BD149" s="1435"/>
      <c r="BE149" s="1435"/>
      <c r="BF149" s="1435"/>
      <c r="BG149" s="1435"/>
    </row>
    <row r="150" spans="1:59" ht="16.25" customHeight="1">
      <c r="A150" s="449"/>
      <c r="B150" s="447"/>
      <c r="C150" s="446"/>
      <c r="D150" s="448"/>
      <c r="E150" s="448"/>
      <c r="F150" s="448"/>
      <c r="G150" s="484">
        <v>35.5</v>
      </c>
      <c r="H150" s="1239"/>
      <c r="I150" s="448"/>
      <c r="J150" s="446"/>
      <c r="K150" s="638"/>
      <c r="L150" s="1239"/>
      <c r="M150" s="446"/>
      <c r="N150" s="1239"/>
      <c r="O150" s="1239"/>
      <c r="P150" s="1239"/>
      <c r="Q150" s="1239"/>
      <c r="R150" s="1239"/>
      <c r="S150" s="455">
        <f t="shared" ref="S150" si="69">AG151-AG149</f>
        <v>35</v>
      </c>
      <c r="T150" s="1239"/>
      <c r="U150" s="1239"/>
      <c r="V150" s="1239"/>
      <c r="W150" s="1239"/>
      <c r="X150" s="1239"/>
      <c r="Y150" s="1239"/>
      <c r="Z150" s="1239"/>
      <c r="AA150" s="1239"/>
      <c r="AB150" s="1239"/>
      <c r="AC150" s="1239"/>
      <c r="AD150" s="1239"/>
      <c r="AE150" s="1239"/>
      <c r="AF150" s="1239"/>
      <c r="AG150" s="171"/>
      <c r="AH150" s="1239"/>
      <c r="AI150" s="1239"/>
      <c r="AJ150" s="1239"/>
      <c r="AK150" s="1239" t="s">
        <v>4898</v>
      </c>
      <c r="AL150" s="1239"/>
      <c r="AM150" s="1239"/>
      <c r="AN150" s="455"/>
      <c r="AO150" s="1239"/>
      <c r="AP150" s="1239"/>
      <c r="AQ150" s="484">
        <f>+FL_2($U$151,$U$149,$G$150,1200,9.28, 1*$F$151)</f>
        <v>-0.34234553720187788</v>
      </c>
      <c r="AR150" s="484"/>
      <c r="AS150" s="484"/>
      <c r="AT150" s="484"/>
      <c r="AU150" s="638"/>
      <c r="AV150" s="638"/>
      <c r="AW150" s="638"/>
      <c r="AX150" s="638"/>
      <c r="AY150" s="484"/>
      <c r="AZ150" s="484"/>
      <c r="BA150" s="671"/>
      <c r="BB150" s="449"/>
      <c r="BC150" s="169"/>
      <c r="BD150" s="1330"/>
      <c r="BE150" s="1330"/>
      <c r="BF150" s="1330"/>
      <c r="BG150" s="1330"/>
    </row>
    <row r="151" spans="1:59" ht="15.75" customHeight="1">
      <c r="A151" s="449"/>
      <c r="B151" s="582" t="s">
        <v>3101</v>
      </c>
      <c r="C151" s="446">
        <f>+$C$149+$G$150</f>
        <v>88501.85</v>
      </c>
      <c r="D151" s="448"/>
      <c r="E151" s="448"/>
      <c r="F151" s="448">
        <v>0</v>
      </c>
      <c r="G151" s="484"/>
      <c r="H151" s="1239" t="s">
        <v>619</v>
      </c>
      <c r="I151" s="448"/>
      <c r="J151" s="446"/>
      <c r="K151" s="638"/>
      <c r="L151" s="1239"/>
      <c r="M151" s="446"/>
      <c r="N151" s="1239" t="s">
        <v>845</v>
      </c>
      <c r="O151" s="580" t="s">
        <v>843</v>
      </c>
      <c r="P151" s="1239"/>
      <c r="Q151" s="1239"/>
      <c r="R151" s="1239"/>
      <c r="S151" s="455"/>
      <c r="T151" s="1239">
        <v>-55</v>
      </c>
      <c r="U151" s="1239">
        <v>-10</v>
      </c>
      <c r="V151" s="1239"/>
      <c r="W151" s="1239">
        <v>1.8</v>
      </c>
      <c r="X151" s="1239">
        <v>1.4</v>
      </c>
      <c r="Y151" s="1239"/>
      <c r="Z151" s="1239">
        <v>0.4</v>
      </c>
      <c r="AA151" s="1239"/>
      <c r="AB151" s="1239"/>
      <c r="AC151" s="1239" t="str">
        <f>IF(OR(AT151&gt;8,AT151&lt;-8),"PH",IF(OR(AT151&gt;5,AT151&lt;-5),"PH-Q",IF(OR(AT151&gt;1,AT151&lt;-1),"PH-C")))</f>
        <v>PH</v>
      </c>
      <c r="AD151" s="1239"/>
      <c r="AE151" s="1239"/>
      <c r="AF151" s="1239"/>
      <c r="AG151" s="171">
        <v>88501</v>
      </c>
      <c r="AH151" s="1239"/>
      <c r="AI151" s="1239"/>
      <c r="AJ151" s="1239"/>
      <c r="AK151" s="638" t="s">
        <v>228</v>
      </c>
      <c r="AL151" s="1239"/>
      <c r="AM151" s="1239"/>
      <c r="AN151" s="455">
        <v>5.5</v>
      </c>
      <c r="AO151" s="1239"/>
      <c r="AP151" s="1239"/>
      <c r="AQ151" s="484"/>
      <c r="AR151" s="484"/>
      <c r="AS151" s="484"/>
      <c r="AT151" s="484">
        <f>+ab($U$151,$U$149,$U$153,$G$150,$G$152, 1*$F$151,1200)</f>
        <v>11.92316248939901</v>
      </c>
      <c r="AU151" s="638"/>
      <c r="AV151" s="638"/>
      <c r="AW151" s="638"/>
      <c r="AX151" s="638"/>
      <c r="AY151" s="484"/>
      <c r="AZ151" s="484"/>
      <c r="BA151" s="671"/>
      <c r="BB151" s="449"/>
      <c r="BC151" s="169"/>
      <c r="BD151" s="1330"/>
      <c r="BE151" s="1329"/>
      <c r="BF151" s="1330"/>
      <c r="BG151" s="1329"/>
    </row>
    <row r="152" spans="1:59" ht="15.75" customHeight="1">
      <c r="A152" s="449"/>
      <c r="B152" s="447"/>
      <c r="C152" s="446"/>
      <c r="D152" s="448"/>
      <c r="E152" s="448"/>
      <c r="F152" s="448"/>
      <c r="G152" s="484">
        <v>44</v>
      </c>
      <c r="H152" s="1239"/>
      <c r="I152" s="448"/>
      <c r="J152" s="446"/>
      <c r="K152" s="638"/>
      <c r="L152" s="1239"/>
      <c r="M152" s="446"/>
      <c r="N152" s="1239"/>
      <c r="O152" s="1239"/>
      <c r="P152" s="1239"/>
      <c r="Q152" s="1239"/>
      <c r="R152" s="1239"/>
      <c r="S152" s="455">
        <f t="shared" ref="S152" si="70">AG153-AG151</f>
        <v>44</v>
      </c>
      <c r="T152" s="1239"/>
      <c r="U152" s="1239"/>
      <c r="V152" s="1239"/>
      <c r="W152" s="1239"/>
      <c r="X152" s="1239"/>
      <c r="Y152" s="1239"/>
      <c r="Z152" s="1239"/>
      <c r="AA152" s="1239"/>
      <c r="AB152" s="1239"/>
      <c r="AC152" s="1239"/>
      <c r="AD152" s="1239"/>
      <c r="AE152" s="1239"/>
      <c r="AF152" s="1239"/>
      <c r="AG152" s="171"/>
      <c r="AH152" s="1239"/>
      <c r="AI152" s="1239"/>
      <c r="AJ152" s="1239"/>
      <c r="AK152" s="1239"/>
      <c r="AL152" s="1239"/>
      <c r="AM152" s="1239"/>
      <c r="AN152" s="455"/>
      <c r="AO152" s="1239"/>
      <c r="AP152" s="1239"/>
      <c r="AQ152" s="484">
        <f>+FL_2(-$U$153,$U$151,$G$152,1200,9.28, 1*$F$153)</f>
        <v>-0.10324589090909091</v>
      </c>
      <c r="AR152" s="484"/>
      <c r="AS152" s="484"/>
      <c r="AT152" s="484"/>
      <c r="AU152" s="638"/>
      <c r="AV152" s="638"/>
      <c r="AW152" s="638"/>
      <c r="AX152" s="638"/>
      <c r="AY152" s="484"/>
      <c r="AZ152" s="484"/>
      <c r="BA152" s="671"/>
      <c r="BB152" s="449"/>
      <c r="BC152" s="169"/>
      <c r="BD152" s="1330"/>
      <c r="BE152" s="1330"/>
      <c r="BF152" s="1330"/>
      <c r="BG152" s="1330"/>
    </row>
    <row r="153" spans="1:59" s="1436" customFormat="1" ht="15.75" customHeight="1">
      <c r="A153" s="1425" t="s">
        <v>3132</v>
      </c>
      <c r="B153" s="1450" t="s">
        <v>3102</v>
      </c>
      <c r="C153" s="1427">
        <f>+$C$151+$G$152</f>
        <v>88545.85</v>
      </c>
      <c r="D153" s="1428"/>
      <c r="E153" s="1428"/>
      <c r="F153" s="1428">
        <v>0</v>
      </c>
      <c r="G153" s="1429"/>
      <c r="H153" s="1430" t="s">
        <v>619</v>
      </c>
      <c r="I153" s="1428" t="s">
        <v>1429</v>
      </c>
      <c r="J153" s="1427"/>
      <c r="K153" s="1431"/>
      <c r="L153" s="1430"/>
      <c r="M153" s="1427"/>
      <c r="N153" s="1430" t="s">
        <v>843</v>
      </c>
      <c r="O153" s="1430" t="s">
        <v>845</v>
      </c>
      <c r="P153" s="1430"/>
      <c r="Q153" s="1430">
        <v>0</v>
      </c>
      <c r="R153" s="1430">
        <v>0</v>
      </c>
      <c r="S153" s="1432"/>
      <c r="T153" s="1430">
        <v>-10</v>
      </c>
      <c r="U153" s="1430">
        <v>-55</v>
      </c>
      <c r="V153" s="1430"/>
      <c r="W153" s="1430">
        <v>1.4</v>
      </c>
      <c r="X153" s="1430">
        <v>1.8</v>
      </c>
      <c r="Y153" s="1430"/>
      <c r="Z153" s="1430"/>
      <c r="AA153" s="1430">
        <v>0.4</v>
      </c>
      <c r="AB153" s="1430"/>
      <c r="AC153" s="1430" t="str">
        <f>IF(OR(AT153&gt;8,AT153&lt;-8),"PH",IF(OR(AT153&gt;5,AT153&lt;-5),"PH-Q",IF(OR(AT153&gt;1,AT153&lt;-1),"PH-C")))</f>
        <v>PH</v>
      </c>
      <c r="AD153" s="1430"/>
      <c r="AE153" s="1430"/>
      <c r="AF153" s="1430"/>
      <c r="AG153" s="1433">
        <v>88545</v>
      </c>
      <c r="AH153" s="1430">
        <v>1783</v>
      </c>
      <c r="AI153" s="1430">
        <v>-5695</v>
      </c>
      <c r="AJ153" s="1431" t="s">
        <v>2154</v>
      </c>
      <c r="AK153" s="1431" t="s">
        <v>228</v>
      </c>
      <c r="AL153" s="1430"/>
      <c r="AM153" s="1430"/>
      <c r="AN153" s="1432">
        <v>5.5</v>
      </c>
      <c r="AO153" s="1430"/>
      <c r="AP153" s="1430"/>
      <c r="AQ153" s="1429"/>
      <c r="AR153" s="1429"/>
      <c r="AS153" s="1429"/>
      <c r="AT153" s="1429">
        <f>+ab(-$T$153,$T$151,$T$155,$G$152,$G$154, 1*$F$153,1200)</f>
        <v>8.6310351532973009</v>
      </c>
      <c r="AU153" s="1431"/>
      <c r="AV153" s="1431"/>
      <c r="AW153" s="1431"/>
      <c r="AX153" s="1431"/>
      <c r="AY153" s="1429"/>
      <c r="AZ153" s="1429"/>
      <c r="BA153" s="1431"/>
      <c r="BB153" s="1425"/>
      <c r="BC153" s="1434"/>
      <c r="BD153" s="1435"/>
      <c r="BE153" s="1435"/>
      <c r="BF153" s="1435"/>
      <c r="BG153" s="1435"/>
    </row>
    <row r="154" spans="1:59" ht="15.75" customHeight="1">
      <c r="A154" s="449"/>
      <c r="B154" s="447"/>
      <c r="C154" s="446"/>
      <c r="D154" s="448"/>
      <c r="E154" s="448"/>
      <c r="F154" s="448"/>
      <c r="G154" s="484">
        <v>48</v>
      </c>
      <c r="H154" s="1239"/>
      <c r="I154" s="448"/>
      <c r="J154" s="446"/>
      <c r="K154" s="638"/>
      <c r="L154" s="1239"/>
      <c r="M154" s="446"/>
      <c r="N154" s="1239"/>
      <c r="O154" s="1239"/>
      <c r="P154" s="1239"/>
      <c r="Q154" s="1239"/>
      <c r="R154" s="1239"/>
      <c r="S154" s="455">
        <f t="shared" ref="S154" si="71">AG155-AG153</f>
        <v>48</v>
      </c>
      <c r="T154" s="1239"/>
      <c r="U154" s="1239"/>
      <c r="V154" s="1239"/>
      <c r="W154" s="1239"/>
      <c r="X154" s="1239"/>
      <c r="Y154" s="1239"/>
      <c r="Z154" s="1239"/>
      <c r="AA154" s="1239"/>
      <c r="AB154" s="1239"/>
      <c r="AC154" s="1239"/>
      <c r="AD154" s="1239"/>
      <c r="AE154" s="1239"/>
      <c r="AF154" s="1239"/>
      <c r="AG154" s="171"/>
      <c r="AH154" s="1239"/>
      <c r="AI154" s="1239"/>
      <c r="AJ154" s="1239"/>
      <c r="AK154" s="1239"/>
      <c r="AL154" s="1239"/>
      <c r="AM154" s="1239"/>
      <c r="AN154" s="455"/>
      <c r="AO154" s="1239"/>
      <c r="AP154" s="1239"/>
      <c r="AQ154" s="484">
        <f>+FL_2($T$155,$T$153,-$G$154,1200,9.28, 1*$F$155)</f>
        <v>-0.25</v>
      </c>
      <c r="AR154" s="484"/>
      <c r="AS154" s="484"/>
      <c r="AT154" s="484"/>
      <c r="AU154" s="638"/>
      <c r="AV154" s="638"/>
      <c r="AW154" s="638"/>
      <c r="AX154" s="638"/>
      <c r="AY154" s="484"/>
      <c r="AZ154" s="484"/>
      <c r="BA154" s="671"/>
      <c r="BB154" s="449"/>
      <c r="BC154" s="169"/>
      <c r="BD154" s="1330"/>
      <c r="BE154" s="1330"/>
      <c r="BF154" s="1330"/>
      <c r="BG154" s="1330"/>
    </row>
    <row r="155" spans="1:59" s="1462" customFormat="1" ht="15.75" customHeight="1">
      <c r="A155" s="1451"/>
      <c r="B155" s="1452" t="s">
        <v>3103</v>
      </c>
      <c r="C155" s="1453">
        <f>+$C$153+$G$154</f>
        <v>88593.85</v>
      </c>
      <c r="D155" s="1454"/>
      <c r="E155" s="1454"/>
      <c r="F155" s="1454">
        <v>0</v>
      </c>
      <c r="G155" s="1455"/>
      <c r="H155" s="1456"/>
      <c r="I155" s="1454"/>
      <c r="J155" s="1453"/>
      <c r="K155" s="1457"/>
      <c r="L155" s="1456"/>
      <c r="M155" s="1453"/>
      <c r="N155" s="1456" t="s">
        <v>843</v>
      </c>
      <c r="O155" s="1456"/>
      <c r="P155" s="1456"/>
      <c r="Q155" s="1456">
        <v>0</v>
      </c>
      <c r="R155" s="1456">
        <v>0</v>
      </c>
      <c r="S155" s="1458"/>
      <c r="T155" s="1456">
        <v>-25</v>
      </c>
      <c r="U155" s="1456"/>
      <c r="V155" s="1456"/>
      <c r="W155" s="1456">
        <v>1.4</v>
      </c>
      <c r="X155" s="1456"/>
      <c r="Y155" s="1456"/>
      <c r="Z155" s="1456"/>
      <c r="AA155" s="1456"/>
      <c r="AB155" s="1456"/>
      <c r="AC155" s="1456" t="str">
        <f>IF(OR(AT155&gt;8,AT155&lt;-8),"PH950",IF(OR(AT155&gt;5,AT155&lt;-5),"PH-Q",IF(OR(AT155&gt;1,AT155&lt;-1),"PH-C")))</f>
        <v>PH950</v>
      </c>
      <c r="AD155" s="1456"/>
      <c r="AE155" s="1456"/>
      <c r="AF155" s="1456">
        <v>200</v>
      </c>
      <c r="AG155" s="1459">
        <v>88593</v>
      </c>
      <c r="AH155" s="1456">
        <v>1863</v>
      </c>
      <c r="AI155" s="1456">
        <v>-5641</v>
      </c>
      <c r="AJ155" s="1456"/>
      <c r="AK155" s="1456" t="s">
        <v>139</v>
      </c>
      <c r="AL155" s="1457"/>
      <c r="AM155" s="1456"/>
      <c r="AN155" s="1458">
        <v>5.5</v>
      </c>
      <c r="AO155" s="1456"/>
      <c r="AP155" s="1456"/>
      <c r="AQ155" s="1455"/>
      <c r="AR155" s="1455"/>
      <c r="AS155" s="1455"/>
      <c r="AT155" s="1455">
        <f>+ab($T$155,-$T$153,$T$157,$G$154,$G$156, 1*$F$155,1200)</f>
        <v>-8.2027492337931207</v>
      </c>
      <c r="AU155" s="1457"/>
      <c r="AV155" s="1457"/>
      <c r="AW155" s="1457"/>
      <c r="AX155" s="1457"/>
      <c r="AY155" s="1455"/>
      <c r="AZ155" s="1455"/>
      <c r="BA155" s="1457"/>
      <c r="BB155" s="1451"/>
      <c r="BC155" s="1460"/>
      <c r="BD155" s="1461"/>
      <c r="BE155" s="1461"/>
      <c r="BF155" s="1461"/>
      <c r="BG155" s="1461"/>
    </row>
    <row r="156" spans="1:59" ht="15.75" customHeight="1">
      <c r="A156" s="449"/>
      <c r="B156" s="447"/>
      <c r="C156" s="446"/>
      <c r="D156" s="448"/>
      <c r="E156" s="448"/>
      <c r="F156" s="448"/>
      <c r="G156" s="484">
        <v>34.5</v>
      </c>
      <c r="H156" s="1239"/>
      <c r="I156" s="448"/>
      <c r="J156" s="446"/>
      <c r="K156" s="638"/>
      <c r="L156" s="1239"/>
      <c r="M156" s="446"/>
      <c r="N156" s="1239"/>
      <c r="O156" s="1239"/>
      <c r="P156" s="1239"/>
      <c r="Q156" s="1239"/>
      <c r="R156" s="1239"/>
      <c r="S156" s="455">
        <f t="shared" ref="S156" si="72">AG157-AG155</f>
        <v>35</v>
      </c>
      <c r="T156" s="1239"/>
      <c r="U156" s="1239"/>
      <c r="V156" s="1239"/>
      <c r="W156" s="1239"/>
      <c r="X156" s="1239"/>
      <c r="Y156" s="1239"/>
      <c r="Z156" s="1239"/>
      <c r="AA156" s="1239"/>
      <c r="AB156" s="1239"/>
      <c r="AC156" s="1239"/>
      <c r="AD156" s="1239"/>
      <c r="AE156" s="1239"/>
      <c r="AF156" s="1239"/>
      <c r="AG156" s="171"/>
      <c r="AH156" s="1239"/>
      <c r="AI156" s="1239"/>
      <c r="AJ156" s="1239"/>
      <c r="AK156" s="1239"/>
      <c r="AL156" s="1239"/>
      <c r="AM156" s="1239"/>
      <c r="AN156" s="455"/>
      <c r="AO156" s="1239"/>
      <c r="AP156" s="1239"/>
      <c r="AQ156" s="484">
        <f>+FL_1($T$157,$T$155,$G$156,1200,9.28, 1*$F$157)</f>
        <v>0.3</v>
      </c>
      <c r="AR156" s="484"/>
      <c r="AS156" s="484"/>
      <c r="AT156" s="484"/>
      <c r="AU156" s="638"/>
      <c r="AV156" s="638"/>
      <c r="AW156" s="638"/>
      <c r="AX156" s="638"/>
      <c r="AY156" s="484"/>
      <c r="AZ156" s="484"/>
      <c r="BA156" s="671"/>
      <c r="BB156" s="449"/>
      <c r="BC156" s="169"/>
      <c r="BD156" s="1330"/>
      <c r="BE156" s="1330"/>
      <c r="BF156" s="1330"/>
      <c r="BG156" s="1330"/>
    </row>
    <row r="157" spans="1:59" s="1474" customFormat="1" ht="15.75" customHeight="1">
      <c r="A157" s="1463"/>
      <c r="B157" s="1464" t="s">
        <v>3104</v>
      </c>
      <c r="C157" s="1465">
        <f>+$C$155+$G$156</f>
        <v>88628.35</v>
      </c>
      <c r="D157" s="1466"/>
      <c r="E157" s="1466"/>
      <c r="F157" s="1466">
        <v>0</v>
      </c>
      <c r="G157" s="1467"/>
      <c r="H157" s="1468"/>
      <c r="I157" s="1466"/>
      <c r="J157" s="1465"/>
      <c r="K157" s="1469"/>
      <c r="L157" s="1468"/>
      <c r="M157" s="1465"/>
      <c r="N157" s="1468" t="s">
        <v>844</v>
      </c>
      <c r="O157" s="1468"/>
      <c r="P157" s="1468"/>
      <c r="Q157" s="1468">
        <v>0</v>
      </c>
      <c r="R157" s="1468">
        <v>0</v>
      </c>
      <c r="S157" s="1470"/>
      <c r="T157" s="1468">
        <v>30</v>
      </c>
      <c r="U157" s="1468"/>
      <c r="V157" s="1468"/>
      <c r="W157" s="1468">
        <v>1.4</v>
      </c>
      <c r="X157" s="1468"/>
      <c r="Y157" s="1468"/>
      <c r="Z157" s="1468"/>
      <c r="AA157" s="1468"/>
      <c r="AB157" s="1468"/>
      <c r="AC157" s="1468" t="str">
        <f>IF(OR(AT157&gt;8,AT157&lt;-8),"PH950",IF(OR(AT157&gt;5,AT157&lt;-5),"PH-Q",IF(OR(AT157&gt;1,AT157&lt;-1),"PH-C")))</f>
        <v>PH950</v>
      </c>
      <c r="AD157" s="1468"/>
      <c r="AE157" s="1468"/>
      <c r="AF157" s="1468">
        <v>100</v>
      </c>
      <c r="AG157" s="1471">
        <v>88628</v>
      </c>
      <c r="AH157" s="1468">
        <v>1813</v>
      </c>
      <c r="AI157" s="1468">
        <v>-5541</v>
      </c>
      <c r="AJ157" s="1468"/>
      <c r="AK157" s="1468" t="s">
        <v>139</v>
      </c>
      <c r="AL157" s="1469"/>
      <c r="AM157" s="1468"/>
      <c r="AN157" s="1470">
        <v>5.5</v>
      </c>
      <c r="AO157" s="1468"/>
      <c r="AP157" s="1468"/>
      <c r="AQ157" s="1467"/>
      <c r="AR157" s="1467"/>
      <c r="AS157" s="1467"/>
      <c r="AT157" s="1467">
        <f>+ab($T$157,$T$155,-$U$159,$G$156,$G$158, 1*$F$157,1200)</f>
        <v>11.864337107050675</v>
      </c>
      <c r="AU157" s="1469"/>
      <c r="AV157" s="1469"/>
      <c r="AW157" s="1469"/>
      <c r="AX157" s="1469"/>
      <c r="AY157" s="1467"/>
      <c r="AZ157" s="1467"/>
      <c r="BA157" s="1469"/>
      <c r="BB157" s="1463"/>
      <c r="BC157" s="1472"/>
      <c r="BD157" s="1473"/>
      <c r="BE157" s="1473"/>
      <c r="BF157" s="1473"/>
      <c r="BG157" s="1473"/>
    </row>
    <row r="158" spans="1:59" ht="15.75" customHeight="1">
      <c r="A158" s="449"/>
      <c r="B158" s="447"/>
      <c r="C158" s="446"/>
      <c r="D158" s="448"/>
      <c r="E158" s="448"/>
      <c r="F158" s="448"/>
      <c r="G158" s="484">
        <v>45</v>
      </c>
      <c r="H158" s="1239"/>
      <c r="I158" s="448"/>
      <c r="J158" s="446"/>
      <c r="K158" s="638"/>
      <c r="L158" s="1239"/>
      <c r="M158" s="446"/>
      <c r="N158" s="1239"/>
      <c r="O158" s="1239"/>
      <c r="P158" s="1239"/>
      <c r="Q158" s="1239"/>
      <c r="R158" s="1239"/>
      <c r="S158" s="455">
        <f t="shared" ref="S158" si="73">AG159-AG157</f>
        <v>45</v>
      </c>
      <c r="T158" s="1239"/>
      <c r="U158" s="1239"/>
      <c r="V158" s="1239"/>
      <c r="W158" s="1239"/>
      <c r="X158" s="1239"/>
      <c r="Y158" s="1239"/>
      <c r="Z158" s="1239"/>
      <c r="AA158" s="1239"/>
      <c r="AB158" s="1239"/>
      <c r="AC158" s="1239"/>
      <c r="AD158" s="1239"/>
      <c r="AE158" s="1239"/>
      <c r="AF158" s="1239"/>
      <c r="AG158" s="171"/>
      <c r="AH158" s="1239"/>
      <c r="AI158" s="1239"/>
      <c r="AJ158" s="1239"/>
      <c r="AK158" s="1239"/>
      <c r="AL158" s="1239"/>
      <c r="AM158" s="1239"/>
      <c r="AN158" s="455"/>
      <c r="AO158" s="1239"/>
      <c r="AP158" s="1239"/>
      <c r="AQ158" s="484">
        <f>+FL_2(-$U$159,$T$157,$G$158,1200,9.28, 1*$F$159)</f>
        <v>0.10425000000000001</v>
      </c>
      <c r="AR158" s="484"/>
      <c r="AS158" s="484"/>
      <c r="AT158" s="484"/>
      <c r="AU158" s="638"/>
      <c r="AV158" s="638"/>
      <c r="AW158" s="638"/>
      <c r="AX158" s="638"/>
      <c r="AY158" s="484"/>
      <c r="AZ158" s="484"/>
      <c r="BA158" s="671"/>
      <c r="BB158" s="449"/>
      <c r="BC158" s="169"/>
      <c r="BD158" s="1330"/>
      <c r="BE158" s="1330"/>
      <c r="BF158" s="1330"/>
      <c r="BG158" s="1330"/>
    </row>
    <row r="159" spans="1:59" s="1474" customFormat="1" ht="15.75" customHeight="1">
      <c r="A159" s="1463"/>
      <c r="B159" s="1464" t="s">
        <v>3105</v>
      </c>
      <c r="C159" s="1465">
        <f>+$C$157+$G$158</f>
        <v>88673.35</v>
      </c>
      <c r="D159" s="1466"/>
      <c r="E159" s="1466"/>
      <c r="F159" s="1466">
        <v>0</v>
      </c>
      <c r="G159" s="1467"/>
      <c r="H159" s="1468" t="s">
        <v>2818</v>
      </c>
      <c r="I159" s="1466"/>
      <c r="J159" s="1465"/>
      <c r="K159" s="1469"/>
      <c r="L159" s="1468"/>
      <c r="M159" s="1465"/>
      <c r="N159" s="1468" t="s">
        <v>845</v>
      </c>
      <c r="O159" s="1468" t="s">
        <v>843</v>
      </c>
      <c r="P159" s="1468" t="s">
        <v>844</v>
      </c>
      <c r="Q159" s="1468">
        <v>0</v>
      </c>
      <c r="R159" s="1468">
        <v>0</v>
      </c>
      <c r="S159" s="1470"/>
      <c r="T159" s="1468">
        <v>-45</v>
      </c>
      <c r="U159" s="1468">
        <v>-30</v>
      </c>
      <c r="V159" s="1468">
        <v>-15</v>
      </c>
      <c r="W159" s="1468">
        <v>2</v>
      </c>
      <c r="X159" s="1468">
        <v>1.8</v>
      </c>
      <c r="Y159" s="1468">
        <v>1.4</v>
      </c>
      <c r="Z159" s="1468">
        <v>0.45</v>
      </c>
      <c r="AA159" s="1468"/>
      <c r="AB159" s="1468"/>
      <c r="AC159" s="1468"/>
      <c r="AD159" s="1468" t="s">
        <v>1428</v>
      </c>
      <c r="AE159" s="1468" t="s">
        <v>2773</v>
      </c>
      <c r="AF159" s="1468"/>
      <c r="AG159" s="1471">
        <v>88673</v>
      </c>
      <c r="AH159" s="1468">
        <v>1323</v>
      </c>
      <c r="AI159" s="1468">
        <v>-5625</v>
      </c>
      <c r="AJ159" s="1468"/>
      <c r="AK159" s="1468" t="s">
        <v>3133</v>
      </c>
      <c r="AL159" s="1468"/>
      <c r="AM159" s="1468"/>
      <c r="AN159" s="1470">
        <v>5.5</v>
      </c>
      <c r="AO159" s="1468"/>
      <c r="AP159" s="1468"/>
      <c r="AQ159" s="1467"/>
      <c r="AR159" s="1467"/>
      <c r="AS159" s="1467"/>
      <c r="AT159" s="1467">
        <f>+ab($U$159,$T$157,$U$161,$G$158,$G$160, 1*$F$159,1200)</f>
        <v>-8.1796886896436902</v>
      </c>
      <c r="AU159" s="1469"/>
      <c r="AV159" s="1469"/>
      <c r="AW159" s="1469"/>
      <c r="AX159" s="1469"/>
      <c r="AY159" s="1467"/>
      <c r="AZ159" s="1467"/>
      <c r="BA159" s="1469"/>
      <c r="BB159" s="1463"/>
      <c r="BC159" s="1472"/>
      <c r="BD159" s="1473"/>
      <c r="BE159" s="1473"/>
      <c r="BF159" s="1473"/>
      <c r="BG159" s="1473"/>
    </row>
    <row r="160" spans="1:59" ht="15.75" customHeight="1">
      <c r="A160" s="449"/>
      <c r="B160" s="447"/>
      <c r="C160" s="446"/>
      <c r="D160" s="448"/>
      <c r="E160" s="448"/>
      <c r="F160" s="448"/>
      <c r="G160" s="484">
        <v>60.2</v>
      </c>
      <c r="H160" s="1239"/>
      <c r="I160" s="448"/>
      <c r="J160" s="446"/>
      <c r="K160" s="638"/>
      <c r="L160" s="1239"/>
      <c r="M160" s="446"/>
      <c r="N160" s="1239"/>
      <c r="O160" s="1239"/>
      <c r="P160" s="1239"/>
      <c r="Q160" s="1239"/>
      <c r="R160" s="1239"/>
      <c r="S160" s="455">
        <f t="shared" ref="S160" si="74">AG161-AG159</f>
        <v>60</v>
      </c>
      <c r="T160" s="1239"/>
      <c r="U160" s="1239"/>
      <c r="V160" s="1239"/>
      <c r="W160" s="1239"/>
      <c r="X160" s="1239"/>
      <c r="Y160" s="1239"/>
      <c r="Z160" s="1239"/>
      <c r="AA160" s="1239"/>
      <c r="AB160" s="1239"/>
      <c r="AC160" s="1239"/>
      <c r="AD160" s="1239"/>
      <c r="AE160" s="1239"/>
      <c r="AF160" s="1239"/>
      <c r="AG160" s="171"/>
      <c r="AH160" s="1239"/>
      <c r="AI160" s="1239"/>
      <c r="AJ160" s="1239"/>
      <c r="AK160" s="1239"/>
      <c r="AL160" s="1239"/>
      <c r="AM160" s="1239"/>
      <c r="AN160" s="455"/>
      <c r="AO160" s="1239"/>
      <c r="AP160" s="1239"/>
      <c r="AQ160" s="484">
        <f>+FL_2($U$161,$U$159,$G$160,1200,9.28, 1*$F$161)</f>
        <v>-0.41455014879734209</v>
      </c>
      <c r="AR160" s="484"/>
      <c r="AS160" s="484"/>
      <c r="AT160" s="484"/>
      <c r="AU160" s="638"/>
      <c r="AV160" s="638"/>
      <c r="AW160" s="638"/>
      <c r="AX160" s="638"/>
      <c r="AY160" s="484"/>
      <c r="AZ160" s="484"/>
      <c r="BA160" s="671"/>
      <c r="BB160" s="449"/>
      <c r="BC160" s="169"/>
      <c r="BD160" s="1330"/>
      <c r="BE160" s="1330"/>
      <c r="BF160" s="1330"/>
      <c r="BG160" s="1330"/>
    </row>
    <row r="161" spans="1:59" s="1474" customFormat="1" ht="15.75" customHeight="1">
      <c r="A161" s="1463"/>
      <c r="B161" s="1464" t="s">
        <v>3106</v>
      </c>
      <c r="C161" s="1465">
        <f>+$C$159+$G$160</f>
        <v>88733.55</v>
      </c>
      <c r="D161" s="1466"/>
      <c r="E161" s="1466"/>
      <c r="F161" s="1466">
        <v>0</v>
      </c>
      <c r="G161" s="1467"/>
      <c r="H161" s="1468" t="s">
        <v>2818</v>
      </c>
      <c r="I161" s="1466"/>
      <c r="J161" s="1465"/>
      <c r="K161" s="1469"/>
      <c r="L161" s="1468"/>
      <c r="M161" s="1465"/>
      <c r="N161" s="1468" t="s">
        <v>843</v>
      </c>
      <c r="O161" s="1468" t="s">
        <v>844</v>
      </c>
      <c r="P161" s="1468" t="s">
        <v>845</v>
      </c>
      <c r="Q161" s="1468">
        <v>0</v>
      </c>
      <c r="R161" s="1468">
        <v>0</v>
      </c>
      <c r="S161" s="1470"/>
      <c r="T161" s="1468">
        <v>15</v>
      </c>
      <c r="U161" s="1468">
        <v>30</v>
      </c>
      <c r="V161" s="1468">
        <v>45</v>
      </c>
      <c r="W161" s="1468">
        <v>2.2999999999999998</v>
      </c>
      <c r="X161" s="1468">
        <v>1.8</v>
      </c>
      <c r="Y161" s="1468">
        <v>1.4</v>
      </c>
      <c r="Z161" s="1468"/>
      <c r="AA161" s="1468"/>
      <c r="AB161" s="1468">
        <v>0.45</v>
      </c>
      <c r="AC161" s="1468" t="s">
        <v>1428</v>
      </c>
      <c r="AD161" s="1468" t="s">
        <v>2773</v>
      </c>
      <c r="AE161" s="1468"/>
      <c r="AF161" s="1468"/>
      <c r="AG161" s="1471">
        <v>88733</v>
      </c>
      <c r="AH161" s="1468">
        <v>1793</v>
      </c>
      <c r="AI161" s="1468">
        <v>-5524</v>
      </c>
      <c r="AJ161" s="1468"/>
      <c r="AK161" s="1468" t="s">
        <v>3133</v>
      </c>
      <c r="AL161" s="1469"/>
      <c r="AM161" s="1468"/>
      <c r="AN161" s="1470">
        <v>5.5</v>
      </c>
      <c r="AO161" s="1468"/>
      <c r="AP161" s="1468"/>
      <c r="AQ161" s="1467"/>
      <c r="AR161" s="1467"/>
      <c r="AS161" s="1467"/>
      <c r="AT161" s="1467">
        <f>+ab($U$161,$U$159,$U$163,$G$160,$G$162, 1*$F$161,1200)</f>
        <v>9.0198017356602858</v>
      </c>
      <c r="AU161" s="1469"/>
      <c r="AV161" s="1469"/>
      <c r="AW161" s="1469"/>
      <c r="AX161" s="1469"/>
      <c r="AY161" s="1467"/>
      <c r="AZ161" s="1467"/>
      <c r="BA161" s="1469"/>
      <c r="BB161" s="1463"/>
      <c r="BC161" s="1472"/>
      <c r="BD161" s="1473"/>
      <c r="BE161" s="1473"/>
      <c r="BF161" s="1473"/>
      <c r="BG161" s="1473"/>
    </row>
    <row r="162" spans="1:59" ht="15.75" customHeight="1">
      <c r="A162" s="449"/>
      <c r="B162" s="447"/>
      <c r="C162" s="446"/>
      <c r="D162" s="448"/>
      <c r="E162" s="448"/>
      <c r="F162" s="448"/>
      <c r="G162" s="484">
        <v>53.9</v>
      </c>
      <c r="H162" s="1239"/>
      <c r="I162" s="448"/>
      <c r="J162" s="446"/>
      <c r="K162" s="638"/>
      <c r="L162" s="1239"/>
      <c r="M162" s="446"/>
      <c r="N162" s="1239"/>
      <c r="O162" s="1239"/>
      <c r="P162" s="1239"/>
      <c r="Q162" s="1239"/>
      <c r="R162" s="1239"/>
      <c r="S162" s="455">
        <f t="shared" ref="S162" si="75">AG163-AG161</f>
        <v>54</v>
      </c>
      <c r="T162" s="1239"/>
      <c r="U162" s="1239"/>
      <c r="V162" s="1239"/>
      <c r="W162" s="1239"/>
      <c r="X162" s="1239"/>
      <c r="Y162" s="1239"/>
      <c r="Z162" s="1239"/>
      <c r="AA162" s="1239"/>
      <c r="AB162" s="1239"/>
      <c r="AC162" s="1239"/>
      <c r="AD162" s="1239"/>
      <c r="AE162" s="1239"/>
      <c r="AF162" s="1239"/>
      <c r="AG162" s="171"/>
      <c r="AH162" s="1239"/>
      <c r="AI162" s="1239"/>
      <c r="AJ162" s="1239"/>
      <c r="AK162" s="1239"/>
      <c r="AL162" s="1239"/>
      <c r="AM162" s="1239"/>
      <c r="AN162" s="455"/>
      <c r="AO162" s="1239"/>
      <c r="AP162" s="1239"/>
      <c r="AQ162" s="484">
        <f>+FL_1($U$163,$U$161,$G$162,1200,9.28, 1*$F$163)</f>
        <v>0.36095461675695739</v>
      </c>
      <c r="AR162" s="484"/>
      <c r="AS162" s="484"/>
      <c r="AT162" s="484"/>
      <c r="AU162" s="638"/>
      <c r="AV162" s="638"/>
      <c r="AW162" s="638"/>
      <c r="AX162" s="638"/>
      <c r="AY162" s="484"/>
      <c r="AZ162" s="484"/>
      <c r="BA162" s="671"/>
      <c r="BB162" s="449"/>
      <c r="BC162" s="169"/>
      <c r="BD162" s="1330"/>
      <c r="BE162" s="1330"/>
      <c r="BF162" s="1330"/>
      <c r="BG162" s="1330"/>
    </row>
    <row r="163" spans="1:59" ht="15.75" customHeight="1">
      <c r="A163" s="449" t="s">
        <v>3052</v>
      </c>
      <c r="B163" s="582" t="s">
        <v>3107</v>
      </c>
      <c r="C163" s="446">
        <f>+$C$161+$G$162</f>
        <v>88787.45</v>
      </c>
      <c r="D163" s="448"/>
      <c r="E163" s="448"/>
      <c r="F163" s="448">
        <v>0</v>
      </c>
      <c r="G163" s="484"/>
      <c r="H163" s="1239" t="s">
        <v>619</v>
      </c>
      <c r="I163" s="448" t="s">
        <v>1429</v>
      </c>
      <c r="J163" s="446"/>
      <c r="K163" s="638"/>
      <c r="L163" s="1239"/>
      <c r="M163" s="446"/>
      <c r="N163" s="1239" t="s">
        <v>845</v>
      </c>
      <c r="O163" s="580" t="s">
        <v>843</v>
      </c>
      <c r="P163" s="1239"/>
      <c r="Q163" s="1239">
        <v>0</v>
      </c>
      <c r="R163" s="1239">
        <v>0</v>
      </c>
      <c r="S163" s="455"/>
      <c r="T163" s="1239">
        <v>15</v>
      </c>
      <c r="U163" s="1239">
        <v>-30</v>
      </c>
      <c r="V163" s="1239"/>
      <c r="W163" s="1239">
        <v>1.4</v>
      </c>
      <c r="X163" s="1239">
        <v>2</v>
      </c>
      <c r="Y163" s="1239"/>
      <c r="Z163" s="1239">
        <v>0.45</v>
      </c>
      <c r="AA163" s="1239"/>
      <c r="AB163" s="1239"/>
      <c r="AC163" s="1239" t="str">
        <f>IF(OR(AT163&gt;8,AT163&lt;-8),"PH",IF(OR(AT163&gt;5,AT163&lt;-5),"PH-Q",IF(OR(AT163&gt;1,AT163&lt;-1),"PH-C")))</f>
        <v>PH</v>
      </c>
      <c r="AD163" s="1239"/>
      <c r="AE163" s="1239"/>
      <c r="AF163" s="1239"/>
      <c r="AG163" s="171">
        <v>88787</v>
      </c>
      <c r="AH163" s="1239">
        <v>1893</v>
      </c>
      <c r="AI163" s="1239">
        <v>-5561</v>
      </c>
      <c r="AJ163" s="638" t="s">
        <v>2154</v>
      </c>
      <c r="AK163" s="1239" t="s">
        <v>228</v>
      </c>
      <c r="AL163" s="1239"/>
      <c r="AM163" s="1239"/>
      <c r="AN163" s="455">
        <v>5.5</v>
      </c>
      <c r="AO163" s="1239"/>
      <c r="AP163" s="1239"/>
      <c r="AQ163" s="484"/>
      <c r="AR163" s="484"/>
      <c r="AS163" s="484"/>
      <c r="AT163" s="484">
        <f>+ab($U$163,$U$161,$U$165,$G$162,$G$164, 1*$F$163,1200)</f>
        <v>-13.33291262757688</v>
      </c>
      <c r="AU163" s="638"/>
      <c r="AV163" s="638"/>
      <c r="AW163" s="638"/>
      <c r="AX163" s="638"/>
      <c r="AY163" s="484"/>
      <c r="AZ163" s="484"/>
      <c r="BA163" s="671"/>
      <c r="BB163" s="449"/>
      <c r="BC163" s="169"/>
      <c r="BD163" s="1330"/>
      <c r="BE163" s="1329"/>
      <c r="BF163" s="1330"/>
      <c r="BG163" s="1329"/>
    </row>
    <row r="164" spans="1:59" ht="15.75" customHeight="1">
      <c r="A164" s="449"/>
      <c r="B164" s="447"/>
      <c r="C164" s="446"/>
      <c r="D164" s="448"/>
      <c r="E164" s="448"/>
      <c r="F164" s="448"/>
      <c r="G164" s="484">
        <v>50</v>
      </c>
      <c r="H164" s="1239"/>
      <c r="I164" s="448"/>
      <c r="J164" s="446"/>
      <c r="K164" s="638"/>
      <c r="L164" s="1239"/>
      <c r="M164" s="446"/>
      <c r="N164" s="1239"/>
      <c r="O164" s="1239"/>
      <c r="P164" s="1239"/>
      <c r="Q164" s="1239"/>
      <c r="R164" s="1239"/>
      <c r="S164" s="455">
        <f t="shared" ref="S164" si="76">AG165-AG163</f>
        <v>50</v>
      </c>
      <c r="T164" s="1239"/>
      <c r="U164" s="1239"/>
      <c r="V164" s="1239"/>
      <c r="W164" s="1239"/>
      <c r="X164" s="1239"/>
      <c r="Y164" s="1239"/>
      <c r="Z164" s="1239"/>
      <c r="AA164" s="1239"/>
      <c r="AB164" s="1239"/>
      <c r="AC164" s="1239"/>
      <c r="AD164" s="1239"/>
      <c r="AE164" s="1239"/>
      <c r="AF164" s="1239"/>
      <c r="AG164" s="171"/>
      <c r="AH164" s="1239"/>
      <c r="AI164" s="1239"/>
      <c r="AJ164" s="1239"/>
      <c r="AK164" s="1239"/>
      <c r="AL164" s="1239"/>
      <c r="AM164" s="1239"/>
      <c r="AN164" s="455"/>
      <c r="AO164" s="1239"/>
      <c r="AP164" s="1239"/>
      <c r="AQ164" s="484">
        <f>+FL_1($U$165,$U$163,$G$164,1200,9.28, 1*$F$165)</f>
        <v>2.2485631999999978E-2</v>
      </c>
      <c r="AR164" s="484"/>
      <c r="AS164" s="484"/>
      <c r="AT164" s="484"/>
      <c r="AU164" s="638"/>
      <c r="AV164" s="638"/>
      <c r="AW164" s="638"/>
      <c r="AX164" s="638"/>
      <c r="AY164" s="484"/>
      <c r="AZ164" s="484"/>
      <c r="BA164" s="671"/>
      <c r="BB164" s="449"/>
      <c r="BC164" s="169"/>
      <c r="BD164" s="1330"/>
      <c r="BE164" s="1330"/>
      <c r="BF164" s="1330"/>
      <c r="BG164" s="1330"/>
    </row>
    <row r="165" spans="1:59" ht="15.75" customHeight="1">
      <c r="A165" s="449"/>
      <c r="B165" s="582" t="s">
        <v>3108</v>
      </c>
      <c r="C165" s="446">
        <f>+$C$163+$G$164</f>
        <v>88837.45</v>
      </c>
      <c r="D165" s="448"/>
      <c r="E165" s="448"/>
      <c r="F165" s="448">
        <v>0</v>
      </c>
      <c r="G165" s="484"/>
      <c r="H165" s="1239" t="s">
        <v>619</v>
      </c>
      <c r="I165" s="448"/>
      <c r="J165" s="446"/>
      <c r="K165" s="638"/>
      <c r="L165" s="1239"/>
      <c r="M165" s="446"/>
      <c r="N165" s="1239" t="s">
        <v>844</v>
      </c>
      <c r="O165" s="580" t="s">
        <v>845</v>
      </c>
      <c r="P165" s="1239"/>
      <c r="Q165" s="1239">
        <v>0</v>
      </c>
      <c r="R165" s="1239">
        <v>0</v>
      </c>
      <c r="S165" s="455"/>
      <c r="T165" s="1239">
        <v>30</v>
      </c>
      <c r="U165" s="1239">
        <v>-15</v>
      </c>
      <c r="V165" s="1239"/>
      <c r="W165" s="1239">
        <v>1.4</v>
      </c>
      <c r="X165" s="1239">
        <v>1.8</v>
      </c>
      <c r="Y165" s="1239"/>
      <c r="Z165" s="1239"/>
      <c r="AA165" s="1239">
        <v>0.45</v>
      </c>
      <c r="AB165" s="1239"/>
      <c r="AC165" s="1239" t="str">
        <f t="shared" ref="AC165:AC191" si="77">IF(OR(AT165&gt;8,AT165&lt;-8),"PH",IF(OR(AT165&gt;5,AT165&lt;-5),"PH-Q",IF(OR(AT165&gt;1,AT165&lt;-1),"PH-C")))</f>
        <v>PH</v>
      </c>
      <c r="AD165" s="1239"/>
      <c r="AE165" s="1239"/>
      <c r="AF165" s="1239"/>
      <c r="AG165" s="171">
        <v>88837</v>
      </c>
      <c r="AH165" s="1239">
        <v>1853</v>
      </c>
      <c r="AI165" s="1239">
        <v>-5516</v>
      </c>
      <c r="AJ165" s="1239"/>
      <c r="AK165" s="1239" t="s">
        <v>228</v>
      </c>
      <c r="AL165" s="1239"/>
      <c r="AM165" s="1239"/>
      <c r="AN165" s="455">
        <v>5.5</v>
      </c>
      <c r="AO165" s="1239"/>
      <c r="AP165" s="1239"/>
      <c r="AQ165" s="484"/>
      <c r="AR165" s="484"/>
      <c r="AS165" s="484"/>
      <c r="AT165" s="484">
        <f>+ab($T$165,$T$163,$T$167,$G$164,$G$166, 1*$F$165,1200)</f>
        <v>12.247643554803007</v>
      </c>
      <c r="AU165" s="638"/>
      <c r="AV165" s="638"/>
      <c r="AW165" s="638"/>
      <c r="AX165" s="638"/>
      <c r="AY165" s="484"/>
      <c r="AZ165" s="484"/>
      <c r="BA165" s="671"/>
      <c r="BB165" s="449"/>
      <c r="BC165" s="169"/>
      <c r="BD165" s="1330"/>
      <c r="BE165" s="1329"/>
      <c r="BF165" s="1330"/>
      <c r="BG165" s="1329"/>
    </row>
    <row r="166" spans="1:59" ht="15.75" customHeight="1">
      <c r="A166" s="449"/>
      <c r="B166" s="447"/>
      <c r="C166" s="446"/>
      <c r="D166" s="448"/>
      <c r="E166" s="448"/>
      <c r="F166" s="448"/>
      <c r="G166" s="484">
        <v>52.3</v>
      </c>
      <c r="H166" s="1239"/>
      <c r="I166" s="448"/>
      <c r="J166" s="446"/>
      <c r="K166" s="638"/>
      <c r="L166" s="1239"/>
      <c r="M166" s="446"/>
      <c r="N166" s="1239"/>
      <c r="O166" s="1239"/>
      <c r="P166" s="1239"/>
      <c r="Q166" s="1239"/>
      <c r="R166" s="1239"/>
      <c r="S166" s="455">
        <f t="shared" ref="S166" si="78">AG167-AG165</f>
        <v>51</v>
      </c>
      <c r="T166" s="1239"/>
      <c r="U166" s="1239"/>
      <c r="V166" s="1239"/>
      <c r="W166" s="1239"/>
      <c r="X166" s="1239"/>
      <c r="Y166" s="1239"/>
      <c r="Z166" s="1239"/>
      <c r="AA166" s="1239"/>
      <c r="AB166" s="1239"/>
      <c r="AC166" s="1239"/>
      <c r="AD166" s="1239"/>
      <c r="AE166" s="1239"/>
      <c r="AF166" s="1239"/>
      <c r="AG166" s="171"/>
      <c r="AH166" s="1239"/>
      <c r="AI166" s="1239"/>
      <c r="AJ166" s="1239"/>
      <c r="AK166" s="1239"/>
      <c r="AL166" s="1239"/>
      <c r="AM166" s="1239"/>
      <c r="AN166" s="455"/>
      <c r="AO166" s="1239"/>
      <c r="AP166" s="1239"/>
      <c r="AQ166" s="484">
        <f>+FL_2($T$167,$T$165,$G$166,1200,9.28, 1*$F$167)</f>
        <v>-0.38927942534608023</v>
      </c>
      <c r="AR166" s="484"/>
      <c r="AS166" s="484"/>
      <c r="AT166" s="484"/>
      <c r="AU166" s="638"/>
      <c r="AV166" s="638"/>
      <c r="AW166" s="638"/>
      <c r="AX166" s="638"/>
      <c r="AY166" s="484"/>
      <c r="AZ166" s="484"/>
      <c r="BA166" s="671"/>
      <c r="BB166" s="449"/>
      <c r="BC166" s="169"/>
      <c r="BD166" s="1330"/>
      <c r="BE166" s="1330"/>
      <c r="BF166" s="1330"/>
      <c r="BG166" s="1330"/>
    </row>
    <row r="167" spans="1:59" s="1436" customFormat="1" ht="15.75" customHeight="1">
      <c r="A167" s="1425"/>
      <c r="B167" s="1450" t="s">
        <v>3109</v>
      </c>
      <c r="C167" s="1427">
        <f>+$C$165+$G$166</f>
        <v>88889.75</v>
      </c>
      <c r="D167" s="1428"/>
      <c r="E167" s="1428"/>
      <c r="F167" s="1428">
        <v>0</v>
      </c>
      <c r="G167" s="1429"/>
      <c r="H167" s="1430"/>
      <c r="I167" s="1428"/>
      <c r="J167" s="1427"/>
      <c r="K167" s="1431"/>
      <c r="L167" s="1430"/>
      <c r="M167" s="1427"/>
      <c r="N167" s="1430" t="s">
        <v>843</v>
      </c>
      <c r="O167" s="1430"/>
      <c r="P167" s="1430"/>
      <c r="Q167" s="1430">
        <v>0</v>
      </c>
      <c r="R167" s="1430">
        <v>0</v>
      </c>
      <c r="S167" s="1432"/>
      <c r="T167" s="1430">
        <v>-35</v>
      </c>
      <c r="U167" s="1430"/>
      <c r="V167" s="1430"/>
      <c r="W167" s="1430">
        <v>1.4</v>
      </c>
      <c r="X167" s="1430"/>
      <c r="Y167" s="1430"/>
      <c r="Z167" s="1430"/>
      <c r="AA167" s="1430"/>
      <c r="AB167" s="1430"/>
      <c r="AC167" s="1430" t="str">
        <f>IF(OR(AT167&gt;8,AT167&lt;-8),"PH",IF(OR(AT167&gt;5,AT167&lt;-5),"PH-950",IF(OR(AT167&gt;1,AT167&lt;-1),"PH-C")))</f>
        <v>PH-950</v>
      </c>
      <c r="AD167" s="1430"/>
      <c r="AE167" s="1430"/>
      <c r="AF167" s="1430">
        <v>50</v>
      </c>
      <c r="AG167" s="1433">
        <v>88888</v>
      </c>
      <c r="AH167" s="1430">
        <v>1783</v>
      </c>
      <c r="AI167" s="1430">
        <v>-5559</v>
      </c>
      <c r="AJ167" s="1430"/>
      <c r="AK167" s="1430" t="s">
        <v>139</v>
      </c>
      <c r="AL167" s="1430"/>
      <c r="AM167" s="1430"/>
      <c r="AN167" s="1432">
        <v>5.43</v>
      </c>
      <c r="AO167" s="1430"/>
      <c r="AP167" s="1430"/>
      <c r="AQ167" s="1429"/>
      <c r="AR167" s="1429"/>
      <c r="AS167" s="1429"/>
      <c r="AT167" s="1429">
        <f>+ab($T$167,$T$165,$T$169,$G$166,$G$168, 1*$F$167,1200)</f>
        <v>-7.2223937771807192</v>
      </c>
      <c r="AU167" s="1431"/>
      <c r="AV167" s="1431"/>
      <c r="AW167" s="1431"/>
      <c r="AX167" s="1431"/>
      <c r="AY167" s="1429"/>
      <c r="AZ167" s="1429"/>
      <c r="BA167" s="1431"/>
      <c r="BB167" s="1425"/>
      <c r="BC167" s="1434"/>
      <c r="BD167" s="1435"/>
      <c r="BE167" s="1435"/>
      <c r="BF167" s="1435"/>
      <c r="BG167" s="1435"/>
    </row>
    <row r="168" spans="1:59" ht="15.75" customHeight="1">
      <c r="A168" s="449"/>
      <c r="B168" s="447"/>
      <c r="C168" s="446"/>
      <c r="D168" s="448"/>
      <c r="E168" s="448"/>
      <c r="F168" s="448"/>
      <c r="G168" s="484">
        <v>50</v>
      </c>
      <c r="H168" s="1239"/>
      <c r="I168" s="448"/>
      <c r="J168" s="446"/>
      <c r="K168" s="638"/>
      <c r="L168" s="1239"/>
      <c r="M168" s="446"/>
      <c r="N168" s="1239"/>
      <c r="O168" s="1239"/>
      <c r="P168" s="1239"/>
      <c r="Q168" s="1239"/>
      <c r="R168" s="1239"/>
      <c r="S168" s="455">
        <f t="shared" ref="S168" si="79">AG169-AG167</f>
        <v>51</v>
      </c>
      <c r="T168" s="1239"/>
      <c r="U168" s="1239"/>
      <c r="V168" s="1239"/>
      <c r="W168" s="1239"/>
      <c r="X168" s="1239"/>
      <c r="Y168" s="1239"/>
      <c r="Z168" s="1239"/>
      <c r="AA168" s="1239"/>
      <c r="AB168" s="1239"/>
      <c r="AC168" s="1239"/>
      <c r="AD168" s="1239"/>
      <c r="AE168" s="1239"/>
      <c r="AF168" s="1239"/>
      <c r="AG168" s="171"/>
      <c r="AH168" s="1239"/>
      <c r="AI168" s="1239"/>
      <c r="AJ168" s="1239"/>
      <c r="AK168" s="1239"/>
      <c r="AL168" s="1239"/>
      <c r="AM168" s="1239"/>
      <c r="AN168" s="455"/>
      <c r="AO168" s="1239"/>
      <c r="AP168" s="1239"/>
      <c r="AQ168" s="484">
        <f>+FL_1($T$169,$T$167,$G$168,1200,9.28, 1*$F$169)</f>
        <v>0.36839079999999996</v>
      </c>
      <c r="AR168" s="484"/>
      <c r="AS168" s="484"/>
      <c r="AT168" s="484"/>
      <c r="AU168" s="638"/>
      <c r="AV168" s="638"/>
      <c r="AW168" s="638"/>
      <c r="AX168" s="638"/>
      <c r="AY168" s="484"/>
      <c r="AZ168" s="484"/>
      <c r="BA168" s="671"/>
      <c r="BB168" s="449"/>
      <c r="BC168" s="169"/>
      <c r="BD168" s="1330"/>
      <c r="BE168" s="1330"/>
      <c r="BF168" s="1330"/>
      <c r="BG168" s="1330"/>
    </row>
    <row r="169" spans="1:59" s="1436" customFormat="1" ht="15.75" customHeight="1">
      <c r="A169" s="1425"/>
      <c r="B169" s="1450" t="s">
        <v>3110</v>
      </c>
      <c r="C169" s="1427">
        <f>+$C$167+$G$168</f>
        <v>88939.75</v>
      </c>
      <c r="D169" s="1428"/>
      <c r="E169" s="1428"/>
      <c r="F169" s="1428">
        <v>0</v>
      </c>
      <c r="G169" s="1429"/>
      <c r="H169" s="1430"/>
      <c r="I169" s="1428"/>
      <c r="J169" s="1427"/>
      <c r="K169" s="1431"/>
      <c r="L169" s="1430"/>
      <c r="M169" s="1427"/>
      <c r="N169" s="1430" t="s">
        <v>844</v>
      </c>
      <c r="O169" s="1430"/>
      <c r="P169" s="1430"/>
      <c r="Q169" s="1430">
        <v>0</v>
      </c>
      <c r="R169" s="1430">
        <v>0</v>
      </c>
      <c r="S169" s="1432"/>
      <c r="T169" s="1430">
        <v>35</v>
      </c>
      <c r="U169" s="1430"/>
      <c r="V169" s="1430"/>
      <c r="W169" s="1430">
        <v>1.4</v>
      </c>
      <c r="X169" s="1430"/>
      <c r="Y169" s="1430"/>
      <c r="Z169" s="1430"/>
      <c r="AA169" s="1430"/>
      <c r="AB169" s="1430"/>
      <c r="AC169" s="1430" t="str">
        <f>IF(OR(AT169&gt;8,AT169&lt;-8),"PH",IF(OR(AT169&gt;5,AT169&lt;-5),"PH-1150",IF(OR(AT169&gt;1,AT169&lt;-1),"PH-C")))</f>
        <v>PH-1150</v>
      </c>
      <c r="AD169" s="1430"/>
      <c r="AE169" s="1430"/>
      <c r="AF169" s="1430">
        <v>200</v>
      </c>
      <c r="AG169" s="1433">
        <v>88939</v>
      </c>
      <c r="AH169" s="1430">
        <v>1693</v>
      </c>
      <c r="AI169" s="1430">
        <v>-5025</v>
      </c>
      <c r="AJ169" s="1430"/>
      <c r="AK169" s="1430" t="s">
        <v>139</v>
      </c>
      <c r="AL169" s="1430"/>
      <c r="AM169" s="1430"/>
      <c r="AN169" s="1432">
        <v>5.32</v>
      </c>
      <c r="AO169" s="1430"/>
      <c r="AP169" s="1430"/>
      <c r="AQ169" s="1429"/>
      <c r="AR169" s="1429"/>
      <c r="AS169" s="1429"/>
      <c r="AT169" s="1429">
        <f>+ab($T$169,$T$167,$T$171,$G$168,$G$170, 1*$F$169,1200)</f>
        <v>6.8745088992023202</v>
      </c>
      <c r="AU169" s="1431"/>
      <c r="AV169" s="1431"/>
      <c r="AW169" s="1431"/>
      <c r="AX169" s="1431"/>
      <c r="AY169" s="1429"/>
      <c r="AZ169" s="1429"/>
      <c r="BA169" s="1431"/>
      <c r="BB169" s="1425"/>
      <c r="BC169" s="1434"/>
      <c r="BD169" s="1435"/>
      <c r="BE169" s="1435"/>
      <c r="BF169" s="1435"/>
      <c r="BG169" s="1435"/>
    </row>
    <row r="170" spans="1:59" ht="15.75" customHeight="1">
      <c r="A170" s="449"/>
      <c r="B170" s="447"/>
      <c r="C170" s="446"/>
      <c r="D170" s="448"/>
      <c r="E170" s="448"/>
      <c r="F170" s="448"/>
      <c r="G170" s="484">
        <v>50.8</v>
      </c>
      <c r="H170" s="1239"/>
      <c r="I170" s="448"/>
      <c r="J170" s="446"/>
      <c r="K170" s="638"/>
      <c r="L170" s="1239"/>
      <c r="M170" s="446"/>
      <c r="N170" s="1239"/>
      <c r="O170" s="1239"/>
      <c r="P170" s="1239"/>
      <c r="Q170" s="1239"/>
      <c r="R170" s="1239"/>
      <c r="S170" s="455">
        <f t="shared" ref="S170" si="80">AG171-AG169</f>
        <v>51</v>
      </c>
      <c r="T170" s="1239"/>
      <c r="U170" s="1239"/>
      <c r="V170" s="1239"/>
      <c r="W170" s="1239"/>
      <c r="X170" s="1239"/>
      <c r="Y170" s="1239"/>
      <c r="Z170" s="1239"/>
      <c r="AA170" s="1239"/>
      <c r="AB170" s="1239"/>
      <c r="AC170" s="1239"/>
      <c r="AD170" s="1239"/>
      <c r="AE170" s="1239"/>
      <c r="AF170" s="1239"/>
      <c r="AG170" s="171"/>
      <c r="AH170" s="1239"/>
      <c r="AI170" s="1239"/>
      <c r="AJ170" s="1239"/>
      <c r="AK170" s="1239"/>
      <c r="AL170" s="1239"/>
      <c r="AM170" s="1239"/>
      <c r="AN170" s="455"/>
      <c r="AO170" s="1239"/>
      <c r="AP170" s="1239"/>
      <c r="AQ170" s="484">
        <f>+FL_2($T$171,$T$169,$G$170,1200,9.28, 1*$F$171)</f>
        <v>-0.37222611976902886</v>
      </c>
      <c r="AR170" s="484"/>
      <c r="AS170" s="484"/>
      <c r="AT170" s="484"/>
      <c r="AU170" s="638"/>
      <c r="AV170" s="638"/>
      <c r="AW170" s="638"/>
      <c r="AX170" s="638"/>
      <c r="AY170" s="484"/>
      <c r="AZ170" s="484"/>
      <c r="BA170" s="671"/>
      <c r="BB170" s="449"/>
      <c r="BC170" s="169"/>
      <c r="BD170" s="1330"/>
      <c r="BE170" s="1330"/>
      <c r="BF170" s="1330"/>
      <c r="BG170" s="1330"/>
    </row>
    <row r="171" spans="1:59" s="1436" customFormat="1" ht="15.75" customHeight="1">
      <c r="A171" s="1425"/>
      <c r="B171" s="1450" t="s">
        <v>3111</v>
      </c>
      <c r="C171" s="1427">
        <f>+$C$169+$G$170</f>
        <v>88990.55</v>
      </c>
      <c r="D171" s="1428"/>
      <c r="E171" s="1428"/>
      <c r="F171" s="1428">
        <v>0</v>
      </c>
      <c r="G171" s="1429"/>
      <c r="H171" s="1430"/>
      <c r="I171" s="1428"/>
      <c r="J171" s="1427"/>
      <c r="K171" s="1431"/>
      <c r="L171" s="1430"/>
      <c r="M171" s="1427"/>
      <c r="N171" s="1430" t="s">
        <v>843</v>
      </c>
      <c r="O171" s="1430"/>
      <c r="P171" s="1430"/>
      <c r="Q171" s="1430">
        <v>0</v>
      </c>
      <c r="R171" s="1430">
        <v>0</v>
      </c>
      <c r="S171" s="1432"/>
      <c r="T171" s="1430">
        <v>-35</v>
      </c>
      <c r="U171" s="1430"/>
      <c r="V171" s="1430"/>
      <c r="W171" s="1430">
        <v>1</v>
      </c>
      <c r="X171" s="1430"/>
      <c r="Y171" s="1430"/>
      <c r="Z171" s="1430"/>
      <c r="AA171" s="1430"/>
      <c r="AB171" s="1430"/>
      <c r="AC171" s="1430" t="str">
        <f t="shared" si="77"/>
        <v>PH-Q</v>
      </c>
      <c r="AD171" s="1430"/>
      <c r="AE171" s="1430"/>
      <c r="AF171" s="1430"/>
      <c r="AG171" s="1433">
        <v>88990</v>
      </c>
      <c r="AH171" s="1430">
        <v>1723</v>
      </c>
      <c r="AI171" s="1430">
        <v>-5208</v>
      </c>
      <c r="AJ171" s="1430"/>
      <c r="AK171" s="1430" t="s">
        <v>139</v>
      </c>
      <c r="AL171" s="1430"/>
      <c r="AM171" s="1430"/>
      <c r="AN171" s="1432">
        <v>5.21</v>
      </c>
      <c r="AO171" s="1430"/>
      <c r="AP171" s="1430"/>
      <c r="AQ171" s="1429"/>
      <c r="AR171" s="1429"/>
      <c r="AS171" s="1429"/>
      <c r="AT171" s="1429">
        <f>+ab($T$171,$T$169,$T$173,$G$170,$G$172, 1*$F$171,1200)</f>
        <v>-6.5885082011354639</v>
      </c>
      <c r="AU171" s="1431"/>
      <c r="AV171" s="1431"/>
      <c r="AW171" s="1431"/>
      <c r="AX171" s="1431"/>
      <c r="AY171" s="1429"/>
      <c r="AZ171" s="1429"/>
      <c r="BA171" s="1431"/>
      <c r="BB171" s="1425"/>
      <c r="BC171" s="1434"/>
      <c r="BD171" s="1435"/>
      <c r="BE171" s="1435"/>
      <c r="BF171" s="1435"/>
      <c r="BG171" s="1435"/>
    </row>
    <row r="172" spans="1:59" ht="15.75" customHeight="1">
      <c r="A172" s="449"/>
      <c r="B172" s="447"/>
      <c r="C172" s="446"/>
      <c r="D172" s="448"/>
      <c r="E172" s="448"/>
      <c r="F172" s="448"/>
      <c r="G172" s="484">
        <v>46</v>
      </c>
      <c r="H172" s="1239"/>
      <c r="I172" s="448"/>
      <c r="J172" s="446"/>
      <c r="K172" s="638"/>
      <c r="L172" s="1239"/>
      <c r="M172" s="446"/>
      <c r="N172" s="1239"/>
      <c r="O172" s="1239"/>
      <c r="P172" s="1239"/>
      <c r="Q172" s="1239"/>
      <c r="R172" s="1239"/>
      <c r="S172" s="455">
        <f t="shared" ref="S172" si="81">AG173-AG171</f>
        <v>46</v>
      </c>
      <c r="T172" s="1239"/>
      <c r="U172" s="1239"/>
      <c r="V172" s="1239"/>
      <c r="W172" s="1239"/>
      <c r="X172" s="1239"/>
      <c r="Y172" s="1239"/>
      <c r="Z172" s="1239"/>
      <c r="AA172" s="1239"/>
      <c r="AB172" s="1239"/>
      <c r="AC172" s="1239"/>
      <c r="AD172" s="1239"/>
      <c r="AE172" s="1239"/>
      <c r="AF172" s="1239"/>
      <c r="AG172" s="171"/>
      <c r="AH172" s="1239"/>
      <c r="AI172" s="1239"/>
      <c r="AJ172" s="1239"/>
      <c r="AK172" s="1239"/>
      <c r="AL172" s="1239"/>
      <c r="AM172" s="1239"/>
      <c r="AN172" s="455"/>
      <c r="AO172" s="1239"/>
      <c r="AP172" s="1239"/>
      <c r="AQ172" s="484">
        <f>+FL_2($T$173,$T$171,$G$172,1200,9.28, 1*$F$173)</f>
        <v>-0.35426799953623195</v>
      </c>
      <c r="AR172" s="484"/>
      <c r="AS172" s="484"/>
      <c r="AT172" s="484"/>
      <c r="AU172" s="638"/>
      <c r="AV172" s="638"/>
      <c r="AW172" s="638"/>
      <c r="AX172" s="638"/>
      <c r="AY172" s="484"/>
      <c r="AZ172" s="484"/>
      <c r="BA172" s="671"/>
      <c r="BB172" s="449"/>
      <c r="BC172" s="169"/>
      <c r="BD172" s="1330"/>
      <c r="BE172" s="1330"/>
      <c r="BF172" s="1330"/>
      <c r="BG172" s="1330"/>
    </row>
    <row r="173" spans="1:59" s="1436" customFormat="1" ht="15.75" customHeight="1">
      <c r="A173" s="1425"/>
      <c r="B173" s="1450" t="s">
        <v>3112</v>
      </c>
      <c r="C173" s="1427">
        <f>+$C$171+$G$172</f>
        <v>89036.55</v>
      </c>
      <c r="D173" s="1428"/>
      <c r="E173" s="1428"/>
      <c r="F173" s="1428">
        <v>0</v>
      </c>
      <c r="G173" s="1429"/>
      <c r="H173" s="1430"/>
      <c r="I173" s="1428"/>
      <c r="J173" s="1427"/>
      <c r="K173" s="1431"/>
      <c r="L173" s="1430"/>
      <c r="M173" s="1427"/>
      <c r="N173" s="1430" t="s">
        <v>844</v>
      </c>
      <c r="O173" s="1430"/>
      <c r="P173" s="1430"/>
      <c r="Q173" s="1430">
        <v>0</v>
      </c>
      <c r="R173" s="1430">
        <v>0</v>
      </c>
      <c r="S173" s="1432"/>
      <c r="T173" s="1430">
        <v>35</v>
      </c>
      <c r="U173" s="1430"/>
      <c r="V173" s="1430"/>
      <c r="W173" s="1430">
        <v>0.8</v>
      </c>
      <c r="X173" s="1430"/>
      <c r="Y173" s="1430"/>
      <c r="Z173" s="1430"/>
      <c r="AA173" s="1430"/>
      <c r="AB173" s="1430"/>
      <c r="AC173" s="1430" t="str">
        <f t="shared" si="77"/>
        <v>PH-Q</v>
      </c>
      <c r="AD173" s="1430"/>
      <c r="AE173" s="1430"/>
      <c r="AF173" s="1430"/>
      <c r="AG173" s="1433">
        <v>89036</v>
      </c>
      <c r="AH173" s="1430">
        <v>1713</v>
      </c>
      <c r="AI173" s="1430">
        <v>-5143</v>
      </c>
      <c r="AJ173" s="1430"/>
      <c r="AK173" s="1430" t="s">
        <v>139</v>
      </c>
      <c r="AL173" s="1430"/>
      <c r="AM173" s="1430"/>
      <c r="AN173" s="1432">
        <v>5.15</v>
      </c>
      <c r="AO173" s="1430"/>
      <c r="AP173" s="1430"/>
      <c r="AQ173" s="1429"/>
      <c r="AR173" s="1429"/>
      <c r="AS173" s="1429"/>
      <c r="AT173" s="1429">
        <f>+ab($T$173,$T$171,$T$175,$G$172,$G$174, 1*$F$173,1200)</f>
        <v>6.2113020715328853</v>
      </c>
      <c r="AU173" s="1431"/>
      <c r="AV173" s="1431"/>
      <c r="AW173" s="1431"/>
      <c r="AX173" s="1431"/>
      <c r="AY173" s="1429"/>
      <c r="AZ173" s="1429"/>
      <c r="BA173" s="1431"/>
      <c r="BB173" s="1425"/>
      <c r="BC173" s="1434"/>
      <c r="BD173" s="1435"/>
      <c r="BE173" s="1435"/>
      <c r="BF173" s="1435"/>
      <c r="BG173" s="1435"/>
    </row>
    <row r="174" spans="1:59" ht="15.75" customHeight="1">
      <c r="A174" s="488" t="s">
        <v>1851</v>
      </c>
      <c r="B174" s="491"/>
      <c r="C174" s="489"/>
      <c r="D174" s="492"/>
      <c r="E174" s="492"/>
      <c r="F174" s="492"/>
      <c r="G174" s="493">
        <v>45</v>
      </c>
      <c r="H174" s="495"/>
      <c r="I174" s="492"/>
      <c r="J174" s="489"/>
      <c r="K174" s="490"/>
      <c r="L174" s="495"/>
      <c r="M174" s="489"/>
      <c r="N174" s="495"/>
      <c r="O174" s="495"/>
      <c r="P174" s="495"/>
      <c r="Q174" s="495"/>
      <c r="R174" s="495"/>
      <c r="S174" s="457">
        <f t="shared" ref="S174" si="82">AG175-AG173</f>
        <v>45</v>
      </c>
      <c r="T174" s="495"/>
      <c r="U174" s="495"/>
      <c r="V174" s="495"/>
      <c r="W174" s="495"/>
      <c r="X174" s="495"/>
      <c r="Y174" s="495"/>
      <c r="Z174" s="495"/>
      <c r="AA174" s="495"/>
      <c r="AB174" s="495"/>
      <c r="AC174" s="495"/>
      <c r="AD174" s="495"/>
      <c r="AE174" s="495"/>
      <c r="AF174" s="495"/>
      <c r="AG174" s="431"/>
      <c r="AH174" s="495"/>
      <c r="AI174" s="495"/>
      <c r="AJ174" s="495"/>
      <c r="AK174" s="495"/>
      <c r="AL174" s="495"/>
      <c r="AM174" s="495"/>
      <c r="AN174" s="457"/>
      <c r="AO174" s="495"/>
      <c r="AP174" s="495"/>
      <c r="AQ174" s="493">
        <f>+FL_2($T$175,$T$173,$G$174,1200,9.28, 1*$F$175)</f>
        <v>-0.35219954355555555</v>
      </c>
      <c r="AR174" s="493"/>
      <c r="AS174" s="493"/>
      <c r="AT174" s="493"/>
      <c r="AU174" s="490"/>
      <c r="AV174" s="490"/>
      <c r="AW174" s="490"/>
      <c r="AX174" s="490"/>
      <c r="AY174" s="493"/>
      <c r="AZ174" s="493"/>
      <c r="BA174" s="602"/>
      <c r="BB174" s="488"/>
      <c r="BC174" s="169"/>
      <c r="BD174" s="1330"/>
      <c r="BE174" s="1330"/>
      <c r="BF174" s="1330"/>
      <c r="BG174" s="1330"/>
    </row>
    <row r="175" spans="1:59" s="1436" customFormat="1" ht="15.75" customHeight="1">
      <c r="A175" s="1425"/>
      <c r="B175" s="1475" t="s">
        <v>3113</v>
      </c>
      <c r="C175" s="1427">
        <f>+$C$173+$G$174</f>
        <v>89081.55</v>
      </c>
      <c r="D175" s="1431"/>
      <c r="E175" s="1431"/>
      <c r="F175" s="1428">
        <v>0</v>
      </c>
      <c r="G175" s="1429"/>
      <c r="H175" s="1430"/>
      <c r="I175" s="1428"/>
      <c r="J175" s="1427"/>
      <c r="K175" s="1431"/>
      <c r="L175" s="1431"/>
      <c r="M175" s="1427"/>
      <c r="N175" s="1430" t="s">
        <v>843</v>
      </c>
      <c r="O175" s="1431"/>
      <c r="P175" s="1431"/>
      <c r="Q175" s="1431">
        <v>0</v>
      </c>
      <c r="R175" s="1431">
        <v>0</v>
      </c>
      <c r="S175" s="1429"/>
      <c r="T175" s="1431">
        <v>-35</v>
      </c>
      <c r="U175" s="1431"/>
      <c r="V175" s="1431"/>
      <c r="W175" s="1430">
        <v>0.8</v>
      </c>
      <c r="X175" s="1431"/>
      <c r="Y175" s="1431"/>
      <c r="Z175" s="1431"/>
      <c r="AA175" s="1431"/>
      <c r="AB175" s="1431"/>
      <c r="AC175" s="1430" t="str">
        <f t="shared" si="77"/>
        <v>PH-Q</v>
      </c>
      <c r="AD175" s="1431"/>
      <c r="AE175" s="1431"/>
      <c r="AF175" s="1431"/>
      <c r="AG175" s="1427">
        <v>89081</v>
      </c>
      <c r="AH175" s="1431">
        <v>1653</v>
      </c>
      <c r="AI175" s="1431">
        <v>-5276</v>
      </c>
      <c r="AJ175" s="1431"/>
      <c r="AK175" s="1431" t="s">
        <v>139</v>
      </c>
      <c r="AL175" s="1431"/>
      <c r="AM175" s="1430"/>
      <c r="AN175" s="1432">
        <v>5.15</v>
      </c>
      <c r="AO175" s="1430"/>
      <c r="AP175" s="1430"/>
      <c r="AQ175" s="1429"/>
      <c r="AR175" s="1429"/>
      <c r="AS175" s="1429"/>
      <c r="AT175" s="1429">
        <f>+ab($T$175,$T$173,$T$177,$G$174,$G$176, 1*$F$175,1200)</f>
        <v>-6.7533390664241031</v>
      </c>
      <c r="AU175" s="1431"/>
      <c r="AV175" s="1431"/>
      <c r="AW175" s="1431"/>
      <c r="AX175" s="1431"/>
      <c r="AY175" s="1429"/>
      <c r="AZ175" s="1429"/>
      <c r="BA175" s="1431"/>
      <c r="BB175" s="1425"/>
      <c r="BC175" s="1434"/>
      <c r="BD175" s="1435"/>
      <c r="BE175" s="1435"/>
      <c r="BF175" s="1435"/>
      <c r="BG175" s="1435"/>
    </row>
    <row r="176" spans="1:59" ht="15.75" customHeight="1">
      <c r="A176" s="449"/>
      <c r="B176" s="445"/>
      <c r="C176" s="446"/>
      <c r="D176" s="638"/>
      <c r="E176" s="638"/>
      <c r="F176" s="448"/>
      <c r="G176" s="484">
        <v>55</v>
      </c>
      <c r="H176" s="1239"/>
      <c r="I176" s="448">
        <f>C177-C157</f>
        <v>508.19999999999709</v>
      </c>
      <c r="J176" s="446"/>
      <c r="K176" s="638"/>
      <c r="L176" s="638"/>
      <c r="M176" s="446"/>
      <c r="N176" s="638"/>
      <c r="O176" s="638"/>
      <c r="P176" s="638"/>
      <c r="Q176" s="638"/>
      <c r="R176" s="638"/>
      <c r="S176" s="484">
        <f t="shared" ref="S176" si="83">AG177-AG175</f>
        <v>55</v>
      </c>
      <c r="T176" s="638"/>
      <c r="U176" s="638"/>
      <c r="V176" s="638"/>
      <c r="W176" s="638"/>
      <c r="X176" s="638"/>
      <c r="Y176" s="638"/>
      <c r="Z176" s="638"/>
      <c r="AA176" s="638"/>
      <c r="AB176" s="638"/>
      <c r="AC176" s="638"/>
      <c r="AD176" s="638"/>
      <c r="AE176" s="638"/>
      <c r="AF176" s="638"/>
      <c r="AG176" s="446"/>
      <c r="AH176" s="638"/>
      <c r="AI176" s="638"/>
      <c r="AJ176" s="638"/>
      <c r="AK176" s="638" t="s">
        <v>2760</v>
      </c>
      <c r="AL176" s="638"/>
      <c r="AM176" s="638"/>
      <c r="AN176" s="455"/>
      <c r="AO176" s="1239"/>
      <c r="AP176" s="1239"/>
      <c r="AQ176" s="484">
        <f>+FL_2($T$177,$T$175,$G$176,1200,9.28, 1*$F$177)</f>
        <v>-0.39714735709090898</v>
      </c>
      <c r="AR176" s="484"/>
      <c r="AS176" s="484"/>
      <c r="AT176" s="484"/>
      <c r="AU176" s="638"/>
      <c r="AV176" s="638"/>
      <c r="AW176" s="638"/>
      <c r="AX176" s="638"/>
      <c r="AY176" s="484"/>
      <c r="AZ176" s="484"/>
      <c r="BA176" s="671"/>
      <c r="BB176" s="449"/>
      <c r="BC176" s="169"/>
      <c r="BD176" s="1330"/>
      <c r="BE176" s="1330"/>
      <c r="BF176" s="1330"/>
      <c r="BG176" s="1330"/>
    </row>
    <row r="177" spans="1:59" ht="15.75" customHeight="1">
      <c r="A177" s="449"/>
      <c r="B177" s="485" t="s">
        <v>3114</v>
      </c>
      <c r="C177" s="446">
        <f>+$C$175+$G$176</f>
        <v>89136.55</v>
      </c>
      <c r="D177" s="638"/>
      <c r="E177" s="638"/>
      <c r="F177" s="448">
        <v>0</v>
      </c>
      <c r="G177" s="484"/>
      <c r="H177" s="1239" t="s">
        <v>874</v>
      </c>
      <c r="I177" s="448"/>
      <c r="J177" s="446"/>
      <c r="K177" s="638"/>
      <c r="L177" s="638"/>
      <c r="M177" s="446"/>
      <c r="N177" s="1239" t="s">
        <v>844</v>
      </c>
      <c r="O177" s="638"/>
      <c r="P177" s="638"/>
      <c r="Q177" s="638"/>
      <c r="R177" s="638"/>
      <c r="S177" s="484"/>
      <c r="T177" s="638">
        <v>35</v>
      </c>
      <c r="U177" s="638"/>
      <c r="V177" s="638"/>
      <c r="W177" s="638">
        <v>1</v>
      </c>
      <c r="X177" s="638"/>
      <c r="Y177" s="638"/>
      <c r="Z177" s="638"/>
      <c r="AA177" s="638"/>
      <c r="AB177" s="638"/>
      <c r="AC177" s="1239" t="str">
        <f t="shared" si="77"/>
        <v>PH-Q</v>
      </c>
      <c r="AD177" s="638"/>
      <c r="AE177" s="638"/>
      <c r="AF177" s="638"/>
      <c r="AG177" s="446">
        <v>89136</v>
      </c>
      <c r="AH177" s="638"/>
      <c r="AI177" s="638"/>
      <c r="AJ177" s="638"/>
      <c r="AK177" s="638" t="s">
        <v>139</v>
      </c>
      <c r="AL177" s="638"/>
      <c r="AM177" s="638"/>
      <c r="AN177" s="455">
        <v>5.23</v>
      </c>
      <c r="AO177" s="1239"/>
      <c r="AP177" s="1239"/>
      <c r="AQ177" s="484"/>
      <c r="AR177" s="484"/>
      <c r="AS177" s="484"/>
      <c r="AT177" s="484">
        <f>+ab($T$177,$T$175,$T$179,$G$176,$G$178, 1*$F$177,1200)</f>
        <v>7.4955682572493121</v>
      </c>
      <c r="AU177" s="638"/>
      <c r="AV177" s="638"/>
      <c r="AW177" s="638"/>
      <c r="AX177" s="638"/>
      <c r="AY177" s="484"/>
      <c r="AZ177" s="484"/>
      <c r="BA177" s="671"/>
      <c r="BB177" s="449"/>
      <c r="BC177" s="169"/>
      <c r="BD177" s="1330"/>
      <c r="BE177" s="1329"/>
      <c r="BF177" s="1330"/>
      <c r="BG177" s="1329"/>
    </row>
    <row r="178" spans="1:59" ht="15.75" customHeight="1">
      <c r="A178" s="449"/>
      <c r="B178" s="445"/>
      <c r="C178" s="446"/>
      <c r="D178" s="638"/>
      <c r="E178" s="638"/>
      <c r="F178" s="448"/>
      <c r="G178" s="484">
        <v>55</v>
      </c>
      <c r="H178" s="1239"/>
      <c r="I178" s="448">
        <f>C205-C177</f>
        <v>645.30000000000291</v>
      </c>
      <c r="J178" s="446"/>
      <c r="K178" s="638"/>
      <c r="L178" s="638"/>
      <c r="M178" s="446"/>
      <c r="N178" s="638"/>
      <c r="O178" s="638"/>
      <c r="P178" s="638"/>
      <c r="Q178" s="638"/>
      <c r="R178" s="638"/>
      <c r="S178" s="484">
        <f t="shared" ref="S178" si="84">AG179-AG177</f>
        <v>-89136</v>
      </c>
      <c r="T178" s="638"/>
      <c r="U178" s="638"/>
      <c r="V178" s="638"/>
      <c r="W178" s="638"/>
      <c r="X178" s="638"/>
      <c r="Y178" s="638"/>
      <c r="Z178" s="638"/>
      <c r="AA178" s="638"/>
      <c r="AB178" s="638"/>
      <c r="AC178" s="638"/>
      <c r="AD178" s="638"/>
      <c r="AE178" s="638"/>
      <c r="AF178" s="638"/>
      <c r="AG178" s="446"/>
      <c r="AH178" s="638"/>
      <c r="AI178" s="638"/>
      <c r="AJ178" s="638"/>
      <c r="AK178" s="638" t="s">
        <v>2760</v>
      </c>
      <c r="AL178" s="638"/>
      <c r="AM178" s="638"/>
      <c r="AN178" s="455"/>
      <c r="AO178" s="1239"/>
      <c r="AP178" s="1239"/>
      <c r="AQ178" s="484">
        <f>+FL_1($T$179,$T$177,$G$178,1200,9.28, 1*$F$179)</f>
        <v>0.39714735709090898</v>
      </c>
      <c r="AR178" s="484"/>
      <c r="AS178" s="484"/>
      <c r="AT178" s="484"/>
      <c r="AU178" s="638"/>
      <c r="AV178" s="638"/>
      <c r="AW178" s="638"/>
      <c r="AX178" s="638"/>
      <c r="AY178" s="484"/>
      <c r="AZ178" s="484"/>
      <c r="BA178" s="671"/>
      <c r="BB178" s="449"/>
      <c r="BC178" s="169"/>
      <c r="BD178" s="1330"/>
      <c r="BE178" s="1330"/>
      <c r="BF178" s="1330"/>
      <c r="BG178" s="1330"/>
    </row>
    <row r="179" spans="1:59" ht="15.75" customHeight="1">
      <c r="A179" s="449"/>
      <c r="B179" s="485" t="s">
        <v>3115</v>
      </c>
      <c r="C179" s="446">
        <f>+$C$177+$G$178</f>
        <v>89191.55</v>
      </c>
      <c r="D179" s="638"/>
      <c r="E179" s="638"/>
      <c r="F179" s="448">
        <v>0</v>
      </c>
      <c r="G179" s="484"/>
      <c r="H179" s="1239"/>
      <c r="I179" s="448"/>
      <c r="J179" s="446"/>
      <c r="K179" s="638"/>
      <c r="L179" s="638"/>
      <c r="M179" s="446"/>
      <c r="N179" s="1239" t="s">
        <v>843</v>
      </c>
      <c r="O179" s="638"/>
      <c r="P179" s="638"/>
      <c r="Q179" s="638"/>
      <c r="R179" s="638"/>
      <c r="S179" s="484"/>
      <c r="T179" s="638">
        <v>-35</v>
      </c>
      <c r="U179" s="638"/>
      <c r="V179" s="638"/>
      <c r="W179" s="638">
        <v>1.2</v>
      </c>
      <c r="X179" s="638"/>
      <c r="Y179" s="638"/>
      <c r="Z179" s="638"/>
      <c r="AA179" s="638"/>
      <c r="AB179" s="638"/>
      <c r="AC179" s="1239" t="str">
        <f t="shared" si="77"/>
        <v>PH-Q</v>
      </c>
      <c r="AD179" s="638"/>
      <c r="AE179" s="638"/>
      <c r="AF179" s="638"/>
      <c r="AG179" s="446"/>
      <c r="AH179" s="638"/>
      <c r="AI179" s="638"/>
      <c r="AJ179" s="638"/>
      <c r="AK179" s="1239" t="s">
        <v>139</v>
      </c>
      <c r="AL179" s="1239"/>
      <c r="AM179" s="1239"/>
      <c r="AN179" s="455">
        <v>5.33</v>
      </c>
      <c r="AO179" s="1239"/>
      <c r="AP179" s="1239"/>
      <c r="AQ179" s="484"/>
      <c r="AR179" s="484"/>
      <c r="AS179" s="484"/>
      <c r="AT179" s="484">
        <f>+ab($T$179,$T$177,$T$181,$G$178,$G$180, 1*$F$179,1200)</f>
        <v>-7.6602131915378511</v>
      </c>
      <c r="AU179" s="638"/>
      <c r="AV179" s="638"/>
      <c r="AW179" s="638"/>
      <c r="AX179" s="638"/>
      <c r="AY179" s="484"/>
      <c r="AZ179" s="484"/>
      <c r="BA179" s="671"/>
      <c r="BB179" s="449"/>
      <c r="BC179" s="169"/>
      <c r="BD179" s="1330"/>
      <c r="BE179" s="1329"/>
      <c r="BF179" s="1330"/>
      <c r="BG179" s="1329"/>
    </row>
    <row r="180" spans="1:59" ht="15.75" customHeight="1">
      <c r="A180" s="449"/>
      <c r="B180" s="445"/>
      <c r="C180" s="446"/>
      <c r="D180" s="638"/>
      <c r="E180" s="638"/>
      <c r="F180" s="448"/>
      <c r="G180" s="484">
        <v>57.5</v>
      </c>
      <c r="H180" s="1239"/>
      <c r="I180" s="448"/>
      <c r="J180" s="446"/>
      <c r="K180" s="638"/>
      <c r="L180" s="638"/>
      <c r="M180" s="446"/>
      <c r="N180" s="638"/>
      <c r="O180" s="638"/>
      <c r="P180" s="638"/>
      <c r="Q180" s="638"/>
      <c r="R180" s="638"/>
      <c r="S180" s="484">
        <f t="shared" ref="S180" si="85">AG181-AG179</f>
        <v>89249</v>
      </c>
      <c r="T180" s="638"/>
      <c r="U180" s="638"/>
      <c r="V180" s="638"/>
      <c r="W180" s="638"/>
      <c r="X180" s="638"/>
      <c r="Y180" s="638"/>
      <c r="Z180" s="638"/>
      <c r="AA180" s="638"/>
      <c r="AB180" s="638"/>
      <c r="AC180" s="638"/>
      <c r="AD180" s="638"/>
      <c r="AE180" s="638"/>
      <c r="AF180" s="638"/>
      <c r="AG180" s="446"/>
      <c r="AH180" s="638"/>
      <c r="AI180" s="638"/>
      <c r="AJ180" s="638"/>
      <c r="AK180" s="638"/>
      <c r="AL180" s="638"/>
      <c r="AM180" s="638"/>
      <c r="AN180" s="455"/>
      <c r="AO180" s="1239"/>
      <c r="AP180" s="1239"/>
      <c r="AQ180" s="484">
        <f>+FL_1($T$181,$T$179,$G$180,1200,9.28, 1*$F$181)</f>
        <v>0.4154258193043478</v>
      </c>
      <c r="AR180" s="484"/>
      <c r="AS180" s="484"/>
      <c r="AT180" s="484"/>
      <c r="AU180" s="638"/>
      <c r="AV180" s="638"/>
      <c r="AW180" s="638"/>
      <c r="AX180" s="638"/>
      <c r="AY180" s="484"/>
      <c r="AZ180" s="484"/>
      <c r="BA180" s="671"/>
      <c r="BB180" s="449"/>
      <c r="BC180" s="169"/>
      <c r="BD180" s="1330"/>
      <c r="BE180" s="1330"/>
      <c r="BF180" s="1330"/>
      <c r="BG180" s="1330"/>
    </row>
    <row r="181" spans="1:59" ht="15.75" customHeight="1">
      <c r="A181" s="449"/>
      <c r="B181" s="485" t="s">
        <v>3116</v>
      </c>
      <c r="C181" s="446">
        <f>+$C$179+$G$180</f>
        <v>89249.05</v>
      </c>
      <c r="D181" s="638"/>
      <c r="E181" s="638"/>
      <c r="F181" s="448">
        <v>0</v>
      </c>
      <c r="G181" s="484"/>
      <c r="H181" s="1239"/>
      <c r="I181" s="448"/>
      <c r="J181" s="446"/>
      <c r="K181" s="638"/>
      <c r="L181" s="638"/>
      <c r="M181" s="446"/>
      <c r="N181" s="1239" t="s">
        <v>844</v>
      </c>
      <c r="O181" s="638"/>
      <c r="P181" s="638"/>
      <c r="Q181" s="638">
        <v>0</v>
      </c>
      <c r="R181" s="638">
        <v>0</v>
      </c>
      <c r="S181" s="484"/>
      <c r="T181" s="638">
        <v>35</v>
      </c>
      <c r="U181" s="638"/>
      <c r="V181" s="638"/>
      <c r="W181" s="638">
        <v>1.4</v>
      </c>
      <c r="X181" s="638"/>
      <c r="Y181" s="638"/>
      <c r="Z181" s="638"/>
      <c r="AA181" s="638"/>
      <c r="AB181" s="638"/>
      <c r="AC181" s="1239" t="s">
        <v>4090</v>
      </c>
      <c r="AD181" s="638"/>
      <c r="AE181" s="638"/>
      <c r="AF181" s="638">
        <v>200</v>
      </c>
      <c r="AG181" s="446">
        <v>89249</v>
      </c>
      <c r="AH181" s="638">
        <v>1723</v>
      </c>
      <c r="AI181" s="638">
        <v>-5500</v>
      </c>
      <c r="AJ181" s="638"/>
      <c r="AK181" s="1239" t="s">
        <v>139</v>
      </c>
      <c r="AL181" s="1239"/>
      <c r="AM181" s="1239"/>
      <c r="AN181" s="455">
        <v>5.43</v>
      </c>
      <c r="AO181" s="1239"/>
      <c r="AP181" s="1239"/>
      <c r="AQ181" s="484"/>
      <c r="AR181" s="484"/>
      <c r="AS181" s="484"/>
      <c r="AT181" s="484">
        <f>+ab($T$181,$T$179,$T$183,$G$180,$G$182, 1*$F$181,1200)</f>
        <v>7.996642814402283</v>
      </c>
      <c r="AU181" s="638"/>
      <c r="AV181" s="638"/>
      <c r="AW181" s="638"/>
      <c r="AX181" s="638"/>
      <c r="AY181" s="484"/>
      <c r="AZ181" s="484"/>
      <c r="BA181" s="671"/>
      <c r="BB181" s="449"/>
      <c r="BC181" s="169"/>
      <c r="BD181" s="1330"/>
      <c r="BE181" s="1329"/>
      <c r="BF181" s="1330"/>
      <c r="BG181" s="1329"/>
    </row>
    <row r="182" spans="1:59" ht="15.75" customHeight="1">
      <c r="A182" s="647" t="s">
        <v>3049</v>
      </c>
      <c r="B182" s="657"/>
      <c r="C182" s="649"/>
      <c r="D182" s="653"/>
      <c r="E182" s="653"/>
      <c r="F182" s="650"/>
      <c r="G182" s="654">
        <v>60</v>
      </c>
      <c r="H182" s="647"/>
      <c r="I182" s="650"/>
      <c r="J182" s="649"/>
      <c r="K182" s="653"/>
      <c r="L182" s="653"/>
      <c r="M182" s="649"/>
      <c r="N182" s="653"/>
      <c r="O182" s="653"/>
      <c r="P182" s="653"/>
      <c r="Q182" s="653"/>
      <c r="R182" s="653"/>
      <c r="S182" s="654">
        <f t="shared" ref="S182" si="86">AG183-AG181</f>
        <v>60</v>
      </c>
      <c r="T182" s="653"/>
      <c r="U182" s="653"/>
      <c r="V182" s="653"/>
      <c r="W182" s="653"/>
      <c r="X182" s="653"/>
      <c r="Y182" s="653"/>
      <c r="Z182" s="653"/>
      <c r="AA182" s="653"/>
      <c r="AB182" s="653"/>
      <c r="AC182" s="653"/>
      <c r="AD182" s="653"/>
      <c r="AE182" s="653"/>
      <c r="AF182" s="653"/>
      <c r="AG182" s="649"/>
      <c r="AH182" s="653"/>
      <c r="AI182" s="653"/>
      <c r="AJ182" s="653"/>
      <c r="AK182" s="653"/>
      <c r="AL182" s="653"/>
      <c r="AM182" s="653"/>
      <c r="AN182" s="651"/>
      <c r="AO182" s="647"/>
      <c r="AP182" s="647"/>
      <c r="AQ182" s="654">
        <f>+FL_2($T$183,$T$181,$G$182,1200,9.28, 1*$F$183)</f>
        <v>-0.43600286799999999</v>
      </c>
      <c r="AR182" s="654"/>
      <c r="AS182" s="654"/>
      <c r="AT182" s="654"/>
      <c r="AU182" s="653"/>
      <c r="AV182" s="653"/>
      <c r="AW182" s="653"/>
      <c r="AX182" s="653"/>
      <c r="AY182" s="654"/>
      <c r="AZ182" s="654"/>
      <c r="BA182" s="701"/>
      <c r="BB182" s="647"/>
      <c r="BC182" s="169"/>
      <c r="BD182" s="1330"/>
      <c r="BE182" s="1330"/>
      <c r="BF182" s="1330"/>
      <c r="BG182" s="1330"/>
    </row>
    <row r="183" spans="1:59" ht="15.75" customHeight="1">
      <c r="A183" s="449"/>
      <c r="B183" s="485" t="s">
        <v>3117</v>
      </c>
      <c r="C183" s="446">
        <f>+$C$181+$G$182</f>
        <v>89309.05</v>
      </c>
      <c r="D183" s="638"/>
      <c r="E183" s="638"/>
      <c r="F183" s="448">
        <v>0</v>
      </c>
      <c r="G183" s="484"/>
      <c r="H183" s="1239"/>
      <c r="I183" s="448"/>
      <c r="J183" s="446"/>
      <c r="K183" s="638"/>
      <c r="L183" s="638"/>
      <c r="M183" s="446"/>
      <c r="N183" s="1239" t="s">
        <v>843</v>
      </c>
      <c r="O183" s="638"/>
      <c r="P183" s="638"/>
      <c r="Q183" s="638">
        <v>0</v>
      </c>
      <c r="R183" s="638">
        <v>0</v>
      </c>
      <c r="S183" s="484"/>
      <c r="T183" s="638">
        <v>-35</v>
      </c>
      <c r="U183" s="638"/>
      <c r="V183" s="638"/>
      <c r="W183" s="638">
        <v>1.4</v>
      </c>
      <c r="X183" s="638"/>
      <c r="Y183" s="638"/>
      <c r="Z183" s="638"/>
      <c r="AA183" s="638"/>
      <c r="AB183" s="638"/>
      <c r="AC183" s="1239" t="s">
        <v>4115</v>
      </c>
      <c r="AD183" s="638"/>
      <c r="AE183" s="638"/>
      <c r="AF183" s="638">
        <v>200</v>
      </c>
      <c r="AG183" s="446">
        <v>89309</v>
      </c>
      <c r="AH183" s="638">
        <v>1893</v>
      </c>
      <c r="AI183" s="638">
        <v>-5512</v>
      </c>
      <c r="AJ183" s="638"/>
      <c r="AK183" s="1239" t="s">
        <v>139</v>
      </c>
      <c r="AL183" s="1239"/>
      <c r="AM183" s="1239"/>
      <c r="AN183" s="455">
        <v>5.5</v>
      </c>
      <c r="AO183" s="1239"/>
      <c r="AP183" s="1239"/>
      <c r="AQ183" s="484"/>
      <c r="AR183" s="484"/>
      <c r="AS183" s="484"/>
      <c r="AT183" s="484">
        <f>+ab($T$183,$T$181,$T$185,$G$182,$G$184, 1*$F$183,1200)</f>
        <v>-7.4343488377840483</v>
      </c>
      <c r="AU183" s="638"/>
      <c r="AV183" s="638"/>
      <c r="AW183" s="638"/>
      <c r="AX183" s="638"/>
      <c r="AY183" s="484"/>
      <c r="AZ183" s="484"/>
      <c r="BA183" s="671"/>
      <c r="BB183" s="449"/>
      <c r="BC183" s="169"/>
      <c r="BD183" s="1330"/>
      <c r="BE183" s="1329"/>
      <c r="BF183" s="1330"/>
      <c r="BG183" s="1329"/>
    </row>
    <row r="184" spans="1:59" ht="15.75" customHeight="1">
      <c r="A184" s="1239"/>
      <c r="B184" s="445"/>
      <c r="C184" s="446"/>
      <c r="D184" s="638"/>
      <c r="E184" s="638"/>
      <c r="F184" s="448"/>
      <c r="G184" s="455">
        <v>50</v>
      </c>
      <c r="H184" s="1239"/>
      <c r="I184" s="448"/>
      <c r="J184" s="446"/>
      <c r="K184" s="638"/>
      <c r="L184" s="638"/>
      <c r="M184" s="446"/>
      <c r="N184" s="638"/>
      <c r="O184" s="638"/>
      <c r="P184" s="638"/>
      <c r="Q184" s="638"/>
      <c r="R184" s="638"/>
      <c r="S184" s="484">
        <f t="shared" ref="S184" si="87">AG185-AG183</f>
        <v>-89309</v>
      </c>
      <c r="T184" s="638"/>
      <c r="U184" s="638"/>
      <c r="V184" s="638"/>
      <c r="W184" s="638"/>
      <c r="X184" s="638"/>
      <c r="Y184" s="638"/>
      <c r="Z184" s="638"/>
      <c r="AA184" s="638"/>
      <c r="AB184" s="638"/>
      <c r="AC184" s="638"/>
      <c r="AD184" s="638"/>
      <c r="AE184" s="638"/>
      <c r="AF184" s="638"/>
      <c r="AG184" s="446"/>
      <c r="AH184" s="638"/>
      <c r="AI184" s="638"/>
      <c r="AJ184" s="638"/>
      <c r="AK184" s="638"/>
      <c r="AL184" s="638"/>
      <c r="AM184" s="638"/>
      <c r="AN184" s="455"/>
      <c r="AO184" s="1239"/>
      <c r="AP184" s="1239"/>
      <c r="AQ184" s="484">
        <f>+FL_1($T$185,$T$183,$G$184,1200,9.28, 1*$F$185)</f>
        <v>0.36839079999999996</v>
      </c>
      <c r="AR184" s="484"/>
      <c r="AS184" s="484"/>
      <c r="AT184" s="484"/>
      <c r="AU184" s="638"/>
      <c r="AV184" s="638"/>
      <c r="AW184" s="638"/>
      <c r="AX184" s="638"/>
      <c r="AY184" s="484"/>
      <c r="AZ184" s="484"/>
      <c r="BA184" s="671"/>
      <c r="BB184" s="1239"/>
      <c r="BC184" s="169"/>
      <c r="BD184" s="1330"/>
      <c r="BE184" s="1330"/>
      <c r="BF184" s="1330"/>
      <c r="BG184" s="1330"/>
    </row>
    <row r="185" spans="1:59" ht="15.75" customHeight="1">
      <c r="A185" s="1239"/>
      <c r="B185" s="485" t="s">
        <v>3118</v>
      </c>
      <c r="C185" s="446">
        <f>+$C$183+$G$184</f>
        <v>89359.05</v>
      </c>
      <c r="D185" s="638"/>
      <c r="E185" s="638"/>
      <c r="F185" s="448">
        <v>0</v>
      </c>
      <c r="G185" s="455"/>
      <c r="H185" s="1239"/>
      <c r="I185" s="448"/>
      <c r="J185" s="446"/>
      <c r="K185" s="638"/>
      <c r="L185" s="638"/>
      <c r="M185" s="446"/>
      <c r="N185" s="1239" t="s">
        <v>844</v>
      </c>
      <c r="O185" s="638"/>
      <c r="P185" s="638"/>
      <c r="Q185" s="638"/>
      <c r="R185" s="638"/>
      <c r="S185" s="484"/>
      <c r="T185" s="638">
        <v>35</v>
      </c>
      <c r="U185" s="638"/>
      <c r="V185" s="638"/>
      <c r="W185" s="638">
        <v>1.4</v>
      </c>
      <c r="X185" s="638"/>
      <c r="Y185" s="638"/>
      <c r="Z185" s="638"/>
      <c r="AA185" s="638"/>
      <c r="AB185" s="638"/>
      <c r="AC185" s="1239" t="str">
        <f t="shared" si="77"/>
        <v>PH-Q</v>
      </c>
      <c r="AD185" s="638"/>
      <c r="AE185" s="638"/>
      <c r="AF185" s="638"/>
      <c r="AG185" s="446"/>
      <c r="AH185" s="638"/>
      <c r="AI185" s="638"/>
      <c r="AJ185" s="638"/>
      <c r="AK185" s="1239" t="s">
        <v>139</v>
      </c>
      <c r="AL185" s="1239"/>
      <c r="AM185" s="1239"/>
      <c r="AN185" s="455">
        <v>5.5</v>
      </c>
      <c r="AO185" s="1239"/>
      <c r="AP185" s="1239"/>
      <c r="AQ185" s="484"/>
      <c r="AR185" s="484"/>
      <c r="AS185" s="484"/>
      <c r="AT185" s="484">
        <f>+ab($T$185,$T$183,$T$187,$G$184,$G$186, 1*$F$185,1200)</f>
        <v>6.820891075690624</v>
      </c>
      <c r="AU185" s="638"/>
      <c r="AV185" s="638"/>
      <c r="AW185" s="638"/>
      <c r="AX185" s="638"/>
      <c r="AY185" s="484"/>
      <c r="AZ185" s="484"/>
      <c r="BA185" s="671"/>
      <c r="BB185" s="1239"/>
      <c r="BC185" s="169"/>
      <c r="BD185" s="1330"/>
      <c r="BE185" s="1329"/>
      <c r="BF185" s="1330"/>
      <c r="BG185" s="1329"/>
    </row>
    <row r="186" spans="1:59" ht="15.75" customHeight="1">
      <c r="A186" s="449"/>
      <c r="B186" s="445"/>
      <c r="C186" s="446"/>
      <c r="D186" s="638"/>
      <c r="E186" s="638"/>
      <c r="F186" s="448"/>
      <c r="G186" s="455">
        <v>50</v>
      </c>
      <c r="H186" s="1239"/>
      <c r="I186" s="448"/>
      <c r="J186" s="446"/>
      <c r="K186" s="638"/>
      <c r="L186" s="638"/>
      <c r="M186" s="446"/>
      <c r="N186" s="638"/>
      <c r="O186" s="638"/>
      <c r="P186" s="638"/>
      <c r="Q186" s="638"/>
      <c r="R186" s="638"/>
      <c r="S186" s="484">
        <f t="shared" ref="S186" si="88">AG187-AG185</f>
        <v>0</v>
      </c>
      <c r="T186" s="638"/>
      <c r="U186" s="638"/>
      <c r="V186" s="638"/>
      <c r="W186" s="638"/>
      <c r="X186" s="638"/>
      <c r="Y186" s="638"/>
      <c r="Z186" s="638"/>
      <c r="AA186" s="638"/>
      <c r="AB186" s="638"/>
      <c r="AC186" s="638"/>
      <c r="AD186" s="638"/>
      <c r="AE186" s="638"/>
      <c r="AF186" s="638"/>
      <c r="AG186" s="446"/>
      <c r="AH186" s="638"/>
      <c r="AI186" s="638"/>
      <c r="AJ186" s="638"/>
      <c r="AK186" s="638"/>
      <c r="AL186" s="638"/>
      <c r="AM186" s="638"/>
      <c r="AN186" s="455"/>
      <c r="AO186" s="1239"/>
      <c r="AP186" s="1239"/>
      <c r="AQ186" s="484">
        <f>+FL_2($T$187,$T$185,$G$186,1200,9.28, 1*$F$187)</f>
        <v>-0.36839079999999996</v>
      </c>
      <c r="AR186" s="484"/>
      <c r="AS186" s="484"/>
      <c r="AT186" s="484"/>
      <c r="AU186" s="638"/>
      <c r="AV186" s="638"/>
      <c r="AW186" s="638"/>
      <c r="AX186" s="638"/>
      <c r="AY186" s="484"/>
      <c r="AZ186" s="484"/>
      <c r="BA186" s="671"/>
      <c r="BB186" s="449"/>
      <c r="BC186" s="169"/>
      <c r="BD186" s="1330"/>
      <c r="BE186" s="1330"/>
      <c r="BF186" s="1330"/>
      <c r="BG186" s="1330"/>
    </row>
    <row r="187" spans="1:59" ht="15.75" customHeight="1">
      <c r="A187" s="1239"/>
      <c r="B187" s="485" t="s">
        <v>3119</v>
      </c>
      <c r="C187" s="446">
        <f>+$C$185+$G$186</f>
        <v>89409.05</v>
      </c>
      <c r="D187" s="638"/>
      <c r="E187" s="638"/>
      <c r="F187" s="448">
        <v>0</v>
      </c>
      <c r="G187" s="455"/>
      <c r="H187" s="1239"/>
      <c r="I187" s="448"/>
      <c r="J187" s="446"/>
      <c r="K187" s="638"/>
      <c r="L187" s="638"/>
      <c r="M187" s="446"/>
      <c r="N187" s="1239" t="s">
        <v>843</v>
      </c>
      <c r="O187" s="638"/>
      <c r="P187" s="638"/>
      <c r="Q187" s="638"/>
      <c r="R187" s="638"/>
      <c r="S187" s="484"/>
      <c r="T187" s="638">
        <v>-35</v>
      </c>
      <c r="U187" s="638"/>
      <c r="V187" s="638"/>
      <c r="W187" s="638">
        <v>1.4</v>
      </c>
      <c r="X187" s="638"/>
      <c r="Y187" s="638"/>
      <c r="Z187" s="638"/>
      <c r="AA187" s="638"/>
      <c r="AB187" s="638"/>
      <c r="AC187" s="1239" t="str">
        <f t="shared" si="77"/>
        <v>PH-Q</v>
      </c>
      <c r="AD187" s="638"/>
      <c r="AE187" s="638"/>
      <c r="AF187" s="638"/>
      <c r="AG187" s="446"/>
      <c r="AH187" s="638"/>
      <c r="AI187" s="638"/>
      <c r="AJ187" s="638"/>
      <c r="AK187" s="1239" t="s">
        <v>139</v>
      </c>
      <c r="AL187" s="1239"/>
      <c r="AM187" s="1239"/>
      <c r="AN187" s="455">
        <v>5.5</v>
      </c>
      <c r="AO187" s="1239"/>
      <c r="AP187" s="1239"/>
      <c r="AQ187" s="484"/>
      <c r="AR187" s="484"/>
      <c r="AS187" s="484"/>
      <c r="AT187" s="484">
        <f>+ab($T$187,$T$185,$T$189,$G$186,$G$188, 1*$F$187,1200)</f>
        <v>-7.3297542047300874</v>
      </c>
      <c r="AU187" s="638"/>
      <c r="AV187" s="638"/>
      <c r="AW187" s="638"/>
      <c r="AX187" s="638"/>
      <c r="AY187" s="484"/>
      <c r="AZ187" s="484"/>
      <c r="BA187" s="671"/>
      <c r="BB187" s="1239"/>
      <c r="BC187" s="169"/>
      <c r="BD187" s="1330"/>
      <c r="BE187" s="1329"/>
      <c r="BF187" s="1330"/>
      <c r="BG187" s="1329"/>
    </row>
    <row r="188" spans="1:59" ht="15.75" customHeight="1">
      <c r="A188" s="1239"/>
      <c r="B188" s="445"/>
      <c r="C188" s="446"/>
      <c r="D188" s="638"/>
      <c r="E188" s="638"/>
      <c r="F188" s="447"/>
      <c r="G188" s="455">
        <v>54</v>
      </c>
      <c r="H188" s="1239"/>
      <c r="I188" s="448"/>
      <c r="J188" s="446"/>
      <c r="K188" s="638"/>
      <c r="L188" s="638"/>
      <c r="M188" s="446"/>
      <c r="N188" s="1239"/>
      <c r="O188" s="638"/>
      <c r="P188" s="638"/>
      <c r="Q188" s="638"/>
      <c r="R188" s="638"/>
      <c r="S188" s="484">
        <f t="shared" ref="S188" si="89">AG189-AG187</f>
        <v>0</v>
      </c>
      <c r="T188" s="638"/>
      <c r="U188" s="638"/>
      <c r="V188" s="638"/>
      <c r="W188" s="638"/>
      <c r="X188" s="638"/>
      <c r="Y188" s="638"/>
      <c r="Z188" s="638"/>
      <c r="AA188" s="638"/>
      <c r="AB188" s="638"/>
      <c r="AC188" s="638"/>
      <c r="AD188" s="638"/>
      <c r="AE188" s="638"/>
      <c r="AF188" s="638"/>
      <c r="AG188" s="446"/>
      <c r="AH188" s="638"/>
      <c r="AI188" s="638"/>
      <c r="AJ188" s="638"/>
      <c r="AK188" s="638"/>
      <c r="AL188" s="638"/>
      <c r="AM188" s="638"/>
      <c r="AN188" s="455"/>
      <c r="AO188" s="1239"/>
      <c r="AP188" s="1239"/>
      <c r="AQ188" s="484">
        <f>+FL_2($T$189,$T$187,$G$188,1200,9.28, 1*$F$189)</f>
        <v>-0.51887980809390677</v>
      </c>
      <c r="AR188" s="484"/>
      <c r="AS188" s="484"/>
      <c r="AT188" s="484"/>
      <c r="AU188" s="638"/>
      <c r="AV188" s="638"/>
      <c r="AW188" s="638"/>
      <c r="AX188" s="638"/>
      <c r="AY188" s="484"/>
      <c r="AZ188" s="484"/>
      <c r="BA188" s="671"/>
      <c r="BB188" s="1239"/>
      <c r="BC188" s="169"/>
      <c r="BD188" s="1330"/>
      <c r="BE188" s="1330"/>
      <c r="BF188" s="1330"/>
      <c r="BG188" s="1330"/>
    </row>
    <row r="189" spans="1:59" ht="15.75" customHeight="1">
      <c r="A189" s="1239"/>
      <c r="B189" s="485" t="s">
        <v>3120</v>
      </c>
      <c r="C189" s="446">
        <f>+$C$187+$G$188</f>
        <v>89463.05</v>
      </c>
      <c r="D189" s="638"/>
      <c r="E189" s="638"/>
      <c r="F189" s="448">
        <v>2414</v>
      </c>
      <c r="G189" s="455"/>
      <c r="H189" s="1239"/>
      <c r="I189" s="448"/>
      <c r="J189" s="446"/>
      <c r="K189" s="638"/>
      <c r="L189" s="638"/>
      <c r="M189" s="446"/>
      <c r="N189" s="1239" t="s">
        <v>844</v>
      </c>
      <c r="O189" s="638"/>
      <c r="P189" s="638"/>
      <c r="Q189" s="638"/>
      <c r="R189" s="638"/>
      <c r="S189" s="484"/>
      <c r="T189" s="638">
        <v>30</v>
      </c>
      <c r="U189" s="638"/>
      <c r="V189" s="638"/>
      <c r="W189" s="638">
        <v>1.4</v>
      </c>
      <c r="X189" s="638"/>
      <c r="Y189" s="638"/>
      <c r="Z189" s="638"/>
      <c r="AA189" s="638"/>
      <c r="AB189" s="638"/>
      <c r="AC189" s="1239" t="str">
        <f t="shared" si="77"/>
        <v>PH-Q</v>
      </c>
      <c r="AD189" s="638"/>
      <c r="AE189" s="638"/>
      <c r="AF189" s="638"/>
      <c r="AG189" s="446"/>
      <c r="AH189" s="638"/>
      <c r="AI189" s="638"/>
      <c r="AJ189" s="638"/>
      <c r="AK189" s="1239" t="s">
        <v>139</v>
      </c>
      <c r="AL189" s="1239"/>
      <c r="AM189" s="1239"/>
      <c r="AN189" s="455">
        <v>5.5</v>
      </c>
      <c r="AO189" s="1239"/>
      <c r="AP189" s="1239"/>
      <c r="AQ189" s="484"/>
      <c r="AR189" s="484"/>
      <c r="AS189" s="484"/>
      <c r="AT189" s="484">
        <f>+ab($T$189,$T$187,$T$191,$G$188,$G$190, 1*$F$189,1200)</f>
        <v>5.6959857686834745</v>
      </c>
      <c r="AU189" s="638"/>
      <c r="AV189" s="638"/>
      <c r="AW189" s="638"/>
      <c r="AX189" s="638"/>
      <c r="AY189" s="484"/>
      <c r="AZ189" s="484"/>
      <c r="BA189" s="671"/>
      <c r="BB189" s="1239"/>
      <c r="BC189" s="169"/>
      <c r="BD189" s="1330"/>
      <c r="BE189" s="1329"/>
      <c r="BF189" s="1330"/>
      <c r="BG189" s="1329"/>
    </row>
    <row r="190" spans="1:59" ht="15.75" customHeight="1">
      <c r="A190" s="1239"/>
      <c r="B190" s="445"/>
      <c r="C190" s="446"/>
      <c r="D190" s="638"/>
      <c r="E190" s="638"/>
      <c r="F190" s="448"/>
      <c r="G190" s="455">
        <v>50</v>
      </c>
      <c r="H190" s="1239"/>
      <c r="I190" s="448"/>
      <c r="J190" s="446"/>
      <c r="K190" s="638"/>
      <c r="L190" s="638"/>
      <c r="M190" s="446"/>
      <c r="N190" s="1239"/>
      <c r="O190" s="638"/>
      <c r="P190" s="638"/>
      <c r="Q190" s="638"/>
      <c r="R190" s="638"/>
      <c r="S190" s="484">
        <f t="shared" ref="S190" si="90">AG191-AG189</f>
        <v>0</v>
      </c>
      <c r="T190" s="638"/>
      <c r="U190" s="638"/>
      <c r="V190" s="638"/>
      <c r="W190" s="638"/>
      <c r="X190" s="638"/>
      <c r="Y190" s="638"/>
      <c r="Z190" s="638"/>
      <c r="AA190" s="638"/>
      <c r="AB190" s="638"/>
      <c r="AC190" s="638"/>
      <c r="AD190" s="638"/>
      <c r="AE190" s="638"/>
      <c r="AF190" s="638"/>
      <c r="AG190" s="446"/>
      <c r="AH190" s="638"/>
      <c r="AI190" s="638"/>
      <c r="AJ190" s="638"/>
      <c r="AK190" s="638"/>
      <c r="AL190" s="638"/>
      <c r="AM190" s="638"/>
      <c r="AN190" s="455"/>
      <c r="AO190" s="1239"/>
      <c r="AP190" s="1239"/>
      <c r="AQ190" s="484">
        <f>+FL_1($T$191,$T$189,$G$190,1200,9.28, 1*$F$191)</f>
        <v>0.30561843450360959</v>
      </c>
      <c r="AR190" s="484"/>
      <c r="AS190" s="484"/>
      <c r="AT190" s="484"/>
      <c r="AU190" s="638"/>
      <c r="AV190" s="638"/>
      <c r="AW190" s="638"/>
      <c r="AX190" s="638"/>
      <c r="AY190" s="484"/>
      <c r="AZ190" s="484"/>
      <c r="BA190" s="671"/>
      <c r="BB190" s="1239"/>
      <c r="BC190" s="169"/>
      <c r="BD190" s="1330"/>
      <c r="BE190" s="1330"/>
      <c r="BF190" s="1330"/>
      <c r="BG190" s="1330"/>
    </row>
    <row r="191" spans="1:59" ht="15.75" customHeight="1">
      <c r="A191" s="1239"/>
      <c r="B191" s="485" t="s">
        <v>3121</v>
      </c>
      <c r="C191" s="446">
        <f>+$C$189+$G$190</f>
        <v>89513.05</v>
      </c>
      <c r="D191" s="638"/>
      <c r="E191" s="638"/>
      <c r="F191" s="448">
        <v>1324</v>
      </c>
      <c r="G191" s="455"/>
      <c r="H191" s="1239"/>
      <c r="I191" s="448"/>
      <c r="J191" s="446"/>
      <c r="K191" s="638"/>
      <c r="L191" s="638"/>
      <c r="M191" s="446"/>
      <c r="N191" s="1239" t="s">
        <v>844</v>
      </c>
      <c r="O191" s="638"/>
      <c r="P191" s="638"/>
      <c r="Q191" s="638"/>
      <c r="R191" s="638"/>
      <c r="S191" s="484"/>
      <c r="T191" s="638">
        <v>30</v>
      </c>
      <c r="U191" s="638"/>
      <c r="V191" s="638"/>
      <c r="W191" s="638">
        <v>1.4</v>
      </c>
      <c r="X191" s="638"/>
      <c r="Y191" s="638"/>
      <c r="Z191" s="638"/>
      <c r="AA191" s="638"/>
      <c r="AB191" s="638"/>
      <c r="AC191" s="1239" t="str">
        <f t="shared" si="77"/>
        <v>PH-Q</v>
      </c>
      <c r="AD191" s="638"/>
      <c r="AE191" s="638"/>
      <c r="AF191" s="638"/>
      <c r="AG191" s="446"/>
      <c r="AH191" s="638"/>
      <c r="AI191" s="638"/>
      <c r="AJ191" s="638"/>
      <c r="AK191" s="1239" t="s">
        <v>139</v>
      </c>
      <c r="AL191" s="1239"/>
      <c r="AM191" s="1239"/>
      <c r="AN191" s="455">
        <v>5.5</v>
      </c>
      <c r="AO191" s="1239"/>
      <c r="AP191" s="1239"/>
      <c r="AQ191" s="484"/>
      <c r="AR191" s="484"/>
      <c r="AS191" s="484"/>
      <c r="AT191" s="484">
        <f>+ab($T$191,$T$189,$T$193,$G$190,$G$192, 1*$F$191,1200)</f>
        <v>5.5784707763610593</v>
      </c>
      <c r="AU191" s="638"/>
      <c r="AV191" s="638"/>
      <c r="AW191" s="638"/>
      <c r="AX191" s="638"/>
      <c r="AY191" s="484"/>
      <c r="AZ191" s="484"/>
      <c r="BA191" s="671"/>
      <c r="BB191" s="1239"/>
      <c r="BC191" s="169"/>
      <c r="BD191" s="1330"/>
      <c r="BE191" s="1329"/>
      <c r="BF191" s="1330"/>
      <c r="BG191" s="1329"/>
    </row>
    <row r="192" spans="1:59" ht="15.75" customHeight="1">
      <c r="A192" s="1239"/>
      <c r="B192" s="445"/>
      <c r="C192" s="446"/>
      <c r="D192" s="638"/>
      <c r="E192" s="638"/>
      <c r="F192" s="447"/>
      <c r="G192" s="455">
        <v>40.799999999999997</v>
      </c>
      <c r="H192" s="1239"/>
      <c r="I192" s="448"/>
      <c r="J192" s="446"/>
      <c r="K192" s="638"/>
      <c r="L192" s="638"/>
      <c r="M192" s="446"/>
      <c r="N192" s="638"/>
      <c r="O192" s="638"/>
      <c r="P192" s="638"/>
      <c r="Q192" s="638"/>
      <c r="R192" s="638"/>
      <c r="S192" s="484">
        <f t="shared" ref="S192" si="91">AG193-AG191</f>
        <v>89553</v>
      </c>
      <c r="T192" s="638"/>
      <c r="U192" s="638"/>
      <c r="V192" s="638"/>
      <c r="W192" s="638"/>
      <c r="X192" s="638"/>
      <c r="Y192" s="638"/>
      <c r="Z192" s="638"/>
      <c r="AA192" s="638"/>
      <c r="AB192" s="638"/>
      <c r="AC192" s="638"/>
      <c r="AD192" s="638"/>
      <c r="AE192" s="638"/>
      <c r="AF192" s="638"/>
      <c r="AG192" s="446"/>
      <c r="AH192" s="638"/>
      <c r="AI192" s="638"/>
      <c r="AJ192" s="638"/>
      <c r="AK192" s="638"/>
      <c r="AL192" s="638"/>
      <c r="AM192" s="638"/>
      <c r="AN192" s="455"/>
      <c r="AO192" s="1239"/>
      <c r="AP192" s="1239"/>
      <c r="AQ192" s="484">
        <f>+FL_1($T$193,$T$191,$G$192,1200,9.28, 1*$F$193)</f>
        <v>0.3</v>
      </c>
      <c r="AR192" s="484"/>
      <c r="AS192" s="484"/>
      <c r="AT192" s="484"/>
      <c r="AU192" s="638"/>
      <c r="AV192" s="638"/>
      <c r="AW192" s="638"/>
      <c r="AX192" s="638"/>
      <c r="AY192" s="484"/>
      <c r="AZ192" s="484"/>
      <c r="BA192" s="671"/>
      <c r="BB192" s="1239"/>
      <c r="BC192" s="169"/>
      <c r="BD192" s="1330"/>
      <c r="BE192" s="1330"/>
      <c r="BF192" s="1330"/>
      <c r="BG192" s="1330"/>
    </row>
    <row r="193" spans="1:59" ht="15.75" customHeight="1">
      <c r="A193" s="1239"/>
      <c r="B193" s="485" t="s">
        <v>3122</v>
      </c>
      <c r="C193" s="446">
        <f>+$C$191+$G$192</f>
        <v>89553.85</v>
      </c>
      <c r="D193" s="638"/>
      <c r="E193" s="638"/>
      <c r="F193" s="447">
        <v>1006</v>
      </c>
      <c r="G193" s="455"/>
      <c r="H193" s="1239"/>
      <c r="I193" s="448"/>
      <c r="J193" s="446"/>
      <c r="K193" s="638"/>
      <c r="L193" s="638"/>
      <c r="M193" s="446"/>
      <c r="N193" s="1239" t="s">
        <v>844</v>
      </c>
      <c r="O193" s="638"/>
      <c r="P193" s="638"/>
      <c r="Q193" s="638">
        <v>80</v>
      </c>
      <c r="R193" s="638">
        <v>1268.44</v>
      </c>
      <c r="S193" s="484"/>
      <c r="T193" s="638">
        <v>30</v>
      </c>
      <c r="U193" s="638"/>
      <c r="V193" s="638"/>
      <c r="W193" s="638">
        <v>1.4</v>
      </c>
      <c r="X193" s="638"/>
      <c r="Y193" s="638"/>
      <c r="Z193" s="638"/>
      <c r="AA193" s="638"/>
      <c r="AB193" s="638"/>
      <c r="AC193" s="1239" t="s">
        <v>4090</v>
      </c>
      <c r="AD193" s="638"/>
      <c r="AE193" s="638"/>
      <c r="AF193" s="638">
        <v>200</v>
      </c>
      <c r="AG193" s="446">
        <v>89553</v>
      </c>
      <c r="AH193" s="638">
        <v>2383</v>
      </c>
      <c r="AI193" s="638">
        <v>-5178</v>
      </c>
      <c r="AJ193" s="638"/>
      <c r="AK193" s="1239" t="s">
        <v>139</v>
      </c>
      <c r="AL193" s="1239"/>
      <c r="AM193" s="1239"/>
      <c r="AN193" s="455">
        <v>5.5</v>
      </c>
      <c r="AO193" s="1239"/>
      <c r="AP193" s="1239"/>
      <c r="AQ193" s="484"/>
      <c r="AR193" s="484"/>
      <c r="AS193" s="484"/>
      <c r="AT193" s="484">
        <f>+ab($T$193,$T$191,$U$195,$G$192,$G$194, 1*$F$193,1200)</f>
        <v>4.2414980013647678</v>
      </c>
      <c r="AU193" s="638"/>
      <c r="AV193" s="638"/>
      <c r="AW193" s="638"/>
      <c r="AX193" s="638"/>
      <c r="AY193" s="484"/>
      <c r="AZ193" s="484"/>
      <c r="BA193" s="671"/>
      <c r="BB193" s="1239"/>
      <c r="BC193" s="169"/>
      <c r="BD193" s="1330"/>
      <c r="BE193" s="1329"/>
      <c r="BF193" s="1330"/>
      <c r="BG193" s="1329"/>
    </row>
    <row r="194" spans="1:59" ht="15.75" customHeight="1">
      <c r="A194" s="1239"/>
      <c r="B194" s="445"/>
      <c r="C194" s="446"/>
      <c r="D194" s="638"/>
      <c r="E194" s="638"/>
      <c r="F194" s="447"/>
      <c r="G194" s="455">
        <v>40</v>
      </c>
      <c r="H194" s="1239"/>
      <c r="I194" s="448"/>
      <c r="J194" s="446"/>
      <c r="K194" s="638"/>
      <c r="L194" s="638"/>
      <c r="M194" s="446"/>
      <c r="N194" s="638"/>
      <c r="O194" s="638"/>
      <c r="P194" s="638"/>
      <c r="Q194" s="638"/>
      <c r="R194" s="638"/>
      <c r="S194" s="484">
        <f t="shared" ref="S194" si="92">AG195-AG193</f>
        <v>40</v>
      </c>
      <c r="T194" s="638"/>
      <c r="U194" s="638"/>
      <c r="V194" s="638"/>
      <c r="W194" s="638"/>
      <c r="X194" s="638"/>
      <c r="Y194" s="638"/>
      <c r="Z194" s="638"/>
      <c r="AA194" s="638"/>
      <c r="AB194" s="638"/>
      <c r="AC194" s="638"/>
      <c r="AD194" s="638"/>
      <c r="AE194" s="638"/>
      <c r="AF194" s="638"/>
      <c r="AG194" s="446"/>
      <c r="AH194" s="638"/>
      <c r="AI194" s="638"/>
      <c r="AJ194" s="638"/>
      <c r="AK194" s="638"/>
      <c r="AL194" s="638"/>
      <c r="AM194" s="638"/>
      <c r="AN194" s="455"/>
      <c r="AO194" s="1239"/>
      <c r="AP194" s="1239"/>
      <c r="AQ194" s="484">
        <f>+FL_1($U$195,$T$193,$G$194,1200,9.28, 1*$F$195)</f>
        <v>0.29999999999999355</v>
      </c>
      <c r="AR194" s="484"/>
      <c r="AS194" s="484"/>
      <c r="AT194" s="484"/>
      <c r="AU194" s="638"/>
      <c r="AV194" s="638"/>
      <c r="AW194" s="638"/>
      <c r="AX194" s="638"/>
      <c r="AY194" s="484"/>
      <c r="AZ194" s="484"/>
      <c r="BA194" s="671"/>
      <c r="BB194" s="1239"/>
      <c r="BC194" s="169"/>
      <c r="BD194" s="1330"/>
      <c r="BE194" s="1330"/>
      <c r="BF194" s="1330"/>
      <c r="BG194" s="1330"/>
    </row>
    <row r="195" spans="1:59" s="1436" customFormat="1" ht="15.75" customHeight="1">
      <c r="A195" s="1430"/>
      <c r="B195" s="1475" t="s">
        <v>3123</v>
      </c>
      <c r="C195" s="1427">
        <f>+$C$193+$G$194</f>
        <v>89593.85</v>
      </c>
      <c r="D195" s="1431"/>
      <c r="E195" s="1431"/>
      <c r="F195" s="1449">
        <v>1006</v>
      </c>
      <c r="G195" s="1432"/>
      <c r="H195" s="1430" t="s">
        <v>619</v>
      </c>
      <c r="I195" s="1428"/>
      <c r="J195" s="1427"/>
      <c r="K195" s="1431"/>
      <c r="L195" s="1431"/>
      <c r="M195" s="1427"/>
      <c r="N195" s="1430" t="s">
        <v>845</v>
      </c>
      <c r="O195" s="1430" t="s">
        <v>844</v>
      </c>
      <c r="P195" s="1431"/>
      <c r="Q195" s="1431">
        <v>110</v>
      </c>
      <c r="R195" s="1431">
        <v>1006</v>
      </c>
      <c r="S195" s="1429"/>
      <c r="T195" s="1431">
        <v>30</v>
      </c>
      <c r="U195" s="1431">
        <v>10</v>
      </c>
      <c r="V195" s="1431"/>
      <c r="W195" s="1431">
        <v>1.4</v>
      </c>
      <c r="X195" s="1431">
        <v>1.8</v>
      </c>
      <c r="Y195" s="1431"/>
      <c r="Z195" s="1431">
        <v>0.6</v>
      </c>
      <c r="AA195" s="1431"/>
      <c r="AB195" s="1431"/>
      <c r="AC195" s="1430" t="str">
        <f>IF(OR(AT195&gt;8,AT195&lt;-8),"PH",IF(OR(AT195&gt;5,AT195&lt;-5),"PH-Q",IF(OR(AT195&gt;1,AT195&lt;-1),"PH-C")))</f>
        <v>PH-Q</v>
      </c>
      <c r="AD195" s="1431"/>
      <c r="AE195" s="1431"/>
      <c r="AF195" s="1431"/>
      <c r="AG195" s="1427">
        <v>89593</v>
      </c>
      <c r="AH195" s="1431">
        <v>1843</v>
      </c>
      <c r="AI195" s="1431">
        <v>-5095</v>
      </c>
      <c r="AJ195" s="1431"/>
      <c r="AK195" s="1431" t="s">
        <v>228</v>
      </c>
      <c r="AL195" s="1431"/>
      <c r="AM195" s="1431"/>
      <c r="AN195" s="1432">
        <v>5.5</v>
      </c>
      <c r="AO195" s="1430"/>
      <c r="AP195" s="1430"/>
      <c r="AQ195" s="1429"/>
      <c r="AR195" s="1429"/>
      <c r="AS195" s="1429"/>
      <c r="AT195" s="1429">
        <f>+ab($U$195,$T$193,$U$197,$G$194,$G$196, 1*$F$195,1200)</f>
        <v>5.7483086316567702</v>
      </c>
      <c r="AU195" s="1431"/>
      <c r="AV195" s="1431"/>
      <c r="AW195" s="1431"/>
      <c r="AX195" s="1431"/>
      <c r="AY195" s="1429"/>
      <c r="AZ195" s="1429"/>
      <c r="BA195" s="1431"/>
      <c r="BB195" s="1430"/>
      <c r="BC195" s="1434"/>
      <c r="BD195" s="1435"/>
      <c r="BE195" s="1435"/>
      <c r="BF195" s="1435"/>
      <c r="BG195" s="1435"/>
    </row>
    <row r="196" spans="1:59" ht="15.75" customHeight="1">
      <c r="A196" s="1239"/>
      <c r="B196" s="445"/>
      <c r="C196" s="446"/>
      <c r="D196" s="638"/>
      <c r="E196" s="638"/>
      <c r="F196" s="447"/>
      <c r="G196" s="455">
        <v>37</v>
      </c>
      <c r="H196" s="1239"/>
      <c r="I196" s="448"/>
      <c r="J196" s="446"/>
      <c r="K196" s="638"/>
      <c r="L196" s="638"/>
      <c r="M196" s="446"/>
      <c r="N196" s="638"/>
      <c r="O196" s="638"/>
      <c r="P196" s="638"/>
      <c r="Q196" s="638"/>
      <c r="R196" s="638"/>
      <c r="S196" s="484">
        <f t="shared" ref="S196" si="93">AG197-AG195</f>
        <v>37</v>
      </c>
      <c r="T196" s="638"/>
      <c r="U196" s="638"/>
      <c r="V196" s="638"/>
      <c r="W196" s="638"/>
      <c r="X196" s="638"/>
      <c r="Y196" s="638"/>
      <c r="Z196" s="638"/>
      <c r="AA196" s="638"/>
      <c r="AB196" s="638"/>
      <c r="AC196" s="638"/>
      <c r="AD196" s="638"/>
      <c r="AE196" s="638"/>
      <c r="AF196" s="638"/>
      <c r="AG196" s="446"/>
      <c r="AH196" s="638"/>
      <c r="AI196" s="638"/>
      <c r="AJ196" s="638"/>
      <c r="AK196" s="638"/>
      <c r="AL196" s="638"/>
      <c r="AM196" s="638"/>
      <c r="AN196" s="455"/>
      <c r="AO196" s="1239"/>
      <c r="AP196" s="1239"/>
      <c r="AQ196" s="484">
        <f>+FL_1($T$197,$T$195,$G$196,1200,9.28, 1*$F$197)</f>
        <v>0.3</v>
      </c>
      <c r="AR196" s="484"/>
      <c r="AS196" s="484"/>
      <c r="AT196" s="484"/>
      <c r="AU196" s="638"/>
      <c r="AV196" s="638"/>
      <c r="AW196" s="638"/>
      <c r="AX196" s="638"/>
      <c r="AY196" s="484"/>
      <c r="AZ196" s="484"/>
      <c r="BA196" s="671"/>
      <c r="BB196" s="1239"/>
      <c r="BC196" s="169"/>
      <c r="BD196" s="1330"/>
      <c r="BE196" s="1330"/>
      <c r="BF196" s="1330"/>
      <c r="BG196" s="1330"/>
    </row>
    <row r="197" spans="1:59" s="1436" customFormat="1" ht="15.75" customHeight="1">
      <c r="A197" s="1430"/>
      <c r="B197" s="1475" t="s">
        <v>3124</v>
      </c>
      <c r="C197" s="1427">
        <f>+$C$195+$G$196</f>
        <v>89630.85</v>
      </c>
      <c r="D197" s="1431"/>
      <c r="E197" s="1431"/>
      <c r="F197" s="1449">
        <v>1006</v>
      </c>
      <c r="G197" s="1432"/>
      <c r="H197" s="1430" t="s">
        <v>619</v>
      </c>
      <c r="I197" s="1428"/>
      <c r="J197" s="1427"/>
      <c r="K197" s="1431"/>
      <c r="L197" s="1431"/>
      <c r="M197" s="1427"/>
      <c r="N197" s="1430" t="s">
        <v>845</v>
      </c>
      <c r="O197" s="1430" t="s">
        <v>844</v>
      </c>
      <c r="P197" s="1431"/>
      <c r="Q197" s="1431">
        <v>90</v>
      </c>
      <c r="R197" s="1431">
        <v>1006</v>
      </c>
      <c r="S197" s="1429"/>
      <c r="T197" s="1431">
        <v>30</v>
      </c>
      <c r="U197" s="1431">
        <v>10</v>
      </c>
      <c r="V197" s="1431"/>
      <c r="W197" s="1431">
        <v>1.4</v>
      </c>
      <c r="X197" s="1431">
        <v>1.8</v>
      </c>
      <c r="Y197" s="1431"/>
      <c r="Z197" s="1431">
        <v>0.15</v>
      </c>
      <c r="AA197" s="1431"/>
      <c r="AB197" s="1431"/>
      <c r="AC197" s="1430" t="str">
        <f>IF(OR(AT197&gt;8,AT197&lt;-8),"PH",IF(OR(AT197&gt;5,AT197&lt;-5),"PH-Q",IF(OR(AT197&gt;1,AT197&lt;-1),"PH-C")))</f>
        <v>PH-Q</v>
      </c>
      <c r="AD197" s="1431"/>
      <c r="AE197" s="1431"/>
      <c r="AF197" s="1431"/>
      <c r="AG197" s="1427">
        <v>89630</v>
      </c>
      <c r="AH197" s="1431">
        <v>1823</v>
      </c>
      <c r="AI197" s="1431">
        <v>-5190</v>
      </c>
      <c r="AJ197" s="1431"/>
      <c r="AK197" s="1431" t="s">
        <v>228</v>
      </c>
      <c r="AL197" s="1431"/>
      <c r="AM197" s="1431"/>
      <c r="AN197" s="1432">
        <v>5.5</v>
      </c>
      <c r="AO197" s="1430"/>
      <c r="AP197" s="1430"/>
      <c r="AQ197" s="1429"/>
      <c r="AR197" s="1429"/>
      <c r="AS197" s="1429"/>
      <c r="AT197" s="1429">
        <f>+ab($T$197,$T$195,$T$199,$G$196,$G$198, 1*$F$197,1200)</f>
        <v>5.2030561970587605</v>
      </c>
      <c r="AU197" s="1431"/>
      <c r="AV197" s="1431"/>
      <c r="AW197" s="1431"/>
      <c r="AX197" s="1431"/>
      <c r="AY197" s="1429"/>
      <c r="AZ197" s="1429"/>
      <c r="BA197" s="1431"/>
      <c r="BB197" s="1430"/>
      <c r="BC197" s="1434"/>
      <c r="BD197" s="1435"/>
      <c r="BE197" s="1435"/>
      <c r="BF197" s="1435"/>
      <c r="BG197" s="1435"/>
    </row>
    <row r="198" spans="1:59" ht="15.75" customHeight="1">
      <c r="A198" s="1239"/>
      <c r="B198" s="445"/>
      <c r="C198" s="446"/>
      <c r="D198" s="638"/>
      <c r="E198" s="638"/>
      <c r="F198" s="447"/>
      <c r="G198" s="455">
        <v>37</v>
      </c>
      <c r="H198" s="1239"/>
      <c r="I198" s="448"/>
      <c r="J198" s="446"/>
      <c r="K198" s="638"/>
      <c r="L198" s="638"/>
      <c r="M198" s="446"/>
      <c r="N198" s="638"/>
      <c r="O198" s="638"/>
      <c r="P198" s="638"/>
      <c r="Q198" s="638"/>
      <c r="R198" s="638"/>
      <c r="S198" s="484">
        <f t="shared" ref="S198" si="94">AG199-AG197</f>
        <v>37</v>
      </c>
      <c r="T198" s="638"/>
      <c r="U198" s="638"/>
      <c r="V198" s="638"/>
      <c r="W198" s="638"/>
      <c r="X198" s="638"/>
      <c r="Y198" s="638"/>
      <c r="Z198" s="638"/>
      <c r="AA198" s="638"/>
      <c r="AB198" s="638"/>
      <c r="AC198" s="638"/>
      <c r="AD198" s="638"/>
      <c r="AE198" s="638"/>
      <c r="AF198" s="638"/>
      <c r="AG198" s="446"/>
      <c r="AH198" s="638"/>
      <c r="AI198" s="638"/>
      <c r="AJ198" s="638"/>
      <c r="AK198" s="638"/>
      <c r="AL198" s="638"/>
      <c r="AM198" s="638"/>
      <c r="AN198" s="455"/>
      <c r="AO198" s="1239"/>
      <c r="AP198" s="1239"/>
      <c r="AQ198" s="484">
        <f>+FL_1($T$199,$T$197,$G$198,1200,9.28, 1*$F$199)</f>
        <v>0.3</v>
      </c>
      <c r="AR198" s="484"/>
      <c r="AS198" s="484"/>
      <c r="AT198" s="484"/>
      <c r="AU198" s="638"/>
      <c r="AV198" s="638"/>
      <c r="AW198" s="638"/>
      <c r="AX198" s="638"/>
      <c r="AY198" s="484"/>
      <c r="AZ198" s="484"/>
      <c r="BA198" s="671"/>
      <c r="BB198" s="1239"/>
      <c r="BC198" s="169"/>
      <c r="BD198" s="1330"/>
      <c r="BE198" s="1330"/>
      <c r="BF198" s="1330"/>
      <c r="BG198" s="1330"/>
    </row>
    <row r="199" spans="1:59" s="1436" customFormat="1" ht="15.75" customHeight="1">
      <c r="A199" s="1430"/>
      <c r="B199" s="1475" t="s">
        <v>3125</v>
      </c>
      <c r="C199" s="1427">
        <f>+$C$197+$G$198</f>
        <v>89667.85</v>
      </c>
      <c r="D199" s="1431"/>
      <c r="E199" s="1431"/>
      <c r="F199" s="1449">
        <v>1006</v>
      </c>
      <c r="G199" s="1432"/>
      <c r="H199" s="1430" t="s">
        <v>619</v>
      </c>
      <c r="I199" s="1428"/>
      <c r="J199" s="1427"/>
      <c r="K199" s="1431"/>
      <c r="L199" s="1431"/>
      <c r="M199" s="1427"/>
      <c r="N199" s="1430" t="s">
        <v>844</v>
      </c>
      <c r="O199" s="1430" t="s">
        <v>845</v>
      </c>
      <c r="P199" s="1431"/>
      <c r="Q199" s="1431">
        <v>-100</v>
      </c>
      <c r="R199" s="1431">
        <v>1006</v>
      </c>
      <c r="S199" s="1429"/>
      <c r="T199" s="1431">
        <v>30</v>
      </c>
      <c r="U199" s="1431">
        <v>10</v>
      </c>
      <c r="V199" s="1431"/>
      <c r="W199" s="1431">
        <v>1.4</v>
      </c>
      <c r="X199" s="1431">
        <v>1.8</v>
      </c>
      <c r="Y199" s="1431"/>
      <c r="Z199" s="1431"/>
      <c r="AA199" s="1431">
        <v>0.15</v>
      </c>
      <c r="AB199" s="1431"/>
      <c r="AC199" s="1430" t="str">
        <f t="shared" ref="AC199:AC257" si="95">IF(OR(AT199&gt;8,AT199&lt;-8),"PH",IF(OR(AT199&gt;5,AT199&lt;-5),"PH-Q",IF(OR(AT199&gt;1,AT199&lt;-1),"PH-C")))</f>
        <v>PH-C</v>
      </c>
      <c r="AD199" s="1431"/>
      <c r="AE199" s="1431"/>
      <c r="AF199" s="1431"/>
      <c r="AG199" s="1427">
        <v>89667</v>
      </c>
      <c r="AH199" s="1431">
        <v>1853</v>
      </c>
      <c r="AI199" s="1431">
        <v>-4993</v>
      </c>
      <c r="AJ199" s="1431"/>
      <c r="AK199" s="1431" t="s">
        <v>228</v>
      </c>
      <c r="AL199" s="1431"/>
      <c r="AM199" s="1431"/>
      <c r="AN199" s="1432">
        <v>5.5</v>
      </c>
      <c r="AO199" s="1430"/>
      <c r="AP199" s="1430"/>
      <c r="AQ199" s="1429"/>
      <c r="AR199" s="1429"/>
      <c r="AS199" s="1429"/>
      <c r="AT199" s="1429">
        <f>+ab($T$199,$T$197,$T$201,$G$198,$G$200, 1*$F$199,1200)</f>
        <v>3.6161120401217226</v>
      </c>
      <c r="AU199" s="1431"/>
      <c r="AV199" s="1431"/>
      <c r="AW199" s="1431"/>
      <c r="AX199" s="1431"/>
      <c r="AY199" s="1429"/>
      <c r="AZ199" s="1429"/>
      <c r="BA199" s="1431"/>
      <c r="BB199" s="1430"/>
      <c r="BC199" s="1434"/>
      <c r="BD199" s="1435"/>
      <c r="BE199" s="1435"/>
      <c r="BF199" s="1435"/>
      <c r="BG199" s="1435"/>
    </row>
    <row r="200" spans="1:59" ht="15.75" customHeight="1">
      <c r="A200" s="1239"/>
      <c r="B200" s="445"/>
      <c r="C200" s="446"/>
      <c r="D200" s="638"/>
      <c r="E200" s="638"/>
      <c r="F200" s="447"/>
      <c r="G200" s="455">
        <v>37</v>
      </c>
      <c r="H200" s="1239"/>
      <c r="I200" s="448"/>
      <c r="J200" s="446"/>
      <c r="K200" s="638"/>
      <c r="L200" s="638"/>
      <c r="M200" s="446"/>
      <c r="N200" s="638"/>
      <c r="O200" s="638"/>
      <c r="P200" s="638"/>
      <c r="Q200" s="638"/>
      <c r="R200" s="638"/>
      <c r="S200" s="484">
        <f t="shared" ref="S200" si="96">AG201-AG199</f>
        <v>37</v>
      </c>
      <c r="T200" s="638"/>
      <c r="U200" s="638"/>
      <c r="V200" s="638"/>
      <c r="W200" s="638"/>
      <c r="X200" s="638"/>
      <c r="Y200" s="638"/>
      <c r="Z200" s="638"/>
      <c r="AA200" s="638"/>
      <c r="AB200" s="638"/>
      <c r="AC200" s="638"/>
      <c r="AD200" s="638"/>
      <c r="AE200" s="638"/>
      <c r="AF200" s="638"/>
      <c r="AG200" s="446"/>
      <c r="AH200" s="638"/>
      <c r="AI200" s="638"/>
      <c r="AJ200" s="638"/>
      <c r="AK200" s="638"/>
      <c r="AL200" s="638"/>
      <c r="AM200" s="638"/>
      <c r="AN200" s="455"/>
      <c r="AO200" s="1239"/>
      <c r="AP200" s="1239"/>
      <c r="AQ200" s="484">
        <f>+FL_2($T$201,$U$199,$G$200,1200,9.28,-1*$F$201)</f>
        <v>-0.3</v>
      </c>
      <c r="AR200" s="484"/>
      <c r="AS200" s="484"/>
      <c r="AT200" s="484"/>
      <c r="AU200" s="638"/>
      <c r="AV200" s="638"/>
      <c r="AW200" s="638"/>
      <c r="AX200" s="638"/>
      <c r="AY200" s="484"/>
      <c r="AZ200" s="484"/>
      <c r="BA200" s="671"/>
      <c r="BB200" s="1239"/>
      <c r="BC200" s="169"/>
      <c r="BD200" s="1330"/>
      <c r="BE200" s="1330"/>
      <c r="BF200" s="1330"/>
      <c r="BG200" s="1330"/>
    </row>
    <row r="201" spans="1:59" s="1436" customFormat="1" ht="15.75" customHeight="1">
      <c r="A201" s="1430"/>
      <c r="B201" s="1475" t="s">
        <v>3126</v>
      </c>
      <c r="C201" s="1427">
        <f>+$C$199+$G$200</f>
        <v>89704.85</v>
      </c>
      <c r="D201" s="1431"/>
      <c r="E201" s="1431"/>
      <c r="F201" s="1449">
        <v>1006</v>
      </c>
      <c r="G201" s="1432"/>
      <c r="H201" s="1430" t="s">
        <v>619</v>
      </c>
      <c r="I201" s="1428"/>
      <c r="J201" s="1427"/>
      <c r="K201" s="1431"/>
      <c r="L201" s="1431"/>
      <c r="M201" s="1427"/>
      <c r="N201" s="1430" t="s">
        <v>843</v>
      </c>
      <c r="O201" s="1430" t="s">
        <v>845</v>
      </c>
      <c r="P201" s="1431"/>
      <c r="Q201" s="1431">
        <v>80</v>
      </c>
      <c r="R201" s="1431">
        <v>1006</v>
      </c>
      <c r="S201" s="1429"/>
      <c r="T201" s="1431">
        <v>-30</v>
      </c>
      <c r="U201" s="1431">
        <v>-10</v>
      </c>
      <c r="V201" s="1431"/>
      <c r="W201" s="1431">
        <v>1.8</v>
      </c>
      <c r="X201" s="1431">
        <v>1.4</v>
      </c>
      <c r="Y201" s="1431"/>
      <c r="Z201" s="1431"/>
      <c r="AA201" s="1431">
        <v>0.6</v>
      </c>
      <c r="AB201" s="1431"/>
      <c r="AC201" s="1430" t="str">
        <f t="shared" si="95"/>
        <v>PH-C</v>
      </c>
      <c r="AD201" s="1431"/>
      <c r="AE201" s="1431"/>
      <c r="AF201" s="1431"/>
      <c r="AG201" s="1427">
        <v>89704</v>
      </c>
      <c r="AH201" s="1431">
        <v>1843</v>
      </c>
      <c r="AI201" s="1431">
        <v>-5066</v>
      </c>
      <c r="AJ201" s="1431"/>
      <c r="AK201" s="1431" t="s">
        <v>228</v>
      </c>
      <c r="AL201" s="1431"/>
      <c r="AM201" s="1431"/>
      <c r="AN201" s="1432">
        <v>5.5</v>
      </c>
      <c r="AO201" s="1430"/>
      <c r="AP201" s="1430"/>
      <c r="AQ201" s="1429"/>
      <c r="AR201" s="1429"/>
      <c r="AS201" s="1429"/>
      <c r="AT201" s="1429">
        <f>+ab($T$201,$T$199,$T$203,$G$200,$G$202,-1*$F$201,1200)</f>
        <v>-3.6161120401217226</v>
      </c>
      <c r="AU201" s="1431"/>
      <c r="AV201" s="1431"/>
      <c r="AW201" s="1431"/>
      <c r="AX201" s="1431"/>
      <c r="AY201" s="1429"/>
      <c r="AZ201" s="1429"/>
      <c r="BA201" s="1431"/>
      <c r="BB201" s="1430"/>
      <c r="BC201" s="1434"/>
      <c r="BD201" s="1435"/>
      <c r="BE201" s="1435"/>
      <c r="BF201" s="1435"/>
      <c r="BG201" s="1435"/>
    </row>
    <row r="202" spans="1:59" ht="15.75" customHeight="1">
      <c r="A202" s="1239"/>
      <c r="B202" s="445"/>
      <c r="C202" s="446"/>
      <c r="D202" s="638"/>
      <c r="E202" s="638"/>
      <c r="F202" s="447"/>
      <c r="G202" s="455">
        <v>37</v>
      </c>
      <c r="H202" s="1239"/>
      <c r="I202" s="448"/>
      <c r="J202" s="446"/>
      <c r="K202" s="638"/>
      <c r="L202" s="638"/>
      <c r="M202" s="446"/>
      <c r="N202" s="638"/>
      <c r="O202" s="638"/>
      <c r="P202" s="638"/>
      <c r="Q202" s="638"/>
      <c r="R202" s="638"/>
      <c r="S202" s="484">
        <f t="shared" ref="S202" si="97">AG203-AG201</f>
        <v>37</v>
      </c>
      <c r="T202" s="638"/>
      <c r="U202" s="638"/>
      <c r="V202" s="638"/>
      <c r="W202" s="638"/>
      <c r="X202" s="638"/>
      <c r="Y202" s="638"/>
      <c r="Z202" s="638"/>
      <c r="AA202" s="638"/>
      <c r="AB202" s="638"/>
      <c r="AC202" s="638"/>
      <c r="AD202" s="638"/>
      <c r="AE202" s="638"/>
      <c r="AF202" s="638"/>
      <c r="AG202" s="446"/>
      <c r="AH202" s="638"/>
      <c r="AI202" s="638"/>
      <c r="AJ202" s="638"/>
      <c r="AK202" s="638"/>
      <c r="AL202" s="638"/>
      <c r="AM202" s="638"/>
      <c r="AN202" s="455"/>
      <c r="AO202" s="1239"/>
      <c r="AP202" s="1239"/>
      <c r="AQ202" s="484">
        <f>+FL_2($T$203,$T$201,$G$202,1200,9.28,-1*$F$203)</f>
        <v>-0.3</v>
      </c>
      <c r="AR202" s="484"/>
      <c r="AS202" s="484"/>
      <c r="AT202" s="484"/>
      <c r="AU202" s="638"/>
      <c r="AV202" s="638"/>
      <c r="AW202" s="638"/>
      <c r="AX202" s="638"/>
      <c r="AY202" s="484"/>
      <c r="AZ202" s="484"/>
      <c r="BA202" s="671"/>
      <c r="BB202" s="1239"/>
      <c r="BC202" s="169"/>
      <c r="BD202" s="1330"/>
      <c r="BE202" s="1330"/>
      <c r="BF202" s="1330"/>
      <c r="BG202" s="1330"/>
    </row>
    <row r="203" spans="1:59" s="1436" customFormat="1" ht="15.75" customHeight="1">
      <c r="A203" s="1430"/>
      <c r="B203" s="1475" t="s">
        <v>3127</v>
      </c>
      <c r="C203" s="1427">
        <f>+$C$201+$G$202</f>
        <v>89741.85</v>
      </c>
      <c r="D203" s="1431"/>
      <c r="E203" s="1431"/>
      <c r="F203" s="1449">
        <v>1006</v>
      </c>
      <c r="G203" s="1432"/>
      <c r="H203" s="1430"/>
      <c r="I203" s="1428"/>
      <c r="J203" s="1427"/>
      <c r="K203" s="1431"/>
      <c r="L203" s="1431"/>
      <c r="M203" s="1427"/>
      <c r="N203" s="1430" t="s">
        <v>843</v>
      </c>
      <c r="O203" s="1431"/>
      <c r="P203" s="1431"/>
      <c r="Q203" s="1431">
        <v>100</v>
      </c>
      <c r="R203" s="1431">
        <v>1006</v>
      </c>
      <c r="S203" s="1429"/>
      <c r="T203" s="1431">
        <v>-30</v>
      </c>
      <c r="U203" s="1431"/>
      <c r="V203" s="1431"/>
      <c r="W203" s="1431">
        <v>1.4</v>
      </c>
      <c r="X203" s="1431"/>
      <c r="Y203" s="1431"/>
      <c r="Z203" s="1431"/>
      <c r="AA203" s="1431"/>
      <c r="AB203" s="1431"/>
      <c r="AC203" s="1430" t="str">
        <f t="shared" si="95"/>
        <v>PH-Q</v>
      </c>
      <c r="AD203" s="1431"/>
      <c r="AE203" s="1431"/>
      <c r="AF203" s="1431"/>
      <c r="AG203" s="1427">
        <v>89741</v>
      </c>
      <c r="AH203" s="1431">
        <v>1643</v>
      </c>
      <c r="AI203" s="1431">
        <v>-5057</v>
      </c>
      <c r="AJ203" s="1431"/>
      <c r="AK203" s="1430" t="s">
        <v>139</v>
      </c>
      <c r="AL203" s="1430"/>
      <c r="AM203" s="1430"/>
      <c r="AN203" s="1432">
        <v>5.5</v>
      </c>
      <c r="AO203" s="1430"/>
      <c r="AP203" s="1430"/>
      <c r="AQ203" s="1429"/>
      <c r="AR203" s="1429"/>
      <c r="AS203" s="1429"/>
      <c r="AT203" s="1429">
        <f>+ab($T$203,$T$201,$T$205,$G$202,$G$204,-1*$F$203,1200)</f>
        <v>-5.0013885789966448</v>
      </c>
      <c r="AU203" s="1431"/>
      <c r="AV203" s="1431"/>
      <c r="AW203" s="1431"/>
      <c r="AX203" s="1431"/>
      <c r="AY203" s="1429"/>
      <c r="AZ203" s="1429"/>
      <c r="BA203" s="1431"/>
      <c r="BB203" s="1430"/>
      <c r="BC203" s="1434"/>
      <c r="BD203" s="1435"/>
      <c r="BE203" s="1435"/>
      <c r="BF203" s="1435"/>
      <c r="BG203" s="1435"/>
    </row>
    <row r="204" spans="1:59" ht="15.75" customHeight="1">
      <c r="A204" s="1239"/>
      <c r="B204" s="445"/>
      <c r="C204" s="446"/>
      <c r="D204" s="638"/>
      <c r="E204" s="638"/>
      <c r="F204" s="447"/>
      <c r="G204" s="455">
        <v>40</v>
      </c>
      <c r="H204" s="1239"/>
      <c r="I204" s="448"/>
      <c r="J204" s="446"/>
      <c r="K204" s="638"/>
      <c r="L204" s="638"/>
      <c r="M204" s="446"/>
      <c r="N204" s="638"/>
      <c r="O204" s="638"/>
      <c r="P204" s="638"/>
      <c r="Q204" s="638"/>
      <c r="R204" s="638"/>
      <c r="S204" s="484">
        <f t="shared" ref="S204" si="98">AG205-AG203</f>
        <v>40</v>
      </c>
      <c r="T204" s="638"/>
      <c r="U204" s="638"/>
      <c r="V204" s="638"/>
      <c r="W204" s="638"/>
      <c r="X204" s="638"/>
      <c r="Y204" s="638"/>
      <c r="Z204" s="638"/>
      <c r="AA204" s="638"/>
      <c r="AB204" s="638"/>
      <c r="AC204" s="638"/>
      <c r="AD204" s="638"/>
      <c r="AE204" s="638"/>
      <c r="AF204" s="638"/>
      <c r="AG204" s="446"/>
      <c r="AH204" s="638"/>
      <c r="AI204" s="638"/>
      <c r="AJ204" s="638"/>
      <c r="AK204" s="638"/>
      <c r="AL204" s="638"/>
      <c r="AM204" s="638"/>
      <c r="AN204" s="455"/>
      <c r="AO204" s="1239"/>
      <c r="AP204" s="1239"/>
      <c r="AQ204" s="484">
        <f>+FL_2($T$205,$T$203,$G$204,1200,9.28,-1*$F$205)</f>
        <v>-0.3</v>
      </c>
      <c r="AR204" s="484"/>
      <c r="AS204" s="484"/>
      <c r="AT204" s="484"/>
      <c r="AU204" s="638"/>
      <c r="AV204" s="638"/>
      <c r="AW204" s="638"/>
      <c r="AX204" s="638"/>
      <c r="AY204" s="484"/>
      <c r="AZ204" s="484"/>
      <c r="BA204" s="671"/>
      <c r="BB204" s="1239"/>
      <c r="BC204" s="169"/>
      <c r="BD204" s="1330"/>
      <c r="BE204" s="1330"/>
      <c r="BF204" s="1330"/>
      <c r="BG204" s="1330"/>
    </row>
    <row r="205" spans="1:59" ht="15.75" customHeight="1">
      <c r="A205" s="1239"/>
      <c r="B205" s="485" t="s">
        <v>3128</v>
      </c>
      <c r="C205" s="446">
        <f>+$C$203+$G$204</f>
        <v>89781.85</v>
      </c>
      <c r="D205" s="638"/>
      <c r="E205" s="638"/>
      <c r="F205" s="447">
        <v>1006</v>
      </c>
      <c r="G205" s="455"/>
      <c r="H205" s="1239"/>
      <c r="I205" s="448"/>
      <c r="J205" s="446"/>
      <c r="K205" s="638"/>
      <c r="L205" s="638"/>
      <c r="M205" s="446"/>
      <c r="N205" s="1239" t="s">
        <v>843</v>
      </c>
      <c r="O205" s="638"/>
      <c r="P205" s="638"/>
      <c r="Q205" s="638">
        <v>80</v>
      </c>
      <c r="R205" s="638">
        <v>1006</v>
      </c>
      <c r="S205" s="484"/>
      <c r="T205" s="638">
        <v>-30</v>
      </c>
      <c r="U205" s="638"/>
      <c r="V205" s="638"/>
      <c r="W205" s="638">
        <v>1.4</v>
      </c>
      <c r="X205" s="638"/>
      <c r="Y205" s="638"/>
      <c r="Z205" s="638"/>
      <c r="AA205" s="638"/>
      <c r="AB205" s="638"/>
      <c r="AC205" s="1239" t="s">
        <v>4115</v>
      </c>
      <c r="AD205" s="638"/>
      <c r="AE205" s="638"/>
      <c r="AF205" s="638">
        <v>400</v>
      </c>
      <c r="AG205" s="446">
        <v>89781</v>
      </c>
      <c r="AH205" s="638">
        <v>1923</v>
      </c>
      <c r="AI205" s="638">
        <v>-4927</v>
      </c>
      <c r="AJ205" s="638"/>
      <c r="AK205" s="1239" t="s">
        <v>139</v>
      </c>
      <c r="AL205" s="1239"/>
      <c r="AM205" s="1239"/>
      <c r="AN205" s="455">
        <v>5.5</v>
      </c>
      <c r="AO205" s="1239"/>
      <c r="AP205" s="1239"/>
      <c r="AQ205" s="484"/>
      <c r="AR205" s="484"/>
      <c r="AS205" s="484"/>
      <c r="AT205" s="484">
        <f>+ab($T$205,$T$203,$T$207,$G$204,$G$206,-1*$F$205,1200)</f>
        <v>-4.5864645959276897</v>
      </c>
      <c r="AU205" s="638"/>
      <c r="AV205" s="638"/>
      <c r="AW205" s="638"/>
      <c r="AX205" s="638"/>
      <c r="AY205" s="484"/>
      <c r="AZ205" s="484"/>
      <c r="BA205" s="671"/>
      <c r="BB205" s="1239"/>
      <c r="BC205" s="169"/>
      <c r="BD205" s="1330"/>
      <c r="BE205" s="1329"/>
      <c r="BF205" s="1330"/>
      <c r="BG205" s="1329"/>
    </row>
    <row r="206" spans="1:59" ht="15.75" customHeight="1">
      <c r="A206" s="1239"/>
      <c r="B206" s="445"/>
      <c r="C206" s="446"/>
      <c r="D206" s="638"/>
      <c r="E206" s="638"/>
      <c r="F206" s="447"/>
      <c r="G206" s="455">
        <v>44</v>
      </c>
      <c r="H206" s="1239"/>
      <c r="I206" s="448"/>
      <c r="J206" s="446"/>
      <c r="K206" s="638"/>
      <c r="L206" s="638"/>
      <c r="M206" s="446"/>
      <c r="N206" s="638"/>
      <c r="O206" s="638"/>
      <c r="P206" s="638"/>
      <c r="Q206" s="638"/>
      <c r="R206" s="638"/>
      <c r="S206" s="484">
        <f t="shared" ref="S206" si="99">AG207-AG205</f>
        <v>44</v>
      </c>
      <c r="T206" s="638"/>
      <c r="U206" s="638"/>
      <c r="V206" s="638"/>
      <c r="W206" s="638"/>
      <c r="X206" s="638"/>
      <c r="Y206" s="638"/>
      <c r="Z206" s="638"/>
      <c r="AA206" s="638"/>
      <c r="AB206" s="638"/>
      <c r="AC206" s="638"/>
      <c r="AD206" s="638"/>
      <c r="AE206" s="638"/>
      <c r="AF206" s="638"/>
      <c r="AG206" s="446"/>
      <c r="AH206" s="638"/>
      <c r="AI206" s="638"/>
      <c r="AJ206" s="638"/>
      <c r="AK206" s="638"/>
      <c r="AL206" s="638"/>
      <c r="AM206" s="638"/>
      <c r="AN206" s="455"/>
      <c r="AO206" s="1239"/>
      <c r="AP206" s="1239"/>
      <c r="AQ206" s="484">
        <f>+FL_2($T$207,$T$205,$G$206,1200,9.28,-1*$F$207)</f>
        <v>-0.30004856555077053</v>
      </c>
      <c r="AR206" s="484"/>
      <c r="AS206" s="484"/>
      <c r="AT206" s="484"/>
      <c r="AU206" s="638"/>
      <c r="AV206" s="638"/>
      <c r="AW206" s="638"/>
      <c r="AX206" s="638"/>
      <c r="AY206" s="484"/>
      <c r="AZ206" s="484"/>
      <c r="BA206" s="671"/>
      <c r="BB206" s="1239"/>
      <c r="BC206" s="169"/>
      <c r="BD206" s="1330"/>
      <c r="BE206" s="1330"/>
      <c r="BF206" s="1330"/>
      <c r="BG206" s="1330"/>
    </row>
    <row r="207" spans="1:59" ht="15.75" customHeight="1">
      <c r="A207" s="1239"/>
      <c r="B207" s="485" t="s">
        <v>3129</v>
      </c>
      <c r="C207" s="446">
        <f>+$C$205+$G$206</f>
        <v>89825.85</v>
      </c>
      <c r="D207" s="638"/>
      <c r="E207" s="638"/>
      <c r="F207" s="447">
        <v>1006</v>
      </c>
      <c r="G207" s="455"/>
      <c r="H207" s="1239"/>
      <c r="I207" s="448"/>
      <c r="J207" s="446"/>
      <c r="K207" s="638"/>
      <c r="L207" s="638"/>
      <c r="M207" s="446"/>
      <c r="N207" s="1239" t="s">
        <v>843</v>
      </c>
      <c r="O207" s="638"/>
      <c r="P207" s="638"/>
      <c r="Q207" s="638">
        <v>80</v>
      </c>
      <c r="R207" s="638">
        <v>1006</v>
      </c>
      <c r="S207" s="484"/>
      <c r="T207" s="638">
        <v>-30</v>
      </c>
      <c r="U207" s="638"/>
      <c r="V207" s="638"/>
      <c r="W207" s="638">
        <v>1.4</v>
      </c>
      <c r="X207" s="638"/>
      <c r="Y207" s="638"/>
      <c r="Z207" s="638"/>
      <c r="AA207" s="638"/>
      <c r="AB207" s="638"/>
      <c r="AC207" s="1239" t="s">
        <v>4115</v>
      </c>
      <c r="AD207" s="638"/>
      <c r="AE207" s="638"/>
      <c r="AF207" s="638">
        <v>200</v>
      </c>
      <c r="AG207" s="446">
        <v>89825</v>
      </c>
      <c r="AH207" s="638">
        <v>1883</v>
      </c>
      <c r="AI207" s="638">
        <v>-5117</v>
      </c>
      <c r="AJ207" s="638"/>
      <c r="AK207" s="1239" t="s">
        <v>139</v>
      </c>
      <c r="AL207" s="1239"/>
      <c r="AM207" s="1239"/>
      <c r="AN207" s="455">
        <v>5.5</v>
      </c>
      <c r="AO207" s="1239"/>
      <c r="AP207" s="1239"/>
      <c r="AQ207" s="484"/>
      <c r="AR207" s="484"/>
      <c r="AS207" s="484"/>
      <c r="AT207" s="484">
        <f>+ab($T$207,$T$205,$T$209,$G$206,$G$208,-1*$F$207,1200)</f>
        <v>-4.3788189377970923</v>
      </c>
      <c r="AU207" s="638"/>
      <c r="AV207" s="638"/>
      <c r="AW207" s="638"/>
      <c r="AX207" s="638"/>
      <c r="AY207" s="484"/>
      <c r="AZ207" s="484"/>
      <c r="BA207" s="671"/>
      <c r="BB207" s="1239"/>
      <c r="BC207" s="169"/>
      <c r="BD207" s="1330"/>
      <c r="BE207" s="1329"/>
      <c r="BF207" s="1330"/>
      <c r="BG207" s="1329"/>
    </row>
    <row r="208" spans="1:59" ht="15.75" customHeight="1">
      <c r="A208" s="1239"/>
      <c r="B208" s="445"/>
      <c r="C208" s="446"/>
      <c r="D208" s="638"/>
      <c r="E208" s="638"/>
      <c r="F208" s="447"/>
      <c r="G208" s="455">
        <v>44</v>
      </c>
      <c r="H208" s="1239"/>
      <c r="I208" s="448"/>
      <c r="J208" s="446"/>
      <c r="K208" s="638"/>
      <c r="L208" s="638"/>
      <c r="M208" s="446"/>
      <c r="N208" s="638"/>
      <c r="O208" s="638"/>
      <c r="P208" s="638"/>
      <c r="Q208" s="638"/>
      <c r="R208" s="638"/>
      <c r="S208" s="484">
        <f t="shared" ref="S208" si="100">AG209-AG207</f>
        <v>44</v>
      </c>
      <c r="T208" s="638"/>
      <c r="U208" s="638"/>
      <c r="V208" s="638"/>
      <c r="W208" s="638"/>
      <c r="X208" s="638"/>
      <c r="Y208" s="638"/>
      <c r="Z208" s="638"/>
      <c r="AA208" s="638"/>
      <c r="AB208" s="638"/>
      <c r="AC208" s="638"/>
      <c r="AD208" s="638"/>
      <c r="AE208" s="638"/>
      <c r="AF208" s="638"/>
      <c r="AG208" s="446"/>
      <c r="AH208" s="638"/>
      <c r="AI208" s="638"/>
      <c r="AJ208" s="638"/>
      <c r="AK208" s="638"/>
      <c r="AL208" s="638"/>
      <c r="AM208" s="638"/>
      <c r="AN208" s="455"/>
      <c r="AO208" s="1239"/>
      <c r="AP208" s="1239"/>
      <c r="AQ208" s="484">
        <f>+FL_2($T$209,$T$207,$G$208,1200,9.28,-1*$F$209)</f>
        <v>-0.30004856555077053</v>
      </c>
      <c r="AR208" s="484"/>
      <c r="AS208" s="484"/>
      <c r="AT208" s="484"/>
      <c r="AU208" s="638"/>
      <c r="AV208" s="638"/>
      <c r="AW208" s="638"/>
      <c r="AX208" s="638"/>
      <c r="AY208" s="484"/>
      <c r="AZ208" s="484"/>
      <c r="BA208" s="671"/>
      <c r="BB208" s="1239"/>
      <c r="BC208" s="169"/>
      <c r="BD208" s="1330"/>
      <c r="BE208" s="1330"/>
      <c r="BF208" s="1330"/>
      <c r="BG208" s="1330"/>
    </row>
    <row r="209" spans="1:59" ht="15.75" customHeight="1">
      <c r="A209" s="1239"/>
      <c r="B209" s="485" t="s">
        <v>3130</v>
      </c>
      <c r="C209" s="446">
        <f>+$C$207+$G$208</f>
        <v>89869.85</v>
      </c>
      <c r="D209" s="638"/>
      <c r="E209" s="638"/>
      <c r="F209" s="447">
        <v>1006</v>
      </c>
      <c r="G209" s="455"/>
      <c r="H209" s="1239"/>
      <c r="I209" s="448"/>
      <c r="J209" s="446"/>
      <c r="K209" s="638"/>
      <c r="L209" s="638"/>
      <c r="M209" s="446"/>
      <c r="N209" s="1239" t="s">
        <v>843</v>
      </c>
      <c r="O209" s="638"/>
      <c r="P209" s="638"/>
      <c r="Q209" s="638">
        <v>90</v>
      </c>
      <c r="R209" s="638">
        <v>1006</v>
      </c>
      <c r="S209" s="484"/>
      <c r="T209" s="638">
        <v>-30</v>
      </c>
      <c r="U209" s="638"/>
      <c r="V209" s="638"/>
      <c r="W209" s="638">
        <v>1.4</v>
      </c>
      <c r="X209" s="638"/>
      <c r="Y209" s="638"/>
      <c r="Z209" s="638"/>
      <c r="AA209" s="638"/>
      <c r="AB209" s="638"/>
      <c r="AC209" s="1239" t="s">
        <v>4115</v>
      </c>
      <c r="AD209" s="638"/>
      <c r="AE209" s="638"/>
      <c r="AF209" s="638">
        <v>400</v>
      </c>
      <c r="AG209" s="446">
        <v>89869</v>
      </c>
      <c r="AH209" s="638">
        <v>1833</v>
      </c>
      <c r="AI209" s="638">
        <v>-4995</v>
      </c>
      <c r="AJ209" s="638"/>
      <c r="AK209" s="1239" t="s">
        <v>139</v>
      </c>
      <c r="AL209" s="1239"/>
      <c r="AM209" s="1239"/>
      <c r="AN209" s="455">
        <v>5.5</v>
      </c>
      <c r="AO209" s="1239"/>
      <c r="AP209" s="1239"/>
      <c r="AQ209" s="484"/>
      <c r="AR209" s="484"/>
      <c r="AS209" s="484"/>
      <c r="AT209" s="484">
        <f>+ab($T$209,$T$207,$T$211,$G$208,$G$210,-1*$F$209,1200)</f>
        <v>-4.3788189377970923</v>
      </c>
      <c r="AU209" s="638"/>
      <c r="AV209" s="638"/>
      <c r="AW209" s="638"/>
      <c r="AX209" s="638"/>
      <c r="AY209" s="484"/>
      <c r="AZ209" s="484"/>
      <c r="BA209" s="671"/>
      <c r="BB209" s="1239"/>
      <c r="BC209" s="169"/>
      <c r="BD209" s="1330"/>
      <c r="BE209" s="1329"/>
      <c r="BF209" s="1330"/>
      <c r="BG209" s="1329"/>
    </row>
    <row r="210" spans="1:59" ht="15.75" customHeight="1">
      <c r="A210" s="449"/>
      <c r="B210" s="445"/>
      <c r="C210" s="446"/>
      <c r="D210" s="638"/>
      <c r="E210" s="638"/>
      <c r="F210" s="447"/>
      <c r="G210" s="455">
        <v>44</v>
      </c>
      <c r="H210" s="1239"/>
      <c r="I210" s="448"/>
      <c r="J210" s="446"/>
      <c r="K210" s="638"/>
      <c r="L210" s="638"/>
      <c r="M210" s="446"/>
      <c r="N210" s="638"/>
      <c r="O210" s="638"/>
      <c r="P210" s="638"/>
      <c r="Q210" s="638"/>
      <c r="R210" s="638"/>
      <c r="S210" s="484">
        <f t="shared" ref="S210" si="101">AG211-AG209</f>
        <v>44</v>
      </c>
      <c r="T210" s="638"/>
      <c r="U210" s="638"/>
      <c r="V210" s="638"/>
      <c r="W210" s="638"/>
      <c r="X210" s="638"/>
      <c r="Y210" s="638"/>
      <c r="Z210" s="638"/>
      <c r="AA210" s="638"/>
      <c r="AB210" s="638"/>
      <c r="AC210" s="638"/>
      <c r="AD210" s="638"/>
      <c r="AE210" s="638"/>
      <c r="AF210" s="638"/>
      <c r="AG210" s="446"/>
      <c r="AH210" s="638"/>
      <c r="AI210" s="638"/>
      <c r="AJ210" s="638"/>
      <c r="AK210" s="638"/>
      <c r="AL210" s="638"/>
      <c r="AM210" s="638"/>
      <c r="AN210" s="455"/>
      <c r="AO210" s="1239"/>
      <c r="AP210" s="1239"/>
      <c r="AQ210" s="484">
        <f>+FL_2($T$211,$T$209,$G$210,1200,9.28,-1*$F$211)</f>
        <v>-0.30004856555077053</v>
      </c>
      <c r="AR210" s="484"/>
      <c r="AS210" s="484"/>
      <c r="AT210" s="484"/>
      <c r="AU210" s="638"/>
      <c r="AV210" s="638"/>
      <c r="AW210" s="638"/>
      <c r="AX210" s="638"/>
      <c r="AY210" s="484"/>
      <c r="AZ210" s="484"/>
      <c r="BA210" s="671"/>
      <c r="BB210" s="449"/>
      <c r="BC210" s="169"/>
      <c r="BD210" s="1330"/>
      <c r="BE210" s="1330"/>
      <c r="BF210" s="1330"/>
      <c r="BG210" s="1330"/>
    </row>
    <row r="211" spans="1:59" ht="15.75" customHeight="1">
      <c r="A211" s="1239"/>
      <c r="B211" s="485" t="s">
        <v>2896</v>
      </c>
      <c r="C211" s="446">
        <v>89913.85</v>
      </c>
      <c r="D211" s="638"/>
      <c r="E211" s="638"/>
      <c r="F211" s="447">
        <v>1006</v>
      </c>
      <c r="G211" s="455"/>
      <c r="H211" s="1239"/>
      <c r="I211" s="448"/>
      <c r="J211" s="446"/>
      <c r="K211" s="638"/>
      <c r="L211" s="638"/>
      <c r="M211" s="446"/>
      <c r="N211" s="1239" t="s">
        <v>843</v>
      </c>
      <c r="O211" s="638"/>
      <c r="P211" s="638"/>
      <c r="Q211" s="638">
        <v>110</v>
      </c>
      <c r="R211" s="638">
        <v>1006</v>
      </c>
      <c r="S211" s="484"/>
      <c r="T211" s="638">
        <v>-30</v>
      </c>
      <c r="U211" s="638"/>
      <c r="V211" s="638"/>
      <c r="W211" s="638">
        <v>1.4</v>
      </c>
      <c r="X211" s="638"/>
      <c r="Y211" s="638"/>
      <c r="Z211" s="638"/>
      <c r="AA211" s="638"/>
      <c r="AB211" s="638"/>
      <c r="AC211" s="1239" t="s">
        <v>4115</v>
      </c>
      <c r="AD211" s="638"/>
      <c r="AE211" s="638"/>
      <c r="AF211" s="638">
        <v>200</v>
      </c>
      <c r="AG211" s="446">
        <v>89913</v>
      </c>
      <c r="AH211" s="638">
        <v>1893</v>
      </c>
      <c r="AI211" s="638">
        <v>-5074</v>
      </c>
      <c r="AJ211" s="638"/>
      <c r="AK211" s="1239" t="s">
        <v>139</v>
      </c>
      <c r="AL211" s="1239"/>
      <c r="AM211" s="1239"/>
      <c r="AN211" s="455">
        <v>5.5</v>
      </c>
      <c r="AO211" s="1239"/>
      <c r="AP211" s="1239"/>
      <c r="AQ211" s="484"/>
      <c r="AR211" s="484"/>
      <c r="AS211" s="484"/>
      <c r="AT211" s="484">
        <f>+ab($T$211,$T$209,$T$213,$G$210,$G$212,-1*$F$211,1200)</f>
        <v>-4.3788189377970923</v>
      </c>
      <c r="AU211" s="638"/>
      <c r="AV211" s="638"/>
      <c r="AW211" s="638"/>
      <c r="AX211" s="638"/>
      <c r="AY211" s="484"/>
      <c r="AZ211" s="484"/>
      <c r="BA211" s="671"/>
      <c r="BB211" s="1239"/>
      <c r="BC211" s="169"/>
      <c r="BD211" s="1330"/>
      <c r="BE211" s="1329"/>
      <c r="BF211" s="1330"/>
      <c r="BG211" s="1329"/>
    </row>
    <row r="212" spans="1:59" ht="15.75" customHeight="1">
      <c r="A212" s="449"/>
      <c r="B212" s="445"/>
      <c r="C212" s="446"/>
      <c r="D212" s="638"/>
      <c r="E212" s="638"/>
      <c r="F212" s="448"/>
      <c r="G212" s="455">
        <v>44</v>
      </c>
      <c r="H212" s="1239"/>
      <c r="I212" s="448"/>
      <c r="J212" s="446"/>
      <c r="K212" s="638"/>
      <c r="L212" s="638"/>
      <c r="M212" s="446"/>
      <c r="N212" s="638"/>
      <c r="O212" s="638"/>
      <c r="P212" s="638"/>
      <c r="Q212" s="638"/>
      <c r="R212" s="638"/>
      <c r="S212" s="484">
        <f t="shared" ref="S212" si="102">AG213-AG211</f>
        <v>44</v>
      </c>
      <c r="T212" s="638"/>
      <c r="U212" s="638"/>
      <c r="V212" s="638"/>
      <c r="W212" s="638"/>
      <c r="X212" s="638"/>
      <c r="Y212" s="638"/>
      <c r="Z212" s="638"/>
      <c r="AA212" s="638"/>
      <c r="AB212" s="638"/>
      <c r="AC212" s="638"/>
      <c r="AD212" s="638"/>
      <c r="AE212" s="638"/>
      <c r="AF212" s="638"/>
      <c r="AG212" s="446"/>
      <c r="AH212" s="638"/>
      <c r="AI212" s="638"/>
      <c r="AJ212" s="638"/>
      <c r="AK212" s="638"/>
      <c r="AL212" s="638"/>
      <c r="AM212" s="638"/>
      <c r="AN212" s="455"/>
      <c r="AO212" s="1239"/>
      <c r="AP212" s="1239"/>
      <c r="AQ212" s="484">
        <f>+FL_2($T$213,$T$211,$G$212,1200,9.28,-1*$F$213)</f>
        <v>-0.30004856555077053</v>
      </c>
      <c r="AR212" s="484"/>
      <c r="AS212" s="484"/>
      <c r="AT212" s="484"/>
      <c r="AU212" s="638"/>
      <c r="AV212" s="638"/>
      <c r="AW212" s="638"/>
      <c r="AX212" s="638"/>
      <c r="AY212" s="484"/>
      <c r="AZ212" s="484"/>
      <c r="BA212" s="671"/>
      <c r="BB212" s="449"/>
      <c r="BC212" s="169"/>
      <c r="BD212" s="1330"/>
      <c r="BE212" s="1330"/>
      <c r="BF212" s="1330"/>
      <c r="BG212" s="1330"/>
    </row>
    <row r="213" spans="1:59" ht="15.75" customHeight="1">
      <c r="A213" s="1239"/>
      <c r="B213" s="485" t="s">
        <v>2897</v>
      </c>
      <c r="C213" s="446">
        <f>C211+G212</f>
        <v>89957.85</v>
      </c>
      <c r="D213" s="638"/>
      <c r="E213" s="638"/>
      <c r="F213" s="447">
        <v>1006</v>
      </c>
      <c r="G213" s="455"/>
      <c r="H213" s="1239"/>
      <c r="I213" s="448"/>
      <c r="J213" s="446"/>
      <c r="K213" s="638"/>
      <c r="L213" s="638"/>
      <c r="M213" s="446"/>
      <c r="N213" s="1239" t="s">
        <v>843</v>
      </c>
      <c r="O213" s="638"/>
      <c r="P213" s="638"/>
      <c r="Q213" s="638">
        <v>90</v>
      </c>
      <c r="R213" s="638">
        <v>1006</v>
      </c>
      <c r="S213" s="484"/>
      <c r="T213" s="638">
        <v>-30</v>
      </c>
      <c r="U213" s="638"/>
      <c r="V213" s="638"/>
      <c r="W213" s="638">
        <v>1.4</v>
      </c>
      <c r="X213" s="638"/>
      <c r="Y213" s="638"/>
      <c r="Z213" s="638"/>
      <c r="AA213" s="638"/>
      <c r="AB213" s="638"/>
      <c r="AC213" s="1239" t="s">
        <v>4128</v>
      </c>
      <c r="AD213" s="638"/>
      <c r="AE213" s="638"/>
      <c r="AF213" s="638">
        <v>300</v>
      </c>
      <c r="AG213" s="446">
        <v>89957</v>
      </c>
      <c r="AH213" s="638">
        <v>1963</v>
      </c>
      <c r="AI213" s="638">
        <v>-5025</v>
      </c>
      <c r="AJ213" s="638"/>
      <c r="AK213" s="1239" t="s">
        <v>139</v>
      </c>
      <c r="AL213" s="1239"/>
      <c r="AM213" s="1239"/>
      <c r="AN213" s="455">
        <v>5.5</v>
      </c>
      <c r="AO213" s="1239"/>
      <c r="AP213" s="1239"/>
      <c r="AQ213" s="484"/>
      <c r="AR213" s="484"/>
      <c r="AS213" s="484"/>
      <c r="AT213" s="484">
        <f>+ab($T$213,$T$211,$T$215,$G$212,$G$214,-1*$F$213,1200)</f>
        <v>-3.9357956892023491</v>
      </c>
      <c r="AU213" s="638"/>
      <c r="AV213" s="638"/>
      <c r="AW213" s="638"/>
      <c r="AX213" s="638"/>
      <c r="AY213" s="484"/>
      <c r="AZ213" s="484"/>
      <c r="BA213" s="671"/>
      <c r="BB213" s="1239"/>
      <c r="BC213" s="169"/>
      <c r="BD213" s="1330"/>
      <c r="BE213" s="1329"/>
      <c r="BF213" s="1330"/>
      <c r="BG213" s="1329"/>
    </row>
    <row r="214" spans="1:59" ht="15.75" customHeight="1">
      <c r="A214" s="449"/>
      <c r="B214" s="445"/>
      <c r="C214" s="446"/>
      <c r="D214" s="638"/>
      <c r="E214" s="638"/>
      <c r="F214" s="448"/>
      <c r="G214" s="455">
        <v>45</v>
      </c>
      <c r="H214" s="1239"/>
      <c r="I214" s="448"/>
      <c r="J214" s="446"/>
      <c r="K214" s="638"/>
      <c r="L214" s="638"/>
      <c r="M214" s="446"/>
      <c r="N214" s="638"/>
      <c r="O214" s="638"/>
      <c r="P214" s="638"/>
      <c r="Q214" s="638"/>
      <c r="R214" s="638"/>
      <c r="S214" s="484">
        <f t="shared" ref="S214" si="103">AG215-AG213</f>
        <v>-89957</v>
      </c>
      <c r="T214" s="638"/>
      <c r="U214" s="638"/>
      <c r="V214" s="638"/>
      <c r="W214" s="638"/>
      <c r="X214" s="638"/>
      <c r="Y214" s="638"/>
      <c r="Z214" s="638"/>
      <c r="AA214" s="638"/>
      <c r="AB214" s="638"/>
      <c r="AC214" s="1239"/>
      <c r="AD214" s="638"/>
      <c r="AE214" s="638"/>
      <c r="AF214" s="638"/>
      <c r="AG214" s="446"/>
      <c r="AH214" s="638"/>
      <c r="AI214" s="638"/>
      <c r="AJ214" s="638"/>
      <c r="AK214" s="638"/>
      <c r="AL214" s="638"/>
      <c r="AM214" s="638"/>
      <c r="AN214" s="455"/>
      <c r="AO214" s="1239"/>
      <c r="AP214" s="1239"/>
      <c r="AQ214" s="484">
        <f>+FL_2($T$215,$T$213,$G$214,1200,9.28,-1*$F$215)</f>
        <v>-0.30009411350643367</v>
      </c>
      <c r="AR214" s="484"/>
      <c r="AS214" s="484"/>
      <c r="AT214" s="484"/>
      <c r="AU214" s="638"/>
      <c r="AV214" s="638"/>
      <c r="AW214" s="638"/>
      <c r="AX214" s="638"/>
      <c r="AY214" s="484"/>
      <c r="AZ214" s="484"/>
      <c r="BA214" s="671"/>
      <c r="BB214" s="449"/>
      <c r="BC214" s="169"/>
      <c r="BD214" s="1330"/>
      <c r="BE214" s="1330"/>
      <c r="BF214" s="1330"/>
      <c r="BG214" s="1330"/>
    </row>
    <row r="215" spans="1:59" ht="15.75" customHeight="1">
      <c r="A215" s="449"/>
      <c r="B215" s="445" t="s">
        <v>2898</v>
      </c>
      <c r="C215" s="171">
        <f>C213+G214</f>
        <v>90002.85</v>
      </c>
      <c r="D215" s="638"/>
      <c r="E215" s="638"/>
      <c r="F215" s="448">
        <v>1006</v>
      </c>
      <c r="G215" s="455"/>
      <c r="H215" s="1239" t="s">
        <v>619</v>
      </c>
      <c r="I215" s="448"/>
      <c r="J215" s="446"/>
      <c r="K215" s="638"/>
      <c r="L215" s="638"/>
      <c r="M215" s="446"/>
      <c r="N215" s="638" t="s">
        <v>845</v>
      </c>
      <c r="O215" s="638" t="s">
        <v>843</v>
      </c>
      <c r="P215" s="638"/>
      <c r="Q215" s="638"/>
      <c r="R215" s="638"/>
      <c r="S215" s="484"/>
      <c r="T215" s="638">
        <v>-10</v>
      </c>
      <c r="U215" s="638">
        <v>-30</v>
      </c>
      <c r="V215" s="638"/>
      <c r="W215" s="638">
        <v>1.4</v>
      </c>
      <c r="X215" s="638">
        <v>1.8</v>
      </c>
      <c r="Y215" s="638"/>
      <c r="Z215" s="638">
        <v>0.45</v>
      </c>
      <c r="AA215" s="638"/>
      <c r="AB215" s="638"/>
      <c r="AC215" s="638" t="str">
        <f t="shared" si="95"/>
        <v>PH-C</v>
      </c>
      <c r="AD215" s="638"/>
      <c r="AE215" s="638"/>
      <c r="AF215" s="638"/>
      <c r="AG215" s="446"/>
      <c r="AH215" s="638"/>
      <c r="AI215" s="638"/>
      <c r="AJ215" s="638"/>
      <c r="AK215" s="638" t="s">
        <v>228</v>
      </c>
      <c r="AL215" s="638"/>
      <c r="AM215" s="638"/>
      <c r="AN215" s="455">
        <v>5.5</v>
      </c>
      <c r="AO215" s="1239"/>
      <c r="AP215" s="1239"/>
      <c r="AQ215" s="484"/>
      <c r="AR215" s="484"/>
      <c r="AS215" s="484"/>
      <c r="AT215" s="484">
        <f>+ab($T$215,$T$213,$T$217,$G$214,$G$216,-1*$F$215,1200)</f>
        <v>-4.4772462942664593</v>
      </c>
      <c r="AU215" s="638"/>
      <c r="AV215" s="638"/>
      <c r="AW215" s="638"/>
      <c r="AX215" s="638"/>
      <c r="AY215" s="484"/>
      <c r="AZ215" s="484"/>
      <c r="BA215" s="671"/>
      <c r="BB215" s="449"/>
      <c r="BC215" s="169"/>
      <c r="BD215" s="1330"/>
      <c r="BE215" s="1329"/>
      <c r="BF215" s="1330"/>
      <c r="BG215" s="1329"/>
    </row>
    <row r="216" spans="1:59" ht="15.75" customHeight="1">
      <c r="A216" s="449"/>
      <c r="B216" s="445"/>
      <c r="C216" s="446"/>
      <c r="D216" s="638"/>
      <c r="E216" s="638"/>
      <c r="F216" s="448"/>
      <c r="G216" s="455">
        <v>50</v>
      </c>
      <c r="H216" s="1239"/>
      <c r="I216" s="448"/>
      <c r="J216" s="446"/>
      <c r="K216" s="638"/>
      <c r="L216" s="638"/>
      <c r="M216" s="446"/>
      <c r="N216" s="638"/>
      <c r="O216" s="638"/>
      <c r="P216" s="638"/>
      <c r="Q216" s="638"/>
      <c r="R216" s="638"/>
      <c r="S216" s="484">
        <f t="shared" ref="S216" si="104">AG217-AG215</f>
        <v>0</v>
      </c>
      <c r="T216" s="638"/>
      <c r="U216" s="638"/>
      <c r="V216" s="638"/>
      <c r="W216" s="638"/>
      <c r="X216" s="638"/>
      <c r="Y216" s="638"/>
      <c r="Z216" s="638"/>
      <c r="AA216" s="638"/>
      <c r="AB216" s="638"/>
      <c r="AC216" s="638"/>
      <c r="AD216" s="638"/>
      <c r="AE216" s="638"/>
      <c r="AF216" s="638"/>
      <c r="AG216" s="446"/>
      <c r="AH216" s="638"/>
      <c r="AI216" s="638"/>
      <c r="AJ216" s="638"/>
      <c r="AK216" s="638"/>
      <c r="AL216" s="638"/>
      <c r="AM216" s="638"/>
      <c r="AN216" s="455"/>
      <c r="AO216" s="1239"/>
      <c r="AP216" s="1239"/>
      <c r="AQ216" s="484">
        <f>+FL_2($T$217,$U$215,$G$216,1200,9.28,-1*$F$217)</f>
        <v>-0.30002309235028229</v>
      </c>
      <c r="AR216" s="484"/>
      <c r="AS216" s="484"/>
      <c r="AT216" s="484"/>
      <c r="AU216" s="638"/>
      <c r="AV216" s="638"/>
      <c r="AW216" s="638"/>
      <c r="AX216" s="638"/>
      <c r="AY216" s="484"/>
      <c r="AZ216" s="484"/>
      <c r="BA216" s="671"/>
      <c r="BB216" s="449"/>
      <c r="BC216" s="169"/>
      <c r="BD216" s="1330"/>
      <c r="BE216" s="1330"/>
      <c r="BF216" s="1330"/>
      <c r="BG216" s="1330"/>
    </row>
    <row r="217" spans="1:59" ht="15.75" customHeight="1">
      <c r="A217" s="449"/>
      <c r="B217" s="445" t="s">
        <v>2899</v>
      </c>
      <c r="C217" s="171">
        <f>C215+G216</f>
        <v>90052.85</v>
      </c>
      <c r="D217" s="638"/>
      <c r="E217" s="638"/>
      <c r="F217" s="448">
        <v>1417</v>
      </c>
      <c r="G217" s="455"/>
      <c r="H217" s="1239" t="s">
        <v>619</v>
      </c>
      <c r="I217" s="448"/>
      <c r="J217" s="446"/>
      <c r="K217" s="638"/>
      <c r="L217" s="638"/>
      <c r="M217" s="446"/>
      <c r="N217" s="638" t="s">
        <v>843</v>
      </c>
      <c r="O217" s="638" t="s">
        <v>845</v>
      </c>
      <c r="P217" s="638"/>
      <c r="Q217" s="638"/>
      <c r="R217" s="638"/>
      <c r="S217" s="484"/>
      <c r="T217" s="638">
        <v>-10</v>
      </c>
      <c r="U217" s="638">
        <v>-30</v>
      </c>
      <c r="V217" s="638"/>
      <c r="W217" s="638">
        <v>1.4</v>
      </c>
      <c r="X217" s="638">
        <v>2.2999999999999998</v>
      </c>
      <c r="Y217" s="638"/>
      <c r="Z217" s="638"/>
      <c r="AA217" s="638">
        <v>0.45</v>
      </c>
      <c r="AB217" s="638"/>
      <c r="AC217" s="1239" t="str">
        <f t="shared" si="95"/>
        <v>PH-Q</v>
      </c>
      <c r="AD217" s="638"/>
      <c r="AE217" s="638"/>
      <c r="AF217" s="638"/>
      <c r="AG217" s="446"/>
      <c r="AH217" s="638"/>
      <c r="AI217" s="638"/>
      <c r="AJ217" s="638"/>
      <c r="AK217" s="638" t="s">
        <v>228</v>
      </c>
      <c r="AL217" s="638"/>
      <c r="AM217" s="638"/>
      <c r="AN217" s="455">
        <v>5.5</v>
      </c>
      <c r="AO217" s="1239"/>
      <c r="AP217" s="1239"/>
      <c r="AQ217" s="484"/>
      <c r="AR217" s="484"/>
      <c r="AS217" s="484"/>
      <c r="AT217" s="484">
        <f>+ab($T$217,$T$215,$T$219,$G$216,$G$218,-1*$F$217,1200)</f>
        <v>-5.9223767770359084</v>
      </c>
      <c r="AU217" s="638"/>
      <c r="AV217" s="638"/>
      <c r="AW217" s="638"/>
      <c r="AX217" s="638"/>
      <c r="AY217" s="484"/>
      <c r="AZ217" s="484"/>
      <c r="BA217" s="671"/>
      <c r="BB217" s="449"/>
      <c r="BC217" s="169"/>
      <c r="BD217" s="1330"/>
      <c r="BE217" s="1329"/>
      <c r="BF217" s="1330"/>
      <c r="BG217" s="1329"/>
    </row>
    <row r="218" spans="1:59" ht="15.75" customHeight="1">
      <c r="A218" s="449"/>
      <c r="B218" s="445"/>
      <c r="C218" s="446"/>
      <c r="D218" s="638"/>
      <c r="E218" s="638"/>
      <c r="F218" s="448"/>
      <c r="G218" s="455">
        <v>50</v>
      </c>
      <c r="H218" s="1239"/>
      <c r="I218" s="448"/>
      <c r="J218" s="446"/>
      <c r="K218" s="638"/>
      <c r="L218" s="638"/>
      <c r="M218" s="446"/>
      <c r="N218" s="638"/>
      <c r="O218" s="638"/>
      <c r="P218" s="638"/>
      <c r="Q218" s="638"/>
      <c r="R218" s="638"/>
      <c r="S218" s="484">
        <f t="shared" ref="S218" si="105">AG219-AG217</f>
        <v>90102</v>
      </c>
      <c r="T218" s="638"/>
      <c r="U218" s="638"/>
      <c r="V218" s="638"/>
      <c r="W218" s="638"/>
      <c r="X218" s="638"/>
      <c r="Y218" s="638"/>
      <c r="Z218" s="638"/>
      <c r="AA218" s="638"/>
      <c r="AB218" s="638"/>
      <c r="AC218" s="638"/>
      <c r="AD218" s="638"/>
      <c r="AE218" s="638"/>
      <c r="AF218" s="638"/>
      <c r="AG218" s="446"/>
      <c r="AH218" s="638"/>
      <c r="AI218" s="638"/>
      <c r="AJ218" s="638"/>
      <c r="AK218" s="638"/>
      <c r="AL218" s="638"/>
      <c r="AM218" s="638"/>
      <c r="AN218" s="455"/>
      <c r="AO218" s="1239"/>
      <c r="AP218" s="1239"/>
      <c r="AQ218" s="484">
        <f>+FL_2($T$219,$T$217,$G$218,1200,9.28,-1*$F$219)</f>
        <v>-0.33758011582762237</v>
      </c>
      <c r="AR218" s="484"/>
      <c r="AS218" s="484"/>
      <c r="AT218" s="484"/>
      <c r="AU218" s="638"/>
      <c r="AV218" s="638"/>
      <c r="AW218" s="638"/>
      <c r="AX218" s="638"/>
      <c r="AY218" s="484"/>
      <c r="AZ218" s="484"/>
      <c r="BA218" s="671"/>
      <c r="BB218" s="449"/>
      <c r="BC218" s="169"/>
      <c r="BD218" s="1330"/>
      <c r="BE218" s="1330"/>
      <c r="BF218" s="1330"/>
      <c r="BG218" s="1330"/>
    </row>
    <row r="219" spans="1:59" ht="15.75" customHeight="1">
      <c r="A219" s="449"/>
      <c r="B219" s="445" t="s">
        <v>2900</v>
      </c>
      <c r="C219" s="171">
        <f>C217+G218</f>
        <v>90102.85</v>
      </c>
      <c r="D219" s="638"/>
      <c r="E219" s="638"/>
      <c r="F219" s="448">
        <v>3541</v>
      </c>
      <c r="G219" s="455"/>
      <c r="H219" s="1239"/>
      <c r="I219" s="448"/>
      <c r="J219" s="446"/>
      <c r="K219" s="638"/>
      <c r="L219" s="638"/>
      <c r="M219" s="446"/>
      <c r="N219" s="638" t="s">
        <v>843</v>
      </c>
      <c r="O219" s="638"/>
      <c r="P219" s="638"/>
      <c r="Q219" s="638">
        <v>30</v>
      </c>
      <c r="R219" s="638">
        <v>3577.55</v>
      </c>
      <c r="S219" s="484"/>
      <c r="T219" s="638">
        <v>-25</v>
      </c>
      <c r="U219" s="638"/>
      <c r="V219" s="638"/>
      <c r="W219" s="638">
        <v>1.4</v>
      </c>
      <c r="X219" s="638"/>
      <c r="Y219" s="638"/>
      <c r="Z219" s="638"/>
      <c r="AA219" s="638"/>
      <c r="AB219" s="638"/>
      <c r="AC219" s="1239" t="s">
        <v>4115</v>
      </c>
      <c r="AD219" s="638"/>
      <c r="AE219" s="638"/>
      <c r="AF219" s="638">
        <v>300</v>
      </c>
      <c r="AG219" s="446">
        <v>90102</v>
      </c>
      <c r="AH219" s="638">
        <v>1873</v>
      </c>
      <c r="AI219" s="638">
        <v>-5197</v>
      </c>
      <c r="AJ219" s="638"/>
      <c r="AK219" s="638" t="s">
        <v>139</v>
      </c>
      <c r="AL219" s="638"/>
      <c r="AM219" s="638"/>
      <c r="AN219" s="455">
        <v>5.5</v>
      </c>
      <c r="AO219" s="1239"/>
      <c r="AP219" s="1239"/>
      <c r="AQ219" s="484"/>
      <c r="AR219" s="484"/>
      <c r="AS219" s="484"/>
      <c r="AT219" s="484">
        <f>+ab($T$219,$T$217,$T$221,$G$218,$G$220,-1*$F$219,1200)</f>
        <v>-6.7919949700811539</v>
      </c>
      <c r="AU219" s="638"/>
      <c r="AV219" s="638"/>
      <c r="AW219" s="638"/>
      <c r="AX219" s="638"/>
      <c r="AY219" s="484"/>
      <c r="AZ219" s="484"/>
      <c r="BA219" s="671"/>
      <c r="BB219" s="449"/>
      <c r="BC219" s="169"/>
      <c r="BD219" s="1330"/>
      <c r="BE219" s="1329"/>
      <c r="BF219" s="1330"/>
      <c r="BG219" s="1329"/>
    </row>
    <row r="220" spans="1:59" ht="15.75" customHeight="1">
      <c r="A220" s="449"/>
      <c r="B220" s="445"/>
      <c r="C220" s="446"/>
      <c r="D220" s="638"/>
      <c r="E220" s="638"/>
      <c r="F220" s="448"/>
      <c r="G220" s="455">
        <v>50</v>
      </c>
      <c r="H220" s="1239"/>
      <c r="I220" s="448"/>
      <c r="J220" s="446"/>
      <c r="K220" s="638"/>
      <c r="L220" s="638"/>
      <c r="M220" s="446"/>
      <c r="N220" s="638"/>
      <c r="O220" s="638"/>
      <c r="P220" s="638"/>
      <c r="Q220" s="638"/>
      <c r="R220" s="638"/>
      <c r="S220" s="484">
        <f t="shared" ref="S220" si="106">AG221-AG219</f>
        <v>50</v>
      </c>
      <c r="T220" s="638"/>
      <c r="U220" s="638"/>
      <c r="V220" s="638"/>
      <c r="W220" s="638"/>
      <c r="X220" s="638"/>
      <c r="Y220" s="638"/>
      <c r="Z220" s="638"/>
      <c r="AA220" s="638"/>
      <c r="AB220" s="638"/>
      <c r="AC220" s="638"/>
      <c r="AD220" s="638"/>
      <c r="AE220" s="638"/>
      <c r="AF220" s="638"/>
      <c r="AG220" s="446"/>
      <c r="AH220" s="638"/>
      <c r="AI220" s="638"/>
      <c r="AJ220" s="638"/>
      <c r="AK220" s="638"/>
      <c r="AL220" s="638"/>
      <c r="AM220" s="638"/>
      <c r="AN220" s="455"/>
      <c r="AO220" s="1239"/>
      <c r="AP220" s="1239"/>
      <c r="AQ220" s="484">
        <f>+FL_1($T$221,$T$219,$G$220,1200,9.28,-1*$F$221)</f>
        <v>0.34489941866666662</v>
      </c>
      <c r="AR220" s="484"/>
      <c r="AS220" s="484"/>
      <c r="AT220" s="484"/>
      <c r="AU220" s="638"/>
      <c r="AV220" s="638"/>
      <c r="AW220" s="638"/>
      <c r="AX220" s="638"/>
      <c r="AY220" s="484"/>
      <c r="AZ220" s="484"/>
      <c r="BA220" s="671"/>
      <c r="BB220" s="449"/>
      <c r="BC220" s="169"/>
      <c r="BD220" s="1330"/>
      <c r="BE220" s="1330"/>
      <c r="BF220" s="1330"/>
      <c r="BG220" s="1330"/>
    </row>
    <row r="221" spans="1:59" ht="15.75" customHeight="1">
      <c r="A221" s="449"/>
      <c r="B221" s="445" t="s">
        <v>2901</v>
      </c>
      <c r="C221" s="171">
        <f>C219+G220</f>
        <v>90152.85</v>
      </c>
      <c r="D221" s="638"/>
      <c r="E221" s="638"/>
      <c r="F221" s="448">
        <v>0</v>
      </c>
      <c r="G221" s="455"/>
      <c r="H221" s="1239"/>
      <c r="I221" s="448"/>
      <c r="J221" s="446"/>
      <c r="K221" s="638"/>
      <c r="L221" s="638"/>
      <c r="M221" s="446"/>
      <c r="N221" s="638" t="s">
        <v>844</v>
      </c>
      <c r="O221" s="638"/>
      <c r="P221" s="638"/>
      <c r="Q221" s="638">
        <v>0</v>
      </c>
      <c r="R221" s="638">
        <v>0</v>
      </c>
      <c r="S221" s="484"/>
      <c r="T221" s="638">
        <v>30</v>
      </c>
      <c r="U221" s="638"/>
      <c r="V221" s="638"/>
      <c r="W221" s="638">
        <v>1.4</v>
      </c>
      <c r="X221" s="638"/>
      <c r="Y221" s="638"/>
      <c r="Z221" s="638"/>
      <c r="AA221" s="638"/>
      <c r="AB221" s="638"/>
      <c r="AC221" s="1239" t="s">
        <v>4090</v>
      </c>
      <c r="AD221" s="638"/>
      <c r="AE221" s="638"/>
      <c r="AF221" s="638">
        <v>200</v>
      </c>
      <c r="AG221" s="446">
        <v>90152</v>
      </c>
      <c r="AH221" s="638">
        <v>1833</v>
      </c>
      <c r="AI221" s="638">
        <v>-5277</v>
      </c>
      <c r="AJ221" s="638"/>
      <c r="AK221" s="638" t="s">
        <v>139</v>
      </c>
      <c r="AL221" s="638"/>
      <c r="AM221" s="638"/>
      <c r="AN221" s="455">
        <v>5.5</v>
      </c>
      <c r="AO221" s="1239"/>
      <c r="AP221" s="1239"/>
      <c r="AQ221" s="484"/>
      <c r="AR221" s="484"/>
      <c r="AS221" s="484"/>
      <c r="AT221" s="484">
        <f>+ab($T$221,$T$219,$T$223,$G$220,$G$222,-1*$F$221,1200)</f>
        <v>8.7209759516013161</v>
      </c>
      <c r="AU221" s="638"/>
      <c r="AV221" s="638"/>
      <c r="AW221" s="638"/>
      <c r="AX221" s="638"/>
      <c r="AY221" s="484"/>
      <c r="AZ221" s="484"/>
      <c r="BA221" s="671"/>
      <c r="BB221" s="449"/>
      <c r="BC221" s="169"/>
      <c r="BD221" s="1330"/>
      <c r="BE221" s="1329"/>
      <c r="BF221" s="1330"/>
      <c r="BG221" s="1329"/>
    </row>
    <row r="222" spans="1:59" ht="15.75" customHeight="1">
      <c r="A222" s="449"/>
      <c r="B222" s="445"/>
      <c r="C222" s="446"/>
      <c r="D222" s="638"/>
      <c r="E222" s="638"/>
      <c r="F222" s="448"/>
      <c r="G222" s="455">
        <v>60</v>
      </c>
      <c r="H222" s="1239"/>
      <c r="I222" s="448"/>
      <c r="J222" s="446"/>
      <c r="K222" s="638"/>
      <c r="L222" s="638"/>
      <c r="M222" s="446"/>
      <c r="N222" s="638"/>
      <c r="O222" s="638"/>
      <c r="P222" s="638"/>
      <c r="Q222" s="638"/>
      <c r="R222" s="638"/>
      <c r="S222" s="484">
        <f t="shared" ref="S222" si="107">AG223-AG221</f>
        <v>-90152</v>
      </c>
      <c r="T222" s="638"/>
      <c r="U222" s="638"/>
      <c r="V222" s="638"/>
      <c r="W222" s="638"/>
      <c r="X222" s="638"/>
      <c r="Y222" s="638"/>
      <c r="Z222" s="638"/>
      <c r="AA222" s="638"/>
      <c r="AB222" s="638"/>
      <c r="AC222" s="638"/>
      <c r="AD222" s="638"/>
      <c r="AE222" s="638"/>
      <c r="AF222" s="638"/>
      <c r="AG222" s="446"/>
      <c r="AH222" s="638"/>
      <c r="AI222" s="638"/>
      <c r="AJ222" s="638"/>
      <c r="AK222" s="638"/>
      <c r="AL222" s="638"/>
      <c r="AM222" s="638"/>
      <c r="AN222" s="455"/>
      <c r="AO222" s="1239"/>
      <c r="AP222" s="1239"/>
      <c r="AQ222" s="484">
        <f>+FL_2($T$223,$T$221,$G$222,1200,9.28,-1*$F$223)</f>
        <v>-0.44888002799999999</v>
      </c>
      <c r="AR222" s="484"/>
      <c r="AS222" s="484"/>
      <c r="AT222" s="484"/>
      <c r="AU222" s="638"/>
      <c r="AV222" s="638"/>
      <c r="AW222" s="638"/>
      <c r="AX222" s="638"/>
      <c r="AY222" s="484"/>
      <c r="AZ222" s="484"/>
      <c r="BA222" s="671"/>
      <c r="BB222" s="449"/>
      <c r="BC222" s="169"/>
      <c r="BD222" s="1330"/>
      <c r="BE222" s="1330"/>
      <c r="BF222" s="1330"/>
      <c r="BG222" s="1330"/>
    </row>
    <row r="223" spans="1:59" ht="15.75" customHeight="1">
      <c r="A223" s="449"/>
      <c r="B223" s="445" t="s">
        <v>2902</v>
      </c>
      <c r="C223" s="171">
        <f>C221+G222</f>
        <v>90212.85</v>
      </c>
      <c r="D223" s="638"/>
      <c r="E223" s="638"/>
      <c r="F223" s="448">
        <v>0</v>
      </c>
      <c r="G223" s="455"/>
      <c r="H223" s="1239"/>
      <c r="I223" s="448"/>
      <c r="J223" s="446"/>
      <c r="K223" s="638"/>
      <c r="L223" s="638"/>
      <c r="M223" s="446"/>
      <c r="N223" s="638" t="s">
        <v>843</v>
      </c>
      <c r="O223" s="638"/>
      <c r="P223" s="638"/>
      <c r="Q223" s="638"/>
      <c r="R223" s="638"/>
      <c r="S223" s="484"/>
      <c r="T223" s="638">
        <v>-35</v>
      </c>
      <c r="U223" s="638"/>
      <c r="V223" s="638"/>
      <c r="W223" s="638">
        <v>1.4</v>
      </c>
      <c r="X223" s="638"/>
      <c r="Y223" s="638"/>
      <c r="Z223" s="638"/>
      <c r="AA223" s="638"/>
      <c r="AB223" s="638"/>
      <c r="AC223" s="1239" t="str">
        <f t="shared" si="95"/>
        <v>PH</v>
      </c>
      <c r="AD223" s="638"/>
      <c r="AE223" s="638"/>
      <c r="AF223" s="638"/>
      <c r="AG223" s="446"/>
      <c r="AH223" s="638"/>
      <c r="AI223" s="638"/>
      <c r="AJ223" s="638"/>
      <c r="AK223" s="638" t="s">
        <v>139</v>
      </c>
      <c r="AL223" s="638"/>
      <c r="AM223" s="638"/>
      <c r="AN223" s="455">
        <v>5.5</v>
      </c>
      <c r="AO223" s="1239"/>
      <c r="AP223" s="1239"/>
      <c r="AQ223" s="484"/>
      <c r="AR223" s="484"/>
      <c r="AS223" s="484"/>
      <c r="AT223" s="484">
        <f>+ab($T$223,$T$221,$T$225,$G$222,$G$224,-1*$F$223,1200)</f>
        <v>-8.3197999133434912</v>
      </c>
      <c r="AU223" s="638"/>
      <c r="AV223" s="638"/>
      <c r="AW223" s="638"/>
      <c r="AX223" s="638"/>
      <c r="AY223" s="484"/>
      <c r="AZ223" s="484"/>
      <c r="BA223" s="671"/>
      <c r="BB223" s="449"/>
      <c r="BC223" s="169"/>
      <c r="BD223" s="1330"/>
      <c r="BE223" s="1329"/>
      <c r="BF223" s="1330"/>
      <c r="BG223" s="1329"/>
    </row>
    <row r="224" spans="1:59" ht="15.75" customHeight="1">
      <c r="A224" s="449"/>
      <c r="B224" s="445"/>
      <c r="C224" s="446"/>
      <c r="D224" s="638"/>
      <c r="E224" s="638"/>
      <c r="F224" s="448"/>
      <c r="G224" s="455">
        <v>58</v>
      </c>
      <c r="H224" s="1239"/>
      <c r="I224" s="448"/>
      <c r="J224" s="446"/>
      <c r="K224" s="638"/>
      <c r="L224" s="638"/>
      <c r="M224" s="446"/>
      <c r="N224" s="638"/>
      <c r="O224" s="638"/>
      <c r="P224" s="638"/>
      <c r="Q224" s="638"/>
      <c r="R224" s="638"/>
      <c r="S224" s="484">
        <f t="shared" ref="S224" si="108">AG225-AG223</f>
        <v>0</v>
      </c>
      <c r="T224" s="638"/>
      <c r="U224" s="638"/>
      <c r="V224" s="638"/>
      <c r="W224" s="638"/>
      <c r="X224" s="638"/>
      <c r="Y224" s="638"/>
      <c r="Z224" s="638"/>
      <c r="AA224" s="638"/>
      <c r="AB224" s="638"/>
      <c r="AC224" s="638"/>
      <c r="AD224" s="638"/>
      <c r="AE224" s="638"/>
      <c r="AF224" s="638"/>
      <c r="AG224" s="446"/>
      <c r="AH224" s="638"/>
      <c r="AI224" s="638"/>
      <c r="AJ224" s="638"/>
      <c r="AK224" s="638"/>
      <c r="AL224" s="638"/>
      <c r="AM224" s="638"/>
      <c r="AN224" s="455"/>
      <c r="AO224" s="1239"/>
      <c r="AP224" s="1239"/>
      <c r="AQ224" s="484">
        <f>+FL_2($T$225,$T$223,$G$224,1200,9.28,-1*$F$225)</f>
        <v>-0.45882157919982691</v>
      </c>
      <c r="AR224" s="484"/>
      <c r="AS224" s="484"/>
      <c r="AT224" s="484"/>
      <c r="AU224" s="638"/>
      <c r="AV224" s="638"/>
      <c r="AW224" s="638"/>
      <c r="AX224" s="638"/>
      <c r="AY224" s="484"/>
      <c r="AZ224" s="484"/>
      <c r="BA224" s="671"/>
      <c r="BB224" s="449"/>
      <c r="BC224" s="169"/>
      <c r="BD224" s="1330"/>
      <c r="BE224" s="1330"/>
      <c r="BF224" s="1330"/>
      <c r="BG224" s="1330"/>
    </row>
    <row r="225" spans="1:59" ht="15.75" customHeight="1">
      <c r="A225" s="449"/>
      <c r="B225" s="445" t="s">
        <v>2903</v>
      </c>
      <c r="C225" s="171">
        <f>C223+G224</f>
        <v>90270.85</v>
      </c>
      <c r="D225" s="638"/>
      <c r="E225" s="638"/>
      <c r="F225" s="447">
        <v>-8000</v>
      </c>
      <c r="G225" s="455"/>
      <c r="H225" s="1239"/>
      <c r="I225" s="448"/>
      <c r="J225" s="446"/>
      <c r="K225" s="638"/>
      <c r="L225" s="638"/>
      <c r="M225" s="446"/>
      <c r="N225" s="638" t="s">
        <v>844</v>
      </c>
      <c r="O225" s="638"/>
      <c r="P225" s="638"/>
      <c r="Q225" s="638"/>
      <c r="R225" s="638"/>
      <c r="S225" s="484"/>
      <c r="T225" s="638">
        <v>35</v>
      </c>
      <c r="U225" s="638"/>
      <c r="V225" s="638"/>
      <c r="W225" s="638">
        <v>1.4</v>
      </c>
      <c r="X225" s="638"/>
      <c r="Y225" s="638"/>
      <c r="Z225" s="638"/>
      <c r="AA225" s="638"/>
      <c r="AB225" s="638"/>
      <c r="AC225" s="1239" t="str">
        <f t="shared" si="95"/>
        <v>PH-Q</v>
      </c>
      <c r="AD225" s="638"/>
      <c r="AE225" s="638"/>
      <c r="AF225" s="638"/>
      <c r="AG225" s="446"/>
      <c r="AH225" s="638"/>
      <c r="AI225" s="638"/>
      <c r="AJ225" s="638"/>
      <c r="AK225" s="638" t="s">
        <v>139</v>
      </c>
      <c r="AL225" s="638"/>
      <c r="AM225" s="638"/>
      <c r="AN225" s="455">
        <v>5.5</v>
      </c>
      <c r="AO225" s="1239"/>
      <c r="AP225" s="1239"/>
      <c r="AQ225" s="484"/>
      <c r="AR225" s="484"/>
      <c r="AS225" s="484"/>
      <c r="AT225" s="484">
        <f>+ab($T$225,$T$223,$T$227,$G$224,$G$226,-1*$F$225,1200)</f>
        <v>6.3121778965677136</v>
      </c>
      <c r="AU225" s="638"/>
      <c r="AV225" s="638"/>
      <c r="AW225" s="638"/>
      <c r="AX225" s="638"/>
      <c r="AY225" s="484"/>
      <c r="AZ225" s="484"/>
      <c r="BA225" s="671"/>
      <c r="BB225" s="449"/>
      <c r="BC225" s="169"/>
      <c r="BD225" s="1330"/>
      <c r="BE225" s="1329"/>
      <c r="BF225" s="1330"/>
      <c r="BG225" s="1329"/>
    </row>
    <row r="226" spans="1:59" ht="15.75" customHeight="1">
      <c r="A226" s="449"/>
      <c r="B226" s="445"/>
      <c r="C226" s="446"/>
      <c r="D226" s="638"/>
      <c r="E226" s="638"/>
      <c r="F226" s="447"/>
      <c r="G226" s="484">
        <v>60</v>
      </c>
      <c r="H226" s="1239"/>
      <c r="I226" s="448"/>
      <c r="J226" s="446"/>
      <c r="K226" s="638"/>
      <c r="L226" s="638"/>
      <c r="M226" s="446"/>
      <c r="N226" s="638"/>
      <c r="O226" s="638"/>
      <c r="P226" s="638"/>
      <c r="Q226" s="638"/>
      <c r="R226" s="638"/>
      <c r="S226" s="484">
        <f t="shared" ref="S226" si="109">AG227-AG225</f>
        <v>0</v>
      </c>
      <c r="T226" s="638"/>
      <c r="U226" s="638"/>
      <c r="V226" s="638"/>
      <c r="W226" s="638"/>
      <c r="X226" s="638"/>
      <c r="Y226" s="638"/>
      <c r="Z226" s="638"/>
      <c r="AA226" s="638"/>
      <c r="AB226" s="638"/>
      <c r="AC226" s="638"/>
      <c r="AD226" s="638"/>
      <c r="AE226" s="638"/>
      <c r="AF226" s="638"/>
      <c r="AG226" s="446"/>
      <c r="AH226" s="638"/>
      <c r="AI226" s="638"/>
      <c r="AJ226" s="638"/>
      <c r="AK226" s="638"/>
      <c r="AL226" s="638"/>
      <c r="AM226" s="638"/>
      <c r="AN226" s="455"/>
      <c r="AO226" s="1239"/>
      <c r="AP226" s="1239"/>
      <c r="AQ226" s="484">
        <f>+FL_2($T$227,$T$225,$G$224,1200,9.28,-1*$F$225)</f>
        <v>-0.42265346227348816</v>
      </c>
      <c r="AR226" s="484"/>
      <c r="AS226" s="484"/>
      <c r="AT226" s="484"/>
      <c r="AU226" s="638"/>
      <c r="AV226" s="638"/>
      <c r="AW226" s="638"/>
      <c r="AX226" s="638"/>
      <c r="AY226" s="484"/>
      <c r="AZ226" s="484"/>
      <c r="BA226" s="671"/>
      <c r="BB226" s="449"/>
      <c r="BC226" s="169"/>
      <c r="BD226" s="1330"/>
      <c r="BE226" s="1330"/>
      <c r="BF226" s="1330"/>
      <c r="BG226" s="1330"/>
    </row>
    <row r="227" spans="1:59" ht="15.75" customHeight="1">
      <c r="A227" s="449"/>
      <c r="B227" s="1239" t="s">
        <v>2575</v>
      </c>
      <c r="C227" s="171">
        <f>C225+G226</f>
        <v>90330.85</v>
      </c>
      <c r="D227" s="638"/>
      <c r="E227" s="638"/>
      <c r="F227" s="447">
        <v>-8000</v>
      </c>
      <c r="G227" s="484"/>
      <c r="H227" s="1239"/>
      <c r="I227" s="448"/>
      <c r="J227" s="446"/>
      <c r="K227" s="638"/>
      <c r="L227" s="638"/>
      <c r="M227" s="446"/>
      <c r="N227" s="638" t="s">
        <v>843</v>
      </c>
      <c r="O227" s="638"/>
      <c r="P227" s="638"/>
      <c r="Q227" s="638"/>
      <c r="R227" s="638"/>
      <c r="S227" s="484"/>
      <c r="T227" s="638">
        <v>-30</v>
      </c>
      <c r="U227" s="638"/>
      <c r="V227" s="638"/>
      <c r="W227" s="638">
        <v>1.4</v>
      </c>
      <c r="X227" s="638"/>
      <c r="Y227" s="638"/>
      <c r="Z227" s="638"/>
      <c r="AA227" s="638"/>
      <c r="AB227" s="638"/>
      <c r="AC227" s="1239" t="str">
        <f t="shared" si="95"/>
        <v>PH</v>
      </c>
      <c r="AD227" s="638"/>
      <c r="AE227" s="638"/>
      <c r="AF227" s="638"/>
      <c r="AG227" s="446"/>
      <c r="AH227" s="638"/>
      <c r="AI227" s="638"/>
      <c r="AJ227" s="638"/>
      <c r="AK227" s="638" t="s">
        <v>139</v>
      </c>
      <c r="AL227" s="638"/>
      <c r="AM227" s="638"/>
      <c r="AN227" s="455">
        <v>5.5</v>
      </c>
      <c r="AO227" s="1239"/>
      <c r="AP227" s="1239"/>
      <c r="AQ227" s="484"/>
      <c r="AR227" s="484"/>
      <c r="AS227" s="484"/>
      <c r="AT227" s="484">
        <f>+ab($T$227,$T$225,$T$229,$G$226,$G$228,-1*$F$227,1200)</f>
        <v>-12.220245802141452</v>
      </c>
      <c r="AU227" s="638"/>
      <c r="AV227" s="638"/>
      <c r="AW227" s="638"/>
      <c r="AX227" s="638"/>
      <c r="AY227" s="484"/>
      <c r="AZ227" s="484"/>
      <c r="BA227" s="671"/>
      <c r="BB227" s="449"/>
      <c r="BC227" s="169"/>
      <c r="BD227" s="1330"/>
      <c r="BE227" s="1329"/>
      <c r="BF227" s="1330"/>
      <c r="BG227" s="1329"/>
    </row>
    <row r="228" spans="1:59" ht="15.75" customHeight="1">
      <c r="A228" s="449"/>
      <c r="B228" s="445"/>
      <c r="C228" s="446"/>
      <c r="D228" s="638"/>
      <c r="E228" s="638"/>
      <c r="F228" s="447"/>
      <c r="G228" s="455">
        <v>55</v>
      </c>
      <c r="H228" s="1239"/>
      <c r="I228" s="448"/>
      <c r="J228" s="446"/>
      <c r="K228" s="638"/>
      <c r="L228" s="638"/>
      <c r="M228" s="446"/>
      <c r="N228" s="638"/>
      <c r="O228" s="638"/>
      <c r="P228" s="638"/>
      <c r="Q228" s="638"/>
      <c r="R228" s="638"/>
      <c r="S228" s="484">
        <f t="shared" ref="S228" si="110">AG229-AG227</f>
        <v>0</v>
      </c>
      <c r="T228" s="638"/>
      <c r="U228" s="638"/>
      <c r="V228" s="638"/>
      <c r="W228" s="638"/>
      <c r="X228" s="638"/>
      <c r="Y228" s="638"/>
      <c r="Z228" s="638"/>
      <c r="AA228" s="638"/>
      <c r="AB228" s="638"/>
      <c r="AC228" s="638"/>
      <c r="AD228" s="638"/>
      <c r="AE228" s="638"/>
      <c r="AF228" s="638"/>
      <c r="AG228" s="446"/>
      <c r="AH228" s="638"/>
      <c r="AI228" s="638"/>
      <c r="AJ228" s="638"/>
      <c r="AK228" s="638"/>
      <c r="AL228" s="638"/>
      <c r="AM228" s="1239"/>
      <c r="AN228" s="455"/>
      <c r="AO228" s="1239"/>
      <c r="AP228" s="1239"/>
      <c r="AQ228" s="484">
        <f>+FL_2($T$229,$T$227,$G$228,1200,9.28,-1*$F$229)</f>
        <v>-0.39242044872649601</v>
      </c>
      <c r="AR228" s="484"/>
      <c r="AS228" s="484"/>
      <c r="AT228" s="484"/>
      <c r="AU228" s="638"/>
      <c r="AV228" s="638"/>
      <c r="AW228" s="638"/>
      <c r="AX228" s="638"/>
      <c r="AY228" s="484"/>
      <c r="AZ228" s="484"/>
      <c r="BA228" s="671"/>
      <c r="BB228" s="449"/>
      <c r="BC228" s="169"/>
      <c r="BD228" s="1330"/>
      <c r="BE228" s="1330"/>
      <c r="BF228" s="1330"/>
      <c r="BG228" s="1330"/>
    </row>
    <row r="229" spans="1:59" ht="15.75" customHeight="1">
      <c r="A229" s="449"/>
      <c r="B229" s="485" t="s">
        <v>2612</v>
      </c>
      <c r="C229" s="446">
        <f>+$C$227+$G$228</f>
        <v>90385.85</v>
      </c>
      <c r="D229" s="638"/>
      <c r="E229" s="638"/>
      <c r="F229" s="447">
        <v>-8000</v>
      </c>
      <c r="G229" s="455"/>
      <c r="H229" s="1239"/>
      <c r="I229" s="448"/>
      <c r="J229" s="446"/>
      <c r="K229" s="638"/>
      <c r="L229" s="638"/>
      <c r="M229" s="446"/>
      <c r="N229" s="638" t="s">
        <v>844</v>
      </c>
      <c r="O229" s="638"/>
      <c r="P229" s="638"/>
      <c r="Q229" s="638"/>
      <c r="R229" s="638"/>
      <c r="S229" s="484"/>
      <c r="T229" s="638">
        <v>35</v>
      </c>
      <c r="U229" s="638"/>
      <c r="V229" s="638"/>
      <c r="W229" s="638">
        <v>1.4</v>
      </c>
      <c r="X229" s="638"/>
      <c r="Y229" s="638"/>
      <c r="Z229" s="638"/>
      <c r="AA229" s="638"/>
      <c r="AB229" s="638"/>
      <c r="AC229" s="1239" t="str">
        <f t="shared" si="95"/>
        <v>PH-Q</v>
      </c>
      <c r="AD229" s="638"/>
      <c r="AE229" s="638"/>
      <c r="AF229" s="638"/>
      <c r="AG229" s="446"/>
      <c r="AH229" s="638"/>
      <c r="AI229" s="638"/>
      <c r="AJ229" s="638"/>
      <c r="AK229" s="638" t="s">
        <v>139</v>
      </c>
      <c r="AL229" s="638"/>
      <c r="AM229" s="638"/>
      <c r="AN229" s="455">
        <v>5.5</v>
      </c>
      <c r="AO229" s="1239"/>
      <c r="AP229" s="1239"/>
      <c r="AQ229" s="484"/>
      <c r="AR229" s="484"/>
      <c r="AS229" s="484"/>
      <c r="AT229" s="484">
        <f>+ab($T$229,$T$227,-$T$231,$G$228,$G$230,-1*$F$229,1200)</f>
        <v>5.9620245357227954</v>
      </c>
      <c r="AU229" s="638"/>
      <c r="AV229" s="638"/>
      <c r="AW229" s="638"/>
      <c r="AX229" s="638"/>
      <c r="AY229" s="484"/>
      <c r="AZ229" s="484"/>
      <c r="BA229" s="671"/>
      <c r="BB229" s="449"/>
      <c r="BC229" s="169"/>
      <c r="BD229" s="1330"/>
      <c r="BE229" s="1329"/>
      <c r="BF229" s="1330"/>
      <c r="BG229" s="1329"/>
    </row>
    <row r="230" spans="1:59" ht="15.75" customHeight="1">
      <c r="A230" s="449"/>
      <c r="B230" s="445"/>
      <c r="C230" s="446"/>
      <c r="D230" s="638"/>
      <c r="E230" s="638"/>
      <c r="F230" s="447"/>
      <c r="G230" s="455">
        <v>46.8</v>
      </c>
      <c r="H230" s="1239"/>
      <c r="I230" s="448"/>
      <c r="J230" s="446"/>
      <c r="K230" s="638"/>
      <c r="L230" s="638"/>
      <c r="M230" s="446"/>
      <c r="N230" s="638"/>
      <c r="O230" s="638"/>
      <c r="P230" s="638"/>
      <c r="Q230" s="638"/>
      <c r="R230" s="638"/>
      <c r="S230" s="484">
        <f t="shared" ref="S230" si="111">AG231-AG229</f>
        <v>0</v>
      </c>
      <c r="T230" s="638"/>
      <c r="U230" s="638"/>
      <c r="V230" s="638"/>
      <c r="W230" s="638"/>
      <c r="X230" s="638"/>
      <c r="Y230" s="638"/>
      <c r="Z230" s="638"/>
      <c r="AA230" s="638"/>
      <c r="AB230" s="638"/>
      <c r="AC230" s="638"/>
      <c r="AD230" s="638"/>
      <c r="AE230" s="638"/>
      <c r="AF230" s="638"/>
      <c r="AG230" s="446"/>
      <c r="AH230" s="638"/>
      <c r="AI230" s="638"/>
      <c r="AJ230" s="638"/>
      <c r="AK230" s="638"/>
      <c r="AL230" s="638"/>
      <c r="AM230" s="1239"/>
      <c r="AN230" s="455"/>
      <c r="AO230" s="1239"/>
      <c r="AP230" s="1239"/>
      <c r="AQ230" s="484">
        <f>+FL_1(-$T$231,$T$229,$G$230,1200,9.28, 1*$F$231)</f>
        <v>0.36144382577777773</v>
      </c>
      <c r="AR230" s="484"/>
      <c r="AS230" s="484"/>
      <c r="AT230" s="484"/>
      <c r="AU230" s="638"/>
      <c r="AV230" s="638"/>
      <c r="AW230" s="638"/>
      <c r="AX230" s="638"/>
      <c r="AY230" s="484"/>
      <c r="AZ230" s="484"/>
      <c r="BA230" s="671"/>
      <c r="BB230" s="449"/>
      <c r="BC230" s="169"/>
      <c r="BD230" s="1330"/>
      <c r="BE230" s="1330"/>
      <c r="BF230" s="1330"/>
      <c r="BG230" s="1330"/>
    </row>
    <row r="231" spans="1:59" ht="15.75" customHeight="1">
      <c r="A231" s="446"/>
      <c r="B231" s="581" t="s">
        <v>2613</v>
      </c>
      <c r="C231" s="446">
        <f>+$C$229+$G$230</f>
        <v>90432.650000000009</v>
      </c>
      <c r="D231" s="638"/>
      <c r="E231" s="638"/>
      <c r="F231" s="447">
        <v>0</v>
      </c>
      <c r="G231" s="455"/>
      <c r="H231" s="1239"/>
      <c r="I231" s="448"/>
      <c r="J231" s="446"/>
      <c r="K231" s="638"/>
      <c r="L231" s="638"/>
      <c r="M231" s="446"/>
      <c r="N231" s="638" t="s">
        <v>844</v>
      </c>
      <c r="O231" s="638"/>
      <c r="P231" s="638"/>
      <c r="Q231" s="638"/>
      <c r="R231" s="638"/>
      <c r="S231" s="484"/>
      <c r="T231" s="638">
        <v>30</v>
      </c>
      <c r="U231" s="638"/>
      <c r="V231" s="638"/>
      <c r="W231" s="638">
        <v>1.4</v>
      </c>
      <c r="X231" s="638"/>
      <c r="Y231" s="638"/>
      <c r="Z231" s="638"/>
      <c r="AA231" s="638"/>
      <c r="AB231" s="638"/>
      <c r="AC231" s="1239" t="str">
        <f t="shared" si="95"/>
        <v>PH-Q</v>
      </c>
      <c r="AD231" s="638"/>
      <c r="AE231" s="638"/>
      <c r="AF231" s="638"/>
      <c r="AG231" s="446"/>
      <c r="AH231" s="638"/>
      <c r="AI231" s="638"/>
      <c r="AJ231" s="638"/>
      <c r="AK231" s="638" t="s">
        <v>139</v>
      </c>
      <c r="AL231" s="638"/>
      <c r="AM231" s="638"/>
      <c r="AN231" s="455">
        <v>5.5</v>
      </c>
      <c r="AO231" s="1239"/>
      <c r="AP231" s="1239"/>
      <c r="AQ231" s="484"/>
      <c r="AR231" s="484"/>
      <c r="AS231" s="484"/>
      <c r="AT231" s="484">
        <f>+ab($T$231,-$T$229,$T$233,$G$230,$G$232, 1*$F$231,1200)</f>
        <v>7.0999256542038038</v>
      </c>
      <c r="AU231" s="638"/>
      <c r="AV231" s="638"/>
      <c r="AW231" s="638"/>
      <c r="AX231" s="638"/>
      <c r="AY231" s="484"/>
      <c r="AZ231" s="484"/>
      <c r="BA231" s="671"/>
      <c r="BB231" s="446"/>
      <c r="BC231" s="169"/>
      <c r="BD231" s="1330"/>
      <c r="BE231" s="1329"/>
      <c r="BF231" s="1330"/>
      <c r="BG231" s="1329"/>
    </row>
    <row r="232" spans="1:59" ht="15.75" customHeight="1">
      <c r="A232" s="447"/>
      <c r="B232" s="447"/>
      <c r="C232" s="447"/>
      <c r="D232" s="447"/>
      <c r="E232" s="447"/>
      <c r="F232" s="447"/>
      <c r="G232" s="455">
        <v>50</v>
      </c>
      <c r="H232" s="1239"/>
      <c r="I232" s="448"/>
      <c r="J232" s="446"/>
      <c r="K232" s="638"/>
      <c r="L232" s="638"/>
      <c r="M232" s="446"/>
      <c r="N232" s="638"/>
      <c r="O232" s="638"/>
      <c r="P232" s="638"/>
      <c r="Q232" s="638"/>
      <c r="R232" s="638"/>
      <c r="S232" s="484">
        <f t="shared" ref="S232" si="112">AG233-AG231</f>
        <v>0</v>
      </c>
      <c r="T232" s="638"/>
      <c r="U232" s="638"/>
      <c r="V232" s="638"/>
      <c r="W232" s="638"/>
      <c r="X232" s="638"/>
      <c r="Y232" s="638"/>
      <c r="Z232" s="638"/>
      <c r="AA232" s="638"/>
      <c r="AB232" s="638"/>
      <c r="AC232" s="638"/>
      <c r="AD232" s="638"/>
      <c r="AE232" s="638"/>
      <c r="AF232" s="638"/>
      <c r="AG232" s="446"/>
      <c r="AH232" s="638"/>
      <c r="AI232" s="638"/>
      <c r="AJ232" s="638"/>
      <c r="AK232" s="638"/>
      <c r="AL232" s="638"/>
      <c r="AM232" s="638"/>
      <c r="AN232" s="455"/>
      <c r="AO232" s="1239"/>
      <c r="AP232" s="1239"/>
      <c r="AQ232" s="484">
        <f>+FL_2($T$233,$T$231,$G$232,1200,9.28, 1*$F$233)</f>
        <v>-0.37593390799999998</v>
      </c>
      <c r="AR232" s="484"/>
      <c r="AS232" s="484"/>
      <c r="AT232" s="484"/>
      <c r="AU232" s="638"/>
      <c r="AV232" s="638"/>
      <c r="AW232" s="638"/>
      <c r="AX232" s="638"/>
      <c r="AY232" s="484"/>
      <c r="AZ232" s="484"/>
      <c r="BA232" s="671"/>
      <c r="BB232" s="447"/>
      <c r="BC232" s="169"/>
      <c r="BD232" s="1330"/>
      <c r="BE232" s="1330"/>
      <c r="BF232" s="1330"/>
      <c r="BG232" s="1330"/>
    </row>
    <row r="233" spans="1:59" ht="15.75" customHeight="1">
      <c r="A233" s="447"/>
      <c r="B233" s="582" t="s">
        <v>2614</v>
      </c>
      <c r="C233" s="446">
        <f>+$C$231+$G$232</f>
        <v>90482.650000000009</v>
      </c>
      <c r="D233" s="447"/>
      <c r="E233" s="447"/>
      <c r="F233" s="447">
        <v>0</v>
      </c>
      <c r="G233" s="455"/>
      <c r="H233" s="1239"/>
      <c r="I233" s="448"/>
      <c r="J233" s="446"/>
      <c r="K233" s="638"/>
      <c r="L233" s="638"/>
      <c r="M233" s="446"/>
      <c r="N233" s="638" t="s">
        <v>843</v>
      </c>
      <c r="O233" s="638"/>
      <c r="P233" s="638"/>
      <c r="Q233" s="638"/>
      <c r="R233" s="638"/>
      <c r="S233" s="484"/>
      <c r="T233" s="638">
        <v>-35</v>
      </c>
      <c r="U233" s="638"/>
      <c r="V233" s="638"/>
      <c r="W233" s="638">
        <v>1.4</v>
      </c>
      <c r="X233" s="638"/>
      <c r="Y233" s="638"/>
      <c r="Z233" s="638"/>
      <c r="AA233" s="638"/>
      <c r="AB233" s="638"/>
      <c r="AC233" s="1239" t="str">
        <f t="shared" si="95"/>
        <v>PH-Q</v>
      </c>
      <c r="AD233" s="638"/>
      <c r="AE233" s="638"/>
      <c r="AF233" s="638"/>
      <c r="AG233" s="446"/>
      <c r="AH233" s="638"/>
      <c r="AI233" s="638"/>
      <c r="AJ233" s="638"/>
      <c r="AK233" s="638" t="s">
        <v>139</v>
      </c>
      <c r="AL233" s="638"/>
      <c r="AM233" s="638"/>
      <c r="AN233" s="455">
        <v>5.5</v>
      </c>
      <c r="AO233" s="1239"/>
      <c r="AP233" s="1239"/>
      <c r="AQ233" s="484"/>
      <c r="AR233" s="484"/>
      <c r="AS233" s="484"/>
      <c r="AT233" s="484">
        <f>+ab($T$233,$T$231,$T$235,$G$232,$G$234, 1*$F$233,1200)</f>
        <v>-6.2664655829340878</v>
      </c>
      <c r="AU233" s="638"/>
      <c r="AV233" s="638"/>
      <c r="AW233" s="638"/>
      <c r="AX233" s="638"/>
      <c r="AY233" s="484"/>
      <c r="AZ233" s="484"/>
      <c r="BA233" s="671"/>
      <c r="BB233" s="447"/>
      <c r="BC233" s="169"/>
      <c r="BD233" s="1330"/>
      <c r="BE233" s="1329"/>
      <c r="BF233" s="1330"/>
      <c r="BG233" s="1329"/>
    </row>
    <row r="234" spans="1:59" ht="15.75" customHeight="1">
      <c r="A234" s="447"/>
      <c r="B234" s="447"/>
      <c r="C234" s="446"/>
      <c r="D234" s="447"/>
      <c r="E234" s="447"/>
      <c r="F234" s="447"/>
      <c r="G234" s="455">
        <v>40</v>
      </c>
      <c r="H234" s="1239"/>
      <c r="I234" s="448"/>
      <c r="J234" s="446"/>
      <c r="K234" s="638"/>
      <c r="L234" s="638"/>
      <c r="M234" s="446"/>
      <c r="N234" s="638"/>
      <c r="O234" s="638"/>
      <c r="P234" s="638"/>
      <c r="Q234" s="638"/>
      <c r="R234" s="638"/>
      <c r="S234" s="484">
        <f t="shared" ref="S234" si="113">AG235-AG233</f>
        <v>90522</v>
      </c>
      <c r="T234" s="638"/>
      <c r="U234" s="638"/>
      <c r="V234" s="638"/>
      <c r="W234" s="638"/>
      <c r="X234" s="638"/>
      <c r="Y234" s="638"/>
      <c r="Z234" s="638"/>
      <c r="AA234" s="638"/>
      <c r="AB234" s="638"/>
      <c r="AC234" s="638"/>
      <c r="AD234" s="638"/>
      <c r="AE234" s="638"/>
      <c r="AF234" s="638"/>
      <c r="AG234" s="446"/>
      <c r="AH234" s="638"/>
      <c r="AI234" s="638"/>
      <c r="AJ234" s="638"/>
      <c r="AK234" s="638"/>
      <c r="AL234" s="638"/>
      <c r="AM234" s="638"/>
      <c r="AN234" s="455"/>
      <c r="AO234" s="1239"/>
      <c r="AP234" s="1239"/>
      <c r="AQ234" s="484">
        <f>+FL_1($T$235,$T$233,$G$234,1200,9.28, 1*$F$235)</f>
        <v>0.35</v>
      </c>
      <c r="AR234" s="484"/>
      <c r="AS234" s="484"/>
      <c r="AT234" s="484"/>
      <c r="AU234" s="638"/>
      <c r="AV234" s="638"/>
      <c r="AW234" s="638"/>
      <c r="AX234" s="638"/>
      <c r="AY234" s="484"/>
      <c r="AZ234" s="484"/>
      <c r="BA234" s="671"/>
      <c r="BB234" s="447"/>
      <c r="BC234" s="169"/>
      <c r="BD234" s="1330"/>
      <c r="BE234" s="1330"/>
      <c r="BF234" s="1330"/>
      <c r="BG234" s="1330"/>
    </row>
    <row r="235" spans="1:59" ht="15.75" customHeight="1">
      <c r="A235" s="447"/>
      <c r="B235" s="582" t="s">
        <v>2615</v>
      </c>
      <c r="C235" s="446">
        <f>+$C$233+$G$234</f>
        <v>90522.650000000009</v>
      </c>
      <c r="D235" s="447"/>
      <c r="E235" s="447"/>
      <c r="F235" s="447">
        <v>0</v>
      </c>
      <c r="G235" s="455"/>
      <c r="H235" s="1239" t="s">
        <v>2921</v>
      </c>
      <c r="I235" s="448"/>
      <c r="J235" s="446"/>
      <c r="K235" s="638"/>
      <c r="L235" s="638"/>
      <c r="M235" s="446"/>
      <c r="N235" s="638" t="s">
        <v>844</v>
      </c>
      <c r="O235" s="638" t="s">
        <v>845</v>
      </c>
      <c r="P235" s="638"/>
      <c r="Q235" s="638">
        <v>0</v>
      </c>
      <c r="R235" s="638">
        <v>0</v>
      </c>
      <c r="S235" s="484"/>
      <c r="T235" s="638">
        <v>35</v>
      </c>
      <c r="U235" s="638">
        <v>55</v>
      </c>
      <c r="V235" s="638"/>
      <c r="W235" s="638">
        <v>1.8</v>
      </c>
      <c r="X235" s="638">
        <v>1.4</v>
      </c>
      <c r="Y235" s="638"/>
      <c r="Z235" s="638"/>
      <c r="AA235" s="638">
        <v>0.5</v>
      </c>
      <c r="AB235" s="638"/>
      <c r="AC235" s="638" t="s">
        <v>4090</v>
      </c>
      <c r="AD235" s="638"/>
      <c r="AE235" s="638"/>
      <c r="AF235" s="638">
        <v>200</v>
      </c>
      <c r="AG235" s="446">
        <v>90522</v>
      </c>
      <c r="AH235" s="638">
        <v>1783</v>
      </c>
      <c r="AI235" s="638">
        <v>-5257</v>
      </c>
      <c r="AJ235" s="638"/>
      <c r="AK235" s="638" t="s">
        <v>228</v>
      </c>
      <c r="AL235" s="638"/>
      <c r="AM235" s="638"/>
      <c r="AN235" s="455">
        <v>5.5</v>
      </c>
      <c r="AO235" s="1239"/>
      <c r="AP235" s="1239"/>
      <c r="AQ235" s="484"/>
      <c r="AR235" s="484"/>
      <c r="AS235" s="484"/>
      <c r="AT235" s="484">
        <f>+ab($T$235,$T$233,$T$237,$G$234,$G$236, 1*$F$235,1200)</f>
        <v>6.1272024170725929</v>
      </c>
      <c r="AU235" s="638"/>
      <c r="AV235" s="638"/>
      <c r="AW235" s="638"/>
      <c r="AX235" s="638"/>
      <c r="AY235" s="484"/>
      <c r="AZ235" s="484"/>
      <c r="BA235" s="671"/>
      <c r="BB235" s="447"/>
      <c r="BC235" s="169"/>
      <c r="BD235" s="1330"/>
      <c r="BE235" s="1329"/>
      <c r="BF235" s="1330"/>
      <c r="BG235" s="1329"/>
    </row>
    <row r="236" spans="1:59" ht="15.75" customHeight="1">
      <c r="A236" s="447"/>
      <c r="B236" s="447"/>
      <c r="C236" s="447"/>
      <c r="D236" s="447"/>
      <c r="E236" s="447"/>
      <c r="F236" s="447"/>
      <c r="G236" s="455">
        <v>51.1</v>
      </c>
      <c r="H236" s="1239"/>
      <c r="I236" s="448">
        <v>660</v>
      </c>
      <c r="J236" s="446"/>
      <c r="K236" s="638"/>
      <c r="L236" s="638"/>
      <c r="M236" s="446"/>
      <c r="N236" s="638"/>
      <c r="O236" s="638"/>
      <c r="P236" s="638"/>
      <c r="Q236" s="638"/>
      <c r="R236" s="638"/>
      <c r="S236" s="484">
        <f t="shared" ref="S236" si="114">AG237-AG235</f>
        <v>51</v>
      </c>
      <c r="T236" s="638"/>
      <c r="U236" s="638"/>
      <c r="V236" s="638"/>
      <c r="W236" s="638"/>
      <c r="X236" s="638"/>
      <c r="Y236" s="638"/>
      <c r="Z236" s="638"/>
      <c r="AA236" s="638"/>
      <c r="AB236" s="638"/>
      <c r="AC236" s="1239"/>
      <c r="AD236" s="638"/>
      <c r="AE236" s="638"/>
      <c r="AF236" s="638"/>
      <c r="AG236" s="446"/>
      <c r="AH236" s="638"/>
      <c r="AI236" s="638"/>
      <c r="AJ236" s="638"/>
      <c r="AK236" s="638"/>
      <c r="AL236" s="638"/>
      <c r="AM236" s="638"/>
      <c r="AN236" s="455"/>
      <c r="AO236" s="1239"/>
      <c r="AP236" s="1239"/>
      <c r="AQ236" s="484">
        <f>+FL_1($T$237,$T$235,$G$236,1200,9.28, 1*$F$237)</f>
        <v>0.3737439877260274</v>
      </c>
      <c r="AR236" s="484"/>
      <c r="AS236" s="484"/>
      <c r="AT236" s="484"/>
      <c r="AU236" s="638"/>
      <c r="AV236" s="638"/>
      <c r="AW236" s="638"/>
      <c r="AX236" s="638"/>
      <c r="AY236" s="484"/>
      <c r="AZ236" s="484"/>
      <c r="BA236" s="671"/>
      <c r="BB236" s="447"/>
      <c r="BC236" s="169"/>
      <c r="BD236" s="1330"/>
      <c r="BE236" s="1330"/>
      <c r="BF236" s="1330"/>
      <c r="BG236" s="1330"/>
    </row>
    <row r="237" spans="1:59" ht="15.75" customHeight="1">
      <c r="A237" s="449"/>
      <c r="B237" s="485" t="s">
        <v>2616</v>
      </c>
      <c r="C237" s="446">
        <f>+$C$235+$G$236</f>
        <v>90573.750000000015</v>
      </c>
      <c r="D237" s="638"/>
      <c r="E237" s="638"/>
      <c r="F237" s="447">
        <v>0</v>
      </c>
      <c r="G237" s="455"/>
      <c r="H237" s="1239" t="s">
        <v>874</v>
      </c>
      <c r="I237" s="448"/>
      <c r="J237" s="446"/>
      <c r="K237" s="638"/>
      <c r="L237" s="638"/>
      <c r="M237" s="446"/>
      <c r="N237" s="638" t="s">
        <v>843</v>
      </c>
      <c r="O237" s="638"/>
      <c r="P237" s="638"/>
      <c r="Q237" s="638">
        <v>0</v>
      </c>
      <c r="R237" s="638">
        <v>0</v>
      </c>
      <c r="S237" s="484"/>
      <c r="T237" s="638">
        <v>-35</v>
      </c>
      <c r="U237" s="638"/>
      <c r="V237" s="638"/>
      <c r="W237" s="638">
        <v>1.4</v>
      </c>
      <c r="X237" s="638"/>
      <c r="Y237" s="638"/>
      <c r="Z237" s="638"/>
      <c r="AA237" s="638"/>
      <c r="AB237" s="638"/>
      <c r="AC237" s="1239" t="s">
        <v>4117</v>
      </c>
      <c r="AD237" s="638"/>
      <c r="AE237" s="638"/>
      <c r="AF237" s="638">
        <v>100</v>
      </c>
      <c r="AG237" s="446">
        <v>90573</v>
      </c>
      <c r="AH237" s="638">
        <v>1943</v>
      </c>
      <c r="AI237" s="638">
        <v>-5991</v>
      </c>
      <c r="AJ237" s="638"/>
      <c r="AK237" s="638" t="s">
        <v>139</v>
      </c>
      <c r="AL237" s="638"/>
      <c r="AM237" s="638"/>
      <c r="AN237" s="455">
        <v>5.5</v>
      </c>
      <c r="AO237" s="1239"/>
      <c r="AP237" s="1239"/>
      <c r="AQ237" s="484"/>
      <c r="AR237" s="484"/>
      <c r="AS237" s="484"/>
      <c r="AT237" s="484">
        <f>+ab($T$237,$T$235,$T$239,$G$236,$G$238, 1*$F$237,1200)</f>
        <v>-7.0319587964011152</v>
      </c>
      <c r="AU237" s="638"/>
      <c r="AV237" s="638"/>
      <c r="AW237" s="638"/>
      <c r="AX237" s="638"/>
      <c r="AY237" s="484"/>
      <c r="AZ237" s="484"/>
      <c r="BA237" s="671"/>
      <c r="BB237" s="449"/>
      <c r="BC237" s="169"/>
      <c r="BD237" s="1330"/>
      <c r="BE237" s="1329"/>
      <c r="BF237" s="1330"/>
      <c r="BG237" s="1329"/>
    </row>
    <row r="238" spans="1:59" ht="15.75" customHeight="1">
      <c r="A238" s="449"/>
      <c r="B238" s="445"/>
      <c r="C238" s="446"/>
      <c r="D238" s="638"/>
      <c r="E238" s="638"/>
      <c r="F238" s="447"/>
      <c r="G238" s="455">
        <v>44.6</v>
      </c>
      <c r="H238" s="1239"/>
      <c r="I238" s="448">
        <v>635</v>
      </c>
      <c r="J238" s="446"/>
      <c r="K238" s="638"/>
      <c r="L238" s="638"/>
      <c r="M238" s="446"/>
      <c r="N238" s="638"/>
      <c r="O238" s="638"/>
      <c r="P238" s="638"/>
      <c r="Q238" s="638"/>
      <c r="R238" s="638"/>
      <c r="S238" s="484">
        <f t="shared" ref="S238" si="115">AG239-AG237</f>
        <v>45</v>
      </c>
      <c r="T238" s="638"/>
      <c r="U238" s="638"/>
      <c r="V238" s="638"/>
      <c r="W238" s="638"/>
      <c r="X238" s="638"/>
      <c r="Y238" s="638"/>
      <c r="Z238" s="638"/>
      <c r="AA238" s="638"/>
      <c r="AB238" s="638"/>
      <c r="AC238" s="638"/>
      <c r="AD238" s="638"/>
      <c r="AE238" s="638"/>
      <c r="AF238" s="638"/>
      <c r="AG238" s="446"/>
      <c r="AH238" s="638"/>
      <c r="AI238" s="638"/>
      <c r="AJ238" s="638"/>
      <c r="AK238" s="638"/>
      <c r="AL238" s="638"/>
      <c r="AM238" s="638"/>
      <c r="AN238" s="455"/>
      <c r="AO238" s="1239"/>
      <c r="AP238" s="1239"/>
      <c r="AQ238" s="484">
        <f>+FL_2($T$239,$T$237,$G$238,1200,9.28, 1*$F$239)</f>
        <v>-0.3592989841554558</v>
      </c>
      <c r="AR238" s="484"/>
      <c r="AS238" s="484"/>
      <c r="AT238" s="484"/>
      <c r="AU238" s="638"/>
      <c r="AV238" s="638"/>
      <c r="AW238" s="638"/>
      <c r="AX238" s="638"/>
      <c r="AY238" s="484"/>
      <c r="AZ238" s="484"/>
      <c r="BA238" s="671"/>
      <c r="BB238" s="449"/>
      <c r="BC238" s="169"/>
      <c r="BD238" s="1330"/>
      <c r="BE238" s="1330"/>
      <c r="BF238" s="1330"/>
      <c r="BG238" s="1330"/>
    </row>
    <row r="239" spans="1:59" s="1436" customFormat="1" ht="15.75" customHeight="1">
      <c r="A239" s="1425"/>
      <c r="B239" s="1475" t="s">
        <v>2617</v>
      </c>
      <c r="C239" s="1427">
        <f>+$C$237+$G$238</f>
        <v>90618.35000000002</v>
      </c>
      <c r="D239" s="1431"/>
      <c r="E239" s="1431"/>
      <c r="F239" s="1449">
        <v>0</v>
      </c>
      <c r="G239" s="1432"/>
      <c r="H239" s="1430" t="s">
        <v>873</v>
      </c>
      <c r="I239" s="1428"/>
      <c r="J239" s="1427"/>
      <c r="K239" s="1431"/>
      <c r="L239" s="1431" t="s">
        <v>2620</v>
      </c>
      <c r="M239" s="1427"/>
      <c r="N239" s="1431" t="s">
        <v>844</v>
      </c>
      <c r="O239" s="1431"/>
      <c r="P239" s="1431"/>
      <c r="Q239" s="1431">
        <v>20</v>
      </c>
      <c r="R239" s="1431"/>
      <c r="S239" s="1429"/>
      <c r="T239" s="1431">
        <v>25</v>
      </c>
      <c r="U239" s="1431"/>
      <c r="V239" s="1431"/>
      <c r="W239" s="1431">
        <v>1.4</v>
      </c>
      <c r="X239" s="1431"/>
      <c r="Y239" s="1431"/>
      <c r="Z239" s="1431"/>
      <c r="AA239" s="1431"/>
      <c r="AB239" s="1431"/>
      <c r="AC239" s="1430" t="str">
        <f t="shared" si="95"/>
        <v>PH-Q</v>
      </c>
      <c r="AD239" s="1431"/>
      <c r="AE239" s="1431"/>
      <c r="AF239" s="1431"/>
      <c r="AG239" s="1427">
        <v>90618</v>
      </c>
      <c r="AH239" s="1431">
        <v>1903</v>
      </c>
      <c r="AI239" s="1431">
        <v>-5360</v>
      </c>
      <c r="AJ239" s="1431"/>
      <c r="AK239" s="1431" t="s">
        <v>139</v>
      </c>
      <c r="AL239" s="1431"/>
      <c r="AM239" s="1431"/>
      <c r="AN239" s="1432">
        <v>5.5</v>
      </c>
      <c r="AO239" s="1430"/>
      <c r="AP239" s="1430"/>
      <c r="AQ239" s="1429"/>
      <c r="AR239" s="1429"/>
      <c r="AS239" s="1429"/>
      <c r="AT239" s="1429">
        <f>+ab($T$239,$T$237,$T$241,$G$238,$G$240, 1*$F$239,1200)</f>
        <v>6.71331671503604</v>
      </c>
      <c r="AU239" s="1431"/>
      <c r="AV239" s="1431"/>
      <c r="AW239" s="1431"/>
      <c r="AX239" s="1431"/>
      <c r="AY239" s="1429"/>
      <c r="AZ239" s="1429"/>
      <c r="BA239" s="1431"/>
      <c r="BB239" s="1425"/>
      <c r="BC239" s="1434"/>
      <c r="BD239" s="1435"/>
      <c r="BE239" s="1435"/>
      <c r="BF239" s="1435"/>
      <c r="BG239" s="1435"/>
    </row>
    <row r="240" spans="1:59" ht="15.75" customHeight="1">
      <c r="A240" s="449"/>
      <c r="B240" s="445"/>
      <c r="C240" s="446"/>
      <c r="D240" s="638"/>
      <c r="E240" s="638"/>
      <c r="F240" s="447"/>
      <c r="G240" s="455">
        <v>40</v>
      </c>
      <c r="H240" s="1239"/>
      <c r="I240" s="448"/>
      <c r="J240" s="446"/>
      <c r="K240" s="638"/>
      <c r="L240" s="638"/>
      <c r="M240" s="446"/>
      <c r="N240" s="638"/>
      <c r="O240" s="638"/>
      <c r="P240" s="638"/>
      <c r="Q240" s="638"/>
      <c r="R240" s="638"/>
      <c r="S240" s="484">
        <f t="shared" ref="S240" si="116">AG241-AG239</f>
        <v>40</v>
      </c>
      <c r="T240" s="638"/>
      <c r="U240" s="638"/>
      <c r="V240" s="638"/>
      <c r="W240" s="638"/>
      <c r="X240" s="638"/>
      <c r="Y240" s="638"/>
      <c r="Z240" s="638"/>
      <c r="AA240" s="638"/>
      <c r="AB240" s="638"/>
      <c r="AC240" s="638"/>
      <c r="AD240" s="638"/>
      <c r="AE240" s="638"/>
      <c r="AF240" s="638"/>
      <c r="AG240" s="446"/>
      <c r="AH240" s="638"/>
      <c r="AI240" s="638"/>
      <c r="AJ240" s="638"/>
      <c r="AK240" s="638"/>
      <c r="AL240" s="638"/>
      <c r="AM240" s="638"/>
      <c r="AN240" s="455"/>
      <c r="AO240" s="1239"/>
      <c r="AP240" s="1239"/>
      <c r="AQ240" s="484">
        <f>+FL_1($T$241,$T$239,$G$240,1200,9.28, 1*$F$241)</f>
        <v>0.25014079999999989</v>
      </c>
      <c r="AR240" s="484"/>
      <c r="AS240" s="484"/>
      <c r="AT240" s="484"/>
      <c r="AU240" s="638"/>
      <c r="AV240" s="638"/>
      <c r="AW240" s="638"/>
      <c r="AX240" s="638"/>
      <c r="AY240" s="484"/>
      <c r="AZ240" s="484"/>
      <c r="BA240" s="671"/>
      <c r="BB240" s="449"/>
      <c r="BC240" s="169"/>
      <c r="BD240" s="1330"/>
      <c r="BE240" s="1330"/>
      <c r="BF240" s="1330"/>
      <c r="BG240" s="1330"/>
    </row>
    <row r="241" spans="1:59" ht="15.75" customHeight="1">
      <c r="A241" s="449"/>
      <c r="B241" s="485" t="s">
        <v>2618</v>
      </c>
      <c r="C241" s="446">
        <f>+$C$239+$G$240</f>
        <v>90658.35000000002</v>
      </c>
      <c r="D241" s="638"/>
      <c r="E241" s="638"/>
      <c r="F241" s="447">
        <v>0</v>
      </c>
      <c r="G241" s="455"/>
      <c r="H241" s="1239"/>
      <c r="I241" s="448"/>
      <c r="J241" s="446"/>
      <c r="K241" s="638"/>
      <c r="L241" s="638"/>
      <c r="M241" s="446"/>
      <c r="N241" s="638" t="s">
        <v>843</v>
      </c>
      <c r="O241" s="638"/>
      <c r="P241" s="638"/>
      <c r="Q241" s="638">
        <v>0</v>
      </c>
      <c r="R241" s="638">
        <v>0</v>
      </c>
      <c r="S241" s="484"/>
      <c r="T241" s="638">
        <v>-35</v>
      </c>
      <c r="U241" s="638"/>
      <c r="V241" s="638"/>
      <c r="W241" s="638">
        <v>1.4</v>
      </c>
      <c r="X241" s="638"/>
      <c r="Y241" s="638"/>
      <c r="Z241" s="638"/>
      <c r="AA241" s="638"/>
      <c r="AB241" s="638"/>
      <c r="AC241" s="1239" t="s">
        <v>4115</v>
      </c>
      <c r="AD241" s="638"/>
      <c r="AE241" s="638"/>
      <c r="AF241" s="638">
        <v>100</v>
      </c>
      <c r="AG241" s="446">
        <v>90658</v>
      </c>
      <c r="AH241" s="638">
        <v>1803</v>
      </c>
      <c r="AI241" s="638">
        <v>-5500</v>
      </c>
      <c r="AJ241" s="638"/>
      <c r="AK241" s="638" t="s">
        <v>139</v>
      </c>
      <c r="AL241" s="638"/>
      <c r="AM241" s="638"/>
      <c r="AN241" s="455">
        <v>5.5</v>
      </c>
      <c r="AO241" s="1239"/>
      <c r="AP241" s="1239"/>
      <c r="AQ241" s="484"/>
      <c r="AR241" s="484"/>
      <c r="AS241" s="484"/>
      <c r="AT241" s="484">
        <f>+ab($T$241,$T$239,$T$243,$G$240,$G$242, 1*$F$241,1200)</f>
        <v>-7.1974817165750391</v>
      </c>
      <c r="AU241" s="638"/>
      <c r="AV241" s="638"/>
      <c r="AW241" s="638"/>
      <c r="AX241" s="638"/>
      <c r="AY241" s="484"/>
      <c r="AZ241" s="484"/>
      <c r="BA241" s="671"/>
      <c r="BB241" s="449"/>
      <c r="BC241" s="169"/>
      <c r="BD241" s="1330"/>
      <c r="BE241" s="1329"/>
      <c r="BF241" s="1330"/>
      <c r="BG241" s="1329"/>
    </row>
    <row r="242" spans="1:59" ht="15.75" customHeight="1">
      <c r="A242" s="420"/>
      <c r="B242" s="418"/>
      <c r="C242" s="416"/>
      <c r="D242" s="421"/>
      <c r="E242" s="421"/>
      <c r="F242" s="421"/>
      <c r="G242" s="444">
        <v>43.4</v>
      </c>
      <c r="H242" s="420"/>
      <c r="I242" s="421"/>
      <c r="J242" s="432"/>
      <c r="K242" s="417"/>
      <c r="L242" s="420"/>
      <c r="M242" s="432"/>
      <c r="N242" s="420"/>
      <c r="O242" s="420"/>
      <c r="P242" s="420"/>
      <c r="Q242" s="420"/>
      <c r="R242" s="420"/>
      <c r="S242" s="444">
        <f t="shared" ref="S242" si="117">AG243-AG241</f>
        <v>45</v>
      </c>
      <c r="T242" s="420"/>
      <c r="U242" s="420"/>
      <c r="V242" s="420"/>
      <c r="W242" s="420"/>
      <c r="X242" s="420"/>
      <c r="Y242" s="420"/>
      <c r="Z242" s="420"/>
      <c r="AA242" s="420"/>
      <c r="AB242" s="420"/>
      <c r="AC242" s="420"/>
      <c r="AD242" s="420"/>
      <c r="AE242" s="420"/>
      <c r="AF242" s="420"/>
      <c r="AG242" s="432"/>
      <c r="AH242" s="420"/>
      <c r="AI242" s="420"/>
      <c r="AJ242" s="420"/>
      <c r="AK242" s="420"/>
      <c r="AL242" s="420"/>
      <c r="AM242" s="420"/>
      <c r="AN242" s="444"/>
      <c r="AO242" s="420"/>
      <c r="AP242" s="420"/>
      <c r="AQ242" s="422">
        <f>+FL_1($T$243,$T$241,$G$242,1200,9.28, 1*$F$243)</f>
        <v>0.16789258617511518</v>
      </c>
      <c r="AR242" s="422"/>
      <c r="AS242" s="422"/>
      <c r="AT242" s="422"/>
      <c r="AU242" s="417"/>
      <c r="AV242" s="417"/>
      <c r="AW242" s="417"/>
      <c r="AX242" s="417"/>
      <c r="AY242" s="422"/>
      <c r="AZ242" s="422"/>
      <c r="BA242" s="604"/>
      <c r="BB242" s="420"/>
      <c r="BC242" s="169"/>
      <c r="BD242" s="1330"/>
      <c r="BE242" s="1330"/>
      <c r="BF242" s="1330"/>
      <c r="BG242" s="1330"/>
    </row>
    <row r="243" spans="1:59" ht="15.75" customHeight="1">
      <c r="A243" s="414"/>
      <c r="B243" s="437" t="s">
        <v>2619</v>
      </c>
      <c r="C243" s="416">
        <f>+$C$241+$G$242</f>
        <v>90701.750000000015</v>
      </c>
      <c r="D243" s="417"/>
      <c r="E243" s="417"/>
      <c r="F243" s="418">
        <v>0</v>
      </c>
      <c r="G243" s="422"/>
      <c r="H243" s="420"/>
      <c r="I243" s="421"/>
      <c r="J243" s="416"/>
      <c r="K243" s="417"/>
      <c r="L243" s="417"/>
      <c r="M243" s="416"/>
      <c r="N243" s="420" t="s">
        <v>844</v>
      </c>
      <c r="O243" s="420"/>
      <c r="P243" s="417"/>
      <c r="Q243" s="417">
        <v>0</v>
      </c>
      <c r="R243" s="417">
        <v>0</v>
      </c>
      <c r="S243" s="422"/>
      <c r="T243" s="417">
        <v>15</v>
      </c>
      <c r="U243" s="417"/>
      <c r="V243" s="417"/>
      <c r="W243" s="417">
        <v>1.4</v>
      </c>
      <c r="X243" s="417"/>
      <c r="Y243" s="417"/>
      <c r="Z243" s="417"/>
      <c r="AA243" s="417"/>
      <c r="AB243" s="417"/>
      <c r="AC243" s="420" t="s">
        <v>4090</v>
      </c>
      <c r="AD243" s="417"/>
      <c r="AE243" s="417"/>
      <c r="AF243" s="417">
        <v>100</v>
      </c>
      <c r="AG243" s="416">
        <v>90703</v>
      </c>
      <c r="AH243" s="417">
        <v>2253</v>
      </c>
      <c r="AI243" s="417">
        <v>-5500</v>
      </c>
      <c r="AJ243" s="417"/>
      <c r="AK243" s="417" t="s">
        <v>139</v>
      </c>
      <c r="AL243" s="417"/>
      <c r="AM243" s="417"/>
      <c r="AN243" s="444">
        <v>5.5</v>
      </c>
      <c r="AO243" s="420"/>
      <c r="AP243" s="420"/>
      <c r="AQ243" s="422"/>
      <c r="AR243" s="422"/>
      <c r="AS243" s="422"/>
      <c r="AT243" s="422">
        <f>+ab(T243,T241,T245,G242,G244, 1*F243,1200)</f>
        <v>17.403838756121278</v>
      </c>
      <c r="AU243" s="417"/>
      <c r="AV243" s="417"/>
      <c r="AW243" s="417"/>
      <c r="AX243" s="417"/>
      <c r="AY243" s="422"/>
      <c r="AZ243" s="422"/>
      <c r="BA243" s="604"/>
      <c r="BB243" s="414"/>
      <c r="BC243" s="169"/>
      <c r="BD243" s="1330"/>
      <c r="BE243" s="1329"/>
      <c r="BF243" s="1330"/>
      <c r="BG243" s="1329"/>
    </row>
    <row r="244" spans="1:59" ht="15.75" customHeight="1">
      <c r="A244" s="414"/>
      <c r="B244" s="415"/>
      <c r="C244" s="416"/>
      <c r="D244" s="417"/>
      <c r="E244" s="417"/>
      <c r="F244" s="418"/>
      <c r="G244" s="422">
        <v>59.8</v>
      </c>
      <c r="H244" s="420"/>
      <c r="I244" s="421"/>
      <c r="J244" s="416"/>
      <c r="K244" s="417"/>
      <c r="L244" s="417"/>
      <c r="M244" s="416"/>
      <c r="N244" s="420"/>
      <c r="O244" s="420"/>
      <c r="P244" s="417"/>
      <c r="Q244" s="417"/>
      <c r="R244" s="417"/>
      <c r="S244" s="422">
        <f t="shared" ref="S244" si="118">AG245-AG243</f>
        <v>40</v>
      </c>
      <c r="T244" s="417"/>
      <c r="U244" s="417"/>
      <c r="V244" s="417"/>
      <c r="W244" s="417"/>
      <c r="X244" s="417"/>
      <c r="Y244" s="417"/>
      <c r="Z244" s="417"/>
      <c r="AA244" s="417"/>
      <c r="AB244" s="417"/>
      <c r="AC244" s="417"/>
      <c r="AD244" s="417"/>
      <c r="AE244" s="417"/>
      <c r="AF244" s="417"/>
      <c r="AG244" s="416"/>
      <c r="AH244" s="417"/>
      <c r="AI244" s="417"/>
      <c r="AJ244" s="417"/>
      <c r="AK244" s="417"/>
      <c r="AL244" s="417"/>
      <c r="AM244" s="417"/>
      <c r="AN244" s="444"/>
      <c r="AO244" s="420"/>
      <c r="AP244" s="420"/>
      <c r="AQ244" s="422">
        <f>+FL_1(T245,T243,G244,1200,9.28, 1*F245)</f>
        <v>0.52113586870011142</v>
      </c>
      <c r="AR244" s="422"/>
      <c r="AS244" s="422"/>
      <c r="AT244" s="422"/>
      <c r="AU244" s="417"/>
      <c r="AV244" s="417"/>
      <c r="AW244" s="417"/>
      <c r="AX244" s="417"/>
      <c r="AY244" s="422"/>
      <c r="AZ244" s="422"/>
      <c r="BA244" s="604"/>
      <c r="BB244" s="414"/>
      <c r="BC244" s="169"/>
      <c r="BD244" s="1330"/>
      <c r="BE244" s="1330"/>
      <c r="BF244" s="1330"/>
      <c r="BG244" s="1330"/>
    </row>
    <row r="245" spans="1:59" ht="15.75" customHeight="1">
      <c r="A245" s="414"/>
      <c r="B245" s="437" t="s">
        <v>5047</v>
      </c>
      <c r="C245" s="416">
        <f>+$C$243+$G$244</f>
        <v>90761.550000000017</v>
      </c>
      <c r="D245" s="417"/>
      <c r="E245" s="417"/>
      <c r="F245" s="418">
        <v>0</v>
      </c>
      <c r="G245" s="422"/>
      <c r="H245" s="420"/>
      <c r="I245" s="421"/>
      <c r="J245" s="416"/>
      <c r="K245" s="417"/>
      <c r="L245" s="417"/>
      <c r="M245" s="416"/>
      <c r="N245" s="420" t="s">
        <v>844</v>
      </c>
      <c r="O245" s="420"/>
      <c r="P245" s="417"/>
      <c r="Q245" s="417">
        <v>0</v>
      </c>
      <c r="R245" s="417">
        <v>0</v>
      </c>
      <c r="S245" s="422"/>
      <c r="T245" s="417">
        <v>20</v>
      </c>
      <c r="U245" s="417"/>
      <c r="V245" s="417"/>
      <c r="W245" s="417">
        <v>1.4</v>
      </c>
      <c r="X245" s="417"/>
      <c r="Y245" s="417"/>
      <c r="Z245" s="417"/>
      <c r="AA245" s="417"/>
      <c r="AB245" s="417"/>
      <c r="AC245" s="420" t="s">
        <v>4115</v>
      </c>
      <c r="AD245" s="417"/>
      <c r="AE245" s="417"/>
      <c r="AF245" s="417">
        <v>100</v>
      </c>
      <c r="AG245" s="416">
        <v>90743</v>
      </c>
      <c r="AH245" s="417">
        <v>1713</v>
      </c>
      <c r="AI245" s="417">
        <v>-5500</v>
      </c>
      <c r="AJ245" s="417"/>
      <c r="AK245" s="417" t="s">
        <v>139</v>
      </c>
      <c r="AL245" s="417"/>
      <c r="AM245" s="417"/>
      <c r="AN245" s="444">
        <v>5.5</v>
      </c>
      <c r="AO245" s="420"/>
      <c r="AP245" s="420"/>
      <c r="AQ245" s="422"/>
      <c r="AR245" s="422"/>
      <c r="AS245" s="422"/>
      <c r="AT245" s="422">
        <f>+ab(T245,T243,T247,G244,G246, 1*F245,1200)</f>
        <v>23.578447685827495</v>
      </c>
      <c r="AU245" s="417"/>
      <c r="AV245" s="417"/>
      <c r="AW245" s="417"/>
      <c r="AX245" s="417"/>
      <c r="AY245" s="422"/>
      <c r="AZ245" s="422"/>
      <c r="BA245" s="604"/>
      <c r="BB245" s="414"/>
      <c r="BC245" s="169"/>
      <c r="BD245" s="1330"/>
      <c r="BE245" s="1329"/>
      <c r="BF245" s="1330"/>
      <c r="BG245" s="1329"/>
    </row>
    <row r="246" spans="1:59" ht="15.75" customHeight="1">
      <c r="A246" s="488"/>
      <c r="B246" s="494"/>
      <c r="C246" s="489"/>
      <c r="D246" s="490"/>
      <c r="E246" s="490"/>
      <c r="F246" s="491"/>
      <c r="G246" s="493">
        <v>58.5</v>
      </c>
      <c r="H246" s="761"/>
      <c r="I246" s="492"/>
      <c r="J246" s="489"/>
      <c r="K246" s="490"/>
      <c r="L246" s="490"/>
      <c r="M246" s="489"/>
      <c r="N246" s="495"/>
      <c r="O246" s="495"/>
      <c r="P246" s="490"/>
      <c r="Q246" s="490"/>
      <c r="R246" s="490"/>
      <c r="S246" s="493" t="e">
        <f>AG247-#REF!</f>
        <v>#REF!</v>
      </c>
      <c r="T246" s="1553"/>
      <c r="U246" s="490"/>
      <c r="V246" s="490"/>
      <c r="W246" s="490"/>
      <c r="X246" s="490"/>
      <c r="Y246" s="490"/>
      <c r="Z246" s="490"/>
      <c r="AA246" s="490"/>
      <c r="AB246" s="490"/>
      <c r="AC246" s="490"/>
      <c r="AD246" s="490"/>
      <c r="AE246" s="490"/>
      <c r="AF246" s="490"/>
      <c r="AG246" s="489"/>
      <c r="AH246" s="490"/>
      <c r="AI246" s="490"/>
      <c r="AJ246" s="490"/>
      <c r="AK246" s="490"/>
      <c r="AL246" s="490"/>
      <c r="AM246" s="490"/>
      <c r="AN246" s="457"/>
      <c r="AO246" s="495"/>
      <c r="AP246" s="495"/>
      <c r="AQ246" s="493">
        <f>+FL_1(T247,T245,G246,1200,9.28, 1*F247)</f>
        <v>0.36104564577777781</v>
      </c>
      <c r="AR246" s="493"/>
      <c r="AS246" s="493"/>
      <c r="AT246" s="493"/>
      <c r="AU246" s="490"/>
      <c r="AV246" s="490"/>
      <c r="AW246" s="490"/>
      <c r="AX246" s="490"/>
      <c r="AY246" s="493"/>
      <c r="AZ246" s="493"/>
      <c r="BA246" s="602"/>
      <c r="BB246" s="488"/>
      <c r="BC246" s="169"/>
      <c r="BD246" s="1330"/>
      <c r="BE246" s="1330"/>
      <c r="BF246" s="1330"/>
      <c r="BG246" s="1330"/>
    </row>
    <row r="247" spans="1:59" ht="15.75" customHeight="1">
      <c r="A247" s="414"/>
      <c r="B247" s="437" t="s">
        <v>2176</v>
      </c>
      <c r="C247" s="416">
        <f>+$C$245+$G$246</f>
        <v>90820.050000000017</v>
      </c>
      <c r="D247" s="417"/>
      <c r="E247" s="417"/>
      <c r="F247" s="418">
        <v>0</v>
      </c>
      <c r="G247" s="422"/>
      <c r="H247" s="420"/>
      <c r="I247" s="421"/>
      <c r="J247" s="416"/>
      <c r="K247" s="417"/>
      <c r="L247" s="417"/>
      <c r="M247" s="416"/>
      <c r="N247" s="420" t="s">
        <v>843</v>
      </c>
      <c r="O247" s="420"/>
      <c r="P247" s="417"/>
      <c r="Q247" s="417"/>
      <c r="R247" s="417"/>
      <c r="S247" s="422"/>
      <c r="T247" s="417">
        <v>-20</v>
      </c>
      <c r="U247" s="417"/>
      <c r="V247" s="417"/>
      <c r="W247" s="417">
        <v>1.4</v>
      </c>
      <c r="X247" s="417"/>
      <c r="Y247" s="417"/>
      <c r="Z247" s="417"/>
      <c r="AA247" s="417"/>
      <c r="AB247" s="417"/>
      <c r="AC247" s="420" t="str">
        <f t="shared" si="95"/>
        <v>PH</v>
      </c>
      <c r="AD247" s="417"/>
      <c r="AE247" s="417"/>
      <c r="AF247" s="417"/>
      <c r="AG247" s="416"/>
      <c r="AH247" s="417"/>
      <c r="AI247" s="417"/>
      <c r="AJ247" s="417"/>
      <c r="AK247" s="417" t="s">
        <v>139</v>
      </c>
      <c r="AL247" s="417"/>
      <c r="AM247" s="417"/>
      <c r="AN247" s="444">
        <v>5.5</v>
      </c>
      <c r="AO247" s="420"/>
      <c r="AP247" s="420"/>
      <c r="AQ247" s="422"/>
      <c r="AR247" s="422"/>
      <c r="AS247" s="422"/>
      <c r="AT247" s="422">
        <f>+ab(T247,T245,-T249,G246,G248, 1*F247,1200)</f>
        <v>-10.261779999996612</v>
      </c>
      <c r="AU247" s="417"/>
      <c r="AV247" s="417"/>
      <c r="AW247" s="417"/>
      <c r="AX247" s="417"/>
      <c r="AY247" s="422"/>
      <c r="AZ247" s="422"/>
      <c r="BA247" s="604"/>
      <c r="BB247" s="414"/>
      <c r="BC247" s="169"/>
      <c r="BD247" s="1330"/>
      <c r="BE247" s="1329"/>
      <c r="BF247" s="1330"/>
      <c r="BG247" s="1329"/>
    </row>
    <row r="248" spans="1:59" ht="15.75" customHeight="1">
      <c r="A248" s="414"/>
      <c r="B248" s="415"/>
      <c r="C248" s="416"/>
      <c r="D248" s="417"/>
      <c r="E248" s="417"/>
      <c r="F248" s="418"/>
      <c r="G248" s="422">
        <v>34.299999999999997</v>
      </c>
      <c r="H248" s="420"/>
      <c r="I248" s="421"/>
      <c r="J248" s="416"/>
      <c r="K248" s="417"/>
      <c r="L248" s="417"/>
      <c r="M248" s="416"/>
      <c r="N248" s="420"/>
      <c r="O248" s="420"/>
      <c r="P248" s="417"/>
      <c r="Q248" s="417"/>
      <c r="R248" s="417"/>
      <c r="S248" s="422">
        <f t="shared" ref="S248" si="119">AG249-AG247</f>
        <v>0</v>
      </c>
      <c r="T248" s="460"/>
      <c r="U248" s="417"/>
      <c r="V248" s="417"/>
      <c r="W248" s="417"/>
      <c r="X248" s="417"/>
      <c r="Y248" s="417"/>
      <c r="Z248" s="417"/>
      <c r="AA248" s="417"/>
      <c r="AB248" s="417"/>
      <c r="AC248" s="417"/>
      <c r="AD248" s="417"/>
      <c r="AE248" s="417"/>
      <c r="AF248" s="417"/>
      <c r="AG248" s="416"/>
      <c r="AH248" s="417"/>
      <c r="AI248" s="417"/>
      <c r="AJ248" s="417"/>
      <c r="AK248" s="417"/>
      <c r="AL248" s="417"/>
      <c r="AM248" s="417"/>
      <c r="AN248" s="444"/>
      <c r="AO248" s="420"/>
      <c r="AP248" s="420"/>
      <c r="AQ248" s="422">
        <f>+FL_2($T$249,$T$247,$G$248,1200,9.28, 1*$F$249)</f>
        <v>-0.31372736666666667</v>
      </c>
      <c r="AR248" s="422"/>
      <c r="AS248" s="422"/>
      <c r="AT248" s="422"/>
      <c r="AU248" s="417"/>
      <c r="AV248" s="417"/>
      <c r="AW248" s="417"/>
      <c r="AX248" s="417"/>
      <c r="AY248" s="422"/>
      <c r="AZ248" s="422"/>
      <c r="BA248" s="604"/>
      <c r="BB248" s="414"/>
      <c r="BC248" s="169"/>
      <c r="BD248" s="1330"/>
      <c r="BE248" s="1330"/>
      <c r="BF248" s="1330"/>
      <c r="BG248" s="1330"/>
    </row>
    <row r="249" spans="1:59" ht="15.75" customHeight="1">
      <c r="A249" s="459"/>
      <c r="B249" s="686" t="s">
        <v>2177</v>
      </c>
      <c r="C249" s="416">
        <f>+$C$247+$G$248</f>
        <v>90854.35000000002</v>
      </c>
      <c r="D249" s="417"/>
      <c r="E249" s="417"/>
      <c r="F249" s="418">
        <v>0</v>
      </c>
      <c r="G249" s="422"/>
      <c r="H249" s="420"/>
      <c r="I249" s="421"/>
      <c r="J249" s="416"/>
      <c r="K249" s="417"/>
      <c r="L249" s="417"/>
      <c r="M249" s="416"/>
      <c r="N249" s="1550" t="s">
        <v>843</v>
      </c>
      <c r="O249" s="420"/>
      <c r="P249" s="417"/>
      <c r="Q249" s="417"/>
      <c r="R249" s="417"/>
      <c r="S249" s="422"/>
      <c r="T249" s="417">
        <v>-20</v>
      </c>
      <c r="U249" s="417"/>
      <c r="V249" s="417"/>
      <c r="W249" s="417">
        <v>1.4</v>
      </c>
      <c r="X249" s="417"/>
      <c r="Y249" s="417"/>
      <c r="Z249" s="417"/>
      <c r="AA249" s="417"/>
      <c r="AB249" s="417"/>
      <c r="AC249" s="420" t="str">
        <f t="shared" si="95"/>
        <v>PH</v>
      </c>
      <c r="AD249" s="417"/>
      <c r="AE249" s="417"/>
      <c r="AF249" s="417"/>
      <c r="AG249" s="416"/>
      <c r="AH249" s="417"/>
      <c r="AI249" s="417"/>
      <c r="AJ249" s="417"/>
      <c r="AK249" s="417" t="s">
        <v>139</v>
      </c>
      <c r="AL249" s="417"/>
      <c r="AM249" s="417"/>
      <c r="AN249" s="444">
        <v>5.5</v>
      </c>
      <c r="AO249" s="420"/>
      <c r="AP249" s="420"/>
      <c r="AQ249" s="422"/>
      <c r="AR249" s="422"/>
      <c r="AS249" s="422"/>
      <c r="AT249" s="422">
        <f>+ab($T$249,-$T$247,$T$251,$G$248,$G$250, 1*$F$249,1200)</f>
        <v>-8.788994254453149</v>
      </c>
      <c r="AU249" s="417"/>
      <c r="AV249" s="417"/>
      <c r="AW249" s="417"/>
      <c r="AX249" s="417"/>
      <c r="AY249" s="422"/>
      <c r="AZ249" s="422"/>
      <c r="BA249" s="604"/>
      <c r="BB249" s="459"/>
      <c r="BC249" s="169"/>
      <c r="BD249" s="1330"/>
      <c r="BE249" s="1329"/>
      <c r="BF249" s="1330"/>
      <c r="BG249" s="1329"/>
    </row>
    <row r="250" spans="1:59" ht="15.75" customHeight="1">
      <c r="A250" s="414"/>
      <c r="B250" s="461"/>
      <c r="C250" s="416"/>
      <c r="D250" s="417"/>
      <c r="E250" s="417"/>
      <c r="F250" s="418"/>
      <c r="G250" s="422">
        <v>40</v>
      </c>
      <c r="H250" s="420"/>
      <c r="I250" s="421"/>
      <c r="J250" s="416"/>
      <c r="K250" s="417"/>
      <c r="L250" s="417"/>
      <c r="M250" s="416"/>
      <c r="N250" s="420"/>
      <c r="O250" s="420"/>
      <c r="P250" s="420"/>
      <c r="Q250" s="417"/>
      <c r="R250" s="417"/>
      <c r="S250" s="422">
        <f t="shared" ref="S250" si="120">AG251-AG249</f>
        <v>0</v>
      </c>
      <c r="T250" s="417"/>
      <c r="U250" s="417"/>
      <c r="V250" s="417"/>
      <c r="W250" s="417"/>
      <c r="X250" s="417"/>
      <c r="Y250" s="417"/>
      <c r="Z250" s="417"/>
      <c r="AA250" s="417"/>
      <c r="AB250" s="417"/>
      <c r="AC250" s="417"/>
      <c r="AD250" s="417"/>
      <c r="AE250" s="417"/>
      <c r="AF250" s="417"/>
      <c r="AG250" s="416"/>
      <c r="AH250" s="417"/>
      <c r="AI250" s="417"/>
      <c r="AJ250" s="417"/>
      <c r="AK250" s="417"/>
      <c r="AL250" s="417"/>
      <c r="AM250" s="417"/>
      <c r="AN250" s="444"/>
      <c r="AO250" s="420"/>
      <c r="AP250" s="420"/>
      <c r="AQ250" s="422">
        <f>+FL_1($T$251,$T$249,$G$250,1200,9.28, 1*$F$251)</f>
        <v>0.20180896210383953</v>
      </c>
      <c r="AR250" s="422"/>
      <c r="AS250" s="422"/>
      <c r="AT250" s="422"/>
      <c r="AU250" s="417"/>
      <c r="AV250" s="417"/>
      <c r="AW250" s="417"/>
      <c r="AX250" s="417"/>
      <c r="AY250" s="422"/>
      <c r="AZ250" s="422"/>
      <c r="BA250" s="604"/>
      <c r="BB250" s="414"/>
      <c r="BC250" s="169"/>
      <c r="BD250" s="1330"/>
      <c r="BE250" s="1330"/>
      <c r="BF250" s="1330"/>
      <c r="BG250" s="1330"/>
    </row>
    <row r="251" spans="1:59" ht="15.75" customHeight="1">
      <c r="A251" s="414"/>
      <c r="B251" s="437" t="s">
        <v>2178</v>
      </c>
      <c r="C251" s="416">
        <f>+$C$249+$G$250</f>
        <v>90894.35000000002</v>
      </c>
      <c r="D251" s="417"/>
      <c r="E251" s="417"/>
      <c r="F251" s="418">
        <v>4965</v>
      </c>
      <c r="G251" s="422"/>
      <c r="H251" s="420"/>
      <c r="I251" s="421"/>
      <c r="J251" s="416"/>
      <c r="K251" s="417"/>
      <c r="L251" s="417"/>
      <c r="M251" s="416"/>
      <c r="N251" s="1550" t="s">
        <v>844</v>
      </c>
      <c r="O251" s="420"/>
      <c r="P251" s="417"/>
      <c r="Q251" s="417"/>
      <c r="R251" s="417"/>
      <c r="S251" s="422"/>
      <c r="T251" s="417">
        <v>20</v>
      </c>
      <c r="U251" s="417"/>
      <c r="V251" s="417"/>
      <c r="W251" s="417">
        <v>1.4</v>
      </c>
      <c r="X251" s="417"/>
      <c r="Y251" s="417"/>
      <c r="Z251" s="417"/>
      <c r="AA251" s="417"/>
      <c r="AB251" s="417"/>
      <c r="AC251" s="420" t="str">
        <f t="shared" si="95"/>
        <v>PH-Q</v>
      </c>
      <c r="AD251" s="417"/>
      <c r="AE251" s="417"/>
      <c r="AF251" s="417"/>
      <c r="AG251" s="416"/>
      <c r="AH251" s="417"/>
      <c r="AI251" s="417"/>
      <c r="AJ251" s="417"/>
      <c r="AK251" s="417" t="s">
        <v>139</v>
      </c>
      <c r="AL251" s="417"/>
      <c r="AM251" s="417"/>
      <c r="AN251" s="444">
        <v>5.5</v>
      </c>
      <c r="AO251" s="420"/>
      <c r="AP251" s="420"/>
      <c r="AQ251" s="422"/>
      <c r="AR251" s="422"/>
      <c r="AS251" s="422"/>
      <c r="AT251" s="422">
        <f>+ab($T$251,$T$249,$T$253,$G$250,$G$252, 1*$F$251,1200)</f>
        <v>7.1438723935496222</v>
      </c>
      <c r="AU251" s="417"/>
      <c r="AV251" s="417"/>
      <c r="AW251" s="417"/>
      <c r="AX251" s="417"/>
      <c r="AY251" s="422"/>
      <c r="AZ251" s="422"/>
      <c r="BA251" s="604"/>
      <c r="BB251" s="414"/>
      <c r="BC251" s="169"/>
      <c r="BD251" s="1330"/>
      <c r="BE251" s="1329"/>
      <c r="BF251" s="1330"/>
      <c r="BG251" s="1329"/>
    </row>
    <row r="252" spans="1:59" ht="15.75" customHeight="1">
      <c r="A252" s="414" t="s">
        <v>2161</v>
      </c>
      <c r="B252" s="415"/>
      <c r="C252" s="416"/>
      <c r="D252" s="417"/>
      <c r="E252" s="417"/>
      <c r="F252" s="418"/>
      <c r="G252" s="422">
        <v>63</v>
      </c>
      <c r="H252" s="420"/>
      <c r="I252" s="421"/>
      <c r="J252" s="416"/>
      <c r="K252" s="417"/>
      <c r="L252" s="417"/>
      <c r="M252" s="416"/>
      <c r="N252" s="1551"/>
      <c r="O252" s="420"/>
      <c r="P252" s="417"/>
      <c r="Q252" s="417"/>
      <c r="R252" s="417"/>
      <c r="S252" s="422">
        <f t="shared" ref="S252" si="121">AG253-AG251</f>
        <v>0</v>
      </c>
      <c r="T252" s="417"/>
      <c r="U252" s="417"/>
      <c r="V252" s="417"/>
      <c r="W252" s="417"/>
      <c r="X252" s="417"/>
      <c r="Y252" s="417"/>
      <c r="Z252" s="417"/>
      <c r="AA252" s="417"/>
      <c r="AB252" s="417"/>
      <c r="AC252" s="417"/>
      <c r="AD252" s="417"/>
      <c r="AE252" s="417"/>
      <c r="AF252" s="417"/>
      <c r="AG252" s="416"/>
      <c r="AH252" s="417"/>
      <c r="AI252" s="417"/>
      <c r="AJ252" s="417"/>
      <c r="AK252" s="417"/>
      <c r="AL252" s="417"/>
      <c r="AM252" s="417"/>
      <c r="AN252" s="444"/>
      <c r="AO252" s="420"/>
      <c r="AP252" s="420"/>
      <c r="AQ252" s="422">
        <f>+FL_2($T$253,$T$251,$G$252,1200,9.28, 1*$F$253)</f>
        <v>-0.40377832307693967</v>
      </c>
      <c r="AR252" s="422"/>
      <c r="AS252" s="422"/>
      <c r="AT252" s="422"/>
      <c r="AU252" s="417"/>
      <c r="AV252" s="417"/>
      <c r="AW252" s="417"/>
      <c r="AX252" s="417"/>
      <c r="AY252" s="422"/>
      <c r="AZ252" s="422"/>
      <c r="BA252" s="604"/>
      <c r="BB252" s="414"/>
      <c r="BC252" s="169"/>
      <c r="BD252" s="1330"/>
      <c r="BE252" s="1330"/>
      <c r="BF252" s="1330"/>
      <c r="BG252" s="1330"/>
    </row>
    <row r="253" spans="1:59" ht="15.75" customHeight="1">
      <c r="A253" s="414" t="s">
        <v>1854</v>
      </c>
      <c r="B253" s="437" t="s">
        <v>2179</v>
      </c>
      <c r="C253" s="416">
        <f>+$C$251+$G$252</f>
        <v>90957.35000000002</v>
      </c>
      <c r="D253" s="417"/>
      <c r="E253" s="417"/>
      <c r="F253" s="418">
        <v>-77547</v>
      </c>
      <c r="G253" s="422"/>
      <c r="H253" s="420"/>
      <c r="I253" s="421"/>
      <c r="J253" s="416"/>
      <c r="K253" s="417"/>
      <c r="L253" s="417"/>
      <c r="M253" s="416"/>
      <c r="N253" s="1550" t="s">
        <v>843</v>
      </c>
      <c r="O253" s="420"/>
      <c r="P253" s="417"/>
      <c r="Q253" s="417"/>
      <c r="R253" s="417"/>
      <c r="S253" s="422"/>
      <c r="T253" s="417">
        <v>-20</v>
      </c>
      <c r="U253" s="417"/>
      <c r="V253" s="417"/>
      <c r="W253" s="417">
        <v>1.4</v>
      </c>
      <c r="X253" s="417"/>
      <c r="Y253" s="417"/>
      <c r="Z253" s="417"/>
      <c r="AA253" s="417"/>
      <c r="AB253" s="417"/>
      <c r="AC253" s="420" t="str">
        <f t="shared" si="95"/>
        <v>PH</v>
      </c>
      <c r="AD253" s="417"/>
      <c r="AE253" s="417"/>
      <c r="AF253" s="417"/>
      <c r="AG253" s="416"/>
      <c r="AH253" s="417"/>
      <c r="AI253" s="417"/>
      <c r="AJ253" s="417"/>
      <c r="AK253" s="417" t="s">
        <v>139</v>
      </c>
      <c r="AL253" s="417"/>
      <c r="AM253" s="417"/>
      <c r="AN253" s="444">
        <v>5.5</v>
      </c>
      <c r="AO253" s="420"/>
      <c r="AP253" s="420"/>
      <c r="AQ253" s="422"/>
      <c r="AR253" s="422"/>
      <c r="AS253" s="422"/>
      <c r="AT253" s="422">
        <f>+ab($T$253,$T$251,$T$255,$G$252,$G$254, 1*$F$253,1200)</f>
        <v>-25.454950372997125</v>
      </c>
      <c r="AU253" s="417"/>
      <c r="AV253" s="417"/>
      <c r="AW253" s="417"/>
      <c r="AX253" s="417"/>
      <c r="AY253" s="422"/>
      <c r="AZ253" s="422"/>
      <c r="BA253" s="604"/>
      <c r="BB253" s="414"/>
      <c r="BC253" s="169"/>
      <c r="BD253" s="1330"/>
      <c r="BE253" s="1329"/>
      <c r="BF253" s="1330"/>
      <c r="BG253" s="1329"/>
    </row>
    <row r="254" spans="1:59" ht="15.75" customHeight="1">
      <c r="A254" s="414"/>
      <c r="B254" s="415"/>
      <c r="C254" s="416"/>
      <c r="D254" s="417"/>
      <c r="E254" s="417"/>
      <c r="F254" s="418"/>
      <c r="G254" s="422">
        <v>43.5</v>
      </c>
      <c r="H254" s="420"/>
      <c r="I254" s="421"/>
      <c r="J254" s="416"/>
      <c r="K254" s="417"/>
      <c r="L254" s="417"/>
      <c r="M254" s="416"/>
      <c r="N254" s="420"/>
      <c r="O254" s="420"/>
      <c r="P254" s="420"/>
      <c r="Q254" s="417"/>
      <c r="R254" s="417"/>
      <c r="S254" s="422">
        <f t="shared" ref="S254" si="122">AG255-AG253</f>
        <v>0</v>
      </c>
      <c r="T254" s="417"/>
      <c r="U254" s="417"/>
      <c r="V254" s="417"/>
      <c r="W254" s="417"/>
      <c r="X254" s="417"/>
      <c r="Y254" s="417"/>
      <c r="Z254" s="417"/>
      <c r="AA254" s="417"/>
      <c r="AB254" s="417"/>
      <c r="AC254" s="417"/>
      <c r="AD254" s="417"/>
      <c r="AE254" s="417"/>
      <c r="AF254" s="417"/>
      <c r="AG254" s="416"/>
      <c r="AH254" s="417"/>
      <c r="AI254" s="417"/>
      <c r="AJ254" s="417"/>
      <c r="AK254" s="417"/>
      <c r="AL254" s="417"/>
      <c r="AM254" s="417"/>
      <c r="AN254" s="444"/>
      <c r="AO254" s="420"/>
      <c r="AP254" s="420"/>
      <c r="AQ254" s="422">
        <f>+FL_2($T$255,$T$253,$G$254,1200,9.28, 1*$F$255)</f>
        <v>-0.32124001576122874</v>
      </c>
      <c r="AR254" s="422"/>
      <c r="AS254" s="422"/>
      <c r="AT254" s="422"/>
      <c r="AU254" s="417"/>
      <c r="AV254" s="417"/>
      <c r="AW254" s="417"/>
      <c r="AX254" s="417"/>
      <c r="AY254" s="422"/>
      <c r="AZ254" s="422"/>
      <c r="BA254" s="604"/>
      <c r="BB254" s="414"/>
      <c r="BC254" s="169"/>
      <c r="BD254" s="1330"/>
      <c r="BE254" s="1330"/>
      <c r="BF254" s="1330"/>
      <c r="BG254" s="1330"/>
    </row>
    <row r="255" spans="1:59" ht="15.75" customHeight="1">
      <c r="A255" s="414"/>
      <c r="B255" s="437" t="s">
        <v>2180</v>
      </c>
      <c r="C255" s="416">
        <f>+$C$253+$G$254</f>
        <v>91000.85000000002</v>
      </c>
      <c r="D255" s="417"/>
      <c r="E255" s="417"/>
      <c r="F255" s="418">
        <v>-3835</v>
      </c>
      <c r="G255" s="422"/>
      <c r="H255" s="420"/>
      <c r="I255" s="421"/>
      <c r="J255" s="416"/>
      <c r="K255" s="417"/>
      <c r="L255" s="417"/>
      <c r="M255" s="416"/>
      <c r="N255" s="420" t="s">
        <v>843</v>
      </c>
      <c r="O255" s="420"/>
      <c r="P255" s="417"/>
      <c r="Q255" s="417"/>
      <c r="R255" s="417"/>
      <c r="S255" s="422"/>
      <c r="T255" s="417">
        <v>-20</v>
      </c>
      <c r="U255" s="417"/>
      <c r="V255" s="417"/>
      <c r="W255" s="417">
        <v>1.4</v>
      </c>
      <c r="X255" s="417"/>
      <c r="Y255" s="417"/>
      <c r="Z255" s="417"/>
      <c r="AA255" s="417"/>
      <c r="AB255" s="417"/>
      <c r="AC255" s="420" t="str">
        <f t="shared" si="95"/>
        <v>PH</v>
      </c>
      <c r="AD255" s="417"/>
      <c r="AE255" s="417"/>
      <c r="AF255" s="417"/>
      <c r="AG255" s="416"/>
      <c r="AH255" s="417"/>
      <c r="AI255" s="417"/>
      <c r="AJ255" s="417"/>
      <c r="AK255" s="417" t="s">
        <v>139</v>
      </c>
      <c r="AL255" s="417"/>
      <c r="AM255" s="417"/>
      <c r="AN255" s="444">
        <v>5.5</v>
      </c>
      <c r="AO255" s="420"/>
      <c r="AP255" s="420"/>
      <c r="AQ255" s="422"/>
      <c r="AR255" s="422"/>
      <c r="AS255" s="422"/>
      <c r="AT255" s="422">
        <f>+ab($T$255,$T$253,$T$257,$G$254,$G$256, 1*$F$255,1200)</f>
        <v>-17.864609282252609</v>
      </c>
      <c r="AU255" s="417"/>
      <c r="AV255" s="417"/>
      <c r="AW255" s="417"/>
      <c r="AX255" s="417"/>
      <c r="AY255" s="422"/>
      <c r="AZ255" s="422"/>
      <c r="BA255" s="604"/>
      <c r="BB255" s="414"/>
      <c r="BC255" s="169"/>
      <c r="BD255" s="1330"/>
      <c r="BE255" s="1329"/>
      <c r="BF255" s="1330"/>
      <c r="BG255" s="1329"/>
    </row>
    <row r="256" spans="1:59" ht="15.75" customHeight="1">
      <c r="A256" s="414"/>
      <c r="B256" s="415"/>
      <c r="C256" s="416"/>
      <c r="D256" s="417"/>
      <c r="E256" s="417"/>
      <c r="F256" s="418"/>
      <c r="G256" s="422">
        <v>36.200000000000003</v>
      </c>
      <c r="H256" s="417"/>
      <c r="I256" s="421"/>
      <c r="J256" s="416"/>
      <c r="K256" s="417"/>
      <c r="L256" s="417"/>
      <c r="M256" s="416"/>
      <c r="N256" s="420"/>
      <c r="O256" s="420"/>
      <c r="P256" s="420"/>
      <c r="Q256" s="417"/>
      <c r="R256" s="417"/>
      <c r="S256" s="422">
        <f t="shared" ref="S256" si="123">AG257-AG255</f>
        <v>0</v>
      </c>
      <c r="T256" s="417"/>
      <c r="U256" s="417"/>
      <c r="V256" s="417"/>
      <c r="W256" s="417"/>
      <c r="X256" s="417"/>
      <c r="Y256" s="417"/>
      <c r="Z256" s="417"/>
      <c r="AA256" s="417"/>
      <c r="AB256" s="417"/>
      <c r="AC256" s="417"/>
      <c r="AD256" s="417"/>
      <c r="AE256" s="417"/>
      <c r="AF256" s="417"/>
      <c r="AG256" s="416"/>
      <c r="AH256" s="417"/>
      <c r="AI256" s="417"/>
      <c r="AJ256" s="417"/>
      <c r="AK256" s="417"/>
      <c r="AL256" s="417"/>
      <c r="AM256" s="417"/>
      <c r="AN256" s="444"/>
      <c r="AO256" s="420"/>
      <c r="AP256" s="420"/>
      <c r="AQ256" s="422">
        <f>+FL_2($T$257,$T$255,$G$256,1200,9.28, 1*$F$257)</f>
        <v>-0.2</v>
      </c>
      <c r="AR256" s="422"/>
      <c r="AS256" s="422"/>
      <c r="AT256" s="422"/>
      <c r="AU256" s="417"/>
      <c r="AV256" s="417"/>
      <c r="AW256" s="417"/>
      <c r="AX256" s="417"/>
      <c r="AY256" s="422"/>
      <c r="AZ256" s="422"/>
      <c r="BA256" s="604"/>
      <c r="BB256" s="414"/>
      <c r="BC256" s="169"/>
      <c r="BD256" s="1330"/>
      <c r="BE256" s="1330"/>
      <c r="BF256" s="1330"/>
      <c r="BG256" s="1330"/>
    </row>
    <row r="257" spans="1:59" ht="15.75" customHeight="1">
      <c r="A257" s="414"/>
      <c r="B257" s="437" t="s">
        <v>2181</v>
      </c>
      <c r="C257" s="416">
        <f>+$C$255+$G$256</f>
        <v>91037.050000000017</v>
      </c>
      <c r="D257" s="417"/>
      <c r="E257" s="417"/>
      <c r="F257" s="418">
        <v>-1266</v>
      </c>
      <c r="G257" s="422"/>
      <c r="H257" s="420"/>
      <c r="I257" s="421"/>
      <c r="J257" s="416"/>
      <c r="K257" s="417"/>
      <c r="L257" s="417"/>
      <c r="M257" s="416"/>
      <c r="N257" s="420" t="s">
        <v>843</v>
      </c>
      <c r="O257" s="420"/>
      <c r="P257" s="417"/>
      <c r="Q257" s="417"/>
      <c r="R257" s="417"/>
      <c r="S257" s="422"/>
      <c r="T257" s="417">
        <v>-20</v>
      </c>
      <c r="U257" s="417"/>
      <c r="V257" s="417"/>
      <c r="W257" s="417">
        <v>1.4</v>
      </c>
      <c r="X257" s="417"/>
      <c r="Y257" s="417"/>
      <c r="Z257" s="417"/>
      <c r="AA257" s="417"/>
      <c r="AB257" s="417"/>
      <c r="AC257" s="420" t="str">
        <f t="shared" si="95"/>
        <v>PH-Q</v>
      </c>
      <c r="AD257" s="417"/>
      <c r="AE257" s="417"/>
      <c r="AF257" s="417"/>
      <c r="AG257" s="416"/>
      <c r="AH257" s="417"/>
      <c r="AI257" s="417"/>
      <c r="AJ257" s="417"/>
      <c r="AK257" s="417" t="s">
        <v>139</v>
      </c>
      <c r="AL257" s="417"/>
      <c r="AM257" s="417"/>
      <c r="AN257" s="444">
        <v>5.5</v>
      </c>
      <c r="AO257" s="420"/>
      <c r="AP257" s="420"/>
      <c r="AQ257" s="422"/>
      <c r="AR257" s="422"/>
      <c r="AS257" s="422"/>
      <c r="AT257" s="422">
        <f>+ab($T$257,$T$255,$T$259,$G$256,$G$258, 1*$F$257,1200)</f>
        <v>-6.8638524883096528</v>
      </c>
      <c r="AU257" s="417"/>
      <c r="AV257" s="417"/>
      <c r="AW257" s="417"/>
      <c r="AX257" s="417"/>
      <c r="AY257" s="422"/>
      <c r="AZ257" s="422"/>
      <c r="BA257" s="604"/>
      <c r="BB257" s="414"/>
      <c r="BC257" s="169"/>
      <c r="BD257" s="1330"/>
      <c r="BE257" s="1329"/>
      <c r="BF257" s="1330"/>
      <c r="BG257" s="1329"/>
    </row>
    <row r="258" spans="1:59" ht="15.75" customHeight="1">
      <c r="A258" s="414"/>
      <c r="B258" s="415"/>
      <c r="C258" s="416"/>
      <c r="D258" s="417"/>
      <c r="E258" s="417"/>
      <c r="F258" s="418"/>
      <c r="G258" s="422">
        <v>40.5</v>
      </c>
      <c r="H258" s="420"/>
      <c r="I258" s="418"/>
      <c r="J258" s="416">
        <f>C259-7.5</f>
        <v>91070.050000000017</v>
      </c>
      <c r="K258" s="417" t="s">
        <v>2787</v>
      </c>
      <c r="L258" s="417"/>
      <c r="M258" s="417"/>
      <c r="N258" s="420"/>
      <c r="O258" s="420"/>
      <c r="P258" s="420"/>
      <c r="Q258" s="417"/>
      <c r="R258" s="417"/>
      <c r="S258" s="422">
        <f t="shared" ref="S258" si="124">AG259-AG257</f>
        <v>91077</v>
      </c>
      <c r="T258" s="417"/>
      <c r="U258" s="417"/>
      <c r="V258" s="417"/>
      <c r="W258" s="417"/>
      <c r="X258" s="417"/>
      <c r="Y258" s="417"/>
      <c r="Z258" s="417"/>
      <c r="AA258" s="417"/>
      <c r="AB258" s="417"/>
      <c r="AC258" s="417"/>
      <c r="AD258" s="417"/>
      <c r="AE258" s="417"/>
      <c r="AF258" s="417"/>
      <c r="AG258" s="416"/>
      <c r="AH258" s="417"/>
      <c r="AI258" s="417"/>
      <c r="AJ258" s="417"/>
      <c r="AK258" s="417"/>
      <c r="AL258" s="417"/>
      <c r="AM258" s="417"/>
      <c r="AN258" s="444"/>
      <c r="AO258" s="420"/>
      <c r="AP258" s="420"/>
      <c r="AQ258" s="422">
        <f>+FL_2($T$259,$T$257,$G$258,1200,9.28, 1*$F$259)</f>
        <v>-0.3</v>
      </c>
      <c r="AR258" s="422"/>
      <c r="AS258" s="422"/>
      <c r="AT258" s="422"/>
      <c r="AU258" s="417"/>
      <c r="AV258" s="417"/>
      <c r="AW258" s="417" t="str">
        <f>VLOOKUP(J258,'Foundation Calculation'!$A$2:$C$33,3,1)</f>
        <v>Soil A</v>
      </c>
      <c r="AX258" s="578" t="str">
        <f>VLOOKUP(J258,'Foundation Calculation'!$E$2:$G$33,3,1)</f>
        <v>PT</v>
      </c>
      <c r="AY258" s="422"/>
      <c r="AZ258" s="422">
        <f>IF(AX258="PT",VLOOKUP(K258,'Foundation Calculation'!$K$2:$R$40,VLOOKUP(AW258,'Foundation Calculation'!$I$2:$J$8,2,FALSE),0),IF(AX258="K",VLOOKUP(K258,'Foundation Calculation'!$K$42:$R$80,VLOOKUP(AW258,'Foundation Calculation'!$I$2:$J$8,2,FALSE),0),""))</f>
        <v>3.3</v>
      </c>
      <c r="BA258" s="604" t="s">
        <v>2809</v>
      </c>
      <c r="BB258" s="414"/>
      <c r="BC258" s="169"/>
      <c r="BD258" s="1329"/>
      <c r="BE258" s="1330"/>
      <c r="BF258" s="1330"/>
      <c r="BG258" s="1330"/>
    </row>
    <row r="259" spans="1:59" ht="15.75" customHeight="1">
      <c r="A259" s="414"/>
      <c r="B259" s="437" t="s">
        <v>2182</v>
      </c>
      <c r="C259" s="416">
        <f>+$C$257+$G$258</f>
        <v>91077.550000000017</v>
      </c>
      <c r="D259" s="417"/>
      <c r="E259" s="417"/>
      <c r="F259" s="418">
        <v>-1266</v>
      </c>
      <c r="G259" s="422"/>
      <c r="H259" s="420" t="s">
        <v>138</v>
      </c>
      <c r="I259" s="421" t="s">
        <v>623</v>
      </c>
      <c r="J259" s="416"/>
      <c r="K259" s="417"/>
      <c r="L259" s="417" t="s">
        <v>899</v>
      </c>
      <c r="M259" s="416" t="str">
        <f>IF(AX259="PT",VLOOKUP(L259,'Foundation Calculation'!$V$2:$X$40,VLOOKUP(AX259,'Foundation Calculation'!$I$10:$J$13,2,FALSE),0),IF(AX259="K",VLOOKUP(L259,'Foundation Calculation'!$V$42:$X$80,VLOOKUP(AX259,'Foundation Calculation'!$I$10:$J$13,2,FALSE),0),""))</f>
        <v>C5R</v>
      </c>
      <c r="N259" s="420" t="s">
        <v>143</v>
      </c>
      <c r="O259" s="420"/>
      <c r="P259" s="417"/>
      <c r="Q259" s="417">
        <v>40</v>
      </c>
      <c r="R259" s="417">
        <v>-1266.24</v>
      </c>
      <c r="S259" s="422"/>
      <c r="T259" s="417">
        <v>-30</v>
      </c>
      <c r="U259" s="417"/>
      <c r="V259" s="417"/>
      <c r="W259" s="417">
        <v>1.4</v>
      </c>
      <c r="X259" s="417"/>
      <c r="Y259" s="417"/>
      <c r="Z259" s="417"/>
      <c r="AA259" s="417"/>
      <c r="AB259" s="417"/>
      <c r="AC259" s="420" t="s">
        <v>4090</v>
      </c>
      <c r="AD259" s="417"/>
      <c r="AE259" s="417"/>
      <c r="AF259" s="417">
        <v>6000</v>
      </c>
      <c r="AG259" s="416">
        <v>91077</v>
      </c>
      <c r="AH259" s="417">
        <v>3393</v>
      </c>
      <c r="AI259" s="417">
        <v>560</v>
      </c>
      <c r="AJ259" s="417"/>
      <c r="AK259" s="417"/>
      <c r="AL259" s="417"/>
      <c r="AM259" s="417" t="s">
        <v>1042</v>
      </c>
      <c r="AN259" s="444">
        <v>5.5</v>
      </c>
      <c r="AO259" s="420"/>
      <c r="AP259" s="420"/>
      <c r="AQ259" s="422"/>
      <c r="AR259" s="422"/>
      <c r="AS259" s="422"/>
      <c r="AT259" s="422">
        <f>+ab($T$259,$T$257,$U$261,$G$258,$G$260, 1*$F$259,1200)</f>
        <v>-5.4335919632513558</v>
      </c>
      <c r="AU259" s="417"/>
      <c r="AV259" s="417"/>
      <c r="AW259" s="417" t="str">
        <f>VLOOKUP(C259,'Foundation Calculation'!$A$2:$C$33,3,1)</f>
        <v>Soil A</v>
      </c>
      <c r="AX259" s="417" t="str">
        <f>VLOOKUP(C259,'Foundation Calculation'!$E$2:$G$33,3,1)</f>
        <v>PT</v>
      </c>
      <c r="AY259" s="422">
        <f>IF(AX259="PT",VLOOKUP(L259,'Foundation Calculation'!$K$2:$R$40,VLOOKUP(AW259,'Foundation Calculation'!$I$2:$J$8,2,FALSE),0),IF(AX259="K",VLOOKUP(L259,'Foundation Calculation'!$K$42:$R$80,VLOOKUP(AW259,'Foundation Calculation'!$I$2:$J$8,2,FALSE),0),""))</f>
        <v>3.5</v>
      </c>
      <c r="AZ259" s="422"/>
      <c r="BA259" s="604" t="s">
        <v>2809</v>
      </c>
      <c r="BB259" s="414" t="str">
        <f>Pole_Calculations!A20</f>
        <v>App.7-V11A-P9.5.1.6</v>
      </c>
      <c r="BC259" s="169"/>
      <c r="BD259" s="1330"/>
      <c r="BE259" s="1329"/>
      <c r="BF259" s="1330"/>
      <c r="BG259" s="1329"/>
    </row>
    <row r="260" spans="1:59" ht="15.75" customHeight="1">
      <c r="A260" s="462"/>
      <c r="B260" s="468"/>
      <c r="C260" s="463"/>
      <c r="D260" s="464"/>
      <c r="E260" s="464"/>
      <c r="F260" s="465"/>
      <c r="G260" s="466">
        <v>42.4</v>
      </c>
      <c r="H260" s="467"/>
      <c r="I260" s="469" t="s">
        <v>1039</v>
      </c>
      <c r="J260" s="463"/>
      <c r="K260" s="464"/>
      <c r="L260" s="464"/>
      <c r="M260" s="464"/>
      <c r="N260" s="467"/>
      <c r="O260" s="467"/>
      <c r="P260" s="467"/>
      <c r="Q260" s="464"/>
      <c r="R260" s="464"/>
      <c r="S260" s="466">
        <f t="shared" ref="S260" si="125">AG261-AG259</f>
        <v>-91077</v>
      </c>
      <c r="T260" s="464"/>
      <c r="U260" s="464"/>
      <c r="V260" s="464"/>
      <c r="W260" s="464"/>
      <c r="X260" s="464"/>
      <c r="Y260" s="464"/>
      <c r="Z260" s="464"/>
      <c r="AA260" s="464"/>
      <c r="AB260" s="464"/>
      <c r="AC260" s="464"/>
      <c r="AD260" s="464"/>
      <c r="AE260" s="464"/>
      <c r="AF260" s="464"/>
      <c r="AG260" s="463"/>
      <c r="AH260" s="464"/>
      <c r="AI260" s="464"/>
      <c r="AJ260" s="464"/>
      <c r="AK260" s="464"/>
      <c r="AL260" s="464"/>
      <c r="AM260" s="464"/>
      <c r="AN260" s="474"/>
      <c r="AO260" s="467"/>
      <c r="AP260" s="467"/>
      <c r="AQ260" s="466">
        <f>+FL_2($U$261,$T$259,$G$260,1200,9.28, 1*$F$261)</f>
        <v>-0.3</v>
      </c>
      <c r="AR260" s="466"/>
      <c r="AS260" s="466"/>
      <c r="AT260" s="466"/>
      <c r="AU260" s="464"/>
      <c r="AV260" s="464"/>
      <c r="AW260" s="464"/>
      <c r="AX260" s="464"/>
      <c r="AY260" s="466"/>
      <c r="AZ260" s="466"/>
      <c r="BA260" s="674"/>
      <c r="BB260" s="462"/>
      <c r="BC260" s="169"/>
      <c r="BD260" s="1330"/>
      <c r="BE260" s="1330"/>
      <c r="BF260" s="1330"/>
      <c r="BG260" s="1330"/>
    </row>
    <row r="261" spans="1:59" ht="15.75" customHeight="1">
      <c r="A261" s="462" t="s">
        <v>2199</v>
      </c>
      <c r="B261" s="687" t="s">
        <v>2183</v>
      </c>
      <c r="C261" s="463">
        <f>+$C$259+$G$260</f>
        <v>91119.950000000012</v>
      </c>
      <c r="D261" s="464"/>
      <c r="E261" s="464"/>
      <c r="F261" s="465">
        <v>-1210</v>
      </c>
      <c r="G261" s="466"/>
      <c r="H261" s="467" t="s">
        <v>619</v>
      </c>
      <c r="I261" s="469"/>
      <c r="J261" s="473"/>
      <c r="K261" s="469"/>
      <c r="L261" s="464" t="s">
        <v>895</v>
      </c>
      <c r="M261" s="464" t="s">
        <v>5031</v>
      </c>
      <c r="N261" s="464" t="s">
        <v>140</v>
      </c>
      <c r="O261" s="467" t="s">
        <v>143</v>
      </c>
      <c r="P261" s="467"/>
      <c r="Q261" s="464"/>
      <c r="R261" s="464"/>
      <c r="S261" s="466"/>
      <c r="T261" s="464">
        <v>-10</v>
      </c>
      <c r="U261" s="464">
        <v>-30</v>
      </c>
      <c r="V261" s="464"/>
      <c r="W261" s="464">
        <v>1.4</v>
      </c>
      <c r="X261" s="464">
        <v>1.8</v>
      </c>
      <c r="Y261" s="464"/>
      <c r="Z261" s="464">
        <v>0.4</v>
      </c>
      <c r="AA261" s="464"/>
      <c r="AB261" s="464"/>
      <c r="AC261" s="464" t="str">
        <f t="shared" ref="AC261:AC297" si="126">IF(OR(AT261&gt;8,AT261&lt;-8),"PH",IF(OR(AT261&gt;5,AT261&lt;-5),"PH-Q",IF(OR(AT261&gt;1,AT261&lt;-1),"PH-C")))</f>
        <v>PH-Q</v>
      </c>
      <c r="AD261" s="464"/>
      <c r="AE261" s="464"/>
      <c r="AF261" s="464"/>
      <c r="AG261" s="463"/>
      <c r="AH261" s="464"/>
      <c r="AI261" s="464"/>
      <c r="AJ261" s="464"/>
      <c r="AK261" s="464"/>
      <c r="AL261" s="464"/>
      <c r="AM261" s="464" t="s">
        <v>1042</v>
      </c>
      <c r="AN261" s="474">
        <v>5.5</v>
      </c>
      <c r="AO261" s="467"/>
      <c r="AP261" s="467"/>
      <c r="AQ261" s="466"/>
      <c r="AR261" s="466"/>
      <c r="AS261" s="466"/>
      <c r="AT261" s="466">
        <f>+ab($T$261,$T$259,$T$263,$G$260,$G$262, 1*$F$261,1200)</f>
        <v>-6.0332940236999475</v>
      </c>
      <c r="AU261" s="464"/>
      <c r="AV261" s="464"/>
      <c r="AW261" s="464" t="s">
        <v>5030</v>
      </c>
      <c r="AX261" s="464"/>
      <c r="AY261" s="466"/>
      <c r="AZ261" s="466"/>
      <c r="BA261" s="674" t="s">
        <v>2809</v>
      </c>
      <c r="BB261" s="462" t="str">
        <f>Pole_Calculations!A19</f>
        <v>App.7-V11A-P9.5.1.5</v>
      </c>
      <c r="BC261" s="169" t="s">
        <v>4954</v>
      </c>
      <c r="BD261" s="1330"/>
      <c r="BE261" s="1329"/>
      <c r="BF261" s="1329"/>
      <c r="BG261" s="1329"/>
    </row>
    <row r="262" spans="1:59" ht="15.75" customHeight="1">
      <c r="A262" s="462"/>
      <c r="B262" s="468"/>
      <c r="C262" s="463"/>
      <c r="D262" s="464"/>
      <c r="E262" s="464"/>
      <c r="F262" s="465"/>
      <c r="G262" s="466">
        <v>45.7</v>
      </c>
      <c r="H262" s="467"/>
      <c r="I262" s="469"/>
      <c r="J262" s="473"/>
      <c r="K262" s="467"/>
      <c r="L262" s="464"/>
      <c r="M262" s="464"/>
      <c r="N262" s="467"/>
      <c r="O262" s="464"/>
      <c r="P262" s="464"/>
      <c r="Q262" s="464"/>
      <c r="R262" s="464"/>
      <c r="S262" s="466">
        <f t="shared" ref="S262" si="127">AG263-AG261</f>
        <v>0</v>
      </c>
      <c r="T262" s="464"/>
      <c r="U262" s="464"/>
      <c r="V262" s="464"/>
      <c r="W262" s="464"/>
      <c r="X262" s="464"/>
      <c r="Y262" s="464"/>
      <c r="Z262" s="464"/>
      <c r="AA262" s="464"/>
      <c r="AB262" s="464"/>
      <c r="AC262" s="464"/>
      <c r="AD262" s="464"/>
      <c r="AE262" s="464"/>
      <c r="AF262" s="464"/>
      <c r="AG262" s="463"/>
      <c r="AH262" s="464"/>
      <c r="AI262" s="464"/>
      <c r="AJ262" s="464"/>
      <c r="AK262" s="464"/>
      <c r="AL262" s="464"/>
      <c r="AM262" s="464"/>
      <c r="AN262" s="474"/>
      <c r="AO262" s="467"/>
      <c r="AP262" s="467"/>
      <c r="AQ262" s="466">
        <f>+FL_2($U$263,$U$261,$G$262,1200,9.28, 1*$F$263)</f>
        <v>-0.30001213894948259</v>
      </c>
      <c r="AR262" s="466"/>
      <c r="AS262" s="466"/>
      <c r="AT262" s="466"/>
      <c r="AU262" s="464"/>
      <c r="AV262" s="464"/>
      <c r="AW262" s="464"/>
      <c r="AX262" s="464"/>
      <c r="AY262" s="466"/>
      <c r="AZ262" s="466"/>
      <c r="BA262" s="674"/>
      <c r="BB262" s="462"/>
      <c r="BC262" s="169"/>
      <c r="BD262" s="1330"/>
      <c r="BE262" s="1330"/>
      <c r="BF262" s="1330"/>
      <c r="BG262" s="1330"/>
    </row>
    <row r="263" spans="1:59" ht="15.75" customHeight="1">
      <c r="A263" s="462"/>
      <c r="B263" s="687" t="s">
        <v>2184</v>
      </c>
      <c r="C263" s="463">
        <f>+$C$261+$G$262</f>
        <v>91165.650000000009</v>
      </c>
      <c r="D263" s="464"/>
      <c r="E263" s="464"/>
      <c r="F263" s="465">
        <v>-1210</v>
      </c>
      <c r="G263" s="466"/>
      <c r="H263" s="467" t="s">
        <v>619</v>
      </c>
      <c r="I263" s="469"/>
      <c r="J263" s="473"/>
      <c r="K263" s="469"/>
      <c r="L263" s="464" t="s">
        <v>895</v>
      </c>
      <c r="M263" s="464" t="s">
        <v>5031</v>
      </c>
      <c r="N263" s="467" t="s">
        <v>143</v>
      </c>
      <c r="O263" s="467" t="s">
        <v>140</v>
      </c>
      <c r="P263" s="467"/>
      <c r="Q263" s="464"/>
      <c r="R263" s="464"/>
      <c r="S263" s="466"/>
      <c r="T263" s="464">
        <v>-10</v>
      </c>
      <c r="U263" s="464">
        <v>-30</v>
      </c>
      <c r="V263" s="464"/>
      <c r="W263" s="464">
        <v>1.4</v>
      </c>
      <c r="X263" s="464">
        <v>1.8</v>
      </c>
      <c r="Y263" s="464"/>
      <c r="Z263" s="464"/>
      <c r="AA263" s="464">
        <v>0.4</v>
      </c>
      <c r="AB263" s="464"/>
      <c r="AC263" s="467" t="str">
        <f t="shared" si="126"/>
        <v>PH-Q</v>
      </c>
      <c r="AD263" s="464"/>
      <c r="AE263" s="464"/>
      <c r="AF263" s="464"/>
      <c r="AG263" s="463"/>
      <c r="AH263" s="464"/>
      <c r="AI263" s="464"/>
      <c r="AJ263" s="464"/>
      <c r="AK263" s="464"/>
      <c r="AL263" s="464"/>
      <c r="AM263" s="464" t="s">
        <v>1042</v>
      </c>
      <c r="AN263" s="474">
        <v>5.5</v>
      </c>
      <c r="AO263" s="467"/>
      <c r="AP263" s="467"/>
      <c r="AQ263" s="466"/>
      <c r="AR263" s="466"/>
      <c r="AS263" s="466"/>
      <c r="AT263" s="466">
        <f>+ab($T$263,$T$261,$T$265,$G$262,$G$264, 1*$F$263,1200)</f>
        <v>-5.762430082206941</v>
      </c>
      <c r="AU263" s="464"/>
      <c r="AV263" s="464"/>
      <c r="AW263" s="464" t="s">
        <v>5030</v>
      </c>
      <c r="AX263" s="464"/>
      <c r="AY263" s="466"/>
      <c r="AZ263" s="466"/>
      <c r="BA263" s="674" t="s">
        <v>2809</v>
      </c>
      <c r="BB263" s="462" t="str">
        <f>Pole_Calculations!A19</f>
        <v>App.7-V11A-P9.5.1.5</v>
      </c>
      <c r="BC263" s="169" t="s">
        <v>4954</v>
      </c>
      <c r="BD263" s="1330"/>
      <c r="BE263" s="1329"/>
      <c r="BF263" s="1329"/>
      <c r="BG263" s="1329"/>
    </row>
    <row r="264" spans="1:59" ht="15.75" customHeight="1">
      <c r="A264" s="449"/>
      <c r="B264" s="445"/>
      <c r="C264" s="446"/>
      <c r="D264" s="638"/>
      <c r="E264" s="638"/>
      <c r="F264" s="447"/>
      <c r="G264" s="484">
        <v>45.3</v>
      </c>
      <c r="H264" s="1239"/>
      <c r="I264" s="448" t="s">
        <v>1039</v>
      </c>
      <c r="J264" s="446"/>
      <c r="K264" s="638"/>
      <c r="L264" s="638"/>
      <c r="M264" s="638"/>
      <c r="N264" s="1239"/>
      <c r="O264" s="1239"/>
      <c r="P264" s="1239"/>
      <c r="Q264" s="638"/>
      <c r="R264" s="638"/>
      <c r="S264" s="484">
        <f t="shared" ref="S264" si="128">AG265-AG263</f>
        <v>0</v>
      </c>
      <c r="T264" s="638"/>
      <c r="U264" s="638"/>
      <c r="V264" s="638"/>
      <c r="W264" s="638"/>
      <c r="X264" s="638"/>
      <c r="Y264" s="638"/>
      <c r="Z264" s="638"/>
      <c r="AA264" s="638"/>
      <c r="AB264" s="638"/>
      <c r="AC264" s="638"/>
      <c r="AD264" s="638"/>
      <c r="AE264" s="638"/>
      <c r="AF264" s="638"/>
      <c r="AG264" s="446"/>
      <c r="AH264" s="638"/>
      <c r="AI264" s="638"/>
      <c r="AJ264" s="638"/>
      <c r="AK264" s="638"/>
      <c r="AL264" s="638"/>
      <c r="AM264" s="638"/>
      <c r="AN264" s="455"/>
      <c r="AO264" s="1239"/>
      <c r="AP264" s="1239"/>
      <c r="AQ264" s="484">
        <f>+FL_2($T$265,$T$263,$G$264,1200,9.28, 1*$F$265)</f>
        <v>-0.3</v>
      </c>
      <c r="AR264" s="484"/>
      <c r="AS264" s="484"/>
      <c r="AT264" s="484"/>
      <c r="AU264" s="638"/>
      <c r="AV264" s="638"/>
      <c r="AW264" s="638"/>
      <c r="AX264" s="638"/>
      <c r="AY264" s="484"/>
      <c r="AZ264" s="484"/>
      <c r="BA264" s="671"/>
      <c r="BB264" s="449"/>
      <c r="BC264" s="169"/>
      <c r="BD264" s="1330"/>
      <c r="BE264" s="1330"/>
      <c r="BF264" s="1330"/>
      <c r="BG264" s="1330"/>
    </row>
    <row r="265" spans="1:59" ht="15.75" customHeight="1">
      <c r="A265" s="449"/>
      <c r="B265" s="485" t="s">
        <v>2185</v>
      </c>
      <c r="C265" s="446">
        <f>+$C$263+$G$264</f>
        <v>91210.950000000012</v>
      </c>
      <c r="D265" s="638"/>
      <c r="E265" s="638"/>
      <c r="F265" s="447">
        <v>-1210</v>
      </c>
      <c r="G265" s="484"/>
      <c r="H265" s="1239" t="s">
        <v>138</v>
      </c>
      <c r="I265" s="448" t="s">
        <v>623</v>
      </c>
      <c r="J265" s="446"/>
      <c r="K265" s="638"/>
      <c r="L265" s="638" t="s">
        <v>4395</v>
      </c>
      <c r="M265" s="1239" t="str">
        <f>IF(AX265="PT",VLOOKUP(L265,'Foundation Calculation'!$V$2:$X$40,VLOOKUP(AX265,'Foundation Calculation'!$I$10:$J$13,2,FALSE),0),IF(AX265="K",VLOOKUP(L265,'Foundation Calculation'!$V$42:$X$80,VLOOKUP(AX265,'Foundation Calculation'!$I$10:$J$13,2,FALSE),0),""))</f>
        <v>C9R</v>
      </c>
      <c r="N265" s="638" t="s">
        <v>143</v>
      </c>
      <c r="O265" s="1239"/>
      <c r="P265" s="1239"/>
      <c r="Q265" s="638"/>
      <c r="R265" s="638"/>
      <c r="S265" s="484"/>
      <c r="T265" s="638">
        <v>-30</v>
      </c>
      <c r="U265" s="638"/>
      <c r="V265" s="638"/>
      <c r="W265" s="638">
        <v>1.2</v>
      </c>
      <c r="X265" s="638"/>
      <c r="Y265" s="638"/>
      <c r="Z265" s="638"/>
      <c r="AA265" s="638"/>
      <c r="AB265" s="638"/>
      <c r="AC265" s="1239" t="str">
        <f t="shared" si="126"/>
        <v>PH-C</v>
      </c>
      <c r="AD265" s="638"/>
      <c r="AE265" s="638"/>
      <c r="AF265" s="638"/>
      <c r="AG265" s="446"/>
      <c r="AH265" s="638"/>
      <c r="AI265" s="638"/>
      <c r="AJ265" s="638"/>
      <c r="AK265" s="638"/>
      <c r="AL265" s="638" t="s">
        <v>2142</v>
      </c>
      <c r="AM265" s="638" t="s">
        <v>1042</v>
      </c>
      <c r="AN265" s="455">
        <v>5.5</v>
      </c>
      <c r="AO265" s="1239"/>
      <c r="AP265" s="1239"/>
      <c r="AQ265" s="484"/>
      <c r="AR265" s="484"/>
      <c r="AS265" s="484"/>
      <c r="AT265" s="484">
        <f>+ab($T$265,$T$263,$T$267,$G$264,$G$266, 1*$F$265,1200)</f>
        <v>-4.3444986528917742</v>
      </c>
      <c r="AU265" s="638"/>
      <c r="AV265" s="638"/>
      <c r="AW265" s="638" t="str">
        <f>VLOOKUP(C265,'Foundation Calculation'!$A$2:$C$33,3,1)</f>
        <v>Soil A</v>
      </c>
      <c r="AX265" s="638" t="str">
        <f>VLOOKUP(C265,'Foundation Calculation'!$E$2:$G$33,3,1)</f>
        <v>PT</v>
      </c>
      <c r="AY265" s="484">
        <f>IF(AX265="PT",VLOOKUP(L265,'Foundation Calculation'!$K$2:$R$40,VLOOKUP(AW265,'Foundation Calculation'!$I$2:$J$8,2,FALSE),0),IF(AX265="K",VLOOKUP(L265,'Foundation Calculation'!$K$42:$R$80,VLOOKUP(AW265,'Foundation Calculation'!$I$2:$J$8,2,FALSE),0),""))</f>
        <v>3.9</v>
      </c>
      <c r="AZ265" s="484"/>
      <c r="BA265" s="671" t="s">
        <v>2809</v>
      </c>
      <c r="BB265" s="449" t="str">
        <f>Pole_Calculations!A178</f>
        <v>App.8-V08F-P10.3</v>
      </c>
      <c r="BC265" s="169"/>
      <c r="BD265" s="1329">
        <v>43777</v>
      </c>
      <c r="BE265" s="1329"/>
      <c r="BF265" s="1329"/>
      <c r="BG265" s="1329"/>
    </row>
    <row r="266" spans="1:59" ht="15.75" customHeight="1">
      <c r="A266" s="424" t="s">
        <v>1663</v>
      </c>
      <c r="B266" s="425"/>
      <c r="C266" s="426"/>
      <c r="D266" s="487"/>
      <c r="E266" s="487"/>
      <c r="F266" s="427"/>
      <c r="G266" s="486">
        <v>50.7</v>
      </c>
      <c r="H266" s="428"/>
      <c r="I266" s="429"/>
      <c r="J266" s="426">
        <f>C265+7.5</f>
        <v>91218.450000000012</v>
      </c>
      <c r="K266" s="487" t="s">
        <v>2787</v>
      </c>
      <c r="L266" s="487"/>
      <c r="M266" s="487"/>
      <c r="N266" s="428"/>
      <c r="O266" s="428"/>
      <c r="P266" s="428"/>
      <c r="Q266" s="487"/>
      <c r="R266" s="487"/>
      <c r="S266" s="486">
        <f t="shared" ref="S266" si="129">AG267-AG265</f>
        <v>0</v>
      </c>
      <c r="T266" s="487"/>
      <c r="U266" s="487"/>
      <c r="V266" s="487"/>
      <c r="W266" s="487"/>
      <c r="X266" s="487"/>
      <c r="Y266" s="487"/>
      <c r="Z266" s="487"/>
      <c r="AA266" s="487"/>
      <c r="AB266" s="487"/>
      <c r="AC266" s="487"/>
      <c r="AD266" s="487"/>
      <c r="AE266" s="487"/>
      <c r="AF266" s="487"/>
      <c r="AG266" s="426"/>
      <c r="AH266" s="487"/>
      <c r="AI266" s="487"/>
      <c r="AJ266" s="487"/>
      <c r="AK266" s="487"/>
      <c r="AL266" s="487"/>
      <c r="AM266" s="487"/>
      <c r="AN266" s="456"/>
      <c r="AO266" s="428"/>
      <c r="AP266" s="428"/>
      <c r="AQ266" s="486">
        <f>+FL_2($T$267,$T$265,$G$266,1200,9.28, 1*$F$267)</f>
        <v>-0.30001346676965479</v>
      </c>
      <c r="AR266" s="486"/>
      <c r="AS266" s="486"/>
      <c r="AT266" s="486"/>
      <c r="AU266" s="487"/>
      <c r="AV266" s="487"/>
      <c r="AW266" s="487" t="str">
        <f>VLOOKUP(J266,'Foundation Calculation'!$A$2:$C$33,3,1)</f>
        <v>Soil A</v>
      </c>
      <c r="AX266" s="688" t="str">
        <f>VLOOKUP(J266,'Foundation Calculation'!$E$2:$G$33,3,1)</f>
        <v>PT</v>
      </c>
      <c r="AY266" s="486"/>
      <c r="AZ266" s="486">
        <f>IF(AX266="PT",VLOOKUP(K266,'Foundation Calculation'!$K$2:$R$40,VLOOKUP(AW266,'Foundation Calculation'!$I$2:$J$8,2,FALSE),0),IF(AX266="K",VLOOKUP(K266,'Foundation Calculation'!$K$42:$R$80,VLOOKUP(AW266,'Foundation Calculation'!$I$2:$J$8,2,FALSE),0),""))</f>
        <v>3.3</v>
      </c>
      <c r="BA266" s="672" t="s">
        <v>2809</v>
      </c>
      <c r="BB266" s="424"/>
      <c r="BC266" s="169"/>
      <c r="BD266" s="1329">
        <v>43777</v>
      </c>
      <c r="BE266" s="1330"/>
      <c r="BF266" s="1330"/>
      <c r="BG266" s="1330"/>
    </row>
    <row r="267" spans="1:59" ht="15.75" customHeight="1">
      <c r="A267" s="449"/>
      <c r="B267" s="485" t="s">
        <v>2200</v>
      </c>
      <c r="C267" s="446">
        <f>+$C$265+$G$266</f>
        <v>91261.650000000009</v>
      </c>
      <c r="D267" s="638"/>
      <c r="E267" s="638"/>
      <c r="F267" s="447">
        <v>-1210</v>
      </c>
      <c r="G267" s="484"/>
      <c r="H267" s="1239"/>
      <c r="I267" s="448"/>
      <c r="J267" s="446"/>
      <c r="K267" s="638"/>
      <c r="L267" s="638"/>
      <c r="M267" s="446"/>
      <c r="N267" s="1239" t="s">
        <v>843</v>
      </c>
      <c r="O267" s="1239"/>
      <c r="P267" s="1239"/>
      <c r="Q267" s="638"/>
      <c r="R267" s="638"/>
      <c r="S267" s="484"/>
      <c r="T267" s="638">
        <v>-30</v>
      </c>
      <c r="U267" s="638"/>
      <c r="V267" s="638"/>
      <c r="W267" s="638">
        <v>1.2</v>
      </c>
      <c r="X267" s="638"/>
      <c r="Y267" s="638"/>
      <c r="Z267" s="638"/>
      <c r="AA267" s="638"/>
      <c r="AB267" s="638"/>
      <c r="AC267" s="1239" t="str">
        <f t="shared" si="126"/>
        <v>PH-C</v>
      </c>
      <c r="AD267" s="638"/>
      <c r="AE267" s="638"/>
      <c r="AF267" s="638"/>
      <c r="AG267" s="446"/>
      <c r="AH267" s="638"/>
      <c r="AI267" s="638"/>
      <c r="AJ267" s="638"/>
      <c r="AK267" s="638" t="s">
        <v>139</v>
      </c>
      <c r="AL267" s="638"/>
      <c r="AM267" s="638"/>
      <c r="AN267" s="455">
        <v>5.5</v>
      </c>
      <c r="AO267" s="1239"/>
      <c r="AP267" s="1239"/>
      <c r="AQ267" s="484"/>
      <c r="AR267" s="484"/>
      <c r="AS267" s="484"/>
      <c r="AT267" s="484">
        <f>+ab($T$267,$T$265,$T$269,$G$266,$G$268, 1*$F$267,1200)</f>
        <v>-4.7230167059133663</v>
      </c>
      <c r="AU267" s="638"/>
      <c r="AV267" s="638"/>
      <c r="AW267" s="638"/>
      <c r="AX267" s="638"/>
      <c r="AY267" s="484"/>
      <c r="AZ267" s="484"/>
      <c r="BA267" s="671"/>
      <c r="BB267" s="449"/>
      <c r="BC267" s="169"/>
      <c r="BD267" s="1330"/>
      <c r="BE267" s="1329"/>
      <c r="BF267" s="1330"/>
      <c r="BG267" s="1329"/>
    </row>
    <row r="268" spans="1:59" ht="15.75" customHeight="1">
      <c r="A268" s="449"/>
      <c r="B268" s="445"/>
      <c r="C268" s="446"/>
      <c r="D268" s="638"/>
      <c r="E268" s="638"/>
      <c r="F268" s="447"/>
      <c r="G268" s="484">
        <v>47.4</v>
      </c>
      <c r="H268" s="1239"/>
      <c r="I268" s="448"/>
      <c r="J268" s="446"/>
      <c r="K268" s="638"/>
      <c r="L268" s="638"/>
      <c r="M268" s="446"/>
      <c r="N268" s="1239"/>
      <c r="O268" s="1239"/>
      <c r="P268" s="1239"/>
      <c r="Q268" s="638"/>
      <c r="R268" s="638"/>
      <c r="S268" s="484">
        <f t="shared" ref="S268" si="130">AG269-AG267</f>
        <v>0</v>
      </c>
      <c r="T268" s="638"/>
      <c r="U268" s="638"/>
      <c r="V268" s="638"/>
      <c r="W268" s="638"/>
      <c r="X268" s="638"/>
      <c r="Y268" s="638"/>
      <c r="Z268" s="638"/>
      <c r="AA268" s="638"/>
      <c r="AB268" s="638"/>
      <c r="AC268" s="638"/>
      <c r="AD268" s="638"/>
      <c r="AE268" s="638"/>
      <c r="AF268" s="638"/>
      <c r="AG268" s="446"/>
      <c r="AH268" s="638"/>
      <c r="AI268" s="638"/>
      <c r="AJ268" s="638"/>
      <c r="AK268" s="638"/>
      <c r="AL268" s="638"/>
      <c r="AM268" s="638"/>
      <c r="AN268" s="455"/>
      <c r="AO268" s="1239"/>
      <c r="AP268" s="1239"/>
      <c r="AQ268" s="484">
        <f>+FL_2($T$269,$T$267,$G$268,1200,9.28, 1*$F$269)</f>
        <v>-0.30001259040839517</v>
      </c>
      <c r="AR268" s="484"/>
      <c r="AS268" s="484"/>
      <c r="AT268" s="484"/>
      <c r="AU268" s="638"/>
      <c r="AV268" s="638"/>
      <c r="AW268" s="638"/>
      <c r="AX268" s="638"/>
      <c r="AY268" s="484"/>
      <c r="AZ268" s="484"/>
      <c r="BA268" s="671"/>
      <c r="BB268" s="449"/>
      <c r="BC268" s="169"/>
      <c r="BD268" s="1330"/>
      <c r="BE268" s="1330"/>
      <c r="BF268" s="1330"/>
      <c r="BG268" s="1330"/>
    </row>
    <row r="269" spans="1:59" ht="15.75" customHeight="1">
      <c r="A269" s="449"/>
      <c r="B269" s="485" t="s">
        <v>2201</v>
      </c>
      <c r="C269" s="446">
        <f>+$C$267+$G$268</f>
        <v>91309.05</v>
      </c>
      <c r="D269" s="638"/>
      <c r="E269" s="638"/>
      <c r="F269" s="447">
        <v>-1210</v>
      </c>
      <c r="G269" s="484"/>
      <c r="H269" s="1239"/>
      <c r="I269" s="448"/>
      <c r="J269" s="446"/>
      <c r="K269" s="638"/>
      <c r="L269" s="638"/>
      <c r="M269" s="446"/>
      <c r="N269" s="638" t="s">
        <v>843</v>
      </c>
      <c r="O269" s="1239"/>
      <c r="P269" s="1239"/>
      <c r="Q269" s="638"/>
      <c r="R269" s="638"/>
      <c r="S269" s="484"/>
      <c r="T269" s="638">
        <v>-30</v>
      </c>
      <c r="U269" s="638"/>
      <c r="V269" s="638"/>
      <c r="W269" s="638">
        <v>1.4</v>
      </c>
      <c r="X269" s="638"/>
      <c r="Y269" s="638"/>
      <c r="Z269" s="638"/>
      <c r="AA269" s="638"/>
      <c r="AB269" s="638"/>
      <c r="AC269" s="1239" t="str">
        <f t="shared" si="126"/>
        <v>PH-C</v>
      </c>
      <c r="AD269" s="638"/>
      <c r="AE269" s="638"/>
      <c r="AF269" s="638"/>
      <c r="AG269" s="446"/>
      <c r="AH269" s="638"/>
      <c r="AI269" s="638"/>
      <c r="AJ269" s="638"/>
      <c r="AK269" s="638" t="s">
        <v>139</v>
      </c>
      <c r="AL269" s="638"/>
      <c r="AM269" s="638"/>
      <c r="AN269" s="455">
        <v>5.5</v>
      </c>
      <c r="AO269" s="1239"/>
      <c r="AP269" s="1239"/>
      <c r="AQ269" s="484"/>
      <c r="AR269" s="484"/>
      <c r="AS269" s="484"/>
      <c r="AT269" s="484">
        <f>+ab($T$269,$T$267,$T$271,$G$268,$G$270, 1*$F$269,1200)</f>
        <v>-4.8713017015395987</v>
      </c>
      <c r="AU269" s="638"/>
      <c r="AV269" s="638"/>
      <c r="AW269" s="638"/>
      <c r="AX269" s="638"/>
      <c r="AY269" s="484"/>
      <c r="AZ269" s="484"/>
      <c r="BA269" s="671"/>
      <c r="BB269" s="449"/>
      <c r="BC269" s="169"/>
      <c r="BD269" s="1330"/>
      <c r="BE269" s="1329"/>
      <c r="BF269" s="1330"/>
      <c r="BG269" s="1329"/>
    </row>
    <row r="270" spans="1:59" ht="15.75" customHeight="1">
      <c r="A270" s="462"/>
      <c r="B270" s="468"/>
      <c r="C270" s="463"/>
      <c r="D270" s="464"/>
      <c r="E270" s="464"/>
      <c r="F270" s="465"/>
      <c r="G270" s="466">
        <v>47.7</v>
      </c>
      <c r="H270" s="467"/>
      <c r="I270" s="469"/>
      <c r="J270" s="463"/>
      <c r="K270" s="464"/>
      <c r="L270" s="464"/>
      <c r="M270" s="463"/>
      <c r="N270" s="467"/>
      <c r="O270" s="467"/>
      <c r="P270" s="467"/>
      <c r="Q270" s="464"/>
      <c r="R270" s="464"/>
      <c r="S270" s="466">
        <f t="shared" ref="S270" si="131">AG271-AG269</f>
        <v>0</v>
      </c>
      <c r="T270" s="464"/>
      <c r="U270" s="464"/>
      <c r="V270" s="464"/>
      <c r="W270" s="464"/>
      <c r="X270" s="464"/>
      <c r="Y270" s="464"/>
      <c r="Z270" s="464"/>
      <c r="AA270" s="464"/>
      <c r="AB270" s="464"/>
      <c r="AC270" s="464"/>
      <c r="AD270" s="464"/>
      <c r="AE270" s="464"/>
      <c r="AF270" s="464"/>
      <c r="AG270" s="463"/>
      <c r="AH270" s="464"/>
      <c r="AI270" s="464"/>
      <c r="AJ270" s="464"/>
      <c r="AK270" s="464"/>
      <c r="AL270" s="464"/>
      <c r="AM270" s="464"/>
      <c r="AN270" s="474"/>
      <c r="AO270" s="467"/>
      <c r="AP270" s="467"/>
      <c r="AQ270" s="466">
        <f>+FL_2($T$271,$T$269,$G$270,1200,9.28, 1*$F$271)</f>
        <v>-0.30010608157419227</v>
      </c>
      <c r="AR270" s="466"/>
      <c r="AS270" s="466"/>
      <c r="AT270" s="466"/>
      <c r="AU270" s="464"/>
      <c r="AV270" s="464"/>
      <c r="AW270" s="464"/>
      <c r="AX270" s="464"/>
      <c r="AY270" s="466"/>
      <c r="AZ270" s="466"/>
      <c r="BA270" s="674"/>
      <c r="BB270" s="462"/>
      <c r="BC270" s="169"/>
      <c r="BD270" s="1330"/>
      <c r="BE270" s="1330"/>
      <c r="BF270" s="1330"/>
      <c r="BG270" s="1330"/>
    </row>
    <row r="271" spans="1:59" ht="15.75" customHeight="1">
      <c r="A271" s="462"/>
      <c r="B271" s="687" t="s">
        <v>2202</v>
      </c>
      <c r="C271" s="463">
        <f>+$C$269+$G$270</f>
        <v>91356.75</v>
      </c>
      <c r="D271" s="464"/>
      <c r="E271" s="464"/>
      <c r="F271" s="465">
        <v>-821</v>
      </c>
      <c r="G271" s="466"/>
      <c r="H271" s="467"/>
      <c r="I271" s="469"/>
      <c r="J271" s="463"/>
      <c r="K271" s="464"/>
      <c r="L271" s="464"/>
      <c r="M271" s="463"/>
      <c r="N271" s="467" t="s">
        <v>843</v>
      </c>
      <c r="O271" s="467"/>
      <c r="P271" s="467"/>
      <c r="Q271" s="464"/>
      <c r="R271" s="464"/>
      <c r="S271" s="466"/>
      <c r="T271" s="464">
        <v>-30</v>
      </c>
      <c r="U271" s="464"/>
      <c r="V271" s="464"/>
      <c r="W271" s="464">
        <v>1.4</v>
      </c>
      <c r="X271" s="464"/>
      <c r="Y271" s="464"/>
      <c r="Z271" s="464"/>
      <c r="AA271" s="464"/>
      <c r="AB271" s="464"/>
      <c r="AC271" s="467" t="str">
        <f t="shared" si="126"/>
        <v>PH-C</v>
      </c>
      <c r="AD271" s="464"/>
      <c r="AE271" s="464"/>
      <c r="AF271" s="464"/>
      <c r="AG271" s="463"/>
      <c r="AH271" s="464"/>
      <c r="AI271" s="464"/>
      <c r="AJ271" s="464"/>
      <c r="AK271" s="464" t="s">
        <v>139</v>
      </c>
      <c r="AL271" s="464"/>
      <c r="AM271" s="464"/>
      <c r="AN271" s="474">
        <v>5.5</v>
      </c>
      <c r="AO271" s="467"/>
      <c r="AP271" s="467"/>
      <c r="AQ271" s="466"/>
      <c r="AR271" s="466"/>
      <c r="AS271" s="466"/>
      <c r="AT271" s="466">
        <f>+ab($T$271,$T$269,$T$273,$G$270,$G$272, 1*$F$271,1200)</f>
        <v>-2.7183141363158336</v>
      </c>
      <c r="AU271" s="464"/>
      <c r="AV271" s="464"/>
      <c r="AW271" s="464"/>
      <c r="AX271" s="464"/>
      <c r="AY271" s="466"/>
      <c r="AZ271" s="466"/>
      <c r="BA271" s="674"/>
      <c r="BB271" s="462"/>
      <c r="BC271" s="169"/>
      <c r="BD271" s="1330"/>
      <c r="BE271" s="1329"/>
      <c r="BF271" s="1330"/>
      <c r="BG271" s="1329"/>
    </row>
    <row r="272" spans="1:59" ht="15.75" customHeight="1">
      <c r="A272" s="462"/>
      <c r="B272" s="468"/>
      <c r="C272" s="463"/>
      <c r="D272" s="464"/>
      <c r="E272" s="464"/>
      <c r="F272" s="465"/>
      <c r="G272" s="466">
        <v>50.1</v>
      </c>
      <c r="H272" s="467"/>
      <c r="I272" s="469"/>
      <c r="J272" s="463"/>
      <c r="K272" s="464"/>
      <c r="L272" s="464"/>
      <c r="M272" s="463"/>
      <c r="N272" s="467"/>
      <c r="O272" s="467"/>
      <c r="P272" s="467"/>
      <c r="Q272" s="464"/>
      <c r="R272" s="464"/>
      <c r="S272" s="466">
        <f t="shared" ref="S272" si="132">AG273-AG271</f>
        <v>0</v>
      </c>
      <c r="T272" s="464"/>
      <c r="U272" s="464"/>
      <c r="V272" s="464"/>
      <c r="W272" s="464"/>
      <c r="X272" s="464"/>
      <c r="Y272" s="464"/>
      <c r="Z272" s="464"/>
      <c r="AA272" s="464"/>
      <c r="AB272" s="464"/>
      <c r="AC272" s="464"/>
      <c r="AD272" s="464"/>
      <c r="AE272" s="464"/>
      <c r="AF272" s="464"/>
      <c r="AG272" s="463"/>
      <c r="AH272" s="464"/>
      <c r="AI272" s="464"/>
      <c r="AJ272" s="464"/>
      <c r="AK272" s="464"/>
      <c r="AL272" s="464"/>
      <c r="AM272" s="464"/>
      <c r="AN272" s="474"/>
      <c r="AO272" s="467"/>
      <c r="AP272" s="467"/>
      <c r="AQ272" s="466">
        <f>+FL_2(-$T$273,$T$271,$G$272,1200,9.28, 1*$F$273)</f>
        <v>-0.48630850149375171</v>
      </c>
      <c r="AR272" s="466"/>
      <c r="AS272" s="466"/>
      <c r="AT272" s="466"/>
      <c r="AU272" s="464"/>
      <c r="AV272" s="464"/>
      <c r="AW272" s="464"/>
      <c r="AX272" s="464"/>
      <c r="AY272" s="466"/>
      <c r="AZ272" s="466"/>
      <c r="BA272" s="674"/>
      <c r="BB272" s="462"/>
      <c r="BC272" s="169"/>
      <c r="BD272" s="1330"/>
      <c r="BE272" s="1330"/>
      <c r="BF272" s="1330"/>
      <c r="BG272" s="1330"/>
    </row>
    <row r="273" spans="1:59" ht="15.75" customHeight="1">
      <c r="A273" s="462" t="s">
        <v>2199</v>
      </c>
      <c r="B273" s="687" t="s">
        <v>2203</v>
      </c>
      <c r="C273" s="463">
        <f>+$C$271+$G$272</f>
        <v>91406.85</v>
      </c>
      <c r="D273" s="464"/>
      <c r="E273" s="464"/>
      <c r="F273" s="465">
        <v>-9784</v>
      </c>
      <c r="G273" s="466"/>
      <c r="H273" s="467"/>
      <c r="I273" s="469"/>
      <c r="J273" s="463"/>
      <c r="K273" s="464"/>
      <c r="L273" s="464"/>
      <c r="M273" s="463"/>
      <c r="N273" s="464" t="s">
        <v>844</v>
      </c>
      <c r="O273" s="467"/>
      <c r="P273" s="467"/>
      <c r="Q273" s="464"/>
      <c r="R273" s="464"/>
      <c r="S273" s="466"/>
      <c r="T273" s="464">
        <v>25</v>
      </c>
      <c r="U273" s="464"/>
      <c r="V273" s="464"/>
      <c r="W273" s="464">
        <v>1.4</v>
      </c>
      <c r="X273" s="464"/>
      <c r="Y273" s="464"/>
      <c r="Z273" s="464"/>
      <c r="AA273" s="464"/>
      <c r="AB273" s="464"/>
      <c r="AC273" s="467" t="str">
        <f t="shared" si="126"/>
        <v>PH</v>
      </c>
      <c r="AD273" s="464"/>
      <c r="AE273" s="464"/>
      <c r="AF273" s="464"/>
      <c r="AG273" s="463"/>
      <c r="AH273" s="464"/>
      <c r="AI273" s="464"/>
      <c r="AJ273" s="464"/>
      <c r="AK273" s="464" t="s">
        <v>139</v>
      </c>
      <c r="AL273" s="464"/>
      <c r="AM273" s="464"/>
      <c r="AN273" s="474">
        <v>5.5</v>
      </c>
      <c r="AO273" s="467"/>
      <c r="AP273" s="467"/>
      <c r="AQ273" s="466"/>
      <c r="AR273" s="466"/>
      <c r="AS273" s="466"/>
      <c r="AT273" s="466">
        <f>+ab(-$T$273,$T$271,$T$275,$G$272,$G$274, 1*$F$273,1200)</f>
        <v>-13.984116153632344</v>
      </c>
      <c r="AU273" s="464"/>
      <c r="AV273" s="464"/>
      <c r="AW273" s="464"/>
      <c r="AX273" s="464"/>
      <c r="AY273" s="466"/>
      <c r="AZ273" s="466"/>
      <c r="BA273" s="674"/>
      <c r="BB273" s="462"/>
      <c r="BC273" s="169"/>
      <c r="BD273" s="1330"/>
      <c r="BE273" s="1329"/>
      <c r="BF273" s="1330"/>
      <c r="BG273" s="1329"/>
    </row>
    <row r="274" spans="1:59" ht="15.75" customHeight="1">
      <c r="A274" s="462"/>
      <c r="B274" s="468"/>
      <c r="C274" s="463"/>
      <c r="D274" s="464"/>
      <c r="E274" s="464"/>
      <c r="F274" s="465"/>
      <c r="G274" s="466">
        <v>47.6</v>
      </c>
      <c r="H274" s="471"/>
      <c r="I274" s="469"/>
      <c r="J274" s="463"/>
      <c r="K274" s="464"/>
      <c r="L274" s="464"/>
      <c r="M274" s="463"/>
      <c r="N274" s="467"/>
      <c r="O274" s="467"/>
      <c r="P274" s="467"/>
      <c r="Q274" s="464"/>
      <c r="R274" s="464"/>
      <c r="S274" s="466">
        <f t="shared" ref="S274" si="133">AG275-AG273</f>
        <v>0</v>
      </c>
      <c r="T274" s="464"/>
      <c r="U274" s="464"/>
      <c r="V274" s="464"/>
      <c r="W274" s="464"/>
      <c r="X274" s="464"/>
      <c r="Y274" s="464"/>
      <c r="Z274" s="464"/>
      <c r="AA274" s="464"/>
      <c r="AB274" s="464"/>
      <c r="AC274" s="464"/>
      <c r="AD274" s="464"/>
      <c r="AE274" s="464"/>
      <c r="AF274" s="464"/>
      <c r="AG274" s="463"/>
      <c r="AH274" s="464"/>
      <c r="AI274" s="464"/>
      <c r="AJ274" s="464"/>
      <c r="AK274" s="464"/>
      <c r="AL274" s="464"/>
      <c r="AM274" s="464"/>
      <c r="AN274" s="474"/>
      <c r="AO274" s="467"/>
      <c r="AP274" s="467"/>
      <c r="AQ274" s="466">
        <f>+FL_1($T$275,-$T$273,$G$274,1200,9.28, 1*$F$275)</f>
        <v>0.30128977536180201</v>
      </c>
      <c r="AR274" s="466"/>
      <c r="AS274" s="466"/>
      <c r="AT274" s="466"/>
      <c r="AU274" s="464"/>
      <c r="AV274" s="464"/>
      <c r="AW274" s="464"/>
      <c r="AX274" s="464"/>
      <c r="AY274" s="466"/>
      <c r="AZ274" s="466"/>
      <c r="BA274" s="674"/>
      <c r="BB274" s="462"/>
      <c r="BC274" s="169"/>
      <c r="BD274" s="1330"/>
      <c r="BE274" s="1330"/>
      <c r="BF274" s="1330"/>
      <c r="BG274" s="1330"/>
    </row>
    <row r="275" spans="1:59" ht="15.75" customHeight="1">
      <c r="A275" s="462"/>
      <c r="B275" s="687" t="s">
        <v>2204</v>
      </c>
      <c r="C275" s="463">
        <f>+$C$273+$G$274</f>
        <v>91454.450000000012</v>
      </c>
      <c r="D275" s="464"/>
      <c r="E275" s="464"/>
      <c r="F275" s="465">
        <v>-4548</v>
      </c>
      <c r="G275" s="466"/>
      <c r="H275" s="467"/>
      <c r="I275" s="469"/>
      <c r="J275" s="463"/>
      <c r="K275" s="464"/>
      <c r="L275" s="464"/>
      <c r="M275" s="463"/>
      <c r="N275" s="464" t="s">
        <v>844</v>
      </c>
      <c r="O275" s="467"/>
      <c r="P275" s="467"/>
      <c r="Q275" s="464"/>
      <c r="R275" s="464"/>
      <c r="S275" s="466"/>
      <c r="T275" s="464">
        <v>20</v>
      </c>
      <c r="U275" s="464"/>
      <c r="V275" s="464"/>
      <c r="W275" s="464">
        <v>1.4</v>
      </c>
      <c r="X275" s="464"/>
      <c r="Y275" s="464"/>
      <c r="Z275" s="464"/>
      <c r="AA275" s="464"/>
      <c r="AB275" s="464"/>
      <c r="AC275" s="467" t="str">
        <f t="shared" si="126"/>
        <v>PH-Q</v>
      </c>
      <c r="AD275" s="464"/>
      <c r="AE275" s="464"/>
      <c r="AF275" s="464"/>
      <c r="AG275" s="463"/>
      <c r="AH275" s="464"/>
      <c r="AI275" s="464"/>
      <c r="AJ275" s="464"/>
      <c r="AK275" s="464" t="s">
        <v>139</v>
      </c>
      <c r="AL275" s="464"/>
      <c r="AM275" s="464"/>
      <c r="AN275" s="474">
        <v>5.5</v>
      </c>
      <c r="AO275" s="467"/>
      <c r="AP275" s="467"/>
      <c r="AQ275" s="466"/>
      <c r="AR275" s="466"/>
      <c r="AS275" s="466"/>
      <c r="AT275" s="466">
        <f>+ab(-$T$275,$T$273,$T$277,$G$274,$G$276, 1*$F$275,1200)</f>
        <v>-6.7340382713063498</v>
      </c>
      <c r="AU275" s="464"/>
      <c r="AV275" s="464"/>
      <c r="AW275" s="464"/>
      <c r="AX275" s="464"/>
      <c r="AY275" s="466"/>
      <c r="AZ275" s="466"/>
      <c r="BA275" s="674"/>
      <c r="BB275" s="462"/>
      <c r="BC275" s="169"/>
      <c r="BD275" s="1330"/>
      <c r="BE275" s="1329"/>
      <c r="BF275" s="1330"/>
      <c r="BG275" s="1329"/>
    </row>
    <row r="276" spans="1:59" ht="15.75" customHeight="1">
      <c r="A276" s="462"/>
      <c r="B276" s="472"/>
      <c r="C276" s="463"/>
      <c r="D276" s="464"/>
      <c r="E276" s="464"/>
      <c r="F276" s="465"/>
      <c r="G276" s="466">
        <v>47</v>
      </c>
      <c r="H276" s="471"/>
      <c r="I276" s="469"/>
      <c r="J276" s="463"/>
      <c r="K276" s="464"/>
      <c r="L276" s="464"/>
      <c r="M276" s="463"/>
      <c r="N276" s="467"/>
      <c r="O276" s="467"/>
      <c r="P276" s="467"/>
      <c r="Q276" s="464"/>
      <c r="R276" s="464"/>
      <c r="S276" s="466">
        <f t="shared" ref="S276" si="134">AG277-AG275</f>
        <v>0</v>
      </c>
      <c r="T276" s="464"/>
      <c r="U276" s="464"/>
      <c r="V276" s="464"/>
      <c r="W276" s="464"/>
      <c r="X276" s="464"/>
      <c r="Y276" s="464"/>
      <c r="Z276" s="464"/>
      <c r="AA276" s="464"/>
      <c r="AB276" s="464"/>
      <c r="AC276" s="464"/>
      <c r="AD276" s="464"/>
      <c r="AE276" s="464"/>
      <c r="AF276" s="464"/>
      <c r="AG276" s="463"/>
      <c r="AH276" s="464"/>
      <c r="AI276" s="464"/>
      <c r="AJ276" s="464"/>
      <c r="AK276" s="464"/>
      <c r="AL276" s="464"/>
      <c r="AM276" s="464"/>
      <c r="AN276" s="474"/>
      <c r="AO276" s="467"/>
      <c r="AP276" s="467"/>
      <c r="AQ276" s="466">
        <f>+FL_1($T$277,$T$275,$G$276,1200,9.28,-1*$F$277)</f>
        <v>0.41353666666666666</v>
      </c>
      <c r="AR276" s="466"/>
      <c r="AS276" s="466"/>
      <c r="AT276" s="466"/>
      <c r="AU276" s="464"/>
      <c r="AV276" s="464"/>
      <c r="AW276" s="464"/>
      <c r="AX276" s="464"/>
      <c r="AY276" s="466"/>
      <c r="AZ276" s="466"/>
      <c r="BA276" s="674"/>
      <c r="BB276" s="462"/>
      <c r="BC276" s="169"/>
      <c r="BD276" s="1330"/>
      <c r="BE276" s="1330"/>
      <c r="BF276" s="1330"/>
      <c r="BG276" s="1330"/>
    </row>
    <row r="277" spans="1:59" ht="15.75" customHeight="1">
      <c r="A277" s="449"/>
      <c r="B277" s="655" t="s">
        <v>2205</v>
      </c>
      <c r="C277" s="446">
        <f>+$C$275+$G$276</f>
        <v>91501.450000000012</v>
      </c>
      <c r="D277" s="638"/>
      <c r="E277" s="447"/>
      <c r="F277" s="447">
        <v>0</v>
      </c>
      <c r="G277" s="484"/>
      <c r="H277" s="1239"/>
      <c r="I277" s="448"/>
      <c r="J277" s="446"/>
      <c r="K277" s="638"/>
      <c r="L277" s="638"/>
      <c r="M277" s="446"/>
      <c r="N277" s="638" t="s">
        <v>844</v>
      </c>
      <c r="O277" s="1239"/>
      <c r="P277" s="1239"/>
      <c r="Q277" s="638"/>
      <c r="R277" s="638"/>
      <c r="S277" s="484"/>
      <c r="T277" s="638">
        <v>20</v>
      </c>
      <c r="U277" s="638"/>
      <c r="V277" s="638"/>
      <c r="W277" s="638">
        <v>1.4</v>
      </c>
      <c r="X277" s="638"/>
      <c r="Y277" s="638"/>
      <c r="Z277" s="638"/>
      <c r="AA277" s="638"/>
      <c r="AB277" s="638"/>
      <c r="AC277" s="1239" t="str">
        <f t="shared" si="126"/>
        <v>PH</v>
      </c>
      <c r="AD277" s="638"/>
      <c r="AE277" s="638"/>
      <c r="AF277" s="638"/>
      <c r="AG277" s="446"/>
      <c r="AH277" s="638"/>
      <c r="AI277" s="638"/>
      <c r="AJ277" s="638"/>
      <c r="AK277" s="638" t="s">
        <v>139</v>
      </c>
      <c r="AL277" s="638"/>
      <c r="AM277" s="638"/>
      <c r="AN277" s="455">
        <v>5.5</v>
      </c>
      <c r="AO277" s="1239"/>
      <c r="AP277" s="1239"/>
      <c r="AQ277" s="484"/>
      <c r="AR277" s="484"/>
      <c r="AS277" s="484"/>
      <c r="AT277" s="484">
        <f>+ab($T$277,$T$275,$T$279,$G$276,$G$278,-1*$F$277,1200)</f>
        <v>13.689219470672699</v>
      </c>
      <c r="AU277" s="638"/>
      <c r="AV277" s="638"/>
      <c r="AW277" s="638"/>
      <c r="AX277" s="638"/>
      <c r="AY277" s="484"/>
      <c r="AZ277" s="484"/>
      <c r="BA277" s="671"/>
      <c r="BB277" s="449"/>
      <c r="BC277" s="169"/>
      <c r="BD277" s="1330"/>
      <c r="BE277" s="1329"/>
      <c r="BF277" s="1330"/>
      <c r="BG277" s="1329"/>
    </row>
    <row r="278" spans="1:59" ht="15.75" customHeight="1">
      <c r="A278" s="449"/>
      <c r="B278" s="449"/>
      <c r="C278" s="446"/>
      <c r="D278" s="638"/>
      <c r="E278" s="447"/>
      <c r="F278" s="447"/>
      <c r="G278" s="484">
        <v>40</v>
      </c>
      <c r="H278" s="1239"/>
      <c r="I278" s="448"/>
      <c r="J278" s="446"/>
      <c r="K278" s="638"/>
      <c r="L278" s="638"/>
      <c r="M278" s="446"/>
      <c r="N278" s="638"/>
      <c r="O278" s="1239"/>
      <c r="P278" s="1239"/>
      <c r="Q278" s="638"/>
      <c r="R278" s="638"/>
      <c r="S278" s="484">
        <f t="shared" ref="S278" si="135">AG279-AG277</f>
        <v>0</v>
      </c>
      <c r="T278" s="638"/>
      <c r="U278" s="638"/>
      <c r="V278" s="638"/>
      <c r="W278" s="638"/>
      <c r="X278" s="638"/>
      <c r="Y278" s="638"/>
      <c r="Z278" s="638"/>
      <c r="AA278" s="638"/>
      <c r="AB278" s="638"/>
      <c r="AC278" s="638"/>
      <c r="AD278" s="638"/>
      <c r="AE278" s="638"/>
      <c r="AF278" s="638"/>
      <c r="AG278" s="446"/>
      <c r="AH278" s="638"/>
      <c r="AI278" s="638"/>
      <c r="AJ278" s="638"/>
      <c r="AK278" s="638"/>
      <c r="AL278" s="638"/>
      <c r="AM278" s="638"/>
      <c r="AN278" s="455"/>
      <c r="AO278" s="1239"/>
      <c r="AP278" s="1239"/>
      <c r="AQ278" s="484">
        <f>+FL_2($T$279,$T$277,$G$278,1200,9.28,-1*$F$279)</f>
        <v>-0.351905352</v>
      </c>
      <c r="AR278" s="484"/>
      <c r="AS278" s="484"/>
      <c r="AT278" s="484"/>
      <c r="AU278" s="638"/>
      <c r="AV278" s="638"/>
      <c r="AW278" s="638"/>
      <c r="AX278" s="638"/>
      <c r="AY278" s="484"/>
      <c r="AZ278" s="484"/>
      <c r="BA278" s="671"/>
      <c r="BB278" s="449"/>
      <c r="BC278" s="169"/>
      <c r="BD278" s="1330"/>
      <c r="BE278" s="1330"/>
      <c r="BF278" s="1330"/>
      <c r="BG278" s="1330"/>
    </row>
    <row r="279" spans="1:59" ht="15.75" customHeight="1">
      <c r="A279" s="449"/>
      <c r="B279" s="655" t="s">
        <v>2206</v>
      </c>
      <c r="C279" s="446">
        <f>+$C$277+$G$278</f>
        <v>91541.450000000012</v>
      </c>
      <c r="D279" s="638"/>
      <c r="E279" s="447"/>
      <c r="F279" s="447">
        <v>0</v>
      </c>
      <c r="G279" s="484"/>
      <c r="H279" s="1239"/>
      <c r="I279" s="448"/>
      <c r="J279" s="446"/>
      <c r="K279" s="638"/>
      <c r="L279" s="638"/>
      <c r="M279" s="446"/>
      <c r="N279" s="638" t="s">
        <v>843</v>
      </c>
      <c r="O279" s="1239"/>
      <c r="P279" s="1239"/>
      <c r="Q279" s="638"/>
      <c r="R279" s="638"/>
      <c r="S279" s="484"/>
      <c r="T279" s="638">
        <v>-35</v>
      </c>
      <c r="U279" s="638"/>
      <c r="V279" s="638"/>
      <c r="W279" s="638">
        <v>1.4</v>
      </c>
      <c r="X279" s="638"/>
      <c r="Y279" s="638"/>
      <c r="Z279" s="638"/>
      <c r="AA279" s="638"/>
      <c r="AB279" s="638"/>
      <c r="AC279" s="1239" t="str">
        <f t="shared" si="126"/>
        <v>PH-Q</v>
      </c>
      <c r="AD279" s="638"/>
      <c r="AE279" s="638"/>
      <c r="AF279" s="638"/>
      <c r="AG279" s="446"/>
      <c r="AH279" s="638"/>
      <c r="AI279" s="638"/>
      <c r="AJ279" s="638"/>
      <c r="AK279" s="638" t="s">
        <v>139</v>
      </c>
      <c r="AL279" s="638"/>
      <c r="AM279" s="638"/>
      <c r="AN279" s="455">
        <v>5.5</v>
      </c>
      <c r="AO279" s="1239"/>
      <c r="AP279" s="1239"/>
      <c r="AQ279" s="484"/>
      <c r="AR279" s="484"/>
      <c r="AS279" s="484"/>
      <c r="AT279" s="484">
        <f>+ab($T$279,$T$277,$T$281,$G$278,$G$280,-1*$F$279,1200)</f>
        <v>-5.1606376356937798</v>
      </c>
      <c r="AU279" s="638"/>
      <c r="AV279" s="638"/>
      <c r="AW279" s="638"/>
      <c r="AX279" s="638"/>
      <c r="AY279" s="484"/>
      <c r="AZ279" s="484"/>
      <c r="BA279" s="671"/>
      <c r="BB279" s="449"/>
      <c r="BC279" s="169"/>
      <c r="BD279" s="1330"/>
      <c r="BE279" s="1329"/>
      <c r="BF279" s="1330"/>
      <c r="BG279" s="1329"/>
    </row>
    <row r="280" spans="1:59" ht="15.75" customHeight="1">
      <c r="A280" s="449"/>
      <c r="B280" s="449"/>
      <c r="C280" s="446"/>
      <c r="D280" s="638"/>
      <c r="E280" s="447"/>
      <c r="F280" s="447"/>
      <c r="G280" s="484">
        <v>30</v>
      </c>
      <c r="H280" s="1239"/>
      <c r="I280" s="448"/>
      <c r="J280" s="446"/>
      <c r="K280" s="638"/>
      <c r="L280" s="638"/>
      <c r="M280" s="446"/>
      <c r="N280" s="638"/>
      <c r="O280" s="1239"/>
      <c r="P280" s="1239"/>
      <c r="Q280" s="638"/>
      <c r="R280" s="638"/>
      <c r="S280" s="484">
        <f t="shared" ref="S280" si="136">AG281-AG279</f>
        <v>0</v>
      </c>
      <c r="T280" s="638"/>
      <c r="U280" s="638"/>
      <c r="V280" s="638"/>
      <c r="W280" s="638"/>
      <c r="X280" s="638"/>
      <c r="Y280" s="638"/>
      <c r="Z280" s="638"/>
      <c r="AA280" s="638"/>
      <c r="AB280" s="638"/>
      <c r="AC280" s="638"/>
      <c r="AD280" s="638"/>
      <c r="AE280" s="638"/>
      <c r="AF280" s="638"/>
      <c r="AG280" s="446"/>
      <c r="AH280" s="638"/>
      <c r="AI280" s="638"/>
      <c r="AJ280" s="638"/>
      <c r="AK280" s="638"/>
      <c r="AL280" s="638"/>
      <c r="AM280" s="638"/>
      <c r="AN280" s="455"/>
      <c r="AO280" s="1239"/>
      <c r="AP280" s="1239"/>
      <c r="AQ280" s="484">
        <f>+FL_2($T$281,$T$279,$G$280,1200,9.28,-1*$F$281)</f>
        <v>-0.35000000000002224</v>
      </c>
      <c r="AR280" s="484"/>
      <c r="AS280" s="484"/>
      <c r="AT280" s="484"/>
      <c r="AU280" s="638"/>
      <c r="AV280" s="638"/>
      <c r="AW280" s="638"/>
      <c r="AX280" s="638"/>
      <c r="AY280" s="484"/>
      <c r="AZ280" s="484"/>
      <c r="BA280" s="671"/>
      <c r="BB280" s="449"/>
      <c r="BC280" s="169"/>
      <c r="BD280" s="1330"/>
      <c r="BE280" s="1330"/>
      <c r="BF280" s="1330"/>
      <c r="BG280" s="1330"/>
    </row>
    <row r="281" spans="1:59" ht="15.75" customHeight="1">
      <c r="A281" s="449"/>
      <c r="B281" s="655" t="s">
        <v>2207</v>
      </c>
      <c r="C281" s="446">
        <f>+$C$279+$G$280</f>
        <v>91571.450000000012</v>
      </c>
      <c r="D281" s="638"/>
      <c r="E281" s="447"/>
      <c r="F281" s="447">
        <v>0</v>
      </c>
      <c r="G281" s="484"/>
      <c r="H281" s="1239"/>
      <c r="I281" s="448"/>
      <c r="J281" s="446"/>
      <c r="K281" s="638"/>
      <c r="L281" s="638"/>
      <c r="M281" s="446"/>
      <c r="N281" s="638" t="s">
        <v>844</v>
      </c>
      <c r="O281" s="1239"/>
      <c r="P281" s="1239"/>
      <c r="Q281" s="638"/>
      <c r="R281" s="638"/>
      <c r="S281" s="484"/>
      <c r="T281" s="638">
        <v>35</v>
      </c>
      <c r="U281" s="638"/>
      <c r="V281" s="638"/>
      <c r="W281" s="638">
        <v>1.4</v>
      </c>
      <c r="X281" s="638"/>
      <c r="Y281" s="638"/>
      <c r="Z281" s="638"/>
      <c r="AA281" s="638"/>
      <c r="AB281" s="638"/>
      <c r="AC281" s="1239" t="str">
        <f t="shared" si="126"/>
        <v>PH-C</v>
      </c>
      <c r="AD281" s="638"/>
      <c r="AE281" s="638"/>
      <c r="AF281" s="638"/>
      <c r="AG281" s="446"/>
      <c r="AH281" s="638"/>
      <c r="AI281" s="638"/>
      <c r="AJ281" s="638"/>
      <c r="AK281" s="638" t="s">
        <v>139</v>
      </c>
      <c r="AL281" s="638"/>
      <c r="AM281" s="638"/>
      <c r="AN281" s="455">
        <v>5.5</v>
      </c>
      <c r="AO281" s="1239"/>
      <c r="AP281" s="1239"/>
      <c r="AQ281" s="484"/>
      <c r="AR281" s="484"/>
      <c r="AS281" s="484"/>
      <c r="AT281" s="484">
        <f>+ab($T$281,$T$279,$T$283,$G$280,$G$282,-1*$F$281,1200)</f>
        <v>4.4597015880513418</v>
      </c>
      <c r="AU281" s="638"/>
      <c r="AV281" s="638"/>
      <c r="AW281" s="638"/>
      <c r="AX281" s="638"/>
      <c r="AY281" s="484"/>
      <c r="AZ281" s="484"/>
      <c r="BA281" s="671"/>
      <c r="BB281" s="449"/>
      <c r="BC281" s="169"/>
      <c r="BD281" s="1330"/>
      <c r="BE281" s="1329"/>
      <c r="BF281" s="1330"/>
      <c r="BG281" s="1329"/>
    </row>
    <row r="282" spans="1:59" ht="15.75" customHeight="1">
      <c r="A282" s="449"/>
      <c r="B282" s="445"/>
      <c r="C282" s="446"/>
      <c r="D282" s="638"/>
      <c r="E282" s="447"/>
      <c r="F282" s="447"/>
      <c r="G282" s="484">
        <v>35.700000000000003</v>
      </c>
      <c r="H282" s="1239"/>
      <c r="I282" s="448">
        <f>SUM(G260:G282)</f>
        <v>529.6</v>
      </c>
      <c r="J282" s="446"/>
      <c r="K282" s="638"/>
      <c r="L282" s="638"/>
      <c r="M282" s="446"/>
      <c r="N282" s="1239"/>
      <c r="O282" s="1239"/>
      <c r="P282" s="1239"/>
      <c r="Q282" s="638"/>
      <c r="R282" s="638"/>
      <c r="S282" s="484">
        <f t="shared" ref="S282" si="137">AG283-AG281</f>
        <v>0</v>
      </c>
      <c r="T282" s="638"/>
      <c r="U282" s="638"/>
      <c r="V282" s="638"/>
      <c r="W282" s="638"/>
      <c r="X282" s="638"/>
      <c r="Y282" s="638"/>
      <c r="Z282" s="638"/>
      <c r="AA282" s="638"/>
      <c r="AB282" s="638"/>
      <c r="AC282" s="638"/>
      <c r="AD282" s="638"/>
      <c r="AE282" s="638"/>
      <c r="AF282" s="638"/>
      <c r="AG282" s="446"/>
      <c r="AH282" s="638"/>
      <c r="AI282" s="638"/>
      <c r="AJ282" s="638"/>
      <c r="AK282" s="638" t="s">
        <v>2760</v>
      </c>
      <c r="AL282" s="638"/>
      <c r="AM282" s="638"/>
      <c r="AN282" s="455"/>
      <c r="AO282" s="1239"/>
      <c r="AP282" s="1239"/>
      <c r="AQ282" s="484">
        <f>+FL_1($T$283,$T$281,$G$282,1200,9.28,-1*$F$283)</f>
        <v>0.35000000000000847</v>
      </c>
      <c r="AR282" s="484"/>
      <c r="AS282" s="484"/>
      <c r="AT282" s="484"/>
      <c r="AU282" s="638"/>
      <c r="AV282" s="638"/>
      <c r="AW282" s="638"/>
      <c r="AX282" s="638"/>
      <c r="AY282" s="484"/>
      <c r="AZ282" s="484"/>
      <c r="BA282" s="671"/>
      <c r="BB282" s="449"/>
      <c r="BC282" s="169"/>
      <c r="BD282" s="1330"/>
      <c r="BE282" s="1330"/>
      <c r="BF282" s="1330"/>
      <c r="BG282" s="1330"/>
    </row>
    <row r="283" spans="1:59" ht="15.75" customHeight="1">
      <c r="A283" s="449"/>
      <c r="B283" s="655" t="s">
        <v>2208</v>
      </c>
      <c r="C283" s="446">
        <f>+$C$281+$G$282</f>
        <v>91607.150000000009</v>
      </c>
      <c r="D283" s="638"/>
      <c r="E283" s="638"/>
      <c r="F283" s="447">
        <v>0</v>
      </c>
      <c r="G283" s="484"/>
      <c r="H283" s="1239" t="s">
        <v>874</v>
      </c>
      <c r="I283" s="448"/>
      <c r="J283" s="446"/>
      <c r="K283" s="638"/>
      <c r="L283" s="638"/>
      <c r="M283" s="446"/>
      <c r="N283" s="1239" t="s">
        <v>843</v>
      </c>
      <c r="O283" s="1239"/>
      <c r="P283" s="1239"/>
      <c r="Q283" s="638"/>
      <c r="R283" s="638"/>
      <c r="S283" s="484"/>
      <c r="T283" s="638">
        <v>-35</v>
      </c>
      <c r="U283" s="638"/>
      <c r="V283" s="638"/>
      <c r="W283" s="638">
        <v>1.4</v>
      </c>
      <c r="X283" s="638"/>
      <c r="Y283" s="638"/>
      <c r="Z283" s="638"/>
      <c r="AA283" s="638"/>
      <c r="AB283" s="638"/>
      <c r="AC283" s="1239" t="str">
        <f t="shared" si="126"/>
        <v>PH-C</v>
      </c>
      <c r="AD283" s="638"/>
      <c r="AE283" s="638"/>
      <c r="AF283" s="638"/>
      <c r="AG283" s="446"/>
      <c r="AH283" s="638"/>
      <c r="AI283" s="638"/>
      <c r="AJ283" s="638"/>
      <c r="AK283" s="638" t="s">
        <v>139</v>
      </c>
      <c r="AL283" s="638"/>
      <c r="AM283" s="638"/>
      <c r="AN283" s="455">
        <v>5.5</v>
      </c>
      <c r="AO283" s="1239"/>
      <c r="AP283" s="1239"/>
      <c r="AQ283" s="484"/>
      <c r="AR283" s="484"/>
      <c r="AS283" s="484"/>
      <c r="AT283" s="484">
        <f>+ab($T$283,$T$281,$T$285,$G$282,$G$284,-1*$F$283,1200)</f>
        <v>-4.690449122659591</v>
      </c>
      <c r="AU283" s="638"/>
      <c r="AV283" s="638"/>
      <c r="AW283" s="638"/>
      <c r="AX283" s="638"/>
      <c r="AY283" s="484"/>
      <c r="AZ283" s="484"/>
      <c r="BA283" s="671"/>
      <c r="BB283" s="449"/>
      <c r="BC283" s="169"/>
      <c r="BD283" s="1330"/>
      <c r="BE283" s="1329"/>
      <c r="BF283" s="1330"/>
      <c r="BG283" s="1329"/>
    </row>
    <row r="284" spans="1:59" ht="15.75" customHeight="1">
      <c r="A284" s="449"/>
      <c r="B284" s="445"/>
      <c r="C284" s="446"/>
      <c r="D284" s="638"/>
      <c r="E284" s="638"/>
      <c r="F284" s="447"/>
      <c r="G284" s="484">
        <v>33</v>
      </c>
      <c r="H284" s="1239"/>
      <c r="I284" s="448">
        <f>SUM(G284:G310)</f>
        <v>525</v>
      </c>
      <c r="J284" s="446"/>
      <c r="K284" s="638"/>
      <c r="L284" s="638"/>
      <c r="M284" s="446"/>
      <c r="N284" s="1239"/>
      <c r="O284" s="1239"/>
      <c r="P284" s="1239"/>
      <c r="Q284" s="638"/>
      <c r="R284" s="638"/>
      <c r="S284" s="484">
        <f t="shared" ref="S284" si="138">AG285-AG283</f>
        <v>0</v>
      </c>
      <c r="T284" s="638"/>
      <c r="U284" s="638"/>
      <c r="V284" s="638"/>
      <c r="W284" s="638"/>
      <c r="X284" s="638"/>
      <c r="Y284" s="638"/>
      <c r="Z284" s="638"/>
      <c r="AA284" s="638"/>
      <c r="AB284" s="638"/>
      <c r="AC284" s="638"/>
      <c r="AD284" s="638"/>
      <c r="AE284" s="638"/>
      <c r="AF284" s="638"/>
      <c r="AG284" s="446"/>
      <c r="AH284" s="638"/>
      <c r="AI284" s="638"/>
      <c r="AJ284" s="638"/>
      <c r="AK284" s="638" t="s">
        <v>2760</v>
      </c>
      <c r="AL284" s="638"/>
      <c r="AM284" s="638"/>
      <c r="AN284" s="455"/>
      <c r="AO284" s="1239"/>
      <c r="AP284" s="1239"/>
      <c r="AQ284" s="484">
        <f>+FL_2($T$285,$T$283,$G$284,1200,9.28,-1*$F$285)</f>
        <v>-0.35000000000001691</v>
      </c>
      <c r="AR284" s="484"/>
      <c r="AS284" s="484"/>
      <c r="AT284" s="484"/>
      <c r="AU284" s="638"/>
      <c r="AV284" s="638"/>
      <c r="AW284" s="638"/>
      <c r="AX284" s="638"/>
      <c r="AY284" s="484"/>
      <c r="AZ284" s="484"/>
      <c r="BA284" s="671"/>
      <c r="BB284" s="449"/>
      <c r="BC284" s="169"/>
      <c r="BD284" s="1330"/>
      <c r="BE284" s="1330"/>
      <c r="BF284" s="1330"/>
      <c r="BG284" s="1330"/>
    </row>
    <row r="285" spans="1:59" ht="15.75" customHeight="1">
      <c r="A285" s="449"/>
      <c r="B285" s="485" t="s">
        <v>2209</v>
      </c>
      <c r="C285" s="446">
        <f>+$C$283+$G$284</f>
        <v>91640.150000000009</v>
      </c>
      <c r="D285" s="638"/>
      <c r="E285" s="638"/>
      <c r="F285" s="447">
        <v>0</v>
      </c>
      <c r="G285" s="484"/>
      <c r="H285" s="1239"/>
      <c r="I285" s="448"/>
      <c r="J285" s="446"/>
      <c r="K285" s="638"/>
      <c r="L285" s="638"/>
      <c r="M285" s="446"/>
      <c r="N285" s="638" t="s">
        <v>844</v>
      </c>
      <c r="O285" s="1239"/>
      <c r="P285" s="1239"/>
      <c r="Q285" s="638"/>
      <c r="R285" s="638"/>
      <c r="S285" s="484"/>
      <c r="T285" s="638">
        <v>35</v>
      </c>
      <c r="U285" s="638"/>
      <c r="V285" s="638"/>
      <c r="W285" s="638">
        <v>1.4</v>
      </c>
      <c r="X285" s="638"/>
      <c r="Y285" s="638"/>
      <c r="Z285" s="638"/>
      <c r="AA285" s="638"/>
      <c r="AB285" s="638"/>
      <c r="AC285" s="1239" t="str">
        <f t="shared" si="126"/>
        <v>PH-C</v>
      </c>
      <c r="AD285" s="638"/>
      <c r="AE285" s="638"/>
      <c r="AF285" s="638"/>
      <c r="AG285" s="446"/>
      <c r="AH285" s="638"/>
      <c r="AI285" s="638"/>
      <c r="AJ285" s="638"/>
      <c r="AK285" s="638" t="s">
        <v>139</v>
      </c>
      <c r="AL285" s="638"/>
      <c r="AM285" s="638"/>
      <c r="AN285" s="455">
        <v>5.5</v>
      </c>
      <c r="AO285" s="1239"/>
      <c r="AP285" s="1239"/>
      <c r="AQ285" s="484"/>
      <c r="AR285" s="484"/>
      <c r="AS285" s="484"/>
      <c r="AT285" s="484">
        <f>+ab($T$285,$T$283,$T$287,$G$284,$G$286,-1*$F$285,1200)</f>
        <v>4.5138192100696939</v>
      </c>
      <c r="AU285" s="638"/>
      <c r="AV285" s="638"/>
      <c r="AW285" s="638"/>
      <c r="AX285" s="638"/>
      <c r="AY285" s="484"/>
      <c r="AZ285" s="484"/>
      <c r="BA285" s="671"/>
      <c r="BB285" s="449"/>
      <c r="BC285" s="169"/>
      <c r="BD285" s="1330"/>
      <c r="BE285" s="1329"/>
      <c r="BF285" s="1330"/>
      <c r="BG285" s="1329"/>
    </row>
    <row r="286" spans="1:59" ht="15.75" customHeight="1">
      <c r="A286" s="449"/>
      <c r="B286" s="445"/>
      <c r="C286" s="446"/>
      <c r="D286" s="638"/>
      <c r="E286" s="638"/>
      <c r="F286" s="447"/>
      <c r="G286" s="484">
        <v>33</v>
      </c>
      <c r="H286" s="1239"/>
      <c r="I286" s="448"/>
      <c r="J286" s="446"/>
      <c r="K286" s="638"/>
      <c r="L286" s="638"/>
      <c r="M286" s="446"/>
      <c r="N286" s="1239"/>
      <c r="O286" s="1239"/>
      <c r="P286" s="1239"/>
      <c r="Q286" s="638"/>
      <c r="R286" s="638"/>
      <c r="S286" s="484">
        <f t="shared" ref="S286" si="139">AG287-AG285</f>
        <v>0</v>
      </c>
      <c r="T286" s="638"/>
      <c r="U286" s="638"/>
      <c r="V286" s="638"/>
      <c r="W286" s="638"/>
      <c r="X286" s="638"/>
      <c r="Y286" s="638"/>
      <c r="Z286" s="638"/>
      <c r="AA286" s="638"/>
      <c r="AB286" s="638"/>
      <c r="AC286" s="638"/>
      <c r="AD286" s="638"/>
      <c r="AE286" s="638"/>
      <c r="AF286" s="638"/>
      <c r="AG286" s="446"/>
      <c r="AH286" s="638"/>
      <c r="AI286" s="638"/>
      <c r="AJ286" s="638"/>
      <c r="AK286" s="638"/>
      <c r="AL286" s="638"/>
      <c r="AM286" s="638"/>
      <c r="AN286" s="455"/>
      <c r="AO286" s="1239"/>
      <c r="AP286" s="1239"/>
      <c r="AQ286" s="484">
        <f>+FL_1($T$287,$T$285,$G$286,1200,9.28,-1*$F$287)</f>
        <v>0.35000000000001691</v>
      </c>
      <c r="AR286" s="484"/>
      <c r="AS286" s="484"/>
      <c r="AT286" s="484"/>
      <c r="AU286" s="638"/>
      <c r="AV286" s="638"/>
      <c r="AW286" s="638"/>
      <c r="AX286" s="638"/>
      <c r="AY286" s="484"/>
      <c r="AZ286" s="484"/>
      <c r="BA286" s="671"/>
      <c r="BB286" s="449"/>
      <c r="BC286" s="169"/>
      <c r="BD286" s="1330"/>
      <c r="BE286" s="1330"/>
      <c r="BF286" s="1330"/>
      <c r="BG286" s="1330"/>
    </row>
    <row r="287" spans="1:59" ht="15.75" customHeight="1">
      <c r="A287" s="449"/>
      <c r="B287" s="485" t="s">
        <v>2210</v>
      </c>
      <c r="C287" s="446">
        <f>+$C$285+$G$286</f>
        <v>91673.150000000009</v>
      </c>
      <c r="D287" s="638"/>
      <c r="E287" s="638"/>
      <c r="F287" s="447">
        <v>0</v>
      </c>
      <c r="G287" s="484"/>
      <c r="H287" s="1239"/>
      <c r="I287" s="448"/>
      <c r="J287" s="446"/>
      <c r="K287" s="638"/>
      <c r="L287" s="638"/>
      <c r="M287" s="446"/>
      <c r="N287" s="1239" t="s">
        <v>843</v>
      </c>
      <c r="O287" s="1239"/>
      <c r="P287" s="1239"/>
      <c r="Q287" s="638"/>
      <c r="R287" s="638"/>
      <c r="S287" s="484"/>
      <c r="T287" s="638">
        <v>-35</v>
      </c>
      <c r="U287" s="638"/>
      <c r="V287" s="638"/>
      <c r="W287" s="638">
        <v>1.4</v>
      </c>
      <c r="X287" s="638"/>
      <c r="Y287" s="638"/>
      <c r="Z287" s="638"/>
      <c r="AA287" s="638"/>
      <c r="AB287" s="638"/>
      <c r="AC287" s="1239" t="str">
        <f t="shared" si="126"/>
        <v>PH-C</v>
      </c>
      <c r="AD287" s="638"/>
      <c r="AE287" s="638"/>
      <c r="AF287" s="638"/>
      <c r="AG287" s="446"/>
      <c r="AH287" s="638"/>
      <c r="AI287" s="638"/>
      <c r="AJ287" s="638"/>
      <c r="AK287" s="638" t="s">
        <v>139</v>
      </c>
      <c r="AL287" s="638"/>
      <c r="AM287" s="638"/>
      <c r="AN287" s="455">
        <v>5.5</v>
      </c>
      <c r="AO287" s="1239"/>
      <c r="AP287" s="1239"/>
      <c r="AQ287" s="484"/>
      <c r="AR287" s="484"/>
      <c r="AS287" s="484"/>
      <c r="AT287" s="484">
        <f>+ab($T$287,$T$285,$T$289,$G$286,$G$288,-1*$F$287,1200)</f>
        <v>-4.5138262032686756</v>
      </c>
      <c r="AU287" s="638"/>
      <c r="AV287" s="638"/>
      <c r="AW287" s="638"/>
      <c r="AX287" s="638"/>
      <c r="AY287" s="484"/>
      <c r="AZ287" s="484"/>
      <c r="BA287" s="671"/>
      <c r="BB287" s="449"/>
      <c r="BC287" s="169"/>
      <c r="BD287" s="1330"/>
      <c r="BE287" s="1329"/>
      <c r="BF287" s="1330"/>
      <c r="BG287" s="1329"/>
    </row>
    <row r="288" spans="1:59" ht="15.75" customHeight="1">
      <c r="A288" s="449"/>
      <c r="B288" s="445"/>
      <c r="C288" s="446"/>
      <c r="D288" s="638"/>
      <c r="E288" s="638"/>
      <c r="F288" s="447"/>
      <c r="G288" s="484">
        <v>33</v>
      </c>
      <c r="H288" s="1239"/>
      <c r="I288" s="448"/>
      <c r="J288" s="446"/>
      <c r="K288" s="638"/>
      <c r="L288" s="638"/>
      <c r="M288" s="446"/>
      <c r="N288" s="1239"/>
      <c r="O288" s="1239"/>
      <c r="P288" s="1239"/>
      <c r="Q288" s="638"/>
      <c r="R288" s="638"/>
      <c r="S288" s="484">
        <f t="shared" ref="S288" si="140">AG289-AG287</f>
        <v>0</v>
      </c>
      <c r="T288" s="638"/>
      <c r="U288" s="638"/>
      <c r="V288" s="638"/>
      <c r="W288" s="638"/>
      <c r="X288" s="638"/>
      <c r="Y288" s="638"/>
      <c r="Z288" s="638"/>
      <c r="AA288" s="638"/>
      <c r="AB288" s="638"/>
      <c r="AC288" s="638"/>
      <c r="AD288" s="638"/>
      <c r="AE288" s="638"/>
      <c r="AF288" s="638"/>
      <c r="AG288" s="446"/>
      <c r="AH288" s="638"/>
      <c r="AI288" s="638"/>
      <c r="AJ288" s="638"/>
      <c r="AK288" s="638"/>
      <c r="AL288" s="638"/>
      <c r="AM288" s="638"/>
      <c r="AN288" s="455"/>
      <c r="AO288" s="1239"/>
      <c r="AP288" s="1239"/>
      <c r="AQ288" s="484">
        <f>+FL_2($T$289,$T$287,$G$288,1200,9.28,-1*$F$289)</f>
        <v>-0.35000000000001691</v>
      </c>
      <c r="AR288" s="484"/>
      <c r="AS288" s="484"/>
      <c r="AT288" s="484"/>
      <c r="AU288" s="638"/>
      <c r="AV288" s="638"/>
      <c r="AW288" s="638"/>
      <c r="AX288" s="638"/>
      <c r="AY288" s="484"/>
      <c r="AZ288" s="484"/>
      <c r="BA288" s="671"/>
      <c r="BB288" s="449"/>
      <c r="BC288" s="169"/>
      <c r="BD288" s="1330"/>
      <c r="BE288" s="1330"/>
      <c r="BF288" s="1330"/>
      <c r="BG288" s="1330"/>
    </row>
    <row r="289" spans="1:59" ht="15.75" customHeight="1">
      <c r="A289" s="449"/>
      <c r="B289" s="485" t="s">
        <v>2211</v>
      </c>
      <c r="C289" s="446">
        <f>+$C$287+$G$288</f>
        <v>91706.150000000009</v>
      </c>
      <c r="D289" s="638"/>
      <c r="E289" s="638"/>
      <c r="F289" s="447">
        <v>13000</v>
      </c>
      <c r="G289" s="484"/>
      <c r="H289" s="1239"/>
      <c r="I289" s="448"/>
      <c r="J289" s="446"/>
      <c r="K289" s="638"/>
      <c r="L289" s="638"/>
      <c r="M289" s="446"/>
      <c r="N289" s="638" t="s">
        <v>844</v>
      </c>
      <c r="O289" s="1239"/>
      <c r="P289" s="1239"/>
      <c r="Q289" s="638"/>
      <c r="R289" s="638"/>
      <c r="S289" s="484"/>
      <c r="T289" s="638">
        <v>35</v>
      </c>
      <c r="U289" s="638"/>
      <c r="V289" s="638"/>
      <c r="W289" s="638">
        <v>1.4</v>
      </c>
      <c r="X289" s="638"/>
      <c r="Y289" s="638"/>
      <c r="Z289" s="638"/>
      <c r="AA289" s="638"/>
      <c r="AB289" s="638"/>
      <c r="AC289" s="1239" t="str">
        <f t="shared" si="126"/>
        <v>PH-Q</v>
      </c>
      <c r="AD289" s="638"/>
      <c r="AE289" s="638"/>
      <c r="AF289" s="638"/>
      <c r="AG289" s="446"/>
      <c r="AH289" s="638"/>
      <c r="AI289" s="638"/>
      <c r="AJ289" s="638"/>
      <c r="AK289" s="638" t="s">
        <v>139</v>
      </c>
      <c r="AL289" s="638"/>
      <c r="AM289" s="638"/>
      <c r="AN289" s="455">
        <v>5.5</v>
      </c>
      <c r="AO289" s="1239"/>
      <c r="AP289" s="1239"/>
      <c r="AQ289" s="484"/>
      <c r="AR289" s="484"/>
      <c r="AS289" s="484"/>
      <c r="AT289" s="484">
        <f>+ab($T$289,$T$287,$T$291,$G$288,$G$290,-1*$F$289,1200)</f>
        <v>5.1002492481639603</v>
      </c>
      <c r="AU289" s="638"/>
      <c r="AV289" s="638"/>
      <c r="AW289" s="638"/>
      <c r="AX289" s="638"/>
      <c r="AY289" s="484"/>
      <c r="AZ289" s="484"/>
      <c r="BA289" s="671"/>
      <c r="BB289" s="449"/>
      <c r="BC289" s="169"/>
      <c r="BD289" s="1330"/>
      <c r="BE289" s="1329"/>
      <c r="BF289" s="1330"/>
      <c r="BG289" s="1329"/>
    </row>
    <row r="290" spans="1:59" ht="15.75" customHeight="1">
      <c r="A290" s="449"/>
      <c r="B290" s="445"/>
      <c r="C290" s="446"/>
      <c r="D290" s="638"/>
      <c r="E290" s="638"/>
      <c r="F290" s="447"/>
      <c r="G290" s="484">
        <v>31.9</v>
      </c>
      <c r="H290" s="638"/>
      <c r="I290" s="448"/>
      <c r="J290" s="446"/>
      <c r="K290" s="638"/>
      <c r="L290" s="638"/>
      <c r="M290" s="446"/>
      <c r="N290" s="1239"/>
      <c r="O290" s="1239"/>
      <c r="P290" s="1239"/>
      <c r="Q290" s="638"/>
      <c r="R290" s="638"/>
      <c r="S290" s="484">
        <f t="shared" ref="S290" si="141">AG291-AG289</f>
        <v>0</v>
      </c>
      <c r="T290" s="638"/>
      <c r="U290" s="638"/>
      <c r="V290" s="638"/>
      <c r="W290" s="638"/>
      <c r="X290" s="638"/>
      <c r="Y290" s="638"/>
      <c r="Z290" s="638"/>
      <c r="AA290" s="638"/>
      <c r="AB290" s="638"/>
      <c r="AC290" s="638"/>
      <c r="AD290" s="638"/>
      <c r="AE290" s="638"/>
      <c r="AF290" s="638"/>
      <c r="AG290" s="446"/>
      <c r="AH290" s="638"/>
      <c r="AI290" s="638"/>
      <c r="AJ290" s="638"/>
      <c r="AK290" s="638"/>
      <c r="AL290" s="638"/>
      <c r="AM290" s="638"/>
      <c r="AN290" s="455"/>
      <c r="AO290" s="1239"/>
      <c r="AP290" s="1239"/>
      <c r="AQ290" s="484">
        <f>+FL_1($T$291,$T$289,$G$290,1200,9.28,-1*$F$291)</f>
        <v>0.35000000000001424</v>
      </c>
      <c r="AR290" s="484"/>
      <c r="AS290" s="484"/>
      <c r="AT290" s="484"/>
      <c r="AU290" s="638"/>
      <c r="AV290" s="638"/>
      <c r="AW290" s="638"/>
      <c r="AX290" s="638"/>
      <c r="AY290" s="484"/>
      <c r="AZ290" s="484"/>
      <c r="BA290" s="671"/>
      <c r="BB290" s="449"/>
      <c r="BC290" s="169"/>
      <c r="BD290" s="1330"/>
      <c r="BE290" s="1330"/>
      <c r="BF290" s="1330"/>
      <c r="BG290" s="1330"/>
    </row>
    <row r="291" spans="1:59" ht="15.75" customHeight="1">
      <c r="A291" s="449"/>
      <c r="B291" s="485" t="s">
        <v>2212</v>
      </c>
      <c r="C291" s="446">
        <f>+$C$289+$G$290</f>
        <v>91738.05</v>
      </c>
      <c r="D291" s="638"/>
      <c r="E291" s="638"/>
      <c r="F291" s="447">
        <v>13000</v>
      </c>
      <c r="G291" s="484"/>
      <c r="H291" s="1239"/>
      <c r="I291" s="448"/>
      <c r="J291" s="446"/>
      <c r="K291" s="638"/>
      <c r="L291" s="638"/>
      <c r="M291" s="446"/>
      <c r="N291" s="1239" t="s">
        <v>843</v>
      </c>
      <c r="O291" s="1239"/>
      <c r="P291" s="1239"/>
      <c r="Q291" s="638"/>
      <c r="R291" s="638"/>
      <c r="S291" s="484"/>
      <c r="T291" s="638">
        <v>-25</v>
      </c>
      <c r="U291" s="638"/>
      <c r="V291" s="638"/>
      <c r="W291" s="638">
        <v>1.4</v>
      </c>
      <c r="X291" s="638"/>
      <c r="Y291" s="638"/>
      <c r="Z291" s="638"/>
      <c r="AA291" s="638"/>
      <c r="AB291" s="638"/>
      <c r="AC291" s="1239" t="str">
        <f t="shared" si="126"/>
        <v>PH-C</v>
      </c>
      <c r="AD291" s="638"/>
      <c r="AE291" s="638"/>
      <c r="AF291" s="638"/>
      <c r="AG291" s="446"/>
      <c r="AH291" s="638"/>
      <c r="AI291" s="638"/>
      <c r="AJ291" s="638"/>
      <c r="AK291" s="638" t="s">
        <v>139</v>
      </c>
      <c r="AL291" s="638"/>
      <c r="AM291" s="638"/>
      <c r="AN291" s="455">
        <v>5.5</v>
      </c>
      <c r="AO291" s="1239"/>
      <c r="AP291" s="1239"/>
      <c r="AQ291" s="484"/>
      <c r="AR291" s="484"/>
      <c r="AS291" s="484"/>
      <c r="AT291" s="484">
        <f>+ab($T$291,$T$289,$T$293,$G$290,$G$292,-1*$F$291,1200)</f>
        <v>-4.7971706285361382</v>
      </c>
      <c r="AU291" s="638"/>
      <c r="AV291" s="638"/>
      <c r="AW291" s="638"/>
      <c r="AX291" s="638"/>
      <c r="AY291" s="484"/>
      <c r="AZ291" s="484"/>
      <c r="BA291" s="671"/>
      <c r="BB291" s="449"/>
      <c r="BC291" s="169"/>
      <c r="BD291" s="1330"/>
      <c r="BE291" s="1329"/>
      <c r="BF291" s="1330"/>
      <c r="BG291" s="1329"/>
    </row>
    <row r="292" spans="1:59" ht="15.75" customHeight="1">
      <c r="A292" s="449"/>
      <c r="B292" s="445"/>
      <c r="C292" s="446"/>
      <c r="D292" s="638"/>
      <c r="E292" s="638"/>
      <c r="F292" s="447"/>
      <c r="G292" s="484">
        <v>32.200000000000003</v>
      </c>
      <c r="H292" s="638"/>
      <c r="I292" s="448"/>
      <c r="J292" s="446"/>
      <c r="K292" s="638"/>
      <c r="L292" s="638"/>
      <c r="M292" s="446"/>
      <c r="N292" s="1239"/>
      <c r="O292" s="1239"/>
      <c r="P292" s="1239"/>
      <c r="Q292" s="638"/>
      <c r="R292" s="638"/>
      <c r="S292" s="484">
        <f t="shared" ref="S292" si="142">AG293-AG291</f>
        <v>0</v>
      </c>
      <c r="T292" s="638"/>
      <c r="U292" s="638"/>
      <c r="V292" s="638"/>
      <c r="W292" s="638"/>
      <c r="X292" s="638"/>
      <c r="Y292" s="638"/>
      <c r="Z292" s="638"/>
      <c r="AA292" s="638"/>
      <c r="AB292" s="638"/>
      <c r="AC292" s="638"/>
      <c r="AD292" s="638"/>
      <c r="AE292" s="638"/>
      <c r="AF292" s="638"/>
      <c r="AG292" s="446"/>
      <c r="AH292" s="638"/>
      <c r="AI292" s="638"/>
      <c r="AJ292" s="638"/>
      <c r="AK292" s="638"/>
      <c r="AL292" s="638"/>
      <c r="AM292" s="638"/>
      <c r="AN292" s="455"/>
      <c r="AO292" s="1239"/>
      <c r="AP292" s="1239"/>
      <c r="AQ292" s="484">
        <f>+FL_1($T$293,$T$291,$G$292,1200,9.28,-1*$F$293)</f>
        <v>0.35</v>
      </c>
      <c r="AR292" s="484"/>
      <c r="AS292" s="484"/>
      <c r="AT292" s="484"/>
      <c r="AU292" s="638"/>
      <c r="AV292" s="638"/>
      <c r="AW292" s="638"/>
      <c r="AX292" s="638"/>
      <c r="AY292" s="484"/>
      <c r="AZ292" s="484"/>
      <c r="BA292" s="671"/>
      <c r="BB292" s="449"/>
      <c r="BC292" s="169"/>
      <c r="BD292" s="1330"/>
      <c r="BE292" s="1330"/>
      <c r="BF292" s="1330"/>
      <c r="BG292" s="1330"/>
    </row>
    <row r="293" spans="1:59" ht="15.75" customHeight="1">
      <c r="A293" s="449"/>
      <c r="B293" s="485" t="s">
        <v>2213</v>
      </c>
      <c r="C293" s="446">
        <f>+$C$291+$G$292</f>
        <v>91770.25</v>
      </c>
      <c r="D293" s="638"/>
      <c r="E293" s="638"/>
      <c r="F293" s="447">
        <v>0</v>
      </c>
      <c r="G293" s="484"/>
      <c r="H293" s="1239"/>
      <c r="I293" s="448"/>
      <c r="J293" s="446"/>
      <c r="K293" s="638"/>
      <c r="L293" s="638"/>
      <c r="M293" s="446"/>
      <c r="N293" s="1239" t="s">
        <v>844</v>
      </c>
      <c r="O293" s="1239"/>
      <c r="P293" s="1239"/>
      <c r="Q293" s="638"/>
      <c r="R293" s="638"/>
      <c r="S293" s="484"/>
      <c r="T293" s="638">
        <v>35</v>
      </c>
      <c r="U293" s="638"/>
      <c r="V293" s="638"/>
      <c r="W293" s="638">
        <v>1.4</v>
      </c>
      <c r="X293" s="638"/>
      <c r="Y293" s="638"/>
      <c r="Z293" s="638"/>
      <c r="AA293" s="638"/>
      <c r="AB293" s="638"/>
      <c r="AC293" s="1239" t="str">
        <f t="shared" si="126"/>
        <v>PH-C</v>
      </c>
      <c r="AD293" s="638"/>
      <c r="AE293" s="638"/>
      <c r="AF293" s="638"/>
      <c r="AG293" s="446"/>
      <c r="AH293" s="638"/>
      <c r="AI293" s="638"/>
      <c r="AJ293" s="638"/>
      <c r="AK293" s="638" t="s">
        <v>139</v>
      </c>
      <c r="AL293" s="638"/>
      <c r="AM293" s="638"/>
      <c r="AN293" s="455">
        <v>5.5</v>
      </c>
      <c r="AO293" s="1239"/>
      <c r="AP293" s="1239"/>
      <c r="AQ293" s="484"/>
      <c r="AR293" s="484"/>
      <c r="AS293" s="484"/>
      <c r="AT293" s="484">
        <f>+ab($T$293,$T$291,$T$295,$G$292,$G$294,-1*$F$293,1200)</f>
        <v>4.2983550531264392</v>
      </c>
      <c r="AU293" s="638"/>
      <c r="AV293" s="638"/>
      <c r="AW293" s="638"/>
      <c r="AX293" s="638"/>
      <c r="AY293" s="484"/>
      <c r="AZ293" s="484"/>
      <c r="BA293" s="671"/>
      <c r="BB293" s="449"/>
      <c r="BC293" s="169"/>
      <c r="BD293" s="1330"/>
      <c r="BE293" s="1329"/>
      <c r="BF293" s="1330"/>
      <c r="BG293" s="1329"/>
    </row>
    <row r="294" spans="1:59" ht="15.75" customHeight="1">
      <c r="A294" s="449"/>
      <c r="B294" s="445"/>
      <c r="C294" s="446"/>
      <c r="D294" s="638"/>
      <c r="E294" s="638"/>
      <c r="F294" s="447"/>
      <c r="G294" s="484">
        <v>27</v>
      </c>
      <c r="H294" s="1239"/>
      <c r="I294" s="448"/>
      <c r="J294" s="446"/>
      <c r="K294" s="638"/>
      <c r="L294" s="638"/>
      <c r="M294" s="446"/>
      <c r="N294" s="1239"/>
      <c r="O294" s="1239"/>
      <c r="P294" s="1239"/>
      <c r="Q294" s="638"/>
      <c r="R294" s="638"/>
      <c r="S294" s="484">
        <f t="shared" ref="S294" si="143">AG295-AG293</f>
        <v>0</v>
      </c>
      <c r="T294" s="638"/>
      <c r="U294" s="638"/>
      <c r="V294" s="638"/>
      <c r="W294" s="638"/>
      <c r="X294" s="638"/>
      <c r="Y294" s="638"/>
      <c r="Z294" s="638"/>
      <c r="AA294" s="638"/>
      <c r="AB294" s="638"/>
      <c r="AC294" s="638"/>
      <c r="AD294" s="638"/>
      <c r="AE294" s="638"/>
      <c r="AF294" s="638"/>
      <c r="AG294" s="446"/>
      <c r="AH294" s="638"/>
      <c r="AI294" s="638"/>
      <c r="AJ294" s="638"/>
      <c r="AK294" s="638"/>
      <c r="AL294" s="638"/>
      <c r="AM294" s="638"/>
      <c r="AN294" s="455"/>
      <c r="AO294" s="1239"/>
      <c r="AP294" s="1239"/>
      <c r="AQ294" s="484">
        <f>+FL_1($T$295,$T$293,$G$294,1200,9.28,-1*$F$295)</f>
        <v>0.3500000000000219</v>
      </c>
      <c r="AR294" s="484"/>
      <c r="AS294" s="484"/>
      <c r="AT294" s="484"/>
      <c r="AU294" s="638"/>
      <c r="AV294" s="638"/>
      <c r="AW294" s="638"/>
      <c r="AX294" s="638"/>
      <c r="AY294" s="484"/>
      <c r="AZ294" s="484"/>
      <c r="BA294" s="671"/>
      <c r="BB294" s="449"/>
      <c r="BC294" s="169"/>
      <c r="BD294" s="1330"/>
      <c r="BE294" s="1330"/>
      <c r="BF294" s="1330"/>
      <c r="BG294" s="1330"/>
    </row>
    <row r="295" spans="1:59" ht="15.75" customHeight="1">
      <c r="A295" s="449"/>
      <c r="B295" s="485" t="s">
        <v>2214</v>
      </c>
      <c r="C295" s="446">
        <f>+$C$293+$G$294</f>
        <v>91797.25</v>
      </c>
      <c r="D295" s="638"/>
      <c r="E295" s="638"/>
      <c r="F295" s="447">
        <v>0</v>
      </c>
      <c r="G295" s="484"/>
      <c r="H295" s="1239"/>
      <c r="I295" s="448"/>
      <c r="J295" s="446"/>
      <c r="K295" s="638"/>
      <c r="L295" s="638"/>
      <c r="M295" s="446"/>
      <c r="N295" s="1239" t="s">
        <v>843</v>
      </c>
      <c r="O295" s="1239"/>
      <c r="P295" s="1239"/>
      <c r="Q295" s="638"/>
      <c r="R295" s="638"/>
      <c r="S295" s="484"/>
      <c r="T295" s="638">
        <v>-35</v>
      </c>
      <c r="U295" s="638"/>
      <c r="V295" s="638"/>
      <c r="W295" s="638">
        <v>1.4</v>
      </c>
      <c r="X295" s="638"/>
      <c r="Y295" s="638"/>
      <c r="Z295" s="638"/>
      <c r="AA295" s="638"/>
      <c r="AB295" s="638"/>
      <c r="AC295" s="1239" t="str">
        <f t="shared" si="126"/>
        <v>PH-C</v>
      </c>
      <c r="AD295" s="638"/>
      <c r="AE295" s="638"/>
      <c r="AF295" s="638"/>
      <c r="AG295" s="446"/>
      <c r="AH295" s="638"/>
      <c r="AI295" s="638"/>
      <c r="AJ295" s="638"/>
      <c r="AK295" s="638" t="s">
        <v>139</v>
      </c>
      <c r="AL295" s="638"/>
      <c r="AM295" s="638"/>
      <c r="AN295" s="455">
        <v>5.5</v>
      </c>
      <c r="AO295" s="1239"/>
      <c r="AP295" s="1239"/>
      <c r="AQ295" s="484"/>
      <c r="AR295" s="484"/>
      <c r="AS295" s="484"/>
      <c r="AT295" s="484">
        <f>+ab($T$295,$T$293,$T$297,$G$294,$G$296,-1*$F$295,1200)</f>
        <v>-4.2711090750800391</v>
      </c>
      <c r="AU295" s="638"/>
      <c r="AV295" s="638"/>
      <c r="AW295" s="638"/>
      <c r="AX295" s="638"/>
      <c r="AY295" s="484"/>
      <c r="AZ295" s="484"/>
      <c r="BA295" s="671"/>
      <c r="BB295" s="449"/>
      <c r="BC295" s="169"/>
      <c r="BD295" s="1330"/>
      <c r="BE295" s="1329"/>
      <c r="BF295" s="1330"/>
      <c r="BG295" s="1329"/>
    </row>
    <row r="296" spans="1:59" ht="15.75" customHeight="1">
      <c r="A296" s="449"/>
      <c r="B296" s="445"/>
      <c r="C296" s="446"/>
      <c r="D296" s="638"/>
      <c r="E296" s="638"/>
      <c r="F296" s="447"/>
      <c r="G296" s="484">
        <v>37</v>
      </c>
      <c r="H296" s="1239"/>
      <c r="I296" s="448"/>
      <c r="J296" s="446"/>
      <c r="K296" s="638"/>
      <c r="L296" s="638"/>
      <c r="M296" s="446"/>
      <c r="N296" s="1239"/>
      <c r="O296" s="1239"/>
      <c r="P296" s="1239"/>
      <c r="Q296" s="638"/>
      <c r="R296" s="638"/>
      <c r="S296" s="484">
        <f t="shared" ref="S296" si="144">AG297-AG295</f>
        <v>0</v>
      </c>
      <c r="T296" s="638"/>
      <c r="U296" s="638"/>
      <c r="V296" s="638"/>
      <c r="W296" s="638"/>
      <c r="X296" s="638"/>
      <c r="Y296" s="638"/>
      <c r="Z296" s="638"/>
      <c r="AA296" s="638"/>
      <c r="AB296" s="638"/>
      <c r="AC296" s="638"/>
      <c r="AD296" s="638"/>
      <c r="AE296" s="638"/>
      <c r="AF296" s="638"/>
      <c r="AG296" s="446"/>
      <c r="AH296" s="638"/>
      <c r="AI296" s="638"/>
      <c r="AJ296" s="638"/>
      <c r="AK296" s="638"/>
      <c r="AL296" s="638"/>
      <c r="AM296" s="638"/>
      <c r="AN296" s="455"/>
      <c r="AO296" s="1239"/>
      <c r="AP296" s="1239"/>
      <c r="AQ296" s="484">
        <f>+FL_2($T$297,$T$295,$G$296,1200,9.28,-1*$F$297)</f>
        <v>-0.35000000000000558</v>
      </c>
      <c r="AR296" s="484"/>
      <c r="AS296" s="484"/>
      <c r="AT296" s="484"/>
      <c r="AU296" s="638"/>
      <c r="AV296" s="638"/>
      <c r="AW296" s="638"/>
      <c r="AX296" s="638"/>
      <c r="AY296" s="484"/>
      <c r="AZ296" s="484"/>
      <c r="BA296" s="671"/>
      <c r="BB296" s="449"/>
      <c r="BC296" s="169"/>
      <c r="BD296" s="1330"/>
      <c r="BE296" s="1330"/>
      <c r="BF296" s="1330"/>
      <c r="BG296" s="1330"/>
    </row>
    <row r="297" spans="1:59" ht="15.75" customHeight="1">
      <c r="A297" s="449"/>
      <c r="B297" s="485" t="s">
        <v>2280</v>
      </c>
      <c r="C297" s="446">
        <f>+$C$295+$G$296</f>
        <v>91834.25</v>
      </c>
      <c r="D297" s="638"/>
      <c r="E297" s="638"/>
      <c r="F297" s="447">
        <v>0</v>
      </c>
      <c r="G297" s="484"/>
      <c r="H297" s="1239"/>
      <c r="I297" s="448"/>
      <c r="J297" s="446"/>
      <c r="K297" s="638"/>
      <c r="L297" s="638"/>
      <c r="M297" s="446"/>
      <c r="N297" s="1239" t="s">
        <v>844</v>
      </c>
      <c r="O297" s="1239"/>
      <c r="P297" s="1239"/>
      <c r="Q297" s="638"/>
      <c r="R297" s="638"/>
      <c r="S297" s="484"/>
      <c r="T297" s="638">
        <v>35</v>
      </c>
      <c r="U297" s="638"/>
      <c r="V297" s="638"/>
      <c r="W297" s="638">
        <v>1.4</v>
      </c>
      <c r="X297" s="638"/>
      <c r="Y297" s="638"/>
      <c r="Z297" s="638"/>
      <c r="AA297" s="638"/>
      <c r="AB297" s="638"/>
      <c r="AC297" s="1239" t="str">
        <f t="shared" si="126"/>
        <v>PH-Q</v>
      </c>
      <c r="AD297" s="638"/>
      <c r="AE297" s="638"/>
      <c r="AF297" s="638"/>
      <c r="AG297" s="446"/>
      <c r="AH297" s="638"/>
      <c r="AI297" s="638"/>
      <c r="AJ297" s="638"/>
      <c r="AK297" s="638" t="s">
        <v>139</v>
      </c>
      <c r="AL297" s="638"/>
      <c r="AM297" s="638"/>
      <c r="AN297" s="455">
        <v>5.5</v>
      </c>
      <c r="AO297" s="1239"/>
      <c r="AP297" s="1239"/>
      <c r="AQ297" s="484"/>
      <c r="AR297" s="484"/>
      <c r="AS297" s="484"/>
      <c r="AT297" s="484">
        <f>+ab($T$297,$T$295,$T$299,$G$296,$G$298,-1*$F$297,1200)</f>
        <v>5.1516806182912349</v>
      </c>
      <c r="AU297" s="638"/>
      <c r="AV297" s="638"/>
      <c r="AW297" s="638"/>
      <c r="AX297" s="638"/>
      <c r="AY297" s="484"/>
      <c r="AZ297" s="484"/>
      <c r="BA297" s="671"/>
      <c r="BB297" s="449"/>
      <c r="BC297" s="169"/>
      <c r="BD297" s="1330"/>
      <c r="BE297" s="1329"/>
      <c r="BF297" s="1330"/>
      <c r="BG297" s="1329"/>
    </row>
    <row r="298" spans="1:59" ht="15.75" customHeight="1">
      <c r="A298" s="449"/>
      <c r="B298" s="445"/>
      <c r="C298" s="446"/>
      <c r="D298" s="638"/>
      <c r="E298" s="638"/>
      <c r="F298" s="447"/>
      <c r="G298" s="484">
        <v>38.4</v>
      </c>
      <c r="H298" s="1239"/>
      <c r="I298" s="448"/>
      <c r="J298" s="446"/>
      <c r="K298" s="638"/>
      <c r="L298" s="638"/>
      <c r="M298" s="446"/>
      <c r="N298" s="1239"/>
      <c r="O298" s="1239"/>
      <c r="P298" s="1239"/>
      <c r="Q298" s="638"/>
      <c r="R298" s="638"/>
      <c r="S298" s="484">
        <f t="shared" ref="S298" si="145">AG299-AG297</f>
        <v>91870.26</v>
      </c>
      <c r="T298" s="638"/>
      <c r="U298" s="638"/>
      <c r="V298" s="638"/>
      <c r="W298" s="638"/>
      <c r="X298" s="638"/>
      <c r="Y298" s="638"/>
      <c r="Z298" s="638"/>
      <c r="AA298" s="638"/>
      <c r="AB298" s="638"/>
      <c r="AC298" s="638"/>
      <c r="AD298" s="638"/>
      <c r="AE298" s="638"/>
      <c r="AF298" s="638"/>
      <c r="AG298" s="446"/>
      <c r="AH298" s="638"/>
      <c r="AI298" s="638"/>
      <c r="AJ298" s="638"/>
      <c r="AK298" s="638"/>
      <c r="AL298" s="638"/>
      <c r="AM298" s="638"/>
      <c r="AN298" s="455"/>
      <c r="AO298" s="1239"/>
      <c r="AP298" s="1239"/>
      <c r="AQ298" s="484">
        <f>+FL_1($T$299,$T$297,$G$298,1200,9.28,-1*$F$299)</f>
        <v>0.35000000000000309</v>
      </c>
      <c r="AR298" s="484"/>
      <c r="AS298" s="484"/>
      <c r="AT298" s="484"/>
      <c r="AU298" s="638"/>
      <c r="AV298" s="638"/>
      <c r="AW298" s="638"/>
      <c r="AX298" s="638"/>
      <c r="AY298" s="484"/>
      <c r="AZ298" s="484"/>
      <c r="BA298" s="671"/>
      <c r="BB298" s="449"/>
      <c r="BC298" s="169"/>
      <c r="BD298" s="1330"/>
      <c r="BE298" s="1330"/>
      <c r="BF298" s="1330"/>
      <c r="BG298" s="1330"/>
    </row>
    <row r="299" spans="1:59" ht="15.75" customHeight="1">
      <c r="A299" s="449"/>
      <c r="B299" s="485" t="s">
        <v>2281</v>
      </c>
      <c r="C299" s="446">
        <f>+$C$297+$G$298</f>
        <v>91872.65</v>
      </c>
      <c r="D299" s="638"/>
      <c r="E299" s="638"/>
      <c r="F299" s="447">
        <v>0</v>
      </c>
      <c r="G299" s="484"/>
      <c r="H299" s="1239"/>
      <c r="I299" s="448"/>
      <c r="J299" s="446"/>
      <c r="K299" s="638"/>
      <c r="L299" s="638"/>
      <c r="M299" s="446"/>
      <c r="N299" s="1239" t="s">
        <v>2794</v>
      </c>
      <c r="O299" s="1239"/>
      <c r="P299" s="1239"/>
      <c r="Q299" s="638">
        <v>0</v>
      </c>
      <c r="R299" s="638">
        <v>0</v>
      </c>
      <c r="S299" s="484"/>
      <c r="T299" s="638">
        <v>-35</v>
      </c>
      <c r="U299" s="638"/>
      <c r="V299" s="638"/>
      <c r="W299" s="638">
        <v>1.4</v>
      </c>
      <c r="X299" s="638"/>
      <c r="Y299" s="638"/>
      <c r="Z299" s="638"/>
      <c r="AA299" s="638"/>
      <c r="AB299" s="638"/>
      <c r="AC299" s="1239" t="s">
        <v>4090</v>
      </c>
      <c r="AD299" s="638"/>
      <c r="AE299" s="638"/>
      <c r="AF299" s="638">
        <v>200</v>
      </c>
      <c r="AG299" s="446">
        <v>91870.26</v>
      </c>
      <c r="AH299" s="638">
        <v>1763</v>
      </c>
      <c r="AI299" s="638">
        <v>-5120</v>
      </c>
      <c r="AJ299" s="638"/>
      <c r="AK299" s="638" t="s">
        <v>139</v>
      </c>
      <c r="AL299" s="638"/>
      <c r="AM299" s="638"/>
      <c r="AN299" s="455">
        <v>5.5</v>
      </c>
      <c r="AO299" s="1239"/>
      <c r="AP299" s="1239"/>
      <c r="AQ299" s="484"/>
      <c r="AR299" s="484"/>
      <c r="AS299" s="484"/>
      <c r="AT299" s="484">
        <f>+ab($T$299,$T$297,$T$301,$G$298,$G$300,-1*$F$299,1200)</f>
        <v>-5.7847046708000764</v>
      </c>
      <c r="AU299" s="638"/>
      <c r="AV299" s="638"/>
      <c r="AW299" s="638"/>
      <c r="AX299" s="638"/>
      <c r="AY299" s="484"/>
      <c r="AZ299" s="484"/>
      <c r="BA299" s="671"/>
      <c r="BB299" s="449"/>
      <c r="BC299" s="169"/>
      <c r="BD299" s="1371"/>
      <c r="BE299" s="1371"/>
      <c r="BF299" s="1371"/>
      <c r="BG299" s="1371"/>
    </row>
    <row r="300" spans="1:59" ht="15.75" customHeight="1">
      <c r="A300" s="449"/>
      <c r="B300" s="445"/>
      <c r="C300" s="446"/>
      <c r="D300" s="638"/>
      <c r="E300" s="638"/>
      <c r="F300" s="447"/>
      <c r="G300" s="484">
        <v>47.2</v>
      </c>
      <c r="H300" s="1239"/>
      <c r="I300" s="448"/>
      <c r="J300" s="446"/>
      <c r="K300" s="638"/>
      <c r="L300" s="638"/>
      <c r="M300" s="446"/>
      <c r="N300" s="1239"/>
      <c r="O300" s="1239"/>
      <c r="P300" s="1239"/>
      <c r="Q300" s="638"/>
      <c r="R300" s="638"/>
      <c r="S300" s="484">
        <f t="shared" ref="S300" si="146">AG301-AG299</f>
        <v>49.840000000011059</v>
      </c>
      <c r="T300" s="638"/>
      <c r="U300" s="638"/>
      <c r="V300" s="638"/>
      <c r="W300" s="638"/>
      <c r="X300" s="638"/>
      <c r="Y300" s="638"/>
      <c r="Z300" s="638"/>
      <c r="AA300" s="638"/>
      <c r="AB300" s="638"/>
      <c r="AC300" s="638"/>
      <c r="AD300" s="638"/>
      <c r="AE300" s="638"/>
      <c r="AF300" s="638"/>
      <c r="AG300" s="446"/>
      <c r="AH300" s="638"/>
      <c r="AI300" s="638"/>
      <c r="AJ300" s="638"/>
      <c r="AK300" s="638"/>
      <c r="AL300" s="638"/>
      <c r="AM300" s="638"/>
      <c r="AN300" s="455"/>
      <c r="AO300" s="1239"/>
      <c r="AP300" s="1239"/>
      <c r="AQ300" s="484">
        <f>+FL_1($T$301,$T$299,$G$300,1200,9.28,-1*$F$301)</f>
        <v>0.35756302454237288</v>
      </c>
      <c r="AR300" s="484"/>
      <c r="AS300" s="484"/>
      <c r="AT300" s="484"/>
      <c r="AU300" s="638"/>
      <c r="AV300" s="638"/>
      <c r="AW300" s="638"/>
      <c r="AX300" s="638"/>
      <c r="AY300" s="484"/>
      <c r="AZ300" s="484"/>
      <c r="BA300" s="671"/>
      <c r="BB300" s="449"/>
      <c r="BC300" s="169"/>
      <c r="BD300" s="1330"/>
      <c r="BE300" s="1330"/>
      <c r="BF300" s="1330"/>
      <c r="BG300" s="1330"/>
    </row>
    <row r="301" spans="1:59" ht="15.75" customHeight="1">
      <c r="A301" s="449"/>
      <c r="B301" s="485" t="s">
        <v>2282</v>
      </c>
      <c r="C301" s="446">
        <f>+$C$299+$G$300+0.15</f>
        <v>91919.999999999985</v>
      </c>
      <c r="D301" s="638"/>
      <c r="E301" s="638"/>
      <c r="F301" s="447">
        <v>0</v>
      </c>
      <c r="G301" s="484"/>
      <c r="H301" s="1239"/>
      <c r="I301" s="448"/>
      <c r="J301" s="446"/>
      <c r="K301" s="638"/>
      <c r="L301" s="638"/>
      <c r="M301" s="446"/>
      <c r="N301" s="1239" t="s">
        <v>844</v>
      </c>
      <c r="O301" s="638"/>
      <c r="P301" s="1239"/>
      <c r="Q301" s="638">
        <v>0</v>
      </c>
      <c r="R301" s="638">
        <v>0</v>
      </c>
      <c r="S301" s="484"/>
      <c r="T301" s="638">
        <v>35</v>
      </c>
      <c r="U301" s="638"/>
      <c r="V301" s="638"/>
      <c r="W301" s="638">
        <v>1.4</v>
      </c>
      <c r="X301" s="638"/>
      <c r="Y301" s="638"/>
      <c r="Z301" s="638"/>
      <c r="AA301" s="638"/>
      <c r="AB301" s="638"/>
      <c r="AC301" s="1239" t="s">
        <v>4090</v>
      </c>
      <c r="AD301" s="638"/>
      <c r="AE301" s="638"/>
      <c r="AF301" s="638">
        <v>200</v>
      </c>
      <c r="AG301" s="446">
        <v>91920.1</v>
      </c>
      <c r="AH301" s="638">
        <v>1703</v>
      </c>
      <c r="AI301" s="638">
        <v>-5370</v>
      </c>
      <c r="AJ301" s="638"/>
      <c r="AK301" s="638" t="s">
        <v>139</v>
      </c>
      <c r="AL301" s="638"/>
      <c r="AM301" s="638"/>
      <c r="AN301" s="455">
        <v>5.5</v>
      </c>
      <c r="AO301" s="1239"/>
      <c r="AP301" s="1239"/>
      <c r="AQ301" s="484"/>
      <c r="AR301" s="484"/>
      <c r="AS301" s="484"/>
      <c r="AT301" s="484">
        <f>+ab($T$301,$T$299,$T$303,$G$300,$G$302,-1*$F$301,1200)</f>
        <v>6.4959028937547965</v>
      </c>
      <c r="AU301" s="638"/>
      <c r="AV301" s="638"/>
      <c r="AW301" s="638"/>
      <c r="AX301" s="638"/>
      <c r="AY301" s="484"/>
      <c r="AZ301" s="484"/>
      <c r="BA301" s="671"/>
      <c r="BB301" s="449"/>
      <c r="BC301" s="169"/>
      <c r="BD301" s="1371"/>
      <c r="BE301" s="1371"/>
      <c r="BF301" s="1371"/>
      <c r="BG301" s="1371"/>
    </row>
    <row r="302" spans="1:59" ht="15.75" customHeight="1">
      <c r="A302" s="449"/>
      <c r="B302" s="445"/>
      <c r="C302" s="446"/>
      <c r="D302" s="638"/>
      <c r="E302" s="638"/>
      <c r="F302" s="447"/>
      <c r="G302" s="484">
        <v>48</v>
      </c>
      <c r="H302" s="1239"/>
      <c r="I302" s="448"/>
      <c r="J302" s="446"/>
      <c r="K302" s="638"/>
      <c r="L302" s="638"/>
      <c r="M302" s="446"/>
      <c r="N302" s="1239"/>
      <c r="O302" s="1239"/>
      <c r="P302" s="1239"/>
      <c r="Q302" s="638"/>
      <c r="R302" s="638"/>
      <c r="S302" s="484">
        <f t="shared" ref="S302" si="147">AG303-AG301</f>
        <v>48</v>
      </c>
      <c r="T302" s="638"/>
      <c r="U302" s="638"/>
      <c r="V302" s="638"/>
      <c r="W302" s="638"/>
      <c r="X302" s="638"/>
      <c r="Y302" s="638"/>
      <c r="Z302" s="638"/>
      <c r="AA302" s="638"/>
      <c r="AB302" s="638"/>
      <c r="AC302" s="638"/>
      <c r="AD302" s="638"/>
      <c r="AE302" s="638"/>
      <c r="AF302" s="638"/>
      <c r="AG302" s="446"/>
      <c r="AH302" s="638"/>
      <c r="AI302" s="638"/>
      <c r="AJ302" s="638"/>
      <c r="AK302" s="638"/>
      <c r="AL302" s="638"/>
      <c r="AM302" s="638"/>
      <c r="AN302" s="455"/>
      <c r="AO302" s="1239"/>
      <c r="AP302" s="1239"/>
      <c r="AQ302" s="484">
        <f>+FL_1($T$303,$T$301,$G$302,1200,9.28,-1*$F$303)</f>
        <v>0.36022448800000006</v>
      </c>
      <c r="AR302" s="484"/>
      <c r="AS302" s="484"/>
      <c r="AT302" s="484"/>
      <c r="AU302" s="638"/>
      <c r="AV302" s="638"/>
      <c r="AW302" s="638"/>
      <c r="AX302" s="638"/>
      <c r="AY302" s="484"/>
      <c r="AZ302" s="484"/>
      <c r="BA302" s="671"/>
      <c r="BB302" s="449"/>
      <c r="BC302" s="169"/>
      <c r="BD302" s="1330"/>
      <c r="BE302" s="1330"/>
      <c r="BF302" s="1330"/>
      <c r="BG302" s="1330"/>
    </row>
    <row r="303" spans="1:59" ht="15.75" customHeight="1">
      <c r="A303" s="449"/>
      <c r="B303" s="485" t="s">
        <v>2283</v>
      </c>
      <c r="C303" s="446">
        <f>+$C$301+$G$302</f>
        <v>91967.999999999985</v>
      </c>
      <c r="D303" s="638"/>
      <c r="E303" s="638"/>
      <c r="F303" s="447">
        <v>0</v>
      </c>
      <c r="G303" s="484"/>
      <c r="H303" s="1239"/>
      <c r="I303" s="448"/>
      <c r="J303" s="446"/>
      <c r="K303" s="638"/>
      <c r="L303" s="638"/>
      <c r="M303" s="446"/>
      <c r="N303" s="1239" t="s">
        <v>2794</v>
      </c>
      <c r="O303" s="1239"/>
      <c r="P303" s="1239"/>
      <c r="Q303" s="638">
        <v>0</v>
      </c>
      <c r="R303" s="638">
        <v>0</v>
      </c>
      <c r="S303" s="484"/>
      <c r="T303" s="638">
        <v>-35</v>
      </c>
      <c r="U303" s="638"/>
      <c r="V303" s="638"/>
      <c r="W303" s="638">
        <v>1.4</v>
      </c>
      <c r="X303" s="638"/>
      <c r="Y303" s="638"/>
      <c r="Z303" s="638"/>
      <c r="AA303" s="638"/>
      <c r="AB303" s="638"/>
      <c r="AC303" s="1239" t="s">
        <v>4090</v>
      </c>
      <c r="AD303" s="638"/>
      <c r="AE303" s="638"/>
      <c r="AF303" s="638">
        <v>200</v>
      </c>
      <c r="AG303" s="446">
        <v>91968.1</v>
      </c>
      <c r="AH303" s="638">
        <v>1843</v>
      </c>
      <c r="AI303" s="638">
        <v>-5160</v>
      </c>
      <c r="AJ303" s="638"/>
      <c r="AK303" s="638" t="s">
        <v>139</v>
      </c>
      <c r="AL303" s="638"/>
      <c r="AM303" s="638"/>
      <c r="AN303" s="455">
        <v>5.5</v>
      </c>
      <c r="AO303" s="1239"/>
      <c r="AP303" s="1239"/>
      <c r="AQ303" s="484"/>
      <c r="AR303" s="484"/>
      <c r="AS303" s="484"/>
      <c r="AT303" s="484">
        <f>+ab($T$303,$T$301,$U$305,$G$302,-$G$304,-1*$F$303,1200)</f>
        <v>-13.998833969941382</v>
      </c>
      <c r="AU303" s="638"/>
      <c r="AV303" s="638"/>
      <c r="AW303" s="638"/>
      <c r="AX303" s="638"/>
      <c r="AY303" s="484"/>
      <c r="AZ303" s="484"/>
      <c r="BA303" s="671"/>
      <c r="BB303" s="449"/>
      <c r="BC303" s="169"/>
      <c r="BD303" s="1371"/>
      <c r="BE303" s="1371"/>
      <c r="BF303" s="1371"/>
      <c r="BG303" s="1371"/>
    </row>
    <row r="304" spans="1:59" ht="15.75" customHeight="1">
      <c r="A304" s="449"/>
      <c r="B304" s="445"/>
      <c r="C304" s="446"/>
      <c r="D304" s="638"/>
      <c r="E304" s="638"/>
      <c r="F304" s="447"/>
      <c r="G304" s="484">
        <v>43.5</v>
      </c>
      <c r="H304" s="1239"/>
      <c r="I304" s="448"/>
      <c r="J304" s="446"/>
      <c r="K304" s="638"/>
      <c r="L304" s="638"/>
      <c r="M304" s="446"/>
      <c r="N304" s="1239"/>
      <c r="O304" s="1239"/>
      <c r="P304" s="1239"/>
      <c r="Q304" s="638"/>
      <c r="R304" s="638"/>
      <c r="S304" s="484">
        <f t="shared" ref="S304" si="148">AG305-AG303</f>
        <v>43.409999999988941</v>
      </c>
      <c r="T304" s="638"/>
      <c r="U304" s="638"/>
      <c r="V304" s="638"/>
      <c r="W304" s="638"/>
      <c r="X304" s="638"/>
      <c r="Y304" s="638"/>
      <c r="Z304" s="638"/>
      <c r="AA304" s="638"/>
      <c r="AB304" s="638"/>
      <c r="AC304" s="638"/>
      <c r="AD304" s="638"/>
      <c r="AE304" s="638"/>
      <c r="AF304" s="638"/>
      <c r="AG304" s="446"/>
      <c r="AH304" s="638"/>
      <c r="AI304" s="638"/>
      <c r="AJ304" s="638"/>
      <c r="AK304" s="638"/>
      <c r="AL304" s="638"/>
      <c r="AM304" s="638"/>
      <c r="AN304" s="455"/>
      <c r="AO304" s="1239"/>
      <c r="AP304" s="1239"/>
      <c r="AQ304" s="484">
        <f>+FL_2(-$U$305,$T$303,$G$304,1200,9.28,-1*$F$305)</f>
        <v>-0.35043137247843476</v>
      </c>
      <c r="AR304" s="484"/>
      <c r="AS304" s="484"/>
      <c r="AT304" s="484"/>
      <c r="AU304" s="638"/>
      <c r="AV304" s="638"/>
      <c r="AW304" s="638"/>
      <c r="AX304" s="638"/>
      <c r="AY304" s="484"/>
      <c r="AZ304" s="484"/>
      <c r="BA304" s="671"/>
      <c r="BB304" s="449"/>
      <c r="BC304" s="169"/>
      <c r="BD304" s="1330"/>
      <c r="BE304" s="1330"/>
      <c r="BF304" s="1330"/>
      <c r="BG304" s="1330"/>
    </row>
    <row r="305" spans="1:59" ht="15.75" customHeight="1">
      <c r="A305" s="449"/>
      <c r="B305" s="485" t="s">
        <v>2284</v>
      </c>
      <c r="C305" s="446">
        <f>+$C$303+$G$304</f>
        <v>92011.499999999985</v>
      </c>
      <c r="D305" s="638"/>
      <c r="E305" s="638"/>
      <c r="F305" s="447">
        <v>20000</v>
      </c>
      <c r="G305" s="484"/>
      <c r="H305" s="1239" t="s">
        <v>619</v>
      </c>
      <c r="I305" s="448"/>
      <c r="J305" s="446"/>
      <c r="K305" s="638"/>
      <c r="L305" s="638"/>
      <c r="M305" s="446"/>
      <c r="N305" s="1239" t="s">
        <v>845</v>
      </c>
      <c r="O305" s="1239" t="s">
        <v>843</v>
      </c>
      <c r="P305" s="1239"/>
      <c r="Q305" s="638">
        <v>0</v>
      </c>
      <c r="R305" s="638">
        <v>-20000</v>
      </c>
      <c r="S305" s="484"/>
      <c r="T305" s="638">
        <v>15</v>
      </c>
      <c r="U305" s="638">
        <v>-30</v>
      </c>
      <c r="V305" s="638"/>
      <c r="W305" s="638">
        <v>1.4</v>
      </c>
      <c r="X305" s="638">
        <v>1.8</v>
      </c>
      <c r="Y305" s="638"/>
      <c r="Z305" s="638">
        <v>0.45</v>
      </c>
      <c r="AA305" s="638"/>
      <c r="AB305" s="638"/>
      <c r="AC305" s="638" t="s">
        <v>1419</v>
      </c>
      <c r="AD305" s="638"/>
      <c r="AE305" s="638"/>
      <c r="AF305" s="638">
        <v>200</v>
      </c>
      <c r="AG305" s="446">
        <v>92011.51</v>
      </c>
      <c r="AH305" s="638">
        <v>1863</v>
      </c>
      <c r="AI305" s="638">
        <v>-5460</v>
      </c>
      <c r="AJ305" s="638"/>
      <c r="AK305" s="638" t="s">
        <v>228</v>
      </c>
      <c r="AL305" s="638"/>
      <c r="AM305" s="638"/>
      <c r="AN305" s="455">
        <v>5.5</v>
      </c>
      <c r="AO305" s="1239"/>
      <c r="AP305" s="1239"/>
      <c r="AQ305" s="484"/>
      <c r="AR305" s="484"/>
      <c r="AS305" s="484"/>
      <c r="AT305" s="484">
        <f>+ab(-$U$305,$T$303,$U$307,$G$304,$G$306,-1*$F$305,1200)</f>
        <v>8.5149000350690311</v>
      </c>
      <c r="AU305" s="638"/>
      <c r="AV305" s="638"/>
      <c r="AW305" s="638"/>
      <c r="AX305" s="638"/>
      <c r="AY305" s="484"/>
      <c r="AZ305" s="484"/>
      <c r="BA305" s="671"/>
      <c r="BB305" s="449"/>
      <c r="BC305" s="169"/>
      <c r="BD305" s="1371"/>
      <c r="BE305" s="1371"/>
      <c r="BF305" s="1371"/>
      <c r="BG305" s="1371"/>
    </row>
    <row r="306" spans="1:59" ht="15.75" customHeight="1">
      <c r="A306" s="449"/>
      <c r="B306" s="445"/>
      <c r="C306" s="446"/>
      <c r="D306" s="638"/>
      <c r="E306" s="638"/>
      <c r="F306" s="447"/>
      <c r="G306" s="484">
        <v>46.5</v>
      </c>
      <c r="H306" s="1239"/>
      <c r="I306" s="448"/>
      <c r="J306" s="446"/>
      <c r="K306" s="638"/>
      <c r="L306" s="638"/>
      <c r="M306" s="446"/>
      <c r="N306" s="1239"/>
      <c r="O306" s="1239"/>
      <c r="P306" s="1239"/>
      <c r="Q306" s="638"/>
      <c r="R306" s="638"/>
      <c r="S306" s="484">
        <f t="shared" ref="S306" si="149">AG307-AG305</f>
        <v>46.5</v>
      </c>
      <c r="T306" s="638"/>
      <c r="U306" s="638"/>
      <c r="V306" s="638"/>
      <c r="W306" s="638"/>
      <c r="X306" s="638"/>
      <c r="Y306" s="638"/>
      <c r="Z306" s="638"/>
      <c r="AA306" s="638"/>
      <c r="AB306" s="638"/>
      <c r="AC306" s="638"/>
      <c r="AD306" s="638"/>
      <c r="AE306" s="638"/>
      <c r="AF306" s="638"/>
      <c r="AG306" s="446"/>
      <c r="AH306" s="638"/>
      <c r="AI306" s="638"/>
      <c r="AJ306" s="638"/>
      <c r="AK306" s="638"/>
      <c r="AL306" s="638"/>
      <c r="AM306" s="638"/>
      <c r="AN306" s="455"/>
      <c r="AO306" s="1239"/>
      <c r="AP306" s="1239"/>
      <c r="AQ306" s="484">
        <f>+FL_1($U$307,-$U$305,$G$306,1200,9.28,-1*$F$307)</f>
        <v>0.34456864412903215</v>
      </c>
      <c r="AR306" s="484"/>
      <c r="AS306" s="484"/>
      <c r="AT306" s="484"/>
      <c r="AU306" s="638"/>
      <c r="AV306" s="638"/>
      <c r="AW306" s="638"/>
      <c r="AX306" s="638"/>
      <c r="AY306" s="484"/>
      <c r="AZ306" s="484"/>
      <c r="BA306" s="671"/>
      <c r="BB306" s="449"/>
      <c r="BC306" s="169"/>
      <c r="BD306" s="1330"/>
      <c r="BE306" s="1330"/>
      <c r="BF306" s="1330"/>
      <c r="BG306" s="1330"/>
    </row>
    <row r="307" spans="1:59" ht="15.75" customHeight="1">
      <c r="A307" s="449" t="s">
        <v>2927</v>
      </c>
      <c r="B307" s="485" t="s">
        <v>2285</v>
      </c>
      <c r="C307" s="446">
        <f>+$C$305+$G$306</f>
        <v>92057.999999999985</v>
      </c>
      <c r="D307" s="638"/>
      <c r="E307" s="638"/>
      <c r="F307" s="447">
        <v>0</v>
      </c>
      <c r="G307" s="484"/>
      <c r="H307" s="1239" t="s">
        <v>619</v>
      </c>
      <c r="I307" s="448" t="s">
        <v>1429</v>
      </c>
      <c r="J307" s="446"/>
      <c r="K307" s="638"/>
      <c r="L307" s="638"/>
      <c r="M307" s="446"/>
      <c r="N307" s="638" t="s">
        <v>844</v>
      </c>
      <c r="O307" s="1239" t="s">
        <v>845</v>
      </c>
      <c r="P307" s="1239"/>
      <c r="Q307" s="638">
        <v>0</v>
      </c>
      <c r="R307" s="638">
        <v>0</v>
      </c>
      <c r="S307" s="484"/>
      <c r="T307" s="638">
        <v>30</v>
      </c>
      <c r="U307" s="638">
        <v>-15</v>
      </c>
      <c r="V307" s="638"/>
      <c r="W307" s="638">
        <v>1.4</v>
      </c>
      <c r="X307" s="638">
        <v>1.8</v>
      </c>
      <c r="Y307" s="638"/>
      <c r="Z307" s="638"/>
      <c r="AA307" s="638">
        <v>0.45</v>
      </c>
      <c r="AB307" s="638"/>
      <c r="AC307" s="1239" t="s">
        <v>1421</v>
      </c>
      <c r="AD307" s="638"/>
      <c r="AE307" s="638"/>
      <c r="AF307" s="638">
        <v>200</v>
      </c>
      <c r="AG307" s="446">
        <v>92058.01</v>
      </c>
      <c r="AH307" s="638">
        <v>1843</v>
      </c>
      <c r="AI307" s="638">
        <v>-5540</v>
      </c>
      <c r="AJ307" s="638" t="s">
        <v>2755</v>
      </c>
      <c r="AK307" s="638" t="s">
        <v>228</v>
      </c>
      <c r="AL307" s="638"/>
      <c r="AM307" s="638"/>
      <c r="AN307" s="455">
        <v>5.5</v>
      </c>
      <c r="AO307" s="1239"/>
      <c r="AP307" s="1239"/>
      <c r="AQ307" s="484"/>
      <c r="AR307" s="484"/>
      <c r="AS307" s="484"/>
      <c r="AT307" s="484">
        <f>+ab(-$T$307,$T$305,$T$309,$G$306,$G$308,-1*$F$307,1200)</f>
        <v>-7.584236172966242</v>
      </c>
      <c r="AU307" s="638"/>
      <c r="AV307" s="638"/>
      <c r="AW307" s="638"/>
      <c r="AX307" s="638"/>
      <c r="AY307" s="484"/>
      <c r="AZ307" s="484"/>
      <c r="BA307" s="671"/>
      <c r="BB307" s="449"/>
      <c r="BC307" s="169"/>
      <c r="BD307" s="1371"/>
      <c r="BE307" s="1371"/>
      <c r="BF307" s="1371"/>
      <c r="BG307" s="1371"/>
    </row>
    <row r="308" spans="1:59" ht="15.75" customHeight="1">
      <c r="A308" s="449"/>
      <c r="B308" s="445"/>
      <c r="C308" s="446"/>
      <c r="D308" s="638"/>
      <c r="E308" s="638"/>
      <c r="F308" s="447"/>
      <c r="G308" s="484">
        <v>42</v>
      </c>
      <c r="H308" s="1239"/>
      <c r="I308" s="448"/>
      <c r="J308" s="446"/>
      <c r="K308" s="638"/>
      <c r="L308" s="638"/>
      <c r="M308" s="446"/>
      <c r="N308" s="1239"/>
      <c r="O308" s="1239"/>
      <c r="P308" s="1239"/>
      <c r="Q308" s="638"/>
      <c r="R308" s="638"/>
      <c r="S308" s="484">
        <f t="shared" ref="S308" si="150">AG309-AG307</f>
        <v>41.990000000005239</v>
      </c>
      <c r="T308" s="638"/>
      <c r="U308" s="638"/>
      <c r="V308" s="638"/>
      <c r="W308" s="638"/>
      <c r="X308" s="638"/>
      <c r="Y308" s="638"/>
      <c r="Z308" s="638"/>
      <c r="AA308" s="638"/>
      <c r="AB308" s="638"/>
      <c r="AC308" s="638"/>
      <c r="AD308" s="638"/>
      <c r="AE308" s="638"/>
      <c r="AF308" s="638"/>
      <c r="AG308" s="446"/>
      <c r="AH308" s="638"/>
      <c r="AI308" s="638"/>
      <c r="AJ308" s="638"/>
      <c r="AK308" s="638"/>
      <c r="AL308" s="638"/>
      <c r="AM308" s="638"/>
      <c r="AN308" s="455"/>
      <c r="AO308" s="1239"/>
      <c r="AP308" s="1239"/>
      <c r="AQ308" s="484">
        <f>+FL_1($T$309,-$T$307,$G$308,1200,9.28,-1*$F$309)</f>
        <v>0.35037719942857143</v>
      </c>
      <c r="AR308" s="484"/>
      <c r="AS308" s="484"/>
      <c r="AT308" s="484"/>
      <c r="AU308" s="638"/>
      <c r="AV308" s="638"/>
      <c r="AW308" s="638"/>
      <c r="AX308" s="638"/>
      <c r="AY308" s="484"/>
      <c r="AZ308" s="484"/>
      <c r="BA308" s="671"/>
      <c r="BB308" s="449"/>
      <c r="BC308" s="169"/>
      <c r="BD308" s="1330"/>
      <c r="BE308" s="1330"/>
      <c r="BF308" s="1330"/>
      <c r="BG308" s="1330"/>
    </row>
    <row r="309" spans="1:59" ht="15.75" customHeight="1">
      <c r="A309" s="449"/>
      <c r="B309" s="485" t="s">
        <v>2286</v>
      </c>
      <c r="C309" s="446">
        <f>+$C$307+$G$308</f>
        <v>92099.999999999985</v>
      </c>
      <c r="D309" s="638"/>
      <c r="E309" s="638"/>
      <c r="F309" s="447">
        <v>0</v>
      </c>
      <c r="G309" s="484"/>
      <c r="H309" s="1239"/>
      <c r="I309" s="448"/>
      <c r="J309" s="446"/>
      <c r="K309" s="638"/>
      <c r="L309" s="638"/>
      <c r="M309" s="446"/>
      <c r="N309" s="1239" t="s">
        <v>844</v>
      </c>
      <c r="O309" s="1239"/>
      <c r="P309" s="1239"/>
      <c r="Q309" s="638">
        <v>10</v>
      </c>
      <c r="R309" s="638">
        <v>0</v>
      </c>
      <c r="S309" s="484"/>
      <c r="T309" s="638">
        <v>35</v>
      </c>
      <c r="U309" s="638"/>
      <c r="V309" s="638"/>
      <c r="W309" s="638">
        <v>1.4</v>
      </c>
      <c r="X309" s="638"/>
      <c r="Y309" s="638"/>
      <c r="Z309" s="638"/>
      <c r="AA309" s="638"/>
      <c r="AB309" s="638"/>
      <c r="AC309" s="1239" t="s">
        <v>4090</v>
      </c>
      <c r="AD309" s="638"/>
      <c r="AE309" s="638"/>
      <c r="AF309" s="638">
        <v>200</v>
      </c>
      <c r="AG309" s="446">
        <v>92100</v>
      </c>
      <c r="AH309" s="638">
        <v>1683</v>
      </c>
      <c r="AI309" s="638">
        <v>-5490</v>
      </c>
      <c r="AJ309" s="638"/>
      <c r="AK309" s="638" t="s">
        <v>139</v>
      </c>
      <c r="AL309" s="638"/>
      <c r="AM309" s="638"/>
      <c r="AN309" s="455">
        <v>5.5</v>
      </c>
      <c r="AO309" s="1239"/>
      <c r="AP309" s="1239"/>
      <c r="AQ309" s="484"/>
      <c r="AR309" s="484"/>
      <c r="AS309" s="484"/>
      <c r="AT309" s="484">
        <f>+ab($T$309,-$T$307,$T$311,$G$308,$G$310,-1*$F$309,1200)</f>
        <v>5.3744150217043405</v>
      </c>
      <c r="AU309" s="638"/>
      <c r="AV309" s="638"/>
      <c r="AW309" s="638"/>
      <c r="AX309" s="638"/>
      <c r="AY309" s="484"/>
      <c r="AZ309" s="484"/>
      <c r="BA309" s="671"/>
      <c r="BB309" s="449"/>
      <c r="BC309" s="169"/>
      <c r="BD309" s="1371"/>
      <c r="BE309" s="1371"/>
      <c r="BF309" s="1371"/>
      <c r="BG309" s="1371"/>
    </row>
    <row r="310" spans="1:59" ht="15.75" customHeight="1">
      <c r="A310" s="449"/>
      <c r="B310" s="445"/>
      <c r="C310" s="446"/>
      <c r="D310" s="638"/>
      <c r="E310" s="638"/>
      <c r="F310" s="447"/>
      <c r="G310" s="484">
        <v>32.299999999999997</v>
      </c>
      <c r="H310" s="1239"/>
      <c r="I310" s="448"/>
      <c r="J310" s="446"/>
      <c r="K310" s="638"/>
      <c r="L310" s="638"/>
      <c r="M310" s="446"/>
      <c r="N310" s="1239"/>
      <c r="O310" s="1239"/>
      <c r="P310" s="1239"/>
      <c r="Q310" s="638"/>
      <c r="R310" s="638"/>
      <c r="S310" s="484">
        <f t="shared" ref="S310" si="151">AG311-AG309</f>
        <v>30.600000000005821</v>
      </c>
      <c r="T310" s="638"/>
      <c r="U310" s="638"/>
      <c r="V310" s="638"/>
      <c r="W310" s="638"/>
      <c r="X310" s="638"/>
      <c r="Y310" s="638"/>
      <c r="Z310" s="638"/>
      <c r="AA310" s="638"/>
      <c r="AB310" s="638"/>
      <c r="AC310" s="638"/>
      <c r="AD310" s="638"/>
      <c r="AE310" s="638"/>
      <c r="AF310" s="638"/>
      <c r="AG310" s="1348"/>
      <c r="AH310" s="638"/>
      <c r="AI310" s="638"/>
      <c r="AJ310" s="638"/>
      <c r="AK310" s="638"/>
      <c r="AL310" s="638"/>
      <c r="AM310" s="638"/>
      <c r="AN310" s="455"/>
      <c r="AO310" s="1239"/>
      <c r="AP310" s="1239"/>
      <c r="AQ310" s="484">
        <f>+FL_1($T$311,$T$309,$G$310,1200,9.28,-1*$F$311)</f>
        <v>0.35000000000001624</v>
      </c>
      <c r="AR310" s="484"/>
      <c r="AS310" s="484"/>
      <c r="AT310" s="484"/>
      <c r="AU310" s="638"/>
      <c r="AV310" s="638"/>
      <c r="AW310" s="638"/>
      <c r="AX310" s="638"/>
      <c r="AY310" s="484"/>
      <c r="AZ310" s="484"/>
      <c r="BA310" s="671"/>
      <c r="BB310" s="449"/>
      <c r="BC310" s="169"/>
      <c r="BD310" s="1330"/>
      <c r="BE310" s="1330"/>
      <c r="BF310" s="1330"/>
      <c r="BG310" s="1330"/>
    </row>
    <row r="311" spans="1:59" ht="15.75" customHeight="1">
      <c r="A311" s="449"/>
      <c r="B311" s="485" t="s">
        <v>2287</v>
      </c>
      <c r="C311" s="446">
        <f>+$C$309+$G$310</f>
        <v>92132.299999999988</v>
      </c>
      <c r="D311" s="638"/>
      <c r="E311" s="638"/>
      <c r="F311" s="447">
        <v>18000</v>
      </c>
      <c r="G311" s="484"/>
      <c r="H311" s="1239"/>
      <c r="I311" s="448"/>
      <c r="J311" s="446"/>
      <c r="K311" s="638"/>
      <c r="L311" s="638"/>
      <c r="M311" s="446"/>
      <c r="N311" s="1239" t="s">
        <v>2794</v>
      </c>
      <c r="O311" s="638"/>
      <c r="P311" s="1239"/>
      <c r="Q311" s="638">
        <v>0</v>
      </c>
      <c r="R311" s="638">
        <v>18000</v>
      </c>
      <c r="S311" s="484"/>
      <c r="T311" s="638">
        <v>-30</v>
      </c>
      <c r="U311" s="638"/>
      <c r="V311" s="638"/>
      <c r="W311" s="638">
        <v>1.4</v>
      </c>
      <c r="X311" s="638"/>
      <c r="Y311" s="638"/>
      <c r="Z311" s="638"/>
      <c r="AA311" s="638"/>
      <c r="AB311" s="638"/>
      <c r="AC311" s="1239" t="s">
        <v>3050</v>
      </c>
      <c r="AD311" s="638"/>
      <c r="AE311" s="638"/>
      <c r="AF311" s="638">
        <v>200</v>
      </c>
      <c r="AG311" s="1386">
        <v>92130.6</v>
      </c>
      <c r="AH311" s="638">
        <v>1733</v>
      </c>
      <c r="AI311" s="638">
        <v>-5500</v>
      </c>
      <c r="AJ311" s="638"/>
      <c r="AK311" s="638" t="s">
        <v>139</v>
      </c>
      <c r="AL311" s="638"/>
      <c r="AM311" s="638"/>
      <c r="AN311" s="455">
        <v>5.5</v>
      </c>
      <c r="AO311" s="1239"/>
      <c r="AP311" s="1239"/>
      <c r="AQ311" s="484"/>
      <c r="AR311" s="484"/>
      <c r="AS311" s="484"/>
      <c r="AT311" s="484">
        <f>+ab($T$311,$T$309,$T$313,$G$310,$G$312,-1*$F$311,1200)</f>
        <v>-4.8484726460978997</v>
      </c>
      <c r="AU311" s="638"/>
      <c r="AV311" s="638"/>
      <c r="AW311" s="638"/>
      <c r="AX311" s="638"/>
      <c r="AY311" s="484"/>
      <c r="AZ311" s="484"/>
      <c r="BA311" s="671"/>
      <c r="BB311" s="449"/>
      <c r="BC311" s="169"/>
      <c r="BD311" s="1371"/>
      <c r="BE311" s="1371"/>
      <c r="BF311" s="1371"/>
      <c r="BG311" s="1371"/>
    </row>
    <row r="312" spans="1:59" ht="15.75" customHeight="1">
      <c r="A312" s="449"/>
      <c r="B312" s="445"/>
      <c r="C312" s="446"/>
      <c r="D312" s="170"/>
      <c r="E312" s="170"/>
      <c r="F312" s="447"/>
      <c r="G312" s="484">
        <v>37.299999999999997</v>
      </c>
      <c r="H312" s="1239"/>
      <c r="I312" s="448"/>
      <c r="J312" s="446"/>
      <c r="K312" s="638"/>
      <c r="L312" s="638"/>
      <c r="M312" s="446"/>
      <c r="N312" s="1239"/>
      <c r="O312" s="1239"/>
      <c r="P312" s="1239"/>
      <c r="Q312" s="638"/>
      <c r="R312" s="638"/>
      <c r="S312" s="484">
        <f t="shared" ref="S312" si="152">AG313-AG311</f>
        <v>38.939999999987776</v>
      </c>
      <c r="T312" s="638"/>
      <c r="U312" s="638"/>
      <c r="V312" s="638"/>
      <c r="W312" s="638"/>
      <c r="X312" s="638"/>
      <c r="Y312" s="638"/>
      <c r="Z312" s="638"/>
      <c r="AA312" s="638"/>
      <c r="AB312" s="638"/>
      <c r="AC312" s="638"/>
      <c r="AD312" s="638"/>
      <c r="AE312" s="638"/>
      <c r="AF312" s="638"/>
      <c r="AG312" s="1348"/>
      <c r="AH312" s="638"/>
      <c r="AI312" s="638"/>
      <c r="AJ312" s="638"/>
      <c r="AK312" s="638"/>
      <c r="AL312" s="638"/>
      <c r="AM312" s="638"/>
      <c r="AN312" s="455"/>
      <c r="AO312" s="1239"/>
      <c r="AP312" s="1239"/>
      <c r="AQ312" s="484">
        <f>+FL_1($T$313,$T$311,$G$312,1200,9.28,-1*$F$313)</f>
        <v>0.35</v>
      </c>
      <c r="AR312" s="484"/>
      <c r="AS312" s="484"/>
      <c r="AT312" s="484"/>
      <c r="AU312" s="638"/>
      <c r="AV312" s="638"/>
      <c r="AW312" s="638"/>
      <c r="AX312" s="638"/>
      <c r="AY312" s="484"/>
      <c r="AZ312" s="484"/>
      <c r="BA312" s="671"/>
      <c r="BB312" s="449"/>
      <c r="BC312" s="169"/>
      <c r="BD312" s="1330"/>
      <c r="BE312" s="1330"/>
      <c r="BF312" s="1330"/>
      <c r="BG312" s="1330"/>
    </row>
    <row r="313" spans="1:59" ht="15.75" customHeight="1">
      <c r="A313" s="449"/>
      <c r="B313" s="485" t="s">
        <v>2342</v>
      </c>
      <c r="C313" s="446">
        <f>+$C$311+$G$312</f>
        <v>92169.599999999991</v>
      </c>
      <c r="D313" s="170"/>
      <c r="E313" s="170"/>
      <c r="F313" s="447">
        <v>18000</v>
      </c>
      <c r="G313" s="484"/>
      <c r="H313" s="1239"/>
      <c r="I313" s="448"/>
      <c r="J313" s="446"/>
      <c r="K313" s="638"/>
      <c r="L313" s="638"/>
      <c r="M313" s="446"/>
      <c r="N313" s="1239" t="s">
        <v>844</v>
      </c>
      <c r="O313" s="1239"/>
      <c r="P313" s="1239"/>
      <c r="Q313" s="638">
        <v>10</v>
      </c>
      <c r="R313" s="638">
        <v>18000</v>
      </c>
      <c r="S313" s="484"/>
      <c r="T313" s="638">
        <v>35</v>
      </c>
      <c r="U313" s="638"/>
      <c r="V313" s="638"/>
      <c r="W313" s="638">
        <v>1.4</v>
      </c>
      <c r="X313" s="638"/>
      <c r="Y313" s="638"/>
      <c r="Z313" s="638"/>
      <c r="AA313" s="638"/>
      <c r="AB313" s="638"/>
      <c r="AC313" s="1239" t="s">
        <v>4090</v>
      </c>
      <c r="AD313" s="638"/>
      <c r="AE313" s="638"/>
      <c r="AF313" s="638">
        <v>200</v>
      </c>
      <c r="AG313" s="1386">
        <v>92169.54</v>
      </c>
      <c r="AH313" s="638">
        <v>1763</v>
      </c>
      <c r="AI313" s="638">
        <v>-5430</v>
      </c>
      <c r="AJ313" s="638"/>
      <c r="AK313" s="638" t="s">
        <v>139</v>
      </c>
      <c r="AL313" s="638"/>
      <c r="AM313" s="638"/>
      <c r="AN313" s="455">
        <v>5.5</v>
      </c>
      <c r="AO313" s="1239"/>
      <c r="AP313" s="1239"/>
      <c r="AQ313" s="484"/>
      <c r="AR313" s="484"/>
      <c r="AS313" s="484"/>
      <c r="AT313" s="484">
        <f>+ab($T$313,$T$311,$T$315,$G$312,$G$314,-1*$F$313,1200)</f>
        <v>5.3378227168862979</v>
      </c>
      <c r="AU313" s="638"/>
      <c r="AV313" s="638"/>
      <c r="AW313" s="638"/>
      <c r="AX313" s="638"/>
      <c r="AY313" s="484"/>
      <c r="AZ313" s="484"/>
      <c r="BA313" s="671"/>
      <c r="BB313" s="449"/>
      <c r="BC313" s="169"/>
      <c r="BD313" s="1371"/>
      <c r="BE313" s="1371"/>
      <c r="BF313" s="1371"/>
      <c r="BG313" s="1371"/>
    </row>
    <row r="314" spans="1:59" ht="15.75" customHeight="1">
      <c r="A314" s="449"/>
      <c r="B314" s="445"/>
      <c r="C314" s="446"/>
      <c r="D314" s="638"/>
      <c r="E314" s="638"/>
      <c r="F314" s="447"/>
      <c r="G314" s="484">
        <v>34.299999999999997</v>
      </c>
      <c r="H314" s="1239"/>
      <c r="I314" s="448"/>
      <c r="J314" s="446"/>
      <c r="K314" s="638"/>
      <c r="L314" s="638"/>
      <c r="M314" s="446"/>
      <c r="N314" s="1239"/>
      <c r="O314" s="1239"/>
      <c r="P314" s="1239"/>
      <c r="Q314" s="638"/>
      <c r="R314" s="638"/>
      <c r="S314" s="484">
        <f t="shared" ref="S314" si="153">AG315-AG313</f>
        <v>34.280000000013388</v>
      </c>
      <c r="T314" s="638"/>
      <c r="U314" s="638"/>
      <c r="V314" s="638"/>
      <c r="W314" s="638"/>
      <c r="X314" s="638"/>
      <c r="Y314" s="638"/>
      <c r="Z314" s="638"/>
      <c r="AA314" s="638"/>
      <c r="AB314" s="638"/>
      <c r="AC314" s="638"/>
      <c r="AD314" s="638"/>
      <c r="AE314" s="638"/>
      <c r="AF314" s="638"/>
      <c r="AG314" s="1348"/>
      <c r="AH314" s="638"/>
      <c r="AI314" s="638"/>
      <c r="AJ314" s="638"/>
      <c r="AK314" s="638"/>
      <c r="AL314" s="638"/>
      <c r="AM314" s="638"/>
      <c r="AN314" s="455"/>
      <c r="AO314" s="1239"/>
      <c r="AP314" s="1239"/>
      <c r="AQ314" s="484">
        <f>+FL_1($T$315,$T$313,$G$314,1200,9.28,-1*$F$315)</f>
        <v>0.35000000000001247</v>
      </c>
      <c r="AR314" s="484"/>
      <c r="AS314" s="484"/>
      <c r="AT314" s="484"/>
      <c r="AU314" s="638"/>
      <c r="AV314" s="638"/>
      <c r="AW314" s="638"/>
      <c r="AX314" s="638"/>
      <c r="AY314" s="484"/>
      <c r="AZ314" s="484"/>
      <c r="BA314" s="671"/>
      <c r="BB314" s="449"/>
      <c r="BC314" s="169"/>
      <c r="BD314" s="1330"/>
      <c r="BE314" s="1330"/>
      <c r="BF314" s="1330"/>
      <c r="BG314" s="1330"/>
    </row>
    <row r="315" spans="1:59" ht="15.75" customHeight="1">
      <c r="A315" s="449"/>
      <c r="B315" s="485" t="s">
        <v>2343</v>
      </c>
      <c r="C315" s="446">
        <f>+$C$313+$G$314</f>
        <v>92203.9</v>
      </c>
      <c r="D315" s="638"/>
      <c r="E315" s="638"/>
      <c r="F315" s="447">
        <v>0</v>
      </c>
      <c r="G315" s="484"/>
      <c r="H315" s="1239"/>
      <c r="I315" s="448"/>
      <c r="J315" s="446"/>
      <c r="K315" s="638"/>
      <c r="L315" s="638"/>
      <c r="M315" s="446"/>
      <c r="N315" s="1239" t="s">
        <v>2794</v>
      </c>
      <c r="O315" s="1239"/>
      <c r="P315" s="1239"/>
      <c r="Q315" s="638">
        <v>0</v>
      </c>
      <c r="R315" s="638">
        <v>0</v>
      </c>
      <c r="S315" s="484"/>
      <c r="T315" s="638">
        <v>-35</v>
      </c>
      <c r="U315" s="638"/>
      <c r="V315" s="638"/>
      <c r="W315" s="638">
        <v>1.4</v>
      </c>
      <c r="X315" s="638"/>
      <c r="Y315" s="638"/>
      <c r="Z315" s="638"/>
      <c r="AA315" s="638"/>
      <c r="AB315" s="638"/>
      <c r="AC315" s="1239" t="s">
        <v>3050</v>
      </c>
      <c r="AD315" s="638"/>
      <c r="AE315" s="638"/>
      <c r="AF315" s="638">
        <v>100</v>
      </c>
      <c r="AG315" s="1386">
        <v>92203.82</v>
      </c>
      <c r="AH315" s="638">
        <v>1643</v>
      </c>
      <c r="AI315" s="638">
        <v>-5530</v>
      </c>
      <c r="AJ315" s="638"/>
      <c r="AK315" s="638" t="s">
        <v>139</v>
      </c>
      <c r="AL315" s="638"/>
      <c r="AM315" s="638"/>
      <c r="AN315" s="455">
        <v>5.5</v>
      </c>
      <c r="AO315" s="1239"/>
      <c r="AP315" s="1239"/>
      <c r="AQ315" s="484"/>
      <c r="AR315" s="484"/>
      <c r="AS315" s="484"/>
      <c r="AT315" s="484">
        <f>+ab($T$315,$T$313,$T$317,$G$314,$G$316,-1*$F$315,1200)</f>
        <v>-3.8648975546720337</v>
      </c>
      <c r="AU315" s="638"/>
      <c r="AV315" s="638"/>
      <c r="AW315" s="638"/>
      <c r="AX315" s="638"/>
      <c r="AY315" s="484"/>
      <c r="AZ315" s="484"/>
      <c r="BA315" s="671"/>
      <c r="BB315" s="449"/>
      <c r="BC315" s="169"/>
      <c r="BD315" s="1371"/>
      <c r="BE315" s="1371"/>
      <c r="BF315" s="1371"/>
      <c r="BG315" s="1371"/>
    </row>
    <row r="316" spans="1:59" ht="15.75" customHeight="1">
      <c r="A316" s="449"/>
      <c r="B316" s="485"/>
      <c r="C316" s="446"/>
      <c r="D316" s="638"/>
      <c r="E316" s="638"/>
      <c r="F316" s="447"/>
      <c r="G316" s="484">
        <v>24</v>
      </c>
      <c r="H316" s="1239"/>
      <c r="I316" s="448"/>
      <c r="J316" s="446"/>
      <c r="K316" s="638"/>
      <c r="L316" s="638"/>
      <c r="M316" s="446"/>
      <c r="N316" s="1239"/>
      <c r="O316" s="1239"/>
      <c r="P316" s="1239"/>
      <c r="Q316" s="638"/>
      <c r="R316" s="638"/>
      <c r="S316" s="484">
        <f t="shared" ref="S316" si="154">AG317-AG315</f>
        <v>24.059999999997672</v>
      </c>
      <c r="T316" s="638"/>
      <c r="U316" s="638"/>
      <c r="V316" s="638"/>
      <c r="W316" s="638"/>
      <c r="X316" s="638"/>
      <c r="Y316" s="638"/>
      <c r="Z316" s="638"/>
      <c r="AA316" s="638"/>
      <c r="AB316" s="638"/>
      <c r="AC316" s="638"/>
      <c r="AD316" s="638"/>
      <c r="AE316" s="638"/>
      <c r="AF316" s="638"/>
      <c r="AG316" s="1348"/>
      <c r="AH316" s="638"/>
      <c r="AI316" s="638"/>
      <c r="AJ316" s="638"/>
      <c r="AK316" s="638"/>
      <c r="AL316" s="638"/>
      <c r="AM316" s="638"/>
      <c r="AN316" s="455"/>
      <c r="AO316" s="1239"/>
      <c r="AP316" s="1239"/>
      <c r="AQ316" s="484">
        <f>+FL_2($T$317,$T$315,$G$316,1200,9.28,-1*$F$317)</f>
        <v>-0.35000000000001891</v>
      </c>
      <c r="AR316" s="484"/>
      <c r="AS316" s="484"/>
      <c r="AT316" s="484"/>
      <c r="AU316" s="638"/>
      <c r="AV316" s="638"/>
      <c r="AW316" s="638"/>
      <c r="AX316" s="638"/>
      <c r="AY316" s="484"/>
      <c r="AZ316" s="484"/>
      <c r="BA316" s="671"/>
      <c r="BB316" s="449"/>
      <c r="BC316" s="169"/>
      <c r="BD316" s="1330"/>
      <c r="BE316" s="1330"/>
      <c r="BF316" s="1330"/>
      <c r="BG316" s="1330"/>
    </row>
    <row r="317" spans="1:59" ht="15.75" customHeight="1">
      <c r="A317" s="449"/>
      <c r="B317" s="485" t="s">
        <v>2344</v>
      </c>
      <c r="C317" s="446">
        <f>+$C$315+$G$316</f>
        <v>92227.9</v>
      </c>
      <c r="D317" s="638"/>
      <c r="E317" s="638"/>
      <c r="F317" s="447">
        <v>0</v>
      </c>
      <c r="G317" s="484"/>
      <c r="H317" s="1239"/>
      <c r="I317" s="448"/>
      <c r="J317" s="446"/>
      <c r="K317" s="638"/>
      <c r="L317" s="638"/>
      <c r="M317" s="446"/>
      <c r="N317" s="1239" t="s">
        <v>844</v>
      </c>
      <c r="O317" s="1239"/>
      <c r="P317" s="1239"/>
      <c r="Q317" s="638">
        <v>0</v>
      </c>
      <c r="R317" s="638">
        <v>0</v>
      </c>
      <c r="S317" s="484"/>
      <c r="T317" s="638">
        <v>35</v>
      </c>
      <c r="U317" s="638"/>
      <c r="V317" s="638"/>
      <c r="W317" s="638">
        <v>1.4</v>
      </c>
      <c r="X317" s="638"/>
      <c r="Y317" s="638"/>
      <c r="Z317" s="638"/>
      <c r="AA317" s="638"/>
      <c r="AB317" s="638"/>
      <c r="AC317" s="1239" t="s">
        <v>3050</v>
      </c>
      <c r="AD317" s="638"/>
      <c r="AE317" s="638"/>
      <c r="AF317" s="638">
        <v>200</v>
      </c>
      <c r="AG317" s="1386">
        <v>92227.88</v>
      </c>
      <c r="AH317" s="638">
        <v>1993</v>
      </c>
      <c r="AI317" s="638">
        <v>-5460</v>
      </c>
      <c r="AJ317" s="638"/>
      <c r="AK317" s="638" t="s">
        <v>139</v>
      </c>
      <c r="AL317" s="638"/>
      <c r="AM317" s="638"/>
      <c r="AN317" s="455">
        <v>5.5</v>
      </c>
      <c r="AO317" s="1239"/>
      <c r="AP317" s="1239"/>
      <c r="AQ317" s="484"/>
      <c r="AR317" s="484"/>
      <c r="AS317" s="484"/>
      <c r="AT317" s="484">
        <f>+ab($T$317,$T$315,$T$319,$G$316,$G$318,-1*$F$317,1200)</f>
        <v>3.7541460733112708</v>
      </c>
      <c r="AU317" s="638"/>
      <c r="AV317" s="638"/>
      <c r="AW317" s="638"/>
      <c r="AX317" s="638"/>
      <c r="AY317" s="484"/>
      <c r="AZ317" s="484"/>
      <c r="BA317" s="671"/>
      <c r="BB317" s="449"/>
      <c r="BC317" s="169"/>
      <c r="BD317" s="1371"/>
      <c r="BE317" s="1371"/>
      <c r="BF317" s="1371"/>
      <c r="BG317" s="1371"/>
    </row>
    <row r="318" spans="1:59" ht="15.75" customHeight="1">
      <c r="A318" s="449"/>
      <c r="B318" s="485"/>
      <c r="C318" s="446"/>
      <c r="D318" s="638"/>
      <c r="E318" s="638"/>
      <c r="F318" s="447"/>
      <c r="G318" s="484">
        <v>32</v>
      </c>
      <c r="H318" s="1239"/>
      <c r="I318" s="448"/>
      <c r="J318" s="446"/>
      <c r="K318" s="638"/>
      <c r="L318" s="638"/>
      <c r="M318" s="446"/>
      <c r="N318" s="1239"/>
      <c r="O318" s="1239"/>
      <c r="P318" s="1239"/>
      <c r="Q318" s="638"/>
      <c r="R318" s="638"/>
      <c r="S318" s="484">
        <f t="shared" ref="S318" si="155">AG319-AG317</f>
        <v>32.080000000001746</v>
      </c>
      <c r="T318" s="638"/>
      <c r="U318" s="638"/>
      <c r="V318" s="638"/>
      <c r="W318" s="638"/>
      <c r="X318" s="638"/>
      <c r="Y318" s="638"/>
      <c r="Z318" s="638"/>
      <c r="AA318" s="638"/>
      <c r="AB318" s="638"/>
      <c r="AC318" s="638"/>
      <c r="AD318" s="638"/>
      <c r="AE318" s="638"/>
      <c r="AF318" s="638"/>
      <c r="AG318" s="1348"/>
      <c r="AH318" s="638"/>
      <c r="AI318" s="638"/>
      <c r="AJ318" s="638"/>
      <c r="AK318" s="638"/>
      <c r="AL318" s="638"/>
      <c r="AM318" s="638"/>
      <c r="AN318" s="455"/>
      <c r="AO318" s="1239"/>
      <c r="AP318" s="1239"/>
      <c r="AQ318" s="484">
        <f>+FL_1($T$319,$T$317,$G$318,1200,9.28,-1*$F$319)</f>
        <v>0.35000000000002096</v>
      </c>
      <c r="AR318" s="484"/>
      <c r="AS318" s="484"/>
      <c r="AT318" s="484"/>
      <c r="AU318" s="638"/>
      <c r="AV318" s="638"/>
      <c r="AW318" s="638"/>
      <c r="AX318" s="638"/>
      <c r="AY318" s="484"/>
      <c r="AZ318" s="484"/>
      <c r="BA318" s="671"/>
      <c r="BB318" s="449"/>
      <c r="BC318" s="169"/>
      <c r="BD318" s="1330"/>
      <c r="BE318" s="1330"/>
      <c r="BF318" s="1330"/>
      <c r="BG318" s="1330"/>
    </row>
    <row r="319" spans="1:59" ht="15.75" customHeight="1">
      <c r="A319" s="424" t="s">
        <v>1663</v>
      </c>
      <c r="B319" s="713" t="s">
        <v>2345</v>
      </c>
      <c r="C319" s="426">
        <f>+$C$317+$G$318</f>
        <v>92259.9</v>
      </c>
      <c r="D319" s="487"/>
      <c r="E319" s="487"/>
      <c r="F319" s="427">
        <v>0</v>
      </c>
      <c r="G319" s="486"/>
      <c r="H319" s="428"/>
      <c r="I319" s="429"/>
      <c r="J319" s="426"/>
      <c r="K319" s="487"/>
      <c r="L319" s="487"/>
      <c r="M319" s="426"/>
      <c r="N319" s="428" t="s">
        <v>843</v>
      </c>
      <c r="O319" s="428"/>
      <c r="P319" s="428"/>
      <c r="Q319" s="487">
        <v>0</v>
      </c>
      <c r="R319" s="487">
        <v>0</v>
      </c>
      <c r="S319" s="486"/>
      <c r="T319" s="487">
        <v>-35</v>
      </c>
      <c r="U319" s="487"/>
      <c r="V319" s="487"/>
      <c r="W319" s="487">
        <v>1.4</v>
      </c>
      <c r="X319" s="487"/>
      <c r="Y319" s="487"/>
      <c r="Z319" s="487"/>
      <c r="AA319" s="487"/>
      <c r="AB319" s="487"/>
      <c r="AC319" s="428" t="s">
        <v>4115</v>
      </c>
      <c r="AD319" s="487"/>
      <c r="AE319" s="487"/>
      <c r="AF319" s="487">
        <v>200</v>
      </c>
      <c r="AG319" s="1348">
        <v>92259.96</v>
      </c>
      <c r="AH319" s="487">
        <v>1883</v>
      </c>
      <c r="AI319" s="487">
        <v>-5370</v>
      </c>
      <c r="AJ319" s="487"/>
      <c r="AK319" s="487" t="s">
        <v>139</v>
      </c>
      <c r="AL319" s="487"/>
      <c r="AM319" s="487"/>
      <c r="AN319" s="456">
        <v>5.5</v>
      </c>
      <c r="AO319" s="428"/>
      <c r="AP319" s="428"/>
      <c r="AQ319" s="486"/>
      <c r="AR319" s="486"/>
      <c r="AS319" s="486"/>
      <c r="AT319" s="486">
        <f>+ab($T$319,$T$317,$T$321,$G$318,$G$320,-1*$F$319,1200)</f>
        <v>-4.3570463172319043</v>
      </c>
      <c r="AU319" s="487"/>
      <c r="AV319" s="487"/>
      <c r="AW319" s="487"/>
      <c r="AX319" s="487"/>
      <c r="AY319" s="486"/>
      <c r="AZ319" s="486"/>
      <c r="BA319" s="672"/>
      <c r="BB319" s="424"/>
      <c r="BC319" s="169"/>
      <c r="BD319" s="1330"/>
      <c r="BE319" s="1329"/>
      <c r="BF319" s="1330"/>
      <c r="BG319" s="1329">
        <v>43893</v>
      </c>
    </row>
    <row r="320" spans="1:59" ht="15.75" customHeight="1">
      <c r="A320" s="449"/>
      <c r="B320" s="485"/>
      <c r="C320" s="446"/>
      <c r="D320" s="638"/>
      <c r="E320" s="638"/>
      <c r="F320" s="447"/>
      <c r="G320" s="484">
        <v>31.7</v>
      </c>
      <c r="H320" s="1239"/>
      <c r="I320" s="448"/>
      <c r="J320" s="446"/>
      <c r="K320" s="638"/>
      <c r="L320" s="638"/>
      <c r="M320" s="446"/>
      <c r="N320" s="1239"/>
      <c r="O320" s="1239"/>
      <c r="P320" s="1239"/>
      <c r="Q320" s="638"/>
      <c r="R320" s="638"/>
      <c r="S320" s="484">
        <f t="shared" ref="S320" si="156">AG321-AG319</f>
        <v>31.559999999997672</v>
      </c>
      <c r="T320" s="638"/>
      <c r="U320" s="638"/>
      <c r="V320" s="638"/>
      <c r="W320" s="638"/>
      <c r="X320" s="638"/>
      <c r="Y320" s="638"/>
      <c r="Z320" s="638"/>
      <c r="AA320" s="638"/>
      <c r="AB320" s="638"/>
      <c r="AC320" s="638"/>
      <c r="AD320" s="638"/>
      <c r="AE320" s="638"/>
      <c r="AF320" s="638"/>
      <c r="AG320" s="1348"/>
      <c r="AH320" s="638"/>
      <c r="AI320" s="638"/>
      <c r="AJ320" s="638"/>
      <c r="AK320" s="638"/>
      <c r="AL320" s="638"/>
      <c r="AM320" s="638"/>
      <c r="AN320" s="455"/>
      <c r="AO320" s="1239"/>
      <c r="AP320" s="1239"/>
      <c r="AQ320" s="484">
        <f>+FL_2($T$321,$T$319,$G$320,1200,9.28,-1*$F$321)</f>
        <v>-0.35000000000002113</v>
      </c>
      <c r="AR320" s="484"/>
      <c r="AS320" s="484"/>
      <c r="AT320" s="484"/>
      <c r="AU320" s="638"/>
      <c r="AV320" s="638"/>
      <c r="AW320" s="638"/>
      <c r="AX320" s="638"/>
      <c r="AY320" s="484"/>
      <c r="AZ320" s="484"/>
      <c r="BA320" s="671"/>
      <c r="BB320" s="449"/>
      <c r="BC320" s="169"/>
      <c r="BD320" s="1330"/>
      <c r="BE320" s="1330"/>
      <c r="BF320" s="1330"/>
      <c r="BG320" s="1330"/>
    </row>
    <row r="321" spans="1:59" ht="15.75" customHeight="1">
      <c r="A321" s="449"/>
      <c r="B321" s="485" t="s">
        <v>2346</v>
      </c>
      <c r="C321" s="446">
        <f>+$C$319+$G$320</f>
        <v>92291.599999999991</v>
      </c>
      <c r="D321" s="638"/>
      <c r="E321" s="638"/>
      <c r="F321" s="447">
        <v>0</v>
      </c>
      <c r="G321" s="484"/>
      <c r="H321" s="1239"/>
      <c r="I321" s="448"/>
      <c r="J321" s="446"/>
      <c r="K321" s="638"/>
      <c r="L321" s="638"/>
      <c r="M321" s="446"/>
      <c r="N321" s="1239" t="s">
        <v>844</v>
      </c>
      <c r="O321" s="1239"/>
      <c r="P321" s="1239"/>
      <c r="Q321" s="638">
        <v>0</v>
      </c>
      <c r="R321" s="638">
        <v>0</v>
      </c>
      <c r="S321" s="484"/>
      <c r="T321" s="638">
        <v>35</v>
      </c>
      <c r="U321" s="638"/>
      <c r="V321" s="638"/>
      <c r="W321" s="638">
        <v>1.4</v>
      </c>
      <c r="X321" s="638"/>
      <c r="Y321" s="638"/>
      <c r="Z321" s="638"/>
      <c r="AA321" s="638"/>
      <c r="AB321" s="638"/>
      <c r="AC321" s="638" t="s">
        <v>3050</v>
      </c>
      <c r="AD321" s="638"/>
      <c r="AE321" s="638"/>
      <c r="AF321" s="638">
        <v>200</v>
      </c>
      <c r="AG321" s="1386">
        <v>92291.520000000004</v>
      </c>
      <c r="AH321" s="638">
        <v>1783</v>
      </c>
      <c r="AI321" s="638">
        <v>-5440</v>
      </c>
      <c r="AJ321" s="638"/>
      <c r="AK321" s="638" t="s">
        <v>139</v>
      </c>
      <c r="AL321" s="638"/>
      <c r="AM321" s="638"/>
      <c r="AN321" s="484">
        <v>5.5</v>
      </c>
      <c r="AO321" s="638"/>
      <c r="AP321" s="638"/>
      <c r="AQ321" s="484"/>
      <c r="AR321" s="484"/>
      <c r="AS321" s="484"/>
      <c r="AT321" s="484">
        <f>+ab($T$321,$T$319,$T$323,$G$320,$G$322,-1*$F$321,1200)</f>
        <v>3.998576669324406</v>
      </c>
      <c r="AU321" s="638"/>
      <c r="AV321" s="638"/>
      <c r="AW321" s="638"/>
      <c r="AX321" s="638"/>
      <c r="AY321" s="484"/>
      <c r="AZ321" s="484"/>
      <c r="BA321" s="671"/>
      <c r="BB321" s="449"/>
      <c r="BC321" s="169"/>
      <c r="BD321" s="1330"/>
      <c r="BE321" s="1330"/>
      <c r="BF321" s="1330"/>
      <c r="BG321" s="1330"/>
    </row>
    <row r="322" spans="1:59" ht="15.75" customHeight="1">
      <c r="A322" s="449"/>
      <c r="B322" s="485"/>
      <c r="C322" s="446"/>
      <c r="D322" s="638"/>
      <c r="E322" s="638"/>
      <c r="F322" s="447"/>
      <c r="G322" s="484">
        <v>27.1</v>
      </c>
      <c r="H322" s="1239"/>
      <c r="I322" s="448"/>
      <c r="J322" s="446"/>
      <c r="K322" s="638"/>
      <c r="L322" s="638"/>
      <c r="M322" s="446"/>
      <c r="N322" s="1239"/>
      <c r="O322" s="1239"/>
      <c r="P322" s="1239"/>
      <c r="Q322" s="638"/>
      <c r="R322" s="638"/>
      <c r="S322" s="484">
        <f t="shared" ref="S322" si="157">AG323-AG321</f>
        <v>-92291.520000000004</v>
      </c>
      <c r="T322" s="638"/>
      <c r="U322" s="638"/>
      <c r="V322" s="638"/>
      <c r="W322" s="638"/>
      <c r="X322" s="638"/>
      <c r="Y322" s="638"/>
      <c r="Z322" s="638"/>
      <c r="AA322" s="638"/>
      <c r="AB322" s="638"/>
      <c r="AC322" s="638"/>
      <c r="AD322" s="638"/>
      <c r="AE322" s="638"/>
      <c r="AF322" s="638"/>
      <c r="AG322" s="1386"/>
      <c r="AH322" s="638"/>
      <c r="AI322" s="638"/>
      <c r="AJ322" s="638" t="s">
        <v>864</v>
      </c>
      <c r="AK322" s="638" t="s">
        <v>2762</v>
      </c>
      <c r="AL322" s="638"/>
      <c r="AM322" s="638"/>
      <c r="AN322" s="484"/>
      <c r="AO322" s="638"/>
      <c r="AP322" s="638"/>
      <c r="AQ322" s="484">
        <f>+FL_1($T$323,$T$321,$G$322,1200,9.28,-1*$F$323)</f>
        <v>0.3500000000000219</v>
      </c>
      <c r="AR322" s="484"/>
      <c r="AS322" s="484"/>
      <c r="AT322" s="484"/>
      <c r="AU322" s="638"/>
      <c r="AV322" s="638"/>
      <c r="AW322" s="638"/>
      <c r="AX322" s="638"/>
      <c r="AY322" s="484"/>
      <c r="AZ322" s="484"/>
      <c r="BA322" s="671"/>
      <c r="BB322" s="449"/>
      <c r="BC322" s="169"/>
      <c r="BD322" s="1371"/>
      <c r="BE322" s="1371"/>
      <c r="BF322" s="1371"/>
      <c r="BG322" s="1371"/>
    </row>
    <row r="323" spans="1:59" ht="15.75" customHeight="1">
      <c r="A323" s="449"/>
      <c r="B323" s="485" t="s">
        <v>2347</v>
      </c>
      <c r="C323" s="446">
        <f>+$C$321+$G$322</f>
        <v>92318.7</v>
      </c>
      <c r="D323" s="638"/>
      <c r="E323" s="638"/>
      <c r="F323" s="447">
        <v>0</v>
      </c>
      <c r="G323" s="484"/>
      <c r="H323" s="1239"/>
      <c r="I323" s="448"/>
      <c r="J323" s="446"/>
      <c r="K323" s="638"/>
      <c r="L323" s="638"/>
      <c r="M323" s="446"/>
      <c r="N323" s="1239" t="s">
        <v>2794</v>
      </c>
      <c r="O323" s="1239"/>
      <c r="P323" s="1239"/>
      <c r="Q323" s="638"/>
      <c r="R323" s="638"/>
      <c r="S323" s="484"/>
      <c r="T323" s="638">
        <v>-35</v>
      </c>
      <c r="U323" s="638"/>
      <c r="V323" s="638"/>
      <c r="W323" s="638">
        <v>1.4</v>
      </c>
      <c r="X323" s="638"/>
      <c r="Y323" s="638"/>
      <c r="Z323" s="638"/>
      <c r="AA323" s="638"/>
      <c r="AB323" s="638"/>
      <c r="AC323" s="638" t="s">
        <v>4126</v>
      </c>
      <c r="AD323" s="638"/>
      <c r="AE323" s="638"/>
      <c r="AF323" s="638">
        <v>100</v>
      </c>
      <c r="AG323" s="1386"/>
      <c r="AH323" s="638">
        <v>1500</v>
      </c>
      <c r="AI323" s="638">
        <v>-5300</v>
      </c>
      <c r="AJ323" s="638"/>
      <c r="AK323" s="638" t="s">
        <v>139</v>
      </c>
      <c r="AL323" s="638"/>
      <c r="AM323" s="638"/>
      <c r="AN323" s="484">
        <v>5.5</v>
      </c>
      <c r="AO323" s="638"/>
      <c r="AP323" s="638"/>
      <c r="AQ323" s="484"/>
      <c r="AR323" s="484"/>
      <c r="AS323" s="484"/>
      <c r="AT323" s="484">
        <f>+ab($T$323,$T$321,-$T$325,$G$322,$G$324,-1*$F$323,1200)</f>
        <v>-3.8462815067330585</v>
      </c>
      <c r="AU323" s="638"/>
      <c r="AV323" s="638"/>
      <c r="AW323" s="638"/>
      <c r="AX323" s="638"/>
      <c r="AY323" s="484"/>
      <c r="AZ323" s="484"/>
      <c r="BA323" s="671"/>
      <c r="BB323" s="449"/>
      <c r="BC323" s="169"/>
      <c r="BD323" s="1330"/>
      <c r="BE323" s="1330"/>
      <c r="BF323" s="1330"/>
      <c r="BG323" s="1330"/>
    </row>
    <row r="324" spans="1:59" ht="15.75" customHeight="1">
      <c r="A324" s="449"/>
      <c r="B324" s="485"/>
      <c r="C324" s="446"/>
      <c r="D324" s="638"/>
      <c r="E324" s="638"/>
      <c r="F324" s="447"/>
      <c r="G324" s="484">
        <v>27.1</v>
      </c>
      <c r="H324" s="1239"/>
      <c r="I324" s="448"/>
      <c r="J324" s="446"/>
      <c r="K324" s="638"/>
      <c r="L324" s="638"/>
      <c r="M324" s="446"/>
      <c r="N324" s="1239"/>
      <c r="O324" s="1239"/>
      <c r="P324" s="1239"/>
      <c r="Q324" s="638"/>
      <c r="R324" s="638"/>
      <c r="S324" s="484">
        <f t="shared" ref="S324" si="158">AG325-AG323</f>
        <v>92345</v>
      </c>
      <c r="T324" s="638"/>
      <c r="U324" s="638"/>
      <c r="V324" s="638"/>
      <c r="W324" s="638"/>
      <c r="X324" s="638"/>
      <c r="Y324" s="638"/>
      <c r="Z324" s="638"/>
      <c r="AA324" s="638"/>
      <c r="AB324" s="638"/>
      <c r="AC324" s="638"/>
      <c r="AD324" s="638"/>
      <c r="AE324" s="638"/>
      <c r="AF324" s="638"/>
      <c r="AG324" s="1386"/>
      <c r="AH324" s="638"/>
      <c r="AI324" s="638"/>
      <c r="AJ324" s="638"/>
      <c r="AK324" s="638"/>
      <c r="AL324" s="638"/>
      <c r="AM324" s="638"/>
      <c r="AN324" s="484"/>
      <c r="AO324" s="638"/>
      <c r="AP324" s="638"/>
      <c r="AQ324" s="484">
        <f>+FL_2($T$325,-$T$323,$G$324,1200,9.28, 1*$F$325)</f>
        <v>-0.3</v>
      </c>
      <c r="AR324" s="484"/>
      <c r="AS324" s="484"/>
      <c r="AT324" s="484"/>
      <c r="AU324" s="638"/>
      <c r="AV324" s="638"/>
      <c r="AW324" s="638"/>
      <c r="AX324" s="638"/>
      <c r="AY324" s="484"/>
      <c r="AZ324" s="484"/>
      <c r="BA324" s="671"/>
      <c r="BB324" s="449"/>
      <c r="BC324" s="169"/>
      <c r="BD324" s="1371"/>
      <c r="BE324" s="1371"/>
      <c r="BF324" s="1371"/>
      <c r="BG324" s="1371"/>
    </row>
    <row r="325" spans="1:59" ht="15.75" customHeight="1">
      <c r="A325" s="449"/>
      <c r="B325" s="485" t="s">
        <v>2348</v>
      </c>
      <c r="C325" s="446">
        <f>+$C$323+$G$324</f>
        <v>92345.8</v>
      </c>
      <c r="D325" s="638"/>
      <c r="E325" s="638"/>
      <c r="F325" s="447">
        <v>0</v>
      </c>
      <c r="G325" s="484"/>
      <c r="H325" s="1239" t="s">
        <v>2505</v>
      </c>
      <c r="I325" s="448"/>
      <c r="J325" s="446"/>
      <c r="K325" s="638"/>
      <c r="L325" s="638"/>
      <c r="M325" s="446"/>
      <c r="N325" s="1239" t="s">
        <v>843</v>
      </c>
      <c r="O325" s="1239" t="s">
        <v>844</v>
      </c>
      <c r="P325" s="1239"/>
      <c r="Q325" s="638">
        <v>0</v>
      </c>
      <c r="R325" s="638">
        <v>0</v>
      </c>
      <c r="S325" s="484"/>
      <c r="T325" s="638">
        <v>-30</v>
      </c>
      <c r="U325" s="638">
        <v>-15</v>
      </c>
      <c r="V325" s="638"/>
      <c r="W325" s="638">
        <v>1.8</v>
      </c>
      <c r="X325" s="638">
        <v>1.4</v>
      </c>
      <c r="Y325" s="638"/>
      <c r="Z325" s="638"/>
      <c r="AA325" s="638"/>
      <c r="AB325" s="638"/>
      <c r="AC325" s="638" t="s">
        <v>4122</v>
      </c>
      <c r="AD325" s="638" t="s">
        <v>4207</v>
      </c>
      <c r="AE325" s="638"/>
      <c r="AF325" s="638">
        <v>200</v>
      </c>
      <c r="AG325" s="1386">
        <v>92345</v>
      </c>
      <c r="AH325" s="638">
        <v>2203</v>
      </c>
      <c r="AI325" s="638">
        <v>-5580</v>
      </c>
      <c r="AJ325" s="638"/>
      <c r="AK325" s="638" t="s">
        <v>228</v>
      </c>
      <c r="AL325" s="638"/>
      <c r="AM325" s="638"/>
      <c r="AN325" s="484">
        <v>5.46</v>
      </c>
      <c r="AO325" s="638"/>
      <c r="AP325" s="638"/>
      <c r="AQ325" s="484"/>
      <c r="AR325" s="484"/>
      <c r="AS325" s="484"/>
      <c r="AT325" s="484">
        <f>+ab($T$325,-$T$323,$U$327,$G$324,$G$326, 1*$F$325,1200)</f>
        <v>-4.5054159111376793</v>
      </c>
      <c r="AU325" s="638"/>
      <c r="AV325" s="638"/>
      <c r="AW325" s="638"/>
      <c r="AX325" s="638"/>
      <c r="AY325" s="484"/>
      <c r="AZ325" s="484"/>
      <c r="BA325" s="671"/>
      <c r="BB325" s="449"/>
      <c r="BC325" s="169"/>
      <c r="BD325" s="1330"/>
      <c r="BE325" s="1330"/>
      <c r="BF325" s="1330"/>
      <c r="BG325" s="1330"/>
    </row>
    <row r="326" spans="1:59" ht="15.75" customHeight="1">
      <c r="A326" s="449"/>
      <c r="B326" s="485"/>
      <c r="C326" s="446"/>
      <c r="D326" s="638"/>
      <c r="E326" s="638"/>
      <c r="F326" s="447"/>
      <c r="G326" s="484">
        <v>27</v>
      </c>
      <c r="H326" s="1239"/>
      <c r="I326" s="448">
        <f>SUM(G302:G326)</f>
        <v>452.80000000000007</v>
      </c>
      <c r="J326" s="446"/>
      <c r="K326" s="638"/>
      <c r="L326" s="638"/>
      <c r="M326" s="446"/>
      <c r="N326" s="1239"/>
      <c r="O326" s="1239"/>
      <c r="P326" s="1239"/>
      <c r="Q326" s="638"/>
      <c r="R326" s="638"/>
      <c r="S326" s="484">
        <f t="shared" ref="S326" si="159">AG327-AG325</f>
        <v>27</v>
      </c>
      <c r="T326" s="638"/>
      <c r="U326" s="638"/>
      <c r="V326" s="638"/>
      <c r="W326" s="638"/>
      <c r="X326" s="638"/>
      <c r="Y326" s="638"/>
      <c r="Z326" s="638"/>
      <c r="AA326" s="638"/>
      <c r="AB326" s="638"/>
      <c r="AC326" s="638"/>
      <c r="AD326" s="638"/>
      <c r="AE326" s="638"/>
      <c r="AF326" s="638"/>
      <c r="AG326" s="1386"/>
      <c r="AH326" s="638"/>
      <c r="AI326" s="638"/>
      <c r="AJ326" s="638"/>
      <c r="AK326" s="638" t="s">
        <v>2760</v>
      </c>
      <c r="AL326" s="638"/>
      <c r="AM326" s="638"/>
      <c r="AN326" s="484"/>
      <c r="AO326" s="638"/>
      <c r="AP326" s="638"/>
      <c r="AQ326" s="484">
        <f>+FL_2($U$327,$T$325,$G$326,1200,9.28, 1*$F$327)</f>
        <v>-0.30000000000001142</v>
      </c>
      <c r="AR326" s="484"/>
      <c r="AS326" s="484"/>
      <c r="AT326" s="484"/>
      <c r="AU326" s="638"/>
      <c r="AV326" s="638"/>
      <c r="AW326" s="638"/>
      <c r="AX326" s="638"/>
      <c r="AY326" s="484"/>
      <c r="AZ326" s="484"/>
      <c r="BA326" s="671"/>
      <c r="BB326" s="449"/>
      <c r="BC326" s="169"/>
      <c r="BD326" s="1371"/>
      <c r="BE326" s="1371"/>
      <c r="BF326" s="1371"/>
      <c r="BG326" s="1371"/>
    </row>
    <row r="327" spans="1:59" ht="15.75" customHeight="1">
      <c r="A327" s="449"/>
      <c r="B327" s="485" t="s">
        <v>2349</v>
      </c>
      <c r="C327" s="446">
        <f>+$C$325+$G$326</f>
        <v>92372.800000000003</v>
      </c>
      <c r="D327" s="638"/>
      <c r="E327" s="638"/>
      <c r="F327" s="447">
        <v>0</v>
      </c>
      <c r="G327" s="484"/>
      <c r="H327" s="1239" t="s">
        <v>3325</v>
      </c>
      <c r="I327" s="448"/>
      <c r="J327" s="446"/>
      <c r="K327" s="638"/>
      <c r="L327" s="638"/>
      <c r="M327" s="446"/>
      <c r="N327" s="1239" t="s">
        <v>845</v>
      </c>
      <c r="O327" s="1239" t="s">
        <v>844</v>
      </c>
      <c r="P327" s="1239"/>
      <c r="Q327" s="638">
        <v>0</v>
      </c>
      <c r="R327" s="638">
        <v>0</v>
      </c>
      <c r="S327" s="484"/>
      <c r="T327" s="638">
        <v>15</v>
      </c>
      <c r="U327" s="638">
        <v>20</v>
      </c>
      <c r="V327" s="638"/>
      <c r="W327" s="638">
        <v>1.8</v>
      </c>
      <c r="X327" s="638">
        <v>1.4</v>
      </c>
      <c r="Y327" s="638"/>
      <c r="Z327" s="638">
        <v>0.25</v>
      </c>
      <c r="AA327" s="638"/>
      <c r="AB327" s="638"/>
      <c r="AC327" s="638" t="s">
        <v>1421</v>
      </c>
      <c r="AD327" s="638"/>
      <c r="AE327" s="638"/>
      <c r="AF327" s="638">
        <v>200</v>
      </c>
      <c r="AG327" s="1386">
        <v>92372</v>
      </c>
      <c r="AH327" s="638">
        <v>1753</v>
      </c>
      <c r="AI327" s="638">
        <v>-5630</v>
      </c>
      <c r="AJ327" s="638"/>
      <c r="AK327" s="638" t="s">
        <v>228</v>
      </c>
      <c r="AL327" s="638"/>
      <c r="AM327" s="638"/>
      <c r="AN327" s="484">
        <v>5.39</v>
      </c>
      <c r="AO327" s="638"/>
      <c r="AP327" s="638"/>
      <c r="AQ327" s="484"/>
      <c r="AR327" s="484"/>
      <c r="AS327" s="484"/>
      <c r="AT327" s="484">
        <f>+ab($U$327,$T$325,$U$329,$G$326,$G$328, 1*$F$327,1200)</f>
        <v>12.738602113026948</v>
      </c>
      <c r="AU327" s="638"/>
      <c r="AV327" s="638"/>
      <c r="AW327" s="638"/>
      <c r="AX327" s="638"/>
      <c r="AY327" s="484"/>
      <c r="AZ327" s="484"/>
      <c r="BA327" s="671"/>
      <c r="BB327" s="449"/>
      <c r="BC327" s="169"/>
      <c r="BD327" s="1330"/>
      <c r="BE327" s="1330"/>
      <c r="BF327" s="1330"/>
      <c r="BG327" s="1330"/>
    </row>
    <row r="328" spans="1:59" ht="15.75" customHeight="1">
      <c r="A328" s="449"/>
      <c r="B328" s="485"/>
      <c r="C328" s="446"/>
      <c r="D328" s="638"/>
      <c r="E328" s="638"/>
      <c r="F328" s="447"/>
      <c r="G328" s="484">
        <v>27</v>
      </c>
      <c r="H328" s="1239"/>
      <c r="I328" s="448">
        <f>SUM(G328:G352)</f>
        <v>502</v>
      </c>
      <c r="J328" s="446"/>
      <c r="K328" s="638"/>
      <c r="L328" s="638"/>
      <c r="M328" s="446"/>
      <c r="N328" s="1239"/>
      <c r="O328" s="1239"/>
      <c r="P328" s="1239"/>
      <c r="Q328" s="638"/>
      <c r="R328" s="638"/>
      <c r="S328" s="484">
        <f t="shared" ref="S328" si="160">AG329-AG327</f>
        <v>27.770000000004075</v>
      </c>
      <c r="T328" s="638"/>
      <c r="U328" s="638"/>
      <c r="V328" s="638"/>
      <c r="W328" s="638"/>
      <c r="X328" s="638"/>
      <c r="Y328" s="638"/>
      <c r="Z328" s="638"/>
      <c r="AA328" s="638"/>
      <c r="AB328" s="638"/>
      <c r="AC328" s="638"/>
      <c r="AD328" s="638"/>
      <c r="AE328" s="638"/>
      <c r="AF328" s="638"/>
      <c r="AG328" s="1386"/>
      <c r="AH328" s="638"/>
      <c r="AI328" s="638"/>
      <c r="AJ328" s="638"/>
      <c r="AK328" s="638" t="s">
        <v>2760</v>
      </c>
      <c r="AL328" s="638"/>
      <c r="AM328" s="638"/>
      <c r="AN328" s="484"/>
      <c r="AO328" s="638"/>
      <c r="AP328" s="638"/>
      <c r="AQ328" s="484">
        <f>+FL_1($U$329,$U$327,$G$328,1200,9.28, 1*$F$329)</f>
        <v>0.32933902207407412</v>
      </c>
      <c r="AR328" s="484"/>
      <c r="AS328" s="484"/>
      <c r="AT328" s="484"/>
      <c r="AU328" s="638"/>
      <c r="AV328" s="638"/>
      <c r="AW328" s="638"/>
      <c r="AX328" s="638"/>
      <c r="AY328" s="484"/>
      <c r="AZ328" s="484"/>
      <c r="BA328" s="671"/>
      <c r="BB328" s="449"/>
      <c r="BC328" s="169"/>
      <c r="BD328" s="1371"/>
      <c r="BE328" s="1371"/>
      <c r="BF328" s="1371"/>
      <c r="BG328" s="1371"/>
    </row>
    <row r="329" spans="1:59" ht="15.75" customHeight="1">
      <c r="A329" s="449"/>
      <c r="B329" s="485" t="s">
        <v>2350</v>
      </c>
      <c r="C329" s="446">
        <f>+$C$327+$G$328-0.25</f>
        <v>92399.55</v>
      </c>
      <c r="D329" s="638"/>
      <c r="E329" s="638"/>
      <c r="F329" s="447">
        <v>0</v>
      </c>
      <c r="G329" s="484"/>
      <c r="H329" s="1239" t="s">
        <v>2505</v>
      </c>
      <c r="I329" s="448"/>
      <c r="J329" s="446"/>
      <c r="K329" s="638"/>
      <c r="L329" s="638"/>
      <c r="M329" s="446"/>
      <c r="N329" s="1239" t="s">
        <v>2794</v>
      </c>
      <c r="O329" s="1239" t="s">
        <v>844</v>
      </c>
      <c r="P329" s="1239"/>
      <c r="Q329" s="638">
        <v>0</v>
      </c>
      <c r="R329" s="638">
        <v>0</v>
      </c>
      <c r="S329" s="484"/>
      <c r="T329" s="638">
        <v>15</v>
      </c>
      <c r="U329" s="638">
        <v>30</v>
      </c>
      <c r="V329" s="638"/>
      <c r="W329" s="638">
        <v>1.8</v>
      </c>
      <c r="X329" s="638">
        <v>1.4</v>
      </c>
      <c r="Y329" s="638"/>
      <c r="Z329" s="638"/>
      <c r="AA329" s="638"/>
      <c r="AB329" s="638"/>
      <c r="AC329" s="638" t="s">
        <v>4990</v>
      </c>
      <c r="AD329" s="638" t="s">
        <v>4124</v>
      </c>
      <c r="AE329" s="638"/>
      <c r="AF329" s="638">
        <v>200</v>
      </c>
      <c r="AG329" s="1386">
        <v>92399.77</v>
      </c>
      <c r="AH329" s="638">
        <v>1663</v>
      </c>
      <c r="AI329" s="638">
        <v>-5080</v>
      </c>
      <c r="AJ329" s="638"/>
      <c r="AK329" s="638" t="s">
        <v>228</v>
      </c>
      <c r="AL329" s="638"/>
      <c r="AM329" s="638"/>
      <c r="AN329" s="484">
        <v>5.32</v>
      </c>
      <c r="AO329" s="638"/>
      <c r="AP329" s="638"/>
      <c r="AQ329" s="484"/>
      <c r="AR329" s="484"/>
      <c r="AS329" s="484"/>
      <c r="AT329" s="484">
        <f>+ab($U$329,$U$327,$T$331,$G$328,$G$330, 1*$F$329,1200)</f>
        <v>6.7213682183064272</v>
      </c>
      <c r="AU329" s="638"/>
      <c r="AV329" s="638"/>
      <c r="AW329" s="638"/>
      <c r="AX329" s="638"/>
      <c r="AY329" s="484"/>
      <c r="AZ329" s="484"/>
      <c r="BA329" s="671"/>
      <c r="BB329" s="449"/>
      <c r="BC329" s="169"/>
      <c r="BD329" s="1330"/>
      <c r="BE329" s="1330"/>
      <c r="BF329" s="1330"/>
      <c r="BG329" s="1330"/>
    </row>
    <row r="330" spans="1:59" ht="15.75" customHeight="1">
      <c r="A330" s="449"/>
      <c r="B330" s="485"/>
      <c r="C330" s="446"/>
      <c r="D330" s="638"/>
      <c r="E330" s="638"/>
      <c r="F330" s="447"/>
      <c r="G330" s="484">
        <v>26.3</v>
      </c>
      <c r="H330" s="1239"/>
      <c r="I330" s="448"/>
      <c r="J330" s="446"/>
      <c r="K330" s="638"/>
      <c r="L330" s="638"/>
      <c r="M330" s="446"/>
      <c r="N330" s="1239"/>
      <c r="O330" s="1239"/>
      <c r="P330" s="1239"/>
      <c r="Q330" s="638"/>
      <c r="R330" s="638"/>
      <c r="S330" s="484">
        <f t="shared" ref="S330" si="161">AG331-AG329</f>
        <v>26.220000000001164</v>
      </c>
      <c r="T330" s="638"/>
      <c r="U330" s="638"/>
      <c r="V330" s="638"/>
      <c r="W330" s="638"/>
      <c r="X330" s="638"/>
      <c r="Y330" s="638"/>
      <c r="Z330" s="638"/>
      <c r="AA330" s="638"/>
      <c r="AB330" s="638"/>
      <c r="AC330" s="638"/>
      <c r="AD330" s="638"/>
      <c r="AE330" s="638"/>
      <c r="AF330" s="638"/>
      <c r="AG330" s="1386"/>
      <c r="AH330" s="638"/>
      <c r="AI330" s="638"/>
      <c r="AJ330" s="638"/>
      <c r="AK330" s="638"/>
      <c r="AL330" s="638"/>
      <c r="AM330" s="638"/>
      <c r="AN330" s="484"/>
      <c r="AO330" s="638"/>
      <c r="AP330" s="638"/>
      <c r="AQ330" s="484">
        <f>+FL_2($T$331,$U$329,$G$330,1200,9.28, 1*$F$331)</f>
        <v>-0.35</v>
      </c>
      <c r="AR330" s="484"/>
      <c r="AS330" s="484"/>
      <c r="AT330" s="484"/>
      <c r="AU330" s="638"/>
      <c r="AV330" s="638"/>
      <c r="AW330" s="638"/>
      <c r="AX330" s="638"/>
      <c r="AY330" s="484"/>
      <c r="AZ330" s="484"/>
      <c r="BA330" s="671"/>
      <c r="BB330" s="449"/>
      <c r="BC330" s="169"/>
      <c r="BD330" s="1371"/>
      <c r="BE330" s="1371"/>
      <c r="BF330" s="1371"/>
      <c r="BG330" s="1371"/>
    </row>
    <row r="331" spans="1:59" ht="15.75" customHeight="1">
      <c r="A331" s="449" t="s">
        <v>1852</v>
      </c>
      <c r="B331" s="485" t="s">
        <v>2351</v>
      </c>
      <c r="C331" s="446">
        <f>+$C$329+$G$330</f>
        <v>92425.85</v>
      </c>
      <c r="D331" s="638"/>
      <c r="E331" s="638"/>
      <c r="F331" s="447">
        <v>0</v>
      </c>
      <c r="G331" s="484"/>
      <c r="H331" s="1239"/>
      <c r="I331" s="448"/>
      <c r="J331" s="446"/>
      <c r="K331" s="638"/>
      <c r="L331" s="638"/>
      <c r="M331" s="446"/>
      <c r="N331" s="1239" t="s">
        <v>2794</v>
      </c>
      <c r="O331" s="1239"/>
      <c r="P331" s="1239"/>
      <c r="Q331" s="638">
        <v>0</v>
      </c>
      <c r="R331" s="638">
        <v>0</v>
      </c>
      <c r="S331" s="484"/>
      <c r="T331" s="638">
        <v>-35</v>
      </c>
      <c r="U331" s="638"/>
      <c r="V331" s="638"/>
      <c r="W331" s="638">
        <v>1.2</v>
      </c>
      <c r="X331" s="638"/>
      <c r="Y331" s="638"/>
      <c r="Z331" s="638"/>
      <c r="AA331" s="638"/>
      <c r="AB331" s="638"/>
      <c r="AC331" s="638" t="s">
        <v>3050</v>
      </c>
      <c r="AD331" s="638"/>
      <c r="AE331" s="638"/>
      <c r="AF331" s="638">
        <v>400</v>
      </c>
      <c r="AG331" s="1386">
        <v>92425.99</v>
      </c>
      <c r="AH331" s="638">
        <v>1823</v>
      </c>
      <c r="AI331" s="638">
        <v>-4810</v>
      </c>
      <c r="AJ331" s="638"/>
      <c r="AK331" s="638" t="s">
        <v>139</v>
      </c>
      <c r="AL331" s="638"/>
      <c r="AM331" s="638"/>
      <c r="AN331" s="484">
        <v>5.26</v>
      </c>
      <c r="AO331" s="638"/>
      <c r="AP331" s="638"/>
      <c r="AQ331" s="484"/>
      <c r="AR331" s="484"/>
      <c r="AS331" s="484"/>
      <c r="AT331" s="484">
        <f>+ab($T$331,$U$329,$T$333,$G$330,$G$332, 1*$F$331,1200)</f>
        <v>-3.876213773401882</v>
      </c>
      <c r="AU331" s="638"/>
      <c r="AV331" s="638"/>
      <c r="AW331" s="638"/>
      <c r="AX331" s="638"/>
      <c r="AY331" s="484"/>
      <c r="AZ331" s="484"/>
      <c r="BA331" s="671"/>
      <c r="BB331" s="449"/>
      <c r="BC331" s="169"/>
      <c r="BD331" s="1330"/>
      <c r="BE331" s="1330"/>
      <c r="BF331" s="1330"/>
      <c r="BG331" s="1330"/>
    </row>
    <row r="332" spans="1:59" ht="15.75" customHeight="1">
      <c r="A332" s="449"/>
      <c r="B332" s="485"/>
      <c r="C332" s="446"/>
      <c r="D332" s="638"/>
      <c r="E332" s="638"/>
      <c r="F332" s="447"/>
      <c r="G332" s="484">
        <v>26.3</v>
      </c>
      <c r="H332" s="1239"/>
      <c r="I332" s="448"/>
      <c r="J332" s="446"/>
      <c r="K332" s="638"/>
      <c r="L332" s="638"/>
      <c r="M332" s="446"/>
      <c r="N332" s="1239"/>
      <c r="O332" s="1239"/>
      <c r="P332" s="1239"/>
      <c r="Q332" s="638"/>
      <c r="R332" s="638"/>
      <c r="S332" s="484">
        <f t="shared" ref="S332" si="162">AG333-AG331</f>
        <v>26.009999999994761</v>
      </c>
      <c r="T332" s="638"/>
      <c r="U332" s="638"/>
      <c r="V332" s="638"/>
      <c r="W332" s="638"/>
      <c r="X332" s="638"/>
      <c r="Y332" s="638"/>
      <c r="Z332" s="638"/>
      <c r="AA332" s="638"/>
      <c r="AB332" s="638"/>
      <c r="AC332" s="638"/>
      <c r="AD332" s="638"/>
      <c r="AE332" s="638"/>
      <c r="AF332" s="638"/>
      <c r="AG332" s="1386"/>
      <c r="AH332" s="638"/>
      <c r="AI332" s="638"/>
      <c r="AJ332" s="638" t="s">
        <v>864</v>
      </c>
      <c r="AK332" s="638" t="s">
        <v>2762</v>
      </c>
      <c r="AL332" s="638"/>
      <c r="AM332" s="638"/>
      <c r="AN332" s="484"/>
      <c r="AO332" s="638"/>
      <c r="AP332" s="638"/>
      <c r="AQ332" s="484">
        <f>+FL_2($T$333,$T$331,$G$332,1200,9.28, 1*$F$333)</f>
        <v>-0.35000000000001907</v>
      </c>
      <c r="AR332" s="484"/>
      <c r="AS332" s="484"/>
      <c r="AT332" s="484"/>
      <c r="AU332" s="638"/>
      <c r="AV332" s="638"/>
      <c r="AW332" s="638"/>
      <c r="AX332" s="638"/>
      <c r="AY332" s="484"/>
      <c r="AZ332" s="484"/>
      <c r="BA332" s="671"/>
      <c r="BB332" s="449"/>
      <c r="BC332" s="169"/>
      <c r="BD332" s="1371"/>
      <c r="BE332" s="1371"/>
      <c r="BF332" s="1371"/>
      <c r="BG332" s="1371"/>
    </row>
    <row r="333" spans="1:59" ht="15.75" customHeight="1">
      <c r="A333" s="449"/>
      <c r="B333" s="485" t="s">
        <v>2352</v>
      </c>
      <c r="C333" s="446">
        <f>+$C$331+$G$332</f>
        <v>92452.150000000009</v>
      </c>
      <c r="D333" s="638"/>
      <c r="E333" s="638"/>
      <c r="F333" s="447">
        <v>0</v>
      </c>
      <c r="G333" s="484"/>
      <c r="H333" s="1239" t="s">
        <v>2505</v>
      </c>
      <c r="I333" s="448"/>
      <c r="J333" s="446"/>
      <c r="K333" s="638"/>
      <c r="L333" s="638"/>
      <c r="M333" s="446"/>
      <c r="N333" s="1239" t="s">
        <v>844</v>
      </c>
      <c r="O333" s="1239" t="s">
        <v>2794</v>
      </c>
      <c r="P333" s="1239"/>
      <c r="Q333" s="638">
        <v>0</v>
      </c>
      <c r="R333" s="638">
        <v>0</v>
      </c>
      <c r="S333" s="484"/>
      <c r="T333" s="638">
        <v>30</v>
      </c>
      <c r="U333" s="638">
        <v>15</v>
      </c>
      <c r="V333" s="638"/>
      <c r="W333" s="638">
        <v>0.8</v>
      </c>
      <c r="X333" s="638">
        <v>1.2</v>
      </c>
      <c r="Y333" s="638"/>
      <c r="Z333" s="638"/>
      <c r="AA333" s="638"/>
      <c r="AB333" s="638"/>
      <c r="AC333" s="638" t="s">
        <v>4124</v>
      </c>
      <c r="AD333" s="638" t="s">
        <v>4991</v>
      </c>
      <c r="AE333" s="638"/>
      <c r="AF333" s="638">
        <v>200</v>
      </c>
      <c r="AG333" s="1386">
        <v>92452</v>
      </c>
      <c r="AH333" s="638">
        <v>1633</v>
      </c>
      <c r="AI333" s="638">
        <v>-5000</v>
      </c>
      <c r="AJ333" s="638"/>
      <c r="AK333" s="638" t="s">
        <v>228</v>
      </c>
      <c r="AL333" s="638"/>
      <c r="AM333" s="638"/>
      <c r="AN333" s="484">
        <v>5.19</v>
      </c>
      <c r="AO333" s="638"/>
      <c r="AP333" s="638"/>
      <c r="AQ333" s="484"/>
      <c r="AR333" s="484"/>
      <c r="AS333" s="484"/>
      <c r="AT333" s="484">
        <f>+ab($T$333,$T$331,$T$335,$G$332,$G$334, 1*$F$333,1200)</f>
        <v>4.351512618907349</v>
      </c>
      <c r="AU333" s="638"/>
      <c r="AV333" s="638"/>
      <c r="AW333" s="638"/>
      <c r="AX333" s="638"/>
      <c r="AY333" s="484"/>
      <c r="AZ333" s="484"/>
      <c r="BA333" s="671"/>
      <c r="BB333" s="449"/>
      <c r="BC333" s="169"/>
      <c r="BD333" s="1330"/>
      <c r="BE333" s="1330"/>
      <c r="BF333" s="1330"/>
      <c r="BG333" s="1330"/>
    </row>
    <row r="334" spans="1:59" ht="15.75" customHeight="1">
      <c r="A334" s="449"/>
      <c r="B334" s="485"/>
      <c r="C334" s="446"/>
      <c r="D334" s="638"/>
      <c r="E334" s="638"/>
      <c r="F334" s="447"/>
      <c r="G334" s="484">
        <v>28.5</v>
      </c>
      <c r="H334" s="1239"/>
      <c r="I334" s="448"/>
      <c r="J334" s="446"/>
      <c r="K334" s="638"/>
      <c r="L334" s="638"/>
      <c r="M334" s="446"/>
      <c r="N334" s="1239"/>
      <c r="O334" s="1239"/>
      <c r="P334" s="1239"/>
      <c r="Q334" s="638"/>
      <c r="R334" s="638"/>
      <c r="S334" s="484">
        <f t="shared" ref="S334" si="163">AG335-AG333</f>
        <v>28</v>
      </c>
      <c r="T334" s="638"/>
      <c r="U334" s="638"/>
      <c r="V334" s="638"/>
      <c r="W334" s="638"/>
      <c r="X334" s="638"/>
      <c r="Y334" s="638"/>
      <c r="Z334" s="638"/>
      <c r="AA334" s="638"/>
      <c r="AB334" s="638"/>
      <c r="AC334" s="638"/>
      <c r="AD334" s="638"/>
      <c r="AE334" s="638"/>
      <c r="AF334" s="638"/>
      <c r="AG334" s="1386"/>
      <c r="AH334" s="638"/>
      <c r="AI334" s="638"/>
      <c r="AJ334" s="638"/>
      <c r="AK334" s="638"/>
      <c r="AL334" s="638"/>
      <c r="AM334" s="638"/>
      <c r="AN334" s="484"/>
      <c r="AO334" s="638"/>
      <c r="AP334" s="638"/>
      <c r="AQ334" s="484">
        <f>+FL_1($T$335,$T$333,$G$334,1200,9.28, 1*$F$335)</f>
        <v>0.3000000000000137</v>
      </c>
      <c r="AR334" s="484"/>
      <c r="AS334" s="484"/>
      <c r="AT334" s="484"/>
      <c r="AU334" s="638"/>
      <c r="AV334" s="638"/>
      <c r="AW334" s="638"/>
      <c r="AX334" s="638"/>
      <c r="AY334" s="484"/>
      <c r="AZ334" s="484"/>
      <c r="BA334" s="671"/>
      <c r="BB334" s="449"/>
      <c r="BC334" s="169"/>
      <c r="BD334" s="1371"/>
      <c r="BE334" s="1371"/>
      <c r="BF334" s="1371"/>
      <c r="BG334" s="1371"/>
    </row>
    <row r="335" spans="1:59" ht="15.75" customHeight="1">
      <c r="A335" s="449"/>
      <c r="B335" s="485" t="s">
        <v>2353</v>
      </c>
      <c r="C335" s="446">
        <f>+$C$333+$G$334</f>
        <v>92480.650000000009</v>
      </c>
      <c r="D335" s="638"/>
      <c r="E335" s="638"/>
      <c r="F335" s="447">
        <v>0</v>
      </c>
      <c r="G335" s="484"/>
      <c r="H335" s="1239" t="s">
        <v>619</v>
      </c>
      <c r="I335" s="448"/>
      <c r="J335" s="446"/>
      <c r="K335" s="638"/>
      <c r="L335" s="638"/>
      <c r="M335" s="446"/>
      <c r="N335" s="1239" t="s">
        <v>2796</v>
      </c>
      <c r="O335" s="1239" t="s">
        <v>4982</v>
      </c>
      <c r="P335" s="1239"/>
      <c r="Q335" s="638">
        <v>0</v>
      </c>
      <c r="R335" s="638">
        <v>0</v>
      </c>
      <c r="S335" s="484"/>
      <c r="T335" s="638">
        <v>-25</v>
      </c>
      <c r="U335" s="638">
        <v>-40</v>
      </c>
      <c r="V335" s="638"/>
      <c r="W335" s="638">
        <v>0.5</v>
      </c>
      <c r="X335" s="638">
        <v>0.5</v>
      </c>
      <c r="Y335" s="638"/>
      <c r="Z335" s="638"/>
      <c r="AA335" s="638">
        <v>0.32</v>
      </c>
      <c r="AB335" s="638"/>
      <c r="AC335" s="638" t="s">
        <v>4115</v>
      </c>
      <c r="AD335" s="638"/>
      <c r="AE335" s="638"/>
      <c r="AF335" s="638">
        <v>500</v>
      </c>
      <c r="AG335" s="1386">
        <v>92480</v>
      </c>
      <c r="AH335" s="638">
        <v>1633</v>
      </c>
      <c r="AI335" s="638">
        <v>-4900</v>
      </c>
      <c r="AJ335" s="638"/>
      <c r="AK335" s="638" t="s">
        <v>228</v>
      </c>
      <c r="AL335" s="638"/>
      <c r="AM335" s="638"/>
      <c r="AN335" s="484">
        <v>5.15</v>
      </c>
      <c r="AO335" s="638"/>
      <c r="AP335" s="638"/>
      <c r="AQ335" s="484"/>
      <c r="AR335" s="484"/>
      <c r="AS335" s="484"/>
      <c r="AT335" s="484">
        <f>+ab($T$335,$T$333,$T$337,$G$334,$G$336, 1*$F$335,1200)</f>
        <v>-5.8339595188200386</v>
      </c>
      <c r="AU335" s="638"/>
      <c r="AV335" s="638"/>
      <c r="AW335" s="638"/>
      <c r="AX335" s="638"/>
      <c r="AY335" s="484"/>
      <c r="AZ335" s="484"/>
      <c r="BA335" s="671"/>
      <c r="BB335" s="449"/>
      <c r="BC335" s="169"/>
      <c r="BD335" s="1330"/>
      <c r="BE335" s="1330"/>
      <c r="BF335" s="1330"/>
      <c r="BG335" s="1330"/>
    </row>
    <row r="336" spans="1:59" ht="15.75" customHeight="1">
      <c r="A336" s="449" t="s">
        <v>1851</v>
      </c>
      <c r="B336" s="485"/>
      <c r="C336" s="446"/>
      <c r="D336" s="638"/>
      <c r="E336" s="638"/>
      <c r="F336" s="447"/>
      <c r="G336" s="484">
        <v>40.799999999999997</v>
      </c>
      <c r="H336" s="1239"/>
      <c r="I336" s="448"/>
      <c r="J336" s="446"/>
      <c r="K336" s="638"/>
      <c r="L336" s="638"/>
      <c r="M336" s="446"/>
      <c r="N336" s="1239"/>
      <c r="O336" s="1239"/>
      <c r="P336" s="1239"/>
      <c r="Q336" s="638"/>
      <c r="R336" s="638"/>
      <c r="S336" s="484">
        <f t="shared" ref="S336" si="164">AG337-AG335</f>
        <v>41.259999999994761</v>
      </c>
      <c r="T336" s="638"/>
      <c r="U336" s="638"/>
      <c r="V336" s="638"/>
      <c r="W336" s="638"/>
      <c r="X336" s="638"/>
      <c r="Y336" s="638"/>
      <c r="Z336" s="638"/>
      <c r="AA336" s="638"/>
      <c r="AB336" s="638"/>
      <c r="AC336" s="638"/>
      <c r="AD336" s="638"/>
      <c r="AE336" s="638"/>
      <c r="AF336" s="638"/>
      <c r="AG336" s="1386"/>
      <c r="AH336" s="638"/>
      <c r="AI336" s="638"/>
      <c r="AJ336" s="638"/>
      <c r="AK336" s="638"/>
      <c r="AL336" s="638"/>
      <c r="AM336" s="638"/>
      <c r="AN336" s="484"/>
      <c r="AO336" s="638"/>
      <c r="AP336" s="638"/>
      <c r="AQ336" s="484">
        <f>+FL_1($T$337,$T$335,$G$336,1200,9.28, 1*$F$337)</f>
        <v>0.3</v>
      </c>
      <c r="AR336" s="484"/>
      <c r="AS336" s="484"/>
      <c r="AT336" s="484"/>
      <c r="AU336" s="638"/>
      <c r="AV336" s="638"/>
      <c r="AW336" s="638"/>
      <c r="AX336" s="638"/>
      <c r="AY336" s="484"/>
      <c r="AZ336" s="484"/>
      <c r="BA336" s="671"/>
      <c r="BB336" s="449"/>
      <c r="BC336" s="169"/>
      <c r="BD336" s="1371"/>
      <c r="BE336" s="1371"/>
      <c r="BF336" s="1371"/>
      <c r="BG336" s="1371"/>
    </row>
    <row r="337" spans="1:59" ht="15.75" customHeight="1">
      <c r="A337" s="449"/>
      <c r="B337" s="485" t="s">
        <v>2354</v>
      </c>
      <c r="C337" s="446">
        <f>+$C$335+$G$336</f>
        <v>92521.450000000012</v>
      </c>
      <c r="D337" s="638"/>
      <c r="E337" s="638"/>
      <c r="F337" s="447">
        <v>1150</v>
      </c>
      <c r="G337" s="484"/>
      <c r="H337" s="1239"/>
      <c r="I337" s="448"/>
      <c r="J337" s="446"/>
      <c r="K337" s="638"/>
      <c r="L337" s="638"/>
      <c r="M337" s="446"/>
      <c r="N337" s="1239" t="s">
        <v>2797</v>
      </c>
      <c r="O337" s="1239"/>
      <c r="P337" s="1239"/>
      <c r="Q337" s="638">
        <v>30</v>
      </c>
      <c r="R337" s="638">
        <v>1150</v>
      </c>
      <c r="S337" s="484"/>
      <c r="T337" s="638">
        <v>30</v>
      </c>
      <c r="U337" s="638"/>
      <c r="V337" s="638"/>
      <c r="W337" s="638">
        <v>0.5</v>
      </c>
      <c r="X337" s="638"/>
      <c r="Y337" s="638"/>
      <c r="Z337" s="638"/>
      <c r="AA337" s="638"/>
      <c r="AB337" s="638"/>
      <c r="AC337" s="638" t="s">
        <v>4126</v>
      </c>
      <c r="AD337" s="638"/>
      <c r="AE337" s="638"/>
      <c r="AF337" s="638">
        <v>100</v>
      </c>
      <c r="AG337" s="1386">
        <v>92521.26</v>
      </c>
      <c r="AH337" s="638">
        <v>1803</v>
      </c>
      <c r="AI337" s="638">
        <v>-5460</v>
      </c>
      <c r="AJ337" s="638"/>
      <c r="AK337" s="638" t="s">
        <v>139</v>
      </c>
      <c r="AL337" s="638"/>
      <c r="AM337" s="638"/>
      <c r="AN337" s="484">
        <v>5.15</v>
      </c>
      <c r="AO337" s="638"/>
      <c r="AP337" s="638"/>
      <c r="AQ337" s="484"/>
      <c r="AR337" s="484"/>
      <c r="AS337" s="484"/>
      <c r="AT337" s="484">
        <f>+ab($T$337,$T$335,$T$339,$G$336,$G$338, 1*$F$337,1200)</f>
        <v>3.7159857937904603</v>
      </c>
      <c r="AU337" s="638"/>
      <c r="AV337" s="638"/>
      <c r="AW337" s="638"/>
      <c r="AX337" s="638"/>
      <c r="AY337" s="484"/>
      <c r="AZ337" s="484"/>
      <c r="BA337" s="671"/>
      <c r="BB337" s="449"/>
      <c r="BC337" s="169"/>
      <c r="BD337" s="1330"/>
      <c r="BE337" s="1330"/>
      <c r="BF337" s="1330"/>
      <c r="BG337" s="1330"/>
    </row>
    <row r="338" spans="1:59" ht="15.75" customHeight="1">
      <c r="A338" s="449"/>
      <c r="B338" s="485"/>
      <c r="C338" s="446"/>
      <c r="D338" s="638"/>
      <c r="E338" s="638"/>
      <c r="F338" s="447"/>
      <c r="G338" s="484">
        <v>46.8</v>
      </c>
      <c r="H338" s="1239"/>
      <c r="I338" s="448"/>
      <c r="J338" s="446"/>
      <c r="K338" s="638"/>
      <c r="L338" s="638"/>
      <c r="M338" s="446"/>
      <c r="N338" s="1239"/>
      <c r="O338" s="1239"/>
      <c r="P338" s="1239"/>
      <c r="Q338" s="638"/>
      <c r="R338" s="638"/>
      <c r="S338" s="484">
        <f t="shared" ref="S338" si="165">AG339-AG337</f>
        <v>47.130000000004657</v>
      </c>
      <c r="T338" s="638"/>
      <c r="U338" s="638"/>
      <c r="V338" s="638"/>
      <c r="W338" s="638"/>
      <c r="X338" s="638"/>
      <c r="Y338" s="638"/>
      <c r="Z338" s="638"/>
      <c r="AA338" s="638"/>
      <c r="AB338" s="638"/>
      <c r="AC338" s="638"/>
      <c r="AD338" s="638"/>
      <c r="AE338" s="638"/>
      <c r="AF338" s="638"/>
      <c r="AG338" s="1386"/>
      <c r="AH338" s="638"/>
      <c r="AI338" s="638"/>
      <c r="AJ338" s="638"/>
      <c r="AK338" s="638"/>
      <c r="AL338" s="638"/>
      <c r="AM338" s="638"/>
      <c r="AN338" s="484"/>
      <c r="AO338" s="638"/>
      <c r="AP338" s="638"/>
      <c r="AQ338" s="484">
        <f>+FL_1($T$339,$T$337,$G$338,1200,9.28, 1*$F$339)</f>
        <v>0.30002252305435173</v>
      </c>
      <c r="AR338" s="484"/>
      <c r="AS338" s="484"/>
      <c r="AT338" s="484"/>
      <c r="AU338" s="638"/>
      <c r="AV338" s="638"/>
      <c r="AW338" s="638"/>
      <c r="AX338" s="638"/>
      <c r="AY338" s="484"/>
      <c r="AZ338" s="484"/>
      <c r="BA338" s="671"/>
      <c r="BB338" s="449"/>
      <c r="BC338" s="169"/>
      <c r="BD338" s="1371"/>
      <c r="BE338" s="1371"/>
      <c r="BF338" s="1371"/>
      <c r="BG338" s="1371"/>
    </row>
    <row r="339" spans="1:59" ht="15.75" customHeight="1">
      <c r="A339" s="449"/>
      <c r="B339" s="485" t="s">
        <v>2355</v>
      </c>
      <c r="C339" s="446">
        <f>+$C$337+$G$338</f>
        <v>92568.250000000015</v>
      </c>
      <c r="D339" s="638"/>
      <c r="E339" s="638"/>
      <c r="F339" s="447">
        <v>1150</v>
      </c>
      <c r="G339" s="484"/>
      <c r="H339" s="1239"/>
      <c r="I339" s="448"/>
      <c r="J339" s="446"/>
      <c r="K339" s="638"/>
      <c r="L339" s="638"/>
      <c r="M339" s="446"/>
      <c r="N339" s="1239" t="s">
        <v>844</v>
      </c>
      <c r="O339" s="1239"/>
      <c r="P339" s="1239"/>
      <c r="Q339" s="638">
        <v>30</v>
      </c>
      <c r="R339" s="638">
        <v>1150</v>
      </c>
      <c r="S339" s="484"/>
      <c r="T339" s="638">
        <v>30</v>
      </c>
      <c r="U339" s="638"/>
      <c r="V339" s="638"/>
      <c r="W339" s="638">
        <v>0.8</v>
      </c>
      <c r="X339" s="638"/>
      <c r="Y339" s="638"/>
      <c r="Z339" s="638"/>
      <c r="AA339" s="638"/>
      <c r="AB339" s="638"/>
      <c r="AC339" s="638" t="s">
        <v>4090</v>
      </c>
      <c r="AD339" s="638"/>
      <c r="AE339" s="638"/>
      <c r="AF339" s="638">
        <v>400</v>
      </c>
      <c r="AG339" s="1386">
        <v>92568.39</v>
      </c>
      <c r="AH339" s="638">
        <v>1793</v>
      </c>
      <c r="AI339" s="638">
        <v>-4840</v>
      </c>
      <c r="AJ339" s="638"/>
      <c r="AK339" s="638" t="s">
        <v>139</v>
      </c>
      <c r="AL339" s="638"/>
      <c r="AM339" s="638"/>
      <c r="AN339" s="484">
        <v>5.21</v>
      </c>
      <c r="AO339" s="638"/>
      <c r="AP339" s="638"/>
      <c r="AQ339" s="484"/>
      <c r="AR339" s="484"/>
      <c r="AS339" s="484"/>
      <c r="AT339" s="484">
        <f>+ab($T$339,$T$337,$T$341,$G$338,$G$340, 1*$F$339,1200)</f>
        <v>4.704708780495503</v>
      </c>
      <c r="AU339" s="638"/>
      <c r="AV339" s="638"/>
      <c r="AW339" s="638"/>
      <c r="AX339" s="638"/>
      <c r="AY339" s="484"/>
      <c r="AZ339" s="484"/>
      <c r="BA339" s="671"/>
      <c r="BB339" s="449"/>
      <c r="BC339" s="169"/>
      <c r="BD339" s="1330"/>
      <c r="BE339" s="1330"/>
      <c r="BF339" s="1330"/>
      <c r="BG339" s="1330"/>
    </row>
    <row r="340" spans="1:59" ht="15.75" customHeight="1">
      <c r="A340" s="449"/>
      <c r="B340" s="485"/>
      <c r="C340" s="446"/>
      <c r="D340" s="638"/>
      <c r="E340" s="638"/>
      <c r="F340" s="447"/>
      <c r="G340" s="484">
        <v>46.8</v>
      </c>
      <c r="H340" s="1239"/>
      <c r="I340" s="448"/>
      <c r="J340" s="446"/>
      <c r="K340" s="638"/>
      <c r="L340" s="638"/>
      <c r="M340" s="446"/>
      <c r="N340" s="1239"/>
      <c r="O340" s="1239"/>
      <c r="P340" s="1239"/>
      <c r="Q340" s="638"/>
      <c r="R340" s="638"/>
      <c r="S340" s="484">
        <f t="shared" ref="S340" si="166">AG341-AG339</f>
        <v>46.55000000000291</v>
      </c>
      <c r="T340" s="638"/>
      <c r="U340" s="638"/>
      <c r="V340" s="638"/>
      <c r="W340" s="638"/>
      <c r="X340" s="638"/>
      <c r="Y340" s="638"/>
      <c r="Z340" s="638"/>
      <c r="AA340" s="638"/>
      <c r="AB340" s="638"/>
      <c r="AC340" s="638"/>
      <c r="AD340" s="638"/>
      <c r="AE340" s="638"/>
      <c r="AF340" s="638"/>
      <c r="AG340" s="1386"/>
      <c r="AH340" s="638"/>
      <c r="AI340" s="638"/>
      <c r="AJ340" s="638"/>
      <c r="AK340" s="638"/>
      <c r="AL340" s="638"/>
      <c r="AM340" s="638"/>
      <c r="AN340" s="484"/>
      <c r="AO340" s="638"/>
      <c r="AP340" s="638"/>
      <c r="AQ340" s="484">
        <f>+FL_1($T$341,$T$339,$G$340,1200,9.28, 1*$F$341)</f>
        <v>0.30002252305435173</v>
      </c>
      <c r="AR340" s="484"/>
      <c r="AS340" s="484"/>
      <c r="AT340" s="484"/>
      <c r="AU340" s="638"/>
      <c r="AV340" s="638"/>
      <c r="AW340" s="638"/>
      <c r="AX340" s="638"/>
      <c r="AY340" s="484"/>
      <c r="AZ340" s="484"/>
      <c r="BA340" s="671"/>
      <c r="BB340" s="449"/>
      <c r="BC340" s="169"/>
      <c r="BD340" s="1371"/>
      <c r="BE340" s="1371"/>
      <c r="BF340" s="1371"/>
      <c r="BG340" s="1371"/>
    </row>
    <row r="341" spans="1:59" ht="15.75" customHeight="1">
      <c r="A341" s="449"/>
      <c r="B341" s="485" t="s">
        <v>2356</v>
      </c>
      <c r="C341" s="446">
        <f>+$C$339+$G$340</f>
        <v>92615.050000000017</v>
      </c>
      <c r="D341" s="638"/>
      <c r="E341" s="638"/>
      <c r="F341" s="447">
        <v>1150</v>
      </c>
      <c r="G341" s="484"/>
      <c r="H341" s="1239"/>
      <c r="I341" s="448"/>
      <c r="J341" s="446"/>
      <c r="K341" s="638"/>
      <c r="L341" s="638"/>
      <c r="M341" s="446"/>
      <c r="N341" s="1239" t="s">
        <v>844</v>
      </c>
      <c r="O341" s="1239"/>
      <c r="P341" s="1239"/>
      <c r="Q341" s="638">
        <v>30</v>
      </c>
      <c r="R341" s="638">
        <v>1150</v>
      </c>
      <c r="S341" s="484"/>
      <c r="T341" s="638">
        <v>30</v>
      </c>
      <c r="U341" s="638"/>
      <c r="V341" s="638"/>
      <c r="W341" s="638">
        <v>1</v>
      </c>
      <c r="X341" s="638"/>
      <c r="Y341" s="638"/>
      <c r="Z341" s="638"/>
      <c r="AA341" s="638"/>
      <c r="AB341" s="638"/>
      <c r="AC341" s="638" t="s">
        <v>4090</v>
      </c>
      <c r="AD341" s="638"/>
      <c r="AE341" s="638"/>
      <c r="AF341" s="638">
        <v>500</v>
      </c>
      <c r="AG341" s="1386">
        <v>92614.94</v>
      </c>
      <c r="AH341" s="638">
        <v>1523</v>
      </c>
      <c r="AI341" s="638">
        <v>-4730</v>
      </c>
      <c r="AJ341" s="638"/>
      <c r="AK341" s="638" t="s">
        <v>139</v>
      </c>
      <c r="AL341" s="638"/>
      <c r="AM341" s="638"/>
      <c r="AN341" s="484">
        <v>5.32</v>
      </c>
      <c r="AO341" s="638"/>
      <c r="AP341" s="638"/>
      <c r="AQ341" s="484"/>
      <c r="AR341" s="484"/>
      <c r="AS341" s="484"/>
      <c r="AT341" s="484">
        <f>+ab($T$341,$T$339,$T$343,$G$340,$G$342, 1*$F$341,1200)</f>
        <v>4.8974164473064068</v>
      </c>
      <c r="AU341" s="638"/>
      <c r="AV341" s="638"/>
      <c r="AW341" s="638"/>
      <c r="AX341" s="638"/>
      <c r="AY341" s="484"/>
      <c r="AZ341" s="484"/>
      <c r="BA341" s="671"/>
      <c r="BB341" s="449"/>
      <c r="BC341" s="169"/>
      <c r="BD341" s="1330"/>
      <c r="BE341" s="1330"/>
      <c r="BF341" s="1330"/>
      <c r="BG341" s="1330"/>
    </row>
    <row r="342" spans="1:59" ht="15.75" customHeight="1">
      <c r="A342" s="449"/>
      <c r="B342" s="485"/>
      <c r="C342" s="446"/>
      <c r="D342" s="638"/>
      <c r="E342" s="638"/>
      <c r="F342" s="447"/>
      <c r="G342" s="484">
        <v>50</v>
      </c>
      <c r="H342" s="1239"/>
      <c r="I342" s="448"/>
      <c r="J342" s="446"/>
      <c r="K342" s="638"/>
      <c r="L342" s="638"/>
      <c r="M342" s="446"/>
      <c r="N342" s="1239"/>
      <c r="O342" s="1239"/>
      <c r="P342" s="1239"/>
      <c r="Q342" s="638"/>
      <c r="R342" s="638"/>
      <c r="S342" s="484">
        <f t="shared" ref="S342:S344" si="167">AG343-AG341</f>
        <v>50.059999999997672</v>
      </c>
      <c r="T342" s="638"/>
      <c r="U342" s="638"/>
      <c r="V342" s="638"/>
      <c r="W342" s="638"/>
      <c r="X342" s="638"/>
      <c r="Y342" s="638"/>
      <c r="Z342" s="638"/>
      <c r="AA342" s="638"/>
      <c r="AB342" s="638"/>
      <c r="AC342" s="638"/>
      <c r="AD342" s="638"/>
      <c r="AE342" s="638"/>
      <c r="AF342" s="638"/>
      <c r="AG342" s="1386"/>
      <c r="AH342" s="638"/>
      <c r="AI342" s="638"/>
      <c r="AJ342" s="638"/>
      <c r="AK342" s="638"/>
      <c r="AL342" s="638"/>
      <c r="AM342" s="638"/>
      <c r="AN342" s="484"/>
      <c r="AO342" s="638"/>
      <c r="AP342" s="638"/>
      <c r="AQ342" s="484">
        <f>+FL_1($U$343,$T$341,$G$342,1200,9.28, 1*$F$343)</f>
        <v>0.30002406276193416</v>
      </c>
      <c r="AR342" s="484"/>
      <c r="AS342" s="484"/>
      <c r="AT342" s="484"/>
      <c r="AU342" s="638"/>
      <c r="AV342" s="638"/>
      <c r="AW342" s="638"/>
      <c r="AX342" s="638"/>
      <c r="AY342" s="484"/>
      <c r="AZ342" s="484"/>
      <c r="BA342" s="671"/>
      <c r="BB342" s="449"/>
      <c r="BC342" s="169"/>
      <c r="BD342" s="1371"/>
      <c r="BE342" s="1371"/>
      <c r="BF342" s="1371"/>
      <c r="BG342" s="1371"/>
    </row>
    <row r="343" spans="1:59" ht="15.75" customHeight="1">
      <c r="A343" s="449"/>
      <c r="B343" s="485" t="s">
        <v>2357</v>
      </c>
      <c r="C343" s="446">
        <f>+$C$341+$G$342</f>
        <v>92665.050000000017</v>
      </c>
      <c r="D343" s="638"/>
      <c r="E343" s="638"/>
      <c r="F343" s="447">
        <v>1150</v>
      </c>
      <c r="G343" s="484"/>
      <c r="H343" s="1239" t="s">
        <v>619</v>
      </c>
      <c r="I343" s="448"/>
      <c r="J343" s="446"/>
      <c r="K343" s="638"/>
      <c r="L343" s="638"/>
      <c r="M343" s="446"/>
      <c r="N343" s="1239" t="s">
        <v>845</v>
      </c>
      <c r="O343" s="1239" t="s">
        <v>844</v>
      </c>
      <c r="P343" s="1239"/>
      <c r="Q343" s="638">
        <v>20</v>
      </c>
      <c r="R343" s="638">
        <v>1150</v>
      </c>
      <c r="S343" s="484"/>
      <c r="T343" s="638">
        <v>45</v>
      </c>
      <c r="U343" s="638">
        <v>30</v>
      </c>
      <c r="V343" s="638"/>
      <c r="W343" s="638">
        <v>1.4</v>
      </c>
      <c r="X343" s="638">
        <v>2.2999999999999998</v>
      </c>
      <c r="Y343" s="638"/>
      <c r="Z343" s="638">
        <v>0.51</v>
      </c>
      <c r="AA343" s="638"/>
      <c r="AB343" s="638"/>
      <c r="AC343" s="638" t="s">
        <v>3050</v>
      </c>
      <c r="AD343" s="638"/>
      <c r="AE343" s="638"/>
      <c r="AF343" s="638">
        <v>200</v>
      </c>
      <c r="AG343" s="1386">
        <v>92665</v>
      </c>
      <c r="AH343" s="638">
        <v>1833</v>
      </c>
      <c r="AI343" s="638">
        <v>-5110</v>
      </c>
      <c r="AJ343" s="638"/>
      <c r="AK343" s="638" t="s">
        <v>228</v>
      </c>
      <c r="AL343" s="638"/>
      <c r="AM343" s="638"/>
      <c r="AN343" s="484">
        <v>5.44</v>
      </c>
      <c r="AO343" s="638"/>
      <c r="AP343" s="638"/>
      <c r="AQ343" s="484"/>
      <c r="AR343" s="484"/>
      <c r="AS343" s="484"/>
      <c r="AT343" s="484">
        <f>+ab($T$343,$T$341,$T$345,$G$342,$G$344, 1*$F$343,1200)</f>
        <v>3.5727465833543457</v>
      </c>
      <c r="AU343" s="638"/>
      <c r="AV343" s="638"/>
      <c r="AW343" s="638"/>
      <c r="AX343" s="638"/>
      <c r="AY343" s="484"/>
      <c r="AZ343" s="484"/>
      <c r="BA343" s="671"/>
      <c r="BB343" s="449"/>
      <c r="BC343" s="169"/>
      <c r="BD343" s="1330"/>
      <c r="BE343" s="1330"/>
      <c r="BF343" s="1330"/>
      <c r="BG343" s="1330"/>
    </row>
    <row r="344" spans="1:59" ht="15.75" customHeight="1">
      <c r="A344" s="449"/>
      <c r="B344" s="485"/>
      <c r="C344" s="446"/>
      <c r="D344" s="638"/>
      <c r="E344" s="638"/>
      <c r="F344" s="447"/>
      <c r="G344" s="484">
        <v>53.6</v>
      </c>
      <c r="H344" s="1239"/>
      <c r="I344" s="448"/>
      <c r="J344" s="446"/>
      <c r="K344" s="638"/>
      <c r="L344" s="638"/>
      <c r="M344" s="638"/>
      <c r="N344" s="1239"/>
      <c r="O344" s="1239"/>
      <c r="P344" s="1239"/>
      <c r="Q344" s="638"/>
      <c r="R344" s="638"/>
      <c r="S344" s="484">
        <f t="shared" si="167"/>
        <v>53</v>
      </c>
      <c r="T344" s="638"/>
      <c r="U344" s="638"/>
      <c r="V344" s="638"/>
      <c r="W344" s="638"/>
      <c r="X344" s="638"/>
      <c r="Y344" s="638"/>
      <c r="Z344" s="638"/>
      <c r="AA344" s="638"/>
      <c r="AB344" s="638"/>
      <c r="AC344" s="638"/>
      <c r="AD344" s="638"/>
      <c r="AE344" s="638"/>
      <c r="AF344" s="638"/>
      <c r="AG344" s="446"/>
      <c r="AH344" s="638"/>
      <c r="AI344" s="638"/>
      <c r="AJ344" s="638"/>
      <c r="AK344" s="638"/>
      <c r="AL344" s="638"/>
      <c r="AM344" s="638"/>
      <c r="AN344" s="484"/>
      <c r="AO344" s="638"/>
      <c r="AP344" s="638"/>
      <c r="AQ344" s="484">
        <f>+FL_1(-$U$345,$U$343,$G$344,1200,9.28, 1*$F$345)</f>
        <v>0.35873646423880584</v>
      </c>
      <c r="AR344" s="484"/>
      <c r="AS344" s="484"/>
      <c r="AT344" s="484"/>
      <c r="AU344" s="638"/>
      <c r="AV344" s="638"/>
      <c r="AW344" s="638"/>
      <c r="AX344" s="638"/>
      <c r="AY344" s="484"/>
      <c r="AZ344" s="484"/>
      <c r="BA344" s="671"/>
      <c r="BB344" s="449"/>
      <c r="BC344" s="169"/>
      <c r="BD344" s="1371"/>
      <c r="BE344" s="1371"/>
      <c r="BF344" s="1371"/>
      <c r="BG344" s="1371"/>
    </row>
    <row r="345" spans="1:59" ht="15.75" customHeight="1">
      <c r="A345" s="501" t="str">
        <f>'HR Track 4 TSA'!A6</f>
        <v>TSA-B02</v>
      </c>
      <c r="B345" s="716" t="str">
        <f>'HR Track 4 TSA'!B6</f>
        <v>92-4.21</v>
      </c>
      <c r="C345" s="451">
        <f>'HR Track 4 TSA'!C6</f>
        <v>92718.650000000023</v>
      </c>
      <c r="D345" s="453">
        <f>'HR Track 4 TSA'!D6</f>
        <v>0</v>
      </c>
      <c r="E345" s="452">
        <f>'HR Track 4 TSA'!E6</f>
        <v>0</v>
      </c>
      <c r="F345" s="453">
        <f>'HR Track 4 TSA'!F6</f>
        <v>0</v>
      </c>
      <c r="G345" s="500">
        <f>'HR Track 4 TSA'!G6</f>
        <v>0</v>
      </c>
      <c r="H345" s="453" t="str">
        <f>'HR Track 4 TSA'!H6</f>
        <v>P50(CS)</v>
      </c>
      <c r="I345" s="501">
        <f>'HR Track 4 TSA'!I6</f>
        <v>0</v>
      </c>
      <c r="J345" s="583">
        <f>'HR Track 4 TSA'!J6</f>
        <v>0</v>
      </c>
      <c r="K345" s="452">
        <f>'HR Track 4 TSA'!K6</f>
        <v>0</v>
      </c>
      <c r="L345" s="452" t="str">
        <f>'HR Track 4 TSA'!L6</f>
        <v>2HEB-260L</v>
      </c>
      <c r="M345" s="452" t="str">
        <f>'HR Track 4 TSA'!M6</f>
        <v>2C4R</v>
      </c>
      <c r="N345" s="501" t="str">
        <f>'HR Track 4 TSA'!N6</f>
        <v>EMT-1</v>
      </c>
      <c r="O345" s="501" t="str">
        <f>'HR Track 4 TSA'!O6</f>
        <v>EMT-2</v>
      </c>
      <c r="P345" s="501">
        <f>'HR Track 4 TSA'!P6</f>
        <v>0</v>
      </c>
      <c r="Q345" s="452">
        <f>'HR Track 4 TSA'!Q6</f>
        <v>0</v>
      </c>
      <c r="R345" s="452">
        <f>'HR Track 4 TSA'!R6</f>
        <v>0</v>
      </c>
      <c r="S345" s="500">
        <f>'HR Track 4 TSA'!S6</f>
        <v>0</v>
      </c>
      <c r="T345" s="452">
        <f>'HR Track 4 TSA'!T6</f>
        <v>15</v>
      </c>
      <c r="U345" s="452">
        <f>'HR Track 4 TSA'!U6</f>
        <v>30</v>
      </c>
      <c r="V345" s="452">
        <f>'HR Track 4 TSA'!V6</f>
        <v>0</v>
      </c>
      <c r="W345" s="452">
        <f>'HR Track 4 TSA'!W6</f>
        <v>2.2999999999999998</v>
      </c>
      <c r="X345" s="452">
        <f>'HR Track 4 TSA'!X6</f>
        <v>1.4</v>
      </c>
      <c r="Y345" s="452">
        <f>'HR Track 4 TSA'!Y6</f>
        <v>0</v>
      </c>
      <c r="Z345" s="452">
        <f>'HR Track 4 TSA'!Z6</f>
        <v>0</v>
      </c>
      <c r="AA345" s="452">
        <f>'HR Track 4 TSA'!AA6</f>
        <v>0</v>
      </c>
      <c r="AB345" s="452">
        <f>'HR Track 4 TSA'!AB6</f>
        <v>0</v>
      </c>
      <c r="AC345" s="452" t="str">
        <f>'HR Track 4 TSA'!AC6</f>
        <v>BTC-1651</v>
      </c>
      <c r="AD345" s="452" t="str">
        <f>'HR Track 4 TSA'!AD6</f>
        <v>PHQ-1450</v>
      </c>
      <c r="AE345" s="452">
        <f>'HR Track 4 TSA'!AE6</f>
        <v>0</v>
      </c>
      <c r="AF345" s="452">
        <f>'HR Track 4 TSA'!AF6</f>
        <v>5700</v>
      </c>
      <c r="AG345" s="451">
        <f>'HR Track 4 TSA'!AG6</f>
        <v>92718</v>
      </c>
      <c r="AH345" s="452">
        <f>'HR Track 4 TSA'!AH6</f>
        <v>2393</v>
      </c>
      <c r="AI345" s="452">
        <f>'HR Track 4 TSA'!AI6</f>
        <v>180</v>
      </c>
      <c r="AJ345" s="452" t="str">
        <f>'HR Track 4 TSA'!AJ6</f>
        <v>Disc/PP</v>
      </c>
      <c r="AK345" s="452">
        <f>'HR Track 4 TSA'!AK6</f>
        <v>0</v>
      </c>
      <c r="AL345" s="452">
        <f>'HR Track 4 TSA'!AL6</f>
        <v>0</v>
      </c>
      <c r="AM345" s="452" t="str">
        <f>'HR Track 4 TSA'!AM6</f>
        <v>RW1</v>
      </c>
      <c r="AN345" s="500">
        <f>'HR Track 4 TSA'!AN6</f>
        <v>5.5</v>
      </c>
      <c r="AO345" s="452">
        <f>'HR Track 4 TSA'!AO6</f>
        <v>0</v>
      </c>
      <c r="AP345" s="452">
        <f>'HR Track 4 TSA'!AP6</f>
        <v>0</v>
      </c>
      <c r="AQ345" s="452">
        <f>'HR Track 4 TSA'!AQ6</f>
        <v>0</v>
      </c>
      <c r="AR345" s="452">
        <f>'HR Track 4 TSA'!AR6</f>
        <v>0</v>
      </c>
      <c r="AS345" s="452">
        <f>'HR Track 4 TSA'!AS6</f>
        <v>0</v>
      </c>
      <c r="AT345" s="452">
        <f>'HR Track 4 TSA'!AT6</f>
        <v>12.586360172779036</v>
      </c>
      <c r="AU345" s="452">
        <f>'HR Track 4 TSA'!AU6</f>
        <v>0</v>
      </c>
      <c r="AV345" s="452">
        <f>'HR Track 4 TSA'!AV6</f>
        <v>0</v>
      </c>
      <c r="AW345" s="452" t="str">
        <f>'HR Track 4 TSA'!AW6</f>
        <v>Soil B</v>
      </c>
      <c r="AX345" s="452" t="str">
        <f>'HR Track 4 TSA'!AX6</f>
        <v>PT</v>
      </c>
      <c r="AY345" s="500">
        <f>'HR Track 4 TSA'!AY6</f>
        <v>5.3</v>
      </c>
      <c r="AZ345" s="500">
        <f>'HR Track 4 TSA'!AZ6</f>
        <v>0</v>
      </c>
      <c r="BA345" s="1333" t="str">
        <f>'HR Track 4 TSA'!BA6</f>
        <v>ü</v>
      </c>
      <c r="BB345" s="452" t="str">
        <f>'HR Track 4 TSA'!BB6</f>
        <v>App.7-V11A-P9.5.1.5</v>
      </c>
      <c r="BC345" s="1334">
        <f>'HR Track 4 TSA'!BC6</f>
        <v>0</v>
      </c>
      <c r="BD345" s="1335">
        <f>'HR Track 4 TSA'!BD6</f>
        <v>43743</v>
      </c>
      <c r="BE345" s="1335">
        <f>'HR Track 4 TSA'!BE6</f>
        <v>0</v>
      </c>
      <c r="BF345" s="1335">
        <f>'HR Track 4 TSA'!BF6</f>
        <v>0</v>
      </c>
      <c r="BG345" s="1335">
        <f>'HR Track 4 TSA'!BG6</f>
        <v>43893</v>
      </c>
    </row>
    <row r="346" spans="1:59" ht="15.75" customHeight="1">
      <c r="A346" s="501">
        <f>'HR Track 4 TSA'!A7</f>
        <v>0</v>
      </c>
      <c r="B346" s="716">
        <f>'HR Track 4 TSA'!B7</f>
        <v>0</v>
      </c>
      <c r="C346" s="451">
        <f>'HR Track 4 TSA'!C7</f>
        <v>0</v>
      </c>
      <c r="D346" s="453">
        <f>'HR Track 4 TSA'!D7</f>
        <v>0</v>
      </c>
      <c r="E346" s="452">
        <f>'HR Track 4 TSA'!E7</f>
        <v>0</v>
      </c>
      <c r="F346" s="453">
        <f>'HR Track 4 TSA'!F7</f>
        <v>0</v>
      </c>
      <c r="G346" s="500">
        <f>'HR Track 4 TSA'!G7</f>
        <v>40</v>
      </c>
      <c r="H346" s="453">
        <f>'HR Track 4 TSA'!H7</f>
        <v>0</v>
      </c>
      <c r="I346" s="501">
        <f>'HR Track 4 TSA'!I7</f>
        <v>0</v>
      </c>
      <c r="J346" s="583">
        <f>'HR Track 4 TSA'!J7</f>
        <v>92751.150000000023</v>
      </c>
      <c r="K346" s="452" t="str">
        <f>'HR Track 4 TSA'!K7</f>
        <v>AnMC-R</v>
      </c>
      <c r="L346" s="452">
        <f>'HR Track 4 TSA'!L7</f>
        <v>0</v>
      </c>
      <c r="M346" s="452">
        <f>'HR Track 4 TSA'!M7</f>
        <v>0</v>
      </c>
      <c r="N346" s="501">
        <f>'HR Track 4 TSA'!N7</f>
        <v>0</v>
      </c>
      <c r="O346" s="501">
        <f>'HR Track 4 TSA'!O7</f>
        <v>0</v>
      </c>
      <c r="P346" s="501">
        <f>'HR Track 4 TSA'!P7</f>
        <v>0</v>
      </c>
      <c r="Q346" s="452">
        <f>'HR Track 4 TSA'!Q7</f>
        <v>0</v>
      </c>
      <c r="R346" s="452">
        <f>'HR Track 4 TSA'!R7</f>
        <v>0</v>
      </c>
      <c r="S346" s="500">
        <f>'HR Track 4 TSA'!S7</f>
        <v>40.470000000001164</v>
      </c>
      <c r="T346" s="452">
        <f>'HR Track 4 TSA'!T7</f>
        <v>0</v>
      </c>
      <c r="U346" s="452">
        <f>'HR Track 4 TSA'!U7</f>
        <v>0</v>
      </c>
      <c r="V346" s="452">
        <f>'HR Track 4 TSA'!V7</f>
        <v>0</v>
      </c>
      <c r="W346" s="452">
        <f>'HR Track 4 TSA'!W7</f>
        <v>0</v>
      </c>
      <c r="X346" s="452">
        <f>'HR Track 4 TSA'!X7</f>
        <v>0</v>
      </c>
      <c r="Y346" s="452">
        <f>'HR Track 4 TSA'!Y7</f>
        <v>0</v>
      </c>
      <c r="Z346" s="452">
        <f>'HR Track 4 TSA'!Z7</f>
        <v>0</v>
      </c>
      <c r="AA346" s="452">
        <f>'HR Track 4 TSA'!AA7</f>
        <v>0</v>
      </c>
      <c r="AB346" s="452">
        <f>'HR Track 4 TSA'!AB7</f>
        <v>0</v>
      </c>
      <c r="AC346" s="452">
        <f>'HR Track 4 TSA'!AC7</f>
        <v>0</v>
      </c>
      <c r="AD346" s="452">
        <f>'HR Track 4 TSA'!AD7</f>
        <v>0</v>
      </c>
      <c r="AE346" s="452">
        <f>'HR Track 4 TSA'!AE7</f>
        <v>0</v>
      </c>
      <c r="AF346" s="452">
        <f>'HR Track 4 TSA'!AF7</f>
        <v>0</v>
      </c>
      <c r="AG346" s="451">
        <f>'HR Track 4 TSA'!AG7</f>
        <v>0</v>
      </c>
      <c r="AH346" s="452">
        <f>'HR Track 4 TSA'!AH7</f>
        <v>0</v>
      </c>
      <c r="AI346" s="452">
        <f>'HR Track 4 TSA'!AI7</f>
        <v>0</v>
      </c>
      <c r="AJ346" s="452">
        <f>'HR Track 4 TSA'!AJ7</f>
        <v>0</v>
      </c>
      <c r="AK346" s="452">
        <f>'HR Track 4 TSA'!AK7</f>
        <v>0</v>
      </c>
      <c r="AL346" s="452">
        <f>'HR Track 4 TSA'!AL7</f>
        <v>0</v>
      </c>
      <c r="AM346" s="452">
        <f>'HR Track 4 TSA'!AM7</f>
        <v>0</v>
      </c>
      <c r="AN346" s="500">
        <f>'HR Track 4 TSA'!AN7</f>
        <v>0</v>
      </c>
      <c r="AO346" s="452">
        <f>'HR Track 4 TSA'!AO7</f>
        <v>0</v>
      </c>
      <c r="AP346" s="452">
        <f>'HR Track 4 TSA'!AP7</f>
        <v>0</v>
      </c>
      <c r="AQ346" s="452">
        <f>'HR Track 4 TSA'!AQ7</f>
        <v>-0.30014079999999999</v>
      </c>
      <c r="AR346" s="452">
        <f>'HR Track 4 TSA'!AR7</f>
        <v>0</v>
      </c>
      <c r="AS346" s="452">
        <f>'HR Track 4 TSA'!AS7</f>
        <v>0</v>
      </c>
      <c r="AT346" s="452">
        <f>'HR Track 4 TSA'!AT7</f>
        <v>0</v>
      </c>
      <c r="AU346" s="452">
        <f>'HR Track 4 TSA'!AU7</f>
        <v>0</v>
      </c>
      <c r="AV346" s="452">
        <f>'HR Track 4 TSA'!AV7</f>
        <v>0</v>
      </c>
      <c r="AW346" s="452" t="str">
        <f>'HR Track 4 TSA'!AW7</f>
        <v>Soil B</v>
      </c>
      <c r="AX346" s="452" t="str">
        <f>'HR Track 4 TSA'!AX7</f>
        <v>PT</v>
      </c>
      <c r="AY346" s="500">
        <f>'HR Track 4 TSA'!AY7</f>
        <v>0</v>
      </c>
      <c r="AZ346" s="500">
        <f>'HR Track 4 TSA'!AZ7</f>
        <v>3.9</v>
      </c>
      <c r="BA346" s="1333" t="str">
        <f>'HR Track 4 TSA'!BA7</f>
        <v>ü</v>
      </c>
      <c r="BB346" s="452">
        <f>'HR Track 4 TSA'!BB7</f>
        <v>0</v>
      </c>
      <c r="BC346" s="1334">
        <f>'HR Track 4 TSA'!BC7</f>
        <v>0</v>
      </c>
      <c r="BD346" s="1335">
        <f>'HR Track 4 TSA'!BD7</f>
        <v>43750</v>
      </c>
      <c r="BE346" s="1335">
        <f>'HR Track 4 TSA'!BE7</f>
        <v>0</v>
      </c>
      <c r="BF346" s="1335">
        <f>'HR Track 4 TSA'!BF7</f>
        <v>0</v>
      </c>
      <c r="BG346" s="1335">
        <f>'HR Track 4 TSA'!BG7</f>
        <v>0</v>
      </c>
    </row>
    <row r="347" spans="1:59" ht="15.75" customHeight="1">
      <c r="A347" s="501">
        <f>'HR Track 4 TSA'!A8</f>
        <v>0</v>
      </c>
      <c r="B347" s="716" t="str">
        <f>'HR Track 4 TSA'!B8</f>
        <v>92-4.22</v>
      </c>
      <c r="C347" s="451">
        <f>'HR Track 4 TSA'!C8</f>
        <v>92758.650000000023</v>
      </c>
      <c r="D347" s="453">
        <f>'HR Track 4 TSA'!D8</f>
        <v>0</v>
      </c>
      <c r="E347" s="452">
        <f>'HR Track 4 TSA'!E8</f>
        <v>0</v>
      </c>
      <c r="F347" s="453">
        <f>'HR Track 4 TSA'!F8</f>
        <v>0</v>
      </c>
      <c r="G347" s="500">
        <f>'HR Track 4 TSA'!G8</f>
        <v>0</v>
      </c>
      <c r="H347" s="453" t="str">
        <f>'HR Track 4 TSA'!H8</f>
        <v>A/S</v>
      </c>
      <c r="I347" s="501" t="str">
        <f>'HR Track 4 TSA'!I8</f>
        <v>CP/TX-P/1100</v>
      </c>
      <c r="J347" s="583">
        <f>'HR Track 4 TSA'!J8</f>
        <v>0</v>
      </c>
      <c r="K347" s="452">
        <f>'HR Track 4 TSA'!K8</f>
        <v>0</v>
      </c>
      <c r="L347" s="452" t="str">
        <f>'HR Track 4 TSA'!L8</f>
        <v>HEB-260 (CP)</v>
      </c>
      <c r="M347" s="452" t="str">
        <f>'HR Track 4 TSA'!M8</f>
        <v>C4R</v>
      </c>
      <c r="N347" s="501" t="str">
        <f>'HR Track 4 TSA'!N8</f>
        <v>EMT-1</v>
      </c>
      <c r="O347" s="501">
        <f>'HR Track 4 TSA'!O8</f>
        <v>0</v>
      </c>
      <c r="P347" s="501">
        <f>'HR Track 4 TSA'!P8</f>
        <v>0</v>
      </c>
      <c r="Q347" s="452">
        <f>'HR Track 4 TSA'!Q8</f>
        <v>0</v>
      </c>
      <c r="R347" s="452">
        <f>'HR Track 4 TSA'!R8</f>
        <v>0</v>
      </c>
      <c r="S347" s="500">
        <f>'HR Track 4 TSA'!S8</f>
        <v>0</v>
      </c>
      <c r="T347" s="452">
        <f>'HR Track 4 TSA'!T8</f>
        <v>-30</v>
      </c>
      <c r="U347" s="452">
        <f>'HR Track 4 TSA'!U8</f>
        <v>0</v>
      </c>
      <c r="V347" s="452">
        <f>'HR Track 4 TSA'!V8</f>
        <v>0</v>
      </c>
      <c r="W347" s="452">
        <f>'HR Track 4 TSA'!W8</f>
        <v>1.4</v>
      </c>
      <c r="X347" s="452">
        <f>'HR Track 4 TSA'!X8</f>
        <v>0</v>
      </c>
      <c r="Y347" s="452">
        <f>'HR Track 4 TSA'!Y8</f>
        <v>0</v>
      </c>
      <c r="Z347" s="452">
        <f>'HR Track 4 TSA'!Z8</f>
        <v>0</v>
      </c>
      <c r="AA347" s="452">
        <f>'HR Track 4 TSA'!AA8</f>
        <v>0</v>
      </c>
      <c r="AB347" s="452">
        <f>'HR Track 4 TSA'!AB8</f>
        <v>0</v>
      </c>
      <c r="AC347" s="452" t="str">
        <f>'HR Track 4 TSA'!AC8</f>
        <v>PHQ-1150</v>
      </c>
      <c r="AD347" s="452">
        <f>'HR Track 4 TSA'!AD8</f>
        <v>0</v>
      </c>
      <c r="AE347" s="452">
        <f>'HR Track 4 TSA'!AE8</f>
        <v>0</v>
      </c>
      <c r="AF347" s="452">
        <f>'HR Track 4 TSA'!AF8</f>
        <v>5800</v>
      </c>
      <c r="AG347" s="451">
        <f>'HR Track 4 TSA'!AG8</f>
        <v>92758.47</v>
      </c>
      <c r="AH347" s="452">
        <f>'HR Track 4 TSA'!AH8</f>
        <v>2483</v>
      </c>
      <c r="AI347" s="452">
        <f>'HR Track 4 TSA'!AI8</f>
        <v>240</v>
      </c>
      <c r="AJ347" s="452">
        <f>'HR Track 4 TSA'!AJ8</f>
        <v>0</v>
      </c>
      <c r="AK347" s="452">
        <f>'HR Track 4 TSA'!AK8</f>
        <v>0</v>
      </c>
      <c r="AL347" s="452">
        <f>'HR Track 4 TSA'!AL8</f>
        <v>0</v>
      </c>
      <c r="AM347" s="452" t="str">
        <f>'HR Track 4 TSA'!AM8</f>
        <v>RW1</v>
      </c>
      <c r="AN347" s="500">
        <f>'HR Track 4 TSA'!AN8</f>
        <v>5.5</v>
      </c>
      <c r="AO347" s="452">
        <f>'HR Track 4 TSA'!AO8</f>
        <v>0</v>
      </c>
      <c r="AP347" s="452">
        <f>'HR Track 4 TSA'!AP8</f>
        <v>0</v>
      </c>
      <c r="AQ347" s="452">
        <f>'HR Track 4 TSA'!AQ8</f>
        <v>0</v>
      </c>
      <c r="AR347" s="452">
        <f>'HR Track 4 TSA'!AR8</f>
        <v>0</v>
      </c>
      <c r="AS347" s="452">
        <f>'HR Track 4 TSA'!AS8</f>
        <v>0</v>
      </c>
      <c r="AT347" s="452">
        <f>'HR Track 4 TSA'!AT8</f>
        <v>-6.2080109881996579</v>
      </c>
      <c r="AU347" s="452">
        <f>'HR Track 4 TSA'!AU8</f>
        <v>0</v>
      </c>
      <c r="AV347" s="452">
        <f>'HR Track 4 TSA'!AV8</f>
        <v>0</v>
      </c>
      <c r="AW347" s="452" t="str">
        <f>'HR Track 4 TSA'!AW8</f>
        <v>Soil B</v>
      </c>
      <c r="AX347" s="452" t="str">
        <f>'HR Track 4 TSA'!AX8</f>
        <v>PT</v>
      </c>
      <c r="AY347" s="500">
        <f>'HR Track 4 TSA'!AY8</f>
        <v>3.5</v>
      </c>
      <c r="AZ347" s="500">
        <f>'HR Track 4 TSA'!AZ8</f>
        <v>0</v>
      </c>
      <c r="BA347" s="1333" t="str">
        <f>'HR Track 4 TSA'!BA8</f>
        <v>ü</v>
      </c>
      <c r="BB347" s="452" t="str">
        <f>'HR Track 4 TSA'!BB8</f>
        <v>App.7-V11A-P9.5.1.6</v>
      </c>
      <c r="BC347" s="1334">
        <f>'HR Track 4 TSA'!BC8</f>
        <v>0</v>
      </c>
      <c r="BD347" s="1335">
        <f>'HR Track 4 TSA'!BD8</f>
        <v>43750</v>
      </c>
      <c r="BE347" s="1335">
        <f>'HR Track 4 TSA'!BE8</f>
        <v>43858</v>
      </c>
      <c r="BF347" s="1335">
        <f>'HR Track 4 TSA'!BF8</f>
        <v>0</v>
      </c>
      <c r="BG347" s="1335">
        <f>'HR Track 4 TSA'!BG8</f>
        <v>43893</v>
      </c>
    </row>
    <row r="348" spans="1:59" ht="15.75" customHeight="1">
      <c r="A348" s="501">
        <f>'HR Track 4 TSA'!A9</f>
        <v>0</v>
      </c>
      <c r="B348" s="716">
        <f>'HR Track 4 TSA'!B9</f>
        <v>0</v>
      </c>
      <c r="C348" s="451">
        <f>'HR Track 4 TSA'!C9</f>
        <v>0</v>
      </c>
      <c r="D348" s="453">
        <f>'HR Track 4 TSA'!D9</f>
        <v>0</v>
      </c>
      <c r="E348" s="452">
        <f>'HR Track 4 TSA'!E9</f>
        <v>0</v>
      </c>
      <c r="F348" s="453">
        <f>'HR Track 4 TSA'!F9</f>
        <v>0</v>
      </c>
      <c r="G348" s="500">
        <f>'HR Track 4 TSA'!G9</f>
        <v>38</v>
      </c>
      <c r="H348" s="453">
        <f>'HR Track 4 TSA'!H9</f>
        <v>0</v>
      </c>
      <c r="I348" s="501">
        <f>'HR Track 4 TSA'!I9</f>
        <v>0</v>
      </c>
      <c r="J348" s="583">
        <f>'HR Track 4 TSA'!J9</f>
        <v>92789.150000000023</v>
      </c>
      <c r="K348" s="452" t="str">
        <f>'HR Track 4 TSA'!K9</f>
        <v>AnMC-R</v>
      </c>
      <c r="L348" s="452">
        <f>'HR Track 4 TSA'!L9</f>
        <v>0</v>
      </c>
      <c r="M348" s="452">
        <f>'HR Track 4 TSA'!M9</f>
        <v>0</v>
      </c>
      <c r="N348" s="501">
        <f>'HR Track 4 TSA'!N9</f>
        <v>0</v>
      </c>
      <c r="O348" s="501">
        <f>'HR Track 4 TSA'!O9</f>
        <v>0</v>
      </c>
      <c r="P348" s="501">
        <f>'HR Track 4 TSA'!P9</f>
        <v>0</v>
      </c>
      <c r="Q348" s="452">
        <f>'HR Track 4 TSA'!Q9</f>
        <v>0</v>
      </c>
      <c r="R348" s="452">
        <f>'HR Track 4 TSA'!R9</f>
        <v>0</v>
      </c>
      <c r="S348" s="500">
        <f>'HR Track 4 TSA'!S9</f>
        <v>37.529999999998836</v>
      </c>
      <c r="T348" s="452">
        <f>'HR Track 4 TSA'!T9</f>
        <v>0</v>
      </c>
      <c r="U348" s="452">
        <f>'HR Track 4 TSA'!U9</f>
        <v>0</v>
      </c>
      <c r="V348" s="452">
        <f>'HR Track 4 TSA'!V9</f>
        <v>0</v>
      </c>
      <c r="W348" s="452">
        <f>'HR Track 4 TSA'!W9</f>
        <v>0</v>
      </c>
      <c r="X348" s="452">
        <f>'HR Track 4 TSA'!X9</f>
        <v>0</v>
      </c>
      <c r="Y348" s="452">
        <f>'HR Track 4 TSA'!Y9</f>
        <v>0</v>
      </c>
      <c r="Z348" s="452">
        <f>'HR Track 4 TSA'!Z9</f>
        <v>0</v>
      </c>
      <c r="AA348" s="452">
        <f>'HR Track 4 TSA'!AA9</f>
        <v>0</v>
      </c>
      <c r="AB348" s="452">
        <f>'HR Track 4 TSA'!AB9</f>
        <v>0</v>
      </c>
      <c r="AC348" s="452">
        <f>'HR Track 4 TSA'!AC9</f>
        <v>0</v>
      </c>
      <c r="AD348" s="452">
        <f>'HR Track 4 TSA'!AD9</f>
        <v>0</v>
      </c>
      <c r="AE348" s="452">
        <f>'HR Track 4 TSA'!AE9</f>
        <v>0</v>
      </c>
      <c r="AF348" s="452">
        <f>'HR Track 4 TSA'!AF9</f>
        <v>0</v>
      </c>
      <c r="AG348" s="451">
        <f>'HR Track 4 TSA'!AG9</f>
        <v>0</v>
      </c>
      <c r="AH348" s="452">
        <f>'HR Track 4 TSA'!AH9</f>
        <v>0</v>
      </c>
      <c r="AI348" s="452">
        <f>'HR Track 4 TSA'!AI9</f>
        <v>0</v>
      </c>
      <c r="AJ348" s="452">
        <f>'HR Track 4 TSA'!AJ9</f>
        <v>0</v>
      </c>
      <c r="AK348" s="452">
        <f>'HR Track 4 TSA'!AK9</f>
        <v>0</v>
      </c>
      <c r="AL348" s="452">
        <f>'HR Track 4 TSA'!AL9</f>
        <v>0</v>
      </c>
      <c r="AM348" s="452">
        <f>'HR Track 4 TSA'!AM9</f>
        <v>0</v>
      </c>
      <c r="AN348" s="500">
        <f>'HR Track 4 TSA'!AN9</f>
        <v>0</v>
      </c>
      <c r="AO348" s="452">
        <f>'HR Track 4 TSA'!AO9</f>
        <v>0</v>
      </c>
      <c r="AP348" s="452">
        <f>'HR Track 4 TSA'!AP9</f>
        <v>0</v>
      </c>
      <c r="AQ348" s="452">
        <f>'HR Track 4 TSA'!AQ9</f>
        <v>-0.46231700515334478</v>
      </c>
      <c r="AR348" s="452">
        <f>'HR Track 4 TSA'!AR9</f>
        <v>0</v>
      </c>
      <c r="AS348" s="452">
        <f>'HR Track 4 TSA'!AS9</f>
        <v>0</v>
      </c>
      <c r="AT348" s="452">
        <f>'HR Track 4 TSA'!AT9</f>
        <v>0</v>
      </c>
      <c r="AU348" s="452">
        <f>'HR Track 4 TSA'!AU9</f>
        <v>0</v>
      </c>
      <c r="AV348" s="452">
        <f>'HR Track 4 TSA'!AV9</f>
        <v>0</v>
      </c>
      <c r="AW348" s="452" t="str">
        <f>'HR Track 4 TSA'!AW9</f>
        <v>Soil B</v>
      </c>
      <c r="AX348" s="452" t="str">
        <f>'HR Track 4 TSA'!AX9</f>
        <v>PT</v>
      </c>
      <c r="AY348" s="500">
        <f>'HR Track 4 TSA'!AY9</f>
        <v>0</v>
      </c>
      <c r="AZ348" s="500">
        <f>'HR Track 4 TSA'!AZ9</f>
        <v>3.9</v>
      </c>
      <c r="BA348" s="1333" t="str">
        <f>'HR Track 4 TSA'!BA9</f>
        <v>ü</v>
      </c>
      <c r="BB348" s="452">
        <f>'HR Track 4 TSA'!BB9</f>
        <v>0</v>
      </c>
      <c r="BC348" s="1334">
        <f>'HR Track 4 TSA'!BC9</f>
        <v>0</v>
      </c>
      <c r="BD348" s="1335">
        <f>'HR Track 4 TSA'!BD9</f>
        <v>43743</v>
      </c>
      <c r="BE348" s="1335">
        <f>'HR Track 4 TSA'!BE9</f>
        <v>0</v>
      </c>
      <c r="BF348" s="1335">
        <f>'HR Track 4 TSA'!BF9</f>
        <v>0</v>
      </c>
      <c r="BG348" s="1335">
        <f>'HR Track 4 TSA'!BG9</f>
        <v>0</v>
      </c>
    </row>
    <row r="349" spans="1:59" ht="15.75" customHeight="1">
      <c r="A349" s="501" t="str">
        <f>'HR Track 4 TSA'!A10</f>
        <v xml:space="preserve">TSA-BF02 </v>
      </c>
      <c r="B349" s="716" t="str">
        <f>'HR Track 4 TSA'!B10</f>
        <v>92-4.23</v>
      </c>
      <c r="C349" s="451">
        <f>'HR Track 4 TSA'!C10</f>
        <v>92796.650000000023</v>
      </c>
      <c r="D349" s="453">
        <f>'HR Track 4 TSA'!D10</f>
        <v>0</v>
      </c>
      <c r="E349" s="452">
        <f>'HR Track 4 TSA'!E10</f>
        <v>0</v>
      </c>
      <c r="F349" s="453">
        <f>'HR Track 4 TSA'!F10</f>
        <v>-675</v>
      </c>
      <c r="G349" s="500">
        <f>'HR Track 4 TSA'!G10</f>
        <v>0</v>
      </c>
      <c r="H349" s="453" t="str">
        <f>'HR Track 4 TSA'!H10</f>
        <v>S/A A/S-Diag</v>
      </c>
      <c r="I349" s="501" t="str">
        <f>'HR Track 4 TSA'!I10</f>
        <v>CP/TX-P/1350</v>
      </c>
      <c r="J349" s="583">
        <f>'HR Track 4 TSA'!J10</f>
        <v>0</v>
      </c>
      <c r="K349" s="452">
        <f>'HR Track 4 TSA'!K10</f>
        <v>0</v>
      </c>
      <c r="L349" s="452" t="str">
        <f>'HR Track 4 TSA'!L10</f>
        <v>HEB-320L</v>
      </c>
      <c r="M349" s="452" t="str">
        <f>'HR Track 4 TSA'!M10</f>
        <v>C7R</v>
      </c>
      <c r="N349" s="501" t="str">
        <f>'HR Track 4 TSA'!N10</f>
        <v>EMT-T</v>
      </c>
      <c r="O349" s="501" t="str">
        <f>'HR Track 4 TSA'!O10</f>
        <v>EMT-2</v>
      </c>
      <c r="P349" s="501">
        <f>'HR Track 4 TSA'!P10</f>
        <v>0</v>
      </c>
      <c r="Q349" s="452">
        <f>'HR Track 4 TSA'!Q10</f>
        <v>30</v>
      </c>
      <c r="R349" s="452">
        <f>'HR Track 4 TSA'!R10</f>
        <v>-675</v>
      </c>
      <c r="S349" s="500">
        <f>'HR Track 4 TSA'!S10</f>
        <v>0</v>
      </c>
      <c r="T349" s="452">
        <f>'HR Track 4 TSA'!T10</f>
        <v>-10</v>
      </c>
      <c r="U349" s="452">
        <f>'HR Track 4 TSA'!U10</f>
        <v>30</v>
      </c>
      <c r="V349" s="452">
        <f>'HR Track 4 TSA'!V10</f>
        <v>0</v>
      </c>
      <c r="W349" s="452">
        <f>'HR Track 4 TSA'!W10</f>
        <v>2.2999999999999998</v>
      </c>
      <c r="X349" s="452">
        <f>'HR Track 4 TSA'!X10</f>
        <v>1.4</v>
      </c>
      <c r="Y349" s="452">
        <f>'HR Track 4 TSA'!Y10</f>
        <v>0</v>
      </c>
      <c r="Z349" s="452">
        <f>'HR Track 4 TSA'!Z10</f>
        <v>0.45</v>
      </c>
      <c r="AA349" s="452">
        <f>'HR Track 4 TSA'!AA10</f>
        <v>0</v>
      </c>
      <c r="AB349" s="452">
        <f>'HR Track 4 TSA'!AB10</f>
        <v>0</v>
      </c>
      <c r="AC349" s="452" t="str">
        <f>'HR Track 4 TSA'!AC10</f>
        <v>PHC-1150</v>
      </c>
      <c r="AD349" s="452">
        <f>'HR Track 4 TSA'!AD10</f>
        <v>0</v>
      </c>
      <c r="AE349" s="452">
        <f>'HR Track 4 TSA'!AE10</f>
        <v>0</v>
      </c>
      <c r="AF349" s="452">
        <f>'HR Track 4 TSA'!AF10</f>
        <v>5800</v>
      </c>
      <c r="AG349" s="451">
        <f>'HR Track 4 TSA'!AG10</f>
        <v>92796</v>
      </c>
      <c r="AH349" s="452">
        <f>'HR Track 4 TSA'!AH10</f>
        <v>2353</v>
      </c>
      <c r="AI349" s="452">
        <f>'HR Track 4 TSA'!AI10</f>
        <v>220</v>
      </c>
      <c r="AJ349" s="452" t="str">
        <f>'HR Track 4 TSA'!AJ10</f>
        <v>FS-1</v>
      </c>
      <c r="AK349" s="452">
        <f>'HR Track 4 TSA'!AK10</f>
        <v>0</v>
      </c>
      <c r="AL349" s="452">
        <f>'HR Track 4 TSA'!AL10</f>
        <v>0</v>
      </c>
      <c r="AM349" s="452" t="str">
        <f>'HR Track 4 TSA'!AM10</f>
        <v>RW1</v>
      </c>
      <c r="AN349" s="500">
        <f>'HR Track 4 TSA'!AN10</f>
        <v>5.5</v>
      </c>
      <c r="AO349" s="452">
        <f>'HR Track 4 TSA'!AO10</f>
        <v>0</v>
      </c>
      <c r="AP349" s="452">
        <f>'HR Track 4 TSA'!AP10</f>
        <v>0</v>
      </c>
      <c r="AQ349" s="452">
        <f>'HR Track 4 TSA'!AQ10</f>
        <v>0</v>
      </c>
      <c r="AR349" s="452">
        <f>'HR Track 4 TSA'!AR10</f>
        <v>0</v>
      </c>
      <c r="AS349" s="452">
        <f>'HR Track 4 TSA'!AS10</f>
        <v>0</v>
      </c>
      <c r="AT349" s="452">
        <f>'HR Track 4 TSA'!AT10</f>
        <v>2.4818204458188045</v>
      </c>
      <c r="AU349" s="452">
        <f>'HR Track 4 TSA'!AU10</f>
        <v>0</v>
      </c>
      <c r="AV349" s="452">
        <f>'HR Track 4 TSA'!AV10</f>
        <v>0</v>
      </c>
      <c r="AW349" s="452" t="str">
        <f>'HR Track 4 TSA'!AW10</f>
        <v>Soil B</v>
      </c>
      <c r="AX349" s="452" t="str">
        <f>'HR Track 4 TSA'!AX10</f>
        <v>PT</v>
      </c>
      <c r="AY349" s="500">
        <f>'HR Track 4 TSA'!AY10</f>
        <v>3.5</v>
      </c>
      <c r="AZ349" s="500">
        <f>'HR Track 4 TSA'!AZ10</f>
        <v>0</v>
      </c>
      <c r="BA349" s="1333" t="str">
        <f>'HR Track 4 TSA'!BA10</f>
        <v>ü</v>
      </c>
      <c r="BB349" s="452" t="str">
        <f>'HR Track 4 TSA'!BB10</f>
        <v>App.8-V08F-P10.3</v>
      </c>
      <c r="BC349" s="1334">
        <f>'HR Track 4 TSA'!BC10</f>
        <v>0</v>
      </c>
      <c r="BD349" s="1335">
        <f>'HR Track 4 TSA'!BD10</f>
        <v>43743</v>
      </c>
      <c r="BE349" s="1335" t="str">
        <f>'HR Track 4 TSA'!BE10</f>
        <v>Ejecutado</v>
      </c>
      <c r="BF349" s="1335">
        <f>'HR Track 4 TSA'!BF10</f>
        <v>0</v>
      </c>
      <c r="BG349" s="1335">
        <f>'HR Track 4 TSA'!BG10</f>
        <v>43870</v>
      </c>
    </row>
    <row r="350" spans="1:59" ht="15.75" customHeight="1">
      <c r="A350" s="501">
        <f>'HR Track 4 TSA'!A11</f>
        <v>0</v>
      </c>
      <c r="B350" s="716">
        <f>'HR Track 4 TSA'!B11</f>
        <v>0</v>
      </c>
      <c r="C350" s="451">
        <f>'HR Track 4 TSA'!C11</f>
        <v>0</v>
      </c>
      <c r="D350" s="453">
        <f>'HR Track 4 TSA'!D11</f>
        <v>0</v>
      </c>
      <c r="E350" s="452">
        <f>'HR Track 4 TSA'!E11</f>
        <v>0</v>
      </c>
      <c r="F350" s="453">
        <f>'HR Track 4 TSA'!F11</f>
        <v>0</v>
      </c>
      <c r="G350" s="500">
        <f>'HR Track 4 TSA'!G11</f>
        <v>45</v>
      </c>
      <c r="H350" s="453">
        <f>'HR Track 4 TSA'!H11</f>
        <v>0</v>
      </c>
      <c r="I350" s="501">
        <f>'HR Track 4 TSA'!I11</f>
        <v>0</v>
      </c>
      <c r="J350" s="583">
        <f>'HR Track 4 TSA'!J11</f>
        <v>0</v>
      </c>
      <c r="K350" s="452">
        <f>'HR Track 4 TSA'!K11</f>
        <v>0</v>
      </c>
      <c r="L350" s="452">
        <f>'HR Track 4 TSA'!L11</f>
        <v>0</v>
      </c>
      <c r="M350" s="452">
        <f>'HR Track 4 TSA'!M11</f>
        <v>0</v>
      </c>
      <c r="N350" s="501">
        <f>'HR Track 4 TSA'!N11</f>
        <v>0</v>
      </c>
      <c r="O350" s="501">
        <f>'HR Track 4 TSA'!O11</f>
        <v>0</v>
      </c>
      <c r="P350" s="501">
        <f>'HR Track 4 TSA'!P11</f>
        <v>0</v>
      </c>
      <c r="Q350" s="452">
        <f>'HR Track 4 TSA'!Q11</f>
        <v>0</v>
      </c>
      <c r="R350" s="452">
        <f>'HR Track 4 TSA'!R11</f>
        <v>0</v>
      </c>
      <c r="S350" s="500">
        <f>'HR Track 4 TSA'!S11</f>
        <v>46.789999999993597</v>
      </c>
      <c r="T350" s="452">
        <f>'HR Track 4 TSA'!T11</f>
        <v>0</v>
      </c>
      <c r="U350" s="452">
        <f>'HR Track 4 TSA'!U11</f>
        <v>0</v>
      </c>
      <c r="V350" s="452">
        <f>'HR Track 4 TSA'!V11</f>
        <v>0</v>
      </c>
      <c r="W350" s="452">
        <f>'HR Track 4 TSA'!W11</f>
        <v>0</v>
      </c>
      <c r="X350" s="452">
        <f>'HR Track 4 TSA'!X11</f>
        <v>0</v>
      </c>
      <c r="Y350" s="452">
        <f>'HR Track 4 TSA'!Y11</f>
        <v>0</v>
      </c>
      <c r="Z350" s="452">
        <f>'HR Track 4 TSA'!Z11</f>
        <v>0</v>
      </c>
      <c r="AA350" s="452">
        <f>'HR Track 4 TSA'!AA11</f>
        <v>0</v>
      </c>
      <c r="AB350" s="452">
        <f>'HR Track 4 TSA'!AB11</f>
        <v>0</v>
      </c>
      <c r="AC350" s="452">
        <f>'HR Track 4 TSA'!AC11</f>
        <v>0</v>
      </c>
      <c r="AD350" s="452">
        <f>'HR Track 4 TSA'!AD11</f>
        <v>0</v>
      </c>
      <c r="AE350" s="452">
        <f>'HR Track 4 TSA'!AE11</f>
        <v>0</v>
      </c>
      <c r="AF350" s="452">
        <f>'HR Track 4 TSA'!AF11</f>
        <v>0</v>
      </c>
      <c r="AG350" s="451">
        <f>'HR Track 4 TSA'!AG11</f>
        <v>0</v>
      </c>
      <c r="AH350" s="452">
        <f>'HR Track 4 TSA'!AH11</f>
        <v>0</v>
      </c>
      <c r="AI350" s="452">
        <f>'HR Track 4 TSA'!AI11</f>
        <v>0</v>
      </c>
      <c r="AJ350" s="452">
        <f>'HR Track 4 TSA'!AJ11</f>
        <v>0</v>
      </c>
      <c r="AK350" s="452">
        <f>'HR Track 4 TSA'!AK11</f>
        <v>0</v>
      </c>
      <c r="AL350" s="452">
        <f>'HR Track 4 TSA'!AL11</f>
        <v>0</v>
      </c>
      <c r="AM350" s="452">
        <f>'HR Track 4 TSA'!AM11</f>
        <v>0</v>
      </c>
      <c r="AN350" s="500">
        <f>'HR Track 4 TSA'!AN11</f>
        <v>0</v>
      </c>
      <c r="AO350" s="452">
        <f>'HR Track 4 TSA'!AO11</f>
        <v>0</v>
      </c>
      <c r="AP350" s="452">
        <f>'HR Track 4 TSA'!AP11</f>
        <v>0</v>
      </c>
      <c r="AQ350" s="452">
        <f>'HR Track 4 TSA'!AQ11</f>
        <v>-9.2902986487481021E-2</v>
      </c>
      <c r="AR350" s="452">
        <f>'HR Track 4 TSA'!AR11</f>
        <v>0</v>
      </c>
      <c r="AS350" s="452">
        <f>'HR Track 4 TSA'!AS11</f>
        <v>0</v>
      </c>
      <c r="AT350" s="452">
        <f>'HR Track 4 TSA'!AT11</f>
        <v>0</v>
      </c>
      <c r="AU350" s="452">
        <f>'HR Track 4 TSA'!AU11</f>
        <v>0</v>
      </c>
      <c r="AV350" s="452">
        <f>'HR Track 4 TSA'!AV11</f>
        <v>0</v>
      </c>
      <c r="AW350" s="452">
        <f>'HR Track 4 TSA'!AW11</f>
        <v>0</v>
      </c>
      <c r="AX350" s="452">
        <f>'HR Track 4 TSA'!AX11</f>
        <v>0</v>
      </c>
      <c r="AY350" s="500" t="str">
        <f>'HR Track 4 TSA'!AY11</f>
        <v/>
      </c>
      <c r="AZ350" s="500" t="str">
        <f>'HR Track 4 TSA'!AZ11</f>
        <v/>
      </c>
      <c r="BA350" s="1333">
        <f>'HR Track 4 TSA'!BA11</f>
        <v>0</v>
      </c>
      <c r="BB350" s="452">
        <f>'HR Track 4 TSA'!BB11</f>
        <v>0</v>
      </c>
      <c r="BC350" s="1334">
        <f>'HR Track 4 TSA'!BC11</f>
        <v>0</v>
      </c>
      <c r="BD350" s="1335">
        <f>'HR Track 4 TSA'!BD11</f>
        <v>0</v>
      </c>
      <c r="BE350" s="1335">
        <f>'HR Track 4 TSA'!BE11</f>
        <v>0</v>
      </c>
      <c r="BF350" s="1335">
        <f>'HR Track 4 TSA'!BF11</f>
        <v>0</v>
      </c>
      <c r="BG350" s="1335">
        <f>'HR Track 4 TSA'!BG11</f>
        <v>0</v>
      </c>
    </row>
    <row r="351" spans="1:59" ht="15.75" customHeight="1">
      <c r="A351" s="501">
        <f>'HR Track 4 TSA'!A12</f>
        <v>0</v>
      </c>
      <c r="B351" s="716" t="str">
        <f>'HR Track 4 TSA'!B12</f>
        <v>92-4.23BIS</v>
      </c>
      <c r="C351" s="451">
        <f>'HR Track 4 TSA'!C12</f>
        <v>92841.650000000023</v>
      </c>
      <c r="D351" s="453">
        <f>'HR Track 4 TSA'!D12</f>
        <v>0</v>
      </c>
      <c r="E351" s="452">
        <f>'HR Track 4 TSA'!E12</f>
        <v>0</v>
      </c>
      <c r="F351" s="453">
        <f>'HR Track 4 TSA'!F12</f>
        <v>-1284</v>
      </c>
      <c r="G351" s="500">
        <f>'HR Track 4 TSA'!G12</f>
        <v>0</v>
      </c>
      <c r="H351" s="453" t="str">
        <f>'HR Track 4 TSA'!H12</f>
        <v>S/A S/A</v>
      </c>
      <c r="I351" s="501">
        <f>'HR Track 4 TSA'!I12</f>
        <v>0</v>
      </c>
      <c r="J351" s="583">
        <f>'HR Track 4 TSA'!J12</f>
        <v>0</v>
      </c>
      <c r="K351" s="452">
        <f>'HR Track 4 TSA'!K12</f>
        <v>0</v>
      </c>
      <c r="L351" s="452" t="str">
        <f>'HR Track 4 TSA'!L12</f>
        <v>2HEB-260</v>
      </c>
      <c r="M351" s="452" t="str">
        <f>'HR Track 4 TSA'!M12</f>
        <v>2C4R</v>
      </c>
      <c r="N351" s="501" t="str">
        <f>'HR Track 4 TSA'!N12</f>
        <v>EMT-T</v>
      </c>
      <c r="O351" s="501" t="str">
        <f>'HR Track 4 TSA'!O12</f>
        <v>EMT-2</v>
      </c>
      <c r="P351" s="501" t="str">
        <f>'HR Track 4 TSA'!P12</f>
        <v>EMT-T</v>
      </c>
      <c r="Q351" s="452">
        <f>'HR Track 4 TSA'!Q12</f>
        <v>30</v>
      </c>
      <c r="R351" s="452">
        <f>'HR Track 4 TSA'!R12</f>
        <v>-1284.43</v>
      </c>
      <c r="S351" s="500">
        <f>'HR Track 4 TSA'!S12</f>
        <v>0</v>
      </c>
      <c r="T351" s="452">
        <f>'HR Track 4 TSA'!T12</f>
        <v>15</v>
      </c>
      <c r="U351" s="452">
        <f>'HR Track 4 TSA'!U12</f>
        <v>30</v>
      </c>
      <c r="V351" s="452">
        <f>'HR Track 4 TSA'!V12</f>
        <v>50</v>
      </c>
      <c r="W351" s="452">
        <f>'HR Track 4 TSA'!W12</f>
        <v>2.2999999999999998</v>
      </c>
      <c r="X351" s="452">
        <f>'HR Track 4 TSA'!X12</f>
        <v>1.8</v>
      </c>
      <c r="Y351" s="452">
        <f>'HR Track 4 TSA'!Y12</f>
        <v>1.4</v>
      </c>
      <c r="Z351" s="452">
        <f>'HR Track 4 TSA'!Z12</f>
        <v>0.3</v>
      </c>
      <c r="AA351" s="452">
        <f>'HR Track 4 TSA'!AA12</f>
        <v>0</v>
      </c>
      <c r="AB351" s="452">
        <f>'HR Track 4 TSA'!AB12</f>
        <v>0.45</v>
      </c>
      <c r="AC351" s="452" t="str">
        <f>'HR Track 4 TSA'!AC12</f>
        <v>PHQ-1150</v>
      </c>
      <c r="AD351" s="452">
        <f>'HR Track 4 TSA'!AD12</f>
        <v>0</v>
      </c>
      <c r="AE351" s="452">
        <f>'HR Track 4 TSA'!AE12</f>
        <v>0</v>
      </c>
      <c r="AF351" s="452">
        <f>'HR Track 4 TSA'!AF12</f>
        <v>5800</v>
      </c>
      <c r="AG351" s="451">
        <f>'HR Track 4 TSA'!AG12</f>
        <v>92842.79</v>
      </c>
      <c r="AH351" s="452">
        <f>'HR Track 4 TSA'!AH12</f>
        <v>2563</v>
      </c>
      <c r="AI351" s="452">
        <f>'HR Track 4 TSA'!AI12</f>
        <v>270</v>
      </c>
      <c r="AJ351" s="452">
        <f>'HR Track 4 TSA'!AJ12</f>
        <v>0</v>
      </c>
      <c r="AK351" s="452">
        <f>'HR Track 4 TSA'!AK12</f>
        <v>0</v>
      </c>
      <c r="AL351" s="452">
        <f>'HR Track 4 TSA'!AL12</f>
        <v>0</v>
      </c>
      <c r="AM351" s="452" t="str">
        <f>'HR Track 4 TSA'!AM12</f>
        <v>RW1</v>
      </c>
      <c r="AN351" s="500">
        <f>'HR Track 4 TSA'!AN12</f>
        <v>5.5</v>
      </c>
      <c r="AO351" s="452">
        <f>'HR Track 4 TSA'!AO12</f>
        <v>0</v>
      </c>
      <c r="AP351" s="452">
        <f>'HR Track 4 TSA'!AP12</f>
        <v>0</v>
      </c>
      <c r="AQ351" s="452">
        <f>'HR Track 4 TSA'!AQ12</f>
        <v>0</v>
      </c>
      <c r="AR351" s="452">
        <f>'HR Track 4 TSA'!AR12</f>
        <v>0</v>
      </c>
      <c r="AS351" s="452">
        <f>'HR Track 4 TSA'!AS12</f>
        <v>0</v>
      </c>
      <c r="AT351" s="452">
        <f>'HR Track 4 TSA'!AT12</f>
        <v>4.8804155687836941</v>
      </c>
      <c r="AU351" s="452">
        <f>'HR Track 4 TSA'!AU12</f>
        <v>0</v>
      </c>
      <c r="AV351" s="452">
        <f>'HR Track 4 TSA'!AV12</f>
        <v>0</v>
      </c>
      <c r="AW351" s="452" t="str">
        <f>'HR Track 4 TSA'!AW12</f>
        <v>Soil B</v>
      </c>
      <c r="AX351" s="452" t="str">
        <f>'HR Track 4 TSA'!AX12</f>
        <v>PT</v>
      </c>
      <c r="AY351" s="500">
        <f>'HR Track 4 TSA'!AY12</f>
        <v>4</v>
      </c>
      <c r="AZ351" s="500">
        <f>'HR Track 4 TSA'!AZ12</f>
        <v>0</v>
      </c>
      <c r="BA351" s="1333" t="str">
        <f>'HR Track 4 TSA'!BA12</f>
        <v>ü</v>
      </c>
      <c r="BB351" s="452" t="str">
        <f>'HR Track 4 TSA'!BB12</f>
        <v>App.7-V11A-P9.5.1.9</v>
      </c>
      <c r="BC351" s="1334">
        <f>'HR Track 4 TSA'!BC12</f>
        <v>0</v>
      </c>
      <c r="BD351" s="1335">
        <f>'HR Track 4 TSA'!BD12</f>
        <v>43750</v>
      </c>
      <c r="BE351" s="1335">
        <f>'HR Track 4 TSA'!BE12</f>
        <v>0</v>
      </c>
      <c r="BF351" s="1335">
        <f>'HR Track 4 TSA'!BF12</f>
        <v>0</v>
      </c>
      <c r="BG351" s="1335">
        <f>'HR Track 4 TSA'!BG12</f>
        <v>43893</v>
      </c>
    </row>
    <row r="352" spans="1:59" ht="15.75" customHeight="1">
      <c r="A352" s="501">
        <f>'HR Track 4 TSA'!A13</f>
        <v>0</v>
      </c>
      <c r="B352" s="716">
        <f>'HR Track 4 TSA'!B13</f>
        <v>0</v>
      </c>
      <c r="C352" s="451">
        <f>'HR Track 4 TSA'!C13</f>
        <v>0</v>
      </c>
      <c r="D352" s="453">
        <f>'HR Track 4 TSA'!D13</f>
        <v>0</v>
      </c>
      <c r="E352" s="452">
        <f>'HR Track 4 TSA'!E13</f>
        <v>0</v>
      </c>
      <c r="F352" s="453">
        <f>'HR Track 4 TSA'!F13</f>
        <v>0</v>
      </c>
      <c r="G352" s="500">
        <f>'HR Track 4 TSA'!G13</f>
        <v>32.9</v>
      </c>
      <c r="H352" s="453">
        <f>'HR Track 4 TSA'!H13</f>
        <v>0</v>
      </c>
      <c r="I352" s="501">
        <f>'HR Track 4 TSA'!I13</f>
        <v>0</v>
      </c>
      <c r="J352" s="583">
        <f>'HR Track 4 TSA'!J13</f>
        <v>0</v>
      </c>
      <c r="K352" s="452">
        <f>'HR Track 4 TSA'!K13</f>
        <v>0</v>
      </c>
      <c r="L352" s="452">
        <f>'HR Track 4 TSA'!L13</f>
        <v>0</v>
      </c>
      <c r="M352" s="452">
        <f>'HR Track 4 TSA'!M13</f>
        <v>0</v>
      </c>
      <c r="N352" s="501">
        <f>'HR Track 4 TSA'!N13</f>
        <v>0</v>
      </c>
      <c r="O352" s="501">
        <f>'HR Track 4 TSA'!O13</f>
        <v>0</v>
      </c>
      <c r="P352" s="501">
        <f>'HR Track 4 TSA'!P13</f>
        <v>0</v>
      </c>
      <c r="Q352" s="452">
        <f>'HR Track 4 TSA'!Q13</f>
        <v>0</v>
      </c>
      <c r="R352" s="452">
        <f>'HR Track 4 TSA'!R13</f>
        <v>0</v>
      </c>
      <c r="S352" s="500">
        <f>'HR Track 4 TSA'!S13</f>
        <v>33.270000000004075</v>
      </c>
      <c r="T352" s="452">
        <f>'HR Track 4 TSA'!T13</f>
        <v>0</v>
      </c>
      <c r="U352" s="452">
        <f>'HR Track 4 TSA'!U13</f>
        <v>0</v>
      </c>
      <c r="V352" s="452">
        <f>'HR Track 4 TSA'!V13</f>
        <v>0</v>
      </c>
      <c r="W352" s="452">
        <f>'HR Track 4 TSA'!W13</f>
        <v>0</v>
      </c>
      <c r="X352" s="452">
        <f>'HR Track 4 TSA'!X13</f>
        <v>0</v>
      </c>
      <c r="Y352" s="452">
        <f>'HR Track 4 TSA'!Y13</f>
        <v>0</v>
      </c>
      <c r="Z352" s="452">
        <f>'HR Track 4 TSA'!Z13</f>
        <v>0</v>
      </c>
      <c r="AA352" s="452">
        <f>'HR Track 4 TSA'!AA13</f>
        <v>0</v>
      </c>
      <c r="AB352" s="452">
        <f>'HR Track 4 TSA'!AB13</f>
        <v>0</v>
      </c>
      <c r="AC352" s="452">
        <f>'HR Track 4 TSA'!AC13</f>
        <v>0</v>
      </c>
      <c r="AD352" s="452">
        <f>'HR Track 4 TSA'!AD13</f>
        <v>0</v>
      </c>
      <c r="AE352" s="452">
        <f>'HR Track 4 TSA'!AE13</f>
        <v>0</v>
      </c>
      <c r="AF352" s="452">
        <f>'HR Track 4 TSA'!AF13</f>
        <v>0</v>
      </c>
      <c r="AG352" s="451">
        <f>'HR Track 4 TSA'!AG13</f>
        <v>0</v>
      </c>
      <c r="AH352" s="452">
        <f>'HR Track 4 TSA'!AH13</f>
        <v>0</v>
      </c>
      <c r="AI352" s="452">
        <f>'HR Track 4 TSA'!AI13</f>
        <v>0</v>
      </c>
      <c r="AJ352" s="452">
        <f>'HR Track 4 TSA'!AJ13</f>
        <v>0</v>
      </c>
      <c r="AK352" s="452">
        <f>'HR Track 4 TSA'!AK13</f>
        <v>0</v>
      </c>
      <c r="AL352" s="452">
        <f>'HR Track 4 TSA'!AL13</f>
        <v>0</v>
      </c>
      <c r="AM352" s="452">
        <f>'HR Track 4 TSA'!AM13</f>
        <v>0</v>
      </c>
      <c r="AN352" s="500">
        <f>'HR Track 4 TSA'!AN13</f>
        <v>0</v>
      </c>
      <c r="AO352" s="452">
        <f>'HR Track 4 TSA'!AO13</f>
        <v>0</v>
      </c>
      <c r="AP352" s="452">
        <f>'HR Track 4 TSA'!AP13</f>
        <v>0</v>
      </c>
      <c r="AQ352" s="452">
        <f>'HR Track 4 TSA'!AQ13</f>
        <v>0.40463296666666665</v>
      </c>
      <c r="AR352" s="452">
        <f>'HR Track 4 TSA'!AR13</f>
        <v>0</v>
      </c>
      <c r="AS352" s="452">
        <f>'HR Track 4 TSA'!AS13</f>
        <v>0</v>
      </c>
      <c r="AT352" s="452">
        <f>'HR Track 4 TSA'!AT13</f>
        <v>0</v>
      </c>
      <c r="AU352" s="452">
        <f>'HR Track 4 TSA'!AU13</f>
        <v>0</v>
      </c>
      <c r="AV352" s="452">
        <f>'HR Track 4 TSA'!AV13</f>
        <v>0</v>
      </c>
      <c r="AW352" s="452">
        <f>'HR Track 4 TSA'!AW13</f>
        <v>0</v>
      </c>
      <c r="AX352" s="452">
        <f>'HR Track 4 TSA'!AX13</f>
        <v>0</v>
      </c>
      <c r="AY352" s="500" t="str">
        <f>'HR Track 4 TSA'!AY13</f>
        <v/>
      </c>
      <c r="AZ352" s="500" t="str">
        <f>'HR Track 4 TSA'!AZ13</f>
        <v/>
      </c>
      <c r="BA352" s="1333">
        <f>'HR Track 4 TSA'!BA13</f>
        <v>0</v>
      </c>
      <c r="BB352" s="452">
        <f>'HR Track 4 TSA'!BB13</f>
        <v>0</v>
      </c>
      <c r="BC352" s="1334">
        <f>'HR Track 4 TSA'!BC13</f>
        <v>0</v>
      </c>
      <c r="BD352" s="1335">
        <f>'HR Track 4 TSA'!BD13</f>
        <v>0</v>
      </c>
      <c r="BE352" s="1335">
        <f>'HR Track 4 TSA'!BE13</f>
        <v>0</v>
      </c>
      <c r="BF352" s="1335">
        <f>'HR Track 4 TSA'!BF13</f>
        <v>0</v>
      </c>
      <c r="BG352" s="1335">
        <f>'HR Track 4 TSA'!BG13</f>
        <v>0</v>
      </c>
    </row>
    <row r="353" spans="1:59" ht="15.75" customHeight="1">
      <c r="A353" s="501">
        <f>'HR Track 4 TSA'!A14</f>
        <v>0</v>
      </c>
      <c r="B353" s="716" t="str">
        <f>'HR Track 4 TSA'!B14</f>
        <v>92-4.24</v>
      </c>
      <c r="C353" s="451">
        <f>'HR Track 4 TSA'!C14</f>
        <v>92874.550000000017</v>
      </c>
      <c r="D353" s="453">
        <f>'HR Track 4 TSA'!D14</f>
        <v>0</v>
      </c>
      <c r="E353" s="452">
        <f>'HR Track 4 TSA'!E14</f>
        <v>0</v>
      </c>
      <c r="F353" s="453">
        <f>'HR Track 4 TSA'!F14</f>
        <v>0</v>
      </c>
      <c r="G353" s="500">
        <f>'HR Track 4 TSA'!G14</f>
        <v>0</v>
      </c>
      <c r="H353" s="453" t="str">
        <f>'HR Track 4 TSA'!H14</f>
        <v>A/S P59(CS)</v>
      </c>
      <c r="I353" s="501" t="str">
        <f>'HR Track 4 TSA'!I14</f>
        <v>CP+AnMC</v>
      </c>
      <c r="J353" s="583">
        <f>'HR Track 4 TSA'!J14</f>
        <v>0</v>
      </c>
      <c r="K353" s="452">
        <f>'HR Track 4 TSA'!K14</f>
        <v>0</v>
      </c>
      <c r="L353" s="452" t="str">
        <f>'HR Track 4 TSA'!L14</f>
        <v>2HEB-240</v>
      </c>
      <c r="M353" s="452" t="str">
        <f>'HR Track 4 TSA'!M14</f>
        <v>2C3R</v>
      </c>
      <c r="N353" s="501" t="str">
        <f>'HR Track 4 TSA'!N14</f>
        <v>EMT-1</v>
      </c>
      <c r="O353" s="501" t="str">
        <f>'HR Track 4 TSA'!O14</f>
        <v>EMT-2</v>
      </c>
      <c r="P353" s="501">
        <f>'HR Track 4 TSA'!P14</f>
        <v>0</v>
      </c>
      <c r="Q353" s="452">
        <f>'HR Track 4 TSA'!Q14</f>
        <v>0</v>
      </c>
      <c r="R353" s="452">
        <f>'HR Track 4 TSA'!R14</f>
        <v>0</v>
      </c>
      <c r="S353" s="500">
        <f>'HR Track 4 TSA'!S14</f>
        <v>0</v>
      </c>
      <c r="T353" s="452">
        <f>'HR Track 4 TSA'!T14</f>
        <v>15</v>
      </c>
      <c r="U353" s="452">
        <f>'HR Track 4 TSA'!U14</f>
        <v>30</v>
      </c>
      <c r="V353" s="452">
        <f>'HR Track 4 TSA'!V14</f>
        <v>0</v>
      </c>
      <c r="W353" s="452">
        <f>'HR Track 4 TSA'!W14</f>
        <v>2.2999999999999998</v>
      </c>
      <c r="X353" s="452">
        <f>'HR Track 4 TSA'!X14</f>
        <v>1.4</v>
      </c>
      <c r="Y353" s="452">
        <f>'HR Track 4 TSA'!Y14</f>
        <v>0</v>
      </c>
      <c r="Z353" s="452">
        <f>'HR Track 4 TSA'!Z14</f>
        <v>0</v>
      </c>
      <c r="AA353" s="452">
        <f>'HR Track 4 TSA'!AA14</f>
        <v>0</v>
      </c>
      <c r="AB353" s="452">
        <f>'HR Track 4 TSA'!AB14</f>
        <v>0</v>
      </c>
      <c r="AC353" s="452" t="str">
        <f>'HR Track 4 TSA'!AC14</f>
        <v>BTC-1651</v>
      </c>
      <c r="AD353" s="452" t="str">
        <f>'HR Track 4 TSA'!AD14</f>
        <v>PH-1150</v>
      </c>
      <c r="AE353" s="452">
        <f>'HR Track 4 TSA'!AE14</f>
        <v>0</v>
      </c>
      <c r="AF353" s="452">
        <f>'HR Track 4 TSA'!AF14</f>
        <v>5500</v>
      </c>
      <c r="AG353" s="451">
        <f>'HR Track 4 TSA'!AG14</f>
        <v>92876.06</v>
      </c>
      <c r="AH353" s="452">
        <f>'HR Track 4 TSA'!AH14</f>
        <v>2393</v>
      </c>
      <c r="AI353" s="452">
        <f>'HR Track 4 TSA'!AI14</f>
        <v>70</v>
      </c>
      <c r="AJ353" s="452">
        <f>'HR Track 4 TSA'!AJ14</f>
        <v>0</v>
      </c>
      <c r="AK353" s="452">
        <f>'HR Track 4 TSA'!AK14</f>
        <v>0</v>
      </c>
      <c r="AL353" s="452">
        <f>'HR Track 4 TSA'!AL14</f>
        <v>0</v>
      </c>
      <c r="AM353" s="452" t="str">
        <f>'HR Track 4 TSA'!AM14</f>
        <v>RW1</v>
      </c>
      <c r="AN353" s="500">
        <f>'HR Track 4 TSA'!AN14</f>
        <v>5.5</v>
      </c>
      <c r="AO353" s="452">
        <f>'HR Track 4 TSA'!AO14</f>
        <v>0</v>
      </c>
      <c r="AP353" s="452">
        <f>'HR Track 4 TSA'!AP14</f>
        <v>0</v>
      </c>
      <c r="AQ353" s="452">
        <f>'HR Track 4 TSA'!AQ14</f>
        <v>0</v>
      </c>
      <c r="AR353" s="452">
        <f>'HR Track 4 TSA'!AR14</f>
        <v>0</v>
      </c>
      <c r="AS353" s="452">
        <f>'HR Track 4 TSA'!AS14</f>
        <v>0</v>
      </c>
      <c r="AT353" s="452">
        <f>'HR Track 4 TSA'!AT14</f>
        <v>19.118185532329861</v>
      </c>
      <c r="AU353" s="452">
        <f>'HR Track 4 TSA'!AU14</f>
        <v>0</v>
      </c>
      <c r="AV353" s="452">
        <f>'HR Track 4 TSA'!AV14</f>
        <v>0</v>
      </c>
      <c r="AW353" s="452" t="str">
        <f>'HR Track 4 TSA'!AW14</f>
        <v>Soil B</v>
      </c>
      <c r="AX353" s="452" t="str">
        <f>'HR Track 4 TSA'!AX14</f>
        <v>PT</v>
      </c>
      <c r="AY353" s="500">
        <f>'HR Track 4 TSA'!AY14</f>
        <v>3.5</v>
      </c>
      <c r="AZ353" s="500">
        <f>'HR Track 4 TSA'!AZ14</f>
        <v>0</v>
      </c>
      <c r="BA353" s="1333" t="str">
        <f>'HR Track 4 TSA'!BA14</f>
        <v>ü</v>
      </c>
      <c r="BB353" s="452" t="str">
        <f>'HR Track 4 TSA'!BB14</f>
        <v>App.7-V11A-P9.5.1.8</v>
      </c>
      <c r="BC353" s="1334">
        <f>'HR Track 4 TSA'!BC14</f>
        <v>0</v>
      </c>
      <c r="BD353" s="1335">
        <f>'HR Track 4 TSA'!BD14</f>
        <v>43745</v>
      </c>
      <c r="BE353" s="1335">
        <f>'HR Track 4 TSA'!BE14</f>
        <v>43812</v>
      </c>
      <c r="BF353" s="1335">
        <f>'HR Track 4 TSA'!BF14</f>
        <v>0</v>
      </c>
      <c r="BG353" s="1335">
        <f>'HR Track 4 TSA'!BG14</f>
        <v>43870</v>
      </c>
    </row>
    <row r="354" spans="1:59" ht="15.75" customHeight="1">
      <c r="A354" s="501">
        <f>'HR Track 4 TSA'!A15</f>
        <v>0</v>
      </c>
      <c r="B354" s="716">
        <f>'HR Track 4 TSA'!B15</f>
        <v>0</v>
      </c>
      <c r="C354" s="451">
        <f>'HR Track 4 TSA'!C15</f>
        <v>0</v>
      </c>
      <c r="D354" s="453">
        <f>'HR Track 4 TSA'!D15</f>
        <v>0</v>
      </c>
      <c r="E354" s="452">
        <f>'HR Track 4 TSA'!E15</f>
        <v>0</v>
      </c>
      <c r="F354" s="453">
        <f>'HR Track 4 TSA'!F15</f>
        <v>0</v>
      </c>
      <c r="G354" s="500">
        <f>'HR Track 4 TSA'!G15</f>
        <v>41.4</v>
      </c>
      <c r="H354" s="453">
        <f>'HR Track 4 TSA'!H15</f>
        <v>0</v>
      </c>
      <c r="I354" s="501">
        <f>'HR Track 4 TSA'!I15</f>
        <v>0</v>
      </c>
      <c r="J354" s="583">
        <f>'HR Track 4 TSA'!J15</f>
        <v>92882.050000000017</v>
      </c>
      <c r="K354" s="452" t="str">
        <f>'HR Track 4 TSA'!K15</f>
        <v>AnMC-R</v>
      </c>
      <c r="L354" s="452">
        <f>'HR Track 4 TSA'!L15</f>
        <v>0</v>
      </c>
      <c r="M354" s="452">
        <f>'HR Track 4 TSA'!M15</f>
        <v>0</v>
      </c>
      <c r="N354" s="501">
        <f>'HR Track 4 TSA'!N15</f>
        <v>0</v>
      </c>
      <c r="O354" s="501">
        <f>'HR Track 4 TSA'!O15</f>
        <v>0</v>
      </c>
      <c r="P354" s="501">
        <f>'HR Track 4 TSA'!P15</f>
        <v>0</v>
      </c>
      <c r="Q354" s="452">
        <f>'HR Track 4 TSA'!Q15</f>
        <v>0</v>
      </c>
      <c r="R354" s="452">
        <f>'HR Track 4 TSA'!R15</f>
        <v>0</v>
      </c>
      <c r="S354" s="500">
        <f>'HR Track 4 TSA'!S15</f>
        <v>40.119999999995343</v>
      </c>
      <c r="T354" s="452">
        <f>'HR Track 4 TSA'!T15</f>
        <v>0</v>
      </c>
      <c r="U354" s="452">
        <f>'HR Track 4 TSA'!U15</f>
        <v>0</v>
      </c>
      <c r="V354" s="452">
        <f>'HR Track 4 TSA'!V15</f>
        <v>0</v>
      </c>
      <c r="W354" s="452">
        <f>'HR Track 4 TSA'!W15</f>
        <v>0</v>
      </c>
      <c r="X354" s="452">
        <f>'HR Track 4 TSA'!X15</f>
        <v>0</v>
      </c>
      <c r="Y354" s="452">
        <f>'HR Track 4 TSA'!Y15</f>
        <v>0</v>
      </c>
      <c r="Z354" s="452">
        <f>'HR Track 4 TSA'!Z15</f>
        <v>0</v>
      </c>
      <c r="AA354" s="452">
        <f>'HR Track 4 TSA'!AA15</f>
        <v>0</v>
      </c>
      <c r="AB354" s="452">
        <f>'HR Track 4 TSA'!AB15</f>
        <v>0</v>
      </c>
      <c r="AC354" s="452">
        <f>'HR Track 4 TSA'!AC15</f>
        <v>0</v>
      </c>
      <c r="AD354" s="452">
        <f>'HR Track 4 TSA'!AD15</f>
        <v>0</v>
      </c>
      <c r="AE354" s="452">
        <f>'HR Track 4 TSA'!AE15</f>
        <v>0</v>
      </c>
      <c r="AF354" s="452">
        <f>'HR Track 4 TSA'!AF15</f>
        <v>0</v>
      </c>
      <c r="AG354" s="451">
        <f>'HR Track 4 TSA'!AG15</f>
        <v>0</v>
      </c>
      <c r="AH354" s="452">
        <f>'HR Track 4 TSA'!AH15</f>
        <v>0</v>
      </c>
      <c r="AI354" s="452">
        <f>'HR Track 4 TSA'!AI15</f>
        <v>0</v>
      </c>
      <c r="AJ354" s="452">
        <f>'HR Track 4 TSA'!AJ15</f>
        <v>0</v>
      </c>
      <c r="AK354" s="452">
        <f>'HR Track 4 TSA'!AK15</f>
        <v>0</v>
      </c>
      <c r="AL354" s="452">
        <f>'HR Track 4 TSA'!AL15</f>
        <v>0</v>
      </c>
      <c r="AM354" s="452">
        <f>'HR Track 4 TSA'!AM15</f>
        <v>0</v>
      </c>
      <c r="AN354" s="500">
        <f>'HR Track 4 TSA'!AN15</f>
        <v>0</v>
      </c>
      <c r="AO354" s="452">
        <f>'HR Track 4 TSA'!AO15</f>
        <v>0</v>
      </c>
      <c r="AP354" s="452">
        <f>'HR Track 4 TSA'!AP15</f>
        <v>0</v>
      </c>
      <c r="AQ354" s="452">
        <f>'HR Track 4 TSA'!AQ15</f>
        <v>-0.1260390898357488</v>
      </c>
      <c r="AR354" s="452">
        <f>'HR Track 4 TSA'!AR15</f>
        <v>0</v>
      </c>
      <c r="AS354" s="452">
        <f>'HR Track 4 TSA'!AS15</f>
        <v>0</v>
      </c>
      <c r="AT354" s="452">
        <f>'HR Track 4 TSA'!AT15</f>
        <v>0</v>
      </c>
      <c r="AU354" s="452">
        <f>'HR Track 4 TSA'!AU15</f>
        <v>0</v>
      </c>
      <c r="AV354" s="452">
        <f>'HR Track 4 TSA'!AV15</f>
        <v>0</v>
      </c>
      <c r="AW354" s="452" t="str">
        <f>'HR Track 4 TSA'!AW15</f>
        <v>Soil B</v>
      </c>
      <c r="AX354" s="452" t="str">
        <f>'HR Track 4 TSA'!AX15</f>
        <v>PT</v>
      </c>
      <c r="AY354" s="500">
        <f>'HR Track 4 TSA'!AY15</f>
        <v>0</v>
      </c>
      <c r="AZ354" s="500">
        <f>'HR Track 4 TSA'!AZ15</f>
        <v>3.9</v>
      </c>
      <c r="BA354" s="1333" t="str">
        <f>'HR Track 4 TSA'!BA15</f>
        <v>ü</v>
      </c>
      <c r="BB354" s="452">
        <f>'HR Track 4 TSA'!BB15</f>
        <v>0</v>
      </c>
      <c r="BC354" s="1334">
        <f>'HR Track 4 TSA'!BC15</f>
        <v>0</v>
      </c>
      <c r="BD354" s="1335">
        <f>'HR Track 4 TSA'!BD15</f>
        <v>43745</v>
      </c>
      <c r="BE354" s="1335">
        <f>'HR Track 4 TSA'!BE15</f>
        <v>0</v>
      </c>
      <c r="BF354" s="1335">
        <f>'HR Track 4 TSA'!BF15</f>
        <v>0</v>
      </c>
      <c r="BG354" s="1335">
        <f>'HR Track 4 TSA'!BG15</f>
        <v>0</v>
      </c>
    </row>
    <row r="355" spans="1:59" ht="15.75" customHeight="1">
      <c r="A355" s="174"/>
      <c r="B355" s="642"/>
      <c r="C355" s="617"/>
      <c r="D355" s="169"/>
      <c r="E355" s="169"/>
      <c r="F355" s="177"/>
      <c r="G355" s="458"/>
      <c r="J355" s="617"/>
      <c r="K355" s="169"/>
      <c r="L355" s="169"/>
      <c r="M355" s="169"/>
      <c r="Q355" s="169"/>
      <c r="R355" s="169"/>
      <c r="S355" s="458"/>
      <c r="T355" s="169"/>
      <c r="U355" s="169"/>
      <c r="V355" s="169"/>
      <c r="W355" s="169"/>
      <c r="X355" s="169"/>
      <c r="Y355" s="169"/>
      <c r="Z355" s="169"/>
      <c r="AA355" s="169"/>
      <c r="AB355" s="169"/>
      <c r="AC355" s="169"/>
      <c r="AD355" s="169"/>
      <c r="AE355" s="169"/>
      <c r="AF355" s="169"/>
      <c r="AG355" s="617"/>
      <c r="AH355" s="169"/>
      <c r="AI355" s="169"/>
      <c r="AJ355" s="169"/>
      <c r="AK355" s="169"/>
      <c r="AL355" s="169"/>
      <c r="AM355" s="169"/>
      <c r="BA355" s="1305"/>
      <c r="BB355" s="174"/>
      <c r="BC355" s="169"/>
      <c r="BD355" s="1324"/>
      <c r="BE355" s="1324"/>
      <c r="BF355" s="1324"/>
      <c r="BG355" s="1324"/>
    </row>
    <row r="356" spans="1:59" ht="15.75" customHeight="1">
      <c r="A356" s="174"/>
      <c r="B356" s="642"/>
      <c r="C356" s="617"/>
      <c r="D356" s="169"/>
      <c r="E356" s="169"/>
      <c r="F356" s="177"/>
      <c r="G356" s="458"/>
      <c r="J356" s="617"/>
      <c r="K356" s="169"/>
      <c r="L356" s="169"/>
      <c r="M356" s="169"/>
      <c r="Q356" s="169"/>
      <c r="R356" s="169"/>
      <c r="S356" s="458"/>
      <c r="T356" s="169"/>
      <c r="U356" s="169"/>
      <c r="V356" s="169"/>
      <c r="W356" s="169"/>
      <c r="X356" s="169"/>
      <c r="Y356" s="169"/>
      <c r="Z356" s="169"/>
      <c r="AA356" s="169"/>
      <c r="AB356" s="169"/>
      <c r="AC356" s="169"/>
      <c r="AD356" s="169"/>
      <c r="AE356" s="169"/>
      <c r="AF356" s="169"/>
      <c r="AG356" s="617"/>
      <c r="AH356" s="169"/>
      <c r="AI356" s="169"/>
      <c r="AJ356" s="169"/>
      <c r="AK356" s="169"/>
      <c r="AL356" s="169"/>
      <c r="AM356" s="169"/>
      <c r="BA356" s="1305"/>
      <c r="BB356" s="174"/>
      <c r="BC356" s="169"/>
      <c r="BD356" s="1324"/>
      <c r="BE356" s="1324"/>
      <c r="BF356" s="1324"/>
      <c r="BG356" s="1324"/>
    </row>
    <row r="357" spans="1:59" ht="15.75" customHeight="1">
      <c r="A357" s="174"/>
      <c r="B357" s="642"/>
      <c r="C357" s="617"/>
      <c r="D357" s="169"/>
      <c r="E357" s="169"/>
      <c r="F357" s="177"/>
      <c r="G357" s="458"/>
      <c r="J357" s="617"/>
      <c r="K357" s="169"/>
      <c r="L357" s="169"/>
      <c r="M357" s="169"/>
      <c r="Q357" s="169"/>
      <c r="R357" s="169"/>
      <c r="S357" s="458"/>
      <c r="T357" s="169"/>
      <c r="U357" s="169"/>
      <c r="V357" s="169"/>
      <c r="W357" s="169"/>
      <c r="X357" s="169"/>
      <c r="Y357" s="169"/>
      <c r="Z357" s="169"/>
      <c r="AA357" s="169"/>
      <c r="AB357" s="169"/>
      <c r="AC357" s="169"/>
      <c r="AD357" s="169"/>
      <c r="AE357" s="169"/>
      <c r="AF357" s="169"/>
      <c r="AG357" s="617"/>
      <c r="AH357" s="169"/>
      <c r="AI357" s="169"/>
      <c r="AJ357" s="169"/>
      <c r="AK357" s="169"/>
      <c r="AL357" s="169"/>
      <c r="AM357" s="169"/>
      <c r="BA357" s="1305"/>
      <c r="BB357" s="174"/>
      <c r="BC357" s="169"/>
      <c r="BD357" s="1324"/>
      <c r="BE357" s="1324"/>
      <c r="BF357" s="1324"/>
      <c r="BG357" s="1324"/>
    </row>
    <row r="358" spans="1:59" ht="15.75" customHeight="1">
      <c r="A358" s="174"/>
      <c r="B358" s="642"/>
      <c r="C358" s="617"/>
      <c r="D358" s="169"/>
      <c r="E358" s="169"/>
      <c r="F358" s="177"/>
      <c r="G358" s="458"/>
      <c r="J358" s="617"/>
      <c r="K358" s="169"/>
      <c r="L358" s="169"/>
      <c r="M358" s="169"/>
      <c r="Q358" s="169"/>
      <c r="R358" s="169"/>
      <c r="S358" s="458"/>
      <c r="T358" s="169"/>
      <c r="U358" s="169"/>
      <c r="V358" s="169"/>
      <c r="W358" s="169"/>
      <c r="X358" s="169"/>
      <c r="Y358" s="169"/>
      <c r="Z358" s="169"/>
      <c r="AA358" s="169"/>
      <c r="AB358" s="169"/>
      <c r="AC358" s="169"/>
      <c r="AD358" s="169"/>
      <c r="AE358" s="169"/>
      <c r="AF358" s="169"/>
      <c r="AG358" s="617"/>
      <c r="AH358" s="169"/>
      <c r="AI358" s="169"/>
      <c r="AJ358" s="169"/>
      <c r="AK358" s="169"/>
      <c r="AL358" s="169"/>
      <c r="AM358" s="169"/>
      <c r="BA358" s="1305"/>
      <c r="BB358" s="174"/>
      <c r="BC358" s="169"/>
      <c r="BD358" s="1324"/>
      <c r="BE358" s="1324"/>
      <c r="BF358" s="1324"/>
      <c r="BG358" s="1324"/>
    </row>
    <row r="359" spans="1:59" ht="15.75" customHeight="1">
      <c r="A359" s="174"/>
      <c r="B359" s="642"/>
      <c r="C359" s="617"/>
      <c r="D359" s="169"/>
      <c r="E359" s="169"/>
      <c r="F359" s="177"/>
      <c r="G359" s="458"/>
      <c r="J359" s="617"/>
      <c r="K359" s="169"/>
      <c r="L359" s="169"/>
      <c r="M359" s="169"/>
      <c r="Q359" s="169"/>
      <c r="R359" s="169"/>
      <c r="S359" s="458"/>
      <c r="T359" s="169"/>
      <c r="U359" s="169"/>
      <c r="V359" s="169"/>
      <c r="W359" s="169"/>
      <c r="X359" s="169"/>
      <c r="Y359" s="169"/>
      <c r="Z359" s="169"/>
      <c r="AA359" s="169"/>
      <c r="AB359" s="169"/>
      <c r="AC359" s="169"/>
      <c r="AD359" s="169"/>
      <c r="AE359" s="169"/>
      <c r="AF359" s="169"/>
      <c r="AG359" s="617"/>
      <c r="AH359" s="169"/>
      <c r="AI359" s="169"/>
      <c r="AJ359" s="169"/>
      <c r="AK359" s="169"/>
      <c r="AL359" s="169"/>
      <c r="AM359" s="169"/>
      <c r="BA359" s="1305"/>
      <c r="BB359" s="174"/>
      <c r="BC359" s="169"/>
      <c r="BD359" s="1324"/>
      <c r="BE359" s="1324"/>
      <c r="BF359" s="1324"/>
      <c r="BG359" s="1324"/>
    </row>
    <row r="360" spans="1:59" ht="15.75" customHeight="1">
      <c r="A360" s="174"/>
      <c r="B360" s="642"/>
      <c r="C360" s="617"/>
      <c r="D360" s="169"/>
      <c r="E360" s="169"/>
      <c r="F360" s="177"/>
      <c r="G360" s="458"/>
      <c r="J360" s="617"/>
      <c r="K360" s="169"/>
      <c r="L360" s="169"/>
      <c r="M360" s="169"/>
      <c r="Q360" s="169"/>
      <c r="R360" s="169"/>
      <c r="S360" s="458"/>
      <c r="T360" s="169"/>
      <c r="U360" s="169"/>
      <c r="V360" s="169"/>
      <c r="W360" s="169"/>
      <c r="X360" s="169"/>
      <c r="Y360" s="169"/>
      <c r="Z360" s="169"/>
      <c r="AA360" s="169"/>
      <c r="AB360" s="169"/>
      <c r="AC360" s="169"/>
      <c r="AD360" s="169"/>
      <c r="AE360" s="169"/>
      <c r="AF360" s="169"/>
      <c r="AG360" s="617"/>
      <c r="AH360" s="169"/>
      <c r="AI360" s="169"/>
      <c r="AJ360" s="169"/>
      <c r="AK360" s="169"/>
      <c r="AL360" s="169"/>
      <c r="AM360" s="169"/>
      <c r="BA360" s="1305"/>
      <c r="BB360" s="174"/>
      <c r="BC360" s="169"/>
      <c r="BD360" s="1324"/>
      <c r="BE360" s="1324"/>
      <c r="BF360" s="1324"/>
      <c r="BG360" s="1324"/>
    </row>
    <row r="361" spans="1:59" ht="15.75" customHeight="1">
      <c r="A361" s="174"/>
      <c r="B361" s="642"/>
      <c r="C361" s="617"/>
      <c r="D361" s="169"/>
      <c r="E361" s="169"/>
      <c r="F361" s="177"/>
      <c r="G361" s="458"/>
      <c r="J361" s="617"/>
      <c r="K361" s="169"/>
      <c r="L361" s="169"/>
      <c r="M361" s="169"/>
      <c r="Q361" s="169"/>
      <c r="R361" s="169"/>
      <c r="S361" s="458"/>
      <c r="T361" s="169"/>
      <c r="U361" s="169"/>
      <c r="V361" s="169"/>
      <c r="W361" s="169"/>
      <c r="X361" s="169"/>
      <c r="Y361" s="169"/>
      <c r="Z361" s="169"/>
      <c r="AA361" s="169"/>
      <c r="AB361" s="169"/>
      <c r="AC361" s="169"/>
      <c r="AD361" s="169"/>
      <c r="AE361" s="169"/>
      <c r="AF361" s="169"/>
      <c r="AG361" s="617"/>
      <c r="AH361" s="169"/>
      <c r="AI361" s="169"/>
      <c r="AJ361" s="169"/>
      <c r="AK361" s="169"/>
      <c r="AL361" s="169"/>
      <c r="AM361" s="169"/>
      <c r="BA361" s="1305"/>
      <c r="BB361" s="174"/>
      <c r="BC361" s="169"/>
      <c r="BD361" s="1324"/>
      <c r="BE361" s="1324"/>
      <c r="BF361" s="1324"/>
      <c r="BG361" s="1324"/>
    </row>
    <row r="362" spans="1:59" ht="15.75" customHeight="1">
      <c r="A362" s="174"/>
      <c r="B362" s="642"/>
      <c r="C362" s="617"/>
      <c r="D362" s="169"/>
      <c r="E362" s="169"/>
      <c r="F362" s="177"/>
      <c r="G362" s="458"/>
      <c r="J362" s="617"/>
      <c r="K362" s="169"/>
      <c r="L362" s="169"/>
      <c r="M362" s="169"/>
      <c r="Q362" s="169"/>
      <c r="R362" s="169"/>
      <c r="S362" s="458"/>
      <c r="T362" s="169"/>
      <c r="U362" s="169"/>
      <c r="V362" s="169"/>
      <c r="W362" s="169"/>
      <c r="X362" s="169"/>
      <c r="Y362" s="169"/>
      <c r="Z362" s="169"/>
      <c r="AA362" s="169"/>
      <c r="AB362" s="169"/>
      <c r="AC362" s="169"/>
      <c r="AD362" s="169"/>
      <c r="AE362" s="169"/>
      <c r="AF362" s="169"/>
      <c r="AG362" s="617"/>
      <c r="AH362" s="169"/>
      <c r="AI362" s="169"/>
      <c r="AJ362" s="169"/>
      <c r="AK362" s="169"/>
      <c r="AL362" s="169"/>
      <c r="AM362" s="169"/>
      <c r="BA362" s="1305"/>
      <c r="BB362" s="174"/>
      <c r="BC362" s="169"/>
      <c r="BD362" s="1324"/>
      <c r="BE362" s="1324"/>
      <c r="BF362" s="1324"/>
      <c r="BG362" s="1324"/>
    </row>
    <row r="363" spans="1:59" ht="15.75" customHeight="1">
      <c r="A363" s="174"/>
      <c r="B363" s="642"/>
      <c r="C363" s="617"/>
      <c r="D363" s="169"/>
      <c r="E363" s="169"/>
      <c r="F363" s="177"/>
      <c r="G363" s="458"/>
      <c r="J363" s="617"/>
      <c r="K363" s="169"/>
      <c r="L363" s="169"/>
      <c r="M363" s="169"/>
      <c r="Q363" s="169"/>
      <c r="R363" s="169"/>
      <c r="S363" s="458"/>
      <c r="T363" s="169"/>
      <c r="U363" s="169"/>
      <c r="V363" s="169"/>
      <c r="W363" s="169"/>
      <c r="X363" s="169"/>
      <c r="Y363" s="169"/>
      <c r="Z363" s="169"/>
      <c r="AA363" s="169"/>
      <c r="AB363" s="169"/>
      <c r="AC363" s="169"/>
      <c r="AD363" s="169"/>
      <c r="AE363" s="169"/>
      <c r="AF363" s="169"/>
      <c r="AG363" s="617"/>
      <c r="AH363" s="169"/>
      <c r="AI363" s="169"/>
      <c r="AJ363" s="169"/>
      <c r="AK363" s="169"/>
      <c r="AL363" s="169"/>
      <c r="AM363" s="169"/>
      <c r="BA363" s="1305"/>
      <c r="BB363" s="174"/>
      <c r="BC363" s="169"/>
      <c r="BD363" s="1324"/>
      <c r="BE363" s="1324"/>
      <c r="BF363" s="1324"/>
      <c r="BG363" s="1324"/>
    </row>
    <row r="364" spans="1:59" ht="15.75" customHeight="1">
      <c r="A364" s="174"/>
      <c r="B364" s="642"/>
      <c r="C364" s="617"/>
      <c r="D364" s="169"/>
      <c r="E364" s="169"/>
      <c r="F364" s="177"/>
      <c r="G364" s="458"/>
      <c r="J364" s="617"/>
      <c r="K364" s="169"/>
      <c r="L364" s="169"/>
      <c r="M364" s="169"/>
      <c r="Q364" s="169"/>
      <c r="R364" s="169"/>
      <c r="S364" s="458"/>
      <c r="T364" s="169"/>
      <c r="U364" s="169"/>
      <c r="V364" s="169"/>
      <c r="W364" s="169"/>
      <c r="X364" s="169"/>
      <c r="Y364" s="169"/>
      <c r="Z364" s="169"/>
      <c r="AA364" s="169"/>
      <c r="AB364" s="169"/>
      <c r="AC364" s="169"/>
      <c r="AD364" s="169"/>
      <c r="AE364" s="169"/>
      <c r="AF364" s="169"/>
      <c r="AG364" s="617"/>
      <c r="AH364" s="169"/>
      <c r="AI364" s="169"/>
      <c r="AJ364" s="169"/>
      <c r="AK364" s="169"/>
      <c r="AL364" s="169"/>
      <c r="AM364" s="169"/>
      <c r="BA364" s="1305"/>
      <c r="BB364" s="174"/>
      <c r="BC364" s="169"/>
      <c r="BD364" s="1324"/>
      <c r="BE364" s="1324"/>
      <c r="BF364" s="1324"/>
      <c r="BG364" s="1324"/>
    </row>
    <row r="365" spans="1:59" ht="15.75" customHeight="1">
      <c r="A365" s="174"/>
      <c r="B365" s="642"/>
      <c r="C365" s="617"/>
      <c r="D365" s="169"/>
      <c r="E365" s="169"/>
      <c r="F365" s="177"/>
      <c r="G365" s="458"/>
      <c r="J365" s="617"/>
      <c r="K365" s="169"/>
      <c r="L365" s="169"/>
      <c r="M365" s="169"/>
      <c r="Q365" s="169"/>
      <c r="R365" s="169"/>
      <c r="S365" s="458"/>
      <c r="T365" s="169"/>
      <c r="U365" s="169"/>
      <c r="V365" s="169"/>
      <c r="W365" s="169"/>
      <c r="X365" s="169"/>
      <c r="Y365" s="169"/>
      <c r="Z365" s="169"/>
      <c r="AA365" s="169"/>
      <c r="AB365" s="169"/>
      <c r="AC365" s="169"/>
      <c r="AD365" s="169"/>
      <c r="AE365" s="169"/>
      <c r="AF365" s="169"/>
      <c r="AG365" s="617"/>
      <c r="AH365" s="169"/>
      <c r="AI365" s="169"/>
      <c r="AJ365" s="169"/>
      <c r="AK365" s="169"/>
      <c r="AL365" s="169"/>
      <c r="AM365" s="169"/>
      <c r="BA365" s="1305"/>
      <c r="BB365" s="174"/>
      <c r="BC365" s="169"/>
      <c r="BD365" s="1324"/>
      <c r="BE365" s="1324"/>
      <c r="BF365" s="1324"/>
      <c r="BG365" s="1324"/>
    </row>
    <row r="366" spans="1:59" ht="15.75" customHeight="1">
      <c r="A366" s="174"/>
      <c r="B366" s="618"/>
      <c r="C366" s="617"/>
      <c r="D366" s="169"/>
      <c r="E366" s="169"/>
      <c r="F366" s="177"/>
      <c r="G366" s="458"/>
      <c r="J366" s="617"/>
      <c r="K366" s="169"/>
      <c r="L366" s="169"/>
      <c r="M366" s="169"/>
      <c r="Q366" s="169"/>
      <c r="R366" s="169"/>
      <c r="S366" s="458"/>
      <c r="T366" s="169"/>
      <c r="U366" s="169"/>
      <c r="V366" s="169"/>
      <c r="W366" s="169"/>
      <c r="X366" s="169"/>
      <c r="Y366" s="169"/>
      <c r="Z366" s="169"/>
      <c r="AA366" s="169"/>
      <c r="AB366" s="169"/>
      <c r="AC366" s="169"/>
      <c r="AD366" s="169"/>
      <c r="AE366" s="169"/>
      <c r="AF366" s="169"/>
      <c r="AG366" s="617"/>
      <c r="AH366" s="169"/>
      <c r="AI366" s="169"/>
      <c r="AJ366" s="169"/>
      <c r="AK366" s="169"/>
      <c r="AL366" s="169"/>
      <c r="AM366" s="169"/>
      <c r="BA366" s="1305"/>
      <c r="BB366" s="174"/>
      <c r="BC366" s="169"/>
      <c r="BD366" s="1324"/>
      <c r="BE366" s="1324"/>
      <c r="BF366" s="1324"/>
      <c r="BG366" s="1324"/>
    </row>
    <row r="367" spans="1:59" ht="15.75" customHeight="1">
      <c r="A367" s="174"/>
      <c r="B367" s="618"/>
      <c r="C367" s="617"/>
      <c r="D367" s="169"/>
      <c r="E367" s="169"/>
      <c r="F367" s="177"/>
      <c r="G367" s="458"/>
      <c r="J367" s="617"/>
      <c r="K367" s="169"/>
      <c r="L367" s="169"/>
      <c r="M367" s="169"/>
      <c r="Q367" s="169"/>
      <c r="R367" s="169"/>
      <c r="S367" s="458"/>
      <c r="T367" s="169"/>
      <c r="U367" s="169"/>
      <c r="V367" s="169"/>
      <c r="W367" s="169"/>
      <c r="X367" s="169"/>
      <c r="Y367" s="169"/>
      <c r="Z367" s="169"/>
      <c r="AA367" s="169"/>
      <c r="AB367" s="169"/>
      <c r="AC367" s="169"/>
      <c r="AD367" s="169"/>
      <c r="AE367" s="169"/>
      <c r="AF367" s="169"/>
      <c r="AG367" s="617"/>
      <c r="AH367" s="169"/>
      <c r="AI367" s="169"/>
      <c r="AJ367" s="169"/>
      <c r="AK367" s="169"/>
      <c r="AL367" s="169"/>
      <c r="AM367" s="169"/>
      <c r="BA367" s="1305"/>
      <c r="BB367" s="174"/>
      <c r="BC367" s="169"/>
      <c r="BD367" s="1324"/>
      <c r="BE367" s="1324"/>
      <c r="BF367" s="1324"/>
      <c r="BG367" s="1324"/>
    </row>
    <row r="368" spans="1:59" ht="15.75" customHeight="1">
      <c r="A368" s="174"/>
      <c r="B368" s="618"/>
      <c r="C368" s="617"/>
      <c r="D368" s="169"/>
      <c r="E368" s="169"/>
      <c r="F368" s="177"/>
      <c r="G368" s="458"/>
      <c r="J368" s="617"/>
      <c r="K368" s="169"/>
      <c r="L368" s="169"/>
      <c r="M368" s="169"/>
      <c r="Q368" s="169"/>
      <c r="R368" s="169"/>
      <c r="S368" s="458"/>
      <c r="T368" s="169"/>
      <c r="U368" s="169"/>
      <c r="V368" s="169"/>
      <c r="W368" s="169"/>
      <c r="X368" s="169"/>
      <c r="Y368" s="169"/>
      <c r="Z368" s="169"/>
      <c r="AA368" s="169"/>
      <c r="AB368" s="169"/>
      <c r="AC368" s="169"/>
      <c r="AD368" s="169"/>
      <c r="AE368" s="169"/>
      <c r="AF368" s="169"/>
      <c r="AG368" s="617"/>
      <c r="AH368" s="169"/>
      <c r="AI368" s="169"/>
      <c r="AJ368" s="169"/>
      <c r="AK368" s="169"/>
      <c r="AL368" s="169"/>
      <c r="AM368" s="169"/>
      <c r="BA368" s="1305"/>
      <c r="BB368" s="174"/>
      <c r="BC368" s="169"/>
      <c r="BD368" s="1324"/>
      <c r="BE368" s="1324"/>
      <c r="BF368" s="1324"/>
      <c r="BG368" s="1324"/>
    </row>
    <row r="369" spans="1:59" ht="15.75" customHeight="1">
      <c r="A369" s="174"/>
      <c r="B369" s="618"/>
      <c r="C369" s="617"/>
      <c r="D369" s="169"/>
      <c r="E369" s="169"/>
      <c r="F369" s="177"/>
      <c r="G369" s="458"/>
      <c r="J369" s="617"/>
      <c r="K369" s="169"/>
      <c r="L369" s="169"/>
      <c r="M369" s="169"/>
      <c r="Q369" s="169"/>
      <c r="R369" s="169"/>
      <c r="S369" s="458"/>
      <c r="T369" s="169"/>
      <c r="U369" s="169"/>
      <c r="V369" s="169"/>
      <c r="W369" s="169"/>
      <c r="X369" s="169"/>
      <c r="Y369" s="169"/>
      <c r="Z369" s="169"/>
      <c r="AA369" s="169"/>
      <c r="AB369" s="169"/>
      <c r="AC369" s="169"/>
      <c r="AD369" s="169"/>
      <c r="AE369" s="169"/>
      <c r="AF369" s="169"/>
      <c r="AG369" s="617"/>
      <c r="AH369" s="169"/>
      <c r="AI369" s="169"/>
      <c r="AJ369" s="169"/>
      <c r="AK369" s="169"/>
      <c r="AL369" s="169"/>
      <c r="AM369" s="169"/>
      <c r="BA369" s="1305"/>
      <c r="BB369" s="174"/>
      <c r="BC369" s="169"/>
      <c r="BD369" s="1324"/>
      <c r="BE369" s="1324"/>
      <c r="BF369" s="1324"/>
      <c r="BG369" s="1324"/>
    </row>
    <row r="370" spans="1:59" ht="15.75" customHeight="1">
      <c r="A370" s="174"/>
      <c r="B370" s="618"/>
      <c r="C370" s="617"/>
      <c r="D370" s="169"/>
      <c r="E370" s="169"/>
      <c r="F370" s="177"/>
      <c r="G370" s="458"/>
      <c r="J370" s="617"/>
      <c r="K370" s="169"/>
      <c r="L370" s="169"/>
      <c r="M370" s="169"/>
      <c r="Q370" s="169"/>
      <c r="R370" s="169"/>
      <c r="S370" s="458"/>
      <c r="T370" s="169"/>
      <c r="U370" s="169"/>
      <c r="V370" s="169"/>
      <c r="W370" s="169"/>
      <c r="X370" s="169"/>
      <c r="Y370" s="169"/>
      <c r="Z370" s="169"/>
      <c r="AA370" s="169"/>
      <c r="AB370" s="169"/>
      <c r="AC370" s="169"/>
      <c r="AD370" s="169"/>
      <c r="AE370" s="169"/>
      <c r="AF370" s="169"/>
      <c r="AG370" s="617"/>
      <c r="AH370" s="169"/>
      <c r="AI370" s="169"/>
      <c r="AJ370" s="169"/>
      <c r="AK370" s="169"/>
      <c r="AL370" s="169"/>
      <c r="AM370" s="169"/>
      <c r="BA370" s="1305"/>
      <c r="BB370" s="174"/>
      <c r="BC370" s="169"/>
      <c r="BD370" s="1324"/>
      <c r="BE370" s="1324"/>
      <c r="BF370" s="1324"/>
      <c r="BG370" s="1324"/>
    </row>
    <row r="371" spans="1:59" ht="15.75" customHeight="1">
      <c r="A371" s="174"/>
      <c r="B371" s="618"/>
      <c r="C371" s="617"/>
      <c r="D371" s="169"/>
      <c r="E371" s="169"/>
      <c r="F371" s="177"/>
      <c r="G371" s="458"/>
      <c r="I371" s="177"/>
      <c r="J371" s="617"/>
      <c r="K371" s="169"/>
      <c r="L371" s="169"/>
      <c r="M371" s="169"/>
      <c r="Q371" s="169"/>
      <c r="R371" s="169"/>
      <c r="S371" s="458"/>
      <c r="T371" s="169"/>
      <c r="U371" s="169"/>
      <c r="V371" s="169"/>
      <c r="W371" s="169"/>
      <c r="X371" s="169"/>
      <c r="Y371" s="169"/>
      <c r="Z371" s="169"/>
      <c r="AA371" s="169"/>
      <c r="AB371" s="169"/>
      <c r="AC371" s="169"/>
      <c r="AD371" s="169"/>
      <c r="AE371" s="169"/>
      <c r="AF371" s="169"/>
      <c r="AG371" s="617"/>
      <c r="AH371" s="169"/>
      <c r="AI371" s="169"/>
      <c r="AJ371" s="169"/>
      <c r="AK371" s="169"/>
      <c r="AL371" s="169"/>
      <c r="AM371" s="169"/>
      <c r="BA371" s="1305"/>
      <c r="BB371" s="174"/>
      <c r="BC371" s="169"/>
      <c r="BD371" s="1324"/>
      <c r="BE371" s="1324"/>
      <c r="BF371" s="1324"/>
      <c r="BG371" s="1324"/>
    </row>
    <row r="372" spans="1:59" ht="15.75" customHeight="1">
      <c r="A372" s="174"/>
      <c r="B372" s="618"/>
      <c r="C372" s="617"/>
      <c r="D372" s="169"/>
      <c r="E372" s="169"/>
      <c r="F372" s="177"/>
      <c r="G372" s="458"/>
      <c r="J372" s="617"/>
      <c r="K372" s="169"/>
      <c r="L372" s="169"/>
      <c r="M372" s="169"/>
      <c r="Q372" s="169"/>
      <c r="R372" s="169"/>
      <c r="S372" s="458"/>
      <c r="T372" s="169"/>
      <c r="U372" s="169"/>
      <c r="V372" s="169"/>
      <c r="W372" s="169"/>
      <c r="X372" s="169"/>
      <c r="Y372" s="169"/>
      <c r="Z372" s="169"/>
      <c r="AA372" s="169"/>
      <c r="AB372" s="169"/>
      <c r="AC372" s="169"/>
      <c r="AD372" s="169"/>
      <c r="AE372" s="169"/>
      <c r="AF372" s="169"/>
      <c r="AG372" s="617"/>
      <c r="AH372" s="169"/>
      <c r="AI372" s="169"/>
      <c r="AJ372" s="169"/>
      <c r="AK372" s="169"/>
      <c r="AL372" s="169"/>
      <c r="AM372" s="169"/>
      <c r="BA372" s="1305"/>
      <c r="BB372" s="174"/>
      <c r="BC372" s="169"/>
      <c r="BD372" s="1324"/>
      <c r="BE372" s="1324"/>
      <c r="BF372" s="1324"/>
      <c r="BG372" s="1324"/>
    </row>
    <row r="373" spans="1:59" ht="15.75" customHeight="1">
      <c r="A373" s="174"/>
      <c r="B373" s="618"/>
      <c r="C373" s="617"/>
      <c r="D373" s="169"/>
      <c r="E373" s="169"/>
      <c r="F373" s="177"/>
      <c r="G373" s="458"/>
      <c r="J373" s="617"/>
      <c r="K373" s="169"/>
      <c r="L373" s="169"/>
      <c r="M373" s="169"/>
      <c r="Q373" s="169"/>
      <c r="R373" s="169"/>
      <c r="S373" s="458"/>
      <c r="T373" s="169"/>
      <c r="U373" s="169"/>
      <c r="V373" s="169"/>
      <c r="W373" s="169"/>
      <c r="X373" s="169"/>
      <c r="Y373" s="169"/>
      <c r="Z373" s="169"/>
      <c r="AA373" s="169"/>
      <c r="AB373" s="169"/>
      <c r="AC373" s="169"/>
      <c r="AD373" s="169"/>
      <c r="AE373" s="169"/>
      <c r="AF373" s="169"/>
      <c r="AG373" s="617"/>
      <c r="AH373" s="169"/>
      <c r="AI373" s="169"/>
      <c r="AJ373" s="169"/>
      <c r="AK373" s="169"/>
      <c r="AL373" s="169"/>
      <c r="AM373" s="169"/>
      <c r="BA373" s="1305"/>
      <c r="BB373" s="174"/>
      <c r="BC373" s="169"/>
      <c r="BD373" s="1324"/>
      <c r="BE373" s="1324"/>
      <c r="BF373" s="1324"/>
      <c r="BG373" s="1324"/>
    </row>
    <row r="374" spans="1:59" ht="15.75" customHeight="1">
      <c r="A374" s="174"/>
      <c r="B374" s="618"/>
      <c r="C374" s="617"/>
      <c r="D374" s="169"/>
      <c r="E374" s="169"/>
      <c r="F374" s="177"/>
      <c r="G374" s="458"/>
      <c r="J374" s="617"/>
      <c r="K374" s="169"/>
      <c r="L374" s="169"/>
      <c r="M374" s="169"/>
      <c r="Q374" s="169"/>
      <c r="R374" s="169"/>
      <c r="S374" s="458"/>
      <c r="T374" s="169"/>
      <c r="U374" s="169"/>
      <c r="V374" s="169"/>
      <c r="W374" s="169"/>
      <c r="X374" s="169"/>
      <c r="Y374" s="169"/>
      <c r="Z374" s="169"/>
      <c r="AA374" s="169"/>
      <c r="AB374" s="169"/>
      <c r="AC374" s="169"/>
      <c r="AD374" s="169"/>
      <c r="AE374" s="169"/>
      <c r="AF374" s="169"/>
      <c r="AG374" s="617"/>
      <c r="AH374" s="169"/>
      <c r="AI374" s="169"/>
      <c r="AJ374" s="169"/>
      <c r="AK374" s="169"/>
      <c r="AL374" s="169"/>
      <c r="AM374" s="169"/>
      <c r="BA374" s="1305"/>
      <c r="BB374" s="174"/>
      <c r="BC374" s="169"/>
      <c r="BD374" s="1324"/>
      <c r="BE374" s="1324"/>
      <c r="BF374" s="1324"/>
      <c r="BG374" s="1324"/>
    </row>
    <row r="375" spans="1:59" ht="15.75" customHeight="1">
      <c r="A375" s="174"/>
      <c r="B375" s="618"/>
      <c r="C375" s="617"/>
      <c r="D375" s="169"/>
      <c r="E375" s="169"/>
      <c r="F375" s="177"/>
      <c r="G375" s="458"/>
      <c r="J375" s="617"/>
      <c r="K375" s="169"/>
      <c r="L375" s="169"/>
      <c r="M375" s="169"/>
      <c r="Q375" s="169"/>
      <c r="R375" s="169"/>
      <c r="S375" s="458"/>
      <c r="T375" s="169"/>
      <c r="U375" s="169"/>
      <c r="V375" s="169"/>
      <c r="W375" s="169"/>
      <c r="X375" s="169"/>
      <c r="Y375" s="169"/>
      <c r="Z375" s="169"/>
      <c r="AA375" s="169"/>
      <c r="AB375" s="169"/>
      <c r="AC375" s="169"/>
      <c r="AD375" s="169"/>
      <c r="AE375" s="169"/>
      <c r="AF375" s="169"/>
      <c r="AG375" s="617"/>
      <c r="AH375" s="169"/>
      <c r="AI375" s="169"/>
      <c r="AJ375" s="169"/>
      <c r="AK375" s="169"/>
      <c r="AL375" s="169"/>
      <c r="AM375" s="169"/>
      <c r="BA375" s="1305"/>
      <c r="BB375" s="174"/>
      <c r="BC375" s="169"/>
      <c r="BD375" s="1324"/>
      <c r="BE375" s="1324"/>
      <c r="BF375" s="1324"/>
      <c r="BG375" s="1324"/>
    </row>
    <row r="376" spans="1:59" ht="15.75" customHeight="1">
      <c r="A376" s="174"/>
      <c r="B376" s="618"/>
      <c r="C376" s="617"/>
      <c r="D376" s="169"/>
      <c r="E376" s="169"/>
      <c r="F376" s="177"/>
      <c r="G376" s="458"/>
      <c r="J376" s="617"/>
      <c r="K376" s="169"/>
      <c r="L376" s="169"/>
      <c r="M376" s="169"/>
      <c r="Q376" s="169"/>
      <c r="R376" s="169"/>
      <c r="S376" s="458"/>
      <c r="T376" s="169"/>
      <c r="U376" s="169"/>
      <c r="V376" s="169"/>
      <c r="W376" s="169"/>
      <c r="X376" s="169"/>
      <c r="Y376" s="169"/>
      <c r="Z376" s="169"/>
      <c r="AA376" s="169"/>
      <c r="AB376" s="169"/>
      <c r="AC376" s="169"/>
      <c r="AD376" s="169"/>
      <c r="AE376" s="169"/>
      <c r="AF376" s="169"/>
      <c r="AG376" s="617"/>
      <c r="AH376" s="169"/>
      <c r="AI376" s="169"/>
      <c r="AJ376" s="169"/>
      <c r="AK376" s="169"/>
      <c r="AL376" s="169"/>
      <c r="AM376" s="169"/>
      <c r="BA376" s="1305"/>
      <c r="BB376" s="174"/>
      <c r="BC376" s="169"/>
      <c r="BD376" s="1324"/>
      <c r="BE376" s="1324"/>
      <c r="BF376" s="1324"/>
      <c r="BG376" s="1324"/>
    </row>
    <row r="377" spans="1:59" ht="15.75" customHeight="1">
      <c r="A377" s="174"/>
      <c r="B377" s="618"/>
      <c r="C377" s="617"/>
      <c r="D377" s="169"/>
      <c r="E377" s="169"/>
      <c r="F377" s="177"/>
      <c r="G377" s="458"/>
      <c r="J377" s="617"/>
      <c r="K377" s="169"/>
      <c r="L377" s="169"/>
      <c r="M377" s="169"/>
      <c r="Q377" s="169"/>
      <c r="R377" s="169"/>
      <c r="S377" s="458"/>
      <c r="T377" s="169"/>
      <c r="U377" s="169"/>
      <c r="V377" s="169"/>
      <c r="W377" s="169"/>
      <c r="X377" s="169"/>
      <c r="Y377" s="169"/>
      <c r="Z377" s="169"/>
      <c r="AA377" s="169"/>
      <c r="AB377" s="169"/>
      <c r="AC377" s="169"/>
      <c r="AD377" s="169"/>
      <c r="AE377" s="169"/>
      <c r="AF377" s="169"/>
      <c r="AG377" s="617"/>
      <c r="AH377" s="169"/>
      <c r="AI377" s="169"/>
      <c r="AJ377" s="169"/>
      <c r="AK377" s="169"/>
      <c r="AL377" s="169"/>
      <c r="AM377" s="169"/>
      <c r="BA377" s="1305"/>
      <c r="BB377" s="174"/>
      <c r="BC377" s="169"/>
      <c r="BD377" s="1324"/>
      <c r="BE377" s="1324"/>
      <c r="BF377" s="1324"/>
      <c r="BG377" s="1324"/>
    </row>
    <row r="378" spans="1:59" ht="15.75" customHeight="1">
      <c r="A378" s="174"/>
      <c r="B378" s="618"/>
      <c r="C378" s="617"/>
      <c r="D378" s="169"/>
      <c r="E378" s="169"/>
      <c r="F378" s="177"/>
      <c r="G378" s="458"/>
      <c r="J378" s="617"/>
      <c r="K378" s="169"/>
      <c r="L378" s="169"/>
      <c r="M378" s="169"/>
      <c r="Q378" s="169"/>
      <c r="R378" s="169"/>
      <c r="S378" s="458"/>
      <c r="T378" s="169"/>
      <c r="U378" s="169"/>
      <c r="V378" s="169"/>
      <c r="W378" s="169"/>
      <c r="X378" s="169"/>
      <c r="Y378" s="169"/>
      <c r="Z378" s="169"/>
      <c r="AA378" s="169"/>
      <c r="AB378" s="169"/>
      <c r="AC378" s="169"/>
      <c r="AD378" s="169"/>
      <c r="AE378" s="169"/>
      <c r="AF378" s="169"/>
      <c r="AG378" s="617"/>
      <c r="AH378" s="169"/>
      <c r="AI378" s="169"/>
      <c r="AJ378" s="169"/>
      <c r="AK378" s="169"/>
      <c r="AL378" s="169"/>
      <c r="AM378" s="169"/>
      <c r="BA378" s="1305"/>
      <c r="BB378" s="174"/>
      <c r="BC378" s="169"/>
      <c r="BD378" s="1324"/>
      <c r="BE378" s="1324"/>
      <c r="BF378" s="1324"/>
      <c r="BG378" s="1324"/>
    </row>
    <row r="379" spans="1:59" ht="15.75" customHeight="1">
      <c r="A379" s="174"/>
      <c r="B379" s="618"/>
      <c r="C379" s="617"/>
      <c r="D379" s="169"/>
      <c r="E379" s="169"/>
      <c r="F379" s="177"/>
      <c r="G379" s="458"/>
      <c r="H379" s="179"/>
      <c r="J379" s="617"/>
      <c r="K379" s="169"/>
      <c r="L379" s="169"/>
      <c r="M379" s="169"/>
      <c r="Q379" s="169"/>
      <c r="R379" s="169"/>
      <c r="S379" s="458"/>
      <c r="T379" s="169"/>
      <c r="U379" s="169"/>
      <c r="V379" s="169"/>
      <c r="W379" s="169"/>
      <c r="X379" s="169"/>
      <c r="Y379" s="169"/>
      <c r="Z379" s="169"/>
      <c r="AA379" s="169"/>
      <c r="AB379" s="169"/>
      <c r="AC379" s="169"/>
      <c r="AD379" s="169"/>
      <c r="AE379" s="169"/>
      <c r="AF379" s="169"/>
      <c r="AG379" s="617"/>
      <c r="AH379" s="169"/>
      <c r="AI379" s="169"/>
      <c r="AJ379" s="169"/>
      <c r="AK379" s="169"/>
      <c r="AL379" s="169"/>
      <c r="AM379" s="169"/>
      <c r="BA379" s="1305"/>
      <c r="BB379" s="174"/>
      <c r="BC379" s="169"/>
      <c r="BD379" s="1324"/>
      <c r="BE379" s="1324"/>
      <c r="BF379" s="1324"/>
      <c r="BG379" s="1324"/>
    </row>
    <row r="380" spans="1:59" ht="15.75" customHeight="1">
      <c r="A380" s="174"/>
      <c r="B380" s="618"/>
      <c r="C380" s="617"/>
      <c r="D380" s="169"/>
      <c r="E380" s="169"/>
      <c r="F380" s="177"/>
      <c r="G380" s="458"/>
      <c r="H380" s="169"/>
      <c r="J380" s="617"/>
      <c r="K380" s="169"/>
      <c r="L380" s="169"/>
      <c r="M380" s="169"/>
      <c r="Q380" s="169"/>
      <c r="R380" s="169"/>
      <c r="S380" s="458"/>
      <c r="T380" s="169"/>
      <c r="U380" s="169"/>
      <c r="V380" s="169"/>
      <c r="W380" s="169"/>
      <c r="X380" s="169"/>
      <c r="Y380" s="169"/>
      <c r="Z380" s="169"/>
      <c r="AA380" s="169"/>
      <c r="AB380" s="169"/>
      <c r="AC380" s="169"/>
      <c r="AD380" s="169"/>
      <c r="AE380" s="169"/>
      <c r="AF380" s="169"/>
      <c r="AG380" s="617"/>
      <c r="AH380" s="169"/>
      <c r="AI380" s="169"/>
      <c r="AJ380" s="169"/>
      <c r="AK380" s="169"/>
      <c r="AL380" s="169"/>
      <c r="AM380" s="169"/>
      <c r="BA380" s="1305"/>
      <c r="BB380" s="174"/>
      <c r="BC380" s="169"/>
      <c r="BD380" s="1324"/>
      <c r="BE380" s="1324"/>
      <c r="BF380" s="1324"/>
      <c r="BG380" s="1324"/>
    </row>
    <row r="381" spans="1:59" ht="15.75" customHeight="1">
      <c r="A381" s="174"/>
      <c r="B381" s="618"/>
      <c r="C381" s="617"/>
      <c r="D381" s="169"/>
      <c r="E381" s="169"/>
      <c r="F381" s="177"/>
      <c r="G381" s="458"/>
      <c r="J381" s="617"/>
      <c r="K381" s="169"/>
      <c r="L381" s="169"/>
      <c r="M381" s="169"/>
      <c r="Q381" s="169"/>
      <c r="R381" s="169"/>
      <c r="S381" s="458"/>
      <c r="T381" s="169"/>
      <c r="U381" s="169"/>
      <c r="V381" s="169"/>
      <c r="W381" s="169"/>
      <c r="X381" s="169"/>
      <c r="Y381" s="169"/>
      <c r="Z381" s="169"/>
      <c r="AA381" s="169"/>
      <c r="AB381" s="169"/>
      <c r="AC381" s="169"/>
      <c r="AD381" s="169"/>
      <c r="AE381" s="169"/>
      <c r="AF381" s="169"/>
      <c r="AG381" s="617"/>
      <c r="AH381" s="169"/>
      <c r="AI381" s="169"/>
      <c r="AJ381" s="169"/>
      <c r="AK381" s="169"/>
      <c r="AL381" s="169"/>
      <c r="AM381" s="169"/>
      <c r="BA381" s="1305"/>
      <c r="BB381" s="174"/>
      <c r="BC381" s="169"/>
      <c r="BD381" s="1324"/>
      <c r="BE381" s="1324"/>
      <c r="BF381" s="1324"/>
      <c r="BG381" s="1324"/>
    </row>
    <row r="382" spans="1:59" ht="15.75" customHeight="1">
      <c r="A382" s="174"/>
      <c r="B382" s="618"/>
      <c r="C382" s="617"/>
      <c r="D382" s="169"/>
      <c r="E382" s="169"/>
      <c r="F382" s="177"/>
      <c r="G382" s="458"/>
      <c r="J382" s="617"/>
      <c r="K382" s="169"/>
      <c r="L382" s="169"/>
      <c r="M382" s="169"/>
      <c r="Q382" s="169"/>
      <c r="R382" s="169"/>
      <c r="S382" s="458"/>
      <c r="T382" s="169"/>
      <c r="U382" s="169"/>
      <c r="V382" s="169"/>
      <c r="W382" s="169"/>
      <c r="X382" s="169"/>
      <c r="Y382" s="169"/>
      <c r="Z382" s="169"/>
      <c r="AA382" s="169"/>
      <c r="AB382" s="169"/>
      <c r="AC382" s="169"/>
      <c r="AD382" s="169"/>
      <c r="AE382" s="169"/>
      <c r="AF382" s="169"/>
      <c r="AG382" s="617"/>
      <c r="AH382" s="169"/>
      <c r="AI382" s="169"/>
      <c r="AJ382" s="169"/>
      <c r="AK382" s="169"/>
      <c r="AL382" s="169"/>
      <c r="AM382" s="169"/>
      <c r="BA382" s="1305"/>
      <c r="BB382" s="174"/>
      <c r="BC382" s="169"/>
      <c r="BD382" s="1324"/>
      <c r="BE382" s="1324"/>
      <c r="BF382" s="1324"/>
      <c r="BG382" s="1324"/>
    </row>
    <row r="383" spans="1:59" ht="15.75" customHeight="1">
      <c r="S383" s="454"/>
      <c r="BA383" s="1305"/>
      <c r="BC383" s="169"/>
    </row>
    <row r="384" spans="1:59" ht="15.75" customHeight="1">
      <c r="S384" s="454"/>
      <c r="BA384" s="1305"/>
      <c r="BC384" s="169"/>
    </row>
    <row r="385" spans="19:55" ht="15.75" customHeight="1">
      <c r="S385" s="454"/>
      <c r="BA385" s="1305"/>
      <c r="BC385" s="169"/>
    </row>
    <row r="386" spans="19:55" ht="15.75" customHeight="1">
      <c r="S386" s="454"/>
      <c r="BA386" s="1305"/>
      <c r="BC386" s="169"/>
    </row>
    <row r="387" spans="19:55" ht="15.75" customHeight="1">
      <c r="S387" s="454"/>
      <c r="BA387" s="1305"/>
      <c r="BC387" s="169"/>
    </row>
    <row r="388" spans="19:55" ht="15.75" customHeight="1">
      <c r="S388" s="454"/>
      <c r="BA388" s="1305"/>
      <c r="BC388" s="169"/>
    </row>
    <row r="389" spans="19:55" ht="15.75" customHeight="1">
      <c r="S389" s="454"/>
      <c r="BA389" s="1305"/>
      <c r="BC389" s="169"/>
    </row>
    <row r="390" spans="19:55" ht="15.75" customHeight="1">
      <c r="S390" s="454"/>
      <c r="BA390" s="1305"/>
      <c r="BC390" s="169"/>
    </row>
    <row r="391" spans="19:55" ht="15.75" customHeight="1">
      <c r="S391" s="454"/>
      <c r="BA391" s="1305"/>
      <c r="BC391" s="169"/>
    </row>
    <row r="392" spans="19:55" ht="15.75" customHeight="1">
      <c r="S392" s="454"/>
      <c r="BA392" s="1305"/>
      <c r="BC392" s="169"/>
    </row>
    <row r="393" spans="19:55" ht="15.75" customHeight="1">
      <c r="S393" s="454"/>
      <c r="BA393" s="1305"/>
      <c r="BC393" s="169"/>
    </row>
    <row r="394" spans="19:55" ht="15.75" customHeight="1">
      <c r="S394" s="454"/>
      <c r="AN394" s="454"/>
      <c r="AO394" s="178"/>
      <c r="AP394" s="178"/>
      <c r="AQ394" s="454"/>
      <c r="AR394" s="454"/>
      <c r="AS394" s="454"/>
      <c r="AT394" s="454"/>
      <c r="AU394" s="178"/>
      <c r="AV394" s="178"/>
      <c r="AW394" s="178"/>
      <c r="AX394" s="178"/>
      <c r="AY394" s="454"/>
      <c r="AZ394" s="454"/>
      <c r="BA394" s="1306"/>
      <c r="BC394" s="169"/>
    </row>
    <row r="395" spans="19:55" ht="15.75" customHeight="1">
      <c r="S395" s="454"/>
      <c r="AN395" s="454"/>
      <c r="AO395" s="178"/>
      <c r="AP395" s="178"/>
      <c r="AQ395" s="454"/>
      <c r="AR395" s="454"/>
      <c r="AS395" s="454"/>
      <c r="AT395" s="454"/>
      <c r="AU395" s="178"/>
      <c r="AV395" s="178"/>
      <c r="AW395" s="178"/>
      <c r="AX395" s="178"/>
      <c r="AY395" s="454"/>
      <c r="AZ395" s="454"/>
      <c r="BA395" s="1306"/>
      <c r="BC395" s="169"/>
    </row>
    <row r="396" spans="19:55" ht="15.75" customHeight="1">
      <c r="S396" s="454"/>
      <c r="AN396" s="454"/>
      <c r="AO396" s="178"/>
      <c r="AP396" s="178"/>
      <c r="AQ396" s="454"/>
      <c r="AR396" s="454"/>
      <c r="AS396" s="454"/>
      <c r="AT396" s="454"/>
      <c r="AU396" s="178"/>
      <c r="AV396" s="178"/>
      <c r="AW396" s="178"/>
      <c r="AX396" s="178"/>
      <c r="AY396" s="454"/>
      <c r="AZ396" s="454"/>
      <c r="BA396" s="1306"/>
      <c r="BC396" s="169"/>
    </row>
    <row r="397" spans="19:55" ht="15.75" customHeight="1">
      <c r="S397" s="454"/>
      <c r="AN397" s="454"/>
      <c r="AO397" s="178"/>
      <c r="AP397" s="178"/>
      <c r="AQ397" s="454"/>
      <c r="AR397" s="454"/>
      <c r="AS397" s="454"/>
      <c r="AT397" s="454"/>
      <c r="AU397" s="178"/>
      <c r="AV397" s="178"/>
      <c r="AW397" s="178"/>
      <c r="AX397" s="178"/>
      <c r="AY397" s="454"/>
      <c r="AZ397" s="454"/>
      <c r="BA397" s="1306"/>
      <c r="BC397" s="169"/>
    </row>
    <row r="398" spans="19:55" ht="15.75" customHeight="1">
      <c r="S398" s="454"/>
      <c r="AN398" s="454"/>
      <c r="AO398" s="178"/>
      <c r="AP398" s="178"/>
      <c r="AQ398" s="454"/>
      <c r="AR398" s="454"/>
      <c r="AS398" s="454"/>
      <c r="AT398" s="454"/>
      <c r="AU398" s="178"/>
      <c r="AV398" s="178"/>
      <c r="AW398" s="178"/>
      <c r="AX398" s="178"/>
      <c r="AY398" s="454"/>
      <c r="AZ398" s="454"/>
      <c r="BA398" s="1306"/>
      <c r="BC398" s="169"/>
    </row>
    <row r="399" spans="19:55" ht="15.75" customHeight="1">
      <c r="S399" s="454"/>
      <c r="BA399" s="1305"/>
      <c r="BC399" s="169"/>
    </row>
    <row r="400" spans="19:55" ht="15.75" customHeight="1">
      <c r="S400" s="454"/>
      <c r="BA400" s="1305"/>
      <c r="BC400" s="169"/>
    </row>
    <row r="401" spans="19:55" ht="15.75" customHeight="1">
      <c r="S401" s="454"/>
      <c r="BA401" s="1305"/>
      <c r="BC401" s="169"/>
    </row>
    <row r="402" spans="19:55" ht="15.75" customHeight="1">
      <c r="S402" s="454"/>
      <c r="BA402" s="1305"/>
      <c r="BC402" s="169"/>
    </row>
    <row r="403" spans="19:55" ht="15.75" customHeight="1">
      <c r="S403" s="454"/>
      <c r="BA403" s="1305"/>
      <c r="BC403" s="169"/>
    </row>
    <row r="404" spans="19:55" ht="15.75" customHeight="1">
      <c r="S404" s="454"/>
      <c r="BA404" s="1305"/>
      <c r="BC404" s="169"/>
    </row>
    <row r="405" spans="19:55" ht="15.75" customHeight="1">
      <c r="S405" s="454"/>
      <c r="BA405" s="1305"/>
      <c r="BC405" s="169"/>
    </row>
    <row r="406" spans="19:55" ht="15.75" customHeight="1">
      <c r="S406" s="454"/>
      <c r="BA406" s="1305"/>
      <c r="BC406" s="169"/>
    </row>
    <row r="407" spans="19:55" ht="15.75" customHeight="1">
      <c r="S407" s="454"/>
      <c r="BA407" s="1305"/>
      <c r="BC407" s="169"/>
    </row>
    <row r="408" spans="19:55" ht="15.75" customHeight="1">
      <c r="S408" s="454"/>
      <c r="BA408" s="1305"/>
      <c r="BC408" s="169"/>
    </row>
    <row r="409" spans="19:55" ht="15.75" customHeight="1">
      <c r="S409" s="454"/>
      <c r="BA409" s="1305"/>
      <c r="BC409" s="169"/>
    </row>
    <row r="410" spans="19:55" ht="15.75" customHeight="1">
      <c r="S410" s="454"/>
      <c r="BA410" s="1305"/>
      <c r="BC410" s="169"/>
    </row>
    <row r="411" spans="19:55" ht="15.75" customHeight="1">
      <c r="S411" s="454"/>
      <c r="BA411" s="1305"/>
      <c r="BC411" s="169"/>
    </row>
    <row r="412" spans="19:55" ht="15.75" customHeight="1">
      <c r="S412" s="454"/>
      <c r="BA412" s="1305"/>
      <c r="BC412" s="169"/>
    </row>
    <row r="413" spans="19:55" ht="15.75" customHeight="1">
      <c r="S413" s="454"/>
      <c r="BA413" s="1305"/>
      <c r="BC413" s="169"/>
    </row>
    <row r="414" spans="19:55" ht="15.75" customHeight="1">
      <c r="S414" s="454"/>
      <c r="BA414" s="1305"/>
      <c r="BC414" s="169"/>
    </row>
    <row r="415" spans="19:55" ht="15.75" customHeight="1">
      <c r="S415" s="454"/>
      <c r="BA415" s="1305"/>
      <c r="BC415" s="169"/>
    </row>
    <row r="416" spans="19:55" ht="15.75" customHeight="1">
      <c r="S416" s="454"/>
      <c r="BA416" s="1305"/>
      <c r="BC416" s="169"/>
    </row>
    <row r="417" spans="19:55" ht="15.75" customHeight="1">
      <c r="S417" s="454"/>
      <c r="BA417" s="1305"/>
      <c r="BC417" s="169"/>
    </row>
    <row r="418" spans="19:55" ht="15.75" customHeight="1">
      <c r="S418" s="454"/>
      <c r="BA418" s="1305"/>
      <c r="BC418" s="169"/>
    </row>
    <row r="419" spans="19:55" ht="15.75" customHeight="1">
      <c r="S419" s="454"/>
      <c r="BA419" s="1305"/>
      <c r="BC419" s="169"/>
    </row>
    <row r="420" spans="19:55" ht="15.75" customHeight="1">
      <c r="S420" s="454"/>
      <c r="BA420" s="1305"/>
      <c r="BC420" s="169"/>
    </row>
    <row r="421" spans="19:55" ht="15.75" customHeight="1">
      <c r="S421" s="454"/>
      <c r="BA421" s="1305"/>
      <c r="BC421" s="169"/>
    </row>
    <row r="422" spans="19:55" ht="15.75" customHeight="1">
      <c r="S422" s="454"/>
      <c r="BA422" s="1305"/>
      <c r="BC422" s="169"/>
    </row>
    <row r="423" spans="19:55" ht="15.75" customHeight="1">
      <c r="S423" s="454"/>
      <c r="BA423" s="1305"/>
      <c r="BC423" s="169"/>
    </row>
    <row r="424" spans="19:55" ht="15.75" customHeight="1">
      <c r="S424" s="454"/>
      <c r="BA424" s="1305"/>
      <c r="BC424" s="169"/>
    </row>
    <row r="425" spans="19:55" ht="15.75" customHeight="1">
      <c r="S425" s="454"/>
      <c r="BA425" s="1305"/>
      <c r="BC425" s="169"/>
    </row>
    <row r="426" spans="19:55" ht="15.75" customHeight="1">
      <c r="S426" s="454"/>
      <c r="BA426" s="1305"/>
      <c r="BC426" s="169"/>
    </row>
    <row r="427" spans="19:55" ht="15.75" customHeight="1">
      <c r="S427" s="454"/>
      <c r="BA427" s="1305"/>
      <c r="BC427" s="169"/>
    </row>
    <row r="428" spans="19:55" ht="15.75" customHeight="1">
      <c r="S428" s="454"/>
      <c r="BA428" s="1305"/>
      <c r="BC428" s="169"/>
    </row>
    <row r="429" spans="19:55" ht="15.75" customHeight="1">
      <c r="S429" s="454"/>
      <c r="BA429" s="1305"/>
      <c r="BC429" s="169"/>
    </row>
    <row r="430" spans="19:55" ht="15.75" customHeight="1">
      <c r="S430" s="454"/>
      <c r="BA430" s="1305"/>
      <c r="BC430" s="169"/>
    </row>
    <row r="431" spans="19:55" ht="15.75" customHeight="1">
      <c r="S431" s="454"/>
      <c r="BA431" s="1305"/>
      <c r="BC431" s="169"/>
    </row>
    <row r="432" spans="19:55" ht="15.75" customHeight="1">
      <c r="S432" s="454"/>
      <c r="BA432" s="1305"/>
      <c r="BC432" s="169"/>
    </row>
    <row r="433" spans="19:55" ht="15.75" customHeight="1">
      <c r="S433" s="454"/>
      <c r="BA433" s="1305"/>
      <c r="BC433" s="169"/>
    </row>
    <row r="434" spans="19:55" ht="15.75" customHeight="1">
      <c r="S434" s="454"/>
      <c r="BA434" s="1305"/>
      <c r="BC434" s="169"/>
    </row>
    <row r="435" spans="19:55" ht="15.75" customHeight="1">
      <c r="S435" s="454"/>
      <c r="BA435" s="1305"/>
      <c r="BC435" s="169"/>
    </row>
    <row r="436" spans="19:55" ht="15.75" customHeight="1">
      <c r="S436" s="454"/>
      <c r="BA436" s="1305"/>
      <c r="BC436" s="169"/>
    </row>
    <row r="437" spans="19:55" ht="15.75" customHeight="1">
      <c r="S437" s="454"/>
      <c r="BA437" s="1305"/>
      <c r="BC437" s="169"/>
    </row>
    <row r="438" spans="19:55" ht="15.75" customHeight="1">
      <c r="S438" s="454"/>
      <c r="BA438" s="1305"/>
      <c r="BC438" s="169"/>
    </row>
    <row r="439" spans="19:55" ht="15.75" customHeight="1">
      <c r="S439" s="454"/>
      <c r="BA439" s="1305"/>
      <c r="BC439" s="169"/>
    </row>
    <row r="440" spans="19:55" ht="15.75" customHeight="1">
      <c r="S440" s="454"/>
      <c r="BA440" s="1305"/>
      <c r="BC440" s="169"/>
    </row>
    <row r="441" spans="19:55" ht="15.75" customHeight="1">
      <c r="S441" s="454"/>
      <c r="BA441" s="1305"/>
      <c r="BC441" s="169"/>
    </row>
    <row r="442" spans="19:55" ht="15.75" customHeight="1">
      <c r="S442" s="454"/>
      <c r="BA442" s="1305"/>
      <c r="BC442" s="169"/>
    </row>
    <row r="443" spans="19:55" ht="15.75" customHeight="1">
      <c r="S443" s="454"/>
      <c r="BA443" s="1305"/>
      <c r="BC443" s="169"/>
    </row>
    <row r="444" spans="19:55" ht="15.75" customHeight="1">
      <c r="S444" s="454"/>
      <c r="BA444" s="1305"/>
      <c r="BC444" s="169"/>
    </row>
    <row r="445" spans="19:55" ht="15.75" customHeight="1">
      <c r="S445" s="454"/>
      <c r="BA445" s="1305"/>
      <c r="BC445" s="169"/>
    </row>
    <row r="446" spans="19:55" ht="15.75" customHeight="1">
      <c r="S446" s="454"/>
      <c r="BA446" s="1305"/>
      <c r="BC446" s="169"/>
    </row>
    <row r="447" spans="19:55" ht="15.75" customHeight="1">
      <c r="S447" s="454"/>
      <c r="BA447" s="1305"/>
      <c r="BC447" s="169"/>
    </row>
    <row r="448" spans="19:55" ht="15.75" customHeight="1">
      <c r="S448" s="454"/>
      <c r="BA448" s="1305"/>
      <c r="BC448" s="169"/>
    </row>
    <row r="449" spans="19:55" ht="15.75" customHeight="1">
      <c r="S449" s="454"/>
      <c r="BA449" s="1305"/>
      <c r="BC449" s="169"/>
    </row>
    <row r="450" spans="19:55" ht="15.75" customHeight="1">
      <c r="S450" s="454"/>
      <c r="BA450" s="1305"/>
      <c r="BC450" s="169"/>
    </row>
    <row r="451" spans="19:55" ht="15.75" customHeight="1">
      <c r="S451" s="454"/>
      <c r="BA451" s="1305"/>
      <c r="BC451" s="169"/>
    </row>
    <row r="452" spans="19:55" ht="15.75" customHeight="1">
      <c r="S452" s="454"/>
      <c r="BA452" s="1305"/>
      <c r="BC452" s="169"/>
    </row>
    <row r="453" spans="19:55" ht="15.75" customHeight="1">
      <c r="S453" s="454"/>
      <c r="BA453" s="1305"/>
      <c r="BC453" s="169"/>
    </row>
    <row r="454" spans="19:55" ht="15.75" customHeight="1">
      <c r="S454" s="454"/>
      <c r="BA454" s="1305"/>
      <c r="BC454" s="169"/>
    </row>
    <row r="455" spans="19:55" ht="15.75" customHeight="1">
      <c r="S455" s="454"/>
      <c r="BA455" s="1305"/>
      <c r="BC455" s="169"/>
    </row>
    <row r="456" spans="19:55" ht="15.75" customHeight="1">
      <c r="S456" s="454"/>
      <c r="BA456" s="1305"/>
      <c r="BC456" s="169"/>
    </row>
    <row r="457" spans="19:55" ht="15.75" customHeight="1">
      <c r="S457" s="454"/>
      <c r="BA457" s="1305"/>
      <c r="BC457" s="169"/>
    </row>
    <row r="458" spans="19:55" ht="15.75" customHeight="1">
      <c r="S458" s="454"/>
      <c r="BA458" s="1305"/>
      <c r="BC458" s="169"/>
    </row>
    <row r="459" spans="19:55" ht="15.75" customHeight="1">
      <c r="S459" s="454"/>
      <c r="BA459" s="1305"/>
      <c r="BC459" s="169"/>
    </row>
    <row r="460" spans="19:55" ht="15.75" customHeight="1">
      <c r="S460" s="454"/>
      <c r="BA460" s="1305"/>
      <c r="BC460" s="169"/>
    </row>
    <row r="461" spans="19:55" ht="15.75" customHeight="1">
      <c r="S461" s="454"/>
      <c r="BA461" s="1305"/>
      <c r="BC461" s="169"/>
    </row>
    <row r="462" spans="19:55" ht="15.75" customHeight="1">
      <c r="S462" s="454"/>
      <c r="BA462" s="1305"/>
      <c r="BC462" s="169"/>
    </row>
    <row r="463" spans="19:55" ht="15.75" customHeight="1">
      <c r="S463" s="454"/>
      <c r="BA463" s="1305"/>
      <c r="BC463" s="169"/>
    </row>
    <row r="464" spans="19:55" ht="15.75" customHeight="1">
      <c r="S464" s="454"/>
      <c r="BA464" s="1305"/>
      <c r="BC464" s="169"/>
    </row>
    <row r="465" spans="19:55" ht="15.75" customHeight="1">
      <c r="S465" s="454"/>
      <c r="BA465" s="1305"/>
      <c r="BC465" s="169"/>
    </row>
    <row r="466" spans="19:55" ht="15.75" customHeight="1">
      <c r="S466" s="454"/>
      <c r="BA466" s="1305"/>
      <c r="BC466" s="169"/>
    </row>
    <row r="467" spans="19:55" ht="15.75" customHeight="1">
      <c r="S467" s="454"/>
      <c r="BA467" s="1305"/>
      <c r="BC467" s="169"/>
    </row>
    <row r="468" spans="19:55" ht="15.75" customHeight="1">
      <c r="S468" s="454"/>
      <c r="BA468" s="1305"/>
      <c r="BC468" s="169"/>
    </row>
    <row r="469" spans="19:55" ht="15.75" customHeight="1">
      <c r="S469" s="454"/>
      <c r="BA469" s="1305"/>
      <c r="BC469" s="169"/>
    </row>
    <row r="470" spans="19:55" ht="15.75" customHeight="1">
      <c r="S470" s="454"/>
      <c r="BA470" s="1305"/>
      <c r="BC470" s="169"/>
    </row>
    <row r="471" spans="19:55" ht="15.75" customHeight="1">
      <c r="S471" s="454"/>
      <c r="BA471" s="1305"/>
      <c r="BC471" s="169"/>
    </row>
    <row r="472" spans="19:55" ht="15.75" customHeight="1">
      <c r="S472" s="454"/>
      <c r="BA472" s="1305"/>
      <c r="BC472" s="169"/>
    </row>
    <row r="473" spans="19:55" ht="15.75" customHeight="1">
      <c r="S473" s="454"/>
      <c r="BA473" s="1305"/>
      <c r="BC473" s="169"/>
    </row>
    <row r="474" spans="19:55" ht="15.75" customHeight="1">
      <c r="S474" s="454"/>
      <c r="BA474" s="1305"/>
      <c r="BC474" s="169"/>
    </row>
    <row r="475" spans="19:55" ht="15.75" customHeight="1">
      <c r="S475" s="454"/>
      <c r="BA475" s="1305"/>
      <c r="BC475" s="169"/>
    </row>
    <row r="476" spans="19:55" ht="15.75" customHeight="1">
      <c r="S476" s="454"/>
      <c r="BA476" s="1305"/>
      <c r="BC476" s="169"/>
    </row>
    <row r="477" spans="19:55" ht="15.75" customHeight="1">
      <c r="S477" s="454"/>
      <c r="BA477" s="1305"/>
      <c r="BC477" s="169"/>
    </row>
    <row r="478" spans="19:55" ht="15.75" customHeight="1">
      <c r="S478" s="454"/>
      <c r="BA478" s="1305"/>
      <c r="BC478" s="169"/>
    </row>
    <row r="479" spans="19:55" ht="15.75" customHeight="1">
      <c r="S479" s="454"/>
      <c r="BA479" s="1305"/>
      <c r="BC479" s="169"/>
    </row>
    <row r="480" spans="19:55" ht="15.75" customHeight="1">
      <c r="S480" s="454"/>
      <c r="BA480" s="1305"/>
      <c r="BC480" s="169"/>
    </row>
    <row r="481" spans="19:55" ht="15.75" customHeight="1">
      <c r="S481" s="454"/>
      <c r="BA481" s="1305"/>
      <c r="BC481" s="169"/>
    </row>
    <row r="482" spans="19:55" ht="15.75" customHeight="1">
      <c r="S482" s="454"/>
      <c r="BA482" s="1305"/>
      <c r="BC482" s="169"/>
    </row>
    <row r="483" spans="19:55" ht="15.75" customHeight="1">
      <c r="S483" s="454"/>
      <c r="BA483" s="1305"/>
      <c r="BC483" s="169"/>
    </row>
    <row r="484" spans="19:55" ht="15.75" customHeight="1">
      <c r="S484" s="454"/>
      <c r="BA484" s="1305"/>
      <c r="BC484" s="169"/>
    </row>
    <row r="485" spans="19:55" ht="15.75" customHeight="1">
      <c r="S485" s="454"/>
      <c r="BA485" s="1305"/>
      <c r="BC485" s="169"/>
    </row>
    <row r="486" spans="19:55" ht="15.75" customHeight="1">
      <c r="S486" s="454"/>
      <c r="BA486" s="1305"/>
      <c r="BC486" s="169"/>
    </row>
    <row r="487" spans="19:55" ht="15.75" customHeight="1">
      <c r="S487" s="454"/>
      <c r="BA487" s="1305"/>
      <c r="BC487" s="169"/>
    </row>
    <row r="488" spans="19:55" ht="15.75" customHeight="1">
      <c r="S488" s="454"/>
      <c r="BA488" s="1305"/>
      <c r="BC488" s="169"/>
    </row>
    <row r="489" spans="19:55" ht="15.75" customHeight="1">
      <c r="S489" s="454"/>
      <c r="BA489" s="1305"/>
      <c r="BC489" s="169"/>
    </row>
    <row r="490" spans="19:55" ht="15.75" customHeight="1">
      <c r="S490" s="454"/>
      <c r="BA490" s="1305"/>
      <c r="BC490" s="169"/>
    </row>
    <row r="491" spans="19:55" ht="15.75" customHeight="1">
      <c r="S491" s="454"/>
      <c r="BA491" s="1305"/>
      <c r="BC491" s="169"/>
    </row>
    <row r="492" spans="19:55" ht="15.75" customHeight="1">
      <c r="S492" s="454"/>
      <c r="BA492" s="1305"/>
      <c r="BC492" s="169"/>
    </row>
    <row r="493" spans="19:55" ht="15.75" customHeight="1">
      <c r="S493" s="454"/>
      <c r="BA493" s="1305"/>
      <c r="BC493" s="169"/>
    </row>
    <row r="494" spans="19:55" ht="15.75" customHeight="1">
      <c r="S494" s="454"/>
      <c r="BA494" s="1305"/>
      <c r="BC494" s="169"/>
    </row>
    <row r="495" spans="19:55" ht="15.75" customHeight="1">
      <c r="S495" s="454"/>
      <c r="BA495" s="1305"/>
      <c r="BC495" s="169"/>
    </row>
    <row r="496" spans="19:55" ht="15.75" customHeight="1">
      <c r="S496" s="454"/>
      <c r="BA496" s="1305"/>
      <c r="BC496" s="169"/>
    </row>
    <row r="497" spans="19:55" ht="15.75" customHeight="1">
      <c r="S497" s="454"/>
      <c r="BA497" s="1305"/>
      <c r="BC497" s="169"/>
    </row>
    <row r="498" spans="19:55" ht="15.75" customHeight="1">
      <c r="S498" s="454"/>
      <c r="BA498" s="1305"/>
      <c r="BC498" s="169"/>
    </row>
    <row r="499" spans="19:55" ht="15.75" customHeight="1">
      <c r="S499" s="454"/>
      <c r="BA499" s="1305"/>
      <c r="BC499" s="169"/>
    </row>
    <row r="500" spans="19:55" ht="15.75" customHeight="1">
      <c r="S500" s="454"/>
      <c r="BA500" s="1305"/>
      <c r="BC500" s="169"/>
    </row>
    <row r="501" spans="19:55" ht="15.75" customHeight="1">
      <c r="S501" s="454"/>
      <c r="BA501" s="1305"/>
      <c r="BC501" s="169"/>
    </row>
    <row r="502" spans="19:55" ht="15.75" customHeight="1">
      <c r="S502" s="454"/>
      <c r="BA502" s="1305"/>
      <c r="BC502" s="169"/>
    </row>
    <row r="503" spans="19:55" ht="15.75" customHeight="1">
      <c r="S503" s="454"/>
      <c r="BA503" s="1305"/>
      <c r="BC503" s="169"/>
    </row>
    <row r="504" spans="19:55" ht="15.75" customHeight="1">
      <c r="S504" s="454"/>
      <c r="BA504" s="1305"/>
      <c r="BC504" s="169"/>
    </row>
    <row r="505" spans="19:55" ht="15.75" customHeight="1">
      <c r="S505" s="454"/>
      <c r="BA505" s="1305"/>
      <c r="BC505" s="169"/>
    </row>
    <row r="506" spans="19:55" ht="15.75" customHeight="1">
      <c r="S506" s="454"/>
      <c r="BA506" s="1305"/>
      <c r="BC506" s="169"/>
    </row>
    <row r="507" spans="19:55" ht="15.75" customHeight="1">
      <c r="S507" s="454"/>
      <c r="BA507" s="1305"/>
      <c r="BC507" s="169"/>
    </row>
    <row r="508" spans="19:55" ht="15.75" customHeight="1">
      <c r="S508" s="454"/>
      <c r="BA508" s="1305"/>
      <c r="BC508" s="169"/>
    </row>
    <row r="509" spans="19:55" ht="15.75" customHeight="1">
      <c r="S509" s="454"/>
      <c r="BA509" s="1305"/>
      <c r="BC509" s="169"/>
    </row>
    <row r="510" spans="19:55" ht="15.75" customHeight="1">
      <c r="S510" s="454"/>
      <c r="BA510" s="1305"/>
      <c r="BC510" s="169"/>
    </row>
    <row r="511" spans="19:55" ht="15.75" customHeight="1">
      <c r="S511" s="454"/>
      <c r="BA511" s="1305"/>
      <c r="BC511" s="169"/>
    </row>
    <row r="512" spans="19:55" ht="15.75" customHeight="1">
      <c r="S512" s="454"/>
      <c r="BA512" s="1305"/>
      <c r="BC512" s="169"/>
    </row>
    <row r="513" spans="19:55" ht="15.75" customHeight="1">
      <c r="S513" s="454"/>
      <c r="BA513" s="1305"/>
      <c r="BC513" s="169"/>
    </row>
    <row r="514" spans="19:55" ht="15.75" customHeight="1">
      <c r="S514" s="454"/>
      <c r="BA514" s="1305"/>
      <c r="BC514" s="169"/>
    </row>
    <row r="515" spans="19:55" ht="15.75" customHeight="1">
      <c r="S515" s="454"/>
      <c r="BA515" s="1305"/>
      <c r="BC515" s="169"/>
    </row>
    <row r="516" spans="19:55" ht="15.75" customHeight="1">
      <c r="S516" s="454"/>
      <c r="BA516" s="1305"/>
      <c r="BC516" s="169"/>
    </row>
    <row r="517" spans="19:55" ht="15.75" customHeight="1">
      <c r="S517" s="454"/>
      <c r="BA517" s="1305"/>
      <c r="BC517" s="169"/>
    </row>
    <row r="518" spans="19:55" ht="15.75" customHeight="1">
      <c r="S518" s="454"/>
      <c r="BA518" s="1305"/>
      <c r="BC518" s="169"/>
    </row>
    <row r="519" spans="19:55" ht="15.75" customHeight="1">
      <c r="S519" s="454"/>
      <c r="BA519" s="1305"/>
      <c r="BC519" s="169"/>
    </row>
    <row r="520" spans="19:55" ht="15.75" customHeight="1">
      <c r="S520" s="454"/>
      <c r="BA520" s="1305"/>
      <c r="BC520" s="169"/>
    </row>
    <row r="521" spans="19:55" ht="15.75" customHeight="1">
      <c r="S521" s="454"/>
      <c r="BA521" s="1305"/>
      <c r="BC521" s="169"/>
    </row>
    <row r="522" spans="19:55" ht="15.75" customHeight="1">
      <c r="S522" s="454"/>
      <c r="BA522" s="1305"/>
      <c r="BC522" s="169"/>
    </row>
    <row r="523" spans="19:55" ht="15.75" customHeight="1">
      <c r="S523" s="454"/>
      <c r="BA523" s="1305"/>
      <c r="BC523" s="169"/>
    </row>
    <row r="524" spans="19:55" ht="15.75" customHeight="1">
      <c r="S524" s="454"/>
      <c r="BA524" s="1305"/>
      <c r="BC524" s="169"/>
    </row>
    <row r="525" spans="19:55" ht="15.75" customHeight="1">
      <c r="S525" s="454"/>
      <c r="BA525" s="1305"/>
      <c r="BC525" s="169"/>
    </row>
    <row r="526" spans="19:55" ht="15.75" customHeight="1">
      <c r="S526" s="454"/>
      <c r="BA526" s="1305"/>
      <c r="BC526" s="169"/>
    </row>
    <row r="527" spans="19:55" ht="15.75" customHeight="1">
      <c r="S527" s="454"/>
      <c r="BA527" s="1305"/>
      <c r="BC527" s="169"/>
    </row>
    <row r="528" spans="19:55" ht="15.75" customHeight="1">
      <c r="S528" s="454"/>
      <c r="BA528" s="1305"/>
      <c r="BC528" s="169"/>
    </row>
    <row r="529" spans="19:55" ht="15.75" customHeight="1">
      <c r="S529" s="454"/>
      <c r="BA529" s="1305"/>
      <c r="BC529" s="169"/>
    </row>
    <row r="530" spans="19:55" ht="15.75" customHeight="1">
      <c r="S530" s="454"/>
      <c r="BA530" s="1305"/>
      <c r="BC530" s="169"/>
    </row>
    <row r="531" spans="19:55" ht="15.75" customHeight="1">
      <c r="S531" s="454"/>
      <c r="BA531" s="1305"/>
      <c r="BC531" s="169"/>
    </row>
    <row r="532" spans="19:55" ht="15.75" customHeight="1">
      <c r="S532" s="454"/>
      <c r="BA532" s="1305"/>
      <c r="BC532" s="169"/>
    </row>
    <row r="533" spans="19:55" ht="15.75" customHeight="1">
      <c r="S533" s="454"/>
      <c r="BA533" s="1305"/>
      <c r="BC533" s="169"/>
    </row>
    <row r="534" spans="19:55" ht="15.75" customHeight="1">
      <c r="S534" s="454"/>
      <c r="BA534" s="1305"/>
      <c r="BC534" s="169"/>
    </row>
    <row r="535" spans="19:55" ht="15.75" customHeight="1">
      <c r="S535" s="454"/>
      <c r="BA535" s="1305"/>
      <c r="BC535" s="169"/>
    </row>
    <row r="536" spans="19:55" ht="15.75" customHeight="1">
      <c r="S536" s="454"/>
      <c r="BA536" s="1305"/>
      <c r="BC536" s="169"/>
    </row>
    <row r="537" spans="19:55" ht="15.75" customHeight="1">
      <c r="S537" s="454"/>
      <c r="BA537" s="1305"/>
      <c r="BC537" s="169"/>
    </row>
    <row r="538" spans="19:55" ht="15.75" customHeight="1">
      <c r="S538" s="454"/>
      <c r="BA538" s="1305"/>
      <c r="BC538" s="169"/>
    </row>
    <row r="539" spans="19:55" ht="15.75" customHeight="1">
      <c r="S539" s="454"/>
      <c r="BA539" s="1305"/>
      <c r="BC539" s="169"/>
    </row>
    <row r="540" spans="19:55" ht="15.75" customHeight="1">
      <c r="S540" s="454"/>
      <c r="BA540" s="1305"/>
      <c r="BC540" s="169"/>
    </row>
    <row r="541" spans="19:55" ht="15.75" customHeight="1">
      <c r="S541" s="454"/>
      <c r="BA541" s="1305"/>
      <c r="BC541" s="169"/>
    </row>
    <row r="542" spans="19:55" ht="15.75" customHeight="1">
      <c r="S542" s="454"/>
      <c r="BA542" s="1305"/>
      <c r="BC542" s="169"/>
    </row>
    <row r="543" spans="19:55" ht="15.75" customHeight="1">
      <c r="S543" s="454"/>
      <c r="BA543" s="1305"/>
      <c r="BC543" s="169"/>
    </row>
    <row r="544" spans="19:55" ht="15.75" customHeight="1">
      <c r="S544" s="454"/>
      <c r="BA544" s="1305"/>
      <c r="BC544" s="169"/>
    </row>
    <row r="545" spans="19:55" ht="15.75" customHeight="1">
      <c r="S545" s="454"/>
      <c r="BA545" s="1305"/>
      <c r="BC545" s="169"/>
    </row>
    <row r="546" spans="19:55" ht="15.75" customHeight="1">
      <c r="S546" s="454"/>
      <c r="BA546" s="1305"/>
      <c r="BC546" s="169"/>
    </row>
    <row r="547" spans="19:55" ht="15.75" customHeight="1">
      <c r="S547" s="454"/>
      <c r="BA547" s="1305"/>
      <c r="BC547" s="169"/>
    </row>
    <row r="548" spans="19:55" ht="15.75" customHeight="1">
      <c r="S548" s="454"/>
      <c r="BA548" s="1305"/>
      <c r="BC548" s="169"/>
    </row>
    <row r="549" spans="19:55" ht="15.75" customHeight="1">
      <c r="S549" s="454"/>
      <c r="BA549" s="1305"/>
      <c r="BC549" s="169"/>
    </row>
    <row r="550" spans="19:55" ht="15.75" customHeight="1">
      <c r="S550" s="454"/>
      <c r="BA550" s="1305"/>
      <c r="BC550" s="169"/>
    </row>
    <row r="551" spans="19:55" ht="15.75" customHeight="1">
      <c r="S551" s="454"/>
      <c r="BA551" s="1305"/>
      <c r="BC551" s="169"/>
    </row>
    <row r="552" spans="19:55" ht="15.75" customHeight="1">
      <c r="S552" s="454"/>
      <c r="BA552" s="1305"/>
      <c r="BC552" s="169"/>
    </row>
    <row r="553" spans="19:55" ht="15.75" customHeight="1">
      <c r="S553" s="454"/>
      <c r="BA553" s="1305"/>
      <c r="BC553" s="169"/>
    </row>
    <row r="554" spans="19:55" ht="15.75" customHeight="1">
      <c r="S554" s="454"/>
      <c r="BA554" s="1305"/>
      <c r="BC554" s="169"/>
    </row>
    <row r="555" spans="19:55" ht="15.75" customHeight="1">
      <c r="S555" s="454"/>
      <c r="BA555" s="1305"/>
      <c r="BC555" s="169"/>
    </row>
    <row r="556" spans="19:55" ht="15.75" customHeight="1">
      <c r="S556" s="454"/>
      <c r="BA556" s="1305"/>
      <c r="BC556" s="169"/>
    </row>
    <row r="557" spans="19:55" ht="15.75" customHeight="1">
      <c r="S557" s="454"/>
      <c r="BA557" s="1305"/>
      <c r="BC557" s="169"/>
    </row>
    <row r="558" spans="19:55" ht="15.75" customHeight="1">
      <c r="S558" s="454"/>
      <c r="BA558" s="1305"/>
      <c r="BC558" s="169"/>
    </row>
    <row r="559" spans="19:55" ht="15.75" customHeight="1">
      <c r="S559" s="454"/>
      <c r="BA559" s="1305"/>
      <c r="BC559" s="169"/>
    </row>
    <row r="560" spans="19:55" ht="15.75" customHeight="1">
      <c r="S560" s="454"/>
      <c r="BA560" s="1305"/>
      <c r="BC560" s="169"/>
    </row>
    <row r="561" spans="19:55" ht="15.75" customHeight="1">
      <c r="S561" s="454"/>
      <c r="BA561" s="1305"/>
      <c r="BC561" s="169"/>
    </row>
    <row r="562" spans="19:55" ht="15.75" customHeight="1">
      <c r="S562" s="454"/>
      <c r="BA562" s="1305"/>
      <c r="BC562" s="169"/>
    </row>
    <row r="563" spans="19:55" ht="15.75" customHeight="1">
      <c r="S563" s="454"/>
      <c r="BA563" s="1305"/>
      <c r="BC563" s="169"/>
    </row>
    <row r="564" spans="19:55" ht="15.75" customHeight="1">
      <c r="S564" s="454"/>
      <c r="BA564" s="1305"/>
      <c r="BC564" s="169"/>
    </row>
    <row r="565" spans="19:55" ht="15.75" customHeight="1">
      <c r="S565" s="454"/>
      <c r="BA565" s="1305"/>
      <c r="BC565" s="169"/>
    </row>
    <row r="566" spans="19:55" ht="15.75" customHeight="1">
      <c r="S566" s="454"/>
      <c r="BA566" s="1305"/>
      <c r="BC566" s="169"/>
    </row>
    <row r="567" spans="19:55" ht="15.75" customHeight="1">
      <c r="S567" s="454"/>
      <c r="BA567" s="1305"/>
      <c r="BC567" s="169"/>
    </row>
    <row r="568" spans="19:55" ht="15.75" customHeight="1">
      <c r="S568" s="454"/>
      <c r="BA568" s="1305"/>
      <c r="BC568" s="169"/>
    </row>
    <row r="569" spans="19:55" ht="15.75" customHeight="1">
      <c r="S569" s="454"/>
      <c r="BA569" s="1305"/>
      <c r="BC569" s="169"/>
    </row>
    <row r="570" spans="19:55" ht="15.75" customHeight="1">
      <c r="S570" s="454"/>
      <c r="BA570" s="1305"/>
      <c r="BC570" s="169"/>
    </row>
    <row r="571" spans="19:55" ht="15.75" customHeight="1">
      <c r="S571" s="454"/>
      <c r="BA571" s="1305"/>
      <c r="BC571" s="169"/>
    </row>
    <row r="572" spans="19:55" ht="15.75" customHeight="1">
      <c r="S572" s="454"/>
      <c r="BA572" s="1305"/>
      <c r="BC572" s="169"/>
    </row>
    <row r="573" spans="19:55" ht="15.75" customHeight="1">
      <c r="S573" s="454"/>
      <c r="BA573" s="1305"/>
      <c r="BC573" s="169"/>
    </row>
    <row r="574" spans="19:55" ht="15.75" customHeight="1">
      <c r="S574" s="454"/>
      <c r="BA574" s="1305"/>
      <c r="BC574" s="169"/>
    </row>
    <row r="575" spans="19:55" ht="15.75" customHeight="1">
      <c r="S575" s="454"/>
      <c r="BA575" s="1305"/>
      <c r="BC575" s="169"/>
    </row>
    <row r="576" spans="19:55" ht="15.75" customHeight="1">
      <c r="S576" s="454"/>
      <c r="BA576" s="1305"/>
      <c r="BC576" s="169"/>
    </row>
    <row r="577" spans="19:55" ht="15.75" customHeight="1">
      <c r="S577" s="454"/>
      <c r="BA577" s="1305"/>
      <c r="BC577" s="169"/>
    </row>
    <row r="578" spans="19:55" ht="15.75" customHeight="1">
      <c r="S578" s="454"/>
      <c r="BA578" s="1305"/>
      <c r="BC578" s="169"/>
    </row>
    <row r="579" spans="19:55" ht="15.75" customHeight="1">
      <c r="S579" s="454"/>
      <c r="BA579" s="1305"/>
      <c r="BC579" s="169"/>
    </row>
    <row r="580" spans="19:55" ht="15.75" customHeight="1">
      <c r="S580" s="454"/>
      <c r="BA580" s="1305"/>
      <c r="BC580" s="169"/>
    </row>
    <row r="581" spans="19:55" ht="15.75" customHeight="1">
      <c r="S581" s="454"/>
      <c r="BA581" s="1305"/>
      <c r="BC581" s="169"/>
    </row>
    <row r="582" spans="19:55" ht="15.75" customHeight="1">
      <c r="S582" s="454"/>
      <c r="BA582" s="1305"/>
      <c r="BC582" s="169"/>
    </row>
    <row r="583" spans="19:55" ht="15.75" customHeight="1">
      <c r="S583" s="454"/>
      <c r="BA583" s="1305"/>
      <c r="BC583" s="169"/>
    </row>
    <row r="584" spans="19:55" ht="15.75" customHeight="1">
      <c r="S584" s="454"/>
      <c r="BA584" s="1305"/>
      <c r="BC584" s="169"/>
    </row>
    <row r="585" spans="19:55" ht="15.75" customHeight="1">
      <c r="S585" s="454"/>
      <c r="BA585" s="1305"/>
      <c r="BC585" s="169"/>
    </row>
    <row r="586" spans="19:55" ht="15.75" customHeight="1">
      <c r="S586" s="454"/>
      <c r="BA586" s="1305"/>
      <c r="BC586" s="169"/>
    </row>
    <row r="587" spans="19:55" ht="15.75" customHeight="1">
      <c r="S587" s="454"/>
      <c r="BA587" s="1305"/>
      <c r="BC587" s="169"/>
    </row>
    <row r="588" spans="19:55" ht="15.75" customHeight="1">
      <c r="S588" s="454"/>
      <c r="BA588" s="1305"/>
      <c r="BC588" s="169"/>
    </row>
    <row r="589" spans="19:55" ht="15.75" customHeight="1">
      <c r="S589" s="454"/>
      <c r="BA589" s="1305"/>
      <c r="BC589" s="169"/>
    </row>
    <row r="590" spans="19:55" ht="15.75" customHeight="1">
      <c r="S590" s="454"/>
      <c r="BA590" s="1305"/>
      <c r="BC590" s="169"/>
    </row>
    <row r="591" spans="19:55" ht="15.75" customHeight="1">
      <c r="S591" s="454"/>
      <c r="BA591" s="1305"/>
      <c r="BC591" s="169"/>
    </row>
    <row r="592" spans="19:55" ht="15.75" customHeight="1">
      <c r="S592" s="454"/>
      <c r="BA592" s="1305"/>
      <c r="BC592" s="169"/>
    </row>
    <row r="593" spans="1:59" ht="15.75" customHeight="1">
      <c r="S593" s="454"/>
      <c r="BA593" s="1305"/>
      <c r="BC593" s="169"/>
    </row>
    <row r="594" spans="1:59" ht="15.75" customHeight="1">
      <c r="A594" s="174"/>
      <c r="S594" s="454"/>
      <c r="BA594" s="1305"/>
      <c r="BB594" s="174"/>
      <c r="BC594" s="169"/>
      <c r="BD594" s="1324"/>
      <c r="BE594" s="1324"/>
      <c r="BF594" s="1324"/>
      <c r="BG594" s="1324"/>
    </row>
    <row r="595" spans="1:59" ht="15.75" customHeight="1">
      <c r="A595" s="174"/>
      <c r="S595" s="454"/>
      <c r="BA595" s="1305"/>
      <c r="BB595" s="174"/>
      <c r="BC595" s="169"/>
      <c r="BD595" s="1324"/>
      <c r="BE595" s="1324"/>
      <c r="BF595" s="1324"/>
      <c r="BG595" s="1324"/>
    </row>
    <row r="596" spans="1:59" ht="15.75" customHeight="1">
      <c r="A596" s="174"/>
      <c r="S596" s="454"/>
      <c r="BA596" s="1305"/>
      <c r="BB596" s="174"/>
      <c r="BC596" s="169"/>
      <c r="BD596" s="1324"/>
      <c r="BE596" s="1324"/>
      <c r="BF596" s="1324"/>
      <c r="BG596" s="1324"/>
    </row>
    <row r="597" spans="1:59" ht="15.75" customHeight="1">
      <c r="A597" s="643"/>
      <c r="S597" s="454"/>
      <c r="BA597" s="1305"/>
      <c r="BB597" s="643"/>
      <c r="BC597" s="169"/>
      <c r="BD597" s="1325"/>
      <c r="BE597" s="1325"/>
      <c r="BF597" s="1325"/>
      <c r="BG597" s="1325"/>
    </row>
    <row r="598" spans="1:59" ht="15.75" customHeight="1">
      <c r="A598" s="174"/>
      <c r="S598" s="454"/>
      <c r="BA598" s="1305"/>
      <c r="BB598" s="174"/>
      <c r="BC598" s="169"/>
      <c r="BD598" s="1324"/>
      <c r="BE598" s="1324"/>
      <c r="BF598" s="1324"/>
      <c r="BG598" s="1324"/>
    </row>
    <row r="599" spans="1:59" ht="15.75" customHeight="1">
      <c r="A599" s="174"/>
      <c r="S599" s="454"/>
      <c r="BA599" s="1305"/>
      <c r="BB599" s="174"/>
      <c r="BC599" s="169"/>
      <c r="BD599" s="1324"/>
      <c r="BE599" s="1324"/>
      <c r="BF599" s="1324"/>
      <c r="BG599" s="1324"/>
    </row>
    <row r="600" spans="1:59" ht="15.75" customHeight="1">
      <c r="A600" s="174"/>
      <c r="S600" s="454"/>
      <c r="BA600" s="1305"/>
      <c r="BB600" s="174"/>
      <c r="BC600" s="169"/>
      <c r="BD600" s="1324"/>
      <c r="BE600" s="1324"/>
      <c r="BF600" s="1324"/>
      <c r="BG600" s="1324"/>
    </row>
    <row r="601" spans="1:59" ht="15.75" customHeight="1">
      <c r="A601" s="174"/>
      <c r="S601" s="454"/>
      <c r="BA601" s="1305"/>
      <c r="BB601" s="174"/>
      <c r="BC601" s="169"/>
      <c r="BD601" s="1324"/>
      <c r="BE601" s="1324"/>
      <c r="BF601" s="1324"/>
      <c r="BG601" s="1324"/>
    </row>
    <row r="602" spans="1:59" ht="15.75" customHeight="1">
      <c r="A602" s="174"/>
      <c r="S602" s="454"/>
      <c r="BA602" s="1305"/>
      <c r="BB602" s="174"/>
      <c r="BC602" s="169"/>
      <c r="BD602" s="1324"/>
      <c r="BE602" s="1324"/>
      <c r="BF602" s="1324"/>
      <c r="BG602" s="1324"/>
    </row>
    <row r="603" spans="1:59" ht="15.75" customHeight="1">
      <c r="A603" s="174"/>
      <c r="S603" s="454"/>
      <c r="BA603" s="1305"/>
      <c r="BB603" s="174"/>
      <c r="BC603" s="169"/>
      <c r="BD603" s="1324"/>
      <c r="BE603" s="1324"/>
      <c r="BF603" s="1324"/>
      <c r="BG603" s="1324"/>
    </row>
    <row r="604" spans="1:59" ht="15.75" customHeight="1">
      <c r="A604" s="174"/>
      <c r="S604" s="454"/>
      <c r="BA604" s="1305"/>
      <c r="BB604" s="174"/>
      <c r="BC604" s="169"/>
      <c r="BD604" s="1324"/>
      <c r="BE604" s="1324"/>
      <c r="BF604" s="1324"/>
      <c r="BG604" s="1324"/>
    </row>
    <row r="605" spans="1:59" ht="15.75" customHeight="1">
      <c r="A605" s="174"/>
      <c r="S605" s="454"/>
      <c r="BA605" s="1305"/>
      <c r="BB605" s="174"/>
      <c r="BC605" s="169"/>
      <c r="BD605" s="1324"/>
      <c r="BE605" s="1324"/>
      <c r="BF605" s="1324"/>
      <c r="BG605" s="1324"/>
    </row>
    <row r="606" spans="1:59" ht="15.75" customHeight="1">
      <c r="A606" s="174"/>
      <c r="S606" s="454"/>
      <c r="BA606" s="1305"/>
      <c r="BB606" s="174"/>
      <c r="BC606" s="169"/>
      <c r="BD606" s="1324"/>
      <c r="BE606" s="1324"/>
      <c r="BF606" s="1324"/>
      <c r="BG606" s="1324"/>
    </row>
    <row r="607" spans="1:59" ht="15.75" customHeight="1">
      <c r="S607" s="454"/>
      <c r="BA607" s="1305"/>
      <c r="BC607" s="169"/>
    </row>
    <row r="608" spans="1:59" ht="15.75" customHeight="1">
      <c r="S608" s="454"/>
      <c r="BA608" s="1305"/>
      <c r="BC608" s="169"/>
    </row>
    <row r="609" spans="1:59" ht="15.75" customHeight="1">
      <c r="S609" s="454"/>
      <c r="BA609" s="1305"/>
      <c r="BC609" s="169"/>
    </row>
    <row r="610" spans="1:59" ht="15.75" customHeight="1">
      <c r="S610" s="454"/>
      <c r="BA610" s="1305"/>
      <c r="BC610" s="169"/>
    </row>
    <row r="611" spans="1:59" ht="15.75" customHeight="1">
      <c r="S611" s="454"/>
      <c r="BA611" s="1305"/>
      <c r="BC611" s="169"/>
    </row>
    <row r="612" spans="1:59" ht="15.75" customHeight="1">
      <c r="S612" s="454"/>
      <c r="BA612" s="1305"/>
      <c r="BC612" s="169"/>
    </row>
    <row r="613" spans="1:59" ht="15.75" customHeight="1">
      <c r="S613" s="454"/>
      <c r="BA613" s="1305"/>
      <c r="BC613" s="169"/>
    </row>
    <row r="614" spans="1:59" ht="15.75" customHeight="1">
      <c r="A614" s="174"/>
      <c r="S614" s="454"/>
      <c r="BA614" s="1305"/>
      <c r="BB614" s="174"/>
      <c r="BC614" s="169"/>
      <c r="BD614" s="1324"/>
      <c r="BE614" s="1324"/>
      <c r="BF614" s="1324"/>
      <c r="BG614" s="1324"/>
    </row>
    <row r="615" spans="1:59" ht="15.75" customHeight="1">
      <c r="L615" s="169"/>
      <c r="M615" s="169"/>
      <c r="S615" s="454"/>
      <c r="AL615" s="169"/>
      <c r="BA615" s="1305"/>
      <c r="BC615" s="169"/>
    </row>
    <row r="616" spans="1:59" ht="15.75" customHeight="1">
      <c r="L616" s="169"/>
      <c r="M616" s="169"/>
      <c r="S616" s="454"/>
      <c r="AL616" s="169"/>
      <c r="BA616" s="1305"/>
      <c r="BC616" s="169"/>
    </row>
    <row r="617" spans="1:59" ht="15.75" customHeight="1">
      <c r="L617" s="169"/>
      <c r="M617" s="169"/>
      <c r="S617" s="454"/>
      <c r="AL617" s="169"/>
      <c r="BA617" s="1305"/>
      <c r="BC617" s="169"/>
    </row>
    <row r="618" spans="1:59" ht="15.75" customHeight="1">
      <c r="L618" s="169"/>
      <c r="M618" s="181"/>
      <c r="S618" s="454"/>
      <c r="AL618" s="169"/>
      <c r="BA618" s="1305"/>
      <c r="BC618" s="169"/>
    </row>
    <row r="619" spans="1:59" ht="15.75" customHeight="1">
      <c r="L619" s="169"/>
      <c r="M619" s="169"/>
      <c r="S619" s="454"/>
      <c r="AL619" s="169"/>
      <c r="BA619" s="1305"/>
      <c r="BC619" s="169"/>
    </row>
    <row r="620" spans="1:59" ht="15.75" customHeight="1">
      <c r="L620" s="169"/>
      <c r="M620" s="169"/>
      <c r="S620" s="454"/>
      <c r="AL620" s="169"/>
      <c r="BA620" s="1305"/>
      <c r="BC620" s="169"/>
    </row>
    <row r="621" spans="1:59" ht="15.75" customHeight="1">
      <c r="L621" s="169"/>
      <c r="M621" s="169"/>
      <c r="S621" s="454"/>
      <c r="AL621" s="169"/>
      <c r="BA621" s="1305"/>
      <c r="BC621" s="169"/>
    </row>
    <row r="622" spans="1:59" ht="15.75" customHeight="1">
      <c r="L622" s="169"/>
      <c r="M622" s="169"/>
      <c r="S622" s="454"/>
      <c r="AL622" s="169"/>
      <c r="BA622" s="1305"/>
      <c r="BC622" s="169"/>
    </row>
    <row r="623" spans="1:59" ht="15.75" customHeight="1">
      <c r="L623" s="169"/>
      <c r="M623" s="169"/>
      <c r="S623" s="454"/>
      <c r="AL623" s="169"/>
      <c r="BA623" s="1305"/>
      <c r="BC623" s="169"/>
    </row>
    <row r="624" spans="1:59" ht="15.75" customHeight="1">
      <c r="L624" s="169"/>
      <c r="M624" s="169"/>
      <c r="S624" s="454"/>
      <c r="AL624" s="169"/>
      <c r="BA624" s="1305"/>
      <c r="BC624" s="169"/>
    </row>
    <row r="625" spans="12:55" ht="15.75" customHeight="1">
      <c r="L625" s="169"/>
      <c r="M625" s="169"/>
      <c r="S625" s="454"/>
      <c r="AL625" s="169"/>
      <c r="BA625" s="1305"/>
      <c r="BC625" s="169"/>
    </row>
    <row r="626" spans="12:55" ht="15.75" customHeight="1">
      <c r="L626" s="169"/>
      <c r="M626" s="169"/>
      <c r="S626" s="454"/>
      <c r="AL626" s="169"/>
      <c r="BA626" s="1305"/>
      <c r="BC626" s="169"/>
    </row>
    <row r="627" spans="12:55" ht="15.75" customHeight="1">
      <c r="L627" s="169"/>
      <c r="M627" s="169"/>
      <c r="S627" s="454"/>
      <c r="AL627" s="169"/>
      <c r="BA627" s="1305"/>
      <c r="BC627" s="169"/>
    </row>
    <row r="628" spans="12:55" ht="15.75" customHeight="1">
      <c r="L628" s="169"/>
      <c r="M628" s="169"/>
      <c r="S628" s="454"/>
      <c r="AL628" s="169"/>
      <c r="BA628" s="1305"/>
      <c r="BC628" s="169"/>
    </row>
    <row r="629" spans="12:55" ht="15.75" customHeight="1">
      <c r="L629" s="169"/>
      <c r="M629" s="169"/>
      <c r="S629" s="454"/>
      <c r="AL629" s="169"/>
      <c r="BA629" s="1305"/>
      <c r="BC629" s="169"/>
    </row>
    <row r="630" spans="12:55" ht="15.75" customHeight="1">
      <c r="L630" s="169"/>
      <c r="M630" s="169"/>
      <c r="S630" s="454"/>
      <c r="AL630" s="169"/>
      <c r="BA630" s="1305"/>
      <c r="BC630" s="169"/>
    </row>
    <row r="631" spans="12:55" ht="15.75" customHeight="1">
      <c r="L631" s="169"/>
      <c r="M631" s="169"/>
      <c r="S631" s="454"/>
      <c r="AL631" s="169"/>
      <c r="BA631" s="1305"/>
      <c r="BC631" s="169"/>
    </row>
    <row r="632" spans="12:55" ht="15.75" customHeight="1">
      <c r="L632" s="169"/>
      <c r="M632" s="169"/>
      <c r="S632" s="454"/>
      <c r="AL632" s="169"/>
      <c r="BA632" s="1305"/>
      <c r="BC632" s="169"/>
    </row>
    <row r="633" spans="12:55" ht="15.75" customHeight="1">
      <c r="L633" s="169"/>
      <c r="M633" s="169"/>
      <c r="S633" s="454"/>
      <c r="AL633" s="169"/>
      <c r="BA633" s="1305"/>
      <c r="BC633" s="169"/>
    </row>
    <row r="634" spans="12:55" ht="15.75" customHeight="1">
      <c r="L634" s="169"/>
      <c r="M634" s="169"/>
      <c r="S634" s="454"/>
      <c r="AL634" s="169"/>
      <c r="BA634" s="1305"/>
      <c r="BC634" s="169"/>
    </row>
    <row r="635" spans="12:55" ht="15.75" customHeight="1">
      <c r="L635" s="169"/>
      <c r="M635" s="169"/>
      <c r="S635" s="454"/>
      <c r="AL635" s="169"/>
      <c r="BA635" s="1305"/>
      <c r="BC635" s="169"/>
    </row>
    <row r="636" spans="12:55" ht="15.75" customHeight="1">
      <c r="L636" s="169"/>
      <c r="M636" s="169"/>
      <c r="S636" s="454"/>
      <c r="AL636" s="169"/>
      <c r="BA636" s="1305"/>
      <c r="BC636" s="169"/>
    </row>
    <row r="637" spans="12:55" ht="15.75" customHeight="1">
      <c r="L637" s="169"/>
      <c r="M637" s="169"/>
      <c r="S637" s="454"/>
      <c r="AL637" s="169"/>
      <c r="BA637" s="1305"/>
      <c r="BC637" s="169"/>
    </row>
    <row r="638" spans="12:55" ht="15.75" customHeight="1">
      <c r="L638" s="169"/>
      <c r="M638" s="169"/>
      <c r="S638" s="454"/>
      <c r="AL638" s="169"/>
      <c r="BA638" s="1305"/>
      <c r="BC638" s="169"/>
    </row>
    <row r="639" spans="12:55" ht="15.75" customHeight="1">
      <c r="L639" s="169"/>
      <c r="M639" s="169"/>
      <c r="S639" s="454"/>
      <c r="AL639" s="169"/>
      <c r="BA639" s="1305"/>
      <c r="BC639" s="169"/>
    </row>
    <row r="640" spans="12:55" ht="15.75" customHeight="1">
      <c r="L640" s="169"/>
      <c r="M640" s="169"/>
      <c r="S640" s="454"/>
      <c r="AL640" s="169"/>
      <c r="BA640" s="1305"/>
      <c r="BC640" s="169"/>
    </row>
    <row r="641" spans="7:55" ht="15.75" customHeight="1">
      <c r="L641" s="169"/>
      <c r="M641" s="169"/>
      <c r="S641" s="454"/>
      <c r="AL641" s="169"/>
      <c r="BA641" s="1305"/>
      <c r="BC641" s="169"/>
    </row>
    <row r="642" spans="7:55" ht="15.75" customHeight="1">
      <c r="L642" s="169"/>
      <c r="M642" s="169"/>
      <c r="S642" s="454"/>
      <c r="AL642" s="169"/>
      <c r="BA642" s="1305"/>
      <c r="BC642" s="169"/>
    </row>
    <row r="643" spans="7:55" ht="15.75" customHeight="1">
      <c r="L643" s="169"/>
      <c r="M643" s="169"/>
      <c r="S643" s="454"/>
      <c r="AL643" s="169"/>
      <c r="BA643" s="1305"/>
      <c r="BC643" s="169"/>
    </row>
    <row r="644" spans="7:55" ht="15.75" customHeight="1">
      <c r="G644" s="458"/>
      <c r="L644" s="169"/>
      <c r="M644" s="169"/>
      <c r="S644" s="454"/>
      <c r="AL644" s="169"/>
      <c r="BA644" s="1305"/>
      <c r="BC644" s="169"/>
    </row>
    <row r="645" spans="7:55" ht="15.75" customHeight="1">
      <c r="G645" s="458"/>
      <c r="L645" s="169"/>
      <c r="M645" s="169"/>
      <c r="S645" s="454"/>
      <c r="AL645" s="169"/>
      <c r="BA645" s="1305"/>
      <c r="BC645" s="169"/>
    </row>
    <row r="646" spans="7:55" ht="15.75" customHeight="1">
      <c r="G646" s="458"/>
      <c r="L646" s="169"/>
      <c r="M646" s="169"/>
      <c r="S646" s="454"/>
      <c r="AL646" s="169"/>
      <c r="BA646" s="1305"/>
      <c r="BC646" s="169"/>
    </row>
    <row r="647" spans="7:55" ht="15.75" customHeight="1">
      <c r="G647" s="458"/>
      <c r="L647" s="169"/>
      <c r="M647" s="169"/>
      <c r="S647" s="454"/>
      <c r="AL647" s="169"/>
      <c r="BA647" s="1305"/>
      <c r="BC647" s="169"/>
    </row>
    <row r="648" spans="7:55" ht="15.75" customHeight="1">
      <c r="G648" s="458"/>
      <c r="J648" s="617"/>
      <c r="K648" s="169"/>
      <c r="L648" s="169"/>
      <c r="M648" s="169"/>
      <c r="S648" s="454"/>
      <c r="AL648" s="169"/>
      <c r="BA648" s="1305"/>
      <c r="BC648" s="169"/>
    </row>
    <row r="649" spans="7:55" ht="15.75" customHeight="1">
      <c r="G649" s="458"/>
      <c r="J649" s="617"/>
      <c r="K649" s="169"/>
      <c r="L649" s="169"/>
      <c r="M649" s="169"/>
      <c r="S649" s="454"/>
      <c r="AL649" s="169"/>
      <c r="BA649" s="1305"/>
      <c r="BC649" s="169"/>
    </row>
    <row r="650" spans="7:55" ht="15.75" customHeight="1">
      <c r="G650" s="458"/>
      <c r="J650" s="617"/>
      <c r="K650" s="169"/>
      <c r="L650" s="169"/>
      <c r="M650" s="169"/>
      <c r="S650" s="454"/>
      <c r="AL650" s="169"/>
      <c r="BA650" s="1305"/>
      <c r="BC650" s="169"/>
    </row>
    <row r="651" spans="7:55" ht="15.75" customHeight="1">
      <c r="G651" s="458"/>
      <c r="J651" s="617"/>
      <c r="K651" s="169"/>
      <c r="L651" s="169"/>
      <c r="M651" s="169"/>
      <c r="S651" s="454"/>
      <c r="AL651" s="169"/>
      <c r="BA651" s="1305"/>
      <c r="BC651" s="169"/>
    </row>
    <row r="652" spans="7:55" ht="15.75" customHeight="1">
      <c r="G652" s="458"/>
      <c r="J652" s="617"/>
      <c r="K652" s="169"/>
      <c r="L652" s="169"/>
      <c r="M652" s="169"/>
      <c r="S652" s="454"/>
      <c r="AL652" s="169"/>
      <c r="BA652" s="1305"/>
      <c r="BC652" s="169"/>
    </row>
    <row r="653" spans="7:55" ht="15.75" customHeight="1">
      <c r="G653" s="458"/>
      <c r="J653" s="617"/>
      <c r="K653" s="169"/>
      <c r="L653" s="169"/>
      <c r="M653" s="169"/>
      <c r="S653" s="454"/>
      <c r="AL653" s="169"/>
      <c r="BA653" s="1305"/>
      <c r="BC653" s="169"/>
    </row>
    <row r="654" spans="7:55" ht="15.75" customHeight="1">
      <c r="G654" s="458"/>
      <c r="J654" s="617"/>
      <c r="K654" s="169"/>
      <c r="L654" s="169"/>
      <c r="M654" s="169"/>
      <c r="S654" s="454"/>
      <c r="AL654" s="169"/>
      <c r="BA654" s="1305"/>
      <c r="BC654" s="169"/>
    </row>
    <row r="655" spans="7:55" ht="15.75" customHeight="1">
      <c r="G655" s="458"/>
      <c r="J655" s="617"/>
      <c r="K655" s="169"/>
      <c r="L655" s="169"/>
      <c r="M655" s="169"/>
      <c r="S655" s="454"/>
      <c r="AL655" s="169"/>
      <c r="BA655" s="1305"/>
      <c r="BC655" s="169"/>
    </row>
    <row r="656" spans="7:55" ht="15.75" customHeight="1">
      <c r="G656" s="458"/>
      <c r="J656" s="617"/>
      <c r="K656" s="169"/>
      <c r="L656" s="169"/>
      <c r="M656" s="169"/>
      <c r="S656" s="454"/>
      <c r="AL656" s="169"/>
      <c r="BA656" s="1305"/>
      <c r="BC656" s="169"/>
    </row>
    <row r="657" spans="7:55" ht="15.75" customHeight="1">
      <c r="G657" s="458"/>
      <c r="J657" s="617"/>
      <c r="K657" s="169"/>
      <c r="L657" s="169"/>
      <c r="M657" s="169"/>
      <c r="S657" s="454"/>
      <c r="AL657" s="169"/>
      <c r="BA657" s="1305"/>
      <c r="BC657" s="169"/>
    </row>
    <row r="658" spans="7:55" ht="15.75" customHeight="1">
      <c r="G658" s="458"/>
      <c r="J658" s="617"/>
      <c r="K658" s="169"/>
      <c r="L658" s="169"/>
      <c r="M658" s="169"/>
      <c r="S658" s="454"/>
      <c r="AL658" s="169"/>
      <c r="BA658" s="1305"/>
      <c r="BC658" s="169"/>
    </row>
    <row r="659" spans="7:55" ht="15.75" customHeight="1">
      <c r="G659" s="458"/>
      <c r="J659" s="617"/>
      <c r="K659" s="169"/>
      <c r="L659" s="169"/>
      <c r="M659" s="169"/>
      <c r="S659" s="454"/>
      <c r="AL659" s="169"/>
      <c r="BA659" s="1305"/>
      <c r="BC659" s="169"/>
    </row>
    <row r="660" spans="7:55" ht="15.75" customHeight="1">
      <c r="G660" s="458"/>
      <c r="J660" s="617"/>
      <c r="K660" s="169"/>
      <c r="S660" s="454"/>
      <c r="BA660" s="1305"/>
      <c r="BC660" s="169"/>
    </row>
    <row r="661" spans="7:55" ht="15.75" customHeight="1">
      <c r="G661" s="458"/>
      <c r="S661" s="454"/>
      <c r="BA661" s="1305"/>
      <c r="BC661" s="169"/>
    </row>
    <row r="662" spans="7:55" ht="15.75" customHeight="1">
      <c r="S662" s="454"/>
      <c r="BA662" s="1305"/>
      <c r="BC662" s="169"/>
    </row>
    <row r="663" spans="7:55" ht="15.75" customHeight="1">
      <c r="S663" s="454"/>
      <c r="BA663" s="1305"/>
      <c r="BC663" s="169"/>
    </row>
    <row r="664" spans="7:55" ht="15.75" customHeight="1">
      <c r="K664" s="169"/>
      <c r="S664" s="454"/>
      <c r="BA664" s="1305"/>
      <c r="BC664" s="169"/>
    </row>
    <row r="665" spans="7:55" ht="15.75" customHeight="1">
      <c r="I665" s="177"/>
      <c r="L665" s="169"/>
      <c r="M665" s="169"/>
      <c r="S665" s="454"/>
      <c r="BA665" s="1305"/>
      <c r="BC665" s="169"/>
    </row>
    <row r="666" spans="7:55" ht="15.75" customHeight="1">
      <c r="S666" s="454"/>
      <c r="BA666" s="1305"/>
      <c r="BC666" s="169"/>
    </row>
    <row r="667" spans="7:55" ht="15.75" customHeight="1">
      <c r="H667" s="169"/>
      <c r="I667" s="177"/>
      <c r="J667" s="617"/>
      <c r="K667" s="169"/>
      <c r="L667" s="169"/>
      <c r="M667" s="169"/>
      <c r="S667" s="454"/>
      <c r="BA667" s="1305"/>
      <c r="BC667" s="169"/>
    </row>
    <row r="668" spans="7:55" ht="15.75" customHeight="1">
      <c r="J668" s="617"/>
      <c r="K668" s="169"/>
      <c r="L668" s="169"/>
      <c r="M668" s="169"/>
      <c r="S668" s="454"/>
      <c r="BA668" s="1305"/>
      <c r="BC668" s="169"/>
    </row>
    <row r="669" spans="7:55" ht="15.75" customHeight="1">
      <c r="K669" s="169"/>
      <c r="L669" s="169"/>
      <c r="M669" s="169"/>
      <c r="S669" s="454"/>
      <c r="BA669" s="1305"/>
      <c r="BC669" s="169"/>
    </row>
    <row r="670" spans="7:55" ht="15.75" customHeight="1">
      <c r="S670" s="454"/>
      <c r="BA670" s="1305"/>
      <c r="BC670" s="169"/>
    </row>
    <row r="671" spans="7:55" ht="15.75" customHeight="1">
      <c r="S671" s="454"/>
      <c r="BA671" s="1305"/>
      <c r="BC671" s="169"/>
    </row>
    <row r="672" spans="7:55" ht="15.75" customHeight="1">
      <c r="S672" s="454"/>
      <c r="BA672" s="1305"/>
      <c r="BC672" s="169"/>
    </row>
    <row r="673" spans="19:55" ht="15.75" customHeight="1">
      <c r="S673" s="454"/>
      <c r="BA673" s="1305"/>
      <c r="BC673" s="169"/>
    </row>
    <row r="674" spans="19:55" ht="15.75" customHeight="1">
      <c r="S674" s="454"/>
      <c r="BA674" s="1305"/>
      <c r="BC674" s="169"/>
    </row>
    <row r="675" spans="19:55" ht="15.75" customHeight="1">
      <c r="S675" s="454"/>
      <c r="BA675" s="1305"/>
      <c r="BC675" s="169"/>
    </row>
    <row r="676" spans="19:55" ht="15.75" customHeight="1">
      <c r="S676" s="454"/>
      <c r="BA676" s="1305"/>
      <c r="BC676" s="169"/>
    </row>
    <row r="677" spans="19:55" ht="15.75" customHeight="1">
      <c r="S677" s="454"/>
      <c r="BA677" s="1305"/>
      <c r="BC677" s="169"/>
    </row>
    <row r="678" spans="19:55" ht="15.75" customHeight="1">
      <c r="S678" s="454"/>
      <c r="BA678" s="1305"/>
      <c r="BC678" s="169"/>
    </row>
    <row r="679" spans="19:55" ht="15.75" customHeight="1">
      <c r="S679" s="454"/>
      <c r="BA679" s="1305"/>
      <c r="BC679" s="169"/>
    </row>
    <row r="680" spans="19:55" ht="15.75" customHeight="1">
      <c r="S680" s="454"/>
      <c r="BA680" s="1305"/>
      <c r="BC680" s="169"/>
    </row>
    <row r="681" spans="19:55" ht="15.75" customHeight="1">
      <c r="S681" s="454"/>
      <c r="BA681" s="1305"/>
      <c r="BC681" s="169"/>
    </row>
    <row r="682" spans="19:55" ht="15.75" customHeight="1">
      <c r="S682" s="454"/>
      <c r="BA682" s="1305"/>
      <c r="BC682" s="169"/>
    </row>
    <row r="683" spans="19:55" ht="15.75" customHeight="1">
      <c r="S683" s="454"/>
      <c r="BA683" s="1305"/>
      <c r="BC683" s="169"/>
    </row>
    <row r="684" spans="19:55" ht="15.75" customHeight="1">
      <c r="S684" s="454"/>
      <c r="BA684" s="1305"/>
      <c r="BC684" s="169"/>
    </row>
    <row r="685" spans="19:55" ht="15.75" customHeight="1">
      <c r="S685" s="454"/>
      <c r="BA685" s="1305"/>
      <c r="BC685" s="169"/>
    </row>
    <row r="686" spans="19:55" ht="15.75" customHeight="1">
      <c r="S686" s="454"/>
      <c r="BA686" s="1305"/>
      <c r="BC686" s="169"/>
    </row>
    <row r="687" spans="19:55" ht="15.75" customHeight="1">
      <c r="S687" s="454"/>
      <c r="BA687" s="1305"/>
      <c r="BC687" s="169"/>
    </row>
    <row r="688" spans="19:55" ht="15.75" customHeight="1">
      <c r="S688" s="454"/>
      <c r="BA688" s="1305"/>
      <c r="BC688" s="169"/>
    </row>
    <row r="689" spans="19:55" ht="15.75" customHeight="1">
      <c r="S689" s="454"/>
      <c r="BA689" s="1305"/>
      <c r="BC689" s="169"/>
    </row>
    <row r="690" spans="19:55" ht="15.75" customHeight="1">
      <c r="S690" s="454"/>
      <c r="BA690" s="1305"/>
      <c r="BC690" s="169"/>
    </row>
    <row r="691" spans="19:55" ht="15.75" customHeight="1">
      <c r="S691" s="454"/>
      <c r="BA691" s="1305"/>
      <c r="BC691" s="169"/>
    </row>
    <row r="692" spans="19:55" ht="15.75" customHeight="1">
      <c r="S692" s="454"/>
      <c r="BA692" s="1305"/>
      <c r="BC692" s="169"/>
    </row>
    <row r="693" spans="19:55" ht="15.75" customHeight="1">
      <c r="S693" s="454"/>
      <c r="BA693" s="1305"/>
      <c r="BC693" s="169"/>
    </row>
    <row r="694" spans="19:55" ht="15.75" customHeight="1">
      <c r="S694" s="454"/>
      <c r="BA694" s="1305"/>
      <c r="BC694" s="169"/>
    </row>
    <row r="695" spans="19:55" ht="15.75" customHeight="1">
      <c r="S695" s="454"/>
      <c r="BA695" s="1305"/>
      <c r="BC695" s="169"/>
    </row>
    <row r="696" spans="19:55" ht="15.75" customHeight="1">
      <c r="S696" s="454"/>
      <c r="BA696" s="1305"/>
      <c r="BC696" s="169"/>
    </row>
    <row r="697" spans="19:55" ht="15.75" customHeight="1">
      <c r="S697" s="454"/>
      <c r="AU697" s="177"/>
      <c r="AV697" s="177"/>
      <c r="AW697" s="177"/>
      <c r="AX697" s="177"/>
      <c r="BA697" s="1307"/>
      <c r="BC697" s="169"/>
    </row>
    <row r="698" spans="19:55" ht="15.75" customHeight="1">
      <c r="S698" s="454"/>
      <c r="AU698" s="177"/>
      <c r="AV698" s="177"/>
      <c r="AW698" s="177"/>
      <c r="AX698" s="177"/>
      <c r="BA698" s="1307"/>
      <c r="BC698" s="169"/>
    </row>
    <row r="699" spans="19:55" ht="15.75" customHeight="1">
      <c r="S699" s="454"/>
      <c r="AU699" s="177"/>
      <c r="AV699" s="177"/>
      <c r="AW699" s="177"/>
      <c r="AX699" s="177"/>
      <c r="BA699" s="1307"/>
      <c r="BC699" s="169"/>
    </row>
    <row r="700" spans="19:55" ht="15.75" customHeight="1">
      <c r="S700" s="454"/>
      <c r="AU700" s="177"/>
      <c r="AV700" s="177"/>
      <c r="AW700" s="177"/>
      <c r="AX700" s="177"/>
      <c r="BA700" s="1307"/>
      <c r="BC700" s="169"/>
    </row>
    <row r="701" spans="19:55" ht="15.75" customHeight="1">
      <c r="S701" s="454"/>
      <c r="AU701" s="177"/>
      <c r="AV701" s="177"/>
      <c r="AW701" s="177"/>
      <c r="AX701" s="177"/>
      <c r="BA701" s="1307"/>
      <c r="BC701" s="169"/>
    </row>
    <row r="702" spans="19:55" ht="15.75" customHeight="1">
      <c r="S702" s="454"/>
      <c r="AU702" s="177"/>
      <c r="AV702" s="177"/>
      <c r="AW702" s="177"/>
      <c r="AX702" s="177"/>
      <c r="BA702" s="1307"/>
      <c r="BC702" s="169"/>
    </row>
    <row r="703" spans="19:55" ht="15.75" customHeight="1">
      <c r="S703" s="454"/>
      <c r="AU703" s="177"/>
      <c r="AV703" s="177"/>
      <c r="AW703" s="177"/>
      <c r="AX703" s="177"/>
      <c r="BA703" s="1307"/>
      <c r="BC703" s="169"/>
    </row>
    <row r="704" spans="19:55" ht="15.75" customHeight="1">
      <c r="S704" s="454"/>
      <c r="AU704" s="177"/>
      <c r="AV704" s="177"/>
      <c r="AW704" s="177"/>
      <c r="AX704" s="177"/>
      <c r="BA704" s="1307"/>
      <c r="BC704" s="169"/>
    </row>
    <row r="705" spans="19:55" ht="15.75" customHeight="1">
      <c r="S705" s="454"/>
      <c r="AU705" s="177"/>
      <c r="AV705" s="177"/>
      <c r="AW705" s="177"/>
      <c r="AX705" s="177"/>
      <c r="BA705" s="1307"/>
      <c r="BC705" s="169"/>
    </row>
    <row r="706" spans="19:55" ht="15.75" customHeight="1">
      <c r="S706" s="454"/>
      <c r="AU706" s="177"/>
      <c r="AV706" s="177"/>
      <c r="AW706" s="177"/>
      <c r="AX706" s="177"/>
      <c r="BA706" s="1307"/>
      <c r="BC706" s="169"/>
    </row>
    <row r="707" spans="19:55" ht="15.75" customHeight="1">
      <c r="S707" s="454"/>
      <c r="AU707" s="177"/>
      <c r="AV707" s="177"/>
      <c r="AW707" s="177"/>
      <c r="AX707" s="177"/>
      <c r="BA707" s="1307"/>
      <c r="BC707" s="169"/>
    </row>
    <row r="708" spans="19:55" ht="15.75" customHeight="1">
      <c r="S708" s="454"/>
      <c r="AU708" s="177"/>
      <c r="AV708" s="177"/>
      <c r="AW708" s="177"/>
      <c r="AX708" s="177"/>
      <c r="BA708" s="1307"/>
      <c r="BC708" s="169"/>
    </row>
    <row r="709" spans="19:55" ht="15.75" customHeight="1">
      <c r="S709" s="454"/>
      <c r="AU709" s="177"/>
      <c r="AV709" s="177"/>
      <c r="AW709" s="177"/>
      <c r="AX709" s="177"/>
      <c r="BA709" s="1307"/>
      <c r="BC709" s="169"/>
    </row>
    <row r="710" spans="19:55" ht="15.75" customHeight="1">
      <c r="S710" s="454"/>
      <c r="BA710" s="1305"/>
      <c r="BC710" s="169"/>
    </row>
    <row r="711" spans="19:55" ht="15.75" customHeight="1">
      <c r="S711" s="454"/>
      <c r="BA711" s="1305"/>
      <c r="BC711" s="169"/>
    </row>
    <row r="712" spans="19:55" ht="15.75" customHeight="1">
      <c r="S712" s="454"/>
      <c r="BA712" s="1305"/>
      <c r="BC712" s="169"/>
    </row>
    <row r="713" spans="19:55" ht="15.75" customHeight="1">
      <c r="S713" s="454"/>
      <c r="BA713" s="1305"/>
      <c r="BC713" s="169"/>
    </row>
    <row r="714" spans="19:55" ht="15.75" customHeight="1">
      <c r="S714" s="454"/>
      <c r="BA714" s="1305"/>
      <c r="BC714" s="169"/>
    </row>
    <row r="715" spans="19:55" ht="15.75" customHeight="1">
      <c r="S715" s="454"/>
      <c r="AU715" s="177"/>
      <c r="AV715" s="177"/>
      <c r="AW715" s="177"/>
      <c r="AX715" s="177"/>
      <c r="BA715" s="1307"/>
      <c r="BC715" s="169"/>
    </row>
    <row r="716" spans="19:55" ht="15.75" customHeight="1">
      <c r="S716" s="454"/>
      <c r="AU716" s="177"/>
      <c r="AV716" s="177"/>
      <c r="AW716" s="177"/>
      <c r="AX716" s="177"/>
      <c r="BA716" s="1307"/>
      <c r="BC716" s="169"/>
    </row>
    <row r="717" spans="19:55" ht="15.75" customHeight="1">
      <c r="S717" s="454"/>
      <c r="AU717" s="177"/>
      <c r="AV717" s="177"/>
      <c r="AW717" s="177"/>
      <c r="AX717" s="177"/>
      <c r="BA717" s="1307"/>
      <c r="BC717" s="169"/>
    </row>
    <row r="718" spans="19:55" ht="15.75" customHeight="1">
      <c r="S718" s="454"/>
      <c r="AU718" s="177"/>
      <c r="AV718" s="177"/>
      <c r="AW718" s="177"/>
      <c r="AX718" s="177"/>
      <c r="BA718" s="1307"/>
      <c r="BC718" s="169"/>
    </row>
    <row r="719" spans="19:55" ht="15.75" customHeight="1">
      <c r="S719" s="454"/>
      <c r="AU719" s="177"/>
      <c r="AV719" s="177"/>
      <c r="AW719" s="177"/>
      <c r="AX719" s="177"/>
      <c r="BA719" s="1307"/>
      <c r="BC719" s="169"/>
    </row>
    <row r="720" spans="19:55" ht="15.75" customHeight="1">
      <c r="S720" s="454"/>
      <c r="BA720" s="1305"/>
      <c r="BC720" s="169"/>
    </row>
    <row r="721" spans="19:55" ht="15.75" customHeight="1">
      <c r="S721" s="454"/>
      <c r="BA721" s="1305"/>
      <c r="BC721" s="169"/>
    </row>
    <row r="722" spans="19:55" ht="15.75" customHeight="1">
      <c r="S722" s="454"/>
      <c r="BA722" s="1305"/>
      <c r="BC722" s="169"/>
    </row>
    <row r="723" spans="19:55" ht="15.75" customHeight="1">
      <c r="S723" s="454"/>
      <c r="AU723" s="177"/>
      <c r="AV723" s="177"/>
      <c r="AW723" s="177"/>
      <c r="AX723" s="177"/>
      <c r="BA723" s="1307"/>
      <c r="BC723" s="169"/>
    </row>
    <row r="724" spans="19:55" ht="15.75" customHeight="1">
      <c r="S724" s="454"/>
      <c r="AU724" s="177"/>
      <c r="AV724" s="177"/>
      <c r="AW724" s="177"/>
      <c r="AX724" s="177"/>
      <c r="BA724" s="1307"/>
      <c r="BC724" s="169"/>
    </row>
    <row r="725" spans="19:55" ht="15.75" customHeight="1">
      <c r="S725" s="454"/>
      <c r="AU725" s="177"/>
      <c r="AV725" s="177"/>
      <c r="AW725" s="177"/>
      <c r="AX725" s="177"/>
      <c r="BA725" s="1307"/>
      <c r="BC725" s="169"/>
    </row>
    <row r="726" spans="19:55" ht="15.75" customHeight="1">
      <c r="S726" s="454"/>
      <c r="AU726" s="177"/>
      <c r="AV726" s="177"/>
      <c r="AW726" s="177"/>
      <c r="AX726" s="177"/>
      <c r="BA726" s="1307"/>
      <c r="BC726" s="169"/>
    </row>
    <row r="727" spans="19:55" ht="15.75" customHeight="1">
      <c r="S727" s="454"/>
      <c r="AU727" s="177"/>
      <c r="AV727" s="177"/>
      <c r="AW727" s="177"/>
      <c r="AX727" s="177"/>
      <c r="BA727" s="1307"/>
      <c r="BC727" s="169"/>
    </row>
    <row r="728" spans="19:55" ht="15.75" customHeight="1">
      <c r="S728" s="454"/>
      <c r="AU728" s="177"/>
      <c r="AV728" s="177"/>
      <c r="AW728" s="177"/>
      <c r="AX728" s="177"/>
      <c r="BA728" s="1307"/>
      <c r="BC728" s="169"/>
    </row>
    <row r="729" spans="19:55" ht="15.75" customHeight="1">
      <c r="S729" s="454"/>
      <c r="AU729" s="177"/>
      <c r="AV729" s="177"/>
      <c r="AW729" s="177"/>
      <c r="AX729" s="177"/>
      <c r="BA729" s="1307"/>
      <c r="BC729" s="169"/>
    </row>
    <row r="730" spans="19:55" ht="15.75" customHeight="1">
      <c r="S730" s="454"/>
      <c r="BA730" s="1305"/>
      <c r="BC730" s="169"/>
    </row>
    <row r="731" spans="19:55" ht="15.75" customHeight="1">
      <c r="S731" s="454"/>
      <c r="BA731" s="1305"/>
      <c r="BC731" s="169"/>
    </row>
    <row r="732" spans="19:55" ht="15.75" customHeight="1">
      <c r="S732" s="454"/>
      <c r="BA732" s="1305"/>
      <c r="BC732" s="169"/>
    </row>
    <row r="733" spans="19:55" ht="15.75" customHeight="1">
      <c r="S733" s="454"/>
      <c r="BA733" s="1305"/>
      <c r="BC733" s="169"/>
    </row>
    <row r="734" spans="19:55" ht="15.75" customHeight="1">
      <c r="S734" s="454"/>
      <c r="BA734" s="1305"/>
      <c r="BC734" s="169"/>
    </row>
    <row r="735" spans="19:55" ht="15.75" customHeight="1">
      <c r="S735" s="454"/>
      <c r="BA735" s="1305"/>
      <c r="BC735" s="169"/>
    </row>
    <row r="736" spans="19:55" ht="15.75" customHeight="1">
      <c r="S736" s="454"/>
      <c r="BA736" s="1305"/>
      <c r="BC736" s="169"/>
    </row>
    <row r="737" spans="19:55" ht="15.75" customHeight="1">
      <c r="S737" s="454"/>
      <c r="BA737" s="1305"/>
      <c r="BC737" s="169"/>
    </row>
    <row r="738" spans="19:55" ht="15.75" customHeight="1">
      <c r="S738" s="454"/>
      <c r="BA738" s="1305"/>
      <c r="BC738" s="169"/>
    </row>
    <row r="739" spans="19:55" ht="15.75" customHeight="1">
      <c r="S739" s="454"/>
      <c r="BA739" s="1305"/>
      <c r="BC739" s="169"/>
    </row>
    <row r="740" spans="19:55" ht="15.75" customHeight="1">
      <c r="S740" s="454"/>
      <c r="BA740" s="1305"/>
      <c r="BC740" s="169"/>
    </row>
    <row r="741" spans="19:55" ht="15.75" customHeight="1">
      <c r="S741" s="454"/>
      <c r="BA741" s="1305"/>
      <c r="BC741" s="169"/>
    </row>
    <row r="742" spans="19:55" ht="15.75" customHeight="1">
      <c r="S742" s="454"/>
      <c r="BA742" s="1305"/>
      <c r="BC742" s="169"/>
    </row>
    <row r="743" spans="19:55" ht="15.75" customHeight="1">
      <c r="S743" s="454"/>
      <c r="BA743" s="1305"/>
      <c r="BC743" s="169"/>
    </row>
    <row r="744" spans="19:55" ht="15.75" customHeight="1">
      <c r="S744" s="454"/>
      <c r="BA744" s="1305"/>
      <c r="BC744" s="169"/>
    </row>
    <row r="745" spans="19:55" ht="15.75" customHeight="1">
      <c r="S745" s="454"/>
      <c r="BA745" s="1305"/>
      <c r="BC745" s="169"/>
    </row>
    <row r="746" spans="19:55" ht="15.75" customHeight="1">
      <c r="S746" s="454"/>
      <c r="BA746" s="1305"/>
      <c r="BC746" s="169"/>
    </row>
    <row r="747" spans="19:55" ht="15.75" customHeight="1">
      <c r="S747" s="454"/>
      <c r="BA747" s="1305"/>
      <c r="BC747" s="169"/>
    </row>
    <row r="748" spans="19:55" ht="15.75" customHeight="1">
      <c r="S748" s="454"/>
      <c r="BA748" s="1305"/>
      <c r="BC748" s="169"/>
    </row>
    <row r="749" spans="19:55" ht="15.75" customHeight="1">
      <c r="S749" s="454"/>
      <c r="BA749" s="1305"/>
      <c r="BC749" s="169"/>
    </row>
    <row r="750" spans="19:55" ht="15.75" customHeight="1">
      <c r="S750" s="454"/>
      <c r="BA750" s="1305"/>
      <c r="BC750" s="169"/>
    </row>
    <row r="751" spans="19:55" ht="15.75" customHeight="1">
      <c r="S751" s="454"/>
      <c r="BA751" s="1305"/>
      <c r="BC751" s="169"/>
    </row>
    <row r="752" spans="19:55" ht="15.75" customHeight="1">
      <c r="S752" s="454"/>
      <c r="BA752" s="1305"/>
      <c r="BC752" s="169"/>
    </row>
    <row r="753" spans="19:55" ht="15.75" customHeight="1">
      <c r="S753" s="454"/>
      <c r="BA753" s="1305"/>
      <c r="BC753" s="169"/>
    </row>
    <row r="754" spans="19:55" ht="15.75" customHeight="1">
      <c r="S754" s="454"/>
      <c r="BA754" s="1305"/>
      <c r="BC754" s="169"/>
    </row>
    <row r="755" spans="19:55" ht="15.75" customHeight="1">
      <c r="S755" s="454"/>
      <c r="BA755" s="1305"/>
      <c r="BC755" s="169"/>
    </row>
    <row r="756" spans="19:55" ht="15.75" customHeight="1">
      <c r="S756" s="454"/>
      <c r="BA756" s="1305"/>
      <c r="BC756" s="169"/>
    </row>
    <row r="757" spans="19:55" ht="15.75" customHeight="1">
      <c r="S757" s="454"/>
      <c r="BA757" s="1305"/>
      <c r="BC757" s="169"/>
    </row>
    <row r="758" spans="19:55" ht="15.75" customHeight="1">
      <c r="S758" s="454"/>
      <c r="BA758" s="1305"/>
      <c r="BC758" s="169"/>
    </row>
    <row r="759" spans="19:55" ht="15.75" customHeight="1">
      <c r="S759" s="454"/>
      <c r="BA759" s="1305"/>
      <c r="BC759" s="169"/>
    </row>
    <row r="760" spans="19:55" ht="15.75" customHeight="1">
      <c r="S760" s="454"/>
      <c r="BA760" s="1305"/>
      <c r="BC760" s="169"/>
    </row>
    <row r="761" spans="19:55" ht="15.75" customHeight="1">
      <c r="S761" s="454"/>
      <c r="BA761" s="1305"/>
      <c r="BC761" s="169"/>
    </row>
    <row r="762" spans="19:55" ht="15.75" customHeight="1">
      <c r="S762" s="454"/>
      <c r="BA762" s="1305"/>
      <c r="BC762" s="169"/>
    </row>
    <row r="763" spans="19:55" ht="15.75" customHeight="1">
      <c r="S763" s="454"/>
      <c r="BA763" s="1305"/>
      <c r="BC763" s="169"/>
    </row>
    <row r="764" spans="19:55" ht="15.75" customHeight="1">
      <c r="S764" s="454"/>
      <c r="BA764" s="1305"/>
      <c r="BC764" s="169"/>
    </row>
    <row r="765" spans="19:55" ht="15.75" customHeight="1">
      <c r="S765" s="454"/>
      <c r="BA765" s="1305"/>
      <c r="BC765" s="169"/>
    </row>
    <row r="766" spans="19:55" ht="15.75" customHeight="1">
      <c r="S766" s="454"/>
      <c r="BA766" s="1305"/>
      <c r="BC766" s="169"/>
    </row>
    <row r="767" spans="19:55" ht="15.75" customHeight="1">
      <c r="S767" s="454"/>
      <c r="BA767" s="1305"/>
      <c r="BC767" s="169"/>
    </row>
    <row r="768" spans="19:55" ht="15.75" customHeight="1">
      <c r="S768" s="454"/>
      <c r="BA768" s="1305"/>
      <c r="BC768" s="169"/>
    </row>
    <row r="769" spans="19:55" ht="15.75" customHeight="1">
      <c r="S769" s="454"/>
      <c r="BA769" s="1305"/>
      <c r="BC769" s="169"/>
    </row>
    <row r="770" spans="19:55" ht="15.75" customHeight="1">
      <c r="S770" s="454"/>
      <c r="BA770" s="1305"/>
      <c r="BC770" s="169"/>
    </row>
    <row r="771" spans="19:55" ht="15.75" customHeight="1">
      <c r="S771" s="454"/>
      <c r="BA771" s="1305"/>
      <c r="BC771" s="169"/>
    </row>
    <row r="772" spans="19:55" ht="15.75" customHeight="1">
      <c r="S772" s="454"/>
      <c r="BA772" s="1305"/>
      <c r="BC772" s="169"/>
    </row>
    <row r="773" spans="19:55" ht="15.75" customHeight="1">
      <c r="S773" s="454"/>
      <c r="BA773" s="1305"/>
      <c r="BC773" s="169"/>
    </row>
    <row r="774" spans="19:55" ht="15.75" customHeight="1">
      <c r="S774" s="454"/>
      <c r="BA774" s="1305"/>
      <c r="BC774" s="169"/>
    </row>
    <row r="775" spans="19:55" ht="15.75" customHeight="1">
      <c r="S775" s="454"/>
      <c r="BA775" s="1305"/>
      <c r="BC775" s="169"/>
    </row>
    <row r="776" spans="19:55" ht="15.75" customHeight="1">
      <c r="S776" s="454"/>
      <c r="BA776" s="1305"/>
      <c r="BC776" s="169"/>
    </row>
    <row r="777" spans="19:55" ht="15.75" customHeight="1">
      <c r="S777" s="454"/>
      <c r="BA777" s="1305"/>
      <c r="BC777" s="169"/>
    </row>
    <row r="778" spans="19:55" ht="15.75" customHeight="1">
      <c r="S778" s="454"/>
      <c r="BA778" s="1305"/>
      <c r="BC778" s="169"/>
    </row>
    <row r="779" spans="19:55" ht="15.75" customHeight="1">
      <c r="S779" s="454"/>
      <c r="BA779" s="1305"/>
      <c r="BC779" s="169"/>
    </row>
    <row r="780" spans="19:55" ht="15.75" customHeight="1">
      <c r="S780" s="454"/>
      <c r="BA780" s="1305"/>
      <c r="BC780" s="169"/>
    </row>
    <row r="781" spans="19:55" ht="15.75" customHeight="1">
      <c r="S781" s="454"/>
      <c r="BA781" s="1305"/>
      <c r="BC781" s="169"/>
    </row>
    <row r="782" spans="19:55" ht="15.75" customHeight="1">
      <c r="S782" s="454"/>
      <c r="BA782" s="1305"/>
      <c r="BC782" s="169"/>
    </row>
    <row r="783" spans="19:55" ht="15.75" customHeight="1">
      <c r="S783" s="454"/>
      <c r="BA783" s="1305"/>
      <c r="BC783" s="169"/>
    </row>
    <row r="784" spans="19:55" ht="15.75" customHeight="1">
      <c r="S784" s="454"/>
      <c r="BA784" s="1305"/>
      <c r="BC784" s="169"/>
    </row>
    <row r="785" spans="19:55" ht="15.75" customHeight="1">
      <c r="S785" s="454"/>
      <c r="BA785" s="1305"/>
      <c r="BC785" s="169"/>
    </row>
    <row r="786" spans="19:55" ht="15.75" customHeight="1">
      <c r="S786" s="454"/>
      <c r="BA786" s="1305"/>
      <c r="BC786" s="169"/>
    </row>
    <row r="787" spans="19:55" ht="15.75" customHeight="1">
      <c r="S787" s="454"/>
      <c r="BA787" s="1305"/>
      <c r="BC787" s="169"/>
    </row>
    <row r="788" spans="19:55" ht="15.75" customHeight="1">
      <c r="S788" s="454"/>
      <c r="BA788" s="1305"/>
      <c r="BC788" s="169"/>
    </row>
    <row r="789" spans="19:55" ht="15.75" customHeight="1">
      <c r="S789" s="454"/>
      <c r="BA789" s="1305"/>
      <c r="BC789" s="169"/>
    </row>
    <row r="790" spans="19:55" ht="15.75" customHeight="1">
      <c r="S790" s="454"/>
      <c r="BA790" s="1305"/>
      <c r="BC790" s="169"/>
    </row>
    <row r="791" spans="19:55" ht="15.75" customHeight="1">
      <c r="S791" s="454"/>
      <c r="BA791" s="1305"/>
      <c r="BC791" s="169"/>
    </row>
    <row r="792" spans="19:55" ht="15.75" customHeight="1">
      <c r="S792" s="454"/>
      <c r="BA792" s="1305"/>
      <c r="BC792" s="169"/>
    </row>
    <row r="793" spans="19:55" ht="15.75" customHeight="1">
      <c r="S793" s="454"/>
      <c r="BA793" s="1305"/>
      <c r="BC793" s="169"/>
    </row>
    <row r="794" spans="19:55" ht="15.75" customHeight="1">
      <c r="S794" s="454"/>
      <c r="BA794" s="1305"/>
      <c r="BC794" s="169"/>
    </row>
    <row r="795" spans="19:55" ht="15.75" customHeight="1">
      <c r="S795" s="454"/>
      <c r="BA795" s="1305"/>
      <c r="BC795" s="169"/>
    </row>
    <row r="796" spans="19:55" ht="15.75" customHeight="1">
      <c r="S796" s="454"/>
      <c r="BA796" s="1305"/>
      <c r="BC796" s="169"/>
    </row>
    <row r="797" spans="19:55" ht="15.75" customHeight="1">
      <c r="S797" s="454"/>
      <c r="BA797" s="1305"/>
      <c r="BC797" s="169"/>
    </row>
    <row r="798" spans="19:55" ht="15.75" customHeight="1">
      <c r="S798" s="454"/>
      <c r="BA798" s="1305"/>
      <c r="BC798" s="169"/>
    </row>
    <row r="799" spans="19:55" ht="15.75" customHeight="1">
      <c r="S799" s="454"/>
      <c r="BA799" s="1305"/>
      <c r="BC799" s="169"/>
    </row>
    <row r="800" spans="19:55" ht="15.75" customHeight="1">
      <c r="S800" s="454"/>
      <c r="BA800" s="1305"/>
      <c r="BC800" s="169"/>
    </row>
    <row r="801" spans="19:55" ht="15.75" customHeight="1">
      <c r="S801" s="454"/>
      <c r="BA801" s="1305"/>
      <c r="BC801" s="169"/>
    </row>
    <row r="802" spans="19:55" ht="15.75" customHeight="1">
      <c r="S802" s="454"/>
      <c r="BA802" s="1305"/>
      <c r="BC802" s="169"/>
    </row>
    <row r="803" spans="19:55" ht="15.75" customHeight="1">
      <c r="S803" s="454"/>
      <c r="BA803" s="1305"/>
      <c r="BC803" s="169"/>
    </row>
    <row r="804" spans="19:55" ht="15.75" customHeight="1">
      <c r="S804" s="454"/>
      <c r="BA804" s="1305"/>
      <c r="BC804" s="169"/>
    </row>
    <row r="805" spans="19:55" ht="15.75" customHeight="1">
      <c r="S805" s="454"/>
      <c r="BA805" s="1305"/>
      <c r="BC805" s="169"/>
    </row>
    <row r="806" spans="19:55" ht="15.75" customHeight="1">
      <c r="S806" s="454"/>
      <c r="BA806" s="1305"/>
      <c r="BC806" s="169"/>
    </row>
    <row r="807" spans="19:55" ht="15.75" customHeight="1">
      <c r="S807" s="454"/>
      <c r="BA807" s="1305"/>
      <c r="BC807" s="169"/>
    </row>
    <row r="808" spans="19:55" ht="15.75" customHeight="1">
      <c r="S808" s="454"/>
      <c r="BA808" s="1305"/>
      <c r="BC808" s="169"/>
    </row>
    <row r="809" spans="19:55" ht="15.75" customHeight="1">
      <c r="S809" s="454"/>
      <c r="BA809" s="1305"/>
      <c r="BC809" s="169"/>
    </row>
    <row r="810" spans="19:55" ht="15.75" customHeight="1">
      <c r="S810" s="454"/>
      <c r="BA810" s="1305"/>
      <c r="BC810" s="169"/>
    </row>
    <row r="811" spans="19:55" ht="15.75" customHeight="1">
      <c r="S811" s="454"/>
      <c r="BA811" s="1305"/>
      <c r="BC811" s="169"/>
    </row>
    <row r="812" spans="19:55" ht="15.75" customHeight="1">
      <c r="S812" s="454"/>
      <c r="BA812" s="1305"/>
      <c r="BC812" s="169"/>
    </row>
    <row r="813" spans="19:55" ht="15.75" customHeight="1">
      <c r="S813" s="454"/>
      <c r="BA813" s="1305"/>
      <c r="BC813" s="169"/>
    </row>
    <row r="814" spans="19:55" ht="15.75" customHeight="1">
      <c r="S814" s="454"/>
      <c r="BA814" s="1305"/>
      <c r="BC814" s="169"/>
    </row>
    <row r="815" spans="19:55" ht="15.75" customHeight="1">
      <c r="S815" s="454"/>
      <c r="BA815" s="1305"/>
      <c r="BC815" s="169"/>
    </row>
    <row r="816" spans="19:55" ht="15.75" customHeight="1">
      <c r="S816" s="454"/>
      <c r="BA816" s="1305"/>
      <c r="BC816" s="169"/>
    </row>
    <row r="817" spans="19:55" ht="15.75" customHeight="1">
      <c r="S817" s="454"/>
      <c r="BA817" s="1305"/>
      <c r="BC817" s="169"/>
    </row>
    <row r="818" spans="19:55" ht="15.75" customHeight="1">
      <c r="S818" s="454"/>
      <c r="BA818" s="1305"/>
      <c r="BC818" s="169"/>
    </row>
    <row r="819" spans="19:55" ht="15.75" customHeight="1">
      <c r="S819" s="454"/>
      <c r="BA819" s="1305"/>
      <c r="BC819" s="169"/>
    </row>
    <row r="820" spans="19:55" ht="15.75" customHeight="1">
      <c r="S820" s="454"/>
      <c r="BA820" s="1305"/>
      <c r="BC820" s="169"/>
    </row>
    <row r="821" spans="19:55" ht="15.75" customHeight="1">
      <c r="S821" s="454"/>
      <c r="BA821" s="1305"/>
      <c r="BC821" s="169"/>
    </row>
    <row r="822" spans="19:55" ht="15.75" customHeight="1">
      <c r="S822" s="454"/>
      <c r="BA822" s="1305"/>
      <c r="BC822" s="169"/>
    </row>
    <row r="823" spans="19:55" ht="15.75" customHeight="1">
      <c r="S823" s="454"/>
      <c r="BA823" s="1305"/>
      <c r="BC823" s="169"/>
    </row>
    <row r="824" spans="19:55" ht="15.75" customHeight="1">
      <c r="S824" s="454"/>
      <c r="BA824" s="1305"/>
      <c r="BC824" s="169"/>
    </row>
    <row r="825" spans="19:55" ht="15.75" customHeight="1">
      <c r="S825" s="454"/>
      <c r="BA825" s="1305"/>
      <c r="BC825" s="169"/>
    </row>
    <row r="826" spans="19:55" ht="15.75" customHeight="1">
      <c r="S826" s="454"/>
      <c r="BA826" s="1305"/>
      <c r="BC826" s="169"/>
    </row>
    <row r="827" spans="19:55" ht="15.75" customHeight="1">
      <c r="S827" s="454"/>
      <c r="BA827" s="1305"/>
      <c r="BC827" s="169"/>
    </row>
    <row r="828" spans="19:55" ht="15.75" customHeight="1">
      <c r="S828" s="454"/>
      <c r="BA828" s="1305"/>
      <c r="BC828" s="169"/>
    </row>
    <row r="829" spans="19:55" ht="15.75" customHeight="1">
      <c r="S829" s="454"/>
      <c r="BA829" s="1305"/>
      <c r="BC829" s="169"/>
    </row>
    <row r="830" spans="19:55" ht="15.75" customHeight="1">
      <c r="S830" s="454"/>
      <c r="BA830" s="1305"/>
      <c r="BC830" s="169"/>
    </row>
    <row r="831" spans="19:55" ht="15.75" customHeight="1">
      <c r="S831" s="454"/>
      <c r="BA831" s="1305"/>
      <c r="BC831" s="169"/>
    </row>
    <row r="832" spans="19:55" ht="15.75" customHeight="1">
      <c r="S832" s="454"/>
      <c r="BA832" s="1305"/>
      <c r="BC832" s="169"/>
    </row>
    <row r="833" spans="19:55" ht="15.75" customHeight="1">
      <c r="S833" s="454"/>
      <c r="BA833" s="1305"/>
      <c r="BC833" s="169"/>
    </row>
    <row r="834" spans="19:55" ht="15.75" customHeight="1">
      <c r="S834" s="454"/>
      <c r="BA834" s="1305"/>
      <c r="BC834" s="169"/>
    </row>
    <row r="835" spans="19:55" ht="15.75" customHeight="1">
      <c r="S835" s="454"/>
      <c r="BA835" s="1305"/>
      <c r="BC835" s="169"/>
    </row>
    <row r="836" spans="19:55" ht="15.75" customHeight="1">
      <c r="S836" s="454"/>
      <c r="BA836" s="1305"/>
      <c r="BC836" s="169"/>
    </row>
    <row r="837" spans="19:55" ht="15.75" customHeight="1">
      <c r="S837" s="454"/>
      <c r="BA837" s="1305"/>
      <c r="BC837" s="169"/>
    </row>
    <row r="838" spans="19:55" ht="15.75" customHeight="1">
      <c r="S838" s="454"/>
      <c r="BA838" s="1305"/>
      <c r="BC838" s="169"/>
    </row>
    <row r="839" spans="19:55" ht="15.75" customHeight="1">
      <c r="S839" s="454"/>
      <c r="BA839" s="1305"/>
      <c r="BC839" s="169"/>
    </row>
    <row r="840" spans="19:55" ht="15.75" customHeight="1">
      <c r="S840" s="454"/>
      <c r="BA840" s="1305"/>
      <c r="BC840" s="169"/>
    </row>
    <row r="841" spans="19:55" ht="15.75" customHeight="1">
      <c r="S841" s="454"/>
      <c r="BA841" s="1305"/>
      <c r="BC841" s="169"/>
    </row>
    <row r="842" spans="19:55" ht="15.75" customHeight="1">
      <c r="S842" s="454"/>
      <c r="BA842" s="1305"/>
      <c r="BC842" s="169"/>
    </row>
    <row r="843" spans="19:55" ht="15.75" customHeight="1">
      <c r="S843" s="454"/>
      <c r="BA843" s="1305"/>
      <c r="BC843" s="169"/>
    </row>
    <row r="844" spans="19:55" ht="15.75" customHeight="1">
      <c r="S844" s="454"/>
      <c r="BA844" s="1305"/>
      <c r="BC844" s="169"/>
    </row>
    <row r="845" spans="19:55" ht="15.75" customHeight="1">
      <c r="S845" s="454"/>
      <c r="BA845" s="1305"/>
      <c r="BC845" s="169"/>
    </row>
    <row r="846" spans="19:55" ht="15.75" customHeight="1">
      <c r="S846" s="454"/>
      <c r="BA846" s="1305"/>
      <c r="BC846" s="169"/>
    </row>
    <row r="847" spans="19:55" ht="15.75" customHeight="1">
      <c r="S847" s="454"/>
      <c r="BA847" s="1305"/>
      <c r="BC847" s="169"/>
    </row>
    <row r="848" spans="19:55" ht="15.75" customHeight="1">
      <c r="S848" s="454"/>
      <c r="BA848" s="1305"/>
      <c r="BC848" s="169"/>
    </row>
    <row r="849" spans="19:55" ht="15.75" customHeight="1">
      <c r="S849" s="454"/>
      <c r="BA849" s="1305"/>
      <c r="BC849" s="169"/>
    </row>
    <row r="850" spans="19:55" ht="15.75" customHeight="1">
      <c r="S850" s="454"/>
      <c r="BA850" s="1305"/>
      <c r="BC850" s="169"/>
    </row>
    <row r="851" spans="19:55" ht="15.75" customHeight="1">
      <c r="S851" s="454"/>
      <c r="BA851" s="1305"/>
      <c r="BC851" s="169"/>
    </row>
    <row r="852" spans="19:55" ht="15.75" customHeight="1">
      <c r="S852" s="454"/>
      <c r="BA852" s="1305"/>
      <c r="BC852" s="169"/>
    </row>
    <row r="853" spans="19:55" ht="15.75" customHeight="1">
      <c r="S853" s="454"/>
      <c r="BA853" s="1305"/>
      <c r="BC853" s="169"/>
    </row>
    <row r="854" spans="19:55" ht="15.75" customHeight="1">
      <c r="S854" s="454"/>
      <c r="BA854" s="1305"/>
      <c r="BC854" s="169"/>
    </row>
    <row r="855" spans="19:55" ht="15.75" customHeight="1">
      <c r="S855" s="454"/>
      <c r="BA855" s="1305"/>
      <c r="BC855" s="169"/>
    </row>
    <row r="856" spans="19:55" ht="15.75" customHeight="1">
      <c r="S856" s="454"/>
      <c r="BA856" s="1305"/>
      <c r="BC856" s="169"/>
    </row>
    <row r="857" spans="19:55" ht="15.75" customHeight="1">
      <c r="S857" s="454"/>
      <c r="BA857" s="1305"/>
      <c r="BC857" s="169"/>
    </row>
    <row r="858" spans="19:55" ht="15.75" customHeight="1">
      <c r="S858" s="454"/>
      <c r="BA858" s="1305"/>
      <c r="BC858" s="169"/>
    </row>
    <row r="859" spans="19:55" ht="15.75" customHeight="1">
      <c r="S859" s="454"/>
      <c r="BA859" s="1305"/>
      <c r="BC859" s="169"/>
    </row>
    <row r="860" spans="19:55" ht="15.75" customHeight="1">
      <c r="S860" s="454"/>
      <c r="BA860" s="1305"/>
      <c r="BC860" s="169"/>
    </row>
    <row r="861" spans="19:55" ht="15.75" customHeight="1">
      <c r="S861" s="454"/>
      <c r="BA861" s="1305"/>
      <c r="BC861" s="169"/>
    </row>
    <row r="862" spans="19:55" ht="15.75" customHeight="1">
      <c r="S862" s="454"/>
      <c r="BA862" s="1305"/>
      <c r="BC862" s="169"/>
    </row>
    <row r="863" spans="19:55" ht="15.75" customHeight="1">
      <c r="S863" s="454"/>
      <c r="BA863" s="1305"/>
      <c r="BC863" s="169"/>
    </row>
    <row r="864" spans="19:55" ht="15.75" customHeight="1">
      <c r="S864" s="454"/>
      <c r="BA864" s="1305"/>
      <c r="BC864" s="169"/>
    </row>
    <row r="865" spans="19:55" ht="15.75" customHeight="1">
      <c r="S865" s="454"/>
      <c r="BA865" s="1305"/>
      <c r="BC865" s="169"/>
    </row>
    <row r="866" spans="19:55" ht="15.75" customHeight="1">
      <c r="S866" s="454"/>
      <c r="BA866" s="1305"/>
      <c r="BC866" s="169"/>
    </row>
    <row r="867" spans="19:55" ht="15.75" customHeight="1">
      <c r="S867" s="454"/>
      <c r="BA867" s="1305"/>
      <c r="BC867" s="169"/>
    </row>
    <row r="868" spans="19:55" ht="15.75" customHeight="1">
      <c r="S868" s="454"/>
      <c r="BA868" s="1305"/>
      <c r="BC868" s="169"/>
    </row>
    <row r="869" spans="19:55" ht="15.75" customHeight="1">
      <c r="S869" s="454"/>
      <c r="BA869" s="1305"/>
      <c r="BC869" s="169"/>
    </row>
    <row r="870" spans="19:55" ht="15.75" customHeight="1">
      <c r="S870" s="454"/>
      <c r="BA870" s="1305"/>
      <c r="BC870" s="169"/>
    </row>
    <row r="871" spans="19:55" ht="15.75" customHeight="1">
      <c r="S871" s="454"/>
      <c r="BA871" s="1305"/>
      <c r="BC871" s="169"/>
    </row>
    <row r="872" spans="19:55" ht="15.75" customHeight="1">
      <c r="S872" s="454"/>
      <c r="BA872" s="1305"/>
      <c r="BC872" s="169"/>
    </row>
    <row r="873" spans="19:55" ht="15.75" customHeight="1">
      <c r="S873" s="454"/>
      <c r="BA873" s="1305"/>
      <c r="BC873" s="169"/>
    </row>
    <row r="874" spans="19:55" ht="15.75" customHeight="1">
      <c r="S874" s="454"/>
      <c r="BA874" s="1305"/>
      <c r="BC874" s="169"/>
    </row>
    <row r="875" spans="19:55" ht="15.75" customHeight="1">
      <c r="S875" s="454"/>
      <c r="BA875" s="1305"/>
      <c r="BC875" s="169"/>
    </row>
    <row r="876" spans="19:55" ht="15.75" customHeight="1">
      <c r="S876" s="454"/>
      <c r="BA876" s="1305"/>
      <c r="BC876" s="169"/>
    </row>
    <row r="877" spans="19:55" ht="15.75" customHeight="1">
      <c r="S877" s="454"/>
      <c r="BA877" s="1305"/>
      <c r="BC877" s="169"/>
    </row>
    <row r="878" spans="19:55" ht="15.75" customHeight="1">
      <c r="S878" s="454"/>
      <c r="BA878" s="1305"/>
      <c r="BC878" s="169"/>
    </row>
    <row r="879" spans="19:55" ht="15.75" customHeight="1">
      <c r="S879" s="454"/>
      <c r="BA879" s="1305"/>
      <c r="BC879" s="169"/>
    </row>
    <row r="880" spans="19:55" ht="15.75" customHeight="1">
      <c r="S880" s="454"/>
      <c r="BA880" s="1305"/>
      <c r="BC880" s="169"/>
    </row>
    <row r="881" spans="19:55" ht="15.75" customHeight="1">
      <c r="S881" s="454"/>
      <c r="BA881" s="1305"/>
      <c r="BC881" s="169"/>
    </row>
    <row r="882" spans="19:55" ht="15.75" customHeight="1">
      <c r="S882" s="454"/>
      <c r="BA882" s="1305"/>
      <c r="BC882" s="169"/>
    </row>
    <row r="883" spans="19:55" ht="15.75" customHeight="1">
      <c r="S883" s="454"/>
      <c r="BA883" s="1305"/>
      <c r="BC883" s="169"/>
    </row>
    <row r="884" spans="19:55" ht="15.75" customHeight="1">
      <c r="S884" s="454"/>
      <c r="BA884" s="1305"/>
      <c r="BC884" s="169"/>
    </row>
    <row r="885" spans="19:55" ht="15.75" customHeight="1">
      <c r="S885" s="454"/>
      <c r="BA885" s="1305"/>
      <c r="BC885" s="169"/>
    </row>
    <row r="886" spans="19:55" ht="15.75" customHeight="1">
      <c r="S886" s="454"/>
      <c r="BA886" s="1305"/>
      <c r="BC886" s="169"/>
    </row>
    <row r="887" spans="19:55" ht="15.75" customHeight="1">
      <c r="S887" s="454"/>
      <c r="BA887" s="1305"/>
      <c r="BC887" s="169"/>
    </row>
    <row r="888" spans="19:55" ht="15.75" customHeight="1">
      <c r="S888" s="454"/>
      <c r="BA888" s="1305"/>
      <c r="BC888" s="169"/>
    </row>
    <row r="889" spans="19:55" ht="15.75" customHeight="1">
      <c r="S889" s="454"/>
      <c r="BA889" s="1305"/>
      <c r="BC889" s="169"/>
    </row>
    <row r="890" spans="19:55" ht="15.75" customHeight="1">
      <c r="S890" s="454"/>
      <c r="BA890" s="1305"/>
      <c r="BC890" s="169"/>
    </row>
    <row r="891" spans="19:55" ht="15.75" customHeight="1">
      <c r="S891" s="454"/>
      <c r="BA891" s="1305"/>
      <c r="BC891" s="169"/>
    </row>
    <row r="892" spans="19:55" ht="15.75" customHeight="1">
      <c r="S892" s="454"/>
      <c r="BA892" s="1305"/>
      <c r="BC892" s="169"/>
    </row>
    <row r="893" spans="19:55" ht="15.75" customHeight="1">
      <c r="S893" s="454"/>
      <c r="BA893" s="1305"/>
      <c r="BC893" s="169"/>
    </row>
    <row r="894" spans="19:55" ht="15.75" customHeight="1">
      <c r="S894" s="454"/>
      <c r="BA894" s="1305"/>
      <c r="BC894" s="169"/>
    </row>
    <row r="895" spans="19:55" ht="15.75" customHeight="1">
      <c r="S895" s="454"/>
      <c r="BA895" s="1305"/>
      <c r="BC895" s="169"/>
    </row>
    <row r="896" spans="19:55" ht="15.75" customHeight="1">
      <c r="S896" s="454"/>
      <c r="BA896" s="1305"/>
      <c r="BC896" s="169"/>
    </row>
    <row r="897" spans="19:55" ht="15.75" customHeight="1">
      <c r="S897" s="454"/>
      <c r="BA897" s="1305"/>
      <c r="BC897" s="169"/>
    </row>
    <row r="898" spans="19:55" ht="15.75" customHeight="1">
      <c r="S898" s="454"/>
      <c r="BA898" s="1305"/>
      <c r="BC898" s="169"/>
    </row>
    <row r="899" spans="19:55" ht="15.75" customHeight="1">
      <c r="S899" s="454"/>
      <c r="BA899" s="1305"/>
      <c r="BC899" s="169"/>
    </row>
    <row r="900" spans="19:55" ht="15.75" customHeight="1">
      <c r="S900" s="454"/>
      <c r="BA900" s="1305"/>
      <c r="BC900" s="169"/>
    </row>
    <row r="901" spans="19:55" ht="15.75" customHeight="1">
      <c r="S901" s="454"/>
      <c r="BA901" s="1305"/>
      <c r="BC901" s="169"/>
    </row>
    <row r="902" spans="19:55" ht="15.75" customHeight="1">
      <c r="S902" s="454"/>
      <c r="BA902" s="1305"/>
      <c r="BC902" s="169"/>
    </row>
    <row r="903" spans="19:55" ht="15.75" customHeight="1">
      <c r="S903" s="454"/>
      <c r="BA903" s="1305"/>
      <c r="BC903" s="169"/>
    </row>
    <row r="904" spans="19:55" ht="15.75" customHeight="1">
      <c r="S904" s="454"/>
      <c r="BA904" s="1305"/>
      <c r="BC904" s="169"/>
    </row>
    <row r="905" spans="19:55" ht="15.75" customHeight="1">
      <c r="S905" s="454"/>
      <c r="BA905" s="1305"/>
      <c r="BC905" s="169"/>
    </row>
    <row r="906" spans="19:55" ht="15.75" customHeight="1">
      <c r="S906" s="454"/>
      <c r="BA906" s="1305"/>
      <c r="BC906" s="169"/>
    </row>
    <row r="907" spans="19:55" ht="15.75" customHeight="1">
      <c r="S907" s="454"/>
      <c r="BA907" s="1305"/>
      <c r="BC907" s="169"/>
    </row>
    <row r="908" spans="19:55" ht="15.75" customHeight="1">
      <c r="S908" s="454"/>
      <c r="BA908" s="1305"/>
      <c r="BC908" s="169"/>
    </row>
    <row r="909" spans="19:55" ht="15.75" customHeight="1">
      <c r="S909" s="454"/>
      <c r="BA909" s="1305"/>
      <c r="BC909" s="169"/>
    </row>
    <row r="910" spans="19:55" ht="15.75" customHeight="1">
      <c r="S910" s="454"/>
      <c r="BA910" s="1305"/>
      <c r="BC910" s="169"/>
    </row>
    <row r="911" spans="19:55" ht="15.75" customHeight="1">
      <c r="S911" s="454"/>
      <c r="BA911" s="1305"/>
      <c r="BC911" s="169"/>
    </row>
    <row r="912" spans="19:55" ht="15.75" customHeight="1">
      <c r="S912" s="454"/>
      <c r="BA912" s="1305"/>
      <c r="BC912" s="169"/>
    </row>
    <row r="913" spans="19:55" ht="15.75" customHeight="1">
      <c r="S913" s="454"/>
      <c r="BA913" s="1305"/>
      <c r="BC913" s="169"/>
    </row>
    <row r="914" spans="19:55" ht="15.75" customHeight="1">
      <c r="S914" s="454"/>
      <c r="BA914" s="1305"/>
      <c r="BC914" s="169"/>
    </row>
    <row r="915" spans="19:55" ht="15.75" customHeight="1">
      <c r="S915" s="454"/>
      <c r="BA915" s="1305"/>
      <c r="BC915" s="169"/>
    </row>
    <row r="916" spans="19:55" ht="15.75" customHeight="1">
      <c r="S916" s="454"/>
      <c r="BA916" s="1305"/>
      <c r="BC916" s="169"/>
    </row>
    <row r="917" spans="19:55" ht="15.75" customHeight="1">
      <c r="S917" s="454"/>
      <c r="BA917" s="1305"/>
      <c r="BC917" s="169"/>
    </row>
    <row r="918" spans="19:55" ht="15.75" customHeight="1">
      <c r="S918" s="454"/>
      <c r="BA918" s="1305"/>
      <c r="BC918" s="169"/>
    </row>
    <row r="919" spans="19:55" ht="15.75" customHeight="1">
      <c r="S919" s="454"/>
      <c r="BA919" s="1305"/>
      <c r="BC919" s="169"/>
    </row>
    <row r="920" spans="19:55" ht="15.75" customHeight="1">
      <c r="S920" s="454"/>
      <c r="BA920" s="1305"/>
      <c r="BC920" s="169"/>
    </row>
    <row r="921" spans="19:55" ht="15.75" customHeight="1">
      <c r="S921" s="454"/>
      <c r="BA921" s="1305"/>
      <c r="BC921" s="169"/>
    </row>
    <row r="922" spans="19:55" ht="15.75" customHeight="1">
      <c r="S922" s="454"/>
      <c r="BA922" s="1305"/>
      <c r="BC922" s="169"/>
    </row>
    <row r="923" spans="19:55" ht="15.75" customHeight="1">
      <c r="S923" s="454"/>
      <c r="BA923" s="1305"/>
      <c r="BC923" s="169"/>
    </row>
    <row r="924" spans="19:55" ht="15.75" customHeight="1">
      <c r="S924" s="454"/>
      <c r="BA924" s="1305"/>
      <c r="BC924" s="169"/>
    </row>
    <row r="925" spans="19:55" ht="15.75" customHeight="1">
      <c r="S925" s="454"/>
      <c r="BA925" s="1305"/>
      <c r="BC925" s="169"/>
    </row>
    <row r="926" spans="19:55" ht="15.75" customHeight="1">
      <c r="S926" s="454"/>
      <c r="BA926" s="1305"/>
      <c r="BC926" s="169"/>
    </row>
    <row r="927" spans="19:55" ht="15.75" customHeight="1">
      <c r="S927" s="454"/>
      <c r="BA927" s="1305"/>
      <c r="BC927" s="169"/>
    </row>
    <row r="928" spans="19:55" ht="15.75" customHeight="1">
      <c r="S928" s="454"/>
      <c r="BA928" s="1305"/>
      <c r="BC928" s="169"/>
    </row>
    <row r="929" spans="19:55" ht="15.75" customHeight="1">
      <c r="S929" s="454"/>
      <c r="BA929" s="1305"/>
      <c r="BC929" s="169"/>
    </row>
    <row r="930" spans="19:55" ht="15.75" customHeight="1">
      <c r="S930" s="454"/>
      <c r="BA930" s="1305"/>
      <c r="BC930" s="169"/>
    </row>
    <row r="931" spans="19:55" ht="15.75" customHeight="1">
      <c r="S931" s="454"/>
      <c r="BA931" s="1305"/>
      <c r="BC931" s="169"/>
    </row>
    <row r="932" spans="19:55" ht="15.75" customHeight="1">
      <c r="S932" s="454"/>
      <c r="BA932" s="1305"/>
      <c r="BC932" s="169"/>
    </row>
    <row r="933" spans="19:55" ht="15.75" customHeight="1">
      <c r="S933" s="454"/>
      <c r="BA933" s="1305"/>
      <c r="BC933" s="169"/>
    </row>
    <row r="934" spans="19:55" ht="15.75" customHeight="1">
      <c r="S934" s="454"/>
      <c r="BA934" s="1305"/>
      <c r="BC934" s="169"/>
    </row>
    <row r="935" spans="19:55" ht="15.75" customHeight="1">
      <c r="S935" s="454"/>
      <c r="BA935" s="1305"/>
      <c r="BC935" s="169"/>
    </row>
    <row r="936" spans="19:55" ht="15.75" customHeight="1">
      <c r="S936" s="454"/>
      <c r="BA936" s="1305"/>
      <c r="BC936" s="169"/>
    </row>
    <row r="937" spans="19:55" ht="15.75" customHeight="1">
      <c r="S937" s="454"/>
      <c r="BA937" s="1305"/>
      <c r="BC937" s="169"/>
    </row>
    <row r="938" spans="19:55" ht="15.75" customHeight="1">
      <c r="S938" s="454"/>
      <c r="BA938" s="1305"/>
      <c r="BC938" s="169"/>
    </row>
    <row r="939" spans="19:55" ht="15.75" customHeight="1">
      <c r="S939" s="454"/>
      <c r="BA939" s="1305"/>
      <c r="BC939" s="169"/>
    </row>
    <row r="940" spans="19:55" ht="15.75" customHeight="1">
      <c r="S940" s="454"/>
      <c r="BA940" s="1305"/>
      <c r="BC940" s="169"/>
    </row>
    <row r="941" spans="19:55" ht="15.75" customHeight="1">
      <c r="S941" s="454"/>
      <c r="BA941" s="1305"/>
      <c r="BC941" s="169"/>
    </row>
    <row r="942" spans="19:55" ht="15.75" customHeight="1">
      <c r="S942" s="454"/>
      <c r="BA942" s="1305"/>
      <c r="BC942" s="169"/>
    </row>
    <row r="943" spans="19:55" ht="15.75" customHeight="1">
      <c r="S943" s="454"/>
      <c r="BA943" s="1305"/>
      <c r="BC943" s="169"/>
    </row>
    <row r="944" spans="19:55" ht="15.75" customHeight="1">
      <c r="S944" s="454"/>
      <c r="BA944" s="1305"/>
      <c r="BC944" s="169"/>
    </row>
    <row r="945" spans="19:55" ht="15.75" customHeight="1">
      <c r="S945" s="454"/>
      <c r="BA945" s="1305"/>
      <c r="BC945" s="169"/>
    </row>
    <row r="946" spans="19:55" ht="15.75" customHeight="1">
      <c r="S946" s="454"/>
      <c r="BA946" s="1305"/>
      <c r="BC946" s="169"/>
    </row>
    <row r="947" spans="19:55" ht="15.75" customHeight="1">
      <c r="S947" s="454"/>
      <c r="BA947" s="1305"/>
      <c r="BC947" s="169"/>
    </row>
    <row r="948" spans="19:55" ht="15.75" customHeight="1">
      <c r="S948" s="454"/>
      <c r="BA948" s="1305"/>
      <c r="BC948" s="169"/>
    </row>
    <row r="949" spans="19:55" ht="15.75" customHeight="1">
      <c r="S949" s="454"/>
      <c r="BA949" s="1305"/>
      <c r="BC949" s="169"/>
    </row>
    <row r="950" spans="19:55" ht="15.75" customHeight="1">
      <c r="S950" s="454"/>
      <c r="BA950" s="1305"/>
      <c r="BC950" s="169"/>
    </row>
    <row r="951" spans="19:55" ht="15.75" customHeight="1">
      <c r="S951" s="454"/>
      <c r="BA951" s="1305"/>
      <c r="BC951" s="169"/>
    </row>
    <row r="952" spans="19:55" ht="15.75" customHeight="1">
      <c r="S952" s="454"/>
      <c r="BA952" s="1305"/>
      <c r="BC952" s="169"/>
    </row>
    <row r="953" spans="19:55" ht="15.75" customHeight="1">
      <c r="S953" s="454"/>
      <c r="BA953" s="1305"/>
      <c r="BC953" s="169"/>
    </row>
    <row r="954" spans="19:55" ht="15.75" customHeight="1">
      <c r="S954" s="454"/>
      <c r="BA954" s="1305"/>
      <c r="BC954" s="169"/>
    </row>
    <row r="955" spans="19:55" ht="15.75" customHeight="1">
      <c r="S955" s="454"/>
      <c r="BA955" s="1305"/>
      <c r="BC955" s="169"/>
    </row>
    <row r="956" spans="19:55" ht="15.75" customHeight="1">
      <c r="S956" s="454"/>
      <c r="BA956" s="1305"/>
      <c r="BC956" s="169"/>
    </row>
    <row r="957" spans="19:55" ht="15.75" customHeight="1">
      <c r="S957" s="454"/>
      <c r="BA957" s="1305"/>
      <c r="BC957" s="169"/>
    </row>
    <row r="958" spans="19:55" ht="15.75" customHeight="1">
      <c r="S958" s="454"/>
      <c r="BA958" s="1305"/>
      <c r="BC958" s="169"/>
    </row>
    <row r="959" spans="19:55" ht="15.75" customHeight="1">
      <c r="S959" s="454"/>
      <c r="BA959" s="1305"/>
      <c r="BC959" s="169"/>
    </row>
    <row r="960" spans="19:55" ht="15.75" customHeight="1">
      <c r="S960" s="454"/>
      <c r="BA960" s="1305"/>
      <c r="BC960" s="169"/>
    </row>
    <row r="961" spans="19:55" ht="15.75" customHeight="1">
      <c r="S961" s="454"/>
      <c r="BA961" s="1305"/>
      <c r="BC961" s="169"/>
    </row>
    <row r="962" spans="19:55" ht="15.75" customHeight="1">
      <c r="S962" s="454"/>
      <c r="BA962" s="1305"/>
      <c r="BC962" s="169"/>
    </row>
    <row r="963" spans="19:55" ht="15.75" customHeight="1">
      <c r="S963" s="454"/>
      <c r="BA963" s="1305"/>
      <c r="BC963" s="169"/>
    </row>
    <row r="964" spans="19:55" ht="15.75" customHeight="1">
      <c r="S964" s="454"/>
      <c r="BA964" s="1305"/>
      <c r="BC964" s="169"/>
    </row>
    <row r="965" spans="19:55" ht="15.75" customHeight="1">
      <c r="S965" s="454"/>
      <c r="BA965" s="1305"/>
      <c r="BC965" s="169"/>
    </row>
    <row r="966" spans="19:55" ht="15.75" customHeight="1">
      <c r="S966" s="454"/>
      <c r="BA966" s="1305"/>
      <c r="BC966" s="169"/>
    </row>
    <row r="967" spans="19:55" ht="15.75" customHeight="1">
      <c r="S967" s="454"/>
      <c r="BA967" s="1305"/>
      <c r="BC967" s="169"/>
    </row>
    <row r="968" spans="19:55" ht="15.75" customHeight="1">
      <c r="S968" s="454"/>
      <c r="BA968" s="1305"/>
      <c r="BC968" s="169"/>
    </row>
    <row r="969" spans="19:55" ht="15.75" customHeight="1">
      <c r="S969" s="454"/>
      <c r="BA969" s="1305"/>
      <c r="BC969" s="169"/>
    </row>
    <row r="970" spans="19:55" ht="15.75" customHeight="1">
      <c r="S970" s="454"/>
      <c r="BA970" s="1305"/>
      <c r="BC970" s="169"/>
    </row>
    <row r="971" spans="19:55" ht="15.75" customHeight="1">
      <c r="S971" s="454"/>
      <c r="BA971" s="1305"/>
      <c r="BC971" s="169"/>
    </row>
    <row r="972" spans="19:55" ht="15.75" customHeight="1">
      <c r="S972" s="454"/>
      <c r="BA972" s="1305"/>
      <c r="BC972" s="169"/>
    </row>
    <row r="973" spans="19:55" ht="15.75" customHeight="1">
      <c r="S973" s="454"/>
      <c r="BA973" s="1305"/>
      <c r="BC973" s="169"/>
    </row>
    <row r="974" spans="19:55" ht="15.75" customHeight="1">
      <c r="S974" s="454"/>
      <c r="BA974" s="1305"/>
      <c r="BC974" s="169"/>
    </row>
    <row r="975" spans="19:55" ht="15.75" customHeight="1">
      <c r="S975" s="454"/>
      <c r="BA975" s="1305"/>
      <c r="BC975" s="169"/>
    </row>
    <row r="976" spans="19:55" ht="15.75" customHeight="1">
      <c r="S976" s="454"/>
      <c r="BA976" s="1305"/>
      <c r="BC976" s="169"/>
    </row>
    <row r="977" spans="19:55" ht="15.75" customHeight="1">
      <c r="S977" s="454"/>
      <c r="BA977" s="1305"/>
      <c r="BC977" s="169"/>
    </row>
    <row r="978" spans="19:55" ht="15.75" customHeight="1">
      <c r="S978" s="454"/>
      <c r="BA978" s="1305"/>
      <c r="BC978" s="169"/>
    </row>
    <row r="979" spans="19:55" ht="15.75" customHeight="1">
      <c r="S979" s="454"/>
      <c r="BA979" s="1305"/>
      <c r="BC979" s="169"/>
    </row>
    <row r="980" spans="19:55" ht="15.75" customHeight="1">
      <c r="S980" s="454"/>
      <c r="BA980" s="1305"/>
      <c r="BC980" s="169"/>
    </row>
    <row r="981" spans="19:55" ht="15.75" customHeight="1">
      <c r="S981" s="454"/>
      <c r="BA981" s="1305"/>
      <c r="BC981" s="169"/>
    </row>
    <row r="982" spans="19:55" ht="15.75" customHeight="1">
      <c r="S982" s="454"/>
      <c r="BA982" s="1305"/>
      <c r="BC982" s="169"/>
    </row>
    <row r="983" spans="19:55" ht="15.75" customHeight="1">
      <c r="S983" s="454"/>
      <c r="BA983" s="1305"/>
      <c r="BC983" s="169"/>
    </row>
    <row r="984" spans="19:55" ht="15.75" customHeight="1">
      <c r="S984" s="454"/>
      <c r="BA984" s="1305"/>
      <c r="BC984" s="169"/>
    </row>
    <row r="985" spans="19:55" ht="15.75" customHeight="1">
      <c r="S985" s="454"/>
      <c r="BA985" s="1305"/>
      <c r="BC985" s="169"/>
    </row>
    <row r="986" spans="19:55" ht="15.75" customHeight="1">
      <c r="S986" s="454"/>
      <c r="BA986" s="1305"/>
      <c r="BC986" s="169"/>
    </row>
    <row r="987" spans="19:55" ht="15.75" customHeight="1">
      <c r="S987" s="454"/>
      <c r="BA987" s="1305"/>
      <c r="BC987" s="169"/>
    </row>
    <row r="988" spans="19:55" ht="15.75" customHeight="1">
      <c r="S988" s="454"/>
      <c r="BA988" s="1305"/>
      <c r="BC988" s="169"/>
    </row>
    <row r="989" spans="19:55" ht="15.75" customHeight="1">
      <c r="S989" s="454"/>
      <c r="BA989" s="1305"/>
      <c r="BC989" s="169"/>
    </row>
    <row r="990" spans="19:55" ht="15.75" customHeight="1">
      <c r="S990" s="454"/>
      <c r="BA990" s="1305"/>
      <c r="BC990" s="169"/>
    </row>
    <row r="991" spans="19:55" ht="15.75" customHeight="1">
      <c r="S991" s="454"/>
      <c r="BA991" s="1305"/>
      <c r="BC991" s="169"/>
    </row>
    <row r="992" spans="19:55" ht="15.75" customHeight="1">
      <c r="S992" s="454"/>
      <c r="BA992" s="1305"/>
      <c r="BC992" s="169"/>
    </row>
    <row r="993" spans="19:55" ht="15.75" customHeight="1">
      <c r="S993" s="454"/>
      <c r="BA993" s="1305"/>
      <c r="BC993" s="169"/>
    </row>
    <row r="994" spans="19:55" ht="15.75" customHeight="1">
      <c r="S994" s="454"/>
      <c r="BA994" s="1305"/>
      <c r="BC994" s="169"/>
    </row>
    <row r="995" spans="19:55" ht="15.75" customHeight="1">
      <c r="S995" s="454"/>
      <c r="BA995" s="1305"/>
      <c r="BC995" s="169"/>
    </row>
    <row r="996" spans="19:55" ht="15.75" customHeight="1">
      <c r="S996" s="454"/>
      <c r="BA996" s="1305"/>
      <c r="BC996" s="169"/>
    </row>
    <row r="997" spans="19:55" ht="15.75" customHeight="1">
      <c r="S997" s="454"/>
      <c r="BA997" s="1305"/>
      <c r="BC997" s="169"/>
    </row>
    <row r="998" spans="19:55" ht="15.75" customHeight="1">
      <c r="S998" s="454"/>
      <c r="BA998" s="1305"/>
      <c r="BC998" s="169"/>
    </row>
    <row r="999" spans="19:55" ht="15.75" customHeight="1">
      <c r="S999" s="454"/>
      <c r="BA999" s="1305"/>
      <c r="BC999" s="169"/>
    </row>
    <row r="1000" spans="19:55" ht="15.75" customHeight="1">
      <c r="S1000" s="454"/>
      <c r="BA1000" s="1305"/>
      <c r="BC1000" s="169"/>
    </row>
    <row r="1001" spans="19:55" ht="15.75" customHeight="1">
      <c r="S1001" s="454"/>
      <c r="BA1001" s="1305"/>
      <c r="BC1001" s="169"/>
    </row>
    <row r="1002" spans="19:55" ht="15.75" customHeight="1">
      <c r="S1002" s="454"/>
      <c r="BA1002" s="1305"/>
      <c r="BC1002" s="169"/>
    </row>
    <row r="1003" spans="19:55" ht="15.75" customHeight="1">
      <c r="S1003" s="454"/>
      <c r="BA1003" s="1305"/>
      <c r="BC1003" s="169"/>
    </row>
    <row r="1004" spans="19:55" ht="15.75" customHeight="1">
      <c r="S1004" s="454"/>
      <c r="BA1004" s="1305"/>
      <c r="BC1004" s="169"/>
    </row>
    <row r="1005" spans="19:55" ht="15.75" customHeight="1">
      <c r="S1005" s="454"/>
      <c r="BA1005" s="1305"/>
      <c r="BC1005" s="169"/>
    </row>
    <row r="1006" spans="19:55" ht="15.75" customHeight="1">
      <c r="S1006" s="454"/>
      <c r="BA1006" s="1305"/>
      <c r="BC1006" s="169"/>
    </row>
    <row r="1007" spans="19:55" ht="15.75" customHeight="1">
      <c r="S1007" s="454"/>
      <c r="BA1007" s="1305"/>
      <c r="BC1007" s="169"/>
    </row>
    <row r="1008" spans="19:55" ht="15.75" customHeight="1">
      <c r="S1008" s="454"/>
      <c r="BA1008" s="1305"/>
      <c r="BC1008" s="169"/>
    </row>
    <row r="1009" spans="19:55" ht="15.75" customHeight="1">
      <c r="S1009" s="454"/>
      <c r="BA1009" s="1305"/>
      <c r="BC1009" s="169"/>
    </row>
    <row r="1010" spans="19:55" ht="15.75" customHeight="1">
      <c r="S1010" s="454"/>
      <c r="BA1010" s="1305"/>
      <c r="BC1010" s="169"/>
    </row>
    <row r="1011" spans="19:55" ht="15.75" customHeight="1">
      <c r="S1011" s="454"/>
      <c r="BA1011" s="1305"/>
      <c r="BC1011" s="169"/>
    </row>
    <row r="1012" spans="19:55" ht="15.75" customHeight="1">
      <c r="S1012" s="454"/>
      <c r="BA1012" s="1305"/>
      <c r="BC1012" s="169"/>
    </row>
    <row r="1013" spans="19:55" ht="15.75" customHeight="1">
      <c r="S1013" s="454"/>
      <c r="BA1013" s="1305"/>
      <c r="BC1013" s="169"/>
    </row>
    <row r="1014" spans="19:55" ht="15.75" customHeight="1">
      <c r="S1014" s="454"/>
      <c r="BA1014" s="1305"/>
      <c r="BC1014" s="169"/>
    </row>
    <row r="1015" spans="19:55" ht="15.75" customHeight="1">
      <c r="S1015" s="454"/>
      <c r="BA1015" s="1305"/>
      <c r="BC1015" s="169"/>
    </row>
    <row r="1016" spans="19:55" ht="15.75" customHeight="1">
      <c r="S1016" s="454"/>
      <c r="BA1016" s="1305"/>
      <c r="BC1016" s="169"/>
    </row>
    <row r="1017" spans="19:55" ht="15.75" customHeight="1">
      <c r="S1017" s="454"/>
      <c r="BA1017" s="1305"/>
      <c r="BC1017" s="169"/>
    </row>
    <row r="1018" spans="19:55" ht="15.75" customHeight="1">
      <c r="S1018" s="454"/>
      <c r="BA1018" s="1305"/>
      <c r="BC1018" s="169"/>
    </row>
    <row r="1019" spans="19:55" ht="15.75" customHeight="1">
      <c r="S1019" s="454"/>
      <c r="BA1019" s="1305"/>
      <c r="BC1019" s="169"/>
    </row>
    <row r="1020" spans="19:55" ht="15.75" customHeight="1">
      <c r="S1020" s="454"/>
      <c r="BA1020" s="1305"/>
      <c r="BC1020" s="169"/>
    </row>
    <row r="1021" spans="19:55" ht="15.75" customHeight="1">
      <c r="S1021" s="454"/>
      <c r="BA1021" s="1305"/>
      <c r="BC1021" s="169"/>
    </row>
    <row r="1022" spans="19:55" ht="15.75" customHeight="1">
      <c r="S1022" s="454"/>
      <c r="BA1022" s="1305"/>
      <c r="BC1022" s="169"/>
    </row>
    <row r="1023" spans="19:55" ht="15.75" customHeight="1">
      <c r="S1023" s="454"/>
      <c r="BA1023" s="1305"/>
      <c r="BC1023" s="169"/>
    </row>
    <row r="1024" spans="19:55" ht="15.75" customHeight="1">
      <c r="S1024" s="454"/>
      <c r="BA1024" s="1305"/>
      <c r="BC1024" s="169"/>
    </row>
    <row r="1025" spans="19:55" ht="15.75" customHeight="1">
      <c r="S1025" s="454"/>
      <c r="BA1025" s="1305"/>
      <c r="BC1025" s="169"/>
    </row>
    <row r="1026" spans="19:55" ht="15.75" customHeight="1">
      <c r="S1026" s="454"/>
      <c r="BA1026" s="1305"/>
      <c r="BC1026" s="169"/>
    </row>
    <row r="1027" spans="19:55" ht="15.75" customHeight="1">
      <c r="S1027" s="454"/>
      <c r="BA1027" s="1305"/>
      <c r="BC1027" s="169"/>
    </row>
    <row r="1028" spans="19:55" ht="15.75" customHeight="1">
      <c r="S1028" s="454"/>
      <c r="BA1028" s="1305"/>
      <c r="BC1028" s="169"/>
    </row>
    <row r="1029" spans="19:55" ht="15.75" customHeight="1">
      <c r="S1029" s="454"/>
      <c r="BA1029" s="1305"/>
      <c r="BC1029" s="169"/>
    </row>
    <row r="1030" spans="19:55" ht="15.75" customHeight="1">
      <c r="S1030" s="454"/>
      <c r="BA1030" s="1305"/>
      <c r="BC1030" s="169"/>
    </row>
    <row r="1031" spans="19:55" ht="15.75" customHeight="1">
      <c r="S1031" s="454"/>
      <c r="BA1031" s="1305"/>
      <c r="BC1031" s="169"/>
    </row>
    <row r="1032" spans="19:55" ht="15.75" customHeight="1">
      <c r="S1032" s="454"/>
      <c r="BA1032" s="1305"/>
      <c r="BC1032" s="169"/>
    </row>
    <row r="1033" spans="19:55" ht="15.75" customHeight="1">
      <c r="S1033" s="454"/>
      <c r="BA1033" s="1305"/>
      <c r="BC1033" s="169"/>
    </row>
    <row r="1034" spans="19:55" ht="15.75" customHeight="1">
      <c r="S1034" s="454"/>
      <c r="BA1034" s="1305"/>
      <c r="BC1034" s="169"/>
    </row>
    <row r="1035" spans="19:55" ht="15.75" customHeight="1">
      <c r="S1035" s="454"/>
      <c r="BA1035" s="1305"/>
      <c r="BC1035" s="169"/>
    </row>
    <row r="1036" spans="19:55" ht="15.75" customHeight="1">
      <c r="S1036" s="454"/>
      <c r="BA1036" s="1305"/>
      <c r="BC1036" s="169"/>
    </row>
    <row r="1037" spans="19:55" ht="15.75" customHeight="1">
      <c r="S1037" s="454"/>
      <c r="BA1037" s="1305"/>
      <c r="BC1037" s="169"/>
    </row>
    <row r="1038" spans="19:55" ht="15.75" customHeight="1">
      <c r="S1038" s="454"/>
      <c r="BA1038" s="1305"/>
      <c r="BC1038" s="169"/>
    </row>
    <row r="1039" spans="19:55" ht="15.75" customHeight="1">
      <c r="S1039" s="454"/>
      <c r="BA1039" s="1305"/>
      <c r="BC1039" s="169"/>
    </row>
    <row r="1040" spans="19:55" ht="15.75" customHeight="1">
      <c r="S1040" s="454"/>
      <c r="BA1040" s="1305"/>
      <c r="BC1040" s="169"/>
    </row>
    <row r="1041" spans="19:55" ht="15.75" customHeight="1">
      <c r="S1041" s="454"/>
      <c r="BA1041" s="1305"/>
      <c r="BC1041" s="169"/>
    </row>
    <row r="1042" spans="19:55" ht="15.75" customHeight="1">
      <c r="S1042" s="454"/>
      <c r="BA1042" s="1305"/>
      <c r="BC1042" s="169"/>
    </row>
    <row r="1043" spans="19:55" ht="15.75" customHeight="1">
      <c r="S1043" s="454"/>
      <c r="BA1043" s="1305"/>
      <c r="BC1043" s="169"/>
    </row>
    <row r="1044" spans="19:55" ht="15.75" customHeight="1">
      <c r="S1044" s="454"/>
      <c r="BA1044" s="1305"/>
      <c r="BC1044" s="169"/>
    </row>
    <row r="1045" spans="19:55" ht="15.75" customHeight="1">
      <c r="S1045" s="454"/>
      <c r="BA1045" s="1305"/>
      <c r="BC1045" s="169"/>
    </row>
    <row r="1046" spans="19:55" ht="15.75" customHeight="1">
      <c r="S1046" s="454"/>
      <c r="BA1046" s="1305"/>
      <c r="BC1046" s="169"/>
    </row>
    <row r="1047" spans="19:55" ht="15.75" customHeight="1">
      <c r="S1047" s="454"/>
      <c r="BA1047" s="1305"/>
      <c r="BC1047" s="169"/>
    </row>
    <row r="1048" spans="19:55" ht="15.75" customHeight="1">
      <c r="S1048" s="454"/>
      <c r="BA1048" s="1305"/>
      <c r="BC1048" s="169"/>
    </row>
    <row r="1049" spans="19:55" ht="15.75" customHeight="1">
      <c r="S1049" s="454"/>
      <c r="BA1049" s="1305"/>
      <c r="BC1049" s="169"/>
    </row>
    <row r="1050" spans="19:55" ht="15.75" customHeight="1">
      <c r="S1050" s="454"/>
      <c r="BA1050" s="1305"/>
      <c r="BC1050" s="169"/>
    </row>
    <row r="1051" spans="19:55" ht="15.75" customHeight="1">
      <c r="S1051" s="454"/>
      <c r="BA1051" s="1305"/>
      <c r="BC1051" s="169"/>
    </row>
    <row r="1052" spans="19:55" ht="15.75" customHeight="1">
      <c r="S1052" s="454"/>
      <c r="BA1052" s="1305"/>
      <c r="BC1052" s="169"/>
    </row>
    <row r="1053" spans="19:55" ht="15.75" customHeight="1">
      <c r="S1053" s="454"/>
      <c r="BA1053" s="1305"/>
      <c r="BC1053" s="169"/>
    </row>
    <row r="1054" spans="19:55" ht="15.75" customHeight="1">
      <c r="S1054" s="454"/>
      <c r="BA1054" s="1305"/>
      <c r="BC1054" s="169"/>
    </row>
    <row r="1055" spans="19:55" ht="15.75" customHeight="1">
      <c r="S1055" s="454"/>
      <c r="BA1055" s="1305"/>
      <c r="BC1055" s="169"/>
    </row>
    <row r="1056" spans="19:55" ht="15.75" customHeight="1">
      <c r="S1056" s="454"/>
      <c r="BA1056" s="1305"/>
      <c r="BC1056" s="169"/>
    </row>
    <row r="1057" spans="19:55" ht="15.75" customHeight="1">
      <c r="S1057" s="454"/>
      <c r="BA1057" s="1305"/>
      <c r="BC1057" s="169"/>
    </row>
    <row r="1058" spans="19:55" ht="15.75" customHeight="1">
      <c r="S1058" s="454"/>
      <c r="BA1058" s="1305"/>
      <c r="BC1058" s="169"/>
    </row>
    <row r="1059" spans="19:55" ht="15.75" customHeight="1">
      <c r="S1059" s="454"/>
      <c r="BA1059" s="1305"/>
      <c r="BC1059" s="169"/>
    </row>
    <row r="1060" spans="19:55" ht="15.75" customHeight="1">
      <c r="S1060" s="454"/>
      <c r="BA1060" s="1305"/>
      <c r="BC1060" s="169"/>
    </row>
    <row r="1061" spans="19:55" ht="15.75" customHeight="1">
      <c r="S1061" s="454"/>
      <c r="BA1061" s="1305"/>
      <c r="BC1061" s="169"/>
    </row>
    <row r="1062" spans="19:55" ht="15.75" customHeight="1">
      <c r="S1062" s="454"/>
      <c r="BA1062" s="1305"/>
      <c r="BC1062" s="169"/>
    </row>
    <row r="1063" spans="19:55" ht="15.75" customHeight="1">
      <c r="S1063" s="454"/>
      <c r="BA1063" s="1305"/>
      <c r="BC1063" s="169"/>
    </row>
    <row r="1064" spans="19:55" ht="15.75" customHeight="1">
      <c r="S1064" s="454"/>
      <c r="BA1064" s="1305"/>
      <c r="BC1064" s="169"/>
    </row>
    <row r="1065" spans="19:55" ht="15.75" customHeight="1">
      <c r="S1065" s="454"/>
      <c r="BA1065" s="1305"/>
      <c r="BC1065" s="169"/>
    </row>
    <row r="1066" spans="19:55" ht="15.75" customHeight="1">
      <c r="S1066" s="454"/>
      <c r="BA1066" s="1305"/>
      <c r="BC1066" s="169"/>
    </row>
    <row r="1067" spans="19:55" ht="15.75" customHeight="1">
      <c r="S1067" s="454"/>
      <c r="BA1067" s="1305"/>
      <c r="BC1067" s="169"/>
    </row>
    <row r="1068" spans="19:55" ht="15.75" customHeight="1">
      <c r="S1068" s="454"/>
      <c r="BA1068" s="1305"/>
      <c r="BC1068" s="169"/>
    </row>
    <row r="1069" spans="19:55" ht="15.75" customHeight="1">
      <c r="S1069" s="454"/>
      <c r="BA1069" s="1305"/>
      <c r="BC1069" s="169"/>
    </row>
    <row r="1070" spans="19:55" ht="15.75" customHeight="1">
      <c r="S1070" s="454"/>
      <c r="BA1070" s="1305"/>
      <c r="BC1070" s="169"/>
    </row>
    <row r="1071" spans="19:55" ht="15.75" customHeight="1">
      <c r="S1071" s="454"/>
      <c r="BA1071" s="1305"/>
      <c r="BC1071" s="169"/>
    </row>
    <row r="1072" spans="19:55" ht="15.75" customHeight="1">
      <c r="S1072" s="454"/>
      <c r="BA1072" s="1305"/>
      <c r="BC1072" s="169"/>
    </row>
    <row r="1073" spans="19:55" ht="15.75" customHeight="1">
      <c r="S1073" s="454"/>
      <c r="BA1073" s="1305"/>
      <c r="BC1073" s="169"/>
    </row>
    <row r="1074" spans="19:55" ht="15.75" customHeight="1">
      <c r="S1074" s="454"/>
      <c r="BA1074" s="1305"/>
      <c r="BC1074" s="169"/>
    </row>
    <row r="1075" spans="19:55" ht="15.75" customHeight="1">
      <c r="S1075" s="454"/>
      <c r="BA1075" s="1305"/>
      <c r="BC1075" s="169"/>
    </row>
    <row r="1076" spans="19:55" ht="15.75" customHeight="1">
      <c r="S1076" s="454"/>
      <c r="BA1076" s="1305"/>
      <c r="BC1076" s="169"/>
    </row>
    <row r="1077" spans="19:55" ht="15.75" customHeight="1">
      <c r="S1077" s="454"/>
      <c r="BA1077" s="1305"/>
      <c r="BC1077" s="169"/>
    </row>
    <row r="1078" spans="19:55" ht="15.75" customHeight="1">
      <c r="S1078" s="454"/>
      <c r="BA1078" s="1305"/>
      <c r="BC1078" s="169"/>
    </row>
    <row r="1079" spans="19:55" ht="15.75" customHeight="1">
      <c r="S1079" s="454"/>
      <c r="BA1079" s="1305"/>
      <c r="BC1079" s="169"/>
    </row>
    <row r="1080" spans="19:55" ht="15.75" customHeight="1">
      <c r="S1080" s="454"/>
      <c r="BA1080" s="1305"/>
      <c r="BC1080" s="169"/>
    </row>
    <row r="1081" spans="19:55" ht="15.75" customHeight="1">
      <c r="S1081" s="454"/>
      <c r="BA1081" s="1305"/>
      <c r="BC1081" s="169"/>
    </row>
    <row r="1082" spans="19:55" ht="15.75" customHeight="1">
      <c r="S1082" s="454"/>
      <c r="BA1082" s="1305"/>
      <c r="BC1082" s="169"/>
    </row>
    <row r="1083" spans="19:55" ht="15.75" customHeight="1">
      <c r="S1083" s="454"/>
      <c r="BA1083" s="1305"/>
      <c r="BC1083" s="169"/>
    </row>
    <row r="1084" spans="19:55" ht="15.75" customHeight="1">
      <c r="S1084" s="454"/>
      <c r="BA1084" s="1305"/>
      <c r="BC1084" s="169"/>
    </row>
    <row r="1085" spans="19:55" ht="15.75" customHeight="1">
      <c r="S1085" s="454"/>
      <c r="BA1085" s="1305"/>
      <c r="BC1085" s="169"/>
    </row>
    <row r="1086" spans="19:55" ht="15.75" customHeight="1">
      <c r="S1086" s="454"/>
      <c r="BA1086" s="1305"/>
      <c r="BC1086" s="169"/>
    </row>
    <row r="1087" spans="19:55" ht="15.75" customHeight="1">
      <c r="S1087" s="454"/>
      <c r="BA1087" s="1305"/>
      <c r="BC1087" s="169"/>
    </row>
    <row r="1088" spans="19:55" ht="15.75" customHeight="1">
      <c r="S1088" s="454"/>
      <c r="BA1088" s="1305"/>
      <c r="BC1088" s="169"/>
    </row>
    <row r="1089" spans="19:55" ht="15.75" customHeight="1">
      <c r="S1089" s="454"/>
      <c r="BA1089" s="1305"/>
      <c r="BC1089" s="169"/>
    </row>
    <row r="1090" spans="19:55" ht="15.75" customHeight="1">
      <c r="S1090" s="454"/>
      <c r="BA1090" s="1305"/>
      <c r="BC1090" s="169"/>
    </row>
    <row r="1091" spans="19:55" ht="15.75" customHeight="1">
      <c r="S1091" s="454"/>
      <c r="BA1091" s="1305"/>
      <c r="BC1091" s="169"/>
    </row>
    <row r="1092" spans="19:55" ht="15.75" customHeight="1">
      <c r="S1092" s="454"/>
      <c r="BA1092" s="1305"/>
      <c r="BC1092" s="169"/>
    </row>
    <row r="1093" spans="19:55" ht="15.75" customHeight="1">
      <c r="S1093" s="454"/>
      <c r="BA1093" s="1305"/>
      <c r="BC1093" s="169"/>
    </row>
    <row r="1094" spans="19:55" ht="15.75" customHeight="1">
      <c r="S1094" s="454"/>
      <c r="BA1094" s="1305"/>
      <c r="BC1094" s="169"/>
    </row>
    <row r="1095" spans="19:55" ht="15.75" customHeight="1">
      <c r="S1095" s="454"/>
      <c r="BA1095" s="1305"/>
      <c r="BC1095" s="169"/>
    </row>
    <row r="1096" spans="19:55" ht="15.75" customHeight="1">
      <c r="S1096" s="454"/>
      <c r="BA1096" s="1305"/>
      <c r="BC1096" s="169"/>
    </row>
    <row r="1097" spans="19:55" ht="15.75" customHeight="1">
      <c r="S1097" s="454"/>
      <c r="BA1097" s="1305"/>
      <c r="BC1097" s="169"/>
    </row>
    <row r="1098" spans="19:55" ht="15.75" customHeight="1">
      <c r="S1098" s="454"/>
      <c r="BA1098" s="1305"/>
      <c r="BC1098" s="169"/>
    </row>
    <row r="1099" spans="19:55" ht="15.75" customHeight="1">
      <c r="S1099" s="454"/>
      <c r="BA1099" s="1305"/>
      <c r="BC1099" s="169"/>
    </row>
    <row r="1100" spans="19:55" ht="15.75" customHeight="1">
      <c r="S1100" s="454"/>
      <c r="BA1100" s="1266"/>
      <c r="BC1100" s="169"/>
    </row>
    <row r="1101" spans="19:55" ht="15.75" customHeight="1">
      <c r="S1101" s="454"/>
      <c r="BA1101" s="1266"/>
      <c r="BC1101" s="169"/>
    </row>
    <row r="1102" spans="19:55" ht="15.75" customHeight="1">
      <c r="S1102" s="454"/>
      <c r="BA1102" s="1266"/>
      <c r="BC1102" s="169"/>
    </row>
    <row r="1103" spans="19:55" ht="15.75" customHeight="1">
      <c r="S1103" s="454"/>
      <c r="BA1103" s="1266"/>
      <c r="BC1103" s="169"/>
    </row>
    <row r="1104" spans="19:55" ht="15.75" customHeight="1">
      <c r="S1104" s="454"/>
      <c r="BA1104" s="1266"/>
      <c r="BC1104" s="169"/>
    </row>
    <row r="1105" spans="19:55" ht="15.75" customHeight="1">
      <c r="S1105" s="454"/>
      <c r="BA1105" s="1266"/>
      <c r="BC1105" s="169"/>
    </row>
    <row r="1106" spans="19:55" ht="15.75" customHeight="1">
      <c r="S1106" s="454"/>
      <c r="BA1106" s="1266"/>
      <c r="BC1106" s="169"/>
    </row>
    <row r="1107" spans="19:55" ht="15.75" customHeight="1">
      <c r="S1107" s="454"/>
      <c r="BA1107" s="1266"/>
      <c r="BC1107" s="169"/>
    </row>
    <row r="1108" spans="19:55" ht="15.75" customHeight="1">
      <c r="S1108" s="454"/>
      <c r="BA1108" s="1266"/>
      <c r="BC1108" s="169"/>
    </row>
    <row r="1109" spans="19:55" ht="15.75" customHeight="1">
      <c r="S1109" s="454"/>
      <c r="BA1109" s="1266"/>
      <c r="BC1109" s="169"/>
    </row>
    <row r="1110" spans="19:55" ht="15.75" customHeight="1">
      <c r="S1110" s="454"/>
      <c r="BA1110" s="1266"/>
      <c r="BC1110" s="169"/>
    </row>
    <row r="1111" spans="19:55" ht="15.75" customHeight="1">
      <c r="S1111" s="454"/>
      <c r="BA1111" s="1266"/>
      <c r="BC1111" s="169"/>
    </row>
    <row r="1112" spans="19:55" ht="15.75" customHeight="1">
      <c r="S1112" s="454"/>
      <c r="BA1112" s="1266"/>
      <c r="BC1112" s="169"/>
    </row>
    <row r="1113" spans="19:55" ht="15.75" customHeight="1">
      <c r="S1113" s="454"/>
      <c r="BA1113" s="1266"/>
      <c r="BC1113" s="169"/>
    </row>
    <row r="1114" spans="19:55" ht="15.75" customHeight="1">
      <c r="S1114" s="454"/>
      <c r="BA1114" s="1266"/>
      <c r="BC1114" s="169"/>
    </row>
    <row r="1115" spans="19:55" ht="15.75" customHeight="1">
      <c r="S1115" s="454"/>
      <c r="BA1115" s="1266"/>
      <c r="BC1115" s="169"/>
    </row>
    <row r="1116" spans="19:55" ht="15.75" customHeight="1">
      <c r="S1116" s="454"/>
      <c r="BA1116" s="1266"/>
      <c r="BC1116" s="169"/>
    </row>
    <row r="1117" spans="19:55" ht="15.75" customHeight="1">
      <c r="S1117" s="454"/>
      <c r="BA1117" s="1266"/>
      <c r="BC1117" s="169"/>
    </row>
    <row r="1118" spans="19:55" ht="15.75" customHeight="1">
      <c r="S1118" s="454"/>
      <c r="BA1118" s="1266"/>
      <c r="BC1118" s="169"/>
    </row>
    <row r="1119" spans="19:55" ht="15.75" customHeight="1">
      <c r="S1119" s="454"/>
      <c r="BA1119" s="1266"/>
      <c r="BC1119" s="169"/>
    </row>
    <row r="1120" spans="19:55" ht="15.75" customHeight="1">
      <c r="S1120" s="454"/>
      <c r="BA1120" s="1266"/>
      <c r="BC1120" s="169"/>
    </row>
    <row r="1121" spans="19:55" ht="15.75" customHeight="1">
      <c r="S1121" s="454"/>
      <c r="BA1121" s="1266"/>
      <c r="BC1121" s="169"/>
    </row>
    <row r="1122" spans="19:55" ht="15.75" customHeight="1">
      <c r="S1122" s="454"/>
      <c r="BA1122" s="1266"/>
      <c r="BC1122" s="169"/>
    </row>
    <row r="1123" spans="19:55" ht="15.75" customHeight="1">
      <c r="S1123" s="454"/>
      <c r="BA1123" s="1266"/>
      <c r="BC1123" s="169"/>
    </row>
    <row r="1124" spans="19:55" ht="15.75" customHeight="1">
      <c r="S1124" s="454"/>
      <c r="BA1124" s="1266"/>
      <c r="BC1124" s="169"/>
    </row>
    <row r="1125" spans="19:55" ht="15.75" customHeight="1">
      <c r="S1125" s="454"/>
      <c r="BA1125" s="1266"/>
      <c r="BC1125" s="169"/>
    </row>
    <row r="1126" spans="19:55" ht="15.75" customHeight="1">
      <c r="S1126" s="454"/>
      <c r="BA1126" s="1266"/>
      <c r="BC1126" s="169"/>
    </row>
    <row r="1127" spans="19:55" ht="15.75" customHeight="1">
      <c r="S1127" s="454"/>
      <c r="BA1127" s="1266"/>
      <c r="BC1127" s="169"/>
    </row>
    <row r="1128" spans="19:55" ht="15.75" customHeight="1">
      <c r="S1128" s="454"/>
      <c r="BA1128" s="1266"/>
      <c r="BC1128" s="169"/>
    </row>
    <row r="1129" spans="19:55" ht="15.75" customHeight="1">
      <c r="S1129" s="454"/>
      <c r="BA1129" s="1266"/>
      <c r="BC1129" s="169"/>
    </row>
    <row r="1130" spans="19:55" ht="15.75" customHeight="1">
      <c r="S1130" s="454"/>
      <c r="BA1130" s="1266"/>
      <c r="BC1130" s="169"/>
    </row>
    <row r="1131" spans="19:55" ht="15.75" customHeight="1">
      <c r="S1131" s="454"/>
      <c r="BA1131" s="1266"/>
      <c r="BC1131" s="169"/>
    </row>
    <row r="1132" spans="19:55" ht="15.75" customHeight="1">
      <c r="S1132" s="454"/>
      <c r="BA1132" s="1266"/>
      <c r="BC1132" s="169"/>
    </row>
    <row r="1133" spans="19:55" ht="15.75" customHeight="1">
      <c r="S1133" s="454"/>
      <c r="BA1133" s="1266"/>
      <c r="BC1133" s="169"/>
    </row>
    <row r="1134" spans="19:55" ht="15.75" customHeight="1">
      <c r="S1134" s="454"/>
      <c r="BA1134" s="1266"/>
      <c r="BC1134" s="169"/>
    </row>
    <row r="1135" spans="19:55" ht="15.75" customHeight="1">
      <c r="S1135" s="454"/>
      <c r="BA1135" s="1266"/>
      <c r="BC1135" s="169"/>
    </row>
    <row r="1136" spans="19:55" ht="15.75" customHeight="1">
      <c r="S1136" s="454"/>
      <c r="BA1136" s="1266"/>
      <c r="BC1136" s="169"/>
    </row>
    <row r="1137" spans="19:55" ht="15.75" customHeight="1">
      <c r="S1137" s="454"/>
      <c r="BA1137" s="1266"/>
      <c r="BC1137" s="169"/>
    </row>
    <row r="1138" spans="19:55" ht="15.75" customHeight="1">
      <c r="S1138" s="454"/>
      <c r="BA1138" s="1266"/>
      <c r="BC1138" s="169"/>
    </row>
    <row r="1139" spans="19:55" ht="15.75" customHeight="1">
      <c r="S1139" s="454"/>
      <c r="BA1139" s="1266"/>
      <c r="BC1139" s="169"/>
    </row>
    <row r="1140" spans="19:55" ht="15.75" customHeight="1">
      <c r="S1140" s="454"/>
      <c r="BA1140" s="1266"/>
      <c r="BC1140" s="169"/>
    </row>
    <row r="1141" spans="19:55" ht="15.75" customHeight="1">
      <c r="S1141" s="454"/>
      <c r="BA1141" s="1266"/>
      <c r="BC1141" s="169"/>
    </row>
    <row r="1142" spans="19:55" ht="15.75" customHeight="1">
      <c r="S1142" s="454"/>
      <c r="BA1142" s="1266"/>
      <c r="BC1142" s="169"/>
    </row>
    <row r="1143" spans="19:55" ht="15.75" customHeight="1">
      <c r="S1143" s="454"/>
      <c r="BA1143" s="1266"/>
      <c r="BC1143" s="169"/>
    </row>
    <row r="1144" spans="19:55" ht="15.75" customHeight="1">
      <c r="S1144" s="454"/>
      <c r="BA1144" s="1266"/>
      <c r="BC1144" s="169"/>
    </row>
    <row r="1145" spans="19:55" ht="15.75" customHeight="1">
      <c r="S1145" s="454"/>
      <c r="BA1145" s="1266"/>
      <c r="BC1145" s="169"/>
    </row>
    <row r="1146" spans="19:55" ht="15.75" customHeight="1">
      <c r="S1146" s="454"/>
      <c r="BA1146" s="1266"/>
      <c r="BC1146" s="169"/>
    </row>
    <row r="1147" spans="19:55" ht="15.75" customHeight="1">
      <c r="S1147" s="454"/>
      <c r="BA1147" s="1266"/>
      <c r="BC1147" s="169"/>
    </row>
    <row r="1148" spans="19:55" ht="15.75" customHeight="1">
      <c r="S1148" s="454"/>
      <c r="BA1148" s="1266"/>
      <c r="BC1148" s="169"/>
    </row>
    <row r="1149" spans="19:55" ht="15.75" customHeight="1">
      <c r="S1149" s="454"/>
      <c r="BA1149" s="1266"/>
      <c r="BC1149" s="169"/>
    </row>
    <row r="1150" spans="19:55" ht="15.75" customHeight="1">
      <c r="S1150" s="454"/>
      <c r="BA1150" s="1266"/>
      <c r="BC1150" s="169"/>
    </row>
    <row r="1151" spans="19:55" ht="15.75" customHeight="1">
      <c r="S1151" s="454"/>
      <c r="BA1151" s="1266"/>
      <c r="BC1151" s="169"/>
    </row>
    <row r="1152" spans="19:55" ht="15.75" customHeight="1">
      <c r="S1152" s="454"/>
      <c r="BA1152" s="1266"/>
      <c r="BC1152" s="169"/>
    </row>
    <row r="1153" spans="19:55" ht="15.75" customHeight="1">
      <c r="S1153" s="454"/>
      <c r="BA1153" s="1266"/>
      <c r="BC1153" s="169"/>
    </row>
    <row r="1154" spans="19:55" ht="15.75" customHeight="1">
      <c r="S1154" s="454"/>
      <c r="BA1154" s="1266"/>
      <c r="BC1154" s="169"/>
    </row>
    <row r="1155" spans="19:55" ht="15.75" customHeight="1">
      <c r="S1155" s="454"/>
      <c r="BA1155" s="1266"/>
      <c r="BC1155" s="169"/>
    </row>
    <row r="1156" spans="19:55" ht="15.75" customHeight="1">
      <c r="S1156" s="454"/>
      <c r="BA1156" s="1266"/>
      <c r="BC1156" s="169"/>
    </row>
    <row r="1157" spans="19:55" ht="15.75" customHeight="1">
      <c r="S1157" s="454"/>
      <c r="BA1157" s="1266"/>
      <c r="BC1157" s="169"/>
    </row>
    <row r="1158" spans="19:55" ht="15.75" customHeight="1">
      <c r="S1158" s="454"/>
      <c r="BA1158" s="1266"/>
      <c r="BC1158" s="169"/>
    </row>
    <row r="1159" spans="19:55" ht="15.75" customHeight="1">
      <c r="S1159" s="454"/>
      <c r="BA1159" s="1266"/>
      <c r="BC1159" s="169"/>
    </row>
    <row r="1160" spans="19:55" ht="15.75" customHeight="1">
      <c r="S1160" s="454"/>
      <c r="BA1160" s="1266"/>
      <c r="BC1160" s="169"/>
    </row>
    <row r="1161" spans="19:55" ht="15.75" customHeight="1">
      <c r="S1161" s="454"/>
      <c r="BA1161" s="1266"/>
      <c r="BC1161" s="169"/>
    </row>
    <row r="1162" spans="19:55" ht="15.75" customHeight="1">
      <c r="S1162" s="454"/>
      <c r="BA1162" s="1266"/>
      <c r="BC1162" s="169"/>
    </row>
    <row r="1163" spans="19:55" ht="15.75" customHeight="1">
      <c r="S1163" s="454"/>
      <c r="BA1163" s="1266"/>
      <c r="BC1163" s="169"/>
    </row>
    <row r="1164" spans="19:55" ht="15.75" customHeight="1">
      <c r="S1164" s="454"/>
      <c r="BA1164" s="1266"/>
      <c r="BC1164" s="169"/>
    </row>
    <row r="1165" spans="19:55" ht="15.75" customHeight="1">
      <c r="S1165" s="454"/>
      <c r="BA1165" s="1266"/>
      <c r="BC1165" s="169"/>
    </row>
    <row r="1166" spans="19:55" ht="15.75" customHeight="1">
      <c r="S1166" s="454"/>
      <c r="BA1166" s="1266"/>
      <c r="BC1166" s="169"/>
    </row>
    <row r="1167" spans="19:55" ht="15.75" customHeight="1">
      <c r="S1167" s="454"/>
      <c r="BA1167" s="1266"/>
      <c r="BC1167" s="169"/>
    </row>
    <row r="1168" spans="19:55" ht="15.75" customHeight="1">
      <c r="S1168" s="454"/>
      <c r="BA1168" s="1266"/>
      <c r="BC1168" s="169"/>
    </row>
    <row r="1169" spans="19:55" ht="15.75" customHeight="1">
      <c r="S1169" s="454"/>
      <c r="BA1169" s="1266"/>
      <c r="BC1169" s="169"/>
    </row>
    <row r="1170" spans="19:55" ht="15.75" customHeight="1">
      <c r="S1170" s="454"/>
      <c r="BA1170" s="1266"/>
      <c r="BC1170" s="169"/>
    </row>
    <row r="1171" spans="19:55" ht="15.75" customHeight="1">
      <c r="S1171" s="454"/>
      <c r="BA1171" s="1266"/>
      <c r="BC1171" s="169"/>
    </row>
    <row r="1172" spans="19:55" ht="15.75" customHeight="1">
      <c r="S1172" s="454"/>
      <c r="BA1172" s="1266"/>
      <c r="BC1172" s="169"/>
    </row>
    <row r="1173" spans="19:55" ht="15.75" customHeight="1">
      <c r="S1173" s="454"/>
      <c r="BA1173" s="1266"/>
      <c r="BC1173" s="169"/>
    </row>
    <row r="1174" spans="19:55" ht="15.75" customHeight="1">
      <c r="S1174" s="454"/>
      <c r="BA1174" s="1266"/>
      <c r="BC1174" s="169"/>
    </row>
    <row r="1175" spans="19:55" ht="15.75" customHeight="1">
      <c r="S1175" s="454"/>
      <c r="BA1175" s="1266"/>
      <c r="BC1175" s="169"/>
    </row>
    <row r="1176" spans="19:55" ht="15.75" customHeight="1">
      <c r="S1176" s="454"/>
      <c r="BA1176" s="1266"/>
      <c r="BC1176" s="169"/>
    </row>
    <row r="1177" spans="19:55" ht="15.75" customHeight="1">
      <c r="S1177" s="454"/>
      <c r="BA1177" s="1266"/>
      <c r="BC1177" s="169"/>
    </row>
    <row r="1178" spans="19:55" ht="15.75" customHeight="1">
      <c r="S1178" s="454"/>
      <c r="BA1178" s="1266"/>
      <c r="BC1178" s="169"/>
    </row>
    <row r="1179" spans="19:55" ht="15.75" customHeight="1">
      <c r="S1179" s="454"/>
      <c r="BA1179" s="1266"/>
      <c r="BC1179" s="169"/>
    </row>
    <row r="1180" spans="19:55" ht="15.75" customHeight="1">
      <c r="S1180" s="454"/>
      <c r="BA1180" s="1266"/>
      <c r="BC1180" s="169"/>
    </row>
    <row r="1181" spans="19:55" ht="15.75" customHeight="1">
      <c r="S1181" s="454"/>
      <c r="BA1181" s="1266"/>
      <c r="BC1181" s="169"/>
    </row>
    <row r="1182" spans="19:55" ht="15.75" customHeight="1">
      <c r="S1182" s="454"/>
      <c r="BA1182" s="1266"/>
      <c r="BC1182" s="169"/>
    </row>
    <row r="1183" spans="19:55" ht="15.75" customHeight="1">
      <c r="S1183" s="454"/>
      <c r="BA1183" s="1266"/>
      <c r="BC1183" s="169"/>
    </row>
    <row r="1184" spans="19:55" ht="15.75" customHeight="1">
      <c r="S1184" s="454"/>
      <c r="BA1184" s="1266"/>
      <c r="BC1184" s="169"/>
    </row>
    <row r="1185" spans="19:55" ht="15.75" customHeight="1">
      <c r="S1185" s="454"/>
      <c r="BA1185" s="1266"/>
      <c r="BC1185" s="169"/>
    </row>
    <row r="1186" spans="19:55" ht="15.75" customHeight="1">
      <c r="S1186" s="454"/>
      <c r="BA1186" s="1266"/>
      <c r="BC1186" s="169"/>
    </row>
    <row r="1187" spans="19:55" ht="15.75" customHeight="1">
      <c r="S1187" s="454"/>
      <c r="BA1187" s="1266"/>
      <c r="BC1187" s="169"/>
    </row>
    <row r="1188" spans="19:55" ht="15.75" customHeight="1">
      <c r="S1188" s="454"/>
      <c r="BA1188" s="1266"/>
      <c r="BC1188" s="169"/>
    </row>
    <row r="1189" spans="19:55" ht="15.75" customHeight="1">
      <c r="S1189" s="454"/>
      <c r="BA1189" s="1266"/>
      <c r="BC1189" s="169"/>
    </row>
    <row r="1190" spans="19:55" ht="15.75" customHeight="1">
      <c r="S1190" s="454"/>
      <c r="BA1190" s="1266"/>
      <c r="BC1190" s="169"/>
    </row>
    <row r="1191" spans="19:55" ht="15.75" customHeight="1">
      <c r="S1191" s="454"/>
      <c r="BA1191" s="1266"/>
      <c r="BC1191" s="169"/>
    </row>
    <row r="1192" spans="19:55" ht="15.75" customHeight="1">
      <c r="S1192" s="454"/>
      <c r="BA1192" s="1266"/>
      <c r="BC1192" s="169"/>
    </row>
    <row r="1193" spans="19:55" ht="15.75" customHeight="1">
      <c r="S1193" s="454"/>
      <c r="BA1193" s="1266"/>
      <c r="BC1193" s="169"/>
    </row>
    <row r="1194" spans="19:55" ht="15.75" customHeight="1">
      <c r="S1194" s="454"/>
      <c r="BA1194" s="1266"/>
      <c r="BC1194" s="169"/>
    </row>
    <row r="1195" spans="19:55" ht="15.75" customHeight="1">
      <c r="S1195" s="454"/>
      <c r="BA1195" s="1266"/>
      <c r="BC1195" s="169"/>
    </row>
    <row r="1196" spans="19:55" ht="15.75" customHeight="1">
      <c r="S1196" s="454"/>
      <c r="BA1196" s="1266"/>
      <c r="BC1196" s="169"/>
    </row>
    <row r="1197" spans="19:55" ht="15.75" customHeight="1">
      <c r="S1197" s="454"/>
      <c r="BA1197" s="1266"/>
      <c r="BC1197" s="169"/>
    </row>
    <row r="1198" spans="19:55" ht="15.75" customHeight="1">
      <c r="S1198" s="454"/>
      <c r="BA1198" s="1266"/>
      <c r="BC1198" s="169"/>
    </row>
    <row r="1199" spans="19:55" ht="15.75" customHeight="1">
      <c r="S1199" s="454"/>
      <c r="BA1199" s="1266"/>
      <c r="BC1199" s="169"/>
    </row>
    <row r="1200" spans="19:55" ht="15.75" customHeight="1">
      <c r="S1200" s="454"/>
      <c r="BA1200" s="1266"/>
      <c r="BC1200" s="169"/>
    </row>
    <row r="1201" spans="19:55" ht="15.75" customHeight="1">
      <c r="S1201" s="454"/>
      <c r="BA1201" s="1266"/>
      <c r="BC1201" s="169"/>
    </row>
    <row r="1202" spans="19:55" ht="15.75" customHeight="1">
      <c r="S1202" s="454"/>
      <c r="BA1202" s="1266"/>
      <c r="BC1202" s="169"/>
    </row>
    <row r="1203" spans="19:55" ht="15.75" customHeight="1">
      <c r="S1203" s="454"/>
      <c r="BA1203" s="1266"/>
      <c r="BC1203" s="169"/>
    </row>
    <row r="1204" spans="19:55" ht="15.75" customHeight="1">
      <c r="S1204" s="454"/>
      <c r="BA1204" s="1266"/>
      <c r="BC1204" s="169"/>
    </row>
    <row r="1205" spans="19:55" ht="15.75" customHeight="1">
      <c r="S1205" s="454"/>
      <c r="BA1205" s="1266"/>
      <c r="BC1205" s="169"/>
    </row>
    <row r="1206" spans="19:55" ht="15.75" customHeight="1">
      <c r="S1206" s="454"/>
      <c r="BA1206" s="1266"/>
      <c r="BC1206" s="169"/>
    </row>
    <row r="1207" spans="19:55" ht="15.75" customHeight="1">
      <c r="S1207" s="454"/>
      <c r="BA1207" s="1266"/>
      <c r="BC1207" s="169"/>
    </row>
    <row r="1208" spans="19:55" ht="15.75" customHeight="1">
      <c r="S1208" s="454"/>
      <c r="BA1208" s="1266"/>
      <c r="BC1208" s="169"/>
    </row>
    <row r="1209" spans="19:55" ht="15.75" customHeight="1">
      <c r="S1209" s="454"/>
      <c r="BA1209" s="1266"/>
      <c r="BC1209" s="169"/>
    </row>
    <row r="1210" spans="19:55" ht="15.75" customHeight="1">
      <c r="S1210" s="454"/>
      <c r="BA1210" s="1266"/>
      <c r="BC1210" s="169"/>
    </row>
    <row r="1211" spans="19:55" ht="15.75" customHeight="1">
      <c r="S1211" s="454"/>
      <c r="BA1211" s="1266"/>
      <c r="BC1211" s="169"/>
    </row>
    <row r="1212" spans="19:55" ht="15.75" customHeight="1">
      <c r="S1212" s="454"/>
      <c r="BA1212" s="1266"/>
      <c r="BC1212" s="169"/>
    </row>
    <row r="1213" spans="19:55" ht="15.75" customHeight="1">
      <c r="S1213" s="454"/>
      <c r="BA1213" s="1266"/>
      <c r="BC1213" s="169"/>
    </row>
    <row r="1214" spans="19:55" ht="15.75" customHeight="1">
      <c r="S1214" s="454"/>
      <c r="BA1214" s="1266"/>
      <c r="BC1214" s="169"/>
    </row>
    <row r="1215" spans="19:55" ht="15.75" customHeight="1">
      <c r="S1215" s="454"/>
      <c r="BA1215" s="1266"/>
      <c r="BC1215" s="169"/>
    </row>
    <row r="1216" spans="19:55" ht="15.75" customHeight="1">
      <c r="S1216" s="454"/>
      <c r="BA1216" s="1266"/>
      <c r="BC1216" s="169"/>
    </row>
    <row r="1217" spans="19:55" ht="15.75" customHeight="1">
      <c r="S1217" s="454"/>
      <c r="BA1217" s="1266"/>
      <c r="BC1217" s="169"/>
    </row>
    <row r="1218" spans="19:55" ht="15.75" customHeight="1">
      <c r="S1218" s="454"/>
      <c r="BA1218" s="1266"/>
      <c r="BC1218" s="169"/>
    </row>
    <row r="1219" spans="19:55" ht="15.75" customHeight="1">
      <c r="S1219" s="454"/>
      <c r="BA1219" s="1266"/>
      <c r="BC1219" s="169"/>
    </row>
    <row r="1220" spans="19:55" ht="15.75" customHeight="1">
      <c r="S1220" s="454"/>
      <c r="BA1220" s="1266"/>
      <c r="BC1220" s="169"/>
    </row>
    <row r="1221" spans="19:55" ht="15.75" customHeight="1">
      <c r="S1221" s="454"/>
      <c r="BA1221" s="1266"/>
      <c r="BC1221" s="169"/>
    </row>
    <row r="1222" spans="19:55" ht="15.75" customHeight="1">
      <c r="S1222" s="454"/>
      <c r="BA1222" s="1266"/>
      <c r="BC1222" s="169"/>
    </row>
    <row r="1223" spans="19:55" ht="15.75" customHeight="1">
      <c r="S1223" s="454"/>
      <c r="BA1223" s="1266"/>
      <c r="BC1223" s="169"/>
    </row>
    <row r="1224" spans="19:55" ht="15.75" customHeight="1">
      <c r="S1224" s="454"/>
      <c r="BA1224" s="1266"/>
      <c r="BC1224" s="169"/>
    </row>
    <row r="1225" spans="19:55" ht="15.75" customHeight="1">
      <c r="S1225" s="454"/>
      <c r="BA1225" s="1266"/>
      <c r="BC1225" s="169"/>
    </row>
    <row r="1226" spans="19:55" ht="15.75" customHeight="1">
      <c r="S1226" s="454"/>
      <c r="BA1226" s="1266"/>
      <c r="BC1226" s="169"/>
    </row>
    <row r="1227" spans="19:55" ht="15.75" customHeight="1">
      <c r="S1227" s="454"/>
      <c r="BA1227" s="1266"/>
      <c r="BC1227" s="169"/>
    </row>
    <row r="1228" spans="19:55" ht="15.75" customHeight="1">
      <c r="S1228" s="454"/>
      <c r="BA1228" s="1266"/>
      <c r="BC1228" s="169"/>
    </row>
    <row r="1229" spans="19:55" ht="15.75" customHeight="1">
      <c r="S1229" s="454"/>
      <c r="BA1229" s="1266"/>
      <c r="BC1229" s="169"/>
    </row>
    <row r="1230" spans="19:55" ht="15.75" customHeight="1">
      <c r="S1230" s="454"/>
      <c r="BA1230" s="1266"/>
      <c r="BC1230" s="169"/>
    </row>
    <row r="1231" spans="19:55" ht="15.75" customHeight="1">
      <c r="S1231" s="454"/>
      <c r="BA1231" s="1266"/>
      <c r="BC1231" s="169"/>
    </row>
    <row r="1232" spans="19:55" ht="15.75" customHeight="1">
      <c r="S1232" s="454"/>
      <c r="BA1232" s="1266"/>
      <c r="BC1232" s="169"/>
    </row>
    <row r="1233" spans="19:55" ht="15.75" customHeight="1">
      <c r="S1233" s="454"/>
      <c r="BA1233" s="1266"/>
      <c r="BC1233" s="169"/>
    </row>
    <row r="1234" spans="19:55" ht="15.75" customHeight="1">
      <c r="S1234" s="454"/>
      <c r="BA1234" s="1266"/>
      <c r="BC1234" s="169"/>
    </row>
    <row r="1235" spans="19:55" ht="15.75" customHeight="1">
      <c r="S1235" s="454"/>
      <c r="BA1235" s="1266"/>
      <c r="BC1235" s="169"/>
    </row>
    <row r="1236" spans="19:55" ht="15.75" customHeight="1">
      <c r="S1236" s="454"/>
      <c r="BA1236" s="1266"/>
      <c r="BC1236" s="169"/>
    </row>
    <row r="1237" spans="19:55" ht="15.75" customHeight="1">
      <c r="S1237" s="454"/>
      <c r="BA1237" s="1266"/>
      <c r="BC1237" s="169"/>
    </row>
    <row r="1238" spans="19:55" ht="15.75" customHeight="1">
      <c r="S1238" s="454"/>
      <c r="BA1238" s="1266"/>
      <c r="BC1238" s="169"/>
    </row>
    <row r="1239" spans="19:55" ht="15.75" customHeight="1">
      <c r="S1239" s="454"/>
      <c r="BA1239" s="1266"/>
      <c r="BC1239" s="169"/>
    </row>
    <row r="1240" spans="19:55" ht="15.75" customHeight="1">
      <c r="S1240" s="454"/>
      <c r="BA1240" s="1266"/>
      <c r="BC1240" s="169"/>
    </row>
    <row r="1241" spans="19:55" ht="15.75" customHeight="1">
      <c r="S1241" s="454"/>
      <c r="BA1241" s="1266"/>
      <c r="BC1241" s="169"/>
    </row>
    <row r="1242" spans="19:55" ht="15.75" customHeight="1">
      <c r="S1242" s="454"/>
      <c r="BA1242" s="1266"/>
      <c r="BC1242" s="169"/>
    </row>
    <row r="1243" spans="19:55" ht="15.75" customHeight="1">
      <c r="S1243" s="454"/>
      <c r="BA1243" s="1266"/>
      <c r="BC1243" s="169"/>
    </row>
    <row r="1244" spans="19:55" ht="15.75" customHeight="1">
      <c r="S1244" s="454"/>
      <c r="BA1244" s="1266"/>
      <c r="BC1244" s="169"/>
    </row>
    <row r="1245" spans="19:55" ht="15.75" customHeight="1">
      <c r="S1245" s="454"/>
      <c r="BA1245" s="1266"/>
      <c r="BC1245" s="169"/>
    </row>
    <row r="1246" spans="19:55" ht="15.75" customHeight="1">
      <c r="S1246" s="454"/>
      <c r="BA1246" s="1266"/>
      <c r="BC1246" s="169"/>
    </row>
    <row r="1247" spans="19:55" ht="15.75" customHeight="1">
      <c r="S1247" s="454"/>
      <c r="BA1247" s="1266"/>
      <c r="BC1247" s="169"/>
    </row>
    <row r="1248" spans="19:55" ht="15.75" customHeight="1">
      <c r="S1248" s="454"/>
      <c r="BA1248" s="1266"/>
      <c r="BC1248" s="169"/>
    </row>
    <row r="1249" spans="19:55" ht="15.75" customHeight="1">
      <c r="S1249" s="454"/>
      <c r="BA1249" s="1266"/>
      <c r="BC1249" s="169"/>
    </row>
    <row r="1250" spans="19:55" ht="15.75" customHeight="1">
      <c r="S1250" s="454"/>
      <c r="BA1250" s="1266"/>
      <c r="BC1250" s="169"/>
    </row>
    <row r="1251" spans="19:55" ht="15.75" customHeight="1">
      <c r="S1251" s="454"/>
      <c r="BA1251" s="1266"/>
      <c r="BC1251" s="169"/>
    </row>
    <row r="1252" spans="19:55" ht="15.75" customHeight="1">
      <c r="S1252" s="454"/>
      <c r="BA1252" s="1266"/>
      <c r="BC1252" s="169"/>
    </row>
    <row r="1253" spans="19:55" ht="15.75" customHeight="1">
      <c r="S1253" s="454"/>
      <c r="BA1253" s="1266"/>
      <c r="BC1253" s="169"/>
    </row>
    <row r="1254" spans="19:55" ht="15.75" customHeight="1">
      <c r="S1254" s="454"/>
      <c r="BA1254" s="1266"/>
      <c r="BC1254" s="169"/>
    </row>
    <row r="1255" spans="19:55" ht="15.75" customHeight="1">
      <c r="S1255" s="454"/>
      <c r="BA1255" s="1266"/>
      <c r="BC1255" s="169"/>
    </row>
    <row r="1256" spans="19:55" ht="15.75" customHeight="1">
      <c r="S1256" s="454"/>
      <c r="BA1256" s="1266"/>
      <c r="BC1256" s="169"/>
    </row>
    <row r="1257" spans="19:55" ht="15.75" customHeight="1">
      <c r="S1257" s="454"/>
      <c r="BA1257" s="1266"/>
      <c r="BC1257" s="169"/>
    </row>
    <row r="1258" spans="19:55" ht="15.75" customHeight="1">
      <c r="S1258" s="454"/>
      <c r="BA1258" s="1266"/>
      <c r="BC1258" s="169"/>
    </row>
    <row r="1259" spans="19:55" ht="15.75" customHeight="1">
      <c r="S1259" s="454"/>
      <c r="BA1259" s="1266"/>
      <c r="BC1259" s="169"/>
    </row>
    <row r="1260" spans="19:55" ht="15.75" customHeight="1">
      <c r="S1260" s="454"/>
      <c r="BA1260" s="1266"/>
      <c r="BC1260" s="169"/>
    </row>
    <row r="1261" spans="19:55" ht="15.75" customHeight="1">
      <c r="S1261" s="454"/>
      <c r="BA1261" s="1266"/>
      <c r="BC1261" s="169"/>
    </row>
    <row r="1262" spans="19:55" ht="15.75" customHeight="1">
      <c r="S1262" s="454"/>
      <c r="BA1262" s="1266"/>
      <c r="BC1262" s="169"/>
    </row>
    <row r="1263" spans="19:55" ht="15.75" customHeight="1">
      <c r="S1263" s="454"/>
      <c r="BA1263" s="1266"/>
      <c r="BC1263" s="169"/>
    </row>
    <row r="1264" spans="19:55" ht="15.75" customHeight="1">
      <c r="S1264" s="454"/>
      <c r="BA1264" s="1266"/>
      <c r="BC1264" s="169"/>
    </row>
    <row r="1265" spans="19:55" ht="15.75" customHeight="1">
      <c r="S1265" s="454"/>
      <c r="BA1265" s="1266"/>
      <c r="BC1265" s="169"/>
    </row>
    <row r="1266" spans="19:55" ht="15.75" customHeight="1">
      <c r="S1266" s="454"/>
      <c r="BA1266" s="1266"/>
      <c r="BC1266" s="169"/>
    </row>
    <row r="1267" spans="19:55" ht="15.75" customHeight="1">
      <c r="S1267" s="454"/>
      <c r="BA1267" s="1266"/>
      <c r="BC1267" s="169"/>
    </row>
    <row r="1268" spans="19:55" ht="15.75" customHeight="1">
      <c r="S1268" s="454"/>
      <c r="BA1268" s="1266"/>
      <c r="BC1268" s="169"/>
    </row>
    <row r="1269" spans="19:55" ht="15.75" customHeight="1">
      <c r="S1269" s="454"/>
      <c r="BA1269" s="1266"/>
      <c r="BC1269" s="169"/>
    </row>
    <row r="1270" spans="19:55" ht="15.75" customHeight="1">
      <c r="S1270" s="454"/>
      <c r="BA1270" s="1266"/>
      <c r="BC1270" s="169"/>
    </row>
    <row r="1271" spans="19:55" ht="15.75" customHeight="1">
      <c r="S1271" s="454"/>
      <c r="BA1271" s="1266"/>
      <c r="BC1271" s="169"/>
    </row>
    <row r="1272" spans="19:55" ht="15.75" customHeight="1">
      <c r="S1272" s="454"/>
      <c r="BA1272" s="1266"/>
      <c r="BC1272" s="169"/>
    </row>
    <row r="1273" spans="19:55" ht="15.75" customHeight="1">
      <c r="S1273" s="454"/>
      <c r="BA1273" s="1266"/>
      <c r="BC1273" s="169"/>
    </row>
    <row r="1274" spans="19:55" ht="15.75" customHeight="1">
      <c r="S1274" s="454"/>
      <c r="BA1274" s="1266"/>
      <c r="BC1274" s="169"/>
    </row>
    <row r="1275" spans="19:55" ht="15.75" customHeight="1">
      <c r="S1275" s="454"/>
      <c r="BA1275" s="1266"/>
      <c r="BC1275" s="169"/>
    </row>
    <row r="1276" spans="19:55" ht="15.75" customHeight="1">
      <c r="S1276" s="454"/>
      <c r="BA1276" s="1266"/>
      <c r="BC1276" s="169"/>
    </row>
    <row r="1277" spans="19:55" ht="15.75" customHeight="1">
      <c r="S1277" s="454"/>
      <c r="BA1277" s="1266"/>
      <c r="BC1277" s="169"/>
    </row>
    <row r="1278" spans="19:55" ht="15.75" customHeight="1">
      <c r="S1278" s="454"/>
      <c r="BA1278" s="1266"/>
      <c r="BC1278" s="169"/>
    </row>
    <row r="1279" spans="19:55" ht="15.75" customHeight="1">
      <c r="S1279" s="454"/>
      <c r="BA1279" s="1266"/>
      <c r="BC1279" s="169"/>
    </row>
    <row r="1280" spans="19:55" ht="15.75" customHeight="1">
      <c r="S1280" s="454"/>
      <c r="BA1280" s="1266"/>
      <c r="BC1280" s="169"/>
    </row>
    <row r="1281" spans="19:55" ht="15.75" customHeight="1">
      <c r="S1281" s="454"/>
      <c r="BA1281" s="1266"/>
      <c r="BC1281" s="169"/>
    </row>
    <row r="1282" spans="19:55" ht="15.75" customHeight="1">
      <c r="S1282" s="454"/>
      <c r="BA1282" s="1266"/>
      <c r="BC1282" s="169"/>
    </row>
    <row r="1283" spans="19:55" ht="15.75" customHeight="1">
      <c r="S1283" s="454"/>
      <c r="BA1283" s="1266"/>
      <c r="BC1283" s="169"/>
    </row>
    <row r="1284" spans="19:55" ht="15.75" customHeight="1">
      <c r="S1284" s="454"/>
      <c r="BA1284" s="1266"/>
      <c r="BC1284" s="169"/>
    </row>
    <row r="1285" spans="19:55" ht="15.75" customHeight="1">
      <c r="S1285" s="454"/>
      <c r="BA1285" s="1266"/>
      <c r="BC1285" s="169"/>
    </row>
    <row r="1286" spans="19:55" ht="15.75" customHeight="1">
      <c r="S1286" s="454"/>
      <c r="BA1286" s="1266"/>
      <c r="BC1286" s="169"/>
    </row>
    <row r="1287" spans="19:55" ht="15.75" customHeight="1">
      <c r="S1287" s="454"/>
      <c r="BA1287" s="1266"/>
      <c r="BC1287" s="169"/>
    </row>
    <row r="1288" spans="19:55" ht="15.75" customHeight="1">
      <c r="S1288" s="454"/>
      <c r="BA1288" s="1266"/>
      <c r="BC1288" s="169"/>
    </row>
    <row r="1289" spans="19:55" ht="15.75" customHeight="1">
      <c r="S1289" s="454"/>
      <c r="BA1289" s="1266"/>
      <c r="BC1289" s="169"/>
    </row>
    <row r="1290" spans="19:55" ht="15.75" customHeight="1">
      <c r="S1290" s="454"/>
      <c r="BA1290" s="1266"/>
      <c r="BC1290" s="169"/>
    </row>
    <row r="1291" spans="19:55" ht="15.75" customHeight="1">
      <c r="S1291" s="454"/>
      <c r="BA1291" s="1266"/>
      <c r="BC1291" s="169"/>
    </row>
    <row r="1292" spans="19:55" ht="15.75" customHeight="1">
      <c r="S1292" s="454"/>
      <c r="BA1292" s="1266"/>
      <c r="BC1292" s="169"/>
    </row>
    <row r="1293" spans="19:55" ht="15.75" customHeight="1">
      <c r="S1293" s="454"/>
      <c r="BA1293" s="1266"/>
      <c r="BC1293" s="169"/>
    </row>
    <row r="1294" spans="19:55" ht="15.75" customHeight="1">
      <c r="S1294" s="454"/>
      <c r="BA1294" s="1266"/>
      <c r="BC1294" s="169"/>
    </row>
    <row r="1295" spans="19:55" ht="15.75" customHeight="1">
      <c r="S1295" s="454"/>
      <c r="BA1295" s="1266"/>
      <c r="BC1295" s="169"/>
    </row>
    <row r="1296" spans="19:55" ht="15.75" customHeight="1">
      <c r="S1296" s="454"/>
      <c r="BA1296" s="1266"/>
      <c r="BC1296" s="169"/>
    </row>
    <row r="1297" spans="19:55" ht="15.75" customHeight="1">
      <c r="S1297" s="454"/>
      <c r="BA1297" s="1266"/>
      <c r="BC1297" s="169"/>
    </row>
    <row r="1298" spans="19:55" ht="15.75" customHeight="1">
      <c r="S1298" s="454"/>
      <c r="BA1298" s="1266"/>
      <c r="BC1298" s="169"/>
    </row>
    <row r="1299" spans="19:55" ht="15.75" customHeight="1">
      <c r="S1299" s="454"/>
      <c r="BA1299" s="1266"/>
      <c r="BC1299" s="169"/>
    </row>
    <row r="1300" spans="19:55" ht="15.75" customHeight="1">
      <c r="S1300" s="454"/>
      <c r="BA1300" s="1266"/>
      <c r="BC1300" s="169"/>
    </row>
    <row r="1301" spans="19:55" ht="15.75" customHeight="1">
      <c r="S1301" s="454"/>
      <c r="BA1301" s="1266"/>
      <c r="BC1301" s="169"/>
    </row>
    <row r="1302" spans="19:55" ht="15.75" customHeight="1">
      <c r="S1302" s="454"/>
      <c r="BA1302" s="1266"/>
      <c r="BC1302" s="169"/>
    </row>
    <row r="1303" spans="19:55" ht="15.75" customHeight="1">
      <c r="S1303" s="454"/>
      <c r="BC1303" s="169"/>
    </row>
    <row r="1304" spans="19:55" ht="15.75" customHeight="1">
      <c r="S1304" s="454"/>
      <c r="BC1304" s="169"/>
    </row>
    <row r="1305" spans="19:55" ht="15.75" customHeight="1">
      <c r="S1305" s="454"/>
      <c r="BC1305" s="169"/>
    </row>
    <row r="1306" spans="19:55" ht="15.75" customHeight="1">
      <c r="S1306" s="454"/>
      <c r="BC1306" s="169"/>
    </row>
    <row r="1307" spans="19:55" ht="15.75" customHeight="1">
      <c r="S1307" s="454"/>
      <c r="BC1307" s="169"/>
    </row>
    <row r="1308" spans="19:55" ht="15.75" customHeight="1">
      <c r="S1308" s="454"/>
      <c r="BC1308" s="169"/>
    </row>
    <row r="1309" spans="19:55" ht="15.75" customHeight="1">
      <c r="S1309" s="454"/>
      <c r="BC1309" s="169"/>
    </row>
    <row r="1310" spans="19:55" ht="15.75" customHeight="1">
      <c r="S1310" s="454"/>
      <c r="BC1310" s="169"/>
    </row>
    <row r="1311" spans="19:55" ht="15.75" customHeight="1">
      <c r="S1311" s="454"/>
      <c r="BC1311" s="169"/>
    </row>
    <row r="1312" spans="19:55" ht="15.75" customHeight="1">
      <c r="S1312" s="454"/>
      <c r="BC1312" s="169"/>
    </row>
    <row r="1313" spans="19:55" ht="15.75" customHeight="1">
      <c r="S1313" s="454"/>
      <c r="BC1313" s="169"/>
    </row>
    <row r="1314" spans="19:55" ht="15.75" customHeight="1">
      <c r="S1314" s="454"/>
      <c r="BC1314" s="169"/>
    </row>
    <row r="1315" spans="19:55" ht="15.75" customHeight="1">
      <c r="S1315" s="454"/>
      <c r="BC1315" s="169"/>
    </row>
    <row r="1316" spans="19:55" ht="15.75" customHeight="1">
      <c r="S1316" s="454"/>
      <c r="BC1316" s="169"/>
    </row>
    <row r="1317" spans="19:55" ht="15.75" customHeight="1">
      <c r="S1317" s="454"/>
      <c r="BC1317" s="169"/>
    </row>
    <row r="1318" spans="19:55" ht="15.75" customHeight="1">
      <c r="S1318" s="454"/>
      <c r="BC1318" s="169"/>
    </row>
    <row r="1319" spans="19:55" ht="15.75" customHeight="1">
      <c r="S1319" s="454"/>
      <c r="BC1319" s="169"/>
    </row>
    <row r="1320" spans="19:55" ht="15.75" customHeight="1">
      <c r="S1320" s="454"/>
      <c r="BC1320" s="169"/>
    </row>
    <row r="1321" spans="19:55" ht="15.75" customHeight="1">
      <c r="S1321" s="454"/>
      <c r="BC1321" s="169"/>
    </row>
    <row r="1322" spans="19:55" ht="15.75" customHeight="1">
      <c r="S1322" s="454"/>
      <c r="BC1322" s="169"/>
    </row>
    <row r="1323" spans="19:55" ht="15.75" customHeight="1">
      <c r="S1323" s="454"/>
      <c r="BC1323" s="169"/>
    </row>
    <row r="1324" spans="19:55" ht="15.75" customHeight="1">
      <c r="S1324" s="454"/>
      <c r="BC1324" s="169"/>
    </row>
    <row r="1325" spans="19:55" ht="15.75" customHeight="1">
      <c r="S1325" s="454"/>
      <c r="BC1325" s="169"/>
    </row>
    <row r="1326" spans="19:55" ht="15.75" customHeight="1">
      <c r="S1326" s="454"/>
      <c r="BC1326" s="169"/>
    </row>
    <row r="1327" spans="19:55" ht="15.75" customHeight="1">
      <c r="S1327" s="454"/>
      <c r="BC1327" s="169"/>
    </row>
    <row r="1328" spans="19:55" ht="15.75" customHeight="1">
      <c r="S1328" s="454"/>
      <c r="BC1328" s="169"/>
    </row>
    <row r="1329" spans="19:55" ht="15.75" customHeight="1">
      <c r="S1329" s="454"/>
      <c r="BC1329" s="169"/>
    </row>
    <row r="1330" spans="19:55" ht="15.75" customHeight="1">
      <c r="S1330" s="454"/>
      <c r="BC1330" s="169"/>
    </row>
    <row r="1331" spans="19:55" ht="15.75" customHeight="1">
      <c r="S1331" s="454"/>
      <c r="BC1331" s="169"/>
    </row>
    <row r="1332" spans="19:55" ht="15.75" customHeight="1">
      <c r="S1332" s="454"/>
      <c r="BC1332" s="169"/>
    </row>
    <row r="1333" spans="19:55" ht="15.75" customHeight="1">
      <c r="S1333" s="454"/>
      <c r="BC1333" s="169"/>
    </row>
    <row r="1334" spans="19:55" ht="15.75" customHeight="1">
      <c r="S1334" s="454"/>
      <c r="BC1334" s="169"/>
    </row>
    <row r="1335" spans="19:55" ht="15.75" customHeight="1">
      <c r="S1335" s="454"/>
      <c r="BC1335" s="169"/>
    </row>
    <row r="1336" spans="19:55" ht="15.75" customHeight="1">
      <c r="S1336" s="454"/>
      <c r="BC1336" s="169"/>
    </row>
    <row r="1337" spans="19:55" ht="15.75" customHeight="1">
      <c r="S1337" s="454"/>
      <c r="BC1337" s="169"/>
    </row>
    <row r="1338" spans="19:55" ht="15.75" customHeight="1">
      <c r="S1338" s="454"/>
      <c r="BC1338" s="169"/>
    </row>
    <row r="1339" spans="19:55" ht="15.75" customHeight="1">
      <c r="S1339" s="454"/>
      <c r="BC1339" s="169"/>
    </row>
    <row r="1340" spans="19:55" ht="15.75" customHeight="1">
      <c r="S1340" s="454"/>
      <c r="BC1340" s="169"/>
    </row>
    <row r="1341" spans="19:55" ht="15.75" customHeight="1">
      <c r="S1341" s="454"/>
      <c r="BC1341" s="169"/>
    </row>
    <row r="1342" spans="19:55" ht="15.75" customHeight="1">
      <c r="S1342" s="454"/>
      <c r="BC1342" s="169"/>
    </row>
    <row r="1343" spans="19:55" ht="15.75" customHeight="1">
      <c r="S1343" s="454"/>
      <c r="BC1343" s="169"/>
    </row>
    <row r="1344" spans="19:55" ht="15.75" customHeight="1">
      <c r="S1344" s="454"/>
      <c r="BC1344" s="169"/>
    </row>
    <row r="1345" spans="19:55" ht="15.75" customHeight="1">
      <c r="S1345" s="454"/>
      <c r="BC1345" s="169"/>
    </row>
    <row r="1346" spans="19:55" ht="15.75" customHeight="1">
      <c r="S1346" s="454"/>
      <c r="BC1346" s="169"/>
    </row>
    <row r="1347" spans="19:55" ht="15.75" customHeight="1">
      <c r="S1347" s="454"/>
      <c r="BC1347" s="169"/>
    </row>
    <row r="1348" spans="19:55" ht="15.75" customHeight="1">
      <c r="S1348" s="454"/>
      <c r="BC1348" s="169"/>
    </row>
    <row r="1349" spans="19:55" ht="15.75" customHeight="1">
      <c r="S1349" s="454"/>
      <c r="BC1349" s="169"/>
    </row>
    <row r="1350" spans="19:55" ht="15.75" customHeight="1">
      <c r="S1350" s="454"/>
      <c r="BC1350" s="169"/>
    </row>
    <row r="1351" spans="19:55" ht="15.75" customHeight="1">
      <c r="S1351" s="454"/>
      <c r="BC1351" s="169"/>
    </row>
    <row r="1352" spans="19:55" ht="15.75" customHeight="1">
      <c r="S1352" s="454"/>
      <c r="BC1352" s="169"/>
    </row>
    <row r="1353" spans="19:55" ht="15.75" customHeight="1">
      <c r="S1353" s="454"/>
      <c r="BC1353" s="169"/>
    </row>
    <row r="1354" spans="19:55" ht="15.75" customHeight="1">
      <c r="S1354" s="454"/>
      <c r="BC1354" s="169"/>
    </row>
    <row r="1355" spans="19:55" ht="15.75" customHeight="1">
      <c r="S1355" s="454"/>
      <c r="BC1355" s="169"/>
    </row>
    <row r="1356" spans="19:55" ht="15.75" customHeight="1">
      <c r="S1356" s="454"/>
      <c r="BC1356" s="169"/>
    </row>
    <row r="1357" spans="19:55" ht="15.75" customHeight="1">
      <c r="S1357" s="454"/>
      <c r="BC1357" s="169"/>
    </row>
    <row r="1358" spans="19:55" ht="15.75" customHeight="1">
      <c r="S1358" s="454"/>
      <c r="BC1358" s="169"/>
    </row>
    <row r="1359" spans="19:55" ht="15.75" customHeight="1">
      <c r="S1359" s="454"/>
      <c r="BC1359" s="169"/>
    </row>
    <row r="1360" spans="19:55" ht="15.75" customHeight="1">
      <c r="S1360" s="454"/>
      <c r="BC1360" s="169"/>
    </row>
    <row r="1361" spans="19:55" ht="15.75" customHeight="1">
      <c r="S1361" s="454"/>
      <c r="BC1361" s="169"/>
    </row>
    <row r="1362" spans="19:55" ht="15.75" customHeight="1">
      <c r="S1362" s="454"/>
      <c r="BC1362" s="169"/>
    </row>
    <row r="1363" spans="19:55" ht="15.75" customHeight="1">
      <c r="S1363" s="454"/>
      <c r="BC1363" s="169"/>
    </row>
    <row r="1364" spans="19:55" ht="15.75" customHeight="1">
      <c r="S1364" s="454"/>
      <c r="BC1364" s="169"/>
    </row>
    <row r="1365" spans="19:55" ht="15.75" customHeight="1">
      <c r="S1365" s="454"/>
      <c r="BC1365" s="169"/>
    </row>
    <row r="1366" spans="19:55" ht="15.75" customHeight="1">
      <c r="S1366" s="454"/>
      <c r="BC1366" s="169"/>
    </row>
    <row r="1367" spans="19:55" ht="15.75" customHeight="1">
      <c r="S1367" s="454"/>
      <c r="BC1367" s="169"/>
    </row>
    <row r="1368" spans="19:55" ht="15.75" customHeight="1">
      <c r="S1368" s="454"/>
      <c r="BC1368" s="169"/>
    </row>
    <row r="1369" spans="19:55" ht="15.75" customHeight="1">
      <c r="S1369" s="454"/>
      <c r="BC1369" s="169"/>
    </row>
    <row r="1370" spans="19:55" ht="15.75" customHeight="1">
      <c r="S1370" s="454"/>
      <c r="BC1370" s="169"/>
    </row>
    <row r="1371" spans="19:55" ht="15.75" customHeight="1">
      <c r="S1371" s="454"/>
      <c r="BC1371" s="169"/>
    </row>
    <row r="1372" spans="19:55" ht="15.75" customHeight="1">
      <c r="S1372" s="454"/>
      <c r="BC1372" s="169"/>
    </row>
    <row r="1373" spans="19:55" ht="15.75" customHeight="1">
      <c r="S1373" s="454"/>
      <c r="BC1373" s="169"/>
    </row>
    <row r="1374" spans="19:55" ht="15.75" customHeight="1">
      <c r="S1374" s="454"/>
      <c r="BC1374" s="169"/>
    </row>
    <row r="1375" spans="19:55" ht="15.75" customHeight="1">
      <c r="S1375" s="454"/>
      <c r="BC1375" s="169"/>
    </row>
    <row r="1376" spans="19:55" ht="15.75" customHeight="1">
      <c r="S1376" s="454"/>
      <c r="BC1376" s="169"/>
    </row>
    <row r="1377" spans="19:55" ht="15.75" customHeight="1">
      <c r="S1377" s="454"/>
      <c r="BC1377" s="169"/>
    </row>
    <row r="1378" spans="19:55" ht="15.75" customHeight="1">
      <c r="S1378" s="454"/>
      <c r="BC1378" s="169"/>
    </row>
    <row r="1379" spans="19:55" ht="15.75" customHeight="1">
      <c r="S1379" s="454"/>
      <c r="BC1379" s="169"/>
    </row>
    <row r="1380" spans="19:55" ht="15.75" customHeight="1">
      <c r="S1380" s="454"/>
      <c r="BC1380" s="169"/>
    </row>
    <row r="1381" spans="19:55" ht="15.75" customHeight="1">
      <c r="S1381" s="454"/>
      <c r="BC1381" s="169"/>
    </row>
    <row r="1382" spans="19:55" ht="15.75" customHeight="1">
      <c r="S1382" s="454"/>
      <c r="BC1382" s="169"/>
    </row>
    <row r="1383" spans="19:55" ht="15.75" customHeight="1">
      <c r="S1383" s="454"/>
      <c r="BC1383" s="169"/>
    </row>
    <row r="1384" spans="19:55" ht="15.75" customHeight="1">
      <c r="S1384" s="454"/>
      <c r="BC1384" s="169"/>
    </row>
    <row r="1385" spans="19:55" ht="15.75" customHeight="1">
      <c r="S1385" s="454"/>
      <c r="BC1385" s="169"/>
    </row>
    <row r="1386" spans="19:55" ht="15.75" customHeight="1">
      <c r="S1386" s="454"/>
      <c r="BC1386" s="169"/>
    </row>
    <row r="1387" spans="19:55" ht="15.75" customHeight="1">
      <c r="S1387" s="454"/>
      <c r="BC1387" s="169"/>
    </row>
    <row r="1388" spans="19:55" ht="15.75" customHeight="1">
      <c r="S1388" s="454"/>
      <c r="BC1388" s="169"/>
    </row>
    <row r="1389" spans="19:55" ht="15.75" customHeight="1">
      <c r="S1389" s="454"/>
      <c r="BC1389" s="169"/>
    </row>
    <row r="1390" spans="19:55" ht="15.75" customHeight="1">
      <c r="S1390" s="454"/>
      <c r="BC1390" s="169"/>
    </row>
    <row r="1391" spans="19:55" ht="15.75" customHeight="1">
      <c r="S1391" s="454"/>
      <c r="BC1391" s="169"/>
    </row>
    <row r="1392" spans="19:55" ht="15.75" customHeight="1">
      <c r="S1392" s="454"/>
      <c r="BC1392" s="169"/>
    </row>
    <row r="1393" spans="19:55" ht="15.75" customHeight="1">
      <c r="S1393" s="454"/>
      <c r="BC1393" s="169"/>
    </row>
    <row r="1394" spans="19:55" ht="15.75" customHeight="1">
      <c r="S1394" s="454"/>
      <c r="BC1394" s="169"/>
    </row>
    <row r="1395" spans="19:55" ht="15.75" customHeight="1">
      <c r="S1395" s="454"/>
      <c r="BC1395" s="169"/>
    </row>
    <row r="1396" spans="19:55" ht="15.75" customHeight="1">
      <c r="S1396" s="454"/>
      <c r="BC1396" s="169"/>
    </row>
    <row r="1397" spans="19:55" ht="15.75" customHeight="1">
      <c r="S1397" s="454"/>
      <c r="BC1397" s="169"/>
    </row>
    <row r="1398" spans="19:55" ht="15.75" customHeight="1">
      <c r="S1398" s="454"/>
      <c r="BC1398" s="169"/>
    </row>
    <row r="1399" spans="19:55" ht="15.75" customHeight="1">
      <c r="S1399" s="454"/>
      <c r="BC1399" s="169"/>
    </row>
    <row r="1400" spans="19:55" ht="15.75" customHeight="1">
      <c r="S1400" s="454"/>
      <c r="BC1400" s="169"/>
    </row>
    <row r="1401" spans="19:55" ht="15.75" customHeight="1">
      <c r="S1401" s="454"/>
      <c r="BC1401" s="169"/>
    </row>
    <row r="1402" spans="19:55" ht="15.75" customHeight="1">
      <c r="S1402" s="454"/>
      <c r="BC1402" s="169"/>
    </row>
    <row r="1403" spans="19:55" ht="15.75" customHeight="1">
      <c r="S1403" s="454"/>
      <c r="BC1403" s="169"/>
    </row>
    <row r="1404" spans="19:55" ht="15.75" customHeight="1">
      <c r="S1404" s="454"/>
      <c r="BC1404" s="169"/>
    </row>
    <row r="1405" spans="19:55" ht="15.75" customHeight="1">
      <c r="S1405" s="454"/>
      <c r="BC1405" s="169"/>
    </row>
    <row r="1406" spans="19:55" ht="15.75" customHeight="1">
      <c r="S1406" s="454"/>
      <c r="BC1406" s="169"/>
    </row>
    <row r="1407" spans="19:55" ht="15.75" customHeight="1">
      <c r="S1407" s="454"/>
      <c r="BC1407" s="169"/>
    </row>
    <row r="1408" spans="19:55" ht="15.75" customHeight="1">
      <c r="S1408" s="454"/>
      <c r="BC1408" s="169"/>
    </row>
    <row r="1409" spans="19:55" ht="15.75" customHeight="1">
      <c r="S1409" s="454"/>
      <c r="BC1409" s="169"/>
    </row>
    <row r="1410" spans="19:55" ht="15.75" customHeight="1">
      <c r="S1410" s="454"/>
      <c r="BC1410" s="169"/>
    </row>
    <row r="1411" spans="19:55" ht="15.75" customHeight="1">
      <c r="S1411" s="454"/>
      <c r="BC1411" s="169"/>
    </row>
    <row r="1412" spans="19:55" ht="15.75" customHeight="1">
      <c r="S1412" s="454"/>
      <c r="BC1412" s="169"/>
    </row>
    <row r="1413" spans="19:55" ht="15.75" customHeight="1">
      <c r="S1413" s="454"/>
      <c r="BC1413" s="169"/>
    </row>
    <row r="1414" spans="19:55" ht="15.75" customHeight="1">
      <c r="S1414" s="454"/>
      <c r="BC1414" s="169"/>
    </row>
    <row r="1415" spans="19:55" ht="15.75" customHeight="1">
      <c r="S1415" s="454"/>
      <c r="BC1415" s="169"/>
    </row>
    <row r="1416" spans="19:55" ht="15.75" customHeight="1">
      <c r="S1416" s="454"/>
      <c r="BC1416" s="169"/>
    </row>
    <row r="1417" spans="19:55" ht="15.75" customHeight="1">
      <c r="S1417" s="454"/>
      <c r="BC1417" s="169"/>
    </row>
    <row r="1418" spans="19:55" ht="15.75" customHeight="1">
      <c r="S1418" s="454"/>
      <c r="BC1418" s="169"/>
    </row>
    <row r="1419" spans="19:55" ht="15.75" customHeight="1">
      <c r="S1419" s="454"/>
      <c r="BC1419" s="169"/>
    </row>
    <row r="1420" spans="19:55" ht="15.75" customHeight="1">
      <c r="S1420" s="454"/>
      <c r="BC1420" s="169"/>
    </row>
    <row r="1421" spans="19:55" ht="15.75" customHeight="1">
      <c r="S1421" s="454"/>
      <c r="BC1421" s="169"/>
    </row>
    <row r="1422" spans="19:55" ht="15.75" customHeight="1">
      <c r="S1422" s="454"/>
      <c r="BC1422" s="169"/>
    </row>
    <row r="1423" spans="19:55" ht="15.75" customHeight="1">
      <c r="S1423" s="454"/>
      <c r="BC1423" s="169"/>
    </row>
    <row r="1424" spans="19:55" ht="15.75" customHeight="1">
      <c r="S1424" s="454"/>
      <c r="BC1424" s="169"/>
    </row>
    <row r="1425" spans="19:55" ht="15.75" customHeight="1">
      <c r="S1425" s="454"/>
      <c r="BC1425" s="169"/>
    </row>
    <row r="1426" spans="19:55" ht="15.75" customHeight="1">
      <c r="S1426" s="454"/>
      <c r="BC1426" s="169"/>
    </row>
    <row r="1427" spans="19:55" ht="15.75" customHeight="1">
      <c r="S1427" s="454"/>
      <c r="BC1427" s="169"/>
    </row>
    <row r="1428" spans="19:55" ht="15.75" customHeight="1">
      <c r="S1428" s="454"/>
      <c r="BC1428" s="169"/>
    </row>
    <row r="1429" spans="19:55" ht="15.75" customHeight="1">
      <c r="S1429" s="454"/>
      <c r="BC1429" s="169"/>
    </row>
    <row r="1430" spans="19:55" ht="15.75" customHeight="1">
      <c r="S1430" s="454"/>
      <c r="BC1430" s="169"/>
    </row>
    <row r="1431" spans="19:55" ht="15.75" customHeight="1">
      <c r="S1431" s="454"/>
      <c r="BC1431" s="169"/>
    </row>
    <row r="1432" spans="19:55" ht="15.75" customHeight="1">
      <c r="S1432" s="454"/>
      <c r="BC1432" s="169"/>
    </row>
    <row r="1433" spans="19:55" ht="15.75" customHeight="1">
      <c r="S1433" s="454"/>
      <c r="BC1433" s="169"/>
    </row>
    <row r="1434" spans="19:55" ht="15.75" customHeight="1">
      <c r="S1434" s="454"/>
      <c r="BC1434" s="169"/>
    </row>
    <row r="1435" spans="19:55" ht="15.75" customHeight="1">
      <c r="S1435" s="454"/>
      <c r="BC1435" s="169"/>
    </row>
    <row r="1436" spans="19:55" ht="15.75" customHeight="1">
      <c r="S1436" s="454"/>
      <c r="BC1436" s="169"/>
    </row>
    <row r="1437" spans="19:55" ht="15.75" customHeight="1">
      <c r="S1437" s="454"/>
      <c r="BC1437" s="169"/>
    </row>
    <row r="1438" spans="19:55" ht="15.75" customHeight="1">
      <c r="S1438" s="454"/>
      <c r="BC1438" s="169"/>
    </row>
    <row r="1439" spans="19:55" ht="15.75" customHeight="1">
      <c r="S1439" s="454"/>
      <c r="BC1439" s="169"/>
    </row>
    <row r="1440" spans="19:55" ht="15.75" customHeight="1">
      <c r="S1440" s="454"/>
      <c r="BC1440" s="169"/>
    </row>
    <row r="1441" spans="19:55" ht="15.75" customHeight="1">
      <c r="S1441" s="454"/>
      <c r="BC1441" s="169"/>
    </row>
    <row r="1442" spans="19:55" ht="15.75" customHeight="1">
      <c r="S1442" s="454"/>
      <c r="BC1442" s="169"/>
    </row>
    <row r="1443" spans="19:55" ht="15.75" customHeight="1">
      <c r="S1443" s="454"/>
      <c r="BC1443" s="169"/>
    </row>
    <row r="1444" spans="19:55" ht="15.75" customHeight="1">
      <c r="S1444" s="454"/>
      <c r="BC1444" s="169"/>
    </row>
    <row r="1445" spans="19:55" ht="15.75" customHeight="1">
      <c r="S1445" s="454"/>
      <c r="BC1445" s="169"/>
    </row>
    <row r="1446" spans="19:55" ht="15.75" customHeight="1">
      <c r="S1446" s="454"/>
      <c r="BC1446" s="169"/>
    </row>
    <row r="1447" spans="19:55" ht="15.75" customHeight="1">
      <c r="S1447" s="454"/>
      <c r="BC1447" s="169"/>
    </row>
    <row r="1448" spans="19:55" ht="15.75" customHeight="1">
      <c r="S1448" s="454"/>
      <c r="BC1448" s="169"/>
    </row>
    <row r="1449" spans="19:55" ht="15.75" customHeight="1">
      <c r="S1449" s="454"/>
      <c r="BC1449" s="169"/>
    </row>
    <row r="1450" spans="19:55" ht="15.75" customHeight="1">
      <c r="S1450" s="454"/>
      <c r="BC1450" s="169"/>
    </row>
    <row r="1451" spans="19:55" ht="15.75" customHeight="1">
      <c r="S1451" s="454"/>
      <c r="BC1451" s="169"/>
    </row>
    <row r="1452" spans="19:55" ht="15.75" customHeight="1">
      <c r="S1452" s="454"/>
      <c r="BC1452" s="169"/>
    </row>
    <row r="1453" spans="19:55" ht="15.75" customHeight="1">
      <c r="S1453" s="454"/>
      <c r="BC1453" s="169"/>
    </row>
    <row r="1454" spans="19:55" ht="15.75" customHeight="1">
      <c r="S1454" s="454"/>
      <c r="BC1454" s="169"/>
    </row>
    <row r="1455" spans="19:55" ht="15.75" customHeight="1">
      <c r="S1455" s="454"/>
      <c r="BC1455" s="169"/>
    </row>
    <row r="1456" spans="19:55" ht="15.75" customHeight="1">
      <c r="S1456" s="454"/>
      <c r="BC1456" s="169"/>
    </row>
    <row r="1457" spans="19:55" ht="15.75" customHeight="1">
      <c r="S1457" s="454"/>
      <c r="BC1457" s="169"/>
    </row>
    <row r="1458" spans="19:55" ht="15.75" customHeight="1">
      <c r="S1458" s="454"/>
      <c r="BC1458" s="169"/>
    </row>
    <row r="1459" spans="19:55" ht="15.75" customHeight="1">
      <c r="S1459" s="454"/>
      <c r="BC1459" s="169"/>
    </row>
    <row r="1460" spans="19:55" ht="15.75" customHeight="1">
      <c r="S1460" s="454"/>
      <c r="BC1460" s="169"/>
    </row>
    <row r="1461" spans="19:55" ht="15.75" customHeight="1">
      <c r="S1461" s="454"/>
      <c r="BC1461" s="169"/>
    </row>
    <row r="1462" spans="19:55" ht="15.75" customHeight="1">
      <c r="S1462" s="454"/>
      <c r="BC1462" s="169"/>
    </row>
    <row r="1463" spans="19:55" ht="15.75" customHeight="1">
      <c r="S1463" s="454"/>
      <c r="BC1463" s="169"/>
    </row>
    <row r="1464" spans="19:55" ht="15.75" customHeight="1">
      <c r="S1464" s="454"/>
      <c r="BC1464" s="169"/>
    </row>
    <row r="1465" spans="19:55" ht="15.75" customHeight="1">
      <c r="S1465" s="454"/>
      <c r="BC1465" s="169"/>
    </row>
    <row r="1466" spans="19:55" ht="15.75" customHeight="1">
      <c r="S1466" s="454"/>
      <c r="BC1466" s="169"/>
    </row>
    <row r="1467" spans="19:55" ht="15.75" customHeight="1">
      <c r="S1467" s="454"/>
      <c r="BC1467" s="169"/>
    </row>
    <row r="1468" spans="19:55" ht="15.75" customHeight="1">
      <c r="S1468" s="454"/>
      <c r="BC1468" s="169"/>
    </row>
    <row r="1469" spans="19:55" ht="15.75" customHeight="1">
      <c r="S1469" s="454"/>
      <c r="BC1469" s="169"/>
    </row>
    <row r="1470" spans="19:55" ht="15.75" customHeight="1">
      <c r="S1470" s="454"/>
      <c r="BC1470" s="169"/>
    </row>
    <row r="1471" spans="19:55" ht="15.75" customHeight="1">
      <c r="S1471" s="454"/>
      <c r="BC1471" s="169"/>
    </row>
    <row r="1472" spans="19:55" ht="15.75" customHeight="1">
      <c r="S1472" s="454"/>
      <c r="BC1472" s="169"/>
    </row>
    <row r="1473" spans="19:55" ht="15.75" customHeight="1">
      <c r="S1473" s="454"/>
      <c r="BC1473" s="169"/>
    </row>
    <row r="1474" spans="19:55" ht="15.75" customHeight="1">
      <c r="S1474" s="454"/>
      <c r="BC1474" s="169"/>
    </row>
    <row r="1475" spans="19:55" ht="15.75" customHeight="1">
      <c r="S1475" s="454"/>
      <c r="BC1475" s="169"/>
    </row>
    <row r="1476" spans="19:55" ht="15.75" customHeight="1">
      <c r="S1476" s="454"/>
      <c r="BC1476" s="169"/>
    </row>
    <row r="1477" spans="19:55" ht="15.75" customHeight="1">
      <c r="S1477" s="454"/>
      <c r="BC1477" s="169"/>
    </row>
    <row r="1478" spans="19:55" ht="15.75" customHeight="1">
      <c r="S1478" s="454"/>
      <c r="BC1478" s="169"/>
    </row>
    <row r="1479" spans="19:55" ht="15.75" customHeight="1">
      <c r="S1479" s="454"/>
      <c r="BC1479" s="169"/>
    </row>
    <row r="1480" spans="19:55" ht="15.75" customHeight="1">
      <c r="S1480" s="454"/>
      <c r="BC1480" s="169"/>
    </row>
    <row r="1481" spans="19:55" ht="15.75" customHeight="1">
      <c r="S1481" s="454"/>
      <c r="BC1481" s="169"/>
    </row>
    <row r="1482" spans="19:55" ht="15.75" customHeight="1">
      <c r="S1482" s="454"/>
      <c r="BC1482" s="169"/>
    </row>
    <row r="1483" spans="19:55" ht="15.75" customHeight="1">
      <c r="S1483" s="454"/>
      <c r="BC1483" s="169"/>
    </row>
    <row r="1484" spans="19:55" ht="15.75" customHeight="1">
      <c r="S1484" s="454"/>
      <c r="BC1484" s="169"/>
    </row>
    <row r="1485" spans="19:55" ht="15.75" customHeight="1">
      <c r="S1485" s="454"/>
      <c r="BC1485" s="169"/>
    </row>
    <row r="1486" spans="19:55" ht="15.75" customHeight="1">
      <c r="S1486" s="454"/>
      <c r="BC1486" s="169"/>
    </row>
    <row r="1487" spans="19:55" ht="15.75" customHeight="1">
      <c r="S1487" s="454"/>
      <c r="BC1487" s="169"/>
    </row>
    <row r="1488" spans="19:55" ht="15.75" customHeight="1">
      <c r="S1488" s="454"/>
      <c r="BC1488" s="169"/>
    </row>
    <row r="1489" spans="19:55" ht="15.75" customHeight="1">
      <c r="S1489" s="454"/>
      <c r="BC1489" s="169"/>
    </row>
    <row r="1490" spans="19:55" ht="15.75" customHeight="1">
      <c r="S1490" s="454"/>
      <c r="BC1490" s="169"/>
    </row>
    <row r="1491" spans="19:55" ht="15.75" customHeight="1">
      <c r="S1491" s="454"/>
      <c r="BC1491" s="169"/>
    </row>
    <row r="1492" spans="19:55" ht="15.75" customHeight="1">
      <c r="BC1492" s="169"/>
    </row>
    <row r="1493" spans="19:55" ht="15.75" customHeight="1">
      <c r="BC1493" s="169"/>
    </row>
    <row r="1494" spans="19:55" ht="15.75" customHeight="1">
      <c r="BC1494" s="169"/>
    </row>
    <row r="1495" spans="19:55" ht="15.75" customHeight="1">
      <c r="BC1495" s="169"/>
    </row>
    <row r="1496" spans="19:55" ht="15.75" customHeight="1">
      <c r="BC1496" s="169"/>
    </row>
    <row r="1497" spans="19:55" ht="15.75" customHeight="1">
      <c r="BC1497" s="169"/>
    </row>
    <row r="1498" spans="19:55" ht="15.75" customHeight="1">
      <c r="BC1498" s="169"/>
    </row>
    <row r="1499" spans="19:55" ht="15.75" customHeight="1">
      <c r="BC1499" s="169"/>
    </row>
    <row r="1500" spans="19:55" ht="15.75" customHeight="1">
      <c r="BC1500" s="169"/>
    </row>
    <row r="1501" spans="19:55" ht="15.75" customHeight="1">
      <c r="BC1501" s="169"/>
    </row>
    <row r="1502" spans="19:55" ht="15.75" customHeight="1">
      <c r="BC1502" s="169"/>
    </row>
    <row r="1503" spans="19:55" ht="15.75" customHeight="1">
      <c r="BC1503" s="169"/>
    </row>
    <row r="1504" spans="19:55" ht="15.75" customHeight="1">
      <c r="BC1504" s="169"/>
    </row>
    <row r="1505" spans="55:55" ht="15.75" customHeight="1">
      <c r="BC1505" s="169"/>
    </row>
    <row r="1506" spans="55:55" ht="15.75" customHeight="1">
      <c r="BC1506" s="169"/>
    </row>
    <row r="1507" spans="55:55" ht="15.75" customHeight="1">
      <c r="BC1507" s="169"/>
    </row>
    <row r="1508" spans="55:55" ht="15.75" customHeight="1">
      <c r="BC1508" s="169"/>
    </row>
    <row r="1509" spans="55:55" ht="15.75" customHeight="1">
      <c r="BC1509" s="169"/>
    </row>
    <row r="1510" spans="55:55" ht="15.75" customHeight="1">
      <c r="BC1510" s="169"/>
    </row>
    <row r="1511" spans="55:55" ht="15.75" customHeight="1">
      <c r="BC1511" s="169"/>
    </row>
    <row r="1512" spans="55:55" ht="15.75" customHeight="1">
      <c r="BC1512" s="169"/>
    </row>
    <row r="1513" spans="55:55" ht="15.75" customHeight="1">
      <c r="BC1513" s="169"/>
    </row>
    <row r="1514" spans="55:55" ht="15.75" customHeight="1">
      <c r="BC1514" s="169"/>
    </row>
    <row r="1515" spans="55:55" ht="15.75" customHeight="1">
      <c r="BC1515" s="169"/>
    </row>
    <row r="1516" spans="55:55" ht="15.75" customHeight="1">
      <c r="BC1516" s="169"/>
    </row>
    <row r="1517" spans="55:55" ht="15.75" customHeight="1">
      <c r="BC1517" s="169"/>
    </row>
    <row r="1518" spans="55:55" ht="15.75" customHeight="1">
      <c r="BC1518" s="169"/>
    </row>
    <row r="1519" spans="55:55" ht="15.75" customHeight="1">
      <c r="BC1519" s="169"/>
    </row>
    <row r="1520" spans="55:55" ht="15.75" customHeight="1">
      <c r="BC1520" s="169"/>
    </row>
    <row r="1521" spans="55:55" ht="15.75" customHeight="1">
      <c r="BC1521" s="169"/>
    </row>
    <row r="1522" spans="55:55" ht="15.75" customHeight="1">
      <c r="BC1522" s="169"/>
    </row>
    <row r="1523" spans="55:55" ht="15.75" customHeight="1">
      <c r="BC1523" s="169"/>
    </row>
    <row r="1524" spans="55:55" ht="15.75" customHeight="1">
      <c r="BC1524" s="169"/>
    </row>
    <row r="1525" spans="55:55" ht="15.75" customHeight="1">
      <c r="BC1525" s="169"/>
    </row>
    <row r="1526" spans="55:55" ht="15.75" customHeight="1">
      <c r="BC1526" s="169"/>
    </row>
    <row r="1527" spans="55:55" ht="15.75" customHeight="1">
      <c r="BC1527" s="169"/>
    </row>
    <row r="1528" spans="55:55" ht="15.75" customHeight="1">
      <c r="BC1528" s="169"/>
    </row>
    <row r="1529" spans="55:55" ht="15.75" customHeight="1">
      <c r="BC1529" s="169"/>
    </row>
    <row r="1530" spans="55:55" ht="15.75" customHeight="1">
      <c r="BC1530" s="169"/>
    </row>
    <row r="1531" spans="55:55" ht="15.75" customHeight="1">
      <c r="BC1531" s="169"/>
    </row>
    <row r="1532" spans="55:55" ht="15.75" customHeight="1">
      <c r="BC1532" s="169"/>
    </row>
    <row r="1533" spans="55:55" ht="15.75" customHeight="1">
      <c r="BC1533" s="169"/>
    </row>
    <row r="1534" spans="55:55" ht="15.75" customHeight="1">
      <c r="BC1534" s="169"/>
    </row>
    <row r="1535" spans="55:55" ht="15.75" customHeight="1">
      <c r="BC1535" s="169"/>
    </row>
    <row r="1536" spans="55:55" ht="15.75" customHeight="1">
      <c r="BC1536" s="169"/>
    </row>
    <row r="1537" spans="55:55" ht="15.75" customHeight="1">
      <c r="BC1537" s="169"/>
    </row>
    <row r="1538" spans="55:55" ht="15.75" customHeight="1">
      <c r="BC1538" s="169"/>
    </row>
    <row r="1539" spans="55:55" ht="15.75" customHeight="1">
      <c r="BC1539" s="169"/>
    </row>
    <row r="1540" spans="55:55" ht="15.75" customHeight="1">
      <c r="BC1540" s="169"/>
    </row>
    <row r="1541" spans="55:55" ht="15.75" customHeight="1">
      <c r="BC1541" s="169"/>
    </row>
    <row r="1542" spans="55:55" ht="15.75" customHeight="1">
      <c r="BC1542" s="169"/>
    </row>
    <row r="1543" spans="55:55" ht="15.75" customHeight="1">
      <c r="BC1543" s="169"/>
    </row>
    <row r="1544" spans="55:55" ht="15.75" customHeight="1">
      <c r="BC1544" s="169"/>
    </row>
    <row r="1545" spans="55:55" ht="15.75" customHeight="1">
      <c r="BC1545" s="169"/>
    </row>
    <row r="1546" spans="55:55" ht="15.75" customHeight="1">
      <c r="BC1546" s="169"/>
    </row>
    <row r="1547" spans="55:55" ht="15.75" customHeight="1">
      <c r="BC1547" s="169"/>
    </row>
    <row r="1548" spans="55:55" ht="15.75" customHeight="1">
      <c r="BC1548" s="169"/>
    </row>
    <row r="1549" spans="55:55" ht="15.75" customHeight="1">
      <c r="BC1549" s="169"/>
    </row>
    <row r="1550" spans="55:55" ht="15.75" customHeight="1">
      <c r="BC1550" s="169"/>
    </row>
    <row r="1551" spans="55:55" ht="15.75" customHeight="1">
      <c r="BC1551" s="169"/>
    </row>
    <row r="1552" spans="55:55" ht="15.75" customHeight="1">
      <c r="BC1552" s="169"/>
    </row>
    <row r="1553" spans="55:55" ht="15.75" customHeight="1">
      <c r="BC1553" s="169"/>
    </row>
    <row r="1554" spans="55:55" ht="15.75" customHeight="1">
      <c r="BC1554" s="169"/>
    </row>
    <row r="1555" spans="55:55" ht="15.75" customHeight="1">
      <c r="BC1555" s="169"/>
    </row>
    <row r="1556" spans="55:55" ht="15.75" customHeight="1">
      <c r="BC1556" s="169"/>
    </row>
    <row r="1557" spans="55:55" ht="15.75" customHeight="1">
      <c r="BC1557" s="169"/>
    </row>
    <row r="1558" spans="55:55" ht="15.75" customHeight="1">
      <c r="BC1558" s="169"/>
    </row>
    <row r="1559" spans="55:55" ht="15.75" customHeight="1">
      <c r="BC1559" s="169"/>
    </row>
    <row r="1560" spans="55:55" ht="15.75" customHeight="1">
      <c r="BC1560" s="169"/>
    </row>
    <row r="1561" spans="55:55" ht="15.75" customHeight="1">
      <c r="BC1561" s="169"/>
    </row>
    <row r="1562" spans="55:55" ht="15.75" customHeight="1">
      <c r="BC1562" s="169"/>
    </row>
    <row r="1563" spans="55:55" ht="15.75" customHeight="1">
      <c r="BC1563" s="169"/>
    </row>
    <row r="1564" spans="55:55" ht="15.75" customHeight="1">
      <c r="BC1564" s="169"/>
    </row>
    <row r="1565" spans="55:55" ht="15.75" customHeight="1">
      <c r="BC1565" s="169"/>
    </row>
    <row r="1566" spans="55:55" ht="15.75" customHeight="1">
      <c r="BC1566" s="169"/>
    </row>
    <row r="1567" spans="55:55" ht="15.75" customHeight="1">
      <c r="BC1567" s="169"/>
    </row>
    <row r="1568" spans="55:55" ht="15.75" customHeight="1">
      <c r="BC1568" s="169"/>
    </row>
    <row r="1569" spans="55:55" ht="15.75" customHeight="1">
      <c r="BC1569" s="169"/>
    </row>
    <row r="1570" spans="55:55" ht="15.75" customHeight="1">
      <c r="BC1570" s="169"/>
    </row>
    <row r="1571" spans="55:55" ht="15.75" customHeight="1">
      <c r="BC1571" s="169"/>
    </row>
    <row r="1572" spans="55:55" ht="15.75" customHeight="1">
      <c r="BC1572" s="169"/>
    </row>
    <row r="1573" spans="55:55" ht="15.75" customHeight="1">
      <c r="BC1573" s="169"/>
    </row>
    <row r="1574" spans="55:55" ht="15.75" customHeight="1">
      <c r="BC1574" s="169"/>
    </row>
    <row r="1575" spans="55:55" ht="15.75" customHeight="1">
      <c r="BC1575" s="169"/>
    </row>
    <row r="1576" spans="55:55" ht="15.75" customHeight="1">
      <c r="BC1576" s="169"/>
    </row>
    <row r="1577" spans="55:55" ht="15.75" customHeight="1">
      <c r="BC1577" s="169"/>
    </row>
    <row r="1578" spans="55:55" ht="15.75" customHeight="1">
      <c r="BC1578" s="169"/>
    </row>
    <row r="1579" spans="55:55" ht="15.75" customHeight="1">
      <c r="BC1579" s="169"/>
    </row>
    <row r="1580" spans="55:55" ht="15.75" customHeight="1">
      <c r="BC1580" s="169"/>
    </row>
    <row r="1581" spans="55:55" ht="15.75" customHeight="1">
      <c r="BC1581" s="169"/>
    </row>
    <row r="1582" spans="55:55" ht="15.75" customHeight="1">
      <c r="BC1582" s="169"/>
    </row>
    <row r="1583" spans="55:55" ht="15.75" customHeight="1">
      <c r="BC1583" s="169"/>
    </row>
    <row r="1584" spans="55:55" ht="15.75" customHeight="1">
      <c r="BC1584" s="169"/>
    </row>
    <row r="1585" spans="55:55" ht="15.75" customHeight="1">
      <c r="BC1585" s="169"/>
    </row>
    <row r="1586" spans="55:55" ht="15.75" customHeight="1">
      <c r="BC1586" s="169"/>
    </row>
    <row r="1587" spans="55:55" ht="15.75" customHeight="1">
      <c r="BC1587" s="169"/>
    </row>
    <row r="1588" spans="55:55" ht="15.75" customHeight="1">
      <c r="BC1588" s="169"/>
    </row>
    <row r="1589" spans="55:55" ht="15.75" customHeight="1">
      <c r="BC1589" s="169"/>
    </row>
    <row r="1590" spans="55:55" ht="15.75" customHeight="1">
      <c r="BC1590" s="169"/>
    </row>
    <row r="1591" spans="55:55" ht="15.75" customHeight="1">
      <c r="BC1591" s="169"/>
    </row>
    <row r="1592" spans="55:55" ht="15.75" customHeight="1">
      <c r="BC1592" s="169"/>
    </row>
    <row r="1593" spans="55:55" ht="15.75" customHeight="1">
      <c r="BC1593" s="169"/>
    </row>
    <row r="1594" spans="55:55" ht="15.75" customHeight="1">
      <c r="BC1594" s="169"/>
    </row>
    <row r="1595" spans="55:55" ht="15.75" customHeight="1">
      <c r="BC1595" s="169"/>
    </row>
    <row r="1596" spans="55:55" ht="15.75" customHeight="1">
      <c r="BC1596" s="169"/>
    </row>
    <row r="1597" spans="55:55" ht="15.75" customHeight="1">
      <c r="BC1597" s="169"/>
    </row>
    <row r="1598" spans="55:55" ht="15.75" customHeight="1">
      <c r="BC1598" s="169"/>
    </row>
    <row r="1599" spans="55:55" ht="15.75" customHeight="1">
      <c r="BC1599" s="169"/>
    </row>
    <row r="1600" spans="55:55" ht="15.75" customHeight="1">
      <c r="BC1600" s="169"/>
    </row>
    <row r="1601" spans="55:55" ht="15.75" customHeight="1">
      <c r="BC1601" s="169"/>
    </row>
    <row r="1602" spans="55:55" ht="15.75" customHeight="1">
      <c r="BC1602" s="169"/>
    </row>
    <row r="1603" spans="55:55" ht="15.75" customHeight="1">
      <c r="BC1603" s="169"/>
    </row>
    <row r="1604" spans="55:55" ht="15.75" customHeight="1">
      <c r="BC1604" s="169"/>
    </row>
    <row r="1605" spans="55:55" ht="15.75" customHeight="1">
      <c r="BC1605" s="169"/>
    </row>
    <row r="1606" spans="55:55" ht="15.75" customHeight="1">
      <c r="BC1606" s="169"/>
    </row>
    <row r="1607" spans="55:55" ht="15.75" customHeight="1">
      <c r="BC1607" s="169"/>
    </row>
    <row r="1608" spans="55:55" ht="15.75" customHeight="1">
      <c r="BC1608" s="169"/>
    </row>
    <row r="1609" spans="55:55" ht="15.75" customHeight="1">
      <c r="BC1609" s="169"/>
    </row>
    <row r="1610" spans="55:55" ht="15.75" customHeight="1">
      <c r="BC1610" s="169"/>
    </row>
    <row r="1611" spans="55:55" ht="15.75" customHeight="1">
      <c r="BC1611" s="169"/>
    </row>
    <row r="1612" spans="55:55" ht="15.75" customHeight="1">
      <c r="BC1612" s="169"/>
    </row>
    <row r="1613" spans="55:55" ht="15.75" customHeight="1">
      <c r="BC1613" s="169"/>
    </row>
    <row r="1614" spans="55:55" ht="15.75" customHeight="1">
      <c r="BC1614" s="169"/>
    </row>
    <row r="1615" spans="55:55" ht="15.75" customHeight="1">
      <c r="BC1615" s="169"/>
    </row>
    <row r="1616" spans="55:55" ht="15.75" customHeight="1">
      <c r="BC1616" s="169"/>
    </row>
    <row r="1617" spans="55:55" ht="15.75" customHeight="1">
      <c r="BC1617" s="169"/>
    </row>
    <row r="1618" spans="55:55" ht="15.75" customHeight="1">
      <c r="BC1618" s="169"/>
    </row>
    <row r="1619" spans="55:55" ht="15.75" customHeight="1">
      <c r="BC1619" s="169"/>
    </row>
    <row r="1620" spans="55:55" ht="15.75" customHeight="1">
      <c r="BC1620" s="169"/>
    </row>
    <row r="1621" spans="55:55" ht="15.75" customHeight="1">
      <c r="BC1621" s="169"/>
    </row>
    <row r="1622" spans="55:55" ht="15.75" customHeight="1">
      <c r="BC1622" s="169"/>
    </row>
    <row r="1623" spans="55:55" ht="15.75" customHeight="1">
      <c r="BC1623" s="169"/>
    </row>
    <row r="1624" spans="55:55" ht="15.75" customHeight="1">
      <c r="BC1624" s="169"/>
    </row>
    <row r="1625" spans="55:55" ht="15.75" customHeight="1">
      <c r="BC1625" s="169"/>
    </row>
    <row r="1626" spans="55:55" ht="15.75" customHeight="1">
      <c r="BC1626" s="169"/>
    </row>
    <row r="1627" spans="55:55" ht="15.75" customHeight="1">
      <c r="BC1627" s="169"/>
    </row>
    <row r="1628" spans="55:55" ht="15.75" customHeight="1">
      <c r="BC1628" s="169"/>
    </row>
    <row r="1629" spans="55:55" ht="15.75" customHeight="1">
      <c r="BC1629" s="169"/>
    </row>
    <row r="1630" spans="55:55" ht="15.75" customHeight="1">
      <c r="BC1630" s="169"/>
    </row>
    <row r="1631" spans="55:55" ht="15.75" customHeight="1">
      <c r="BC1631" s="169"/>
    </row>
    <row r="1632" spans="55:55" ht="15.75" customHeight="1">
      <c r="BC1632" s="169"/>
    </row>
    <row r="1633" spans="55:55" ht="15.75" customHeight="1">
      <c r="BC1633" s="169"/>
    </row>
    <row r="1634" spans="55:55" ht="15.75" customHeight="1">
      <c r="BC1634" s="169"/>
    </row>
    <row r="1635" spans="55:55" ht="15.75" customHeight="1">
      <c r="BC1635" s="169"/>
    </row>
    <row r="1636" spans="55:55" ht="15.75" customHeight="1">
      <c r="BC1636" s="169"/>
    </row>
    <row r="1637" spans="55:55" ht="15.75" customHeight="1">
      <c r="BC1637" s="169"/>
    </row>
    <row r="1638" spans="55:55" ht="15.75" customHeight="1">
      <c r="BC1638" s="169"/>
    </row>
    <row r="1639" spans="55:55" ht="15.75" customHeight="1">
      <c r="BC1639" s="169"/>
    </row>
    <row r="1640" spans="55:55" ht="15.75" customHeight="1">
      <c r="BC1640" s="169"/>
    </row>
    <row r="1641" spans="55:55" ht="15.75" customHeight="1">
      <c r="BC1641" s="169"/>
    </row>
    <row r="1642" spans="55:55" ht="15.75" customHeight="1">
      <c r="BC1642" s="169"/>
    </row>
    <row r="1643" spans="55:55" ht="15.75" customHeight="1">
      <c r="BC1643" s="169"/>
    </row>
    <row r="1644" spans="55:55" ht="15.75" customHeight="1">
      <c r="BC1644" s="169"/>
    </row>
    <row r="1645" spans="55:55" ht="15.75" customHeight="1">
      <c r="BC1645" s="169"/>
    </row>
    <row r="1646" spans="55:55" ht="15.75" customHeight="1">
      <c r="BC1646" s="169"/>
    </row>
    <row r="1647" spans="55:55" ht="15.75" customHeight="1">
      <c r="BC1647" s="169"/>
    </row>
    <row r="1648" spans="55:55" ht="15.75" customHeight="1">
      <c r="BC1648" s="169"/>
    </row>
    <row r="1649" spans="55:55" ht="15.75" customHeight="1">
      <c r="BC1649" s="169"/>
    </row>
    <row r="1650" spans="55:55" ht="15.75" customHeight="1">
      <c r="BC1650" s="169"/>
    </row>
    <row r="1651" spans="55:55" ht="15.75" customHeight="1">
      <c r="BC1651" s="169"/>
    </row>
    <row r="1652" spans="55:55" ht="15.75" customHeight="1">
      <c r="BC1652" s="169"/>
    </row>
    <row r="1653" spans="55:55" ht="15.75" customHeight="1">
      <c r="BC1653" s="169"/>
    </row>
    <row r="1654" spans="55:55" ht="15.75" customHeight="1">
      <c r="BC1654" s="169"/>
    </row>
    <row r="1655" spans="55:55" ht="15.75" customHeight="1">
      <c r="BC1655" s="169"/>
    </row>
    <row r="1656" spans="55:55" ht="15.75" customHeight="1">
      <c r="BC1656" s="169"/>
    </row>
    <row r="1657" spans="55:55" ht="15.75" customHeight="1">
      <c r="BC1657" s="169"/>
    </row>
    <row r="1658" spans="55:55" ht="15.75" customHeight="1">
      <c r="BC1658" s="169"/>
    </row>
    <row r="1659" spans="55:55" ht="15.75" customHeight="1">
      <c r="BC1659" s="169"/>
    </row>
    <row r="1660" spans="55:55" ht="15.75" customHeight="1">
      <c r="BC1660" s="169"/>
    </row>
    <row r="1661" spans="55:55" ht="15.75" customHeight="1">
      <c r="BC1661" s="169"/>
    </row>
    <row r="1662" spans="55:55" ht="15.75" customHeight="1">
      <c r="BC1662" s="169"/>
    </row>
    <row r="1663" spans="55:55" ht="15.75" customHeight="1">
      <c r="BC1663" s="169"/>
    </row>
    <row r="1664" spans="55:55" ht="15.75" customHeight="1">
      <c r="BC1664" s="169"/>
    </row>
    <row r="1665" spans="55:55" ht="15.75" customHeight="1">
      <c r="BC1665" s="169"/>
    </row>
    <row r="1666" spans="55:55" ht="15.75" customHeight="1">
      <c r="BC1666" s="169"/>
    </row>
    <row r="1667" spans="55:55" ht="15.75" customHeight="1">
      <c r="BC1667" s="169"/>
    </row>
    <row r="1668" spans="55:55" ht="15.75" customHeight="1">
      <c r="BC1668" s="169"/>
    </row>
    <row r="1669" spans="55:55" ht="15.75" customHeight="1">
      <c r="BC1669" s="169"/>
    </row>
    <row r="1670" spans="55:55" ht="15.75" customHeight="1">
      <c r="BC1670" s="169"/>
    </row>
    <row r="1671" spans="55:55" ht="15.75" customHeight="1">
      <c r="BC1671" s="169"/>
    </row>
    <row r="1672" spans="55:55" ht="15.75" customHeight="1">
      <c r="BC1672" s="169"/>
    </row>
    <row r="1673" spans="55:55" ht="15.75" customHeight="1">
      <c r="BC1673" s="169"/>
    </row>
    <row r="1674" spans="55:55" ht="15.75" customHeight="1">
      <c r="BC1674" s="169"/>
    </row>
    <row r="1675" spans="55:55" ht="15.75" customHeight="1">
      <c r="BC1675" s="169"/>
    </row>
    <row r="1676" spans="55:55" ht="15.75" customHeight="1">
      <c r="BC1676" s="169"/>
    </row>
    <row r="1677" spans="55:55" ht="15.75" customHeight="1">
      <c r="BC1677" s="169"/>
    </row>
    <row r="1678" spans="55:55" ht="15.75" customHeight="1">
      <c r="BC1678" s="169"/>
    </row>
    <row r="1679" spans="55:55" ht="15.75" customHeight="1">
      <c r="BC1679" s="169"/>
    </row>
    <row r="1680" spans="55:55" ht="15.75" customHeight="1">
      <c r="BC1680" s="169"/>
    </row>
    <row r="1681" spans="55:55" ht="15.75" customHeight="1">
      <c r="BC1681" s="169"/>
    </row>
    <row r="1682" spans="55:55" ht="15.75" customHeight="1">
      <c r="BC1682" s="169"/>
    </row>
    <row r="1683" spans="55:55" ht="15.75" customHeight="1">
      <c r="BC1683" s="169"/>
    </row>
    <row r="1684" spans="55:55" ht="15.75" customHeight="1">
      <c r="BC1684" s="169"/>
    </row>
    <row r="1685" spans="55:55" ht="15.75" customHeight="1">
      <c r="BC1685" s="169"/>
    </row>
    <row r="1686" spans="55:55" ht="15.75" customHeight="1">
      <c r="BC1686" s="169"/>
    </row>
    <row r="1687" spans="55:55" ht="15.75" customHeight="1">
      <c r="BC1687" s="169"/>
    </row>
    <row r="1688" spans="55:55" ht="15.75" customHeight="1">
      <c r="BC1688" s="169"/>
    </row>
    <row r="1689" spans="55:55" ht="15.75" customHeight="1">
      <c r="BC1689" s="169"/>
    </row>
    <row r="1690" spans="55:55" ht="15.75" customHeight="1">
      <c r="BC1690" s="169"/>
    </row>
    <row r="1691" spans="55:55" ht="15.75" customHeight="1">
      <c r="BC1691" s="169"/>
    </row>
    <row r="1692" spans="55:55" ht="15.75" customHeight="1">
      <c r="BC1692" s="169"/>
    </row>
    <row r="1693" spans="55:55" ht="15.75" customHeight="1">
      <c r="BC1693" s="169"/>
    </row>
    <row r="1694" spans="55:55" ht="15.75" customHeight="1">
      <c r="BC1694" s="169"/>
    </row>
    <row r="1695" spans="55:55" ht="15.75" customHeight="1">
      <c r="BC1695" s="169"/>
    </row>
    <row r="1696" spans="55:55" ht="15.75" customHeight="1">
      <c r="BC1696" s="169"/>
    </row>
    <row r="1697" spans="55:55" ht="15.75" customHeight="1">
      <c r="BC1697" s="169"/>
    </row>
    <row r="1698" spans="55:55" ht="15.75" customHeight="1">
      <c r="BC1698" s="169"/>
    </row>
    <row r="1699" spans="55:55" ht="15.75" customHeight="1">
      <c r="BC1699" s="169"/>
    </row>
    <row r="1700" spans="55:55" ht="15.75" customHeight="1">
      <c r="BC1700" s="169"/>
    </row>
    <row r="1701" spans="55:55" ht="15.75" customHeight="1">
      <c r="BC1701" s="169"/>
    </row>
    <row r="1702" spans="55:55" ht="15.75" customHeight="1">
      <c r="BC1702" s="169"/>
    </row>
    <row r="1703" spans="55:55" ht="15.75" customHeight="1">
      <c r="BC1703" s="169"/>
    </row>
    <row r="1704" spans="55:55" ht="15.75" customHeight="1">
      <c r="BC1704" s="169"/>
    </row>
    <row r="1705" spans="55:55" ht="15.75" customHeight="1">
      <c r="BC1705" s="169"/>
    </row>
    <row r="1706" spans="55:55" ht="15.75" customHeight="1">
      <c r="BC1706" s="169"/>
    </row>
    <row r="1707" spans="55:55" ht="15.75" customHeight="1">
      <c r="BC1707" s="169"/>
    </row>
    <row r="1708" spans="55:55" ht="15.75" customHeight="1">
      <c r="BC1708" s="169"/>
    </row>
    <row r="1709" spans="55:55" ht="15.75" customHeight="1">
      <c r="BC1709" s="169"/>
    </row>
    <row r="1710" spans="55:55" ht="15.75" customHeight="1">
      <c r="BC1710" s="169"/>
    </row>
    <row r="1711" spans="55:55" ht="15.75" customHeight="1">
      <c r="BC1711" s="169"/>
    </row>
    <row r="1712" spans="55:55" ht="15.75" customHeight="1">
      <c r="BC1712" s="169"/>
    </row>
    <row r="1713" spans="55:55" ht="15.75" customHeight="1">
      <c r="BC1713" s="169"/>
    </row>
    <row r="1714" spans="55:55" ht="15.75" customHeight="1">
      <c r="BC1714" s="169"/>
    </row>
    <row r="1715" spans="55:55" ht="15.75" customHeight="1">
      <c r="BC1715" s="169"/>
    </row>
    <row r="1716" spans="55:55" ht="15.75" customHeight="1">
      <c r="BC1716" s="169"/>
    </row>
    <row r="1717" spans="55:55" ht="15.75" customHeight="1">
      <c r="BC1717" s="169"/>
    </row>
    <row r="1718" spans="55:55" ht="15.75" customHeight="1">
      <c r="BC1718" s="169"/>
    </row>
    <row r="1719" spans="55:55" ht="15.75" customHeight="1">
      <c r="BC1719" s="169"/>
    </row>
    <row r="1720" spans="55:55" ht="15.75" customHeight="1">
      <c r="BC1720" s="169"/>
    </row>
    <row r="1721" spans="55:55" ht="15.75" customHeight="1">
      <c r="BC1721" s="169"/>
    </row>
    <row r="1722" spans="55:55" ht="15.75" customHeight="1">
      <c r="BC1722" s="169"/>
    </row>
    <row r="1723" spans="55:55" ht="15.75" customHeight="1">
      <c r="BC1723" s="169"/>
    </row>
    <row r="1724" spans="55:55" ht="15.75" customHeight="1">
      <c r="BC1724" s="169"/>
    </row>
    <row r="1725" spans="55:55" ht="15.75" customHeight="1">
      <c r="BC1725" s="169"/>
    </row>
    <row r="1726" spans="55:55" ht="15.75" customHeight="1">
      <c r="BC1726" s="169"/>
    </row>
    <row r="1727" spans="55:55" ht="15.75" customHeight="1">
      <c r="BC1727" s="169"/>
    </row>
    <row r="1728" spans="55:55" ht="15.75" customHeight="1">
      <c r="BC1728" s="169"/>
    </row>
    <row r="1729" spans="55:55" ht="15.75" customHeight="1">
      <c r="BC1729" s="169"/>
    </row>
    <row r="1730" spans="55:55" ht="15.75" customHeight="1">
      <c r="BC1730" s="169"/>
    </row>
    <row r="1731" spans="55:55" ht="15.75" customHeight="1">
      <c r="BC1731" s="169"/>
    </row>
    <row r="1732" spans="55:55" ht="15.75" customHeight="1">
      <c r="BC1732" s="169"/>
    </row>
    <row r="1733" spans="55:55" ht="15.75" customHeight="1">
      <c r="BC1733" s="169"/>
    </row>
    <row r="1734" spans="55:55" ht="15.75" customHeight="1">
      <c r="BC1734" s="169"/>
    </row>
    <row r="1735" spans="55:55" ht="15.75" customHeight="1">
      <c r="BC1735" s="169"/>
    </row>
    <row r="1736" spans="55:55" ht="15.75" customHeight="1">
      <c r="BC1736" s="169"/>
    </row>
    <row r="1737" spans="55:55" ht="15.75" customHeight="1">
      <c r="BC1737" s="169"/>
    </row>
    <row r="1738" spans="55:55" ht="15.75" customHeight="1">
      <c r="BC1738" s="169"/>
    </row>
    <row r="1739" spans="55:55" ht="15.75" customHeight="1">
      <c r="BC1739" s="169"/>
    </row>
    <row r="1740" spans="55:55" ht="15.75" customHeight="1">
      <c r="BC1740" s="169"/>
    </row>
    <row r="1741" spans="55:55" ht="15.75" customHeight="1">
      <c r="BC1741" s="169"/>
    </row>
    <row r="1742" spans="55:55" ht="15.75" customHeight="1">
      <c r="BC1742" s="169"/>
    </row>
    <row r="1743" spans="55:55" ht="15.75" customHeight="1">
      <c r="BC1743" s="169"/>
    </row>
    <row r="1744" spans="55:55" ht="15.75" customHeight="1">
      <c r="BC1744" s="169"/>
    </row>
    <row r="1745" spans="55:55" ht="15.75" customHeight="1">
      <c r="BC1745" s="169"/>
    </row>
    <row r="1746" spans="55:55" ht="15.75" customHeight="1">
      <c r="BC1746" s="169"/>
    </row>
    <row r="1747" spans="55:55" ht="15.75" customHeight="1">
      <c r="BC1747" s="169"/>
    </row>
    <row r="1748" spans="55:55" ht="15.75" customHeight="1">
      <c r="BC1748" s="169"/>
    </row>
    <row r="1749" spans="55:55" ht="15.75" customHeight="1">
      <c r="BC1749" s="169"/>
    </row>
    <row r="1750" spans="55:55" ht="15.75" customHeight="1">
      <c r="BC1750" s="169"/>
    </row>
    <row r="1751" spans="55:55" ht="15.75" customHeight="1">
      <c r="BC1751" s="169"/>
    </row>
    <row r="1752" spans="55:55" ht="15.75" customHeight="1">
      <c r="BC1752" s="169"/>
    </row>
    <row r="1753" spans="55:55" ht="15.75" customHeight="1">
      <c r="BC1753" s="169"/>
    </row>
    <row r="1754" spans="55:55" ht="15.75" customHeight="1">
      <c r="BC1754" s="169"/>
    </row>
    <row r="1755" spans="55:55" ht="15.75" customHeight="1">
      <c r="BC1755" s="169"/>
    </row>
    <row r="1756" spans="55:55" ht="15.75" customHeight="1">
      <c r="BC1756" s="169"/>
    </row>
    <row r="1757" spans="55:55" ht="15.75" customHeight="1">
      <c r="BC1757" s="169"/>
    </row>
    <row r="1758" spans="55:55" ht="15.75" customHeight="1">
      <c r="BC1758" s="169"/>
    </row>
    <row r="1759" spans="55:55" ht="15.75" customHeight="1">
      <c r="BC1759" s="169"/>
    </row>
    <row r="1760" spans="55:55" ht="15.75" customHeight="1">
      <c r="BC1760" s="169"/>
    </row>
    <row r="1761" spans="55:55" ht="15.75" customHeight="1">
      <c r="BC1761" s="169"/>
    </row>
    <row r="1762" spans="55:55" ht="15.75" customHeight="1">
      <c r="BC1762" s="169"/>
    </row>
    <row r="1763" spans="55:55" ht="15.75" customHeight="1">
      <c r="BC1763" s="169"/>
    </row>
    <row r="1764" spans="55:55" ht="15.75" customHeight="1">
      <c r="BC1764" s="169"/>
    </row>
    <row r="1765" spans="55:55" ht="15.75" customHeight="1">
      <c r="BC1765" s="169"/>
    </row>
    <row r="1766" spans="55:55" ht="15.75" customHeight="1">
      <c r="BC1766" s="169"/>
    </row>
    <row r="1767" spans="55:55" ht="15.75" customHeight="1">
      <c r="BC1767" s="169"/>
    </row>
    <row r="1768" spans="55:55" ht="15.75" customHeight="1">
      <c r="BC1768" s="169"/>
    </row>
    <row r="1769" spans="55:55" ht="15.75" customHeight="1">
      <c r="BC1769" s="169"/>
    </row>
    <row r="1770" spans="55:55" ht="15.75" customHeight="1">
      <c r="BC1770" s="169"/>
    </row>
    <row r="1771" spans="55:55" ht="15.75" customHeight="1">
      <c r="BC1771" s="169"/>
    </row>
    <row r="1772" spans="55:55" ht="15.75" customHeight="1">
      <c r="BC1772" s="169"/>
    </row>
    <row r="1773" spans="55:55" ht="15.75" customHeight="1">
      <c r="BC1773" s="169"/>
    </row>
    <row r="1774" spans="55:55" ht="15.75" customHeight="1">
      <c r="BC1774" s="169"/>
    </row>
    <row r="1775" spans="55:55" ht="15.75" customHeight="1">
      <c r="BC1775" s="169"/>
    </row>
    <row r="1776" spans="55:55" ht="15.75" customHeight="1">
      <c r="BC1776" s="169"/>
    </row>
    <row r="1777" spans="55:55" ht="15.75" customHeight="1">
      <c r="BC1777" s="169"/>
    </row>
    <row r="1778" spans="55:55" ht="15.75" customHeight="1">
      <c r="BC1778" s="169"/>
    </row>
    <row r="1779" spans="55:55" ht="15.75" customHeight="1">
      <c r="BC1779" s="169"/>
    </row>
    <row r="1780" spans="55:55" ht="15.75" customHeight="1">
      <c r="BC1780" s="169"/>
    </row>
    <row r="1781" spans="55:55" ht="15.75" customHeight="1">
      <c r="BC1781" s="169"/>
    </row>
    <row r="1782" spans="55:55" ht="15.75" customHeight="1">
      <c r="BC1782" s="169"/>
    </row>
    <row r="1783" spans="55:55" ht="15.75" customHeight="1">
      <c r="BC1783" s="169"/>
    </row>
    <row r="1784" spans="55:55" ht="15.75" customHeight="1">
      <c r="BC1784" s="169"/>
    </row>
    <row r="1785" spans="55:55" ht="15.75" customHeight="1">
      <c r="BC1785" s="169"/>
    </row>
    <row r="1786" spans="55:55" ht="15.75" customHeight="1">
      <c r="BC1786" s="169"/>
    </row>
    <row r="1787" spans="55:55" ht="15.75" customHeight="1">
      <c r="BC1787" s="169"/>
    </row>
    <row r="1788" spans="55:55" ht="15.75" customHeight="1">
      <c r="BC1788" s="169"/>
    </row>
    <row r="1789" spans="55:55" ht="15.75" customHeight="1">
      <c r="BC1789" s="169"/>
    </row>
    <row r="1790" spans="55:55" ht="15.75" customHeight="1">
      <c r="BC1790" s="169"/>
    </row>
    <row r="1791" spans="55:55" ht="15.75" customHeight="1">
      <c r="BC1791" s="169"/>
    </row>
    <row r="1792" spans="55:55" ht="15.75" customHeight="1">
      <c r="BC1792" s="169"/>
    </row>
    <row r="1793" spans="55:55" ht="15.75" customHeight="1">
      <c r="BC1793" s="169"/>
    </row>
    <row r="1794" spans="55:55" ht="15.75" customHeight="1">
      <c r="BC1794" s="169"/>
    </row>
    <row r="1795" spans="55:55" ht="15.75" customHeight="1">
      <c r="BC1795" s="169"/>
    </row>
    <row r="1796" spans="55:55" ht="15.75" customHeight="1">
      <c r="BC1796" s="169"/>
    </row>
    <row r="1797" spans="55:55" ht="15.75" customHeight="1">
      <c r="BC1797" s="169"/>
    </row>
    <row r="1798" spans="55:55" ht="15.75" customHeight="1">
      <c r="BC1798" s="169"/>
    </row>
    <row r="1799" spans="55:55" ht="15.75" customHeight="1">
      <c r="BC1799" s="169"/>
    </row>
    <row r="1800" spans="55:55" ht="15.75" customHeight="1">
      <c r="BC1800" s="169"/>
    </row>
    <row r="1801" spans="55:55" ht="15.75" customHeight="1">
      <c r="BC1801" s="169"/>
    </row>
    <row r="1802" spans="55:55" ht="15.75" customHeight="1">
      <c r="BC1802" s="169"/>
    </row>
    <row r="1803" spans="55:55" ht="15.75" customHeight="1">
      <c r="BC1803" s="169"/>
    </row>
    <row r="1804" spans="55:55" ht="15.75" customHeight="1">
      <c r="BC1804" s="169"/>
    </row>
    <row r="1805" spans="55:55" ht="15.75" customHeight="1">
      <c r="BC1805" s="169"/>
    </row>
    <row r="1806" spans="55:55" ht="15.75" customHeight="1">
      <c r="BC1806" s="169"/>
    </row>
    <row r="1807" spans="55:55" ht="15.75" customHeight="1">
      <c r="BC1807" s="169"/>
    </row>
    <row r="1808" spans="55:55" ht="15.75" customHeight="1">
      <c r="BC1808" s="169"/>
    </row>
    <row r="1809" spans="55:55" ht="15.75" customHeight="1">
      <c r="BC1809" s="169"/>
    </row>
    <row r="1810" spans="55:55" ht="15.75" customHeight="1">
      <c r="BC1810" s="169"/>
    </row>
    <row r="1811" spans="55:55" ht="15.75" customHeight="1">
      <c r="BC1811" s="169"/>
    </row>
    <row r="1812" spans="55:55" ht="15.75" customHeight="1">
      <c r="BC1812" s="169"/>
    </row>
    <row r="1813" spans="55:55" ht="15.75" customHeight="1">
      <c r="BC1813" s="169"/>
    </row>
    <row r="1814" spans="55:55" ht="15.75" customHeight="1">
      <c r="BC1814" s="169"/>
    </row>
    <row r="1815" spans="55:55" ht="15.75" customHeight="1">
      <c r="BC1815" s="169"/>
    </row>
    <row r="1816" spans="55:55" ht="15.75" customHeight="1">
      <c r="BC1816" s="169"/>
    </row>
    <row r="1817" spans="55:55" ht="15.75" customHeight="1">
      <c r="BC1817" s="169"/>
    </row>
    <row r="1818" spans="55:55" ht="15.75" customHeight="1">
      <c r="BC1818" s="169"/>
    </row>
    <row r="1819" spans="55:55" ht="15.75" customHeight="1">
      <c r="BC1819" s="169"/>
    </row>
    <row r="1820" spans="55:55" ht="15.75" customHeight="1">
      <c r="BC1820" s="169"/>
    </row>
    <row r="1821" spans="55:55" ht="15.75" customHeight="1">
      <c r="BC1821" s="169"/>
    </row>
    <row r="1822" spans="55:55" ht="15.75" customHeight="1">
      <c r="BC1822" s="169"/>
    </row>
    <row r="1823" spans="55:55" ht="15.75" customHeight="1">
      <c r="BC1823" s="169"/>
    </row>
    <row r="1824" spans="55:55" ht="15.75" customHeight="1">
      <c r="BC1824" s="169"/>
    </row>
    <row r="1825" spans="55:55" ht="15.75" customHeight="1">
      <c r="BC1825" s="169"/>
    </row>
    <row r="1826" spans="55:55" ht="15.75" customHeight="1">
      <c r="BC1826" s="169"/>
    </row>
    <row r="1827" spans="55:55" ht="15.75" customHeight="1">
      <c r="BC1827" s="169"/>
    </row>
    <row r="1828" spans="55:55" ht="15.75" customHeight="1">
      <c r="BC1828" s="169"/>
    </row>
    <row r="1829" spans="55:55" ht="15.75" customHeight="1">
      <c r="BC1829" s="169"/>
    </row>
    <row r="1830" spans="55:55" ht="15.75" customHeight="1">
      <c r="BC1830" s="169"/>
    </row>
    <row r="1831" spans="55:55" ht="15.75" customHeight="1">
      <c r="BC1831" s="169"/>
    </row>
    <row r="1832" spans="55:55" ht="15.75" customHeight="1">
      <c r="BC1832" s="169"/>
    </row>
    <row r="1833" spans="55:55" ht="15.75" customHeight="1">
      <c r="BC1833" s="169"/>
    </row>
    <row r="1834" spans="55:55" ht="15.75" customHeight="1">
      <c r="BC1834" s="169"/>
    </row>
    <row r="1835" spans="55:55" ht="15.75" customHeight="1">
      <c r="BC1835" s="169"/>
    </row>
    <row r="1836" spans="55:55" ht="15.75" customHeight="1">
      <c r="BC1836" s="169"/>
    </row>
    <row r="1837" spans="55:55" ht="15.75" customHeight="1">
      <c r="BC1837" s="169"/>
    </row>
    <row r="1838" spans="55:55" ht="15.75" customHeight="1">
      <c r="BC1838" s="169"/>
    </row>
    <row r="1839" spans="55:55" ht="15.75" customHeight="1">
      <c r="BC1839" s="169"/>
    </row>
    <row r="1840" spans="55:55" ht="15.75" customHeight="1">
      <c r="BC1840" s="169"/>
    </row>
    <row r="1841" spans="55:55" ht="15.75" customHeight="1">
      <c r="BC1841" s="169"/>
    </row>
    <row r="1842" spans="55:55" ht="15.75" customHeight="1">
      <c r="BC1842" s="169"/>
    </row>
    <row r="1843" spans="55:55" ht="15.75" customHeight="1">
      <c r="BC1843" s="169"/>
    </row>
    <row r="1844" spans="55:55" ht="15.75" customHeight="1">
      <c r="BC1844" s="169"/>
    </row>
    <row r="1845" spans="55:55" ht="15.75" customHeight="1">
      <c r="BC1845" s="169"/>
    </row>
    <row r="1846" spans="55:55" ht="15.75" customHeight="1">
      <c r="BC1846" s="169"/>
    </row>
    <row r="1847" spans="55:55" ht="15.75" customHeight="1">
      <c r="BC1847" s="169"/>
    </row>
    <row r="1848" spans="55:55" ht="15.75" customHeight="1">
      <c r="BC1848" s="169"/>
    </row>
    <row r="1849" spans="55:55" ht="15.75" customHeight="1">
      <c r="BC1849" s="169"/>
    </row>
    <row r="1850" spans="55:55" ht="15.75" customHeight="1">
      <c r="BC1850" s="169"/>
    </row>
    <row r="1851" spans="55:55" ht="15.75" customHeight="1">
      <c r="BC1851" s="169"/>
    </row>
    <row r="1852" spans="55:55" ht="15.75" customHeight="1">
      <c r="BC1852" s="169"/>
    </row>
    <row r="1853" spans="55:55" ht="15.75" customHeight="1">
      <c r="BC1853" s="169"/>
    </row>
    <row r="1854" spans="55:55" ht="15.75" customHeight="1">
      <c r="BC1854" s="169"/>
    </row>
    <row r="1855" spans="55:55" ht="15.75" customHeight="1">
      <c r="BC1855" s="169"/>
    </row>
    <row r="1856" spans="55:55" ht="15.75" customHeight="1">
      <c r="BC1856" s="169"/>
    </row>
    <row r="1857" spans="55:55" ht="15.75" customHeight="1">
      <c r="BC1857" s="169"/>
    </row>
    <row r="1858" spans="55:55" ht="15.75" customHeight="1">
      <c r="BC1858" s="169"/>
    </row>
    <row r="1859" spans="55:55" ht="15.75" customHeight="1">
      <c r="BC1859" s="169"/>
    </row>
    <row r="1860" spans="55:55" ht="15.75" customHeight="1">
      <c r="BC1860" s="169"/>
    </row>
    <row r="1861" spans="55:55" ht="15.75" customHeight="1">
      <c r="BC1861" s="169"/>
    </row>
    <row r="1862" spans="55:55" ht="15.75" customHeight="1">
      <c r="BC1862" s="169"/>
    </row>
    <row r="1863" spans="55:55" ht="15.75" customHeight="1">
      <c r="BC1863" s="169"/>
    </row>
    <row r="1864" spans="55:55" ht="15.75" customHeight="1">
      <c r="BC1864" s="169"/>
    </row>
    <row r="1865" spans="55:55" ht="15.75" customHeight="1">
      <c r="BC1865" s="169"/>
    </row>
    <row r="1866" spans="55:55" ht="15.75" customHeight="1">
      <c r="BC1866" s="169"/>
    </row>
    <row r="1867" spans="55:55" ht="15.75" customHeight="1">
      <c r="BC1867" s="169"/>
    </row>
    <row r="1868" spans="55:55" ht="15.75" customHeight="1">
      <c r="BC1868" s="169"/>
    </row>
    <row r="1869" spans="55:55" ht="15.75" customHeight="1">
      <c r="BC1869" s="169"/>
    </row>
    <row r="1870" spans="55:55" ht="15.75" customHeight="1">
      <c r="BC1870" s="169"/>
    </row>
    <row r="1871" spans="55:55" ht="15.75" customHeight="1">
      <c r="BC1871" s="169"/>
    </row>
    <row r="1872" spans="55:55" ht="15.75" customHeight="1">
      <c r="BC1872" s="169"/>
    </row>
    <row r="1873" spans="55:55" ht="15.75" customHeight="1">
      <c r="BC1873" s="169"/>
    </row>
    <row r="1874" spans="55:55" ht="15.75" customHeight="1">
      <c r="BC1874" s="169"/>
    </row>
    <row r="1875" spans="55:55" ht="15.75" customHeight="1">
      <c r="BC1875" s="169"/>
    </row>
    <row r="1876" spans="55:55" ht="15.75" customHeight="1">
      <c r="BC1876" s="169"/>
    </row>
    <row r="1877" spans="55:55" ht="15.75" customHeight="1">
      <c r="BC1877" s="169"/>
    </row>
    <row r="1878" spans="55:55" ht="15.75" customHeight="1">
      <c r="BC1878" s="169"/>
    </row>
    <row r="1879" spans="55:55" ht="15.75" customHeight="1">
      <c r="BC1879" s="169"/>
    </row>
    <row r="1880" spans="55:55" ht="15.75" customHeight="1">
      <c r="BC1880" s="169"/>
    </row>
    <row r="1881" spans="55:55" ht="15.75" customHeight="1">
      <c r="BC1881" s="169"/>
    </row>
    <row r="1882" spans="55:55" ht="15.75" customHeight="1">
      <c r="BC1882" s="169"/>
    </row>
    <row r="1883" spans="55:55" ht="15.75" customHeight="1">
      <c r="BC1883" s="169"/>
    </row>
    <row r="1884" spans="55:55" ht="15.75" customHeight="1">
      <c r="BC1884" s="169"/>
    </row>
    <row r="1885" spans="55:55" ht="15.75" customHeight="1">
      <c r="BC1885" s="169"/>
    </row>
    <row r="1886" spans="55:55" ht="15.75" customHeight="1">
      <c r="BC1886" s="169"/>
    </row>
    <row r="1887" spans="55:55" ht="15.75" customHeight="1">
      <c r="BC1887" s="169"/>
    </row>
    <row r="1888" spans="55:55" ht="15.75" customHeight="1">
      <c r="BC1888" s="169"/>
    </row>
    <row r="1889" spans="55:55" ht="15.75" customHeight="1">
      <c r="BC1889" s="169"/>
    </row>
    <row r="1890" spans="55:55" ht="15.75" customHeight="1">
      <c r="BC1890" s="169"/>
    </row>
    <row r="1891" spans="55:55" ht="15.75" customHeight="1">
      <c r="BC1891" s="169"/>
    </row>
    <row r="1892" spans="55:55" ht="15.75" customHeight="1">
      <c r="BC1892" s="169"/>
    </row>
    <row r="1893" spans="55:55" ht="15.75" customHeight="1">
      <c r="BC1893" s="169"/>
    </row>
    <row r="1894" spans="55:55" ht="15.75" customHeight="1">
      <c r="BC1894" s="169"/>
    </row>
    <row r="1895" spans="55:55" ht="15.75" customHeight="1">
      <c r="BC1895" s="169"/>
    </row>
    <row r="1896" spans="55:55" ht="15.75" customHeight="1">
      <c r="BC1896" s="169"/>
    </row>
    <row r="1897" spans="55:55" ht="15.75" customHeight="1">
      <c r="BC1897" s="169"/>
    </row>
    <row r="1898" spans="55:55" ht="15.75" customHeight="1">
      <c r="BC1898" s="169"/>
    </row>
    <row r="1899" spans="55:55" ht="15.75" customHeight="1">
      <c r="BC1899" s="169"/>
    </row>
    <row r="1900" spans="55:55" ht="15.75" customHeight="1">
      <c r="BC1900" s="169"/>
    </row>
    <row r="1901" spans="55:55" ht="15.75" customHeight="1">
      <c r="BC1901" s="169"/>
    </row>
    <row r="1902" spans="55:55" ht="15.75" customHeight="1">
      <c r="BC1902" s="169"/>
    </row>
    <row r="1903" spans="55:55" ht="15.75" customHeight="1">
      <c r="BC1903" s="169"/>
    </row>
    <row r="1904" spans="55:55" ht="15.75" customHeight="1">
      <c r="BC1904" s="169"/>
    </row>
    <row r="1905" spans="55:55" ht="15.75" customHeight="1">
      <c r="BC1905" s="169"/>
    </row>
    <row r="1906" spans="55:55" ht="15.75" customHeight="1">
      <c r="BC1906" s="169"/>
    </row>
    <row r="1907" spans="55:55" ht="15.75" customHeight="1">
      <c r="BC1907" s="169"/>
    </row>
    <row r="1908" spans="55:55" ht="15.75" customHeight="1">
      <c r="BC1908" s="169"/>
    </row>
    <row r="1909" spans="55:55" ht="15.75" customHeight="1">
      <c r="BC1909" s="169"/>
    </row>
    <row r="1910" spans="55:55" ht="15.75" customHeight="1">
      <c r="BC1910" s="169"/>
    </row>
    <row r="1911" spans="55:55" ht="15.75" customHeight="1">
      <c r="BC1911" s="169"/>
    </row>
    <row r="1912" spans="55:55" ht="15.75" customHeight="1">
      <c r="BC1912" s="169"/>
    </row>
    <row r="1913" spans="55:55" ht="15.75" customHeight="1">
      <c r="BC1913" s="169"/>
    </row>
    <row r="1914" spans="55:55" ht="15.75" customHeight="1">
      <c r="BC1914" s="169"/>
    </row>
    <row r="1915" spans="55:55" ht="15.75" customHeight="1">
      <c r="BC1915" s="169"/>
    </row>
    <row r="1916" spans="55:55" ht="15.75" customHeight="1">
      <c r="BC1916" s="169"/>
    </row>
    <row r="1917" spans="55:55" ht="15.75" customHeight="1">
      <c r="BC1917" s="169"/>
    </row>
    <row r="1918" spans="55:55" ht="15.75" customHeight="1">
      <c r="BC1918" s="169"/>
    </row>
    <row r="1919" spans="55:55" ht="15.75" customHeight="1">
      <c r="BC1919" s="169"/>
    </row>
    <row r="1920" spans="55:55" ht="15.75" customHeight="1">
      <c r="BC1920" s="169"/>
    </row>
    <row r="1921" spans="55:55" ht="15.75" customHeight="1">
      <c r="BC1921" s="169"/>
    </row>
    <row r="1922" spans="55:55" ht="15.75" customHeight="1">
      <c r="BC1922" s="169"/>
    </row>
    <row r="1923" spans="55:55" ht="15.75" customHeight="1">
      <c r="BC1923" s="169"/>
    </row>
    <row r="1924" spans="55:55" ht="15.75" customHeight="1">
      <c r="BC1924" s="169"/>
    </row>
    <row r="1925" spans="55:55" ht="15.75" customHeight="1">
      <c r="BC1925" s="169"/>
    </row>
    <row r="1926" spans="55:55" ht="15.75" customHeight="1">
      <c r="BC1926" s="169"/>
    </row>
    <row r="1927" spans="55:55" ht="15.75" customHeight="1">
      <c r="BC1927" s="169"/>
    </row>
    <row r="1928" spans="55:55" ht="15.75" customHeight="1">
      <c r="BC1928" s="169"/>
    </row>
    <row r="1929" spans="55:55" ht="15.75" customHeight="1">
      <c r="BC1929" s="169"/>
    </row>
    <row r="1930" spans="55:55" ht="15.75" customHeight="1">
      <c r="BC1930" s="169"/>
    </row>
    <row r="1931" spans="55:55" ht="15.75" customHeight="1">
      <c r="BC1931" s="169"/>
    </row>
    <row r="1932" spans="55:55" ht="15.75" customHeight="1">
      <c r="BC1932" s="169"/>
    </row>
    <row r="1933" spans="55:55" ht="15.75" customHeight="1">
      <c r="BC1933" s="169"/>
    </row>
    <row r="1934" spans="55:55" ht="15.75" customHeight="1">
      <c r="BC1934" s="169"/>
    </row>
    <row r="1935" spans="55:55" ht="15.75" customHeight="1">
      <c r="BC1935" s="169"/>
    </row>
    <row r="1936" spans="55:55" ht="15.75" customHeight="1">
      <c r="BC1936" s="169"/>
    </row>
    <row r="1937" spans="55:55" ht="15.75" customHeight="1">
      <c r="BC1937" s="169"/>
    </row>
    <row r="1938" spans="55:55" ht="15.75" customHeight="1">
      <c r="BC1938" s="169"/>
    </row>
    <row r="1939" spans="55:55" ht="15.75" customHeight="1">
      <c r="BC1939" s="169"/>
    </row>
    <row r="1940" spans="55:55" ht="15.75" customHeight="1">
      <c r="BC1940" s="169"/>
    </row>
    <row r="1941" spans="55:55" ht="15.75" customHeight="1">
      <c r="BC1941" s="169"/>
    </row>
    <row r="1942" spans="55:55" ht="15.75" customHeight="1">
      <c r="BC1942" s="169"/>
    </row>
    <row r="1943" spans="55:55" ht="15.75" customHeight="1">
      <c r="BC1943" s="169"/>
    </row>
    <row r="1944" spans="55:55" ht="15.75" customHeight="1">
      <c r="BC1944" s="169"/>
    </row>
    <row r="1945" spans="55:55" ht="15.75" customHeight="1">
      <c r="BC1945" s="169"/>
    </row>
    <row r="1946" spans="55:55" ht="15.75" customHeight="1">
      <c r="BC1946" s="169"/>
    </row>
    <row r="1947" spans="55:55" ht="15.75" customHeight="1">
      <c r="BC1947" s="169"/>
    </row>
    <row r="1948" spans="55:55" ht="15.75" customHeight="1">
      <c r="BC1948" s="169"/>
    </row>
    <row r="1949" spans="55:55" ht="15.75" customHeight="1">
      <c r="BC1949" s="169"/>
    </row>
    <row r="1950" spans="55:55" ht="15.75" customHeight="1">
      <c r="BC1950" s="169"/>
    </row>
    <row r="1951" spans="55:55" ht="15.75" customHeight="1">
      <c r="BC1951" s="169"/>
    </row>
    <row r="1952" spans="55:55" ht="15.75" customHeight="1">
      <c r="BC1952" s="169"/>
    </row>
    <row r="1953" spans="55:55" ht="15.75" customHeight="1">
      <c r="BC1953" s="169"/>
    </row>
    <row r="1954" spans="55:55" ht="15.75" customHeight="1">
      <c r="BC1954" s="169"/>
    </row>
    <row r="1955" spans="55:55" ht="15.75" customHeight="1">
      <c r="BC1955" s="169"/>
    </row>
    <row r="1956" spans="55:55" ht="15.75" customHeight="1">
      <c r="BC1956" s="169"/>
    </row>
    <row r="1957" spans="55:55" ht="15.75" customHeight="1">
      <c r="BC1957" s="169"/>
    </row>
    <row r="1958" spans="55:55" ht="15.75" customHeight="1">
      <c r="BC1958" s="169"/>
    </row>
    <row r="1959" spans="55:55" ht="15.75" customHeight="1">
      <c r="BC1959" s="169"/>
    </row>
    <row r="1960" spans="55:55" ht="15.75" customHeight="1">
      <c r="BC1960" s="169"/>
    </row>
    <row r="1961" spans="55:55" ht="15.75" customHeight="1">
      <c r="BC1961" s="169"/>
    </row>
    <row r="1962" spans="55:55" ht="15.75" customHeight="1">
      <c r="BC1962" s="169"/>
    </row>
    <row r="1963" spans="55:55" ht="15.75" customHeight="1">
      <c r="BC1963" s="169"/>
    </row>
    <row r="1964" spans="55:55" ht="15.75" customHeight="1">
      <c r="BC1964" s="169"/>
    </row>
    <row r="1965" spans="55:55" ht="15.75" customHeight="1">
      <c r="BC1965" s="169"/>
    </row>
    <row r="1966" spans="55:55" ht="15.75" customHeight="1">
      <c r="BC1966" s="169"/>
    </row>
    <row r="1967" spans="55:55" ht="15.75" customHeight="1">
      <c r="BC1967" s="169"/>
    </row>
    <row r="1968" spans="55:55" ht="15.75" customHeight="1">
      <c r="BC1968" s="169"/>
    </row>
    <row r="1969" spans="55:55" ht="15.75" customHeight="1">
      <c r="BC1969" s="169"/>
    </row>
    <row r="1970" spans="55:55" ht="15.75" customHeight="1">
      <c r="BC1970" s="169"/>
    </row>
    <row r="1971" spans="55:55" ht="15.75" customHeight="1">
      <c r="BC1971" s="169"/>
    </row>
    <row r="1972" spans="55:55" ht="15.75" customHeight="1">
      <c r="BC1972" s="169"/>
    </row>
    <row r="1973" spans="55:55" ht="15.75" customHeight="1">
      <c r="BC1973" s="169"/>
    </row>
    <row r="1974" spans="55:55" ht="15.75" customHeight="1">
      <c r="BC1974" s="169"/>
    </row>
    <row r="1975" spans="55:55" ht="15.75" customHeight="1">
      <c r="BC1975" s="169"/>
    </row>
    <row r="1976" spans="55:55" ht="15.75" customHeight="1">
      <c r="BC1976" s="169"/>
    </row>
    <row r="1977" spans="55:55" ht="15.75" customHeight="1">
      <c r="BC1977" s="169"/>
    </row>
    <row r="1978" spans="55:55" ht="15.75" customHeight="1">
      <c r="BC1978" s="169"/>
    </row>
    <row r="1979" spans="55:55" ht="15.75" customHeight="1">
      <c r="BC1979" s="169"/>
    </row>
    <row r="1980" spans="55:55" ht="15.75" customHeight="1">
      <c r="BC1980" s="169"/>
    </row>
    <row r="1981" spans="55:55" ht="15.75" customHeight="1">
      <c r="BC1981" s="169"/>
    </row>
    <row r="1982" spans="55:55" ht="15.75" customHeight="1">
      <c r="BC1982" s="169"/>
    </row>
    <row r="1983" spans="55:55" ht="15.75" customHeight="1">
      <c r="BC1983" s="169"/>
    </row>
    <row r="1984" spans="55:55" ht="15.75" customHeight="1">
      <c r="BC1984" s="169"/>
    </row>
    <row r="1985" spans="55:55" ht="15.75" customHeight="1">
      <c r="BC1985" s="169"/>
    </row>
    <row r="1986" spans="55:55" ht="15.75" customHeight="1">
      <c r="BC1986" s="169"/>
    </row>
    <row r="1987" spans="55:55" ht="15.75" customHeight="1">
      <c r="BC1987" s="169"/>
    </row>
    <row r="1988" spans="55:55" ht="15.75" customHeight="1">
      <c r="BC1988" s="169"/>
    </row>
    <row r="1989" spans="55:55" ht="15.75" customHeight="1">
      <c r="BC1989" s="169"/>
    </row>
    <row r="1990" spans="55:55" ht="15.75" customHeight="1">
      <c r="BC1990" s="169"/>
    </row>
    <row r="1991" spans="55:55" ht="15.75" customHeight="1">
      <c r="BC1991" s="169"/>
    </row>
    <row r="1992" spans="55:55" ht="15.75" customHeight="1">
      <c r="BC1992" s="169"/>
    </row>
    <row r="1993" spans="55:55" ht="15.75" customHeight="1">
      <c r="BC1993" s="169"/>
    </row>
    <row r="1994" spans="55:55" ht="15.75" customHeight="1">
      <c r="BC1994" s="169"/>
    </row>
    <row r="1995" spans="55:55" ht="15.75" customHeight="1">
      <c r="BC1995" s="169"/>
    </row>
    <row r="1996" spans="55:55" ht="15.75" customHeight="1">
      <c r="BC1996" s="169"/>
    </row>
    <row r="1997" spans="55:55" ht="15.75" customHeight="1">
      <c r="BC1997" s="169"/>
    </row>
    <row r="1998" spans="55:55" ht="15.75" customHeight="1">
      <c r="BC1998" s="169"/>
    </row>
    <row r="1999" spans="55:55" ht="15.75" customHeight="1">
      <c r="BC1999" s="169"/>
    </row>
    <row r="2000" spans="55:55" ht="15.75" customHeight="1">
      <c r="BC2000" s="169"/>
    </row>
    <row r="2001" spans="55:55" ht="15.75" customHeight="1">
      <c r="BC2001" s="169"/>
    </row>
    <row r="2002" spans="55:55" ht="15.75" customHeight="1">
      <c r="BC2002" s="169"/>
    </row>
    <row r="2003" spans="55:55" ht="15.75" customHeight="1">
      <c r="BC2003" s="169"/>
    </row>
    <row r="2004" spans="55:55" ht="15.75" customHeight="1">
      <c r="BC2004" s="169"/>
    </row>
    <row r="2005" spans="55:55" ht="15.75" customHeight="1">
      <c r="BC2005" s="169"/>
    </row>
  </sheetData>
  <autoFilter ref="A2:BG354" xr:uid="{00000000-0009-0000-0000-00000C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autoFilter>
  <mergeCells count="10">
    <mergeCell ref="BD1:BG1"/>
    <mergeCell ref="AN2:AP2"/>
    <mergeCell ref="AQ2:AS2"/>
    <mergeCell ref="AT2:AV2"/>
    <mergeCell ref="A1:BB1"/>
    <mergeCell ref="N2:P2"/>
    <mergeCell ref="T2:V2"/>
    <mergeCell ref="W2:Y2"/>
    <mergeCell ref="Z2:AB2"/>
    <mergeCell ref="AC2:AE2"/>
  </mergeCells>
  <phoneticPr fontId="130" type="noConversion"/>
  <conditionalFormatting sqref="BH321:XFD344">
    <cfRule type="cellIs" dxfId="1193" priority="320" operator="equal">
      <formula>0</formula>
    </cfRule>
  </conditionalFormatting>
  <conditionalFormatting sqref="B88:BA90 B84:BA86 B13:BA14 B26:BA72 B91:P91 S91:BA91 B92:BA98 B100:BA100 B102:BA102 B104:BA104 B106:BA106 B108:BA108 B110:BA110 B112:BA112 B116:BA116 B115:AB115 AG115:BA115 B118:BA118 B117:AB117 AG117:BA117 B120:BA120 B119:AB119 AG119:BA119 B122:BA122 B121:AB121 AG121:BA121 B124:BA124 B123:AE123 AG123:BA123 B126:BA126 B125:AB125 AG125:BA125 B128:BA128 AG127:BA127 B130:BA130 B129:AE129 AG129:BA129 B114:BA114 B132:BA132 B134:BA134 B136:BA136 B138:BA138 B140:BA140 AD115:AE115 AD117:AE117 AD119:AE119 AD121:AE121 B127:AE127 AD125:AE125 B142:BA142 B182:BA182 B183:AF183 AJ183:BA183 B184:BA192 B194:BA204 B193:AE193 AJ193:BA193 B206:BA206 B208:BA208 B210:BA210 B212:BA212 B214:BA218 B220:BA220 B221:AB221 AD221:AE221 AG221:BA221 B144:BA144 AJ143:BA143 B146:BA146 AJ145:BA145 B148:BA180 AJ147:BA147 B260:BA344 B222:BA258">
    <cfRule type="expression" dxfId="1192" priority="315">
      <formula>$M13="NON DEFINED"</formula>
    </cfRule>
    <cfRule type="expression" dxfId="1191" priority="316">
      <formula>$AY13="N.D."</formula>
    </cfRule>
  </conditionalFormatting>
  <conditionalFormatting sqref="BD13:BG13 BD14 BD27:BG27 BD29:BG29 BD31:BG31 BD30 BD33:BG33 BD35:BG35 BD37:BG37 BD39:BG39 BD38 BD41:BG41 BD43:BG43 BD45:BG45 BD47:BG47 BD46 BD57:BG57 BD61:BG61 BD67:BG67 BD69:BG69 BD71:BG71 BE89:BG89 BE97 BE115 BE117 BE119 BE121 BE123 BE125 BE127 BE129 BE143 BE145 BE147 BE149 BE151 BE153 BE155 BE157 BE159 BE161 BE163 BE165 BE167 BE169 BE171 BE173 BE175 BE177 BE179 BE183 BE185 BE187 BE189 BE191 BE193 BE195 BE197 BE199 BE201 BE203 BE215 BE217 BE221 BE223 BE225 BE227 BE229 BE231 BE233 BE235 BE237 BE239 BE241 BE243 BE245 BE247 BE249 BE251 BE253 BE255 BE257 BD258 BE261:BG261 BE263:BG263 BD265:BG265 BE267 BD266 BE269 BE271 BE273 BE275 BE277 BE279 BE281 BE283 BE285 BE287 BE289 BE291 BE293 BE295 BE297 BE299 BE301 BE303 BE305 BE307 BE309 BE311 BE313 BE315 BE317 BE319 BG97 BG267 BG115 BG117 BG119 BG121 BG123 BG125 BG127 BG129 BG143 BG145 BG147 BG149 BG151 BG153 BG155 BG157 BG159 BG161 BG163 BG165 BG167 BG169 BG171 BG173 BG175 BG177 BG179 BG183 BG185 BG187 BG189 BG191 BG193 BG195 BG197 BG199 BG201 BG203 BG215 BG217 BG221 BG223 BG225 BG227 BG229 BG231 BG233 BG235 BG237 BG239 BG241 BG243 BG245 BG247 BG249 BG251 BG253 BG255 BG257 BG269 BG271 BG273 BG275 BG277 BG279 BG281 BG283 BG285 BG287 BG289 BG291 BG293 BG295 BG297 BG299 BG301 BG303 BG305 BG307 BG309 BG311 BG313 BG315 BG317 BG319 BD95:BD96 BD93 BD91:BG91 BD88 BD85:BG85 BD65:BG65 BD61:BD63 BD59 BD55:BD57 BD53 BD51 BD49:BF49 BF51 BF53 BF55 BF59 BF63 BF93 BF95:BG95 BD67:BD69">
    <cfRule type="containsBlanks" dxfId="1190" priority="311">
      <formula>LEN(TRIM(BD13))=0</formula>
    </cfRule>
  </conditionalFormatting>
  <conditionalFormatting sqref="BC355:BC2005 BC260:BC344 BC88:BC98 BC84:BC86 BC13:BC14 BC26:BC72 BC100 BC102 BC104 BC106 BC108 BC110 BC112 BC114:BC130 BC132 BC134 BC136 BC138 BC140 BC142:BC180 BC182:BC204 BC206 BC208 BC210 BC212 BC214:BC218 BC220:BC258">
    <cfRule type="containsText" dxfId="1189" priority="307" operator="containsText" text="a">
      <formula>NOT(ISERROR(SEARCH("a",BC13)))</formula>
    </cfRule>
    <cfRule type="containsText" dxfId="1188" priority="308" operator="containsText" text="R">
      <formula>NOT(ISERROR(SEARCH("R",BC13)))</formula>
    </cfRule>
  </conditionalFormatting>
  <conditionalFormatting sqref="BA88:BA98 BA84:BA86 BA13:BA14 BA26:BA72 BA100 BA102 BA104 BA106 BA108 BA110 BA112 BA114:BA130 BA132 BA134 BA136 BA138 BA140 BA142:BA180 BA182:BA204 BA206 BA208 BA210 BA212 BA214:BA218 BA260:BA344 BA220:BA258">
    <cfRule type="expression" dxfId="1187" priority="306">
      <formula>$BC13="R"</formula>
    </cfRule>
  </conditionalFormatting>
  <conditionalFormatting sqref="BC4:BG12">
    <cfRule type="cellIs" dxfId="1186" priority="301" operator="equal">
      <formula>0</formula>
    </cfRule>
  </conditionalFormatting>
  <conditionalFormatting sqref="A4:BB12">
    <cfRule type="cellIs" dxfId="1185" priority="305" operator="equal">
      <formula>0</formula>
    </cfRule>
  </conditionalFormatting>
  <conditionalFormatting sqref="B4:BA12 BC4:BG12">
    <cfRule type="expression" dxfId="1184" priority="303">
      <formula>$M4="NON DEFINED"</formula>
    </cfRule>
    <cfRule type="expression" dxfId="1183" priority="304">
      <formula>$AY4="N.D."</formula>
    </cfRule>
  </conditionalFormatting>
  <conditionalFormatting sqref="BA4:BA12">
    <cfRule type="expression" dxfId="1182" priority="302">
      <formula>$BC4="R"</formula>
    </cfRule>
  </conditionalFormatting>
  <conditionalFormatting sqref="BC345:BG354">
    <cfRule type="cellIs" dxfId="1181" priority="296" operator="equal">
      <formula>0</formula>
    </cfRule>
  </conditionalFormatting>
  <conditionalFormatting sqref="A345:BB354">
    <cfRule type="cellIs" dxfId="1180" priority="300" operator="equal">
      <formula>0</formula>
    </cfRule>
  </conditionalFormatting>
  <conditionalFormatting sqref="B345:BA354 BC345:BG354">
    <cfRule type="expression" dxfId="1179" priority="298">
      <formula>$M345="NON DEFINED"</formula>
    </cfRule>
    <cfRule type="expression" dxfId="1178" priority="299">
      <formula>$AY345="N.D."</formula>
    </cfRule>
  </conditionalFormatting>
  <conditionalFormatting sqref="BA345:BA354">
    <cfRule type="expression" dxfId="1177" priority="297">
      <formula>$BC345="R"</formula>
    </cfRule>
  </conditionalFormatting>
  <conditionalFormatting sqref="AN260:AN354 AN88:AN98 AN84:AN86 AN4:AN14 AN26:AN72 AN100 AN102 AN104 AN106 AN108 AN110 AN112 AN114:AN130 AN132 AN134 AN136 AN138 AN140 AN142:AN180 AN182:AN204 AN206 AN208 AN210 AN212 AN214:AN218 AN220:AN258">
    <cfRule type="cellIs" dxfId="1176" priority="295" operator="notEqual">
      <formula>5.5</formula>
    </cfRule>
  </conditionalFormatting>
  <conditionalFormatting sqref="BE51 BE53 BE55">
    <cfRule type="containsBlanks" dxfId="1175" priority="294">
      <formula>LEN(TRIM(BE51))=0</formula>
    </cfRule>
  </conditionalFormatting>
  <conditionalFormatting sqref="BE59">
    <cfRule type="containsBlanks" dxfId="1174" priority="293">
      <formula>LEN(TRIM(BE59))=0</formula>
    </cfRule>
  </conditionalFormatting>
  <conditionalFormatting sqref="BE63">
    <cfRule type="containsBlanks" dxfId="1173" priority="292">
      <formula>LEN(TRIM(BE63))=0</formula>
    </cfRule>
  </conditionalFormatting>
  <conditionalFormatting sqref="BE93">
    <cfRule type="containsBlanks" dxfId="1172" priority="291">
      <formula>LEN(TRIM(BE93))=0</formula>
    </cfRule>
  </conditionalFormatting>
  <conditionalFormatting sqref="BE95">
    <cfRule type="containsBlanks" dxfId="1171" priority="290">
      <formula>LEN(TRIM(BE95))=0</formula>
    </cfRule>
  </conditionalFormatting>
  <conditionalFormatting sqref="BG49 BG51 BG53 BG55">
    <cfRule type="containsBlanks" dxfId="1170" priority="289">
      <formula>LEN(TRIM(BG49))=0</formula>
    </cfRule>
  </conditionalFormatting>
  <conditionalFormatting sqref="BG59">
    <cfRule type="containsBlanks" dxfId="1169" priority="288">
      <formula>LEN(TRIM(BG59))=0</formula>
    </cfRule>
  </conditionalFormatting>
  <conditionalFormatting sqref="BG63">
    <cfRule type="containsBlanks" dxfId="1168" priority="287">
      <formula>LEN(TRIM(BG63))=0</formula>
    </cfRule>
  </conditionalFormatting>
  <conditionalFormatting sqref="BG93">
    <cfRule type="containsBlanks" dxfId="1167" priority="286">
      <formula>LEN(TRIM(BG93))=0</formula>
    </cfRule>
  </conditionalFormatting>
  <conditionalFormatting sqref="B259:BA259">
    <cfRule type="expression" dxfId="1166" priority="284">
      <formula>$M259="NON DEFINED"</formula>
    </cfRule>
    <cfRule type="expression" dxfId="1165" priority="285">
      <formula>$AY259="N.D."</formula>
    </cfRule>
  </conditionalFormatting>
  <conditionalFormatting sqref="BE259 BG259">
    <cfRule type="containsBlanks" dxfId="1164" priority="283">
      <formula>LEN(TRIM(BE259))=0</formula>
    </cfRule>
  </conditionalFormatting>
  <conditionalFormatting sqref="BC259">
    <cfRule type="containsText" dxfId="1163" priority="281" operator="containsText" text="a">
      <formula>NOT(ISERROR(SEARCH("a",BC259)))</formula>
    </cfRule>
    <cfRule type="containsText" dxfId="1162" priority="282" operator="containsText" text="R">
      <formula>NOT(ISERROR(SEARCH("R",BC259)))</formula>
    </cfRule>
  </conditionalFormatting>
  <conditionalFormatting sqref="BA259">
    <cfRule type="expression" dxfId="1161" priority="280">
      <formula>$BC259="R"</formula>
    </cfRule>
  </conditionalFormatting>
  <conditionalFormatting sqref="AN259">
    <cfRule type="cellIs" dxfId="1160" priority="279" operator="notEqual">
      <formula>5.5</formula>
    </cfRule>
  </conditionalFormatting>
  <conditionalFormatting sqref="B87:BA87">
    <cfRule type="expression" dxfId="1159" priority="277">
      <formula>$M87="NON DEFINED"</formula>
    </cfRule>
    <cfRule type="expression" dxfId="1158" priority="278">
      <formula>$AY87="N.D."</formula>
    </cfRule>
  </conditionalFormatting>
  <conditionalFormatting sqref="BD87:BG87">
    <cfRule type="containsBlanks" dxfId="1157" priority="276">
      <formula>LEN(TRIM(BD87))=0</formula>
    </cfRule>
  </conditionalFormatting>
  <conditionalFormatting sqref="BC87">
    <cfRule type="containsText" dxfId="1156" priority="274" operator="containsText" text="a">
      <formula>NOT(ISERROR(SEARCH("a",BC87)))</formula>
    </cfRule>
    <cfRule type="containsText" dxfId="1155" priority="275" operator="containsText" text="R">
      <formula>NOT(ISERROR(SEARCH("R",BC87)))</formula>
    </cfRule>
  </conditionalFormatting>
  <conditionalFormatting sqref="BA87">
    <cfRule type="expression" dxfId="1154" priority="273">
      <formula>$BC87="R"</formula>
    </cfRule>
  </conditionalFormatting>
  <conditionalFormatting sqref="AN87">
    <cfRule type="cellIs" dxfId="1153" priority="272" operator="notEqual">
      <formula>5.5</formula>
    </cfRule>
  </conditionalFormatting>
  <conditionalFormatting sqref="B73:BA83">
    <cfRule type="expression" dxfId="1152" priority="270">
      <formula>$M73="NON DEFINED"</formula>
    </cfRule>
    <cfRule type="expression" dxfId="1151" priority="271">
      <formula>$AY73="N.D."</formula>
    </cfRule>
  </conditionalFormatting>
  <conditionalFormatting sqref="BD73:BG83">
    <cfRule type="containsBlanks" dxfId="1150" priority="269">
      <formula>LEN(TRIM(BD73))=0</formula>
    </cfRule>
  </conditionalFormatting>
  <conditionalFormatting sqref="BC73:BC83">
    <cfRule type="containsText" dxfId="1149" priority="267" operator="containsText" text="a">
      <formula>NOT(ISERROR(SEARCH("a",BC73)))</formula>
    </cfRule>
    <cfRule type="containsText" dxfId="1148" priority="268" operator="containsText" text="R">
      <formula>NOT(ISERROR(SEARCH("R",BC73)))</formula>
    </cfRule>
  </conditionalFormatting>
  <conditionalFormatting sqref="BA73:BA83">
    <cfRule type="expression" dxfId="1147" priority="266">
      <formula>$BC73="R"</formula>
    </cfRule>
  </conditionalFormatting>
  <conditionalFormatting sqref="AN73:AN83">
    <cfRule type="cellIs" dxfId="1146" priority="265" operator="notEqual">
      <formula>5.5</formula>
    </cfRule>
  </conditionalFormatting>
  <conditionalFormatting sqref="B16:BA16 B15:AB15 AG15:BA15 AD15:AE15 B18:BA18 B17:AB17 AG17:BA17 AD17:AE17 B20:BA20 B19:AB19 AG19:BA19 AD19:AE19 B22:BA25 B21:AB21 AG21:BA21">
    <cfRule type="expression" dxfId="1145" priority="263">
      <formula>$M15="NON DEFINED"</formula>
    </cfRule>
    <cfRule type="expression" dxfId="1144" priority="264">
      <formula>$AY15="N.D."</formula>
    </cfRule>
  </conditionalFormatting>
  <conditionalFormatting sqref="BD15:BG25">
    <cfRule type="containsBlanks" dxfId="1143" priority="262">
      <formula>LEN(TRIM(BD15))=0</formula>
    </cfRule>
  </conditionalFormatting>
  <conditionalFormatting sqref="BC15:BC25">
    <cfRule type="containsText" dxfId="1142" priority="260" operator="containsText" text="a">
      <formula>NOT(ISERROR(SEARCH("a",BC15)))</formula>
    </cfRule>
    <cfRule type="containsText" dxfId="1141" priority="261" operator="containsText" text="R">
      <formula>NOT(ISERROR(SEARCH("R",BC15)))</formula>
    </cfRule>
  </conditionalFormatting>
  <conditionalFormatting sqref="BA15:BA25">
    <cfRule type="expression" dxfId="1140" priority="259">
      <formula>$BC15="R"</formula>
    </cfRule>
  </conditionalFormatting>
  <conditionalFormatting sqref="AN15:AN25">
    <cfRule type="cellIs" dxfId="1139" priority="258" operator="notEqual">
      <formula>5.5</formula>
    </cfRule>
  </conditionalFormatting>
  <conditionalFormatting sqref="AF15">
    <cfRule type="expression" dxfId="1138" priority="256">
      <formula>$M15="NON DEFINED"</formula>
    </cfRule>
    <cfRule type="expression" dxfId="1137" priority="257">
      <formula>$AY15="N.D."</formula>
    </cfRule>
  </conditionalFormatting>
  <conditionalFormatting sqref="AC15">
    <cfRule type="expression" dxfId="1136" priority="254">
      <formula>$M15="NON DEFINED"</formula>
    </cfRule>
    <cfRule type="expression" dxfId="1135" priority="255">
      <formula>$AY15="N.D."</formula>
    </cfRule>
  </conditionalFormatting>
  <conditionalFormatting sqref="AF17">
    <cfRule type="expression" dxfId="1134" priority="252">
      <formula>$M17="NON DEFINED"</formula>
    </cfRule>
    <cfRule type="expression" dxfId="1133" priority="253">
      <formula>$AY17="N.D."</formula>
    </cfRule>
  </conditionalFormatting>
  <conditionalFormatting sqref="AC17">
    <cfRule type="expression" dxfId="1132" priority="250">
      <formula>$M17="NON DEFINED"</formula>
    </cfRule>
    <cfRule type="expression" dxfId="1131" priority="251">
      <formula>$AY17="N.D."</formula>
    </cfRule>
  </conditionalFormatting>
  <conditionalFormatting sqref="AF19">
    <cfRule type="expression" dxfId="1130" priority="248">
      <formula>$M19="NON DEFINED"</formula>
    </cfRule>
    <cfRule type="expression" dxfId="1129" priority="249">
      <formula>$AY19="N.D."</formula>
    </cfRule>
  </conditionalFormatting>
  <conditionalFormatting sqref="AC19">
    <cfRule type="expression" dxfId="1128" priority="246">
      <formula>$M19="NON DEFINED"</formula>
    </cfRule>
    <cfRule type="expression" dxfId="1127" priority="247">
      <formula>$AY19="N.D."</formula>
    </cfRule>
  </conditionalFormatting>
  <conditionalFormatting sqref="AD21:AE21">
    <cfRule type="expression" dxfId="1126" priority="244">
      <formula>$M21="NON DEFINED"</formula>
    </cfRule>
    <cfRule type="expression" dxfId="1125" priority="245">
      <formula>$AY21="N.D."</formula>
    </cfRule>
  </conditionalFormatting>
  <conditionalFormatting sqref="AF21">
    <cfRule type="expression" dxfId="1124" priority="242">
      <formula>$M21="NON DEFINED"</formula>
    </cfRule>
    <cfRule type="expression" dxfId="1123" priority="243">
      <formula>$AY21="N.D."</formula>
    </cfRule>
  </conditionalFormatting>
  <conditionalFormatting sqref="AC21">
    <cfRule type="expression" dxfId="1122" priority="240">
      <formula>$M21="NON DEFINED"</formula>
    </cfRule>
    <cfRule type="expression" dxfId="1121" priority="241">
      <formula>$AY21="N.D."</formula>
    </cfRule>
  </conditionalFormatting>
  <conditionalFormatting sqref="Q91:R91">
    <cfRule type="expression" dxfId="1120" priority="238">
      <formula>$M91="NON DEFINED"</formula>
    </cfRule>
    <cfRule type="expression" dxfId="1119" priority="239">
      <formula>$AY91="N.D."</formula>
    </cfRule>
  </conditionalFormatting>
  <conditionalFormatting sqref="B99:BA99">
    <cfRule type="expression" dxfId="1118" priority="236">
      <formula>$M99="NON DEFINED"</formula>
    </cfRule>
    <cfRule type="expression" dxfId="1117" priority="237">
      <formula>$AY99="N.D."</formula>
    </cfRule>
  </conditionalFormatting>
  <conditionalFormatting sqref="BE99 BG99">
    <cfRule type="containsBlanks" dxfId="1116" priority="235">
      <formula>LEN(TRIM(BE99))=0</formula>
    </cfRule>
  </conditionalFormatting>
  <conditionalFormatting sqref="BC99">
    <cfRule type="containsText" dxfId="1115" priority="233" operator="containsText" text="a">
      <formula>NOT(ISERROR(SEARCH("a",BC99)))</formula>
    </cfRule>
    <cfRule type="containsText" dxfId="1114" priority="234" operator="containsText" text="R">
      <formula>NOT(ISERROR(SEARCH("R",BC99)))</formula>
    </cfRule>
  </conditionalFormatting>
  <conditionalFormatting sqref="BA99">
    <cfRule type="expression" dxfId="1113" priority="232">
      <formula>$BC99="R"</formula>
    </cfRule>
  </conditionalFormatting>
  <conditionalFormatting sqref="AN99">
    <cfRule type="cellIs" dxfId="1112" priority="231" operator="notEqual">
      <formula>5.5</formula>
    </cfRule>
  </conditionalFormatting>
  <conditionalFormatting sqref="B101:BA101">
    <cfRule type="expression" dxfId="1111" priority="229">
      <formula>$M101="NON DEFINED"</formula>
    </cfRule>
    <cfRule type="expression" dxfId="1110" priority="230">
      <formula>$AY101="N.D."</formula>
    </cfRule>
  </conditionalFormatting>
  <conditionalFormatting sqref="BE101 BG101">
    <cfRule type="containsBlanks" dxfId="1109" priority="228">
      <formula>LEN(TRIM(BE101))=0</formula>
    </cfRule>
  </conditionalFormatting>
  <conditionalFormatting sqref="BC101">
    <cfRule type="containsText" dxfId="1108" priority="226" operator="containsText" text="a">
      <formula>NOT(ISERROR(SEARCH("a",BC101)))</formula>
    </cfRule>
    <cfRule type="containsText" dxfId="1107" priority="227" operator="containsText" text="R">
      <formula>NOT(ISERROR(SEARCH("R",BC101)))</formula>
    </cfRule>
  </conditionalFormatting>
  <conditionalFormatting sqref="BA101">
    <cfRule type="expression" dxfId="1106" priority="225">
      <formula>$BC101="R"</formula>
    </cfRule>
  </conditionalFormatting>
  <conditionalFormatting sqref="AN101">
    <cfRule type="cellIs" dxfId="1105" priority="224" operator="notEqual">
      <formula>5.5</formula>
    </cfRule>
  </conditionalFormatting>
  <conditionalFormatting sqref="B103:BA103">
    <cfRule type="expression" dxfId="1104" priority="222">
      <formula>$M103="NON DEFINED"</formula>
    </cfRule>
    <cfRule type="expression" dxfId="1103" priority="223">
      <formula>$AY103="N.D."</formula>
    </cfRule>
  </conditionalFormatting>
  <conditionalFormatting sqref="BE103 BG103">
    <cfRule type="containsBlanks" dxfId="1102" priority="221">
      <formula>LEN(TRIM(BE103))=0</formula>
    </cfRule>
  </conditionalFormatting>
  <conditionalFormatting sqref="BC103">
    <cfRule type="containsText" dxfId="1101" priority="219" operator="containsText" text="a">
      <formula>NOT(ISERROR(SEARCH("a",BC103)))</formula>
    </cfRule>
    <cfRule type="containsText" dxfId="1100" priority="220" operator="containsText" text="R">
      <formula>NOT(ISERROR(SEARCH("R",BC103)))</formula>
    </cfRule>
  </conditionalFormatting>
  <conditionalFormatting sqref="BA103">
    <cfRule type="expression" dxfId="1099" priority="218">
      <formula>$BC103="R"</formula>
    </cfRule>
  </conditionalFormatting>
  <conditionalFormatting sqref="AN103">
    <cfRule type="cellIs" dxfId="1098" priority="217" operator="notEqual">
      <formula>5.5</formula>
    </cfRule>
  </conditionalFormatting>
  <conditionalFormatting sqref="B105:BA105">
    <cfRule type="expression" dxfId="1097" priority="215">
      <formula>$M105="NON DEFINED"</formula>
    </cfRule>
    <cfRule type="expression" dxfId="1096" priority="216">
      <formula>$AY105="N.D."</formula>
    </cfRule>
  </conditionalFormatting>
  <conditionalFormatting sqref="BE105 BG105">
    <cfRule type="containsBlanks" dxfId="1095" priority="214">
      <formula>LEN(TRIM(BE105))=0</formula>
    </cfRule>
  </conditionalFormatting>
  <conditionalFormatting sqref="BC105">
    <cfRule type="containsText" dxfId="1094" priority="212" operator="containsText" text="a">
      <formula>NOT(ISERROR(SEARCH("a",BC105)))</formula>
    </cfRule>
    <cfRule type="containsText" dxfId="1093" priority="213" operator="containsText" text="R">
      <formula>NOT(ISERROR(SEARCH("R",BC105)))</formula>
    </cfRule>
  </conditionalFormatting>
  <conditionalFormatting sqref="BA105">
    <cfRule type="expression" dxfId="1092" priority="211">
      <formula>$BC105="R"</formula>
    </cfRule>
  </conditionalFormatting>
  <conditionalFormatting sqref="AN105">
    <cfRule type="cellIs" dxfId="1091" priority="210" operator="notEqual">
      <formula>5.5</formula>
    </cfRule>
  </conditionalFormatting>
  <conditionalFormatting sqref="B107:BA107">
    <cfRule type="expression" dxfId="1090" priority="204">
      <formula>$M107="NON DEFINED"</formula>
    </cfRule>
    <cfRule type="expression" dxfId="1089" priority="205">
      <formula>$AY107="N.D."</formula>
    </cfRule>
  </conditionalFormatting>
  <conditionalFormatting sqref="BE107 BG107">
    <cfRule type="containsBlanks" dxfId="1088" priority="203">
      <formula>LEN(TRIM(BE107))=0</formula>
    </cfRule>
  </conditionalFormatting>
  <conditionalFormatting sqref="BC107">
    <cfRule type="containsText" dxfId="1087" priority="201" operator="containsText" text="a">
      <formula>NOT(ISERROR(SEARCH("a",BC107)))</formula>
    </cfRule>
    <cfRule type="containsText" dxfId="1086" priority="202" operator="containsText" text="R">
      <formula>NOT(ISERROR(SEARCH("R",BC107)))</formula>
    </cfRule>
  </conditionalFormatting>
  <conditionalFormatting sqref="BA107">
    <cfRule type="expression" dxfId="1085" priority="200">
      <formula>$BC107="R"</formula>
    </cfRule>
  </conditionalFormatting>
  <conditionalFormatting sqref="AN107">
    <cfRule type="cellIs" dxfId="1084" priority="199" operator="notEqual">
      <formula>5.5</formula>
    </cfRule>
  </conditionalFormatting>
  <conditionalFormatting sqref="B109:BA109">
    <cfRule type="expression" dxfId="1083" priority="193">
      <formula>$M109="NON DEFINED"</formula>
    </cfRule>
    <cfRule type="expression" dxfId="1082" priority="194">
      <formula>$AY109="N.D."</formula>
    </cfRule>
  </conditionalFormatting>
  <conditionalFormatting sqref="BE109 BG109">
    <cfRule type="containsBlanks" dxfId="1081" priority="192">
      <formula>LEN(TRIM(BE109))=0</formula>
    </cfRule>
  </conditionalFormatting>
  <conditionalFormatting sqref="BC109">
    <cfRule type="containsText" dxfId="1080" priority="190" operator="containsText" text="a">
      <formula>NOT(ISERROR(SEARCH("a",BC109)))</formula>
    </cfRule>
    <cfRule type="containsText" dxfId="1079" priority="191" operator="containsText" text="R">
      <formula>NOT(ISERROR(SEARCH("R",BC109)))</formula>
    </cfRule>
  </conditionalFormatting>
  <conditionalFormatting sqref="BA109">
    <cfRule type="expression" dxfId="1078" priority="189">
      <formula>$BC109="R"</formula>
    </cfRule>
  </conditionalFormatting>
  <conditionalFormatting sqref="AN109">
    <cfRule type="cellIs" dxfId="1077" priority="188" operator="notEqual">
      <formula>5.5</formula>
    </cfRule>
  </conditionalFormatting>
  <conditionalFormatting sqref="B111:BA111">
    <cfRule type="expression" dxfId="1076" priority="186">
      <formula>$M111="NON DEFINED"</formula>
    </cfRule>
    <cfRule type="expression" dxfId="1075" priority="187">
      <formula>$AY111="N.D."</formula>
    </cfRule>
  </conditionalFormatting>
  <conditionalFormatting sqref="BE111 BG111">
    <cfRule type="containsBlanks" dxfId="1074" priority="185">
      <formula>LEN(TRIM(BE111))=0</formula>
    </cfRule>
  </conditionalFormatting>
  <conditionalFormatting sqref="BC111">
    <cfRule type="containsText" dxfId="1073" priority="183" operator="containsText" text="a">
      <formula>NOT(ISERROR(SEARCH("a",BC111)))</formula>
    </cfRule>
    <cfRule type="containsText" dxfId="1072" priority="184" operator="containsText" text="R">
      <formula>NOT(ISERROR(SEARCH("R",BC111)))</formula>
    </cfRule>
  </conditionalFormatting>
  <conditionalFormatting sqref="BA111">
    <cfRule type="expression" dxfId="1071" priority="182">
      <formula>$BC111="R"</formula>
    </cfRule>
  </conditionalFormatting>
  <conditionalFormatting sqref="AN111">
    <cfRule type="cellIs" dxfId="1070" priority="181" operator="notEqual">
      <formula>5.5</formula>
    </cfRule>
  </conditionalFormatting>
  <conditionalFormatting sqref="AF115">
    <cfRule type="expression" dxfId="1069" priority="179">
      <formula>$M115="NON DEFINED"</formula>
    </cfRule>
    <cfRule type="expression" dxfId="1068" priority="180">
      <formula>$AY115="N.D."</formula>
    </cfRule>
  </conditionalFormatting>
  <conditionalFormatting sqref="AF117">
    <cfRule type="expression" dxfId="1067" priority="177">
      <formula>$M117="NON DEFINED"</formula>
    </cfRule>
    <cfRule type="expression" dxfId="1066" priority="178">
      <formula>$AY117="N.D."</formula>
    </cfRule>
  </conditionalFormatting>
  <conditionalFormatting sqref="AF119">
    <cfRule type="expression" dxfId="1065" priority="175">
      <formula>$M119="NON DEFINED"</formula>
    </cfRule>
    <cfRule type="expression" dxfId="1064" priority="176">
      <formula>$AY119="N.D."</formula>
    </cfRule>
  </conditionalFormatting>
  <conditionalFormatting sqref="AF121">
    <cfRule type="expression" dxfId="1063" priority="173">
      <formula>$M121="NON DEFINED"</formula>
    </cfRule>
    <cfRule type="expression" dxfId="1062" priority="174">
      <formula>$AY121="N.D."</formula>
    </cfRule>
  </conditionalFormatting>
  <conditionalFormatting sqref="AF123">
    <cfRule type="expression" dxfId="1061" priority="171">
      <formula>$M123="NON DEFINED"</formula>
    </cfRule>
    <cfRule type="expression" dxfId="1060" priority="172">
      <formula>$AY123="N.D."</formula>
    </cfRule>
  </conditionalFormatting>
  <conditionalFormatting sqref="AF125">
    <cfRule type="expression" dxfId="1059" priority="169">
      <formula>$M125="NON DEFINED"</formula>
    </cfRule>
    <cfRule type="expression" dxfId="1058" priority="170">
      <formula>$AY125="N.D."</formula>
    </cfRule>
  </conditionalFormatting>
  <conditionalFormatting sqref="AF127">
    <cfRule type="expression" dxfId="1057" priority="167">
      <formula>$M127="NON DEFINED"</formula>
    </cfRule>
    <cfRule type="expression" dxfId="1056" priority="168">
      <formula>$AY127="N.D."</formula>
    </cfRule>
  </conditionalFormatting>
  <conditionalFormatting sqref="AF129">
    <cfRule type="expression" dxfId="1055" priority="165">
      <formula>$M129="NON DEFINED"</formula>
    </cfRule>
    <cfRule type="expression" dxfId="1054" priority="166">
      <formula>$AY129="N.D."</formula>
    </cfRule>
  </conditionalFormatting>
  <conditionalFormatting sqref="B113:BA113">
    <cfRule type="expression" dxfId="1053" priority="163">
      <formula>$M113="NON DEFINED"</formula>
    </cfRule>
    <cfRule type="expression" dxfId="1052" priority="164">
      <formula>$AY113="N.D."</formula>
    </cfRule>
  </conditionalFormatting>
  <conditionalFormatting sqref="BE113 BG113">
    <cfRule type="containsBlanks" dxfId="1051" priority="162">
      <formula>LEN(TRIM(BE113))=0</formula>
    </cfRule>
  </conditionalFormatting>
  <conditionalFormatting sqref="BC113">
    <cfRule type="containsText" dxfId="1050" priority="160" operator="containsText" text="a">
      <formula>NOT(ISERROR(SEARCH("a",BC113)))</formula>
    </cfRule>
    <cfRule type="containsText" dxfId="1049" priority="161" operator="containsText" text="R">
      <formula>NOT(ISERROR(SEARCH("R",BC113)))</formula>
    </cfRule>
  </conditionalFormatting>
  <conditionalFormatting sqref="BA113">
    <cfRule type="expression" dxfId="1048" priority="159">
      <formula>$BC113="R"</formula>
    </cfRule>
  </conditionalFormatting>
  <conditionalFormatting sqref="AN113">
    <cfRule type="cellIs" dxfId="1047" priority="158" operator="notEqual">
      <formula>5.5</formula>
    </cfRule>
  </conditionalFormatting>
  <conditionalFormatting sqref="B131:AE131 AG131:BA131">
    <cfRule type="expression" dxfId="1046" priority="156">
      <formula>$M131="NON DEFINED"</formula>
    </cfRule>
    <cfRule type="expression" dxfId="1045" priority="157">
      <formula>$AY131="N.D."</formula>
    </cfRule>
  </conditionalFormatting>
  <conditionalFormatting sqref="BE131 BG131">
    <cfRule type="containsBlanks" dxfId="1044" priority="155">
      <formula>LEN(TRIM(BE131))=0</formula>
    </cfRule>
  </conditionalFormatting>
  <conditionalFormatting sqref="BC131">
    <cfRule type="containsText" dxfId="1043" priority="153" operator="containsText" text="a">
      <formula>NOT(ISERROR(SEARCH("a",BC131)))</formula>
    </cfRule>
    <cfRule type="containsText" dxfId="1042" priority="154" operator="containsText" text="R">
      <formula>NOT(ISERROR(SEARCH("R",BC131)))</formula>
    </cfRule>
  </conditionalFormatting>
  <conditionalFormatting sqref="BA131">
    <cfRule type="expression" dxfId="1041" priority="152">
      <formula>$BC131="R"</formula>
    </cfRule>
  </conditionalFormatting>
  <conditionalFormatting sqref="AN131">
    <cfRule type="cellIs" dxfId="1040" priority="151" operator="notEqual">
      <formula>5.5</formula>
    </cfRule>
  </conditionalFormatting>
  <conditionalFormatting sqref="AF131">
    <cfRule type="expression" dxfId="1039" priority="149">
      <formula>$M131="NON DEFINED"</formula>
    </cfRule>
    <cfRule type="expression" dxfId="1038" priority="150">
      <formula>$AY131="N.D."</formula>
    </cfRule>
  </conditionalFormatting>
  <conditionalFormatting sqref="B133:AE133 AG133:BA133">
    <cfRule type="expression" dxfId="1037" priority="147">
      <formula>$M133="NON DEFINED"</formula>
    </cfRule>
    <cfRule type="expression" dxfId="1036" priority="148">
      <formula>$AY133="N.D."</formula>
    </cfRule>
  </conditionalFormatting>
  <conditionalFormatting sqref="BE133 BG133">
    <cfRule type="containsBlanks" dxfId="1035" priority="146">
      <formula>LEN(TRIM(BE133))=0</formula>
    </cfRule>
  </conditionalFormatting>
  <conditionalFormatting sqref="BC133">
    <cfRule type="containsText" dxfId="1034" priority="144" operator="containsText" text="a">
      <formula>NOT(ISERROR(SEARCH("a",BC133)))</formula>
    </cfRule>
    <cfRule type="containsText" dxfId="1033" priority="145" operator="containsText" text="R">
      <formula>NOT(ISERROR(SEARCH("R",BC133)))</formula>
    </cfRule>
  </conditionalFormatting>
  <conditionalFormatting sqref="BA133">
    <cfRule type="expression" dxfId="1032" priority="143">
      <formula>$BC133="R"</formula>
    </cfRule>
  </conditionalFormatting>
  <conditionalFormatting sqref="AN133">
    <cfRule type="cellIs" dxfId="1031" priority="142" operator="notEqual">
      <formula>5.5</formula>
    </cfRule>
  </conditionalFormatting>
  <conditionalFormatting sqref="AF133">
    <cfRule type="expression" dxfId="1030" priority="140">
      <formula>$M133="NON DEFINED"</formula>
    </cfRule>
    <cfRule type="expression" dxfId="1029" priority="141">
      <formula>$AY133="N.D."</formula>
    </cfRule>
  </conditionalFormatting>
  <conditionalFormatting sqref="B135:AE135 AG135:BA135">
    <cfRule type="expression" dxfId="1028" priority="136">
      <formula>$M135="NON DEFINED"</formula>
    </cfRule>
    <cfRule type="expression" dxfId="1027" priority="137">
      <formula>$AY135="N.D."</formula>
    </cfRule>
  </conditionalFormatting>
  <conditionalFormatting sqref="BE135 BG135">
    <cfRule type="containsBlanks" dxfId="1026" priority="135">
      <formula>LEN(TRIM(BE135))=0</formula>
    </cfRule>
  </conditionalFormatting>
  <conditionalFormatting sqref="BC135">
    <cfRule type="containsText" dxfId="1025" priority="133" operator="containsText" text="a">
      <formula>NOT(ISERROR(SEARCH("a",BC135)))</formula>
    </cfRule>
    <cfRule type="containsText" dxfId="1024" priority="134" operator="containsText" text="R">
      <formula>NOT(ISERROR(SEARCH("R",BC135)))</formula>
    </cfRule>
  </conditionalFormatting>
  <conditionalFormatting sqref="BA135">
    <cfRule type="expression" dxfId="1023" priority="132">
      <formula>$BC135="R"</formula>
    </cfRule>
  </conditionalFormatting>
  <conditionalFormatting sqref="AN135">
    <cfRule type="cellIs" dxfId="1022" priority="131" operator="notEqual">
      <formula>5.5</formula>
    </cfRule>
  </conditionalFormatting>
  <conditionalFormatting sqref="AF135">
    <cfRule type="expression" dxfId="1021" priority="129">
      <formula>$M135="NON DEFINED"</formula>
    </cfRule>
    <cfRule type="expression" dxfId="1020" priority="130">
      <formula>$AY135="N.D."</formula>
    </cfRule>
  </conditionalFormatting>
  <conditionalFormatting sqref="B137:AE137 AG137:BA137">
    <cfRule type="expression" dxfId="1019" priority="123">
      <formula>$M137="NON DEFINED"</formula>
    </cfRule>
    <cfRule type="expression" dxfId="1018" priority="124">
      <formula>$AY137="N.D."</formula>
    </cfRule>
  </conditionalFormatting>
  <conditionalFormatting sqref="BE137 BG137">
    <cfRule type="containsBlanks" dxfId="1017" priority="122">
      <formula>LEN(TRIM(BE137))=0</formula>
    </cfRule>
  </conditionalFormatting>
  <conditionalFormatting sqref="BC137">
    <cfRule type="containsText" dxfId="1016" priority="120" operator="containsText" text="a">
      <formula>NOT(ISERROR(SEARCH("a",BC137)))</formula>
    </cfRule>
    <cfRule type="containsText" dxfId="1015" priority="121" operator="containsText" text="R">
      <formula>NOT(ISERROR(SEARCH("R",BC137)))</formula>
    </cfRule>
  </conditionalFormatting>
  <conditionalFormatting sqref="BA137">
    <cfRule type="expression" dxfId="1014" priority="119">
      <formula>$BC137="R"</formula>
    </cfRule>
  </conditionalFormatting>
  <conditionalFormatting sqref="AN137">
    <cfRule type="cellIs" dxfId="1013" priority="118" operator="notEqual">
      <formula>5.5</formula>
    </cfRule>
  </conditionalFormatting>
  <conditionalFormatting sqref="AF137">
    <cfRule type="expression" dxfId="1012" priority="116">
      <formula>$M137="NON DEFINED"</formula>
    </cfRule>
    <cfRule type="expression" dxfId="1011" priority="117">
      <formula>$AY137="N.D."</formula>
    </cfRule>
  </conditionalFormatting>
  <conditionalFormatting sqref="B139:AE139 AG139:BA139">
    <cfRule type="expression" dxfId="1010" priority="110">
      <formula>$M139="NON DEFINED"</formula>
    </cfRule>
    <cfRule type="expression" dxfId="1009" priority="111">
      <formula>$AY139="N.D."</formula>
    </cfRule>
  </conditionalFormatting>
  <conditionalFormatting sqref="BE139 BG139">
    <cfRule type="containsBlanks" dxfId="1008" priority="109">
      <formula>LEN(TRIM(BE139))=0</formula>
    </cfRule>
  </conditionalFormatting>
  <conditionalFormatting sqref="BC139">
    <cfRule type="containsText" dxfId="1007" priority="107" operator="containsText" text="a">
      <formula>NOT(ISERROR(SEARCH("a",BC139)))</formula>
    </cfRule>
    <cfRule type="containsText" dxfId="1006" priority="108" operator="containsText" text="R">
      <formula>NOT(ISERROR(SEARCH("R",BC139)))</formula>
    </cfRule>
  </conditionalFormatting>
  <conditionalFormatting sqref="BA139">
    <cfRule type="expression" dxfId="1005" priority="106">
      <formula>$BC139="R"</formula>
    </cfRule>
  </conditionalFormatting>
  <conditionalFormatting sqref="AN139">
    <cfRule type="cellIs" dxfId="1004" priority="105" operator="notEqual">
      <formula>5.5</formula>
    </cfRule>
  </conditionalFormatting>
  <conditionalFormatting sqref="AF139">
    <cfRule type="expression" dxfId="1003" priority="103">
      <formula>$M139="NON DEFINED"</formula>
    </cfRule>
    <cfRule type="expression" dxfId="1002" priority="104">
      <formula>$AY139="N.D."</formula>
    </cfRule>
  </conditionalFormatting>
  <conditionalFormatting sqref="B141:AE141 AG141:BA141">
    <cfRule type="expression" dxfId="1001" priority="101">
      <formula>$M141="NON DEFINED"</formula>
    </cfRule>
    <cfRule type="expression" dxfId="1000" priority="102">
      <formula>$AY141="N.D."</formula>
    </cfRule>
  </conditionalFormatting>
  <conditionalFormatting sqref="BE141 BG141">
    <cfRule type="containsBlanks" dxfId="999" priority="100">
      <formula>LEN(TRIM(BE141))=0</formula>
    </cfRule>
  </conditionalFormatting>
  <conditionalFormatting sqref="BC141">
    <cfRule type="containsText" dxfId="998" priority="98" operator="containsText" text="a">
      <formula>NOT(ISERROR(SEARCH("a",BC141)))</formula>
    </cfRule>
    <cfRule type="containsText" dxfId="997" priority="99" operator="containsText" text="R">
      <formula>NOT(ISERROR(SEARCH("R",BC141)))</formula>
    </cfRule>
  </conditionalFormatting>
  <conditionalFormatting sqref="BA141">
    <cfRule type="expression" dxfId="996" priority="97">
      <formula>$BC141="R"</formula>
    </cfRule>
  </conditionalFormatting>
  <conditionalFormatting sqref="AN141">
    <cfRule type="cellIs" dxfId="995" priority="96" operator="notEqual">
      <formula>5.5</formula>
    </cfRule>
  </conditionalFormatting>
  <conditionalFormatting sqref="AF141">
    <cfRule type="expression" dxfId="994" priority="94">
      <formula>$M141="NON DEFINED"</formula>
    </cfRule>
    <cfRule type="expression" dxfId="993" priority="95">
      <formula>$AY141="N.D."</formula>
    </cfRule>
  </conditionalFormatting>
  <conditionalFormatting sqref="AC115">
    <cfRule type="expression" dxfId="992" priority="92">
      <formula>$M115="NON DEFINED"</formula>
    </cfRule>
    <cfRule type="expression" dxfId="991" priority="93">
      <formula>$AY115="N.D."</formula>
    </cfRule>
  </conditionalFormatting>
  <conditionalFormatting sqref="AC117">
    <cfRule type="expression" dxfId="990" priority="90">
      <formula>$M117="NON DEFINED"</formula>
    </cfRule>
    <cfRule type="expression" dxfId="989" priority="91">
      <formula>$AY117="N.D."</formula>
    </cfRule>
  </conditionalFormatting>
  <conditionalFormatting sqref="AC119">
    <cfRule type="expression" dxfId="988" priority="88">
      <formula>$M119="NON DEFINED"</formula>
    </cfRule>
    <cfRule type="expression" dxfId="987" priority="89">
      <formula>$AY119="N.D."</formula>
    </cfRule>
  </conditionalFormatting>
  <conditionalFormatting sqref="AC121">
    <cfRule type="expression" dxfId="986" priority="86">
      <formula>$M121="NON DEFINED"</formula>
    </cfRule>
    <cfRule type="expression" dxfId="985" priority="87">
      <formula>$AY121="N.D."</formula>
    </cfRule>
  </conditionalFormatting>
  <conditionalFormatting sqref="AC125">
    <cfRule type="expression" dxfId="984" priority="84">
      <formula>$M125="NON DEFINED"</formula>
    </cfRule>
    <cfRule type="expression" dxfId="983" priority="85">
      <formula>$AY125="N.D."</formula>
    </cfRule>
  </conditionalFormatting>
  <conditionalFormatting sqref="B181:BA181">
    <cfRule type="expression" dxfId="982" priority="82">
      <formula>$M181="NON DEFINED"</formula>
    </cfRule>
    <cfRule type="expression" dxfId="981" priority="83">
      <formula>$AY181="N.D."</formula>
    </cfRule>
  </conditionalFormatting>
  <conditionalFormatting sqref="BE181 BG181">
    <cfRule type="containsBlanks" dxfId="980" priority="81">
      <formula>LEN(TRIM(BE181))=0</formula>
    </cfRule>
  </conditionalFormatting>
  <conditionalFormatting sqref="BC181">
    <cfRule type="containsText" dxfId="979" priority="79" operator="containsText" text="a">
      <formula>NOT(ISERROR(SEARCH("a",BC181)))</formula>
    </cfRule>
    <cfRule type="containsText" dxfId="978" priority="80" operator="containsText" text="R">
      <formula>NOT(ISERROR(SEARCH("R",BC181)))</formula>
    </cfRule>
  </conditionalFormatting>
  <conditionalFormatting sqref="BA181">
    <cfRule type="expression" dxfId="977" priority="78">
      <formula>$BC181="R"</formula>
    </cfRule>
  </conditionalFormatting>
  <conditionalFormatting sqref="AN181">
    <cfRule type="cellIs" dxfId="976" priority="77" operator="notEqual">
      <formula>5.5</formula>
    </cfRule>
  </conditionalFormatting>
  <conditionalFormatting sqref="AG183:AI183">
    <cfRule type="expression" dxfId="975" priority="75">
      <formula>$M183="NON DEFINED"</formula>
    </cfRule>
    <cfRule type="expression" dxfId="974" priority="76">
      <formula>$AY183="N.D."</formula>
    </cfRule>
  </conditionalFormatting>
  <conditionalFormatting sqref="AF193">
    <cfRule type="expression" dxfId="973" priority="73">
      <formula>$M193="NON DEFINED"</formula>
    </cfRule>
    <cfRule type="expression" dxfId="972" priority="74">
      <formula>$AY193="N.D."</formula>
    </cfRule>
  </conditionalFormatting>
  <conditionalFormatting sqref="AG193:AI193">
    <cfRule type="expression" dxfId="971" priority="71">
      <formula>$M193="NON DEFINED"</formula>
    </cfRule>
    <cfRule type="expression" dxfId="970" priority="72">
      <formula>$AY193="N.D."</formula>
    </cfRule>
  </conditionalFormatting>
  <conditionalFormatting sqref="B205:BA205">
    <cfRule type="expression" dxfId="969" priority="69">
      <formula>$M205="NON DEFINED"</formula>
    </cfRule>
    <cfRule type="expression" dxfId="968" priority="70">
      <formula>$AY205="N.D."</formula>
    </cfRule>
  </conditionalFormatting>
  <conditionalFormatting sqref="BE205 BG205">
    <cfRule type="containsBlanks" dxfId="967" priority="68">
      <formula>LEN(TRIM(BE205))=0</formula>
    </cfRule>
  </conditionalFormatting>
  <conditionalFormatting sqref="BC205">
    <cfRule type="containsText" dxfId="966" priority="66" operator="containsText" text="a">
      <formula>NOT(ISERROR(SEARCH("a",BC205)))</formula>
    </cfRule>
    <cfRule type="containsText" dxfId="965" priority="67" operator="containsText" text="R">
      <formula>NOT(ISERROR(SEARCH("R",BC205)))</formula>
    </cfRule>
  </conditionalFormatting>
  <conditionalFormatting sqref="BA205">
    <cfRule type="expression" dxfId="964" priority="65">
      <formula>$BC205="R"</formula>
    </cfRule>
  </conditionalFormatting>
  <conditionalFormatting sqref="AN205">
    <cfRule type="cellIs" dxfId="963" priority="64" operator="notEqual">
      <formula>5.5</formula>
    </cfRule>
  </conditionalFormatting>
  <conditionalFormatting sqref="B207:BA207">
    <cfRule type="expression" dxfId="962" priority="60">
      <formula>$M207="NON DEFINED"</formula>
    </cfRule>
    <cfRule type="expression" dxfId="961" priority="61">
      <formula>$AY207="N.D."</formula>
    </cfRule>
  </conditionalFormatting>
  <conditionalFormatting sqref="BE207 BG207">
    <cfRule type="containsBlanks" dxfId="960" priority="59">
      <formula>LEN(TRIM(BE207))=0</formula>
    </cfRule>
  </conditionalFormatting>
  <conditionalFormatting sqref="BC207">
    <cfRule type="containsText" dxfId="959" priority="57" operator="containsText" text="a">
      <formula>NOT(ISERROR(SEARCH("a",BC207)))</formula>
    </cfRule>
    <cfRule type="containsText" dxfId="958" priority="58" operator="containsText" text="R">
      <formula>NOT(ISERROR(SEARCH("R",BC207)))</formula>
    </cfRule>
  </conditionalFormatting>
  <conditionalFormatting sqref="BA207">
    <cfRule type="expression" dxfId="957" priority="56">
      <formula>$BC207="R"</formula>
    </cfRule>
  </conditionalFormatting>
  <conditionalFormatting sqref="AN207">
    <cfRule type="cellIs" dxfId="956" priority="55" operator="notEqual">
      <formula>5.5</formula>
    </cfRule>
  </conditionalFormatting>
  <conditionalFormatting sqref="B209:BA209">
    <cfRule type="expression" dxfId="955" priority="49">
      <formula>$M209="NON DEFINED"</formula>
    </cfRule>
    <cfRule type="expression" dxfId="954" priority="50">
      <formula>$AY209="N.D."</formula>
    </cfRule>
  </conditionalFormatting>
  <conditionalFormatting sqref="BE209 BG209">
    <cfRule type="containsBlanks" dxfId="953" priority="48">
      <formula>LEN(TRIM(BE209))=0</formula>
    </cfRule>
  </conditionalFormatting>
  <conditionalFormatting sqref="BC209">
    <cfRule type="containsText" dxfId="952" priority="46" operator="containsText" text="a">
      <formula>NOT(ISERROR(SEARCH("a",BC209)))</formula>
    </cfRule>
    <cfRule type="containsText" dxfId="951" priority="47" operator="containsText" text="R">
      <formula>NOT(ISERROR(SEARCH("R",BC209)))</formula>
    </cfRule>
  </conditionalFormatting>
  <conditionalFormatting sqref="BA209">
    <cfRule type="expression" dxfId="950" priority="45">
      <formula>$BC209="R"</formula>
    </cfRule>
  </conditionalFormatting>
  <conditionalFormatting sqref="AN209">
    <cfRule type="cellIs" dxfId="949" priority="44" operator="notEqual">
      <formula>5.5</formula>
    </cfRule>
  </conditionalFormatting>
  <conditionalFormatting sqref="B211:AB211 AD211:BA211">
    <cfRule type="expression" dxfId="948" priority="42">
      <formula>$M211="NON DEFINED"</formula>
    </cfRule>
    <cfRule type="expression" dxfId="947" priority="43">
      <formula>$AY211="N.D."</formula>
    </cfRule>
  </conditionalFormatting>
  <conditionalFormatting sqref="BE211 BG211">
    <cfRule type="containsBlanks" dxfId="946" priority="41">
      <formula>LEN(TRIM(BE211))=0</formula>
    </cfRule>
  </conditionalFormatting>
  <conditionalFormatting sqref="BC211">
    <cfRule type="containsText" dxfId="945" priority="39" operator="containsText" text="a">
      <formula>NOT(ISERROR(SEARCH("a",BC211)))</formula>
    </cfRule>
    <cfRule type="containsText" dxfId="944" priority="40" operator="containsText" text="R">
      <formula>NOT(ISERROR(SEARCH("R",BC211)))</formula>
    </cfRule>
  </conditionalFormatting>
  <conditionalFormatting sqref="BA211">
    <cfRule type="expression" dxfId="943" priority="38">
      <formula>$BC211="R"</formula>
    </cfRule>
  </conditionalFormatting>
  <conditionalFormatting sqref="AN211">
    <cfRule type="cellIs" dxfId="942" priority="37" operator="notEqual">
      <formula>5.5</formula>
    </cfRule>
  </conditionalFormatting>
  <conditionalFormatting sqref="AC211">
    <cfRule type="expression" dxfId="941" priority="35">
      <formula>$M211="NON DEFINED"</formula>
    </cfRule>
    <cfRule type="expression" dxfId="940" priority="36">
      <formula>$AY211="N.D."</formula>
    </cfRule>
  </conditionalFormatting>
  <conditionalFormatting sqref="B213:AB213 AD213:BA213">
    <cfRule type="expression" dxfId="939" priority="33">
      <formula>$M213="NON DEFINED"</formula>
    </cfRule>
    <cfRule type="expression" dxfId="938" priority="34">
      <formula>$AY213="N.D."</formula>
    </cfRule>
  </conditionalFormatting>
  <conditionalFormatting sqref="BE213 BG213">
    <cfRule type="containsBlanks" dxfId="937" priority="32">
      <formula>LEN(TRIM(BE213))=0</formula>
    </cfRule>
  </conditionalFormatting>
  <conditionalFormatting sqref="BC213">
    <cfRule type="containsText" dxfId="936" priority="30" operator="containsText" text="a">
      <formula>NOT(ISERROR(SEARCH("a",BC213)))</formula>
    </cfRule>
    <cfRule type="containsText" dxfId="935" priority="31" operator="containsText" text="R">
      <formula>NOT(ISERROR(SEARCH("R",BC213)))</formula>
    </cfRule>
  </conditionalFormatting>
  <conditionalFormatting sqref="BA213">
    <cfRule type="expression" dxfId="934" priority="29">
      <formula>$BC213="R"</formula>
    </cfRule>
  </conditionalFormatting>
  <conditionalFormatting sqref="AN213">
    <cfRule type="cellIs" dxfId="933" priority="28" operator="notEqual">
      <formula>5.5</formula>
    </cfRule>
  </conditionalFormatting>
  <conditionalFormatting sqref="AC213">
    <cfRule type="expression" dxfId="932" priority="26">
      <formula>$M213="NON DEFINED"</formula>
    </cfRule>
    <cfRule type="expression" dxfId="931" priority="27">
      <formula>$AY213="N.D."</formula>
    </cfRule>
  </conditionalFormatting>
  <conditionalFormatting sqref="B219:BA219">
    <cfRule type="expression" dxfId="930" priority="24">
      <formula>$M219="NON DEFINED"</formula>
    </cfRule>
    <cfRule type="expression" dxfId="929" priority="25">
      <formula>$AY219="N.D."</formula>
    </cfRule>
  </conditionalFormatting>
  <conditionalFormatting sqref="BE219 BG219">
    <cfRule type="containsBlanks" dxfId="928" priority="23">
      <formula>LEN(TRIM(BE219))=0</formula>
    </cfRule>
  </conditionalFormatting>
  <conditionalFormatting sqref="BC219">
    <cfRule type="containsText" dxfId="927" priority="21" operator="containsText" text="a">
      <formula>NOT(ISERROR(SEARCH("a",BC219)))</formula>
    </cfRule>
    <cfRule type="containsText" dxfId="926" priority="22" operator="containsText" text="R">
      <formula>NOT(ISERROR(SEARCH("R",BC219)))</formula>
    </cfRule>
  </conditionalFormatting>
  <conditionalFormatting sqref="BA219">
    <cfRule type="expression" dxfId="925" priority="20">
      <formula>$BC219="R"</formula>
    </cfRule>
  </conditionalFormatting>
  <conditionalFormatting sqref="AN219">
    <cfRule type="cellIs" dxfId="924" priority="19" operator="notEqual">
      <formula>5.5</formula>
    </cfRule>
  </conditionalFormatting>
  <conditionalFormatting sqref="AC221">
    <cfRule type="expression" dxfId="923" priority="17">
      <formula>$M221="NON DEFINED"</formula>
    </cfRule>
    <cfRule type="expression" dxfId="922" priority="18">
      <formula>$AY221="N.D."</formula>
    </cfRule>
  </conditionalFormatting>
  <conditionalFormatting sqref="AF221">
    <cfRule type="expression" dxfId="921" priority="15">
      <formula>$M221="NON DEFINED"</formula>
    </cfRule>
    <cfRule type="expression" dxfId="920" priority="16">
      <formula>$AY221="N.D."</formula>
    </cfRule>
  </conditionalFormatting>
  <conditionalFormatting sqref="B143:AE143 AG143:AI143">
    <cfRule type="expression" dxfId="919" priority="13">
      <formula>$M143="NON DEFINED"</formula>
    </cfRule>
    <cfRule type="expression" dxfId="918" priority="14">
      <formula>$AY143="N.D."</formula>
    </cfRule>
  </conditionalFormatting>
  <conditionalFormatting sqref="AF143">
    <cfRule type="expression" dxfId="917" priority="11">
      <formula>$M143="NON DEFINED"</formula>
    </cfRule>
    <cfRule type="expression" dxfId="916" priority="12">
      <formula>$AY143="N.D."</formula>
    </cfRule>
  </conditionalFormatting>
  <conditionalFormatting sqref="B145:AE145 AG145:AI145">
    <cfRule type="expression" dxfId="915" priority="9">
      <formula>$M145="NON DEFINED"</formula>
    </cfRule>
    <cfRule type="expression" dxfId="914" priority="10">
      <formula>$AY145="N.D."</formula>
    </cfRule>
  </conditionalFormatting>
  <conditionalFormatting sqref="AF145">
    <cfRule type="expression" dxfId="913" priority="7">
      <formula>$M145="NON DEFINED"</formula>
    </cfRule>
    <cfRule type="expression" dxfId="912" priority="8">
      <formula>$AY145="N.D."</formula>
    </cfRule>
  </conditionalFormatting>
  <conditionalFormatting sqref="B147:AE147 AG147:AI147">
    <cfRule type="expression" dxfId="911" priority="3">
      <formula>$M147="NON DEFINED"</formula>
    </cfRule>
    <cfRule type="expression" dxfId="910" priority="4">
      <formula>$AY147="N.D."</formula>
    </cfRule>
  </conditionalFormatting>
  <conditionalFormatting sqref="AF147">
    <cfRule type="expression" dxfId="909" priority="1">
      <formula>$M147="NON DEFINED"</formula>
    </cfRule>
    <cfRule type="expression" dxfId="908" priority="2">
      <formula>$AY147="N.D."</formula>
    </cfRule>
  </conditionalFormatting>
  <printOptions horizontalCentered="1" gridLines="1"/>
  <pageMargins left="0.39370078740157483" right="0.39370078740157483" top="0.78740157480314965" bottom="0.78740157480314965" header="0.31496062992125984" footer="0.31496062992125984"/>
  <pageSetup paperSize="8" scale="33" fitToHeight="0" orientation="landscape" r:id="rId1"/>
  <headerFooter alignWithMargins="0">
    <oddHeader>&amp;L&amp;G&amp;C
LAYOUT AND EQUIPMENT
EP06 TRACK 2 HER-TSA
KP85+000 - 92+700&amp;R&amp;G</oddHeader>
    <oddFooter>&amp;L&amp;G
&amp;F&amp;C&amp;D&amp;RPag &amp;P of &amp;N</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34">
    <tabColor theme="2" tint="-0.499984740745262"/>
    <pageSetUpPr fitToPage="1"/>
  </sheetPr>
  <dimension ref="A1:BG2165"/>
  <sheetViews>
    <sheetView view="pageBreakPreview" zoomScale="80" zoomScaleNormal="85" zoomScaleSheetLayoutView="80" workbookViewId="0">
      <pane xSplit="2" ySplit="3" topLeftCell="C4" activePane="bottomRight" state="frozen"/>
      <selection activeCell="G124" sqref="G124"/>
      <selection pane="topRight" activeCell="G124" sqref="G124"/>
      <selection pane="bottomLeft" activeCell="G124" sqref="G124"/>
      <selection pane="bottomRight" activeCell="G124" sqref="G124"/>
    </sheetView>
  </sheetViews>
  <sheetFormatPr baseColWidth="10" defaultColWidth="11.453125" defaultRowHeight="15.75" customHeight="1"/>
  <cols>
    <col min="1" max="1" width="20.6328125" style="178" customWidth="1"/>
    <col min="2" max="2" width="12.6328125" style="178" customWidth="1"/>
    <col min="3" max="3" width="12.6328125" style="184" customWidth="1"/>
    <col min="4" max="5" width="12.6328125" style="178" hidden="1" customWidth="1"/>
    <col min="6" max="6" width="12.6328125" style="178" customWidth="1"/>
    <col min="7" max="7" width="12.36328125" style="454" customWidth="1"/>
    <col min="8" max="8" width="18.6328125" style="178" customWidth="1"/>
    <col min="9" max="9" width="12.6328125" style="178" customWidth="1"/>
    <col min="10" max="10" width="12.6328125" style="184" customWidth="1"/>
    <col min="11" max="11" width="12.6328125" style="178" customWidth="1"/>
    <col min="12" max="13" width="14.6328125" style="178" customWidth="1"/>
    <col min="14" max="16" width="8.6328125" style="178" hidden="1" customWidth="1"/>
    <col min="17" max="19" width="12.6328125" style="178" hidden="1" customWidth="1"/>
    <col min="20" max="28" width="8.6328125" style="178" hidden="1" customWidth="1"/>
    <col min="29" max="31" width="10.6328125" style="178" hidden="1" customWidth="1"/>
    <col min="32" max="32" width="13.54296875" style="178" hidden="1" customWidth="1"/>
    <col min="33" max="33" width="12.6328125" style="184" hidden="1" customWidth="1"/>
    <col min="34" max="36" width="12.6328125" style="178" hidden="1" customWidth="1"/>
    <col min="37" max="38" width="12.6328125" style="178" customWidth="1"/>
    <col min="39" max="39" width="12.6328125" style="178" hidden="1" customWidth="1"/>
    <col min="40" max="42" width="8.6328125" style="169" hidden="1" customWidth="1"/>
    <col min="43" max="46" width="8.6328125" style="458" hidden="1" customWidth="1"/>
    <col min="47" max="48" width="8.6328125" style="169" hidden="1" customWidth="1"/>
    <col min="49" max="53" width="12.6328125" style="169" customWidth="1"/>
    <col min="54" max="54" width="21.6328125" style="178" customWidth="1"/>
    <col min="55" max="55" width="18" style="178" customWidth="1"/>
    <col min="56" max="59" width="14.54296875" style="1323" customWidth="1"/>
    <col min="60" max="60" width="11.453125" style="178" customWidth="1"/>
    <col min="61" max="16384" width="11.453125" style="178"/>
  </cols>
  <sheetData>
    <row r="1" spans="1:59" ht="35.25" customHeight="1">
      <c r="A1" s="1605" t="s">
        <v>4088</v>
      </c>
      <c r="B1" s="1605"/>
      <c r="C1" s="1605"/>
      <c r="D1" s="1605"/>
      <c r="E1" s="1605"/>
      <c r="F1" s="1605"/>
      <c r="G1" s="1605"/>
      <c r="H1" s="1605"/>
      <c r="I1" s="1605"/>
      <c r="J1" s="1605"/>
      <c r="K1" s="1605"/>
      <c r="L1" s="1605"/>
      <c r="M1" s="1605"/>
      <c r="N1" s="1605"/>
      <c r="O1" s="1605"/>
      <c r="P1" s="1605"/>
      <c r="Q1" s="1605"/>
      <c r="R1" s="1605"/>
      <c r="S1" s="1605"/>
      <c r="T1" s="1605"/>
      <c r="U1" s="1605"/>
      <c r="V1" s="1605"/>
      <c r="W1" s="1605"/>
      <c r="X1" s="1605"/>
      <c r="Y1" s="1605"/>
      <c r="Z1" s="1605"/>
      <c r="AA1" s="1605"/>
      <c r="AB1" s="1605"/>
      <c r="AC1" s="1605"/>
      <c r="AD1" s="1605"/>
      <c r="AE1" s="1605"/>
      <c r="AF1" s="1605"/>
      <c r="AG1" s="1605"/>
      <c r="AH1" s="1605"/>
      <c r="AI1" s="1605"/>
      <c r="AJ1" s="1605"/>
      <c r="AK1" s="1605"/>
      <c r="AL1" s="1605"/>
      <c r="AM1" s="1605"/>
      <c r="AN1" s="1605"/>
      <c r="AO1" s="1605"/>
      <c r="AP1" s="1605"/>
      <c r="AQ1" s="1605"/>
      <c r="AR1" s="1605"/>
      <c r="AS1" s="1605"/>
      <c r="AT1" s="1605"/>
      <c r="AU1" s="1605"/>
      <c r="AV1" s="1605"/>
      <c r="AW1" s="1605"/>
      <c r="AX1" s="1605"/>
      <c r="AY1" s="1605"/>
      <c r="AZ1" s="1605"/>
      <c r="BA1" s="1605"/>
      <c r="BB1" s="1605"/>
      <c r="BC1" s="693" t="s">
        <v>4947</v>
      </c>
      <c r="BD1" s="1599" t="s">
        <v>4916</v>
      </c>
      <c r="BE1" s="1599"/>
      <c r="BF1" s="1599"/>
      <c r="BG1" s="1599"/>
    </row>
    <row r="2" spans="1:59" s="699" customFormat="1" ht="42" customHeight="1">
      <c r="A2" s="1255" t="s">
        <v>4417</v>
      </c>
      <c r="B2" s="1255" t="s">
        <v>4418</v>
      </c>
      <c r="C2" s="884" t="s">
        <v>2315</v>
      </c>
      <c r="D2" s="1255" t="s">
        <v>4419</v>
      </c>
      <c r="E2" s="1255" t="s">
        <v>4855</v>
      </c>
      <c r="F2" s="1255" t="s">
        <v>4856</v>
      </c>
      <c r="G2" s="1255" t="s">
        <v>4857</v>
      </c>
      <c r="H2" s="1255" t="s">
        <v>455</v>
      </c>
      <c r="I2" s="1255" t="s">
        <v>454</v>
      </c>
      <c r="J2" s="1255" t="s">
        <v>4423</v>
      </c>
      <c r="K2" s="1255" t="s">
        <v>1362</v>
      </c>
      <c r="L2" s="1255" t="s">
        <v>456</v>
      </c>
      <c r="M2" s="1255" t="s">
        <v>453</v>
      </c>
      <c r="N2" s="1603" t="s">
        <v>457</v>
      </c>
      <c r="O2" s="1603"/>
      <c r="P2" s="1603"/>
      <c r="Q2" s="1255" t="s">
        <v>4858</v>
      </c>
      <c r="R2" s="1255" t="s">
        <v>4859</v>
      </c>
      <c r="S2" s="1255" t="s">
        <v>4860</v>
      </c>
      <c r="T2" s="1603" t="s">
        <v>4861</v>
      </c>
      <c r="U2" s="1603"/>
      <c r="V2" s="1603"/>
      <c r="W2" s="1603" t="s">
        <v>4862</v>
      </c>
      <c r="X2" s="1603"/>
      <c r="Y2" s="1603"/>
      <c r="Z2" s="1603" t="s">
        <v>4863</v>
      </c>
      <c r="AA2" s="1603"/>
      <c r="AB2" s="1603"/>
      <c r="AC2" s="1603" t="s">
        <v>628</v>
      </c>
      <c r="AD2" s="1603"/>
      <c r="AE2" s="1603"/>
      <c r="AF2" s="1255" t="s">
        <v>4872</v>
      </c>
      <c r="AG2" s="884" t="s">
        <v>4864</v>
      </c>
      <c r="AH2" s="1255" t="s">
        <v>4865</v>
      </c>
      <c r="AI2" s="1255" t="s">
        <v>4866</v>
      </c>
      <c r="AJ2" s="1255" t="s">
        <v>629</v>
      </c>
      <c r="AK2" s="1255" t="s">
        <v>458</v>
      </c>
      <c r="AL2" s="1255" t="s">
        <v>459</v>
      </c>
      <c r="AM2" s="1255" t="s">
        <v>631</v>
      </c>
      <c r="AN2" s="1603" t="s">
        <v>4867</v>
      </c>
      <c r="AO2" s="1603"/>
      <c r="AP2" s="1603"/>
      <c r="AQ2" s="1604" t="s">
        <v>460</v>
      </c>
      <c r="AR2" s="1604"/>
      <c r="AS2" s="1604"/>
      <c r="AT2" s="1603" t="s">
        <v>630</v>
      </c>
      <c r="AU2" s="1603"/>
      <c r="AV2" s="1603"/>
      <c r="AW2" s="1255" t="s">
        <v>4868</v>
      </c>
      <c r="AX2" s="1255" t="s">
        <v>4904</v>
      </c>
      <c r="AY2" s="1255" t="s">
        <v>4869</v>
      </c>
      <c r="AZ2" s="1255" t="s">
        <v>4870</v>
      </c>
      <c r="BA2" s="1255" t="s">
        <v>1670</v>
      </c>
      <c r="BB2" s="1255" t="s">
        <v>4871</v>
      </c>
      <c r="BC2" s="693" t="s">
        <v>4948</v>
      </c>
      <c r="BD2" s="1320" t="s">
        <v>453</v>
      </c>
      <c r="BE2" s="1320" t="s">
        <v>4922</v>
      </c>
      <c r="BF2" s="1320" t="s">
        <v>4915</v>
      </c>
      <c r="BG2" s="1320" t="s">
        <v>457</v>
      </c>
    </row>
    <row r="3" spans="1:59" ht="15.75" customHeight="1">
      <c r="A3" s="1239"/>
      <c r="B3" s="1239"/>
      <c r="C3" s="171"/>
      <c r="D3" s="1239"/>
      <c r="E3" s="1239"/>
      <c r="F3" s="172"/>
      <c r="G3" s="1239"/>
      <c r="H3" s="1239"/>
      <c r="I3" s="1239"/>
      <c r="J3" s="171"/>
      <c r="K3" s="1239"/>
      <c r="L3" s="1239"/>
      <c r="M3" s="1239"/>
      <c r="N3" s="420" t="s">
        <v>123</v>
      </c>
      <c r="O3" s="420" t="s">
        <v>124</v>
      </c>
      <c r="P3" s="420" t="s">
        <v>125</v>
      </c>
      <c r="Q3" s="1239"/>
      <c r="R3" s="1239"/>
      <c r="S3" s="1239"/>
      <c r="T3" s="676" t="s">
        <v>126</v>
      </c>
      <c r="U3" s="676" t="s">
        <v>127</v>
      </c>
      <c r="V3" s="676" t="s">
        <v>128</v>
      </c>
      <c r="W3" s="676" t="s">
        <v>129</v>
      </c>
      <c r="X3" s="676" t="s">
        <v>130</v>
      </c>
      <c r="Y3" s="676" t="s">
        <v>131</v>
      </c>
      <c r="Z3" s="676" t="s">
        <v>132</v>
      </c>
      <c r="AA3" s="676" t="s">
        <v>133</v>
      </c>
      <c r="AB3" s="676" t="s">
        <v>134</v>
      </c>
      <c r="AC3" s="676" t="s">
        <v>135</v>
      </c>
      <c r="AD3" s="676" t="s">
        <v>136</v>
      </c>
      <c r="AE3" s="676" t="s">
        <v>137</v>
      </c>
      <c r="AF3" s="1239"/>
      <c r="AG3" s="171"/>
      <c r="AH3" s="1239"/>
      <c r="AI3" s="1239"/>
      <c r="AJ3" s="1239"/>
      <c r="AK3" s="1239"/>
      <c r="AL3" s="1239"/>
      <c r="AM3" s="1239"/>
      <c r="AN3" s="676" t="s">
        <v>129</v>
      </c>
      <c r="AO3" s="676" t="s">
        <v>130</v>
      </c>
      <c r="AP3" s="676" t="s">
        <v>131</v>
      </c>
      <c r="AQ3" s="697" t="s">
        <v>613</v>
      </c>
      <c r="AR3" s="697" t="s">
        <v>614</v>
      </c>
      <c r="AS3" s="697" t="s">
        <v>615</v>
      </c>
      <c r="AT3" s="697" t="s">
        <v>616</v>
      </c>
      <c r="AU3" s="676" t="s">
        <v>617</v>
      </c>
      <c r="AV3" s="676" t="s">
        <v>618</v>
      </c>
      <c r="AW3" s="1239"/>
      <c r="AX3" s="1239"/>
      <c r="AY3" s="1239"/>
      <c r="AZ3" s="1239"/>
      <c r="BA3" s="1239"/>
      <c r="BB3" s="1239"/>
      <c r="BD3" s="1239"/>
      <c r="BE3" s="1239"/>
      <c r="BF3" s="1239"/>
      <c r="BG3" s="1239"/>
    </row>
    <row r="4" spans="1:59" ht="15.75" customHeight="1">
      <c r="A4" s="1239"/>
      <c r="B4" s="173"/>
      <c r="C4" s="446"/>
      <c r="D4" s="447"/>
      <c r="E4" s="447"/>
      <c r="F4" s="1239"/>
      <c r="G4" s="484"/>
      <c r="H4" s="1239"/>
      <c r="I4" s="1239"/>
      <c r="J4" s="446">
        <f>C5-7.5</f>
        <v>82617.73</v>
      </c>
      <c r="K4" s="638" t="s">
        <v>2787</v>
      </c>
      <c r="L4" s="638"/>
      <c r="M4" s="638"/>
      <c r="N4" s="1239"/>
      <c r="O4" s="1239"/>
      <c r="P4" s="638"/>
      <c r="Q4" s="638"/>
      <c r="R4" s="638"/>
      <c r="S4" s="484"/>
      <c r="T4" s="638"/>
      <c r="U4" s="638"/>
      <c r="V4" s="638"/>
      <c r="W4" s="638"/>
      <c r="X4" s="638"/>
      <c r="Y4" s="638"/>
      <c r="Z4" s="638"/>
      <c r="AA4" s="638"/>
      <c r="AB4" s="638"/>
      <c r="AC4" s="638"/>
      <c r="AD4" s="638"/>
      <c r="AE4" s="638"/>
      <c r="AF4" s="638"/>
      <c r="AG4" s="446"/>
      <c r="AH4" s="638"/>
      <c r="AI4" s="185"/>
      <c r="AJ4" s="638"/>
      <c r="AK4" s="1239"/>
      <c r="AL4" s="638"/>
      <c r="AM4" s="638"/>
      <c r="AN4" s="455"/>
      <c r="AO4" s="1239"/>
      <c r="AP4" s="1239"/>
      <c r="AQ4" s="484"/>
      <c r="AR4" s="484"/>
      <c r="AS4" s="484"/>
      <c r="AT4" s="484"/>
      <c r="AU4" s="638"/>
      <c r="AV4" s="638"/>
      <c r="AW4" s="638" t="str">
        <f>VLOOKUP(J4,'Foundation Calculation'!$A$2:$C$33,3,1)</f>
        <v>Soil A</v>
      </c>
      <c r="AX4" s="638" t="str">
        <f>VLOOKUP(J4,'Foundation Calculation'!$E$2:$G$33,3,1)</f>
        <v>PT</v>
      </c>
      <c r="AY4" s="484"/>
      <c r="AZ4" s="484">
        <f>IF(AX4="PT",VLOOKUP(K4,'Foundation Calculation'!$K$2:$R$40,VLOOKUP(AW4,'Foundation Calculation'!$I$2:$J$8,2,FALSE),0),IF(AX4="K",VLOOKUP(K4,'Foundation Calculation'!$K$42:$R$80,VLOOKUP(AW4,'Foundation Calculation'!$I$2:$J$8,2,FALSE),0),""))</f>
        <v>3.3</v>
      </c>
      <c r="BA4" s="671" t="s">
        <v>2809</v>
      </c>
      <c r="BB4" s="1239"/>
      <c r="BC4" s="169"/>
      <c r="BD4" s="1329"/>
      <c r="BE4" s="1330"/>
      <c r="BF4" s="1330"/>
      <c r="BG4" s="1330"/>
    </row>
    <row r="5" spans="1:59" ht="15.75" customHeight="1">
      <c r="A5" s="1239"/>
      <c r="B5" s="485" t="s">
        <v>3809</v>
      </c>
      <c r="C5" s="446">
        <v>82625.23</v>
      </c>
      <c r="D5" s="445"/>
      <c r="E5" s="445"/>
      <c r="F5" s="445" t="s">
        <v>2312</v>
      </c>
      <c r="G5" s="484"/>
      <c r="H5" s="445" t="s">
        <v>138</v>
      </c>
      <c r="I5" s="445" t="s">
        <v>623</v>
      </c>
      <c r="J5" s="446"/>
      <c r="K5" s="638"/>
      <c r="L5" s="638" t="s">
        <v>2670</v>
      </c>
      <c r="M5" s="445"/>
      <c r="N5" s="445"/>
      <c r="O5" s="445"/>
      <c r="P5" s="445"/>
      <c r="Q5" s="638"/>
      <c r="R5" s="638"/>
      <c r="S5" s="484"/>
      <c r="T5" s="759">
        <v>35</v>
      </c>
      <c r="U5" s="638"/>
      <c r="V5" s="638"/>
      <c r="W5" s="638"/>
      <c r="X5" s="638"/>
      <c r="Y5" s="638"/>
      <c r="Z5" s="638"/>
      <c r="AA5" s="638"/>
      <c r="AB5" s="638"/>
      <c r="AC5" s="638"/>
      <c r="AD5" s="638"/>
      <c r="AE5" s="638"/>
      <c r="AF5" s="638"/>
      <c r="AG5" s="446"/>
      <c r="AH5" s="638"/>
      <c r="AI5" s="185"/>
      <c r="AJ5" s="445"/>
      <c r="AK5" s="445"/>
      <c r="AL5" s="445"/>
      <c r="AM5" s="445" t="s">
        <v>1042</v>
      </c>
      <c r="AN5" s="455">
        <v>5.5</v>
      </c>
      <c r="AO5" s="1239"/>
      <c r="AP5" s="1239"/>
      <c r="AQ5" s="484"/>
      <c r="AR5" s="484"/>
      <c r="AS5" s="484"/>
      <c r="AT5" s="484"/>
      <c r="AU5" s="638"/>
      <c r="AV5" s="638"/>
      <c r="AW5" s="638"/>
      <c r="AX5" s="638"/>
      <c r="AY5" s="484"/>
      <c r="AZ5" s="484"/>
      <c r="BA5" s="671"/>
      <c r="BB5" s="1239"/>
      <c r="BC5" s="169"/>
      <c r="BD5" s="1330"/>
      <c r="BE5" s="1330"/>
      <c r="BF5" s="1330"/>
      <c r="BG5" s="1330"/>
    </row>
    <row r="6" spans="1:59" ht="15.75" customHeight="1">
      <c r="A6" s="1239"/>
      <c r="B6" s="173"/>
      <c r="C6" s="446"/>
      <c r="D6" s="447"/>
      <c r="E6" s="447"/>
      <c r="F6" s="1239"/>
      <c r="G6" s="484">
        <v>60</v>
      </c>
      <c r="H6" s="1239"/>
      <c r="I6" s="172"/>
      <c r="J6" s="446"/>
      <c r="K6" s="638"/>
      <c r="L6" s="638"/>
      <c r="M6" s="638"/>
      <c r="N6" s="1239"/>
      <c r="O6" s="1239"/>
      <c r="P6" s="638"/>
      <c r="Q6" s="638"/>
      <c r="R6" s="638"/>
      <c r="S6" s="484"/>
      <c r="T6" s="638"/>
      <c r="U6" s="638"/>
      <c r="V6" s="638"/>
      <c r="W6" s="638"/>
      <c r="X6" s="638"/>
      <c r="Y6" s="638"/>
      <c r="Z6" s="638"/>
      <c r="AA6" s="638"/>
      <c r="AB6" s="638"/>
      <c r="AC6" s="638"/>
      <c r="AD6" s="638"/>
      <c r="AE6" s="638"/>
      <c r="AF6" s="638"/>
      <c r="AG6" s="446"/>
      <c r="AH6" s="638"/>
      <c r="AI6" s="185"/>
      <c r="AJ6" s="638"/>
      <c r="AK6" s="1239"/>
      <c r="AL6" s="638"/>
      <c r="AM6" s="445"/>
      <c r="AN6" s="455"/>
      <c r="AO6" s="1239"/>
      <c r="AP6" s="1239"/>
      <c r="AQ6" s="484">
        <f>+FL_2($T$7,$T$5,$G$6,1200,9.28, 1*$F$7)</f>
        <v>-0.43600286799999999</v>
      </c>
      <c r="AR6" s="484"/>
      <c r="AS6" s="484"/>
      <c r="AT6" s="484"/>
      <c r="AU6" s="638"/>
      <c r="AV6" s="638"/>
      <c r="AW6" s="484"/>
      <c r="AX6" s="484"/>
      <c r="AY6" s="484"/>
      <c r="AZ6" s="484"/>
      <c r="BA6" s="671"/>
      <c r="BB6" s="1239"/>
      <c r="BC6" s="169"/>
      <c r="BD6" s="1330"/>
      <c r="BE6" s="1330"/>
      <c r="BF6" s="1330"/>
      <c r="BG6" s="1330"/>
    </row>
    <row r="7" spans="1:59" ht="15.75" customHeight="1">
      <c r="A7" s="1239"/>
      <c r="B7" s="435" t="s">
        <v>3871</v>
      </c>
      <c r="C7" s="446">
        <f>+$C$5+$G$6</f>
        <v>82685.23</v>
      </c>
      <c r="D7" s="447"/>
      <c r="E7" s="447"/>
      <c r="F7" s="1239">
        <v>0</v>
      </c>
      <c r="G7" s="484"/>
      <c r="H7" s="1239"/>
      <c r="I7" s="1239"/>
      <c r="J7" s="446" t="s">
        <v>1039</v>
      </c>
      <c r="K7" s="638"/>
      <c r="L7" s="638"/>
      <c r="M7" s="638"/>
      <c r="N7" s="1239" t="s">
        <v>843</v>
      </c>
      <c r="O7" s="1239"/>
      <c r="P7" s="638"/>
      <c r="Q7" s="638"/>
      <c r="R7" s="638"/>
      <c r="S7" s="484"/>
      <c r="T7" s="638">
        <v>-35</v>
      </c>
      <c r="U7" s="638"/>
      <c r="V7" s="638"/>
      <c r="W7" s="638">
        <v>1.4</v>
      </c>
      <c r="X7" s="638"/>
      <c r="Y7" s="638"/>
      <c r="Z7" s="638"/>
      <c r="AA7" s="638"/>
      <c r="AB7" s="638"/>
      <c r="AC7" s="638" t="str">
        <f>IF(OR(AT7&gt;8,AT7&lt;-8),"PH",IF(OR(AT7&gt;5,AT7&lt;-5),"PH-Q",IF(OR(AT7&gt;1,AT7&lt;-1),"PH-C")))</f>
        <v>PH</v>
      </c>
      <c r="AD7" s="638"/>
      <c r="AE7" s="638"/>
      <c r="AF7" s="638"/>
      <c r="AG7" s="446"/>
      <c r="AH7" s="638"/>
      <c r="AI7" s="185"/>
      <c r="AJ7" s="638"/>
      <c r="AK7" s="1239" t="s">
        <v>139</v>
      </c>
      <c r="AL7" s="638"/>
      <c r="AM7" s="638"/>
      <c r="AN7" s="455">
        <v>5.5</v>
      </c>
      <c r="AO7" s="1239"/>
      <c r="AP7" s="1239"/>
      <c r="AQ7" s="484"/>
      <c r="AR7" s="484"/>
      <c r="AS7" s="484"/>
      <c r="AT7" s="484">
        <f>+ab($T$7,$T$5,$T$9,$G$6,$G$8, 1*$F$7,1200)</f>
        <v>-8.1682020423530854</v>
      </c>
      <c r="AU7" s="638"/>
      <c r="AV7" s="638"/>
      <c r="AW7" s="638"/>
      <c r="AX7" s="638"/>
      <c r="AY7" s="484"/>
      <c r="AZ7" s="484"/>
      <c r="BA7" s="671"/>
      <c r="BB7" s="1239"/>
      <c r="BC7" s="169"/>
      <c r="BD7" s="1330"/>
      <c r="BE7" s="1329"/>
      <c r="BF7" s="1330"/>
      <c r="BG7" s="1329"/>
    </row>
    <row r="8" spans="1:59" ht="15.75" customHeight="1">
      <c r="A8" s="1239"/>
      <c r="B8" s="173"/>
      <c r="C8" s="446"/>
      <c r="D8" s="447"/>
      <c r="E8" s="447"/>
      <c r="F8" s="1239"/>
      <c r="G8" s="484">
        <v>60</v>
      </c>
      <c r="H8" s="1239"/>
      <c r="I8" s="445"/>
      <c r="J8" s="446"/>
      <c r="K8" s="638"/>
      <c r="L8" s="638"/>
      <c r="M8" s="638"/>
      <c r="N8" s="1239"/>
      <c r="O8" s="1239"/>
      <c r="P8" s="638"/>
      <c r="Q8" s="638"/>
      <c r="R8" s="638"/>
      <c r="S8" s="484"/>
      <c r="T8" s="638"/>
      <c r="U8" s="638"/>
      <c r="V8" s="638"/>
      <c r="W8" s="638"/>
      <c r="X8" s="638"/>
      <c r="Y8" s="638"/>
      <c r="Z8" s="638"/>
      <c r="AA8" s="638"/>
      <c r="AB8" s="638"/>
      <c r="AC8" s="638"/>
      <c r="AD8" s="638"/>
      <c r="AE8" s="638"/>
      <c r="AF8" s="638"/>
      <c r="AG8" s="446"/>
      <c r="AH8" s="638"/>
      <c r="AI8" s="185"/>
      <c r="AJ8" s="638"/>
      <c r="AK8" s="1239"/>
      <c r="AL8" s="638"/>
      <c r="AM8" s="445"/>
      <c r="AN8" s="455"/>
      <c r="AO8" s="1239"/>
      <c r="AP8" s="1239"/>
      <c r="AQ8" s="484">
        <f>+FL_1($T$9,$T$7,$G$8,1200,9.28, 1*$F$9)</f>
        <v>0.43600286799999999</v>
      </c>
      <c r="AR8" s="484"/>
      <c r="AS8" s="484"/>
      <c r="AT8" s="484"/>
      <c r="AU8" s="638"/>
      <c r="AV8" s="638"/>
      <c r="AW8" s="484"/>
      <c r="AX8" s="484"/>
      <c r="AY8" s="484"/>
      <c r="AZ8" s="484"/>
      <c r="BA8" s="671"/>
      <c r="BB8" s="1239"/>
      <c r="BC8" s="169"/>
      <c r="BD8" s="1330"/>
      <c r="BE8" s="1330"/>
      <c r="BF8" s="1330"/>
      <c r="BG8" s="1330"/>
    </row>
    <row r="9" spans="1:59" ht="15.75" customHeight="1">
      <c r="A9" s="1239"/>
      <c r="B9" s="435" t="s">
        <v>3872</v>
      </c>
      <c r="C9" s="446">
        <f>+$C$7+$G$8</f>
        <v>82745.23</v>
      </c>
      <c r="D9" s="447"/>
      <c r="E9" s="447"/>
      <c r="F9" s="1239">
        <v>0</v>
      </c>
      <c r="G9" s="484"/>
      <c r="H9" s="1239"/>
      <c r="I9" s="455"/>
      <c r="J9" s="446"/>
      <c r="K9" s="638"/>
      <c r="L9" s="638"/>
      <c r="M9" s="638"/>
      <c r="N9" s="1239" t="s">
        <v>844</v>
      </c>
      <c r="O9" s="1239"/>
      <c r="P9" s="638"/>
      <c r="Q9" s="638"/>
      <c r="R9" s="638"/>
      <c r="S9" s="484"/>
      <c r="T9" s="638">
        <v>35</v>
      </c>
      <c r="U9" s="638"/>
      <c r="V9" s="638"/>
      <c r="W9" s="638">
        <v>1.4</v>
      </c>
      <c r="X9" s="638"/>
      <c r="Y9" s="638"/>
      <c r="Z9" s="638"/>
      <c r="AA9" s="638"/>
      <c r="AB9" s="638"/>
      <c r="AC9" s="638" t="str">
        <f>IF(OR(AT9&gt;8,AT9&lt;-8),"PH",IF(OR(AT9&gt;5,AT9&lt;-5),"PH-Q",IF(OR(AT9&gt;1,AT9&lt;-1),"PH-C")))</f>
        <v>PH</v>
      </c>
      <c r="AD9" s="638"/>
      <c r="AE9" s="638"/>
      <c r="AF9" s="638"/>
      <c r="AG9" s="446"/>
      <c r="AH9" s="638"/>
      <c r="AI9" s="185"/>
      <c r="AJ9" s="638"/>
      <c r="AK9" s="1239" t="s">
        <v>139</v>
      </c>
      <c r="AL9" s="638"/>
      <c r="AM9" s="638"/>
      <c r="AN9" s="455">
        <v>5.5</v>
      </c>
      <c r="AO9" s="1239"/>
      <c r="AP9" s="1239"/>
      <c r="AQ9" s="484"/>
      <c r="AR9" s="484"/>
      <c r="AS9" s="484"/>
      <c r="AT9" s="484">
        <f>+ab($T$9,$T$7,$T$11,$G$8,$G$10, 1*$F$9,1200)</f>
        <v>8.5979659007368987</v>
      </c>
      <c r="AU9" s="638"/>
      <c r="AV9" s="638"/>
      <c r="AW9" s="638"/>
      <c r="AX9" s="638"/>
      <c r="AY9" s="484"/>
      <c r="AZ9" s="484"/>
      <c r="BA9" s="671"/>
      <c r="BB9" s="1239"/>
      <c r="BC9" s="169"/>
      <c r="BD9" s="1330"/>
      <c r="BE9" s="1329"/>
      <c r="BF9" s="1330"/>
      <c r="BG9" s="1329"/>
    </row>
    <row r="10" spans="1:59" ht="15.75" customHeight="1">
      <c r="A10" s="449"/>
      <c r="B10" s="445"/>
      <c r="C10" s="446"/>
      <c r="D10" s="445"/>
      <c r="E10" s="445"/>
      <c r="F10" s="445"/>
      <c r="G10" s="484">
        <v>62</v>
      </c>
      <c r="H10" s="445"/>
      <c r="I10" s="1239"/>
      <c r="J10" s="446"/>
      <c r="K10" s="638"/>
      <c r="L10" s="445"/>
      <c r="M10" s="445"/>
      <c r="N10" s="1239"/>
      <c r="O10" s="1239"/>
      <c r="P10" s="445"/>
      <c r="Q10" s="638"/>
      <c r="R10" s="638"/>
      <c r="S10" s="484"/>
      <c r="T10" s="638"/>
      <c r="U10" s="638"/>
      <c r="V10" s="638"/>
      <c r="W10" s="638"/>
      <c r="X10" s="638"/>
      <c r="Y10" s="638"/>
      <c r="Z10" s="638"/>
      <c r="AA10" s="638"/>
      <c r="AB10" s="638"/>
      <c r="AC10" s="638"/>
      <c r="AD10" s="638"/>
      <c r="AE10" s="638"/>
      <c r="AF10" s="638"/>
      <c r="AG10" s="446"/>
      <c r="AH10" s="638"/>
      <c r="AI10" s="185"/>
      <c r="AJ10" s="445"/>
      <c r="AK10" s="445"/>
      <c r="AL10" s="445"/>
      <c r="AM10" s="445"/>
      <c r="AN10" s="484"/>
      <c r="AO10" s="445"/>
      <c r="AP10" s="445"/>
      <c r="AQ10" s="484">
        <f>+FL_1($T$11,$T$9,$G$10,1200,9.28, 1*$F$11)</f>
        <v>0.46765016498924739</v>
      </c>
      <c r="AR10" s="484"/>
      <c r="AS10" s="484"/>
      <c r="AT10" s="484"/>
      <c r="AU10" s="638"/>
      <c r="AV10" s="638"/>
      <c r="AW10" s="484"/>
      <c r="AX10" s="484"/>
      <c r="AY10" s="484"/>
      <c r="AZ10" s="484"/>
      <c r="BA10" s="1304"/>
      <c r="BB10" s="449"/>
      <c r="BC10" s="169"/>
      <c r="BD10" s="1330"/>
      <c r="BE10" s="1330"/>
      <c r="BF10" s="1330"/>
      <c r="BG10" s="1330"/>
    </row>
    <row r="11" spans="1:59" ht="15.75" customHeight="1">
      <c r="A11" s="449"/>
      <c r="B11" s="485" t="s">
        <v>3873</v>
      </c>
      <c r="C11" s="446">
        <f>+$C$9+$G$10</f>
        <v>82807.23</v>
      </c>
      <c r="D11" s="445"/>
      <c r="E11" s="445"/>
      <c r="F11" s="445" t="s">
        <v>2312</v>
      </c>
      <c r="G11" s="484"/>
      <c r="H11" s="445"/>
      <c r="I11" s="1239"/>
      <c r="J11" s="171"/>
      <c r="K11" s="1239"/>
      <c r="L11" s="638"/>
      <c r="M11" s="638"/>
      <c r="N11" s="1239" t="s">
        <v>843</v>
      </c>
      <c r="O11" s="1239"/>
      <c r="P11" s="638"/>
      <c r="Q11" s="638"/>
      <c r="R11" s="638"/>
      <c r="S11" s="484"/>
      <c r="T11" s="638">
        <v>-30</v>
      </c>
      <c r="U11" s="638"/>
      <c r="V11" s="638"/>
      <c r="W11" s="638">
        <v>1.4</v>
      </c>
      <c r="X11" s="638"/>
      <c r="Y11" s="638"/>
      <c r="Z11" s="638"/>
      <c r="AA11" s="638"/>
      <c r="AB11" s="638"/>
      <c r="AC11" s="638" t="str">
        <f>IF(OR(AT11&gt;8,AT11&lt;-8),"PH",IF(OR(AT11&gt;5,AT11&lt;-5),"PH-Q",IF(OR(AT11&gt;1,AT11&lt;-1),"PH-C")))</f>
        <v>PH</v>
      </c>
      <c r="AD11" s="638"/>
      <c r="AE11" s="638"/>
      <c r="AF11" s="638"/>
      <c r="AG11" s="446"/>
      <c r="AH11" s="638"/>
      <c r="AI11" s="185"/>
      <c r="AJ11" s="638"/>
      <c r="AK11" s="1239" t="s">
        <v>139</v>
      </c>
      <c r="AL11" s="638"/>
      <c r="AM11" s="638"/>
      <c r="AN11" s="455">
        <v>5.41</v>
      </c>
      <c r="AO11" s="1239"/>
      <c r="AP11" s="1239"/>
      <c r="AQ11" s="484"/>
      <c r="AR11" s="484"/>
      <c r="AS11" s="484"/>
      <c r="AT11" s="484">
        <f>+ab($T$11,$T$9,$T$13,$G$10,$G$12, 1*$F$11,1200)</f>
        <v>-9.4317764335998842</v>
      </c>
      <c r="AU11" s="638"/>
      <c r="AV11" s="638"/>
      <c r="AW11" s="638"/>
      <c r="AX11" s="638"/>
      <c r="AY11" s="484"/>
      <c r="AZ11" s="484"/>
      <c r="BA11" s="671"/>
      <c r="BB11" s="449"/>
      <c r="BC11" s="169"/>
      <c r="BD11" s="1330"/>
      <c r="BE11" s="1329"/>
      <c r="BF11" s="1330"/>
      <c r="BG11" s="1329"/>
    </row>
    <row r="12" spans="1:59" ht="15.75" customHeight="1">
      <c r="A12" s="449"/>
      <c r="B12" s="445"/>
      <c r="C12" s="446"/>
      <c r="D12" s="445"/>
      <c r="E12" s="445"/>
      <c r="F12" s="445"/>
      <c r="G12" s="484">
        <v>62</v>
      </c>
      <c r="H12" s="445"/>
      <c r="I12" s="445"/>
      <c r="J12" s="446"/>
      <c r="K12" s="638"/>
      <c r="L12" s="445"/>
      <c r="M12" s="445"/>
      <c r="N12" s="445"/>
      <c r="O12" s="445"/>
      <c r="P12" s="445"/>
      <c r="Q12" s="638"/>
      <c r="R12" s="638"/>
      <c r="S12" s="484"/>
      <c r="T12" s="638"/>
      <c r="U12" s="638"/>
      <c r="V12" s="638"/>
      <c r="W12" s="638"/>
      <c r="X12" s="638"/>
      <c r="Y12" s="638"/>
      <c r="Z12" s="638"/>
      <c r="AA12" s="638"/>
      <c r="AB12" s="638"/>
      <c r="AC12" s="638"/>
      <c r="AD12" s="638"/>
      <c r="AE12" s="638"/>
      <c r="AF12" s="638"/>
      <c r="AG12" s="446"/>
      <c r="AH12" s="638"/>
      <c r="AI12" s="185"/>
      <c r="AJ12" s="445"/>
      <c r="AK12" s="445"/>
      <c r="AL12" s="445"/>
      <c r="AM12" s="445"/>
      <c r="AN12" s="484"/>
      <c r="AO12" s="445"/>
      <c r="AP12" s="445"/>
      <c r="AQ12" s="484">
        <f>+FL_1($T$13,$T$11,$G$12,1200,9.28, 1*$F$13)</f>
        <v>0.47325456628185525</v>
      </c>
      <c r="AR12" s="484"/>
      <c r="AS12" s="484"/>
      <c r="AT12" s="484"/>
      <c r="AU12" s="638"/>
      <c r="AV12" s="638"/>
      <c r="AW12" s="484"/>
      <c r="AX12" s="484"/>
      <c r="AY12" s="484"/>
      <c r="AZ12" s="484"/>
      <c r="BA12" s="1304"/>
      <c r="BB12" s="449"/>
      <c r="BC12" s="169"/>
      <c r="BD12" s="1330"/>
      <c r="BE12" s="1330"/>
      <c r="BF12" s="1330"/>
      <c r="BG12" s="1330"/>
    </row>
    <row r="13" spans="1:59" ht="15.75" customHeight="1">
      <c r="A13" s="449"/>
      <c r="B13" s="485" t="s">
        <v>3874</v>
      </c>
      <c r="C13" s="446">
        <f>+$C$11+$G$12</f>
        <v>82869.23</v>
      </c>
      <c r="D13" s="445"/>
      <c r="E13" s="445"/>
      <c r="F13" s="445" t="s">
        <v>4096</v>
      </c>
      <c r="G13" s="484"/>
      <c r="H13" s="445"/>
      <c r="I13" s="455"/>
      <c r="J13" s="446"/>
      <c r="K13" s="445"/>
      <c r="L13" s="638"/>
      <c r="M13" s="638"/>
      <c r="N13" s="1239" t="s">
        <v>844</v>
      </c>
      <c r="O13" s="1239"/>
      <c r="P13" s="638"/>
      <c r="Q13" s="638"/>
      <c r="R13" s="638"/>
      <c r="S13" s="484"/>
      <c r="T13" s="638">
        <v>30</v>
      </c>
      <c r="U13" s="638"/>
      <c r="V13" s="638"/>
      <c r="W13" s="638">
        <v>1.4</v>
      </c>
      <c r="X13" s="638"/>
      <c r="Y13" s="638"/>
      <c r="Z13" s="638"/>
      <c r="AA13" s="638"/>
      <c r="AB13" s="638"/>
      <c r="AC13" s="638" t="str">
        <f>IF(OR(AT13&gt;8,AT13&lt;-8),"PH",IF(OR(AT13&gt;5,AT13&lt;-5),"PH-Q",IF(OR(AT13&gt;1,AT13&lt;-1),"PH-C")))</f>
        <v>PH</v>
      </c>
      <c r="AD13" s="638"/>
      <c r="AE13" s="638"/>
      <c r="AF13" s="638"/>
      <c r="AG13" s="446"/>
      <c r="AH13" s="638"/>
      <c r="AI13" s="185"/>
      <c r="AJ13" s="638"/>
      <c r="AK13" s="1239" t="s">
        <v>139</v>
      </c>
      <c r="AL13" s="638"/>
      <c r="AM13" s="638"/>
      <c r="AN13" s="455">
        <v>5.32</v>
      </c>
      <c r="AO13" s="1239"/>
      <c r="AP13" s="1239"/>
      <c r="AQ13" s="484"/>
      <c r="AR13" s="484"/>
      <c r="AS13" s="484"/>
      <c r="AT13" s="484">
        <f>+ab($T$13,$T$11,$T$15,$G$12,$G$14, 1*$F$13,1200)</f>
        <v>15.80013938049184</v>
      </c>
      <c r="AU13" s="638"/>
      <c r="AV13" s="638"/>
      <c r="AW13" s="638"/>
      <c r="AX13" s="638"/>
      <c r="AY13" s="484"/>
      <c r="AZ13" s="484"/>
      <c r="BA13" s="671"/>
      <c r="BB13" s="449"/>
      <c r="BC13" s="169"/>
      <c r="BD13" s="1330"/>
      <c r="BE13" s="1329"/>
      <c r="BF13" s="1330"/>
      <c r="BG13" s="1329"/>
    </row>
    <row r="14" spans="1:59" ht="15.75" customHeight="1">
      <c r="A14" s="449"/>
      <c r="B14" s="445"/>
      <c r="C14" s="446"/>
      <c r="D14" s="445"/>
      <c r="E14" s="445"/>
      <c r="F14" s="445"/>
      <c r="G14" s="484">
        <v>60.4</v>
      </c>
      <c r="H14" s="445"/>
      <c r="I14" s="1239"/>
      <c r="J14" s="446"/>
      <c r="K14" s="445"/>
      <c r="L14" s="445"/>
      <c r="M14" s="445"/>
      <c r="N14" s="1239"/>
      <c r="O14" s="445"/>
      <c r="P14" s="445"/>
      <c r="Q14" s="638"/>
      <c r="R14" s="638"/>
      <c r="S14" s="484"/>
      <c r="T14" s="638"/>
      <c r="U14" s="638"/>
      <c r="V14" s="638"/>
      <c r="W14" s="638"/>
      <c r="X14" s="638"/>
      <c r="Y14" s="638"/>
      <c r="Z14" s="638"/>
      <c r="AA14" s="638"/>
      <c r="AB14" s="638"/>
      <c r="AC14" s="638"/>
      <c r="AD14" s="638"/>
      <c r="AE14" s="638"/>
      <c r="AF14" s="638"/>
      <c r="AG14" s="446"/>
      <c r="AH14" s="638"/>
      <c r="AI14" s="185"/>
      <c r="AJ14" s="445"/>
      <c r="AK14" s="445"/>
      <c r="AL14" s="638"/>
      <c r="AM14" s="445"/>
      <c r="AN14" s="484"/>
      <c r="AO14" s="445"/>
      <c r="AP14" s="445"/>
      <c r="AQ14" s="484">
        <f>+FL_2($T$15,$T$13,$G$14,1200,9.28, 1*$F$15)</f>
        <v>-0.34696215894039734</v>
      </c>
      <c r="AR14" s="484"/>
      <c r="AS14" s="484"/>
      <c r="AT14" s="484"/>
      <c r="AU14" s="638"/>
      <c r="AV14" s="638"/>
      <c r="AW14" s="484"/>
      <c r="AX14" s="484"/>
      <c r="AY14" s="484"/>
      <c r="AZ14" s="484"/>
      <c r="BA14" s="1304"/>
      <c r="BB14" s="449"/>
      <c r="BC14" s="169"/>
      <c r="BD14" s="1330"/>
      <c r="BE14" s="1330"/>
      <c r="BF14" s="1330"/>
      <c r="BG14" s="1330"/>
    </row>
    <row r="15" spans="1:59" ht="15.75" customHeight="1">
      <c r="A15" s="449"/>
      <c r="B15" s="485" t="s">
        <v>3875</v>
      </c>
      <c r="C15" s="446">
        <f>+$C$13+$G$14</f>
        <v>82929.62999999999</v>
      </c>
      <c r="D15" s="445"/>
      <c r="E15" s="445"/>
      <c r="F15" s="445" t="s">
        <v>2312</v>
      </c>
      <c r="G15" s="484"/>
      <c r="H15" s="445"/>
      <c r="I15" s="172"/>
      <c r="J15" s="446"/>
      <c r="K15" s="445"/>
      <c r="L15" s="638"/>
      <c r="M15" s="638"/>
      <c r="N15" s="1239" t="s">
        <v>843</v>
      </c>
      <c r="O15" s="1239"/>
      <c r="P15" s="638"/>
      <c r="Q15" s="638"/>
      <c r="R15" s="638"/>
      <c r="S15" s="484"/>
      <c r="T15" s="638">
        <v>-20</v>
      </c>
      <c r="U15" s="638"/>
      <c r="V15" s="638"/>
      <c r="W15" s="638">
        <v>1.4</v>
      </c>
      <c r="X15" s="638"/>
      <c r="Y15" s="638"/>
      <c r="Z15" s="638"/>
      <c r="AA15" s="638"/>
      <c r="AB15" s="638"/>
      <c r="AC15" s="638" t="str">
        <f>IF(OR(AT15&gt;8,AT15&lt;-8),"PH",IF(OR(AT15&gt;5,AT15&lt;-5),"PH-Q",IF(OR(AT15&gt;1,AT15&lt;-1),"PH-C")))</f>
        <v>PH</v>
      </c>
      <c r="AD15" s="638"/>
      <c r="AE15" s="638"/>
      <c r="AF15" s="638"/>
      <c r="AG15" s="446"/>
      <c r="AH15" s="638"/>
      <c r="AI15" s="185"/>
      <c r="AJ15" s="638"/>
      <c r="AK15" s="1239" t="s">
        <v>139</v>
      </c>
      <c r="AL15" s="638"/>
      <c r="AM15" s="638"/>
      <c r="AN15" s="455">
        <v>5.23</v>
      </c>
      <c r="AO15" s="1239"/>
      <c r="AP15" s="1239"/>
      <c r="AQ15" s="484"/>
      <c r="AR15" s="484"/>
      <c r="AS15" s="484"/>
      <c r="AT15" s="484">
        <f>+ab($T$15,$T$13,$T$17,$G$14,$G$16, 1*$F$15,1200)</f>
        <v>-12.052774755976523</v>
      </c>
      <c r="AU15" s="638"/>
      <c r="AV15" s="638"/>
      <c r="AW15" s="638"/>
      <c r="AX15" s="638"/>
      <c r="AY15" s="484"/>
      <c r="AZ15" s="484"/>
      <c r="BA15" s="671"/>
      <c r="BB15" s="449"/>
      <c r="BC15" s="169"/>
      <c r="BD15" s="1330"/>
      <c r="BE15" s="1329"/>
      <c r="BF15" s="1330"/>
      <c r="BG15" s="1329"/>
    </row>
    <row r="16" spans="1:59" ht="15.75" customHeight="1">
      <c r="A16" s="449"/>
      <c r="B16" s="445"/>
      <c r="C16" s="446"/>
      <c r="D16" s="445"/>
      <c r="E16" s="445"/>
      <c r="F16" s="445"/>
      <c r="G16" s="484">
        <v>54</v>
      </c>
      <c r="H16" s="445"/>
      <c r="I16" s="445"/>
      <c r="J16" s="446"/>
      <c r="K16" s="445"/>
      <c r="L16" s="445"/>
      <c r="M16" s="445"/>
      <c r="N16" s="1239"/>
      <c r="O16" s="445"/>
      <c r="P16" s="445"/>
      <c r="Q16" s="638"/>
      <c r="R16" s="638"/>
      <c r="S16" s="484"/>
      <c r="T16" s="638"/>
      <c r="U16" s="638"/>
      <c r="V16" s="638"/>
      <c r="W16" s="638"/>
      <c r="X16" s="638"/>
      <c r="Y16" s="638"/>
      <c r="Z16" s="638"/>
      <c r="AA16" s="638"/>
      <c r="AB16" s="638"/>
      <c r="AC16" s="638"/>
      <c r="AD16" s="638"/>
      <c r="AE16" s="638"/>
      <c r="AF16" s="638"/>
      <c r="AG16" s="446"/>
      <c r="AH16" s="638"/>
      <c r="AI16" s="185"/>
      <c r="AJ16" s="445"/>
      <c r="AK16" s="445"/>
      <c r="AL16" s="445"/>
      <c r="AM16" s="445"/>
      <c r="AN16" s="484"/>
      <c r="AO16" s="445"/>
      <c r="AP16" s="445"/>
      <c r="AQ16" s="484">
        <f>+FL_2(-$T$17,$T$15,$G$16,1200,9.28, 1*$F$17)</f>
        <v>-0.66413830452229272</v>
      </c>
      <c r="AR16" s="484"/>
      <c r="AS16" s="484"/>
      <c r="AT16" s="484"/>
      <c r="AU16" s="638"/>
      <c r="AV16" s="638"/>
      <c r="AW16" s="484"/>
      <c r="AX16" s="484"/>
      <c r="AY16" s="484"/>
      <c r="AZ16" s="484"/>
      <c r="BA16" s="1304"/>
      <c r="BB16" s="449"/>
      <c r="BC16" s="169"/>
      <c r="BD16" s="1330"/>
      <c r="BE16" s="1330"/>
      <c r="BF16" s="1330"/>
      <c r="BG16" s="1330"/>
    </row>
    <row r="17" spans="1:59" ht="15.75" customHeight="1">
      <c r="A17" s="449"/>
      <c r="B17" s="485" t="s">
        <v>3876</v>
      </c>
      <c r="C17" s="446">
        <f>+$C$15+$G$16+0.18</f>
        <v>82983.809999999983</v>
      </c>
      <c r="D17" s="445"/>
      <c r="E17" s="445"/>
      <c r="F17" s="445" t="s">
        <v>3916</v>
      </c>
      <c r="G17" s="484"/>
      <c r="H17" s="445"/>
      <c r="I17" s="445"/>
      <c r="J17" s="446"/>
      <c r="K17" s="445"/>
      <c r="L17" s="638"/>
      <c r="M17" s="638"/>
      <c r="N17" s="1239" t="s">
        <v>844</v>
      </c>
      <c r="O17" s="1239"/>
      <c r="P17" s="638"/>
      <c r="Q17" s="638"/>
      <c r="R17" s="638"/>
      <c r="S17" s="484"/>
      <c r="T17" s="638">
        <v>20</v>
      </c>
      <c r="U17" s="638"/>
      <c r="V17" s="638"/>
      <c r="W17" s="638">
        <v>1.2</v>
      </c>
      <c r="X17" s="638"/>
      <c r="Y17" s="638"/>
      <c r="Z17" s="638"/>
      <c r="AA17" s="638"/>
      <c r="AB17" s="638"/>
      <c r="AC17" s="638" t="str">
        <f>IF(OR(AT17&gt;8,AT17&lt;-8),"PH",IF(OR(AT17&gt;5,AT17&lt;-5),"PH-Q",IF(OR(AT17&gt;1,AT17&lt;-1),"PH-C")))</f>
        <v>PH-Q</v>
      </c>
      <c r="AD17" s="638"/>
      <c r="AE17" s="638"/>
      <c r="AF17" s="638"/>
      <c r="AG17" s="446"/>
      <c r="AH17" s="638"/>
      <c r="AI17" s="185"/>
      <c r="AJ17" s="638"/>
      <c r="AK17" s="1239" t="s">
        <v>139</v>
      </c>
      <c r="AL17" s="638"/>
      <c r="AM17" s="638"/>
      <c r="AN17" s="455">
        <v>5.15</v>
      </c>
      <c r="AO17" s="1239"/>
      <c r="AP17" s="1239"/>
      <c r="AQ17" s="484"/>
      <c r="AR17" s="484"/>
      <c r="AS17" s="484"/>
      <c r="AT17" s="484">
        <f>+ab(-$T$17,$T$15,$T$19,$G$16,$G$18, 1*$F$17,1200)</f>
        <v>7.6795656671964929</v>
      </c>
      <c r="AU17" s="638"/>
      <c r="AV17" s="638"/>
      <c r="AW17" s="638"/>
      <c r="AX17" s="638"/>
      <c r="AY17" s="484"/>
      <c r="AZ17" s="484"/>
      <c r="BA17" s="671"/>
      <c r="BB17" s="449"/>
      <c r="BC17" s="169"/>
      <c r="BD17" s="1330"/>
      <c r="BE17" s="1329"/>
      <c r="BF17" s="1330"/>
      <c r="BG17" s="1329"/>
    </row>
    <row r="18" spans="1:59" ht="15.75" customHeight="1">
      <c r="A18" s="449"/>
      <c r="B18" s="445"/>
      <c r="C18" s="446"/>
      <c r="D18" s="445"/>
      <c r="E18" s="445"/>
      <c r="F18" s="445"/>
      <c r="G18" s="484">
        <v>40.4</v>
      </c>
      <c r="H18" s="1239"/>
      <c r="I18" s="1239"/>
      <c r="J18" s="446"/>
      <c r="K18" s="445"/>
      <c r="L18" s="445"/>
      <c r="M18" s="445"/>
      <c r="N18" s="445"/>
      <c r="O18" s="445"/>
      <c r="P18" s="445"/>
      <c r="Q18" s="638"/>
      <c r="R18" s="638"/>
      <c r="S18" s="484"/>
      <c r="T18" s="638"/>
      <c r="U18" s="638"/>
      <c r="V18" s="638"/>
      <c r="W18" s="638"/>
      <c r="X18" s="638"/>
      <c r="Y18" s="638"/>
      <c r="Z18" s="638"/>
      <c r="AA18" s="638"/>
      <c r="AB18" s="638"/>
      <c r="AC18" s="638"/>
      <c r="AD18" s="638"/>
      <c r="AE18" s="638"/>
      <c r="AF18" s="638"/>
      <c r="AG18" s="446"/>
      <c r="AH18" s="638"/>
      <c r="AI18" s="185"/>
      <c r="AJ18" s="445"/>
      <c r="AK18" s="445"/>
      <c r="AL18" s="445"/>
      <c r="AM18" s="638"/>
      <c r="AN18" s="484"/>
      <c r="AO18" s="445"/>
      <c r="AP18" s="445"/>
      <c r="AQ18" s="484">
        <f>+FL_1($T$19,-$T$17,$G$18,1200,9.28, 1*$F$19)</f>
        <v>-6.6234201980198054E-2</v>
      </c>
      <c r="AR18" s="484"/>
      <c r="AS18" s="484"/>
      <c r="AT18" s="484"/>
      <c r="AU18" s="638"/>
      <c r="AV18" s="638"/>
      <c r="AW18" s="484"/>
      <c r="AX18" s="484"/>
      <c r="AY18" s="484"/>
      <c r="AZ18" s="484"/>
      <c r="BA18" s="1304"/>
      <c r="BB18" s="449"/>
      <c r="BC18" s="169"/>
      <c r="BD18" s="1330"/>
      <c r="BE18" s="1330"/>
      <c r="BF18" s="1330"/>
      <c r="BG18" s="1330"/>
    </row>
    <row r="19" spans="1:59" ht="15.75" customHeight="1">
      <c r="A19" s="449"/>
      <c r="B19" s="485" t="s">
        <v>3877</v>
      </c>
      <c r="C19" s="446">
        <f>+$C$17+$G$18</f>
        <v>83024.209999999977</v>
      </c>
      <c r="D19" s="445"/>
      <c r="E19" s="445"/>
      <c r="F19" s="445" t="s">
        <v>2312</v>
      </c>
      <c r="G19" s="484"/>
      <c r="H19" s="445"/>
      <c r="I19" s="445"/>
      <c r="J19" s="446"/>
      <c r="K19" s="445"/>
      <c r="L19" s="638"/>
      <c r="M19" s="638"/>
      <c r="N19" s="1239" t="s">
        <v>843</v>
      </c>
      <c r="O19" s="1239"/>
      <c r="P19" s="638"/>
      <c r="Q19" s="638"/>
      <c r="R19" s="638"/>
      <c r="S19" s="484"/>
      <c r="T19" s="638">
        <v>-25</v>
      </c>
      <c r="U19" s="638"/>
      <c r="V19" s="638"/>
      <c r="W19" s="638">
        <v>1.1000000000000001</v>
      </c>
      <c r="X19" s="638"/>
      <c r="Y19" s="638"/>
      <c r="Z19" s="638"/>
      <c r="AA19" s="638"/>
      <c r="AB19" s="638"/>
      <c r="AC19" s="638" t="str">
        <f>IF(OR(AT19&gt;8,AT19&lt;-8),"PH",IF(OR(AT19&gt;5,AT19&lt;-5),"PH-Q",IF(OR(AT19&gt;1,AT19&lt;-1),"PH-C")))</f>
        <v>PH</v>
      </c>
      <c r="AD19" s="638"/>
      <c r="AE19" s="638"/>
      <c r="AF19" s="638"/>
      <c r="AG19" s="446"/>
      <c r="AH19" s="638"/>
      <c r="AI19" s="185"/>
      <c r="AJ19" s="638"/>
      <c r="AK19" s="1239" t="s">
        <v>139</v>
      </c>
      <c r="AL19" s="638"/>
      <c r="AM19" s="638"/>
      <c r="AN19" s="455">
        <v>5.15</v>
      </c>
      <c r="AO19" s="1239"/>
      <c r="AP19" s="1239"/>
      <c r="AQ19" s="484"/>
      <c r="AR19" s="484"/>
      <c r="AS19" s="484"/>
      <c r="AT19" s="484">
        <f>+ab($T$19,-$T$17,$U$21,$G$18,$G$20, 1*$F$19,1200)</f>
        <v>68.586310370313882</v>
      </c>
      <c r="AU19" s="638"/>
      <c r="AV19" s="638"/>
      <c r="AW19" s="638"/>
      <c r="AX19" s="638"/>
      <c r="AY19" s="484"/>
      <c r="AZ19" s="484"/>
      <c r="BA19" s="671"/>
      <c r="BB19" s="449"/>
      <c r="BC19" s="169"/>
      <c r="BD19" s="1330"/>
      <c r="BE19" s="1329"/>
      <c r="BF19" s="1330"/>
      <c r="BG19" s="1329"/>
    </row>
    <row r="20" spans="1:59" ht="15.75" customHeight="1">
      <c r="A20" s="449"/>
      <c r="B20" s="445"/>
      <c r="C20" s="446"/>
      <c r="D20" s="445"/>
      <c r="E20" s="445"/>
      <c r="F20" s="445"/>
      <c r="G20" s="484">
        <v>39.200000000000003</v>
      </c>
      <c r="H20" s="445"/>
      <c r="I20" s="445"/>
      <c r="J20" s="446">
        <f>C21-7.5</f>
        <v>83055.909999999974</v>
      </c>
      <c r="K20" s="445" t="s">
        <v>2884</v>
      </c>
      <c r="L20" s="445"/>
      <c r="M20" s="445"/>
      <c r="N20" s="445"/>
      <c r="O20" s="445"/>
      <c r="P20" s="445"/>
      <c r="Q20" s="638"/>
      <c r="R20" s="638"/>
      <c r="S20" s="484"/>
      <c r="T20" s="638"/>
      <c r="U20" s="638"/>
      <c r="V20" s="638"/>
      <c r="W20" s="638"/>
      <c r="X20" s="638"/>
      <c r="Y20" s="638"/>
      <c r="Z20" s="638"/>
      <c r="AA20" s="638"/>
      <c r="AB20" s="638"/>
      <c r="AC20" s="638"/>
      <c r="AD20" s="638"/>
      <c r="AE20" s="638"/>
      <c r="AF20" s="638"/>
      <c r="AG20" s="446"/>
      <c r="AH20" s="638"/>
      <c r="AI20" s="185"/>
      <c r="AJ20" s="445"/>
      <c r="AK20" s="445"/>
      <c r="AL20" s="445"/>
      <c r="AM20" s="445"/>
      <c r="AN20" s="484"/>
      <c r="AO20" s="445"/>
      <c r="AP20" s="445"/>
      <c r="AQ20" s="484">
        <f>+FL_2($U$21,$T$19,$G$20,1200,9.28, 1*$F$21)</f>
        <v>-0.45274943401360546</v>
      </c>
      <c r="AR20" s="484"/>
      <c r="AS20" s="484"/>
      <c r="AT20" s="484"/>
      <c r="AU20" s="638"/>
      <c r="AV20" s="638"/>
      <c r="AW20" s="638" t="str">
        <f>VLOOKUP(J20,'Foundation Calculation'!$A$2:$C$33,3,1)</f>
        <v>Soil A</v>
      </c>
      <c r="AX20" s="638" t="str">
        <f>VLOOKUP(J20,'Foundation Calculation'!$E$2:$G$33,3,1)</f>
        <v>PT</v>
      </c>
      <c r="AY20" s="484"/>
      <c r="AZ20" s="484">
        <v>2.8</v>
      </c>
      <c r="BA20" s="671" t="s">
        <v>2809</v>
      </c>
      <c r="BB20" s="449"/>
      <c r="BC20" s="169"/>
      <c r="BD20" s="1329"/>
      <c r="BE20" s="1330"/>
      <c r="BF20" s="1330"/>
      <c r="BG20" s="1330"/>
    </row>
    <row r="21" spans="1:59" s="1436" customFormat="1" ht="29">
      <c r="A21" s="1425"/>
      <c r="B21" s="1475" t="s">
        <v>3878</v>
      </c>
      <c r="C21" s="1427">
        <f>+$C$19+$G$20</f>
        <v>83063.409999999974</v>
      </c>
      <c r="D21" s="1426"/>
      <c r="E21" s="1426"/>
      <c r="F21" s="1430">
        <v>0</v>
      </c>
      <c r="G21" s="1429"/>
      <c r="H21" s="1502" t="s">
        <v>3917</v>
      </c>
      <c r="I21" s="1426" t="s">
        <v>1039</v>
      </c>
      <c r="J21" s="1427"/>
      <c r="K21" s="1426"/>
      <c r="L21" s="1426" t="s">
        <v>896</v>
      </c>
      <c r="M21" s="1426" t="s">
        <v>4451</v>
      </c>
      <c r="N21" s="1426" t="s">
        <v>140</v>
      </c>
      <c r="O21" s="1426" t="s">
        <v>143</v>
      </c>
      <c r="P21" s="1426" t="s">
        <v>144</v>
      </c>
      <c r="Q21" s="1431">
        <v>0</v>
      </c>
      <c r="R21" s="1431">
        <v>0</v>
      </c>
      <c r="S21" s="1429"/>
      <c r="T21" s="1431">
        <v>-50</v>
      </c>
      <c r="U21" s="1431">
        <v>-35</v>
      </c>
      <c r="V21" s="1431">
        <v>-20</v>
      </c>
      <c r="W21" s="1431">
        <v>1</v>
      </c>
      <c r="X21" s="1431">
        <v>0.9</v>
      </c>
      <c r="Y21" s="1431">
        <v>0.8</v>
      </c>
      <c r="Z21" s="1431">
        <v>0.4</v>
      </c>
      <c r="AA21" s="1431"/>
      <c r="AB21" s="1431"/>
      <c r="AC21" s="1431"/>
      <c r="AD21" s="1431" t="s">
        <v>1428</v>
      </c>
      <c r="AE21" s="1431" t="s">
        <v>2773</v>
      </c>
      <c r="AF21" s="1431">
        <v>5700</v>
      </c>
      <c r="AG21" s="1427"/>
      <c r="AH21" s="1431">
        <v>1953</v>
      </c>
      <c r="AI21" s="1477">
        <v>390</v>
      </c>
      <c r="AJ21" s="1426"/>
      <c r="AK21" s="1426"/>
      <c r="AL21" s="1426"/>
      <c r="AM21" s="1426" t="s">
        <v>1042</v>
      </c>
      <c r="AN21" s="1432">
        <v>5.15</v>
      </c>
      <c r="AO21" s="1426"/>
      <c r="AP21" s="1426"/>
      <c r="AQ21" s="1429"/>
      <c r="AR21" s="1429"/>
      <c r="AS21" s="1429"/>
      <c r="AT21" s="1429">
        <f>+ab($U$21,$T$19,$U$23,$G$20,$G$22, 1*$F$21,1200)</f>
        <v>-11.627290464846329</v>
      </c>
      <c r="AU21" s="1478"/>
      <c r="AV21" s="1478"/>
      <c r="AW21" s="1431" t="str">
        <f>VLOOKUP(C21,'Foundation Calculation'!$A$2:$C$33,3,1)</f>
        <v>Soil A</v>
      </c>
      <c r="AX21" s="1431" t="str">
        <f>VLOOKUP(C21,'Foundation Calculation'!$E$2:$G$33,3,1)</f>
        <v>PT</v>
      </c>
      <c r="AY21" s="1429">
        <f>IF(AX21="PT",VLOOKUP(L21,'Foundation Calculation'!$K$2:$R$40,VLOOKUP(AW21,'Foundation Calculation'!$I$2:$J$8,2,FALSE),0),IF(AX21="K",VLOOKUP(L21,'Foundation Calculation'!$K$42:$R$80,VLOOKUP(AW21,'Foundation Calculation'!$I$2:$J$8,2,FALSE),0),""))</f>
        <v>4</v>
      </c>
      <c r="AZ21" s="1429"/>
      <c r="BA21" s="1526" t="s">
        <v>2809</v>
      </c>
      <c r="BB21" s="1425" t="str">
        <f>Pole_Calculations!A22</f>
        <v>App.7-V11A-P9.5.1.8</v>
      </c>
      <c r="BC21" s="1434"/>
      <c r="BD21" s="1435"/>
      <c r="BE21" s="1435"/>
      <c r="BF21" s="1435"/>
      <c r="BG21" s="1435"/>
    </row>
    <row r="22" spans="1:59" ht="15.75" customHeight="1">
      <c r="A22" s="495" t="s">
        <v>3718</v>
      </c>
      <c r="B22" s="494"/>
      <c r="C22" s="489"/>
      <c r="D22" s="494"/>
      <c r="E22" s="494"/>
      <c r="F22" s="494"/>
      <c r="G22" s="493">
        <v>51</v>
      </c>
      <c r="H22" s="494"/>
      <c r="I22" s="491">
        <f>C23-C5</f>
        <v>489.17999999997846</v>
      </c>
      <c r="J22" s="489">
        <f>C23-7.5</f>
        <v>83106.909999999974</v>
      </c>
      <c r="K22" s="494" t="s">
        <v>2882</v>
      </c>
      <c r="L22" s="494"/>
      <c r="M22" s="494"/>
      <c r="N22" s="494"/>
      <c r="O22" s="494"/>
      <c r="P22" s="494"/>
      <c r="Q22" s="490"/>
      <c r="R22" s="490"/>
      <c r="S22" s="493"/>
      <c r="T22" s="490"/>
      <c r="U22" s="490"/>
      <c r="V22" s="490"/>
      <c r="W22" s="490"/>
      <c r="X22" s="490"/>
      <c r="Y22" s="490"/>
      <c r="Z22" s="490"/>
      <c r="AA22" s="490"/>
      <c r="AB22" s="490"/>
      <c r="AC22" s="490"/>
      <c r="AD22" s="490"/>
      <c r="AE22" s="490"/>
      <c r="AF22" s="490"/>
      <c r="AG22" s="489"/>
      <c r="AH22" s="490"/>
      <c r="AI22" s="640"/>
      <c r="AJ22" s="494"/>
      <c r="AK22" s="494"/>
      <c r="AL22" s="494"/>
      <c r="AM22" s="494"/>
      <c r="AN22" s="493"/>
      <c r="AO22" s="494"/>
      <c r="AP22" s="494"/>
      <c r="AQ22" s="493">
        <f>+FL_2($U$23,$U$21,$G$22,1200,9.28, 1*$F$23)</f>
        <v>-0.37323328431372538</v>
      </c>
      <c r="AR22" s="493"/>
      <c r="AS22" s="493"/>
      <c r="AT22" s="493"/>
      <c r="AU22" s="490"/>
      <c r="AV22" s="490"/>
      <c r="AW22" s="490" t="str">
        <f>VLOOKUP(J22,'Foundation Calculation'!$A$2:$C$33,3,1)</f>
        <v>Soil A</v>
      </c>
      <c r="AX22" s="490" t="str">
        <f>VLOOKUP(J22,'Foundation Calculation'!$E$2:$G$33,3,1)</f>
        <v>PT</v>
      </c>
      <c r="AY22" s="493"/>
      <c r="AZ22" s="493">
        <v>3.3</v>
      </c>
      <c r="BA22" s="602" t="s">
        <v>2809</v>
      </c>
      <c r="BB22" s="495"/>
      <c r="BC22" s="169"/>
      <c r="BD22" s="1329"/>
      <c r="BE22" s="1330"/>
      <c r="BF22" s="1330"/>
      <c r="BG22" s="1330"/>
    </row>
    <row r="23" spans="1:59" s="1436" customFormat="1" ht="29">
      <c r="A23" s="1425"/>
      <c r="B23" s="1475" t="s">
        <v>3879</v>
      </c>
      <c r="C23" s="1427">
        <f>+$C$21+$G$22</f>
        <v>83114.409999999974</v>
      </c>
      <c r="D23" s="1426"/>
      <c r="E23" s="1426"/>
      <c r="F23" s="1430">
        <v>0</v>
      </c>
      <c r="G23" s="1429"/>
      <c r="H23" s="1502" t="s">
        <v>3918</v>
      </c>
      <c r="I23" s="1426" t="s">
        <v>623</v>
      </c>
      <c r="J23" s="1427"/>
      <c r="K23" s="1426"/>
      <c r="L23" s="1426" t="s">
        <v>896</v>
      </c>
      <c r="M23" s="1426" t="s">
        <v>4451</v>
      </c>
      <c r="N23" s="1426" t="s">
        <v>143</v>
      </c>
      <c r="O23" s="1426" t="s">
        <v>144</v>
      </c>
      <c r="P23" s="1426" t="s">
        <v>140</v>
      </c>
      <c r="Q23" s="1431">
        <v>0</v>
      </c>
      <c r="R23" s="1431">
        <v>0</v>
      </c>
      <c r="S23" s="1429"/>
      <c r="T23" s="1431">
        <v>20</v>
      </c>
      <c r="U23" s="1431">
        <v>35</v>
      </c>
      <c r="V23" s="1431">
        <v>50</v>
      </c>
      <c r="W23" s="1431">
        <v>1</v>
      </c>
      <c r="X23" s="1431">
        <v>0.9</v>
      </c>
      <c r="Y23" s="1431">
        <v>0.8</v>
      </c>
      <c r="Z23" s="1431"/>
      <c r="AA23" s="1431"/>
      <c r="AB23" s="1431">
        <v>0.4</v>
      </c>
      <c r="AC23" s="1431" t="s">
        <v>1428</v>
      </c>
      <c r="AD23" s="1431" t="s">
        <v>2773</v>
      </c>
      <c r="AE23" s="1431"/>
      <c r="AF23" s="1431">
        <v>5800</v>
      </c>
      <c r="AG23" s="1427"/>
      <c r="AH23" s="1431">
        <v>1933</v>
      </c>
      <c r="AI23" s="1477">
        <v>490</v>
      </c>
      <c r="AJ23" s="1426"/>
      <c r="AK23" s="1426"/>
      <c r="AL23" s="1426"/>
      <c r="AM23" s="1426" t="s">
        <v>1042</v>
      </c>
      <c r="AN23" s="1432">
        <v>5.15</v>
      </c>
      <c r="AO23" s="1426"/>
      <c r="AP23" s="1426"/>
      <c r="AQ23" s="1429"/>
      <c r="AR23" s="1429"/>
      <c r="AS23" s="1429"/>
      <c r="AT23" s="1429">
        <f>+ab($U$23,$U$21,$U$26,$G$22,$G$25, 1*$F$23,1200)</f>
        <v>12.853500997055038</v>
      </c>
      <c r="AU23" s="1478"/>
      <c r="AV23" s="1478"/>
      <c r="AW23" s="1431" t="str">
        <f>VLOOKUP(C23,'Foundation Calculation'!$A$2:$C$33,3,1)</f>
        <v>Soil A</v>
      </c>
      <c r="AX23" s="1431" t="str">
        <f>VLOOKUP(C23,'Foundation Calculation'!$E$2:$G$33,3,1)</f>
        <v>PT</v>
      </c>
      <c r="AY23" s="1429">
        <f>IF(AX23="PT",VLOOKUP(L23,'Foundation Calculation'!$K$2:$R$40,VLOOKUP(AW23,'Foundation Calculation'!$I$2:$J$8,2,FALSE),0),IF(AX23="K",VLOOKUP(L23,'Foundation Calculation'!$K$42:$R$80,VLOOKUP(AW23,'Foundation Calculation'!$I$2:$J$8,2,FALSE),0),""))</f>
        <v>4</v>
      </c>
      <c r="AZ23" s="1429"/>
      <c r="BA23" s="1526" t="s">
        <v>2809</v>
      </c>
      <c r="BB23" s="1425" t="str">
        <f>Pole_Calculations!A22</f>
        <v>App.7-V11A-P9.5.1.8</v>
      </c>
      <c r="BC23" s="1434"/>
      <c r="BD23" s="1435"/>
      <c r="BE23" s="1435"/>
      <c r="BF23" s="1435"/>
      <c r="BG23" s="1435"/>
    </row>
    <row r="24" spans="1:59" ht="15.65" customHeight="1">
      <c r="A24" s="449"/>
      <c r="B24" s="485"/>
      <c r="C24" s="446"/>
      <c r="D24" s="445"/>
      <c r="E24" s="445"/>
      <c r="F24" s="1239"/>
      <c r="G24" s="484"/>
      <c r="H24" s="183"/>
      <c r="I24" s="447">
        <f>C44-C23</f>
        <v>462.19999999999709</v>
      </c>
      <c r="J24" s="446"/>
      <c r="K24" s="445"/>
      <c r="L24" s="445"/>
      <c r="M24" s="445"/>
      <c r="N24" s="445"/>
      <c r="O24" s="445"/>
      <c r="P24" s="445"/>
      <c r="Q24" s="638"/>
      <c r="R24" s="638"/>
      <c r="S24" s="484"/>
      <c r="T24" s="638"/>
      <c r="U24" s="638"/>
      <c r="V24" s="638"/>
      <c r="W24" s="638"/>
      <c r="X24" s="638"/>
      <c r="Y24" s="638"/>
      <c r="Z24" s="638"/>
      <c r="AA24" s="638"/>
      <c r="AB24" s="638"/>
      <c r="AC24" s="638"/>
      <c r="AD24" s="638"/>
      <c r="AE24" s="638"/>
      <c r="AF24" s="638"/>
      <c r="AG24" s="446"/>
      <c r="AH24" s="638"/>
      <c r="AI24" s="185"/>
      <c r="AJ24" s="445" t="s">
        <v>864</v>
      </c>
      <c r="AK24" s="445"/>
      <c r="AL24" s="445"/>
      <c r="AM24" s="445"/>
      <c r="AN24" s="484"/>
      <c r="AO24" s="445"/>
      <c r="AP24" s="445"/>
      <c r="AQ24" s="484"/>
      <c r="AR24" s="484"/>
      <c r="AS24" s="484"/>
      <c r="AT24" s="484"/>
      <c r="AU24" s="638"/>
      <c r="AV24" s="638"/>
      <c r="AW24" s="638"/>
      <c r="AX24" s="638"/>
      <c r="AY24" s="484"/>
      <c r="AZ24" s="484"/>
      <c r="BA24" s="671"/>
      <c r="BB24" s="449"/>
      <c r="BC24" s="169"/>
      <c r="BD24" s="1330"/>
      <c r="BE24" s="1330"/>
      <c r="BF24" s="1330"/>
      <c r="BG24" s="1330"/>
    </row>
    <row r="25" spans="1:59" ht="15.75" customHeight="1">
      <c r="A25" s="449" t="s">
        <v>1852</v>
      </c>
      <c r="B25" s="447"/>
      <c r="C25" s="446"/>
      <c r="D25" s="638"/>
      <c r="E25" s="638"/>
      <c r="F25" s="447"/>
      <c r="G25" s="484">
        <v>52.5</v>
      </c>
      <c r="H25" s="638"/>
      <c r="I25" s="638">
        <v>297</v>
      </c>
      <c r="J25" s="446"/>
      <c r="K25" s="638"/>
      <c r="L25" s="445"/>
      <c r="M25" s="445"/>
      <c r="N25" s="445"/>
      <c r="O25" s="445"/>
      <c r="P25" s="445"/>
      <c r="Q25" s="638"/>
      <c r="R25" s="638"/>
      <c r="S25" s="484"/>
      <c r="T25" s="638"/>
      <c r="U25" s="638"/>
      <c r="V25" s="638"/>
      <c r="W25" s="638"/>
      <c r="X25" s="638"/>
      <c r="Y25" s="638"/>
      <c r="Z25" s="638"/>
      <c r="AA25" s="638"/>
      <c r="AB25" s="638"/>
      <c r="AC25" s="638"/>
      <c r="AD25" s="638"/>
      <c r="AE25" s="638"/>
      <c r="AF25" s="638"/>
      <c r="AG25" s="446"/>
      <c r="AH25" s="638"/>
      <c r="AI25" s="185"/>
      <c r="AJ25" s="445" t="s">
        <v>864</v>
      </c>
      <c r="AK25" s="445"/>
      <c r="AL25" s="638"/>
      <c r="AM25" s="445"/>
      <c r="AN25" s="484"/>
      <c r="AO25" s="445"/>
      <c r="AP25" s="445"/>
      <c r="AQ25" s="484">
        <f>+FL_1($U$26,$U$23,$G$25,1200,9.28, 1*$F$26)</f>
        <v>0.5920239405714286</v>
      </c>
      <c r="AR25" s="484"/>
      <c r="AS25" s="484"/>
      <c r="AT25" s="484"/>
      <c r="AU25" s="638"/>
      <c r="AV25" s="638"/>
      <c r="AW25" s="638"/>
      <c r="AX25" s="638"/>
      <c r="AY25" s="484"/>
      <c r="AZ25" s="484"/>
      <c r="BA25" s="671"/>
      <c r="BB25" s="449"/>
      <c r="BC25" s="169"/>
      <c r="BD25" s="1330"/>
      <c r="BE25" s="1330"/>
      <c r="BF25" s="1330"/>
      <c r="BG25" s="1330"/>
    </row>
    <row r="26" spans="1:59" s="1436" customFormat="1" ht="29">
      <c r="A26" s="1425"/>
      <c r="B26" s="1476" t="s">
        <v>3880</v>
      </c>
      <c r="C26" s="1427">
        <f>+$C$23+$G$25</f>
        <v>83166.909999999974</v>
      </c>
      <c r="D26" s="1431"/>
      <c r="E26" s="1431"/>
      <c r="F26" s="1430">
        <v>0</v>
      </c>
      <c r="G26" s="1429"/>
      <c r="H26" s="1503" t="s">
        <v>4197</v>
      </c>
      <c r="I26" s="1431" t="s">
        <v>624</v>
      </c>
      <c r="J26" s="1427">
        <f>C26+7.5</f>
        <v>83174.409999999974</v>
      </c>
      <c r="K26" s="1431" t="s">
        <v>2882</v>
      </c>
      <c r="L26" s="1431" t="s">
        <v>896</v>
      </c>
      <c r="M26" s="1426" t="s">
        <v>4451</v>
      </c>
      <c r="N26" s="1430" t="s">
        <v>140</v>
      </c>
      <c r="O26" s="1430" t="s">
        <v>144</v>
      </c>
      <c r="P26" s="1431" t="s">
        <v>143</v>
      </c>
      <c r="Q26" s="1431">
        <v>0</v>
      </c>
      <c r="R26" s="1431">
        <v>0</v>
      </c>
      <c r="S26" s="1429"/>
      <c r="T26" s="1431">
        <v>45</v>
      </c>
      <c r="U26" s="1431">
        <v>30</v>
      </c>
      <c r="V26" s="1431">
        <v>15</v>
      </c>
      <c r="W26" s="1431">
        <v>1.2</v>
      </c>
      <c r="X26" s="1431">
        <v>1.4</v>
      </c>
      <c r="Y26" s="1431">
        <v>1.8</v>
      </c>
      <c r="Z26" s="1431">
        <v>0.4</v>
      </c>
      <c r="AA26" s="1431"/>
      <c r="AB26" s="1431"/>
      <c r="AC26" s="1431"/>
      <c r="AD26" s="1431" t="s">
        <v>2773</v>
      </c>
      <c r="AE26" s="1431" t="s">
        <v>1428</v>
      </c>
      <c r="AF26" s="1431">
        <v>5600</v>
      </c>
      <c r="AG26" s="1427"/>
      <c r="AH26" s="1431">
        <v>1883</v>
      </c>
      <c r="AI26" s="1477">
        <v>480</v>
      </c>
      <c r="AJ26" s="1431"/>
      <c r="AK26" s="1430"/>
      <c r="AL26" s="1431"/>
      <c r="AM26" s="1426" t="s">
        <v>1042</v>
      </c>
      <c r="AN26" s="1432">
        <v>5.15</v>
      </c>
      <c r="AO26" s="1430"/>
      <c r="AP26" s="1426"/>
      <c r="AQ26" s="1429"/>
      <c r="AR26" s="1429"/>
      <c r="AS26" s="1429"/>
      <c r="AT26" s="1429">
        <f>+ab($U$26,$U$23,$U$28,$G$25,$G$27, 1*$F$26,1200)</f>
        <v>16.811781876848819</v>
      </c>
      <c r="AU26" s="1478"/>
      <c r="AV26" s="1478"/>
      <c r="AW26" s="1431" t="str">
        <f>VLOOKUP(C26,'Foundation Calculation'!$A$2:$C$33,3,1)</f>
        <v>Soil A</v>
      </c>
      <c r="AX26" s="1431" t="str">
        <f>VLOOKUP(C26,'Foundation Calculation'!$E$2:$G$33,3,1)</f>
        <v>PT</v>
      </c>
      <c r="AY26" s="1429">
        <f>IF(AX26="PT",VLOOKUP(L26,'Foundation Calculation'!$K$2:$R$40,VLOOKUP(AW26,'Foundation Calculation'!$I$2:$J$8,2,FALSE),0),IF(AX26="K",VLOOKUP(L26,'Foundation Calculation'!$K$42:$R$80,VLOOKUP(AW26,'Foundation Calculation'!$I$2:$J$8,2,FALSE),0),""))</f>
        <v>4</v>
      </c>
      <c r="AZ26" s="1429">
        <v>3.3</v>
      </c>
      <c r="BA26" s="1526" t="s">
        <v>2809</v>
      </c>
      <c r="BB26" s="1425" t="str">
        <f>Pole_Calculations!A22</f>
        <v>App.7-V11A-P9.5.1.8</v>
      </c>
      <c r="BC26" s="1434"/>
      <c r="BD26" s="1435"/>
      <c r="BE26" s="1435"/>
      <c r="BF26" s="1435"/>
      <c r="BG26" s="1435"/>
    </row>
    <row r="27" spans="1:59" ht="15.75" customHeight="1">
      <c r="A27" s="449"/>
      <c r="B27" s="173"/>
      <c r="C27" s="446"/>
      <c r="D27" s="638"/>
      <c r="E27" s="638"/>
      <c r="F27" s="447"/>
      <c r="G27" s="484">
        <v>54</v>
      </c>
      <c r="H27" s="638"/>
      <c r="I27" s="1239">
        <v>298</v>
      </c>
      <c r="J27" s="446">
        <f>C26+9.5</f>
        <v>83176.409999999974</v>
      </c>
      <c r="K27" s="638" t="s">
        <v>2884</v>
      </c>
      <c r="L27" s="445"/>
      <c r="M27" s="445"/>
      <c r="N27" s="1239"/>
      <c r="O27" s="1239"/>
      <c r="P27" s="638"/>
      <c r="Q27" s="638"/>
      <c r="R27" s="638"/>
      <c r="S27" s="484"/>
      <c r="T27" s="638"/>
      <c r="U27" s="638"/>
      <c r="V27" s="638"/>
      <c r="W27" s="638"/>
      <c r="X27" s="638"/>
      <c r="Y27" s="638"/>
      <c r="Z27" s="638"/>
      <c r="AA27" s="638"/>
      <c r="AB27" s="638"/>
      <c r="AC27" s="638"/>
      <c r="AD27" s="638"/>
      <c r="AE27" s="638"/>
      <c r="AF27" s="638"/>
      <c r="AG27" s="446"/>
      <c r="AH27" s="638"/>
      <c r="AI27" s="185"/>
      <c r="AJ27" s="638"/>
      <c r="AK27" s="1239"/>
      <c r="AL27" s="638"/>
      <c r="AM27" s="638"/>
      <c r="AN27" s="455"/>
      <c r="AO27" s="1239"/>
      <c r="AP27" s="445"/>
      <c r="AQ27" s="484">
        <f>+FL_1($U$28,$U$26,$G$27,1200,9.28, 1*$F$28)</f>
        <v>0.35055903866666654</v>
      </c>
      <c r="AR27" s="484"/>
      <c r="AS27" s="484"/>
      <c r="AT27" s="484"/>
      <c r="AU27" s="638"/>
      <c r="AV27" s="638"/>
      <c r="AW27" s="638" t="str">
        <f>VLOOKUP(J27,'Foundation Calculation'!$A$2:$C$33,3,1)</f>
        <v>Soil A</v>
      </c>
      <c r="AX27" s="638" t="str">
        <f>VLOOKUP(J27,'Foundation Calculation'!$E$2:$G$33,3,1)</f>
        <v>PT</v>
      </c>
      <c r="AY27" s="484"/>
      <c r="AZ27" s="484">
        <v>2.8</v>
      </c>
      <c r="BA27" s="671" t="s">
        <v>2809</v>
      </c>
      <c r="BB27" s="449"/>
      <c r="BC27" s="169"/>
      <c r="BD27" s="1329"/>
      <c r="BE27" s="1330"/>
      <c r="BF27" s="1330"/>
      <c r="BG27" s="1330"/>
    </row>
    <row r="28" spans="1:59" ht="15.75" customHeight="1">
      <c r="A28" s="449"/>
      <c r="B28" s="435" t="s">
        <v>3881</v>
      </c>
      <c r="C28" s="446">
        <f>+$C$26+$G$27</f>
        <v>83220.909999999974</v>
      </c>
      <c r="D28" s="638"/>
      <c r="E28" s="638"/>
      <c r="F28" s="1239">
        <v>0</v>
      </c>
      <c r="G28" s="484"/>
      <c r="H28" s="1239" t="s">
        <v>3134</v>
      </c>
      <c r="I28" s="1239"/>
      <c r="J28" s="446"/>
      <c r="K28" s="638"/>
      <c r="L28" s="638"/>
      <c r="M28" s="638"/>
      <c r="N28" s="1239" t="s">
        <v>144</v>
      </c>
      <c r="O28" s="1239" t="s">
        <v>143</v>
      </c>
      <c r="P28" s="638" t="s">
        <v>140</v>
      </c>
      <c r="Q28" s="638"/>
      <c r="R28" s="638"/>
      <c r="S28" s="484"/>
      <c r="T28" s="638">
        <v>-20</v>
      </c>
      <c r="U28" s="638">
        <v>-35</v>
      </c>
      <c r="V28" s="638">
        <v>-50</v>
      </c>
      <c r="W28" s="638">
        <v>1.2</v>
      </c>
      <c r="X28" s="638">
        <v>1.6</v>
      </c>
      <c r="Y28" s="638">
        <v>2</v>
      </c>
      <c r="Z28" s="638"/>
      <c r="AA28" s="638"/>
      <c r="AB28" s="638">
        <v>0.45</v>
      </c>
      <c r="AC28" s="638" t="s">
        <v>2773</v>
      </c>
      <c r="AD28" s="638" t="s">
        <v>1428</v>
      </c>
      <c r="AE28" s="638"/>
      <c r="AF28" s="638"/>
      <c r="AG28" s="446"/>
      <c r="AH28" s="638"/>
      <c r="AI28" s="638"/>
      <c r="AJ28" s="638"/>
      <c r="AK28" s="1239" t="s">
        <v>3133</v>
      </c>
      <c r="AL28" s="638"/>
      <c r="AM28" s="638"/>
      <c r="AN28" s="455">
        <v>5.15</v>
      </c>
      <c r="AO28" s="1239"/>
      <c r="AP28" s="445"/>
      <c r="AQ28" s="484"/>
      <c r="AR28" s="484"/>
      <c r="AS28" s="484"/>
      <c r="AT28" s="484">
        <f>+ab($U$28,$U$26,-$T$30,$G$27,$G$29, 1*$F$28,1200)</f>
        <v>-6.4500190950169705</v>
      </c>
      <c r="AU28" s="638"/>
      <c r="AV28" s="638"/>
      <c r="AW28" s="638"/>
      <c r="AX28" s="638"/>
      <c r="AY28" s="484"/>
      <c r="AZ28" s="484"/>
      <c r="BA28" s="671"/>
      <c r="BB28" s="449"/>
      <c r="BC28" s="169"/>
      <c r="BD28" s="1330"/>
      <c r="BE28" s="1329"/>
      <c r="BF28" s="1330"/>
      <c r="BG28" s="1329"/>
    </row>
    <row r="29" spans="1:59" ht="15.75" customHeight="1">
      <c r="A29" s="447"/>
      <c r="B29" s="173"/>
      <c r="C29" s="446"/>
      <c r="D29" s="638"/>
      <c r="E29" s="638"/>
      <c r="F29" s="447"/>
      <c r="G29" s="484">
        <v>39.799999999999997</v>
      </c>
      <c r="H29" s="1239"/>
      <c r="I29" s="1239"/>
      <c r="J29" s="446"/>
      <c r="K29" s="638"/>
      <c r="L29" s="445"/>
      <c r="M29" s="445"/>
      <c r="N29" s="1239"/>
      <c r="O29" s="1239"/>
      <c r="P29" s="638"/>
      <c r="Q29" s="638"/>
      <c r="R29" s="638"/>
      <c r="S29" s="484"/>
      <c r="T29" s="638"/>
      <c r="U29" s="638"/>
      <c r="V29" s="638"/>
      <c r="W29" s="638"/>
      <c r="X29" s="638"/>
      <c r="Y29" s="638"/>
      <c r="Z29" s="638"/>
      <c r="AA29" s="638"/>
      <c r="AB29" s="638"/>
      <c r="AC29" s="638"/>
      <c r="AD29" s="638"/>
      <c r="AE29" s="638"/>
      <c r="AF29" s="638"/>
      <c r="AG29" s="446"/>
      <c r="AH29" s="638"/>
      <c r="AI29" s="638"/>
      <c r="AJ29" s="638" t="s">
        <v>864</v>
      </c>
      <c r="AK29" s="1239" t="s">
        <v>2762</v>
      </c>
      <c r="AL29" s="638"/>
      <c r="AM29" s="638"/>
      <c r="AN29" s="455"/>
      <c r="AO29" s="1239"/>
      <c r="AP29" s="445"/>
      <c r="AQ29" s="484">
        <f>+FL_2(-$T$30,$T$28,$G$29,1200,9.28, 1*$F$30)</f>
        <v>-0.20159416818090461</v>
      </c>
      <c r="AR29" s="484"/>
      <c r="AS29" s="484"/>
      <c r="AT29" s="484"/>
      <c r="AU29" s="638"/>
      <c r="AV29" s="638"/>
      <c r="AW29" s="484"/>
      <c r="AX29" s="484"/>
      <c r="AY29" s="484"/>
      <c r="AZ29" s="484"/>
      <c r="BA29" s="671"/>
      <c r="BB29" s="447"/>
      <c r="BC29" s="169"/>
      <c r="BD29" s="1330"/>
      <c r="BE29" s="1330"/>
      <c r="BF29" s="1330"/>
      <c r="BG29" s="1330"/>
    </row>
    <row r="30" spans="1:59" ht="15.75" customHeight="1">
      <c r="A30" s="1239"/>
      <c r="B30" s="435" t="s">
        <v>3882</v>
      </c>
      <c r="C30" s="446">
        <f>+$C$28+$G$29</f>
        <v>83260.709999999977</v>
      </c>
      <c r="D30" s="638"/>
      <c r="E30" s="638"/>
      <c r="F30" s="1239">
        <v>0</v>
      </c>
      <c r="G30" s="484"/>
      <c r="H30" s="638"/>
      <c r="I30" s="1239"/>
      <c r="J30" s="446"/>
      <c r="K30" s="638"/>
      <c r="L30" s="638"/>
      <c r="M30" s="638"/>
      <c r="N30" s="1239" t="s">
        <v>843</v>
      </c>
      <c r="O30" s="1239"/>
      <c r="P30" s="638"/>
      <c r="Q30" s="638"/>
      <c r="R30" s="638"/>
      <c r="S30" s="484"/>
      <c r="T30" s="638">
        <v>-35</v>
      </c>
      <c r="U30" s="638"/>
      <c r="V30" s="638"/>
      <c r="W30" s="638">
        <v>1.4</v>
      </c>
      <c r="X30" s="638"/>
      <c r="Y30" s="638"/>
      <c r="Z30" s="638"/>
      <c r="AA30" s="638"/>
      <c r="AB30" s="638"/>
      <c r="AC30" s="638" t="str">
        <f>IF(OR(AT30&gt;8,AT30&lt;-8),"PH",IF(OR(AT30&gt;5,AT30&lt;-5),"PH-Q",IF(OR(AT30&gt;1,AT30&lt;-1),"PH-C")))</f>
        <v>PH-Q</v>
      </c>
      <c r="AD30" s="638"/>
      <c r="AE30" s="638"/>
      <c r="AF30" s="638"/>
      <c r="AG30" s="446"/>
      <c r="AH30" s="638"/>
      <c r="AI30" s="185"/>
      <c r="AJ30" s="638"/>
      <c r="AK30" s="1239" t="s">
        <v>4658</v>
      </c>
      <c r="AL30" s="638"/>
      <c r="AM30" s="638"/>
      <c r="AN30" s="455">
        <v>5.15</v>
      </c>
      <c r="AO30" s="1239"/>
      <c r="AP30" s="445"/>
      <c r="AQ30" s="484"/>
      <c r="AR30" s="484"/>
      <c r="AS30" s="484"/>
      <c r="AT30" s="484">
        <f>+ab(-$T$30,$T$28,$T$32,$G$29,$G$31, 1*$F$30,1200)</f>
        <v>6.0868520443615735</v>
      </c>
      <c r="AU30" s="638"/>
      <c r="AV30" s="638"/>
      <c r="AW30" s="638"/>
      <c r="AX30" s="638"/>
      <c r="AY30" s="484"/>
      <c r="AZ30" s="484"/>
      <c r="BA30" s="671"/>
      <c r="BB30" s="449" t="s">
        <v>4657</v>
      </c>
      <c r="BC30" s="169"/>
      <c r="BD30" s="1330"/>
      <c r="BE30" s="1329"/>
      <c r="BF30" s="1330"/>
      <c r="BG30" s="1329"/>
    </row>
    <row r="31" spans="1:59" ht="15.75" customHeight="1">
      <c r="A31" s="1239"/>
      <c r="B31" s="173"/>
      <c r="C31" s="446"/>
      <c r="D31" s="638"/>
      <c r="E31" s="638"/>
      <c r="F31" s="447"/>
      <c r="G31" s="484">
        <v>39.799999999999997</v>
      </c>
      <c r="H31" s="1239"/>
      <c r="I31" s="1239"/>
      <c r="J31" s="446"/>
      <c r="K31" s="638"/>
      <c r="L31" s="445"/>
      <c r="M31" s="445"/>
      <c r="N31" s="1239"/>
      <c r="O31" s="1239"/>
      <c r="P31" s="638"/>
      <c r="Q31" s="638"/>
      <c r="R31" s="638"/>
      <c r="S31" s="484"/>
      <c r="T31" s="638"/>
      <c r="U31" s="638"/>
      <c r="V31" s="638"/>
      <c r="W31" s="638"/>
      <c r="X31" s="638"/>
      <c r="Y31" s="638"/>
      <c r="Z31" s="638"/>
      <c r="AA31" s="638"/>
      <c r="AB31" s="638"/>
      <c r="AC31" s="638"/>
      <c r="AD31" s="638"/>
      <c r="AE31" s="638"/>
      <c r="AF31" s="638"/>
      <c r="AG31" s="446"/>
      <c r="AH31" s="638"/>
      <c r="AI31" s="185"/>
      <c r="AJ31" s="638"/>
      <c r="AK31" s="1239"/>
      <c r="AL31" s="638"/>
      <c r="AM31" s="638"/>
      <c r="AN31" s="455"/>
      <c r="AO31" s="1239"/>
      <c r="AP31" s="1239"/>
      <c r="AQ31" s="484">
        <f>+FL_2($T$32,-$T$30,$G$31,1200,9.28, 1*$F$32)</f>
        <v>-0.35</v>
      </c>
      <c r="AR31" s="484"/>
      <c r="AS31" s="484"/>
      <c r="AT31" s="484"/>
      <c r="AU31" s="638"/>
      <c r="AV31" s="638"/>
      <c r="AW31" s="484"/>
      <c r="AX31" s="484"/>
      <c r="AY31" s="484"/>
      <c r="AZ31" s="484"/>
      <c r="BA31" s="671"/>
      <c r="BB31" s="1239"/>
      <c r="BC31" s="169"/>
      <c r="BD31" s="1330"/>
      <c r="BE31" s="1330"/>
      <c r="BF31" s="1330"/>
      <c r="BG31" s="1330"/>
    </row>
    <row r="32" spans="1:59" ht="15.75" customHeight="1">
      <c r="A32" s="1239"/>
      <c r="B32" s="435" t="s">
        <v>3883</v>
      </c>
      <c r="C32" s="446">
        <f>+$C$30+$G$31</f>
        <v>83300.50999999998</v>
      </c>
      <c r="D32" s="638"/>
      <c r="E32" s="638"/>
      <c r="F32" s="1239">
        <v>0</v>
      </c>
      <c r="G32" s="484"/>
      <c r="H32" s="638"/>
      <c r="I32" s="1239"/>
      <c r="J32" s="446"/>
      <c r="K32" s="638"/>
      <c r="L32" s="638"/>
      <c r="M32" s="638"/>
      <c r="N32" s="1239" t="s">
        <v>843</v>
      </c>
      <c r="O32" s="638"/>
      <c r="P32" s="638"/>
      <c r="Q32" s="638"/>
      <c r="R32" s="638"/>
      <c r="S32" s="484"/>
      <c r="T32" s="638">
        <v>-35</v>
      </c>
      <c r="U32" s="638"/>
      <c r="V32" s="638"/>
      <c r="W32" s="638">
        <v>1.4</v>
      </c>
      <c r="X32" s="638"/>
      <c r="Y32" s="638"/>
      <c r="Z32" s="638"/>
      <c r="AA32" s="638"/>
      <c r="AB32" s="638"/>
      <c r="AC32" s="638" t="str">
        <f>IF(OR(AT32&gt;8,AT32&lt;-8),"PH",IF(OR(AT32&gt;5,AT32&lt;-5),"PH-Q",IF(OR(AT32&gt;1,AT32&lt;-1),"PH-C")))</f>
        <v>PH-Q</v>
      </c>
      <c r="AD32" s="638"/>
      <c r="AE32" s="638"/>
      <c r="AF32" s="638"/>
      <c r="AG32" s="446"/>
      <c r="AH32" s="638"/>
      <c r="AI32" s="185"/>
      <c r="AJ32" s="638"/>
      <c r="AK32" s="1239" t="s">
        <v>139</v>
      </c>
      <c r="AL32" s="638"/>
      <c r="AM32" s="638"/>
      <c r="AN32" s="455">
        <v>5.15</v>
      </c>
      <c r="AO32" s="1239"/>
      <c r="AP32" s="445"/>
      <c r="AQ32" s="484"/>
      <c r="AR32" s="484"/>
      <c r="AS32" s="484"/>
      <c r="AT32" s="484">
        <f>+ab($T$32,-$T$30,$T$34,$G$31,$G$33, 1*$F$32,1200)</f>
        <v>-5.9433200946688629</v>
      </c>
      <c r="AU32" s="638"/>
      <c r="AV32" s="638"/>
      <c r="AW32" s="638"/>
      <c r="AX32" s="638"/>
      <c r="AY32" s="484"/>
      <c r="AZ32" s="484"/>
      <c r="BA32" s="671"/>
      <c r="BB32" s="1239"/>
      <c r="BC32" s="169"/>
      <c r="BD32" s="1330"/>
      <c r="BE32" s="1329"/>
      <c r="BF32" s="1330"/>
      <c r="BG32" s="1329"/>
    </row>
    <row r="33" spans="1:59" ht="15.75" customHeight="1">
      <c r="A33" s="1239"/>
      <c r="B33" s="173"/>
      <c r="C33" s="446"/>
      <c r="D33" s="447"/>
      <c r="E33" s="447"/>
      <c r="F33" s="1239"/>
      <c r="G33" s="484">
        <v>48</v>
      </c>
      <c r="H33" s="1239"/>
      <c r="I33" s="1239"/>
      <c r="J33" s="446"/>
      <c r="K33" s="638"/>
      <c r="L33" s="445"/>
      <c r="M33" s="445"/>
      <c r="N33" s="1239"/>
      <c r="O33" s="1239"/>
      <c r="P33" s="638"/>
      <c r="Q33" s="638"/>
      <c r="R33" s="638"/>
      <c r="S33" s="484"/>
      <c r="T33" s="638"/>
      <c r="U33" s="638"/>
      <c r="V33" s="638"/>
      <c r="W33" s="638"/>
      <c r="X33" s="638"/>
      <c r="Y33" s="638"/>
      <c r="Z33" s="638"/>
      <c r="AA33" s="638"/>
      <c r="AB33" s="638"/>
      <c r="AC33" s="638"/>
      <c r="AD33" s="638"/>
      <c r="AE33" s="638"/>
      <c r="AF33" s="638"/>
      <c r="AG33" s="446"/>
      <c r="AH33" s="638"/>
      <c r="AI33" s="185"/>
      <c r="AJ33" s="638"/>
      <c r="AK33" s="1239"/>
      <c r="AL33" s="638"/>
      <c r="AM33" s="638"/>
      <c r="AN33" s="455"/>
      <c r="AO33" s="1239"/>
      <c r="AP33" s="1239"/>
      <c r="AQ33" s="484">
        <f>+FL_2($T$34,$T$32,$G$33,1200,9.28, 1*$F$34)</f>
        <v>-0.36022448800000006</v>
      </c>
      <c r="AR33" s="484"/>
      <c r="AS33" s="484"/>
      <c r="AT33" s="484"/>
      <c r="AU33" s="638"/>
      <c r="AV33" s="638"/>
      <c r="AW33" s="484"/>
      <c r="AX33" s="484"/>
      <c r="AY33" s="484"/>
      <c r="AZ33" s="484"/>
      <c r="BA33" s="671"/>
      <c r="BB33" s="1239"/>
      <c r="BC33" s="169"/>
      <c r="BD33" s="1330"/>
      <c r="BE33" s="1330"/>
      <c r="BF33" s="1330"/>
      <c r="BG33" s="1330"/>
    </row>
    <row r="34" spans="1:59" ht="15.75" customHeight="1">
      <c r="A34" s="1239"/>
      <c r="B34" s="435" t="s">
        <v>3884</v>
      </c>
      <c r="C34" s="446">
        <f>+$C$32+$G$33</f>
        <v>83348.50999999998</v>
      </c>
      <c r="D34" s="447"/>
      <c r="E34" s="447"/>
      <c r="F34" s="1239">
        <v>0</v>
      </c>
      <c r="G34" s="484"/>
      <c r="H34" s="638"/>
      <c r="I34" s="455"/>
      <c r="J34" s="446"/>
      <c r="K34" s="638"/>
      <c r="L34" s="638"/>
      <c r="M34" s="638"/>
      <c r="N34" s="1239" t="s">
        <v>844</v>
      </c>
      <c r="O34" s="638"/>
      <c r="P34" s="638"/>
      <c r="Q34" s="638"/>
      <c r="R34" s="638"/>
      <c r="S34" s="484"/>
      <c r="T34" s="638">
        <v>35</v>
      </c>
      <c r="U34" s="638"/>
      <c r="V34" s="638"/>
      <c r="W34" s="638">
        <v>1.4</v>
      </c>
      <c r="X34" s="638"/>
      <c r="Y34" s="638"/>
      <c r="Z34" s="638"/>
      <c r="AA34" s="638"/>
      <c r="AB34" s="638"/>
      <c r="AC34" s="638" t="str">
        <f>IF(OR(AT34&gt;8,AT34&lt;-8),"PH",IF(OR(AT34&gt;5,AT34&lt;-5),"PH-Q",IF(OR(AT34&gt;1,AT34&lt;-1),"PH-C")))</f>
        <v>PH-Q</v>
      </c>
      <c r="AD34" s="638"/>
      <c r="AE34" s="638"/>
      <c r="AF34" s="638"/>
      <c r="AG34" s="446"/>
      <c r="AH34" s="638"/>
      <c r="AI34" s="185"/>
      <c r="AJ34" s="638"/>
      <c r="AK34" s="1239" t="s">
        <v>139</v>
      </c>
      <c r="AL34" s="638"/>
      <c r="AM34" s="638"/>
      <c r="AN34" s="455">
        <v>5.15</v>
      </c>
      <c r="AO34" s="1239"/>
      <c r="AP34" s="445"/>
      <c r="AQ34" s="484"/>
      <c r="AR34" s="484"/>
      <c r="AS34" s="484"/>
      <c r="AT34" s="484">
        <f>+ab($T$34,$T$32,$U$36,$G$33,$G$35, 1*$F$34,1200)</f>
        <v>7.0802743531728032</v>
      </c>
      <c r="AU34" s="638"/>
      <c r="AV34" s="638"/>
      <c r="AW34" s="638"/>
      <c r="AX34" s="638"/>
      <c r="AY34" s="484"/>
      <c r="AZ34" s="484"/>
      <c r="BA34" s="671"/>
      <c r="BB34" s="1239"/>
      <c r="BC34" s="169"/>
      <c r="BD34" s="1330"/>
      <c r="BE34" s="1329"/>
      <c r="BF34" s="1330"/>
      <c r="BG34" s="1329"/>
    </row>
    <row r="35" spans="1:59" ht="15.75" customHeight="1">
      <c r="A35" s="1239"/>
      <c r="B35" s="173"/>
      <c r="C35" s="446"/>
      <c r="D35" s="447"/>
      <c r="E35" s="447"/>
      <c r="F35" s="1239"/>
      <c r="G35" s="484">
        <v>52.5</v>
      </c>
      <c r="H35" s="168"/>
      <c r="I35" s="1239"/>
      <c r="J35" s="446"/>
      <c r="K35" s="638"/>
      <c r="L35" s="445"/>
      <c r="M35" s="445"/>
      <c r="N35" s="1239"/>
      <c r="O35" s="1239"/>
      <c r="P35" s="638"/>
      <c r="Q35" s="638"/>
      <c r="R35" s="638"/>
      <c r="S35" s="484"/>
      <c r="T35" s="638"/>
      <c r="U35" s="638"/>
      <c r="V35" s="638"/>
      <c r="W35" s="638"/>
      <c r="X35" s="638"/>
      <c r="Y35" s="638"/>
      <c r="Z35" s="638"/>
      <c r="AA35" s="638"/>
      <c r="AB35" s="638"/>
      <c r="AC35" s="638"/>
      <c r="AD35" s="638"/>
      <c r="AE35" s="638"/>
      <c r="AF35" s="638"/>
      <c r="AG35" s="446"/>
      <c r="AH35" s="638"/>
      <c r="AI35" s="185"/>
      <c r="AJ35" s="638"/>
      <c r="AK35" s="1239"/>
      <c r="AL35" s="638"/>
      <c r="AM35" s="638"/>
      <c r="AN35" s="455"/>
      <c r="AO35" s="1239"/>
      <c r="AP35" s="1239"/>
      <c r="AQ35" s="484">
        <f>+FL_1($U$36,$T$34,$G$35,1200,9.28, 1*$F$36)</f>
        <v>0.39054610895238095</v>
      </c>
      <c r="AR35" s="484"/>
      <c r="AS35" s="484"/>
      <c r="AT35" s="484"/>
      <c r="AU35" s="638"/>
      <c r="AV35" s="638"/>
      <c r="AW35" s="638"/>
      <c r="AX35" s="638"/>
      <c r="AY35" s="484"/>
      <c r="AZ35" s="484"/>
      <c r="BA35" s="671"/>
      <c r="BB35" s="1239"/>
      <c r="BC35" s="169"/>
      <c r="BD35" s="1330"/>
      <c r="BE35" s="1330"/>
      <c r="BF35" s="1330"/>
      <c r="BG35" s="1330"/>
    </row>
    <row r="36" spans="1:59" ht="15.75" customHeight="1">
      <c r="A36" s="1239"/>
      <c r="B36" s="435" t="s">
        <v>3885</v>
      </c>
      <c r="C36" s="446">
        <f>+$C$34+$G$35</f>
        <v>83401.00999999998</v>
      </c>
      <c r="D36" s="447"/>
      <c r="E36" s="447"/>
      <c r="F36" s="1239">
        <v>0</v>
      </c>
      <c r="G36" s="484"/>
      <c r="H36" s="638" t="s">
        <v>619</v>
      </c>
      <c r="I36" s="1239"/>
      <c r="J36" s="446"/>
      <c r="K36" s="638"/>
      <c r="L36" s="638"/>
      <c r="M36" s="638"/>
      <c r="N36" s="1239" t="s">
        <v>845</v>
      </c>
      <c r="O36" s="638" t="s">
        <v>843</v>
      </c>
      <c r="P36" s="638"/>
      <c r="Q36" s="638"/>
      <c r="R36" s="638"/>
      <c r="S36" s="484"/>
      <c r="T36" s="638">
        <v>15</v>
      </c>
      <c r="U36" s="638">
        <v>-30</v>
      </c>
      <c r="V36" s="638"/>
      <c r="W36" s="638">
        <v>1.4</v>
      </c>
      <c r="X36" s="638">
        <v>2.2999999999999998</v>
      </c>
      <c r="Y36" s="638"/>
      <c r="Z36" s="638">
        <v>0.45</v>
      </c>
      <c r="AA36" s="638"/>
      <c r="AB36" s="638"/>
      <c r="AC36" s="638"/>
      <c r="AD36" s="638"/>
      <c r="AE36" s="638"/>
      <c r="AF36" s="638"/>
      <c r="AG36" s="446"/>
      <c r="AH36" s="638"/>
      <c r="AI36" s="185"/>
      <c r="AJ36" s="638"/>
      <c r="AK36" s="1239" t="s">
        <v>228</v>
      </c>
      <c r="AL36" s="638"/>
      <c r="AM36" s="638"/>
      <c r="AN36" s="455">
        <v>5.15</v>
      </c>
      <c r="AO36" s="1239"/>
      <c r="AP36" s="445"/>
      <c r="AQ36" s="484"/>
      <c r="AR36" s="484"/>
      <c r="AS36" s="484"/>
      <c r="AT36" s="484">
        <f>+ab($U$36,$T$34,$U$38,$G$35,$G$37, 1*$F$36,1200)</f>
        <v>-12.330001945335061</v>
      </c>
      <c r="AU36" s="638"/>
      <c r="AV36" s="638"/>
      <c r="AW36" s="638"/>
      <c r="AX36" s="638"/>
      <c r="AY36" s="484"/>
      <c r="AZ36" s="484"/>
      <c r="BA36" s="671"/>
      <c r="BB36" s="1239"/>
      <c r="BC36" s="169"/>
      <c r="BD36" s="1330"/>
      <c r="BE36" s="1329"/>
      <c r="BF36" s="1330"/>
      <c r="BG36" s="1329"/>
    </row>
    <row r="37" spans="1:59" ht="15.75" customHeight="1">
      <c r="A37" s="1239"/>
      <c r="B37" s="173"/>
      <c r="C37" s="446"/>
      <c r="D37" s="447"/>
      <c r="E37" s="447"/>
      <c r="F37" s="1239"/>
      <c r="G37" s="484">
        <v>51</v>
      </c>
      <c r="H37" s="1239"/>
      <c r="I37" s="1239"/>
      <c r="J37" s="446"/>
      <c r="K37" s="638"/>
      <c r="L37" s="638"/>
      <c r="M37" s="638"/>
      <c r="N37" s="1239"/>
      <c r="O37" s="1239"/>
      <c r="P37" s="638"/>
      <c r="Q37" s="638"/>
      <c r="R37" s="638"/>
      <c r="S37" s="484"/>
      <c r="T37" s="638"/>
      <c r="U37" s="638"/>
      <c r="V37" s="638"/>
      <c r="W37" s="638"/>
      <c r="X37" s="638"/>
      <c r="Y37" s="638"/>
      <c r="Z37" s="638"/>
      <c r="AA37" s="638"/>
      <c r="AB37" s="638"/>
      <c r="AC37" s="638"/>
      <c r="AD37" s="638"/>
      <c r="AE37" s="638"/>
      <c r="AF37" s="638"/>
      <c r="AG37" s="446"/>
      <c r="AH37" s="638"/>
      <c r="AI37" s="185"/>
      <c r="AJ37" s="638"/>
      <c r="AK37" s="1239"/>
      <c r="AL37" s="638"/>
      <c r="AM37" s="638"/>
      <c r="AN37" s="455"/>
      <c r="AO37" s="1239"/>
      <c r="AP37" s="1239"/>
      <c r="AQ37" s="484">
        <f>+FL_1($U$38,$U$36,$G$37,1200,9.28, 1*$F$38)</f>
        <v>3.2023003921568607E-2</v>
      </c>
      <c r="AR37" s="484"/>
      <c r="AS37" s="484"/>
      <c r="AT37" s="484"/>
      <c r="AU37" s="638"/>
      <c r="AV37" s="638"/>
      <c r="AW37" s="638"/>
      <c r="AX37" s="638"/>
      <c r="AY37" s="484"/>
      <c r="AZ37" s="484"/>
      <c r="BA37" s="671"/>
      <c r="BB37" s="1239"/>
      <c r="BC37" s="169"/>
      <c r="BD37" s="1330"/>
      <c r="BE37" s="1330"/>
      <c r="BF37" s="1330"/>
      <c r="BG37" s="1330"/>
    </row>
    <row r="38" spans="1:59" ht="15.75" customHeight="1">
      <c r="A38" s="1239" t="s">
        <v>3919</v>
      </c>
      <c r="B38" s="435" t="s">
        <v>3886</v>
      </c>
      <c r="C38" s="446">
        <f>+$C$36+$G$37</f>
        <v>83452.00999999998</v>
      </c>
      <c r="D38" s="447"/>
      <c r="E38" s="447"/>
      <c r="F38" s="1239">
        <v>0</v>
      </c>
      <c r="G38" s="484"/>
      <c r="H38" s="638" t="s">
        <v>619</v>
      </c>
      <c r="I38" s="1239" t="s">
        <v>1429</v>
      </c>
      <c r="J38" s="446"/>
      <c r="K38" s="638"/>
      <c r="L38" s="638"/>
      <c r="M38" s="638"/>
      <c r="N38" s="1239" t="s">
        <v>844</v>
      </c>
      <c r="O38" s="638" t="s">
        <v>845</v>
      </c>
      <c r="P38" s="638"/>
      <c r="Q38" s="638"/>
      <c r="R38" s="638"/>
      <c r="S38" s="484"/>
      <c r="T38" s="638">
        <v>30</v>
      </c>
      <c r="U38" s="638">
        <v>-15</v>
      </c>
      <c r="V38" s="638"/>
      <c r="W38" s="638">
        <v>1.4</v>
      </c>
      <c r="X38" s="638">
        <v>2.2999999999999998</v>
      </c>
      <c r="Y38" s="638"/>
      <c r="Z38" s="638"/>
      <c r="AA38" s="638">
        <v>0.45</v>
      </c>
      <c r="AB38" s="638"/>
      <c r="AC38" s="638" t="str">
        <f>IF(OR(AT38&gt;8,AT38&lt;-8),"PH",IF(OR(AT38&gt;5,AT38&lt;-5),"PH-Q",IF(OR(AT38&gt;1,AT38&lt;-1),"PH-C")))</f>
        <v>PH</v>
      </c>
      <c r="AD38" s="638"/>
      <c r="AE38" s="638"/>
      <c r="AF38" s="638"/>
      <c r="AG38" s="446"/>
      <c r="AH38" s="638"/>
      <c r="AI38" s="185"/>
      <c r="AJ38" s="638" t="s">
        <v>2154</v>
      </c>
      <c r="AK38" s="1239" t="s">
        <v>228</v>
      </c>
      <c r="AL38" s="638"/>
      <c r="AM38" s="638"/>
      <c r="AN38" s="455">
        <v>5.15</v>
      </c>
      <c r="AO38" s="1239"/>
      <c r="AP38" s="445"/>
      <c r="AQ38" s="484"/>
      <c r="AR38" s="484"/>
      <c r="AS38" s="484"/>
      <c r="AT38" s="484">
        <f>+ab($T$38,$T$36,$T$40,$G$37,$G$39, 1*$F$38,1200)</f>
        <v>9.5265691600811664</v>
      </c>
      <c r="AU38" s="638"/>
      <c r="AV38" s="638"/>
      <c r="AW38" s="638"/>
      <c r="AX38" s="638"/>
      <c r="AY38" s="484"/>
      <c r="AZ38" s="484"/>
      <c r="BA38" s="671"/>
      <c r="BB38" s="1239"/>
      <c r="BC38" s="169"/>
      <c r="BD38" s="1330"/>
      <c r="BE38" s="1329"/>
      <c r="BF38" s="1330"/>
      <c r="BG38" s="1329"/>
    </row>
    <row r="39" spans="1:59" ht="15.75" customHeight="1">
      <c r="A39" s="1239"/>
      <c r="B39" s="173"/>
      <c r="C39" s="446"/>
      <c r="D39" s="447"/>
      <c r="E39" s="447"/>
      <c r="F39" s="1239"/>
      <c r="G39" s="484">
        <v>38.200000000000003</v>
      </c>
      <c r="H39" s="638"/>
      <c r="I39" s="172"/>
      <c r="J39" s="446"/>
      <c r="K39" s="638"/>
      <c r="L39" s="638"/>
      <c r="M39" s="638"/>
      <c r="N39" s="1239"/>
      <c r="O39" s="1239"/>
      <c r="P39" s="638"/>
      <c r="Q39" s="638"/>
      <c r="R39" s="638"/>
      <c r="S39" s="484"/>
      <c r="T39" s="638"/>
      <c r="U39" s="638"/>
      <c r="V39" s="638"/>
      <c r="W39" s="638"/>
      <c r="X39" s="638"/>
      <c r="Y39" s="638"/>
      <c r="Z39" s="638"/>
      <c r="AA39" s="638"/>
      <c r="AB39" s="638"/>
      <c r="AC39" s="638"/>
      <c r="AD39" s="638"/>
      <c r="AE39" s="638"/>
      <c r="AF39" s="638"/>
      <c r="AG39" s="446"/>
      <c r="AH39" s="638"/>
      <c r="AI39" s="185"/>
      <c r="AJ39" s="638"/>
      <c r="AK39" s="1239"/>
      <c r="AL39" s="638"/>
      <c r="AM39" s="638"/>
      <c r="AN39" s="455"/>
      <c r="AO39" s="1239"/>
      <c r="AP39" s="1239"/>
      <c r="AQ39" s="484">
        <f>+FL_2($T$40,$T$38,$G$39,1200,9.28, 1*$F$40)</f>
        <v>-0.35</v>
      </c>
      <c r="AR39" s="484"/>
      <c r="AS39" s="484"/>
      <c r="AT39" s="484"/>
      <c r="AU39" s="638"/>
      <c r="AV39" s="638"/>
      <c r="AW39" s="638"/>
      <c r="AX39" s="638"/>
      <c r="AY39" s="484"/>
      <c r="AZ39" s="484"/>
      <c r="BA39" s="671"/>
      <c r="BB39" s="1239"/>
      <c r="BC39" s="169"/>
      <c r="BD39" s="1330"/>
      <c r="BE39" s="1330"/>
      <c r="BF39" s="1330"/>
      <c r="BG39" s="1330"/>
    </row>
    <row r="40" spans="1:59" ht="15.75" customHeight="1">
      <c r="A40" s="1239"/>
      <c r="B40" s="435" t="s">
        <v>3887</v>
      </c>
      <c r="C40" s="446">
        <f>+$C$38+$G$39</f>
        <v>83490.209999999977</v>
      </c>
      <c r="D40" s="447"/>
      <c r="E40" s="447"/>
      <c r="F40" s="1239">
        <v>0</v>
      </c>
      <c r="G40" s="484"/>
      <c r="H40" s="638"/>
      <c r="I40" s="1239"/>
      <c r="J40" s="446"/>
      <c r="K40" s="638"/>
      <c r="L40" s="638"/>
      <c r="M40" s="638"/>
      <c r="N40" s="1239" t="s">
        <v>843</v>
      </c>
      <c r="O40" s="638"/>
      <c r="P40" s="638"/>
      <c r="Q40" s="638"/>
      <c r="R40" s="638"/>
      <c r="S40" s="484"/>
      <c r="T40" s="638">
        <v>-35</v>
      </c>
      <c r="U40" s="638"/>
      <c r="V40" s="638"/>
      <c r="W40" s="638">
        <v>1.4</v>
      </c>
      <c r="X40" s="638"/>
      <c r="Y40" s="638"/>
      <c r="Z40" s="638"/>
      <c r="AA40" s="638"/>
      <c r="AB40" s="638"/>
      <c r="AC40" s="638" t="str">
        <f>IF(OR(AT40&gt;8,AT40&lt;-8),"PH",IF(OR(AT40&gt;5,AT40&lt;-5),"PH-Q",IF(OR(AT40&gt;1,AT40&lt;-1),"PH-C")))</f>
        <v>PH-Q</v>
      </c>
      <c r="AD40" s="638"/>
      <c r="AE40" s="638"/>
      <c r="AF40" s="638"/>
      <c r="AG40" s="446"/>
      <c r="AH40" s="638"/>
      <c r="AI40" s="185"/>
      <c r="AJ40" s="638"/>
      <c r="AK40" s="1239" t="s">
        <v>139</v>
      </c>
      <c r="AL40" s="638"/>
      <c r="AM40" s="638"/>
      <c r="AN40" s="455">
        <v>5.15</v>
      </c>
      <c r="AO40" s="1239"/>
      <c r="AP40" s="445"/>
      <c r="AQ40" s="484"/>
      <c r="AR40" s="484"/>
      <c r="AS40" s="484"/>
      <c r="AT40" s="484">
        <f>+ab($T$40,$T$38,$T$42,$G$39,$G$41, 1*$F$40,1200)</f>
        <v>-5.8708459494212102</v>
      </c>
      <c r="AU40" s="638"/>
      <c r="AV40" s="638"/>
      <c r="AW40" s="638"/>
      <c r="AX40" s="638"/>
      <c r="AY40" s="484"/>
      <c r="AZ40" s="484"/>
      <c r="BA40" s="671"/>
      <c r="BB40" s="1239"/>
      <c r="BC40" s="169"/>
      <c r="BD40" s="1330"/>
      <c r="BE40" s="1329"/>
      <c r="BF40" s="1330"/>
      <c r="BG40" s="1329"/>
    </row>
    <row r="41" spans="1:59" ht="15.75" customHeight="1">
      <c r="A41" s="1239"/>
      <c r="B41" s="173"/>
      <c r="C41" s="446"/>
      <c r="D41" s="447"/>
      <c r="E41" s="447"/>
      <c r="F41" s="1239"/>
      <c r="G41" s="484">
        <v>45</v>
      </c>
      <c r="H41" s="638"/>
      <c r="I41" s="172"/>
      <c r="J41" s="446"/>
      <c r="K41" s="638"/>
      <c r="L41" s="638"/>
      <c r="M41" s="638"/>
      <c r="N41" s="1239"/>
      <c r="O41" s="1239"/>
      <c r="P41" s="638"/>
      <c r="Q41" s="638"/>
      <c r="R41" s="638"/>
      <c r="S41" s="484"/>
      <c r="T41" s="638"/>
      <c r="U41" s="638"/>
      <c r="V41" s="638"/>
      <c r="W41" s="638"/>
      <c r="X41" s="638"/>
      <c r="Y41" s="638"/>
      <c r="Z41" s="638"/>
      <c r="AA41" s="638"/>
      <c r="AB41" s="638"/>
      <c r="AC41" s="638"/>
      <c r="AD41" s="638"/>
      <c r="AE41" s="638"/>
      <c r="AF41" s="638"/>
      <c r="AG41" s="446"/>
      <c r="AH41" s="638"/>
      <c r="AI41" s="185"/>
      <c r="AJ41" s="638"/>
      <c r="AK41" s="1239"/>
      <c r="AL41" s="638"/>
      <c r="AM41" s="638"/>
      <c r="AN41" s="455"/>
      <c r="AO41" s="1239"/>
      <c r="AP41" s="1239"/>
      <c r="AQ41" s="484">
        <f>+FL_1($T$42,$T$40,$G$41,1200,9.28, 1*$F$42)</f>
        <v>0.35219954355555555</v>
      </c>
      <c r="AR41" s="484"/>
      <c r="AS41" s="484"/>
      <c r="AT41" s="484"/>
      <c r="AU41" s="638"/>
      <c r="AV41" s="638"/>
      <c r="AW41" s="638"/>
      <c r="AX41" s="638"/>
      <c r="AY41" s="484"/>
      <c r="AZ41" s="484"/>
      <c r="BA41" s="671"/>
      <c r="BB41" s="1239"/>
      <c r="BC41" s="169"/>
      <c r="BD41" s="1330"/>
      <c r="BE41" s="1330"/>
      <c r="BF41" s="1330"/>
      <c r="BG41" s="1330"/>
    </row>
    <row r="42" spans="1:59" ht="15.75" customHeight="1">
      <c r="A42" s="1239"/>
      <c r="B42" s="435" t="s">
        <v>3888</v>
      </c>
      <c r="C42" s="446">
        <f>+$C$40+$G$41</f>
        <v>83535.209999999977</v>
      </c>
      <c r="D42" s="447"/>
      <c r="E42" s="447"/>
      <c r="F42" s="1239">
        <v>0</v>
      </c>
      <c r="G42" s="484"/>
      <c r="H42" s="638"/>
      <c r="I42" s="638"/>
      <c r="J42" s="446"/>
      <c r="K42" s="638"/>
      <c r="L42" s="638"/>
      <c r="M42" s="638"/>
      <c r="N42" s="1239" t="s">
        <v>844</v>
      </c>
      <c r="O42" s="638"/>
      <c r="P42" s="638"/>
      <c r="Q42" s="638"/>
      <c r="R42" s="638"/>
      <c r="S42" s="484"/>
      <c r="T42" s="638">
        <v>35</v>
      </c>
      <c r="U42" s="638"/>
      <c r="V42" s="638"/>
      <c r="W42" s="638">
        <v>1.4</v>
      </c>
      <c r="X42" s="638"/>
      <c r="Y42" s="638"/>
      <c r="Z42" s="638"/>
      <c r="AA42" s="638"/>
      <c r="AB42" s="638"/>
      <c r="AC42" s="638" t="str">
        <f>IF(OR(AT42&gt;8,AT42&lt;-8),"PH",IF(OR(AT42&gt;5,AT42&lt;-5),"PH-Q",IF(OR(AT42&gt;1,AT42&lt;-1),"PH-C")))</f>
        <v>PH-Q</v>
      </c>
      <c r="AD42" s="638"/>
      <c r="AE42" s="638"/>
      <c r="AF42" s="638"/>
      <c r="AG42" s="446"/>
      <c r="AH42" s="638"/>
      <c r="AI42" s="185"/>
      <c r="AJ42" s="638"/>
      <c r="AK42" s="1239" t="s">
        <v>139</v>
      </c>
      <c r="AL42" s="638"/>
      <c r="AM42" s="638"/>
      <c r="AN42" s="455">
        <v>5.15</v>
      </c>
      <c r="AO42" s="1239"/>
      <c r="AP42" s="445"/>
      <c r="AQ42" s="484"/>
      <c r="AR42" s="484"/>
      <c r="AS42" s="484"/>
      <c r="AT42" s="484">
        <f>+ab($T$42,$T$40,$T$44,$G$41,$G$43, 1*$F$42,1200)</f>
        <v>6.1160343221800826</v>
      </c>
      <c r="AU42" s="638"/>
      <c r="AV42" s="638"/>
      <c r="AW42" s="638"/>
      <c r="AX42" s="638"/>
      <c r="AY42" s="484"/>
      <c r="AZ42" s="484"/>
      <c r="BA42" s="671"/>
      <c r="BB42" s="1239"/>
      <c r="BC42" s="169"/>
      <c r="BD42" s="1330"/>
      <c r="BE42" s="1329"/>
      <c r="BF42" s="1330"/>
      <c r="BG42" s="1329"/>
    </row>
    <row r="43" spans="1:59" ht="15.75" customHeight="1">
      <c r="A43" s="1239"/>
      <c r="B43" s="1239"/>
      <c r="C43" s="1239"/>
      <c r="D43" s="1239"/>
      <c r="E43" s="1239"/>
      <c r="F43" s="1239"/>
      <c r="G43" s="484">
        <v>41.4</v>
      </c>
      <c r="H43" s="1239"/>
      <c r="I43" s="1239"/>
      <c r="J43" s="446"/>
      <c r="K43" s="638"/>
      <c r="L43" s="638"/>
      <c r="M43" s="638"/>
      <c r="N43" s="1239"/>
      <c r="O43" s="1239"/>
      <c r="P43" s="638"/>
      <c r="Q43" s="638"/>
      <c r="R43" s="638"/>
      <c r="S43" s="484"/>
      <c r="T43" s="638"/>
      <c r="U43" s="638"/>
      <c r="V43" s="638"/>
      <c r="W43" s="638"/>
      <c r="X43" s="638"/>
      <c r="Y43" s="638"/>
      <c r="Z43" s="638"/>
      <c r="AA43" s="638"/>
      <c r="AB43" s="638"/>
      <c r="AC43" s="638"/>
      <c r="AD43" s="638"/>
      <c r="AE43" s="638"/>
      <c r="AF43" s="638"/>
      <c r="AG43" s="446"/>
      <c r="AH43" s="638"/>
      <c r="AI43" s="185"/>
      <c r="AJ43" s="638"/>
      <c r="AK43" s="1239"/>
      <c r="AL43" s="638"/>
      <c r="AM43" s="638"/>
      <c r="AN43" s="455"/>
      <c r="AO43" s="1239"/>
      <c r="AP43" s="1239"/>
      <c r="AQ43" s="484">
        <f>+FL_1($T$44,$T$42,$G$43,1200,9.28, 1*$F$44)</f>
        <v>0.35203163916023067</v>
      </c>
      <c r="AR43" s="484"/>
      <c r="AS43" s="484"/>
      <c r="AT43" s="484"/>
      <c r="AU43" s="638"/>
      <c r="AV43" s="638"/>
      <c r="AW43" s="638"/>
      <c r="AX43" s="638"/>
      <c r="AY43" s="484"/>
      <c r="AZ43" s="484"/>
      <c r="BA43" s="671"/>
      <c r="BB43" s="1239"/>
      <c r="BC43" s="169"/>
      <c r="BD43" s="1330"/>
      <c r="BE43" s="1330"/>
      <c r="BF43" s="1330"/>
      <c r="BG43" s="1330"/>
    </row>
    <row r="44" spans="1:59" ht="15.75" customHeight="1">
      <c r="A44" s="1239"/>
      <c r="B44" s="572" t="s">
        <v>3889</v>
      </c>
      <c r="C44" s="171">
        <f>+$C$42+$G$43</f>
        <v>83576.609999999971</v>
      </c>
      <c r="D44" s="1239"/>
      <c r="E44" s="1239"/>
      <c r="F44" s="448">
        <f>-(355^2)/(C44-83567.18)</f>
        <v>-13364.262990486513</v>
      </c>
      <c r="G44" s="484"/>
      <c r="H44" s="1239"/>
      <c r="I44" s="1239"/>
      <c r="J44" s="446"/>
      <c r="K44" s="638"/>
      <c r="L44" s="638"/>
      <c r="M44" s="638"/>
      <c r="N44" s="1239" t="s">
        <v>843</v>
      </c>
      <c r="O44" s="638"/>
      <c r="P44" s="638"/>
      <c r="Q44" s="638"/>
      <c r="R44" s="638"/>
      <c r="S44" s="484"/>
      <c r="T44" s="638">
        <v>-30</v>
      </c>
      <c r="U44" s="638"/>
      <c r="V44" s="638"/>
      <c r="W44" s="638">
        <v>1.4</v>
      </c>
      <c r="X44" s="638"/>
      <c r="Y44" s="638"/>
      <c r="Z44" s="638"/>
      <c r="AA44" s="638"/>
      <c r="AB44" s="638"/>
      <c r="AC44" s="638" t="str">
        <f>IF(OR(AT44&gt;8,AT44&lt;-8),"PH",IF(OR(AT44&gt;5,AT44&lt;-5),"PH-Q",IF(OR(AT44&gt;1,AT44&lt;-1),"PH-C")))</f>
        <v>PH</v>
      </c>
      <c r="AD44" s="638"/>
      <c r="AE44" s="638"/>
      <c r="AF44" s="638"/>
      <c r="AG44" s="446"/>
      <c r="AH44" s="638"/>
      <c r="AI44" s="185"/>
      <c r="AJ44" s="638"/>
      <c r="AK44" s="1239" t="s">
        <v>139</v>
      </c>
      <c r="AL44" s="638"/>
      <c r="AM44" s="638"/>
      <c r="AN44" s="455">
        <v>5.15</v>
      </c>
      <c r="AO44" s="1239"/>
      <c r="AP44" s="445"/>
      <c r="AQ44" s="484"/>
      <c r="AR44" s="484"/>
      <c r="AS44" s="484"/>
      <c r="AT44" s="484">
        <f>+ab($T$44,$T$42,$T$46,$G$43,$G$45, 1*$F$44,1200)</f>
        <v>-9.0109780136602105</v>
      </c>
      <c r="AU44" s="638"/>
      <c r="AV44" s="638"/>
      <c r="AW44" s="638"/>
      <c r="AX44" s="638"/>
      <c r="AY44" s="484"/>
      <c r="AZ44" s="484"/>
      <c r="BA44" s="671"/>
      <c r="BB44" s="1239"/>
      <c r="BC44" s="169"/>
      <c r="BD44" s="1330"/>
      <c r="BE44" s="1329"/>
      <c r="BF44" s="1330"/>
      <c r="BG44" s="1329"/>
    </row>
    <row r="45" spans="1:59" ht="15.75" customHeight="1">
      <c r="A45" s="638"/>
      <c r="B45" s="638"/>
      <c r="C45" s="638"/>
      <c r="D45" s="638"/>
      <c r="E45" s="638"/>
      <c r="F45" s="638"/>
      <c r="G45" s="484">
        <v>50.2</v>
      </c>
      <c r="H45" s="638"/>
      <c r="I45" s="638"/>
      <c r="J45" s="446"/>
      <c r="K45" s="638"/>
      <c r="L45" s="638"/>
      <c r="M45" s="638"/>
      <c r="N45" s="638"/>
      <c r="O45" s="1239"/>
      <c r="P45" s="638"/>
      <c r="Q45" s="638"/>
      <c r="R45" s="638"/>
      <c r="S45" s="484"/>
      <c r="T45" s="638"/>
      <c r="U45" s="638"/>
      <c r="V45" s="638"/>
      <c r="W45" s="638"/>
      <c r="X45" s="638"/>
      <c r="Y45" s="638"/>
      <c r="Z45" s="638"/>
      <c r="AA45" s="638"/>
      <c r="AB45" s="638"/>
      <c r="AC45" s="638"/>
      <c r="AD45" s="638"/>
      <c r="AE45" s="638"/>
      <c r="AF45" s="638"/>
      <c r="AG45" s="446"/>
      <c r="AH45" s="638"/>
      <c r="AI45" s="185"/>
      <c r="AJ45" s="638"/>
      <c r="AK45" s="1239"/>
      <c r="AL45" s="638"/>
      <c r="AM45" s="638"/>
      <c r="AN45" s="455"/>
      <c r="AO45" s="1239"/>
      <c r="AP45" s="1239"/>
      <c r="AQ45" s="484">
        <f>+FL_2($T$46,$T$44,$G$45,1200,9.28, 1*$F$46)</f>
        <v>-0.35116135971953949</v>
      </c>
      <c r="AR45" s="484"/>
      <c r="AS45" s="484"/>
      <c r="AT45" s="484"/>
      <c r="AU45" s="638"/>
      <c r="AV45" s="638"/>
      <c r="AW45" s="638"/>
      <c r="AX45" s="638"/>
      <c r="AY45" s="484"/>
      <c r="AZ45" s="484"/>
      <c r="BA45" s="671"/>
      <c r="BB45" s="638"/>
      <c r="BC45" s="169"/>
      <c r="BD45" s="1330"/>
      <c r="BE45" s="1330"/>
      <c r="BF45" s="1330"/>
      <c r="BG45" s="1330"/>
    </row>
    <row r="46" spans="1:59" ht="15.75" customHeight="1">
      <c r="A46" s="638"/>
      <c r="B46" s="703" t="s">
        <v>3890</v>
      </c>
      <c r="C46" s="446">
        <f>+$C$44+$G$45</f>
        <v>83626.809999999969</v>
      </c>
      <c r="D46" s="638"/>
      <c r="E46" s="638"/>
      <c r="F46" s="448">
        <f>-(355^2)/(C46-83567.18)</f>
        <v>-2113.4496059039352</v>
      </c>
      <c r="G46" s="484"/>
      <c r="H46" s="638"/>
      <c r="I46" s="638"/>
      <c r="J46" s="446"/>
      <c r="K46" s="638"/>
      <c r="L46" s="638"/>
      <c r="M46" s="638"/>
      <c r="N46" s="1239" t="s">
        <v>843</v>
      </c>
      <c r="O46" s="638"/>
      <c r="P46" s="638"/>
      <c r="Q46" s="638"/>
      <c r="R46" s="638"/>
      <c r="S46" s="484"/>
      <c r="T46" s="638">
        <v>-20</v>
      </c>
      <c r="U46" s="638"/>
      <c r="V46" s="638"/>
      <c r="W46" s="638">
        <v>1.4</v>
      </c>
      <c r="X46" s="638"/>
      <c r="Y46" s="638"/>
      <c r="Z46" s="638"/>
      <c r="AA46" s="638"/>
      <c r="AB46" s="638"/>
      <c r="AC46" s="638" t="str">
        <f>IF(OR(AT46&gt;8,AT46&lt;-8),"PH",IF(OR(AT46&gt;5,AT46&lt;-5),"PH-Q",IF(OR(AT46&gt;1,AT46&lt;-1),"PH-C")))</f>
        <v>PH</v>
      </c>
      <c r="AD46" s="638"/>
      <c r="AE46" s="638"/>
      <c r="AF46" s="638"/>
      <c r="AG46" s="446"/>
      <c r="AH46" s="638"/>
      <c r="AI46" s="185"/>
      <c r="AJ46" s="638"/>
      <c r="AK46" s="1239" t="s">
        <v>139</v>
      </c>
      <c r="AL46" s="638"/>
      <c r="AM46" s="638"/>
      <c r="AN46" s="455">
        <v>5.15</v>
      </c>
      <c r="AO46" s="1239"/>
      <c r="AP46" s="445"/>
      <c r="AQ46" s="484"/>
      <c r="AR46" s="484"/>
      <c r="AS46" s="484"/>
      <c r="AT46" s="484">
        <f>+ab($T$46,$T$44,$T$48,$G$45,$G$47, 1*$F$46,1200)</f>
        <v>-8.759070162959345</v>
      </c>
      <c r="AU46" s="638"/>
      <c r="AV46" s="638"/>
      <c r="AW46" s="638"/>
      <c r="AX46" s="638"/>
      <c r="AY46" s="484"/>
      <c r="AZ46" s="484"/>
      <c r="BA46" s="671"/>
      <c r="BB46" s="638"/>
      <c r="BC46" s="169"/>
      <c r="BD46" s="1330"/>
      <c r="BE46" s="1329"/>
      <c r="BF46" s="1330"/>
      <c r="BG46" s="1329"/>
    </row>
    <row r="47" spans="1:59" ht="15.75" customHeight="1">
      <c r="A47" s="647" t="s">
        <v>3049</v>
      </c>
      <c r="B47" s="653"/>
      <c r="C47" s="653"/>
      <c r="D47" s="653"/>
      <c r="E47" s="653"/>
      <c r="F47" s="653"/>
      <c r="G47" s="654">
        <v>50.1</v>
      </c>
      <c r="H47" s="653"/>
      <c r="I47" s="653"/>
      <c r="J47" s="649"/>
      <c r="K47" s="653"/>
      <c r="L47" s="653"/>
      <c r="M47" s="653"/>
      <c r="N47" s="647"/>
      <c r="O47" s="647"/>
      <c r="P47" s="653"/>
      <c r="Q47" s="653"/>
      <c r="R47" s="653"/>
      <c r="S47" s="654"/>
      <c r="T47" s="653"/>
      <c r="U47" s="653"/>
      <c r="V47" s="653"/>
      <c r="W47" s="653"/>
      <c r="X47" s="653"/>
      <c r="Y47" s="653"/>
      <c r="Z47" s="653"/>
      <c r="AA47" s="653"/>
      <c r="AB47" s="653"/>
      <c r="AC47" s="653"/>
      <c r="AD47" s="653"/>
      <c r="AE47" s="653"/>
      <c r="AF47" s="653"/>
      <c r="AG47" s="649"/>
      <c r="AH47" s="653"/>
      <c r="AI47" s="704"/>
      <c r="AJ47" s="653"/>
      <c r="AK47" s="647"/>
      <c r="AL47" s="653"/>
      <c r="AM47" s="653"/>
      <c r="AN47" s="651"/>
      <c r="AO47" s="647"/>
      <c r="AP47" s="647"/>
      <c r="AQ47" s="654">
        <f>+FL_2($T$48,$T$46,$G$47,1200,9.28, 1*$F$48)</f>
        <v>-0.29355729996404106</v>
      </c>
      <c r="AR47" s="654"/>
      <c r="AS47" s="654"/>
      <c r="AT47" s="654"/>
      <c r="AU47" s="653"/>
      <c r="AV47" s="653"/>
      <c r="AW47" s="653"/>
      <c r="AX47" s="653"/>
      <c r="AY47" s="654"/>
      <c r="AZ47" s="654"/>
      <c r="BA47" s="701"/>
      <c r="BB47" s="647"/>
      <c r="BC47" s="169"/>
      <c r="BD47" s="1330"/>
      <c r="BE47" s="1330"/>
      <c r="BF47" s="1330"/>
      <c r="BG47" s="1330"/>
    </row>
    <row r="48" spans="1:59" ht="15.75" customHeight="1">
      <c r="A48" s="1239"/>
      <c r="B48" s="435" t="s">
        <v>3891</v>
      </c>
      <c r="C48" s="446">
        <f>+$C$46+$G$47</f>
        <v>83676.909999999974</v>
      </c>
      <c r="D48" s="447"/>
      <c r="E48" s="447"/>
      <c r="F48" s="448">
        <v>-2104.6999999999998</v>
      </c>
      <c r="G48" s="484"/>
      <c r="H48" s="638"/>
      <c r="I48" s="447"/>
      <c r="J48" s="446"/>
      <c r="K48" s="638"/>
      <c r="L48" s="638"/>
      <c r="M48" s="638"/>
      <c r="N48" s="1239" t="s">
        <v>843</v>
      </c>
      <c r="O48" s="638"/>
      <c r="P48" s="638"/>
      <c r="Q48" s="638"/>
      <c r="R48" s="638"/>
      <c r="S48" s="484"/>
      <c r="T48" s="638">
        <v>-20</v>
      </c>
      <c r="U48" s="638"/>
      <c r="V48" s="638"/>
      <c r="W48" s="638">
        <v>1.4</v>
      </c>
      <c r="X48" s="638"/>
      <c r="Y48" s="638"/>
      <c r="Z48" s="638"/>
      <c r="AA48" s="638"/>
      <c r="AB48" s="638"/>
      <c r="AC48" s="638" t="str">
        <f>IF(OR(AT48&gt;8,AT48&lt;-8),"PH",IF(OR(AT48&gt;5,AT48&lt;-5),"PH-Q",IF(OR(AT48&gt;1,AT48&lt;-1),"PH-C")))</f>
        <v>PH-Q</v>
      </c>
      <c r="AD48" s="638"/>
      <c r="AE48" s="638"/>
      <c r="AF48" s="638"/>
      <c r="AG48" s="446"/>
      <c r="AH48" s="638"/>
      <c r="AI48" s="185"/>
      <c r="AJ48" s="638"/>
      <c r="AK48" s="1239" t="s">
        <v>139</v>
      </c>
      <c r="AL48" s="638"/>
      <c r="AM48" s="638"/>
      <c r="AN48" s="455">
        <v>5.15</v>
      </c>
      <c r="AO48" s="1239"/>
      <c r="AP48" s="445"/>
      <c r="AQ48" s="484"/>
      <c r="AR48" s="484"/>
      <c r="AS48" s="484"/>
      <c r="AT48" s="484">
        <f>+ab($T$48,$T$46,$T$50,$G$47,$G$49, 1*$F$48,1200)</f>
        <v>-7.639961379612358</v>
      </c>
      <c r="AU48" s="638"/>
      <c r="AV48" s="638"/>
      <c r="AW48" s="638"/>
      <c r="AX48" s="638"/>
      <c r="AY48" s="484"/>
      <c r="AZ48" s="484"/>
      <c r="BA48" s="671"/>
      <c r="BB48" s="1239"/>
      <c r="BC48" s="169"/>
      <c r="BD48" s="1330"/>
      <c r="BE48" s="1329"/>
      <c r="BF48" s="1330"/>
      <c r="BG48" s="1329"/>
    </row>
    <row r="49" spans="1:59" ht="15.75" customHeight="1">
      <c r="A49" s="1239"/>
      <c r="B49" s="173"/>
      <c r="C49" s="446"/>
      <c r="D49" s="447"/>
      <c r="E49" s="447"/>
      <c r="F49" s="448"/>
      <c r="G49" s="484">
        <v>55</v>
      </c>
      <c r="H49" s="638"/>
      <c r="I49" s="167"/>
      <c r="J49" s="446"/>
      <c r="K49" s="638"/>
      <c r="L49" s="638"/>
      <c r="M49" s="638"/>
      <c r="N49" s="1239"/>
      <c r="O49" s="1239"/>
      <c r="P49" s="638"/>
      <c r="Q49" s="638"/>
      <c r="R49" s="638"/>
      <c r="S49" s="484"/>
      <c r="T49" s="638"/>
      <c r="U49" s="638"/>
      <c r="V49" s="638"/>
      <c r="W49" s="638"/>
      <c r="X49" s="638"/>
      <c r="Y49" s="638"/>
      <c r="Z49" s="638"/>
      <c r="AA49" s="638"/>
      <c r="AB49" s="638"/>
      <c r="AC49" s="638"/>
      <c r="AD49" s="638"/>
      <c r="AE49" s="638"/>
      <c r="AF49" s="638"/>
      <c r="AG49" s="446"/>
      <c r="AH49" s="638"/>
      <c r="AI49" s="185"/>
      <c r="AJ49" s="638"/>
      <c r="AK49" s="1239"/>
      <c r="AL49" s="638"/>
      <c r="AM49" s="638"/>
      <c r="AN49" s="455"/>
      <c r="AO49" s="1239"/>
      <c r="AP49" s="1239"/>
      <c r="AQ49" s="484">
        <f>+FL_2($T$50,$T$48,$G$49,1200,9.28, 1*$F$50)</f>
        <v>-0.31275156485908034</v>
      </c>
      <c r="AR49" s="484"/>
      <c r="AS49" s="484"/>
      <c r="AT49" s="484"/>
      <c r="AU49" s="638"/>
      <c r="AV49" s="638"/>
      <c r="AW49" s="638"/>
      <c r="AX49" s="638"/>
      <c r="AY49" s="484"/>
      <c r="AZ49" s="484"/>
      <c r="BA49" s="671"/>
      <c r="BB49" s="1239"/>
      <c r="BC49" s="169"/>
      <c r="BD49" s="1330"/>
      <c r="BE49" s="1330"/>
      <c r="BF49" s="1330"/>
      <c r="BG49" s="1330"/>
    </row>
    <row r="50" spans="1:59" ht="15.75" customHeight="1">
      <c r="A50" s="1239"/>
      <c r="B50" s="435" t="s">
        <v>3892</v>
      </c>
      <c r="C50" s="446">
        <f>+$C$48+$G$49</f>
        <v>83731.909999999974</v>
      </c>
      <c r="D50" s="447"/>
      <c r="E50" s="447"/>
      <c r="F50" s="448">
        <v>-2104.6999999999998</v>
      </c>
      <c r="G50" s="484"/>
      <c r="H50" s="638"/>
      <c r="I50" s="638" t="s">
        <v>1039</v>
      </c>
      <c r="J50" s="446"/>
      <c r="K50" s="638"/>
      <c r="L50" s="638"/>
      <c r="M50" s="638"/>
      <c r="N50" s="1239" t="s">
        <v>843</v>
      </c>
      <c r="O50" s="638"/>
      <c r="P50" s="638"/>
      <c r="Q50" s="638"/>
      <c r="R50" s="638"/>
      <c r="S50" s="484"/>
      <c r="T50" s="638">
        <v>-20</v>
      </c>
      <c r="U50" s="638"/>
      <c r="V50" s="638"/>
      <c r="W50" s="638">
        <v>1.4</v>
      </c>
      <c r="X50" s="638"/>
      <c r="Y50" s="638"/>
      <c r="Z50" s="638"/>
      <c r="AA50" s="638"/>
      <c r="AB50" s="638"/>
      <c r="AC50" s="638" t="str">
        <f>IF(OR(AT50&gt;8,AT50&lt;-8),"PH",IF(OR(AT50&gt;5,AT50&lt;-5),"PH-Q",IF(OR(AT50&gt;1,AT50&lt;-1),"PH-C")))</f>
        <v>PH-Q</v>
      </c>
      <c r="AD50" s="638"/>
      <c r="AE50" s="638"/>
      <c r="AF50" s="638"/>
      <c r="AG50" s="446"/>
      <c r="AH50" s="638"/>
      <c r="AI50" s="185"/>
      <c r="AJ50" s="638"/>
      <c r="AK50" s="1239" t="s">
        <v>139</v>
      </c>
      <c r="AL50" s="638"/>
      <c r="AM50" s="638"/>
      <c r="AN50" s="455">
        <v>5.15</v>
      </c>
      <c r="AO50" s="1239"/>
      <c r="AP50" s="445"/>
      <c r="AQ50" s="484"/>
      <c r="AR50" s="484"/>
      <c r="AS50" s="484"/>
      <c r="AT50" s="484">
        <f>+ab($T$50,$T$48,$T$52,$G$49,$G$51, 1*$F$50,1200)</f>
        <v>-7.6471514702877954</v>
      </c>
      <c r="AU50" s="638"/>
      <c r="AV50" s="638"/>
      <c r="AW50" s="638"/>
      <c r="AX50" s="638"/>
      <c r="AY50" s="484"/>
      <c r="AZ50" s="484"/>
      <c r="BA50" s="671"/>
      <c r="BB50" s="1239"/>
      <c r="BC50" s="169"/>
      <c r="BD50" s="1330"/>
      <c r="BE50" s="1329"/>
      <c r="BF50" s="1330"/>
      <c r="BG50" s="1329"/>
    </row>
    <row r="51" spans="1:59" ht="15.75" customHeight="1">
      <c r="A51" s="1239"/>
      <c r="B51" s="173"/>
      <c r="C51" s="446"/>
      <c r="D51" s="447"/>
      <c r="E51" s="447"/>
      <c r="F51" s="448"/>
      <c r="G51" s="484">
        <v>50</v>
      </c>
      <c r="H51" s="638"/>
      <c r="I51" s="638"/>
      <c r="J51" s="446"/>
      <c r="K51" s="638"/>
      <c r="L51" s="638"/>
      <c r="M51" s="638"/>
      <c r="N51" s="1239"/>
      <c r="O51" s="1239"/>
      <c r="P51" s="638"/>
      <c r="Q51" s="638"/>
      <c r="R51" s="638"/>
      <c r="S51" s="484"/>
      <c r="T51" s="638"/>
      <c r="U51" s="638"/>
      <c r="V51" s="638"/>
      <c r="W51" s="638"/>
      <c r="X51" s="638"/>
      <c r="Y51" s="638"/>
      <c r="Z51" s="638"/>
      <c r="AA51" s="638"/>
      <c r="AB51" s="638"/>
      <c r="AC51" s="638"/>
      <c r="AD51" s="638"/>
      <c r="AE51" s="638"/>
      <c r="AF51" s="638"/>
      <c r="AG51" s="446"/>
      <c r="AH51" s="638"/>
      <c r="AI51" s="185"/>
      <c r="AJ51" s="638"/>
      <c r="AK51" s="1239"/>
      <c r="AL51" s="638"/>
      <c r="AM51" s="638"/>
      <c r="AN51" s="455"/>
      <c r="AO51" s="1239"/>
      <c r="AP51" s="1239"/>
      <c r="AQ51" s="484">
        <f>+FL_2($T$52,$T$50,$G$51,1200,9.28, 1*$F$52)</f>
        <v>-0.29318421143813489</v>
      </c>
      <c r="AR51" s="484"/>
      <c r="AS51" s="484"/>
      <c r="AT51" s="484"/>
      <c r="AU51" s="638"/>
      <c r="AV51" s="638"/>
      <c r="AW51" s="638"/>
      <c r="AX51" s="638"/>
      <c r="AY51" s="484"/>
      <c r="AZ51" s="484"/>
      <c r="BA51" s="671"/>
      <c r="BB51" s="1239"/>
      <c r="BC51" s="169"/>
      <c r="BD51" s="1330"/>
      <c r="BE51" s="1330"/>
      <c r="BF51" s="1330"/>
      <c r="BG51" s="1330"/>
    </row>
    <row r="52" spans="1:59" ht="15.75" customHeight="1">
      <c r="A52" s="1239"/>
      <c r="B52" s="435" t="s">
        <v>3893</v>
      </c>
      <c r="C52" s="446">
        <f>+$C$50+$G$51</f>
        <v>83781.909999999974</v>
      </c>
      <c r="D52" s="447"/>
      <c r="E52" s="447"/>
      <c r="F52" s="448">
        <v>-2104.6999999999998</v>
      </c>
      <c r="G52" s="484"/>
      <c r="H52" s="571"/>
      <c r="I52" s="638"/>
      <c r="J52" s="446"/>
      <c r="K52" s="638"/>
      <c r="L52" s="638" t="s">
        <v>3921</v>
      </c>
      <c r="M52" s="638"/>
      <c r="N52" s="1239" t="s">
        <v>143</v>
      </c>
      <c r="O52" s="1239"/>
      <c r="P52" s="638"/>
      <c r="Q52" s="638"/>
      <c r="R52" s="638"/>
      <c r="S52" s="484"/>
      <c r="T52" s="638">
        <v>-20</v>
      </c>
      <c r="U52" s="638"/>
      <c r="V52" s="638"/>
      <c r="W52" s="638">
        <v>1.2</v>
      </c>
      <c r="X52" s="638"/>
      <c r="Y52" s="638"/>
      <c r="Z52" s="638"/>
      <c r="AA52" s="638"/>
      <c r="AB52" s="638"/>
      <c r="AC52" s="638" t="str">
        <f>IF(OR(AT52&gt;8,AT52&lt;-8),"PH",IF(OR(AT52&gt;5,AT52&lt;-5),"PH-Q",IF(OR(AT52&gt;1,AT52&lt;-1),"PH-C")))</f>
        <v>PH-Q</v>
      </c>
      <c r="AD52" s="638"/>
      <c r="AE52" s="638"/>
      <c r="AF52" s="638"/>
      <c r="AG52" s="446"/>
      <c r="AH52" s="638"/>
      <c r="AI52" s="185"/>
      <c r="AJ52" s="638"/>
      <c r="AK52" s="1239"/>
      <c r="AL52" s="638"/>
      <c r="AM52" s="638"/>
      <c r="AN52" s="455">
        <v>5.15</v>
      </c>
      <c r="AO52" s="1239"/>
      <c r="AP52" s="1239"/>
      <c r="AQ52" s="484"/>
      <c r="AR52" s="484"/>
      <c r="AS52" s="484"/>
      <c r="AT52" s="484">
        <f>+ab($T$52,$T$50,-$T$54,$G$51,$G$53, 1*$F$52,1200)</f>
        <v>-7.9462126005349178</v>
      </c>
      <c r="AU52" s="638"/>
      <c r="AV52" s="638"/>
      <c r="AW52" s="638"/>
      <c r="AX52" s="638"/>
      <c r="AY52" s="484"/>
      <c r="AZ52" s="484"/>
      <c r="BA52" s="671"/>
      <c r="BB52" s="1239"/>
      <c r="BC52" s="169"/>
      <c r="BD52" s="1330"/>
      <c r="BE52" s="1330"/>
      <c r="BF52" s="1330"/>
      <c r="BG52" s="1329"/>
    </row>
    <row r="53" spans="1:59" ht="15.75" customHeight="1">
      <c r="A53" s="694" t="s">
        <v>3717</v>
      </c>
      <c r="B53" s="717"/>
      <c r="C53" s="718"/>
      <c r="D53" s="719"/>
      <c r="E53" s="719"/>
      <c r="F53" s="722"/>
      <c r="G53" s="720">
        <v>51</v>
      </c>
      <c r="H53" s="694"/>
      <c r="I53" s="694"/>
      <c r="J53" s="718"/>
      <c r="K53" s="721"/>
      <c r="L53" s="721"/>
      <c r="M53" s="721"/>
      <c r="N53" s="721"/>
      <c r="O53" s="694"/>
      <c r="P53" s="721"/>
      <c r="Q53" s="721"/>
      <c r="R53" s="721"/>
      <c r="S53" s="720"/>
      <c r="T53" s="721"/>
      <c r="U53" s="721"/>
      <c r="V53" s="721"/>
      <c r="W53" s="721"/>
      <c r="X53" s="721"/>
      <c r="Y53" s="721"/>
      <c r="Z53" s="721"/>
      <c r="AA53" s="721"/>
      <c r="AB53" s="721"/>
      <c r="AC53" s="721"/>
      <c r="AD53" s="721"/>
      <c r="AE53" s="721"/>
      <c r="AF53" s="721"/>
      <c r="AG53" s="718"/>
      <c r="AH53" s="721"/>
      <c r="AI53" s="723"/>
      <c r="AJ53" s="721"/>
      <c r="AK53" s="694"/>
      <c r="AL53" s="721"/>
      <c r="AM53" s="721"/>
      <c r="AN53" s="724"/>
      <c r="AO53" s="694"/>
      <c r="AP53" s="694"/>
      <c r="AQ53" s="720">
        <f>+FL_1(-$T$54,$T$52,$G$53,1200,9.28, 1*$F$54)</f>
        <v>0.10596817845318551</v>
      </c>
      <c r="AR53" s="720"/>
      <c r="AS53" s="720"/>
      <c r="AT53" s="720"/>
      <c r="AU53" s="721"/>
      <c r="AV53" s="721"/>
      <c r="AW53" s="721"/>
      <c r="AX53" s="721"/>
      <c r="AY53" s="720"/>
      <c r="AZ53" s="720"/>
      <c r="BA53" s="726"/>
      <c r="BB53" s="694"/>
      <c r="BC53" s="169"/>
      <c r="BD53" s="1330"/>
      <c r="BE53" s="1330"/>
      <c r="BF53" s="1330"/>
      <c r="BG53" s="1330"/>
    </row>
    <row r="54" spans="1:59" ht="15.75" customHeight="1">
      <c r="A54" s="420"/>
      <c r="B54" s="725" t="s">
        <v>3894</v>
      </c>
      <c r="C54" s="416">
        <f>+$C$52+$G$53</f>
        <v>83832.909999999974</v>
      </c>
      <c r="D54" s="418"/>
      <c r="E54" s="418"/>
      <c r="F54" s="421">
        <f>-(355^2)/(C54-83811.77)</f>
        <v>-5961.4474929128182</v>
      </c>
      <c r="G54" s="422"/>
      <c r="H54" s="420"/>
      <c r="I54" s="420"/>
      <c r="J54" s="416"/>
      <c r="K54" s="417"/>
      <c r="L54" s="417"/>
      <c r="M54" s="417"/>
      <c r="N54" s="420" t="s">
        <v>844</v>
      </c>
      <c r="O54" s="420"/>
      <c r="P54" s="417"/>
      <c r="Q54" s="417"/>
      <c r="R54" s="417"/>
      <c r="S54" s="422"/>
      <c r="T54" s="417">
        <v>20</v>
      </c>
      <c r="U54" s="417"/>
      <c r="V54" s="417"/>
      <c r="W54" s="417">
        <v>0.9</v>
      </c>
      <c r="X54" s="417"/>
      <c r="Y54" s="417"/>
      <c r="Z54" s="417"/>
      <c r="AA54" s="417"/>
      <c r="AB54" s="417"/>
      <c r="AC54" s="417" t="str">
        <f>IF(OR(AT54&gt;8,AT54&lt;-8),"PH",IF(OR(AT54&gt;5,AT54&lt;-5),"PH-Q",IF(OR(AT54&gt;1,AT54&lt;-1),"PH-C")))</f>
        <v>PH</v>
      </c>
      <c r="AD54" s="417"/>
      <c r="AE54" s="417"/>
      <c r="AF54" s="417"/>
      <c r="AG54" s="416"/>
      <c r="AH54" s="417"/>
      <c r="AI54" s="607"/>
      <c r="AJ54" s="417"/>
      <c r="AK54" s="420" t="s">
        <v>139</v>
      </c>
      <c r="AL54" s="417"/>
      <c r="AM54" s="417"/>
      <c r="AN54" s="444">
        <v>5.15</v>
      </c>
      <c r="AO54" s="420"/>
      <c r="AP54" s="420"/>
      <c r="AQ54" s="422"/>
      <c r="AR54" s="422"/>
      <c r="AS54" s="422"/>
      <c r="AT54" s="422">
        <f>+ab(-$T$54,$T$52,$T$56,$G$53,$G$55, 1*$F$54,1200)</f>
        <v>-11.768441742872715</v>
      </c>
      <c r="AU54" s="417"/>
      <c r="AV54" s="417"/>
      <c r="AW54" s="417"/>
      <c r="AX54" s="417"/>
      <c r="AY54" s="422"/>
      <c r="AZ54" s="422"/>
      <c r="BA54" s="604"/>
      <c r="BB54" s="420"/>
      <c r="BC54" s="169"/>
      <c r="BD54" s="1330"/>
      <c r="BE54" s="1329"/>
      <c r="BF54" s="1330"/>
      <c r="BG54" s="1329"/>
    </row>
    <row r="55" spans="1:59" ht="15.75" customHeight="1">
      <c r="A55" s="495" t="s">
        <v>3718</v>
      </c>
      <c r="B55" s="639"/>
      <c r="C55" s="489"/>
      <c r="D55" s="491"/>
      <c r="E55" s="491"/>
      <c r="F55" s="492"/>
      <c r="G55" s="493">
        <v>57</v>
      </c>
      <c r="H55" s="495"/>
      <c r="I55" s="495"/>
      <c r="J55" s="489">
        <f>C56-7.5</f>
        <v>83882.409999999974</v>
      </c>
      <c r="K55" s="490" t="s">
        <v>2787</v>
      </c>
      <c r="L55" s="490"/>
      <c r="M55" s="490"/>
      <c r="N55" s="495"/>
      <c r="O55" s="495"/>
      <c r="P55" s="490"/>
      <c r="Q55" s="490"/>
      <c r="R55" s="490"/>
      <c r="S55" s="493"/>
      <c r="T55" s="490"/>
      <c r="U55" s="490"/>
      <c r="V55" s="490"/>
      <c r="W55" s="490"/>
      <c r="X55" s="490"/>
      <c r="Y55" s="490"/>
      <c r="Z55" s="490"/>
      <c r="AA55" s="490"/>
      <c r="AB55" s="490"/>
      <c r="AC55" s="490"/>
      <c r="AD55" s="490"/>
      <c r="AE55" s="490"/>
      <c r="AF55" s="490"/>
      <c r="AG55" s="489"/>
      <c r="AH55" s="490"/>
      <c r="AI55" s="640"/>
      <c r="AJ55" s="490"/>
      <c r="AK55" s="495"/>
      <c r="AL55" s="490"/>
      <c r="AM55" s="490"/>
      <c r="AN55" s="457"/>
      <c r="AO55" s="495"/>
      <c r="AP55" s="495"/>
      <c r="AQ55" s="493">
        <f>+FL_1($T$56,$T$54,$G$55,1200,9.28, 1*$F$56)</f>
        <v>0.51407000000000003</v>
      </c>
      <c r="AR55" s="493"/>
      <c r="AS55" s="493"/>
      <c r="AT55" s="493"/>
      <c r="AU55" s="490"/>
      <c r="AV55" s="490"/>
      <c r="AW55" s="490" t="str">
        <f>VLOOKUP(J55,'Foundation Calculation'!$A$2:$C$33,3,1)</f>
        <v>Soil B</v>
      </c>
      <c r="AX55" s="490" t="str">
        <f>VLOOKUP(J55,'Foundation Calculation'!$E$2:$G$33,3,1)</f>
        <v>PT</v>
      </c>
      <c r="AY55" s="493"/>
      <c r="AZ55" s="493">
        <f>IF(AX55="PT",VLOOKUP(K55,'Foundation Calculation'!$K$2:$R$40,VLOOKUP(AW55,'Foundation Calculation'!$I$2:$J$8,2,FALSE),0),IF(AX55="K",VLOOKUP(K55,'Foundation Calculation'!$K$42:$R$80,VLOOKUP(AW55,'Foundation Calculation'!$I$2:$J$8,2,FALSE),0),""))</f>
        <v>3.9</v>
      </c>
      <c r="BA55" s="602" t="s">
        <v>2809</v>
      </c>
      <c r="BB55" s="495"/>
      <c r="BC55" s="169"/>
      <c r="BD55" s="1329"/>
      <c r="BE55" s="1330"/>
      <c r="BF55" s="1330"/>
      <c r="BG55" s="1330"/>
    </row>
    <row r="56" spans="1:59" ht="15.75" customHeight="1">
      <c r="A56" s="420"/>
      <c r="B56" s="439" t="s">
        <v>3895</v>
      </c>
      <c r="C56" s="416">
        <f>+$C$54+$G$55</f>
        <v>83889.909999999974</v>
      </c>
      <c r="D56" s="418"/>
      <c r="E56" s="418"/>
      <c r="F56" s="421">
        <v>0</v>
      </c>
      <c r="G56" s="444"/>
      <c r="H56" s="420" t="s">
        <v>873</v>
      </c>
      <c r="I56" s="420" t="s">
        <v>1039</v>
      </c>
      <c r="J56" s="416"/>
      <c r="K56" s="417"/>
      <c r="L56" s="417" t="s">
        <v>230</v>
      </c>
      <c r="M56" s="417" t="str">
        <f>IF(AX56="PT",VLOOKUP(L56,'Foundation Calculation'!$V$2:$X$40,VLOOKUP(AX56,'Foundation Calculation'!$I$10:$J$13,2,FALSE),0),IF(AX56="K",VLOOKUP(L56,'Foundation Calculation'!$V$42:$X$80,VLOOKUP(AX56,'Foundation Calculation'!$I$10:$J$13,2,FALSE),0),""))</f>
        <v>C4R</v>
      </c>
      <c r="N56" s="420" t="s">
        <v>144</v>
      </c>
      <c r="O56" s="420"/>
      <c r="P56" s="417"/>
      <c r="Q56" s="417"/>
      <c r="R56" s="417"/>
      <c r="S56" s="422"/>
      <c r="T56" s="417">
        <v>20</v>
      </c>
      <c r="U56" s="417"/>
      <c r="V56" s="417"/>
      <c r="W56" s="417">
        <v>0.9</v>
      </c>
      <c r="X56" s="417"/>
      <c r="Y56" s="417"/>
      <c r="Z56" s="417"/>
      <c r="AA56" s="417"/>
      <c r="AB56" s="417"/>
      <c r="AC56" s="417" t="str">
        <f>IF(OR(AT56&gt;8,AT56&lt;-8),"PH",IF(OR(AT56&gt;5,AT56&lt;-5),"PH-Q",IF(OR(AT56&gt;1,AT56&lt;-1),"PH-C")))</f>
        <v>PH</v>
      </c>
      <c r="AD56" s="417"/>
      <c r="AE56" s="417"/>
      <c r="AF56" s="417"/>
      <c r="AG56" s="416"/>
      <c r="AH56" s="417"/>
      <c r="AI56" s="607"/>
      <c r="AJ56" s="417"/>
      <c r="AK56" s="420"/>
      <c r="AL56" s="417"/>
      <c r="AM56" s="417"/>
      <c r="AN56" s="444">
        <v>5.15</v>
      </c>
      <c r="AO56" s="420"/>
      <c r="AP56" s="420"/>
      <c r="AQ56" s="422"/>
      <c r="AR56" s="422"/>
      <c r="AS56" s="422"/>
      <c r="AT56" s="422">
        <f>+ab(-$T$56,$T$54,$T$58,$G$55,$G$57, 1*$F$56,1200)</f>
        <v>-25.513235435589092</v>
      </c>
      <c r="AU56" s="417"/>
      <c r="AV56" s="417"/>
      <c r="AW56" s="417" t="str">
        <f>VLOOKUP(C56,'Foundation Calculation'!$A$2:$C$33,3,1)</f>
        <v>Soil B</v>
      </c>
      <c r="AX56" s="417" t="str">
        <f>VLOOKUP(C56,'Foundation Calculation'!$E$2:$G$33,3,1)</f>
        <v>PT</v>
      </c>
      <c r="AY56" s="422">
        <f>IF(AX56="PT",VLOOKUP(L56,'Foundation Calculation'!$K$2:$R$40,VLOOKUP(AW56,'Foundation Calculation'!$I$2:$J$8,2,FALSE),0),IF(AX56="K",VLOOKUP(L56,'Foundation Calculation'!$K$42:$R$80,VLOOKUP(AW56,'Foundation Calculation'!$I$2:$J$8,2,FALSE),0),""))</f>
        <v>3.5</v>
      </c>
      <c r="AZ56" s="422"/>
      <c r="BA56" s="604" t="s">
        <v>2809</v>
      </c>
      <c r="BB56" s="420" t="str">
        <f>Pole_Calculations!A152</f>
        <v>App.7.1-V01-P9.5.1.1</v>
      </c>
      <c r="BC56" s="169"/>
      <c r="BD56" s="1329"/>
      <c r="BE56" s="1329"/>
      <c r="BF56" s="1330"/>
      <c r="BG56" s="1329"/>
    </row>
    <row r="57" spans="1:59" ht="15.75" customHeight="1">
      <c r="A57" s="420"/>
      <c r="B57" s="606"/>
      <c r="C57" s="416"/>
      <c r="D57" s="418"/>
      <c r="E57" s="418"/>
      <c r="F57" s="421"/>
      <c r="G57" s="444">
        <v>65</v>
      </c>
      <c r="H57" s="420"/>
      <c r="I57" s="421">
        <f>C58-C32</f>
        <v>654.39999999999418</v>
      </c>
      <c r="J57" s="416"/>
      <c r="K57" s="417"/>
      <c r="L57" s="417"/>
      <c r="M57" s="417"/>
      <c r="N57" s="417"/>
      <c r="O57" s="420"/>
      <c r="P57" s="417"/>
      <c r="Q57" s="417"/>
      <c r="R57" s="417"/>
      <c r="S57" s="422"/>
      <c r="T57" s="417"/>
      <c r="U57" s="417"/>
      <c r="V57" s="417"/>
      <c r="W57" s="417"/>
      <c r="X57" s="417"/>
      <c r="Y57" s="417"/>
      <c r="Z57" s="417"/>
      <c r="AA57" s="417"/>
      <c r="AB57" s="417"/>
      <c r="AC57" s="417"/>
      <c r="AD57" s="417"/>
      <c r="AE57" s="417"/>
      <c r="AF57" s="417"/>
      <c r="AG57" s="416"/>
      <c r="AH57" s="417"/>
      <c r="AI57" s="607"/>
      <c r="AJ57" s="417"/>
      <c r="AK57" s="420"/>
      <c r="AL57" s="417"/>
      <c r="AM57" s="417"/>
      <c r="AN57" s="444"/>
      <c r="AO57" s="420"/>
      <c r="AP57" s="420"/>
      <c r="AQ57" s="422">
        <f>+FL_2($T$58,-$T$56,$G$57,1200,9.28, 1*$F$58)</f>
        <v>-0.60841666666666661</v>
      </c>
      <c r="AR57" s="422"/>
      <c r="AS57" s="422"/>
      <c r="AT57" s="422"/>
      <c r="AU57" s="417"/>
      <c r="AV57" s="417"/>
      <c r="AW57" s="417"/>
      <c r="AX57" s="417"/>
      <c r="AY57" s="422"/>
      <c r="AZ57" s="422"/>
      <c r="BA57" s="604"/>
      <c r="BB57" s="420"/>
      <c r="BC57" s="169"/>
      <c r="BD57" s="1330"/>
      <c r="BE57" s="1330"/>
      <c r="BF57" s="1330"/>
      <c r="BG57" s="1330"/>
    </row>
    <row r="58" spans="1:59" ht="15.75" customHeight="1">
      <c r="A58" s="417"/>
      <c r="B58" s="725" t="s">
        <v>3896</v>
      </c>
      <c r="C58" s="416">
        <f>+$C$56+$G$57</f>
        <v>83954.909999999974</v>
      </c>
      <c r="D58" s="418"/>
      <c r="E58" s="418"/>
      <c r="F58" s="418">
        <v>0</v>
      </c>
      <c r="G58" s="422"/>
      <c r="H58" s="417" t="s">
        <v>874</v>
      </c>
      <c r="I58" s="418"/>
      <c r="J58" s="416"/>
      <c r="K58" s="417"/>
      <c r="L58" s="417"/>
      <c r="M58" s="417"/>
      <c r="N58" s="420" t="s">
        <v>843</v>
      </c>
      <c r="O58" s="420"/>
      <c r="P58" s="417"/>
      <c r="Q58" s="417"/>
      <c r="R58" s="417"/>
      <c r="S58" s="422"/>
      <c r="T58" s="417">
        <v>-20</v>
      </c>
      <c r="U58" s="417"/>
      <c r="V58" s="417"/>
      <c r="W58" s="417">
        <v>1.2</v>
      </c>
      <c r="X58" s="417"/>
      <c r="Y58" s="417"/>
      <c r="Z58" s="417"/>
      <c r="AA58" s="417"/>
      <c r="AB58" s="417"/>
      <c r="AC58" s="417" t="str">
        <f>IF(OR(AT58&gt;8,AT58&lt;-8),"PH",IF(OR(AT58&gt;5,AT58&lt;-5),"PH-Q",IF(OR(AT58&gt;1,AT58&lt;-1),"PH-C")))</f>
        <v>PH</v>
      </c>
      <c r="AD58" s="417"/>
      <c r="AE58" s="417"/>
      <c r="AF58" s="417"/>
      <c r="AG58" s="416"/>
      <c r="AH58" s="417"/>
      <c r="AI58" s="607"/>
      <c r="AJ58" s="417"/>
      <c r="AK58" s="420" t="s">
        <v>139</v>
      </c>
      <c r="AL58" s="417"/>
      <c r="AM58" s="417"/>
      <c r="AN58" s="444">
        <v>5.15</v>
      </c>
      <c r="AO58" s="420"/>
      <c r="AP58" s="420"/>
      <c r="AQ58" s="422"/>
      <c r="AR58" s="422"/>
      <c r="AS58" s="422"/>
      <c r="AT58" s="422">
        <f>+ab($T$58,-$T$56,$T$60,$G$57,$G$59, 1*$F$58,1200)</f>
        <v>-28.556969423384935</v>
      </c>
      <c r="AU58" s="417"/>
      <c r="AV58" s="417"/>
      <c r="AW58" s="417"/>
      <c r="AX58" s="417"/>
      <c r="AY58" s="422"/>
      <c r="AZ58" s="422"/>
      <c r="BA58" s="604"/>
      <c r="BB58" s="417"/>
      <c r="BC58" s="169"/>
      <c r="BD58" s="1330"/>
      <c r="BE58" s="1329"/>
      <c r="BF58" s="1330"/>
      <c r="BG58" s="1329"/>
    </row>
    <row r="59" spans="1:59" ht="15.75" customHeight="1">
      <c r="A59" s="647" t="s">
        <v>3720</v>
      </c>
      <c r="B59" s="705"/>
      <c r="C59" s="649"/>
      <c r="D59" s="705"/>
      <c r="E59" s="648"/>
      <c r="F59" s="648"/>
      <c r="G59" s="654">
        <v>65</v>
      </c>
      <c r="H59" s="647"/>
      <c r="I59" s="650">
        <f>C84-C58</f>
        <v>657.20000000001164</v>
      </c>
      <c r="J59" s="652"/>
      <c r="K59" s="647"/>
      <c r="L59" s="653"/>
      <c r="M59" s="653"/>
      <c r="N59" s="653"/>
      <c r="O59" s="647"/>
      <c r="P59" s="647"/>
      <c r="Q59" s="653"/>
      <c r="R59" s="653"/>
      <c r="S59" s="654"/>
      <c r="T59" s="653"/>
      <c r="U59" s="653"/>
      <c r="V59" s="653"/>
      <c r="W59" s="653"/>
      <c r="X59" s="653"/>
      <c r="Y59" s="653"/>
      <c r="Z59" s="653"/>
      <c r="AA59" s="653"/>
      <c r="AB59" s="653"/>
      <c r="AC59" s="653"/>
      <c r="AD59" s="653"/>
      <c r="AE59" s="653"/>
      <c r="AF59" s="653"/>
      <c r="AG59" s="649"/>
      <c r="AH59" s="653"/>
      <c r="AI59" s="653"/>
      <c r="AJ59" s="704"/>
      <c r="AK59" s="653"/>
      <c r="AL59" s="653"/>
      <c r="AM59" s="653"/>
      <c r="AN59" s="651"/>
      <c r="AO59" s="647"/>
      <c r="AP59" s="647"/>
      <c r="AQ59" s="654">
        <f>+FL_1($T$60,$T$58,$G$59,1200,9.28, 1*$F$60)</f>
        <v>0.43290146338461533</v>
      </c>
      <c r="AR59" s="654"/>
      <c r="AS59" s="654"/>
      <c r="AT59" s="654"/>
      <c r="AU59" s="653"/>
      <c r="AV59" s="653"/>
      <c r="AW59" s="653"/>
      <c r="AX59" s="653"/>
      <c r="AY59" s="654"/>
      <c r="AZ59" s="654"/>
      <c r="BA59" s="701"/>
      <c r="BB59" s="647"/>
      <c r="BC59" s="169"/>
      <c r="BD59" s="1330"/>
      <c r="BE59" s="1330"/>
      <c r="BF59" s="1330"/>
      <c r="BG59" s="1330"/>
    </row>
    <row r="60" spans="1:59" ht="15.75" customHeight="1">
      <c r="A60" s="414"/>
      <c r="B60" s="725" t="s">
        <v>3897</v>
      </c>
      <c r="C60" s="416">
        <f>+$C$58+$G$59</f>
        <v>84019.909999999974</v>
      </c>
      <c r="D60" s="606"/>
      <c r="E60" s="418"/>
      <c r="F60" s="418">
        <v>0</v>
      </c>
      <c r="G60" s="422"/>
      <c r="H60" s="420"/>
      <c r="I60" s="418"/>
      <c r="J60" s="432"/>
      <c r="K60" s="417"/>
      <c r="L60" s="417"/>
      <c r="M60" s="417"/>
      <c r="N60" s="420" t="s">
        <v>844</v>
      </c>
      <c r="O60" s="420"/>
      <c r="P60" s="417"/>
      <c r="Q60" s="417"/>
      <c r="R60" s="417"/>
      <c r="S60" s="422"/>
      <c r="T60" s="417">
        <v>20</v>
      </c>
      <c r="U60" s="417"/>
      <c r="V60" s="417"/>
      <c r="W60" s="417">
        <v>1.4</v>
      </c>
      <c r="X60" s="417"/>
      <c r="Y60" s="417"/>
      <c r="Z60" s="417"/>
      <c r="AA60" s="417"/>
      <c r="AB60" s="417"/>
      <c r="AC60" s="417" t="str">
        <f>IF(OR(AT60&gt;8,AT60&lt;-8),"PH",IF(OR(AT60&gt;5,AT60&lt;-5),"PH-Q",IF(OR(AT60&gt;1,AT60&lt;-1),"PH-C")))</f>
        <v>PH</v>
      </c>
      <c r="AD60" s="417"/>
      <c r="AE60" s="417"/>
      <c r="AF60" s="417"/>
      <c r="AG60" s="416"/>
      <c r="AH60" s="417"/>
      <c r="AI60" s="607"/>
      <c r="AJ60" s="417"/>
      <c r="AK60" s="420" t="s">
        <v>139</v>
      </c>
      <c r="AL60" s="417"/>
      <c r="AM60" s="417"/>
      <c r="AN60" s="444">
        <v>5.15</v>
      </c>
      <c r="AO60" s="420"/>
      <c r="AP60" s="420"/>
      <c r="AQ60" s="422"/>
      <c r="AR60" s="422"/>
      <c r="AS60" s="422"/>
      <c r="AT60" s="422">
        <f>+ab($T$60,$T$58,$T$62,$G$59,$G$61, 1*$F$60,1200)</f>
        <v>14.393286337563163</v>
      </c>
      <c r="AU60" s="417"/>
      <c r="AV60" s="417"/>
      <c r="AW60" s="417"/>
      <c r="AX60" s="417"/>
      <c r="AY60" s="422"/>
      <c r="AZ60" s="422"/>
      <c r="BA60" s="604"/>
      <c r="BB60" s="414"/>
      <c r="BC60" s="169"/>
      <c r="BD60" s="1330"/>
      <c r="BE60" s="1329"/>
      <c r="BF60" s="1330"/>
      <c r="BG60" s="1329"/>
    </row>
    <row r="61" spans="1:59" ht="15.75" customHeight="1">
      <c r="A61" s="420"/>
      <c r="B61" s="606"/>
      <c r="C61" s="416"/>
      <c r="D61" s="606"/>
      <c r="E61" s="418"/>
      <c r="F61" s="418"/>
      <c r="G61" s="422">
        <v>58</v>
      </c>
      <c r="H61" s="420"/>
      <c r="I61" s="420"/>
      <c r="J61" s="432"/>
      <c r="K61" s="417"/>
      <c r="L61" s="417"/>
      <c r="M61" s="417"/>
      <c r="N61" s="417"/>
      <c r="O61" s="420"/>
      <c r="P61" s="420"/>
      <c r="Q61" s="417"/>
      <c r="R61" s="417"/>
      <c r="S61" s="422"/>
      <c r="T61" s="417"/>
      <c r="U61" s="417"/>
      <c r="V61" s="417"/>
      <c r="W61" s="417"/>
      <c r="X61" s="417"/>
      <c r="Y61" s="417"/>
      <c r="Z61" s="417"/>
      <c r="AA61" s="417"/>
      <c r="AB61" s="417"/>
      <c r="AC61" s="417"/>
      <c r="AD61" s="417"/>
      <c r="AE61" s="417"/>
      <c r="AF61" s="417"/>
      <c r="AG61" s="416"/>
      <c r="AH61" s="417"/>
      <c r="AI61" s="417"/>
      <c r="AJ61" s="607"/>
      <c r="AK61" s="417" t="s">
        <v>2761</v>
      </c>
      <c r="AL61" s="417"/>
      <c r="AM61" s="417"/>
      <c r="AN61" s="444"/>
      <c r="AO61" s="420"/>
      <c r="AP61" s="420"/>
      <c r="AQ61" s="422">
        <f>+FL_1($T$62,$T$60,$G$61,1200,9.28, 1*$F$62)</f>
        <v>0.35593823337931035</v>
      </c>
      <c r="AR61" s="422"/>
      <c r="AS61" s="422"/>
      <c r="AT61" s="422"/>
      <c r="AU61" s="417"/>
      <c r="AV61" s="417"/>
      <c r="AW61" s="417"/>
      <c r="AX61" s="417"/>
      <c r="AY61" s="422"/>
      <c r="AZ61" s="422"/>
      <c r="BA61" s="604"/>
      <c r="BB61" s="420"/>
      <c r="BC61" s="169"/>
      <c r="BD61" s="1330"/>
      <c r="BE61" s="1330"/>
      <c r="BF61" s="1330"/>
      <c r="BG61" s="1330"/>
    </row>
    <row r="62" spans="1:59" ht="15.75" customHeight="1">
      <c r="A62" s="420"/>
      <c r="B62" s="725" t="s">
        <v>3898</v>
      </c>
      <c r="C62" s="416">
        <f>+$C$60+$G$61</f>
        <v>84077.909999999974</v>
      </c>
      <c r="D62" s="606"/>
      <c r="E62" s="418"/>
      <c r="F62" s="418">
        <v>0</v>
      </c>
      <c r="G62" s="422"/>
      <c r="H62" s="420"/>
      <c r="I62" s="417"/>
      <c r="J62" s="416"/>
      <c r="K62" s="417"/>
      <c r="L62" s="417"/>
      <c r="M62" s="417"/>
      <c r="N62" s="420" t="s">
        <v>843</v>
      </c>
      <c r="O62" s="420"/>
      <c r="P62" s="417"/>
      <c r="Q62" s="417"/>
      <c r="R62" s="417"/>
      <c r="S62" s="422"/>
      <c r="T62" s="417">
        <v>-20</v>
      </c>
      <c r="U62" s="417"/>
      <c r="V62" s="417"/>
      <c r="W62" s="417">
        <v>1.4</v>
      </c>
      <c r="X62" s="417"/>
      <c r="Y62" s="417"/>
      <c r="Z62" s="417"/>
      <c r="AA62" s="417"/>
      <c r="AB62" s="417"/>
      <c r="AC62" s="417" t="str">
        <f>IF(OR(AT62&gt;8,AT62&lt;-8),"PH",IF(OR(AT62&gt;5,AT62&lt;-5),"PH-Q",IF(OR(AT62&gt;1,AT62&lt;-1),"PH-C")))</f>
        <v>PH</v>
      </c>
      <c r="AD62" s="417"/>
      <c r="AE62" s="417"/>
      <c r="AF62" s="417"/>
      <c r="AG62" s="416"/>
      <c r="AH62" s="417"/>
      <c r="AI62" s="607"/>
      <c r="AJ62" s="417"/>
      <c r="AK62" s="420" t="s">
        <v>139</v>
      </c>
      <c r="AL62" s="417"/>
      <c r="AM62" s="417"/>
      <c r="AN62" s="444">
        <v>5.15</v>
      </c>
      <c r="AO62" s="420"/>
      <c r="AP62" s="420"/>
      <c r="AQ62" s="422"/>
      <c r="AR62" s="422"/>
      <c r="AS62" s="422"/>
      <c r="AT62" s="422">
        <f>+ab($T$62,$T$60,$T$64,$G$61,$G$63, 1*$F$62,1200)</f>
        <v>-13.870603305805139</v>
      </c>
      <c r="AU62" s="417"/>
      <c r="AV62" s="417"/>
      <c r="AW62" s="417"/>
      <c r="AX62" s="417"/>
      <c r="AY62" s="422"/>
      <c r="AZ62" s="422"/>
      <c r="BA62" s="604"/>
      <c r="BB62" s="420"/>
      <c r="BC62" s="169"/>
      <c r="BD62" s="1330"/>
      <c r="BE62" s="1329"/>
      <c r="BF62" s="1330"/>
      <c r="BG62" s="1329"/>
    </row>
    <row r="63" spans="1:59" ht="15.75" customHeight="1">
      <c r="A63" s="414" t="s">
        <v>3719</v>
      </c>
      <c r="B63" s="606"/>
      <c r="C63" s="416"/>
      <c r="D63" s="606"/>
      <c r="E63" s="418"/>
      <c r="F63" s="418"/>
      <c r="G63" s="422">
        <v>60</v>
      </c>
      <c r="H63" s="417"/>
      <c r="I63" s="417"/>
      <c r="J63" s="416"/>
      <c r="K63" s="417"/>
      <c r="L63" s="417"/>
      <c r="M63" s="417"/>
      <c r="N63" s="420"/>
      <c r="O63" s="420"/>
      <c r="P63" s="420"/>
      <c r="Q63" s="417"/>
      <c r="R63" s="417"/>
      <c r="S63" s="422"/>
      <c r="T63" s="417"/>
      <c r="U63" s="417"/>
      <c r="V63" s="417"/>
      <c r="W63" s="417"/>
      <c r="X63" s="417"/>
      <c r="Y63" s="417"/>
      <c r="Z63" s="417"/>
      <c r="AA63" s="417"/>
      <c r="AB63" s="417"/>
      <c r="AC63" s="417"/>
      <c r="AD63" s="417"/>
      <c r="AE63" s="417"/>
      <c r="AF63" s="417"/>
      <c r="AG63" s="416"/>
      <c r="AH63" s="417"/>
      <c r="AI63" s="417"/>
      <c r="AJ63" s="607"/>
      <c r="AK63" s="417"/>
      <c r="AL63" s="417"/>
      <c r="AM63" s="417"/>
      <c r="AN63" s="444"/>
      <c r="AO63" s="420"/>
      <c r="AP63" s="420"/>
      <c r="AQ63" s="422">
        <f>+FL_1($T$64,$T$62,$G$63,1200,9.28, 1*$F$64)</f>
        <v>0.41580442337100815</v>
      </c>
      <c r="AR63" s="422"/>
      <c r="AS63" s="422"/>
      <c r="AT63" s="422"/>
      <c r="AU63" s="417"/>
      <c r="AV63" s="417"/>
      <c r="AW63" s="417"/>
      <c r="AX63" s="417"/>
      <c r="AY63" s="422"/>
      <c r="AZ63" s="422"/>
      <c r="BA63" s="604"/>
      <c r="BB63" s="414"/>
      <c r="BC63" s="169"/>
      <c r="BD63" s="1330"/>
      <c r="BE63" s="1330"/>
      <c r="BF63" s="1330"/>
      <c r="BG63" s="1330"/>
    </row>
    <row r="64" spans="1:59" ht="15.75" customHeight="1">
      <c r="A64" s="414" t="s">
        <v>1854</v>
      </c>
      <c r="B64" s="725" t="s">
        <v>3899</v>
      </c>
      <c r="C64" s="416">
        <f>+$C$62+$G$63</f>
        <v>84137.909999999974</v>
      </c>
      <c r="D64" s="606"/>
      <c r="E64" s="418"/>
      <c r="F64" s="421">
        <f>-(346^2)/(C64-84126.69)</f>
        <v>-10669.875222842969</v>
      </c>
      <c r="G64" s="422"/>
      <c r="H64" s="417"/>
      <c r="I64" s="417"/>
      <c r="J64" s="416"/>
      <c r="K64" s="417"/>
      <c r="L64" s="417"/>
      <c r="M64" s="417"/>
      <c r="N64" s="420" t="s">
        <v>844</v>
      </c>
      <c r="O64" s="420"/>
      <c r="P64" s="417"/>
      <c r="Q64" s="417"/>
      <c r="R64" s="417"/>
      <c r="S64" s="422"/>
      <c r="T64" s="417">
        <v>20</v>
      </c>
      <c r="U64" s="417"/>
      <c r="V64" s="417"/>
      <c r="W64" s="417">
        <v>1.4</v>
      </c>
      <c r="X64" s="417"/>
      <c r="Y64" s="417"/>
      <c r="Z64" s="417"/>
      <c r="AA64" s="417"/>
      <c r="AB64" s="417"/>
      <c r="AC64" s="417" t="str">
        <f>IF(OR(AT64&gt;8,AT64&lt;-8),"PH",IF(OR(AT64&gt;5,AT64&lt;-5),"PH-Q",IF(OR(AT64&gt;1,AT64&lt;-1),"PH-C")))</f>
        <v>PH</v>
      </c>
      <c r="AD64" s="417"/>
      <c r="AE64" s="417"/>
      <c r="AF64" s="417"/>
      <c r="AG64" s="416"/>
      <c r="AH64" s="417"/>
      <c r="AI64" s="607"/>
      <c r="AJ64" s="417"/>
      <c r="AK64" s="420" t="s">
        <v>139</v>
      </c>
      <c r="AL64" s="417"/>
      <c r="AM64" s="417"/>
      <c r="AN64" s="444">
        <v>5.15</v>
      </c>
      <c r="AO64" s="420"/>
      <c r="AP64" s="420"/>
      <c r="AQ64" s="422"/>
      <c r="AR64" s="422"/>
      <c r="AS64" s="422"/>
      <c r="AT64" s="422">
        <f>+ab($T$64,$T$62,$T$66,$G$63,$G$65, 1*$F$64,1200)</f>
        <v>19.397137056293143</v>
      </c>
      <c r="AU64" s="417"/>
      <c r="AV64" s="417"/>
      <c r="AW64" s="417"/>
      <c r="AX64" s="417"/>
      <c r="AY64" s="422"/>
      <c r="AZ64" s="422"/>
      <c r="BA64" s="604"/>
      <c r="BB64" s="414"/>
      <c r="BC64" s="169"/>
      <c r="BD64" s="1330"/>
      <c r="BE64" s="1329"/>
      <c r="BF64" s="1330"/>
      <c r="BG64" s="1329"/>
    </row>
    <row r="65" spans="1:59" ht="15.75" customHeight="1">
      <c r="A65" s="420"/>
      <c r="B65" s="606"/>
      <c r="C65" s="416"/>
      <c r="D65" s="606"/>
      <c r="E65" s="418"/>
      <c r="F65" s="418"/>
      <c r="G65" s="422">
        <v>50</v>
      </c>
      <c r="H65" s="417"/>
      <c r="I65" s="417"/>
      <c r="J65" s="416"/>
      <c r="K65" s="417"/>
      <c r="L65" s="417"/>
      <c r="M65" s="417"/>
      <c r="N65" s="420"/>
      <c r="O65" s="420"/>
      <c r="P65" s="420"/>
      <c r="Q65" s="417"/>
      <c r="R65" s="417"/>
      <c r="S65" s="422"/>
      <c r="T65" s="417"/>
      <c r="U65" s="417"/>
      <c r="V65" s="417"/>
      <c r="W65" s="417"/>
      <c r="X65" s="417"/>
      <c r="Y65" s="417"/>
      <c r="Z65" s="417"/>
      <c r="AA65" s="417"/>
      <c r="AB65" s="417"/>
      <c r="AC65" s="417"/>
      <c r="AD65" s="417"/>
      <c r="AE65" s="417"/>
      <c r="AF65" s="417"/>
      <c r="AG65" s="416"/>
      <c r="AH65" s="417"/>
      <c r="AI65" s="417"/>
      <c r="AJ65" s="607"/>
      <c r="AK65" s="417"/>
      <c r="AL65" s="417"/>
      <c r="AM65" s="417"/>
      <c r="AN65" s="444"/>
      <c r="AO65" s="420"/>
      <c r="AP65" s="420"/>
      <c r="AQ65" s="422">
        <f>+FL_1($T$66,$T$64,$G$65,1200,9.28, 1*$F$66)</f>
        <v>0.3510626429564212</v>
      </c>
      <c r="AR65" s="422"/>
      <c r="AS65" s="422"/>
      <c r="AT65" s="422"/>
      <c r="AU65" s="417"/>
      <c r="AV65" s="417"/>
      <c r="AW65" s="417"/>
      <c r="AX65" s="417"/>
      <c r="AY65" s="422"/>
      <c r="AZ65" s="422"/>
      <c r="BA65" s="604"/>
      <c r="BB65" s="420"/>
      <c r="BC65" s="169"/>
      <c r="BD65" s="1330"/>
      <c r="BE65" s="1330"/>
      <c r="BF65" s="1330"/>
      <c r="BG65" s="1330"/>
    </row>
    <row r="66" spans="1:59" ht="15.75" customHeight="1">
      <c r="A66" s="420"/>
      <c r="B66" s="725" t="s">
        <v>3900</v>
      </c>
      <c r="C66" s="416">
        <f>+$C$64+$G$65</f>
        <v>84187.909999999974</v>
      </c>
      <c r="D66" s="606"/>
      <c r="E66" s="418"/>
      <c r="F66" s="418">
        <v>-4000</v>
      </c>
      <c r="G66" s="422"/>
      <c r="H66" s="417"/>
      <c r="I66" s="417"/>
      <c r="J66" s="416"/>
      <c r="K66" s="417"/>
      <c r="L66" s="417"/>
      <c r="M66" s="417"/>
      <c r="N66" s="420" t="s">
        <v>843</v>
      </c>
      <c r="O66" s="420"/>
      <c r="P66" s="417"/>
      <c r="Q66" s="417"/>
      <c r="R66" s="417"/>
      <c r="S66" s="422"/>
      <c r="T66" s="417">
        <v>-20</v>
      </c>
      <c r="U66" s="417"/>
      <c r="V66" s="417"/>
      <c r="W66" s="417">
        <v>1.2</v>
      </c>
      <c r="X66" s="417"/>
      <c r="Y66" s="417"/>
      <c r="Z66" s="417"/>
      <c r="AA66" s="417"/>
      <c r="AB66" s="417"/>
      <c r="AC66" s="417" t="str">
        <f>IF(OR(AT66&gt;8,AT66&lt;-8),"PH",IF(OR(AT66&gt;5,AT66&lt;-5),"PH-Q",IF(OR(AT66&gt;1,AT66&lt;-1),"PH-C")))</f>
        <v>PH</v>
      </c>
      <c r="AD66" s="417"/>
      <c r="AE66" s="417"/>
      <c r="AF66" s="417"/>
      <c r="AG66" s="416"/>
      <c r="AH66" s="417"/>
      <c r="AI66" s="607"/>
      <c r="AJ66" s="417"/>
      <c r="AK66" s="420" t="s">
        <v>139</v>
      </c>
      <c r="AL66" s="417"/>
      <c r="AM66" s="417"/>
      <c r="AN66" s="444">
        <v>5.15</v>
      </c>
      <c r="AO66" s="420"/>
      <c r="AP66" s="420"/>
      <c r="AQ66" s="422"/>
      <c r="AR66" s="422"/>
      <c r="AS66" s="422"/>
      <c r="AT66" s="422">
        <f>+ab($T$66,$T$64,$T$68,$G$65,$G$67, 1*$F$66,1200)</f>
        <v>-9.5064275396827416</v>
      </c>
      <c r="AU66" s="417"/>
      <c r="AV66" s="417"/>
      <c r="AW66" s="417"/>
      <c r="AX66" s="417"/>
      <c r="AY66" s="422"/>
      <c r="AZ66" s="422"/>
      <c r="BA66" s="604"/>
      <c r="BB66" s="420"/>
      <c r="BC66" s="169"/>
      <c r="BD66" s="1330"/>
      <c r="BE66" s="1329"/>
      <c r="BF66" s="1330"/>
      <c r="BG66" s="1329"/>
    </row>
    <row r="67" spans="1:59" ht="15.75" customHeight="1">
      <c r="A67" s="420"/>
      <c r="B67" s="606"/>
      <c r="C67" s="416"/>
      <c r="D67" s="606"/>
      <c r="E67" s="418"/>
      <c r="F67" s="418"/>
      <c r="G67" s="422">
        <v>46</v>
      </c>
      <c r="H67" s="417"/>
      <c r="I67" s="417"/>
      <c r="J67" s="416"/>
      <c r="K67" s="417"/>
      <c r="L67" s="417"/>
      <c r="M67" s="417"/>
      <c r="N67" s="417"/>
      <c r="O67" s="420"/>
      <c r="P67" s="420"/>
      <c r="Q67" s="417"/>
      <c r="R67" s="417"/>
      <c r="S67" s="422"/>
      <c r="T67" s="417"/>
      <c r="U67" s="417"/>
      <c r="V67" s="417"/>
      <c r="W67" s="417"/>
      <c r="X67" s="417"/>
      <c r="Y67" s="417"/>
      <c r="Z67" s="417"/>
      <c r="AA67" s="417"/>
      <c r="AB67" s="417"/>
      <c r="AC67" s="417"/>
      <c r="AD67" s="417"/>
      <c r="AE67" s="417"/>
      <c r="AF67" s="417"/>
      <c r="AG67" s="416"/>
      <c r="AH67" s="417"/>
      <c r="AI67" s="417"/>
      <c r="AJ67" s="607"/>
      <c r="AK67" s="417"/>
      <c r="AL67" s="417"/>
      <c r="AM67" s="417"/>
      <c r="AN67" s="444"/>
      <c r="AO67" s="420"/>
      <c r="AP67" s="420"/>
      <c r="AQ67" s="422">
        <f>+FL_2($T$68,$T$66,$G$67,1200,9.28, 1*$F$68)</f>
        <v>-0.35746424978426289</v>
      </c>
      <c r="AR67" s="422"/>
      <c r="AS67" s="422"/>
      <c r="AT67" s="422"/>
      <c r="AU67" s="417"/>
      <c r="AV67" s="417"/>
      <c r="AW67" s="417"/>
      <c r="AX67" s="417"/>
      <c r="AY67" s="422"/>
      <c r="AZ67" s="422"/>
      <c r="BA67" s="604"/>
      <c r="BB67" s="420"/>
      <c r="BC67" s="169"/>
      <c r="BD67" s="1330"/>
      <c r="BE67" s="1330"/>
      <c r="BF67" s="1330"/>
      <c r="BG67" s="1330"/>
    </row>
    <row r="68" spans="1:59" ht="15.75" customHeight="1">
      <c r="A68" s="420"/>
      <c r="B68" s="725" t="s">
        <v>3901</v>
      </c>
      <c r="C68" s="416">
        <f>+$C$66+$G$67</f>
        <v>84233.909999999974</v>
      </c>
      <c r="D68" s="606"/>
      <c r="E68" s="418"/>
      <c r="F68" s="421">
        <f>-(346^2)/(C68-84212.6)</f>
        <v>-5617.8320037623926</v>
      </c>
      <c r="G68" s="422"/>
      <c r="H68" s="417"/>
      <c r="I68" s="417"/>
      <c r="J68" s="416"/>
      <c r="K68" s="417"/>
      <c r="L68" s="417"/>
      <c r="M68" s="417"/>
      <c r="N68" s="420" t="s">
        <v>843</v>
      </c>
      <c r="O68" s="420"/>
      <c r="P68" s="420"/>
      <c r="Q68" s="417"/>
      <c r="R68" s="417"/>
      <c r="S68" s="422"/>
      <c r="T68" s="417">
        <v>-20</v>
      </c>
      <c r="U68" s="417"/>
      <c r="V68" s="417"/>
      <c r="W68" s="417">
        <v>1</v>
      </c>
      <c r="X68" s="417"/>
      <c r="Y68" s="417"/>
      <c r="Z68" s="417"/>
      <c r="AA68" s="417"/>
      <c r="AB68" s="417"/>
      <c r="AC68" s="417" t="str">
        <f>IF(OR(AT68&gt;8,AT68&lt;-8),"PH",IF(OR(AT68&gt;5,AT68&lt;-5),"PH-Q",IF(OR(AT68&gt;1,AT68&lt;-1),"PH-C")))</f>
        <v>PH</v>
      </c>
      <c r="AD68" s="417"/>
      <c r="AE68" s="417"/>
      <c r="AF68" s="417"/>
      <c r="AG68" s="416"/>
      <c r="AH68" s="417"/>
      <c r="AI68" s="417"/>
      <c r="AJ68" s="607"/>
      <c r="AK68" s="417" t="s">
        <v>139</v>
      </c>
      <c r="AL68" s="417"/>
      <c r="AM68" s="417"/>
      <c r="AN68" s="444">
        <v>5.15</v>
      </c>
      <c r="AO68" s="420"/>
      <c r="AP68" s="420"/>
      <c r="AQ68" s="422"/>
      <c r="AR68" s="422"/>
      <c r="AS68" s="422"/>
      <c r="AT68" s="422">
        <f>+ab($T$68,$T$66,$T$70,$G$67,$G$69, 1*$F$68,1200)</f>
        <v>-9.9672186014107176</v>
      </c>
      <c r="AU68" s="417"/>
      <c r="AV68" s="417"/>
      <c r="AW68" s="417"/>
      <c r="AX68" s="417"/>
      <c r="AY68" s="422"/>
      <c r="AZ68" s="422"/>
      <c r="BA68" s="604"/>
      <c r="BB68" s="420"/>
      <c r="BC68" s="169"/>
      <c r="BD68" s="1330"/>
      <c r="BE68" s="1329"/>
      <c r="BF68" s="1330"/>
      <c r="BG68" s="1329"/>
    </row>
    <row r="69" spans="1:59" ht="15.75" customHeight="1">
      <c r="A69" s="647" t="s">
        <v>3049</v>
      </c>
      <c r="B69" s="705"/>
      <c r="C69" s="649"/>
      <c r="D69" s="705"/>
      <c r="E69" s="648"/>
      <c r="F69" s="648"/>
      <c r="G69" s="654">
        <v>46</v>
      </c>
      <c r="H69" s="653"/>
      <c r="I69" s="653"/>
      <c r="J69" s="649"/>
      <c r="K69" s="653"/>
      <c r="L69" s="653"/>
      <c r="M69" s="653"/>
      <c r="N69" s="653"/>
      <c r="O69" s="647"/>
      <c r="P69" s="647"/>
      <c r="Q69" s="653"/>
      <c r="R69" s="653"/>
      <c r="S69" s="654"/>
      <c r="T69" s="653"/>
      <c r="U69" s="653"/>
      <c r="V69" s="653"/>
      <c r="W69" s="653"/>
      <c r="X69" s="653"/>
      <c r="Y69" s="653"/>
      <c r="Z69" s="653"/>
      <c r="AA69" s="653"/>
      <c r="AB69" s="653"/>
      <c r="AC69" s="653"/>
      <c r="AD69" s="653"/>
      <c r="AE69" s="653"/>
      <c r="AF69" s="653"/>
      <c r="AG69" s="649"/>
      <c r="AH69" s="653"/>
      <c r="AI69" s="653"/>
      <c r="AJ69" s="704"/>
      <c r="AK69" s="653"/>
      <c r="AL69" s="653"/>
      <c r="AM69" s="653"/>
      <c r="AN69" s="651"/>
      <c r="AO69" s="647"/>
      <c r="AP69" s="647"/>
      <c r="AQ69" s="654">
        <f>+FL_1($T$70,$T$68,$G$69,1200,9.28, 1*$F$70)</f>
        <v>0.33093509495652174</v>
      </c>
      <c r="AR69" s="654"/>
      <c r="AS69" s="654"/>
      <c r="AT69" s="654"/>
      <c r="AU69" s="653"/>
      <c r="AV69" s="653"/>
      <c r="AW69" s="653"/>
      <c r="AX69" s="653"/>
      <c r="AY69" s="654"/>
      <c r="AZ69" s="654"/>
      <c r="BA69" s="701"/>
      <c r="BB69" s="647"/>
      <c r="BC69" s="169"/>
      <c r="BD69" s="1330"/>
      <c r="BE69" s="1330"/>
      <c r="BF69" s="1330"/>
      <c r="BG69" s="1330"/>
    </row>
    <row r="70" spans="1:59" ht="15.75" customHeight="1">
      <c r="A70" s="420"/>
      <c r="B70" s="725" t="s">
        <v>3902</v>
      </c>
      <c r="C70" s="416">
        <f>+$C$68+$G$69</f>
        <v>84279.909999999974</v>
      </c>
      <c r="D70" s="606"/>
      <c r="E70" s="418"/>
      <c r="F70" s="418">
        <v>0</v>
      </c>
      <c r="G70" s="422"/>
      <c r="H70" s="420"/>
      <c r="I70" s="420"/>
      <c r="J70" s="432"/>
      <c r="K70" s="417"/>
      <c r="L70" s="417"/>
      <c r="M70" s="417"/>
      <c r="N70" s="420" t="s">
        <v>844</v>
      </c>
      <c r="O70" s="420"/>
      <c r="P70" s="420"/>
      <c r="Q70" s="417"/>
      <c r="R70" s="417"/>
      <c r="S70" s="422"/>
      <c r="T70" s="417">
        <v>30</v>
      </c>
      <c r="U70" s="417"/>
      <c r="V70" s="417"/>
      <c r="W70" s="417">
        <v>0.8</v>
      </c>
      <c r="X70" s="417"/>
      <c r="Y70" s="417"/>
      <c r="Z70" s="417"/>
      <c r="AA70" s="417"/>
      <c r="AB70" s="417"/>
      <c r="AC70" s="417" t="str">
        <f>IF(OR(AT70&gt;8,AT70&lt;-8),"PH",IF(OR(AT70&gt;5,AT70&lt;-5),"PH-Q",IF(OR(AT70&gt;1,AT70&lt;-1),"PH-C")))</f>
        <v>PH</v>
      </c>
      <c r="AD70" s="417"/>
      <c r="AE70" s="417"/>
      <c r="AF70" s="417"/>
      <c r="AG70" s="416"/>
      <c r="AH70" s="417"/>
      <c r="AI70" s="417"/>
      <c r="AJ70" s="607"/>
      <c r="AK70" s="417" t="s">
        <v>139</v>
      </c>
      <c r="AL70" s="417"/>
      <c r="AM70" s="417"/>
      <c r="AN70" s="444">
        <v>5.15</v>
      </c>
      <c r="AO70" s="420"/>
      <c r="AP70" s="420"/>
      <c r="AQ70" s="422"/>
      <c r="AR70" s="422"/>
      <c r="AS70" s="422"/>
      <c r="AT70" s="422">
        <f>+ab($T$70,$T$68,$T$72,$G$69,$G$71, 1*$F$70,1200)</f>
        <v>8.2180005049894724</v>
      </c>
      <c r="AU70" s="417"/>
      <c r="AV70" s="417"/>
      <c r="AW70" s="417"/>
      <c r="AX70" s="417"/>
      <c r="AY70" s="422"/>
      <c r="AZ70" s="422"/>
      <c r="BA70" s="604"/>
      <c r="BB70" s="420"/>
      <c r="BC70" s="169"/>
      <c r="BD70" s="1330"/>
      <c r="BE70" s="1329"/>
      <c r="BF70" s="1330"/>
      <c r="BG70" s="1329"/>
    </row>
    <row r="71" spans="1:59" ht="15.75" customHeight="1">
      <c r="A71" s="694" t="s">
        <v>3717</v>
      </c>
      <c r="B71" s="717"/>
      <c r="C71" s="718"/>
      <c r="D71" s="717"/>
      <c r="E71" s="719"/>
      <c r="F71" s="719"/>
      <c r="G71" s="720">
        <v>48.7</v>
      </c>
      <c r="H71" s="694"/>
      <c r="I71" s="694"/>
      <c r="J71" s="732"/>
      <c r="K71" s="721"/>
      <c r="L71" s="721"/>
      <c r="M71" s="721"/>
      <c r="N71" s="694"/>
      <c r="O71" s="694"/>
      <c r="P71" s="694"/>
      <c r="Q71" s="721"/>
      <c r="R71" s="721"/>
      <c r="S71" s="720"/>
      <c r="T71" s="721"/>
      <c r="U71" s="721"/>
      <c r="V71" s="721"/>
      <c r="W71" s="721"/>
      <c r="X71" s="721"/>
      <c r="Y71" s="721"/>
      <c r="Z71" s="721"/>
      <c r="AA71" s="721"/>
      <c r="AB71" s="721"/>
      <c r="AC71" s="721"/>
      <c r="AD71" s="721"/>
      <c r="AE71" s="721"/>
      <c r="AF71" s="721"/>
      <c r="AG71" s="718"/>
      <c r="AH71" s="721"/>
      <c r="AI71" s="721"/>
      <c r="AJ71" s="723"/>
      <c r="AK71" s="721"/>
      <c r="AL71" s="721"/>
      <c r="AM71" s="721"/>
      <c r="AN71" s="724"/>
      <c r="AO71" s="694"/>
      <c r="AP71" s="694"/>
      <c r="AQ71" s="720">
        <f>+FL_2($T$72,$T$70,$G$71,1200,9.28, 1*$F$72)</f>
        <v>-0.32740377234223134</v>
      </c>
      <c r="AR71" s="720"/>
      <c r="AS71" s="720"/>
      <c r="AT71" s="720"/>
      <c r="AU71" s="721"/>
      <c r="AV71" s="721"/>
      <c r="AW71" s="721"/>
      <c r="AX71" s="721"/>
      <c r="AY71" s="720"/>
      <c r="AZ71" s="720"/>
      <c r="BA71" s="726"/>
      <c r="BB71" s="694"/>
      <c r="BC71" s="169"/>
      <c r="BD71" s="1330"/>
      <c r="BE71" s="1330"/>
      <c r="BF71" s="1330"/>
      <c r="BG71" s="1330"/>
    </row>
    <row r="72" spans="1:59" ht="15.75" customHeight="1">
      <c r="A72" s="1239"/>
      <c r="B72" s="435" t="s">
        <v>3903</v>
      </c>
      <c r="C72" s="446">
        <f>+$C$70+$G$71</f>
        <v>84328.609999999971</v>
      </c>
      <c r="D72" s="173"/>
      <c r="E72" s="447"/>
      <c r="F72" s="447">
        <v>0</v>
      </c>
      <c r="G72" s="484"/>
      <c r="H72" s="1239"/>
      <c r="I72" s="1239" t="s">
        <v>1039</v>
      </c>
      <c r="J72" s="171"/>
      <c r="K72" s="638"/>
      <c r="L72" s="638"/>
      <c r="M72" s="638"/>
      <c r="N72" s="1239" t="s">
        <v>843</v>
      </c>
      <c r="O72" s="1239"/>
      <c r="P72" s="1239"/>
      <c r="Q72" s="638"/>
      <c r="R72" s="638"/>
      <c r="S72" s="484"/>
      <c r="T72" s="638">
        <v>-30</v>
      </c>
      <c r="U72" s="638"/>
      <c r="V72" s="638"/>
      <c r="W72" s="638">
        <v>0.68</v>
      </c>
      <c r="X72" s="638"/>
      <c r="Y72" s="638"/>
      <c r="Z72" s="638"/>
      <c r="AA72" s="638"/>
      <c r="AB72" s="638"/>
      <c r="AC72" s="638" t="str">
        <f>IF(OR(AT72&gt;8,AT72&lt;-8),"PH",IF(OR(AT72&gt;5,AT72&lt;-5),"PH-Q",IF(OR(AT72&gt;1,AT72&lt;-1),"PH-C")))</f>
        <v>PH-Q</v>
      </c>
      <c r="AD72" s="638"/>
      <c r="AE72" s="638"/>
      <c r="AF72" s="638"/>
      <c r="AG72" s="446"/>
      <c r="AH72" s="638"/>
      <c r="AI72" s="638"/>
      <c r="AJ72" s="185"/>
      <c r="AK72" s="638" t="s">
        <v>139</v>
      </c>
      <c r="AL72" s="638"/>
      <c r="AM72" s="638"/>
      <c r="AN72" s="455">
        <v>5.15</v>
      </c>
      <c r="AO72" s="1239"/>
      <c r="AP72" s="1239"/>
      <c r="AQ72" s="484"/>
      <c r="AR72" s="484"/>
      <c r="AS72" s="484"/>
      <c r="AT72" s="484">
        <f>+ab($T$72,$T$70,$T$74,$G$71,$G$73, 1*$F$72,1200)</f>
        <v>-7.7885852564631231</v>
      </c>
      <c r="AU72" s="638"/>
      <c r="AV72" s="638"/>
      <c r="AW72" s="638"/>
      <c r="AX72" s="638"/>
      <c r="AY72" s="484"/>
      <c r="AZ72" s="484"/>
      <c r="BA72" s="671"/>
      <c r="BB72" s="1239"/>
      <c r="BC72" s="169"/>
      <c r="BD72" s="1330"/>
      <c r="BE72" s="1329"/>
      <c r="BF72" s="1330"/>
      <c r="BG72" s="1329"/>
    </row>
    <row r="73" spans="1:59" ht="15.75" customHeight="1">
      <c r="A73" s="495"/>
      <c r="B73" s="639"/>
      <c r="C73" s="489"/>
      <c r="D73" s="639"/>
      <c r="E73" s="491"/>
      <c r="F73" s="491"/>
      <c r="G73" s="493">
        <v>41.1</v>
      </c>
      <c r="H73" s="495"/>
      <c r="I73" s="495"/>
      <c r="J73" s="431"/>
      <c r="K73" s="490"/>
      <c r="L73" s="490"/>
      <c r="M73" s="490"/>
      <c r="N73" s="495"/>
      <c r="O73" s="495"/>
      <c r="P73" s="495"/>
      <c r="Q73" s="490"/>
      <c r="R73" s="490"/>
      <c r="S73" s="493"/>
      <c r="T73" s="490"/>
      <c r="U73" s="490"/>
      <c r="V73" s="490"/>
      <c r="W73" s="490"/>
      <c r="X73" s="490"/>
      <c r="Y73" s="490"/>
      <c r="Z73" s="490"/>
      <c r="AA73" s="490"/>
      <c r="AB73" s="490"/>
      <c r="AC73" s="490"/>
      <c r="AD73" s="490"/>
      <c r="AE73" s="490"/>
      <c r="AF73" s="490"/>
      <c r="AG73" s="489"/>
      <c r="AH73" s="490"/>
      <c r="AI73" s="490"/>
      <c r="AJ73" s="490"/>
      <c r="AK73" s="490"/>
      <c r="AL73" s="490"/>
      <c r="AM73" s="490"/>
      <c r="AN73" s="457"/>
      <c r="AO73" s="495"/>
      <c r="AP73" s="495"/>
      <c r="AQ73" s="493">
        <f>+FL_2($T$74,$T$72,$G$73,1200,9.28, 1*$F$74)</f>
        <v>-0.33302007220470925</v>
      </c>
      <c r="AR73" s="493"/>
      <c r="AS73" s="493"/>
      <c r="AT73" s="493"/>
      <c r="AU73" s="490"/>
      <c r="AV73" s="490"/>
      <c r="AW73" s="490"/>
      <c r="AX73" s="490"/>
      <c r="AY73" s="493"/>
      <c r="AZ73" s="493"/>
      <c r="BA73" s="602"/>
      <c r="BB73" s="495"/>
      <c r="BC73" s="169"/>
      <c r="BD73" s="1330"/>
      <c r="BE73" s="1330"/>
      <c r="BF73" s="1330"/>
      <c r="BG73" s="1330"/>
    </row>
    <row r="74" spans="1:59" ht="15.75" customHeight="1">
      <c r="A74" s="495" t="s">
        <v>3721</v>
      </c>
      <c r="B74" s="711" t="s">
        <v>3904</v>
      </c>
      <c r="C74" s="489">
        <f>+$C$72+$G$73</f>
        <v>84369.709999999977</v>
      </c>
      <c r="D74" s="639"/>
      <c r="E74" s="491"/>
      <c r="F74" s="492">
        <f>(346^2)/(C74-84344.45)</f>
        <v>4739.3507521810689</v>
      </c>
      <c r="G74" s="493"/>
      <c r="H74" s="495"/>
      <c r="I74" s="495"/>
      <c r="J74" s="431"/>
      <c r="K74" s="490"/>
      <c r="L74" s="490" t="s">
        <v>234</v>
      </c>
      <c r="M74" s="490"/>
      <c r="N74" s="490" t="s">
        <v>634</v>
      </c>
      <c r="O74" s="495"/>
      <c r="P74" s="490"/>
      <c r="Q74" s="490"/>
      <c r="R74" s="490"/>
      <c r="S74" s="493"/>
      <c r="T74" s="490">
        <v>20</v>
      </c>
      <c r="U74" s="490"/>
      <c r="V74" s="490"/>
      <c r="W74" s="490">
        <v>0.68</v>
      </c>
      <c r="X74" s="490"/>
      <c r="Y74" s="490"/>
      <c r="Z74" s="490"/>
      <c r="AA74" s="490"/>
      <c r="AB74" s="490"/>
      <c r="AC74" s="490" t="str">
        <f>IF(OR(AT74&gt;8,AT74&lt;-8),"PH",IF(OR(AT74&gt;5,AT74&lt;-5),"PH-Q",IF(OR(AT74&gt;1,AT74&lt;-1),"PH-C")))</f>
        <v>PH</v>
      </c>
      <c r="AD74" s="490"/>
      <c r="AE74" s="490"/>
      <c r="AF74" s="490"/>
      <c r="AG74" s="489"/>
      <c r="AH74" s="490"/>
      <c r="AI74" s="640"/>
      <c r="AJ74" s="490"/>
      <c r="AK74" s="490"/>
      <c r="AL74" s="490"/>
      <c r="AM74" s="490" t="s">
        <v>2879</v>
      </c>
      <c r="AN74" s="457">
        <v>5.15</v>
      </c>
      <c r="AO74" s="495"/>
      <c r="AP74" s="495"/>
      <c r="AQ74" s="493"/>
      <c r="AR74" s="493"/>
      <c r="AS74" s="493"/>
      <c r="AT74" s="493">
        <f>+ab($T$74,$T$72,$U$76,$G$73,$G$75, 1*$F$74,1200)</f>
        <v>9.1354499448251794</v>
      </c>
      <c r="AU74" s="490"/>
      <c r="AV74" s="490"/>
      <c r="AW74" s="490"/>
      <c r="AX74" s="490"/>
      <c r="AY74" s="493"/>
      <c r="AZ74" s="493"/>
      <c r="BA74" s="602"/>
      <c r="BB74" s="495"/>
      <c r="BC74" s="169"/>
      <c r="BD74" s="1330"/>
      <c r="BE74" s="1329"/>
      <c r="BF74" s="1330"/>
      <c r="BG74" s="1329"/>
    </row>
    <row r="75" spans="1:59" ht="15.75" customHeight="1">
      <c r="A75" s="1239"/>
      <c r="B75" s="173"/>
      <c r="C75" s="446"/>
      <c r="D75" s="173"/>
      <c r="E75" s="447"/>
      <c r="F75" s="447"/>
      <c r="G75" s="484">
        <v>41</v>
      </c>
      <c r="H75" s="1239"/>
      <c r="I75" s="172"/>
      <c r="J75" s="171"/>
      <c r="K75" s="638"/>
      <c r="L75" s="638"/>
      <c r="M75" s="638"/>
      <c r="N75" s="638"/>
      <c r="O75" s="1239"/>
      <c r="P75" s="1239"/>
      <c r="Q75" s="638"/>
      <c r="R75" s="638"/>
      <c r="S75" s="484"/>
      <c r="T75" s="638"/>
      <c r="U75" s="638"/>
      <c r="V75" s="638"/>
      <c r="W75" s="638"/>
      <c r="X75" s="638"/>
      <c r="Y75" s="638"/>
      <c r="Z75" s="638"/>
      <c r="AA75" s="638"/>
      <c r="AB75" s="638"/>
      <c r="AC75" s="638"/>
      <c r="AD75" s="638"/>
      <c r="AE75" s="638"/>
      <c r="AF75" s="638"/>
      <c r="AG75" s="446"/>
      <c r="AH75" s="638"/>
      <c r="AI75" s="638"/>
      <c r="AJ75" s="638"/>
      <c r="AK75" s="638"/>
      <c r="AL75" s="638"/>
      <c r="AM75" s="638"/>
      <c r="AN75" s="455"/>
      <c r="AO75" s="1239"/>
      <c r="AP75" s="1239"/>
      <c r="AQ75" s="484">
        <f>+FL_1($U$76,$T$74,$G$75,1200,9.28, 1*$F$76)</f>
        <v>0.30996507172043564</v>
      </c>
      <c r="AR75" s="484"/>
      <c r="AS75" s="484"/>
      <c r="AT75" s="484"/>
      <c r="AU75" s="638"/>
      <c r="AV75" s="638"/>
      <c r="AW75" s="638"/>
      <c r="AX75" s="638"/>
      <c r="AY75" s="484"/>
      <c r="AZ75" s="484"/>
      <c r="BA75" s="671"/>
      <c r="BB75" s="1239"/>
      <c r="BC75" s="169"/>
      <c r="BD75" s="1330"/>
      <c r="BE75" s="1330"/>
      <c r="BF75" s="1330"/>
      <c r="BG75" s="1330"/>
    </row>
    <row r="76" spans="1:59" ht="15.75" customHeight="1">
      <c r="A76" s="1239"/>
      <c r="B76" s="435" t="s">
        <v>3905</v>
      </c>
      <c r="C76" s="446">
        <f>+$C$74+$G$75</f>
        <v>84410.709999999977</v>
      </c>
      <c r="D76" s="173"/>
      <c r="E76" s="447"/>
      <c r="F76" s="447">
        <v>4000</v>
      </c>
      <c r="G76" s="484"/>
      <c r="H76" s="1239" t="s">
        <v>619</v>
      </c>
      <c r="I76" s="1239"/>
      <c r="J76" s="171"/>
      <c r="K76" s="638"/>
      <c r="L76" s="638"/>
      <c r="M76" s="638"/>
      <c r="N76" s="1239" t="s">
        <v>845</v>
      </c>
      <c r="O76" s="1239" t="s">
        <v>844</v>
      </c>
      <c r="P76" s="1239"/>
      <c r="Q76" s="638"/>
      <c r="R76" s="638"/>
      <c r="S76" s="484"/>
      <c r="T76" s="638">
        <v>45</v>
      </c>
      <c r="U76" s="638">
        <v>20</v>
      </c>
      <c r="V76" s="638"/>
      <c r="W76" s="638">
        <v>0.55000000000000004</v>
      </c>
      <c r="X76" s="638">
        <v>0.68</v>
      </c>
      <c r="Y76" s="638"/>
      <c r="Z76" s="638">
        <v>0.25</v>
      </c>
      <c r="AA76" s="638"/>
      <c r="AB76" s="638"/>
      <c r="AC76" s="638"/>
      <c r="AD76" s="638"/>
      <c r="AE76" s="638"/>
      <c r="AF76" s="638"/>
      <c r="AG76" s="446"/>
      <c r="AH76" s="638"/>
      <c r="AI76" s="638"/>
      <c r="AJ76" s="638"/>
      <c r="AK76" s="638" t="s">
        <v>228</v>
      </c>
      <c r="AL76" s="638"/>
      <c r="AM76" s="638"/>
      <c r="AN76" s="455">
        <v>5.15</v>
      </c>
      <c r="AO76" s="1239"/>
      <c r="AP76" s="1239"/>
      <c r="AQ76" s="484"/>
      <c r="AR76" s="484"/>
      <c r="AS76" s="484"/>
      <c r="AT76" s="484">
        <f>+ab($U$76,$T$74,$U$78,$G$75,$G$77, 1*$F$76,1200)</f>
        <v>8.8409236730300442</v>
      </c>
      <c r="AU76" s="638"/>
      <c r="AV76" s="638"/>
      <c r="AW76" s="638"/>
      <c r="AX76" s="638"/>
      <c r="AY76" s="484"/>
      <c r="AZ76" s="484"/>
      <c r="BA76" s="671"/>
      <c r="BB76" s="1239"/>
      <c r="BC76" s="169"/>
      <c r="BD76" s="1330"/>
      <c r="BE76" s="1329"/>
      <c r="BF76" s="1330"/>
      <c r="BG76" s="1329"/>
    </row>
    <row r="77" spans="1:59" ht="15.75" customHeight="1">
      <c r="A77" s="1239"/>
      <c r="B77" s="173"/>
      <c r="C77" s="446"/>
      <c r="D77" s="173"/>
      <c r="E77" s="447"/>
      <c r="F77" s="447"/>
      <c r="G77" s="484">
        <v>48.1</v>
      </c>
      <c r="H77" s="1239"/>
      <c r="I77" s="172"/>
      <c r="J77" s="171"/>
      <c r="K77" s="638"/>
      <c r="L77" s="638"/>
      <c r="M77" s="638"/>
      <c r="N77" s="638"/>
      <c r="O77" s="1239"/>
      <c r="P77" s="1239"/>
      <c r="Q77" s="638"/>
      <c r="R77" s="638"/>
      <c r="S77" s="484"/>
      <c r="T77" s="638"/>
      <c r="U77" s="638"/>
      <c r="V77" s="638"/>
      <c r="W77" s="638"/>
      <c r="X77" s="638"/>
      <c r="Y77" s="638"/>
      <c r="Z77" s="638"/>
      <c r="AA77" s="638"/>
      <c r="AB77" s="638"/>
      <c r="AC77" s="638"/>
      <c r="AD77" s="638"/>
      <c r="AE77" s="638"/>
      <c r="AF77" s="638"/>
      <c r="AG77" s="446"/>
      <c r="AH77" s="638"/>
      <c r="AI77" s="638"/>
      <c r="AJ77" s="638"/>
      <c r="AK77" s="638"/>
      <c r="AL77" s="638"/>
      <c r="AM77" s="638"/>
      <c r="AN77" s="455"/>
      <c r="AO77" s="1239"/>
      <c r="AP77" s="1239"/>
      <c r="AQ77" s="484">
        <f>+FL_1($U$78,$U$76,$G$77,1200,9.28, 1*$F$78)</f>
        <v>0.24125273546715134</v>
      </c>
      <c r="AR77" s="484"/>
      <c r="AS77" s="484"/>
      <c r="AT77" s="484"/>
      <c r="AU77" s="638"/>
      <c r="AV77" s="638"/>
      <c r="AW77" s="638"/>
      <c r="AX77" s="638"/>
      <c r="AY77" s="484"/>
      <c r="AZ77" s="484"/>
      <c r="BA77" s="671"/>
      <c r="BB77" s="1239"/>
      <c r="BC77" s="169"/>
      <c r="BD77" s="1330"/>
      <c r="BE77" s="1330"/>
      <c r="BF77" s="1330"/>
      <c r="BG77" s="1330"/>
    </row>
    <row r="78" spans="1:59" ht="15.75" customHeight="1">
      <c r="A78" s="1239"/>
      <c r="B78" s="435" t="s">
        <v>3906</v>
      </c>
      <c r="C78" s="446">
        <f>+$C$76+$G$77</f>
        <v>84458.809999999983</v>
      </c>
      <c r="D78" s="173"/>
      <c r="E78" s="447"/>
      <c r="F78" s="448">
        <f>(346^2)/(84460.18-C78)</f>
        <v>87383.941605208252</v>
      </c>
      <c r="G78" s="484"/>
      <c r="H78" s="1239" t="s">
        <v>619</v>
      </c>
      <c r="I78" s="1239"/>
      <c r="J78" s="171"/>
      <c r="K78" s="638"/>
      <c r="L78" s="638"/>
      <c r="M78" s="638"/>
      <c r="N78" s="1239" t="s">
        <v>845</v>
      </c>
      <c r="O78" s="1239" t="s">
        <v>843</v>
      </c>
      <c r="P78" s="1239"/>
      <c r="Q78" s="638"/>
      <c r="R78" s="638"/>
      <c r="S78" s="484"/>
      <c r="T78" s="638">
        <v>15</v>
      </c>
      <c r="U78" s="638">
        <v>-30</v>
      </c>
      <c r="V78" s="638"/>
      <c r="W78" s="638">
        <v>0.9</v>
      </c>
      <c r="X78" s="638">
        <v>1</v>
      </c>
      <c r="Y78" s="638"/>
      <c r="Z78" s="638">
        <v>0.47</v>
      </c>
      <c r="AA78" s="638"/>
      <c r="AB78" s="638"/>
      <c r="AC78" s="638"/>
      <c r="AD78" s="638"/>
      <c r="AE78" s="638"/>
      <c r="AF78" s="638"/>
      <c r="AG78" s="446"/>
      <c r="AH78" s="638"/>
      <c r="AI78" s="638"/>
      <c r="AJ78" s="638"/>
      <c r="AK78" s="638" t="s">
        <v>228</v>
      </c>
      <c r="AL78" s="638"/>
      <c r="AM78" s="638"/>
      <c r="AN78" s="455">
        <v>5.22</v>
      </c>
      <c r="AO78" s="1239"/>
      <c r="AP78" s="1239"/>
      <c r="AQ78" s="484"/>
      <c r="AR78" s="484"/>
      <c r="AS78" s="484"/>
      <c r="AT78" s="484">
        <f>+ab($U$78,$U$76,$T$80,$G$77,$G$79, 1*$F$78,1200)</f>
        <v>-8.7976417102265696</v>
      </c>
      <c r="AU78" s="638"/>
      <c r="AV78" s="638"/>
      <c r="AW78" s="638"/>
      <c r="AX78" s="638"/>
      <c r="AY78" s="484"/>
      <c r="AZ78" s="484"/>
      <c r="BA78" s="671"/>
      <c r="BB78" s="1239"/>
      <c r="BC78" s="169"/>
      <c r="BD78" s="1330"/>
      <c r="BE78" s="1329"/>
      <c r="BF78" s="1330"/>
      <c r="BG78" s="1329"/>
    </row>
    <row r="79" spans="1:59" ht="15.75" customHeight="1">
      <c r="A79" s="1239"/>
      <c r="B79" s="173"/>
      <c r="C79" s="446"/>
      <c r="D79" s="173"/>
      <c r="E79" s="447"/>
      <c r="F79" s="447"/>
      <c r="G79" s="484">
        <v>50.8</v>
      </c>
      <c r="H79" s="638"/>
      <c r="I79" s="638"/>
      <c r="J79" s="446"/>
      <c r="K79" s="638"/>
      <c r="L79" s="638"/>
      <c r="M79" s="638"/>
      <c r="N79" s="1239"/>
      <c r="O79" s="1239"/>
      <c r="P79" s="1239"/>
      <c r="Q79" s="638"/>
      <c r="R79" s="638"/>
      <c r="S79" s="484"/>
      <c r="T79" s="638"/>
      <c r="U79" s="638"/>
      <c r="V79" s="638"/>
      <c r="W79" s="638"/>
      <c r="X79" s="638"/>
      <c r="Y79" s="638"/>
      <c r="Z79" s="638"/>
      <c r="AA79" s="638"/>
      <c r="AB79" s="638"/>
      <c r="AC79" s="638"/>
      <c r="AD79" s="638"/>
      <c r="AE79" s="638"/>
      <c r="AF79" s="638"/>
      <c r="AG79" s="446"/>
      <c r="AH79" s="638"/>
      <c r="AI79" s="638"/>
      <c r="AJ79" s="638"/>
      <c r="AK79" s="638"/>
      <c r="AL79" s="638"/>
      <c r="AM79" s="638"/>
      <c r="AN79" s="455"/>
      <c r="AO79" s="1239"/>
      <c r="AP79" s="1239"/>
      <c r="AQ79" s="484">
        <f>+FL_1($T$80,$U$78,$G$79,1200,9.28, 1*$F$80)</f>
        <v>0.33965600937532803</v>
      </c>
      <c r="AR79" s="484"/>
      <c r="AS79" s="484"/>
      <c r="AT79" s="484"/>
      <c r="AU79" s="638"/>
      <c r="AV79" s="638"/>
      <c r="AW79" s="638"/>
      <c r="AX79" s="638"/>
      <c r="AY79" s="484"/>
      <c r="AZ79" s="484"/>
      <c r="BA79" s="671"/>
      <c r="BB79" s="1239"/>
      <c r="BC79" s="169"/>
      <c r="BD79" s="1330"/>
      <c r="BE79" s="1330"/>
      <c r="BF79" s="1330"/>
      <c r="BG79" s="1330"/>
    </row>
    <row r="80" spans="1:59" ht="15.75" customHeight="1">
      <c r="A80" s="1239" t="s">
        <v>3920</v>
      </c>
      <c r="B80" s="435" t="s">
        <v>3907</v>
      </c>
      <c r="C80" s="446">
        <f>+$C$78+$G$79</f>
        <v>84509.609999999986</v>
      </c>
      <c r="D80" s="173"/>
      <c r="E80" s="447"/>
      <c r="F80" s="447">
        <v>0</v>
      </c>
      <c r="G80" s="484"/>
      <c r="H80" s="638" t="s">
        <v>619</v>
      </c>
      <c r="I80" s="638" t="s">
        <v>1429</v>
      </c>
      <c r="J80" s="446"/>
      <c r="K80" s="638"/>
      <c r="L80" s="638"/>
      <c r="M80" s="638"/>
      <c r="N80" s="1239" t="s">
        <v>844</v>
      </c>
      <c r="O80" s="1239" t="s">
        <v>845</v>
      </c>
      <c r="P80" s="1239"/>
      <c r="Q80" s="638"/>
      <c r="R80" s="638"/>
      <c r="S80" s="484"/>
      <c r="T80" s="638">
        <v>30</v>
      </c>
      <c r="U80" s="638">
        <v>-15</v>
      </c>
      <c r="V80" s="638"/>
      <c r="W80" s="638">
        <v>1</v>
      </c>
      <c r="X80" s="638">
        <v>1.4</v>
      </c>
      <c r="Y80" s="638"/>
      <c r="Z80" s="638"/>
      <c r="AA80" s="638">
        <v>0.3</v>
      </c>
      <c r="AB80" s="638"/>
      <c r="AC80" s="638" t="str">
        <f>IF(OR(AT80&gt;8,AT80&lt;-8),"PH",IF(OR(AT80&gt;5,AT80&lt;-5),"PH-Q",IF(OR(AT80&gt;1,AT80&lt;-1),"PH-C")))</f>
        <v>PH-Q</v>
      </c>
      <c r="AD80" s="638"/>
      <c r="AE80" s="638"/>
      <c r="AF80" s="638"/>
      <c r="AG80" s="446"/>
      <c r="AH80" s="638"/>
      <c r="AI80" s="638"/>
      <c r="AJ80" s="638" t="s">
        <v>2154</v>
      </c>
      <c r="AK80" s="638" t="s">
        <v>228</v>
      </c>
      <c r="AL80" s="638"/>
      <c r="AM80" s="638"/>
      <c r="AN80" s="455">
        <v>5.32</v>
      </c>
      <c r="AO80" s="1239"/>
      <c r="AP80" s="1239"/>
      <c r="AQ80" s="484"/>
      <c r="AR80" s="484"/>
      <c r="AS80" s="484"/>
      <c r="AT80" s="484">
        <f>+ab($T$80,$U$78,$U$82,$G$79,$G$81, 1*$F$80,1200)</f>
        <v>7.6876851640708281</v>
      </c>
      <c r="AU80" s="638"/>
      <c r="AV80" s="638"/>
      <c r="AW80" s="638"/>
      <c r="AX80" s="638"/>
      <c r="AY80" s="484"/>
      <c r="AZ80" s="484"/>
      <c r="BA80" s="671"/>
      <c r="BB80" s="1239"/>
      <c r="BC80" s="169"/>
      <c r="BD80" s="1330"/>
      <c r="BE80" s="1329"/>
      <c r="BF80" s="1330"/>
      <c r="BG80" s="1329"/>
    </row>
    <row r="81" spans="1:59" ht="15.75" customHeight="1">
      <c r="A81" s="1239"/>
      <c r="B81" s="173"/>
      <c r="C81" s="446"/>
      <c r="D81" s="173"/>
      <c r="E81" s="447"/>
      <c r="F81" s="447"/>
      <c r="G81" s="484">
        <v>50</v>
      </c>
      <c r="H81" s="1239"/>
      <c r="I81" s="1239"/>
      <c r="J81" s="171"/>
      <c r="K81" s="638"/>
      <c r="L81" s="638"/>
      <c r="M81" s="638"/>
      <c r="N81" s="1239"/>
      <c r="O81" s="1239"/>
      <c r="P81" s="1239"/>
      <c r="Q81" s="638"/>
      <c r="R81" s="638"/>
      <c r="S81" s="484"/>
      <c r="T81" s="638"/>
      <c r="U81" s="638"/>
      <c r="V81" s="638"/>
      <c r="W81" s="638"/>
      <c r="X81" s="638"/>
      <c r="Y81" s="638"/>
      <c r="Z81" s="638"/>
      <c r="AA81" s="638"/>
      <c r="AB81" s="638"/>
      <c r="AC81" s="638"/>
      <c r="AD81" s="638"/>
      <c r="AE81" s="638"/>
      <c r="AF81" s="638"/>
      <c r="AG81" s="446"/>
      <c r="AH81" s="638"/>
      <c r="AI81" s="638"/>
      <c r="AJ81" s="638"/>
      <c r="AK81" s="638"/>
      <c r="AL81" s="638"/>
      <c r="AM81" s="638"/>
      <c r="AN81" s="455"/>
      <c r="AO81" s="1239"/>
      <c r="AP81" s="1239"/>
      <c r="AQ81" s="484">
        <f>+FL_1($U$82,$T$80,$G$81,1200,9.28, 1*$F$82)</f>
        <v>0.32593390799999999</v>
      </c>
      <c r="AR81" s="484"/>
      <c r="AS81" s="484"/>
      <c r="AT81" s="484"/>
      <c r="AU81" s="638"/>
      <c r="AV81" s="638"/>
      <c r="AW81" s="638"/>
      <c r="AX81" s="638"/>
      <c r="AY81" s="484"/>
      <c r="AZ81" s="484"/>
      <c r="BA81" s="671"/>
      <c r="BB81" s="1239"/>
      <c r="BC81" s="169"/>
      <c r="BD81" s="1330"/>
      <c r="BE81" s="1330"/>
      <c r="BF81" s="1330"/>
      <c r="BG81" s="1330"/>
    </row>
    <row r="82" spans="1:59" ht="15.75" customHeight="1">
      <c r="A82" s="1239"/>
      <c r="B82" s="435" t="s">
        <v>3908</v>
      </c>
      <c r="C82" s="446">
        <f>+$C$80+$G$81</f>
        <v>84559.609999999986</v>
      </c>
      <c r="D82" s="173"/>
      <c r="E82" s="447"/>
      <c r="F82" s="447">
        <v>0</v>
      </c>
      <c r="G82" s="484"/>
      <c r="H82" s="1239" t="s">
        <v>2551</v>
      </c>
      <c r="I82" s="1239"/>
      <c r="J82" s="171"/>
      <c r="K82" s="638"/>
      <c r="L82" s="638"/>
      <c r="M82" s="638"/>
      <c r="N82" s="1239" t="s">
        <v>845</v>
      </c>
      <c r="O82" s="1239" t="s">
        <v>843</v>
      </c>
      <c r="P82" s="1239" t="s">
        <v>845</v>
      </c>
      <c r="Q82" s="638"/>
      <c r="R82" s="638"/>
      <c r="S82" s="484"/>
      <c r="T82" s="638">
        <v>60</v>
      </c>
      <c r="U82" s="638">
        <v>-35</v>
      </c>
      <c r="V82" s="638">
        <v>45</v>
      </c>
      <c r="W82" s="638">
        <v>1.4</v>
      </c>
      <c r="X82" s="638">
        <v>2</v>
      </c>
      <c r="Y82" s="638">
        <v>1.8</v>
      </c>
      <c r="Z82" s="638">
        <v>0.6</v>
      </c>
      <c r="AA82" s="638"/>
      <c r="AB82" s="638">
        <v>0.5</v>
      </c>
      <c r="AC82" s="638"/>
      <c r="AD82" s="638"/>
      <c r="AE82" s="638"/>
      <c r="AF82" s="638"/>
      <c r="AG82" s="446"/>
      <c r="AH82" s="638"/>
      <c r="AI82" s="638"/>
      <c r="AJ82" s="638"/>
      <c r="AK82" s="638" t="s">
        <v>3133</v>
      </c>
      <c r="AL82" s="638"/>
      <c r="AM82" s="638"/>
      <c r="AN82" s="455">
        <v>5.42</v>
      </c>
      <c r="AO82" s="1239"/>
      <c r="AP82" s="1239"/>
      <c r="AQ82" s="484"/>
      <c r="AR82" s="484"/>
      <c r="AS82" s="484"/>
      <c r="AT82" s="484">
        <f>+ab($U$82,$T$80,$T$84,$G$81,$G$83, 1*$F$82,1200)</f>
        <v>-14.446874534928973</v>
      </c>
      <c r="AU82" s="638"/>
      <c r="AV82" s="638"/>
      <c r="AW82" s="638"/>
      <c r="AX82" s="638"/>
      <c r="AY82" s="484"/>
      <c r="AZ82" s="484"/>
      <c r="BA82" s="671"/>
      <c r="BB82" s="1239"/>
      <c r="BC82" s="169"/>
      <c r="BD82" s="1330"/>
      <c r="BE82" s="1329"/>
      <c r="BF82" s="1330"/>
      <c r="BG82" s="1329"/>
    </row>
    <row r="83" spans="1:59" ht="15.75" customHeight="1">
      <c r="A83" s="1239"/>
      <c r="B83" s="173"/>
      <c r="C83" s="446"/>
      <c r="D83" s="173"/>
      <c r="E83" s="447"/>
      <c r="F83" s="447"/>
      <c r="G83" s="484">
        <v>52.5</v>
      </c>
      <c r="H83" s="1239"/>
      <c r="I83" s="1239"/>
      <c r="J83" s="171"/>
      <c r="K83" s="638"/>
      <c r="L83" s="638"/>
      <c r="M83" s="638"/>
      <c r="N83" s="638"/>
      <c r="O83" s="1239"/>
      <c r="P83" s="1239"/>
      <c r="Q83" s="638"/>
      <c r="R83" s="638"/>
      <c r="S83" s="484"/>
      <c r="T83" s="638"/>
      <c r="U83" s="638"/>
      <c r="V83" s="638"/>
      <c r="W83" s="638"/>
      <c r="X83" s="638"/>
      <c r="Y83" s="638"/>
      <c r="Z83" s="638"/>
      <c r="AA83" s="638"/>
      <c r="AB83" s="638"/>
      <c r="AC83" s="638"/>
      <c r="AD83" s="638"/>
      <c r="AE83" s="638"/>
      <c r="AF83" s="638"/>
      <c r="AG83" s="446"/>
      <c r="AH83" s="638"/>
      <c r="AI83" s="638"/>
      <c r="AJ83" s="638"/>
      <c r="AK83" s="638"/>
      <c r="AL83" s="638"/>
      <c r="AM83" s="638"/>
      <c r="AN83" s="455"/>
      <c r="AO83" s="1239"/>
      <c r="AP83" s="1239"/>
      <c r="AQ83" s="484">
        <f>+FL_1($T$84,$U$82,$G$83,1200,9.28, 1*$F$84)</f>
        <v>-8.3562499999999998E-2</v>
      </c>
      <c r="AR83" s="484"/>
      <c r="AS83" s="484"/>
      <c r="AT83" s="484"/>
      <c r="AU83" s="638"/>
      <c r="AV83" s="638"/>
      <c r="AW83" s="638"/>
      <c r="AX83" s="638"/>
      <c r="AY83" s="484"/>
      <c r="AZ83" s="484"/>
      <c r="BA83" s="671"/>
      <c r="BB83" s="1239"/>
      <c r="BC83" s="169"/>
      <c r="BD83" s="1330"/>
      <c r="BE83" s="1330"/>
      <c r="BF83" s="1330"/>
      <c r="BG83" s="1330"/>
    </row>
    <row r="84" spans="1:59" ht="15.75" customHeight="1">
      <c r="A84" s="1239"/>
      <c r="B84" s="435" t="s">
        <v>3909</v>
      </c>
      <c r="C84" s="446">
        <f>+$C$82+$G$83</f>
        <v>84612.109999999986</v>
      </c>
      <c r="D84" s="173"/>
      <c r="E84" s="447"/>
      <c r="F84" s="447">
        <v>0</v>
      </c>
      <c r="G84" s="484"/>
      <c r="H84" s="1239" t="s">
        <v>2505</v>
      </c>
      <c r="I84" s="1239"/>
      <c r="J84" s="171"/>
      <c r="K84" s="638"/>
      <c r="L84" s="638"/>
      <c r="M84" s="638"/>
      <c r="N84" s="1239" t="s">
        <v>843</v>
      </c>
      <c r="O84" s="1239" t="s">
        <v>844</v>
      </c>
      <c r="P84" s="1239"/>
      <c r="Q84" s="638"/>
      <c r="R84" s="638"/>
      <c r="S84" s="484"/>
      <c r="T84" s="638">
        <v>-35</v>
      </c>
      <c r="U84" s="638">
        <v>-20</v>
      </c>
      <c r="V84" s="638"/>
      <c r="W84" s="638">
        <v>2</v>
      </c>
      <c r="X84" s="638">
        <v>1.4</v>
      </c>
      <c r="Y84" s="638"/>
      <c r="Z84" s="638"/>
      <c r="AA84" s="638"/>
      <c r="AB84" s="638"/>
      <c r="AC84" s="638" t="s">
        <v>1428</v>
      </c>
      <c r="AD84" s="638" t="s">
        <v>2773</v>
      </c>
      <c r="AE84" s="638"/>
      <c r="AF84" s="638"/>
      <c r="AG84" s="446"/>
      <c r="AH84" s="638"/>
      <c r="AI84" s="638"/>
      <c r="AJ84" s="638"/>
      <c r="AK84" s="638" t="s">
        <v>228</v>
      </c>
      <c r="AL84" s="638"/>
      <c r="AM84" s="638"/>
      <c r="AN84" s="455">
        <v>5.5</v>
      </c>
      <c r="AO84" s="1239"/>
      <c r="AP84" s="1239"/>
      <c r="AQ84" s="484"/>
      <c r="AR84" s="484"/>
      <c r="AS84" s="484"/>
      <c r="AT84" s="484">
        <f>+ab($T$84,$U$82,$U$86,$G$83,$G$85, 1*$F$84,1200)</f>
        <v>-12.93411864334513</v>
      </c>
      <c r="AU84" s="638"/>
      <c r="AV84" s="638"/>
      <c r="AW84" s="638"/>
      <c r="AX84" s="638"/>
      <c r="AY84" s="484"/>
      <c r="AZ84" s="484"/>
      <c r="BA84" s="671"/>
      <c r="BB84" s="1239"/>
      <c r="BC84" s="169"/>
      <c r="BD84" s="1330"/>
      <c r="BE84" s="1329"/>
      <c r="BF84" s="1330"/>
      <c r="BG84" s="1329"/>
    </row>
    <row r="85" spans="1:59" ht="15.75" customHeight="1">
      <c r="A85" s="1239"/>
      <c r="B85" s="173"/>
      <c r="C85" s="446"/>
      <c r="D85" s="173"/>
      <c r="E85" s="447"/>
      <c r="F85" s="447"/>
      <c r="G85" s="484">
        <v>48</v>
      </c>
      <c r="H85" s="1239"/>
      <c r="I85" s="1239"/>
      <c r="J85" s="171"/>
      <c r="K85" s="638"/>
      <c r="L85" s="638"/>
      <c r="M85" s="638"/>
      <c r="N85" s="638"/>
      <c r="O85" s="1239"/>
      <c r="P85" s="1239"/>
      <c r="Q85" s="638"/>
      <c r="R85" s="638"/>
      <c r="S85" s="484"/>
      <c r="T85" s="638"/>
      <c r="U85" s="638"/>
      <c r="V85" s="638"/>
      <c r="W85" s="638"/>
      <c r="X85" s="638"/>
      <c r="Y85" s="638"/>
      <c r="Z85" s="638"/>
      <c r="AA85" s="638"/>
      <c r="AB85" s="638"/>
      <c r="AC85" s="638"/>
      <c r="AD85" s="638"/>
      <c r="AE85" s="638"/>
      <c r="AF85" s="638"/>
      <c r="AG85" s="446"/>
      <c r="AH85" s="638"/>
      <c r="AI85" s="638"/>
      <c r="AJ85" s="638"/>
      <c r="AK85" s="638"/>
      <c r="AL85" s="638"/>
      <c r="AM85" s="638"/>
      <c r="AN85" s="455"/>
      <c r="AO85" s="1239"/>
      <c r="AP85" s="1239"/>
      <c r="AQ85" s="484">
        <f>+FL_2($U$86,$T$84,$G$85,1200,9.28, 1*$F$86)</f>
        <v>-0.36022448800000006</v>
      </c>
      <c r="AR85" s="484"/>
      <c r="AS85" s="484"/>
      <c r="AT85" s="484"/>
      <c r="AU85" s="638"/>
      <c r="AV85" s="638"/>
      <c r="AW85" s="638"/>
      <c r="AX85" s="638"/>
      <c r="AY85" s="484"/>
      <c r="AZ85" s="484"/>
      <c r="BA85" s="671"/>
      <c r="BB85" s="1239"/>
      <c r="BC85" s="169"/>
      <c r="BD85" s="1330"/>
      <c r="BE85" s="1330"/>
      <c r="BF85" s="1330"/>
      <c r="BG85" s="1330"/>
    </row>
    <row r="86" spans="1:59" ht="15.75" customHeight="1">
      <c r="A86" s="1239"/>
      <c r="B86" s="435" t="s">
        <v>3910</v>
      </c>
      <c r="C86" s="446">
        <f>+$C$84+$G$85</f>
        <v>84660.109999999986</v>
      </c>
      <c r="D86" s="173"/>
      <c r="E86" s="447"/>
      <c r="F86" s="447">
        <v>0</v>
      </c>
      <c r="G86" s="484"/>
      <c r="H86" s="1239" t="s">
        <v>2505</v>
      </c>
      <c r="I86" s="1239"/>
      <c r="J86" s="171"/>
      <c r="K86" s="638"/>
      <c r="L86" s="638"/>
      <c r="M86" s="638"/>
      <c r="N86" s="1239" t="s">
        <v>843</v>
      </c>
      <c r="O86" s="1239" t="s">
        <v>844</v>
      </c>
      <c r="P86" s="1239"/>
      <c r="Q86" s="638"/>
      <c r="R86" s="638"/>
      <c r="S86" s="484"/>
      <c r="T86" s="638">
        <v>20</v>
      </c>
      <c r="U86" s="638">
        <v>35</v>
      </c>
      <c r="V86" s="638"/>
      <c r="W86" s="638">
        <v>1.8</v>
      </c>
      <c r="X86" s="638">
        <v>1.6</v>
      </c>
      <c r="Y86" s="638"/>
      <c r="Z86" s="638"/>
      <c r="AA86" s="638"/>
      <c r="AB86" s="638"/>
      <c r="AC86" s="638" t="s">
        <v>1428</v>
      </c>
      <c r="AD86" s="638" t="s">
        <v>2773</v>
      </c>
      <c r="AE86" s="638"/>
      <c r="AF86" s="638"/>
      <c r="AG86" s="446"/>
      <c r="AH86" s="638"/>
      <c r="AI86" s="638"/>
      <c r="AJ86" s="638" t="s">
        <v>864</v>
      </c>
      <c r="AK86" s="638" t="s">
        <v>228</v>
      </c>
      <c r="AL86" s="638"/>
      <c r="AM86" s="638"/>
      <c r="AN86" s="455">
        <v>5.5</v>
      </c>
      <c r="AO86" s="1239"/>
      <c r="AP86" s="1239"/>
      <c r="AQ86" s="484"/>
      <c r="AR86" s="484"/>
      <c r="AS86" s="484"/>
      <c r="AT86" s="484">
        <f>+ab($U$86,$T$84,$U$88,$G$85,$G$87, 1*$F$86,1200)</f>
        <v>12.934032506548364</v>
      </c>
      <c r="AU86" s="638"/>
      <c r="AV86" s="638"/>
      <c r="AW86" s="638"/>
      <c r="AX86" s="638"/>
      <c r="AY86" s="484"/>
      <c r="AZ86" s="484"/>
      <c r="BA86" s="671"/>
      <c r="BB86" s="1239"/>
      <c r="BC86" s="169"/>
      <c r="BD86" s="1330"/>
      <c r="BE86" s="1329"/>
      <c r="BF86" s="1330"/>
      <c r="BG86" s="1329"/>
    </row>
    <row r="87" spans="1:59" ht="15.75" customHeight="1">
      <c r="A87" s="1239" t="s">
        <v>1852</v>
      </c>
      <c r="B87" s="173"/>
      <c r="C87" s="446"/>
      <c r="D87" s="173"/>
      <c r="E87" s="447"/>
      <c r="F87" s="447"/>
      <c r="G87" s="484">
        <v>52.5</v>
      </c>
      <c r="H87" s="1239"/>
      <c r="I87" s="1239"/>
      <c r="J87" s="171"/>
      <c r="K87" s="638"/>
      <c r="L87" s="638"/>
      <c r="M87" s="638"/>
      <c r="N87" s="1239"/>
      <c r="O87" s="1239"/>
      <c r="P87" s="1239"/>
      <c r="Q87" s="638"/>
      <c r="R87" s="638"/>
      <c r="S87" s="484"/>
      <c r="T87" s="638"/>
      <c r="U87" s="638"/>
      <c r="V87" s="638"/>
      <c r="W87" s="638"/>
      <c r="X87" s="638"/>
      <c r="Y87" s="638"/>
      <c r="Z87" s="638"/>
      <c r="AA87" s="638"/>
      <c r="AB87" s="638"/>
      <c r="AC87" s="638"/>
      <c r="AD87" s="638"/>
      <c r="AE87" s="638"/>
      <c r="AF87" s="638"/>
      <c r="AG87" s="446"/>
      <c r="AH87" s="638"/>
      <c r="AI87" s="638"/>
      <c r="AJ87" s="638"/>
      <c r="AK87" s="638"/>
      <c r="AL87" s="638"/>
      <c r="AM87" s="638"/>
      <c r="AN87" s="455"/>
      <c r="AO87" s="1239"/>
      <c r="AP87" s="1239"/>
      <c r="AQ87" s="484">
        <f>+FL_1($U$88,$U$86,$G$87,1200,9.28, 1*$F$88)</f>
        <v>0.61643749999999997</v>
      </c>
      <c r="AR87" s="484"/>
      <c r="AS87" s="484"/>
      <c r="AT87" s="484"/>
      <c r="AU87" s="638"/>
      <c r="AV87" s="638"/>
      <c r="AW87" s="638"/>
      <c r="AX87" s="638"/>
      <c r="AY87" s="484"/>
      <c r="AZ87" s="484"/>
      <c r="BA87" s="671"/>
      <c r="BB87" s="1239"/>
      <c r="BC87" s="169"/>
      <c r="BD87" s="1330"/>
      <c r="BE87" s="1330"/>
      <c r="BF87" s="1330"/>
      <c r="BG87" s="1330"/>
    </row>
    <row r="88" spans="1:59" ht="15.75" customHeight="1">
      <c r="A88" s="1239"/>
      <c r="B88" s="435" t="s">
        <v>3911</v>
      </c>
      <c r="C88" s="446">
        <f>+$C$86+$G$87</f>
        <v>84712.609999999986</v>
      </c>
      <c r="D88" s="173"/>
      <c r="E88" s="447"/>
      <c r="F88" s="447">
        <v>0</v>
      </c>
      <c r="G88" s="484"/>
      <c r="H88" s="1239" t="s">
        <v>3134</v>
      </c>
      <c r="I88" s="1239"/>
      <c r="J88" s="171"/>
      <c r="K88" s="638"/>
      <c r="L88" s="638"/>
      <c r="M88" s="638"/>
      <c r="N88" s="1239" t="s">
        <v>845</v>
      </c>
      <c r="O88" s="1239" t="s">
        <v>844</v>
      </c>
      <c r="P88" s="1239" t="s">
        <v>843</v>
      </c>
      <c r="Q88" s="638"/>
      <c r="R88" s="638"/>
      <c r="S88" s="484"/>
      <c r="T88" s="638">
        <v>50</v>
      </c>
      <c r="U88" s="638">
        <v>35</v>
      </c>
      <c r="V88" s="638">
        <v>20</v>
      </c>
      <c r="W88" s="638">
        <v>1.4</v>
      </c>
      <c r="X88" s="638">
        <v>1.8</v>
      </c>
      <c r="Y88" s="638">
        <v>2</v>
      </c>
      <c r="Z88" s="638">
        <v>0.6</v>
      </c>
      <c r="AA88" s="638"/>
      <c r="AB88" s="638"/>
      <c r="AC88" s="638"/>
      <c r="AD88" s="638"/>
      <c r="AE88" s="638"/>
      <c r="AF88" s="638"/>
      <c r="AG88" s="446"/>
      <c r="AH88" s="638"/>
      <c r="AI88" s="638"/>
      <c r="AJ88" s="638" t="s">
        <v>864</v>
      </c>
      <c r="AK88" s="638" t="s">
        <v>3133</v>
      </c>
      <c r="AL88" s="638"/>
      <c r="AM88" s="638"/>
      <c r="AN88" s="455">
        <v>5.5</v>
      </c>
      <c r="AO88" s="1239"/>
      <c r="AP88" s="1239"/>
      <c r="AQ88" s="484"/>
      <c r="AR88" s="484"/>
      <c r="AS88" s="484"/>
      <c r="AT88" s="484">
        <f>+ab($U$88,$U$86,-$U$90,$G$87,$G$89, 1*$F$88,1200)</f>
        <v>11.277050338457494</v>
      </c>
      <c r="AU88" s="638"/>
      <c r="AV88" s="638"/>
      <c r="AW88" s="638"/>
      <c r="AX88" s="638"/>
      <c r="AY88" s="484"/>
      <c r="AZ88" s="484"/>
      <c r="BA88" s="671"/>
      <c r="BB88" s="1239"/>
      <c r="BC88" s="169"/>
      <c r="BD88" s="1330"/>
      <c r="BE88" s="1329"/>
      <c r="BF88" s="1330"/>
      <c r="BG88" s="1329"/>
    </row>
    <row r="89" spans="1:59" ht="15.75" customHeight="1">
      <c r="A89" s="1239"/>
      <c r="B89" s="173"/>
      <c r="C89" s="446"/>
      <c r="D89" s="173"/>
      <c r="E89" s="447"/>
      <c r="F89" s="447"/>
      <c r="G89" s="484">
        <v>38.700000000000003</v>
      </c>
      <c r="H89" s="1239"/>
      <c r="I89" s="448"/>
      <c r="J89" s="171"/>
      <c r="K89" s="638"/>
      <c r="L89" s="638"/>
      <c r="M89" s="638"/>
      <c r="N89" s="1239"/>
      <c r="O89" s="1239"/>
      <c r="P89" s="1239"/>
      <c r="Q89" s="638"/>
      <c r="R89" s="638"/>
      <c r="S89" s="484"/>
      <c r="T89" s="638"/>
      <c r="U89" s="638"/>
      <c r="V89" s="638"/>
      <c r="W89" s="638"/>
      <c r="X89" s="638"/>
      <c r="Y89" s="638"/>
      <c r="Z89" s="638"/>
      <c r="AA89" s="638"/>
      <c r="AB89" s="638"/>
      <c r="AC89" s="638"/>
      <c r="AD89" s="638"/>
      <c r="AE89" s="638"/>
      <c r="AF89" s="638"/>
      <c r="AG89" s="446"/>
      <c r="AH89" s="638"/>
      <c r="AI89" s="638"/>
      <c r="AJ89" s="638"/>
      <c r="AK89" s="638"/>
      <c r="AL89" s="638"/>
      <c r="AM89" s="638"/>
      <c r="AN89" s="455"/>
      <c r="AO89" s="1239"/>
      <c r="AP89" s="1239"/>
      <c r="AQ89" s="484">
        <f>+FL_1(-$U$90,$U$88,$G$89,1200,9.28, 1*$F$90)</f>
        <v>0.35000000000000159</v>
      </c>
      <c r="AR89" s="484"/>
      <c r="AS89" s="484"/>
      <c r="AT89" s="484"/>
      <c r="AU89" s="638"/>
      <c r="AV89" s="638"/>
      <c r="AW89" s="638"/>
      <c r="AX89" s="638"/>
      <c r="AY89" s="484"/>
      <c r="AZ89" s="484"/>
      <c r="BA89" s="671"/>
      <c r="BB89" s="1239"/>
      <c r="BC89" s="169"/>
      <c r="BD89" s="1330"/>
      <c r="BE89" s="1330"/>
      <c r="BF89" s="1330"/>
      <c r="BG89" s="1330"/>
    </row>
    <row r="90" spans="1:59" ht="15.75" customHeight="1">
      <c r="A90" s="1239"/>
      <c r="B90" s="435" t="s">
        <v>3912</v>
      </c>
      <c r="C90" s="446">
        <f>+$C$88+$G$89</f>
        <v>84751.309999999983</v>
      </c>
      <c r="D90" s="173"/>
      <c r="E90" s="447"/>
      <c r="F90" s="447">
        <v>0</v>
      </c>
      <c r="G90" s="484"/>
      <c r="H90" s="1239" t="s">
        <v>2551</v>
      </c>
      <c r="I90" s="1239"/>
      <c r="J90" s="171"/>
      <c r="K90" s="638"/>
      <c r="L90" s="638"/>
      <c r="M90" s="638"/>
      <c r="N90" s="1239" t="s">
        <v>845</v>
      </c>
      <c r="O90" s="1239" t="s">
        <v>144</v>
      </c>
      <c r="P90" s="1239" t="s">
        <v>845</v>
      </c>
      <c r="Q90" s="638"/>
      <c r="R90" s="638"/>
      <c r="S90" s="484"/>
      <c r="T90" s="638">
        <v>15</v>
      </c>
      <c r="U90" s="638">
        <v>30</v>
      </c>
      <c r="V90" s="638">
        <v>45</v>
      </c>
      <c r="W90" s="638">
        <v>1.8</v>
      </c>
      <c r="X90" s="638">
        <v>1.6</v>
      </c>
      <c r="Y90" s="638">
        <v>1.4</v>
      </c>
      <c r="Z90" s="638">
        <v>0.4</v>
      </c>
      <c r="AA90" s="638"/>
      <c r="AB90" s="638">
        <v>0.4</v>
      </c>
      <c r="AC90" s="638"/>
      <c r="AD90" s="638"/>
      <c r="AE90" s="638"/>
      <c r="AF90" s="638"/>
      <c r="AG90" s="446"/>
      <c r="AH90" s="638"/>
      <c r="AI90" s="638"/>
      <c r="AJ90" s="638"/>
      <c r="AK90" s="638" t="s">
        <v>3133</v>
      </c>
      <c r="AL90" s="638"/>
      <c r="AM90" s="638"/>
      <c r="AN90" s="455">
        <v>5.5</v>
      </c>
      <c r="AO90" s="1239"/>
      <c r="AP90" s="1239"/>
      <c r="AQ90" s="484"/>
      <c r="AR90" s="484"/>
      <c r="AS90" s="484"/>
      <c r="AT90" s="484">
        <f>+ab(-$T$90,$T$88,$T$92,$G$89,$G$91, 1*$F$90,1200)</f>
        <v>-7.3850856695859033</v>
      </c>
      <c r="AU90" s="638"/>
      <c r="AV90" s="638"/>
      <c r="AW90" s="638"/>
      <c r="AX90" s="638"/>
      <c r="AY90" s="484"/>
      <c r="AZ90" s="484"/>
      <c r="BA90" s="671"/>
      <c r="BB90" s="1239"/>
      <c r="BC90" s="169"/>
      <c r="BD90" s="1330"/>
      <c r="BE90" s="1329"/>
      <c r="BF90" s="1330"/>
      <c r="BG90" s="1329"/>
    </row>
    <row r="91" spans="1:59" ht="15.75" customHeight="1">
      <c r="A91" s="1239"/>
      <c r="B91" s="173"/>
      <c r="C91" s="446"/>
      <c r="D91" s="173"/>
      <c r="E91" s="447"/>
      <c r="F91" s="447"/>
      <c r="G91" s="484">
        <v>38.700000000000003</v>
      </c>
      <c r="H91" s="1239"/>
      <c r="I91" s="1239"/>
      <c r="J91" s="171"/>
      <c r="K91" s="638"/>
      <c r="L91" s="638"/>
      <c r="M91" s="638"/>
      <c r="N91" s="1239"/>
      <c r="O91" s="1239"/>
      <c r="P91" s="1239"/>
      <c r="Q91" s="638"/>
      <c r="R91" s="638"/>
      <c r="S91" s="484"/>
      <c r="T91" s="638"/>
      <c r="U91" s="638"/>
      <c r="V91" s="638"/>
      <c r="W91" s="638"/>
      <c r="X91" s="638"/>
      <c r="Y91" s="638"/>
      <c r="Z91" s="638"/>
      <c r="AA91" s="638"/>
      <c r="AB91" s="638"/>
      <c r="AC91" s="638"/>
      <c r="AD91" s="638"/>
      <c r="AE91" s="638"/>
      <c r="AF91" s="638"/>
      <c r="AG91" s="446"/>
      <c r="AH91" s="638"/>
      <c r="AI91" s="638"/>
      <c r="AJ91" s="638"/>
      <c r="AK91" s="638"/>
      <c r="AL91" s="638"/>
      <c r="AM91" s="638"/>
      <c r="AN91" s="455"/>
      <c r="AO91" s="1239"/>
      <c r="AP91" s="1239"/>
      <c r="AQ91" s="484">
        <f>+FL_1($T$92,$T$90,$G$91,1200,9.28, 1*$F$92)</f>
        <v>0.3208559480723514</v>
      </c>
      <c r="AR91" s="484"/>
      <c r="AS91" s="484"/>
      <c r="AT91" s="484"/>
      <c r="AU91" s="638"/>
      <c r="AV91" s="638"/>
      <c r="AW91" s="638"/>
      <c r="AX91" s="638"/>
      <c r="AY91" s="484"/>
      <c r="AZ91" s="484"/>
      <c r="BA91" s="671"/>
      <c r="BB91" s="1239"/>
      <c r="BC91" s="169"/>
      <c r="BD91" s="1330"/>
      <c r="BE91" s="1330"/>
      <c r="BF91" s="1330"/>
      <c r="BG91" s="1330"/>
    </row>
    <row r="92" spans="1:59" ht="15.75" customHeight="1">
      <c r="A92" s="1239"/>
      <c r="B92" s="435" t="s">
        <v>3913</v>
      </c>
      <c r="C92" s="446">
        <f>+$C$90+$G$91</f>
        <v>84790.00999999998</v>
      </c>
      <c r="D92" s="173"/>
      <c r="E92" s="447"/>
      <c r="F92" s="447">
        <v>0</v>
      </c>
      <c r="G92" s="484"/>
      <c r="H92" s="1239" t="s">
        <v>2505</v>
      </c>
      <c r="I92" s="1239"/>
      <c r="J92" s="171"/>
      <c r="K92" s="638"/>
      <c r="L92" s="638"/>
      <c r="M92" s="638"/>
      <c r="N92" s="1239" t="s">
        <v>843</v>
      </c>
      <c r="O92" s="1239" t="s">
        <v>844</v>
      </c>
      <c r="P92" s="1239"/>
      <c r="Q92" s="638"/>
      <c r="R92" s="638"/>
      <c r="S92" s="484"/>
      <c r="T92" s="638">
        <v>20</v>
      </c>
      <c r="U92" s="638">
        <v>35</v>
      </c>
      <c r="V92" s="638"/>
      <c r="W92" s="638">
        <v>2</v>
      </c>
      <c r="X92" s="638">
        <v>1.4</v>
      </c>
      <c r="Y92" s="638"/>
      <c r="Z92" s="638"/>
      <c r="AA92" s="638"/>
      <c r="AB92" s="638"/>
      <c r="AC92" s="638" t="s">
        <v>1428</v>
      </c>
      <c r="AD92" s="638" t="s">
        <v>2773</v>
      </c>
      <c r="AE92" s="638"/>
      <c r="AF92" s="638"/>
      <c r="AG92" s="446"/>
      <c r="AH92" s="638"/>
      <c r="AI92" s="638"/>
      <c r="AJ92" s="638"/>
      <c r="AK92" s="638" t="s">
        <v>228</v>
      </c>
      <c r="AL92" s="638"/>
      <c r="AM92" s="638"/>
      <c r="AN92" s="455">
        <v>5.5</v>
      </c>
      <c r="AO92" s="1239"/>
      <c r="AP92" s="1239"/>
      <c r="AQ92" s="484"/>
      <c r="AR92" s="484"/>
      <c r="AS92" s="484"/>
      <c r="AT92" s="484">
        <f>+ab($T$92,$T$90,$T$94,$G$91,$G$93, 1*$F$92,1200)</f>
        <v>15.500399456977107</v>
      </c>
      <c r="AU92" s="638"/>
      <c r="AV92" s="638"/>
      <c r="AW92" s="638"/>
      <c r="AX92" s="638"/>
      <c r="AY92" s="484"/>
      <c r="AZ92" s="484"/>
      <c r="BA92" s="671"/>
      <c r="BB92" s="1239"/>
      <c r="BC92" s="169"/>
      <c r="BD92" s="1330"/>
      <c r="BE92" s="1329"/>
      <c r="BF92" s="1330"/>
      <c r="BG92" s="1329"/>
    </row>
    <row r="93" spans="1:59" ht="15.75" customHeight="1">
      <c r="A93" s="1239"/>
      <c r="B93" s="173"/>
      <c r="C93" s="446"/>
      <c r="D93" s="173"/>
      <c r="E93" s="447"/>
      <c r="F93" s="447"/>
      <c r="G93" s="484">
        <v>51</v>
      </c>
      <c r="H93" s="1239"/>
      <c r="I93" s="1239"/>
      <c r="J93" s="171"/>
      <c r="K93" s="638"/>
      <c r="L93" s="638"/>
      <c r="M93" s="638"/>
      <c r="N93" s="638"/>
      <c r="O93" s="1239"/>
      <c r="P93" s="1239"/>
      <c r="Q93" s="638"/>
      <c r="R93" s="638"/>
      <c r="S93" s="484"/>
      <c r="T93" s="638"/>
      <c r="U93" s="638"/>
      <c r="V93" s="638"/>
      <c r="W93" s="638"/>
      <c r="X93" s="638"/>
      <c r="Y93" s="638"/>
      <c r="Z93" s="638"/>
      <c r="AA93" s="638"/>
      <c r="AB93" s="638"/>
      <c r="AC93" s="638"/>
      <c r="AD93" s="638"/>
      <c r="AE93" s="638"/>
      <c r="AF93" s="638"/>
      <c r="AG93" s="446"/>
      <c r="AH93" s="638"/>
      <c r="AI93" s="638"/>
      <c r="AJ93" s="638" t="s">
        <v>864</v>
      </c>
      <c r="AK93" s="638"/>
      <c r="AL93" s="638"/>
      <c r="AM93" s="638"/>
      <c r="AN93" s="455"/>
      <c r="AO93" s="1239"/>
      <c r="AP93" s="1239"/>
      <c r="AQ93" s="484">
        <f>+FL_2($T$94,$T$92,$G$93,1200,9.28, 1*$F$94)</f>
        <v>-0.4016248764705882</v>
      </c>
      <c r="AR93" s="484"/>
      <c r="AS93" s="484"/>
      <c r="AT93" s="484"/>
      <c r="AU93" s="638"/>
      <c r="AV93" s="638"/>
      <c r="AW93" s="638"/>
      <c r="AX93" s="638"/>
      <c r="AY93" s="484"/>
      <c r="AZ93" s="484"/>
      <c r="BA93" s="671"/>
      <c r="BB93" s="1239"/>
      <c r="BC93" s="169"/>
      <c r="BD93" s="1330"/>
      <c r="BE93" s="1330"/>
      <c r="BF93" s="1330"/>
      <c r="BG93" s="1330"/>
    </row>
    <row r="94" spans="1:59" ht="15.75" customHeight="1">
      <c r="A94" s="1239"/>
      <c r="B94" s="435" t="s">
        <v>3914</v>
      </c>
      <c r="C94" s="446">
        <f>+$C$92+$G$93</f>
        <v>84841.00999999998</v>
      </c>
      <c r="D94" s="173"/>
      <c r="E94" s="447"/>
      <c r="F94" s="447">
        <v>0</v>
      </c>
      <c r="G94" s="484"/>
      <c r="H94" s="1239"/>
      <c r="I94" s="1239"/>
      <c r="J94" s="171"/>
      <c r="K94" s="638"/>
      <c r="L94" s="638"/>
      <c r="M94" s="638"/>
      <c r="N94" s="1239" t="s">
        <v>843</v>
      </c>
      <c r="O94" s="1239"/>
      <c r="P94" s="1239"/>
      <c r="Q94" s="638"/>
      <c r="R94" s="638"/>
      <c r="S94" s="484"/>
      <c r="T94" s="638">
        <v>-35</v>
      </c>
      <c r="U94" s="638"/>
      <c r="V94" s="638"/>
      <c r="W94" s="638">
        <v>1.4</v>
      </c>
      <c r="X94" s="638"/>
      <c r="Y94" s="638"/>
      <c r="Z94" s="638"/>
      <c r="AA94" s="638"/>
      <c r="AB94" s="638"/>
      <c r="AC94" s="638" t="str">
        <f>IF(OR(AT94&gt;8,AT94&lt;-8),"PH",IF(OR(AT94&gt;5,AT94&lt;-5),"PH-Q",IF(OR(AT94&gt;1,AT94&lt;-1),"PH-C")))</f>
        <v>PH-Q</v>
      </c>
      <c r="AD94" s="638"/>
      <c r="AE94" s="638"/>
      <c r="AF94" s="638"/>
      <c r="AG94" s="446"/>
      <c r="AH94" s="638"/>
      <c r="AI94" s="638"/>
      <c r="AJ94" s="638"/>
      <c r="AK94" s="638" t="s">
        <v>139</v>
      </c>
      <c r="AL94" s="638"/>
      <c r="AM94" s="638"/>
      <c r="AN94" s="455">
        <v>5.5</v>
      </c>
      <c r="AO94" s="1239"/>
      <c r="AP94" s="1239"/>
      <c r="AQ94" s="484"/>
      <c r="AR94" s="484"/>
      <c r="AS94" s="484"/>
      <c r="AT94" s="484">
        <f>+ab($T$94,$T$92,$T$96,$G$93,$G$95, 1*$F$94,1200)</f>
        <v>-6.7218484489278705</v>
      </c>
      <c r="AU94" s="638"/>
      <c r="AV94" s="638"/>
      <c r="AW94" s="638"/>
      <c r="AX94" s="638"/>
      <c r="AY94" s="484"/>
      <c r="AZ94" s="484"/>
      <c r="BA94" s="671"/>
      <c r="BB94" s="1239"/>
      <c r="BC94" s="169"/>
      <c r="BD94" s="1330"/>
      <c r="BE94" s="1329"/>
      <c r="BF94" s="1330"/>
      <c r="BG94" s="1329"/>
    </row>
    <row r="95" spans="1:59" ht="15.75" customHeight="1">
      <c r="A95" s="428"/>
      <c r="B95" s="727"/>
      <c r="C95" s="426"/>
      <c r="D95" s="727"/>
      <c r="E95" s="427"/>
      <c r="F95" s="427"/>
      <c r="G95" s="486">
        <v>39.700000000000003</v>
      </c>
      <c r="H95" s="428"/>
      <c r="I95" s="429"/>
      <c r="J95" s="430"/>
      <c r="K95" s="487"/>
      <c r="L95" s="487"/>
      <c r="M95" s="487"/>
      <c r="N95" s="428"/>
      <c r="O95" s="428"/>
      <c r="P95" s="428"/>
      <c r="Q95" s="487"/>
      <c r="R95" s="487"/>
      <c r="S95" s="486"/>
      <c r="T95" s="487"/>
      <c r="U95" s="487"/>
      <c r="V95" s="487"/>
      <c r="W95" s="487"/>
      <c r="X95" s="487"/>
      <c r="Y95" s="487"/>
      <c r="Z95" s="487"/>
      <c r="AA95" s="487"/>
      <c r="AB95" s="487"/>
      <c r="AC95" s="487"/>
      <c r="AD95" s="487"/>
      <c r="AE95" s="487"/>
      <c r="AF95" s="487"/>
      <c r="AG95" s="426"/>
      <c r="AH95" s="487"/>
      <c r="AI95" s="487"/>
      <c r="AJ95" s="487"/>
      <c r="AK95" s="487"/>
      <c r="AL95" s="487"/>
      <c r="AM95" s="487"/>
      <c r="AN95" s="456"/>
      <c r="AO95" s="428"/>
      <c r="AP95" s="428"/>
      <c r="AQ95" s="486">
        <f>+FL_2($T$96,$T$94,$G$95,1200,9.28, 1*$F$96)</f>
        <v>-0.35000000000000159</v>
      </c>
      <c r="AR95" s="486"/>
      <c r="AS95" s="486"/>
      <c r="AT95" s="486"/>
      <c r="AU95" s="487"/>
      <c r="AV95" s="487"/>
      <c r="AW95" s="487"/>
      <c r="AX95" s="487"/>
      <c r="AY95" s="486"/>
      <c r="AZ95" s="486"/>
      <c r="BA95" s="672"/>
      <c r="BB95" s="428"/>
      <c r="BC95" s="169"/>
      <c r="BD95" s="1330"/>
      <c r="BE95" s="1330"/>
      <c r="BF95" s="1330"/>
      <c r="BG95" s="1330"/>
    </row>
    <row r="96" spans="1:59" ht="15.75" customHeight="1">
      <c r="A96" s="428"/>
      <c r="B96" s="728" t="s">
        <v>3915</v>
      </c>
      <c r="C96" s="426">
        <f>+$C$94+$G$95</f>
        <v>84880.709999999977</v>
      </c>
      <c r="D96" s="727"/>
      <c r="E96" s="427"/>
      <c r="F96" s="427">
        <v>0</v>
      </c>
      <c r="G96" s="486"/>
      <c r="H96" s="428"/>
      <c r="I96" s="428" t="s">
        <v>1039</v>
      </c>
      <c r="J96" s="430"/>
      <c r="K96" s="487"/>
      <c r="L96" s="487"/>
      <c r="M96" s="487"/>
      <c r="N96" s="428" t="s">
        <v>844</v>
      </c>
      <c r="O96" s="428"/>
      <c r="P96" s="428"/>
      <c r="Q96" s="487"/>
      <c r="R96" s="487"/>
      <c r="S96" s="486"/>
      <c r="T96" s="487">
        <v>35</v>
      </c>
      <c r="U96" s="487"/>
      <c r="V96" s="487"/>
      <c r="W96" s="487">
        <v>1.4</v>
      </c>
      <c r="X96" s="487"/>
      <c r="Y96" s="487"/>
      <c r="Z96" s="487"/>
      <c r="AA96" s="487"/>
      <c r="AB96" s="487"/>
      <c r="AC96" s="487" t="str">
        <f>IF(OR(AT96&gt;8,AT96&lt;-8),"PH",IF(OR(AT96&gt;5,AT96&lt;-5),"PH-Q",IF(OR(AT96&gt;1,AT96&lt;-1),"PH-C")))</f>
        <v>PH</v>
      </c>
      <c r="AD96" s="487"/>
      <c r="AE96" s="487"/>
      <c r="AF96" s="487"/>
      <c r="AG96" s="426"/>
      <c r="AH96" s="487"/>
      <c r="AI96" s="487"/>
      <c r="AJ96" s="487"/>
      <c r="AK96" s="487" t="s">
        <v>139</v>
      </c>
      <c r="AL96" s="487"/>
      <c r="AM96" s="487"/>
      <c r="AN96" s="456">
        <v>5.5</v>
      </c>
      <c r="AO96" s="428"/>
      <c r="AP96" s="428"/>
      <c r="AQ96" s="486"/>
      <c r="AR96" s="486"/>
      <c r="AS96" s="486"/>
      <c r="AT96" s="486">
        <f>+ab($T$96,$T$94,$T$98,$G$95,$G$97, 1*$F$96,1200)</f>
        <v>8.417624959221385</v>
      </c>
      <c r="AU96" s="487"/>
      <c r="AV96" s="487"/>
      <c r="AW96" s="487"/>
      <c r="AX96" s="487"/>
      <c r="AY96" s="486"/>
      <c r="AZ96" s="486"/>
      <c r="BA96" s="672"/>
      <c r="BB96" s="428"/>
      <c r="BC96" s="169"/>
      <c r="BD96" s="1330"/>
      <c r="BE96" s="1329"/>
      <c r="BF96" s="1330"/>
      <c r="BG96" s="1329"/>
    </row>
    <row r="97" spans="1:59" ht="15.75" customHeight="1">
      <c r="A97" s="428"/>
      <c r="B97" s="727"/>
      <c r="C97" s="426"/>
      <c r="D97" s="727"/>
      <c r="E97" s="427"/>
      <c r="F97" s="427"/>
      <c r="G97" s="486">
        <v>40</v>
      </c>
      <c r="H97" s="428"/>
      <c r="I97" s="428">
        <v>534</v>
      </c>
      <c r="J97" s="430"/>
      <c r="K97" s="487"/>
      <c r="L97" s="487"/>
      <c r="M97" s="487"/>
      <c r="N97" s="428"/>
      <c r="O97" s="428"/>
      <c r="P97" s="428"/>
      <c r="Q97" s="487"/>
      <c r="R97" s="487"/>
      <c r="S97" s="486"/>
      <c r="T97" s="487"/>
      <c r="U97" s="487"/>
      <c r="V97" s="487"/>
      <c r="W97" s="487"/>
      <c r="X97" s="487"/>
      <c r="Y97" s="487"/>
      <c r="Z97" s="487"/>
      <c r="AA97" s="487"/>
      <c r="AB97" s="487"/>
      <c r="AC97" s="487"/>
      <c r="AD97" s="487"/>
      <c r="AE97" s="487"/>
      <c r="AF97" s="487"/>
      <c r="AG97" s="426"/>
      <c r="AH97" s="487"/>
      <c r="AI97" s="487"/>
      <c r="AJ97" s="487"/>
      <c r="AK97" s="487"/>
      <c r="AL97" s="487"/>
      <c r="AM97" s="487"/>
      <c r="AN97" s="456"/>
      <c r="AO97" s="428"/>
      <c r="AP97" s="428"/>
      <c r="AQ97" s="486"/>
      <c r="AR97" s="486"/>
      <c r="AS97" s="486"/>
      <c r="AT97" s="486"/>
      <c r="AU97" s="487"/>
      <c r="AV97" s="487"/>
      <c r="AW97" s="487"/>
      <c r="AX97" s="487"/>
      <c r="AY97" s="486"/>
      <c r="AZ97" s="486"/>
      <c r="BA97" s="672"/>
      <c r="BB97" s="428"/>
      <c r="BC97" s="169"/>
      <c r="BD97" s="1330"/>
      <c r="BE97" s="1330"/>
      <c r="BF97" s="1330"/>
      <c r="BG97" s="1330"/>
    </row>
    <row r="98" spans="1:59" ht="15.75" customHeight="1">
      <c r="A98" s="501">
        <f>'HR Track 4 HER'!A110</f>
        <v>0</v>
      </c>
      <c r="B98" s="716" t="str">
        <f>'HR Track 4 HER'!B110</f>
        <v>84-4.19</v>
      </c>
      <c r="C98" s="451">
        <f>'HR Track 4 HER'!C110</f>
        <v>84920.809999999983</v>
      </c>
      <c r="D98" s="453">
        <f>'HR Track 4 HER'!D110</f>
        <v>0</v>
      </c>
      <c r="E98" s="452">
        <f>'HR Track 4 HER'!E110</f>
        <v>0</v>
      </c>
      <c r="F98" s="453">
        <f>'HR Track 4 HER'!F110</f>
        <v>4000</v>
      </c>
      <c r="G98" s="500">
        <f>'HR Track 4 HER'!G110</f>
        <v>0</v>
      </c>
      <c r="H98" s="453" t="str">
        <f>'HR Track 4 HER'!H110</f>
        <v>S/A</v>
      </c>
      <c r="I98" s="501">
        <f>'HR Track 4 HER'!I110</f>
        <v>0</v>
      </c>
      <c r="J98" s="583">
        <f>'HR Track 4 HER'!J110</f>
        <v>0</v>
      </c>
      <c r="K98" s="452">
        <f>'HR Track 4 HER'!K110</f>
        <v>0</v>
      </c>
      <c r="L98" s="452" t="str">
        <f>'HR Track 4 HER'!L110</f>
        <v>2HEB-240</v>
      </c>
      <c r="M98" s="452" t="str">
        <f>'HR Track 4 HER'!M110</f>
        <v>2C3R</v>
      </c>
      <c r="N98" s="501" t="str">
        <f>'HR Track 4 HER'!N110</f>
        <v>EMT-T</v>
      </c>
      <c r="O98" s="501" t="str">
        <f>'HR Track 4 HER'!O110</f>
        <v>EMT-1</v>
      </c>
      <c r="P98" s="501">
        <f>'HR Track 4 HER'!P110</f>
        <v>0</v>
      </c>
      <c r="Q98" s="452">
        <f>'HR Track 4 HER'!Q110</f>
        <v>0</v>
      </c>
      <c r="R98" s="452">
        <f>'HR Track 4 HER'!R110</f>
        <v>0</v>
      </c>
      <c r="S98" s="500">
        <f>'HR Track 4 HER'!S110</f>
        <v>0</v>
      </c>
      <c r="T98" s="452">
        <f>'HR Track 4 HER'!T110</f>
        <v>15</v>
      </c>
      <c r="U98" s="452">
        <f>'HR Track 4 HER'!U110</f>
        <v>-30</v>
      </c>
      <c r="V98" s="452">
        <f>'HR Track 4 HER'!V110</f>
        <v>0</v>
      </c>
      <c r="W98" s="452">
        <f>'HR Track 4 HER'!W110</f>
        <v>1.4</v>
      </c>
      <c r="X98" s="452">
        <f>'HR Track 4 HER'!X110</f>
        <v>2.2999999999999998</v>
      </c>
      <c r="Y98" s="452">
        <f>'HR Track 4 HER'!Y110</f>
        <v>0</v>
      </c>
      <c r="Z98" s="452">
        <f>'HR Track 4 HER'!Z110</f>
        <v>0.45</v>
      </c>
      <c r="AA98" s="452">
        <f>'HR Track 4 HER'!AA110</f>
        <v>0</v>
      </c>
      <c r="AB98" s="452">
        <f>'HR Track 4 HER'!AB110</f>
        <v>0</v>
      </c>
      <c r="AC98" s="452">
        <f>'HR Track 4 HER'!AC110</f>
        <v>0</v>
      </c>
      <c r="AD98" s="452">
        <f>'HR Track 4 HER'!AD110</f>
        <v>0</v>
      </c>
      <c r="AE98" s="452">
        <f>'HR Track 4 HER'!AE110</f>
        <v>0</v>
      </c>
      <c r="AF98" s="452">
        <f>'HR Track 4 HER'!AF110</f>
        <v>0</v>
      </c>
      <c r="AG98" s="451">
        <f>'HR Track 4 HER'!AG110</f>
        <v>0</v>
      </c>
      <c r="AH98" s="452">
        <f>'HR Track 4 HER'!AH110</f>
        <v>0</v>
      </c>
      <c r="AI98" s="452">
        <f>'HR Track 4 HER'!AI110</f>
        <v>0</v>
      </c>
      <c r="AJ98" s="452">
        <f>'HR Track 4 HER'!AJ110</f>
        <v>0</v>
      </c>
      <c r="AK98" s="452">
        <f>'HR Track 4 HER'!AK110</f>
        <v>0</v>
      </c>
      <c r="AL98" s="452">
        <f>'HR Track 4 HER'!AL110</f>
        <v>0</v>
      </c>
      <c r="AM98" s="452" t="str">
        <f>'HR Track 4 HER'!AM110</f>
        <v>RW1</v>
      </c>
      <c r="AN98" s="500">
        <f>'HR Track 4 HER'!AN110</f>
        <v>5.5</v>
      </c>
      <c r="AO98" s="452">
        <f>'HR Track 4 HER'!AO110</f>
        <v>0</v>
      </c>
      <c r="AP98" s="452">
        <f>'HR Track 4 HER'!AP110</f>
        <v>0</v>
      </c>
      <c r="AQ98" s="452">
        <f>'HR Track 4 HER'!AQ110</f>
        <v>0</v>
      </c>
      <c r="AR98" s="452">
        <f>'HR Track 4 HER'!AR110</f>
        <v>0</v>
      </c>
      <c r="AS98" s="452">
        <f>'HR Track 4 HER'!AS110</f>
        <v>0</v>
      </c>
      <c r="AT98" s="452">
        <f>'HR Track 4 HER'!AT110</f>
        <v>-6.7178014591242476</v>
      </c>
      <c r="AU98" s="452">
        <f>'HR Track 4 HER'!AU110</f>
        <v>0</v>
      </c>
      <c r="AV98" s="452">
        <f>'HR Track 4 HER'!AV110</f>
        <v>0</v>
      </c>
      <c r="AW98" s="452" t="str">
        <f>'HR Track 4 HER'!AW110</f>
        <v>Soil B</v>
      </c>
      <c r="AX98" s="452" t="str">
        <f>'HR Track 4 HER'!AX110</f>
        <v>PT</v>
      </c>
      <c r="AY98" s="500">
        <f>'HR Track 4 HER'!AY110</f>
        <v>3.5</v>
      </c>
      <c r="AZ98" s="500">
        <f>'HR Track 4 HER'!AZ110</f>
        <v>0</v>
      </c>
      <c r="BA98" s="1333" t="str">
        <f>'HR Track 4 HER'!BA110</f>
        <v>ü</v>
      </c>
      <c r="BB98" s="452" t="str">
        <f>'HR Track 4 HER'!BB110</f>
        <v>App.7-V11A-P9.5.1.5</v>
      </c>
      <c r="BC98" s="1334">
        <f>'HR Track 4 HER'!BC110</f>
        <v>0</v>
      </c>
      <c r="BD98" s="1335">
        <f>'HR Track 4 HER'!BD110</f>
        <v>0</v>
      </c>
      <c r="BE98" s="1335">
        <f>'HR Track 4 HER'!BE110</f>
        <v>0</v>
      </c>
      <c r="BF98" s="1335">
        <f>'HR Track 4 HER'!BF110</f>
        <v>0</v>
      </c>
      <c r="BG98" s="1335">
        <f>'HR Track 4 HER'!BG110</f>
        <v>0</v>
      </c>
    </row>
    <row r="99" spans="1:59" ht="15.75" customHeight="1">
      <c r="B99" s="180"/>
      <c r="C99" s="617"/>
      <c r="D99" s="175"/>
      <c r="E99" s="177"/>
      <c r="F99" s="177"/>
      <c r="G99" s="458"/>
      <c r="K99" s="169"/>
      <c r="L99" s="169"/>
      <c r="M99" s="169"/>
      <c r="Q99" s="169"/>
      <c r="R99" s="169"/>
      <c r="S99" s="458"/>
      <c r="T99" s="169"/>
      <c r="U99" s="169"/>
      <c r="V99" s="169"/>
      <c r="W99" s="169"/>
      <c r="X99" s="169"/>
      <c r="Y99" s="169"/>
      <c r="Z99" s="169"/>
      <c r="AA99" s="169"/>
      <c r="AB99" s="169"/>
      <c r="AC99" s="169"/>
      <c r="AD99" s="169"/>
      <c r="AE99" s="169"/>
      <c r="AF99" s="169"/>
      <c r="AG99" s="617"/>
      <c r="AH99" s="169"/>
      <c r="AI99" s="169"/>
      <c r="AJ99" s="169"/>
      <c r="AK99" s="169"/>
      <c r="AL99" s="169"/>
      <c r="AM99" s="169"/>
      <c r="AN99" s="454"/>
      <c r="AO99" s="178"/>
      <c r="AP99" s="178"/>
      <c r="AY99" s="458"/>
      <c r="AZ99" s="458"/>
      <c r="BA99" s="1305"/>
      <c r="BC99" s="169"/>
    </row>
    <row r="100" spans="1:59" ht="15.75" customHeight="1">
      <c r="B100" s="175"/>
      <c r="C100" s="617"/>
      <c r="D100" s="175"/>
      <c r="E100" s="177"/>
      <c r="F100" s="177"/>
      <c r="G100" s="458"/>
      <c r="H100" s="169"/>
      <c r="K100" s="169"/>
      <c r="L100" s="169"/>
      <c r="M100" s="169"/>
      <c r="N100" s="169"/>
      <c r="O100" s="682"/>
      <c r="Q100" s="169"/>
      <c r="R100" s="169"/>
      <c r="S100" s="458"/>
      <c r="T100" s="169"/>
      <c r="U100" s="169"/>
      <c r="V100" s="169"/>
      <c r="W100" s="169"/>
      <c r="X100" s="169"/>
      <c r="Y100" s="169"/>
      <c r="Z100" s="169"/>
      <c r="AA100" s="169"/>
      <c r="AB100" s="169"/>
      <c r="AC100" s="169"/>
      <c r="AD100" s="169"/>
      <c r="AE100" s="169"/>
      <c r="AF100" s="169"/>
      <c r="AG100" s="617"/>
      <c r="AH100" s="169"/>
      <c r="AI100" s="169"/>
      <c r="AJ100" s="169"/>
      <c r="AK100" s="169"/>
      <c r="AL100" s="169"/>
      <c r="AM100" s="169"/>
      <c r="AN100" s="454"/>
      <c r="AO100" s="178"/>
      <c r="AP100" s="178"/>
      <c r="AY100" s="458"/>
      <c r="AZ100" s="458"/>
      <c r="BA100" s="1305"/>
      <c r="BC100" s="169"/>
    </row>
    <row r="101" spans="1:59" ht="15.75" customHeight="1">
      <c r="B101" s="175"/>
      <c r="C101" s="617"/>
      <c r="D101" s="175"/>
      <c r="E101" s="177"/>
      <c r="F101" s="177"/>
      <c r="G101" s="458"/>
      <c r="K101" s="169"/>
      <c r="L101" s="169"/>
      <c r="M101" s="169"/>
      <c r="Q101" s="169"/>
      <c r="R101" s="169"/>
      <c r="S101" s="458"/>
      <c r="T101" s="169"/>
      <c r="U101" s="169"/>
      <c r="V101" s="169"/>
      <c r="W101" s="169"/>
      <c r="X101" s="169"/>
      <c r="Y101" s="169"/>
      <c r="Z101" s="169"/>
      <c r="AA101" s="169"/>
      <c r="AB101" s="169"/>
      <c r="AC101" s="169"/>
      <c r="AD101" s="169"/>
      <c r="AE101" s="169"/>
      <c r="AF101" s="169"/>
      <c r="AG101" s="617"/>
      <c r="AH101" s="169"/>
      <c r="AI101" s="169"/>
      <c r="AJ101" s="169"/>
      <c r="AK101" s="169"/>
      <c r="AL101" s="169"/>
      <c r="AM101" s="169"/>
      <c r="AN101" s="454"/>
      <c r="AO101" s="178"/>
      <c r="AP101" s="178"/>
      <c r="AY101" s="458"/>
      <c r="AZ101" s="458"/>
      <c r="BA101" s="1305"/>
      <c r="BC101" s="169"/>
    </row>
    <row r="102" spans="1:59" ht="15.75" customHeight="1">
      <c r="B102" s="175"/>
      <c r="C102" s="617"/>
      <c r="D102" s="175"/>
      <c r="E102" s="177"/>
      <c r="F102" s="177"/>
      <c r="G102" s="458"/>
      <c r="I102" s="182"/>
      <c r="K102" s="169"/>
      <c r="L102" s="169"/>
      <c r="M102" s="169"/>
      <c r="Q102" s="169"/>
      <c r="R102" s="169"/>
      <c r="S102" s="458"/>
      <c r="T102" s="169"/>
      <c r="U102" s="169"/>
      <c r="V102" s="169"/>
      <c r="W102" s="169"/>
      <c r="X102" s="169"/>
      <c r="Y102" s="169"/>
      <c r="Z102" s="169"/>
      <c r="AA102" s="169"/>
      <c r="AB102" s="169"/>
      <c r="AC102" s="169"/>
      <c r="AD102" s="169"/>
      <c r="AE102" s="169"/>
      <c r="AF102" s="169"/>
      <c r="AG102" s="617"/>
      <c r="AH102" s="169"/>
      <c r="AI102" s="169"/>
      <c r="AJ102" s="169"/>
      <c r="AK102" s="169"/>
      <c r="AL102" s="169"/>
      <c r="AM102" s="169"/>
      <c r="AN102" s="454"/>
      <c r="AO102" s="178"/>
      <c r="AP102" s="178"/>
      <c r="AY102" s="458"/>
      <c r="AZ102" s="458"/>
      <c r="BA102" s="1305"/>
      <c r="BC102" s="169"/>
    </row>
    <row r="103" spans="1:59" ht="15.75" customHeight="1">
      <c r="B103" s="175"/>
      <c r="C103" s="617"/>
      <c r="D103" s="175"/>
      <c r="E103" s="177"/>
      <c r="F103" s="177"/>
      <c r="G103" s="458"/>
      <c r="K103" s="169"/>
      <c r="L103" s="169"/>
      <c r="M103" s="169"/>
      <c r="Q103" s="169"/>
      <c r="R103" s="169"/>
      <c r="S103" s="458"/>
      <c r="T103" s="169"/>
      <c r="U103" s="169"/>
      <c r="V103" s="169"/>
      <c r="W103" s="169"/>
      <c r="X103" s="169"/>
      <c r="Y103" s="169"/>
      <c r="Z103" s="169"/>
      <c r="AA103" s="169"/>
      <c r="AB103" s="169"/>
      <c r="AC103" s="169"/>
      <c r="AD103" s="169"/>
      <c r="AE103" s="169"/>
      <c r="AF103" s="169"/>
      <c r="AG103" s="617"/>
      <c r="AH103" s="169"/>
      <c r="AI103" s="169"/>
      <c r="AJ103" s="169"/>
      <c r="AK103" s="169"/>
      <c r="AL103" s="169"/>
      <c r="AM103" s="169"/>
      <c r="AN103" s="454"/>
      <c r="AO103" s="178"/>
      <c r="AP103" s="178"/>
      <c r="AY103" s="458"/>
      <c r="AZ103" s="458"/>
      <c r="BA103" s="1305"/>
      <c r="BC103" s="169"/>
    </row>
    <row r="104" spans="1:59" ht="15.75" customHeight="1">
      <c r="B104" s="175"/>
      <c r="C104" s="617"/>
      <c r="D104" s="175"/>
      <c r="E104" s="177"/>
      <c r="F104" s="177"/>
      <c r="G104" s="458"/>
      <c r="K104" s="169"/>
      <c r="L104" s="169"/>
      <c r="M104" s="169"/>
      <c r="Q104" s="169"/>
      <c r="R104" s="169"/>
      <c r="S104" s="458"/>
      <c r="T104" s="169"/>
      <c r="U104" s="169"/>
      <c r="V104" s="169"/>
      <c r="W104" s="169"/>
      <c r="X104" s="169"/>
      <c r="Y104" s="169"/>
      <c r="Z104" s="169"/>
      <c r="AA104" s="169"/>
      <c r="AB104" s="169"/>
      <c r="AC104" s="169"/>
      <c r="AD104" s="169"/>
      <c r="AE104" s="169"/>
      <c r="AF104" s="169"/>
      <c r="AG104" s="617"/>
      <c r="AH104" s="169"/>
      <c r="AI104" s="169"/>
      <c r="AJ104" s="169"/>
      <c r="AK104" s="169"/>
      <c r="AL104" s="169"/>
      <c r="AM104" s="169"/>
      <c r="AN104" s="454"/>
      <c r="AO104" s="178"/>
      <c r="AP104" s="178"/>
      <c r="AY104" s="458"/>
      <c r="AZ104" s="458"/>
      <c r="BA104" s="1305"/>
      <c r="BC104" s="169"/>
    </row>
    <row r="105" spans="1:59" ht="15.75" customHeight="1">
      <c r="B105" s="175"/>
      <c r="C105" s="617"/>
      <c r="D105" s="175"/>
      <c r="E105" s="177"/>
      <c r="F105" s="177"/>
      <c r="G105" s="458"/>
      <c r="I105" s="169"/>
      <c r="K105" s="169"/>
      <c r="L105" s="169"/>
      <c r="M105" s="169"/>
      <c r="Q105" s="169"/>
      <c r="R105" s="169"/>
      <c r="S105" s="458"/>
      <c r="T105" s="169"/>
      <c r="U105" s="169"/>
      <c r="V105" s="169"/>
      <c r="W105" s="169"/>
      <c r="X105" s="169"/>
      <c r="Y105" s="169"/>
      <c r="Z105" s="169"/>
      <c r="AA105" s="169"/>
      <c r="AB105" s="169"/>
      <c r="AC105" s="169"/>
      <c r="AD105" s="169"/>
      <c r="AE105" s="169"/>
      <c r="AF105" s="169"/>
      <c r="AG105" s="617"/>
      <c r="AH105" s="169"/>
      <c r="AI105" s="169"/>
      <c r="AJ105" s="169"/>
      <c r="AK105" s="169"/>
      <c r="AL105" s="169"/>
      <c r="AM105" s="169"/>
      <c r="AN105" s="454"/>
      <c r="AO105" s="178"/>
      <c r="AP105" s="178"/>
      <c r="AY105" s="458"/>
      <c r="AZ105" s="458"/>
      <c r="BA105" s="1305"/>
      <c r="BC105" s="169"/>
    </row>
    <row r="106" spans="1:59" ht="15.75" customHeight="1">
      <c r="B106" s="175"/>
      <c r="C106" s="617"/>
      <c r="D106" s="175"/>
      <c r="E106" s="177"/>
      <c r="F106" s="177"/>
      <c r="G106" s="458"/>
      <c r="K106" s="169"/>
      <c r="L106" s="169"/>
      <c r="M106" s="169"/>
      <c r="N106" s="169"/>
      <c r="Q106" s="169"/>
      <c r="R106" s="169"/>
      <c r="S106" s="458"/>
      <c r="T106" s="169"/>
      <c r="U106" s="169"/>
      <c r="V106" s="169"/>
      <c r="W106" s="169"/>
      <c r="X106" s="169"/>
      <c r="Y106" s="169"/>
      <c r="Z106" s="169"/>
      <c r="AA106" s="169"/>
      <c r="AB106" s="169"/>
      <c r="AC106" s="169"/>
      <c r="AD106" s="169"/>
      <c r="AE106" s="169"/>
      <c r="AF106" s="169"/>
      <c r="AG106" s="617"/>
      <c r="AH106" s="169"/>
      <c r="AI106" s="169"/>
      <c r="AJ106" s="169"/>
      <c r="AK106" s="169"/>
      <c r="AL106" s="169"/>
      <c r="AM106" s="169"/>
      <c r="AN106" s="454"/>
      <c r="AO106" s="178"/>
      <c r="AP106" s="178"/>
      <c r="AY106" s="458"/>
      <c r="AZ106" s="458"/>
      <c r="BA106" s="1305"/>
      <c r="BC106" s="169"/>
    </row>
    <row r="107" spans="1:59" ht="15.75" customHeight="1">
      <c r="B107" s="175"/>
      <c r="C107" s="617"/>
      <c r="D107" s="177"/>
      <c r="E107" s="169"/>
      <c r="F107" s="177"/>
      <c r="G107" s="458"/>
      <c r="K107" s="169"/>
      <c r="L107" s="169"/>
      <c r="M107" s="169"/>
      <c r="Q107" s="169"/>
      <c r="R107" s="169"/>
      <c r="S107" s="458"/>
      <c r="T107" s="169"/>
      <c r="U107" s="169"/>
      <c r="V107" s="169"/>
      <c r="W107" s="169"/>
      <c r="X107" s="169"/>
      <c r="Y107" s="169"/>
      <c r="Z107" s="169"/>
      <c r="AA107" s="169"/>
      <c r="AB107" s="169"/>
      <c r="AC107" s="169"/>
      <c r="AD107" s="169"/>
      <c r="AE107" s="169"/>
      <c r="AF107" s="169"/>
      <c r="AG107" s="617"/>
      <c r="AH107" s="169"/>
      <c r="AI107" s="169"/>
      <c r="AJ107" s="169"/>
      <c r="AK107" s="169"/>
      <c r="AL107" s="169"/>
      <c r="AM107" s="169"/>
      <c r="AN107" s="454"/>
      <c r="AO107" s="178"/>
      <c r="AP107" s="178"/>
      <c r="AY107" s="458"/>
      <c r="AZ107" s="458"/>
      <c r="BA107" s="1305"/>
      <c r="BC107" s="169"/>
    </row>
    <row r="108" spans="1:59" ht="15.75" customHeight="1">
      <c r="B108" s="175"/>
      <c r="C108" s="617"/>
      <c r="D108" s="177"/>
      <c r="E108" s="169"/>
      <c r="F108" s="177"/>
      <c r="G108" s="458"/>
      <c r="K108" s="169"/>
      <c r="L108" s="169"/>
      <c r="M108" s="169"/>
      <c r="Q108" s="169"/>
      <c r="R108" s="169"/>
      <c r="S108" s="458"/>
      <c r="T108" s="169"/>
      <c r="U108" s="169"/>
      <c r="V108" s="169"/>
      <c r="W108" s="169"/>
      <c r="X108" s="169"/>
      <c r="Y108" s="169"/>
      <c r="Z108" s="169"/>
      <c r="AA108" s="169"/>
      <c r="AB108" s="169"/>
      <c r="AC108" s="169"/>
      <c r="AD108" s="169"/>
      <c r="AE108" s="169"/>
      <c r="AF108" s="169"/>
      <c r="AG108" s="617"/>
      <c r="AH108" s="169"/>
      <c r="AI108" s="169"/>
      <c r="AJ108" s="169"/>
      <c r="AK108" s="169"/>
      <c r="AL108" s="169"/>
      <c r="AM108" s="169"/>
      <c r="AN108" s="454"/>
      <c r="AO108" s="178"/>
      <c r="AP108" s="178"/>
      <c r="AY108" s="458"/>
      <c r="AZ108" s="458"/>
      <c r="BA108" s="1305"/>
      <c r="BC108" s="169"/>
    </row>
    <row r="109" spans="1:59" ht="15.75" customHeight="1">
      <c r="B109" s="175"/>
      <c r="C109" s="617"/>
      <c r="D109" s="177"/>
      <c r="E109" s="169"/>
      <c r="F109" s="177"/>
      <c r="G109" s="458"/>
      <c r="K109" s="169"/>
      <c r="L109" s="169"/>
      <c r="M109" s="169"/>
      <c r="Q109" s="169"/>
      <c r="R109" s="169"/>
      <c r="S109" s="458"/>
      <c r="T109" s="169"/>
      <c r="U109" s="169"/>
      <c r="V109" s="169"/>
      <c r="W109" s="169"/>
      <c r="X109" s="169"/>
      <c r="Y109" s="169"/>
      <c r="Z109" s="169"/>
      <c r="AA109" s="169"/>
      <c r="AB109" s="169"/>
      <c r="AC109" s="169"/>
      <c r="AD109" s="169"/>
      <c r="AE109" s="169"/>
      <c r="AF109" s="169"/>
      <c r="AG109" s="617"/>
      <c r="AH109" s="169"/>
      <c r="AI109" s="169"/>
      <c r="AJ109" s="169"/>
      <c r="AK109" s="169"/>
      <c r="AL109" s="169"/>
      <c r="AM109" s="169"/>
      <c r="AN109" s="454"/>
      <c r="AO109" s="178"/>
      <c r="AP109" s="178"/>
      <c r="AY109" s="458"/>
      <c r="AZ109" s="458"/>
      <c r="BA109" s="1305"/>
      <c r="BC109" s="169"/>
    </row>
    <row r="110" spans="1:59" ht="15.75" customHeight="1">
      <c r="B110" s="175"/>
      <c r="C110" s="617"/>
      <c r="D110" s="177"/>
      <c r="E110" s="169"/>
      <c r="F110" s="177"/>
      <c r="G110" s="458"/>
      <c r="K110" s="169"/>
      <c r="L110" s="169"/>
      <c r="M110" s="169"/>
      <c r="Q110" s="169"/>
      <c r="R110" s="169"/>
      <c r="S110" s="458"/>
      <c r="T110" s="169"/>
      <c r="U110" s="169"/>
      <c r="V110" s="169"/>
      <c r="W110" s="169"/>
      <c r="X110" s="169"/>
      <c r="Y110" s="169"/>
      <c r="Z110" s="169"/>
      <c r="AA110" s="169"/>
      <c r="AB110" s="169"/>
      <c r="AC110" s="169"/>
      <c r="AD110" s="169"/>
      <c r="AE110" s="169"/>
      <c r="AF110" s="169"/>
      <c r="AG110" s="617"/>
      <c r="AH110" s="169"/>
      <c r="AI110" s="169"/>
      <c r="AJ110" s="169"/>
      <c r="AK110" s="169"/>
      <c r="AL110" s="169"/>
      <c r="AM110" s="169"/>
      <c r="AN110" s="454"/>
      <c r="AO110" s="178"/>
      <c r="AP110" s="178"/>
      <c r="AY110" s="458"/>
      <c r="AZ110" s="458"/>
      <c r="BA110" s="1305"/>
      <c r="BC110" s="169"/>
    </row>
    <row r="111" spans="1:59" ht="15.75" customHeight="1">
      <c r="B111" s="175"/>
      <c r="C111" s="617"/>
      <c r="D111" s="177"/>
      <c r="E111" s="169"/>
      <c r="F111" s="177"/>
      <c r="G111" s="458"/>
      <c r="K111" s="169"/>
      <c r="L111" s="169"/>
      <c r="M111" s="169"/>
      <c r="Q111" s="169"/>
      <c r="R111" s="169"/>
      <c r="S111" s="458"/>
      <c r="T111" s="169"/>
      <c r="U111" s="169"/>
      <c r="V111" s="169"/>
      <c r="W111" s="169"/>
      <c r="X111" s="169"/>
      <c r="Y111" s="169"/>
      <c r="Z111" s="169"/>
      <c r="AA111" s="169"/>
      <c r="AB111" s="169"/>
      <c r="AC111" s="169"/>
      <c r="AD111" s="169"/>
      <c r="AE111" s="169"/>
      <c r="AF111" s="169"/>
      <c r="AG111" s="617"/>
      <c r="AH111" s="169"/>
      <c r="AI111" s="169"/>
      <c r="AJ111" s="169"/>
      <c r="AK111" s="169"/>
      <c r="AL111" s="169"/>
      <c r="AM111" s="169"/>
      <c r="AN111" s="454"/>
      <c r="AO111" s="178"/>
      <c r="AP111" s="178"/>
      <c r="AY111" s="458"/>
      <c r="AZ111" s="458"/>
      <c r="BA111" s="1305"/>
      <c r="BC111" s="169"/>
    </row>
    <row r="112" spans="1:59" ht="15.75" customHeight="1">
      <c r="B112" s="175"/>
      <c r="C112" s="617"/>
      <c r="D112" s="177"/>
      <c r="E112" s="169"/>
      <c r="F112" s="177"/>
      <c r="G112" s="458"/>
      <c r="K112" s="169"/>
      <c r="L112" s="169"/>
      <c r="M112" s="169"/>
      <c r="Q112" s="169"/>
      <c r="R112" s="169"/>
      <c r="S112" s="458"/>
      <c r="T112" s="169"/>
      <c r="U112" s="169"/>
      <c r="V112" s="169"/>
      <c r="W112" s="169"/>
      <c r="X112" s="169"/>
      <c r="Y112" s="169"/>
      <c r="Z112" s="169"/>
      <c r="AA112" s="169"/>
      <c r="AB112" s="169"/>
      <c r="AC112" s="169"/>
      <c r="AD112" s="169"/>
      <c r="AE112" s="169"/>
      <c r="AF112" s="169"/>
      <c r="AG112" s="617"/>
      <c r="AH112" s="169"/>
      <c r="AI112" s="169"/>
      <c r="AJ112" s="169"/>
      <c r="AK112" s="169"/>
      <c r="AL112" s="169"/>
      <c r="AM112" s="169"/>
      <c r="AN112" s="454"/>
      <c r="AO112" s="178"/>
      <c r="AP112" s="178"/>
      <c r="AY112" s="458"/>
      <c r="AZ112" s="458"/>
      <c r="BA112" s="1305"/>
      <c r="BC112" s="169"/>
    </row>
    <row r="113" spans="2:55" ht="15.75" customHeight="1">
      <c r="B113" s="175"/>
      <c r="C113" s="617"/>
      <c r="D113" s="177"/>
      <c r="E113" s="169"/>
      <c r="F113" s="177"/>
      <c r="G113" s="458"/>
      <c r="K113" s="169"/>
      <c r="L113" s="169"/>
      <c r="M113" s="169"/>
      <c r="Q113" s="169"/>
      <c r="R113" s="169"/>
      <c r="S113" s="458"/>
      <c r="T113" s="169"/>
      <c r="U113" s="169"/>
      <c r="V113" s="169"/>
      <c r="W113" s="169"/>
      <c r="X113" s="169"/>
      <c r="Y113" s="169"/>
      <c r="Z113" s="169"/>
      <c r="AA113" s="169"/>
      <c r="AB113" s="169"/>
      <c r="AC113" s="169"/>
      <c r="AD113" s="169"/>
      <c r="AE113" s="169"/>
      <c r="AF113" s="169"/>
      <c r="AG113" s="617"/>
      <c r="AH113" s="169"/>
      <c r="AI113" s="169"/>
      <c r="AJ113" s="169"/>
      <c r="AK113" s="169"/>
      <c r="AL113" s="169"/>
      <c r="AM113" s="169"/>
      <c r="AN113" s="454"/>
      <c r="AO113" s="178"/>
      <c r="AP113" s="178"/>
      <c r="AY113" s="458"/>
      <c r="AZ113" s="458"/>
      <c r="BA113" s="1305"/>
      <c r="BC113" s="169"/>
    </row>
    <row r="114" spans="2:55" ht="15.75" customHeight="1">
      <c r="B114" s="175"/>
      <c r="C114" s="617"/>
      <c r="D114" s="177"/>
      <c r="E114" s="169"/>
      <c r="F114" s="177"/>
      <c r="G114" s="458"/>
      <c r="K114" s="169"/>
      <c r="L114" s="169"/>
      <c r="M114" s="169"/>
      <c r="Q114" s="169"/>
      <c r="R114" s="169"/>
      <c r="S114" s="458"/>
      <c r="T114" s="169"/>
      <c r="U114" s="169"/>
      <c r="V114" s="169"/>
      <c r="W114" s="169"/>
      <c r="X114" s="169"/>
      <c r="Y114" s="169"/>
      <c r="Z114" s="169"/>
      <c r="AA114" s="169"/>
      <c r="AB114" s="169"/>
      <c r="AC114" s="169"/>
      <c r="AD114" s="169"/>
      <c r="AE114" s="169"/>
      <c r="AF114" s="169"/>
      <c r="AG114" s="617"/>
      <c r="AH114" s="169"/>
      <c r="AI114" s="169"/>
      <c r="AJ114" s="169"/>
      <c r="AK114" s="169"/>
      <c r="AL114" s="169"/>
      <c r="AM114" s="169"/>
      <c r="AN114" s="454"/>
      <c r="AO114" s="178"/>
      <c r="AP114" s="178"/>
      <c r="AY114" s="458"/>
      <c r="AZ114" s="458"/>
      <c r="BA114" s="1305"/>
      <c r="BC114" s="169"/>
    </row>
    <row r="115" spans="2:55" ht="15.75" customHeight="1">
      <c r="B115" s="175"/>
      <c r="C115" s="617"/>
      <c r="D115" s="177"/>
      <c r="E115" s="169"/>
      <c r="F115" s="177"/>
      <c r="G115" s="458"/>
      <c r="K115" s="169"/>
      <c r="L115" s="169"/>
      <c r="M115" s="169"/>
      <c r="Q115" s="169"/>
      <c r="R115" s="169"/>
      <c r="S115" s="458"/>
      <c r="T115" s="169"/>
      <c r="U115" s="169"/>
      <c r="V115" s="169"/>
      <c r="W115" s="169"/>
      <c r="X115" s="169"/>
      <c r="Y115" s="169"/>
      <c r="Z115" s="169"/>
      <c r="AA115" s="169"/>
      <c r="AB115" s="169"/>
      <c r="AC115" s="169"/>
      <c r="AD115" s="169"/>
      <c r="AE115" s="169"/>
      <c r="AF115" s="169"/>
      <c r="AG115" s="617"/>
      <c r="AH115" s="169"/>
      <c r="AI115" s="169"/>
      <c r="AJ115" s="169"/>
      <c r="AK115" s="169"/>
      <c r="AL115" s="169"/>
      <c r="AM115" s="169"/>
      <c r="AN115" s="454"/>
      <c r="AO115" s="178"/>
      <c r="AP115" s="178"/>
      <c r="AY115" s="458"/>
      <c r="AZ115" s="458"/>
      <c r="BA115" s="1305"/>
      <c r="BC115" s="169"/>
    </row>
    <row r="116" spans="2:55" ht="15.75" customHeight="1">
      <c r="B116" s="175"/>
      <c r="C116" s="617"/>
      <c r="D116" s="177"/>
      <c r="E116" s="169"/>
      <c r="F116" s="177"/>
      <c r="G116" s="458"/>
      <c r="K116" s="169"/>
      <c r="L116" s="169"/>
      <c r="M116" s="169"/>
      <c r="Q116" s="169"/>
      <c r="R116" s="169"/>
      <c r="S116" s="458"/>
      <c r="T116" s="169"/>
      <c r="U116" s="169"/>
      <c r="V116" s="169"/>
      <c r="W116" s="169"/>
      <c r="X116" s="169"/>
      <c r="Y116" s="169"/>
      <c r="Z116" s="169"/>
      <c r="AA116" s="169"/>
      <c r="AB116" s="169"/>
      <c r="AC116" s="169"/>
      <c r="AD116" s="169"/>
      <c r="AE116" s="169"/>
      <c r="AF116" s="169"/>
      <c r="AG116" s="617"/>
      <c r="AH116" s="169"/>
      <c r="AI116" s="169"/>
      <c r="AJ116" s="169"/>
      <c r="AK116" s="169"/>
      <c r="AL116" s="169"/>
      <c r="AM116" s="169"/>
      <c r="AN116" s="454"/>
      <c r="AO116" s="178"/>
      <c r="AP116" s="178"/>
      <c r="AY116" s="458"/>
      <c r="AZ116" s="458"/>
      <c r="BA116" s="1305"/>
      <c r="BC116" s="169"/>
    </row>
    <row r="117" spans="2:55" ht="15.75" customHeight="1">
      <c r="B117" s="175"/>
      <c r="C117" s="617"/>
      <c r="D117" s="177"/>
      <c r="E117" s="169"/>
      <c r="F117" s="177"/>
      <c r="G117" s="458"/>
      <c r="K117" s="169"/>
      <c r="L117" s="169"/>
      <c r="M117" s="169"/>
      <c r="Q117" s="169"/>
      <c r="R117" s="169"/>
      <c r="S117" s="458"/>
      <c r="T117" s="169"/>
      <c r="U117" s="169"/>
      <c r="V117" s="169"/>
      <c r="W117" s="169"/>
      <c r="X117" s="169"/>
      <c r="Y117" s="169"/>
      <c r="Z117" s="169"/>
      <c r="AA117" s="169"/>
      <c r="AB117" s="169"/>
      <c r="AC117" s="169"/>
      <c r="AD117" s="169"/>
      <c r="AE117" s="169"/>
      <c r="AF117" s="169"/>
      <c r="AG117" s="617"/>
      <c r="AH117" s="169"/>
      <c r="AI117" s="169"/>
      <c r="AJ117" s="169"/>
      <c r="AK117" s="169"/>
      <c r="AL117" s="169"/>
      <c r="AM117" s="169"/>
      <c r="AN117" s="454"/>
      <c r="AO117" s="178"/>
      <c r="AP117" s="178"/>
      <c r="AY117" s="458"/>
      <c r="AZ117" s="458"/>
      <c r="BA117" s="1305"/>
      <c r="BC117" s="169"/>
    </row>
    <row r="118" spans="2:55" ht="15.75" customHeight="1">
      <c r="B118" s="175"/>
      <c r="C118" s="617"/>
      <c r="D118" s="177"/>
      <c r="E118" s="169"/>
      <c r="F118" s="177"/>
      <c r="G118" s="458"/>
      <c r="K118" s="169"/>
      <c r="L118" s="169"/>
      <c r="M118" s="169"/>
      <c r="Q118" s="169"/>
      <c r="R118" s="169"/>
      <c r="S118" s="458"/>
      <c r="T118" s="169"/>
      <c r="U118" s="169"/>
      <c r="V118" s="169"/>
      <c r="W118" s="169"/>
      <c r="X118" s="169"/>
      <c r="Y118" s="169"/>
      <c r="Z118" s="169"/>
      <c r="AA118" s="169"/>
      <c r="AB118" s="169"/>
      <c r="AC118" s="169"/>
      <c r="AD118" s="169"/>
      <c r="AE118" s="169"/>
      <c r="AF118" s="169"/>
      <c r="AG118" s="617"/>
      <c r="AH118" s="169"/>
      <c r="AI118" s="169"/>
      <c r="AJ118" s="169"/>
      <c r="AK118" s="169"/>
      <c r="AL118" s="169"/>
      <c r="AM118" s="169"/>
      <c r="AN118" s="454"/>
      <c r="AO118" s="178"/>
      <c r="AP118" s="178"/>
      <c r="AY118" s="458"/>
      <c r="AZ118" s="458"/>
      <c r="BA118" s="1305"/>
      <c r="BC118" s="169"/>
    </row>
    <row r="119" spans="2:55" ht="15.75" customHeight="1">
      <c r="B119" s="175"/>
      <c r="C119" s="617"/>
      <c r="D119" s="177"/>
      <c r="E119" s="169"/>
      <c r="F119" s="177"/>
      <c r="G119" s="458"/>
      <c r="K119" s="169"/>
      <c r="L119" s="169"/>
      <c r="M119" s="169"/>
      <c r="Q119" s="169"/>
      <c r="R119" s="169"/>
      <c r="S119" s="458"/>
      <c r="T119" s="169"/>
      <c r="U119" s="169"/>
      <c r="V119" s="169"/>
      <c r="W119" s="169"/>
      <c r="X119" s="169"/>
      <c r="Y119" s="169"/>
      <c r="Z119" s="169"/>
      <c r="AA119" s="169"/>
      <c r="AB119" s="169"/>
      <c r="AC119" s="169"/>
      <c r="AD119" s="169"/>
      <c r="AE119" s="169"/>
      <c r="AF119" s="169"/>
      <c r="AG119" s="617"/>
      <c r="AH119" s="169"/>
      <c r="AI119" s="169"/>
      <c r="AJ119" s="169"/>
      <c r="AK119" s="169"/>
      <c r="AL119" s="169"/>
      <c r="AM119" s="169"/>
      <c r="AN119" s="454"/>
      <c r="AO119" s="178"/>
      <c r="AP119" s="178"/>
      <c r="AY119" s="458"/>
      <c r="AZ119" s="458"/>
      <c r="BA119" s="1305"/>
      <c r="BC119" s="169"/>
    </row>
    <row r="120" spans="2:55" ht="15.75" customHeight="1">
      <c r="B120" s="175"/>
      <c r="C120" s="617"/>
      <c r="D120" s="177"/>
      <c r="E120" s="169"/>
      <c r="F120" s="177"/>
      <c r="G120" s="458"/>
      <c r="K120" s="169"/>
      <c r="L120" s="169"/>
      <c r="M120" s="169"/>
      <c r="Q120" s="169"/>
      <c r="R120" s="169"/>
      <c r="S120" s="458"/>
      <c r="T120" s="169"/>
      <c r="U120" s="169"/>
      <c r="V120" s="169"/>
      <c r="W120" s="169"/>
      <c r="X120" s="169"/>
      <c r="Y120" s="169"/>
      <c r="Z120" s="169"/>
      <c r="AA120" s="169"/>
      <c r="AB120" s="169"/>
      <c r="AC120" s="169"/>
      <c r="AD120" s="169"/>
      <c r="AE120" s="169"/>
      <c r="AF120" s="169"/>
      <c r="AG120" s="617"/>
      <c r="AH120" s="169"/>
      <c r="AI120" s="169"/>
      <c r="AJ120" s="169"/>
      <c r="AK120" s="169"/>
      <c r="AL120" s="169"/>
      <c r="AM120" s="169"/>
      <c r="AN120" s="454"/>
      <c r="AO120" s="178"/>
      <c r="AP120" s="178"/>
      <c r="AY120" s="458"/>
      <c r="AZ120" s="458"/>
      <c r="BA120" s="1305"/>
      <c r="BC120" s="169"/>
    </row>
    <row r="121" spans="2:55" ht="15.75" customHeight="1">
      <c r="B121" s="175"/>
      <c r="C121" s="617"/>
      <c r="D121" s="177"/>
      <c r="E121" s="169"/>
      <c r="F121" s="177"/>
      <c r="G121" s="458"/>
      <c r="K121" s="169"/>
      <c r="L121" s="169"/>
      <c r="M121" s="169"/>
      <c r="Q121" s="169"/>
      <c r="R121" s="169"/>
      <c r="S121" s="458"/>
      <c r="T121" s="169"/>
      <c r="U121" s="169"/>
      <c r="V121" s="169"/>
      <c r="W121" s="169"/>
      <c r="X121" s="169"/>
      <c r="Y121" s="169"/>
      <c r="Z121" s="169"/>
      <c r="AA121" s="169"/>
      <c r="AB121" s="169"/>
      <c r="AC121" s="169"/>
      <c r="AD121" s="169"/>
      <c r="AE121" s="169"/>
      <c r="AF121" s="169"/>
      <c r="AG121" s="617"/>
      <c r="AH121" s="169"/>
      <c r="AI121" s="169"/>
      <c r="AJ121" s="169"/>
      <c r="AK121" s="169"/>
      <c r="AL121" s="169"/>
      <c r="AM121" s="169"/>
      <c r="AN121" s="454"/>
      <c r="AO121" s="178"/>
      <c r="AP121" s="178"/>
      <c r="AY121" s="458"/>
      <c r="AZ121" s="458"/>
      <c r="BA121" s="1305"/>
      <c r="BC121" s="169"/>
    </row>
    <row r="122" spans="2:55" ht="15.75" customHeight="1">
      <c r="B122" s="175"/>
      <c r="C122" s="617"/>
      <c r="D122" s="177"/>
      <c r="E122" s="169"/>
      <c r="F122" s="177"/>
      <c r="G122" s="458"/>
      <c r="K122" s="169"/>
      <c r="L122" s="169"/>
      <c r="M122" s="169"/>
      <c r="Q122" s="169"/>
      <c r="R122" s="169"/>
      <c r="S122" s="458"/>
      <c r="T122" s="169"/>
      <c r="U122" s="169"/>
      <c r="V122" s="169"/>
      <c r="W122" s="169"/>
      <c r="X122" s="169"/>
      <c r="Y122" s="169"/>
      <c r="Z122" s="169"/>
      <c r="AA122" s="169"/>
      <c r="AB122" s="169"/>
      <c r="AC122" s="169"/>
      <c r="AD122" s="169"/>
      <c r="AE122" s="169"/>
      <c r="AF122" s="169"/>
      <c r="AG122" s="617"/>
      <c r="AH122" s="169"/>
      <c r="AI122" s="169"/>
      <c r="AJ122" s="169"/>
      <c r="AK122" s="169"/>
      <c r="AL122" s="169"/>
      <c r="AM122" s="169"/>
      <c r="AN122" s="454"/>
      <c r="AO122" s="178"/>
      <c r="AP122" s="178"/>
      <c r="AY122" s="458"/>
      <c r="AZ122" s="458"/>
      <c r="BA122" s="1305"/>
      <c r="BC122" s="169"/>
    </row>
    <row r="123" spans="2:55" ht="15.75" customHeight="1">
      <c r="B123" s="175"/>
      <c r="C123" s="617"/>
      <c r="D123" s="177"/>
      <c r="E123" s="169"/>
      <c r="F123" s="177"/>
      <c r="G123" s="458"/>
      <c r="K123" s="169"/>
      <c r="L123" s="169"/>
      <c r="M123" s="169"/>
      <c r="Q123" s="169"/>
      <c r="R123" s="169"/>
      <c r="S123" s="458"/>
      <c r="T123" s="169"/>
      <c r="U123" s="169"/>
      <c r="V123" s="169"/>
      <c r="W123" s="169"/>
      <c r="X123" s="169"/>
      <c r="Y123" s="169"/>
      <c r="Z123" s="169"/>
      <c r="AA123" s="169"/>
      <c r="AB123" s="169"/>
      <c r="AC123" s="169"/>
      <c r="AD123" s="169"/>
      <c r="AE123" s="169"/>
      <c r="AF123" s="169"/>
      <c r="AG123" s="617"/>
      <c r="AH123" s="169"/>
      <c r="AI123" s="169"/>
      <c r="AJ123" s="169"/>
      <c r="AK123" s="169"/>
      <c r="AL123" s="169"/>
      <c r="AM123" s="169"/>
      <c r="AN123" s="454"/>
      <c r="AO123" s="178"/>
      <c r="AP123" s="178"/>
      <c r="AY123" s="458"/>
      <c r="AZ123" s="458"/>
      <c r="BA123" s="1305"/>
      <c r="BC123" s="169"/>
    </row>
    <row r="124" spans="2:55" ht="15.75" customHeight="1">
      <c r="B124" s="618"/>
      <c r="C124" s="617"/>
      <c r="D124" s="177"/>
      <c r="E124" s="169"/>
      <c r="F124" s="177"/>
      <c r="G124" s="458"/>
      <c r="H124" s="169"/>
      <c r="I124" s="169"/>
      <c r="J124" s="617"/>
      <c r="K124" s="169"/>
      <c r="L124" s="169"/>
      <c r="M124" s="169"/>
      <c r="N124" s="169"/>
      <c r="O124" s="169"/>
      <c r="P124" s="169"/>
      <c r="Q124" s="169"/>
      <c r="R124" s="169"/>
      <c r="S124" s="458"/>
      <c r="T124" s="169"/>
      <c r="U124" s="169"/>
      <c r="V124" s="169"/>
      <c r="W124" s="169"/>
      <c r="X124" s="169"/>
      <c r="Y124" s="169"/>
      <c r="Z124" s="169"/>
      <c r="AA124" s="169"/>
      <c r="AB124" s="169"/>
      <c r="AC124" s="169"/>
      <c r="AD124" s="169"/>
      <c r="AE124" s="169"/>
      <c r="AF124" s="169"/>
      <c r="AG124" s="617"/>
      <c r="AH124" s="169"/>
      <c r="AI124" s="169"/>
      <c r="AJ124" s="169"/>
      <c r="AK124" s="169"/>
      <c r="AL124" s="169"/>
      <c r="AM124" s="169"/>
      <c r="AN124" s="454"/>
      <c r="AO124" s="178"/>
      <c r="AP124" s="178"/>
      <c r="AY124" s="458"/>
      <c r="AZ124" s="458"/>
      <c r="BA124" s="1305"/>
      <c r="BC124" s="169"/>
    </row>
    <row r="125" spans="2:55" ht="15.75" customHeight="1">
      <c r="B125" s="618"/>
      <c r="C125" s="617"/>
      <c r="D125" s="177"/>
      <c r="E125" s="169"/>
      <c r="F125" s="177"/>
      <c r="G125" s="458"/>
      <c r="H125" s="169"/>
      <c r="I125" s="169"/>
      <c r="J125" s="617"/>
      <c r="K125" s="169"/>
      <c r="L125" s="169"/>
      <c r="M125" s="169"/>
      <c r="N125" s="169"/>
      <c r="O125" s="169"/>
      <c r="P125" s="169"/>
      <c r="Q125" s="169"/>
      <c r="R125" s="169"/>
      <c r="S125" s="458"/>
      <c r="T125" s="169"/>
      <c r="U125" s="169"/>
      <c r="V125" s="169"/>
      <c r="W125" s="169"/>
      <c r="X125" s="169"/>
      <c r="Y125" s="169"/>
      <c r="Z125" s="169"/>
      <c r="AA125" s="169"/>
      <c r="AB125" s="169"/>
      <c r="AC125" s="169"/>
      <c r="AD125" s="169"/>
      <c r="AE125" s="169"/>
      <c r="AF125" s="169"/>
      <c r="AG125" s="617"/>
      <c r="AH125" s="169"/>
      <c r="AI125" s="169"/>
      <c r="AJ125" s="169"/>
      <c r="AK125" s="169"/>
      <c r="AL125" s="169"/>
      <c r="AM125" s="169"/>
      <c r="AN125" s="458"/>
      <c r="AY125" s="458"/>
      <c r="AZ125" s="458"/>
      <c r="BA125" s="1305"/>
      <c r="BC125" s="169"/>
    </row>
    <row r="126" spans="2:55" ht="15.75" customHeight="1">
      <c r="B126" s="618"/>
      <c r="C126" s="617"/>
      <c r="D126" s="177"/>
      <c r="E126" s="169"/>
      <c r="F126" s="177"/>
      <c r="G126" s="458"/>
      <c r="H126" s="169"/>
      <c r="I126" s="169"/>
      <c r="J126" s="617"/>
      <c r="K126" s="169"/>
      <c r="L126" s="169"/>
      <c r="M126" s="169"/>
      <c r="N126" s="169"/>
      <c r="O126" s="169"/>
      <c r="P126" s="169"/>
      <c r="Q126" s="169"/>
      <c r="R126" s="169"/>
      <c r="S126" s="458"/>
      <c r="T126" s="169"/>
      <c r="U126" s="169"/>
      <c r="V126" s="169"/>
      <c r="W126" s="169"/>
      <c r="X126" s="169"/>
      <c r="Y126" s="169"/>
      <c r="Z126" s="169"/>
      <c r="AA126" s="169"/>
      <c r="AB126" s="169"/>
      <c r="AC126" s="169"/>
      <c r="AD126" s="169"/>
      <c r="AE126" s="169"/>
      <c r="AF126" s="169"/>
      <c r="AG126" s="617"/>
      <c r="AH126" s="169"/>
      <c r="AI126" s="169"/>
      <c r="AJ126" s="169"/>
      <c r="AK126" s="169"/>
      <c r="AL126" s="169"/>
      <c r="AM126" s="169"/>
      <c r="AN126" s="458"/>
      <c r="AY126" s="458"/>
      <c r="AZ126" s="458"/>
      <c r="BA126" s="1305"/>
      <c r="BC126" s="169"/>
    </row>
    <row r="127" spans="2:55" ht="15.75" customHeight="1">
      <c r="S127" s="454"/>
      <c r="AN127" s="458"/>
      <c r="AY127" s="458"/>
      <c r="AZ127" s="458"/>
      <c r="BA127" s="1305"/>
      <c r="BC127" s="169"/>
    </row>
    <row r="128" spans="2:55" ht="15.75" customHeight="1">
      <c r="S128" s="454"/>
      <c r="AN128" s="458"/>
      <c r="AY128" s="458"/>
      <c r="AZ128" s="458"/>
      <c r="BA128" s="1305"/>
      <c r="BC128" s="169"/>
    </row>
    <row r="129" spans="19:55" ht="15.75" customHeight="1">
      <c r="S129" s="454"/>
      <c r="AN129" s="458"/>
      <c r="AY129" s="458"/>
      <c r="AZ129" s="458"/>
      <c r="BA129" s="1305"/>
      <c r="BC129" s="169"/>
    </row>
    <row r="130" spans="19:55" ht="15.75" customHeight="1">
      <c r="S130" s="454"/>
      <c r="AN130" s="458"/>
      <c r="AY130" s="458"/>
      <c r="AZ130" s="458"/>
      <c r="BA130" s="1305"/>
      <c r="BC130" s="169"/>
    </row>
    <row r="131" spans="19:55" ht="15.75" customHeight="1">
      <c r="S131" s="454"/>
      <c r="AN131" s="458"/>
      <c r="AY131" s="458"/>
      <c r="AZ131" s="458"/>
      <c r="BA131" s="1305"/>
      <c r="BC131" s="169"/>
    </row>
    <row r="132" spans="19:55" ht="15.75" customHeight="1">
      <c r="S132" s="454"/>
      <c r="AN132" s="458"/>
      <c r="AY132" s="458"/>
      <c r="AZ132" s="458"/>
      <c r="BA132" s="1305"/>
      <c r="BC132" s="169"/>
    </row>
    <row r="133" spans="19:55" ht="15.75" customHeight="1">
      <c r="S133" s="454"/>
      <c r="AN133" s="458"/>
      <c r="AY133" s="458"/>
      <c r="AZ133" s="458"/>
      <c r="BA133" s="1305"/>
      <c r="BC133" s="169"/>
    </row>
    <row r="134" spans="19:55" ht="15.75" customHeight="1">
      <c r="S134" s="454"/>
      <c r="AN134" s="458"/>
      <c r="AY134" s="458"/>
      <c r="AZ134" s="458"/>
      <c r="BA134" s="1305"/>
      <c r="BC134" s="169"/>
    </row>
    <row r="135" spans="19:55" ht="15.75" customHeight="1">
      <c r="S135" s="454"/>
      <c r="AN135" s="458"/>
      <c r="AY135" s="458"/>
      <c r="AZ135" s="458"/>
      <c r="BA135" s="1305"/>
      <c r="BC135" s="169"/>
    </row>
    <row r="136" spans="19:55" ht="15.75" customHeight="1">
      <c r="S136" s="454"/>
      <c r="AN136" s="458"/>
      <c r="AY136" s="458"/>
      <c r="AZ136" s="458"/>
      <c r="BA136" s="1305"/>
      <c r="BC136" s="169"/>
    </row>
    <row r="137" spans="19:55" ht="15.75" customHeight="1">
      <c r="S137" s="454"/>
      <c r="AN137" s="458"/>
      <c r="AY137" s="458"/>
      <c r="AZ137" s="458"/>
      <c r="BA137" s="1305"/>
      <c r="BC137" s="169"/>
    </row>
    <row r="138" spans="19:55" ht="15.75" customHeight="1">
      <c r="S138" s="454"/>
      <c r="AN138" s="458"/>
      <c r="AY138" s="458"/>
      <c r="AZ138" s="458"/>
      <c r="BA138" s="1305"/>
      <c r="BC138" s="169"/>
    </row>
    <row r="139" spans="19:55" ht="15.75" customHeight="1">
      <c r="S139" s="454"/>
      <c r="AN139" s="458"/>
      <c r="AY139" s="458"/>
      <c r="AZ139" s="458"/>
      <c r="BA139" s="1305"/>
      <c r="BC139" s="169"/>
    </row>
    <row r="140" spans="19:55" ht="15.75" customHeight="1">
      <c r="S140" s="454"/>
      <c r="AN140" s="458"/>
      <c r="AY140" s="458"/>
      <c r="AZ140" s="458"/>
      <c r="BA140" s="1305"/>
      <c r="BC140" s="169"/>
    </row>
    <row r="141" spans="19:55" ht="15.75" customHeight="1">
      <c r="S141" s="454"/>
      <c r="AN141" s="458"/>
      <c r="AY141" s="458"/>
      <c r="AZ141" s="458"/>
      <c r="BA141" s="1305"/>
      <c r="BC141" s="169"/>
    </row>
    <row r="142" spans="19:55" ht="15.75" customHeight="1">
      <c r="S142" s="454"/>
      <c r="AN142" s="458"/>
      <c r="AY142" s="458"/>
      <c r="AZ142" s="458"/>
      <c r="BA142" s="1305"/>
      <c r="BC142" s="169"/>
    </row>
    <row r="143" spans="19:55" ht="15.75" customHeight="1">
      <c r="S143" s="454"/>
      <c r="AN143" s="458"/>
      <c r="AY143" s="458"/>
      <c r="AZ143" s="458"/>
      <c r="BA143" s="1305"/>
      <c r="BC143" s="169"/>
    </row>
    <row r="144" spans="19:55" ht="15.75" customHeight="1">
      <c r="S144" s="454"/>
      <c r="AN144" s="458"/>
      <c r="AY144" s="458"/>
      <c r="AZ144" s="458"/>
      <c r="BA144" s="1305"/>
      <c r="BC144" s="169"/>
    </row>
    <row r="145" spans="19:55" ht="15.75" customHeight="1">
      <c r="S145" s="454"/>
      <c r="AN145" s="458"/>
      <c r="AY145" s="458"/>
      <c r="AZ145" s="458"/>
      <c r="BA145" s="1305"/>
      <c r="BC145" s="169"/>
    </row>
    <row r="146" spans="19:55" ht="15.75" customHeight="1">
      <c r="S146" s="454"/>
      <c r="AN146" s="458"/>
      <c r="AY146" s="458"/>
      <c r="AZ146" s="458"/>
      <c r="BA146" s="1305"/>
      <c r="BC146" s="169"/>
    </row>
    <row r="147" spans="19:55" ht="15.75" customHeight="1">
      <c r="S147" s="454"/>
      <c r="AN147" s="458"/>
      <c r="AY147" s="458"/>
      <c r="AZ147" s="458"/>
      <c r="BA147" s="1305"/>
      <c r="BC147" s="169"/>
    </row>
    <row r="148" spans="19:55" ht="15.75" customHeight="1">
      <c r="S148" s="454"/>
      <c r="AN148" s="458"/>
      <c r="AY148" s="458"/>
      <c r="AZ148" s="458"/>
      <c r="BA148" s="1305"/>
      <c r="BC148" s="169"/>
    </row>
    <row r="149" spans="19:55" ht="15.75" customHeight="1">
      <c r="S149" s="454"/>
      <c r="AN149" s="458"/>
      <c r="AY149" s="458"/>
      <c r="AZ149" s="458"/>
      <c r="BA149" s="1305"/>
      <c r="BC149" s="169"/>
    </row>
    <row r="150" spans="19:55" ht="15.75" customHeight="1">
      <c r="S150" s="454"/>
      <c r="AN150" s="458"/>
      <c r="AY150" s="458"/>
      <c r="AZ150" s="458"/>
      <c r="BA150" s="1305"/>
      <c r="BC150" s="169"/>
    </row>
    <row r="151" spans="19:55" ht="15.75" customHeight="1">
      <c r="S151" s="454"/>
      <c r="AN151" s="458"/>
      <c r="AY151" s="458"/>
      <c r="AZ151" s="458"/>
      <c r="BA151" s="1305"/>
      <c r="BC151" s="169"/>
    </row>
    <row r="152" spans="19:55" ht="15.75" customHeight="1">
      <c r="S152" s="454"/>
      <c r="AN152" s="458"/>
      <c r="AY152" s="458"/>
      <c r="AZ152" s="458"/>
      <c r="BA152" s="1305"/>
      <c r="BC152" s="169"/>
    </row>
    <row r="153" spans="19:55" ht="15.75" customHeight="1">
      <c r="S153" s="454"/>
      <c r="AN153" s="458"/>
      <c r="AY153" s="458"/>
      <c r="AZ153" s="458"/>
      <c r="BA153" s="1305"/>
      <c r="BC153" s="169"/>
    </row>
    <row r="154" spans="19:55" ht="15.75" customHeight="1">
      <c r="S154" s="454"/>
      <c r="AN154" s="458"/>
      <c r="AY154" s="458"/>
      <c r="AZ154" s="458"/>
      <c r="BA154" s="1305"/>
      <c r="BC154" s="169"/>
    </row>
    <row r="155" spans="19:55" ht="15.75" customHeight="1">
      <c r="S155" s="454"/>
      <c r="AN155" s="458"/>
      <c r="AY155" s="458"/>
      <c r="AZ155" s="458"/>
      <c r="BA155" s="1305"/>
      <c r="BC155" s="169"/>
    </row>
    <row r="156" spans="19:55" ht="15.75" customHeight="1">
      <c r="S156" s="454"/>
      <c r="AN156" s="458"/>
      <c r="AY156" s="458"/>
      <c r="AZ156" s="458"/>
      <c r="BA156" s="1305"/>
      <c r="BC156" s="169"/>
    </row>
    <row r="157" spans="19:55" ht="15.75" customHeight="1">
      <c r="S157" s="454"/>
      <c r="AN157" s="458"/>
      <c r="AY157" s="458"/>
      <c r="AZ157" s="458"/>
      <c r="BA157" s="1305"/>
      <c r="BC157" s="169"/>
    </row>
    <row r="158" spans="19:55" ht="15.75" customHeight="1">
      <c r="S158" s="454"/>
      <c r="AN158" s="458"/>
      <c r="AY158" s="458"/>
      <c r="AZ158" s="458"/>
      <c r="BA158" s="1305"/>
      <c r="BC158" s="169"/>
    </row>
    <row r="159" spans="19:55" ht="15.75" customHeight="1">
      <c r="S159" s="454"/>
      <c r="AN159" s="458"/>
      <c r="AY159" s="458"/>
      <c r="AZ159" s="458"/>
      <c r="BA159" s="1305"/>
      <c r="BC159" s="169"/>
    </row>
    <row r="160" spans="19:55" ht="15.75" customHeight="1">
      <c r="S160" s="454"/>
      <c r="AN160" s="458"/>
      <c r="AY160" s="458"/>
      <c r="AZ160" s="458"/>
      <c r="BA160" s="1305"/>
      <c r="BC160" s="169"/>
    </row>
    <row r="161" spans="19:55" ht="15.75" customHeight="1">
      <c r="S161" s="454"/>
      <c r="AN161" s="458"/>
      <c r="AY161" s="458"/>
      <c r="AZ161" s="458"/>
      <c r="BA161" s="1305"/>
      <c r="BC161" s="169"/>
    </row>
    <row r="162" spans="19:55" ht="15.75" customHeight="1">
      <c r="S162" s="454"/>
      <c r="AN162" s="458"/>
      <c r="AY162" s="458"/>
      <c r="AZ162" s="458"/>
      <c r="BA162" s="1305"/>
      <c r="BC162" s="169"/>
    </row>
    <row r="163" spans="19:55" ht="15.75" customHeight="1">
      <c r="S163" s="454"/>
      <c r="AN163" s="458"/>
      <c r="AY163" s="458"/>
      <c r="AZ163" s="458"/>
      <c r="BA163" s="1305"/>
      <c r="BC163" s="169"/>
    </row>
    <row r="164" spans="19:55" ht="15.75" customHeight="1">
      <c r="S164" s="454"/>
      <c r="AN164" s="458"/>
      <c r="AY164" s="458"/>
      <c r="AZ164" s="458"/>
      <c r="BA164" s="1305"/>
      <c r="BC164" s="169"/>
    </row>
    <row r="165" spans="19:55" ht="15.75" customHeight="1">
      <c r="S165" s="454"/>
      <c r="AN165" s="458"/>
      <c r="AY165" s="458"/>
      <c r="AZ165" s="458"/>
      <c r="BA165" s="1305"/>
      <c r="BC165" s="169"/>
    </row>
    <row r="166" spans="19:55" ht="15.75" customHeight="1">
      <c r="S166" s="454"/>
      <c r="AN166" s="458"/>
      <c r="AY166" s="458"/>
      <c r="AZ166" s="458"/>
      <c r="BA166" s="1305"/>
      <c r="BC166" s="169"/>
    </row>
    <row r="167" spans="19:55" ht="15.75" customHeight="1">
      <c r="S167" s="454"/>
      <c r="AN167" s="458"/>
      <c r="AY167" s="458"/>
      <c r="AZ167" s="458"/>
      <c r="BA167" s="1305"/>
      <c r="BC167" s="169"/>
    </row>
    <row r="168" spans="19:55" ht="15.75" customHeight="1">
      <c r="S168" s="454"/>
      <c r="AN168" s="458"/>
      <c r="AY168" s="458"/>
      <c r="AZ168" s="458"/>
      <c r="BA168" s="1305"/>
      <c r="BC168" s="169"/>
    </row>
    <row r="169" spans="19:55" ht="15.75" customHeight="1">
      <c r="S169" s="454"/>
      <c r="AN169" s="458"/>
      <c r="AY169" s="458"/>
      <c r="AZ169" s="458"/>
      <c r="BA169" s="1305"/>
      <c r="BC169" s="169"/>
    </row>
    <row r="170" spans="19:55" ht="15.75" customHeight="1">
      <c r="S170" s="454"/>
      <c r="AN170" s="458"/>
      <c r="AY170" s="458"/>
      <c r="AZ170" s="458"/>
      <c r="BA170" s="1305"/>
      <c r="BC170" s="169"/>
    </row>
    <row r="171" spans="19:55" ht="15.75" customHeight="1">
      <c r="S171" s="454"/>
      <c r="AN171" s="458"/>
      <c r="AY171" s="458"/>
      <c r="AZ171" s="458"/>
      <c r="BA171" s="1305"/>
      <c r="BC171" s="169"/>
    </row>
    <row r="172" spans="19:55" ht="15.75" customHeight="1">
      <c r="S172" s="454"/>
      <c r="AN172" s="458"/>
      <c r="AY172" s="458"/>
      <c r="AZ172" s="458"/>
      <c r="BA172" s="1305"/>
      <c r="BC172" s="169"/>
    </row>
    <row r="173" spans="19:55" ht="15.75" customHeight="1">
      <c r="S173" s="454"/>
      <c r="AN173" s="458"/>
      <c r="AY173" s="458"/>
      <c r="AZ173" s="458"/>
      <c r="BA173" s="1305"/>
      <c r="BC173" s="169"/>
    </row>
    <row r="174" spans="19:55" ht="15.75" customHeight="1">
      <c r="S174" s="454"/>
      <c r="AN174" s="458"/>
      <c r="AY174" s="458"/>
      <c r="AZ174" s="458"/>
      <c r="BA174" s="1305"/>
      <c r="BC174" s="169"/>
    </row>
    <row r="175" spans="19:55" ht="15.75" customHeight="1">
      <c r="S175" s="454"/>
      <c r="AN175" s="458"/>
      <c r="AY175" s="458"/>
      <c r="AZ175" s="458"/>
      <c r="BA175" s="1305"/>
      <c r="BC175" s="169"/>
    </row>
    <row r="176" spans="19:55" ht="15.75" customHeight="1">
      <c r="S176" s="454"/>
      <c r="AN176" s="458"/>
      <c r="AY176" s="458"/>
      <c r="AZ176" s="458"/>
      <c r="BA176" s="1305"/>
      <c r="BC176" s="169"/>
    </row>
    <row r="177" spans="19:55" ht="15.75" customHeight="1">
      <c r="S177" s="454"/>
      <c r="AN177" s="458"/>
      <c r="AY177" s="458"/>
      <c r="AZ177" s="458"/>
      <c r="BA177" s="1305"/>
      <c r="BC177" s="169"/>
    </row>
    <row r="178" spans="19:55" ht="15.75" customHeight="1">
      <c r="S178" s="454"/>
      <c r="AN178" s="458"/>
      <c r="AY178" s="458"/>
      <c r="AZ178" s="458"/>
      <c r="BA178" s="1305"/>
      <c r="BC178" s="169"/>
    </row>
    <row r="179" spans="19:55" ht="15.75" customHeight="1">
      <c r="S179" s="454"/>
      <c r="AN179" s="458"/>
      <c r="AY179" s="458"/>
      <c r="AZ179" s="458"/>
      <c r="BA179" s="1305"/>
      <c r="BC179" s="169"/>
    </row>
    <row r="180" spans="19:55" ht="15.75" customHeight="1">
      <c r="S180" s="454"/>
      <c r="AN180" s="458"/>
      <c r="AY180" s="458"/>
      <c r="AZ180" s="458"/>
      <c r="BA180" s="1305"/>
      <c r="BC180" s="169"/>
    </row>
    <row r="181" spans="19:55" ht="15.75" customHeight="1">
      <c r="S181" s="454"/>
      <c r="AN181" s="458"/>
      <c r="AY181" s="458"/>
      <c r="AZ181" s="458"/>
      <c r="BA181" s="1305"/>
      <c r="BC181" s="169"/>
    </row>
    <row r="182" spans="19:55" ht="15.75" customHeight="1">
      <c r="S182" s="454"/>
      <c r="AN182" s="458"/>
      <c r="AY182" s="458"/>
      <c r="AZ182" s="458"/>
      <c r="BA182" s="1305"/>
      <c r="BC182" s="169"/>
    </row>
    <row r="183" spans="19:55" ht="15.75" customHeight="1">
      <c r="S183" s="454"/>
      <c r="AN183" s="458"/>
      <c r="AY183" s="458"/>
      <c r="AZ183" s="458"/>
      <c r="BA183" s="1305"/>
      <c r="BC183" s="169"/>
    </row>
    <row r="184" spans="19:55" ht="15.75" customHeight="1">
      <c r="S184" s="454"/>
      <c r="AN184" s="458"/>
      <c r="AY184" s="458"/>
      <c r="AZ184" s="458"/>
      <c r="BA184" s="1305"/>
      <c r="BC184" s="169"/>
    </row>
    <row r="185" spans="19:55" ht="15.75" customHeight="1">
      <c r="S185" s="454"/>
      <c r="AN185" s="458"/>
      <c r="AY185" s="458"/>
      <c r="AZ185" s="458"/>
      <c r="BA185" s="1305"/>
      <c r="BC185" s="169"/>
    </row>
    <row r="186" spans="19:55" ht="15.75" customHeight="1">
      <c r="S186" s="454"/>
      <c r="AN186" s="458"/>
      <c r="AY186" s="458"/>
      <c r="AZ186" s="458"/>
      <c r="BA186" s="1305"/>
      <c r="BC186" s="169"/>
    </row>
    <row r="187" spans="19:55" ht="15.75" customHeight="1">
      <c r="S187" s="454"/>
      <c r="AN187" s="458"/>
      <c r="AY187" s="458"/>
      <c r="AZ187" s="458"/>
      <c r="BA187" s="1305"/>
      <c r="BC187" s="169"/>
    </row>
    <row r="188" spans="19:55" ht="15.75" customHeight="1">
      <c r="S188" s="454"/>
      <c r="AN188" s="458"/>
      <c r="AY188" s="458"/>
      <c r="AZ188" s="458"/>
      <c r="BA188" s="1305"/>
      <c r="BC188" s="169"/>
    </row>
    <row r="189" spans="19:55" ht="15.75" customHeight="1">
      <c r="S189" s="454"/>
      <c r="AN189" s="458"/>
      <c r="AY189" s="458"/>
      <c r="AZ189" s="458"/>
      <c r="BA189" s="1305"/>
      <c r="BC189" s="169"/>
    </row>
    <row r="190" spans="19:55" ht="15.75" customHeight="1">
      <c r="S190" s="454"/>
      <c r="AN190" s="458"/>
      <c r="AY190" s="458"/>
      <c r="AZ190" s="458"/>
      <c r="BA190" s="1305"/>
      <c r="BC190" s="169"/>
    </row>
    <row r="191" spans="19:55" ht="15.75" customHeight="1">
      <c r="S191" s="454"/>
      <c r="AN191" s="458"/>
      <c r="AY191" s="458"/>
      <c r="AZ191" s="458"/>
      <c r="BA191" s="1305"/>
      <c r="BC191" s="169"/>
    </row>
    <row r="192" spans="19:55" ht="15.75" customHeight="1">
      <c r="S192" s="454"/>
      <c r="AN192" s="458"/>
      <c r="AY192" s="458"/>
      <c r="AZ192" s="458"/>
      <c r="BA192" s="1305"/>
      <c r="BC192" s="169"/>
    </row>
    <row r="193" spans="19:55" ht="15.75" customHeight="1">
      <c r="S193" s="454"/>
      <c r="AN193" s="458"/>
      <c r="AY193" s="458"/>
      <c r="AZ193" s="458"/>
      <c r="BA193" s="1305"/>
      <c r="BC193" s="169"/>
    </row>
    <row r="194" spans="19:55" ht="15.75" customHeight="1">
      <c r="S194" s="454"/>
      <c r="AN194" s="458"/>
      <c r="AY194" s="458"/>
      <c r="AZ194" s="458"/>
      <c r="BA194" s="1305"/>
      <c r="BC194" s="169"/>
    </row>
    <row r="195" spans="19:55" ht="15.75" customHeight="1">
      <c r="S195" s="454"/>
      <c r="AN195" s="458"/>
      <c r="AY195" s="458"/>
      <c r="AZ195" s="458"/>
      <c r="BA195" s="1305"/>
      <c r="BC195" s="169"/>
    </row>
    <row r="196" spans="19:55" ht="15.75" customHeight="1">
      <c r="S196" s="454"/>
      <c r="AN196" s="458"/>
      <c r="AY196" s="458"/>
      <c r="AZ196" s="458"/>
      <c r="BA196" s="1305"/>
      <c r="BC196" s="169"/>
    </row>
    <row r="197" spans="19:55" ht="15.75" customHeight="1">
      <c r="S197" s="454"/>
      <c r="AN197" s="458"/>
      <c r="AY197" s="458"/>
      <c r="AZ197" s="458"/>
      <c r="BA197" s="1305"/>
      <c r="BC197" s="169"/>
    </row>
    <row r="198" spans="19:55" ht="15.75" customHeight="1">
      <c r="S198" s="454"/>
      <c r="AN198" s="458"/>
      <c r="AY198" s="458"/>
      <c r="AZ198" s="458"/>
      <c r="BA198" s="1305"/>
      <c r="BC198" s="169"/>
    </row>
    <row r="199" spans="19:55" ht="15.75" customHeight="1">
      <c r="S199" s="454"/>
      <c r="AN199" s="458"/>
      <c r="AY199" s="458"/>
      <c r="AZ199" s="458"/>
      <c r="BA199" s="1305"/>
      <c r="BC199" s="169"/>
    </row>
    <row r="200" spans="19:55" ht="15.75" customHeight="1">
      <c r="S200" s="454"/>
      <c r="AN200" s="458"/>
      <c r="AY200" s="458"/>
      <c r="AZ200" s="458"/>
      <c r="BA200" s="1305"/>
      <c r="BC200" s="169"/>
    </row>
    <row r="201" spans="19:55" ht="15.75" customHeight="1">
      <c r="S201" s="454"/>
      <c r="AN201" s="458"/>
      <c r="AY201" s="458"/>
      <c r="AZ201" s="458"/>
      <c r="BA201" s="1305"/>
      <c r="BC201" s="169"/>
    </row>
    <row r="202" spans="19:55" ht="15.75" customHeight="1">
      <c r="S202" s="454"/>
      <c r="AN202" s="458"/>
      <c r="AY202" s="458"/>
      <c r="AZ202" s="458"/>
      <c r="BA202" s="1305"/>
      <c r="BC202" s="169"/>
    </row>
    <row r="203" spans="19:55" ht="15.75" customHeight="1">
      <c r="S203" s="454"/>
      <c r="AN203" s="458"/>
      <c r="AY203" s="458"/>
      <c r="AZ203" s="458"/>
      <c r="BA203" s="1305"/>
      <c r="BC203" s="169"/>
    </row>
    <row r="204" spans="19:55" ht="15.75" customHeight="1">
      <c r="S204" s="454"/>
      <c r="AN204" s="458"/>
      <c r="AY204" s="458"/>
      <c r="AZ204" s="458"/>
      <c r="BA204" s="1305"/>
      <c r="BC204" s="169"/>
    </row>
    <row r="205" spans="19:55" ht="15.75" customHeight="1">
      <c r="S205" s="454"/>
      <c r="AN205" s="458"/>
      <c r="AV205" s="178"/>
      <c r="AW205" s="178"/>
      <c r="AX205" s="178"/>
      <c r="AY205" s="454"/>
      <c r="AZ205" s="454"/>
      <c r="BA205" s="1306"/>
      <c r="BC205" s="169"/>
    </row>
    <row r="206" spans="19:55" ht="15.75" customHeight="1">
      <c r="S206" s="454"/>
      <c r="AN206" s="458"/>
      <c r="AV206" s="178"/>
      <c r="AW206" s="178"/>
      <c r="AX206" s="178"/>
      <c r="AY206" s="454"/>
      <c r="AZ206" s="454"/>
      <c r="BA206" s="1306"/>
      <c r="BC206" s="169"/>
    </row>
    <row r="207" spans="19:55" ht="15.75" customHeight="1">
      <c r="S207" s="454"/>
      <c r="AN207" s="454"/>
      <c r="AO207" s="178"/>
      <c r="AP207" s="178"/>
      <c r="AQ207" s="454"/>
      <c r="AR207" s="454"/>
      <c r="AS207" s="454"/>
      <c r="AT207" s="454"/>
      <c r="AU207" s="178"/>
      <c r="AV207" s="178"/>
      <c r="AW207" s="178"/>
      <c r="AX207" s="178"/>
      <c r="AY207" s="454"/>
      <c r="AZ207" s="454"/>
      <c r="BA207" s="1306"/>
      <c r="BC207" s="169"/>
    </row>
    <row r="208" spans="19:55" ht="15.75" customHeight="1">
      <c r="S208" s="454"/>
      <c r="AN208" s="454"/>
      <c r="AO208" s="178"/>
      <c r="AP208" s="178"/>
      <c r="AQ208" s="454"/>
      <c r="AR208" s="454"/>
      <c r="AS208" s="454"/>
      <c r="AT208" s="454"/>
      <c r="AU208" s="178"/>
      <c r="AV208" s="178"/>
      <c r="AW208" s="178"/>
      <c r="AX208" s="178"/>
      <c r="AY208" s="454"/>
      <c r="AZ208" s="454"/>
      <c r="BA208" s="1306"/>
      <c r="BC208" s="169"/>
    </row>
    <row r="209" spans="19:55" ht="15.75" customHeight="1">
      <c r="S209" s="454"/>
      <c r="AN209" s="454"/>
      <c r="AO209" s="178"/>
      <c r="AP209" s="178"/>
      <c r="AQ209" s="454"/>
      <c r="AR209" s="454"/>
      <c r="AS209" s="454"/>
      <c r="AT209" s="454"/>
      <c r="AU209" s="178"/>
      <c r="AV209" s="178"/>
      <c r="AW209" s="178"/>
      <c r="AX209" s="178"/>
      <c r="AY209" s="454"/>
      <c r="AZ209" s="454"/>
      <c r="BA209" s="1306"/>
      <c r="BC209" s="169"/>
    </row>
    <row r="210" spans="19:55" ht="15.75" customHeight="1">
      <c r="S210" s="454"/>
      <c r="AN210" s="454"/>
      <c r="AO210" s="178"/>
      <c r="AP210" s="178"/>
      <c r="AQ210" s="454"/>
      <c r="AR210" s="454"/>
      <c r="AS210" s="454"/>
      <c r="AT210" s="454"/>
      <c r="AU210" s="178"/>
      <c r="AY210" s="458"/>
      <c r="AZ210" s="458"/>
      <c r="BA210" s="1305"/>
      <c r="BC210" s="169"/>
    </row>
    <row r="211" spans="19:55" ht="15.75" customHeight="1">
      <c r="S211" s="454"/>
      <c r="AN211" s="454"/>
      <c r="AO211" s="178"/>
      <c r="AP211" s="178"/>
      <c r="AQ211" s="454"/>
      <c r="AR211" s="454"/>
      <c r="AS211" s="454"/>
      <c r="AT211" s="454"/>
      <c r="AU211" s="178"/>
      <c r="AY211" s="458"/>
      <c r="AZ211" s="458"/>
      <c r="BA211" s="1305"/>
      <c r="BC211" s="169"/>
    </row>
    <row r="212" spans="19:55" ht="15.75" customHeight="1">
      <c r="S212" s="454"/>
      <c r="AN212" s="458"/>
      <c r="AY212" s="458"/>
      <c r="AZ212" s="458"/>
      <c r="BA212" s="1305"/>
      <c r="BC212" s="169"/>
    </row>
    <row r="213" spans="19:55" ht="15.75" customHeight="1">
      <c r="S213" s="454"/>
      <c r="AN213" s="458"/>
      <c r="AY213" s="458"/>
      <c r="AZ213" s="458"/>
      <c r="BA213" s="1305"/>
      <c r="BC213" s="169"/>
    </row>
    <row r="214" spans="19:55" ht="15.75" customHeight="1">
      <c r="S214" s="454"/>
      <c r="AN214" s="458"/>
      <c r="AY214" s="458"/>
      <c r="AZ214" s="458"/>
      <c r="BA214" s="1305"/>
      <c r="BC214" s="169"/>
    </row>
    <row r="215" spans="19:55" ht="15.75" customHeight="1">
      <c r="S215" s="454"/>
      <c r="AN215" s="458"/>
      <c r="AY215" s="458"/>
      <c r="AZ215" s="458"/>
      <c r="BA215" s="1305"/>
      <c r="BC215" s="169"/>
    </row>
    <row r="216" spans="19:55" ht="15.75" customHeight="1">
      <c r="S216" s="454"/>
      <c r="AN216" s="458"/>
      <c r="AY216" s="458"/>
      <c r="AZ216" s="458"/>
      <c r="BA216" s="1305"/>
      <c r="BC216" s="169"/>
    </row>
    <row r="217" spans="19:55" ht="15.75" customHeight="1">
      <c r="S217" s="454"/>
      <c r="AN217" s="458"/>
      <c r="AY217" s="458"/>
      <c r="AZ217" s="458"/>
      <c r="BA217" s="1305"/>
      <c r="BC217" s="169"/>
    </row>
    <row r="218" spans="19:55" ht="15.75" customHeight="1">
      <c r="S218" s="454"/>
      <c r="AN218" s="458"/>
      <c r="AY218" s="458"/>
      <c r="AZ218" s="458"/>
      <c r="BA218" s="1305"/>
      <c r="BC218" s="169"/>
    </row>
    <row r="219" spans="19:55" ht="15.75" customHeight="1">
      <c r="S219" s="454"/>
      <c r="AN219" s="458"/>
      <c r="AY219" s="458"/>
      <c r="AZ219" s="458"/>
      <c r="BA219" s="1305"/>
      <c r="BC219" s="169"/>
    </row>
    <row r="220" spans="19:55" ht="15.75" customHeight="1">
      <c r="S220" s="454"/>
      <c r="AN220" s="458"/>
      <c r="AY220" s="458"/>
      <c r="AZ220" s="458"/>
      <c r="BA220" s="1305"/>
      <c r="BC220" s="169"/>
    </row>
    <row r="221" spans="19:55" ht="15.75" customHeight="1">
      <c r="S221" s="454"/>
      <c r="AN221" s="458"/>
      <c r="AY221" s="458"/>
      <c r="AZ221" s="458"/>
      <c r="BA221" s="1305"/>
      <c r="BC221" s="169"/>
    </row>
    <row r="222" spans="19:55" ht="15.75" customHeight="1">
      <c r="S222" s="454"/>
      <c r="AN222" s="458"/>
      <c r="AY222" s="458"/>
      <c r="AZ222" s="458"/>
      <c r="BA222" s="1305"/>
      <c r="BC222" s="169"/>
    </row>
    <row r="223" spans="19:55" ht="15.75" customHeight="1">
      <c r="S223" s="454"/>
      <c r="AN223" s="458"/>
      <c r="AY223" s="458"/>
      <c r="AZ223" s="458"/>
      <c r="BA223" s="1305"/>
      <c r="BC223" s="169"/>
    </row>
    <row r="224" spans="19:55" ht="15.75" customHeight="1">
      <c r="S224" s="454"/>
      <c r="AN224" s="458"/>
      <c r="AY224" s="458"/>
      <c r="AZ224" s="458"/>
      <c r="BA224" s="1305"/>
      <c r="BC224" s="169"/>
    </row>
    <row r="225" spans="19:55" ht="15.75" customHeight="1">
      <c r="S225" s="454"/>
      <c r="AN225" s="458"/>
      <c r="AY225" s="458"/>
      <c r="AZ225" s="458"/>
      <c r="BA225" s="1305"/>
      <c r="BC225" s="169"/>
    </row>
    <row r="226" spans="19:55" ht="15.75" customHeight="1">
      <c r="S226" s="454"/>
      <c r="AN226" s="458"/>
      <c r="AY226" s="458"/>
      <c r="AZ226" s="458"/>
      <c r="BA226" s="1305"/>
      <c r="BC226" s="169"/>
    </row>
    <row r="227" spans="19:55" ht="15.75" customHeight="1">
      <c r="S227" s="454"/>
      <c r="AN227" s="458"/>
      <c r="AY227" s="458"/>
      <c r="AZ227" s="458"/>
      <c r="BA227" s="1305"/>
      <c r="BC227" s="169"/>
    </row>
    <row r="228" spans="19:55" ht="15.75" customHeight="1">
      <c r="S228" s="454"/>
      <c r="AN228" s="458"/>
      <c r="AY228" s="458"/>
      <c r="AZ228" s="458"/>
      <c r="BA228" s="1305"/>
      <c r="BC228" s="169"/>
    </row>
    <row r="229" spans="19:55" ht="15.75" customHeight="1">
      <c r="S229" s="454"/>
      <c r="AN229" s="458"/>
      <c r="AY229" s="458"/>
      <c r="AZ229" s="458"/>
      <c r="BA229" s="1305"/>
      <c r="BC229" s="169"/>
    </row>
    <row r="230" spans="19:55" ht="15.75" customHeight="1">
      <c r="S230" s="454"/>
      <c r="AN230" s="458"/>
      <c r="AY230" s="458"/>
      <c r="AZ230" s="458"/>
      <c r="BA230" s="1305"/>
      <c r="BC230" s="169"/>
    </row>
    <row r="231" spans="19:55" ht="15.75" customHeight="1">
      <c r="S231" s="454"/>
      <c r="AN231" s="458"/>
      <c r="AY231" s="458"/>
      <c r="AZ231" s="458"/>
      <c r="BA231" s="1305"/>
      <c r="BC231" s="169"/>
    </row>
    <row r="232" spans="19:55" ht="15.75" customHeight="1">
      <c r="S232" s="454"/>
      <c r="AN232" s="458"/>
      <c r="AY232" s="458"/>
      <c r="AZ232" s="458"/>
      <c r="BA232" s="1305"/>
      <c r="BC232" s="169"/>
    </row>
    <row r="233" spans="19:55" ht="15.75" customHeight="1">
      <c r="S233" s="454"/>
      <c r="AN233" s="458"/>
      <c r="AY233" s="458"/>
      <c r="AZ233" s="458"/>
      <c r="BA233" s="1305"/>
      <c r="BC233" s="169"/>
    </row>
    <row r="234" spans="19:55" ht="15.75" customHeight="1">
      <c r="S234" s="454"/>
      <c r="AN234" s="458"/>
      <c r="AY234" s="458"/>
      <c r="AZ234" s="458"/>
      <c r="BA234" s="1305"/>
      <c r="BC234" s="169"/>
    </row>
    <row r="235" spans="19:55" ht="15.75" customHeight="1">
      <c r="S235" s="454"/>
      <c r="AN235" s="458"/>
      <c r="AY235" s="458"/>
      <c r="AZ235" s="458"/>
      <c r="BA235" s="1305"/>
      <c r="BC235" s="169"/>
    </row>
    <row r="236" spans="19:55" ht="15.75" customHeight="1">
      <c r="S236" s="454"/>
      <c r="AN236" s="458"/>
      <c r="AY236" s="458"/>
      <c r="AZ236" s="458"/>
      <c r="BA236" s="1305"/>
      <c r="BC236" s="169"/>
    </row>
    <row r="237" spans="19:55" ht="15.75" customHeight="1">
      <c r="S237" s="454"/>
      <c r="AN237" s="458"/>
      <c r="AY237" s="458"/>
      <c r="AZ237" s="458"/>
      <c r="BA237" s="1305"/>
      <c r="BC237" s="169"/>
    </row>
    <row r="238" spans="19:55" ht="15.75" customHeight="1">
      <c r="S238" s="454"/>
      <c r="AN238" s="458"/>
      <c r="AY238" s="458"/>
      <c r="AZ238" s="458"/>
      <c r="BA238" s="1305"/>
      <c r="BC238" s="169"/>
    </row>
    <row r="239" spans="19:55" ht="15.75" customHeight="1">
      <c r="S239" s="454"/>
      <c r="AN239" s="458"/>
      <c r="AY239" s="458"/>
      <c r="AZ239" s="458"/>
      <c r="BA239" s="1305"/>
      <c r="BC239" s="169"/>
    </row>
    <row r="240" spans="19:55" ht="15.75" customHeight="1">
      <c r="S240" s="454"/>
      <c r="AN240" s="458"/>
      <c r="AY240" s="458"/>
      <c r="AZ240" s="458"/>
      <c r="BA240" s="1305"/>
      <c r="BC240" s="169"/>
    </row>
    <row r="241" spans="19:55" ht="15.75" customHeight="1">
      <c r="S241" s="454"/>
      <c r="AN241" s="458"/>
      <c r="AY241" s="458"/>
      <c r="AZ241" s="458"/>
      <c r="BA241" s="1305"/>
      <c r="BC241" s="169"/>
    </row>
    <row r="242" spans="19:55" ht="15.75" customHeight="1">
      <c r="S242" s="454"/>
      <c r="AN242" s="458"/>
      <c r="AY242" s="458"/>
      <c r="AZ242" s="458"/>
      <c r="BA242" s="1305"/>
      <c r="BC242" s="169"/>
    </row>
    <row r="243" spans="19:55" ht="15.75" customHeight="1">
      <c r="S243" s="454"/>
      <c r="AN243" s="458"/>
      <c r="AY243" s="458"/>
      <c r="AZ243" s="458"/>
      <c r="BA243" s="1305"/>
      <c r="BC243" s="169"/>
    </row>
    <row r="244" spans="19:55" ht="15.75" customHeight="1">
      <c r="S244" s="454"/>
      <c r="AN244" s="458"/>
      <c r="AY244" s="458"/>
      <c r="AZ244" s="458"/>
      <c r="BA244" s="1305"/>
      <c r="BC244" s="169"/>
    </row>
    <row r="245" spans="19:55" ht="15.75" customHeight="1">
      <c r="S245" s="454"/>
      <c r="AN245" s="458"/>
      <c r="AY245" s="458"/>
      <c r="AZ245" s="458"/>
      <c r="BA245" s="1305"/>
      <c r="BC245" s="169"/>
    </row>
    <row r="246" spans="19:55" ht="15.75" customHeight="1">
      <c r="S246" s="454"/>
      <c r="AN246" s="458"/>
      <c r="AY246" s="458"/>
      <c r="AZ246" s="458"/>
      <c r="BA246" s="1305"/>
      <c r="BC246" s="169"/>
    </row>
    <row r="247" spans="19:55" ht="15.75" customHeight="1">
      <c r="S247" s="454"/>
      <c r="AN247" s="458"/>
      <c r="AY247" s="458"/>
      <c r="AZ247" s="458"/>
      <c r="BA247" s="1305"/>
      <c r="BC247" s="169"/>
    </row>
    <row r="248" spans="19:55" ht="15.75" customHeight="1">
      <c r="S248" s="454"/>
      <c r="AN248" s="458"/>
      <c r="AY248" s="458"/>
      <c r="AZ248" s="458"/>
      <c r="BA248" s="1305"/>
      <c r="BC248" s="169"/>
    </row>
    <row r="249" spans="19:55" ht="15.75" customHeight="1">
      <c r="S249" s="454"/>
      <c r="AN249" s="458"/>
      <c r="AY249" s="458"/>
      <c r="AZ249" s="458"/>
      <c r="BA249" s="1305"/>
      <c r="BC249" s="169"/>
    </row>
    <row r="250" spans="19:55" ht="15.75" customHeight="1">
      <c r="S250" s="454"/>
      <c r="AN250" s="458"/>
      <c r="AY250" s="458"/>
      <c r="AZ250" s="458"/>
      <c r="BA250" s="1305"/>
      <c r="BC250" s="169"/>
    </row>
    <row r="251" spans="19:55" ht="15.75" customHeight="1">
      <c r="S251" s="454"/>
      <c r="AN251" s="458"/>
      <c r="AY251" s="458"/>
      <c r="AZ251" s="458"/>
      <c r="BA251" s="1305"/>
      <c r="BC251" s="169"/>
    </row>
    <row r="252" spans="19:55" ht="15.75" customHeight="1">
      <c r="S252" s="454"/>
      <c r="AN252" s="458"/>
      <c r="AY252" s="458"/>
      <c r="AZ252" s="458"/>
      <c r="BA252" s="1305"/>
      <c r="BC252" s="169"/>
    </row>
    <row r="253" spans="19:55" ht="15.75" customHeight="1">
      <c r="S253" s="454"/>
      <c r="AN253" s="458"/>
      <c r="AY253" s="458"/>
      <c r="AZ253" s="458"/>
      <c r="BA253" s="1305"/>
      <c r="BC253" s="169"/>
    </row>
    <row r="254" spans="19:55" ht="15.75" customHeight="1">
      <c r="S254" s="454"/>
      <c r="AN254" s="458"/>
      <c r="AY254" s="458"/>
      <c r="AZ254" s="458"/>
      <c r="BA254" s="1305"/>
      <c r="BC254" s="169"/>
    </row>
    <row r="255" spans="19:55" ht="15.75" customHeight="1">
      <c r="S255" s="454"/>
      <c r="AN255" s="458"/>
      <c r="AY255" s="458"/>
      <c r="AZ255" s="458"/>
      <c r="BA255" s="1305"/>
      <c r="BC255" s="169"/>
    </row>
    <row r="256" spans="19:55" ht="15.75" customHeight="1">
      <c r="S256" s="454"/>
      <c r="AN256" s="458"/>
      <c r="AY256" s="458"/>
      <c r="AZ256" s="458"/>
      <c r="BA256" s="1305"/>
      <c r="BC256" s="169"/>
    </row>
    <row r="257" spans="19:55" ht="15.75" customHeight="1">
      <c r="S257" s="454"/>
      <c r="AN257" s="458"/>
      <c r="AY257" s="458"/>
      <c r="AZ257" s="458"/>
      <c r="BA257" s="1305"/>
      <c r="BC257" s="169"/>
    </row>
    <row r="258" spans="19:55" ht="15.75" customHeight="1">
      <c r="S258" s="454"/>
      <c r="AN258" s="458"/>
      <c r="AY258" s="458"/>
      <c r="AZ258" s="458"/>
      <c r="BA258" s="1305"/>
      <c r="BC258" s="169"/>
    </row>
    <row r="259" spans="19:55" ht="15.75" customHeight="1">
      <c r="S259" s="454"/>
      <c r="AN259" s="458"/>
      <c r="AY259" s="458"/>
      <c r="AZ259" s="458"/>
      <c r="BA259" s="1305"/>
      <c r="BC259" s="169"/>
    </row>
    <row r="260" spans="19:55" ht="15.75" customHeight="1">
      <c r="S260" s="454"/>
      <c r="AN260" s="458"/>
      <c r="AY260" s="458"/>
      <c r="AZ260" s="458"/>
      <c r="BA260" s="1305"/>
      <c r="BC260" s="169"/>
    </row>
    <row r="261" spans="19:55" ht="15.75" customHeight="1">
      <c r="S261" s="454"/>
      <c r="AN261" s="458"/>
      <c r="AY261" s="458"/>
      <c r="AZ261" s="458"/>
      <c r="BA261" s="1305"/>
      <c r="BC261" s="169"/>
    </row>
    <row r="262" spans="19:55" ht="15.75" customHeight="1">
      <c r="S262" s="454"/>
      <c r="AN262" s="458"/>
      <c r="AY262" s="458"/>
      <c r="AZ262" s="458"/>
      <c r="BA262" s="1305"/>
      <c r="BC262" s="169"/>
    </row>
    <row r="263" spans="19:55" ht="15.75" customHeight="1">
      <c r="S263" s="454"/>
      <c r="AN263" s="458"/>
      <c r="AY263" s="458"/>
      <c r="AZ263" s="458"/>
      <c r="BA263" s="1305"/>
      <c r="BC263" s="169"/>
    </row>
    <row r="264" spans="19:55" ht="15.75" customHeight="1">
      <c r="S264" s="454"/>
      <c r="AN264" s="458"/>
      <c r="AY264" s="458"/>
      <c r="AZ264" s="458"/>
      <c r="BA264" s="1305"/>
      <c r="BC264" s="169"/>
    </row>
    <row r="265" spans="19:55" ht="15.75" customHeight="1">
      <c r="S265" s="454"/>
      <c r="AN265" s="458"/>
      <c r="AY265" s="458"/>
      <c r="AZ265" s="458"/>
      <c r="BA265" s="1305"/>
      <c r="BC265" s="169"/>
    </row>
    <row r="266" spans="19:55" ht="15.75" customHeight="1">
      <c r="S266" s="454"/>
      <c r="AN266" s="458"/>
      <c r="AY266" s="458"/>
      <c r="AZ266" s="458"/>
      <c r="BA266" s="1305"/>
      <c r="BC266" s="169"/>
    </row>
    <row r="267" spans="19:55" ht="15.75" customHeight="1">
      <c r="S267" s="454"/>
      <c r="AN267" s="458"/>
      <c r="AY267" s="458"/>
      <c r="AZ267" s="458"/>
      <c r="BA267" s="1305"/>
      <c r="BC267" s="169"/>
    </row>
    <row r="268" spans="19:55" ht="15.75" customHeight="1">
      <c r="S268" s="454"/>
      <c r="AN268" s="458"/>
      <c r="AY268" s="458"/>
      <c r="AZ268" s="458"/>
      <c r="BA268" s="1305"/>
      <c r="BC268" s="169"/>
    </row>
    <row r="269" spans="19:55" ht="15.75" customHeight="1">
      <c r="S269" s="454"/>
      <c r="AN269" s="458"/>
      <c r="AY269" s="458"/>
      <c r="AZ269" s="458"/>
      <c r="BA269" s="1305"/>
      <c r="BC269" s="169"/>
    </row>
    <row r="270" spans="19:55" ht="15.75" customHeight="1">
      <c r="S270" s="454"/>
      <c r="AN270" s="458"/>
      <c r="AY270" s="458"/>
      <c r="AZ270" s="458"/>
      <c r="BA270" s="1305"/>
      <c r="BC270" s="169"/>
    </row>
    <row r="271" spans="19:55" ht="15.75" customHeight="1">
      <c r="S271" s="454"/>
      <c r="AN271" s="458"/>
      <c r="AY271" s="458"/>
      <c r="AZ271" s="458"/>
      <c r="BA271" s="1305"/>
      <c r="BC271" s="169"/>
    </row>
    <row r="272" spans="19:55" ht="15.75" customHeight="1">
      <c r="S272" s="454"/>
      <c r="AN272" s="458"/>
      <c r="AY272" s="458"/>
      <c r="AZ272" s="458"/>
      <c r="BA272" s="1305"/>
      <c r="BC272" s="169"/>
    </row>
    <row r="273" spans="19:55" ht="15.75" customHeight="1">
      <c r="S273" s="454"/>
      <c r="AN273" s="458"/>
      <c r="AY273" s="458"/>
      <c r="AZ273" s="458"/>
      <c r="BA273" s="1305"/>
      <c r="BC273" s="169"/>
    </row>
    <row r="274" spans="19:55" ht="15.75" customHeight="1">
      <c r="S274" s="454"/>
      <c r="AN274" s="458"/>
      <c r="AY274" s="458"/>
      <c r="AZ274" s="458"/>
      <c r="BA274" s="1305"/>
      <c r="BC274" s="169"/>
    </row>
    <row r="275" spans="19:55" ht="15.75" customHeight="1">
      <c r="S275" s="454"/>
      <c r="AN275" s="458"/>
      <c r="AY275" s="458"/>
      <c r="AZ275" s="458"/>
      <c r="BA275" s="1305"/>
      <c r="BC275" s="169"/>
    </row>
    <row r="276" spans="19:55" ht="15.75" customHeight="1">
      <c r="S276" s="454"/>
      <c r="AN276" s="458"/>
      <c r="AY276" s="458"/>
      <c r="AZ276" s="458"/>
      <c r="BA276" s="1305"/>
      <c r="BC276" s="169"/>
    </row>
    <row r="277" spans="19:55" ht="15.75" customHeight="1">
      <c r="S277" s="454"/>
      <c r="AN277" s="458"/>
      <c r="AY277" s="458"/>
      <c r="AZ277" s="458"/>
      <c r="BA277" s="1305"/>
      <c r="BC277" s="169"/>
    </row>
    <row r="278" spans="19:55" ht="15.75" customHeight="1">
      <c r="S278" s="454"/>
      <c r="AN278" s="458"/>
      <c r="AY278" s="458"/>
      <c r="AZ278" s="458"/>
      <c r="BA278" s="1305"/>
      <c r="BC278" s="169"/>
    </row>
    <row r="279" spans="19:55" ht="15.75" customHeight="1">
      <c r="S279" s="454"/>
      <c r="AN279" s="458"/>
      <c r="AY279" s="458"/>
      <c r="AZ279" s="458"/>
      <c r="BA279" s="1305"/>
      <c r="BC279" s="169"/>
    </row>
    <row r="280" spans="19:55" ht="15.75" customHeight="1">
      <c r="S280" s="454"/>
      <c r="AN280" s="458"/>
      <c r="AY280" s="458"/>
      <c r="AZ280" s="458"/>
      <c r="BA280" s="1305"/>
      <c r="BC280" s="169"/>
    </row>
    <row r="281" spans="19:55" ht="15.75" customHeight="1">
      <c r="S281" s="454"/>
      <c r="AN281" s="458"/>
      <c r="AY281" s="458"/>
      <c r="AZ281" s="458"/>
      <c r="BA281" s="1305"/>
      <c r="BC281" s="169"/>
    </row>
    <row r="282" spans="19:55" ht="15.75" customHeight="1">
      <c r="S282" s="454"/>
      <c r="AN282" s="458"/>
      <c r="AY282" s="458"/>
      <c r="AZ282" s="458"/>
      <c r="BA282" s="1305"/>
      <c r="BC282" s="169"/>
    </row>
    <row r="283" spans="19:55" ht="15.75" customHeight="1">
      <c r="S283" s="454"/>
      <c r="AN283" s="458"/>
      <c r="AY283" s="458"/>
      <c r="AZ283" s="458"/>
      <c r="BA283" s="1305"/>
      <c r="BC283" s="169"/>
    </row>
    <row r="284" spans="19:55" ht="15.75" customHeight="1">
      <c r="S284" s="454"/>
      <c r="AN284" s="458"/>
      <c r="AY284" s="458"/>
      <c r="AZ284" s="458"/>
      <c r="BA284" s="1305"/>
      <c r="BC284" s="169"/>
    </row>
    <row r="285" spans="19:55" ht="15.75" customHeight="1">
      <c r="S285" s="454"/>
      <c r="AN285" s="458"/>
      <c r="AY285" s="458"/>
      <c r="AZ285" s="458"/>
      <c r="BA285" s="1305"/>
      <c r="BC285" s="169"/>
    </row>
    <row r="286" spans="19:55" ht="15.75" customHeight="1">
      <c r="S286" s="454"/>
      <c r="AN286" s="458"/>
      <c r="AY286" s="458"/>
      <c r="AZ286" s="458"/>
      <c r="BA286" s="1305"/>
      <c r="BC286" s="169"/>
    </row>
    <row r="287" spans="19:55" ht="15.75" customHeight="1">
      <c r="S287" s="454"/>
      <c r="AN287" s="458"/>
      <c r="AY287" s="458"/>
      <c r="AZ287" s="458"/>
      <c r="BA287" s="1305"/>
      <c r="BC287" s="169"/>
    </row>
    <row r="288" spans="19:55" ht="15.75" customHeight="1">
      <c r="S288" s="454"/>
      <c r="AN288" s="458"/>
      <c r="AY288" s="458"/>
      <c r="AZ288" s="458"/>
      <c r="BA288" s="1305"/>
      <c r="BC288" s="169"/>
    </row>
    <row r="289" spans="19:55" ht="15.75" customHeight="1">
      <c r="S289" s="454"/>
      <c r="AN289" s="458"/>
      <c r="AY289" s="458"/>
      <c r="AZ289" s="458"/>
      <c r="BA289" s="1305"/>
      <c r="BC289" s="169"/>
    </row>
    <row r="290" spans="19:55" ht="15.75" customHeight="1">
      <c r="S290" s="454"/>
      <c r="AN290" s="458"/>
      <c r="AY290" s="458"/>
      <c r="AZ290" s="458"/>
      <c r="BA290" s="1305"/>
      <c r="BC290" s="169"/>
    </row>
    <row r="291" spans="19:55" ht="15.75" customHeight="1">
      <c r="S291" s="454"/>
      <c r="AN291" s="458"/>
      <c r="AY291" s="458"/>
      <c r="AZ291" s="458"/>
      <c r="BA291" s="1305"/>
      <c r="BC291" s="169"/>
    </row>
    <row r="292" spans="19:55" ht="15.75" customHeight="1">
      <c r="S292" s="454"/>
      <c r="AN292" s="458"/>
      <c r="AY292" s="458"/>
      <c r="AZ292" s="458"/>
      <c r="BA292" s="1305"/>
      <c r="BC292" s="169"/>
    </row>
    <row r="293" spans="19:55" ht="15.75" customHeight="1">
      <c r="S293" s="454"/>
      <c r="AN293" s="458"/>
      <c r="AY293" s="458"/>
      <c r="AZ293" s="458"/>
      <c r="BA293" s="1305"/>
      <c r="BC293" s="169"/>
    </row>
    <row r="294" spans="19:55" ht="15.75" customHeight="1">
      <c r="S294" s="454"/>
      <c r="AN294" s="458"/>
      <c r="AY294" s="458"/>
      <c r="AZ294" s="458"/>
      <c r="BA294" s="1305"/>
      <c r="BC294" s="169"/>
    </row>
    <row r="295" spans="19:55" ht="15.75" customHeight="1">
      <c r="S295" s="454"/>
      <c r="AN295" s="458"/>
      <c r="AY295" s="458"/>
      <c r="AZ295" s="458"/>
      <c r="BA295" s="1305"/>
      <c r="BC295" s="169"/>
    </row>
    <row r="296" spans="19:55" ht="15.75" customHeight="1">
      <c r="S296" s="454"/>
      <c r="AN296" s="458"/>
      <c r="AY296" s="458"/>
      <c r="AZ296" s="458"/>
      <c r="BA296" s="1305"/>
      <c r="BC296" s="169"/>
    </row>
    <row r="297" spans="19:55" ht="15.75" customHeight="1">
      <c r="S297" s="454"/>
      <c r="AN297" s="458"/>
      <c r="AY297" s="458"/>
      <c r="AZ297" s="458"/>
      <c r="BA297" s="1305"/>
      <c r="BC297" s="169"/>
    </row>
    <row r="298" spans="19:55" ht="15.75" customHeight="1">
      <c r="S298" s="454"/>
      <c r="AN298" s="458"/>
      <c r="AY298" s="458"/>
      <c r="AZ298" s="458"/>
      <c r="BA298" s="1305"/>
      <c r="BC298" s="169"/>
    </row>
    <row r="299" spans="19:55" ht="15.75" customHeight="1">
      <c r="S299" s="454"/>
      <c r="AN299" s="458"/>
      <c r="AY299" s="458"/>
      <c r="AZ299" s="458"/>
      <c r="BA299" s="1305"/>
      <c r="BC299" s="169"/>
    </row>
    <row r="300" spans="19:55" ht="15.75" customHeight="1">
      <c r="S300" s="454"/>
      <c r="AN300" s="458"/>
      <c r="AY300" s="458"/>
      <c r="AZ300" s="458"/>
      <c r="BA300" s="1305"/>
      <c r="BC300" s="169"/>
    </row>
    <row r="301" spans="19:55" ht="15.75" customHeight="1">
      <c r="S301" s="454"/>
      <c r="AN301" s="458"/>
      <c r="AY301" s="458"/>
      <c r="AZ301" s="458"/>
      <c r="BA301" s="1305"/>
      <c r="BC301" s="169"/>
    </row>
    <row r="302" spans="19:55" ht="15.75" customHeight="1">
      <c r="S302" s="454"/>
      <c r="AN302" s="458"/>
      <c r="AY302" s="458"/>
      <c r="AZ302" s="458"/>
      <c r="BA302" s="1305"/>
      <c r="BC302" s="169"/>
    </row>
    <row r="303" spans="19:55" ht="15.75" customHeight="1">
      <c r="S303" s="454"/>
      <c r="AN303" s="458"/>
      <c r="AY303" s="458"/>
      <c r="AZ303" s="458"/>
      <c r="BA303" s="1305"/>
      <c r="BC303" s="169"/>
    </row>
    <row r="304" spans="19:55" ht="15.75" customHeight="1">
      <c r="S304" s="454"/>
      <c r="AN304" s="458"/>
      <c r="AY304" s="458"/>
      <c r="AZ304" s="458"/>
      <c r="BA304" s="1305"/>
      <c r="BC304" s="169"/>
    </row>
    <row r="305" spans="19:55" ht="15.75" customHeight="1">
      <c r="S305" s="454"/>
      <c r="AN305" s="458"/>
      <c r="AY305" s="458"/>
      <c r="AZ305" s="458"/>
      <c r="BA305" s="1305"/>
      <c r="BC305" s="169"/>
    </row>
    <row r="306" spans="19:55" ht="15.75" customHeight="1">
      <c r="S306" s="454"/>
      <c r="AN306" s="458"/>
      <c r="AY306" s="458"/>
      <c r="AZ306" s="458"/>
      <c r="BA306" s="1305"/>
      <c r="BC306" s="169"/>
    </row>
    <row r="307" spans="19:55" ht="15.75" customHeight="1">
      <c r="S307" s="454"/>
      <c r="AN307" s="458"/>
      <c r="AY307" s="458"/>
      <c r="AZ307" s="458"/>
      <c r="BA307" s="1305"/>
      <c r="BC307" s="169"/>
    </row>
    <row r="308" spans="19:55" ht="15.75" customHeight="1">
      <c r="S308" s="454"/>
      <c r="AN308" s="458"/>
      <c r="AY308" s="458"/>
      <c r="AZ308" s="458"/>
      <c r="BA308" s="1305"/>
      <c r="BC308" s="169"/>
    </row>
    <row r="309" spans="19:55" ht="15.75" customHeight="1">
      <c r="S309" s="454"/>
      <c r="AN309" s="458"/>
      <c r="AY309" s="458"/>
      <c r="AZ309" s="458"/>
      <c r="BA309" s="1305"/>
      <c r="BC309" s="169"/>
    </row>
    <row r="310" spans="19:55" ht="15.75" customHeight="1">
      <c r="S310" s="454"/>
      <c r="AN310" s="458"/>
      <c r="AY310" s="458"/>
      <c r="AZ310" s="458"/>
      <c r="BA310" s="1305"/>
      <c r="BC310" s="169"/>
    </row>
    <row r="311" spans="19:55" ht="15.75" customHeight="1">
      <c r="S311" s="454"/>
      <c r="AN311" s="458"/>
      <c r="AY311" s="458"/>
      <c r="AZ311" s="458"/>
      <c r="BA311" s="1305"/>
      <c r="BC311" s="169"/>
    </row>
    <row r="312" spans="19:55" ht="15.75" customHeight="1">
      <c r="S312" s="454"/>
      <c r="AN312" s="458"/>
      <c r="AY312" s="458"/>
      <c r="AZ312" s="458"/>
      <c r="BA312" s="1305"/>
      <c r="BC312" s="169"/>
    </row>
    <row r="313" spans="19:55" ht="15.75" customHeight="1">
      <c r="S313" s="454"/>
      <c r="AN313" s="458"/>
      <c r="AY313" s="458"/>
      <c r="AZ313" s="458"/>
      <c r="BA313" s="1305"/>
      <c r="BC313" s="169"/>
    </row>
    <row r="314" spans="19:55" ht="15.75" customHeight="1">
      <c r="S314" s="454"/>
      <c r="AN314" s="458"/>
      <c r="AY314" s="458"/>
      <c r="AZ314" s="458"/>
      <c r="BA314" s="1305"/>
      <c r="BC314" s="169"/>
    </row>
    <row r="315" spans="19:55" ht="15.75" customHeight="1">
      <c r="S315" s="454"/>
      <c r="AN315" s="458"/>
      <c r="AY315" s="458"/>
      <c r="AZ315" s="458"/>
      <c r="BA315" s="1305"/>
      <c r="BC315" s="169"/>
    </row>
    <row r="316" spans="19:55" ht="15.75" customHeight="1">
      <c r="S316" s="454"/>
      <c r="AN316" s="458"/>
      <c r="AY316" s="458"/>
      <c r="AZ316" s="458"/>
      <c r="BA316" s="1305"/>
      <c r="BC316" s="169"/>
    </row>
    <row r="317" spans="19:55" ht="15.75" customHeight="1">
      <c r="S317" s="454"/>
      <c r="AN317" s="458"/>
      <c r="AY317" s="458"/>
      <c r="AZ317" s="458"/>
      <c r="BA317" s="1305"/>
      <c r="BC317" s="169"/>
    </row>
    <row r="318" spans="19:55" ht="15.75" customHeight="1">
      <c r="S318" s="454"/>
      <c r="AN318" s="458"/>
      <c r="AY318" s="458"/>
      <c r="AZ318" s="458"/>
      <c r="BA318" s="1305"/>
      <c r="BC318" s="169"/>
    </row>
    <row r="319" spans="19:55" ht="15.75" customHeight="1">
      <c r="S319" s="454"/>
      <c r="AN319" s="458"/>
      <c r="AY319" s="458"/>
      <c r="AZ319" s="458"/>
      <c r="BA319" s="1305"/>
      <c r="BC319" s="169"/>
    </row>
    <row r="320" spans="19:55" ht="15.75" customHeight="1">
      <c r="S320" s="454"/>
      <c r="AN320" s="458"/>
      <c r="AY320" s="458"/>
      <c r="AZ320" s="458"/>
      <c r="BA320" s="1305"/>
      <c r="BC320" s="169"/>
    </row>
    <row r="321" spans="19:55" ht="15.75" customHeight="1">
      <c r="S321" s="454"/>
      <c r="AN321" s="458"/>
      <c r="AY321" s="458"/>
      <c r="AZ321" s="458"/>
      <c r="BA321" s="1305"/>
      <c r="BC321" s="169"/>
    </row>
    <row r="322" spans="19:55" ht="15.75" customHeight="1">
      <c r="S322" s="454"/>
      <c r="AN322" s="458"/>
      <c r="AY322" s="458"/>
      <c r="AZ322" s="458"/>
      <c r="BA322" s="1305"/>
      <c r="BC322" s="169"/>
    </row>
    <row r="323" spans="19:55" ht="15.75" customHeight="1">
      <c r="S323" s="454"/>
      <c r="AN323" s="458"/>
      <c r="AY323" s="458"/>
      <c r="AZ323" s="458"/>
      <c r="BA323" s="1305"/>
      <c r="BC323" s="169"/>
    </row>
    <row r="324" spans="19:55" ht="15.75" customHeight="1">
      <c r="S324" s="454"/>
      <c r="AN324" s="458"/>
      <c r="AY324" s="458"/>
      <c r="AZ324" s="458"/>
      <c r="BA324" s="1305"/>
      <c r="BC324" s="169"/>
    </row>
    <row r="325" spans="19:55" ht="15.75" customHeight="1">
      <c r="S325" s="454"/>
      <c r="AN325" s="458"/>
      <c r="AY325" s="458"/>
      <c r="AZ325" s="458"/>
      <c r="BA325" s="1305"/>
      <c r="BC325" s="169"/>
    </row>
    <row r="326" spans="19:55" ht="15.75" customHeight="1">
      <c r="S326" s="454"/>
      <c r="AN326" s="458"/>
      <c r="AY326" s="458"/>
      <c r="AZ326" s="458"/>
      <c r="BA326" s="1305"/>
      <c r="BC326" s="169"/>
    </row>
    <row r="327" spans="19:55" ht="15.75" customHeight="1">
      <c r="S327" s="454"/>
      <c r="AN327" s="458"/>
      <c r="AY327" s="458"/>
      <c r="AZ327" s="458"/>
      <c r="BA327" s="1305"/>
      <c r="BC327" s="169"/>
    </row>
    <row r="328" spans="19:55" ht="15.75" customHeight="1">
      <c r="S328" s="454"/>
      <c r="AN328" s="458"/>
      <c r="AY328" s="458"/>
      <c r="AZ328" s="458"/>
      <c r="BA328" s="1305"/>
      <c r="BC328" s="169"/>
    </row>
    <row r="329" spans="19:55" ht="15.75" customHeight="1">
      <c r="S329" s="454"/>
      <c r="AN329" s="458"/>
      <c r="AY329" s="458"/>
      <c r="AZ329" s="458"/>
      <c r="BA329" s="1305"/>
      <c r="BC329" s="169"/>
    </row>
    <row r="330" spans="19:55" ht="15.75" customHeight="1">
      <c r="S330" s="454"/>
      <c r="AN330" s="458"/>
      <c r="AY330" s="458"/>
      <c r="AZ330" s="458"/>
      <c r="BA330" s="1305"/>
      <c r="BC330" s="169"/>
    </row>
    <row r="331" spans="19:55" ht="15.75" customHeight="1">
      <c r="S331" s="454"/>
      <c r="AN331" s="458"/>
      <c r="AY331" s="458"/>
      <c r="AZ331" s="458"/>
      <c r="BA331" s="1305"/>
      <c r="BC331" s="169"/>
    </row>
    <row r="332" spans="19:55" ht="15.75" customHeight="1">
      <c r="S332" s="454"/>
      <c r="AN332" s="458"/>
      <c r="AY332" s="458"/>
      <c r="AZ332" s="458"/>
      <c r="BA332" s="1305"/>
      <c r="BC332" s="169"/>
    </row>
    <row r="333" spans="19:55" ht="15.75" customHeight="1">
      <c r="S333" s="454"/>
      <c r="AN333" s="458"/>
      <c r="AY333" s="458"/>
      <c r="AZ333" s="458"/>
      <c r="BA333" s="1305"/>
      <c r="BC333" s="169"/>
    </row>
    <row r="334" spans="19:55" ht="15.75" customHeight="1">
      <c r="S334" s="454"/>
      <c r="AN334" s="458"/>
      <c r="AY334" s="458"/>
      <c r="AZ334" s="458"/>
      <c r="BA334" s="1305"/>
      <c r="BC334" s="169"/>
    </row>
    <row r="335" spans="19:55" ht="15.75" customHeight="1">
      <c r="S335" s="454"/>
      <c r="AN335" s="458"/>
      <c r="AY335" s="458"/>
      <c r="AZ335" s="458"/>
      <c r="BA335" s="1305"/>
      <c r="BC335" s="169"/>
    </row>
    <row r="336" spans="19:55" ht="15.75" customHeight="1">
      <c r="S336" s="454"/>
      <c r="AN336" s="458"/>
      <c r="AY336" s="458"/>
      <c r="AZ336" s="458"/>
      <c r="BA336" s="1305"/>
      <c r="BC336" s="169"/>
    </row>
    <row r="337" spans="19:55" ht="15.75" customHeight="1">
      <c r="S337" s="454"/>
      <c r="AN337" s="458"/>
      <c r="AY337" s="458"/>
      <c r="AZ337" s="458"/>
      <c r="BA337" s="1305"/>
      <c r="BC337" s="169"/>
    </row>
    <row r="338" spans="19:55" ht="15.75" customHeight="1">
      <c r="S338" s="454"/>
      <c r="AN338" s="458"/>
      <c r="AY338" s="458"/>
      <c r="AZ338" s="458"/>
      <c r="BA338" s="1305"/>
      <c r="BC338" s="169"/>
    </row>
    <row r="339" spans="19:55" ht="15.75" customHeight="1">
      <c r="S339" s="454"/>
      <c r="AN339" s="458"/>
      <c r="AY339" s="458"/>
      <c r="AZ339" s="458"/>
      <c r="BA339" s="1305"/>
      <c r="BC339" s="169"/>
    </row>
    <row r="340" spans="19:55" ht="15.75" customHeight="1">
      <c r="S340" s="454"/>
      <c r="AN340" s="458"/>
      <c r="AY340" s="458"/>
      <c r="AZ340" s="458"/>
      <c r="BA340" s="1305"/>
      <c r="BC340" s="169"/>
    </row>
    <row r="341" spans="19:55" ht="15.75" customHeight="1">
      <c r="S341" s="454"/>
      <c r="AN341" s="458"/>
      <c r="AY341" s="458"/>
      <c r="AZ341" s="458"/>
      <c r="BA341" s="1305"/>
      <c r="BC341" s="169"/>
    </row>
    <row r="342" spans="19:55" ht="15.75" customHeight="1">
      <c r="S342" s="454"/>
      <c r="AN342" s="458"/>
      <c r="AY342" s="458"/>
      <c r="AZ342" s="458"/>
      <c r="BA342" s="1305"/>
      <c r="BC342" s="169"/>
    </row>
    <row r="343" spans="19:55" ht="15.75" customHeight="1">
      <c r="S343" s="454"/>
      <c r="AN343" s="458"/>
      <c r="AY343" s="458"/>
      <c r="AZ343" s="458"/>
      <c r="BA343" s="1305"/>
      <c r="BC343" s="169"/>
    </row>
    <row r="344" spans="19:55" ht="15.75" customHeight="1">
      <c r="S344" s="454"/>
      <c r="AN344" s="458"/>
      <c r="AY344" s="458"/>
      <c r="AZ344" s="458"/>
      <c r="BA344" s="1305"/>
      <c r="BC344" s="169"/>
    </row>
    <row r="345" spans="19:55" ht="15.75" customHeight="1">
      <c r="S345" s="454"/>
      <c r="AN345" s="458"/>
      <c r="AY345" s="458"/>
      <c r="AZ345" s="458"/>
      <c r="BA345" s="1305"/>
      <c r="BC345" s="169"/>
    </row>
    <row r="346" spans="19:55" ht="15.75" customHeight="1">
      <c r="S346" s="454"/>
      <c r="AN346" s="458"/>
      <c r="AY346" s="458"/>
      <c r="AZ346" s="458"/>
      <c r="BA346" s="1305"/>
      <c r="BC346" s="169"/>
    </row>
    <row r="347" spans="19:55" ht="15.75" customHeight="1">
      <c r="S347" s="454"/>
      <c r="AN347" s="458"/>
      <c r="AY347" s="458"/>
      <c r="AZ347" s="458"/>
      <c r="BA347" s="1305"/>
      <c r="BC347" s="169"/>
    </row>
    <row r="348" spans="19:55" ht="15.75" customHeight="1">
      <c r="S348" s="454"/>
      <c r="AN348" s="458"/>
      <c r="AY348" s="458"/>
      <c r="AZ348" s="458"/>
      <c r="BA348" s="1305"/>
      <c r="BC348" s="169"/>
    </row>
    <row r="349" spans="19:55" ht="15.75" customHeight="1">
      <c r="S349" s="454"/>
      <c r="AN349" s="458"/>
      <c r="AY349" s="458"/>
      <c r="AZ349" s="458"/>
      <c r="BA349" s="1305"/>
      <c r="BC349" s="169"/>
    </row>
    <row r="350" spans="19:55" ht="15.75" customHeight="1">
      <c r="S350" s="454"/>
      <c r="AN350" s="458"/>
      <c r="AY350" s="458"/>
      <c r="AZ350" s="458"/>
      <c r="BA350" s="1305"/>
      <c r="BC350" s="169"/>
    </row>
    <row r="351" spans="19:55" ht="15.75" customHeight="1">
      <c r="S351" s="454"/>
      <c r="AN351" s="458"/>
      <c r="AY351" s="458"/>
      <c r="AZ351" s="458"/>
      <c r="BA351" s="1305"/>
      <c r="BC351" s="169"/>
    </row>
    <row r="352" spans="19:55" ht="15.75" customHeight="1">
      <c r="S352" s="454"/>
      <c r="AN352" s="458"/>
      <c r="AY352" s="458"/>
      <c r="AZ352" s="458"/>
      <c r="BA352" s="1305"/>
      <c r="BC352" s="169"/>
    </row>
    <row r="353" spans="19:55" ht="15.75" customHeight="1">
      <c r="S353" s="454"/>
      <c r="AN353" s="458"/>
      <c r="AY353" s="458"/>
      <c r="AZ353" s="458"/>
      <c r="BA353" s="1305"/>
      <c r="BC353" s="169"/>
    </row>
    <row r="354" spans="19:55" ht="15.75" customHeight="1">
      <c r="S354" s="454"/>
      <c r="AN354" s="458"/>
      <c r="AY354" s="458"/>
      <c r="AZ354" s="458"/>
      <c r="BA354" s="1305"/>
      <c r="BC354" s="169"/>
    </row>
    <row r="355" spans="19:55" ht="15.75" customHeight="1">
      <c r="S355" s="454"/>
      <c r="AN355" s="458"/>
      <c r="AY355" s="458"/>
      <c r="AZ355" s="458"/>
      <c r="BA355" s="1305"/>
      <c r="BC355" s="169"/>
    </row>
    <row r="356" spans="19:55" ht="15.75" customHeight="1">
      <c r="S356" s="454"/>
      <c r="AN356" s="458"/>
      <c r="AY356" s="458"/>
      <c r="AZ356" s="458"/>
      <c r="BA356" s="1305"/>
      <c r="BC356" s="169"/>
    </row>
    <row r="357" spans="19:55" ht="15.75" customHeight="1">
      <c r="S357" s="454"/>
      <c r="AN357" s="458"/>
      <c r="AY357" s="458"/>
      <c r="AZ357" s="458"/>
      <c r="BA357" s="1305"/>
      <c r="BC357" s="169"/>
    </row>
    <row r="358" spans="19:55" ht="15.75" customHeight="1">
      <c r="S358" s="454"/>
      <c r="AN358" s="458"/>
      <c r="AY358" s="458"/>
      <c r="AZ358" s="458"/>
      <c r="BA358" s="1305"/>
      <c r="BC358" s="169"/>
    </row>
    <row r="359" spans="19:55" ht="15.75" customHeight="1">
      <c r="S359" s="454"/>
      <c r="AN359" s="458"/>
      <c r="AY359" s="458"/>
      <c r="AZ359" s="458"/>
      <c r="BA359" s="1305"/>
      <c r="BC359" s="169"/>
    </row>
    <row r="360" spans="19:55" ht="15.75" customHeight="1">
      <c r="S360" s="454"/>
      <c r="AN360" s="458"/>
      <c r="AY360" s="458"/>
      <c r="AZ360" s="458"/>
      <c r="BA360" s="1305"/>
      <c r="BC360" s="169"/>
    </row>
    <row r="361" spans="19:55" ht="15.75" customHeight="1">
      <c r="S361" s="454"/>
      <c r="AN361" s="458"/>
      <c r="AY361" s="458"/>
      <c r="AZ361" s="458"/>
      <c r="BA361" s="1305"/>
      <c r="BC361" s="169"/>
    </row>
    <row r="362" spans="19:55" ht="15.75" customHeight="1">
      <c r="S362" s="454"/>
      <c r="AN362" s="458"/>
      <c r="AY362" s="458"/>
      <c r="AZ362" s="458"/>
      <c r="BA362" s="1305"/>
      <c r="BC362" s="169"/>
    </row>
    <row r="363" spans="19:55" ht="15.75" customHeight="1">
      <c r="S363" s="454"/>
      <c r="AN363" s="458"/>
      <c r="AY363" s="458"/>
      <c r="AZ363" s="458"/>
      <c r="BA363" s="1305"/>
      <c r="BC363" s="169"/>
    </row>
    <row r="364" spans="19:55" ht="15.75" customHeight="1">
      <c r="S364" s="454"/>
      <c r="AN364" s="458"/>
      <c r="AY364" s="458"/>
      <c r="AZ364" s="458"/>
      <c r="BA364" s="1305"/>
      <c r="BC364" s="169"/>
    </row>
    <row r="365" spans="19:55" ht="15.75" customHeight="1">
      <c r="S365" s="454"/>
      <c r="AN365" s="458"/>
      <c r="AY365" s="458"/>
      <c r="AZ365" s="458"/>
      <c r="BA365" s="1305"/>
      <c r="BC365" s="169"/>
    </row>
    <row r="366" spans="19:55" ht="15.75" customHeight="1">
      <c r="S366" s="454"/>
      <c r="AN366" s="458"/>
      <c r="AY366" s="458"/>
      <c r="AZ366" s="458"/>
      <c r="BA366" s="1305"/>
      <c r="BC366" s="169"/>
    </row>
    <row r="367" spans="19:55" ht="15.75" customHeight="1">
      <c r="S367" s="454"/>
      <c r="AN367" s="458"/>
      <c r="AY367" s="458"/>
      <c r="AZ367" s="458"/>
      <c r="BA367" s="1305"/>
      <c r="BC367" s="169"/>
    </row>
    <row r="368" spans="19:55" ht="15.75" customHeight="1">
      <c r="S368" s="454"/>
      <c r="AN368" s="458"/>
      <c r="AY368" s="458"/>
      <c r="AZ368" s="458"/>
      <c r="BA368" s="1305"/>
      <c r="BC368" s="169"/>
    </row>
    <row r="369" spans="19:55" ht="15.75" customHeight="1">
      <c r="S369" s="454"/>
      <c r="AN369" s="458"/>
      <c r="AY369" s="458"/>
      <c r="AZ369" s="458"/>
      <c r="BA369" s="1305"/>
      <c r="BC369" s="169"/>
    </row>
    <row r="370" spans="19:55" ht="15.75" customHeight="1">
      <c r="S370" s="454"/>
      <c r="AN370" s="458"/>
      <c r="AY370" s="458"/>
      <c r="AZ370" s="458"/>
      <c r="BA370" s="1305"/>
      <c r="BC370" s="169"/>
    </row>
    <row r="371" spans="19:55" ht="15.75" customHeight="1">
      <c r="S371" s="454"/>
      <c r="AN371" s="458"/>
      <c r="AY371" s="458"/>
      <c r="AZ371" s="458"/>
      <c r="BA371" s="1305"/>
      <c r="BC371" s="169"/>
    </row>
    <row r="372" spans="19:55" ht="15.75" customHeight="1">
      <c r="S372" s="454"/>
      <c r="AN372" s="458"/>
      <c r="AY372" s="458"/>
      <c r="AZ372" s="458"/>
      <c r="BA372" s="1305"/>
      <c r="BC372" s="169"/>
    </row>
    <row r="373" spans="19:55" ht="15.75" customHeight="1">
      <c r="S373" s="454"/>
      <c r="AN373" s="458"/>
      <c r="AY373" s="458"/>
      <c r="AZ373" s="458"/>
      <c r="BA373" s="1305"/>
      <c r="BC373" s="169"/>
    </row>
    <row r="374" spans="19:55" ht="15.75" customHeight="1">
      <c r="S374" s="454"/>
      <c r="AN374" s="458"/>
      <c r="AY374" s="458"/>
      <c r="AZ374" s="458"/>
      <c r="BA374" s="1305"/>
      <c r="BC374" s="169"/>
    </row>
    <row r="375" spans="19:55" ht="15.75" customHeight="1">
      <c r="S375" s="454"/>
      <c r="AN375" s="458"/>
      <c r="AY375" s="458"/>
      <c r="AZ375" s="458"/>
      <c r="BA375" s="1305"/>
      <c r="BC375" s="169"/>
    </row>
    <row r="376" spans="19:55" ht="15.75" customHeight="1">
      <c r="S376" s="454"/>
      <c r="AN376" s="458"/>
      <c r="AY376" s="458"/>
      <c r="AZ376" s="458"/>
      <c r="BA376" s="1305"/>
      <c r="BC376" s="169"/>
    </row>
    <row r="377" spans="19:55" ht="15.75" customHeight="1">
      <c r="S377" s="454"/>
      <c r="AN377" s="458"/>
      <c r="AY377" s="458"/>
      <c r="AZ377" s="458"/>
      <c r="BA377" s="1305"/>
      <c r="BC377" s="169"/>
    </row>
    <row r="378" spans="19:55" ht="15.75" customHeight="1">
      <c r="S378" s="454"/>
      <c r="AN378" s="458"/>
      <c r="AY378" s="458"/>
      <c r="AZ378" s="458"/>
      <c r="BA378" s="1305"/>
      <c r="BC378" s="169"/>
    </row>
    <row r="379" spans="19:55" ht="15.75" customHeight="1">
      <c r="S379" s="454"/>
      <c r="AN379" s="458"/>
      <c r="AY379" s="458"/>
      <c r="AZ379" s="458"/>
      <c r="BA379" s="1305"/>
      <c r="BC379" s="169"/>
    </row>
    <row r="380" spans="19:55" ht="15.75" customHeight="1">
      <c r="S380" s="454"/>
      <c r="AN380" s="458"/>
      <c r="AY380" s="458"/>
      <c r="AZ380" s="458"/>
      <c r="BA380" s="1305"/>
      <c r="BC380" s="169"/>
    </row>
    <row r="381" spans="19:55" ht="15.75" customHeight="1">
      <c r="S381" s="454"/>
      <c r="AN381" s="458"/>
      <c r="AY381" s="458"/>
      <c r="AZ381" s="458"/>
      <c r="BA381" s="1305"/>
      <c r="BC381" s="169"/>
    </row>
    <row r="382" spans="19:55" ht="15.75" customHeight="1">
      <c r="S382" s="454"/>
      <c r="AN382" s="458"/>
      <c r="AY382" s="458"/>
      <c r="AZ382" s="458"/>
      <c r="BA382" s="1305"/>
      <c r="BC382" s="169"/>
    </row>
    <row r="383" spans="19:55" ht="15.75" customHeight="1">
      <c r="S383" s="454"/>
      <c r="AN383" s="458"/>
      <c r="AY383" s="458"/>
      <c r="AZ383" s="458"/>
      <c r="BA383" s="1305"/>
      <c r="BC383" s="169"/>
    </row>
    <row r="384" spans="19:55" ht="15.75" customHeight="1">
      <c r="S384" s="454"/>
      <c r="AN384" s="458"/>
      <c r="AY384" s="458"/>
      <c r="AZ384" s="458"/>
      <c r="BA384" s="1305"/>
      <c r="BC384" s="169"/>
    </row>
    <row r="385" spans="19:55" ht="15.75" customHeight="1">
      <c r="S385" s="454"/>
      <c r="AN385" s="458"/>
      <c r="AY385" s="458"/>
      <c r="AZ385" s="458"/>
      <c r="BA385" s="1305"/>
      <c r="BC385" s="169"/>
    </row>
    <row r="386" spans="19:55" ht="15.75" customHeight="1">
      <c r="S386" s="454"/>
      <c r="AN386" s="458"/>
      <c r="AY386" s="458"/>
      <c r="AZ386" s="458"/>
      <c r="BA386" s="1305"/>
      <c r="BC386" s="169"/>
    </row>
    <row r="387" spans="19:55" ht="15.75" customHeight="1">
      <c r="S387" s="454"/>
      <c r="AN387" s="458"/>
      <c r="AY387" s="458"/>
      <c r="AZ387" s="458"/>
      <c r="BA387" s="1305"/>
      <c r="BC387" s="169"/>
    </row>
    <row r="388" spans="19:55" ht="15.75" customHeight="1">
      <c r="S388" s="454"/>
      <c r="AN388" s="458"/>
      <c r="AY388" s="458"/>
      <c r="AZ388" s="458"/>
      <c r="BA388" s="1305"/>
      <c r="BC388" s="169"/>
    </row>
    <row r="389" spans="19:55" ht="15.75" customHeight="1">
      <c r="S389" s="454"/>
      <c r="AN389" s="458"/>
      <c r="AY389" s="458"/>
      <c r="AZ389" s="458"/>
      <c r="BA389" s="1305"/>
      <c r="BC389" s="169"/>
    </row>
    <row r="390" spans="19:55" ht="15.75" customHeight="1">
      <c r="S390" s="454"/>
      <c r="AN390" s="458"/>
      <c r="AY390" s="458"/>
      <c r="AZ390" s="458"/>
      <c r="BA390" s="1305"/>
      <c r="BC390" s="169"/>
    </row>
    <row r="391" spans="19:55" ht="15.75" customHeight="1">
      <c r="S391" s="454"/>
      <c r="AN391" s="458"/>
      <c r="AY391" s="458"/>
      <c r="AZ391" s="458"/>
      <c r="BA391" s="1305"/>
      <c r="BC391" s="169"/>
    </row>
    <row r="392" spans="19:55" ht="15.75" customHeight="1">
      <c r="S392" s="454"/>
      <c r="AN392" s="458"/>
      <c r="AY392" s="458"/>
      <c r="AZ392" s="458"/>
      <c r="BA392" s="1305"/>
      <c r="BC392" s="169"/>
    </row>
    <row r="393" spans="19:55" ht="15.75" customHeight="1">
      <c r="S393" s="454"/>
      <c r="AN393" s="458"/>
      <c r="AY393" s="458"/>
      <c r="AZ393" s="458"/>
      <c r="BA393" s="1305"/>
      <c r="BC393" s="169"/>
    </row>
    <row r="394" spans="19:55" ht="15.75" customHeight="1">
      <c r="S394" s="454"/>
      <c r="AN394" s="458"/>
      <c r="AY394" s="458"/>
      <c r="AZ394" s="458"/>
      <c r="BA394" s="1305"/>
      <c r="BC394" s="169"/>
    </row>
    <row r="395" spans="19:55" ht="15.75" customHeight="1">
      <c r="S395" s="454"/>
      <c r="AN395" s="458"/>
      <c r="AY395" s="458"/>
      <c r="AZ395" s="458"/>
      <c r="BA395" s="1305"/>
      <c r="BC395" s="169"/>
    </row>
    <row r="396" spans="19:55" ht="15.75" customHeight="1">
      <c r="S396" s="454"/>
      <c r="AN396" s="458"/>
      <c r="AY396" s="458"/>
      <c r="AZ396" s="458"/>
      <c r="BA396" s="1305"/>
      <c r="BC396" s="169"/>
    </row>
    <row r="397" spans="19:55" ht="15.75" customHeight="1">
      <c r="S397" s="454"/>
      <c r="AN397" s="458"/>
      <c r="AY397" s="458"/>
      <c r="AZ397" s="458"/>
      <c r="BA397" s="1305"/>
      <c r="BC397" s="169"/>
    </row>
    <row r="398" spans="19:55" ht="15.75" customHeight="1">
      <c r="S398" s="454"/>
      <c r="AN398" s="458"/>
      <c r="AY398" s="458"/>
      <c r="AZ398" s="458"/>
      <c r="BA398" s="1305"/>
      <c r="BC398" s="169"/>
    </row>
    <row r="399" spans="19:55" ht="15.75" customHeight="1">
      <c r="S399" s="454"/>
      <c r="AN399" s="458"/>
      <c r="AY399" s="458"/>
      <c r="AZ399" s="458"/>
      <c r="BA399" s="1305"/>
      <c r="BC399" s="169"/>
    </row>
    <row r="400" spans="19:55" ht="15.75" customHeight="1">
      <c r="S400" s="454"/>
      <c r="AN400" s="458"/>
      <c r="AY400" s="458"/>
      <c r="AZ400" s="458"/>
      <c r="BA400" s="1305"/>
      <c r="BC400" s="169"/>
    </row>
    <row r="401" spans="19:55" ht="15.75" customHeight="1">
      <c r="S401" s="454"/>
      <c r="AN401" s="458"/>
      <c r="AY401" s="458"/>
      <c r="AZ401" s="458"/>
      <c r="BA401" s="1305"/>
      <c r="BC401" s="169"/>
    </row>
    <row r="402" spans="19:55" ht="15.75" customHeight="1">
      <c r="S402" s="454"/>
      <c r="AN402" s="458"/>
      <c r="AY402" s="458"/>
      <c r="AZ402" s="458"/>
      <c r="BA402" s="1305"/>
      <c r="BC402" s="169"/>
    </row>
    <row r="403" spans="19:55" ht="15.75" customHeight="1">
      <c r="S403" s="454"/>
      <c r="AN403" s="458"/>
      <c r="AY403" s="458"/>
      <c r="AZ403" s="458"/>
      <c r="BA403" s="1305"/>
      <c r="BC403" s="169"/>
    </row>
    <row r="404" spans="19:55" ht="15.75" customHeight="1">
      <c r="S404" s="454"/>
      <c r="AN404" s="458"/>
      <c r="AY404" s="458"/>
      <c r="AZ404" s="458"/>
      <c r="BA404" s="1305"/>
      <c r="BC404" s="169"/>
    </row>
    <row r="405" spans="19:55" ht="15.75" customHeight="1">
      <c r="S405" s="454"/>
      <c r="AN405" s="458"/>
      <c r="AY405" s="458"/>
      <c r="AZ405" s="458"/>
      <c r="BA405" s="1305"/>
      <c r="BC405" s="169"/>
    </row>
    <row r="406" spans="19:55" ht="15.75" customHeight="1">
      <c r="S406" s="454"/>
      <c r="AN406" s="458"/>
      <c r="AY406" s="458"/>
      <c r="AZ406" s="458"/>
      <c r="BA406" s="1305"/>
      <c r="BC406" s="169"/>
    </row>
    <row r="407" spans="19:55" ht="15.75" customHeight="1">
      <c r="S407" s="454"/>
      <c r="AN407" s="458"/>
      <c r="AY407" s="458"/>
      <c r="AZ407" s="458"/>
      <c r="BA407" s="1305"/>
      <c r="BC407" s="169"/>
    </row>
    <row r="408" spans="19:55" ht="15.75" customHeight="1">
      <c r="S408" s="454"/>
      <c r="AN408" s="458"/>
      <c r="AY408" s="458"/>
      <c r="AZ408" s="458"/>
      <c r="BA408" s="1305"/>
      <c r="BC408" s="169"/>
    </row>
    <row r="409" spans="19:55" ht="15.75" customHeight="1">
      <c r="S409" s="454"/>
      <c r="AN409" s="458"/>
      <c r="AY409" s="458"/>
      <c r="AZ409" s="458"/>
      <c r="BA409" s="1305"/>
      <c r="BC409" s="169"/>
    </row>
    <row r="410" spans="19:55" ht="15.75" customHeight="1">
      <c r="S410" s="454"/>
      <c r="AN410" s="458"/>
      <c r="AY410" s="458"/>
      <c r="AZ410" s="458"/>
      <c r="BA410" s="1305"/>
      <c r="BC410" s="169"/>
    </row>
    <row r="411" spans="19:55" ht="15.75" customHeight="1">
      <c r="S411" s="454"/>
      <c r="AN411" s="458"/>
      <c r="AY411" s="458"/>
      <c r="AZ411" s="458"/>
      <c r="BA411" s="1305"/>
      <c r="BC411" s="169"/>
    </row>
    <row r="412" spans="19:55" ht="15.75" customHeight="1">
      <c r="S412" s="454"/>
      <c r="AN412" s="458"/>
      <c r="AY412" s="458"/>
      <c r="AZ412" s="458"/>
      <c r="BA412" s="1305"/>
      <c r="BC412" s="169"/>
    </row>
    <row r="413" spans="19:55" ht="15.75" customHeight="1">
      <c r="S413" s="454"/>
      <c r="AN413" s="458"/>
      <c r="AY413" s="458"/>
      <c r="AZ413" s="458"/>
      <c r="BA413" s="1305"/>
      <c r="BC413" s="169"/>
    </row>
    <row r="414" spans="19:55" ht="15.75" customHeight="1">
      <c r="S414" s="454"/>
      <c r="AN414" s="458"/>
      <c r="AY414" s="458"/>
      <c r="AZ414" s="458"/>
      <c r="BA414" s="1305"/>
      <c r="BC414" s="169"/>
    </row>
    <row r="415" spans="19:55" ht="15.75" customHeight="1">
      <c r="S415" s="454"/>
      <c r="AN415" s="458"/>
      <c r="AY415" s="458"/>
      <c r="AZ415" s="458"/>
      <c r="BA415" s="1305"/>
      <c r="BC415" s="169"/>
    </row>
    <row r="416" spans="19:55" ht="15.75" customHeight="1">
      <c r="S416" s="454"/>
      <c r="AN416" s="458"/>
      <c r="AY416" s="458"/>
      <c r="AZ416" s="458"/>
      <c r="BA416" s="1305"/>
      <c r="BC416" s="169"/>
    </row>
    <row r="417" spans="19:55" ht="15.75" customHeight="1">
      <c r="S417" s="454"/>
      <c r="AN417" s="458"/>
      <c r="AY417" s="458"/>
      <c r="AZ417" s="458"/>
      <c r="BA417" s="1305"/>
      <c r="BC417" s="169"/>
    </row>
    <row r="418" spans="19:55" ht="15.75" customHeight="1">
      <c r="S418" s="454"/>
      <c r="AN418" s="458"/>
      <c r="AY418" s="458"/>
      <c r="AZ418" s="458"/>
      <c r="BA418" s="1305"/>
      <c r="BC418" s="169"/>
    </row>
    <row r="419" spans="19:55" ht="15.75" customHeight="1">
      <c r="S419" s="454"/>
      <c r="AN419" s="458"/>
      <c r="AY419" s="458"/>
      <c r="AZ419" s="458"/>
      <c r="BA419" s="1305"/>
      <c r="BC419" s="169"/>
    </row>
    <row r="420" spans="19:55" ht="15.75" customHeight="1">
      <c r="S420" s="454"/>
      <c r="AN420" s="458"/>
      <c r="AY420" s="458"/>
      <c r="AZ420" s="458"/>
      <c r="BA420" s="1305"/>
      <c r="BC420" s="169"/>
    </row>
    <row r="421" spans="19:55" ht="15.75" customHeight="1">
      <c r="S421" s="454"/>
      <c r="AN421" s="458"/>
      <c r="AY421" s="458"/>
      <c r="AZ421" s="458"/>
      <c r="BA421" s="1305"/>
      <c r="BC421" s="169"/>
    </row>
    <row r="422" spans="19:55" ht="15.75" customHeight="1">
      <c r="S422" s="454"/>
      <c r="AN422" s="458"/>
      <c r="AY422" s="458"/>
      <c r="AZ422" s="458"/>
      <c r="BA422" s="1305"/>
      <c r="BC422" s="169"/>
    </row>
    <row r="423" spans="19:55" ht="15.75" customHeight="1">
      <c r="S423" s="454"/>
      <c r="AN423" s="458"/>
      <c r="AY423" s="458"/>
      <c r="AZ423" s="458"/>
      <c r="BA423" s="1305"/>
      <c r="BC423" s="169"/>
    </row>
    <row r="424" spans="19:55" ht="15.75" customHeight="1">
      <c r="S424" s="454"/>
      <c r="AN424" s="458"/>
      <c r="AY424" s="458"/>
      <c r="AZ424" s="458"/>
      <c r="BA424" s="1305"/>
      <c r="BC424" s="169"/>
    </row>
    <row r="425" spans="19:55" ht="15.75" customHeight="1">
      <c r="S425" s="454"/>
      <c r="AN425" s="458"/>
      <c r="AY425" s="458"/>
      <c r="AZ425" s="458"/>
      <c r="BA425" s="1305"/>
      <c r="BC425" s="169"/>
    </row>
    <row r="426" spans="19:55" ht="15.75" customHeight="1">
      <c r="S426" s="454"/>
      <c r="AN426" s="458"/>
      <c r="AY426" s="458"/>
      <c r="AZ426" s="458"/>
      <c r="BA426" s="1305"/>
      <c r="BC426" s="169"/>
    </row>
    <row r="427" spans="19:55" ht="15.75" customHeight="1">
      <c r="S427" s="454"/>
      <c r="AN427" s="458"/>
      <c r="AY427" s="458"/>
      <c r="AZ427" s="458"/>
      <c r="BA427" s="1305"/>
      <c r="BC427" s="169"/>
    </row>
    <row r="428" spans="19:55" ht="15.75" customHeight="1">
      <c r="S428" s="454"/>
      <c r="AN428" s="458"/>
      <c r="AY428" s="458"/>
      <c r="AZ428" s="458"/>
      <c r="BA428" s="1305"/>
      <c r="BC428" s="169"/>
    </row>
    <row r="429" spans="19:55" ht="15.75" customHeight="1">
      <c r="S429" s="454"/>
      <c r="AN429" s="458"/>
      <c r="AY429" s="458"/>
      <c r="AZ429" s="458"/>
      <c r="BA429" s="1305"/>
      <c r="BC429" s="169"/>
    </row>
    <row r="430" spans="19:55" ht="15.75" customHeight="1">
      <c r="S430" s="454"/>
      <c r="AN430" s="458"/>
      <c r="AY430" s="458"/>
      <c r="AZ430" s="458"/>
      <c r="BA430" s="1305"/>
      <c r="BC430" s="169"/>
    </row>
    <row r="431" spans="19:55" ht="15.75" customHeight="1">
      <c r="S431" s="454"/>
      <c r="AN431" s="458"/>
      <c r="AY431" s="458"/>
      <c r="AZ431" s="458"/>
      <c r="BA431" s="1305"/>
      <c r="BC431" s="169"/>
    </row>
    <row r="432" spans="19:55" ht="15.75" customHeight="1">
      <c r="S432" s="454"/>
      <c r="AN432" s="458"/>
      <c r="AY432" s="458"/>
      <c r="AZ432" s="458"/>
      <c r="BA432" s="1305"/>
      <c r="BC432" s="169"/>
    </row>
    <row r="433" spans="19:55" ht="15.75" customHeight="1">
      <c r="S433" s="454"/>
      <c r="AN433" s="458"/>
      <c r="AY433" s="458"/>
      <c r="AZ433" s="458"/>
      <c r="BA433" s="1305"/>
      <c r="BC433" s="169"/>
    </row>
    <row r="434" spans="19:55" ht="15.75" customHeight="1">
      <c r="S434" s="454"/>
      <c r="AN434" s="458"/>
      <c r="AY434" s="458"/>
      <c r="AZ434" s="458"/>
      <c r="BA434" s="1305"/>
      <c r="BC434" s="169"/>
    </row>
    <row r="435" spans="19:55" ht="15.75" customHeight="1">
      <c r="S435" s="454"/>
      <c r="AN435" s="458"/>
      <c r="AY435" s="458"/>
      <c r="AZ435" s="458"/>
      <c r="BA435" s="1305"/>
      <c r="BC435" s="169"/>
    </row>
    <row r="436" spans="19:55" ht="15.75" customHeight="1">
      <c r="S436" s="454"/>
      <c r="AN436" s="458"/>
      <c r="AY436" s="458"/>
      <c r="AZ436" s="458"/>
      <c r="BA436" s="1305"/>
      <c r="BC436" s="169"/>
    </row>
    <row r="437" spans="19:55" ht="15.75" customHeight="1">
      <c r="S437" s="454"/>
      <c r="AN437" s="458"/>
      <c r="AY437" s="458"/>
      <c r="AZ437" s="458"/>
      <c r="BA437" s="1305"/>
      <c r="BC437" s="169"/>
    </row>
    <row r="438" spans="19:55" ht="15.75" customHeight="1">
      <c r="S438" s="454"/>
      <c r="AN438" s="458"/>
      <c r="AY438" s="458"/>
      <c r="AZ438" s="458"/>
      <c r="BA438" s="1305"/>
      <c r="BC438" s="169"/>
    </row>
    <row r="439" spans="19:55" ht="15.75" customHeight="1">
      <c r="S439" s="454"/>
      <c r="AN439" s="458"/>
      <c r="AY439" s="458"/>
      <c r="AZ439" s="458"/>
      <c r="BA439" s="1305"/>
      <c r="BC439" s="169"/>
    </row>
    <row r="440" spans="19:55" ht="15.75" customHeight="1">
      <c r="S440" s="454"/>
      <c r="AN440" s="458"/>
      <c r="AY440" s="458"/>
      <c r="AZ440" s="458"/>
      <c r="BA440" s="1305"/>
      <c r="BC440" s="169"/>
    </row>
    <row r="441" spans="19:55" ht="15.75" customHeight="1">
      <c r="S441" s="454"/>
      <c r="AN441" s="458"/>
      <c r="AY441" s="458"/>
      <c r="AZ441" s="458"/>
      <c r="BA441" s="1305"/>
      <c r="BC441" s="169"/>
    </row>
    <row r="442" spans="19:55" ht="15.75" customHeight="1">
      <c r="S442" s="454"/>
      <c r="AN442" s="458"/>
      <c r="AY442" s="458"/>
      <c r="AZ442" s="458"/>
      <c r="BA442" s="1305"/>
      <c r="BC442" s="169"/>
    </row>
    <row r="443" spans="19:55" ht="15.75" customHeight="1">
      <c r="S443" s="454"/>
      <c r="AN443" s="458"/>
      <c r="AY443" s="458"/>
      <c r="AZ443" s="458"/>
      <c r="BA443" s="1305"/>
      <c r="BC443" s="169"/>
    </row>
    <row r="444" spans="19:55" ht="15.75" customHeight="1">
      <c r="S444" s="454"/>
      <c r="AN444" s="458"/>
      <c r="AY444" s="458"/>
      <c r="AZ444" s="458"/>
      <c r="BA444" s="1305"/>
      <c r="BC444" s="169"/>
    </row>
    <row r="445" spans="19:55" ht="15.75" customHeight="1">
      <c r="S445" s="454"/>
      <c r="AN445" s="458"/>
      <c r="AY445" s="458"/>
      <c r="AZ445" s="458"/>
      <c r="BA445" s="1305"/>
      <c r="BC445" s="169"/>
    </row>
    <row r="446" spans="19:55" ht="15.75" customHeight="1">
      <c r="S446" s="454"/>
      <c r="AN446" s="458"/>
      <c r="AY446" s="458"/>
      <c r="AZ446" s="458"/>
      <c r="BA446" s="1305"/>
      <c r="BC446" s="169"/>
    </row>
    <row r="447" spans="19:55" ht="15.75" customHeight="1">
      <c r="S447" s="454"/>
      <c r="AN447" s="458"/>
      <c r="AY447" s="458"/>
      <c r="AZ447" s="458"/>
      <c r="BA447" s="1305"/>
      <c r="BC447" s="169"/>
    </row>
    <row r="448" spans="19:55" ht="15.75" customHeight="1">
      <c r="S448" s="454"/>
      <c r="AN448" s="458"/>
      <c r="AY448" s="458"/>
      <c r="AZ448" s="458"/>
      <c r="BA448" s="1305"/>
      <c r="BC448" s="169"/>
    </row>
    <row r="449" spans="19:55" ht="15.75" customHeight="1">
      <c r="S449" s="454"/>
      <c r="AN449" s="458"/>
      <c r="AY449" s="458"/>
      <c r="AZ449" s="458"/>
      <c r="BA449" s="1305"/>
      <c r="BC449" s="169"/>
    </row>
    <row r="450" spans="19:55" ht="15.75" customHeight="1">
      <c r="S450" s="454"/>
      <c r="AN450" s="458"/>
      <c r="AY450" s="458"/>
      <c r="AZ450" s="458"/>
      <c r="BA450" s="1305"/>
      <c r="BC450" s="169"/>
    </row>
    <row r="451" spans="19:55" ht="15.75" customHeight="1">
      <c r="S451" s="454"/>
      <c r="AN451" s="458"/>
      <c r="AY451" s="458"/>
      <c r="AZ451" s="458"/>
      <c r="BA451" s="1305"/>
      <c r="BC451" s="169"/>
    </row>
    <row r="452" spans="19:55" ht="15.75" customHeight="1">
      <c r="S452" s="454"/>
      <c r="AN452" s="458"/>
      <c r="AY452" s="458"/>
      <c r="AZ452" s="458"/>
      <c r="BA452" s="1305"/>
      <c r="BC452" s="169"/>
    </row>
    <row r="453" spans="19:55" ht="15.75" customHeight="1">
      <c r="S453" s="454"/>
      <c r="AN453" s="458"/>
      <c r="AY453" s="458"/>
      <c r="AZ453" s="458"/>
      <c r="BA453" s="1305"/>
      <c r="BC453" s="169"/>
    </row>
    <row r="454" spans="19:55" ht="15.75" customHeight="1">
      <c r="S454" s="454"/>
      <c r="AN454" s="458"/>
      <c r="AY454" s="458"/>
      <c r="AZ454" s="458"/>
      <c r="BA454" s="1305"/>
      <c r="BC454" s="169"/>
    </row>
    <row r="455" spans="19:55" ht="15.75" customHeight="1">
      <c r="S455" s="454"/>
      <c r="AN455" s="458"/>
      <c r="AY455" s="458"/>
      <c r="AZ455" s="458"/>
      <c r="BA455" s="1305"/>
      <c r="BC455" s="169"/>
    </row>
    <row r="456" spans="19:55" ht="15.75" customHeight="1">
      <c r="S456" s="454"/>
      <c r="AN456" s="458"/>
      <c r="AY456" s="458"/>
      <c r="AZ456" s="458"/>
      <c r="BA456" s="1305"/>
      <c r="BC456" s="169"/>
    </row>
    <row r="457" spans="19:55" ht="15.75" customHeight="1">
      <c r="S457" s="454"/>
      <c r="AN457" s="458"/>
      <c r="AY457" s="458"/>
      <c r="AZ457" s="458"/>
      <c r="BA457" s="1305"/>
      <c r="BC457" s="169"/>
    </row>
    <row r="458" spans="19:55" ht="15.75" customHeight="1">
      <c r="S458" s="454"/>
      <c r="AN458" s="458"/>
      <c r="AY458" s="458"/>
      <c r="AZ458" s="458"/>
      <c r="BA458" s="1305"/>
      <c r="BC458" s="169"/>
    </row>
    <row r="459" spans="19:55" ht="15.75" customHeight="1">
      <c r="S459" s="454"/>
      <c r="AN459" s="458"/>
      <c r="AY459" s="458"/>
      <c r="AZ459" s="458"/>
      <c r="BA459" s="1305"/>
      <c r="BC459" s="169"/>
    </row>
    <row r="460" spans="19:55" ht="15.75" customHeight="1">
      <c r="S460" s="454"/>
      <c r="AN460" s="458"/>
      <c r="AY460" s="458"/>
      <c r="AZ460" s="458"/>
      <c r="BA460" s="1305"/>
      <c r="BC460" s="169"/>
    </row>
    <row r="461" spans="19:55" ht="15.75" customHeight="1">
      <c r="S461" s="454"/>
      <c r="AN461" s="458"/>
      <c r="AY461" s="458"/>
      <c r="AZ461" s="458"/>
      <c r="BA461" s="1305"/>
      <c r="BC461" s="169"/>
    </row>
    <row r="462" spans="19:55" ht="15.75" customHeight="1">
      <c r="S462" s="454"/>
      <c r="AN462" s="458"/>
      <c r="AY462" s="458"/>
      <c r="AZ462" s="458"/>
      <c r="BA462" s="1305"/>
      <c r="BC462" s="169"/>
    </row>
    <row r="463" spans="19:55" ht="15.75" customHeight="1">
      <c r="S463" s="454"/>
      <c r="AN463" s="458"/>
      <c r="AY463" s="458"/>
      <c r="AZ463" s="458"/>
      <c r="BA463" s="1305"/>
      <c r="BC463" s="169"/>
    </row>
    <row r="464" spans="19:55" ht="15.75" customHeight="1">
      <c r="S464" s="454"/>
      <c r="AN464" s="458"/>
      <c r="AY464" s="458"/>
      <c r="AZ464" s="458"/>
      <c r="BA464" s="1305"/>
      <c r="BC464" s="169"/>
    </row>
    <row r="465" spans="19:55" ht="15.75" customHeight="1">
      <c r="S465" s="454"/>
      <c r="AN465" s="458"/>
      <c r="AY465" s="458"/>
      <c r="AZ465" s="458"/>
      <c r="BA465" s="1305"/>
      <c r="BC465" s="169"/>
    </row>
    <row r="466" spans="19:55" ht="15.75" customHeight="1">
      <c r="S466" s="454"/>
      <c r="AN466" s="458"/>
      <c r="AY466" s="458"/>
      <c r="AZ466" s="458"/>
      <c r="BA466" s="1305"/>
      <c r="BC466" s="169"/>
    </row>
    <row r="467" spans="19:55" ht="15.75" customHeight="1">
      <c r="S467" s="454"/>
      <c r="AN467" s="458"/>
      <c r="AY467" s="458"/>
      <c r="AZ467" s="458"/>
      <c r="BA467" s="1305"/>
      <c r="BC467" s="169"/>
    </row>
    <row r="468" spans="19:55" ht="15.75" customHeight="1">
      <c r="S468" s="454"/>
      <c r="AN468" s="458"/>
      <c r="AY468" s="458"/>
      <c r="AZ468" s="458"/>
      <c r="BA468" s="1305"/>
      <c r="BC468" s="169"/>
    </row>
    <row r="469" spans="19:55" ht="15.75" customHeight="1">
      <c r="S469" s="454"/>
      <c r="AN469" s="458"/>
      <c r="AY469" s="458"/>
      <c r="AZ469" s="458"/>
      <c r="BA469" s="1305"/>
      <c r="BC469" s="169"/>
    </row>
    <row r="470" spans="19:55" ht="15.75" customHeight="1">
      <c r="S470" s="454"/>
      <c r="AN470" s="458"/>
      <c r="AY470" s="458"/>
      <c r="AZ470" s="458"/>
      <c r="BA470" s="1305"/>
      <c r="BC470" s="169"/>
    </row>
    <row r="471" spans="19:55" ht="15.75" customHeight="1">
      <c r="S471" s="454"/>
      <c r="AN471" s="458"/>
      <c r="AY471" s="458"/>
      <c r="AZ471" s="458"/>
      <c r="BA471" s="1305"/>
      <c r="BC471" s="169"/>
    </row>
    <row r="472" spans="19:55" ht="15.75" customHeight="1">
      <c r="S472" s="454"/>
      <c r="AN472" s="458"/>
      <c r="AY472" s="458"/>
      <c r="AZ472" s="458"/>
      <c r="BA472" s="1305"/>
      <c r="BC472" s="169"/>
    </row>
    <row r="473" spans="19:55" ht="15.75" customHeight="1">
      <c r="S473" s="454"/>
      <c r="AN473" s="458"/>
      <c r="AY473" s="458"/>
      <c r="AZ473" s="458"/>
      <c r="BA473" s="1305"/>
      <c r="BC473" s="169"/>
    </row>
    <row r="474" spans="19:55" ht="15.75" customHeight="1">
      <c r="S474" s="454"/>
      <c r="AN474" s="458"/>
      <c r="AY474" s="458"/>
      <c r="AZ474" s="458"/>
      <c r="BA474" s="1305"/>
      <c r="BC474" s="169"/>
    </row>
    <row r="475" spans="19:55" ht="15.75" customHeight="1">
      <c r="S475" s="454"/>
      <c r="AN475" s="458"/>
      <c r="AY475" s="458"/>
      <c r="AZ475" s="458"/>
      <c r="BA475" s="1305"/>
      <c r="BC475" s="169"/>
    </row>
    <row r="476" spans="19:55" ht="15.75" customHeight="1">
      <c r="S476" s="454"/>
      <c r="AN476" s="458"/>
      <c r="AY476" s="458"/>
      <c r="AZ476" s="458"/>
      <c r="BA476" s="1305"/>
      <c r="BC476" s="169"/>
    </row>
    <row r="477" spans="19:55" ht="15.75" customHeight="1">
      <c r="S477" s="454"/>
      <c r="AN477" s="458"/>
      <c r="AY477" s="458"/>
      <c r="AZ477" s="458"/>
      <c r="BA477" s="1305"/>
      <c r="BC477" s="169"/>
    </row>
    <row r="478" spans="19:55" ht="15.75" customHeight="1">
      <c r="S478" s="454"/>
      <c r="AN478" s="458"/>
      <c r="AY478" s="458"/>
      <c r="AZ478" s="458"/>
      <c r="BA478" s="1305"/>
      <c r="BC478" s="169"/>
    </row>
    <row r="479" spans="19:55" ht="15.75" customHeight="1">
      <c r="S479" s="454"/>
      <c r="AN479" s="458"/>
      <c r="AY479" s="458"/>
      <c r="AZ479" s="458"/>
      <c r="BA479" s="1305"/>
      <c r="BC479" s="169"/>
    </row>
    <row r="480" spans="19:55" ht="15.75" customHeight="1">
      <c r="S480" s="454"/>
      <c r="AN480" s="458"/>
      <c r="AY480" s="458"/>
      <c r="AZ480" s="458"/>
      <c r="BA480" s="1305"/>
      <c r="BC480" s="169"/>
    </row>
    <row r="481" spans="19:55" ht="15.75" customHeight="1">
      <c r="S481" s="454"/>
      <c r="AN481" s="458"/>
      <c r="AY481" s="458"/>
      <c r="AZ481" s="458"/>
      <c r="BA481" s="1305"/>
      <c r="BC481" s="169"/>
    </row>
    <row r="482" spans="19:55" ht="15.75" customHeight="1">
      <c r="S482" s="454"/>
      <c r="AN482" s="458"/>
      <c r="AY482" s="458"/>
      <c r="AZ482" s="458"/>
      <c r="BA482" s="1305"/>
      <c r="BC482" s="169"/>
    </row>
    <row r="483" spans="19:55" ht="15.75" customHeight="1">
      <c r="S483" s="454"/>
      <c r="AN483" s="458"/>
      <c r="AY483" s="458"/>
      <c r="AZ483" s="458"/>
      <c r="BA483" s="1305"/>
      <c r="BC483" s="169"/>
    </row>
    <row r="484" spans="19:55" ht="15.75" customHeight="1">
      <c r="S484" s="454"/>
      <c r="AN484" s="458"/>
      <c r="AY484" s="458"/>
      <c r="AZ484" s="458"/>
      <c r="BA484" s="1305"/>
      <c r="BC484" s="169"/>
    </row>
    <row r="485" spans="19:55" ht="15.75" customHeight="1">
      <c r="S485" s="454"/>
      <c r="AN485" s="458"/>
      <c r="AY485" s="458"/>
      <c r="AZ485" s="458"/>
      <c r="BA485" s="1305"/>
      <c r="BC485" s="169"/>
    </row>
    <row r="486" spans="19:55" ht="15.75" customHeight="1">
      <c r="S486" s="454"/>
      <c r="AN486" s="458"/>
      <c r="AY486" s="458"/>
      <c r="AZ486" s="458"/>
      <c r="BA486" s="1305"/>
      <c r="BC486" s="169"/>
    </row>
    <row r="487" spans="19:55" ht="15.75" customHeight="1">
      <c r="S487" s="454"/>
      <c r="AN487" s="458"/>
      <c r="AY487" s="458"/>
      <c r="AZ487" s="458"/>
      <c r="BA487" s="1305"/>
      <c r="BC487" s="169"/>
    </row>
    <row r="488" spans="19:55" ht="15.75" customHeight="1">
      <c r="S488" s="454"/>
      <c r="AN488" s="458"/>
      <c r="AY488" s="458"/>
      <c r="AZ488" s="458"/>
      <c r="BA488" s="1305"/>
      <c r="BC488" s="169"/>
    </row>
    <row r="489" spans="19:55" ht="15.75" customHeight="1">
      <c r="S489" s="454"/>
      <c r="AN489" s="458"/>
      <c r="AY489" s="458"/>
      <c r="AZ489" s="458"/>
      <c r="BA489" s="1305"/>
      <c r="BC489" s="169"/>
    </row>
    <row r="490" spans="19:55" ht="15.75" customHeight="1">
      <c r="S490" s="454"/>
      <c r="AN490" s="458"/>
      <c r="AY490" s="458"/>
      <c r="AZ490" s="458"/>
      <c r="BA490" s="1305"/>
      <c r="BC490" s="169"/>
    </row>
    <row r="491" spans="19:55" ht="15.75" customHeight="1">
      <c r="S491" s="454"/>
      <c r="AN491" s="458"/>
      <c r="AY491" s="458"/>
      <c r="AZ491" s="458"/>
      <c r="BA491" s="1305"/>
      <c r="BC491" s="169"/>
    </row>
    <row r="492" spans="19:55" ht="15.75" customHeight="1">
      <c r="S492" s="454"/>
      <c r="AN492" s="458"/>
      <c r="AY492" s="458"/>
      <c r="AZ492" s="458"/>
      <c r="BA492" s="1305"/>
      <c r="BC492" s="169"/>
    </row>
    <row r="493" spans="19:55" ht="15.75" customHeight="1">
      <c r="S493" s="454"/>
      <c r="AN493" s="458"/>
      <c r="AY493" s="458"/>
      <c r="AZ493" s="458"/>
      <c r="BA493" s="1305"/>
      <c r="BC493" s="169"/>
    </row>
    <row r="494" spans="19:55" ht="15.75" customHeight="1">
      <c r="S494" s="454"/>
      <c r="AN494" s="458"/>
      <c r="AY494" s="458"/>
      <c r="AZ494" s="458"/>
      <c r="BA494" s="1305"/>
      <c r="BC494" s="169"/>
    </row>
    <row r="495" spans="19:55" ht="15.75" customHeight="1">
      <c r="S495" s="454"/>
      <c r="AN495" s="458"/>
      <c r="AY495" s="458"/>
      <c r="AZ495" s="458"/>
      <c r="BA495" s="1305"/>
      <c r="BC495" s="169"/>
    </row>
    <row r="496" spans="19:55" ht="15.75" customHeight="1">
      <c r="S496" s="454"/>
      <c r="AN496" s="458"/>
      <c r="AY496" s="458"/>
      <c r="AZ496" s="458"/>
      <c r="BA496" s="1305"/>
      <c r="BC496" s="169"/>
    </row>
    <row r="497" spans="19:55" ht="15.75" customHeight="1">
      <c r="S497" s="454"/>
      <c r="AN497" s="458"/>
      <c r="AY497" s="458"/>
      <c r="AZ497" s="458"/>
      <c r="BA497" s="1305"/>
      <c r="BC497" s="169"/>
    </row>
    <row r="498" spans="19:55" ht="15.75" customHeight="1">
      <c r="S498" s="454"/>
      <c r="AN498" s="458"/>
      <c r="AY498" s="458"/>
      <c r="AZ498" s="458"/>
      <c r="BA498" s="1305"/>
      <c r="BC498" s="169"/>
    </row>
    <row r="499" spans="19:55" ht="15.75" customHeight="1">
      <c r="S499" s="454"/>
      <c r="AN499" s="458"/>
      <c r="AY499" s="458"/>
      <c r="AZ499" s="458"/>
      <c r="BA499" s="1305"/>
      <c r="BC499" s="169"/>
    </row>
    <row r="500" spans="19:55" ht="15.75" customHeight="1">
      <c r="S500" s="454"/>
      <c r="AN500" s="458"/>
      <c r="AY500" s="458"/>
      <c r="AZ500" s="458"/>
      <c r="BA500" s="1305"/>
      <c r="BC500" s="169"/>
    </row>
    <row r="501" spans="19:55" ht="15.75" customHeight="1">
      <c r="S501" s="454"/>
      <c r="AN501" s="458"/>
      <c r="AY501" s="458"/>
      <c r="AZ501" s="458"/>
      <c r="BA501" s="1305"/>
      <c r="BC501" s="169"/>
    </row>
    <row r="502" spans="19:55" ht="15.75" customHeight="1">
      <c r="S502" s="454"/>
      <c r="AN502" s="458"/>
      <c r="AY502" s="458"/>
      <c r="AZ502" s="458"/>
      <c r="BA502" s="1305"/>
      <c r="BC502" s="169"/>
    </row>
    <row r="503" spans="19:55" ht="15.75" customHeight="1">
      <c r="S503" s="454"/>
      <c r="AN503" s="458"/>
      <c r="AY503" s="458"/>
      <c r="AZ503" s="458"/>
      <c r="BA503" s="1305"/>
      <c r="BC503" s="169"/>
    </row>
    <row r="504" spans="19:55" ht="15.75" customHeight="1">
      <c r="S504" s="454"/>
      <c r="AN504" s="458"/>
      <c r="AY504" s="458"/>
      <c r="AZ504" s="458"/>
      <c r="BA504" s="1305"/>
      <c r="BC504" s="169"/>
    </row>
    <row r="505" spans="19:55" ht="15.75" customHeight="1">
      <c r="S505" s="454"/>
      <c r="AN505" s="458"/>
      <c r="AY505" s="458"/>
      <c r="AZ505" s="458"/>
      <c r="BA505" s="1305"/>
      <c r="BC505" s="169"/>
    </row>
    <row r="506" spans="19:55" ht="15.75" customHeight="1">
      <c r="S506" s="454"/>
      <c r="AN506" s="458"/>
      <c r="AY506" s="458"/>
      <c r="AZ506" s="458"/>
      <c r="BA506" s="1305"/>
      <c r="BC506" s="169"/>
    </row>
    <row r="507" spans="19:55" ht="15.75" customHeight="1">
      <c r="S507" s="454"/>
      <c r="AN507" s="458"/>
      <c r="AY507" s="458"/>
      <c r="AZ507" s="458"/>
      <c r="BA507" s="1305"/>
      <c r="BC507" s="169"/>
    </row>
    <row r="508" spans="19:55" ht="15.75" customHeight="1">
      <c r="S508" s="454"/>
      <c r="AN508" s="458"/>
      <c r="AV508" s="177"/>
      <c r="AW508" s="177"/>
      <c r="AX508" s="177"/>
      <c r="AY508" s="458"/>
      <c r="AZ508" s="458"/>
      <c r="BA508" s="1307"/>
      <c r="BC508" s="169"/>
    </row>
    <row r="509" spans="19:55" ht="15.75" customHeight="1">
      <c r="S509" s="454"/>
      <c r="AN509" s="458"/>
      <c r="AV509" s="177"/>
      <c r="AW509" s="177"/>
      <c r="AX509" s="177"/>
      <c r="AY509" s="458"/>
      <c r="AZ509" s="458"/>
      <c r="BA509" s="1307"/>
      <c r="BC509" s="169"/>
    </row>
    <row r="510" spans="19:55" ht="15.75" customHeight="1">
      <c r="S510" s="454"/>
      <c r="AN510" s="458"/>
      <c r="AU510" s="177"/>
      <c r="AV510" s="177"/>
      <c r="AW510" s="177"/>
      <c r="AX510" s="177"/>
      <c r="AY510" s="458"/>
      <c r="AZ510" s="458"/>
      <c r="BA510" s="1307"/>
      <c r="BC510" s="169"/>
    </row>
    <row r="511" spans="19:55" ht="15.75" customHeight="1">
      <c r="S511" s="454"/>
      <c r="AN511" s="458"/>
      <c r="AU511" s="177"/>
      <c r="AV511" s="177"/>
      <c r="AW511" s="177"/>
      <c r="AX511" s="177"/>
      <c r="AY511" s="458"/>
      <c r="AZ511" s="458"/>
      <c r="BA511" s="1307"/>
      <c r="BC511" s="169"/>
    </row>
    <row r="512" spans="19:55" ht="15.75" customHeight="1">
      <c r="S512" s="454"/>
      <c r="AN512" s="458"/>
      <c r="AU512" s="177"/>
      <c r="AV512" s="177"/>
      <c r="AW512" s="177"/>
      <c r="AX512" s="177"/>
      <c r="AY512" s="458"/>
      <c r="AZ512" s="458"/>
      <c r="BA512" s="1307"/>
      <c r="BC512" s="169"/>
    </row>
    <row r="513" spans="19:55" ht="15.75" customHeight="1">
      <c r="S513" s="454"/>
      <c r="AN513" s="458"/>
      <c r="AU513" s="177"/>
      <c r="AV513" s="177"/>
      <c r="AW513" s="177"/>
      <c r="AX513" s="177"/>
      <c r="AY513" s="458"/>
      <c r="AZ513" s="458"/>
      <c r="BA513" s="1307"/>
      <c r="BC513" s="169"/>
    </row>
    <row r="514" spans="19:55" ht="15.75" customHeight="1">
      <c r="S514" s="454"/>
      <c r="AN514" s="458"/>
      <c r="AU514" s="177"/>
      <c r="AV514" s="177"/>
      <c r="AW514" s="177"/>
      <c r="AX514" s="177"/>
      <c r="AY514" s="458"/>
      <c r="AZ514" s="458"/>
      <c r="BA514" s="1307"/>
      <c r="BC514" s="169"/>
    </row>
    <row r="515" spans="19:55" ht="15.75" customHeight="1">
      <c r="S515" s="454"/>
      <c r="AN515" s="458"/>
      <c r="AU515" s="177"/>
      <c r="AV515" s="177"/>
      <c r="AW515" s="177"/>
      <c r="AX515" s="177"/>
      <c r="AY515" s="458"/>
      <c r="AZ515" s="458"/>
      <c r="BA515" s="1307"/>
      <c r="BC515" s="169"/>
    </row>
    <row r="516" spans="19:55" ht="15.75" customHeight="1">
      <c r="S516" s="454"/>
      <c r="AN516" s="458"/>
      <c r="AU516" s="177"/>
      <c r="AV516" s="177"/>
      <c r="AW516" s="177"/>
      <c r="AX516" s="177"/>
      <c r="AY516" s="458"/>
      <c r="AZ516" s="458"/>
      <c r="BA516" s="1307"/>
      <c r="BC516" s="169"/>
    </row>
    <row r="517" spans="19:55" ht="15.75" customHeight="1">
      <c r="S517" s="454"/>
      <c r="AN517" s="458"/>
      <c r="AU517" s="177"/>
      <c r="AV517" s="177"/>
      <c r="AW517" s="177"/>
      <c r="AX517" s="177"/>
      <c r="AY517" s="458"/>
      <c r="AZ517" s="458"/>
      <c r="BA517" s="1307"/>
      <c r="BC517" s="169"/>
    </row>
    <row r="518" spans="19:55" ht="15.75" customHeight="1">
      <c r="S518" s="454"/>
      <c r="AN518" s="458"/>
      <c r="AU518" s="177"/>
      <c r="AV518" s="177"/>
      <c r="AW518" s="177"/>
      <c r="AX518" s="177"/>
      <c r="AY518" s="458"/>
      <c r="AZ518" s="458"/>
      <c r="BA518" s="1307"/>
      <c r="BC518" s="169"/>
    </row>
    <row r="519" spans="19:55" ht="15.75" customHeight="1">
      <c r="S519" s="454"/>
      <c r="AN519" s="458"/>
      <c r="AU519" s="177"/>
      <c r="AV519" s="177"/>
      <c r="AW519" s="177"/>
      <c r="AX519" s="177"/>
      <c r="AY519" s="458"/>
      <c r="AZ519" s="458"/>
      <c r="BA519" s="1307"/>
      <c r="BC519" s="169"/>
    </row>
    <row r="520" spans="19:55" ht="15.75" customHeight="1">
      <c r="S520" s="454"/>
      <c r="AN520" s="458"/>
      <c r="AU520" s="177"/>
      <c r="AV520" s="177"/>
      <c r="AW520" s="177"/>
      <c r="AX520" s="177"/>
      <c r="AY520" s="458"/>
      <c r="AZ520" s="458"/>
      <c r="BA520" s="1307"/>
      <c r="BC520" s="169"/>
    </row>
    <row r="521" spans="19:55" ht="15.75" customHeight="1">
      <c r="S521" s="454"/>
      <c r="AN521" s="458"/>
      <c r="AU521" s="177"/>
      <c r="AY521" s="458"/>
      <c r="AZ521" s="458"/>
      <c r="BA521" s="1305"/>
      <c r="BC521" s="169"/>
    </row>
    <row r="522" spans="19:55" ht="15.75" customHeight="1">
      <c r="S522" s="454"/>
      <c r="AN522" s="458"/>
      <c r="AU522" s="177"/>
      <c r="AY522" s="458"/>
      <c r="AZ522" s="458"/>
      <c r="BA522" s="1305"/>
      <c r="BC522" s="169"/>
    </row>
    <row r="523" spans="19:55" ht="15.75" customHeight="1">
      <c r="S523" s="454"/>
      <c r="AN523" s="458"/>
      <c r="AY523" s="458"/>
      <c r="AZ523" s="458"/>
      <c r="BA523" s="1305"/>
      <c r="BC523" s="169"/>
    </row>
    <row r="524" spans="19:55" ht="15.75" customHeight="1">
      <c r="S524" s="454"/>
      <c r="AN524" s="458"/>
      <c r="AY524" s="458"/>
      <c r="AZ524" s="458"/>
      <c r="BA524" s="1305"/>
      <c r="BC524" s="169"/>
    </row>
    <row r="525" spans="19:55" ht="15.75" customHeight="1">
      <c r="S525" s="454"/>
      <c r="AN525" s="458"/>
      <c r="AY525" s="458"/>
      <c r="AZ525" s="458"/>
      <c r="BA525" s="1305"/>
      <c r="BC525" s="169"/>
    </row>
    <row r="526" spans="19:55" ht="15.75" customHeight="1">
      <c r="S526" s="454"/>
      <c r="AN526" s="458"/>
      <c r="AV526" s="177"/>
      <c r="AW526" s="177"/>
      <c r="AX526" s="177"/>
      <c r="AY526" s="458"/>
      <c r="AZ526" s="458"/>
      <c r="BA526" s="1307"/>
      <c r="BC526" s="169"/>
    </row>
    <row r="527" spans="19:55" ht="15.75" customHeight="1">
      <c r="S527" s="454"/>
      <c r="AN527" s="458"/>
      <c r="AV527" s="177"/>
      <c r="AW527" s="177"/>
      <c r="AX527" s="177"/>
      <c r="AY527" s="458"/>
      <c r="AZ527" s="458"/>
      <c r="BA527" s="1307"/>
      <c r="BC527" s="169"/>
    </row>
    <row r="528" spans="19:55" ht="15.75" customHeight="1">
      <c r="S528" s="454"/>
      <c r="AN528" s="458"/>
      <c r="AU528" s="177"/>
      <c r="AV528" s="177"/>
      <c r="AW528" s="177"/>
      <c r="AX528" s="177"/>
      <c r="AY528" s="458"/>
      <c r="AZ528" s="458"/>
      <c r="BA528" s="1307"/>
      <c r="BC528" s="169"/>
    </row>
    <row r="529" spans="19:55" ht="15.75" customHeight="1">
      <c r="S529" s="454"/>
      <c r="AN529" s="458"/>
      <c r="AU529" s="177"/>
      <c r="AV529" s="177"/>
      <c r="AW529" s="177"/>
      <c r="AX529" s="177"/>
      <c r="AY529" s="458"/>
      <c r="AZ529" s="458"/>
      <c r="BA529" s="1307"/>
      <c r="BC529" s="169"/>
    </row>
    <row r="530" spans="19:55" ht="15.75" customHeight="1">
      <c r="S530" s="454"/>
      <c r="AN530" s="458"/>
      <c r="AU530" s="177"/>
      <c r="AV530" s="177"/>
      <c r="AW530" s="177"/>
      <c r="AX530" s="177"/>
      <c r="AY530" s="458"/>
      <c r="AZ530" s="458"/>
      <c r="BA530" s="1307"/>
      <c r="BC530" s="169"/>
    </row>
    <row r="531" spans="19:55" ht="15.75" customHeight="1">
      <c r="S531" s="454"/>
      <c r="AN531" s="458"/>
      <c r="AU531" s="177"/>
      <c r="AY531" s="458"/>
      <c r="AZ531" s="458"/>
      <c r="BA531" s="1305"/>
      <c r="BC531" s="169"/>
    </row>
    <row r="532" spans="19:55" ht="15.75" customHeight="1">
      <c r="S532" s="454"/>
      <c r="AN532" s="458"/>
      <c r="AU532" s="177"/>
      <c r="AY532" s="458"/>
      <c r="AZ532" s="458"/>
      <c r="BA532" s="1305"/>
      <c r="BC532" s="169"/>
    </row>
    <row r="533" spans="19:55" ht="15.75" customHeight="1">
      <c r="S533" s="454"/>
      <c r="AN533" s="458"/>
      <c r="AY533" s="458"/>
      <c r="AZ533" s="458"/>
      <c r="BA533" s="1305"/>
      <c r="BC533" s="169"/>
    </row>
    <row r="534" spans="19:55" ht="15.75" customHeight="1">
      <c r="S534" s="454"/>
      <c r="AN534" s="458"/>
      <c r="AV534" s="177"/>
      <c r="AW534" s="177"/>
      <c r="AX534" s="177"/>
      <c r="AY534" s="458"/>
      <c r="AZ534" s="458"/>
      <c r="BA534" s="1307"/>
      <c r="BC534" s="169"/>
    </row>
    <row r="535" spans="19:55" ht="15.75" customHeight="1">
      <c r="S535" s="454"/>
      <c r="AN535" s="458"/>
      <c r="AV535" s="177"/>
      <c r="AW535" s="177"/>
      <c r="AX535" s="177"/>
      <c r="AY535" s="458"/>
      <c r="AZ535" s="458"/>
      <c r="BA535" s="1307"/>
      <c r="BC535" s="169"/>
    </row>
    <row r="536" spans="19:55" ht="15.75" customHeight="1">
      <c r="S536" s="454"/>
      <c r="AN536" s="458"/>
      <c r="AU536" s="177"/>
      <c r="AV536" s="177"/>
      <c r="AW536" s="177"/>
      <c r="AX536" s="177"/>
      <c r="AY536" s="458"/>
      <c r="AZ536" s="458"/>
      <c r="BA536" s="1307"/>
      <c r="BC536" s="169"/>
    </row>
    <row r="537" spans="19:55" ht="15.75" customHeight="1">
      <c r="S537" s="454"/>
      <c r="AN537" s="458"/>
      <c r="AU537" s="177"/>
      <c r="AV537" s="177"/>
      <c r="AW537" s="177"/>
      <c r="AX537" s="177"/>
      <c r="AY537" s="458"/>
      <c r="AZ537" s="458"/>
      <c r="BA537" s="1307"/>
      <c r="BC537" s="169"/>
    </row>
    <row r="538" spans="19:55" ht="15.75" customHeight="1">
      <c r="S538" s="454"/>
      <c r="AN538" s="458"/>
      <c r="AU538" s="177"/>
      <c r="AV538" s="177"/>
      <c r="AW538" s="177"/>
      <c r="AX538" s="177"/>
      <c r="AY538" s="458"/>
      <c r="AZ538" s="458"/>
      <c r="BA538" s="1307"/>
      <c r="BC538" s="169"/>
    </row>
    <row r="539" spans="19:55" ht="15.75" customHeight="1">
      <c r="S539" s="454"/>
      <c r="AN539" s="458"/>
      <c r="AU539" s="177"/>
      <c r="AV539" s="177"/>
      <c r="AW539" s="177"/>
      <c r="AX539" s="177"/>
      <c r="AY539" s="458"/>
      <c r="AZ539" s="458"/>
      <c r="BA539" s="1307"/>
      <c r="BC539" s="169"/>
    </row>
    <row r="540" spans="19:55" ht="15.75" customHeight="1">
      <c r="S540" s="454"/>
      <c r="AN540" s="458"/>
      <c r="AU540" s="177"/>
      <c r="AV540" s="177"/>
      <c r="AW540" s="177"/>
      <c r="AX540" s="177"/>
      <c r="AY540" s="458"/>
      <c r="AZ540" s="458"/>
      <c r="BA540" s="1307"/>
      <c r="BC540" s="169"/>
    </row>
    <row r="541" spans="19:55" ht="15.75" customHeight="1">
      <c r="S541" s="454"/>
      <c r="AN541" s="458"/>
      <c r="AU541" s="177"/>
      <c r="AY541" s="458"/>
      <c r="AZ541" s="458"/>
      <c r="BA541" s="1305"/>
      <c r="BC541" s="169"/>
    </row>
    <row r="542" spans="19:55" ht="15.75" customHeight="1">
      <c r="S542" s="454"/>
      <c r="AN542" s="458"/>
      <c r="AU542" s="177"/>
      <c r="AY542" s="458"/>
      <c r="AZ542" s="458"/>
      <c r="BA542" s="1305"/>
      <c r="BC542" s="169"/>
    </row>
    <row r="543" spans="19:55" ht="15.75" customHeight="1">
      <c r="S543" s="454"/>
      <c r="AN543" s="458"/>
      <c r="AY543" s="458"/>
      <c r="AZ543" s="458"/>
      <c r="BA543" s="1305"/>
      <c r="BC543" s="169"/>
    </row>
    <row r="544" spans="19:55" ht="15.75" customHeight="1">
      <c r="S544" s="454"/>
      <c r="AN544" s="458"/>
      <c r="AY544" s="458"/>
      <c r="AZ544" s="458"/>
      <c r="BA544" s="1305"/>
      <c r="BC544" s="169"/>
    </row>
    <row r="545" spans="19:55" ht="15.75" customHeight="1">
      <c r="S545" s="454"/>
      <c r="AN545" s="458"/>
      <c r="AY545" s="458"/>
      <c r="AZ545" s="458"/>
      <c r="BA545" s="1305"/>
      <c r="BC545" s="169"/>
    </row>
    <row r="546" spans="19:55" ht="15.75" customHeight="1">
      <c r="S546" s="454"/>
      <c r="AN546" s="458"/>
      <c r="AY546" s="458"/>
      <c r="AZ546" s="458"/>
      <c r="BA546" s="1305"/>
      <c r="BC546" s="169"/>
    </row>
    <row r="547" spans="19:55" ht="15.75" customHeight="1">
      <c r="S547" s="454"/>
      <c r="AN547" s="458"/>
      <c r="AY547" s="458"/>
      <c r="AZ547" s="458"/>
      <c r="BA547" s="1305"/>
      <c r="BC547" s="169"/>
    </row>
    <row r="548" spans="19:55" ht="15.75" customHeight="1">
      <c r="S548" s="454"/>
      <c r="AN548" s="458"/>
      <c r="AY548" s="458"/>
      <c r="AZ548" s="458"/>
      <c r="BA548" s="1305"/>
      <c r="BC548" s="169"/>
    </row>
    <row r="549" spans="19:55" ht="15.75" customHeight="1">
      <c r="S549" s="454"/>
      <c r="AN549" s="458"/>
      <c r="AY549" s="458"/>
      <c r="AZ549" s="458"/>
      <c r="BA549" s="1305"/>
      <c r="BC549" s="169"/>
    </row>
    <row r="550" spans="19:55" ht="15.75" customHeight="1">
      <c r="S550" s="454"/>
      <c r="AN550" s="458"/>
      <c r="AY550" s="458"/>
      <c r="AZ550" s="458"/>
      <c r="BA550" s="1305"/>
      <c r="BC550" s="169"/>
    </row>
    <row r="551" spans="19:55" ht="15.75" customHeight="1">
      <c r="S551" s="454"/>
      <c r="AN551" s="458"/>
      <c r="AY551" s="458"/>
      <c r="AZ551" s="458"/>
      <c r="BA551" s="1305"/>
      <c r="BC551" s="169"/>
    </row>
    <row r="552" spans="19:55" ht="15.75" customHeight="1">
      <c r="S552" s="454"/>
      <c r="AN552" s="458"/>
      <c r="AY552" s="458"/>
      <c r="AZ552" s="458"/>
      <c r="BA552" s="1305"/>
      <c r="BC552" s="169"/>
    </row>
    <row r="553" spans="19:55" ht="15.75" customHeight="1">
      <c r="S553" s="454"/>
      <c r="AN553" s="458"/>
      <c r="AY553" s="458"/>
      <c r="AZ553" s="458"/>
      <c r="BA553" s="1305"/>
      <c r="BC553" s="169"/>
    </row>
    <row r="554" spans="19:55" ht="15.75" customHeight="1">
      <c r="S554" s="454"/>
      <c r="AN554" s="458"/>
      <c r="AY554" s="458"/>
      <c r="AZ554" s="458"/>
      <c r="BA554" s="1305"/>
      <c r="BC554" s="169"/>
    </row>
    <row r="555" spans="19:55" ht="15.75" customHeight="1">
      <c r="S555" s="454"/>
      <c r="AN555" s="458"/>
      <c r="AY555" s="458"/>
      <c r="AZ555" s="458"/>
      <c r="BA555" s="1305"/>
      <c r="BC555" s="169"/>
    </row>
    <row r="556" spans="19:55" ht="15.75" customHeight="1">
      <c r="S556" s="454"/>
      <c r="AN556" s="458"/>
      <c r="AY556" s="458"/>
      <c r="AZ556" s="458"/>
      <c r="BA556" s="1305"/>
      <c r="BC556" s="169"/>
    </row>
    <row r="557" spans="19:55" ht="15.75" customHeight="1">
      <c r="S557" s="454"/>
      <c r="AN557" s="458"/>
      <c r="AY557" s="458"/>
      <c r="AZ557" s="458"/>
      <c r="BA557" s="1305"/>
      <c r="BC557" s="169"/>
    </row>
    <row r="558" spans="19:55" ht="15.75" customHeight="1">
      <c r="S558" s="454"/>
      <c r="AN558" s="458"/>
      <c r="AY558" s="458"/>
      <c r="AZ558" s="458"/>
      <c r="BA558" s="1305"/>
      <c r="BC558" s="169"/>
    </row>
    <row r="559" spans="19:55" ht="15.75" customHeight="1">
      <c r="S559" s="454"/>
      <c r="AN559" s="458"/>
      <c r="AY559" s="458"/>
      <c r="AZ559" s="458"/>
      <c r="BA559" s="1305"/>
      <c r="BC559" s="169"/>
    </row>
    <row r="560" spans="19:55" ht="15.75" customHeight="1">
      <c r="S560" s="454"/>
      <c r="AN560" s="458"/>
      <c r="AY560" s="458"/>
      <c r="AZ560" s="458"/>
      <c r="BA560" s="1305"/>
      <c r="BC560" s="169"/>
    </row>
    <row r="561" spans="19:55" ht="15.75" customHeight="1">
      <c r="S561" s="454"/>
      <c r="AN561" s="458"/>
      <c r="AY561" s="458"/>
      <c r="AZ561" s="458"/>
      <c r="BA561" s="1305"/>
      <c r="BC561" s="169"/>
    </row>
    <row r="562" spans="19:55" ht="15.75" customHeight="1">
      <c r="S562" s="454"/>
      <c r="AN562" s="458"/>
      <c r="AY562" s="458"/>
      <c r="AZ562" s="458"/>
      <c r="BA562" s="1305"/>
      <c r="BC562" s="169"/>
    </row>
    <row r="563" spans="19:55" ht="15.75" customHeight="1">
      <c r="S563" s="454"/>
      <c r="AN563" s="458"/>
      <c r="AY563" s="458"/>
      <c r="AZ563" s="458"/>
      <c r="BA563" s="1305"/>
      <c r="BC563" s="169"/>
    </row>
    <row r="564" spans="19:55" ht="15.75" customHeight="1">
      <c r="S564" s="454"/>
      <c r="AN564" s="458"/>
      <c r="AY564" s="458"/>
      <c r="AZ564" s="458"/>
      <c r="BA564" s="1305"/>
      <c r="BC564" s="169"/>
    </row>
    <row r="565" spans="19:55" ht="15.75" customHeight="1">
      <c r="S565" s="454"/>
      <c r="AN565" s="458"/>
      <c r="AY565" s="458"/>
      <c r="AZ565" s="458"/>
      <c r="BA565" s="1305"/>
      <c r="BC565" s="169"/>
    </row>
    <row r="566" spans="19:55" ht="15.75" customHeight="1">
      <c r="S566" s="454"/>
      <c r="AN566" s="458"/>
      <c r="AY566" s="458"/>
      <c r="AZ566" s="458"/>
      <c r="BA566" s="1305"/>
      <c r="BC566" s="169"/>
    </row>
    <row r="567" spans="19:55" ht="15.75" customHeight="1">
      <c r="S567" s="454"/>
      <c r="AN567" s="458"/>
      <c r="AY567" s="458"/>
      <c r="AZ567" s="458"/>
      <c r="BA567" s="1305"/>
      <c r="BC567" s="169"/>
    </row>
    <row r="568" spans="19:55" ht="15.75" customHeight="1">
      <c r="S568" s="454"/>
      <c r="AN568" s="458"/>
      <c r="AY568" s="458"/>
      <c r="AZ568" s="458"/>
      <c r="BA568" s="1305"/>
      <c r="BC568" s="169"/>
    </row>
    <row r="569" spans="19:55" ht="15.75" customHeight="1">
      <c r="S569" s="454"/>
      <c r="AN569" s="458"/>
      <c r="AY569" s="458"/>
      <c r="AZ569" s="458"/>
      <c r="BA569" s="1305"/>
      <c r="BC569" s="169"/>
    </row>
    <row r="570" spans="19:55" ht="15.75" customHeight="1">
      <c r="S570" s="454"/>
      <c r="AN570" s="458"/>
      <c r="AY570" s="458"/>
      <c r="AZ570" s="458"/>
      <c r="BA570" s="1305"/>
      <c r="BC570" s="169"/>
    </row>
    <row r="571" spans="19:55" ht="15.75" customHeight="1">
      <c r="S571" s="454"/>
      <c r="AN571" s="458"/>
      <c r="AY571" s="458"/>
      <c r="AZ571" s="458"/>
      <c r="BA571" s="1305"/>
      <c r="BC571" s="169"/>
    </row>
    <row r="572" spans="19:55" ht="15.75" customHeight="1">
      <c r="S572" s="454"/>
      <c r="AN572" s="458"/>
      <c r="AY572" s="458"/>
      <c r="AZ572" s="458"/>
      <c r="BA572" s="1305"/>
      <c r="BC572" s="169"/>
    </row>
    <row r="573" spans="19:55" ht="15.75" customHeight="1">
      <c r="S573" s="454"/>
      <c r="AN573" s="458"/>
      <c r="AY573" s="458"/>
      <c r="AZ573" s="458"/>
      <c r="BA573" s="1305"/>
      <c r="BC573" s="169"/>
    </row>
    <row r="574" spans="19:55" ht="15.75" customHeight="1">
      <c r="S574" s="454"/>
      <c r="AN574" s="458"/>
      <c r="AY574" s="458"/>
      <c r="AZ574" s="458"/>
      <c r="BA574" s="1305"/>
      <c r="BC574" s="169"/>
    </row>
    <row r="575" spans="19:55" ht="15.75" customHeight="1">
      <c r="S575" s="454"/>
      <c r="AN575" s="458"/>
      <c r="AY575" s="458"/>
      <c r="AZ575" s="458"/>
      <c r="BA575" s="1305"/>
      <c r="BC575" s="169"/>
    </row>
    <row r="576" spans="19:55" ht="15.75" customHeight="1">
      <c r="S576" s="454"/>
      <c r="AN576" s="458"/>
      <c r="AY576" s="458"/>
      <c r="AZ576" s="458"/>
      <c r="BA576" s="1305"/>
      <c r="BC576" s="169"/>
    </row>
    <row r="577" spans="19:55" ht="15.75" customHeight="1">
      <c r="S577" s="454"/>
      <c r="AN577" s="458"/>
      <c r="AY577" s="458"/>
      <c r="AZ577" s="458"/>
      <c r="BA577" s="1305"/>
      <c r="BC577" s="169"/>
    </row>
    <row r="578" spans="19:55" ht="15.75" customHeight="1">
      <c r="S578" s="454"/>
      <c r="AN578" s="458"/>
      <c r="AY578" s="458"/>
      <c r="AZ578" s="458"/>
      <c r="BA578" s="1305"/>
      <c r="BC578" s="169"/>
    </row>
    <row r="579" spans="19:55" ht="15.75" customHeight="1">
      <c r="S579" s="454"/>
      <c r="AN579" s="458"/>
      <c r="AY579" s="458"/>
      <c r="AZ579" s="458"/>
      <c r="BA579" s="1305"/>
      <c r="BC579" s="169"/>
    </row>
    <row r="580" spans="19:55" ht="15.75" customHeight="1">
      <c r="S580" s="454"/>
      <c r="AN580" s="458"/>
      <c r="AY580" s="458"/>
      <c r="AZ580" s="458"/>
      <c r="BA580" s="1305"/>
      <c r="BC580" s="169"/>
    </row>
    <row r="581" spans="19:55" ht="15.75" customHeight="1">
      <c r="S581" s="454"/>
      <c r="AN581" s="458"/>
      <c r="AY581" s="458"/>
      <c r="AZ581" s="458"/>
      <c r="BA581" s="1305"/>
      <c r="BC581" s="169"/>
    </row>
    <row r="582" spans="19:55" ht="15.75" customHeight="1">
      <c r="S582" s="454"/>
      <c r="AN582" s="458"/>
      <c r="AY582" s="458"/>
      <c r="AZ582" s="458"/>
      <c r="BA582" s="1305"/>
      <c r="BC582" s="169"/>
    </row>
    <row r="583" spans="19:55" ht="15.75" customHeight="1">
      <c r="S583" s="454"/>
      <c r="AN583" s="458"/>
      <c r="AY583" s="458"/>
      <c r="AZ583" s="458"/>
      <c r="BA583" s="1305"/>
      <c r="BC583" s="169"/>
    </row>
    <row r="584" spans="19:55" ht="15.75" customHeight="1">
      <c r="S584" s="454"/>
      <c r="AN584" s="458"/>
      <c r="AY584" s="458"/>
      <c r="AZ584" s="458"/>
      <c r="BA584" s="1305"/>
      <c r="BC584" s="169"/>
    </row>
    <row r="585" spans="19:55" ht="15.75" customHeight="1">
      <c r="S585" s="454"/>
      <c r="AN585" s="458"/>
      <c r="AY585" s="458"/>
      <c r="AZ585" s="458"/>
      <c r="BA585" s="1305"/>
      <c r="BC585" s="169"/>
    </row>
    <row r="586" spans="19:55" ht="15.75" customHeight="1">
      <c r="S586" s="454"/>
      <c r="AN586" s="458"/>
      <c r="AY586" s="458"/>
      <c r="AZ586" s="458"/>
      <c r="BA586" s="1305"/>
      <c r="BC586" s="169"/>
    </row>
    <row r="587" spans="19:55" ht="15.75" customHeight="1">
      <c r="S587" s="454"/>
      <c r="AN587" s="458"/>
      <c r="AY587" s="458"/>
      <c r="AZ587" s="458"/>
      <c r="BA587" s="1305"/>
      <c r="BC587" s="169"/>
    </row>
    <row r="588" spans="19:55" ht="15.75" customHeight="1">
      <c r="S588" s="454"/>
      <c r="AN588" s="458"/>
      <c r="AY588" s="458"/>
      <c r="AZ588" s="458"/>
      <c r="BA588" s="1305"/>
      <c r="BC588" s="169"/>
    </row>
    <row r="589" spans="19:55" ht="15.75" customHeight="1">
      <c r="S589" s="454"/>
      <c r="AN589" s="458"/>
      <c r="AY589" s="458"/>
      <c r="AZ589" s="458"/>
      <c r="BA589" s="1305"/>
      <c r="BC589" s="169"/>
    </row>
    <row r="590" spans="19:55" ht="15.75" customHeight="1">
      <c r="S590" s="454"/>
      <c r="AN590" s="458"/>
      <c r="AY590" s="458"/>
      <c r="AZ590" s="458"/>
      <c r="BA590" s="1305"/>
      <c r="BC590" s="169"/>
    </row>
    <row r="591" spans="19:55" ht="15.75" customHeight="1">
      <c r="S591" s="454"/>
      <c r="AN591" s="458"/>
      <c r="AY591" s="458"/>
      <c r="AZ591" s="458"/>
      <c r="BA591" s="1305"/>
      <c r="BC591" s="169"/>
    </row>
    <row r="592" spans="19:55" ht="15.75" customHeight="1">
      <c r="S592" s="454"/>
      <c r="AN592" s="458"/>
      <c r="AY592" s="458"/>
      <c r="AZ592" s="458"/>
      <c r="BA592" s="1305"/>
      <c r="BC592" s="169"/>
    </row>
    <row r="593" spans="19:55" ht="15.75" customHeight="1">
      <c r="S593" s="454"/>
      <c r="AN593" s="458"/>
      <c r="AY593" s="458"/>
      <c r="AZ593" s="458"/>
      <c r="BA593" s="1305"/>
      <c r="BC593" s="169"/>
    </row>
    <row r="594" spans="19:55" ht="15.75" customHeight="1">
      <c r="S594" s="454"/>
      <c r="AN594" s="458"/>
      <c r="AY594" s="458"/>
      <c r="AZ594" s="458"/>
      <c r="BA594" s="1305"/>
      <c r="BC594" s="169"/>
    </row>
    <row r="595" spans="19:55" ht="15.75" customHeight="1">
      <c r="S595" s="454"/>
      <c r="AN595" s="458"/>
      <c r="AY595" s="458"/>
      <c r="AZ595" s="458"/>
      <c r="BA595" s="1305"/>
      <c r="BC595" s="169"/>
    </row>
    <row r="596" spans="19:55" ht="15.75" customHeight="1">
      <c r="S596" s="454"/>
      <c r="AN596" s="458"/>
      <c r="AY596" s="458"/>
      <c r="AZ596" s="458"/>
      <c r="BA596" s="1305"/>
      <c r="BC596" s="169"/>
    </row>
    <row r="597" spans="19:55" ht="15.75" customHeight="1">
      <c r="S597" s="454"/>
      <c r="AN597" s="458"/>
      <c r="AY597" s="458"/>
      <c r="AZ597" s="458"/>
      <c r="BA597" s="1305"/>
      <c r="BC597" s="169"/>
    </row>
    <row r="598" spans="19:55" ht="15.75" customHeight="1">
      <c r="S598" s="454"/>
      <c r="AN598" s="458"/>
      <c r="AY598" s="458"/>
      <c r="AZ598" s="458"/>
      <c r="BA598" s="1305"/>
      <c r="BC598" s="169"/>
    </row>
    <row r="599" spans="19:55" ht="15.75" customHeight="1">
      <c r="S599" s="454"/>
      <c r="AN599" s="458"/>
      <c r="AY599" s="458"/>
      <c r="AZ599" s="458"/>
      <c r="BA599" s="1305"/>
      <c r="BC599" s="169"/>
    </row>
    <row r="600" spans="19:55" ht="15.75" customHeight="1">
      <c r="S600" s="454"/>
      <c r="AN600" s="458"/>
      <c r="AY600" s="458"/>
      <c r="AZ600" s="458"/>
      <c r="BA600" s="1305"/>
      <c r="BC600" s="169"/>
    </row>
    <row r="601" spans="19:55" ht="15.75" customHeight="1">
      <c r="S601" s="454"/>
      <c r="AN601" s="458"/>
      <c r="AY601" s="458"/>
      <c r="AZ601" s="458"/>
      <c r="BA601" s="1305"/>
      <c r="BC601" s="169"/>
    </row>
    <row r="602" spans="19:55" ht="15.75" customHeight="1">
      <c r="S602" s="454"/>
      <c r="AN602" s="458"/>
      <c r="AY602" s="458"/>
      <c r="AZ602" s="458"/>
      <c r="BA602" s="1305"/>
      <c r="BC602" s="169"/>
    </row>
    <row r="603" spans="19:55" ht="15.75" customHeight="1">
      <c r="S603" s="454"/>
      <c r="AN603" s="458"/>
      <c r="AY603" s="458"/>
      <c r="AZ603" s="458"/>
      <c r="BA603" s="1305"/>
      <c r="BC603" s="169"/>
    </row>
    <row r="604" spans="19:55" ht="15.75" customHeight="1">
      <c r="S604" s="454"/>
      <c r="AN604" s="458"/>
      <c r="AY604" s="458"/>
      <c r="AZ604" s="458"/>
      <c r="BA604" s="1305"/>
      <c r="BC604" s="169"/>
    </row>
    <row r="605" spans="19:55" ht="15.75" customHeight="1">
      <c r="S605" s="454"/>
      <c r="AN605" s="458"/>
      <c r="AY605" s="458"/>
      <c r="AZ605" s="458"/>
      <c r="BA605" s="1305"/>
      <c r="BC605" s="169"/>
    </row>
    <row r="606" spans="19:55" ht="15.75" customHeight="1">
      <c r="S606" s="454"/>
      <c r="AN606" s="458"/>
      <c r="AY606" s="458"/>
      <c r="AZ606" s="458"/>
      <c r="BA606" s="1305"/>
      <c r="BC606" s="169"/>
    </row>
    <row r="607" spans="19:55" ht="15.75" customHeight="1">
      <c r="S607" s="454"/>
      <c r="AN607" s="458"/>
      <c r="AY607" s="458"/>
      <c r="AZ607" s="458"/>
      <c r="BA607" s="1305"/>
      <c r="BC607" s="169"/>
    </row>
    <row r="608" spans="19:55" ht="15.75" customHeight="1">
      <c r="S608" s="454"/>
      <c r="AN608" s="458"/>
      <c r="AY608" s="458"/>
      <c r="AZ608" s="458"/>
      <c r="BA608" s="1305"/>
      <c r="BC608" s="169"/>
    </row>
    <row r="609" spans="19:55" ht="15.75" customHeight="1">
      <c r="S609" s="454"/>
      <c r="AN609" s="458"/>
      <c r="AY609" s="458"/>
      <c r="AZ609" s="458"/>
      <c r="BA609" s="1305"/>
      <c r="BC609" s="169"/>
    </row>
    <row r="610" spans="19:55" ht="15.75" customHeight="1">
      <c r="S610" s="454"/>
      <c r="AN610" s="458"/>
      <c r="AY610" s="458"/>
      <c r="AZ610" s="458"/>
      <c r="BA610" s="1305"/>
      <c r="BC610" s="169"/>
    </row>
    <row r="611" spans="19:55" ht="15.75" customHeight="1">
      <c r="S611" s="454"/>
      <c r="AN611" s="458"/>
      <c r="AY611" s="458"/>
      <c r="AZ611" s="458"/>
      <c r="BA611" s="1305"/>
      <c r="BC611" s="169"/>
    </row>
    <row r="612" spans="19:55" ht="15.75" customHeight="1">
      <c r="S612" s="454"/>
      <c r="AN612" s="458"/>
      <c r="AY612" s="458"/>
      <c r="AZ612" s="458"/>
      <c r="BA612" s="1305"/>
      <c r="BC612" s="169"/>
    </row>
    <row r="613" spans="19:55" ht="15.75" customHeight="1">
      <c r="S613" s="454"/>
      <c r="AN613" s="458"/>
      <c r="AY613" s="458"/>
      <c r="AZ613" s="458"/>
      <c r="BA613" s="1305"/>
      <c r="BC613" s="169"/>
    </row>
    <row r="614" spans="19:55" ht="15.75" customHeight="1">
      <c r="S614" s="454"/>
      <c r="AN614" s="458"/>
      <c r="AY614" s="458"/>
      <c r="AZ614" s="458"/>
      <c r="BA614" s="1305"/>
      <c r="BC614" s="169"/>
    </row>
    <row r="615" spans="19:55" ht="15.75" customHeight="1">
      <c r="S615" s="454"/>
      <c r="AN615" s="458"/>
      <c r="AY615" s="458"/>
      <c r="AZ615" s="458"/>
      <c r="BA615" s="1305"/>
      <c r="BC615" s="169"/>
    </row>
    <row r="616" spans="19:55" ht="15.75" customHeight="1">
      <c r="S616" s="454"/>
      <c r="AN616" s="458"/>
      <c r="AY616" s="458"/>
      <c r="AZ616" s="458"/>
      <c r="BA616" s="1305"/>
      <c r="BC616" s="169"/>
    </row>
    <row r="617" spans="19:55" ht="15.75" customHeight="1">
      <c r="S617" s="454"/>
      <c r="AN617" s="458"/>
      <c r="AY617" s="458"/>
      <c r="AZ617" s="458"/>
      <c r="BA617" s="1305"/>
      <c r="BC617" s="169"/>
    </row>
    <row r="618" spans="19:55" ht="15.75" customHeight="1">
      <c r="S618" s="454"/>
      <c r="AN618" s="458"/>
      <c r="AY618" s="458"/>
      <c r="AZ618" s="458"/>
      <c r="BA618" s="1305"/>
      <c r="BC618" s="169"/>
    </row>
    <row r="619" spans="19:55" ht="15.75" customHeight="1">
      <c r="S619" s="454"/>
      <c r="AN619" s="458"/>
      <c r="AY619" s="458"/>
      <c r="AZ619" s="458"/>
      <c r="BA619" s="1305"/>
      <c r="BC619" s="169"/>
    </row>
    <row r="620" spans="19:55" ht="15.75" customHeight="1">
      <c r="S620" s="454"/>
      <c r="AN620" s="458"/>
      <c r="AY620" s="458"/>
      <c r="AZ620" s="458"/>
      <c r="BA620" s="1305"/>
      <c r="BC620" s="169"/>
    </row>
    <row r="621" spans="19:55" ht="15.75" customHeight="1">
      <c r="S621" s="454"/>
      <c r="AN621" s="458"/>
      <c r="AY621" s="458"/>
      <c r="AZ621" s="458"/>
      <c r="BA621" s="1305"/>
      <c r="BC621" s="169"/>
    </row>
    <row r="622" spans="19:55" ht="15.75" customHeight="1">
      <c r="S622" s="454"/>
      <c r="AN622" s="458"/>
      <c r="AY622" s="458"/>
      <c r="AZ622" s="458"/>
      <c r="BA622" s="1305"/>
      <c r="BC622" s="169"/>
    </row>
    <row r="623" spans="19:55" ht="15.75" customHeight="1">
      <c r="S623" s="454"/>
      <c r="AN623" s="458"/>
      <c r="AY623" s="458"/>
      <c r="AZ623" s="458"/>
      <c r="BA623" s="1305"/>
      <c r="BC623" s="169"/>
    </row>
    <row r="624" spans="19:55" ht="15.75" customHeight="1">
      <c r="S624" s="454"/>
      <c r="AN624" s="458"/>
      <c r="AY624" s="458"/>
      <c r="AZ624" s="458"/>
      <c r="BA624" s="1305"/>
      <c r="BC624" s="169"/>
    </row>
    <row r="625" spans="19:55" ht="15.75" customHeight="1">
      <c r="S625" s="454"/>
      <c r="AN625" s="458"/>
      <c r="AY625" s="458"/>
      <c r="AZ625" s="458"/>
      <c r="BA625" s="1305"/>
      <c r="BC625" s="169"/>
    </row>
    <row r="626" spans="19:55" ht="15.75" customHeight="1">
      <c r="S626" s="454"/>
      <c r="AN626" s="458"/>
      <c r="AY626" s="458"/>
      <c r="AZ626" s="458"/>
      <c r="BA626" s="1305"/>
      <c r="BC626" s="169"/>
    </row>
    <row r="627" spans="19:55" ht="15.75" customHeight="1">
      <c r="S627" s="454"/>
      <c r="AN627" s="458"/>
      <c r="AY627" s="458"/>
      <c r="AZ627" s="458"/>
      <c r="BA627" s="1305"/>
      <c r="BC627" s="169"/>
    </row>
    <row r="628" spans="19:55" ht="15.75" customHeight="1">
      <c r="S628" s="454"/>
      <c r="AN628" s="458"/>
      <c r="AY628" s="458"/>
      <c r="AZ628" s="458"/>
      <c r="BA628" s="1305"/>
      <c r="BC628" s="169"/>
    </row>
    <row r="629" spans="19:55" ht="15.75" customHeight="1">
      <c r="S629" s="454"/>
      <c r="AN629" s="458"/>
      <c r="AY629" s="458"/>
      <c r="AZ629" s="458"/>
      <c r="BA629" s="1305"/>
      <c r="BC629" s="169"/>
    </row>
    <row r="630" spans="19:55" ht="15.75" customHeight="1">
      <c r="S630" s="454"/>
      <c r="AN630" s="458"/>
      <c r="AY630" s="458"/>
      <c r="AZ630" s="458"/>
      <c r="BA630" s="1305"/>
      <c r="BC630" s="169"/>
    </row>
    <row r="631" spans="19:55" ht="15.75" customHeight="1">
      <c r="S631" s="454"/>
      <c r="AN631" s="458"/>
      <c r="AY631" s="458"/>
      <c r="AZ631" s="458"/>
      <c r="BA631" s="1305"/>
      <c r="BC631" s="169"/>
    </row>
    <row r="632" spans="19:55" ht="15.75" customHeight="1">
      <c r="S632" s="454"/>
      <c r="AN632" s="458"/>
      <c r="AY632" s="458"/>
      <c r="AZ632" s="458"/>
      <c r="BA632" s="1305"/>
      <c r="BC632" s="169"/>
    </row>
    <row r="633" spans="19:55" ht="15.75" customHeight="1">
      <c r="S633" s="454"/>
      <c r="AN633" s="458"/>
      <c r="AY633" s="458"/>
      <c r="AZ633" s="458"/>
      <c r="BA633" s="1305"/>
      <c r="BC633" s="169"/>
    </row>
    <row r="634" spans="19:55" ht="15.75" customHeight="1">
      <c r="S634" s="454"/>
      <c r="AN634" s="458"/>
      <c r="AY634" s="458"/>
      <c r="AZ634" s="458"/>
      <c r="BA634" s="1305"/>
      <c r="BC634" s="169"/>
    </row>
    <row r="635" spans="19:55" ht="15.75" customHeight="1">
      <c r="S635" s="454"/>
      <c r="AN635" s="458"/>
      <c r="AY635" s="458"/>
      <c r="AZ635" s="458"/>
      <c r="BA635" s="1305"/>
      <c r="BC635" s="169"/>
    </row>
    <row r="636" spans="19:55" ht="15.75" customHeight="1">
      <c r="S636" s="454"/>
      <c r="AN636" s="458"/>
      <c r="AY636" s="458"/>
      <c r="AZ636" s="458"/>
      <c r="BA636" s="1305"/>
      <c r="BC636" s="169"/>
    </row>
    <row r="637" spans="19:55" ht="15.75" customHeight="1">
      <c r="S637" s="454"/>
      <c r="AN637" s="458"/>
      <c r="AY637" s="458"/>
      <c r="AZ637" s="458"/>
      <c r="BA637" s="1305"/>
      <c r="BC637" s="169"/>
    </row>
    <row r="638" spans="19:55" ht="15.75" customHeight="1">
      <c r="S638" s="454"/>
      <c r="AN638" s="458"/>
      <c r="AY638" s="458"/>
      <c r="AZ638" s="458"/>
      <c r="BA638" s="1305"/>
      <c r="BC638" s="169"/>
    </row>
    <row r="639" spans="19:55" ht="15.75" customHeight="1">
      <c r="S639" s="454"/>
      <c r="AN639" s="458"/>
      <c r="AY639" s="458"/>
      <c r="AZ639" s="458"/>
      <c r="BA639" s="1305"/>
      <c r="BC639" s="169"/>
    </row>
    <row r="640" spans="19:55" ht="15.75" customHeight="1">
      <c r="S640" s="454"/>
      <c r="AN640" s="458"/>
      <c r="AY640" s="458"/>
      <c r="AZ640" s="458"/>
      <c r="BA640" s="1305"/>
      <c r="BC640" s="169"/>
    </row>
    <row r="641" spans="19:55" ht="15.75" customHeight="1">
      <c r="S641" s="454"/>
      <c r="AN641" s="458"/>
      <c r="AY641" s="458"/>
      <c r="AZ641" s="458"/>
      <c r="BA641" s="1305"/>
      <c r="BC641" s="169"/>
    </row>
    <row r="642" spans="19:55" ht="15.75" customHeight="1">
      <c r="S642" s="454"/>
      <c r="AN642" s="458"/>
      <c r="AY642" s="458"/>
      <c r="AZ642" s="458"/>
      <c r="BA642" s="1305"/>
      <c r="BC642" s="169"/>
    </row>
    <row r="643" spans="19:55" ht="15.75" customHeight="1">
      <c r="S643" s="454"/>
      <c r="AN643" s="458"/>
      <c r="AY643" s="458"/>
      <c r="AZ643" s="458"/>
      <c r="BA643" s="1305"/>
      <c r="BC643" s="169"/>
    </row>
    <row r="644" spans="19:55" ht="15.75" customHeight="1">
      <c r="S644" s="454"/>
      <c r="AN644" s="458"/>
      <c r="AY644" s="458"/>
      <c r="AZ644" s="458"/>
      <c r="BA644" s="1305"/>
      <c r="BC644" s="169"/>
    </row>
    <row r="645" spans="19:55" ht="15.75" customHeight="1">
      <c r="S645" s="454"/>
      <c r="AN645" s="458"/>
      <c r="AY645" s="458"/>
      <c r="AZ645" s="458"/>
      <c r="BA645" s="1305"/>
      <c r="BC645" s="169"/>
    </row>
    <row r="646" spans="19:55" ht="15.75" customHeight="1">
      <c r="S646" s="454"/>
      <c r="AN646" s="458"/>
      <c r="AY646" s="458"/>
      <c r="AZ646" s="458"/>
      <c r="BA646" s="1305"/>
      <c r="BC646" s="169"/>
    </row>
    <row r="647" spans="19:55" ht="15.75" customHeight="1">
      <c r="S647" s="454"/>
      <c r="AN647" s="458"/>
      <c r="AY647" s="458"/>
      <c r="AZ647" s="458"/>
      <c r="BA647" s="1305"/>
      <c r="BC647" s="169"/>
    </row>
    <row r="648" spans="19:55" ht="15.75" customHeight="1">
      <c r="S648" s="454"/>
      <c r="AN648" s="458"/>
      <c r="AY648" s="458"/>
      <c r="AZ648" s="458"/>
      <c r="BA648" s="1305"/>
      <c r="BC648" s="169"/>
    </row>
    <row r="649" spans="19:55" ht="15.75" customHeight="1">
      <c r="S649" s="454"/>
      <c r="AN649" s="458"/>
      <c r="AY649" s="458"/>
      <c r="AZ649" s="458"/>
      <c r="BA649" s="1305"/>
      <c r="BC649" s="169"/>
    </row>
    <row r="650" spans="19:55" ht="15.75" customHeight="1">
      <c r="S650" s="454"/>
      <c r="AN650" s="458"/>
      <c r="AY650" s="458"/>
      <c r="AZ650" s="458"/>
      <c r="BA650" s="1305"/>
      <c r="BC650" s="169"/>
    </row>
    <row r="651" spans="19:55" ht="15.75" customHeight="1">
      <c r="S651" s="454"/>
      <c r="AN651" s="458"/>
      <c r="AY651" s="458"/>
      <c r="AZ651" s="458"/>
      <c r="BA651" s="1305"/>
      <c r="BC651" s="169"/>
    </row>
    <row r="652" spans="19:55" ht="15.75" customHeight="1">
      <c r="S652" s="454"/>
      <c r="AN652" s="458"/>
      <c r="AY652" s="458"/>
      <c r="AZ652" s="458"/>
      <c r="BA652" s="1305"/>
      <c r="BC652" s="169"/>
    </row>
    <row r="653" spans="19:55" ht="15.75" customHeight="1">
      <c r="S653" s="454"/>
      <c r="AN653" s="458"/>
      <c r="AY653" s="458"/>
      <c r="AZ653" s="458"/>
      <c r="BA653" s="1305"/>
      <c r="BC653" s="169"/>
    </row>
    <row r="654" spans="19:55" ht="15.75" customHeight="1">
      <c r="S654" s="454"/>
      <c r="AN654" s="458"/>
      <c r="AY654" s="458"/>
      <c r="AZ654" s="458"/>
      <c r="BA654" s="1305"/>
      <c r="BC654" s="169"/>
    </row>
    <row r="655" spans="19:55" ht="15.75" customHeight="1">
      <c r="S655" s="454"/>
      <c r="AN655" s="458"/>
      <c r="AY655" s="458"/>
      <c r="AZ655" s="458"/>
      <c r="BA655" s="1305"/>
      <c r="BC655" s="169"/>
    </row>
    <row r="656" spans="19:55" ht="15.75" customHeight="1">
      <c r="S656" s="454"/>
      <c r="AN656" s="458"/>
      <c r="AY656" s="458"/>
      <c r="AZ656" s="458"/>
      <c r="BA656" s="1305"/>
      <c r="BC656" s="169"/>
    </row>
    <row r="657" spans="19:55" ht="15.75" customHeight="1">
      <c r="S657" s="454"/>
      <c r="AN657" s="458"/>
      <c r="AY657" s="458"/>
      <c r="AZ657" s="458"/>
      <c r="BA657" s="1305"/>
      <c r="BC657" s="169"/>
    </row>
    <row r="658" spans="19:55" ht="15.75" customHeight="1">
      <c r="S658" s="454"/>
      <c r="AN658" s="458"/>
      <c r="AY658" s="458"/>
      <c r="AZ658" s="458"/>
      <c r="BA658" s="1305"/>
      <c r="BC658" s="169"/>
    </row>
    <row r="659" spans="19:55" ht="15.75" customHeight="1">
      <c r="S659" s="454"/>
      <c r="AN659" s="458"/>
      <c r="AY659" s="458"/>
      <c r="AZ659" s="458"/>
      <c r="BA659" s="1305"/>
      <c r="BC659" s="169"/>
    </row>
    <row r="660" spans="19:55" ht="15.75" customHeight="1">
      <c r="S660" s="454"/>
      <c r="AN660" s="458"/>
      <c r="AY660" s="458"/>
      <c r="AZ660" s="458"/>
      <c r="BA660" s="1305"/>
      <c r="BC660" s="169"/>
    </row>
    <row r="661" spans="19:55" ht="15.75" customHeight="1">
      <c r="S661" s="454"/>
      <c r="AN661" s="458"/>
      <c r="AY661" s="458"/>
      <c r="AZ661" s="458"/>
      <c r="BA661" s="1305"/>
      <c r="BC661" s="169"/>
    </row>
    <row r="662" spans="19:55" ht="15.75" customHeight="1">
      <c r="S662" s="454"/>
      <c r="AN662" s="458"/>
      <c r="AY662" s="458"/>
      <c r="AZ662" s="458"/>
      <c r="BA662" s="1305"/>
      <c r="BC662" s="169"/>
    </row>
    <row r="663" spans="19:55" ht="15.75" customHeight="1">
      <c r="S663" s="454"/>
      <c r="AN663" s="458"/>
      <c r="AY663" s="458"/>
      <c r="AZ663" s="458"/>
      <c r="BA663" s="1305"/>
      <c r="BC663" s="169"/>
    </row>
    <row r="664" spans="19:55" ht="15.75" customHeight="1">
      <c r="S664" s="454"/>
      <c r="AN664" s="458"/>
      <c r="AY664" s="458"/>
      <c r="AZ664" s="458"/>
      <c r="BA664" s="1305"/>
      <c r="BC664" s="169"/>
    </row>
    <row r="665" spans="19:55" ht="15.75" customHeight="1">
      <c r="S665" s="454"/>
      <c r="AN665" s="458"/>
      <c r="AY665" s="458"/>
      <c r="AZ665" s="458"/>
      <c r="BA665" s="1305"/>
      <c r="BC665" s="169"/>
    </row>
    <row r="666" spans="19:55" ht="15.75" customHeight="1">
      <c r="S666" s="454"/>
      <c r="AN666" s="458"/>
      <c r="AY666" s="458"/>
      <c r="AZ666" s="458"/>
      <c r="BA666" s="1305"/>
      <c r="BC666" s="169"/>
    </row>
    <row r="667" spans="19:55" ht="15.75" customHeight="1">
      <c r="S667" s="454"/>
      <c r="AN667" s="458"/>
      <c r="AY667" s="458"/>
      <c r="AZ667" s="458"/>
      <c r="BA667" s="1305"/>
      <c r="BC667" s="169"/>
    </row>
    <row r="668" spans="19:55" ht="15.75" customHeight="1">
      <c r="S668" s="454"/>
      <c r="AN668" s="458"/>
      <c r="AY668" s="458"/>
      <c r="AZ668" s="458"/>
      <c r="BA668" s="1305"/>
      <c r="BC668" s="169"/>
    </row>
    <row r="669" spans="19:55" ht="15.75" customHeight="1">
      <c r="S669" s="454"/>
      <c r="AN669" s="458"/>
      <c r="AY669" s="458"/>
      <c r="AZ669" s="458"/>
      <c r="BA669" s="1305"/>
      <c r="BC669" s="169"/>
    </row>
    <row r="670" spans="19:55" ht="15.75" customHeight="1">
      <c r="S670" s="454"/>
      <c r="AN670" s="458"/>
      <c r="AY670" s="458"/>
      <c r="AZ670" s="458"/>
      <c r="BA670" s="1305"/>
      <c r="BC670" s="169"/>
    </row>
    <row r="671" spans="19:55" ht="15.75" customHeight="1">
      <c r="S671" s="454"/>
      <c r="AN671" s="458"/>
      <c r="AY671" s="458"/>
      <c r="AZ671" s="458"/>
      <c r="BA671" s="1305"/>
      <c r="BC671" s="169"/>
    </row>
    <row r="672" spans="19:55" ht="15.75" customHeight="1">
      <c r="S672" s="454"/>
      <c r="AN672" s="458"/>
      <c r="AY672" s="458"/>
      <c r="AZ672" s="458"/>
      <c r="BA672" s="1305"/>
      <c r="BC672" s="169"/>
    </row>
    <row r="673" spans="19:55" ht="15.75" customHeight="1">
      <c r="S673" s="454"/>
      <c r="AN673" s="458"/>
      <c r="AY673" s="458"/>
      <c r="AZ673" s="458"/>
      <c r="BA673" s="1305"/>
      <c r="BC673" s="169"/>
    </row>
    <row r="674" spans="19:55" ht="15.75" customHeight="1">
      <c r="S674" s="454"/>
      <c r="AN674" s="458"/>
      <c r="AY674" s="458"/>
      <c r="AZ674" s="458"/>
      <c r="BA674" s="1305"/>
      <c r="BC674" s="169"/>
    </row>
    <row r="675" spans="19:55" ht="15.75" customHeight="1">
      <c r="S675" s="454"/>
      <c r="AN675" s="458"/>
      <c r="AY675" s="458"/>
      <c r="AZ675" s="458"/>
      <c r="BA675" s="1305"/>
      <c r="BC675" s="169"/>
    </row>
    <row r="676" spans="19:55" ht="15.75" customHeight="1">
      <c r="S676" s="454"/>
      <c r="AN676" s="458"/>
      <c r="AY676" s="458"/>
      <c r="AZ676" s="458"/>
      <c r="BA676" s="1305"/>
      <c r="BC676" s="169"/>
    </row>
    <row r="677" spans="19:55" ht="15.75" customHeight="1">
      <c r="S677" s="454"/>
      <c r="AN677" s="458"/>
      <c r="AY677" s="458"/>
      <c r="AZ677" s="458"/>
      <c r="BA677" s="1305"/>
      <c r="BC677" s="169"/>
    </row>
    <row r="678" spans="19:55" ht="15.75" customHeight="1">
      <c r="S678" s="454"/>
      <c r="AN678" s="458"/>
      <c r="AY678" s="458"/>
      <c r="AZ678" s="458"/>
      <c r="BA678" s="1305"/>
      <c r="BC678" s="169"/>
    </row>
    <row r="679" spans="19:55" ht="15.75" customHeight="1">
      <c r="S679" s="454"/>
      <c r="AN679" s="458"/>
      <c r="AY679" s="458"/>
      <c r="AZ679" s="458"/>
      <c r="BA679" s="1305"/>
      <c r="BC679" s="169"/>
    </row>
    <row r="680" spans="19:55" ht="15.75" customHeight="1">
      <c r="S680" s="454"/>
      <c r="AN680" s="458"/>
      <c r="AY680" s="458"/>
      <c r="AZ680" s="458"/>
      <c r="BA680" s="1305"/>
      <c r="BC680" s="169"/>
    </row>
    <row r="681" spans="19:55" ht="15.75" customHeight="1">
      <c r="S681" s="454"/>
      <c r="AN681" s="458"/>
      <c r="AY681" s="458"/>
      <c r="AZ681" s="458"/>
      <c r="BA681" s="1305"/>
      <c r="BC681" s="169"/>
    </row>
    <row r="682" spans="19:55" ht="15.75" customHeight="1">
      <c r="S682" s="454"/>
      <c r="AN682" s="458"/>
      <c r="AY682" s="458"/>
      <c r="AZ682" s="458"/>
      <c r="BA682" s="1305"/>
      <c r="BC682" s="169"/>
    </row>
    <row r="683" spans="19:55" ht="15.75" customHeight="1">
      <c r="S683" s="454"/>
      <c r="AN683" s="458"/>
      <c r="AY683" s="458"/>
      <c r="AZ683" s="458"/>
      <c r="BA683" s="1305"/>
      <c r="BC683" s="169"/>
    </row>
    <row r="684" spans="19:55" ht="15.75" customHeight="1">
      <c r="S684" s="454"/>
      <c r="AN684" s="458"/>
      <c r="AY684" s="458"/>
      <c r="AZ684" s="458"/>
      <c r="BA684" s="1305"/>
      <c r="BC684" s="169"/>
    </row>
    <row r="685" spans="19:55" ht="15.75" customHeight="1">
      <c r="S685" s="454"/>
      <c r="AN685" s="458"/>
      <c r="AY685" s="458"/>
      <c r="AZ685" s="458"/>
      <c r="BA685" s="1305"/>
      <c r="BC685" s="169"/>
    </row>
    <row r="686" spans="19:55" ht="15.75" customHeight="1">
      <c r="S686" s="454"/>
      <c r="AN686" s="458"/>
      <c r="AY686" s="458"/>
      <c r="AZ686" s="458"/>
      <c r="BA686" s="1305"/>
      <c r="BC686" s="169"/>
    </row>
    <row r="687" spans="19:55" ht="15.75" customHeight="1">
      <c r="S687" s="454"/>
      <c r="AN687" s="458"/>
      <c r="AY687" s="458"/>
      <c r="AZ687" s="458"/>
      <c r="BA687" s="1305"/>
      <c r="BC687" s="169"/>
    </row>
    <row r="688" spans="19:55" ht="15.75" customHeight="1">
      <c r="S688" s="454"/>
      <c r="AN688" s="458"/>
      <c r="AY688" s="458"/>
      <c r="AZ688" s="458"/>
      <c r="BA688" s="1305"/>
      <c r="BC688" s="169"/>
    </row>
    <row r="689" spans="19:55" ht="15.75" customHeight="1">
      <c r="S689" s="454"/>
      <c r="AN689" s="458"/>
      <c r="AY689" s="458"/>
      <c r="AZ689" s="458"/>
      <c r="BA689" s="1305"/>
      <c r="BC689" s="169"/>
    </row>
    <row r="690" spans="19:55" ht="15.75" customHeight="1">
      <c r="S690" s="454"/>
      <c r="AN690" s="458"/>
      <c r="AY690" s="458"/>
      <c r="AZ690" s="458"/>
      <c r="BA690" s="1305"/>
      <c r="BC690" s="169"/>
    </row>
    <row r="691" spans="19:55" ht="15.75" customHeight="1">
      <c r="S691" s="454"/>
      <c r="AN691" s="458"/>
      <c r="AY691" s="458"/>
      <c r="AZ691" s="458"/>
      <c r="BA691" s="1305"/>
      <c r="BC691" s="169"/>
    </row>
    <row r="692" spans="19:55" ht="15.75" customHeight="1">
      <c r="S692" s="454"/>
      <c r="AN692" s="458"/>
      <c r="AY692" s="458"/>
      <c r="AZ692" s="458"/>
      <c r="BA692" s="1305"/>
      <c r="BC692" s="169"/>
    </row>
    <row r="693" spans="19:55" ht="15.75" customHeight="1">
      <c r="S693" s="454"/>
      <c r="AN693" s="458"/>
      <c r="AY693" s="458"/>
      <c r="AZ693" s="458"/>
      <c r="BA693" s="1305"/>
      <c r="BC693" s="169"/>
    </row>
    <row r="694" spans="19:55" ht="15.75" customHeight="1">
      <c r="S694" s="454"/>
      <c r="AN694" s="458"/>
      <c r="AY694" s="458"/>
      <c r="AZ694" s="458"/>
      <c r="BA694" s="1305"/>
      <c r="BC694" s="169"/>
    </row>
    <row r="695" spans="19:55" ht="15.75" customHeight="1">
      <c r="S695" s="454"/>
      <c r="AN695" s="458"/>
      <c r="AY695" s="458"/>
      <c r="AZ695" s="458"/>
      <c r="BA695" s="1305"/>
      <c r="BC695" s="169"/>
    </row>
    <row r="696" spans="19:55" ht="15.75" customHeight="1">
      <c r="S696" s="454"/>
      <c r="AN696" s="458"/>
      <c r="AY696" s="458"/>
      <c r="AZ696" s="458"/>
      <c r="BA696" s="1305"/>
      <c r="BC696" s="169"/>
    </row>
    <row r="697" spans="19:55" ht="15.75" customHeight="1">
      <c r="S697" s="454"/>
      <c r="AN697" s="458"/>
      <c r="AY697" s="458"/>
      <c r="AZ697" s="458"/>
      <c r="BA697" s="1305"/>
      <c r="BC697" s="169"/>
    </row>
    <row r="698" spans="19:55" ht="15.75" customHeight="1">
      <c r="S698" s="454"/>
      <c r="AN698" s="458"/>
      <c r="AY698" s="458"/>
      <c r="AZ698" s="458"/>
      <c r="BA698" s="1305"/>
      <c r="BC698" s="169"/>
    </row>
    <row r="699" spans="19:55" ht="15.75" customHeight="1">
      <c r="S699" s="454"/>
      <c r="AN699" s="458"/>
      <c r="AY699" s="458"/>
      <c r="AZ699" s="458"/>
      <c r="BA699" s="1305"/>
      <c r="BC699" s="169"/>
    </row>
    <row r="700" spans="19:55" ht="15.75" customHeight="1">
      <c r="S700" s="454"/>
      <c r="AN700" s="458"/>
      <c r="AY700" s="458"/>
      <c r="AZ700" s="458"/>
      <c r="BA700" s="1305"/>
      <c r="BC700" s="169"/>
    </row>
    <row r="701" spans="19:55" ht="15.75" customHeight="1">
      <c r="S701" s="454"/>
      <c r="AN701" s="458"/>
      <c r="AY701" s="458"/>
      <c r="AZ701" s="458"/>
      <c r="BA701" s="1305"/>
      <c r="BC701" s="169"/>
    </row>
    <row r="702" spans="19:55" ht="15.75" customHeight="1">
      <c r="S702" s="454"/>
      <c r="AN702" s="458"/>
      <c r="AY702" s="458"/>
      <c r="AZ702" s="458"/>
      <c r="BA702" s="1305"/>
      <c r="BC702" s="169"/>
    </row>
    <row r="703" spans="19:55" ht="15.75" customHeight="1">
      <c r="S703" s="454"/>
      <c r="AN703" s="458"/>
      <c r="AY703" s="458"/>
      <c r="AZ703" s="458"/>
      <c r="BA703" s="1305"/>
      <c r="BC703" s="169"/>
    </row>
    <row r="704" spans="19:55" ht="15.75" customHeight="1">
      <c r="S704" s="454"/>
      <c r="AN704" s="458"/>
      <c r="AY704" s="458"/>
      <c r="AZ704" s="458"/>
      <c r="BA704" s="1305"/>
      <c r="BC704" s="169"/>
    </row>
    <row r="705" spans="19:55" ht="15.75" customHeight="1">
      <c r="S705" s="454"/>
      <c r="AN705" s="458"/>
      <c r="AY705" s="458"/>
      <c r="AZ705" s="458"/>
      <c r="BA705" s="1305"/>
      <c r="BC705" s="169"/>
    </row>
    <row r="706" spans="19:55" ht="15.75" customHeight="1">
      <c r="S706" s="454"/>
      <c r="AN706" s="458"/>
      <c r="AY706" s="458"/>
      <c r="AZ706" s="458"/>
      <c r="BA706" s="1305"/>
      <c r="BC706" s="169"/>
    </row>
    <row r="707" spans="19:55" ht="15.75" customHeight="1">
      <c r="S707" s="454"/>
      <c r="AN707" s="458"/>
      <c r="AY707" s="458"/>
      <c r="AZ707" s="458"/>
      <c r="BA707" s="1305"/>
      <c r="BC707" s="169"/>
    </row>
    <row r="708" spans="19:55" ht="15.75" customHeight="1">
      <c r="S708" s="454"/>
      <c r="AN708" s="458"/>
      <c r="AY708" s="458"/>
      <c r="AZ708" s="458"/>
      <c r="BA708" s="1305"/>
      <c r="BC708" s="169"/>
    </row>
    <row r="709" spans="19:55" ht="15.75" customHeight="1">
      <c r="S709" s="454"/>
      <c r="AN709" s="458"/>
      <c r="AY709" s="458"/>
      <c r="AZ709" s="458"/>
      <c r="BA709" s="1305"/>
      <c r="BC709" s="169"/>
    </row>
    <row r="710" spans="19:55" ht="15.75" customHeight="1">
      <c r="S710" s="454"/>
      <c r="AN710" s="458"/>
      <c r="AY710" s="458"/>
      <c r="AZ710" s="458"/>
      <c r="BA710" s="1305"/>
      <c r="BC710" s="169"/>
    </row>
    <row r="711" spans="19:55" ht="15.75" customHeight="1">
      <c r="S711" s="454"/>
      <c r="AN711" s="458"/>
      <c r="AY711" s="458"/>
      <c r="AZ711" s="458"/>
      <c r="BA711" s="1305"/>
      <c r="BC711" s="169"/>
    </row>
    <row r="712" spans="19:55" ht="15.75" customHeight="1">
      <c r="S712" s="454"/>
      <c r="AN712" s="458"/>
      <c r="AY712" s="458"/>
      <c r="AZ712" s="458"/>
      <c r="BA712" s="1305"/>
      <c r="BC712" s="169"/>
    </row>
    <row r="713" spans="19:55" ht="15.75" customHeight="1">
      <c r="S713" s="454"/>
      <c r="AN713" s="458"/>
      <c r="AY713" s="458"/>
      <c r="AZ713" s="458"/>
      <c r="BA713" s="1305"/>
      <c r="BC713" s="169"/>
    </row>
    <row r="714" spans="19:55" ht="15.75" customHeight="1">
      <c r="S714" s="454"/>
      <c r="AN714" s="458"/>
      <c r="AY714" s="458"/>
      <c r="AZ714" s="458"/>
      <c r="BA714" s="1305"/>
      <c r="BC714" s="169"/>
    </row>
    <row r="715" spans="19:55" ht="15.75" customHeight="1">
      <c r="S715" s="454"/>
      <c r="AN715" s="458"/>
      <c r="AY715" s="458"/>
      <c r="AZ715" s="458"/>
      <c r="BA715" s="1305"/>
      <c r="BC715" s="169"/>
    </row>
    <row r="716" spans="19:55" ht="15.75" customHeight="1">
      <c r="S716" s="454"/>
      <c r="AN716" s="458"/>
      <c r="AY716" s="458"/>
      <c r="AZ716" s="458"/>
      <c r="BA716" s="1305"/>
      <c r="BC716" s="169"/>
    </row>
    <row r="717" spans="19:55" ht="15.75" customHeight="1">
      <c r="S717" s="454"/>
      <c r="AN717" s="458"/>
      <c r="AY717" s="458"/>
      <c r="AZ717" s="458"/>
      <c r="BA717" s="1305"/>
      <c r="BC717" s="169"/>
    </row>
    <row r="718" spans="19:55" ht="15.75" customHeight="1">
      <c r="S718" s="454"/>
      <c r="AN718" s="458"/>
      <c r="AY718" s="458"/>
      <c r="AZ718" s="458"/>
      <c r="BA718" s="1305"/>
      <c r="BC718" s="169"/>
    </row>
    <row r="719" spans="19:55" ht="15.75" customHeight="1">
      <c r="S719" s="454"/>
      <c r="AN719" s="458"/>
      <c r="AY719" s="458"/>
      <c r="AZ719" s="458"/>
      <c r="BA719" s="1305"/>
      <c r="BC719" s="169"/>
    </row>
    <row r="720" spans="19:55" ht="15.75" customHeight="1">
      <c r="S720" s="454"/>
      <c r="AN720" s="458"/>
      <c r="AY720" s="458"/>
      <c r="AZ720" s="458"/>
      <c r="BA720" s="1305"/>
      <c r="BC720" s="169"/>
    </row>
    <row r="721" spans="19:55" ht="15.75" customHeight="1">
      <c r="S721" s="454"/>
      <c r="AN721" s="458"/>
      <c r="AY721" s="458"/>
      <c r="AZ721" s="458"/>
      <c r="BA721" s="1305"/>
      <c r="BC721" s="169"/>
    </row>
    <row r="722" spans="19:55" ht="15.75" customHeight="1">
      <c r="S722" s="454"/>
      <c r="AN722" s="458"/>
      <c r="AY722" s="458"/>
      <c r="AZ722" s="458"/>
      <c r="BA722" s="1305"/>
      <c r="BC722" s="169"/>
    </row>
    <row r="723" spans="19:55" ht="15.75" customHeight="1">
      <c r="S723" s="454"/>
      <c r="AN723" s="458"/>
      <c r="AY723" s="458"/>
      <c r="AZ723" s="458"/>
      <c r="BA723" s="1305"/>
      <c r="BC723" s="169"/>
    </row>
    <row r="724" spans="19:55" ht="15.75" customHeight="1">
      <c r="S724" s="454"/>
      <c r="AN724" s="458"/>
      <c r="AY724" s="458"/>
      <c r="AZ724" s="458"/>
      <c r="BA724" s="1305"/>
      <c r="BC724" s="169"/>
    </row>
    <row r="725" spans="19:55" ht="15.75" customHeight="1">
      <c r="S725" s="454"/>
      <c r="AN725" s="458"/>
      <c r="AY725" s="458"/>
      <c r="AZ725" s="458"/>
      <c r="BA725" s="1305"/>
      <c r="BC725" s="169"/>
    </row>
    <row r="726" spans="19:55" ht="15.75" customHeight="1">
      <c r="S726" s="454"/>
      <c r="AN726" s="458"/>
      <c r="AY726" s="458"/>
      <c r="AZ726" s="458"/>
      <c r="BA726" s="1305"/>
      <c r="BC726" s="169"/>
    </row>
    <row r="727" spans="19:55" ht="15.75" customHeight="1">
      <c r="S727" s="454"/>
      <c r="AN727" s="458"/>
      <c r="AY727" s="458"/>
      <c r="AZ727" s="458"/>
      <c r="BA727" s="1305"/>
      <c r="BC727" s="169"/>
    </row>
    <row r="728" spans="19:55" ht="15.75" customHeight="1">
      <c r="S728" s="454"/>
      <c r="AN728" s="458"/>
      <c r="AY728" s="458"/>
      <c r="AZ728" s="458"/>
      <c r="BA728" s="1305"/>
      <c r="BC728" s="169"/>
    </row>
    <row r="729" spans="19:55" ht="15.75" customHeight="1">
      <c r="S729" s="454"/>
      <c r="AN729" s="458"/>
      <c r="AY729" s="458"/>
      <c r="AZ729" s="458"/>
      <c r="BA729" s="1305"/>
      <c r="BC729" s="169"/>
    </row>
    <row r="730" spans="19:55" ht="15.75" customHeight="1">
      <c r="S730" s="454"/>
      <c r="AN730" s="458"/>
      <c r="AY730" s="458"/>
      <c r="AZ730" s="458"/>
      <c r="BA730" s="1305"/>
      <c r="BC730" s="169"/>
    </row>
    <row r="731" spans="19:55" ht="15.75" customHeight="1">
      <c r="S731" s="454"/>
      <c r="AN731" s="458"/>
      <c r="AY731" s="458"/>
      <c r="AZ731" s="458"/>
      <c r="BA731" s="1305"/>
      <c r="BC731" s="169"/>
    </row>
    <row r="732" spans="19:55" ht="15.75" customHeight="1">
      <c r="S732" s="454"/>
      <c r="AN732" s="458"/>
      <c r="AY732" s="458"/>
      <c r="AZ732" s="458"/>
      <c r="BA732" s="1305"/>
      <c r="BC732" s="169"/>
    </row>
    <row r="733" spans="19:55" ht="15.75" customHeight="1">
      <c r="S733" s="454"/>
      <c r="AN733" s="458"/>
      <c r="AY733" s="458"/>
      <c r="AZ733" s="458"/>
      <c r="BA733" s="1305"/>
      <c r="BC733" s="169"/>
    </row>
    <row r="734" spans="19:55" ht="15.75" customHeight="1">
      <c r="S734" s="454"/>
      <c r="AN734" s="458"/>
      <c r="AY734" s="458"/>
      <c r="AZ734" s="458"/>
      <c r="BA734" s="1305"/>
      <c r="BC734" s="169"/>
    </row>
    <row r="735" spans="19:55" ht="15.75" customHeight="1">
      <c r="S735" s="454"/>
      <c r="AN735" s="458"/>
      <c r="AY735" s="458"/>
      <c r="AZ735" s="458"/>
      <c r="BA735" s="1305"/>
      <c r="BC735" s="169"/>
    </row>
    <row r="736" spans="19:55" ht="15.75" customHeight="1">
      <c r="S736" s="454"/>
      <c r="AN736" s="458"/>
      <c r="AY736" s="458"/>
      <c r="AZ736" s="458"/>
      <c r="BA736" s="1305"/>
      <c r="BC736" s="169"/>
    </row>
    <row r="737" spans="19:55" ht="15.75" customHeight="1">
      <c r="S737" s="454"/>
      <c r="AN737" s="458"/>
      <c r="AY737" s="458"/>
      <c r="AZ737" s="458"/>
      <c r="BA737" s="1305"/>
      <c r="BC737" s="169"/>
    </row>
    <row r="738" spans="19:55" ht="15.75" customHeight="1">
      <c r="S738" s="454"/>
      <c r="AN738" s="458"/>
      <c r="AY738" s="458"/>
      <c r="AZ738" s="458"/>
      <c r="BA738" s="1305"/>
      <c r="BC738" s="169"/>
    </row>
    <row r="739" spans="19:55" ht="15.75" customHeight="1">
      <c r="S739" s="454"/>
      <c r="AN739" s="458"/>
      <c r="AY739" s="458"/>
      <c r="AZ739" s="458"/>
      <c r="BA739" s="1305"/>
      <c r="BC739" s="169"/>
    </row>
    <row r="740" spans="19:55" ht="15.75" customHeight="1">
      <c r="S740" s="454"/>
      <c r="AN740" s="458"/>
      <c r="AY740" s="458"/>
      <c r="AZ740" s="458"/>
      <c r="BA740" s="1305"/>
      <c r="BC740" s="169"/>
    </row>
    <row r="741" spans="19:55" ht="15.75" customHeight="1">
      <c r="S741" s="454"/>
      <c r="AN741" s="458"/>
      <c r="AY741" s="458"/>
      <c r="AZ741" s="458"/>
      <c r="BA741" s="1305"/>
      <c r="BC741" s="169"/>
    </row>
    <row r="742" spans="19:55" ht="15.75" customHeight="1">
      <c r="S742" s="454"/>
      <c r="AN742" s="458"/>
      <c r="AY742" s="458"/>
      <c r="AZ742" s="458"/>
      <c r="BA742" s="1305"/>
      <c r="BC742" s="169"/>
    </row>
    <row r="743" spans="19:55" ht="15.75" customHeight="1">
      <c r="S743" s="454"/>
      <c r="AN743" s="458"/>
      <c r="AY743" s="458"/>
      <c r="AZ743" s="458"/>
      <c r="BA743" s="1305"/>
      <c r="BC743" s="169"/>
    </row>
    <row r="744" spans="19:55" ht="15.75" customHeight="1">
      <c r="S744" s="454"/>
      <c r="AN744" s="458"/>
      <c r="AY744" s="458"/>
      <c r="AZ744" s="458"/>
      <c r="BA744" s="1305"/>
      <c r="BC744" s="169"/>
    </row>
    <row r="745" spans="19:55" ht="15.75" customHeight="1">
      <c r="S745" s="454"/>
      <c r="AN745" s="458"/>
      <c r="AY745" s="458"/>
      <c r="AZ745" s="458"/>
      <c r="BA745" s="1305"/>
      <c r="BC745" s="169"/>
    </row>
    <row r="746" spans="19:55" ht="15.75" customHeight="1">
      <c r="S746" s="454"/>
      <c r="AN746" s="458"/>
      <c r="AY746" s="458"/>
      <c r="AZ746" s="458"/>
      <c r="BA746" s="1305"/>
      <c r="BC746" s="169"/>
    </row>
    <row r="747" spans="19:55" ht="15.75" customHeight="1">
      <c r="S747" s="454"/>
      <c r="AN747" s="458"/>
      <c r="AY747" s="458"/>
      <c r="AZ747" s="458"/>
      <c r="BA747" s="1305"/>
      <c r="BC747" s="169"/>
    </row>
    <row r="748" spans="19:55" ht="15.75" customHeight="1">
      <c r="S748" s="454"/>
      <c r="AN748" s="458"/>
      <c r="AY748" s="458"/>
      <c r="AZ748" s="458"/>
      <c r="BA748" s="1305"/>
      <c r="BC748" s="169"/>
    </row>
    <row r="749" spans="19:55" ht="15.75" customHeight="1">
      <c r="S749" s="454"/>
      <c r="AN749" s="458"/>
      <c r="AY749" s="458"/>
      <c r="AZ749" s="458"/>
      <c r="BA749" s="1305"/>
      <c r="BC749" s="169"/>
    </row>
    <row r="750" spans="19:55" ht="15.75" customHeight="1">
      <c r="S750" s="454"/>
      <c r="AN750" s="458"/>
      <c r="AY750" s="458"/>
      <c r="AZ750" s="458"/>
      <c r="BA750" s="1305"/>
      <c r="BC750" s="169"/>
    </row>
    <row r="751" spans="19:55" ht="15.75" customHeight="1">
      <c r="S751" s="454"/>
      <c r="AN751" s="458"/>
      <c r="AY751" s="458"/>
      <c r="AZ751" s="458"/>
      <c r="BA751" s="1305"/>
      <c r="BC751" s="169"/>
    </row>
    <row r="752" spans="19:55" ht="15.75" customHeight="1">
      <c r="S752" s="454"/>
      <c r="AN752" s="458"/>
      <c r="AY752" s="458"/>
      <c r="AZ752" s="458"/>
      <c r="BA752" s="1305"/>
      <c r="BC752" s="169"/>
    </row>
    <row r="753" spans="19:55" ht="15.75" customHeight="1">
      <c r="S753" s="454"/>
      <c r="AN753" s="458"/>
      <c r="AY753" s="458"/>
      <c r="AZ753" s="458"/>
      <c r="BA753" s="1305"/>
      <c r="BC753" s="169"/>
    </row>
    <row r="754" spans="19:55" ht="15.75" customHeight="1">
      <c r="S754" s="454"/>
      <c r="AN754" s="458"/>
      <c r="AY754" s="458"/>
      <c r="AZ754" s="458"/>
      <c r="BA754" s="1305"/>
      <c r="BC754" s="169"/>
    </row>
    <row r="755" spans="19:55" ht="15.75" customHeight="1">
      <c r="S755" s="454"/>
      <c r="AN755" s="458"/>
      <c r="AY755" s="458"/>
      <c r="AZ755" s="458"/>
      <c r="BA755" s="1305"/>
      <c r="BC755" s="169"/>
    </row>
    <row r="756" spans="19:55" ht="15.75" customHeight="1">
      <c r="S756" s="454"/>
      <c r="AN756" s="458"/>
      <c r="AY756" s="458"/>
      <c r="AZ756" s="458"/>
      <c r="BA756" s="1305"/>
      <c r="BC756" s="169"/>
    </row>
    <row r="757" spans="19:55" ht="15.75" customHeight="1">
      <c r="S757" s="454"/>
      <c r="AN757" s="458"/>
      <c r="AY757" s="458"/>
      <c r="AZ757" s="458"/>
      <c r="BA757" s="1305"/>
      <c r="BC757" s="169"/>
    </row>
    <row r="758" spans="19:55" ht="15.75" customHeight="1">
      <c r="S758" s="454"/>
      <c r="AN758" s="458"/>
      <c r="AY758" s="458"/>
      <c r="AZ758" s="458"/>
      <c r="BA758" s="1305"/>
      <c r="BC758" s="169"/>
    </row>
    <row r="759" spans="19:55" ht="15.75" customHeight="1">
      <c r="S759" s="454"/>
      <c r="AN759" s="458"/>
      <c r="AY759" s="458"/>
      <c r="AZ759" s="458"/>
      <c r="BA759" s="1305"/>
      <c r="BC759" s="169"/>
    </row>
    <row r="760" spans="19:55" ht="15.75" customHeight="1">
      <c r="S760" s="454"/>
      <c r="AN760" s="458"/>
      <c r="AY760" s="458"/>
      <c r="AZ760" s="458"/>
      <c r="BA760" s="1305"/>
      <c r="BC760" s="169"/>
    </row>
    <row r="761" spans="19:55" ht="15.75" customHeight="1">
      <c r="S761" s="454"/>
      <c r="AN761" s="458"/>
      <c r="AY761" s="458"/>
      <c r="AZ761" s="458"/>
      <c r="BA761" s="1305"/>
      <c r="BC761" s="169"/>
    </row>
    <row r="762" spans="19:55" ht="15.75" customHeight="1">
      <c r="S762" s="454"/>
      <c r="AN762" s="458"/>
      <c r="AY762" s="458"/>
      <c r="AZ762" s="458"/>
      <c r="BA762" s="1305"/>
      <c r="BC762" s="169"/>
    </row>
    <row r="763" spans="19:55" ht="15.75" customHeight="1">
      <c r="S763" s="454"/>
      <c r="AN763" s="458"/>
      <c r="AY763" s="458"/>
      <c r="AZ763" s="458"/>
      <c r="BA763" s="1305"/>
      <c r="BC763" s="169"/>
    </row>
    <row r="764" spans="19:55" ht="15.75" customHeight="1">
      <c r="S764" s="454"/>
      <c r="AN764" s="458"/>
      <c r="AY764" s="458"/>
      <c r="AZ764" s="458"/>
      <c r="BA764" s="1305"/>
      <c r="BC764" s="169"/>
    </row>
    <row r="765" spans="19:55" ht="15.75" customHeight="1">
      <c r="S765" s="454"/>
      <c r="AN765" s="458"/>
      <c r="AY765" s="458"/>
      <c r="AZ765" s="458"/>
      <c r="BA765" s="1305"/>
      <c r="BC765" s="169"/>
    </row>
    <row r="766" spans="19:55" ht="15.75" customHeight="1">
      <c r="S766" s="454"/>
      <c r="AN766" s="458"/>
      <c r="AY766" s="458"/>
      <c r="AZ766" s="458"/>
      <c r="BA766" s="1305"/>
      <c r="BC766" s="169"/>
    </row>
    <row r="767" spans="19:55" ht="15.75" customHeight="1">
      <c r="S767" s="454"/>
      <c r="AN767" s="458"/>
      <c r="AY767" s="458"/>
      <c r="AZ767" s="458"/>
      <c r="BA767" s="1305"/>
      <c r="BC767" s="169"/>
    </row>
    <row r="768" spans="19:55" ht="15.75" customHeight="1">
      <c r="S768" s="454"/>
      <c r="AN768" s="458"/>
      <c r="AY768" s="458"/>
      <c r="AZ768" s="458"/>
      <c r="BA768" s="1305"/>
      <c r="BC768" s="169"/>
    </row>
    <row r="769" spans="19:55" ht="15.75" customHeight="1">
      <c r="S769" s="454"/>
      <c r="AN769" s="458"/>
      <c r="AY769" s="458"/>
      <c r="AZ769" s="458"/>
      <c r="BA769" s="1305"/>
      <c r="BC769" s="169"/>
    </row>
    <row r="770" spans="19:55" ht="15.75" customHeight="1">
      <c r="S770" s="454"/>
      <c r="AN770" s="458"/>
      <c r="AY770" s="458"/>
      <c r="AZ770" s="458"/>
      <c r="BA770" s="1305"/>
      <c r="BC770" s="169"/>
    </row>
    <row r="771" spans="19:55" ht="15.75" customHeight="1">
      <c r="S771" s="454"/>
      <c r="AN771" s="458"/>
      <c r="AY771" s="458"/>
      <c r="AZ771" s="458"/>
      <c r="BA771" s="1305"/>
      <c r="BC771" s="169"/>
    </row>
    <row r="772" spans="19:55" ht="15.75" customHeight="1">
      <c r="S772" s="454"/>
      <c r="AN772" s="458"/>
      <c r="AY772" s="458"/>
      <c r="AZ772" s="458"/>
      <c r="BA772" s="1305"/>
      <c r="BC772" s="169"/>
    </row>
    <row r="773" spans="19:55" ht="15.75" customHeight="1">
      <c r="S773" s="454"/>
      <c r="AN773" s="458"/>
      <c r="AY773" s="458"/>
      <c r="AZ773" s="458"/>
      <c r="BA773" s="1305"/>
      <c r="BC773" s="169"/>
    </row>
    <row r="774" spans="19:55" ht="15.75" customHeight="1">
      <c r="S774" s="454"/>
      <c r="AN774" s="458"/>
      <c r="AY774" s="458"/>
      <c r="AZ774" s="458"/>
      <c r="BA774" s="1305"/>
      <c r="BC774" s="169"/>
    </row>
    <row r="775" spans="19:55" ht="15.75" customHeight="1">
      <c r="S775" s="454"/>
      <c r="AN775" s="458"/>
      <c r="AY775" s="458"/>
      <c r="AZ775" s="458"/>
      <c r="BA775" s="1305"/>
      <c r="BC775" s="169"/>
    </row>
    <row r="776" spans="19:55" ht="15.75" customHeight="1">
      <c r="S776" s="454"/>
      <c r="AN776" s="458"/>
      <c r="AY776" s="458"/>
      <c r="AZ776" s="458"/>
      <c r="BA776" s="1305"/>
      <c r="BC776" s="169"/>
    </row>
    <row r="777" spans="19:55" ht="15.75" customHeight="1">
      <c r="S777" s="454"/>
      <c r="AN777" s="458"/>
      <c r="AY777" s="458"/>
      <c r="AZ777" s="458"/>
      <c r="BA777" s="1305"/>
      <c r="BC777" s="169"/>
    </row>
    <row r="778" spans="19:55" ht="15.75" customHeight="1">
      <c r="S778" s="454"/>
      <c r="AN778" s="458"/>
      <c r="AY778" s="458"/>
      <c r="AZ778" s="458"/>
      <c r="BA778" s="1305"/>
      <c r="BC778" s="169"/>
    </row>
    <row r="779" spans="19:55" ht="15.75" customHeight="1">
      <c r="S779" s="454"/>
      <c r="AN779" s="458"/>
      <c r="AY779" s="458"/>
      <c r="AZ779" s="458"/>
      <c r="BA779" s="1305"/>
      <c r="BC779" s="169"/>
    </row>
    <row r="780" spans="19:55" ht="15.75" customHeight="1">
      <c r="S780" s="454"/>
      <c r="AN780" s="458"/>
      <c r="AY780" s="458"/>
      <c r="AZ780" s="458"/>
      <c r="BA780" s="1305"/>
      <c r="BC780" s="169"/>
    </row>
    <row r="781" spans="19:55" ht="15.75" customHeight="1">
      <c r="S781" s="454"/>
      <c r="AN781" s="458"/>
      <c r="AY781" s="458"/>
      <c r="AZ781" s="458"/>
      <c r="BA781" s="1305"/>
      <c r="BC781" s="169"/>
    </row>
    <row r="782" spans="19:55" ht="15.75" customHeight="1">
      <c r="S782" s="454"/>
      <c r="AN782" s="458"/>
      <c r="AY782" s="458"/>
      <c r="AZ782" s="458"/>
      <c r="BA782" s="1305"/>
      <c r="BC782" s="169"/>
    </row>
    <row r="783" spans="19:55" ht="15.75" customHeight="1">
      <c r="S783" s="454"/>
      <c r="AN783" s="458"/>
      <c r="AY783" s="458"/>
      <c r="AZ783" s="458"/>
      <c r="BA783" s="1305"/>
      <c r="BC783" s="169"/>
    </row>
    <row r="784" spans="19:55" ht="15.75" customHeight="1">
      <c r="S784" s="454"/>
      <c r="AN784" s="458"/>
      <c r="AY784" s="458"/>
      <c r="AZ784" s="458"/>
      <c r="BA784" s="1305"/>
      <c r="BC784" s="169"/>
    </row>
    <row r="785" spans="19:55" ht="15.75" customHeight="1">
      <c r="S785" s="454"/>
      <c r="AN785" s="458"/>
      <c r="AY785" s="458"/>
      <c r="AZ785" s="458"/>
      <c r="BA785" s="1305"/>
      <c r="BC785" s="169"/>
    </row>
    <row r="786" spans="19:55" ht="15.75" customHeight="1">
      <c r="S786" s="454"/>
      <c r="AN786" s="458"/>
      <c r="AY786" s="458"/>
      <c r="AZ786" s="458"/>
      <c r="BA786" s="1305"/>
      <c r="BC786" s="169"/>
    </row>
    <row r="787" spans="19:55" ht="15.75" customHeight="1">
      <c r="S787" s="454"/>
      <c r="AN787" s="458"/>
      <c r="AY787" s="458"/>
      <c r="AZ787" s="458"/>
      <c r="BA787" s="1305"/>
      <c r="BC787" s="169"/>
    </row>
    <row r="788" spans="19:55" ht="15.75" customHeight="1">
      <c r="S788" s="454"/>
      <c r="AN788" s="458"/>
      <c r="AY788" s="458"/>
      <c r="AZ788" s="458"/>
      <c r="BA788" s="1305"/>
      <c r="BC788" s="169"/>
    </row>
    <row r="789" spans="19:55" ht="15.75" customHeight="1">
      <c r="S789" s="454"/>
      <c r="AN789" s="458"/>
      <c r="AY789" s="458"/>
      <c r="AZ789" s="458"/>
      <c r="BA789" s="1305"/>
      <c r="BC789" s="169"/>
    </row>
    <row r="790" spans="19:55" ht="15.75" customHeight="1">
      <c r="S790" s="454"/>
      <c r="AN790" s="458"/>
      <c r="AY790" s="458"/>
      <c r="AZ790" s="458"/>
      <c r="BA790" s="1305"/>
      <c r="BC790" s="169"/>
    </row>
    <row r="791" spans="19:55" ht="15.75" customHeight="1">
      <c r="S791" s="454"/>
      <c r="AN791" s="458"/>
      <c r="AY791" s="458"/>
      <c r="AZ791" s="458"/>
      <c r="BA791" s="1305"/>
      <c r="BC791" s="169"/>
    </row>
    <row r="792" spans="19:55" ht="15.75" customHeight="1">
      <c r="S792" s="454"/>
      <c r="AN792" s="458"/>
      <c r="AY792" s="458"/>
      <c r="AZ792" s="458"/>
      <c r="BA792" s="1305"/>
      <c r="BC792" s="169"/>
    </row>
    <row r="793" spans="19:55" ht="15.75" customHeight="1">
      <c r="S793" s="454"/>
      <c r="AN793" s="458"/>
      <c r="AY793" s="458"/>
      <c r="AZ793" s="458"/>
      <c r="BA793" s="1305"/>
      <c r="BC793" s="169"/>
    </row>
    <row r="794" spans="19:55" ht="15.75" customHeight="1">
      <c r="S794" s="454"/>
      <c r="AN794" s="458"/>
      <c r="AY794" s="458"/>
      <c r="AZ794" s="458"/>
      <c r="BA794" s="1305"/>
      <c r="BC794" s="169"/>
    </row>
    <row r="795" spans="19:55" ht="15.75" customHeight="1">
      <c r="S795" s="454"/>
      <c r="AN795" s="458"/>
      <c r="AY795" s="458"/>
      <c r="AZ795" s="458"/>
      <c r="BA795" s="1305"/>
      <c r="BC795" s="169"/>
    </row>
    <row r="796" spans="19:55" ht="15.75" customHeight="1">
      <c r="S796" s="454"/>
      <c r="AN796" s="458"/>
      <c r="AY796" s="458"/>
      <c r="AZ796" s="458"/>
      <c r="BA796" s="1305"/>
      <c r="BC796" s="169"/>
    </row>
    <row r="797" spans="19:55" ht="15.75" customHeight="1">
      <c r="S797" s="454"/>
      <c r="AN797" s="458"/>
      <c r="AY797" s="458"/>
      <c r="AZ797" s="458"/>
      <c r="BA797" s="1305"/>
      <c r="BC797" s="169"/>
    </row>
    <row r="798" spans="19:55" ht="15.75" customHeight="1">
      <c r="S798" s="454"/>
      <c r="AN798" s="458"/>
      <c r="AY798" s="458"/>
      <c r="AZ798" s="458"/>
      <c r="BA798" s="1305"/>
      <c r="BC798" s="169"/>
    </row>
    <row r="799" spans="19:55" ht="15.75" customHeight="1">
      <c r="S799" s="454"/>
      <c r="AN799" s="458"/>
      <c r="AY799" s="458"/>
      <c r="AZ799" s="458"/>
      <c r="BA799" s="1305"/>
      <c r="BC799" s="169"/>
    </row>
    <row r="800" spans="19:55" ht="15.75" customHeight="1">
      <c r="S800" s="454"/>
      <c r="AN800" s="458"/>
      <c r="AY800" s="458"/>
      <c r="AZ800" s="458"/>
      <c r="BA800" s="1305"/>
      <c r="BC800" s="169"/>
    </row>
    <row r="801" spans="19:55" ht="15.75" customHeight="1">
      <c r="S801" s="454"/>
      <c r="AN801" s="458"/>
      <c r="AY801" s="458"/>
      <c r="AZ801" s="458"/>
      <c r="BA801" s="1305"/>
      <c r="BC801" s="169"/>
    </row>
    <row r="802" spans="19:55" ht="15.75" customHeight="1">
      <c r="S802" s="454"/>
      <c r="AN802" s="458"/>
      <c r="AY802" s="458"/>
      <c r="AZ802" s="458"/>
      <c r="BA802" s="1305"/>
      <c r="BC802" s="169"/>
    </row>
    <row r="803" spans="19:55" ht="15.75" customHeight="1">
      <c r="S803" s="454"/>
      <c r="AN803" s="458"/>
      <c r="AY803" s="458"/>
      <c r="AZ803" s="458"/>
      <c r="BA803" s="1305"/>
      <c r="BC803" s="169"/>
    </row>
    <row r="804" spans="19:55" ht="15.75" customHeight="1">
      <c r="S804" s="454"/>
      <c r="AN804" s="458"/>
      <c r="AY804" s="458"/>
      <c r="AZ804" s="458"/>
      <c r="BA804" s="1305"/>
      <c r="BC804" s="169"/>
    </row>
    <row r="805" spans="19:55" ht="15.75" customHeight="1">
      <c r="S805" s="454"/>
      <c r="AN805" s="458"/>
      <c r="AY805" s="458"/>
      <c r="AZ805" s="458"/>
      <c r="BA805" s="1305"/>
      <c r="BC805" s="169"/>
    </row>
    <row r="806" spans="19:55" ht="15.75" customHeight="1">
      <c r="S806" s="454"/>
      <c r="AN806" s="458"/>
      <c r="AY806" s="458"/>
      <c r="AZ806" s="458"/>
      <c r="BA806" s="1305"/>
      <c r="BC806" s="169"/>
    </row>
    <row r="807" spans="19:55" ht="15.75" customHeight="1">
      <c r="S807" s="454"/>
      <c r="AN807" s="458"/>
      <c r="AY807" s="458"/>
      <c r="AZ807" s="458"/>
      <c r="BA807" s="1305"/>
      <c r="BC807" s="169"/>
    </row>
    <row r="808" spans="19:55" ht="15.75" customHeight="1">
      <c r="S808" s="454"/>
      <c r="AN808" s="458"/>
      <c r="AY808" s="458"/>
      <c r="AZ808" s="458"/>
      <c r="BA808" s="1305"/>
      <c r="BC808" s="169"/>
    </row>
    <row r="809" spans="19:55" ht="15.75" customHeight="1">
      <c r="S809" s="454"/>
      <c r="AN809" s="458"/>
      <c r="AY809" s="458"/>
      <c r="AZ809" s="458"/>
      <c r="BA809" s="1305"/>
      <c r="BC809" s="169"/>
    </row>
    <row r="810" spans="19:55" ht="15.75" customHeight="1">
      <c r="S810" s="454"/>
      <c r="AN810" s="458"/>
      <c r="AY810" s="458"/>
      <c r="AZ810" s="458"/>
      <c r="BA810" s="1305"/>
      <c r="BC810" s="169"/>
    </row>
    <row r="811" spans="19:55" ht="15.75" customHeight="1">
      <c r="S811" s="454"/>
      <c r="AN811" s="458"/>
      <c r="AY811" s="458"/>
      <c r="AZ811" s="458"/>
      <c r="BA811" s="1305"/>
      <c r="BC811" s="169"/>
    </row>
    <row r="812" spans="19:55" ht="15.75" customHeight="1">
      <c r="S812" s="454"/>
      <c r="AN812" s="458"/>
      <c r="AY812" s="458"/>
      <c r="AZ812" s="458"/>
      <c r="BA812" s="1305"/>
      <c r="BC812" s="169"/>
    </row>
    <row r="813" spans="19:55" ht="15.75" customHeight="1">
      <c r="S813" s="454"/>
      <c r="AN813" s="458"/>
      <c r="AY813" s="458"/>
      <c r="AZ813" s="458"/>
      <c r="BA813" s="1305"/>
      <c r="BC813" s="169"/>
    </row>
    <row r="814" spans="19:55" ht="15.75" customHeight="1">
      <c r="S814" s="454"/>
      <c r="AN814" s="458"/>
      <c r="AY814" s="458"/>
      <c r="AZ814" s="458"/>
      <c r="BA814" s="1305"/>
      <c r="BC814" s="169"/>
    </row>
    <row r="815" spans="19:55" ht="15.75" customHeight="1">
      <c r="S815" s="454"/>
      <c r="AN815" s="458"/>
      <c r="AY815" s="458"/>
      <c r="AZ815" s="458"/>
      <c r="BA815" s="1305"/>
      <c r="BC815" s="169"/>
    </row>
    <row r="816" spans="19:55" ht="15.75" customHeight="1">
      <c r="S816" s="454"/>
      <c r="AN816" s="458"/>
      <c r="AY816" s="458"/>
      <c r="AZ816" s="458"/>
      <c r="BA816" s="1305"/>
      <c r="BC816" s="169"/>
    </row>
    <row r="817" spans="19:55" ht="15.75" customHeight="1">
      <c r="S817" s="454"/>
      <c r="AN817" s="458"/>
      <c r="AY817" s="458"/>
      <c r="AZ817" s="458"/>
      <c r="BA817" s="1305"/>
      <c r="BC817" s="169"/>
    </row>
    <row r="818" spans="19:55" ht="15.75" customHeight="1">
      <c r="S818" s="454"/>
      <c r="AN818" s="458"/>
      <c r="AY818" s="458"/>
      <c r="AZ818" s="458"/>
      <c r="BA818" s="1305"/>
      <c r="BC818" s="169"/>
    </row>
    <row r="819" spans="19:55" ht="15.75" customHeight="1">
      <c r="S819" s="454"/>
      <c r="AN819" s="458"/>
      <c r="AY819" s="458"/>
      <c r="AZ819" s="458"/>
      <c r="BA819" s="1305"/>
      <c r="BC819" s="169"/>
    </row>
    <row r="820" spans="19:55" ht="15.75" customHeight="1">
      <c r="S820" s="454"/>
      <c r="AN820" s="458"/>
      <c r="AY820" s="458"/>
      <c r="AZ820" s="458"/>
      <c r="BA820" s="1305"/>
      <c r="BC820" s="169"/>
    </row>
    <row r="821" spans="19:55" ht="15.75" customHeight="1">
      <c r="S821" s="454"/>
      <c r="AN821" s="458"/>
      <c r="AY821" s="458"/>
      <c r="AZ821" s="458"/>
      <c r="BA821" s="1305"/>
      <c r="BC821" s="169"/>
    </row>
    <row r="822" spans="19:55" ht="15.75" customHeight="1">
      <c r="S822" s="454"/>
      <c r="AN822" s="458"/>
      <c r="AY822" s="458"/>
      <c r="AZ822" s="458"/>
      <c r="BA822" s="1305"/>
      <c r="BC822" s="169"/>
    </row>
    <row r="823" spans="19:55" ht="15.75" customHeight="1">
      <c r="S823" s="454"/>
      <c r="AN823" s="458"/>
      <c r="AY823" s="458"/>
      <c r="AZ823" s="458"/>
      <c r="BA823" s="1305"/>
      <c r="BC823" s="169"/>
    </row>
    <row r="824" spans="19:55" ht="15.75" customHeight="1">
      <c r="S824" s="454"/>
      <c r="AN824" s="458"/>
      <c r="AY824" s="458"/>
      <c r="AZ824" s="458"/>
      <c r="BA824" s="1305"/>
      <c r="BC824" s="169"/>
    </row>
    <row r="825" spans="19:55" ht="15.75" customHeight="1">
      <c r="S825" s="454"/>
      <c r="AN825" s="458"/>
      <c r="AY825" s="458"/>
      <c r="AZ825" s="458"/>
      <c r="BA825" s="1305"/>
      <c r="BC825" s="169"/>
    </row>
    <row r="826" spans="19:55" ht="15.75" customHeight="1">
      <c r="S826" s="454"/>
      <c r="AN826" s="458"/>
      <c r="AY826" s="458"/>
      <c r="AZ826" s="458"/>
      <c r="BA826" s="1305"/>
      <c r="BC826" s="169"/>
    </row>
    <row r="827" spans="19:55" ht="15.75" customHeight="1">
      <c r="S827" s="454"/>
      <c r="AN827" s="458"/>
      <c r="AY827" s="458"/>
      <c r="AZ827" s="458"/>
      <c r="BA827" s="1305"/>
      <c r="BC827" s="169"/>
    </row>
    <row r="828" spans="19:55" ht="15.75" customHeight="1">
      <c r="S828" s="454"/>
      <c r="AN828" s="458"/>
      <c r="AY828" s="458"/>
      <c r="AZ828" s="458"/>
      <c r="BA828" s="1305"/>
      <c r="BC828" s="169"/>
    </row>
    <row r="829" spans="19:55" ht="15.75" customHeight="1">
      <c r="S829" s="454"/>
      <c r="AN829" s="458"/>
      <c r="AY829" s="458"/>
      <c r="AZ829" s="458"/>
      <c r="BA829" s="1305"/>
      <c r="BC829" s="169"/>
    </row>
    <row r="830" spans="19:55" ht="15.75" customHeight="1">
      <c r="S830" s="454"/>
      <c r="AN830" s="458"/>
      <c r="AY830" s="458"/>
      <c r="AZ830" s="458"/>
      <c r="BA830" s="1305"/>
      <c r="BC830" s="169"/>
    </row>
    <row r="831" spans="19:55" ht="15.75" customHeight="1">
      <c r="S831" s="454"/>
      <c r="AN831" s="458"/>
      <c r="AY831" s="458"/>
      <c r="AZ831" s="458"/>
      <c r="BA831" s="1305"/>
      <c r="BC831" s="169"/>
    </row>
    <row r="832" spans="19:55" ht="15.75" customHeight="1">
      <c r="S832" s="454"/>
      <c r="AN832" s="458"/>
      <c r="AY832" s="458"/>
      <c r="AZ832" s="458"/>
      <c r="BA832" s="1305"/>
      <c r="BC832" s="169"/>
    </row>
    <row r="833" spans="19:55" ht="15.75" customHeight="1">
      <c r="S833" s="454"/>
      <c r="AN833" s="458"/>
      <c r="AY833" s="458"/>
      <c r="AZ833" s="458"/>
      <c r="BA833" s="1305"/>
      <c r="BC833" s="169"/>
    </row>
    <row r="834" spans="19:55" ht="15.75" customHeight="1">
      <c r="S834" s="454"/>
      <c r="AN834" s="458"/>
      <c r="AY834" s="458"/>
      <c r="AZ834" s="458"/>
      <c r="BA834" s="1305"/>
      <c r="BC834" s="169"/>
    </row>
    <row r="835" spans="19:55" ht="15.75" customHeight="1">
      <c r="S835" s="454"/>
      <c r="AN835" s="458"/>
      <c r="AY835" s="458"/>
      <c r="AZ835" s="458"/>
      <c r="BA835" s="1305"/>
      <c r="BC835" s="169"/>
    </row>
    <row r="836" spans="19:55" ht="15.75" customHeight="1">
      <c r="S836" s="454"/>
      <c r="AN836" s="458"/>
      <c r="AY836" s="458"/>
      <c r="AZ836" s="458"/>
      <c r="BA836" s="1305"/>
      <c r="BC836" s="169"/>
    </row>
    <row r="837" spans="19:55" ht="15.75" customHeight="1">
      <c r="S837" s="454"/>
      <c r="AN837" s="458"/>
      <c r="AY837" s="458"/>
      <c r="AZ837" s="458"/>
      <c r="BA837" s="1305"/>
      <c r="BC837" s="169"/>
    </row>
    <row r="838" spans="19:55" ht="15.75" customHeight="1">
      <c r="S838" s="454"/>
      <c r="AN838" s="458"/>
      <c r="AY838" s="458"/>
      <c r="AZ838" s="458"/>
      <c r="BA838" s="1305"/>
      <c r="BC838" s="169"/>
    </row>
    <row r="839" spans="19:55" ht="15.75" customHeight="1">
      <c r="S839" s="454"/>
      <c r="AN839" s="458"/>
      <c r="AY839" s="458"/>
      <c r="AZ839" s="458"/>
      <c r="BA839" s="1305"/>
      <c r="BC839" s="169"/>
    </row>
    <row r="840" spans="19:55" ht="15.75" customHeight="1">
      <c r="S840" s="454"/>
      <c r="AN840" s="458"/>
      <c r="AY840" s="458"/>
      <c r="AZ840" s="458"/>
      <c r="BA840" s="1305"/>
      <c r="BC840" s="169"/>
    </row>
    <row r="841" spans="19:55" ht="15.75" customHeight="1">
      <c r="S841" s="454"/>
      <c r="AN841" s="458"/>
      <c r="AY841" s="458"/>
      <c r="AZ841" s="458"/>
      <c r="BA841" s="1305"/>
      <c r="BC841" s="169"/>
    </row>
    <row r="842" spans="19:55" ht="15.75" customHeight="1">
      <c r="S842" s="454"/>
      <c r="AN842" s="458"/>
      <c r="AY842" s="458"/>
      <c r="AZ842" s="458"/>
      <c r="BA842" s="1305"/>
      <c r="BC842" s="169"/>
    </row>
    <row r="843" spans="19:55" ht="15.75" customHeight="1">
      <c r="S843" s="454"/>
      <c r="AN843" s="458"/>
      <c r="AY843" s="458"/>
      <c r="AZ843" s="458"/>
      <c r="BA843" s="1305"/>
      <c r="BC843" s="169"/>
    </row>
    <row r="844" spans="19:55" ht="15.75" customHeight="1">
      <c r="S844" s="454"/>
      <c r="AN844" s="458"/>
      <c r="AY844" s="458"/>
      <c r="AZ844" s="458"/>
      <c r="BA844" s="1305"/>
      <c r="BC844" s="169"/>
    </row>
    <row r="845" spans="19:55" ht="15.75" customHeight="1">
      <c r="S845" s="454"/>
      <c r="AN845" s="458"/>
      <c r="AY845" s="458"/>
      <c r="AZ845" s="458"/>
      <c r="BA845" s="1305"/>
      <c r="BC845" s="169"/>
    </row>
    <row r="846" spans="19:55" ht="15.75" customHeight="1">
      <c r="S846" s="454"/>
      <c r="AN846" s="458"/>
      <c r="AY846" s="458"/>
      <c r="AZ846" s="458"/>
      <c r="BA846" s="1305"/>
      <c r="BC846" s="169"/>
    </row>
    <row r="847" spans="19:55" ht="15.75" customHeight="1">
      <c r="S847" s="454"/>
      <c r="AN847" s="458"/>
      <c r="AY847" s="458"/>
      <c r="AZ847" s="458"/>
      <c r="BA847" s="1305"/>
      <c r="BC847" s="169"/>
    </row>
    <row r="848" spans="19:55" ht="15.75" customHeight="1">
      <c r="S848" s="454"/>
      <c r="AN848" s="458"/>
      <c r="AY848" s="458"/>
      <c r="AZ848" s="458"/>
      <c r="BA848" s="1305"/>
      <c r="BC848" s="169"/>
    </row>
    <row r="849" spans="19:55" ht="15.75" customHeight="1">
      <c r="S849" s="454"/>
      <c r="AN849" s="458"/>
      <c r="AY849" s="458"/>
      <c r="AZ849" s="458"/>
      <c r="BA849" s="1305"/>
      <c r="BC849" s="169"/>
    </row>
    <row r="850" spans="19:55" ht="15.75" customHeight="1">
      <c r="S850" s="454"/>
      <c r="AN850" s="458"/>
      <c r="AY850" s="458"/>
      <c r="AZ850" s="458"/>
      <c r="BA850" s="1305"/>
      <c r="BC850" s="169"/>
    </row>
    <row r="851" spans="19:55" ht="15.75" customHeight="1">
      <c r="S851" s="454"/>
      <c r="AN851" s="458"/>
      <c r="AY851" s="458"/>
      <c r="AZ851" s="458"/>
      <c r="BA851" s="1305"/>
      <c r="BC851" s="169"/>
    </row>
    <row r="852" spans="19:55" ht="15.75" customHeight="1">
      <c r="S852" s="454"/>
      <c r="AN852" s="458"/>
      <c r="AY852" s="458"/>
      <c r="AZ852" s="458"/>
      <c r="BA852" s="1305"/>
      <c r="BC852" s="169"/>
    </row>
    <row r="853" spans="19:55" ht="15.75" customHeight="1">
      <c r="S853" s="454"/>
      <c r="AN853" s="458"/>
      <c r="AY853" s="458"/>
      <c r="AZ853" s="458"/>
      <c r="BA853" s="1305"/>
      <c r="BC853" s="169"/>
    </row>
    <row r="854" spans="19:55" ht="15.75" customHeight="1">
      <c r="S854" s="454"/>
      <c r="AN854" s="458"/>
      <c r="AY854" s="458"/>
      <c r="AZ854" s="458"/>
      <c r="BA854" s="1305"/>
      <c r="BC854" s="169"/>
    </row>
    <row r="855" spans="19:55" ht="15.75" customHeight="1">
      <c r="S855" s="454"/>
      <c r="AN855" s="458"/>
      <c r="AY855" s="458"/>
      <c r="AZ855" s="458"/>
      <c r="BA855" s="1305"/>
      <c r="BC855" s="169"/>
    </row>
    <row r="856" spans="19:55" ht="15.75" customHeight="1">
      <c r="S856" s="454"/>
      <c r="AN856" s="458"/>
      <c r="AY856" s="458"/>
      <c r="AZ856" s="458"/>
      <c r="BA856" s="1305"/>
      <c r="BC856" s="169"/>
    </row>
    <row r="857" spans="19:55" ht="15.75" customHeight="1">
      <c r="S857" s="454"/>
      <c r="AN857" s="458"/>
      <c r="AY857" s="458"/>
      <c r="AZ857" s="458"/>
      <c r="BA857" s="1305"/>
      <c r="BC857" s="169"/>
    </row>
    <row r="858" spans="19:55" ht="15.75" customHeight="1">
      <c r="S858" s="454"/>
      <c r="AN858" s="458"/>
      <c r="AY858" s="458"/>
      <c r="AZ858" s="458"/>
      <c r="BA858" s="1305"/>
      <c r="BC858" s="169"/>
    </row>
    <row r="859" spans="19:55" ht="15.75" customHeight="1">
      <c r="S859" s="454"/>
      <c r="AN859" s="458"/>
      <c r="AY859" s="458"/>
      <c r="AZ859" s="458"/>
      <c r="BA859" s="1305"/>
      <c r="BC859" s="169"/>
    </row>
    <row r="860" spans="19:55" ht="15.75" customHeight="1">
      <c r="S860" s="454"/>
      <c r="AN860" s="458"/>
      <c r="AY860" s="458"/>
      <c r="AZ860" s="458"/>
      <c r="BA860" s="1305"/>
      <c r="BC860" s="169"/>
    </row>
    <row r="861" spans="19:55" ht="15.75" customHeight="1">
      <c r="S861" s="454"/>
      <c r="AN861" s="458"/>
      <c r="AY861" s="458"/>
      <c r="AZ861" s="458"/>
      <c r="BA861" s="1305"/>
      <c r="BC861" s="169"/>
    </row>
    <row r="862" spans="19:55" ht="15.75" customHeight="1">
      <c r="S862" s="454"/>
      <c r="AN862" s="458"/>
      <c r="AY862" s="458"/>
      <c r="AZ862" s="458"/>
      <c r="BA862" s="1305"/>
      <c r="BC862" s="169"/>
    </row>
    <row r="863" spans="19:55" ht="15.75" customHeight="1">
      <c r="S863" s="454"/>
      <c r="AN863" s="458"/>
      <c r="AY863" s="458"/>
      <c r="AZ863" s="458"/>
      <c r="BA863" s="1305"/>
      <c r="BC863" s="169"/>
    </row>
    <row r="864" spans="19:55" ht="15.75" customHeight="1">
      <c r="S864" s="454"/>
      <c r="AN864" s="458"/>
      <c r="AY864" s="458"/>
      <c r="AZ864" s="458"/>
      <c r="BA864" s="1305"/>
      <c r="BC864" s="169"/>
    </row>
    <row r="865" spans="19:55" ht="15.75" customHeight="1">
      <c r="S865" s="454"/>
      <c r="AN865" s="458"/>
      <c r="AY865" s="458"/>
      <c r="AZ865" s="458"/>
      <c r="BA865" s="1305"/>
      <c r="BC865" s="169"/>
    </row>
    <row r="866" spans="19:55" ht="15.75" customHeight="1">
      <c r="S866" s="454"/>
      <c r="AN866" s="458"/>
      <c r="AY866" s="458"/>
      <c r="AZ866" s="458"/>
      <c r="BA866" s="1305"/>
      <c r="BC866" s="169"/>
    </row>
    <row r="867" spans="19:55" ht="15.75" customHeight="1">
      <c r="S867" s="454"/>
      <c r="AN867" s="458"/>
      <c r="AY867" s="458"/>
      <c r="AZ867" s="458"/>
      <c r="BA867" s="1305"/>
      <c r="BC867" s="169"/>
    </row>
    <row r="868" spans="19:55" ht="15.75" customHeight="1">
      <c r="S868" s="454"/>
      <c r="AN868" s="458"/>
      <c r="AY868" s="458"/>
      <c r="AZ868" s="458"/>
      <c r="BA868" s="1305"/>
      <c r="BC868" s="169"/>
    </row>
    <row r="869" spans="19:55" ht="15.75" customHeight="1">
      <c r="S869" s="454"/>
      <c r="AN869" s="458"/>
      <c r="AY869" s="458"/>
      <c r="AZ869" s="458"/>
      <c r="BA869" s="1305"/>
      <c r="BC869" s="169"/>
    </row>
    <row r="870" spans="19:55" ht="15.75" customHeight="1">
      <c r="S870" s="454"/>
      <c r="AN870" s="458"/>
      <c r="AY870" s="458"/>
      <c r="AZ870" s="458"/>
      <c r="BA870" s="1305"/>
      <c r="BC870" s="169"/>
    </row>
    <row r="871" spans="19:55" ht="15.75" customHeight="1">
      <c r="S871" s="454"/>
      <c r="AN871" s="458"/>
      <c r="AY871" s="458"/>
      <c r="AZ871" s="458"/>
      <c r="BA871" s="1305"/>
      <c r="BC871" s="169"/>
    </row>
    <row r="872" spans="19:55" ht="15.75" customHeight="1">
      <c r="S872" s="454"/>
      <c r="AN872" s="458"/>
      <c r="AY872" s="458"/>
      <c r="AZ872" s="458"/>
      <c r="BA872" s="1305"/>
      <c r="BC872" s="169"/>
    </row>
    <row r="873" spans="19:55" ht="15.75" customHeight="1">
      <c r="S873" s="454"/>
      <c r="AN873" s="458"/>
      <c r="AY873" s="458"/>
      <c r="AZ873" s="458"/>
      <c r="BA873" s="1305"/>
      <c r="BC873" s="169"/>
    </row>
    <row r="874" spans="19:55" ht="15.75" customHeight="1">
      <c r="S874" s="454"/>
      <c r="AN874" s="458"/>
      <c r="AY874" s="458"/>
      <c r="AZ874" s="458"/>
      <c r="BA874" s="1305"/>
      <c r="BC874" s="169"/>
    </row>
    <row r="875" spans="19:55" ht="15.75" customHeight="1">
      <c r="S875" s="454"/>
      <c r="AN875" s="458"/>
      <c r="AY875" s="458"/>
      <c r="AZ875" s="458"/>
      <c r="BA875" s="1305"/>
      <c r="BC875" s="169"/>
    </row>
    <row r="876" spans="19:55" ht="15.75" customHeight="1">
      <c r="S876" s="454"/>
      <c r="AN876" s="458"/>
      <c r="AY876" s="458"/>
      <c r="AZ876" s="458"/>
      <c r="BA876" s="1305"/>
      <c r="BC876" s="169"/>
    </row>
    <row r="877" spans="19:55" ht="15.75" customHeight="1">
      <c r="S877" s="454"/>
      <c r="AN877" s="458"/>
      <c r="AY877" s="458"/>
      <c r="AZ877" s="458"/>
      <c r="BA877" s="1305"/>
      <c r="BC877" s="169"/>
    </row>
    <row r="878" spans="19:55" ht="15.75" customHeight="1">
      <c r="S878" s="454"/>
      <c r="AN878" s="458"/>
      <c r="AY878" s="458"/>
      <c r="AZ878" s="458"/>
      <c r="BA878" s="1305"/>
      <c r="BC878" s="169"/>
    </row>
    <row r="879" spans="19:55" ht="15.75" customHeight="1">
      <c r="S879" s="454"/>
      <c r="AN879" s="458"/>
      <c r="AY879" s="458"/>
      <c r="AZ879" s="458"/>
      <c r="BA879" s="1305"/>
      <c r="BC879" s="169"/>
    </row>
    <row r="880" spans="19:55" ht="15.75" customHeight="1">
      <c r="S880" s="454"/>
      <c r="AN880" s="458"/>
      <c r="AY880" s="458"/>
      <c r="AZ880" s="458"/>
      <c r="BA880" s="1305"/>
      <c r="BC880" s="169"/>
    </row>
    <row r="881" spans="19:55" ht="15.75" customHeight="1">
      <c r="S881" s="454"/>
      <c r="AN881" s="458"/>
      <c r="AY881" s="458"/>
      <c r="AZ881" s="458"/>
      <c r="BA881" s="1305"/>
      <c r="BC881" s="169"/>
    </row>
    <row r="882" spans="19:55" ht="15.75" customHeight="1">
      <c r="S882" s="454"/>
      <c r="AN882" s="458"/>
      <c r="AY882" s="458"/>
      <c r="AZ882" s="458"/>
      <c r="BA882" s="1305"/>
      <c r="BC882" s="169"/>
    </row>
    <row r="883" spans="19:55" ht="15.75" customHeight="1">
      <c r="S883" s="454"/>
      <c r="AN883" s="458"/>
      <c r="AY883" s="458"/>
      <c r="AZ883" s="458"/>
      <c r="BA883" s="1305"/>
      <c r="BC883" s="169"/>
    </row>
    <row r="884" spans="19:55" ht="15.75" customHeight="1">
      <c r="S884" s="454"/>
      <c r="AN884" s="458"/>
      <c r="AY884" s="458"/>
      <c r="AZ884" s="458"/>
      <c r="BA884" s="1305"/>
      <c r="BC884" s="169"/>
    </row>
    <row r="885" spans="19:55" ht="15.75" customHeight="1">
      <c r="S885" s="454"/>
      <c r="AN885" s="458"/>
      <c r="AY885" s="458"/>
      <c r="AZ885" s="458"/>
      <c r="BA885" s="1305"/>
      <c r="BC885" s="169"/>
    </row>
    <row r="886" spans="19:55" ht="15.75" customHeight="1">
      <c r="S886" s="454"/>
      <c r="AN886" s="458"/>
      <c r="AY886" s="458"/>
      <c r="AZ886" s="458"/>
      <c r="BA886" s="1305"/>
      <c r="BC886" s="169"/>
    </row>
    <row r="887" spans="19:55" ht="15.75" customHeight="1">
      <c r="S887" s="454"/>
      <c r="AN887" s="458"/>
      <c r="AY887" s="458"/>
      <c r="AZ887" s="458"/>
      <c r="BA887" s="1305"/>
      <c r="BC887" s="169"/>
    </row>
    <row r="888" spans="19:55" ht="15.75" customHeight="1">
      <c r="S888" s="454"/>
      <c r="AN888" s="458"/>
      <c r="AY888" s="458"/>
      <c r="AZ888" s="458"/>
      <c r="BA888" s="1305"/>
      <c r="BC888" s="169"/>
    </row>
    <row r="889" spans="19:55" ht="15.75" customHeight="1">
      <c r="S889" s="454"/>
      <c r="AN889" s="458"/>
      <c r="AY889" s="458"/>
      <c r="AZ889" s="458"/>
      <c r="BA889" s="1305"/>
      <c r="BC889" s="169"/>
    </row>
    <row r="890" spans="19:55" ht="15.75" customHeight="1">
      <c r="S890" s="454"/>
      <c r="AN890" s="458"/>
      <c r="AY890" s="458"/>
      <c r="AZ890" s="458"/>
      <c r="BA890" s="1305"/>
      <c r="BC890" s="169"/>
    </row>
    <row r="891" spans="19:55" ht="15.75" customHeight="1">
      <c r="S891" s="454"/>
      <c r="AN891" s="458"/>
      <c r="AY891" s="458"/>
      <c r="AZ891" s="458"/>
      <c r="BA891" s="1305"/>
      <c r="BC891" s="169"/>
    </row>
    <row r="892" spans="19:55" ht="15.75" customHeight="1">
      <c r="S892" s="454"/>
      <c r="AN892" s="458"/>
      <c r="AY892" s="458"/>
      <c r="AZ892" s="458"/>
      <c r="BA892" s="1305"/>
      <c r="BC892" s="169"/>
    </row>
    <row r="893" spans="19:55" ht="15.75" customHeight="1">
      <c r="S893" s="454"/>
      <c r="AN893" s="458"/>
      <c r="AY893" s="458"/>
      <c r="AZ893" s="458"/>
      <c r="BA893" s="1305"/>
      <c r="BC893" s="169"/>
    </row>
    <row r="894" spans="19:55" ht="15.75" customHeight="1">
      <c r="S894" s="454"/>
      <c r="AN894" s="458"/>
      <c r="AY894" s="458"/>
      <c r="AZ894" s="458"/>
      <c r="BA894" s="1305"/>
      <c r="BC894" s="169"/>
    </row>
    <row r="895" spans="19:55" ht="15.75" customHeight="1">
      <c r="S895" s="454"/>
      <c r="AN895" s="458"/>
      <c r="AY895" s="458"/>
      <c r="AZ895" s="458"/>
      <c r="BA895" s="1305"/>
      <c r="BC895" s="169"/>
    </row>
    <row r="896" spans="19:55" ht="15.75" customHeight="1">
      <c r="S896" s="454"/>
      <c r="AN896" s="458"/>
      <c r="AY896" s="458"/>
      <c r="AZ896" s="458"/>
      <c r="BA896" s="1305"/>
      <c r="BC896" s="169"/>
    </row>
    <row r="897" spans="19:55" ht="15.75" customHeight="1">
      <c r="S897" s="454"/>
      <c r="AN897" s="458"/>
      <c r="AY897" s="458"/>
      <c r="AZ897" s="458"/>
      <c r="BA897" s="1305"/>
      <c r="BC897" s="169"/>
    </row>
    <row r="898" spans="19:55" ht="15.75" customHeight="1">
      <c r="S898" s="454"/>
      <c r="AN898" s="458"/>
      <c r="AY898" s="458"/>
      <c r="AZ898" s="458"/>
      <c r="BA898" s="1305"/>
      <c r="BC898" s="169"/>
    </row>
    <row r="899" spans="19:55" ht="15.75" customHeight="1">
      <c r="S899" s="454"/>
      <c r="AN899" s="458"/>
      <c r="AY899" s="458"/>
      <c r="AZ899" s="458"/>
      <c r="BA899" s="1305"/>
      <c r="BC899" s="169"/>
    </row>
    <row r="900" spans="19:55" ht="15.75" customHeight="1">
      <c r="S900" s="454"/>
      <c r="AN900" s="458"/>
      <c r="AY900" s="458"/>
      <c r="AZ900" s="458"/>
      <c r="BA900" s="1305"/>
      <c r="BC900" s="169"/>
    </row>
    <row r="901" spans="19:55" ht="15.75" customHeight="1">
      <c r="S901" s="454"/>
      <c r="AN901" s="458"/>
      <c r="AY901" s="458"/>
      <c r="AZ901" s="458"/>
      <c r="BA901" s="1305"/>
      <c r="BC901" s="169"/>
    </row>
    <row r="902" spans="19:55" ht="15.75" customHeight="1">
      <c r="S902" s="454"/>
      <c r="AN902" s="458"/>
      <c r="AY902" s="458"/>
      <c r="AZ902" s="458"/>
      <c r="BA902" s="1305"/>
      <c r="BC902" s="169"/>
    </row>
    <row r="903" spans="19:55" ht="15.75" customHeight="1">
      <c r="S903" s="454"/>
      <c r="AN903" s="458"/>
      <c r="AY903" s="458"/>
      <c r="AZ903" s="458"/>
      <c r="BA903" s="1305"/>
      <c r="BC903" s="169"/>
    </row>
    <row r="904" spans="19:55" ht="15.75" customHeight="1">
      <c r="S904" s="454"/>
      <c r="AN904" s="458"/>
      <c r="AY904" s="458"/>
      <c r="AZ904" s="458"/>
      <c r="BA904" s="1305"/>
      <c r="BC904" s="169"/>
    </row>
    <row r="905" spans="19:55" ht="15.75" customHeight="1">
      <c r="S905" s="454"/>
      <c r="AN905" s="458"/>
      <c r="AY905" s="458"/>
      <c r="AZ905" s="458"/>
      <c r="BA905" s="1305"/>
      <c r="BC905" s="169"/>
    </row>
    <row r="906" spans="19:55" ht="15.75" customHeight="1">
      <c r="S906" s="454"/>
      <c r="AN906" s="458"/>
      <c r="AY906" s="458"/>
      <c r="AZ906" s="458"/>
      <c r="BA906" s="1305"/>
      <c r="BC906" s="169"/>
    </row>
    <row r="907" spans="19:55" ht="15.75" customHeight="1">
      <c r="S907" s="454"/>
      <c r="AN907" s="458"/>
      <c r="AY907" s="458"/>
      <c r="AZ907" s="458"/>
      <c r="BA907" s="1305"/>
      <c r="BC907" s="169"/>
    </row>
    <row r="908" spans="19:55" ht="15.75" customHeight="1">
      <c r="S908" s="454"/>
      <c r="AN908" s="458"/>
      <c r="AY908" s="458"/>
      <c r="AZ908" s="458"/>
      <c r="BA908" s="1305"/>
      <c r="BC908" s="169"/>
    </row>
    <row r="909" spans="19:55" ht="15.75" customHeight="1">
      <c r="S909" s="454"/>
      <c r="AN909" s="458"/>
      <c r="AY909" s="458"/>
      <c r="AZ909" s="458"/>
      <c r="BA909" s="1305"/>
      <c r="BC909" s="169"/>
    </row>
    <row r="910" spans="19:55" ht="15.75" customHeight="1">
      <c r="S910" s="454"/>
      <c r="AN910" s="458"/>
      <c r="AY910" s="458"/>
      <c r="AZ910" s="458"/>
      <c r="BA910" s="1305"/>
      <c r="BC910" s="169"/>
    </row>
    <row r="911" spans="19:55" ht="15.75" customHeight="1">
      <c r="S911" s="454"/>
      <c r="AN911" s="458"/>
      <c r="AY911" s="458"/>
      <c r="AZ911" s="458"/>
      <c r="BA911" s="1305"/>
      <c r="BC911" s="169"/>
    </row>
    <row r="912" spans="19:55" ht="15.75" customHeight="1">
      <c r="S912" s="454"/>
      <c r="AN912" s="458"/>
      <c r="AY912" s="458"/>
      <c r="AZ912" s="458"/>
      <c r="BA912" s="1305"/>
      <c r="BC912" s="169"/>
    </row>
    <row r="913" spans="19:55" ht="15.75" customHeight="1">
      <c r="S913" s="454"/>
      <c r="AN913" s="458"/>
      <c r="AY913" s="458"/>
      <c r="AZ913" s="458"/>
      <c r="BA913" s="1305"/>
      <c r="BC913" s="169"/>
    </row>
    <row r="914" spans="19:55" ht="15.75" customHeight="1">
      <c r="S914" s="454"/>
      <c r="AN914" s="458"/>
      <c r="AY914" s="458"/>
      <c r="AZ914" s="458"/>
      <c r="BA914" s="1305"/>
      <c r="BC914" s="169"/>
    </row>
    <row r="915" spans="19:55" ht="15.75" customHeight="1">
      <c r="S915" s="454"/>
      <c r="AN915" s="458"/>
      <c r="AY915" s="458"/>
      <c r="AZ915" s="458"/>
      <c r="BA915" s="1305"/>
      <c r="BC915" s="169"/>
    </row>
    <row r="916" spans="19:55" ht="15.75" customHeight="1">
      <c r="S916" s="454"/>
      <c r="AN916" s="458"/>
      <c r="AY916" s="458"/>
      <c r="AZ916" s="458"/>
      <c r="BA916" s="1305"/>
      <c r="BC916" s="169"/>
    </row>
    <row r="917" spans="19:55" ht="15.75" customHeight="1">
      <c r="S917" s="454"/>
      <c r="AN917" s="458"/>
      <c r="AY917" s="458"/>
      <c r="AZ917" s="458"/>
      <c r="BA917" s="1305"/>
      <c r="BC917" s="169"/>
    </row>
    <row r="918" spans="19:55" ht="15.75" customHeight="1">
      <c r="S918" s="454"/>
      <c r="AN918" s="458"/>
      <c r="AY918" s="458"/>
      <c r="AZ918" s="458"/>
      <c r="BA918" s="1305"/>
      <c r="BC918" s="169"/>
    </row>
    <row r="919" spans="19:55" ht="15.75" customHeight="1">
      <c r="S919" s="454"/>
      <c r="AN919" s="458"/>
      <c r="AY919" s="458"/>
      <c r="AZ919" s="458"/>
      <c r="BA919" s="1305"/>
      <c r="BC919" s="169"/>
    </row>
    <row r="920" spans="19:55" ht="15.75" customHeight="1">
      <c r="S920" s="454"/>
      <c r="AN920" s="458"/>
      <c r="AY920" s="458"/>
      <c r="AZ920" s="458"/>
      <c r="BA920" s="1305"/>
      <c r="BC920" s="169"/>
    </row>
    <row r="921" spans="19:55" ht="15.75" customHeight="1">
      <c r="S921" s="454"/>
      <c r="AN921" s="458"/>
      <c r="AY921" s="458"/>
      <c r="AZ921" s="458"/>
      <c r="BA921" s="1305"/>
      <c r="BC921" s="169"/>
    </row>
    <row r="922" spans="19:55" ht="15.75" customHeight="1">
      <c r="S922" s="454"/>
      <c r="AN922" s="458"/>
      <c r="AY922" s="458"/>
      <c r="AZ922" s="458"/>
      <c r="BA922" s="1305"/>
      <c r="BC922" s="169"/>
    </row>
    <row r="923" spans="19:55" ht="15.75" customHeight="1">
      <c r="S923" s="454"/>
      <c r="AN923" s="458"/>
      <c r="AY923" s="458"/>
      <c r="AZ923" s="458"/>
      <c r="BA923" s="1305"/>
      <c r="BC923" s="169"/>
    </row>
    <row r="924" spans="19:55" ht="15.75" customHeight="1">
      <c r="S924" s="454"/>
      <c r="AN924" s="458"/>
      <c r="AY924" s="458"/>
      <c r="AZ924" s="458"/>
      <c r="BA924" s="1305"/>
      <c r="BC924" s="169"/>
    </row>
    <row r="925" spans="19:55" ht="15.75" customHeight="1">
      <c r="S925" s="454"/>
      <c r="AN925" s="458"/>
      <c r="AY925" s="458"/>
      <c r="AZ925" s="458"/>
      <c r="BA925" s="1305"/>
      <c r="BC925" s="169"/>
    </row>
    <row r="926" spans="19:55" ht="15.75" customHeight="1">
      <c r="S926" s="454"/>
      <c r="AN926" s="458"/>
      <c r="AY926" s="458"/>
      <c r="AZ926" s="458"/>
      <c r="BA926" s="1305"/>
      <c r="BC926" s="169"/>
    </row>
    <row r="927" spans="19:55" ht="15.75" customHeight="1">
      <c r="S927" s="454"/>
      <c r="AN927" s="458"/>
      <c r="AY927" s="458"/>
      <c r="AZ927" s="458"/>
      <c r="BA927" s="1305"/>
      <c r="BC927" s="169"/>
    </row>
    <row r="928" spans="19:55" ht="15.75" customHeight="1">
      <c r="S928" s="454"/>
      <c r="AN928" s="458"/>
      <c r="AY928" s="458"/>
      <c r="AZ928" s="458"/>
      <c r="BA928" s="1305"/>
      <c r="BC928" s="169"/>
    </row>
    <row r="929" spans="19:55" ht="15.75" customHeight="1">
      <c r="S929" s="454"/>
      <c r="AN929" s="458"/>
      <c r="AY929" s="458"/>
      <c r="AZ929" s="458"/>
      <c r="BA929" s="1305"/>
      <c r="BC929" s="169"/>
    </row>
    <row r="930" spans="19:55" ht="15.75" customHeight="1">
      <c r="S930" s="454"/>
      <c r="AN930" s="458"/>
      <c r="AY930" s="458"/>
      <c r="AZ930" s="458"/>
      <c r="BA930" s="1305"/>
      <c r="BC930" s="169"/>
    </row>
    <row r="931" spans="19:55" ht="15.75" customHeight="1">
      <c r="S931" s="454"/>
      <c r="AN931" s="458"/>
      <c r="AY931" s="458"/>
      <c r="AZ931" s="458"/>
      <c r="BA931" s="1305"/>
      <c r="BC931" s="169"/>
    </row>
    <row r="932" spans="19:55" ht="15.75" customHeight="1">
      <c r="S932" s="454"/>
      <c r="AN932" s="458"/>
      <c r="AY932" s="458"/>
      <c r="AZ932" s="458"/>
      <c r="BA932" s="1305"/>
      <c r="BC932" s="169"/>
    </row>
    <row r="933" spans="19:55" ht="15.75" customHeight="1">
      <c r="S933" s="454"/>
      <c r="AN933" s="458"/>
      <c r="AY933" s="458"/>
      <c r="AZ933" s="458"/>
      <c r="BA933" s="1305"/>
      <c r="BC933" s="169"/>
    </row>
    <row r="934" spans="19:55" ht="15.75" customHeight="1">
      <c r="S934" s="454"/>
      <c r="AN934" s="458"/>
      <c r="AY934" s="458"/>
      <c r="AZ934" s="458"/>
      <c r="BA934" s="1305"/>
      <c r="BC934" s="169"/>
    </row>
    <row r="935" spans="19:55" ht="15.75" customHeight="1">
      <c r="S935" s="454"/>
      <c r="AN935" s="458"/>
      <c r="AY935" s="458"/>
      <c r="AZ935" s="458"/>
      <c r="BA935" s="1305"/>
      <c r="BC935" s="169"/>
    </row>
    <row r="936" spans="19:55" ht="15.75" customHeight="1">
      <c r="S936" s="454"/>
      <c r="AN936" s="458"/>
      <c r="AY936" s="458"/>
      <c r="AZ936" s="458"/>
      <c r="BA936" s="1305"/>
      <c r="BC936" s="169"/>
    </row>
    <row r="937" spans="19:55" ht="15.75" customHeight="1">
      <c r="S937" s="454"/>
      <c r="AN937" s="458"/>
      <c r="AY937" s="458"/>
      <c r="AZ937" s="458"/>
      <c r="BA937" s="1305"/>
      <c r="BC937" s="169"/>
    </row>
    <row r="938" spans="19:55" ht="15.75" customHeight="1">
      <c r="S938" s="454"/>
      <c r="AN938" s="458"/>
      <c r="AY938" s="458"/>
      <c r="AZ938" s="458"/>
      <c r="BA938" s="1305"/>
      <c r="BC938" s="169"/>
    </row>
    <row r="939" spans="19:55" ht="15.75" customHeight="1">
      <c r="S939" s="454"/>
      <c r="AN939" s="458"/>
      <c r="AY939" s="458"/>
      <c r="AZ939" s="458"/>
      <c r="BA939" s="1305"/>
      <c r="BC939" s="169"/>
    </row>
    <row r="940" spans="19:55" ht="15.75" customHeight="1">
      <c r="S940" s="454"/>
      <c r="AN940" s="458"/>
      <c r="AY940" s="458"/>
      <c r="AZ940" s="458"/>
      <c r="BA940" s="1305"/>
      <c r="BC940" s="169"/>
    </row>
    <row r="941" spans="19:55" ht="15.75" customHeight="1">
      <c r="S941" s="454"/>
      <c r="AN941" s="458"/>
      <c r="AY941" s="458"/>
      <c r="AZ941" s="458"/>
      <c r="BA941" s="1305"/>
      <c r="BC941" s="169"/>
    </row>
    <row r="942" spans="19:55" ht="15.75" customHeight="1">
      <c r="S942" s="454"/>
      <c r="AN942" s="458"/>
      <c r="AY942" s="458"/>
      <c r="AZ942" s="458"/>
      <c r="BA942" s="1305"/>
      <c r="BC942" s="169"/>
    </row>
    <row r="943" spans="19:55" ht="15.75" customHeight="1">
      <c r="S943" s="454"/>
      <c r="AN943" s="458"/>
      <c r="AY943" s="458"/>
      <c r="AZ943" s="458"/>
      <c r="BA943" s="1305"/>
      <c r="BC943" s="169"/>
    </row>
    <row r="944" spans="19:55" ht="15.75" customHeight="1">
      <c r="S944" s="454"/>
      <c r="AN944" s="458"/>
      <c r="AY944" s="458"/>
      <c r="AZ944" s="458"/>
      <c r="BA944" s="1305"/>
      <c r="BC944" s="169"/>
    </row>
    <row r="945" spans="19:55" ht="15.75" customHeight="1">
      <c r="S945" s="454"/>
      <c r="AN945" s="458"/>
      <c r="AY945" s="458"/>
      <c r="AZ945" s="458"/>
      <c r="BA945" s="1305"/>
      <c r="BC945" s="169"/>
    </row>
    <row r="946" spans="19:55" ht="15.75" customHeight="1">
      <c r="S946" s="454"/>
      <c r="AN946" s="458"/>
      <c r="AY946" s="458"/>
      <c r="AZ946" s="458"/>
      <c r="BA946" s="1305"/>
      <c r="BC946" s="169"/>
    </row>
    <row r="947" spans="19:55" ht="15.75" customHeight="1">
      <c r="S947" s="454"/>
      <c r="AN947" s="458"/>
      <c r="AY947" s="458"/>
      <c r="AZ947" s="458"/>
      <c r="BA947" s="1305"/>
      <c r="BC947" s="169"/>
    </row>
    <row r="948" spans="19:55" ht="15.75" customHeight="1">
      <c r="S948" s="454"/>
      <c r="AN948" s="458"/>
      <c r="AY948" s="458"/>
      <c r="AZ948" s="458"/>
      <c r="BA948" s="1305"/>
      <c r="BC948" s="169"/>
    </row>
    <row r="949" spans="19:55" ht="15.75" customHeight="1">
      <c r="S949" s="454"/>
      <c r="AN949" s="458"/>
      <c r="AY949" s="458"/>
      <c r="AZ949" s="458"/>
      <c r="BA949" s="1305"/>
      <c r="BC949" s="169"/>
    </row>
    <row r="950" spans="19:55" ht="15.75" customHeight="1">
      <c r="S950" s="454"/>
      <c r="AN950" s="458"/>
      <c r="AY950" s="458"/>
      <c r="AZ950" s="458"/>
      <c r="BA950" s="1305"/>
      <c r="BC950" s="169"/>
    </row>
    <row r="951" spans="19:55" ht="15.75" customHeight="1">
      <c r="S951" s="454"/>
      <c r="AN951" s="458"/>
      <c r="AY951" s="458"/>
      <c r="AZ951" s="458"/>
      <c r="BA951" s="1305"/>
      <c r="BC951" s="169"/>
    </row>
    <row r="952" spans="19:55" ht="15.75" customHeight="1">
      <c r="S952" s="454"/>
      <c r="AN952" s="458"/>
      <c r="AY952" s="458"/>
      <c r="AZ952" s="458"/>
      <c r="BA952" s="1305"/>
      <c r="BC952" s="169"/>
    </row>
    <row r="953" spans="19:55" ht="15.75" customHeight="1">
      <c r="S953" s="454"/>
      <c r="AN953" s="458"/>
      <c r="AY953" s="458"/>
      <c r="AZ953" s="458"/>
      <c r="BA953" s="1305"/>
      <c r="BC953" s="169"/>
    </row>
    <row r="954" spans="19:55" ht="15.75" customHeight="1">
      <c r="S954" s="454"/>
      <c r="AN954" s="458"/>
      <c r="AY954" s="458"/>
      <c r="AZ954" s="458"/>
      <c r="BA954" s="1305"/>
      <c r="BC954" s="169"/>
    </row>
    <row r="955" spans="19:55" ht="15.75" customHeight="1">
      <c r="S955" s="454"/>
      <c r="AN955" s="458"/>
      <c r="AY955" s="458"/>
      <c r="AZ955" s="458"/>
      <c r="BA955" s="1305"/>
      <c r="BC955" s="169"/>
    </row>
    <row r="956" spans="19:55" ht="15.75" customHeight="1">
      <c r="S956" s="454"/>
      <c r="AN956" s="458"/>
      <c r="AY956" s="458"/>
      <c r="AZ956" s="458"/>
      <c r="BA956" s="1305"/>
      <c r="BC956" s="169"/>
    </row>
    <row r="957" spans="19:55" ht="15.75" customHeight="1">
      <c r="S957" s="454"/>
      <c r="AN957" s="458"/>
      <c r="AY957" s="458"/>
      <c r="AZ957" s="458"/>
      <c r="BA957" s="1305"/>
      <c r="BC957" s="169"/>
    </row>
    <row r="958" spans="19:55" ht="15.75" customHeight="1">
      <c r="S958" s="454"/>
      <c r="AN958" s="458"/>
      <c r="AY958" s="458"/>
      <c r="AZ958" s="458"/>
      <c r="BA958" s="1305"/>
      <c r="BC958" s="169"/>
    </row>
    <row r="959" spans="19:55" ht="15.75" customHeight="1">
      <c r="S959" s="454"/>
      <c r="AN959" s="458"/>
      <c r="AY959" s="458"/>
      <c r="AZ959" s="458"/>
      <c r="BA959" s="1305"/>
      <c r="BC959" s="169"/>
    </row>
    <row r="960" spans="19:55" ht="15.75" customHeight="1">
      <c r="S960" s="454"/>
      <c r="AN960" s="458"/>
      <c r="AY960" s="458"/>
      <c r="AZ960" s="458"/>
      <c r="BA960" s="1305"/>
      <c r="BC960" s="169"/>
    </row>
    <row r="961" spans="19:55" ht="15.75" customHeight="1">
      <c r="S961" s="454"/>
      <c r="AN961" s="458"/>
      <c r="AY961" s="458"/>
      <c r="AZ961" s="458"/>
      <c r="BA961" s="1305"/>
      <c r="BC961" s="169"/>
    </row>
    <row r="962" spans="19:55" ht="15.75" customHeight="1">
      <c r="S962" s="454"/>
      <c r="AN962" s="458"/>
      <c r="AY962" s="458"/>
      <c r="AZ962" s="458"/>
      <c r="BA962" s="1305"/>
      <c r="BC962" s="169"/>
    </row>
    <row r="963" spans="19:55" ht="15.75" customHeight="1">
      <c r="S963" s="454"/>
      <c r="AN963" s="458"/>
      <c r="AY963" s="458"/>
      <c r="AZ963" s="458"/>
      <c r="BA963" s="1305"/>
      <c r="BC963" s="169"/>
    </row>
    <row r="964" spans="19:55" ht="15.75" customHeight="1">
      <c r="S964" s="454"/>
      <c r="AN964" s="458"/>
      <c r="AY964" s="458"/>
      <c r="AZ964" s="458"/>
      <c r="BA964" s="1305"/>
      <c r="BC964" s="169"/>
    </row>
    <row r="965" spans="19:55" ht="15.75" customHeight="1">
      <c r="S965" s="454"/>
      <c r="AN965" s="458"/>
      <c r="AY965" s="458"/>
      <c r="AZ965" s="458"/>
      <c r="BA965" s="1305"/>
      <c r="BC965" s="169"/>
    </row>
    <row r="966" spans="19:55" ht="15.75" customHeight="1">
      <c r="S966" s="454"/>
      <c r="AN966" s="458"/>
      <c r="AY966" s="458"/>
      <c r="AZ966" s="458"/>
      <c r="BA966" s="1305"/>
      <c r="BC966" s="169"/>
    </row>
    <row r="967" spans="19:55" ht="15.75" customHeight="1">
      <c r="S967" s="454"/>
      <c r="AN967" s="458"/>
      <c r="AY967" s="458"/>
      <c r="AZ967" s="458"/>
      <c r="BA967" s="1305"/>
      <c r="BC967" s="169"/>
    </row>
    <row r="968" spans="19:55" ht="15.75" customHeight="1">
      <c r="S968" s="454"/>
      <c r="AN968" s="458"/>
      <c r="AY968" s="458"/>
      <c r="AZ968" s="458"/>
      <c r="BA968" s="1305"/>
      <c r="BC968" s="169"/>
    </row>
    <row r="969" spans="19:55" ht="15.75" customHeight="1">
      <c r="S969" s="454"/>
      <c r="AN969" s="458"/>
      <c r="AY969" s="458"/>
      <c r="AZ969" s="458"/>
      <c r="BA969" s="1305"/>
      <c r="BC969" s="169"/>
    </row>
    <row r="970" spans="19:55" ht="15.75" customHeight="1">
      <c r="S970" s="454"/>
      <c r="AN970" s="458"/>
      <c r="AY970" s="458"/>
      <c r="AZ970" s="458"/>
      <c r="BA970" s="1305"/>
      <c r="BC970" s="169"/>
    </row>
    <row r="971" spans="19:55" ht="15.75" customHeight="1">
      <c r="S971" s="454"/>
      <c r="AN971" s="458"/>
      <c r="AY971" s="458"/>
      <c r="AZ971" s="458"/>
      <c r="BA971" s="1305"/>
      <c r="BC971" s="169"/>
    </row>
    <row r="972" spans="19:55" ht="15.75" customHeight="1">
      <c r="S972" s="454"/>
      <c r="AN972" s="458"/>
      <c r="AY972" s="458"/>
      <c r="AZ972" s="458"/>
      <c r="BA972" s="1305"/>
      <c r="BC972" s="169"/>
    </row>
    <row r="973" spans="19:55" ht="15.75" customHeight="1">
      <c r="S973" s="454"/>
      <c r="AN973" s="458"/>
      <c r="AY973" s="458"/>
      <c r="AZ973" s="458"/>
      <c r="BA973" s="1305"/>
      <c r="BC973" s="169"/>
    </row>
    <row r="974" spans="19:55" ht="15.75" customHeight="1">
      <c r="S974" s="454"/>
      <c r="AN974" s="458"/>
      <c r="AY974" s="458"/>
      <c r="AZ974" s="458"/>
      <c r="BA974" s="1305"/>
      <c r="BC974" s="169"/>
    </row>
    <row r="975" spans="19:55" ht="15.75" customHeight="1">
      <c r="S975" s="454"/>
      <c r="AN975" s="458"/>
      <c r="AY975" s="458"/>
      <c r="AZ975" s="458"/>
      <c r="BA975" s="1305"/>
      <c r="BC975" s="169"/>
    </row>
    <row r="976" spans="19:55" ht="15.75" customHeight="1">
      <c r="S976" s="454"/>
      <c r="AN976" s="458"/>
      <c r="AY976" s="458"/>
      <c r="AZ976" s="458"/>
      <c r="BA976" s="1305"/>
      <c r="BC976" s="169"/>
    </row>
    <row r="977" spans="19:55" ht="15.75" customHeight="1">
      <c r="S977" s="454"/>
      <c r="AN977" s="458"/>
      <c r="AY977" s="458"/>
      <c r="AZ977" s="458"/>
      <c r="BA977" s="1305"/>
      <c r="BC977" s="169"/>
    </row>
    <row r="978" spans="19:55" ht="15.75" customHeight="1">
      <c r="S978" s="454"/>
      <c r="AN978" s="458"/>
      <c r="AY978" s="458"/>
      <c r="AZ978" s="458"/>
      <c r="BA978" s="1305"/>
      <c r="BC978" s="169"/>
    </row>
    <row r="979" spans="19:55" ht="15.75" customHeight="1">
      <c r="S979" s="454"/>
      <c r="AN979" s="458"/>
      <c r="AY979" s="458"/>
      <c r="AZ979" s="458"/>
      <c r="BA979" s="1305"/>
      <c r="BC979" s="169"/>
    </row>
    <row r="980" spans="19:55" ht="15.75" customHeight="1">
      <c r="S980" s="454"/>
      <c r="AN980" s="458"/>
      <c r="AY980" s="458"/>
      <c r="AZ980" s="458"/>
      <c r="BA980" s="1305"/>
      <c r="BC980" s="169"/>
    </row>
    <row r="981" spans="19:55" ht="15.75" customHeight="1">
      <c r="S981" s="454"/>
      <c r="AN981" s="458"/>
      <c r="AY981" s="458"/>
      <c r="AZ981" s="458"/>
      <c r="BA981" s="1305"/>
      <c r="BC981" s="169"/>
    </row>
    <row r="982" spans="19:55" ht="15.75" customHeight="1">
      <c r="S982" s="454"/>
      <c r="AN982" s="458"/>
      <c r="AY982" s="458"/>
      <c r="AZ982" s="458"/>
      <c r="BA982" s="1305"/>
      <c r="BC982" s="169"/>
    </row>
    <row r="983" spans="19:55" ht="15.75" customHeight="1">
      <c r="S983" s="454"/>
      <c r="AN983" s="458"/>
      <c r="AY983" s="458"/>
      <c r="AZ983" s="458"/>
      <c r="BA983" s="1305"/>
      <c r="BC983" s="169"/>
    </row>
    <row r="984" spans="19:55" ht="15.75" customHeight="1">
      <c r="S984" s="454"/>
      <c r="AN984" s="458"/>
      <c r="AY984" s="458"/>
      <c r="AZ984" s="458"/>
      <c r="BA984" s="1305"/>
      <c r="BC984" s="169"/>
    </row>
    <row r="985" spans="19:55" ht="15.75" customHeight="1">
      <c r="S985" s="454"/>
      <c r="AN985" s="458"/>
      <c r="AY985" s="458"/>
      <c r="AZ985" s="458"/>
      <c r="BA985" s="1305"/>
      <c r="BC985" s="169"/>
    </row>
    <row r="986" spans="19:55" ht="15.75" customHeight="1">
      <c r="S986" s="454"/>
      <c r="AN986" s="458"/>
      <c r="AY986" s="458"/>
      <c r="AZ986" s="458"/>
      <c r="BA986" s="1305"/>
      <c r="BC986" s="169"/>
    </row>
    <row r="987" spans="19:55" ht="15.75" customHeight="1">
      <c r="S987" s="454"/>
      <c r="AN987" s="458"/>
      <c r="AY987" s="458"/>
      <c r="AZ987" s="458"/>
      <c r="BA987" s="1305"/>
      <c r="BC987" s="169"/>
    </row>
    <row r="988" spans="19:55" ht="15.75" customHeight="1">
      <c r="S988" s="454"/>
      <c r="AN988" s="458"/>
      <c r="AY988" s="458"/>
      <c r="AZ988" s="458"/>
      <c r="BA988" s="1305"/>
      <c r="BC988" s="169"/>
    </row>
    <row r="989" spans="19:55" ht="15.75" customHeight="1">
      <c r="S989" s="454"/>
      <c r="AN989" s="458"/>
      <c r="AY989" s="458"/>
      <c r="AZ989" s="458"/>
      <c r="BA989" s="1305"/>
      <c r="BC989" s="169"/>
    </row>
    <row r="990" spans="19:55" ht="15.75" customHeight="1">
      <c r="S990" s="454"/>
      <c r="AN990" s="458"/>
      <c r="AY990" s="458"/>
      <c r="AZ990" s="458"/>
      <c r="BA990" s="1305"/>
      <c r="BC990" s="169"/>
    </row>
    <row r="991" spans="19:55" ht="15.75" customHeight="1">
      <c r="S991" s="454"/>
      <c r="AN991" s="458"/>
      <c r="AY991" s="458"/>
      <c r="AZ991" s="458"/>
      <c r="BA991" s="1305"/>
      <c r="BC991" s="169"/>
    </row>
    <row r="992" spans="19:55" ht="15.75" customHeight="1">
      <c r="S992" s="454"/>
      <c r="AN992" s="458"/>
      <c r="AY992" s="458"/>
      <c r="AZ992" s="458"/>
      <c r="BA992" s="1305"/>
      <c r="BC992" s="169"/>
    </row>
    <row r="993" spans="19:55" ht="15.75" customHeight="1">
      <c r="S993" s="454"/>
      <c r="AN993" s="458"/>
      <c r="AY993" s="458"/>
      <c r="AZ993" s="458"/>
      <c r="BA993" s="1305"/>
      <c r="BC993" s="169"/>
    </row>
    <row r="994" spans="19:55" ht="15.75" customHeight="1">
      <c r="S994" s="454"/>
      <c r="AN994" s="458"/>
      <c r="AY994" s="458"/>
      <c r="AZ994" s="458"/>
      <c r="BA994" s="1305"/>
      <c r="BC994" s="169"/>
    </row>
    <row r="995" spans="19:55" ht="15.75" customHeight="1">
      <c r="S995" s="454"/>
      <c r="AN995" s="458"/>
      <c r="AY995" s="458"/>
      <c r="AZ995" s="458"/>
      <c r="BA995" s="1305"/>
      <c r="BC995" s="169"/>
    </row>
    <row r="996" spans="19:55" ht="15.75" customHeight="1">
      <c r="S996" s="454"/>
      <c r="AN996" s="458"/>
      <c r="AY996" s="458"/>
      <c r="AZ996" s="458"/>
      <c r="BA996" s="1305"/>
      <c r="BC996" s="169"/>
    </row>
    <row r="997" spans="19:55" ht="15.75" customHeight="1">
      <c r="S997" s="454"/>
      <c r="AN997" s="458"/>
      <c r="AY997" s="458"/>
      <c r="AZ997" s="458"/>
      <c r="BA997" s="1305"/>
      <c r="BC997" s="169"/>
    </row>
    <row r="998" spans="19:55" ht="15.75" customHeight="1">
      <c r="S998" s="454"/>
      <c r="AN998" s="458"/>
      <c r="AY998" s="458"/>
      <c r="AZ998" s="458"/>
      <c r="BA998" s="1305"/>
      <c r="BC998" s="169"/>
    </row>
    <row r="999" spans="19:55" ht="15.75" customHeight="1">
      <c r="S999" s="454"/>
      <c r="AN999" s="458"/>
      <c r="AY999" s="458"/>
      <c r="AZ999" s="458"/>
      <c r="BA999" s="1305"/>
      <c r="BC999" s="169"/>
    </row>
    <row r="1000" spans="19:55" ht="15.75" customHeight="1">
      <c r="S1000" s="454"/>
      <c r="AN1000" s="458"/>
      <c r="AY1000" s="458"/>
      <c r="AZ1000" s="458"/>
      <c r="BA1000" s="1305"/>
      <c r="BC1000" s="169"/>
    </row>
    <row r="1001" spans="19:55" ht="15.75" customHeight="1">
      <c r="S1001" s="454"/>
      <c r="AN1001" s="458"/>
      <c r="AY1001" s="458"/>
      <c r="AZ1001" s="458"/>
      <c r="BA1001" s="1305"/>
      <c r="BC1001" s="169"/>
    </row>
    <row r="1002" spans="19:55" ht="15.75" customHeight="1">
      <c r="S1002" s="454"/>
      <c r="AN1002" s="458"/>
      <c r="AY1002" s="458"/>
      <c r="AZ1002" s="458"/>
      <c r="BA1002" s="1305"/>
      <c r="BC1002" s="169"/>
    </row>
    <row r="1003" spans="19:55" ht="15.75" customHeight="1">
      <c r="S1003" s="454"/>
      <c r="AN1003" s="458"/>
      <c r="AY1003" s="458"/>
      <c r="AZ1003" s="458"/>
      <c r="BA1003" s="1305"/>
      <c r="BC1003" s="169"/>
    </row>
    <row r="1004" spans="19:55" ht="15.75" customHeight="1">
      <c r="S1004" s="454"/>
      <c r="AN1004" s="458"/>
      <c r="AY1004" s="458"/>
      <c r="AZ1004" s="458"/>
      <c r="BA1004" s="1305"/>
      <c r="BC1004" s="169"/>
    </row>
    <row r="1005" spans="19:55" ht="15.75" customHeight="1">
      <c r="S1005" s="454"/>
      <c r="AN1005" s="458"/>
      <c r="AY1005" s="458"/>
      <c r="AZ1005" s="458"/>
      <c r="BA1005" s="1305"/>
      <c r="BC1005" s="169"/>
    </row>
    <row r="1006" spans="19:55" ht="15.75" customHeight="1">
      <c r="S1006" s="454"/>
      <c r="AN1006" s="458"/>
      <c r="AY1006" s="458"/>
      <c r="AZ1006" s="458"/>
      <c r="BA1006" s="1305"/>
      <c r="BC1006" s="169"/>
    </row>
    <row r="1007" spans="19:55" ht="15.75" customHeight="1">
      <c r="S1007" s="454"/>
      <c r="AN1007" s="458"/>
      <c r="AY1007" s="458"/>
      <c r="AZ1007" s="458"/>
      <c r="BA1007" s="1305"/>
      <c r="BC1007" s="169"/>
    </row>
    <row r="1008" spans="19:55" ht="15.75" customHeight="1">
      <c r="S1008" s="454"/>
      <c r="AN1008" s="458"/>
      <c r="AY1008" s="458"/>
      <c r="AZ1008" s="458"/>
      <c r="BA1008" s="1305"/>
      <c r="BC1008" s="169"/>
    </row>
    <row r="1009" spans="19:55" ht="15.75" customHeight="1">
      <c r="S1009" s="454"/>
      <c r="AN1009" s="458"/>
      <c r="AY1009" s="458"/>
      <c r="AZ1009" s="458"/>
      <c r="BA1009" s="1305"/>
      <c r="BC1009" s="169"/>
    </row>
    <row r="1010" spans="19:55" ht="15.75" customHeight="1">
      <c r="S1010" s="454"/>
      <c r="AN1010" s="458"/>
      <c r="AY1010" s="458"/>
      <c r="AZ1010" s="458"/>
      <c r="BA1010" s="1305"/>
      <c r="BC1010" s="169"/>
    </row>
    <row r="1011" spans="19:55" ht="15.75" customHeight="1">
      <c r="S1011" s="454"/>
      <c r="AN1011" s="458"/>
      <c r="AY1011" s="458"/>
      <c r="AZ1011" s="458"/>
      <c r="BA1011" s="1305"/>
      <c r="BC1011" s="169"/>
    </row>
    <row r="1012" spans="19:55" ht="15.75" customHeight="1">
      <c r="S1012" s="454"/>
      <c r="AN1012" s="458"/>
      <c r="AY1012" s="458"/>
      <c r="AZ1012" s="458"/>
      <c r="BA1012" s="1305"/>
      <c r="BC1012" s="169"/>
    </row>
    <row r="1013" spans="19:55" ht="15.75" customHeight="1">
      <c r="S1013" s="454"/>
      <c r="AN1013" s="458"/>
      <c r="AY1013" s="458"/>
      <c r="AZ1013" s="458"/>
      <c r="BA1013" s="1305"/>
      <c r="BC1013" s="169"/>
    </row>
    <row r="1014" spans="19:55" ht="15.75" customHeight="1">
      <c r="S1014" s="454"/>
      <c r="AN1014" s="458"/>
      <c r="AY1014" s="458"/>
      <c r="AZ1014" s="458"/>
      <c r="BA1014" s="1305"/>
      <c r="BC1014" s="169"/>
    </row>
    <row r="1015" spans="19:55" ht="15.75" customHeight="1">
      <c r="S1015" s="454"/>
      <c r="AN1015" s="458"/>
      <c r="AY1015" s="458"/>
      <c r="AZ1015" s="458"/>
      <c r="BA1015" s="1305"/>
      <c r="BC1015" s="169"/>
    </row>
    <row r="1016" spans="19:55" ht="15.75" customHeight="1">
      <c r="S1016" s="454"/>
      <c r="AN1016" s="458"/>
      <c r="AY1016" s="458"/>
      <c r="AZ1016" s="458"/>
      <c r="BA1016" s="1305"/>
      <c r="BC1016" s="169"/>
    </row>
    <row r="1017" spans="19:55" ht="15.75" customHeight="1">
      <c r="S1017" s="454"/>
      <c r="AN1017" s="458"/>
      <c r="AY1017" s="458"/>
      <c r="AZ1017" s="458"/>
      <c r="BA1017" s="1305"/>
      <c r="BC1017" s="169"/>
    </row>
    <row r="1018" spans="19:55" ht="15.75" customHeight="1">
      <c r="S1018" s="454"/>
      <c r="AN1018" s="458"/>
      <c r="AY1018" s="458"/>
      <c r="AZ1018" s="458"/>
      <c r="BA1018" s="1305"/>
      <c r="BC1018" s="169"/>
    </row>
    <row r="1019" spans="19:55" ht="15.75" customHeight="1">
      <c r="S1019" s="454"/>
      <c r="AN1019" s="458"/>
      <c r="AY1019" s="458"/>
      <c r="AZ1019" s="458"/>
      <c r="BA1019" s="1305"/>
      <c r="BC1019" s="169"/>
    </row>
    <row r="1020" spans="19:55" ht="15.75" customHeight="1">
      <c r="S1020" s="454"/>
      <c r="AN1020" s="458"/>
      <c r="AY1020" s="458"/>
      <c r="AZ1020" s="458"/>
      <c r="BA1020" s="1305"/>
      <c r="BC1020" s="169"/>
    </row>
    <row r="1021" spans="19:55" ht="15.75" customHeight="1">
      <c r="S1021" s="454"/>
      <c r="AN1021" s="458"/>
      <c r="AY1021" s="458"/>
      <c r="AZ1021" s="458"/>
      <c r="BA1021" s="1305"/>
      <c r="BC1021" s="169"/>
    </row>
    <row r="1022" spans="19:55" ht="15.75" customHeight="1">
      <c r="S1022" s="454"/>
      <c r="AN1022" s="458"/>
      <c r="AY1022" s="458"/>
      <c r="AZ1022" s="458"/>
      <c r="BA1022" s="1305"/>
      <c r="BC1022" s="169"/>
    </row>
    <row r="1023" spans="19:55" ht="15.75" customHeight="1">
      <c r="S1023" s="454"/>
      <c r="AN1023" s="458"/>
      <c r="AY1023" s="458"/>
      <c r="AZ1023" s="458"/>
      <c r="BA1023" s="1305"/>
      <c r="BC1023" s="169"/>
    </row>
    <row r="1024" spans="19:55" ht="15.75" customHeight="1">
      <c r="S1024" s="454"/>
      <c r="AN1024" s="458"/>
      <c r="AY1024" s="458"/>
      <c r="AZ1024" s="458"/>
      <c r="BA1024" s="1305"/>
      <c r="BC1024" s="169"/>
    </row>
    <row r="1025" spans="19:55" ht="15.75" customHeight="1">
      <c r="S1025" s="454"/>
      <c r="AN1025" s="458"/>
      <c r="AY1025" s="458"/>
      <c r="AZ1025" s="458"/>
      <c r="BA1025" s="1305"/>
      <c r="BC1025" s="169"/>
    </row>
    <row r="1026" spans="19:55" ht="15.75" customHeight="1">
      <c r="S1026" s="454"/>
      <c r="AN1026" s="458"/>
      <c r="AY1026" s="458"/>
      <c r="AZ1026" s="458"/>
      <c r="BA1026" s="1305"/>
      <c r="BC1026" s="169"/>
    </row>
    <row r="1027" spans="19:55" ht="15.75" customHeight="1">
      <c r="S1027" s="454"/>
      <c r="AN1027" s="458"/>
      <c r="AY1027" s="458"/>
      <c r="AZ1027" s="458"/>
      <c r="BA1027" s="1305"/>
      <c r="BC1027" s="169"/>
    </row>
    <row r="1028" spans="19:55" ht="15.75" customHeight="1">
      <c r="S1028" s="454"/>
      <c r="AN1028" s="458"/>
      <c r="AY1028" s="458"/>
      <c r="AZ1028" s="458"/>
      <c r="BA1028" s="1305"/>
      <c r="BC1028" s="169"/>
    </row>
    <row r="1029" spans="19:55" ht="15.75" customHeight="1">
      <c r="S1029" s="454"/>
      <c r="AN1029" s="458"/>
      <c r="AY1029" s="458"/>
      <c r="AZ1029" s="458"/>
      <c r="BA1029" s="1305"/>
      <c r="BC1029" s="169"/>
    </row>
    <row r="1030" spans="19:55" ht="15.75" customHeight="1">
      <c r="S1030" s="454"/>
      <c r="AN1030" s="458"/>
      <c r="AY1030" s="458"/>
      <c r="AZ1030" s="458"/>
      <c r="BA1030" s="1305"/>
      <c r="BC1030" s="169"/>
    </row>
    <row r="1031" spans="19:55" ht="15.75" customHeight="1">
      <c r="S1031" s="454"/>
      <c r="AN1031" s="458"/>
      <c r="AY1031" s="458"/>
      <c r="AZ1031" s="458"/>
      <c r="BA1031" s="1305"/>
      <c r="BC1031" s="169"/>
    </row>
    <row r="1032" spans="19:55" ht="15.75" customHeight="1">
      <c r="S1032" s="454"/>
      <c r="AN1032" s="458"/>
      <c r="AY1032" s="458"/>
      <c r="AZ1032" s="458"/>
      <c r="BA1032" s="1305"/>
      <c r="BC1032" s="169"/>
    </row>
    <row r="1033" spans="19:55" ht="15.75" customHeight="1">
      <c r="S1033" s="454"/>
      <c r="AN1033" s="458"/>
      <c r="AY1033" s="458"/>
      <c r="AZ1033" s="458"/>
      <c r="BA1033" s="1305"/>
      <c r="BC1033" s="169"/>
    </row>
    <row r="1034" spans="19:55" ht="15.75" customHeight="1">
      <c r="S1034" s="454"/>
      <c r="AN1034" s="458"/>
      <c r="AY1034" s="458"/>
      <c r="AZ1034" s="458"/>
      <c r="BA1034" s="1305"/>
      <c r="BC1034" s="169"/>
    </row>
    <row r="1035" spans="19:55" ht="15.75" customHeight="1">
      <c r="S1035" s="454"/>
      <c r="AN1035" s="458"/>
      <c r="AY1035" s="458"/>
      <c r="AZ1035" s="458"/>
      <c r="BA1035" s="1305"/>
      <c r="BC1035" s="169"/>
    </row>
    <row r="1036" spans="19:55" ht="15.75" customHeight="1">
      <c r="S1036" s="454"/>
      <c r="AN1036" s="458"/>
      <c r="AY1036" s="458"/>
      <c r="AZ1036" s="458"/>
      <c r="BA1036" s="1305"/>
      <c r="BC1036" s="169"/>
    </row>
    <row r="1037" spans="19:55" ht="15.75" customHeight="1">
      <c r="S1037" s="454"/>
      <c r="AN1037" s="458"/>
      <c r="AY1037" s="458"/>
      <c r="AZ1037" s="458"/>
      <c r="BA1037" s="1305"/>
      <c r="BC1037" s="169"/>
    </row>
    <row r="1038" spans="19:55" ht="15.75" customHeight="1">
      <c r="S1038" s="454"/>
      <c r="AN1038" s="458"/>
      <c r="AY1038" s="458"/>
      <c r="AZ1038" s="458"/>
      <c r="BA1038" s="1305"/>
      <c r="BC1038" s="169"/>
    </row>
    <row r="1039" spans="19:55" ht="15.75" customHeight="1">
      <c r="S1039" s="454"/>
      <c r="AN1039" s="458"/>
      <c r="AY1039" s="458"/>
      <c r="AZ1039" s="458"/>
      <c r="BA1039" s="1305"/>
      <c r="BC1039" s="169"/>
    </row>
    <row r="1040" spans="19:55" ht="15.75" customHeight="1">
      <c r="S1040" s="454"/>
      <c r="AN1040" s="458"/>
      <c r="AY1040" s="458"/>
      <c r="AZ1040" s="458"/>
      <c r="BA1040" s="1305"/>
      <c r="BC1040" s="169"/>
    </row>
    <row r="1041" spans="19:55" ht="15.75" customHeight="1">
      <c r="S1041" s="454"/>
      <c r="AN1041" s="458"/>
      <c r="AY1041" s="458"/>
      <c r="AZ1041" s="458"/>
      <c r="BA1041" s="1305"/>
      <c r="BC1041" s="169"/>
    </row>
    <row r="1042" spans="19:55" ht="15.75" customHeight="1">
      <c r="S1042" s="454"/>
      <c r="AN1042" s="458"/>
      <c r="AY1042" s="458"/>
      <c r="AZ1042" s="458"/>
      <c r="BA1042" s="1305"/>
      <c r="BC1042" s="169"/>
    </row>
    <row r="1043" spans="19:55" ht="15.75" customHeight="1">
      <c r="S1043" s="454"/>
      <c r="AN1043" s="458"/>
      <c r="AY1043" s="458"/>
      <c r="AZ1043" s="458"/>
      <c r="BA1043" s="1305"/>
      <c r="BC1043" s="169"/>
    </row>
    <row r="1044" spans="19:55" ht="15.75" customHeight="1">
      <c r="S1044" s="454"/>
      <c r="AN1044" s="458"/>
      <c r="AY1044" s="458"/>
      <c r="AZ1044" s="458"/>
      <c r="BA1044" s="1305"/>
      <c r="BC1044" s="169"/>
    </row>
    <row r="1045" spans="19:55" ht="15.75" customHeight="1">
      <c r="S1045" s="454"/>
      <c r="AN1045" s="458"/>
      <c r="AY1045" s="458"/>
      <c r="AZ1045" s="458"/>
      <c r="BA1045" s="1305"/>
      <c r="BC1045" s="169"/>
    </row>
    <row r="1046" spans="19:55" ht="15.75" customHeight="1">
      <c r="S1046" s="454"/>
      <c r="AN1046" s="458"/>
      <c r="AY1046" s="458"/>
      <c r="AZ1046" s="458"/>
      <c r="BA1046" s="1305"/>
      <c r="BC1046" s="169"/>
    </row>
    <row r="1047" spans="19:55" ht="15.75" customHeight="1">
      <c r="S1047" s="454"/>
      <c r="AN1047" s="458"/>
      <c r="AY1047" s="458"/>
      <c r="AZ1047" s="458"/>
      <c r="BA1047" s="1305"/>
      <c r="BC1047" s="169"/>
    </row>
    <row r="1048" spans="19:55" ht="15.75" customHeight="1">
      <c r="S1048" s="454"/>
      <c r="AN1048" s="458"/>
      <c r="AY1048" s="458"/>
      <c r="AZ1048" s="458"/>
      <c r="BA1048" s="1305"/>
      <c r="BC1048" s="169"/>
    </row>
    <row r="1049" spans="19:55" ht="15.75" customHeight="1">
      <c r="S1049" s="454"/>
      <c r="AN1049" s="458"/>
      <c r="AY1049" s="458"/>
      <c r="AZ1049" s="458"/>
      <c r="BA1049" s="1305"/>
      <c r="BC1049" s="169"/>
    </row>
    <row r="1050" spans="19:55" ht="15.75" customHeight="1">
      <c r="S1050" s="454"/>
      <c r="AN1050" s="458"/>
      <c r="AY1050" s="458"/>
      <c r="AZ1050" s="458"/>
      <c r="BA1050" s="1305"/>
      <c r="BC1050" s="169"/>
    </row>
    <row r="1051" spans="19:55" ht="15.75" customHeight="1">
      <c r="S1051" s="454"/>
      <c r="AN1051" s="458"/>
      <c r="AY1051" s="458"/>
      <c r="AZ1051" s="458"/>
      <c r="BA1051" s="1305"/>
      <c r="BC1051" s="169"/>
    </row>
    <row r="1052" spans="19:55" ht="15.75" customHeight="1">
      <c r="S1052" s="454"/>
      <c r="AN1052" s="458"/>
      <c r="AY1052" s="458"/>
      <c r="AZ1052" s="458"/>
      <c r="BA1052" s="1305"/>
      <c r="BC1052" s="169"/>
    </row>
    <row r="1053" spans="19:55" ht="15.75" customHeight="1">
      <c r="S1053" s="454"/>
      <c r="AN1053" s="458"/>
      <c r="AY1053" s="458"/>
      <c r="AZ1053" s="458"/>
      <c r="BA1053" s="1305"/>
      <c r="BC1053" s="169"/>
    </row>
    <row r="1054" spans="19:55" ht="15.75" customHeight="1">
      <c r="S1054" s="454"/>
      <c r="AN1054" s="458"/>
      <c r="AY1054" s="458"/>
      <c r="AZ1054" s="458"/>
      <c r="BA1054" s="1305"/>
      <c r="BC1054" s="169"/>
    </row>
    <row r="1055" spans="19:55" ht="15.75" customHeight="1">
      <c r="S1055" s="454"/>
      <c r="AN1055" s="458"/>
      <c r="AY1055" s="458"/>
      <c r="AZ1055" s="458"/>
      <c r="BA1055" s="1305"/>
      <c r="BC1055" s="169"/>
    </row>
    <row r="1056" spans="19:55" ht="15.75" customHeight="1">
      <c r="S1056" s="454"/>
      <c r="AN1056" s="458"/>
      <c r="AY1056" s="458"/>
      <c r="AZ1056" s="458"/>
      <c r="BA1056" s="1305"/>
      <c r="BC1056" s="169"/>
    </row>
    <row r="1057" spans="19:55" ht="15.75" customHeight="1">
      <c r="S1057" s="454"/>
      <c r="AN1057" s="458"/>
      <c r="AY1057" s="458"/>
      <c r="AZ1057" s="458"/>
      <c r="BA1057" s="1305"/>
      <c r="BC1057" s="169"/>
    </row>
    <row r="1058" spans="19:55" ht="15.75" customHeight="1">
      <c r="S1058" s="454"/>
      <c r="AN1058" s="458"/>
      <c r="AY1058" s="458"/>
      <c r="AZ1058" s="458"/>
      <c r="BA1058" s="1305"/>
      <c r="BC1058" s="169"/>
    </row>
    <row r="1059" spans="19:55" ht="15.75" customHeight="1">
      <c r="S1059" s="454"/>
      <c r="AN1059" s="458"/>
      <c r="AY1059" s="458"/>
      <c r="AZ1059" s="458"/>
      <c r="BA1059" s="1305"/>
      <c r="BC1059" s="169"/>
    </row>
    <row r="1060" spans="19:55" ht="15.75" customHeight="1">
      <c r="S1060" s="454"/>
      <c r="AN1060" s="458"/>
      <c r="AY1060" s="458"/>
      <c r="AZ1060" s="458"/>
      <c r="BA1060" s="1305"/>
      <c r="BC1060" s="169"/>
    </row>
    <row r="1061" spans="19:55" ht="15.75" customHeight="1">
      <c r="S1061" s="454"/>
      <c r="AN1061" s="458"/>
      <c r="AY1061" s="458"/>
      <c r="AZ1061" s="458"/>
      <c r="BA1061" s="1305"/>
      <c r="BC1061" s="169"/>
    </row>
    <row r="1062" spans="19:55" ht="15.75" customHeight="1">
      <c r="S1062" s="454"/>
      <c r="AN1062" s="458"/>
      <c r="AY1062" s="458"/>
      <c r="AZ1062" s="458"/>
      <c r="BA1062" s="1305"/>
      <c r="BC1062" s="169"/>
    </row>
    <row r="1063" spans="19:55" ht="15.75" customHeight="1">
      <c r="S1063" s="454"/>
      <c r="AN1063" s="458"/>
      <c r="AY1063" s="458"/>
      <c r="AZ1063" s="458"/>
      <c r="BA1063" s="1305"/>
      <c r="BC1063" s="169"/>
    </row>
    <row r="1064" spans="19:55" ht="15.75" customHeight="1">
      <c r="S1064" s="454"/>
      <c r="AN1064" s="458"/>
      <c r="AY1064" s="458"/>
      <c r="AZ1064" s="458"/>
      <c r="BA1064" s="1305"/>
      <c r="BC1064" s="169"/>
    </row>
    <row r="1065" spans="19:55" ht="15.75" customHeight="1">
      <c r="S1065" s="454"/>
      <c r="AN1065" s="458"/>
      <c r="AY1065" s="458"/>
      <c r="AZ1065" s="458"/>
      <c r="BA1065" s="1305"/>
      <c r="BC1065" s="169"/>
    </row>
    <row r="1066" spans="19:55" ht="15.75" customHeight="1">
      <c r="S1066" s="454"/>
      <c r="AN1066" s="458"/>
      <c r="AY1066" s="458"/>
      <c r="AZ1066" s="458"/>
      <c r="BA1066" s="1305"/>
      <c r="BC1066" s="169"/>
    </row>
    <row r="1067" spans="19:55" ht="15.75" customHeight="1">
      <c r="S1067" s="454"/>
      <c r="AN1067" s="458"/>
      <c r="AY1067" s="458"/>
      <c r="AZ1067" s="458"/>
      <c r="BA1067" s="1305"/>
      <c r="BC1067" s="169"/>
    </row>
    <row r="1068" spans="19:55" ht="15.75" customHeight="1">
      <c r="S1068" s="454"/>
      <c r="AN1068" s="458"/>
      <c r="AY1068" s="458"/>
      <c r="AZ1068" s="458"/>
      <c r="BA1068" s="1305"/>
      <c r="BC1068" s="169"/>
    </row>
    <row r="1069" spans="19:55" ht="15.75" customHeight="1">
      <c r="S1069" s="454"/>
      <c r="AN1069" s="458"/>
      <c r="AY1069" s="458"/>
      <c r="AZ1069" s="458"/>
      <c r="BA1069" s="1305"/>
      <c r="BC1069" s="169"/>
    </row>
    <row r="1070" spans="19:55" ht="15.75" customHeight="1">
      <c r="S1070" s="454"/>
      <c r="AN1070" s="458"/>
      <c r="AY1070" s="458"/>
      <c r="AZ1070" s="458"/>
      <c r="BA1070" s="1305"/>
      <c r="BC1070" s="169"/>
    </row>
    <row r="1071" spans="19:55" ht="15.75" customHeight="1">
      <c r="S1071" s="454"/>
      <c r="AN1071" s="458"/>
      <c r="AY1071" s="458"/>
      <c r="AZ1071" s="458"/>
      <c r="BA1071" s="1305"/>
      <c r="BC1071" s="169"/>
    </row>
    <row r="1072" spans="19:55" ht="15.75" customHeight="1">
      <c r="S1072" s="454"/>
      <c r="AN1072" s="458"/>
      <c r="AY1072" s="458"/>
      <c r="AZ1072" s="458"/>
      <c r="BA1072" s="1305"/>
      <c r="BC1072" s="169"/>
    </row>
    <row r="1073" spans="19:55" ht="15.75" customHeight="1">
      <c r="S1073" s="454"/>
      <c r="AN1073" s="458"/>
      <c r="AY1073" s="458"/>
      <c r="AZ1073" s="458"/>
      <c r="BA1073" s="1305"/>
      <c r="BC1073" s="169"/>
    </row>
    <row r="1074" spans="19:55" ht="15.75" customHeight="1">
      <c r="S1074" s="454"/>
      <c r="AN1074" s="458"/>
      <c r="AY1074" s="458"/>
      <c r="AZ1074" s="458"/>
      <c r="BA1074" s="1305"/>
      <c r="BC1074" s="169"/>
    </row>
    <row r="1075" spans="19:55" ht="15.75" customHeight="1">
      <c r="S1075" s="454"/>
      <c r="AN1075" s="458"/>
      <c r="AY1075" s="458"/>
      <c r="AZ1075" s="458"/>
      <c r="BA1075" s="1305"/>
      <c r="BC1075" s="169"/>
    </row>
    <row r="1076" spans="19:55" ht="15.75" customHeight="1">
      <c r="S1076" s="454"/>
      <c r="AN1076" s="458"/>
      <c r="AY1076" s="458"/>
      <c r="AZ1076" s="458"/>
      <c r="BA1076" s="1305"/>
      <c r="BC1076" s="169"/>
    </row>
    <row r="1077" spans="19:55" ht="15.75" customHeight="1">
      <c r="S1077" s="454"/>
      <c r="AN1077" s="458"/>
      <c r="AY1077" s="458"/>
      <c r="AZ1077" s="458"/>
      <c r="BA1077" s="1305"/>
      <c r="BC1077" s="169"/>
    </row>
    <row r="1078" spans="19:55" ht="15.75" customHeight="1">
      <c r="S1078" s="454"/>
      <c r="AN1078" s="458"/>
      <c r="AY1078" s="458"/>
      <c r="AZ1078" s="458"/>
      <c r="BA1078" s="1305"/>
      <c r="BC1078" s="169"/>
    </row>
    <row r="1079" spans="19:55" ht="15.75" customHeight="1">
      <c r="S1079" s="454"/>
      <c r="AN1079" s="458"/>
      <c r="AY1079" s="458"/>
      <c r="AZ1079" s="458"/>
      <c r="BA1079" s="1305"/>
      <c r="BC1079" s="169"/>
    </row>
    <row r="1080" spans="19:55" ht="15.75" customHeight="1">
      <c r="S1080" s="454"/>
      <c r="AN1080" s="458"/>
      <c r="AY1080" s="458"/>
      <c r="AZ1080" s="458"/>
      <c r="BA1080" s="1305"/>
      <c r="BC1080" s="169"/>
    </row>
    <row r="1081" spans="19:55" ht="15.75" customHeight="1">
      <c r="S1081" s="454"/>
      <c r="AN1081" s="458"/>
      <c r="AY1081" s="458"/>
      <c r="AZ1081" s="458"/>
      <c r="BA1081" s="1305"/>
      <c r="BC1081" s="169"/>
    </row>
    <row r="1082" spans="19:55" ht="15.75" customHeight="1">
      <c r="S1082" s="454"/>
      <c r="AN1082" s="458"/>
      <c r="AY1082" s="458"/>
      <c r="AZ1082" s="458"/>
      <c r="BA1082" s="1305"/>
      <c r="BC1082" s="169"/>
    </row>
    <row r="1083" spans="19:55" ht="15.75" customHeight="1">
      <c r="S1083" s="454"/>
      <c r="AN1083" s="458"/>
      <c r="AY1083" s="458"/>
      <c r="AZ1083" s="458"/>
      <c r="BA1083" s="1305"/>
      <c r="BC1083" s="169"/>
    </row>
    <row r="1084" spans="19:55" ht="15.75" customHeight="1">
      <c r="S1084" s="454"/>
      <c r="AN1084" s="458"/>
      <c r="AY1084" s="458"/>
      <c r="AZ1084" s="458"/>
      <c r="BA1084" s="1305"/>
      <c r="BC1084" s="169"/>
    </row>
    <row r="1085" spans="19:55" ht="15.75" customHeight="1">
      <c r="S1085" s="454"/>
      <c r="AN1085" s="458"/>
      <c r="AY1085" s="458"/>
      <c r="AZ1085" s="458"/>
      <c r="BA1085" s="1305"/>
      <c r="BC1085" s="169"/>
    </row>
    <row r="1086" spans="19:55" ht="15.75" customHeight="1">
      <c r="S1086" s="454"/>
      <c r="AN1086" s="458"/>
      <c r="AY1086" s="458"/>
      <c r="AZ1086" s="458"/>
      <c r="BA1086" s="1305"/>
      <c r="BC1086" s="169"/>
    </row>
    <row r="1087" spans="19:55" ht="15.75" customHeight="1">
      <c r="S1087" s="454"/>
      <c r="AN1087" s="458"/>
      <c r="AY1087" s="458"/>
      <c r="AZ1087" s="458"/>
      <c r="BA1087" s="1305"/>
      <c r="BC1087" s="169"/>
    </row>
    <row r="1088" spans="19:55" ht="15.75" customHeight="1">
      <c r="S1088" s="454"/>
      <c r="AN1088" s="458"/>
      <c r="AY1088" s="458"/>
      <c r="AZ1088" s="458"/>
      <c r="BA1088" s="1305"/>
      <c r="BC1088" s="169"/>
    </row>
    <row r="1089" spans="19:55" ht="15.75" customHeight="1">
      <c r="S1089" s="454"/>
      <c r="AN1089" s="458"/>
      <c r="AY1089" s="458"/>
      <c r="AZ1089" s="458"/>
      <c r="BA1089" s="1305"/>
      <c r="BC1089" s="169"/>
    </row>
    <row r="1090" spans="19:55" ht="15.75" customHeight="1">
      <c r="S1090" s="454"/>
      <c r="AN1090" s="458"/>
      <c r="AY1090" s="458"/>
      <c r="AZ1090" s="458"/>
      <c r="BA1090" s="1305"/>
      <c r="BC1090" s="169"/>
    </row>
    <row r="1091" spans="19:55" ht="15.75" customHeight="1">
      <c r="S1091" s="454"/>
      <c r="AN1091" s="458"/>
      <c r="AY1091" s="458"/>
      <c r="AZ1091" s="458"/>
      <c r="BA1091" s="1305"/>
      <c r="BC1091" s="169"/>
    </row>
    <row r="1092" spans="19:55" ht="15.75" customHeight="1">
      <c r="S1092" s="454"/>
      <c r="AN1092" s="458"/>
      <c r="AY1092" s="458"/>
      <c r="AZ1092" s="458"/>
      <c r="BA1092" s="1305"/>
      <c r="BC1092" s="169"/>
    </row>
    <row r="1093" spans="19:55" ht="15.75" customHeight="1">
      <c r="S1093" s="454"/>
      <c r="AN1093" s="458"/>
      <c r="AY1093" s="458"/>
      <c r="AZ1093" s="458"/>
      <c r="BA1093" s="1305"/>
      <c r="BC1093" s="169"/>
    </row>
    <row r="1094" spans="19:55" ht="15.75" customHeight="1">
      <c r="S1094" s="454"/>
      <c r="AN1094" s="458"/>
      <c r="AY1094" s="458"/>
      <c r="AZ1094" s="458"/>
      <c r="BA1094" s="1266"/>
      <c r="BC1094" s="169"/>
    </row>
    <row r="1095" spans="19:55" ht="15.75" customHeight="1">
      <c r="S1095" s="454"/>
      <c r="AN1095" s="458"/>
      <c r="AY1095" s="458"/>
      <c r="AZ1095" s="458"/>
      <c r="BA1095" s="1266"/>
      <c r="BC1095" s="169"/>
    </row>
    <row r="1096" spans="19:55" ht="15.75" customHeight="1">
      <c r="S1096" s="454"/>
      <c r="AN1096" s="458"/>
      <c r="AY1096" s="458"/>
      <c r="AZ1096" s="458"/>
      <c r="BA1096" s="1266"/>
      <c r="BC1096" s="169"/>
    </row>
    <row r="1097" spans="19:55" ht="15.75" customHeight="1">
      <c r="S1097" s="454"/>
      <c r="AN1097" s="458"/>
      <c r="AY1097" s="458"/>
      <c r="AZ1097" s="458"/>
      <c r="BA1097" s="1266"/>
      <c r="BC1097" s="169"/>
    </row>
    <row r="1098" spans="19:55" ht="15.75" customHeight="1">
      <c r="S1098" s="454"/>
      <c r="AN1098" s="458"/>
      <c r="AY1098" s="458"/>
      <c r="AZ1098" s="458"/>
      <c r="BA1098" s="1266"/>
      <c r="BC1098" s="169"/>
    </row>
    <row r="1099" spans="19:55" ht="15.75" customHeight="1">
      <c r="S1099" s="454"/>
      <c r="AN1099" s="458"/>
      <c r="AY1099" s="458"/>
      <c r="AZ1099" s="458"/>
      <c r="BA1099" s="1266"/>
      <c r="BC1099" s="169"/>
    </row>
    <row r="1100" spans="19:55" ht="15.75" customHeight="1">
      <c r="S1100" s="454"/>
      <c r="AN1100" s="458"/>
      <c r="AY1100" s="458"/>
      <c r="AZ1100" s="458"/>
      <c r="BA1100" s="1266"/>
      <c r="BC1100" s="169"/>
    </row>
    <row r="1101" spans="19:55" ht="15.75" customHeight="1">
      <c r="S1101" s="454"/>
      <c r="AN1101" s="458"/>
      <c r="AY1101" s="458"/>
      <c r="AZ1101" s="458"/>
      <c r="BA1101" s="1266"/>
      <c r="BC1101" s="169"/>
    </row>
    <row r="1102" spans="19:55" ht="15.75" customHeight="1">
      <c r="S1102" s="454"/>
      <c r="AN1102" s="458"/>
      <c r="AY1102" s="458"/>
      <c r="AZ1102" s="458"/>
      <c r="BA1102" s="1266"/>
      <c r="BC1102" s="169"/>
    </row>
    <row r="1103" spans="19:55" ht="15.75" customHeight="1">
      <c r="S1103" s="454"/>
      <c r="AN1103" s="458"/>
      <c r="AY1103" s="458"/>
      <c r="AZ1103" s="458"/>
      <c r="BA1103" s="1266"/>
      <c r="BC1103" s="169"/>
    </row>
    <row r="1104" spans="19:55" ht="15.75" customHeight="1">
      <c r="S1104" s="454"/>
      <c r="AN1104" s="458"/>
      <c r="AY1104" s="458"/>
      <c r="AZ1104" s="458"/>
      <c r="BA1104" s="1266"/>
      <c r="BC1104" s="169"/>
    </row>
    <row r="1105" spans="19:55" ht="15.75" customHeight="1">
      <c r="S1105" s="454"/>
      <c r="AN1105" s="458"/>
      <c r="AY1105" s="458"/>
      <c r="AZ1105" s="458"/>
      <c r="BA1105" s="1266"/>
      <c r="BC1105" s="169"/>
    </row>
    <row r="1106" spans="19:55" ht="15.75" customHeight="1">
      <c r="S1106" s="454"/>
      <c r="AN1106" s="458"/>
      <c r="AY1106" s="458"/>
      <c r="AZ1106" s="458"/>
      <c r="BA1106" s="1266"/>
      <c r="BC1106" s="169"/>
    </row>
    <row r="1107" spans="19:55" ht="15.75" customHeight="1">
      <c r="S1107" s="454"/>
      <c r="AN1107" s="458"/>
      <c r="AY1107" s="458"/>
      <c r="AZ1107" s="458"/>
      <c r="BA1107" s="1266"/>
      <c r="BC1107" s="169"/>
    </row>
    <row r="1108" spans="19:55" ht="15.75" customHeight="1">
      <c r="S1108" s="454"/>
      <c r="AN1108" s="458"/>
      <c r="AY1108" s="458"/>
      <c r="AZ1108" s="458"/>
      <c r="BA1108" s="1266"/>
      <c r="BC1108" s="169"/>
    </row>
    <row r="1109" spans="19:55" ht="15.75" customHeight="1">
      <c r="S1109" s="454"/>
      <c r="AN1109" s="458"/>
      <c r="AY1109" s="458"/>
      <c r="AZ1109" s="458"/>
      <c r="BA1109" s="1266"/>
      <c r="BC1109" s="169"/>
    </row>
    <row r="1110" spans="19:55" ht="15.75" customHeight="1">
      <c r="S1110" s="454"/>
      <c r="AN1110" s="458"/>
      <c r="AY1110" s="458"/>
      <c r="AZ1110" s="458"/>
      <c r="BA1110" s="1266"/>
      <c r="BC1110" s="169"/>
    </row>
    <row r="1111" spans="19:55" ht="15.75" customHeight="1">
      <c r="S1111" s="454"/>
      <c r="AN1111" s="458"/>
      <c r="AY1111" s="458"/>
      <c r="AZ1111" s="458"/>
      <c r="BA1111" s="1266"/>
      <c r="BC1111" s="169"/>
    </row>
    <row r="1112" spans="19:55" ht="15.75" customHeight="1">
      <c r="S1112" s="454"/>
      <c r="AN1112" s="458"/>
      <c r="AY1112" s="458"/>
      <c r="AZ1112" s="458"/>
      <c r="BA1112" s="1266"/>
      <c r="BC1112" s="169"/>
    </row>
    <row r="1113" spans="19:55" ht="15.75" customHeight="1">
      <c r="S1113" s="454"/>
      <c r="AN1113" s="458"/>
      <c r="AY1113" s="458"/>
      <c r="AZ1113" s="458"/>
      <c r="BA1113" s="1266"/>
      <c r="BC1113" s="169"/>
    </row>
    <row r="1114" spans="19:55" ht="15.75" customHeight="1">
      <c r="S1114" s="454"/>
      <c r="AN1114" s="458"/>
      <c r="AY1114" s="458"/>
      <c r="AZ1114" s="458"/>
      <c r="BA1114" s="1266"/>
      <c r="BC1114" s="169"/>
    </row>
    <row r="1115" spans="19:55" ht="15.75" customHeight="1">
      <c r="S1115" s="454"/>
      <c r="AN1115" s="458"/>
      <c r="AY1115" s="458"/>
      <c r="AZ1115" s="458"/>
      <c r="BA1115" s="1266"/>
      <c r="BC1115" s="169"/>
    </row>
    <row r="1116" spans="19:55" ht="15.75" customHeight="1">
      <c r="S1116" s="454"/>
      <c r="AN1116" s="458"/>
      <c r="AY1116" s="458"/>
      <c r="AZ1116" s="458"/>
      <c r="BA1116" s="1266"/>
      <c r="BC1116" s="169"/>
    </row>
    <row r="1117" spans="19:55" ht="15.75" customHeight="1">
      <c r="S1117" s="454"/>
      <c r="AN1117" s="458"/>
      <c r="AY1117" s="458"/>
      <c r="AZ1117" s="458"/>
      <c r="BA1117" s="1266"/>
      <c r="BC1117" s="169"/>
    </row>
    <row r="1118" spans="19:55" ht="15.75" customHeight="1">
      <c r="S1118" s="454"/>
      <c r="AN1118" s="458"/>
      <c r="AY1118" s="458"/>
      <c r="AZ1118" s="458"/>
      <c r="BA1118" s="1266"/>
      <c r="BC1118" s="169"/>
    </row>
    <row r="1119" spans="19:55" ht="15.75" customHeight="1">
      <c r="S1119" s="454"/>
      <c r="AN1119" s="458"/>
      <c r="AY1119" s="458"/>
      <c r="AZ1119" s="458"/>
      <c r="BA1119" s="1266"/>
      <c r="BC1119" s="169"/>
    </row>
    <row r="1120" spans="19:55" ht="15.75" customHeight="1">
      <c r="S1120" s="454"/>
      <c r="AN1120" s="458"/>
      <c r="AY1120" s="458"/>
      <c r="AZ1120" s="458"/>
      <c r="BA1120" s="1266"/>
      <c r="BC1120" s="169"/>
    </row>
    <row r="1121" spans="19:55" ht="15.75" customHeight="1">
      <c r="S1121" s="454"/>
      <c r="AN1121" s="458"/>
      <c r="AY1121" s="458"/>
      <c r="AZ1121" s="458"/>
      <c r="BA1121" s="1266"/>
      <c r="BC1121" s="169"/>
    </row>
    <row r="1122" spans="19:55" ht="15.75" customHeight="1">
      <c r="S1122" s="454"/>
      <c r="AN1122" s="458"/>
      <c r="AY1122" s="458"/>
      <c r="AZ1122" s="458"/>
      <c r="BA1122" s="1266"/>
      <c r="BC1122" s="169"/>
    </row>
    <row r="1123" spans="19:55" ht="15.75" customHeight="1">
      <c r="S1123" s="454"/>
      <c r="AN1123" s="458"/>
      <c r="AY1123" s="458"/>
      <c r="AZ1123" s="458"/>
      <c r="BA1123" s="1266"/>
      <c r="BC1123" s="169"/>
    </row>
    <row r="1124" spans="19:55" ht="15.75" customHeight="1">
      <c r="S1124" s="454"/>
      <c r="AN1124" s="458"/>
      <c r="AY1124" s="458"/>
      <c r="AZ1124" s="458"/>
      <c r="BA1124" s="1266"/>
      <c r="BC1124" s="169"/>
    </row>
    <row r="1125" spans="19:55" ht="15.75" customHeight="1">
      <c r="S1125" s="454"/>
      <c r="AN1125" s="458"/>
      <c r="AY1125" s="458"/>
      <c r="AZ1125" s="458"/>
      <c r="BA1125" s="1266"/>
      <c r="BC1125" s="169"/>
    </row>
    <row r="1126" spans="19:55" ht="15.75" customHeight="1">
      <c r="S1126" s="454"/>
      <c r="AN1126" s="458"/>
      <c r="AY1126" s="458"/>
      <c r="AZ1126" s="458"/>
      <c r="BA1126" s="1266"/>
      <c r="BC1126" s="169"/>
    </row>
    <row r="1127" spans="19:55" ht="15.75" customHeight="1">
      <c r="S1127" s="454"/>
      <c r="AN1127" s="458"/>
      <c r="AY1127" s="458"/>
      <c r="AZ1127" s="458"/>
      <c r="BA1127" s="1266"/>
      <c r="BC1127" s="169"/>
    </row>
    <row r="1128" spans="19:55" ht="15.75" customHeight="1">
      <c r="S1128" s="454"/>
      <c r="AN1128" s="458"/>
      <c r="AY1128" s="458"/>
      <c r="AZ1128" s="458"/>
      <c r="BA1128" s="1266"/>
      <c r="BC1128" s="169"/>
    </row>
    <row r="1129" spans="19:55" ht="15.75" customHeight="1">
      <c r="S1129" s="454"/>
      <c r="AN1129" s="458"/>
      <c r="AY1129" s="458"/>
      <c r="AZ1129" s="458"/>
      <c r="BA1129" s="1266"/>
      <c r="BC1129" s="169"/>
    </row>
    <row r="1130" spans="19:55" ht="15.75" customHeight="1">
      <c r="S1130" s="454"/>
      <c r="AN1130" s="458"/>
      <c r="AY1130" s="458"/>
      <c r="AZ1130" s="458"/>
      <c r="BA1130" s="1266"/>
      <c r="BC1130" s="169"/>
    </row>
    <row r="1131" spans="19:55" ht="15.75" customHeight="1">
      <c r="S1131" s="454"/>
      <c r="AN1131" s="458"/>
      <c r="AY1131" s="458"/>
      <c r="AZ1131" s="458"/>
      <c r="BA1131" s="1266"/>
      <c r="BC1131" s="169"/>
    </row>
    <row r="1132" spans="19:55" ht="15.75" customHeight="1">
      <c r="S1132" s="454"/>
      <c r="AN1132" s="458"/>
      <c r="AY1132" s="458"/>
      <c r="AZ1132" s="458"/>
      <c r="BA1132" s="1266"/>
      <c r="BC1132" s="169"/>
    </row>
    <row r="1133" spans="19:55" ht="15.75" customHeight="1">
      <c r="S1133" s="454"/>
      <c r="AN1133" s="458"/>
      <c r="AY1133" s="458"/>
      <c r="AZ1133" s="458"/>
      <c r="BA1133" s="1266"/>
      <c r="BC1133" s="169"/>
    </row>
    <row r="1134" spans="19:55" ht="15.75" customHeight="1">
      <c r="S1134" s="454"/>
      <c r="AN1134" s="458"/>
      <c r="AY1134" s="458"/>
      <c r="AZ1134" s="458"/>
      <c r="BA1134" s="1266"/>
      <c r="BC1134" s="169"/>
    </row>
    <row r="1135" spans="19:55" ht="15.75" customHeight="1">
      <c r="S1135" s="454"/>
      <c r="AN1135" s="458"/>
      <c r="AY1135" s="458"/>
      <c r="AZ1135" s="458"/>
      <c r="BA1135" s="1266"/>
      <c r="BC1135" s="169"/>
    </row>
    <row r="1136" spans="19:55" ht="15.75" customHeight="1">
      <c r="S1136" s="454"/>
      <c r="AN1136" s="458"/>
      <c r="AY1136" s="458"/>
      <c r="AZ1136" s="458"/>
      <c r="BA1136" s="1266"/>
      <c r="BC1136" s="169"/>
    </row>
    <row r="1137" spans="19:55" ht="15.75" customHeight="1">
      <c r="S1137" s="454"/>
      <c r="AN1137" s="458"/>
      <c r="AY1137" s="458"/>
      <c r="AZ1137" s="458"/>
      <c r="BA1137" s="1266"/>
      <c r="BC1137" s="169"/>
    </row>
    <row r="1138" spans="19:55" ht="15.75" customHeight="1">
      <c r="S1138" s="454"/>
      <c r="AN1138" s="458"/>
      <c r="AY1138" s="458"/>
      <c r="AZ1138" s="458"/>
      <c r="BA1138" s="1266"/>
      <c r="BC1138" s="169"/>
    </row>
    <row r="1139" spans="19:55" ht="15.75" customHeight="1">
      <c r="S1139" s="454"/>
      <c r="AN1139" s="458"/>
      <c r="AY1139" s="458"/>
      <c r="AZ1139" s="458"/>
      <c r="BA1139" s="1266"/>
      <c r="BC1139" s="169"/>
    </row>
    <row r="1140" spans="19:55" ht="15.75" customHeight="1">
      <c r="S1140" s="454"/>
      <c r="AN1140" s="458"/>
      <c r="AY1140" s="458"/>
      <c r="AZ1140" s="458"/>
      <c r="BA1140" s="1266"/>
      <c r="BC1140" s="169"/>
    </row>
    <row r="1141" spans="19:55" ht="15.75" customHeight="1">
      <c r="S1141" s="454"/>
      <c r="AN1141" s="458"/>
      <c r="AY1141" s="458"/>
      <c r="AZ1141" s="458"/>
      <c r="BA1141" s="1266"/>
      <c r="BC1141" s="169"/>
    </row>
    <row r="1142" spans="19:55" ht="15.75" customHeight="1">
      <c r="S1142" s="454"/>
      <c r="AN1142" s="458"/>
      <c r="AY1142" s="458"/>
      <c r="AZ1142" s="458"/>
      <c r="BA1142" s="1266"/>
      <c r="BC1142" s="169"/>
    </row>
    <row r="1143" spans="19:55" ht="15.75" customHeight="1">
      <c r="S1143" s="454"/>
      <c r="AN1143" s="458"/>
      <c r="AY1143" s="458"/>
      <c r="AZ1143" s="458"/>
      <c r="BA1143" s="1266"/>
      <c r="BC1143" s="169"/>
    </row>
    <row r="1144" spans="19:55" ht="15.75" customHeight="1">
      <c r="S1144" s="454"/>
      <c r="AN1144" s="458"/>
      <c r="AY1144" s="458"/>
      <c r="AZ1144" s="458"/>
      <c r="BA1144" s="1266"/>
      <c r="BC1144" s="169"/>
    </row>
    <row r="1145" spans="19:55" ht="15.75" customHeight="1">
      <c r="S1145" s="454"/>
      <c r="AN1145" s="458"/>
      <c r="AY1145" s="458"/>
      <c r="AZ1145" s="458"/>
      <c r="BA1145" s="1266"/>
      <c r="BC1145" s="169"/>
    </row>
    <row r="1146" spans="19:55" ht="15.75" customHeight="1">
      <c r="S1146" s="454"/>
      <c r="AN1146" s="458"/>
      <c r="AY1146" s="458"/>
      <c r="AZ1146" s="458"/>
      <c r="BA1146" s="1266"/>
      <c r="BC1146" s="169"/>
    </row>
    <row r="1147" spans="19:55" ht="15.75" customHeight="1">
      <c r="S1147" s="454"/>
      <c r="AN1147" s="458"/>
      <c r="AY1147" s="458"/>
      <c r="AZ1147" s="458"/>
      <c r="BA1147" s="1266"/>
      <c r="BC1147" s="169"/>
    </row>
    <row r="1148" spans="19:55" ht="15.75" customHeight="1">
      <c r="S1148" s="454"/>
      <c r="AN1148" s="458"/>
      <c r="AY1148" s="458"/>
      <c r="AZ1148" s="458"/>
      <c r="BA1148" s="1266"/>
      <c r="BC1148" s="169"/>
    </row>
    <row r="1149" spans="19:55" ht="15.75" customHeight="1">
      <c r="S1149" s="454"/>
      <c r="AN1149" s="458"/>
      <c r="AY1149" s="458"/>
      <c r="AZ1149" s="458"/>
      <c r="BA1149" s="1266"/>
      <c r="BC1149" s="169"/>
    </row>
    <row r="1150" spans="19:55" ht="15.75" customHeight="1">
      <c r="S1150" s="454"/>
      <c r="AN1150" s="458"/>
      <c r="AY1150" s="458"/>
      <c r="AZ1150" s="458"/>
      <c r="BA1150" s="1266"/>
      <c r="BC1150" s="169"/>
    </row>
    <row r="1151" spans="19:55" ht="15.75" customHeight="1">
      <c r="S1151" s="454"/>
      <c r="AN1151" s="458"/>
      <c r="AY1151" s="458"/>
      <c r="AZ1151" s="458"/>
      <c r="BA1151" s="1266"/>
      <c r="BC1151" s="169"/>
    </row>
    <row r="1152" spans="19:55" ht="15.75" customHeight="1">
      <c r="S1152" s="454"/>
      <c r="AN1152" s="458"/>
      <c r="AY1152" s="458"/>
      <c r="AZ1152" s="458"/>
      <c r="BA1152" s="1266"/>
      <c r="BC1152" s="169"/>
    </row>
    <row r="1153" spans="19:55" ht="15.75" customHeight="1">
      <c r="S1153" s="454"/>
      <c r="AN1153" s="458"/>
      <c r="AY1153" s="458"/>
      <c r="AZ1153" s="458"/>
      <c r="BA1153" s="1266"/>
      <c r="BC1153" s="169"/>
    </row>
    <row r="1154" spans="19:55" ht="15.75" customHeight="1">
      <c r="S1154" s="454"/>
      <c r="AN1154" s="458"/>
      <c r="AY1154" s="458"/>
      <c r="AZ1154" s="458"/>
      <c r="BA1154" s="1266"/>
      <c r="BC1154" s="169"/>
    </row>
    <row r="1155" spans="19:55" ht="15.75" customHeight="1">
      <c r="S1155" s="454"/>
      <c r="AN1155" s="458"/>
      <c r="AY1155" s="458"/>
      <c r="AZ1155" s="458"/>
      <c r="BA1155" s="1266"/>
      <c r="BC1155" s="169"/>
    </row>
    <row r="1156" spans="19:55" ht="15.75" customHeight="1">
      <c r="S1156" s="454"/>
      <c r="AN1156" s="458"/>
      <c r="AY1156" s="458"/>
      <c r="AZ1156" s="458"/>
      <c r="BA1156" s="1266"/>
      <c r="BC1156" s="169"/>
    </row>
    <row r="1157" spans="19:55" ht="15.75" customHeight="1">
      <c r="S1157" s="454"/>
      <c r="AN1157" s="458"/>
      <c r="AY1157" s="458"/>
      <c r="AZ1157" s="458"/>
      <c r="BA1157" s="1266"/>
      <c r="BC1157" s="169"/>
    </row>
    <row r="1158" spans="19:55" ht="15.75" customHeight="1">
      <c r="S1158" s="454"/>
      <c r="AN1158" s="458"/>
      <c r="AY1158" s="458"/>
      <c r="AZ1158" s="458"/>
      <c r="BA1158" s="1266"/>
      <c r="BC1158" s="169"/>
    </row>
    <row r="1159" spans="19:55" ht="15.75" customHeight="1">
      <c r="S1159" s="454"/>
      <c r="AN1159" s="458"/>
      <c r="AY1159" s="458"/>
      <c r="AZ1159" s="458"/>
      <c r="BA1159" s="1266"/>
      <c r="BC1159" s="169"/>
    </row>
    <row r="1160" spans="19:55" ht="15.75" customHeight="1">
      <c r="S1160" s="454"/>
      <c r="AN1160" s="458"/>
      <c r="AY1160" s="458"/>
      <c r="AZ1160" s="458"/>
      <c r="BA1160" s="1266"/>
      <c r="BC1160" s="169"/>
    </row>
    <row r="1161" spans="19:55" ht="15.75" customHeight="1">
      <c r="S1161" s="454"/>
      <c r="AN1161" s="458"/>
      <c r="AY1161" s="458"/>
      <c r="AZ1161" s="458"/>
      <c r="BA1161" s="1266"/>
      <c r="BC1161" s="169"/>
    </row>
    <row r="1162" spans="19:55" ht="15.75" customHeight="1">
      <c r="S1162" s="454"/>
      <c r="AN1162" s="458"/>
      <c r="AY1162" s="458"/>
      <c r="AZ1162" s="458"/>
      <c r="BA1162" s="1266"/>
      <c r="BC1162" s="169"/>
    </row>
    <row r="1163" spans="19:55" ht="15.75" customHeight="1">
      <c r="S1163" s="454"/>
      <c r="AN1163" s="458"/>
      <c r="AY1163" s="458"/>
      <c r="AZ1163" s="458"/>
      <c r="BA1163" s="1266"/>
      <c r="BC1163" s="169"/>
    </row>
    <row r="1164" spans="19:55" ht="15.75" customHeight="1">
      <c r="S1164" s="454"/>
      <c r="AN1164" s="458"/>
      <c r="AY1164" s="458"/>
      <c r="AZ1164" s="458"/>
      <c r="BA1164" s="1266"/>
      <c r="BC1164" s="169"/>
    </row>
    <row r="1165" spans="19:55" ht="15.75" customHeight="1">
      <c r="S1165" s="454"/>
      <c r="AN1165" s="458"/>
      <c r="AY1165" s="458"/>
      <c r="AZ1165" s="458"/>
      <c r="BA1165" s="1266"/>
      <c r="BC1165" s="169"/>
    </row>
    <row r="1166" spans="19:55" ht="15.75" customHeight="1">
      <c r="S1166" s="454"/>
      <c r="AN1166" s="458"/>
      <c r="AY1166" s="458"/>
      <c r="AZ1166" s="458"/>
      <c r="BA1166" s="1266"/>
      <c r="BC1166" s="169"/>
    </row>
    <row r="1167" spans="19:55" ht="15.75" customHeight="1">
      <c r="S1167" s="454"/>
      <c r="AN1167" s="458"/>
      <c r="AY1167" s="458"/>
      <c r="AZ1167" s="458"/>
      <c r="BA1167" s="1266"/>
      <c r="BC1167" s="169"/>
    </row>
    <row r="1168" spans="19:55" ht="15.75" customHeight="1">
      <c r="S1168" s="454"/>
      <c r="AN1168" s="458"/>
      <c r="AY1168" s="458"/>
      <c r="AZ1168" s="458"/>
      <c r="BA1168" s="1266"/>
      <c r="BC1168" s="169"/>
    </row>
    <row r="1169" spans="19:55" ht="15.75" customHeight="1">
      <c r="S1169" s="454"/>
      <c r="AN1169" s="458"/>
      <c r="AY1169" s="458"/>
      <c r="AZ1169" s="458"/>
      <c r="BA1169" s="1266"/>
      <c r="BC1169" s="169"/>
    </row>
    <row r="1170" spans="19:55" ht="15.75" customHeight="1">
      <c r="S1170" s="454"/>
      <c r="AN1170" s="458"/>
      <c r="AY1170" s="458"/>
      <c r="AZ1170" s="458"/>
      <c r="BA1170" s="1266"/>
      <c r="BC1170" s="169"/>
    </row>
    <row r="1171" spans="19:55" ht="15.75" customHeight="1">
      <c r="S1171" s="454"/>
      <c r="AN1171" s="458"/>
      <c r="AY1171" s="458"/>
      <c r="AZ1171" s="458"/>
      <c r="BA1171" s="1266"/>
      <c r="BC1171" s="169"/>
    </row>
    <row r="1172" spans="19:55" ht="15.75" customHeight="1">
      <c r="S1172" s="454"/>
      <c r="AN1172" s="458"/>
      <c r="AY1172" s="458"/>
      <c r="AZ1172" s="458"/>
      <c r="BA1172" s="1266"/>
      <c r="BC1172" s="169"/>
    </row>
    <row r="1173" spans="19:55" ht="15.75" customHeight="1">
      <c r="S1173" s="454"/>
      <c r="AN1173" s="458"/>
      <c r="AY1173" s="458"/>
      <c r="AZ1173" s="458"/>
      <c r="BA1173" s="1266"/>
      <c r="BC1173" s="169"/>
    </row>
    <row r="1174" spans="19:55" ht="15.75" customHeight="1">
      <c r="S1174" s="454"/>
      <c r="AN1174" s="458"/>
      <c r="AY1174" s="458"/>
      <c r="AZ1174" s="458"/>
      <c r="BA1174" s="1266"/>
      <c r="BC1174" s="169"/>
    </row>
    <row r="1175" spans="19:55" ht="15.75" customHeight="1">
      <c r="S1175" s="454"/>
      <c r="AN1175" s="458"/>
      <c r="AY1175" s="458"/>
      <c r="AZ1175" s="458"/>
      <c r="BA1175" s="1266"/>
      <c r="BC1175" s="169"/>
    </row>
    <row r="1176" spans="19:55" ht="15.75" customHeight="1">
      <c r="S1176" s="454"/>
      <c r="AN1176" s="458"/>
      <c r="AY1176" s="458"/>
      <c r="AZ1176" s="458"/>
      <c r="BA1176" s="1266"/>
      <c r="BC1176" s="169"/>
    </row>
    <row r="1177" spans="19:55" ht="15.75" customHeight="1">
      <c r="S1177" s="454"/>
      <c r="AN1177" s="458"/>
      <c r="AY1177" s="458"/>
      <c r="AZ1177" s="458"/>
      <c r="BA1177" s="1266"/>
      <c r="BC1177" s="169"/>
    </row>
    <row r="1178" spans="19:55" ht="15.75" customHeight="1">
      <c r="S1178" s="454"/>
      <c r="AN1178" s="458"/>
      <c r="AY1178" s="458"/>
      <c r="AZ1178" s="458"/>
      <c r="BA1178" s="1266"/>
      <c r="BC1178" s="169"/>
    </row>
    <row r="1179" spans="19:55" ht="15.75" customHeight="1">
      <c r="S1179" s="454"/>
      <c r="AN1179" s="458"/>
      <c r="AY1179" s="458"/>
      <c r="AZ1179" s="458"/>
      <c r="BA1179" s="1266"/>
      <c r="BC1179" s="169"/>
    </row>
    <row r="1180" spans="19:55" ht="15.75" customHeight="1">
      <c r="S1180" s="454"/>
      <c r="AN1180" s="458"/>
      <c r="AY1180" s="458"/>
      <c r="AZ1180" s="458"/>
      <c r="BA1180" s="1266"/>
      <c r="BC1180" s="169"/>
    </row>
    <row r="1181" spans="19:55" ht="15.75" customHeight="1">
      <c r="S1181" s="454"/>
      <c r="AN1181" s="458"/>
      <c r="AY1181" s="458"/>
      <c r="AZ1181" s="458"/>
      <c r="BA1181" s="1266"/>
      <c r="BC1181" s="169"/>
    </row>
    <row r="1182" spans="19:55" ht="15.75" customHeight="1">
      <c r="S1182" s="454"/>
      <c r="AN1182" s="458"/>
      <c r="AY1182" s="458"/>
      <c r="AZ1182" s="458"/>
      <c r="BA1182" s="1266"/>
      <c r="BC1182" s="169"/>
    </row>
    <row r="1183" spans="19:55" ht="15.75" customHeight="1">
      <c r="S1183" s="454"/>
      <c r="AN1183" s="458"/>
      <c r="AY1183" s="458"/>
      <c r="AZ1183" s="458"/>
      <c r="BA1183" s="1266"/>
      <c r="BC1183" s="169"/>
    </row>
    <row r="1184" spans="19:55" ht="15.75" customHeight="1">
      <c r="S1184" s="454"/>
      <c r="AN1184" s="458"/>
      <c r="AY1184" s="458"/>
      <c r="AZ1184" s="458"/>
      <c r="BA1184" s="1266"/>
      <c r="BC1184" s="169"/>
    </row>
    <row r="1185" spans="19:55" ht="15.75" customHeight="1">
      <c r="S1185" s="454"/>
      <c r="AN1185" s="458"/>
      <c r="AY1185" s="458"/>
      <c r="AZ1185" s="458"/>
      <c r="BA1185" s="1266"/>
      <c r="BC1185" s="169"/>
    </row>
    <row r="1186" spans="19:55" ht="15.75" customHeight="1">
      <c r="S1186" s="454"/>
      <c r="AN1186" s="458"/>
      <c r="AY1186" s="458"/>
      <c r="AZ1186" s="458"/>
      <c r="BA1186" s="1266"/>
      <c r="BC1186" s="169"/>
    </row>
    <row r="1187" spans="19:55" ht="15.75" customHeight="1">
      <c r="S1187" s="454"/>
      <c r="AN1187" s="458"/>
      <c r="AY1187" s="458"/>
      <c r="AZ1187" s="458"/>
      <c r="BA1187" s="1266"/>
      <c r="BC1187" s="169"/>
    </row>
    <row r="1188" spans="19:55" ht="15.75" customHeight="1">
      <c r="S1188" s="454"/>
      <c r="AN1188" s="458"/>
      <c r="AY1188" s="458"/>
      <c r="AZ1188" s="458"/>
      <c r="BA1188" s="1266"/>
      <c r="BC1188" s="169"/>
    </row>
    <row r="1189" spans="19:55" ht="15.75" customHeight="1">
      <c r="S1189" s="454"/>
      <c r="AN1189" s="458"/>
      <c r="AY1189" s="458"/>
      <c r="AZ1189" s="458"/>
      <c r="BA1189" s="1266"/>
      <c r="BC1189" s="169"/>
    </row>
    <row r="1190" spans="19:55" ht="15.75" customHeight="1">
      <c r="S1190" s="454"/>
      <c r="AN1190" s="458"/>
      <c r="AY1190" s="458"/>
      <c r="AZ1190" s="458"/>
      <c r="BA1190" s="1266"/>
      <c r="BC1190" s="169"/>
    </row>
    <row r="1191" spans="19:55" ht="15.75" customHeight="1">
      <c r="S1191" s="454"/>
      <c r="AN1191" s="458"/>
      <c r="AY1191" s="458"/>
      <c r="AZ1191" s="458"/>
      <c r="BA1191" s="1266"/>
      <c r="BC1191" s="169"/>
    </row>
    <row r="1192" spans="19:55" ht="15.75" customHeight="1">
      <c r="S1192" s="454"/>
      <c r="AN1192" s="458"/>
      <c r="AY1192" s="458"/>
      <c r="AZ1192" s="458"/>
      <c r="BA1192" s="1266"/>
      <c r="BC1192" s="169"/>
    </row>
    <row r="1193" spans="19:55" ht="15.75" customHeight="1">
      <c r="S1193" s="454"/>
      <c r="AN1193" s="458"/>
      <c r="AY1193" s="458"/>
      <c r="AZ1193" s="458"/>
      <c r="BA1193" s="1266"/>
      <c r="BC1193" s="169"/>
    </row>
    <row r="1194" spans="19:55" ht="15.75" customHeight="1">
      <c r="S1194" s="454"/>
      <c r="AN1194" s="458"/>
      <c r="AY1194" s="458"/>
      <c r="AZ1194" s="458"/>
      <c r="BA1194" s="1266"/>
      <c r="BC1194" s="169"/>
    </row>
    <row r="1195" spans="19:55" ht="15.75" customHeight="1">
      <c r="S1195" s="454"/>
      <c r="AN1195" s="458"/>
      <c r="AY1195" s="458"/>
      <c r="AZ1195" s="458"/>
      <c r="BA1195" s="1266"/>
      <c r="BC1195" s="169"/>
    </row>
    <row r="1196" spans="19:55" ht="15.75" customHeight="1">
      <c r="S1196" s="454"/>
      <c r="AN1196" s="458"/>
      <c r="AY1196" s="458"/>
      <c r="AZ1196" s="458"/>
      <c r="BA1196" s="1266"/>
      <c r="BC1196" s="169"/>
    </row>
    <row r="1197" spans="19:55" ht="15.75" customHeight="1">
      <c r="S1197" s="454"/>
      <c r="AN1197" s="458"/>
      <c r="AY1197" s="458"/>
      <c r="AZ1197" s="458"/>
      <c r="BA1197" s="1266"/>
      <c r="BC1197" s="169"/>
    </row>
    <row r="1198" spans="19:55" ht="15.75" customHeight="1">
      <c r="S1198" s="454"/>
      <c r="AN1198" s="458"/>
      <c r="AY1198" s="458"/>
      <c r="AZ1198" s="458"/>
      <c r="BA1198" s="1266"/>
      <c r="BC1198" s="169"/>
    </row>
    <row r="1199" spans="19:55" ht="15.75" customHeight="1">
      <c r="S1199" s="454"/>
      <c r="AN1199" s="458"/>
      <c r="AY1199" s="458"/>
      <c r="AZ1199" s="458"/>
      <c r="BA1199" s="1266"/>
      <c r="BC1199" s="169"/>
    </row>
    <row r="1200" spans="19:55" ht="15.75" customHeight="1">
      <c r="S1200" s="454"/>
      <c r="AN1200" s="458"/>
      <c r="AY1200" s="458"/>
      <c r="AZ1200" s="458"/>
      <c r="BA1200" s="1266"/>
      <c r="BC1200" s="169"/>
    </row>
    <row r="1201" spans="19:55" ht="15.75" customHeight="1">
      <c r="S1201" s="454"/>
      <c r="AN1201" s="458"/>
      <c r="AY1201" s="458"/>
      <c r="AZ1201" s="458"/>
      <c r="BA1201" s="1266"/>
      <c r="BC1201" s="169"/>
    </row>
    <row r="1202" spans="19:55" ht="15.75" customHeight="1">
      <c r="S1202" s="454"/>
      <c r="AN1202" s="458"/>
      <c r="AY1202" s="458"/>
      <c r="AZ1202" s="458"/>
      <c r="BA1202" s="1266"/>
      <c r="BC1202" s="169"/>
    </row>
    <row r="1203" spans="19:55" ht="15.75" customHeight="1">
      <c r="S1203" s="454"/>
      <c r="AN1203" s="458"/>
      <c r="AY1203" s="458"/>
      <c r="AZ1203" s="458"/>
      <c r="BA1203" s="1266"/>
      <c r="BC1203" s="169"/>
    </row>
    <row r="1204" spans="19:55" ht="15.75" customHeight="1">
      <c r="S1204" s="454"/>
      <c r="AN1204" s="458"/>
      <c r="AY1204" s="458"/>
      <c r="AZ1204" s="458"/>
      <c r="BA1204" s="1266"/>
      <c r="BC1204" s="169"/>
    </row>
    <row r="1205" spans="19:55" ht="15.75" customHeight="1">
      <c r="S1205" s="454"/>
      <c r="AN1205" s="458"/>
      <c r="AY1205" s="458"/>
      <c r="AZ1205" s="458"/>
      <c r="BA1205" s="1266"/>
      <c r="BC1205" s="169"/>
    </row>
    <row r="1206" spans="19:55" ht="15.75" customHeight="1">
      <c r="S1206" s="454"/>
      <c r="AN1206" s="458"/>
      <c r="AY1206" s="458"/>
      <c r="AZ1206" s="458"/>
      <c r="BA1206" s="1266"/>
      <c r="BC1206" s="169"/>
    </row>
    <row r="1207" spans="19:55" ht="15.75" customHeight="1">
      <c r="S1207" s="454"/>
      <c r="AN1207" s="458"/>
      <c r="AY1207" s="458"/>
      <c r="AZ1207" s="458"/>
      <c r="BA1207" s="1266"/>
      <c r="BC1207" s="169"/>
    </row>
    <row r="1208" spans="19:55" ht="15.75" customHeight="1">
      <c r="S1208" s="454"/>
      <c r="AN1208" s="458"/>
      <c r="AY1208" s="458"/>
      <c r="AZ1208" s="458"/>
      <c r="BA1208" s="1266"/>
      <c r="BC1208" s="169"/>
    </row>
    <row r="1209" spans="19:55" ht="15.75" customHeight="1">
      <c r="S1209" s="454"/>
      <c r="AN1209" s="458"/>
      <c r="AY1209" s="458"/>
      <c r="AZ1209" s="458"/>
      <c r="BA1209" s="1266"/>
      <c r="BC1209" s="169"/>
    </row>
    <row r="1210" spans="19:55" ht="15.75" customHeight="1">
      <c r="S1210" s="454"/>
      <c r="AN1210" s="458"/>
      <c r="AY1210" s="458"/>
      <c r="AZ1210" s="458"/>
      <c r="BA1210" s="1266"/>
      <c r="BC1210" s="169"/>
    </row>
    <row r="1211" spans="19:55" ht="15.75" customHeight="1">
      <c r="S1211" s="454"/>
      <c r="AN1211" s="458"/>
      <c r="AY1211" s="458"/>
      <c r="AZ1211" s="458"/>
      <c r="BA1211" s="1266"/>
      <c r="BC1211" s="169"/>
    </row>
    <row r="1212" spans="19:55" ht="15.75" customHeight="1">
      <c r="S1212" s="454"/>
      <c r="AN1212" s="458"/>
      <c r="AY1212" s="458"/>
      <c r="AZ1212" s="458"/>
      <c r="BA1212" s="1266"/>
      <c r="BC1212" s="169"/>
    </row>
    <row r="1213" spans="19:55" ht="15.75" customHeight="1">
      <c r="S1213" s="454"/>
      <c r="AN1213" s="458"/>
      <c r="AY1213" s="458"/>
      <c r="AZ1213" s="458"/>
      <c r="BA1213" s="1266"/>
      <c r="BC1213" s="169"/>
    </row>
    <row r="1214" spans="19:55" ht="15.75" customHeight="1">
      <c r="S1214" s="454"/>
      <c r="AN1214" s="458"/>
      <c r="AY1214" s="458"/>
      <c r="AZ1214" s="458"/>
      <c r="BA1214" s="1266"/>
      <c r="BC1214" s="169"/>
    </row>
    <row r="1215" spans="19:55" ht="15.75" customHeight="1">
      <c r="S1215" s="454"/>
      <c r="AN1215" s="458"/>
      <c r="AY1215" s="458"/>
      <c r="AZ1215" s="458"/>
      <c r="BA1215" s="1266"/>
      <c r="BC1215" s="169"/>
    </row>
    <row r="1216" spans="19:55" ht="15.75" customHeight="1">
      <c r="S1216" s="454"/>
      <c r="AN1216" s="458"/>
      <c r="AY1216" s="458"/>
      <c r="AZ1216" s="458"/>
      <c r="BA1216" s="1266"/>
      <c r="BC1216" s="169"/>
    </row>
    <row r="1217" spans="19:55" ht="15.75" customHeight="1">
      <c r="S1217" s="454"/>
      <c r="AN1217" s="458"/>
      <c r="AY1217" s="458"/>
      <c r="AZ1217" s="458"/>
      <c r="BA1217" s="1266"/>
      <c r="BC1217" s="169"/>
    </row>
    <row r="1218" spans="19:55" ht="15.75" customHeight="1">
      <c r="S1218" s="454"/>
      <c r="AN1218" s="458"/>
      <c r="AY1218" s="458"/>
      <c r="AZ1218" s="458"/>
      <c r="BA1218" s="1266"/>
      <c r="BC1218" s="169"/>
    </row>
    <row r="1219" spans="19:55" ht="15.75" customHeight="1">
      <c r="S1219" s="454"/>
      <c r="AN1219" s="458"/>
      <c r="AY1219" s="458"/>
      <c r="AZ1219" s="458"/>
      <c r="BA1219" s="1266"/>
      <c r="BC1219" s="169"/>
    </row>
    <row r="1220" spans="19:55" ht="15.75" customHeight="1">
      <c r="S1220" s="454"/>
      <c r="AN1220" s="458"/>
      <c r="AY1220" s="458"/>
      <c r="AZ1220" s="458"/>
      <c r="BA1220" s="1266"/>
      <c r="BC1220" s="169"/>
    </row>
    <row r="1221" spans="19:55" ht="15.75" customHeight="1">
      <c r="S1221" s="454"/>
      <c r="AN1221" s="458"/>
      <c r="AY1221" s="458"/>
      <c r="AZ1221" s="458"/>
      <c r="BA1221" s="1266"/>
      <c r="BC1221" s="169"/>
    </row>
    <row r="1222" spans="19:55" ht="15.75" customHeight="1">
      <c r="S1222" s="454"/>
      <c r="AN1222" s="458"/>
      <c r="AY1222" s="458"/>
      <c r="AZ1222" s="458"/>
      <c r="BA1222" s="1266"/>
      <c r="BC1222" s="169"/>
    </row>
    <row r="1223" spans="19:55" ht="15.75" customHeight="1">
      <c r="S1223" s="454"/>
      <c r="AN1223" s="458"/>
      <c r="AY1223" s="458"/>
      <c r="AZ1223" s="458"/>
      <c r="BA1223" s="1266"/>
      <c r="BC1223" s="169"/>
    </row>
    <row r="1224" spans="19:55" ht="15.75" customHeight="1">
      <c r="S1224" s="454"/>
      <c r="AN1224" s="458"/>
      <c r="AY1224" s="458"/>
      <c r="AZ1224" s="458"/>
      <c r="BA1224" s="1266"/>
      <c r="BC1224" s="169"/>
    </row>
    <row r="1225" spans="19:55" ht="15.75" customHeight="1">
      <c r="S1225" s="454"/>
      <c r="AN1225" s="458"/>
      <c r="AY1225" s="458"/>
      <c r="AZ1225" s="458"/>
      <c r="BA1225" s="1266"/>
      <c r="BC1225" s="169"/>
    </row>
    <row r="1226" spans="19:55" ht="15.75" customHeight="1">
      <c r="S1226" s="454"/>
      <c r="AN1226" s="458"/>
      <c r="AY1226" s="458"/>
      <c r="AZ1226" s="458"/>
      <c r="BA1226" s="1266"/>
      <c r="BC1226" s="169"/>
    </row>
    <row r="1227" spans="19:55" ht="15.75" customHeight="1">
      <c r="S1227" s="454"/>
      <c r="AN1227" s="458"/>
      <c r="AY1227" s="458"/>
      <c r="AZ1227" s="458"/>
      <c r="BA1227" s="1266"/>
      <c r="BC1227" s="169"/>
    </row>
    <row r="1228" spans="19:55" ht="15.75" customHeight="1">
      <c r="S1228" s="454"/>
      <c r="AN1228" s="458"/>
      <c r="AY1228" s="458"/>
      <c r="AZ1228" s="458"/>
      <c r="BA1228" s="1266"/>
      <c r="BC1228" s="169"/>
    </row>
    <row r="1229" spans="19:55" ht="15.75" customHeight="1">
      <c r="S1229" s="454"/>
      <c r="AN1229" s="458"/>
      <c r="AY1229" s="458"/>
      <c r="AZ1229" s="458"/>
      <c r="BA1229" s="1266"/>
      <c r="BC1229" s="169"/>
    </row>
    <row r="1230" spans="19:55" ht="15.75" customHeight="1">
      <c r="S1230" s="454"/>
      <c r="AN1230" s="458"/>
      <c r="AY1230" s="458"/>
      <c r="AZ1230" s="458"/>
      <c r="BA1230" s="1266"/>
      <c r="BC1230" s="169"/>
    </row>
    <row r="1231" spans="19:55" ht="15.75" customHeight="1">
      <c r="S1231" s="454"/>
      <c r="AN1231" s="458"/>
      <c r="AY1231" s="458"/>
      <c r="AZ1231" s="458"/>
      <c r="BA1231" s="1266"/>
      <c r="BC1231" s="169"/>
    </row>
    <row r="1232" spans="19:55" ht="15.75" customHeight="1">
      <c r="S1232" s="454"/>
      <c r="AN1232" s="458"/>
      <c r="AY1232" s="458"/>
      <c r="AZ1232" s="458"/>
      <c r="BA1232" s="1266"/>
      <c r="BC1232" s="169"/>
    </row>
    <row r="1233" spans="19:55" ht="15.75" customHeight="1">
      <c r="S1233" s="454"/>
      <c r="AN1233" s="458"/>
      <c r="AY1233" s="458"/>
      <c r="AZ1233" s="458"/>
      <c r="BA1233" s="1266"/>
      <c r="BC1233" s="169"/>
    </row>
    <row r="1234" spans="19:55" ht="15.75" customHeight="1">
      <c r="S1234" s="454"/>
      <c r="AN1234" s="458"/>
      <c r="AY1234" s="458"/>
      <c r="AZ1234" s="458"/>
      <c r="BA1234" s="1266"/>
      <c r="BC1234" s="169"/>
    </row>
    <row r="1235" spans="19:55" ht="15.75" customHeight="1">
      <c r="S1235" s="454"/>
      <c r="AN1235" s="458"/>
      <c r="AY1235" s="458"/>
      <c r="AZ1235" s="458"/>
      <c r="BA1235" s="1266"/>
      <c r="BC1235" s="169"/>
    </row>
    <row r="1236" spans="19:55" ht="15.75" customHeight="1">
      <c r="S1236" s="454"/>
      <c r="AN1236" s="458"/>
      <c r="AY1236" s="458"/>
      <c r="AZ1236" s="458"/>
      <c r="BA1236" s="1266"/>
      <c r="BC1236" s="169"/>
    </row>
    <row r="1237" spans="19:55" ht="15.75" customHeight="1">
      <c r="S1237" s="454"/>
      <c r="AN1237" s="458"/>
      <c r="AY1237" s="458"/>
      <c r="AZ1237" s="458"/>
      <c r="BA1237" s="1266"/>
      <c r="BC1237" s="169"/>
    </row>
    <row r="1238" spans="19:55" ht="15.75" customHeight="1">
      <c r="S1238" s="454"/>
      <c r="AN1238" s="458"/>
      <c r="AY1238" s="458"/>
      <c r="AZ1238" s="458"/>
      <c r="BA1238" s="1266"/>
      <c r="BC1238" s="169"/>
    </row>
    <row r="1239" spans="19:55" ht="15.75" customHeight="1">
      <c r="S1239" s="454"/>
      <c r="AN1239" s="458"/>
      <c r="AY1239" s="458"/>
      <c r="AZ1239" s="458"/>
      <c r="BA1239" s="1266"/>
      <c r="BC1239" s="169"/>
    </row>
    <row r="1240" spans="19:55" ht="15.75" customHeight="1">
      <c r="S1240" s="454"/>
      <c r="AN1240" s="458"/>
      <c r="AY1240" s="458"/>
      <c r="AZ1240" s="458"/>
      <c r="BA1240" s="1266"/>
      <c r="BC1240" s="169"/>
    </row>
    <row r="1241" spans="19:55" ht="15.75" customHeight="1">
      <c r="S1241" s="454"/>
      <c r="AN1241" s="458"/>
      <c r="AY1241" s="458"/>
      <c r="AZ1241" s="458"/>
      <c r="BA1241" s="1266"/>
      <c r="BC1241" s="169"/>
    </row>
    <row r="1242" spans="19:55" ht="15.75" customHeight="1">
      <c r="S1242" s="454"/>
      <c r="AN1242" s="458"/>
      <c r="AY1242" s="458"/>
      <c r="AZ1242" s="458"/>
      <c r="BA1242" s="1266"/>
      <c r="BC1242" s="169"/>
    </row>
    <row r="1243" spans="19:55" ht="15.75" customHeight="1">
      <c r="S1243" s="454"/>
      <c r="AN1243" s="458"/>
      <c r="AY1243" s="458"/>
      <c r="AZ1243" s="458"/>
      <c r="BA1243" s="1266"/>
      <c r="BC1243" s="169"/>
    </row>
    <row r="1244" spans="19:55" ht="15.75" customHeight="1">
      <c r="S1244" s="454"/>
      <c r="AN1244" s="458"/>
      <c r="AY1244" s="458"/>
      <c r="AZ1244" s="458"/>
      <c r="BA1244" s="1266"/>
      <c r="BC1244" s="169"/>
    </row>
    <row r="1245" spans="19:55" ht="15.75" customHeight="1">
      <c r="S1245" s="454"/>
      <c r="AN1245" s="458"/>
      <c r="AY1245" s="458"/>
      <c r="AZ1245" s="458"/>
      <c r="BA1245" s="1266"/>
      <c r="BC1245" s="169"/>
    </row>
    <row r="1246" spans="19:55" ht="15.75" customHeight="1">
      <c r="S1246" s="454"/>
      <c r="AN1246" s="458"/>
      <c r="AY1246" s="458"/>
      <c r="AZ1246" s="458"/>
      <c r="BA1246" s="1266"/>
      <c r="BC1246" s="169"/>
    </row>
    <row r="1247" spans="19:55" ht="15.75" customHeight="1">
      <c r="S1247" s="454"/>
      <c r="AN1247" s="458"/>
      <c r="AY1247" s="458"/>
      <c r="AZ1247" s="458"/>
      <c r="BA1247" s="1266"/>
      <c r="BC1247" s="169"/>
    </row>
    <row r="1248" spans="19:55" ht="15.75" customHeight="1">
      <c r="S1248" s="454"/>
      <c r="AN1248" s="458"/>
      <c r="AY1248" s="458"/>
      <c r="AZ1248" s="458"/>
      <c r="BA1248" s="1266"/>
      <c r="BC1248" s="169"/>
    </row>
    <row r="1249" spans="19:55" ht="15.75" customHeight="1">
      <c r="S1249" s="454"/>
      <c r="AN1249" s="458"/>
      <c r="AY1249" s="458"/>
      <c r="AZ1249" s="458"/>
      <c r="BA1249" s="1266"/>
      <c r="BC1249" s="169"/>
    </row>
    <row r="1250" spans="19:55" ht="15.75" customHeight="1">
      <c r="S1250" s="454"/>
      <c r="AN1250" s="458"/>
      <c r="AY1250" s="458"/>
      <c r="AZ1250" s="458"/>
      <c r="BA1250" s="1266"/>
      <c r="BC1250" s="169"/>
    </row>
    <row r="1251" spans="19:55" ht="15.75" customHeight="1">
      <c r="S1251" s="454"/>
      <c r="AN1251" s="458"/>
      <c r="AY1251" s="458"/>
      <c r="AZ1251" s="458"/>
      <c r="BA1251" s="1266"/>
      <c r="BC1251" s="169"/>
    </row>
    <row r="1252" spans="19:55" ht="15.75" customHeight="1">
      <c r="S1252" s="454"/>
      <c r="AN1252" s="458"/>
      <c r="AY1252" s="458"/>
      <c r="AZ1252" s="458"/>
      <c r="BA1252" s="1266"/>
      <c r="BC1252" s="169"/>
    </row>
    <row r="1253" spans="19:55" ht="15.75" customHeight="1">
      <c r="S1253" s="454"/>
      <c r="AN1253" s="458"/>
      <c r="AY1253" s="458"/>
      <c r="AZ1253" s="458"/>
      <c r="BA1253" s="1266"/>
      <c r="BC1253" s="169"/>
    </row>
    <row r="1254" spans="19:55" ht="15.75" customHeight="1">
      <c r="S1254" s="454"/>
      <c r="AN1254" s="458"/>
      <c r="AY1254" s="458"/>
      <c r="AZ1254" s="458"/>
      <c r="BA1254" s="1266"/>
      <c r="BC1254" s="169"/>
    </row>
    <row r="1255" spans="19:55" ht="15.75" customHeight="1">
      <c r="S1255" s="454"/>
      <c r="AN1255" s="458"/>
      <c r="AY1255" s="458"/>
      <c r="AZ1255" s="458"/>
      <c r="BA1255" s="1266"/>
      <c r="BC1255" s="169"/>
    </row>
    <row r="1256" spans="19:55" ht="15.75" customHeight="1">
      <c r="S1256" s="454"/>
      <c r="AN1256" s="458"/>
      <c r="AY1256" s="458"/>
      <c r="AZ1256" s="458"/>
      <c r="BA1256" s="1266"/>
      <c r="BC1256" s="169"/>
    </row>
    <row r="1257" spans="19:55" ht="15.75" customHeight="1">
      <c r="S1257" s="454"/>
      <c r="AN1257" s="458"/>
      <c r="AY1257" s="458"/>
      <c r="AZ1257" s="458"/>
      <c r="BA1257" s="1266"/>
      <c r="BC1257" s="169"/>
    </row>
    <row r="1258" spans="19:55" ht="15.75" customHeight="1">
      <c r="S1258" s="454"/>
      <c r="AN1258" s="458"/>
      <c r="AY1258" s="458"/>
      <c r="AZ1258" s="458"/>
      <c r="BA1258" s="1266"/>
      <c r="BC1258" s="169"/>
    </row>
    <row r="1259" spans="19:55" ht="15.75" customHeight="1">
      <c r="S1259" s="454"/>
      <c r="AN1259" s="458"/>
      <c r="AY1259" s="458"/>
      <c r="AZ1259" s="458"/>
      <c r="BA1259" s="1266"/>
      <c r="BC1259" s="169"/>
    </row>
    <row r="1260" spans="19:55" ht="15.75" customHeight="1">
      <c r="S1260" s="454"/>
      <c r="AN1260" s="458"/>
      <c r="AY1260" s="458"/>
      <c r="AZ1260" s="458"/>
      <c r="BA1260" s="1266"/>
      <c r="BC1260" s="169"/>
    </row>
    <row r="1261" spans="19:55" ht="15.75" customHeight="1">
      <c r="S1261" s="454"/>
      <c r="AN1261" s="458"/>
      <c r="AY1261" s="458"/>
      <c r="AZ1261" s="458"/>
      <c r="BA1261" s="1266"/>
      <c r="BC1261" s="169"/>
    </row>
    <row r="1262" spans="19:55" ht="15.75" customHeight="1">
      <c r="S1262" s="454"/>
      <c r="AN1262" s="458"/>
      <c r="AY1262" s="458"/>
      <c r="AZ1262" s="458"/>
      <c r="BA1262" s="1266"/>
      <c r="BC1262" s="169"/>
    </row>
    <row r="1263" spans="19:55" ht="15.75" customHeight="1">
      <c r="S1263" s="454"/>
      <c r="AN1263" s="458"/>
      <c r="AY1263" s="458"/>
      <c r="AZ1263" s="458"/>
      <c r="BA1263" s="1266"/>
      <c r="BC1263" s="169"/>
    </row>
    <row r="1264" spans="19:55" ht="15.75" customHeight="1">
      <c r="S1264" s="454"/>
      <c r="AN1264" s="458"/>
      <c r="AY1264" s="458"/>
      <c r="AZ1264" s="458"/>
      <c r="BA1264" s="1266"/>
      <c r="BC1264" s="169"/>
    </row>
    <row r="1265" spans="19:55" ht="15.75" customHeight="1">
      <c r="S1265" s="454"/>
      <c r="AN1265" s="458"/>
      <c r="AY1265" s="458"/>
      <c r="AZ1265" s="458"/>
      <c r="BA1265" s="1266"/>
      <c r="BC1265" s="169"/>
    </row>
    <row r="1266" spans="19:55" ht="15.75" customHeight="1">
      <c r="S1266" s="454"/>
      <c r="AN1266" s="458"/>
      <c r="AY1266" s="458"/>
      <c r="AZ1266" s="458"/>
      <c r="BA1266" s="1266"/>
      <c r="BC1266" s="169"/>
    </row>
    <row r="1267" spans="19:55" ht="15.75" customHeight="1">
      <c r="S1267" s="454"/>
      <c r="AN1267" s="458"/>
      <c r="AY1267" s="458"/>
      <c r="AZ1267" s="458"/>
      <c r="BA1267" s="1266"/>
      <c r="BC1267" s="169"/>
    </row>
    <row r="1268" spans="19:55" ht="15.75" customHeight="1">
      <c r="S1268" s="454"/>
      <c r="AN1268" s="458"/>
      <c r="AY1268" s="458"/>
      <c r="AZ1268" s="458"/>
      <c r="BA1268" s="1266"/>
      <c r="BC1268" s="169"/>
    </row>
    <row r="1269" spans="19:55" ht="15.75" customHeight="1">
      <c r="S1269" s="454"/>
      <c r="AN1269" s="458"/>
      <c r="AY1269" s="458"/>
      <c r="AZ1269" s="458"/>
      <c r="BA1269" s="1266"/>
      <c r="BC1269" s="169"/>
    </row>
    <row r="1270" spans="19:55" ht="15.75" customHeight="1">
      <c r="S1270" s="454"/>
      <c r="AN1270" s="458"/>
      <c r="AY1270" s="458"/>
      <c r="AZ1270" s="458"/>
      <c r="BA1270" s="1266"/>
      <c r="BC1270" s="169"/>
    </row>
    <row r="1271" spans="19:55" ht="15.75" customHeight="1">
      <c r="S1271" s="454"/>
      <c r="AN1271" s="458"/>
      <c r="AY1271" s="458"/>
      <c r="AZ1271" s="458"/>
      <c r="BA1271" s="1266"/>
      <c r="BC1271" s="169"/>
    </row>
    <row r="1272" spans="19:55" ht="15.75" customHeight="1">
      <c r="S1272" s="454"/>
      <c r="AN1272" s="458"/>
      <c r="AY1272" s="458"/>
      <c r="AZ1272" s="458"/>
      <c r="BA1272" s="1266"/>
      <c r="BC1272" s="169"/>
    </row>
    <row r="1273" spans="19:55" ht="15.75" customHeight="1">
      <c r="S1273" s="454"/>
      <c r="AN1273" s="458"/>
      <c r="AY1273" s="458"/>
      <c r="AZ1273" s="458"/>
      <c r="BA1273" s="1266"/>
      <c r="BC1273" s="169"/>
    </row>
    <row r="1274" spans="19:55" ht="15.75" customHeight="1">
      <c r="S1274" s="454"/>
      <c r="AN1274" s="458"/>
      <c r="AY1274" s="458"/>
      <c r="AZ1274" s="458"/>
      <c r="BA1274" s="1266"/>
      <c r="BC1274" s="169"/>
    </row>
    <row r="1275" spans="19:55" ht="15.75" customHeight="1">
      <c r="S1275" s="454"/>
      <c r="AN1275" s="458"/>
      <c r="AY1275" s="458"/>
      <c r="AZ1275" s="458"/>
      <c r="BA1275" s="1266"/>
      <c r="BC1275" s="169"/>
    </row>
    <row r="1276" spans="19:55" ht="15.75" customHeight="1">
      <c r="S1276" s="454"/>
      <c r="AN1276" s="458"/>
      <c r="AY1276" s="458"/>
      <c r="AZ1276" s="458"/>
      <c r="BA1276" s="1266"/>
      <c r="BC1276" s="169"/>
    </row>
    <row r="1277" spans="19:55" ht="15.75" customHeight="1">
      <c r="S1277" s="454"/>
      <c r="AN1277" s="458"/>
      <c r="AY1277" s="458"/>
      <c r="AZ1277" s="458"/>
      <c r="BA1277" s="1266"/>
      <c r="BC1277" s="169"/>
    </row>
    <row r="1278" spans="19:55" ht="15.75" customHeight="1">
      <c r="S1278" s="454"/>
      <c r="AN1278" s="458"/>
      <c r="AY1278" s="458"/>
      <c r="AZ1278" s="458"/>
      <c r="BA1278" s="1266"/>
      <c r="BC1278" s="169"/>
    </row>
    <row r="1279" spans="19:55" ht="15.75" customHeight="1">
      <c r="S1279" s="454"/>
      <c r="AN1279" s="458"/>
      <c r="AY1279" s="458"/>
      <c r="AZ1279" s="458"/>
      <c r="BA1279" s="1266"/>
      <c r="BC1279" s="169"/>
    </row>
    <row r="1280" spans="19:55" ht="15.75" customHeight="1">
      <c r="S1280" s="454"/>
      <c r="AN1280" s="458"/>
      <c r="AY1280" s="458"/>
      <c r="AZ1280" s="458"/>
      <c r="BA1280" s="1266"/>
      <c r="BC1280" s="169"/>
    </row>
    <row r="1281" spans="19:55" ht="15.75" customHeight="1">
      <c r="S1281" s="454"/>
      <c r="AN1281" s="458"/>
      <c r="AY1281" s="458"/>
      <c r="AZ1281" s="458"/>
      <c r="BA1281" s="1266"/>
      <c r="BC1281" s="169"/>
    </row>
    <row r="1282" spans="19:55" ht="15.75" customHeight="1">
      <c r="S1282" s="454"/>
      <c r="AN1282" s="458"/>
      <c r="AY1282" s="458"/>
      <c r="AZ1282" s="458"/>
      <c r="BA1282" s="1266"/>
      <c r="BC1282" s="169"/>
    </row>
    <row r="1283" spans="19:55" ht="15.75" customHeight="1">
      <c r="S1283" s="454"/>
      <c r="AN1283" s="458"/>
      <c r="AY1283" s="458"/>
      <c r="AZ1283" s="458"/>
      <c r="BA1283" s="1266"/>
      <c r="BC1283" s="169"/>
    </row>
    <row r="1284" spans="19:55" ht="15.75" customHeight="1">
      <c r="S1284" s="454"/>
      <c r="AN1284" s="458"/>
      <c r="AY1284" s="458"/>
      <c r="AZ1284" s="458"/>
      <c r="BA1284" s="1266"/>
      <c r="BC1284" s="169"/>
    </row>
    <row r="1285" spans="19:55" ht="15.75" customHeight="1">
      <c r="S1285" s="454"/>
      <c r="AN1285" s="458"/>
      <c r="AY1285" s="458"/>
      <c r="AZ1285" s="458"/>
      <c r="BA1285" s="1266"/>
      <c r="BC1285" s="169"/>
    </row>
    <row r="1286" spans="19:55" ht="15.75" customHeight="1">
      <c r="S1286" s="454"/>
      <c r="AN1286" s="458"/>
      <c r="AY1286" s="458"/>
      <c r="AZ1286" s="458"/>
      <c r="BA1286" s="1266"/>
      <c r="BC1286" s="169"/>
    </row>
    <row r="1287" spans="19:55" ht="15.75" customHeight="1">
      <c r="S1287" s="454"/>
      <c r="AN1287" s="458"/>
      <c r="AY1287" s="458"/>
      <c r="AZ1287" s="458"/>
      <c r="BA1287" s="1266"/>
      <c r="BC1287" s="169"/>
    </row>
    <row r="1288" spans="19:55" ht="15.75" customHeight="1">
      <c r="S1288" s="454"/>
      <c r="AN1288" s="458"/>
      <c r="AY1288" s="458"/>
      <c r="AZ1288" s="458"/>
      <c r="BA1288" s="1266"/>
      <c r="BC1288" s="169"/>
    </row>
    <row r="1289" spans="19:55" ht="15.75" customHeight="1">
      <c r="S1289" s="454"/>
      <c r="AN1289" s="458"/>
      <c r="AY1289" s="458"/>
      <c r="AZ1289" s="458"/>
      <c r="BA1289" s="1266"/>
      <c r="BC1289" s="169"/>
    </row>
    <row r="1290" spans="19:55" ht="15.75" customHeight="1">
      <c r="S1290" s="454"/>
      <c r="AN1290" s="458"/>
      <c r="AY1290" s="458"/>
      <c r="AZ1290" s="458"/>
      <c r="BA1290" s="1266"/>
      <c r="BC1290" s="169"/>
    </row>
    <row r="1291" spans="19:55" ht="15.75" customHeight="1">
      <c r="S1291" s="454"/>
      <c r="AN1291" s="458"/>
      <c r="AY1291" s="458"/>
      <c r="AZ1291" s="458"/>
      <c r="BA1291" s="1266"/>
      <c r="BC1291" s="169"/>
    </row>
    <row r="1292" spans="19:55" ht="15.75" customHeight="1">
      <c r="S1292" s="454"/>
      <c r="AN1292" s="458"/>
      <c r="AY1292" s="458"/>
      <c r="AZ1292" s="458"/>
      <c r="BA1292" s="1266"/>
      <c r="BC1292" s="169"/>
    </row>
    <row r="1293" spans="19:55" ht="15.75" customHeight="1">
      <c r="S1293" s="454"/>
      <c r="AN1293" s="458"/>
      <c r="AY1293" s="458"/>
      <c r="AZ1293" s="458"/>
      <c r="BA1293" s="1266"/>
      <c r="BC1293" s="169"/>
    </row>
    <row r="1294" spans="19:55" ht="15.75" customHeight="1">
      <c r="S1294" s="454"/>
      <c r="AN1294" s="458"/>
      <c r="AY1294" s="458"/>
      <c r="AZ1294" s="458"/>
      <c r="BA1294" s="1266"/>
      <c r="BC1294" s="169"/>
    </row>
    <row r="1295" spans="19:55" ht="15.75" customHeight="1">
      <c r="S1295" s="454"/>
      <c r="AN1295" s="458"/>
      <c r="AY1295" s="458"/>
      <c r="AZ1295" s="458"/>
      <c r="BA1295" s="1266"/>
      <c r="BC1295" s="169"/>
    </row>
    <row r="1296" spans="19:55" ht="15.75" customHeight="1">
      <c r="S1296" s="454"/>
      <c r="AN1296" s="458"/>
      <c r="AY1296" s="458"/>
      <c r="AZ1296" s="458"/>
      <c r="BA1296" s="1266"/>
      <c r="BC1296" s="169"/>
    </row>
    <row r="1297" spans="19:55" ht="15.75" customHeight="1">
      <c r="S1297" s="454"/>
      <c r="AN1297" s="458"/>
      <c r="AY1297" s="458"/>
      <c r="AZ1297" s="458"/>
      <c r="BC1297" s="169"/>
    </row>
    <row r="1298" spans="19:55" ht="15.75" customHeight="1">
      <c r="S1298" s="454"/>
      <c r="AN1298" s="458"/>
      <c r="AY1298" s="458"/>
      <c r="AZ1298" s="458"/>
      <c r="BC1298" s="169"/>
    </row>
    <row r="1299" spans="19:55" ht="15.75" customHeight="1">
      <c r="S1299" s="454"/>
      <c r="AN1299" s="458"/>
      <c r="AY1299" s="458"/>
      <c r="AZ1299" s="458"/>
      <c r="BC1299" s="169"/>
    </row>
    <row r="1300" spans="19:55" ht="15.75" customHeight="1">
      <c r="S1300" s="454"/>
      <c r="AN1300" s="458"/>
      <c r="AY1300" s="458"/>
      <c r="AZ1300" s="458"/>
      <c r="BC1300" s="169"/>
    </row>
    <row r="1301" spans="19:55" ht="15.75" customHeight="1">
      <c r="S1301" s="454"/>
      <c r="AN1301" s="458"/>
      <c r="AY1301" s="458"/>
      <c r="AZ1301" s="458"/>
      <c r="BC1301" s="169"/>
    </row>
    <row r="1302" spans="19:55" ht="15.75" customHeight="1">
      <c r="S1302" s="454"/>
      <c r="AN1302" s="458"/>
      <c r="AY1302" s="458"/>
      <c r="AZ1302" s="458"/>
      <c r="BC1302" s="169"/>
    </row>
    <row r="1303" spans="19:55" ht="15.75" customHeight="1">
      <c r="S1303" s="454"/>
      <c r="AN1303" s="458"/>
      <c r="AY1303" s="458"/>
      <c r="AZ1303" s="458"/>
      <c r="BC1303" s="169"/>
    </row>
    <row r="1304" spans="19:55" ht="15.75" customHeight="1">
      <c r="S1304" s="454"/>
      <c r="AN1304" s="458"/>
      <c r="AY1304" s="458"/>
      <c r="AZ1304" s="458"/>
      <c r="BC1304" s="169"/>
    </row>
    <row r="1305" spans="19:55" ht="15.75" customHeight="1">
      <c r="S1305" s="454"/>
      <c r="AN1305" s="458"/>
      <c r="AY1305" s="458"/>
      <c r="AZ1305" s="458"/>
      <c r="BC1305" s="169"/>
    </row>
    <row r="1306" spans="19:55" ht="15.75" customHeight="1">
      <c r="S1306" s="454"/>
      <c r="AN1306" s="458"/>
      <c r="AY1306" s="458"/>
      <c r="AZ1306" s="458"/>
      <c r="BC1306" s="169"/>
    </row>
    <row r="1307" spans="19:55" ht="15.75" customHeight="1">
      <c r="S1307" s="454"/>
      <c r="AN1307" s="458"/>
      <c r="AY1307" s="458"/>
      <c r="AZ1307" s="458"/>
      <c r="BC1307" s="169"/>
    </row>
    <row r="1308" spans="19:55" ht="15.75" customHeight="1">
      <c r="S1308" s="454"/>
      <c r="AN1308" s="458"/>
      <c r="AY1308" s="458"/>
      <c r="AZ1308" s="458"/>
      <c r="BC1308" s="169"/>
    </row>
    <row r="1309" spans="19:55" ht="15.75" customHeight="1">
      <c r="S1309" s="454"/>
      <c r="AN1309" s="458"/>
      <c r="BC1309" s="169"/>
    </row>
    <row r="1310" spans="19:55" ht="15.75" customHeight="1">
      <c r="S1310" s="454"/>
      <c r="AN1310" s="458"/>
      <c r="BC1310" s="169"/>
    </row>
    <row r="1311" spans="19:55" ht="15.75" customHeight="1">
      <c r="S1311" s="454"/>
      <c r="AN1311" s="458"/>
      <c r="BC1311" s="169"/>
    </row>
    <row r="1312" spans="19:55" ht="15.75" customHeight="1">
      <c r="S1312" s="454"/>
      <c r="AN1312" s="458"/>
      <c r="BC1312" s="169"/>
    </row>
    <row r="1313" spans="19:55" ht="15.75" customHeight="1">
      <c r="S1313" s="454"/>
      <c r="AN1313" s="458"/>
      <c r="BC1313" s="169"/>
    </row>
    <row r="1314" spans="19:55" ht="15.75" customHeight="1">
      <c r="S1314" s="454"/>
      <c r="AN1314" s="458"/>
      <c r="BC1314" s="169"/>
    </row>
    <row r="1315" spans="19:55" ht="15.75" customHeight="1">
      <c r="S1315" s="454"/>
      <c r="AN1315" s="458"/>
      <c r="BC1315" s="169"/>
    </row>
    <row r="1316" spans="19:55" ht="15.75" customHeight="1">
      <c r="S1316" s="454"/>
      <c r="AN1316" s="458"/>
      <c r="BC1316" s="169"/>
    </row>
    <row r="1317" spans="19:55" ht="15.75" customHeight="1">
      <c r="S1317" s="454"/>
      <c r="AN1317" s="458"/>
      <c r="BC1317" s="169"/>
    </row>
    <row r="1318" spans="19:55" ht="15.75" customHeight="1">
      <c r="S1318" s="454"/>
      <c r="AN1318" s="458"/>
      <c r="BC1318" s="169"/>
    </row>
    <row r="1319" spans="19:55" ht="15.75" customHeight="1">
      <c r="S1319" s="454"/>
      <c r="AN1319" s="458"/>
      <c r="BC1319" s="169"/>
    </row>
    <row r="1320" spans="19:55" ht="15.75" customHeight="1">
      <c r="S1320" s="454"/>
      <c r="AN1320" s="458"/>
      <c r="BC1320" s="169"/>
    </row>
    <row r="1321" spans="19:55" ht="15.75" customHeight="1">
      <c r="S1321" s="454"/>
      <c r="AN1321" s="458"/>
      <c r="BC1321" s="169"/>
    </row>
    <row r="1322" spans="19:55" ht="15.75" customHeight="1">
      <c r="S1322" s="454"/>
      <c r="AN1322" s="458"/>
      <c r="BC1322" s="169"/>
    </row>
    <row r="1323" spans="19:55" ht="15.75" customHeight="1">
      <c r="S1323" s="454"/>
      <c r="AN1323" s="458"/>
      <c r="BC1323" s="169"/>
    </row>
    <row r="1324" spans="19:55" ht="15.75" customHeight="1">
      <c r="S1324" s="454"/>
      <c r="AN1324" s="458"/>
      <c r="BC1324" s="169"/>
    </row>
    <row r="1325" spans="19:55" ht="15.75" customHeight="1">
      <c r="S1325" s="454"/>
      <c r="AN1325" s="458"/>
      <c r="BC1325" s="169"/>
    </row>
    <row r="1326" spans="19:55" ht="15.75" customHeight="1">
      <c r="S1326" s="454"/>
      <c r="AN1326" s="458"/>
      <c r="BC1326" s="169"/>
    </row>
    <row r="1327" spans="19:55" ht="15.75" customHeight="1">
      <c r="S1327" s="454"/>
      <c r="AN1327" s="458"/>
      <c r="BC1327" s="169"/>
    </row>
    <row r="1328" spans="19:55" ht="15.75" customHeight="1">
      <c r="S1328" s="454"/>
      <c r="AN1328" s="458"/>
      <c r="BC1328" s="169"/>
    </row>
    <row r="1329" spans="19:55" ht="15.75" customHeight="1">
      <c r="S1329" s="454"/>
      <c r="AN1329" s="458"/>
      <c r="BC1329" s="169"/>
    </row>
    <row r="1330" spans="19:55" ht="15.75" customHeight="1">
      <c r="S1330" s="454"/>
      <c r="AN1330" s="458"/>
      <c r="BC1330" s="169"/>
    </row>
    <row r="1331" spans="19:55" ht="15.75" customHeight="1">
      <c r="S1331" s="454"/>
      <c r="AN1331" s="458"/>
      <c r="BC1331" s="169"/>
    </row>
    <row r="1332" spans="19:55" ht="15.75" customHeight="1">
      <c r="S1332" s="454"/>
      <c r="AN1332" s="458"/>
      <c r="BC1332" s="169"/>
    </row>
    <row r="1333" spans="19:55" ht="15.75" customHeight="1">
      <c r="S1333" s="454"/>
      <c r="AN1333" s="458"/>
      <c r="BC1333" s="169"/>
    </row>
    <row r="1334" spans="19:55" ht="15.75" customHeight="1">
      <c r="S1334" s="454"/>
      <c r="AN1334" s="458"/>
      <c r="BC1334" s="169"/>
    </row>
    <row r="1335" spans="19:55" ht="15.75" customHeight="1">
      <c r="S1335" s="454"/>
      <c r="AN1335" s="458"/>
      <c r="BC1335" s="169"/>
    </row>
    <row r="1336" spans="19:55" ht="15.75" customHeight="1">
      <c r="S1336" s="454"/>
      <c r="AN1336" s="458"/>
      <c r="BC1336" s="169"/>
    </row>
    <row r="1337" spans="19:55" ht="15.75" customHeight="1">
      <c r="S1337" s="454"/>
      <c r="AN1337" s="458"/>
      <c r="BC1337" s="169"/>
    </row>
    <row r="1338" spans="19:55" ht="15.75" customHeight="1">
      <c r="S1338" s="454"/>
      <c r="AN1338" s="458"/>
      <c r="BC1338" s="169"/>
    </row>
    <row r="1339" spans="19:55" ht="15.75" customHeight="1">
      <c r="S1339" s="454"/>
      <c r="AN1339" s="458"/>
      <c r="BC1339" s="169"/>
    </row>
    <row r="1340" spans="19:55" ht="15.75" customHeight="1">
      <c r="S1340" s="454"/>
      <c r="AN1340" s="458"/>
      <c r="BC1340" s="169"/>
    </row>
    <row r="1341" spans="19:55" ht="15.75" customHeight="1">
      <c r="S1341" s="454"/>
      <c r="AN1341" s="458"/>
      <c r="BC1341" s="169"/>
    </row>
    <row r="1342" spans="19:55" ht="15.75" customHeight="1">
      <c r="S1342" s="454"/>
      <c r="AN1342" s="458"/>
      <c r="BC1342" s="169"/>
    </row>
    <row r="1343" spans="19:55" ht="15.75" customHeight="1">
      <c r="S1343" s="454"/>
      <c r="AN1343" s="458"/>
      <c r="BC1343" s="169"/>
    </row>
    <row r="1344" spans="19:55" ht="15.75" customHeight="1">
      <c r="S1344" s="454"/>
      <c r="AN1344" s="458"/>
      <c r="BC1344" s="169"/>
    </row>
    <row r="1345" spans="19:55" ht="15.75" customHeight="1">
      <c r="S1345" s="454"/>
      <c r="AN1345" s="458"/>
      <c r="BC1345" s="169"/>
    </row>
    <row r="1346" spans="19:55" ht="15.75" customHeight="1">
      <c r="S1346" s="454"/>
      <c r="AN1346" s="458"/>
      <c r="BC1346" s="169"/>
    </row>
    <row r="1347" spans="19:55" ht="15.75" customHeight="1">
      <c r="S1347" s="454"/>
      <c r="AN1347" s="458"/>
      <c r="BC1347" s="169"/>
    </row>
    <row r="1348" spans="19:55" ht="15.75" customHeight="1">
      <c r="S1348" s="454"/>
      <c r="AN1348" s="458"/>
      <c r="BC1348" s="169"/>
    </row>
    <row r="1349" spans="19:55" ht="15.75" customHeight="1">
      <c r="S1349" s="454"/>
      <c r="AN1349" s="458"/>
      <c r="BC1349" s="169"/>
    </row>
    <row r="1350" spans="19:55" ht="15.75" customHeight="1">
      <c r="S1350" s="454"/>
      <c r="AN1350" s="458"/>
      <c r="BC1350" s="169"/>
    </row>
    <row r="1351" spans="19:55" ht="15.75" customHeight="1">
      <c r="S1351" s="454"/>
      <c r="AN1351" s="458"/>
      <c r="BC1351" s="169"/>
    </row>
    <row r="1352" spans="19:55" ht="15.75" customHeight="1">
      <c r="S1352" s="454"/>
      <c r="AN1352" s="458"/>
      <c r="BC1352" s="169"/>
    </row>
    <row r="1353" spans="19:55" ht="15.75" customHeight="1">
      <c r="S1353" s="454"/>
      <c r="AN1353" s="458"/>
      <c r="BC1353" s="169"/>
    </row>
    <row r="1354" spans="19:55" ht="15.75" customHeight="1">
      <c r="S1354" s="454"/>
      <c r="AN1354" s="458"/>
      <c r="BC1354" s="169"/>
    </row>
    <row r="1355" spans="19:55" ht="15.75" customHeight="1">
      <c r="S1355" s="454"/>
      <c r="AN1355" s="458"/>
      <c r="BC1355" s="169"/>
    </row>
    <row r="1356" spans="19:55" ht="15.75" customHeight="1">
      <c r="S1356" s="454"/>
      <c r="AN1356" s="458"/>
      <c r="BC1356" s="169"/>
    </row>
    <row r="1357" spans="19:55" ht="15.75" customHeight="1">
      <c r="S1357" s="454"/>
      <c r="AN1357" s="458"/>
      <c r="BC1357" s="169"/>
    </row>
    <row r="1358" spans="19:55" ht="15.75" customHeight="1">
      <c r="S1358" s="454"/>
      <c r="AN1358" s="458"/>
      <c r="BC1358" s="169"/>
    </row>
    <row r="1359" spans="19:55" ht="15.75" customHeight="1">
      <c r="S1359" s="454"/>
      <c r="AN1359" s="458"/>
      <c r="BC1359" s="169"/>
    </row>
    <row r="1360" spans="19:55" ht="15.75" customHeight="1">
      <c r="S1360" s="454"/>
      <c r="AN1360" s="458"/>
      <c r="BC1360" s="169"/>
    </row>
    <row r="1361" spans="19:55" ht="15.75" customHeight="1">
      <c r="S1361" s="454"/>
      <c r="AN1361" s="458"/>
      <c r="BC1361" s="169"/>
    </row>
    <row r="1362" spans="19:55" ht="15.75" customHeight="1">
      <c r="S1362" s="454"/>
      <c r="AN1362" s="458"/>
      <c r="BC1362" s="169"/>
    </row>
    <row r="1363" spans="19:55" ht="15.75" customHeight="1">
      <c r="S1363" s="454"/>
      <c r="AN1363" s="458"/>
      <c r="BC1363" s="169"/>
    </row>
    <row r="1364" spans="19:55" ht="15.75" customHeight="1">
      <c r="S1364" s="454"/>
      <c r="AN1364" s="458"/>
      <c r="BC1364" s="169"/>
    </row>
    <row r="1365" spans="19:55" ht="15.75" customHeight="1">
      <c r="S1365" s="454"/>
      <c r="AN1365" s="458"/>
      <c r="BC1365" s="169"/>
    </row>
    <row r="1366" spans="19:55" ht="15.75" customHeight="1">
      <c r="S1366" s="454"/>
      <c r="AN1366" s="458"/>
      <c r="BC1366" s="169"/>
    </row>
    <row r="1367" spans="19:55" ht="15.75" customHeight="1">
      <c r="S1367" s="454"/>
      <c r="AN1367" s="458"/>
      <c r="BC1367" s="169"/>
    </row>
    <row r="1368" spans="19:55" ht="15.75" customHeight="1">
      <c r="S1368" s="454"/>
      <c r="AN1368" s="458"/>
      <c r="BC1368" s="169"/>
    </row>
    <row r="1369" spans="19:55" ht="15.75" customHeight="1">
      <c r="S1369" s="454"/>
      <c r="AN1369" s="458"/>
      <c r="BC1369" s="169"/>
    </row>
    <row r="1370" spans="19:55" ht="15.75" customHeight="1">
      <c r="S1370" s="454"/>
      <c r="AN1370" s="458"/>
      <c r="BC1370" s="169"/>
    </row>
    <row r="1371" spans="19:55" ht="15.75" customHeight="1">
      <c r="S1371" s="454"/>
      <c r="AN1371" s="458"/>
      <c r="BC1371" s="169"/>
    </row>
    <row r="1372" spans="19:55" ht="15.75" customHeight="1">
      <c r="S1372" s="454"/>
      <c r="AN1372" s="458"/>
      <c r="BC1372" s="169"/>
    </row>
    <row r="1373" spans="19:55" ht="15.75" customHeight="1">
      <c r="S1373" s="454"/>
      <c r="AN1373" s="458"/>
      <c r="BC1373" s="169"/>
    </row>
    <row r="1374" spans="19:55" ht="15.75" customHeight="1">
      <c r="S1374" s="454"/>
      <c r="AN1374" s="458"/>
      <c r="BC1374" s="169"/>
    </row>
    <row r="1375" spans="19:55" ht="15.75" customHeight="1">
      <c r="S1375" s="454"/>
      <c r="AN1375" s="458"/>
      <c r="BC1375" s="169"/>
    </row>
    <row r="1376" spans="19:55" ht="15.75" customHeight="1">
      <c r="S1376" s="454"/>
      <c r="AN1376" s="458"/>
      <c r="BC1376" s="169"/>
    </row>
    <row r="1377" spans="19:55" ht="15.75" customHeight="1">
      <c r="S1377" s="454"/>
      <c r="AN1377" s="458"/>
      <c r="BC1377" s="169"/>
    </row>
    <row r="1378" spans="19:55" ht="15.75" customHeight="1">
      <c r="S1378" s="454"/>
      <c r="AN1378" s="458"/>
      <c r="BC1378" s="169"/>
    </row>
    <row r="1379" spans="19:55" ht="15.75" customHeight="1">
      <c r="S1379" s="454"/>
      <c r="AN1379" s="458"/>
      <c r="BC1379" s="169"/>
    </row>
    <row r="1380" spans="19:55" ht="15.75" customHeight="1">
      <c r="S1380" s="454"/>
      <c r="AN1380" s="458"/>
      <c r="BC1380" s="169"/>
    </row>
    <row r="1381" spans="19:55" ht="15.75" customHeight="1">
      <c r="S1381" s="454"/>
      <c r="AN1381" s="458"/>
      <c r="BC1381" s="169"/>
    </row>
    <row r="1382" spans="19:55" ht="15.75" customHeight="1">
      <c r="S1382" s="454"/>
      <c r="AN1382" s="458"/>
      <c r="BC1382" s="169"/>
    </row>
    <row r="1383" spans="19:55" ht="15.75" customHeight="1">
      <c r="S1383" s="454"/>
      <c r="AN1383" s="458"/>
      <c r="BC1383" s="169"/>
    </row>
    <row r="1384" spans="19:55" ht="15.75" customHeight="1">
      <c r="S1384" s="454"/>
      <c r="AN1384" s="458"/>
      <c r="BC1384" s="169"/>
    </row>
    <row r="1385" spans="19:55" ht="15.75" customHeight="1">
      <c r="S1385" s="454"/>
      <c r="AN1385" s="458"/>
      <c r="BC1385" s="169"/>
    </row>
    <row r="1386" spans="19:55" ht="15.75" customHeight="1">
      <c r="S1386" s="454"/>
      <c r="AN1386" s="458"/>
      <c r="BC1386" s="169"/>
    </row>
    <row r="1387" spans="19:55" ht="15.75" customHeight="1">
      <c r="S1387" s="454"/>
      <c r="AN1387" s="458"/>
      <c r="BC1387" s="169"/>
    </row>
    <row r="1388" spans="19:55" ht="15.75" customHeight="1">
      <c r="S1388" s="454"/>
      <c r="AN1388" s="458"/>
      <c r="BC1388" s="169"/>
    </row>
    <row r="1389" spans="19:55" ht="15.75" customHeight="1">
      <c r="S1389" s="454"/>
      <c r="AN1389" s="458"/>
      <c r="BC1389" s="169"/>
    </row>
    <row r="1390" spans="19:55" ht="15.75" customHeight="1">
      <c r="S1390" s="454"/>
      <c r="AN1390" s="458"/>
      <c r="BC1390" s="169"/>
    </row>
    <row r="1391" spans="19:55" ht="15.75" customHeight="1">
      <c r="S1391" s="454"/>
      <c r="AN1391" s="458"/>
      <c r="BC1391" s="169"/>
    </row>
    <row r="1392" spans="19:55" ht="15.75" customHeight="1">
      <c r="S1392" s="454"/>
      <c r="AN1392" s="458"/>
      <c r="BC1392" s="169"/>
    </row>
    <row r="1393" spans="19:55" ht="15.75" customHeight="1">
      <c r="S1393" s="454"/>
      <c r="AN1393" s="458"/>
      <c r="BC1393" s="169"/>
    </row>
    <row r="1394" spans="19:55" ht="15.75" customHeight="1">
      <c r="S1394" s="454"/>
      <c r="AN1394" s="458"/>
      <c r="BC1394" s="169"/>
    </row>
    <row r="1395" spans="19:55" ht="15.75" customHeight="1">
      <c r="S1395" s="454"/>
      <c r="AN1395" s="458"/>
      <c r="BC1395" s="169"/>
    </row>
    <row r="1396" spans="19:55" ht="15.75" customHeight="1">
      <c r="S1396" s="454"/>
      <c r="AN1396" s="458"/>
      <c r="BC1396" s="169"/>
    </row>
    <row r="1397" spans="19:55" ht="15.75" customHeight="1">
      <c r="S1397" s="454"/>
      <c r="AN1397" s="458"/>
      <c r="BC1397" s="169"/>
    </row>
    <row r="1398" spans="19:55" ht="15.75" customHeight="1">
      <c r="S1398" s="454"/>
      <c r="AN1398" s="458"/>
      <c r="BC1398" s="169"/>
    </row>
    <row r="1399" spans="19:55" ht="15.75" customHeight="1">
      <c r="S1399" s="454"/>
      <c r="AN1399" s="458"/>
      <c r="BC1399" s="169"/>
    </row>
    <row r="1400" spans="19:55" ht="15.75" customHeight="1">
      <c r="S1400" s="454"/>
      <c r="AN1400" s="458"/>
      <c r="BC1400" s="169"/>
    </row>
    <row r="1401" spans="19:55" ht="15.75" customHeight="1">
      <c r="S1401" s="454"/>
      <c r="AN1401" s="458"/>
      <c r="BC1401" s="169"/>
    </row>
    <row r="1402" spans="19:55" ht="15.75" customHeight="1">
      <c r="S1402" s="454"/>
      <c r="AN1402" s="458"/>
      <c r="BC1402" s="169"/>
    </row>
    <row r="1403" spans="19:55" ht="15.75" customHeight="1">
      <c r="S1403" s="454"/>
      <c r="AN1403" s="458"/>
      <c r="BC1403" s="169"/>
    </row>
    <row r="1404" spans="19:55" ht="15.75" customHeight="1">
      <c r="S1404" s="454"/>
      <c r="AN1404" s="458"/>
      <c r="BC1404" s="169"/>
    </row>
    <row r="1405" spans="19:55" ht="15.75" customHeight="1">
      <c r="S1405" s="454"/>
      <c r="AN1405" s="458"/>
      <c r="BC1405" s="169"/>
    </row>
    <row r="1406" spans="19:55" ht="15.75" customHeight="1">
      <c r="S1406" s="454"/>
      <c r="AN1406" s="458"/>
      <c r="BC1406" s="169"/>
    </row>
    <row r="1407" spans="19:55" ht="15.75" customHeight="1">
      <c r="S1407" s="454"/>
      <c r="AN1407" s="458"/>
      <c r="BC1407" s="169"/>
    </row>
    <row r="1408" spans="19:55" ht="15.75" customHeight="1">
      <c r="S1408" s="454"/>
      <c r="AN1408" s="458"/>
      <c r="BC1408" s="169"/>
    </row>
    <row r="1409" spans="19:55" ht="15.75" customHeight="1">
      <c r="S1409" s="454"/>
      <c r="AN1409" s="458"/>
      <c r="BC1409" s="169"/>
    </row>
    <row r="1410" spans="19:55" ht="15.75" customHeight="1">
      <c r="S1410" s="454"/>
      <c r="AN1410" s="458"/>
      <c r="BC1410" s="169"/>
    </row>
    <row r="1411" spans="19:55" ht="15.75" customHeight="1">
      <c r="S1411" s="454"/>
      <c r="AN1411" s="458"/>
      <c r="BC1411" s="169"/>
    </row>
    <row r="1412" spans="19:55" ht="15.75" customHeight="1">
      <c r="S1412" s="454"/>
      <c r="AN1412" s="458"/>
      <c r="BC1412" s="169"/>
    </row>
    <row r="1413" spans="19:55" ht="15.75" customHeight="1">
      <c r="S1413" s="454"/>
      <c r="AN1413" s="458"/>
      <c r="BC1413" s="169"/>
    </row>
    <row r="1414" spans="19:55" ht="15.75" customHeight="1">
      <c r="S1414" s="454"/>
      <c r="AN1414" s="458"/>
      <c r="BC1414" s="169"/>
    </row>
    <row r="1415" spans="19:55" ht="15.75" customHeight="1">
      <c r="S1415" s="454"/>
      <c r="AN1415" s="458"/>
      <c r="BC1415" s="169"/>
    </row>
    <row r="1416" spans="19:55" ht="15.75" customHeight="1">
      <c r="S1416" s="454"/>
      <c r="AN1416" s="458"/>
      <c r="BC1416" s="169"/>
    </row>
    <row r="1417" spans="19:55" ht="15.75" customHeight="1">
      <c r="S1417" s="454"/>
      <c r="AN1417" s="458"/>
      <c r="BC1417" s="169"/>
    </row>
    <row r="1418" spans="19:55" ht="15.75" customHeight="1">
      <c r="S1418" s="454"/>
      <c r="AN1418" s="458"/>
      <c r="BC1418" s="169"/>
    </row>
    <row r="1419" spans="19:55" ht="15.75" customHeight="1">
      <c r="S1419" s="454"/>
      <c r="AN1419" s="458"/>
      <c r="BC1419" s="169"/>
    </row>
    <row r="1420" spans="19:55" ht="15.75" customHeight="1">
      <c r="S1420" s="454"/>
      <c r="AN1420" s="458"/>
      <c r="BC1420" s="169"/>
    </row>
    <row r="1421" spans="19:55" ht="15.75" customHeight="1">
      <c r="S1421" s="454"/>
      <c r="AN1421" s="458"/>
      <c r="BC1421" s="169"/>
    </row>
    <row r="1422" spans="19:55" ht="15.75" customHeight="1">
      <c r="S1422" s="454"/>
      <c r="AN1422" s="458"/>
      <c r="BC1422" s="169"/>
    </row>
    <row r="1423" spans="19:55" ht="15.75" customHeight="1">
      <c r="S1423" s="454"/>
      <c r="AN1423" s="458"/>
      <c r="BC1423" s="169"/>
    </row>
    <row r="1424" spans="19:55" ht="15.75" customHeight="1">
      <c r="S1424" s="454"/>
      <c r="AN1424" s="458"/>
      <c r="BC1424" s="169"/>
    </row>
    <row r="1425" spans="19:55" ht="15.75" customHeight="1">
      <c r="S1425" s="454"/>
      <c r="AN1425" s="458"/>
      <c r="BC1425" s="169"/>
    </row>
    <row r="1426" spans="19:55" ht="15.75" customHeight="1">
      <c r="S1426" s="454"/>
      <c r="AN1426" s="458"/>
      <c r="BC1426" s="169"/>
    </row>
    <row r="1427" spans="19:55" ht="15.75" customHeight="1">
      <c r="S1427" s="454"/>
      <c r="AN1427" s="458"/>
      <c r="BC1427" s="169"/>
    </row>
    <row r="1428" spans="19:55" ht="15.75" customHeight="1">
      <c r="S1428" s="454"/>
      <c r="AN1428" s="458"/>
      <c r="BC1428" s="169"/>
    </row>
    <row r="1429" spans="19:55" ht="15.75" customHeight="1">
      <c r="S1429" s="454"/>
      <c r="AN1429" s="458"/>
      <c r="BC1429" s="169"/>
    </row>
    <row r="1430" spans="19:55" ht="15.75" customHeight="1">
      <c r="S1430" s="454"/>
      <c r="AN1430" s="458"/>
      <c r="BC1430" s="169"/>
    </row>
    <row r="1431" spans="19:55" ht="15.75" customHeight="1">
      <c r="S1431" s="454"/>
      <c r="AN1431" s="458"/>
      <c r="BC1431" s="169"/>
    </row>
    <row r="1432" spans="19:55" ht="15.75" customHeight="1">
      <c r="S1432" s="454"/>
      <c r="AN1432" s="458"/>
      <c r="BC1432" s="169"/>
    </row>
    <row r="1433" spans="19:55" ht="15.75" customHeight="1">
      <c r="S1433" s="454"/>
      <c r="AN1433" s="458"/>
      <c r="BC1433" s="169"/>
    </row>
    <row r="1434" spans="19:55" ht="15.75" customHeight="1">
      <c r="S1434" s="454"/>
      <c r="AN1434" s="458"/>
      <c r="BC1434" s="169"/>
    </row>
    <row r="1435" spans="19:55" ht="15.75" customHeight="1">
      <c r="S1435" s="454"/>
      <c r="AN1435" s="458"/>
      <c r="BC1435" s="169"/>
    </row>
    <row r="1436" spans="19:55" ht="15.75" customHeight="1">
      <c r="S1436" s="454"/>
      <c r="AN1436" s="458"/>
      <c r="BC1436" s="169"/>
    </row>
    <row r="1437" spans="19:55" ht="15.75" customHeight="1">
      <c r="S1437" s="454"/>
      <c r="AN1437" s="458"/>
      <c r="BC1437" s="169"/>
    </row>
    <row r="1438" spans="19:55" ht="15.75" customHeight="1">
      <c r="S1438" s="454"/>
      <c r="AN1438" s="458"/>
      <c r="BC1438" s="169"/>
    </row>
    <row r="1439" spans="19:55" ht="15.75" customHeight="1">
      <c r="S1439" s="454"/>
      <c r="AN1439" s="458"/>
      <c r="BC1439" s="169"/>
    </row>
    <row r="1440" spans="19:55" ht="15.75" customHeight="1">
      <c r="S1440" s="454"/>
      <c r="AN1440" s="458"/>
      <c r="BC1440" s="169"/>
    </row>
    <row r="1441" spans="19:55" ht="15.75" customHeight="1">
      <c r="S1441" s="454"/>
      <c r="AN1441" s="458"/>
      <c r="BC1441" s="169"/>
    </row>
    <row r="1442" spans="19:55" ht="15.75" customHeight="1">
      <c r="S1442" s="454"/>
      <c r="AN1442" s="458"/>
      <c r="BC1442" s="169"/>
    </row>
    <row r="1443" spans="19:55" ht="15.75" customHeight="1">
      <c r="S1443" s="454"/>
      <c r="AN1443" s="458"/>
      <c r="BC1443" s="169"/>
    </row>
    <row r="1444" spans="19:55" ht="15.75" customHeight="1">
      <c r="S1444" s="454"/>
      <c r="AN1444" s="458"/>
      <c r="BC1444" s="169"/>
    </row>
    <row r="1445" spans="19:55" ht="15.75" customHeight="1">
      <c r="S1445" s="454"/>
      <c r="AN1445" s="458"/>
      <c r="BC1445" s="169"/>
    </row>
    <row r="1446" spans="19:55" ht="15.75" customHeight="1">
      <c r="S1446" s="454"/>
      <c r="AN1446" s="458"/>
      <c r="BC1446" s="169"/>
    </row>
    <row r="1447" spans="19:55" ht="15.75" customHeight="1">
      <c r="S1447" s="454"/>
      <c r="AN1447" s="458"/>
      <c r="BC1447" s="169"/>
    </row>
    <row r="1448" spans="19:55" ht="15.75" customHeight="1">
      <c r="S1448" s="454"/>
      <c r="AN1448" s="458"/>
      <c r="BC1448" s="169"/>
    </row>
    <row r="1449" spans="19:55" ht="15.75" customHeight="1">
      <c r="S1449" s="454"/>
      <c r="AN1449" s="458"/>
      <c r="BC1449" s="169"/>
    </row>
    <row r="1450" spans="19:55" ht="15.75" customHeight="1">
      <c r="S1450" s="454"/>
      <c r="AN1450" s="458"/>
      <c r="BC1450" s="169"/>
    </row>
    <row r="1451" spans="19:55" ht="15.75" customHeight="1">
      <c r="S1451" s="454"/>
      <c r="AN1451" s="458"/>
      <c r="BC1451" s="169"/>
    </row>
    <row r="1452" spans="19:55" ht="15.75" customHeight="1">
      <c r="S1452" s="454"/>
      <c r="AN1452" s="458"/>
      <c r="BC1452" s="169"/>
    </row>
    <row r="1453" spans="19:55" ht="15.75" customHeight="1">
      <c r="S1453" s="454"/>
      <c r="AN1453" s="458"/>
      <c r="BC1453" s="169"/>
    </row>
    <row r="1454" spans="19:55" ht="15.75" customHeight="1">
      <c r="S1454" s="454"/>
      <c r="AN1454" s="458"/>
      <c r="BC1454" s="169"/>
    </row>
    <row r="1455" spans="19:55" ht="15.75" customHeight="1">
      <c r="S1455" s="454"/>
      <c r="AN1455" s="458"/>
      <c r="BC1455" s="169"/>
    </row>
    <row r="1456" spans="19:55" ht="15.75" customHeight="1">
      <c r="S1456" s="454"/>
      <c r="AN1456" s="458"/>
      <c r="BC1456" s="169"/>
    </row>
    <row r="1457" spans="19:55" ht="15.75" customHeight="1">
      <c r="S1457" s="454"/>
      <c r="AN1457" s="458"/>
      <c r="BC1457" s="169"/>
    </row>
    <row r="1458" spans="19:55" ht="15.75" customHeight="1">
      <c r="S1458" s="454"/>
      <c r="AN1458" s="458"/>
      <c r="BC1458" s="169"/>
    </row>
    <row r="1459" spans="19:55" ht="15.75" customHeight="1">
      <c r="S1459" s="454"/>
      <c r="AN1459" s="458"/>
      <c r="BC1459" s="169"/>
    </row>
    <row r="1460" spans="19:55" ht="15.75" customHeight="1">
      <c r="S1460" s="454"/>
      <c r="AN1460" s="458"/>
      <c r="BC1460" s="169"/>
    </row>
    <row r="1461" spans="19:55" ht="15.75" customHeight="1">
      <c r="S1461" s="454"/>
      <c r="AN1461" s="458"/>
      <c r="BC1461" s="169"/>
    </row>
    <row r="1462" spans="19:55" ht="15.75" customHeight="1">
      <c r="S1462" s="454"/>
      <c r="AN1462" s="458"/>
      <c r="BC1462" s="169"/>
    </row>
    <row r="1463" spans="19:55" ht="15.75" customHeight="1">
      <c r="S1463" s="454"/>
      <c r="AN1463" s="458"/>
      <c r="BC1463" s="169"/>
    </row>
    <row r="1464" spans="19:55" ht="15.75" customHeight="1">
      <c r="S1464" s="454"/>
      <c r="AN1464" s="458"/>
      <c r="BC1464" s="169"/>
    </row>
    <row r="1465" spans="19:55" ht="15.75" customHeight="1">
      <c r="S1465" s="454"/>
      <c r="AN1465" s="458"/>
      <c r="BC1465" s="169"/>
    </row>
    <row r="1466" spans="19:55" ht="15.75" customHeight="1">
      <c r="S1466" s="454"/>
      <c r="AN1466" s="458"/>
      <c r="BC1466" s="169"/>
    </row>
    <row r="1467" spans="19:55" ht="15.75" customHeight="1">
      <c r="S1467" s="454"/>
      <c r="AN1467" s="458"/>
      <c r="BC1467" s="169"/>
    </row>
    <row r="1468" spans="19:55" ht="15.75" customHeight="1">
      <c r="S1468" s="454"/>
      <c r="AN1468" s="458"/>
      <c r="BC1468" s="169"/>
    </row>
    <row r="1469" spans="19:55" ht="15.75" customHeight="1">
      <c r="S1469" s="454"/>
      <c r="AN1469" s="458"/>
      <c r="BC1469" s="169"/>
    </row>
    <row r="1470" spans="19:55" ht="15.75" customHeight="1">
      <c r="S1470" s="454"/>
      <c r="AN1470" s="458"/>
      <c r="BC1470" s="169"/>
    </row>
    <row r="1471" spans="19:55" ht="15.75" customHeight="1">
      <c r="S1471" s="454"/>
      <c r="AN1471" s="458"/>
      <c r="BC1471" s="169"/>
    </row>
    <row r="1472" spans="19:55" ht="15.75" customHeight="1">
      <c r="S1472" s="454"/>
      <c r="AN1472" s="458"/>
      <c r="BC1472" s="169"/>
    </row>
    <row r="1473" spans="19:55" ht="15.75" customHeight="1">
      <c r="S1473" s="454"/>
      <c r="AN1473" s="458"/>
      <c r="BC1473" s="169"/>
    </row>
    <row r="1474" spans="19:55" ht="15.75" customHeight="1">
      <c r="S1474" s="454"/>
      <c r="AN1474" s="458"/>
      <c r="BC1474" s="169"/>
    </row>
    <row r="1475" spans="19:55" ht="15.75" customHeight="1">
      <c r="S1475" s="454"/>
      <c r="AN1475" s="458"/>
      <c r="BC1475" s="169"/>
    </row>
    <row r="1476" spans="19:55" ht="15.75" customHeight="1">
      <c r="S1476" s="454"/>
      <c r="AN1476" s="458"/>
      <c r="BC1476" s="169"/>
    </row>
    <row r="1477" spans="19:55" ht="15.75" customHeight="1">
      <c r="S1477" s="454"/>
      <c r="AN1477" s="458"/>
      <c r="BC1477" s="169"/>
    </row>
    <row r="1478" spans="19:55" ht="15.75" customHeight="1">
      <c r="S1478" s="454"/>
      <c r="AN1478" s="458"/>
      <c r="BC1478" s="169"/>
    </row>
    <row r="1479" spans="19:55" ht="15.75" customHeight="1">
      <c r="S1479" s="454"/>
      <c r="AN1479" s="458"/>
      <c r="BC1479" s="169"/>
    </row>
    <row r="1480" spans="19:55" ht="15.75" customHeight="1">
      <c r="S1480" s="454"/>
      <c r="AN1480" s="458"/>
      <c r="BC1480" s="169"/>
    </row>
    <row r="1481" spans="19:55" ht="15.75" customHeight="1">
      <c r="S1481" s="454"/>
      <c r="AN1481" s="458"/>
      <c r="BC1481" s="169"/>
    </row>
    <row r="1482" spans="19:55" ht="15.75" customHeight="1">
      <c r="S1482" s="454"/>
      <c r="AN1482" s="458"/>
      <c r="BC1482" s="169"/>
    </row>
    <row r="1483" spans="19:55" ht="15.75" customHeight="1">
      <c r="S1483" s="454"/>
      <c r="AN1483" s="458"/>
      <c r="BC1483" s="169"/>
    </row>
    <row r="1484" spans="19:55" ht="15.75" customHeight="1">
      <c r="S1484" s="454"/>
      <c r="AN1484" s="458"/>
      <c r="BC1484" s="169"/>
    </row>
    <row r="1485" spans="19:55" ht="15.75" customHeight="1">
      <c r="S1485" s="454"/>
      <c r="AN1485" s="458"/>
      <c r="BC1485" s="169"/>
    </row>
    <row r="1486" spans="19:55" ht="15.75" customHeight="1">
      <c r="S1486" s="454"/>
      <c r="AN1486" s="458"/>
      <c r="BC1486" s="169"/>
    </row>
    <row r="1487" spans="19:55" ht="15.75" customHeight="1">
      <c r="S1487" s="454"/>
      <c r="AN1487" s="458"/>
      <c r="BC1487" s="169"/>
    </row>
    <row r="1488" spans="19:55" ht="15.75" customHeight="1">
      <c r="S1488" s="454"/>
      <c r="AN1488" s="458"/>
      <c r="BC1488" s="169"/>
    </row>
    <row r="1489" spans="19:55" ht="15.75" customHeight="1">
      <c r="S1489" s="454"/>
      <c r="AN1489" s="458"/>
      <c r="BC1489" s="169"/>
    </row>
    <row r="1490" spans="19:55" ht="15.75" customHeight="1">
      <c r="S1490" s="454"/>
      <c r="AN1490" s="458"/>
      <c r="BC1490" s="169"/>
    </row>
    <row r="1491" spans="19:55" ht="15.75" customHeight="1">
      <c r="S1491" s="454"/>
      <c r="AN1491" s="458"/>
      <c r="BC1491" s="169"/>
    </row>
    <row r="1492" spans="19:55" ht="15.75" customHeight="1">
      <c r="S1492" s="454"/>
      <c r="AN1492" s="458"/>
      <c r="BC1492" s="169"/>
    </row>
    <row r="1493" spans="19:55" ht="15.75" customHeight="1">
      <c r="S1493" s="454"/>
      <c r="AN1493" s="458"/>
      <c r="BC1493" s="169"/>
    </row>
    <row r="1494" spans="19:55" ht="15.75" customHeight="1">
      <c r="AN1494" s="458"/>
      <c r="BC1494" s="169"/>
    </row>
    <row r="1495" spans="19:55" ht="15.75" customHeight="1">
      <c r="AN1495" s="458"/>
      <c r="BC1495" s="169"/>
    </row>
    <row r="1496" spans="19:55" ht="15.75" customHeight="1">
      <c r="AN1496" s="458"/>
      <c r="BC1496" s="169"/>
    </row>
    <row r="1497" spans="19:55" ht="15.75" customHeight="1">
      <c r="AN1497" s="458"/>
      <c r="BC1497" s="169"/>
    </row>
    <row r="1498" spans="19:55" ht="15.75" customHeight="1">
      <c r="AN1498" s="458"/>
      <c r="BC1498" s="169"/>
    </row>
    <row r="1499" spans="19:55" ht="15.75" customHeight="1">
      <c r="AN1499" s="458"/>
      <c r="BC1499" s="169"/>
    </row>
    <row r="1500" spans="19:55" ht="15.75" customHeight="1">
      <c r="AN1500" s="458"/>
      <c r="BC1500" s="169"/>
    </row>
    <row r="1501" spans="19:55" ht="15.75" customHeight="1">
      <c r="AN1501" s="458"/>
      <c r="BC1501" s="169"/>
    </row>
    <row r="1502" spans="19:55" ht="15.75" customHeight="1">
      <c r="AN1502" s="458"/>
      <c r="BC1502" s="169"/>
    </row>
    <row r="1503" spans="19:55" ht="15.75" customHeight="1">
      <c r="AN1503" s="458"/>
      <c r="BC1503" s="169"/>
    </row>
    <row r="1504" spans="19:55" ht="15.75" customHeight="1">
      <c r="AN1504" s="458"/>
      <c r="BC1504" s="169"/>
    </row>
    <row r="1505" spans="40:55" ht="15.75" customHeight="1">
      <c r="AN1505" s="458"/>
      <c r="BC1505" s="169"/>
    </row>
    <row r="1506" spans="40:55" ht="15.75" customHeight="1">
      <c r="AN1506" s="458"/>
      <c r="BC1506" s="169"/>
    </row>
    <row r="1507" spans="40:55" ht="15.75" customHeight="1">
      <c r="AN1507" s="458"/>
      <c r="BC1507" s="169"/>
    </row>
    <row r="1508" spans="40:55" ht="15.75" customHeight="1">
      <c r="AN1508" s="458"/>
      <c r="BC1508" s="169"/>
    </row>
    <row r="1509" spans="40:55" ht="15.75" customHeight="1">
      <c r="AN1509" s="458"/>
      <c r="BC1509" s="169"/>
    </row>
    <row r="1510" spans="40:55" ht="15.75" customHeight="1">
      <c r="AN1510" s="458"/>
      <c r="BC1510" s="169"/>
    </row>
    <row r="1511" spans="40:55" ht="15.75" customHeight="1">
      <c r="AN1511" s="458"/>
      <c r="BC1511" s="169"/>
    </row>
    <row r="1512" spans="40:55" ht="15.75" customHeight="1">
      <c r="AN1512" s="458"/>
      <c r="BC1512" s="169"/>
    </row>
    <row r="1513" spans="40:55" ht="15.75" customHeight="1">
      <c r="AN1513" s="458"/>
      <c r="BC1513" s="169"/>
    </row>
    <row r="1514" spans="40:55" ht="15.75" customHeight="1">
      <c r="AN1514" s="458"/>
      <c r="BC1514" s="169"/>
    </row>
    <row r="1515" spans="40:55" ht="15.75" customHeight="1">
      <c r="AN1515" s="458"/>
      <c r="BC1515" s="169"/>
    </row>
    <row r="1516" spans="40:55" ht="15.75" customHeight="1">
      <c r="AN1516" s="458"/>
      <c r="BC1516" s="169"/>
    </row>
    <row r="1517" spans="40:55" ht="15.75" customHeight="1">
      <c r="AN1517" s="458"/>
      <c r="BC1517" s="169"/>
    </row>
    <row r="1518" spans="40:55" ht="15.75" customHeight="1">
      <c r="AN1518" s="458"/>
      <c r="BC1518" s="169"/>
    </row>
    <row r="1519" spans="40:55" ht="15.75" customHeight="1">
      <c r="AN1519" s="458"/>
      <c r="BC1519" s="169"/>
    </row>
    <row r="1520" spans="40:55" ht="15.75" customHeight="1">
      <c r="AN1520" s="458"/>
      <c r="BC1520" s="169"/>
    </row>
    <row r="1521" spans="40:55" ht="15.75" customHeight="1">
      <c r="AN1521" s="458"/>
      <c r="BC1521" s="169"/>
    </row>
    <row r="1522" spans="40:55" ht="15.75" customHeight="1">
      <c r="AN1522" s="458"/>
      <c r="BC1522" s="169"/>
    </row>
    <row r="1523" spans="40:55" ht="15.75" customHeight="1">
      <c r="AN1523" s="458"/>
      <c r="BC1523" s="169"/>
    </row>
    <row r="1524" spans="40:55" ht="15.75" customHeight="1">
      <c r="AN1524" s="458"/>
      <c r="BC1524" s="169"/>
    </row>
    <row r="1525" spans="40:55" ht="15.75" customHeight="1">
      <c r="AN1525" s="458"/>
      <c r="BC1525" s="169"/>
    </row>
    <row r="1526" spans="40:55" ht="15.75" customHeight="1">
      <c r="AN1526" s="458"/>
      <c r="BC1526" s="169"/>
    </row>
    <row r="1527" spans="40:55" ht="15.75" customHeight="1">
      <c r="AN1527" s="458"/>
      <c r="BC1527" s="169"/>
    </row>
    <row r="1528" spans="40:55" ht="15.75" customHeight="1">
      <c r="AN1528" s="458"/>
      <c r="BC1528" s="169"/>
    </row>
    <row r="1529" spans="40:55" ht="15.75" customHeight="1">
      <c r="AN1529" s="458"/>
      <c r="BC1529" s="169"/>
    </row>
    <row r="1530" spans="40:55" ht="15.75" customHeight="1">
      <c r="AN1530" s="458"/>
      <c r="BC1530" s="169"/>
    </row>
    <row r="1531" spans="40:55" ht="15.75" customHeight="1">
      <c r="AN1531" s="458"/>
      <c r="BC1531" s="169"/>
    </row>
    <row r="1532" spans="40:55" ht="15.75" customHeight="1">
      <c r="AN1532" s="458"/>
      <c r="BC1532" s="169"/>
    </row>
    <row r="1533" spans="40:55" ht="15.75" customHeight="1">
      <c r="AN1533" s="458"/>
      <c r="BC1533" s="169"/>
    </row>
    <row r="1534" spans="40:55" ht="15.75" customHeight="1">
      <c r="AN1534" s="458"/>
      <c r="BC1534" s="169"/>
    </row>
    <row r="1535" spans="40:55" ht="15.75" customHeight="1">
      <c r="AN1535" s="458"/>
      <c r="BC1535" s="169"/>
    </row>
    <row r="1536" spans="40:55" ht="15.75" customHeight="1">
      <c r="AN1536" s="458"/>
      <c r="BC1536" s="169"/>
    </row>
    <row r="1537" spans="40:55" ht="15.75" customHeight="1">
      <c r="AN1537" s="458"/>
      <c r="BC1537" s="169"/>
    </row>
    <row r="1538" spans="40:55" ht="15.75" customHeight="1">
      <c r="AN1538" s="458"/>
      <c r="BC1538" s="169"/>
    </row>
    <row r="1539" spans="40:55" ht="15.75" customHeight="1">
      <c r="AN1539" s="458"/>
      <c r="BC1539" s="169"/>
    </row>
    <row r="1540" spans="40:55" ht="15.75" customHeight="1">
      <c r="AN1540" s="458"/>
      <c r="BC1540" s="169"/>
    </row>
    <row r="1541" spans="40:55" ht="15.75" customHeight="1">
      <c r="AN1541" s="458"/>
      <c r="BC1541" s="169"/>
    </row>
    <row r="1542" spans="40:55" ht="15.75" customHeight="1">
      <c r="AN1542" s="458"/>
      <c r="BC1542" s="169"/>
    </row>
    <row r="1543" spans="40:55" ht="15.75" customHeight="1">
      <c r="AN1543" s="458"/>
      <c r="BC1543" s="169"/>
    </row>
    <row r="1544" spans="40:55" ht="15.75" customHeight="1">
      <c r="AN1544" s="458"/>
      <c r="BC1544" s="169"/>
    </row>
    <row r="1545" spans="40:55" ht="15.75" customHeight="1">
      <c r="AN1545" s="458"/>
      <c r="BC1545" s="169"/>
    </row>
    <row r="1546" spans="40:55" ht="15.75" customHeight="1">
      <c r="AN1546" s="458"/>
      <c r="BC1546" s="169"/>
    </row>
    <row r="1547" spans="40:55" ht="15.75" customHeight="1">
      <c r="AN1547" s="458"/>
      <c r="BC1547" s="169"/>
    </row>
    <row r="1548" spans="40:55" ht="15.75" customHeight="1">
      <c r="AN1548" s="458"/>
      <c r="BC1548" s="169"/>
    </row>
    <row r="1549" spans="40:55" ht="15.75" customHeight="1">
      <c r="AN1549" s="458"/>
      <c r="BC1549" s="169"/>
    </row>
    <row r="1550" spans="40:55" ht="15.75" customHeight="1">
      <c r="AN1550" s="458"/>
      <c r="BC1550" s="169"/>
    </row>
    <row r="1551" spans="40:55" ht="15.75" customHeight="1">
      <c r="AN1551" s="458"/>
      <c r="BC1551" s="169"/>
    </row>
    <row r="1552" spans="40:55" ht="15.75" customHeight="1">
      <c r="AN1552" s="458"/>
      <c r="BC1552" s="169"/>
    </row>
    <row r="1553" spans="40:55" ht="15.75" customHeight="1">
      <c r="AN1553" s="458"/>
      <c r="BC1553" s="169"/>
    </row>
    <row r="1554" spans="40:55" ht="15.75" customHeight="1">
      <c r="AN1554" s="458"/>
      <c r="BC1554" s="169"/>
    </row>
    <row r="1555" spans="40:55" ht="15.75" customHeight="1">
      <c r="AN1555" s="458"/>
      <c r="BC1555" s="169"/>
    </row>
    <row r="1556" spans="40:55" ht="15.75" customHeight="1">
      <c r="AN1556" s="458"/>
      <c r="BC1556" s="169"/>
    </row>
    <row r="1557" spans="40:55" ht="15.75" customHeight="1">
      <c r="AN1557" s="458"/>
      <c r="BC1557" s="169"/>
    </row>
    <row r="1558" spans="40:55" ht="15.75" customHeight="1">
      <c r="AN1558" s="458"/>
      <c r="BC1558" s="169"/>
    </row>
    <row r="1559" spans="40:55" ht="15.75" customHeight="1">
      <c r="AN1559" s="458"/>
      <c r="BC1559" s="169"/>
    </row>
    <row r="1560" spans="40:55" ht="15.75" customHeight="1">
      <c r="AN1560" s="458"/>
      <c r="BC1560" s="169"/>
    </row>
    <row r="1561" spans="40:55" ht="15.75" customHeight="1">
      <c r="AN1561" s="458"/>
      <c r="BC1561" s="169"/>
    </row>
    <row r="1562" spans="40:55" ht="15.75" customHeight="1">
      <c r="AN1562" s="458"/>
      <c r="BC1562" s="169"/>
    </row>
    <row r="1563" spans="40:55" ht="15.75" customHeight="1">
      <c r="AN1563" s="458"/>
      <c r="BC1563" s="169"/>
    </row>
    <row r="1564" spans="40:55" ht="15.75" customHeight="1">
      <c r="AN1564" s="458"/>
      <c r="BC1564" s="169"/>
    </row>
    <row r="1565" spans="40:55" ht="15.75" customHeight="1">
      <c r="AN1565" s="458"/>
      <c r="BC1565" s="169"/>
    </row>
    <row r="1566" spans="40:55" ht="15.75" customHeight="1">
      <c r="AN1566" s="458"/>
      <c r="BC1566" s="169"/>
    </row>
    <row r="1567" spans="40:55" ht="15.75" customHeight="1">
      <c r="AN1567" s="458"/>
      <c r="BC1567" s="169"/>
    </row>
    <row r="1568" spans="40:55" ht="15.75" customHeight="1">
      <c r="AN1568" s="458"/>
      <c r="BC1568" s="169"/>
    </row>
    <row r="1569" spans="40:55" ht="15.75" customHeight="1">
      <c r="AN1569" s="458"/>
      <c r="BC1569" s="169"/>
    </row>
    <row r="1570" spans="40:55" ht="15.75" customHeight="1">
      <c r="AN1570" s="458"/>
      <c r="BC1570" s="169"/>
    </row>
    <row r="1571" spans="40:55" ht="15.75" customHeight="1">
      <c r="AN1571" s="458"/>
      <c r="BC1571" s="169"/>
    </row>
    <row r="1572" spans="40:55" ht="15.75" customHeight="1">
      <c r="AN1572" s="458"/>
      <c r="BC1572" s="169"/>
    </row>
    <row r="1573" spans="40:55" ht="15.75" customHeight="1">
      <c r="AN1573" s="458"/>
      <c r="BC1573" s="169"/>
    </row>
    <row r="1574" spans="40:55" ht="15.75" customHeight="1">
      <c r="AN1574" s="458"/>
      <c r="BC1574" s="169"/>
    </row>
    <row r="1575" spans="40:55" ht="15.75" customHeight="1">
      <c r="AN1575" s="458"/>
      <c r="BC1575" s="169"/>
    </row>
    <row r="1576" spans="40:55" ht="15.75" customHeight="1">
      <c r="AN1576" s="458"/>
      <c r="BC1576" s="169"/>
    </row>
    <row r="1577" spans="40:55" ht="15.75" customHeight="1">
      <c r="AN1577" s="458"/>
      <c r="BC1577" s="169"/>
    </row>
    <row r="1578" spans="40:55" ht="15.75" customHeight="1">
      <c r="AN1578" s="458"/>
      <c r="BC1578" s="169"/>
    </row>
    <row r="1579" spans="40:55" ht="15.75" customHeight="1">
      <c r="AN1579" s="458"/>
      <c r="BC1579" s="169"/>
    </row>
    <row r="1580" spans="40:55" ht="15.75" customHeight="1">
      <c r="AN1580" s="458"/>
      <c r="BC1580" s="169"/>
    </row>
    <row r="1581" spans="40:55" ht="15.75" customHeight="1">
      <c r="AN1581" s="458"/>
      <c r="BC1581" s="169"/>
    </row>
    <row r="1582" spans="40:55" ht="15.75" customHeight="1">
      <c r="AN1582" s="458"/>
      <c r="BC1582" s="169"/>
    </row>
    <row r="1583" spans="40:55" ht="15.75" customHeight="1">
      <c r="AN1583" s="458"/>
      <c r="BC1583" s="169"/>
    </row>
    <row r="1584" spans="40:55" ht="15.75" customHeight="1">
      <c r="AN1584" s="458"/>
      <c r="BC1584" s="169"/>
    </row>
    <row r="1585" spans="40:55" ht="15.75" customHeight="1">
      <c r="AN1585" s="458"/>
      <c r="BC1585" s="169"/>
    </row>
    <row r="1586" spans="40:55" ht="15.75" customHeight="1">
      <c r="AN1586" s="458"/>
      <c r="BC1586" s="169"/>
    </row>
    <row r="1587" spans="40:55" ht="15.75" customHeight="1">
      <c r="AN1587" s="458"/>
      <c r="BC1587" s="169"/>
    </row>
    <row r="1588" spans="40:55" ht="15.75" customHeight="1">
      <c r="AN1588" s="458"/>
      <c r="BC1588" s="169"/>
    </row>
    <row r="1589" spans="40:55" ht="15.75" customHeight="1">
      <c r="AN1589" s="458"/>
      <c r="BC1589" s="169"/>
    </row>
    <row r="1590" spans="40:55" ht="15.75" customHeight="1">
      <c r="AN1590" s="458"/>
      <c r="BC1590" s="169"/>
    </row>
    <row r="1591" spans="40:55" ht="15.75" customHeight="1">
      <c r="AN1591" s="458"/>
      <c r="BC1591" s="169"/>
    </row>
    <row r="1592" spans="40:55" ht="15.75" customHeight="1">
      <c r="AN1592" s="458"/>
      <c r="BC1592" s="169"/>
    </row>
    <row r="1593" spans="40:55" ht="15.75" customHeight="1">
      <c r="AN1593" s="458"/>
      <c r="BC1593" s="169"/>
    </row>
    <row r="1594" spans="40:55" ht="15.75" customHeight="1">
      <c r="AN1594" s="458"/>
      <c r="BC1594" s="169"/>
    </row>
    <row r="1595" spans="40:55" ht="15.75" customHeight="1">
      <c r="AN1595" s="458"/>
      <c r="BC1595" s="169"/>
    </row>
    <row r="1596" spans="40:55" ht="15.75" customHeight="1">
      <c r="AN1596" s="458"/>
      <c r="BC1596" s="169"/>
    </row>
    <row r="1597" spans="40:55" ht="15.75" customHeight="1">
      <c r="AN1597" s="458"/>
      <c r="BC1597" s="169"/>
    </row>
    <row r="1598" spans="40:55" ht="15.75" customHeight="1">
      <c r="AN1598" s="458"/>
      <c r="BC1598" s="169"/>
    </row>
    <row r="1599" spans="40:55" ht="15.75" customHeight="1">
      <c r="AN1599" s="458"/>
      <c r="BC1599" s="169"/>
    </row>
    <row r="1600" spans="40:55" ht="15.75" customHeight="1">
      <c r="AN1600" s="458"/>
      <c r="BC1600" s="169"/>
    </row>
    <row r="1601" spans="40:55" ht="15.75" customHeight="1">
      <c r="AN1601" s="458"/>
      <c r="BC1601" s="169"/>
    </row>
    <row r="1602" spans="40:55" ht="15.75" customHeight="1">
      <c r="AN1602" s="458"/>
      <c r="BC1602" s="169"/>
    </row>
    <row r="1603" spans="40:55" ht="15.75" customHeight="1">
      <c r="AN1603" s="458"/>
      <c r="BC1603" s="169"/>
    </row>
    <row r="1604" spans="40:55" ht="15.75" customHeight="1">
      <c r="AN1604" s="458"/>
      <c r="BC1604" s="169"/>
    </row>
    <row r="1605" spans="40:55" ht="15.75" customHeight="1">
      <c r="AN1605" s="458"/>
      <c r="BC1605" s="169"/>
    </row>
    <row r="1606" spans="40:55" ht="15.75" customHeight="1">
      <c r="AN1606" s="458"/>
      <c r="BC1606" s="169"/>
    </row>
    <row r="1607" spans="40:55" ht="15.75" customHeight="1">
      <c r="AN1607" s="458"/>
      <c r="BC1607" s="169"/>
    </row>
    <row r="1608" spans="40:55" ht="15.75" customHeight="1">
      <c r="AN1608" s="458"/>
      <c r="BC1608" s="169"/>
    </row>
    <row r="1609" spans="40:55" ht="15.75" customHeight="1">
      <c r="AN1609" s="458"/>
      <c r="BC1609" s="169"/>
    </row>
    <row r="1610" spans="40:55" ht="15.75" customHeight="1">
      <c r="AN1610" s="458"/>
      <c r="BC1610" s="169"/>
    </row>
    <row r="1611" spans="40:55" ht="15.75" customHeight="1">
      <c r="AN1611" s="458"/>
      <c r="BC1611" s="169"/>
    </row>
    <row r="1612" spans="40:55" ht="15.75" customHeight="1">
      <c r="AN1612" s="458"/>
      <c r="BC1612" s="169"/>
    </row>
    <row r="1613" spans="40:55" ht="15.75" customHeight="1">
      <c r="AN1613" s="458"/>
      <c r="BC1613" s="169"/>
    </row>
    <row r="1614" spans="40:55" ht="15.75" customHeight="1">
      <c r="AN1614" s="458"/>
      <c r="BC1614" s="169"/>
    </row>
    <row r="1615" spans="40:55" ht="15.75" customHeight="1">
      <c r="AN1615" s="458"/>
      <c r="BC1615" s="169"/>
    </row>
    <row r="1616" spans="40:55" ht="15.75" customHeight="1">
      <c r="AN1616" s="458"/>
      <c r="BC1616" s="169"/>
    </row>
    <row r="1617" spans="40:55" ht="15.75" customHeight="1">
      <c r="AN1617" s="458"/>
      <c r="BC1617" s="169"/>
    </row>
    <row r="1618" spans="40:55" ht="15.75" customHeight="1">
      <c r="AN1618" s="458"/>
      <c r="BC1618" s="169"/>
    </row>
    <row r="1619" spans="40:55" ht="15.75" customHeight="1">
      <c r="AN1619" s="458"/>
      <c r="BC1619" s="169"/>
    </row>
    <row r="1620" spans="40:55" ht="15.75" customHeight="1">
      <c r="AN1620" s="458"/>
      <c r="BC1620" s="169"/>
    </row>
    <row r="1621" spans="40:55" ht="15.75" customHeight="1">
      <c r="AN1621" s="458"/>
      <c r="BC1621" s="169"/>
    </row>
    <row r="1622" spans="40:55" ht="15.75" customHeight="1">
      <c r="AN1622" s="458"/>
      <c r="BC1622" s="169"/>
    </row>
    <row r="1623" spans="40:55" ht="15.75" customHeight="1">
      <c r="AN1623" s="458"/>
      <c r="BC1623" s="169"/>
    </row>
    <row r="1624" spans="40:55" ht="15.75" customHeight="1">
      <c r="AN1624" s="458"/>
      <c r="BC1624" s="169"/>
    </row>
    <row r="1625" spans="40:55" ht="15.75" customHeight="1">
      <c r="AN1625" s="458"/>
      <c r="BC1625" s="169"/>
    </row>
    <row r="1626" spans="40:55" ht="15.75" customHeight="1">
      <c r="AN1626" s="458"/>
      <c r="BC1626" s="169"/>
    </row>
    <row r="1627" spans="40:55" ht="15.75" customHeight="1">
      <c r="AN1627" s="458"/>
      <c r="BC1627" s="169"/>
    </row>
    <row r="1628" spans="40:55" ht="15.75" customHeight="1">
      <c r="AN1628" s="458"/>
      <c r="BC1628" s="169"/>
    </row>
    <row r="1629" spans="40:55" ht="15.75" customHeight="1">
      <c r="AN1629" s="458"/>
      <c r="BC1629" s="169"/>
    </row>
    <row r="1630" spans="40:55" ht="15.75" customHeight="1">
      <c r="AN1630" s="458"/>
      <c r="BC1630" s="169"/>
    </row>
    <row r="1631" spans="40:55" ht="15.75" customHeight="1">
      <c r="AN1631" s="458"/>
      <c r="BC1631" s="169"/>
    </row>
    <row r="1632" spans="40:55" ht="15.75" customHeight="1">
      <c r="AN1632" s="458"/>
      <c r="BC1632" s="169"/>
    </row>
    <row r="1633" spans="40:55" ht="15.75" customHeight="1">
      <c r="AN1633" s="458"/>
      <c r="BC1633" s="169"/>
    </row>
    <row r="1634" spans="40:55" ht="15.75" customHeight="1">
      <c r="AN1634" s="458"/>
      <c r="BC1634" s="169"/>
    </row>
    <row r="1635" spans="40:55" ht="15.75" customHeight="1">
      <c r="AN1635" s="458"/>
      <c r="BC1635" s="169"/>
    </row>
    <row r="1636" spans="40:55" ht="15.75" customHeight="1">
      <c r="AN1636" s="458"/>
      <c r="BC1636" s="169"/>
    </row>
    <row r="1637" spans="40:55" ht="15.75" customHeight="1">
      <c r="AN1637" s="458"/>
      <c r="BC1637" s="169"/>
    </row>
    <row r="1638" spans="40:55" ht="15.75" customHeight="1">
      <c r="AN1638" s="458"/>
      <c r="BC1638" s="169"/>
    </row>
    <row r="1639" spans="40:55" ht="15.75" customHeight="1">
      <c r="AN1639" s="458"/>
      <c r="BC1639" s="169"/>
    </row>
    <row r="1640" spans="40:55" ht="15.75" customHeight="1">
      <c r="AN1640" s="458"/>
      <c r="BC1640" s="169"/>
    </row>
    <row r="1641" spans="40:55" ht="15.75" customHeight="1">
      <c r="AN1641" s="458"/>
      <c r="BC1641" s="169"/>
    </row>
    <row r="1642" spans="40:55" ht="15.75" customHeight="1">
      <c r="AN1642" s="458"/>
      <c r="BC1642" s="169"/>
    </row>
    <row r="1643" spans="40:55" ht="15.75" customHeight="1">
      <c r="AN1643" s="458"/>
      <c r="BC1643" s="169"/>
    </row>
    <row r="1644" spans="40:55" ht="15.75" customHeight="1">
      <c r="AN1644" s="458"/>
      <c r="BC1644" s="169"/>
    </row>
    <row r="1645" spans="40:55" ht="15.75" customHeight="1">
      <c r="AN1645" s="458"/>
      <c r="BC1645" s="169"/>
    </row>
    <row r="1646" spans="40:55" ht="15.75" customHeight="1">
      <c r="AN1646" s="458"/>
      <c r="BC1646" s="169"/>
    </row>
    <row r="1647" spans="40:55" ht="15.75" customHeight="1">
      <c r="AN1647" s="458"/>
      <c r="BC1647" s="169"/>
    </row>
    <row r="1648" spans="40:55" ht="15.75" customHeight="1">
      <c r="AN1648" s="458"/>
      <c r="BC1648" s="169"/>
    </row>
    <row r="1649" spans="40:55" ht="15.75" customHeight="1">
      <c r="AN1649" s="458"/>
      <c r="BC1649" s="169"/>
    </row>
    <row r="1650" spans="40:55" ht="15.75" customHeight="1">
      <c r="AN1650" s="458"/>
      <c r="BC1650" s="169"/>
    </row>
    <row r="1651" spans="40:55" ht="15.75" customHeight="1">
      <c r="AN1651" s="458"/>
      <c r="BC1651" s="169"/>
    </row>
    <row r="1652" spans="40:55" ht="15.75" customHeight="1">
      <c r="AN1652" s="458"/>
      <c r="BC1652" s="169"/>
    </row>
    <row r="1653" spans="40:55" ht="15.75" customHeight="1">
      <c r="AN1653" s="458"/>
      <c r="BC1653" s="169"/>
    </row>
    <row r="1654" spans="40:55" ht="15.75" customHeight="1">
      <c r="AN1654" s="458"/>
      <c r="BC1654" s="169"/>
    </row>
    <row r="1655" spans="40:55" ht="15.75" customHeight="1">
      <c r="AN1655" s="458"/>
      <c r="BC1655" s="169"/>
    </row>
    <row r="1656" spans="40:55" ht="15.75" customHeight="1">
      <c r="AN1656" s="458"/>
      <c r="BC1656" s="169"/>
    </row>
    <row r="1657" spans="40:55" ht="15.75" customHeight="1">
      <c r="AN1657" s="458"/>
      <c r="BC1657" s="169"/>
    </row>
    <row r="1658" spans="40:55" ht="15.75" customHeight="1">
      <c r="AN1658" s="458"/>
      <c r="BC1658" s="169"/>
    </row>
    <row r="1659" spans="40:55" ht="15.75" customHeight="1">
      <c r="AN1659" s="458"/>
      <c r="BC1659" s="169"/>
    </row>
    <row r="1660" spans="40:55" ht="15.75" customHeight="1">
      <c r="AN1660" s="458"/>
      <c r="BC1660" s="169"/>
    </row>
    <row r="1661" spans="40:55" ht="15.75" customHeight="1">
      <c r="AN1661" s="458"/>
      <c r="BC1661" s="169"/>
    </row>
    <row r="1662" spans="40:55" ht="15.75" customHeight="1">
      <c r="AN1662" s="458"/>
      <c r="BC1662" s="169"/>
    </row>
    <row r="1663" spans="40:55" ht="15.75" customHeight="1">
      <c r="AN1663" s="458"/>
      <c r="BC1663" s="169"/>
    </row>
    <row r="1664" spans="40:55" ht="15.75" customHeight="1">
      <c r="AN1664" s="458"/>
      <c r="BC1664" s="169"/>
    </row>
    <row r="1665" spans="40:55" ht="15.75" customHeight="1">
      <c r="AN1665" s="458"/>
      <c r="BC1665" s="169"/>
    </row>
    <row r="1666" spans="40:55" ht="15.75" customHeight="1">
      <c r="AN1666" s="458"/>
      <c r="BC1666" s="169"/>
    </row>
    <row r="1667" spans="40:55" ht="15.75" customHeight="1">
      <c r="AN1667" s="458"/>
      <c r="BC1667" s="169"/>
    </row>
    <row r="1668" spans="40:55" ht="15.75" customHeight="1">
      <c r="AN1668" s="458"/>
      <c r="BC1668" s="169"/>
    </row>
    <row r="1669" spans="40:55" ht="15.75" customHeight="1">
      <c r="AN1669" s="458"/>
      <c r="BC1669" s="169"/>
    </row>
    <row r="1670" spans="40:55" ht="15.75" customHeight="1">
      <c r="AN1670" s="458"/>
      <c r="BC1670" s="169"/>
    </row>
    <row r="1671" spans="40:55" ht="15.75" customHeight="1">
      <c r="AN1671" s="458"/>
      <c r="BC1671" s="169"/>
    </row>
    <row r="1672" spans="40:55" ht="15.75" customHeight="1">
      <c r="AN1672" s="458"/>
      <c r="BC1672" s="169"/>
    </row>
    <row r="1673" spans="40:55" ht="15.75" customHeight="1">
      <c r="AN1673" s="458"/>
      <c r="BC1673" s="169"/>
    </row>
    <row r="1674" spans="40:55" ht="15.75" customHeight="1">
      <c r="AN1674" s="458"/>
      <c r="BC1674" s="169"/>
    </row>
    <row r="1675" spans="40:55" ht="15.75" customHeight="1">
      <c r="AN1675" s="458"/>
      <c r="BC1675" s="169"/>
    </row>
    <row r="1676" spans="40:55" ht="15.75" customHeight="1">
      <c r="AN1676" s="458"/>
      <c r="BC1676" s="169"/>
    </row>
    <row r="1677" spans="40:55" ht="15.75" customHeight="1">
      <c r="AN1677" s="458"/>
      <c r="BC1677" s="169"/>
    </row>
    <row r="1678" spans="40:55" ht="15.75" customHeight="1">
      <c r="AN1678" s="458"/>
      <c r="BC1678" s="169"/>
    </row>
    <row r="1679" spans="40:55" ht="15.75" customHeight="1">
      <c r="AN1679" s="458"/>
      <c r="BC1679" s="169"/>
    </row>
    <row r="1680" spans="40:55" ht="15.75" customHeight="1">
      <c r="AN1680" s="458"/>
      <c r="BC1680" s="169"/>
    </row>
    <row r="1681" spans="40:55" ht="15.75" customHeight="1">
      <c r="AN1681" s="458"/>
      <c r="BC1681" s="169"/>
    </row>
    <row r="1682" spans="40:55" ht="15.75" customHeight="1">
      <c r="AN1682" s="458"/>
      <c r="BC1682" s="169"/>
    </row>
    <row r="1683" spans="40:55" ht="15.75" customHeight="1">
      <c r="AN1683" s="458"/>
      <c r="BC1683" s="169"/>
    </row>
    <row r="1684" spans="40:55" ht="15.75" customHeight="1">
      <c r="AN1684" s="458"/>
      <c r="BC1684" s="169"/>
    </row>
    <row r="1685" spans="40:55" ht="15.75" customHeight="1">
      <c r="AN1685" s="458"/>
      <c r="BC1685" s="169"/>
    </row>
    <row r="1686" spans="40:55" ht="15.75" customHeight="1">
      <c r="AN1686" s="458"/>
      <c r="BC1686" s="169"/>
    </row>
    <row r="1687" spans="40:55" ht="15.75" customHeight="1">
      <c r="AN1687" s="458"/>
      <c r="BC1687" s="169"/>
    </row>
    <row r="1688" spans="40:55" ht="15.75" customHeight="1">
      <c r="AN1688" s="458"/>
      <c r="BC1688" s="169"/>
    </row>
    <row r="1689" spans="40:55" ht="15.75" customHeight="1">
      <c r="AN1689" s="458"/>
      <c r="BC1689" s="169"/>
    </row>
    <row r="1690" spans="40:55" ht="15.75" customHeight="1">
      <c r="AN1690" s="458"/>
      <c r="BC1690" s="169"/>
    </row>
    <row r="1691" spans="40:55" ht="15.75" customHeight="1">
      <c r="AN1691" s="458"/>
      <c r="BC1691" s="169"/>
    </row>
    <row r="1692" spans="40:55" ht="15.75" customHeight="1">
      <c r="AN1692" s="458"/>
      <c r="BC1692" s="169"/>
    </row>
    <row r="1693" spans="40:55" ht="15.75" customHeight="1">
      <c r="AN1693" s="458"/>
      <c r="BC1693" s="169"/>
    </row>
    <row r="1694" spans="40:55" ht="15.75" customHeight="1">
      <c r="AN1694" s="458"/>
      <c r="BC1694" s="169"/>
    </row>
    <row r="1695" spans="40:55" ht="15.75" customHeight="1">
      <c r="AN1695" s="458"/>
      <c r="BC1695" s="169"/>
    </row>
    <row r="1696" spans="40:55" ht="15.75" customHeight="1">
      <c r="AN1696" s="458"/>
      <c r="BC1696" s="169"/>
    </row>
    <row r="1697" spans="40:55" ht="15.75" customHeight="1">
      <c r="AN1697" s="458"/>
      <c r="BC1697" s="169"/>
    </row>
    <row r="1698" spans="40:55" ht="15.75" customHeight="1">
      <c r="AN1698" s="458"/>
      <c r="BC1698" s="169"/>
    </row>
    <row r="1699" spans="40:55" ht="15.75" customHeight="1">
      <c r="AN1699" s="458"/>
      <c r="BC1699" s="169"/>
    </row>
    <row r="1700" spans="40:55" ht="15.75" customHeight="1">
      <c r="AN1700" s="458"/>
      <c r="BC1700" s="169"/>
    </row>
    <row r="1701" spans="40:55" ht="15.75" customHeight="1">
      <c r="AN1701" s="458"/>
      <c r="BC1701" s="169"/>
    </row>
    <row r="1702" spans="40:55" ht="15.75" customHeight="1">
      <c r="AN1702" s="458"/>
      <c r="BC1702" s="169"/>
    </row>
    <row r="1703" spans="40:55" ht="15.75" customHeight="1">
      <c r="AN1703" s="458"/>
      <c r="BC1703" s="169"/>
    </row>
    <row r="1704" spans="40:55" ht="15.75" customHeight="1">
      <c r="AN1704" s="458"/>
      <c r="BC1704" s="169"/>
    </row>
    <row r="1705" spans="40:55" ht="15.75" customHeight="1">
      <c r="AN1705" s="458"/>
      <c r="BC1705" s="169"/>
    </row>
    <row r="1706" spans="40:55" ht="15.75" customHeight="1">
      <c r="AN1706" s="458"/>
      <c r="BC1706" s="169"/>
    </row>
    <row r="1707" spans="40:55" ht="15.75" customHeight="1">
      <c r="AN1707" s="458"/>
      <c r="BC1707" s="169"/>
    </row>
    <row r="1708" spans="40:55" ht="15.75" customHeight="1">
      <c r="AN1708" s="458"/>
      <c r="BC1708" s="169"/>
    </row>
    <row r="1709" spans="40:55" ht="15.75" customHeight="1">
      <c r="AN1709" s="458"/>
      <c r="BC1709" s="169"/>
    </row>
    <row r="1710" spans="40:55" ht="15.75" customHeight="1">
      <c r="AN1710" s="458"/>
      <c r="BC1710" s="169"/>
    </row>
    <row r="1711" spans="40:55" ht="15.75" customHeight="1">
      <c r="AN1711" s="458"/>
      <c r="BC1711" s="169"/>
    </row>
    <row r="1712" spans="40:55" ht="15.75" customHeight="1">
      <c r="AN1712" s="458"/>
      <c r="BC1712" s="169"/>
    </row>
    <row r="1713" spans="40:55" ht="15.75" customHeight="1">
      <c r="AN1713" s="458"/>
      <c r="BC1713" s="169"/>
    </row>
    <row r="1714" spans="40:55" ht="15.75" customHeight="1">
      <c r="AN1714" s="458"/>
      <c r="BC1714" s="169"/>
    </row>
    <row r="1715" spans="40:55" ht="15.75" customHeight="1">
      <c r="AN1715" s="458"/>
      <c r="BC1715" s="169"/>
    </row>
    <row r="1716" spans="40:55" ht="15.75" customHeight="1">
      <c r="AN1716" s="458"/>
      <c r="BC1716" s="169"/>
    </row>
    <row r="1717" spans="40:55" ht="15.75" customHeight="1">
      <c r="AN1717" s="458"/>
      <c r="BC1717" s="169"/>
    </row>
    <row r="1718" spans="40:55" ht="15.75" customHeight="1">
      <c r="AN1718" s="458"/>
      <c r="BC1718" s="169"/>
    </row>
    <row r="1719" spans="40:55" ht="15.75" customHeight="1">
      <c r="AN1719" s="458"/>
      <c r="BC1719" s="169"/>
    </row>
    <row r="1720" spans="40:55" ht="15.75" customHeight="1">
      <c r="AN1720" s="458"/>
      <c r="BC1720" s="169"/>
    </row>
    <row r="1721" spans="40:55" ht="15.75" customHeight="1">
      <c r="AN1721" s="458"/>
      <c r="BC1721" s="169"/>
    </row>
    <row r="1722" spans="40:55" ht="15.75" customHeight="1">
      <c r="AN1722" s="458"/>
      <c r="BC1722" s="169"/>
    </row>
    <row r="1723" spans="40:55" ht="15.75" customHeight="1">
      <c r="AN1723" s="458"/>
      <c r="BC1723" s="169"/>
    </row>
    <row r="1724" spans="40:55" ht="15.75" customHeight="1">
      <c r="AN1724" s="458"/>
      <c r="BC1724" s="169"/>
    </row>
    <row r="1725" spans="40:55" ht="15.75" customHeight="1">
      <c r="AN1725" s="458"/>
      <c r="BC1725" s="169"/>
    </row>
    <row r="1726" spans="40:55" ht="15.75" customHeight="1">
      <c r="AN1726" s="458"/>
      <c r="BC1726" s="169"/>
    </row>
    <row r="1727" spans="40:55" ht="15.75" customHeight="1">
      <c r="AN1727" s="458"/>
      <c r="BC1727" s="169"/>
    </row>
    <row r="1728" spans="40:55" ht="15.75" customHeight="1">
      <c r="AN1728" s="458"/>
      <c r="BC1728" s="169"/>
    </row>
    <row r="1729" spans="40:55" ht="15.75" customHeight="1">
      <c r="AN1729" s="458"/>
      <c r="BC1729" s="169"/>
    </row>
    <row r="1730" spans="40:55" ht="15.75" customHeight="1">
      <c r="AN1730" s="458"/>
      <c r="BC1730" s="169"/>
    </row>
    <row r="1731" spans="40:55" ht="15.75" customHeight="1">
      <c r="AN1731" s="458"/>
      <c r="BC1731" s="169"/>
    </row>
    <row r="1732" spans="40:55" ht="15.75" customHeight="1">
      <c r="AN1732" s="458"/>
      <c r="BC1732" s="169"/>
    </row>
    <row r="1733" spans="40:55" ht="15.75" customHeight="1">
      <c r="AN1733" s="458"/>
      <c r="BC1733" s="169"/>
    </row>
    <row r="1734" spans="40:55" ht="15.75" customHeight="1">
      <c r="AN1734" s="458"/>
      <c r="BC1734" s="169"/>
    </row>
    <row r="1735" spans="40:55" ht="15.75" customHeight="1">
      <c r="AN1735" s="458"/>
      <c r="BC1735" s="169"/>
    </row>
    <row r="1736" spans="40:55" ht="15.75" customHeight="1">
      <c r="AN1736" s="458"/>
      <c r="BC1736" s="169"/>
    </row>
    <row r="1737" spans="40:55" ht="15.75" customHeight="1">
      <c r="AN1737" s="458"/>
      <c r="BC1737" s="169"/>
    </row>
    <row r="1738" spans="40:55" ht="15.75" customHeight="1">
      <c r="AN1738" s="458"/>
      <c r="BC1738" s="169"/>
    </row>
    <row r="1739" spans="40:55" ht="15.75" customHeight="1">
      <c r="AN1739" s="458"/>
      <c r="BC1739" s="169"/>
    </row>
    <row r="1740" spans="40:55" ht="15.75" customHeight="1">
      <c r="AN1740" s="458"/>
      <c r="BC1740" s="169"/>
    </row>
    <row r="1741" spans="40:55" ht="15.75" customHeight="1">
      <c r="AN1741" s="458"/>
      <c r="BC1741" s="169"/>
    </row>
    <row r="1742" spans="40:55" ht="15.75" customHeight="1">
      <c r="AN1742" s="458"/>
      <c r="BC1742" s="169"/>
    </row>
    <row r="1743" spans="40:55" ht="15.75" customHeight="1">
      <c r="AN1743" s="458"/>
      <c r="BC1743" s="169"/>
    </row>
    <row r="1744" spans="40:55" ht="15.75" customHeight="1">
      <c r="AN1744" s="458"/>
      <c r="BC1744" s="169"/>
    </row>
    <row r="1745" spans="40:55" ht="15.75" customHeight="1">
      <c r="AN1745" s="458"/>
      <c r="BC1745" s="169"/>
    </row>
    <row r="1746" spans="40:55" ht="15.75" customHeight="1">
      <c r="AN1746" s="458"/>
      <c r="BC1746" s="169"/>
    </row>
    <row r="1747" spans="40:55" ht="15.75" customHeight="1">
      <c r="AN1747" s="458"/>
      <c r="BC1747" s="169"/>
    </row>
    <row r="1748" spans="40:55" ht="15.75" customHeight="1">
      <c r="AN1748" s="458"/>
      <c r="BC1748" s="169"/>
    </row>
    <row r="1749" spans="40:55" ht="15.75" customHeight="1">
      <c r="AN1749" s="458"/>
      <c r="BC1749" s="169"/>
    </row>
    <row r="1750" spans="40:55" ht="15.75" customHeight="1">
      <c r="AN1750" s="458"/>
      <c r="BC1750" s="169"/>
    </row>
    <row r="1751" spans="40:55" ht="15.75" customHeight="1">
      <c r="AN1751" s="458"/>
      <c r="BC1751" s="169"/>
    </row>
    <row r="1752" spans="40:55" ht="15.75" customHeight="1">
      <c r="AN1752" s="458"/>
      <c r="BC1752" s="169"/>
    </row>
    <row r="1753" spans="40:55" ht="15.75" customHeight="1">
      <c r="AN1753" s="458"/>
      <c r="BC1753" s="169"/>
    </row>
    <row r="1754" spans="40:55" ht="15.75" customHeight="1">
      <c r="AN1754" s="458"/>
      <c r="BC1754" s="169"/>
    </row>
    <row r="1755" spans="40:55" ht="15.75" customHeight="1">
      <c r="AN1755" s="458"/>
      <c r="BC1755" s="169"/>
    </row>
    <row r="1756" spans="40:55" ht="15.75" customHeight="1">
      <c r="AN1756" s="458"/>
      <c r="BC1756" s="169"/>
    </row>
    <row r="1757" spans="40:55" ht="15.75" customHeight="1">
      <c r="AN1757" s="458"/>
      <c r="BC1757" s="169"/>
    </row>
    <row r="1758" spans="40:55" ht="15.75" customHeight="1">
      <c r="AN1758" s="458"/>
      <c r="BC1758" s="169"/>
    </row>
    <row r="1759" spans="40:55" ht="15.75" customHeight="1">
      <c r="AN1759" s="458"/>
      <c r="BC1759" s="169"/>
    </row>
    <row r="1760" spans="40:55" ht="15.75" customHeight="1">
      <c r="AN1760" s="458"/>
      <c r="BC1760" s="169"/>
    </row>
    <row r="1761" spans="40:55" ht="15.75" customHeight="1">
      <c r="AN1761" s="458"/>
      <c r="BC1761" s="169"/>
    </row>
    <row r="1762" spans="40:55" ht="15.75" customHeight="1">
      <c r="AN1762" s="458"/>
      <c r="BC1762" s="169"/>
    </row>
    <row r="1763" spans="40:55" ht="15.75" customHeight="1">
      <c r="AN1763" s="458"/>
      <c r="BC1763" s="169"/>
    </row>
    <row r="1764" spans="40:55" ht="15.75" customHeight="1">
      <c r="AN1764" s="458"/>
      <c r="BC1764" s="169"/>
    </row>
    <row r="1765" spans="40:55" ht="15.75" customHeight="1">
      <c r="AN1765" s="458"/>
      <c r="BC1765" s="169"/>
    </row>
    <row r="1766" spans="40:55" ht="15.75" customHeight="1">
      <c r="AN1766" s="458"/>
      <c r="BC1766" s="169"/>
    </row>
    <row r="1767" spans="40:55" ht="15.75" customHeight="1">
      <c r="AN1767" s="458"/>
      <c r="BC1767" s="169"/>
    </row>
    <row r="1768" spans="40:55" ht="15.75" customHeight="1">
      <c r="AN1768" s="458"/>
      <c r="BC1768" s="169"/>
    </row>
    <row r="1769" spans="40:55" ht="15.75" customHeight="1">
      <c r="AN1769" s="458"/>
      <c r="BC1769" s="169"/>
    </row>
    <row r="1770" spans="40:55" ht="15.75" customHeight="1">
      <c r="AN1770" s="458"/>
      <c r="BC1770" s="169"/>
    </row>
    <row r="1771" spans="40:55" ht="15.75" customHeight="1">
      <c r="AN1771" s="458"/>
      <c r="BC1771" s="169"/>
    </row>
    <row r="1772" spans="40:55" ht="15.75" customHeight="1">
      <c r="AN1772" s="458"/>
      <c r="BC1772" s="169"/>
    </row>
    <row r="1773" spans="40:55" ht="15.75" customHeight="1">
      <c r="AN1773" s="458"/>
      <c r="BC1773" s="169"/>
    </row>
    <row r="1774" spans="40:55" ht="15.75" customHeight="1">
      <c r="AN1774" s="458"/>
      <c r="BC1774" s="169"/>
    </row>
    <row r="1775" spans="40:55" ht="15.75" customHeight="1">
      <c r="AN1775" s="458"/>
      <c r="BC1775" s="169"/>
    </row>
    <row r="1776" spans="40:55" ht="15.75" customHeight="1">
      <c r="AN1776" s="458"/>
      <c r="BC1776" s="169"/>
    </row>
    <row r="1777" spans="40:55" ht="15.75" customHeight="1">
      <c r="AN1777" s="458"/>
      <c r="BC1777" s="169"/>
    </row>
    <row r="1778" spans="40:55" ht="15.75" customHeight="1">
      <c r="AN1778" s="458"/>
      <c r="BC1778" s="169"/>
    </row>
    <row r="1779" spans="40:55" ht="15.75" customHeight="1">
      <c r="AN1779" s="458"/>
      <c r="BC1779" s="169"/>
    </row>
    <row r="1780" spans="40:55" ht="15.75" customHeight="1">
      <c r="AN1780" s="458"/>
      <c r="BC1780" s="169"/>
    </row>
    <row r="1781" spans="40:55" ht="15.75" customHeight="1">
      <c r="AN1781" s="458"/>
      <c r="BC1781" s="169"/>
    </row>
    <row r="1782" spans="40:55" ht="15.75" customHeight="1">
      <c r="AN1782" s="458"/>
      <c r="BC1782" s="169"/>
    </row>
    <row r="1783" spans="40:55" ht="15.75" customHeight="1">
      <c r="AN1783" s="458"/>
      <c r="BC1783" s="169"/>
    </row>
    <row r="1784" spans="40:55" ht="15.75" customHeight="1">
      <c r="AN1784" s="458"/>
      <c r="BC1784" s="169"/>
    </row>
    <row r="1785" spans="40:55" ht="15.75" customHeight="1">
      <c r="AN1785" s="458"/>
      <c r="BC1785" s="169"/>
    </row>
    <row r="1786" spans="40:55" ht="15.75" customHeight="1">
      <c r="AN1786" s="458"/>
      <c r="BC1786" s="169"/>
    </row>
    <row r="1787" spans="40:55" ht="15.75" customHeight="1">
      <c r="AN1787" s="458"/>
      <c r="BC1787" s="169"/>
    </row>
    <row r="1788" spans="40:55" ht="15.75" customHeight="1">
      <c r="AN1788" s="458"/>
      <c r="BC1788" s="169"/>
    </row>
    <row r="1789" spans="40:55" ht="15.75" customHeight="1">
      <c r="AN1789" s="458"/>
      <c r="BC1789" s="169"/>
    </row>
    <row r="1790" spans="40:55" ht="15.75" customHeight="1">
      <c r="AN1790" s="458"/>
      <c r="BC1790" s="169"/>
    </row>
    <row r="1791" spans="40:55" ht="15.75" customHeight="1">
      <c r="AN1791" s="458"/>
      <c r="BC1791" s="169"/>
    </row>
    <row r="1792" spans="40:55" ht="15.75" customHeight="1">
      <c r="AN1792" s="458"/>
      <c r="BC1792" s="169"/>
    </row>
    <row r="1793" spans="40:55" ht="15.75" customHeight="1">
      <c r="AN1793" s="458"/>
      <c r="BC1793" s="169"/>
    </row>
    <row r="1794" spans="40:55" ht="15.75" customHeight="1">
      <c r="AN1794" s="458"/>
      <c r="BC1794" s="169"/>
    </row>
    <row r="1795" spans="40:55" ht="15.75" customHeight="1">
      <c r="AN1795" s="458"/>
      <c r="BC1795" s="169"/>
    </row>
    <row r="1796" spans="40:55" ht="15.75" customHeight="1">
      <c r="AN1796" s="458"/>
      <c r="BC1796" s="169"/>
    </row>
    <row r="1797" spans="40:55" ht="15.75" customHeight="1">
      <c r="AN1797" s="458"/>
      <c r="BC1797" s="169"/>
    </row>
    <row r="1798" spans="40:55" ht="15.75" customHeight="1">
      <c r="AN1798" s="458"/>
      <c r="BC1798" s="169"/>
    </row>
    <row r="1799" spans="40:55" ht="15.75" customHeight="1">
      <c r="AN1799" s="458"/>
      <c r="BC1799" s="169"/>
    </row>
    <row r="1800" spans="40:55" ht="15.75" customHeight="1">
      <c r="AN1800" s="458"/>
      <c r="BC1800" s="169"/>
    </row>
    <row r="1801" spans="40:55" ht="15.75" customHeight="1">
      <c r="AN1801" s="458"/>
      <c r="BC1801" s="169"/>
    </row>
    <row r="1802" spans="40:55" ht="15.75" customHeight="1">
      <c r="AN1802" s="458"/>
      <c r="BC1802" s="169"/>
    </row>
    <row r="1803" spans="40:55" ht="15.75" customHeight="1">
      <c r="AN1803" s="458"/>
      <c r="BC1803" s="169"/>
    </row>
    <row r="1804" spans="40:55" ht="15.75" customHeight="1">
      <c r="AN1804" s="458"/>
      <c r="BC1804" s="169"/>
    </row>
    <row r="1805" spans="40:55" ht="15.75" customHeight="1">
      <c r="AN1805" s="458"/>
      <c r="BC1805" s="169"/>
    </row>
    <row r="1806" spans="40:55" ht="15.75" customHeight="1">
      <c r="AN1806" s="458"/>
      <c r="BC1806" s="169"/>
    </row>
    <row r="1807" spans="40:55" ht="15.75" customHeight="1">
      <c r="AN1807" s="458"/>
      <c r="BC1807" s="169"/>
    </row>
    <row r="1808" spans="40:55" ht="15.75" customHeight="1">
      <c r="AN1808" s="458"/>
      <c r="BC1808" s="169"/>
    </row>
    <row r="1809" spans="40:55" ht="15.75" customHeight="1">
      <c r="AN1809" s="458"/>
      <c r="BC1809" s="169"/>
    </row>
    <row r="1810" spans="40:55" ht="15.75" customHeight="1">
      <c r="AN1810" s="458"/>
      <c r="BC1810" s="169"/>
    </row>
    <row r="1811" spans="40:55" ht="15.75" customHeight="1">
      <c r="AN1811" s="458"/>
      <c r="BC1811" s="169"/>
    </row>
    <row r="1812" spans="40:55" ht="15.75" customHeight="1">
      <c r="AN1812" s="458"/>
      <c r="BC1812" s="169"/>
    </row>
    <row r="1813" spans="40:55" ht="15.75" customHeight="1">
      <c r="AN1813" s="458"/>
      <c r="BC1813" s="169"/>
    </row>
    <row r="1814" spans="40:55" ht="15.75" customHeight="1">
      <c r="AN1814" s="458"/>
      <c r="BC1814" s="169"/>
    </row>
    <row r="1815" spans="40:55" ht="15.75" customHeight="1">
      <c r="AN1815" s="458"/>
      <c r="BC1815" s="169"/>
    </row>
    <row r="1816" spans="40:55" ht="15.75" customHeight="1">
      <c r="AN1816" s="458"/>
      <c r="BC1816" s="169"/>
    </row>
    <row r="1817" spans="40:55" ht="15.75" customHeight="1">
      <c r="AN1817" s="458"/>
      <c r="BC1817" s="169"/>
    </row>
    <row r="1818" spans="40:55" ht="15.75" customHeight="1">
      <c r="AN1818" s="458"/>
      <c r="BC1818" s="169"/>
    </row>
    <row r="1819" spans="40:55" ht="15.75" customHeight="1">
      <c r="AN1819" s="458"/>
      <c r="BC1819" s="169"/>
    </row>
    <row r="1820" spans="40:55" ht="15.75" customHeight="1">
      <c r="AN1820" s="458"/>
      <c r="BC1820" s="169"/>
    </row>
    <row r="1821" spans="40:55" ht="15.75" customHeight="1">
      <c r="AN1821" s="458"/>
      <c r="BC1821" s="169"/>
    </row>
    <row r="1822" spans="40:55" ht="15.75" customHeight="1">
      <c r="AN1822" s="458"/>
      <c r="BC1822" s="169"/>
    </row>
    <row r="1823" spans="40:55" ht="15.75" customHeight="1">
      <c r="AN1823" s="458"/>
      <c r="BC1823" s="169"/>
    </row>
    <row r="1824" spans="40:55" ht="15.75" customHeight="1">
      <c r="AN1824" s="458"/>
      <c r="BC1824" s="169"/>
    </row>
    <row r="1825" spans="40:55" ht="15.75" customHeight="1">
      <c r="AN1825" s="458"/>
      <c r="BC1825" s="169"/>
    </row>
    <row r="1826" spans="40:55" ht="15.75" customHeight="1">
      <c r="AN1826" s="458"/>
      <c r="BC1826" s="169"/>
    </row>
    <row r="1827" spans="40:55" ht="15.75" customHeight="1">
      <c r="AN1827" s="458"/>
      <c r="BC1827" s="169"/>
    </row>
    <row r="1828" spans="40:55" ht="15.75" customHeight="1">
      <c r="AN1828" s="458"/>
      <c r="BC1828" s="169"/>
    </row>
    <row r="1829" spans="40:55" ht="15.75" customHeight="1">
      <c r="AN1829" s="458"/>
      <c r="BC1829" s="169"/>
    </row>
    <row r="1830" spans="40:55" ht="15.75" customHeight="1">
      <c r="AN1830" s="458"/>
      <c r="BC1830" s="169"/>
    </row>
    <row r="1831" spans="40:55" ht="15.75" customHeight="1">
      <c r="AN1831" s="458"/>
      <c r="BC1831" s="169"/>
    </row>
    <row r="1832" spans="40:55" ht="15.75" customHeight="1">
      <c r="AN1832" s="458"/>
      <c r="BC1832" s="169"/>
    </row>
    <row r="1833" spans="40:55" ht="15.75" customHeight="1">
      <c r="AN1833" s="458"/>
      <c r="BC1833" s="169"/>
    </row>
    <row r="1834" spans="40:55" ht="15.75" customHeight="1">
      <c r="AN1834" s="458"/>
      <c r="BC1834" s="169"/>
    </row>
    <row r="1835" spans="40:55" ht="15.75" customHeight="1">
      <c r="AN1835" s="458"/>
      <c r="BC1835" s="169"/>
    </row>
    <row r="1836" spans="40:55" ht="15.75" customHeight="1">
      <c r="AN1836" s="458"/>
      <c r="BC1836" s="169"/>
    </row>
    <row r="1837" spans="40:55" ht="15.75" customHeight="1">
      <c r="AN1837" s="458"/>
      <c r="BC1837" s="169"/>
    </row>
    <row r="1838" spans="40:55" ht="15.75" customHeight="1">
      <c r="AN1838" s="458"/>
      <c r="BC1838" s="169"/>
    </row>
    <row r="1839" spans="40:55" ht="15.75" customHeight="1">
      <c r="AN1839" s="458"/>
      <c r="BC1839" s="169"/>
    </row>
    <row r="1840" spans="40:55" ht="15.75" customHeight="1">
      <c r="AN1840" s="458"/>
      <c r="BC1840" s="169"/>
    </row>
    <row r="1841" spans="40:55" ht="15.75" customHeight="1">
      <c r="AN1841" s="458"/>
      <c r="BC1841" s="169"/>
    </row>
    <row r="1842" spans="40:55" ht="15.75" customHeight="1">
      <c r="AN1842" s="458"/>
      <c r="BC1842" s="169"/>
    </row>
    <row r="1843" spans="40:55" ht="15.75" customHeight="1">
      <c r="AN1843" s="458"/>
      <c r="BC1843" s="169"/>
    </row>
    <row r="1844" spans="40:55" ht="15.75" customHeight="1">
      <c r="AN1844" s="458"/>
      <c r="BC1844" s="169"/>
    </row>
    <row r="1845" spans="40:55" ht="15.75" customHeight="1">
      <c r="AN1845" s="458"/>
      <c r="BC1845" s="169"/>
    </row>
    <row r="1846" spans="40:55" ht="15.75" customHeight="1">
      <c r="AN1846" s="458"/>
      <c r="BC1846" s="169"/>
    </row>
    <row r="1847" spans="40:55" ht="15.75" customHeight="1">
      <c r="AN1847" s="458"/>
      <c r="BC1847" s="169"/>
    </row>
    <row r="1848" spans="40:55" ht="15.75" customHeight="1">
      <c r="AN1848" s="458"/>
      <c r="BC1848" s="169"/>
    </row>
    <row r="1849" spans="40:55" ht="15.75" customHeight="1">
      <c r="AN1849" s="458"/>
      <c r="BC1849" s="169"/>
    </row>
    <row r="1850" spans="40:55" ht="15.75" customHeight="1">
      <c r="AN1850" s="458"/>
      <c r="BC1850" s="169"/>
    </row>
    <row r="1851" spans="40:55" ht="15.75" customHeight="1">
      <c r="AN1851" s="458"/>
      <c r="BC1851" s="169"/>
    </row>
    <row r="1852" spans="40:55" ht="15.75" customHeight="1">
      <c r="AN1852" s="458"/>
      <c r="BC1852" s="169"/>
    </row>
    <row r="1853" spans="40:55" ht="15.75" customHeight="1">
      <c r="AN1853" s="458"/>
      <c r="BC1853" s="169"/>
    </row>
    <row r="1854" spans="40:55" ht="15.75" customHeight="1">
      <c r="AN1854" s="458"/>
      <c r="BC1854" s="169"/>
    </row>
    <row r="1855" spans="40:55" ht="15.75" customHeight="1">
      <c r="AN1855" s="458"/>
      <c r="BC1855" s="169"/>
    </row>
    <row r="1856" spans="40:55" ht="15.75" customHeight="1">
      <c r="AN1856" s="458"/>
      <c r="BC1856" s="169"/>
    </row>
    <row r="1857" spans="40:55" ht="15.75" customHeight="1">
      <c r="AN1857" s="458"/>
      <c r="BC1857" s="169"/>
    </row>
    <row r="1858" spans="40:55" ht="15.75" customHeight="1">
      <c r="AN1858" s="458"/>
      <c r="BC1858" s="169"/>
    </row>
    <row r="1859" spans="40:55" ht="15.75" customHeight="1">
      <c r="AN1859" s="458"/>
      <c r="BC1859" s="169"/>
    </row>
    <row r="1860" spans="40:55" ht="15.75" customHeight="1">
      <c r="AN1860" s="458"/>
      <c r="BC1860" s="169"/>
    </row>
    <row r="1861" spans="40:55" ht="15.75" customHeight="1">
      <c r="AN1861" s="458"/>
      <c r="BC1861" s="169"/>
    </row>
    <row r="1862" spans="40:55" ht="15.75" customHeight="1">
      <c r="AN1862" s="458"/>
      <c r="BC1862" s="169"/>
    </row>
    <row r="1863" spans="40:55" ht="15.75" customHeight="1">
      <c r="AN1863" s="458"/>
      <c r="BC1863" s="169"/>
    </row>
    <row r="1864" spans="40:55" ht="15.75" customHeight="1">
      <c r="AN1864" s="458"/>
      <c r="BC1864" s="169"/>
    </row>
    <row r="1865" spans="40:55" ht="15.75" customHeight="1">
      <c r="AN1865" s="458"/>
      <c r="BC1865" s="169"/>
    </row>
    <row r="1866" spans="40:55" ht="15.75" customHeight="1">
      <c r="AN1866" s="458"/>
      <c r="BC1866" s="169"/>
    </row>
    <row r="1867" spans="40:55" ht="15.75" customHeight="1">
      <c r="AN1867" s="458"/>
      <c r="BC1867" s="169"/>
    </row>
    <row r="1868" spans="40:55" ht="15.75" customHeight="1">
      <c r="AN1868" s="458"/>
      <c r="BC1868" s="169"/>
    </row>
    <row r="1869" spans="40:55" ht="15.75" customHeight="1">
      <c r="AN1869" s="458"/>
      <c r="BC1869" s="169"/>
    </row>
    <row r="1870" spans="40:55" ht="15.75" customHeight="1">
      <c r="AN1870" s="458"/>
      <c r="BC1870" s="169"/>
    </row>
    <row r="1871" spans="40:55" ht="15.75" customHeight="1">
      <c r="AN1871" s="458"/>
      <c r="BC1871" s="169"/>
    </row>
    <row r="1872" spans="40:55" ht="15.75" customHeight="1">
      <c r="AN1872" s="458"/>
      <c r="BC1872" s="169"/>
    </row>
    <row r="1873" spans="40:55" ht="15.75" customHeight="1">
      <c r="AN1873" s="458"/>
      <c r="BC1873" s="169"/>
    </row>
    <row r="1874" spans="40:55" ht="15.75" customHeight="1">
      <c r="AN1874" s="458"/>
      <c r="BC1874" s="169"/>
    </row>
    <row r="1875" spans="40:55" ht="15.75" customHeight="1">
      <c r="AN1875" s="458"/>
      <c r="BC1875" s="169"/>
    </row>
    <row r="1876" spans="40:55" ht="15.75" customHeight="1">
      <c r="AN1876" s="458"/>
      <c r="BC1876" s="169"/>
    </row>
    <row r="1877" spans="40:55" ht="15.75" customHeight="1">
      <c r="AN1877" s="458"/>
      <c r="BC1877" s="169"/>
    </row>
    <row r="1878" spans="40:55" ht="15.75" customHeight="1">
      <c r="AN1878" s="458"/>
      <c r="BC1878" s="169"/>
    </row>
    <row r="1879" spans="40:55" ht="15.75" customHeight="1">
      <c r="AN1879" s="458"/>
      <c r="BC1879" s="169"/>
    </row>
    <row r="1880" spans="40:55" ht="15.75" customHeight="1">
      <c r="AN1880" s="458"/>
      <c r="BC1880" s="169"/>
    </row>
    <row r="1881" spans="40:55" ht="15.75" customHeight="1">
      <c r="AN1881" s="458"/>
      <c r="BC1881" s="169"/>
    </row>
    <row r="1882" spans="40:55" ht="15.75" customHeight="1">
      <c r="AN1882" s="458"/>
      <c r="BC1882" s="169"/>
    </row>
    <row r="1883" spans="40:55" ht="15.75" customHeight="1">
      <c r="AN1883" s="458"/>
      <c r="BC1883" s="169"/>
    </row>
    <row r="1884" spans="40:55" ht="15.75" customHeight="1">
      <c r="AN1884" s="458"/>
      <c r="BC1884" s="169"/>
    </row>
    <row r="1885" spans="40:55" ht="15.75" customHeight="1">
      <c r="AN1885" s="458"/>
      <c r="BC1885" s="169"/>
    </row>
    <row r="1886" spans="40:55" ht="15.75" customHeight="1">
      <c r="AN1886" s="458"/>
      <c r="BC1886" s="169"/>
    </row>
    <row r="1887" spans="40:55" ht="15.75" customHeight="1">
      <c r="AN1887" s="458"/>
      <c r="BC1887" s="169"/>
    </row>
    <row r="1888" spans="40:55" ht="15.75" customHeight="1">
      <c r="AN1888" s="458"/>
      <c r="BC1888" s="169"/>
    </row>
    <row r="1889" spans="40:55" ht="15.75" customHeight="1">
      <c r="AN1889" s="458"/>
      <c r="BC1889" s="169"/>
    </row>
    <row r="1890" spans="40:55" ht="15.75" customHeight="1">
      <c r="AN1890" s="458"/>
      <c r="BC1890" s="169"/>
    </row>
    <row r="1891" spans="40:55" ht="15.75" customHeight="1">
      <c r="AN1891" s="458"/>
      <c r="BC1891" s="169"/>
    </row>
    <row r="1892" spans="40:55" ht="15.75" customHeight="1">
      <c r="AN1892" s="458"/>
      <c r="BC1892" s="169"/>
    </row>
    <row r="1893" spans="40:55" ht="15.75" customHeight="1">
      <c r="AN1893" s="458"/>
      <c r="BC1893" s="169"/>
    </row>
    <row r="1894" spans="40:55" ht="15.75" customHeight="1">
      <c r="AN1894" s="458"/>
      <c r="BC1894" s="169"/>
    </row>
    <row r="1895" spans="40:55" ht="15.75" customHeight="1">
      <c r="AN1895" s="458"/>
      <c r="BC1895" s="169"/>
    </row>
    <row r="1896" spans="40:55" ht="15.75" customHeight="1">
      <c r="AN1896" s="458"/>
      <c r="BC1896" s="169"/>
    </row>
    <row r="1897" spans="40:55" ht="15.75" customHeight="1">
      <c r="AN1897" s="458"/>
      <c r="BC1897" s="169"/>
    </row>
    <row r="1898" spans="40:55" ht="15.75" customHeight="1">
      <c r="AN1898" s="458"/>
      <c r="BC1898" s="169"/>
    </row>
    <row r="1899" spans="40:55" ht="15.75" customHeight="1">
      <c r="AN1899" s="458"/>
      <c r="BC1899" s="169"/>
    </row>
    <row r="1900" spans="40:55" ht="15.75" customHeight="1">
      <c r="AN1900" s="458"/>
      <c r="BC1900" s="169"/>
    </row>
    <row r="1901" spans="40:55" ht="15.75" customHeight="1">
      <c r="AN1901" s="458"/>
      <c r="BC1901" s="169"/>
    </row>
    <row r="1902" spans="40:55" ht="15.75" customHeight="1">
      <c r="AN1902" s="458"/>
      <c r="BC1902" s="169"/>
    </row>
    <row r="1903" spans="40:55" ht="15.75" customHeight="1">
      <c r="AN1903" s="458"/>
      <c r="BC1903" s="169"/>
    </row>
    <row r="1904" spans="40:55" ht="15.75" customHeight="1">
      <c r="AN1904" s="458"/>
      <c r="BC1904" s="169"/>
    </row>
    <row r="1905" spans="40:55" ht="15.75" customHeight="1">
      <c r="AN1905" s="458"/>
      <c r="BC1905" s="169"/>
    </row>
    <row r="1906" spans="40:55" ht="15.75" customHeight="1">
      <c r="AN1906" s="458"/>
      <c r="BC1906" s="169"/>
    </row>
    <row r="1907" spans="40:55" ht="15.75" customHeight="1">
      <c r="AN1907" s="458"/>
      <c r="BC1907" s="169"/>
    </row>
    <row r="1908" spans="40:55" ht="15.75" customHeight="1">
      <c r="AN1908" s="458"/>
      <c r="BC1908" s="169"/>
    </row>
    <row r="1909" spans="40:55" ht="15.75" customHeight="1">
      <c r="AN1909" s="458"/>
      <c r="BC1909" s="169"/>
    </row>
    <row r="1910" spans="40:55" ht="15.75" customHeight="1">
      <c r="AN1910" s="458"/>
      <c r="BC1910" s="169"/>
    </row>
    <row r="1911" spans="40:55" ht="15.75" customHeight="1">
      <c r="AN1911" s="458"/>
      <c r="BC1911" s="169"/>
    </row>
    <row r="1912" spans="40:55" ht="15.75" customHeight="1">
      <c r="AN1912" s="458"/>
      <c r="BC1912" s="169"/>
    </row>
    <row r="1913" spans="40:55" ht="15.75" customHeight="1">
      <c r="AN1913" s="458"/>
      <c r="BC1913" s="169"/>
    </row>
    <row r="1914" spans="40:55" ht="15.75" customHeight="1">
      <c r="AN1914" s="458"/>
      <c r="BC1914" s="169"/>
    </row>
    <row r="1915" spans="40:55" ht="15.75" customHeight="1">
      <c r="AN1915" s="458"/>
      <c r="BC1915" s="169"/>
    </row>
    <row r="1916" spans="40:55" ht="15.75" customHeight="1">
      <c r="AN1916" s="458"/>
      <c r="BC1916" s="169"/>
    </row>
    <row r="1917" spans="40:55" ht="15.75" customHeight="1">
      <c r="AN1917" s="458"/>
      <c r="BC1917" s="169"/>
    </row>
    <row r="1918" spans="40:55" ht="15.75" customHeight="1">
      <c r="AN1918" s="458"/>
      <c r="BC1918" s="169"/>
    </row>
    <row r="1919" spans="40:55" ht="15.75" customHeight="1">
      <c r="AN1919" s="458"/>
      <c r="BC1919" s="169"/>
    </row>
    <row r="1920" spans="40:55" ht="15.75" customHeight="1">
      <c r="AN1920" s="458"/>
      <c r="BC1920" s="169"/>
    </row>
    <row r="1921" spans="40:55" ht="15.75" customHeight="1">
      <c r="AN1921" s="458"/>
      <c r="BC1921" s="169"/>
    </row>
    <row r="1922" spans="40:55" ht="15.75" customHeight="1">
      <c r="AN1922" s="458"/>
      <c r="BC1922" s="169"/>
    </row>
    <row r="1923" spans="40:55" ht="15.75" customHeight="1">
      <c r="AN1923" s="458"/>
      <c r="BC1923" s="169"/>
    </row>
    <row r="1924" spans="40:55" ht="15.75" customHeight="1">
      <c r="AN1924" s="458"/>
      <c r="BC1924" s="169"/>
    </row>
    <row r="1925" spans="40:55" ht="15.75" customHeight="1">
      <c r="AN1925" s="458"/>
      <c r="BC1925" s="169"/>
    </row>
    <row r="1926" spans="40:55" ht="15.75" customHeight="1">
      <c r="AN1926" s="458"/>
      <c r="BC1926" s="169"/>
    </row>
    <row r="1927" spans="40:55" ht="15.75" customHeight="1">
      <c r="AN1927" s="458"/>
      <c r="BC1927" s="169"/>
    </row>
    <row r="1928" spans="40:55" ht="15.75" customHeight="1">
      <c r="AN1928" s="458"/>
      <c r="BC1928" s="169"/>
    </row>
    <row r="1929" spans="40:55" ht="15.75" customHeight="1">
      <c r="AN1929" s="458"/>
      <c r="BC1929" s="169"/>
    </row>
    <row r="1930" spans="40:55" ht="15.75" customHeight="1">
      <c r="AN1930" s="458"/>
      <c r="BC1930" s="169"/>
    </row>
    <row r="1931" spans="40:55" ht="15.75" customHeight="1">
      <c r="AN1931" s="458"/>
      <c r="BC1931" s="169"/>
    </row>
    <row r="1932" spans="40:55" ht="15.75" customHeight="1">
      <c r="AN1932" s="458"/>
      <c r="BC1932" s="169"/>
    </row>
    <row r="1933" spans="40:55" ht="15.75" customHeight="1">
      <c r="AN1933" s="458"/>
      <c r="BC1933" s="169"/>
    </row>
    <row r="1934" spans="40:55" ht="15.75" customHeight="1">
      <c r="AN1934" s="458"/>
      <c r="BC1934" s="169"/>
    </row>
    <row r="1935" spans="40:55" ht="15.75" customHeight="1">
      <c r="AN1935" s="458"/>
      <c r="BC1935" s="169"/>
    </row>
    <row r="1936" spans="40:55" ht="15.75" customHeight="1">
      <c r="AN1936" s="458"/>
      <c r="BC1936" s="169"/>
    </row>
    <row r="1937" spans="40:55" ht="15.75" customHeight="1">
      <c r="AN1937" s="458"/>
      <c r="BC1937" s="169"/>
    </row>
    <row r="1938" spans="40:55" ht="15.75" customHeight="1">
      <c r="AN1938" s="458"/>
      <c r="BC1938" s="169"/>
    </row>
    <row r="1939" spans="40:55" ht="15.75" customHeight="1">
      <c r="AN1939" s="458"/>
      <c r="BC1939" s="169"/>
    </row>
    <row r="1940" spans="40:55" ht="15.75" customHeight="1">
      <c r="AN1940" s="458"/>
      <c r="BC1940" s="169"/>
    </row>
    <row r="1941" spans="40:55" ht="15.75" customHeight="1">
      <c r="AN1941" s="458"/>
      <c r="BC1941" s="169"/>
    </row>
    <row r="1942" spans="40:55" ht="15.75" customHeight="1">
      <c r="AN1942" s="458"/>
      <c r="BC1942" s="169"/>
    </row>
    <row r="1943" spans="40:55" ht="15.75" customHeight="1">
      <c r="AN1943" s="458"/>
      <c r="BC1943" s="169"/>
    </row>
    <row r="1944" spans="40:55" ht="15.75" customHeight="1">
      <c r="AN1944" s="458"/>
      <c r="BC1944" s="169"/>
    </row>
    <row r="1945" spans="40:55" ht="15.75" customHeight="1">
      <c r="AN1945" s="458"/>
      <c r="BC1945" s="169"/>
    </row>
    <row r="1946" spans="40:55" ht="15.75" customHeight="1">
      <c r="AN1946" s="458"/>
      <c r="BC1946" s="169"/>
    </row>
    <row r="1947" spans="40:55" ht="15.75" customHeight="1">
      <c r="AN1947" s="458"/>
      <c r="BC1947" s="169"/>
    </row>
    <row r="1948" spans="40:55" ht="15.75" customHeight="1">
      <c r="AN1948" s="458"/>
      <c r="BC1948" s="169"/>
    </row>
    <row r="1949" spans="40:55" ht="15.75" customHeight="1">
      <c r="AN1949" s="458"/>
      <c r="BC1949" s="169"/>
    </row>
    <row r="1950" spans="40:55" ht="15.75" customHeight="1">
      <c r="AN1950" s="458"/>
      <c r="BC1950" s="169"/>
    </row>
    <row r="1951" spans="40:55" ht="15.75" customHeight="1">
      <c r="AN1951" s="458"/>
      <c r="BC1951" s="169"/>
    </row>
    <row r="1952" spans="40:55" ht="15.75" customHeight="1">
      <c r="AN1952" s="458"/>
      <c r="BC1952" s="169"/>
    </row>
    <row r="1953" spans="40:55" ht="15.75" customHeight="1">
      <c r="AN1953" s="458"/>
      <c r="BC1953" s="169"/>
    </row>
    <row r="1954" spans="40:55" ht="15.75" customHeight="1">
      <c r="AN1954" s="458"/>
      <c r="BC1954" s="169"/>
    </row>
    <row r="1955" spans="40:55" ht="15.75" customHeight="1">
      <c r="AN1955" s="458"/>
      <c r="BC1955" s="169"/>
    </row>
    <row r="1956" spans="40:55" ht="15.75" customHeight="1">
      <c r="AN1956" s="458"/>
      <c r="BC1956" s="169"/>
    </row>
    <row r="1957" spans="40:55" ht="15.75" customHeight="1">
      <c r="AN1957" s="458"/>
      <c r="BC1957" s="169"/>
    </row>
    <row r="1958" spans="40:55" ht="15.75" customHeight="1">
      <c r="AN1958" s="458"/>
      <c r="BC1958" s="169"/>
    </row>
    <row r="1959" spans="40:55" ht="15.75" customHeight="1">
      <c r="AN1959" s="458"/>
      <c r="BC1959" s="169"/>
    </row>
    <row r="1960" spans="40:55" ht="15.75" customHeight="1">
      <c r="AN1960" s="458"/>
      <c r="BC1960" s="169"/>
    </row>
    <row r="1961" spans="40:55" ht="15.75" customHeight="1">
      <c r="AN1961" s="458"/>
      <c r="BC1961" s="169"/>
    </row>
    <row r="1962" spans="40:55" ht="15.75" customHeight="1">
      <c r="AN1962" s="458"/>
      <c r="BC1962" s="169"/>
    </row>
    <row r="1963" spans="40:55" ht="15.75" customHeight="1">
      <c r="AN1963" s="458"/>
      <c r="BC1963" s="169"/>
    </row>
    <row r="1964" spans="40:55" ht="15.75" customHeight="1">
      <c r="AN1964" s="458"/>
      <c r="BC1964" s="169"/>
    </row>
    <row r="1965" spans="40:55" ht="15.75" customHeight="1">
      <c r="AN1965" s="458"/>
      <c r="BC1965" s="169"/>
    </row>
    <row r="1966" spans="40:55" ht="15.75" customHeight="1">
      <c r="AN1966" s="458"/>
      <c r="BC1966" s="169"/>
    </row>
    <row r="1967" spans="40:55" ht="15.75" customHeight="1">
      <c r="AN1967" s="458"/>
      <c r="BC1967" s="169"/>
    </row>
    <row r="1968" spans="40:55" ht="15.75" customHeight="1">
      <c r="AN1968" s="458"/>
      <c r="BC1968" s="169"/>
    </row>
    <row r="1969" spans="40:55" ht="15.75" customHeight="1">
      <c r="AN1969" s="458"/>
      <c r="BC1969" s="169"/>
    </row>
    <row r="1970" spans="40:55" ht="15.75" customHeight="1">
      <c r="AN1970" s="458"/>
      <c r="BC1970" s="169"/>
    </row>
    <row r="1971" spans="40:55" ht="15.75" customHeight="1">
      <c r="AN1971" s="458"/>
      <c r="BC1971" s="169"/>
    </row>
    <row r="1972" spans="40:55" ht="15.75" customHeight="1">
      <c r="AN1972" s="458"/>
      <c r="BC1972" s="169"/>
    </row>
    <row r="1973" spans="40:55" ht="15.75" customHeight="1">
      <c r="AN1973" s="458"/>
      <c r="BC1973" s="169"/>
    </row>
    <row r="1974" spans="40:55" ht="15.75" customHeight="1">
      <c r="AN1974" s="458"/>
      <c r="BC1974" s="169"/>
    </row>
    <row r="1975" spans="40:55" ht="15.75" customHeight="1">
      <c r="AN1975" s="458"/>
      <c r="BC1975" s="169"/>
    </row>
    <row r="1976" spans="40:55" ht="15.75" customHeight="1">
      <c r="AN1976" s="458"/>
      <c r="BC1976" s="169"/>
    </row>
    <row r="1977" spans="40:55" ht="15.75" customHeight="1">
      <c r="AN1977" s="458"/>
      <c r="BC1977" s="169"/>
    </row>
    <row r="1978" spans="40:55" ht="15.75" customHeight="1">
      <c r="AN1978" s="458"/>
      <c r="BC1978" s="169"/>
    </row>
    <row r="1979" spans="40:55" ht="15.75" customHeight="1">
      <c r="AN1979" s="458"/>
      <c r="BC1979" s="169"/>
    </row>
    <row r="1980" spans="40:55" ht="15.75" customHeight="1">
      <c r="AN1980" s="458"/>
      <c r="BC1980" s="169"/>
    </row>
    <row r="1981" spans="40:55" ht="15.75" customHeight="1">
      <c r="AN1981" s="458"/>
      <c r="BC1981" s="169"/>
    </row>
    <row r="1982" spans="40:55" ht="15.75" customHeight="1">
      <c r="AN1982" s="458"/>
      <c r="BC1982" s="169"/>
    </row>
    <row r="1983" spans="40:55" ht="15.75" customHeight="1">
      <c r="AN1983" s="458"/>
      <c r="BC1983" s="169"/>
    </row>
    <row r="1984" spans="40:55" ht="15.75" customHeight="1">
      <c r="AN1984" s="458"/>
      <c r="BC1984" s="169"/>
    </row>
    <row r="1985" spans="40:55" ht="15.75" customHeight="1">
      <c r="AN1985" s="458"/>
      <c r="BC1985" s="169"/>
    </row>
    <row r="1986" spans="40:55" ht="15.75" customHeight="1">
      <c r="AN1986" s="458"/>
      <c r="BC1986" s="169"/>
    </row>
    <row r="1987" spans="40:55" ht="15.75" customHeight="1">
      <c r="AN1987" s="458"/>
      <c r="BC1987" s="169"/>
    </row>
    <row r="1988" spans="40:55" ht="15.75" customHeight="1">
      <c r="AN1988" s="458"/>
      <c r="BC1988" s="169"/>
    </row>
    <row r="1989" spans="40:55" ht="15.75" customHeight="1">
      <c r="AN1989" s="458"/>
      <c r="BC1989" s="169"/>
    </row>
    <row r="1990" spans="40:55" ht="15.75" customHeight="1">
      <c r="AN1990" s="458"/>
      <c r="BC1990" s="169"/>
    </row>
    <row r="1991" spans="40:55" ht="15.75" customHeight="1">
      <c r="AN1991" s="458"/>
      <c r="BC1991" s="169"/>
    </row>
    <row r="1992" spans="40:55" ht="15.75" customHeight="1">
      <c r="AN1992" s="458"/>
      <c r="BC1992" s="169"/>
    </row>
    <row r="1993" spans="40:55" ht="15.75" customHeight="1">
      <c r="AN1993" s="458"/>
      <c r="BC1993" s="169"/>
    </row>
    <row r="1994" spans="40:55" ht="15.75" customHeight="1">
      <c r="AN1994" s="458"/>
      <c r="BC1994" s="169"/>
    </row>
    <row r="1995" spans="40:55" ht="15.75" customHeight="1">
      <c r="AN1995" s="458"/>
      <c r="BC1995" s="169"/>
    </row>
    <row r="1996" spans="40:55" ht="15.75" customHeight="1">
      <c r="AN1996" s="458"/>
      <c r="BC1996" s="169"/>
    </row>
    <row r="1997" spans="40:55" ht="15.75" customHeight="1">
      <c r="AN1997" s="458"/>
      <c r="BC1997" s="169"/>
    </row>
    <row r="1998" spans="40:55" ht="15.75" customHeight="1">
      <c r="AN1998" s="458"/>
      <c r="BC1998" s="169"/>
    </row>
    <row r="1999" spans="40:55" ht="15.75" customHeight="1">
      <c r="AN1999" s="458"/>
      <c r="BC1999" s="169"/>
    </row>
    <row r="2000" spans="40:55" ht="15.75" customHeight="1">
      <c r="AN2000" s="458"/>
    </row>
    <row r="2001" spans="40:40" ht="15.75" customHeight="1">
      <c r="AN2001" s="458"/>
    </row>
    <row r="2002" spans="40:40" ht="15.75" customHeight="1">
      <c r="AN2002" s="458"/>
    </row>
    <row r="2003" spans="40:40" ht="15.75" customHeight="1">
      <c r="AN2003" s="458"/>
    </row>
    <row r="2004" spans="40:40" ht="15.75" customHeight="1">
      <c r="AN2004" s="458"/>
    </row>
    <row r="2005" spans="40:40" ht="15.75" customHeight="1">
      <c r="AN2005" s="458"/>
    </row>
    <row r="2006" spans="40:40" ht="15.75" customHeight="1">
      <c r="AN2006" s="458"/>
    </row>
    <row r="2007" spans="40:40" ht="15.75" customHeight="1">
      <c r="AN2007" s="458"/>
    </row>
    <row r="2008" spans="40:40" ht="15.75" customHeight="1">
      <c r="AN2008" s="458"/>
    </row>
    <row r="2009" spans="40:40" ht="15.75" customHeight="1">
      <c r="AN2009" s="458"/>
    </row>
    <row r="2010" spans="40:40" ht="15.75" customHeight="1">
      <c r="AN2010" s="458"/>
    </row>
    <row r="2011" spans="40:40" ht="15.75" customHeight="1">
      <c r="AN2011" s="458"/>
    </row>
    <row r="2012" spans="40:40" ht="15.75" customHeight="1">
      <c r="AN2012" s="458"/>
    </row>
    <row r="2013" spans="40:40" ht="15.75" customHeight="1">
      <c r="AN2013" s="458"/>
    </row>
    <row r="2014" spans="40:40" ht="15.75" customHeight="1">
      <c r="AN2014" s="458"/>
    </row>
    <row r="2015" spans="40:40" ht="15.75" customHeight="1">
      <c r="AN2015" s="458"/>
    </row>
    <row r="2016" spans="40:40" ht="15.75" customHeight="1">
      <c r="AN2016" s="458"/>
    </row>
    <row r="2017" spans="40:40" ht="15.75" customHeight="1">
      <c r="AN2017" s="458"/>
    </row>
    <row r="2018" spans="40:40" ht="15.75" customHeight="1">
      <c r="AN2018" s="458"/>
    </row>
    <row r="2019" spans="40:40" ht="15.75" customHeight="1">
      <c r="AN2019" s="458"/>
    </row>
    <row r="2020" spans="40:40" ht="15.75" customHeight="1">
      <c r="AN2020" s="458"/>
    </row>
    <row r="2021" spans="40:40" ht="15.75" customHeight="1">
      <c r="AN2021" s="458"/>
    </row>
    <row r="2022" spans="40:40" ht="15.75" customHeight="1">
      <c r="AN2022" s="458"/>
    </row>
    <row r="2023" spans="40:40" ht="15.75" customHeight="1">
      <c r="AN2023" s="458"/>
    </row>
    <row r="2024" spans="40:40" ht="15.75" customHeight="1">
      <c r="AN2024" s="458"/>
    </row>
    <row r="2025" spans="40:40" ht="15.75" customHeight="1">
      <c r="AN2025" s="458"/>
    </row>
    <row r="2026" spans="40:40" ht="15.75" customHeight="1">
      <c r="AN2026" s="458"/>
    </row>
    <row r="2027" spans="40:40" ht="15.75" customHeight="1">
      <c r="AN2027" s="458"/>
    </row>
    <row r="2028" spans="40:40" ht="15.75" customHeight="1">
      <c r="AN2028" s="458"/>
    </row>
    <row r="2029" spans="40:40" ht="15.75" customHeight="1">
      <c r="AN2029" s="458"/>
    </row>
    <row r="2030" spans="40:40" ht="15.75" customHeight="1">
      <c r="AN2030" s="458"/>
    </row>
    <row r="2031" spans="40:40" ht="15.75" customHeight="1">
      <c r="AN2031" s="458"/>
    </row>
    <row r="2032" spans="40:40" ht="15.75" customHeight="1">
      <c r="AN2032" s="458"/>
    </row>
    <row r="2033" spans="40:40" ht="15.75" customHeight="1">
      <c r="AN2033" s="458"/>
    </row>
    <row r="2034" spans="40:40" ht="15.75" customHeight="1">
      <c r="AN2034" s="458"/>
    </row>
    <row r="2035" spans="40:40" ht="15.75" customHeight="1">
      <c r="AN2035" s="458"/>
    </row>
    <row r="2036" spans="40:40" ht="15.75" customHeight="1">
      <c r="AN2036" s="458"/>
    </row>
    <row r="2037" spans="40:40" ht="15.75" customHeight="1">
      <c r="AN2037" s="458"/>
    </row>
    <row r="2038" spans="40:40" ht="15.75" customHeight="1">
      <c r="AN2038" s="458"/>
    </row>
    <row r="2039" spans="40:40" ht="15.75" customHeight="1">
      <c r="AN2039" s="458"/>
    </row>
    <row r="2040" spans="40:40" ht="15.75" customHeight="1">
      <c r="AN2040" s="458"/>
    </row>
    <row r="2041" spans="40:40" ht="15.75" customHeight="1">
      <c r="AN2041" s="458"/>
    </row>
    <row r="2042" spans="40:40" ht="15.75" customHeight="1">
      <c r="AN2042" s="458"/>
    </row>
    <row r="2043" spans="40:40" ht="15.75" customHeight="1">
      <c r="AN2043" s="458"/>
    </row>
    <row r="2044" spans="40:40" ht="15.75" customHeight="1">
      <c r="AN2044" s="458"/>
    </row>
    <row r="2045" spans="40:40" ht="15.75" customHeight="1">
      <c r="AN2045" s="458"/>
    </row>
    <row r="2046" spans="40:40" ht="15.75" customHeight="1">
      <c r="AN2046" s="458"/>
    </row>
    <row r="2047" spans="40:40" ht="15.75" customHeight="1">
      <c r="AN2047" s="458"/>
    </row>
    <row r="2048" spans="40:40" ht="15.75" customHeight="1">
      <c r="AN2048" s="458"/>
    </row>
    <row r="2049" spans="40:40" ht="15.75" customHeight="1">
      <c r="AN2049" s="458"/>
    </row>
    <row r="2050" spans="40:40" ht="15.75" customHeight="1">
      <c r="AN2050" s="458"/>
    </row>
    <row r="2051" spans="40:40" ht="15.75" customHeight="1">
      <c r="AN2051" s="458"/>
    </row>
    <row r="2052" spans="40:40" ht="15.75" customHeight="1">
      <c r="AN2052" s="458"/>
    </row>
    <row r="2053" spans="40:40" ht="15.75" customHeight="1">
      <c r="AN2053" s="458"/>
    </row>
    <row r="2054" spans="40:40" ht="15.75" customHeight="1">
      <c r="AN2054" s="458"/>
    </row>
    <row r="2055" spans="40:40" ht="15.75" customHeight="1">
      <c r="AN2055" s="458"/>
    </row>
    <row r="2056" spans="40:40" ht="15.75" customHeight="1">
      <c r="AN2056" s="458"/>
    </row>
    <row r="2057" spans="40:40" ht="15.75" customHeight="1">
      <c r="AN2057" s="458"/>
    </row>
    <row r="2058" spans="40:40" ht="15.75" customHeight="1">
      <c r="AN2058" s="458"/>
    </row>
    <row r="2059" spans="40:40" ht="15.75" customHeight="1">
      <c r="AN2059" s="458"/>
    </row>
    <row r="2060" spans="40:40" ht="15.75" customHeight="1">
      <c r="AN2060" s="458"/>
    </row>
    <row r="2061" spans="40:40" ht="15.75" customHeight="1">
      <c r="AN2061" s="458"/>
    </row>
    <row r="2062" spans="40:40" ht="15.75" customHeight="1">
      <c r="AN2062" s="458"/>
    </row>
    <row r="2063" spans="40:40" ht="15.75" customHeight="1">
      <c r="AN2063" s="458"/>
    </row>
    <row r="2064" spans="40:40" ht="15.75" customHeight="1">
      <c r="AN2064" s="458"/>
    </row>
    <row r="2065" spans="40:40" ht="15.75" customHeight="1">
      <c r="AN2065" s="458"/>
    </row>
    <row r="2066" spans="40:40" ht="15.75" customHeight="1">
      <c r="AN2066" s="458"/>
    </row>
    <row r="2067" spans="40:40" ht="15.75" customHeight="1">
      <c r="AN2067" s="458"/>
    </row>
    <row r="2068" spans="40:40" ht="15.75" customHeight="1">
      <c r="AN2068" s="458"/>
    </row>
    <row r="2069" spans="40:40" ht="15.75" customHeight="1">
      <c r="AN2069" s="458"/>
    </row>
    <row r="2070" spans="40:40" ht="15.75" customHeight="1">
      <c r="AN2070" s="458"/>
    </row>
    <row r="2071" spans="40:40" ht="15.75" customHeight="1">
      <c r="AN2071" s="458"/>
    </row>
    <row r="2072" spans="40:40" ht="15.75" customHeight="1">
      <c r="AN2072" s="458"/>
    </row>
    <row r="2073" spans="40:40" ht="15.75" customHeight="1">
      <c r="AN2073" s="458"/>
    </row>
    <row r="2074" spans="40:40" ht="15.75" customHeight="1">
      <c r="AN2074" s="458"/>
    </row>
    <row r="2075" spans="40:40" ht="15.75" customHeight="1">
      <c r="AN2075" s="458"/>
    </row>
    <row r="2076" spans="40:40" ht="15.75" customHeight="1">
      <c r="AN2076" s="458"/>
    </row>
    <row r="2077" spans="40:40" ht="15.75" customHeight="1">
      <c r="AN2077" s="458"/>
    </row>
    <row r="2078" spans="40:40" ht="15.75" customHeight="1">
      <c r="AN2078" s="458"/>
    </row>
    <row r="2079" spans="40:40" ht="15.75" customHeight="1">
      <c r="AN2079" s="458"/>
    </row>
    <row r="2080" spans="40:40" ht="15.75" customHeight="1">
      <c r="AN2080" s="458"/>
    </row>
    <row r="2081" spans="40:40" ht="15.75" customHeight="1">
      <c r="AN2081" s="458"/>
    </row>
    <row r="2082" spans="40:40" ht="15.75" customHeight="1">
      <c r="AN2082" s="458"/>
    </row>
    <row r="2083" spans="40:40" ht="15.75" customHeight="1">
      <c r="AN2083" s="458"/>
    </row>
    <row r="2084" spans="40:40" ht="15.75" customHeight="1">
      <c r="AN2084" s="458"/>
    </row>
    <row r="2085" spans="40:40" ht="15.75" customHeight="1">
      <c r="AN2085" s="458"/>
    </row>
    <row r="2086" spans="40:40" ht="15.75" customHeight="1">
      <c r="AN2086" s="458"/>
    </row>
    <row r="2087" spans="40:40" ht="15.75" customHeight="1">
      <c r="AN2087" s="458"/>
    </row>
    <row r="2088" spans="40:40" ht="15.75" customHeight="1">
      <c r="AN2088" s="458"/>
    </row>
    <row r="2089" spans="40:40" ht="15.75" customHeight="1">
      <c r="AN2089" s="458"/>
    </row>
    <row r="2090" spans="40:40" ht="15.75" customHeight="1">
      <c r="AN2090" s="458"/>
    </row>
    <row r="2091" spans="40:40" ht="15.75" customHeight="1">
      <c r="AN2091" s="458"/>
    </row>
    <row r="2092" spans="40:40" ht="15.75" customHeight="1">
      <c r="AN2092" s="458"/>
    </row>
    <row r="2093" spans="40:40" ht="15.75" customHeight="1">
      <c r="AN2093" s="458"/>
    </row>
    <row r="2094" spans="40:40" ht="15.75" customHeight="1">
      <c r="AN2094" s="458"/>
    </row>
    <row r="2095" spans="40:40" ht="15.75" customHeight="1">
      <c r="AN2095" s="458"/>
    </row>
    <row r="2096" spans="40:40" ht="15.75" customHeight="1">
      <c r="AN2096" s="458"/>
    </row>
    <row r="2097" spans="40:40" ht="15.75" customHeight="1">
      <c r="AN2097" s="458"/>
    </row>
    <row r="2098" spans="40:40" ht="15.75" customHeight="1">
      <c r="AN2098" s="458"/>
    </row>
    <row r="2099" spans="40:40" ht="15.75" customHeight="1">
      <c r="AN2099" s="458"/>
    </row>
    <row r="2100" spans="40:40" ht="15.75" customHeight="1">
      <c r="AN2100" s="458"/>
    </row>
    <row r="2101" spans="40:40" ht="15.75" customHeight="1">
      <c r="AN2101" s="458"/>
    </row>
    <row r="2102" spans="40:40" ht="15.75" customHeight="1">
      <c r="AN2102" s="458"/>
    </row>
    <row r="2103" spans="40:40" ht="15.75" customHeight="1">
      <c r="AN2103" s="458"/>
    </row>
    <row r="2104" spans="40:40" ht="15.75" customHeight="1">
      <c r="AN2104" s="458"/>
    </row>
    <row r="2105" spans="40:40" ht="15.75" customHeight="1">
      <c r="AN2105" s="458"/>
    </row>
    <row r="2106" spans="40:40" ht="15.75" customHeight="1">
      <c r="AN2106" s="458"/>
    </row>
    <row r="2107" spans="40:40" ht="15.75" customHeight="1">
      <c r="AN2107" s="458"/>
    </row>
    <row r="2108" spans="40:40" ht="15.75" customHeight="1">
      <c r="AN2108" s="458"/>
    </row>
    <row r="2109" spans="40:40" ht="15.75" customHeight="1">
      <c r="AN2109" s="458"/>
    </row>
    <row r="2110" spans="40:40" ht="15.75" customHeight="1">
      <c r="AN2110" s="458"/>
    </row>
    <row r="2111" spans="40:40" ht="15.75" customHeight="1">
      <c r="AN2111" s="458"/>
    </row>
    <row r="2112" spans="40:40" ht="15.75" customHeight="1">
      <c r="AN2112" s="458"/>
    </row>
    <row r="2113" spans="40:40" ht="15.75" customHeight="1">
      <c r="AN2113" s="458"/>
    </row>
    <row r="2114" spans="40:40" ht="15.75" customHeight="1">
      <c r="AN2114" s="458"/>
    </row>
    <row r="2115" spans="40:40" ht="15.75" customHeight="1">
      <c r="AN2115" s="458"/>
    </row>
    <row r="2116" spans="40:40" ht="15.75" customHeight="1">
      <c r="AN2116" s="458"/>
    </row>
    <row r="2117" spans="40:40" ht="15.75" customHeight="1">
      <c r="AN2117" s="458"/>
    </row>
    <row r="2118" spans="40:40" ht="15.75" customHeight="1">
      <c r="AN2118" s="458"/>
    </row>
    <row r="2119" spans="40:40" ht="15.75" customHeight="1">
      <c r="AN2119" s="458"/>
    </row>
    <row r="2120" spans="40:40" ht="15.75" customHeight="1">
      <c r="AN2120" s="458"/>
    </row>
    <row r="2121" spans="40:40" ht="15.75" customHeight="1">
      <c r="AN2121" s="458"/>
    </row>
    <row r="2122" spans="40:40" ht="15.75" customHeight="1">
      <c r="AN2122" s="458"/>
    </row>
    <row r="2123" spans="40:40" ht="15.75" customHeight="1">
      <c r="AN2123" s="458"/>
    </row>
    <row r="2124" spans="40:40" ht="15.75" customHeight="1">
      <c r="AN2124" s="458"/>
    </row>
    <row r="2125" spans="40:40" ht="15.75" customHeight="1">
      <c r="AN2125" s="458"/>
    </row>
    <row r="2126" spans="40:40" ht="15.75" customHeight="1">
      <c r="AN2126" s="458"/>
    </row>
    <row r="2127" spans="40:40" ht="15.75" customHeight="1">
      <c r="AN2127" s="458"/>
    </row>
    <row r="2128" spans="40:40" ht="15.75" customHeight="1">
      <c r="AN2128" s="458"/>
    </row>
    <row r="2129" spans="40:40" ht="15.75" customHeight="1">
      <c r="AN2129" s="458"/>
    </row>
    <row r="2130" spans="40:40" ht="15.75" customHeight="1">
      <c r="AN2130" s="458"/>
    </row>
    <row r="2131" spans="40:40" ht="15.75" customHeight="1">
      <c r="AN2131" s="458"/>
    </row>
    <row r="2132" spans="40:40" ht="15.75" customHeight="1">
      <c r="AN2132" s="458"/>
    </row>
    <row r="2133" spans="40:40" ht="15.75" customHeight="1">
      <c r="AN2133" s="458"/>
    </row>
    <row r="2134" spans="40:40" ht="15.75" customHeight="1">
      <c r="AN2134" s="458"/>
    </row>
    <row r="2135" spans="40:40" ht="15.75" customHeight="1">
      <c r="AN2135" s="458"/>
    </row>
    <row r="2136" spans="40:40" ht="15.75" customHeight="1">
      <c r="AN2136" s="458"/>
    </row>
    <row r="2137" spans="40:40" ht="15.75" customHeight="1">
      <c r="AN2137" s="458"/>
    </row>
    <row r="2138" spans="40:40" ht="15.75" customHeight="1">
      <c r="AN2138" s="458"/>
    </row>
    <row r="2139" spans="40:40" ht="15.75" customHeight="1">
      <c r="AN2139" s="458"/>
    </row>
    <row r="2140" spans="40:40" ht="15.75" customHeight="1">
      <c r="AN2140" s="458"/>
    </row>
    <row r="2141" spans="40:40" ht="15.75" customHeight="1">
      <c r="AN2141" s="458"/>
    </row>
    <row r="2142" spans="40:40" ht="15.75" customHeight="1">
      <c r="AN2142" s="458"/>
    </row>
    <row r="2143" spans="40:40" ht="15.75" customHeight="1">
      <c r="AN2143" s="458"/>
    </row>
    <row r="2144" spans="40:40" ht="15.75" customHeight="1">
      <c r="AN2144" s="458"/>
    </row>
    <row r="2145" spans="40:40" ht="15.75" customHeight="1">
      <c r="AN2145" s="458"/>
    </row>
    <row r="2146" spans="40:40" ht="15.75" customHeight="1">
      <c r="AN2146" s="458"/>
    </row>
    <row r="2147" spans="40:40" ht="15.75" customHeight="1">
      <c r="AN2147" s="458"/>
    </row>
    <row r="2148" spans="40:40" ht="15.75" customHeight="1">
      <c r="AN2148" s="458"/>
    </row>
    <row r="2149" spans="40:40" ht="15.75" customHeight="1">
      <c r="AN2149" s="458"/>
    </row>
    <row r="2150" spans="40:40" ht="15.75" customHeight="1">
      <c r="AN2150" s="458"/>
    </row>
    <row r="2151" spans="40:40" ht="15.75" customHeight="1">
      <c r="AN2151" s="458"/>
    </row>
    <row r="2152" spans="40:40" ht="15.75" customHeight="1">
      <c r="AN2152" s="458"/>
    </row>
    <row r="2153" spans="40:40" ht="15.75" customHeight="1">
      <c r="AN2153" s="458"/>
    </row>
    <row r="2154" spans="40:40" ht="15.75" customHeight="1">
      <c r="AN2154" s="458"/>
    </row>
    <row r="2155" spans="40:40" ht="15.75" customHeight="1">
      <c r="AN2155" s="458"/>
    </row>
    <row r="2156" spans="40:40" ht="15.75" customHeight="1">
      <c r="AN2156" s="458"/>
    </row>
    <row r="2157" spans="40:40" ht="15.75" customHeight="1">
      <c r="AN2157" s="458"/>
    </row>
    <row r="2158" spans="40:40" ht="15.75" customHeight="1">
      <c r="AN2158" s="458"/>
    </row>
    <row r="2159" spans="40:40" ht="15.75" customHeight="1">
      <c r="AN2159" s="458"/>
    </row>
    <row r="2160" spans="40:40" ht="15.75" customHeight="1">
      <c r="AN2160" s="458"/>
    </row>
    <row r="2161" spans="40:40" ht="15.75" customHeight="1">
      <c r="AN2161" s="458"/>
    </row>
    <row r="2162" spans="40:40" ht="15.75" customHeight="1">
      <c r="AN2162" s="458"/>
    </row>
    <row r="2163" spans="40:40" ht="15.75" customHeight="1">
      <c r="AN2163" s="458"/>
    </row>
    <row r="2164" spans="40:40" ht="15.75" customHeight="1">
      <c r="AN2164" s="458"/>
    </row>
    <row r="2165" spans="40:40" ht="15.75" customHeight="1">
      <c r="AN2165" s="458"/>
    </row>
  </sheetData>
  <autoFilter ref="A2:BG98" xr:uid="{00000000-0009-0000-0000-000009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autoFilter>
  <mergeCells count="10">
    <mergeCell ref="BD1:BG1"/>
    <mergeCell ref="AN2:AP2"/>
    <mergeCell ref="AQ2:AS2"/>
    <mergeCell ref="AT2:AV2"/>
    <mergeCell ref="A1:BB1"/>
    <mergeCell ref="N2:P2"/>
    <mergeCell ref="T2:V2"/>
    <mergeCell ref="W2:Y2"/>
    <mergeCell ref="Z2:AB2"/>
    <mergeCell ref="AC2:AE2"/>
  </mergeCells>
  <conditionalFormatting sqref="BC98:BG98 B4:BA98">
    <cfRule type="expression" dxfId="1296" priority="11">
      <formula>$M4="NON DEFINED"</formula>
    </cfRule>
    <cfRule type="expression" dxfId="1295" priority="12">
      <formula>$AY4="N.D."</formula>
    </cfRule>
  </conditionalFormatting>
  <conditionalFormatting sqref="BE7 BD4 BE9 BE11 BE13 BE15 BE17 BE19 BD21:BE21 BD20 BD23:BE23 BD22 BD26:BE26 BE28 BD27 BE30 BE32 BE34 BE36 BE38 BE40 BE42 BE44 BE46 BE48 BE50 BE54 BG52 BD56:BE56 BD55 BE58 BE60 BE62 BE64 BE66 BE68 BE70 BE72 BE74 BE76 BE78 BE80 BE82 BE84 BE86 BE88 BE90 BE92 BE94 BE96 BG96 BG94 BG92 BG90 BG88 BG86 BG84 BG82 BG80 BG78 BG76 BG74 BG72 BG70 BG68 BG66 BG64 BG62 BG60 BG58 BG56 BG54 BG50 BG48 BG46 BG44 BG42 BG40 BG38 BG36 BG34 BG32 BG30 BG28 BG26 BG23 BG21 BG19 BG17 BG15 BG13 BG11 BG9 BG7">
    <cfRule type="containsBlanks" dxfId="1294" priority="10">
      <formula>LEN(TRIM(BD4))=0</formula>
    </cfRule>
  </conditionalFormatting>
  <conditionalFormatting sqref="BC4:BC97 BC99:BC1999">
    <cfRule type="containsText" dxfId="1293" priority="8" operator="containsText" text="a">
      <formula>NOT(ISERROR(SEARCH("a",BC4)))</formula>
    </cfRule>
    <cfRule type="containsText" dxfId="1292" priority="9" operator="containsText" text="R">
      <formula>NOT(ISERROR(SEARCH("R",BC4)))</formula>
    </cfRule>
  </conditionalFormatting>
  <conditionalFormatting sqref="BA4:BA98">
    <cfRule type="expression" dxfId="1291" priority="7">
      <formula>$BC4="R"</formula>
    </cfRule>
  </conditionalFormatting>
  <conditionalFormatting sqref="BC98:BG98">
    <cfRule type="cellIs" dxfId="1290" priority="2" operator="equal">
      <formula>0</formula>
    </cfRule>
  </conditionalFormatting>
  <conditionalFormatting sqref="A98:BB98">
    <cfRule type="cellIs" dxfId="1289" priority="6" operator="equal">
      <formula>0</formula>
    </cfRule>
  </conditionalFormatting>
  <conditionalFormatting sqref="AN4:AN98">
    <cfRule type="cellIs" dxfId="1288" priority="1" operator="notEqual">
      <formula>5.5</formula>
    </cfRule>
  </conditionalFormatting>
  <printOptions horizontalCentered="1" gridLines="1"/>
  <pageMargins left="0.39370078740157483" right="0.39370078740157483" top="0.78740157480314965" bottom="0.78740157480314965" header="0.31496062992125984" footer="0.31496062992125984"/>
  <pageSetup paperSize="9" scale="53" fitToHeight="0" orientation="landscape" r:id="rId1"/>
  <headerFooter alignWithMargins="0">
    <oddHeader>&amp;L&amp;G&amp;C
LAYOUT AND EQUIPMENT
EP06 TRACK 5 HER
KP82+550 - 85+000&amp;R&amp;G</oddHeader>
    <oddFooter>&amp;L&amp;G
&amp;F&amp;C&amp;D&amp;RPag &amp;P of &amp;N</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35">
    <tabColor theme="2" tint="-0.499984740745262"/>
    <pageSetUpPr fitToPage="1"/>
  </sheetPr>
  <dimension ref="A1:BG2165"/>
  <sheetViews>
    <sheetView view="pageBreakPreview" zoomScale="80" zoomScaleNormal="85" zoomScaleSheetLayoutView="80" workbookViewId="0">
      <pane xSplit="2" ySplit="3" topLeftCell="C4" activePane="bottomRight" state="frozen"/>
      <selection activeCell="G124" sqref="G124"/>
      <selection pane="topRight" activeCell="G124" sqref="G124"/>
      <selection pane="bottomLeft" activeCell="G124" sqref="G124"/>
      <selection pane="bottomRight" activeCell="G124" sqref="G124"/>
    </sheetView>
  </sheetViews>
  <sheetFormatPr baseColWidth="10" defaultColWidth="11.453125" defaultRowHeight="15.75" customHeight="1"/>
  <cols>
    <col min="1" max="1" width="20.6328125" style="178" customWidth="1"/>
    <col min="2" max="2" width="12.6328125" style="178" customWidth="1"/>
    <col min="3" max="3" width="12.6328125" style="184" customWidth="1"/>
    <col min="4" max="5" width="12.6328125" style="178" hidden="1" customWidth="1"/>
    <col min="6" max="6" width="12.6328125" style="178" customWidth="1"/>
    <col min="7" max="7" width="12.36328125" style="454" customWidth="1"/>
    <col min="8" max="8" width="18.6328125" style="178" customWidth="1"/>
    <col min="9" max="9" width="12.6328125" style="178" customWidth="1"/>
    <col min="10" max="10" width="12.6328125" style="184" customWidth="1"/>
    <col min="11" max="11" width="12.6328125" style="178" customWidth="1"/>
    <col min="12" max="13" width="14.6328125" style="178" customWidth="1"/>
    <col min="14" max="16" width="8.6328125" style="178" hidden="1" customWidth="1"/>
    <col min="17" max="19" width="12.6328125" style="178" hidden="1" customWidth="1"/>
    <col min="20" max="28" width="8.6328125" style="178" hidden="1" customWidth="1"/>
    <col min="29" max="31" width="10.6328125" style="178" hidden="1" customWidth="1"/>
    <col min="32" max="32" width="13.54296875" style="178" hidden="1" customWidth="1"/>
    <col min="33" max="33" width="12.6328125" style="184" hidden="1" customWidth="1"/>
    <col min="34" max="36" width="12.6328125" style="178" hidden="1" customWidth="1"/>
    <col min="37" max="38" width="12.6328125" style="178" customWidth="1"/>
    <col min="39" max="39" width="12.6328125" style="178" hidden="1" customWidth="1"/>
    <col min="40" max="42" width="8.6328125" style="169" hidden="1" customWidth="1"/>
    <col min="43" max="46" width="8.6328125" style="458" hidden="1" customWidth="1"/>
    <col min="47" max="48" width="8.6328125" style="169" hidden="1" customWidth="1"/>
    <col min="49" max="53" width="12.6328125" style="169" customWidth="1"/>
    <col min="54" max="54" width="21.6328125" style="178" customWidth="1"/>
    <col min="55" max="55" width="18" style="178" customWidth="1"/>
    <col min="56" max="59" width="14.54296875" style="1323" customWidth="1"/>
    <col min="60" max="60" width="11.453125" style="178" customWidth="1"/>
    <col min="61" max="16384" width="11.453125" style="178"/>
  </cols>
  <sheetData>
    <row r="1" spans="1:59" ht="35.25" customHeight="1">
      <c r="A1" s="1605" t="s">
        <v>4084</v>
      </c>
      <c r="B1" s="1605"/>
      <c r="C1" s="1605"/>
      <c r="D1" s="1605"/>
      <c r="E1" s="1605"/>
      <c r="F1" s="1605"/>
      <c r="G1" s="1605"/>
      <c r="H1" s="1605"/>
      <c r="I1" s="1605"/>
      <c r="J1" s="1605"/>
      <c r="K1" s="1605"/>
      <c r="L1" s="1605"/>
      <c r="M1" s="1605"/>
      <c r="N1" s="1605"/>
      <c r="O1" s="1605"/>
      <c r="P1" s="1605"/>
      <c r="Q1" s="1605"/>
      <c r="R1" s="1605"/>
      <c r="S1" s="1605"/>
      <c r="T1" s="1605"/>
      <c r="U1" s="1605"/>
      <c r="V1" s="1605"/>
      <c r="W1" s="1605"/>
      <c r="X1" s="1605"/>
      <c r="Y1" s="1605"/>
      <c r="Z1" s="1605"/>
      <c r="AA1" s="1605"/>
      <c r="AB1" s="1605"/>
      <c r="AC1" s="1605"/>
      <c r="AD1" s="1605"/>
      <c r="AE1" s="1605"/>
      <c r="AF1" s="1605"/>
      <c r="AG1" s="1605"/>
      <c r="AH1" s="1605"/>
      <c r="AI1" s="1605"/>
      <c r="AJ1" s="1605"/>
      <c r="AK1" s="1605"/>
      <c r="AL1" s="1605"/>
      <c r="AM1" s="1605"/>
      <c r="AN1" s="1605"/>
      <c r="AO1" s="1605"/>
      <c r="AP1" s="1605"/>
      <c r="AQ1" s="1605"/>
      <c r="AR1" s="1605"/>
      <c r="AS1" s="1605"/>
      <c r="AT1" s="1605"/>
      <c r="AU1" s="1605"/>
      <c r="AV1" s="1605"/>
      <c r="AW1" s="1605"/>
      <c r="AX1" s="1605"/>
      <c r="AY1" s="1605"/>
      <c r="AZ1" s="1605"/>
      <c r="BA1" s="1605"/>
      <c r="BB1" s="1605"/>
      <c r="BC1" s="693" t="s">
        <v>4947</v>
      </c>
      <c r="BD1" s="1599" t="s">
        <v>4916</v>
      </c>
      <c r="BE1" s="1599"/>
      <c r="BF1" s="1599"/>
      <c r="BG1" s="1599"/>
    </row>
    <row r="2" spans="1:59" s="699" customFormat="1" ht="42" customHeight="1">
      <c r="A2" s="1255" t="s">
        <v>4417</v>
      </c>
      <c r="B2" s="1255" t="s">
        <v>4418</v>
      </c>
      <c r="C2" s="884" t="s">
        <v>2315</v>
      </c>
      <c r="D2" s="1255" t="s">
        <v>4419</v>
      </c>
      <c r="E2" s="1255" t="s">
        <v>4855</v>
      </c>
      <c r="F2" s="1255" t="s">
        <v>4856</v>
      </c>
      <c r="G2" s="1255" t="s">
        <v>4857</v>
      </c>
      <c r="H2" s="1255" t="s">
        <v>455</v>
      </c>
      <c r="I2" s="1255" t="s">
        <v>454</v>
      </c>
      <c r="J2" s="1255" t="s">
        <v>4423</v>
      </c>
      <c r="K2" s="1255" t="s">
        <v>1362</v>
      </c>
      <c r="L2" s="1255" t="s">
        <v>456</v>
      </c>
      <c r="M2" s="1255" t="s">
        <v>453</v>
      </c>
      <c r="N2" s="1603" t="s">
        <v>457</v>
      </c>
      <c r="O2" s="1603"/>
      <c r="P2" s="1603"/>
      <c r="Q2" s="1255" t="s">
        <v>4858</v>
      </c>
      <c r="R2" s="1255" t="s">
        <v>4859</v>
      </c>
      <c r="S2" s="1255" t="s">
        <v>4860</v>
      </c>
      <c r="T2" s="1603" t="s">
        <v>4861</v>
      </c>
      <c r="U2" s="1603"/>
      <c r="V2" s="1603"/>
      <c r="W2" s="1603" t="s">
        <v>4862</v>
      </c>
      <c r="X2" s="1603"/>
      <c r="Y2" s="1603"/>
      <c r="Z2" s="1603" t="s">
        <v>4863</v>
      </c>
      <c r="AA2" s="1603"/>
      <c r="AB2" s="1603"/>
      <c r="AC2" s="1603" t="s">
        <v>628</v>
      </c>
      <c r="AD2" s="1603"/>
      <c r="AE2" s="1603"/>
      <c r="AF2" s="1255" t="s">
        <v>4872</v>
      </c>
      <c r="AG2" s="884" t="s">
        <v>4864</v>
      </c>
      <c r="AH2" s="1255" t="s">
        <v>4865</v>
      </c>
      <c r="AI2" s="1255" t="s">
        <v>4866</v>
      </c>
      <c r="AJ2" s="1255" t="s">
        <v>629</v>
      </c>
      <c r="AK2" s="1255" t="s">
        <v>458</v>
      </c>
      <c r="AL2" s="1255" t="s">
        <v>459</v>
      </c>
      <c r="AM2" s="1255" t="s">
        <v>631</v>
      </c>
      <c r="AN2" s="1603" t="s">
        <v>4867</v>
      </c>
      <c r="AO2" s="1603"/>
      <c r="AP2" s="1603"/>
      <c r="AQ2" s="1604" t="s">
        <v>460</v>
      </c>
      <c r="AR2" s="1604"/>
      <c r="AS2" s="1604"/>
      <c r="AT2" s="1603" t="s">
        <v>630</v>
      </c>
      <c r="AU2" s="1603"/>
      <c r="AV2" s="1603"/>
      <c r="AW2" s="1255" t="s">
        <v>4868</v>
      </c>
      <c r="AX2" s="1255" t="s">
        <v>4904</v>
      </c>
      <c r="AY2" s="1255" t="s">
        <v>4869</v>
      </c>
      <c r="AZ2" s="1255" t="s">
        <v>4870</v>
      </c>
      <c r="BA2" s="1255" t="s">
        <v>1670</v>
      </c>
      <c r="BB2" s="1255" t="s">
        <v>4871</v>
      </c>
      <c r="BC2" s="693" t="s">
        <v>4948</v>
      </c>
      <c r="BD2" s="1320" t="s">
        <v>453</v>
      </c>
      <c r="BE2" s="1320" t="s">
        <v>4922</v>
      </c>
      <c r="BF2" s="1320" t="s">
        <v>4915</v>
      </c>
      <c r="BG2" s="1320" t="s">
        <v>457</v>
      </c>
    </row>
    <row r="3" spans="1:59" ht="15.75" customHeight="1">
      <c r="F3" s="182"/>
      <c r="G3" s="178"/>
      <c r="N3" s="905" t="s">
        <v>123</v>
      </c>
      <c r="O3" s="905" t="s">
        <v>124</v>
      </c>
      <c r="P3" s="905" t="s">
        <v>125</v>
      </c>
      <c r="T3" s="985" t="s">
        <v>126</v>
      </c>
      <c r="U3" s="986" t="s">
        <v>127</v>
      </c>
      <c r="V3" s="985" t="s">
        <v>128</v>
      </c>
      <c r="W3" s="985" t="s">
        <v>129</v>
      </c>
      <c r="X3" s="986" t="s">
        <v>130</v>
      </c>
      <c r="Y3" s="985" t="s">
        <v>131</v>
      </c>
      <c r="Z3" s="985" t="s">
        <v>132</v>
      </c>
      <c r="AA3" s="986" t="s">
        <v>133</v>
      </c>
      <c r="AB3" s="985" t="s">
        <v>134</v>
      </c>
      <c r="AC3" s="985" t="s">
        <v>135</v>
      </c>
      <c r="AD3" s="986" t="s">
        <v>136</v>
      </c>
      <c r="AE3" s="985" t="s">
        <v>137</v>
      </c>
      <c r="AN3" s="985" t="s">
        <v>129</v>
      </c>
      <c r="AO3" s="985" t="s">
        <v>130</v>
      </c>
      <c r="AP3" s="985" t="s">
        <v>131</v>
      </c>
      <c r="AQ3" s="987" t="s">
        <v>613</v>
      </c>
      <c r="AR3" s="987" t="s">
        <v>614</v>
      </c>
      <c r="AS3" s="987" t="s">
        <v>615</v>
      </c>
      <c r="AT3" s="987" t="s">
        <v>616</v>
      </c>
      <c r="AU3" s="985" t="s">
        <v>617</v>
      </c>
      <c r="AV3" s="985" t="s">
        <v>618</v>
      </c>
      <c r="AW3" s="178"/>
      <c r="AX3" s="178"/>
      <c r="AY3" s="178"/>
      <c r="AZ3" s="178"/>
      <c r="BA3" s="178"/>
      <c r="BD3" s="178"/>
      <c r="BE3" s="178"/>
      <c r="BF3" s="178"/>
      <c r="BG3" s="178"/>
    </row>
    <row r="4" spans="1:59" ht="15.75" customHeight="1">
      <c r="A4" s="501"/>
      <c r="B4" s="716" t="str">
        <f>'HR Track 2 RIS-HER'!B125</f>
        <v>82-2.08</v>
      </c>
      <c r="C4" s="451">
        <f>'HR Track 2 RIS-HER'!C125</f>
        <v>82445.23</v>
      </c>
      <c r="D4" s="453"/>
      <c r="E4" s="452"/>
      <c r="F4" s="453">
        <f>'HR Track 2 RIS-HER'!F125</f>
        <v>0</v>
      </c>
      <c r="G4" s="500"/>
      <c r="H4" s="453" t="str">
        <f>'HR Track 2 RIS-HER'!H125</f>
        <v>AnMP</v>
      </c>
      <c r="I4" s="501"/>
      <c r="J4" s="583"/>
      <c r="K4" s="452"/>
      <c r="L4" s="452" t="str">
        <f>'HR Track 2 RIS-HER'!L125</f>
        <v>HEB-260</v>
      </c>
      <c r="M4" s="452" t="str">
        <f>'HR Track 2 RIS-HER'!M125</f>
        <v>C4R</v>
      </c>
      <c r="N4" s="501" t="str">
        <f>'HR Track 2 RIS-HER'!N125</f>
        <v>EMT-1</v>
      </c>
      <c r="O4" s="501"/>
      <c r="P4" s="501"/>
      <c r="Q4" s="452">
        <f>'HR Track 2 RIS-HER'!Q125</f>
        <v>0</v>
      </c>
      <c r="R4" s="452">
        <f>'HR Track 2 RIS-HER'!R125</f>
        <v>0</v>
      </c>
      <c r="S4" s="500">
        <f>'HR Track 2 RIS-HER'!S125</f>
        <v>0</v>
      </c>
      <c r="T4" s="452">
        <f>'HR Track 2 RIS-HER'!T125</f>
        <v>-35</v>
      </c>
      <c r="U4" s="452"/>
      <c r="V4" s="452"/>
      <c r="W4" s="452">
        <f>'HR Track 2 RIS-HER'!W125</f>
        <v>1.4</v>
      </c>
      <c r="X4" s="452"/>
      <c r="Y4" s="452"/>
      <c r="Z4" s="452">
        <f>'HR Track 2 RIS-HER'!Z125</f>
        <v>0</v>
      </c>
      <c r="AA4" s="452"/>
      <c r="AB4" s="452"/>
      <c r="AC4" s="452" t="str">
        <f>'HR Track 2 RIS-HER'!AC125</f>
        <v>PH</v>
      </c>
      <c r="AD4" s="452"/>
      <c r="AE4" s="452"/>
      <c r="AF4" s="452">
        <f>'HR Track 2 RIS-HER'!AF125</f>
        <v>0</v>
      </c>
      <c r="AG4" s="451">
        <f>'HR Track 2 RIS-HER'!AG125</f>
        <v>0</v>
      </c>
      <c r="AH4" s="452">
        <f>'HR Track 2 RIS-HER'!AH125</f>
        <v>0</v>
      </c>
      <c r="AI4" s="452">
        <f>'HR Track 2 RIS-HER'!AI125</f>
        <v>0</v>
      </c>
      <c r="AJ4" s="452">
        <f>'HR Track 2 RIS-HER'!AJ125</f>
        <v>0</v>
      </c>
      <c r="AK4" s="452">
        <f>'HR Track 2 RIS-HER'!AK125</f>
        <v>0</v>
      </c>
      <c r="AL4" s="452">
        <f>'HR Track 2 RIS-HER'!AL125</f>
        <v>0</v>
      </c>
      <c r="AM4" s="452" t="str">
        <f>'HR Track 2 RIS-HER'!AM125</f>
        <v>RW2</v>
      </c>
      <c r="AN4" s="500">
        <f>'HR Track 2 RIS-HER'!AN125</f>
        <v>5.5</v>
      </c>
      <c r="AO4" s="452">
        <f>'HR Track 2 RIS-HER'!AO125</f>
        <v>0</v>
      </c>
      <c r="AP4" s="452">
        <f>'HR Track 2 RIS-HER'!AP125</f>
        <v>0</v>
      </c>
      <c r="AQ4" s="452"/>
      <c r="AR4" s="452">
        <f>'HR Track 2 RIS-HER'!AR125</f>
        <v>0</v>
      </c>
      <c r="AS4" s="452">
        <f>'HR Track 2 RIS-HER'!AS125</f>
        <v>0</v>
      </c>
      <c r="AT4" s="452">
        <f>'HR Track 2 RIS-HER'!AT125</f>
        <v>-8.1682020423530854</v>
      </c>
      <c r="AU4" s="452">
        <f>'HR Track 2 RIS-HER'!AU125</f>
        <v>0</v>
      </c>
      <c r="AV4" s="452">
        <f>'HR Track 2 RIS-HER'!AV125</f>
        <v>0</v>
      </c>
      <c r="AW4" s="452" t="str">
        <f>'HR Track 2 RIS-HER'!AW125</f>
        <v>Soil A</v>
      </c>
      <c r="AX4" s="452" t="str">
        <f>'HR Track 2 RIS-HER'!AX125</f>
        <v>PT</v>
      </c>
      <c r="AY4" s="500">
        <f>'HR Track 2 RIS-HER'!AY125</f>
        <v>3.5</v>
      </c>
      <c r="AZ4" s="500"/>
      <c r="BA4" s="1333" t="str">
        <f>'HR Track 2 RIS-HER'!BA125</f>
        <v>ü</v>
      </c>
      <c r="BB4" s="452" t="str">
        <f>'HR Track 2 RIS-HER'!BB125</f>
        <v>App.7.1-V01-P9.5.1.3</v>
      </c>
      <c r="BC4" s="1334">
        <f>'HR Track 2 RIS-HER'!BC125</f>
        <v>0</v>
      </c>
      <c r="BD4" s="1335">
        <f>'HR Track 2 RIS-HER'!BD125</f>
        <v>0</v>
      </c>
      <c r="BE4" s="1335">
        <f>'HR Track 2 RIS-HER'!BE125</f>
        <v>0</v>
      </c>
      <c r="BF4" s="1335">
        <f>'HR Track 2 RIS-HER'!BF125</f>
        <v>0</v>
      </c>
      <c r="BG4" s="1335">
        <f>'HR Track 2 RIS-HER'!BG125</f>
        <v>0</v>
      </c>
    </row>
    <row r="5" spans="1:59" ht="15.75" customHeight="1">
      <c r="A5" s="501"/>
      <c r="B5" s="716"/>
      <c r="C5" s="451"/>
      <c r="D5" s="453"/>
      <c r="E5" s="452"/>
      <c r="F5" s="453"/>
      <c r="G5" s="500">
        <f>'HR Track 1 RIS-HER'!G126</f>
        <v>60</v>
      </c>
      <c r="H5" s="453"/>
      <c r="I5" s="501"/>
      <c r="J5" s="583">
        <f>'HR Track 2 RIS-HER'!J126</f>
        <v>82452.73</v>
      </c>
      <c r="K5" s="452" t="str">
        <f>'HR Track 2 RIS-HER'!K126</f>
        <v>AnM-R</v>
      </c>
      <c r="L5" s="452"/>
      <c r="M5" s="452"/>
      <c r="N5" s="501"/>
      <c r="O5" s="501"/>
      <c r="P5" s="501"/>
      <c r="Q5" s="452"/>
      <c r="R5" s="452"/>
      <c r="S5" s="500"/>
      <c r="T5" s="452"/>
      <c r="U5" s="452"/>
      <c r="V5" s="452"/>
      <c r="W5" s="452"/>
      <c r="X5" s="452"/>
      <c r="Y5" s="452"/>
      <c r="Z5" s="452"/>
      <c r="AA5" s="452"/>
      <c r="AB5" s="452"/>
      <c r="AC5" s="452"/>
      <c r="AD5" s="452"/>
      <c r="AE5" s="452"/>
      <c r="AF5" s="452"/>
      <c r="AG5" s="451"/>
      <c r="AH5" s="452"/>
      <c r="AI5" s="452"/>
      <c r="AJ5" s="452"/>
      <c r="AK5" s="452"/>
      <c r="AL5" s="452"/>
      <c r="AM5" s="452"/>
      <c r="AN5" s="500"/>
      <c r="AO5" s="452"/>
      <c r="AP5" s="452"/>
      <c r="AQ5" s="452">
        <f>+FL_2($T$6,$T$4,$G$5,1200,9.28, 1*$F$6)</f>
        <v>-0.43600286799999993</v>
      </c>
      <c r="AR5" s="452"/>
      <c r="AS5" s="452"/>
      <c r="AT5" s="452"/>
      <c r="AU5" s="452"/>
      <c r="AV5" s="452"/>
      <c r="AW5" s="452" t="str">
        <f>'HR Track 2 RIS-HER'!AW126</f>
        <v>Soil A</v>
      </c>
      <c r="AX5" s="452" t="str">
        <f>'HR Track 2 RIS-HER'!AX126</f>
        <v>PT</v>
      </c>
      <c r="AY5" s="500"/>
      <c r="AZ5" s="500">
        <f>'HR Track 2 RIS-HER'!AZ126</f>
        <v>2.8</v>
      </c>
      <c r="BA5" s="1333" t="str">
        <f>'HR Track 2 RIS-HER'!BA126</f>
        <v>ü</v>
      </c>
      <c r="BB5" s="452"/>
      <c r="BC5" s="1334"/>
      <c r="BD5" s="1335"/>
      <c r="BE5" s="1335"/>
      <c r="BF5" s="1335"/>
      <c r="BG5" s="1335"/>
    </row>
    <row r="6" spans="1:59" ht="15.75" customHeight="1">
      <c r="A6" s="449"/>
      <c r="B6" s="485" t="s">
        <v>3922</v>
      </c>
      <c r="C6" s="446">
        <f>+$C$4+$G$5</f>
        <v>82505.23</v>
      </c>
      <c r="D6" s="890"/>
      <c r="E6" s="877"/>
      <c r="F6" s="445" t="s">
        <v>2312</v>
      </c>
      <c r="G6" s="891"/>
      <c r="H6" s="445"/>
      <c r="I6" s="890"/>
      <c r="J6" s="446"/>
      <c r="K6" s="514"/>
      <c r="L6" s="445" t="s">
        <v>230</v>
      </c>
      <c r="M6" s="892" t="str">
        <f>IF(AX6="PT",VLOOKUP(L6,'Foundation Calculation'!$V$2:$X$40,VLOOKUP(AX6,'Foundation Calculation'!$I$10:$J$13,2,FALSE),0),IF(AX6="K",VLOOKUP(L6,'Foundation Calculation'!$V$42:$X$80,VLOOKUP(AX6,'Foundation Calculation'!$I$10:$J$13,2,FALSE),0),""))</f>
        <v>C4R</v>
      </c>
      <c r="N6" s="1239" t="s">
        <v>144</v>
      </c>
      <c r="O6" s="445"/>
      <c r="P6" s="445"/>
      <c r="Q6" s="893"/>
      <c r="R6" s="638"/>
      <c r="S6" s="484"/>
      <c r="T6" s="638">
        <v>35</v>
      </c>
      <c r="U6" s="638"/>
      <c r="V6" s="638"/>
      <c r="W6" s="638">
        <v>1.4</v>
      </c>
      <c r="X6" s="638"/>
      <c r="Y6" s="638"/>
      <c r="Z6" s="638"/>
      <c r="AA6" s="638"/>
      <c r="AB6" s="638"/>
      <c r="AC6" s="638" t="str">
        <f>IF(OR(AT6&gt;8,AT6&lt;-8),"PH",IF(OR(AT6&gt;5,AT6&lt;-5),"PH-Q",IF(OR(AT6&gt;1,AT6&lt;-1),"PH-C")))</f>
        <v>PH</v>
      </c>
      <c r="AD6" s="638"/>
      <c r="AE6" s="638"/>
      <c r="AF6" s="638"/>
      <c r="AG6" s="446"/>
      <c r="AH6" s="638"/>
      <c r="AI6" s="886"/>
      <c r="AJ6" s="445"/>
      <c r="AK6" s="445"/>
      <c r="AL6" s="445"/>
      <c r="AM6" s="890" t="s">
        <v>1043</v>
      </c>
      <c r="AN6" s="455">
        <v>5.5</v>
      </c>
      <c r="AO6" s="1239"/>
      <c r="AP6" s="1239"/>
      <c r="AQ6" s="484"/>
      <c r="AR6" s="484"/>
      <c r="AS6" s="484"/>
      <c r="AT6" s="484">
        <f>+ab($T$6,$T$4,$T$8,$G$5,$G$7, 1*$F$6,1200)</f>
        <v>8.1681606014296726</v>
      </c>
      <c r="AU6" s="638"/>
      <c r="AV6" s="638"/>
      <c r="AW6" s="638" t="str">
        <f>VLOOKUP(C6,'Foundation Calculation'!$A$2:$C$33,3,1)</f>
        <v>Soil A</v>
      </c>
      <c r="AX6" s="638" t="str">
        <f>VLOOKUP(C6,'Foundation Calculation'!$E$2:$G$33,3,1)</f>
        <v>PT</v>
      </c>
      <c r="AY6" s="484">
        <f>IF(AX6="PT",VLOOKUP(L6,'Foundation Calculation'!$K$2:$R$40,VLOOKUP(AW6,'Foundation Calculation'!$I$2:$J$8,2,FALSE),0),IF(AX6="K",VLOOKUP(L6,'Foundation Calculation'!$K$42:$R$80,VLOOKUP(AW6,'Foundation Calculation'!$I$2:$J$8,2,FALSE),0),""))</f>
        <v>3.5</v>
      </c>
      <c r="AZ6" s="484"/>
      <c r="BA6" s="1192" t="s">
        <v>2809</v>
      </c>
      <c r="BB6" s="449" t="str">
        <f>Pole_Calculations!A152</f>
        <v>App.7.1-V01-P9.5.1.1</v>
      </c>
      <c r="BC6" s="169"/>
      <c r="BD6" s="1329"/>
      <c r="BE6" s="1329"/>
      <c r="BF6" s="1330"/>
      <c r="BG6" s="1329"/>
    </row>
    <row r="7" spans="1:59" ht="15.75" customHeight="1">
      <c r="A7" s="906"/>
      <c r="B7" s="908"/>
      <c r="C7" s="907"/>
      <c r="D7" s="445"/>
      <c r="E7" s="445"/>
      <c r="F7" s="908"/>
      <c r="G7" s="484">
        <v>60</v>
      </c>
      <c r="H7" s="908"/>
      <c r="I7" s="455"/>
      <c r="J7" s="446"/>
      <c r="K7" s="445"/>
      <c r="L7" s="908"/>
      <c r="M7" s="445"/>
      <c r="N7" s="908"/>
      <c r="O7" s="908"/>
      <c r="P7" s="908"/>
      <c r="Q7" s="638"/>
      <c r="R7" s="638"/>
      <c r="S7" s="484"/>
      <c r="T7" s="638"/>
      <c r="U7" s="638"/>
      <c r="V7" s="638"/>
      <c r="W7" s="638"/>
      <c r="X7" s="638"/>
      <c r="Y7" s="638"/>
      <c r="Z7" s="638"/>
      <c r="AA7" s="638"/>
      <c r="AB7" s="638"/>
      <c r="AC7" s="638"/>
      <c r="AD7" s="638"/>
      <c r="AE7" s="638"/>
      <c r="AF7" s="638"/>
      <c r="AG7" s="446"/>
      <c r="AH7" s="638"/>
      <c r="AI7" s="185"/>
      <c r="AJ7" s="908"/>
      <c r="AK7" s="908"/>
      <c r="AL7" s="908"/>
      <c r="AM7" s="445"/>
      <c r="AN7" s="484"/>
      <c r="AO7" s="445"/>
      <c r="AP7" s="445"/>
      <c r="AQ7" s="484">
        <f>+FL_2($T$8,$T$6,$G$7,1200,9.28, 1*$F$8)</f>
        <v>-0.43600286799999999</v>
      </c>
      <c r="AR7" s="484"/>
      <c r="AS7" s="484"/>
      <c r="AT7" s="484"/>
      <c r="AU7" s="638"/>
      <c r="AV7" s="638"/>
      <c r="AW7" s="638"/>
      <c r="AX7" s="638"/>
      <c r="AY7" s="484"/>
      <c r="AZ7" s="484"/>
      <c r="BA7" s="671"/>
      <c r="BB7" s="906"/>
      <c r="BC7" s="169"/>
      <c r="BD7" s="1330"/>
      <c r="BE7" s="1330"/>
      <c r="BF7" s="1330"/>
      <c r="BG7" s="1330"/>
    </row>
    <row r="8" spans="1:59" ht="15.75" customHeight="1">
      <c r="A8" s="1239"/>
      <c r="B8" s="435" t="s">
        <v>3924</v>
      </c>
      <c r="C8" s="446">
        <f>+$C$6+$G$7</f>
        <v>82565.23</v>
      </c>
      <c r="D8" s="894"/>
      <c r="E8" s="887"/>
      <c r="F8" s="1239">
        <v>0</v>
      </c>
      <c r="G8" s="891"/>
      <c r="H8" s="1239"/>
      <c r="I8" s="895"/>
      <c r="J8" s="446"/>
      <c r="K8" s="514"/>
      <c r="L8" s="445" t="s">
        <v>230</v>
      </c>
      <c r="M8" s="892" t="str">
        <f>IF(AX8="PT",VLOOKUP(L8,'Foundation Calculation'!$V$2:$X$40,VLOOKUP(AX8,'Foundation Calculation'!$I$10:$J$13,2,FALSE),0),IF(AX8="K",VLOOKUP(L8,'Foundation Calculation'!$V$42:$X$80,VLOOKUP(AX8,'Foundation Calculation'!$I$10:$J$13,2,FALSE),0),""))</f>
        <v>C4R</v>
      </c>
      <c r="N8" s="1239" t="s">
        <v>143</v>
      </c>
      <c r="O8" s="445"/>
      <c r="P8" s="445"/>
      <c r="Q8" s="893"/>
      <c r="R8" s="638"/>
      <c r="S8" s="484"/>
      <c r="T8" s="638">
        <v>-35</v>
      </c>
      <c r="U8" s="638"/>
      <c r="V8" s="638"/>
      <c r="W8" s="638">
        <v>1.4</v>
      </c>
      <c r="X8" s="638"/>
      <c r="Y8" s="638"/>
      <c r="Z8" s="638"/>
      <c r="AA8" s="638"/>
      <c r="AB8" s="638"/>
      <c r="AC8" s="638" t="str">
        <f>IF(OR(AT8&gt;8,AT8&lt;-8),"PH",IF(OR(AT8&gt;5,AT8&lt;-5),"PH-Q",IF(OR(AT8&gt;1,AT8&lt;-1),"PH-C")))</f>
        <v>PH</v>
      </c>
      <c r="AD8" s="638"/>
      <c r="AE8" s="638"/>
      <c r="AF8" s="638"/>
      <c r="AG8" s="446"/>
      <c r="AH8" s="638"/>
      <c r="AI8" s="886"/>
      <c r="AJ8" s="445"/>
      <c r="AK8" s="445"/>
      <c r="AL8" s="445"/>
      <c r="AM8" s="890" t="s">
        <v>1043</v>
      </c>
      <c r="AN8" s="455">
        <v>5.5</v>
      </c>
      <c r="AO8" s="1239"/>
      <c r="AP8" s="1239"/>
      <c r="AQ8" s="484"/>
      <c r="AR8" s="484"/>
      <c r="AS8" s="484"/>
      <c r="AT8" s="484">
        <f>+ab($T$8,$T$6,$T$10,$G$7,$G$9, 1*$F$8,1200)</f>
        <v>-8.1682020423530854</v>
      </c>
      <c r="AU8" s="638"/>
      <c r="AV8" s="638"/>
      <c r="AW8" s="638" t="str">
        <f>VLOOKUP(C8,'Foundation Calculation'!$A$2:$C$33,3,1)</f>
        <v>Soil A</v>
      </c>
      <c r="AX8" s="638" t="str">
        <f>VLOOKUP(C8,'Foundation Calculation'!$E$2:$G$33,3,1)</f>
        <v>PT</v>
      </c>
      <c r="AY8" s="484">
        <f>IF(AX8="PT",VLOOKUP(L8,'Foundation Calculation'!$K$2:$R$40,VLOOKUP(AW8,'Foundation Calculation'!$I$2:$J$8,2,FALSE),0),IF(AX8="K",VLOOKUP(L8,'Foundation Calculation'!$K$42:$R$80,VLOOKUP(AW8,'Foundation Calculation'!$I$2:$J$8,2,FALSE),0),""))</f>
        <v>3.5</v>
      </c>
      <c r="AZ8" s="484"/>
      <c r="BA8" s="1192" t="s">
        <v>2809</v>
      </c>
      <c r="BB8" s="1239" t="str">
        <f>Pole_Calculations!A152</f>
        <v>App.7.1-V01-P9.5.1.1</v>
      </c>
      <c r="BC8" s="169"/>
      <c r="BD8" s="1329"/>
      <c r="BE8" s="1329"/>
      <c r="BF8" s="1330"/>
      <c r="BG8" s="1329"/>
    </row>
    <row r="9" spans="1:59" ht="15.75" customHeight="1">
      <c r="A9" s="909"/>
      <c r="B9" s="910"/>
      <c r="C9" s="907"/>
      <c r="D9" s="447"/>
      <c r="E9" s="447"/>
      <c r="F9" s="909"/>
      <c r="G9" s="484">
        <v>60</v>
      </c>
      <c r="H9" s="909"/>
      <c r="I9" s="448"/>
      <c r="J9" s="446"/>
      <c r="K9" s="638"/>
      <c r="L9" s="911"/>
      <c r="M9" s="638"/>
      <c r="N9" s="909"/>
      <c r="O9" s="909"/>
      <c r="P9" s="911"/>
      <c r="Q9" s="638"/>
      <c r="R9" s="638"/>
      <c r="S9" s="484"/>
      <c r="T9" s="638"/>
      <c r="U9" s="638"/>
      <c r="V9" s="638"/>
      <c r="W9" s="638"/>
      <c r="X9" s="638"/>
      <c r="Y9" s="638"/>
      <c r="Z9" s="638"/>
      <c r="AA9" s="638"/>
      <c r="AB9" s="638"/>
      <c r="AC9" s="638"/>
      <c r="AD9" s="638"/>
      <c r="AE9" s="638"/>
      <c r="AF9" s="638"/>
      <c r="AG9" s="446"/>
      <c r="AH9" s="638"/>
      <c r="AI9" s="185"/>
      <c r="AJ9" s="911"/>
      <c r="AK9" s="909"/>
      <c r="AL9" s="911"/>
      <c r="AM9" s="638"/>
      <c r="AN9" s="455"/>
      <c r="AO9" s="1239"/>
      <c r="AP9" s="1239"/>
      <c r="AQ9" s="484">
        <f>+FL_1($T$10,$T$8,$G$9,1200,9.28, 1*$F$10)</f>
        <v>0.43600286799999999</v>
      </c>
      <c r="AR9" s="484"/>
      <c r="AS9" s="484"/>
      <c r="AT9" s="484"/>
      <c r="AU9" s="638"/>
      <c r="AV9" s="638"/>
      <c r="AW9" s="638"/>
      <c r="AX9" s="638"/>
      <c r="AY9" s="484"/>
      <c r="AZ9" s="484"/>
      <c r="BA9" s="671"/>
      <c r="BB9" s="909"/>
      <c r="BC9" s="169"/>
      <c r="BD9" s="1330"/>
      <c r="BE9" s="1330"/>
      <c r="BF9" s="1330"/>
      <c r="BG9" s="1330"/>
    </row>
    <row r="10" spans="1:59" ht="15.75" customHeight="1">
      <c r="A10" s="1239"/>
      <c r="B10" s="435" t="s">
        <v>3925</v>
      </c>
      <c r="C10" s="446">
        <f>+$C$8+$G$9</f>
        <v>82625.23</v>
      </c>
      <c r="D10" s="894"/>
      <c r="E10" s="887"/>
      <c r="F10" s="1239">
        <v>0</v>
      </c>
      <c r="G10" s="891"/>
      <c r="H10" s="1239"/>
      <c r="I10" s="890"/>
      <c r="J10" s="446"/>
      <c r="K10" s="514"/>
      <c r="L10" s="445" t="s">
        <v>230</v>
      </c>
      <c r="M10" s="892" t="str">
        <f>IF(AX10="PT",VLOOKUP(L10,'Foundation Calculation'!$V$2:$X$40,VLOOKUP(AX10,'Foundation Calculation'!$I$10:$J$13,2,FALSE),0),IF(AX10="K",VLOOKUP(L10,'Foundation Calculation'!$V$42:$X$80,VLOOKUP(AX10,'Foundation Calculation'!$I$10:$J$13,2,FALSE),0),""))</f>
        <v>C4R</v>
      </c>
      <c r="N10" s="1239" t="s">
        <v>144</v>
      </c>
      <c r="O10" s="445"/>
      <c r="P10" s="445"/>
      <c r="Q10" s="893"/>
      <c r="R10" s="638"/>
      <c r="S10" s="484"/>
      <c r="T10" s="638">
        <v>35</v>
      </c>
      <c r="U10" s="638"/>
      <c r="V10" s="638"/>
      <c r="W10" s="638">
        <v>1.4</v>
      </c>
      <c r="X10" s="638"/>
      <c r="Y10" s="638"/>
      <c r="Z10" s="638"/>
      <c r="AA10" s="638"/>
      <c r="AB10" s="638"/>
      <c r="AC10" s="638" t="str">
        <f>IF(OR(AT10&gt;8,AT10&lt;-8),"PH",IF(OR(AT10&gt;5,AT10&lt;-5),"PH-Q",IF(OR(AT10&gt;1,AT10&lt;-1),"PH-C")))</f>
        <v>PH</v>
      </c>
      <c r="AD10" s="638"/>
      <c r="AE10" s="638"/>
      <c r="AF10" s="638"/>
      <c r="AG10" s="446"/>
      <c r="AH10" s="638"/>
      <c r="AI10" s="886"/>
      <c r="AJ10" s="445"/>
      <c r="AK10" s="445"/>
      <c r="AL10" s="445"/>
      <c r="AM10" s="890" t="s">
        <v>1043</v>
      </c>
      <c r="AN10" s="455">
        <v>5.5</v>
      </c>
      <c r="AO10" s="1239"/>
      <c r="AP10" s="1239"/>
      <c r="AQ10" s="484"/>
      <c r="AR10" s="484"/>
      <c r="AS10" s="484"/>
      <c r="AT10" s="484">
        <f>+ab($T$10,$T$8,$T$12,$G$9,$G$11, 1*$F$10,1200)</f>
        <v>8.1681606014296726</v>
      </c>
      <c r="AU10" s="638"/>
      <c r="AV10" s="638"/>
      <c r="AW10" s="638" t="str">
        <f>VLOOKUP(C10,'Foundation Calculation'!$A$2:$C$33,3,1)</f>
        <v>Soil A</v>
      </c>
      <c r="AX10" s="638" t="str">
        <f>VLOOKUP(C10,'Foundation Calculation'!$E$2:$G$33,3,1)</f>
        <v>PT</v>
      </c>
      <c r="AY10" s="484">
        <f>IF(AX10="PT",VLOOKUP(L10,'Foundation Calculation'!$K$2:$R$40,VLOOKUP(AW10,'Foundation Calculation'!$I$2:$J$8,2,FALSE),0),IF(AX10="K",VLOOKUP(L10,'Foundation Calculation'!$K$42:$R$80,VLOOKUP(AW10,'Foundation Calculation'!$I$2:$J$8,2,FALSE),0),""))</f>
        <v>3.5</v>
      </c>
      <c r="AZ10" s="484"/>
      <c r="BA10" s="1192" t="s">
        <v>2809</v>
      </c>
      <c r="BB10" s="1239" t="str">
        <f>Pole_Calculations!A152</f>
        <v>App.7.1-V01-P9.5.1.1</v>
      </c>
      <c r="BC10" s="169"/>
      <c r="BD10" s="1329"/>
      <c r="BE10" s="1329"/>
      <c r="BF10" s="1330"/>
      <c r="BG10" s="1329"/>
    </row>
    <row r="11" spans="1:59" ht="15.75" customHeight="1">
      <c r="A11" s="909"/>
      <c r="B11" s="910"/>
      <c r="C11" s="907"/>
      <c r="D11" s="447"/>
      <c r="E11" s="447"/>
      <c r="F11" s="909"/>
      <c r="G11" s="484">
        <v>60</v>
      </c>
      <c r="H11" s="909"/>
      <c r="I11" s="455"/>
      <c r="J11" s="446">
        <f>C12-7.5</f>
        <v>82677.73</v>
      </c>
      <c r="K11" s="638" t="s">
        <v>2787</v>
      </c>
      <c r="L11" s="911"/>
      <c r="M11" s="638"/>
      <c r="N11" s="909"/>
      <c r="O11" s="909"/>
      <c r="P11" s="911"/>
      <c r="Q11" s="638"/>
      <c r="R11" s="638"/>
      <c r="S11" s="484"/>
      <c r="T11" s="638"/>
      <c r="U11" s="638"/>
      <c r="V11" s="638"/>
      <c r="W11" s="638"/>
      <c r="X11" s="638"/>
      <c r="Y11" s="638"/>
      <c r="Z11" s="638"/>
      <c r="AA11" s="638"/>
      <c r="AB11" s="638"/>
      <c r="AC11" s="638"/>
      <c r="AD11" s="638"/>
      <c r="AE11" s="638"/>
      <c r="AF11" s="638"/>
      <c r="AG11" s="446"/>
      <c r="AH11" s="638"/>
      <c r="AI11" s="185"/>
      <c r="AJ11" s="911"/>
      <c r="AK11" s="909"/>
      <c r="AL11" s="911"/>
      <c r="AM11" s="638"/>
      <c r="AN11" s="455"/>
      <c r="AO11" s="1239"/>
      <c r="AP11" s="1239"/>
      <c r="AQ11" s="484">
        <f>+FL_2($T$12,$T$10,$G$11,1200,9.28, 1*$F$12)</f>
        <v>-0.43600286799999999</v>
      </c>
      <c r="AR11" s="484"/>
      <c r="AS11" s="484"/>
      <c r="AT11" s="484"/>
      <c r="AU11" s="638"/>
      <c r="AV11" s="638"/>
      <c r="AW11" s="638" t="str">
        <f>VLOOKUP(J11,'Foundation Calculation'!$A$2:$C$33,3,1)</f>
        <v>Soil A</v>
      </c>
      <c r="AX11" s="638" t="str">
        <f>VLOOKUP(J11,'Foundation Calculation'!$E$2:$G$33,3,1)</f>
        <v>PT</v>
      </c>
      <c r="AY11" s="484"/>
      <c r="AZ11" s="484">
        <f>IF(AX11="PT",VLOOKUP(K11,'Foundation Calculation'!$K$2:$R$40,VLOOKUP(AW11,'Foundation Calculation'!$I$2:$J$8,2,FALSE),0),IF(AX11="K",VLOOKUP(K11,'Foundation Calculation'!$K$42:$R$80,VLOOKUP(AW11,'Foundation Calculation'!$I$2:$J$8,2,FALSE),0),""))</f>
        <v>3.3</v>
      </c>
      <c r="BA11" s="671" t="s">
        <v>2809</v>
      </c>
      <c r="BB11" s="909"/>
      <c r="BC11" s="169"/>
      <c r="BD11" s="1329"/>
      <c r="BE11" s="1330"/>
      <c r="BF11" s="1330"/>
      <c r="BG11" s="1330"/>
    </row>
    <row r="12" spans="1:59" ht="15.75" customHeight="1">
      <c r="A12" s="449"/>
      <c r="B12" s="485" t="s">
        <v>3926</v>
      </c>
      <c r="C12" s="446">
        <f>+$C$10+$G$11</f>
        <v>82685.23</v>
      </c>
      <c r="D12" s="890"/>
      <c r="E12" s="877"/>
      <c r="F12" s="448">
        <v>0</v>
      </c>
      <c r="G12" s="891"/>
      <c r="H12" s="445" t="s">
        <v>138</v>
      </c>
      <c r="I12" s="896" t="s">
        <v>623</v>
      </c>
      <c r="J12" s="446"/>
      <c r="K12" s="514"/>
      <c r="L12" s="638" t="s">
        <v>4393</v>
      </c>
      <c r="M12" s="892" t="str">
        <f>IF(AX12="PT",VLOOKUP(L12,'Foundation Calculation'!$V$2:$X$40,VLOOKUP(AX12,'Foundation Calculation'!$I$10:$J$13,2,FALSE),0),IF(AX12="K",VLOOKUP(L12,'Foundation Calculation'!$V$42:$X$80,VLOOKUP(AX12,'Foundation Calculation'!$I$10:$J$13,2,FALSE),0),""))</f>
        <v>2C4R</v>
      </c>
      <c r="N12" s="1239" t="s">
        <v>143</v>
      </c>
      <c r="O12" s="1239"/>
      <c r="P12" s="638"/>
      <c r="Q12" s="893"/>
      <c r="R12" s="638"/>
      <c r="S12" s="484"/>
      <c r="T12" s="638">
        <v>-35</v>
      </c>
      <c r="U12" s="638"/>
      <c r="V12" s="638"/>
      <c r="W12" s="638">
        <v>1.4</v>
      </c>
      <c r="X12" s="638"/>
      <c r="Y12" s="638"/>
      <c r="Z12" s="638"/>
      <c r="AA12" s="638"/>
      <c r="AB12" s="638"/>
      <c r="AC12" s="638" t="str">
        <f>IF(OR(AT12&gt;8,AT12&lt;-8),"PH",IF(OR(AT12&gt;5,AT12&lt;-5),"PH-Q",IF(OR(AT12&gt;1,AT12&lt;-1),"PH-C")))</f>
        <v>PH</v>
      </c>
      <c r="AD12" s="638"/>
      <c r="AE12" s="638"/>
      <c r="AF12" s="638"/>
      <c r="AG12" s="446"/>
      <c r="AH12" s="638"/>
      <c r="AI12" s="886"/>
      <c r="AJ12" s="638"/>
      <c r="AK12" s="1239"/>
      <c r="AL12" s="638" t="s">
        <v>2135</v>
      </c>
      <c r="AM12" s="890" t="s">
        <v>1043</v>
      </c>
      <c r="AN12" s="455">
        <v>5.5</v>
      </c>
      <c r="AO12" s="1239"/>
      <c r="AP12" s="1239"/>
      <c r="AQ12" s="484"/>
      <c r="AR12" s="484"/>
      <c r="AS12" s="484"/>
      <c r="AT12" s="484">
        <f>+ab($T$12,$T$10,$U$14,$G$11,$G$13, 1*$F$12,1200)</f>
        <v>-8.4664207780936191</v>
      </c>
      <c r="AU12" s="638"/>
      <c r="AV12" s="638"/>
      <c r="AW12" s="638" t="str">
        <f>VLOOKUP(C12,'Foundation Calculation'!$A$2:$C$33,3,1)</f>
        <v>Soil A</v>
      </c>
      <c r="AX12" s="638" t="str">
        <f>VLOOKUP(C12,'Foundation Calculation'!$E$2:$G$33,3,1)</f>
        <v>PT</v>
      </c>
      <c r="AY12" s="484">
        <f>IF(AX12="PT",VLOOKUP(L12,'Foundation Calculation'!$K$2:$R$40,VLOOKUP(AW12,'Foundation Calculation'!$I$2:$J$8,2,FALSE),0),IF(AX12="K",VLOOKUP(L12,'Foundation Calculation'!$K$42:$R$80,VLOOKUP(AW12,'Foundation Calculation'!$I$2:$J$8,2,FALSE),0),""))</f>
        <v>5.6</v>
      </c>
      <c r="AZ12" s="484"/>
      <c r="BA12" s="1192" t="s">
        <v>2809</v>
      </c>
      <c r="BB12" s="449" t="str">
        <f>Pole_Calculations!A178</f>
        <v>App.8-V08F-P10.3</v>
      </c>
      <c r="BC12" s="169"/>
      <c r="BD12" s="1329"/>
      <c r="BE12" s="1329"/>
      <c r="BF12" s="1329"/>
      <c r="BG12" s="1329"/>
    </row>
    <row r="13" spans="1:59" ht="15.75" customHeight="1">
      <c r="A13" s="906"/>
      <c r="B13" s="908"/>
      <c r="C13" s="907"/>
      <c r="D13" s="445"/>
      <c r="E13" s="445"/>
      <c r="F13" s="908"/>
      <c r="G13" s="484">
        <v>60</v>
      </c>
      <c r="H13" s="908"/>
      <c r="I13" s="448">
        <f>C34-C12</f>
        <v>575.47999999998137</v>
      </c>
      <c r="J13" s="171"/>
      <c r="K13" s="1239"/>
      <c r="L13" s="908"/>
      <c r="M13" s="445"/>
      <c r="N13" s="908"/>
      <c r="O13" s="908"/>
      <c r="P13" s="908"/>
      <c r="Q13" s="638"/>
      <c r="R13" s="638"/>
      <c r="S13" s="484"/>
      <c r="T13" s="638"/>
      <c r="U13" s="638"/>
      <c r="V13" s="638"/>
      <c r="W13" s="638"/>
      <c r="X13" s="638"/>
      <c r="Y13" s="638"/>
      <c r="Z13" s="638"/>
      <c r="AA13" s="638"/>
      <c r="AB13" s="638"/>
      <c r="AC13" s="638"/>
      <c r="AD13" s="638"/>
      <c r="AE13" s="638"/>
      <c r="AF13" s="638"/>
      <c r="AG13" s="446"/>
      <c r="AH13" s="638"/>
      <c r="AI13" s="185"/>
      <c r="AJ13" s="908"/>
      <c r="AK13" s="908"/>
      <c r="AL13" s="908"/>
      <c r="AM13" s="445"/>
      <c r="AN13" s="484"/>
      <c r="AO13" s="445"/>
      <c r="AP13" s="445"/>
      <c r="AQ13" s="484">
        <f>+FL_2($U$14,$T$12,$G$13,1200,9.28, 1*$F$14)</f>
        <v>-0.44888002800000004</v>
      </c>
      <c r="AR13" s="484"/>
      <c r="AS13" s="484"/>
      <c r="AT13" s="484"/>
      <c r="AU13" s="638"/>
      <c r="AV13" s="638"/>
      <c r="AW13" s="638"/>
      <c r="AX13" s="638"/>
      <c r="AY13" s="484"/>
      <c r="AZ13" s="484"/>
      <c r="BA13" s="671"/>
      <c r="BB13" s="906"/>
      <c r="BC13" s="169"/>
      <c r="BD13" s="1330"/>
      <c r="BE13" s="1330"/>
      <c r="BF13" s="1330"/>
      <c r="BG13" s="1330"/>
    </row>
    <row r="14" spans="1:59" ht="15.75" customHeight="1">
      <c r="A14" s="449"/>
      <c r="B14" s="485" t="s">
        <v>3927</v>
      </c>
      <c r="C14" s="446">
        <f>+$C$12+$G$13</f>
        <v>82745.23</v>
      </c>
      <c r="D14" s="890"/>
      <c r="E14" s="877"/>
      <c r="F14" s="445" t="s">
        <v>2312</v>
      </c>
      <c r="G14" s="891"/>
      <c r="H14" s="445" t="s">
        <v>619</v>
      </c>
      <c r="I14" s="890"/>
      <c r="J14" s="446"/>
      <c r="K14" s="514"/>
      <c r="L14" s="638" t="s">
        <v>4393</v>
      </c>
      <c r="M14" s="892" t="str">
        <f>IF(AX14="PT",VLOOKUP(L14,'Foundation Calculation'!$V$2:$X$40,VLOOKUP(AX14,'Foundation Calculation'!$I$10:$J$13,2,FALSE),0),IF(AX14="K",VLOOKUP(L14,'Foundation Calculation'!$V$42:$X$80,VLOOKUP(AX14,'Foundation Calculation'!$I$10:$J$13,2,FALSE),0),""))</f>
        <v>2C4R</v>
      </c>
      <c r="N14" s="1239" t="s">
        <v>140</v>
      </c>
      <c r="O14" s="1239" t="s">
        <v>144</v>
      </c>
      <c r="P14" s="638"/>
      <c r="Q14" s="893"/>
      <c r="R14" s="638"/>
      <c r="S14" s="484"/>
      <c r="T14" s="638">
        <v>50</v>
      </c>
      <c r="U14" s="638">
        <v>30</v>
      </c>
      <c r="V14" s="638"/>
      <c r="W14" s="638">
        <v>1.4</v>
      </c>
      <c r="X14" s="638">
        <v>2.2999999999999998</v>
      </c>
      <c r="Y14" s="638"/>
      <c r="Z14" s="638">
        <v>0.6</v>
      </c>
      <c r="AA14" s="638"/>
      <c r="AB14" s="638"/>
      <c r="AC14" s="638"/>
      <c r="AD14" s="638"/>
      <c r="AE14" s="638"/>
      <c r="AF14" s="638"/>
      <c r="AG14" s="446"/>
      <c r="AH14" s="638"/>
      <c r="AI14" s="886"/>
      <c r="AJ14" s="638"/>
      <c r="AK14" s="1239"/>
      <c r="AL14" s="638" t="s">
        <v>2135</v>
      </c>
      <c r="AM14" s="890" t="s">
        <v>1043</v>
      </c>
      <c r="AN14" s="455">
        <v>5.5</v>
      </c>
      <c r="AO14" s="1239"/>
      <c r="AP14" s="1239"/>
      <c r="AQ14" s="484"/>
      <c r="AR14" s="484"/>
      <c r="AS14" s="484"/>
      <c r="AT14" s="484">
        <f>+ab($U$14,$T$12,$U$16,$G$13,$G$15, 1*$F$14,1200)</f>
        <v>9.2738382131692756</v>
      </c>
      <c r="AU14" s="638"/>
      <c r="AV14" s="638"/>
      <c r="AW14" s="638" t="str">
        <f>VLOOKUP(C14,'Foundation Calculation'!$A$2:$C$33,3,1)</f>
        <v>Soil A</v>
      </c>
      <c r="AX14" s="638" t="str">
        <f>VLOOKUP(C14,'Foundation Calculation'!$E$2:$G$33,3,1)</f>
        <v>PT</v>
      </c>
      <c r="AY14" s="484">
        <f>IF(AX14="PT",VLOOKUP(L14,'Foundation Calculation'!$K$2:$R$40,VLOOKUP(AW14,'Foundation Calculation'!$I$2:$J$8,2,FALSE),0),IF(AX14="K",VLOOKUP(L14,'Foundation Calculation'!$K$42:$R$80,VLOOKUP(AW14,'Foundation Calculation'!$I$2:$J$8,2,FALSE),0),""))</f>
        <v>5.6</v>
      </c>
      <c r="AZ14" s="484"/>
      <c r="BA14" s="1192" t="s">
        <v>2809</v>
      </c>
      <c r="BB14" s="449" t="str">
        <f>Pole_Calculations!A178</f>
        <v>App.8-V08F-P10.3</v>
      </c>
      <c r="BC14" s="169"/>
      <c r="BD14" s="1329"/>
      <c r="BE14" s="1329"/>
      <c r="BF14" s="1329"/>
      <c r="BG14" s="1329"/>
    </row>
    <row r="15" spans="1:59" ht="15.75" customHeight="1">
      <c r="A15" s="906"/>
      <c r="B15" s="908"/>
      <c r="C15" s="907"/>
      <c r="D15" s="445"/>
      <c r="E15" s="445"/>
      <c r="F15" s="908"/>
      <c r="G15" s="484">
        <v>62</v>
      </c>
      <c r="H15" s="908"/>
      <c r="I15" s="455"/>
      <c r="J15" s="446"/>
      <c r="K15" s="445"/>
      <c r="L15" s="908"/>
      <c r="M15" s="445"/>
      <c r="N15" s="908"/>
      <c r="O15" s="908"/>
      <c r="P15" s="908"/>
      <c r="Q15" s="638"/>
      <c r="R15" s="638"/>
      <c r="S15" s="484"/>
      <c r="T15" s="638"/>
      <c r="U15" s="638"/>
      <c r="V15" s="638"/>
      <c r="W15" s="638"/>
      <c r="X15" s="638"/>
      <c r="Y15" s="638"/>
      <c r="Z15" s="638"/>
      <c r="AA15" s="638"/>
      <c r="AB15" s="638"/>
      <c r="AC15" s="638"/>
      <c r="AD15" s="638"/>
      <c r="AE15" s="638"/>
      <c r="AF15" s="638"/>
      <c r="AG15" s="446"/>
      <c r="AH15" s="638"/>
      <c r="AI15" s="185"/>
      <c r="AJ15" s="908"/>
      <c r="AK15" s="908"/>
      <c r="AL15" s="908"/>
      <c r="AM15" s="445"/>
      <c r="AN15" s="455"/>
      <c r="AO15" s="445"/>
      <c r="AP15" s="445"/>
      <c r="AQ15" s="484">
        <f>+FL_1($U$16,$U$14,$G$15,1200,9.28, 1*$F$16)</f>
        <v>0.4321378107956988</v>
      </c>
      <c r="AR15" s="484"/>
      <c r="AS15" s="484"/>
      <c r="AT15" s="484"/>
      <c r="AU15" s="638"/>
      <c r="AV15" s="638"/>
      <c r="AW15" s="638"/>
      <c r="AX15" s="638"/>
      <c r="AY15" s="484"/>
      <c r="AZ15" s="484"/>
      <c r="BA15" s="671"/>
      <c r="BB15" s="906"/>
      <c r="BC15" s="169"/>
      <c r="BD15" s="1330"/>
      <c r="BE15" s="1330"/>
      <c r="BF15" s="1330"/>
      <c r="BG15" s="1330"/>
    </row>
    <row r="16" spans="1:59" ht="15.75" customHeight="1">
      <c r="A16" s="1239"/>
      <c r="B16" s="435" t="s">
        <v>3928</v>
      </c>
      <c r="C16" s="446">
        <f>+$C$14+$G$15</f>
        <v>82807.23</v>
      </c>
      <c r="D16" s="894"/>
      <c r="E16" s="887"/>
      <c r="F16" s="1239">
        <v>0</v>
      </c>
      <c r="G16" s="891"/>
      <c r="H16" s="1239" t="s">
        <v>619</v>
      </c>
      <c r="I16" s="895"/>
      <c r="J16" s="446"/>
      <c r="K16" s="514"/>
      <c r="L16" s="638" t="s">
        <v>4393</v>
      </c>
      <c r="M16" s="892" t="str">
        <f>IF(AX16="PT",VLOOKUP(L16,'Foundation Calculation'!$V$2:$X$40,VLOOKUP(AX16,'Foundation Calculation'!$I$10:$J$13,2,FALSE),0),IF(AX16="K",VLOOKUP(L16,'Foundation Calculation'!$V$42:$X$80,VLOOKUP(AX16,'Foundation Calculation'!$I$10:$J$13,2,FALSE),0),""))</f>
        <v>2C4R</v>
      </c>
      <c r="N16" s="1239" t="s">
        <v>140</v>
      </c>
      <c r="O16" s="1239" t="s">
        <v>143</v>
      </c>
      <c r="P16" s="638"/>
      <c r="Q16" s="893"/>
      <c r="R16" s="638"/>
      <c r="S16" s="484"/>
      <c r="T16" s="638">
        <v>15</v>
      </c>
      <c r="U16" s="638">
        <v>-30</v>
      </c>
      <c r="V16" s="638"/>
      <c r="W16" s="638">
        <v>1.4</v>
      </c>
      <c r="X16" s="638">
        <v>2.2999999999999998</v>
      </c>
      <c r="Y16" s="638"/>
      <c r="Z16" s="638">
        <v>0.51</v>
      </c>
      <c r="AA16" s="638"/>
      <c r="AB16" s="638"/>
      <c r="AC16" s="638"/>
      <c r="AD16" s="638"/>
      <c r="AE16" s="638"/>
      <c r="AF16" s="638"/>
      <c r="AG16" s="446"/>
      <c r="AH16" s="638"/>
      <c r="AI16" s="886"/>
      <c r="AJ16" s="638"/>
      <c r="AK16" s="1239"/>
      <c r="AL16" s="638" t="s">
        <v>2135</v>
      </c>
      <c r="AM16" s="890" t="s">
        <v>1043</v>
      </c>
      <c r="AN16" s="455">
        <v>5.41</v>
      </c>
      <c r="AO16" s="1239"/>
      <c r="AP16" s="1239"/>
      <c r="AQ16" s="484"/>
      <c r="AR16" s="484"/>
      <c r="AS16" s="484"/>
      <c r="AT16" s="484">
        <f>+ab($U$16,$U$14,$T$18,$G$15,$G$17, 1*$F$16,1200)</f>
        <v>-9.817269950503789</v>
      </c>
      <c r="AU16" s="638"/>
      <c r="AV16" s="638"/>
      <c r="AW16" s="638" t="str">
        <f>VLOOKUP(C16,'Foundation Calculation'!$A$2:$C$33,3,1)</f>
        <v>Soil A</v>
      </c>
      <c r="AX16" s="638" t="str">
        <f>VLOOKUP(C16,'Foundation Calculation'!$E$2:$G$33,3,1)</f>
        <v>PT</v>
      </c>
      <c r="AY16" s="484">
        <f>IF(AX16="PT",VLOOKUP(L16,'Foundation Calculation'!$K$2:$R$40,VLOOKUP(AW16,'Foundation Calculation'!$I$2:$J$8,2,FALSE),0),IF(AX16="K",VLOOKUP(L16,'Foundation Calculation'!$K$42:$R$80,VLOOKUP(AW16,'Foundation Calculation'!$I$2:$J$8,2,FALSE),0),""))</f>
        <v>5.6</v>
      </c>
      <c r="AZ16" s="484"/>
      <c r="BA16" s="1192" t="s">
        <v>2809</v>
      </c>
      <c r="BB16" s="1239" t="str">
        <f>Pole_Calculations!A178</f>
        <v>App.8-V08F-P10.3</v>
      </c>
      <c r="BC16" s="169"/>
      <c r="BD16" s="1329"/>
      <c r="BE16" s="1329"/>
      <c r="BF16" s="1329"/>
      <c r="BG16" s="1329"/>
    </row>
    <row r="17" spans="1:59" ht="15.75" customHeight="1">
      <c r="A17" s="909"/>
      <c r="B17" s="910"/>
      <c r="C17" s="907"/>
      <c r="D17" s="447"/>
      <c r="E17" s="447"/>
      <c r="F17" s="909"/>
      <c r="G17" s="484">
        <v>62</v>
      </c>
      <c r="H17" s="909"/>
      <c r="I17" s="448"/>
      <c r="J17" s="446">
        <f>C18-7.5</f>
        <v>82861.73</v>
      </c>
      <c r="K17" s="638" t="s">
        <v>2787</v>
      </c>
      <c r="L17" s="911"/>
      <c r="M17" s="638"/>
      <c r="N17" s="909"/>
      <c r="O17" s="909"/>
      <c r="P17" s="911"/>
      <c r="Q17" s="638"/>
      <c r="R17" s="638"/>
      <c r="S17" s="484"/>
      <c r="T17" s="638"/>
      <c r="U17" s="638"/>
      <c r="V17" s="638"/>
      <c r="W17" s="638"/>
      <c r="X17" s="638"/>
      <c r="Y17" s="638"/>
      <c r="Z17" s="638"/>
      <c r="AA17" s="638"/>
      <c r="AB17" s="638"/>
      <c r="AC17" s="638"/>
      <c r="AD17" s="638"/>
      <c r="AE17" s="638"/>
      <c r="AF17" s="638"/>
      <c r="AG17" s="446"/>
      <c r="AH17" s="638"/>
      <c r="AI17" s="185"/>
      <c r="AJ17" s="911"/>
      <c r="AK17" s="909"/>
      <c r="AL17" s="911"/>
      <c r="AM17" s="638"/>
      <c r="AN17" s="455"/>
      <c r="AO17" s="1239"/>
      <c r="AP17" s="1239"/>
      <c r="AQ17" s="484">
        <f>+FL_1($T$18,$U$16,$G$17,1200,9.28, 1*$F$18)</f>
        <v>0.43213781079569885</v>
      </c>
      <c r="AR17" s="484"/>
      <c r="AS17" s="484"/>
      <c r="AT17" s="484"/>
      <c r="AU17" s="638"/>
      <c r="AV17" s="638"/>
      <c r="AW17" s="638" t="str">
        <f>VLOOKUP(J17,'Foundation Calculation'!$A$2:$C$33,3,1)</f>
        <v>Soil A</v>
      </c>
      <c r="AX17" s="638" t="str">
        <f>VLOOKUP(J17,'Foundation Calculation'!$E$2:$G$33,3,1)</f>
        <v>PT</v>
      </c>
      <c r="AY17" s="484"/>
      <c r="AZ17" s="484">
        <f>IF(AX17="PT",VLOOKUP(K17,'Foundation Calculation'!$K$2:$R$40,VLOOKUP(AW17,'Foundation Calculation'!$I$2:$J$8,2,FALSE),0),IF(AX17="K",VLOOKUP(K17,'Foundation Calculation'!$K$42:$R$80,VLOOKUP(AW17,'Foundation Calculation'!$I$2:$J$8,2,FALSE),0),""))</f>
        <v>3.3</v>
      </c>
      <c r="BA17" s="671" t="s">
        <v>2809</v>
      </c>
      <c r="BB17" s="909"/>
      <c r="BC17" s="169"/>
      <c r="BD17" s="1329"/>
      <c r="BE17" s="1330"/>
      <c r="BF17" s="1330"/>
      <c r="BG17" s="1330"/>
    </row>
    <row r="18" spans="1:59" ht="15.75" customHeight="1">
      <c r="A18" s="1239" t="s">
        <v>3972</v>
      </c>
      <c r="B18" s="435" t="s">
        <v>3929</v>
      </c>
      <c r="C18" s="446">
        <f>+$C$16+$G$17</f>
        <v>82869.23</v>
      </c>
      <c r="D18" s="894"/>
      <c r="E18" s="887"/>
      <c r="F18" s="1239">
        <v>0</v>
      </c>
      <c r="G18" s="891"/>
      <c r="H18" s="1239" t="s">
        <v>2130</v>
      </c>
      <c r="I18" s="890" t="s">
        <v>4229</v>
      </c>
      <c r="J18" s="446"/>
      <c r="K18" s="514"/>
      <c r="L18" s="638" t="s">
        <v>821</v>
      </c>
      <c r="M18" s="892" t="str">
        <f>IF(AX18="PT",VLOOKUP(L18,'Foundation Calculation'!$V$2:$X$40,VLOOKUP(AX18,'Foundation Calculation'!$I$10:$J$13,2,FALSE),0),IF(AX18="K",VLOOKUP(L18,'Foundation Calculation'!$V$42:$X$80,VLOOKUP(AX18,'Foundation Calculation'!$I$10:$J$13,2,FALSE),0),""))</f>
        <v>C7R</v>
      </c>
      <c r="N18" s="1239" t="s">
        <v>144</v>
      </c>
      <c r="O18" s="1239" t="s">
        <v>140</v>
      </c>
      <c r="P18" s="638"/>
      <c r="Q18" s="893"/>
      <c r="R18" s="638"/>
      <c r="S18" s="484"/>
      <c r="T18" s="638">
        <v>30</v>
      </c>
      <c r="U18" s="638">
        <v>-15</v>
      </c>
      <c r="V18" s="638"/>
      <c r="W18" s="638">
        <v>1.4</v>
      </c>
      <c r="X18" s="638">
        <v>2.2999999999999998</v>
      </c>
      <c r="Y18" s="638"/>
      <c r="Z18" s="638"/>
      <c r="AA18" s="638">
        <v>0.69</v>
      </c>
      <c r="AB18" s="638"/>
      <c r="AC18" s="638" t="str">
        <f>IF(OR(AT18&gt;8,AT18&lt;-8),"PH",IF(OR(AT18&gt;5,AT18&lt;-5),"PH-Q",IF(OR(AT18&gt;1,AT18&lt;-1),"PH-C")))</f>
        <v>PH</v>
      </c>
      <c r="AD18" s="638"/>
      <c r="AE18" s="638"/>
      <c r="AF18" s="638"/>
      <c r="AG18" s="446"/>
      <c r="AH18" s="638"/>
      <c r="AI18" s="886"/>
      <c r="AJ18" s="638" t="s">
        <v>2154</v>
      </c>
      <c r="AK18" s="1239"/>
      <c r="AL18" s="445" t="s">
        <v>2142</v>
      </c>
      <c r="AM18" s="890" t="s">
        <v>1043</v>
      </c>
      <c r="AN18" s="455">
        <v>5.32</v>
      </c>
      <c r="AO18" s="1239"/>
      <c r="AP18" s="1239"/>
      <c r="AQ18" s="484"/>
      <c r="AR18" s="484"/>
      <c r="AS18" s="484"/>
      <c r="AT18" s="484">
        <f>+ab($T$18,$T$16,$U$20,$G$17,$G$19, 1*$F$18,1200)</f>
        <v>17.384127357818929</v>
      </c>
      <c r="AU18" s="638"/>
      <c r="AV18" s="638"/>
      <c r="AW18" s="638" t="str">
        <f>VLOOKUP(C18,'Foundation Calculation'!$A$2:$C$33,3,1)</f>
        <v>Soil A</v>
      </c>
      <c r="AX18" s="638" t="str">
        <f>VLOOKUP(C18,'Foundation Calculation'!$E$2:$G$33,3,1)</f>
        <v>PT</v>
      </c>
      <c r="AY18" s="484">
        <f>IF(AX18="PT",VLOOKUP(L18,'Foundation Calculation'!$K$2:$R$40,VLOOKUP(AW18,'Foundation Calculation'!$I$2:$J$8,2,FALSE),0),IF(AX18="K",VLOOKUP(L18,'Foundation Calculation'!$K$42:$R$80,VLOOKUP(AW18,'Foundation Calculation'!$I$2:$J$8,2,FALSE),0),""))</f>
        <v>4</v>
      </c>
      <c r="AZ18" s="484"/>
      <c r="BA18" s="1192" t="s">
        <v>2809</v>
      </c>
      <c r="BB18" s="1239" t="str">
        <f>Pole_Calculations!A178</f>
        <v>App.8-V08F-P10.3</v>
      </c>
      <c r="BC18" s="169"/>
      <c r="BD18" s="1329"/>
      <c r="BE18" s="1329"/>
      <c r="BF18" s="1329"/>
      <c r="BG18" s="1329"/>
    </row>
    <row r="19" spans="1:59" ht="15.75" customHeight="1">
      <c r="A19" s="909"/>
      <c r="B19" s="910"/>
      <c r="C19" s="907"/>
      <c r="D19" s="447"/>
      <c r="E19" s="447"/>
      <c r="F19" s="909"/>
      <c r="G19" s="484">
        <v>60.4</v>
      </c>
      <c r="H19" s="909"/>
      <c r="I19" s="448">
        <v>298</v>
      </c>
      <c r="J19" s="446"/>
      <c r="K19" s="638"/>
      <c r="L19" s="911"/>
      <c r="M19" s="638"/>
      <c r="N19" s="909"/>
      <c r="O19" s="909"/>
      <c r="P19" s="911"/>
      <c r="Q19" s="638"/>
      <c r="R19" s="638"/>
      <c r="S19" s="484"/>
      <c r="T19" s="638"/>
      <c r="U19" s="638"/>
      <c r="V19" s="638"/>
      <c r="W19" s="638"/>
      <c r="X19" s="638"/>
      <c r="Y19" s="638"/>
      <c r="Z19" s="638"/>
      <c r="AA19" s="638"/>
      <c r="AB19" s="638"/>
      <c r="AC19" s="638"/>
      <c r="AD19" s="638"/>
      <c r="AE19" s="638"/>
      <c r="AF19" s="638"/>
      <c r="AG19" s="446"/>
      <c r="AH19" s="638"/>
      <c r="AI19" s="185"/>
      <c r="AJ19" s="911"/>
      <c r="AK19" s="909"/>
      <c r="AL19" s="911"/>
      <c r="AM19" s="638"/>
      <c r="AN19" s="455"/>
      <c r="AO19" s="1239"/>
      <c r="AP19" s="1239"/>
      <c r="AQ19" s="484">
        <f>+FL_2($U$20,$T$18,$G$19,1200,9.28, 1*$F$20)</f>
        <v>-0.34696215894039734</v>
      </c>
      <c r="AR19" s="484"/>
      <c r="AS19" s="484"/>
      <c r="AT19" s="484"/>
      <c r="AU19" s="638"/>
      <c r="AV19" s="638"/>
      <c r="AW19" s="638"/>
      <c r="AX19" s="638"/>
      <c r="AY19" s="484"/>
      <c r="AZ19" s="484"/>
      <c r="BA19" s="671"/>
      <c r="BB19" s="909"/>
      <c r="BC19" s="169"/>
      <c r="BD19" s="1330"/>
      <c r="BE19" s="1330"/>
      <c r="BF19" s="1330"/>
      <c r="BG19" s="1330"/>
    </row>
    <row r="20" spans="1:59" ht="15.75" customHeight="1">
      <c r="A20" s="449"/>
      <c r="B20" s="485" t="s">
        <v>3930</v>
      </c>
      <c r="C20" s="446">
        <f>+$C$18+$G$19</f>
        <v>82929.62999999999</v>
      </c>
      <c r="D20" s="890"/>
      <c r="E20" s="877"/>
      <c r="F20" s="448">
        <v>0</v>
      </c>
      <c r="G20" s="891"/>
      <c r="H20" s="445" t="s">
        <v>2128</v>
      </c>
      <c r="I20" s="896" t="s">
        <v>623</v>
      </c>
      <c r="J20" s="446"/>
      <c r="K20" s="514"/>
      <c r="L20" s="638" t="s">
        <v>821</v>
      </c>
      <c r="M20" s="892" t="str">
        <f>IF(AX20="PT",VLOOKUP(L20,'Foundation Calculation'!$V$2:$X$40,VLOOKUP(AX20,'Foundation Calculation'!$I$10:$J$13,2,FALSE),0),IF(AX20="K",VLOOKUP(L20,'Foundation Calculation'!$V$42:$X$80,VLOOKUP(AX20,'Foundation Calculation'!$I$10:$J$13,2,FALSE),0),""))</f>
        <v>C7R</v>
      </c>
      <c r="N20" s="1239" t="s">
        <v>140</v>
      </c>
      <c r="O20" s="1239" t="s">
        <v>143</v>
      </c>
      <c r="P20" s="445"/>
      <c r="Q20" s="893"/>
      <c r="R20" s="638"/>
      <c r="S20" s="484"/>
      <c r="T20" s="638">
        <v>-55</v>
      </c>
      <c r="U20" s="638">
        <v>-20</v>
      </c>
      <c r="V20" s="638"/>
      <c r="W20" s="638">
        <v>2.2999999999999998</v>
      </c>
      <c r="X20" s="638">
        <v>1.4</v>
      </c>
      <c r="Y20" s="638"/>
      <c r="Z20" s="638">
        <v>0.37</v>
      </c>
      <c r="AA20" s="638"/>
      <c r="AB20" s="638"/>
      <c r="AC20" s="638"/>
      <c r="AD20" s="638"/>
      <c r="AE20" s="638"/>
      <c r="AF20" s="638"/>
      <c r="AG20" s="446"/>
      <c r="AH20" s="638"/>
      <c r="AI20" s="886"/>
      <c r="AJ20" s="445"/>
      <c r="AK20" s="445"/>
      <c r="AL20" s="445" t="s">
        <v>2142</v>
      </c>
      <c r="AM20" s="890" t="s">
        <v>1043</v>
      </c>
      <c r="AN20" s="455">
        <v>5.23</v>
      </c>
      <c r="AO20" s="1239"/>
      <c r="AP20" s="1239"/>
      <c r="AQ20" s="484"/>
      <c r="AR20" s="484"/>
      <c r="AS20" s="484"/>
      <c r="AT20" s="484">
        <f>+ab($U$20,$T$18,$U$22,$G$19,$G$21, 1*$F$20,1200)</f>
        <v>-10.281413540897599</v>
      </c>
      <c r="AU20" s="638"/>
      <c r="AV20" s="638"/>
      <c r="AW20" s="638" t="str">
        <f>VLOOKUP(C20,'Foundation Calculation'!$A$2:$C$33,3,1)</f>
        <v>Soil A</v>
      </c>
      <c r="AX20" s="638" t="str">
        <f>VLOOKUP(C20,'Foundation Calculation'!$E$2:$G$33,3,1)</f>
        <v>PT</v>
      </c>
      <c r="AY20" s="484">
        <f>IF(AX20="PT",VLOOKUP(L20,'Foundation Calculation'!$K$2:$R$40,VLOOKUP(AW20,'Foundation Calculation'!$I$2:$J$8,2,FALSE),0),IF(AX20="K",VLOOKUP(L20,'Foundation Calculation'!$K$42:$R$80,VLOOKUP(AW20,'Foundation Calculation'!$I$2:$J$8,2,FALSE),0),""))</f>
        <v>4</v>
      </c>
      <c r="AZ20" s="484"/>
      <c r="BA20" s="1192" t="s">
        <v>2809</v>
      </c>
      <c r="BB20" s="449" t="str">
        <f>Pole_Calculations!A178</f>
        <v>App.8-V08F-P10.3</v>
      </c>
      <c r="BC20" s="169"/>
      <c r="BD20" s="1329"/>
      <c r="BE20" s="1329"/>
      <c r="BF20" s="1329"/>
      <c r="BG20" s="1329"/>
    </row>
    <row r="21" spans="1:59" ht="15.75" customHeight="1">
      <c r="A21" s="906"/>
      <c r="B21" s="908"/>
      <c r="C21" s="907"/>
      <c r="D21" s="445"/>
      <c r="E21" s="445"/>
      <c r="F21" s="908"/>
      <c r="G21" s="484">
        <v>54</v>
      </c>
      <c r="H21" s="908"/>
      <c r="I21" s="1239"/>
      <c r="J21" s="171">
        <f>C20+7.5</f>
        <v>82937.12999999999</v>
      </c>
      <c r="K21" s="1239" t="s">
        <v>2787</v>
      </c>
      <c r="L21" s="908"/>
      <c r="M21" s="445"/>
      <c r="N21" s="908"/>
      <c r="O21" s="908"/>
      <c r="P21" s="908"/>
      <c r="Q21" s="638"/>
      <c r="R21" s="638"/>
      <c r="S21" s="484"/>
      <c r="T21" s="638"/>
      <c r="U21" s="638"/>
      <c r="V21" s="638"/>
      <c r="W21" s="638"/>
      <c r="X21" s="638"/>
      <c r="Y21" s="638"/>
      <c r="Z21" s="638"/>
      <c r="AA21" s="638"/>
      <c r="AB21" s="638"/>
      <c r="AC21" s="638"/>
      <c r="AD21" s="638"/>
      <c r="AE21" s="638"/>
      <c r="AF21" s="638"/>
      <c r="AG21" s="446"/>
      <c r="AH21" s="638"/>
      <c r="AI21" s="185"/>
      <c r="AJ21" s="908"/>
      <c r="AK21" s="908"/>
      <c r="AL21" s="908"/>
      <c r="AM21" s="445"/>
      <c r="AN21" s="484"/>
      <c r="AO21" s="445"/>
      <c r="AP21" s="445"/>
      <c r="AQ21" s="484">
        <f>+FL_2($U$22,$U$20,$G$21,1200,9.28, 1*$F$22)</f>
        <v>-0.27395198088888895</v>
      </c>
      <c r="AR21" s="484"/>
      <c r="AS21" s="484"/>
      <c r="AT21" s="484"/>
      <c r="AU21" s="638"/>
      <c r="AV21" s="638"/>
      <c r="AW21" s="638" t="str">
        <f>VLOOKUP(J21,'Foundation Calculation'!$A$2:$C$33,3,1)</f>
        <v>Soil A</v>
      </c>
      <c r="AX21" s="638" t="str">
        <f>VLOOKUP(J21,'Foundation Calculation'!$E$2:$G$33,3,1)</f>
        <v>PT</v>
      </c>
      <c r="AY21" s="484"/>
      <c r="AZ21" s="484">
        <f>IF(AX21="PT",VLOOKUP(K21,'Foundation Calculation'!$K$2:$R$40,VLOOKUP(AW21,'Foundation Calculation'!$I$2:$J$8,2,FALSE),0),IF(AX21="K",VLOOKUP(K21,'Foundation Calculation'!$K$42:$R$80,VLOOKUP(AW21,'Foundation Calculation'!$I$2:$J$8,2,FALSE),0),""))</f>
        <v>3.3</v>
      </c>
      <c r="BA21" s="671" t="s">
        <v>2809</v>
      </c>
      <c r="BB21" s="906"/>
      <c r="BC21" s="169"/>
      <c r="BD21" s="1329"/>
      <c r="BE21" s="1330"/>
      <c r="BF21" s="1330"/>
      <c r="BG21" s="1330"/>
    </row>
    <row r="22" spans="1:59" ht="15.75" customHeight="1">
      <c r="A22" s="1239"/>
      <c r="B22" s="435" t="s">
        <v>3931</v>
      </c>
      <c r="C22" s="446">
        <f>+$C$20+$G$21+0.18</f>
        <v>82983.809999999983</v>
      </c>
      <c r="D22" s="894"/>
      <c r="E22" s="887"/>
      <c r="F22" s="1239">
        <v>0</v>
      </c>
      <c r="G22" s="891"/>
      <c r="H22" s="1239" t="s">
        <v>3716</v>
      </c>
      <c r="I22" s="890" t="s">
        <v>623</v>
      </c>
      <c r="J22" s="446">
        <f>C22-7.5</f>
        <v>82976.309999999983</v>
      </c>
      <c r="K22" s="514" t="s">
        <v>2787</v>
      </c>
      <c r="L22" s="638" t="s">
        <v>821</v>
      </c>
      <c r="M22" s="892" t="str">
        <f>IF(AX22="PT",VLOOKUP(L22,'Foundation Calculation'!$V$2:$X$40,VLOOKUP(AX22,'Foundation Calculation'!$I$10:$J$13,2,FALSE),0),IF(AX22="K",VLOOKUP(L22,'Foundation Calculation'!$V$42:$X$80,VLOOKUP(AX22,'Foundation Calculation'!$I$10:$J$13,2,FALSE),0),""))</f>
        <v>C7R</v>
      </c>
      <c r="N22" s="1239" t="s">
        <v>143</v>
      </c>
      <c r="O22" s="1239" t="s">
        <v>144</v>
      </c>
      <c r="P22" s="445"/>
      <c r="Q22" s="893"/>
      <c r="R22" s="638"/>
      <c r="S22" s="484"/>
      <c r="T22" s="638">
        <v>20</v>
      </c>
      <c r="U22" s="638">
        <v>35</v>
      </c>
      <c r="V22" s="638"/>
      <c r="W22" s="638">
        <v>2.2999999999999998</v>
      </c>
      <c r="X22" s="638">
        <v>1.4</v>
      </c>
      <c r="Y22" s="638"/>
      <c r="Z22" s="638"/>
      <c r="AA22" s="638"/>
      <c r="AB22" s="638"/>
      <c r="AC22" s="638" t="str">
        <f>IF(OR(AT22&gt;8,AT22&lt;-8),"PH",IF(OR(AT22&gt;5,AT22&lt;-5),"PH-Q",IF(OR(AT22&gt;1,AT22&lt;-1),"PH-C")))</f>
        <v>PH-Q</v>
      </c>
      <c r="AD22" s="638"/>
      <c r="AE22" s="638"/>
      <c r="AF22" s="638"/>
      <c r="AG22" s="446"/>
      <c r="AH22" s="638"/>
      <c r="AI22" s="886"/>
      <c r="AJ22" s="445"/>
      <c r="AK22" s="445"/>
      <c r="AL22" s="445" t="s">
        <v>2142</v>
      </c>
      <c r="AM22" s="890" t="s">
        <v>1043</v>
      </c>
      <c r="AN22" s="455">
        <v>5.15</v>
      </c>
      <c r="AO22" s="1239"/>
      <c r="AP22" s="1239"/>
      <c r="AQ22" s="484"/>
      <c r="AR22" s="484"/>
      <c r="AS22" s="484"/>
      <c r="AT22" s="484">
        <f>+ab($U$22,$U$20,$U$24,$G$21,$G$23, 1*$F$22,1200)</f>
        <v>6.9407290731993765</v>
      </c>
      <c r="AU22" s="638"/>
      <c r="AV22" s="638"/>
      <c r="AW22" s="638" t="str">
        <f>VLOOKUP(C22,'Foundation Calculation'!$A$2:$C$33,3,1)</f>
        <v>Soil A</v>
      </c>
      <c r="AX22" s="638" t="str">
        <f>VLOOKUP(C22,'Foundation Calculation'!$E$2:$G$33,3,1)</f>
        <v>PT</v>
      </c>
      <c r="AY22" s="484">
        <f>IF(AX22="PT",VLOOKUP(L22,'Foundation Calculation'!$K$2:$R$40,VLOOKUP(AW22,'Foundation Calculation'!$I$2:$J$8,2,FALSE),0),IF(AX22="K",VLOOKUP(L22,'Foundation Calculation'!$K$42:$R$80,VLOOKUP(AW22,'Foundation Calculation'!$I$2:$J$8,2,FALSE),0),""))</f>
        <v>4</v>
      </c>
      <c r="AZ22" s="484">
        <f>IF(AX22="PT",VLOOKUP(K22,'Foundation Calculation'!$K$2:$R$40,VLOOKUP(AW22,'Foundation Calculation'!$I$2:$J$8,2,FALSE),0),IF(AX22="K",VLOOKUP(K22,'Foundation Calculation'!$K$42:$R$80,VLOOKUP(AW22,'Foundation Calculation'!$I$2:$J$8,2,FALSE),0),""))</f>
        <v>3.3</v>
      </c>
      <c r="BA22" s="1192" t="s">
        <v>2809</v>
      </c>
      <c r="BB22" s="1239" t="str">
        <f>Pole_Calculations!A178</f>
        <v>App.8-V08F-P10.3</v>
      </c>
      <c r="BC22" s="169"/>
      <c r="BD22" s="1329"/>
      <c r="BE22" s="1329"/>
      <c r="BF22" s="1329"/>
      <c r="BG22" s="1329"/>
    </row>
    <row r="23" spans="1:59" ht="15.75" customHeight="1">
      <c r="A23" s="909"/>
      <c r="B23" s="910"/>
      <c r="C23" s="907"/>
      <c r="D23" s="447"/>
      <c r="E23" s="447"/>
      <c r="F23" s="909"/>
      <c r="G23" s="484">
        <v>40.4</v>
      </c>
      <c r="H23" s="909"/>
      <c r="I23" s="448">
        <v>318</v>
      </c>
      <c r="J23" s="446"/>
      <c r="K23" s="638"/>
      <c r="L23" s="911"/>
      <c r="M23" s="638"/>
      <c r="N23" s="909"/>
      <c r="O23" s="909"/>
      <c r="P23" s="911"/>
      <c r="Q23" s="638"/>
      <c r="R23" s="638"/>
      <c r="S23" s="484"/>
      <c r="T23" s="638"/>
      <c r="U23" s="638"/>
      <c r="V23" s="638"/>
      <c r="W23" s="638"/>
      <c r="X23" s="638"/>
      <c r="Y23" s="638"/>
      <c r="Z23" s="638"/>
      <c r="AA23" s="638"/>
      <c r="AB23" s="638"/>
      <c r="AC23" s="638"/>
      <c r="AD23" s="638"/>
      <c r="AE23" s="638"/>
      <c r="AF23" s="638"/>
      <c r="AG23" s="446"/>
      <c r="AH23" s="638"/>
      <c r="AI23" s="185"/>
      <c r="AJ23" s="911" t="s">
        <v>864</v>
      </c>
      <c r="AK23" s="909"/>
      <c r="AL23" s="911"/>
      <c r="AM23" s="638"/>
      <c r="AN23" s="455"/>
      <c r="AO23" s="1239"/>
      <c r="AP23" s="1239"/>
      <c r="AQ23" s="484">
        <f>+FL_2($U$24,$U$22,$G$23,1200,9.28, 1*$F$24)</f>
        <v>-0.35</v>
      </c>
      <c r="AR23" s="484"/>
      <c r="AS23" s="484"/>
      <c r="AT23" s="484"/>
      <c r="AU23" s="638"/>
      <c r="AV23" s="638"/>
      <c r="AW23" s="638"/>
      <c r="AX23" s="638"/>
      <c r="AY23" s="484"/>
      <c r="AZ23" s="484"/>
      <c r="BA23" s="671"/>
      <c r="BB23" s="909"/>
      <c r="BC23" s="169"/>
      <c r="BD23" s="1330"/>
      <c r="BE23" s="1330"/>
      <c r="BF23" s="1330"/>
      <c r="BG23" s="1330"/>
    </row>
    <row r="24" spans="1:59" s="1436" customFormat="1" ht="15.75" customHeight="1">
      <c r="A24" s="1425"/>
      <c r="B24" s="1475" t="s">
        <v>3932</v>
      </c>
      <c r="C24" s="1427">
        <f>+$C$22+$G$23</f>
        <v>83024.209999999977</v>
      </c>
      <c r="D24" s="1504"/>
      <c r="E24" s="1505"/>
      <c r="F24" s="1428">
        <v>0</v>
      </c>
      <c r="G24" s="1506"/>
      <c r="H24" s="1426" t="s">
        <v>619</v>
      </c>
      <c r="I24" s="1507"/>
      <c r="J24" s="1427"/>
      <c r="K24" s="1508"/>
      <c r="L24" s="1431" t="s">
        <v>821</v>
      </c>
      <c r="M24" s="1509" t="str">
        <f>IF(AX24="PT",VLOOKUP(L24,'Foundation Calculation'!$V$2:$X$40,VLOOKUP(AX24,'Foundation Calculation'!$I$10:$J$13,2,FALSE),0),IF(AX24="K",VLOOKUP(L24,'Foundation Calculation'!$V$42:$X$80,VLOOKUP(AX24,'Foundation Calculation'!$I$10:$J$13,2,FALSE),0),""))</f>
        <v>C7R</v>
      </c>
      <c r="N24" s="1430" t="s">
        <v>140</v>
      </c>
      <c r="O24" s="1430" t="s">
        <v>143</v>
      </c>
      <c r="P24" s="1426"/>
      <c r="Q24" s="1510">
        <v>0</v>
      </c>
      <c r="R24" s="1431">
        <v>0</v>
      </c>
      <c r="S24" s="1429"/>
      <c r="T24" s="1431">
        <v>55</v>
      </c>
      <c r="U24" s="1431">
        <v>-35</v>
      </c>
      <c r="V24" s="1431"/>
      <c r="W24" s="1431">
        <v>2</v>
      </c>
      <c r="X24" s="1431">
        <v>1.4</v>
      </c>
      <c r="Y24" s="1431"/>
      <c r="Z24" s="1431">
        <v>0.6</v>
      </c>
      <c r="AA24" s="1431"/>
      <c r="AB24" s="1431"/>
      <c r="AC24" s="1431"/>
      <c r="AD24" s="1431"/>
      <c r="AE24" s="1431"/>
      <c r="AF24" s="1431"/>
      <c r="AG24" s="1427">
        <v>83024</v>
      </c>
      <c r="AH24" s="1431">
        <v>2473</v>
      </c>
      <c r="AI24" s="1511">
        <v>640</v>
      </c>
      <c r="AJ24" s="1426"/>
      <c r="AK24" s="1426" t="s">
        <v>2762</v>
      </c>
      <c r="AL24" s="1426" t="s">
        <v>2142</v>
      </c>
      <c r="AM24" s="1504" t="s">
        <v>1043</v>
      </c>
      <c r="AN24" s="1432">
        <v>5.15</v>
      </c>
      <c r="AO24" s="1430"/>
      <c r="AP24" s="1430"/>
      <c r="AQ24" s="1429"/>
      <c r="AR24" s="1429"/>
      <c r="AS24" s="1429"/>
      <c r="AT24" s="1429">
        <f>+ab($U$24,$U$22,$T$26,$G$23,$G$25, 1*$F$24,1200)</f>
        <v>-8.9968747437127448</v>
      </c>
      <c r="AU24" s="1478"/>
      <c r="AV24" s="1478"/>
      <c r="AW24" s="1431" t="str">
        <f>VLOOKUP(C24,'Foundation Calculation'!$A$2:$C$33,3,1)</f>
        <v>Soil A</v>
      </c>
      <c r="AX24" s="1431" t="str">
        <f>VLOOKUP(C24,'Foundation Calculation'!$E$2:$G$33,3,1)</f>
        <v>PT</v>
      </c>
      <c r="AY24" s="1429">
        <f>IF(AX24="PT",VLOOKUP(L24,'Foundation Calculation'!$K$2:$R$40,VLOOKUP(AW24,'Foundation Calculation'!$I$2:$J$8,2,FALSE),0),IF(AX24="K",VLOOKUP(L24,'Foundation Calculation'!$K$42:$R$80,VLOOKUP(AW24,'Foundation Calculation'!$I$2:$J$8,2,FALSE),0),""))</f>
        <v>4</v>
      </c>
      <c r="AZ24" s="1429"/>
      <c r="BA24" s="1527" t="s">
        <v>2809</v>
      </c>
      <c r="BB24" s="1425" t="str">
        <f>Pole_Calculations!A178</f>
        <v>App.8-V08F-P10.3</v>
      </c>
      <c r="BC24" s="1434"/>
      <c r="BD24" s="1435"/>
      <c r="BE24" s="1435"/>
      <c r="BF24" s="1435"/>
      <c r="BG24" s="1435"/>
    </row>
    <row r="25" spans="1:59" ht="15.75" customHeight="1">
      <c r="A25" s="906"/>
      <c r="B25" s="908"/>
      <c r="C25" s="907"/>
      <c r="D25" s="445"/>
      <c r="E25" s="445"/>
      <c r="F25" s="908"/>
      <c r="G25" s="484">
        <v>39.200000000000003</v>
      </c>
      <c r="H25" s="908"/>
      <c r="I25" s="1239"/>
      <c r="J25" s="171"/>
      <c r="K25" s="1239"/>
      <c r="L25" s="908"/>
      <c r="M25" s="445"/>
      <c r="N25" s="908"/>
      <c r="O25" s="908"/>
      <c r="P25" s="908"/>
      <c r="Q25" s="638"/>
      <c r="R25" s="638"/>
      <c r="S25" s="484"/>
      <c r="T25" s="638"/>
      <c r="U25" s="638"/>
      <c r="V25" s="638"/>
      <c r="W25" s="638"/>
      <c r="X25" s="638"/>
      <c r="Y25" s="638"/>
      <c r="Z25" s="638"/>
      <c r="AA25" s="638"/>
      <c r="AB25" s="638"/>
      <c r="AC25" s="638"/>
      <c r="AD25" s="638"/>
      <c r="AE25" s="638"/>
      <c r="AF25" s="638"/>
      <c r="AG25" s="446"/>
      <c r="AH25" s="638"/>
      <c r="AI25" s="185"/>
      <c r="AJ25" s="908"/>
      <c r="AK25" s="908"/>
      <c r="AL25" s="908"/>
      <c r="AM25" s="445"/>
      <c r="AN25" s="484"/>
      <c r="AO25" s="445"/>
      <c r="AP25" s="445"/>
      <c r="AQ25" s="484">
        <f>+FL_2($T$26,$U$24,$G$25,1200,9.28, 1*$F$26)</f>
        <v>-0.43300889319727892</v>
      </c>
      <c r="AR25" s="484"/>
      <c r="AS25" s="484"/>
      <c r="AT25" s="484"/>
      <c r="AU25" s="638"/>
      <c r="AV25" s="638"/>
      <c r="AW25" s="638"/>
      <c r="AX25" s="638"/>
      <c r="AY25" s="484"/>
      <c r="AZ25" s="484"/>
      <c r="BA25" s="1304"/>
      <c r="BB25" s="906"/>
      <c r="BC25" s="169"/>
      <c r="BD25" s="1330"/>
      <c r="BE25" s="1330"/>
      <c r="BF25" s="1330"/>
      <c r="BG25" s="1330"/>
    </row>
    <row r="26" spans="1:59" s="1436" customFormat="1" ht="15.75" customHeight="1">
      <c r="A26" s="1425"/>
      <c r="B26" s="1475" t="s">
        <v>3933</v>
      </c>
      <c r="C26" s="1427">
        <f>+$C$24+$G$25</f>
        <v>83063.409999999974</v>
      </c>
      <c r="D26" s="1504"/>
      <c r="E26" s="1505"/>
      <c r="F26" s="1426" t="s">
        <v>2312</v>
      </c>
      <c r="G26" s="1506"/>
      <c r="H26" s="1426"/>
      <c r="I26" s="1504"/>
      <c r="J26" s="1427"/>
      <c r="K26" s="1508"/>
      <c r="L26" s="1426" t="s">
        <v>230</v>
      </c>
      <c r="M26" s="1509" t="str">
        <f>IF(AX26="PT",VLOOKUP(L26,'Foundation Calculation'!$V$2:$X$40,VLOOKUP(AX26,'Foundation Calculation'!$I$10:$J$13,2,FALSE),0),IF(AX26="K",VLOOKUP(L26,'Foundation Calculation'!$V$42:$X$80,VLOOKUP(AX26,'Foundation Calculation'!$I$10:$J$13,2,FALSE),0),""))</f>
        <v>C4R</v>
      </c>
      <c r="N26" s="1430" t="s">
        <v>143</v>
      </c>
      <c r="O26" s="1426"/>
      <c r="P26" s="1426"/>
      <c r="Q26" s="1510">
        <v>0</v>
      </c>
      <c r="R26" s="1431">
        <v>0</v>
      </c>
      <c r="S26" s="1429"/>
      <c r="T26" s="1431">
        <v>-20</v>
      </c>
      <c r="U26" s="1431"/>
      <c r="V26" s="1431"/>
      <c r="W26" s="1431">
        <v>1</v>
      </c>
      <c r="X26" s="1431"/>
      <c r="Y26" s="1431"/>
      <c r="Z26" s="1431"/>
      <c r="AA26" s="1431"/>
      <c r="AB26" s="1431"/>
      <c r="AC26" s="1431" t="str">
        <f>IF(OR(AT26&gt;8,AT26&lt;-8),"PH",IF(OR(AT26&gt;5,AT26&lt;-5),"PH-Q",IF(OR(AT26&gt;1,AT26&lt;-1),"PH-C")))</f>
        <v>PH</v>
      </c>
      <c r="AD26" s="1431"/>
      <c r="AE26" s="1431"/>
      <c r="AF26" s="1431"/>
      <c r="AG26" s="1427">
        <v>93063</v>
      </c>
      <c r="AH26" s="1431">
        <v>2613</v>
      </c>
      <c r="AI26" s="1511">
        <v>630</v>
      </c>
      <c r="AJ26" s="1426"/>
      <c r="AK26" s="1426"/>
      <c r="AL26" s="1426"/>
      <c r="AM26" s="1504" t="s">
        <v>1043</v>
      </c>
      <c r="AN26" s="1432">
        <v>5.15</v>
      </c>
      <c r="AO26" s="1430"/>
      <c r="AP26" s="1430"/>
      <c r="AQ26" s="1429"/>
      <c r="AR26" s="1429"/>
      <c r="AS26" s="1429"/>
      <c r="AT26" s="1429">
        <f>+ab($T$26,$U$24,$T$28,$G$25,$G$27, 1*$F$26,1200)</f>
        <v>-29.262277578959818</v>
      </c>
      <c r="AU26" s="1478"/>
      <c r="AV26" s="1478"/>
      <c r="AW26" s="1431" t="str">
        <f>VLOOKUP(C26,'Foundation Calculation'!$A$2:$C$33,3,1)</f>
        <v>Soil A</v>
      </c>
      <c r="AX26" s="1431" t="str">
        <f>VLOOKUP(C26,'Foundation Calculation'!$E$2:$G$33,3,1)</f>
        <v>PT</v>
      </c>
      <c r="AY26" s="1429">
        <f>IF(AX26="PT",VLOOKUP(L26,'Foundation Calculation'!$K$2:$R$40,VLOOKUP(AW26,'Foundation Calculation'!$I$2:$J$8,2,FALSE),0),IF(AX26="K",VLOOKUP(L26,'Foundation Calculation'!$K$42:$R$80,VLOOKUP(AW26,'Foundation Calculation'!$I$2:$J$8,2,FALSE),0),""))</f>
        <v>3.5</v>
      </c>
      <c r="AZ26" s="1429"/>
      <c r="BA26" s="1527" t="s">
        <v>2809</v>
      </c>
      <c r="BB26" s="1425" t="str">
        <f>Pole_Calculations!A152</f>
        <v>App.7.1-V01-P9.5.1.1</v>
      </c>
      <c r="BC26" s="1434"/>
      <c r="BD26" s="1435"/>
      <c r="BE26" s="1435"/>
      <c r="BF26" s="1435"/>
      <c r="BG26" s="1435"/>
    </row>
    <row r="27" spans="1:59" ht="15.75" customHeight="1">
      <c r="A27" s="913" t="s">
        <v>3718</v>
      </c>
      <c r="B27" s="914"/>
      <c r="C27" s="915"/>
      <c r="D27" s="494"/>
      <c r="E27" s="494"/>
      <c r="F27" s="914"/>
      <c r="G27" s="493">
        <v>51</v>
      </c>
      <c r="H27" s="914"/>
      <c r="I27" s="457"/>
      <c r="J27" s="489">
        <f>C28-7.5</f>
        <v>83106.909999999974</v>
      </c>
      <c r="K27" s="494" t="s">
        <v>2787</v>
      </c>
      <c r="L27" s="914"/>
      <c r="M27" s="494"/>
      <c r="N27" s="914"/>
      <c r="O27" s="914"/>
      <c r="P27" s="914"/>
      <c r="Q27" s="490"/>
      <c r="R27" s="490"/>
      <c r="S27" s="493"/>
      <c r="T27" s="490"/>
      <c r="U27" s="490"/>
      <c r="V27" s="490"/>
      <c r="W27" s="490"/>
      <c r="X27" s="490"/>
      <c r="Y27" s="490"/>
      <c r="Z27" s="490"/>
      <c r="AA27" s="490"/>
      <c r="AB27" s="490"/>
      <c r="AC27" s="490"/>
      <c r="AD27" s="490"/>
      <c r="AE27" s="490"/>
      <c r="AF27" s="490"/>
      <c r="AG27" s="489"/>
      <c r="AH27" s="490"/>
      <c r="AI27" s="640"/>
      <c r="AJ27" s="914"/>
      <c r="AK27" s="914"/>
      <c r="AL27" s="914"/>
      <c r="AM27" s="494"/>
      <c r="AN27" s="493"/>
      <c r="AO27" s="494"/>
      <c r="AP27" s="494"/>
      <c r="AQ27" s="493">
        <f>+FL_1($T$28,$T$26,$G$27,1200,9.28, 1*$F$28)</f>
        <v>0.36357453082352936</v>
      </c>
      <c r="AR27" s="493"/>
      <c r="AS27" s="493"/>
      <c r="AT27" s="493"/>
      <c r="AU27" s="490"/>
      <c r="AV27" s="490"/>
      <c r="AW27" s="490" t="str">
        <f>VLOOKUP(J27,'Foundation Calculation'!$A$2:$C$33,3,1)</f>
        <v>Soil A</v>
      </c>
      <c r="AX27" s="490" t="str">
        <f>VLOOKUP(J27,'Foundation Calculation'!$E$2:$G$33,3,1)</f>
        <v>PT</v>
      </c>
      <c r="AY27" s="493"/>
      <c r="AZ27" s="493">
        <f>IF(AX27="PT",VLOOKUP(K27,'Foundation Calculation'!$K$2:$R$40,VLOOKUP(AW27,'Foundation Calculation'!$I$2:$J$8,2,FALSE),0),IF(AX27="K",VLOOKUP(K27,'Foundation Calculation'!$K$42:$R$80,VLOOKUP(AW27,'Foundation Calculation'!$I$2:$J$8,2,FALSE),0),""))</f>
        <v>3.3</v>
      </c>
      <c r="BA27" s="602" t="s">
        <v>2809</v>
      </c>
      <c r="BB27" s="913"/>
      <c r="BC27" s="169"/>
      <c r="BD27" s="1329"/>
      <c r="BE27" s="1330"/>
      <c r="BF27" s="1330"/>
      <c r="BG27" s="1330"/>
    </row>
    <row r="28" spans="1:59" s="1436" customFormat="1" ht="15.75" customHeight="1">
      <c r="A28" s="1430"/>
      <c r="B28" s="1476" t="s">
        <v>3934</v>
      </c>
      <c r="C28" s="1427">
        <f>+$C$26+$G$27</f>
        <v>83114.409999999974</v>
      </c>
      <c r="D28" s="1512"/>
      <c r="E28" s="1513"/>
      <c r="F28" s="1430">
        <v>0</v>
      </c>
      <c r="G28" s="1506"/>
      <c r="H28" s="1430" t="s">
        <v>138</v>
      </c>
      <c r="I28" s="1514" t="s">
        <v>623</v>
      </c>
      <c r="J28" s="1427"/>
      <c r="K28" s="1508"/>
      <c r="L28" s="1431" t="s">
        <v>898</v>
      </c>
      <c r="M28" s="1509" t="str">
        <f>IF(AX28="PT",VLOOKUP(L28,'Foundation Calculation'!$V$2:$X$40,VLOOKUP(AX28,'Foundation Calculation'!$I$10:$J$13,2,FALSE),0),IF(AX28="K",VLOOKUP(L28,'Foundation Calculation'!$V$42:$X$80,VLOOKUP(AX28,'Foundation Calculation'!$I$10:$J$13,2,FALSE),0),""))</f>
        <v>C4R</v>
      </c>
      <c r="N28" s="1430" t="s">
        <v>144</v>
      </c>
      <c r="O28" s="1430"/>
      <c r="P28" s="1431"/>
      <c r="Q28" s="1510">
        <v>0</v>
      </c>
      <c r="R28" s="1431">
        <v>0</v>
      </c>
      <c r="S28" s="1429"/>
      <c r="T28" s="1431">
        <v>30</v>
      </c>
      <c r="U28" s="1431"/>
      <c r="V28" s="1431"/>
      <c r="W28" s="1431">
        <v>1</v>
      </c>
      <c r="X28" s="1431"/>
      <c r="Y28" s="1431"/>
      <c r="Z28" s="1431"/>
      <c r="AA28" s="1431"/>
      <c r="AB28" s="1431"/>
      <c r="AC28" s="1431" t="str">
        <f>IF(OR(AT28&gt;8,AT28&lt;-8),"PH",IF(OR(AT28&gt;5,AT28&lt;-5),"PH-Q",IF(OR(AT28&gt;1,AT28&lt;-1),"PH-C")))</f>
        <v>PH</v>
      </c>
      <c r="AD28" s="1431"/>
      <c r="AE28" s="1431"/>
      <c r="AF28" s="1431"/>
      <c r="AG28" s="1427">
        <v>83114</v>
      </c>
      <c r="AH28" s="1431">
        <v>2643</v>
      </c>
      <c r="AI28" s="1511">
        <v>640</v>
      </c>
      <c r="AJ28" s="1431"/>
      <c r="AK28" s="1430"/>
      <c r="AL28" s="1431"/>
      <c r="AM28" s="1504" t="s">
        <v>1043</v>
      </c>
      <c r="AN28" s="1432">
        <v>5.15</v>
      </c>
      <c r="AO28" s="1430"/>
      <c r="AP28" s="1430"/>
      <c r="AQ28" s="1429"/>
      <c r="AR28" s="1429"/>
      <c r="AS28" s="1429"/>
      <c r="AT28" s="1429">
        <f>+ab($T$28,$T$26,$U$30,$G$27,$G$29, 1*$F$28,1200)</f>
        <v>8.9638106729603724</v>
      </c>
      <c r="AU28" s="1478"/>
      <c r="AV28" s="1478"/>
      <c r="AW28" s="1431" t="str">
        <f>VLOOKUP(C28,'Foundation Calculation'!$A$2:$C$33,3,1)</f>
        <v>Soil A</v>
      </c>
      <c r="AX28" s="1431" t="str">
        <f>VLOOKUP(C28,'Foundation Calculation'!$E$2:$G$33,3,1)</f>
        <v>PT</v>
      </c>
      <c r="AY28" s="1429">
        <f>IF(AX28="PT",VLOOKUP(L28,'Foundation Calculation'!$K$2:$R$40,VLOOKUP(AW28,'Foundation Calculation'!$I$2:$J$8,2,FALSE),0),IF(AX28="K",VLOOKUP(L28,'Foundation Calculation'!$K$42:$R$80,VLOOKUP(AW28,'Foundation Calculation'!$I$2:$J$8,2,FALSE),0),""))</f>
        <v>3.5</v>
      </c>
      <c r="AZ28" s="1429"/>
      <c r="BA28" s="1527" t="s">
        <v>2809</v>
      </c>
      <c r="BB28" s="1430" t="str">
        <f>Pole_Calculations!A157</f>
        <v>App.7.1-V01-P9.5.1.6</v>
      </c>
      <c r="BC28" s="1434"/>
      <c r="BD28" s="1435"/>
      <c r="BE28" s="1435"/>
      <c r="BF28" s="1435"/>
      <c r="BG28" s="1435"/>
    </row>
    <row r="29" spans="1:59" ht="15.75" customHeight="1">
      <c r="A29" s="909"/>
      <c r="B29" s="910"/>
      <c r="C29" s="907"/>
      <c r="D29" s="447"/>
      <c r="E29" s="447"/>
      <c r="F29" s="909"/>
      <c r="G29" s="484">
        <v>52.5</v>
      </c>
      <c r="H29" s="909"/>
      <c r="I29" s="448">
        <f>C52-C28</f>
        <v>562.5</v>
      </c>
      <c r="J29" s="446"/>
      <c r="K29" s="638"/>
      <c r="L29" s="911"/>
      <c r="M29" s="638"/>
      <c r="N29" s="909"/>
      <c r="O29" s="909"/>
      <c r="P29" s="911"/>
      <c r="Q29" s="638"/>
      <c r="R29" s="638"/>
      <c r="S29" s="484"/>
      <c r="T29" s="638"/>
      <c r="U29" s="638"/>
      <c r="V29" s="638"/>
      <c r="W29" s="638"/>
      <c r="X29" s="638"/>
      <c r="Y29" s="638"/>
      <c r="Z29" s="638"/>
      <c r="AA29" s="638"/>
      <c r="AB29" s="638"/>
      <c r="AC29" s="638"/>
      <c r="AD29" s="638"/>
      <c r="AE29" s="638"/>
      <c r="AF29" s="638"/>
      <c r="AG29" s="446"/>
      <c r="AH29" s="638"/>
      <c r="AI29" s="185"/>
      <c r="AJ29" s="911"/>
      <c r="AK29" s="909"/>
      <c r="AL29" s="911"/>
      <c r="AM29" s="638"/>
      <c r="AN29" s="455"/>
      <c r="AO29" s="1239"/>
      <c r="AP29" s="1239"/>
      <c r="AQ29" s="484">
        <f>+FL_1($U$30,$T$28,$G$29,1200,9.28, 1*$F$30)</f>
        <v>0.35088507104761912</v>
      </c>
      <c r="AR29" s="484"/>
      <c r="AS29" s="484"/>
      <c r="AT29" s="484"/>
      <c r="AU29" s="638"/>
      <c r="AV29" s="638"/>
      <c r="AW29" s="638"/>
      <c r="AX29" s="638"/>
      <c r="AY29" s="484"/>
      <c r="AZ29" s="484"/>
      <c r="BA29" s="671"/>
      <c r="BB29" s="909"/>
      <c r="BC29" s="169"/>
      <c r="BD29" s="1330"/>
      <c r="BE29" s="1330"/>
      <c r="BF29" s="1330"/>
      <c r="BG29" s="1330"/>
    </row>
    <row r="30" spans="1:59" s="1436" customFormat="1" ht="15.75" customHeight="1">
      <c r="A30" s="1430"/>
      <c r="B30" s="1476" t="s">
        <v>3935</v>
      </c>
      <c r="C30" s="1427">
        <f>+$C$28+$G$29</f>
        <v>83166.909999999974</v>
      </c>
      <c r="D30" s="1512"/>
      <c r="E30" s="1513"/>
      <c r="F30" s="1430">
        <v>0</v>
      </c>
      <c r="G30" s="1506"/>
      <c r="H30" s="1430" t="s">
        <v>619</v>
      </c>
      <c r="I30" s="1504"/>
      <c r="J30" s="1427"/>
      <c r="K30" s="1508"/>
      <c r="L30" s="1431" t="s">
        <v>895</v>
      </c>
      <c r="M30" s="1509" t="str">
        <f>IF(AX30="PT",VLOOKUP(L30,'Foundation Calculation'!$V$2:$X$40,VLOOKUP(AX30,'Foundation Calculation'!$I$10:$J$13,2,FALSE),0),IF(AX30="K",VLOOKUP(L30,'Foundation Calculation'!$V$42:$X$80,VLOOKUP(AX30,'Foundation Calculation'!$I$10:$J$13,2,FALSE),0),""))</f>
        <v>2C3R</v>
      </c>
      <c r="N30" s="1430" t="s">
        <v>140</v>
      </c>
      <c r="O30" s="1430" t="s">
        <v>143</v>
      </c>
      <c r="P30" s="1431"/>
      <c r="Q30" s="1510">
        <v>-20</v>
      </c>
      <c r="R30" s="1431">
        <v>0</v>
      </c>
      <c r="S30" s="1429"/>
      <c r="T30" s="1431">
        <v>15</v>
      </c>
      <c r="U30" s="1431">
        <v>-30</v>
      </c>
      <c r="V30" s="1431"/>
      <c r="W30" s="1431">
        <v>1.2</v>
      </c>
      <c r="X30" s="1431">
        <v>1.6</v>
      </c>
      <c r="Y30" s="1431"/>
      <c r="Z30" s="1431">
        <v>0.5</v>
      </c>
      <c r="AA30" s="1431"/>
      <c r="AB30" s="1431"/>
      <c r="AC30" s="1431"/>
      <c r="AD30" s="1431"/>
      <c r="AE30" s="1431"/>
      <c r="AF30" s="1431"/>
      <c r="AG30" s="1427">
        <v>83166</v>
      </c>
      <c r="AH30" s="1431">
        <v>2663</v>
      </c>
      <c r="AI30" s="1511">
        <v>650</v>
      </c>
      <c r="AJ30" s="1431"/>
      <c r="AK30" s="1430"/>
      <c r="AL30" s="1431"/>
      <c r="AM30" s="1504" t="s">
        <v>1043</v>
      </c>
      <c r="AN30" s="1432">
        <v>5.15</v>
      </c>
      <c r="AO30" s="1430"/>
      <c r="AP30" s="1430"/>
      <c r="AQ30" s="1429"/>
      <c r="AR30" s="1429"/>
      <c r="AS30" s="1429"/>
      <c r="AT30" s="1429">
        <f>+ab($U$30,$T$28,$U$32,$G$29,$G$31, 1*$F$30,1200)</f>
        <v>-13.265360050125093</v>
      </c>
      <c r="AU30" s="1478"/>
      <c r="AV30" s="1478"/>
      <c r="AW30" s="1431" t="str">
        <f>VLOOKUP(C30,'Foundation Calculation'!$A$2:$C$33,3,1)</f>
        <v>Soil A</v>
      </c>
      <c r="AX30" s="1431" t="str">
        <f>VLOOKUP(C30,'Foundation Calculation'!$E$2:$G$33,3,1)</f>
        <v>PT</v>
      </c>
      <c r="AY30" s="1429">
        <f>IF(AX30="PT",VLOOKUP(L30,'Foundation Calculation'!$K$2:$R$40,VLOOKUP(AW30,'Foundation Calculation'!$I$2:$J$8,2,FALSE),0),IF(AX30="K",VLOOKUP(L30,'Foundation Calculation'!$K$42:$R$80,VLOOKUP(AW30,'Foundation Calculation'!$I$2:$J$8,2,FALSE),0),""))</f>
        <v>3.7</v>
      </c>
      <c r="AZ30" s="1429"/>
      <c r="BA30" s="1527" t="s">
        <v>2809</v>
      </c>
      <c r="BB30" s="1430" t="str">
        <f>Pole_Calculations!A156</f>
        <v>App.7.1-V01-P9.5.1.5</v>
      </c>
      <c r="BC30" s="1434"/>
      <c r="BD30" s="1435"/>
      <c r="BE30" s="1435"/>
      <c r="BF30" s="1435"/>
      <c r="BG30" s="1435"/>
    </row>
    <row r="31" spans="1:59" ht="15.75" customHeight="1">
      <c r="A31" s="909"/>
      <c r="B31" s="916"/>
      <c r="C31" s="907"/>
      <c r="D31" s="447"/>
      <c r="E31" s="447"/>
      <c r="F31" s="909"/>
      <c r="G31" s="484">
        <v>54</v>
      </c>
      <c r="H31" s="909"/>
      <c r="I31" s="445"/>
      <c r="J31" s="446"/>
      <c r="K31" s="638"/>
      <c r="L31" s="908"/>
      <c r="M31" s="445"/>
      <c r="N31" s="909"/>
      <c r="O31" s="909"/>
      <c r="P31" s="911"/>
      <c r="Q31" s="638"/>
      <c r="R31" s="638"/>
      <c r="S31" s="484"/>
      <c r="T31" s="638"/>
      <c r="U31" s="638"/>
      <c r="V31" s="638"/>
      <c r="W31" s="638"/>
      <c r="X31" s="638"/>
      <c r="Y31" s="638"/>
      <c r="Z31" s="638"/>
      <c r="AA31" s="638"/>
      <c r="AB31" s="638"/>
      <c r="AC31" s="638"/>
      <c r="AD31" s="638"/>
      <c r="AE31" s="638"/>
      <c r="AF31" s="638"/>
      <c r="AG31" s="446"/>
      <c r="AH31" s="638"/>
      <c r="AI31" s="185"/>
      <c r="AJ31" s="911"/>
      <c r="AK31" s="909"/>
      <c r="AL31" s="908"/>
      <c r="AM31" s="445"/>
      <c r="AN31" s="455"/>
      <c r="AO31" s="1239"/>
      <c r="AP31" s="1239"/>
      <c r="AQ31" s="484">
        <f>+FL_1($U$32,$U$30,$G$31,1200,9.28, 1*$F$32)</f>
        <v>6.1868823555555529E-2</v>
      </c>
      <c r="AR31" s="484"/>
      <c r="AS31" s="484"/>
      <c r="AT31" s="484"/>
      <c r="AU31" s="638"/>
      <c r="AV31" s="638"/>
      <c r="AW31" s="638"/>
      <c r="AX31" s="638"/>
      <c r="AY31" s="484"/>
      <c r="AZ31" s="484"/>
      <c r="BA31" s="671"/>
      <c r="BB31" s="909"/>
      <c r="BC31" s="169"/>
      <c r="BD31" s="1330"/>
      <c r="BE31" s="1330"/>
      <c r="BF31" s="1330"/>
      <c r="BG31" s="1330"/>
    </row>
    <row r="32" spans="1:59" s="1436" customFormat="1" ht="15.75" customHeight="1">
      <c r="A32" s="1430" t="s">
        <v>3973</v>
      </c>
      <c r="B32" s="1476" t="s">
        <v>3936</v>
      </c>
      <c r="C32" s="1427">
        <f>+$C$30+$G$31</f>
        <v>83220.909999999974</v>
      </c>
      <c r="D32" s="1512"/>
      <c r="E32" s="1513"/>
      <c r="F32" s="1430">
        <v>0</v>
      </c>
      <c r="G32" s="1506"/>
      <c r="H32" s="1430" t="s">
        <v>619</v>
      </c>
      <c r="I32" s="1515" t="s">
        <v>1429</v>
      </c>
      <c r="J32" s="1427"/>
      <c r="K32" s="1508"/>
      <c r="L32" s="1431" t="s">
        <v>4488</v>
      </c>
      <c r="M32" s="1509" t="str">
        <f>IF(AX32="PT",VLOOKUP(L32,'Foundation Calculation'!$V$2:$X$40,VLOOKUP(AX32,'Foundation Calculation'!$I$10:$J$13,2,FALSE),0),IF(AX32="K",VLOOKUP(L32,'Foundation Calculation'!$V$42:$X$80,VLOOKUP(AX32,'Foundation Calculation'!$I$10:$J$13,2,FALSE),0),""))</f>
        <v>C11R</v>
      </c>
      <c r="N32" s="1430" t="s">
        <v>144</v>
      </c>
      <c r="O32" s="1430" t="s">
        <v>140</v>
      </c>
      <c r="P32" s="1431"/>
      <c r="Q32" s="1510">
        <v>-30</v>
      </c>
      <c r="R32" s="1431">
        <v>0</v>
      </c>
      <c r="S32" s="1429"/>
      <c r="T32" s="1431">
        <v>30</v>
      </c>
      <c r="U32" s="1431">
        <v>-15</v>
      </c>
      <c r="V32" s="1431"/>
      <c r="W32" s="1431">
        <v>1.4</v>
      </c>
      <c r="X32" s="1431">
        <v>1.8</v>
      </c>
      <c r="Y32" s="1431"/>
      <c r="Z32" s="1431"/>
      <c r="AA32" s="1431">
        <v>0.5</v>
      </c>
      <c r="AB32" s="1431"/>
      <c r="AC32" s="1431" t="str">
        <f>IF(OR(AT32&gt;8,AT32&lt;-8),"PH",IF(OR(AT32&gt;5,AT32&lt;-5),"PH-Q",IF(OR(AT32&gt;1,AT32&lt;-1),"PH-C")))</f>
        <v>PH</v>
      </c>
      <c r="AD32" s="1431"/>
      <c r="AE32" s="1431"/>
      <c r="AF32" s="1431"/>
      <c r="AG32" s="1427">
        <v>83220</v>
      </c>
      <c r="AH32" s="1431">
        <v>2553</v>
      </c>
      <c r="AI32" s="1511">
        <v>590</v>
      </c>
      <c r="AJ32" s="1431" t="s">
        <v>2154</v>
      </c>
      <c r="AK32" s="1430"/>
      <c r="AL32" s="1426" t="s">
        <v>4490</v>
      </c>
      <c r="AM32" s="1504" t="s">
        <v>1043</v>
      </c>
      <c r="AN32" s="1432">
        <v>5.15</v>
      </c>
      <c r="AO32" s="1430"/>
      <c r="AP32" s="1430"/>
      <c r="AQ32" s="1429"/>
      <c r="AR32" s="1429"/>
      <c r="AS32" s="1429"/>
      <c r="AT32" s="1429">
        <f>+ab($T$32,$T$30,$T$34,$G$31,$G$33, 1*$F$32,1200)</f>
        <v>9.940788385918907</v>
      </c>
      <c r="AU32" s="1478"/>
      <c r="AV32" s="1478"/>
      <c r="AW32" s="1431" t="str">
        <f>VLOOKUP(C32,'Foundation Calculation'!$A$2:$C$33,3,1)</f>
        <v>Soil A</v>
      </c>
      <c r="AX32" s="1431" t="str">
        <f>VLOOKUP(C32,'Foundation Calculation'!$E$2:$G$33,3,1)</f>
        <v>PT</v>
      </c>
      <c r="AY32" s="1429">
        <f>IF(AX32="PT",VLOOKUP(L32,'Foundation Calculation'!$K$2:$R$40,VLOOKUP(AW32,'Foundation Calculation'!$I$2:$J$8,2,FALSE),0),IF(AX32="K",VLOOKUP(L32,'Foundation Calculation'!$K$42:$R$80,VLOOKUP(AW32,'Foundation Calculation'!$I$2:$J$8,2,FALSE),0),""))</f>
        <v>4.5999999999999996</v>
      </c>
      <c r="AZ32" s="1429"/>
      <c r="BA32" s="1527" t="s">
        <v>2809</v>
      </c>
      <c r="BB32" s="1430" t="str">
        <f>Pole_Calculations!A156</f>
        <v>App.7.1-V01-P9.5.1.5</v>
      </c>
      <c r="BC32" s="1434"/>
      <c r="BD32" s="1435"/>
      <c r="BE32" s="1435"/>
      <c r="BF32" s="1435"/>
      <c r="BG32" s="1435"/>
    </row>
    <row r="33" spans="1:59" ht="15.75" customHeight="1">
      <c r="A33" s="906"/>
      <c r="B33" s="917"/>
      <c r="C33" s="907"/>
      <c r="D33" s="445"/>
      <c r="E33" s="445"/>
      <c r="F33" s="918"/>
      <c r="G33" s="484">
        <v>39.799999999999997</v>
      </c>
      <c r="H33" s="908"/>
      <c r="I33" s="448">
        <f>C34-C12</f>
        <v>575.47999999998137</v>
      </c>
      <c r="J33" s="446"/>
      <c r="K33" s="638"/>
      <c r="L33" s="908"/>
      <c r="M33" s="445"/>
      <c r="N33" s="909"/>
      <c r="O33" s="909"/>
      <c r="P33" s="908"/>
      <c r="Q33" s="638"/>
      <c r="R33" s="638"/>
      <c r="S33" s="484"/>
      <c r="T33" s="638"/>
      <c r="U33" s="638"/>
      <c r="V33" s="638"/>
      <c r="W33" s="638"/>
      <c r="X33" s="638"/>
      <c r="Y33" s="638"/>
      <c r="Z33" s="638"/>
      <c r="AA33" s="638"/>
      <c r="AB33" s="638"/>
      <c r="AC33" s="638"/>
      <c r="AD33" s="638"/>
      <c r="AE33" s="638"/>
      <c r="AF33" s="638"/>
      <c r="AG33" s="446"/>
      <c r="AH33" s="638"/>
      <c r="AI33" s="185"/>
      <c r="AJ33" s="908"/>
      <c r="AK33" s="908"/>
      <c r="AL33" s="908"/>
      <c r="AM33" s="445"/>
      <c r="AN33" s="455"/>
      <c r="AO33" s="1239"/>
      <c r="AP33" s="1239"/>
      <c r="AQ33" s="484">
        <f>+FL_2($T$34,$T$32,$G$33,1200,9.28, 1*$F$34)</f>
        <v>-0.35</v>
      </c>
      <c r="AR33" s="484"/>
      <c r="AS33" s="484"/>
      <c r="AT33" s="484"/>
      <c r="AU33" s="638"/>
      <c r="AV33" s="638"/>
      <c r="AW33" s="638"/>
      <c r="AX33" s="638"/>
      <c r="AY33" s="484"/>
      <c r="AZ33" s="484"/>
      <c r="BA33" s="671"/>
      <c r="BB33" s="906"/>
      <c r="BC33" s="169"/>
      <c r="BD33" s="1330"/>
      <c r="BE33" s="1330"/>
      <c r="BF33" s="1330"/>
      <c r="BG33" s="1330"/>
    </row>
    <row r="34" spans="1:59" s="1436" customFormat="1" ht="15.75" customHeight="1">
      <c r="A34" s="1425" t="s">
        <v>3805</v>
      </c>
      <c r="B34" s="1476" t="s">
        <v>3937</v>
      </c>
      <c r="C34" s="1427">
        <f>+$C$32+$G$33</f>
        <v>83260.709999999977</v>
      </c>
      <c r="D34" s="1499"/>
      <c r="E34" s="1449"/>
      <c r="F34" s="1449" t="s">
        <v>2312</v>
      </c>
      <c r="G34" s="1429"/>
      <c r="H34" s="1430" t="s">
        <v>2128</v>
      </c>
      <c r="I34" s="1430" t="s">
        <v>624</v>
      </c>
      <c r="J34" s="1433"/>
      <c r="K34" s="1431"/>
      <c r="L34" s="1431" t="s">
        <v>4666</v>
      </c>
      <c r="M34" s="1431" t="str">
        <f>IF(AX34="PT",VLOOKUP(L34,'Foundation Calculation'!$V$2:$X$40,VLOOKUP(AX34,'Foundation Calculation'!$I$10:$J$13,2,FALSE),0),IF(AX34="K",VLOOKUP(L34,'Foundation Calculation'!$V$42:$X$80,VLOOKUP(AX34,'Foundation Calculation'!$I$10:$J$13,2,FALSE),0),""))</f>
        <v>C12R</v>
      </c>
      <c r="N34" s="1430" t="s">
        <v>143</v>
      </c>
      <c r="O34" s="1430" t="s">
        <v>140</v>
      </c>
      <c r="P34" s="1430"/>
      <c r="Q34" s="1431">
        <v>0</v>
      </c>
      <c r="R34" s="1431">
        <v>0</v>
      </c>
      <c r="S34" s="1429"/>
      <c r="T34" s="1431">
        <v>-35</v>
      </c>
      <c r="U34" s="1431">
        <v>55</v>
      </c>
      <c r="V34" s="1431"/>
      <c r="W34" s="1431">
        <v>1.8</v>
      </c>
      <c r="X34" s="1431">
        <v>1.6</v>
      </c>
      <c r="Y34" s="1431"/>
      <c r="Z34" s="1431"/>
      <c r="AA34" s="1431">
        <v>0.6</v>
      </c>
      <c r="AB34" s="1431"/>
      <c r="AC34" s="1431" t="str">
        <f>IF(OR(AT34&gt;8,AT34&lt;-8),"PH",IF(OR(AT34&gt;5,AT34&lt;-5),"PH-Q",IF(OR(AT34&gt;1,AT34&lt;-1),"PH-C")))</f>
        <v>PH-Q</v>
      </c>
      <c r="AD34" s="1431"/>
      <c r="AE34" s="1431"/>
      <c r="AF34" s="1431"/>
      <c r="AG34" s="1427">
        <v>83260</v>
      </c>
      <c r="AH34" s="1431">
        <v>2893</v>
      </c>
      <c r="AI34" s="1431">
        <v>550</v>
      </c>
      <c r="AJ34" s="1431" t="s">
        <v>1796</v>
      </c>
      <c r="AK34" s="1431"/>
      <c r="AL34" s="1431" t="s">
        <v>4098</v>
      </c>
      <c r="AM34" s="1431" t="s">
        <v>1043</v>
      </c>
      <c r="AN34" s="1432">
        <v>5.15</v>
      </c>
      <c r="AO34" s="1430"/>
      <c r="AP34" s="1430"/>
      <c r="AQ34" s="1429"/>
      <c r="AR34" s="1429"/>
      <c r="AS34" s="1429"/>
      <c r="AT34" s="1429">
        <f>+ab($T$34,$T$32,$T$36,$G$33,$G$35, 1*$F$34,1200)</f>
        <v>-5.6390086724757404</v>
      </c>
      <c r="AU34" s="1431"/>
      <c r="AV34" s="1431"/>
      <c r="AW34" s="1431" t="str">
        <f>VLOOKUP(C34,'Foundation Calculation'!$A$2:$C$33,3,1)</f>
        <v>Soil A</v>
      </c>
      <c r="AX34" s="1431" t="str">
        <f>VLOOKUP(C34,'Foundation Calculation'!$E$2:$G$33,3,1)</f>
        <v>PT</v>
      </c>
      <c r="AY34" s="1429">
        <f>IF(AX34="PT",VLOOKUP(L34,'Foundation Calculation'!$K$2:$R$40,VLOOKUP(AW34,'Foundation Calculation'!$I$2:$J$8,2,FALSE),0),IF(AX34="K",VLOOKUP(L34,'Foundation Calculation'!$K$42:$R$80,VLOOKUP(AW34,'Foundation Calculation'!$I$2:$J$8,2,FALSE),0),""))</f>
        <v>6</v>
      </c>
      <c r="AZ34" s="1429"/>
      <c r="BA34" s="1527" t="s">
        <v>2809</v>
      </c>
      <c r="BB34" s="1425" t="s">
        <v>4497</v>
      </c>
      <c r="BC34" s="1434"/>
      <c r="BD34" s="1435"/>
      <c r="BE34" s="1435"/>
      <c r="BF34" s="1435"/>
      <c r="BG34" s="1435"/>
    </row>
    <row r="35" spans="1:59" ht="15.75" customHeight="1">
      <c r="A35" s="1239"/>
      <c r="B35" s="435"/>
      <c r="C35" s="446"/>
      <c r="D35" s="447"/>
      <c r="E35" s="447"/>
      <c r="F35" s="1239"/>
      <c r="G35" s="484">
        <v>39.799999999999997</v>
      </c>
      <c r="H35" s="1239"/>
      <c r="I35" s="445" t="s">
        <v>3976</v>
      </c>
      <c r="J35" s="446">
        <f>C34+7.5</f>
        <v>83268.209999999977</v>
      </c>
      <c r="K35" s="638" t="s">
        <v>2787</v>
      </c>
      <c r="L35" s="638"/>
      <c r="M35" s="638"/>
      <c r="N35" s="1239"/>
      <c r="O35" s="1239"/>
      <c r="P35" s="638"/>
      <c r="Q35" s="638"/>
      <c r="R35" s="638"/>
      <c r="S35" s="484"/>
      <c r="T35" s="638"/>
      <c r="U35" s="638"/>
      <c r="V35" s="638"/>
      <c r="W35" s="638"/>
      <c r="X35" s="638"/>
      <c r="Y35" s="638"/>
      <c r="Z35" s="638"/>
      <c r="AA35" s="638"/>
      <c r="AB35" s="638"/>
      <c r="AC35" s="638"/>
      <c r="AD35" s="638"/>
      <c r="AE35" s="638"/>
      <c r="AF35" s="638"/>
      <c r="AG35" s="446"/>
      <c r="AH35" s="638"/>
      <c r="AI35" s="185"/>
      <c r="AJ35" s="638"/>
      <c r="AK35" s="1239"/>
      <c r="AL35" s="638"/>
      <c r="AM35" s="445"/>
      <c r="AN35" s="455"/>
      <c r="AO35" s="1239"/>
      <c r="AP35" s="1239"/>
      <c r="AQ35" s="484">
        <f>+FL_2($T$36,$T$34,$G$35,1200,9.28, 1*$F$36)</f>
        <v>-0.35000000000000137</v>
      </c>
      <c r="AR35" s="484"/>
      <c r="AS35" s="484"/>
      <c r="AT35" s="484"/>
      <c r="AU35" s="638"/>
      <c r="AV35" s="638"/>
      <c r="AW35" s="638" t="str">
        <f>VLOOKUP(J35,'Foundation Calculation'!$A$2:$C$33,3,1)</f>
        <v>Soil A</v>
      </c>
      <c r="AX35" s="638" t="str">
        <f>VLOOKUP(J35,'Foundation Calculation'!$E$2:$G$33,3,1)</f>
        <v>PT</v>
      </c>
      <c r="AY35" s="484"/>
      <c r="AZ35" s="484">
        <f>IF(AX35="PT",VLOOKUP(K35,'Foundation Calculation'!$K$2:$R$40,VLOOKUP(AW35,'Foundation Calculation'!$I$2:$J$8,2,FALSE),0),IF(AX35="K",VLOOKUP(K35,'Foundation Calculation'!$K$42:$R$80,VLOOKUP(AW35,'Foundation Calculation'!$I$2:$J$8,2,FALSE),0),""))</f>
        <v>3.3</v>
      </c>
      <c r="BA35" s="671" t="s">
        <v>2809</v>
      </c>
      <c r="BB35" s="1239"/>
      <c r="BC35" s="169"/>
      <c r="BD35" s="1329"/>
      <c r="BE35" s="1330"/>
      <c r="BF35" s="1330"/>
      <c r="BG35" s="1330"/>
    </row>
    <row r="36" spans="1:59" s="1436" customFormat="1" ht="29">
      <c r="A36" s="1430"/>
      <c r="B36" s="1476" t="s">
        <v>3938</v>
      </c>
      <c r="C36" s="1427">
        <f>+$C$34+$G$35</f>
        <v>83300.50999999998</v>
      </c>
      <c r="D36" s="1512"/>
      <c r="E36" s="1513"/>
      <c r="F36" s="1430">
        <v>0</v>
      </c>
      <c r="G36" s="1506"/>
      <c r="H36" s="1502" t="s">
        <v>3975</v>
      </c>
      <c r="I36" s="1516" t="s">
        <v>4890</v>
      </c>
      <c r="J36" s="1433"/>
      <c r="K36" s="1508"/>
      <c r="L36" s="1431" t="s">
        <v>4666</v>
      </c>
      <c r="M36" s="1509" t="str">
        <f>IF(AX36="PT",VLOOKUP(L36,'Foundation Calculation'!$V$2:$X$40,VLOOKUP(AX36,'Foundation Calculation'!$I$10:$J$13,2,FALSE),0),IF(AX36="K",VLOOKUP(L36,'Foundation Calculation'!$V$42:$X$80,VLOOKUP(AX36,'Foundation Calculation'!$I$10:$J$13,2,FALSE),0),""))</f>
        <v>C12R</v>
      </c>
      <c r="N36" s="1430" t="s">
        <v>144</v>
      </c>
      <c r="O36" s="1430" t="s">
        <v>143</v>
      </c>
      <c r="P36" s="1426"/>
      <c r="Q36" s="1510">
        <v>0</v>
      </c>
      <c r="R36" s="1431">
        <v>0</v>
      </c>
      <c r="S36" s="1429"/>
      <c r="T36" s="1431">
        <v>35</v>
      </c>
      <c r="U36" s="1431">
        <v>20</v>
      </c>
      <c r="V36" s="1431"/>
      <c r="W36" s="1431">
        <v>1.4</v>
      </c>
      <c r="X36" s="1431">
        <v>2.2999999999999998</v>
      </c>
      <c r="Y36" s="1431"/>
      <c r="Z36" s="1431"/>
      <c r="AA36" s="1431"/>
      <c r="AB36" s="1431"/>
      <c r="AC36" s="1431" t="s">
        <v>2773</v>
      </c>
      <c r="AD36" s="1431" t="s">
        <v>1428</v>
      </c>
      <c r="AE36" s="1431"/>
      <c r="AF36" s="1431"/>
      <c r="AG36" s="1427">
        <v>83300</v>
      </c>
      <c r="AH36" s="1431">
        <v>2733</v>
      </c>
      <c r="AI36" s="1511">
        <v>560</v>
      </c>
      <c r="AJ36" s="1426"/>
      <c r="AK36" s="1426"/>
      <c r="AL36" s="1426" t="s">
        <v>4490</v>
      </c>
      <c r="AM36" s="1504" t="s">
        <v>1043</v>
      </c>
      <c r="AN36" s="1432">
        <v>5.15</v>
      </c>
      <c r="AO36" s="1430"/>
      <c r="AP36" s="1430"/>
      <c r="AQ36" s="1429"/>
      <c r="AR36" s="1429"/>
      <c r="AS36" s="1429"/>
      <c r="AT36" s="1429">
        <f>+ab($T$36,$T$34,$U$38,$G$35,$G$37, 1*$F$36,1200)</f>
        <v>6.5773907355464951</v>
      </c>
      <c r="AU36" s="1478"/>
      <c r="AV36" s="1478"/>
      <c r="AW36" s="1431" t="str">
        <f>VLOOKUP(C36,'Foundation Calculation'!$A$2:$C$33,3,1)</f>
        <v>Soil A</v>
      </c>
      <c r="AX36" s="1431" t="str">
        <f>VLOOKUP(C36,'Foundation Calculation'!$E$2:$G$33,3,1)</f>
        <v>PT</v>
      </c>
      <c r="AY36" s="1429">
        <f>IF(AX36="PT",VLOOKUP(L36,'Foundation Calculation'!$K$2:$R$40,VLOOKUP(AW36,'Foundation Calculation'!$I$2:$J$8,2,FALSE),0),IF(AX36="K",VLOOKUP(L36,'Foundation Calculation'!$K$42:$R$80,VLOOKUP(AW36,'Foundation Calculation'!$I$2:$J$8,2,FALSE),0),""))</f>
        <v>6</v>
      </c>
      <c r="AZ36" s="1429"/>
      <c r="BA36" s="1527" t="s">
        <v>2809</v>
      </c>
      <c r="BB36" s="1430" t="str">
        <f>Pole_Calculations!A178</f>
        <v>App.8-V08F-P10.3</v>
      </c>
      <c r="BC36" s="1434"/>
      <c r="BD36" s="1435"/>
      <c r="BE36" s="1435"/>
      <c r="BF36" s="1435"/>
      <c r="BG36" s="1435"/>
    </row>
    <row r="37" spans="1:59" ht="15.65" customHeight="1">
      <c r="A37" s="906"/>
      <c r="B37" s="917"/>
      <c r="C37" s="907"/>
      <c r="D37" s="445"/>
      <c r="E37" s="445"/>
      <c r="F37" s="918"/>
      <c r="G37" s="484">
        <v>48</v>
      </c>
      <c r="H37" s="919"/>
      <c r="I37" s="168"/>
      <c r="J37" s="446"/>
      <c r="K37" s="638"/>
      <c r="L37" s="911"/>
      <c r="M37" s="638"/>
      <c r="N37" s="909"/>
      <c r="O37" s="909"/>
      <c r="P37" s="908"/>
      <c r="Q37" s="638"/>
      <c r="R37" s="638"/>
      <c r="S37" s="484"/>
      <c r="T37" s="638"/>
      <c r="U37" s="638"/>
      <c r="V37" s="638"/>
      <c r="W37" s="638"/>
      <c r="X37" s="638"/>
      <c r="Y37" s="638"/>
      <c r="Z37" s="638"/>
      <c r="AA37" s="638"/>
      <c r="AB37" s="638"/>
      <c r="AC37" s="638"/>
      <c r="AD37" s="638"/>
      <c r="AE37" s="638"/>
      <c r="AF37" s="638"/>
      <c r="AG37" s="446"/>
      <c r="AH37" s="638"/>
      <c r="AI37" s="185"/>
      <c r="AJ37" s="908"/>
      <c r="AK37" s="908"/>
      <c r="AL37" s="911"/>
      <c r="AM37" s="445"/>
      <c r="AN37" s="455"/>
      <c r="AO37" s="1239"/>
      <c r="AP37" s="1239"/>
      <c r="AQ37" s="484">
        <f>+FL_1($U$38,$T$36,$G$37,1200,9.28, 1*$F$38)</f>
        <v>0.38260797200000002</v>
      </c>
      <c r="AR37" s="484"/>
      <c r="AS37" s="484"/>
      <c r="AT37" s="484"/>
      <c r="AU37" s="638"/>
      <c r="AV37" s="638"/>
      <c r="AW37" s="638"/>
      <c r="AX37" s="638"/>
      <c r="AY37" s="484"/>
      <c r="AZ37" s="484"/>
      <c r="BA37" s="671"/>
      <c r="BB37" s="906"/>
      <c r="BC37" s="169"/>
      <c r="BD37" s="1330"/>
      <c r="BE37" s="1330"/>
      <c r="BF37" s="1330"/>
      <c r="BG37" s="1330"/>
    </row>
    <row r="38" spans="1:59" s="1436" customFormat="1" ht="15.75" customHeight="1">
      <c r="A38" s="1425"/>
      <c r="B38" s="1475" t="s">
        <v>3939</v>
      </c>
      <c r="C38" s="1427">
        <f>+$C$36+$G$37</f>
        <v>83348.50999999998</v>
      </c>
      <c r="D38" s="1504"/>
      <c r="E38" s="1505"/>
      <c r="F38" s="1426" t="s">
        <v>2312</v>
      </c>
      <c r="G38" s="1506"/>
      <c r="H38" s="1426" t="s">
        <v>2551</v>
      </c>
      <c r="I38" s="1507"/>
      <c r="J38" s="1433"/>
      <c r="K38" s="1518"/>
      <c r="L38" s="1431" t="s">
        <v>821</v>
      </c>
      <c r="M38" s="1509" t="str">
        <f>IF(AX38="PT",VLOOKUP(L38,'Foundation Calculation'!$V$2:$X$40,VLOOKUP(AX38,'Foundation Calculation'!$I$10:$J$13,2,FALSE),0),IF(AX38="K",VLOOKUP(L38,'Foundation Calculation'!$V$42:$X$80,VLOOKUP(AX38,'Foundation Calculation'!$I$10:$J$13,2,FALSE),0),""))</f>
        <v>C7R</v>
      </c>
      <c r="N38" s="1426" t="s">
        <v>140</v>
      </c>
      <c r="O38" s="1426" t="s">
        <v>143</v>
      </c>
      <c r="P38" s="1426" t="s">
        <v>140</v>
      </c>
      <c r="Q38" s="1510">
        <v>0</v>
      </c>
      <c r="R38" s="1431"/>
      <c r="S38" s="1429"/>
      <c r="T38" s="1431">
        <v>65</v>
      </c>
      <c r="U38" s="1431">
        <v>-20</v>
      </c>
      <c r="V38" s="1431">
        <v>-55</v>
      </c>
      <c r="W38" s="1431">
        <v>1.4</v>
      </c>
      <c r="X38" s="1431">
        <v>1.8</v>
      </c>
      <c r="Y38" s="1431">
        <v>2.2999999999999998</v>
      </c>
      <c r="Z38" s="1431">
        <v>0.6</v>
      </c>
      <c r="AA38" s="1431"/>
      <c r="AB38" s="1431">
        <v>0.5</v>
      </c>
      <c r="AC38" s="1431"/>
      <c r="AD38" s="1431"/>
      <c r="AE38" s="1431"/>
      <c r="AF38" s="1431"/>
      <c r="AG38" s="1427">
        <v>83348</v>
      </c>
      <c r="AH38" s="1431">
        <v>2663</v>
      </c>
      <c r="AI38" s="1511">
        <v>510</v>
      </c>
      <c r="AJ38" s="1426"/>
      <c r="AK38" s="1426"/>
      <c r="AL38" s="1426" t="s">
        <v>2142</v>
      </c>
      <c r="AM38" s="1504" t="s">
        <v>1043</v>
      </c>
      <c r="AN38" s="1432">
        <v>5.15</v>
      </c>
      <c r="AO38" s="1430"/>
      <c r="AP38" s="1430"/>
      <c r="AQ38" s="1429"/>
      <c r="AR38" s="1429"/>
      <c r="AS38" s="1429"/>
      <c r="AT38" s="1429">
        <f>+ab($U$38,$T$36,$T$40,$G$37,$G$39, 1*$F$38,1200)</f>
        <v>-8.6813989521813841</v>
      </c>
      <c r="AU38" s="1478"/>
      <c r="AV38" s="1478"/>
      <c r="AW38" s="1431" t="str">
        <f>VLOOKUP(C38,'Foundation Calculation'!$A$2:$C$33,3,1)</f>
        <v>Soil A</v>
      </c>
      <c r="AX38" s="1431" t="str">
        <f>VLOOKUP(C38,'Foundation Calculation'!$E$2:$G$33,3,1)</f>
        <v>PT</v>
      </c>
      <c r="AY38" s="1429">
        <f>IF(AX38="PT",VLOOKUP(L38,'Foundation Calculation'!$K$2:$R$40,VLOOKUP(AW38,'Foundation Calculation'!$I$2:$J$8,2,FALSE),0),IF(AX38="K",VLOOKUP(L38,'Foundation Calculation'!$K$42:$R$80,VLOOKUP(AW38,'Foundation Calculation'!$I$2:$J$8,2,FALSE),0),""))</f>
        <v>4</v>
      </c>
      <c r="AZ38" s="1429"/>
      <c r="BA38" s="1527" t="s">
        <v>2809</v>
      </c>
      <c r="BB38" s="1425" t="str">
        <f>Pole_Calculations!A178</f>
        <v>App.8-V08F-P10.3</v>
      </c>
      <c r="BC38" s="1434"/>
      <c r="BD38" s="1435"/>
      <c r="BE38" s="1435"/>
      <c r="BF38" s="1435"/>
      <c r="BG38" s="1435"/>
    </row>
    <row r="39" spans="1:59" ht="15.75" customHeight="1">
      <c r="A39" s="906"/>
      <c r="B39" s="917"/>
      <c r="C39" s="907"/>
      <c r="D39" s="445"/>
      <c r="E39" s="445"/>
      <c r="F39" s="909"/>
      <c r="G39" s="484">
        <v>52.5</v>
      </c>
      <c r="H39" s="908"/>
      <c r="I39" s="445" t="s">
        <v>3977</v>
      </c>
      <c r="J39" s="446"/>
      <c r="K39" s="638"/>
      <c r="L39" s="908"/>
      <c r="M39" s="445"/>
      <c r="N39" s="908"/>
      <c r="O39" s="908"/>
      <c r="P39" s="908"/>
      <c r="Q39" s="638"/>
      <c r="R39" s="638"/>
      <c r="S39" s="484"/>
      <c r="T39" s="638"/>
      <c r="U39" s="638"/>
      <c r="V39" s="638"/>
      <c r="W39" s="638"/>
      <c r="X39" s="638"/>
      <c r="Y39" s="638"/>
      <c r="Z39" s="638"/>
      <c r="AA39" s="638"/>
      <c r="AB39" s="638"/>
      <c r="AC39" s="638"/>
      <c r="AD39" s="638"/>
      <c r="AE39" s="638"/>
      <c r="AF39" s="638"/>
      <c r="AG39" s="446"/>
      <c r="AH39" s="638"/>
      <c r="AI39" s="185"/>
      <c r="AJ39" s="908"/>
      <c r="AK39" s="908"/>
      <c r="AL39" s="908"/>
      <c r="AM39" s="445"/>
      <c r="AN39" s="455"/>
      <c r="AO39" s="1239"/>
      <c r="AP39" s="1239"/>
      <c r="AQ39" s="484">
        <f>+FL_1($T$40,$U$38,$G$39,1200,9.28, 1*$F$40)</f>
        <v>0.41239691428571423</v>
      </c>
      <c r="AR39" s="484"/>
      <c r="AS39" s="484"/>
      <c r="AT39" s="484"/>
      <c r="AU39" s="638"/>
      <c r="AV39" s="638"/>
      <c r="AW39" s="638"/>
      <c r="AX39" s="638"/>
      <c r="AY39" s="484"/>
      <c r="AZ39" s="484"/>
      <c r="BA39" s="671"/>
      <c r="BB39" s="906"/>
      <c r="BC39" s="169"/>
      <c r="BD39" s="1330"/>
      <c r="BE39" s="1330"/>
      <c r="BF39" s="1330"/>
      <c r="BG39" s="1330"/>
    </row>
    <row r="40" spans="1:59" s="1436" customFormat="1" ht="15.75" customHeight="1">
      <c r="A40" s="1425"/>
      <c r="B40" s="1475" t="s">
        <v>3940</v>
      </c>
      <c r="C40" s="1427">
        <f>+$C$38+$G$39</f>
        <v>83401.00999999998</v>
      </c>
      <c r="D40" s="1504"/>
      <c r="E40" s="1505"/>
      <c r="F40" s="1430">
        <v>0</v>
      </c>
      <c r="G40" s="1506"/>
      <c r="H40" s="1426" t="s">
        <v>890</v>
      </c>
      <c r="I40" s="1515" t="s">
        <v>624</v>
      </c>
      <c r="J40" s="1427"/>
      <c r="K40" s="1505"/>
      <c r="L40" s="1431" t="s">
        <v>821</v>
      </c>
      <c r="M40" s="1509" t="str">
        <f>IF(AX40="PT",VLOOKUP(L40,'Foundation Calculation'!$V$2:$X$40,VLOOKUP(AX40,'Foundation Calculation'!$I$10:$J$13,2,FALSE),0),IF(AX40="K",VLOOKUP(L40,'Foundation Calculation'!$V$42:$X$80,VLOOKUP(AX40,'Foundation Calculation'!$I$10:$J$13,2,FALSE),0),""))</f>
        <v>C7R</v>
      </c>
      <c r="N40" s="1426" t="s">
        <v>144</v>
      </c>
      <c r="O40" s="1426"/>
      <c r="P40" s="1426"/>
      <c r="Q40" s="1510">
        <v>0</v>
      </c>
      <c r="R40" s="1431">
        <v>0</v>
      </c>
      <c r="S40" s="1429"/>
      <c r="T40" s="1431">
        <v>35</v>
      </c>
      <c r="U40" s="1431"/>
      <c r="V40" s="1431"/>
      <c r="W40" s="1431">
        <v>1.4</v>
      </c>
      <c r="X40" s="1431"/>
      <c r="Y40" s="1431"/>
      <c r="Z40" s="1431"/>
      <c r="AA40" s="1431"/>
      <c r="AB40" s="1431"/>
      <c r="AC40" s="1431" t="str">
        <f>IF(OR(AT40&gt;8,AT40&lt;-8),"PH",IF(OR(AT40&gt;5,AT40&lt;-5),"PH-Q",IF(OR(AT40&gt;1,AT40&lt;-1),"PH-C")))</f>
        <v>PH-Q</v>
      </c>
      <c r="AD40" s="1431"/>
      <c r="AE40" s="1431"/>
      <c r="AF40" s="1431"/>
      <c r="AG40" s="1427">
        <v>83401</v>
      </c>
      <c r="AH40" s="1431">
        <v>2733</v>
      </c>
      <c r="AI40" s="1511">
        <v>560</v>
      </c>
      <c r="AJ40" s="1426"/>
      <c r="AK40" s="1426"/>
      <c r="AL40" s="1426" t="s">
        <v>2142</v>
      </c>
      <c r="AM40" s="1504" t="s">
        <v>1043</v>
      </c>
      <c r="AN40" s="1432">
        <v>5.15</v>
      </c>
      <c r="AO40" s="1430"/>
      <c r="AP40" s="1430"/>
      <c r="AQ40" s="1429"/>
      <c r="AR40" s="1429"/>
      <c r="AS40" s="1429"/>
      <c r="AT40" s="1429">
        <f>+ab($T$40,$U$38,$T$42,$G$39,$G$41, 1*$F$40,1200)</f>
        <v>7.8788410654376122</v>
      </c>
      <c r="AU40" s="1478"/>
      <c r="AV40" s="1478"/>
      <c r="AW40" s="1431" t="str">
        <f>VLOOKUP(C40,'Foundation Calculation'!$A$2:$C$33,3,1)</f>
        <v>Soil A</v>
      </c>
      <c r="AX40" s="1431" t="str">
        <f>VLOOKUP(C40,'Foundation Calculation'!$E$2:$G$33,3,1)</f>
        <v>PT</v>
      </c>
      <c r="AY40" s="1429">
        <f>IF(AX40="PT",VLOOKUP(L40,'Foundation Calculation'!$K$2:$R$40,VLOOKUP(AW40,'Foundation Calculation'!$I$2:$J$8,2,FALSE),0),IF(AX40="K",VLOOKUP(L40,'Foundation Calculation'!$K$42:$R$80,VLOOKUP(AW40,'Foundation Calculation'!$I$2:$J$8,2,FALSE),0),""))</f>
        <v>4</v>
      </c>
      <c r="AZ40" s="1429"/>
      <c r="BA40" s="1527" t="s">
        <v>2809</v>
      </c>
      <c r="BB40" s="1425" t="str">
        <f>Pole_Calculations!A178</f>
        <v>App.8-V08F-P10.3</v>
      </c>
      <c r="BC40" s="1434"/>
      <c r="BD40" s="1435"/>
      <c r="BE40" s="1435"/>
      <c r="BF40" s="1435"/>
      <c r="BG40" s="1435"/>
    </row>
    <row r="41" spans="1:59" ht="15.75" customHeight="1">
      <c r="A41" s="909"/>
      <c r="B41" s="916"/>
      <c r="C41" s="907"/>
      <c r="D41" s="447"/>
      <c r="E41" s="447"/>
      <c r="F41" s="909"/>
      <c r="G41" s="484">
        <v>51</v>
      </c>
      <c r="H41" s="909"/>
      <c r="I41" s="172"/>
      <c r="J41" s="446">
        <f>C40+7.5</f>
        <v>83408.50999999998</v>
      </c>
      <c r="K41" s="638" t="s">
        <v>2787</v>
      </c>
      <c r="L41" s="911"/>
      <c r="M41" s="638"/>
      <c r="N41" s="909"/>
      <c r="O41" s="909"/>
      <c r="P41" s="911"/>
      <c r="Q41" s="638"/>
      <c r="R41" s="638"/>
      <c r="S41" s="484"/>
      <c r="T41" s="638"/>
      <c r="U41" s="638"/>
      <c r="V41" s="638"/>
      <c r="W41" s="638"/>
      <c r="X41" s="638"/>
      <c r="Y41" s="638"/>
      <c r="Z41" s="638"/>
      <c r="AA41" s="638"/>
      <c r="AB41" s="638"/>
      <c r="AC41" s="638"/>
      <c r="AD41" s="638"/>
      <c r="AE41" s="638"/>
      <c r="AF41" s="638"/>
      <c r="AG41" s="446"/>
      <c r="AH41" s="638"/>
      <c r="AI41" s="185"/>
      <c r="AJ41" s="911"/>
      <c r="AK41" s="909"/>
      <c r="AL41" s="911"/>
      <c r="AM41" s="445"/>
      <c r="AN41" s="455"/>
      <c r="AO41" s="1239"/>
      <c r="AP41" s="1239"/>
      <c r="AQ41" s="484">
        <f>+FL_2($T$42,$T$40,$G$41,1200,9.28, 1*$F$42)</f>
        <v>-0.37323328431372549</v>
      </c>
      <c r="AR41" s="484"/>
      <c r="AS41" s="484"/>
      <c r="AT41" s="484"/>
      <c r="AU41" s="638"/>
      <c r="AV41" s="638"/>
      <c r="AW41" s="638" t="str">
        <f>VLOOKUP(J41,'Foundation Calculation'!$A$2:$C$33,3,1)</f>
        <v>Soil A</v>
      </c>
      <c r="AX41" s="638" t="str">
        <f>VLOOKUP(J41,'Foundation Calculation'!$E$2:$G$33,3,1)</f>
        <v>PT</v>
      </c>
      <c r="AY41" s="484"/>
      <c r="AZ41" s="484">
        <f>IF(AX41="PT",VLOOKUP(K41,'Foundation Calculation'!$K$2:$R$40,VLOOKUP(AW41,'Foundation Calculation'!$I$2:$J$8,2,FALSE),0),IF(AX41="K",VLOOKUP(K41,'Foundation Calculation'!$K$42:$R$80,VLOOKUP(AW41,'Foundation Calculation'!$I$2:$J$8,2,FALSE),0),""))</f>
        <v>3.3</v>
      </c>
      <c r="BA41" s="671" t="s">
        <v>2809</v>
      </c>
      <c r="BB41" s="909"/>
      <c r="BC41" s="169"/>
      <c r="BD41" s="1329"/>
      <c r="BE41" s="1330"/>
      <c r="BF41" s="1330"/>
      <c r="BG41" s="1330"/>
    </row>
    <row r="42" spans="1:59" s="1436" customFormat="1" ht="15.75" customHeight="1">
      <c r="A42" s="1430"/>
      <c r="B42" s="1476" t="s">
        <v>3941</v>
      </c>
      <c r="C42" s="1427">
        <f>+$C$40+$G$41</f>
        <v>83452.00999999998</v>
      </c>
      <c r="D42" s="1512"/>
      <c r="E42" s="1513"/>
      <c r="F42" s="1430">
        <v>0</v>
      </c>
      <c r="G42" s="1506"/>
      <c r="H42" s="1430"/>
      <c r="I42" s="1517"/>
      <c r="J42" s="1427"/>
      <c r="K42" s="1508"/>
      <c r="L42" s="1431" t="s">
        <v>821</v>
      </c>
      <c r="M42" s="1509" t="str">
        <f>IF(AX42="PT",VLOOKUP(L42,'Foundation Calculation'!$V$2:$X$40,VLOOKUP(AX42,'Foundation Calculation'!$I$10:$J$13,2,FALSE),0),IF(AX42="K",VLOOKUP(L42,'Foundation Calculation'!$V$42:$X$80,VLOOKUP(AX42,'Foundation Calculation'!$I$10:$J$13,2,FALSE),0),""))</f>
        <v>C7R</v>
      </c>
      <c r="N42" s="1426" t="s">
        <v>143</v>
      </c>
      <c r="O42" s="1426"/>
      <c r="P42" s="1426"/>
      <c r="Q42" s="1510">
        <v>-20</v>
      </c>
      <c r="R42" s="1431">
        <v>0</v>
      </c>
      <c r="S42" s="1429"/>
      <c r="T42" s="1431">
        <v>-35</v>
      </c>
      <c r="U42" s="1431"/>
      <c r="V42" s="1431"/>
      <c r="W42" s="1431">
        <v>1.4</v>
      </c>
      <c r="X42" s="1431"/>
      <c r="Y42" s="1431"/>
      <c r="Z42" s="1431"/>
      <c r="AA42" s="1431"/>
      <c r="AB42" s="1431"/>
      <c r="AC42" s="1431" t="str">
        <f>IF(OR(AT42&gt;8,AT42&lt;-8),"PH",IF(OR(AT42&gt;5,AT42&lt;-5),"PH-Q",IF(OR(AT42&gt;1,AT42&lt;-1),"PH-C")))</f>
        <v>PH-Q</v>
      </c>
      <c r="AD42" s="1431"/>
      <c r="AE42" s="1431"/>
      <c r="AF42" s="1431"/>
      <c r="AG42" s="1427">
        <v>83452</v>
      </c>
      <c r="AH42" s="1431">
        <v>2593</v>
      </c>
      <c r="AI42" s="1511">
        <v>500</v>
      </c>
      <c r="AJ42" s="1426"/>
      <c r="AK42" s="1426"/>
      <c r="AL42" s="1426" t="s">
        <v>2142</v>
      </c>
      <c r="AM42" s="1504" t="s">
        <v>1043</v>
      </c>
      <c r="AN42" s="1432">
        <v>5.15</v>
      </c>
      <c r="AO42" s="1430"/>
      <c r="AP42" s="1430"/>
      <c r="AQ42" s="1429"/>
      <c r="AR42" s="1429"/>
      <c r="AS42" s="1429"/>
      <c r="AT42" s="1429">
        <f>+ab($T$42,$T$40,$T$44,$G$41,$G$43, 1*$F$42,1200)</f>
        <v>-5.9656291023786707</v>
      </c>
      <c r="AU42" s="1478"/>
      <c r="AV42" s="1478"/>
      <c r="AW42" s="1431" t="str">
        <f>VLOOKUP(C42,'Foundation Calculation'!$A$2:$C$33,3,1)</f>
        <v>Soil A</v>
      </c>
      <c r="AX42" s="1431" t="str">
        <f>VLOOKUP(C42,'Foundation Calculation'!$E$2:$G$33,3,1)</f>
        <v>PT</v>
      </c>
      <c r="AY42" s="1429">
        <f>IF(AX42="PT",VLOOKUP(L42,'Foundation Calculation'!$K$2:$R$40,VLOOKUP(AW42,'Foundation Calculation'!$I$2:$J$8,2,FALSE),0),IF(AX42="K",VLOOKUP(L42,'Foundation Calculation'!$K$42:$R$80,VLOOKUP(AW42,'Foundation Calculation'!$I$2:$J$8,2,FALSE),0),""))</f>
        <v>4</v>
      </c>
      <c r="AZ42" s="1429"/>
      <c r="BA42" s="1527" t="s">
        <v>2809</v>
      </c>
      <c r="BB42" s="1430" t="str">
        <f>Pole_Calculations!A178</f>
        <v>App.8-V08F-P10.3</v>
      </c>
      <c r="BC42" s="1434"/>
      <c r="BD42" s="1435"/>
      <c r="BE42" s="1435"/>
      <c r="BF42" s="1435"/>
      <c r="BG42" s="1435"/>
    </row>
    <row r="43" spans="1:59" ht="15.75" customHeight="1">
      <c r="A43" s="909"/>
      <c r="B43" s="916"/>
      <c r="C43" s="907"/>
      <c r="D43" s="447"/>
      <c r="E43" s="447"/>
      <c r="F43" s="909"/>
      <c r="G43" s="484">
        <v>38.200000000000003</v>
      </c>
      <c r="H43" s="909"/>
      <c r="I43" s="445"/>
      <c r="J43" s="446"/>
      <c r="K43" s="638"/>
      <c r="L43" s="911"/>
      <c r="M43" s="638"/>
      <c r="N43" s="909"/>
      <c r="O43" s="909"/>
      <c r="P43" s="911"/>
      <c r="Q43" s="638"/>
      <c r="R43" s="638"/>
      <c r="S43" s="484"/>
      <c r="T43" s="638"/>
      <c r="U43" s="638"/>
      <c r="V43" s="638"/>
      <c r="W43" s="638"/>
      <c r="X43" s="638"/>
      <c r="Y43" s="638"/>
      <c r="Z43" s="638"/>
      <c r="AA43" s="638"/>
      <c r="AB43" s="638"/>
      <c r="AC43" s="638"/>
      <c r="AD43" s="638"/>
      <c r="AE43" s="638"/>
      <c r="AF43" s="638"/>
      <c r="AG43" s="446"/>
      <c r="AH43" s="638"/>
      <c r="AI43" s="185"/>
      <c r="AJ43" s="911"/>
      <c r="AK43" s="909"/>
      <c r="AL43" s="908"/>
      <c r="AM43" s="445"/>
      <c r="AN43" s="455"/>
      <c r="AO43" s="1239"/>
      <c r="AP43" s="1239"/>
      <c r="AQ43" s="484">
        <f>+FL_2($T$44,$T$42,$G$43,1200,9.28, 1*$F$44)</f>
        <v>-0.35000000000000331</v>
      </c>
      <c r="AR43" s="484"/>
      <c r="AS43" s="484"/>
      <c r="AT43" s="484"/>
      <c r="AU43" s="638"/>
      <c r="AV43" s="638"/>
      <c r="AW43" s="445"/>
      <c r="AX43" s="445"/>
      <c r="AY43" s="484"/>
      <c r="AZ43" s="484"/>
      <c r="BA43" s="671"/>
      <c r="BB43" s="909"/>
      <c r="BC43" s="169"/>
      <c r="BD43" s="1330"/>
      <c r="BE43" s="1330"/>
      <c r="BF43" s="1330"/>
      <c r="BG43" s="1330"/>
    </row>
    <row r="44" spans="1:59" s="1436" customFormat="1" ht="15.75" customHeight="1">
      <c r="A44" s="1430"/>
      <c r="B44" s="1476" t="s">
        <v>3942</v>
      </c>
      <c r="C44" s="1427">
        <f>+$C$42+$G$43</f>
        <v>83490.209999999977</v>
      </c>
      <c r="D44" s="1512"/>
      <c r="E44" s="1513"/>
      <c r="F44" s="1430">
        <v>0</v>
      </c>
      <c r="G44" s="1506"/>
      <c r="H44" s="1430" t="s">
        <v>619</v>
      </c>
      <c r="I44" s="1504"/>
      <c r="J44" s="1427"/>
      <c r="K44" s="1508"/>
      <c r="L44" s="1431" t="s">
        <v>4488</v>
      </c>
      <c r="M44" s="1509" t="str">
        <f>IF(AX44="PT",VLOOKUP(L44,'Foundation Calculation'!$V$2:$X$40,VLOOKUP(AX44,'Foundation Calculation'!$I$10:$J$13,2,FALSE),0),IF(AX44="K",VLOOKUP(L44,'Foundation Calculation'!$V$42:$X$80,VLOOKUP(AX44,'Foundation Calculation'!$I$10:$J$13,2,FALSE),0),""))</f>
        <v>C11R</v>
      </c>
      <c r="N44" s="1426" t="s">
        <v>144</v>
      </c>
      <c r="O44" s="1426" t="s">
        <v>140</v>
      </c>
      <c r="P44" s="1426"/>
      <c r="Q44" s="1510">
        <v>-20</v>
      </c>
      <c r="R44" s="1431">
        <v>0</v>
      </c>
      <c r="S44" s="1429"/>
      <c r="T44" s="1431">
        <v>35</v>
      </c>
      <c r="U44" s="1431">
        <v>65</v>
      </c>
      <c r="V44" s="1431"/>
      <c r="W44" s="1431">
        <v>1.8</v>
      </c>
      <c r="X44" s="1431">
        <v>1.4</v>
      </c>
      <c r="Y44" s="1431"/>
      <c r="Z44" s="1431"/>
      <c r="AA44" s="1431">
        <v>0.6</v>
      </c>
      <c r="AB44" s="1431"/>
      <c r="AC44" s="1431" t="str">
        <f>IF(OR(AT44&gt;8,AT44&lt;-8),"PH",IF(OR(AT44&gt;5,AT44&lt;-5),"PH-Q",IF(OR(AT44&gt;1,AT44&lt;-1),"PH-C")))</f>
        <v>PH-Q</v>
      </c>
      <c r="AD44" s="1431"/>
      <c r="AE44" s="1431"/>
      <c r="AF44" s="1431"/>
      <c r="AG44" s="1427">
        <v>83490</v>
      </c>
      <c r="AH44" s="1431">
        <v>3093</v>
      </c>
      <c r="AI44" s="1511">
        <v>640</v>
      </c>
      <c r="AJ44" s="1426"/>
      <c r="AK44" s="1426"/>
      <c r="AL44" s="1426" t="s">
        <v>4490</v>
      </c>
      <c r="AM44" s="1504" t="s">
        <v>1043</v>
      </c>
      <c r="AN44" s="1432">
        <v>5.15</v>
      </c>
      <c r="AO44" s="1430"/>
      <c r="AP44" s="1430"/>
      <c r="AQ44" s="1429"/>
      <c r="AR44" s="1429"/>
      <c r="AS44" s="1429"/>
      <c r="AT44" s="1429">
        <f>+ab($T$44,$T$42,$T$46,$G$43,$G$45, 1*$F$44,1200)</f>
        <v>6.0389682220118654</v>
      </c>
      <c r="AU44" s="1478"/>
      <c r="AV44" s="1478"/>
      <c r="AW44" s="1431" t="str">
        <f>VLOOKUP(C44,'Foundation Calculation'!$A$2:$C$33,3,1)</f>
        <v>Soil A</v>
      </c>
      <c r="AX44" s="1431" t="str">
        <f>VLOOKUP(C44,'Foundation Calculation'!$E$2:$G$33,3,1)</f>
        <v>PT</v>
      </c>
      <c r="AY44" s="1429">
        <f>IF(AX44="PT",VLOOKUP(L44,'Foundation Calculation'!$K$2:$R$40,VLOOKUP(AW44,'Foundation Calculation'!$I$2:$J$8,2,FALSE),0),IF(AX44="K",VLOOKUP(L44,'Foundation Calculation'!$K$42:$R$80,VLOOKUP(AW44,'Foundation Calculation'!$I$2:$J$8,2,FALSE),0),""))</f>
        <v>4.5999999999999996</v>
      </c>
      <c r="AZ44" s="1429"/>
      <c r="BA44" s="1527" t="s">
        <v>2809</v>
      </c>
      <c r="BB44" s="1430" t="str">
        <f>Pole_Calculations!A178</f>
        <v>App.8-V08F-P10.3</v>
      </c>
      <c r="BC44" s="1434"/>
      <c r="BD44" s="1435"/>
      <c r="BE44" s="1435"/>
      <c r="BF44" s="1435"/>
      <c r="BG44" s="1435"/>
    </row>
    <row r="45" spans="1:59" ht="15.75" customHeight="1">
      <c r="A45" s="909"/>
      <c r="B45" s="910"/>
      <c r="C45" s="907"/>
      <c r="D45" s="447"/>
      <c r="E45" s="447"/>
      <c r="F45" s="909"/>
      <c r="G45" s="484">
        <v>45</v>
      </c>
      <c r="H45" s="909"/>
      <c r="I45" s="455"/>
      <c r="J45" s="446">
        <f>C46-7.5</f>
        <v>83527.709999999977</v>
      </c>
      <c r="K45" s="638" t="s">
        <v>2787</v>
      </c>
      <c r="L45" s="911"/>
      <c r="M45" s="638"/>
      <c r="N45" s="909"/>
      <c r="O45" s="909"/>
      <c r="P45" s="911"/>
      <c r="Q45" s="638"/>
      <c r="R45" s="638"/>
      <c r="S45" s="484"/>
      <c r="T45" s="638"/>
      <c r="U45" s="638"/>
      <c r="V45" s="638"/>
      <c r="W45" s="638"/>
      <c r="X45" s="638"/>
      <c r="Y45" s="638"/>
      <c r="Z45" s="638"/>
      <c r="AA45" s="638"/>
      <c r="AB45" s="638"/>
      <c r="AC45" s="638"/>
      <c r="AD45" s="638"/>
      <c r="AE45" s="638"/>
      <c r="AF45" s="638"/>
      <c r="AG45" s="446"/>
      <c r="AH45" s="638"/>
      <c r="AI45" s="185"/>
      <c r="AJ45" s="911"/>
      <c r="AK45" s="909"/>
      <c r="AL45" s="911"/>
      <c r="AM45" s="638"/>
      <c r="AN45" s="455"/>
      <c r="AO45" s="1239"/>
      <c r="AP45" s="1239"/>
      <c r="AQ45" s="484">
        <f>+FL_1($T$46,$T$44,$G$45,1200,9.28, 1*$F$46)</f>
        <v>0.36186156634900718</v>
      </c>
      <c r="AR45" s="484"/>
      <c r="AS45" s="484"/>
      <c r="AT45" s="484"/>
      <c r="AU45" s="638"/>
      <c r="AV45" s="638"/>
      <c r="AW45" s="638" t="str">
        <f>VLOOKUP(J45,'Foundation Calculation'!$A$2:$C$33,3,1)</f>
        <v>Soil A</v>
      </c>
      <c r="AX45" s="638" t="str">
        <f>VLOOKUP(J45,'Foundation Calculation'!$E$2:$G$33,3,1)</f>
        <v>PT</v>
      </c>
      <c r="AY45" s="484"/>
      <c r="AZ45" s="484">
        <f>IF(AX45="PT",VLOOKUP(K45,'Foundation Calculation'!$K$2:$R$40,VLOOKUP(AW45,'Foundation Calculation'!$I$2:$J$8,2,FALSE),0),IF(AX45="K",VLOOKUP(K45,'Foundation Calculation'!$K$42:$R$80,VLOOKUP(AW45,'Foundation Calculation'!$I$2:$J$8,2,FALSE),0),""))</f>
        <v>3.3</v>
      </c>
      <c r="BA45" s="671" t="s">
        <v>2809</v>
      </c>
      <c r="BB45" s="909"/>
      <c r="BC45" s="169"/>
      <c r="BD45" s="1329"/>
      <c r="BE45" s="1330"/>
      <c r="BF45" s="1330"/>
      <c r="BG45" s="1330"/>
    </row>
    <row r="46" spans="1:59" s="1436" customFormat="1" ht="15.75" customHeight="1">
      <c r="A46" s="1425"/>
      <c r="B46" s="1475" t="s">
        <v>3943</v>
      </c>
      <c r="C46" s="1427">
        <f>+$C$44+$G$45</f>
        <v>83535.209999999977</v>
      </c>
      <c r="D46" s="1504"/>
      <c r="E46" s="1505"/>
      <c r="F46" s="1428">
        <f>-(629^2)/(C46-83530.87)</f>
        <v>-91161.520737706203</v>
      </c>
      <c r="G46" s="1506"/>
      <c r="H46" s="1426" t="s">
        <v>2128</v>
      </c>
      <c r="I46" s="1507" t="s">
        <v>623</v>
      </c>
      <c r="J46" s="1427"/>
      <c r="K46" s="1508"/>
      <c r="L46" s="1431" t="s">
        <v>821</v>
      </c>
      <c r="M46" s="1509" t="str">
        <f>IF(AX46="PT",VLOOKUP(L46,'Foundation Calculation'!$V$2:$X$40,VLOOKUP(AX46,'Foundation Calculation'!$I$10:$J$13,2,FALSE),0),IF(AX46="K",VLOOKUP(L46,'Foundation Calculation'!$V$42:$X$80,VLOOKUP(AX46,'Foundation Calculation'!$I$10:$J$13,2,FALSE),0),""))</f>
        <v>C7R</v>
      </c>
      <c r="N46" s="1426" t="s">
        <v>143</v>
      </c>
      <c r="O46" s="1426" t="s">
        <v>140</v>
      </c>
      <c r="P46" s="1426"/>
      <c r="Q46" s="1510">
        <v>0</v>
      </c>
      <c r="R46" s="1431">
        <v>0</v>
      </c>
      <c r="S46" s="1429"/>
      <c r="T46" s="1431">
        <v>-25</v>
      </c>
      <c r="U46" s="1431">
        <v>-10</v>
      </c>
      <c r="V46" s="1431"/>
      <c r="W46" s="1431">
        <v>1.8</v>
      </c>
      <c r="X46" s="1431">
        <v>1.4</v>
      </c>
      <c r="Y46" s="1431"/>
      <c r="Z46" s="1431"/>
      <c r="AA46" s="1431">
        <v>0.6</v>
      </c>
      <c r="AB46" s="1431"/>
      <c r="AC46" s="1431" t="str">
        <f>IF(OR(AT46&gt;8,AT46&lt;-8),"PH",IF(OR(AT46&gt;5,AT46&lt;-5),"PH-Q",IF(OR(AT46&gt;1,AT46&lt;-1),"PH-C")))</f>
        <v>PH</v>
      </c>
      <c r="AD46" s="1431"/>
      <c r="AE46" s="1431"/>
      <c r="AF46" s="1431"/>
      <c r="AG46" s="1427">
        <v>83535</v>
      </c>
      <c r="AH46" s="1431">
        <v>2693</v>
      </c>
      <c r="AI46" s="1511">
        <v>510</v>
      </c>
      <c r="AJ46" s="1426"/>
      <c r="AK46" s="1426"/>
      <c r="AL46" s="1426" t="s">
        <v>2142</v>
      </c>
      <c r="AM46" s="1504" t="s">
        <v>1043</v>
      </c>
      <c r="AN46" s="1432">
        <v>5.15</v>
      </c>
      <c r="AO46" s="1430"/>
      <c r="AP46" s="1430"/>
      <c r="AQ46" s="1429"/>
      <c r="AR46" s="1429"/>
      <c r="AS46" s="1429"/>
      <c r="AT46" s="1429">
        <f>+ab($T$46,$T$44,$U$48,$G$45,$G$47, 1*$F$46,1200)</f>
        <v>-8.1215772852802317</v>
      </c>
      <c r="AU46" s="1478"/>
      <c r="AV46" s="1478"/>
      <c r="AW46" s="1431" t="str">
        <f>VLOOKUP(C46,'Foundation Calculation'!$A$2:$C$33,3,1)</f>
        <v>Soil A</v>
      </c>
      <c r="AX46" s="1431" t="str">
        <f>VLOOKUP(C46,'Foundation Calculation'!$E$2:$G$33,3,1)</f>
        <v>PT</v>
      </c>
      <c r="AY46" s="1429">
        <f>IF(AX46="PT",VLOOKUP(L46,'Foundation Calculation'!$K$2:$R$40,VLOOKUP(AW46,'Foundation Calculation'!$I$2:$J$8,2,FALSE),0),IF(AX46="K",VLOOKUP(L46,'Foundation Calculation'!$K$42:$R$80,VLOOKUP(AW46,'Foundation Calculation'!$I$2:$J$8,2,FALSE),0),""))</f>
        <v>4</v>
      </c>
      <c r="AZ46" s="1429"/>
      <c r="BA46" s="1527" t="s">
        <v>2809</v>
      </c>
      <c r="BB46" s="1425" t="str">
        <f>Pole_Calculations!A178</f>
        <v>App.8-V08F-P10.3</v>
      </c>
      <c r="BC46" s="1434"/>
      <c r="BD46" s="1435"/>
      <c r="BE46" s="1435"/>
      <c r="BF46" s="1435"/>
      <c r="BG46" s="1435"/>
    </row>
    <row r="47" spans="1:59" ht="15.75" customHeight="1">
      <c r="A47" s="906"/>
      <c r="B47" s="908"/>
      <c r="C47" s="907"/>
      <c r="D47" s="445"/>
      <c r="E47" s="445"/>
      <c r="F47" s="908"/>
      <c r="G47" s="484">
        <v>41.4</v>
      </c>
      <c r="H47" s="908"/>
      <c r="I47" s="1239"/>
      <c r="J47" s="171"/>
      <c r="K47" s="1239"/>
      <c r="L47" s="908"/>
      <c r="M47" s="445"/>
      <c r="N47" s="908"/>
      <c r="O47" s="908"/>
      <c r="P47" s="908"/>
      <c r="Q47" s="638"/>
      <c r="R47" s="638"/>
      <c r="S47" s="484"/>
      <c r="T47" s="638"/>
      <c r="U47" s="638"/>
      <c r="V47" s="638"/>
      <c r="W47" s="638"/>
      <c r="X47" s="638"/>
      <c r="Y47" s="638"/>
      <c r="Z47" s="638"/>
      <c r="AA47" s="638"/>
      <c r="AB47" s="638"/>
      <c r="AC47" s="638"/>
      <c r="AD47" s="638"/>
      <c r="AE47" s="638"/>
      <c r="AF47" s="638"/>
      <c r="AG47" s="446"/>
      <c r="AH47" s="638"/>
      <c r="AI47" s="185"/>
      <c r="AJ47" s="908"/>
      <c r="AK47" s="908"/>
      <c r="AL47" s="908"/>
      <c r="AM47" s="445"/>
      <c r="AN47" s="484"/>
      <c r="AO47" s="445"/>
      <c r="AP47" s="445"/>
      <c r="AQ47" s="484">
        <f>+FL_1($U$48,$T$46,$G$47,1200,9.28, 1*$F$48)</f>
        <v>0.19295842140304628</v>
      </c>
      <c r="AR47" s="484"/>
      <c r="AS47" s="484"/>
      <c r="AT47" s="484"/>
      <c r="AU47" s="638"/>
      <c r="AV47" s="638"/>
      <c r="AW47" s="638"/>
      <c r="AX47" s="638"/>
      <c r="AY47" s="484"/>
      <c r="AZ47" s="484"/>
      <c r="BA47" s="671"/>
      <c r="BB47" s="906"/>
      <c r="BC47" s="169"/>
      <c r="BD47" s="1330"/>
      <c r="BE47" s="1330"/>
      <c r="BF47" s="1330"/>
      <c r="BG47" s="1330"/>
    </row>
    <row r="48" spans="1:59" s="1436" customFormat="1" ht="15.75" customHeight="1">
      <c r="A48" s="1430"/>
      <c r="B48" s="1476" t="s">
        <v>3944</v>
      </c>
      <c r="C48" s="1427">
        <f>+$C$46+$G$47</f>
        <v>83576.609999999971</v>
      </c>
      <c r="D48" s="1512"/>
      <c r="E48" s="1513"/>
      <c r="F48" s="1428">
        <f>-(629^2)/(C48-83530.87)</f>
        <v>-8649.7813729822137</v>
      </c>
      <c r="G48" s="1506"/>
      <c r="H48" s="1430" t="s">
        <v>2133</v>
      </c>
      <c r="I48" s="1504" t="s">
        <v>623</v>
      </c>
      <c r="J48" s="1427"/>
      <c r="K48" s="1508"/>
      <c r="L48" s="1431" t="s">
        <v>4395</v>
      </c>
      <c r="M48" s="1509" t="str">
        <f>IF(AX48="PT",VLOOKUP(L48,'Foundation Calculation'!$V$2:$X$40,VLOOKUP(AX48,'Foundation Calculation'!$I$10:$J$13,2,FALSE),0),IF(AX48="K",VLOOKUP(L48,'Foundation Calculation'!$V$42:$X$80,VLOOKUP(AX48,'Foundation Calculation'!$I$10:$J$13,2,FALSE),0),""))</f>
        <v>C9R</v>
      </c>
      <c r="N48" s="1426" t="s">
        <v>140</v>
      </c>
      <c r="O48" s="1426" t="s">
        <v>144</v>
      </c>
      <c r="P48" s="1426"/>
      <c r="Q48" s="1510">
        <v>20</v>
      </c>
      <c r="R48" s="1431">
        <v>6439</v>
      </c>
      <c r="S48" s="1429"/>
      <c r="T48" s="1431">
        <v>35</v>
      </c>
      <c r="U48" s="1431">
        <v>15</v>
      </c>
      <c r="V48" s="1431"/>
      <c r="W48" s="1431">
        <v>1.4</v>
      </c>
      <c r="X48" s="1431">
        <v>1.8</v>
      </c>
      <c r="Y48" s="1431"/>
      <c r="Z48" s="1431">
        <v>0.45</v>
      </c>
      <c r="AA48" s="1431"/>
      <c r="AB48" s="1431"/>
      <c r="AC48" s="1431"/>
      <c r="AD48" s="1431"/>
      <c r="AE48" s="1431"/>
      <c r="AF48" s="1431"/>
      <c r="AG48" s="1427">
        <v>83576</v>
      </c>
      <c r="AH48" s="1431">
        <v>2853</v>
      </c>
      <c r="AI48" s="1511">
        <v>610</v>
      </c>
      <c r="AJ48" s="1426"/>
      <c r="AK48" s="1426"/>
      <c r="AL48" s="1426" t="s">
        <v>2142</v>
      </c>
      <c r="AM48" s="1504" t="s">
        <v>1043</v>
      </c>
      <c r="AN48" s="1432">
        <v>5.15</v>
      </c>
      <c r="AO48" s="1430"/>
      <c r="AP48" s="1430"/>
      <c r="AQ48" s="1429"/>
      <c r="AR48" s="1429"/>
      <c r="AS48" s="1429"/>
      <c r="AT48" s="1429">
        <f>+ab($U$48,$T$46,$U$50,$G$47,$G$49, 1*$F$48,1200)</f>
        <v>13.157447392455538</v>
      </c>
      <c r="AU48" s="1478"/>
      <c r="AV48" s="1478"/>
      <c r="AW48" s="1431" t="str">
        <f>VLOOKUP(C48,'Foundation Calculation'!$A$2:$C$33,3,1)</f>
        <v>Soil A</v>
      </c>
      <c r="AX48" s="1431" t="str">
        <f>VLOOKUP(C48,'Foundation Calculation'!$E$2:$G$33,3,1)</f>
        <v>PT</v>
      </c>
      <c r="AY48" s="1429">
        <f>IF(AX48="PT",VLOOKUP(L48,'Foundation Calculation'!$K$2:$R$40,VLOOKUP(AW48,'Foundation Calculation'!$I$2:$J$8,2,FALSE),0),IF(AX48="K",VLOOKUP(L48,'Foundation Calculation'!$K$42:$R$80,VLOOKUP(AW48,'Foundation Calculation'!$I$2:$J$8,2,FALSE),0),""))</f>
        <v>3.9</v>
      </c>
      <c r="AZ48" s="1429"/>
      <c r="BA48" s="1527" t="s">
        <v>2809</v>
      </c>
      <c r="BB48" s="1430" t="str">
        <f>Pole_Calculations!A178</f>
        <v>App.8-V08F-P10.3</v>
      </c>
      <c r="BC48" s="1434"/>
      <c r="BD48" s="1435"/>
      <c r="BE48" s="1435"/>
      <c r="BF48" s="1435"/>
      <c r="BG48" s="1435"/>
    </row>
    <row r="49" spans="1:59" ht="15.75" customHeight="1">
      <c r="A49" s="909"/>
      <c r="B49" s="910"/>
      <c r="C49" s="907"/>
      <c r="D49" s="447"/>
      <c r="E49" s="447"/>
      <c r="F49" s="909"/>
      <c r="G49" s="484">
        <v>50.2</v>
      </c>
      <c r="H49" s="909"/>
      <c r="I49" s="455"/>
      <c r="J49" s="446">
        <f>C48+7.5</f>
        <v>83584.109999999971</v>
      </c>
      <c r="K49" s="638" t="s">
        <v>2787</v>
      </c>
      <c r="L49" s="911"/>
      <c r="M49" s="638"/>
      <c r="N49" s="909"/>
      <c r="O49" s="909"/>
      <c r="P49" s="911"/>
      <c r="Q49" s="638"/>
      <c r="R49" s="638"/>
      <c r="S49" s="484"/>
      <c r="T49" s="638"/>
      <c r="U49" s="638"/>
      <c r="V49" s="638"/>
      <c r="W49" s="638"/>
      <c r="X49" s="638"/>
      <c r="Y49" s="638"/>
      <c r="Z49" s="638"/>
      <c r="AA49" s="638"/>
      <c r="AB49" s="638"/>
      <c r="AC49" s="638"/>
      <c r="AD49" s="638"/>
      <c r="AE49" s="638"/>
      <c r="AF49" s="638"/>
      <c r="AG49" s="446"/>
      <c r="AH49" s="638"/>
      <c r="AI49" s="185"/>
      <c r="AJ49" s="911"/>
      <c r="AK49" s="909"/>
      <c r="AL49" s="911"/>
      <c r="AM49" s="638"/>
      <c r="AN49" s="455"/>
      <c r="AO49" s="1239"/>
      <c r="AP49" s="1239"/>
      <c r="AQ49" s="484">
        <f>+FL_1($T$50,$T$48,$G$49,1200,9.28, 1*$F$50)</f>
        <v>0.46882034681897528</v>
      </c>
      <c r="AR49" s="484"/>
      <c r="AS49" s="484"/>
      <c r="AT49" s="484"/>
      <c r="AU49" s="638"/>
      <c r="AV49" s="638"/>
      <c r="AW49" s="638" t="str">
        <f>VLOOKUP(J49,'Foundation Calculation'!$A$2:$C$33,3,1)</f>
        <v>Soil A</v>
      </c>
      <c r="AX49" s="638" t="str">
        <f>VLOOKUP(J49,'Foundation Calculation'!$E$2:$G$33,3,1)</f>
        <v>PT</v>
      </c>
      <c r="AY49" s="484"/>
      <c r="AZ49" s="484">
        <f>IF(AX49="PT",VLOOKUP(K49,'Foundation Calculation'!$K$2:$R$40,VLOOKUP(AW49,'Foundation Calculation'!$I$2:$J$8,2,FALSE),0),IF(AX49="K",VLOOKUP(K49,'Foundation Calculation'!$K$42:$R$80,VLOOKUP(AW49,'Foundation Calculation'!$I$2:$J$8,2,FALSE),0),""))</f>
        <v>3.3</v>
      </c>
      <c r="BA49" s="671" t="s">
        <v>2809</v>
      </c>
      <c r="BB49" s="909"/>
      <c r="BC49" s="169"/>
      <c r="BD49" s="1329"/>
      <c r="BE49" s="1330"/>
      <c r="BF49" s="1330"/>
      <c r="BG49" s="1330"/>
    </row>
    <row r="50" spans="1:59" s="1436" customFormat="1" ht="15.75" customHeight="1">
      <c r="A50" s="1425"/>
      <c r="B50" s="1475" t="s">
        <v>3945</v>
      </c>
      <c r="C50" s="1427">
        <f>+$C$48+$G$49</f>
        <v>83626.809999999969</v>
      </c>
      <c r="D50" s="1504"/>
      <c r="E50" s="1505"/>
      <c r="F50" s="1428">
        <f>-(629^2)/(C50-83530.87)</f>
        <v>-4123.8378153023805</v>
      </c>
      <c r="G50" s="1506"/>
      <c r="H50" s="1426" t="s">
        <v>619</v>
      </c>
      <c r="I50" s="1507"/>
      <c r="J50" s="1427"/>
      <c r="K50" s="1508"/>
      <c r="L50" s="1431" t="s">
        <v>4488</v>
      </c>
      <c r="M50" s="1509" t="str">
        <f>IF(AX50="PT",VLOOKUP(L50,'Foundation Calculation'!$V$2:$X$40,VLOOKUP(AX50,'Foundation Calculation'!$I$10:$J$13,2,FALSE),0),IF(AX50="K",VLOOKUP(L50,'Foundation Calculation'!$V$42:$X$80,VLOOKUP(AX50,'Foundation Calculation'!$I$10:$J$13,2,FALSE),0),""))</f>
        <v>C11R</v>
      </c>
      <c r="N50" s="1426" t="s">
        <v>143</v>
      </c>
      <c r="O50" s="1426" t="s">
        <v>140</v>
      </c>
      <c r="P50" s="1426"/>
      <c r="Q50" s="1510">
        <v>40</v>
      </c>
      <c r="R50" s="1431">
        <v>4130</v>
      </c>
      <c r="S50" s="1429"/>
      <c r="T50" s="1431">
        <v>-15</v>
      </c>
      <c r="U50" s="1431">
        <v>-35</v>
      </c>
      <c r="V50" s="1431"/>
      <c r="W50" s="1431">
        <v>1.4</v>
      </c>
      <c r="X50" s="1431">
        <v>1.8</v>
      </c>
      <c r="Y50" s="1431"/>
      <c r="Z50" s="1431"/>
      <c r="AA50" s="1431">
        <v>0.45</v>
      </c>
      <c r="AB50" s="1431"/>
      <c r="AC50" s="1431" t="str">
        <f>IF(OR(AT50&gt;8,AT50&lt;-8),"PH",IF(OR(AT50&gt;5,AT50&lt;-5),"PH-Q",IF(OR(AT50&gt;1,AT50&lt;-1),"PH-C")))</f>
        <v>PH</v>
      </c>
      <c r="AD50" s="1431"/>
      <c r="AE50" s="1431"/>
      <c r="AF50" s="1431"/>
      <c r="AG50" s="1427">
        <v>83626</v>
      </c>
      <c r="AH50" s="1431">
        <v>2553</v>
      </c>
      <c r="AI50" s="1511">
        <v>490</v>
      </c>
      <c r="AJ50" s="1426"/>
      <c r="AK50" s="1426"/>
      <c r="AL50" s="1426" t="s">
        <v>4490</v>
      </c>
      <c r="AM50" s="1504" t="s">
        <v>1043</v>
      </c>
      <c r="AN50" s="1432">
        <v>5.15</v>
      </c>
      <c r="AO50" s="1430"/>
      <c r="AP50" s="1430"/>
      <c r="AQ50" s="1429"/>
      <c r="AR50" s="1429"/>
      <c r="AS50" s="1429"/>
      <c r="AT50" s="1429">
        <f>+ab($T$50,$T$48,$T$52,$G$49,$G$51, 1*$F$50,1200)</f>
        <v>-9.00947073056901</v>
      </c>
      <c r="AU50" s="1478"/>
      <c r="AV50" s="1478"/>
      <c r="AW50" s="1431" t="str">
        <f>VLOOKUP(C50,'Foundation Calculation'!$A$2:$C$33,3,1)</f>
        <v>Soil A</v>
      </c>
      <c r="AX50" s="1431" t="str">
        <f>VLOOKUP(C50,'Foundation Calculation'!$E$2:$G$33,3,1)</f>
        <v>PT</v>
      </c>
      <c r="AY50" s="1429">
        <f>IF(AX50="PT",VLOOKUP(L50,'Foundation Calculation'!$K$2:$R$40,VLOOKUP(AW50,'Foundation Calculation'!$I$2:$J$8,2,FALSE),0),IF(AX50="K",VLOOKUP(L50,'Foundation Calculation'!$K$42:$R$80,VLOOKUP(AW50,'Foundation Calculation'!$I$2:$J$8,2,FALSE),0),""))</f>
        <v>4.5999999999999996</v>
      </c>
      <c r="AZ50" s="1429"/>
      <c r="BA50" s="1527" t="s">
        <v>2809</v>
      </c>
      <c r="BB50" s="1425" t="str">
        <f>Pole_Calculations!A178</f>
        <v>App.8-V08F-P10.3</v>
      </c>
      <c r="BC50" s="1434"/>
      <c r="BD50" s="1435"/>
      <c r="BE50" s="1435"/>
      <c r="BF50" s="1435"/>
      <c r="BG50" s="1435"/>
    </row>
    <row r="51" spans="1:59" ht="15.75" customHeight="1">
      <c r="A51" s="920" t="s">
        <v>3049</v>
      </c>
      <c r="B51" s="921"/>
      <c r="C51" s="922"/>
      <c r="D51" s="657"/>
      <c r="E51" s="657"/>
      <c r="F51" s="921"/>
      <c r="G51" s="654">
        <v>50.1</v>
      </c>
      <c r="H51" s="921"/>
      <c r="I51" s="650">
        <f>C52-C28</f>
        <v>562.5</v>
      </c>
      <c r="J51" s="652"/>
      <c r="K51" s="647"/>
      <c r="L51" s="921"/>
      <c r="M51" s="657"/>
      <c r="N51" s="921"/>
      <c r="O51" s="921"/>
      <c r="P51" s="921"/>
      <c r="Q51" s="653"/>
      <c r="R51" s="653"/>
      <c r="S51" s="654"/>
      <c r="T51" s="653"/>
      <c r="U51" s="653"/>
      <c r="V51" s="653"/>
      <c r="W51" s="653"/>
      <c r="X51" s="653"/>
      <c r="Y51" s="653"/>
      <c r="Z51" s="653"/>
      <c r="AA51" s="653"/>
      <c r="AB51" s="653"/>
      <c r="AC51" s="653"/>
      <c r="AD51" s="653"/>
      <c r="AE51" s="653"/>
      <c r="AF51" s="653"/>
      <c r="AG51" s="649"/>
      <c r="AH51" s="653"/>
      <c r="AI51" s="704"/>
      <c r="AJ51" s="921"/>
      <c r="AK51" s="921"/>
      <c r="AL51" s="921"/>
      <c r="AM51" s="657"/>
      <c r="AN51" s="651"/>
      <c r="AO51" s="657"/>
      <c r="AP51" s="657"/>
      <c r="AQ51" s="654">
        <f>+FL_2($T$52,$T$50,$G$51,1200,9.28, 1*$F$52)</f>
        <v>-0.30305126759426854</v>
      </c>
      <c r="AR51" s="654"/>
      <c r="AS51" s="654"/>
      <c r="AT51" s="654"/>
      <c r="AU51" s="653"/>
      <c r="AV51" s="653"/>
      <c r="AW51" s="653"/>
      <c r="AX51" s="653"/>
      <c r="AY51" s="654"/>
      <c r="AZ51" s="654"/>
      <c r="BA51" s="1316"/>
      <c r="BB51" s="920"/>
      <c r="BC51" s="169"/>
      <c r="BD51" s="1330"/>
      <c r="BE51" s="1330"/>
      <c r="BF51" s="1330"/>
      <c r="BG51" s="1330"/>
    </row>
    <row r="52" spans="1:59" s="1436" customFormat="1" ht="15.75" customHeight="1">
      <c r="A52" s="1430"/>
      <c r="B52" s="1475" t="s">
        <v>3946</v>
      </c>
      <c r="C52" s="1427">
        <f>+$C$50+$G$51</f>
        <v>83676.909999999974</v>
      </c>
      <c r="D52" s="1504"/>
      <c r="E52" s="1505"/>
      <c r="F52" s="1428">
        <f>-(629^2)/(C52-83530.87)</f>
        <v>-2709.1276362644257</v>
      </c>
      <c r="G52" s="1506"/>
      <c r="H52" s="1426" t="s">
        <v>138</v>
      </c>
      <c r="I52" s="1504" t="s">
        <v>624</v>
      </c>
      <c r="J52" s="1427"/>
      <c r="K52" s="1508"/>
      <c r="L52" s="1431" t="s">
        <v>4488</v>
      </c>
      <c r="M52" s="1509" t="str">
        <f>IF(AX52="PT",VLOOKUP(L52,'Foundation Calculation'!$V$2:$X$40,VLOOKUP(AX52,'Foundation Calculation'!$I$10:$J$13,2,FALSE),0),IF(AX52="K",VLOOKUP(L52,'Foundation Calculation'!$V$42:$X$80,VLOOKUP(AX52,'Foundation Calculation'!$I$10:$J$13,2,FALSE),0),""))</f>
        <v>C11R</v>
      </c>
      <c r="N52" s="1426" t="s">
        <v>143</v>
      </c>
      <c r="O52" s="1426"/>
      <c r="P52" s="1426"/>
      <c r="Q52" s="1510">
        <v>90</v>
      </c>
      <c r="R52" s="1431">
        <v>2709</v>
      </c>
      <c r="S52" s="1429"/>
      <c r="T52" s="1431">
        <v>-20</v>
      </c>
      <c r="U52" s="1431"/>
      <c r="V52" s="1431"/>
      <c r="W52" s="1431">
        <v>1.4</v>
      </c>
      <c r="X52" s="1431"/>
      <c r="Y52" s="1431"/>
      <c r="Z52" s="1431"/>
      <c r="AA52" s="1431"/>
      <c r="AB52" s="1431"/>
      <c r="AC52" s="1431" t="str">
        <f>IF(OR(AT52&gt;8,AT52&lt;-8),"PH",IF(OR(AT52&gt;5,AT52&lt;-5),"PH-Q",IF(OR(AT52&gt;1,AT52&lt;-1),"PH-C")))</f>
        <v>PH</v>
      </c>
      <c r="AD52" s="1431"/>
      <c r="AE52" s="1431"/>
      <c r="AF52" s="1431"/>
      <c r="AG52" s="1427">
        <v>83676</v>
      </c>
      <c r="AH52" s="1431">
        <v>2243</v>
      </c>
      <c r="AI52" s="1511">
        <v>260</v>
      </c>
      <c r="AJ52" s="1426"/>
      <c r="AK52" s="1426"/>
      <c r="AL52" s="1426" t="s">
        <v>4490</v>
      </c>
      <c r="AM52" s="1504" t="s">
        <v>1043</v>
      </c>
      <c r="AN52" s="1432">
        <v>5.15</v>
      </c>
      <c r="AO52" s="1430"/>
      <c r="AP52" s="1430"/>
      <c r="AQ52" s="1429"/>
      <c r="AR52" s="1429"/>
      <c r="AS52" s="1429"/>
      <c r="AT52" s="1429">
        <f>+ab($T$52,$T$50,$T$54,$G$51,$G$53, 1*$F$52,1200)</f>
        <v>-9.3254013021369424</v>
      </c>
      <c r="AU52" s="1478"/>
      <c r="AV52" s="1478"/>
      <c r="AW52" s="1431" t="str">
        <f>VLOOKUP(C52,'Foundation Calculation'!$A$2:$C$33,3,1)</f>
        <v>Soil A</v>
      </c>
      <c r="AX52" s="1431" t="str">
        <f>VLOOKUP(C52,'Foundation Calculation'!$E$2:$G$33,3,1)</f>
        <v>PT</v>
      </c>
      <c r="AY52" s="1429">
        <f>IF(AX52="PT",VLOOKUP(L52,'Foundation Calculation'!$K$2:$R$40,VLOOKUP(AW52,'Foundation Calculation'!$I$2:$J$8,2,FALSE),0),IF(AX52="K",VLOOKUP(L52,'Foundation Calculation'!$K$42:$R$80,VLOOKUP(AW52,'Foundation Calculation'!$I$2:$J$8,2,FALSE),0),""))</f>
        <v>4.5999999999999996</v>
      </c>
      <c r="AZ52" s="1429"/>
      <c r="BA52" s="1527" t="s">
        <v>2809</v>
      </c>
      <c r="BB52" s="1430" t="str">
        <f>Pole_Calculations!A178</f>
        <v>App.8-V08F-P10.3</v>
      </c>
      <c r="BC52" s="1434"/>
      <c r="BD52" s="1435"/>
      <c r="BE52" s="1435"/>
      <c r="BF52" s="1435"/>
      <c r="BG52" s="1435"/>
    </row>
    <row r="53" spans="1:59" ht="15.75" customHeight="1">
      <c r="A53" s="909"/>
      <c r="B53" s="908"/>
      <c r="C53" s="907"/>
      <c r="D53" s="445"/>
      <c r="E53" s="445"/>
      <c r="F53" s="908"/>
      <c r="G53" s="484">
        <v>55</v>
      </c>
      <c r="H53" s="908"/>
      <c r="I53" s="455"/>
      <c r="J53" s="446">
        <f>C52+7.5</f>
        <v>83684.409999999974</v>
      </c>
      <c r="K53" s="445" t="s">
        <v>2787</v>
      </c>
      <c r="L53" s="908"/>
      <c r="M53" s="445"/>
      <c r="N53" s="908"/>
      <c r="O53" s="908"/>
      <c r="P53" s="908"/>
      <c r="Q53" s="638"/>
      <c r="R53" s="638"/>
      <c r="S53" s="484"/>
      <c r="T53" s="638"/>
      <c r="U53" s="638"/>
      <c r="V53" s="638"/>
      <c r="W53" s="638"/>
      <c r="X53" s="638"/>
      <c r="Y53" s="638"/>
      <c r="Z53" s="638"/>
      <c r="AA53" s="638"/>
      <c r="AB53" s="638"/>
      <c r="AC53" s="638"/>
      <c r="AD53" s="638"/>
      <c r="AE53" s="638"/>
      <c r="AF53" s="638"/>
      <c r="AG53" s="446"/>
      <c r="AH53" s="638"/>
      <c r="AI53" s="185"/>
      <c r="AJ53" s="908"/>
      <c r="AK53" s="908"/>
      <c r="AL53" s="908"/>
      <c r="AM53" s="445"/>
      <c r="AN53" s="455"/>
      <c r="AO53" s="445"/>
      <c r="AP53" s="445"/>
      <c r="AQ53" s="484">
        <f>+FL_2($T$54,$T$52,$G$53,1200,9.28, 1*$F$54)</f>
        <v>-0.32053495227473711</v>
      </c>
      <c r="AR53" s="484"/>
      <c r="AS53" s="484"/>
      <c r="AT53" s="484"/>
      <c r="AU53" s="638"/>
      <c r="AV53" s="638"/>
      <c r="AW53" s="638" t="str">
        <f>VLOOKUP(J53,'Foundation Calculation'!$A$2:$C$33,3,1)</f>
        <v>Soil A</v>
      </c>
      <c r="AX53" s="638" t="str">
        <f>VLOOKUP(J53,'Foundation Calculation'!$E$2:$G$33,3,1)</f>
        <v>PT</v>
      </c>
      <c r="AY53" s="484"/>
      <c r="AZ53" s="484">
        <f>IF(AX53="PT",VLOOKUP(K53,'Foundation Calculation'!$K$2:$R$40,VLOOKUP(AW53,'Foundation Calculation'!$I$2:$J$8,2,FALSE),0),IF(AX53="K",VLOOKUP(K53,'Foundation Calculation'!$K$42:$R$80,VLOOKUP(AW53,'Foundation Calculation'!$I$2:$J$8,2,FALSE),0),""))</f>
        <v>3.3</v>
      </c>
      <c r="BA53" s="671" t="s">
        <v>2809</v>
      </c>
      <c r="BB53" s="909"/>
      <c r="BC53" s="169"/>
      <c r="BD53" s="1329"/>
      <c r="BE53" s="1330"/>
      <c r="BF53" s="1330"/>
      <c r="BG53" s="1330"/>
    </row>
    <row r="54" spans="1:59" s="1436" customFormat="1" ht="15.75" customHeight="1">
      <c r="A54" s="1430"/>
      <c r="B54" s="1476" t="s">
        <v>3947</v>
      </c>
      <c r="C54" s="1427">
        <f>+$C$52+$G$53</f>
        <v>83731.909999999974</v>
      </c>
      <c r="D54" s="1512"/>
      <c r="E54" s="1513"/>
      <c r="F54" s="1430">
        <v>-2200</v>
      </c>
      <c r="G54" s="1506"/>
      <c r="H54" s="1430"/>
      <c r="I54" s="1514" t="s">
        <v>1471</v>
      </c>
      <c r="J54" s="1427">
        <f>C54-7.5</f>
        <v>83724.409999999974</v>
      </c>
      <c r="K54" s="1508" t="s">
        <v>2788</v>
      </c>
      <c r="L54" s="1431" t="s">
        <v>4488</v>
      </c>
      <c r="M54" s="1509" t="str">
        <f>IF(AX54="PT",VLOOKUP(L54,'Foundation Calculation'!$V$2:$X$40,VLOOKUP(AX54,'Foundation Calculation'!$I$10:$J$13,2,FALSE),0),IF(AX54="K",VLOOKUP(L54,'Foundation Calculation'!$V$42:$X$80,VLOOKUP(AX54,'Foundation Calculation'!$I$10:$J$13,2,FALSE),0),""))</f>
        <v>C11R</v>
      </c>
      <c r="N54" s="1426" t="s">
        <v>143</v>
      </c>
      <c r="O54" s="1426"/>
      <c r="P54" s="1426"/>
      <c r="Q54" s="1510">
        <v>120</v>
      </c>
      <c r="R54" s="1431">
        <v>-2200</v>
      </c>
      <c r="S54" s="1429"/>
      <c r="T54" s="1431">
        <v>-20</v>
      </c>
      <c r="U54" s="1431"/>
      <c r="V54" s="1431"/>
      <c r="W54" s="1431">
        <v>1.4</v>
      </c>
      <c r="X54" s="1431"/>
      <c r="Y54" s="1431"/>
      <c r="Z54" s="1431"/>
      <c r="AA54" s="1431"/>
      <c r="AB54" s="1431"/>
      <c r="AC54" s="1431" t="str">
        <f>IF(OR(AT54&gt;8,AT54&lt;-8),"PH",IF(OR(AT54&gt;5,AT54&lt;-5),"PH-Q",IF(OR(AT54&gt;1,AT54&lt;-1),"PH-C")))</f>
        <v>PH-Q</v>
      </c>
      <c r="AD54" s="1431"/>
      <c r="AE54" s="1431"/>
      <c r="AF54" s="1431"/>
      <c r="AG54" s="1427">
        <v>83731</v>
      </c>
      <c r="AH54" s="1431">
        <v>2163</v>
      </c>
      <c r="AI54" s="1511">
        <v>300</v>
      </c>
      <c r="AJ54" s="1426"/>
      <c r="AK54" s="1426"/>
      <c r="AL54" s="1426" t="s">
        <v>4490</v>
      </c>
      <c r="AM54" s="1504" t="s">
        <v>1043</v>
      </c>
      <c r="AN54" s="1432">
        <v>5.15</v>
      </c>
      <c r="AO54" s="1430"/>
      <c r="AP54" s="1430"/>
      <c r="AQ54" s="1429"/>
      <c r="AR54" s="1429"/>
      <c r="AS54" s="1429"/>
      <c r="AT54" s="1429">
        <f>+ab($T$54,$T$52,$T$56,$G$53,$G$55, 1*$F$54,1200)</f>
        <v>-6.0002768150207997</v>
      </c>
      <c r="AU54" s="1478"/>
      <c r="AV54" s="1478"/>
      <c r="AW54" s="1431" t="str">
        <f>VLOOKUP(C54,'Foundation Calculation'!$A$2:$C$33,3,1)</f>
        <v>Soil A</v>
      </c>
      <c r="AX54" s="1431" t="str">
        <f>VLOOKUP(C54,'Foundation Calculation'!$E$2:$G$33,3,1)</f>
        <v>PT</v>
      </c>
      <c r="AY54" s="1429">
        <f>IF(AX54="PT",VLOOKUP(L54,'Foundation Calculation'!$K$2:$R$40,VLOOKUP(AW54,'Foundation Calculation'!$I$2:$J$8,2,FALSE),0),IF(AX54="K",VLOOKUP(L54,'Foundation Calculation'!$K$42:$R$80,VLOOKUP(AW54,'Foundation Calculation'!$I$2:$J$8,2,FALSE),0),""))</f>
        <v>4.5999999999999996</v>
      </c>
      <c r="AZ54" s="1429">
        <f>IF(AX54="PT",VLOOKUP(K54,'Foundation Calculation'!$K$2:$R$40,VLOOKUP(AW54,'Foundation Calculation'!$I$2:$J$8,2,FALSE),0),IF(AX54="K",VLOOKUP(K54,'Foundation Calculation'!$K$42:$R$80,VLOOKUP(AW54,'Foundation Calculation'!$I$2:$J$8,2,FALSE),0),""))</f>
        <v>2.8</v>
      </c>
      <c r="BA54" s="1527" t="s">
        <v>2809</v>
      </c>
      <c r="BB54" s="1430" t="str">
        <f>Pole_Calculations!A178</f>
        <v>App.8-V08F-P10.3</v>
      </c>
      <c r="BC54" s="1434"/>
      <c r="BD54" s="1435"/>
      <c r="BE54" s="1435"/>
      <c r="BF54" s="1435"/>
      <c r="BG54" s="1435"/>
    </row>
    <row r="55" spans="1:59" ht="15.75" customHeight="1">
      <c r="A55" s="909"/>
      <c r="B55" s="910"/>
      <c r="C55" s="907"/>
      <c r="D55" s="447"/>
      <c r="E55" s="447"/>
      <c r="F55" s="909"/>
      <c r="G55" s="484">
        <v>50</v>
      </c>
      <c r="H55" s="909"/>
      <c r="I55" s="448" t="s">
        <v>1039</v>
      </c>
      <c r="J55" s="446">
        <f>C54+7.5</f>
        <v>83739.409999999974</v>
      </c>
      <c r="K55" s="638" t="s">
        <v>2788</v>
      </c>
      <c r="L55" s="911"/>
      <c r="M55" s="638"/>
      <c r="N55" s="909"/>
      <c r="O55" s="909"/>
      <c r="P55" s="911"/>
      <c r="Q55" s="638"/>
      <c r="R55" s="638"/>
      <c r="S55" s="484"/>
      <c r="T55" s="638"/>
      <c r="U55" s="638"/>
      <c r="V55" s="638"/>
      <c r="W55" s="638"/>
      <c r="X55" s="638"/>
      <c r="Y55" s="638"/>
      <c r="Z55" s="638"/>
      <c r="AA55" s="638"/>
      <c r="AB55" s="638"/>
      <c r="AC55" s="638"/>
      <c r="AD55" s="638"/>
      <c r="AE55" s="638"/>
      <c r="AF55" s="638"/>
      <c r="AG55" s="446"/>
      <c r="AH55" s="638"/>
      <c r="AI55" s="185"/>
      <c r="AJ55" s="911"/>
      <c r="AK55" s="909"/>
      <c r="AL55" s="911"/>
      <c r="AM55" s="638"/>
      <c r="AN55" s="455"/>
      <c r="AO55" s="1239"/>
      <c r="AP55" s="1239"/>
      <c r="AQ55" s="484">
        <f>+FL_2($T$56,$T$54,$G$55,1200,9.28,-1*$F$56)</f>
        <v>-0.40977729531304391</v>
      </c>
      <c r="AR55" s="484"/>
      <c r="AS55" s="484"/>
      <c r="AT55" s="484"/>
      <c r="AU55" s="638"/>
      <c r="AV55" s="638"/>
      <c r="AW55" s="638" t="str">
        <f>VLOOKUP(J55,'Foundation Calculation'!$A$2:$C$33,3,1)</f>
        <v>Soil A</v>
      </c>
      <c r="AX55" s="638" t="str">
        <f>VLOOKUP(J55,'Foundation Calculation'!$E$2:$G$33,3,1)</f>
        <v>PT</v>
      </c>
      <c r="AY55" s="484"/>
      <c r="AZ55" s="484">
        <f>IF(AX55="PT",VLOOKUP(K55,'Foundation Calculation'!$K$2:$R$40,VLOOKUP(AW55,'Foundation Calculation'!$I$2:$J$8,2,FALSE),0),IF(AX55="K",VLOOKUP(K55,'Foundation Calculation'!$K$42:$R$80,VLOOKUP(AW55,'Foundation Calculation'!$I$2:$J$8,2,FALSE),0),""))</f>
        <v>2.8</v>
      </c>
      <c r="BA55" s="671" t="s">
        <v>2809</v>
      </c>
      <c r="BB55" s="909"/>
      <c r="BC55" s="169"/>
      <c r="BD55" s="1329"/>
      <c r="BE55" s="1330"/>
      <c r="BF55" s="1330"/>
      <c r="BG55" s="1330"/>
    </row>
    <row r="56" spans="1:59" s="1436" customFormat="1" ht="15.75" customHeight="1">
      <c r="A56" s="1430"/>
      <c r="B56" s="1476" t="s">
        <v>3948</v>
      </c>
      <c r="C56" s="1427">
        <f>+$C$54+$G$55</f>
        <v>83781.909999999974</v>
      </c>
      <c r="D56" s="1499"/>
      <c r="E56" s="1449"/>
      <c r="F56" s="1449">
        <v>-2200</v>
      </c>
      <c r="G56" s="1429"/>
      <c r="H56" s="1430"/>
      <c r="I56" s="1430"/>
      <c r="J56" s="1433"/>
      <c r="K56" s="1431"/>
      <c r="L56" s="1431" t="s">
        <v>4666</v>
      </c>
      <c r="M56" s="1431" t="s">
        <v>4680</v>
      </c>
      <c r="N56" s="1430" t="s">
        <v>144</v>
      </c>
      <c r="O56" s="1430"/>
      <c r="P56" s="1430"/>
      <c r="Q56" s="1431">
        <v>110</v>
      </c>
      <c r="R56" s="1431">
        <v>-2200</v>
      </c>
      <c r="S56" s="1429"/>
      <c r="T56" s="1431">
        <v>20</v>
      </c>
      <c r="U56" s="1431"/>
      <c r="V56" s="1431"/>
      <c r="W56" s="1431">
        <v>1.2</v>
      </c>
      <c r="X56" s="1431"/>
      <c r="Y56" s="1431"/>
      <c r="Z56" s="1431"/>
      <c r="AA56" s="1431"/>
      <c r="AB56" s="1431"/>
      <c r="AC56" s="1431" t="str">
        <f>IF(OR(AT56&gt;8,AT56&lt;-8),"PH",IF(OR(AT56&gt;5,AT56&lt;-5),"PH-Q",IF(OR(AT56&gt;1,AT56&lt;-1),"PH-C")))</f>
        <v>PH-Q</v>
      </c>
      <c r="AD56" s="1431"/>
      <c r="AE56" s="1431"/>
      <c r="AF56" s="1431"/>
      <c r="AG56" s="1427">
        <v>83781</v>
      </c>
      <c r="AH56" s="1431">
        <v>4103</v>
      </c>
      <c r="AI56" s="1431">
        <v>360</v>
      </c>
      <c r="AJ56" s="1431"/>
      <c r="AK56" s="1431"/>
      <c r="AL56" s="1431" t="s">
        <v>4098</v>
      </c>
      <c r="AM56" s="1431" t="s">
        <v>1042</v>
      </c>
      <c r="AN56" s="1432">
        <v>5.15</v>
      </c>
      <c r="AO56" s="1430"/>
      <c r="AP56" s="1430"/>
      <c r="AQ56" s="1429"/>
      <c r="AR56" s="1429"/>
      <c r="AS56" s="1429"/>
      <c r="AT56" s="1429">
        <f>+ab($T$56,$T$54,$T$58,$G$55,$G$57,-1*$F$56,1200)</f>
        <v>6.1751541229032325</v>
      </c>
      <c r="AU56" s="1431"/>
      <c r="AV56" s="1431"/>
      <c r="AW56" s="1431" t="str">
        <f>VLOOKUP(C56,'Foundation Calculation'!$A$2:$C$33,3,1)</f>
        <v>Soil A</v>
      </c>
      <c r="AX56" s="1431" t="str">
        <f>VLOOKUP(C56,'Foundation Calculation'!$E$2:$G$33,3,1)</f>
        <v>PT</v>
      </c>
      <c r="AY56" s="1429">
        <f>IF(AX56="PT",VLOOKUP(L56,'Foundation Calculation'!$K$2:$R$40,VLOOKUP(AW56,'Foundation Calculation'!$I$2:$J$8,2,FALSE),0),IF(AX56="K",VLOOKUP(L56,'Foundation Calculation'!$K$42:$R$80,VLOOKUP(AW56,'Foundation Calculation'!$I$2:$J$8,2,FALSE),0),""))</f>
        <v>6</v>
      </c>
      <c r="AZ56" s="1429"/>
      <c r="BA56" s="1526" t="s">
        <v>2809</v>
      </c>
      <c r="BB56" s="1430" t="str">
        <f>Pole_Calculations!A178</f>
        <v>App.8-V08F-P10.3</v>
      </c>
      <c r="BC56" s="1434"/>
      <c r="BD56" s="1435"/>
      <c r="BE56" s="1435"/>
      <c r="BF56" s="1435"/>
      <c r="BG56" s="1435"/>
    </row>
    <row r="57" spans="1:59" ht="15.75" customHeight="1">
      <c r="A57" s="923" t="s">
        <v>3717</v>
      </c>
      <c r="B57" s="924"/>
      <c r="C57" s="925"/>
      <c r="D57" s="719"/>
      <c r="E57" s="719"/>
      <c r="F57" s="923"/>
      <c r="G57" s="720">
        <v>51</v>
      </c>
      <c r="H57" s="923"/>
      <c r="I57" s="731"/>
      <c r="J57" s="718"/>
      <c r="K57" s="721"/>
      <c r="L57" s="926"/>
      <c r="M57" s="731"/>
      <c r="N57" s="923"/>
      <c r="O57" s="923"/>
      <c r="P57" s="927"/>
      <c r="Q57" s="721"/>
      <c r="R57" s="721"/>
      <c r="S57" s="720"/>
      <c r="T57" s="721"/>
      <c r="U57" s="721"/>
      <c r="V57" s="721"/>
      <c r="W57" s="721"/>
      <c r="X57" s="721"/>
      <c r="Y57" s="721"/>
      <c r="Z57" s="721"/>
      <c r="AA57" s="721"/>
      <c r="AB57" s="721"/>
      <c r="AC57" s="721"/>
      <c r="AD57" s="721"/>
      <c r="AE57" s="721"/>
      <c r="AF57" s="721"/>
      <c r="AG57" s="718"/>
      <c r="AH57" s="721"/>
      <c r="AI57" s="723"/>
      <c r="AJ57" s="927"/>
      <c r="AK57" s="923"/>
      <c r="AL57" s="926"/>
      <c r="AM57" s="731"/>
      <c r="AN57" s="724"/>
      <c r="AO57" s="694"/>
      <c r="AP57" s="694"/>
      <c r="AQ57" s="720">
        <f>+FL_1($T$58,$T$56,$G$57,1200,9.28,-1*$F$58)</f>
        <v>0.34191099666706548</v>
      </c>
      <c r="AR57" s="720"/>
      <c r="AS57" s="720"/>
      <c r="AT57" s="720"/>
      <c r="AU57" s="721"/>
      <c r="AV57" s="721"/>
      <c r="AW57" s="721"/>
      <c r="AX57" s="721"/>
      <c r="AY57" s="720"/>
      <c r="AZ57" s="720"/>
      <c r="BA57" s="726"/>
      <c r="BB57" s="923"/>
      <c r="BC57" s="169"/>
      <c r="BD57" s="1330"/>
      <c r="BE57" s="1330"/>
      <c r="BF57" s="1330"/>
      <c r="BG57" s="1330"/>
    </row>
    <row r="58" spans="1:59" s="1436" customFormat="1" ht="15.75" customHeight="1">
      <c r="A58" s="1430"/>
      <c r="B58" s="1476" t="s">
        <v>3949</v>
      </c>
      <c r="C58" s="1427">
        <f>+$C$56+$G$57</f>
        <v>83832.909999999974</v>
      </c>
      <c r="D58" s="1430"/>
      <c r="E58" s="1430"/>
      <c r="F58" s="1428">
        <f>(629^2)/(C58-83966.18)</f>
        <v>-2968.7176408790028</v>
      </c>
      <c r="G58" s="1432"/>
      <c r="H58" s="1430"/>
      <c r="I58" s="1428"/>
      <c r="J58" s="1427"/>
      <c r="K58" s="1431"/>
      <c r="L58" s="1431" t="s">
        <v>4488</v>
      </c>
      <c r="M58" s="1431" t="str">
        <f>IF(AX58="PT",VLOOKUP(L58,'Foundation Calculation'!$V$2:$X$40,VLOOKUP(AX58,'Foundation Calculation'!$I$10:$J$13,2,FALSE),0),IF(AX58="K",VLOOKUP(L58,'Foundation Calculation'!$V$42:$X$80,VLOOKUP(AX58,'Foundation Calculation'!$I$10:$J$13,2,FALSE),0),""))</f>
        <v>C11R</v>
      </c>
      <c r="N58" s="1430" t="s">
        <v>144</v>
      </c>
      <c r="O58" s="1430"/>
      <c r="P58" s="1431"/>
      <c r="Q58" s="1431">
        <v>80</v>
      </c>
      <c r="R58" s="1431">
        <v>-2999</v>
      </c>
      <c r="S58" s="1429"/>
      <c r="T58" s="1431">
        <v>20</v>
      </c>
      <c r="U58" s="1431"/>
      <c r="V58" s="1431"/>
      <c r="W58" s="1431">
        <v>0.9</v>
      </c>
      <c r="X58" s="1431"/>
      <c r="Y58" s="1431"/>
      <c r="Z58" s="1431"/>
      <c r="AA58" s="1431"/>
      <c r="AB58" s="1431"/>
      <c r="AC58" s="1431" t="str">
        <f>IF(OR(AT58&gt;8,AT58&lt;-8),"PH",IF(OR(AT58&gt;5,AT58&lt;-5),"PH-Q",IF(OR(AT58&gt;1,AT58&lt;-1),"PH-C")))</f>
        <v>PH-Q</v>
      </c>
      <c r="AD58" s="1431"/>
      <c r="AE58" s="1431"/>
      <c r="AF58" s="1431"/>
      <c r="AG58" s="1427">
        <v>83832</v>
      </c>
      <c r="AH58" s="1431">
        <v>2583</v>
      </c>
      <c r="AI58" s="1477">
        <v>410</v>
      </c>
      <c r="AJ58" s="1431"/>
      <c r="AK58" s="1430"/>
      <c r="AL58" s="1431" t="s">
        <v>4490</v>
      </c>
      <c r="AM58" s="1431" t="s">
        <v>1042</v>
      </c>
      <c r="AN58" s="1432">
        <v>5.15</v>
      </c>
      <c r="AO58" s="1430"/>
      <c r="AP58" s="1430"/>
      <c r="AQ58" s="1429"/>
      <c r="AR58" s="1429"/>
      <c r="AS58" s="1429"/>
      <c r="AT58" s="1429">
        <f>+ab($T$58,$T$56,$T$60,$G$57,$G$59,-1*$F$58,1200)</f>
        <v>7.568281436643308</v>
      </c>
      <c r="AU58" s="1431"/>
      <c r="AV58" s="1431"/>
      <c r="AW58" s="1431" t="str">
        <f>VLOOKUP(C58,'Foundation Calculation'!$A$2:$C$33,3,1)</f>
        <v>Soil B</v>
      </c>
      <c r="AX58" s="1431" t="str">
        <f>VLOOKUP(C58,'Foundation Calculation'!$E$2:$G$33,3,1)</f>
        <v>PT</v>
      </c>
      <c r="AY58" s="1429">
        <f>IF(AX58="PT",VLOOKUP(L58,'Foundation Calculation'!$K$2:$R$40,VLOOKUP(AW58,'Foundation Calculation'!$I$2:$J$8,2,FALSE),0),IF(AX58="K",VLOOKUP(L58,'Foundation Calculation'!$K$42:$R$80,VLOOKUP(AW58,'Foundation Calculation'!$I$2:$J$8,2,FALSE),0),""))</f>
        <v>4.5999999999999996</v>
      </c>
      <c r="AZ58" s="1429"/>
      <c r="BA58" s="1526" t="s">
        <v>2809</v>
      </c>
      <c r="BB58" s="1430" t="str">
        <f>Pole_Calculations!A178</f>
        <v>App.8-V08F-P10.3</v>
      </c>
      <c r="BC58" s="1434"/>
      <c r="BD58" s="1435"/>
      <c r="BE58" s="1435"/>
      <c r="BF58" s="1435"/>
      <c r="BG58" s="1435"/>
    </row>
    <row r="59" spans="1:59" ht="15.75" customHeight="1">
      <c r="A59" s="913" t="s">
        <v>3718</v>
      </c>
      <c r="B59" s="928"/>
      <c r="C59" s="915"/>
      <c r="D59" s="494"/>
      <c r="E59" s="494"/>
      <c r="F59" s="929"/>
      <c r="G59" s="493">
        <v>57</v>
      </c>
      <c r="H59" s="914"/>
      <c r="I59" s="495"/>
      <c r="J59" s="489"/>
      <c r="K59" s="490"/>
      <c r="L59" s="914"/>
      <c r="M59" s="494"/>
      <c r="N59" s="913"/>
      <c r="O59" s="913"/>
      <c r="P59" s="914"/>
      <c r="Q59" s="490"/>
      <c r="R59" s="490"/>
      <c r="S59" s="493"/>
      <c r="T59" s="490"/>
      <c r="U59" s="490"/>
      <c r="V59" s="490"/>
      <c r="W59" s="490"/>
      <c r="X59" s="490"/>
      <c r="Y59" s="490"/>
      <c r="Z59" s="490"/>
      <c r="AA59" s="490"/>
      <c r="AB59" s="490"/>
      <c r="AC59" s="490"/>
      <c r="AD59" s="490"/>
      <c r="AE59" s="490"/>
      <c r="AF59" s="490"/>
      <c r="AG59" s="489"/>
      <c r="AH59" s="490"/>
      <c r="AI59" s="640"/>
      <c r="AJ59" s="914"/>
      <c r="AK59" s="914"/>
      <c r="AL59" s="914"/>
      <c r="AM59" s="494"/>
      <c r="AN59" s="457"/>
      <c r="AO59" s="495"/>
      <c r="AP59" s="495"/>
      <c r="AQ59" s="493">
        <f>+FL_1($T$60,$T$58,$G$59,1200,9.28,-1*$F$60)</f>
        <v>0.27819114904554243</v>
      </c>
      <c r="AR59" s="493"/>
      <c r="AS59" s="493"/>
      <c r="AT59" s="493"/>
      <c r="AU59" s="490"/>
      <c r="AV59" s="490"/>
      <c r="AW59" s="490"/>
      <c r="AX59" s="490"/>
      <c r="AY59" s="493"/>
      <c r="AZ59" s="493"/>
      <c r="BA59" s="602"/>
      <c r="BB59" s="913"/>
      <c r="BC59" s="169"/>
      <c r="BD59" s="1330"/>
      <c r="BE59" s="1330"/>
      <c r="BF59" s="1330"/>
      <c r="BG59" s="1330"/>
    </row>
    <row r="60" spans="1:59" s="1436" customFormat="1" ht="15.75" customHeight="1">
      <c r="A60" s="1430"/>
      <c r="B60" s="1475" t="s">
        <v>3950</v>
      </c>
      <c r="C60" s="1427">
        <f>+$C$58+$G$59</f>
        <v>83889.909999999974</v>
      </c>
      <c r="D60" s="1430"/>
      <c r="E60" s="1430"/>
      <c r="F60" s="1428">
        <f>(629^2)/(C60-83966.18)</f>
        <v>-5187.3738035912338</v>
      </c>
      <c r="G60" s="1432"/>
      <c r="H60" s="1430"/>
      <c r="I60" s="1428" t="s">
        <v>1039</v>
      </c>
      <c r="J60" s="1427"/>
      <c r="K60" s="1431"/>
      <c r="L60" s="1431" t="s">
        <v>896</v>
      </c>
      <c r="M60" s="1431" t="str">
        <f>IF(AX60="PT",VLOOKUP(L60,'Foundation Calculation'!$V$2:$X$40,VLOOKUP(AX60,'Foundation Calculation'!$I$10:$J$13,2,FALSE),0),IF(AX60="K",VLOOKUP(L60,'Foundation Calculation'!$V$42:$X$80,VLOOKUP(AX60,'Foundation Calculation'!$I$10:$J$13,2,FALSE),0),""))</f>
        <v>2C4R</v>
      </c>
      <c r="N60" s="1430" t="s">
        <v>143</v>
      </c>
      <c r="O60" s="1430"/>
      <c r="P60" s="1431"/>
      <c r="Q60" s="1431">
        <v>40</v>
      </c>
      <c r="R60" s="1431">
        <v>-5187</v>
      </c>
      <c r="S60" s="1429"/>
      <c r="T60" s="1431">
        <v>-20</v>
      </c>
      <c r="U60" s="1431"/>
      <c r="V60" s="1431"/>
      <c r="W60" s="1431">
        <v>0.9</v>
      </c>
      <c r="X60" s="1431"/>
      <c r="Y60" s="1431"/>
      <c r="Z60" s="1431"/>
      <c r="AA60" s="1431"/>
      <c r="AB60" s="1431"/>
      <c r="AC60" s="1431" t="str">
        <f>IF(OR(AT60&gt;8,AT60&lt;-8),"PH",IF(OR(AT60&gt;5,AT60&lt;-5),"PH-Q",IF(OR(AT60&gt;1,AT60&lt;-1),"PH-C")))</f>
        <v>PH</v>
      </c>
      <c r="AD60" s="1431"/>
      <c r="AE60" s="1431"/>
      <c r="AF60" s="1431"/>
      <c r="AG60" s="1427">
        <v>83889</v>
      </c>
      <c r="AH60" s="1431">
        <v>2263</v>
      </c>
      <c r="AI60" s="1477">
        <v>416</v>
      </c>
      <c r="AJ60" s="1431"/>
      <c r="AK60" s="1430"/>
      <c r="AL60" s="1431"/>
      <c r="AM60" s="1431" t="s">
        <v>1042</v>
      </c>
      <c r="AN60" s="1432">
        <v>5.15</v>
      </c>
      <c r="AO60" s="1430"/>
      <c r="AP60" s="1430"/>
      <c r="AQ60" s="1429"/>
      <c r="AR60" s="1429"/>
      <c r="AS60" s="1429"/>
      <c r="AT60" s="1429">
        <f>+ab($T$60,$T$58,$T$62,$G$59,$G$61,-1*$F$60,1200)</f>
        <v>-67.138695934598942</v>
      </c>
      <c r="AU60" s="1431"/>
      <c r="AV60" s="1431"/>
      <c r="AW60" s="1431" t="str">
        <f>VLOOKUP(C60,'Foundation Calculation'!$A$2:$C$33,3,1)</f>
        <v>Soil B</v>
      </c>
      <c r="AX60" s="1431" t="str">
        <f>VLOOKUP(C60,'Foundation Calculation'!$E$2:$G$33,3,1)</f>
        <v>PT</v>
      </c>
      <c r="AY60" s="1429">
        <f>IF(AX60="PT",VLOOKUP(L60,'Foundation Calculation'!$K$2:$R$40,VLOOKUP(AW60,'Foundation Calculation'!$I$2:$J$8,2,FALSE),0),IF(AX60="K",VLOOKUP(L60,'Foundation Calculation'!$K$42:$R$80,VLOOKUP(AW60,'Foundation Calculation'!$I$2:$J$8,2,FALSE),0),""))</f>
        <v>4</v>
      </c>
      <c r="AZ60" s="1429"/>
      <c r="BA60" s="1526" t="s">
        <v>2809</v>
      </c>
      <c r="BB60" s="1430" t="str">
        <f>Pole_Calculations!A120</f>
        <v>App.7-V11A-P9.5.11.1</v>
      </c>
      <c r="BC60" s="1434"/>
      <c r="BD60" s="1435"/>
      <c r="BE60" s="1435"/>
      <c r="BF60" s="1435"/>
      <c r="BG60" s="1435"/>
    </row>
    <row r="61" spans="1:59" ht="15.75" customHeight="1">
      <c r="A61" s="930"/>
      <c r="B61" s="931"/>
      <c r="C61" s="932"/>
      <c r="D61" s="418"/>
      <c r="E61" s="418"/>
      <c r="F61" s="940"/>
      <c r="G61" s="444">
        <v>65</v>
      </c>
      <c r="H61" s="930"/>
      <c r="I61" s="415"/>
      <c r="J61" s="416"/>
      <c r="K61" s="417"/>
      <c r="L61" s="933"/>
      <c r="M61" s="417"/>
      <c r="N61" s="930"/>
      <c r="O61" s="930"/>
      <c r="P61" s="933"/>
      <c r="Q61" s="417"/>
      <c r="R61" s="417"/>
      <c r="S61" s="422"/>
      <c r="T61" s="417"/>
      <c r="U61" s="417"/>
      <c r="V61" s="417"/>
      <c r="W61" s="417"/>
      <c r="X61" s="417"/>
      <c r="Y61" s="417"/>
      <c r="Z61" s="417"/>
      <c r="AA61" s="417"/>
      <c r="AB61" s="417"/>
      <c r="AC61" s="417"/>
      <c r="AD61" s="417"/>
      <c r="AE61" s="417"/>
      <c r="AF61" s="417"/>
      <c r="AG61" s="416"/>
      <c r="AH61" s="417"/>
      <c r="AI61" s="607"/>
      <c r="AJ61" s="933"/>
      <c r="AK61" s="930"/>
      <c r="AL61" s="933"/>
      <c r="AM61" s="415"/>
      <c r="AN61" s="444"/>
      <c r="AO61" s="420"/>
      <c r="AP61" s="420"/>
      <c r="AQ61" s="422">
        <f>+FL_2($T$62,$T$60,$G$61,1200,9.28,-1*$F$62)</f>
        <v>-0.44707547428287414</v>
      </c>
      <c r="AR61" s="422"/>
      <c r="AS61" s="422"/>
      <c r="AT61" s="422"/>
      <c r="AU61" s="417"/>
      <c r="AV61" s="417"/>
      <c r="AW61" s="417"/>
      <c r="AX61" s="417"/>
      <c r="AY61" s="422"/>
      <c r="AZ61" s="422"/>
      <c r="BA61" s="604"/>
      <c r="BB61" s="930"/>
      <c r="BC61" s="169"/>
      <c r="BD61" s="1330"/>
      <c r="BE61" s="1330"/>
      <c r="BF61" s="1330"/>
      <c r="BG61" s="1330"/>
    </row>
    <row r="62" spans="1:59" s="1436" customFormat="1" ht="15.75" customHeight="1">
      <c r="A62" s="1431"/>
      <c r="B62" s="1476" t="s">
        <v>3951</v>
      </c>
      <c r="C62" s="1427">
        <f>+$C$60+$G$61</f>
        <v>83954.909999999974</v>
      </c>
      <c r="D62" s="1430"/>
      <c r="E62" s="1430"/>
      <c r="F62" s="1428">
        <f>(629^2)/(C62-83966.18)</f>
        <v>-35105.678793198414</v>
      </c>
      <c r="G62" s="1432"/>
      <c r="H62" s="1430"/>
      <c r="I62" s="1428"/>
      <c r="J62" s="1427"/>
      <c r="K62" s="1431"/>
      <c r="L62" s="1431" t="s">
        <v>4488</v>
      </c>
      <c r="M62" s="1431" t="str">
        <f>IF(AX62="PT",VLOOKUP(L62,'Foundation Calculation'!$V$2:$X$40,VLOOKUP(AX62,'Foundation Calculation'!$I$10:$J$13,2,FALSE),0),IF(AX62="K",VLOOKUP(L62,'Foundation Calculation'!$V$42:$X$80,VLOOKUP(AX62,'Foundation Calculation'!$I$10:$J$13,2,FALSE),0),""))</f>
        <v>C11R</v>
      </c>
      <c r="N62" s="1430" t="s">
        <v>144</v>
      </c>
      <c r="O62" s="1430"/>
      <c r="P62" s="1431"/>
      <c r="Q62" s="1431">
        <v>10</v>
      </c>
      <c r="R62" s="1431">
        <v>0</v>
      </c>
      <c r="S62" s="1429"/>
      <c r="T62" s="1431">
        <v>20</v>
      </c>
      <c r="U62" s="1431"/>
      <c r="V62" s="1431"/>
      <c r="W62" s="1431">
        <v>1.2</v>
      </c>
      <c r="X62" s="1431"/>
      <c r="Y62" s="1431"/>
      <c r="Z62" s="1431"/>
      <c r="AA62" s="1431"/>
      <c r="AB62" s="1431"/>
      <c r="AC62" s="1431" t="str">
        <f>IF(OR(AT62&gt;8,AT62&lt;-8),"PH",IF(OR(AT62&gt;5,AT62&lt;-5),"PH-Q",IF(OR(AT62&gt;1,AT62&lt;-1),"PH-C")))</f>
        <v>PH</v>
      </c>
      <c r="AD62" s="1431"/>
      <c r="AE62" s="1431"/>
      <c r="AF62" s="1431"/>
      <c r="AG62" s="1427">
        <v>83954</v>
      </c>
      <c r="AH62" s="1431">
        <v>2193</v>
      </c>
      <c r="AI62" s="1477">
        <v>426</v>
      </c>
      <c r="AJ62" s="1431"/>
      <c r="AK62" s="1430"/>
      <c r="AL62" s="1431" t="s">
        <v>4490</v>
      </c>
      <c r="AM62" s="1431" t="s">
        <v>1042</v>
      </c>
      <c r="AN62" s="1432">
        <v>5.15</v>
      </c>
      <c r="AO62" s="1430"/>
      <c r="AP62" s="1430"/>
      <c r="AQ62" s="1429"/>
      <c r="AR62" s="1429"/>
      <c r="AS62" s="1429"/>
      <c r="AT62" s="1429">
        <f>+ab($T$62,$T$60,$T$64,$G$61,$G$63,-1*$F$62,1200)</f>
        <v>13.30787510415437</v>
      </c>
      <c r="AU62" s="1431"/>
      <c r="AV62" s="1431"/>
      <c r="AW62" s="1431" t="str">
        <f>VLOOKUP(C62,'Foundation Calculation'!$A$2:$C$33,3,1)</f>
        <v>Soil B</v>
      </c>
      <c r="AX62" s="1431" t="str">
        <f>VLOOKUP(C62,'Foundation Calculation'!$E$2:$G$33,3,1)</f>
        <v>PT</v>
      </c>
      <c r="AY62" s="1429">
        <f>IF(AX62="PT",VLOOKUP(L62,'Foundation Calculation'!$K$2:$R$40,VLOOKUP(AW62,'Foundation Calculation'!$I$2:$J$8,2,FALSE),0),IF(AX62="K",VLOOKUP(L62,'Foundation Calculation'!$K$42:$R$80,VLOOKUP(AW62,'Foundation Calculation'!$I$2:$J$8,2,FALSE),0),""))</f>
        <v>4.5999999999999996</v>
      </c>
      <c r="AZ62" s="1429"/>
      <c r="BA62" s="1526" t="s">
        <v>2809</v>
      </c>
      <c r="BB62" s="1431" t="str">
        <f>Pole_Calculations!A178</f>
        <v>App.8-V08F-P10.3</v>
      </c>
      <c r="BC62" s="1434"/>
      <c r="BD62" s="1435"/>
      <c r="BE62" s="1435"/>
      <c r="BF62" s="1435"/>
      <c r="BG62" s="1435"/>
    </row>
    <row r="63" spans="1:59" ht="15.75" customHeight="1">
      <c r="A63" s="920" t="s">
        <v>3720</v>
      </c>
      <c r="B63" s="934"/>
      <c r="C63" s="922"/>
      <c r="D63" s="657"/>
      <c r="E63" s="657"/>
      <c r="F63" s="935"/>
      <c r="G63" s="654">
        <v>65</v>
      </c>
      <c r="H63" s="921"/>
      <c r="I63" s="647"/>
      <c r="J63" s="649"/>
      <c r="K63" s="653"/>
      <c r="L63" s="936"/>
      <c r="M63" s="653"/>
      <c r="N63" s="920"/>
      <c r="O63" s="920"/>
      <c r="P63" s="921"/>
      <c r="Q63" s="653"/>
      <c r="R63" s="653"/>
      <c r="S63" s="654"/>
      <c r="T63" s="653"/>
      <c r="U63" s="653"/>
      <c r="V63" s="653"/>
      <c r="W63" s="653"/>
      <c r="X63" s="653"/>
      <c r="Y63" s="653"/>
      <c r="Z63" s="653"/>
      <c r="AA63" s="653"/>
      <c r="AB63" s="653"/>
      <c r="AC63" s="653"/>
      <c r="AD63" s="653"/>
      <c r="AE63" s="653"/>
      <c r="AF63" s="653"/>
      <c r="AG63" s="649"/>
      <c r="AH63" s="653"/>
      <c r="AI63" s="704"/>
      <c r="AJ63" s="921"/>
      <c r="AK63" s="921"/>
      <c r="AL63" s="921"/>
      <c r="AM63" s="657"/>
      <c r="AN63" s="651"/>
      <c r="AO63" s="647"/>
      <c r="AP63" s="647"/>
      <c r="AQ63" s="654">
        <f>+FL_1($T$64,$T$62,$G$63,1200,9.28,-1*$F$64)</f>
        <v>0.43290146338461521</v>
      </c>
      <c r="AR63" s="654"/>
      <c r="AS63" s="654"/>
      <c r="AT63" s="654"/>
      <c r="AU63" s="653"/>
      <c r="AV63" s="653"/>
      <c r="AW63" s="653"/>
      <c r="AX63" s="653"/>
      <c r="AY63" s="654"/>
      <c r="AZ63" s="654"/>
      <c r="BA63" s="701"/>
      <c r="BB63" s="920"/>
      <c r="BC63" s="169"/>
      <c r="BD63" s="1330"/>
      <c r="BE63" s="1330"/>
      <c r="BF63" s="1330"/>
      <c r="BG63" s="1330"/>
    </row>
    <row r="64" spans="1:59" s="1436" customFormat="1" ht="15.75" customHeight="1">
      <c r="A64" s="1425"/>
      <c r="B64" s="1475" t="s">
        <v>3952</v>
      </c>
      <c r="C64" s="1427">
        <f>+$C$62+$G$63</f>
        <v>84019.909999999974</v>
      </c>
      <c r="D64" s="1430"/>
      <c r="E64" s="1430"/>
      <c r="F64" s="1430" t="s">
        <v>2312</v>
      </c>
      <c r="G64" s="1432"/>
      <c r="H64" s="1430"/>
      <c r="I64" s="1428"/>
      <c r="J64" s="1427"/>
      <c r="K64" s="1431"/>
      <c r="L64" s="1431" t="s">
        <v>4488</v>
      </c>
      <c r="M64" s="1431" t="str">
        <f>IF(AX64="PT",VLOOKUP(L64,'Foundation Calculation'!$V$2:$X$40,VLOOKUP(AX64,'Foundation Calculation'!$I$10:$J$13,2,FALSE),0),IF(AX64="K",VLOOKUP(L64,'Foundation Calculation'!$V$42:$X$80,VLOOKUP(AX64,'Foundation Calculation'!$I$10:$J$13,2,FALSE),0),""))</f>
        <v>C11R</v>
      </c>
      <c r="N64" s="1430" t="s">
        <v>143</v>
      </c>
      <c r="O64" s="1430"/>
      <c r="P64" s="1431"/>
      <c r="Q64" s="1431">
        <v>10</v>
      </c>
      <c r="R64" s="1431">
        <v>0</v>
      </c>
      <c r="S64" s="1429"/>
      <c r="T64" s="1431">
        <v>-20</v>
      </c>
      <c r="U64" s="1431"/>
      <c r="V64" s="1431"/>
      <c r="W64" s="1431">
        <v>1.4</v>
      </c>
      <c r="X64" s="1431"/>
      <c r="Y64" s="1431"/>
      <c r="Z64" s="1431"/>
      <c r="AA64" s="1431"/>
      <c r="AB64" s="1431"/>
      <c r="AC64" s="1431" t="str">
        <f>IF(OR(AT64&gt;8,AT64&lt;-8),"PH",IF(OR(AT64&gt;5,AT64&lt;-5),"PH-Q",IF(OR(AT64&gt;1,AT64&lt;-1),"PH-C")))</f>
        <v>PH</v>
      </c>
      <c r="AD64" s="1431"/>
      <c r="AE64" s="1431"/>
      <c r="AF64" s="1431"/>
      <c r="AG64" s="1427">
        <v>84022</v>
      </c>
      <c r="AH64" s="1431">
        <v>2243</v>
      </c>
      <c r="AI64" s="1477">
        <v>347</v>
      </c>
      <c r="AJ64" s="1431"/>
      <c r="AK64" s="1430"/>
      <c r="AL64" s="1431" t="s">
        <v>4490</v>
      </c>
      <c r="AM64" s="1431" t="s">
        <v>1042</v>
      </c>
      <c r="AN64" s="1432">
        <v>5.15</v>
      </c>
      <c r="AO64" s="1430"/>
      <c r="AP64" s="1430"/>
      <c r="AQ64" s="1429"/>
      <c r="AR64" s="1429"/>
      <c r="AS64" s="1429"/>
      <c r="AT64" s="1429">
        <f>+ab($T$64,$T$62,$T$66,$G$63,$G$65,-1*$F$64,1200)</f>
        <v>-14.393416359177577</v>
      </c>
      <c r="AU64" s="1431"/>
      <c r="AV64" s="1431"/>
      <c r="AW64" s="1431" t="str">
        <f>VLOOKUP(C64,'Foundation Calculation'!$A$2:$C$33,3,1)</f>
        <v>Soil B</v>
      </c>
      <c r="AX64" s="1431" t="str">
        <f>VLOOKUP(C64,'Foundation Calculation'!$E$2:$G$33,3,1)</f>
        <v>PT</v>
      </c>
      <c r="AY64" s="1429">
        <f>IF(AX64="PT",VLOOKUP(L64,'Foundation Calculation'!$K$2:$R$40,VLOOKUP(AW64,'Foundation Calculation'!$I$2:$J$8,2,FALSE),0),IF(AX64="K",VLOOKUP(L64,'Foundation Calculation'!$K$42:$R$80,VLOOKUP(AW64,'Foundation Calculation'!$I$2:$J$8,2,FALSE),0),""))</f>
        <v>4.5999999999999996</v>
      </c>
      <c r="AZ64" s="1429"/>
      <c r="BA64" s="1526" t="s">
        <v>2809</v>
      </c>
      <c r="BB64" s="1425" t="str">
        <f>Pole_Calculations!A178</f>
        <v>App.8-V08F-P10.3</v>
      </c>
      <c r="BC64" s="1434"/>
      <c r="BD64" s="1435"/>
      <c r="BE64" s="1435"/>
      <c r="BF64" s="1435"/>
      <c r="BG64" s="1435"/>
    </row>
    <row r="65" spans="1:59" ht="15.75" customHeight="1">
      <c r="A65" s="930"/>
      <c r="B65" s="937"/>
      <c r="C65" s="416"/>
      <c r="D65" s="415"/>
      <c r="E65" s="415"/>
      <c r="F65" s="938"/>
      <c r="G65" s="422">
        <v>58</v>
      </c>
      <c r="H65" s="938"/>
      <c r="I65" s="415"/>
      <c r="J65" s="416"/>
      <c r="K65" s="417"/>
      <c r="L65" s="938"/>
      <c r="M65" s="415"/>
      <c r="N65" s="938"/>
      <c r="O65" s="938"/>
      <c r="P65" s="938"/>
      <c r="Q65" s="417"/>
      <c r="R65" s="417"/>
      <c r="S65" s="422"/>
      <c r="T65" s="417"/>
      <c r="U65" s="417"/>
      <c r="V65" s="417"/>
      <c r="W65" s="417"/>
      <c r="X65" s="417"/>
      <c r="Y65" s="417"/>
      <c r="Z65" s="417"/>
      <c r="AA65" s="417"/>
      <c r="AB65" s="417"/>
      <c r="AC65" s="417"/>
      <c r="AD65" s="417"/>
      <c r="AE65" s="417"/>
      <c r="AF65" s="417"/>
      <c r="AG65" s="416"/>
      <c r="AH65" s="417"/>
      <c r="AI65" s="607"/>
      <c r="AJ65" s="938"/>
      <c r="AK65" s="938"/>
      <c r="AL65" s="938"/>
      <c r="AM65" s="415"/>
      <c r="AN65" s="444"/>
      <c r="AO65" s="420"/>
      <c r="AP65" s="420"/>
      <c r="AQ65" s="422">
        <f>+FL_1($T$66,$T$64,$G$65,1200,9.28,-1*$F$66)</f>
        <v>0.35593823337931035</v>
      </c>
      <c r="AR65" s="422"/>
      <c r="AS65" s="422"/>
      <c r="AT65" s="422"/>
      <c r="AU65" s="417"/>
      <c r="AV65" s="417"/>
      <c r="AW65" s="417"/>
      <c r="AX65" s="417"/>
      <c r="AY65" s="422"/>
      <c r="AZ65" s="422"/>
      <c r="BA65" s="604"/>
      <c r="BB65" s="930"/>
      <c r="BC65" s="169"/>
      <c r="BD65" s="1330"/>
      <c r="BE65" s="1330"/>
      <c r="BF65" s="1330"/>
      <c r="BG65" s="1330"/>
    </row>
    <row r="66" spans="1:59" s="1436" customFormat="1" ht="15.75" customHeight="1">
      <c r="A66" s="1430"/>
      <c r="B66" s="1475" t="s">
        <v>3953</v>
      </c>
      <c r="C66" s="1427">
        <f>+$C$64+$G$65</f>
        <v>84077.909999999974</v>
      </c>
      <c r="D66" s="1430"/>
      <c r="E66" s="1430"/>
      <c r="F66" s="1430" t="s">
        <v>2312</v>
      </c>
      <c r="G66" s="1432"/>
      <c r="H66" s="1430" t="s">
        <v>4879</v>
      </c>
      <c r="I66" s="1428"/>
      <c r="J66" s="1427"/>
      <c r="K66" s="1431"/>
      <c r="L66" s="1431" t="s">
        <v>4666</v>
      </c>
      <c r="M66" s="1431" t="str">
        <f>IF(AX66="PT",VLOOKUP(L66,'Foundation Calculation'!$V$2:$X$40,VLOOKUP(AX66,'Foundation Calculation'!$I$10:$J$13,2,FALSE),0),IF(AX66="K",VLOOKUP(L66,'Foundation Calculation'!$V$42:$X$80,VLOOKUP(AX66,'Foundation Calculation'!$I$10:$J$13,2,FALSE),0),""))</f>
        <v>C12R</v>
      </c>
      <c r="N66" s="1430" t="s">
        <v>144</v>
      </c>
      <c r="O66" s="1430"/>
      <c r="P66" s="1431"/>
      <c r="Q66" s="1431">
        <v>10</v>
      </c>
      <c r="R66" s="1431">
        <v>0</v>
      </c>
      <c r="S66" s="1429"/>
      <c r="T66" s="1431">
        <v>20</v>
      </c>
      <c r="U66" s="1431"/>
      <c r="V66" s="1431"/>
      <c r="W66" s="1431">
        <v>1.4</v>
      </c>
      <c r="X66" s="1431"/>
      <c r="Y66" s="1431"/>
      <c r="Z66" s="1431"/>
      <c r="AA66" s="1431"/>
      <c r="AB66" s="1431"/>
      <c r="AC66" s="1431" t="str">
        <f>IF(OR(AT66&gt;8,AT66&lt;-8),"PH",IF(OR(AT66&gt;5,AT66&lt;-5),"PH-Q",IF(OR(AT66&gt;1,AT66&lt;-1),"PH-C")))</f>
        <v>PH</v>
      </c>
      <c r="AD66" s="1431"/>
      <c r="AE66" s="1431"/>
      <c r="AF66" s="1431"/>
      <c r="AG66" s="1427">
        <v>84077</v>
      </c>
      <c r="AH66" s="1431">
        <v>2493</v>
      </c>
      <c r="AI66" s="1477">
        <v>94</v>
      </c>
      <c r="AJ66" s="1431"/>
      <c r="AK66" s="1430"/>
      <c r="AL66" s="1431" t="s">
        <v>4490</v>
      </c>
      <c r="AM66" s="1431" t="s">
        <v>1042</v>
      </c>
      <c r="AN66" s="1432">
        <v>5.15</v>
      </c>
      <c r="AO66" s="1430"/>
      <c r="AP66" s="1430"/>
      <c r="AQ66" s="1429"/>
      <c r="AR66" s="1429"/>
      <c r="AS66" s="1429"/>
      <c r="AT66" s="1429">
        <f>+ab($T$66,$T$64,$T$68,$G$65,$G$67,-1*$F$66,1200)</f>
        <v>13.870487291927581</v>
      </c>
      <c r="AU66" s="1431"/>
      <c r="AV66" s="1431"/>
      <c r="AW66" s="1431" t="str">
        <f>VLOOKUP(C66,'Foundation Calculation'!$A$2:$C$33,3,1)</f>
        <v>Soil B</v>
      </c>
      <c r="AX66" s="1431" t="str">
        <f>VLOOKUP(C66,'Foundation Calculation'!$E$2:$G$33,3,1)</f>
        <v>PT</v>
      </c>
      <c r="AY66" s="1429">
        <f>IF(AX66="PT",VLOOKUP(L66,'Foundation Calculation'!$K$2:$R$40,VLOOKUP(AW66,'Foundation Calculation'!$I$2:$J$8,2,FALSE),0),IF(AX66="K",VLOOKUP(L66,'Foundation Calculation'!$K$42:$R$80,VLOOKUP(AW66,'Foundation Calculation'!$I$2:$J$8,2,FALSE),0),""))</f>
        <v>5.6</v>
      </c>
      <c r="AZ66" s="1429"/>
      <c r="BA66" s="1526" t="s">
        <v>2809</v>
      </c>
      <c r="BB66" s="1430" t="str">
        <f>Pole_Calculations!A178</f>
        <v>App.8-V08F-P10.3</v>
      </c>
      <c r="BC66" s="1434"/>
      <c r="BD66" s="1435"/>
      <c r="BE66" s="1435"/>
      <c r="BF66" s="1435"/>
      <c r="BG66" s="1435"/>
    </row>
    <row r="67" spans="1:59" ht="15.75" customHeight="1">
      <c r="A67" s="939" t="s">
        <v>3719</v>
      </c>
      <c r="B67" s="931"/>
      <c r="C67" s="416"/>
      <c r="D67" s="418"/>
      <c r="E67" s="418"/>
      <c r="F67" s="930"/>
      <c r="G67" s="422">
        <v>60</v>
      </c>
      <c r="H67" s="940" t="s">
        <v>1039</v>
      </c>
      <c r="I67" s="421">
        <f>C68-C46</f>
        <v>602.69999999999709</v>
      </c>
      <c r="J67" s="416"/>
      <c r="K67" s="417"/>
      <c r="L67" s="933"/>
      <c r="M67" s="417"/>
      <c r="N67" s="930"/>
      <c r="O67" s="930"/>
      <c r="P67" s="933"/>
      <c r="Q67" s="417"/>
      <c r="R67" s="417"/>
      <c r="S67" s="422"/>
      <c r="T67" s="417"/>
      <c r="U67" s="417"/>
      <c r="V67" s="417"/>
      <c r="W67" s="417"/>
      <c r="X67" s="417"/>
      <c r="Y67" s="417"/>
      <c r="Z67" s="417"/>
      <c r="AA67" s="417"/>
      <c r="AB67" s="417"/>
      <c r="AC67" s="417"/>
      <c r="AD67" s="417"/>
      <c r="AE67" s="417"/>
      <c r="AF67" s="417"/>
      <c r="AG67" s="416"/>
      <c r="AH67" s="417"/>
      <c r="AI67" s="607"/>
      <c r="AJ67" s="933"/>
      <c r="AK67" s="930"/>
      <c r="AL67" s="933"/>
      <c r="AM67" s="415"/>
      <c r="AN67" s="444"/>
      <c r="AO67" s="420"/>
      <c r="AP67" s="420"/>
      <c r="AQ67" s="422">
        <f>+FL_2($T$68,$T$66,$G$67,1200,9.28,-1*$F$68)</f>
        <v>-0.51144440401436475</v>
      </c>
      <c r="AR67" s="422"/>
      <c r="AS67" s="422"/>
      <c r="AT67" s="422"/>
      <c r="AU67" s="417"/>
      <c r="AV67" s="417"/>
      <c r="AW67" s="415"/>
      <c r="AX67" s="415"/>
      <c r="AY67" s="422"/>
      <c r="AZ67" s="422"/>
      <c r="BA67" s="604"/>
      <c r="BB67" s="939"/>
      <c r="BC67" s="169"/>
      <c r="BD67" s="1330"/>
      <c r="BE67" s="1330"/>
      <c r="BF67" s="1330"/>
      <c r="BG67" s="1330"/>
    </row>
    <row r="68" spans="1:59" s="1436" customFormat="1" ht="15.75" customHeight="1">
      <c r="A68" s="1425" t="s">
        <v>1854</v>
      </c>
      <c r="B68" s="1476" t="s">
        <v>3954</v>
      </c>
      <c r="C68" s="1427">
        <f>+$C$66+$G$67</f>
        <v>84137.909999999974</v>
      </c>
      <c r="D68" s="1430"/>
      <c r="E68" s="1430"/>
      <c r="F68" s="1428">
        <f>-(424^2)/(C68-84080.75)</f>
        <v>-3145.1364590636904</v>
      </c>
      <c r="G68" s="1432"/>
      <c r="H68" s="1430" t="s">
        <v>874</v>
      </c>
      <c r="I68" s="1428"/>
      <c r="J68" s="1427"/>
      <c r="K68" s="1431"/>
      <c r="L68" s="1431" t="s">
        <v>4666</v>
      </c>
      <c r="M68" s="1431" t="str">
        <f>IF(AX68="PT",VLOOKUP(L68,'Foundation Calculation'!$V$2:$X$40,VLOOKUP(AX68,'Foundation Calculation'!$I$10:$J$13,2,FALSE),0),IF(AX68="K",VLOOKUP(L68,'Foundation Calculation'!$V$42:$X$80,VLOOKUP(AX68,'Foundation Calculation'!$I$10:$J$13,2,FALSE),0),""))</f>
        <v>C12R</v>
      </c>
      <c r="N68" s="1430" t="s">
        <v>143</v>
      </c>
      <c r="O68" s="1430"/>
      <c r="P68" s="1431"/>
      <c r="Q68" s="1431">
        <v>40</v>
      </c>
      <c r="R68" s="1431">
        <v>0</v>
      </c>
      <c r="S68" s="1429"/>
      <c r="T68" s="1431">
        <v>-20</v>
      </c>
      <c r="U68" s="1431"/>
      <c r="V68" s="1431"/>
      <c r="W68" s="1431">
        <v>1.4</v>
      </c>
      <c r="X68" s="1431"/>
      <c r="Y68" s="1431"/>
      <c r="Z68" s="1431"/>
      <c r="AA68" s="1431"/>
      <c r="AB68" s="1431"/>
      <c r="AC68" s="1431" t="str">
        <f>IF(OR(AT68&gt;8,AT68&lt;-8),"PH",IF(OR(AT68&gt;5,AT68&lt;-5),"PH-Q",IF(OR(AT68&gt;1,AT68&lt;-1),"PH-C")))</f>
        <v>PH</v>
      </c>
      <c r="AD68" s="1431"/>
      <c r="AE68" s="1431"/>
      <c r="AF68" s="1431"/>
      <c r="AG68" s="1427">
        <v>84137</v>
      </c>
      <c r="AH68" s="1431">
        <v>1983</v>
      </c>
      <c r="AI68" s="1477">
        <v>181</v>
      </c>
      <c r="AJ68" s="1431"/>
      <c r="AK68" s="1430"/>
      <c r="AL68" s="1431" t="s">
        <v>4490</v>
      </c>
      <c r="AM68" s="1431" t="s">
        <v>1042</v>
      </c>
      <c r="AN68" s="1432">
        <v>5.15</v>
      </c>
      <c r="AO68" s="1430"/>
      <c r="AP68" s="1430"/>
      <c r="AQ68" s="1429"/>
      <c r="AR68" s="1429"/>
      <c r="AS68" s="1429"/>
      <c r="AT68" s="1429">
        <f>+ab($T$68,$T$66,$T$70,$G$67,$G$69,-1*$F$68,1200)</f>
        <v>17.198102757770911</v>
      </c>
      <c r="AU68" s="1431"/>
      <c r="AV68" s="1431"/>
      <c r="AW68" s="1431" t="str">
        <f>VLOOKUP(C68,'Foundation Calculation'!$A$2:$C$33,3,1)</f>
        <v>Soil B</v>
      </c>
      <c r="AX68" s="1431" t="str">
        <f>VLOOKUP(C68,'Foundation Calculation'!$E$2:$G$33,3,1)</f>
        <v>PT</v>
      </c>
      <c r="AY68" s="1429">
        <f>IF(AX68="PT",VLOOKUP(L68,'Foundation Calculation'!$K$2:$R$40,VLOOKUP(AW68,'Foundation Calculation'!$I$2:$J$8,2,FALSE),0),IF(AX68="K",VLOOKUP(L68,'Foundation Calculation'!$K$42:$R$80,VLOOKUP(AW68,'Foundation Calculation'!$I$2:$J$8,2,FALSE),0),""))</f>
        <v>5.6</v>
      </c>
      <c r="AZ68" s="1429"/>
      <c r="BA68" s="1526" t="s">
        <v>2809</v>
      </c>
      <c r="BB68" s="1425" t="str">
        <f>Pole_Calculations!A178</f>
        <v>App.8-V08F-P10.3</v>
      </c>
      <c r="BC68" s="1434"/>
      <c r="BD68" s="1435"/>
      <c r="BE68" s="1435"/>
      <c r="BF68" s="1435"/>
      <c r="BG68" s="1435"/>
    </row>
    <row r="69" spans="1:59" ht="15.75" customHeight="1">
      <c r="A69" s="930"/>
      <c r="B69" s="931"/>
      <c r="C69" s="932"/>
      <c r="D69" s="418"/>
      <c r="E69" s="418"/>
      <c r="F69" s="940"/>
      <c r="G69" s="422">
        <v>50</v>
      </c>
      <c r="H69" s="940" t="s">
        <v>1039</v>
      </c>
      <c r="I69" s="418">
        <f>C94-C68</f>
        <v>613.40000000000873</v>
      </c>
      <c r="J69" s="416"/>
      <c r="K69" s="417"/>
      <c r="L69" s="933"/>
      <c r="M69" s="417"/>
      <c r="N69" s="930"/>
      <c r="O69" s="930"/>
      <c r="P69" s="933"/>
      <c r="Q69" s="417"/>
      <c r="R69" s="417"/>
      <c r="S69" s="422"/>
      <c r="T69" s="417"/>
      <c r="U69" s="417"/>
      <c r="V69" s="417"/>
      <c r="W69" s="417"/>
      <c r="X69" s="417"/>
      <c r="Y69" s="417"/>
      <c r="Z69" s="417"/>
      <c r="AA69" s="417"/>
      <c r="AB69" s="417"/>
      <c r="AC69" s="417"/>
      <c r="AD69" s="417"/>
      <c r="AE69" s="417"/>
      <c r="AF69" s="417"/>
      <c r="AG69" s="416"/>
      <c r="AH69" s="417"/>
      <c r="AI69" s="607"/>
      <c r="AJ69" s="933"/>
      <c r="AK69" s="930"/>
      <c r="AL69" s="933"/>
      <c r="AM69" s="415"/>
      <c r="AN69" s="444"/>
      <c r="AO69" s="420"/>
      <c r="AP69" s="420"/>
      <c r="AQ69" s="422">
        <f>+FL_1($T$70,$T$68,$G$69,1200,9.28,-1*$F$70)</f>
        <v>-6.2501808511873036E-2</v>
      </c>
      <c r="AR69" s="422"/>
      <c r="AS69" s="422"/>
      <c r="AT69" s="422"/>
      <c r="AU69" s="417"/>
      <c r="AV69" s="417"/>
      <c r="AW69" s="415"/>
      <c r="AX69" s="415"/>
      <c r="AY69" s="422"/>
      <c r="AZ69" s="422"/>
      <c r="BA69" s="604"/>
      <c r="BB69" s="930"/>
      <c r="BC69" s="169"/>
      <c r="BD69" s="1330"/>
      <c r="BE69" s="1330"/>
      <c r="BF69" s="1330"/>
      <c r="BG69" s="1330"/>
    </row>
    <row r="70" spans="1:59" ht="15.75" customHeight="1">
      <c r="A70" s="420"/>
      <c r="B70" s="439" t="s">
        <v>3955</v>
      </c>
      <c r="C70" s="416">
        <f>+$C$68+$G$69</f>
        <v>84187.909999999974</v>
      </c>
      <c r="D70" s="420"/>
      <c r="E70" s="420"/>
      <c r="F70" s="421">
        <v>-3000</v>
      </c>
      <c r="G70" s="444"/>
      <c r="H70" s="420" t="s">
        <v>873</v>
      </c>
      <c r="I70" s="421"/>
      <c r="J70" s="416"/>
      <c r="K70" s="417"/>
      <c r="L70" s="417" t="s">
        <v>4666</v>
      </c>
      <c r="M70" s="417" t="str">
        <f>IF(AX70="PT",VLOOKUP(L70,'Foundation Calculation'!$V$2:$X$40,VLOOKUP(AX70,'Foundation Calculation'!$I$10:$J$13,2,FALSE),0),IF(AX70="K",VLOOKUP(L70,'Foundation Calculation'!$V$42:$X$80,VLOOKUP(AX70,'Foundation Calculation'!$I$10:$J$13,2,FALSE),0),""))</f>
        <v>C12R</v>
      </c>
      <c r="N70" s="420" t="s">
        <v>143</v>
      </c>
      <c r="O70" s="420"/>
      <c r="P70" s="417"/>
      <c r="Q70" s="417"/>
      <c r="R70" s="417"/>
      <c r="S70" s="422"/>
      <c r="T70" s="417">
        <v>-20</v>
      </c>
      <c r="U70" s="417"/>
      <c r="V70" s="417"/>
      <c r="W70" s="417">
        <v>1.2</v>
      </c>
      <c r="X70" s="417"/>
      <c r="Y70" s="417"/>
      <c r="Z70" s="417"/>
      <c r="AA70" s="417"/>
      <c r="AB70" s="417"/>
      <c r="AC70" s="417" t="str">
        <f>IF(OR(AT70&gt;8,AT70&lt;-8),"PH",IF(OR(AT70&gt;5,AT70&lt;-5),"PH-Q",IF(OR(AT70&gt;1,AT70&lt;-1),"PH-C")))</f>
        <v>PH</v>
      </c>
      <c r="AD70" s="417"/>
      <c r="AE70" s="417"/>
      <c r="AF70" s="417"/>
      <c r="AG70" s="416"/>
      <c r="AH70" s="417"/>
      <c r="AI70" s="607"/>
      <c r="AJ70" s="417"/>
      <c r="AK70" s="420"/>
      <c r="AL70" s="417" t="s">
        <v>4490</v>
      </c>
      <c r="AM70" s="417" t="s">
        <v>1042</v>
      </c>
      <c r="AN70" s="444">
        <v>5.15</v>
      </c>
      <c r="AO70" s="420"/>
      <c r="AP70" s="420"/>
      <c r="AQ70" s="422"/>
      <c r="AR70" s="422"/>
      <c r="AS70" s="422"/>
      <c r="AT70" s="422">
        <f>+ab($T$70,$T$68,$T$72,$G$69,$G$71,-1*$F$70,1200)</f>
        <v>11.822590957682909</v>
      </c>
      <c r="AU70" s="417"/>
      <c r="AV70" s="417"/>
      <c r="AW70" s="417" t="str">
        <f>VLOOKUP(C70,'Foundation Calculation'!$A$2:$C$33,3,1)</f>
        <v>Soil B</v>
      </c>
      <c r="AX70" s="417" t="str">
        <f>VLOOKUP(C70,'Foundation Calculation'!$E$2:$G$33,3,1)</f>
        <v>PT</v>
      </c>
      <c r="AY70" s="422">
        <f>IF(AX70="PT",VLOOKUP(L70,'Foundation Calculation'!$K$2:$R$40,VLOOKUP(AW70,'Foundation Calculation'!$I$2:$J$8,2,FALSE),0),IF(AX70="K",VLOOKUP(L70,'Foundation Calculation'!$K$42:$R$80,VLOOKUP(AW70,'Foundation Calculation'!$I$2:$J$8,2,FALSE),0),""))</f>
        <v>5.6</v>
      </c>
      <c r="AZ70" s="422"/>
      <c r="BA70" s="604" t="s">
        <v>2809</v>
      </c>
      <c r="BB70" s="420" t="str">
        <f>Pole_Calculations!A178</f>
        <v>App.8-V08F-P10.3</v>
      </c>
      <c r="BC70" s="169"/>
      <c r="BD70" s="1329"/>
      <c r="BE70" s="1329"/>
      <c r="BF70" s="1329"/>
      <c r="BG70" s="1329"/>
    </row>
    <row r="71" spans="1:59" ht="15.75" customHeight="1">
      <c r="A71" s="930"/>
      <c r="B71" s="941"/>
      <c r="C71" s="932"/>
      <c r="D71" s="418"/>
      <c r="E71" s="418"/>
      <c r="F71" s="940"/>
      <c r="G71" s="422">
        <v>46</v>
      </c>
      <c r="H71" s="930"/>
      <c r="I71" s="444"/>
      <c r="J71" s="416"/>
      <c r="K71" s="417"/>
      <c r="L71" s="933"/>
      <c r="M71" s="417"/>
      <c r="N71" s="930"/>
      <c r="O71" s="930"/>
      <c r="P71" s="933"/>
      <c r="Q71" s="417"/>
      <c r="R71" s="417"/>
      <c r="S71" s="422"/>
      <c r="T71" s="417"/>
      <c r="U71" s="417"/>
      <c r="V71" s="417"/>
      <c r="W71" s="417"/>
      <c r="X71" s="417"/>
      <c r="Y71" s="417"/>
      <c r="Z71" s="417"/>
      <c r="AA71" s="417"/>
      <c r="AB71" s="417"/>
      <c r="AC71" s="417"/>
      <c r="AD71" s="417"/>
      <c r="AE71" s="417"/>
      <c r="AF71" s="417"/>
      <c r="AG71" s="416"/>
      <c r="AH71" s="417"/>
      <c r="AI71" s="607"/>
      <c r="AJ71" s="933"/>
      <c r="AK71" s="930"/>
      <c r="AL71" s="933"/>
      <c r="AM71" s="417"/>
      <c r="AN71" s="444"/>
      <c r="AO71" s="420"/>
      <c r="AP71" s="420"/>
      <c r="AQ71" s="422">
        <f>+FL_1($T$72,$T$70,$G$71,1200,9.28,-1*$F$72)</f>
        <v>-7.7728104521500863E-2</v>
      </c>
      <c r="AR71" s="422"/>
      <c r="AS71" s="422"/>
      <c r="AT71" s="422"/>
      <c r="AU71" s="417"/>
      <c r="AV71" s="417"/>
      <c r="AW71" s="417"/>
      <c r="AX71" s="417"/>
      <c r="AY71" s="422"/>
      <c r="AZ71" s="422"/>
      <c r="BA71" s="604"/>
      <c r="BB71" s="930"/>
      <c r="BC71" s="169"/>
      <c r="BD71" s="1330"/>
      <c r="BE71" s="1330"/>
      <c r="BF71" s="1330"/>
      <c r="BG71" s="1330"/>
    </row>
    <row r="72" spans="1:59" ht="15.75" customHeight="1">
      <c r="A72" s="420"/>
      <c r="B72" s="450" t="s">
        <v>3956</v>
      </c>
      <c r="C72" s="416">
        <f>+$C$70+$G$71</f>
        <v>84233.909999999974</v>
      </c>
      <c r="D72" s="420"/>
      <c r="E72" s="420"/>
      <c r="F72" s="421">
        <f>(424^2)/(C72-84289.83)</f>
        <v>-3214.8783977094431</v>
      </c>
      <c r="G72" s="444"/>
      <c r="H72" s="420"/>
      <c r="I72" s="421"/>
      <c r="J72" s="416"/>
      <c r="K72" s="417"/>
      <c r="L72" s="417" t="s">
        <v>4488</v>
      </c>
      <c r="M72" s="417" t="str">
        <f>IF(AX72="PT",VLOOKUP(L72,'Foundation Calculation'!$V$2:$X$40,VLOOKUP(AX72,'Foundation Calculation'!$I$10:$J$13,2,FALSE),0),IF(AX72="K",VLOOKUP(L72,'Foundation Calculation'!$V$42:$X$80,VLOOKUP(AX72,'Foundation Calculation'!$I$10:$J$13,2,FALSE),0),""))</f>
        <v>C11R</v>
      </c>
      <c r="N72" s="420" t="s">
        <v>143</v>
      </c>
      <c r="O72" s="420"/>
      <c r="P72" s="417"/>
      <c r="Q72" s="417"/>
      <c r="R72" s="417"/>
      <c r="S72" s="422"/>
      <c r="T72" s="417">
        <v>-20</v>
      </c>
      <c r="U72" s="417"/>
      <c r="V72" s="417"/>
      <c r="W72" s="417">
        <v>1</v>
      </c>
      <c r="X72" s="417"/>
      <c r="Y72" s="417"/>
      <c r="Z72" s="417"/>
      <c r="AA72" s="417"/>
      <c r="AB72" s="417"/>
      <c r="AC72" s="417" t="str">
        <f>IF(OR(AT72&gt;8,AT72&lt;-8),"PH",IF(OR(AT72&gt;5,AT72&lt;-5),"PH-Q",IF(OR(AT72&gt;1,AT72&lt;-1),"PH-C")))</f>
        <v>PH</v>
      </c>
      <c r="AD72" s="417"/>
      <c r="AE72" s="417"/>
      <c r="AF72" s="417"/>
      <c r="AG72" s="416"/>
      <c r="AH72" s="417"/>
      <c r="AI72" s="607"/>
      <c r="AJ72" s="417"/>
      <c r="AK72" s="420"/>
      <c r="AL72" s="417" t="s">
        <v>4490</v>
      </c>
      <c r="AM72" s="417" t="s">
        <v>1042</v>
      </c>
      <c r="AN72" s="444">
        <v>5.15</v>
      </c>
      <c r="AO72" s="420"/>
      <c r="AP72" s="420"/>
      <c r="AQ72" s="422"/>
      <c r="AR72" s="422"/>
      <c r="AS72" s="422"/>
      <c r="AT72" s="422">
        <f>+ab($T$72,$T$70,$T$74,$G$71,$G$73,-1*$F$72,1200)</f>
        <v>36.501578709969571</v>
      </c>
      <c r="AU72" s="417"/>
      <c r="AV72" s="417"/>
      <c r="AW72" s="417" t="str">
        <f>VLOOKUP(C72,'Foundation Calculation'!$A$2:$C$33,3,1)</f>
        <v>Soil B</v>
      </c>
      <c r="AX72" s="417" t="str">
        <f>VLOOKUP(C72,'Foundation Calculation'!$E$2:$G$33,3,1)</f>
        <v>PT</v>
      </c>
      <c r="AY72" s="422">
        <f>IF(AX72="PT",VLOOKUP(L72,'Foundation Calculation'!$K$2:$R$40,VLOOKUP(AW72,'Foundation Calculation'!$I$2:$J$8,2,FALSE),0),IF(AX72="K",VLOOKUP(L72,'Foundation Calculation'!$K$42:$R$80,VLOOKUP(AW72,'Foundation Calculation'!$I$2:$J$8,2,FALSE),0),""))</f>
        <v>4.5999999999999996</v>
      </c>
      <c r="AZ72" s="422"/>
      <c r="BA72" s="604" t="s">
        <v>2809</v>
      </c>
      <c r="BB72" s="420" t="str">
        <f>Pole_Calculations!A178</f>
        <v>App.8-V08F-P10.3</v>
      </c>
      <c r="BC72" s="169"/>
      <c r="BD72" s="1329"/>
      <c r="BE72" s="1329"/>
      <c r="BF72" s="1329"/>
      <c r="BG72" s="1329"/>
    </row>
    <row r="73" spans="1:59" ht="15.75" customHeight="1">
      <c r="A73" s="920" t="s">
        <v>3049</v>
      </c>
      <c r="B73" s="921"/>
      <c r="C73" s="922"/>
      <c r="D73" s="657"/>
      <c r="E73" s="657"/>
      <c r="F73" s="1269"/>
      <c r="G73" s="654">
        <v>46</v>
      </c>
      <c r="H73" s="921"/>
      <c r="I73" s="647"/>
      <c r="J73" s="652"/>
      <c r="K73" s="647"/>
      <c r="L73" s="921"/>
      <c r="M73" s="657"/>
      <c r="N73" s="921"/>
      <c r="O73" s="921"/>
      <c r="P73" s="921"/>
      <c r="Q73" s="653"/>
      <c r="R73" s="653"/>
      <c r="S73" s="654"/>
      <c r="T73" s="653"/>
      <c r="U73" s="653"/>
      <c r="V73" s="653"/>
      <c r="W73" s="653"/>
      <c r="X73" s="653"/>
      <c r="Y73" s="653"/>
      <c r="Z73" s="653"/>
      <c r="AA73" s="653"/>
      <c r="AB73" s="653"/>
      <c r="AC73" s="653"/>
      <c r="AD73" s="653"/>
      <c r="AE73" s="653"/>
      <c r="AF73" s="653"/>
      <c r="AG73" s="649"/>
      <c r="AH73" s="653"/>
      <c r="AI73" s="704"/>
      <c r="AJ73" s="921"/>
      <c r="AK73" s="921"/>
      <c r="AL73" s="921"/>
      <c r="AM73" s="657"/>
      <c r="AN73" s="651"/>
      <c r="AO73" s="657"/>
      <c r="AP73" s="657"/>
      <c r="AQ73" s="654">
        <f>+FL_1($T$74,$T$72,$G$73,1200,9.28,-1*$F$74)</f>
        <v>0.28158042092730473</v>
      </c>
      <c r="AR73" s="654"/>
      <c r="AS73" s="654"/>
      <c r="AT73" s="654"/>
      <c r="AU73" s="653"/>
      <c r="AV73" s="653"/>
      <c r="AW73" s="653"/>
      <c r="AX73" s="653"/>
      <c r="AY73" s="654"/>
      <c r="AZ73" s="654"/>
      <c r="BA73" s="701"/>
      <c r="BB73" s="920"/>
      <c r="BC73" s="169"/>
      <c r="BD73" s="1330"/>
      <c r="BE73" s="1330"/>
      <c r="BF73" s="1330"/>
      <c r="BG73" s="1330"/>
    </row>
    <row r="74" spans="1:59" ht="15.75" customHeight="1">
      <c r="A74" s="420"/>
      <c r="B74" s="725" t="s">
        <v>3957</v>
      </c>
      <c r="C74" s="416">
        <f>+$C$72+$G$73</f>
        <v>84279.909999999974</v>
      </c>
      <c r="D74" s="420"/>
      <c r="E74" s="420"/>
      <c r="F74" s="421">
        <f>(424^2)/(C74-84289.83)</f>
        <v>-18122.580645111313</v>
      </c>
      <c r="G74" s="444"/>
      <c r="H74" s="420"/>
      <c r="I74" s="421" t="s">
        <v>1039</v>
      </c>
      <c r="J74" s="416"/>
      <c r="K74" s="417"/>
      <c r="L74" s="417" t="s">
        <v>4666</v>
      </c>
      <c r="M74" s="417" t="str">
        <f>IF(AX74="PT",VLOOKUP(L74,'Foundation Calculation'!$V$2:$X$40,VLOOKUP(AX74,'Foundation Calculation'!$I$10:$J$13,2,FALSE),0),IF(AX74="K",VLOOKUP(L74,'Foundation Calculation'!$V$42:$X$80,VLOOKUP(AX74,'Foundation Calculation'!$I$10:$J$13,2,FALSE),0),""))</f>
        <v>C12R</v>
      </c>
      <c r="N74" s="420" t="s">
        <v>144</v>
      </c>
      <c r="O74" s="420"/>
      <c r="P74" s="417"/>
      <c r="Q74" s="417"/>
      <c r="R74" s="417"/>
      <c r="S74" s="422"/>
      <c r="T74" s="417">
        <v>25</v>
      </c>
      <c r="U74" s="417"/>
      <c r="V74" s="417"/>
      <c r="W74" s="417">
        <v>0.8</v>
      </c>
      <c r="X74" s="417"/>
      <c r="Y74" s="417"/>
      <c r="Z74" s="417"/>
      <c r="AA74" s="417"/>
      <c r="AB74" s="417"/>
      <c r="AC74" s="417" t="str">
        <f>IF(OR(AT74&gt;8,AT74&lt;-8),"PH",IF(OR(AT74&gt;5,AT74&lt;-5),"PH-Q",IF(OR(AT74&gt;1,AT74&lt;-1),"PH-C")))</f>
        <v>PH</v>
      </c>
      <c r="AD74" s="417"/>
      <c r="AE74" s="417"/>
      <c r="AF74" s="417"/>
      <c r="AG74" s="416"/>
      <c r="AH74" s="417"/>
      <c r="AI74" s="607"/>
      <c r="AJ74" s="417"/>
      <c r="AK74" s="420"/>
      <c r="AL74" s="417" t="s">
        <v>4098</v>
      </c>
      <c r="AM74" s="417" t="s">
        <v>1042</v>
      </c>
      <c r="AN74" s="444">
        <v>5.15</v>
      </c>
      <c r="AO74" s="420"/>
      <c r="AP74" s="420"/>
      <c r="AQ74" s="422"/>
      <c r="AR74" s="422"/>
      <c r="AS74" s="422"/>
      <c r="AT74" s="422">
        <f>+ab($T$74,$T$72,$T$76,$G$73,$G$75, 1*$F$74,1200)</f>
        <v>10.281300751337499</v>
      </c>
      <c r="AU74" s="417"/>
      <c r="AV74" s="417"/>
      <c r="AW74" s="417" t="str">
        <f>VLOOKUP(C74,'Foundation Calculation'!$A$2:$C$33,3,1)</f>
        <v>Soil B</v>
      </c>
      <c r="AX74" s="417" t="str">
        <f>VLOOKUP(C74,'Foundation Calculation'!$E$2:$G$33,3,1)</f>
        <v>PT</v>
      </c>
      <c r="AY74" s="422">
        <f>IF(AX74="PT",VLOOKUP(L74,'Foundation Calculation'!$K$2:$R$40,VLOOKUP(AW74,'Foundation Calculation'!$I$2:$J$8,2,FALSE),0),IF(AX74="K",VLOOKUP(L74,'Foundation Calculation'!$K$42:$R$80,VLOOKUP(AW74,'Foundation Calculation'!$I$2:$J$8,2,FALSE),0),""))</f>
        <v>5.6</v>
      </c>
      <c r="AZ74" s="422"/>
      <c r="BA74" s="604" t="s">
        <v>2809</v>
      </c>
      <c r="BB74" s="420" t="str">
        <f>Pole_Calculations!A178</f>
        <v>App.8-V08F-P10.3</v>
      </c>
      <c r="BC74" s="169"/>
      <c r="BD74" s="1329"/>
      <c r="BE74" s="1329"/>
      <c r="BF74" s="1329"/>
      <c r="BG74" s="1329"/>
    </row>
    <row r="75" spans="1:59" ht="15.75" customHeight="1">
      <c r="A75" s="923" t="s">
        <v>3717</v>
      </c>
      <c r="B75" s="924"/>
      <c r="C75" s="925"/>
      <c r="D75" s="719"/>
      <c r="E75" s="719"/>
      <c r="F75" s="923"/>
      <c r="G75" s="720">
        <v>48.7</v>
      </c>
      <c r="H75" s="923"/>
      <c r="I75" s="731" t="s">
        <v>1039</v>
      </c>
      <c r="J75" s="718">
        <f>C74+7.5</f>
        <v>84287.409999999974</v>
      </c>
      <c r="K75" s="721" t="s">
        <v>2788</v>
      </c>
      <c r="L75" s="926"/>
      <c r="M75" s="731"/>
      <c r="N75" s="923"/>
      <c r="O75" s="923"/>
      <c r="P75" s="927"/>
      <c r="Q75" s="721"/>
      <c r="R75" s="721"/>
      <c r="S75" s="720"/>
      <c r="T75" s="721"/>
      <c r="U75" s="721"/>
      <c r="V75" s="721"/>
      <c r="W75" s="721"/>
      <c r="X75" s="721"/>
      <c r="Y75" s="721"/>
      <c r="Z75" s="721"/>
      <c r="AA75" s="721"/>
      <c r="AB75" s="721"/>
      <c r="AC75" s="721"/>
      <c r="AD75" s="721"/>
      <c r="AE75" s="721"/>
      <c r="AF75" s="721"/>
      <c r="AG75" s="718"/>
      <c r="AH75" s="721"/>
      <c r="AI75" s="723"/>
      <c r="AJ75" s="927"/>
      <c r="AK75" s="923"/>
      <c r="AL75" s="926"/>
      <c r="AM75" s="731"/>
      <c r="AN75" s="724"/>
      <c r="AO75" s="694"/>
      <c r="AP75" s="694"/>
      <c r="AQ75" s="720">
        <f>+FL_2($T$76,$T$74,$G$75,1200,9.28, 1*$F$76)</f>
        <v>-0.36080153696759187</v>
      </c>
      <c r="AR75" s="720"/>
      <c r="AS75" s="720"/>
      <c r="AT75" s="720"/>
      <c r="AU75" s="721"/>
      <c r="AV75" s="721"/>
      <c r="AW75" s="721" t="str">
        <f>VLOOKUP(J75,'Foundation Calculation'!$A$2:$C$33,3,1)</f>
        <v>Soil B</v>
      </c>
      <c r="AX75" s="721" t="str">
        <f>VLOOKUP(J75,'Foundation Calculation'!$E$2:$G$33,3,1)</f>
        <v>PT</v>
      </c>
      <c r="AY75" s="720"/>
      <c r="AZ75" s="720">
        <f>IF(AX75="PT",VLOOKUP(K75,'Foundation Calculation'!$K$2:$R$40,VLOOKUP(AW75,'Foundation Calculation'!$I$2:$J$8,2,FALSE),0),IF(AX75="K",VLOOKUP(K75,'Foundation Calculation'!$K$42:$R$80,VLOOKUP(AW75,'Foundation Calculation'!$I$2:$J$8,2,FALSE),0),""))</f>
        <v>2.8</v>
      </c>
      <c r="BA75" s="726" t="s">
        <v>2809</v>
      </c>
      <c r="BB75" s="923"/>
      <c r="BC75" s="169"/>
      <c r="BD75" s="1329"/>
      <c r="BE75" s="1330"/>
      <c r="BF75" s="1330"/>
      <c r="BG75" s="1330"/>
    </row>
    <row r="76" spans="1:59" ht="15.75" customHeight="1">
      <c r="A76" s="1239"/>
      <c r="B76" s="435" t="s">
        <v>3958</v>
      </c>
      <c r="C76" s="446">
        <f>+$C$74+$G$75</f>
        <v>84328.609999999971</v>
      </c>
      <c r="D76" s="173"/>
      <c r="E76" s="447"/>
      <c r="F76" s="447">
        <f>-(424^2)/(C76-84349.83)</f>
        <v>8472.0075400444657</v>
      </c>
      <c r="G76" s="484"/>
      <c r="H76" s="1239" t="s">
        <v>138</v>
      </c>
      <c r="I76" s="1239" t="s">
        <v>623</v>
      </c>
      <c r="J76" s="171">
        <f>C76-7.5</f>
        <v>84321.109999999971</v>
      </c>
      <c r="K76" s="638" t="s">
        <v>2788</v>
      </c>
      <c r="L76" s="638" t="s">
        <v>4664</v>
      </c>
      <c r="M76" s="638" t="str">
        <f>IF(AX76="PT",VLOOKUP(L76,'Foundation Calculation'!$V$2:$X$40,VLOOKUP(AX76,'Foundation Calculation'!$I$10:$J$13,2,FALSE),0),IF(AX76="K",VLOOKUP(L76,'Foundation Calculation'!$V$42:$X$80,VLOOKUP(AX76,'Foundation Calculation'!$I$10:$J$13,2,FALSE),0),""))</f>
        <v>C11R</v>
      </c>
      <c r="N76" s="1239" t="s">
        <v>143</v>
      </c>
      <c r="O76" s="1239"/>
      <c r="P76" s="1239"/>
      <c r="Q76" s="638"/>
      <c r="R76" s="638"/>
      <c r="S76" s="484"/>
      <c r="T76" s="638">
        <v>-30</v>
      </c>
      <c r="U76" s="638"/>
      <c r="V76" s="638"/>
      <c r="W76" s="638">
        <v>0.68</v>
      </c>
      <c r="X76" s="638"/>
      <c r="Y76" s="638"/>
      <c r="Z76" s="638"/>
      <c r="AA76" s="638"/>
      <c r="AB76" s="638"/>
      <c r="AC76" s="638" t="str">
        <f>IF(OR(AT76&gt;8,AT76&lt;-8),"PH",IF(OR(AT76&gt;5,AT76&lt;-5),"PH-Q",IF(OR(AT76&gt;1,AT76&lt;-1),"PH-C")))</f>
        <v>PH</v>
      </c>
      <c r="AD76" s="638"/>
      <c r="AE76" s="638"/>
      <c r="AF76" s="638"/>
      <c r="AG76" s="446"/>
      <c r="AH76" s="638"/>
      <c r="AI76" s="638"/>
      <c r="AJ76" s="638"/>
      <c r="AK76" s="638"/>
      <c r="AL76" s="638" t="s">
        <v>2143</v>
      </c>
      <c r="AM76" s="638" t="s">
        <v>1042</v>
      </c>
      <c r="AN76" s="455">
        <v>5.15</v>
      </c>
      <c r="AO76" s="1239"/>
      <c r="AP76" s="1239"/>
      <c r="AQ76" s="484"/>
      <c r="AR76" s="484"/>
      <c r="AS76" s="484"/>
      <c r="AT76" s="484">
        <f>+ab($T$76,$T$74,$U$78,$G$75,$G$77, 1*$F$76,1200)</f>
        <v>-9.8878304470683531</v>
      </c>
      <c r="AU76" s="638"/>
      <c r="AV76" s="638"/>
      <c r="AW76" s="638" t="str">
        <f>VLOOKUP(C76,'Foundation Calculation'!$A$2:$C$33,3,1)</f>
        <v>Soil B</v>
      </c>
      <c r="AX76" s="638" t="str">
        <f>VLOOKUP(C76,'Foundation Calculation'!$E$2:$G$33,3,1)</f>
        <v>PT</v>
      </c>
      <c r="AY76" s="484">
        <f>IF(AX76="PT",VLOOKUP(L76,'Foundation Calculation'!$K$2:$R$40,VLOOKUP(AW76,'Foundation Calculation'!$I$2:$J$8,2,FALSE),0),IF(AX76="K",VLOOKUP(L76,'Foundation Calculation'!$K$42:$R$80,VLOOKUP(AW76,'Foundation Calculation'!$I$2:$J$8,2,FALSE),0),""))</f>
        <v>4.4000000000000004</v>
      </c>
      <c r="AZ76" s="484">
        <f>IF(AX76="PT",VLOOKUP(K76,'Foundation Calculation'!$K$2:$R$40,VLOOKUP(AW76,'Foundation Calculation'!$I$2:$J$8,2,FALSE),0),IF(AX76="K",VLOOKUP(K76,'Foundation Calculation'!$K$42:$R$80,VLOOKUP(AW76,'Foundation Calculation'!$I$2:$J$8,2,FALSE),0),""))</f>
        <v>2.8</v>
      </c>
      <c r="BA76" s="1192" t="s">
        <v>2809</v>
      </c>
      <c r="BB76" s="1239" t="str">
        <f>Pole_Calculations!A178</f>
        <v>App.8-V08F-P10.3</v>
      </c>
      <c r="BC76" s="169"/>
      <c r="BD76" s="1329"/>
      <c r="BE76" s="1329"/>
      <c r="BF76" s="1329"/>
      <c r="BG76" s="1329"/>
    </row>
    <row r="77" spans="1:59" ht="15.75" customHeight="1">
      <c r="A77" s="913"/>
      <c r="B77" s="914"/>
      <c r="C77" s="915"/>
      <c r="D77" s="494"/>
      <c r="E77" s="494"/>
      <c r="F77" s="914"/>
      <c r="G77" s="493">
        <v>38.299999999999997</v>
      </c>
      <c r="H77" s="914"/>
      <c r="I77" s="495"/>
      <c r="J77" s="431">
        <f>C76-9.5</f>
        <v>84319.109999999971</v>
      </c>
      <c r="K77" s="495" t="s">
        <v>2787</v>
      </c>
      <c r="L77" s="914"/>
      <c r="M77" s="494"/>
      <c r="N77" s="914"/>
      <c r="O77" s="914"/>
      <c r="P77" s="914"/>
      <c r="Q77" s="490"/>
      <c r="R77" s="490"/>
      <c r="S77" s="493"/>
      <c r="T77" s="490"/>
      <c r="U77" s="490"/>
      <c r="V77" s="490"/>
      <c r="W77" s="490"/>
      <c r="X77" s="490"/>
      <c r="Y77" s="490"/>
      <c r="Z77" s="490"/>
      <c r="AA77" s="490"/>
      <c r="AB77" s="490"/>
      <c r="AC77" s="490"/>
      <c r="AD77" s="490"/>
      <c r="AE77" s="490"/>
      <c r="AF77" s="490"/>
      <c r="AG77" s="489"/>
      <c r="AH77" s="490"/>
      <c r="AI77" s="640"/>
      <c r="AJ77" s="914"/>
      <c r="AK77" s="914"/>
      <c r="AL77" s="914"/>
      <c r="AM77" s="494"/>
      <c r="AN77" s="457"/>
      <c r="AO77" s="494"/>
      <c r="AP77" s="494"/>
      <c r="AQ77" s="493">
        <f>+FL_1($U$78,$T$76,$G$77,1200,9.28, 1*$F$78)</f>
        <v>0.2</v>
      </c>
      <c r="AR77" s="493"/>
      <c r="AS77" s="493"/>
      <c r="AT77" s="493"/>
      <c r="AU77" s="490"/>
      <c r="AV77" s="490"/>
      <c r="AW77" s="490" t="str">
        <f>VLOOKUP(J77,'Foundation Calculation'!$A$2:$C$33,3,1)</f>
        <v>Soil B</v>
      </c>
      <c r="AX77" s="490" t="str">
        <f>VLOOKUP(J77,'Foundation Calculation'!$E$2:$G$33,3,1)</f>
        <v>PT</v>
      </c>
      <c r="AY77" s="493"/>
      <c r="AZ77" s="493">
        <f>IF(AX77="PT",VLOOKUP(K77,'Foundation Calculation'!$K$2:$R$40,VLOOKUP(AW77,'Foundation Calculation'!$I$2:$J$8,2,FALSE),0),IF(AX77="K",VLOOKUP(K77,'Foundation Calculation'!$K$42:$R$80,VLOOKUP(AW77,'Foundation Calculation'!$I$2:$J$8,2,FALSE),0),""))</f>
        <v>3.9</v>
      </c>
      <c r="BA77" s="602" t="s">
        <v>2809</v>
      </c>
      <c r="BB77" s="913"/>
      <c r="BC77" s="169"/>
      <c r="BD77" s="1329"/>
      <c r="BE77" s="1330"/>
      <c r="BF77" s="1330"/>
      <c r="BG77" s="1330"/>
    </row>
    <row r="78" spans="1:59" s="1492" customFormat="1" ht="15.75" customHeight="1">
      <c r="A78" s="1479" t="s">
        <v>3721</v>
      </c>
      <c r="B78" s="1495" t="s">
        <v>3959</v>
      </c>
      <c r="C78" s="1481">
        <f>+$C$76+$G$77</f>
        <v>84366.909999999974</v>
      </c>
      <c r="D78" s="1487"/>
      <c r="E78" s="1487"/>
      <c r="F78" s="1487" t="s">
        <v>3923</v>
      </c>
      <c r="G78" s="1483"/>
      <c r="H78" s="1487" t="s">
        <v>2133</v>
      </c>
      <c r="I78" s="1487" t="s">
        <v>840</v>
      </c>
      <c r="J78" s="1481">
        <f>C80-22</f>
        <v>84388.709999999977</v>
      </c>
      <c r="K78" s="1485" t="s">
        <v>894</v>
      </c>
      <c r="L78" s="1487" t="s">
        <v>1683</v>
      </c>
      <c r="M78" s="1487"/>
      <c r="N78" s="1487" t="s">
        <v>635</v>
      </c>
      <c r="O78" s="1487" t="s">
        <v>634</v>
      </c>
      <c r="P78" s="1487"/>
      <c r="Q78" s="1485">
        <v>30</v>
      </c>
      <c r="R78" s="1485">
        <v>3000</v>
      </c>
      <c r="S78" s="1483"/>
      <c r="T78" s="1485">
        <v>45</v>
      </c>
      <c r="U78" s="1485">
        <v>20</v>
      </c>
      <c r="V78" s="1485"/>
      <c r="W78" s="1485">
        <v>0.55000000000000004</v>
      </c>
      <c r="X78" s="1485">
        <v>0.68</v>
      </c>
      <c r="Y78" s="1485"/>
      <c r="Z78" s="1485">
        <v>0.25</v>
      </c>
      <c r="AA78" s="1485"/>
      <c r="AB78" s="1485"/>
      <c r="AC78" s="1485"/>
      <c r="AD78" s="1485"/>
      <c r="AE78" s="1485"/>
      <c r="AF78" s="1485"/>
      <c r="AG78" s="1481">
        <v>84369</v>
      </c>
      <c r="AH78" s="1485">
        <v>2223</v>
      </c>
      <c r="AI78" s="1493">
        <v>-2600</v>
      </c>
      <c r="AJ78" s="1487"/>
      <c r="AK78" s="1487"/>
      <c r="AL78" s="1487"/>
      <c r="AM78" s="1487" t="s">
        <v>2879</v>
      </c>
      <c r="AN78" s="1488">
        <v>5.15</v>
      </c>
      <c r="AO78" s="1479"/>
      <c r="AP78" s="1479"/>
      <c r="AQ78" s="1483"/>
      <c r="AR78" s="1483"/>
      <c r="AS78" s="1483"/>
      <c r="AT78" s="1483">
        <f>+ab($U$78,$T$76,$U$80,$G$77,$G$79, 1*$F$78,1200)</f>
        <v>7.1439564392543087</v>
      </c>
      <c r="AU78" s="1489"/>
      <c r="AV78" s="1489"/>
      <c r="AW78" s="1485"/>
      <c r="AX78" s="1485"/>
      <c r="AY78" s="1483"/>
      <c r="AZ78" s="1483"/>
      <c r="BA78" s="1485"/>
      <c r="BB78" s="1479"/>
      <c r="BC78" s="1490"/>
      <c r="BD78" s="1491"/>
      <c r="BE78" s="1491"/>
      <c r="BF78" s="1491"/>
      <c r="BG78" s="1491"/>
    </row>
    <row r="79" spans="1:59" ht="15.75" customHeight="1">
      <c r="A79" s="1239"/>
      <c r="B79" s="173"/>
      <c r="C79" s="446"/>
      <c r="D79" s="173"/>
      <c r="E79" s="447"/>
      <c r="F79" s="447"/>
      <c r="G79" s="484">
        <v>43.7</v>
      </c>
      <c r="H79" s="1239"/>
      <c r="I79" s="1239"/>
      <c r="J79" s="171">
        <f>C80-7.5</f>
        <v>84403.209999999977</v>
      </c>
      <c r="K79" s="638" t="s">
        <v>2787</v>
      </c>
      <c r="L79" s="638"/>
      <c r="M79" s="638"/>
      <c r="N79" s="1239"/>
      <c r="O79" s="1239"/>
      <c r="P79" s="1239"/>
      <c r="Q79" s="638"/>
      <c r="R79" s="638"/>
      <c r="S79" s="484"/>
      <c r="T79" s="638"/>
      <c r="U79" s="638"/>
      <c r="V79" s="638"/>
      <c r="W79" s="638"/>
      <c r="X79" s="638"/>
      <c r="Y79" s="638"/>
      <c r="Z79" s="638"/>
      <c r="AA79" s="638"/>
      <c r="AB79" s="638"/>
      <c r="AC79" s="638"/>
      <c r="AD79" s="638"/>
      <c r="AE79" s="638"/>
      <c r="AF79" s="638"/>
      <c r="AG79" s="446"/>
      <c r="AH79" s="638"/>
      <c r="AI79" s="638"/>
      <c r="AJ79" s="638"/>
      <c r="AK79" s="638"/>
      <c r="AL79" s="638"/>
      <c r="AM79" s="638"/>
      <c r="AN79" s="455"/>
      <c r="AO79" s="1239"/>
      <c r="AP79" s="1239"/>
      <c r="AQ79" s="484">
        <f>+FL_1($U$80,$U$78,$G$79,1200,9.28, 1*$F$80)</f>
        <v>0.30503189473010611</v>
      </c>
      <c r="AR79" s="484"/>
      <c r="AS79" s="484"/>
      <c r="AT79" s="484"/>
      <c r="AU79" s="638"/>
      <c r="AV79" s="638"/>
      <c r="AW79" s="638" t="str">
        <f>VLOOKUP(J79,'Foundation Calculation'!$A$2:$C$33,3,1)</f>
        <v>Soil B</v>
      </c>
      <c r="AX79" s="638" t="str">
        <f>VLOOKUP(J79,'Foundation Calculation'!$E$2:$G$33,3,1)</f>
        <v>PT</v>
      </c>
      <c r="AY79" s="484"/>
      <c r="AZ79" s="484">
        <f>IF(AX79="PT",VLOOKUP(K79,'Foundation Calculation'!$K$2:$R$40,VLOOKUP(AW79,'Foundation Calculation'!$I$2:$J$8,2,FALSE),0),IF(AX79="K",VLOOKUP(K79,'Foundation Calculation'!$K$42:$R$80,VLOOKUP(AW79,'Foundation Calculation'!$I$2:$J$8,2,FALSE),0),""))</f>
        <v>3.9</v>
      </c>
      <c r="BA79" s="671" t="s">
        <v>2809</v>
      </c>
      <c r="BB79" s="1239"/>
      <c r="BC79" s="169"/>
      <c r="BD79" s="1329"/>
      <c r="BE79" s="1330"/>
      <c r="BF79" s="1330"/>
      <c r="BG79" s="1330"/>
    </row>
    <row r="80" spans="1:59" ht="15.75" customHeight="1">
      <c r="A80" s="1239"/>
      <c r="B80" s="435" t="s">
        <v>3960</v>
      </c>
      <c r="C80" s="446">
        <f>+$C$78+$G$79+0.1</f>
        <v>84410.709999999977</v>
      </c>
      <c r="D80" s="173"/>
      <c r="E80" s="447"/>
      <c r="F80" s="447">
        <v>3000</v>
      </c>
      <c r="G80" s="484"/>
      <c r="H80" s="1239" t="s">
        <v>3978</v>
      </c>
      <c r="I80" s="1239" t="s">
        <v>624</v>
      </c>
      <c r="J80" s="171"/>
      <c r="K80" s="638"/>
      <c r="L80" s="638" t="s">
        <v>4664</v>
      </c>
      <c r="M80" s="638" t="str">
        <f>IF(AX80="PT",VLOOKUP(L80,'Foundation Calculation'!$V$2:$X$40,VLOOKUP(AX80,'Foundation Calculation'!$I$10:$J$13,2,FALSE),0),IF(AX80="K",VLOOKUP(L80,'Foundation Calculation'!$V$42:$X$80,VLOOKUP(AX80,'Foundation Calculation'!$I$10:$J$13,2,FALSE),0),""))</f>
        <v>C11R</v>
      </c>
      <c r="N80" s="1239" t="s">
        <v>140</v>
      </c>
      <c r="O80" s="1239" t="s">
        <v>144</v>
      </c>
      <c r="P80" s="1239"/>
      <c r="Q80" s="638"/>
      <c r="R80" s="638"/>
      <c r="S80" s="484"/>
      <c r="T80" s="638">
        <v>45</v>
      </c>
      <c r="U80" s="638">
        <v>20</v>
      </c>
      <c r="V80" s="638"/>
      <c r="W80" s="638">
        <v>0.55000000000000004</v>
      </c>
      <c r="X80" s="638">
        <v>0.68</v>
      </c>
      <c r="Y80" s="638"/>
      <c r="Z80" s="638">
        <v>0.25</v>
      </c>
      <c r="AA80" s="638"/>
      <c r="AB80" s="638"/>
      <c r="AC80" s="638"/>
      <c r="AD80" s="638"/>
      <c r="AE80" s="638"/>
      <c r="AF80" s="638"/>
      <c r="AG80" s="446"/>
      <c r="AH80" s="638"/>
      <c r="AI80" s="638"/>
      <c r="AJ80" s="638"/>
      <c r="AK80" s="638"/>
      <c r="AL80" s="638" t="s">
        <v>2143</v>
      </c>
      <c r="AM80" s="638" t="s">
        <v>1042</v>
      </c>
      <c r="AN80" s="455">
        <v>5.15</v>
      </c>
      <c r="AO80" s="1239"/>
      <c r="AP80" s="1239"/>
      <c r="AQ80" s="484"/>
      <c r="AR80" s="484"/>
      <c r="AS80" s="484"/>
      <c r="AT80" s="484">
        <f>+ab($U$80,$U$78,$U$82,$G$79,$G$81, 1*$F$80,1200)</f>
        <v>14.215197949743176</v>
      </c>
      <c r="AU80" s="638"/>
      <c r="AV80" s="638"/>
      <c r="AW80" s="638" t="str">
        <f>VLOOKUP(C80,'Foundation Calculation'!$A$2:$C$33,3,1)</f>
        <v>Soil B</v>
      </c>
      <c r="AX80" s="638" t="str">
        <f>VLOOKUP(C80,'Foundation Calculation'!$E$2:$G$33,3,1)</f>
        <v>PT</v>
      </c>
      <c r="AY80" s="484">
        <f>IF(AX80="PT",VLOOKUP(L80,'Foundation Calculation'!$K$2:$R$40,VLOOKUP(AW80,'Foundation Calculation'!$I$2:$J$8,2,FALSE),0),IF(AX80="K",VLOOKUP(L80,'Foundation Calculation'!$K$42:$R$80,VLOOKUP(AW80,'Foundation Calculation'!$I$2:$J$8,2,FALSE),0),""))</f>
        <v>4.4000000000000004</v>
      </c>
      <c r="AZ80" s="484"/>
      <c r="BA80" s="1192" t="s">
        <v>2809</v>
      </c>
      <c r="BB80" s="1239" t="str">
        <f>Pole_Calculations!A178</f>
        <v>App.8-V08F-P10.3</v>
      </c>
      <c r="BC80" s="169"/>
      <c r="BD80" s="1329"/>
      <c r="BE80" s="1329"/>
      <c r="BF80" s="1329"/>
      <c r="BG80" s="1329"/>
    </row>
    <row r="81" spans="1:59" ht="15.75" customHeight="1">
      <c r="A81" s="909"/>
      <c r="B81" s="910"/>
      <c r="C81" s="907"/>
      <c r="D81" s="173"/>
      <c r="E81" s="447"/>
      <c r="F81" s="942"/>
      <c r="G81" s="484">
        <v>48.1</v>
      </c>
      <c r="H81" s="909"/>
      <c r="I81" s="1239">
        <v>405</v>
      </c>
      <c r="J81" s="171">
        <f>C82-C81</f>
        <v>84458.809999999983</v>
      </c>
      <c r="K81" s="638" t="s">
        <v>2787</v>
      </c>
      <c r="L81" s="911"/>
      <c r="M81" s="638"/>
      <c r="N81" s="909"/>
      <c r="O81" s="909"/>
      <c r="P81" s="909"/>
      <c r="Q81" s="638"/>
      <c r="R81" s="638"/>
      <c r="S81" s="484"/>
      <c r="T81" s="638"/>
      <c r="U81" s="638"/>
      <c r="V81" s="638"/>
      <c r="W81" s="638"/>
      <c r="X81" s="638"/>
      <c r="Y81" s="638"/>
      <c r="Z81" s="638"/>
      <c r="AA81" s="638"/>
      <c r="AB81" s="638"/>
      <c r="AC81" s="638"/>
      <c r="AD81" s="638"/>
      <c r="AE81" s="638"/>
      <c r="AF81" s="638"/>
      <c r="AG81" s="446"/>
      <c r="AH81" s="638"/>
      <c r="AI81" s="638"/>
      <c r="AJ81" s="911"/>
      <c r="AK81" s="911"/>
      <c r="AL81" s="911"/>
      <c r="AM81" s="638"/>
      <c r="AN81" s="455"/>
      <c r="AO81" s="1239"/>
      <c r="AP81" s="1239"/>
      <c r="AQ81" s="484">
        <f>+FL_1($U$82,$U$80,$G$81,1200,9.28, 1*$F$82)</f>
        <v>0.44390151784309984</v>
      </c>
      <c r="AR81" s="484"/>
      <c r="AS81" s="484"/>
      <c r="AT81" s="484"/>
      <c r="AU81" s="638"/>
      <c r="AV81" s="638"/>
      <c r="AW81" s="638" t="str">
        <f>VLOOKUP(J81,'Foundation Calculation'!$A$2:$C$33,3,1)</f>
        <v>Soil B</v>
      </c>
      <c r="AX81" s="638" t="str">
        <f>VLOOKUP(J81,'Foundation Calculation'!$E$2:$G$33,3,1)</f>
        <v>PT</v>
      </c>
      <c r="AY81" s="484"/>
      <c r="AZ81" s="484">
        <f>IF(AX81="PT",VLOOKUP(K81,'Foundation Calculation'!$K$2:$R$40,VLOOKUP(AW81,'Foundation Calculation'!$I$2:$J$8,2,FALSE),0),IF(AX81="K",VLOOKUP(K81,'Foundation Calculation'!$K$42:$R$80,VLOOKUP(AW81,'Foundation Calculation'!$I$2:$J$8,2,FALSE),0),""))</f>
        <v>3.9</v>
      </c>
      <c r="BA81" s="671" t="s">
        <v>2809</v>
      </c>
      <c r="BB81" s="909"/>
      <c r="BC81" s="169"/>
      <c r="BD81" s="1329"/>
      <c r="BE81" s="1330"/>
      <c r="BF81" s="1330"/>
      <c r="BG81" s="1330"/>
    </row>
    <row r="82" spans="1:59" ht="15.75" customHeight="1">
      <c r="A82" s="1239"/>
      <c r="B82" s="435" t="s">
        <v>3961</v>
      </c>
      <c r="C82" s="446">
        <f>+$C$80+$G$81</f>
        <v>84458.809999999983</v>
      </c>
      <c r="D82" s="173"/>
      <c r="E82" s="447"/>
      <c r="F82" s="447">
        <f>(424^2)/(C82-84438.28)</f>
        <v>8756.7462250432345</v>
      </c>
      <c r="G82" s="484"/>
      <c r="H82" s="1239" t="s">
        <v>2139</v>
      </c>
      <c r="I82" s="1239" t="s">
        <v>624</v>
      </c>
      <c r="J82" s="171"/>
      <c r="K82" s="638"/>
      <c r="L82" s="638" t="s">
        <v>4664</v>
      </c>
      <c r="M82" s="638" t="str">
        <f>IF(AX82="PT",VLOOKUP(L82,'Foundation Calculation'!$V$2:$X$40,VLOOKUP(AX82,'Foundation Calculation'!$I$10:$J$13,2,FALSE),0),IF(AX82="K",VLOOKUP(L82,'Foundation Calculation'!$V$42:$X$80,VLOOKUP(AX82,'Foundation Calculation'!$I$10:$J$13,2,FALSE),0),""))</f>
        <v>C11R</v>
      </c>
      <c r="N82" s="1239" t="s">
        <v>140</v>
      </c>
      <c r="O82" s="1239" t="s">
        <v>144</v>
      </c>
      <c r="P82" s="1239"/>
      <c r="Q82" s="638"/>
      <c r="R82" s="638"/>
      <c r="S82" s="484"/>
      <c r="T82" s="638">
        <v>50</v>
      </c>
      <c r="U82" s="638">
        <v>30</v>
      </c>
      <c r="V82" s="638"/>
      <c r="W82" s="638">
        <v>0.8</v>
      </c>
      <c r="X82" s="638">
        <v>1</v>
      </c>
      <c r="Y82" s="638"/>
      <c r="Z82" s="638">
        <v>0.35</v>
      </c>
      <c r="AA82" s="638"/>
      <c r="AB82" s="638"/>
      <c r="AC82" s="638"/>
      <c r="AD82" s="638"/>
      <c r="AE82" s="638"/>
      <c r="AF82" s="638"/>
      <c r="AG82" s="446"/>
      <c r="AH82" s="638"/>
      <c r="AI82" s="638"/>
      <c r="AJ82" s="638"/>
      <c r="AK82" s="638"/>
      <c r="AL82" s="638" t="s">
        <v>2143</v>
      </c>
      <c r="AM82" s="638" t="s">
        <v>1042</v>
      </c>
      <c r="AN82" s="455">
        <v>5.22</v>
      </c>
      <c r="AO82" s="1239"/>
      <c r="AP82" s="1239"/>
      <c r="AQ82" s="484"/>
      <c r="AR82" s="484"/>
      <c r="AS82" s="484"/>
      <c r="AT82" s="484">
        <f>+ab($U$82,$U$80,$V$84,$G$81,$G$83, 1*$F$82,1200)</f>
        <v>10.792981425274379</v>
      </c>
      <c r="AU82" s="638"/>
      <c r="AV82" s="638"/>
      <c r="AW82" s="638" t="str">
        <f>VLOOKUP(C82,'Foundation Calculation'!$A$2:$C$33,3,1)</f>
        <v>Soil B</v>
      </c>
      <c r="AX82" s="638" t="str">
        <f>VLOOKUP(C82,'Foundation Calculation'!$E$2:$G$33,3,1)</f>
        <v>PT</v>
      </c>
      <c r="AY82" s="484">
        <f>IF(AX82="PT",VLOOKUP(L82,'Foundation Calculation'!$K$2:$R$40,VLOOKUP(AW82,'Foundation Calculation'!$I$2:$J$8,2,FALSE),0),IF(AX82="K",VLOOKUP(L82,'Foundation Calculation'!$K$42:$R$80,VLOOKUP(AW82,'Foundation Calculation'!$I$2:$J$8,2,FALSE),0),""))</f>
        <v>4.4000000000000004</v>
      </c>
      <c r="AZ82" s="484"/>
      <c r="BA82" s="1192" t="s">
        <v>2809</v>
      </c>
      <c r="BB82" s="1239" t="str">
        <f>Pole_Calculations!A178</f>
        <v>App.8-V08F-P10.3</v>
      </c>
      <c r="BC82" s="169"/>
      <c r="BD82" s="1329"/>
      <c r="BE82" s="1329"/>
      <c r="BF82" s="1329"/>
      <c r="BG82" s="1329"/>
    </row>
    <row r="83" spans="1:59" ht="15.75" customHeight="1">
      <c r="A83" s="909"/>
      <c r="B83" s="910"/>
      <c r="C83" s="907"/>
      <c r="D83" s="173"/>
      <c r="E83" s="447"/>
      <c r="F83" s="942"/>
      <c r="G83" s="484">
        <v>50.8</v>
      </c>
      <c r="H83" s="909"/>
      <c r="I83" s="1239">
        <v>332</v>
      </c>
      <c r="J83" s="171"/>
      <c r="K83" s="638"/>
      <c r="L83" s="911"/>
      <c r="M83" s="638"/>
      <c r="N83" s="909"/>
      <c r="O83" s="911"/>
      <c r="P83" s="911"/>
      <c r="Q83" s="638"/>
      <c r="R83" s="638"/>
      <c r="S83" s="484"/>
      <c r="T83" s="638"/>
      <c r="U83" s="638"/>
      <c r="V83" s="638"/>
      <c r="W83" s="638"/>
      <c r="X83" s="638"/>
      <c r="Y83" s="638"/>
      <c r="Z83" s="638"/>
      <c r="AA83" s="638"/>
      <c r="AB83" s="638"/>
      <c r="AC83" s="638"/>
      <c r="AD83" s="638"/>
      <c r="AE83" s="638"/>
      <c r="AF83" s="638"/>
      <c r="AG83" s="446"/>
      <c r="AH83" s="638"/>
      <c r="AI83" s="638"/>
      <c r="AJ83" s="911"/>
      <c r="AK83" s="911"/>
      <c r="AL83" s="911"/>
      <c r="AM83" s="638"/>
      <c r="AN83" s="455"/>
      <c r="AO83" s="1239"/>
      <c r="AP83" s="1239"/>
      <c r="AQ83" s="484">
        <f>+FL_2($V$84,$U$82,$G$83,1200,9.28, 1*$F$84)</f>
        <v>-0.26209668759055116</v>
      </c>
      <c r="AR83" s="484"/>
      <c r="AS83" s="484"/>
      <c r="AT83" s="484"/>
      <c r="AU83" s="638"/>
      <c r="AV83" s="638"/>
      <c r="AW83" s="638"/>
      <c r="AX83" s="638"/>
      <c r="AY83" s="484"/>
      <c r="AZ83" s="484"/>
      <c r="BA83" s="671"/>
      <c r="BB83" s="909"/>
      <c r="BC83" s="169"/>
      <c r="BD83" s="1330"/>
      <c r="BE83" s="1330"/>
      <c r="BF83" s="1330"/>
      <c r="BG83" s="1330"/>
    </row>
    <row r="84" spans="1:59" ht="15.75" customHeight="1">
      <c r="A84" s="1239"/>
      <c r="B84" s="435" t="s">
        <v>3962</v>
      </c>
      <c r="C84" s="446">
        <f>+$C$82+$G$83</f>
        <v>84509.609999999986</v>
      </c>
      <c r="D84" s="173"/>
      <c r="E84" s="447"/>
      <c r="F84" s="447">
        <v>0</v>
      </c>
      <c r="G84" s="484"/>
      <c r="H84" s="1239" t="s">
        <v>2551</v>
      </c>
      <c r="I84" s="1239"/>
      <c r="J84" s="171"/>
      <c r="K84" s="638"/>
      <c r="L84" s="638" t="s">
        <v>4664</v>
      </c>
      <c r="M84" s="638" t="str">
        <f>IF(AX84="PT",VLOOKUP(L84,'Foundation Calculation'!$V$2:$X$40,VLOOKUP(AX84,'Foundation Calculation'!$I$10:$J$13,2,FALSE),0),IF(AX84="K",VLOOKUP(L84,'Foundation Calculation'!$V$42:$X$80,VLOOKUP(AX84,'Foundation Calculation'!$I$10:$J$13,2,FALSE),0),""))</f>
        <v>C11R</v>
      </c>
      <c r="N84" s="1239" t="s">
        <v>140</v>
      </c>
      <c r="O84" s="1239" t="s">
        <v>140</v>
      </c>
      <c r="P84" s="1239" t="s">
        <v>143</v>
      </c>
      <c r="Q84" s="638"/>
      <c r="R84" s="638"/>
      <c r="S84" s="484"/>
      <c r="T84" s="638">
        <v>-55</v>
      </c>
      <c r="U84" s="638">
        <v>55</v>
      </c>
      <c r="V84" s="638">
        <v>-20</v>
      </c>
      <c r="W84" s="638">
        <v>2</v>
      </c>
      <c r="X84" s="638">
        <v>1.4</v>
      </c>
      <c r="Y84" s="638">
        <v>1.6</v>
      </c>
      <c r="Z84" s="638">
        <v>0.55000000000000004</v>
      </c>
      <c r="AA84" s="638">
        <v>0.35</v>
      </c>
      <c r="AB84" s="638"/>
      <c r="AC84" s="638"/>
      <c r="AD84" s="638"/>
      <c r="AE84" s="638"/>
      <c r="AF84" s="638"/>
      <c r="AG84" s="446"/>
      <c r="AH84" s="638"/>
      <c r="AI84" s="638"/>
      <c r="AJ84" s="638"/>
      <c r="AK84" s="638"/>
      <c r="AL84" s="638" t="s">
        <v>2143</v>
      </c>
      <c r="AM84" s="638" t="s">
        <v>1042</v>
      </c>
      <c r="AN84" s="455">
        <v>5.32</v>
      </c>
      <c r="AO84" s="1239"/>
      <c r="AP84" s="1239"/>
      <c r="AQ84" s="484"/>
      <c r="AR84" s="484"/>
      <c r="AS84" s="484"/>
      <c r="AT84" s="484">
        <f>+ab($V$84,$U$82,$U$86,$G$83,$G$85, 1*$F$84,1200)</f>
        <v>-9.1287726415970187</v>
      </c>
      <c r="AU84" s="638"/>
      <c r="AV84" s="638"/>
      <c r="AW84" s="638" t="str">
        <f>VLOOKUP(C84,'Foundation Calculation'!$A$2:$C$33,3,1)</f>
        <v>Soil B</v>
      </c>
      <c r="AX84" s="638" t="str">
        <f>VLOOKUP(C84,'Foundation Calculation'!$E$2:$G$33,3,1)</f>
        <v>PT</v>
      </c>
      <c r="AY84" s="484">
        <f>IF(AX84="PT",VLOOKUP(L84,'Foundation Calculation'!$K$2:$R$40,VLOOKUP(AW84,'Foundation Calculation'!$I$2:$J$8,2,FALSE),0),IF(AX84="K",VLOOKUP(L84,'Foundation Calculation'!$K$42:$R$80,VLOOKUP(AW84,'Foundation Calculation'!$I$2:$J$8,2,FALSE),0),""))</f>
        <v>4.4000000000000004</v>
      </c>
      <c r="AZ84" s="484"/>
      <c r="BA84" s="1192" t="s">
        <v>2809</v>
      </c>
      <c r="BB84" s="1239" t="str">
        <f>Pole_Calculations!A178</f>
        <v>App.8-V08F-P10.3</v>
      </c>
      <c r="BC84" s="169"/>
      <c r="BD84" s="1329"/>
      <c r="BE84" s="1329"/>
      <c r="BF84" s="1329"/>
      <c r="BG84" s="1329"/>
    </row>
    <row r="85" spans="1:59" ht="15.75" customHeight="1">
      <c r="A85" s="909"/>
      <c r="B85" s="910"/>
      <c r="C85" s="907"/>
      <c r="D85" s="173"/>
      <c r="E85" s="447"/>
      <c r="F85" s="942"/>
      <c r="G85" s="484">
        <v>50</v>
      </c>
      <c r="H85" s="909"/>
      <c r="I85" s="1239"/>
      <c r="J85" s="171">
        <f>C86-7.5</f>
        <v>84552.109999999986</v>
      </c>
      <c r="K85" s="638" t="s">
        <v>2787</v>
      </c>
      <c r="L85" s="911"/>
      <c r="M85" s="638"/>
      <c r="N85" s="909"/>
      <c r="O85" s="911"/>
      <c r="P85" s="911"/>
      <c r="Q85" s="638"/>
      <c r="R85" s="638"/>
      <c r="S85" s="484"/>
      <c r="T85" s="638"/>
      <c r="U85" s="638"/>
      <c r="V85" s="638"/>
      <c r="W85" s="638"/>
      <c r="X85" s="638"/>
      <c r="Y85" s="638"/>
      <c r="Z85" s="638"/>
      <c r="AA85" s="638"/>
      <c r="AB85" s="638"/>
      <c r="AC85" s="638"/>
      <c r="AD85" s="638"/>
      <c r="AE85" s="638"/>
      <c r="AF85" s="638"/>
      <c r="AG85" s="446"/>
      <c r="AH85" s="638"/>
      <c r="AI85" s="638"/>
      <c r="AJ85" s="911"/>
      <c r="AK85" s="911"/>
      <c r="AL85" s="911"/>
      <c r="AM85" s="638"/>
      <c r="AN85" s="455"/>
      <c r="AO85" s="1239"/>
      <c r="AP85" s="1239"/>
      <c r="AQ85" s="484">
        <f>+FL_2($U$86,$V$84,$G$85,1200,9.28, 1*$F$86)</f>
        <v>-0.24489941866666667</v>
      </c>
      <c r="AR85" s="484"/>
      <c r="AS85" s="484"/>
      <c r="AT85" s="484"/>
      <c r="AU85" s="638"/>
      <c r="AV85" s="638"/>
      <c r="AW85" s="638" t="str">
        <f>VLOOKUP(J85,'Foundation Calculation'!$A$2:$C$33,3,1)</f>
        <v>Soil B</v>
      </c>
      <c r="AX85" s="638" t="str">
        <f>VLOOKUP(J85,'Foundation Calculation'!$E$2:$G$33,3,1)</f>
        <v>PT</v>
      </c>
      <c r="AY85" s="484"/>
      <c r="AZ85" s="484">
        <f>IF(AX85="PT",VLOOKUP(K85,'Foundation Calculation'!$K$2:$R$40,VLOOKUP(AW85,'Foundation Calculation'!$I$2:$J$8,2,FALSE),0),IF(AX85="K",VLOOKUP(K85,'Foundation Calculation'!$K$42:$R$80,VLOOKUP(AW85,'Foundation Calculation'!$I$2:$J$8,2,FALSE),0),""))</f>
        <v>3.9</v>
      </c>
      <c r="BA85" s="671" t="s">
        <v>2809</v>
      </c>
      <c r="BB85" s="909"/>
      <c r="BC85" s="169"/>
      <c r="BD85" s="1329"/>
      <c r="BE85" s="1330"/>
      <c r="BF85" s="1330"/>
      <c r="BG85" s="1330"/>
    </row>
    <row r="86" spans="1:59" ht="12.5">
      <c r="A86" s="1239"/>
      <c r="B86" s="435" t="s">
        <v>3963</v>
      </c>
      <c r="C86" s="446">
        <f>+$C$84+$G$85</f>
        <v>84559.609999999986</v>
      </c>
      <c r="D86" s="173"/>
      <c r="E86" s="447"/>
      <c r="F86" s="447">
        <v>0</v>
      </c>
      <c r="G86" s="484"/>
      <c r="H86" s="1239" t="s">
        <v>3979</v>
      </c>
      <c r="I86" s="1239" t="s">
        <v>624</v>
      </c>
      <c r="J86" s="171"/>
      <c r="K86" s="638"/>
      <c r="L86" s="638" t="s">
        <v>4664</v>
      </c>
      <c r="M86" s="638" t="str">
        <f>IF(AX86="PT",VLOOKUP(L86,'Foundation Calculation'!$V$2:$X$40,VLOOKUP(AX86,'Foundation Calculation'!$I$10:$J$13,2,FALSE),0),IF(AX86="K",VLOOKUP(L86,'Foundation Calculation'!$V$42:$X$80,VLOOKUP(AX86,'Foundation Calculation'!$I$10:$J$13,2,FALSE),0),""))</f>
        <v>C11R</v>
      </c>
      <c r="N86" s="1239" t="s">
        <v>143</v>
      </c>
      <c r="O86" s="1239" t="s">
        <v>144</v>
      </c>
      <c r="P86" s="1239" t="s">
        <v>140</v>
      </c>
      <c r="Q86" s="638"/>
      <c r="R86" s="638"/>
      <c r="S86" s="484"/>
      <c r="T86" s="638">
        <v>20</v>
      </c>
      <c r="U86" s="638">
        <v>35</v>
      </c>
      <c r="V86" s="638">
        <v>50</v>
      </c>
      <c r="W86" s="638">
        <v>2</v>
      </c>
      <c r="X86" s="638">
        <v>1.8</v>
      </c>
      <c r="Y86" s="638">
        <v>1.4</v>
      </c>
      <c r="Z86" s="638"/>
      <c r="AA86" s="638"/>
      <c r="AB86" s="638">
        <v>0.6</v>
      </c>
      <c r="AC86" s="638" t="s">
        <v>1428</v>
      </c>
      <c r="AD86" s="638" t="s">
        <v>2773</v>
      </c>
      <c r="AE86" s="638"/>
      <c r="AF86" s="638"/>
      <c r="AG86" s="446"/>
      <c r="AH86" s="638"/>
      <c r="AI86" s="638"/>
      <c r="AJ86" s="638" t="s">
        <v>864</v>
      </c>
      <c r="AK86" s="638"/>
      <c r="AL86" s="638" t="s">
        <v>2143</v>
      </c>
      <c r="AM86" s="638" t="s">
        <v>1042</v>
      </c>
      <c r="AN86" s="455">
        <v>5.42</v>
      </c>
      <c r="AO86" s="1239"/>
      <c r="AP86" s="1239"/>
      <c r="AQ86" s="484"/>
      <c r="AR86" s="484"/>
      <c r="AS86" s="484"/>
      <c r="AT86" s="484">
        <f>+ab($U$86,$V$84,$U$88,$G$85,$G$87, 1*$F$86,1200)</f>
        <v>8.4929498384309916</v>
      </c>
      <c r="AU86" s="638"/>
      <c r="AV86" s="638"/>
      <c r="AW86" s="638" t="str">
        <f>VLOOKUP(C86,'Foundation Calculation'!$A$2:$C$33,3,1)</f>
        <v>Soil B</v>
      </c>
      <c r="AX86" s="638" t="str">
        <f>VLOOKUP(C86,'Foundation Calculation'!$E$2:$G$33,3,1)</f>
        <v>PT</v>
      </c>
      <c r="AY86" s="484">
        <f>IF(AX86="PT",VLOOKUP(L86,'Foundation Calculation'!$K$2:$R$40,VLOOKUP(AW86,'Foundation Calculation'!$I$2:$J$8,2,FALSE),0),IF(AX86="K",VLOOKUP(L86,'Foundation Calculation'!$K$42:$R$80,VLOOKUP(AW86,'Foundation Calculation'!$I$2:$J$8,2,FALSE),0),""))</f>
        <v>4.4000000000000004</v>
      </c>
      <c r="AZ86" s="484"/>
      <c r="BA86" s="1192" t="s">
        <v>2809</v>
      </c>
      <c r="BB86" s="1239" t="str">
        <f>Pole_Calculations!A178</f>
        <v>App.8-V08F-P10.3</v>
      </c>
      <c r="BC86" s="169"/>
      <c r="BD86" s="1329"/>
      <c r="BE86" s="1329"/>
      <c r="BF86" s="1329"/>
      <c r="BG86" s="1329"/>
    </row>
    <row r="87" spans="1:59" ht="15.65" customHeight="1">
      <c r="A87" s="909"/>
      <c r="B87" s="910"/>
      <c r="C87" s="907"/>
      <c r="D87" s="173"/>
      <c r="E87" s="447"/>
      <c r="F87" s="942"/>
      <c r="G87" s="484">
        <v>52.5</v>
      </c>
      <c r="H87" s="909"/>
      <c r="I87" s="1239" t="s">
        <v>623</v>
      </c>
      <c r="J87" s="171"/>
      <c r="K87" s="638"/>
      <c r="L87" s="911"/>
      <c r="M87" s="638"/>
      <c r="N87" s="909"/>
      <c r="O87" s="909"/>
      <c r="P87" s="909"/>
      <c r="Q87" s="638"/>
      <c r="R87" s="638"/>
      <c r="S87" s="484"/>
      <c r="T87" s="638"/>
      <c r="U87" s="638"/>
      <c r="V87" s="638"/>
      <c r="W87" s="638"/>
      <c r="X87" s="638"/>
      <c r="Y87" s="638"/>
      <c r="Z87" s="638"/>
      <c r="AA87" s="638"/>
      <c r="AB87" s="638"/>
      <c r="AC87" s="638"/>
      <c r="AD87" s="638"/>
      <c r="AE87" s="638"/>
      <c r="AF87" s="638"/>
      <c r="AG87" s="446"/>
      <c r="AH87" s="638"/>
      <c r="AI87" s="638"/>
      <c r="AJ87" s="911"/>
      <c r="AK87" s="911"/>
      <c r="AL87" s="911"/>
      <c r="AM87" s="638"/>
      <c r="AN87" s="455"/>
      <c r="AO87" s="1239"/>
      <c r="AP87" s="1239"/>
      <c r="AQ87" s="484">
        <f>+FL_1($U$88,$U$86,$G$87,1200,9.28, 1*$F$88)</f>
        <v>0.40088507104761911</v>
      </c>
      <c r="AR87" s="484"/>
      <c r="AS87" s="484"/>
      <c r="AT87" s="484"/>
      <c r="AU87" s="638"/>
      <c r="AV87" s="638"/>
      <c r="AW87" s="638"/>
      <c r="AX87" s="638"/>
      <c r="AY87" s="484"/>
      <c r="AZ87" s="484"/>
      <c r="BA87" s="671"/>
      <c r="BB87" s="909"/>
      <c r="BC87" s="169"/>
      <c r="BD87" s="1330"/>
      <c r="BE87" s="1330"/>
      <c r="BF87" s="1330"/>
      <c r="BG87" s="1330"/>
    </row>
    <row r="88" spans="1:59" ht="12.5">
      <c r="A88" s="1239"/>
      <c r="B88" s="435" t="s">
        <v>3964</v>
      </c>
      <c r="C88" s="446">
        <f>+$C$86+$G$87</f>
        <v>84612.109999999986</v>
      </c>
      <c r="D88" s="173"/>
      <c r="E88" s="447"/>
      <c r="F88" s="447">
        <v>0</v>
      </c>
      <c r="G88" s="484"/>
      <c r="H88" s="1239" t="s">
        <v>3980</v>
      </c>
      <c r="I88" s="1239" t="s">
        <v>623</v>
      </c>
      <c r="J88" s="171"/>
      <c r="K88" s="638"/>
      <c r="L88" s="638" t="s">
        <v>4666</v>
      </c>
      <c r="M88" s="638" t="str">
        <f>IF(AX88="PT",VLOOKUP(L88,'Foundation Calculation'!$V$2:$X$40,VLOOKUP(AX88,'Foundation Calculation'!$I$10:$J$13,2,FALSE),0),IF(AX88="K",VLOOKUP(L88,'Foundation Calculation'!$V$42:$X$80,VLOOKUP(AX88,'Foundation Calculation'!$I$10:$J$13,2,FALSE),0),""))</f>
        <v>C12R</v>
      </c>
      <c r="N88" s="1239" t="s">
        <v>140</v>
      </c>
      <c r="O88" s="1239" t="s">
        <v>143</v>
      </c>
      <c r="P88" s="1239" t="s">
        <v>140</v>
      </c>
      <c r="Q88" s="638"/>
      <c r="R88" s="638"/>
      <c r="S88" s="484"/>
      <c r="T88" s="638">
        <v>15</v>
      </c>
      <c r="U88" s="638">
        <v>-25</v>
      </c>
      <c r="V88" s="638">
        <v>45</v>
      </c>
      <c r="W88" s="638">
        <v>1.6</v>
      </c>
      <c r="X88" s="638">
        <v>2</v>
      </c>
      <c r="Y88" s="638">
        <v>1.4</v>
      </c>
      <c r="Z88" s="638">
        <v>0.45</v>
      </c>
      <c r="AA88" s="638"/>
      <c r="AB88" s="638">
        <v>0.6</v>
      </c>
      <c r="AC88" s="638"/>
      <c r="AD88" s="638"/>
      <c r="AE88" s="638"/>
      <c r="AF88" s="638"/>
      <c r="AG88" s="446"/>
      <c r="AH88" s="638"/>
      <c r="AI88" s="638"/>
      <c r="AJ88" s="638"/>
      <c r="AK88" s="638"/>
      <c r="AL88" s="638" t="s">
        <v>2143</v>
      </c>
      <c r="AM88" s="638" t="s">
        <v>1042</v>
      </c>
      <c r="AN88" s="455">
        <v>5.5</v>
      </c>
      <c r="AO88" s="1239"/>
      <c r="AP88" s="1239"/>
      <c r="AQ88" s="484"/>
      <c r="AR88" s="484"/>
      <c r="AS88" s="484"/>
      <c r="AT88" s="484">
        <f>+ab($U$88,$U$86,$V$90,$G$87,$G$89, 1*$F$88,1200)</f>
        <v>-10.143261790441791</v>
      </c>
      <c r="AU88" s="638"/>
      <c r="AV88" s="638"/>
      <c r="AW88" s="638" t="str">
        <f>VLOOKUP(C88,'Foundation Calculation'!$A$2:$C$33,3,1)</f>
        <v>Soil B</v>
      </c>
      <c r="AX88" s="638" t="str">
        <f>VLOOKUP(C88,'Foundation Calculation'!$E$2:$G$33,3,1)</f>
        <v>PT</v>
      </c>
      <c r="AY88" s="484">
        <f>IF(AX88="PT",VLOOKUP(L88,'Foundation Calculation'!$K$2:$R$40,VLOOKUP(AW88,'Foundation Calculation'!$I$2:$J$8,2,FALSE),0),IF(AX88="K",VLOOKUP(L88,'Foundation Calculation'!$K$42:$R$80,VLOOKUP(AW88,'Foundation Calculation'!$I$2:$J$8,2,FALSE),0),""))</f>
        <v>5.6</v>
      </c>
      <c r="AZ88" s="484"/>
      <c r="BA88" s="1192" t="s">
        <v>2809</v>
      </c>
      <c r="BB88" s="1239" t="str">
        <f>Pole_Calculations!A178</f>
        <v>App.8-V08F-P10.3</v>
      </c>
      <c r="BC88" s="169"/>
      <c r="BD88" s="1329"/>
      <c r="BE88" s="1329"/>
      <c r="BF88" s="1329"/>
      <c r="BG88" s="1329"/>
    </row>
    <row r="89" spans="1:59" ht="15.75" customHeight="1">
      <c r="A89" s="909"/>
      <c r="B89" s="910"/>
      <c r="C89" s="907"/>
      <c r="D89" s="173"/>
      <c r="E89" s="447"/>
      <c r="F89" s="942"/>
      <c r="G89" s="484">
        <v>48</v>
      </c>
      <c r="H89" s="909"/>
      <c r="I89" s="1239"/>
      <c r="J89" s="171"/>
      <c r="K89" s="638"/>
      <c r="L89" s="911"/>
      <c r="M89" s="638"/>
      <c r="N89" s="909"/>
      <c r="O89" s="909"/>
      <c r="P89" s="909"/>
      <c r="Q89" s="638"/>
      <c r="R89" s="638"/>
      <c r="S89" s="484"/>
      <c r="T89" s="638"/>
      <c r="U89" s="638"/>
      <c r="V89" s="638"/>
      <c r="W89" s="638"/>
      <c r="X89" s="638"/>
      <c r="Y89" s="638"/>
      <c r="Z89" s="638"/>
      <c r="AA89" s="638"/>
      <c r="AB89" s="638"/>
      <c r="AC89" s="638"/>
      <c r="AD89" s="638"/>
      <c r="AE89" s="638"/>
      <c r="AF89" s="638"/>
      <c r="AG89" s="446"/>
      <c r="AH89" s="638"/>
      <c r="AI89" s="638"/>
      <c r="AJ89" s="911"/>
      <c r="AK89" s="911"/>
      <c r="AL89" s="911"/>
      <c r="AM89" s="638"/>
      <c r="AN89" s="455"/>
      <c r="AO89" s="1239"/>
      <c r="AP89" s="1239"/>
      <c r="AQ89" s="484">
        <f>+FL_1($V$90,$U$88,$G$89,1200,9.28, 1*$F$90)</f>
        <v>0.182096122</v>
      </c>
      <c r="AR89" s="484"/>
      <c r="AS89" s="484"/>
      <c r="AT89" s="484"/>
      <c r="AU89" s="638"/>
      <c r="AV89" s="638"/>
      <c r="AW89" s="638"/>
      <c r="AX89" s="638"/>
      <c r="AY89" s="484"/>
      <c r="AZ89" s="484"/>
      <c r="BA89" s="671"/>
      <c r="BB89" s="909"/>
      <c r="BC89" s="169"/>
      <c r="BD89" s="1330"/>
      <c r="BE89" s="1330"/>
      <c r="BF89" s="1330"/>
      <c r="BG89" s="1330"/>
    </row>
    <row r="90" spans="1:59" ht="15.75" customHeight="1">
      <c r="A90" s="1239"/>
      <c r="B90" s="439" t="s">
        <v>3965</v>
      </c>
      <c r="C90" s="446">
        <f>+$C$88+$G$89</f>
        <v>84660.109999999986</v>
      </c>
      <c r="D90" s="898"/>
      <c r="E90" s="887"/>
      <c r="F90" s="447">
        <v>0</v>
      </c>
      <c r="G90" s="891"/>
      <c r="H90" s="1239" t="s">
        <v>3042</v>
      </c>
      <c r="I90" s="896" t="s">
        <v>623</v>
      </c>
      <c r="J90" s="171"/>
      <c r="K90" s="514"/>
      <c r="L90" s="638" t="s">
        <v>4664</v>
      </c>
      <c r="M90" s="892" t="str">
        <f>IF(AX90="PT",VLOOKUP(L90,'Foundation Calculation'!$V$2:$X$40,VLOOKUP(AX90,'Foundation Calculation'!$I$10:$J$13,2,FALSE),0),IF(AX90="K",VLOOKUP(L90,'Foundation Calculation'!$V$42:$X$80,VLOOKUP(AX90,'Foundation Calculation'!$I$10:$J$13,2,FALSE),0),""))</f>
        <v>C11R</v>
      </c>
      <c r="N90" s="638" t="s">
        <v>140</v>
      </c>
      <c r="O90" s="1239" t="s">
        <v>140</v>
      </c>
      <c r="P90" s="1239" t="s">
        <v>144</v>
      </c>
      <c r="Q90" s="893"/>
      <c r="R90" s="638"/>
      <c r="S90" s="484"/>
      <c r="T90" s="638">
        <v>65</v>
      </c>
      <c r="U90" s="638">
        <v>55</v>
      </c>
      <c r="V90" s="638">
        <v>10</v>
      </c>
      <c r="W90" s="638">
        <v>1.4</v>
      </c>
      <c r="X90" s="638">
        <v>1.8</v>
      </c>
      <c r="Y90" s="638">
        <v>2</v>
      </c>
      <c r="Z90" s="638">
        <v>0.6</v>
      </c>
      <c r="AA90" s="638">
        <v>0.45</v>
      </c>
      <c r="AB90" s="638"/>
      <c r="AC90" s="638"/>
      <c r="AD90" s="638"/>
      <c r="AE90" s="638"/>
      <c r="AF90" s="638"/>
      <c r="AG90" s="446"/>
      <c r="AH90" s="638"/>
      <c r="AI90" s="514"/>
      <c r="AJ90" s="638"/>
      <c r="AK90" s="638"/>
      <c r="AL90" s="445" t="s">
        <v>2143</v>
      </c>
      <c r="AM90" s="893" t="s">
        <v>1042</v>
      </c>
      <c r="AN90" s="455">
        <v>5.5</v>
      </c>
      <c r="AO90" s="1239"/>
      <c r="AP90" s="1239"/>
      <c r="AQ90" s="484"/>
      <c r="AR90" s="484"/>
      <c r="AS90" s="484"/>
      <c r="AT90" s="484">
        <f>+ab($U$90,$U$88,$T$92,$G$89,$G$91, 1*$F$90,1200)</f>
        <v>6.5770871965341806</v>
      </c>
      <c r="AU90" s="638"/>
      <c r="AV90" s="638"/>
      <c r="AW90" s="638" t="str">
        <f>VLOOKUP(C90,'Foundation Calculation'!$A$2:$C$33,3,1)</f>
        <v>Soil B</v>
      </c>
      <c r="AX90" s="638" t="str">
        <f>VLOOKUP(C90,'Foundation Calculation'!$E$2:$G$33,3,1)</f>
        <v>PT</v>
      </c>
      <c r="AY90" s="484">
        <f>IF(AX90="PT",VLOOKUP(L90,'Foundation Calculation'!$K$2:$R$40,VLOOKUP(AW90,'Foundation Calculation'!$I$2:$J$8,2,FALSE),0),IF(AX90="K",VLOOKUP(L90,'Foundation Calculation'!$K$42:$R$80,VLOOKUP(AW90,'Foundation Calculation'!$I$2:$J$8,2,FALSE),0),""))</f>
        <v>4.4000000000000004</v>
      </c>
      <c r="AZ90" s="484"/>
      <c r="BA90" s="1192" t="s">
        <v>2809</v>
      </c>
      <c r="BB90" s="1239" t="str">
        <f>Pole_Calculations!A178</f>
        <v>App.8-V08F-P10.3</v>
      </c>
      <c r="BC90" s="169"/>
      <c r="BD90" s="1329"/>
      <c r="BE90" s="1329"/>
      <c r="BF90" s="1329"/>
      <c r="BG90" s="1329"/>
    </row>
    <row r="91" spans="1:59" ht="15.75" customHeight="1">
      <c r="A91" s="909"/>
      <c r="B91" s="910"/>
      <c r="C91" s="907"/>
      <c r="D91" s="173"/>
      <c r="E91" s="447"/>
      <c r="F91" s="942"/>
      <c r="G91" s="484">
        <v>52.5</v>
      </c>
      <c r="H91" s="909"/>
      <c r="I91" s="1239"/>
      <c r="J91" s="171">
        <f>C90+7.5</f>
        <v>84667.609999999986</v>
      </c>
      <c r="K91" s="638" t="s">
        <v>2787</v>
      </c>
      <c r="L91" s="911"/>
      <c r="M91" s="638"/>
      <c r="N91" s="909"/>
      <c r="O91" s="909"/>
      <c r="P91" s="909"/>
      <c r="Q91" s="638"/>
      <c r="R91" s="638"/>
      <c r="S91" s="484"/>
      <c r="T91" s="638"/>
      <c r="U91" s="638"/>
      <c r="V91" s="638"/>
      <c r="W91" s="638"/>
      <c r="X91" s="638"/>
      <c r="Y91" s="638"/>
      <c r="Z91" s="638"/>
      <c r="AA91" s="638"/>
      <c r="AB91" s="638"/>
      <c r="AC91" s="638"/>
      <c r="AD91" s="638"/>
      <c r="AE91" s="638"/>
      <c r="AF91" s="638"/>
      <c r="AG91" s="446"/>
      <c r="AH91" s="638"/>
      <c r="AI91" s="638"/>
      <c r="AJ91" s="911"/>
      <c r="AK91" s="911"/>
      <c r="AL91" s="911"/>
      <c r="AM91" s="638"/>
      <c r="AN91" s="455"/>
      <c r="AO91" s="1239"/>
      <c r="AP91" s="1239"/>
      <c r="AQ91" s="484">
        <f>+FL_1($T$92,$U$90,$G$91,1200,9.28, 1*$F$92)</f>
        <v>0.59054610895238091</v>
      </c>
      <c r="AR91" s="484"/>
      <c r="AS91" s="484"/>
      <c r="AT91" s="484"/>
      <c r="AU91" s="638"/>
      <c r="AV91" s="638"/>
      <c r="AW91" s="638" t="str">
        <f>VLOOKUP(J91,'Foundation Calculation'!$A$2:$C$33,3,1)</f>
        <v>Soil B</v>
      </c>
      <c r="AX91" s="638" t="str">
        <f>VLOOKUP(J91,'Foundation Calculation'!$E$2:$G$33,3,1)</f>
        <v>PT</v>
      </c>
      <c r="AY91" s="484"/>
      <c r="AZ91" s="484">
        <f>IF(AX91="PT",VLOOKUP(K91,'Foundation Calculation'!$K$2:$R$40,VLOOKUP(AW91,'Foundation Calculation'!$I$2:$J$8,2,FALSE),0),IF(AX91="K",VLOOKUP(K91,'Foundation Calculation'!$K$42:$R$80,VLOOKUP(AW91,'Foundation Calculation'!$I$2:$J$8,2,FALSE),0),""))</f>
        <v>3.9</v>
      </c>
      <c r="BA91" s="671" t="s">
        <v>2809</v>
      </c>
      <c r="BB91" s="909"/>
      <c r="BC91" s="169"/>
      <c r="BD91" s="1329"/>
      <c r="BE91" s="1330"/>
      <c r="BF91" s="1330"/>
      <c r="BG91" s="1330"/>
    </row>
    <row r="92" spans="1:59" ht="15.75" customHeight="1">
      <c r="A92" s="1239" t="s">
        <v>3981</v>
      </c>
      <c r="B92" s="439" t="s">
        <v>4190</v>
      </c>
      <c r="C92" s="446">
        <f>+$C$90+$G$91</f>
        <v>84712.609999999986</v>
      </c>
      <c r="D92" s="898"/>
      <c r="E92" s="887"/>
      <c r="F92" s="447">
        <v>0</v>
      </c>
      <c r="G92" s="891"/>
      <c r="H92" s="1239" t="s">
        <v>619</v>
      </c>
      <c r="I92" s="897" t="s">
        <v>1429</v>
      </c>
      <c r="J92" s="171"/>
      <c r="K92" s="514"/>
      <c r="L92" s="638" t="s">
        <v>821</v>
      </c>
      <c r="M92" s="892" t="str">
        <f>IF(AX92="PT",VLOOKUP(L92,'Foundation Calculation'!$V$2:$X$40,VLOOKUP(AX92,'Foundation Calculation'!$I$10:$J$13,2,FALSE),0),IF(AX92="K",VLOOKUP(L92,'Foundation Calculation'!$V$42:$X$80,VLOOKUP(AX92,'Foundation Calculation'!$I$10:$J$13,2,FALSE),0),""))</f>
        <v>C7R</v>
      </c>
      <c r="N92" s="1239" t="s">
        <v>143</v>
      </c>
      <c r="O92" s="1239" t="s">
        <v>140</v>
      </c>
      <c r="P92" s="1239"/>
      <c r="Q92" s="893"/>
      <c r="R92" s="638"/>
      <c r="S92" s="484"/>
      <c r="T92" s="638">
        <v>-10</v>
      </c>
      <c r="U92" s="638">
        <v>55</v>
      </c>
      <c r="V92" s="638"/>
      <c r="W92" s="638">
        <v>1.4</v>
      </c>
      <c r="X92" s="638">
        <v>2</v>
      </c>
      <c r="Y92" s="638"/>
      <c r="Z92" s="638"/>
      <c r="AA92" s="638"/>
      <c r="AB92" s="638">
        <v>0.45</v>
      </c>
      <c r="AC92" s="638" t="str">
        <f>IF(OR(AT92&gt;8,AT92&lt;-8),"PH",IF(OR(AT92&gt;5,AT92&lt;-5),"PH-Q",IF(OR(AT92&gt;1,AT92&lt;-1),"PH-C")))</f>
        <v>PH</v>
      </c>
      <c r="AD92" s="638"/>
      <c r="AE92" s="638"/>
      <c r="AF92" s="638"/>
      <c r="AG92" s="446"/>
      <c r="AH92" s="638"/>
      <c r="AI92" s="514"/>
      <c r="AJ92" s="638" t="s">
        <v>2154</v>
      </c>
      <c r="AK92" s="638"/>
      <c r="AL92" s="638" t="s">
        <v>2142</v>
      </c>
      <c r="AM92" s="893" t="s">
        <v>1042</v>
      </c>
      <c r="AN92" s="455">
        <v>5.5</v>
      </c>
      <c r="AO92" s="1239"/>
      <c r="AP92" s="1239"/>
      <c r="AQ92" s="484"/>
      <c r="AR92" s="484"/>
      <c r="AS92" s="484"/>
      <c r="AT92" s="484">
        <f>+ab($T$92,$T$90,$T$94,$G$91,$G$93, 1*$F$92,1200)</f>
        <v>-8.1694720634792741</v>
      </c>
      <c r="AU92" s="638"/>
      <c r="AV92" s="638"/>
      <c r="AW92" s="638" t="str">
        <f>VLOOKUP(C92,'Foundation Calculation'!$A$2:$C$33,3,1)</f>
        <v>Soil B</v>
      </c>
      <c r="AX92" s="638" t="str">
        <f>VLOOKUP(C92,'Foundation Calculation'!$E$2:$G$33,3,1)</f>
        <v>PT</v>
      </c>
      <c r="AY92" s="484">
        <f>IF(AX92="PT",VLOOKUP(L92,'Foundation Calculation'!$K$2:$R$40,VLOOKUP(AW92,'Foundation Calculation'!$I$2:$J$8,2,FALSE),0),IF(AX92="K",VLOOKUP(L92,'Foundation Calculation'!$K$42:$R$80,VLOOKUP(AW92,'Foundation Calculation'!$I$2:$J$8,2,FALSE),0),""))</f>
        <v>3.5</v>
      </c>
      <c r="AZ92" s="484"/>
      <c r="BA92" s="1192" t="s">
        <v>2809</v>
      </c>
      <c r="BB92" s="1239" t="str">
        <f>Pole_Calculations!A178</f>
        <v>App.8-V08F-P10.3</v>
      </c>
      <c r="BC92" s="169"/>
      <c r="BD92" s="1329"/>
      <c r="BE92" s="1329"/>
      <c r="BF92" s="1329"/>
      <c r="BG92" s="1329"/>
    </row>
    <row r="93" spans="1:59" ht="15" customHeight="1">
      <c r="A93" s="909"/>
      <c r="B93" s="910"/>
      <c r="C93" s="907"/>
      <c r="D93" s="173"/>
      <c r="E93" s="447"/>
      <c r="F93" s="942"/>
      <c r="G93" s="484">
        <v>38.700000000000003</v>
      </c>
      <c r="H93" s="909"/>
      <c r="I93" s="1239"/>
      <c r="J93" s="171"/>
      <c r="K93" s="638"/>
      <c r="L93" s="911"/>
      <c r="M93" s="638"/>
      <c r="N93" s="909"/>
      <c r="O93" s="909"/>
      <c r="P93" s="909"/>
      <c r="Q93" s="638"/>
      <c r="R93" s="638"/>
      <c r="S93" s="484"/>
      <c r="T93" s="638"/>
      <c r="U93" s="638"/>
      <c r="V93" s="638"/>
      <c r="W93" s="638"/>
      <c r="X93" s="638"/>
      <c r="Y93" s="638"/>
      <c r="Z93" s="638"/>
      <c r="AA93" s="638"/>
      <c r="AB93" s="638"/>
      <c r="AC93" s="638"/>
      <c r="AD93" s="638"/>
      <c r="AE93" s="638"/>
      <c r="AF93" s="638"/>
      <c r="AG93" s="446"/>
      <c r="AH93" s="638"/>
      <c r="AI93" s="638"/>
      <c r="AJ93" s="911"/>
      <c r="AK93" s="911"/>
      <c r="AL93" s="911"/>
      <c r="AM93" s="638"/>
      <c r="AN93" s="455"/>
      <c r="AO93" s="1239"/>
      <c r="AP93" s="1239"/>
      <c r="AQ93" s="484">
        <f>+FL_1($T$94,$T$92,$G$93,1200,9.28, 1*$F$94)</f>
        <v>0.2726598555452196</v>
      </c>
      <c r="AR93" s="484"/>
      <c r="AS93" s="484"/>
      <c r="AT93" s="484"/>
      <c r="AU93" s="638"/>
      <c r="AV93" s="638"/>
      <c r="AW93" s="638"/>
      <c r="AX93" s="638"/>
      <c r="AY93" s="484"/>
      <c r="AZ93" s="484"/>
      <c r="BA93" s="671"/>
      <c r="BB93" s="909"/>
      <c r="BC93" s="169"/>
      <c r="BD93" s="1330"/>
      <c r="BE93" s="1330"/>
      <c r="BF93" s="1330"/>
      <c r="BG93" s="1330"/>
    </row>
    <row r="94" spans="1:59" ht="15.75" customHeight="1">
      <c r="A94" s="1239"/>
      <c r="B94" s="439" t="s">
        <v>4191</v>
      </c>
      <c r="C94" s="446">
        <f>+$C$92+$G$93</f>
        <v>84751.309999999983</v>
      </c>
      <c r="D94" s="898"/>
      <c r="E94" s="887"/>
      <c r="F94" s="447">
        <v>0</v>
      </c>
      <c r="G94" s="891"/>
      <c r="H94" s="1239" t="s">
        <v>138</v>
      </c>
      <c r="I94" s="896" t="s">
        <v>623</v>
      </c>
      <c r="J94" s="171"/>
      <c r="K94" s="514"/>
      <c r="L94" s="638" t="s">
        <v>819</v>
      </c>
      <c r="M94" s="892" t="str">
        <f>IF(AX94="PT",VLOOKUP(L94,'Foundation Calculation'!$V$2:$X$40,VLOOKUP(AX94,'Foundation Calculation'!$I$10:$J$13,2,FALSE),0),IF(AX94="K",VLOOKUP(L94,'Foundation Calculation'!$V$42:$X$80,VLOOKUP(AX94,'Foundation Calculation'!$I$10:$J$13,2,FALSE),0),""))</f>
        <v>C5R</v>
      </c>
      <c r="N94" s="1239" t="s">
        <v>144</v>
      </c>
      <c r="O94" s="1239"/>
      <c r="P94" s="1239"/>
      <c r="Q94" s="893"/>
      <c r="R94" s="638"/>
      <c r="S94" s="484"/>
      <c r="T94" s="638">
        <v>25</v>
      </c>
      <c r="U94" s="638"/>
      <c r="V94" s="638"/>
      <c r="W94" s="638">
        <v>1.8</v>
      </c>
      <c r="X94" s="638"/>
      <c r="Y94" s="638"/>
      <c r="Z94" s="638"/>
      <c r="AA94" s="638"/>
      <c r="AB94" s="638"/>
      <c r="AC94" s="638" t="str">
        <f>IF(OR(AT94&gt;8,AT94&lt;-8),"PH",IF(OR(AT94&gt;5,AT94&lt;-5),"PH-Q",IF(OR(AT94&gt;1,AT94&lt;-1),"PH-C")))</f>
        <v>PH</v>
      </c>
      <c r="AD94" s="638"/>
      <c r="AE94" s="638"/>
      <c r="AF94" s="638"/>
      <c r="AG94" s="446"/>
      <c r="AH94" s="638"/>
      <c r="AI94" s="514"/>
      <c r="AJ94" s="638"/>
      <c r="AK94" s="638"/>
      <c r="AL94" s="638" t="s">
        <v>2127</v>
      </c>
      <c r="AM94" s="893" t="s">
        <v>1042</v>
      </c>
      <c r="AN94" s="455">
        <v>5.5</v>
      </c>
      <c r="AO94" s="1239"/>
      <c r="AP94" s="1239"/>
      <c r="AQ94" s="484"/>
      <c r="AR94" s="484"/>
      <c r="AS94" s="484"/>
      <c r="AT94" s="484">
        <f>+ab($T$94,$T$92,$U$96,$G$93,$G$95, 1*$F$94,1200)</f>
        <v>16.067811277125276</v>
      </c>
      <c r="AU94" s="638"/>
      <c r="AV94" s="638"/>
      <c r="AW94" s="638" t="str">
        <f>VLOOKUP(C94,'Foundation Calculation'!$A$2:$C$33,3,1)</f>
        <v>Soil B</v>
      </c>
      <c r="AX94" s="638" t="str">
        <f>VLOOKUP(C94,'Foundation Calculation'!$E$2:$G$33,3,1)</f>
        <v>PT</v>
      </c>
      <c r="AY94" s="484">
        <f>IF(AX94="PT",VLOOKUP(L94,'Foundation Calculation'!$K$2:$R$40,VLOOKUP(AW94,'Foundation Calculation'!$I$2:$J$8,2,FALSE),0),IF(AX94="K",VLOOKUP(L94,'Foundation Calculation'!$K$42:$R$80,VLOOKUP(AW94,'Foundation Calculation'!$I$2:$J$8,2,FALSE),0),""))</f>
        <v>3.5</v>
      </c>
      <c r="AZ94" s="484"/>
      <c r="BA94" s="1192" t="s">
        <v>2809</v>
      </c>
      <c r="BB94" s="1239" t="str">
        <f>Pole_Calculations!A178</f>
        <v>App.8-V08F-P10.3</v>
      </c>
      <c r="BC94" s="169"/>
      <c r="BD94" s="1329"/>
      <c r="BE94" s="1329"/>
      <c r="BF94" s="1329"/>
      <c r="BG94" s="1329"/>
    </row>
    <row r="95" spans="1:59" ht="15.75" customHeight="1">
      <c r="A95" s="909"/>
      <c r="B95" s="910"/>
      <c r="C95" s="907"/>
      <c r="D95" s="173"/>
      <c r="E95" s="447"/>
      <c r="F95" s="942"/>
      <c r="G95" s="484">
        <v>38.700000000000003</v>
      </c>
      <c r="H95" s="909"/>
      <c r="I95" s="1239"/>
      <c r="J95" s="171">
        <f>C94+7.5</f>
        <v>84758.809999999983</v>
      </c>
      <c r="K95" s="638" t="s">
        <v>2787</v>
      </c>
      <c r="L95" s="911"/>
      <c r="M95" s="638"/>
      <c r="N95" s="909"/>
      <c r="O95" s="909"/>
      <c r="P95" s="909"/>
      <c r="Q95" s="638"/>
      <c r="R95" s="638"/>
      <c r="S95" s="484"/>
      <c r="T95" s="638"/>
      <c r="U95" s="638"/>
      <c r="V95" s="638"/>
      <c r="W95" s="638"/>
      <c r="X95" s="638"/>
      <c r="Y95" s="638"/>
      <c r="Z95" s="638"/>
      <c r="AA95" s="638"/>
      <c r="AB95" s="638"/>
      <c r="AC95" s="638"/>
      <c r="AD95" s="638"/>
      <c r="AE95" s="638"/>
      <c r="AF95" s="638"/>
      <c r="AG95" s="446"/>
      <c r="AH95" s="638"/>
      <c r="AI95" s="638"/>
      <c r="AJ95" s="911"/>
      <c r="AK95" s="911"/>
      <c r="AL95" s="911"/>
      <c r="AM95" s="638"/>
      <c r="AN95" s="455"/>
      <c r="AO95" s="1239"/>
      <c r="AP95" s="1239"/>
      <c r="AQ95" s="484">
        <f>+FL_1($T$96,$T$94,$G$95,1200,9.28, 1*$F$96)</f>
        <v>0.25036573561757114</v>
      </c>
      <c r="AR95" s="484"/>
      <c r="AS95" s="484"/>
      <c r="AT95" s="484"/>
      <c r="AU95" s="638"/>
      <c r="AV95" s="638"/>
      <c r="AW95" s="638" t="str">
        <f>VLOOKUP(J95,'Foundation Calculation'!$A$2:$C$33,3,1)</f>
        <v>Soil B</v>
      </c>
      <c r="AX95" s="638" t="str">
        <f>VLOOKUP(J95,'Foundation Calculation'!$E$2:$G$33,3,1)</f>
        <v>PT</v>
      </c>
      <c r="AY95" s="484"/>
      <c r="AZ95" s="484">
        <f>IF(AX95="PT",VLOOKUP(K95,'Foundation Calculation'!$K$2:$R$40,VLOOKUP(AW95,'Foundation Calculation'!$I$2:$J$8,2,FALSE),0),IF(AX95="K",VLOOKUP(K95,'Foundation Calculation'!$K$42:$R$80,VLOOKUP(AW95,'Foundation Calculation'!$I$2:$J$8,2,FALSE),0),""))</f>
        <v>3.9</v>
      </c>
      <c r="BA95" s="671" t="s">
        <v>2809</v>
      </c>
      <c r="BB95" s="909"/>
      <c r="BC95" s="169"/>
      <c r="BD95" s="1329"/>
      <c r="BE95" s="1330"/>
      <c r="BF95" s="1330"/>
      <c r="BG95" s="1330"/>
    </row>
    <row r="96" spans="1:59" ht="15.75" customHeight="1">
      <c r="A96" s="1239"/>
      <c r="B96" s="439" t="s">
        <v>4192</v>
      </c>
      <c r="C96" s="446">
        <f>+$C$94+$G$95</f>
        <v>84790.00999999998</v>
      </c>
      <c r="D96" s="898"/>
      <c r="E96" s="887"/>
      <c r="F96" s="447">
        <v>0</v>
      </c>
      <c r="G96" s="891"/>
      <c r="H96" s="1239" t="s">
        <v>619</v>
      </c>
      <c r="I96" s="896"/>
      <c r="J96" s="171"/>
      <c r="K96" s="514"/>
      <c r="L96" s="638" t="s">
        <v>821</v>
      </c>
      <c r="M96" s="892" t="str">
        <f>IF(AX96="PT",VLOOKUP(L96,'Foundation Calculation'!$V$2:$X$40,VLOOKUP(AX96,'Foundation Calculation'!$I$10:$J$13,2,FALSE),0),IF(AX96="K",VLOOKUP(L96,'Foundation Calculation'!$V$42:$X$80,VLOOKUP(AX96,'Foundation Calculation'!$I$10:$J$13,2,FALSE),0),""))</f>
        <v>C7R</v>
      </c>
      <c r="N96" s="1239" t="s">
        <v>143</v>
      </c>
      <c r="O96" s="1239" t="s">
        <v>140</v>
      </c>
      <c r="P96" s="1239"/>
      <c r="Q96" s="893"/>
      <c r="R96" s="638"/>
      <c r="S96" s="484"/>
      <c r="T96" s="638">
        <v>-30</v>
      </c>
      <c r="U96" s="638">
        <v>15</v>
      </c>
      <c r="V96" s="638"/>
      <c r="W96" s="638">
        <v>1.8</v>
      </c>
      <c r="X96" s="638">
        <v>1.4</v>
      </c>
      <c r="Y96" s="638"/>
      <c r="Z96" s="638"/>
      <c r="AA96" s="638">
        <v>0.6</v>
      </c>
      <c r="AB96" s="638"/>
      <c r="AC96" s="638" t="str">
        <f>IF(OR(AT96&gt;8,AT96&lt;-8),"PH",IF(OR(AT96&gt;5,AT96&lt;-5),"PH-Q",IF(OR(AT96&gt;1,AT96&lt;-1),"PH-C")))</f>
        <v>PH-Q</v>
      </c>
      <c r="AD96" s="638"/>
      <c r="AE96" s="638"/>
      <c r="AF96" s="638"/>
      <c r="AG96" s="446"/>
      <c r="AH96" s="638"/>
      <c r="AI96" s="514"/>
      <c r="AJ96" s="638"/>
      <c r="AK96" s="638"/>
      <c r="AL96" s="638" t="s">
        <v>2142</v>
      </c>
      <c r="AM96" s="893" t="s">
        <v>1042</v>
      </c>
      <c r="AN96" s="455">
        <v>5.5</v>
      </c>
      <c r="AO96" s="1239"/>
      <c r="AP96" s="1239"/>
      <c r="AQ96" s="484"/>
      <c r="AR96" s="484"/>
      <c r="AS96" s="484"/>
      <c r="AT96" s="484">
        <f>+ab($T$96,$T$94,$T$100,$G$95,51, 1*$F$96,1200)</f>
        <v>-7.0821973203183717</v>
      </c>
      <c r="AU96" s="638"/>
      <c r="AV96" s="638"/>
      <c r="AW96" s="638" t="str">
        <f>VLOOKUP(C96,'Foundation Calculation'!$A$2:$C$33,3,1)</f>
        <v>Soil B</v>
      </c>
      <c r="AX96" s="638" t="str">
        <f>VLOOKUP(C96,'Foundation Calculation'!$E$2:$G$33,3,1)</f>
        <v>PT</v>
      </c>
      <c r="AY96" s="484">
        <f>IF(AX96="PT",VLOOKUP(L96,'Foundation Calculation'!$K$2:$R$40,VLOOKUP(AW96,'Foundation Calculation'!$I$2:$J$8,2,FALSE),0),IF(AX96="K",VLOOKUP(L96,'Foundation Calculation'!$K$42:$R$80,VLOOKUP(AW96,'Foundation Calculation'!$I$2:$J$8,2,FALSE),0),""))</f>
        <v>3.5</v>
      </c>
      <c r="AZ96" s="484"/>
      <c r="BA96" s="1192" t="s">
        <v>2809</v>
      </c>
      <c r="BB96" s="1239" t="str">
        <f>Pole_Calculations!A178</f>
        <v>App.8-V08F-P10.3</v>
      </c>
      <c r="BC96" s="169"/>
      <c r="BD96" s="1329"/>
      <c r="BE96" s="1329"/>
      <c r="BF96" s="1329"/>
      <c r="BG96" s="1329"/>
    </row>
    <row r="97" spans="1:59" ht="15.75" customHeight="1">
      <c r="A97" s="909"/>
      <c r="B97" s="910"/>
      <c r="C97" s="907"/>
      <c r="D97" s="173"/>
      <c r="E97" s="447"/>
      <c r="F97" s="942"/>
      <c r="G97" s="484">
        <v>25</v>
      </c>
      <c r="H97" s="909"/>
      <c r="I97" s="1239">
        <v>405</v>
      </c>
      <c r="J97" s="171"/>
      <c r="K97" s="638"/>
      <c r="L97" s="911"/>
      <c r="M97" s="638"/>
      <c r="N97" s="909"/>
      <c r="O97" s="909"/>
      <c r="P97" s="909"/>
      <c r="Q97" s="638"/>
      <c r="R97" s="638"/>
      <c r="S97" s="484"/>
      <c r="T97" s="638"/>
      <c r="U97" s="638"/>
      <c r="V97" s="638"/>
      <c r="W97" s="638"/>
      <c r="X97" s="638"/>
      <c r="Y97" s="638"/>
      <c r="Z97" s="638"/>
      <c r="AA97" s="638"/>
      <c r="AB97" s="638"/>
      <c r="AC97" s="638"/>
      <c r="AD97" s="638"/>
      <c r="AE97" s="638"/>
      <c r="AF97" s="638"/>
      <c r="AG97" s="446"/>
      <c r="AH97" s="638"/>
      <c r="AI97" s="638"/>
      <c r="AJ97" s="911"/>
      <c r="AK97" s="911"/>
      <c r="AL97" s="911"/>
      <c r="AM97" s="638"/>
      <c r="AN97" s="455"/>
      <c r="AO97" s="1239"/>
      <c r="AP97" s="1239"/>
      <c r="AQ97" s="484">
        <f>+FL_2($T$100,$T$96,51,1200,9.28, 1*$F$98)</f>
        <v>-0.33145426101960795</v>
      </c>
      <c r="AR97" s="484"/>
      <c r="AS97" s="484"/>
      <c r="AT97" s="484"/>
      <c r="AU97" s="638"/>
      <c r="AV97" s="638"/>
      <c r="AW97" s="638"/>
      <c r="AX97" s="638"/>
      <c r="AY97" s="484"/>
      <c r="AZ97" s="484"/>
      <c r="BA97" s="671"/>
      <c r="BB97" s="909"/>
      <c r="BC97" s="169"/>
      <c r="BD97" s="1330"/>
      <c r="BE97" s="1330"/>
      <c r="BF97" s="1330"/>
      <c r="BG97" s="1330"/>
    </row>
    <row r="98" spans="1:59" ht="15.75" customHeight="1">
      <c r="A98" s="1239"/>
      <c r="B98" s="439" t="s">
        <v>3966</v>
      </c>
      <c r="C98" s="446">
        <f>+$C$96+$G$97</f>
        <v>84815.00999999998</v>
      </c>
      <c r="D98" s="898"/>
      <c r="E98" s="887"/>
      <c r="F98" s="447">
        <v>0</v>
      </c>
      <c r="G98" s="891"/>
      <c r="H98" s="638" t="s">
        <v>890</v>
      </c>
      <c r="I98" s="896" t="s">
        <v>623</v>
      </c>
      <c r="J98" s="171"/>
      <c r="K98" s="514"/>
      <c r="L98" s="638" t="s">
        <v>4664</v>
      </c>
      <c r="M98" s="892" t="str">
        <f>IF(AX98="PT",VLOOKUP(L98,'Foundation Calculation'!$V$2:$X$40,VLOOKUP(AX98,'Foundation Calculation'!$I$10:$J$13,2,FALSE),0),IF(AX98="K",VLOOKUP(L98,'Foundation Calculation'!$V$42:$X$80,VLOOKUP(AX98,'Foundation Calculation'!$I$10:$J$13,2,FALSE),0),""))</f>
        <v>C11R</v>
      </c>
      <c r="N98" s="638"/>
      <c r="O98" s="571"/>
      <c r="P98" s="1239"/>
      <c r="Q98" s="893"/>
      <c r="R98" s="638"/>
      <c r="S98" s="484"/>
      <c r="T98" s="638"/>
      <c r="U98" s="638"/>
      <c r="V98" s="638"/>
      <c r="W98" s="638"/>
      <c r="X98" s="638"/>
      <c r="Y98" s="638"/>
      <c r="Z98" s="638"/>
      <c r="AA98" s="638"/>
      <c r="AB98" s="638"/>
      <c r="AC98" s="638"/>
      <c r="AD98" s="638"/>
      <c r="AE98" s="638"/>
      <c r="AF98" s="638"/>
      <c r="AG98" s="446"/>
      <c r="AH98" s="638"/>
      <c r="AI98" s="514"/>
      <c r="AJ98" s="638" t="s">
        <v>864</v>
      </c>
      <c r="AK98" s="638"/>
      <c r="AL98" s="445" t="s">
        <v>2143</v>
      </c>
      <c r="AM98" s="893" t="s">
        <v>1042</v>
      </c>
      <c r="AN98" s="455"/>
      <c r="AO98" s="1239"/>
      <c r="AP98" s="1239"/>
      <c r="AQ98" s="484"/>
      <c r="AR98" s="484"/>
      <c r="AS98" s="484"/>
      <c r="AT98" s="484"/>
      <c r="AU98" s="638"/>
      <c r="AV98" s="638"/>
      <c r="AW98" s="638" t="str">
        <f>VLOOKUP(C98,'Foundation Calculation'!$A$2:$C$33,3,1)</f>
        <v>Soil B</v>
      </c>
      <c r="AX98" s="638" t="str">
        <f>VLOOKUP(C98,'Foundation Calculation'!$E$2:$G$33,3,1)</f>
        <v>PT</v>
      </c>
      <c r="AY98" s="484">
        <f>IF(AX98="PT",VLOOKUP(L98,'Foundation Calculation'!$K$2:$R$40,VLOOKUP(AW98,'Foundation Calculation'!$I$2:$J$8,2,FALSE),0),IF(AX98="K",VLOOKUP(L98,'Foundation Calculation'!$K$42:$R$80,VLOOKUP(AW98,'Foundation Calculation'!$I$2:$J$8,2,FALSE),0),""))</f>
        <v>4.4000000000000004</v>
      </c>
      <c r="AZ98" s="484"/>
      <c r="BA98" s="1192" t="s">
        <v>2809</v>
      </c>
      <c r="BB98" s="1239" t="str">
        <f>Pole_Calculations!A178</f>
        <v>App.8-V08F-P10.3</v>
      </c>
      <c r="BC98" s="169"/>
      <c r="BD98" s="1329"/>
      <c r="BE98" s="1329"/>
      <c r="BF98" s="1329"/>
      <c r="BG98" s="1330"/>
    </row>
    <row r="99" spans="1:59" ht="15.75" customHeight="1">
      <c r="A99" s="909"/>
      <c r="B99" s="910"/>
      <c r="C99" s="907"/>
      <c r="D99" s="173"/>
      <c r="E99" s="447"/>
      <c r="F99" s="942"/>
      <c r="G99" s="484">
        <v>51</v>
      </c>
      <c r="H99" s="909"/>
      <c r="I99" s="1239"/>
      <c r="J99" s="171">
        <f>C98+7.5</f>
        <v>84822.50999999998</v>
      </c>
      <c r="K99" s="638" t="s">
        <v>2787</v>
      </c>
      <c r="L99" s="911"/>
      <c r="M99" s="638"/>
      <c r="N99" s="909"/>
      <c r="O99" s="909"/>
      <c r="P99" s="909"/>
      <c r="Q99" s="638"/>
      <c r="R99" s="638"/>
      <c r="S99" s="484"/>
      <c r="T99" s="638"/>
      <c r="U99" s="638"/>
      <c r="V99" s="638"/>
      <c r="W99" s="638"/>
      <c r="X99" s="638"/>
      <c r="Y99" s="638"/>
      <c r="Z99" s="638"/>
      <c r="AA99" s="638"/>
      <c r="AB99" s="638"/>
      <c r="AC99" s="638"/>
      <c r="AD99" s="638"/>
      <c r="AE99" s="638"/>
      <c r="AF99" s="638"/>
      <c r="AG99" s="446"/>
      <c r="AH99" s="638"/>
      <c r="AI99" s="638"/>
      <c r="AJ99" s="911"/>
      <c r="AK99" s="911"/>
      <c r="AL99" s="911"/>
      <c r="AM99" s="638"/>
      <c r="AN99" s="455"/>
      <c r="AO99" s="1239"/>
      <c r="AP99" s="1239"/>
      <c r="AQ99" s="484"/>
      <c r="AR99" s="484"/>
      <c r="AS99" s="484"/>
      <c r="AT99" s="484"/>
      <c r="AU99" s="638"/>
      <c r="AV99" s="638"/>
      <c r="AW99" s="638" t="str">
        <f>VLOOKUP(J99,'Foundation Calculation'!$A$2:$C$33,3,1)</f>
        <v>Soil B</v>
      </c>
      <c r="AX99" s="638" t="str">
        <f>VLOOKUP(J99,'Foundation Calculation'!$E$2:$G$33,3,1)</f>
        <v>PT</v>
      </c>
      <c r="AY99" s="484"/>
      <c r="AZ99" s="484">
        <f>IF(AX99="PT",VLOOKUP(K99,'Foundation Calculation'!$K$2:$R$40,VLOOKUP(AW99,'Foundation Calculation'!$I$2:$J$8,2,FALSE),0),IF(AX99="K",VLOOKUP(K99,'Foundation Calculation'!$K$42:$R$80,VLOOKUP(AW99,'Foundation Calculation'!$I$2:$J$8,2,FALSE),0),""))</f>
        <v>3.9</v>
      </c>
      <c r="BA99" s="671" t="s">
        <v>2809</v>
      </c>
      <c r="BB99" s="909"/>
      <c r="BC99" s="169"/>
      <c r="BD99" s="1329"/>
      <c r="BE99" s="1330"/>
      <c r="BF99" s="1330"/>
      <c r="BG99" s="1330"/>
    </row>
    <row r="100" spans="1:59" ht="15.75" customHeight="1">
      <c r="A100" s="428"/>
      <c r="B100" s="728" t="s">
        <v>3967</v>
      </c>
      <c r="C100" s="426">
        <f>+$C$96+$G$99</f>
        <v>84841.00999999998</v>
      </c>
      <c r="D100" s="899"/>
      <c r="E100" s="888"/>
      <c r="F100" s="427">
        <v>0</v>
      </c>
      <c r="G100" s="900"/>
      <c r="H100" s="428" t="s">
        <v>2505</v>
      </c>
      <c r="I100" s="901"/>
      <c r="J100" s="430"/>
      <c r="K100" s="889"/>
      <c r="L100" s="487" t="s">
        <v>819</v>
      </c>
      <c r="M100" s="902" t="str">
        <f>IF(AX100="PT",VLOOKUP(L100,'Foundation Calculation'!$V$2:$X$40,VLOOKUP(AX100,'Foundation Calculation'!$I$10:$J$13,2,FALSE),0),IF(AX100="K",VLOOKUP(L100,'Foundation Calculation'!$V$42:$X$80,VLOOKUP(AX100,'Foundation Calculation'!$I$10:$J$13,2,FALSE),0),""))</f>
        <v>C5R</v>
      </c>
      <c r="N100" s="428" t="s">
        <v>144</v>
      </c>
      <c r="O100" s="428" t="s">
        <v>143</v>
      </c>
      <c r="P100" s="428"/>
      <c r="Q100" s="903"/>
      <c r="R100" s="487"/>
      <c r="S100" s="486"/>
      <c r="T100" s="487">
        <v>35</v>
      </c>
      <c r="U100" s="487">
        <v>20</v>
      </c>
      <c r="V100" s="487"/>
      <c r="W100" s="487">
        <v>1.4</v>
      </c>
      <c r="X100" s="487">
        <v>2</v>
      </c>
      <c r="Y100" s="487"/>
      <c r="Z100" s="487"/>
      <c r="AA100" s="487"/>
      <c r="AB100" s="487"/>
      <c r="AC100" s="487" t="s">
        <v>2773</v>
      </c>
      <c r="AD100" s="487" t="s">
        <v>1428</v>
      </c>
      <c r="AE100" s="487"/>
      <c r="AF100" s="487"/>
      <c r="AG100" s="426"/>
      <c r="AH100" s="487"/>
      <c r="AI100" s="889"/>
      <c r="AJ100" s="487"/>
      <c r="AK100" s="487"/>
      <c r="AL100" s="487" t="s">
        <v>2127</v>
      </c>
      <c r="AM100" s="903" t="s">
        <v>1042</v>
      </c>
      <c r="AN100" s="456">
        <v>5.5</v>
      </c>
      <c r="AO100" s="428"/>
      <c r="AP100" s="428"/>
      <c r="AQ100" s="486"/>
      <c r="AR100" s="486"/>
      <c r="AS100" s="486"/>
      <c r="AT100" s="486">
        <f>+ab($T$100,$T$96,$T$102,$G$99,$G$101, 1*$F$100,1200)</f>
        <v>13.449524585183187</v>
      </c>
      <c r="AU100" s="487"/>
      <c r="AV100" s="487"/>
      <c r="AW100" s="487" t="str">
        <f>VLOOKUP(C100,'Foundation Calculation'!$A$2:$C$33,3,1)</f>
        <v>Soil B</v>
      </c>
      <c r="AX100" s="487" t="str">
        <f>VLOOKUP(C100,'Foundation Calculation'!$E$2:$G$33,3,1)</f>
        <v>PT</v>
      </c>
      <c r="AY100" s="486">
        <f>IF(AX100="PT",VLOOKUP(L100,'Foundation Calculation'!$K$2:$R$40,VLOOKUP(AW100,'Foundation Calculation'!$I$2:$J$8,2,FALSE),0),IF(AX100="K",VLOOKUP(L100,'Foundation Calculation'!$K$42:$R$80,VLOOKUP(AW100,'Foundation Calculation'!$I$2:$J$8,2,FALSE),0),""))</f>
        <v>3.5</v>
      </c>
      <c r="AZ100" s="486"/>
      <c r="BA100" s="1193" t="s">
        <v>2809</v>
      </c>
      <c r="BB100" s="428" t="str">
        <f>Pole_Calculations!A178</f>
        <v>App.8-V08F-P10.3</v>
      </c>
      <c r="BC100" s="169"/>
      <c r="BD100" s="1329"/>
      <c r="BE100" s="1329"/>
      <c r="BF100" s="1329"/>
      <c r="BG100" s="1329"/>
    </row>
    <row r="101" spans="1:59" ht="15.75" customHeight="1">
      <c r="A101" s="943"/>
      <c r="B101" s="944"/>
      <c r="C101" s="912"/>
      <c r="D101" s="727"/>
      <c r="E101" s="427"/>
      <c r="F101" s="945"/>
      <c r="G101" s="486">
        <v>39.700000000000003</v>
      </c>
      <c r="H101" s="943"/>
      <c r="I101" s="428"/>
      <c r="J101" s="430"/>
      <c r="K101" s="487"/>
      <c r="L101" s="946"/>
      <c r="M101" s="487"/>
      <c r="N101" s="943"/>
      <c r="O101" s="943"/>
      <c r="P101" s="943"/>
      <c r="Q101" s="487"/>
      <c r="R101" s="487"/>
      <c r="S101" s="486"/>
      <c r="T101" s="487"/>
      <c r="U101" s="487"/>
      <c r="V101" s="487"/>
      <c r="W101" s="487"/>
      <c r="X101" s="487"/>
      <c r="Y101" s="487"/>
      <c r="Z101" s="487"/>
      <c r="AA101" s="487"/>
      <c r="AB101" s="487"/>
      <c r="AC101" s="487"/>
      <c r="AD101" s="487"/>
      <c r="AE101" s="487"/>
      <c r="AF101" s="487"/>
      <c r="AG101" s="426"/>
      <c r="AH101" s="487"/>
      <c r="AI101" s="487"/>
      <c r="AJ101" s="946"/>
      <c r="AK101" s="946"/>
      <c r="AL101" s="946"/>
      <c r="AM101" s="487"/>
      <c r="AN101" s="456"/>
      <c r="AO101" s="428"/>
      <c r="AP101" s="428"/>
      <c r="AQ101" s="486">
        <f>+FL_1(-$T$102,$T$100,$G$101,1200,9.28, 1*$F$102)</f>
        <v>0.3500000000000007</v>
      </c>
      <c r="AR101" s="486"/>
      <c r="AS101" s="486"/>
      <c r="AT101" s="486"/>
      <c r="AU101" s="487"/>
      <c r="AV101" s="487"/>
      <c r="AW101" s="487"/>
      <c r="AX101" s="487"/>
      <c r="AY101" s="486"/>
      <c r="AZ101" s="486"/>
      <c r="BA101" s="672"/>
      <c r="BB101" s="943"/>
      <c r="BC101" s="169"/>
      <c r="BD101" s="1330"/>
      <c r="BE101" s="1330"/>
      <c r="BF101" s="1330"/>
      <c r="BG101" s="1330"/>
    </row>
    <row r="102" spans="1:59" ht="15.75" customHeight="1">
      <c r="A102" s="424" t="s">
        <v>1663</v>
      </c>
      <c r="B102" s="728" t="s">
        <v>3971</v>
      </c>
      <c r="C102" s="426">
        <f>+$C$100+$G$101</f>
        <v>84880.709999999977</v>
      </c>
      <c r="D102" s="899"/>
      <c r="E102" s="888"/>
      <c r="F102" s="427">
        <v>0</v>
      </c>
      <c r="G102" s="900"/>
      <c r="H102" s="428" t="s">
        <v>619</v>
      </c>
      <c r="I102" s="904" t="s">
        <v>1039</v>
      </c>
      <c r="J102" s="430"/>
      <c r="K102" s="889"/>
      <c r="L102" s="487" t="s">
        <v>819</v>
      </c>
      <c r="M102" s="902" t="s">
        <v>3671</v>
      </c>
      <c r="N102" s="428" t="s">
        <v>844</v>
      </c>
      <c r="O102" s="428" t="s">
        <v>845</v>
      </c>
      <c r="P102" s="428"/>
      <c r="Q102" s="903"/>
      <c r="R102" s="487"/>
      <c r="S102" s="486"/>
      <c r="T102" s="487">
        <v>30</v>
      </c>
      <c r="U102" s="487">
        <v>45</v>
      </c>
      <c r="V102" s="487"/>
      <c r="W102" s="487">
        <v>1.8</v>
      </c>
      <c r="X102" s="487">
        <v>1.4</v>
      </c>
      <c r="Y102" s="487"/>
      <c r="Z102" s="487"/>
      <c r="AA102" s="487">
        <v>0.3</v>
      </c>
      <c r="AB102" s="487"/>
      <c r="AC102" s="487" t="str">
        <f>IF(OR(AT102&gt;8,AT102&lt;-8),"PH",IF(OR(AT102&gt;5,AT102&lt;-5),"PH-Q",IF(OR(AT102&gt;1,AT102&lt;-1),"PH-C")))</f>
        <v>PH-Q</v>
      </c>
      <c r="AD102" s="487"/>
      <c r="AE102" s="487"/>
      <c r="AF102" s="487"/>
      <c r="AG102" s="426"/>
      <c r="AH102" s="487"/>
      <c r="AI102" s="889"/>
      <c r="AJ102" s="487"/>
      <c r="AK102" s="487" t="s">
        <v>139</v>
      </c>
      <c r="AL102" s="487" t="s">
        <v>2127</v>
      </c>
      <c r="AM102" s="903" t="s">
        <v>1042</v>
      </c>
      <c r="AN102" s="456">
        <v>5.5</v>
      </c>
      <c r="AO102" s="428"/>
      <c r="AP102" s="428"/>
      <c r="AQ102" s="486"/>
      <c r="AR102" s="486"/>
      <c r="AS102" s="486"/>
      <c r="AT102" s="486">
        <f>+ab(-$T$102,$T$100,$T$104,$G$101,$G$103, 1*$F$102,1200)</f>
        <v>-5.8616361876540859</v>
      </c>
      <c r="AU102" s="487"/>
      <c r="AV102" s="487"/>
      <c r="AW102" s="487" t="str">
        <f>VLOOKUP(C102,'Foundation Calculation'!$A$2:$C$33,3,1)</f>
        <v>Soil B</v>
      </c>
      <c r="AX102" s="487" t="str">
        <f>VLOOKUP(C102,'Foundation Calculation'!$E$2:$G$33,3,1)</f>
        <v>PT</v>
      </c>
      <c r="AY102" s="486">
        <f>IF(AX102="PT",VLOOKUP(L102,'Foundation Calculation'!$K$2:$R$40,VLOOKUP(AW102,'Foundation Calculation'!$I$2:$J$8,2,FALSE),0),IF(AX102="K",VLOOKUP(L102,'Foundation Calculation'!$K$42:$R$80,VLOOKUP(AW102,'Foundation Calculation'!$I$2:$J$8,2,FALSE),0),""))</f>
        <v>3.5</v>
      </c>
      <c r="AZ102" s="486"/>
      <c r="BA102" s="1193" t="s">
        <v>2809</v>
      </c>
      <c r="BB102" s="424" t="str">
        <f>Pole_Calculations!A178</f>
        <v>App.8-V08F-P10.3</v>
      </c>
      <c r="BC102" s="169"/>
      <c r="BD102" s="1329"/>
      <c r="BE102" s="1329"/>
      <c r="BF102" s="1329"/>
      <c r="BG102" s="1329"/>
    </row>
    <row r="103" spans="1:59" ht="15.75" customHeight="1">
      <c r="A103" s="909"/>
      <c r="B103" s="910"/>
      <c r="C103" s="907"/>
      <c r="D103" s="173"/>
      <c r="E103" s="447"/>
      <c r="F103" s="942"/>
      <c r="G103" s="484">
        <v>40</v>
      </c>
      <c r="H103" s="909"/>
      <c r="I103" s="638">
        <v>354</v>
      </c>
      <c r="J103" s="171"/>
      <c r="K103" s="638"/>
      <c r="L103" s="911"/>
      <c r="M103" s="638"/>
      <c r="N103" s="909"/>
      <c r="O103" s="909"/>
      <c r="P103" s="909"/>
      <c r="Q103" s="638"/>
      <c r="R103" s="638"/>
      <c r="S103" s="484"/>
      <c r="T103" s="638"/>
      <c r="U103" s="638"/>
      <c r="V103" s="638"/>
      <c r="W103" s="638"/>
      <c r="X103" s="638"/>
      <c r="Y103" s="638"/>
      <c r="Z103" s="638"/>
      <c r="AA103" s="638"/>
      <c r="AB103" s="638"/>
      <c r="AC103" s="638"/>
      <c r="AD103" s="638"/>
      <c r="AE103" s="638"/>
      <c r="AF103" s="638"/>
      <c r="AG103" s="446"/>
      <c r="AH103" s="638"/>
      <c r="AI103" s="638"/>
      <c r="AJ103" s="911"/>
      <c r="AK103" s="911"/>
      <c r="AL103" s="911"/>
      <c r="AM103" s="638"/>
      <c r="AN103" s="455"/>
      <c r="AO103" s="1239"/>
      <c r="AP103" s="1239"/>
      <c r="AQ103" s="484">
        <f>+FL_1($T$104,-$T$102,$G$103,1200,9.28, 1*$F$104)</f>
        <v>0.35</v>
      </c>
      <c r="AR103" s="484"/>
      <c r="AS103" s="484"/>
      <c r="AT103" s="484"/>
      <c r="AU103" s="638"/>
      <c r="AV103" s="638"/>
      <c r="AW103" s="638"/>
      <c r="AX103" s="638"/>
      <c r="AY103" s="484"/>
      <c r="AZ103" s="484"/>
      <c r="BA103" s="671"/>
      <c r="BB103" s="909"/>
      <c r="BC103" s="169"/>
      <c r="BD103" s="1330"/>
      <c r="BE103" s="1330"/>
      <c r="BF103" s="1330"/>
      <c r="BG103" s="1330"/>
    </row>
    <row r="104" spans="1:59" ht="15.75" customHeight="1">
      <c r="A104" s="1239"/>
      <c r="B104" s="435" t="s">
        <v>3968</v>
      </c>
      <c r="C104" s="446">
        <f>+$C$102+$G$103+0.1</f>
        <v>84920.809999999983</v>
      </c>
      <c r="D104" s="898"/>
      <c r="E104" s="887"/>
      <c r="F104" s="447">
        <v>0</v>
      </c>
      <c r="G104" s="891"/>
      <c r="H104" s="1239" t="s">
        <v>4201</v>
      </c>
      <c r="I104" s="896" t="s">
        <v>623</v>
      </c>
      <c r="J104" s="171"/>
      <c r="K104" s="514"/>
      <c r="L104" s="638" t="s">
        <v>896</v>
      </c>
      <c r="M104" s="892" t="str">
        <f>IF(AX104="PT",VLOOKUP(L104,'Foundation Calculation'!$V$2:$X$40,VLOOKUP(AX104,'Foundation Calculation'!$I$10:$J$13,2,FALSE),0),IF(AX104="K",VLOOKUP(L104,'Foundation Calculation'!$V$42:$X$80,VLOOKUP(AX104,'Foundation Calculation'!$I$10:$J$13,2,FALSE),0),""))</f>
        <v>2C4R</v>
      </c>
      <c r="N104" s="638" t="s">
        <v>144</v>
      </c>
      <c r="O104" s="1239" t="s">
        <v>140</v>
      </c>
      <c r="P104" s="1239"/>
      <c r="Q104" s="893"/>
      <c r="R104" s="638"/>
      <c r="S104" s="484"/>
      <c r="T104" s="638">
        <v>35</v>
      </c>
      <c r="U104" s="638">
        <v>-45</v>
      </c>
      <c r="V104" s="638"/>
      <c r="W104" s="638">
        <v>1.4</v>
      </c>
      <c r="X104" s="638">
        <v>1.8</v>
      </c>
      <c r="Y104" s="638"/>
      <c r="Z104" s="638"/>
      <c r="AA104" s="638">
        <v>0.6</v>
      </c>
      <c r="AB104" s="638"/>
      <c r="AC104" s="638" t="str">
        <f>IF(OR(AT104&gt;8,AT104&lt;-8),"PH",IF(OR(AT104&gt;5,AT104&lt;-5),"PH-Q",IF(OR(AT104&gt;1,AT104&lt;-1),"PH-C")))</f>
        <v>PH-Q</v>
      </c>
      <c r="AD104" s="638"/>
      <c r="AE104" s="638"/>
      <c r="AF104" s="638"/>
      <c r="AG104" s="446"/>
      <c r="AH104" s="638"/>
      <c r="AI104" s="514"/>
      <c r="AJ104" s="638"/>
      <c r="AK104" s="638"/>
      <c r="AL104" s="638"/>
      <c r="AM104" s="893" t="s">
        <v>1042</v>
      </c>
      <c r="AN104" s="455">
        <v>5.5</v>
      </c>
      <c r="AO104" s="1239"/>
      <c r="AP104" s="1239"/>
      <c r="AQ104" s="484"/>
      <c r="AR104" s="484"/>
      <c r="AS104" s="484"/>
      <c r="AT104" s="484">
        <f>+ab($T$104,-$T$102,$U$106,$G$103,$G$105, 1*$F$104,1200)</f>
        <v>6.5319761564443111</v>
      </c>
      <c r="AU104" s="638"/>
      <c r="AV104" s="638"/>
      <c r="AW104" s="638" t="str">
        <f>VLOOKUP(C104,'Foundation Calculation'!$A$2:$C$33,3,1)</f>
        <v>Soil B</v>
      </c>
      <c r="AX104" s="638" t="str">
        <f>VLOOKUP(C104,'Foundation Calculation'!$E$2:$G$33,3,1)</f>
        <v>PT</v>
      </c>
      <c r="AY104" s="484">
        <f>IF(AX104="PT",VLOOKUP(L104,'Foundation Calculation'!$K$2:$R$40,VLOOKUP(AW104,'Foundation Calculation'!$I$2:$J$8,2,FALSE),0),IF(AX104="K",VLOOKUP(L104,'Foundation Calculation'!$K$42:$R$80,VLOOKUP(AW104,'Foundation Calculation'!$I$2:$J$8,2,FALSE),0),""))</f>
        <v>4</v>
      </c>
      <c r="AZ104" s="484"/>
      <c r="BA104" s="1192" t="s">
        <v>2809</v>
      </c>
      <c r="BB104" s="1239" t="str">
        <f>Pole_Calculations!A158</f>
        <v>App.7.1-V01-P9.5.1.7</v>
      </c>
      <c r="BC104" s="169"/>
      <c r="BD104" s="1329"/>
      <c r="BE104" s="1329"/>
      <c r="BF104" s="1330"/>
      <c r="BG104" s="1329"/>
    </row>
    <row r="105" spans="1:59" ht="15.75" customHeight="1">
      <c r="A105" s="909"/>
      <c r="B105" s="910"/>
      <c r="C105" s="907"/>
      <c r="D105" s="447"/>
      <c r="E105" s="638"/>
      <c r="F105" s="942"/>
      <c r="G105" s="484">
        <v>50</v>
      </c>
      <c r="H105" s="909"/>
      <c r="I105" s="1239" t="s">
        <v>623</v>
      </c>
      <c r="J105" s="171"/>
      <c r="K105" s="638"/>
      <c r="L105" s="911"/>
      <c r="M105" s="638"/>
      <c r="N105" s="909"/>
      <c r="O105" s="909"/>
      <c r="P105" s="909"/>
      <c r="Q105" s="638"/>
      <c r="R105" s="638"/>
      <c r="S105" s="484"/>
      <c r="T105" s="638"/>
      <c r="U105" s="638"/>
      <c r="V105" s="638"/>
      <c r="W105" s="638"/>
      <c r="X105" s="638"/>
      <c r="Y105" s="638"/>
      <c r="Z105" s="638"/>
      <c r="AA105" s="638"/>
      <c r="AB105" s="638"/>
      <c r="AC105" s="638"/>
      <c r="AD105" s="638"/>
      <c r="AE105" s="638"/>
      <c r="AF105" s="638"/>
      <c r="AG105" s="446"/>
      <c r="AH105" s="638"/>
      <c r="AI105" s="638"/>
      <c r="AJ105" s="911"/>
      <c r="AK105" s="911"/>
      <c r="AL105" s="911"/>
      <c r="AM105" s="638"/>
      <c r="AN105" s="455"/>
      <c r="AO105" s="1239"/>
      <c r="AP105" s="1239"/>
      <c r="AQ105" s="484">
        <f>+FL_1($U$106,$T$104,$G$105,1200,9.28, 1*$F$106)</f>
        <v>0.37593390799999998</v>
      </c>
      <c r="AR105" s="484"/>
      <c r="AS105" s="484"/>
      <c r="AT105" s="484"/>
      <c r="AU105" s="638"/>
      <c r="AV105" s="638"/>
      <c r="AW105" s="638"/>
      <c r="AX105" s="638"/>
      <c r="AY105" s="484"/>
      <c r="AZ105" s="484"/>
      <c r="BA105" s="671"/>
      <c r="BB105" s="909"/>
      <c r="BC105" s="169"/>
      <c r="BD105" s="1330"/>
      <c r="BE105" s="1330"/>
      <c r="BF105" s="1330"/>
      <c r="BG105" s="1330"/>
    </row>
    <row r="106" spans="1:59" ht="15.75" customHeight="1">
      <c r="A106" s="1239" t="s">
        <v>3982</v>
      </c>
      <c r="B106" s="435" t="s">
        <v>3969</v>
      </c>
      <c r="C106" s="446">
        <f>+$C$104+$G$105</f>
        <v>84970.809999999983</v>
      </c>
      <c r="D106" s="894"/>
      <c r="E106" s="514"/>
      <c r="F106" s="447">
        <v>0</v>
      </c>
      <c r="G106" s="891"/>
      <c r="H106" s="1239" t="s">
        <v>4202</v>
      </c>
      <c r="I106" s="896" t="s">
        <v>1429</v>
      </c>
      <c r="J106" s="171"/>
      <c r="K106" s="514"/>
      <c r="L106" s="638" t="s">
        <v>1697</v>
      </c>
      <c r="M106" s="892" t="str">
        <f>IF(AX106="PT",VLOOKUP(L106,'Foundation Calculation'!$V$2:$X$40,VLOOKUP(AX106,'Foundation Calculation'!$I$10:$J$13,2,FALSE),0),IF(AX106="K",VLOOKUP(L106,'Foundation Calculation'!$V$42:$X$80,VLOOKUP(AX106,'Foundation Calculation'!$I$10:$J$13,2,FALSE),0),""))</f>
        <v>2C3R</v>
      </c>
      <c r="N106" s="1239" t="s">
        <v>140</v>
      </c>
      <c r="O106" s="1239" t="s">
        <v>143</v>
      </c>
      <c r="P106" s="1239"/>
      <c r="Q106" s="893"/>
      <c r="R106" s="638"/>
      <c r="S106" s="484"/>
      <c r="T106" s="638">
        <v>15</v>
      </c>
      <c r="U106" s="638">
        <v>-30</v>
      </c>
      <c r="V106" s="638"/>
      <c r="W106" s="638">
        <v>1.4</v>
      </c>
      <c r="X106" s="638">
        <v>2.2999999999999998</v>
      </c>
      <c r="Y106" s="638"/>
      <c r="Z106" s="638">
        <v>0.45</v>
      </c>
      <c r="AA106" s="638"/>
      <c r="AB106" s="638"/>
      <c r="AC106" s="638" t="str">
        <f>IF(OR(AT106&gt;8,AT106&lt;-8),"PH",IF(OR(AT106&gt;5,AT106&lt;-5),"PH-Q",IF(OR(AT106&gt;1,AT106&lt;-1),"PH-C")))</f>
        <v>PH-Q</v>
      </c>
      <c r="AD106" s="638"/>
      <c r="AE106" s="638"/>
      <c r="AF106" s="638"/>
      <c r="AG106" s="446"/>
      <c r="AH106" s="638"/>
      <c r="AI106" s="514"/>
      <c r="AJ106" s="638" t="s">
        <v>877</v>
      </c>
      <c r="AK106" s="638"/>
      <c r="AL106" s="638"/>
      <c r="AM106" s="893" t="s">
        <v>1042</v>
      </c>
      <c r="AN106" s="455">
        <v>5.5</v>
      </c>
      <c r="AO106" s="1239"/>
      <c r="AP106" s="1239"/>
      <c r="AQ106" s="484"/>
      <c r="AR106" s="484"/>
      <c r="AS106" s="484"/>
      <c r="AT106" s="484">
        <f>+ab($U$106,$T$104,$T$108,$G$105,$G$107, 1*$F$106,1200)</f>
        <v>-7.1500242188900875</v>
      </c>
      <c r="AU106" s="638"/>
      <c r="AV106" s="638"/>
      <c r="AW106" s="638" t="str">
        <f>VLOOKUP(C106,'Foundation Calculation'!$A$2:$C$33,3,1)</f>
        <v>Soil B</v>
      </c>
      <c r="AX106" s="638" t="str">
        <f>VLOOKUP(C106,'Foundation Calculation'!$E$2:$G$33,3,1)</f>
        <v>PT</v>
      </c>
      <c r="AY106" s="484">
        <f>IF(AX106="PT",VLOOKUP(L106,'Foundation Calculation'!$K$2:$R$40,VLOOKUP(AW106,'Foundation Calculation'!$I$2:$J$8,2,FALSE),0),IF(AX106="K",VLOOKUP(L106,'Foundation Calculation'!$K$42:$R$80,VLOOKUP(AW106,'Foundation Calculation'!$I$2:$J$8,2,FALSE),0),""))</f>
        <v>3.5</v>
      </c>
      <c r="AZ106" s="484"/>
      <c r="BA106" s="1192" t="s">
        <v>2809</v>
      </c>
      <c r="BB106" s="1239" t="str">
        <f>Pole_Calculations!A156</f>
        <v>App.7.1-V01-P9.5.1.5</v>
      </c>
      <c r="BC106" s="169"/>
      <c r="BD106" s="1329"/>
      <c r="BE106" s="1329"/>
      <c r="BF106" s="1330"/>
      <c r="BG106" s="1329"/>
    </row>
    <row r="107" spans="1:59" ht="15.75" customHeight="1">
      <c r="A107" s="909"/>
      <c r="B107" s="910"/>
      <c r="C107" s="907"/>
      <c r="D107" s="447"/>
      <c r="E107" s="638"/>
      <c r="F107" s="942"/>
      <c r="G107" s="484">
        <v>43.8</v>
      </c>
      <c r="H107" s="909"/>
      <c r="I107" s="1239"/>
      <c r="J107" s="171"/>
      <c r="K107" s="638"/>
      <c r="L107" s="911"/>
      <c r="M107" s="638"/>
      <c r="N107" s="909"/>
      <c r="O107" s="909"/>
      <c r="P107" s="909"/>
      <c r="Q107" s="638"/>
      <c r="R107" s="638"/>
      <c r="S107" s="484"/>
      <c r="T107" s="638"/>
      <c r="U107" s="638"/>
      <c r="V107" s="638"/>
      <c r="W107" s="638"/>
      <c r="X107" s="638"/>
      <c r="Y107" s="638"/>
      <c r="Z107" s="638"/>
      <c r="AA107" s="638"/>
      <c r="AB107" s="638"/>
      <c r="AC107" s="638"/>
      <c r="AD107" s="638"/>
      <c r="AE107" s="638"/>
      <c r="AF107" s="638"/>
      <c r="AG107" s="446"/>
      <c r="AH107" s="638"/>
      <c r="AI107" s="638"/>
      <c r="AJ107" s="911"/>
      <c r="AK107" s="911"/>
      <c r="AL107" s="911"/>
      <c r="AM107" s="638"/>
      <c r="AN107" s="455"/>
      <c r="AO107" s="1239"/>
      <c r="AP107" s="1239"/>
      <c r="AQ107" s="484">
        <f>+FL_1($U$108,$U$106,$G$107,1200,9.28, 1*$F$108)</f>
        <v>-3.196786178995438E-2</v>
      </c>
      <c r="AR107" s="484"/>
      <c r="AS107" s="484"/>
      <c r="AT107" s="484"/>
      <c r="AU107" s="638"/>
      <c r="AV107" s="638"/>
      <c r="AW107" s="638"/>
      <c r="AX107" s="638"/>
      <c r="AY107" s="484"/>
      <c r="AZ107" s="484" t="str">
        <f>IF(AX107="PT",VLOOKUP(K107,'Foundation Calculation'!$L$2:$R$41,VLOOKUP(AW107,'Foundation Calculation'!$I$2:$J$8,2,FALSE),0),IF(AX107="K",VLOOKUP(K107,'Foundation Calculation'!$L$41:$R$79,VLOOKUP(AW107,'Foundation Calculation'!$I$2:$J$8,2,FALSE),0),""))</f>
        <v/>
      </c>
      <c r="BA107" s="671"/>
      <c r="BB107" s="909"/>
      <c r="BC107" s="169"/>
      <c r="BD107" s="1330"/>
      <c r="BE107" s="1330"/>
      <c r="BF107" s="1330"/>
      <c r="BG107" s="1330"/>
    </row>
    <row r="108" spans="1:59" ht="15.75" customHeight="1">
      <c r="A108" s="1239"/>
      <c r="B108" s="435" t="s">
        <v>3970</v>
      </c>
      <c r="C108" s="446">
        <f>+$C$106+$G$107+0.96</f>
        <v>85015.569999999992</v>
      </c>
      <c r="D108" s="894"/>
      <c r="E108" s="514"/>
      <c r="F108" s="447">
        <v>0</v>
      </c>
      <c r="G108" s="891"/>
      <c r="H108" s="1239" t="s">
        <v>619</v>
      </c>
      <c r="I108" s="896"/>
      <c r="J108" s="171"/>
      <c r="K108" s="514"/>
      <c r="L108" s="638" t="s">
        <v>895</v>
      </c>
      <c r="M108" s="892" t="str">
        <f>IF(AX108="PT",VLOOKUP(L108,'Foundation Calculation'!$V$2:$X$40,VLOOKUP(AX108,'Foundation Calculation'!$I$10:$J$13,2,FALSE),0),IF(AX108="K",VLOOKUP(L108,'Foundation Calculation'!$V$42:$X$80,VLOOKUP(AX108,'Foundation Calculation'!$I$10:$J$13,2,FALSE),0),""))</f>
        <v>2C3R</v>
      </c>
      <c r="N108" s="1239" t="s">
        <v>144</v>
      </c>
      <c r="O108" s="1239" t="s">
        <v>140</v>
      </c>
      <c r="P108" s="1239"/>
      <c r="Q108" s="893"/>
      <c r="R108" s="638"/>
      <c r="S108" s="484"/>
      <c r="T108" s="638">
        <v>30</v>
      </c>
      <c r="U108" s="638">
        <v>-15</v>
      </c>
      <c r="V108" s="638"/>
      <c r="W108" s="638">
        <v>1.4</v>
      </c>
      <c r="X108" s="638">
        <v>2.2999999999999998</v>
      </c>
      <c r="Y108" s="638"/>
      <c r="Z108" s="638"/>
      <c r="AA108" s="638">
        <v>0.45</v>
      </c>
      <c r="AB108" s="638"/>
      <c r="AC108" s="638" t="str">
        <f>IF(OR(AT108&gt;8,AT108&lt;-8),"PH",IF(OR(AT108&gt;5,AT108&lt;-5),"PH-Q",IF(OR(AT108&gt;1,AT108&lt;-1),"PH-C")))</f>
        <v>PH</v>
      </c>
      <c r="AD108" s="638"/>
      <c r="AE108" s="638"/>
      <c r="AF108" s="638"/>
      <c r="AG108" s="446"/>
      <c r="AH108" s="638"/>
      <c r="AI108" s="514"/>
      <c r="AJ108" s="638"/>
      <c r="AK108" s="638"/>
      <c r="AL108" s="638"/>
      <c r="AM108" s="893" t="s">
        <v>1042</v>
      </c>
      <c r="AN108" s="455">
        <v>5.5</v>
      </c>
      <c r="AO108" s="1239"/>
      <c r="AP108" s="1239"/>
      <c r="AQ108" s="484"/>
      <c r="AR108" s="484"/>
      <c r="AS108" s="484"/>
      <c r="AT108" s="484">
        <f>+ab($T$108,$T$106,$T$110,$G$107,$G$109, 1*$F$108,1200)</f>
        <v>11.525170121415851</v>
      </c>
      <c r="AU108" s="638"/>
      <c r="AV108" s="638"/>
      <c r="AW108" s="638" t="str">
        <f>VLOOKUP(C108,'Foundation Calculation'!$A$2:$C$33,3,1)</f>
        <v>Soil B</v>
      </c>
      <c r="AX108" s="638" t="str">
        <f>VLOOKUP(C108,'Foundation Calculation'!$E$2:$G$33,3,1)</f>
        <v>PT</v>
      </c>
      <c r="AY108" s="484">
        <f>IF(AX108="PT",VLOOKUP(L108,'Foundation Calculation'!$K$2:$R$40,VLOOKUP(AW108,'Foundation Calculation'!$I$2:$J$8,2,FALSE),0),IF(AX108="K",VLOOKUP(L108,'Foundation Calculation'!$K$42:$R$80,VLOOKUP(AW108,'Foundation Calculation'!$I$2:$J$8,2,FALSE),0),""))</f>
        <v>3.5</v>
      </c>
      <c r="AZ108" s="484"/>
      <c r="BA108" s="1192" t="s">
        <v>2809</v>
      </c>
      <c r="BB108" s="1239" t="str">
        <f>Pole_Calculations!A156</f>
        <v>App.7.1-V01-P9.5.1.5</v>
      </c>
      <c r="BC108" s="169"/>
      <c r="BD108" s="1329"/>
      <c r="BE108" s="1329"/>
      <c r="BF108" s="1330"/>
      <c r="BG108" s="1329"/>
    </row>
    <row r="109" spans="1:59" ht="15.75" customHeight="1">
      <c r="A109" s="909"/>
      <c r="B109" s="910"/>
      <c r="C109" s="907"/>
      <c r="D109" s="447"/>
      <c r="E109" s="638"/>
      <c r="F109" s="942"/>
      <c r="G109" s="484">
        <v>50</v>
      </c>
      <c r="H109" s="909"/>
      <c r="I109" s="1239">
        <v>453</v>
      </c>
      <c r="J109" s="171"/>
      <c r="K109" s="638"/>
      <c r="L109" s="911"/>
      <c r="M109" s="638"/>
      <c r="N109" s="909"/>
      <c r="O109" s="909"/>
      <c r="P109" s="909"/>
      <c r="Q109" s="638"/>
      <c r="R109" s="638"/>
      <c r="S109" s="484"/>
      <c r="T109" s="638"/>
      <c r="U109" s="638"/>
      <c r="V109" s="638"/>
      <c r="W109" s="638"/>
      <c r="X109" s="638"/>
      <c r="Y109" s="638"/>
      <c r="Z109" s="638"/>
      <c r="AA109" s="638"/>
      <c r="AB109" s="638"/>
      <c r="AC109" s="638"/>
      <c r="AD109" s="638"/>
      <c r="AE109" s="638"/>
      <c r="AF109" s="638"/>
      <c r="AG109" s="446"/>
      <c r="AH109" s="638"/>
      <c r="AI109" s="638"/>
      <c r="AJ109" s="911"/>
      <c r="AK109" s="911"/>
      <c r="AL109" s="911"/>
      <c r="AM109" s="638"/>
      <c r="AN109" s="455"/>
      <c r="AO109" s="1239"/>
      <c r="AP109" s="1239"/>
      <c r="AQ109" s="484">
        <f>+FL_2($T$110,$T$108,$G$109,1200,9.28, 1*$F$110)</f>
        <v>-0.37593390799999998</v>
      </c>
      <c r="AR109" s="484"/>
      <c r="AS109" s="484"/>
      <c r="AT109" s="484"/>
      <c r="AU109" s="638"/>
      <c r="AV109" s="638"/>
      <c r="AW109" s="638"/>
      <c r="AX109" s="638"/>
      <c r="AY109" s="484"/>
      <c r="AZ109" s="484"/>
      <c r="BA109" s="671"/>
      <c r="BB109" s="909"/>
      <c r="BC109" s="169"/>
      <c r="BD109" s="1330"/>
      <c r="BE109" s="1330"/>
      <c r="BF109" s="1330"/>
      <c r="BG109" s="1330"/>
    </row>
    <row r="110" spans="1:59" ht="15.75" customHeight="1">
      <c r="A110" s="501">
        <f>'HR Track 1 HER-TSA'!A10</f>
        <v>0</v>
      </c>
      <c r="B110" s="716" t="str">
        <f>'HR Track 1 HER-TSA'!B10</f>
        <v>85-1.02</v>
      </c>
      <c r="C110" s="451">
        <f>'HR Track 1 HER-TSA'!C10</f>
        <v>85065.57</v>
      </c>
      <c r="D110" s="453">
        <f>'HR Track 1 HER-TSA'!D10</f>
        <v>0</v>
      </c>
      <c r="E110" s="452">
        <f>'HR Track 1 HER-TSA'!E10</f>
        <v>0</v>
      </c>
      <c r="F110" s="453">
        <f>'HR Track 1 HER-TSA'!F10</f>
        <v>0</v>
      </c>
      <c r="G110" s="500">
        <f>'HR Track 1 HER-TSA'!G10</f>
        <v>0</v>
      </c>
      <c r="H110" s="453" t="str">
        <f>'HR Track 1 HER-TSA'!H10</f>
        <v>A/S</v>
      </c>
      <c r="I110" s="501" t="str">
        <f>'HR Track 1 HER-TSA'!I10</f>
        <v>FP+AnMC</v>
      </c>
      <c r="J110" s="583">
        <f>'HR Track 1 HER-TSA'!J10</f>
        <v>0</v>
      </c>
      <c r="K110" s="452">
        <f>'HR Track 1 HER-TSA'!K10</f>
        <v>0</v>
      </c>
      <c r="L110" s="452" t="str">
        <f>'HR Track 1 HER-TSA'!L10</f>
        <v>HEB-260 (CP)</v>
      </c>
      <c r="M110" s="452" t="str">
        <f>'HR Track 1 HER-TSA'!M10</f>
        <v>C4R</v>
      </c>
      <c r="N110" s="501" t="str">
        <f>'HR Track 1 HER-TSA'!N10</f>
        <v>EMT-1</v>
      </c>
      <c r="O110" s="501">
        <f>'HR Track 1 HER-TSA'!O10</f>
        <v>0</v>
      </c>
      <c r="P110" s="501">
        <f>'HR Track 1 HER-TSA'!P10</f>
        <v>0</v>
      </c>
      <c r="Q110" s="452">
        <f>'HR Track 1 HER-TSA'!Q10</f>
        <v>0</v>
      </c>
      <c r="R110" s="452">
        <f>'HR Track 1 HER-TSA'!R10</f>
        <v>0</v>
      </c>
      <c r="S110" s="500">
        <f>'HR Track 1 HER-TSA'!S10</f>
        <v>0</v>
      </c>
      <c r="T110" s="452">
        <f>'HR Track 1 HER-TSA'!T10</f>
        <v>-35</v>
      </c>
      <c r="U110" s="452">
        <f>'HR Track 1 HER-TSA'!U10</f>
        <v>0</v>
      </c>
      <c r="V110" s="452">
        <f>'HR Track 1 HER-TSA'!V10</f>
        <v>0</v>
      </c>
      <c r="W110" s="452">
        <f>'HR Track 1 HER-TSA'!W10</f>
        <v>1.4</v>
      </c>
      <c r="X110" s="452">
        <f>'HR Track 1 HER-TSA'!X10</f>
        <v>0</v>
      </c>
      <c r="Y110" s="452">
        <f>'HR Track 1 HER-TSA'!Y10</f>
        <v>0</v>
      </c>
      <c r="Z110" s="452">
        <f>'HR Track 1 HER-TSA'!Z10</f>
        <v>0</v>
      </c>
      <c r="AA110" s="452">
        <f>'HR Track 1 HER-TSA'!AA10</f>
        <v>0</v>
      </c>
      <c r="AB110" s="452">
        <f>'HR Track 1 HER-TSA'!AB10</f>
        <v>0</v>
      </c>
      <c r="AC110" s="452" t="str">
        <f>'HR Track 1 HER-TSA'!AC10</f>
        <v>PHQ-1150</v>
      </c>
      <c r="AD110" s="452">
        <f>'HR Track 1 HER-TSA'!AD10</f>
        <v>0</v>
      </c>
      <c r="AE110" s="452">
        <f>'HR Track 1 HER-TSA'!AE10</f>
        <v>0</v>
      </c>
      <c r="AF110" s="452">
        <f>'HR Track 1 HER-TSA'!AF10</f>
        <v>6000</v>
      </c>
      <c r="AG110" s="451">
        <f>'HR Track 1 HER-TSA'!AG10</f>
        <v>85065</v>
      </c>
      <c r="AH110" s="452">
        <f>'HR Track 1 HER-TSA'!AH10</f>
        <v>2243</v>
      </c>
      <c r="AI110" s="452">
        <f>'HR Track 1 HER-TSA'!AI10</f>
        <v>530</v>
      </c>
      <c r="AJ110" s="452">
        <f>'HR Track 1 HER-TSA'!AJ10</f>
        <v>0</v>
      </c>
      <c r="AK110" s="452">
        <f>'HR Track 1 HER-TSA'!AK10</f>
        <v>0</v>
      </c>
      <c r="AL110" s="452">
        <f>'HR Track 1 HER-TSA'!AL10</f>
        <v>0</v>
      </c>
      <c r="AM110" s="452" t="str">
        <f>'HR Track 1 HER-TSA'!AM10</f>
        <v>RW1</v>
      </c>
      <c r="AN110" s="500">
        <f>'HR Track 1 HER-TSA'!AN10</f>
        <v>5.5</v>
      </c>
      <c r="AO110" s="452">
        <f>'HR Track 1 HER-TSA'!AO10</f>
        <v>0</v>
      </c>
      <c r="AP110" s="452">
        <f>'HR Track 1 HER-TSA'!AP10</f>
        <v>0</v>
      </c>
      <c r="AQ110" s="452">
        <f>'HR Track 1 HER-TSA'!AQ10</f>
        <v>0</v>
      </c>
      <c r="AR110" s="452">
        <f>'HR Track 1 HER-TSA'!AR10</f>
        <v>0</v>
      </c>
      <c r="AS110" s="452">
        <f>'HR Track 1 HER-TSA'!AS10</f>
        <v>0</v>
      </c>
      <c r="AT110" s="452">
        <f>'HR Track 1 HER-TSA'!AT10</f>
        <v>-7.0710297839483092</v>
      </c>
      <c r="AU110" s="452">
        <f>'HR Track 1 HER-TSA'!AU10</f>
        <v>0</v>
      </c>
      <c r="AV110" s="452">
        <f>'HR Track 1 HER-TSA'!AV10</f>
        <v>0</v>
      </c>
      <c r="AW110" s="452" t="str">
        <f>'HR Track 1 HER-TSA'!AW10</f>
        <v>Soil B</v>
      </c>
      <c r="AX110" s="452" t="str">
        <f>'HR Track 1 HER-TSA'!AX10</f>
        <v>PT</v>
      </c>
      <c r="AY110" s="500">
        <f>'HR Track 1 HER-TSA'!AY10</f>
        <v>3.5</v>
      </c>
      <c r="AZ110" s="500">
        <f>'HR Track 1 HER-TSA'!AZ10</f>
        <v>0</v>
      </c>
      <c r="BA110" s="1333" t="str">
        <f>'HR Track 1 HER-TSA'!BA10</f>
        <v>ü</v>
      </c>
      <c r="BB110" s="452" t="str">
        <f>'HR Track 1 HER-TSA'!BB10</f>
        <v>App.7.1-V01-P9.5.1.6</v>
      </c>
      <c r="BC110" s="1334">
        <f>'HR Track 1 HER-TSA'!BC10</f>
        <v>0</v>
      </c>
      <c r="BD110" s="1335">
        <f>'HR Track 1 HER-TSA'!BD10</f>
        <v>0</v>
      </c>
      <c r="BE110" s="1335">
        <f>'HR Track 1 HER-TSA'!BE10</f>
        <v>0</v>
      </c>
      <c r="BF110" s="1335">
        <f>'HR Track 1 HER-TSA'!BF10</f>
        <v>0</v>
      </c>
      <c r="BG110" s="1335">
        <f>'HR Track 1 HER-TSA'!BG10</f>
        <v>0</v>
      </c>
    </row>
    <row r="111" spans="1:59" ht="15.75" customHeight="1">
      <c r="A111" s="501">
        <f>'HR Track 1 HER-TSA'!A11</f>
        <v>0</v>
      </c>
      <c r="B111" s="716">
        <f>'HR Track 1 HER-TSA'!B11</f>
        <v>0</v>
      </c>
      <c r="C111" s="451">
        <f>'HR Track 1 HER-TSA'!C11</f>
        <v>0</v>
      </c>
      <c r="D111" s="453">
        <f>'HR Track 1 HER-TSA'!D11</f>
        <v>0</v>
      </c>
      <c r="E111" s="452">
        <f>'HR Track 1 HER-TSA'!E11</f>
        <v>0</v>
      </c>
      <c r="F111" s="453">
        <f>'HR Track 1 HER-TSA'!F11</f>
        <v>0</v>
      </c>
      <c r="G111" s="500">
        <f>'HR Track 1 HER-TSA'!G11</f>
        <v>50</v>
      </c>
      <c r="H111" s="453">
        <f>'HR Track 1 HER-TSA'!H11</f>
        <v>0</v>
      </c>
      <c r="I111" s="501">
        <f>'HR Track 1 HER-TSA'!I11</f>
        <v>0</v>
      </c>
      <c r="J111" s="583">
        <f>'HR Track 1 HER-TSA'!J11</f>
        <v>85073.07</v>
      </c>
      <c r="K111" s="452" t="str">
        <f>'HR Track 1 HER-TSA'!K11</f>
        <v>AnMC-R</v>
      </c>
      <c r="L111" s="452">
        <f>'HR Track 1 HER-TSA'!L11</f>
        <v>0</v>
      </c>
      <c r="M111" s="452">
        <f>'HR Track 1 HER-TSA'!M11</f>
        <v>0</v>
      </c>
      <c r="N111" s="501">
        <f>'HR Track 1 HER-TSA'!N11</f>
        <v>0</v>
      </c>
      <c r="O111" s="501">
        <f>'HR Track 1 HER-TSA'!O11</f>
        <v>0</v>
      </c>
      <c r="P111" s="501">
        <f>'HR Track 1 HER-TSA'!P11</f>
        <v>0</v>
      </c>
      <c r="Q111" s="452">
        <f>'HR Track 1 HER-TSA'!Q11</f>
        <v>0</v>
      </c>
      <c r="R111" s="452">
        <f>'HR Track 1 HER-TSA'!R11</f>
        <v>0</v>
      </c>
      <c r="S111" s="500">
        <f>'HR Track 1 HER-TSA'!S11</f>
        <v>50</v>
      </c>
      <c r="T111" s="452">
        <f>'HR Track 1 HER-TSA'!T11</f>
        <v>0</v>
      </c>
      <c r="U111" s="452">
        <f>'HR Track 1 HER-TSA'!U11</f>
        <v>0</v>
      </c>
      <c r="V111" s="452">
        <f>'HR Track 1 HER-TSA'!V11</f>
        <v>0</v>
      </c>
      <c r="W111" s="452">
        <f>'HR Track 1 HER-TSA'!W11</f>
        <v>0</v>
      </c>
      <c r="X111" s="452">
        <f>'HR Track 1 HER-TSA'!X11</f>
        <v>0</v>
      </c>
      <c r="Y111" s="452">
        <f>'HR Track 1 HER-TSA'!Y11</f>
        <v>0</v>
      </c>
      <c r="Z111" s="452">
        <f>'HR Track 1 HER-TSA'!Z11</f>
        <v>0</v>
      </c>
      <c r="AA111" s="452">
        <f>'HR Track 1 HER-TSA'!AA11</f>
        <v>0</v>
      </c>
      <c r="AB111" s="452">
        <f>'HR Track 1 HER-TSA'!AB11</f>
        <v>0</v>
      </c>
      <c r="AC111" s="452">
        <f>'HR Track 1 HER-TSA'!AC11</f>
        <v>0</v>
      </c>
      <c r="AD111" s="452">
        <f>'HR Track 1 HER-TSA'!AD11</f>
        <v>0</v>
      </c>
      <c r="AE111" s="452">
        <f>'HR Track 1 HER-TSA'!AE11</f>
        <v>0</v>
      </c>
      <c r="AF111" s="452">
        <f>'HR Track 1 HER-TSA'!AF11</f>
        <v>0</v>
      </c>
      <c r="AG111" s="451">
        <f>'HR Track 1 HER-TSA'!AG11</f>
        <v>0</v>
      </c>
      <c r="AH111" s="452">
        <f>'HR Track 1 HER-TSA'!AH11</f>
        <v>0</v>
      </c>
      <c r="AI111" s="452">
        <f>'HR Track 1 HER-TSA'!AI11</f>
        <v>0</v>
      </c>
      <c r="AJ111" s="452">
        <f>'HR Track 1 HER-TSA'!AJ11</f>
        <v>0</v>
      </c>
      <c r="AK111" s="452">
        <f>'HR Track 1 HER-TSA'!AK11</f>
        <v>0</v>
      </c>
      <c r="AL111" s="452">
        <f>'HR Track 1 HER-TSA'!AL11</f>
        <v>0</v>
      </c>
      <c r="AM111" s="452">
        <f>'HR Track 1 HER-TSA'!AM11</f>
        <v>0</v>
      </c>
      <c r="AN111" s="500">
        <f>'HR Track 1 HER-TSA'!AN11</f>
        <v>0</v>
      </c>
      <c r="AO111" s="452">
        <f>'HR Track 1 HER-TSA'!AO11</f>
        <v>0</v>
      </c>
      <c r="AP111" s="452">
        <f>'HR Track 1 HER-TSA'!AP11</f>
        <v>0</v>
      </c>
      <c r="AQ111" s="452">
        <f>'HR Track 1 HER-TSA'!AQ11</f>
        <v>0.36839079999999996</v>
      </c>
      <c r="AR111" s="452">
        <f>'HR Track 1 HER-TSA'!AR11</f>
        <v>0</v>
      </c>
      <c r="AS111" s="452">
        <f>'HR Track 1 HER-TSA'!AS11</f>
        <v>0</v>
      </c>
      <c r="AT111" s="452">
        <f>'HR Track 1 HER-TSA'!AT11</f>
        <v>0</v>
      </c>
      <c r="AU111" s="452">
        <f>'HR Track 1 HER-TSA'!AU11</f>
        <v>0</v>
      </c>
      <c r="AV111" s="452">
        <f>'HR Track 1 HER-TSA'!AV11</f>
        <v>0</v>
      </c>
      <c r="AW111" s="452" t="str">
        <f>'HR Track 1 HER-TSA'!AW11</f>
        <v>Soil B</v>
      </c>
      <c r="AX111" s="452" t="str">
        <f>'HR Track 1 HER-TSA'!AX11</f>
        <v>PT</v>
      </c>
      <c r="AY111" s="500">
        <f>'HR Track 1 HER-TSA'!AY11</f>
        <v>0</v>
      </c>
      <c r="AZ111" s="500">
        <f>'HR Track 1 HER-TSA'!AZ11</f>
        <v>3.9</v>
      </c>
      <c r="BA111" s="1333" t="str">
        <f>'HR Track 1 HER-TSA'!BA11</f>
        <v>ü</v>
      </c>
      <c r="BB111" s="452">
        <f>'HR Track 1 HER-TSA'!BB11</f>
        <v>0</v>
      </c>
      <c r="BC111" s="1334">
        <f>'HR Track 1 HER-TSA'!BC11</f>
        <v>0</v>
      </c>
      <c r="BD111" s="1335">
        <f>'HR Track 1 HER-TSA'!BD11</f>
        <v>0</v>
      </c>
      <c r="BE111" s="1335">
        <f>'HR Track 1 HER-TSA'!BE11</f>
        <v>0</v>
      </c>
      <c r="BF111" s="1335">
        <f>'HR Track 1 HER-TSA'!BF11</f>
        <v>0</v>
      </c>
      <c r="BG111" s="1335">
        <f>'HR Track 1 HER-TSA'!BG11</f>
        <v>0</v>
      </c>
    </row>
    <row r="112" spans="1:59" ht="15.75" customHeight="1">
      <c r="B112" s="175"/>
      <c r="C112" s="617"/>
      <c r="D112" s="177"/>
      <c r="E112" s="169"/>
      <c r="F112" s="177"/>
      <c r="G112" s="458"/>
      <c r="K112" s="169"/>
      <c r="L112" s="169"/>
      <c r="M112" s="169"/>
      <c r="Q112" s="169"/>
      <c r="R112" s="169"/>
      <c r="S112" s="458"/>
      <c r="T112" s="169"/>
      <c r="U112" s="169"/>
      <c r="V112" s="169"/>
      <c r="W112" s="169"/>
      <c r="X112" s="169"/>
      <c r="Y112" s="169"/>
      <c r="Z112" s="169"/>
      <c r="AA112" s="169"/>
      <c r="AB112" s="169"/>
      <c r="AC112" s="169"/>
      <c r="AD112" s="169"/>
      <c r="AE112" s="169"/>
      <c r="AF112" s="169"/>
      <c r="AG112" s="617"/>
      <c r="AH112" s="169"/>
      <c r="AI112" s="169"/>
      <c r="AJ112" s="169"/>
      <c r="AK112" s="169"/>
      <c r="AL112" s="169"/>
      <c r="AM112" s="169"/>
      <c r="AN112" s="454"/>
      <c r="AO112" s="178"/>
      <c r="AP112" s="178"/>
      <c r="AY112" s="458"/>
      <c r="AZ112" s="458"/>
      <c r="BA112" s="1305"/>
      <c r="BC112" s="169"/>
    </row>
    <row r="113" spans="2:55" ht="15.75" customHeight="1">
      <c r="B113" s="175"/>
      <c r="C113" s="617"/>
      <c r="D113" s="177"/>
      <c r="E113" s="169"/>
      <c r="F113" s="177"/>
      <c r="G113" s="458"/>
      <c r="K113" s="169"/>
      <c r="L113" s="169"/>
      <c r="M113" s="169"/>
      <c r="Q113" s="169"/>
      <c r="R113" s="169"/>
      <c r="S113" s="458"/>
      <c r="T113" s="169"/>
      <c r="U113" s="169"/>
      <c r="V113" s="169"/>
      <c r="W113" s="169"/>
      <c r="X113" s="169"/>
      <c r="Y113" s="169"/>
      <c r="Z113" s="169"/>
      <c r="AA113" s="169"/>
      <c r="AB113" s="169"/>
      <c r="AC113" s="169"/>
      <c r="AD113" s="169"/>
      <c r="AE113" s="169"/>
      <c r="AF113" s="169"/>
      <c r="AG113" s="617"/>
      <c r="AH113" s="169"/>
      <c r="AI113" s="169"/>
      <c r="AJ113" s="169"/>
      <c r="AK113" s="169"/>
      <c r="AL113" s="169"/>
      <c r="AM113" s="169"/>
      <c r="AN113" s="454"/>
      <c r="AO113" s="178"/>
      <c r="AP113" s="178"/>
      <c r="AY113" s="458"/>
      <c r="AZ113" s="458"/>
      <c r="BA113" s="1305"/>
      <c r="BC113" s="169"/>
    </row>
    <row r="114" spans="2:55" ht="15.75" customHeight="1">
      <c r="B114" s="175"/>
      <c r="C114" s="617"/>
      <c r="D114" s="177"/>
      <c r="E114" s="169"/>
      <c r="F114" s="177"/>
      <c r="G114" s="458"/>
      <c r="K114" s="169"/>
      <c r="L114" s="169"/>
      <c r="M114" s="169"/>
      <c r="Q114" s="169"/>
      <c r="R114" s="169"/>
      <c r="S114" s="458"/>
      <c r="T114" s="169"/>
      <c r="U114" s="169"/>
      <c r="V114" s="169"/>
      <c r="W114" s="169"/>
      <c r="X114" s="169"/>
      <c r="Y114" s="169"/>
      <c r="Z114" s="169"/>
      <c r="AA114" s="169"/>
      <c r="AB114" s="169"/>
      <c r="AC114" s="169"/>
      <c r="AD114" s="169"/>
      <c r="AE114" s="169"/>
      <c r="AF114" s="169"/>
      <c r="AG114" s="617"/>
      <c r="AH114" s="169"/>
      <c r="AI114" s="169"/>
      <c r="AJ114" s="169"/>
      <c r="AK114" s="169"/>
      <c r="AL114" s="169"/>
      <c r="AM114" s="169"/>
      <c r="AN114" s="454"/>
      <c r="AO114" s="178"/>
      <c r="AP114" s="178"/>
      <c r="AY114" s="458"/>
      <c r="AZ114" s="458"/>
      <c r="BA114" s="1305"/>
      <c r="BC114" s="169"/>
    </row>
    <row r="115" spans="2:55" ht="15.75" customHeight="1">
      <c r="B115" s="175"/>
      <c r="C115" s="617"/>
      <c r="D115" s="177"/>
      <c r="E115" s="169"/>
      <c r="F115" s="177"/>
      <c r="G115" s="458"/>
      <c r="K115" s="169"/>
      <c r="L115" s="169"/>
      <c r="M115" s="169"/>
      <c r="Q115" s="169"/>
      <c r="R115" s="169"/>
      <c r="S115" s="458"/>
      <c r="T115" s="169"/>
      <c r="U115" s="169"/>
      <c r="V115" s="169"/>
      <c r="W115" s="169"/>
      <c r="X115" s="169"/>
      <c r="Y115" s="169"/>
      <c r="Z115" s="169"/>
      <c r="AA115" s="169"/>
      <c r="AB115" s="169"/>
      <c r="AC115" s="169"/>
      <c r="AD115" s="169"/>
      <c r="AE115" s="169"/>
      <c r="AF115" s="169"/>
      <c r="AG115" s="617"/>
      <c r="AH115" s="169"/>
      <c r="AI115" s="169"/>
      <c r="AJ115" s="169"/>
      <c r="AK115" s="169"/>
      <c r="AL115" s="169"/>
      <c r="AM115" s="169"/>
      <c r="AN115" s="454"/>
      <c r="AO115" s="178"/>
      <c r="AP115" s="178"/>
      <c r="AY115" s="458"/>
      <c r="AZ115" s="458"/>
      <c r="BA115" s="1305"/>
      <c r="BC115" s="169"/>
    </row>
    <row r="116" spans="2:55" ht="15.75" customHeight="1">
      <c r="B116" s="175"/>
      <c r="C116" s="617"/>
      <c r="D116" s="177"/>
      <c r="E116" s="169"/>
      <c r="F116" s="177"/>
      <c r="G116" s="458"/>
      <c r="K116" s="169"/>
      <c r="L116" s="169"/>
      <c r="M116" s="169"/>
      <c r="Q116" s="169"/>
      <c r="R116" s="169"/>
      <c r="S116" s="458"/>
      <c r="T116" s="169"/>
      <c r="U116" s="169"/>
      <c r="V116" s="169"/>
      <c r="W116" s="169"/>
      <c r="X116" s="169"/>
      <c r="Y116" s="169"/>
      <c r="Z116" s="169"/>
      <c r="AA116" s="169"/>
      <c r="AB116" s="169"/>
      <c r="AC116" s="169"/>
      <c r="AD116" s="169"/>
      <c r="AE116" s="169"/>
      <c r="AF116" s="169"/>
      <c r="AG116" s="617"/>
      <c r="AH116" s="169"/>
      <c r="AI116" s="169"/>
      <c r="AJ116" s="169"/>
      <c r="AK116" s="169"/>
      <c r="AL116" s="169"/>
      <c r="AM116" s="169"/>
      <c r="AN116" s="454"/>
      <c r="AO116" s="178"/>
      <c r="AP116" s="178"/>
      <c r="AY116" s="458"/>
      <c r="AZ116" s="458"/>
      <c r="BA116" s="1305"/>
      <c r="BC116" s="169"/>
    </row>
    <row r="117" spans="2:55" ht="15.75" customHeight="1">
      <c r="B117" s="175"/>
      <c r="C117" s="617"/>
      <c r="D117" s="177"/>
      <c r="E117" s="169"/>
      <c r="F117" s="177"/>
      <c r="G117" s="458"/>
      <c r="K117" s="169"/>
      <c r="L117" s="169"/>
      <c r="M117" s="169"/>
      <c r="Q117" s="169"/>
      <c r="R117" s="169"/>
      <c r="S117" s="458"/>
      <c r="T117" s="169"/>
      <c r="U117" s="169"/>
      <c r="V117" s="169"/>
      <c r="W117" s="169"/>
      <c r="X117" s="169"/>
      <c r="Y117" s="169"/>
      <c r="Z117" s="169"/>
      <c r="AA117" s="169"/>
      <c r="AB117" s="169"/>
      <c r="AC117" s="169"/>
      <c r="AD117" s="169"/>
      <c r="AE117" s="169"/>
      <c r="AF117" s="169"/>
      <c r="AG117" s="617"/>
      <c r="AH117" s="169"/>
      <c r="AI117" s="169"/>
      <c r="AJ117" s="169"/>
      <c r="AK117" s="169"/>
      <c r="AL117" s="169"/>
      <c r="AM117" s="169"/>
      <c r="AN117" s="454"/>
      <c r="AO117" s="178"/>
      <c r="AP117" s="178"/>
      <c r="AY117" s="458"/>
      <c r="AZ117" s="458"/>
      <c r="BA117" s="1305"/>
      <c r="BC117" s="169"/>
    </row>
    <row r="118" spans="2:55" ht="15.75" customHeight="1">
      <c r="B118" s="175"/>
      <c r="C118" s="617"/>
      <c r="D118" s="177"/>
      <c r="E118" s="169"/>
      <c r="F118" s="177"/>
      <c r="G118" s="458"/>
      <c r="K118" s="169"/>
      <c r="L118" s="169"/>
      <c r="M118" s="169"/>
      <c r="Q118" s="169"/>
      <c r="R118" s="169"/>
      <c r="S118" s="458"/>
      <c r="T118" s="169"/>
      <c r="U118" s="169"/>
      <c r="V118" s="169"/>
      <c r="W118" s="169"/>
      <c r="X118" s="169"/>
      <c r="Y118" s="169"/>
      <c r="Z118" s="169"/>
      <c r="AA118" s="169"/>
      <c r="AB118" s="169"/>
      <c r="AC118" s="169"/>
      <c r="AD118" s="169"/>
      <c r="AE118" s="169"/>
      <c r="AF118" s="169"/>
      <c r="AG118" s="617"/>
      <c r="AH118" s="169"/>
      <c r="AI118" s="169"/>
      <c r="AJ118" s="169"/>
      <c r="AK118" s="169"/>
      <c r="AL118" s="169"/>
      <c r="AM118" s="169"/>
      <c r="AN118" s="454"/>
      <c r="AO118" s="178"/>
      <c r="AP118" s="178"/>
      <c r="AY118" s="458"/>
      <c r="AZ118" s="458"/>
      <c r="BA118" s="1305"/>
      <c r="BC118" s="169"/>
    </row>
    <row r="119" spans="2:55" ht="15.75" customHeight="1">
      <c r="B119" s="175"/>
      <c r="C119" s="617"/>
      <c r="D119" s="177"/>
      <c r="E119" s="169"/>
      <c r="F119" s="177"/>
      <c r="G119" s="458"/>
      <c r="K119" s="169"/>
      <c r="L119" s="169"/>
      <c r="M119" s="169"/>
      <c r="Q119" s="169"/>
      <c r="R119" s="169"/>
      <c r="S119" s="458"/>
      <c r="T119" s="169"/>
      <c r="U119" s="169"/>
      <c r="V119" s="169"/>
      <c r="W119" s="169"/>
      <c r="X119" s="169"/>
      <c r="Y119" s="169"/>
      <c r="Z119" s="169"/>
      <c r="AA119" s="169"/>
      <c r="AB119" s="169"/>
      <c r="AC119" s="169"/>
      <c r="AD119" s="169"/>
      <c r="AE119" s="169"/>
      <c r="AF119" s="169"/>
      <c r="AG119" s="617"/>
      <c r="AH119" s="169"/>
      <c r="AI119" s="169"/>
      <c r="AJ119" s="169"/>
      <c r="AK119" s="169"/>
      <c r="AL119" s="169"/>
      <c r="AM119" s="169"/>
      <c r="AN119" s="454"/>
      <c r="AO119" s="178"/>
      <c r="AP119" s="178"/>
      <c r="AY119" s="458"/>
      <c r="AZ119" s="458"/>
      <c r="BA119" s="1305"/>
      <c r="BC119" s="169"/>
    </row>
    <row r="120" spans="2:55" ht="15.75" customHeight="1">
      <c r="B120" s="618"/>
      <c r="C120" s="617"/>
      <c r="D120" s="177"/>
      <c r="E120" s="169"/>
      <c r="F120" s="177"/>
      <c r="G120" s="458"/>
      <c r="H120" s="169"/>
      <c r="I120" s="169"/>
      <c r="J120" s="617"/>
      <c r="K120" s="169"/>
      <c r="L120" s="169"/>
      <c r="M120" s="169"/>
      <c r="N120" s="169"/>
      <c r="O120" s="169"/>
      <c r="P120" s="169"/>
      <c r="Q120" s="169"/>
      <c r="R120" s="169"/>
      <c r="S120" s="458"/>
      <c r="T120" s="169"/>
      <c r="U120" s="169"/>
      <c r="V120" s="169"/>
      <c r="W120" s="169"/>
      <c r="X120" s="169"/>
      <c r="Y120" s="169"/>
      <c r="Z120" s="169"/>
      <c r="AA120" s="169"/>
      <c r="AB120" s="169"/>
      <c r="AC120" s="169"/>
      <c r="AD120" s="169"/>
      <c r="AE120" s="169"/>
      <c r="AF120" s="169"/>
      <c r="AG120" s="617"/>
      <c r="AH120" s="169"/>
      <c r="AI120" s="169"/>
      <c r="AJ120" s="169"/>
      <c r="AK120" s="169"/>
      <c r="AL120" s="169"/>
      <c r="AM120" s="169"/>
      <c r="AN120" s="454"/>
      <c r="AO120" s="178"/>
      <c r="AP120" s="178"/>
      <c r="AY120" s="458"/>
      <c r="AZ120" s="458"/>
      <c r="BA120" s="1305"/>
      <c r="BC120" s="169"/>
    </row>
    <row r="121" spans="2:55" ht="15.75" customHeight="1">
      <c r="B121" s="618"/>
      <c r="C121" s="617"/>
      <c r="D121" s="177"/>
      <c r="E121" s="169"/>
      <c r="F121" s="177"/>
      <c r="G121" s="458"/>
      <c r="H121" s="169"/>
      <c r="I121" s="169"/>
      <c r="J121" s="617"/>
      <c r="K121" s="169"/>
      <c r="L121" s="169"/>
      <c r="M121" s="169"/>
      <c r="N121" s="169"/>
      <c r="O121" s="169"/>
      <c r="P121" s="169"/>
      <c r="Q121" s="169"/>
      <c r="R121" s="169"/>
      <c r="S121" s="458"/>
      <c r="T121" s="169"/>
      <c r="U121" s="169"/>
      <c r="V121" s="169"/>
      <c r="W121" s="169"/>
      <c r="X121" s="169"/>
      <c r="Y121" s="169"/>
      <c r="Z121" s="169"/>
      <c r="AA121" s="169"/>
      <c r="AB121" s="169"/>
      <c r="AC121" s="169"/>
      <c r="AD121" s="169"/>
      <c r="AE121" s="169"/>
      <c r="AF121" s="169"/>
      <c r="AG121" s="617"/>
      <c r="AH121" s="169"/>
      <c r="AI121" s="169"/>
      <c r="AJ121" s="169"/>
      <c r="AK121" s="169"/>
      <c r="AL121" s="169"/>
      <c r="AM121" s="169"/>
      <c r="AN121" s="458"/>
      <c r="AY121" s="458"/>
      <c r="AZ121" s="458"/>
      <c r="BA121" s="1305"/>
      <c r="BC121" s="169"/>
    </row>
    <row r="122" spans="2:55" ht="15.75" customHeight="1">
      <c r="B122" s="618"/>
      <c r="C122" s="617"/>
      <c r="D122" s="177"/>
      <c r="E122" s="169"/>
      <c r="F122" s="177"/>
      <c r="G122" s="458"/>
      <c r="H122" s="169"/>
      <c r="I122" s="169"/>
      <c r="J122" s="617"/>
      <c r="K122" s="169"/>
      <c r="L122" s="169"/>
      <c r="M122" s="169"/>
      <c r="N122" s="169"/>
      <c r="O122" s="169"/>
      <c r="P122" s="169"/>
      <c r="Q122" s="169"/>
      <c r="R122" s="169"/>
      <c r="S122" s="458"/>
      <c r="T122" s="169"/>
      <c r="U122" s="169"/>
      <c r="V122" s="169"/>
      <c r="W122" s="169"/>
      <c r="X122" s="169"/>
      <c r="Y122" s="169"/>
      <c r="Z122" s="169"/>
      <c r="AA122" s="169"/>
      <c r="AB122" s="169"/>
      <c r="AC122" s="169"/>
      <c r="AD122" s="169"/>
      <c r="AE122" s="169"/>
      <c r="AF122" s="169"/>
      <c r="AG122" s="617"/>
      <c r="AH122" s="169"/>
      <c r="AI122" s="169"/>
      <c r="AJ122" s="169"/>
      <c r="AK122" s="169"/>
      <c r="AL122" s="169"/>
      <c r="AM122" s="169"/>
      <c r="AN122" s="458"/>
      <c r="AY122" s="458"/>
      <c r="AZ122" s="458"/>
      <c r="BA122" s="1305"/>
      <c r="BC122" s="169"/>
    </row>
    <row r="123" spans="2:55" ht="15.75" customHeight="1">
      <c r="S123" s="454"/>
      <c r="AN123" s="458"/>
      <c r="AY123" s="458"/>
      <c r="AZ123" s="458"/>
      <c r="BA123" s="1305"/>
      <c r="BC123" s="169"/>
    </row>
    <row r="124" spans="2:55" ht="15.75" customHeight="1">
      <c r="S124" s="454"/>
      <c r="AN124" s="458"/>
      <c r="AY124" s="458"/>
      <c r="AZ124" s="458"/>
      <c r="BA124" s="1305"/>
      <c r="BC124" s="169"/>
    </row>
    <row r="125" spans="2:55" ht="15.75" customHeight="1">
      <c r="S125" s="454"/>
      <c r="AN125" s="458"/>
      <c r="AY125" s="458"/>
      <c r="AZ125" s="458"/>
      <c r="BA125" s="1305"/>
      <c r="BC125" s="169"/>
    </row>
    <row r="126" spans="2:55" ht="15.75" customHeight="1">
      <c r="S126" s="454"/>
      <c r="AN126" s="458"/>
      <c r="AY126" s="458"/>
      <c r="AZ126" s="458"/>
      <c r="BA126" s="1305"/>
      <c r="BC126" s="169"/>
    </row>
    <row r="127" spans="2:55" ht="15.75" customHeight="1">
      <c r="S127" s="454"/>
      <c r="AN127" s="458"/>
      <c r="AY127" s="458"/>
      <c r="AZ127" s="458"/>
      <c r="BA127" s="1305"/>
      <c r="BC127" s="169"/>
    </row>
    <row r="128" spans="2:55" ht="15.75" customHeight="1">
      <c r="S128" s="454"/>
      <c r="AN128" s="458"/>
      <c r="AY128" s="458"/>
      <c r="AZ128" s="458"/>
      <c r="BA128" s="1305"/>
      <c r="BC128" s="169"/>
    </row>
    <row r="129" spans="19:55" ht="15.75" customHeight="1">
      <c r="S129" s="454"/>
      <c r="AN129" s="458"/>
      <c r="AY129" s="458"/>
      <c r="AZ129" s="458"/>
      <c r="BA129" s="1305"/>
      <c r="BC129" s="169"/>
    </row>
    <row r="130" spans="19:55" ht="15.75" customHeight="1">
      <c r="S130" s="454"/>
      <c r="AN130" s="458"/>
      <c r="AY130" s="458"/>
      <c r="AZ130" s="458"/>
      <c r="BA130" s="1305"/>
      <c r="BC130" s="169"/>
    </row>
    <row r="131" spans="19:55" ht="15.75" customHeight="1">
      <c r="S131" s="454"/>
      <c r="AN131" s="458"/>
      <c r="AY131" s="458"/>
      <c r="AZ131" s="458"/>
      <c r="BA131" s="1305"/>
      <c r="BC131" s="169"/>
    </row>
    <row r="132" spans="19:55" ht="15.75" customHeight="1">
      <c r="S132" s="454"/>
      <c r="AN132" s="458"/>
      <c r="AY132" s="458"/>
      <c r="AZ132" s="458"/>
      <c r="BA132" s="1305"/>
      <c r="BC132" s="169"/>
    </row>
    <row r="133" spans="19:55" ht="15.75" customHeight="1">
      <c r="S133" s="454"/>
      <c r="AN133" s="458"/>
      <c r="AY133" s="458"/>
      <c r="AZ133" s="458"/>
      <c r="BA133" s="1305"/>
      <c r="BC133" s="169"/>
    </row>
    <row r="134" spans="19:55" ht="15.75" customHeight="1">
      <c r="S134" s="454"/>
      <c r="AN134" s="458"/>
      <c r="AY134" s="458"/>
      <c r="AZ134" s="458"/>
      <c r="BA134" s="1305"/>
      <c r="BC134" s="169"/>
    </row>
    <row r="135" spans="19:55" ht="15.75" customHeight="1">
      <c r="S135" s="454"/>
      <c r="AN135" s="458"/>
      <c r="AY135" s="458"/>
      <c r="AZ135" s="458"/>
      <c r="BA135" s="1305"/>
      <c r="BC135" s="169"/>
    </row>
    <row r="136" spans="19:55" ht="15.75" customHeight="1">
      <c r="S136" s="454"/>
      <c r="AN136" s="458"/>
      <c r="AY136" s="458"/>
      <c r="AZ136" s="458"/>
      <c r="BA136" s="1305"/>
      <c r="BC136" s="169"/>
    </row>
    <row r="137" spans="19:55" ht="15.75" customHeight="1">
      <c r="S137" s="454"/>
      <c r="AN137" s="458"/>
      <c r="AY137" s="458"/>
      <c r="AZ137" s="458"/>
      <c r="BA137" s="1305"/>
      <c r="BC137" s="169"/>
    </row>
    <row r="138" spans="19:55" ht="15.75" customHeight="1">
      <c r="S138" s="454"/>
      <c r="AN138" s="458"/>
      <c r="AY138" s="458"/>
      <c r="AZ138" s="458"/>
      <c r="BA138" s="1305"/>
      <c r="BC138" s="169"/>
    </row>
    <row r="139" spans="19:55" ht="15.75" customHeight="1">
      <c r="S139" s="454"/>
      <c r="AN139" s="458"/>
      <c r="AY139" s="458"/>
      <c r="AZ139" s="458"/>
      <c r="BA139" s="1305"/>
      <c r="BC139" s="169"/>
    </row>
    <row r="140" spans="19:55" ht="15.75" customHeight="1">
      <c r="S140" s="454"/>
      <c r="AN140" s="458"/>
      <c r="AY140" s="458"/>
      <c r="AZ140" s="458"/>
      <c r="BA140" s="1305"/>
      <c r="BC140" s="169"/>
    </row>
    <row r="141" spans="19:55" ht="15.75" customHeight="1">
      <c r="S141" s="454"/>
      <c r="AN141" s="458"/>
      <c r="AY141" s="458"/>
      <c r="AZ141" s="458"/>
      <c r="BA141" s="1305"/>
      <c r="BC141" s="169"/>
    </row>
    <row r="142" spans="19:55" ht="15.75" customHeight="1">
      <c r="S142" s="454"/>
      <c r="AN142" s="458"/>
      <c r="AY142" s="458"/>
      <c r="AZ142" s="458"/>
      <c r="BA142" s="1305"/>
      <c r="BC142" s="169"/>
    </row>
    <row r="143" spans="19:55" ht="15.75" customHeight="1">
      <c r="S143" s="454"/>
      <c r="AN143" s="458"/>
      <c r="AY143" s="458"/>
      <c r="AZ143" s="458"/>
      <c r="BA143" s="1305"/>
      <c r="BC143" s="169"/>
    </row>
    <row r="144" spans="19:55" ht="15.75" customHeight="1">
      <c r="S144" s="454"/>
      <c r="AN144" s="458"/>
      <c r="AY144" s="458"/>
      <c r="AZ144" s="458"/>
      <c r="BA144" s="1305"/>
      <c r="BC144" s="169"/>
    </row>
    <row r="145" spans="19:55" ht="15.75" customHeight="1">
      <c r="S145" s="454"/>
      <c r="AN145" s="458"/>
      <c r="AY145" s="458"/>
      <c r="AZ145" s="458"/>
      <c r="BA145" s="1305"/>
      <c r="BC145" s="169"/>
    </row>
    <row r="146" spans="19:55" ht="15.75" customHeight="1">
      <c r="S146" s="454"/>
      <c r="AN146" s="458"/>
      <c r="AY146" s="458"/>
      <c r="AZ146" s="458"/>
      <c r="BA146" s="1305"/>
      <c r="BC146" s="169"/>
    </row>
    <row r="147" spans="19:55" ht="15.75" customHeight="1">
      <c r="S147" s="454"/>
      <c r="AN147" s="458"/>
      <c r="AY147" s="458"/>
      <c r="AZ147" s="458"/>
      <c r="BA147" s="1305"/>
      <c r="BC147" s="169"/>
    </row>
    <row r="148" spans="19:55" ht="15.75" customHeight="1">
      <c r="S148" s="454"/>
      <c r="AN148" s="458"/>
      <c r="AY148" s="458"/>
      <c r="AZ148" s="458"/>
      <c r="BA148" s="1305"/>
      <c r="BC148" s="169"/>
    </row>
    <row r="149" spans="19:55" ht="15.75" customHeight="1">
      <c r="S149" s="454"/>
      <c r="AN149" s="458"/>
      <c r="AY149" s="458"/>
      <c r="AZ149" s="458"/>
      <c r="BA149" s="1305"/>
      <c r="BC149" s="169"/>
    </row>
    <row r="150" spans="19:55" ht="15.75" customHeight="1">
      <c r="S150" s="454"/>
      <c r="AN150" s="458"/>
      <c r="AY150" s="458"/>
      <c r="AZ150" s="458"/>
      <c r="BA150" s="1305"/>
      <c r="BC150" s="169"/>
    </row>
    <row r="151" spans="19:55" ht="15.75" customHeight="1">
      <c r="S151" s="454"/>
      <c r="AN151" s="458"/>
      <c r="AY151" s="458"/>
      <c r="AZ151" s="458"/>
      <c r="BA151" s="1305"/>
      <c r="BC151" s="169"/>
    </row>
    <row r="152" spans="19:55" ht="15.75" customHeight="1">
      <c r="S152" s="454"/>
      <c r="AN152" s="458"/>
      <c r="AY152" s="458"/>
      <c r="AZ152" s="458"/>
      <c r="BA152" s="1305"/>
      <c r="BC152" s="169"/>
    </row>
    <row r="153" spans="19:55" ht="15.75" customHeight="1">
      <c r="S153" s="454"/>
      <c r="AN153" s="458"/>
      <c r="AY153" s="458"/>
      <c r="AZ153" s="458"/>
      <c r="BA153" s="1305"/>
      <c r="BC153" s="169"/>
    </row>
    <row r="154" spans="19:55" ht="15.75" customHeight="1">
      <c r="S154" s="454"/>
      <c r="AN154" s="458"/>
      <c r="AY154" s="458"/>
      <c r="AZ154" s="458"/>
      <c r="BA154" s="1305"/>
      <c r="BC154" s="169"/>
    </row>
    <row r="155" spans="19:55" ht="15.75" customHeight="1">
      <c r="S155" s="454"/>
      <c r="AN155" s="458"/>
      <c r="AY155" s="458"/>
      <c r="AZ155" s="458"/>
      <c r="BA155" s="1305"/>
      <c r="BC155" s="169"/>
    </row>
    <row r="156" spans="19:55" ht="15.75" customHeight="1">
      <c r="S156" s="454"/>
      <c r="AN156" s="458"/>
      <c r="AY156" s="458"/>
      <c r="AZ156" s="458"/>
      <c r="BA156" s="1305"/>
      <c r="BC156" s="169"/>
    </row>
    <row r="157" spans="19:55" ht="15.75" customHeight="1">
      <c r="S157" s="454"/>
      <c r="AN157" s="458"/>
      <c r="AY157" s="458"/>
      <c r="AZ157" s="458"/>
      <c r="BA157" s="1305"/>
      <c r="BC157" s="169"/>
    </row>
    <row r="158" spans="19:55" ht="15.75" customHeight="1">
      <c r="S158" s="454"/>
      <c r="AN158" s="458"/>
      <c r="AY158" s="458"/>
      <c r="AZ158" s="458"/>
      <c r="BA158" s="1305"/>
      <c r="BC158" s="169"/>
    </row>
    <row r="159" spans="19:55" ht="15.75" customHeight="1">
      <c r="S159" s="454"/>
      <c r="AN159" s="458"/>
      <c r="AY159" s="458"/>
      <c r="AZ159" s="458"/>
      <c r="BA159" s="1305"/>
      <c r="BC159" s="169"/>
    </row>
    <row r="160" spans="19:55" ht="15.75" customHeight="1">
      <c r="S160" s="454"/>
      <c r="AN160" s="458"/>
      <c r="AY160" s="458"/>
      <c r="AZ160" s="458"/>
      <c r="BA160" s="1305"/>
      <c r="BC160" s="169"/>
    </row>
    <row r="161" spans="19:55" ht="15.75" customHeight="1">
      <c r="S161" s="454"/>
      <c r="AN161" s="458"/>
      <c r="AY161" s="458"/>
      <c r="AZ161" s="458"/>
      <c r="BA161" s="1305"/>
      <c r="BC161" s="169"/>
    </row>
    <row r="162" spans="19:55" ht="15.75" customHeight="1">
      <c r="S162" s="454"/>
      <c r="AN162" s="458"/>
      <c r="AY162" s="458"/>
      <c r="AZ162" s="458"/>
      <c r="BA162" s="1305"/>
      <c r="BC162" s="169"/>
    </row>
    <row r="163" spans="19:55" ht="15.75" customHeight="1">
      <c r="S163" s="454"/>
      <c r="AN163" s="458"/>
      <c r="AY163" s="458"/>
      <c r="AZ163" s="458"/>
      <c r="BA163" s="1305"/>
      <c r="BC163" s="169"/>
    </row>
    <row r="164" spans="19:55" ht="15.75" customHeight="1">
      <c r="S164" s="454"/>
      <c r="AN164" s="458"/>
      <c r="AY164" s="458"/>
      <c r="AZ164" s="458"/>
      <c r="BA164" s="1305"/>
      <c r="BC164" s="169"/>
    </row>
    <row r="165" spans="19:55" ht="15.75" customHeight="1">
      <c r="S165" s="454"/>
      <c r="AN165" s="458"/>
      <c r="AY165" s="458"/>
      <c r="AZ165" s="458"/>
      <c r="BA165" s="1305"/>
      <c r="BC165" s="169"/>
    </row>
    <row r="166" spans="19:55" ht="15.75" customHeight="1">
      <c r="S166" s="454"/>
      <c r="AN166" s="458"/>
      <c r="AY166" s="458"/>
      <c r="AZ166" s="458"/>
      <c r="BA166" s="1305"/>
      <c r="BC166" s="169"/>
    </row>
    <row r="167" spans="19:55" ht="15.75" customHeight="1">
      <c r="S167" s="454"/>
      <c r="AN167" s="458"/>
      <c r="AY167" s="458"/>
      <c r="AZ167" s="458"/>
      <c r="BA167" s="1305"/>
      <c r="BC167" s="169"/>
    </row>
    <row r="168" spans="19:55" ht="15.75" customHeight="1">
      <c r="S168" s="454"/>
      <c r="AN168" s="458"/>
      <c r="AY168" s="458"/>
      <c r="AZ168" s="458"/>
      <c r="BA168" s="1305"/>
      <c r="BC168" s="169"/>
    </row>
    <row r="169" spans="19:55" ht="15.75" customHeight="1">
      <c r="S169" s="454"/>
      <c r="AN169" s="458"/>
      <c r="AY169" s="458"/>
      <c r="AZ169" s="458"/>
      <c r="BA169" s="1305"/>
      <c r="BC169" s="169"/>
    </row>
    <row r="170" spans="19:55" ht="15.75" customHeight="1">
      <c r="S170" s="454"/>
      <c r="AN170" s="458"/>
      <c r="AY170" s="458"/>
      <c r="AZ170" s="458"/>
      <c r="BA170" s="1305"/>
      <c r="BC170" s="169"/>
    </row>
    <row r="171" spans="19:55" ht="15.75" customHeight="1">
      <c r="S171" s="454"/>
      <c r="AN171" s="458"/>
      <c r="AY171" s="458"/>
      <c r="AZ171" s="458"/>
      <c r="BA171" s="1305"/>
      <c r="BC171" s="169"/>
    </row>
    <row r="172" spans="19:55" ht="15.75" customHeight="1">
      <c r="S172" s="454"/>
      <c r="AN172" s="458"/>
      <c r="AY172" s="458"/>
      <c r="AZ172" s="458"/>
      <c r="BA172" s="1305"/>
      <c r="BC172" s="169"/>
    </row>
    <row r="173" spans="19:55" ht="15.75" customHeight="1">
      <c r="S173" s="454"/>
      <c r="AN173" s="458"/>
      <c r="AY173" s="458"/>
      <c r="AZ173" s="458"/>
      <c r="BA173" s="1305"/>
      <c r="BC173" s="169"/>
    </row>
    <row r="174" spans="19:55" ht="15.75" customHeight="1">
      <c r="S174" s="454"/>
      <c r="AN174" s="458"/>
      <c r="AY174" s="458"/>
      <c r="AZ174" s="458"/>
      <c r="BA174" s="1305"/>
      <c r="BC174" s="169"/>
    </row>
    <row r="175" spans="19:55" ht="15.75" customHeight="1">
      <c r="S175" s="454"/>
      <c r="AN175" s="458"/>
      <c r="AY175" s="458"/>
      <c r="AZ175" s="458"/>
      <c r="BA175" s="1305"/>
      <c r="BC175" s="169"/>
    </row>
    <row r="176" spans="19:55" ht="15.75" customHeight="1">
      <c r="S176" s="454"/>
      <c r="AN176" s="458"/>
      <c r="AY176" s="458"/>
      <c r="AZ176" s="458"/>
      <c r="BA176" s="1305"/>
      <c r="BC176" s="169"/>
    </row>
    <row r="177" spans="19:55" ht="15.75" customHeight="1">
      <c r="S177" s="454"/>
      <c r="AN177" s="458"/>
      <c r="AY177" s="458"/>
      <c r="AZ177" s="458"/>
      <c r="BA177" s="1305"/>
      <c r="BC177" s="169"/>
    </row>
    <row r="178" spans="19:55" ht="15.75" customHeight="1">
      <c r="S178" s="454"/>
      <c r="AN178" s="458"/>
      <c r="AY178" s="458"/>
      <c r="AZ178" s="458"/>
      <c r="BA178" s="1305"/>
      <c r="BC178" s="169"/>
    </row>
    <row r="179" spans="19:55" ht="15.75" customHeight="1">
      <c r="S179" s="454"/>
      <c r="AN179" s="458"/>
      <c r="AY179" s="458"/>
      <c r="AZ179" s="458"/>
      <c r="BA179" s="1305"/>
      <c r="BC179" s="169"/>
    </row>
    <row r="180" spans="19:55" ht="15.75" customHeight="1">
      <c r="S180" s="454"/>
      <c r="AN180" s="458"/>
      <c r="AY180" s="458"/>
      <c r="AZ180" s="458"/>
      <c r="BA180" s="1305"/>
      <c r="BC180" s="169"/>
    </row>
    <row r="181" spans="19:55" ht="15.75" customHeight="1">
      <c r="S181" s="454"/>
      <c r="AN181" s="458"/>
      <c r="AY181" s="458"/>
      <c r="AZ181" s="458"/>
      <c r="BA181" s="1305"/>
      <c r="BC181" s="169"/>
    </row>
    <row r="182" spans="19:55" ht="15.75" customHeight="1">
      <c r="S182" s="454"/>
      <c r="AN182" s="458"/>
      <c r="AY182" s="458"/>
      <c r="AZ182" s="458"/>
      <c r="BA182" s="1305"/>
      <c r="BC182" s="169"/>
    </row>
    <row r="183" spans="19:55" ht="15.75" customHeight="1">
      <c r="S183" s="454"/>
      <c r="AN183" s="458"/>
      <c r="AY183" s="458"/>
      <c r="AZ183" s="458"/>
      <c r="BA183" s="1305"/>
      <c r="BC183" s="169"/>
    </row>
    <row r="184" spans="19:55" ht="15.75" customHeight="1">
      <c r="S184" s="454"/>
      <c r="AN184" s="458"/>
      <c r="AY184" s="458"/>
      <c r="AZ184" s="458"/>
      <c r="BA184" s="1305"/>
      <c r="BC184" s="169"/>
    </row>
    <row r="185" spans="19:55" ht="15.75" customHeight="1">
      <c r="S185" s="454"/>
      <c r="AN185" s="458"/>
      <c r="AY185" s="458"/>
      <c r="AZ185" s="458"/>
      <c r="BA185" s="1305"/>
      <c r="BC185" s="169"/>
    </row>
    <row r="186" spans="19:55" ht="15.75" customHeight="1">
      <c r="S186" s="454"/>
      <c r="AN186" s="458"/>
      <c r="AY186" s="458"/>
      <c r="AZ186" s="458"/>
      <c r="BA186" s="1305"/>
      <c r="BC186" s="169"/>
    </row>
    <row r="187" spans="19:55" ht="15.75" customHeight="1">
      <c r="S187" s="454"/>
      <c r="AN187" s="458"/>
      <c r="AY187" s="458"/>
      <c r="AZ187" s="458"/>
      <c r="BA187" s="1305"/>
      <c r="BC187" s="169"/>
    </row>
    <row r="188" spans="19:55" ht="15.75" customHeight="1">
      <c r="S188" s="454"/>
      <c r="AN188" s="458"/>
      <c r="AY188" s="458"/>
      <c r="AZ188" s="458"/>
      <c r="BA188" s="1305"/>
      <c r="BC188" s="169"/>
    </row>
    <row r="189" spans="19:55" ht="15.75" customHeight="1">
      <c r="S189" s="454"/>
      <c r="AN189" s="458"/>
      <c r="AY189" s="458"/>
      <c r="AZ189" s="458"/>
      <c r="BA189" s="1305"/>
      <c r="BC189" s="169"/>
    </row>
    <row r="190" spans="19:55" ht="15.75" customHeight="1">
      <c r="S190" s="454"/>
      <c r="AN190" s="458"/>
      <c r="AY190" s="458"/>
      <c r="AZ190" s="458"/>
      <c r="BA190" s="1305"/>
      <c r="BC190" s="169"/>
    </row>
    <row r="191" spans="19:55" ht="15.75" customHeight="1">
      <c r="S191" s="454"/>
      <c r="AN191" s="458"/>
      <c r="AY191" s="458"/>
      <c r="AZ191" s="458"/>
      <c r="BA191" s="1305"/>
      <c r="BC191" s="169"/>
    </row>
    <row r="192" spans="19:55" ht="15.75" customHeight="1">
      <c r="S192" s="454"/>
      <c r="AN192" s="458"/>
      <c r="AY192" s="458"/>
      <c r="AZ192" s="458"/>
      <c r="BA192" s="1305"/>
      <c r="BC192" s="169"/>
    </row>
    <row r="193" spans="19:55" ht="15.75" customHeight="1">
      <c r="S193" s="454"/>
      <c r="AN193" s="458"/>
      <c r="AY193" s="458"/>
      <c r="AZ193" s="458"/>
      <c r="BA193" s="1305"/>
      <c r="BC193" s="169"/>
    </row>
    <row r="194" spans="19:55" ht="15.75" customHeight="1">
      <c r="S194" s="454"/>
      <c r="AN194" s="458"/>
      <c r="AY194" s="458"/>
      <c r="AZ194" s="458"/>
      <c r="BA194" s="1305"/>
      <c r="BC194" s="169"/>
    </row>
    <row r="195" spans="19:55" ht="15.75" customHeight="1">
      <c r="S195" s="454"/>
      <c r="AN195" s="458"/>
      <c r="AY195" s="458"/>
      <c r="AZ195" s="458"/>
      <c r="BA195" s="1305"/>
      <c r="BC195" s="169"/>
    </row>
    <row r="196" spans="19:55" ht="15.75" customHeight="1">
      <c r="S196" s="454"/>
      <c r="AN196" s="458"/>
      <c r="AY196" s="458"/>
      <c r="AZ196" s="458"/>
      <c r="BA196" s="1305"/>
      <c r="BC196" s="169"/>
    </row>
    <row r="197" spans="19:55" ht="15.75" customHeight="1">
      <c r="S197" s="454"/>
      <c r="AN197" s="458"/>
      <c r="AY197" s="458"/>
      <c r="AZ197" s="458"/>
      <c r="BA197" s="1305"/>
      <c r="BC197" s="169"/>
    </row>
    <row r="198" spans="19:55" ht="15.75" customHeight="1">
      <c r="S198" s="454"/>
      <c r="AN198" s="458"/>
      <c r="AY198" s="458"/>
      <c r="AZ198" s="458"/>
      <c r="BA198" s="1305"/>
      <c r="BC198" s="169"/>
    </row>
    <row r="199" spans="19:55" ht="15.75" customHeight="1">
      <c r="S199" s="454"/>
      <c r="AN199" s="458"/>
      <c r="AY199" s="458"/>
      <c r="AZ199" s="458"/>
      <c r="BA199" s="1305"/>
      <c r="BC199" s="169"/>
    </row>
    <row r="200" spans="19:55" ht="15.75" customHeight="1">
      <c r="S200" s="454"/>
      <c r="AN200" s="458"/>
      <c r="AY200" s="458"/>
      <c r="AZ200" s="458"/>
      <c r="BA200" s="1305"/>
      <c r="BC200" s="169"/>
    </row>
    <row r="201" spans="19:55" ht="15.75" customHeight="1">
      <c r="S201" s="454"/>
      <c r="AN201" s="458"/>
      <c r="AV201" s="178"/>
      <c r="AW201" s="178"/>
      <c r="AX201" s="178"/>
      <c r="AY201" s="454"/>
      <c r="AZ201" s="454"/>
      <c r="BA201" s="1306"/>
      <c r="BC201" s="169"/>
    </row>
    <row r="202" spans="19:55" ht="15.75" customHeight="1">
      <c r="S202" s="454"/>
      <c r="AN202" s="458"/>
      <c r="AV202" s="178"/>
      <c r="AW202" s="178"/>
      <c r="AX202" s="178"/>
      <c r="AY202" s="454"/>
      <c r="AZ202" s="454"/>
      <c r="BA202" s="1306"/>
      <c r="BC202" s="169"/>
    </row>
    <row r="203" spans="19:55" ht="15.75" customHeight="1">
      <c r="S203" s="454"/>
      <c r="AN203" s="454"/>
      <c r="AO203" s="178"/>
      <c r="AP203" s="178"/>
      <c r="AQ203" s="454"/>
      <c r="AR203" s="454"/>
      <c r="AS203" s="454"/>
      <c r="AT203" s="454"/>
      <c r="AU203" s="178"/>
      <c r="AV203" s="178"/>
      <c r="AW203" s="178"/>
      <c r="AX203" s="178"/>
      <c r="AY203" s="454"/>
      <c r="AZ203" s="454"/>
      <c r="BA203" s="1306"/>
      <c r="BC203" s="169"/>
    </row>
    <row r="204" spans="19:55" ht="15.75" customHeight="1">
      <c r="S204" s="454"/>
      <c r="AN204" s="454"/>
      <c r="AO204" s="178"/>
      <c r="AP204" s="178"/>
      <c r="AQ204" s="454"/>
      <c r="AR204" s="454"/>
      <c r="AS204" s="454"/>
      <c r="AT204" s="454"/>
      <c r="AU204" s="178"/>
      <c r="AV204" s="178"/>
      <c r="AW204" s="178"/>
      <c r="AX204" s="178"/>
      <c r="AY204" s="454"/>
      <c r="AZ204" s="454"/>
      <c r="BA204" s="1306"/>
      <c r="BC204" s="169"/>
    </row>
    <row r="205" spans="19:55" ht="15.75" customHeight="1">
      <c r="S205" s="454"/>
      <c r="AN205" s="454"/>
      <c r="AO205" s="178"/>
      <c r="AP205" s="178"/>
      <c r="AQ205" s="454"/>
      <c r="AR205" s="454"/>
      <c r="AS205" s="454"/>
      <c r="AT205" s="454"/>
      <c r="AU205" s="178"/>
      <c r="AV205" s="178"/>
      <c r="AW205" s="178"/>
      <c r="AX205" s="178"/>
      <c r="AY205" s="454"/>
      <c r="AZ205" s="454"/>
      <c r="BA205" s="1306"/>
      <c r="BC205" s="169"/>
    </row>
    <row r="206" spans="19:55" ht="15.75" customHeight="1">
      <c r="S206" s="454"/>
      <c r="AN206" s="454"/>
      <c r="AO206" s="178"/>
      <c r="AP206" s="178"/>
      <c r="AQ206" s="454"/>
      <c r="AR206" s="454"/>
      <c r="AS206" s="454"/>
      <c r="AT206" s="454"/>
      <c r="AU206" s="178"/>
      <c r="AY206" s="458"/>
      <c r="AZ206" s="458"/>
      <c r="BA206" s="1305"/>
      <c r="BC206" s="169"/>
    </row>
    <row r="207" spans="19:55" ht="15.75" customHeight="1">
      <c r="S207" s="454"/>
      <c r="AN207" s="454"/>
      <c r="AO207" s="178"/>
      <c r="AP207" s="178"/>
      <c r="AQ207" s="454"/>
      <c r="AR207" s="454"/>
      <c r="AS207" s="454"/>
      <c r="AT207" s="454"/>
      <c r="AU207" s="178"/>
      <c r="AY207" s="458"/>
      <c r="AZ207" s="458"/>
      <c r="BA207" s="1305"/>
      <c r="BC207" s="169"/>
    </row>
    <row r="208" spans="19:55" ht="15.75" customHeight="1">
      <c r="S208" s="454"/>
      <c r="AN208" s="458"/>
      <c r="AY208" s="458"/>
      <c r="AZ208" s="458"/>
      <c r="BA208" s="1305"/>
      <c r="BC208" s="169"/>
    </row>
    <row r="209" spans="19:55" ht="15.75" customHeight="1">
      <c r="S209" s="454"/>
      <c r="AN209" s="458"/>
      <c r="AY209" s="458"/>
      <c r="AZ209" s="458"/>
      <c r="BA209" s="1305"/>
      <c r="BC209" s="169"/>
    </row>
    <row r="210" spans="19:55" ht="15.75" customHeight="1">
      <c r="S210" s="454"/>
      <c r="AN210" s="458"/>
      <c r="AY210" s="458"/>
      <c r="AZ210" s="458"/>
      <c r="BA210" s="1305"/>
      <c r="BC210" s="169"/>
    </row>
    <row r="211" spans="19:55" ht="15.75" customHeight="1">
      <c r="S211" s="454"/>
      <c r="AN211" s="458"/>
      <c r="AY211" s="458"/>
      <c r="AZ211" s="458"/>
      <c r="BA211" s="1305"/>
      <c r="BC211" s="169"/>
    </row>
    <row r="212" spans="19:55" ht="15.75" customHeight="1">
      <c r="S212" s="454"/>
      <c r="AN212" s="458"/>
      <c r="AY212" s="458"/>
      <c r="AZ212" s="458"/>
      <c r="BA212" s="1305"/>
      <c r="BC212" s="169"/>
    </row>
    <row r="213" spans="19:55" ht="15.75" customHeight="1">
      <c r="S213" s="454"/>
      <c r="AN213" s="458"/>
      <c r="AY213" s="458"/>
      <c r="AZ213" s="458"/>
      <c r="BA213" s="1305"/>
      <c r="BC213" s="169"/>
    </row>
    <row r="214" spans="19:55" ht="15.75" customHeight="1">
      <c r="S214" s="454"/>
      <c r="AN214" s="458"/>
      <c r="AY214" s="458"/>
      <c r="AZ214" s="458"/>
      <c r="BA214" s="1305"/>
      <c r="BC214" s="169"/>
    </row>
    <row r="215" spans="19:55" ht="15.75" customHeight="1">
      <c r="S215" s="454"/>
      <c r="AN215" s="458"/>
      <c r="AY215" s="458"/>
      <c r="AZ215" s="458"/>
      <c r="BA215" s="1305"/>
      <c r="BC215" s="169"/>
    </row>
    <row r="216" spans="19:55" ht="15.75" customHeight="1">
      <c r="S216" s="454"/>
      <c r="AN216" s="458"/>
      <c r="AY216" s="458"/>
      <c r="AZ216" s="458"/>
      <c r="BA216" s="1305"/>
      <c r="BC216" s="169"/>
    </row>
    <row r="217" spans="19:55" ht="15.75" customHeight="1">
      <c r="S217" s="454"/>
      <c r="AN217" s="458"/>
      <c r="AY217" s="458"/>
      <c r="AZ217" s="458"/>
      <c r="BA217" s="1305"/>
      <c r="BC217" s="169"/>
    </row>
    <row r="218" spans="19:55" ht="15.75" customHeight="1">
      <c r="S218" s="454"/>
      <c r="AN218" s="458"/>
      <c r="AY218" s="458"/>
      <c r="AZ218" s="458"/>
      <c r="BA218" s="1305"/>
      <c r="BC218" s="169"/>
    </row>
    <row r="219" spans="19:55" ht="15.75" customHeight="1">
      <c r="S219" s="454"/>
      <c r="AN219" s="458"/>
      <c r="AY219" s="458"/>
      <c r="AZ219" s="458"/>
      <c r="BA219" s="1305"/>
      <c r="BC219" s="169"/>
    </row>
    <row r="220" spans="19:55" ht="15.75" customHeight="1">
      <c r="S220" s="454"/>
      <c r="AN220" s="458"/>
      <c r="AY220" s="458"/>
      <c r="AZ220" s="458"/>
      <c r="BA220" s="1305"/>
      <c r="BC220" s="169"/>
    </row>
    <row r="221" spans="19:55" ht="15.75" customHeight="1">
      <c r="S221" s="454"/>
      <c r="AN221" s="458"/>
      <c r="AY221" s="458"/>
      <c r="AZ221" s="458"/>
      <c r="BA221" s="1305"/>
      <c r="BC221" s="169"/>
    </row>
    <row r="222" spans="19:55" ht="15.75" customHeight="1">
      <c r="S222" s="454"/>
      <c r="AN222" s="458"/>
      <c r="AY222" s="458"/>
      <c r="AZ222" s="458"/>
      <c r="BA222" s="1305"/>
      <c r="BC222" s="169"/>
    </row>
    <row r="223" spans="19:55" ht="15.75" customHeight="1">
      <c r="S223" s="454"/>
      <c r="AN223" s="458"/>
      <c r="AY223" s="458"/>
      <c r="AZ223" s="458"/>
      <c r="BA223" s="1305"/>
      <c r="BC223" s="169"/>
    </row>
    <row r="224" spans="19:55" ht="15.75" customHeight="1">
      <c r="S224" s="454"/>
      <c r="AN224" s="458"/>
      <c r="AY224" s="458"/>
      <c r="AZ224" s="458"/>
      <c r="BA224" s="1305"/>
      <c r="BC224" s="169"/>
    </row>
    <row r="225" spans="19:55" ht="15.75" customHeight="1">
      <c r="S225" s="454"/>
      <c r="AN225" s="458"/>
      <c r="AY225" s="458"/>
      <c r="AZ225" s="458"/>
      <c r="BA225" s="1305"/>
      <c r="BC225" s="169"/>
    </row>
    <row r="226" spans="19:55" ht="15.75" customHeight="1">
      <c r="S226" s="454"/>
      <c r="AN226" s="458"/>
      <c r="AY226" s="458"/>
      <c r="AZ226" s="458"/>
      <c r="BA226" s="1305"/>
      <c r="BC226" s="169"/>
    </row>
    <row r="227" spans="19:55" ht="15.75" customHeight="1">
      <c r="S227" s="454"/>
      <c r="AN227" s="458"/>
      <c r="AY227" s="458"/>
      <c r="AZ227" s="458"/>
      <c r="BA227" s="1305"/>
      <c r="BC227" s="169"/>
    </row>
    <row r="228" spans="19:55" ht="15.75" customHeight="1">
      <c r="S228" s="454"/>
      <c r="AN228" s="458"/>
      <c r="AY228" s="458"/>
      <c r="AZ228" s="458"/>
      <c r="BA228" s="1305"/>
      <c r="BC228" s="169"/>
    </row>
    <row r="229" spans="19:55" ht="15.75" customHeight="1">
      <c r="S229" s="454"/>
      <c r="AN229" s="458"/>
      <c r="AY229" s="458"/>
      <c r="AZ229" s="458"/>
      <c r="BA229" s="1305"/>
      <c r="BC229" s="169"/>
    </row>
    <row r="230" spans="19:55" ht="15.75" customHeight="1">
      <c r="S230" s="454"/>
      <c r="AN230" s="458"/>
      <c r="AY230" s="458"/>
      <c r="AZ230" s="458"/>
      <c r="BA230" s="1305"/>
      <c r="BC230" s="169"/>
    </row>
    <row r="231" spans="19:55" ht="15.75" customHeight="1">
      <c r="S231" s="454"/>
      <c r="AN231" s="458"/>
      <c r="AY231" s="458"/>
      <c r="AZ231" s="458"/>
      <c r="BA231" s="1305"/>
      <c r="BC231" s="169"/>
    </row>
    <row r="232" spans="19:55" ht="15.75" customHeight="1">
      <c r="S232" s="454"/>
      <c r="AN232" s="458"/>
      <c r="AY232" s="458"/>
      <c r="AZ232" s="458"/>
      <c r="BA232" s="1305"/>
      <c r="BC232" s="169"/>
    </row>
    <row r="233" spans="19:55" ht="15.75" customHeight="1">
      <c r="S233" s="454"/>
      <c r="AN233" s="458"/>
      <c r="AY233" s="458"/>
      <c r="AZ233" s="458"/>
      <c r="BA233" s="1305"/>
      <c r="BC233" s="169"/>
    </row>
    <row r="234" spans="19:55" ht="15.75" customHeight="1">
      <c r="S234" s="454"/>
      <c r="AN234" s="458"/>
      <c r="AY234" s="458"/>
      <c r="AZ234" s="458"/>
      <c r="BA234" s="1305"/>
      <c r="BC234" s="169"/>
    </row>
    <row r="235" spans="19:55" ht="15.75" customHeight="1">
      <c r="S235" s="454"/>
      <c r="AN235" s="458"/>
      <c r="AY235" s="458"/>
      <c r="AZ235" s="458"/>
      <c r="BA235" s="1305"/>
      <c r="BC235" s="169"/>
    </row>
    <row r="236" spans="19:55" ht="15.75" customHeight="1">
      <c r="S236" s="454"/>
      <c r="AN236" s="458"/>
      <c r="AY236" s="458"/>
      <c r="AZ236" s="458"/>
      <c r="BA236" s="1305"/>
      <c r="BC236" s="169"/>
    </row>
    <row r="237" spans="19:55" ht="15.75" customHeight="1">
      <c r="S237" s="454"/>
      <c r="AN237" s="458"/>
      <c r="AY237" s="458"/>
      <c r="AZ237" s="458"/>
      <c r="BA237" s="1305"/>
      <c r="BC237" s="169"/>
    </row>
    <row r="238" spans="19:55" ht="15.75" customHeight="1">
      <c r="S238" s="454"/>
      <c r="AN238" s="458"/>
      <c r="AY238" s="458"/>
      <c r="AZ238" s="458"/>
      <c r="BA238" s="1305"/>
      <c r="BC238" s="169"/>
    </row>
    <row r="239" spans="19:55" ht="15.75" customHeight="1">
      <c r="S239" s="454"/>
      <c r="AN239" s="458"/>
      <c r="AY239" s="458"/>
      <c r="AZ239" s="458"/>
      <c r="BA239" s="1305"/>
      <c r="BC239" s="169"/>
    </row>
    <row r="240" spans="19:55" ht="15.75" customHeight="1">
      <c r="S240" s="454"/>
      <c r="AN240" s="458"/>
      <c r="AY240" s="458"/>
      <c r="AZ240" s="458"/>
      <c r="BA240" s="1305"/>
      <c r="BC240" s="169"/>
    </row>
    <row r="241" spans="19:55" ht="15.75" customHeight="1">
      <c r="S241" s="454"/>
      <c r="AN241" s="458"/>
      <c r="AY241" s="458"/>
      <c r="AZ241" s="458"/>
      <c r="BA241" s="1305"/>
      <c r="BC241" s="169"/>
    </row>
    <row r="242" spans="19:55" ht="15.75" customHeight="1">
      <c r="S242" s="454"/>
      <c r="AN242" s="458"/>
      <c r="AY242" s="458"/>
      <c r="AZ242" s="458"/>
      <c r="BA242" s="1305"/>
      <c r="BC242" s="169"/>
    </row>
    <row r="243" spans="19:55" ht="15.75" customHeight="1">
      <c r="S243" s="454"/>
      <c r="AN243" s="458"/>
      <c r="AY243" s="458"/>
      <c r="AZ243" s="458"/>
      <c r="BA243" s="1305"/>
      <c r="BC243" s="169"/>
    </row>
    <row r="244" spans="19:55" ht="15.75" customHeight="1">
      <c r="S244" s="454"/>
      <c r="AN244" s="458"/>
      <c r="AY244" s="458"/>
      <c r="AZ244" s="458"/>
      <c r="BA244" s="1305"/>
      <c r="BC244" s="169"/>
    </row>
    <row r="245" spans="19:55" ht="15.75" customHeight="1">
      <c r="S245" s="454"/>
      <c r="AN245" s="458"/>
      <c r="AY245" s="458"/>
      <c r="AZ245" s="458"/>
      <c r="BA245" s="1305"/>
      <c r="BC245" s="169"/>
    </row>
    <row r="246" spans="19:55" ht="15.75" customHeight="1">
      <c r="S246" s="454"/>
      <c r="AN246" s="458"/>
      <c r="AY246" s="458"/>
      <c r="AZ246" s="458"/>
      <c r="BA246" s="1305"/>
      <c r="BC246" s="169"/>
    </row>
    <row r="247" spans="19:55" ht="15.75" customHeight="1">
      <c r="S247" s="454"/>
      <c r="AN247" s="458"/>
      <c r="AY247" s="458"/>
      <c r="AZ247" s="458"/>
      <c r="BA247" s="1305"/>
      <c r="BC247" s="169"/>
    </row>
    <row r="248" spans="19:55" ht="15.75" customHeight="1">
      <c r="S248" s="454"/>
      <c r="AN248" s="458"/>
      <c r="AY248" s="458"/>
      <c r="AZ248" s="458"/>
      <c r="BA248" s="1305"/>
      <c r="BC248" s="169"/>
    </row>
    <row r="249" spans="19:55" ht="15.75" customHeight="1">
      <c r="S249" s="454"/>
      <c r="AN249" s="458"/>
      <c r="AY249" s="458"/>
      <c r="AZ249" s="458"/>
      <c r="BA249" s="1305"/>
      <c r="BC249" s="169"/>
    </row>
    <row r="250" spans="19:55" ht="15.75" customHeight="1">
      <c r="S250" s="454"/>
      <c r="AN250" s="458"/>
      <c r="AY250" s="458"/>
      <c r="AZ250" s="458"/>
      <c r="BA250" s="1305"/>
      <c r="BC250" s="169"/>
    </row>
    <row r="251" spans="19:55" ht="15.75" customHeight="1">
      <c r="S251" s="454"/>
      <c r="AN251" s="458"/>
      <c r="AY251" s="458"/>
      <c r="AZ251" s="458"/>
      <c r="BA251" s="1305"/>
      <c r="BC251" s="169"/>
    </row>
    <row r="252" spans="19:55" ht="15.75" customHeight="1">
      <c r="S252" s="454"/>
      <c r="AN252" s="458"/>
      <c r="AY252" s="458"/>
      <c r="AZ252" s="458"/>
      <c r="BA252" s="1305"/>
      <c r="BC252" s="169"/>
    </row>
    <row r="253" spans="19:55" ht="15.75" customHeight="1">
      <c r="S253" s="454"/>
      <c r="AN253" s="458"/>
      <c r="AY253" s="458"/>
      <c r="AZ253" s="458"/>
      <c r="BA253" s="1305"/>
      <c r="BC253" s="169"/>
    </row>
    <row r="254" spans="19:55" ht="15.75" customHeight="1">
      <c r="S254" s="454"/>
      <c r="AN254" s="458"/>
      <c r="AY254" s="458"/>
      <c r="AZ254" s="458"/>
      <c r="BA254" s="1305"/>
      <c r="BC254" s="169"/>
    </row>
    <row r="255" spans="19:55" ht="15.75" customHeight="1">
      <c r="S255" s="454"/>
      <c r="AN255" s="458"/>
      <c r="AY255" s="458"/>
      <c r="AZ255" s="458"/>
      <c r="BA255" s="1305"/>
      <c r="BC255" s="169"/>
    </row>
    <row r="256" spans="19:55" ht="15.75" customHeight="1">
      <c r="S256" s="454"/>
      <c r="AN256" s="458"/>
      <c r="AY256" s="458"/>
      <c r="AZ256" s="458"/>
      <c r="BA256" s="1305"/>
      <c r="BC256" s="169"/>
    </row>
    <row r="257" spans="19:55" ht="15.75" customHeight="1">
      <c r="S257" s="454"/>
      <c r="AN257" s="458"/>
      <c r="AY257" s="458"/>
      <c r="AZ257" s="458"/>
      <c r="BA257" s="1305"/>
      <c r="BC257" s="169"/>
    </row>
    <row r="258" spans="19:55" ht="15.75" customHeight="1">
      <c r="S258" s="454"/>
      <c r="AN258" s="458"/>
      <c r="AY258" s="458"/>
      <c r="AZ258" s="458"/>
      <c r="BA258" s="1305"/>
      <c r="BC258" s="169"/>
    </row>
    <row r="259" spans="19:55" ht="15.75" customHeight="1">
      <c r="S259" s="454"/>
      <c r="AN259" s="458"/>
      <c r="AY259" s="458"/>
      <c r="AZ259" s="458"/>
      <c r="BA259" s="1305"/>
      <c r="BC259" s="169"/>
    </row>
    <row r="260" spans="19:55" ht="15.75" customHeight="1">
      <c r="S260" s="454"/>
      <c r="AN260" s="458"/>
      <c r="AY260" s="458"/>
      <c r="AZ260" s="458"/>
      <c r="BA260" s="1305"/>
      <c r="BC260" s="169"/>
    </row>
    <row r="261" spans="19:55" ht="15.75" customHeight="1">
      <c r="S261" s="454"/>
      <c r="AN261" s="458"/>
      <c r="AY261" s="458"/>
      <c r="AZ261" s="458"/>
      <c r="BA261" s="1305"/>
      <c r="BC261" s="169"/>
    </row>
    <row r="262" spans="19:55" ht="15.75" customHeight="1">
      <c r="S262" s="454"/>
      <c r="AN262" s="458"/>
      <c r="AY262" s="458"/>
      <c r="AZ262" s="458"/>
      <c r="BA262" s="1305"/>
      <c r="BC262" s="169"/>
    </row>
    <row r="263" spans="19:55" ht="15.75" customHeight="1">
      <c r="S263" s="454"/>
      <c r="AN263" s="458"/>
      <c r="AY263" s="458"/>
      <c r="AZ263" s="458"/>
      <c r="BA263" s="1305"/>
      <c r="BC263" s="169"/>
    </row>
    <row r="264" spans="19:55" ht="15.75" customHeight="1">
      <c r="S264" s="454"/>
      <c r="AN264" s="458"/>
      <c r="AY264" s="458"/>
      <c r="AZ264" s="458"/>
      <c r="BA264" s="1305"/>
      <c r="BC264" s="169"/>
    </row>
    <row r="265" spans="19:55" ht="15.75" customHeight="1">
      <c r="S265" s="454"/>
      <c r="AN265" s="458"/>
      <c r="AY265" s="458"/>
      <c r="AZ265" s="458"/>
      <c r="BA265" s="1305"/>
      <c r="BC265" s="169"/>
    </row>
    <row r="266" spans="19:55" ht="15.75" customHeight="1">
      <c r="S266" s="454"/>
      <c r="AN266" s="458"/>
      <c r="AY266" s="458"/>
      <c r="AZ266" s="458"/>
      <c r="BA266" s="1305"/>
      <c r="BC266" s="169"/>
    </row>
    <row r="267" spans="19:55" ht="15.75" customHeight="1">
      <c r="S267" s="454"/>
      <c r="AN267" s="458"/>
      <c r="AY267" s="458"/>
      <c r="AZ267" s="458"/>
      <c r="BA267" s="1305"/>
      <c r="BC267" s="169"/>
    </row>
    <row r="268" spans="19:55" ht="15.75" customHeight="1">
      <c r="S268" s="454"/>
      <c r="AN268" s="458"/>
      <c r="AY268" s="458"/>
      <c r="AZ268" s="458"/>
      <c r="BA268" s="1305"/>
      <c r="BC268" s="169"/>
    </row>
    <row r="269" spans="19:55" ht="15.75" customHeight="1">
      <c r="S269" s="454"/>
      <c r="AN269" s="458"/>
      <c r="AY269" s="458"/>
      <c r="AZ269" s="458"/>
      <c r="BA269" s="1305"/>
      <c r="BC269" s="169"/>
    </row>
    <row r="270" spans="19:55" ht="15.75" customHeight="1">
      <c r="S270" s="454"/>
      <c r="AN270" s="458"/>
      <c r="AY270" s="458"/>
      <c r="AZ270" s="458"/>
      <c r="BA270" s="1305"/>
      <c r="BC270" s="169"/>
    </row>
    <row r="271" spans="19:55" ht="15.75" customHeight="1">
      <c r="S271" s="454"/>
      <c r="AN271" s="458"/>
      <c r="AY271" s="458"/>
      <c r="AZ271" s="458"/>
      <c r="BA271" s="1305"/>
      <c r="BC271" s="169"/>
    </row>
    <row r="272" spans="19:55" ht="15.75" customHeight="1">
      <c r="S272" s="454"/>
      <c r="AN272" s="458"/>
      <c r="AY272" s="458"/>
      <c r="AZ272" s="458"/>
      <c r="BA272" s="1305"/>
      <c r="BC272" s="169"/>
    </row>
    <row r="273" spans="19:55" ht="15.75" customHeight="1">
      <c r="S273" s="454"/>
      <c r="AN273" s="458"/>
      <c r="AY273" s="458"/>
      <c r="AZ273" s="458"/>
      <c r="BA273" s="1305"/>
      <c r="BC273" s="169"/>
    </row>
    <row r="274" spans="19:55" ht="15.75" customHeight="1">
      <c r="S274" s="454"/>
      <c r="AN274" s="458"/>
      <c r="AY274" s="458"/>
      <c r="AZ274" s="458"/>
      <c r="BA274" s="1305"/>
      <c r="BC274" s="169"/>
    </row>
    <row r="275" spans="19:55" ht="15.75" customHeight="1">
      <c r="S275" s="454"/>
      <c r="AN275" s="458"/>
      <c r="AY275" s="458"/>
      <c r="AZ275" s="458"/>
      <c r="BA275" s="1305"/>
      <c r="BC275" s="169"/>
    </row>
    <row r="276" spans="19:55" ht="15.75" customHeight="1">
      <c r="S276" s="454"/>
      <c r="AN276" s="458"/>
      <c r="AY276" s="458"/>
      <c r="AZ276" s="458"/>
      <c r="BA276" s="1305"/>
      <c r="BC276" s="169"/>
    </row>
    <row r="277" spans="19:55" ht="15.75" customHeight="1">
      <c r="S277" s="454"/>
      <c r="AN277" s="458"/>
      <c r="AY277" s="458"/>
      <c r="AZ277" s="458"/>
      <c r="BA277" s="1305"/>
      <c r="BC277" s="169"/>
    </row>
    <row r="278" spans="19:55" ht="15.75" customHeight="1">
      <c r="S278" s="454"/>
      <c r="AN278" s="458"/>
      <c r="AY278" s="458"/>
      <c r="AZ278" s="458"/>
      <c r="BA278" s="1305"/>
      <c r="BC278" s="169"/>
    </row>
    <row r="279" spans="19:55" ht="15.75" customHeight="1">
      <c r="S279" s="454"/>
      <c r="AN279" s="458"/>
      <c r="AY279" s="458"/>
      <c r="AZ279" s="458"/>
      <c r="BA279" s="1305"/>
      <c r="BC279" s="169"/>
    </row>
    <row r="280" spans="19:55" ht="15.75" customHeight="1">
      <c r="S280" s="454"/>
      <c r="AN280" s="458"/>
      <c r="AY280" s="458"/>
      <c r="AZ280" s="458"/>
      <c r="BA280" s="1305"/>
      <c r="BC280" s="169"/>
    </row>
    <row r="281" spans="19:55" ht="15.75" customHeight="1">
      <c r="S281" s="454"/>
      <c r="AN281" s="458"/>
      <c r="AY281" s="458"/>
      <c r="AZ281" s="458"/>
      <c r="BA281" s="1305"/>
      <c r="BC281" s="169"/>
    </row>
    <row r="282" spans="19:55" ht="15.75" customHeight="1">
      <c r="S282" s="454"/>
      <c r="AN282" s="458"/>
      <c r="AY282" s="458"/>
      <c r="AZ282" s="458"/>
      <c r="BA282" s="1305"/>
      <c r="BC282" s="169"/>
    </row>
    <row r="283" spans="19:55" ht="15.75" customHeight="1">
      <c r="S283" s="454"/>
      <c r="AN283" s="458"/>
      <c r="AY283" s="458"/>
      <c r="AZ283" s="458"/>
      <c r="BA283" s="1305"/>
      <c r="BC283" s="169"/>
    </row>
    <row r="284" spans="19:55" ht="15.75" customHeight="1">
      <c r="S284" s="454"/>
      <c r="AN284" s="458"/>
      <c r="AY284" s="458"/>
      <c r="AZ284" s="458"/>
      <c r="BA284" s="1305"/>
      <c r="BC284" s="169"/>
    </row>
    <row r="285" spans="19:55" ht="15.75" customHeight="1">
      <c r="S285" s="454"/>
      <c r="AN285" s="458"/>
      <c r="AY285" s="458"/>
      <c r="AZ285" s="458"/>
      <c r="BA285" s="1305"/>
      <c r="BC285" s="169"/>
    </row>
    <row r="286" spans="19:55" ht="15.75" customHeight="1">
      <c r="S286" s="454"/>
      <c r="AN286" s="458"/>
      <c r="AY286" s="458"/>
      <c r="AZ286" s="458"/>
      <c r="BA286" s="1305"/>
      <c r="BC286" s="169"/>
    </row>
    <row r="287" spans="19:55" ht="15.75" customHeight="1">
      <c r="S287" s="454"/>
      <c r="AN287" s="458"/>
      <c r="AY287" s="458"/>
      <c r="AZ287" s="458"/>
      <c r="BA287" s="1305"/>
      <c r="BC287" s="169"/>
    </row>
    <row r="288" spans="19:55" ht="15.75" customHeight="1">
      <c r="S288" s="454"/>
      <c r="AN288" s="458"/>
      <c r="AY288" s="458"/>
      <c r="AZ288" s="458"/>
      <c r="BA288" s="1305"/>
      <c r="BC288" s="169"/>
    </row>
    <row r="289" spans="19:55" ht="15.75" customHeight="1">
      <c r="S289" s="454"/>
      <c r="AN289" s="458"/>
      <c r="AY289" s="458"/>
      <c r="AZ289" s="458"/>
      <c r="BA289" s="1305"/>
      <c r="BC289" s="169"/>
    </row>
    <row r="290" spans="19:55" ht="15.75" customHeight="1">
      <c r="S290" s="454"/>
      <c r="AN290" s="458"/>
      <c r="AY290" s="458"/>
      <c r="AZ290" s="458"/>
      <c r="BA290" s="1305"/>
      <c r="BC290" s="169"/>
    </row>
    <row r="291" spans="19:55" ht="15.75" customHeight="1">
      <c r="S291" s="454"/>
      <c r="AN291" s="458"/>
      <c r="AY291" s="458"/>
      <c r="AZ291" s="458"/>
      <c r="BA291" s="1305"/>
      <c r="BC291" s="169"/>
    </row>
    <row r="292" spans="19:55" ht="15.75" customHeight="1">
      <c r="S292" s="454"/>
      <c r="AN292" s="458"/>
      <c r="AY292" s="458"/>
      <c r="AZ292" s="458"/>
      <c r="BA292" s="1305"/>
      <c r="BC292" s="169"/>
    </row>
    <row r="293" spans="19:55" ht="15.75" customHeight="1">
      <c r="S293" s="454"/>
      <c r="AN293" s="458"/>
      <c r="AY293" s="458"/>
      <c r="AZ293" s="458"/>
      <c r="BA293" s="1305"/>
      <c r="BC293" s="169"/>
    </row>
    <row r="294" spans="19:55" ht="15.75" customHeight="1">
      <c r="S294" s="454"/>
      <c r="AN294" s="458"/>
      <c r="AY294" s="458"/>
      <c r="AZ294" s="458"/>
      <c r="BA294" s="1305"/>
      <c r="BC294" s="169"/>
    </row>
    <row r="295" spans="19:55" ht="15.75" customHeight="1">
      <c r="S295" s="454"/>
      <c r="AN295" s="458"/>
      <c r="AY295" s="458"/>
      <c r="AZ295" s="458"/>
      <c r="BA295" s="1305"/>
      <c r="BC295" s="169"/>
    </row>
    <row r="296" spans="19:55" ht="15.75" customHeight="1">
      <c r="S296" s="454"/>
      <c r="AN296" s="458"/>
      <c r="AY296" s="458"/>
      <c r="AZ296" s="458"/>
      <c r="BA296" s="1305"/>
      <c r="BC296" s="169"/>
    </row>
    <row r="297" spans="19:55" ht="15.75" customHeight="1">
      <c r="S297" s="454"/>
      <c r="AN297" s="458"/>
      <c r="AY297" s="458"/>
      <c r="AZ297" s="458"/>
      <c r="BA297" s="1305"/>
      <c r="BC297" s="169"/>
    </row>
    <row r="298" spans="19:55" ht="15.75" customHeight="1">
      <c r="S298" s="454"/>
      <c r="AN298" s="458"/>
      <c r="AY298" s="458"/>
      <c r="AZ298" s="458"/>
      <c r="BA298" s="1305"/>
      <c r="BC298" s="169"/>
    </row>
    <row r="299" spans="19:55" ht="15.75" customHeight="1">
      <c r="S299" s="454"/>
      <c r="AN299" s="458"/>
      <c r="AY299" s="458"/>
      <c r="AZ299" s="458"/>
      <c r="BA299" s="1305"/>
      <c r="BC299" s="169"/>
    </row>
    <row r="300" spans="19:55" ht="15.75" customHeight="1">
      <c r="S300" s="454"/>
      <c r="AN300" s="458"/>
      <c r="AY300" s="458"/>
      <c r="AZ300" s="458"/>
      <c r="BA300" s="1305"/>
      <c r="BC300" s="169"/>
    </row>
    <row r="301" spans="19:55" ht="15.75" customHeight="1">
      <c r="S301" s="454"/>
      <c r="AN301" s="458"/>
      <c r="AY301" s="458"/>
      <c r="AZ301" s="458"/>
      <c r="BA301" s="1305"/>
      <c r="BC301" s="169"/>
    </row>
    <row r="302" spans="19:55" ht="15.75" customHeight="1">
      <c r="S302" s="454"/>
      <c r="AN302" s="458"/>
      <c r="AY302" s="458"/>
      <c r="AZ302" s="458"/>
      <c r="BA302" s="1305"/>
      <c r="BC302" s="169"/>
    </row>
    <row r="303" spans="19:55" ht="15.75" customHeight="1">
      <c r="S303" s="454"/>
      <c r="AN303" s="458"/>
      <c r="AY303" s="458"/>
      <c r="AZ303" s="458"/>
      <c r="BA303" s="1305"/>
      <c r="BC303" s="169"/>
    </row>
    <row r="304" spans="19:55" ht="15.75" customHeight="1">
      <c r="S304" s="454"/>
      <c r="AN304" s="458"/>
      <c r="AY304" s="458"/>
      <c r="AZ304" s="458"/>
      <c r="BA304" s="1305"/>
      <c r="BC304" s="169"/>
    </row>
    <row r="305" spans="19:55" ht="15.75" customHeight="1">
      <c r="S305" s="454"/>
      <c r="AN305" s="458"/>
      <c r="AY305" s="458"/>
      <c r="AZ305" s="458"/>
      <c r="BA305" s="1305"/>
      <c r="BC305" s="169"/>
    </row>
    <row r="306" spans="19:55" ht="15.75" customHeight="1">
      <c r="S306" s="454"/>
      <c r="AN306" s="458"/>
      <c r="AY306" s="458"/>
      <c r="AZ306" s="458"/>
      <c r="BA306" s="1305"/>
      <c r="BC306" s="169"/>
    </row>
    <row r="307" spans="19:55" ht="15.75" customHeight="1">
      <c r="S307" s="454"/>
      <c r="AN307" s="458"/>
      <c r="AY307" s="458"/>
      <c r="AZ307" s="458"/>
      <c r="BA307" s="1305"/>
      <c r="BC307" s="169"/>
    </row>
    <row r="308" spans="19:55" ht="15.75" customHeight="1">
      <c r="S308" s="454"/>
      <c r="AN308" s="458"/>
      <c r="AY308" s="458"/>
      <c r="AZ308" s="458"/>
      <c r="BA308" s="1305"/>
      <c r="BC308" s="169"/>
    </row>
    <row r="309" spans="19:55" ht="15.75" customHeight="1">
      <c r="S309" s="454"/>
      <c r="AN309" s="458"/>
      <c r="AY309" s="458"/>
      <c r="AZ309" s="458"/>
      <c r="BA309" s="1305"/>
      <c r="BC309" s="169"/>
    </row>
    <row r="310" spans="19:55" ht="15.75" customHeight="1">
      <c r="S310" s="454"/>
      <c r="AN310" s="458"/>
      <c r="AY310" s="458"/>
      <c r="AZ310" s="458"/>
      <c r="BA310" s="1305"/>
      <c r="BC310" s="169"/>
    </row>
    <row r="311" spans="19:55" ht="15.75" customHeight="1">
      <c r="S311" s="454"/>
      <c r="AN311" s="458"/>
      <c r="AY311" s="458"/>
      <c r="AZ311" s="458"/>
      <c r="BA311" s="1305"/>
      <c r="BC311" s="169"/>
    </row>
    <row r="312" spans="19:55" ht="15.75" customHeight="1">
      <c r="S312" s="454"/>
      <c r="AN312" s="458"/>
      <c r="AY312" s="458"/>
      <c r="AZ312" s="458"/>
      <c r="BA312" s="1305"/>
      <c r="BC312" s="169"/>
    </row>
    <row r="313" spans="19:55" ht="15.75" customHeight="1">
      <c r="S313" s="454"/>
      <c r="AN313" s="458"/>
      <c r="AY313" s="458"/>
      <c r="AZ313" s="458"/>
      <c r="BA313" s="1305"/>
      <c r="BC313" s="169"/>
    </row>
    <row r="314" spans="19:55" ht="15.75" customHeight="1">
      <c r="S314" s="454"/>
      <c r="AN314" s="458"/>
      <c r="AY314" s="458"/>
      <c r="AZ314" s="458"/>
      <c r="BA314" s="1305"/>
      <c r="BC314" s="169"/>
    </row>
    <row r="315" spans="19:55" ht="15.75" customHeight="1">
      <c r="S315" s="454"/>
      <c r="AN315" s="458"/>
      <c r="AY315" s="458"/>
      <c r="AZ315" s="458"/>
      <c r="BA315" s="1305"/>
      <c r="BC315" s="169"/>
    </row>
    <row r="316" spans="19:55" ht="15.75" customHeight="1">
      <c r="S316" s="454"/>
      <c r="AN316" s="458"/>
      <c r="AY316" s="458"/>
      <c r="AZ316" s="458"/>
      <c r="BA316" s="1305"/>
      <c r="BC316" s="169"/>
    </row>
    <row r="317" spans="19:55" ht="15.75" customHeight="1">
      <c r="S317" s="454"/>
      <c r="AN317" s="458"/>
      <c r="AY317" s="458"/>
      <c r="AZ317" s="458"/>
      <c r="BA317" s="1305"/>
      <c r="BC317" s="169"/>
    </row>
    <row r="318" spans="19:55" ht="15.75" customHeight="1">
      <c r="S318" s="454"/>
      <c r="AN318" s="458"/>
      <c r="AY318" s="458"/>
      <c r="AZ318" s="458"/>
      <c r="BA318" s="1305"/>
      <c r="BC318" s="169"/>
    </row>
    <row r="319" spans="19:55" ht="15.75" customHeight="1">
      <c r="S319" s="454"/>
      <c r="AN319" s="458"/>
      <c r="AY319" s="458"/>
      <c r="AZ319" s="458"/>
      <c r="BA319" s="1305"/>
      <c r="BC319" s="169"/>
    </row>
    <row r="320" spans="19:55" ht="15.75" customHeight="1">
      <c r="S320" s="454"/>
      <c r="AN320" s="458"/>
      <c r="AY320" s="458"/>
      <c r="AZ320" s="458"/>
      <c r="BA320" s="1305"/>
      <c r="BC320" s="169"/>
    </row>
    <row r="321" spans="19:55" ht="15.75" customHeight="1">
      <c r="S321" s="454"/>
      <c r="AN321" s="458"/>
      <c r="AY321" s="458"/>
      <c r="AZ321" s="458"/>
      <c r="BA321" s="1305"/>
      <c r="BC321" s="169"/>
    </row>
    <row r="322" spans="19:55" ht="15.75" customHeight="1">
      <c r="S322" s="454"/>
      <c r="AN322" s="458"/>
      <c r="AY322" s="458"/>
      <c r="AZ322" s="458"/>
      <c r="BA322" s="1305"/>
      <c r="BC322" s="169"/>
    </row>
    <row r="323" spans="19:55" ht="15.75" customHeight="1">
      <c r="S323" s="454"/>
      <c r="AN323" s="458"/>
      <c r="AY323" s="458"/>
      <c r="AZ323" s="458"/>
      <c r="BA323" s="1305"/>
      <c r="BC323" s="169"/>
    </row>
    <row r="324" spans="19:55" ht="15.75" customHeight="1">
      <c r="S324" s="454"/>
      <c r="AN324" s="458"/>
      <c r="AY324" s="458"/>
      <c r="AZ324" s="458"/>
      <c r="BA324" s="1305"/>
      <c r="BC324" s="169"/>
    </row>
    <row r="325" spans="19:55" ht="15.75" customHeight="1">
      <c r="S325" s="454"/>
      <c r="AN325" s="458"/>
      <c r="AY325" s="458"/>
      <c r="AZ325" s="458"/>
      <c r="BA325" s="1305"/>
      <c r="BC325" s="169"/>
    </row>
    <row r="326" spans="19:55" ht="15.75" customHeight="1">
      <c r="S326" s="454"/>
      <c r="AN326" s="458"/>
      <c r="AY326" s="458"/>
      <c r="AZ326" s="458"/>
      <c r="BA326" s="1305"/>
      <c r="BC326" s="169"/>
    </row>
    <row r="327" spans="19:55" ht="15.75" customHeight="1">
      <c r="S327" s="454"/>
      <c r="AN327" s="458"/>
      <c r="AY327" s="458"/>
      <c r="AZ327" s="458"/>
      <c r="BA327" s="1305"/>
      <c r="BC327" s="169"/>
    </row>
    <row r="328" spans="19:55" ht="15.75" customHeight="1">
      <c r="S328" s="454"/>
      <c r="AN328" s="458"/>
      <c r="AY328" s="458"/>
      <c r="AZ328" s="458"/>
      <c r="BA328" s="1305"/>
      <c r="BC328" s="169"/>
    </row>
    <row r="329" spans="19:55" ht="15.75" customHeight="1">
      <c r="S329" s="454"/>
      <c r="AN329" s="458"/>
      <c r="AY329" s="458"/>
      <c r="AZ329" s="458"/>
      <c r="BA329" s="1305"/>
      <c r="BC329" s="169"/>
    </row>
    <row r="330" spans="19:55" ht="15.75" customHeight="1">
      <c r="S330" s="454"/>
      <c r="AN330" s="458"/>
      <c r="AY330" s="458"/>
      <c r="AZ330" s="458"/>
      <c r="BA330" s="1305"/>
      <c r="BC330" s="169"/>
    </row>
    <row r="331" spans="19:55" ht="15.75" customHeight="1">
      <c r="S331" s="454"/>
      <c r="AN331" s="458"/>
      <c r="AY331" s="458"/>
      <c r="AZ331" s="458"/>
      <c r="BA331" s="1305"/>
      <c r="BC331" s="169"/>
    </row>
    <row r="332" spans="19:55" ht="15.75" customHeight="1">
      <c r="S332" s="454"/>
      <c r="AN332" s="458"/>
      <c r="AY332" s="458"/>
      <c r="AZ332" s="458"/>
      <c r="BA332" s="1305"/>
      <c r="BC332" s="169"/>
    </row>
    <row r="333" spans="19:55" ht="15.75" customHeight="1">
      <c r="S333" s="454"/>
      <c r="AN333" s="458"/>
      <c r="AY333" s="458"/>
      <c r="AZ333" s="458"/>
      <c r="BA333" s="1305"/>
      <c r="BC333" s="169"/>
    </row>
    <row r="334" spans="19:55" ht="15.75" customHeight="1">
      <c r="S334" s="454"/>
      <c r="AN334" s="458"/>
      <c r="AY334" s="458"/>
      <c r="AZ334" s="458"/>
      <c r="BA334" s="1305"/>
      <c r="BC334" s="169"/>
    </row>
    <row r="335" spans="19:55" ht="15.75" customHeight="1">
      <c r="S335" s="454"/>
      <c r="AN335" s="458"/>
      <c r="AY335" s="458"/>
      <c r="AZ335" s="458"/>
      <c r="BA335" s="1305"/>
      <c r="BC335" s="169"/>
    </row>
    <row r="336" spans="19:55" ht="15.75" customHeight="1">
      <c r="S336" s="454"/>
      <c r="AN336" s="458"/>
      <c r="AY336" s="458"/>
      <c r="AZ336" s="458"/>
      <c r="BA336" s="1305"/>
      <c r="BC336" s="169"/>
    </row>
    <row r="337" spans="19:55" ht="15.75" customHeight="1">
      <c r="S337" s="454"/>
      <c r="AN337" s="458"/>
      <c r="AY337" s="458"/>
      <c r="AZ337" s="458"/>
      <c r="BA337" s="1305"/>
      <c r="BC337" s="169"/>
    </row>
    <row r="338" spans="19:55" ht="15.75" customHeight="1">
      <c r="S338" s="454"/>
      <c r="AN338" s="458"/>
      <c r="AY338" s="458"/>
      <c r="AZ338" s="458"/>
      <c r="BA338" s="1305"/>
      <c r="BC338" s="169"/>
    </row>
    <row r="339" spans="19:55" ht="15.75" customHeight="1">
      <c r="S339" s="454"/>
      <c r="AN339" s="458"/>
      <c r="AY339" s="458"/>
      <c r="AZ339" s="458"/>
      <c r="BA339" s="1305"/>
      <c r="BC339" s="169"/>
    </row>
    <row r="340" spans="19:55" ht="15.75" customHeight="1">
      <c r="S340" s="454"/>
      <c r="AN340" s="458"/>
      <c r="AY340" s="458"/>
      <c r="AZ340" s="458"/>
      <c r="BA340" s="1305"/>
      <c r="BC340" s="169"/>
    </row>
    <row r="341" spans="19:55" ht="15.75" customHeight="1">
      <c r="S341" s="454"/>
      <c r="AN341" s="458"/>
      <c r="AY341" s="458"/>
      <c r="AZ341" s="458"/>
      <c r="BA341" s="1305"/>
      <c r="BC341" s="169"/>
    </row>
    <row r="342" spans="19:55" ht="15.75" customHeight="1">
      <c r="S342" s="454"/>
      <c r="AN342" s="458"/>
      <c r="AY342" s="458"/>
      <c r="AZ342" s="458"/>
      <c r="BA342" s="1305"/>
      <c r="BC342" s="169"/>
    </row>
    <row r="343" spans="19:55" ht="15.75" customHeight="1">
      <c r="S343" s="454"/>
      <c r="AN343" s="458"/>
      <c r="AY343" s="458"/>
      <c r="AZ343" s="458"/>
      <c r="BA343" s="1305"/>
      <c r="BC343" s="169"/>
    </row>
    <row r="344" spans="19:55" ht="15.75" customHeight="1">
      <c r="S344" s="454"/>
      <c r="AN344" s="458"/>
      <c r="AY344" s="458"/>
      <c r="AZ344" s="458"/>
      <c r="BA344" s="1305"/>
      <c r="BC344" s="169"/>
    </row>
    <row r="345" spans="19:55" ht="15.75" customHeight="1">
      <c r="S345" s="454"/>
      <c r="AN345" s="458"/>
      <c r="AY345" s="458"/>
      <c r="AZ345" s="458"/>
      <c r="BA345" s="1305"/>
      <c r="BC345" s="169"/>
    </row>
    <row r="346" spans="19:55" ht="15.75" customHeight="1">
      <c r="S346" s="454"/>
      <c r="AN346" s="458"/>
      <c r="AY346" s="458"/>
      <c r="AZ346" s="458"/>
      <c r="BA346" s="1305"/>
      <c r="BC346" s="169"/>
    </row>
    <row r="347" spans="19:55" ht="15.75" customHeight="1">
      <c r="S347" s="454"/>
      <c r="AN347" s="458"/>
      <c r="AY347" s="458"/>
      <c r="AZ347" s="458"/>
      <c r="BA347" s="1305"/>
      <c r="BC347" s="169"/>
    </row>
    <row r="348" spans="19:55" ht="15.75" customHeight="1">
      <c r="S348" s="454"/>
      <c r="AN348" s="458"/>
      <c r="AY348" s="458"/>
      <c r="AZ348" s="458"/>
      <c r="BA348" s="1305"/>
      <c r="BC348" s="169"/>
    </row>
    <row r="349" spans="19:55" ht="15.75" customHeight="1">
      <c r="S349" s="454"/>
      <c r="AN349" s="458"/>
      <c r="AY349" s="458"/>
      <c r="AZ349" s="458"/>
      <c r="BA349" s="1305"/>
      <c r="BC349" s="169"/>
    </row>
    <row r="350" spans="19:55" ht="15.75" customHeight="1">
      <c r="S350" s="454"/>
      <c r="AN350" s="458"/>
      <c r="AY350" s="458"/>
      <c r="AZ350" s="458"/>
      <c r="BA350" s="1305"/>
      <c r="BC350" s="169"/>
    </row>
    <row r="351" spans="19:55" ht="15.75" customHeight="1">
      <c r="S351" s="454"/>
      <c r="AN351" s="458"/>
      <c r="AY351" s="458"/>
      <c r="AZ351" s="458"/>
      <c r="BA351" s="1305"/>
      <c r="BC351" s="169"/>
    </row>
    <row r="352" spans="19:55" ht="15.75" customHeight="1">
      <c r="S352" s="454"/>
      <c r="AN352" s="458"/>
      <c r="AY352" s="458"/>
      <c r="AZ352" s="458"/>
      <c r="BA352" s="1305"/>
      <c r="BC352" s="169"/>
    </row>
    <row r="353" spans="19:55" ht="15.75" customHeight="1">
      <c r="S353" s="454"/>
      <c r="AN353" s="458"/>
      <c r="AY353" s="458"/>
      <c r="AZ353" s="458"/>
      <c r="BA353" s="1305"/>
      <c r="BC353" s="169"/>
    </row>
    <row r="354" spans="19:55" ht="15.75" customHeight="1">
      <c r="S354" s="454"/>
      <c r="AN354" s="458"/>
      <c r="AY354" s="458"/>
      <c r="AZ354" s="458"/>
      <c r="BA354" s="1305"/>
      <c r="BC354" s="169"/>
    </row>
    <row r="355" spans="19:55" ht="15.75" customHeight="1">
      <c r="S355" s="454"/>
      <c r="AN355" s="458"/>
      <c r="AY355" s="458"/>
      <c r="AZ355" s="458"/>
      <c r="BA355" s="1305"/>
      <c r="BC355" s="169"/>
    </row>
    <row r="356" spans="19:55" ht="15.75" customHeight="1">
      <c r="S356" s="454"/>
      <c r="AN356" s="458"/>
      <c r="AY356" s="458"/>
      <c r="AZ356" s="458"/>
      <c r="BA356" s="1305"/>
      <c r="BC356" s="169"/>
    </row>
    <row r="357" spans="19:55" ht="15.75" customHeight="1">
      <c r="S357" s="454"/>
      <c r="AN357" s="458"/>
      <c r="AY357" s="458"/>
      <c r="AZ357" s="458"/>
      <c r="BA357" s="1305"/>
      <c r="BC357" s="169"/>
    </row>
    <row r="358" spans="19:55" ht="15.75" customHeight="1">
      <c r="S358" s="454"/>
      <c r="AN358" s="458"/>
      <c r="AY358" s="458"/>
      <c r="AZ358" s="458"/>
      <c r="BA358" s="1305"/>
      <c r="BC358" s="169"/>
    </row>
    <row r="359" spans="19:55" ht="15.75" customHeight="1">
      <c r="S359" s="454"/>
      <c r="AN359" s="458"/>
      <c r="AY359" s="458"/>
      <c r="AZ359" s="458"/>
      <c r="BA359" s="1305"/>
      <c r="BC359" s="169"/>
    </row>
    <row r="360" spans="19:55" ht="15.75" customHeight="1">
      <c r="S360" s="454"/>
      <c r="AN360" s="458"/>
      <c r="AY360" s="458"/>
      <c r="AZ360" s="458"/>
      <c r="BA360" s="1305"/>
      <c r="BC360" s="169"/>
    </row>
    <row r="361" spans="19:55" ht="15.75" customHeight="1">
      <c r="S361" s="454"/>
      <c r="AN361" s="458"/>
      <c r="AY361" s="458"/>
      <c r="AZ361" s="458"/>
      <c r="BA361" s="1305"/>
      <c r="BC361" s="169"/>
    </row>
    <row r="362" spans="19:55" ht="15.75" customHeight="1">
      <c r="S362" s="454"/>
      <c r="AN362" s="458"/>
      <c r="AY362" s="458"/>
      <c r="AZ362" s="458"/>
      <c r="BA362" s="1305"/>
      <c r="BC362" s="169"/>
    </row>
    <row r="363" spans="19:55" ht="15.75" customHeight="1">
      <c r="S363" s="454"/>
      <c r="AN363" s="458"/>
      <c r="AY363" s="458"/>
      <c r="AZ363" s="458"/>
      <c r="BA363" s="1305"/>
      <c r="BC363" s="169"/>
    </row>
    <row r="364" spans="19:55" ht="15.75" customHeight="1">
      <c r="S364" s="454"/>
      <c r="AN364" s="458"/>
      <c r="AY364" s="458"/>
      <c r="AZ364" s="458"/>
      <c r="BA364" s="1305"/>
      <c r="BC364" s="169"/>
    </row>
    <row r="365" spans="19:55" ht="15.75" customHeight="1">
      <c r="S365" s="454"/>
      <c r="AN365" s="458"/>
      <c r="AY365" s="458"/>
      <c r="AZ365" s="458"/>
      <c r="BA365" s="1305"/>
      <c r="BC365" s="169"/>
    </row>
    <row r="366" spans="19:55" ht="15.75" customHeight="1">
      <c r="S366" s="454"/>
      <c r="AN366" s="458"/>
      <c r="AY366" s="458"/>
      <c r="AZ366" s="458"/>
      <c r="BA366" s="1305"/>
      <c r="BC366" s="169"/>
    </row>
    <row r="367" spans="19:55" ht="15.75" customHeight="1">
      <c r="S367" s="454"/>
      <c r="AN367" s="458"/>
      <c r="AY367" s="458"/>
      <c r="AZ367" s="458"/>
      <c r="BA367" s="1305"/>
      <c r="BC367" s="169"/>
    </row>
    <row r="368" spans="19:55" ht="15.75" customHeight="1">
      <c r="S368" s="454"/>
      <c r="AN368" s="458"/>
      <c r="AY368" s="458"/>
      <c r="AZ368" s="458"/>
      <c r="BA368" s="1305"/>
      <c r="BC368" s="169"/>
    </row>
    <row r="369" spans="19:55" ht="15.75" customHeight="1">
      <c r="S369" s="454"/>
      <c r="AN369" s="458"/>
      <c r="AY369" s="458"/>
      <c r="AZ369" s="458"/>
      <c r="BA369" s="1305"/>
      <c r="BC369" s="169"/>
    </row>
    <row r="370" spans="19:55" ht="15.75" customHeight="1">
      <c r="S370" s="454"/>
      <c r="AN370" s="458"/>
      <c r="AY370" s="458"/>
      <c r="AZ370" s="458"/>
      <c r="BA370" s="1305"/>
      <c r="BC370" s="169"/>
    </row>
    <row r="371" spans="19:55" ht="15.75" customHeight="1">
      <c r="S371" s="454"/>
      <c r="AN371" s="458"/>
      <c r="AY371" s="458"/>
      <c r="AZ371" s="458"/>
      <c r="BA371" s="1305"/>
      <c r="BC371" s="169"/>
    </row>
    <row r="372" spans="19:55" ht="15.75" customHeight="1">
      <c r="S372" s="454"/>
      <c r="AN372" s="458"/>
      <c r="AY372" s="458"/>
      <c r="AZ372" s="458"/>
      <c r="BA372" s="1305"/>
      <c r="BC372" s="169"/>
    </row>
    <row r="373" spans="19:55" ht="15.75" customHeight="1">
      <c r="S373" s="454"/>
      <c r="AN373" s="458"/>
      <c r="AY373" s="458"/>
      <c r="AZ373" s="458"/>
      <c r="BA373" s="1305"/>
      <c r="BC373" s="169"/>
    </row>
    <row r="374" spans="19:55" ht="15.75" customHeight="1">
      <c r="S374" s="454"/>
      <c r="AN374" s="458"/>
      <c r="AY374" s="458"/>
      <c r="AZ374" s="458"/>
      <c r="BA374" s="1305"/>
      <c r="BC374" s="169"/>
    </row>
    <row r="375" spans="19:55" ht="15.75" customHeight="1">
      <c r="S375" s="454"/>
      <c r="AN375" s="458"/>
      <c r="AY375" s="458"/>
      <c r="AZ375" s="458"/>
      <c r="BA375" s="1305"/>
      <c r="BC375" s="169"/>
    </row>
    <row r="376" spans="19:55" ht="15.75" customHeight="1">
      <c r="S376" s="454"/>
      <c r="AN376" s="458"/>
      <c r="AY376" s="458"/>
      <c r="AZ376" s="458"/>
      <c r="BA376" s="1305"/>
      <c r="BC376" s="169"/>
    </row>
    <row r="377" spans="19:55" ht="15.75" customHeight="1">
      <c r="S377" s="454"/>
      <c r="AN377" s="458"/>
      <c r="AY377" s="458"/>
      <c r="AZ377" s="458"/>
      <c r="BA377" s="1305"/>
      <c r="BC377" s="169"/>
    </row>
    <row r="378" spans="19:55" ht="15.75" customHeight="1">
      <c r="S378" s="454"/>
      <c r="AN378" s="458"/>
      <c r="AY378" s="458"/>
      <c r="AZ378" s="458"/>
      <c r="BA378" s="1305"/>
      <c r="BC378" s="169"/>
    </row>
    <row r="379" spans="19:55" ht="15.75" customHeight="1">
      <c r="S379" s="454"/>
      <c r="AN379" s="458"/>
      <c r="AY379" s="458"/>
      <c r="AZ379" s="458"/>
      <c r="BA379" s="1305"/>
      <c r="BC379" s="169"/>
    </row>
    <row r="380" spans="19:55" ht="15.75" customHeight="1">
      <c r="S380" s="454"/>
      <c r="AN380" s="458"/>
      <c r="AY380" s="458"/>
      <c r="AZ380" s="458"/>
      <c r="BA380" s="1305"/>
      <c r="BC380" s="169"/>
    </row>
    <row r="381" spans="19:55" ht="15.75" customHeight="1">
      <c r="S381" s="454"/>
      <c r="AN381" s="458"/>
      <c r="AY381" s="458"/>
      <c r="AZ381" s="458"/>
      <c r="BA381" s="1305"/>
      <c r="BC381" s="169"/>
    </row>
    <row r="382" spans="19:55" ht="15.75" customHeight="1">
      <c r="S382" s="454"/>
      <c r="AN382" s="458"/>
      <c r="AY382" s="458"/>
      <c r="AZ382" s="458"/>
      <c r="BA382" s="1305"/>
      <c r="BC382" s="169"/>
    </row>
    <row r="383" spans="19:55" ht="15.75" customHeight="1">
      <c r="S383" s="454"/>
      <c r="AN383" s="458"/>
      <c r="AY383" s="458"/>
      <c r="AZ383" s="458"/>
      <c r="BA383" s="1305"/>
      <c r="BC383" s="169"/>
    </row>
    <row r="384" spans="19:55" ht="15.75" customHeight="1">
      <c r="S384" s="454"/>
      <c r="AN384" s="458"/>
      <c r="AY384" s="458"/>
      <c r="AZ384" s="458"/>
      <c r="BA384" s="1305"/>
      <c r="BC384" s="169"/>
    </row>
    <row r="385" spans="19:55" ht="15.75" customHeight="1">
      <c r="S385" s="454"/>
      <c r="AN385" s="458"/>
      <c r="AY385" s="458"/>
      <c r="AZ385" s="458"/>
      <c r="BA385" s="1305"/>
      <c r="BC385" s="169"/>
    </row>
    <row r="386" spans="19:55" ht="15.75" customHeight="1">
      <c r="S386" s="454"/>
      <c r="AN386" s="458"/>
      <c r="AY386" s="458"/>
      <c r="AZ386" s="458"/>
      <c r="BA386" s="1305"/>
      <c r="BC386" s="169"/>
    </row>
    <row r="387" spans="19:55" ht="15.75" customHeight="1">
      <c r="S387" s="454"/>
      <c r="AN387" s="458"/>
      <c r="AY387" s="458"/>
      <c r="AZ387" s="458"/>
      <c r="BA387" s="1305"/>
      <c r="BC387" s="169"/>
    </row>
    <row r="388" spans="19:55" ht="15.75" customHeight="1">
      <c r="S388" s="454"/>
      <c r="AN388" s="458"/>
      <c r="AY388" s="458"/>
      <c r="AZ388" s="458"/>
      <c r="BA388" s="1305"/>
      <c r="BC388" s="169"/>
    </row>
    <row r="389" spans="19:55" ht="15.75" customHeight="1">
      <c r="S389" s="454"/>
      <c r="AN389" s="458"/>
      <c r="AY389" s="458"/>
      <c r="AZ389" s="458"/>
      <c r="BA389" s="1305"/>
      <c r="BC389" s="169"/>
    </row>
    <row r="390" spans="19:55" ht="15.75" customHeight="1">
      <c r="S390" s="454"/>
      <c r="AN390" s="458"/>
      <c r="AY390" s="458"/>
      <c r="AZ390" s="458"/>
      <c r="BA390" s="1305"/>
      <c r="BC390" s="169"/>
    </row>
    <row r="391" spans="19:55" ht="15.75" customHeight="1">
      <c r="S391" s="454"/>
      <c r="AN391" s="458"/>
      <c r="AY391" s="458"/>
      <c r="AZ391" s="458"/>
      <c r="BA391" s="1305"/>
      <c r="BC391" s="169"/>
    </row>
    <row r="392" spans="19:55" ht="15.75" customHeight="1">
      <c r="S392" s="454"/>
      <c r="AN392" s="458"/>
      <c r="AY392" s="458"/>
      <c r="AZ392" s="458"/>
      <c r="BA392" s="1305"/>
      <c r="BC392" s="169"/>
    </row>
    <row r="393" spans="19:55" ht="15.75" customHeight="1">
      <c r="S393" s="454"/>
      <c r="AN393" s="458"/>
      <c r="AY393" s="458"/>
      <c r="AZ393" s="458"/>
      <c r="BA393" s="1305"/>
      <c r="BC393" s="169"/>
    </row>
    <row r="394" spans="19:55" ht="15.75" customHeight="1">
      <c r="S394" s="454"/>
      <c r="AN394" s="458"/>
      <c r="AY394" s="458"/>
      <c r="AZ394" s="458"/>
      <c r="BA394" s="1305"/>
      <c r="BC394" s="169"/>
    </row>
    <row r="395" spans="19:55" ht="15.75" customHeight="1">
      <c r="S395" s="454"/>
      <c r="AN395" s="458"/>
      <c r="AY395" s="458"/>
      <c r="AZ395" s="458"/>
      <c r="BA395" s="1305"/>
      <c r="BC395" s="169"/>
    </row>
    <row r="396" spans="19:55" ht="15.75" customHeight="1">
      <c r="S396" s="454"/>
      <c r="AN396" s="458"/>
      <c r="AY396" s="458"/>
      <c r="AZ396" s="458"/>
      <c r="BA396" s="1305"/>
      <c r="BC396" s="169"/>
    </row>
    <row r="397" spans="19:55" ht="15.75" customHeight="1">
      <c r="S397" s="454"/>
      <c r="AN397" s="458"/>
      <c r="AY397" s="458"/>
      <c r="AZ397" s="458"/>
      <c r="BA397" s="1305"/>
      <c r="BC397" s="169"/>
    </row>
    <row r="398" spans="19:55" ht="15.75" customHeight="1">
      <c r="S398" s="454"/>
      <c r="AN398" s="458"/>
      <c r="AY398" s="458"/>
      <c r="AZ398" s="458"/>
      <c r="BA398" s="1305"/>
      <c r="BC398" s="169"/>
    </row>
    <row r="399" spans="19:55" ht="15.75" customHeight="1">
      <c r="S399" s="454"/>
      <c r="AN399" s="458"/>
      <c r="AY399" s="458"/>
      <c r="AZ399" s="458"/>
      <c r="BA399" s="1305"/>
      <c r="BC399" s="169"/>
    </row>
    <row r="400" spans="19:55" ht="15.75" customHeight="1">
      <c r="S400" s="454"/>
      <c r="AN400" s="458"/>
      <c r="AY400" s="458"/>
      <c r="AZ400" s="458"/>
      <c r="BA400" s="1305"/>
      <c r="BC400" s="169"/>
    </row>
    <row r="401" spans="19:55" ht="15.75" customHeight="1">
      <c r="S401" s="454"/>
      <c r="AN401" s="458"/>
      <c r="AY401" s="458"/>
      <c r="AZ401" s="458"/>
      <c r="BA401" s="1305"/>
      <c r="BC401" s="169"/>
    </row>
    <row r="402" spans="19:55" ht="15.75" customHeight="1">
      <c r="S402" s="454"/>
      <c r="AN402" s="458"/>
      <c r="AY402" s="458"/>
      <c r="AZ402" s="458"/>
      <c r="BA402" s="1305"/>
      <c r="BC402" s="169"/>
    </row>
    <row r="403" spans="19:55" ht="15.75" customHeight="1">
      <c r="S403" s="454"/>
      <c r="AN403" s="458"/>
      <c r="AY403" s="458"/>
      <c r="AZ403" s="458"/>
      <c r="BA403" s="1305"/>
      <c r="BC403" s="169"/>
    </row>
    <row r="404" spans="19:55" ht="15.75" customHeight="1">
      <c r="S404" s="454"/>
      <c r="AN404" s="458"/>
      <c r="AY404" s="458"/>
      <c r="AZ404" s="458"/>
      <c r="BA404" s="1305"/>
      <c r="BC404" s="169"/>
    </row>
    <row r="405" spans="19:55" ht="15.75" customHeight="1">
      <c r="S405" s="454"/>
      <c r="AN405" s="458"/>
      <c r="AY405" s="458"/>
      <c r="AZ405" s="458"/>
      <c r="BA405" s="1305"/>
      <c r="BC405" s="169"/>
    </row>
    <row r="406" spans="19:55" ht="15.75" customHeight="1">
      <c r="S406" s="454"/>
      <c r="AN406" s="458"/>
      <c r="AY406" s="458"/>
      <c r="AZ406" s="458"/>
      <c r="BA406" s="1305"/>
      <c r="BC406" s="169"/>
    </row>
    <row r="407" spans="19:55" ht="15.75" customHeight="1">
      <c r="S407" s="454"/>
      <c r="AN407" s="458"/>
      <c r="AY407" s="458"/>
      <c r="AZ407" s="458"/>
      <c r="BA407" s="1305"/>
      <c r="BC407" s="169"/>
    </row>
    <row r="408" spans="19:55" ht="15.75" customHeight="1">
      <c r="S408" s="454"/>
      <c r="AN408" s="458"/>
      <c r="AY408" s="458"/>
      <c r="AZ408" s="458"/>
      <c r="BA408" s="1305"/>
      <c r="BC408" s="169"/>
    </row>
    <row r="409" spans="19:55" ht="15.75" customHeight="1">
      <c r="S409" s="454"/>
      <c r="AN409" s="458"/>
      <c r="AY409" s="458"/>
      <c r="AZ409" s="458"/>
      <c r="BA409" s="1305"/>
      <c r="BC409" s="169"/>
    </row>
    <row r="410" spans="19:55" ht="15.75" customHeight="1">
      <c r="S410" s="454"/>
      <c r="AN410" s="458"/>
      <c r="AY410" s="458"/>
      <c r="AZ410" s="458"/>
      <c r="BA410" s="1305"/>
      <c r="BC410" s="169"/>
    </row>
    <row r="411" spans="19:55" ht="15.75" customHeight="1">
      <c r="S411" s="454"/>
      <c r="AN411" s="458"/>
      <c r="AY411" s="458"/>
      <c r="AZ411" s="458"/>
      <c r="BA411" s="1305"/>
      <c r="BC411" s="169"/>
    </row>
    <row r="412" spans="19:55" ht="15.75" customHeight="1">
      <c r="S412" s="454"/>
      <c r="AN412" s="458"/>
      <c r="AY412" s="458"/>
      <c r="AZ412" s="458"/>
      <c r="BA412" s="1305"/>
      <c r="BC412" s="169"/>
    </row>
    <row r="413" spans="19:55" ht="15.75" customHeight="1">
      <c r="S413" s="454"/>
      <c r="AN413" s="458"/>
      <c r="AY413" s="458"/>
      <c r="AZ413" s="458"/>
      <c r="BA413" s="1305"/>
      <c r="BC413" s="169"/>
    </row>
    <row r="414" spans="19:55" ht="15.75" customHeight="1">
      <c r="S414" s="454"/>
      <c r="AN414" s="458"/>
      <c r="AY414" s="458"/>
      <c r="AZ414" s="458"/>
      <c r="BA414" s="1305"/>
      <c r="BC414" s="169"/>
    </row>
    <row r="415" spans="19:55" ht="15.75" customHeight="1">
      <c r="S415" s="454"/>
      <c r="AN415" s="458"/>
      <c r="AY415" s="458"/>
      <c r="AZ415" s="458"/>
      <c r="BA415" s="1305"/>
      <c r="BC415" s="169"/>
    </row>
    <row r="416" spans="19:55" ht="15.75" customHeight="1">
      <c r="S416" s="454"/>
      <c r="AN416" s="458"/>
      <c r="AY416" s="458"/>
      <c r="AZ416" s="458"/>
      <c r="BA416" s="1305"/>
      <c r="BC416" s="169"/>
    </row>
    <row r="417" spans="19:55" ht="15.75" customHeight="1">
      <c r="S417" s="454"/>
      <c r="AN417" s="458"/>
      <c r="AY417" s="458"/>
      <c r="AZ417" s="458"/>
      <c r="BA417" s="1305"/>
      <c r="BC417" s="169"/>
    </row>
    <row r="418" spans="19:55" ht="15.75" customHeight="1">
      <c r="S418" s="454"/>
      <c r="AN418" s="458"/>
      <c r="AY418" s="458"/>
      <c r="AZ418" s="458"/>
      <c r="BA418" s="1305"/>
      <c r="BC418" s="169"/>
    </row>
    <row r="419" spans="19:55" ht="15.75" customHeight="1">
      <c r="S419" s="454"/>
      <c r="AN419" s="458"/>
      <c r="AY419" s="458"/>
      <c r="AZ419" s="458"/>
      <c r="BA419" s="1305"/>
      <c r="BC419" s="169"/>
    </row>
    <row r="420" spans="19:55" ht="15.75" customHeight="1">
      <c r="S420" s="454"/>
      <c r="AN420" s="458"/>
      <c r="AY420" s="458"/>
      <c r="AZ420" s="458"/>
      <c r="BA420" s="1305"/>
      <c r="BC420" s="169"/>
    </row>
    <row r="421" spans="19:55" ht="15.75" customHeight="1">
      <c r="S421" s="454"/>
      <c r="AN421" s="458"/>
      <c r="AY421" s="458"/>
      <c r="AZ421" s="458"/>
      <c r="BA421" s="1305"/>
      <c r="BC421" s="169"/>
    </row>
    <row r="422" spans="19:55" ht="15.75" customHeight="1">
      <c r="S422" s="454"/>
      <c r="AN422" s="458"/>
      <c r="AY422" s="458"/>
      <c r="AZ422" s="458"/>
      <c r="BA422" s="1305"/>
      <c r="BC422" s="169"/>
    </row>
    <row r="423" spans="19:55" ht="15.75" customHeight="1">
      <c r="S423" s="454"/>
      <c r="AN423" s="458"/>
      <c r="AY423" s="458"/>
      <c r="AZ423" s="458"/>
      <c r="BA423" s="1305"/>
      <c r="BC423" s="169"/>
    </row>
    <row r="424" spans="19:55" ht="15.75" customHeight="1">
      <c r="S424" s="454"/>
      <c r="AN424" s="458"/>
      <c r="AY424" s="458"/>
      <c r="AZ424" s="458"/>
      <c r="BA424" s="1305"/>
      <c r="BC424" s="169"/>
    </row>
    <row r="425" spans="19:55" ht="15.75" customHeight="1">
      <c r="S425" s="454"/>
      <c r="AN425" s="458"/>
      <c r="AY425" s="458"/>
      <c r="AZ425" s="458"/>
      <c r="BA425" s="1305"/>
      <c r="BC425" s="169"/>
    </row>
    <row r="426" spans="19:55" ht="15.75" customHeight="1">
      <c r="S426" s="454"/>
      <c r="AN426" s="458"/>
      <c r="AY426" s="458"/>
      <c r="AZ426" s="458"/>
      <c r="BA426" s="1305"/>
      <c r="BC426" s="169"/>
    </row>
    <row r="427" spans="19:55" ht="15.75" customHeight="1">
      <c r="S427" s="454"/>
      <c r="AN427" s="458"/>
      <c r="AY427" s="458"/>
      <c r="AZ427" s="458"/>
      <c r="BA427" s="1305"/>
      <c r="BC427" s="169"/>
    </row>
    <row r="428" spans="19:55" ht="15.75" customHeight="1">
      <c r="S428" s="454"/>
      <c r="AN428" s="458"/>
      <c r="AY428" s="458"/>
      <c r="AZ428" s="458"/>
      <c r="BA428" s="1305"/>
      <c r="BC428" s="169"/>
    </row>
    <row r="429" spans="19:55" ht="15.75" customHeight="1">
      <c r="S429" s="454"/>
      <c r="AN429" s="458"/>
      <c r="AY429" s="458"/>
      <c r="AZ429" s="458"/>
      <c r="BA429" s="1305"/>
      <c r="BC429" s="169"/>
    </row>
    <row r="430" spans="19:55" ht="15.75" customHeight="1">
      <c r="S430" s="454"/>
      <c r="AN430" s="458"/>
      <c r="AY430" s="458"/>
      <c r="AZ430" s="458"/>
      <c r="BA430" s="1305"/>
      <c r="BC430" s="169"/>
    </row>
    <row r="431" spans="19:55" ht="15.75" customHeight="1">
      <c r="S431" s="454"/>
      <c r="AN431" s="458"/>
      <c r="AY431" s="458"/>
      <c r="AZ431" s="458"/>
      <c r="BA431" s="1305"/>
      <c r="BC431" s="169"/>
    </row>
    <row r="432" spans="19:55" ht="15.75" customHeight="1">
      <c r="S432" s="454"/>
      <c r="AN432" s="458"/>
      <c r="AY432" s="458"/>
      <c r="AZ432" s="458"/>
      <c r="BA432" s="1305"/>
      <c r="BC432" s="169"/>
    </row>
    <row r="433" spans="19:55" ht="15.75" customHeight="1">
      <c r="S433" s="454"/>
      <c r="AN433" s="458"/>
      <c r="AY433" s="458"/>
      <c r="AZ433" s="458"/>
      <c r="BA433" s="1305"/>
      <c r="BC433" s="169"/>
    </row>
    <row r="434" spans="19:55" ht="15.75" customHeight="1">
      <c r="S434" s="454"/>
      <c r="AN434" s="458"/>
      <c r="AY434" s="458"/>
      <c r="AZ434" s="458"/>
      <c r="BA434" s="1305"/>
      <c r="BC434" s="169"/>
    </row>
    <row r="435" spans="19:55" ht="15.75" customHeight="1">
      <c r="S435" s="454"/>
      <c r="AN435" s="458"/>
      <c r="AY435" s="458"/>
      <c r="AZ435" s="458"/>
      <c r="BA435" s="1305"/>
      <c r="BC435" s="169"/>
    </row>
    <row r="436" spans="19:55" ht="15.75" customHeight="1">
      <c r="S436" s="454"/>
      <c r="AN436" s="458"/>
      <c r="AY436" s="458"/>
      <c r="AZ436" s="458"/>
      <c r="BA436" s="1305"/>
      <c r="BC436" s="169"/>
    </row>
    <row r="437" spans="19:55" ht="15.75" customHeight="1">
      <c r="S437" s="454"/>
      <c r="AN437" s="458"/>
      <c r="AY437" s="458"/>
      <c r="AZ437" s="458"/>
      <c r="BA437" s="1305"/>
      <c r="BC437" s="169"/>
    </row>
    <row r="438" spans="19:55" ht="15.75" customHeight="1">
      <c r="S438" s="454"/>
      <c r="AN438" s="458"/>
      <c r="AY438" s="458"/>
      <c r="AZ438" s="458"/>
      <c r="BA438" s="1305"/>
      <c r="BC438" s="169"/>
    </row>
    <row r="439" spans="19:55" ht="15.75" customHeight="1">
      <c r="S439" s="454"/>
      <c r="AN439" s="458"/>
      <c r="AY439" s="458"/>
      <c r="AZ439" s="458"/>
      <c r="BA439" s="1305"/>
      <c r="BC439" s="169"/>
    </row>
    <row r="440" spans="19:55" ht="15.75" customHeight="1">
      <c r="S440" s="454"/>
      <c r="AN440" s="458"/>
      <c r="AY440" s="458"/>
      <c r="AZ440" s="458"/>
      <c r="BA440" s="1305"/>
      <c r="BC440" s="169"/>
    </row>
    <row r="441" spans="19:55" ht="15.75" customHeight="1">
      <c r="S441" s="454"/>
      <c r="AN441" s="458"/>
      <c r="AY441" s="458"/>
      <c r="AZ441" s="458"/>
      <c r="BA441" s="1305"/>
      <c r="BC441" s="169"/>
    </row>
    <row r="442" spans="19:55" ht="15.75" customHeight="1">
      <c r="S442" s="454"/>
      <c r="AN442" s="458"/>
      <c r="AY442" s="458"/>
      <c r="AZ442" s="458"/>
      <c r="BA442" s="1305"/>
      <c r="BC442" s="169"/>
    </row>
    <row r="443" spans="19:55" ht="15.75" customHeight="1">
      <c r="S443" s="454"/>
      <c r="AN443" s="458"/>
      <c r="AY443" s="458"/>
      <c r="AZ443" s="458"/>
      <c r="BA443" s="1305"/>
      <c r="BC443" s="169"/>
    </row>
    <row r="444" spans="19:55" ht="15.75" customHeight="1">
      <c r="S444" s="454"/>
      <c r="AN444" s="458"/>
      <c r="AY444" s="458"/>
      <c r="AZ444" s="458"/>
      <c r="BA444" s="1305"/>
      <c r="BC444" s="169"/>
    </row>
    <row r="445" spans="19:55" ht="15.75" customHeight="1">
      <c r="S445" s="454"/>
      <c r="AN445" s="458"/>
      <c r="AY445" s="458"/>
      <c r="AZ445" s="458"/>
      <c r="BA445" s="1305"/>
      <c r="BC445" s="169"/>
    </row>
    <row r="446" spans="19:55" ht="15.75" customHeight="1">
      <c r="S446" s="454"/>
      <c r="AN446" s="458"/>
      <c r="AY446" s="458"/>
      <c r="AZ446" s="458"/>
      <c r="BA446" s="1305"/>
      <c r="BC446" s="169"/>
    </row>
    <row r="447" spans="19:55" ht="15.75" customHeight="1">
      <c r="S447" s="454"/>
      <c r="AN447" s="458"/>
      <c r="AY447" s="458"/>
      <c r="AZ447" s="458"/>
      <c r="BA447" s="1305"/>
      <c r="BC447" s="169"/>
    </row>
    <row r="448" spans="19:55" ht="15.75" customHeight="1">
      <c r="S448" s="454"/>
      <c r="AN448" s="458"/>
      <c r="AY448" s="458"/>
      <c r="AZ448" s="458"/>
      <c r="BA448" s="1305"/>
      <c r="BC448" s="169"/>
    </row>
    <row r="449" spans="19:55" ht="15.75" customHeight="1">
      <c r="S449" s="454"/>
      <c r="AN449" s="458"/>
      <c r="AY449" s="458"/>
      <c r="AZ449" s="458"/>
      <c r="BA449" s="1305"/>
      <c r="BC449" s="169"/>
    </row>
    <row r="450" spans="19:55" ht="15.75" customHeight="1">
      <c r="S450" s="454"/>
      <c r="AN450" s="458"/>
      <c r="AY450" s="458"/>
      <c r="AZ450" s="458"/>
      <c r="BA450" s="1305"/>
      <c r="BC450" s="169"/>
    </row>
    <row r="451" spans="19:55" ht="15.75" customHeight="1">
      <c r="S451" s="454"/>
      <c r="AN451" s="458"/>
      <c r="AY451" s="458"/>
      <c r="AZ451" s="458"/>
      <c r="BA451" s="1305"/>
      <c r="BC451" s="169"/>
    </row>
    <row r="452" spans="19:55" ht="15.75" customHeight="1">
      <c r="S452" s="454"/>
      <c r="AN452" s="458"/>
      <c r="AY452" s="458"/>
      <c r="AZ452" s="458"/>
      <c r="BA452" s="1305"/>
      <c r="BC452" s="169"/>
    </row>
    <row r="453" spans="19:55" ht="15.75" customHeight="1">
      <c r="S453" s="454"/>
      <c r="AN453" s="458"/>
      <c r="AY453" s="458"/>
      <c r="AZ453" s="458"/>
      <c r="BA453" s="1305"/>
      <c r="BC453" s="169"/>
    </row>
    <row r="454" spans="19:55" ht="15.75" customHeight="1">
      <c r="S454" s="454"/>
      <c r="AN454" s="458"/>
      <c r="AY454" s="458"/>
      <c r="AZ454" s="458"/>
      <c r="BA454" s="1305"/>
      <c r="BC454" s="169"/>
    </row>
    <row r="455" spans="19:55" ht="15.75" customHeight="1">
      <c r="S455" s="454"/>
      <c r="AN455" s="458"/>
      <c r="AY455" s="458"/>
      <c r="AZ455" s="458"/>
      <c r="BA455" s="1305"/>
      <c r="BC455" s="169"/>
    </row>
    <row r="456" spans="19:55" ht="15.75" customHeight="1">
      <c r="S456" s="454"/>
      <c r="AN456" s="458"/>
      <c r="AY456" s="458"/>
      <c r="AZ456" s="458"/>
      <c r="BA456" s="1305"/>
      <c r="BC456" s="169"/>
    </row>
    <row r="457" spans="19:55" ht="15.75" customHeight="1">
      <c r="S457" s="454"/>
      <c r="AN457" s="458"/>
      <c r="AY457" s="458"/>
      <c r="AZ457" s="458"/>
      <c r="BA457" s="1305"/>
      <c r="BC457" s="169"/>
    </row>
    <row r="458" spans="19:55" ht="15.75" customHeight="1">
      <c r="S458" s="454"/>
      <c r="AN458" s="458"/>
      <c r="AY458" s="458"/>
      <c r="AZ458" s="458"/>
      <c r="BA458" s="1305"/>
      <c r="BC458" s="169"/>
    </row>
    <row r="459" spans="19:55" ht="15.75" customHeight="1">
      <c r="S459" s="454"/>
      <c r="AN459" s="458"/>
      <c r="AY459" s="458"/>
      <c r="AZ459" s="458"/>
      <c r="BA459" s="1305"/>
      <c r="BC459" s="169"/>
    </row>
    <row r="460" spans="19:55" ht="15.75" customHeight="1">
      <c r="S460" s="454"/>
      <c r="AN460" s="458"/>
      <c r="AY460" s="458"/>
      <c r="AZ460" s="458"/>
      <c r="BA460" s="1305"/>
      <c r="BC460" s="169"/>
    </row>
    <row r="461" spans="19:55" ht="15.75" customHeight="1">
      <c r="S461" s="454"/>
      <c r="AN461" s="458"/>
      <c r="AY461" s="458"/>
      <c r="AZ461" s="458"/>
      <c r="BA461" s="1305"/>
      <c r="BC461" s="169"/>
    </row>
    <row r="462" spans="19:55" ht="15.75" customHeight="1">
      <c r="S462" s="454"/>
      <c r="AN462" s="458"/>
      <c r="AY462" s="458"/>
      <c r="AZ462" s="458"/>
      <c r="BA462" s="1305"/>
      <c r="BC462" s="169"/>
    </row>
    <row r="463" spans="19:55" ht="15.75" customHeight="1">
      <c r="S463" s="454"/>
      <c r="AN463" s="458"/>
      <c r="AY463" s="458"/>
      <c r="AZ463" s="458"/>
      <c r="BA463" s="1305"/>
      <c r="BC463" s="169"/>
    </row>
    <row r="464" spans="19:55" ht="15.75" customHeight="1">
      <c r="S464" s="454"/>
      <c r="AN464" s="458"/>
      <c r="AY464" s="458"/>
      <c r="AZ464" s="458"/>
      <c r="BA464" s="1305"/>
      <c r="BC464" s="169"/>
    </row>
    <row r="465" spans="19:55" ht="15.75" customHeight="1">
      <c r="S465" s="454"/>
      <c r="AN465" s="458"/>
      <c r="AY465" s="458"/>
      <c r="AZ465" s="458"/>
      <c r="BA465" s="1305"/>
      <c r="BC465" s="169"/>
    </row>
    <row r="466" spans="19:55" ht="15.75" customHeight="1">
      <c r="S466" s="454"/>
      <c r="AN466" s="458"/>
      <c r="AY466" s="458"/>
      <c r="AZ466" s="458"/>
      <c r="BA466" s="1305"/>
      <c r="BC466" s="169"/>
    </row>
    <row r="467" spans="19:55" ht="15.75" customHeight="1">
      <c r="S467" s="454"/>
      <c r="AN467" s="458"/>
      <c r="AY467" s="458"/>
      <c r="AZ467" s="458"/>
      <c r="BA467" s="1305"/>
      <c r="BC467" s="169"/>
    </row>
    <row r="468" spans="19:55" ht="15.75" customHeight="1">
      <c r="S468" s="454"/>
      <c r="AN468" s="458"/>
      <c r="AY468" s="458"/>
      <c r="AZ468" s="458"/>
      <c r="BA468" s="1305"/>
      <c r="BC468" s="169"/>
    </row>
    <row r="469" spans="19:55" ht="15.75" customHeight="1">
      <c r="S469" s="454"/>
      <c r="AN469" s="458"/>
      <c r="AY469" s="458"/>
      <c r="AZ469" s="458"/>
      <c r="BA469" s="1305"/>
      <c r="BC469" s="169"/>
    </row>
    <row r="470" spans="19:55" ht="15.75" customHeight="1">
      <c r="S470" s="454"/>
      <c r="AN470" s="458"/>
      <c r="AY470" s="458"/>
      <c r="AZ470" s="458"/>
      <c r="BA470" s="1305"/>
      <c r="BC470" s="169"/>
    </row>
    <row r="471" spans="19:55" ht="15.75" customHeight="1">
      <c r="S471" s="454"/>
      <c r="AN471" s="458"/>
      <c r="AY471" s="458"/>
      <c r="AZ471" s="458"/>
      <c r="BA471" s="1305"/>
      <c r="BC471" s="169"/>
    </row>
    <row r="472" spans="19:55" ht="15.75" customHeight="1">
      <c r="S472" s="454"/>
      <c r="AN472" s="458"/>
      <c r="AY472" s="458"/>
      <c r="AZ472" s="458"/>
      <c r="BA472" s="1305"/>
      <c r="BC472" s="169"/>
    </row>
    <row r="473" spans="19:55" ht="15.75" customHeight="1">
      <c r="S473" s="454"/>
      <c r="AN473" s="458"/>
      <c r="AY473" s="458"/>
      <c r="AZ473" s="458"/>
      <c r="BA473" s="1305"/>
      <c r="BC473" s="169"/>
    </row>
    <row r="474" spans="19:55" ht="15.75" customHeight="1">
      <c r="S474" s="454"/>
      <c r="AN474" s="458"/>
      <c r="AY474" s="458"/>
      <c r="AZ474" s="458"/>
      <c r="BA474" s="1305"/>
      <c r="BC474" s="169"/>
    </row>
    <row r="475" spans="19:55" ht="15.75" customHeight="1">
      <c r="S475" s="454"/>
      <c r="AN475" s="458"/>
      <c r="AY475" s="458"/>
      <c r="AZ475" s="458"/>
      <c r="BA475" s="1305"/>
      <c r="BC475" s="169"/>
    </row>
    <row r="476" spans="19:55" ht="15.75" customHeight="1">
      <c r="S476" s="454"/>
      <c r="AN476" s="458"/>
      <c r="AY476" s="458"/>
      <c r="AZ476" s="458"/>
      <c r="BA476" s="1305"/>
      <c r="BC476" s="169"/>
    </row>
    <row r="477" spans="19:55" ht="15.75" customHeight="1">
      <c r="S477" s="454"/>
      <c r="AN477" s="458"/>
      <c r="AY477" s="458"/>
      <c r="AZ477" s="458"/>
      <c r="BA477" s="1305"/>
      <c r="BC477" s="169"/>
    </row>
    <row r="478" spans="19:55" ht="15.75" customHeight="1">
      <c r="S478" s="454"/>
      <c r="AN478" s="458"/>
      <c r="AY478" s="458"/>
      <c r="AZ478" s="458"/>
      <c r="BA478" s="1305"/>
      <c r="BC478" s="169"/>
    </row>
    <row r="479" spans="19:55" ht="15.75" customHeight="1">
      <c r="S479" s="454"/>
      <c r="AN479" s="458"/>
      <c r="AY479" s="458"/>
      <c r="AZ479" s="458"/>
      <c r="BA479" s="1305"/>
      <c r="BC479" s="169"/>
    </row>
    <row r="480" spans="19:55" ht="15.75" customHeight="1">
      <c r="S480" s="454"/>
      <c r="AN480" s="458"/>
      <c r="AY480" s="458"/>
      <c r="AZ480" s="458"/>
      <c r="BA480" s="1305"/>
      <c r="BC480" s="169"/>
    </row>
    <row r="481" spans="19:55" ht="15.75" customHeight="1">
      <c r="S481" s="454"/>
      <c r="AN481" s="458"/>
      <c r="AY481" s="458"/>
      <c r="AZ481" s="458"/>
      <c r="BA481" s="1305"/>
      <c r="BC481" s="169"/>
    </row>
    <row r="482" spans="19:55" ht="15.75" customHeight="1">
      <c r="S482" s="454"/>
      <c r="AN482" s="458"/>
      <c r="AY482" s="458"/>
      <c r="AZ482" s="458"/>
      <c r="BA482" s="1305"/>
      <c r="BC482" s="169"/>
    </row>
    <row r="483" spans="19:55" ht="15.75" customHeight="1">
      <c r="S483" s="454"/>
      <c r="AN483" s="458"/>
      <c r="AY483" s="458"/>
      <c r="AZ483" s="458"/>
      <c r="BA483" s="1305"/>
      <c r="BC483" s="169"/>
    </row>
    <row r="484" spans="19:55" ht="15.75" customHeight="1">
      <c r="S484" s="454"/>
      <c r="AN484" s="458"/>
      <c r="AY484" s="458"/>
      <c r="AZ484" s="458"/>
      <c r="BA484" s="1305"/>
      <c r="BC484" s="169"/>
    </row>
    <row r="485" spans="19:55" ht="15.75" customHeight="1">
      <c r="S485" s="454"/>
      <c r="AN485" s="458"/>
      <c r="AY485" s="458"/>
      <c r="AZ485" s="458"/>
      <c r="BA485" s="1305"/>
      <c r="BC485" s="169"/>
    </row>
    <row r="486" spans="19:55" ht="15.75" customHeight="1">
      <c r="S486" s="454"/>
      <c r="AN486" s="458"/>
      <c r="AY486" s="458"/>
      <c r="AZ486" s="458"/>
      <c r="BA486" s="1305"/>
      <c r="BC486" s="169"/>
    </row>
    <row r="487" spans="19:55" ht="15.75" customHeight="1">
      <c r="S487" s="454"/>
      <c r="AN487" s="458"/>
      <c r="AY487" s="458"/>
      <c r="AZ487" s="458"/>
      <c r="BA487" s="1305"/>
      <c r="BC487" s="169"/>
    </row>
    <row r="488" spans="19:55" ht="15.75" customHeight="1">
      <c r="S488" s="454"/>
      <c r="AN488" s="458"/>
      <c r="AY488" s="458"/>
      <c r="AZ488" s="458"/>
      <c r="BA488" s="1305"/>
      <c r="BC488" s="169"/>
    </row>
    <row r="489" spans="19:55" ht="15.75" customHeight="1">
      <c r="S489" s="454"/>
      <c r="AN489" s="458"/>
      <c r="AY489" s="458"/>
      <c r="AZ489" s="458"/>
      <c r="BA489" s="1305"/>
      <c r="BC489" s="169"/>
    </row>
    <row r="490" spans="19:55" ht="15.75" customHeight="1">
      <c r="S490" s="454"/>
      <c r="AN490" s="458"/>
      <c r="AY490" s="458"/>
      <c r="AZ490" s="458"/>
      <c r="BA490" s="1305"/>
      <c r="BC490" s="169"/>
    </row>
    <row r="491" spans="19:55" ht="15.75" customHeight="1">
      <c r="S491" s="454"/>
      <c r="AN491" s="458"/>
      <c r="AY491" s="458"/>
      <c r="AZ491" s="458"/>
      <c r="BA491" s="1305"/>
      <c r="BC491" s="169"/>
    </row>
    <row r="492" spans="19:55" ht="15.75" customHeight="1">
      <c r="S492" s="454"/>
      <c r="AN492" s="458"/>
      <c r="AY492" s="458"/>
      <c r="AZ492" s="458"/>
      <c r="BA492" s="1305"/>
      <c r="BC492" s="169"/>
    </row>
    <row r="493" spans="19:55" ht="15.75" customHeight="1">
      <c r="S493" s="454"/>
      <c r="AN493" s="458"/>
      <c r="AY493" s="458"/>
      <c r="AZ493" s="458"/>
      <c r="BA493" s="1305"/>
      <c r="BC493" s="169"/>
    </row>
    <row r="494" spans="19:55" ht="15.75" customHeight="1">
      <c r="S494" s="454"/>
      <c r="AN494" s="458"/>
      <c r="AY494" s="458"/>
      <c r="AZ494" s="458"/>
      <c r="BA494" s="1305"/>
      <c r="BC494" s="169"/>
    </row>
    <row r="495" spans="19:55" ht="15.75" customHeight="1">
      <c r="S495" s="454"/>
      <c r="AN495" s="458"/>
      <c r="AY495" s="458"/>
      <c r="AZ495" s="458"/>
      <c r="BA495" s="1305"/>
      <c r="BC495" s="169"/>
    </row>
    <row r="496" spans="19:55" ht="15.75" customHeight="1">
      <c r="S496" s="454"/>
      <c r="AN496" s="458"/>
      <c r="AY496" s="458"/>
      <c r="AZ496" s="458"/>
      <c r="BA496" s="1305"/>
      <c r="BC496" s="169"/>
    </row>
    <row r="497" spans="19:55" ht="15.75" customHeight="1">
      <c r="S497" s="454"/>
      <c r="AN497" s="458"/>
      <c r="AY497" s="458"/>
      <c r="AZ497" s="458"/>
      <c r="BA497" s="1305"/>
      <c r="BC497" s="169"/>
    </row>
    <row r="498" spans="19:55" ht="15.75" customHeight="1">
      <c r="S498" s="454"/>
      <c r="AN498" s="458"/>
      <c r="AY498" s="458"/>
      <c r="AZ498" s="458"/>
      <c r="BA498" s="1305"/>
      <c r="BC498" s="169"/>
    </row>
    <row r="499" spans="19:55" ht="15.75" customHeight="1">
      <c r="S499" s="454"/>
      <c r="AN499" s="458"/>
      <c r="AY499" s="458"/>
      <c r="AZ499" s="458"/>
      <c r="BA499" s="1305"/>
      <c r="BC499" s="169"/>
    </row>
    <row r="500" spans="19:55" ht="15.75" customHeight="1">
      <c r="S500" s="454"/>
      <c r="AN500" s="458"/>
      <c r="AY500" s="458"/>
      <c r="AZ500" s="458"/>
      <c r="BA500" s="1305"/>
      <c r="BC500" s="169"/>
    </row>
    <row r="501" spans="19:55" ht="15.75" customHeight="1">
      <c r="S501" s="454"/>
      <c r="AN501" s="458"/>
      <c r="AY501" s="458"/>
      <c r="AZ501" s="458"/>
      <c r="BA501" s="1305"/>
      <c r="BC501" s="169"/>
    </row>
    <row r="502" spans="19:55" ht="15.75" customHeight="1">
      <c r="S502" s="454"/>
      <c r="AN502" s="458"/>
      <c r="AY502" s="458"/>
      <c r="AZ502" s="458"/>
      <c r="BA502" s="1305"/>
      <c r="BC502" s="169"/>
    </row>
    <row r="503" spans="19:55" ht="15.75" customHeight="1">
      <c r="S503" s="454"/>
      <c r="AN503" s="458"/>
      <c r="AY503" s="458"/>
      <c r="AZ503" s="458"/>
      <c r="BA503" s="1305"/>
      <c r="BC503" s="169"/>
    </row>
    <row r="504" spans="19:55" ht="15.75" customHeight="1">
      <c r="S504" s="454"/>
      <c r="AN504" s="458"/>
      <c r="AV504" s="177"/>
      <c r="AW504" s="177"/>
      <c r="AX504" s="177"/>
      <c r="AY504" s="458"/>
      <c r="AZ504" s="458"/>
      <c r="BA504" s="1307"/>
      <c r="BC504" s="169"/>
    </row>
    <row r="505" spans="19:55" ht="15.75" customHeight="1">
      <c r="S505" s="454"/>
      <c r="AN505" s="458"/>
      <c r="AV505" s="177"/>
      <c r="AW505" s="177"/>
      <c r="AX505" s="177"/>
      <c r="AY505" s="458"/>
      <c r="AZ505" s="458"/>
      <c r="BA505" s="1307"/>
      <c r="BC505" s="169"/>
    </row>
    <row r="506" spans="19:55" ht="15.75" customHeight="1">
      <c r="S506" s="454"/>
      <c r="AN506" s="458"/>
      <c r="AU506" s="177"/>
      <c r="AV506" s="177"/>
      <c r="AW506" s="177"/>
      <c r="AX506" s="177"/>
      <c r="AY506" s="458"/>
      <c r="AZ506" s="458"/>
      <c r="BA506" s="1307"/>
      <c r="BC506" s="169"/>
    </row>
    <row r="507" spans="19:55" ht="15.75" customHeight="1">
      <c r="S507" s="454"/>
      <c r="AN507" s="458"/>
      <c r="AU507" s="177"/>
      <c r="AV507" s="177"/>
      <c r="AW507" s="177"/>
      <c r="AX507" s="177"/>
      <c r="AY507" s="458"/>
      <c r="AZ507" s="458"/>
      <c r="BA507" s="1307"/>
      <c r="BC507" s="169"/>
    </row>
    <row r="508" spans="19:55" ht="15.75" customHeight="1">
      <c r="S508" s="454"/>
      <c r="AN508" s="458"/>
      <c r="AU508" s="177"/>
      <c r="AV508" s="177"/>
      <c r="AW508" s="177"/>
      <c r="AX508" s="177"/>
      <c r="AY508" s="458"/>
      <c r="AZ508" s="458"/>
      <c r="BA508" s="1307"/>
      <c r="BC508" s="169"/>
    </row>
    <row r="509" spans="19:55" ht="15.75" customHeight="1">
      <c r="S509" s="454"/>
      <c r="AN509" s="458"/>
      <c r="AU509" s="177"/>
      <c r="AV509" s="177"/>
      <c r="AW509" s="177"/>
      <c r="AX509" s="177"/>
      <c r="AY509" s="458"/>
      <c r="AZ509" s="458"/>
      <c r="BA509" s="1307"/>
      <c r="BC509" s="169"/>
    </row>
    <row r="510" spans="19:55" ht="15.75" customHeight="1">
      <c r="S510" s="454"/>
      <c r="AN510" s="458"/>
      <c r="AU510" s="177"/>
      <c r="AV510" s="177"/>
      <c r="AW510" s="177"/>
      <c r="AX510" s="177"/>
      <c r="AY510" s="458"/>
      <c r="AZ510" s="458"/>
      <c r="BA510" s="1307"/>
      <c r="BC510" s="169"/>
    </row>
    <row r="511" spans="19:55" ht="15.75" customHeight="1">
      <c r="S511" s="454"/>
      <c r="AN511" s="458"/>
      <c r="AU511" s="177"/>
      <c r="AV511" s="177"/>
      <c r="AW511" s="177"/>
      <c r="AX511" s="177"/>
      <c r="AY511" s="458"/>
      <c r="AZ511" s="458"/>
      <c r="BA511" s="1307"/>
      <c r="BC511" s="169"/>
    </row>
    <row r="512" spans="19:55" ht="15.75" customHeight="1">
      <c r="S512" s="454"/>
      <c r="AN512" s="458"/>
      <c r="AU512" s="177"/>
      <c r="AV512" s="177"/>
      <c r="AW512" s="177"/>
      <c r="AX512" s="177"/>
      <c r="AY512" s="458"/>
      <c r="AZ512" s="458"/>
      <c r="BA512" s="1307"/>
      <c r="BC512" s="169"/>
    </row>
    <row r="513" spans="19:55" ht="15.75" customHeight="1">
      <c r="S513" s="454"/>
      <c r="AN513" s="458"/>
      <c r="AU513" s="177"/>
      <c r="AV513" s="177"/>
      <c r="AW513" s="177"/>
      <c r="AX513" s="177"/>
      <c r="AY513" s="458"/>
      <c r="AZ513" s="458"/>
      <c r="BA513" s="1307"/>
      <c r="BC513" s="169"/>
    </row>
    <row r="514" spans="19:55" ht="15.75" customHeight="1">
      <c r="S514" s="454"/>
      <c r="AN514" s="458"/>
      <c r="AU514" s="177"/>
      <c r="AV514" s="177"/>
      <c r="AW514" s="177"/>
      <c r="AX514" s="177"/>
      <c r="AY514" s="458"/>
      <c r="AZ514" s="458"/>
      <c r="BA514" s="1307"/>
      <c r="BC514" s="169"/>
    </row>
    <row r="515" spans="19:55" ht="15.75" customHeight="1">
      <c r="S515" s="454"/>
      <c r="AN515" s="458"/>
      <c r="AU515" s="177"/>
      <c r="AV515" s="177"/>
      <c r="AW515" s="177"/>
      <c r="AX515" s="177"/>
      <c r="AY515" s="458"/>
      <c r="AZ515" s="458"/>
      <c r="BA515" s="1307"/>
      <c r="BC515" s="169"/>
    </row>
    <row r="516" spans="19:55" ht="15.75" customHeight="1">
      <c r="S516" s="454"/>
      <c r="AN516" s="458"/>
      <c r="AU516" s="177"/>
      <c r="AV516" s="177"/>
      <c r="AW516" s="177"/>
      <c r="AX516" s="177"/>
      <c r="AY516" s="458"/>
      <c r="AZ516" s="458"/>
      <c r="BA516" s="1307"/>
      <c r="BC516" s="169"/>
    </row>
    <row r="517" spans="19:55" ht="15.75" customHeight="1">
      <c r="S517" s="454"/>
      <c r="AN517" s="458"/>
      <c r="AU517" s="177"/>
      <c r="AY517" s="458"/>
      <c r="AZ517" s="458"/>
      <c r="BA517" s="1305"/>
      <c r="BC517" s="169"/>
    </row>
    <row r="518" spans="19:55" ht="15.75" customHeight="1">
      <c r="S518" s="454"/>
      <c r="AN518" s="458"/>
      <c r="AU518" s="177"/>
      <c r="AY518" s="458"/>
      <c r="AZ518" s="458"/>
      <c r="BA518" s="1305"/>
      <c r="BC518" s="169"/>
    </row>
    <row r="519" spans="19:55" ht="15.75" customHeight="1">
      <c r="S519" s="454"/>
      <c r="AN519" s="458"/>
      <c r="AY519" s="458"/>
      <c r="AZ519" s="458"/>
      <c r="BA519" s="1305"/>
      <c r="BC519" s="169"/>
    </row>
    <row r="520" spans="19:55" ht="15.75" customHeight="1">
      <c r="S520" s="454"/>
      <c r="AN520" s="458"/>
      <c r="AY520" s="458"/>
      <c r="AZ520" s="458"/>
      <c r="BA520" s="1305"/>
      <c r="BC520" s="169"/>
    </row>
    <row r="521" spans="19:55" ht="15.75" customHeight="1">
      <c r="S521" s="454"/>
      <c r="AN521" s="458"/>
      <c r="AY521" s="458"/>
      <c r="AZ521" s="458"/>
      <c r="BA521" s="1305"/>
      <c r="BC521" s="169"/>
    </row>
    <row r="522" spans="19:55" ht="15.75" customHeight="1">
      <c r="S522" s="454"/>
      <c r="AN522" s="458"/>
      <c r="AV522" s="177"/>
      <c r="AW522" s="177"/>
      <c r="AX522" s="177"/>
      <c r="AY522" s="458"/>
      <c r="AZ522" s="458"/>
      <c r="BA522" s="1307"/>
      <c r="BC522" s="169"/>
    </row>
    <row r="523" spans="19:55" ht="15.75" customHeight="1">
      <c r="S523" s="454"/>
      <c r="AN523" s="458"/>
      <c r="AV523" s="177"/>
      <c r="AW523" s="177"/>
      <c r="AX523" s="177"/>
      <c r="AY523" s="458"/>
      <c r="AZ523" s="458"/>
      <c r="BA523" s="1307"/>
      <c r="BC523" s="169"/>
    </row>
    <row r="524" spans="19:55" ht="15.75" customHeight="1">
      <c r="S524" s="454"/>
      <c r="AN524" s="458"/>
      <c r="AU524" s="177"/>
      <c r="AV524" s="177"/>
      <c r="AW524" s="177"/>
      <c r="AX524" s="177"/>
      <c r="AY524" s="458"/>
      <c r="AZ524" s="458"/>
      <c r="BA524" s="1307"/>
      <c r="BC524" s="169"/>
    </row>
    <row r="525" spans="19:55" ht="15.75" customHeight="1">
      <c r="S525" s="454"/>
      <c r="AN525" s="458"/>
      <c r="AU525" s="177"/>
      <c r="AV525" s="177"/>
      <c r="AW525" s="177"/>
      <c r="AX525" s="177"/>
      <c r="AY525" s="458"/>
      <c r="AZ525" s="458"/>
      <c r="BA525" s="1307"/>
      <c r="BC525" s="169"/>
    </row>
    <row r="526" spans="19:55" ht="15.75" customHeight="1">
      <c r="S526" s="454"/>
      <c r="AN526" s="458"/>
      <c r="AU526" s="177"/>
      <c r="AV526" s="177"/>
      <c r="AW526" s="177"/>
      <c r="AX526" s="177"/>
      <c r="AY526" s="458"/>
      <c r="AZ526" s="458"/>
      <c r="BA526" s="1307"/>
      <c r="BC526" s="169"/>
    </row>
    <row r="527" spans="19:55" ht="15.75" customHeight="1">
      <c r="S527" s="454"/>
      <c r="AN527" s="458"/>
      <c r="AU527" s="177"/>
      <c r="AY527" s="458"/>
      <c r="AZ527" s="458"/>
      <c r="BA527" s="1305"/>
      <c r="BC527" s="169"/>
    </row>
    <row r="528" spans="19:55" ht="15.75" customHeight="1">
      <c r="S528" s="454"/>
      <c r="AN528" s="458"/>
      <c r="AU528" s="177"/>
      <c r="AY528" s="458"/>
      <c r="AZ528" s="458"/>
      <c r="BA528" s="1305"/>
      <c r="BC528" s="169"/>
    </row>
    <row r="529" spans="19:55" ht="15.75" customHeight="1">
      <c r="S529" s="454"/>
      <c r="AN529" s="458"/>
      <c r="AY529" s="458"/>
      <c r="AZ529" s="458"/>
      <c r="BA529" s="1305"/>
      <c r="BC529" s="169"/>
    </row>
    <row r="530" spans="19:55" ht="15.75" customHeight="1">
      <c r="S530" s="454"/>
      <c r="AN530" s="458"/>
      <c r="AV530" s="177"/>
      <c r="AW530" s="177"/>
      <c r="AX530" s="177"/>
      <c r="AY530" s="458"/>
      <c r="AZ530" s="458"/>
      <c r="BA530" s="1307"/>
      <c r="BC530" s="169"/>
    </row>
    <row r="531" spans="19:55" ht="15.75" customHeight="1">
      <c r="S531" s="454"/>
      <c r="AN531" s="458"/>
      <c r="AV531" s="177"/>
      <c r="AW531" s="177"/>
      <c r="AX531" s="177"/>
      <c r="AY531" s="458"/>
      <c r="AZ531" s="458"/>
      <c r="BA531" s="1307"/>
      <c r="BC531" s="169"/>
    </row>
    <row r="532" spans="19:55" ht="15.75" customHeight="1">
      <c r="S532" s="454"/>
      <c r="AN532" s="458"/>
      <c r="AU532" s="177"/>
      <c r="AV532" s="177"/>
      <c r="AW532" s="177"/>
      <c r="AX532" s="177"/>
      <c r="AY532" s="458"/>
      <c r="AZ532" s="458"/>
      <c r="BA532" s="1307"/>
      <c r="BC532" s="169"/>
    </row>
    <row r="533" spans="19:55" ht="15.75" customHeight="1">
      <c r="S533" s="454"/>
      <c r="AN533" s="458"/>
      <c r="AU533" s="177"/>
      <c r="AV533" s="177"/>
      <c r="AW533" s="177"/>
      <c r="AX533" s="177"/>
      <c r="AY533" s="458"/>
      <c r="AZ533" s="458"/>
      <c r="BA533" s="1307"/>
      <c r="BC533" s="169"/>
    </row>
    <row r="534" spans="19:55" ht="15.75" customHeight="1">
      <c r="S534" s="454"/>
      <c r="AN534" s="458"/>
      <c r="AU534" s="177"/>
      <c r="AV534" s="177"/>
      <c r="AW534" s="177"/>
      <c r="AX534" s="177"/>
      <c r="AY534" s="458"/>
      <c r="AZ534" s="458"/>
      <c r="BA534" s="1307"/>
      <c r="BC534" s="169"/>
    </row>
    <row r="535" spans="19:55" ht="15.75" customHeight="1">
      <c r="S535" s="454"/>
      <c r="AN535" s="458"/>
      <c r="AU535" s="177"/>
      <c r="AV535" s="177"/>
      <c r="AW535" s="177"/>
      <c r="AX535" s="177"/>
      <c r="AY535" s="458"/>
      <c r="AZ535" s="458"/>
      <c r="BA535" s="1307"/>
      <c r="BC535" s="169"/>
    </row>
    <row r="536" spans="19:55" ht="15.75" customHeight="1">
      <c r="S536" s="454"/>
      <c r="AN536" s="458"/>
      <c r="AU536" s="177"/>
      <c r="AV536" s="177"/>
      <c r="AW536" s="177"/>
      <c r="AX536" s="177"/>
      <c r="AY536" s="458"/>
      <c r="AZ536" s="458"/>
      <c r="BA536" s="1307"/>
      <c r="BC536" s="169"/>
    </row>
    <row r="537" spans="19:55" ht="15.75" customHeight="1">
      <c r="S537" s="454"/>
      <c r="AN537" s="458"/>
      <c r="AU537" s="177"/>
      <c r="AY537" s="458"/>
      <c r="AZ537" s="458"/>
      <c r="BA537" s="1305"/>
      <c r="BC537" s="169"/>
    </row>
    <row r="538" spans="19:55" ht="15.75" customHeight="1">
      <c r="S538" s="454"/>
      <c r="AN538" s="458"/>
      <c r="AU538" s="177"/>
      <c r="AY538" s="458"/>
      <c r="AZ538" s="458"/>
      <c r="BA538" s="1305"/>
      <c r="BC538" s="169"/>
    </row>
    <row r="539" spans="19:55" ht="15.75" customHeight="1">
      <c r="S539" s="454"/>
      <c r="AN539" s="458"/>
      <c r="AY539" s="458"/>
      <c r="AZ539" s="458"/>
      <c r="BA539" s="1305"/>
      <c r="BC539" s="169"/>
    </row>
    <row r="540" spans="19:55" ht="15.75" customHeight="1">
      <c r="S540" s="454"/>
      <c r="AN540" s="458"/>
      <c r="AY540" s="458"/>
      <c r="AZ540" s="458"/>
      <c r="BA540" s="1305"/>
      <c r="BC540" s="169"/>
    </row>
    <row r="541" spans="19:55" ht="15.75" customHeight="1">
      <c r="S541" s="454"/>
      <c r="AN541" s="458"/>
      <c r="AY541" s="458"/>
      <c r="AZ541" s="458"/>
      <c r="BA541" s="1305"/>
      <c r="BC541" s="169"/>
    </row>
    <row r="542" spans="19:55" ht="15.75" customHeight="1">
      <c r="S542" s="454"/>
      <c r="AN542" s="458"/>
      <c r="AY542" s="458"/>
      <c r="AZ542" s="458"/>
      <c r="BA542" s="1305"/>
      <c r="BC542" s="169"/>
    </row>
    <row r="543" spans="19:55" ht="15.75" customHeight="1">
      <c r="S543" s="454"/>
      <c r="AN543" s="458"/>
      <c r="AY543" s="458"/>
      <c r="AZ543" s="458"/>
      <c r="BA543" s="1305"/>
      <c r="BC543" s="169"/>
    </row>
    <row r="544" spans="19:55" ht="15.75" customHeight="1">
      <c r="S544" s="454"/>
      <c r="AN544" s="458"/>
      <c r="AY544" s="458"/>
      <c r="AZ544" s="458"/>
      <c r="BA544" s="1305"/>
      <c r="BC544" s="169"/>
    </row>
    <row r="545" spans="19:55" ht="15.75" customHeight="1">
      <c r="S545" s="454"/>
      <c r="AN545" s="458"/>
      <c r="AY545" s="458"/>
      <c r="AZ545" s="458"/>
      <c r="BA545" s="1305"/>
      <c r="BC545" s="169"/>
    </row>
    <row r="546" spans="19:55" ht="15.75" customHeight="1">
      <c r="S546" s="454"/>
      <c r="AN546" s="458"/>
      <c r="AY546" s="458"/>
      <c r="AZ546" s="458"/>
      <c r="BA546" s="1305"/>
      <c r="BC546" s="169"/>
    </row>
    <row r="547" spans="19:55" ht="15.75" customHeight="1">
      <c r="S547" s="454"/>
      <c r="AN547" s="458"/>
      <c r="AY547" s="458"/>
      <c r="AZ547" s="458"/>
      <c r="BA547" s="1305"/>
      <c r="BC547" s="169"/>
    </row>
    <row r="548" spans="19:55" ht="15.75" customHeight="1">
      <c r="S548" s="454"/>
      <c r="AN548" s="458"/>
      <c r="AY548" s="458"/>
      <c r="AZ548" s="458"/>
      <c r="BA548" s="1305"/>
      <c r="BC548" s="169"/>
    </row>
    <row r="549" spans="19:55" ht="15.75" customHeight="1">
      <c r="S549" s="454"/>
      <c r="AN549" s="458"/>
      <c r="AY549" s="458"/>
      <c r="AZ549" s="458"/>
      <c r="BA549" s="1305"/>
      <c r="BC549" s="169"/>
    </row>
    <row r="550" spans="19:55" ht="15.75" customHeight="1">
      <c r="S550" s="454"/>
      <c r="AN550" s="458"/>
      <c r="AY550" s="458"/>
      <c r="AZ550" s="458"/>
      <c r="BA550" s="1305"/>
      <c r="BC550" s="169"/>
    </row>
    <row r="551" spans="19:55" ht="15.75" customHeight="1">
      <c r="S551" s="454"/>
      <c r="AN551" s="458"/>
      <c r="AY551" s="458"/>
      <c r="AZ551" s="458"/>
      <c r="BA551" s="1305"/>
      <c r="BC551" s="169"/>
    </row>
    <row r="552" spans="19:55" ht="15.75" customHeight="1">
      <c r="S552" s="454"/>
      <c r="AN552" s="458"/>
      <c r="AY552" s="458"/>
      <c r="AZ552" s="458"/>
      <c r="BA552" s="1305"/>
      <c r="BC552" s="169"/>
    </row>
    <row r="553" spans="19:55" ht="15.75" customHeight="1">
      <c r="S553" s="454"/>
      <c r="AN553" s="458"/>
      <c r="AY553" s="458"/>
      <c r="AZ553" s="458"/>
      <c r="BA553" s="1305"/>
      <c r="BC553" s="169"/>
    </row>
    <row r="554" spans="19:55" ht="15.75" customHeight="1">
      <c r="S554" s="454"/>
      <c r="AN554" s="458"/>
      <c r="AY554" s="458"/>
      <c r="AZ554" s="458"/>
      <c r="BA554" s="1305"/>
      <c r="BC554" s="169"/>
    </row>
    <row r="555" spans="19:55" ht="15.75" customHeight="1">
      <c r="S555" s="454"/>
      <c r="AN555" s="458"/>
      <c r="AY555" s="458"/>
      <c r="AZ555" s="458"/>
      <c r="BA555" s="1305"/>
      <c r="BC555" s="169"/>
    </row>
    <row r="556" spans="19:55" ht="15.75" customHeight="1">
      <c r="S556" s="454"/>
      <c r="AN556" s="458"/>
      <c r="AY556" s="458"/>
      <c r="AZ556" s="458"/>
      <c r="BA556" s="1305"/>
      <c r="BC556" s="169"/>
    </row>
    <row r="557" spans="19:55" ht="15.75" customHeight="1">
      <c r="S557" s="454"/>
      <c r="AN557" s="458"/>
      <c r="AY557" s="458"/>
      <c r="AZ557" s="458"/>
      <c r="BA557" s="1305"/>
      <c r="BC557" s="169"/>
    </row>
    <row r="558" spans="19:55" ht="15.75" customHeight="1">
      <c r="S558" s="454"/>
      <c r="AN558" s="458"/>
      <c r="AY558" s="458"/>
      <c r="AZ558" s="458"/>
      <c r="BA558" s="1305"/>
      <c r="BC558" s="169"/>
    </row>
    <row r="559" spans="19:55" ht="15.75" customHeight="1">
      <c r="S559" s="454"/>
      <c r="AN559" s="458"/>
      <c r="AY559" s="458"/>
      <c r="AZ559" s="458"/>
      <c r="BA559" s="1305"/>
      <c r="BC559" s="169"/>
    </row>
    <row r="560" spans="19:55" ht="15.75" customHeight="1">
      <c r="S560" s="454"/>
      <c r="AN560" s="458"/>
      <c r="AY560" s="458"/>
      <c r="AZ560" s="458"/>
      <c r="BA560" s="1305"/>
      <c r="BC560" s="169"/>
    </row>
    <row r="561" spans="19:55" ht="15.75" customHeight="1">
      <c r="S561" s="454"/>
      <c r="AN561" s="458"/>
      <c r="AY561" s="458"/>
      <c r="AZ561" s="458"/>
      <c r="BA561" s="1305"/>
      <c r="BC561" s="169"/>
    </row>
    <row r="562" spans="19:55" ht="15.75" customHeight="1">
      <c r="S562" s="454"/>
      <c r="AN562" s="458"/>
      <c r="AY562" s="458"/>
      <c r="AZ562" s="458"/>
      <c r="BA562" s="1305"/>
      <c r="BC562" s="169"/>
    </row>
    <row r="563" spans="19:55" ht="15.75" customHeight="1">
      <c r="S563" s="454"/>
      <c r="AN563" s="458"/>
      <c r="AY563" s="458"/>
      <c r="AZ563" s="458"/>
      <c r="BA563" s="1305"/>
      <c r="BC563" s="169"/>
    </row>
    <row r="564" spans="19:55" ht="15.75" customHeight="1">
      <c r="S564" s="454"/>
      <c r="AN564" s="458"/>
      <c r="AY564" s="458"/>
      <c r="AZ564" s="458"/>
      <c r="BA564" s="1305"/>
      <c r="BC564" s="169"/>
    </row>
    <row r="565" spans="19:55" ht="15.75" customHeight="1">
      <c r="S565" s="454"/>
      <c r="AN565" s="458"/>
      <c r="AY565" s="458"/>
      <c r="AZ565" s="458"/>
      <c r="BA565" s="1305"/>
      <c r="BC565" s="169"/>
    </row>
    <row r="566" spans="19:55" ht="15.75" customHeight="1">
      <c r="S566" s="454"/>
      <c r="AN566" s="458"/>
      <c r="AY566" s="458"/>
      <c r="AZ566" s="458"/>
      <c r="BA566" s="1305"/>
      <c r="BC566" s="169"/>
    </row>
    <row r="567" spans="19:55" ht="15.75" customHeight="1">
      <c r="S567" s="454"/>
      <c r="AN567" s="458"/>
      <c r="AY567" s="458"/>
      <c r="AZ567" s="458"/>
      <c r="BA567" s="1305"/>
      <c r="BC567" s="169"/>
    </row>
    <row r="568" spans="19:55" ht="15.75" customHeight="1">
      <c r="S568" s="454"/>
      <c r="AN568" s="458"/>
      <c r="AY568" s="458"/>
      <c r="AZ568" s="458"/>
      <c r="BA568" s="1305"/>
      <c r="BC568" s="169"/>
    </row>
    <row r="569" spans="19:55" ht="15.75" customHeight="1">
      <c r="S569" s="454"/>
      <c r="AN569" s="458"/>
      <c r="AY569" s="458"/>
      <c r="AZ569" s="458"/>
      <c r="BA569" s="1305"/>
      <c r="BC569" s="169"/>
    </row>
    <row r="570" spans="19:55" ht="15.75" customHeight="1">
      <c r="S570" s="454"/>
      <c r="AN570" s="458"/>
      <c r="AY570" s="458"/>
      <c r="AZ570" s="458"/>
      <c r="BA570" s="1305"/>
      <c r="BC570" s="169"/>
    </row>
    <row r="571" spans="19:55" ht="15.75" customHeight="1">
      <c r="S571" s="454"/>
      <c r="AN571" s="458"/>
      <c r="AY571" s="458"/>
      <c r="AZ571" s="458"/>
      <c r="BA571" s="1305"/>
      <c r="BC571" s="169"/>
    </row>
    <row r="572" spans="19:55" ht="15.75" customHeight="1">
      <c r="S572" s="454"/>
      <c r="AN572" s="458"/>
      <c r="AY572" s="458"/>
      <c r="AZ572" s="458"/>
      <c r="BA572" s="1305"/>
      <c r="BC572" s="169"/>
    </row>
    <row r="573" spans="19:55" ht="15.75" customHeight="1">
      <c r="S573" s="454"/>
      <c r="AN573" s="458"/>
      <c r="AY573" s="458"/>
      <c r="AZ573" s="458"/>
      <c r="BA573" s="1305"/>
      <c r="BC573" s="169"/>
    </row>
    <row r="574" spans="19:55" ht="15.75" customHeight="1">
      <c r="S574" s="454"/>
      <c r="AN574" s="458"/>
      <c r="AY574" s="458"/>
      <c r="AZ574" s="458"/>
      <c r="BA574" s="1305"/>
      <c r="BC574" s="169"/>
    </row>
    <row r="575" spans="19:55" ht="15.75" customHeight="1">
      <c r="S575" s="454"/>
      <c r="AN575" s="458"/>
      <c r="AY575" s="458"/>
      <c r="AZ575" s="458"/>
      <c r="BA575" s="1305"/>
      <c r="BC575" s="169"/>
    </row>
    <row r="576" spans="19:55" ht="15.75" customHeight="1">
      <c r="S576" s="454"/>
      <c r="AN576" s="458"/>
      <c r="AY576" s="458"/>
      <c r="AZ576" s="458"/>
      <c r="BA576" s="1305"/>
      <c r="BC576" s="169"/>
    </row>
    <row r="577" spans="19:55" ht="15.75" customHeight="1">
      <c r="S577" s="454"/>
      <c r="AN577" s="458"/>
      <c r="AY577" s="458"/>
      <c r="AZ577" s="458"/>
      <c r="BA577" s="1305"/>
      <c r="BC577" s="169"/>
    </row>
    <row r="578" spans="19:55" ht="15.75" customHeight="1">
      <c r="S578" s="454"/>
      <c r="AN578" s="458"/>
      <c r="AY578" s="458"/>
      <c r="AZ578" s="458"/>
      <c r="BA578" s="1305"/>
      <c r="BC578" s="169"/>
    </row>
    <row r="579" spans="19:55" ht="15.75" customHeight="1">
      <c r="S579" s="454"/>
      <c r="AN579" s="458"/>
      <c r="AY579" s="458"/>
      <c r="AZ579" s="458"/>
      <c r="BA579" s="1305"/>
      <c r="BC579" s="169"/>
    </row>
    <row r="580" spans="19:55" ht="15.75" customHeight="1">
      <c r="S580" s="454"/>
      <c r="AN580" s="458"/>
      <c r="AY580" s="458"/>
      <c r="AZ580" s="458"/>
      <c r="BA580" s="1305"/>
      <c r="BC580" s="169"/>
    </row>
    <row r="581" spans="19:55" ht="15.75" customHeight="1">
      <c r="S581" s="454"/>
      <c r="AN581" s="458"/>
      <c r="AY581" s="458"/>
      <c r="AZ581" s="458"/>
      <c r="BA581" s="1305"/>
      <c r="BC581" s="169"/>
    </row>
    <row r="582" spans="19:55" ht="15.75" customHeight="1">
      <c r="S582" s="454"/>
      <c r="AN582" s="458"/>
      <c r="AY582" s="458"/>
      <c r="AZ582" s="458"/>
      <c r="BA582" s="1305"/>
      <c r="BC582" s="169"/>
    </row>
    <row r="583" spans="19:55" ht="15.75" customHeight="1">
      <c r="S583" s="454"/>
      <c r="AN583" s="458"/>
      <c r="AY583" s="458"/>
      <c r="AZ583" s="458"/>
      <c r="BA583" s="1305"/>
      <c r="BC583" s="169"/>
    </row>
    <row r="584" spans="19:55" ht="15.75" customHeight="1">
      <c r="S584" s="454"/>
      <c r="AN584" s="458"/>
      <c r="AY584" s="458"/>
      <c r="AZ584" s="458"/>
      <c r="BA584" s="1305"/>
      <c r="BC584" s="169"/>
    </row>
    <row r="585" spans="19:55" ht="15.75" customHeight="1">
      <c r="S585" s="454"/>
      <c r="AN585" s="458"/>
      <c r="AY585" s="458"/>
      <c r="AZ585" s="458"/>
      <c r="BA585" s="1305"/>
      <c r="BC585" s="169"/>
    </row>
    <row r="586" spans="19:55" ht="15.75" customHeight="1">
      <c r="S586" s="454"/>
      <c r="AN586" s="458"/>
      <c r="AY586" s="458"/>
      <c r="AZ586" s="458"/>
      <c r="BA586" s="1305"/>
      <c r="BC586" s="169"/>
    </row>
    <row r="587" spans="19:55" ht="15.75" customHeight="1">
      <c r="S587" s="454"/>
      <c r="AN587" s="458"/>
      <c r="AY587" s="458"/>
      <c r="AZ587" s="458"/>
      <c r="BA587" s="1305"/>
      <c r="BC587" s="169"/>
    </row>
    <row r="588" spans="19:55" ht="15.75" customHeight="1">
      <c r="S588" s="454"/>
      <c r="AN588" s="458"/>
      <c r="AY588" s="458"/>
      <c r="AZ588" s="458"/>
      <c r="BA588" s="1305"/>
      <c r="BC588" s="169"/>
    </row>
    <row r="589" spans="19:55" ht="15.75" customHeight="1">
      <c r="S589" s="454"/>
      <c r="AN589" s="458"/>
      <c r="AY589" s="458"/>
      <c r="AZ589" s="458"/>
      <c r="BA589" s="1305"/>
      <c r="BC589" s="169"/>
    </row>
    <row r="590" spans="19:55" ht="15.75" customHeight="1">
      <c r="S590" s="454"/>
      <c r="AN590" s="458"/>
      <c r="AY590" s="458"/>
      <c r="AZ590" s="458"/>
      <c r="BA590" s="1305"/>
      <c r="BC590" s="169"/>
    </row>
    <row r="591" spans="19:55" ht="15.75" customHeight="1">
      <c r="S591" s="454"/>
      <c r="AN591" s="458"/>
      <c r="AY591" s="458"/>
      <c r="AZ591" s="458"/>
      <c r="BA591" s="1305"/>
      <c r="BC591" s="169"/>
    </row>
    <row r="592" spans="19:55" ht="15.75" customHeight="1">
      <c r="S592" s="454"/>
      <c r="AN592" s="458"/>
      <c r="AY592" s="458"/>
      <c r="AZ592" s="458"/>
      <c r="BA592" s="1305"/>
      <c r="BC592" s="169"/>
    </row>
    <row r="593" spans="19:55" ht="15.75" customHeight="1">
      <c r="S593" s="454"/>
      <c r="AN593" s="458"/>
      <c r="AY593" s="458"/>
      <c r="AZ593" s="458"/>
      <c r="BA593" s="1305"/>
      <c r="BC593" s="169"/>
    </row>
    <row r="594" spans="19:55" ht="15.75" customHeight="1">
      <c r="S594" s="454"/>
      <c r="AN594" s="458"/>
      <c r="AY594" s="458"/>
      <c r="AZ594" s="458"/>
      <c r="BA594" s="1305"/>
      <c r="BC594" s="169"/>
    </row>
    <row r="595" spans="19:55" ht="15.75" customHeight="1">
      <c r="S595" s="454"/>
      <c r="AN595" s="458"/>
      <c r="AY595" s="458"/>
      <c r="AZ595" s="458"/>
      <c r="BA595" s="1305"/>
      <c r="BC595" s="169"/>
    </row>
    <row r="596" spans="19:55" ht="15.75" customHeight="1">
      <c r="S596" s="454"/>
      <c r="AN596" s="458"/>
      <c r="AY596" s="458"/>
      <c r="AZ596" s="458"/>
      <c r="BA596" s="1305"/>
      <c r="BC596" s="169"/>
    </row>
    <row r="597" spans="19:55" ht="15.75" customHeight="1">
      <c r="S597" s="454"/>
      <c r="AN597" s="458"/>
      <c r="AY597" s="458"/>
      <c r="AZ597" s="458"/>
      <c r="BA597" s="1305"/>
      <c r="BC597" s="169"/>
    </row>
    <row r="598" spans="19:55" ht="15.75" customHeight="1">
      <c r="S598" s="454"/>
      <c r="AN598" s="458"/>
      <c r="AY598" s="458"/>
      <c r="AZ598" s="458"/>
      <c r="BA598" s="1305"/>
      <c r="BC598" s="169"/>
    </row>
    <row r="599" spans="19:55" ht="15.75" customHeight="1">
      <c r="S599" s="454"/>
      <c r="AN599" s="458"/>
      <c r="AY599" s="458"/>
      <c r="AZ599" s="458"/>
      <c r="BA599" s="1305"/>
      <c r="BC599" s="169"/>
    </row>
    <row r="600" spans="19:55" ht="15.75" customHeight="1">
      <c r="S600" s="454"/>
      <c r="AN600" s="458"/>
      <c r="AY600" s="458"/>
      <c r="AZ600" s="458"/>
      <c r="BA600" s="1305"/>
      <c r="BC600" s="169"/>
    </row>
    <row r="601" spans="19:55" ht="15.75" customHeight="1">
      <c r="S601" s="454"/>
      <c r="AN601" s="458"/>
      <c r="AY601" s="458"/>
      <c r="AZ601" s="458"/>
      <c r="BA601" s="1305"/>
      <c r="BC601" s="169"/>
    </row>
    <row r="602" spans="19:55" ht="15.75" customHeight="1">
      <c r="S602" s="454"/>
      <c r="AN602" s="458"/>
      <c r="AY602" s="458"/>
      <c r="AZ602" s="458"/>
      <c r="BA602" s="1305"/>
      <c r="BC602" s="169"/>
    </row>
    <row r="603" spans="19:55" ht="15.75" customHeight="1">
      <c r="S603" s="454"/>
      <c r="AN603" s="458"/>
      <c r="AY603" s="458"/>
      <c r="AZ603" s="458"/>
      <c r="BA603" s="1305"/>
      <c r="BC603" s="169"/>
    </row>
    <row r="604" spans="19:55" ht="15.75" customHeight="1">
      <c r="S604" s="454"/>
      <c r="AN604" s="458"/>
      <c r="AY604" s="458"/>
      <c r="AZ604" s="458"/>
      <c r="BA604" s="1305"/>
      <c r="BC604" s="169"/>
    </row>
    <row r="605" spans="19:55" ht="15.75" customHeight="1">
      <c r="S605" s="454"/>
      <c r="AN605" s="458"/>
      <c r="AY605" s="458"/>
      <c r="AZ605" s="458"/>
      <c r="BA605" s="1305"/>
      <c r="BC605" s="169"/>
    </row>
    <row r="606" spans="19:55" ht="15.75" customHeight="1">
      <c r="S606" s="454"/>
      <c r="AN606" s="458"/>
      <c r="AY606" s="458"/>
      <c r="AZ606" s="458"/>
      <c r="BA606" s="1305"/>
      <c r="BC606" s="169"/>
    </row>
    <row r="607" spans="19:55" ht="15.75" customHeight="1">
      <c r="S607" s="454"/>
      <c r="AN607" s="458"/>
      <c r="AY607" s="458"/>
      <c r="AZ607" s="458"/>
      <c r="BA607" s="1305"/>
      <c r="BC607" s="169"/>
    </row>
    <row r="608" spans="19:55" ht="15.75" customHeight="1">
      <c r="S608" s="454"/>
      <c r="AN608" s="458"/>
      <c r="AY608" s="458"/>
      <c r="AZ608" s="458"/>
      <c r="BA608" s="1305"/>
      <c r="BC608" s="169"/>
    </row>
    <row r="609" spans="19:55" ht="15.75" customHeight="1">
      <c r="S609" s="454"/>
      <c r="AN609" s="458"/>
      <c r="AY609" s="458"/>
      <c r="AZ609" s="458"/>
      <c r="BA609" s="1305"/>
      <c r="BC609" s="169"/>
    </row>
    <row r="610" spans="19:55" ht="15.75" customHeight="1">
      <c r="S610" s="454"/>
      <c r="AN610" s="458"/>
      <c r="AY610" s="458"/>
      <c r="AZ610" s="458"/>
      <c r="BA610" s="1305"/>
      <c r="BC610" s="169"/>
    </row>
    <row r="611" spans="19:55" ht="15.75" customHeight="1">
      <c r="S611" s="454"/>
      <c r="AN611" s="458"/>
      <c r="AY611" s="458"/>
      <c r="AZ611" s="458"/>
      <c r="BA611" s="1305"/>
      <c r="BC611" s="169"/>
    </row>
    <row r="612" spans="19:55" ht="15.75" customHeight="1">
      <c r="S612" s="454"/>
      <c r="AN612" s="458"/>
      <c r="AY612" s="458"/>
      <c r="AZ612" s="458"/>
      <c r="BA612" s="1305"/>
      <c r="BC612" s="169"/>
    </row>
    <row r="613" spans="19:55" ht="15.75" customHeight="1">
      <c r="S613" s="454"/>
      <c r="AN613" s="458"/>
      <c r="AY613" s="458"/>
      <c r="AZ613" s="458"/>
      <c r="BA613" s="1305"/>
      <c r="BC613" s="169"/>
    </row>
    <row r="614" spans="19:55" ht="15.75" customHeight="1">
      <c r="S614" s="454"/>
      <c r="AN614" s="458"/>
      <c r="AY614" s="458"/>
      <c r="AZ614" s="458"/>
      <c r="BA614" s="1305"/>
      <c r="BC614" s="169"/>
    </row>
    <row r="615" spans="19:55" ht="15.75" customHeight="1">
      <c r="S615" s="454"/>
      <c r="AN615" s="458"/>
      <c r="AY615" s="458"/>
      <c r="AZ615" s="458"/>
      <c r="BA615" s="1305"/>
      <c r="BC615" s="169"/>
    </row>
    <row r="616" spans="19:55" ht="15.75" customHeight="1">
      <c r="S616" s="454"/>
      <c r="AN616" s="458"/>
      <c r="AY616" s="458"/>
      <c r="AZ616" s="458"/>
      <c r="BA616" s="1305"/>
      <c r="BC616" s="169"/>
    </row>
    <row r="617" spans="19:55" ht="15.75" customHeight="1">
      <c r="S617" s="454"/>
      <c r="AN617" s="458"/>
      <c r="AY617" s="458"/>
      <c r="AZ617" s="458"/>
      <c r="BA617" s="1305"/>
      <c r="BC617" s="169"/>
    </row>
    <row r="618" spans="19:55" ht="15.75" customHeight="1">
      <c r="S618" s="454"/>
      <c r="AN618" s="458"/>
      <c r="AY618" s="458"/>
      <c r="AZ618" s="458"/>
      <c r="BA618" s="1305"/>
      <c r="BC618" s="169"/>
    </row>
    <row r="619" spans="19:55" ht="15.75" customHeight="1">
      <c r="S619" s="454"/>
      <c r="AN619" s="458"/>
      <c r="AY619" s="458"/>
      <c r="AZ619" s="458"/>
      <c r="BA619" s="1305"/>
      <c r="BC619" s="169"/>
    </row>
    <row r="620" spans="19:55" ht="15.75" customHeight="1">
      <c r="S620" s="454"/>
      <c r="AN620" s="458"/>
      <c r="AY620" s="458"/>
      <c r="AZ620" s="458"/>
      <c r="BA620" s="1305"/>
      <c r="BC620" s="169"/>
    </row>
    <row r="621" spans="19:55" ht="15.75" customHeight="1">
      <c r="S621" s="454"/>
      <c r="AN621" s="458"/>
      <c r="AY621" s="458"/>
      <c r="AZ621" s="458"/>
      <c r="BA621" s="1305"/>
      <c r="BC621" s="169"/>
    </row>
    <row r="622" spans="19:55" ht="15.75" customHeight="1">
      <c r="S622" s="454"/>
      <c r="AN622" s="458"/>
      <c r="AY622" s="458"/>
      <c r="AZ622" s="458"/>
      <c r="BA622" s="1305"/>
      <c r="BC622" s="169"/>
    </row>
    <row r="623" spans="19:55" ht="15.75" customHeight="1">
      <c r="S623" s="454"/>
      <c r="AN623" s="458"/>
      <c r="AY623" s="458"/>
      <c r="AZ623" s="458"/>
      <c r="BA623" s="1305"/>
      <c r="BC623" s="169"/>
    </row>
    <row r="624" spans="19:55" ht="15.75" customHeight="1">
      <c r="S624" s="454"/>
      <c r="AN624" s="458"/>
      <c r="AY624" s="458"/>
      <c r="AZ624" s="458"/>
      <c r="BA624" s="1305"/>
      <c r="BC624" s="169"/>
    </row>
    <row r="625" spans="19:55" ht="15.75" customHeight="1">
      <c r="S625" s="454"/>
      <c r="AN625" s="458"/>
      <c r="AY625" s="458"/>
      <c r="AZ625" s="458"/>
      <c r="BA625" s="1305"/>
      <c r="BC625" s="169"/>
    </row>
    <row r="626" spans="19:55" ht="15.75" customHeight="1">
      <c r="S626" s="454"/>
      <c r="AN626" s="458"/>
      <c r="AY626" s="458"/>
      <c r="AZ626" s="458"/>
      <c r="BA626" s="1305"/>
      <c r="BC626" s="169"/>
    </row>
    <row r="627" spans="19:55" ht="15.75" customHeight="1">
      <c r="S627" s="454"/>
      <c r="AN627" s="458"/>
      <c r="AY627" s="458"/>
      <c r="AZ627" s="458"/>
      <c r="BA627" s="1305"/>
      <c r="BC627" s="169"/>
    </row>
    <row r="628" spans="19:55" ht="15.75" customHeight="1">
      <c r="S628" s="454"/>
      <c r="AN628" s="458"/>
      <c r="AY628" s="458"/>
      <c r="AZ628" s="458"/>
      <c r="BA628" s="1305"/>
      <c r="BC628" s="169"/>
    </row>
    <row r="629" spans="19:55" ht="15.75" customHeight="1">
      <c r="S629" s="454"/>
      <c r="AN629" s="458"/>
      <c r="AY629" s="458"/>
      <c r="AZ629" s="458"/>
      <c r="BA629" s="1305"/>
      <c r="BC629" s="169"/>
    </row>
    <row r="630" spans="19:55" ht="15.75" customHeight="1">
      <c r="S630" s="454"/>
      <c r="AN630" s="458"/>
      <c r="AY630" s="458"/>
      <c r="AZ630" s="458"/>
      <c r="BA630" s="1305"/>
      <c r="BC630" s="169"/>
    </row>
    <row r="631" spans="19:55" ht="15.75" customHeight="1">
      <c r="S631" s="454"/>
      <c r="AN631" s="458"/>
      <c r="AY631" s="458"/>
      <c r="AZ631" s="458"/>
      <c r="BA631" s="1305"/>
      <c r="BC631" s="169"/>
    </row>
    <row r="632" spans="19:55" ht="15.75" customHeight="1">
      <c r="S632" s="454"/>
      <c r="AN632" s="458"/>
      <c r="AY632" s="458"/>
      <c r="AZ632" s="458"/>
      <c r="BA632" s="1305"/>
      <c r="BC632" s="169"/>
    </row>
    <row r="633" spans="19:55" ht="15.75" customHeight="1">
      <c r="S633" s="454"/>
      <c r="AN633" s="458"/>
      <c r="AY633" s="458"/>
      <c r="AZ633" s="458"/>
      <c r="BA633" s="1305"/>
      <c r="BC633" s="169"/>
    </row>
    <row r="634" spans="19:55" ht="15.75" customHeight="1">
      <c r="S634" s="454"/>
      <c r="AN634" s="458"/>
      <c r="AY634" s="458"/>
      <c r="AZ634" s="458"/>
      <c r="BA634" s="1305"/>
      <c r="BC634" s="169"/>
    </row>
    <row r="635" spans="19:55" ht="15.75" customHeight="1">
      <c r="S635" s="454"/>
      <c r="AN635" s="458"/>
      <c r="AY635" s="458"/>
      <c r="AZ635" s="458"/>
      <c r="BA635" s="1305"/>
      <c r="BC635" s="169"/>
    </row>
    <row r="636" spans="19:55" ht="15.75" customHeight="1">
      <c r="S636" s="454"/>
      <c r="AN636" s="458"/>
      <c r="AY636" s="458"/>
      <c r="AZ636" s="458"/>
      <c r="BA636" s="1305"/>
      <c r="BC636" s="169"/>
    </row>
    <row r="637" spans="19:55" ht="15.75" customHeight="1">
      <c r="S637" s="454"/>
      <c r="AN637" s="458"/>
      <c r="AY637" s="458"/>
      <c r="AZ637" s="458"/>
      <c r="BA637" s="1305"/>
      <c r="BC637" s="169"/>
    </row>
    <row r="638" spans="19:55" ht="15.75" customHeight="1">
      <c r="S638" s="454"/>
      <c r="AN638" s="458"/>
      <c r="AY638" s="458"/>
      <c r="AZ638" s="458"/>
      <c r="BA638" s="1305"/>
      <c r="BC638" s="169"/>
    </row>
    <row r="639" spans="19:55" ht="15.75" customHeight="1">
      <c r="S639" s="454"/>
      <c r="AN639" s="458"/>
      <c r="AY639" s="458"/>
      <c r="AZ639" s="458"/>
      <c r="BA639" s="1305"/>
      <c r="BC639" s="169"/>
    </row>
    <row r="640" spans="19:55" ht="15.75" customHeight="1">
      <c r="S640" s="454"/>
      <c r="AN640" s="458"/>
      <c r="AY640" s="458"/>
      <c r="AZ640" s="458"/>
      <c r="BA640" s="1305"/>
      <c r="BC640" s="169"/>
    </row>
    <row r="641" spans="19:55" ht="15.75" customHeight="1">
      <c r="S641" s="454"/>
      <c r="AN641" s="458"/>
      <c r="AY641" s="458"/>
      <c r="AZ641" s="458"/>
      <c r="BA641" s="1305"/>
      <c r="BC641" s="169"/>
    </row>
    <row r="642" spans="19:55" ht="15.75" customHeight="1">
      <c r="S642" s="454"/>
      <c r="AN642" s="458"/>
      <c r="AY642" s="458"/>
      <c r="AZ642" s="458"/>
      <c r="BA642" s="1305"/>
      <c r="BC642" s="169"/>
    </row>
    <row r="643" spans="19:55" ht="15.75" customHeight="1">
      <c r="S643" s="454"/>
      <c r="AN643" s="458"/>
      <c r="AY643" s="458"/>
      <c r="AZ643" s="458"/>
      <c r="BA643" s="1305"/>
      <c r="BC643" s="169"/>
    </row>
    <row r="644" spans="19:55" ht="15.75" customHeight="1">
      <c r="S644" s="454"/>
      <c r="AN644" s="458"/>
      <c r="AY644" s="458"/>
      <c r="AZ644" s="458"/>
      <c r="BA644" s="1305"/>
      <c r="BC644" s="169"/>
    </row>
    <row r="645" spans="19:55" ht="15.75" customHeight="1">
      <c r="S645" s="454"/>
      <c r="AN645" s="458"/>
      <c r="AY645" s="458"/>
      <c r="AZ645" s="458"/>
      <c r="BA645" s="1305"/>
      <c r="BC645" s="169"/>
    </row>
    <row r="646" spans="19:55" ht="15.75" customHeight="1">
      <c r="S646" s="454"/>
      <c r="AN646" s="458"/>
      <c r="AY646" s="458"/>
      <c r="AZ646" s="458"/>
      <c r="BA646" s="1305"/>
      <c r="BC646" s="169"/>
    </row>
    <row r="647" spans="19:55" ht="15.75" customHeight="1">
      <c r="S647" s="454"/>
      <c r="AN647" s="458"/>
      <c r="AY647" s="458"/>
      <c r="AZ647" s="458"/>
      <c r="BA647" s="1305"/>
      <c r="BC647" s="169"/>
    </row>
    <row r="648" spans="19:55" ht="15.75" customHeight="1">
      <c r="S648" s="454"/>
      <c r="AN648" s="458"/>
      <c r="AY648" s="458"/>
      <c r="AZ648" s="458"/>
      <c r="BA648" s="1305"/>
      <c r="BC648" s="169"/>
    </row>
    <row r="649" spans="19:55" ht="15.75" customHeight="1">
      <c r="S649" s="454"/>
      <c r="AN649" s="458"/>
      <c r="AY649" s="458"/>
      <c r="AZ649" s="458"/>
      <c r="BA649" s="1305"/>
      <c r="BC649" s="169"/>
    </row>
    <row r="650" spans="19:55" ht="15.75" customHeight="1">
      <c r="S650" s="454"/>
      <c r="AN650" s="458"/>
      <c r="AY650" s="458"/>
      <c r="AZ650" s="458"/>
      <c r="BA650" s="1305"/>
      <c r="BC650" s="169"/>
    </row>
    <row r="651" spans="19:55" ht="15.75" customHeight="1">
      <c r="S651" s="454"/>
      <c r="AN651" s="458"/>
      <c r="AY651" s="458"/>
      <c r="AZ651" s="458"/>
      <c r="BA651" s="1305"/>
      <c r="BC651" s="169"/>
    </row>
    <row r="652" spans="19:55" ht="15.75" customHeight="1">
      <c r="S652" s="454"/>
      <c r="AN652" s="458"/>
      <c r="AY652" s="458"/>
      <c r="AZ652" s="458"/>
      <c r="BA652" s="1305"/>
      <c r="BC652" s="169"/>
    </row>
    <row r="653" spans="19:55" ht="15.75" customHeight="1">
      <c r="S653" s="454"/>
      <c r="AN653" s="458"/>
      <c r="AY653" s="458"/>
      <c r="AZ653" s="458"/>
      <c r="BA653" s="1305"/>
      <c r="BC653" s="169"/>
    </row>
    <row r="654" spans="19:55" ht="15.75" customHeight="1">
      <c r="S654" s="454"/>
      <c r="AN654" s="458"/>
      <c r="AY654" s="458"/>
      <c r="AZ654" s="458"/>
      <c r="BA654" s="1305"/>
      <c r="BC654" s="169"/>
    </row>
    <row r="655" spans="19:55" ht="15.75" customHeight="1">
      <c r="S655" s="454"/>
      <c r="AN655" s="458"/>
      <c r="AY655" s="458"/>
      <c r="AZ655" s="458"/>
      <c r="BA655" s="1305"/>
      <c r="BC655" s="169"/>
    </row>
    <row r="656" spans="19:55" ht="15.75" customHeight="1">
      <c r="S656" s="454"/>
      <c r="AN656" s="458"/>
      <c r="AY656" s="458"/>
      <c r="AZ656" s="458"/>
      <c r="BA656" s="1305"/>
      <c r="BC656" s="169"/>
    </row>
    <row r="657" spans="19:55" ht="15.75" customHeight="1">
      <c r="S657" s="454"/>
      <c r="AN657" s="458"/>
      <c r="AY657" s="458"/>
      <c r="AZ657" s="458"/>
      <c r="BA657" s="1305"/>
      <c r="BC657" s="169"/>
    </row>
    <row r="658" spans="19:55" ht="15.75" customHeight="1">
      <c r="S658" s="454"/>
      <c r="AN658" s="458"/>
      <c r="AY658" s="458"/>
      <c r="AZ658" s="458"/>
      <c r="BA658" s="1305"/>
      <c r="BC658" s="169"/>
    </row>
    <row r="659" spans="19:55" ht="15.75" customHeight="1">
      <c r="S659" s="454"/>
      <c r="AN659" s="458"/>
      <c r="AY659" s="458"/>
      <c r="AZ659" s="458"/>
      <c r="BA659" s="1305"/>
      <c r="BC659" s="169"/>
    </row>
    <row r="660" spans="19:55" ht="15.75" customHeight="1">
      <c r="S660" s="454"/>
      <c r="AN660" s="458"/>
      <c r="AY660" s="458"/>
      <c r="AZ660" s="458"/>
      <c r="BA660" s="1305"/>
      <c r="BC660" s="169"/>
    </row>
    <row r="661" spans="19:55" ht="15.75" customHeight="1">
      <c r="S661" s="454"/>
      <c r="AN661" s="458"/>
      <c r="AY661" s="458"/>
      <c r="AZ661" s="458"/>
      <c r="BA661" s="1305"/>
      <c r="BC661" s="169"/>
    </row>
    <row r="662" spans="19:55" ht="15.75" customHeight="1">
      <c r="S662" s="454"/>
      <c r="AN662" s="458"/>
      <c r="AY662" s="458"/>
      <c r="AZ662" s="458"/>
      <c r="BA662" s="1305"/>
      <c r="BC662" s="169"/>
    </row>
    <row r="663" spans="19:55" ht="15.75" customHeight="1">
      <c r="S663" s="454"/>
      <c r="AN663" s="458"/>
      <c r="AY663" s="458"/>
      <c r="AZ663" s="458"/>
      <c r="BA663" s="1305"/>
      <c r="BC663" s="169"/>
    </row>
    <row r="664" spans="19:55" ht="15.75" customHeight="1">
      <c r="S664" s="454"/>
      <c r="AN664" s="458"/>
      <c r="AY664" s="458"/>
      <c r="AZ664" s="458"/>
      <c r="BA664" s="1305"/>
      <c r="BC664" s="169"/>
    </row>
    <row r="665" spans="19:55" ht="15.75" customHeight="1">
      <c r="S665" s="454"/>
      <c r="AN665" s="458"/>
      <c r="AY665" s="458"/>
      <c r="AZ665" s="458"/>
      <c r="BA665" s="1305"/>
      <c r="BC665" s="169"/>
    </row>
    <row r="666" spans="19:55" ht="15.75" customHeight="1">
      <c r="S666" s="454"/>
      <c r="AN666" s="458"/>
      <c r="AY666" s="458"/>
      <c r="AZ666" s="458"/>
      <c r="BA666" s="1305"/>
      <c r="BC666" s="169"/>
    </row>
    <row r="667" spans="19:55" ht="15.75" customHeight="1">
      <c r="S667" s="454"/>
      <c r="AN667" s="458"/>
      <c r="AY667" s="458"/>
      <c r="AZ667" s="458"/>
      <c r="BA667" s="1305"/>
      <c r="BC667" s="169"/>
    </row>
    <row r="668" spans="19:55" ht="15.75" customHeight="1">
      <c r="S668" s="454"/>
      <c r="AN668" s="458"/>
      <c r="AY668" s="458"/>
      <c r="AZ668" s="458"/>
      <c r="BA668" s="1305"/>
      <c r="BC668" s="169"/>
    </row>
    <row r="669" spans="19:55" ht="15.75" customHeight="1">
      <c r="S669" s="454"/>
      <c r="AN669" s="458"/>
      <c r="AY669" s="458"/>
      <c r="AZ669" s="458"/>
      <c r="BA669" s="1305"/>
      <c r="BC669" s="169"/>
    </row>
    <row r="670" spans="19:55" ht="15.75" customHeight="1">
      <c r="S670" s="454"/>
      <c r="AN670" s="458"/>
      <c r="AY670" s="458"/>
      <c r="AZ670" s="458"/>
      <c r="BA670" s="1305"/>
      <c r="BC670" s="169"/>
    </row>
    <row r="671" spans="19:55" ht="15.75" customHeight="1">
      <c r="S671" s="454"/>
      <c r="AN671" s="458"/>
      <c r="AY671" s="458"/>
      <c r="AZ671" s="458"/>
      <c r="BA671" s="1305"/>
      <c r="BC671" s="169"/>
    </row>
    <row r="672" spans="19:55" ht="15.75" customHeight="1">
      <c r="S672" s="454"/>
      <c r="AN672" s="458"/>
      <c r="AY672" s="458"/>
      <c r="AZ672" s="458"/>
      <c r="BA672" s="1305"/>
      <c r="BC672" s="169"/>
    </row>
    <row r="673" spans="19:55" ht="15.75" customHeight="1">
      <c r="S673" s="454"/>
      <c r="AN673" s="458"/>
      <c r="AY673" s="458"/>
      <c r="AZ673" s="458"/>
      <c r="BA673" s="1305"/>
      <c r="BC673" s="169"/>
    </row>
    <row r="674" spans="19:55" ht="15.75" customHeight="1">
      <c r="S674" s="454"/>
      <c r="AN674" s="458"/>
      <c r="AY674" s="458"/>
      <c r="AZ674" s="458"/>
      <c r="BA674" s="1305"/>
      <c r="BC674" s="169"/>
    </row>
    <row r="675" spans="19:55" ht="15.75" customHeight="1">
      <c r="S675" s="454"/>
      <c r="AN675" s="458"/>
      <c r="AY675" s="458"/>
      <c r="AZ675" s="458"/>
      <c r="BA675" s="1305"/>
      <c r="BC675" s="169"/>
    </row>
    <row r="676" spans="19:55" ht="15.75" customHeight="1">
      <c r="S676" s="454"/>
      <c r="AN676" s="458"/>
      <c r="AY676" s="458"/>
      <c r="AZ676" s="458"/>
      <c r="BA676" s="1305"/>
      <c r="BC676" s="169"/>
    </row>
    <row r="677" spans="19:55" ht="15.75" customHeight="1">
      <c r="S677" s="454"/>
      <c r="AN677" s="458"/>
      <c r="AY677" s="458"/>
      <c r="AZ677" s="458"/>
      <c r="BA677" s="1305"/>
      <c r="BC677" s="169"/>
    </row>
    <row r="678" spans="19:55" ht="15.75" customHeight="1">
      <c r="S678" s="454"/>
      <c r="AN678" s="458"/>
      <c r="AY678" s="458"/>
      <c r="AZ678" s="458"/>
      <c r="BA678" s="1305"/>
      <c r="BC678" s="169"/>
    </row>
    <row r="679" spans="19:55" ht="15.75" customHeight="1">
      <c r="S679" s="454"/>
      <c r="AN679" s="458"/>
      <c r="AY679" s="458"/>
      <c r="AZ679" s="458"/>
      <c r="BA679" s="1305"/>
      <c r="BC679" s="169"/>
    </row>
    <row r="680" spans="19:55" ht="15.75" customHeight="1">
      <c r="S680" s="454"/>
      <c r="AN680" s="458"/>
      <c r="AY680" s="458"/>
      <c r="AZ680" s="458"/>
      <c r="BA680" s="1305"/>
      <c r="BC680" s="169"/>
    </row>
    <row r="681" spans="19:55" ht="15.75" customHeight="1">
      <c r="S681" s="454"/>
      <c r="AN681" s="458"/>
      <c r="AY681" s="458"/>
      <c r="AZ681" s="458"/>
      <c r="BA681" s="1305"/>
      <c r="BC681" s="169"/>
    </row>
    <row r="682" spans="19:55" ht="15.75" customHeight="1">
      <c r="S682" s="454"/>
      <c r="AN682" s="458"/>
      <c r="AY682" s="458"/>
      <c r="AZ682" s="458"/>
      <c r="BA682" s="1305"/>
      <c r="BC682" s="169"/>
    </row>
    <row r="683" spans="19:55" ht="15.75" customHeight="1">
      <c r="S683" s="454"/>
      <c r="AN683" s="458"/>
      <c r="AY683" s="458"/>
      <c r="AZ683" s="458"/>
      <c r="BA683" s="1305"/>
      <c r="BC683" s="169"/>
    </row>
    <row r="684" spans="19:55" ht="15.75" customHeight="1">
      <c r="S684" s="454"/>
      <c r="AN684" s="458"/>
      <c r="AY684" s="458"/>
      <c r="AZ684" s="458"/>
      <c r="BA684" s="1305"/>
      <c r="BC684" s="169"/>
    </row>
    <row r="685" spans="19:55" ht="15.75" customHeight="1">
      <c r="S685" s="454"/>
      <c r="AN685" s="458"/>
      <c r="AY685" s="458"/>
      <c r="AZ685" s="458"/>
      <c r="BA685" s="1305"/>
      <c r="BC685" s="169"/>
    </row>
    <row r="686" spans="19:55" ht="15.75" customHeight="1">
      <c r="S686" s="454"/>
      <c r="AN686" s="458"/>
      <c r="AY686" s="458"/>
      <c r="AZ686" s="458"/>
      <c r="BA686" s="1305"/>
      <c r="BC686" s="169"/>
    </row>
    <row r="687" spans="19:55" ht="15.75" customHeight="1">
      <c r="S687" s="454"/>
      <c r="AN687" s="458"/>
      <c r="AY687" s="458"/>
      <c r="AZ687" s="458"/>
      <c r="BA687" s="1305"/>
      <c r="BC687" s="169"/>
    </row>
    <row r="688" spans="19:55" ht="15.75" customHeight="1">
      <c r="S688" s="454"/>
      <c r="AN688" s="458"/>
      <c r="AY688" s="458"/>
      <c r="AZ688" s="458"/>
      <c r="BA688" s="1305"/>
      <c r="BC688" s="169"/>
    </row>
    <row r="689" spans="19:55" ht="15.75" customHeight="1">
      <c r="S689" s="454"/>
      <c r="AN689" s="458"/>
      <c r="AY689" s="458"/>
      <c r="AZ689" s="458"/>
      <c r="BA689" s="1305"/>
      <c r="BC689" s="169"/>
    </row>
    <row r="690" spans="19:55" ht="15.75" customHeight="1">
      <c r="S690" s="454"/>
      <c r="AN690" s="458"/>
      <c r="AY690" s="458"/>
      <c r="AZ690" s="458"/>
      <c r="BA690" s="1305"/>
      <c r="BC690" s="169"/>
    </row>
    <row r="691" spans="19:55" ht="15.75" customHeight="1">
      <c r="S691" s="454"/>
      <c r="AN691" s="458"/>
      <c r="AY691" s="458"/>
      <c r="AZ691" s="458"/>
      <c r="BA691" s="1305"/>
      <c r="BC691" s="169"/>
    </row>
    <row r="692" spans="19:55" ht="15.75" customHeight="1">
      <c r="S692" s="454"/>
      <c r="AN692" s="458"/>
      <c r="AY692" s="458"/>
      <c r="AZ692" s="458"/>
      <c r="BA692" s="1305"/>
      <c r="BC692" s="169"/>
    </row>
    <row r="693" spans="19:55" ht="15.75" customHeight="1">
      <c r="S693" s="454"/>
      <c r="AN693" s="458"/>
      <c r="AY693" s="458"/>
      <c r="AZ693" s="458"/>
      <c r="BA693" s="1305"/>
      <c r="BC693" s="169"/>
    </row>
    <row r="694" spans="19:55" ht="15.75" customHeight="1">
      <c r="S694" s="454"/>
      <c r="AN694" s="458"/>
      <c r="AY694" s="458"/>
      <c r="AZ694" s="458"/>
      <c r="BA694" s="1305"/>
      <c r="BC694" s="169"/>
    </row>
    <row r="695" spans="19:55" ht="15.75" customHeight="1">
      <c r="S695" s="454"/>
      <c r="AN695" s="458"/>
      <c r="AY695" s="458"/>
      <c r="AZ695" s="458"/>
      <c r="BA695" s="1305"/>
      <c r="BC695" s="169"/>
    </row>
    <row r="696" spans="19:55" ht="15.75" customHeight="1">
      <c r="S696" s="454"/>
      <c r="AN696" s="458"/>
      <c r="AY696" s="458"/>
      <c r="AZ696" s="458"/>
      <c r="BA696" s="1305"/>
      <c r="BC696" s="169"/>
    </row>
    <row r="697" spans="19:55" ht="15.75" customHeight="1">
      <c r="S697" s="454"/>
      <c r="AN697" s="458"/>
      <c r="AY697" s="458"/>
      <c r="AZ697" s="458"/>
      <c r="BA697" s="1305"/>
      <c r="BC697" s="169"/>
    </row>
    <row r="698" spans="19:55" ht="15.75" customHeight="1">
      <c r="S698" s="454"/>
      <c r="AN698" s="458"/>
      <c r="AY698" s="458"/>
      <c r="AZ698" s="458"/>
      <c r="BA698" s="1305"/>
      <c r="BC698" s="169"/>
    </row>
    <row r="699" spans="19:55" ht="15.75" customHeight="1">
      <c r="S699" s="454"/>
      <c r="AN699" s="458"/>
      <c r="AY699" s="458"/>
      <c r="AZ699" s="458"/>
      <c r="BA699" s="1305"/>
      <c r="BC699" s="169"/>
    </row>
    <row r="700" spans="19:55" ht="15.75" customHeight="1">
      <c r="S700" s="454"/>
      <c r="AN700" s="458"/>
      <c r="AY700" s="458"/>
      <c r="AZ700" s="458"/>
      <c r="BA700" s="1305"/>
      <c r="BC700" s="169"/>
    </row>
    <row r="701" spans="19:55" ht="15.75" customHeight="1">
      <c r="S701" s="454"/>
      <c r="AN701" s="458"/>
      <c r="AY701" s="458"/>
      <c r="AZ701" s="458"/>
      <c r="BA701" s="1305"/>
      <c r="BC701" s="169"/>
    </row>
    <row r="702" spans="19:55" ht="15.75" customHeight="1">
      <c r="S702" s="454"/>
      <c r="AN702" s="458"/>
      <c r="AY702" s="458"/>
      <c r="AZ702" s="458"/>
      <c r="BA702" s="1305"/>
      <c r="BC702" s="169"/>
    </row>
    <row r="703" spans="19:55" ht="15.75" customHeight="1">
      <c r="S703" s="454"/>
      <c r="AN703" s="458"/>
      <c r="AY703" s="458"/>
      <c r="AZ703" s="458"/>
      <c r="BA703" s="1305"/>
      <c r="BC703" s="169"/>
    </row>
    <row r="704" spans="19:55" ht="15.75" customHeight="1">
      <c r="S704" s="454"/>
      <c r="AN704" s="458"/>
      <c r="AY704" s="458"/>
      <c r="AZ704" s="458"/>
      <c r="BA704" s="1305"/>
      <c r="BC704" s="169"/>
    </row>
    <row r="705" spans="19:55" ht="15.75" customHeight="1">
      <c r="S705" s="454"/>
      <c r="AN705" s="458"/>
      <c r="AY705" s="458"/>
      <c r="AZ705" s="458"/>
      <c r="BA705" s="1305"/>
      <c r="BC705" s="169"/>
    </row>
    <row r="706" spans="19:55" ht="15.75" customHeight="1">
      <c r="S706" s="454"/>
      <c r="AN706" s="458"/>
      <c r="AY706" s="458"/>
      <c r="AZ706" s="458"/>
      <c r="BA706" s="1305"/>
      <c r="BC706" s="169"/>
    </row>
    <row r="707" spans="19:55" ht="15.75" customHeight="1">
      <c r="S707" s="454"/>
      <c r="AN707" s="458"/>
      <c r="AY707" s="458"/>
      <c r="AZ707" s="458"/>
      <c r="BA707" s="1305"/>
      <c r="BC707" s="169"/>
    </row>
    <row r="708" spans="19:55" ht="15.75" customHeight="1">
      <c r="S708" s="454"/>
      <c r="AN708" s="458"/>
      <c r="AY708" s="458"/>
      <c r="AZ708" s="458"/>
      <c r="BA708" s="1305"/>
      <c r="BC708" s="169"/>
    </row>
    <row r="709" spans="19:55" ht="15.75" customHeight="1">
      <c r="S709" s="454"/>
      <c r="AN709" s="458"/>
      <c r="AY709" s="458"/>
      <c r="AZ709" s="458"/>
      <c r="BA709" s="1305"/>
      <c r="BC709" s="169"/>
    </row>
    <row r="710" spans="19:55" ht="15.75" customHeight="1">
      <c r="S710" s="454"/>
      <c r="AN710" s="458"/>
      <c r="AY710" s="458"/>
      <c r="AZ710" s="458"/>
      <c r="BA710" s="1305"/>
      <c r="BC710" s="169"/>
    </row>
    <row r="711" spans="19:55" ht="15.75" customHeight="1">
      <c r="S711" s="454"/>
      <c r="AN711" s="458"/>
      <c r="AY711" s="458"/>
      <c r="AZ711" s="458"/>
      <c r="BA711" s="1305"/>
      <c r="BC711" s="169"/>
    </row>
    <row r="712" spans="19:55" ht="15.75" customHeight="1">
      <c r="S712" s="454"/>
      <c r="AN712" s="458"/>
      <c r="AY712" s="458"/>
      <c r="AZ712" s="458"/>
      <c r="BA712" s="1305"/>
      <c r="BC712" s="169"/>
    </row>
    <row r="713" spans="19:55" ht="15.75" customHeight="1">
      <c r="S713" s="454"/>
      <c r="AN713" s="458"/>
      <c r="AY713" s="458"/>
      <c r="AZ713" s="458"/>
      <c r="BA713" s="1305"/>
      <c r="BC713" s="169"/>
    </row>
    <row r="714" spans="19:55" ht="15.75" customHeight="1">
      <c r="S714" s="454"/>
      <c r="AN714" s="458"/>
      <c r="AY714" s="458"/>
      <c r="AZ714" s="458"/>
      <c r="BA714" s="1305"/>
      <c r="BC714" s="169"/>
    </row>
    <row r="715" spans="19:55" ht="15.75" customHeight="1">
      <c r="S715" s="454"/>
      <c r="AN715" s="458"/>
      <c r="AY715" s="458"/>
      <c r="AZ715" s="458"/>
      <c r="BA715" s="1305"/>
      <c r="BC715" s="169"/>
    </row>
    <row r="716" spans="19:55" ht="15.75" customHeight="1">
      <c r="S716" s="454"/>
      <c r="AN716" s="458"/>
      <c r="AY716" s="458"/>
      <c r="AZ716" s="458"/>
      <c r="BA716" s="1305"/>
      <c r="BC716" s="169"/>
    </row>
    <row r="717" spans="19:55" ht="15.75" customHeight="1">
      <c r="S717" s="454"/>
      <c r="AN717" s="458"/>
      <c r="AY717" s="458"/>
      <c r="AZ717" s="458"/>
      <c r="BA717" s="1305"/>
      <c r="BC717" s="169"/>
    </row>
    <row r="718" spans="19:55" ht="15.75" customHeight="1">
      <c r="S718" s="454"/>
      <c r="AN718" s="458"/>
      <c r="AY718" s="458"/>
      <c r="AZ718" s="458"/>
      <c r="BA718" s="1305"/>
      <c r="BC718" s="169"/>
    </row>
    <row r="719" spans="19:55" ht="15.75" customHeight="1">
      <c r="S719" s="454"/>
      <c r="AN719" s="458"/>
      <c r="AY719" s="458"/>
      <c r="AZ719" s="458"/>
      <c r="BA719" s="1305"/>
      <c r="BC719" s="169"/>
    </row>
    <row r="720" spans="19:55" ht="15.75" customHeight="1">
      <c r="S720" s="454"/>
      <c r="AN720" s="458"/>
      <c r="AY720" s="458"/>
      <c r="AZ720" s="458"/>
      <c r="BA720" s="1305"/>
      <c r="BC720" s="169"/>
    </row>
    <row r="721" spans="19:55" ht="15.75" customHeight="1">
      <c r="S721" s="454"/>
      <c r="AN721" s="458"/>
      <c r="AY721" s="458"/>
      <c r="AZ721" s="458"/>
      <c r="BA721" s="1305"/>
      <c r="BC721" s="169"/>
    </row>
    <row r="722" spans="19:55" ht="15.75" customHeight="1">
      <c r="S722" s="454"/>
      <c r="AN722" s="458"/>
      <c r="AY722" s="458"/>
      <c r="AZ722" s="458"/>
      <c r="BA722" s="1305"/>
      <c r="BC722" s="169"/>
    </row>
    <row r="723" spans="19:55" ht="15.75" customHeight="1">
      <c r="S723" s="454"/>
      <c r="AN723" s="458"/>
      <c r="AY723" s="458"/>
      <c r="AZ723" s="458"/>
      <c r="BA723" s="1305"/>
      <c r="BC723" s="169"/>
    </row>
    <row r="724" spans="19:55" ht="15.75" customHeight="1">
      <c r="S724" s="454"/>
      <c r="AN724" s="458"/>
      <c r="AY724" s="458"/>
      <c r="AZ724" s="458"/>
      <c r="BA724" s="1305"/>
      <c r="BC724" s="169"/>
    </row>
    <row r="725" spans="19:55" ht="15.75" customHeight="1">
      <c r="S725" s="454"/>
      <c r="AN725" s="458"/>
      <c r="AY725" s="458"/>
      <c r="AZ725" s="458"/>
      <c r="BA725" s="1305"/>
      <c r="BC725" s="169"/>
    </row>
    <row r="726" spans="19:55" ht="15.75" customHeight="1">
      <c r="S726" s="454"/>
      <c r="AN726" s="458"/>
      <c r="AY726" s="458"/>
      <c r="AZ726" s="458"/>
      <c r="BA726" s="1305"/>
      <c r="BC726" s="169"/>
    </row>
    <row r="727" spans="19:55" ht="15.75" customHeight="1">
      <c r="S727" s="454"/>
      <c r="AN727" s="458"/>
      <c r="AY727" s="458"/>
      <c r="AZ727" s="458"/>
      <c r="BA727" s="1305"/>
      <c r="BC727" s="169"/>
    </row>
    <row r="728" spans="19:55" ht="15.75" customHeight="1">
      <c r="S728" s="454"/>
      <c r="AN728" s="458"/>
      <c r="AY728" s="458"/>
      <c r="AZ728" s="458"/>
      <c r="BA728" s="1305"/>
      <c r="BC728" s="169"/>
    </row>
    <row r="729" spans="19:55" ht="15.75" customHeight="1">
      <c r="S729" s="454"/>
      <c r="AN729" s="458"/>
      <c r="AY729" s="458"/>
      <c r="AZ729" s="458"/>
      <c r="BA729" s="1305"/>
      <c r="BC729" s="169"/>
    </row>
    <row r="730" spans="19:55" ht="15.75" customHeight="1">
      <c r="S730" s="454"/>
      <c r="AN730" s="458"/>
      <c r="AY730" s="458"/>
      <c r="AZ730" s="458"/>
      <c r="BA730" s="1305"/>
      <c r="BC730" s="169"/>
    </row>
    <row r="731" spans="19:55" ht="15.75" customHeight="1">
      <c r="S731" s="454"/>
      <c r="AN731" s="458"/>
      <c r="AY731" s="458"/>
      <c r="AZ731" s="458"/>
      <c r="BA731" s="1305"/>
      <c r="BC731" s="169"/>
    </row>
    <row r="732" spans="19:55" ht="15.75" customHeight="1">
      <c r="S732" s="454"/>
      <c r="AN732" s="458"/>
      <c r="AY732" s="458"/>
      <c r="AZ732" s="458"/>
      <c r="BA732" s="1305"/>
      <c r="BC732" s="169"/>
    </row>
    <row r="733" spans="19:55" ht="15.75" customHeight="1">
      <c r="S733" s="454"/>
      <c r="AN733" s="458"/>
      <c r="AY733" s="458"/>
      <c r="AZ733" s="458"/>
      <c r="BA733" s="1305"/>
      <c r="BC733" s="169"/>
    </row>
    <row r="734" spans="19:55" ht="15.75" customHeight="1">
      <c r="S734" s="454"/>
      <c r="AN734" s="458"/>
      <c r="AY734" s="458"/>
      <c r="AZ734" s="458"/>
      <c r="BA734" s="1305"/>
      <c r="BC734" s="169"/>
    </row>
    <row r="735" spans="19:55" ht="15.75" customHeight="1">
      <c r="S735" s="454"/>
      <c r="AN735" s="458"/>
      <c r="AY735" s="458"/>
      <c r="AZ735" s="458"/>
      <c r="BA735" s="1305"/>
      <c r="BC735" s="169"/>
    </row>
    <row r="736" spans="19:55" ht="15.75" customHeight="1">
      <c r="S736" s="454"/>
      <c r="AN736" s="458"/>
      <c r="AY736" s="458"/>
      <c r="AZ736" s="458"/>
      <c r="BA736" s="1305"/>
      <c r="BC736" s="169"/>
    </row>
    <row r="737" spans="19:55" ht="15.75" customHeight="1">
      <c r="S737" s="454"/>
      <c r="AN737" s="458"/>
      <c r="AY737" s="458"/>
      <c r="AZ737" s="458"/>
      <c r="BA737" s="1305"/>
      <c r="BC737" s="169"/>
    </row>
    <row r="738" spans="19:55" ht="15.75" customHeight="1">
      <c r="S738" s="454"/>
      <c r="AN738" s="458"/>
      <c r="AY738" s="458"/>
      <c r="AZ738" s="458"/>
      <c r="BA738" s="1305"/>
      <c r="BC738" s="169"/>
    </row>
    <row r="739" spans="19:55" ht="15.75" customHeight="1">
      <c r="S739" s="454"/>
      <c r="AN739" s="458"/>
      <c r="AY739" s="458"/>
      <c r="AZ739" s="458"/>
      <c r="BA739" s="1305"/>
      <c r="BC739" s="169"/>
    </row>
    <row r="740" spans="19:55" ht="15.75" customHeight="1">
      <c r="S740" s="454"/>
      <c r="AN740" s="458"/>
      <c r="AY740" s="458"/>
      <c r="AZ740" s="458"/>
      <c r="BA740" s="1305"/>
      <c r="BC740" s="169"/>
    </row>
    <row r="741" spans="19:55" ht="15.75" customHeight="1">
      <c r="S741" s="454"/>
      <c r="AN741" s="458"/>
      <c r="AY741" s="458"/>
      <c r="AZ741" s="458"/>
      <c r="BA741" s="1305"/>
      <c r="BC741" s="169"/>
    </row>
    <row r="742" spans="19:55" ht="15.75" customHeight="1">
      <c r="S742" s="454"/>
      <c r="AN742" s="458"/>
      <c r="AY742" s="458"/>
      <c r="AZ742" s="458"/>
      <c r="BA742" s="1305"/>
      <c r="BC742" s="169"/>
    </row>
    <row r="743" spans="19:55" ht="15.75" customHeight="1">
      <c r="S743" s="454"/>
      <c r="AN743" s="458"/>
      <c r="AY743" s="458"/>
      <c r="AZ743" s="458"/>
      <c r="BA743" s="1305"/>
      <c r="BC743" s="169"/>
    </row>
    <row r="744" spans="19:55" ht="15.75" customHeight="1">
      <c r="S744" s="454"/>
      <c r="AN744" s="458"/>
      <c r="AY744" s="458"/>
      <c r="AZ744" s="458"/>
      <c r="BA744" s="1305"/>
      <c r="BC744" s="169"/>
    </row>
    <row r="745" spans="19:55" ht="15.75" customHeight="1">
      <c r="S745" s="454"/>
      <c r="AN745" s="458"/>
      <c r="AY745" s="458"/>
      <c r="AZ745" s="458"/>
      <c r="BA745" s="1305"/>
      <c r="BC745" s="169"/>
    </row>
    <row r="746" spans="19:55" ht="15.75" customHeight="1">
      <c r="S746" s="454"/>
      <c r="AN746" s="458"/>
      <c r="AY746" s="458"/>
      <c r="AZ746" s="458"/>
      <c r="BA746" s="1305"/>
      <c r="BC746" s="169"/>
    </row>
    <row r="747" spans="19:55" ht="15.75" customHeight="1">
      <c r="S747" s="454"/>
      <c r="AN747" s="458"/>
      <c r="AY747" s="458"/>
      <c r="AZ747" s="458"/>
      <c r="BA747" s="1305"/>
      <c r="BC747" s="169"/>
    </row>
    <row r="748" spans="19:55" ht="15.75" customHeight="1">
      <c r="S748" s="454"/>
      <c r="AN748" s="458"/>
      <c r="AY748" s="458"/>
      <c r="AZ748" s="458"/>
      <c r="BA748" s="1305"/>
      <c r="BC748" s="169"/>
    </row>
    <row r="749" spans="19:55" ht="15.75" customHeight="1">
      <c r="S749" s="454"/>
      <c r="AN749" s="458"/>
      <c r="AY749" s="458"/>
      <c r="AZ749" s="458"/>
      <c r="BA749" s="1305"/>
      <c r="BC749" s="169"/>
    </row>
    <row r="750" spans="19:55" ht="15.75" customHeight="1">
      <c r="S750" s="454"/>
      <c r="AN750" s="458"/>
      <c r="AY750" s="458"/>
      <c r="AZ750" s="458"/>
      <c r="BA750" s="1305"/>
      <c r="BC750" s="169"/>
    </row>
    <row r="751" spans="19:55" ht="15.75" customHeight="1">
      <c r="S751" s="454"/>
      <c r="AN751" s="458"/>
      <c r="AY751" s="458"/>
      <c r="AZ751" s="458"/>
      <c r="BA751" s="1305"/>
      <c r="BC751" s="169"/>
    </row>
    <row r="752" spans="19:55" ht="15.75" customHeight="1">
      <c r="S752" s="454"/>
      <c r="AN752" s="458"/>
      <c r="AY752" s="458"/>
      <c r="AZ752" s="458"/>
      <c r="BA752" s="1305"/>
      <c r="BC752" s="169"/>
    </row>
    <row r="753" spans="19:55" ht="15.75" customHeight="1">
      <c r="S753" s="454"/>
      <c r="AN753" s="458"/>
      <c r="AY753" s="458"/>
      <c r="AZ753" s="458"/>
      <c r="BA753" s="1305"/>
      <c r="BC753" s="169"/>
    </row>
    <row r="754" spans="19:55" ht="15.75" customHeight="1">
      <c r="S754" s="454"/>
      <c r="AN754" s="458"/>
      <c r="AY754" s="458"/>
      <c r="AZ754" s="458"/>
      <c r="BA754" s="1305"/>
      <c r="BC754" s="169"/>
    </row>
    <row r="755" spans="19:55" ht="15.75" customHeight="1">
      <c r="S755" s="454"/>
      <c r="AN755" s="458"/>
      <c r="AY755" s="458"/>
      <c r="AZ755" s="458"/>
      <c r="BA755" s="1305"/>
      <c r="BC755" s="169"/>
    </row>
    <row r="756" spans="19:55" ht="15.75" customHeight="1">
      <c r="S756" s="454"/>
      <c r="AN756" s="458"/>
      <c r="AY756" s="458"/>
      <c r="AZ756" s="458"/>
      <c r="BA756" s="1305"/>
      <c r="BC756" s="169"/>
    </row>
    <row r="757" spans="19:55" ht="15.75" customHeight="1">
      <c r="S757" s="454"/>
      <c r="AN757" s="458"/>
      <c r="AY757" s="458"/>
      <c r="AZ757" s="458"/>
      <c r="BA757" s="1305"/>
      <c r="BC757" s="169"/>
    </row>
    <row r="758" spans="19:55" ht="15.75" customHeight="1">
      <c r="S758" s="454"/>
      <c r="AN758" s="458"/>
      <c r="AY758" s="458"/>
      <c r="AZ758" s="458"/>
      <c r="BA758" s="1305"/>
      <c r="BC758" s="169"/>
    </row>
    <row r="759" spans="19:55" ht="15.75" customHeight="1">
      <c r="S759" s="454"/>
      <c r="AN759" s="458"/>
      <c r="AY759" s="458"/>
      <c r="AZ759" s="458"/>
      <c r="BA759" s="1305"/>
      <c r="BC759" s="169"/>
    </row>
    <row r="760" spans="19:55" ht="15.75" customHeight="1">
      <c r="S760" s="454"/>
      <c r="AN760" s="458"/>
      <c r="AY760" s="458"/>
      <c r="AZ760" s="458"/>
      <c r="BA760" s="1305"/>
      <c r="BC760" s="169"/>
    </row>
    <row r="761" spans="19:55" ht="15.75" customHeight="1">
      <c r="S761" s="454"/>
      <c r="AN761" s="458"/>
      <c r="AY761" s="458"/>
      <c r="AZ761" s="458"/>
      <c r="BA761" s="1305"/>
      <c r="BC761" s="169"/>
    </row>
    <row r="762" spans="19:55" ht="15.75" customHeight="1">
      <c r="S762" s="454"/>
      <c r="AN762" s="458"/>
      <c r="AY762" s="458"/>
      <c r="AZ762" s="458"/>
      <c r="BA762" s="1305"/>
      <c r="BC762" s="169"/>
    </row>
    <row r="763" spans="19:55" ht="15.75" customHeight="1">
      <c r="S763" s="454"/>
      <c r="AN763" s="458"/>
      <c r="AY763" s="458"/>
      <c r="AZ763" s="458"/>
      <c r="BA763" s="1305"/>
      <c r="BC763" s="169"/>
    </row>
    <row r="764" spans="19:55" ht="15.75" customHeight="1">
      <c r="S764" s="454"/>
      <c r="AN764" s="458"/>
      <c r="AY764" s="458"/>
      <c r="AZ764" s="458"/>
      <c r="BA764" s="1305"/>
      <c r="BC764" s="169"/>
    </row>
    <row r="765" spans="19:55" ht="15.75" customHeight="1">
      <c r="S765" s="454"/>
      <c r="AN765" s="458"/>
      <c r="AY765" s="458"/>
      <c r="AZ765" s="458"/>
      <c r="BA765" s="1305"/>
      <c r="BC765" s="169"/>
    </row>
    <row r="766" spans="19:55" ht="15.75" customHeight="1">
      <c r="S766" s="454"/>
      <c r="AN766" s="458"/>
      <c r="AY766" s="458"/>
      <c r="AZ766" s="458"/>
      <c r="BA766" s="1305"/>
      <c r="BC766" s="169"/>
    </row>
    <row r="767" spans="19:55" ht="15.75" customHeight="1">
      <c r="S767" s="454"/>
      <c r="AN767" s="458"/>
      <c r="AY767" s="458"/>
      <c r="AZ767" s="458"/>
      <c r="BA767" s="1305"/>
      <c r="BC767" s="169"/>
    </row>
    <row r="768" spans="19:55" ht="15.75" customHeight="1">
      <c r="S768" s="454"/>
      <c r="AN768" s="458"/>
      <c r="AY768" s="458"/>
      <c r="AZ768" s="458"/>
      <c r="BA768" s="1305"/>
      <c r="BC768" s="169"/>
    </row>
    <row r="769" spans="19:55" ht="15.75" customHeight="1">
      <c r="S769" s="454"/>
      <c r="AN769" s="458"/>
      <c r="AY769" s="458"/>
      <c r="AZ769" s="458"/>
      <c r="BA769" s="1305"/>
      <c r="BC769" s="169"/>
    </row>
    <row r="770" spans="19:55" ht="15.75" customHeight="1">
      <c r="S770" s="454"/>
      <c r="AN770" s="458"/>
      <c r="AY770" s="458"/>
      <c r="AZ770" s="458"/>
      <c r="BA770" s="1305"/>
      <c r="BC770" s="169"/>
    </row>
    <row r="771" spans="19:55" ht="15.75" customHeight="1">
      <c r="S771" s="454"/>
      <c r="AN771" s="458"/>
      <c r="AY771" s="458"/>
      <c r="AZ771" s="458"/>
      <c r="BA771" s="1305"/>
      <c r="BC771" s="169"/>
    </row>
    <row r="772" spans="19:55" ht="15.75" customHeight="1">
      <c r="S772" s="454"/>
      <c r="AN772" s="458"/>
      <c r="AY772" s="458"/>
      <c r="AZ772" s="458"/>
      <c r="BA772" s="1305"/>
      <c r="BC772" s="169"/>
    </row>
    <row r="773" spans="19:55" ht="15.75" customHeight="1">
      <c r="S773" s="454"/>
      <c r="AN773" s="458"/>
      <c r="AY773" s="458"/>
      <c r="AZ773" s="458"/>
      <c r="BA773" s="1305"/>
      <c r="BC773" s="169"/>
    </row>
    <row r="774" spans="19:55" ht="15.75" customHeight="1">
      <c r="S774" s="454"/>
      <c r="AN774" s="458"/>
      <c r="AY774" s="458"/>
      <c r="AZ774" s="458"/>
      <c r="BA774" s="1305"/>
      <c r="BC774" s="169"/>
    </row>
    <row r="775" spans="19:55" ht="15.75" customHeight="1">
      <c r="S775" s="454"/>
      <c r="AN775" s="458"/>
      <c r="AY775" s="458"/>
      <c r="AZ775" s="458"/>
      <c r="BA775" s="1305"/>
      <c r="BC775" s="169"/>
    </row>
    <row r="776" spans="19:55" ht="15.75" customHeight="1">
      <c r="S776" s="454"/>
      <c r="AN776" s="458"/>
      <c r="AY776" s="458"/>
      <c r="AZ776" s="458"/>
      <c r="BA776" s="1305"/>
      <c r="BC776" s="169"/>
    </row>
    <row r="777" spans="19:55" ht="15.75" customHeight="1">
      <c r="S777" s="454"/>
      <c r="AN777" s="458"/>
      <c r="AY777" s="458"/>
      <c r="AZ777" s="458"/>
      <c r="BA777" s="1305"/>
      <c r="BC777" s="169"/>
    </row>
    <row r="778" spans="19:55" ht="15.75" customHeight="1">
      <c r="S778" s="454"/>
      <c r="AN778" s="458"/>
      <c r="AY778" s="458"/>
      <c r="AZ778" s="458"/>
      <c r="BA778" s="1305"/>
      <c r="BC778" s="169"/>
    </row>
    <row r="779" spans="19:55" ht="15.75" customHeight="1">
      <c r="S779" s="454"/>
      <c r="AN779" s="458"/>
      <c r="AY779" s="458"/>
      <c r="AZ779" s="458"/>
      <c r="BA779" s="1305"/>
      <c r="BC779" s="169"/>
    </row>
    <row r="780" spans="19:55" ht="15.75" customHeight="1">
      <c r="S780" s="454"/>
      <c r="AN780" s="458"/>
      <c r="AY780" s="458"/>
      <c r="AZ780" s="458"/>
      <c r="BA780" s="1305"/>
      <c r="BC780" s="169"/>
    </row>
    <row r="781" spans="19:55" ht="15.75" customHeight="1">
      <c r="S781" s="454"/>
      <c r="AN781" s="458"/>
      <c r="AY781" s="458"/>
      <c r="AZ781" s="458"/>
      <c r="BA781" s="1305"/>
      <c r="BC781" s="169"/>
    </row>
    <row r="782" spans="19:55" ht="15.75" customHeight="1">
      <c r="S782" s="454"/>
      <c r="AN782" s="458"/>
      <c r="AY782" s="458"/>
      <c r="AZ782" s="458"/>
      <c r="BA782" s="1305"/>
      <c r="BC782" s="169"/>
    </row>
    <row r="783" spans="19:55" ht="15.75" customHeight="1">
      <c r="S783" s="454"/>
      <c r="AN783" s="458"/>
      <c r="AY783" s="458"/>
      <c r="AZ783" s="458"/>
      <c r="BA783" s="1305"/>
      <c r="BC783" s="169"/>
    </row>
    <row r="784" spans="19:55" ht="15.75" customHeight="1">
      <c r="S784" s="454"/>
      <c r="AN784" s="458"/>
      <c r="AY784" s="458"/>
      <c r="AZ784" s="458"/>
      <c r="BA784" s="1305"/>
      <c r="BC784" s="169"/>
    </row>
    <row r="785" spans="19:55" ht="15.75" customHeight="1">
      <c r="S785" s="454"/>
      <c r="AN785" s="458"/>
      <c r="AY785" s="458"/>
      <c r="AZ785" s="458"/>
      <c r="BA785" s="1305"/>
      <c r="BC785" s="169"/>
    </row>
    <row r="786" spans="19:55" ht="15.75" customHeight="1">
      <c r="S786" s="454"/>
      <c r="AN786" s="458"/>
      <c r="AY786" s="458"/>
      <c r="AZ786" s="458"/>
      <c r="BA786" s="1305"/>
      <c r="BC786" s="169"/>
    </row>
    <row r="787" spans="19:55" ht="15.75" customHeight="1">
      <c r="S787" s="454"/>
      <c r="AN787" s="458"/>
      <c r="AY787" s="458"/>
      <c r="AZ787" s="458"/>
      <c r="BA787" s="1305"/>
      <c r="BC787" s="169"/>
    </row>
    <row r="788" spans="19:55" ht="15.75" customHeight="1">
      <c r="S788" s="454"/>
      <c r="AN788" s="458"/>
      <c r="AY788" s="458"/>
      <c r="AZ788" s="458"/>
      <c r="BA788" s="1305"/>
      <c r="BC788" s="169"/>
    </row>
    <row r="789" spans="19:55" ht="15.75" customHeight="1">
      <c r="S789" s="454"/>
      <c r="AN789" s="458"/>
      <c r="AY789" s="458"/>
      <c r="AZ789" s="458"/>
      <c r="BA789" s="1305"/>
      <c r="BC789" s="169"/>
    </row>
    <row r="790" spans="19:55" ht="15.75" customHeight="1">
      <c r="S790" s="454"/>
      <c r="AN790" s="458"/>
      <c r="AY790" s="458"/>
      <c r="AZ790" s="458"/>
      <c r="BA790" s="1305"/>
      <c r="BC790" s="169"/>
    </row>
    <row r="791" spans="19:55" ht="15.75" customHeight="1">
      <c r="S791" s="454"/>
      <c r="AN791" s="458"/>
      <c r="AY791" s="458"/>
      <c r="AZ791" s="458"/>
      <c r="BA791" s="1305"/>
      <c r="BC791" s="169"/>
    </row>
    <row r="792" spans="19:55" ht="15.75" customHeight="1">
      <c r="S792" s="454"/>
      <c r="AN792" s="458"/>
      <c r="AY792" s="458"/>
      <c r="AZ792" s="458"/>
      <c r="BA792" s="1305"/>
      <c r="BC792" s="169"/>
    </row>
    <row r="793" spans="19:55" ht="15.75" customHeight="1">
      <c r="S793" s="454"/>
      <c r="AN793" s="458"/>
      <c r="AY793" s="458"/>
      <c r="AZ793" s="458"/>
      <c r="BA793" s="1305"/>
      <c r="BC793" s="169"/>
    </row>
    <row r="794" spans="19:55" ht="15.75" customHeight="1">
      <c r="S794" s="454"/>
      <c r="AN794" s="458"/>
      <c r="AY794" s="458"/>
      <c r="AZ794" s="458"/>
      <c r="BA794" s="1305"/>
      <c r="BC794" s="169"/>
    </row>
    <row r="795" spans="19:55" ht="15.75" customHeight="1">
      <c r="S795" s="454"/>
      <c r="AN795" s="458"/>
      <c r="AY795" s="458"/>
      <c r="AZ795" s="458"/>
      <c r="BA795" s="1305"/>
      <c r="BC795" s="169"/>
    </row>
    <row r="796" spans="19:55" ht="15.75" customHeight="1">
      <c r="S796" s="454"/>
      <c r="AN796" s="458"/>
      <c r="AY796" s="458"/>
      <c r="AZ796" s="458"/>
      <c r="BA796" s="1305"/>
      <c r="BC796" s="169"/>
    </row>
    <row r="797" spans="19:55" ht="15.75" customHeight="1">
      <c r="S797" s="454"/>
      <c r="AN797" s="458"/>
      <c r="AY797" s="458"/>
      <c r="AZ797" s="458"/>
      <c r="BA797" s="1305"/>
      <c r="BC797" s="169"/>
    </row>
    <row r="798" spans="19:55" ht="15.75" customHeight="1">
      <c r="S798" s="454"/>
      <c r="AN798" s="458"/>
      <c r="AY798" s="458"/>
      <c r="AZ798" s="458"/>
      <c r="BA798" s="1305"/>
      <c r="BC798" s="169"/>
    </row>
    <row r="799" spans="19:55" ht="15.75" customHeight="1">
      <c r="S799" s="454"/>
      <c r="AN799" s="458"/>
      <c r="AY799" s="458"/>
      <c r="AZ799" s="458"/>
      <c r="BA799" s="1305"/>
      <c r="BC799" s="169"/>
    </row>
    <row r="800" spans="19:55" ht="15.75" customHeight="1">
      <c r="S800" s="454"/>
      <c r="AN800" s="458"/>
      <c r="AY800" s="458"/>
      <c r="AZ800" s="458"/>
      <c r="BA800" s="1305"/>
      <c r="BC800" s="169"/>
    </row>
    <row r="801" spans="19:55" ht="15.75" customHeight="1">
      <c r="S801" s="454"/>
      <c r="AN801" s="458"/>
      <c r="AY801" s="458"/>
      <c r="AZ801" s="458"/>
      <c r="BA801" s="1305"/>
      <c r="BC801" s="169"/>
    </row>
    <row r="802" spans="19:55" ht="15.75" customHeight="1">
      <c r="S802" s="454"/>
      <c r="AN802" s="458"/>
      <c r="AY802" s="458"/>
      <c r="AZ802" s="458"/>
      <c r="BA802" s="1305"/>
      <c r="BC802" s="169"/>
    </row>
    <row r="803" spans="19:55" ht="15.75" customHeight="1">
      <c r="S803" s="454"/>
      <c r="AN803" s="458"/>
      <c r="AY803" s="458"/>
      <c r="AZ803" s="458"/>
      <c r="BA803" s="1305"/>
      <c r="BC803" s="169"/>
    </row>
    <row r="804" spans="19:55" ht="15.75" customHeight="1">
      <c r="S804" s="454"/>
      <c r="AN804" s="458"/>
      <c r="AY804" s="458"/>
      <c r="AZ804" s="458"/>
      <c r="BA804" s="1305"/>
      <c r="BC804" s="169"/>
    </row>
    <row r="805" spans="19:55" ht="15.75" customHeight="1">
      <c r="S805" s="454"/>
      <c r="AN805" s="458"/>
      <c r="AY805" s="458"/>
      <c r="AZ805" s="458"/>
      <c r="BA805" s="1305"/>
      <c r="BC805" s="169"/>
    </row>
    <row r="806" spans="19:55" ht="15.75" customHeight="1">
      <c r="S806" s="454"/>
      <c r="AN806" s="458"/>
      <c r="AY806" s="458"/>
      <c r="AZ806" s="458"/>
      <c r="BA806" s="1305"/>
      <c r="BC806" s="169"/>
    </row>
    <row r="807" spans="19:55" ht="15.75" customHeight="1">
      <c r="S807" s="454"/>
      <c r="AN807" s="458"/>
      <c r="AY807" s="458"/>
      <c r="AZ807" s="458"/>
      <c r="BA807" s="1305"/>
      <c r="BC807" s="169"/>
    </row>
    <row r="808" spans="19:55" ht="15.75" customHeight="1">
      <c r="S808" s="454"/>
      <c r="AN808" s="458"/>
      <c r="AY808" s="458"/>
      <c r="AZ808" s="458"/>
      <c r="BA808" s="1305"/>
      <c r="BC808" s="169"/>
    </row>
    <row r="809" spans="19:55" ht="15.75" customHeight="1">
      <c r="S809" s="454"/>
      <c r="AN809" s="458"/>
      <c r="AY809" s="458"/>
      <c r="AZ809" s="458"/>
      <c r="BA809" s="1305"/>
      <c r="BC809" s="169"/>
    </row>
    <row r="810" spans="19:55" ht="15.75" customHeight="1">
      <c r="S810" s="454"/>
      <c r="AN810" s="458"/>
      <c r="AY810" s="458"/>
      <c r="AZ810" s="458"/>
      <c r="BA810" s="1305"/>
      <c r="BC810" s="169"/>
    </row>
    <row r="811" spans="19:55" ht="15.75" customHeight="1">
      <c r="S811" s="454"/>
      <c r="AN811" s="458"/>
      <c r="AY811" s="458"/>
      <c r="AZ811" s="458"/>
      <c r="BA811" s="1305"/>
      <c r="BC811" s="169"/>
    </row>
    <row r="812" spans="19:55" ht="15.75" customHeight="1">
      <c r="S812" s="454"/>
      <c r="AN812" s="458"/>
      <c r="AY812" s="458"/>
      <c r="AZ812" s="458"/>
      <c r="BA812" s="1305"/>
      <c r="BC812" s="169"/>
    </row>
    <row r="813" spans="19:55" ht="15.75" customHeight="1">
      <c r="S813" s="454"/>
      <c r="AN813" s="458"/>
      <c r="AY813" s="458"/>
      <c r="AZ813" s="458"/>
      <c r="BA813" s="1305"/>
      <c r="BC813" s="169"/>
    </row>
    <row r="814" spans="19:55" ht="15.75" customHeight="1">
      <c r="S814" s="454"/>
      <c r="AN814" s="458"/>
      <c r="AY814" s="458"/>
      <c r="AZ814" s="458"/>
      <c r="BA814" s="1305"/>
      <c r="BC814" s="169"/>
    </row>
    <row r="815" spans="19:55" ht="15.75" customHeight="1">
      <c r="S815" s="454"/>
      <c r="AN815" s="458"/>
      <c r="AY815" s="458"/>
      <c r="AZ815" s="458"/>
      <c r="BA815" s="1305"/>
      <c r="BC815" s="169"/>
    </row>
    <row r="816" spans="19:55" ht="15.75" customHeight="1">
      <c r="S816" s="454"/>
      <c r="AN816" s="458"/>
      <c r="AY816" s="458"/>
      <c r="AZ816" s="458"/>
      <c r="BA816" s="1305"/>
      <c r="BC816" s="169"/>
    </row>
    <row r="817" spans="19:55" ht="15.75" customHeight="1">
      <c r="S817" s="454"/>
      <c r="AN817" s="458"/>
      <c r="AY817" s="458"/>
      <c r="AZ817" s="458"/>
      <c r="BA817" s="1305"/>
      <c r="BC817" s="169"/>
    </row>
    <row r="818" spans="19:55" ht="15.75" customHeight="1">
      <c r="S818" s="454"/>
      <c r="AN818" s="458"/>
      <c r="AY818" s="458"/>
      <c r="AZ818" s="458"/>
      <c r="BA818" s="1305"/>
      <c r="BC818" s="169"/>
    </row>
    <row r="819" spans="19:55" ht="15.75" customHeight="1">
      <c r="S819" s="454"/>
      <c r="AN819" s="458"/>
      <c r="AY819" s="458"/>
      <c r="AZ819" s="458"/>
      <c r="BA819" s="1305"/>
      <c r="BC819" s="169"/>
    </row>
    <row r="820" spans="19:55" ht="15.75" customHeight="1">
      <c r="S820" s="454"/>
      <c r="AN820" s="458"/>
      <c r="AY820" s="458"/>
      <c r="AZ820" s="458"/>
      <c r="BA820" s="1305"/>
      <c r="BC820" s="169"/>
    </row>
    <row r="821" spans="19:55" ht="15.75" customHeight="1">
      <c r="S821" s="454"/>
      <c r="AN821" s="458"/>
      <c r="AY821" s="458"/>
      <c r="AZ821" s="458"/>
      <c r="BA821" s="1305"/>
      <c r="BC821" s="169"/>
    </row>
    <row r="822" spans="19:55" ht="15.75" customHeight="1">
      <c r="S822" s="454"/>
      <c r="AN822" s="458"/>
      <c r="AY822" s="458"/>
      <c r="AZ822" s="458"/>
      <c r="BA822" s="1305"/>
      <c r="BC822" s="169"/>
    </row>
    <row r="823" spans="19:55" ht="15.75" customHeight="1">
      <c r="S823" s="454"/>
      <c r="AN823" s="458"/>
      <c r="AY823" s="458"/>
      <c r="AZ823" s="458"/>
      <c r="BA823" s="1305"/>
      <c r="BC823" s="169"/>
    </row>
    <row r="824" spans="19:55" ht="15.75" customHeight="1">
      <c r="S824" s="454"/>
      <c r="AN824" s="458"/>
      <c r="AY824" s="458"/>
      <c r="AZ824" s="458"/>
      <c r="BA824" s="1305"/>
      <c r="BC824" s="169"/>
    </row>
    <row r="825" spans="19:55" ht="15.75" customHeight="1">
      <c r="S825" s="454"/>
      <c r="AN825" s="458"/>
      <c r="AY825" s="458"/>
      <c r="AZ825" s="458"/>
      <c r="BA825" s="1305"/>
      <c r="BC825" s="169"/>
    </row>
    <row r="826" spans="19:55" ht="15.75" customHeight="1">
      <c r="S826" s="454"/>
      <c r="AN826" s="458"/>
      <c r="AY826" s="458"/>
      <c r="AZ826" s="458"/>
      <c r="BA826" s="1305"/>
      <c r="BC826" s="169"/>
    </row>
    <row r="827" spans="19:55" ht="15.75" customHeight="1">
      <c r="S827" s="454"/>
      <c r="AN827" s="458"/>
      <c r="AY827" s="458"/>
      <c r="AZ827" s="458"/>
      <c r="BA827" s="1305"/>
      <c r="BC827" s="169"/>
    </row>
    <row r="828" spans="19:55" ht="15.75" customHeight="1">
      <c r="S828" s="454"/>
      <c r="AN828" s="458"/>
      <c r="AY828" s="458"/>
      <c r="AZ828" s="458"/>
      <c r="BA828" s="1305"/>
      <c r="BC828" s="169"/>
    </row>
    <row r="829" spans="19:55" ht="15.75" customHeight="1">
      <c r="S829" s="454"/>
      <c r="AN829" s="458"/>
      <c r="AY829" s="458"/>
      <c r="AZ829" s="458"/>
      <c r="BA829" s="1305"/>
      <c r="BC829" s="169"/>
    </row>
    <row r="830" spans="19:55" ht="15.75" customHeight="1">
      <c r="S830" s="454"/>
      <c r="AN830" s="458"/>
      <c r="AY830" s="458"/>
      <c r="AZ830" s="458"/>
      <c r="BA830" s="1305"/>
      <c r="BC830" s="169"/>
    </row>
    <row r="831" spans="19:55" ht="15.75" customHeight="1">
      <c r="S831" s="454"/>
      <c r="AN831" s="458"/>
      <c r="AY831" s="458"/>
      <c r="AZ831" s="458"/>
      <c r="BA831" s="1305"/>
      <c r="BC831" s="169"/>
    </row>
    <row r="832" spans="19:55" ht="15.75" customHeight="1">
      <c r="S832" s="454"/>
      <c r="AN832" s="458"/>
      <c r="AY832" s="458"/>
      <c r="AZ832" s="458"/>
      <c r="BA832" s="1305"/>
      <c r="BC832" s="169"/>
    </row>
    <row r="833" spans="19:55" ht="15.75" customHeight="1">
      <c r="S833" s="454"/>
      <c r="AN833" s="458"/>
      <c r="AY833" s="458"/>
      <c r="AZ833" s="458"/>
      <c r="BA833" s="1305"/>
      <c r="BC833" s="169"/>
    </row>
    <row r="834" spans="19:55" ht="15.75" customHeight="1">
      <c r="S834" s="454"/>
      <c r="AN834" s="458"/>
      <c r="AY834" s="458"/>
      <c r="AZ834" s="458"/>
      <c r="BA834" s="1305"/>
      <c r="BC834" s="169"/>
    </row>
    <row r="835" spans="19:55" ht="15.75" customHeight="1">
      <c r="S835" s="454"/>
      <c r="AN835" s="458"/>
      <c r="AY835" s="458"/>
      <c r="AZ835" s="458"/>
      <c r="BA835" s="1305"/>
      <c r="BC835" s="169"/>
    </row>
    <row r="836" spans="19:55" ht="15.75" customHeight="1">
      <c r="S836" s="454"/>
      <c r="AN836" s="458"/>
      <c r="AY836" s="458"/>
      <c r="AZ836" s="458"/>
      <c r="BA836" s="1305"/>
      <c r="BC836" s="169"/>
    </row>
    <row r="837" spans="19:55" ht="15.75" customHeight="1">
      <c r="S837" s="454"/>
      <c r="AN837" s="458"/>
      <c r="AY837" s="458"/>
      <c r="AZ837" s="458"/>
      <c r="BA837" s="1305"/>
      <c r="BC837" s="169"/>
    </row>
    <row r="838" spans="19:55" ht="15.75" customHeight="1">
      <c r="S838" s="454"/>
      <c r="AN838" s="458"/>
      <c r="AY838" s="458"/>
      <c r="AZ838" s="458"/>
      <c r="BA838" s="1305"/>
      <c r="BC838" s="169"/>
    </row>
    <row r="839" spans="19:55" ht="15.75" customHeight="1">
      <c r="S839" s="454"/>
      <c r="AN839" s="458"/>
      <c r="AY839" s="458"/>
      <c r="AZ839" s="458"/>
      <c r="BA839" s="1305"/>
      <c r="BC839" s="169"/>
    </row>
    <row r="840" spans="19:55" ht="15.75" customHeight="1">
      <c r="S840" s="454"/>
      <c r="AN840" s="458"/>
      <c r="AY840" s="458"/>
      <c r="AZ840" s="458"/>
      <c r="BA840" s="1305"/>
      <c r="BC840" s="169"/>
    </row>
    <row r="841" spans="19:55" ht="15.75" customHeight="1">
      <c r="S841" s="454"/>
      <c r="AN841" s="458"/>
      <c r="AY841" s="458"/>
      <c r="AZ841" s="458"/>
      <c r="BA841" s="1305"/>
      <c r="BC841" s="169"/>
    </row>
    <row r="842" spans="19:55" ht="15.75" customHeight="1">
      <c r="S842" s="454"/>
      <c r="AN842" s="458"/>
      <c r="AY842" s="458"/>
      <c r="AZ842" s="458"/>
      <c r="BA842" s="1305"/>
      <c r="BC842" s="169"/>
    </row>
    <row r="843" spans="19:55" ht="15.75" customHeight="1">
      <c r="S843" s="454"/>
      <c r="AN843" s="458"/>
      <c r="AY843" s="458"/>
      <c r="AZ843" s="458"/>
      <c r="BA843" s="1305"/>
      <c r="BC843" s="169"/>
    </row>
    <row r="844" spans="19:55" ht="15.75" customHeight="1">
      <c r="S844" s="454"/>
      <c r="AN844" s="458"/>
      <c r="AY844" s="458"/>
      <c r="AZ844" s="458"/>
      <c r="BA844" s="1305"/>
      <c r="BC844" s="169"/>
    </row>
    <row r="845" spans="19:55" ht="15.75" customHeight="1">
      <c r="S845" s="454"/>
      <c r="AN845" s="458"/>
      <c r="AY845" s="458"/>
      <c r="AZ845" s="458"/>
      <c r="BA845" s="1305"/>
      <c r="BC845" s="169"/>
    </row>
    <row r="846" spans="19:55" ht="15.75" customHeight="1">
      <c r="S846" s="454"/>
      <c r="AN846" s="458"/>
      <c r="AY846" s="458"/>
      <c r="AZ846" s="458"/>
      <c r="BA846" s="1305"/>
      <c r="BC846" s="169"/>
    </row>
    <row r="847" spans="19:55" ht="15.75" customHeight="1">
      <c r="S847" s="454"/>
      <c r="AN847" s="458"/>
      <c r="AY847" s="458"/>
      <c r="AZ847" s="458"/>
      <c r="BA847" s="1305"/>
      <c r="BC847" s="169"/>
    </row>
    <row r="848" spans="19:55" ht="15.75" customHeight="1">
      <c r="S848" s="454"/>
      <c r="AN848" s="458"/>
      <c r="AY848" s="458"/>
      <c r="AZ848" s="458"/>
      <c r="BA848" s="1305"/>
      <c r="BC848" s="169"/>
    </row>
    <row r="849" spans="19:55" ht="15.75" customHeight="1">
      <c r="S849" s="454"/>
      <c r="AN849" s="458"/>
      <c r="AY849" s="458"/>
      <c r="AZ849" s="458"/>
      <c r="BA849" s="1305"/>
      <c r="BC849" s="169"/>
    </row>
    <row r="850" spans="19:55" ht="15.75" customHeight="1">
      <c r="S850" s="454"/>
      <c r="AN850" s="458"/>
      <c r="AY850" s="458"/>
      <c r="AZ850" s="458"/>
      <c r="BA850" s="1305"/>
      <c r="BC850" s="169"/>
    </row>
    <row r="851" spans="19:55" ht="15.75" customHeight="1">
      <c r="S851" s="454"/>
      <c r="AN851" s="458"/>
      <c r="AY851" s="458"/>
      <c r="AZ851" s="458"/>
      <c r="BA851" s="1305"/>
      <c r="BC851" s="169"/>
    </row>
    <row r="852" spans="19:55" ht="15.75" customHeight="1">
      <c r="S852" s="454"/>
      <c r="AN852" s="458"/>
      <c r="AY852" s="458"/>
      <c r="AZ852" s="458"/>
      <c r="BA852" s="1305"/>
      <c r="BC852" s="169"/>
    </row>
    <row r="853" spans="19:55" ht="15.75" customHeight="1">
      <c r="S853" s="454"/>
      <c r="AN853" s="458"/>
      <c r="AY853" s="458"/>
      <c r="AZ853" s="458"/>
      <c r="BA853" s="1305"/>
      <c r="BC853" s="169"/>
    </row>
    <row r="854" spans="19:55" ht="15.75" customHeight="1">
      <c r="S854" s="454"/>
      <c r="AN854" s="458"/>
      <c r="AY854" s="458"/>
      <c r="AZ854" s="458"/>
      <c r="BA854" s="1305"/>
      <c r="BC854" s="169"/>
    </row>
    <row r="855" spans="19:55" ht="15.75" customHeight="1">
      <c r="S855" s="454"/>
      <c r="AN855" s="458"/>
      <c r="AY855" s="458"/>
      <c r="AZ855" s="458"/>
      <c r="BA855" s="1305"/>
      <c r="BC855" s="169"/>
    </row>
    <row r="856" spans="19:55" ht="15.75" customHeight="1">
      <c r="S856" s="454"/>
      <c r="AN856" s="458"/>
      <c r="AY856" s="458"/>
      <c r="AZ856" s="458"/>
      <c r="BA856" s="1305"/>
      <c r="BC856" s="169"/>
    </row>
    <row r="857" spans="19:55" ht="15.75" customHeight="1">
      <c r="S857" s="454"/>
      <c r="AN857" s="458"/>
      <c r="AY857" s="458"/>
      <c r="AZ857" s="458"/>
      <c r="BA857" s="1305"/>
      <c r="BC857" s="169"/>
    </row>
    <row r="858" spans="19:55" ht="15.75" customHeight="1">
      <c r="S858" s="454"/>
      <c r="AN858" s="458"/>
      <c r="AY858" s="458"/>
      <c r="AZ858" s="458"/>
      <c r="BA858" s="1305"/>
      <c r="BC858" s="169"/>
    </row>
    <row r="859" spans="19:55" ht="15.75" customHeight="1">
      <c r="S859" s="454"/>
      <c r="AN859" s="458"/>
      <c r="AY859" s="458"/>
      <c r="AZ859" s="458"/>
      <c r="BA859" s="1305"/>
      <c r="BC859" s="169"/>
    </row>
    <row r="860" spans="19:55" ht="15.75" customHeight="1">
      <c r="S860" s="454"/>
      <c r="AN860" s="458"/>
      <c r="AY860" s="458"/>
      <c r="AZ860" s="458"/>
      <c r="BA860" s="1305"/>
      <c r="BC860" s="169"/>
    </row>
    <row r="861" spans="19:55" ht="15.75" customHeight="1">
      <c r="S861" s="454"/>
      <c r="AN861" s="458"/>
      <c r="AY861" s="458"/>
      <c r="AZ861" s="458"/>
      <c r="BA861" s="1305"/>
      <c r="BC861" s="169"/>
    </row>
    <row r="862" spans="19:55" ht="15.75" customHeight="1">
      <c r="S862" s="454"/>
      <c r="AN862" s="458"/>
      <c r="AY862" s="458"/>
      <c r="AZ862" s="458"/>
      <c r="BA862" s="1305"/>
      <c r="BC862" s="169"/>
    </row>
    <row r="863" spans="19:55" ht="15.75" customHeight="1">
      <c r="S863" s="454"/>
      <c r="AN863" s="458"/>
      <c r="AY863" s="458"/>
      <c r="AZ863" s="458"/>
      <c r="BA863" s="1305"/>
      <c r="BC863" s="169"/>
    </row>
    <row r="864" spans="19:55" ht="15.75" customHeight="1">
      <c r="S864" s="454"/>
      <c r="AN864" s="458"/>
      <c r="AY864" s="458"/>
      <c r="AZ864" s="458"/>
      <c r="BA864" s="1305"/>
      <c r="BC864" s="169"/>
    </row>
    <row r="865" spans="19:55" ht="15.75" customHeight="1">
      <c r="S865" s="454"/>
      <c r="AN865" s="458"/>
      <c r="AY865" s="458"/>
      <c r="AZ865" s="458"/>
      <c r="BA865" s="1305"/>
      <c r="BC865" s="169"/>
    </row>
    <row r="866" spans="19:55" ht="15.75" customHeight="1">
      <c r="S866" s="454"/>
      <c r="AN866" s="458"/>
      <c r="AY866" s="458"/>
      <c r="AZ866" s="458"/>
      <c r="BA866" s="1305"/>
      <c r="BC866" s="169"/>
    </row>
    <row r="867" spans="19:55" ht="15.75" customHeight="1">
      <c r="S867" s="454"/>
      <c r="AN867" s="458"/>
      <c r="AY867" s="458"/>
      <c r="AZ867" s="458"/>
      <c r="BA867" s="1305"/>
      <c r="BC867" s="169"/>
    </row>
    <row r="868" spans="19:55" ht="15.75" customHeight="1">
      <c r="S868" s="454"/>
      <c r="AN868" s="458"/>
      <c r="AY868" s="458"/>
      <c r="AZ868" s="458"/>
      <c r="BA868" s="1305"/>
      <c r="BC868" s="169"/>
    </row>
    <row r="869" spans="19:55" ht="15.75" customHeight="1">
      <c r="S869" s="454"/>
      <c r="AN869" s="458"/>
      <c r="AY869" s="458"/>
      <c r="AZ869" s="458"/>
      <c r="BA869" s="1305"/>
      <c r="BC869" s="169"/>
    </row>
    <row r="870" spans="19:55" ht="15.75" customHeight="1">
      <c r="S870" s="454"/>
      <c r="AN870" s="458"/>
      <c r="AY870" s="458"/>
      <c r="AZ870" s="458"/>
      <c r="BA870" s="1305"/>
      <c r="BC870" s="169"/>
    </row>
    <row r="871" spans="19:55" ht="15.75" customHeight="1">
      <c r="S871" s="454"/>
      <c r="AN871" s="458"/>
      <c r="AY871" s="458"/>
      <c r="AZ871" s="458"/>
      <c r="BA871" s="1305"/>
      <c r="BC871" s="169"/>
    </row>
    <row r="872" spans="19:55" ht="15.75" customHeight="1">
      <c r="S872" s="454"/>
      <c r="AN872" s="458"/>
      <c r="AY872" s="458"/>
      <c r="AZ872" s="458"/>
      <c r="BA872" s="1305"/>
      <c r="BC872" s="169"/>
    </row>
    <row r="873" spans="19:55" ht="15.75" customHeight="1">
      <c r="S873" s="454"/>
      <c r="AN873" s="458"/>
      <c r="AY873" s="458"/>
      <c r="AZ873" s="458"/>
      <c r="BA873" s="1305"/>
      <c r="BC873" s="169"/>
    </row>
    <row r="874" spans="19:55" ht="15.75" customHeight="1">
      <c r="S874" s="454"/>
      <c r="AN874" s="458"/>
      <c r="AY874" s="458"/>
      <c r="AZ874" s="458"/>
      <c r="BA874" s="1305"/>
      <c r="BC874" s="169"/>
    </row>
    <row r="875" spans="19:55" ht="15.75" customHeight="1">
      <c r="S875" s="454"/>
      <c r="AN875" s="458"/>
      <c r="AY875" s="458"/>
      <c r="AZ875" s="458"/>
      <c r="BA875" s="1305"/>
      <c r="BC875" s="169"/>
    </row>
    <row r="876" spans="19:55" ht="15.75" customHeight="1">
      <c r="S876" s="454"/>
      <c r="AN876" s="458"/>
      <c r="AY876" s="458"/>
      <c r="AZ876" s="458"/>
      <c r="BA876" s="1305"/>
      <c r="BC876" s="169"/>
    </row>
    <row r="877" spans="19:55" ht="15.75" customHeight="1">
      <c r="S877" s="454"/>
      <c r="AN877" s="458"/>
      <c r="AY877" s="458"/>
      <c r="AZ877" s="458"/>
      <c r="BA877" s="1305"/>
      <c r="BC877" s="169"/>
    </row>
    <row r="878" spans="19:55" ht="15.75" customHeight="1">
      <c r="S878" s="454"/>
      <c r="AN878" s="458"/>
      <c r="AY878" s="458"/>
      <c r="AZ878" s="458"/>
      <c r="BA878" s="1305"/>
      <c r="BC878" s="169"/>
    </row>
    <row r="879" spans="19:55" ht="15.75" customHeight="1">
      <c r="S879" s="454"/>
      <c r="AN879" s="458"/>
      <c r="AY879" s="458"/>
      <c r="AZ879" s="458"/>
      <c r="BA879" s="1305"/>
      <c r="BC879" s="169"/>
    </row>
    <row r="880" spans="19:55" ht="15.75" customHeight="1">
      <c r="S880" s="454"/>
      <c r="AN880" s="458"/>
      <c r="AY880" s="458"/>
      <c r="AZ880" s="458"/>
      <c r="BA880" s="1305"/>
      <c r="BC880" s="169"/>
    </row>
    <row r="881" spans="19:55" ht="15.75" customHeight="1">
      <c r="S881" s="454"/>
      <c r="AN881" s="458"/>
      <c r="AY881" s="458"/>
      <c r="AZ881" s="458"/>
      <c r="BA881" s="1305"/>
      <c r="BC881" s="169"/>
    </row>
    <row r="882" spans="19:55" ht="15.75" customHeight="1">
      <c r="S882" s="454"/>
      <c r="AN882" s="458"/>
      <c r="AY882" s="458"/>
      <c r="AZ882" s="458"/>
      <c r="BA882" s="1305"/>
      <c r="BC882" s="169"/>
    </row>
    <row r="883" spans="19:55" ht="15.75" customHeight="1">
      <c r="S883" s="454"/>
      <c r="AN883" s="458"/>
      <c r="AY883" s="458"/>
      <c r="AZ883" s="458"/>
      <c r="BA883" s="1305"/>
      <c r="BC883" s="169"/>
    </row>
    <row r="884" spans="19:55" ht="15.75" customHeight="1">
      <c r="S884" s="454"/>
      <c r="AN884" s="458"/>
      <c r="AY884" s="458"/>
      <c r="AZ884" s="458"/>
      <c r="BA884" s="1305"/>
      <c r="BC884" s="169"/>
    </row>
    <row r="885" spans="19:55" ht="15.75" customHeight="1">
      <c r="S885" s="454"/>
      <c r="AN885" s="458"/>
      <c r="AY885" s="458"/>
      <c r="AZ885" s="458"/>
      <c r="BA885" s="1305"/>
      <c r="BC885" s="169"/>
    </row>
    <row r="886" spans="19:55" ht="15.75" customHeight="1">
      <c r="S886" s="454"/>
      <c r="AN886" s="458"/>
      <c r="AY886" s="458"/>
      <c r="AZ886" s="458"/>
      <c r="BA886" s="1305"/>
      <c r="BC886" s="169"/>
    </row>
    <row r="887" spans="19:55" ht="15.75" customHeight="1">
      <c r="S887" s="454"/>
      <c r="AN887" s="458"/>
      <c r="AY887" s="458"/>
      <c r="AZ887" s="458"/>
      <c r="BA887" s="1305"/>
      <c r="BC887" s="169"/>
    </row>
    <row r="888" spans="19:55" ht="15.75" customHeight="1">
      <c r="S888" s="454"/>
      <c r="AN888" s="458"/>
      <c r="AY888" s="458"/>
      <c r="AZ888" s="458"/>
      <c r="BA888" s="1305"/>
      <c r="BC888" s="169"/>
    </row>
    <row r="889" spans="19:55" ht="15.75" customHeight="1">
      <c r="S889" s="454"/>
      <c r="AN889" s="458"/>
      <c r="AY889" s="458"/>
      <c r="AZ889" s="458"/>
      <c r="BA889" s="1305"/>
      <c r="BC889" s="169"/>
    </row>
    <row r="890" spans="19:55" ht="15.75" customHeight="1">
      <c r="S890" s="454"/>
      <c r="AN890" s="458"/>
      <c r="AY890" s="458"/>
      <c r="AZ890" s="458"/>
      <c r="BA890" s="1305"/>
      <c r="BC890" s="169"/>
    </row>
    <row r="891" spans="19:55" ht="15.75" customHeight="1">
      <c r="S891" s="454"/>
      <c r="AN891" s="458"/>
      <c r="AY891" s="458"/>
      <c r="AZ891" s="458"/>
      <c r="BA891" s="1305"/>
      <c r="BC891" s="169"/>
    </row>
    <row r="892" spans="19:55" ht="15.75" customHeight="1">
      <c r="S892" s="454"/>
      <c r="AN892" s="458"/>
      <c r="AY892" s="458"/>
      <c r="AZ892" s="458"/>
      <c r="BA892" s="1305"/>
      <c r="BC892" s="169"/>
    </row>
    <row r="893" spans="19:55" ht="15.75" customHeight="1">
      <c r="S893" s="454"/>
      <c r="AN893" s="458"/>
      <c r="AY893" s="458"/>
      <c r="AZ893" s="458"/>
      <c r="BA893" s="1305"/>
      <c r="BC893" s="169"/>
    </row>
    <row r="894" spans="19:55" ht="15.75" customHeight="1">
      <c r="S894" s="454"/>
      <c r="AN894" s="458"/>
      <c r="AY894" s="458"/>
      <c r="AZ894" s="458"/>
      <c r="BA894" s="1305"/>
      <c r="BC894" s="169"/>
    </row>
    <row r="895" spans="19:55" ht="15.75" customHeight="1">
      <c r="S895" s="454"/>
      <c r="AN895" s="458"/>
      <c r="AY895" s="458"/>
      <c r="AZ895" s="458"/>
      <c r="BA895" s="1305"/>
      <c r="BC895" s="169"/>
    </row>
    <row r="896" spans="19:55" ht="15.75" customHeight="1">
      <c r="S896" s="454"/>
      <c r="AN896" s="458"/>
      <c r="AY896" s="458"/>
      <c r="AZ896" s="458"/>
      <c r="BA896" s="1305"/>
      <c r="BC896" s="169"/>
    </row>
    <row r="897" spans="19:55" ht="15.75" customHeight="1">
      <c r="S897" s="454"/>
      <c r="AN897" s="458"/>
      <c r="AY897" s="458"/>
      <c r="AZ897" s="458"/>
      <c r="BA897" s="1305"/>
      <c r="BC897" s="169"/>
    </row>
    <row r="898" spans="19:55" ht="15.75" customHeight="1">
      <c r="S898" s="454"/>
      <c r="AN898" s="458"/>
      <c r="AY898" s="458"/>
      <c r="AZ898" s="458"/>
      <c r="BA898" s="1305"/>
      <c r="BC898" s="169"/>
    </row>
    <row r="899" spans="19:55" ht="15.75" customHeight="1">
      <c r="S899" s="454"/>
      <c r="AN899" s="458"/>
      <c r="AY899" s="458"/>
      <c r="AZ899" s="458"/>
      <c r="BA899" s="1305"/>
      <c r="BC899" s="169"/>
    </row>
    <row r="900" spans="19:55" ht="15.75" customHeight="1">
      <c r="S900" s="454"/>
      <c r="AN900" s="458"/>
      <c r="AY900" s="458"/>
      <c r="AZ900" s="458"/>
      <c r="BA900" s="1305"/>
      <c r="BC900" s="169"/>
    </row>
    <row r="901" spans="19:55" ht="15.75" customHeight="1">
      <c r="S901" s="454"/>
      <c r="AN901" s="458"/>
      <c r="AY901" s="458"/>
      <c r="AZ901" s="458"/>
      <c r="BA901" s="1305"/>
      <c r="BC901" s="169"/>
    </row>
    <row r="902" spans="19:55" ht="15.75" customHeight="1">
      <c r="S902" s="454"/>
      <c r="AN902" s="458"/>
      <c r="AY902" s="458"/>
      <c r="AZ902" s="458"/>
      <c r="BA902" s="1305"/>
      <c r="BC902" s="169"/>
    </row>
    <row r="903" spans="19:55" ht="15.75" customHeight="1">
      <c r="S903" s="454"/>
      <c r="AN903" s="458"/>
      <c r="AY903" s="458"/>
      <c r="AZ903" s="458"/>
      <c r="BA903" s="1305"/>
      <c r="BC903" s="169"/>
    </row>
    <row r="904" spans="19:55" ht="15.75" customHeight="1">
      <c r="S904" s="454"/>
      <c r="AN904" s="458"/>
      <c r="AY904" s="458"/>
      <c r="AZ904" s="458"/>
      <c r="BA904" s="1305"/>
      <c r="BC904" s="169"/>
    </row>
    <row r="905" spans="19:55" ht="15.75" customHeight="1">
      <c r="S905" s="454"/>
      <c r="AN905" s="458"/>
      <c r="AY905" s="458"/>
      <c r="AZ905" s="458"/>
      <c r="BA905" s="1305"/>
      <c r="BC905" s="169"/>
    </row>
    <row r="906" spans="19:55" ht="15.75" customHeight="1">
      <c r="S906" s="454"/>
      <c r="AN906" s="458"/>
      <c r="AY906" s="458"/>
      <c r="AZ906" s="458"/>
      <c r="BA906" s="1305"/>
      <c r="BC906" s="169"/>
    </row>
    <row r="907" spans="19:55" ht="15.75" customHeight="1">
      <c r="S907" s="454"/>
      <c r="AN907" s="458"/>
      <c r="AY907" s="458"/>
      <c r="AZ907" s="458"/>
      <c r="BA907" s="1305"/>
      <c r="BC907" s="169"/>
    </row>
    <row r="908" spans="19:55" ht="15.75" customHeight="1">
      <c r="S908" s="454"/>
      <c r="AN908" s="458"/>
      <c r="AY908" s="458"/>
      <c r="AZ908" s="458"/>
      <c r="BA908" s="1305"/>
      <c r="BC908" s="169"/>
    </row>
    <row r="909" spans="19:55" ht="15.75" customHeight="1">
      <c r="S909" s="454"/>
      <c r="AN909" s="458"/>
      <c r="AY909" s="458"/>
      <c r="AZ909" s="458"/>
      <c r="BA909" s="1305"/>
      <c r="BC909" s="169"/>
    </row>
    <row r="910" spans="19:55" ht="15.75" customHeight="1">
      <c r="S910" s="454"/>
      <c r="AN910" s="458"/>
      <c r="AY910" s="458"/>
      <c r="AZ910" s="458"/>
      <c r="BA910" s="1305"/>
      <c r="BC910" s="169"/>
    </row>
    <row r="911" spans="19:55" ht="15.75" customHeight="1">
      <c r="S911" s="454"/>
      <c r="AN911" s="458"/>
      <c r="AY911" s="458"/>
      <c r="AZ911" s="458"/>
      <c r="BA911" s="1305"/>
      <c r="BC911" s="169"/>
    </row>
    <row r="912" spans="19:55" ht="15.75" customHeight="1">
      <c r="S912" s="454"/>
      <c r="AN912" s="458"/>
      <c r="AY912" s="458"/>
      <c r="AZ912" s="458"/>
      <c r="BA912" s="1305"/>
      <c r="BC912" s="169"/>
    </row>
    <row r="913" spans="19:55" ht="15.75" customHeight="1">
      <c r="S913" s="454"/>
      <c r="AN913" s="458"/>
      <c r="AY913" s="458"/>
      <c r="AZ913" s="458"/>
      <c r="BA913" s="1305"/>
      <c r="BC913" s="169"/>
    </row>
    <row r="914" spans="19:55" ht="15.75" customHeight="1">
      <c r="S914" s="454"/>
      <c r="AN914" s="458"/>
      <c r="AY914" s="458"/>
      <c r="AZ914" s="458"/>
      <c r="BA914" s="1305"/>
      <c r="BC914" s="169"/>
    </row>
    <row r="915" spans="19:55" ht="15.75" customHeight="1">
      <c r="S915" s="454"/>
      <c r="AN915" s="458"/>
      <c r="AY915" s="458"/>
      <c r="AZ915" s="458"/>
      <c r="BA915" s="1305"/>
      <c r="BC915" s="169"/>
    </row>
    <row r="916" spans="19:55" ht="15.75" customHeight="1">
      <c r="S916" s="454"/>
      <c r="AN916" s="458"/>
      <c r="AY916" s="458"/>
      <c r="AZ916" s="458"/>
      <c r="BA916" s="1305"/>
      <c r="BC916" s="169"/>
    </row>
    <row r="917" spans="19:55" ht="15.75" customHeight="1">
      <c r="S917" s="454"/>
      <c r="AN917" s="458"/>
      <c r="AY917" s="458"/>
      <c r="AZ917" s="458"/>
      <c r="BA917" s="1305"/>
      <c r="BC917" s="169"/>
    </row>
    <row r="918" spans="19:55" ht="15.75" customHeight="1">
      <c r="S918" s="454"/>
      <c r="AN918" s="458"/>
      <c r="AY918" s="458"/>
      <c r="AZ918" s="458"/>
      <c r="BA918" s="1305"/>
      <c r="BC918" s="169"/>
    </row>
    <row r="919" spans="19:55" ht="15.75" customHeight="1">
      <c r="S919" s="454"/>
      <c r="AN919" s="458"/>
      <c r="AY919" s="458"/>
      <c r="AZ919" s="458"/>
      <c r="BA919" s="1305"/>
      <c r="BC919" s="169"/>
    </row>
    <row r="920" spans="19:55" ht="15.75" customHeight="1">
      <c r="S920" s="454"/>
      <c r="AN920" s="458"/>
      <c r="AY920" s="458"/>
      <c r="AZ920" s="458"/>
      <c r="BA920" s="1305"/>
      <c r="BC920" s="169"/>
    </row>
    <row r="921" spans="19:55" ht="15.75" customHeight="1">
      <c r="S921" s="454"/>
      <c r="AN921" s="458"/>
      <c r="AY921" s="458"/>
      <c r="AZ921" s="458"/>
      <c r="BA921" s="1305"/>
      <c r="BC921" s="169"/>
    </row>
    <row r="922" spans="19:55" ht="15.75" customHeight="1">
      <c r="S922" s="454"/>
      <c r="AN922" s="458"/>
      <c r="AY922" s="458"/>
      <c r="AZ922" s="458"/>
      <c r="BA922" s="1305"/>
      <c r="BC922" s="169"/>
    </row>
    <row r="923" spans="19:55" ht="15.75" customHeight="1">
      <c r="S923" s="454"/>
      <c r="AN923" s="458"/>
      <c r="AY923" s="458"/>
      <c r="AZ923" s="458"/>
      <c r="BA923" s="1305"/>
      <c r="BC923" s="169"/>
    </row>
    <row r="924" spans="19:55" ht="15.75" customHeight="1">
      <c r="S924" s="454"/>
      <c r="AN924" s="458"/>
      <c r="AY924" s="458"/>
      <c r="AZ924" s="458"/>
      <c r="BA924" s="1305"/>
      <c r="BC924" s="169"/>
    </row>
    <row r="925" spans="19:55" ht="15.75" customHeight="1">
      <c r="S925" s="454"/>
      <c r="AN925" s="458"/>
      <c r="AY925" s="458"/>
      <c r="AZ925" s="458"/>
      <c r="BA925" s="1305"/>
      <c r="BC925" s="169"/>
    </row>
    <row r="926" spans="19:55" ht="15.75" customHeight="1">
      <c r="S926" s="454"/>
      <c r="AN926" s="458"/>
      <c r="AY926" s="458"/>
      <c r="AZ926" s="458"/>
      <c r="BA926" s="1305"/>
      <c r="BC926" s="169"/>
    </row>
    <row r="927" spans="19:55" ht="15.75" customHeight="1">
      <c r="S927" s="454"/>
      <c r="AN927" s="458"/>
      <c r="AY927" s="458"/>
      <c r="AZ927" s="458"/>
      <c r="BA927" s="1305"/>
      <c r="BC927" s="169"/>
    </row>
    <row r="928" spans="19:55" ht="15.75" customHeight="1">
      <c r="S928" s="454"/>
      <c r="AN928" s="458"/>
      <c r="AY928" s="458"/>
      <c r="AZ928" s="458"/>
      <c r="BA928" s="1305"/>
      <c r="BC928" s="169"/>
    </row>
    <row r="929" spans="19:55" ht="15.75" customHeight="1">
      <c r="S929" s="454"/>
      <c r="AN929" s="458"/>
      <c r="AY929" s="458"/>
      <c r="AZ929" s="458"/>
      <c r="BA929" s="1305"/>
      <c r="BC929" s="169"/>
    </row>
    <row r="930" spans="19:55" ht="15.75" customHeight="1">
      <c r="S930" s="454"/>
      <c r="AN930" s="458"/>
      <c r="AY930" s="458"/>
      <c r="AZ930" s="458"/>
      <c r="BA930" s="1305"/>
      <c r="BC930" s="169"/>
    </row>
    <row r="931" spans="19:55" ht="15.75" customHeight="1">
      <c r="S931" s="454"/>
      <c r="AN931" s="458"/>
      <c r="AY931" s="458"/>
      <c r="AZ931" s="458"/>
      <c r="BA931" s="1305"/>
      <c r="BC931" s="169"/>
    </row>
    <row r="932" spans="19:55" ht="15.75" customHeight="1">
      <c r="S932" s="454"/>
      <c r="AN932" s="458"/>
      <c r="AY932" s="458"/>
      <c r="AZ932" s="458"/>
      <c r="BA932" s="1305"/>
      <c r="BC932" s="169"/>
    </row>
    <row r="933" spans="19:55" ht="15.75" customHeight="1">
      <c r="S933" s="454"/>
      <c r="AN933" s="458"/>
      <c r="AY933" s="458"/>
      <c r="AZ933" s="458"/>
      <c r="BA933" s="1305"/>
      <c r="BC933" s="169"/>
    </row>
    <row r="934" spans="19:55" ht="15.75" customHeight="1">
      <c r="S934" s="454"/>
      <c r="AN934" s="458"/>
      <c r="AY934" s="458"/>
      <c r="AZ934" s="458"/>
      <c r="BA934" s="1305"/>
      <c r="BC934" s="169"/>
    </row>
    <row r="935" spans="19:55" ht="15.75" customHeight="1">
      <c r="S935" s="454"/>
      <c r="AN935" s="458"/>
      <c r="AY935" s="458"/>
      <c r="AZ935" s="458"/>
      <c r="BA935" s="1305"/>
      <c r="BC935" s="169"/>
    </row>
    <row r="936" spans="19:55" ht="15.75" customHeight="1">
      <c r="S936" s="454"/>
      <c r="AN936" s="458"/>
      <c r="AY936" s="458"/>
      <c r="AZ936" s="458"/>
      <c r="BA936" s="1305"/>
      <c r="BC936" s="169"/>
    </row>
    <row r="937" spans="19:55" ht="15.75" customHeight="1">
      <c r="S937" s="454"/>
      <c r="AN937" s="458"/>
      <c r="AY937" s="458"/>
      <c r="AZ937" s="458"/>
      <c r="BA937" s="1305"/>
      <c r="BC937" s="169"/>
    </row>
    <row r="938" spans="19:55" ht="15.75" customHeight="1">
      <c r="S938" s="454"/>
      <c r="AN938" s="458"/>
      <c r="AY938" s="458"/>
      <c r="AZ938" s="458"/>
      <c r="BA938" s="1305"/>
      <c r="BC938" s="169"/>
    </row>
    <row r="939" spans="19:55" ht="15.75" customHeight="1">
      <c r="S939" s="454"/>
      <c r="AN939" s="458"/>
      <c r="AY939" s="458"/>
      <c r="AZ939" s="458"/>
      <c r="BA939" s="1305"/>
      <c r="BC939" s="169"/>
    </row>
    <row r="940" spans="19:55" ht="15.75" customHeight="1">
      <c r="S940" s="454"/>
      <c r="AN940" s="458"/>
      <c r="AY940" s="458"/>
      <c r="AZ940" s="458"/>
      <c r="BA940" s="1305"/>
      <c r="BC940" s="169"/>
    </row>
    <row r="941" spans="19:55" ht="15.75" customHeight="1">
      <c r="S941" s="454"/>
      <c r="AN941" s="458"/>
      <c r="AY941" s="458"/>
      <c r="AZ941" s="458"/>
      <c r="BA941" s="1305"/>
      <c r="BC941" s="169"/>
    </row>
    <row r="942" spans="19:55" ht="15.75" customHeight="1">
      <c r="S942" s="454"/>
      <c r="AN942" s="458"/>
      <c r="AY942" s="458"/>
      <c r="AZ942" s="458"/>
      <c r="BA942" s="1305"/>
      <c r="BC942" s="169"/>
    </row>
    <row r="943" spans="19:55" ht="15.75" customHeight="1">
      <c r="S943" s="454"/>
      <c r="AN943" s="458"/>
      <c r="AY943" s="458"/>
      <c r="AZ943" s="458"/>
      <c r="BA943" s="1305"/>
      <c r="BC943" s="169"/>
    </row>
    <row r="944" spans="19:55" ht="15.75" customHeight="1">
      <c r="S944" s="454"/>
      <c r="AN944" s="458"/>
      <c r="AY944" s="458"/>
      <c r="AZ944" s="458"/>
      <c r="BA944" s="1305"/>
      <c r="BC944" s="169"/>
    </row>
    <row r="945" spans="19:55" ht="15.75" customHeight="1">
      <c r="S945" s="454"/>
      <c r="AN945" s="458"/>
      <c r="AY945" s="458"/>
      <c r="AZ945" s="458"/>
      <c r="BA945" s="1305"/>
      <c r="BC945" s="169"/>
    </row>
    <row r="946" spans="19:55" ht="15.75" customHeight="1">
      <c r="S946" s="454"/>
      <c r="AN946" s="458"/>
      <c r="AY946" s="458"/>
      <c r="AZ946" s="458"/>
      <c r="BA946" s="1305"/>
      <c r="BC946" s="169"/>
    </row>
    <row r="947" spans="19:55" ht="15.75" customHeight="1">
      <c r="S947" s="454"/>
      <c r="AN947" s="458"/>
      <c r="AY947" s="458"/>
      <c r="AZ947" s="458"/>
      <c r="BA947" s="1305"/>
      <c r="BC947" s="169"/>
    </row>
    <row r="948" spans="19:55" ht="15.75" customHeight="1">
      <c r="S948" s="454"/>
      <c r="AN948" s="458"/>
      <c r="AY948" s="458"/>
      <c r="AZ948" s="458"/>
      <c r="BA948" s="1305"/>
      <c r="BC948" s="169"/>
    </row>
    <row r="949" spans="19:55" ht="15.75" customHeight="1">
      <c r="S949" s="454"/>
      <c r="AN949" s="458"/>
      <c r="AY949" s="458"/>
      <c r="AZ949" s="458"/>
      <c r="BA949" s="1305"/>
      <c r="BC949" s="169"/>
    </row>
    <row r="950" spans="19:55" ht="15.75" customHeight="1">
      <c r="S950" s="454"/>
      <c r="AN950" s="458"/>
      <c r="AY950" s="458"/>
      <c r="AZ950" s="458"/>
      <c r="BA950" s="1305"/>
      <c r="BC950" s="169"/>
    </row>
    <row r="951" spans="19:55" ht="15.75" customHeight="1">
      <c r="S951" s="454"/>
      <c r="AN951" s="458"/>
      <c r="AY951" s="458"/>
      <c r="AZ951" s="458"/>
      <c r="BA951" s="1305"/>
      <c r="BC951" s="169"/>
    </row>
    <row r="952" spans="19:55" ht="15.75" customHeight="1">
      <c r="S952" s="454"/>
      <c r="AN952" s="458"/>
      <c r="AY952" s="458"/>
      <c r="AZ952" s="458"/>
      <c r="BA952" s="1305"/>
      <c r="BC952" s="169"/>
    </row>
    <row r="953" spans="19:55" ht="15.75" customHeight="1">
      <c r="S953" s="454"/>
      <c r="AN953" s="458"/>
      <c r="AY953" s="458"/>
      <c r="AZ953" s="458"/>
      <c r="BA953" s="1305"/>
      <c r="BC953" s="169"/>
    </row>
    <row r="954" spans="19:55" ht="15.75" customHeight="1">
      <c r="S954" s="454"/>
      <c r="AN954" s="458"/>
      <c r="AY954" s="458"/>
      <c r="AZ954" s="458"/>
      <c r="BA954" s="1305"/>
      <c r="BC954" s="169"/>
    </row>
    <row r="955" spans="19:55" ht="15.75" customHeight="1">
      <c r="S955" s="454"/>
      <c r="AN955" s="458"/>
      <c r="AY955" s="458"/>
      <c r="AZ955" s="458"/>
      <c r="BA955" s="1305"/>
      <c r="BC955" s="169"/>
    </row>
    <row r="956" spans="19:55" ht="15.75" customHeight="1">
      <c r="S956" s="454"/>
      <c r="AN956" s="458"/>
      <c r="AY956" s="458"/>
      <c r="AZ956" s="458"/>
      <c r="BA956" s="1305"/>
      <c r="BC956" s="169"/>
    </row>
    <row r="957" spans="19:55" ht="15.75" customHeight="1">
      <c r="S957" s="454"/>
      <c r="AN957" s="458"/>
      <c r="AY957" s="458"/>
      <c r="AZ957" s="458"/>
      <c r="BA957" s="1305"/>
      <c r="BC957" s="169"/>
    </row>
    <row r="958" spans="19:55" ht="15.75" customHeight="1">
      <c r="S958" s="454"/>
      <c r="AN958" s="458"/>
      <c r="AY958" s="458"/>
      <c r="AZ958" s="458"/>
      <c r="BA958" s="1305"/>
      <c r="BC958" s="169"/>
    </row>
    <row r="959" spans="19:55" ht="15.75" customHeight="1">
      <c r="S959" s="454"/>
      <c r="AN959" s="458"/>
      <c r="AY959" s="458"/>
      <c r="AZ959" s="458"/>
      <c r="BA959" s="1305"/>
      <c r="BC959" s="169"/>
    </row>
    <row r="960" spans="19:55" ht="15.75" customHeight="1">
      <c r="S960" s="454"/>
      <c r="AN960" s="458"/>
      <c r="AY960" s="458"/>
      <c r="AZ960" s="458"/>
      <c r="BA960" s="1305"/>
      <c r="BC960" s="169"/>
    </row>
    <row r="961" spans="19:55" ht="15.75" customHeight="1">
      <c r="S961" s="454"/>
      <c r="AN961" s="458"/>
      <c r="AY961" s="458"/>
      <c r="AZ961" s="458"/>
      <c r="BA961" s="1305"/>
      <c r="BC961" s="169"/>
    </row>
    <row r="962" spans="19:55" ht="15.75" customHeight="1">
      <c r="S962" s="454"/>
      <c r="AN962" s="458"/>
      <c r="AY962" s="458"/>
      <c r="AZ962" s="458"/>
      <c r="BA962" s="1305"/>
      <c r="BC962" s="169"/>
    </row>
    <row r="963" spans="19:55" ht="15.75" customHeight="1">
      <c r="S963" s="454"/>
      <c r="AN963" s="458"/>
      <c r="AY963" s="458"/>
      <c r="AZ963" s="458"/>
      <c r="BA963" s="1305"/>
      <c r="BC963" s="169"/>
    </row>
    <row r="964" spans="19:55" ht="15.75" customHeight="1">
      <c r="S964" s="454"/>
      <c r="AN964" s="458"/>
      <c r="AY964" s="458"/>
      <c r="AZ964" s="458"/>
      <c r="BA964" s="1305"/>
      <c r="BC964" s="169"/>
    </row>
    <row r="965" spans="19:55" ht="15.75" customHeight="1">
      <c r="S965" s="454"/>
      <c r="AN965" s="458"/>
      <c r="AY965" s="458"/>
      <c r="AZ965" s="458"/>
      <c r="BA965" s="1305"/>
      <c r="BC965" s="169"/>
    </row>
    <row r="966" spans="19:55" ht="15.75" customHeight="1">
      <c r="S966" s="454"/>
      <c r="AN966" s="458"/>
      <c r="AY966" s="458"/>
      <c r="AZ966" s="458"/>
      <c r="BA966" s="1305"/>
      <c r="BC966" s="169"/>
    </row>
    <row r="967" spans="19:55" ht="15.75" customHeight="1">
      <c r="S967" s="454"/>
      <c r="AN967" s="458"/>
      <c r="AY967" s="458"/>
      <c r="AZ967" s="458"/>
      <c r="BA967" s="1305"/>
      <c r="BC967" s="169"/>
    </row>
    <row r="968" spans="19:55" ht="15.75" customHeight="1">
      <c r="S968" s="454"/>
      <c r="AN968" s="458"/>
      <c r="AY968" s="458"/>
      <c r="AZ968" s="458"/>
      <c r="BA968" s="1305"/>
      <c r="BC968" s="169"/>
    </row>
    <row r="969" spans="19:55" ht="15.75" customHeight="1">
      <c r="S969" s="454"/>
      <c r="AN969" s="458"/>
      <c r="AY969" s="458"/>
      <c r="AZ969" s="458"/>
      <c r="BA969" s="1305"/>
      <c r="BC969" s="169"/>
    </row>
    <row r="970" spans="19:55" ht="15.75" customHeight="1">
      <c r="S970" s="454"/>
      <c r="AN970" s="458"/>
      <c r="AY970" s="458"/>
      <c r="AZ970" s="458"/>
      <c r="BA970" s="1305"/>
      <c r="BC970" s="169"/>
    </row>
    <row r="971" spans="19:55" ht="15.75" customHeight="1">
      <c r="S971" s="454"/>
      <c r="AN971" s="458"/>
      <c r="AY971" s="458"/>
      <c r="AZ971" s="458"/>
      <c r="BA971" s="1305"/>
      <c r="BC971" s="169"/>
    </row>
    <row r="972" spans="19:55" ht="15.75" customHeight="1">
      <c r="S972" s="454"/>
      <c r="AN972" s="458"/>
      <c r="AY972" s="458"/>
      <c r="AZ972" s="458"/>
      <c r="BA972" s="1305"/>
      <c r="BC972" s="169"/>
    </row>
    <row r="973" spans="19:55" ht="15.75" customHeight="1">
      <c r="S973" s="454"/>
      <c r="AN973" s="458"/>
      <c r="AY973" s="458"/>
      <c r="AZ973" s="458"/>
      <c r="BA973" s="1305"/>
      <c r="BC973" s="169"/>
    </row>
    <row r="974" spans="19:55" ht="15.75" customHeight="1">
      <c r="S974" s="454"/>
      <c r="AN974" s="458"/>
      <c r="AY974" s="458"/>
      <c r="AZ974" s="458"/>
      <c r="BA974" s="1305"/>
      <c r="BC974" s="169"/>
    </row>
    <row r="975" spans="19:55" ht="15.75" customHeight="1">
      <c r="S975" s="454"/>
      <c r="AN975" s="458"/>
      <c r="AY975" s="458"/>
      <c r="AZ975" s="458"/>
      <c r="BA975" s="1305"/>
      <c r="BC975" s="169"/>
    </row>
    <row r="976" spans="19:55" ht="15.75" customHeight="1">
      <c r="S976" s="454"/>
      <c r="AN976" s="458"/>
      <c r="AY976" s="458"/>
      <c r="AZ976" s="458"/>
      <c r="BA976" s="1305"/>
      <c r="BC976" s="169"/>
    </row>
    <row r="977" spans="19:55" ht="15.75" customHeight="1">
      <c r="S977" s="454"/>
      <c r="AN977" s="458"/>
      <c r="AY977" s="458"/>
      <c r="AZ977" s="458"/>
      <c r="BA977" s="1305"/>
      <c r="BC977" s="169"/>
    </row>
    <row r="978" spans="19:55" ht="15.75" customHeight="1">
      <c r="S978" s="454"/>
      <c r="AN978" s="458"/>
      <c r="AY978" s="458"/>
      <c r="AZ978" s="458"/>
      <c r="BA978" s="1305"/>
      <c r="BC978" s="169"/>
    </row>
    <row r="979" spans="19:55" ht="15.75" customHeight="1">
      <c r="S979" s="454"/>
      <c r="AN979" s="458"/>
      <c r="AY979" s="458"/>
      <c r="AZ979" s="458"/>
      <c r="BA979" s="1305"/>
      <c r="BC979" s="169"/>
    </row>
    <row r="980" spans="19:55" ht="15.75" customHeight="1">
      <c r="S980" s="454"/>
      <c r="AN980" s="458"/>
      <c r="AY980" s="458"/>
      <c r="AZ980" s="458"/>
      <c r="BA980" s="1305"/>
      <c r="BC980" s="169"/>
    </row>
    <row r="981" spans="19:55" ht="15.75" customHeight="1">
      <c r="S981" s="454"/>
      <c r="AN981" s="458"/>
      <c r="AY981" s="458"/>
      <c r="AZ981" s="458"/>
      <c r="BA981" s="1305"/>
      <c r="BC981" s="169"/>
    </row>
    <row r="982" spans="19:55" ht="15.75" customHeight="1">
      <c r="S982" s="454"/>
      <c r="AN982" s="458"/>
      <c r="AY982" s="458"/>
      <c r="AZ982" s="458"/>
      <c r="BA982" s="1305"/>
      <c r="BC982" s="169"/>
    </row>
    <row r="983" spans="19:55" ht="15.75" customHeight="1">
      <c r="S983" s="454"/>
      <c r="AN983" s="458"/>
      <c r="AY983" s="458"/>
      <c r="AZ983" s="458"/>
      <c r="BA983" s="1305"/>
      <c r="BC983" s="169"/>
    </row>
    <row r="984" spans="19:55" ht="15.75" customHeight="1">
      <c r="S984" s="454"/>
      <c r="AN984" s="458"/>
      <c r="AY984" s="458"/>
      <c r="AZ984" s="458"/>
      <c r="BA984" s="1305"/>
      <c r="BC984" s="169"/>
    </row>
    <row r="985" spans="19:55" ht="15.75" customHeight="1">
      <c r="S985" s="454"/>
      <c r="AN985" s="458"/>
      <c r="AY985" s="458"/>
      <c r="AZ985" s="458"/>
      <c r="BA985" s="1305"/>
      <c r="BC985" s="169"/>
    </row>
    <row r="986" spans="19:55" ht="15.75" customHeight="1">
      <c r="S986" s="454"/>
      <c r="AN986" s="458"/>
      <c r="AY986" s="458"/>
      <c r="AZ986" s="458"/>
      <c r="BA986" s="1305"/>
      <c r="BC986" s="169"/>
    </row>
    <row r="987" spans="19:55" ht="15.75" customHeight="1">
      <c r="S987" s="454"/>
      <c r="AN987" s="458"/>
      <c r="AY987" s="458"/>
      <c r="AZ987" s="458"/>
      <c r="BA987" s="1305"/>
      <c r="BC987" s="169"/>
    </row>
    <row r="988" spans="19:55" ht="15.75" customHeight="1">
      <c r="S988" s="454"/>
      <c r="AN988" s="458"/>
      <c r="AY988" s="458"/>
      <c r="AZ988" s="458"/>
      <c r="BA988" s="1305"/>
      <c r="BC988" s="169"/>
    </row>
    <row r="989" spans="19:55" ht="15.75" customHeight="1">
      <c r="S989" s="454"/>
      <c r="AN989" s="458"/>
      <c r="AY989" s="458"/>
      <c r="AZ989" s="458"/>
      <c r="BA989" s="1305"/>
      <c r="BC989" s="169"/>
    </row>
    <row r="990" spans="19:55" ht="15.75" customHeight="1">
      <c r="S990" s="454"/>
      <c r="AN990" s="458"/>
      <c r="AY990" s="458"/>
      <c r="AZ990" s="458"/>
      <c r="BA990" s="1305"/>
      <c r="BC990" s="169"/>
    </row>
    <row r="991" spans="19:55" ht="15.75" customHeight="1">
      <c r="S991" s="454"/>
      <c r="AN991" s="458"/>
      <c r="AY991" s="458"/>
      <c r="AZ991" s="458"/>
      <c r="BA991" s="1305"/>
      <c r="BC991" s="169"/>
    </row>
    <row r="992" spans="19:55" ht="15.75" customHeight="1">
      <c r="S992" s="454"/>
      <c r="AN992" s="458"/>
      <c r="AY992" s="458"/>
      <c r="AZ992" s="458"/>
      <c r="BA992" s="1305"/>
      <c r="BC992" s="169"/>
    </row>
    <row r="993" spans="19:55" ht="15.75" customHeight="1">
      <c r="S993" s="454"/>
      <c r="AN993" s="458"/>
      <c r="AY993" s="458"/>
      <c r="AZ993" s="458"/>
      <c r="BA993" s="1305"/>
      <c r="BC993" s="169"/>
    </row>
    <row r="994" spans="19:55" ht="15.75" customHeight="1">
      <c r="S994" s="454"/>
      <c r="AN994" s="458"/>
      <c r="AY994" s="458"/>
      <c r="AZ994" s="458"/>
      <c r="BA994" s="1305"/>
      <c r="BC994" s="169"/>
    </row>
    <row r="995" spans="19:55" ht="15.75" customHeight="1">
      <c r="S995" s="454"/>
      <c r="AN995" s="458"/>
      <c r="AY995" s="458"/>
      <c r="AZ995" s="458"/>
      <c r="BA995" s="1305"/>
      <c r="BC995" s="169"/>
    </row>
    <row r="996" spans="19:55" ht="15.75" customHeight="1">
      <c r="S996" s="454"/>
      <c r="AN996" s="458"/>
      <c r="AY996" s="458"/>
      <c r="AZ996" s="458"/>
      <c r="BA996" s="1305"/>
      <c r="BC996" s="169"/>
    </row>
    <row r="997" spans="19:55" ht="15.75" customHeight="1">
      <c r="S997" s="454"/>
      <c r="AN997" s="458"/>
      <c r="AY997" s="458"/>
      <c r="AZ997" s="458"/>
      <c r="BA997" s="1305"/>
      <c r="BC997" s="169"/>
    </row>
    <row r="998" spans="19:55" ht="15.75" customHeight="1">
      <c r="S998" s="454"/>
      <c r="AN998" s="458"/>
      <c r="AY998" s="458"/>
      <c r="AZ998" s="458"/>
      <c r="BA998" s="1305"/>
      <c r="BC998" s="169"/>
    </row>
    <row r="999" spans="19:55" ht="15.75" customHeight="1">
      <c r="S999" s="454"/>
      <c r="AN999" s="458"/>
      <c r="AY999" s="458"/>
      <c r="AZ999" s="458"/>
      <c r="BA999" s="1305"/>
      <c r="BC999" s="169"/>
    </row>
    <row r="1000" spans="19:55" ht="15.75" customHeight="1">
      <c r="S1000" s="454"/>
      <c r="AN1000" s="458"/>
      <c r="AY1000" s="458"/>
      <c r="AZ1000" s="458"/>
      <c r="BA1000" s="1305"/>
      <c r="BC1000" s="169"/>
    </row>
    <row r="1001" spans="19:55" ht="15.75" customHeight="1">
      <c r="S1001" s="454"/>
      <c r="AN1001" s="458"/>
      <c r="AY1001" s="458"/>
      <c r="AZ1001" s="458"/>
      <c r="BA1001" s="1305"/>
      <c r="BC1001" s="169"/>
    </row>
    <row r="1002" spans="19:55" ht="15.75" customHeight="1">
      <c r="S1002" s="454"/>
      <c r="AN1002" s="458"/>
      <c r="AY1002" s="458"/>
      <c r="AZ1002" s="458"/>
      <c r="BA1002" s="1305"/>
      <c r="BC1002" s="169"/>
    </row>
    <row r="1003" spans="19:55" ht="15.75" customHeight="1">
      <c r="S1003" s="454"/>
      <c r="AN1003" s="458"/>
      <c r="AY1003" s="458"/>
      <c r="AZ1003" s="458"/>
      <c r="BA1003" s="1305"/>
      <c r="BC1003" s="169"/>
    </row>
    <row r="1004" spans="19:55" ht="15.75" customHeight="1">
      <c r="S1004" s="454"/>
      <c r="AN1004" s="458"/>
      <c r="AY1004" s="458"/>
      <c r="AZ1004" s="458"/>
      <c r="BA1004" s="1305"/>
      <c r="BC1004" s="169"/>
    </row>
    <row r="1005" spans="19:55" ht="15.75" customHeight="1">
      <c r="S1005" s="454"/>
      <c r="AN1005" s="458"/>
      <c r="AY1005" s="458"/>
      <c r="AZ1005" s="458"/>
      <c r="BA1005" s="1305"/>
      <c r="BC1005" s="169"/>
    </row>
    <row r="1006" spans="19:55" ht="15.75" customHeight="1">
      <c r="S1006" s="454"/>
      <c r="AN1006" s="458"/>
      <c r="AY1006" s="458"/>
      <c r="AZ1006" s="458"/>
      <c r="BA1006" s="1305"/>
      <c r="BC1006" s="169"/>
    </row>
    <row r="1007" spans="19:55" ht="15.75" customHeight="1">
      <c r="S1007" s="454"/>
      <c r="AN1007" s="458"/>
      <c r="AY1007" s="458"/>
      <c r="AZ1007" s="458"/>
      <c r="BA1007" s="1305"/>
      <c r="BC1007" s="169"/>
    </row>
    <row r="1008" spans="19:55" ht="15.75" customHeight="1">
      <c r="S1008" s="454"/>
      <c r="AN1008" s="458"/>
      <c r="AY1008" s="458"/>
      <c r="AZ1008" s="458"/>
      <c r="BA1008" s="1305"/>
      <c r="BC1008" s="169"/>
    </row>
    <row r="1009" spans="19:55" ht="15.75" customHeight="1">
      <c r="S1009" s="454"/>
      <c r="AN1009" s="458"/>
      <c r="AY1009" s="458"/>
      <c r="AZ1009" s="458"/>
      <c r="BA1009" s="1305"/>
      <c r="BC1009" s="169"/>
    </row>
    <row r="1010" spans="19:55" ht="15.75" customHeight="1">
      <c r="S1010" s="454"/>
      <c r="AN1010" s="458"/>
      <c r="AY1010" s="458"/>
      <c r="AZ1010" s="458"/>
      <c r="BA1010" s="1305"/>
      <c r="BC1010" s="169"/>
    </row>
    <row r="1011" spans="19:55" ht="15.75" customHeight="1">
      <c r="S1011" s="454"/>
      <c r="AN1011" s="458"/>
      <c r="AY1011" s="458"/>
      <c r="AZ1011" s="458"/>
      <c r="BA1011" s="1305"/>
      <c r="BC1011" s="169"/>
    </row>
    <row r="1012" spans="19:55" ht="15.75" customHeight="1">
      <c r="S1012" s="454"/>
      <c r="AN1012" s="458"/>
      <c r="AY1012" s="458"/>
      <c r="AZ1012" s="458"/>
      <c r="BA1012" s="1305"/>
      <c r="BC1012" s="169"/>
    </row>
    <row r="1013" spans="19:55" ht="15.75" customHeight="1">
      <c r="S1013" s="454"/>
      <c r="AN1013" s="458"/>
      <c r="AY1013" s="458"/>
      <c r="AZ1013" s="458"/>
      <c r="BA1013" s="1305"/>
      <c r="BC1013" s="169"/>
    </row>
    <row r="1014" spans="19:55" ht="15.75" customHeight="1">
      <c r="S1014" s="454"/>
      <c r="AN1014" s="458"/>
      <c r="AY1014" s="458"/>
      <c r="AZ1014" s="458"/>
      <c r="BA1014" s="1305"/>
      <c r="BC1014" s="169"/>
    </row>
    <row r="1015" spans="19:55" ht="15.75" customHeight="1">
      <c r="S1015" s="454"/>
      <c r="AN1015" s="458"/>
      <c r="AY1015" s="458"/>
      <c r="AZ1015" s="458"/>
      <c r="BA1015" s="1305"/>
      <c r="BC1015" s="169"/>
    </row>
    <row r="1016" spans="19:55" ht="15.75" customHeight="1">
      <c r="S1016" s="454"/>
      <c r="AN1016" s="458"/>
      <c r="AY1016" s="458"/>
      <c r="AZ1016" s="458"/>
      <c r="BA1016" s="1305"/>
      <c r="BC1016" s="169"/>
    </row>
    <row r="1017" spans="19:55" ht="15.75" customHeight="1">
      <c r="S1017" s="454"/>
      <c r="AN1017" s="458"/>
      <c r="AY1017" s="458"/>
      <c r="AZ1017" s="458"/>
      <c r="BA1017" s="1305"/>
      <c r="BC1017" s="169"/>
    </row>
    <row r="1018" spans="19:55" ht="15.75" customHeight="1">
      <c r="S1018" s="454"/>
      <c r="AN1018" s="458"/>
      <c r="AY1018" s="458"/>
      <c r="AZ1018" s="458"/>
      <c r="BA1018" s="1305"/>
      <c r="BC1018" s="169"/>
    </row>
    <row r="1019" spans="19:55" ht="15.75" customHeight="1">
      <c r="S1019" s="454"/>
      <c r="AN1019" s="458"/>
      <c r="AY1019" s="458"/>
      <c r="AZ1019" s="458"/>
      <c r="BA1019" s="1305"/>
      <c r="BC1019" s="169"/>
    </row>
    <row r="1020" spans="19:55" ht="15.75" customHeight="1">
      <c r="S1020" s="454"/>
      <c r="AN1020" s="458"/>
      <c r="AY1020" s="458"/>
      <c r="AZ1020" s="458"/>
      <c r="BA1020" s="1305"/>
      <c r="BC1020" s="169"/>
    </row>
    <row r="1021" spans="19:55" ht="15.75" customHeight="1">
      <c r="S1021" s="454"/>
      <c r="AN1021" s="458"/>
      <c r="AY1021" s="458"/>
      <c r="AZ1021" s="458"/>
      <c r="BA1021" s="1305"/>
      <c r="BC1021" s="169"/>
    </row>
    <row r="1022" spans="19:55" ht="15.75" customHeight="1">
      <c r="S1022" s="454"/>
      <c r="AN1022" s="458"/>
      <c r="AY1022" s="458"/>
      <c r="AZ1022" s="458"/>
      <c r="BA1022" s="1305"/>
      <c r="BC1022" s="169"/>
    </row>
    <row r="1023" spans="19:55" ht="15.75" customHeight="1">
      <c r="S1023" s="454"/>
      <c r="AN1023" s="458"/>
      <c r="AY1023" s="458"/>
      <c r="AZ1023" s="458"/>
      <c r="BA1023" s="1305"/>
      <c r="BC1023" s="169"/>
    </row>
    <row r="1024" spans="19:55" ht="15.75" customHeight="1">
      <c r="S1024" s="454"/>
      <c r="AN1024" s="458"/>
      <c r="AY1024" s="458"/>
      <c r="AZ1024" s="458"/>
      <c r="BA1024" s="1305"/>
      <c r="BC1024" s="169"/>
    </row>
    <row r="1025" spans="19:55" ht="15.75" customHeight="1">
      <c r="S1025" s="454"/>
      <c r="AN1025" s="458"/>
      <c r="AY1025" s="458"/>
      <c r="AZ1025" s="458"/>
      <c r="BA1025" s="1305"/>
      <c r="BC1025" s="169"/>
    </row>
    <row r="1026" spans="19:55" ht="15.75" customHeight="1">
      <c r="S1026" s="454"/>
      <c r="AN1026" s="458"/>
      <c r="AY1026" s="458"/>
      <c r="AZ1026" s="458"/>
      <c r="BA1026" s="1305"/>
      <c r="BC1026" s="169"/>
    </row>
    <row r="1027" spans="19:55" ht="15.75" customHeight="1">
      <c r="S1027" s="454"/>
      <c r="AN1027" s="458"/>
      <c r="AY1027" s="458"/>
      <c r="AZ1027" s="458"/>
      <c r="BA1027" s="1305"/>
      <c r="BC1027" s="169"/>
    </row>
    <row r="1028" spans="19:55" ht="15.75" customHeight="1">
      <c r="S1028" s="454"/>
      <c r="AN1028" s="458"/>
      <c r="AY1028" s="458"/>
      <c r="AZ1028" s="458"/>
      <c r="BA1028" s="1305"/>
      <c r="BC1028" s="169"/>
    </row>
    <row r="1029" spans="19:55" ht="15.75" customHeight="1">
      <c r="S1029" s="454"/>
      <c r="AN1029" s="458"/>
      <c r="AY1029" s="458"/>
      <c r="AZ1029" s="458"/>
      <c r="BA1029" s="1305"/>
      <c r="BC1029" s="169"/>
    </row>
    <row r="1030" spans="19:55" ht="15.75" customHeight="1">
      <c r="S1030" s="454"/>
      <c r="AN1030" s="458"/>
      <c r="AY1030" s="458"/>
      <c r="AZ1030" s="458"/>
      <c r="BA1030" s="1305"/>
      <c r="BC1030" s="169"/>
    </row>
    <row r="1031" spans="19:55" ht="15.75" customHeight="1">
      <c r="S1031" s="454"/>
      <c r="AN1031" s="458"/>
      <c r="AY1031" s="458"/>
      <c r="AZ1031" s="458"/>
      <c r="BA1031" s="1305"/>
      <c r="BC1031" s="169"/>
    </row>
    <row r="1032" spans="19:55" ht="15.75" customHeight="1">
      <c r="S1032" s="454"/>
      <c r="AN1032" s="458"/>
      <c r="AY1032" s="458"/>
      <c r="AZ1032" s="458"/>
      <c r="BA1032" s="1305"/>
      <c r="BC1032" s="169"/>
    </row>
    <row r="1033" spans="19:55" ht="15.75" customHeight="1">
      <c r="S1033" s="454"/>
      <c r="AN1033" s="458"/>
      <c r="AY1033" s="458"/>
      <c r="AZ1033" s="458"/>
      <c r="BA1033" s="1305"/>
      <c r="BC1033" s="169"/>
    </row>
    <row r="1034" spans="19:55" ht="15.75" customHeight="1">
      <c r="S1034" s="454"/>
      <c r="AN1034" s="458"/>
      <c r="AY1034" s="458"/>
      <c r="AZ1034" s="458"/>
      <c r="BA1034" s="1305"/>
      <c r="BC1034" s="169"/>
    </row>
    <row r="1035" spans="19:55" ht="15.75" customHeight="1">
      <c r="S1035" s="454"/>
      <c r="AN1035" s="458"/>
      <c r="AY1035" s="458"/>
      <c r="AZ1035" s="458"/>
      <c r="BA1035" s="1305"/>
      <c r="BC1035" s="169"/>
    </row>
    <row r="1036" spans="19:55" ht="15.75" customHeight="1">
      <c r="S1036" s="454"/>
      <c r="AN1036" s="458"/>
      <c r="AY1036" s="458"/>
      <c r="AZ1036" s="458"/>
      <c r="BA1036" s="1305"/>
      <c r="BC1036" s="169"/>
    </row>
    <row r="1037" spans="19:55" ht="15.75" customHeight="1">
      <c r="S1037" s="454"/>
      <c r="AN1037" s="458"/>
      <c r="AY1037" s="458"/>
      <c r="AZ1037" s="458"/>
      <c r="BA1037" s="1305"/>
      <c r="BC1037" s="169"/>
    </row>
    <row r="1038" spans="19:55" ht="15.75" customHeight="1">
      <c r="S1038" s="454"/>
      <c r="AN1038" s="458"/>
      <c r="AY1038" s="458"/>
      <c r="AZ1038" s="458"/>
      <c r="BA1038" s="1305"/>
      <c r="BC1038" s="169"/>
    </row>
    <row r="1039" spans="19:55" ht="15.75" customHeight="1">
      <c r="S1039" s="454"/>
      <c r="AN1039" s="458"/>
      <c r="AY1039" s="458"/>
      <c r="AZ1039" s="458"/>
      <c r="BA1039" s="1305"/>
      <c r="BC1039" s="169"/>
    </row>
    <row r="1040" spans="19:55" ht="15.75" customHeight="1">
      <c r="S1040" s="454"/>
      <c r="AN1040" s="458"/>
      <c r="AY1040" s="458"/>
      <c r="AZ1040" s="458"/>
      <c r="BA1040" s="1305"/>
      <c r="BC1040" s="169"/>
    </row>
    <row r="1041" spans="19:55" ht="15.75" customHeight="1">
      <c r="S1041" s="454"/>
      <c r="AN1041" s="458"/>
      <c r="AY1041" s="458"/>
      <c r="AZ1041" s="458"/>
      <c r="BA1041" s="1305"/>
      <c r="BC1041" s="169"/>
    </row>
    <row r="1042" spans="19:55" ht="15.75" customHeight="1">
      <c r="S1042" s="454"/>
      <c r="AN1042" s="458"/>
      <c r="AY1042" s="458"/>
      <c r="AZ1042" s="458"/>
      <c r="BA1042" s="1305"/>
      <c r="BC1042" s="169"/>
    </row>
    <row r="1043" spans="19:55" ht="15.75" customHeight="1">
      <c r="S1043" s="454"/>
      <c r="AN1043" s="458"/>
      <c r="AY1043" s="458"/>
      <c r="AZ1043" s="458"/>
      <c r="BA1043" s="1305"/>
      <c r="BC1043" s="169"/>
    </row>
    <row r="1044" spans="19:55" ht="15.75" customHeight="1">
      <c r="S1044" s="454"/>
      <c r="AN1044" s="458"/>
      <c r="AY1044" s="458"/>
      <c r="AZ1044" s="458"/>
      <c r="BA1044" s="1305"/>
      <c r="BC1044" s="169"/>
    </row>
    <row r="1045" spans="19:55" ht="15.75" customHeight="1">
      <c r="S1045" s="454"/>
      <c r="AN1045" s="458"/>
      <c r="AY1045" s="458"/>
      <c r="AZ1045" s="458"/>
      <c r="BA1045" s="1305"/>
      <c r="BC1045" s="169"/>
    </row>
    <row r="1046" spans="19:55" ht="15.75" customHeight="1">
      <c r="S1046" s="454"/>
      <c r="AN1046" s="458"/>
      <c r="AY1046" s="458"/>
      <c r="AZ1046" s="458"/>
      <c r="BA1046" s="1305"/>
      <c r="BC1046" s="169"/>
    </row>
    <row r="1047" spans="19:55" ht="15.75" customHeight="1">
      <c r="S1047" s="454"/>
      <c r="AN1047" s="458"/>
      <c r="AY1047" s="458"/>
      <c r="AZ1047" s="458"/>
      <c r="BA1047" s="1305"/>
      <c r="BC1047" s="169"/>
    </row>
    <row r="1048" spans="19:55" ht="15.75" customHeight="1">
      <c r="S1048" s="454"/>
      <c r="AN1048" s="458"/>
      <c r="AY1048" s="458"/>
      <c r="AZ1048" s="458"/>
      <c r="BA1048" s="1305"/>
      <c r="BC1048" s="169"/>
    </row>
    <row r="1049" spans="19:55" ht="15.75" customHeight="1">
      <c r="S1049" s="454"/>
      <c r="AN1049" s="458"/>
      <c r="AY1049" s="458"/>
      <c r="AZ1049" s="458"/>
      <c r="BA1049" s="1305"/>
      <c r="BC1049" s="169"/>
    </row>
    <row r="1050" spans="19:55" ht="15.75" customHeight="1">
      <c r="S1050" s="454"/>
      <c r="AN1050" s="458"/>
      <c r="AY1050" s="458"/>
      <c r="AZ1050" s="458"/>
      <c r="BA1050" s="1305"/>
      <c r="BC1050" s="169"/>
    </row>
    <row r="1051" spans="19:55" ht="15.75" customHeight="1">
      <c r="S1051" s="454"/>
      <c r="AN1051" s="458"/>
      <c r="AY1051" s="458"/>
      <c r="AZ1051" s="458"/>
      <c r="BA1051" s="1305"/>
      <c r="BC1051" s="169"/>
    </row>
    <row r="1052" spans="19:55" ht="15.75" customHeight="1">
      <c r="S1052" s="454"/>
      <c r="AN1052" s="458"/>
      <c r="AY1052" s="458"/>
      <c r="AZ1052" s="458"/>
      <c r="BA1052" s="1305"/>
      <c r="BC1052" s="169"/>
    </row>
    <row r="1053" spans="19:55" ht="15.75" customHeight="1">
      <c r="S1053" s="454"/>
      <c r="AN1053" s="458"/>
      <c r="AY1053" s="458"/>
      <c r="AZ1053" s="458"/>
      <c r="BA1053" s="1305"/>
      <c r="BC1053" s="169"/>
    </row>
    <row r="1054" spans="19:55" ht="15.75" customHeight="1">
      <c r="S1054" s="454"/>
      <c r="AN1054" s="458"/>
      <c r="AY1054" s="458"/>
      <c r="AZ1054" s="458"/>
      <c r="BA1054" s="1305"/>
      <c r="BC1054" s="169"/>
    </row>
    <row r="1055" spans="19:55" ht="15.75" customHeight="1">
      <c r="S1055" s="454"/>
      <c r="AN1055" s="458"/>
      <c r="AY1055" s="458"/>
      <c r="AZ1055" s="458"/>
      <c r="BA1055" s="1305"/>
      <c r="BC1055" s="169"/>
    </row>
    <row r="1056" spans="19:55" ht="15.75" customHeight="1">
      <c r="S1056" s="454"/>
      <c r="AN1056" s="458"/>
      <c r="AY1056" s="458"/>
      <c r="AZ1056" s="458"/>
      <c r="BA1056" s="1305"/>
      <c r="BC1056" s="169"/>
    </row>
    <row r="1057" spans="19:55" ht="15.75" customHeight="1">
      <c r="S1057" s="454"/>
      <c r="AN1057" s="458"/>
      <c r="AY1057" s="458"/>
      <c r="AZ1057" s="458"/>
      <c r="BA1057" s="1305"/>
      <c r="BC1057" s="169"/>
    </row>
    <row r="1058" spans="19:55" ht="15.75" customHeight="1">
      <c r="S1058" s="454"/>
      <c r="AN1058" s="458"/>
      <c r="AY1058" s="458"/>
      <c r="AZ1058" s="458"/>
      <c r="BA1058" s="1305"/>
      <c r="BC1058" s="169"/>
    </row>
    <row r="1059" spans="19:55" ht="15.75" customHeight="1">
      <c r="S1059" s="454"/>
      <c r="AN1059" s="458"/>
      <c r="AY1059" s="458"/>
      <c r="AZ1059" s="458"/>
      <c r="BA1059" s="1305"/>
      <c r="BC1059" s="169"/>
    </row>
    <row r="1060" spans="19:55" ht="15.75" customHeight="1">
      <c r="S1060" s="454"/>
      <c r="AN1060" s="458"/>
      <c r="AY1060" s="458"/>
      <c r="AZ1060" s="458"/>
      <c r="BA1060" s="1305"/>
      <c r="BC1060" s="169"/>
    </row>
    <row r="1061" spans="19:55" ht="15.75" customHeight="1">
      <c r="S1061" s="454"/>
      <c r="AN1061" s="458"/>
      <c r="AY1061" s="458"/>
      <c r="AZ1061" s="458"/>
      <c r="BA1061" s="1305"/>
      <c r="BC1061" s="169"/>
    </row>
    <row r="1062" spans="19:55" ht="15.75" customHeight="1">
      <c r="S1062" s="454"/>
      <c r="AN1062" s="458"/>
      <c r="AY1062" s="458"/>
      <c r="AZ1062" s="458"/>
      <c r="BA1062" s="1305"/>
      <c r="BC1062" s="169"/>
    </row>
    <row r="1063" spans="19:55" ht="15.75" customHeight="1">
      <c r="S1063" s="454"/>
      <c r="AN1063" s="458"/>
      <c r="AY1063" s="458"/>
      <c r="AZ1063" s="458"/>
      <c r="BA1063" s="1305"/>
      <c r="BC1063" s="169"/>
    </row>
    <row r="1064" spans="19:55" ht="15.75" customHeight="1">
      <c r="S1064" s="454"/>
      <c r="AN1064" s="458"/>
      <c r="AY1064" s="458"/>
      <c r="AZ1064" s="458"/>
      <c r="BA1064" s="1305"/>
      <c r="BC1064" s="169"/>
    </row>
    <row r="1065" spans="19:55" ht="15.75" customHeight="1">
      <c r="S1065" s="454"/>
      <c r="AN1065" s="458"/>
      <c r="AY1065" s="458"/>
      <c r="AZ1065" s="458"/>
      <c r="BA1065" s="1305"/>
      <c r="BC1065" s="169"/>
    </row>
    <row r="1066" spans="19:55" ht="15.75" customHeight="1">
      <c r="S1066" s="454"/>
      <c r="AN1066" s="458"/>
      <c r="AY1066" s="458"/>
      <c r="AZ1066" s="458"/>
      <c r="BA1066" s="1305"/>
      <c r="BC1066" s="169"/>
    </row>
    <row r="1067" spans="19:55" ht="15.75" customHeight="1">
      <c r="S1067" s="454"/>
      <c r="AN1067" s="458"/>
      <c r="AY1067" s="458"/>
      <c r="AZ1067" s="458"/>
      <c r="BA1067" s="1305"/>
      <c r="BC1067" s="169"/>
    </row>
    <row r="1068" spans="19:55" ht="15.75" customHeight="1">
      <c r="S1068" s="454"/>
      <c r="AN1068" s="458"/>
      <c r="AY1068" s="458"/>
      <c r="AZ1068" s="458"/>
      <c r="BA1068" s="1305"/>
      <c r="BC1068" s="169"/>
    </row>
    <row r="1069" spans="19:55" ht="15.75" customHeight="1">
      <c r="S1069" s="454"/>
      <c r="AN1069" s="458"/>
      <c r="AY1069" s="458"/>
      <c r="AZ1069" s="458"/>
      <c r="BA1069" s="1305"/>
      <c r="BC1069" s="169"/>
    </row>
    <row r="1070" spans="19:55" ht="15.75" customHeight="1">
      <c r="S1070" s="454"/>
      <c r="AN1070" s="458"/>
      <c r="AY1070" s="458"/>
      <c r="AZ1070" s="458"/>
      <c r="BA1070" s="1305"/>
      <c r="BC1070" s="169"/>
    </row>
    <row r="1071" spans="19:55" ht="15.75" customHeight="1">
      <c r="S1071" s="454"/>
      <c r="AN1071" s="458"/>
      <c r="AY1071" s="458"/>
      <c r="AZ1071" s="458"/>
      <c r="BA1071" s="1305"/>
      <c r="BC1071" s="169"/>
    </row>
    <row r="1072" spans="19:55" ht="15.75" customHeight="1">
      <c r="S1072" s="454"/>
      <c r="AN1072" s="458"/>
      <c r="AY1072" s="458"/>
      <c r="AZ1072" s="458"/>
      <c r="BA1072" s="1305"/>
      <c r="BC1072" s="169"/>
    </row>
    <row r="1073" spans="19:55" ht="15.75" customHeight="1">
      <c r="S1073" s="454"/>
      <c r="AN1073" s="458"/>
      <c r="AY1073" s="458"/>
      <c r="AZ1073" s="458"/>
      <c r="BA1073" s="1305"/>
      <c r="BC1073" s="169"/>
    </row>
    <row r="1074" spans="19:55" ht="15.75" customHeight="1">
      <c r="S1074" s="454"/>
      <c r="AN1074" s="458"/>
      <c r="AY1074" s="458"/>
      <c r="AZ1074" s="458"/>
      <c r="BA1074" s="1305"/>
      <c r="BC1074" s="169"/>
    </row>
    <row r="1075" spans="19:55" ht="15.75" customHeight="1">
      <c r="S1075" s="454"/>
      <c r="AN1075" s="458"/>
      <c r="AY1075" s="458"/>
      <c r="AZ1075" s="458"/>
      <c r="BA1075" s="1305"/>
      <c r="BC1075" s="169"/>
    </row>
    <row r="1076" spans="19:55" ht="15.75" customHeight="1">
      <c r="S1076" s="454"/>
      <c r="AN1076" s="458"/>
      <c r="AY1076" s="458"/>
      <c r="AZ1076" s="458"/>
      <c r="BA1076" s="1305"/>
      <c r="BC1076" s="169"/>
    </row>
    <row r="1077" spans="19:55" ht="15.75" customHeight="1">
      <c r="S1077" s="454"/>
      <c r="AN1077" s="458"/>
      <c r="AY1077" s="458"/>
      <c r="AZ1077" s="458"/>
      <c r="BA1077" s="1305"/>
      <c r="BC1077" s="169"/>
    </row>
    <row r="1078" spans="19:55" ht="15.75" customHeight="1">
      <c r="S1078" s="454"/>
      <c r="AN1078" s="458"/>
      <c r="AY1078" s="458"/>
      <c r="AZ1078" s="458"/>
      <c r="BA1078" s="1305"/>
      <c r="BC1078" s="169"/>
    </row>
    <row r="1079" spans="19:55" ht="15.75" customHeight="1">
      <c r="S1079" s="454"/>
      <c r="AN1079" s="458"/>
      <c r="AY1079" s="458"/>
      <c r="AZ1079" s="458"/>
      <c r="BA1079" s="1305"/>
      <c r="BC1079" s="169"/>
    </row>
    <row r="1080" spans="19:55" ht="15.75" customHeight="1">
      <c r="S1080" s="454"/>
      <c r="AN1080" s="458"/>
      <c r="AY1080" s="458"/>
      <c r="AZ1080" s="458"/>
      <c r="BA1080" s="1305"/>
      <c r="BC1080" s="169"/>
    </row>
    <row r="1081" spans="19:55" ht="15.75" customHeight="1">
      <c r="S1081" s="454"/>
      <c r="AN1081" s="458"/>
      <c r="AY1081" s="458"/>
      <c r="AZ1081" s="458"/>
      <c r="BA1081" s="1305"/>
      <c r="BC1081" s="169"/>
    </row>
    <row r="1082" spans="19:55" ht="15.75" customHeight="1">
      <c r="S1082" s="454"/>
      <c r="AN1082" s="458"/>
      <c r="AY1082" s="458"/>
      <c r="AZ1082" s="458"/>
      <c r="BA1082" s="1305"/>
      <c r="BC1082" s="169"/>
    </row>
    <row r="1083" spans="19:55" ht="15.75" customHeight="1">
      <c r="S1083" s="454"/>
      <c r="AN1083" s="458"/>
      <c r="AY1083" s="458"/>
      <c r="AZ1083" s="458"/>
      <c r="BA1083" s="1305"/>
      <c r="BC1083" s="169"/>
    </row>
    <row r="1084" spans="19:55" ht="15.75" customHeight="1">
      <c r="S1084" s="454"/>
      <c r="AN1084" s="458"/>
      <c r="AY1084" s="458"/>
      <c r="AZ1084" s="458"/>
      <c r="BA1084" s="1305"/>
      <c r="BC1084" s="169"/>
    </row>
    <row r="1085" spans="19:55" ht="15.75" customHeight="1">
      <c r="S1085" s="454"/>
      <c r="AN1085" s="458"/>
      <c r="AY1085" s="458"/>
      <c r="AZ1085" s="458"/>
      <c r="BA1085" s="1305"/>
      <c r="BC1085" s="169"/>
    </row>
    <row r="1086" spans="19:55" ht="15.75" customHeight="1">
      <c r="S1086" s="454"/>
      <c r="AN1086" s="458"/>
      <c r="AY1086" s="458"/>
      <c r="AZ1086" s="458"/>
      <c r="BA1086" s="1305"/>
      <c r="BC1086" s="169"/>
    </row>
    <row r="1087" spans="19:55" ht="15.75" customHeight="1">
      <c r="S1087" s="454"/>
      <c r="AN1087" s="458"/>
      <c r="AY1087" s="458"/>
      <c r="AZ1087" s="458"/>
      <c r="BA1087" s="1305"/>
      <c r="BC1087" s="169"/>
    </row>
    <row r="1088" spans="19:55" ht="15.75" customHeight="1">
      <c r="S1088" s="454"/>
      <c r="AN1088" s="458"/>
      <c r="AY1088" s="458"/>
      <c r="AZ1088" s="458"/>
      <c r="BA1088" s="1305"/>
      <c r="BC1088" s="169"/>
    </row>
    <row r="1089" spans="19:55" ht="15.75" customHeight="1">
      <c r="S1089" s="454"/>
      <c r="AN1089" s="458"/>
      <c r="AY1089" s="458"/>
      <c r="AZ1089" s="458"/>
      <c r="BA1089" s="1305"/>
      <c r="BC1089" s="169"/>
    </row>
    <row r="1090" spans="19:55" ht="15.75" customHeight="1">
      <c r="S1090" s="454"/>
      <c r="AN1090" s="458"/>
      <c r="AY1090" s="458"/>
      <c r="AZ1090" s="458"/>
      <c r="BA1090" s="1305"/>
      <c r="BC1090" s="169"/>
    </row>
    <row r="1091" spans="19:55" ht="15.75" customHeight="1">
      <c r="S1091" s="454"/>
      <c r="AN1091" s="458"/>
      <c r="AY1091" s="458"/>
      <c r="AZ1091" s="458"/>
      <c r="BA1091" s="1266"/>
      <c r="BC1091" s="169"/>
    </row>
    <row r="1092" spans="19:55" ht="15.75" customHeight="1">
      <c r="S1092" s="454"/>
      <c r="AN1092" s="458"/>
      <c r="AY1092" s="458"/>
      <c r="AZ1092" s="458"/>
      <c r="BA1092" s="1266"/>
      <c r="BC1092" s="169"/>
    </row>
    <row r="1093" spans="19:55" ht="15.75" customHeight="1">
      <c r="S1093" s="454"/>
      <c r="AN1093" s="458"/>
      <c r="AY1093" s="458"/>
      <c r="AZ1093" s="458"/>
      <c r="BA1093" s="1266"/>
      <c r="BC1093" s="169"/>
    </row>
    <row r="1094" spans="19:55" ht="15.75" customHeight="1">
      <c r="S1094" s="454"/>
      <c r="AN1094" s="458"/>
      <c r="AY1094" s="458"/>
      <c r="AZ1094" s="458"/>
      <c r="BA1094" s="1266"/>
      <c r="BC1094" s="169"/>
    </row>
    <row r="1095" spans="19:55" ht="15.75" customHeight="1">
      <c r="S1095" s="454"/>
      <c r="AN1095" s="458"/>
      <c r="AY1095" s="458"/>
      <c r="AZ1095" s="458"/>
      <c r="BA1095" s="1266"/>
      <c r="BC1095" s="169"/>
    </row>
    <row r="1096" spans="19:55" ht="15.75" customHeight="1">
      <c r="S1096" s="454"/>
      <c r="AN1096" s="458"/>
      <c r="AY1096" s="458"/>
      <c r="AZ1096" s="458"/>
      <c r="BA1096" s="1266"/>
      <c r="BC1096" s="169"/>
    </row>
    <row r="1097" spans="19:55" ht="15.75" customHeight="1">
      <c r="S1097" s="454"/>
      <c r="AN1097" s="458"/>
      <c r="AY1097" s="458"/>
      <c r="AZ1097" s="458"/>
      <c r="BA1097" s="1266"/>
      <c r="BC1097" s="169"/>
    </row>
    <row r="1098" spans="19:55" ht="15.75" customHeight="1">
      <c r="S1098" s="454"/>
      <c r="AN1098" s="458"/>
      <c r="AY1098" s="458"/>
      <c r="AZ1098" s="458"/>
      <c r="BA1098" s="1266"/>
      <c r="BC1098" s="169"/>
    </row>
    <row r="1099" spans="19:55" ht="15.75" customHeight="1">
      <c r="S1099" s="454"/>
      <c r="AN1099" s="458"/>
      <c r="AY1099" s="458"/>
      <c r="AZ1099" s="458"/>
      <c r="BA1099" s="1266"/>
      <c r="BC1099" s="169"/>
    </row>
    <row r="1100" spans="19:55" ht="15.75" customHeight="1">
      <c r="S1100" s="454"/>
      <c r="AN1100" s="458"/>
      <c r="AY1100" s="458"/>
      <c r="AZ1100" s="458"/>
      <c r="BA1100" s="1266"/>
      <c r="BC1100" s="169"/>
    </row>
    <row r="1101" spans="19:55" ht="15.75" customHeight="1">
      <c r="S1101" s="454"/>
      <c r="AN1101" s="458"/>
      <c r="AY1101" s="458"/>
      <c r="AZ1101" s="458"/>
      <c r="BA1101" s="1266"/>
      <c r="BC1101" s="169"/>
    </row>
    <row r="1102" spans="19:55" ht="15.75" customHeight="1">
      <c r="S1102" s="454"/>
      <c r="AN1102" s="458"/>
      <c r="AY1102" s="458"/>
      <c r="AZ1102" s="458"/>
      <c r="BA1102" s="1266"/>
      <c r="BC1102" s="169"/>
    </row>
    <row r="1103" spans="19:55" ht="15.75" customHeight="1">
      <c r="S1103" s="454"/>
      <c r="AN1103" s="458"/>
      <c r="AY1103" s="458"/>
      <c r="AZ1103" s="458"/>
      <c r="BA1103" s="1266"/>
      <c r="BC1103" s="169"/>
    </row>
    <row r="1104" spans="19:55" ht="15.75" customHeight="1">
      <c r="S1104" s="454"/>
      <c r="AN1104" s="458"/>
      <c r="AY1104" s="458"/>
      <c r="AZ1104" s="458"/>
      <c r="BA1104" s="1266"/>
      <c r="BC1104" s="169"/>
    </row>
    <row r="1105" spans="19:55" ht="15.75" customHeight="1">
      <c r="S1105" s="454"/>
      <c r="AN1105" s="458"/>
      <c r="AY1105" s="458"/>
      <c r="AZ1105" s="458"/>
      <c r="BA1105" s="1266"/>
      <c r="BC1105" s="169"/>
    </row>
    <row r="1106" spans="19:55" ht="15.75" customHeight="1">
      <c r="S1106" s="454"/>
      <c r="AN1106" s="458"/>
      <c r="AY1106" s="458"/>
      <c r="AZ1106" s="458"/>
      <c r="BA1106" s="1266"/>
      <c r="BC1106" s="169"/>
    </row>
    <row r="1107" spans="19:55" ht="15.75" customHeight="1">
      <c r="S1107" s="454"/>
      <c r="AN1107" s="458"/>
      <c r="AY1107" s="458"/>
      <c r="AZ1107" s="458"/>
      <c r="BA1107" s="1266"/>
      <c r="BC1107" s="169"/>
    </row>
    <row r="1108" spans="19:55" ht="15.75" customHeight="1">
      <c r="S1108" s="454"/>
      <c r="AN1108" s="458"/>
      <c r="AY1108" s="458"/>
      <c r="AZ1108" s="458"/>
      <c r="BA1108" s="1266"/>
      <c r="BC1108" s="169"/>
    </row>
    <row r="1109" spans="19:55" ht="15.75" customHeight="1">
      <c r="S1109" s="454"/>
      <c r="AN1109" s="458"/>
      <c r="AY1109" s="458"/>
      <c r="AZ1109" s="458"/>
      <c r="BA1109" s="1266"/>
      <c r="BC1109" s="169"/>
    </row>
    <row r="1110" spans="19:55" ht="15.75" customHeight="1">
      <c r="S1110" s="454"/>
      <c r="AN1110" s="458"/>
      <c r="AY1110" s="458"/>
      <c r="AZ1110" s="458"/>
      <c r="BA1110" s="1266"/>
      <c r="BC1110" s="169"/>
    </row>
    <row r="1111" spans="19:55" ht="15.75" customHeight="1">
      <c r="S1111" s="454"/>
      <c r="AN1111" s="458"/>
      <c r="AY1111" s="458"/>
      <c r="AZ1111" s="458"/>
      <c r="BA1111" s="1266"/>
      <c r="BC1111" s="169"/>
    </row>
    <row r="1112" spans="19:55" ht="15.75" customHeight="1">
      <c r="S1112" s="454"/>
      <c r="AN1112" s="458"/>
      <c r="AY1112" s="458"/>
      <c r="AZ1112" s="458"/>
      <c r="BA1112" s="1266"/>
      <c r="BC1112" s="169"/>
    </row>
    <row r="1113" spans="19:55" ht="15.75" customHeight="1">
      <c r="S1113" s="454"/>
      <c r="AN1113" s="458"/>
      <c r="AY1113" s="458"/>
      <c r="AZ1113" s="458"/>
      <c r="BA1113" s="1266"/>
      <c r="BC1113" s="169"/>
    </row>
    <row r="1114" spans="19:55" ht="15.75" customHeight="1">
      <c r="S1114" s="454"/>
      <c r="AN1114" s="458"/>
      <c r="AY1114" s="458"/>
      <c r="AZ1114" s="458"/>
      <c r="BA1114" s="1266"/>
      <c r="BC1114" s="169"/>
    </row>
    <row r="1115" spans="19:55" ht="15.75" customHeight="1">
      <c r="S1115" s="454"/>
      <c r="AN1115" s="458"/>
      <c r="AY1115" s="458"/>
      <c r="AZ1115" s="458"/>
      <c r="BA1115" s="1266"/>
      <c r="BC1115" s="169"/>
    </row>
    <row r="1116" spans="19:55" ht="15.75" customHeight="1">
      <c r="S1116" s="454"/>
      <c r="AN1116" s="458"/>
      <c r="AY1116" s="458"/>
      <c r="AZ1116" s="458"/>
      <c r="BA1116" s="1266"/>
      <c r="BC1116" s="169"/>
    </row>
    <row r="1117" spans="19:55" ht="15.75" customHeight="1">
      <c r="S1117" s="454"/>
      <c r="AN1117" s="458"/>
      <c r="AY1117" s="458"/>
      <c r="AZ1117" s="458"/>
      <c r="BA1117" s="1266"/>
      <c r="BC1117" s="169"/>
    </row>
    <row r="1118" spans="19:55" ht="15.75" customHeight="1">
      <c r="S1118" s="454"/>
      <c r="AN1118" s="458"/>
      <c r="AY1118" s="458"/>
      <c r="AZ1118" s="458"/>
      <c r="BA1118" s="1266"/>
      <c r="BC1118" s="169"/>
    </row>
    <row r="1119" spans="19:55" ht="15.75" customHeight="1">
      <c r="S1119" s="454"/>
      <c r="AN1119" s="458"/>
      <c r="AY1119" s="458"/>
      <c r="AZ1119" s="458"/>
      <c r="BA1119" s="1266"/>
      <c r="BC1119" s="169"/>
    </row>
    <row r="1120" spans="19:55" ht="15.75" customHeight="1">
      <c r="S1120" s="454"/>
      <c r="AN1120" s="458"/>
      <c r="AY1120" s="458"/>
      <c r="AZ1120" s="458"/>
      <c r="BA1120" s="1266"/>
      <c r="BC1120" s="169"/>
    </row>
    <row r="1121" spans="19:55" ht="15.75" customHeight="1">
      <c r="S1121" s="454"/>
      <c r="AN1121" s="458"/>
      <c r="AY1121" s="458"/>
      <c r="AZ1121" s="458"/>
      <c r="BA1121" s="1266"/>
      <c r="BC1121" s="169"/>
    </row>
    <row r="1122" spans="19:55" ht="15.75" customHeight="1">
      <c r="S1122" s="454"/>
      <c r="AN1122" s="458"/>
      <c r="AY1122" s="458"/>
      <c r="AZ1122" s="458"/>
      <c r="BA1122" s="1266"/>
      <c r="BC1122" s="169"/>
    </row>
    <row r="1123" spans="19:55" ht="15.75" customHeight="1">
      <c r="S1123" s="454"/>
      <c r="AN1123" s="458"/>
      <c r="AY1123" s="458"/>
      <c r="AZ1123" s="458"/>
      <c r="BA1123" s="1266"/>
      <c r="BC1123" s="169"/>
    </row>
    <row r="1124" spans="19:55" ht="15.75" customHeight="1">
      <c r="S1124" s="454"/>
      <c r="AN1124" s="458"/>
      <c r="AY1124" s="458"/>
      <c r="AZ1124" s="458"/>
      <c r="BA1124" s="1266"/>
      <c r="BC1124" s="169"/>
    </row>
    <row r="1125" spans="19:55" ht="15.75" customHeight="1">
      <c r="S1125" s="454"/>
      <c r="AN1125" s="458"/>
      <c r="AY1125" s="458"/>
      <c r="AZ1125" s="458"/>
      <c r="BA1125" s="1266"/>
      <c r="BC1125" s="169"/>
    </row>
    <row r="1126" spans="19:55" ht="15.75" customHeight="1">
      <c r="S1126" s="454"/>
      <c r="AN1126" s="458"/>
      <c r="AY1126" s="458"/>
      <c r="AZ1126" s="458"/>
      <c r="BA1126" s="1266"/>
      <c r="BC1126" s="169"/>
    </row>
    <row r="1127" spans="19:55" ht="15.75" customHeight="1">
      <c r="S1127" s="454"/>
      <c r="AN1127" s="458"/>
      <c r="AY1127" s="458"/>
      <c r="AZ1127" s="458"/>
      <c r="BA1127" s="1266"/>
      <c r="BC1127" s="169"/>
    </row>
    <row r="1128" spans="19:55" ht="15.75" customHeight="1">
      <c r="S1128" s="454"/>
      <c r="AN1128" s="458"/>
      <c r="AY1128" s="458"/>
      <c r="AZ1128" s="458"/>
      <c r="BA1128" s="1266"/>
      <c r="BC1128" s="169"/>
    </row>
    <row r="1129" spans="19:55" ht="15.75" customHeight="1">
      <c r="S1129" s="454"/>
      <c r="AN1129" s="458"/>
      <c r="AY1129" s="458"/>
      <c r="AZ1129" s="458"/>
      <c r="BA1129" s="1266"/>
      <c r="BC1129" s="169"/>
    </row>
    <row r="1130" spans="19:55" ht="15.75" customHeight="1">
      <c r="S1130" s="454"/>
      <c r="AN1130" s="458"/>
      <c r="AY1130" s="458"/>
      <c r="AZ1130" s="458"/>
      <c r="BA1130" s="1266"/>
      <c r="BC1130" s="169"/>
    </row>
    <row r="1131" spans="19:55" ht="15.75" customHeight="1">
      <c r="S1131" s="454"/>
      <c r="AN1131" s="458"/>
      <c r="AY1131" s="458"/>
      <c r="AZ1131" s="458"/>
      <c r="BA1131" s="1266"/>
      <c r="BC1131" s="169"/>
    </row>
    <row r="1132" spans="19:55" ht="15.75" customHeight="1">
      <c r="S1132" s="454"/>
      <c r="AN1132" s="458"/>
      <c r="AY1132" s="458"/>
      <c r="AZ1132" s="458"/>
      <c r="BA1132" s="1266"/>
      <c r="BC1132" s="169"/>
    </row>
    <row r="1133" spans="19:55" ht="15.75" customHeight="1">
      <c r="S1133" s="454"/>
      <c r="AN1133" s="458"/>
      <c r="AY1133" s="458"/>
      <c r="AZ1133" s="458"/>
      <c r="BA1133" s="1266"/>
      <c r="BC1133" s="169"/>
    </row>
    <row r="1134" spans="19:55" ht="15.75" customHeight="1">
      <c r="S1134" s="454"/>
      <c r="AN1134" s="458"/>
      <c r="AY1134" s="458"/>
      <c r="AZ1134" s="458"/>
      <c r="BA1134" s="1266"/>
      <c r="BC1134" s="169"/>
    </row>
    <row r="1135" spans="19:55" ht="15.75" customHeight="1">
      <c r="S1135" s="454"/>
      <c r="AN1135" s="458"/>
      <c r="AY1135" s="458"/>
      <c r="AZ1135" s="458"/>
      <c r="BA1135" s="1266"/>
      <c r="BC1135" s="169"/>
    </row>
    <row r="1136" spans="19:55" ht="15.75" customHeight="1">
      <c r="S1136" s="454"/>
      <c r="AN1136" s="458"/>
      <c r="AY1136" s="458"/>
      <c r="AZ1136" s="458"/>
      <c r="BA1136" s="1266"/>
      <c r="BC1136" s="169"/>
    </row>
    <row r="1137" spans="19:55" ht="15.75" customHeight="1">
      <c r="S1137" s="454"/>
      <c r="AN1137" s="458"/>
      <c r="AY1137" s="458"/>
      <c r="AZ1137" s="458"/>
      <c r="BA1137" s="1266"/>
      <c r="BC1137" s="169"/>
    </row>
    <row r="1138" spans="19:55" ht="15.75" customHeight="1">
      <c r="S1138" s="454"/>
      <c r="AN1138" s="458"/>
      <c r="AY1138" s="458"/>
      <c r="AZ1138" s="458"/>
      <c r="BA1138" s="1266"/>
      <c r="BC1138" s="169"/>
    </row>
    <row r="1139" spans="19:55" ht="15.75" customHeight="1">
      <c r="S1139" s="454"/>
      <c r="AN1139" s="458"/>
      <c r="AY1139" s="458"/>
      <c r="AZ1139" s="458"/>
      <c r="BA1139" s="1266"/>
      <c r="BC1139" s="169"/>
    </row>
    <row r="1140" spans="19:55" ht="15.75" customHeight="1">
      <c r="S1140" s="454"/>
      <c r="AN1140" s="458"/>
      <c r="AY1140" s="458"/>
      <c r="AZ1140" s="458"/>
      <c r="BA1140" s="1266"/>
      <c r="BC1140" s="169"/>
    </row>
    <row r="1141" spans="19:55" ht="15.75" customHeight="1">
      <c r="S1141" s="454"/>
      <c r="AN1141" s="458"/>
      <c r="AY1141" s="458"/>
      <c r="AZ1141" s="458"/>
      <c r="BA1141" s="1266"/>
      <c r="BC1141" s="169"/>
    </row>
    <row r="1142" spans="19:55" ht="15.75" customHeight="1">
      <c r="S1142" s="454"/>
      <c r="AN1142" s="458"/>
      <c r="AY1142" s="458"/>
      <c r="AZ1142" s="458"/>
      <c r="BA1142" s="1266"/>
      <c r="BC1142" s="169"/>
    </row>
    <row r="1143" spans="19:55" ht="15.75" customHeight="1">
      <c r="S1143" s="454"/>
      <c r="AN1143" s="458"/>
      <c r="AY1143" s="458"/>
      <c r="AZ1143" s="458"/>
      <c r="BA1143" s="1266"/>
      <c r="BC1143" s="169"/>
    </row>
    <row r="1144" spans="19:55" ht="15.75" customHeight="1">
      <c r="S1144" s="454"/>
      <c r="AN1144" s="458"/>
      <c r="AY1144" s="458"/>
      <c r="AZ1144" s="458"/>
      <c r="BA1144" s="1266"/>
      <c r="BC1144" s="169"/>
    </row>
    <row r="1145" spans="19:55" ht="15.75" customHeight="1">
      <c r="S1145" s="454"/>
      <c r="AN1145" s="458"/>
      <c r="AY1145" s="458"/>
      <c r="AZ1145" s="458"/>
      <c r="BA1145" s="1266"/>
      <c r="BC1145" s="169"/>
    </row>
    <row r="1146" spans="19:55" ht="15.75" customHeight="1">
      <c r="S1146" s="454"/>
      <c r="AN1146" s="458"/>
      <c r="AY1146" s="458"/>
      <c r="AZ1146" s="458"/>
      <c r="BA1146" s="1266"/>
      <c r="BC1146" s="169"/>
    </row>
    <row r="1147" spans="19:55" ht="15.75" customHeight="1">
      <c r="S1147" s="454"/>
      <c r="AN1147" s="458"/>
      <c r="AY1147" s="458"/>
      <c r="AZ1147" s="458"/>
      <c r="BA1147" s="1266"/>
      <c r="BC1147" s="169"/>
    </row>
    <row r="1148" spans="19:55" ht="15.75" customHeight="1">
      <c r="S1148" s="454"/>
      <c r="AN1148" s="458"/>
      <c r="AY1148" s="458"/>
      <c r="AZ1148" s="458"/>
      <c r="BA1148" s="1266"/>
      <c r="BC1148" s="169"/>
    </row>
    <row r="1149" spans="19:55" ht="15.75" customHeight="1">
      <c r="S1149" s="454"/>
      <c r="AN1149" s="458"/>
      <c r="AY1149" s="458"/>
      <c r="AZ1149" s="458"/>
      <c r="BA1149" s="1266"/>
      <c r="BC1149" s="169"/>
    </row>
    <row r="1150" spans="19:55" ht="15.75" customHeight="1">
      <c r="S1150" s="454"/>
      <c r="AN1150" s="458"/>
      <c r="AY1150" s="458"/>
      <c r="AZ1150" s="458"/>
      <c r="BA1150" s="1266"/>
      <c r="BC1150" s="169"/>
    </row>
    <row r="1151" spans="19:55" ht="15.75" customHeight="1">
      <c r="S1151" s="454"/>
      <c r="AN1151" s="458"/>
      <c r="AY1151" s="458"/>
      <c r="AZ1151" s="458"/>
      <c r="BA1151" s="1266"/>
      <c r="BC1151" s="169"/>
    </row>
    <row r="1152" spans="19:55" ht="15.75" customHeight="1">
      <c r="S1152" s="454"/>
      <c r="AN1152" s="458"/>
      <c r="AY1152" s="458"/>
      <c r="AZ1152" s="458"/>
      <c r="BA1152" s="1266"/>
      <c r="BC1152" s="169"/>
    </row>
    <row r="1153" spans="19:55" ht="15.75" customHeight="1">
      <c r="S1153" s="454"/>
      <c r="AN1153" s="458"/>
      <c r="AY1153" s="458"/>
      <c r="AZ1153" s="458"/>
      <c r="BA1153" s="1266"/>
      <c r="BC1153" s="169"/>
    </row>
    <row r="1154" spans="19:55" ht="15.75" customHeight="1">
      <c r="S1154" s="454"/>
      <c r="AN1154" s="458"/>
      <c r="AY1154" s="458"/>
      <c r="AZ1154" s="458"/>
      <c r="BA1154" s="1266"/>
      <c r="BC1154" s="169"/>
    </row>
    <row r="1155" spans="19:55" ht="15.75" customHeight="1">
      <c r="S1155" s="454"/>
      <c r="AN1155" s="458"/>
      <c r="AY1155" s="458"/>
      <c r="AZ1155" s="458"/>
      <c r="BA1155" s="1266"/>
      <c r="BC1155" s="169"/>
    </row>
    <row r="1156" spans="19:55" ht="15.75" customHeight="1">
      <c r="S1156" s="454"/>
      <c r="AN1156" s="458"/>
      <c r="AY1156" s="458"/>
      <c r="AZ1156" s="458"/>
      <c r="BA1156" s="1266"/>
      <c r="BC1156" s="169"/>
    </row>
    <row r="1157" spans="19:55" ht="15.75" customHeight="1">
      <c r="S1157" s="454"/>
      <c r="AN1157" s="458"/>
      <c r="AY1157" s="458"/>
      <c r="AZ1157" s="458"/>
      <c r="BA1157" s="1266"/>
      <c r="BC1157" s="169"/>
    </row>
    <row r="1158" spans="19:55" ht="15.75" customHeight="1">
      <c r="S1158" s="454"/>
      <c r="AN1158" s="458"/>
      <c r="AY1158" s="458"/>
      <c r="AZ1158" s="458"/>
      <c r="BA1158" s="1266"/>
      <c r="BC1158" s="169"/>
    </row>
    <row r="1159" spans="19:55" ht="15.75" customHeight="1">
      <c r="S1159" s="454"/>
      <c r="AN1159" s="458"/>
      <c r="AY1159" s="458"/>
      <c r="AZ1159" s="458"/>
      <c r="BA1159" s="1266"/>
      <c r="BC1159" s="169"/>
    </row>
    <row r="1160" spans="19:55" ht="15.75" customHeight="1">
      <c r="S1160" s="454"/>
      <c r="AN1160" s="458"/>
      <c r="AY1160" s="458"/>
      <c r="AZ1160" s="458"/>
      <c r="BA1160" s="1266"/>
      <c r="BC1160" s="169"/>
    </row>
    <row r="1161" spans="19:55" ht="15.75" customHeight="1">
      <c r="S1161" s="454"/>
      <c r="AN1161" s="458"/>
      <c r="AY1161" s="458"/>
      <c r="AZ1161" s="458"/>
      <c r="BA1161" s="1266"/>
      <c r="BC1161" s="169"/>
    </row>
    <row r="1162" spans="19:55" ht="15.75" customHeight="1">
      <c r="S1162" s="454"/>
      <c r="AN1162" s="458"/>
      <c r="AY1162" s="458"/>
      <c r="AZ1162" s="458"/>
      <c r="BA1162" s="1266"/>
      <c r="BC1162" s="169"/>
    </row>
    <row r="1163" spans="19:55" ht="15.75" customHeight="1">
      <c r="S1163" s="454"/>
      <c r="AN1163" s="458"/>
      <c r="AY1163" s="458"/>
      <c r="AZ1163" s="458"/>
      <c r="BA1163" s="1266"/>
      <c r="BC1163" s="169"/>
    </row>
    <row r="1164" spans="19:55" ht="15.75" customHeight="1">
      <c r="S1164" s="454"/>
      <c r="AN1164" s="458"/>
      <c r="AY1164" s="458"/>
      <c r="AZ1164" s="458"/>
      <c r="BA1164" s="1266"/>
      <c r="BC1164" s="169"/>
    </row>
    <row r="1165" spans="19:55" ht="15.75" customHeight="1">
      <c r="S1165" s="454"/>
      <c r="AN1165" s="458"/>
      <c r="AY1165" s="458"/>
      <c r="AZ1165" s="458"/>
      <c r="BA1165" s="1266"/>
      <c r="BC1165" s="169"/>
    </row>
    <row r="1166" spans="19:55" ht="15.75" customHeight="1">
      <c r="S1166" s="454"/>
      <c r="AN1166" s="458"/>
      <c r="AY1166" s="458"/>
      <c r="AZ1166" s="458"/>
      <c r="BA1166" s="1266"/>
      <c r="BC1166" s="169"/>
    </row>
    <row r="1167" spans="19:55" ht="15.75" customHeight="1">
      <c r="S1167" s="454"/>
      <c r="AN1167" s="458"/>
      <c r="AY1167" s="458"/>
      <c r="AZ1167" s="458"/>
      <c r="BA1167" s="1266"/>
      <c r="BC1167" s="169"/>
    </row>
    <row r="1168" spans="19:55" ht="15.75" customHeight="1">
      <c r="S1168" s="454"/>
      <c r="AN1168" s="458"/>
      <c r="AY1168" s="458"/>
      <c r="AZ1168" s="458"/>
      <c r="BA1168" s="1266"/>
      <c r="BC1168" s="169"/>
    </row>
    <row r="1169" spans="19:55" ht="15.75" customHeight="1">
      <c r="S1169" s="454"/>
      <c r="AN1169" s="458"/>
      <c r="AY1169" s="458"/>
      <c r="AZ1169" s="458"/>
      <c r="BA1169" s="1266"/>
      <c r="BC1169" s="169"/>
    </row>
    <row r="1170" spans="19:55" ht="15.75" customHeight="1">
      <c r="S1170" s="454"/>
      <c r="AN1170" s="458"/>
      <c r="AY1170" s="458"/>
      <c r="AZ1170" s="458"/>
      <c r="BA1170" s="1266"/>
      <c r="BC1170" s="169"/>
    </row>
    <row r="1171" spans="19:55" ht="15.75" customHeight="1">
      <c r="S1171" s="454"/>
      <c r="AN1171" s="458"/>
      <c r="AY1171" s="458"/>
      <c r="AZ1171" s="458"/>
      <c r="BA1171" s="1266"/>
      <c r="BC1171" s="169"/>
    </row>
    <row r="1172" spans="19:55" ht="15.75" customHeight="1">
      <c r="S1172" s="454"/>
      <c r="AN1172" s="458"/>
      <c r="AY1172" s="458"/>
      <c r="AZ1172" s="458"/>
      <c r="BA1172" s="1266"/>
      <c r="BC1172" s="169"/>
    </row>
    <row r="1173" spans="19:55" ht="15.75" customHeight="1">
      <c r="S1173" s="454"/>
      <c r="AN1173" s="458"/>
      <c r="AY1173" s="458"/>
      <c r="AZ1173" s="458"/>
      <c r="BA1173" s="1266"/>
      <c r="BC1173" s="169"/>
    </row>
    <row r="1174" spans="19:55" ht="15.75" customHeight="1">
      <c r="S1174" s="454"/>
      <c r="AN1174" s="458"/>
      <c r="AY1174" s="458"/>
      <c r="AZ1174" s="458"/>
      <c r="BA1174" s="1266"/>
      <c r="BC1174" s="169"/>
    </row>
    <row r="1175" spans="19:55" ht="15.75" customHeight="1">
      <c r="S1175" s="454"/>
      <c r="AN1175" s="458"/>
      <c r="AY1175" s="458"/>
      <c r="AZ1175" s="458"/>
      <c r="BA1175" s="1266"/>
      <c r="BC1175" s="169"/>
    </row>
    <row r="1176" spans="19:55" ht="15.75" customHeight="1">
      <c r="S1176" s="454"/>
      <c r="AN1176" s="458"/>
      <c r="AY1176" s="458"/>
      <c r="AZ1176" s="458"/>
      <c r="BA1176" s="1266"/>
      <c r="BC1176" s="169"/>
    </row>
    <row r="1177" spans="19:55" ht="15.75" customHeight="1">
      <c r="S1177" s="454"/>
      <c r="AN1177" s="458"/>
      <c r="AY1177" s="458"/>
      <c r="AZ1177" s="458"/>
      <c r="BA1177" s="1266"/>
      <c r="BC1177" s="169"/>
    </row>
    <row r="1178" spans="19:55" ht="15.75" customHeight="1">
      <c r="S1178" s="454"/>
      <c r="AN1178" s="458"/>
      <c r="AY1178" s="458"/>
      <c r="AZ1178" s="458"/>
      <c r="BA1178" s="1266"/>
      <c r="BC1178" s="169"/>
    </row>
    <row r="1179" spans="19:55" ht="15.75" customHeight="1">
      <c r="S1179" s="454"/>
      <c r="AN1179" s="458"/>
      <c r="AY1179" s="458"/>
      <c r="AZ1179" s="458"/>
      <c r="BA1179" s="1266"/>
      <c r="BC1179" s="169"/>
    </row>
    <row r="1180" spans="19:55" ht="15.75" customHeight="1">
      <c r="S1180" s="454"/>
      <c r="AN1180" s="458"/>
      <c r="AY1180" s="458"/>
      <c r="AZ1180" s="458"/>
      <c r="BA1180" s="1266"/>
      <c r="BC1180" s="169"/>
    </row>
    <row r="1181" spans="19:55" ht="15.75" customHeight="1">
      <c r="S1181" s="454"/>
      <c r="AN1181" s="458"/>
      <c r="AY1181" s="458"/>
      <c r="AZ1181" s="458"/>
      <c r="BA1181" s="1266"/>
      <c r="BC1181" s="169"/>
    </row>
    <row r="1182" spans="19:55" ht="15.75" customHeight="1">
      <c r="S1182" s="454"/>
      <c r="AN1182" s="458"/>
      <c r="AY1182" s="458"/>
      <c r="AZ1182" s="458"/>
      <c r="BA1182" s="1266"/>
      <c r="BC1182" s="169"/>
    </row>
    <row r="1183" spans="19:55" ht="15.75" customHeight="1">
      <c r="S1183" s="454"/>
      <c r="AN1183" s="458"/>
      <c r="AY1183" s="458"/>
      <c r="AZ1183" s="458"/>
      <c r="BA1183" s="1266"/>
      <c r="BC1183" s="169"/>
    </row>
    <row r="1184" spans="19:55" ht="15.75" customHeight="1">
      <c r="S1184" s="454"/>
      <c r="AN1184" s="458"/>
      <c r="AY1184" s="458"/>
      <c r="AZ1184" s="458"/>
      <c r="BA1184" s="1266"/>
      <c r="BC1184" s="169"/>
    </row>
    <row r="1185" spans="19:55" ht="15.75" customHeight="1">
      <c r="S1185" s="454"/>
      <c r="AN1185" s="458"/>
      <c r="AY1185" s="458"/>
      <c r="AZ1185" s="458"/>
      <c r="BA1185" s="1266"/>
      <c r="BC1185" s="169"/>
    </row>
    <row r="1186" spans="19:55" ht="15.75" customHeight="1">
      <c r="S1186" s="454"/>
      <c r="AN1186" s="458"/>
      <c r="AY1186" s="458"/>
      <c r="AZ1186" s="458"/>
      <c r="BA1186" s="1266"/>
      <c r="BC1186" s="169"/>
    </row>
    <row r="1187" spans="19:55" ht="15.75" customHeight="1">
      <c r="S1187" s="454"/>
      <c r="AN1187" s="458"/>
      <c r="AY1187" s="458"/>
      <c r="AZ1187" s="458"/>
      <c r="BA1187" s="1266"/>
      <c r="BC1187" s="169"/>
    </row>
    <row r="1188" spans="19:55" ht="15.75" customHeight="1">
      <c r="S1188" s="454"/>
      <c r="AN1188" s="458"/>
      <c r="AY1188" s="458"/>
      <c r="AZ1188" s="458"/>
      <c r="BA1188" s="1266"/>
      <c r="BC1188" s="169"/>
    </row>
    <row r="1189" spans="19:55" ht="15.75" customHeight="1">
      <c r="S1189" s="454"/>
      <c r="AN1189" s="458"/>
      <c r="AY1189" s="458"/>
      <c r="AZ1189" s="458"/>
      <c r="BA1189" s="1266"/>
      <c r="BC1189" s="169"/>
    </row>
    <row r="1190" spans="19:55" ht="15.75" customHeight="1">
      <c r="S1190" s="454"/>
      <c r="AN1190" s="458"/>
      <c r="AY1190" s="458"/>
      <c r="AZ1190" s="458"/>
      <c r="BA1190" s="1266"/>
      <c r="BC1190" s="169"/>
    </row>
    <row r="1191" spans="19:55" ht="15.75" customHeight="1">
      <c r="S1191" s="454"/>
      <c r="AN1191" s="458"/>
      <c r="AY1191" s="458"/>
      <c r="AZ1191" s="458"/>
      <c r="BA1191" s="1266"/>
      <c r="BC1191" s="169"/>
    </row>
    <row r="1192" spans="19:55" ht="15.75" customHeight="1">
      <c r="S1192" s="454"/>
      <c r="AN1192" s="458"/>
      <c r="AY1192" s="458"/>
      <c r="AZ1192" s="458"/>
      <c r="BA1192" s="1266"/>
      <c r="BC1192" s="169"/>
    </row>
    <row r="1193" spans="19:55" ht="15.75" customHeight="1">
      <c r="S1193" s="454"/>
      <c r="AN1193" s="458"/>
      <c r="AY1193" s="458"/>
      <c r="AZ1193" s="458"/>
      <c r="BA1193" s="1266"/>
      <c r="BC1193" s="169"/>
    </row>
    <row r="1194" spans="19:55" ht="15.75" customHeight="1">
      <c r="S1194" s="454"/>
      <c r="AN1194" s="458"/>
      <c r="AY1194" s="458"/>
      <c r="AZ1194" s="458"/>
      <c r="BA1194" s="1266"/>
      <c r="BC1194" s="169"/>
    </row>
    <row r="1195" spans="19:55" ht="15.75" customHeight="1">
      <c r="S1195" s="454"/>
      <c r="AN1195" s="458"/>
      <c r="AY1195" s="458"/>
      <c r="AZ1195" s="458"/>
      <c r="BA1195" s="1266"/>
      <c r="BC1195" s="169"/>
    </row>
    <row r="1196" spans="19:55" ht="15.75" customHeight="1">
      <c r="S1196" s="454"/>
      <c r="AN1196" s="458"/>
      <c r="AY1196" s="458"/>
      <c r="AZ1196" s="458"/>
      <c r="BA1196" s="1266"/>
      <c r="BC1196" s="169"/>
    </row>
    <row r="1197" spans="19:55" ht="15.75" customHeight="1">
      <c r="S1197" s="454"/>
      <c r="AN1197" s="458"/>
      <c r="AY1197" s="458"/>
      <c r="AZ1197" s="458"/>
      <c r="BA1197" s="1266"/>
      <c r="BC1197" s="169"/>
    </row>
    <row r="1198" spans="19:55" ht="15.75" customHeight="1">
      <c r="S1198" s="454"/>
      <c r="AN1198" s="458"/>
      <c r="AY1198" s="458"/>
      <c r="AZ1198" s="458"/>
      <c r="BA1198" s="1266"/>
      <c r="BC1198" s="169"/>
    </row>
    <row r="1199" spans="19:55" ht="15.75" customHeight="1">
      <c r="S1199" s="454"/>
      <c r="AN1199" s="458"/>
      <c r="AY1199" s="458"/>
      <c r="AZ1199" s="458"/>
      <c r="BA1199" s="1266"/>
      <c r="BC1199" s="169"/>
    </row>
    <row r="1200" spans="19:55" ht="15.75" customHeight="1">
      <c r="S1200" s="454"/>
      <c r="AN1200" s="458"/>
      <c r="AY1200" s="458"/>
      <c r="AZ1200" s="458"/>
      <c r="BA1200" s="1266"/>
      <c r="BC1200" s="169"/>
    </row>
    <row r="1201" spans="19:55" ht="15.75" customHeight="1">
      <c r="S1201" s="454"/>
      <c r="AN1201" s="458"/>
      <c r="AY1201" s="458"/>
      <c r="AZ1201" s="458"/>
      <c r="BA1201" s="1266"/>
      <c r="BC1201" s="169"/>
    </row>
    <row r="1202" spans="19:55" ht="15.75" customHeight="1">
      <c r="S1202" s="454"/>
      <c r="AN1202" s="458"/>
      <c r="AY1202" s="458"/>
      <c r="AZ1202" s="458"/>
      <c r="BA1202" s="1266"/>
      <c r="BC1202" s="169"/>
    </row>
    <row r="1203" spans="19:55" ht="15.75" customHeight="1">
      <c r="S1203" s="454"/>
      <c r="AN1203" s="458"/>
      <c r="AY1203" s="458"/>
      <c r="AZ1203" s="458"/>
      <c r="BA1203" s="1266"/>
      <c r="BC1203" s="169"/>
    </row>
    <row r="1204" spans="19:55" ht="15.75" customHeight="1">
      <c r="S1204" s="454"/>
      <c r="AN1204" s="458"/>
      <c r="AY1204" s="458"/>
      <c r="AZ1204" s="458"/>
      <c r="BA1204" s="1266"/>
      <c r="BC1204" s="169"/>
    </row>
    <row r="1205" spans="19:55" ht="15.75" customHeight="1">
      <c r="S1205" s="454"/>
      <c r="AN1205" s="458"/>
      <c r="AY1205" s="458"/>
      <c r="AZ1205" s="458"/>
      <c r="BA1205" s="1266"/>
      <c r="BC1205" s="169"/>
    </row>
    <row r="1206" spans="19:55" ht="15.75" customHeight="1">
      <c r="S1206" s="454"/>
      <c r="AN1206" s="458"/>
      <c r="AY1206" s="458"/>
      <c r="AZ1206" s="458"/>
      <c r="BA1206" s="1266"/>
      <c r="BC1206" s="169"/>
    </row>
    <row r="1207" spans="19:55" ht="15.75" customHeight="1">
      <c r="S1207" s="454"/>
      <c r="AN1207" s="458"/>
      <c r="AY1207" s="458"/>
      <c r="AZ1207" s="458"/>
      <c r="BA1207" s="1266"/>
      <c r="BC1207" s="169"/>
    </row>
    <row r="1208" spans="19:55" ht="15.75" customHeight="1">
      <c r="S1208" s="454"/>
      <c r="AN1208" s="458"/>
      <c r="AY1208" s="458"/>
      <c r="AZ1208" s="458"/>
      <c r="BA1208" s="1266"/>
      <c r="BC1208" s="169"/>
    </row>
    <row r="1209" spans="19:55" ht="15.75" customHeight="1">
      <c r="S1209" s="454"/>
      <c r="AN1209" s="458"/>
      <c r="AY1209" s="458"/>
      <c r="AZ1209" s="458"/>
      <c r="BA1209" s="1266"/>
      <c r="BC1209" s="169"/>
    </row>
    <row r="1210" spans="19:55" ht="15.75" customHeight="1">
      <c r="S1210" s="454"/>
      <c r="AN1210" s="458"/>
      <c r="AY1210" s="458"/>
      <c r="AZ1210" s="458"/>
      <c r="BA1210" s="1266"/>
      <c r="BC1210" s="169"/>
    </row>
    <row r="1211" spans="19:55" ht="15.75" customHeight="1">
      <c r="S1211" s="454"/>
      <c r="AN1211" s="458"/>
      <c r="AY1211" s="458"/>
      <c r="AZ1211" s="458"/>
      <c r="BA1211" s="1266"/>
      <c r="BC1211" s="169"/>
    </row>
    <row r="1212" spans="19:55" ht="15.75" customHeight="1">
      <c r="S1212" s="454"/>
      <c r="AN1212" s="458"/>
      <c r="AY1212" s="458"/>
      <c r="AZ1212" s="458"/>
      <c r="BA1212" s="1266"/>
      <c r="BC1212" s="169"/>
    </row>
    <row r="1213" spans="19:55" ht="15.75" customHeight="1">
      <c r="S1213" s="454"/>
      <c r="AN1213" s="458"/>
      <c r="AY1213" s="458"/>
      <c r="AZ1213" s="458"/>
      <c r="BA1213" s="1266"/>
      <c r="BC1213" s="169"/>
    </row>
    <row r="1214" spans="19:55" ht="15.75" customHeight="1">
      <c r="S1214" s="454"/>
      <c r="AN1214" s="458"/>
      <c r="AY1214" s="458"/>
      <c r="AZ1214" s="458"/>
      <c r="BA1214" s="1266"/>
      <c r="BC1214" s="169"/>
    </row>
    <row r="1215" spans="19:55" ht="15.75" customHeight="1">
      <c r="S1215" s="454"/>
      <c r="AN1215" s="458"/>
      <c r="AY1215" s="458"/>
      <c r="AZ1215" s="458"/>
      <c r="BA1215" s="1266"/>
      <c r="BC1215" s="169"/>
    </row>
    <row r="1216" spans="19:55" ht="15.75" customHeight="1">
      <c r="S1216" s="454"/>
      <c r="AN1216" s="458"/>
      <c r="AY1216" s="458"/>
      <c r="AZ1216" s="458"/>
      <c r="BA1216" s="1266"/>
      <c r="BC1216" s="169"/>
    </row>
    <row r="1217" spans="19:55" ht="15.75" customHeight="1">
      <c r="S1217" s="454"/>
      <c r="AN1217" s="458"/>
      <c r="AY1217" s="458"/>
      <c r="AZ1217" s="458"/>
      <c r="BA1217" s="1266"/>
      <c r="BC1217" s="169"/>
    </row>
    <row r="1218" spans="19:55" ht="15.75" customHeight="1">
      <c r="S1218" s="454"/>
      <c r="AN1218" s="458"/>
      <c r="AY1218" s="458"/>
      <c r="AZ1218" s="458"/>
      <c r="BA1218" s="1266"/>
      <c r="BC1218" s="169"/>
    </row>
    <row r="1219" spans="19:55" ht="15.75" customHeight="1">
      <c r="S1219" s="454"/>
      <c r="AN1219" s="458"/>
      <c r="AY1219" s="458"/>
      <c r="AZ1219" s="458"/>
      <c r="BA1219" s="1266"/>
      <c r="BC1219" s="169"/>
    </row>
    <row r="1220" spans="19:55" ht="15.75" customHeight="1">
      <c r="S1220" s="454"/>
      <c r="AN1220" s="458"/>
      <c r="AY1220" s="458"/>
      <c r="AZ1220" s="458"/>
      <c r="BA1220" s="1266"/>
      <c r="BC1220" s="169"/>
    </row>
    <row r="1221" spans="19:55" ht="15.75" customHeight="1">
      <c r="S1221" s="454"/>
      <c r="AN1221" s="458"/>
      <c r="AY1221" s="458"/>
      <c r="AZ1221" s="458"/>
      <c r="BA1221" s="1266"/>
      <c r="BC1221" s="169"/>
    </row>
    <row r="1222" spans="19:55" ht="15.75" customHeight="1">
      <c r="S1222" s="454"/>
      <c r="AN1222" s="458"/>
      <c r="AY1222" s="458"/>
      <c r="AZ1222" s="458"/>
      <c r="BA1222" s="1266"/>
      <c r="BC1222" s="169"/>
    </row>
    <row r="1223" spans="19:55" ht="15.75" customHeight="1">
      <c r="S1223" s="454"/>
      <c r="AN1223" s="458"/>
      <c r="AY1223" s="458"/>
      <c r="AZ1223" s="458"/>
      <c r="BA1223" s="1266"/>
      <c r="BC1223" s="169"/>
    </row>
    <row r="1224" spans="19:55" ht="15.75" customHeight="1">
      <c r="S1224" s="454"/>
      <c r="AN1224" s="458"/>
      <c r="AY1224" s="458"/>
      <c r="AZ1224" s="458"/>
      <c r="BA1224" s="1266"/>
      <c r="BC1224" s="169"/>
    </row>
    <row r="1225" spans="19:55" ht="15.75" customHeight="1">
      <c r="S1225" s="454"/>
      <c r="AN1225" s="458"/>
      <c r="AY1225" s="458"/>
      <c r="AZ1225" s="458"/>
      <c r="BA1225" s="1266"/>
      <c r="BC1225" s="169"/>
    </row>
    <row r="1226" spans="19:55" ht="15.75" customHeight="1">
      <c r="S1226" s="454"/>
      <c r="AN1226" s="458"/>
      <c r="AY1226" s="458"/>
      <c r="AZ1226" s="458"/>
      <c r="BA1226" s="1266"/>
      <c r="BC1226" s="169"/>
    </row>
    <row r="1227" spans="19:55" ht="15.75" customHeight="1">
      <c r="S1227" s="454"/>
      <c r="AN1227" s="458"/>
      <c r="AY1227" s="458"/>
      <c r="AZ1227" s="458"/>
      <c r="BA1227" s="1266"/>
      <c r="BC1227" s="169"/>
    </row>
    <row r="1228" spans="19:55" ht="15.75" customHeight="1">
      <c r="S1228" s="454"/>
      <c r="AN1228" s="458"/>
      <c r="AY1228" s="458"/>
      <c r="AZ1228" s="458"/>
      <c r="BA1228" s="1266"/>
      <c r="BC1228" s="169"/>
    </row>
    <row r="1229" spans="19:55" ht="15.75" customHeight="1">
      <c r="S1229" s="454"/>
      <c r="AN1229" s="458"/>
      <c r="AY1229" s="458"/>
      <c r="AZ1229" s="458"/>
      <c r="BA1229" s="1266"/>
      <c r="BC1229" s="169"/>
    </row>
    <row r="1230" spans="19:55" ht="15.75" customHeight="1">
      <c r="S1230" s="454"/>
      <c r="AN1230" s="458"/>
      <c r="AY1230" s="458"/>
      <c r="AZ1230" s="458"/>
      <c r="BA1230" s="1266"/>
      <c r="BC1230" s="169"/>
    </row>
    <row r="1231" spans="19:55" ht="15.75" customHeight="1">
      <c r="S1231" s="454"/>
      <c r="AN1231" s="458"/>
      <c r="AY1231" s="458"/>
      <c r="AZ1231" s="458"/>
      <c r="BA1231" s="1266"/>
      <c r="BC1231" s="169"/>
    </row>
    <row r="1232" spans="19:55" ht="15.75" customHeight="1">
      <c r="S1232" s="454"/>
      <c r="AN1232" s="458"/>
      <c r="AY1232" s="458"/>
      <c r="AZ1232" s="458"/>
      <c r="BA1232" s="1266"/>
      <c r="BC1232" s="169"/>
    </row>
    <row r="1233" spans="19:55" ht="15.75" customHeight="1">
      <c r="S1233" s="454"/>
      <c r="AN1233" s="458"/>
      <c r="AY1233" s="458"/>
      <c r="AZ1233" s="458"/>
      <c r="BA1233" s="1266"/>
      <c r="BC1233" s="169"/>
    </row>
    <row r="1234" spans="19:55" ht="15.75" customHeight="1">
      <c r="S1234" s="454"/>
      <c r="AN1234" s="458"/>
      <c r="AY1234" s="458"/>
      <c r="AZ1234" s="458"/>
      <c r="BA1234" s="1266"/>
      <c r="BC1234" s="169"/>
    </row>
    <row r="1235" spans="19:55" ht="15.75" customHeight="1">
      <c r="S1235" s="454"/>
      <c r="AN1235" s="458"/>
      <c r="AY1235" s="458"/>
      <c r="AZ1235" s="458"/>
      <c r="BA1235" s="1266"/>
      <c r="BC1235" s="169"/>
    </row>
    <row r="1236" spans="19:55" ht="15.75" customHeight="1">
      <c r="S1236" s="454"/>
      <c r="AN1236" s="458"/>
      <c r="AY1236" s="458"/>
      <c r="AZ1236" s="458"/>
      <c r="BA1236" s="1266"/>
      <c r="BC1236" s="169"/>
    </row>
    <row r="1237" spans="19:55" ht="15.75" customHeight="1">
      <c r="S1237" s="454"/>
      <c r="AN1237" s="458"/>
      <c r="AY1237" s="458"/>
      <c r="AZ1237" s="458"/>
      <c r="BA1237" s="1266"/>
      <c r="BC1237" s="169"/>
    </row>
    <row r="1238" spans="19:55" ht="15.75" customHeight="1">
      <c r="S1238" s="454"/>
      <c r="AN1238" s="458"/>
      <c r="AY1238" s="458"/>
      <c r="AZ1238" s="458"/>
      <c r="BA1238" s="1266"/>
      <c r="BC1238" s="169"/>
    </row>
    <row r="1239" spans="19:55" ht="15.75" customHeight="1">
      <c r="S1239" s="454"/>
      <c r="AN1239" s="458"/>
      <c r="AY1239" s="458"/>
      <c r="AZ1239" s="458"/>
      <c r="BA1239" s="1266"/>
      <c r="BC1239" s="169"/>
    </row>
    <row r="1240" spans="19:55" ht="15.75" customHeight="1">
      <c r="S1240" s="454"/>
      <c r="AN1240" s="458"/>
      <c r="AY1240" s="458"/>
      <c r="AZ1240" s="458"/>
      <c r="BA1240" s="1266"/>
      <c r="BC1240" s="169"/>
    </row>
    <row r="1241" spans="19:55" ht="15.75" customHeight="1">
      <c r="S1241" s="454"/>
      <c r="AN1241" s="458"/>
      <c r="AY1241" s="458"/>
      <c r="AZ1241" s="458"/>
      <c r="BA1241" s="1266"/>
      <c r="BC1241" s="169"/>
    </row>
    <row r="1242" spans="19:55" ht="15.75" customHeight="1">
      <c r="S1242" s="454"/>
      <c r="AN1242" s="458"/>
      <c r="AY1242" s="458"/>
      <c r="AZ1242" s="458"/>
      <c r="BA1242" s="1266"/>
      <c r="BC1242" s="169"/>
    </row>
    <row r="1243" spans="19:55" ht="15.75" customHeight="1">
      <c r="S1243" s="454"/>
      <c r="AN1243" s="458"/>
      <c r="AY1243" s="458"/>
      <c r="AZ1243" s="458"/>
      <c r="BA1243" s="1266"/>
      <c r="BC1243" s="169"/>
    </row>
    <row r="1244" spans="19:55" ht="15.75" customHeight="1">
      <c r="S1244" s="454"/>
      <c r="AN1244" s="458"/>
      <c r="AY1244" s="458"/>
      <c r="AZ1244" s="458"/>
      <c r="BA1244" s="1266"/>
      <c r="BC1244" s="169"/>
    </row>
    <row r="1245" spans="19:55" ht="15.75" customHeight="1">
      <c r="S1245" s="454"/>
      <c r="AN1245" s="458"/>
      <c r="AY1245" s="458"/>
      <c r="AZ1245" s="458"/>
      <c r="BA1245" s="1266"/>
      <c r="BC1245" s="169"/>
    </row>
    <row r="1246" spans="19:55" ht="15.75" customHeight="1">
      <c r="S1246" s="454"/>
      <c r="AN1246" s="458"/>
      <c r="AY1246" s="458"/>
      <c r="AZ1246" s="458"/>
      <c r="BA1246" s="1266"/>
      <c r="BC1246" s="169"/>
    </row>
    <row r="1247" spans="19:55" ht="15.75" customHeight="1">
      <c r="S1247" s="454"/>
      <c r="AN1247" s="458"/>
      <c r="AY1247" s="458"/>
      <c r="AZ1247" s="458"/>
      <c r="BA1247" s="1266"/>
      <c r="BC1247" s="169"/>
    </row>
    <row r="1248" spans="19:55" ht="15.75" customHeight="1">
      <c r="S1248" s="454"/>
      <c r="AN1248" s="458"/>
      <c r="AY1248" s="458"/>
      <c r="AZ1248" s="458"/>
      <c r="BA1248" s="1266"/>
      <c r="BC1248" s="169"/>
    </row>
    <row r="1249" spans="19:55" ht="15.75" customHeight="1">
      <c r="S1249" s="454"/>
      <c r="AN1249" s="458"/>
      <c r="AY1249" s="458"/>
      <c r="AZ1249" s="458"/>
      <c r="BA1249" s="1266"/>
      <c r="BC1249" s="169"/>
    </row>
    <row r="1250" spans="19:55" ht="15.75" customHeight="1">
      <c r="S1250" s="454"/>
      <c r="AN1250" s="458"/>
      <c r="AY1250" s="458"/>
      <c r="AZ1250" s="458"/>
      <c r="BA1250" s="1266"/>
      <c r="BC1250" s="169"/>
    </row>
    <row r="1251" spans="19:55" ht="15.75" customHeight="1">
      <c r="S1251" s="454"/>
      <c r="AN1251" s="458"/>
      <c r="AY1251" s="458"/>
      <c r="AZ1251" s="458"/>
      <c r="BA1251" s="1266"/>
      <c r="BC1251" s="169"/>
    </row>
    <row r="1252" spans="19:55" ht="15.75" customHeight="1">
      <c r="S1252" s="454"/>
      <c r="AN1252" s="458"/>
      <c r="AY1252" s="458"/>
      <c r="AZ1252" s="458"/>
      <c r="BA1252" s="1266"/>
      <c r="BC1252" s="169"/>
    </row>
    <row r="1253" spans="19:55" ht="15.75" customHeight="1">
      <c r="S1253" s="454"/>
      <c r="AN1253" s="458"/>
      <c r="AY1253" s="458"/>
      <c r="AZ1253" s="458"/>
      <c r="BA1253" s="1266"/>
      <c r="BC1253" s="169"/>
    </row>
    <row r="1254" spans="19:55" ht="15.75" customHeight="1">
      <c r="S1254" s="454"/>
      <c r="AN1254" s="458"/>
      <c r="AY1254" s="458"/>
      <c r="AZ1254" s="458"/>
      <c r="BA1254" s="1266"/>
      <c r="BC1254" s="169"/>
    </row>
    <row r="1255" spans="19:55" ht="15.75" customHeight="1">
      <c r="S1255" s="454"/>
      <c r="AN1255" s="458"/>
      <c r="AY1255" s="458"/>
      <c r="AZ1255" s="458"/>
      <c r="BA1255" s="1266"/>
      <c r="BC1255" s="169"/>
    </row>
    <row r="1256" spans="19:55" ht="15.75" customHeight="1">
      <c r="S1256" s="454"/>
      <c r="AN1256" s="458"/>
      <c r="AY1256" s="458"/>
      <c r="AZ1256" s="458"/>
      <c r="BA1256" s="1266"/>
      <c r="BC1256" s="169"/>
    </row>
    <row r="1257" spans="19:55" ht="15.75" customHeight="1">
      <c r="S1257" s="454"/>
      <c r="AN1257" s="458"/>
      <c r="AY1257" s="458"/>
      <c r="AZ1257" s="458"/>
      <c r="BA1257" s="1266"/>
      <c r="BC1257" s="169"/>
    </row>
    <row r="1258" spans="19:55" ht="15.75" customHeight="1">
      <c r="S1258" s="454"/>
      <c r="AN1258" s="458"/>
      <c r="AY1258" s="458"/>
      <c r="AZ1258" s="458"/>
      <c r="BA1258" s="1266"/>
      <c r="BC1258" s="169"/>
    </row>
    <row r="1259" spans="19:55" ht="15.75" customHeight="1">
      <c r="S1259" s="454"/>
      <c r="AN1259" s="458"/>
      <c r="AY1259" s="458"/>
      <c r="AZ1259" s="458"/>
      <c r="BA1259" s="1266"/>
      <c r="BC1259" s="169"/>
    </row>
    <row r="1260" spans="19:55" ht="15.75" customHeight="1">
      <c r="S1260" s="454"/>
      <c r="AN1260" s="458"/>
      <c r="AY1260" s="458"/>
      <c r="AZ1260" s="458"/>
      <c r="BA1260" s="1266"/>
      <c r="BC1260" s="169"/>
    </row>
    <row r="1261" spans="19:55" ht="15.75" customHeight="1">
      <c r="S1261" s="454"/>
      <c r="AN1261" s="458"/>
      <c r="AY1261" s="458"/>
      <c r="AZ1261" s="458"/>
      <c r="BA1261" s="1266"/>
      <c r="BC1261" s="169"/>
    </row>
    <row r="1262" spans="19:55" ht="15.75" customHeight="1">
      <c r="S1262" s="454"/>
      <c r="AN1262" s="458"/>
      <c r="AY1262" s="458"/>
      <c r="AZ1262" s="458"/>
      <c r="BA1262" s="1266"/>
      <c r="BC1262" s="169"/>
    </row>
    <row r="1263" spans="19:55" ht="15.75" customHeight="1">
      <c r="S1263" s="454"/>
      <c r="AN1263" s="458"/>
      <c r="AY1263" s="458"/>
      <c r="AZ1263" s="458"/>
      <c r="BA1263" s="1266"/>
      <c r="BC1263" s="169"/>
    </row>
    <row r="1264" spans="19:55" ht="15.75" customHeight="1">
      <c r="S1264" s="454"/>
      <c r="AN1264" s="458"/>
      <c r="AY1264" s="458"/>
      <c r="AZ1264" s="458"/>
      <c r="BA1264" s="1266"/>
      <c r="BC1264" s="169"/>
    </row>
    <row r="1265" spans="19:55" ht="15.75" customHeight="1">
      <c r="S1265" s="454"/>
      <c r="AN1265" s="458"/>
      <c r="AY1265" s="458"/>
      <c r="AZ1265" s="458"/>
      <c r="BA1265" s="1266"/>
      <c r="BC1265" s="169"/>
    </row>
    <row r="1266" spans="19:55" ht="15.75" customHeight="1">
      <c r="S1266" s="454"/>
      <c r="AN1266" s="458"/>
      <c r="AY1266" s="458"/>
      <c r="AZ1266" s="458"/>
      <c r="BA1266" s="1266"/>
      <c r="BC1266" s="169"/>
    </row>
    <row r="1267" spans="19:55" ht="15.75" customHeight="1">
      <c r="S1267" s="454"/>
      <c r="AN1267" s="458"/>
      <c r="AY1267" s="458"/>
      <c r="AZ1267" s="458"/>
      <c r="BA1267" s="1266"/>
      <c r="BC1267" s="169"/>
    </row>
    <row r="1268" spans="19:55" ht="15.75" customHeight="1">
      <c r="S1268" s="454"/>
      <c r="AN1268" s="458"/>
      <c r="AY1268" s="458"/>
      <c r="AZ1268" s="458"/>
      <c r="BA1268" s="1266"/>
      <c r="BC1268" s="169"/>
    </row>
    <row r="1269" spans="19:55" ht="15.75" customHeight="1">
      <c r="S1269" s="454"/>
      <c r="AN1269" s="458"/>
      <c r="AY1269" s="458"/>
      <c r="AZ1269" s="458"/>
      <c r="BA1269" s="1266"/>
      <c r="BC1269" s="169"/>
    </row>
    <row r="1270" spans="19:55" ht="15.75" customHeight="1">
      <c r="S1270" s="454"/>
      <c r="AN1270" s="458"/>
      <c r="AY1270" s="458"/>
      <c r="AZ1270" s="458"/>
      <c r="BA1270" s="1266"/>
      <c r="BC1270" s="169"/>
    </row>
    <row r="1271" spans="19:55" ht="15.75" customHeight="1">
      <c r="S1271" s="454"/>
      <c r="AN1271" s="458"/>
      <c r="AY1271" s="458"/>
      <c r="AZ1271" s="458"/>
      <c r="BA1271" s="1266"/>
      <c r="BC1271" s="169"/>
    </row>
    <row r="1272" spans="19:55" ht="15.75" customHeight="1">
      <c r="S1272" s="454"/>
      <c r="AN1272" s="458"/>
      <c r="AY1272" s="458"/>
      <c r="AZ1272" s="458"/>
      <c r="BA1272" s="1266"/>
      <c r="BC1272" s="169"/>
    </row>
    <row r="1273" spans="19:55" ht="15.75" customHeight="1">
      <c r="S1273" s="454"/>
      <c r="AN1273" s="458"/>
      <c r="AY1273" s="458"/>
      <c r="AZ1273" s="458"/>
      <c r="BA1273" s="1266"/>
      <c r="BC1273" s="169"/>
    </row>
    <row r="1274" spans="19:55" ht="15.75" customHeight="1">
      <c r="S1274" s="454"/>
      <c r="AN1274" s="458"/>
      <c r="AY1274" s="458"/>
      <c r="AZ1274" s="458"/>
      <c r="BA1274" s="1266"/>
      <c r="BC1274" s="169"/>
    </row>
    <row r="1275" spans="19:55" ht="15.75" customHeight="1">
      <c r="S1275" s="454"/>
      <c r="AN1275" s="458"/>
      <c r="AY1275" s="458"/>
      <c r="AZ1275" s="458"/>
      <c r="BA1275" s="1266"/>
      <c r="BC1275" s="169"/>
    </row>
    <row r="1276" spans="19:55" ht="15.75" customHeight="1">
      <c r="S1276" s="454"/>
      <c r="AN1276" s="458"/>
      <c r="AY1276" s="458"/>
      <c r="AZ1276" s="458"/>
      <c r="BA1276" s="1266"/>
      <c r="BC1276" s="169"/>
    </row>
    <row r="1277" spans="19:55" ht="15.75" customHeight="1">
      <c r="S1277" s="454"/>
      <c r="AN1277" s="458"/>
      <c r="AY1277" s="458"/>
      <c r="AZ1277" s="458"/>
      <c r="BA1277" s="1266"/>
      <c r="BC1277" s="169"/>
    </row>
    <row r="1278" spans="19:55" ht="15.75" customHeight="1">
      <c r="S1278" s="454"/>
      <c r="AN1278" s="458"/>
      <c r="AY1278" s="458"/>
      <c r="AZ1278" s="458"/>
      <c r="BA1278" s="1266"/>
      <c r="BC1278" s="169"/>
    </row>
    <row r="1279" spans="19:55" ht="15.75" customHeight="1">
      <c r="S1279" s="454"/>
      <c r="AN1279" s="458"/>
      <c r="AY1279" s="458"/>
      <c r="AZ1279" s="458"/>
      <c r="BA1279" s="1266"/>
      <c r="BC1279" s="169"/>
    </row>
    <row r="1280" spans="19:55" ht="15.75" customHeight="1">
      <c r="S1280" s="454"/>
      <c r="AN1280" s="458"/>
      <c r="AY1280" s="458"/>
      <c r="AZ1280" s="458"/>
      <c r="BA1280" s="1266"/>
      <c r="BC1280" s="169"/>
    </row>
    <row r="1281" spans="19:55" ht="15.75" customHeight="1">
      <c r="S1281" s="454"/>
      <c r="AN1281" s="458"/>
      <c r="AY1281" s="458"/>
      <c r="AZ1281" s="458"/>
      <c r="BA1281" s="1266"/>
      <c r="BC1281" s="169"/>
    </row>
    <row r="1282" spans="19:55" ht="15.75" customHeight="1">
      <c r="S1282" s="454"/>
      <c r="AN1282" s="458"/>
      <c r="AY1282" s="458"/>
      <c r="AZ1282" s="458"/>
      <c r="BA1282" s="1266"/>
      <c r="BC1282" s="169"/>
    </row>
    <row r="1283" spans="19:55" ht="15.75" customHeight="1">
      <c r="S1283" s="454"/>
      <c r="AN1283" s="458"/>
      <c r="AY1283" s="458"/>
      <c r="AZ1283" s="458"/>
      <c r="BA1283" s="1266"/>
      <c r="BC1283" s="169"/>
    </row>
    <row r="1284" spans="19:55" ht="15.75" customHeight="1">
      <c r="S1284" s="454"/>
      <c r="AN1284" s="458"/>
      <c r="AY1284" s="458"/>
      <c r="AZ1284" s="458"/>
      <c r="BA1284" s="1266"/>
      <c r="BC1284" s="169"/>
    </row>
    <row r="1285" spans="19:55" ht="15.75" customHeight="1">
      <c r="S1285" s="454"/>
      <c r="AN1285" s="458"/>
      <c r="AY1285" s="458"/>
      <c r="AZ1285" s="458"/>
      <c r="BA1285" s="1266"/>
      <c r="BC1285" s="169"/>
    </row>
    <row r="1286" spans="19:55" ht="15.75" customHeight="1">
      <c r="S1286" s="454"/>
      <c r="AN1286" s="458"/>
      <c r="AY1286" s="458"/>
      <c r="AZ1286" s="458"/>
      <c r="BA1286" s="1266"/>
      <c r="BC1286" s="169"/>
    </row>
    <row r="1287" spans="19:55" ht="15.75" customHeight="1">
      <c r="S1287" s="454"/>
      <c r="AN1287" s="458"/>
      <c r="AY1287" s="458"/>
      <c r="AZ1287" s="458"/>
      <c r="BA1287" s="1266"/>
      <c r="BC1287" s="169"/>
    </row>
    <row r="1288" spans="19:55" ht="15.75" customHeight="1">
      <c r="S1288" s="454"/>
      <c r="AN1288" s="458"/>
      <c r="AY1288" s="458"/>
      <c r="AZ1288" s="458"/>
      <c r="BA1288" s="1266"/>
      <c r="BC1288" s="169"/>
    </row>
    <row r="1289" spans="19:55" ht="15.75" customHeight="1">
      <c r="S1289" s="454"/>
      <c r="AN1289" s="458"/>
      <c r="AY1289" s="458"/>
      <c r="AZ1289" s="458"/>
      <c r="BA1289" s="1266"/>
      <c r="BC1289" s="169"/>
    </row>
    <row r="1290" spans="19:55" ht="15.75" customHeight="1">
      <c r="S1290" s="454"/>
      <c r="AN1290" s="458"/>
      <c r="AY1290" s="458"/>
      <c r="AZ1290" s="458"/>
      <c r="BA1290" s="1266"/>
      <c r="BC1290" s="169"/>
    </row>
    <row r="1291" spans="19:55" ht="15.75" customHeight="1">
      <c r="S1291" s="454"/>
      <c r="AN1291" s="458"/>
      <c r="AY1291" s="458"/>
      <c r="AZ1291" s="458"/>
      <c r="BA1291" s="1266"/>
      <c r="BC1291" s="169"/>
    </row>
    <row r="1292" spans="19:55" ht="15.75" customHeight="1">
      <c r="S1292" s="454"/>
      <c r="AN1292" s="458"/>
      <c r="AY1292" s="458"/>
      <c r="AZ1292" s="458"/>
      <c r="BA1292" s="1266"/>
      <c r="BC1292" s="169"/>
    </row>
    <row r="1293" spans="19:55" ht="15.75" customHeight="1">
      <c r="S1293" s="454"/>
      <c r="AN1293" s="458"/>
      <c r="AY1293" s="458"/>
      <c r="AZ1293" s="458"/>
      <c r="BA1293" s="1266"/>
      <c r="BC1293" s="169"/>
    </row>
    <row r="1294" spans="19:55" ht="15.75" customHeight="1">
      <c r="S1294" s="454"/>
      <c r="AN1294" s="458"/>
      <c r="AY1294" s="458"/>
      <c r="AZ1294" s="458"/>
      <c r="BC1294" s="169"/>
    </row>
    <row r="1295" spans="19:55" ht="15.75" customHeight="1">
      <c r="S1295" s="454"/>
      <c r="AN1295" s="458"/>
      <c r="AY1295" s="458"/>
      <c r="AZ1295" s="458"/>
      <c r="BC1295" s="169"/>
    </row>
    <row r="1296" spans="19:55" ht="15.75" customHeight="1">
      <c r="S1296" s="454"/>
      <c r="AN1296" s="458"/>
      <c r="AY1296" s="458"/>
      <c r="AZ1296" s="458"/>
      <c r="BC1296" s="169"/>
    </row>
    <row r="1297" spans="19:55" ht="15.75" customHeight="1">
      <c r="S1297" s="454"/>
      <c r="AN1297" s="458"/>
      <c r="AY1297" s="458"/>
      <c r="AZ1297" s="458"/>
      <c r="BC1297" s="169"/>
    </row>
    <row r="1298" spans="19:55" ht="15.75" customHeight="1">
      <c r="S1298" s="454"/>
      <c r="AN1298" s="458"/>
      <c r="AY1298" s="458"/>
      <c r="AZ1298" s="458"/>
      <c r="BC1298" s="169"/>
    </row>
    <row r="1299" spans="19:55" ht="15.75" customHeight="1">
      <c r="S1299" s="454"/>
      <c r="AN1299" s="458"/>
      <c r="AY1299" s="458"/>
      <c r="AZ1299" s="458"/>
      <c r="BC1299" s="169"/>
    </row>
    <row r="1300" spans="19:55" ht="15.75" customHeight="1">
      <c r="S1300" s="454"/>
      <c r="AN1300" s="458"/>
      <c r="AY1300" s="458"/>
      <c r="AZ1300" s="458"/>
      <c r="BC1300" s="169"/>
    </row>
    <row r="1301" spans="19:55" ht="15.75" customHeight="1">
      <c r="S1301" s="454"/>
      <c r="AN1301" s="458"/>
      <c r="AY1301" s="458"/>
      <c r="AZ1301" s="458"/>
      <c r="BC1301" s="169"/>
    </row>
    <row r="1302" spans="19:55" ht="15.75" customHeight="1">
      <c r="S1302" s="454"/>
      <c r="AN1302" s="458"/>
      <c r="AY1302" s="458"/>
      <c r="AZ1302" s="458"/>
      <c r="BC1302" s="169"/>
    </row>
    <row r="1303" spans="19:55" ht="15.75" customHeight="1">
      <c r="S1303" s="454"/>
      <c r="AN1303" s="458"/>
      <c r="AY1303" s="458"/>
      <c r="AZ1303" s="458"/>
      <c r="BC1303" s="169"/>
    </row>
    <row r="1304" spans="19:55" ht="15.75" customHeight="1">
      <c r="S1304" s="454"/>
      <c r="AN1304" s="458"/>
      <c r="AY1304" s="458"/>
      <c r="AZ1304" s="458"/>
      <c r="BC1304" s="169"/>
    </row>
    <row r="1305" spans="19:55" ht="15.75" customHeight="1">
      <c r="S1305" s="454"/>
      <c r="AN1305" s="458"/>
      <c r="AY1305" s="458"/>
      <c r="AZ1305" s="458"/>
      <c r="BC1305" s="169"/>
    </row>
    <row r="1306" spans="19:55" ht="15.75" customHeight="1">
      <c r="S1306" s="454"/>
      <c r="AN1306" s="458"/>
      <c r="BC1306" s="169"/>
    </row>
    <row r="1307" spans="19:55" ht="15.75" customHeight="1">
      <c r="S1307" s="454"/>
      <c r="AN1307" s="458"/>
      <c r="BC1307" s="169"/>
    </row>
    <row r="1308" spans="19:55" ht="15.75" customHeight="1">
      <c r="S1308" s="454"/>
      <c r="AN1308" s="458"/>
      <c r="BC1308" s="169"/>
    </row>
    <row r="1309" spans="19:55" ht="15.75" customHeight="1">
      <c r="S1309" s="454"/>
      <c r="AN1309" s="458"/>
      <c r="BC1309" s="169"/>
    </row>
    <row r="1310" spans="19:55" ht="15.75" customHeight="1">
      <c r="S1310" s="454"/>
      <c r="AN1310" s="458"/>
      <c r="BC1310" s="169"/>
    </row>
    <row r="1311" spans="19:55" ht="15.75" customHeight="1">
      <c r="S1311" s="454"/>
      <c r="AN1311" s="458"/>
      <c r="BC1311" s="169"/>
    </row>
    <row r="1312" spans="19:55" ht="15.75" customHeight="1">
      <c r="S1312" s="454"/>
      <c r="AN1312" s="458"/>
      <c r="BC1312" s="169"/>
    </row>
    <row r="1313" spans="19:55" ht="15.75" customHeight="1">
      <c r="S1313" s="454"/>
      <c r="AN1313" s="458"/>
      <c r="BC1313" s="169"/>
    </row>
    <row r="1314" spans="19:55" ht="15.75" customHeight="1">
      <c r="S1314" s="454"/>
      <c r="AN1314" s="458"/>
      <c r="BC1314" s="169"/>
    </row>
    <row r="1315" spans="19:55" ht="15.75" customHeight="1">
      <c r="S1315" s="454"/>
      <c r="AN1315" s="458"/>
      <c r="BC1315" s="169"/>
    </row>
    <row r="1316" spans="19:55" ht="15.75" customHeight="1">
      <c r="S1316" s="454"/>
      <c r="AN1316" s="458"/>
      <c r="BC1316" s="169"/>
    </row>
    <row r="1317" spans="19:55" ht="15.75" customHeight="1">
      <c r="S1317" s="454"/>
      <c r="AN1317" s="458"/>
      <c r="BC1317" s="169"/>
    </row>
    <row r="1318" spans="19:55" ht="15.75" customHeight="1">
      <c r="S1318" s="454"/>
      <c r="AN1318" s="458"/>
      <c r="BC1318" s="169"/>
    </row>
    <row r="1319" spans="19:55" ht="15.75" customHeight="1">
      <c r="S1319" s="454"/>
      <c r="AN1319" s="458"/>
      <c r="BC1319" s="169"/>
    </row>
    <row r="1320" spans="19:55" ht="15.75" customHeight="1">
      <c r="S1320" s="454"/>
      <c r="AN1320" s="458"/>
      <c r="BC1320" s="169"/>
    </row>
    <row r="1321" spans="19:55" ht="15.75" customHeight="1">
      <c r="S1321" s="454"/>
      <c r="AN1321" s="458"/>
      <c r="BC1321" s="169"/>
    </row>
    <row r="1322" spans="19:55" ht="15.75" customHeight="1">
      <c r="S1322" s="454"/>
      <c r="AN1322" s="458"/>
      <c r="BC1322" s="169"/>
    </row>
    <row r="1323" spans="19:55" ht="15.75" customHeight="1">
      <c r="S1323" s="454"/>
      <c r="AN1323" s="458"/>
      <c r="BC1323" s="169"/>
    </row>
    <row r="1324" spans="19:55" ht="15.75" customHeight="1">
      <c r="S1324" s="454"/>
      <c r="AN1324" s="458"/>
      <c r="BC1324" s="169"/>
    </row>
    <row r="1325" spans="19:55" ht="15.75" customHeight="1">
      <c r="S1325" s="454"/>
      <c r="AN1325" s="458"/>
      <c r="BC1325" s="169"/>
    </row>
    <row r="1326" spans="19:55" ht="15.75" customHeight="1">
      <c r="S1326" s="454"/>
      <c r="AN1326" s="458"/>
      <c r="BC1326" s="169"/>
    </row>
    <row r="1327" spans="19:55" ht="15.75" customHeight="1">
      <c r="S1327" s="454"/>
      <c r="AN1327" s="458"/>
      <c r="BC1327" s="169"/>
    </row>
    <row r="1328" spans="19:55" ht="15.75" customHeight="1">
      <c r="S1328" s="454"/>
      <c r="AN1328" s="458"/>
      <c r="BC1328" s="169"/>
    </row>
    <row r="1329" spans="19:55" ht="15.75" customHeight="1">
      <c r="S1329" s="454"/>
      <c r="AN1329" s="458"/>
      <c r="BC1329" s="169"/>
    </row>
    <row r="1330" spans="19:55" ht="15.75" customHeight="1">
      <c r="S1330" s="454"/>
      <c r="AN1330" s="458"/>
      <c r="BC1330" s="169"/>
    </row>
    <row r="1331" spans="19:55" ht="15.75" customHeight="1">
      <c r="S1331" s="454"/>
      <c r="AN1331" s="458"/>
      <c r="BC1331" s="169"/>
    </row>
    <row r="1332" spans="19:55" ht="15.75" customHeight="1">
      <c r="S1332" s="454"/>
      <c r="AN1332" s="458"/>
      <c r="BC1332" s="169"/>
    </row>
    <row r="1333" spans="19:55" ht="15.75" customHeight="1">
      <c r="S1333" s="454"/>
      <c r="AN1333" s="458"/>
      <c r="BC1333" s="169"/>
    </row>
    <row r="1334" spans="19:55" ht="15.75" customHeight="1">
      <c r="S1334" s="454"/>
      <c r="AN1334" s="458"/>
      <c r="BC1334" s="169"/>
    </row>
    <row r="1335" spans="19:55" ht="15.75" customHeight="1">
      <c r="S1335" s="454"/>
      <c r="AN1335" s="458"/>
      <c r="BC1335" s="169"/>
    </row>
    <row r="1336" spans="19:55" ht="15.75" customHeight="1">
      <c r="S1336" s="454"/>
      <c r="AN1336" s="458"/>
      <c r="BC1336" s="169"/>
    </row>
    <row r="1337" spans="19:55" ht="15.75" customHeight="1">
      <c r="S1337" s="454"/>
      <c r="AN1337" s="458"/>
      <c r="BC1337" s="169"/>
    </row>
    <row r="1338" spans="19:55" ht="15.75" customHeight="1">
      <c r="S1338" s="454"/>
      <c r="AN1338" s="458"/>
      <c r="BC1338" s="169"/>
    </row>
    <row r="1339" spans="19:55" ht="15.75" customHeight="1">
      <c r="S1339" s="454"/>
      <c r="AN1339" s="458"/>
      <c r="BC1339" s="169"/>
    </row>
    <row r="1340" spans="19:55" ht="15.75" customHeight="1">
      <c r="S1340" s="454"/>
      <c r="AN1340" s="458"/>
      <c r="BC1340" s="169"/>
    </row>
    <row r="1341" spans="19:55" ht="15.75" customHeight="1">
      <c r="S1341" s="454"/>
      <c r="AN1341" s="458"/>
      <c r="BC1341" s="169"/>
    </row>
    <row r="1342" spans="19:55" ht="15.75" customHeight="1">
      <c r="S1342" s="454"/>
      <c r="AN1342" s="458"/>
      <c r="BC1342" s="169"/>
    </row>
    <row r="1343" spans="19:55" ht="15.75" customHeight="1">
      <c r="S1343" s="454"/>
      <c r="AN1343" s="458"/>
      <c r="BC1343" s="169"/>
    </row>
    <row r="1344" spans="19:55" ht="15.75" customHeight="1">
      <c r="S1344" s="454"/>
      <c r="AN1344" s="458"/>
      <c r="BC1344" s="169"/>
    </row>
    <row r="1345" spans="19:55" ht="15.75" customHeight="1">
      <c r="S1345" s="454"/>
      <c r="AN1345" s="458"/>
      <c r="BC1345" s="169"/>
    </row>
    <row r="1346" spans="19:55" ht="15.75" customHeight="1">
      <c r="S1346" s="454"/>
      <c r="AN1346" s="458"/>
      <c r="BC1346" s="169"/>
    </row>
    <row r="1347" spans="19:55" ht="15.75" customHeight="1">
      <c r="S1347" s="454"/>
      <c r="AN1347" s="458"/>
      <c r="BC1347" s="169"/>
    </row>
    <row r="1348" spans="19:55" ht="15.75" customHeight="1">
      <c r="S1348" s="454"/>
      <c r="AN1348" s="458"/>
      <c r="BC1348" s="169"/>
    </row>
    <row r="1349" spans="19:55" ht="15.75" customHeight="1">
      <c r="S1349" s="454"/>
      <c r="AN1349" s="458"/>
      <c r="BC1349" s="169"/>
    </row>
    <row r="1350" spans="19:55" ht="15.75" customHeight="1">
      <c r="S1350" s="454"/>
      <c r="AN1350" s="458"/>
      <c r="BC1350" s="169"/>
    </row>
    <row r="1351" spans="19:55" ht="15.75" customHeight="1">
      <c r="S1351" s="454"/>
      <c r="AN1351" s="458"/>
      <c r="BC1351" s="169"/>
    </row>
    <row r="1352" spans="19:55" ht="15.75" customHeight="1">
      <c r="S1352" s="454"/>
      <c r="AN1352" s="458"/>
      <c r="BC1352" s="169"/>
    </row>
    <row r="1353" spans="19:55" ht="15.75" customHeight="1">
      <c r="S1353" s="454"/>
      <c r="AN1353" s="458"/>
      <c r="BC1353" s="169"/>
    </row>
    <row r="1354" spans="19:55" ht="15.75" customHeight="1">
      <c r="S1354" s="454"/>
      <c r="AN1354" s="458"/>
      <c r="BC1354" s="169"/>
    </row>
    <row r="1355" spans="19:55" ht="15.75" customHeight="1">
      <c r="S1355" s="454"/>
      <c r="AN1355" s="458"/>
      <c r="BC1355" s="169"/>
    </row>
    <row r="1356" spans="19:55" ht="15.75" customHeight="1">
      <c r="S1356" s="454"/>
      <c r="AN1356" s="458"/>
      <c r="BC1356" s="169"/>
    </row>
    <row r="1357" spans="19:55" ht="15.75" customHeight="1">
      <c r="S1357" s="454"/>
      <c r="AN1357" s="458"/>
      <c r="BC1357" s="169"/>
    </row>
    <row r="1358" spans="19:55" ht="15.75" customHeight="1">
      <c r="S1358" s="454"/>
      <c r="AN1358" s="458"/>
      <c r="BC1358" s="169"/>
    </row>
    <row r="1359" spans="19:55" ht="15.75" customHeight="1">
      <c r="S1359" s="454"/>
      <c r="AN1359" s="458"/>
      <c r="BC1359" s="169"/>
    </row>
    <row r="1360" spans="19:55" ht="15.75" customHeight="1">
      <c r="S1360" s="454"/>
      <c r="AN1360" s="458"/>
      <c r="BC1360" s="169"/>
    </row>
    <row r="1361" spans="19:55" ht="15.75" customHeight="1">
      <c r="S1361" s="454"/>
      <c r="AN1361" s="458"/>
      <c r="BC1361" s="169"/>
    </row>
    <row r="1362" spans="19:55" ht="15.75" customHeight="1">
      <c r="S1362" s="454"/>
      <c r="AN1362" s="458"/>
      <c r="BC1362" s="169"/>
    </row>
    <row r="1363" spans="19:55" ht="15.75" customHeight="1">
      <c r="S1363" s="454"/>
      <c r="AN1363" s="458"/>
      <c r="BC1363" s="169"/>
    </row>
    <row r="1364" spans="19:55" ht="15.75" customHeight="1">
      <c r="S1364" s="454"/>
      <c r="AN1364" s="458"/>
      <c r="BC1364" s="169"/>
    </row>
    <row r="1365" spans="19:55" ht="15.75" customHeight="1">
      <c r="S1365" s="454"/>
      <c r="AN1365" s="458"/>
      <c r="BC1365" s="169"/>
    </row>
    <row r="1366" spans="19:55" ht="15.75" customHeight="1">
      <c r="S1366" s="454"/>
      <c r="AN1366" s="458"/>
      <c r="BC1366" s="169"/>
    </row>
    <row r="1367" spans="19:55" ht="15.75" customHeight="1">
      <c r="S1367" s="454"/>
      <c r="AN1367" s="458"/>
      <c r="BC1367" s="169"/>
    </row>
    <row r="1368" spans="19:55" ht="15.75" customHeight="1">
      <c r="S1368" s="454"/>
      <c r="AN1368" s="458"/>
      <c r="BC1368" s="169"/>
    </row>
    <row r="1369" spans="19:55" ht="15.75" customHeight="1">
      <c r="S1369" s="454"/>
      <c r="AN1369" s="458"/>
      <c r="BC1369" s="169"/>
    </row>
    <row r="1370" spans="19:55" ht="15.75" customHeight="1">
      <c r="S1370" s="454"/>
      <c r="AN1370" s="458"/>
      <c r="BC1370" s="169"/>
    </row>
    <row r="1371" spans="19:55" ht="15.75" customHeight="1">
      <c r="S1371" s="454"/>
      <c r="AN1371" s="458"/>
      <c r="BC1371" s="169"/>
    </row>
    <row r="1372" spans="19:55" ht="15.75" customHeight="1">
      <c r="S1372" s="454"/>
      <c r="AN1372" s="458"/>
      <c r="BC1372" s="169"/>
    </row>
    <row r="1373" spans="19:55" ht="15.75" customHeight="1">
      <c r="S1373" s="454"/>
      <c r="AN1373" s="458"/>
      <c r="BC1373" s="169"/>
    </row>
    <row r="1374" spans="19:55" ht="15.75" customHeight="1">
      <c r="S1374" s="454"/>
      <c r="AN1374" s="458"/>
      <c r="BC1374" s="169"/>
    </row>
    <row r="1375" spans="19:55" ht="15.75" customHeight="1">
      <c r="S1375" s="454"/>
      <c r="AN1375" s="458"/>
      <c r="BC1375" s="169"/>
    </row>
    <row r="1376" spans="19:55" ht="15.75" customHeight="1">
      <c r="S1376" s="454"/>
      <c r="AN1376" s="458"/>
      <c r="BC1376" s="169"/>
    </row>
    <row r="1377" spans="19:55" ht="15.75" customHeight="1">
      <c r="S1377" s="454"/>
      <c r="AN1377" s="458"/>
      <c r="BC1377" s="169"/>
    </row>
    <row r="1378" spans="19:55" ht="15.75" customHeight="1">
      <c r="S1378" s="454"/>
      <c r="AN1378" s="458"/>
      <c r="BC1378" s="169"/>
    </row>
    <row r="1379" spans="19:55" ht="15.75" customHeight="1">
      <c r="S1379" s="454"/>
      <c r="AN1379" s="458"/>
      <c r="BC1379" s="169"/>
    </row>
    <row r="1380" spans="19:55" ht="15.75" customHeight="1">
      <c r="S1380" s="454"/>
      <c r="AN1380" s="458"/>
      <c r="BC1380" s="169"/>
    </row>
    <row r="1381" spans="19:55" ht="15.75" customHeight="1">
      <c r="S1381" s="454"/>
      <c r="AN1381" s="458"/>
      <c r="BC1381" s="169"/>
    </row>
    <row r="1382" spans="19:55" ht="15.75" customHeight="1">
      <c r="S1382" s="454"/>
      <c r="AN1382" s="458"/>
      <c r="BC1382" s="169"/>
    </row>
    <row r="1383" spans="19:55" ht="15.75" customHeight="1">
      <c r="S1383" s="454"/>
      <c r="AN1383" s="458"/>
      <c r="BC1383" s="169"/>
    </row>
    <row r="1384" spans="19:55" ht="15.75" customHeight="1">
      <c r="S1384" s="454"/>
      <c r="AN1384" s="458"/>
      <c r="BC1384" s="169"/>
    </row>
    <row r="1385" spans="19:55" ht="15.75" customHeight="1">
      <c r="S1385" s="454"/>
      <c r="AN1385" s="458"/>
      <c r="BC1385" s="169"/>
    </row>
    <row r="1386" spans="19:55" ht="15.75" customHeight="1">
      <c r="S1386" s="454"/>
      <c r="AN1386" s="458"/>
      <c r="BC1386" s="169"/>
    </row>
    <row r="1387" spans="19:55" ht="15.75" customHeight="1">
      <c r="S1387" s="454"/>
      <c r="AN1387" s="458"/>
      <c r="BC1387" s="169"/>
    </row>
    <row r="1388" spans="19:55" ht="15.75" customHeight="1">
      <c r="S1388" s="454"/>
      <c r="AN1388" s="458"/>
      <c r="BC1388" s="169"/>
    </row>
    <row r="1389" spans="19:55" ht="15.75" customHeight="1">
      <c r="S1389" s="454"/>
      <c r="AN1389" s="458"/>
      <c r="BC1389" s="169"/>
    </row>
    <row r="1390" spans="19:55" ht="15.75" customHeight="1">
      <c r="S1390" s="454"/>
      <c r="AN1390" s="458"/>
      <c r="BC1390" s="169"/>
    </row>
    <row r="1391" spans="19:55" ht="15.75" customHeight="1">
      <c r="S1391" s="454"/>
      <c r="AN1391" s="458"/>
      <c r="BC1391" s="169"/>
    </row>
    <row r="1392" spans="19:55" ht="15.75" customHeight="1">
      <c r="S1392" s="454"/>
      <c r="AN1392" s="458"/>
      <c r="BC1392" s="169"/>
    </row>
    <row r="1393" spans="19:55" ht="15.75" customHeight="1">
      <c r="S1393" s="454"/>
      <c r="AN1393" s="458"/>
      <c r="BC1393" s="169"/>
    </row>
    <row r="1394" spans="19:55" ht="15.75" customHeight="1">
      <c r="S1394" s="454"/>
      <c r="AN1394" s="458"/>
      <c r="BC1394" s="169"/>
    </row>
    <row r="1395" spans="19:55" ht="15.75" customHeight="1">
      <c r="S1395" s="454"/>
      <c r="AN1395" s="458"/>
      <c r="BC1395" s="169"/>
    </row>
    <row r="1396" spans="19:55" ht="15.75" customHeight="1">
      <c r="S1396" s="454"/>
      <c r="AN1396" s="458"/>
      <c r="BC1396" s="169"/>
    </row>
    <row r="1397" spans="19:55" ht="15.75" customHeight="1">
      <c r="S1397" s="454"/>
      <c r="AN1397" s="458"/>
      <c r="BC1397" s="169"/>
    </row>
    <row r="1398" spans="19:55" ht="15.75" customHeight="1">
      <c r="S1398" s="454"/>
      <c r="AN1398" s="458"/>
      <c r="BC1398" s="169"/>
    </row>
    <row r="1399" spans="19:55" ht="15.75" customHeight="1">
      <c r="S1399" s="454"/>
      <c r="AN1399" s="458"/>
      <c r="BC1399" s="169"/>
    </row>
    <row r="1400" spans="19:55" ht="15.75" customHeight="1">
      <c r="S1400" s="454"/>
      <c r="AN1400" s="458"/>
      <c r="BC1400" s="169"/>
    </row>
    <row r="1401" spans="19:55" ht="15.75" customHeight="1">
      <c r="S1401" s="454"/>
      <c r="AN1401" s="458"/>
      <c r="BC1401" s="169"/>
    </row>
    <row r="1402" spans="19:55" ht="15.75" customHeight="1">
      <c r="S1402" s="454"/>
      <c r="AN1402" s="458"/>
      <c r="BC1402" s="169"/>
    </row>
    <row r="1403" spans="19:55" ht="15.75" customHeight="1">
      <c r="S1403" s="454"/>
      <c r="AN1403" s="458"/>
      <c r="BC1403" s="169"/>
    </row>
    <row r="1404" spans="19:55" ht="15.75" customHeight="1">
      <c r="S1404" s="454"/>
      <c r="AN1404" s="458"/>
      <c r="BC1404" s="169"/>
    </row>
    <row r="1405" spans="19:55" ht="15.75" customHeight="1">
      <c r="S1405" s="454"/>
      <c r="AN1405" s="458"/>
      <c r="BC1405" s="169"/>
    </row>
    <row r="1406" spans="19:55" ht="15.75" customHeight="1">
      <c r="S1406" s="454"/>
      <c r="AN1406" s="458"/>
      <c r="BC1406" s="169"/>
    </row>
    <row r="1407" spans="19:55" ht="15.75" customHeight="1">
      <c r="S1407" s="454"/>
      <c r="AN1407" s="458"/>
      <c r="BC1407" s="169"/>
    </row>
    <row r="1408" spans="19:55" ht="15.75" customHeight="1">
      <c r="S1408" s="454"/>
      <c r="AN1408" s="458"/>
      <c r="BC1408" s="169"/>
    </row>
    <row r="1409" spans="19:55" ht="15.75" customHeight="1">
      <c r="S1409" s="454"/>
      <c r="AN1409" s="458"/>
      <c r="BC1409" s="169"/>
    </row>
    <row r="1410" spans="19:55" ht="15.75" customHeight="1">
      <c r="S1410" s="454"/>
      <c r="AN1410" s="458"/>
      <c r="BC1410" s="169"/>
    </row>
    <row r="1411" spans="19:55" ht="15.75" customHeight="1">
      <c r="S1411" s="454"/>
      <c r="AN1411" s="458"/>
      <c r="BC1411" s="169"/>
    </row>
    <row r="1412" spans="19:55" ht="15.75" customHeight="1">
      <c r="S1412" s="454"/>
      <c r="AN1412" s="458"/>
      <c r="BC1412" s="169"/>
    </row>
    <row r="1413" spans="19:55" ht="15.75" customHeight="1">
      <c r="S1413" s="454"/>
      <c r="AN1413" s="458"/>
      <c r="BC1413" s="169"/>
    </row>
    <row r="1414" spans="19:55" ht="15.75" customHeight="1">
      <c r="S1414" s="454"/>
      <c r="AN1414" s="458"/>
      <c r="BC1414" s="169"/>
    </row>
    <row r="1415" spans="19:55" ht="15.75" customHeight="1">
      <c r="S1415" s="454"/>
      <c r="AN1415" s="458"/>
      <c r="BC1415" s="169"/>
    </row>
    <row r="1416" spans="19:55" ht="15.75" customHeight="1">
      <c r="S1416" s="454"/>
      <c r="AN1416" s="458"/>
      <c r="BC1416" s="169"/>
    </row>
    <row r="1417" spans="19:55" ht="15.75" customHeight="1">
      <c r="S1417" s="454"/>
      <c r="AN1417" s="458"/>
      <c r="BC1417" s="169"/>
    </row>
    <row r="1418" spans="19:55" ht="15.75" customHeight="1">
      <c r="S1418" s="454"/>
      <c r="AN1418" s="458"/>
      <c r="BC1418" s="169"/>
    </row>
    <row r="1419" spans="19:55" ht="15.75" customHeight="1">
      <c r="S1419" s="454"/>
      <c r="AN1419" s="458"/>
      <c r="BC1419" s="169"/>
    </row>
    <row r="1420" spans="19:55" ht="15.75" customHeight="1">
      <c r="S1420" s="454"/>
      <c r="AN1420" s="458"/>
      <c r="BC1420" s="169"/>
    </row>
    <row r="1421" spans="19:55" ht="15.75" customHeight="1">
      <c r="S1421" s="454"/>
      <c r="AN1421" s="458"/>
      <c r="BC1421" s="169"/>
    </row>
    <row r="1422" spans="19:55" ht="15.75" customHeight="1">
      <c r="S1422" s="454"/>
      <c r="AN1422" s="458"/>
      <c r="BC1422" s="169"/>
    </row>
    <row r="1423" spans="19:55" ht="15.75" customHeight="1">
      <c r="S1423" s="454"/>
      <c r="AN1423" s="458"/>
      <c r="BC1423" s="169"/>
    </row>
    <row r="1424" spans="19:55" ht="15.75" customHeight="1">
      <c r="S1424" s="454"/>
      <c r="AN1424" s="458"/>
      <c r="BC1424" s="169"/>
    </row>
    <row r="1425" spans="19:55" ht="15.75" customHeight="1">
      <c r="S1425" s="454"/>
      <c r="AN1425" s="458"/>
      <c r="BC1425" s="169"/>
    </row>
    <row r="1426" spans="19:55" ht="15.75" customHeight="1">
      <c r="S1426" s="454"/>
      <c r="AN1426" s="458"/>
      <c r="BC1426" s="169"/>
    </row>
    <row r="1427" spans="19:55" ht="15.75" customHeight="1">
      <c r="S1427" s="454"/>
      <c r="AN1427" s="458"/>
      <c r="BC1427" s="169"/>
    </row>
    <row r="1428" spans="19:55" ht="15.75" customHeight="1">
      <c r="S1428" s="454"/>
      <c r="AN1428" s="458"/>
      <c r="BC1428" s="169"/>
    </row>
    <row r="1429" spans="19:55" ht="15.75" customHeight="1">
      <c r="S1429" s="454"/>
      <c r="AN1429" s="458"/>
      <c r="BC1429" s="169"/>
    </row>
    <row r="1430" spans="19:55" ht="15.75" customHeight="1">
      <c r="S1430" s="454"/>
      <c r="AN1430" s="458"/>
      <c r="BC1430" s="169"/>
    </row>
    <row r="1431" spans="19:55" ht="15.75" customHeight="1">
      <c r="S1431" s="454"/>
      <c r="AN1431" s="458"/>
      <c r="BC1431" s="169"/>
    </row>
    <row r="1432" spans="19:55" ht="15.75" customHeight="1">
      <c r="S1432" s="454"/>
      <c r="AN1432" s="458"/>
      <c r="BC1432" s="169"/>
    </row>
    <row r="1433" spans="19:55" ht="15.75" customHeight="1">
      <c r="S1433" s="454"/>
      <c r="AN1433" s="458"/>
      <c r="BC1433" s="169"/>
    </row>
    <row r="1434" spans="19:55" ht="15.75" customHeight="1">
      <c r="S1434" s="454"/>
      <c r="AN1434" s="458"/>
      <c r="BC1434" s="169"/>
    </row>
    <row r="1435" spans="19:55" ht="15.75" customHeight="1">
      <c r="S1435" s="454"/>
      <c r="AN1435" s="458"/>
      <c r="BC1435" s="169"/>
    </row>
    <row r="1436" spans="19:55" ht="15.75" customHeight="1">
      <c r="S1436" s="454"/>
      <c r="AN1436" s="458"/>
      <c r="BC1436" s="169"/>
    </row>
    <row r="1437" spans="19:55" ht="15.75" customHeight="1">
      <c r="S1437" s="454"/>
      <c r="AN1437" s="458"/>
      <c r="BC1437" s="169"/>
    </row>
    <row r="1438" spans="19:55" ht="15.75" customHeight="1">
      <c r="S1438" s="454"/>
      <c r="AN1438" s="458"/>
      <c r="BC1438" s="169"/>
    </row>
    <row r="1439" spans="19:55" ht="15.75" customHeight="1">
      <c r="S1439" s="454"/>
      <c r="AN1439" s="458"/>
      <c r="BC1439" s="169"/>
    </row>
    <row r="1440" spans="19:55" ht="15.75" customHeight="1">
      <c r="S1440" s="454"/>
      <c r="AN1440" s="458"/>
      <c r="BC1440" s="169"/>
    </row>
    <row r="1441" spans="19:55" ht="15.75" customHeight="1">
      <c r="S1441" s="454"/>
      <c r="AN1441" s="458"/>
      <c r="BC1441" s="169"/>
    </row>
    <row r="1442" spans="19:55" ht="15.75" customHeight="1">
      <c r="S1442" s="454"/>
      <c r="AN1442" s="458"/>
      <c r="BC1442" s="169"/>
    </row>
    <row r="1443" spans="19:55" ht="15.75" customHeight="1">
      <c r="S1443" s="454"/>
      <c r="AN1443" s="458"/>
      <c r="BC1443" s="169"/>
    </row>
    <row r="1444" spans="19:55" ht="15.75" customHeight="1">
      <c r="S1444" s="454"/>
      <c r="AN1444" s="458"/>
      <c r="BC1444" s="169"/>
    </row>
    <row r="1445" spans="19:55" ht="15.75" customHeight="1">
      <c r="S1445" s="454"/>
      <c r="AN1445" s="458"/>
      <c r="BC1445" s="169"/>
    </row>
    <row r="1446" spans="19:55" ht="15.75" customHeight="1">
      <c r="S1446" s="454"/>
      <c r="AN1446" s="458"/>
      <c r="BC1446" s="169"/>
    </row>
    <row r="1447" spans="19:55" ht="15.75" customHeight="1">
      <c r="S1447" s="454"/>
      <c r="AN1447" s="458"/>
      <c r="BC1447" s="169"/>
    </row>
    <row r="1448" spans="19:55" ht="15.75" customHeight="1">
      <c r="S1448" s="454"/>
      <c r="AN1448" s="458"/>
      <c r="BC1448" s="169"/>
    </row>
    <row r="1449" spans="19:55" ht="15.75" customHeight="1">
      <c r="S1449" s="454"/>
      <c r="AN1449" s="458"/>
      <c r="BC1449" s="169"/>
    </row>
    <row r="1450" spans="19:55" ht="15.75" customHeight="1">
      <c r="S1450" s="454"/>
      <c r="AN1450" s="458"/>
      <c r="BC1450" s="169"/>
    </row>
    <row r="1451" spans="19:55" ht="15.75" customHeight="1">
      <c r="S1451" s="454"/>
      <c r="AN1451" s="458"/>
      <c r="BC1451" s="169"/>
    </row>
    <row r="1452" spans="19:55" ht="15.75" customHeight="1">
      <c r="S1452" s="454"/>
      <c r="AN1452" s="458"/>
      <c r="BC1452" s="169"/>
    </row>
    <row r="1453" spans="19:55" ht="15.75" customHeight="1">
      <c r="S1453" s="454"/>
      <c r="AN1453" s="458"/>
      <c r="BC1453" s="169"/>
    </row>
    <row r="1454" spans="19:55" ht="15.75" customHeight="1">
      <c r="S1454" s="454"/>
      <c r="AN1454" s="458"/>
      <c r="BC1454" s="169"/>
    </row>
    <row r="1455" spans="19:55" ht="15.75" customHeight="1">
      <c r="S1455" s="454"/>
      <c r="AN1455" s="458"/>
      <c r="BC1455" s="169"/>
    </row>
    <row r="1456" spans="19:55" ht="15.75" customHeight="1">
      <c r="S1456" s="454"/>
      <c r="AN1456" s="458"/>
      <c r="BC1456" s="169"/>
    </row>
    <row r="1457" spans="19:55" ht="15.75" customHeight="1">
      <c r="S1457" s="454"/>
      <c r="AN1457" s="458"/>
      <c r="BC1457" s="169"/>
    </row>
    <row r="1458" spans="19:55" ht="15.75" customHeight="1">
      <c r="S1458" s="454"/>
      <c r="AN1458" s="458"/>
      <c r="BC1458" s="169"/>
    </row>
    <row r="1459" spans="19:55" ht="15.75" customHeight="1">
      <c r="S1459" s="454"/>
      <c r="AN1459" s="458"/>
      <c r="BC1459" s="169"/>
    </row>
    <row r="1460" spans="19:55" ht="15.75" customHeight="1">
      <c r="S1460" s="454"/>
      <c r="AN1460" s="458"/>
      <c r="BC1460" s="169"/>
    </row>
    <row r="1461" spans="19:55" ht="15.75" customHeight="1">
      <c r="S1461" s="454"/>
      <c r="AN1461" s="458"/>
      <c r="BC1461" s="169"/>
    </row>
    <row r="1462" spans="19:55" ht="15.75" customHeight="1">
      <c r="S1462" s="454"/>
      <c r="AN1462" s="458"/>
      <c r="BC1462" s="169"/>
    </row>
    <row r="1463" spans="19:55" ht="15.75" customHeight="1">
      <c r="S1463" s="454"/>
      <c r="AN1463" s="458"/>
      <c r="BC1463" s="169"/>
    </row>
    <row r="1464" spans="19:55" ht="15.75" customHeight="1">
      <c r="S1464" s="454"/>
      <c r="AN1464" s="458"/>
      <c r="BC1464" s="169"/>
    </row>
    <row r="1465" spans="19:55" ht="15.75" customHeight="1">
      <c r="S1465" s="454"/>
      <c r="AN1465" s="458"/>
      <c r="BC1465" s="169"/>
    </row>
    <row r="1466" spans="19:55" ht="15.75" customHeight="1">
      <c r="S1466" s="454"/>
      <c r="AN1466" s="458"/>
      <c r="BC1466" s="169"/>
    </row>
    <row r="1467" spans="19:55" ht="15.75" customHeight="1">
      <c r="S1467" s="454"/>
      <c r="AN1467" s="458"/>
      <c r="BC1467" s="169"/>
    </row>
    <row r="1468" spans="19:55" ht="15.75" customHeight="1">
      <c r="S1468" s="454"/>
      <c r="AN1468" s="458"/>
      <c r="BC1468" s="169"/>
    </row>
    <row r="1469" spans="19:55" ht="15.75" customHeight="1">
      <c r="S1469" s="454"/>
      <c r="AN1469" s="458"/>
      <c r="BC1469" s="169"/>
    </row>
    <row r="1470" spans="19:55" ht="15.75" customHeight="1">
      <c r="S1470" s="454"/>
      <c r="AN1470" s="458"/>
      <c r="BC1470" s="169"/>
    </row>
    <row r="1471" spans="19:55" ht="15.75" customHeight="1">
      <c r="S1471" s="454"/>
      <c r="AN1471" s="458"/>
      <c r="BC1471" s="169"/>
    </row>
    <row r="1472" spans="19:55" ht="15.75" customHeight="1">
      <c r="S1472" s="454"/>
      <c r="AN1472" s="458"/>
      <c r="BC1472" s="169"/>
    </row>
    <row r="1473" spans="19:55" ht="15.75" customHeight="1">
      <c r="S1473" s="454"/>
      <c r="AN1473" s="458"/>
      <c r="BC1473" s="169"/>
    </row>
    <row r="1474" spans="19:55" ht="15.75" customHeight="1">
      <c r="S1474" s="454"/>
      <c r="AN1474" s="458"/>
      <c r="BC1474" s="169"/>
    </row>
    <row r="1475" spans="19:55" ht="15.75" customHeight="1">
      <c r="S1475" s="454"/>
      <c r="AN1475" s="458"/>
      <c r="BC1475" s="169"/>
    </row>
    <row r="1476" spans="19:55" ht="15.75" customHeight="1">
      <c r="S1476" s="454"/>
      <c r="AN1476" s="458"/>
      <c r="BC1476" s="169"/>
    </row>
    <row r="1477" spans="19:55" ht="15.75" customHeight="1">
      <c r="S1477" s="454"/>
      <c r="AN1477" s="458"/>
      <c r="BC1477" s="169"/>
    </row>
    <row r="1478" spans="19:55" ht="15.75" customHeight="1">
      <c r="S1478" s="454"/>
      <c r="AN1478" s="458"/>
      <c r="BC1478" s="169"/>
    </row>
    <row r="1479" spans="19:55" ht="15.75" customHeight="1">
      <c r="S1479" s="454"/>
      <c r="AN1479" s="458"/>
      <c r="BC1479" s="169"/>
    </row>
    <row r="1480" spans="19:55" ht="15.75" customHeight="1">
      <c r="S1480" s="454"/>
      <c r="AN1480" s="458"/>
      <c r="BC1480" s="169"/>
    </row>
    <row r="1481" spans="19:55" ht="15.75" customHeight="1">
      <c r="S1481" s="454"/>
      <c r="AN1481" s="458"/>
      <c r="BC1481" s="169"/>
    </row>
    <row r="1482" spans="19:55" ht="15.75" customHeight="1">
      <c r="S1482" s="454"/>
      <c r="AN1482" s="458"/>
      <c r="BC1482" s="169"/>
    </row>
    <row r="1483" spans="19:55" ht="15.75" customHeight="1">
      <c r="S1483" s="454"/>
      <c r="AN1483" s="458"/>
      <c r="BC1483" s="169"/>
    </row>
    <row r="1484" spans="19:55" ht="15.75" customHeight="1">
      <c r="S1484" s="454"/>
      <c r="AN1484" s="458"/>
      <c r="BC1484" s="169"/>
    </row>
    <row r="1485" spans="19:55" ht="15.75" customHeight="1">
      <c r="S1485" s="454"/>
      <c r="AN1485" s="458"/>
      <c r="BC1485" s="169"/>
    </row>
    <row r="1486" spans="19:55" ht="15.75" customHeight="1">
      <c r="S1486" s="454"/>
      <c r="AN1486" s="458"/>
      <c r="BC1486" s="169"/>
    </row>
    <row r="1487" spans="19:55" ht="15.75" customHeight="1">
      <c r="S1487" s="454"/>
      <c r="AN1487" s="458"/>
      <c r="BC1487" s="169"/>
    </row>
    <row r="1488" spans="19:55" ht="15.75" customHeight="1">
      <c r="S1488" s="454"/>
      <c r="AN1488" s="458"/>
      <c r="BC1488" s="169"/>
    </row>
    <row r="1489" spans="19:55" ht="15.75" customHeight="1">
      <c r="S1489" s="454"/>
      <c r="AN1489" s="458"/>
      <c r="BC1489" s="169"/>
    </row>
    <row r="1490" spans="19:55" ht="15.75" customHeight="1">
      <c r="S1490" s="454"/>
      <c r="AN1490" s="458"/>
      <c r="BC1490" s="169"/>
    </row>
    <row r="1491" spans="19:55" ht="15.75" customHeight="1">
      <c r="S1491" s="454"/>
      <c r="AN1491" s="458"/>
      <c r="BC1491" s="169"/>
    </row>
    <row r="1492" spans="19:55" ht="15.75" customHeight="1">
      <c r="S1492" s="454"/>
      <c r="AN1492" s="458"/>
      <c r="BC1492" s="169"/>
    </row>
    <row r="1493" spans="19:55" ht="15.75" customHeight="1">
      <c r="S1493" s="454"/>
      <c r="AN1493" s="458"/>
      <c r="BC1493" s="169"/>
    </row>
    <row r="1494" spans="19:55" ht="15.75" customHeight="1">
      <c r="AN1494" s="458"/>
      <c r="BC1494" s="169"/>
    </row>
    <row r="1495" spans="19:55" ht="15.75" customHeight="1">
      <c r="AN1495" s="458"/>
      <c r="BC1495" s="169"/>
    </row>
    <row r="1496" spans="19:55" ht="15.75" customHeight="1">
      <c r="AN1496" s="458"/>
      <c r="BC1496" s="169"/>
    </row>
    <row r="1497" spans="19:55" ht="15.75" customHeight="1">
      <c r="AN1497" s="458"/>
      <c r="BC1497" s="169"/>
    </row>
    <row r="1498" spans="19:55" ht="15.75" customHeight="1">
      <c r="AN1498" s="458"/>
      <c r="BC1498" s="169"/>
    </row>
    <row r="1499" spans="19:55" ht="15.75" customHeight="1">
      <c r="AN1499" s="458"/>
      <c r="BC1499" s="169"/>
    </row>
    <row r="1500" spans="19:55" ht="15.75" customHeight="1">
      <c r="AN1500" s="458"/>
      <c r="BC1500" s="169"/>
    </row>
    <row r="1501" spans="19:55" ht="15.75" customHeight="1">
      <c r="AN1501" s="458"/>
      <c r="BC1501" s="169"/>
    </row>
    <row r="1502" spans="19:55" ht="15.75" customHeight="1">
      <c r="AN1502" s="458"/>
      <c r="BC1502" s="169"/>
    </row>
    <row r="1503" spans="19:55" ht="15.75" customHeight="1">
      <c r="AN1503" s="458"/>
      <c r="BC1503" s="169"/>
    </row>
    <row r="1504" spans="19:55" ht="15.75" customHeight="1">
      <c r="AN1504" s="458"/>
      <c r="BC1504" s="169"/>
    </row>
    <row r="1505" spans="40:55" ht="15.75" customHeight="1">
      <c r="AN1505" s="458"/>
      <c r="BC1505" s="169"/>
    </row>
    <row r="1506" spans="40:55" ht="15.75" customHeight="1">
      <c r="AN1506" s="458"/>
      <c r="BC1506" s="169"/>
    </row>
    <row r="1507" spans="40:55" ht="15.75" customHeight="1">
      <c r="AN1507" s="458"/>
      <c r="BC1507" s="169"/>
    </row>
    <row r="1508" spans="40:55" ht="15.75" customHeight="1">
      <c r="AN1508" s="458"/>
      <c r="BC1508" s="169"/>
    </row>
    <row r="1509" spans="40:55" ht="15.75" customHeight="1">
      <c r="AN1509" s="458"/>
      <c r="BC1509" s="169"/>
    </row>
    <row r="1510" spans="40:55" ht="15.75" customHeight="1">
      <c r="AN1510" s="458"/>
      <c r="BC1510" s="169"/>
    </row>
    <row r="1511" spans="40:55" ht="15.75" customHeight="1">
      <c r="AN1511" s="458"/>
      <c r="BC1511" s="169"/>
    </row>
    <row r="1512" spans="40:55" ht="15.75" customHeight="1">
      <c r="AN1512" s="458"/>
      <c r="BC1512" s="169"/>
    </row>
    <row r="1513" spans="40:55" ht="15.75" customHeight="1">
      <c r="AN1513" s="458"/>
      <c r="BC1513" s="169"/>
    </row>
    <row r="1514" spans="40:55" ht="15.75" customHeight="1">
      <c r="AN1514" s="458"/>
      <c r="BC1514" s="169"/>
    </row>
    <row r="1515" spans="40:55" ht="15.75" customHeight="1">
      <c r="AN1515" s="458"/>
      <c r="BC1515" s="169"/>
    </row>
    <row r="1516" spans="40:55" ht="15.75" customHeight="1">
      <c r="AN1516" s="458"/>
      <c r="BC1516" s="169"/>
    </row>
    <row r="1517" spans="40:55" ht="15.75" customHeight="1">
      <c r="AN1517" s="458"/>
      <c r="BC1517" s="169"/>
    </row>
    <row r="1518" spans="40:55" ht="15.75" customHeight="1">
      <c r="AN1518" s="458"/>
      <c r="BC1518" s="169"/>
    </row>
    <row r="1519" spans="40:55" ht="15.75" customHeight="1">
      <c r="AN1519" s="458"/>
      <c r="BC1519" s="169"/>
    </row>
    <row r="1520" spans="40:55" ht="15.75" customHeight="1">
      <c r="AN1520" s="458"/>
      <c r="BC1520" s="169"/>
    </row>
    <row r="1521" spans="40:55" ht="15.75" customHeight="1">
      <c r="AN1521" s="458"/>
      <c r="BC1521" s="169"/>
    </row>
    <row r="1522" spans="40:55" ht="15.75" customHeight="1">
      <c r="AN1522" s="458"/>
      <c r="BC1522" s="169"/>
    </row>
    <row r="1523" spans="40:55" ht="15.75" customHeight="1">
      <c r="AN1523" s="458"/>
      <c r="BC1523" s="169"/>
    </row>
    <row r="1524" spans="40:55" ht="15.75" customHeight="1">
      <c r="AN1524" s="458"/>
      <c r="BC1524" s="169"/>
    </row>
    <row r="1525" spans="40:55" ht="15.75" customHeight="1">
      <c r="AN1525" s="458"/>
      <c r="BC1525" s="169"/>
    </row>
    <row r="1526" spans="40:55" ht="15.75" customHeight="1">
      <c r="AN1526" s="458"/>
      <c r="BC1526" s="169"/>
    </row>
    <row r="1527" spans="40:55" ht="15.75" customHeight="1">
      <c r="AN1527" s="458"/>
      <c r="BC1527" s="169"/>
    </row>
    <row r="1528" spans="40:55" ht="15.75" customHeight="1">
      <c r="AN1528" s="458"/>
      <c r="BC1528" s="169"/>
    </row>
    <row r="1529" spans="40:55" ht="15.75" customHeight="1">
      <c r="AN1529" s="458"/>
      <c r="BC1529" s="169"/>
    </row>
    <row r="1530" spans="40:55" ht="15.75" customHeight="1">
      <c r="AN1530" s="458"/>
      <c r="BC1530" s="169"/>
    </row>
    <row r="1531" spans="40:55" ht="15.75" customHeight="1">
      <c r="AN1531" s="458"/>
      <c r="BC1531" s="169"/>
    </row>
    <row r="1532" spans="40:55" ht="15.75" customHeight="1">
      <c r="AN1532" s="458"/>
      <c r="BC1532" s="169"/>
    </row>
    <row r="1533" spans="40:55" ht="15.75" customHeight="1">
      <c r="AN1533" s="458"/>
      <c r="BC1533" s="169"/>
    </row>
    <row r="1534" spans="40:55" ht="15.75" customHeight="1">
      <c r="AN1534" s="458"/>
      <c r="BC1534" s="169"/>
    </row>
    <row r="1535" spans="40:55" ht="15.75" customHeight="1">
      <c r="AN1535" s="458"/>
      <c r="BC1535" s="169"/>
    </row>
    <row r="1536" spans="40:55" ht="15.75" customHeight="1">
      <c r="AN1536" s="458"/>
      <c r="BC1536" s="169"/>
    </row>
    <row r="1537" spans="40:55" ht="15.75" customHeight="1">
      <c r="AN1537" s="458"/>
      <c r="BC1537" s="169"/>
    </row>
    <row r="1538" spans="40:55" ht="15.75" customHeight="1">
      <c r="AN1538" s="458"/>
      <c r="BC1538" s="169"/>
    </row>
    <row r="1539" spans="40:55" ht="15.75" customHeight="1">
      <c r="AN1539" s="458"/>
      <c r="BC1539" s="169"/>
    </row>
    <row r="1540" spans="40:55" ht="15.75" customHeight="1">
      <c r="AN1540" s="458"/>
      <c r="BC1540" s="169"/>
    </row>
    <row r="1541" spans="40:55" ht="15.75" customHeight="1">
      <c r="AN1541" s="458"/>
      <c r="BC1541" s="169"/>
    </row>
    <row r="1542" spans="40:55" ht="15.75" customHeight="1">
      <c r="AN1542" s="458"/>
      <c r="BC1542" s="169"/>
    </row>
    <row r="1543" spans="40:55" ht="15.75" customHeight="1">
      <c r="AN1543" s="458"/>
      <c r="BC1543" s="169"/>
    </row>
    <row r="1544" spans="40:55" ht="15.75" customHeight="1">
      <c r="AN1544" s="458"/>
      <c r="BC1544" s="169"/>
    </row>
    <row r="1545" spans="40:55" ht="15.75" customHeight="1">
      <c r="AN1545" s="458"/>
      <c r="BC1545" s="169"/>
    </row>
    <row r="1546" spans="40:55" ht="15.75" customHeight="1">
      <c r="AN1546" s="458"/>
      <c r="BC1546" s="169"/>
    </row>
    <row r="1547" spans="40:55" ht="15.75" customHeight="1">
      <c r="AN1547" s="458"/>
      <c r="BC1547" s="169"/>
    </row>
    <row r="1548" spans="40:55" ht="15.75" customHeight="1">
      <c r="AN1548" s="458"/>
      <c r="BC1548" s="169"/>
    </row>
    <row r="1549" spans="40:55" ht="15.75" customHeight="1">
      <c r="AN1549" s="458"/>
      <c r="BC1549" s="169"/>
    </row>
    <row r="1550" spans="40:55" ht="15.75" customHeight="1">
      <c r="AN1550" s="458"/>
      <c r="BC1550" s="169"/>
    </row>
    <row r="1551" spans="40:55" ht="15.75" customHeight="1">
      <c r="AN1551" s="458"/>
      <c r="BC1551" s="169"/>
    </row>
    <row r="1552" spans="40:55" ht="15.75" customHeight="1">
      <c r="AN1552" s="458"/>
      <c r="BC1552" s="169"/>
    </row>
    <row r="1553" spans="40:55" ht="15.75" customHeight="1">
      <c r="AN1553" s="458"/>
      <c r="BC1553" s="169"/>
    </row>
    <row r="1554" spans="40:55" ht="15.75" customHeight="1">
      <c r="AN1554" s="458"/>
      <c r="BC1554" s="169"/>
    </row>
    <row r="1555" spans="40:55" ht="15.75" customHeight="1">
      <c r="AN1555" s="458"/>
      <c r="BC1555" s="169"/>
    </row>
    <row r="1556" spans="40:55" ht="15.75" customHeight="1">
      <c r="AN1556" s="458"/>
      <c r="BC1556" s="169"/>
    </row>
    <row r="1557" spans="40:55" ht="15.75" customHeight="1">
      <c r="AN1557" s="458"/>
      <c r="BC1557" s="169"/>
    </row>
    <row r="1558" spans="40:55" ht="15.75" customHeight="1">
      <c r="AN1558" s="458"/>
      <c r="BC1558" s="169"/>
    </row>
    <row r="1559" spans="40:55" ht="15.75" customHeight="1">
      <c r="AN1559" s="458"/>
      <c r="BC1559" s="169"/>
    </row>
    <row r="1560" spans="40:55" ht="15.75" customHeight="1">
      <c r="AN1560" s="458"/>
      <c r="BC1560" s="169"/>
    </row>
    <row r="1561" spans="40:55" ht="15.75" customHeight="1">
      <c r="AN1561" s="458"/>
      <c r="BC1561" s="169"/>
    </row>
    <row r="1562" spans="40:55" ht="15.75" customHeight="1">
      <c r="AN1562" s="458"/>
      <c r="BC1562" s="169"/>
    </row>
    <row r="1563" spans="40:55" ht="15.75" customHeight="1">
      <c r="AN1563" s="458"/>
      <c r="BC1563" s="169"/>
    </row>
    <row r="1564" spans="40:55" ht="15.75" customHeight="1">
      <c r="AN1564" s="458"/>
      <c r="BC1564" s="169"/>
    </row>
    <row r="1565" spans="40:55" ht="15.75" customHeight="1">
      <c r="AN1565" s="458"/>
      <c r="BC1565" s="169"/>
    </row>
    <row r="1566" spans="40:55" ht="15.75" customHeight="1">
      <c r="AN1566" s="458"/>
      <c r="BC1566" s="169"/>
    </row>
    <row r="1567" spans="40:55" ht="15.75" customHeight="1">
      <c r="AN1567" s="458"/>
      <c r="BC1567" s="169"/>
    </row>
    <row r="1568" spans="40:55" ht="15.75" customHeight="1">
      <c r="AN1568" s="458"/>
      <c r="BC1568" s="169"/>
    </row>
    <row r="1569" spans="40:55" ht="15.75" customHeight="1">
      <c r="AN1569" s="458"/>
      <c r="BC1569" s="169"/>
    </row>
    <row r="1570" spans="40:55" ht="15.75" customHeight="1">
      <c r="AN1570" s="458"/>
      <c r="BC1570" s="169"/>
    </row>
    <row r="1571" spans="40:55" ht="15.75" customHeight="1">
      <c r="AN1571" s="458"/>
      <c r="BC1571" s="169"/>
    </row>
    <row r="1572" spans="40:55" ht="15.75" customHeight="1">
      <c r="AN1572" s="458"/>
      <c r="BC1572" s="169"/>
    </row>
    <row r="1573" spans="40:55" ht="15.75" customHeight="1">
      <c r="AN1573" s="458"/>
      <c r="BC1573" s="169"/>
    </row>
    <row r="1574" spans="40:55" ht="15.75" customHeight="1">
      <c r="AN1574" s="458"/>
      <c r="BC1574" s="169"/>
    </row>
    <row r="1575" spans="40:55" ht="15.75" customHeight="1">
      <c r="AN1575" s="458"/>
      <c r="BC1575" s="169"/>
    </row>
    <row r="1576" spans="40:55" ht="15.75" customHeight="1">
      <c r="AN1576" s="458"/>
      <c r="BC1576" s="169"/>
    </row>
    <row r="1577" spans="40:55" ht="15.75" customHeight="1">
      <c r="AN1577" s="458"/>
      <c r="BC1577" s="169"/>
    </row>
    <row r="1578" spans="40:55" ht="15.75" customHeight="1">
      <c r="AN1578" s="458"/>
      <c r="BC1578" s="169"/>
    </row>
    <row r="1579" spans="40:55" ht="15.75" customHeight="1">
      <c r="AN1579" s="458"/>
      <c r="BC1579" s="169"/>
    </row>
    <row r="1580" spans="40:55" ht="15.75" customHeight="1">
      <c r="AN1580" s="458"/>
      <c r="BC1580" s="169"/>
    </row>
    <row r="1581" spans="40:55" ht="15.75" customHeight="1">
      <c r="AN1581" s="458"/>
      <c r="BC1581" s="169"/>
    </row>
    <row r="1582" spans="40:55" ht="15.75" customHeight="1">
      <c r="AN1582" s="458"/>
      <c r="BC1582" s="169"/>
    </row>
    <row r="1583" spans="40:55" ht="15.75" customHeight="1">
      <c r="AN1583" s="458"/>
      <c r="BC1583" s="169"/>
    </row>
    <row r="1584" spans="40:55" ht="15.75" customHeight="1">
      <c r="AN1584" s="458"/>
      <c r="BC1584" s="169"/>
    </row>
    <row r="1585" spans="40:55" ht="15.75" customHeight="1">
      <c r="AN1585" s="458"/>
      <c r="BC1585" s="169"/>
    </row>
    <row r="1586" spans="40:55" ht="15.75" customHeight="1">
      <c r="AN1586" s="458"/>
      <c r="BC1586" s="169"/>
    </row>
    <row r="1587" spans="40:55" ht="15.75" customHeight="1">
      <c r="AN1587" s="458"/>
      <c r="BC1587" s="169"/>
    </row>
    <row r="1588" spans="40:55" ht="15.75" customHeight="1">
      <c r="AN1588" s="458"/>
      <c r="BC1588" s="169"/>
    </row>
    <row r="1589" spans="40:55" ht="15.75" customHeight="1">
      <c r="AN1589" s="458"/>
      <c r="BC1589" s="169"/>
    </row>
    <row r="1590" spans="40:55" ht="15.75" customHeight="1">
      <c r="AN1590" s="458"/>
      <c r="BC1590" s="169"/>
    </row>
    <row r="1591" spans="40:55" ht="15.75" customHeight="1">
      <c r="AN1591" s="458"/>
      <c r="BC1591" s="169"/>
    </row>
    <row r="1592" spans="40:55" ht="15.75" customHeight="1">
      <c r="AN1592" s="458"/>
      <c r="BC1592" s="169"/>
    </row>
    <row r="1593" spans="40:55" ht="15.75" customHeight="1">
      <c r="AN1593" s="458"/>
      <c r="BC1593" s="169"/>
    </row>
    <row r="1594" spans="40:55" ht="15.75" customHeight="1">
      <c r="AN1594" s="458"/>
      <c r="BC1594" s="169"/>
    </row>
    <row r="1595" spans="40:55" ht="15.75" customHeight="1">
      <c r="AN1595" s="458"/>
      <c r="BC1595" s="169"/>
    </row>
    <row r="1596" spans="40:55" ht="15.75" customHeight="1">
      <c r="AN1596" s="458"/>
      <c r="BC1596" s="169"/>
    </row>
    <row r="1597" spans="40:55" ht="15.75" customHeight="1">
      <c r="AN1597" s="458"/>
      <c r="BC1597" s="169"/>
    </row>
    <row r="1598" spans="40:55" ht="15.75" customHeight="1">
      <c r="AN1598" s="458"/>
      <c r="BC1598" s="169"/>
    </row>
    <row r="1599" spans="40:55" ht="15.75" customHeight="1">
      <c r="AN1599" s="458"/>
      <c r="BC1599" s="169"/>
    </row>
    <row r="1600" spans="40:55" ht="15.75" customHeight="1">
      <c r="AN1600" s="458"/>
      <c r="BC1600" s="169"/>
    </row>
    <row r="1601" spans="40:55" ht="15.75" customHeight="1">
      <c r="AN1601" s="458"/>
      <c r="BC1601" s="169"/>
    </row>
    <row r="1602" spans="40:55" ht="15.75" customHeight="1">
      <c r="AN1602" s="458"/>
      <c r="BC1602" s="169"/>
    </row>
    <row r="1603" spans="40:55" ht="15.75" customHeight="1">
      <c r="AN1603" s="458"/>
      <c r="BC1603" s="169"/>
    </row>
    <row r="1604" spans="40:55" ht="15.75" customHeight="1">
      <c r="AN1604" s="458"/>
      <c r="BC1604" s="169"/>
    </row>
    <row r="1605" spans="40:55" ht="15.75" customHeight="1">
      <c r="AN1605" s="458"/>
      <c r="BC1605" s="169"/>
    </row>
    <row r="1606" spans="40:55" ht="15.75" customHeight="1">
      <c r="AN1606" s="458"/>
      <c r="BC1606" s="169"/>
    </row>
    <row r="1607" spans="40:55" ht="15.75" customHeight="1">
      <c r="AN1607" s="458"/>
      <c r="BC1607" s="169"/>
    </row>
    <row r="1608" spans="40:55" ht="15.75" customHeight="1">
      <c r="AN1608" s="458"/>
      <c r="BC1608" s="169"/>
    </row>
    <row r="1609" spans="40:55" ht="15.75" customHeight="1">
      <c r="AN1609" s="458"/>
      <c r="BC1609" s="169"/>
    </row>
    <row r="1610" spans="40:55" ht="15.75" customHeight="1">
      <c r="AN1610" s="458"/>
      <c r="BC1610" s="169"/>
    </row>
    <row r="1611" spans="40:55" ht="15.75" customHeight="1">
      <c r="AN1611" s="458"/>
      <c r="BC1611" s="169"/>
    </row>
    <row r="1612" spans="40:55" ht="15.75" customHeight="1">
      <c r="AN1612" s="458"/>
      <c r="BC1612" s="169"/>
    </row>
    <row r="1613" spans="40:55" ht="15.75" customHeight="1">
      <c r="AN1613" s="458"/>
      <c r="BC1613" s="169"/>
    </row>
    <row r="1614" spans="40:55" ht="15.75" customHeight="1">
      <c r="AN1614" s="458"/>
      <c r="BC1614" s="169"/>
    </row>
    <row r="1615" spans="40:55" ht="15.75" customHeight="1">
      <c r="AN1615" s="458"/>
      <c r="BC1615" s="169"/>
    </row>
    <row r="1616" spans="40:55" ht="15.75" customHeight="1">
      <c r="AN1616" s="458"/>
      <c r="BC1616" s="169"/>
    </row>
    <row r="1617" spans="40:55" ht="15.75" customHeight="1">
      <c r="AN1617" s="458"/>
      <c r="BC1617" s="169"/>
    </row>
    <row r="1618" spans="40:55" ht="15.75" customHeight="1">
      <c r="AN1618" s="458"/>
      <c r="BC1618" s="169"/>
    </row>
    <row r="1619" spans="40:55" ht="15.75" customHeight="1">
      <c r="AN1619" s="458"/>
      <c r="BC1619" s="169"/>
    </row>
    <row r="1620" spans="40:55" ht="15.75" customHeight="1">
      <c r="AN1620" s="458"/>
      <c r="BC1620" s="169"/>
    </row>
    <row r="1621" spans="40:55" ht="15.75" customHeight="1">
      <c r="AN1621" s="458"/>
      <c r="BC1621" s="169"/>
    </row>
    <row r="1622" spans="40:55" ht="15.75" customHeight="1">
      <c r="AN1622" s="458"/>
      <c r="BC1622" s="169"/>
    </row>
    <row r="1623" spans="40:55" ht="15.75" customHeight="1">
      <c r="AN1623" s="458"/>
      <c r="BC1623" s="169"/>
    </row>
    <row r="1624" spans="40:55" ht="15.75" customHeight="1">
      <c r="AN1624" s="458"/>
      <c r="BC1624" s="169"/>
    </row>
    <row r="1625" spans="40:55" ht="15.75" customHeight="1">
      <c r="AN1625" s="458"/>
      <c r="BC1625" s="169"/>
    </row>
    <row r="1626" spans="40:55" ht="15.75" customHeight="1">
      <c r="AN1626" s="458"/>
      <c r="BC1626" s="169"/>
    </row>
    <row r="1627" spans="40:55" ht="15.75" customHeight="1">
      <c r="AN1627" s="458"/>
      <c r="BC1627" s="169"/>
    </row>
    <row r="1628" spans="40:55" ht="15.75" customHeight="1">
      <c r="AN1628" s="458"/>
      <c r="BC1628" s="169"/>
    </row>
    <row r="1629" spans="40:55" ht="15.75" customHeight="1">
      <c r="AN1629" s="458"/>
      <c r="BC1629" s="169"/>
    </row>
    <row r="1630" spans="40:55" ht="15.75" customHeight="1">
      <c r="AN1630" s="458"/>
      <c r="BC1630" s="169"/>
    </row>
    <row r="1631" spans="40:55" ht="15.75" customHeight="1">
      <c r="AN1631" s="458"/>
      <c r="BC1631" s="169"/>
    </row>
    <row r="1632" spans="40:55" ht="15.75" customHeight="1">
      <c r="AN1632" s="458"/>
      <c r="BC1632" s="169"/>
    </row>
    <row r="1633" spans="40:55" ht="15.75" customHeight="1">
      <c r="AN1633" s="458"/>
      <c r="BC1633" s="169"/>
    </row>
    <row r="1634" spans="40:55" ht="15.75" customHeight="1">
      <c r="AN1634" s="458"/>
      <c r="BC1634" s="169"/>
    </row>
    <row r="1635" spans="40:55" ht="15.75" customHeight="1">
      <c r="AN1635" s="458"/>
      <c r="BC1635" s="169"/>
    </row>
    <row r="1636" spans="40:55" ht="15.75" customHeight="1">
      <c r="AN1636" s="458"/>
      <c r="BC1636" s="169"/>
    </row>
    <row r="1637" spans="40:55" ht="15.75" customHeight="1">
      <c r="AN1637" s="458"/>
      <c r="BC1637" s="169"/>
    </row>
    <row r="1638" spans="40:55" ht="15.75" customHeight="1">
      <c r="AN1638" s="458"/>
      <c r="BC1638" s="169"/>
    </row>
    <row r="1639" spans="40:55" ht="15.75" customHeight="1">
      <c r="AN1639" s="458"/>
      <c r="BC1639" s="169"/>
    </row>
    <row r="1640" spans="40:55" ht="15.75" customHeight="1">
      <c r="AN1640" s="458"/>
      <c r="BC1640" s="169"/>
    </row>
    <row r="1641" spans="40:55" ht="15.75" customHeight="1">
      <c r="AN1641" s="458"/>
      <c r="BC1641" s="169"/>
    </row>
    <row r="1642" spans="40:55" ht="15.75" customHeight="1">
      <c r="AN1642" s="458"/>
      <c r="BC1642" s="169"/>
    </row>
    <row r="1643" spans="40:55" ht="15.75" customHeight="1">
      <c r="AN1643" s="458"/>
      <c r="BC1643" s="169"/>
    </row>
    <row r="1644" spans="40:55" ht="15.75" customHeight="1">
      <c r="AN1644" s="458"/>
      <c r="BC1644" s="169"/>
    </row>
    <row r="1645" spans="40:55" ht="15.75" customHeight="1">
      <c r="AN1645" s="458"/>
      <c r="BC1645" s="169"/>
    </row>
    <row r="1646" spans="40:55" ht="15.75" customHeight="1">
      <c r="AN1646" s="458"/>
      <c r="BC1646" s="169"/>
    </row>
    <row r="1647" spans="40:55" ht="15.75" customHeight="1">
      <c r="AN1647" s="458"/>
      <c r="BC1647" s="169"/>
    </row>
    <row r="1648" spans="40:55" ht="15.75" customHeight="1">
      <c r="AN1648" s="458"/>
      <c r="BC1648" s="169"/>
    </row>
    <row r="1649" spans="40:55" ht="15.75" customHeight="1">
      <c r="AN1649" s="458"/>
      <c r="BC1649" s="169"/>
    </row>
    <row r="1650" spans="40:55" ht="15.75" customHeight="1">
      <c r="AN1650" s="458"/>
      <c r="BC1650" s="169"/>
    </row>
    <row r="1651" spans="40:55" ht="15.75" customHeight="1">
      <c r="AN1651" s="458"/>
      <c r="BC1651" s="169"/>
    </row>
    <row r="1652" spans="40:55" ht="15.75" customHeight="1">
      <c r="AN1652" s="458"/>
      <c r="BC1652" s="169"/>
    </row>
    <row r="1653" spans="40:55" ht="15.75" customHeight="1">
      <c r="AN1653" s="458"/>
      <c r="BC1653" s="169"/>
    </row>
    <row r="1654" spans="40:55" ht="15.75" customHeight="1">
      <c r="AN1654" s="458"/>
      <c r="BC1654" s="169"/>
    </row>
    <row r="1655" spans="40:55" ht="15.75" customHeight="1">
      <c r="AN1655" s="458"/>
      <c r="BC1655" s="169"/>
    </row>
    <row r="1656" spans="40:55" ht="15.75" customHeight="1">
      <c r="AN1656" s="458"/>
      <c r="BC1656" s="169"/>
    </row>
    <row r="1657" spans="40:55" ht="15.75" customHeight="1">
      <c r="AN1657" s="458"/>
      <c r="BC1657" s="169"/>
    </row>
    <row r="1658" spans="40:55" ht="15.75" customHeight="1">
      <c r="AN1658" s="458"/>
      <c r="BC1658" s="169"/>
    </row>
    <row r="1659" spans="40:55" ht="15.75" customHeight="1">
      <c r="AN1659" s="458"/>
      <c r="BC1659" s="169"/>
    </row>
    <row r="1660" spans="40:55" ht="15.75" customHeight="1">
      <c r="AN1660" s="458"/>
      <c r="BC1660" s="169"/>
    </row>
    <row r="1661" spans="40:55" ht="15.75" customHeight="1">
      <c r="AN1661" s="458"/>
      <c r="BC1661" s="169"/>
    </row>
    <row r="1662" spans="40:55" ht="15.75" customHeight="1">
      <c r="AN1662" s="458"/>
      <c r="BC1662" s="169"/>
    </row>
    <row r="1663" spans="40:55" ht="15.75" customHeight="1">
      <c r="AN1663" s="458"/>
      <c r="BC1663" s="169"/>
    </row>
    <row r="1664" spans="40:55" ht="15.75" customHeight="1">
      <c r="AN1664" s="458"/>
      <c r="BC1664" s="169"/>
    </row>
    <row r="1665" spans="40:55" ht="15.75" customHeight="1">
      <c r="AN1665" s="458"/>
      <c r="BC1665" s="169"/>
    </row>
    <row r="1666" spans="40:55" ht="15.75" customHeight="1">
      <c r="AN1666" s="458"/>
      <c r="BC1666" s="169"/>
    </row>
    <row r="1667" spans="40:55" ht="15.75" customHeight="1">
      <c r="AN1667" s="458"/>
      <c r="BC1667" s="169"/>
    </row>
    <row r="1668" spans="40:55" ht="15.75" customHeight="1">
      <c r="AN1668" s="458"/>
      <c r="BC1668" s="169"/>
    </row>
    <row r="1669" spans="40:55" ht="15.75" customHeight="1">
      <c r="AN1669" s="458"/>
      <c r="BC1669" s="169"/>
    </row>
    <row r="1670" spans="40:55" ht="15.75" customHeight="1">
      <c r="AN1670" s="458"/>
      <c r="BC1670" s="169"/>
    </row>
    <row r="1671" spans="40:55" ht="15.75" customHeight="1">
      <c r="AN1671" s="458"/>
      <c r="BC1671" s="169"/>
    </row>
    <row r="1672" spans="40:55" ht="15.75" customHeight="1">
      <c r="AN1672" s="458"/>
      <c r="BC1672" s="169"/>
    </row>
    <row r="1673" spans="40:55" ht="15.75" customHeight="1">
      <c r="AN1673" s="458"/>
      <c r="BC1673" s="169"/>
    </row>
    <row r="1674" spans="40:55" ht="15.75" customHeight="1">
      <c r="AN1674" s="458"/>
      <c r="BC1674" s="169"/>
    </row>
    <row r="1675" spans="40:55" ht="15.75" customHeight="1">
      <c r="AN1675" s="458"/>
      <c r="BC1675" s="169"/>
    </row>
    <row r="1676" spans="40:55" ht="15.75" customHeight="1">
      <c r="AN1676" s="458"/>
      <c r="BC1676" s="169"/>
    </row>
    <row r="1677" spans="40:55" ht="15.75" customHeight="1">
      <c r="AN1677" s="458"/>
      <c r="BC1677" s="169"/>
    </row>
    <row r="1678" spans="40:55" ht="15.75" customHeight="1">
      <c r="AN1678" s="458"/>
      <c r="BC1678" s="169"/>
    </row>
    <row r="1679" spans="40:55" ht="15.75" customHeight="1">
      <c r="AN1679" s="458"/>
      <c r="BC1679" s="169"/>
    </row>
    <row r="1680" spans="40:55" ht="15.75" customHeight="1">
      <c r="AN1680" s="458"/>
      <c r="BC1680" s="169"/>
    </row>
    <row r="1681" spans="40:55" ht="15.75" customHeight="1">
      <c r="AN1681" s="458"/>
      <c r="BC1681" s="169"/>
    </row>
    <row r="1682" spans="40:55" ht="15.75" customHeight="1">
      <c r="AN1682" s="458"/>
      <c r="BC1682" s="169"/>
    </row>
    <row r="1683" spans="40:55" ht="15.75" customHeight="1">
      <c r="AN1683" s="458"/>
      <c r="BC1683" s="169"/>
    </row>
    <row r="1684" spans="40:55" ht="15.75" customHeight="1">
      <c r="AN1684" s="458"/>
      <c r="BC1684" s="169"/>
    </row>
    <row r="1685" spans="40:55" ht="15.75" customHeight="1">
      <c r="AN1685" s="458"/>
      <c r="BC1685" s="169"/>
    </row>
    <row r="1686" spans="40:55" ht="15.75" customHeight="1">
      <c r="AN1686" s="458"/>
      <c r="BC1686" s="169"/>
    </row>
    <row r="1687" spans="40:55" ht="15.75" customHeight="1">
      <c r="AN1687" s="458"/>
      <c r="BC1687" s="169"/>
    </row>
    <row r="1688" spans="40:55" ht="15.75" customHeight="1">
      <c r="AN1688" s="458"/>
      <c r="BC1688" s="169"/>
    </row>
    <row r="1689" spans="40:55" ht="15.75" customHeight="1">
      <c r="AN1689" s="458"/>
      <c r="BC1689" s="169"/>
    </row>
    <row r="1690" spans="40:55" ht="15.75" customHeight="1">
      <c r="AN1690" s="458"/>
      <c r="BC1690" s="169"/>
    </row>
    <row r="1691" spans="40:55" ht="15.75" customHeight="1">
      <c r="AN1691" s="458"/>
      <c r="BC1691" s="169"/>
    </row>
    <row r="1692" spans="40:55" ht="15.75" customHeight="1">
      <c r="AN1692" s="458"/>
      <c r="BC1692" s="169"/>
    </row>
    <row r="1693" spans="40:55" ht="15.75" customHeight="1">
      <c r="AN1693" s="458"/>
      <c r="BC1693" s="169"/>
    </row>
    <row r="1694" spans="40:55" ht="15.75" customHeight="1">
      <c r="AN1694" s="458"/>
      <c r="BC1694" s="169"/>
    </row>
    <row r="1695" spans="40:55" ht="15.75" customHeight="1">
      <c r="AN1695" s="458"/>
      <c r="BC1695" s="169"/>
    </row>
    <row r="1696" spans="40:55" ht="15.75" customHeight="1">
      <c r="AN1696" s="458"/>
      <c r="BC1696" s="169"/>
    </row>
    <row r="1697" spans="40:55" ht="15.75" customHeight="1">
      <c r="AN1697" s="458"/>
      <c r="BC1697" s="169"/>
    </row>
    <row r="1698" spans="40:55" ht="15.75" customHeight="1">
      <c r="AN1698" s="458"/>
      <c r="BC1698" s="169"/>
    </row>
    <row r="1699" spans="40:55" ht="15.75" customHeight="1">
      <c r="AN1699" s="458"/>
      <c r="BC1699" s="169"/>
    </row>
    <row r="1700" spans="40:55" ht="15.75" customHeight="1">
      <c r="AN1700" s="458"/>
      <c r="BC1700" s="169"/>
    </row>
    <row r="1701" spans="40:55" ht="15.75" customHeight="1">
      <c r="AN1701" s="458"/>
      <c r="BC1701" s="169"/>
    </row>
    <row r="1702" spans="40:55" ht="15.75" customHeight="1">
      <c r="AN1702" s="458"/>
      <c r="BC1702" s="169"/>
    </row>
    <row r="1703" spans="40:55" ht="15.75" customHeight="1">
      <c r="AN1703" s="458"/>
      <c r="BC1703" s="169"/>
    </row>
    <row r="1704" spans="40:55" ht="15.75" customHeight="1">
      <c r="AN1704" s="458"/>
      <c r="BC1704" s="169"/>
    </row>
    <row r="1705" spans="40:55" ht="15.75" customHeight="1">
      <c r="AN1705" s="458"/>
      <c r="BC1705" s="169"/>
    </row>
    <row r="1706" spans="40:55" ht="15.75" customHeight="1">
      <c r="AN1706" s="458"/>
      <c r="BC1706" s="169"/>
    </row>
    <row r="1707" spans="40:55" ht="15.75" customHeight="1">
      <c r="AN1707" s="458"/>
      <c r="BC1707" s="169"/>
    </row>
    <row r="1708" spans="40:55" ht="15.75" customHeight="1">
      <c r="AN1708" s="458"/>
      <c r="BC1708" s="169"/>
    </row>
    <row r="1709" spans="40:55" ht="15.75" customHeight="1">
      <c r="AN1709" s="458"/>
      <c r="BC1709" s="169"/>
    </row>
    <row r="1710" spans="40:55" ht="15.75" customHeight="1">
      <c r="AN1710" s="458"/>
      <c r="BC1710" s="169"/>
    </row>
    <row r="1711" spans="40:55" ht="15.75" customHeight="1">
      <c r="AN1711" s="458"/>
      <c r="BC1711" s="169"/>
    </row>
    <row r="1712" spans="40:55" ht="15.75" customHeight="1">
      <c r="AN1712" s="458"/>
      <c r="BC1712" s="169"/>
    </row>
    <row r="1713" spans="40:55" ht="15.75" customHeight="1">
      <c r="AN1713" s="458"/>
      <c r="BC1713" s="169"/>
    </row>
    <row r="1714" spans="40:55" ht="15.75" customHeight="1">
      <c r="AN1714" s="458"/>
      <c r="BC1714" s="169"/>
    </row>
    <row r="1715" spans="40:55" ht="15.75" customHeight="1">
      <c r="AN1715" s="458"/>
      <c r="BC1715" s="169"/>
    </row>
    <row r="1716" spans="40:55" ht="15.75" customHeight="1">
      <c r="AN1716" s="458"/>
      <c r="BC1716" s="169"/>
    </row>
    <row r="1717" spans="40:55" ht="15.75" customHeight="1">
      <c r="AN1717" s="458"/>
      <c r="BC1717" s="169"/>
    </row>
    <row r="1718" spans="40:55" ht="15.75" customHeight="1">
      <c r="AN1718" s="458"/>
      <c r="BC1718" s="169"/>
    </row>
    <row r="1719" spans="40:55" ht="15.75" customHeight="1">
      <c r="AN1719" s="458"/>
      <c r="BC1719" s="169"/>
    </row>
    <row r="1720" spans="40:55" ht="15.75" customHeight="1">
      <c r="AN1720" s="458"/>
      <c r="BC1720" s="169"/>
    </row>
    <row r="1721" spans="40:55" ht="15.75" customHeight="1">
      <c r="AN1721" s="458"/>
      <c r="BC1721" s="169"/>
    </row>
    <row r="1722" spans="40:55" ht="15.75" customHeight="1">
      <c r="AN1722" s="458"/>
      <c r="BC1722" s="169"/>
    </row>
    <row r="1723" spans="40:55" ht="15.75" customHeight="1">
      <c r="AN1723" s="458"/>
      <c r="BC1723" s="169"/>
    </row>
    <row r="1724" spans="40:55" ht="15.75" customHeight="1">
      <c r="AN1724" s="458"/>
      <c r="BC1724" s="169"/>
    </row>
    <row r="1725" spans="40:55" ht="15.75" customHeight="1">
      <c r="AN1725" s="458"/>
      <c r="BC1725" s="169"/>
    </row>
    <row r="1726" spans="40:55" ht="15.75" customHeight="1">
      <c r="AN1726" s="458"/>
      <c r="BC1726" s="169"/>
    </row>
    <row r="1727" spans="40:55" ht="15.75" customHeight="1">
      <c r="AN1727" s="458"/>
      <c r="BC1727" s="169"/>
    </row>
    <row r="1728" spans="40:55" ht="15.75" customHeight="1">
      <c r="AN1728" s="458"/>
      <c r="BC1728" s="169"/>
    </row>
    <row r="1729" spans="40:55" ht="15.75" customHeight="1">
      <c r="AN1729" s="458"/>
      <c r="BC1729" s="169"/>
    </row>
    <row r="1730" spans="40:55" ht="15.75" customHeight="1">
      <c r="AN1730" s="458"/>
      <c r="BC1730" s="169"/>
    </row>
    <row r="1731" spans="40:55" ht="15.75" customHeight="1">
      <c r="AN1731" s="458"/>
      <c r="BC1731" s="169"/>
    </row>
    <row r="1732" spans="40:55" ht="15.75" customHeight="1">
      <c r="AN1732" s="458"/>
      <c r="BC1732" s="169"/>
    </row>
    <row r="1733" spans="40:55" ht="15.75" customHeight="1">
      <c r="AN1733" s="458"/>
      <c r="BC1733" s="169"/>
    </row>
    <row r="1734" spans="40:55" ht="15.75" customHeight="1">
      <c r="AN1734" s="458"/>
      <c r="BC1734" s="169"/>
    </row>
    <row r="1735" spans="40:55" ht="15.75" customHeight="1">
      <c r="AN1735" s="458"/>
      <c r="BC1735" s="169"/>
    </row>
    <row r="1736" spans="40:55" ht="15.75" customHeight="1">
      <c r="AN1736" s="458"/>
      <c r="BC1736" s="169"/>
    </row>
    <row r="1737" spans="40:55" ht="15.75" customHeight="1">
      <c r="AN1737" s="458"/>
      <c r="BC1737" s="169"/>
    </row>
    <row r="1738" spans="40:55" ht="15.75" customHeight="1">
      <c r="AN1738" s="458"/>
      <c r="BC1738" s="169"/>
    </row>
    <row r="1739" spans="40:55" ht="15.75" customHeight="1">
      <c r="AN1739" s="458"/>
      <c r="BC1739" s="169"/>
    </row>
    <row r="1740" spans="40:55" ht="15.75" customHeight="1">
      <c r="AN1740" s="458"/>
      <c r="BC1740" s="169"/>
    </row>
    <row r="1741" spans="40:55" ht="15.75" customHeight="1">
      <c r="AN1741" s="458"/>
      <c r="BC1741" s="169"/>
    </row>
    <row r="1742" spans="40:55" ht="15.75" customHeight="1">
      <c r="AN1742" s="458"/>
      <c r="BC1742" s="169"/>
    </row>
    <row r="1743" spans="40:55" ht="15.75" customHeight="1">
      <c r="AN1743" s="458"/>
      <c r="BC1743" s="169"/>
    </row>
    <row r="1744" spans="40:55" ht="15.75" customHeight="1">
      <c r="AN1744" s="458"/>
      <c r="BC1744" s="169"/>
    </row>
    <row r="1745" spans="40:55" ht="15.75" customHeight="1">
      <c r="AN1745" s="458"/>
      <c r="BC1745" s="169"/>
    </row>
    <row r="1746" spans="40:55" ht="15.75" customHeight="1">
      <c r="AN1746" s="458"/>
      <c r="BC1746" s="169"/>
    </row>
    <row r="1747" spans="40:55" ht="15.75" customHeight="1">
      <c r="AN1747" s="458"/>
      <c r="BC1747" s="169"/>
    </row>
    <row r="1748" spans="40:55" ht="15.75" customHeight="1">
      <c r="AN1748" s="458"/>
      <c r="BC1748" s="169"/>
    </row>
    <row r="1749" spans="40:55" ht="15.75" customHeight="1">
      <c r="AN1749" s="458"/>
      <c r="BC1749" s="169"/>
    </row>
    <row r="1750" spans="40:55" ht="15.75" customHeight="1">
      <c r="AN1750" s="458"/>
      <c r="BC1750" s="169"/>
    </row>
    <row r="1751" spans="40:55" ht="15.75" customHeight="1">
      <c r="AN1751" s="458"/>
      <c r="BC1751" s="169"/>
    </row>
    <row r="1752" spans="40:55" ht="15.75" customHeight="1">
      <c r="AN1752" s="458"/>
      <c r="BC1752" s="169"/>
    </row>
    <row r="1753" spans="40:55" ht="15.75" customHeight="1">
      <c r="AN1753" s="458"/>
      <c r="BC1753" s="169"/>
    </row>
    <row r="1754" spans="40:55" ht="15.75" customHeight="1">
      <c r="AN1754" s="458"/>
      <c r="BC1754" s="169"/>
    </row>
    <row r="1755" spans="40:55" ht="15.75" customHeight="1">
      <c r="AN1755" s="458"/>
      <c r="BC1755" s="169"/>
    </row>
    <row r="1756" spans="40:55" ht="15.75" customHeight="1">
      <c r="AN1756" s="458"/>
      <c r="BC1756" s="169"/>
    </row>
    <row r="1757" spans="40:55" ht="15.75" customHeight="1">
      <c r="AN1757" s="458"/>
      <c r="BC1757" s="169"/>
    </row>
    <row r="1758" spans="40:55" ht="15.75" customHeight="1">
      <c r="AN1758" s="458"/>
      <c r="BC1758" s="169"/>
    </row>
    <row r="1759" spans="40:55" ht="15.75" customHeight="1">
      <c r="AN1759" s="458"/>
      <c r="BC1759" s="169"/>
    </row>
    <row r="1760" spans="40:55" ht="15.75" customHeight="1">
      <c r="AN1760" s="458"/>
      <c r="BC1760" s="169"/>
    </row>
    <row r="1761" spans="40:55" ht="15.75" customHeight="1">
      <c r="AN1761" s="458"/>
      <c r="BC1761" s="169"/>
    </row>
    <row r="1762" spans="40:55" ht="15.75" customHeight="1">
      <c r="AN1762" s="458"/>
      <c r="BC1762" s="169"/>
    </row>
    <row r="1763" spans="40:55" ht="15.75" customHeight="1">
      <c r="AN1763" s="458"/>
      <c r="BC1763" s="169"/>
    </row>
    <row r="1764" spans="40:55" ht="15.75" customHeight="1">
      <c r="AN1764" s="458"/>
      <c r="BC1764" s="169"/>
    </row>
    <row r="1765" spans="40:55" ht="15.75" customHeight="1">
      <c r="AN1765" s="458"/>
      <c r="BC1765" s="169"/>
    </row>
    <row r="1766" spans="40:55" ht="15.75" customHeight="1">
      <c r="AN1766" s="458"/>
      <c r="BC1766" s="169"/>
    </row>
    <row r="1767" spans="40:55" ht="15.75" customHeight="1">
      <c r="AN1767" s="458"/>
      <c r="BC1767" s="169"/>
    </row>
    <row r="1768" spans="40:55" ht="15.75" customHeight="1">
      <c r="AN1768" s="458"/>
      <c r="BC1768" s="169"/>
    </row>
    <row r="1769" spans="40:55" ht="15.75" customHeight="1">
      <c r="AN1769" s="458"/>
      <c r="BC1769" s="169"/>
    </row>
    <row r="1770" spans="40:55" ht="15.75" customHeight="1">
      <c r="AN1770" s="458"/>
      <c r="BC1770" s="169"/>
    </row>
    <row r="1771" spans="40:55" ht="15.75" customHeight="1">
      <c r="AN1771" s="458"/>
      <c r="BC1771" s="169"/>
    </row>
    <row r="1772" spans="40:55" ht="15.75" customHeight="1">
      <c r="AN1772" s="458"/>
      <c r="BC1772" s="169"/>
    </row>
    <row r="1773" spans="40:55" ht="15.75" customHeight="1">
      <c r="AN1773" s="458"/>
      <c r="BC1773" s="169"/>
    </row>
    <row r="1774" spans="40:55" ht="15.75" customHeight="1">
      <c r="AN1774" s="458"/>
      <c r="BC1774" s="169"/>
    </row>
    <row r="1775" spans="40:55" ht="15.75" customHeight="1">
      <c r="AN1775" s="458"/>
      <c r="BC1775" s="169"/>
    </row>
    <row r="1776" spans="40:55" ht="15.75" customHeight="1">
      <c r="AN1776" s="458"/>
      <c r="BC1776" s="169"/>
    </row>
    <row r="1777" spans="40:55" ht="15.75" customHeight="1">
      <c r="AN1777" s="458"/>
      <c r="BC1777" s="169"/>
    </row>
    <row r="1778" spans="40:55" ht="15.75" customHeight="1">
      <c r="AN1778" s="458"/>
      <c r="BC1778" s="169"/>
    </row>
    <row r="1779" spans="40:55" ht="15.75" customHeight="1">
      <c r="AN1779" s="458"/>
      <c r="BC1779" s="169"/>
    </row>
    <row r="1780" spans="40:55" ht="15.75" customHeight="1">
      <c r="AN1780" s="458"/>
      <c r="BC1780" s="169"/>
    </row>
    <row r="1781" spans="40:55" ht="15.75" customHeight="1">
      <c r="AN1781" s="458"/>
      <c r="BC1781" s="169"/>
    </row>
    <row r="1782" spans="40:55" ht="15.75" customHeight="1">
      <c r="AN1782" s="458"/>
      <c r="BC1782" s="169"/>
    </row>
    <row r="1783" spans="40:55" ht="15.75" customHeight="1">
      <c r="AN1783" s="458"/>
      <c r="BC1783" s="169"/>
    </row>
    <row r="1784" spans="40:55" ht="15.75" customHeight="1">
      <c r="AN1784" s="458"/>
      <c r="BC1784" s="169"/>
    </row>
    <row r="1785" spans="40:55" ht="15.75" customHeight="1">
      <c r="AN1785" s="458"/>
      <c r="BC1785" s="169"/>
    </row>
    <row r="1786" spans="40:55" ht="15.75" customHeight="1">
      <c r="AN1786" s="458"/>
      <c r="BC1786" s="169"/>
    </row>
    <row r="1787" spans="40:55" ht="15.75" customHeight="1">
      <c r="AN1787" s="458"/>
      <c r="BC1787" s="169"/>
    </row>
    <row r="1788" spans="40:55" ht="15.75" customHeight="1">
      <c r="AN1788" s="458"/>
      <c r="BC1788" s="169"/>
    </row>
    <row r="1789" spans="40:55" ht="15.75" customHeight="1">
      <c r="AN1789" s="458"/>
      <c r="BC1789" s="169"/>
    </row>
    <row r="1790" spans="40:55" ht="15.75" customHeight="1">
      <c r="AN1790" s="458"/>
      <c r="BC1790" s="169"/>
    </row>
    <row r="1791" spans="40:55" ht="15.75" customHeight="1">
      <c r="AN1791" s="458"/>
      <c r="BC1791" s="169"/>
    </row>
    <row r="1792" spans="40:55" ht="15.75" customHeight="1">
      <c r="AN1792" s="458"/>
      <c r="BC1792" s="169"/>
    </row>
    <row r="1793" spans="40:55" ht="15.75" customHeight="1">
      <c r="AN1793" s="458"/>
      <c r="BC1793" s="169"/>
    </row>
    <row r="1794" spans="40:55" ht="15.75" customHeight="1">
      <c r="AN1794" s="458"/>
      <c r="BC1794" s="169"/>
    </row>
    <row r="1795" spans="40:55" ht="15.75" customHeight="1">
      <c r="AN1795" s="458"/>
      <c r="BC1795" s="169"/>
    </row>
    <row r="1796" spans="40:55" ht="15.75" customHeight="1">
      <c r="AN1796" s="458"/>
      <c r="BC1796" s="169"/>
    </row>
    <row r="1797" spans="40:55" ht="15.75" customHeight="1">
      <c r="AN1797" s="458"/>
      <c r="BC1797" s="169"/>
    </row>
    <row r="1798" spans="40:55" ht="15.75" customHeight="1">
      <c r="AN1798" s="458"/>
      <c r="BC1798" s="169"/>
    </row>
    <row r="1799" spans="40:55" ht="15.75" customHeight="1">
      <c r="AN1799" s="458"/>
      <c r="BC1799" s="169"/>
    </row>
    <row r="1800" spans="40:55" ht="15.75" customHeight="1">
      <c r="AN1800" s="458"/>
      <c r="BC1800" s="169"/>
    </row>
    <row r="1801" spans="40:55" ht="15.75" customHeight="1">
      <c r="AN1801" s="458"/>
      <c r="BC1801" s="169"/>
    </row>
    <row r="1802" spans="40:55" ht="15.75" customHeight="1">
      <c r="AN1802" s="458"/>
      <c r="BC1802" s="169"/>
    </row>
    <row r="1803" spans="40:55" ht="15.75" customHeight="1">
      <c r="AN1803" s="458"/>
      <c r="BC1803" s="169"/>
    </row>
    <row r="1804" spans="40:55" ht="15.75" customHeight="1">
      <c r="AN1804" s="458"/>
      <c r="BC1804" s="169"/>
    </row>
    <row r="1805" spans="40:55" ht="15.75" customHeight="1">
      <c r="AN1805" s="458"/>
      <c r="BC1805" s="169"/>
    </row>
    <row r="1806" spans="40:55" ht="15.75" customHeight="1">
      <c r="AN1806" s="458"/>
      <c r="BC1806" s="169"/>
    </row>
    <row r="1807" spans="40:55" ht="15.75" customHeight="1">
      <c r="AN1807" s="458"/>
      <c r="BC1807" s="169"/>
    </row>
    <row r="1808" spans="40:55" ht="15.75" customHeight="1">
      <c r="AN1808" s="458"/>
      <c r="BC1808" s="169"/>
    </row>
    <row r="1809" spans="40:55" ht="15.75" customHeight="1">
      <c r="AN1809" s="458"/>
      <c r="BC1809" s="169"/>
    </row>
    <row r="1810" spans="40:55" ht="15.75" customHeight="1">
      <c r="AN1810" s="458"/>
      <c r="BC1810" s="169"/>
    </row>
    <row r="1811" spans="40:55" ht="15.75" customHeight="1">
      <c r="AN1811" s="458"/>
      <c r="BC1811" s="169"/>
    </row>
    <row r="1812" spans="40:55" ht="15.75" customHeight="1">
      <c r="AN1812" s="458"/>
      <c r="BC1812" s="169"/>
    </row>
    <row r="1813" spans="40:55" ht="15.75" customHeight="1">
      <c r="AN1813" s="458"/>
      <c r="BC1813" s="169"/>
    </row>
    <row r="1814" spans="40:55" ht="15.75" customHeight="1">
      <c r="AN1814" s="458"/>
      <c r="BC1814" s="169"/>
    </row>
    <row r="1815" spans="40:55" ht="15.75" customHeight="1">
      <c r="AN1815" s="458"/>
      <c r="BC1815" s="169"/>
    </row>
    <row r="1816" spans="40:55" ht="15.75" customHeight="1">
      <c r="AN1816" s="458"/>
      <c r="BC1816" s="169"/>
    </row>
    <row r="1817" spans="40:55" ht="15.75" customHeight="1">
      <c r="AN1817" s="458"/>
      <c r="BC1817" s="169"/>
    </row>
    <row r="1818" spans="40:55" ht="15.75" customHeight="1">
      <c r="AN1818" s="458"/>
      <c r="BC1818" s="169"/>
    </row>
    <row r="1819" spans="40:55" ht="15.75" customHeight="1">
      <c r="AN1819" s="458"/>
      <c r="BC1819" s="169"/>
    </row>
    <row r="1820" spans="40:55" ht="15.75" customHeight="1">
      <c r="AN1820" s="458"/>
      <c r="BC1820" s="169"/>
    </row>
    <row r="1821" spans="40:55" ht="15.75" customHeight="1">
      <c r="AN1821" s="458"/>
      <c r="BC1821" s="169"/>
    </row>
    <row r="1822" spans="40:55" ht="15.75" customHeight="1">
      <c r="AN1822" s="458"/>
      <c r="BC1822" s="169"/>
    </row>
    <row r="1823" spans="40:55" ht="15.75" customHeight="1">
      <c r="AN1823" s="458"/>
      <c r="BC1823" s="169"/>
    </row>
    <row r="1824" spans="40:55" ht="15.75" customHeight="1">
      <c r="AN1824" s="458"/>
      <c r="BC1824" s="169"/>
    </row>
    <row r="1825" spans="40:55" ht="15.75" customHeight="1">
      <c r="AN1825" s="458"/>
      <c r="BC1825" s="169"/>
    </row>
    <row r="1826" spans="40:55" ht="15.75" customHeight="1">
      <c r="AN1826" s="458"/>
      <c r="BC1826" s="169"/>
    </row>
    <row r="1827" spans="40:55" ht="15.75" customHeight="1">
      <c r="AN1827" s="458"/>
      <c r="BC1827" s="169"/>
    </row>
    <row r="1828" spans="40:55" ht="15.75" customHeight="1">
      <c r="AN1828" s="458"/>
      <c r="BC1828" s="169"/>
    </row>
    <row r="1829" spans="40:55" ht="15.75" customHeight="1">
      <c r="AN1829" s="458"/>
      <c r="BC1829" s="169"/>
    </row>
    <row r="1830" spans="40:55" ht="15.75" customHeight="1">
      <c r="AN1830" s="458"/>
      <c r="BC1830" s="169"/>
    </row>
    <row r="1831" spans="40:55" ht="15.75" customHeight="1">
      <c r="AN1831" s="458"/>
      <c r="BC1831" s="169"/>
    </row>
    <row r="1832" spans="40:55" ht="15.75" customHeight="1">
      <c r="AN1832" s="458"/>
      <c r="BC1832" s="169"/>
    </row>
    <row r="1833" spans="40:55" ht="15.75" customHeight="1">
      <c r="AN1833" s="458"/>
      <c r="BC1833" s="169"/>
    </row>
    <row r="1834" spans="40:55" ht="15.75" customHeight="1">
      <c r="AN1834" s="458"/>
      <c r="BC1834" s="169"/>
    </row>
    <row r="1835" spans="40:55" ht="15.75" customHeight="1">
      <c r="AN1835" s="458"/>
      <c r="BC1835" s="169"/>
    </row>
    <row r="1836" spans="40:55" ht="15.75" customHeight="1">
      <c r="AN1836" s="458"/>
      <c r="BC1836" s="169"/>
    </row>
    <row r="1837" spans="40:55" ht="15.75" customHeight="1">
      <c r="AN1837" s="458"/>
      <c r="BC1837" s="169"/>
    </row>
    <row r="1838" spans="40:55" ht="15.75" customHeight="1">
      <c r="AN1838" s="458"/>
      <c r="BC1838" s="169"/>
    </row>
    <row r="1839" spans="40:55" ht="15.75" customHeight="1">
      <c r="AN1839" s="458"/>
      <c r="BC1839" s="169"/>
    </row>
    <row r="1840" spans="40:55" ht="15.75" customHeight="1">
      <c r="AN1840" s="458"/>
      <c r="BC1840" s="169"/>
    </row>
    <row r="1841" spans="40:55" ht="15.75" customHeight="1">
      <c r="AN1841" s="458"/>
      <c r="BC1841" s="169"/>
    </row>
    <row r="1842" spans="40:55" ht="15.75" customHeight="1">
      <c r="AN1842" s="458"/>
      <c r="BC1842" s="169"/>
    </row>
    <row r="1843" spans="40:55" ht="15.75" customHeight="1">
      <c r="AN1843" s="458"/>
      <c r="BC1843" s="169"/>
    </row>
    <row r="1844" spans="40:55" ht="15.75" customHeight="1">
      <c r="AN1844" s="458"/>
      <c r="BC1844" s="169"/>
    </row>
    <row r="1845" spans="40:55" ht="15.75" customHeight="1">
      <c r="AN1845" s="458"/>
      <c r="BC1845" s="169"/>
    </row>
    <row r="1846" spans="40:55" ht="15.75" customHeight="1">
      <c r="AN1846" s="458"/>
      <c r="BC1846" s="169"/>
    </row>
    <row r="1847" spans="40:55" ht="15.75" customHeight="1">
      <c r="AN1847" s="458"/>
      <c r="BC1847" s="169"/>
    </row>
    <row r="1848" spans="40:55" ht="15.75" customHeight="1">
      <c r="AN1848" s="458"/>
      <c r="BC1848" s="169"/>
    </row>
    <row r="1849" spans="40:55" ht="15.75" customHeight="1">
      <c r="AN1849" s="458"/>
      <c r="BC1849" s="169"/>
    </row>
    <row r="1850" spans="40:55" ht="15.75" customHeight="1">
      <c r="AN1850" s="458"/>
      <c r="BC1850" s="169"/>
    </row>
    <row r="1851" spans="40:55" ht="15.75" customHeight="1">
      <c r="AN1851" s="458"/>
      <c r="BC1851" s="169"/>
    </row>
    <row r="1852" spans="40:55" ht="15.75" customHeight="1">
      <c r="AN1852" s="458"/>
      <c r="BC1852" s="169"/>
    </row>
    <row r="1853" spans="40:55" ht="15.75" customHeight="1">
      <c r="AN1853" s="458"/>
      <c r="BC1853" s="169"/>
    </row>
    <row r="1854" spans="40:55" ht="15.75" customHeight="1">
      <c r="AN1854" s="458"/>
      <c r="BC1854" s="169"/>
    </row>
    <row r="1855" spans="40:55" ht="15.75" customHeight="1">
      <c r="AN1855" s="458"/>
      <c r="BC1855" s="169"/>
    </row>
    <row r="1856" spans="40:55" ht="15.75" customHeight="1">
      <c r="AN1856" s="458"/>
      <c r="BC1856" s="169"/>
    </row>
    <row r="1857" spans="40:55" ht="15.75" customHeight="1">
      <c r="AN1857" s="458"/>
      <c r="BC1857" s="169"/>
    </row>
    <row r="1858" spans="40:55" ht="15.75" customHeight="1">
      <c r="AN1858" s="458"/>
      <c r="BC1858" s="169"/>
    </row>
    <row r="1859" spans="40:55" ht="15.75" customHeight="1">
      <c r="AN1859" s="458"/>
      <c r="BC1859" s="169"/>
    </row>
    <row r="1860" spans="40:55" ht="15.75" customHeight="1">
      <c r="AN1860" s="458"/>
      <c r="BC1860" s="169"/>
    </row>
    <row r="1861" spans="40:55" ht="15.75" customHeight="1">
      <c r="AN1861" s="458"/>
      <c r="BC1861" s="169"/>
    </row>
    <row r="1862" spans="40:55" ht="15.75" customHeight="1">
      <c r="AN1862" s="458"/>
      <c r="BC1862" s="169"/>
    </row>
    <row r="1863" spans="40:55" ht="15.75" customHeight="1">
      <c r="AN1863" s="458"/>
      <c r="BC1863" s="169"/>
    </row>
    <row r="1864" spans="40:55" ht="15.75" customHeight="1">
      <c r="AN1864" s="458"/>
      <c r="BC1864" s="169"/>
    </row>
    <row r="1865" spans="40:55" ht="15.75" customHeight="1">
      <c r="AN1865" s="458"/>
      <c r="BC1865" s="169"/>
    </row>
    <row r="1866" spans="40:55" ht="15.75" customHeight="1">
      <c r="AN1866" s="458"/>
      <c r="BC1866" s="169"/>
    </row>
    <row r="1867" spans="40:55" ht="15.75" customHeight="1">
      <c r="AN1867" s="458"/>
      <c r="BC1867" s="169"/>
    </row>
    <row r="1868" spans="40:55" ht="15.75" customHeight="1">
      <c r="AN1868" s="458"/>
      <c r="BC1868" s="169"/>
    </row>
    <row r="1869" spans="40:55" ht="15.75" customHeight="1">
      <c r="AN1869" s="458"/>
      <c r="BC1869" s="169"/>
    </row>
    <row r="1870" spans="40:55" ht="15.75" customHeight="1">
      <c r="AN1870" s="458"/>
      <c r="BC1870" s="169"/>
    </row>
    <row r="1871" spans="40:55" ht="15.75" customHeight="1">
      <c r="AN1871" s="458"/>
      <c r="BC1871" s="169"/>
    </row>
    <row r="1872" spans="40:55" ht="15.75" customHeight="1">
      <c r="AN1872" s="458"/>
      <c r="BC1872" s="169"/>
    </row>
    <row r="1873" spans="40:55" ht="15.75" customHeight="1">
      <c r="AN1873" s="458"/>
      <c r="BC1873" s="169"/>
    </row>
    <row r="1874" spans="40:55" ht="15.75" customHeight="1">
      <c r="AN1874" s="458"/>
      <c r="BC1874" s="169"/>
    </row>
    <row r="1875" spans="40:55" ht="15.75" customHeight="1">
      <c r="AN1875" s="458"/>
      <c r="BC1875" s="169"/>
    </row>
    <row r="1876" spans="40:55" ht="15.75" customHeight="1">
      <c r="AN1876" s="458"/>
      <c r="BC1876" s="169"/>
    </row>
    <row r="1877" spans="40:55" ht="15.75" customHeight="1">
      <c r="AN1877" s="458"/>
      <c r="BC1877" s="169"/>
    </row>
    <row r="1878" spans="40:55" ht="15.75" customHeight="1">
      <c r="AN1878" s="458"/>
      <c r="BC1878" s="169"/>
    </row>
    <row r="1879" spans="40:55" ht="15.75" customHeight="1">
      <c r="AN1879" s="458"/>
      <c r="BC1879" s="169"/>
    </row>
    <row r="1880" spans="40:55" ht="15.75" customHeight="1">
      <c r="AN1880" s="458"/>
      <c r="BC1880" s="169"/>
    </row>
    <row r="1881" spans="40:55" ht="15.75" customHeight="1">
      <c r="AN1881" s="458"/>
      <c r="BC1881" s="169"/>
    </row>
    <row r="1882" spans="40:55" ht="15.75" customHeight="1">
      <c r="AN1882" s="458"/>
      <c r="BC1882" s="169"/>
    </row>
    <row r="1883" spans="40:55" ht="15.75" customHeight="1">
      <c r="AN1883" s="458"/>
      <c r="BC1883" s="169"/>
    </row>
    <row r="1884" spans="40:55" ht="15.75" customHeight="1">
      <c r="AN1884" s="458"/>
      <c r="BC1884" s="169"/>
    </row>
    <row r="1885" spans="40:55" ht="15.75" customHeight="1">
      <c r="AN1885" s="458"/>
      <c r="BC1885" s="169"/>
    </row>
    <row r="1886" spans="40:55" ht="15.75" customHeight="1">
      <c r="AN1886" s="458"/>
      <c r="BC1886" s="169"/>
    </row>
    <row r="1887" spans="40:55" ht="15.75" customHeight="1">
      <c r="AN1887" s="458"/>
      <c r="BC1887" s="169"/>
    </row>
    <row r="1888" spans="40:55" ht="15.75" customHeight="1">
      <c r="AN1888" s="458"/>
      <c r="BC1888" s="169"/>
    </row>
    <row r="1889" spans="40:55" ht="15.75" customHeight="1">
      <c r="AN1889" s="458"/>
      <c r="BC1889" s="169"/>
    </row>
    <row r="1890" spans="40:55" ht="15.75" customHeight="1">
      <c r="AN1890" s="458"/>
      <c r="BC1890" s="169"/>
    </row>
    <row r="1891" spans="40:55" ht="15.75" customHeight="1">
      <c r="AN1891" s="458"/>
      <c r="BC1891" s="169"/>
    </row>
    <row r="1892" spans="40:55" ht="15.75" customHeight="1">
      <c r="AN1892" s="458"/>
      <c r="BC1892" s="169"/>
    </row>
    <row r="1893" spans="40:55" ht="15.75" customHeight="1">
      <c r="AN1893" s="458"/>
      <c r="BC1893" s="169"/>
    </row>
    <row r="1894" spans="40:55" ht="15.75" customHeight="1">
      <c r="AN1894" s="458"/>
      <c r="BC1894" s="169"/>
    </row>
    <row r="1895" spans="40:55" ht="15.75" customHeight="1">
      <c r="AN1895" s="458"/>
      <c r="BC1895" s="169"/>
    </row>
    <row r="1896" spans="40:55" ht="15.75" customHeight="1">
      <c r="AN1896" s="458"/>
      <c r="BC1896" s="169"/>
    </row>
    <row r="1897" spans="40:55" ht="15.75" customHeight="1">
      <c r="AN1897" s="458"/>
      <c r="BC1897" s="169"/>
    </row>
    <row r="1898" spans="40:55" ht="15.75" customHeight="1">
      <c r="AN1898" s="458"/>
      <c r="BC1898" s="169"/>
    </row>
    <row r="1899" spans="40:55" ht="15.75" customHeight="1">
      <c r="AN1899" s="458"/>
      <c r="BC1899" s="169"/>
    </row>
    <row r="1900" spans="40:55" ht="15.75" customHeight="1">
      <c r="AN1900" s="458"/>
      <c r="BC1900" s="169"/>
    </row>
    <row r="1901" spans="40:55" ht="15.75" customHeight="1">
      <c r="AN1901" s="458"/>
      <c r="BC1901" s="169"/>
    </row>
    <row r="1902" spans="40:55" ht="15.75" customHeight="1">
      <c r="AN1902" s="458"/>
      <c r="BC1902" s="169"/>
    </row>
    <row r="1903" spans="40:55" ht="15.75" customHeight="1">
      <c r="AN1903" s="458"/>
      <c r="BC1903" s="169"/>
    </row>
    <row r="1904" spans="40:55" ht="15.75" customHeight="1">
      <c r="AN1904" s="458"/>
      <c r="BC1904" s="169"/>
    </row>
    <row r="1905" spans="40:55" ht="15.75" customHeight="1">
      <c r="AN1905" s="458"/>
      <c r="BC1905" s="169"/>
    </row>
    <row r="1906" spans="40:55" ht="15.75" customHeight="1">
      <c r="AN1906" s="458"/>
      <c r="BC1906" s="169"/>
    </row>
    <row r="1907" spans="40:55" ht="15.75" customHeight="1">
      <c r="AN1907" s="458"/>
      <c r="BC1907" s="169"/>
    </row>
    <row r="1908" spans="40:55" ht="15.75" customHeight="1">
      <c r="AN1908" s="458"/>
      <c r="BC1908" s="169"/>
    </row>
    <row r="1909" spans="40:55" ht="15.75" customHeight="1">
      <c r="AN1909" s="458"/>
      <c r="BC1909" s="169"/>
    </row>
    <row r="1910" spans="40:55" ht="15.75" customHeight="1">
      <c r="AN1910" s="458"/>
      <c r="BC1910" s="169"/>
    </row>
    <row r="1911" spans="40:55" ht="15.75" customHeight="1">
      <c r="AN1911" s="458"/>
      <c r="BC1911" s="169"/>
    </row>
    <row r="1912" spans="40:55" ht="15.75" customHeight="1">
      <c r="AN1912" s="458"/>
      <c r="BC1912" s="169"/>
    </row>
    <row r="1913" spans="40:55" ht="15.75" customHeight="1">
      <c r="AN1913" s="458"/>
      <c r="BC1913" s="169"/>
    </row>
    <row r="1914" spans="40:55" ht="15.75" customHeight="1">
      <c r="AN1914" s="458"/>
      <c r="BC1914" s="169"/>
    </row>
    <row r="1915" spans="40:55" ht="15.75" customHeight="1">
      <c r="AN1915" s="458"/>
      <c r="BC1915" s="169"/>
    </row>
    <row r="1916" spans="40:55" ht="15.75" customHeight="1">
      <c r="AN1916" s="458"/>
      <c r="BC1916" s="169"/>
    </row>
    <row r="1917" spans="40:55" ht="15.75" customHeight="1">
      <c r="AN1917" s="458"/>
      <c r="BC1917" s="169"/>
    </row>
    <row r="1918" spans="40:55" ht="15.75" customHeight="1">
      <c r="AN1918" s="458"/>
      <c r="BC1918" s="169"/>
    </row>
    <row r="1919" spans="40:55" ht="15.75" customHeight="1">
      <c r="AN1919" s="458"/>
      <c r="BC1919" s="169"/>
    </row>
    <row r="1920" spans="40:55" ht="15.75" customHeight="1">
      <c r="AN1920" s="458"/>
      <c r="BC1920" s="169"/>
    </row>
    <row r="1921" spans="40:55" ht="15.75" customHeight="1">
      <c r="AN1921" s="458"/>
      <c r="BC1921" s="169"/>
    </row>
    <row r="1922" spans="40:55" ht="15.75" customHeight="1">
      <c r="AN1922" s="458"/>
      <c r="BC1922" s="169"/>
    </row>
    <row r="1923" spans="40:55" ht="15.75" customHeight="1">
      <c r="AN1923" s="458"/>
      <c r="BC1923" s="169"/>
    </row>
    <row r="1924" spans="40:55" ht="15.75" customHeight="1">
      <c r="AN1924" s="458"/>
      <c r="BC1924" s="169"/>
    </row>
    <row r="1925" spans="40:55" ht="15.75" customHeight="1">
      <c r="AN1925" s="458"/>
      <c r="BC1925" s="169"/>
    </row>
    <row r="1926" spans="40:55" ht="15.75" customHeight="1">
      <c r="AN1926" s="458"/>
      <c r="BC1926" s="169"/>
    </row>
    <row r="1927" spans="40:55" ht="15.75" customHeight="1">
      <c r="AN1927" s="458"/>
      <c r="BC1927" s="169"/>
    </row>
    <row r="1928" spans="40:55" ht="15.75" customHeight="1">
      <c r="AN1928" s="458"/>
      <c r="BC1928" s="169"/>
    </row>
    <row r="1929" spans="40:55" ht="15.75" customHeight="1">
      <c r="AN1929" s="458"/>
      <c r="BC1929" s="169"/>
    </row>
    <row r="1930" spans="40:55" ht="15.75" customHeight="1">
      <c r="AN1930" s="458"/>
      <c r="BC1930" s="169"/>
    </row>
    <row r="1931" spans="40:55" ht="15.75" customHeight="1">
      <c r="AN1931" s="458"/>
      <c r="BC1931" s="169"/>
    </row>
    <row r="1932" spans="40:55" ht="15.75" customHeight="1">
      <c r="AN1932" s="458"/>
      <c r="BC1932" s="169"/>
    </row>
    <row r="1933" spans="40:55" ht="15.75" customHeight="1">
      <c r="AN1933" s="458"/>
      <c r="BC1933" s="169"/>
    </row>
    <row r="1934" spans="40:55" ht="15.75" customHeight="1">
      <c r="AN1934" s="458"/>
      <c r="BC1934" s="169"/>
    </row>
    <row r="1935" spans="40:55" ht="15.75" customHeight="1">
      <c r="AN1935" s="458"/>
      <c r="BC1935" s="169"/>
    </row>
    <row r="1936" spans="40:55" ht="15.75" customHeight="1">
      <c r="AN1936" s="458"/>
      <c r="BC1936" s="169"/>
    </row>
    <row r="1937" spans="40:55" ht="15.75" customHeight="1">
      <c r="AN1937" s="458"/>
      <c r="BC1937" s="169"/>
    </row>
    <row r="1938" spans="40:55" ht="15.75" customHeight="1">
      <c r="AN1938" s="458"/>
      <c r="BC1938" s="169"/>
    </row>
    <row r="1939" spans="40:55" ht="15.75" customHeight="1">
      <c r="AN1939" s="458"/>
      <c r="BC1939" s="169"/>
    </row>
    <row r="1940" spans="40:55" ht="15.75" customHeight="1">
      <c r="AN1940" s="458"/>
      <c r="BC1940" s="169"/>
    </row>
    <row r="1941" spans="40:55" ht="15.75" customHeight="1">
      <c r="AN1941" s="458"/>
      <c r="BC1941" s="169"/>
    </row>
    <row r="1942" spans="40:55" ht="15.75" customHeight="1">
      <c r="AN1942" s="458"/>
      <c r="BC1942" s="169"/>
    </row>
    <row r="1943" spans="40:55" ht="15.75" customHeight="1">
      <c r="AN1943" s="458"/>
      <c r="BC1943" s="169"/>
    </row>
    <row r="1944" spans="40:55" ht="15.75" customHeight="1">
      <c r="AN1944" s="458"/>
      <c r="BC1944" s="169"/>
    </row>
    <row r="1945" spans="40:55" ht="15.75" customHeight="1">
      <c r="AN1945" s="458"/>
      <c r="BC1945" s="169"/>
    </row>
    <row r="1946" spans="40:55" ht="15.75" customHeight="1">
      <c r="AN1946" s="458"/>
      <c r="BC1946" s="169"/>
    </row>
    <row r="1947" spans="40:55" ht="15.75" customHeight="1">
      <c r="AN1947" s="458"/>
      <c r="BC1947" s="169"/>
    </row>
    <row r="1948" spans="40:55" ht="15.75" customHeight="1">
      <c r="AN1948" s="458"/>
      <c r="BC1948" s="169"/>
    </row>
    <row r="1949" spans="40:55" ht="15.75" customHeight="1">
      <c r="AN1949" s="458"/>
      <c r="BC1949" s="169"/>
    </row>
    <row r="1950" spans="40:55" ht="15.75" customHeight="1">
      <c r="AN1950" s="458"/>
      <c r="BC1950" s="169"/>
    </row>
    <row r="1951" spans="40:55" ht="15.75" customHeight="1">
      <c r="AN1951" s="458"/>
      <c r="BC1951" s="169"/>
    </row>
    <row r="1952" spans="40:55" ht="15.75" customHeight="1">
      <c r="AN1952" s="458"/>
      <c r="BC1952" s="169"/>
    </row>
    <row r="1953" spans="40:55" ht="15.75" customHeight="1">
      <c r="AN1953" s="458"/>
      <c r="BC1953" s="169"/>
    </row>
    <row r="1954" spans="40:55" ht="15.75" customHeight="1">
      <c r="AN1954" s="458"/>
      <c r="BC1954" s="169"/>
    </row>
    <row r="1955" spans="40:55" ht="15.75" customHeight="1">
      <c r="AN1955" s="458"/>
      <c r="BC1955" s="169"/>
    </row>
    <row r="1956" spans="40:55" ht="15.75" customHeight="1">
      <c r="AN1956" s="458"/>
      <c r="BC1956" s="169"/>
    </row>
    <row r="1957" spans="40:55" ht="15.75" customHeight="1">
      <c r="AN1957" s="458"/>
      <c r="BC1957" s="169"/>
    </row>
    <row r="1958" spans="40:55" ht="15.75" customHeight="1">
      <c r="AN1958" s="458"/>
      <c r="BC1958" s="169"/>
    </row>
    <row r="1959" spans="40:55" ht="15.75" customHeight="1">
      <c r="AN1959" s="458"/>
      <c r="BC1959" s="169"/>
    </row>
    <row r="1960" spans="40:55" ht="15.75" customHeight="1">
      <c r="AN1960" s="458"/>
      <c r="BC1960" s="169"/>
    </row>
    <row r="1961" spans="40:55" ht="15.75" customHeight="1">
      <c r="AN1961" s="458"/>
      <c r="BC1961" s="169"/>
    </row>
    <row r="1962" spans="40:55" ht="15.75" customHeight="1">
      <c r="AN1962" s="458"/>
      <c r="BC1962" s="169"/>
    </row>
    <row r="1963" spans="40:55" ht="15.75" customHeight="1">
      <c r="AN1963" s="458"/>
      <c r="BC1963" s="169"/>
    </row>
    <row r="1964" spans="40:55" ht="15.75" customHeight="1">
      <c r="AN1964" s="458"/>
      <c r="BC1964" s="169"/>
    </row>
    <row r="1965" spans="40:55" ht="15.75" customHeight="1">
      <c r="AN1965" s="458"/>
      <c r="BC1965" s="169"/>
    </row>
    <row r="1966" spans="40:55" ht="15.75" customHeight="1">
      <c r="AN1966" s="458"/>
      <c r="BC1966" s="169"/>
    </row>
    <row r="1967" spans="40:55" ht="15.75" customHeight="1">
      <c r="AN1967" s="458"/>
      <c r="BC1967" s="169"/>
    </row>
    <row r="1968" spans="40:55" ht="15.75" customHeight="1">
      <c r="AN1968" s="458"/>
      <c r="BC1968" s="169"/>
    </row>
    <row r="1969" spans="40:55" ht="15.75" customHeight="1">
      <c r="AN1969" s="458"/>
      <c r="BC1969" s="169"/>
    </row>
    <row r="1970" spans="40:55" ht="15.75" customHeight="1">
      <c r="AN1970" s="458"/>
      <c r="BC1970" s="169"/>
    </row>
    <row r="1971" spans="40:55" ht="15.75" customHeight="1">
      <c r="AN1971" s="458"/>
      <c r="BC1971" s="169"/>
    </row>
    <row r="1972" spans="40:55" ht="15.75" customHeight="1">
      <c r="AN1972" s="458"/>
      <c r="BC1972" s="169"/>
    </row>
    <row r="1973" spans="40:55" ht="15.75" customHeight="1">
      <c r="AN1973" s="458"/>
      <c r="BC1973" s="169"/>
    </row>
    <row r="1974" spans="40:55" ht="15.75" customHeight="1">
      <c r="AN1974" s="458"/>
      <c r="BC1974" s="169"/>
    </row>
    <row r="1975" spans="40:55" ht="15.75" customHeight="1">
      <c r="AN1975" s="458"/>
      <c r="BC1975" s="169"/>
    </row>
    <row r="1976" spans="40:55" ht="15.75" customHeight="1">
      <c r="AN1976" s="458"/>
      <c r="BC1976" s="169"/>
    </row>
    <row r="1977" spans="40:55" ht="15.75" customHeight="1">
      <c r="AN1977" s="458"/>
      <c r="BC1977" s="169"/>
    </row>
    <row r="1978" spans="40:55" ht="15.75" customHeight="1">
      <c r="AN1978" s="458"/>
      <c r="BC1978" s="169"/>
    </row>
    <row r="1979" spans="40:55" ht="15.75" customHeight="1">
      <c r="AN1979" s="458"/>
      <c r="BC1979" s="169"/>
    </row>
    <row r="1980" spans="40:55" ht="15.75" customHeight="1">
      <c r="AN1980" s="458"/>
      <c r="BC1980" s="169"/>
    </row>
    <row r="1981" spans="40:55" ht="15.75" customHeight="1">
      <c r="AN1981" s="458"/>
      <c r="BC1981" s="169"/>
    </row>
    <row r="1982" spans="40:55" ht="15.75" customHeight="1">
      <c r="AN1982" s="458"/>
      <c r="BC1982" s="169"/>
    </row>
    <row r="1983" spans="40:55" ht="15.75" customHeight="1">
      <c r="AN1983" s="458"/>
      <c r="BC1983" s="169"/>
    </row>
    <row r="1984" spans="40:55" ht="15.75" customHeight="1">
      <c r="AN1984" s="458"/>
      <c r="BC1984" s="169"/>
    </row>
    <row r="1985" spans="40:55" ht="15.75" customHeight="1">
      <c r="AN1985" s="458"/>
      <c r="BC1985" s="169"/>
    </row>
    <row r="1986" spans="40:55" ht="15.75" customHeight="1">
      <c r="AN1986" s="458"/>
      <c r="BC1986" s="169"/>
    </row>
    <row r="1987" spans="40:55" ht="15.75" customHeight="1">
      <c r="AN1987" s="458"/>
      <c r="BC1987" s="169"/>
    </row>
    <row r="1988" spans="40:55" ht="15.75" customHeight="1">
      <c r="AN1988" s="458"/>
      <c r="BC1988" s="169"/>
    </row>
    <row r="1989" spans="40:55" ht="15.75" customHeight="1">
      <c r="AN1989" s="458"/>
      <c r="BC1989" s="169"/>
    </row>
    <row r="1990" spans="40:55" ht="15.75" customHeight="1">
      <c r="AN1990" s="458"/>
      <c r="BC1990" s="169"/>
    </row>
    <row r="1991" spans="40:55" ht="15.75" customHeight="1">
      <c r="AN1991" s="458"/>
      <c r="BC1991" s="169"/>
    </row>
    <row r="1992" spans="40:55" ht="15.75" customHeight="1">
      <c r="AN1992" s="458"/>
      <c r="BC1992" s="169"/>
    </row>
    <row r="1993" spans="40:55" ht="15.75" customHeight="1">
      <c r="AN1993" s="458"/>
      <c r="BC1993" s="169"/>
    </row>
    <row r="1994" spans="40:55" ht="15.75" customHeight="1">
      <c r="AN1994" s="458"/>
      <c r="BC1994" s="169"/>
    </row>
    <row r="1995" spans="40:55" ht="15.75" customHeight="1">
      <c r="AN1995" s="458"/>
      <c r="BC1995" s="169"/>
    </row>
    <row r="1996" spans="40:55" ht="15.75" customHeight="1">
      <c r="AN1996" s="458"/>
      <c r="BC1996" s="169"/>
    </row>
    <row r="1997" spans="40:55" ht="15.75" customHeight="1">
      <c r="AN1997" s="458"/>
    </row>
    <row r="1998" spans="40:55" ht="15.75" customHeight="1">
      <c r="AN1998" s="458"/>
    </row>
    <row r="1999" spans="40:55" ht="15.75" customHeight="1">
      <c r="AN1999" s="458"/>
    </row>
    <row r="2000" spans="40:55" ht="15.75" customHeight="1">
      <c r="AN2000" s="458"/>
    </row>
    <row r="2001" spans="40:40" ht="15.75" customHeight="1">
      <c r="AN2001" s="458"/>
    </row>
    <row r="2002" spans="40:40" ht="15.75" customHeight="1">
      <c r="AN2002" s="458"/>
    </row>
    <row r="2003" spans="40:40" ht="15.75" customHeight="1">
      <c r="AN2003" s="458"/>
    </row>
    <row r="2004" spans="40:40" ht="15.75" customHeight="1">
      <c r="AN2004" s="458"/>
    </row>
    <row r="2005" spans="40:40" ht="15.75" customHeight="1">
      <c r="AN2005" s="458"/>
    </row>
    <row r="2006" spans="40:40" ht="15.75" customHeight="1">
      <c r="AN2006" s="458"/>
    </row>
    <row r="2007" spans="40:40" ht="15.75" customHeight="1">
      <c r="AN2007" s="458"/>
    </row>
    <row r="2008" spans="40:40" ht="15.75" customHeight="1">
      <c r="AN2008" s="458"/>
    </row>
    <row r="2009" spans="40:40" ht="15.75" customHeight="1">
      <c r="AN2009" s="458"/>
    </row>
    <row r="2010" spans="40:40" ht="15.75" customHeight="1">
      <c r="AN2010" s="458"/>
    </row>
    <row r="2011" spans="40:40" ht="15.75" customHeight="1">
      <c r="AN2011" s="458"/>
    </row>
    <row r="2012" spans="40:40" ht="15.75" customHeight="1">
      <c r="AN2012" s="458"/>
    </row>
    <row r="2013" spans="40:40" ht="15.75" customHeight="1">
      <c r="AN2013" s="458"/>
    </row>
    <row r="2014" spans="40:40" ht="15.75" customHeight="1">
      <c r="AN2014" s="458"/>
    </row>
    <row r="2015" spans="40:40" ht="15.75" customHeight="1">
      <c r="AN2015" s="458"/>
    </row>
    <row r="2016" spans="40:40" ht="15.75" customHeight="1">
      <c r="AN2016" s="458"/>
    </row>
    <row r="2017" spans="40:40" ht="15.75" customHeight="1">
      <c r="AN2017" s="458"/>
    </row>
    <row r="2018" spans="40:40" ht="15.75" customHeight="1">
      <c r="AN2018" s="458"/>
    </row>
    <row r="2019" spans="40:40" ht="15.75" customHeight="1">
      <c r="AN2019" s="458"/>
    </row>
    <row r="2020" spans="40:40" ht="15.75" customHeight="1">
      <c r="AN2020" s="458"/>
    </row>
    <row r="2021" spans="40:40" ht="15.75" customHeight="1">
      <c r="AN2021" s="458"/>
    </row>
    <row r="2022" spans="40:40" ht="15.75" customHeight="1">
      <c r="AN2022" s="458"/>
    </row>
    <row r="2023" spans="40:40" ht="15.75" customHeight="1">
      <c r="AN2023" s="458"/>
    </row>
    <row r="2024" spans="40:40" ht="15.75" customHeight="1">
      <c r="AN2024" s="458"/>
    </row>
    <row r="2025" spans="40:40" ht="15.75" customHeight="1">
      <c r="AN2025" s="458"/>
    </row>
    <row r="2026" spans="40:40" ht="15.75" customHeight="1">
      <c r="AN2026" s="458"/>
    </row>
    <row r="2027" spans="40:40" ht="15.75" customHeight="1">
      <c r="AN2027" s="458"/>
    </row>
    <row r="2028" spans="40:40" ht="15.75" customHeight="1">
      <c r="AN2028" s="458"/>
    </row>
    <row r="2029" spans="40:40" ht="15.75" customHeight="1">
      <c r="AN2029" s="458"/>
    </row>
    <row r="2030" spans="40:40" ht="15.75" customHeight="1">
      <c r="AN2030" s="458"/>
    </row>
    <row r="2031" spans="40:40" ht="15.75" customHeight="1">
      <c r="AN2031" s="458"/>
    </row>
    <row r="2032" spans="40:40" ht="15.75" customHeight="1">
      <c r="AN2032" s="458"/>
    </row>
    <row r="2033" spans="40:40" ht="15.75" customHeight="1">
      <c r="AN2033" s="458"/>
    </row>
    <row r="2034" spans="40:40" ht="15.75" customHeight="1">
      <c r="AN2034" s="458"/>
    </row>
    <row r="2035" spans="40:40" ht="15.75" customHeight="1">
      <c r="AN2035" s="458"/>
    </row>
    <row r="2036" spans="40:40" ht="15.75" customHeight="1">
      <c r="AN2036" s="458"/>
    </row>
    <row r="2037" spans="40:40" ht="15.75" customHeight="1">
      <c r="AN2037" s="458"/>
    </row>
    <row r="2038" spans="40:40" ht="15.75" customHeight="1">
      <c r="AN2038" s="458"/>
    </row>
    <row r="2039" spans="40:40" ht="15.75" customHeight="1">
      <c r="AN2039" s="458"/>
    </row>
    <row r="2040" spans="40:40" ht="15.75" customHeight="1">
      <c r="AN2040" s="458"/>
    </row>
    <row r="2041" spans="40:40" ht="15.75" customHeight="1">
      <c r="AN2041" s="458"/>
    </row>
    <row r="2042" spans="40:40" ht="15.75" customHeight="1">
      <c r="AN2042" s="458"/>
    </row>
    <row r="2043" spans="40:40" ht="15.75" customHeight="1">
      <c r="AN2043" s="458"/>
    </row>
    <row r="2044" spans="40:40" ht="15.75" customHeight="1">
      <c r="AN2044" s="458"/>
    </row>
    <row r="2045" spans="40:40" ht="15.75" customHeight="1">
      <c r="AN2045" s="458"/>
    </row>
    <row r="2046" spans="40:40" ht="15.75" customHeight="1">
      <c r="AN2046" s="458"/>
    </row>
    <row r="2047" spans="40:40" ht="15.75" customHeight="1">
      <c r="AN2047" s="458"/>
    </row>
    <row r="2048" spans="40:40" ht="15.75" customHeight="1">
      <c r="AN2048" s="458"/>
    </row>
    <row r="2049" spans="40:40" ht="15.75" customHeight="1">
      <c r="AN2049" s="458"/>
    </row>
    <row r="2050" spans="40:40" ht="15.75" customHeight="1">
      <c r="AN2050" s="458"/>
    </row>
    <row r="2051" spans="40:40" ht="15.75" customHeight="1">
      <c r="AN2051" s="458"/>
    </row>
    <row r="2052" spans="40:40" ht="15.75" customHeight="1">
      <c r="AN2052" s="458"/>
    </row>
    <row r="2053" spans="40:40" ht="15.75" customHeight="1">
      <c r="AN2053" s="458"/>
    </row>
    <row r="2054" spans="40:40" ht="15.75" customHeight="1">
      <c r="AN2054" s="458"/>
    </row>
    <row r="2055" spans="40:40" ht="15.75" customHeight="1">
      <c r="AN2055" s="458"/>
    </row>
    <row r="2056" spans="40:40" ht="15.75" customHeight="1">
      <c r="AN2056" s="458"/>
    </row>
    <row r="2057" spans="40:40" ht="15.75" customHeight="1">
      <c r="AN2057" s="458"/>
    </row>
    <row r="2058" spans="40:40" ht="15.75" customHeight="1">
      <c r="AN2058" s="458"/>
    </row>
    <row r="2059" spans="40:40" ht="15.75" customHeight="1">
      <c r="AN2059" s="458"/>
    </row>
    <row r="2060" spans="40:40" ht="15.75" customHeight="1">
      <c r="AN2060" s="458"/>
    </row>
    <row r="2061" spans="40:40" ht="15.75" customHeight="1">
      <c r="AN2061" s="458"/>
    </row>
    <row r="2062" spans="40:40" ht="15.75" customHeight="1">
      <c r="AN2062" s="458"/>
    </row>
    <row r="2063" spans="40:40" ht="15.75" customHeight="1">
      <c r="AN2063" s="458"/>
    </row>
    <row r="2064" spans="40:40" ht="15.75" customHeight="1">
      <c r="AN2064" s="458"/>
    </row>
    <row r="2065" spans="40:40" ht="15.75" customHeight="1">
      <c r="AN2065" s="458"/>
    </row>
    <row r="2066" spans="40:40" ht="15.75" customHeight="1">
      <c r="AN2066" s="458"/>
    </row>
    <row r="2067" spans="40:40" ht="15.75" customHeight="1">
      <c r="AN2067" s="458"/>
    </row>
    <row r="2068" spans="40:40" ht="15.75" customHeight="1">
      <c r="AN2068" s="458"/>
    </row>
    <row r="2069" spans="40:40" ht="15.75" customHeight="1">
      <c r="AN2069" s="458"/>
    </row>
    <row r="2070" spans="40:40" ht="15.75" customHeight="1">
      <c r="AN2070" s="458"/>
    </row>
    <row r="2071" spans="40:40" ht="15.75" customHeight="1">
      <c r="AN2071" s="458"/>
    </row>
    <row r="2072" spans="40:40" ht="15.75" customHeight="1">
      <c r="AN2072" s="458"/>
    </row>
    <row r="2073" spans="40:40" ht="15.75" customHeight="1">
      <c r="AN2073" s="458"/>
    </row>
    <row r="2074" spans="40:40" ht="15.75" customHeight="1">
      <c r="AN2074" s="458"/>
    </row>
    <row r="2075" spans="40:40" ht="15.75" customHeight="1">
      <c r="AN2075" s="458"/>
    </row>
    <row r="2076" spans="40:40" ht="15.75" customHeight="1">
      <c r="AN2076" s="458"/>
    </row>
    <row r="2077" spans="40:40" ht="15.75" customHeight="1">
      <c r="AN2077" s="458"/>
    </row>
    <row r="2078" spans="40:40" ht="15.75" customHeight="1">
      <c r="AN2078" s="458"/>
    </row>
    <row r="2079" spans="40:40" ht="15.75" customHeight="1">
      <c r="AN2079" s="458"/>
    </row>
    <row r="2080" spans="40:40" ht="15.75" customHeight="1">
      <c r="AN2080" s="458"/>
    </row>
    <row r="2081" spans="40:40" ht="15.75" customHeight="1">
      <c r="AN2081" s="458"/>
    </row>
    <row r="2082" spans="40:40" ht="15.75" customHeight="1">
      <c r="AN2082" s="458"/>
    </row>
    <row r="2083" spans="40:40" ht="15.75" customHeight="1">
      <c r="AN2083" s="458"/>
    </row>
    <row r="2084" spans="40:40" ht="15.75" customHeight="1">
      <c r="AN2084" s="458"/>
    </row>
    <row r="2085" spans="40:40" ht="15.75" customHeight="1">
      <c r="AN2085" s="458"/>
    </row>
    <row r="2086" spans="40:40" ht="15.75" customHeight="1">
      <c r="AN2086" s="458"/>
    </row>
    <row r="2087" spans="40:40" ht="15.75" customHeight="1">
      <c r="AN2087" s="458"/>
    </row>
    <row r="2088" spans="40:40" ht="15.75" customHeight="1">
      <c r="AN2088" s="458"/>
    </row>
    <row r="2089" spans="40:40" ht="15.75" customHeight="1">
      <c r="AN2089" s="458"/>
    </row>
    <row r="2090" spans="40:40" ht="15.75" customHeight="1">
      <c r="AN2090" s="458"/>
    </row>
    <row r="2091" spans="40:40" ht="15.75" customHeight="1">
      <c r="AN2091" s="458"/>
    </row>
    <row r="2092" spans="40:40" ht="15.75" customHeight="1">
      <c r="AN2092" s="458"/>
    </row>
    <row r="2093" spans="40:40" ht="15.75" customHeight="1">
      <c r="AN2093" s="458"/>
    </row>
    <row r="2094" spans="40:40" ht="15.75" customHeight="1">
      <c r="AN2094" s="458"/>
    </row>
    <row r="2095" spans="40:40" ht="15.75" customHeight="1">
      <c r="AN2095" s="458"/>
    </row>
    <row r="2096" spans="40:40" ht="15.75" customHeight="1">
      <c r="AN2096" s="458"/>
    </row>
    <row r="2097" spans="40:40" ht="15.75" customHeight="1">
      <c r="AN2097" s="458"/>
    </row>
    <row r="2098" spans="40:40" ht="15.75" customHeight="1">
      <c r="AN2098" s="458"/>
    </row>
    <row r="2099" spans="40:40" ht="15.75" customHeight="1">
      <c r="AN2099" s="458"/>
    </row>
    <row r="2100" spans="40:40" ht="15.75" customHeight="1">
      <c r="AN2100" s="458"/>
    </row>
    <row r="2101" spans="40:40" ht="15.75" customHeight="1">
      <c r="AN2101" s="458"/>
    </row>
    <row r="2102" spans="40:40" ht="15.75" customHeight="1">
      <c r="AN2102" s="458"/>
    </row>
    <row r="2103" spans="40:40" ht="15.75" customHeight="1">
      <c r="AN2103" s="458"/>
    </row>
    <row r="2104" spans="40:40" ht="15.75" customHeight="1">
      <c r="AN2104" s="458"/>
    </row>
    <row r="2105" spans="40:40" ht="15.75" customHeight="1">
      <c r="AN2105" s="458"/>
    </row>
    <row r="2106" spans="40:40" ht="15.75" customHeight="1">
      <c r="AN2106" s="458"/>
    </row>
    <row r="2107" spans="40:40" ht="15.75" customHeight="1">
      <c r="AN2107" s="458"/>
    </row>
    <row r="2108" spans="40:40" ht="15.75" customHeight="1">
      <c r="AN2108" s="458"/>
    </row>
    <row r="2109" spans="40:40" ht="15.75" customHeight="1">
      <c r="AN2109" s="458"/>
    </row>
    <row r="2110" spans="40:40" ht="15.75" customHeight="1">
      <c r="AN2110" s="458"/>
    </row>
    <row r="2111" spans="40:40" ht="15.75" customHeight="1">
      <c r="AN2111" s="458"/>
    </row>
    <row r="2112" spans="40:40" ht="15.75" customHeight="1">
      <c r="AN2112" s="458"/>
    </row>
    <row r="2113" spans="40:40" ht="15.75" customHeight="1">
      <c r="AN2113" s="458"/>
    </row>
    <row r="2114" spans="40:40" ht="15.75" customHeight="1">
      <c r="AN2114" s="458"/>
    </row>
    <row r="2115" spans="40:40" ht="15.75" customHeight="1">
      <c r="AN2115" s="458"/>
    </row>
    <row r="2116" spans="40:40" ht="15.75" customHeight="1">
      <c r="AN2116" s="458"/>
    </row>
    <row r="2117" spans="40:40" ht="15.75" customHeight="1">
      <c r="AN2117" s="458"/>
    </row>
    <row r="2118" spans="40:40" ht="15.75" customHeight="1">
      <c r="AN2118" s="458"/>
    </row>
    <row r="2119" spans="40:40" ht="15.75" customHeight="1">
      <c r="AN2119" s="458"/>
    </row>
    <row r="2120" spans="40:40" ht="15.75" customHeight="1">
      <c r="AN2120" s="458"/>
    </row>
    <row r="2121" spans="40:40" ht="15.75" customHeight="1">
      <c r="AN2121" s="458"/>
    </row>
    <row r="2122" spans="40:40" ht="15.75" customHeight="1">
      <c r="AN2122" s="458"/>
    </row>
    <row r="2123" spans="40:40" ht="15.75" customHeight="1">
      <c r="AN2123" s="458"/>
    </row>
    <row r="2124" spans="40:40" ht="15.75" customHeight="1">
      <c r="AN2124" s="458"/>
    </row>
    <row r="2125" spans="40:40" ht="15.75" customHeight="1">
      <c r="AN2125" s="458"/>
    </row>
    <row r="2126" spans="40:40" ht="15.75" customHeight="1">
      <c r="AN2126" s="458"/>
    </row>
    <row r="2127" spans="40:40" ht="15.75" customHeight="1">
      <c r="AN2127" s="458"/>
    </row>
    <row r="2128" spans="40:40" ht="15.75" customHeight="1">
      <c r="AN2128" s="458"/>
    </row>
    <row r="2129" spans="40:40" ht="15.75" customHeight="1">
      <c r="AN2129" s="458"/>
    </row>
    <row r="2130" spans="40:40" ht="15.75" customHeight="1">
      <c r="AN2130" s="458"/>
    </row>
    <row r="2131" spans="40:40" ht="15.75" customHeight="1">
      <c r="AN2131" s="458"/>
    </row>
    <row r="2132" spans="40:40" ht="15.75" customHeight="1">
      <c r="AN2132" s="458"/>
    </row>
    <row r="2133" spans="40:40" ht="15.75" customHeight="1">
      <c r="AN2133" s="458"/>
    </row>
    <row r="2134" spans="40:40" ht="15.75" customHeight="1">
      <c r="AN2134" s="458"/>
    </row>
    <row r="2135" spans="40:40" ht="15.75" customHeight="1">
      <c r="AN2135" s="458"/>
    </row>
    <row r="2136" spans="40:40" ht="15.75" customHeight="1">
      <c r="AN2136" s="458"/>
    </row>
    <row r="2137" spans="40:40" ht="15.75" customHeight="1">
      <c r="AN2137" s="458"/>
    </row>
    <row r="2138" spans="40:40" ht="15.75" customHeight="1">
      <c r="AN2138" s="458"/>
    </row>
    <row r="2139" spans="40:40" ht="15.75" customHeight="1">
      <c r="AN2139" s="458"/>
    </row>
    <row r="2140" spans="40:40" ht="15.75" customHeight="1">
      <c r="AN2140" s="458"/>
    </row>
    <row r="2141" spans="40:40" ht="15.75" customHeight="1">
      <c r="AN2141" s="458"/>
    </row>
    <row r="2142" spans="40:40" ht="15.75" customHeight="1">
      <c r="AN2142" s="458"/>
    </row>
    <row r="2143" spans="40:40" ht="15.75" customHeight="1">
      <c r="AN2143" s="458"/>
    </row>
    <row r="2144" spans="40:40" ht="15.75" customHeight="1">
      <c r="AN2144" s="458"/>
    </row>
    <row r="2145" spans="40:40" ht="15.75" customHeight="1">
      <c r="AN2145" s="458"/>
    </row>
    <row r="2146" spans="40:40" ht="15.75" customHeight="1">
      <c r="AN2146" s="458"/>
    </row>
    <row r="2147" spans="40:40" ht="15.75" customHeight="1">
      <c r="AN2147" s="458"/>
    </row>
    <row r="2148" spans="40:40" ht="15.75" customHeight="1">
      <c r="AN2148" s="458"/>
    </row>
    <row r="2149" spans="40:40" ht="15.75" customHeight="1">
      <c r="AN2149" s="458"/>
    </row>
    <row r="2150" spans="40:40" ht="15.75" customHeight="1">
      <c r="AN2150" s="458"/>
    </row>
    <row r="2151" spans="40:40" ht="15.75" customHeight="1">
      <c r="AN2151" s="458"/>
    </row>
    <row r="2152" spans="40:40" ht="15.75" customHeight="1">
      <c r="AN2152" s="458"/>
    </row>
    <row r="2153" spans="40:40" ht="15.75" customHeight="1">
      <c r="AN2153" s="458"/>
    </row>
    <row r="2154" spans="40:40" ht="15.75" customHeight="1">
      <c r="AN2154" s="458"/>
    </row>
    <row r="2155" spans="40:40" ht="15.75" customHeight="1">
      <c r="AN2155" s="458"/>
    </row>
    <row r="2156" spans="40:40" ht="15.75" customHeight="1">
      <c r="AN2156" s="458"/>
    </row>
    <row r="2157" spans="40:40" ht="15.75" customHeight="1">
      <c r="AN2157" s="458"/>
    </row>
    <row r="2158" spans="40:40" ht="15.75" customHeight="1">
      <c r="AN2158" s="458"/>
    </row>
    <row r="2159" spans="40:40" ht="15.75" customHeight="1">
      <c r="AN2159" s="458"/>
    </row>
    <row r="2160" spans="40:40" ht="15.75" customHeight="1">
      <c r="AN2160" s="458"/>
    </row>
    <row r="2161" spans="40:40" ht="15.75" customHeight="1">
      <c r="AN2161" s="458"/>
    </row>
    <row r="2162" spans="40:40" ht="15.75" customHeight="1">
      <c r="AN2162" s="458"/>
    </row>
    <row r="2163" spans="40:40" ht="15.75" customHeight="1">
      <c r="AN2163" s="458"/>
    </row>
    <row r="2164" spans="40:40" ht="15.75" customHeight="1">
      <c r="AN2164" s="458"/>
    </row>
    <row r="2165" spans="40:40" ht="15.75" customHeight="1">
      <c r="AN2165" s="458"/>
    </row>
  </sheetData>
  <autoFilter ref="A2:BG111" xr:uid="{00000000-0009-0000-0000-00000A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autoFilter>
  <mergeCells count="10">
    <mergeCell ref="BD1:BG1"/>
    <mergeCell ref="AN2:AP2"/>
    <mergeCell ref="AQ2:AS2"/>
    <mergeCell ref="AT2:AV2"/>
    <mergeCell ref="A1:BB1"/>
    <mergeCell ref="N2:P2"/>
    <mergeCell ref="T2:V2"/>
    <mergeCell ref="W2:Y2"/>
    <mergeCell ref="Z2:AB2"/>
    <mergeCell ref="AC2:AE2"/>
  </mergeCells>
  <conditionalFormatting sqref="B6:BA109">
    <cfRule type="expression" dxfId="1287" priority="24">
      <formula>$M6="NON DEFINED"</formula>
    </cfRule>
    <cfRule type="expression" dxfId="1286" priority="25">
      <formula>$AY6="N.D."</formula>
    </cfRule>
  </conditionalFormatting>
  <conditionalFormatting sqref="BD6:BE6 BD8:BE8 BD10:BE10 BD12:BG12 BD11 BD14:BG14 BD16:BG16 BD18:BG18 BD17 BD20:BG20 BD22:BG22 BD21 BD24:BG24 BD26:BE26 BD28:BE28 BD27 BD30:BE30 BD32:BG32 BD34:BG34 BD36:BG36 BD35 BD38:BG38 BD40:BG40 BD42:BG42 BD41 BD44:BG44 BD46:BG46 BD45 BD48:BG48 BD50:BG50 BD49 BD52:BG52 BD54:BG54 BD53 BD56:BG56 BD55 BD58:BG58 BD60:BE60 BD62:BG62 BD64:BG64 BD66:BG66 BD68:BG68 BD70:BG70 BD72:BG72 BD74:BG74 BD76:BG76 BD75 BE78 BD77 BD80:BG80 BD79 BD82:BG82 BD81 BD84:BG84 BD86:BG86 BD85 BD88:BG88 BD90:BG90 BD92:BG92 BD91 BD94:BG94 BD96:BG96 BD95 BD100:BG100 BD98:BF98 BD102:BG102 BD104:BE104 BD106:BE106 BD108:BE108 BD99 BG10 BG8 BG6 BG30 BG28 BG26 BG60 BG78 BG108 BG106 BG104">
    <cfRule type="containsBlanks" dxfId="1285" priority="20">
      <formula>LEN(TRIM(BD6))=0</formula>
    </cfRule>
  </conditionalFormatting>
  <conditionalFormatting sqref="BC6:BC109 BC112:BC1996">
    <cfRule type="containsText" dxfId="1284" priority="18" operator="containsText" text="a">
      <formula>NOT(ISERROR(SEARCH("a",BC6)))</formula>
    </cfRule>
    <cfRule type="containsText" dxfId="1283" priority="19" operator="containsText" text="R">
      <formula>NOT(ISERROR(SEARCH("R",BC6)))</formula>
    </cfRule>
  </conditionalFormatting>
  <conditionalFormatting sqref="BA6:BA109">
    <cfRule type="expression" dxfId="1282" priority="17">
      <formula>$BC6="R"</formula>
    </cfRule>
  </conditionalFormatting>
  <conditionalFormatting sqref="A4:BB4">
    <cfRule type="cellIs" dxfId="1281" priority="16" operator="equal">
      <formula>0</formula>
    </cfRule>
  </conditionalFormatting>
  <conditionalFormatting sqref="B4:BA4 BC4:BG4">
    <cfRule type="expression" dxfId="1280" priority="14">
      <formula>$M4="NON DEFINED"</formula>
    </cfRule>
    <cfRule type="expression" dxfId="1279" priority="15">
      <formula>$AY4="N.D."</formula>
    </cfRule>
  </conditionalFormatting>
  <conditionalFormatting sqref="BA4">
    <cfRule type="expression" dxfId="1278" priority="13">
      <formula>$BC4="R"</formula>
    </cfRule>
  </conditionalFormatting>
  <conditionalFormatting sqref="BC4:BG4">
    <cfRule type="cellIs" dxfId="1277" priority="12" operator="equal">
      <formula>0</formula>
    </cfRule>
  </conditionalFormatting>
  <conditionalFormatting sqref="BC110:BG111">
    <cfRule type="cellIs" dxfId="1276" priority="7" operator="equal">
      <formula>0</formula>
    </cfRule>
  </conditionalFormatting>
  <conditionalFormatting sqref="A110:BB111">
    <cfRule type="cellIs" dxfId="1275" priority="11" operator="equal">
      <formula>0</formula>
    </cfRule>
  </conditionalFormatting>
  <conditionalFormatting sqref="B110:BA111 BC110:BG111">
    <cfRule type="expression" dxfId="1274" priority="9">
      <formula>$M110="NON DEFINED"</formula>
    </cfRule>
    <cfRule type="expression" dxfId="1273" priority="10">
      <formula>$AY110="N.D."</formula>
    </cfRule>
  </conditionalFormatting>
  <conditionalFormatting sqref="BA110:BA111">
    <cfRule type="expression" dxfId="1272" priority="8">
      <formula>$BC110="R"</formula>
    </cfRule>
  </conditionalFormatting>
  <conditionalFormatting sqref="A5:BB5">
    <cfRule type="cellIs" dxfId="1271" priority="6" operator="equal">
      <formula>0</formula>
    </cfRule>
  </conditionalFormatting>
  <conditionalFormatting sqref="B5:BA5 BC5:BG5">
    <cfRule type="expression" dxfId="1270" priority="4">
      <formula>$M5="NON DEFINED"</formula>
    </cfRule>
    <cfRule type="expression" dxfId="1269" priority="5">
      <formula>$AY5="N.D."</formula>
    </cfRule>
  </conditionalFormatting>
  <conditionalFormatting sqref="BA5">
    <cfRule type="expression" dxfId="1268" priority="3">
      <formula>$BC5="R"</formula>
    </cfRule>
  </conditionalFormatting>
  <conditionalFormatting sqref="BC5:BG5">
    <cfRule type="cellIs" dxfId="1267" priority="2" operator="equal">
      <formula>0</formula>
    </cfRule>
  </conditionalFormatting>
  <conditionalFormatting sqref="AN4:AN111">
    <cfRule type="cellIs" dxfId="1266" priority="1" operator="notEqual">
      <formula>5.5</formula>
    </cfRule>
  </conditionalFormatting>
  <printOptions horizontalCentered="1" gridLines="1"/>
  <pageMargins left="0.39370078740157483" right="0.39370078740157483" top="0.78740157480314965" bottom="0.78740157480314965" header="0.31496062992125984" footer="0.31496062992125984"/>
  <pageSetup paperSize="9" scale="53" fitToHeight="0" orientation="landscape" r:id="rId1"/>
  <headerFooter alignWithMargins="0">
    <oddHeader>&amp;L&amp;G&amp;C
LAYOUT AND EQUIPMENT
EP06 TRACK 6 HER
KP82+550 - 85+000&amp;R&amp;G</oddHeader>
    <oddFooter>&amp;L&amp;G
&amp;F&amp;C&amp;D&amp;RPag &amp;P of &amp;N</oddFooter>
  </headerFooter>
  <ignoredErrors>
    <ignoredError sqref="B4:C4 C6" unlockedFormula="1"/>
    <ignoredError sqref="F6" numberStoredAsText="1"/>
  </ignoredErrors>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2">
    <tabColor rgb="FFFF7C80"/>
    <pageSetUpPr fitToPage="1"/>
  </sheetPr>
  <dimension ref="A1:BG2000"/>
  <sheetViews>
    <sheetView showGridLines="0" view="pageBreakPreview" zoomScale="70" zoomScaleNormal="85" zoomScaleSheetLayoutView="70" workbookViewId="0">
      <pane xSplit="2" ySplit="3" topLeftCell="C4" activePane="bottomRight" state="frozen"/>
      <selection activeCell="G124" sqref="G124"/>
      <selection pane="topRight" activeCell="G124" sqref="G124"/>
      <selection pane="bottomLeft" activeCell="G124" sqref="G124"/>
      <selection pane="bottomRight" activeCell="I9" sqref="I9"/>
    </sheetView>
  </sheetViews>
  <sheetFormatPr baseColWidth="10" defaultColWidth="11.453125" defaultRowHeight="15.75" customHeight="1"/>
  <cols>
    <col min="1" max="1" width="20.6328125" style="178" customWidth="1"/>
    <col min="2" max="2" width="12.6328125" style="178" customWidth="1"/>
    <col min="3" max="3" width="12.6328125" style="184" customWidth="1"/>
    <col min="4" max="6" width="12.6328125" style="178" customWidth="1"/>
    <col min="7" max="7" width="12.6328125" style="454" customWidth="1"/>
    <col min="8" max="8" width="18.6328125" style="178" customWidth="1"/>
    <col min="9" max="9" width="12.6328125" style="179" customWidth="1"/>
    <col min="10" max="10" width="12.6328125" style="184" customWidth="1"/>
    <col min="11" max="11" width="12.6328125" style="178" customWidth="1"/>
    <col min="12" max="13" width="14.6328125" style="178" customWidth="1"/>
    <col min="14" max="16" width="8.6328125" style="178" customWidth="1"/>
    <col min="17" max="19" width="12.6328125" style="178" customWidth="1"/>
    <col min="20" max="28" width="8.6328125" style="178" customWidth="1"/>
    <col min="29" max="31" width="10.6328125" style="178" customWidth="1"/>
    <col min="32" max="32" width="13.54296875" style="178" customWidth="1"/>
    <col min="33" max="33" width="12.6328125" style="184" customWidth="1"/>
    <col min="34" max="39" width="12.6328125" style="178" customWidth="1"/>
    <col min="40" max="40" width="8.6328125" style="458" customWidth="1"/>
    <col min="41" max="42" width="8.6328125" style="169" customWidth="1"/>
    <col min="43" max="43" width="8.6328125" style="458" customWidth="1"/>
    <col min="44" max="45" width="8.6328125" style="169" customWidth="1"/>
    <col min="46" max="46" width="8.6328125" style="458" customWidth="1"/>
    <col min="47" max="48" width="8.6328125" style="169" customWidth="1"/>
    <col min="49" max="50" width="12.6328125" style="169" customWidth="1"/>
    <col min="51" max="52" width="12.6328125" style="458" customWidth="1"/>
    <col min="53" max="53" width="12.6328125" style="169" customWidth="1"/>
    <col min="54" max="54" width="21.6328125" style="178" customWidth="1"/>
    <col min="55" max="55" width="18" style="178" customWidth="1"/>
    <col min="56" max="59" width="14.54296875" style="1323" customWidth="1"/>
    <col min="60" max="60" width="11.453125" style="178" customWidth="1"/>
    <col min="61" max="16384" width="11.453125" style="178"/>
  </cols>
  <sheetData>
    <row r="1" spans="1:59" ht="35.25" customHeight="1">
      <c r="A1" s="1607" t="s">
        <v>3289</v>
      </c>
      <c r="B1" s="1607"/>
      <c r="C1" s="1607"/>
      <c r="D1" s="1607"/>
      <c r="E1" s="1607"/>
      <c r="F1" s="1607"/>
      <c r="G1" s="1607"/>
      <c r="H1" s="1607"/>
      <c r="I1" s="1607"/>
      <c r="J1" s="1607"/>
      <c r="K1" s="1607"/>
      <c r="L1" s="1607"/>
      <c r="M1" s="1607"/>
      <c r="N1" s="1607"/>
      <c r="O1" s="1607"/>
      <c r="P1" s="1607"/>
      <c r="Q1" s="1607"/>
      <c r="R1" s="1607"/>
      <c r="S1" s="1607"/>
      <c r="T1" s="1607"/>
      <c r="U1" s="1607"/>
      <c r="V1" s="1607"/>
      <c r="W1" s="1607"/>
      <c r="X1" s="1607"/>
      <c r="Y1" s="1607"/>
      <c r="Z1" s="1607"/>
      <c r="AA1" s="1607"/>
      <c r="AB1" s="1607"/>
      <c r="AC1" s="1607"/>
      <c r="AD1" s="1607"/>
      <c r="AE1" s="1607"/>
      <c r="AF1" s="1607"/>
      <c r="AG1" s="1607"/>
      <c r="AH1" s="1607"/>
      <c r="AI1" s="1607"/>
      <c r="AJ1" s="1607"/>
      <c r="AK1" s="1607"/>
      <c r="AL1" s="1607"/>
      <c r="AM1" s="1607"/>
      <c r="AN1" s="1607"/>
      <c r="AO1" s="1607"/>
      <c r="AP1" s="1607"/>
      <c r="AQ1" s="1607"/>
      <c r="AR1" s="1607"/>
      <c r="AS1" s="1607"/>
      <c r="AT1" s="1607"/>
      <c r="AU1" s="1607"/>
      <c r="AV1" s="1607"/>
      <c r="AW1" s="1607"/>
      <c r="AX1" s="1607"/>
      <c r="AY1" s="1607"/>
      <c r="AZ1" s="1607"/>
      <c r="BA1" s="1607"/>
      <c r="BB1" s="1607"/>
      <c r="BC1" s="693" t="s">
        <v>4947</v>
      </c>
      <c r="BD1" s="1599" t="s">
        <v>4916</v>
      </c>
      <c r="BE1" s="1599"/>
      <c r="BF1" s="1599"/>
      <c r="BG1" s="1599"/>
    </row>
    <row r="2" spans="1:59" s="699" customFormat="1" ht="42" customHeight="1">
      <c r="A2" s="1257" t="s">
        <v>4417</v>
      </c>
      <c r="B2" s="1257" t="s">
        <v>4418</v>
      </c>
      <c r="C2" s="947" t="s">
        <v>2315</v>
      </c>
      <c r="D2" s="1257" t="s">
        <v>4419</v>
      </c>
      <c r="E2" s="1257" t="s">
        <v>4855</v>
      </c>
      <c r="F2" s="1257" t="s">
        <v>4856</v>
      </c>
      <c r="G2" s="1258" t="s">
        <v>4857</v>
      </c>
      <c r="H2" s="1257" t="s">
        <v>455</v>
      </c>
      <c r="I2" s="948" t="s">
        <v>454</v>
      </c>
      <c r="J2" s="948" t="s">
        <v>4423</v>
      </c>
      <c r="K2" s="1257" t="s">
        <v>1362</v>
      </c>
      <c r="L2" s="1257" t="s">
        <v>456</v>
      </c>
      <c r="M2" s="1257" t="s">
        <v>453</v>
      </c>
      <c r="N2" s="1606" t="s">
        <v>457</v>
      </c>
      <c r="O2" s="1606"/>
      <c r="P2" s="1606"/>
      <c r="Q2" s="1257" t="s">
        <v>4858</v>
      </c>
      <c r="R2" s="1257" t="s">
        <v>4859</v>
      </c>
      <c r="S2" s="1257" t="s">
        <v>4860</v>
      </c>
      <c r="T2" s="1606" t="s">
        <v>4861</v>
      </c>
      <c r="U2" s="1606"/>
      <c r="V2" s="1606"/>
      <c r="W2" s="1606" t="s">
        <v>4862</v>
      </c>
      <c r="X2" s="1606"/>
      <c r="Y2" s="1606"/>
      <c r="Z2" s="1606" t="s">
        <v>4863</v>
      </c>
      <c r="AA2" s="1606"/>
      <c r="AB2" s="1606"/>
      <c r="AC2" s="1606" t="s">
        <v>628</v>
      </c>
      <c r="AD2" s="1606"/>
      <c r="AE2" s="1606"/>
      <c r="AF2" s="1257" t="s">
        <v>4872</v>
      </c>
      <c r="AG2" s="947" t="s">
        <v>4864</v>
      </c>
      <c r="AH2" s="1257" t="s">
        <v>4865</v>
      </c>
      <c r="AI2" s="1257" t="s">
        <v>4866</v>
      </c>
      <c r="AJ2" s="1257" t="s">
        <v>629</v>
      </c>
      <c r="AK2" s="1257" t="s">
        <v>458</v>
      </c>
      <c r="AL2" s="1257" t="s">
        <v>459</v>
      </c>
      <c r="AM2" s="1257" t="s">
        <v>631</v>
      </c>
      <c r="AN2" s="1606" t="s">
        <v>4867</v>
      </c>
      <c r="AO2" s="1606"/>
      <c r="AP2" s="1606"/>
      <c r="AQ2" s="1606" t="s">
        <v>460</v>
      </c>
      <c r="AR2" s="1606"/>
      <c r="AS2" s="1606"/>
      <c r="AT2" s="1606" t="s">
        <v>630</v>
      </c>
      <c r="AU2" s="1606"/>
      <c r="AV2" s="1606"/>
      <c r="AW2" s="1257" t="s">
        <v>4868</v>
      </c>
      <c r="AX2" s="1257" t="s">
        <v>4904</v>
      </c>
      <c r="AY2" s="1258" t="s">
        <v>4869</v>
      </c>
      <c r="AZ2" s="1258" t="s">
        <v>4870</v>
      </c>
      <c r="BA2" s="1257" t="s">
        <v>1670</v>
      </c>
      <c r="BB2" s="1257" t="s">
        <v>4871</v>
      </c>
      <c r="BC2" s="693" t="s">
        <v>4948</v>
      </c>
      <c r="BD2" s="1320" t="s">
        <v>453</v>
      </c>
      <c r="BE2" s="1320" t="s">
        <v>4922</v>
      </c>
      <c r="BF2" s="1320" t="s">
        <v>4915</v>
      </c>
      <c r="BG2" s="1320" t="s">
        <v>457</v>
      </c>
    </row>
    <row r="3" spans="1:59" ht="15.75" customHeight="1">
      <c r="A3" s="1239"/>
      <c r="B3" s="1239"/>
      <c r="C3" s="171"/>
      <c r="D3" s="1239"/>
      <c r="E3" s="1239"/>
      <c r="F3" s="172"/>
      <c r="G3" s="455"/>
      <c r="H3" s="1239"/>
      <c r="I3" s="448"/>
      <c r="J3" s="171"/>
      <c r="K3" s="1239"/>
      <c r="L3" s="1239"/>
      <c r="M3" s="1239"/>
      <c r="N3" s="949" t="s">
        <v>123</v>
      </c>
      <c r="O3" s="949" t="s">
        <v>124</v>
      </c>
      <c r="P3" s="949" t="s">
        <v>125</v>
      </c>
      <c r="Q3" s="949"/>
      <c r="R3" s="949"/>
      <c r="S3" s="949"/>
      <c r="T3" s="949" t="s">
        <v>126</v>
      </c>
      <c r="U3" s="949" t="s">
        <v>127</v>
      </c>
      <c r="V3" s="949" t="s">
        <v>128</v>
      </c>
      <c r="W3" s="949" t="s">
        <v>129</v>
      </c>
      <c r="X3" s="949" t="s">
        <v>130</v>
      </c>
      <c r="Y3" s="949" t="s">
        <v>131</v>
      </c>
      <c r="Z3" s="949" t="s">
        <v>132</v>
      </c>
      <c r="AA3" s="949" t="s">
        <v>133</v>
      </c>
      <c r="AB3" s="949" t="s">
        <v>134</v>
      </c>
      <c r="AC3" s="949" t="s">
        <v>135</v>
      </c>
      <c r="AD3" s="949" t="s">
        <v>136</v>
      </c>
      <c r="AE3" s="949" t="s">
        <v>137</v>
      </c>
      <c r="AF3" s="1239"/>
      <c r="AG3" s="171"/>
      <c r="AH3" s="1239"/>
      <c r="AI3" s="1239"/>
      <c r="AJ3" s="1239"/>
      <c r="AK3" s="1239"/>
      <c r="AL3" s="1239"/>
      <c r="AM3" s="1239"/>
      <c r="AN3" s="1341" t="s">
        <v>129</v>
      </c>
      <c r="AO3" s="949" t="s">
        <v>130</v>
      </c>
      <c r="AP3" s="949" t="s">
        <v>131</v>
      </c>
      <c r="AQ3" s="950" t="s">
        <v>613</v>
      </c>
      <c r="AR3" s="949" t="s">
        <v>614</v>
      </c>
      <c r="AS3" s="949" t="s">
        <v>615</v>
      </c>
      <c r="AT3" s="950" t="s">
        <v>616</v>
      </c>
      <c r="AU3" s="949" t="s">
        <v>617</v>
      </c>
      <c r="AV3" s="949" t="s">
        <v>618</v>
      </c>
      <c r="AW3" s="1239"/>
      <c r="AX3" s="1239"/>
      <c r="AY3" s="455"/>
      <c r="AZ3" s="455"/>
      <c r="BA3" s="1239"/>
      <c r="BB3" s="1239"/>
      <c r="BD3" s="1239"/>
      <c r="BE3" s="1239"/>
      <c r="BF3" s="1239"/>
      <c r="BG3" s="1239"/>
    </row>
    <row r="4" spans="1:59" ht="15.75" customHeight="1">
      <c r="A4" s="501">
        <f>'HR Track 6 HER'!A104</f>
        <v>0</v>
      </c>
      <c r="B4" s="716" t="str">
        <f>'HR Track 6 HER'!B104</f>
        <v>84-6.19</v>
      </c>
      <c r="C4" s="451">
        <f>'HR Track 6 HER'!C104</f>
        <v>84920.809999999983</v>
      </c>
      <c r="D4" s="453">
        <f>'HR Track 6 HER'!D104</f>
        <v>0</v>
      </c>
      <c r="E4" s="452">
        <f>'HR Track 6 HER'!E104</f>
        <v>0</v>
      </c>
      <c r="F4" s="453">
        <f>'HR Track 6 HER'!F104</f>
        <v>0</v>
      </c>
      <c r="G4" s="500">
        <f>'HR Track 6 HER'!G104</f>
        <v>0</v>
      </c>
      <c r="H4" s="453" t="str">
        <f>'HR Track 6 HER'!H104</f>
        <v>A/S-Diag A/S</v>
      </c>
      <c r="I4" s="501" t="str">
        <f>'HR Track 6 HER'!I104</f>
        <v>CP+AnMC</v>
      </c>
      <c r="J4" s="583">
        <f>'HR Track 6 HER'!J104</f>
        <v>0</v>
      </c>
      <c r="K4" s="452">
        <f>'HR Track 6 HER'!K104</f>
        <v>0</v>
      </c>
      <c r="L4" s="452" t="str">
        <f>'HR Track 6 HER'!L104</f>
        <v>2HEB-260</v>
      </c>
      <c r="M4" s="452" t="str">
        <f>'HR Track 6 HER'!M104</f>
        <v>2C4R</v>
      </c>
      <c r="N4" s="501" t="str">
        <f>'HR Track 6 HER'!N104</f>
        <v>EMT-2</v>
      </c>
      <c r="O4" s="501" t="str">
        <f>'HR Track 6 HER'!O104</f>
        <v>EMT-T</v>
      </c>
      <c r="P4" s="501">
        <f>'HR Track 6 HER'!P104</f>
        <v>0</v>
      </c>
      <c r="Q4" s="452">
        <f>'HR Track 6 HER'!Q104</f>
        <v>0</v>
      </c>
      <c r="R4" s="452">
        <f>'HR Track 6 HER'!R104</f>
        <v>0</v>
      </c>
      <c r="S4" s="500">
        <f>'HR Track 6 HER'!S104</f>
        <v>0</v>
      </c>
      <c r="T4" s="452">
        <f>'HR Track 6 HER'!T104</f>
        <v>35</v>
      </c>
      <c r="U4" s="452">
        <f>'HR Track 6 HER'!U104</f>
        <v>-45</v>
      </c>
      <c r="V4" s="452">
        <f>'HR Track 6 HER'!V104</f>
        <v>0</v>
      </c>
      <c r="W4" s="452">
        <f>'HR Track 6 HER'!W104</f>
        <v>1.4</v>
      </c>
      <c r="X4" s="452">
        <f>'HR Track 6 HER'!X104</f>
        <v>1.8</v>
      </c>
      <c r="Y4" s="452">
        <f>'HR Track 6 HER'!Y104</f>
        <v>0</v>
      </c>
      <c r="Z4" s="452">
        <f>'HR Track 6 HER'!Z104</f>
        <v>0</v>
      </c>
      <c r="AA4" s="452">
        <f>'HR Track 6 HER'!AA104</f>
        <v>0.6</v>
      </c>
      <c r="AB4" s="452">
        <f>'HR Track 6 HER'!AB104</f>
        <v>0</v>
      </c>
      <c r="AC4" s="452" t="str">
        <f>'HR Track 6 HER'!AC104</f>
        <v>PH-Q</v>
      </c>
      <c r="AD4" s="452">
        <f>'HR Track 6 HER'!AD104</f>
        <v>0</v>
      </c>
      <c r="AE4" s="452">
        <f>'HR Track 6 HER'!AE104</f>
        <v>0</v>
      </c>
      <c r="AF4" s="452">
        <f>'HR Track 6 HER'!AF104</f>
        <v>0</v>
      </c>
      <c r="AG4" s="451">
        <f>'HR Track 6 HER'!AG104</f>
        <v>0</v>
      </c>
      <c r="AH4" s="452">
        <f>'HR Track 6 HER'!AH104</f>
        <v>0</v>
      </c>
      <c r="AI4" s="452">
        <f>'HR Track 6 HER'!AI104</f>
        <v>0</v>
      </c>
      <c r="AJ4" s="452">
        <f>'HR Track 6 HER'!AJ104</f>
        <v>0</v>
      </c>
      <c r="AK4" s="452">
        <f>'HR Track 6 HER'!AK104</f>
        <v>0</v>
      </c>
      <c r="AL4" s="452">
        <f>'HR Track 6 HER'!AL104</f>
        <v>0</v>
      </c>
      <c r="AM4" s="452" t="str">
        <f>'HR Track 6 HER'!AM104</f>
        <v>RW1</v>
      </c>
      <c r="AN4" s="500">
        <f>'HR Track 6 HER'!AN104</f>
        <v>5.5</v>
      </c>
      <c r="AO4" s="452">
        <f>'HR Track 6 HER'!AO104</f>
        <v>0</v>
      </c>
      <c r="AP4" s="452">
        <f>'HR Track 6 HER'!AP104</f>
        <v>0</v>
      </c>
      <c r="AQ4" s="452">
        <f>'HR Track 6 HER'!AQ104</f>
        <v>0</v>
      </c>
      <c r="AR4" s="452">
        <f>'HR Track 6 HER'!AR104</f>
        <v>0</v>
      </c>
      <c r="AS4" s="452">
        <f>'HR Track 6 HER'!AS104</f>
        <v>0</v>
      </c>
      <c r="AT4" s="452">
        <f>'HR Track 6 HER'!AT104</f>
        <v>6.5319761564443111</v>
      </c>
      <c r="AU4" s="452">
        <f>'HR Track 6 HER'!AU104</f>
        <v>0</v>
      </c>
      <c r="AV4" s="452">
        <f>'HR Track 6 HER'!AV104</f>
        <v>0</v>
      </c>
      <c r="AW4" s="452" t="str">
        <f>'HR Track 6 HER'!AW104</f>
        <v>Soil B</v>
      </c>
      <c r="AX4" s="452" t="str">
        <f>'HR Track 6 HER'!AX104</f>
        <v>PT</v>
      </c>
      <c r="AY4" s="500">
        <f>'HR Track 6 HER'!AY104</f>
        <v>4</v>
      </c>
      <c r="AZ4" s="500">
        <f>'HR Track 6 HER'!AZ104</f>
        <v>0</v>
      </c>
      <c r="BA4" s="1333" t="str">
        <f>'HR Track 6 HER'!BA104</f>
        <v>ü</v>
      </c>
      <c r="BB4" s="452" t="str">
        <f>'HR Track 6 HER'!BB104</f>
        <v>App.7.1-V01-P9.5.1.7</v>
      </c>
      <c r="BC4" s="1334">
        <f>'HR Track 6 HER'!BC104</f>
        <v>0</v>
      </c>
      <c r="BD4" s="1335">
        <f>'HR Track 6 HER'!BD104</f>
        <v>0</v>
      </c>
      <c r="BE4" s="1335">
        <f>'HR Track 6 HER'!BE104</f>
        <v>0</v>
      </c>
      <c r="BF4" s="1335">
        <f>'HR Track 6 HER'!BF104</f>
        <v>0</v>
      </c>
      <c r="BG4" s="1335">
        <f>'HR Track 6 HER'!BG104</f>
        <v>0</v>
      </c>
    </row>
    <row r="5" spans="1:59" ht="15.75" customHeight="1">
      <c r="A5" s="501">
        <f>'HR Track 6 HER'!A105</f>
        <v>0</v>
      </c>
      <c r="B5" s="716">
        <f>'HR Track 6 HER'!B105</f>
        <v>0</v>
      </c>
      <c r="C5" s="451">
        <f>'HR Track 6 HER'!C105</f>
        <v>0</v>
      </c>
      <c r="D5" s="453">
        <f>'HR Track 6 HER'!D105</f>
        <v>0</v>
      </c>
      <c r="E5" s="452">
        <f>'HR Track 6 HER'!E105</f>
        <v>0</v>
      </c>
      <c r="F5" s="453">
        <f>'HR Track 6 HER'!F105</f>
        <v>0</v>
      </c>
      <c r="G5" s="500">
        <f>'HR Track 6 HER'!G105</f>
        <v>50</v>
      </c>
      <c r="H5" s="453">
        <f>'HR Track 6 HER'!H105</f>
        <v>0</v>
      </c>
      <c r="I5" s="501" t="str">
        <f>'HR Track 6 HER'!I105</f>
        <v>CP+AnMC</v>
      </c>
      <c r="J5" s="583">
        <f>'HR Track 6 HER'!J105</f>
        <v>0</v>
      </c>
      <c r="K5" s="452">
        <f>'HR Track 6 HER'!K105</f>
        <v>0</v>
      </c>
      <c r="L5" s="452">
        <f>'HR Track 6 HER'!L105</f>
        <v>0</v>
      </c>
      <c r="M5" s="452">
        <f>'HR Track 6 HER'!M105</f>
        <v>0</v>
      </c>
      <c r="N5" s="501">
        <f>'HR Track 6 HER'!N105</f>
        <v>0</v>
      </c>
      <c r="O5" s="501">
        <f>'HR Track 6 HER'!O105</f>
        <v>0</v>
      </c>
      <c r="P5" s="501">
        <f>'HR Track 6 HER'!P105</f>
        <v>0</v>
      </c>
      <c r="Q5" s="452">
        <f>'HR Track 6 HER'!Q105</f>
        <v>0</v>
      </c>
      <c r="R5" s="452">
        <f>'HR Track 6 HER'!R105</f>
        <v>0</v>
      </c>
      <c r="S5" s="500">
        <f>'HR Track 6 HER'!S105</f>
        <v>0</v>
      </c>
      <c r="T5" s="452">
        <f>'HR Track 6 HER'!T105</f>
        <v>0</v>
      </c>
      <c r="U5" s="452">
        <f>'HR Track 6 HER'!U105</f>
        <v>0</v>
      </c>
      <c r="V5" s="452">
        <f>'HR Track 6 HER'!V105</f>
        <v>0</v>
      </c>
      <c r="W5" s="452">
        <f>'HR Track 6 HER'!W105</f>
        <v>0</v>
      </c>
      <c r="X5" s="452">
        <f>'HR Track 6 HER'!X105</f>
        <v>0</v>
      </c>
      <c r="Y5" s="452">
        <f>'HR Track 6 HER'!Y105</f>
        <v>0</v>
      </c>
      <c r="Z5" s="452">
        <f>'HR Track 6 HER'!Z105</f>
        <v>0</v>
      </c>
      <c r="AA5" s="452">
        <f>'HR Track 6 HER'!AA105</f>
        <v>0</v>
      </c>
      <c r="AB5" s="452">
        <f>'HR Track 6 HER'!AB105</f>
        <v>0</v>
      </c>
      <c r="AC5" s="452">
        <f>'HR Track 6 HER'!AC105</f>
        <v>0</v>
      </c>
      <c r="AD5" s="452">
        <f>'HR Track 6 HER'!AD105</f>
        <v>0</v>
      </c>
      <c r="AE5" s="452">
        <f>'HR Track 6 HER'!AE105</f>
        <v>0</v>
      </c>
      <c r="AF5" s="452">
        <f>'HR Track 6 HER'!AF105</f>
        <v>0</v>
      </c>
      <c r="AG5" s="451">
        <f>'HR Track 6 HER'!AG105</f>
        <v>0</v>
      </c>
      <c r="AH5" s="452">
        <f>'HR Track 6 HER'!AH105</f>
        <v>0</v>
      </c>
      <c r="AI5" s="452">
        <f>'HR Track 6 HER'!AI105</f>
        <v>0</v>
      </c>
      <c r="AJ5" s="452">
        <f>'HR Track 6 HER'!AJ105</f>
        <v>0</v>
      </c>
      <c r="AK5" s="452">
        <f>'HR Track 6 HER'!AK105</f>
        <v>0</v>
      </c>
      <c r="AL5" s="452">
        <f>'HR Track 6 HER'!AL105</f>
        <v>0</v>
      </c>
      <c r="AM5" s="452">
        <f>'HR Track 6 HER'!AM105</f>
        <v>0</v>
      </c>
      <c r="AN5" s="500">
        <f>'HR Track 6 HER'!AN105</f>
        <v>0</v>
      </c>
      <c r="AO5" s="452">
        <f>'HR Track 6 HER'!AO105</f>
        <v>0</v>
      </c>
      <c r="AP5" s="452">
        <f>'HR Track 6 HER'!AP105</f>
        <v>0</v>
      </c>
      <c r="AQ5" s="452">
        <f>'HR Track 6 HER'!AQ105</f>
        <v>0.37593390799999998</v>
      </c>
      <c r="AR5" s="452">
        <f>'HR Track 6 HER'!AR105</f>
        <v>0</v>
      </c>
      <c r="AS5" s="452">
        <f>'HR Track 6 HER'!AS105</f>
        <v>0</v>
      </c>
      <c r="AT5" s="452">
        <f>'HR Track 6 HER'!AT105</f>
        <v>0</v>
      </c>
      <c r="AU5" s="452">
        <f>'HR Track 6 HER'!AU105</f>
        <v>0</v>
      </c>
      <c r="AV5" s="452">
        <f>'HR Track 6 HER'!AV105</f>
        <v>0</v>
      </c>
      <c r="AW5" s="452">
        <f>'HR Track 6 HER'!AW105</f>
        <v>0</v>
      </c>
      <c r="AX5" s="452">
        <f>'HR Track 6 HER'!AX105</f>
        <v>0</v>
      </c>
      <c r="AY5" s="500">
        <f>'HR Track 6 HER'!AY105</f>
        <v>0</v>
      </c>
      <c r="AZ5" s="500">
        <f>'HR Track 6 HER'!AZ105</f>
        <v>0</v>
      </c>
      <c r="BA5" s="1333">
        <f>'HR Track 6 HER'!BA105</f>
        <v>0</v>
      </c>
      <c r="BB5" s="452">
        <f>'HR Track 6 HER'!BB105</f>
        <v>0</v>
      </c>
      <c r="BC5" s="1334">
        <f>'HR Track 6 HER'!BC105</f>
        <v>0</v>
      </c>
      <c r="BD5" s="1335">
        <f>'HR Track 6 HER'!BD105</f>
        <v>0</v>
      </c>
      <c r="BE5" s="1335">
        <f>'HR Track 6 HER'!BE105</f>
        <v>0</v>
      </c>
      <c r="BF5" s="1335">
        <f>'HR Track 6 HER'!BF105</f>
        <v>0</v>
      </c>
      <c r="BG5" s="1335">
        <f>'HR Track 6 HER'!BG105</f>
        <v>0</v>
      </c>
    </row>
    <row r="6" spans="1:59" ht="15.75" customHeight="1">
      <c r="A6" s="501" t="str">
        <f>'HR Track 6 HER'!A106</f>
        <v>HER-20</v>
      </c>
      <c r="B6" s="716" t="str">
        <f>'HR Track 6 HER'!B106</f>
        <v>84-6.20</v>
      </c>
      <c r="C6" s="451">
        <f>'HR Track 6 HER'!C106</f>
        <v>84970.809999999983</v>
      </c>
      <c r="D6" s="453">
        <f>'HR Track 6 HER'!D106</f>
        <v>0</v>
      </c>
      <c r="E6" s="452">
        <f>'HR Track 6 HER'!E106</f>
        <v>0</v>
      </c>
      <c r="F6" s="453">
        <f>'HR Track 6 HER'!F106</f>
        <v>0</v>
      </c>
      <c r="G6" s="500">
        <f>'HR Track 6 HER'!G106</f>
        <v>0</v>
      </c>
      <c r="H6" s="453" t="str">
        <f>'HR Track 6 HER'!H106</f>
        <v xml:space="preserve"> S/A</v>
      </c>
      <c r="I6" s="501" t="str">
        <f>'HR Track 6 HER'!I106</f>
        <v>IO</v>
      </c>
      <c r="J6" s="583">
        <f>'HR Track 6 HER'!J106</f>
        <v>0</v>
      </c>
      <c r="K6" s="452">
        <f>'HR Track 6 HER'!K106</f>
        <v>0</v>
      </c>
      <c r="L6" s="452" t="str">
        <f>'HR Track 6 HER'!L106</f>
        <v>2HEB-240L</v>
      </c>
      <c r="M6" s="452" t="str">
        <f>'HR Track 6 HER'!M106</f>
        <v>2C3R</v>
      </c>
      <c r="N6" s="501" t="str">
        <f>'HR Track 6 HER'!N106</f>
        <v>EMT-T</v>
      </c>
      <c r="O6" s="501" t="str">
        <f>'HR Track 6 HER'!O106</f>
        <v>EMT-1</v>
      </c>
      <c r="P6" s="501">
        <f>'HR Track 6 HER'!P106</f>
        <v>0</v>
      </c>
      <c r="Q6" s="452">
        <f>'HR Track 6 HER'!Q106</f>
        <v>0</v>
      </c>
      <c r="R6" s="452">
        <f>'HR Track 6 HER'!R106</f>
        <v>0</v>
      </c>
      <c r="S6" s="500">
        <f>'HR Track 6 HER'!S106</f>
        <v>0</v>
      </c>
      <c r="T6" s="452">
        <f>'HR Track 6 HER'!T106</f>
        <v>15</v>
      </c>
      <c r="U6" s="452">
        <f>'HR Track 6 HER'!U106</f>
        <v>-30</v>
      </c>
      <c r="V6" s="452">
        <f>'HR Track 6 HER'!V106</f>
        <v>0</v>
      </c>
      <c r="W6" s="452">
        <f>'HR Track 6 HER'!W106</f>
        <v>1.4</v>
      </c>
      <c r="X6" s="452">
        <f>'HR Track 6 HER'!X106</f>
        <v>2.2999999999999998</v>
      </c>
      <c r="Y6" s="452">
        <f>'HR Track 6 HER'!Y106</f>
        <v>0</v>
      </c>
      <c r="Z6" s="452">
        <f>'HR Track 6 HER'!Z106</f>
        <v>0.45</v>
      </c>
      <c r="AA6" s="452">
        <f>'HR Track 6 HER'!AA106</f>
        <v>0</v>
      </c>
      <c r="AB6" s="452">
        <f>'HR Track 6 HER'!AB106</f>
        <v>0</v>
      </c>
      <c r="AC6" s="452" t="str">
        <f>'HR Track 6 HER'!AC106</f>
        <v>PH-Q</v>
      </c>
      <c r="AD6" s="452">
        <f>'HR Track 6 HER'!AD106</f>
        <v>0</v>
      </c>
      <c r="AE6" s="452">
        <f>'HR Track 6 HER'!AE106</f>
        <v>0</v>
      </c>
      <c r="AF6" s="452">
        <f>'HR Track 6 HER'!AF106</f>
        <v>0</v>
      </c>
      <c r="AG6" s="451">
        <f>'HR Track 6 HER'!AG106</f>
        <v>0</v>
      </c>
      <c r="AH6" s="452">
        <f>'HR Track 6 HER'!AH106</f>
        <v>0</v>
      </c>
      <c r="AI6" s="452">
        <f>'HR Track 6 HER'!AI106</f>
        <v>0</v>
      </c>
      <c r="AJ6" s="452" t="str">
        <f>'HR Track 6 HER'!AJ106</f>
        <v>Disc/IO</v>
      </c>
      <c r="AK6" s="452">
        <f>'HR Track 6 HER'!AK106</f>
        <v>0</v>
      </c>
      <c r="AL6" s="452">
        <f>'HR Track 6 HER'!AL106</f>
        <v>0</v>
      </c>
      <c r="AM6" s="452" t="str">
        <f>'HR Track 6 HER'!AM106</f>
        <v>RW1</v>
      </c>
      <c r="AN6" s="500">
        <f>'HR Track 6 HER'!AN106</f>
        <v>5.5</v>
      </c>
      <c r="AO6" s="452">
        <f>'HR Track 6 HER'!AO106</f>
        <v>0</v>
      </c>
      <c r="AP6" s="452">
        <f>'HR Track 6 HER'!AP106</f>
        <v>0</v>
      </c>
      <c r="AQ6" s="452">
        <f>'HR Track 6 HER'!AQ106</f>
        <v>0</v>
      </c>
      <c r="AR6" s="452">
        <f>'HR Track 6 HER'!AR106</f>
        <v>0</v>
      </c>
      <c r="AS6" s="452">
        <f>'HR Track 6 HER'!AS106</f>
        <v>0</v>
      </c>
      <c r="AT6" s="452">
        <f>'HR Track 6 HER'!AT106</f>
        <v>-7.1500242188900875</v>
      </c>
      <c r="AU6" s="452">
        <f>'HR Track 6 HER'!AU106</f>
        <v>0</v>
      </c>
      <c r="AV6" s="452">
        <f>'HR Track 6 HER'!AV106</f>
        <v>0</v>
      </c>
      <c r="AW6" s="452" t="str">
        <f>'HR Track 6 HER'!AW106</f>
        <v>Soil B</v>
      </c>
      <c r="AX6" s="452" t="str">
        <f>'HR Track 6 HER'!AX106</f>
        <v>PT</v>
      </c>
      <c r="AY6" s="500">
        <f>'HR Track 6 HER'!AY106</f>
        <v>3.5</v>
      </c>
      <c r="AZ6" s="500">
        <f>'HR Track 6 HER'!AZ106</f>
        <v>0</v>
      </c>
      <c r="BA6" s="1333" t="str">
        <f>'HR Track 6 HER'!BA106</f>
        <v>ü</v>
      </c>
      <c r="BB6" s="452" t="str">
        <f>'HR Track 6 HER'!BB106</f>
        <v>App.7.1-V01-P9.5.1.5</v>
      </c>
      <c r="BC6" s="1334">
        <f>'HR Track 6 HER'!BC106</f>
        <v>0</v>
      </c>
      <c r="BD6" s="1335">
        <f>'HR Track 6 HER'!BD106</f>
        <v>0</v>
      </c>
      <c r="BE6" s="1335">
        <f>'HR Track 6 HER'!BE106</f>
        <v>0</v>
      </c>
      <c r="BF6" s="1335">
        <f>'HR Track 6 HER'!BF106</f>
        <v>0</v>
      </c>
      <c r="BG6" s="1335">
        <f>'HR Track 6 HER'!BG106</f>
        <v>0</v>
      </c>
    </row>
    <row r="7" spans="1:59" ht="15.75" customHeight="1">
      <c r="A7" s="501">
        <f>'HR Track 6 HER'!A107</f>
        <v>0</v>
      </c>
      <c r="B7" s="716">
        <f>'HR Track 6 HER'!B107</f>
        <v>0</v>
      </c>
      <c r="C7" s="451">
        <f>'HR Track 6 HER'!C107</f>
        <v>0</v>
      </c>
      <c r="D7" s="453">
        <f>'HR Track 6 HER'!D107</f>
        <v>0</v>
      </c>
      <c r="E7" s="452">
        <f>'HR Track 6 HER'!E107</f>
        <v>0</v>
      </c>
      <c r="F7" s="453">
        <f>'HR Track 6 HER'!F107</f>
        <v>0</v>
      </c>
      <c r="G7" s="500">
        <f>'HR Track 6 HER'!G107</f>
        <v>43.8</v>
      </c>
      <c r="H7" s="453">
        <f>'HR Track 6 HER'!H107</f>
        <v>0</v>
      </c>
      <c r="I7" s="501">
        <f>'HR Track 6 HER'!I107</f>
        <v>0</v>
      </c>
      <c r="J7" s="583">
        <f>'HR Track 6 HER'!J107</f>
        <v>0</v>
      </c>
      <c r="K7" s="452">
        <f>'HR Track 6 HER'!K107</f>
        <v>0</v>
      </c>
      <c r="L7" s="452">
        <f>'HR Track 6 HER'!L107</f>
        <v>0</v>
      </c>
      <c r="M7" s="452">
        <f>'HR Track 6 HER'!M107</f>
        <v>0</v>
      </c>
      <c r="N7" s="501">
        <f>'HR Track 6 HER'!N107</f>
        <v>0</v>
      </c>
      <c r="O7" s="501">
        <f>'HR Track 6 HER'!O107</f>
        <v>0</v>
      </c>
      <c r="P7" s="501">
        <f>'HR Track 6 HER'!P107</f>
        <v>0</v>
      </c>
      <c r="Q7" s="452">
        <f>'HR Track 6 HER'!Q107</f>
        <v>0</v>
      </c>
      <c r="R7" s="452">
        <f>'HR Track 6 HER'!R107</f>
        <v>0</v>
      </c>
      <c r="S7" s="500">
        <f>'HR Track 6 HER'!S107</f>
        <v>0</v>
      </c>
      <c r="T7" s="452">
        <f>'HR Track 6 HER'!T107</f>
        <v>0</v>
      </c>
      <c r="U7" s="452">
        <f>'HR Track 6 HER'!U107</f>
        <v>0</v>
      </c>
      <c r="V7" s="452">
        <f>'HR Track 6 HER'!V107</f>
        <v>0</v>
      </c>
      <c r="W7" s="452">
        <f>'HR Track 6 HER'!W107</f>
        <v>0</v>
      </c>
      <c r="X7" s="452">
        <f>'HR Track 6 HER'!X107</f>
        <v>0</v>
      </c>
      <c r="Y7" s="452">
        <f>'HR Track 6 HER'!Y107</f>
        <v>0</v>
      </c>
      <c r="Z7" s="452">
        <f>'HR Track 6 HER'!Z107</f>
        <v>0</v>
      </c>
      <c r="AA7" s="452">
        <f>'HR Track 6 HER'!AA107</f>
        <v>0</v>
      </c>
      <c r="AB7" s="452">
        <f>'HR Track 6 HER'!AB107</f>
        <v>0</v>
      </c>
      <c r="AC7" s="452">
        <f>'HR Track 6 HER'!AC107</f>
        <v>0</v>
      </c>
      <c r="AD7" s="452">
        <f>'HR Track 6 HER'!AD107</f>
        <v>0</v>
      </c>
      <c r="AE7" s="452">
        <f>'HR Track 6 HER'!AE107</f>
        <v>0</v>
      </c>
      <c r="AF7" s="452">
        <f>'HR Track 6 HER'!AF107</f>
        <v>0</v>
      </c>
      <c r="AG7" s="451">
        <f>'HR Track 6 HER'!AG107</f>
        <v>0</v>
      </c>
      <c r="AH7" s="452">
        <f>'HR Track 6 HER'!AH107</f>
        <v>0</v>
      </c>
      <c r="AI7" s="452">
        <f>'HR Track 6 HER'!AI107</f>
        <v>0</v>
      </c>
      <c r="AJ7" s="452">
        <f>'HR Track 6 HER'!AJ107</f>
        <v>0</v>
      </c>
      <c r="AK7" s="452">
        <f>'HR Track 6 HER'!AK107</f>
        <v>0</v>
      </c>
      <c r="AL7" s="452">
        <f>'HR Track 6 HER'!AL107</f>
        <v>0</v>
      </c>
      <c r="AM7" s="452">
        <f>'HR Track 6 HER'!AM107</f>
        <v>0</v>
      </c>
      <c r="AN7" s="500">
        <f>'HR Track 6 HER'!AN107</f>
        <v>0</v>
      </c>
      <c r="AO7" s="452">
        <f>'HR Track 6 HER'!AO107</f>
        <v>0</v>
      </c>
      <c r="AP7" s="452">
        <f>'HR Track 6 HER'!AP107</f>
        <v>0</v>
      </c>
      <c r="AQ7" s="452">
        <f>'HR Track 6 HER'!AQ107</f>
        <v>-3.196786178995438E-2</v>
      </c>
      <c r="AR7" s="452">
        <f>'HR Track 6 HER'!AR107</f>
        <v>0</v>
      </c>
      <c r="AS7" s="452">
        <f>'HR Track 6 HER'!AS107</f>
        <v>0</v>
      </c>
      <c r="AT7" s="452">
        <f>'HR Track 6 HER'!AT107</f>
        <v>0</v>
      </c>
      <c r="AU7" s="452">
        <f>'HR Track 6 HER'!AU107</f>
        <v>0</v>
      </c>
      <c r="AV7" s="452">
        <f>'HR Track 6 HER'!AV107</f>
        <v>0</v>
      </c>
      <c r="AW7" s="452">
        <f>'HR Track 6 HER'!AW107</f>
        <v>0</v>
      </c>
      <c r="AX7" s="452">
        <f>'HR Track 6 HER'!AX107</f>
        <v>0</v>
      </c>
      <c r="AY7" s="500">
        <f>'HR Track 6 HER'!AY107</f>
        <v>0</v>
      </c>
      <c r="AZ7" s="500" t="str">
        <f>'HR Track 6 HER'!AZ107</f>
        <v/>
      </c>
      <c r="BA7" s="1333">
        <f>'HR Track 6 HER'!BA107</f>
        <v>0</v>
      </c>
      <c r="BB7" s="452">
        <f>'HR Track 6 HER'!BB107</f>
        <v>0</v>
      </c>
      <c r="BC7" s="1334">
        <f>'HR Track 6 HER'!BC107</f>
        <v>0</v>
      </c>
      <c r="BD7" s="1335">
        <f>'HR Track 6 HER'!BD107</f>
        <v>0</v>
      </c>
      <c r="BE7" s="1335">
        <f>'HR Track 6 HER'!BE107</f>
        <v>0</v>
      </c>
      <c r="BF7" s="1335">
        <f>'HR Track 6 HER'!BF107</f>
        <v>0</v>
      </c>
      <c r="BG7" s="1335">
        <f>'HR Track 6 HER'!BG107</f>
        <v>0</v>
      </c>
    </row>
    <row r="8" spans="1:59" ht="15.75" customHeight="1">
      <c r="A8" s="501">
        <f>'HR Track 6 HER'!A108</f>
        <v>0</v>
      </c>
      <c r="B8" s="716" t="str">
        <f>'HR Track 6 HER'!B108</f>
        <v>85-6.01</v>
      </c>
      <c r="C8" s="451">
        <f>'HR Track 6 HER'!C108</f>
        <v>85015.569999999992</v>
      </c>
      <c r="D8" s="453">
        <f>'HR Track 6 HER'!D108</f>
        <v>0</v>
      </c>
      <c r="E8" s="452">
        <f>'HR Track 6 HER'!E108</f>
        <v>0</v>
      </c>
      <c r="F8" s="453">
        <f>'HR Track 6 HER'!F108</f>
        <v>0</v>
      </c>
      <c r="G8" s="500">
        <f>'HR Track 6 HER'!G108</f>
        <v>0</v>
      </c>
      <c r="H8" s="453" t="str">
        <f>'HR Track 6 HER'!H108</f>
        <v>S/A</v>
      </c>
      <c r="I8" s="501">
        <f>'HR Track 6 HER'!I108</f>
        <v>0</v>
      </c>
      <c r="J8" s="583">
        <f>'HR Track 6 HER'!J108</f>
        <v>0</v>
      </c>
      <c r="K8" s="452">
        <f>'HR Track 6 HER'!K108</f>
        <v>0</v>
      </c>
      <c r="L8" s="452" t="str">
        <f>'HR Track 6 HER'!L108</f>
        <v>2HEB-240</v>
      </c>
      <c r="M8" s="452" t="str">
        <f>'HR Track 6 HER'!M108</f>
        <v>2C3R</v>
      </c>
      <c r="N8" s="501" t="str">
        <f>'HR Track 6 HER'!N108</f>
        <v>EMT-2</v>
      </c>
      <c r="O8" s="501" t="str">
        <f>'HR Track 6 HER'!O108</f>
        <v>EMT-T</v>
      </c>
      <c r="P8" s="501">
        <f>'HR Track 6 HER'!P108</f>
        <v>0</v>
      </c>
      <c r="Q8" s="452">
        <f>'HR Track 6 HER'!Q108</f>
        <v>0</v>
      </c>
      <c r="R8" s="452">
        <f>'HR Track 6 HER'!R108</f>
        <v>0</v>
      </c>
      <c r="S8" s="500">
        <f>'HR Track 6 HER'!S108</f>
        <v>0</v>
      </c>
      <c r="T8" s="452">
        <f>'HR Track 6 HER'!T108</f>
        <v>30</v>
      </c>
      <c r="U8" s="452">
        <f>'HR Track 6 HER'!U108</f>
        <v>-15</v>
      </c>
      <c r="V8" s="452">
        <f>'HR Track 6 HER'!V108</f>
        <v>0</v>
      </c>
      <c r="W8" s="452">
        <f>'HR Track 6 HER'!W108</f>
        <v>1.4</v>
      </c>
      <c r="X8" s="452">
        <f>'HR Track 6 HER'!X108</f>
        <v>2.2999999999999998</v>
      </c>
      <c r="Y8" s="452">
        <f>'HR Track 6 HER'!Y108</f>
        <v>0</v>
      </c>
      <c r="Z8" s="452">
        <f>'HR Track 6 HER'!Z108</f>
        <v>0</v>
      </c>
      <c r="AA8" s="452">
        <f>'HR Track 6 HER'!AA108</f>
        <v>0.45</v>
      </c>
      <c r="AB8" s="452">
        <f>'HR Track 6 HER'!AB108</f>
        <v>0</v>
      </c>
      <c r="AC8" s="452" t="str">
        <f>'HR Track 6 HER'!AC108</f>
        <v>PH</v>
      </c>
      <c r="AD8" s="452">
        <f>'HR Track 6 HER'!AD108</f>
        <v>0</v>
      </c>
      <c r="AE8" s="452">
        <f>'HR Track 6 HER'!AE108</f>
        <v>0</v>
      </c>
      <c r="AF8" s="452">
        <f>'HR Track 6 HER'!AF108</f>
        <v>0</v>
      </c>
      <c r="AG8" s="451">
        <f>'HR Track 6 HER'!AG108</f>
        <v>0</v>
      </c>
      <c r="AH8" s="452">
        <f>'HR Track 6 HER'!AH108</f>
        <v>0</v>
      </c>
      <c r="AI8" s="452">
        <f>'HR Track 6 HER'!AI108</f>
        <v>0</v>
      </c>
      <c r="AJ8" s="452">
        <f>'HR Track 6 HER'!AJ108</f>
        <v>0</v>
      </c>
      <c r="AK8" s="452">
        <f>'HR Track 6 HER'!AK108</f>
        <v>0</v>
      </c>
      <c r="AL8" s="452">
        <f>'HR Track 6 HER'!AL108</f>
        <v>0</v>
      </c>
      <c r="AM8" s="452" t="str">
        <f>'HR Track 6 HER'!AM108</f>
        <v>RW1</v>
      </c>
      <c r="AN8" s="500">
        <f>'HR Track 6 HER'!AN108</f>
        <v>5.5</v>
      </c>
      <c r="AO8" s="452">
        <f>'HR Track 6 HER'!AO108</f>
        <v>0</v>
      </c>
      <c r="AP8" s="452">
        <f>'HR Track 6 HER'!AP108</f>
        <v>0</v>
      </c>
      <c r="AQ8" s="452">
        <f>'HR Track 6 HER'!AQ108</f>
        <v>0</v>
      </c>
      <c r="AR8" s="452">
        <f>'HR Track 6 HER'!AR108</f>
        <v>0</v>
      </c>
      <c r="AS8" s="452">
        <f>'HR Track 6 HER'!AS108</f>
        <v>0</v>
      </c>
      <c r="AT8" s="452">
        <f>'HR Track 6 HER'!AT108</f>
        <v>11.525170121415851</v>
      </c>
      <c r="AU8" s="452">
        <f>'HR Track 6 HER'!AU108</f>
        <v>0</v>
      </c>
      <c r="AV8" s="452">
        <f>'HR Track 6 HER'!AV108</f>
        <v>0</v>
      </c>
      <c r="AW8" s="452" t="str">
        <f>'HR Track 6 HER'!AW108</f>
        <v>Soil B</v>
      </c>
      <c r="AX8" s="452" t="str">
        <f>'HR Track 6 HER'!AX108</f>
        <v>PT</v>
      </c>
      <c r="AY8" s="500">
        <f>'HR Track 6 HER'!AY108</f>
        <v>3.5</v>
      </c>
      <c r="AZ8" s="500">
        <f>'HR Track 6 HER'!AZ108</f>
        <v>0</v>
      </c>
      <c r="BA8" s="1333" t="str">
        <f>'HR Track 6 HER'!BA108</f>
        <v>ü</v>
      </c>
      <c r="BB8" s="452" t="str">
        <f>'HR Track 6 HER'!BB108</f>
        <v>App.7.1-V01-P9.5.1.5</v>
      </c>
      <c r="BC8" s="1334">
        <f>'HR Track 6 HER'!BC108</f>
        <v>0</v>
      </c>
      <c r="BD8" s="1335">
        <f>'HR Track 6 HER'!BD108</f>
        <v>0</v>
      </c>
      <c r="BE8" s="1335">
        <f>'HR Track 6 HER'!BE108</f>
        <v>0</v>
      </c>
      <c r="BF8" s="1335">
        <f>'HR Track 6 HER'!BF108</f>
        <v>0</v>
      </c>
      <c r="BG8" s="1335">
        <f>'HR Track 6 HER'!BG108</f>
        <v>0</v>
      </c>
    </row>
    <row r="9" spans="1:59" ht="15.75" customHeight="1">
      <c r="A9" s="501"/>
      <c r="B9" s="716"/>
      <c r="C9" s="451"/>
      <c r="D9" s="453"/>
      <c r="E9" s="452"/>
      <c r="F9" s="453"/>
      <c r="G9" s="500">
        <f>'HR Track 6 HER'!G109</f>
        <v>50</v>
      </c>
      <c r="H9" s="453"/>
      <c r="I9" s="501"/>
      <c r="J9" s="583"/>
      <c r="K9" s="452"/>
      <c r="L9" s="452"/>
      <c r="M9" s="452"/>
      <c r="N9" s="501"/>
      <c r="O9" s="501"/>
      <c r="P9" s="501"/>
      <c r="Q9" s="452"/>
      <c r="R9" s="452"/>
      <c r="S9" s="500">
        <f>AG10-AG8</f>
        <v>85065</v>
      </c>
      <c r="T9" s="452"/>
      <c r="U9" s="452"/>
      <c r="V9" s="452"/>
      <c r="W9" s="452"/>
      <c r="X9" s="452"/>
      <c r="Y9" s="452"/>
      <c r="Z9" s="452"/>
      <c r="AA9" s="452"/>
      <c r="AB9" s="452"/>
      <c r="AC9" s="452"/>
      <c r="AD9" s="452"/>
      <c r="AE9" s="452"/>
      <c r="AF9" s="452"/>
      <c r="AG9" s="451"/>
      <c r="AH9" s="452"/>
      <c r="AI9" s="452"/>
      <c r="AJ9" s="452"/>
      <c r="AK9" s="452"/>
      <c r="AL9" s="452"/>
      <c r="AM9" s="452"/>
      <c r="AN9" s="500"/>
      <c r="AO9" s="452"/>
      <c r="AP9" s="452"/>
      <c r="AQ9" s="452">
        <f>+FL_2($T$10,$T$8,$G$9,1200,9.28, 1*$F$10)</f>
        <v>-0.37593390799999998</v>
      </c>
      <c r="AR9" s="452"/>
      <c r="AS9" s="452"/>
      <c r="AT9" s="452"/>
      <c r="AU9" s="452"/>
      <c r="AV9" s="452"/>
      <c r="AW9" s="452"/>
      <c r="AX9" s="452"/>
      <c r="AY9" s="500"/>
      <c r="AZ9" s="500"/>
      <c r="BA9" s="1333"/>
      <c r="BB9" s="452"/>
      <c r="BC9" s="1334"/>
      <c r="BD9" s="1335"/>
      <c r="BE9" s="1335"/>
      <c r="BF9" s="1335"/>
      <c r="BG9" s="1335"/>
    </row>
    <row r="10" spans="1:59" ht="15.75" customHeight="1">
      <c r="A10" s="1239"/>
      <c r="B10" s="1239" t="s">
        <v>3333</v>
      </c>
      <c r="C10" s="171">
        <v>85065.57</v>
      </c>
      <c r="D10" s="1239"/>
      <c r="E10" s="1239"/>
      <c r="F10" s="448">
        <v>0</v>
      </c>
      <c r="G10" s="455"/>
      <c r="H10" s="1239" t="s">
        <v>138</v>
      </c>
      <c r="I10" s="448" t="s">
        <v>624</v>
      </c>
      <c r="J10" s="171"/>
      <c r="K10" s="1239"/>
      <c r="L10" s="1239" t="s">
        <v>898</v>
      </c>
      <c r="M10" s="1239" t="str">
        <f>IF(AX10="PT",VLOOKUP(L10,'Foundation Calculation'!$V$2:$X$40,VLOOKUP(AX10,'Foundation Calculation'!$I$10:$J$13,2,FALSE),0),IF(AX10="K",VLOOKUP(L10,'Foundation Calculation'!$V$42:$X$80,VLOOKUP(AX10,'Foundation Calculation'!$I$10:$J$13,2,FALSE),0),""))</f>
        <v>C4R</v>
      </c>
      <c r="N10" s="1239" t="s">
        <v>143</v>
      </c>
      <c r="O10" s="1239"/>
      <c r="P10" s="1239"/>
      <c r="Q10" s="1239">
        <v>0</v>
      </c>
      <c r="R10" s="1239">
        <v>0</v>
      </c>
      <c r="S10" s="455"/>
      <c r="T10" s="1239">
        <v>-35</v>
      </c>
      <c r="U10" s="1239"/>
      <c r="V10" s="1239"/>
      <c r="W10" s="1239">
        <v>1.4</v>
      </c>
      <c r="X10" s="1239"/>
      <c r="Y10" s="1239"/>
      <c r="Z10" s="1239"/>
      <c r="AA10" s="1239"/>
      <c r="AB10" s="1239"/>
      <c r="AC10" s="1285" t="s">
        <v>4090</v>
      </c>
      <c r="AD10" s="1239"/>
      <c r="AE10" s="1239"/>
      <c r="AF10" s="1285">
        <v>6000</v>
      </c>
      <c r="AG10" s="171">
        <v>85065</v>
      </c>
      <c r="AH10" s="1239">
        <v>2243</v>
      </c>
      <c r="AI10" s="1239">
        <v>530</v>
      </c>
      <c r="AJ10" s="1239"/>
      <c r="AK10" s="1239"/>
      <c r="AL10" s="1239"/>
      <c r="AM10" s="1239" t="s">
        <v>1042</v>
      </c>
      <c r="AN10" s="455">
        <v>5.5</v>
      </c>
      <c r="AO10" s="1239"/>
      <c r="AP10" s="1239"/>
      <c r="AQ10" s="455"/>
      <c r="AR10" s="1239"/>
      <c r="AS10" s="1239"/>
      <c r="AT10" s="455">
        <f>+ab($T$10,$T$8,$T$12,$G$9,$G$11, 1*$F$10,1200)</f>
        <v>-7.0710297839483092</v>
      </c>
      <c r="AU10" s="1239"/>
      <c r="AV10" s="1239"/>
      <c r="AW10" s="638" t="str">
        <f>VLOOKUP(C10,'Foundation Calculation'!$A$2:$C$33,3,1)</f>
        <v>Soil B</v>
      </c>
      <c r="AX10" s="638" t="str">
        <f>VLOOKUP(C10,'Foundation Calculation'!$E$2:$G$33,3,1)</f>
        <v>PT</v>
      </c>
      <c r="AY10" s="484">
        <f>IF(AX10="PT",VLOOKUP(L10,'Foundation Calculation'!$K$2:$R$40,VLOOKUP(AW10,'Foundation Calculation'!$I$2:$J$8,2,FALSE),0),IF(AX10="K",VLOOKUP(L10,'Foundation Calculation'!$K$42:$R$80,VLOOKUP(AW10,'Foundation Calculation'!$I$2:$J$8,2,FALSE),0),""))</f>
        <v>3.5</v>
      </c>
      <c r="AZ10" s="484"/>
      <c r="BA10" s="671" t="s">
        <v>2809</v>
      </c>
      <c r="BB10" s="1239" t="str">
        <f>Pole_Calculations!A157</f>
        <v>App.7.1-V01-P9.5.1.6</v>
      </c>
      <c r="BC10" s="169"/>
      <c r="BD10" s="1329"/>
      <c r="BE10" s="1329"/>
      <c r="BF10" s="1330"/>
      <c r="BG10" s="1329"/>
    </row>
    <row r="11" spans="1:59" ht="15.75" customHeight="1">
      <c r="A11" s="1239"/>
      <c r="B11" s="1239"/>
      <c r="C11" s="171"/>
      <c r="D11" s="1239"/>
      <c r="E11" s="1239"/>
      <c r="F11" s="448"/>
      <c r="G11" s="455">
        <v>50</v>
      </c>
      <c r="H11" s="1239"/>
      <c r="I11" s="448"/>
      <c r="J11" s="171">
        <f>C10+7.5</f>
        <v>85073.07</v>
      </c>
      <c r="K11" s="1239" t="s">
        <v>2787</v>
      </c>
      <c r="L11" s="1239"/>
      <c r="M11" s="1239"/>
      <c r="N11" s="1239"/>
      <c r="O11" s="1239"/>
      <c r="P11" s="1239"/>
      <c r="Q11" s="1239"/>
      <c r="R11" s="1239"/>
      <c r="S11" s="455">
        <f t="shared" ref="S11" si="0">AG12-AG10</f>
        <v>50</v>
      </c>
      <c r="T11" s="1239"/>
      <c r="U11" s="1239"/>
      <c r="V11" s="1239"/>
      <c r="W11" s="1239"/>
      <c r="X11" s="1239"/>
      <c r="Y11" s="1239"/>
      <c r="Z11" s="1239"/>
      <c r="AA11" s="1239"/>
      <c r="AB11" s="1239"/>
      <c r="AC11" s="1239"/>
      <c r="AD11" s="1239"/>
      <c r="AE11" s="1239"/>
      <c r="AF11" s="1239"/>
      <c r="AG11" s="171"/>
      <c r="AH11" s="1239"/>
      <c r="AI11" s="1239"/>
      <c r="AJ11" s="1239"/>
      <c r="AK11" s="1239"/>
      <c r="AL11" s="1239"/>
      <c r="AM11" s="1239"/>
      <c r="AN11" s="455"/>
      <c r="AO11" s="1239"/>
      <c r="AP11" s="1239"/>
      <c r="AQ11" s="455">
        <f>+FL_1($T$12,$T$10,$G$11,1200,9.28, 1*$F$12)</f>
        <v>0.36839079999999996</v>
      </c>
      <c r="AR11" s="1239"/>
      <c r="AS11" s="1239"/>
      <c r="AT11" s="455"/>
      <c r="AU11" s="1239"/>
      <c r="AV11" s="1239"/>
      <c r="AW11" s="638" t="str">
        <f>VLOOKUP(J11,'Foundation Calculation'!$A$2:$C$33,3,1)</f>
        <v>Soil B</v>
      </c>
      <c r="AX11" s="638" t="str">
        <f>VLOOKUP(J11,'Foundation Calculation'!$E$2:$G$33,3,1)</f>
        <v>PT</v>
      </c>
      <c r="AY11" s="502"/>
      <c r="AZ11" s="484">
        <f>IF(AX11="PT",VLOOKUP(K11,'Foundation Calculation'!$K$2:$R$40,VLOOKUP(AW11,'Foundation Calculation'!$I$2:$J$8,2,FALSE),0),IF(AX11="K",VLOOKUP(K11,'Foundation Calculation'!$K$42:$R$80,VLOOKUP(AW11,'Foundation Calculation'!$I$2:$J$8,2,FALSE),0),""))</f>
        <v>3.9</v>
      </c>
      <c r="BA11" s="671" t="s">
        <v>2809</v>
      </c>
      <c r="BB11" s="1239"/>
      <c r="BC11" s="169"/>
      <c r="BD11" s="1329"/>
      <c r="BE11" s="1330"/>
      <c r="BF11" s="1330"/>
      <c r="BG11" s="1330"/>
    </row>
    <row r="12" spans="1:59" s="1288" customFormat="1" ht="15.75" customHeight="1">
      <c r="A12" s="1285"/>
      <c r="B12" s="1349" t="s">
        <v>3334</v>
      </c>
      <c r="C12" s="1350">
        <f>+$C$10+$G$11</f>
        <v>85115.57</v>
      </c>
      <c r="D12" s="1285"/>
      <c r="E12" s="1285"/>
      <c r="F12" s="1351">
        <v>0</v>
      </c>
      <c r="G12" s="1352"/>
      <c r="H12" s="1285"/>
      <c r="I12" s="1351"/>
      <c r="J12" s="1350"/>
      <c r="K12" s="1285"/>
      <c r="L12" s="1285" t="s">
        <v>230</v>
      </c>
      <c r="M12" s="1285" t="str">
        <f>IF(AX12="PT",VLOOKUP(L12,'Foundation Calculation'!$V$2:$X$40,VLOOKUP(AX12,'Foundation Calculation'!$I$10:$J$13,2,FALSE),0),IF(AX12="K",VLOOKUP(L12,'Foundation Calculation'!$V$42:$X$80,VLOOKUP(AX12,'Foundation Calculation'!$I$10:$J$13,2,FALSE),0),""))</f>
        <v>C4R</v>
      </c>
      <c r="N12" s="1285" t="s">
        <v>144</v>
      </c>
      <c r="O12" s="1285"/>
      <c r="P12" s="1285"/>
      <c r="Q12" s="1285">
        <v>0</v>
      </c>
      <c r="R12" s="1285">
        <v>0</v>
      </c>
      <c r="S12" s="1352"/>
      <c r="T12" s="1285">
        <v>35</v>
      </c>
      <c r="U12" s="1285"/>
      <c r="V12" s="1285"/>
      <c r="W12" s="1285">
        <v>1.4</v>
      </c>
      <c r="X12" s="1285"/>
      <c r="Y12" s="1285"/>
      <c r="Z12" s="1285"/>
      <c r="AA12" s="1285"/>
      <c r="AB12" s="1285"/>
      <c r="AC12" s="1285" t="s">
        <v>4090</v>
      </c>
      <c r="AD12" s="1285"/>
      <c r="AE12" s="1285"/>
      <c r="AF12" s="1285">
        <v>6000</v>
      </c>
      <c r="AG12" s="1350">
        <v>85115</v>
      </c>
      <c r="AH12" s="1285">
        <v>2283</v>
      </c>
      <c r="AI12" s="1285">
        <v>360</v>
      </c>
      <c r="AJ12" s="1285"/>
      <c r="AK12" s="1285"/>
      <c r="AL12" s="1285"/>
      <c r="AM12" s="1285" t="s">
        <v>1042</v>
      </c>
      <c r="AN12" s="1352">
        <v>5.5</v>
      </c>
      <c r="AO12" s="1285"/>
      <c r="AP12" s="1285"/>
      <c r="AQ12" s="1352"/>
      <c r="AR12" s="1285"/>
      <c r="AS12" s="1285"/>
      <c r="AT12" s="1352">
        <f>+ab($T$12,$T$10,$T$14,$G$11,$G$13, 1*$F$12,1200)</f>
        <v>6.820891075690624</v>
      </c>
      <c r="AU12" s="1285"/>
      <c r="AV12" s="1285"/>
      <c r="AW12" s="1353" t="str">
        <f>VLOOKUP(C12,'Foundation Calculation'!$A$2:$C$33,3,1)</f>
        <v>Soil B</v>
      </c>
      <c r="AX12" s="1353" t="str">
        <f>VLOOKUP(C12,'Foundation Calculation'!$E$2:$G$33,3,1)</f>
        <v>PT</v>
      </c>
      <c r="AY12" s="1354">
        <f>IF(AX12="PT",VLOOKUP(L12,'Foundation Calculation'!$K$2:$R$40,VLOOKUP(AW12,'Foundation Calculation'!$I$2:$J$8,2,FALSE),0),IF(AX12="K",VLOOKUP(L12,'Foundation Calculation'!$K$42:$R$80,VLOOKUP(AW12,'Foundation Calculation'!$I$2:$J$8,2,FALSE),0),""))</f>
        <v>3.5</v>
      </c>
      <c r="AZ12" s="1354"/>
      <c r="BA12" s="1355" t="s">
        <v>2809</v>
      </c>
      <c r="BB12" s="1285" t="str">
        <f>Pole_Calculations!A152</f>
        <v>App.7.1-V01-P9.5.1.1</v>
      </c>
      <c r="BC12" s="823"/>
      <c r="BD12" s="1356"/>
      <c r="BE12" s="1356"/>
      <c r="BF12" s="1356"/>
      <c r="BG12" s="1356"/>
    </row>
    <row r="13" spans="1:59" s="1288" customFormat="1" ht="15.75" customHeight="1">
      <c r="A13" s="1285"/>
      <c r="B13" s="1285"/>
      <c r="C13" s="1350"/>
      <c r="D13" s="1285"/>
      <c r="E13" s="1285"/>
      <c r="F13" s="1351"/>
      <c r="G13" s="1352">
        <v>50</v>
      </c>
      <c r="H13" s="1285"/>
      <c r="I13" s="1351"/>
      <c r="J13" s="1350"/>
      <c r="K13" s="1285"/>
      <c r="L13" s="1285"/>
      <c r="M13" s="1285"/>
      <c r="N13" s="1285"/>
      <c r="O13" s="1285"/>
      <c r="P13" s="1285"/>
      <c r="Q13" s="1285"/>
      <c r="R13" s="1285"/>
      <c r="S13" s="1352">
        <f t="shared" ref="S13" si="1">AG14-AG12</f>
        <v>50</v>
      </c>
      <c r="T13" s="1285"/>
      <c r="U13" s="1285"/>
      <c r="V13" s="1285"/>
      <c r="W13" s="1285"/>
      <c r="X13" s="1285"/>
      <c r="Y13" s="1285"/>
      <c r="Z13" s="1285"/>
      <c r="AA13" s="1285"/>
      <c r="AB13" s="1285"/>
      <c r="AC13" s="1285"/>
      <c r="AD13" s="1285"/>
      <c r="AE13" s="1285"/>
      <c r="AF13" s="1285"/>
      <c r="AG13" s="1350"/>
      <c r="AH13" s="1285"/>
      <c r="AI13" s="1285"/>
      <c r="AJ13" s="1285"/>
      <c r="AK13" s="1285"/>
      <c r="AL13" s="1285"/>
      <c r="AM13" s="1285"/>
      <c r="AN13" s="1352"/>
      <c r="AO13" s="1285"/>
      <c r="AP13" s="1285"/>
      <c r="AQ13" s="1352">
        <f>+FL_2($T$14,$T$12,$G$13,1200,9.28, 1*$F$14)</f>
        <v>-0.36839079999999996</v>
      </c>
      <c r="AR13" s="1285"/>
      <c r="AS13" s="1285"/>
      <c r="AT13" s="1352"/>
      <c r="AU13" s="1285"/>
      <c r="AV13" s="1285"/>
      <c r="AW13" s="1353"/>
      <c r="AX13" s="1353"/>
      <c r="AY13" s="1357"/>
      <c r="AZ13" s="1354"/>
      <c r="BA13" s="1355"/>
      <c r="BB13" s="1285"/>
      <c r="BC13" s="823"/>
      <c r="BD13" s="1356"/>
      <c r="BE13" s="1356"/>
      <c r="BF13" s="1356"/>
      <c r="BG13" s="1356"/>
    </row>
    <row r="14" spans="1:59" s="1288" customFormat="1" ht="15.75" customHeight="1">
      <c r="A14" s="1285"/>
      <c r="B14" s="1349" t="s">
        <v>3335</v>
      </c>
      <c r="C14" s="1350">
        <f>+$C$12+$G$13</f>
        <v>85165.57</v>
      </c>
      <c r="D14" s="1285"/>
      <c r="E14" s="1285"/>
      <c r="F14" s="1351">
        <v>0</v>
      </c>
      <c r="G14" s="1352"/>
      <c r="H14" s="1285"/>
      <c r="I14" s="1351" t="s">
        <v>1039</v>
      </c>
      <c r="J14" s="1350"/>
      <c r="K14" s="1285"/>
      <c r="L14" s="1285" t="s">
        <v>818</v>
      </c>
      <c r="M14" s="1285" t="str">
        <f>IF(AX14="PT",VLOOKUP(L14,'Foundation Calculation'!$V$2:$X$40,VLOOKUP(AX14,'Foundation Calculation'!$I$10:$J$13,2,FALSE),0),IF(AX14="K",VLOOKUP(L14,'Foundation Calculation'!$V$42:$X$80,VLOOKUP(AX14,'Foundation Calculation'!$I$10:$J$13,2,FALSE),0),""))</f>
        <v>C4R</v>
      </c>
      <c r="N14" s="1285" t="s">
        <v>143</v>
      </c>
      <c r="O14" s="1285"/>
      <c r="P14" s="1285"/>
      <c r="Q14" s="1285"/>
      <c r="R14" s="1285"/>
      <c r="S14" s="1352"/>
      <c r="T14" s="1285">
        <v>-35</v>
      </c>
      <c r="U14" s="1285"/>
      <c r="V14" s="1285"/>
      <c r="W14" s="1285">
        <v>1.4</v>
      </c>
      <c r="X14" s="1285"/>
      <c r="Y14" s="1285"/>
      <c r="Z14" s="1285"/>
      <c r="AA14" s="1285"/>
      <c r="AB14" s="1285"/>
      <c r="AC14" s="1285" t="s">
        <v>4115</v>
      </c>
      <c r="AD14" s="1285"/>
      <c r="AE14" s="1285"/>
      <c r="AF14" s="1285">
        <v>6000</v>
      </c>
      <c r="AG14" s="1350">
        <v>85165</v>
      </c>
      <c r="AH14" s="1285">
        <v>2213</v>
      </c>
      <c r="AI14" s="1285">
        <v>450</v>
      </c>
      <c r="AJ14" s="1285"/>
      <c r="AK14" s="1285"/>
      <c r="AL14" s="1285"/>
      <c r="AM14" s="1285" t="s">
        <v>1042</v>
      </c>
      <c r="AN14" s="1352">
        <v>5.5</v>
      </c>
      <c r="AO14" s="1285"/>
      <c r="AP14" s="1285"/>
      <c r="AQ14" s="1352"/>
      <c r="AR14" s="1285"/>
      <c r="AS14" s="1285"/>
      <c r="AT14" s="1352">
        <f>+ab($T$14,$T$12,$T$16,$G$13,$G$15, 1*$F$14,1200)</f>
        <v>-6.8209152065487553</v>
      </c>
      <c r="AU14" s="1285"/>
      <c r="AV14" s="1285"/>
      <c r="AW14" s="1353" t="str">
        <f>VLOOKUP(C14,'Foundation Calculation'!$A$2:$C$33,3,1)</f>
        <v>Soil B</v>
      </c>
      <c r="AX14" s="1353" t="str">
        <f>VLOOKUP(C14,'Foundation Calculation'!$E$2:$G$33,3,1)</f>
        <v>PT</v>
      </c>
      <c r="AY14" s="1354">
        <f>IF(AX14="PT",VLOOKUP(L14,'Foundation Calculation'!$K$2:$R$40,VLOOKUP(AW14,'Foundation Calculation'!$I$2:$J$8,2,FALSE),0),IF(AX14="K",VLOOKUP(L14,'Foundation Calculation'!$K$42:$R$80,VLOOKUP(AW14,'Foundation Calculation'!$I$2:$J$8,2,FALSE),0),""))</f>
        <v>3.5</v>
      </c>
      <c r="AZ14" s="1354"/>
      <c r="BA14" s="1355" t="s">
        <v>2809</v>
      </c>
      <c r="BB14" s="1285" t="str">
        <f>Pole_Calculations!A152</f>
        <v>App.7.1-V01-P9.5.1.1</v>
      </c>
      <c r="BC14" s="823"/>
      <c r="BD14" s="1356"/>
      <c r="BE14" s="1356"/>
      <c r="BF14" s="1356"/>
      <c r="BG14" s="1356"/>
    </row>
    <row r="15" spans="1:59" s="1288" customFormat="1" ht="15.75" customHeight="1">
      <c r="A15" s="1285"/>
      <c r="B15" s="1285"/>
      <c r="C15" s="1350"/>
      <c r="D15" s="1285"/>
      <c r="E15" s="1285"/>
      <c r="F15" s="1351"/>
      <c r="G15" s="1352">
        <v>50</v>
      </c>
      <c r="H15" s="1285"/>
      <c r="I15" s="1351"/>
      <c r="J15" s="1350">
        <f>C14+7.5</f>
        <v>85173.07</v>
      </c>
      <c r="K15" s="1285" t="s">
        <v>2788</v>
      </c>
      <c r="L15" s="1285"/>
      <c r="M15" s="1285"/>
      <c r="N15" s="1285"/>
      <c r="O15" s="1285"/>
      <c r="P15" s="1285"/>
      <c r="Q15" s="1285"/>
      <c r="R15" s="1285"/>
      <c r="S15" s="1352">
        <f t="shared" ref="S15" si="2">AG16-AG14</f>
        <v>50</v>
      </c>
      <c r="T15" s="1285"/>
      <c r="U15" s="1285"/>
      <c r="V15" s="1285"/>
      <c r="W15" s="1285"/>
      <c r="X15" s="1285"/>
      <c r="Y15" s="1285"/>
      <c r="Z15" s="1285"/>
      <c r="AA15" s="1285"/>
      <c r="AB15" s="1285"/>
      <c r="AC15" s="1285"/>
      <c r="AD15" s="1285"/>
      <c r="AE15" s="1285"/>
      <c r="AF15" s="1285"/>
      <c r="AG15" s="1350"/>
      <c r="AH15" s="1285"/>
      <c r="AI15" s="1285"/>
      <c r="AJ15" s="1285"/>
      <c r="AK15" s="1285"/>
      <c r="AL15" s="1285"/>
      <c r="AM15" s="1285"/>
      <c r="AN15" s="1352"/>
      <c r="AO15" s="1285"/>
      <c r="AP15" s="1285"/>
      <c r="AQ15" s="1352">
        <f>+FL_1($T$16,$T$14,$G$15,1200,9.28, 1*$F$16)</f>
        <v>0.36839079999999996</v>
      </c>
      <c r="AR15" s="1285"/>
      <c r="AS15" s="1285"/>
      <c r="AT15" s="1352"/>
      <c r="AU15" s="1285"/>
      <c r="AV15" s="1285"/>
      <c r="AW15" s="1353" t="str">
        <f>VLOOKUP(J15,'Foundation Calculation'!$A$2:$C$33,3,1)</f>
        <v>Soil B</v>
      </c>
      <c r="AX15" s="1353" t="str">
        <f>VLOOKUP(J15,'Foundation Calculation'!$E$2:$G$33,3,1)</f>
        <v>PT</v>
      </c>
      <c r="AY15" s="1357"/>
      <c r="AZ15" s="1354">
        <f>IF(AX15="PT",VLOOKUP(K15,'Foundation Calculation'!$K$2:$R$40,VLOOKUP(AW15,'Foundation Calculation'!$I$2:$J$8,2,FALSE),0),IF(AX15="K",VLOOKUP(K15,'Foundation Calculation'!$K$42:$R$80,VLOOKUP(AW15,'Foundation Calculation'!$I$2:$J$8,2,FALSE),0),""))</f>
        <v>2.8</v>
      </c>
      <c r="BA15" s="1355" t="s">
        <v>2809</v>
      </c>
      <c r="BB15" s="1285"/>
      <c r="BC15" s="823"/>
      <c r="BD15" s="1356"/>
      <c r="BE15" s="1356"/>
      <c r="BF15" s="1356"/>
      <c r="BG15" s="1356"/>
    </row>
    <row r="16" spans="1:59" s="1288" customFormat="1" ht="15.75" customHeight="1">
      <c r="A16" s="1285"/>
      <c r="B16" s="1349" t="s">
        <v>3336</v>
      </c>
      <c r="C16" s="1350">
        <f>+$C$14+$G$15</f>
        <v>85215.57</v>
      </c>
      <c r="D16" s="1285"/>
      <c r="E16" s="1285"/>
      <c r="F16" s="1351">
        <v>0</v>
      </c>
      <c r="G16" s="1352"/>
      <c r="H16" s="1285"/>
      <c r="I16" s="1351"/>
      <c r="J16" s="1350"/>
      <c r="K16" s="1285"/>
      <c r="L16" s="1285" t="s">
        <v>229</v>
      </c>
      <c r="M16" s="1285" t="str">
        <f>IF(AX16="PT",VLOOKUP(L16,'Foundation Calculation'!$V$2:$X$40,VLOOKUP(AX16,'Foundation Calculation'!$I$10:$J$13,2,FALSE),0),IF(AX16="K",VLOOKUP(L16,'Foundation Calculation'!$V$42:$X$80,VLOOKUP(AX16,'Foundation Calculation'!$I$10:$J$13,2,FALSE),0),""))</f>
        <v>C3R</v>
      </c>
      <c r="N16" s="1285" t="s">
        <v>144</v>
      </c>
      <c r="O16" s="1285"/>
      <c r="P16" s="1285"/>
      <c r="Q16" s="1285">
        <v>0</v>
      </c>
      <c r="R16" s="1285">
        <v>0</v>
      </c>
      <c r="S16" s="1352"/>
      <c r="T16" s="1285">
        <v>35</v>
      </c>
      <c r="U16" s="1285"/>
      <c r="V16" s="1285"/>
      <c r="W16" s="1285">
        <v>1.4</v>
      </c>
      <c r="X16" s="1285"/>
      <c r="Y16" s="1285"/>
      <c r="Z16" s="1285"/>
      <c r="AA16" s="1285"/>
      <c r="AB16" s="1285"/>
      <c r="AC16" s="1285" t="s">
        <v>4090</v>
      </c>
      <c r="AD16" s="1285"/>
      <c r="AE16" s="1285"/>
      <c r="AF16" s="1285">
        <v>6000</v>
      </c>
      <c r="AG16" s="1350">
        <v>85215</v>
      </c>
      <c r="AH16" s="1285">
        <v>2043</v>
      </c>
      <c r="AI16" s="1285">
        <v>380</v>
      </c>
      <c r="AJ16" s="1285"/>
      <c r="AK16" s="1285"/>
      <c r="AL16" s="1285"/>
      <c r="AM16" s="1285" t="s">
        <v>1042</v>
      </c>
      <c r="AN16" s="1352">
        <v>5.5</v>
      </c>
      <c r="AO16" s="1285"/>
      <c r="AP16" s="1285"/>
      <c r="AQ16" s="1352"/>
      <c r="AR16" s="1285"/>
      <c r="AS16" s="1285"/>
      <c r="AT16" s="1352">
        <f>+ab($T$16,$T$14,$T$18,$G$15,$G$17, 1*$F$16,1200)</f>
        <v>6.9856291464826024</v>
      </c>
      <c r="AU16" s="1285"/>
      <c r="AV16" s="1285"/>
      <c r="AW16" s="1353" t="str">
        <f>VLOOKUP(C16,'Foundation Calculation'!$A$2:$C$33,3,1)</f>
        <v>Soil B</v>
      </c>
      <c r="AX16" s="1353" t="str">
        <f>VLOOKUP(C16,'Foundation Calculation'!$E$2:$G$33,3,1)</f>
        <v>PT</v>
      </c>
      <c r="AY16" s="1354">
        <f>IF(AX16="PT",VLOOKUP(L16,'Foundation Calculation'!$K$2:$R$40,VLOOKUP(AW16,'Foundation Calculation'!$I$2:$J$8,2,FALSE),0),IF(AX16="K",VLOOKUP(L16,'Foundation Calculation'!$K$42:$R$80,VLOOKUP(AW16,'Foundation Calculation'!$I$2:$J$8,2,FALSE),0),""))</f>
        <v>3.5</v>
      </c>
      <c r="AZ16" s="1354"/>
      <c r="BA16" s="1355" t="s">
        <v>2809</v>
      </c>
      <c r="BB16" s="1285" t="str">
        <f>Pole_Calculations!A15</f>
        <v>App.7-V11A-P9.5.1.1</v>
      </c>
      <c r="BC16" s="823"/>
      <c r="BD16" s="1356"/>
      <c r="BE16" s="1356"/>
      <c r="BF16" s="1356"/>
      <c r="BG16" s="1356"/>
    </row>
    <row r="17" spans="1:59" s="1288" customFormat="1" ht="15.75" customHeight="1">
      <c r="A17" s="1285"/>
      <c r="B17" s="1285"/>
      <c r="C17" s="1350"/>
      <c r="D17" s="1285"/>
      <c r="E17" s="1285"/>
      <c r="F17" s="1351"/>
      <c r="G17" s="1352">
        <v>52.5</v>
      </c>
      <c r="H17" s="1285"/>
      <c r="I17" s="1351"/>
      <c r="J17" s="1350"/>
      <c r="K17" s="1285"/>
      <c r="L17" s="1285"/>
      <c r="M17" s="1285"/>
      <c r="N17" s="1285"/>
      <c r="O17" s="1285"/>
      <c r="P17" s="1285"/>
      <c r="Q17" s="1285"/>
      <c r="R17" s="1285"/>
      <c r="S17" s="1352">
        <f t="shared" ref="S17" si="3">AG18-AG16</f>
        <v>53</v>
      </c>
      <c r="T17" s="1285"/>
      <c r="U17" s="1285"/>
      <c r="V17" s="1285"/>
      <c r="W17" s="1285"/>
      <c r="X17" s="1285"/>
      <c r="Y17" s="1285"/>
      <c r="Z17" s="1285"/>
      <c r="AA17" s="1285"/>
      <c r="AB17" s="1285"/>
      <c r="AC17" s="1285"/>
      <c r="AD17" s="1285"/>
      <c r="AE17" s="1285"/>
      <c r="AF17" s="1285"/>
      <c r="AG17" s="1350"/>
      <c r="AH17" s="1285"/>
      <c r="AI17" s="1285"/>
      <c r="AJ17" s="1285"/>
      <c r="AK17" s="1285"/>
      <c r="AL17" s="1285"/>
      <c r="AM17" s="1285"/>
      <c r="AN17" s="1352"/>
      <c r="AO17" s="1285"/>
      <c r="AP17" s="1285"/>
      <c r="AQ17" s="1352">
        <f>+FL_2($T$18,$T$16,$G$17,1200,9.28, 1*$F$18)</f>
        <v>-0.38138002799999998</v>
      </c>
      <c r="AR17" s="1285"/>
      <c r="AS17" s="1285"/>
      <c r="AT17" s="1352"/>
      <c r="AU17" s="1285"/>
      <c r="AV17" s="1285"/>
      <c r="AW17" s="1353"/>
      <c r="AX17" s="1353"/>
      <c r="AY17" s="1357"/>
      <c r="AZ17" s="1354"/>
      <c r="BA17" s="1355"/>
      <c r="BB17" s="1285"/>
      <c r="BC17" s="823"/>
      <c r="BD17" s="1356"/>
      <c r="BE17" s="1356"/>
      <c r="BF17" s="1356"/>
      <c r="BG17" s="1356"/>
    </row>
    <row r="18" spans="1:59" s="1288" customFormat="1" ht="15.75" customHeight="1">
      <c r="A18" s="1285"/>
      <c r="B18" s="1349" t="s">
        <v>3337</v>
      </c>
      <c r="C18" s="1350">
        <f>+$C$16+$G$17</f>
        <v>85268.07</v>
      </c>
      <c r="D18" s="1285"/>
      <c r="E18" s="1285"/>
      <c r="F18" s="1351">
        <v>0</v>
      </c>
      <c r="G18" s="1352"/>
      <c r="H18" s="1285"/>
      <c r="I18" s="1351"/>
      <c r="J18" s="1350"/>
      <c r="K18" s="1285"/>
      <c r="L18" s="1285" t="s">
        <v>229</v>
      </c>
      <c r="M18" s="1285" t="str">
        <f>IF(AX18="PT",VLOOKUP(L18,'Foundation Calculation'!$V$2:$X$40,VLOOKUP(AX18,'Foundation Calculation'!$I$10:$J$13,2,FALSE),0),IF(AX18="K",VLOOKUP(L18,'Foundation Calculation'!$V$42:$X$80,VLOOKUP(AX18,'Foundation Calculation'!$I$10:$J$13,2,FALSE),0),""))</f>
        <v>C3R</v>
      </c>
      <c r="N18" s="1285" t="s">
        <v>143</v>
      </c>
      <c r="O18" s="1285"/>
      <c r="P18" s="1285"/>
      <c r="Q18" s="1285">
        <v>0</v>
      </c>
      <c r="R18" s="1285">
        <v>0</v>
      </c>
      <c r="S18" s="1352"/>
      <c r="T18" s="1285">
        <v>-35</v>
      </c>
      <c r="U18" s="1285"/>
      <c r="V18" s="1285"/>
      <c r="W18" s="1285">
        <v>1.4</v>
      </c>
      <c r="X18" s="1285"/>
      <c r="Y18" s="1285"/>
      <c r="Z18" s="1285"/>
      <c r="AA18" s="1285"/>
      <c r="AB18" s="1285"/>
      <c r="AC18" s="1285" t="s">
        <v>4117</v>
      </c>
      <c r="AD18" s="1285"/>
      <c r="AE18" s="1285"/>
      <c r="AF18" s="1285">
        <v>6000</v>
      </c>
      <c r="AG18" s="1350">
        <v>85268</v>
      </c>
      <c r="AH18" s="1285">
        <v>1893</v>
      </c>
      <c r="AI18" s="1285">
        <v>270</v>
      </c>
      <c r="AJ18" s="1285"/>
      <c r="AK18" s="1285"/>
      <c r="AL18" s="1285"/>
      <c r="AM18" s="1285" t="s">
        <v>1042</v>
      </c>
      <c r="AN18" s="1352">
        <v>5.5</v>
      </c>
      <c r="AO18" s="1285"/>
      <c r="AP18" s="1285"/>
      <c r="AQ18" s="1352"/>
      <c r="AR18" s="1285"/>
      <c r="AS18" s="1285"/>
      <c r="AT18" s="1352">
        <f>+ab($T$18,$T$16,$T$20,$G$17,$G$19, 1*$F$18,1200)</f>
        <v>-6.9856550838046356</v>
      </c>
      <c r="AU18" s="1285"/>
      <c r="AV18" s="1285"/>
      <c r="AW18" s="1353" t="str">
        <f>VLOOKUP(C18,'Foundation Calculation'!$A$2:$C$33,3,1)</f>
        <v>Soil B</v>
      </c>
      <c r="AX18" s="1353" t="str">
        <f>VLOOKUP(C18,'Foundation Calculation'!$E$2:$G$33,3,1)</f>
        <v>PT</v>
      </c>
      <c r="AY18" s="1354">
        <f>IF(AX18="PT",VLOOKUP(L18,'Foundation Calculation'!$K$2:$R$40,VLOOKUP(AW18,'Foundation Calculation'!$I$2:$J$8,2,FALSE),0),IF(AX18="K",VLOOKUP(L18,'Foundation Calculation'!$K$42:$R$80,VLOOKUP(AW18,'Foundation Calculation'!$I$2:$J$8,2,FALSE),0),""))</f>
        <v>3.5</v>
      </c>
      <c r="AZ18" s="1354"/>
      <c r="BA18" s="1355" t="s">
        <v>2809</v>
      </c>
      <c r="BB18" s="1285" t="str">
        <f>Pole_Calculations!A15</f>
        <v>App.7-V11A-P9.5.1.1</v>
      </c>
      <c r="BC18" s="823"/>
      <c r="BD18" s="1356"/>
      <c r="BE18" s="1356"/>
      <c r="BF18" s="1356"/>
      <c r="BG18" s="1356"/>
    </row>
    <row r="19" spans="1:59" s="1288" customFormat="1" ht="15.75" customHeight="1">
      <c r="A19" s="1285"/>
      <c r="B19" s="1285"/>
      <c r="C19" s="1350"/>
      <c r="D19" s="1285"/>
      <c r="E19" s="1285"/>
      <c r="F19" s="1351"/>
      <c r="G19" s="1352">
        <v>50</v>
      </c>
      <c r="H19" s="1285"/>
      <c r="I19" s="1351"/>
      <c r="J19" s="1350"/>
      <c r="K19" s="1285"/>
      <c r="L19" s="1285"/>
      <c r="M19" s="1285"/>
      <c r="N19" s="1285"/>
      <c r="O19" s="1285"/>
      <c r="P19" s="1285"/>
      <c r="Q19" s="1285"/>
      <c r="R19" s="1285"/>
      <c r="S19" s="1352">
        <f t="shared" ref="S19" si="4">AG20-AG18</f>
        <v>50</v>
      </c>
      <c r="T19" s="1285"/>
      <c r="U19" s="1285"/>
      <c r="V19" s="1285"/>
      <c r="W19" s="1285"/>
      <c r="X19" s="1285"/>
      <c r="Y19" s="1285"/>
      <c r="Z19" s="1285"/>
      <c r="AA19" s="1285"/>
      <c r="AB19" s="1285"/>
      <c r="AC19" s="1285"/>
      <c r="AD19" s="1285"/>
      <c r="AE19" s="1285"/>
      <c r="AF19" s="1285"/>
      <c r="AG19" s="1350"/>
      <c r="AH19" s="1285"/>
      <c r="AI19" s="1285"/>
      <c r="AJ19" s="1285"/>
      <c r="AK19" s="1285"/>
      <c r="AL19" s="1285"/>
      <c r="AM19" s="1285"/>
      <c r="AN19" s="1352"/>
      <c r="AO19" s="1285"/>
      <c r="AP19" s="1285"/>
      <c r="AQ19" s="1352">
        <f>+FL_1($T$20,$T$18,$G$19,1200,9.28, 1*$F$20)</f>
        <v>0.36839079999999996</v>
      </c>
      <c r="AR19" s="1285"/>
      <c r="AS19" s="1285"/>
      <c r="AT19" s="1352"/>
      <c r="AU19" s="1285"/>
      <c r="AV19" s="1285"/>
      <c r="AW19" s="1285"/>
      <c r="AX19" s="1285"/>
      <c r="AY19" s="1357"/>
      <c r="AZ19" s="1352"/>
      <c r="BA19" s="1358"/>
      <c r="BB19" s="1285"/>
      <c r="BC19" s="823"/>
      <c r="BD19" s="1356"/>
      <c r="BE19" s="1356"/>
      <c r="BF19" s="1356"/>
      <c r="BG19" s="1356"/>
    </row>
    <row r="20" spans="1:59" s="1288" customFormat="1" ht="15.75" customHeight="1">
      <c r="A20" s="1285"/>
      <c r="B20" s="1349" t="s">
        <v>3338</v>
      </c>
      <c r="C20" s="1350">
        <f>+$C$18+$G$19</f>
        <v>85318.07</v>
      </c>
      <c r="D20" s="1285"/>
      <c r="E20" s="1285"/>
      <c r="F20" s="1351">
        <v>0</v>
      </c>
      <c r="G20" s="1352"/>
      <c r="H20" s="1285"/>
      <c r="I20" s="1351"/>
      <c r="J20" s="1350"/>
      <c r="K20" s="1285"/>
      <c r="L20" s="1285" t="s">
        <v>229</v>
      </c>
      <c r="M20" s="1285" t="str">
        <f>IF(AX20="PT",VLOOKUP(L20,'Foundation Calculation'!$V$2:$X$40,VLOOKUP(AX20,'Foundation Calculation'!$I$10:$J$13,2,FALSE),0),IF(AX20="K",VLOOKUP(L20,'Foundation Calculation'!$V$42:$X$80,VLOOKUP(AX20,'Foundation Calculation'!$I$10:$J$13,2,FALSE),0),""))</f>
        <v>C3R</v>
      </c>
      <c r="N20" s="1285" t="s">
        <v>144</v>
      </c>
      <c r="O20" s="1285"/>
      <c r="P20" s="1285"/>
      <c r="Q20" s="1285">
        <v>0</v>
      </c>
      <c r="R20" s="1285">
        <v>0</v>
      </c>
      <c r="S20" s="1352"/>
      <c r="T20" s="1285">
        <v>35</v>
      </c>
      <c r="U20" s="1285"/>
      <c r="V20" s="1285"/>
      <c r="W20" s="1285">
        <v>1.4</v>
      </c>
      <c r="X20" s="1285"/>
      <c r="Y20" s="1285"/>
      <c r="Z20" s="1285"/>
      <c r="AA20" s="1285"/>
      <c r="AB20" s="1285"/>
      <c r="AC20" s="1285" t="s">
        <v>4090</v>
      </c>
      <c r="AD20" s="1285"/>
      <c r="AE20" s="1285"/>
      <c r="AF20" s="1285">
        <v>6000</v>
      </c>
      <c r="AG20" s="1350">
        <v>85318</v>
      </c>
      <c r="AH20" s="1285">
        <v>2093</v>
      </c>
      <c r="AI20" s="1285">
        <v>410</v>
      </c>
      <c r="AJ20" s="1285"/>
      <c r="AK20" s="1285"/>
      <c r="AL20" s="1285"/>
      <c r="AM20" s="1285" t="s">
        <v>1042</v>
      </c>
      <c r="AN20" s="1352">
        <v>5.5</v>
      </c>
      <c r="AO20" s="1285"/>
      <c r="AP20" s="1285"/>
      <c r="AQ20" s="1352"/>
      <c r="AR20" s="1285"/>
      <c r="AS20" s="1285"/>
      <c r="AT20" s="1352">
        <f>+ab($T$20,$T$18,$T$22,$G$19,$G$21, 1*$F$20,1200)</f>
        <v>6.820891075690624</v>
      </c>
      <c r="AU20" s="1285"/>
      <c r="AV20" s="1285"/>
      <c r="AW20" s="1353" t="str">
        <f>VLOOKUP(C20,'Foundation Calculation'!$A$2:$C$33,3,1)</f>
        <v>Soil B</v>
      </c>
      <c r="AX20" s="1353" t="str">
        <f>VLOOKUP(C20,'Foundation Calculation'!$E$2:$G$33,3,1)</f>
        <v>PT</v>
      </c>
      <c r="AY20" s="1354">
        <f>IF(AX20="PT",VLOOKUP(L20,'Foundation Calculation'!$K$2:$R$40,VLOOKUP(AW20,'Foundation Calculation'!$I$2:$J$8,2,FALSE),0),IF(AX20="K",VLOOKUP(L20,'Foundation Calculation'!$K$42:$R$80,VLOOKUP(AW20,'Foundation Calculation'!$I$2:$J$8,2,FALSE),0),""))</f>
        <v>3.5</v>
      </c>
      <c r="AZ20" s="1354"/>
      <c r="BA20" s="1355" t="s">
        <v>2809</v>
      </c>
      <c r="BB20" s="1285" t="str">
        <f>Pole_Calculations!A15</f>
        <v>App.7-V11A-P9.5.1.1</v>
      </c>
      <c r="BC20" s="823"/>
      <c r="BD20" s="1356"/>
      <c r="BE20" s="1356"/>
      <c r="BF20" s="1356"/>
      <c r="BG20" s="1356"/>
    </row>
    <row r="21" spans="1:59" s="1288" customFormat="1" ht="15.75" customHeight="1">
      <c r="A21" s="1285"/>
      <c r="B21" s="1285"/>
      <c r="C21" s="1350"/>
      <c r="D21" s="1285"/>
      <c r="E21" s="1285"/>
      <c r="F21" s="1351"/>
      <c r="G21" s="1352">
        <v>50</v>
      </c>
      <c r="H21" s="1285"/>
      <c r="I21" s="1351"/>
      <c r="J21" s="1350">
        <f>C22-7.5</f>
        <v>85360.57</v>
      </c>
      <c r="K21" s="1285" t="s">
        <v>2788</v>
      </c>
      <c r="L21" s="1285"/>
      <c r="M21" s="1285"/>
      <c r="N21" s="1285"/>
      <c r="O21" s="1285"/>
      <c r="P21" s="1285"/>
      <c r="Q21" s="1285"/>
      <c r="R21" s="1285"/>
      <c r="S21" s="1352">
        <f t="shared" ref="S21" si="5">AG22-AG20</f>
        <v>50</v>
      </c>
      <c r="T21" s="1285"/>
      <c r="U21" s="1285"/>
      <c r="V21" s="1285"/>
      <c r="W21" s="1285"/>
      <c r="X21" s="1285"/>
      <c r="Y21" s="1285"/>
      <c r="Z21" s="1285"/>
      <c r="AA21" s="1285"/>
      <c r="AB21" s="1285"/>
      <c r="AC21" s="1285"/>
      <c r="AD21" s="1285"/>
      <c r="AE21" s="1285"/>
      <c r="AF21" s="1285"/>
      <c r="AG21" s="1350"/>
      <c r="AH21" s="1285"/>
      <c r="AI21" s="1285"/>
      <c r="AJ21" s="1285"/>
      <c r="AK21" s="1285"/>
      <c r="AL21" s="1285"/>
      <c r="AM21" s="1285"/>
      <c r="AN21" s="1352"/>
      <c r="AO21" s="1285"/>
      <c r="AP21" s="1285"/>
      <c r="AQ21" s="1352">
        <f>+FL_2($T$22,$T$20,$G$21,1200,9.28, 1*$F$22)</f>
        <v>-0.36839079999999996</v>
      </c>
      <c r="AR21" s="1285"/>
      <c r="AS21" s="1285"/>
      <c r="AT21" s="1352"/>
      <c r="AU21" s="1285"/>
      <c r="AV21" s="1285"/>
      <c r="AW21" s="1353" t="str">
        <f>VLOOKUP(J21,'Foundation Calculation'!$A$2:$C$33,3,1)</f>
        <v>Soil B</v>
      </c>
      <c r="AX21" s="1353" t="str">
        <f>VLOOKUP(J21,'Foundation Calculation'!$E$2:$G$33,3,1)</f>
        <v>PT</v>
      </c>
      <c r="AY21" s="1357"/>
      <c r="AZ21" s="1354">
        <f>IF(AX21="PT",VLOOKUP(K21,'Foundation Calculation'!$K$2:$R$40,VLOOKUP(AW21,'Foundation Calculation'!$I$2:$J$8,2,FALSE),0),IF(AX21="K",VLOOKUP(K21,'Foundation Calculation'!$K$42:$R$80,VLOOKUP(AW21,'Foundation Calculation'!$I$2:$J$8,2,FALSE),0),""))</f>
        <v>2.8</v>
      </c>
      <c r="BA21" s="1355" t="s">
        <v>2809</v>
      </c>
      <c r="BB21" s="1285"/>
      <c r="BC21" s="823"/>
      <c r="BD21" s="1356"/>
      <c r="BE21" s="1356"/>
      <c r="BF21" s="1356"/>
      <c r="BG21" s="1356"/>
    </row>
    <row r="22" spans="1:59" s="1288" customFormat="1" ht="15.75" customHeight="1">
      <c r="A22" s="1285"/>
      <c r="B22" s="1349" t="s">
        <v>3339</v>
      </c>
      <c r="C22" s="1350">
        <f>+$C$20+$G$21</f>
        <v>85368.07</v>
      </c>
      <c r="D22" s="1285"/>
      <c r="E22" s="1285"/>
      <c r="F22" s="1351">
        <v>0</v>
      </c>
      <c r="G22" s="1352"/>
      <c r="H22" s="1285" t="s">
        <v>873</v>
      </c>
      <c r="I22" s="1351"/>
      <c r="J22" s="1350"/>
      <c r="K22" s="1285"/>
      <c r="L22" s="1285" t="s">
        <v>230</v>
      </c>
      <c r="M22" s="1285" t="str">
        <f>IF(AX22="PT",VLOOKUP(L22,'Foundation Calculation'!$V$2:$X$40,VLOOKUP(AX22,'Foundation Calculation'!$I$10:$J$13,2,FALSE),0),IF(AX22="K",VLOOKUP(L22,'Foundation Calculation'!$V$42:$X$80,VLOOKUP(AX22,'Foundation Calculation'!$I$10:$J$13,2,FALSE),0),""))</f>
        <v>C4R</v>
      </c>
      <c r="N22" s="1285" t="s">
        <v>143</v>
      </c>
      <c r="O22" s="1285"/>
      <c r="P22" s="1285"/>
      <c r="Q22" s="1285">
        <v>0</v>
      </c>
      <c r="R22" s="1285">
        <v>0</v>
      </c>
      <c r="S22" s="1352"/>
      <c r="T22" s="1285">
        <v>-35</v>
      </c>
      <c r="U22" s="1285"/>
      <c r="V22" s="1285"/>
      <c r="W22" s="1285">
        <v>1.4</v>
      </c>
      <c r="X22" s="1285"/>
      <c r="Y22" s="1285"/>
      <c r="Z22" s="1285"/>
      <c r="AA22" s="1285"/>
      <c r="AB22" s="1285"/>
      <c r="AC22" s="1285" t="s">
        <v>4090</v>
      </c>
      <c r="AD22" s="1285"/>
      <c r="AE22" s="1285"/>
      <c r="AF22" s="1285">
        <v>6000</v>
      </c>
      <c r="AG22" s="1350">
        <v>85368</v>
      </c>
      <c r="AH22" s="1285">
        <v>2193</v>
      </c>
      <c r="AI22" s="1285">
        <v>390</v>
      </c>
      <c r="AJ22" s="1285"/>
      <c r="AK22" s="1285"/>
      <c r="AL22" s="1285"/>
      <c r="AM22" s="1285" t="s">
        <v>1042</v>
      </c>
      <c r="AN22" s="1352">
        <v>5.5</v>
      </c>
      <c r="AO22" s="1285"/>
      <c r="AP22" s="1285"/>
      <c r="AQ22" s="1352"/>
      <c r="AR22" s="1285"/>
      <c r="AS22" s="1285"/>
      <c r="AT22" s="1352">
        <f>+ab($T$22,$T$20,$T$24,$G$21,$G$23, 1*$F$22,1200)</f>
        <v>-6.8209152065487553</v>
      </c>
      <c r="AU22" s="1285"/>
      <c r="AV22" s="1285"/>
      <c r="AW22" s="1353" t="str">
        <f>VLOOKUP(C22,'Foundation Calculation'!$A$2:$C$33,3,1)</f>
        <v>Soil B</v>
      </c>
      <c r="AX22" s="1353" t="str">
        <f>VLOOKUP(C22,'Foundation Calculation'!$E$2:$G$33,3,1)</f>
        <v>PT</v>
      </c>
      <c r="AY22" s="1354">
        <f>IF(AX22="PT",VLOOKUP(L22,'Foundation Calculation'!$K$2:$R$40,VLOOKUP(AW22,'Foundation Calculation'!$I$2:$J$8,2,FALSE),0),IF(AX22="K",VLOOKUP(L22,'Foundation Calculation'!$K$42:$R$80,VLOOKUP(AW22,'Foundation Calculation'!$I$2:$J$8,2,FALSE),0),""))</f>
        <v>3.5</v>
      </c>
      <c r="AZ22" s="1354"/>
      <c r="BA22" s="1355" t="s">
        <v>2809</v>
      </c>
      <c r="BB22" s="1285" t="str">
        <f>Pole_Calculations!A17</f>
        <v>App.7-V11A-P9.5.1.3</v>
      </c>
      <c r="BC22" s="823"/>
      <c r="BD22" s="1356"/>
      <c r="BE22" s="1356"/>
      <c r="BF22" s="1356"/>
      <c r="BG22" s="1356"/>
    </row>
    <row r="23" spans="1:59" s="1288" customFormat="1" ht="15.75" customHeight="1">
      <c r="A23" s="1285"/>
      <c r="B23" s="1285"/>
      <c r="C23" s="1350"/>
      <c r="D23" s="1285"/>
      <c r="E23" s="1285"/>
      <c r="F23" s="1351"/>
      <c r="G23" s="1352">
        <v>50</v>
      </c>
      <c r="H23" s="1285"/>
      <c r="I23" s="1351">
        <v>496</v>
      </c>
      <c r="J23" s="1350"/>
      <c r="K23" s="1285"/>
      <c r="L23" s="1285"/>
      <c r="M23" s="1285"/>
      <c r="N23" s="1285"/>
      <c r="O23" s="1285"/>
      <c r="P23" s="1285"/>
      <c r="Q23" s="1285"/>
      <c r="R23" s="1285"/>
      <c r="S23" s="1352">
        <f t="shared" ref="S23" si="6">AG24-AG22</f>
        <v>50</v>
      </c>
      <c r="T23" s="1285"/>
      <c r="U23" s="1285"/>
      <c r="V23" s="1285"/>
      <c r="W23" s="1285"/>
      <c r="X23" s="1285"/>
      <c r="Y23" s="1285"/>
      <c r="Z23" s="1285"/>
      <c r="AA23" s="1285"/>
      <c r="AB23" s="1285"/>
      <c r="AC23" s="1285"/>
      <c r="AD23" s="1285"/>
      <c r="AE23" s="1285"/>
      <c r="AF23" s="1285"/>
      <c r="AG23" s="1350"/>
      <c r="AH23" s="1285"/>
      <c r="AI23" s="1285"/>
      <c r="AJ23" s="1285"/>
      <c r="AK23" s="1285"/>
      <c r="AL23" s="1285"/>
      <c r="AM23" s="1285"/>
      <c r="AN23" s="1352"/>
      <c r="AO23" s="1285"/>
      <c r="AP23" s="1285"/>
      <c r="AQ23" s="1352">
        <f>+FL_1($T$24,$T$22,$G$23,1200,9.28, 1*$F$24)</f>
        <v>0.36839079999999996</v>
      </c>
      <c r="AR23" s="1285"/>
      <c r="AS23" s="1285"/>
      <c r="AT23" s="1352"/>
      <c r="AU23" s="1285"/>
      <c r="AV23" s="1285"/>
      <c r="AW23" s="1285"/>
      <c r="AX23" s="1285"/>
      <c r="AY23" s="1357"/>
      <c r="AZ23" s="1352"/>
      <c r="BA23" s="1358"/>
      <c r="BB23" s="1285"/>
      <c r="BC23" s="823"/>
      <c r="BD23" s="1356"/>
      <c r="BE23" s="1356"/>
      <c r="BF23" s="1356"/>
      <c r="BG23" s="1356"/>
    </row>
    <row r="24" spans="1:59" s="1288" customFormat="1" ht="15.75" customHeight="1">
      <c r="A24" s="1285"/>
      <c r="B24" s="1349" t="s">
        <v>3340</v>
      </c>
      <c r="C24" s="1350">
        <f>+$C$22+$G$23</f>
        <v>85418.07</v>
      </c>
      <c r="D24" s="1285"/>
      <c r="E24" s="1285"/>
      <c r="F24" s="1351">
        <v>0</v>
      </c>
      <c r="G24" s="1352"/>
      <c r="H24" s="1285" t="s">
        <v>874</v>
      </c>
      <c r="I24" s="1351"/>
      <c r="J24" s="1350"/>
      <c r="K24" s="1285"/>
      <c r="L24" s="1285" t="s">
        <v>229</v>
      </c>
      <c r="M24" s="1285" t="str">
        <f>IF(AX24="PT",VLOOKUP(L24,'Foundation Calculation'!$V$2:$X$40,VLOOKUP(AX24,'Foundation Calculation'!$I$10:$J$13,2,FALSE),0),IF(AX24="K",VLOOKUP(L24,'Foundation Calculation'!$V$42:$X$80,VLOOKUP(AX24,'Foundation Calculation'!$I$10:$J$13,2,FALSE),0),""))</f>
        <v>C3R</v>
      </c>
      <c r="N24" s="1285" t="s">
        <v>144</v>
      </c>
      <c r="O24" s="1285"/>
      <c r="P24" s="1285"/>
      <c r="Q24" s="1285">
        <v>0</v>
      </c>
      <c r="R24" s="1285">
        <v>0</v>
      </c>
      <c r="S24" s="1352"/>
      <c r="T24" s="1285">
        <v>35</v>
      </c>
      <c r="U24" s="1285"/>
      <c r="V24" s="1285"/>
      <c r="W24" s="1285">
        <v>1.4</v>
      </c>
      <c r="X24" s="1285"/>
      <c r="Y24" s="1285"/>
      <c r="Z24" s="1285"/>
      <c r="AA24" s="1285"/>
      <c r="AB24" s="1285"/>
      <c r="AC24" s="1285" t="s">
        <v>4090</v>
      </c>
      <c r="AD24" s="1285"/>
      <c r="AE24" s="1285"/>
      <c r="AF24" s="1285">
        <v>6000</v>
      </c>
      <c r="AG24" s="1350">
        <v>85418</v>
      </c>
      <c r="AH24" s="1285">
        <v>2193</v>
      </c>
      <c r="AI24" s="1285">
        <v>500</v>
      </c>
      <c r="AJ24" s="1285"/>
      <c r="AK24" s="1285"/>
      <c r="AL24" s="1285"/>
      <c r="AM24" s="1285" t="s">
        <v>1042</v>
      </c>
      <c r="AN24" s="1352">
        <v>5.5</v>
      </c>
      <c r="AO24" s="1285"/>
      <c r="AP24" s="1285"/>
      <c r="AQ24" s="1352"/>
      <c r="AR24" s="1285"/>
      <c r="AS24" s="1285"/>
      <c r="AT24" s="1352">
        <f>+ab($T$24,$T$22,$T$26,$G$23,$G$25, 1*$F$24,1200)</f>
        <v>6.820891075690624</v>
      </c>
      <c r="AU24" s="1285"/>
      <c r="AV24" s="1285"/>
      <c r="AW24" s="1353" t="str">
        <f>VLOOKUP(C24,'Foundation Calculation'!$A$2:$C$33,3,1)</f>
        <v>Soil B</v>
      </c>
      <c r="AX24" s="1353" t="str">
        <f>VLOOKUP(C24,'Foundation Calculation'!$E$2:$G$33,3,1)</f>
        <v>PT</v>
      </c>
      <c r="AY24" s="1354">
        <f>IF(AX24="PT",VLOOKUP(L24,'Foundation Calculation'!$K$2:$R$40,VLOOKUP(AW24,'Foundation Calculation'!$I$2:$J$8,2,FALSE),0),IF(AX24="K",VLOOKUP(L24,'Foundation Calculation'!$K$42:$R$80,VLOOKUP(AW24,'Foundation Calculation'!$I$2:$J$8,2,FALSE),0),""))</f>
        <v>3.5</v>
      </c>
      <c r="AZ24" s="1354"/>
      <c r="BA24" s="1355" t="s">
        <v>2809</v>
      </c>
      <c r="BB24" s="1285" t="str">
        <f>Pole_Calculations!A16</f>
        <v>App.7-V11A-P9.5.1.2</v>
      </c>
      <c r="BC24" s="823"/>
      <c r="BD24" s="1356"/>
      <c r="BE24" s="1356"/>
      <c r="BF24" s="1356"/>
      <c r="BG24" s="1356"/>
    </row>
    <row r="25" spans="1:59" s="1288" customFormat="1" ht="15.75" customHeight="1">
      <c r="A25" s="1285"/>
      <c r="B25" s="1285"/>
      <c r="C25" s="1350"/>
      <c r="D25" s="1285"/>
      <c r="E25" s="1285"/>
      <c r="F25" s="1351"/>
      <c r="G25" s="1352">
        <v>50</v>
      </c>
      <c r="H25" s="1285"/>
      <c r="I25" s="1351">
        <f>C42-C24</f>
        <v>488</v>
      </c>
      <c r="J25" s="1350"/>
      <c r="K25" s="1285"/>
      <c r="L25" s="1285"/>
      <c r="M25" s="1285"/>
      <c r="N25" s="1285"/>
      <c r="O25" s="1285"/>
      <c r="P25" s="1285"/>
      <c r="Q25" s="1285"/>
      <c r="R25" s="1285"/>
      <c r="S25" s="1352">
        <f t="shared" ref="S25" si="7">AG26-AG24</f>
        <v>50</v>
      </c>
      <c r="T25" s="1285"/>
      <c r="U25" s="1285"/>
      <c r="V25" s="1285"/>
      <c r="W25" s="1285"/>
      <c r="X25" s="1285"/>
      <c r="Y25" s="1285"/>
      <c r="Z25" s="1285"/>
      <c r="AA25" s="1285"/>
      <c r="AB25" s="1285"/>
      <c r="AC25" s="1285"/>
      <c r="AD25" s="1285"/>
      <c r="AE25" s="1285"/>
      <c r="AF25" s="1285"/>
      <c r="AG25" s="1350"/>
      <c r="AH25" s="1285"/>
      <c r="AI25" s="1285"/>
      <c r="AJ25" s="1285"/>
      <c r="AK25" s="1285"/>
      <c r="AL25" s="1285"/>
      <c r="AM25" s="1285"/>
      <c r="AN25" s="1352"/>
      <c r="AO25" s="1285"/>
      <c r="AP25" s="1285"/>
      <c r="AQ25" s="1352">
        <f>+FL_2($T$26,$T$24,$G$25,1200,9.28, 1*$F$26)</f>
        <v>-0.36839079999999996</v>
      </c>
      <c r="AR25" s="1285"/>
      <c r="AS25" s="1285"/>
      <c r="AT25" s="1352"/>
      <c r="AU25" s="1285"/>
      <c r="AV25" s="1285"/>
      <c r="AW25" s="1285"/>
      <c r="AX25" s="1285"/>
      <c r="AY25" s="1357"/>
      <c r="AZ25" s="1352"/>
      <c r="BA25" s="1358"/>
      <c r="BB25" s="1285"/>
      <c r="BC25" s="823"/>
      <c r="BD25" s="1356"/>
      <c r="BE25" s="1356"/>
      <c r="BF25" s="1356"/>
      <c r="BG25" s="1356"/>
    </row>
    <row r="26" spans="1:59" s="1288" customFormat="1" ht="15.75" customHeight="1">
      <c r="A26" s="1285"/>
      <c r="B26" s="1349" t="s">
        <v>3341</v>
      </c>
      <c r="C26" s="1350">
        <f>+$C$24+$G$25</f>
        <v>85468.07</v>
      </c>
      <c r="D26" s="1285"/>
      <c r="E26" s="1285"/>
      <c r="F26" s="1351">
        <v>0</v>
      </c>
      <c r="G26" s="1352"/>
      <c r="H26" s="1285" t="s">
        <v>873</v>
      </c>
      <c r="I26" s="1351"/>
      <c r="J26" s="1350"/>
      <c r="K26" s="1285"/>
      <c r="L26" s="1285" t="s">
        <v>230</v>
      </c>
      <c r="M26" s="1285" t="str">
        <f>IF(AX26="PT",VLOOKUP(L26,'Foundation Calculation'!$V$2:$X$40,VLOOKUP(AX26,'Foundation Calculation'!$I$10:$J$13,2,FALSE),0),IF(AX26="K",VLOOKUP(L26,'Foundation Calculation'!$V$42:$X$80,VLOOKUP(AX26,'Foundation Calculation'!$I$10:$J$13,2,FALSE),0),""))</f>
        <v>C4R</v>
      </c>
      <c r="N26" s="1285" t="s">
        <v>143</v>
      </c>
      <c r="O26" s="1285"/>
      <c r="P26" s="1285"/>
      <c r="Q26" s="1285">
        <v>0</v>
      </c>
      <c r="R26" s="1285">
        <v>0</v>
      </c>
      <c r="S26" s="1352"/>
      <c r="T26" s="1285">
        <v>-35</v>
      </c>
      <c r="U26" s="1285"/>
      <c r="V26" s="1285"/>
      <c r="W26" s="1285">
        <v>1.4</v>
      </c>
      <c r="X26" s="1285"/>
      <c r="Y26" s="1285"/>
      <c r="Z26" s="1285"/>
      <c r="AA26" s="1285"/>
      <c r="AB26" s="1285"/>
      <c r="AC26" s="1285" t="s">
        <v>4117</v>
      </c>
      <c r="AD26" s="1285"/>
      <c r="AE26" s="1285"/>
      <c r="AF26" s="1285">
        <v>6000</v>
      </c>
      <c r="AG26" s="1350">
        <v>85468</v>
      </c>
      <c r="AH26" s="1285">
        <v>2163</v>
      </c>
      <c r="AI26" s="1285">
        <v>410</v>
      </c>
      <c r="AJ26" s="1285"/>
      <c r="AK26" s="1285"/>
      <c r="AL26" s="1285"/>
      <c r="AM26" s="1285" t="s">
        <v>1042</v>
      </c>
      <c r="AN26" s="1352">
        <v>5.5</v>
      </c>
      <c r="AO26" s="1285"/>
      <c r="AP26" s="1285"/>
      <c r="AQ26" s="1352"/>
      <c r="AR26" s="1285"/>
      <c r="AS26" s="1285"/>
      <c r="AT26" s="1352">
        <f>+ab($T$26,$T$24,$T$28,$G$25,$G$27, 1*$F$26,1200)</f>
        <v>-6.9533622030276581</v>
      </c>
      <c r="AU26" s="1285"/>
      <c r="AV26" s="1285"/>
      <c r="AW26" s="1353" t="str">
        <f>VLOOKUP(C26,'Foundation Calculation'!$A$2:$C$33,3,1)</f>
        <v>Soil B</v>
      </c>
      <c r="AX26" s="1353" t="str">
        <f>VLOOKUP(C26,'Foundation Calculation'!$E$2:$G$33,3,1)</f>
        <v>PT</v>
      </c>
      <c r="AY26" s="1354">
        <f>IF(AX26="PT",VLOOKUP(L26,'Foundation Calculation'!$K$2:$R$40,VLOOKUP(AW26,'Foundation Calculation'!$I$2:$J$8,2,FALSE),0),IF(AX26="K",VLOOKUP(L26,'Foundation Calculation'!$K$42:$R$80,VLOOKUP(AW26,'Foundation Calculation'!$I$2:$J$8,2,FALSE),0),""))</f>
        <v>3.5</v>
      </c>
      <c r="AZ26" s="1354"/>
      <c r="BA26" s="1355" t="s">
        <v>2809</v>
      </c>
      <c r="BB26" s="1285" t="str">
        <f>Pole_Calculations!A17</f>
        <v>App.7-V11A-P9.5.1.3</v>
      </c>
      <c r="BC26" s="823"/>
      <c r="BD26" s="1356"/>
      <c r="BE26" s="1356"/>
      <c r="BF26" s="1356"/>
      <c r="BG26" s="1356"/>
    </row>
    <row r="27" spans="1:59" s="1288" customFormat="1" ht="15.75" customHeight="1">
      <c r="A27" s="1285"/>
      <c r="B27" s="1285"/>
      <c r="C27" s="1350"/>
      <c r="D27" s="1285"/>
      <c r="E27" s="1285"/>
      <c r="F27" s="1351"/>
      <c r="G27" s="1352">
        <v>52</v>
      </c>
      <c r="H27" s="1285"/>
      <c r="I27" s="1351"/>
      <c r="J27" s="1350">
        <f>C26+7.5</f>
        <v>85475.57</v>
      </c>
      <c r="K27" s="1285" t="s">
        <v>2788</v>
      </c>
      <c r="L27" s="1285"/>
      <c r="M27" s="1285"/>
      <c r="N27" s="1285"/>
      <c r="O27" s="1285"/>
      <c r="P27" s="1285"/>
      <c r="Q27" s="1285"/>
      <c r="R27" s="1285"/>
      <c r="S27" s="1352">
        <f t="shared" ref="S27" si="8">AG28-AG26</f>
        <v>52</v>
      </c>
      <c r="T27" s="1285"/>
      <c r="U27" s="1285"/>
      <c r="V27" s="1285"/>
      <c r="W27" s="1285"/>
      <c r="X27" s="1285"/>
      <c r="Y27" s="1285"/>
      <c r="Z27" s="1285"/>
      <c r="AA27" s="1285"/>
      <c r="AB27" s="1285"/>
      <c r="AC27" s="1285"/>
      <c r="AD27" s="1285"/>
      <c r="AE27" s="1285"/>
      <c r="AF27" s="1285"/>
      <c r="AG27" s="1350"/>
      <c r="AH27" s="1285"/>
      <c r="AI27" s="1285"/>
      <c r="AJ27" s="1285"/>
      <c r="AK27" s="1285"/>
      <c r="AL27" s="1285"/>
      <c r="AM27" s="1285"/>
      <c r="AN27" s="1352"/>
      <c r="AO27" s="1285"/>
      <c r="AP27" s="1285"/>
      <c r="AQ27" s="1352">
        <f>+FL_1($T$28,$T$26,$G$27,1200,9.28, 1*$F$28)</f>
        <v>0.37855025261538461</v>
      </c>
      <c r="AR27" s="1285"/>
      <c r="AS27" s="1285"/>
      <c r="AT27" s="1352"/>
      <c r="AU27" s="1285"/>
      <c r="AV27" s="1285"/>
      <c r="AW27" s="1353" t="str">
        <f>VLOOKUP(J27,'Foundation Calculation'!$A$2:$C$33,3,1)</f>
        <v>Soil B</v>
      </c>
      <c r="AX27" s="1353" t="str">
        <f>VLOOKUP(J27,'Foundation Calculation'!$E$2:$G$33,3,1)</f>
        <v>PT</v>
      </c>
      <c r="AY27" s="1357"/>
      <c r="AZ27" s="1354">
        <f>IF(AX27="PT",VLOOKUP(K27,'Foundation Calculation'!$K$2:$R$40,VLOOKUP(AW27,'Foundation Calculation'!$I$2:$J$8,2,FALSE),0),IF(AX27="K",VLOOKUP(K27,'Foundation Calculation'!$K$42:$R$80,VLOOKUP(AW27,'Foundation Calculation'!$I$2:$J$8,2,FALSE),0),""))</f>
        <v>2.8</v>
      </c>
      <c r="BA27" s="1355" t="s">
        <v>2809</v>
      </c>
      <c r="BB27" s="1285"/>
      <c r="BC27" s="823"/>
      <c r="BD27" s="1356"/>
      <c r="BE27" s="1356"/>
      <c r="BF27" s="1356"/>
      <c r="BG27" s="1356"/>
    </row>
    <row r="28" spans="1:59" s="1288" customFormat="1" ht="15.75" customHeight="1">
      <c r="A28" s="1285"/>
      <c r="B28" s="1349" t="s">
        <v>3342</v>
      </c>
      <c r="C28" s="1350">
        <f>+$C$26+$G$27</f>
        <v>85520.07</v>
      </c>
      <c r="D28" s="1285"/>
      <c r="E28" s="1285"/>
      <c r="F28" s="1351">
        <v>0</v>
      </c>
      <c r="G28" s="1352"/>
      <c r="H28" s="1285"/>
      <c r="I28" s="1351"/>
      <c r="J28" s="1350"/>
      <c r="K28" s="1285"/>
      <c r="L28" s="1285" t="s">
        <v>229</v>
      </c>
      <c r="M28" s="1285" t="str">
        <f>IF(AX28="PT",VLOOKUP(L28,'Foundation Calculation'!$V$2:$X$40,VLOOKUP(AX28,'Foundation Calculation'!$I$10:$J$13,2,FALSE),0),IF(AX28="K",VLOOKUP(L28,'Foundation Calculation'!$V$42:$X$80,VLOOKUP(AX28,'Foundation Calculation'!$I$10:$J$13,2,FALSE),0),""))</f>
        <v>C3R</v>
      </c>
      <c r="N28" s="1285" t="s">
        <v>144</v>
      </c>
      <c r="O28" s="1285"/>
      <c r="P28" s="1285"/>
      <c r="Q28" s="1285">
        <v>0</v>
      </c>
      <c r="R28" s="1285">
        <v>0</v>
      </c>
      <c r="S28" s="1352"/>
      <c r="T28" s="1285">
        <v>35</v>
      </c>
      <c r="U28" s="1285"/>
      <c r="V28" s="1285"/>
      <c r="W28" s="1285">
        <v>1.4</v>
      </c>
      <c r="X28" s="1285"/>
      <c r="Y28" s="1285"/>
      <c r="Z28" s="1285"/>
      <c r="AA28" s="1285"/>
      <c r="AB28" s="1285"/>
      <c r="AC28" s="1285" t="s">
        <v>4090</v>
      </c>
      <c r="AD28" s="1285"/>
      <c r="AE28" s="1285"/>
      <c r="AF28" s="1285">
        <v>6000</v>
      </c>
      <c r="AG28" s="1350">
        <v>85520</v>
      </c>
      <c r="AH28" s="1285">
        <v>2163</v>
      </c>
      <c r="AI28" s="1285">
        <v>490</v>
      </c>
      <c r="AJ28" s="1285"/>
      <c r="AK28" s="1285"/>
      <c r="AL28" s="1285"/>
      <c r="AM28" s="1285" t="s">
        <v>1042</v>
      </c>
      <c r="AN28" s="1352">
        <v>5.5</v>
      </c>
      <c r="AO28" s="1285"/>
      <c r="AP28" s="1285"/>
      <c r="AQ28" s="1352"/>
      <c r="AR28" s="1285"/>
      <c r="AS28" s="1285"/>
      <c r="AT28" s="1352">
        <f>+ab($T$28,$T$26,$T$30,$G$27,$G$29, 1*$F$28,1200)</f>
        <v>7.2877043497680978</v>
      </c>
      <c r="AU28" s="1285"/>
      <c r="AV28" s="1285"/>
      <c r="AW28" s="1353" t="str">
        <f>VLOOKUP(C28,'Foundation Calculation'!$A$2:$C$33,3,1)</f>
        <v>Soil B</v>
      </c>
      <c r="AX28" s="1353" t="str">
        <f>VLOOKUP(C28,'Foundation Calculation'!$E$2:$G$33,3,1)</f>
        <v>PT</v>
      </c>
      <c r="AY28" s="1354">
        <f>IF(AX28="PT",VLOOKUP(L28,'Foundation Calculation'!$K$2:$R$40,VLOOKUP(AW28,'Foundation Calculation'!$I$2:$J$8,2,FALSE),0),IF(AX28="K",VLOOKUP(L28,'Foundation Calculation'!$K$42:$R$80,VLOOKUP(AW28,'Foundation Calculation'!$I$2:$J$8,2,FALSE),0),""))</f>
        <v>3.5</v>
      </c>
      <c r="AZ28" s="1354"/>
      <c r="BA28" s="1355" t="s">
        <v>2809</v>
      </c>
      <c r="BB28" s="1285" t="str">
        <f>Pole_Calculations!A15</f>
        <v>App.7-V11A-P9.5.1.1</v>
      </c>
      <c r="BC28" s="823"/>
      <c r="BD28" s="1356"/>
      <c r="BE28" s="1356"/>
      <c r="BF28" s="1356"/>
      <c r="BG28" s="1356"/>
    </row>
    <row r="29" spans="1:59" s="1288" customFormat="1" ht="15.75" customHeight="1">
      <c r="A29" s="1285"/>
      <c r="B29" s="1285"/>
      <c r="C29" s="1350"/>
      <c r="D29" s="1285"/>
      <c r="E29" s="1285"/>
      <c r="F29" s="1351"/>
      <c r="G29" s="1352">
        <v>55</v>
      </c>
      <c r="H29" s="1285"/>
      <c r="I29" s="1351"/>
      <c r="J29" s="1350"/>
      <c r="K29" s="1285"/>
      <c r="L29" s="1285"/>
      <c r="M29" s="1285"/>
      <c r="N29" s="1285"/>
      <c r="O29" s="1285"/>
      <c r="P29" s="1285"/>
      <c r="Q29" s="1285"/>
      <c r="R29" s="1285"/>
      <c r="S29" s="1352">
        <f t="shared" ref="S29" si="9">AG30-AG28</f>
        <v>55</v>
      </c>
      <c r="T29" s="1285"/>
      <c r="U29" s="1285"/>
      <c r="V29" s="1285"/>
      <c r="W29" s="1285"/>
      <c r="X29" s="1285"/>
      <c r="Y29" s="1285"/>
      <c r="Z29" s="1285"/>
      <c r="AA29" s="1285"/>
      <c r="AB29" s="1285"/>
      <c r="AC29" s="1285"/>
      <c r="AD29" s="1285"/>
      <c r="AE29" s="1285"/>
      <c r="AF29" s="1285"/>
      <c r="AG29" s="1350"/>
      <c r="AH29" s="1285"/>
      <c r="AI29" s="1285"/>
      <c r="AJ29" s="1285"/>
      <c r="AK29" s="1285"/>
      <c r="AL29" s="1285"/>
      <c r="AM29" s="1285"/>
      <c r="AN29" s="1352"/>
      <c r="AO29" s="1285"/>
      <c r="AP29" s="1285"/>
      <c r="AQ29" s="1352">
        <f>+FL_1($T$30,$T$28,$G$29,1200,9.28, 1*$F$30)</f>
        <v>0.39714735709090898</v>
      </c>
      <c r="AR29" s="1285"/>
      <c r="AS29" s="1285"/>
      <c r="AT29" s="1352"/>
      <c r="AU29" s="1285"/>
      <c r="AV29" s="1285"/>
      <c r="AW29" s="1285"/>
      <c r="AX29" s="1285"/>
      <c r="AY29" s="1357"/>
      <c r="AZ29" s="1352"/>
      <c r="BA29" s="1358"/>
      <c r="BB29" s="1285"/>
      <c r="BC29" s="823"/>
      <c r="BD29" s="1356"/>
      <c r="BE29" s="1356"/>
      <c r="BF29" s="1356"/>
      <c r="BG29" s="1356"/>
    </row>
    <row r="30" spans="1:59" s="1288" customFormat="1" ht="15.75" customHeight="1">
      <c r="A30" s="1285"/>
      <c r="B30" s="1349" t="s">
        <v>3343</v>
      </c>
      <c r="C30" s="1350">
        <f>+$C$28+$G$29</f>
        <v>85575.07</v>
      </c>
      <c r="D30" s="1285"/>
      <c r="E30" s="1285"/>
      <c r="F30" s="1351">
        <v>0</v>
      </c>
      <c r="G30" s="1352"/>
      <c r="H30" s="1285"/>
      <c r="I30" s="1351"/>
      <c r="J30" s="1350"/>
      <c r="K30" s="1285"/>
      <c r="L30" s="1285" t="s">
        <v>229</v>
      </c>
      <c r="M30" s="1285" t="str">
        <f>IF(AX30="PT",VLOOKUP(L30,'Foundation Calculation'!$V$2:$X$40,VLOOKUP(AX30,'Foundation Calculation'!$I$10:$J$13,2,FALSE),0),IF(AX30="K",VLOOKUP(L30,'Foundation Calculation'!$V$42:$X$80,VLOOKUP(AX30,'Foundation Calculation'!$I$10:$J$13,2,FALSE),0),""))</f>
        <v>C3R</v>
      </c>
      <c r="N30" s="1285" t="s">
        <v>143</v>
      </c>
      <c r="O30" s="1285"/>
      <c r="P30" s="1285"/>
      <c r="Q30" s="1285">
        <v>0</v>
      </c>
      <c r="R30" s="1285">
        <v>0</v>
      </c>
      <c r="S30" s="1352"/>
      <c r="T30" s="1285">
        <v>-35</v>
      </c>
      <c r="U30" s="1285"/>
      <c r="V30" s="1285"/>
      <c r="W30" s="1285">
        <v>1.4</v>
      </c>
      <c r="X30" s="1285"/>
      <c r="Y30" s="1285"/>
      <c r="Z30" s="1285"/>
      <c r="AA30" s="1285"/>
      <c r="AB30" s="1285"/>
      <c r="AC30" s="1285" t="s">
        <v>4090</v>
      </c>
      <c r="AD30" s="1285"/>
      <c r="AE30" s="1285"/>
      <c r="AF30" s="1285">
        <v>6000</v>
      </c>
      <c r="AG30" s="1350">
        <v>85575</v>
      </c>
      <c r="AH30" s="1285">
        <v>2513</v>
      </c>
      <c r="AI30" s="1285">
        <v>510</v>
      </c>
      <c r="AJ30" s="1285"/>
      <c r="AK30" s="1285"/>
      <c r="AL30" s="1285"/>
      <c r="AM30" s="1285" t="s">
        <v>1042</v>
      </c>
      <c r="AN30" s="1352">
        <v>5.5</v>
      </c>
      <c r="AO30" s="1285"/>
      <c r="AP30" s="1285"/>
      <c r="AQ30" s="1352"/>
      <c r="AR30" s="1285"/>
      <c r="AS30" s="1285"/>
      <c r="AT30" s="1352">
        <f>+ab($T$30,$T$28,$T$32,$G$29,$G$31, 1*$F$30,1200)</f>
        <v>-7.8175501667728815</v>
      </c>
      <c r="AU30" s="1285"/>
      <c r="AV30" s="1285"/>
      <c r="AW30" s="1353" t="str">
        <f>VLOOKUP(C30,'Foundation Calculation'!$A$2:$C$33,3,1)</f>
        <v>Soil B</v>
      </c>
      <c r="AX30" s="1353" t="str">
        <f>VLOOKUP(C30,'Foundation Calculation'!$E$2:$G$33,3,1)</f>
        <v>PT</v>
      </c>
      <c r="AY30" s="1354">
        <f>IF(AX30="PT",VLOOKUP(L30,'Foundation Calculation'!$K$2:$R$40,VLOOKUP(AW30,'Foundation Calculation'!$I$2:$J$8,2,FALSE),0),IF(AX30="K",VLOOKUP(L30,'Foundation Calculation'!$K$42:$R$80,VLOOKUP(AW30,'Foundation Calculation'!$I$2:$J$8,2,FALSE),0),""))</f>
        <v>3.5</v>
      </c>
      <c r="AZ30" s="1354"/>
      <c r="BA30" s="1355" t="s">
        <v>2809</v>
      </c>
      <c r="BB30" s="1285" t="str">
        <f>Pole_Calculations!A15</f>
        <v>App.7-V11A-P9.5.1.1</v>
      </c>
      <c r="BC30" s="823"/>
      <c r="BD30" s="1356"/>
      <c r="BE30" s="1356"/>
      <c r="BF30" s="1356"/>
      <c r="BG30" s="1356"/>
    </row>
    <row r="31" spans="1:59" s="1288" customFormat="1" ht="15.75" customHeight="1">
      <c r="A31" s="1285"/>
      <c r="B31" s="1285"/>
      <c r="C31" s="1350"/>
      <c r="D31" s="1285"/>
      <c r="E31" s="1285"/>
      <c r="F31" s="1351"/>
      <c r="G31" s="1352">
        <v>60</v>
      </c>
      <c r="H31" s="1285"/>
      <c r="I31" s="1351"/>
      <c r="J31" s="1350"/>
      <c r="K31" s="1285"/>
      <c r="L31" s="1285"/>
      <c r="M31" s="1285"/>
      <c r="N31" s="1285"/>
      <c r="O31" s="1285"/>
      <c r="P31" s="1285"/>
      <c r="Q31" s="1285"/>
      <c r="R31" s="1285"/>
      <c r="S31" s="1352">
        <f t="shared" ref="S31" si="10">AG32-AG30</f>
        <v>60</v>
      </c>
      <c r="T31" s="1285"/>
      <c r="U31" s="1285"/>
      <c r="V31" s="1285"/>
      <c r="W31" s="1285"/>
      <c r="X31" s="1285"/>
      <c r="Y31" s="1285"/>
      <c r="Z31" s="1285"/>
      <c r="AA31" s="1285"/>
      <c r="AB31" s="1285"/>
      <c r="AC31" s="1285"/>
      <c r="AD31" s="1285"/>
      <c r="AE31" s="1285"/>
      <c r="AF31" s="1285"/>
      <c r="AG31" s="1350"/>
      <c r="AH31" s="1285"/>
      <c r="AI31" s="1285"/>
      <c r="AJ31" s="1285"/>
      <c r="AK31" s="1285"/>
      <c r="AL31" s="1285"/>
      <c r="AM31" s="1285"/>
      <c r="AN31" s="1352"/>
      <c r="AO31" s="1285"/>
      <c r="AP31" s="1285"/>
      <c r="AQ31" s="1352">
        <f>+FL_1($T$32,$T$30,$G$31,1200,9.28, 1*$F$32)</f>
        <v>0.43600286799999999</v>
      </c>
      <c r="AR31" s="1285"/>
      <c r="AS31" s="1285"/>
      <c r="AT31" s="1352"/>
      <c r="AU31" s="1285"/>
      <c r="AV31" s="1285"/>
      <c r="AW31" s="1285"/>
      <c r="AX31" s="1285"/>
      <c r="AY31" s="1357"/>
      <c r="AZ31" s="1352"/>
      <c r="BA31" s="1358"/>
      <c r="BB31" s="1285"/>
      <c r="BC31" s="823"/>
      <c r="BD31" s="1356"/>
      <c r="BE31" s="1356"/>
      <c r="BF31" s="1356"/>
      <c r="BG31" s="1356"/>
    </row>
    <row r="32" spans="1:59" s="1288" customFormat="1" ht="15.75" customHeight="1">
      <c r="A32" s="1285"/>
      <c r="B32" s="1349" t="s">
        <v>3344</v>
      </c>
      <c r="C32" s="1350">
        <f>+$C$30+$G$31</f>
        <v>85635.07</v>
      </c>
      <c r="D32" s="1285"/>
      <c r="E32" s="1285"/>
      <c r="F32" s="1351">
        <v>0</v>
      </c>
      <c r="G32" s="1352"/>
      <c r="H32" s="1285"/>
      <c r="I32" s="1351"/>
      <c r="J32" s="1350"/>
      <c r="K32" s="1285"/>
      <c r="L32" s="1285" t="s">
        <v>229</v>
      </c>
      <c r="M32" s="1285" t="str">
        <f>IF(AX32="PT",VLOOKUP(L32,'Foundation Calculation'!$V$2:$X$40,VLOOKUP(AX32,'Foundation Calculation'!$I$10:$J$13,2,FALSE),0),IF(AX32="K",VLOOKUP(L32,'Foundation Calculation'!$V$42:$X$80,VLOOKUP(AX32,'Foundation Calculation'!$I$10:$J$13,2,FALSE),0),""))</f>
        <v>C3R</v>
      </c>
      <c r="N32" s="1285" t="s">
        <v>144</v>
      </c>
      <c r="O32" s="1285"/>
      <c r="P32" s="1285"/>
      <c r="Q32" s="1285">
        <v>0</v>
      </c>
      <c r="R32" s="1285">
        <v>0</v>
      </c>
      <c r="S32" s="1352"/>
      <c r="T32" s="1285">
        <v>35</v>
      </c>
      <c r="U32" s="1285"/>
      <c r="V32" s="1285"/>
      <c r="W32" s="1285">
        <v>1.4</v>
      </c>
      <c r="X32" s="1285"/>
      <c r="Y32" s="1285"/>
      <c r="Z32" s="1285"/>
      <c r="AA32" s="1285"/>
      <c r="AB32" s="1285"/>
      <c r="AC32" s="1285" t="s">
        <v>4090</v>
      </c>
      <c r="AD32" s="1285"/>
      <c r="AE32" s="1285"/>
      <c r="AF32" s="1285">
        <v>6000</v>
      </c>
      <c r="AG32" s="1350">
        <v>85635</v>
      </c>
      <c r="AH32" s="1285">
        <v>2473</v>
      </c>
      <c r="AI32" s="1285">
        <v>530</v>
      </c>
      <c r="AJ32" s="1285"/>
      <c r="AK32" s="1285"/>
      <c r="AL32" s="1285"/>
      <c r="AM32" s="1285" t="s">
        <v>1042</v>
      </c>
      <c r="AN32" s="1352">
        <v>5.5</v>
      </c>
      <c r="AO32" s="1285"/>
      <c r="AP32" s="1285"/>
      <c r="AQ32" s="1352"/>
      <c r="AR32" s="1285"/>
      <c r="AS32" s="1285"/>
      <c r="AT32" s="1352">
        <f>+ab($T$32,$T$30,$T$34,$G$31,$G$33, 1*$F$32,1200)</f>
        <v>7.8175137683875535</v>
      </c>
      <c r="AU32" s="1285"/>
      <c r="AV32" s="1285"/>
      <c r="AW32" s="1353" t="str">
        <f>VLOOKUP(C32,'Foundation Calculation'!$A$2:$C$33,3,1)</f>
        <v>Soil B</v>
      </c>
      <c r="AX32" s="1353" t="str">
        <f>VLOOKUP(C32,'Foundation Calculation'!$E$2:$G$33,3,1)</f>
        <v>PT</v>
      </c>
      <c r="AY32" s="1354">
        <f>IF(AX32="PT",VLOOKUP(L32,'Foundation Calculation'!$K$2:$R$40,VLOOKUP(AW32,'Foundation Calculation'!$I$2:$J$8,2,FALSE),0),IF(AX32="K",VLOOKUP(L32,'Foundation Calculation'!$K$42:$R$80,VLOOKUP(AW32,'Foundation Calculation'!$I$2:$J$8,2,FALSE),0),""))</f>
        <v>3.5</v>
      </c>
      <c r="AZ32" s="1354"/>
      <c r="BA32" s="1355" t="s">
        <v>2809</v>
      </c>
      <c r="BB32" s="1285" t="str">
        <f>Pole_Calculations!A15</f>
        <v>App.7-V11A-P9.5.1.1</v>
      </c>
      <c r="BC32" s="823"/>
      <c r="BD32" s="1356"/>
      <c r="BE32" s="1356"/>
      <c r="BF32" s="1356"/>
      <c r="BG32" s="1356"/>
    </row>
    <row r="33" spans="1:59" s="1288" customFormat="1" ht="15.75" customHeight="1">
      <c r="A33" s="1285"/>
      <c r="B33" s="1285"/>
      <c r="C33" s="1350"/>
      <c r="D33" s="1285"/>
      <c r="E33" s="1285"/>
      <c r="F33" s="1351"/>
      <c r="G33" s="1352">
        <v>55</v>
      </c>
      <c r="H33" s="1285"/>
      <c r="I33" s="1351"/>
      <c r="J33" s="1350"/>
      <c r="K33" s="1285"/>
      <c r="L33" s="1285"/>
      <c r="M33" s="1285"/>
      <c r="N33" s="1285"/>
      <c r="O33" s="1285"/>
      <c r="P33" s="1285"/>
      <c r="Q33" s="1285"/>
      <c r="R33" s="1285"/>
      <c r="S33" s="1352">
        <f t="shared" ref="S33" si="11">AG34-AG32</f>
        <v>55</v>
      </c>
      <c r="T33" s="1285"/>
      <c r="U33" s="1285"/>
      <c r="V33" s="1285"/>
      <c r="W33" s="1285"/>
      <c r="X33" s="1285"/>
      <c r="Y33" s="1285"/>
      <c r="Z33" s="1285"/>
      <c r="AA33" s="1285"/>
      <c r="AB33" s="1285"/>
      <c r="AC33" s="1285"/>
      <c r="AD33" s="1285"/>
      <c r="AE33" s="1285"/>
      <c r="AF33" s="1285"/>
      <c r="AG33" s="1350"/>
      <c r="AH33" s="1285"/>
      <c r="AI33" s="1285"/>
      <c r="AJ33" s="1285"/>
      <c r="AK33" s="1285"/>
      <c r="AL33" s="1285"/>
      <c r="AM33" s="1285"/>
      <c r="AN33" s="1352"/>
      <c r="AO33" s="1285"/>
      <c r="AP33" s="1285"/>
      <c r="AQ33" s="1352">
        <f>+FL_1($T$34,$T$32,$G$33,1200,9.28, 1*$F$34)</f>
        <v>0.39714735709090898</v>
      </c>
      <c r="AR33" s="1285"/>
      <c r="AS33" s="1285"/>
      <c r="AT33" s="1352"/>
      <c r="AU33" s="1285"/>
      <c r="AV33" s="1285"/>
      <c r="AW33" s="1285"/>
      <c r="AX33" s="1285"/>
      <c r="AY33" s="1357"/>
      <c r="AZ33" s="1352"/>
      <c r="BA33" s="1358"/>
      <c r="BB33" s="1285"/>
      <c r="BC33" s="823"/>
      <c r="BD33" s="1356"/>
      <c r="BE33" s="1356"/>
      <c r="BF33" s="1356"/>
      <c r="BG33" s="1356"/>
    </row>
    <row r="34" spans="1:59" s="1288" customFormat="1" ht="15.75" customHeight="1">
      <c r="A34" s="1285"/>
      <c r="B34" s="1349" t="s">
        <v>3345</v>
      </c>
      <c r="C34" s="1350">
        <f>+$C$32+$G$33</f>
        <v>85690.07</v>
      </c>
      <c r="D34" s="1285"/>
      <c r="E34" s="1285"/>
      <c r="F34" s="1351">
        <v>0</v>
      </c>
      <c r="G34" s="1352"/>
      <c r="H34" s="1285"/>
      <c r="I34" s="1351"/>
      <c r="J34" s="1350"/>
      <c r="K34" s="1285"/>
      <c r="L34" s="1285" t="s">
        <v>229</v>
      </c>
      <c r="M34" s="1285" t="str">
        <f>IF(AX34="PT",VLOOKUP(L34,'Foundation Calculation'!$V$2:$X$40,VLOOKUP(AX34,'Foundation Calculation'!$I$10:$J$13,2,FALSE),0),IF(AX34="K",VLOOKUP(L34,'Foundation Calculation'!$V$42:$X$80,VLOOKUP(AX34,'Foundation Calculation'!$I$10:$J$13,2,FALSE),0),""))</f>
        <v>C3R</v>
      </c>
      <c r="N34" s="1285" t="s">
        <v>143</v>
      </c>
      <c r="O34" s="1285"/>
      <c r="P34" s="1285"/>
      <c r="Q34" s="1285">
        <v>0</v>
      </c>
      <c r="R34" s="1285">
        <v>0</v>
      </c>
      <c r="S34" s="1352"/>
      <c r="T34" s="1285">
        <v>-35</v>
      </c>
      <c r="U34" s="1285"/>
      <c r="V34" s="1285"/>
      <c r="W34" s="1285">
        <v>1.4</v>
      </c>
      <c r="X34" s="1285"/>
      <c r="Y34" s="1285"/>
      <c r="Z34" s="1285"/>
      <c r="AA34" s="1285"/>
      <c r="AB34" s="1285"/>
      <c r="AC34" s="1285" t="s">
        <v>4090</v>
      </c>
      <c r="AD34" s="1285"/>
      <c r="AE34" s="1285"/>
      <c r="AF34" s="1285">
        <v>6000</v>
      </c>
      <c r="AG34" s="1350">
        <v>85690</v>
      </c>
      <c r="AH34" s="1285">
        <v>2503</v>
      </c>
      <c r="AI34" s="1285">
        <v>500</v>
      </c>
      <c r="AJ34" s="1285"/>
      <c r="AK34" s="1285"/>
      <c r="AL34" s="1285"/>
      <c r="AM34" s="1285" t="s">
        <v>1042</v>
      </c>
      <c r="AN34" s="1352">
        <v>5.5</v>
      </c>
      <c r="AO34" s="1285"/>
      <c r="AP34" s="1285"/>
      <c r="AQ34" s="1352"/>
      <c r="AR34" s="1285"/>
      <c r="AS34" s="1285"/>
      <c r="AT34" s="1352">
        <f>+ab($T$34,$T$32,$T$36,$G$33,$G$35, 1*$F$34,1200)</f>
        <v>-7.2877338051932652</v>
      </c>
      <c r="AU34" s="1285"/>
      <c r="AV34" s="1285"/>
      <c r="AW34" s="1353" t="str">
        <f>VLOOKUP(C34,'Foundation Calculation'!$A$2:$C$33,3,1)</f>
        <v>Soil B</v>
      </c>
      <c r="AX34" s="1353" t="str">
        <f>VLOOKUP(C34,'Foundation Calculation'!$E$2:$G$33,3,1)</f>
        <v>PT</v>
      </c>
      <c r="AY34" s="1354">
        <f>IF(AX34="PT",VLOOKUP(L34,'Foundation Calculation'!$K$2:$R$40,VLOOKUP(AW34,'Foundation Calculation'!$I$2:$J$8,2,FALSE),0),IF(AX34="K",VLOOKUP(L34,'Foundation Calculation'!$K$42:$R$80,VLOOKUP(AW34,'Foundation Calculation'!$I$2:$J$8,2,FALSE),0),""))</f>
        <v>3.5</v>
      </c>
      <c r="AZ34" s="1354"/>
      <c r="BA34" s="1355" t="s">
        <v>2809</v>
      </c>
      <c r="BB34" s="1285" t="str">
        <f>Pole_Calculations!A15</f>
        <v>App.7-V11A-P9.5.1.1</v>
      </c>
      <c r="BC34" s="823"/>
      <c r="BD34" s="1356"/>
      <c r="BE34" s="1356"/>
      <c r="BF34" s="1356"/>
      <c r="BG34" s="1356"/>
    </row>
    <row r="35" spans="1:59" ht="15.75" customHeight="1">
      <c r="A35" s="647" t="s">
        <v>3049</v>
      </c>
      <c r="B35" s="647"/>
      <c r="C35" s="652"/>
      <c r="D35" s="647"/>
      <c r="E35" s="647"/>
      <c r="F35" s="650"/>
      <c r="G35" s="651">
        <v>52</v>
      </c>
      <c r="H35" s="647"/>
      <c r="I35" s="650"/>
      <c r="J35" s="652">
        <f>C36-7.5</f>
        <v>85734.57</v>
      </c>
      <c r="K35" s="647" t="s">
        <v>2787</v>
      </c>
      <c r="L35" s="647"/>
      <c r="M35" s="647"/>
      <c r="N35" s="647"/>
      <c r="O35" s="647"/>
      <c r="P35" s="647"/>
      <c r="Q35" s="647"/>
      <c r="R35" s="647"/>
      <c r="S35" s="651">
        <f t="shared" ref="S35" si="12">AG36-AG34</f>
        <v>44.619999999995343</v>
      </c>
      <c r="T35" s="647"/>
      <c r="U35" s="647"/>
      <c r="V35" s="647"/>
      <c r="W35" s="647"/>
      <c r="X35" s="647"/>
      <c r="Y35" s="647"/>
      <c r="Z35" s="647"/>
      <c r="AA35" s="647"/>
      <c r="AB35" s="647"/>
      <c r="AC35" s="647"/>
      <c r="AD35" s="647"/>
      <c r="AE35" s="647"/>
      <c r="AF35" s="647"/>
      <c r="AG35" s="652"/>
      <c r="AH35" s="647"/>
      <c r="AI35" s="647"/>
      <c r="AJ35" s="647"/>
      <c r="AK35" s="647"/>
      <c r="AL35" s="647"/>
      <c r="AM35" s="647"/>
      <c r="AN35" s="651"/>
      <c r="AO35" s="647"/>
      <c r="AP35" s="647"/>
      <c r="AQ35" s="651">
        <f>+FL_1($T$36,$T$34,$G$35,1200,9.28, 1*$F$36)</f>
        <v>0.37855025261538461</v>
      </c>
      <c r="AR35" s="647"/>
      <c r="AS35" s="647"/>
      <c r="AT35" s="651"/>
      <c r="AU35" s="647"/>
      <c r="AV35" s="647"/>
      <c r="AW35" s="653" t="str">
        <f>VLOOKUP(J35,'Foundation Calculation'!$A$2:$C$33,3,1)</f>
        <v>Soil B</v>
      </c>
      <c r="AX35" s="653" t="str">
        <f>VLOOKUP(J35,'Foundation Calculation'!$E$2:$G$33,3,1)</f>
        <v>PT</v>
      </c>
      <c r="AY35" s="654"/>
      <c r="AZ35" s="654">
        <f>IF(AX35="PT",VLOOKUP(K35,'Foundation Calculation'!$K$2:$R$40,VLOOKUP(AW35,'Foundation Calculation'!$I$2:$J$8,2,FALSE),0),IF(AX35="K",VLOOKUP(K35,'Foundation Calculation'!$K$42:$R$80,VLOOKUP(AW35,'Foundation Calculation'!$I$2:$J$8,2,FALSE),0),""))</f>
        <v>3.9</v>
      </c>
      <c r="BA35" s="701" t="s">
        <v>2809</v>
      </c>
      <c r="BB35" s="647"/>
      <c r="BC35" s="169"/>
      <c r="BD35" s="1329"/>
      <c r="BE35" s="1330"/>
      <c r="BF35" s="1330"/>
      <c r="BG35" s="1330"/>
    </row>
    <row r="36" spans="1:59" s="1288" customFormat="1" ht="15.75" customHeight="1">
      <c r="A36" s="1285"/>
      <c r="B36" s="1349" t="s">
        <v>3346</v>
      </c>
      <c r="C36" s="1350">
        <f>+$C$34+$G$35</f>
        <v>85742.07</v>
      </c>
      <c r="D36" s="1285"/>
      <c r="E36" s="1285"/>
      <c r="F36" s="1351">
        <v>0</v>
      </c>
      <c r="G36" s="1352"/>
      <c r="H36" s="1285" t="s">
        <v>138</v>
      </c>
      <c r="I36" s="1351" t="s">
        <v>623</v>
      </c>
      <c r="J36" s="1350"/>
      <c r="K36" s="1285"/>
      <c r="L36" s="1285" t="s">
        <v>898</v>
      </c>
      <c r="M36" s="1285" t="str">
        <f>IF(AX36="PT",VLOOKUP(L36,'Foundation Calculation'!$V$2:$X$40,VLOOKUP(AX36,'Foundation Calculation'!$I$10:$J$13,2,FALSE),0),IF(AX36="K",VLOOKUP(L36,'Foundation Calculation'!$V$42:$X$80,VLOOKUP(AX36,'Foundation Calculation'!$I$10:$J$13,2,FALSE),0),""))</f>
        <v>C4R</v>
      </c>
      <c r="N36" s="1285" t="s">
        <v>144</v>
      </c>
      <c r="O36" s="1285"/>
      <c r="P36" s="1285"/>
      <c r="Q36" s="1285">
        <v>0</v>
      </c>
      <c r="R36" s="1285">
        <v>0</v>
      </c>
      <c r="S36" s="1352"/>
      <c r="T36" s="1285">
        <v>35</v>
      </c>
      <c r="U36" s="1285"/>
      <c r="V36" s="1285"/>
      <c r="W36" s="1285">
        <v>1.4</v>
      </c>
      <c r="X36" s="1285"/>
      <c r="Y36" s="1285"/>
      <c r="Z36" s="1285"/>
      <c r="AA36" s="1285"/>
      <c r="AB36" s="1285"/>
      <c r="AC36" s="1285" t="s">
        <v>4090</v>
      </c>
      <c r="AD36" s="1285"/>
      <c r="AE36" s="1285"/>
      <c r="AF36" s="1285">
        <v>6000</v>
      </c>
      <c r="AG36" s="1350">
        <v>85734.62</v>
      </c>
      <c r="AH36" s="1285">
        <v>2303</v>
      </c>
      <c r="AI36" s="1285">
        <v>430</v>
      </c>
      <c r="AJ36" s="1285"/>
      <c r="AK36" s="1285"/>
      <c r="AL36" s="1285"/>
      <c r="AM36" s="1285" t="s">
        <v>1042</v>
      </c>
      <c r="AN36" s="1352">
        <v>5.5</v>
      </c>
      <c r="AO36" s="1285"/>
      <c r="AP36" s="1285"/>
      <c r="AQ36" s="1352"/>
      <c r="AR36" s="1285"/>
      <c r="AS36" s="1285"/>
      <c r="AT36" s="1352">
        <f>+ab($T$36,$T$34,$T$38,$G$35,$G$37, 1*$F$36,1200)</f>
        <v>8.257675680222242</v>
      </c>
      <c r="AU36" s="1285"/>
      <c r="AV36" s="1285"/>
      <c r="AW36" s="1353" t="str">
        <f>VLOOKUP(C36,'Foundation Calculation'!$A$2:$C$33,3,1)</f>
        <v>Soil B</v>
      </c>
      <c r="AX36" s="1353" t="str">
        <f>VLOOKUP(C36,'Foundation Calculation'!$E$2:$G$33,3,1)</f>
        <v>PT</v>
      </c>
      <c r="AY36" s="1354">
        <f>IF(AX36="PT",VLOOKUP(L36,'Foundation Calculation'!$K$2:$R$40,VLOOKUP(AW36,'Foundation Calculation'!$I$2:$J$8,2,FALSE),0),IF(AX36="K",VLOOKUP(L36,'Foundation Calculation'!$K$42:$R$80,VLOOKUP(AW36,'Foundation Calculation'!$I$2:$J$8,2,FALSE),0),""))</f>
        <v>3.5</v>
      </c>
      <c r="AZ36" s="1354"/>
      <c r="BA36" s="1355" t="s">
        <v>2809</v>
      </c>
      <c r="BB36" s="1285" t="str">
        <f>Pole_Calculations!A20</f>
        <v>App.7-V11A-P9.5.1.6</v>
      </c>
      <c r="BC36" s="823"/>
      <c r="BD36" s="1356"/>
      <c r="BE36" s="1356"/>
      <c r="BF36" s="1356"/>
      <c r="BG36" s="1356"/>
    </row>
    <row r="37" spans="1:59" s="1288" customFormat="1" ht="15.75" customHeight="1">
      <c r="A37" s="1285"/>
      <c r="B37" s="1285"/>
      <c r="C37" s="1350"/>
      <c r="D37" s="1285"/>
      <c r="E37" s="1285"/>
      <c r="F37" s="1351"/>
      <c r="G37" s="1352">
        <v>52</v>
      </c>
      <c r="H37" s="1285"/>
      <c r="I37" s="1351"/>
      <c r="J37" s="1350"/>
      <c r="K37" s="1285"/>
      <c r="L37" s="1285"/>
      <c r="M37" s="1285"/>
      <c r="N37" s="1285"/>
      <c r="O37" s="1285"/>
      <c r="P37" s="1285"/>
      <c r="Q37" s="1285"/>
      <c r="R37" s="1285"/>
      <c r="S37" s="1352">
        <f t="shared" ref="S37" si="13">AG38-AG36</f>
        <v>59.380000000004657</v>
      </c>
      <c r="T37" s="1285"/>
      <c r="U37" s="1285"/>
      <c r="V37" s="1285"/>
      <c r="W37" s="1285"/>
      <c r="X37" s="1285"/>
      <c r="Y37" s="1285"/>
      <c r="Z37" s="1285"/>
      <c r="AA37" s="1285"/>
      <c r="AB37" s="1285"/>
      <c r="AC37" s="1285"/>
      <c r="AD37" s="1285"/>
      <c r="AE37" s="1285"/>
      <c r="AF37" s="1285"/>
      <c r="AG37" s="1350"/>
      <c r="AH37" s="1285"/>
      <c r="AI37" s="1285"/>
      <c r="AJ37" s="1285"/>
      <c r="AK37" s="1285"/>
      <c r="AL37" s="1285"/>
      <c r="AM37" s="1285"/>
      <c r="AN37" s="1352"/>
      <c r="AO37" s="1285"/>
      <c r="AP37" s="1285"/>
      <c r="AQ37" s="1352">
        <f>+FL_2($U$38,$T$36,$G$37,1200,9.28, 1*$F$38)</f>
        <v>-0.37855025261538461</v>
      </c>
      <c r="AR37" s="1285"/>
      <c r="AS37" s="1285"/>
      <c r="AT37" s="1352"/>
      <c r="AU37" s="1285"/>
      <c r="AV37" s="1285"/>
      <c r="AW37" s="1285"/>
      <c r="AX37" s="1285"/>
      <c r="AY37" s="1352"/>
      <c r="AZ37" s="1352"/>
      <c r="BA37" s="1358"/>
      <c r="BB37" s="1285"/>
      <c r="BC37" s="823"/>
      <c r="BD37" s="1356"/>
      <c r="BE37" s="1356"/>
      <c r="BF37" s="1356"/>
      <c r="BG37" s="1356"/>
    </row>
    <row r="38" spans="1:59" s="1288" customFormat="1" ht="15.75" customHeight="1">
      <c r="A38" s="1285"/>
      <c r="B38" s="1349" t="s">
        <v>3347</v>
      </c>
      <c r="C38" s="1350">
        <f>+$C$36+$G$37</f>
        <v>85794.07</v>
      </c>
      <c r="D38" s="1285"/>
      <c r="E38" s="1285"/>
      <c r="F38" s="1351">
        <v>0</v>
      </c>
      <c r="G38" s="1352"/>
      <c r="H38" s="1285" t="s">
        <v>619</v>
      </c>
      <c r="I38" s="1351"/>
      <c r="J38" s="1350"/>
      <c r="K38" s="1285"/>
      <c r="L38" s="1285" t="s">
        <v>895</v>
      </c>
      <c r="M38" s="1285" t="str">
        <f>IF(AX38="PT",VLOOKUP(L38,'Foundation Calculation'!$V$2:$X$40,VLOOKUP(AX38,'Foundation Calculation'!$I$10:$J$13,2,FALSE),0),IF(AX38="K",VLOOKUP(L38,'Foundation Calculation'!$V$42:$X$80,VLOOKUP(AX38,'Foundation Calculation'!$I$10:$J$13,2,FALSE),0),""))</f>
        <v>2C3R</v>
      </c>
      <c r="N38" s="1285" t="s">
        <v>140</v>
      </c>
      <c r="O38" s="1285" t="s">
        <v>143</v>
      </c>
      <c r="P38" s="1285"/>
      <c r="Q38" s="1285">
        <v>0</v>
      </c>
      <c r="R38" s="1285">
        <v>0</v>
      </c>
      <c r="S38" s="1352"/>
      <c r="T38" s="1285">
        <v>-15</v>
      </c>
      <c r="U38" s="1285">
        <v>-35</v>
      </c>
      <c r="V38" s="1285"/>
      <c r="W38" s="1285">
        <v>1.4</v>
      </c>
      <c r="X38" s="1285">
        <v>2.2999999999999998</v>
      </c>
      <c r="Y38" s="1285"/>
      <c r="Z38" s="1285">
        <v>0.6</v>
      </c>
      <c r="AA38" s="1285"/>
      <c r="AB38" s="1285"/>
      <c r="AC38" s="1285" t="s">
        <v>1421</v>
      </c>
      <c r="AD38" s="1285"/>
      <c r="AE38" s="1285"/>
      <c r="AF38" s="1285">
        <v>6000</v>
      </c>
      <c r="AG38" s="1350">
        <v>85794</v>
      </c>
      <c r="AH38" s="1285">
        <v>2273</v>
      </c>
      <c r="AI38" s="1285">
        <v>590</v>
      </c>
      <c r="AJ38" s="1285"/>
      <c r="AK38" s="1285"/>
      <c r="AL38" s="1285"/>
      <c r="AM38" s="1285" t="s">
        <v>1042</v>
      </c>
      <c r="AN38" s="1352">
        <v>5.5</v>
      </c>
      <c r="AO38" s="1285"/>
      <c r="AP38" s="1285"/>
      <c r="AQ38" s="1352"/>
      <c r="AR38" s="1285"/>
      <c r="AS38" s="1285"/>
      <c r="AT38" s="1352">
        <f>+ab($U$38,$T$36,$U$40,$G$37,$G$39, 1*$F$38,1200)</f>
        <v>-8.7361724589719891</v>
      </c>
      <c r="AU38" s="1285"/>
      <c r="AV38" s="1285"/>
      <c r="AW38" s="1353" t="str">
        <f>VLOOKUP(C38,'Foundation Calculation'!$A$2:$C$33,3,1)</f>
        <v>Soil B</v>
      </c>
      <c r="AX38" s="1353" t="str">
        <f>VLOOKUP(C38,'Foundation Calculation'!$E$2:$G$33,3,1)</f>
        <v>PT</v>
      </c>
      <c r="AY38" s="1354">
        <f>IF(AX38="PT",VLOOKUP(L38,'Foundation Calculation'!$K$2:$R$40,VLOOKUP(AW38,'Foundation Calculation'!$I$2:$J$8,2,FALSE),0),IF(AX38="K",VLOOKUP(L38,'Foundation Calculation'!$K$42:$R$80,VLOOKUP(AW38,'Foundation Calculation'!$I$2:$J$8,2,FALSE),0),""))</f>
        <v>3.5</v>
      </c>
      <c r="AZ38" s="1354"/>
      <c r="BA38" s="1355" t="s">
        <v>2809</v>
      </c>
      <c r="BB38" s="1285" t="str">
        <f>Pole_Calculations!A19</f>
        <v>App.7-V11A-P9.5.1.5</v>
      </c>
      <c r="BC38" s="823"/>
      <c r="BD38" s="1356"/>
      <c r="BE38" s="1356"/>
      <c r="BF38" s="1356"/>
      <c r="BG38" s="1356"/>
    </row>
    <row r="39" spans="1:59" s="1288" customFormat="1" ht="15.75" customHeight="1">
      <c r="A39" s="1285"/>
      <c r="B39" s="1285"/>
      <c r="C39" s="1350"/>
      <c r="D39" s="1285"/>
      <c r="E39" s="1285"/>
      <c r="F39" s="1351"/>
      <c r="G39" s="1352">
        <v>60</v>
      </c>
      <c r="H39" s="1285"/>
      <c r="I39" s="1351"/>
      <c r="J39" s="1350"/>
      <c r="K39" s="1285"/>
      <c r="L39" s="1285"/>
      <c r="M39" s="1285"/>
      <c r="N39" s="1285"/>
      <c r="O39" s="1285"/>
      <c r="P39" s="1285"/>
      <c r="Q39" s="1285"/>
      <c r="R39" s="1285"/>
      <c r="S39" s="1352">
        <f t="shared" ref="S39" si="14">AG40-AG38</f>
        <v>60</v>
      </c>
      <c r="T39" s="1285"/>
      <c r="U39" s="1285"/>
      <c r="V39" s="1285"/>
      <c r="W39" s="1285"/>
      <c r="X39" s="1285"/>
      <c r="Y39" s="1285"/>
      <c r="Z39" s="1285"/>
      <c r="AA39" s="1285"/>
      <c r="AB39" s="1285"/>
      <c r="AC39" s="1285"/>
      <c r="AD39" s="1285"/>
      <c r="AE39" s="1285"/>
      <c r="AF39" s="1285"/>
      <c r="AG39" s="1350"/>
      <c r="AH39" s="1285"/>
      <c r="AI39" s="1285"/>
      <c r="AJ39" s="1285"/>
      <c r="AK39" s="1285"/>
      <c r="AL39" s="1285"/>
      <c r="AM39" s="1285"/>
      <c r="AN39" s="1352"/>
      <c r="AO39" s="1285"/>
      <c r="AP39" s="1285"/>
      <c r="AQ39" s="1352">
        <f>+FL_1($T$40,$U$38,$G$39,1200,9.28, 1*$F$40)</f>
        <v>0.43600286799999999</v>
      </c>
      <c r="AR39" s="1285"/>
      <c r="AS39" s="1285"/>
      <c r="AT39" s="1352"/>
      <c r="AU39" s="1285"/>
      <c r="AV39" s="1285"/>
      <c r="AW39" s="1285"/>
      <c r="AX39" s="1285"/>
      <c r="AY39" s="1352"/>
      <c r="AZ39" s="1352"/>
      <c r="BA39" s="1358"/>
      <c r="BB39" s="1285"/>
      <c r="BC39" s="823"/>
      <c r="BD39" s="1356"/>
      <c r="BE39" s="1356"/>
      <c r="BF39" s="1356"/>
      <c r="BG39" s="1356"/>
    </row>
    <row r="40" spans="1:59" s="1288" customFormat="1" ht="15.75" customHeight="1">
      <c r="A40" s="1285"/>
      <c r="B40" s="1349" t="s">
        <v>3348</v>
      </c>
      <c r="C40" s="1350">
        <f>+$C$38+$G$39</f>
        <v>85854.07</v>
      </c>
      <c r="D40" s="1285"/>
      <c r="E40" s="1285"/>
      <c r="F40" s="1351">
        <v>0</v>
      </c>
      <c r="G40" s="1352"/>
      <c r="H40" s="1285" t="s">
        <v>619</v>
      </c>
      <c r="I40" s="1351"/>
      <c r="J40" s="1350"/>
      <c r="K40" s="1285"/>
      <c r="L40" s="1285" t="s">
        <v>895</v>
      </c>
      <c r="M40" s="1285" t="str">
        <f>IF(AX40="PT",VLOOKUP(L40,'Foundation Calculation'!$V$2:$X$40,VLOOKUP(AX40,'Foundation Calculation'!$I$10:$J$13,2,FALSE),0),IF(AX40="K",VLOOKUP(L40,'Foundation Calculation'!$V$42:$X$80,VLOOKUP(AX40,'Foundation Calculation'!$I$10:$J$13,2,FALSE),0),""))</f>
        <v>2C3R</v>
      </c>
      <c r="N40" s="1285" t="s">
        <v>144</v>
      </c>
      <c r="O40" s="1285" t="s">
        <v>140</v>
      </c>
      <c r="P40" s="1285"/>
      <c r="Q40" s="1285">
        <v>0</v>
      </c>
      <c r="R40" s="1285">
        <v>0</v>
      </c>
      <c r="S40" s="1352"/>
      <c r="T40" s="1285">
        <v>35</v>
      </c>
      <c r="U40" s="1285">
        <v>15</v>
      </c>
      <c r="V40" s="1285"/>
      <c r="W40" s="1285">
        <v>1.4</v>
      </c>
      <c r="X40" s="1285">
        <v>2.2999999999999998</v>
      </c>
      <c r="Y40" s="1285"/>
      <c r="Z40" s="1285"/>
      <c r="AA40" s="1285">
        <v>0.6</v>
      </c>
      <c r="AB40" s="1285"/>
      <c r="AC40" s="1285" t="s">
        <v>1421</v>
      </c>
      <c r="AD40" s="1285"/>
      <c r="AE40" s="1285"/>
      <c r="AF40" s="1285">
        <v>6000</v>
      </c>
      <c r="AG40" s="1350">
        <v>85854</v>
      </c>
      <c r="AH40" s="1285">
        <v>2323</v>
      </c>
      <c r="AI40" s="1285">
        <v>580</v>
      </c>
      <c r="AJ40" s="1285"/>
      <c r="AK40" s="1285"/>
      <c r="AL40" s="1285"/>
      <c r="AM40" s="1285" t="s">
        <v>1042</v>
      </c>
      <c r="AN40" s="1352">
        <v>5.5</v>
      </c>
      <c r="AO40" s="1285"/>
      <c r="AP40" s="1285"/>
      <c r="AQ40" s="1352"/>
      <c r="AR40" s="1285"/>
      <c r="AS40" s="1285"/>
      <c r="AT40" s="1352">
        <f>+ab($T$40,$T$38,$T$42,$G$39,$G$41, 1*$F$40,1200)</f>
        <v>8.7361282580169632</v>
      </c>
      <c r="AU40" s="1285"/>
      <c r="AV40" s="1285"/>
      <c r="AW40" s="1353" t="str">
        <f>VLOOKUP(C40,'Foundation Calculation'!$A$2:$C$33,3,1)</f>
        <v>Soil B</v>
      </c>
      <c r="AX40" s="1353" t="str">
        <f>VLOOKUP(C40,'Foundation Calculation'!$E$2:$G$33,3,1)</f>
        <v>PT</v>
      </c>
      <c r="AY40" s="1354">
        <f>IF(AX40="PT",VLOOKUP(L40,'Foundation Calculation'!$K$2:$R$40,VLOOKUP(AW40,'Foundation Calculation'!$I$2:$J$8,2,FALSE),0),IF(AX40="K",VLOOKUP(L40,'Foundation Calculation'!$K$42:$R$80,VLOOKUP(AW40,'Foundation Calculation'!$I$2:$J$8,2,FALSE),0),""))</f>
        <v>3.5</v>
      </c>
      <c r="AZ40" s="1354"/>
      <c r="BA40" s="1355" t="s">
        <v>2809</v>
      </c>
      <c r="BB40" s="1285" t="str">
        <f>Pole_Calculations!A19</f>
        <v>App.7-V11A-P9.5.1.5</v>
      </c>
      <c r="BC40" s="823"/>
      <c r="BD40" s="1356"/>
      <c r="BE40" s="1356"/>
      <c r="BF40" s="1356"/>
      <c r="BG40" s="1356"/>
    </row>
    <row r="41" spans="1:59" s="1288" customFormat="1" ht="15.75" customHeight="1">
      <c r="A41" s="1285"/>
      <c r="B41" s="1285"/>
      <c r="C41" s="1350"/>
      <c r="D41" s="1285"/>
      <c r="E41" s="1285"/>
      <c r="F41" s="1351"/>
      <c r="G41" s="1352">
        <v>52</v>
      </c>
      <c r="H41" s="1285"/>
      <c r="I41" s="1351"/>
      <c r="J41" s="1350"/>
      <c r="K41" s="1285"/>
      <c r="L41" s="1285"/>
      <c r="M41" s="1285"/>
      <c r="N41" s="1285"/>
      <c r="O41" s="1285"/>
      <c r="P41" s="1285"/>
      <c r="Q41" s="1285"/>
      <c r="R41" s="1285"/>
      <c r="S41" s="1352">
        <f t="shared" ref="S41" si="15">AG42-AG40</f>
        <v>52</v>
      </c>
      <c r="T41" s="1285"/>
      <c r="U41" s="1285"/>
      <c r="V41" s="1285"/>
      <c r="W41" s="1285"/>
      <c r="X41" s="1285"/>
      <c r="Y41" s="1285"/>
      <c r="Z41" s="1285"/>
      <c r="AA41" s="1285"/>
      <c r="AB41" s="1285"/>
      <c r="AC41" s="1285"/>
      <c r="AD41" s="1285"/>
      <c r="AE41" s="1285"/>
      <c r="AF41" s="1285"/>
      <c r="AG41" s="1350"/>
      <c r="AH41" s="1285"/>
      <c r="AI41" s="1285"/>
      <c r="AJ41" s="1285"/>
      <c r="AK41" s="1285"/>
      <c r="AL41" s="1285"/>
      <c r="AM41" s="1285"/>
      <c r="AN41" s="1352"/>
      <c r="AO41" s="1285"/>
      <c r="AP41" s="1285"/>
      <c r="AQ41" s="1352">
        <f>+FL_2($T$42,$T$40,$G$41,1200,9.28, 1*$F$42)</f>
        <v>-0.37855025261538461</v>
      </c>
      <c r="AR41" s="1285"/>
      <c r="AS41" s="1285"/>
      <c r="AT41" s="1352"/>
      <c r="AU41" s="1285"/>
      <c r="AV41" s="1285"/>
      <c r="AW41" s="1285"/>
      <c r="AX41" s="1285"/>
      <c r="AY41" s="1352"/>
      <c r="AZ41" s="1352"/>
      <c r="BA41" s="1358"/>
      <c r="BB41" s="1285"/>
      <c r="BC41" s="823"/>
      <c r="BD41" s="1356"/>
      <c r="BE41" s="1356"/>
      <c r="BF41" s="1356"/>
      <c r="BG41" s="1356"/>
    </row>
    <row r="42" spans="1:59" s="1288" customFormat="1" ht="15.75" customHeight="1">
      <c r="A42" s="1285"/>
      <c r="B42" s="1349" t="s">
        <v>3349</v>
      </c>
      <c r="C42" s="1350">
        <f>+$C$40+$G$41</f>
        <v>85906.07</v>
      </c>
      <c r="D42" s="1285"/>
      <c r="E42" s="1285"/>
      <c r="F42" s="1351">
        <v>0</v>
      </c>
      <c r="G42" s="1352"/>
      <c r="H42" s="1285" t="s">
        <v>138</v>
      </c>
      <c r="I42" s="1351" t="s">
        <v>623</v>
      </c>
      <c r="J42" s="1350"/>
      <c r="K42" s="1285"/>
      <c r="L42" s="1285" t="s">
        <v>898</v>
      </c>
      <c r="M42" s="1285" t="str">
        <f>IF(AX42="PT",VLOOKUP(L42,'Foundation Calculation'!$V$2:$X$40,VLOOKUP(AX42,'Foundation Calculation'!$I$10:$J$13,2,FALSE),0),IF(AX42="K",VLOOKUP(L42,'Foundation Calculation'!$V$42:$X$80,VLOOKUP(AX42,'Foundation Calculation'!$I$10:$J$13,2,FALSE),0),""))</f>
        <v>C4R</v>
      </c>
      <c r="N42" s="1285" t="s">
        <v>143</v>
      </c>
      <c r="O42" s="1285"/>
      <c r="P42" s="1285"/>
      <c r="Q42" s="1285">
        <v>0</v>
      </c>
      <c r="R42" s="1285">
        <v>0</v>
      </c>
      <c r="S42" s="1352"/>
      <c r="T42" s="1285">
        <v>-35</v>
      </c>
      <c r="U42" s="1285"/>
      <c r="V42" s="1285"/>
      <c r="W42" s="1285">
        <v>1.4</v>
      </c>
      <c r="X42" s="1285"/>
      <c r="Y42" s="1285"/>
      <c r="Z42" s="1285"/>
      <c r="AA42" s="1285"/>
      <c r="AB42" s="1285"/>
      <c r="AC42" s="1285" t="s">
        <v>4090</v>
      </c>
      <c r="AD42" s="1285"/>
      <c r="AE42" s="1285"/>
      <c r="AF42" s="1285">
        <v>6000</v>
      </c>
      <c r="AG42" s="1350">
        <v>85906</v>
      </c>
      <c r="AH42" s="1285">
        <v>2283</v>
      </c>
      <c r="AI42" s="1285">
        <v>550</v>
      </c>
      <c r="AJ42" s="1285"/>
      <c r="AK42" s="1285"/>
      <c r="AL42" s="1285"/>
      <c r="AM42" s="1285" t="s">
        <v>1042</v>
      </c>
      <c r="AN42" s="1352">
        <v>5.5</v>
      </c>
      <c r="AO42" s="1285"/>
      <c r="AP42" s="1285"/>
      <c r="AQ42" s="1352"/>
      <c r="AR42" s="1285"/>
      <c r="AS42" s="1285"/>
      <c r="AT42" s="1352">
        <f>+ab($T$42,$T$40,$T$44,$G$41,$G$43, 1*$F$42,1200)</f>
        <v>-6.9533622030276581</v>
      </c>
      <c r="AU42" s="1285"/>
      <c r="AV42" s="1285"/>
      <c r="AW42" s="1353" t="str">
        <f>VLOOKUP(C42,'Foundation Calculation'!$A$2:$C$33,3,1)</f>
        <v>Soil B</v>
      </c>
      <c r="AX42" s="1353" t="str">
        <f>VLOOKUP(C42,'Foundation Calculation'!$E$2:$G$33,3,1)</f>
        <v>PT</v>
      </c>
      <c r="AY42" s="1354">
        <f>IF(AX42="PT",VLOOKUP(L42,'Foundation Calculation'!$K$2:$R$40,VLOOKUP(AW42,'Foundation Calculation'!$I$2:$J$8,2,FALSE),0),IF(AX42="K",VLOOKUP(L42,'Foundation Calculation'!$K$42:$R$80,VLOOKUP(AW42,'Foundation Calculation'!$I$2:$J$8,2,FALSE),0),""))</f>
        <v>3.5</v>
      </c>
      <c r="AZ42" s="1354"/>
      <c r="BA42" s="1355" t="s">
        <v>2809</v>
      </c>
      <c r="BB42" s="1285" t="str">
        <f>Pole_Calculations!A20</f>
        <v>App.7-V11A-P9.5.1.6</v>
      </c>
      <c r="BC42" s="823"/>
      <c r="BD42" s="1356"/>
      <c r="BE42" s="1356"/>
      <c r="BF42" s="1356"/>
      <c r="BG42" s="1356"/>
    </row>
    <row r="43" spans="1:59" ht="15.75" customHeight="1">
      <c r="A43" s="647" t="s">
        <v>3049</v>
      </c>
      <c r="B43" s="647"/>
      <c r="C43" s="652"/>
      <c r="D43" s="647"/>
      <c r="E43" s="647"/>
      <c r="F43" s="700"/>
      <c r="G43" s="651">
        <v>50</v>
      </c>
      <c r="H43" s="647"/>
      <c r="I43" s="650"/>
      <c r="J43" s="652">
        <f>C42+7.5</f>
        <v>85913.57</v>
      </c>
      <c r="K43" s="647" t="s">
        <v>2787</v>
      </c>
      <c r="L43" s="647"/>
      <c r="M43" s="647"/>
      <c r="N43" s="647"/>
      <c r="O43" s="647"/>
      <c r="P43" s="647"/>
      <c r="Q43" s="647"/>
      <c r="R43" s="647"/>
      <c r="S43" s="651">
        <f t="shared" ref="S43" si="16">AG44-AG42</f>
        <v>50</v>
      </c>
      <c r="T43" s="647"/>
      <c r="U43" s="647"/>
      <c r="V43" s="647"/>
      <c r="W43" s="647"/>
      <c r="X43" s="647"/>
      <c r="Y43" s="647"/>
      <c r="Z43" s="647"/>
      <c r="AA43" s="647"/>
      <c r="AB43" s="647"/>
      <c r="AC43" s="647"/>
      <c r="AD43" s="647"/>
      <c r="AE43" s="647"/>
      <c r="AF43" s="647"/>
      <c r="AG43" s="652"/>
      <c r="AH43" s="647"/>
      <c r="AI43" s="647"/>
      <c r="AJ43" s="647"/>
      <c r="AK43" s="647"/>
      <c r="AL43" s="647"/>
      <c r="AM43" s="647"/>
      <c r="AN43" s="651"/>
      <c r="AO43" s="647"/>
      <c r="AP43" s="647"/>
      <c r="AQ43" s="651">
        <f>+FL_1($T$44,$T$42,$G$43,1200,9.28, 1*$F$44)</f>
        <v>0.36890217092008915</v>
      </c>
      <c r="AR43" s="647"/>
      <c r="AS43" s="647"/>
      <c r="AT43" s="651"/>
      <c r="AU43" s="647"/>
      <c r="AV43" s="647"/>
      <c r="AW43" s="653" t="str">
        <f>VLOOKUP(J43,'Foundation Calculation'!$A$2:$C$33,3,1)</f>
        <v>Soil B</v>
      </c>
      <c r="AX43" s="653" t="str">
        <f>VLOOKUP(J43,'Foundation Calculation'!$E$2:$G$33,3,1)</f>
        <v>PT</v>
      </c>
      <c r="AY43" s="654"/>
      <c r="AZ43" s="654">
        <f>IF(AX43="PT",VLOOKUP(K43,'Foundation Calculation'!$K$2:$R$40,VLOOKUP(AW43,'Foundation Calculation'!$I$2:$J$8,2,FALSE),0),IF(AX43="K",VLOOKUP(K43,'Foundation Calculation'!$K$42:$R$80,VLOOKUP(AW43,'Foundation Calculation'!$I$2:$J$8,2,FALSE),0),""))</f>
        <v>3.9</v>
      </c>
      <c r="BA43" s="701" t="s">
        <v>2809</v>
      </c>
      <c r="BB43" s="647"/>
      <c r="BC43" s="169"/>
      <c r="BD43" s="1329"/>
      <c r="BE43" s="1330"/>
      <c r="BF43" s="1330"/>
      <c r="BG43" s="1330"/>
    </row>
    <row r="44" spans="1:59" s="1288" customFormat="1" ht="15.75" customHeight="1">
      <c r="A44" s="1285"/>
      <c r="B44" s="1349" t="s">
        <v>3350</v>
      </c>
      <c r="C44" s="1350">
        <f>+$C$42+$G$43</f>
        <v>85956.07</v>
      </c>
      <c r="D44" s="1285"/>
      <c r="E44" s="1285"/>
      <c r="F44" s="1351">
        <f>(675^2)/(85954.51-C44)</f>
        <v>-292067.30769001914</v>
      </c>
      <c r="G44" s="1352"/>
      <c r="H44" s="1285"/>
      <c r="I44" s="1351"/>
      <c r="J44" s="1350"/>
      <c r="K44" s="1285"/>
      <c r="L44" s="1285" t="s">
        <v>229</v>
      </c>
      <c r="M44" s="1285" t="str">
        <f>IF(AX44="PT",VLOOKUP(L44,'Foundation Calculation'!$V$2:$X$40,VLOOKUP(AX44,'Foundation Calculation'!$I$10:$J$13,2,FALSE),0),IF(AX44="K",VLOOKUP(L44,'Foundation Calculation'!$V$42:$X$80,VLOOKUP(AX44,'Foundation Calculation'!$I$10:$J$13,2,FALSE),0),""))</f>
        <v>C3R</v>
      </c>
      <c r="N44" s="1285" t="s">
        <v>144</v>
      </c>
      <c r="O44" s="1285"/>
      <c r="P44" s="1285"/>
      <c r="Q44" s="1285">
        <v>0</v>
      </c>
      <c r="R44" s="1285">
        <v>0</v>
      </c>
      <c r="S44" s="1352"/>
      <c r="T44" s="1285">
        <v>35</v>
      </c>
      <c r="U44" s="1285"/>
      <c r="V44" s="1285"/>
      <c r="W44" s="1285">
        <v>1.4</v>
      </c>
      <c r="X44" s="1285"/>
      <c r="Y44" s="1285"/>
      <c r="Z44" s="1285"/>
      <c r="AA44" s="1285"/>
      <c r="AB44" s="1285"/>
      <c r="AC44" s="1285" t="s">
        <v>4090</v>
      </c>
      <c r="AD44" s="1285"/>
      <c r="AE44" s="1285"/>
      <c r="AF44" s="1285">
        <v>6000</v>
      </c>
      <c r="AG44" s="1350">
        <v>85956</v>
      </c>
      <c r="AH44" s="1285">
        <v>2293</v>
      </c>
      <c r="AI44" s="1285">
        <v>300</v>
      </c>
      <c r="AJ44" s="1285"/>
      <c r="AK44" s="1285"/>
      <c r="AL44" s="1285"/>
      <c r="AM44" s="1285" t="s">
        <v>1042</v>
      </c>
      <c r="AN44" s="1352">
        <v>5.42</v>
      </c>
      <c r="AO44" s="1285"/>
      <c r="AP44" s="1285"/>
      <c r="AQ44" s="1352"/>
      <c r="AR44" s="1285"/>
      <c r="AS44" s="1285"/>
      <c r="AT44" s="1352">
        <f>+ab($T$44,$T$42,$T$46,$G$43,$G$45, 1*$F$44,1200)</f>
        <v>6.0986367637251826</v>
      </c>
      <c r="AU44" s="1285"/>
      <c r="AV44" s="1285"/>
      <c r="AW44" s="1353" t="str">
        <f>VLOOKUP(C44,'Foundation Calculation'!$A$2:$C$33,3,1)</f>
        <v>Soil B</v>
      </c>
      <c r="AX44" s="1353" t="str">
        <f>VLOOKUP(C44,'Foundation Calculation'!$E$2:$G$33,3,1)</f>
        <v>PT</v>
      </c>
      <c r="AY44" s="1354">
        <f>IF(AX44="PT",VLOOKUP(L44,'Foundation Calculation'!$K$2:$R$40,VLOOKUP(AW44,'Foundation Calculation'!$I$2:$J$8,2,FALSE),0),IF(AX44="K",VLOOKUP(L44,'Foundation Calculation'!$K$42:$R$80,VLOOKUP(AW44,'Foundation Calculation'!$I$2:$J$8,2,FALSE),0),""))</f>
        <v>3.5</v>
      </c>
      <c r="AZ44" s="1354"/>
      <c r="BA44" s="1355" t="s">
        <v>2809</v>
      </c>
      <c r="BB44" s="1285" t="str">
        <f>Pole_Calculations!A15</f>
        <v>App.7-V11A-P9.5.1.1</v>
      </c>
      <c r="BC44" s="823"/>
      <c r="BD44" s="1356"/>
      <c r="BE44" s="1356"/>
      <c r="BF44" s="1356"/>
      <c r="BG44" s="1356"/>
    </row>
    <row r="45" spans="1:59" s="1288" customFormat="1" ht="15.75" customHeight="1">
      <c r="A45" s="1285"/>
      <c r="B45" s="1285"/>
      <c r="C45" s="1350"/>
      <c r="D45" s="1285"/>
      <c r="E45" s="1285"/>
      <c r="F45" s="1351"/>
      <c r="G45" s="1352">
        <v>40</v>
      </c>
      <c r="H45" s="1285"/>
      <c r="I45" s="1351"/>
      <c r="J45" s="1350"/>
      <c r="K45" s="1285"/>
      <c r="L45" s="1285"/>
      <c r="M45" s="1285"/>
      <c r="N45" s="1285"/>
      <c r="O45" s="1285"/>
      <c r="P45" s="1285"/>
      <c r="Q45" s="1285"/>
      <c r="R45" s="1285"/>
      <c r="S45" s="1352">
        <f t="shared" ref="S45" si="17">AG46-AG44</f>
        <v>40</v>
      </c>
      <c r="T45" s="1285"/>
      <c r="U45" s="1285"/>
      <c r="V45" s="1285"/>
      <c r="W45" s="1285"/>
      <c r="X45" s="1285"/>
      <c r="Y45" s="1285"/>
      <c r="Z45" s="1285"/>
      <c r="AA45" s="1285"/>
      <c r="AB45" s="1285"/>
      <c r="AC45" s="1285"/>
      <c r="AD45" s="1285"/>
      <c r="AE45" s="1285"/>
      <c r="AF45" s="1285"/>
      <c r="AG45" s="1350"/>
      <c r="AH45" s="1285"/>
      <c r="AI45" s="1285"/>
      <c r="AJ45" s="1285"/>
      <c r="AK45" s="1285"/>
      <c r="AL45" s="1285"/>
      <c r="AM45" s="1285"/>
      <c r="AN45" s="1352"/>
      <c r="AO45" s="1285"/>
      <c r="AP45" s="1285"/>
      <c r="AQ45" s="1352">
        <f>+FL_1($T$46,$T$44,$G$45,1200,9.28, 1*$F$46)</f>
        <v>0.35000000000000125</v>
      </c>
      <c r="AR45" s="1285"/>
      <c r="AS45" s="1285"/>
      <c r="AT45" s="1352"/>
      <c r="AU45" s="1285"/>
      <c r="AV45" s="1285"/>
      <c r="AW45" s="1285"/>
      <c r="AX45" s="1285"/>
      <c r="AY45" s="1352"/>
      <c r="AZ45" s="1352"/>
      <c r="BA45" s="1358"/>
      <c r="BB45" s="1285"/>
      <c r="BC45" s="823"/>
      <c r="BD45" s="1356"/>
      <c r="BE45" s="1356"/>
      <c r="BF45" s="1356"/>
      <c r="BG45" s="1356"/>
    </row>
    <row r="46" spans="1:59" s="1288" customFormat="1" ht="15.75" customHeight="1">
      <c r="A46" s="1285"/>
      <c r="B46" s="1349" t="s">
        <v>3351</v>
      </c>
      <c r="C46" s="1350">
        <f>+$C$44+$G$45</f>
        <v>85996.07</v>
      </c>
      <c r="D46" s="1285"/>
      <c r="E46" s="1285"/>
      <c r="F46" s="1351">
        <f>(675^2)/(85954.51-C46)</f>
        <v>-10963.065447542493</v>
      </c>
      <c r="G46" s="1352"/>
      <c r="H46" s="1285"/>
      <c r="I46" s="1351"/>
      <c r="J46" s="1350"/>
      <c r="K46" s="1285"/>
      <c r="L46" s="1285" t="s">
        <v>229</v>
      </c>
      <c r="M46" s="1285" t="str">
        <f>IF(AX46="PT",VLOOKUP(L46,'Foundation Calculation'!$V$2:$X$40,VLOOKUP(AX46,'Foundation Calculation'!$I$10:$J$13,2,FALSE),0),IF(AX46="K",VLOOKUP(L46,'Foundation Calculation'!$V$42:$X$80,VLOOKUP(AX46,'Foundation Calculation'!$I$10:$J$13,2,FALSE),0),""))</f>
        <v>C3R</v>
      </c>
      <c r="N46" s="1285" t="s">
        <v>143</v>
      </c>
      <c r="O46" s="1285"/>
      <c r="P46" s="1285"/>
      <c r="Q46" s="1285">
        <v>20</v>
      </c>
      <c r="R46" s="1285">
        <v>10932.29</v>
      </c>
      <c r="S46" s="1352"/>
      <c r="T46" s="1285">
        <v>-35</v>
      </c>
      <c r="U46" s="1285"/>
      <c r="V46" s="1285"/>
      <c r="W46" s="1285">
        <v>1.4</v>
      </c>
      <c r="X46" s="1285"/>
      <c r="Y46" s="1285"/>
      <c r="Z46" s="1285"/>
      <c r="AA46" s="1285"/>
      <c r="AB46" s="1285"/>
      <c r="AC46" s="1285" t="s">
        <v>4090</v>
      </c>
      <c r="AD46" s="1285"/>
      <c r="AE46" s="1285"/>
      <c r="AF46" s="1285">
        <v>5800</v>
      </c>
      <c r="AG46" s="1350">
        <v>85996</v>
      </c>
      <c r="AH46" s="1285">
        <v>2203</v>
      </c>
      <c r="AI46" s="1285">
        <v>330</v>
      </c>
      <c r="AJ46" s="1285"/>
      <c r="AK46" s="1285"/>
      <c r="AL46" s="1285"/>
      <c r="AM46" s="1285" t="s">
        <v>1042</v>
      </c>
      <c r="AN46" s="1352">
        <v>5.32</v>
      </c>
      <c r="AO46" s="1285"/>
      <c r="AP46" s="1285"/>
      <c r="AQ46" s="1352"/>
      <c r="AR46" s="1285"/>
      <c r="AS46" s="1285"/>
      <c r="AT46" s="1352">
        <f>+ab($T$46,$T$44,$T$48,$G$45,$G$47, 1*$F$46,1200)</f>
        <v>-5.2933261698991263</v>
      </c>
      <c r="AU46" s="1285"/>
      <c r="AV46" s="1285"/>
      <c r="AW46" s="1353" t="str">
        <f>VLOOKUP(C46,'Foundation Calculation'!$A$2:$C$33,3,1)</f>
        <v>Soil B</v>
      </c>
      <c r="AX46" s="1353" t="str">
        <f>VLOOKUP(C46,'Foundation Calculation'!$E$2:$G$33,3,1)</f>
        <v>PT</v>
      </c>
      <c r="AY46" s="1354">
        <f>IF(AX46="PT",VLOOKUP(L46,'Foundation Calculation'!$K$2:$R$40,VLOOKUP(AW46,'Foundation Calculation'!$I$2:$J$8,2,FALSE),0),IF(AX46="K",VLOOKUP(L46,'Foundation Calculation'!$K$42:$R$80,VLOOKUP(AW46,'Foundation Calculation'!$I$2:$J$8,2,FALSE),0),""))</f>
        <v>3.5</v>
      </c>
      <c r="AZ46" s="1354"/>
      <c r="BA46" s="1355" t="s">
        <v>2809</v>
      </c>
      <c r="BB46" s="1285" t="str">
        <f>Pole_Calculations!A15</f>
        <v>App.7-V11A-P9.5.1.1</v>
      </c>
      <c r="BC46" s="823"/>
      <c r="BD46" s="1356"/>
      <c r="BE46" s="1356"/>
      <c r="BF46" s="1356"/>
      <c r="BG46" s="1356"/>
    </row>
    <row r="47" spans="1:59" s="1288" customFormat="1" ht="15.75" customHeight="1">
      <c r="A47" s="1285"/>
      <c r="B47" s="1285"/>
      <c r="C47" s="1350"/>
      <c r="D47" s="1285"/>
      <c r="E47" s="1285"/>
      <c r="F47" s="1351"/>
      <c r="G47" s="1352">
        <v>40</v>
      </c>
      <c r="H47" s="1285"/>
      <c r="I47" s="1351"/>
      <c r="J47" s="1350"/>
      <c r="K47" s="1285"/>
      <c r="L47" s="1285"/>
      <c r="M47" s="1285"/>
      <c r="N47" s="1285"/>
      <c r="O47" s="1285"/>
      <c r="P47" s="1285"/>
      <c r="Q47" s="1285"/>
      <c r="R47" s="1285"/>
      <c r="S47" s="1352">
        <f t="shared" ref="S47" si="18">AG48-AG46</f>
        <v>40</v>
      </c>
      <c r="T47" s="1285"/>
      <c r="U47" s="1285"/>
      <c r="V47" s="1285"/>
      <c r="W47" s="1285"/>
      <c r="X47" s="1285"/>
      <c r="Y47" s="1285"/>
      <c r="Z47" s="1285"/>
      <c r="AA47" s="1285"/>
      <c r="AB47" s="1285"/>
      <c r="AC47" s="1285"/>
      <c r="AD47" s="1285"/>
      <c r="AE47" s="1285"/>
      <c r="AF47" s="1285"/>
      <c r="AG47" s="1350"/>
      <c r="AH47" s="1285"/>
      <c r="AI47" s="1285"/>
      <c r="AJ47" s="1285"/>
      <c r="AK47" s="1285"/>
      <c r="AL47" s="1285"/>
      <c r="AM47" s="1285"/>
      <c r="AN47" s="1352"/>
      <c r="AO47" s="1285"/>
      <c r="AP47" s="1285"/>
      <c r="AQ47" s="1352">
        <f>+FL_2($T$48,$T$46,$G$47,1200,9.28, 1*$F$48)</f>
        <v>-0.34999999999999959</v>
      </c>
      <c r="AR47" s="1285"/>
      <c r="AS47" s="1285"/>
      <c r="AT47" s="1352"/>
      <c r="AU47" s="1285"/>
      <c r="AV47" s="1285"/>
      <c r="AW47" s="1285"/>
      <c r="AX47" s="1285"/>
      <c r="AY47" s="1352"/>
      <c r="AZ47" s="1352"/>
      <c r="BA47" s="1358"/>
      <c r="BB47" s="1285"/>
      <c r="BC47" s="823"/>
      <c r="BD47" s="1356"/>
      <c r="BE47" s="1356"/>
      <c r="BF47" s="1356"/>
      <c r="BG47" s="1356"/>
    </row>
    <row r="48" spans="1:59" s="1288" customFormat="1" ht="15.75" customHeight="1">
      <c r="A48" s="1285"/>
      <c r="B48" s="1349" t="s">
        <v>3352</v>
      </c>
      <c r="C48" s="1350">
        <f>+$C$46+$G$47</f>
        <v>86036.07</v>
      </c>
      <c r="D48" s="1285"/>
      <c r="E48" s="1285"/>
      <c r="F48" s="1351">
        <f>(675^2)/(85954.51-C48)</f>
        <v>-5586.3781265317766</v>
      </c>
      <c r="G48" s="1352"/>
      <c r="H48" s="1285"/>
      <c r="I48" s="1351"/>
      <c r="J48" s="1350"/>
      <c r="K48" s="1285"/>
      <c r="L48" s="1285" t="s">
        <v>229</v>
      </c>
      <c r="M48" s="1285" t="str">
        <f>IF(AX48="PT",VLOOKUP(L48,'Foundation Calculation'!$V$2:$X$40,VLOOKUP(AX48,'Foundation Calculation'!$I$10:$J$13,2,FALSE),0),IF(AX48="K",VLOOKUP(L48,'Foundation Calculation'!$V$42:$X$80,VLOOKUP(AX48,'Foundation Calculation'!$I$10:$J$13,2,FALSE),0),""))</f>
        <v>C3R</v>
      </c>
      <c r="N48" s="1285" t="s">
        <v>144</v>
      </c>
      <c r="O48" s="1285"/>
      <c r="P48" s="1285"/>
      <c r="Q48" s="1285">
        <v>50</v>
      </c>
      <c r="R48" s="1285">
        <v>5556.22</v>
      </c>
      <c r="S48" s="1352"/>
      <c r="T48" s="1285">
        <v>25</v>
      </c>
      <c r="U48" s="1285"/>
      <c r="V48" s="1285"/>
      <c r="W48" s="1285">
        <v>1.2</v>
      </c>
      <c r="X48" s="1285"/>
      <c r="Y48" s="1285"/>
      <c r="Z48" s="1285"/>
      <c r="AA48" s="1285"/>
      <c r="AB48" s="1285"/>
      <c r="AC48" s="1285" t="s">
        <v>1421</v>
      </c>
      <c r="AD48" s="1285"/>
      <c r="AE48" s="1285"/>
      <c r="AF48" s="1285">
        <v>6000</v>
      </c>
      <c r="AG48" s="1350">
        <v>86036</v>
      </c>
      <c r="AH48" s="1285">
        <v>2403</v>
      </c>
      <c r="AI48" s="1285">
        <v>450</v>
      </c>
      <c r="AJ48" s="1285"/>
      <c r="AK48" s="1285"/>
      <c r="AL48" s="1285"/>
      <c r="AM48" s="1285" t="s">
        <v>1042</v>
      </c>
      <c r="AN48" s="1352">
        <v>5.22</v>
      </c>
      <c r="AO48" s="1285"/>
      <c r="AP48" s="1285"/>
      <c r="AQ48" s="1352"/>
      <c r="AR48" s="1285"/>
      <c r="AS48" s="1285"/>
      <c r="AT48" s="1352">
        <f>+ab($T$48,$T$46,$T$50,$G$47,$G$49, 1*$F$48,1200)</f>
        <v>11.474855799652046</v>
      </c>
      <c r="AU48" s="1285"/>
      <c r="AV48" s="1285"/>
      <c r="AW48" s="1353" t="str">
        <f>VLOOKUP(C48,'Foundation Calculation'!$A$2:$C$33,3,1)</f>
        <v>Soil B</v>
      </c>
      <c r="AX48" s="1353" t="str">
        <f>VLOOKUP(C48,'Foundation Calculation'!$E$2:$G$33,3,1)</f>
        <v>PT</v>
      </c>
      <c r="AY48" s="1354">
        <f>IF(AX48="PT",VLOOKUP(L48,'Foundation Calculation'!$K$2:$R$40,VLOOKUP(AW48,'Foundation Calculation'!$I$2:$J$8,2,FALSE),0),IF(AX48="K",VLOOKUP(L48,'Foundation Calculation'!$K$42:$R$80,VLOOKUP(AW48,'Foundation Calculation'!$I$2:$J$8,2,FALSE),0),""))</f>
        <v>3.5</v>
      </c>
      <c r="AZ48" s="1354"/>
      <c r="BA48" s="1355" t="s">
        <v>2809</v>
      </c>
      <c r="BB48" s="1285" t="str">
        <f>Pole_Calculations!A15</f>
        <v>App.7-V11A-P9.5.1.1</v>
      </c>
      <c r="BC48" s="823"/>
      <c r="BD48" s="1356"/>
      <c r="BE48" s="1356"/>
      <c r="BF48" s="1356"/>
      <c r="BG48" s="1356"/>
    </row>
    <row r="49" spans="1:59" ht="15.75" customHeight="1">
      <c r="A49" s="647" t="s">
        <v>3049</v>
      </c>
      <c r="B49" s="657"/>
      <c r="C49" s="649"/>
      <c r="D49" s="650"/>
      <c r="E49" s="650"/>
      <c r="F49" s="650"/>
      <c r="G49" s="651">
        <v>48</v>
      </c>
      <c r="H49" s="647"/>
      <c r="I49" s="650"/>
      <c r="J49" s="649"/>
      <c r="K49" s="653"/>
      <c r="L49" s="653"/>
      <c r="M49" s="653"/>
      <c r="N49" s="647"/>
      <c r="O49" s="647"/>
      <c r="P49" s="647"/>
      <c r="Q49" s="647"/>
      <c r="R49" s="647"/>
      <c r="S49" s="651">
        <f t="shared" ref="S49" si="19">AG50-AG48</f>
        <v>48</v>
      </c>
      <c r="T49" s="647"/>
      <c r="U49" s="647"/>
      <c r="V49" s="647"/>
      <c r="W49" s="647"/>
      <c r="X49" s="647"/>
      <c r="Y49" s="647"/>
      <c r="Z49" s="647"/>
      <c r="AA49" s="647"/>
      <c r="AB49" s="647"/>
      <c r="AC49" s="647"/>
      <c r="AD49" s="647"/>
      <c r="AE49" s="647"/>
      <c r="AF49" s="647"/>
      <c r="AG49" s="652"/>
      <c r="AH49" s="647"/>
      <c r="AI49" s="647"/>
      <c r="AJ49" s="653"/>
      <c r="AK49" s="647"/>
      <c r="AL49" s="653"/>
      <c r="AM49" s="647"/>
      <c r="AN49" s="651"/>
      <c r="AO49" s="647"/>
      <c r="AP49" s="647"/>
      <c r="AQ49" s="654">
        <f>+FL_1($T$50,$T$48,$G$49,1200,9.28, 1*$F$50)</f>
        <v>0.37116380699613533</v>
      </c>
      <c r="AR49" s="653"/>
      <c r="AS49" s="653"/>
      <c r="AT49" s="654"/>
      <c r="AU49" s="653"/>
      <c r="AV49" s="653"/>
      <c r="AW49" s="654"/>
      <c r="AX49" s="654"/>
      <c r="AY49" s="654"/>
      <c r="AZ49" s="654"/>
      <c r="BA49" s="701"/>
      <c r="BB49" s="647"/>
      <c r="BC49" s="169"/>
      <c r="BD49" s="1330"/>
      <c r="BE49" s="1330"/>
      <c r="BF49" s="1330"/>
      <c r="BG49" s="1330"/>
    </row>
    <row r="50" spans="1:59" s="1288" customFormat="1" ht="15.75" customHeight="1">
      <c r="A50" s="1285"/>
      <c r="B50" s="1359" t="s">
        <v>3353</v>
      </c>
      <c r="C50" s="1360">
        <f>+$C$48+$G$49</f>
        <v>86084.07</v>
      </c>
      <c r="D50" s="1351"/>
      <c r="E50" s="1351"/>
      <c r="F50" s="1351">
        <f>(675^2)/(85954.51-C50)</f>
        <v>-3516.710404445485</v>
      </c>
      <c r="G50" s="1352"/>
      <c r="H50" s="1285"/>
      <c r="I50" s="1351"/>
      <c r="J50" s="1360"/>
      <c r="K50" s="1353"/>
      <c r="L50" s="1353" t="s">
        <v>229</v>
      </c>
      <c r="M50" s="1285" t="str">
        <f>IF(AX50="PT",VLOOKUP(L50,'Foundation Calculation'!$V$2:$X$40,VLOOKUP(AX50,'Foundation Calculation'!$I$10:$J$13,2,FALSE),0),IF(AX50="K",VLOOKUP(L50,'Foundation Calculation'!$V$42:$X$80,VLOOKUP(AX50,'Foundation Calculation'!$I$10:$J$13,2,FALSE),0),""))</f>
        <v>C3R</v>
      </c>
      <c r="N50" s="1285" t="s">
        <v>2789</v>
      </c>
      <c r="O50" s="1285"/>
      <c r="P50" s="1285"/>
      <c r="Q50" s="1285">
        <v>80</v>
      </c>
      <c r="R50" s="1285">
        <v>3514.83</v>
      </c>
      <c r="S50" s="1352"/>
      <c r="T50" s="1285">
        <v>-20</v>
      </c>
      <c r="U50" s="1285"/>
      <c r="V50" s="1285"/>
      <c r="W50" s="1285">
        <v>1</v>
      </c>
      <c r="X50" s="1285"/>
      <c r="Y50" s="1285"/>
      <c r="Z50" s="1285"/>
      <c r="AA50" s="1285"/>
      <c r="AB50" s="1285"/>
      <c r="AC50" s="1285" t="s">
        <v>1421</v>
      </c>
      <c r="AD50" s="1285"/>
      <c r="AE50" s="1285"/>
      <c r="AF50" s="1285">
        <v>5800</v>
      </c>
      <c r="AG50" s="1350">
        <v>86084</v>
      </c>
      <c r="AH50" s="1285">
        <v>2363</v>
      </c>
      <c r="AI50" s="1285">
        <v>180</v>
      </c>
      <c r="AJ50" s="1353"/>
      <c r="AK50" s="1285"/>
      <c r="AL50" s="1353"/>
      <c r="AM50" s="1285" t="s">
        <v>1042</v>
      </c>
      <c r="AN50" s="1352">
        <v>5.15</v>
      </c>
      <c r="AO50" s="1285"/>
      <c r="AP50" s="1285"/>
      <c r="AQ50" s="1354"/>
      <c r="AR50" s="1353"/>
      <c r="AS50" s="1353"/>
      <c r="AT50" s="1354">
        <f>+ab($T$50,$T$48,$T$52,$G$49,$G$51, 1*$F$50,1200)</f>
        <v>-9.0866298564953656</v>
      </c>
      <c r="AU50" s="1353"/>
      <c r="AV50" s="1353"/>
      <c r="AW50" s="1353" t="str">
        <f>VLOOKUP(C50,'Foundation Calculation'!$A$2:$C$33,3,1)</f>
        <v>Soil B</v>
      </c>
      <c r="AX50" s="1353" t="str">
        <f>VLOOKUP(C50,'Foundation Calculation'!$E$2:$G$33,3,1)</f>
        <v>PT</v>
      </c>
      <c r="AY50" s="1354">
        <f>IF(AX50="PT",VLOOKUP(L50,'Foundation Calculation'!$K$2:$R$40,VLOOKUP(AW50,'Foundation Calculation'!$I$2:$J$8,2,FALSE),0),IF(AX50="K",VLOOKUP(L50,'Foundation Calculation'!$K$42:$R$80,VLOOKUP(AW50,'Foundation Calculation'!$I$2:$J$8,2,FALSE),0),""))</f>
        <v>3.5</v>
      </c>
      <c r="AZ50" s="1354"/>
      <c r="BA50" s="1355" t="s">
        <v>2809</v>
      </c>
      <c r="BB50" s="1285" t="str">
        <f>Pole_Calculations!A15</f>
        <v>App.7-V11A-P9.5.1.1</v>
      </c>
      <c r="BC50" s="823"/>
      <c r="BD50" s="1356"/>
      <c r="BE50" s="1356"/>
      <c r="BF50" s="1356"/>
      <c r="BG50" s="1356"/>
    </row>
    <row r="51" spans="1:59" s="1288" customFormat="1" ht="15.75" customHeight="1">
      <c r="A51" s="1361" t="s">
        <v>1851</v>
      </c>
      <c r="B51" s="1362"/>
      <c r="C51" s="1360"/>
      <c r="D51" s="1351"/>
      <c r="E51" s="1351"/>
      <c r="F51" s="1351"/>
      <c r="G51" s="1352">
        <v>48</v>
      </c>
      <c r="H51" s="1285"/>
      <c r="I51" s="1351"/>
      <c r="J51" s="1360"/>
      <c r="K51" s="1353"/>
      <c r="L51" s="1353"/>
      <c r="M51" s="1353"/>
      <c r="N51" s="1285"/>
      <c r="O51" s="1285"/>
      <c r="P51" s="1285"/>
      <c r="Q51" s="1285"/>
      <c r="R51" s="1285"/>
      <c r="S51" s="1352">
        <f t="shared" ref="S51" si="20">AG52-AG50</f>
        <v>48</v>
      </c>
      <c r="T51" s="1285"/>
      <c r="U51" s="1285"/>
      <c r="V51" s="1285"/>
      <c r="W51" s="1285"/>
      <c r="X51" s="1285"/>
      <c r="Y51" s="1285"/>
      <c r="Z51" s="1285"/>
      <c r="AA51" s="1285"/>
      <c r="AB51" s="1285"/>
      <c r="AC51" s="1285"/>
      <c r="AD51" s="1285"/>
      <c r="AE51" s="1285"/>
      <c r="AF51" s="1285"/>
      <c r="AG51" s="1350"/>
      <c r="AH51" s="1285"/>
      <c r="AI51" s="1285"/>
      <c r="AJ51" s="1353"/>
      <c r="AK51" s="1285"/>
      <c r="AL51" s="1353"/>
      <c r="AM51" s="1285"/>
      <c r="AN51" s="1352"/>
      <c r="AO51" s="1285"/>
      <c r="AP51" s="1285"/>
      <c r="AQ51" s="1354">
        <f>+FL_2($T$52,$T$50,$G$51,1200,9.28, 1*$F$52)</f>
        <v>-0.36613923326214065</v>
      </c>
      <c r="AR51" s="1353"/>
      <c r="AS51" s="1353"/>
      <c r="AT51" s="1354"/>
      <c r="AU51" s="1353"/>
      <c r="AV51" s="1353"/>
      <c r="AW51" s="1354"/>
      <c r="AX51" s="1354"/>
      <c r="AY51" s="1354"/>
      <c r="AZ51" s="1354"/>
      <c r="BA51" s="1355"/>
      <c r="BB51" s="1361"/>
      <c r="BC51" s="823"/>
      <c r="BD51" s="1356"/>
      <c r="BE51" s="1356"/>
      <c r="BF51" s="1356"/>
      <c r="BG51" s="1356"/>
    </row>
    <row r="52" spans="1:59" s="1288" customFormat="1" ht="15.75" customHeight="1">
      <c r="A52" s="1285"/>
      <c r="B52" s="1359" t="s">
        <v>3354</v>
      </c>
      <c r="C52" s="1360">
        <f>+$C$50+$G$51</f>
        <v>86132.07</v>
      </c>
      <c r="D52" s="1351"/>
      <c r="E52" s="1351"/>
      <c r="F52" s="1351">
        <f>(675^2)/(85954.51-C52)</f>
        <v>-2566.0340166702445</v>
      </c>
      <c r="G52" s="1352"/>
      <c r="H52" s="1285"/>
      <c r="I52" s="1351"/>
      <c r="J52" s="1360"/>
      <c r="K52" s="1353"/>
      <c r="L52" s="1353" t="s">
        <v>230</v>
      </c>
      <c r="M52" s="1285" t="str">
        <f>IF(AX52="PT",VLOOKUP(L52,'Foundation Calculation'!$V$2:$X$40,VLOOKUP(AX52,'Foundation Calculation'!$I$10:$J$13,2,FALSE),0),IF(AX52="K",VLOOKUP(L52,'Foundation Calculation'!$V$42:$X$80,VLOOKUP(AX52,'Foundation Calculation'!$I$10:$J$13,2,FALSE),0),""))</f>
        <v>C4R</v>
      </c>
      <c r="N52" s="1285" t="s">
        <v>143</v>
      </c>
      <c r="O52" s="1285"/>
      <c r="P52" s="1285"/>
      <c r="Q52" s="1285">
        <v>90</v>
      </c>
      <c r="R52" s="1285">
        <v>2563.86</v>
      </c>
      <c r="S52" s="1352"/>
      <c r="T52" s="1285">
        <v>-30</v>
      </c>
      <c r="U52" s="1285"/>
      <c r="V52" s="1285"/>
      <c r="W52" s="1285">
        <v>1</v>
      </c>
      <c r="X52" s="1285"/>
      <c r="Y52" s="1285"/>
      <c r="Z52" s="1285"/>
      <c r="AA52" s="1285"/>
      <c r="AB52" s="1285"/>
      <c r="AC52" s="1285" t="s">
        <v>1421</v>
      </c>
      <c r="AD52" s="1285"/>
      <c r="AE52" s="1285"/>
      <c r="AF52" s="1285">
        <v>5700</v>
      </c>
      <c r="AG52" s="1350">
        <v>86132</v>
      </c>
      <c r="AH52" s="1285">
        <v>2793</v>
      </c>
      <c r="AI52" s="1285">
        <v>90</v>
      </c>
      <c r="AJ52" s="1353"/>
      <c r="AK52" s="1285"/>
      <c r="AL52" s="1353"/>
      <c r="AM52" s="1285" t="s">
        <v>1042</v>
      </c>
      <c r="AN52" s="1352">
        <v>5.15</v>
      </c>
      <c r="AO52" s="1285"/>
      <c r="AP52" s="1285"/>
      <c r="AQ52" s="1354"/>
      <c r="AR52" s="1353"/>
      <c r="AS52" s="1353"/>
      <c r="AT52" s="1354">
        <f>+ab($T$52,$T$50,$T$54,$G$51,$G$53, 1*$F$52,1200)</f>
        <v>-9.0599144018734119</v>
      </c>
      <c r="AU52" s="1353"/>
      <c r="AV52" s="1353"/>
      <c r="AW52" s="1353" t="str">
        <f>VLOOKUP(C52,'Foundation Calculation'!$A$2:$C$33,3,1)</f>
        <v>Soil B</v>
      </c>
      <c r="AX52" s="1353" t="str">
        <f>VLOOKUP(C52,'Foundation Calculation'!$E$2:$G$33,3,1)</f>
        <v>PT</v>
      </c>
      <c r="AY52" s="1354">
        <f>IF(AX52="PT",VLOOKUP(L52,'Foundation Calculation'!$K$2:$R$40,VLOOKUP(AW52,'Foundation Calculation'!$I$2:$J$8,2,FALSE),0),IF(AX52="K",VLOOKUP(L52,'Foundation Calculation'!$K$42:$R$80,VLOOKUP(AW52,'Foundation Calculation'!$I$2:$J$8,2,FALSE),0),""))</f>
        <v>3.5</v>
      </c>
      <c r="AZ52" s="1354"/>
      <c r="BA52" s="1355" t="s">
        <v>2809</v>
      </c>
      <c r="BB52" s="1285" t="str">
        <f>Pole_Calculations!A15</f>
        <v>App.7-V11A-P9.5.1.1</v>
      </c>
      <c r="BC52" s="823"/>
      <c r="BD52" s="1356"/>
      <c r="BE52" s="1356"/>
      <c r="BF52" s="1356"/>
      <c r="BG52" s="1356"/>
    </row>
    <row r="53" spans="1:59" s="1288" customFormat="1" ht="15.75" customHeight="1">
      <c r="A53" s="1285" t="s">
        <v>3360</v>
      </c>
      <c r="B53" s="1362"/>
      <c r="C53" s="1360"/>
      <c r="D53" s="1351"/>
      <c r="E53" s="1351"/>
      <c r="F53" s="1351"/>
      <c r="G53" s="1352">
        <v>49.1</v>
      </c>
      <c r="H53" s="1285"/>
      <c r="I53" s="1351"/>
      <c r="J53" s="1360">
        <f>C54-7.5</f>
        <v>86173.670000000013</v>
      </c>
      <c r="K53" s="1353" t="s">
        <v>2788</v>
      </c>
      <c r="L53" s="1353"/>
      <c r="M53" s="1353"/>
      <c r="N53" s="1285"/>
      <c r="O53" s="1285"/>
      <c r="P53" s="1285"/>
      <c r="Q53" s="1285"/>
      <c r="R53" s="1285"/>
      <c r="S53" s="1352">
        <f t="shared" ref="S53" si="21">AG54-AG52</f>
        <v>49</v>
      </c>
      <c r="T53" s="1285"/>
      <c r="U53" s="1285"/>
      <c r="V53" s="1285"/>
      <c r="W53" s="1285"/>
      <c r="X53" s="1285"/>
      <c r="Y53" s="1285"/>
      <c r="Z53" s="1285"/>
      <c r="AA53" s="1285"/>
      <c r="AB53" s="1285"/>
      <c r="AC53" s="1285"/>
      <c r="AD53" s="1285"/>
      <c r="AE53" s="1285"/>
      <c r="AF53" s="1285"/>
      <c r="AG53" s="1350"/>
      <c r="AH53" s="1285"/>
      <c r="AI53" s="1285"/>
      <c r="AJ53" s="1353"/>
      <c r="AK53" s="1285"/>
      <c r="AL53" s="1353"/>
      <c r="AM53" s="1285"/>
      <c r="AN53" s="1352"/>
      <c r="AO53" s="1285"/>
      <c r="AP53" s="1285"/>
      <c r="AQ53" s="1354">
        <f>+FL_2($T$54,$T$52,$G$53,1200,9.28, 1*$F$54)</f>
        <v>-0.383126016883098</v>
      </c>
      <c r="AR53" s="1353"/>
      <c r="AS53" s="1353"/>
      <c r="AT53" s="1354"/>
      <c r="AU53" s="1353"/>
      <c r="AV53" s="1353"/>
      <c r="AW53" s="1353" t="str">
        <f>VLOOKUP(J53,'Foundation Calculation'!$A$2:$C$33,3,1)</f>
        <v>Soil B</v>
      </c>
      <c r="AX53" s="1353" t="str">
        <f>VLOOKUP(J53,'Foundation Calculation'!$E$2:$G$33,3,1)</f>
        <v>PT</v>
      </c>
      <c r="AY53" s="1354"/>
      <c r="AZ53" s="1354">
        <f>IF(AX53="PT",VLOOKUP(K53,'Foundation Calculation'!$K$2:$R$40,VLOOKUP(AW53,'Foundation Calculation'!$I$2:$J$8,2,FALSE),0),IF(AX53="K",VLOOKUP(K53,'Foundation Calculation'!$K$42:$R$80,VLOOKUP(AW53,'Foundation Calculation'!$I$2:$J$8,2,FALSE),0),""))</f>
        <v>2.8</v>
      </c>
      <c r="BA53" s="1355" t="s">
        <v>2809</v>
      </c>
      <c r="BB53" s="1285"/>
      <c r="BC53" s="823"/>
      <c r="BD53" s="1356"/>
      <c r="BE53" s="1356"/>
      <c r="BF53" s="1356"/>
      <c r="BG53" s="1356"/>
    </row>
    <row r="54" spans="1:59" s="1288" customFormat="1" ht="15.75" customHeight="1">
      <c r="A54" s="1285"/>
      <c r="B54" s="1359" t="s">
        <v>3355</v>
      </c>
      <c r="C54" s="1360">
        <f>+$C$52+$G$53</f>
        <v>86181.170000000013</v>
      </c>
      <c r="D54" s="1351"/>
      <c r="E54" s="1351"/>
      <c r="F54" s="1351">
        <f>(675^2)/(85954.51-C54)</f>
        <v>-2010.1694167473913</v>
      </c>
      <c r="G54" s="1352"/>
      <c r="H54" s="1285" t="s">
        <v>873</v>
      </c>
      <c r="I54" s="1351"/>
      <c r="J54" s="1360"/>
      <c r="K54" s="1353"/>
      <c r="L54" s="1353" t="s">
        <v>230</v>
      </c>
      <c r="M54" s="1285" t="str">
        <f>IF(AX54="PT",VLOOKUP(L54,'Foundation Calculation'!$V$2:$X$40,VLOOKUP(AX54,'Foundation Calculation'!$I$10:$J$13,2,FALSE),0),IF(AX54="K",VLOOKUP(L54,'Foundation Calculation'!$V$42:$X$80,VLOOKUP(AX54,'Foundation Calculation'!$I$10:$J$13,2,FALSE),0),""))</f>
        <v>C4R</v>
      </c>
      <c r="N54" s="1285" t="s">
        <v>143</v>
      </c>
      <c r="O54" s="1285"/>
      <c r="P54" s="1285"/>
      <c r="Q54" s="1285">
        <v>140</v>
      </c>
      <c r="R54" s="1285">
        <v>-2005.28</v>
      </c>
      <c r="S54" s="1352"/>
      <c r="T54" s="1285">
        <v>-30</v>
      </c>
      <c r="U54" s="1285"/>
      <c r="V54" s="1285"/>
      <c r="W54" s="1285">
        <v>1.2</v>
      </c>
      <c r="X54" s="1285"/>
      <c r="Y54" s="1285"/>
      <c r="Z54" s="1285"/>
      <c r="AA54" s="1285"/>
      <c r="AB54" s="1285"/>
      <c r="AC54" s="1285" t="s">
        <v>4090</v>
      </c>
      <c r="AD54" s="1285"/>
      <c r="AE54" s="1285"/>
      <c r="AF54" s="1285">
        <v>5300</v>
      </c>
      <c r="AG54" s="1350">
        <v>86181</v>
      </c>
      <c r="AH54" s="1285">
        <v>2763</v>
      </c>
      <c r="AI54" s="1285">
        <v>20</v>
      </c>
      <c r="AJ54" s="1353"/>
      <c r="AK54" s="1285"/>
      <c r="AL54" s="1353"/>
      <c r="AM54" s="1285" t="s">
        <v>1042</v>
      </c>
      <c r="AN54" s="1352">
        <v>5.15</v>
      </c>
      <c r="AO54" s="1285"/>
      <c r="AP54" s="1285"/>
      <c r="AQ54" s="1354"/>
      <c r="AR54" s="1353"/>
      <c r="AS54" s="1353"/>
      <c r="AT54" s="1354">
        <f>+ab($T$54,$T$52,$T$56,$G$53,$G$55, 1*$F$54,1200)</f>
        <v>-7.5861532677891796</v>
      </c>
      <c r="AU54" s="1353"/>
      <c r="AV54" s="1353"/>
      <c r="AW54" s="1353" t="str">
        <f>VLOOKUP(C54,'Foundation Calculation'!$A$2:$C$33,3,1)</f>
        <v>Soil B</v>
      </c>
      <c r="AX54" s="1353" t="str">
        <f>VLOOKUP(C54,'Foundation Calculation'!$E$2:$G$33,3,1)</f>
        <v>PT</v>
      </c>
      <c r="AY54" s="1354">
        <f>IF(AX54="PT",VLOOKUP(L54,'Foundation Calculation'!$K$2:$R$40,VLOOKUP(AW54,'Foundation Calculation'!$I$2:$J$8,2,FALSE),0),IF(AX54="K",VLOOKUP(L54,'Foundation Calculation'!$K$42:$R$80,VLOOKUP(AW54,'Foundation Calculation'!$I$2:$J$8,2,FALSE),0),""))</f>
        <v>3.5</v>
      </c>
      <c r="AZ54" s="1354"/>
      <c r="BA54" s="1355" t="s">
        <v>2809</v>
      </c>
      <c r="BB54" s="1285" t="str">
        <f>Pole_Calculations!A17</f>
        <v>App.7-V11A-P9.5.1.3</v>
      </c>
      <c r="BC54" s="823"/>
      <c r="BD54" s="1356"/>
      <c r="BE54" s="1356"/>
      <c r="BF54" s="1356"/>
      <c r="BG54" s="1356"/>
    </row>
    <row r="55" spans="1:59" ht="15.65" customHeight="1">
      <c r="A55" s="1239"/>
      <c r="B55" s="445"/>
      <c r="C55" s="446"/>
      <c r="D55" s="448"/>
      <c r="E55" s="448"/>
      <c r="F55" s="448"/>
      <c r="G55" s="455">
        <v>52</v>
      </c>
      <c r="H55" s="1239"/>
      <c r="I55" s="448">
        <f>C56-C36</f>
        <v>491.10000000000582</v>
      </c>
      <c r="J55" s="446"/>
      <c r="K55" s="638"/>
      <c r="L55" s="638"/>
      <c r="M55" s="638"/>
      <c r="N55" s="1239"/>
      <c r="O55" s="1239"/>
      <c r="P55" s="1239"/>
      <c r="Q55" s="1239"/>
      <c r="R55" s="1239"/>
      <c r="S55" s="455">
        <f t="shared" ref="S55" si="22">AG56-AG54</f>
        <v>-86181</v>
      </c>
      <c r="T55" s="1239"/>
      <c r="U55" s="1239"/>
      <c r="V55" s="1239"/>
      <c r="W55" s="1239"/>
      <c r="X55" s="1239"/>
      <c r="Y55" s="1239"/>
      <c r="Z55" s="1239"/>
      <c r="AA55" s="1239"/>
      <c r="AB55" s="1239"/>
      <c r="AC55" s="1239"/>
      <c r="AD55" s="1239"/>
      <c r="AE55" s="1239"/>
      <c r="AF55" s="1239"/>
      <c r="AG55" s="171"/>
      <c r="AH55" s="1239"/>
      <c r="AI55" s="1239"/>
      <c r="AJ55" s="638"/>
      <c r="AK55" s="1239"/>
      <c r="AL55" s="638"/>
      <c r="AM55" s="1239"/>
      <c r="AN55" s="455"/>
      <c r="AO55" s="1239"/>
      <c r="AP55" s="1239"/>
      <c r="AQ55" s="484">
        <f>+FL_2($T$56,$T$54,$G$55,1200,9.28, 1*$F$56)</f>
        <v>-0.38348360100863765</v>
      </c>
      <c r="AR55" s="638"/>
      <c r="AS55" s="638"/>
      <c r="AT55" s="484"/>
      <c r="AU55" s="638"/>
      <c r="AV55" s="638"/>
      <c r="AW55" s="484"/>
      <c r="AX55" s="484"/>
      <c r="AY55" s="484"/>
      <c r="AZ55" s="484"/>
      <c r="BA55" s="671"/>
      <c r="BB55" s="1239"/>
      <c r="BC55" s="169"/>
      <c r="BD55" s="1330"/>
      <c r="BE55" s="1330"/>
      <c r="BF55" s="1330"/>
      <c r="BG55" s="1330"/>
    </row>
    <row r="56" spans="1:59" ht="15.75" customHeight="1">
      <c r="A56" s="1239"/>
      <c r="B56" s="485" t="s">
        <v>3356</v>
      </c>
      <c r="C56" s="446">
        <f>+$C$54+$G$55</f>
        <v>86233.170000000013</v>
      </c>
      <c r="D56" s="448"/>
      <c r="E56" s="448"/>
      <c r="F56" s="448">
        <v>-1900</v>
      </c>
      <c r="G56" s="455"/>
      <c r="H56" s="1239" t="s">
        <v>874</v>
      </c>
      <c r="I56" s="448"/>
      <c r="J56" s="446"/>
      <c r="K56" s="638"/>
      <c r="L56" s="638" t="s">
        <v>230</v>
      </c>
      <c r="M56" s="1239" t="str">
        <f>IF(AX56="PT",VLOOKUP(L56,'Foundation Calculation'!$V$2:$X$40,VLOOKUP(AX56,'Foundation Calculation'!$I$10:$J$13,2,FALSE),0),IF(AX56="K",VLOOKUP(L56,'Foundation Calculation'!$V$42:$X$80,VLOOKUP(AX56,'Foundation Calculation'!$I$10:$J$13,2,FALSE),0),""))</f>
        <v>C4R</v>
      </c>
      <c r="N56" s="1239" t="s">
        <v>143</v>
      </c>
      <c r="O56" s="1239"/>
      <c r="P56" s="1239"/>
      <c r="Q56" s="1239"/>
      <c r="R56" s="1239"/>
      <c r="S56" s="455"/>
      <c r="T56" s="1239">
        <v>-30</v>
      </c>
      <c r="U56" s="1239"/>
      <c r="V56" s="1239"/>
      <c r="W56" s="1239">
        <v>1.4</v>
      </c>
      <c r="X56" s="1239"/>
      <c r="Y56" s="1239"/>
      <c r="Z56" s="1239"/>
      <c r="AA56" s="1239"/>
      <c r="AB56" s="1239"/>
      <c r="AC56" s="1239" t="s">
        <v>3050</v>
      </c>
      <c r="AD56" s="1239"/>
      <c r="AE56" s="1239"/>
      <c r="AF56" s="1239">
        <v>5800</v>
      </c>
      <c r="AG56" s="171"/>
      <c r="AH56" s="1239"/>
      <c r="AI56" s="1239"/>
      <c r="AJ56" s="638"/>
      <c r="AK56" s="1239"/>
      <c r="AL56" s="638"/>
      <c r="AM56" s="1239" t="s">
        <v>1042</v>
      </c>
      <c r="AN56" s="455">
        <v>5.15</v>
      </c>
      <c r="AO56" s="1239"/>
      <c r="AP56" s="1239"/>
      <c r="AQ56" s="484"/>
      <c r="AR56" s="638"/>
      <c r="AS56" s="638"/>
      <c r="AT56" s="484">
        <f>+ab($T$56,$T$54,$T$58,$G$55,$G$57, 1*$F$56,1200)</f>
        <v>-6.8463985381011394</v>
      </c>
      <c r="AU56" s="638"/>
      <c r="AV56" s="638"/>
      <c r="AW56" s="638" t="str">
        <f>VLOOKUP(C56,'Foundation Calculation'!$A$2:$C$33,3,1)</f>
        <v>Soil B</v>
      </c>
      <c r="AX56" s="638" t="str">
        <f>VLOOKUP(C56,'Foundation Calculation'!$E$2:$G$33,3,1)</f>
        <v>PT</v>
      </c>
      <c r="AY56" s="484">
        <f>IF(AX56="PT",VLOOKUP(L56,'Foundation Calculation'!$K$2:$R$40,VLOOKUP(AW56,'Foundation Calculation'!$I$2:$J$8,2,FALSE),0),IF(AX56="K",VLOOKUP(L56,'Foundation Calculation'!$K$42:$R$80,VLOOKUP(AW56,'Foundation Calculation'!$I$2:$J$8,2,FALSE),0),""))</f>
        <v>3.5</v>
      </c>
      <c r="AZ56" s="484"/>
      <c r="BA56" s="671" t="s">
        <v>2809</v>
      </c>
      <c r="BB56" s="1239" t="str">
        <f>Pole_Calculations!A16</f>
        <v>App.7-V11A-P9.5.1.2</v>
      </c>
      <c r="BC56" s="169"/>
      <c r="BD56" s="1329">
        <v>43806</v>
      </c>
      <c r="BE56" s="1329">
        <v>43859</v>
      </c>
      <c r="BF56" s="1330"/>
      <c r="BG56" s="1329">
        <v>43870</v>
      </c>
    </row>
    <row r="57" spans="1:59" ht="15.75" customHeight="1">
      <c r="A57" s="647" t="s">
        <v>3049</v>
      </c>
      <c r="B57" s="647"/>
      <c r="C57" s="649"/>
      <c r="D57" s="650"/>
      <c r="E57" s="650"/>
      <c r="F57" s="650"/>
      <c r="G57" s="651">
        <v>54</v>
      </c>
      <c r="H57" s="647"/>
      <c r="I57" s="650">
        <f>C84-C56</f>
        <v>519.3799999999901</v>
      </c>
      <c r="J57" s="649"/>
      <c r="K57" s="653"/>
      <c r="L57" s="653"/>
      <c r="M57" s="653"/>
      <c r="N57" s="647"/>
      <c r="O57" s="647"/>
      <c r="P57" s="647"/>
      <c r="Q57" s="647"/>
      <c r="R57" s="647"/>
      <c r="S57" s="651">
        <f t="shared" ref="S57" si="23">AG58-AG56</f>
        <v>86287</v>
      </c>
      <c r="T57" s="647"/>
      <c r="U57" s="647"/>
      <c r="V57" s="647"/>
      <c r="W57" s="647"/>
      <c r="X57" s="647"/>
      <c r="Y57" s="647"/>
      <c r="Z57" s="647"/>
      <c r="AA57" s="647"/>
      <c r="AB57" s="647"/>
      <c r="AC57" s="647"/>
      <c r="AD57" s="647"/>
      <c r="AE57" s="647"/>
      <c r="AF57" s="647"/>
      <c r="AG57" s="652"/>
      <c r="AH57" s="647"/>
      <c r="AI57" s="647"/>
      <c r="AJ57" s="653"/>
      <c r="AK57" s="647"/>
      <c r="AL57" s="653"/>
      <c r="AM57" s="647"/>
      <c r="AN57" s="651"/>
      <c r="AO57" s="647"/>
      <c r="AP57" s="647"/>
      <c r="AQ57" s="654">
        <f>+FL_2($T$58,$T$56,$G$57,1200,9.28, 1*$F$58)</f>
        <v>-0.39002820865521137</v>
      </c>
      <c r="AR57" s="653"/>
      <c r="AS57" s="653"/>
      <c r="AT57" s="654"/>
      <c r="AU57" s="653"/>
      <c r="AV57" s="653"/>
      <c r="AW57" s="654"/>
      <c r="AX57" s="654"/>
      <c r="AY57" s="654"/>
      <c r="AZ57" s="654"/>
      <c r="BA57" s="701"/>
      <c r="BB57" s="647"/>
      <c r="BC57" s="169"/>
      <c r="BD57" s="1330"/>
      <c r="BE57" s="1330"/>
      <c r="BF57" s="1330"/>
      <c r="BG57" s="1330"/>
    </row>
    <row r="58" spans="1:59" s="1288" customFormat="1" ht="17.25" customHeight="1">
      <c r="A58" s="1285"/>
      <c r="B58" s="1359" t="s">
        <v>3357</v>
      </c>
      <c r="C58" s="1360">
        <f>+$C$56+$G$57</f>
        <v>86287.170000000013</v>
      </c>
      <c r="D58" s="1351"/>
      <c r="E58" s="1351"/>
      <c r="F58" s="1351">
        <v>-1900</v>
      </c>
      <c r="G58" s="1352"/>
      <c r="H58" s="1285" t="s">
        <v>873</v>
      </c>
      <c r="I58" s="1351"/>
      <c r="J58" s="1360"/>
      <c r="K58" s="1353"/>
      <c r="L58" s="1353" t="s">
        <v>230</v>
      </c>
      <c r="M58" s="1285" t="str">
        <f>IF(AX58="PT",VLOOKUP(L58,'Foundation Calculation'!$V$2:$X$40,VLOOKUP(AX58,'Foundation Calculation'!$I$10:$J$13,2,FALSE),0),IF(AX58="K",VLOOKUP(L58,'Foundation Calculation'!$V$42:$X$80,VLOOKUP(AX58,'Foundation Calculation'!$I$10:$J$13,2,FALSE),0),""))</f>
        <v>C4R</v>
      </c>
      <c r="N58" s="1285" t="s">
        <v>143</v>
      </c>
      <c r="O58" s="1285"/>
      <c r="P58" s="1285"/>
      <c r="Q58" s="1285">
        <v>150</v>
      </c>
      <c r="R58" s="1285">
        <v>-1900</v>
      </c>
      <c r="S58" s="1352"/>
      <c r="T58" s="1285">
        <v>-30</v>
      </c>
      <c r="U58" s="1285"/>
      <c r="V58" s="1285"/>
      <c r="W58" s="1285">
        <v>1.4</v>
      </c>
      <c r="X58" s="1285"/>
      <c r="Y58" s="1285"/>
      <c r="Z58" s="1285"/>
      <c r="AA58" s="1285"/>
      <c r="AB58" s="1285"/>
      <c r="AC58" s="1285" t="s">
        <v>4090</v>
      </c>
      <c r="AD58" s="1285"/>
      <c r="AE58" s="1285"/>
      <c r="AF58" s="1285">
        <v>6000</v>
      </c>
      <c r="AG58" s="1350">
        <v>86287</v>
      </c>
      <c r="AH58" s="1285">
        <v>2473</v>
      </c>
      <c r="AI58" s="1285">
        <v>660</v>
      </c>
      <c r="AJ58" s="1353"/>
      <c r="AK58" s="1285"/>
      <c r="AL58" s="1353"/>
      <c r="AM58" s="1285" t="s">
        <v>1042</v>
      </c>
      <c r="AN58" s="1352">
        <v>5.15</v>
      </c>
      <c r="AO58" s="1285"/>
      <c r="AP58" s="1285"/>
      <c r="AQ58" s="1354"/>
      <c r="AR58" s="1353"/>
      <c r="AS58" s="1353"/>
      <c r="AT58" s="1354">
        <f>+ab($T$58,$T$56,$T$60,$G$57,$G$59, 1*$F$58,1200)</f>
        <v>-6.7830124471283586</v>
      </c>
      <c r="AU58" s="1353"/>
      <c r="AV58" s="1353"/>
      <c r="AW58" s="1353" t="str">
        <f>VLOOKUP(C58,'Foundation Calculation'!$A$2:$C$33,3,1)</f>
        <v>Soil B</v>
      </c>
      <c r="AX58" s="1353" t="str">
        <f>VLOOKUP(C58,'Foundation Calculation'!$E$2:$G$33,3,1)</f>
        <v>PT</v>
      </c>
      <c r="AY58" s="1354">
        <f>IF(AX58="PT",VLOOKUP(L58,'Foundation Calculation'!$K$2:$R$40,VLOOKUP(AW58,'Foundation Calculation'!$I$2:$J$8,2,FALSE),0),IF(AX58="K",VLOOKUP(L58,'Foundation Calculation'!$K$42:$R$80,VLOOKUP(AW58,'Foundation Calculation'!$I$2:$J$8,2,FALSE),0),""))</f>
        <v>3.5</v>
      </c>
      <c r="AZ58" s="1354"/>
      <c r="BA58" s="1355" t="s">
        <v>2809</v>
      </c>
      <c r="BB58" s="1285" t="str">
        <f>Pole_Calculations!A17</f>
        <v>App.7-V11A-P9.5.1.3</v>
      </c>
      <c r="BC58" s="823"/>
      <c r="BD58" s="1356">
        <v>43806</v>
      </c>
      <c r="BE58" s="1356">
        <v>43867</v>
      </c>
      <c r="BF58" s="1356"/>
      <c r="BG58" s="1356"/>
    </row>
    <row r="59" spans="1:59" s="1288" customFormat="1" ht="15.75" customHeight="1">
      <c r="A59" s="1285"/>
      <c r="B59" s="1362"/>
      <c r="C59" s="1360"/>
      <c r="D59" s="1351"/>
      <c r="E59" s="1351"/>
      <c r="F59" s="1351"/>
      <c r="G59" s="1352">
        <v>53</v>
      </c>
      <c r="H59" s="1285"/>
      <c r="I59" s="1351"/>
      <c r="J59" s="1360">
        <f>C58+7.5</f>
        <v>86294.670000000013</v>
      </c>
      <c r="K59" s="1353" t="s">
        <v>2788</v>
      </c>
      <c r="L59" s="1353"/>
      <c r="M59" s="1353"/>
      <c r="N59" s="1285"/>
      <c r="O59" s="1285"/>
      <c r="P59" s="1285"/>
      <c r="Q59" s="1285"/>
      <c r="R59" s="1285"/>
      <c r="S59" s="1352">
        <f t="shared" ref="S59" si="24">AG60-AG58</f>
        <v>-86287</v>
      </c>
      <c r="T59" s="1285"/>
      <c r="U59" s="1285"/>
      <c r="V59" s="1285"/>
      <c r="W59" s="1285"/>
      <c r="X59" s="1285"/>
      <c r="Y59" s="1285"/>
      <c r="Z59" s="1285"/>
      <c r="AA59" s="1285"/>
      <c r="AB59" s="1285"/>
      <c r="AC59" s="1285"/>
      <c r="AD59" s="1285"/>
      <c r="AE59" s="1285"/>
      <c r="AF59" s="1285"/>
      <c r="AG59" s="1350"/>
      <c r="AH59" s="1285"/>
      <c r="AI59" s="1285"/>
      <c r="AJ59" s="1353"/>
      <c r="AK59" s="1285"/>
      <c r="AL59" s="1353"/>
      <c r="AM59" s="1285"/>
      <c r="AN59" s="1352"/>
      <c r="AO59" s="1285"/>
      <c r="AP59" s="1285"/>
      <c r="AQ59" s="1354">
        <f>+FL_2($T$60,$T$58,$G$59,1200,9.28, 1*$F$60)</f>
        <v>-0.38672504684162567</v>
      </c>
      <c r="AR59" s="1353"/>
      <c r="AS59" s="1353"/>
      <c r="AT59" s="1354"/>
      <c r="AU59" s="1353"/>
      <c r="AV59" s="1353"/>
      <c r="AW59" s="1353" t="str">
        <f>VLOOKUP(J59,'Foundation Calculation'!$A$2:$C$33,3,1)</f>
        <v>Soil B</v>
      </c>
      <c r="AX59" s="1353" t="str">
        <f>VLOOKUP(J59,'Foundation Calculation'!$E$2:$G$33,3,1)</f>
        <v>PT</v>
      </c>
      <c r="AY59" s="1354"/>
      <c r="AZ59" s="1354">
        <f>IF(AX59="PT",VLOOKUP(K59,'Foundation Calculation'!$K$2:$R$40,VLOOKUP(AW59,'Foundation Calculation'!$I$2:$J$8,2,FALSE),0),IF(AX59="K",VLOOKUP(K59,'Foundation Calculation'!$K$42:$R$80,VLOOKUP(AW59,'Foundation Calculation'!$I$2:$J$8,2,FALSE),0),""))</f>
        <v>2.8</v>
      </c>
      <c r="BA59" s="1355" t="s">
        <v>2809</v>
      </c>
      <c r="BB59" s="1285"/>
      <c r="BC59" s="823"/>
      <c r="BD59" s="1356">
        <v>43806</v>
      </c>
      <c r="BE59" s="1356"/>
      <c r="BF59" s="1356"/>
      <c r="BG59" s="1356"/>
    </row>
    <row r="60" spans="1:59" s="1288" customFormat="1" ht="15.75" customHeight="1">
      <c r="A60" s="1285"/>
      <c r="B60" s="1359" t="s">
        <v>3358</v>
      </c>
      <c r="C60" s="1360">
        <f>+$C$58+$G$59</f>
        <v>86340.170000000013</v>
      </c>
      <c r="D60" s="1351"/>
      <c r="E60" s="1351"/>
      <c r="F60" s="1351">
        <v>-1900</v>
      </c>
      <c r="G60" s="1352"/>
      <c r="H60" s="1285"/>
      <c r="I60" s="1351"/>
      <c r="J60" s="1360"/>
      <c r="K60" s="1353"/>
      <c r="L60" s="1353" t="s">
        <v>230</v>
      </c>
      <c r="M60" s="1285" t="str">
        <f>IF(AX60="PT",VLOOKUP(L60,'Foundation Calculation'!$V$2:$X$40,VLOOKUP(AX60,'Foundation Calculation'!$I$10:$J$13,2,FALSE),0),IF(AX60="K",VLOOKUP(L60,'Foundation Calculation'!$V$42:$X$80,VLOOKUP(AX60,'Foundation Calculation'!$I$10:$J$13,2,FALSE),0),""))</f>
        <v>C4R</v>
      </c>
      <c r="N60" s="1285" t="s">
        <v>143</v>
      </c>
      <c r="O60" s="1285"/>
      <c r="P60" s="1285"/>
      <c r="Q60" s="1285"/>
      <c r="R60" s="1285"/>
      <c r="S60" s="1352"/>
      <c r="T60" s="1285">
        <v>-30</v>
      </c>
      <c r="U60" s="1285"/>
      <c r="V60" s="1285"/>
      <c r="W60" s="1285">
        <v>1.4</v>
      </c>
      <c r="X60" s="1285"/>
      <c r="Y60" s="1285"/>
      <c r="Z60" s="1285"/>
      <c r="AA60" s="1285"/>
      <c r="AB60" s="1285"/>
      <c r="AC60" s="1285" t="s">
        <v>3050</v>
      </c>
      <c r="AD60" s="1285"/>
      <c r="AE60" s="1285"/>
      <c r="AF60" s="1285">
        <v>5800</v>
      </c>
      <c r="AG60" s="1350"/>
      <c r="AH60" s="1285"/>
      <c r="AI60" s="1285"/>
      <c r="AJ60" s="1353"/>
      <c r="AK60" s="1285"/>
      <c r="AL60" s="1353"/>
      <c r="AM60" s="1285" t="s">
        <v>1042</v>
      </c>
      <c r="AN60" s="1352">
        <v>5.15</v>
      </c>
      <c r="AO60" s="1285"/>
      <c r="AP60" s="1285"/>
      <c r="AQ60" s="1354"/>
      <c r="AR60" s="1353"/>
      <c r="AS60" s="1353"/>
      <c r="AT60" s="1354">
        <f>+ab($T$60,$T$58,$T$62,$G$59,$G$61, 1*$F$60,1200)</f>
        <v>-6.8463985381011394</v>
      </c>
      <c r="AU60" s="1353"/>
      <c r="AV60" s="1353"/>
      <c r="AW60" s="1353" t="str">
        <f>VLOOKUP(C60,'Foundation Calculation'!$A$2:$C$33,3,1)</f>
        <v>Soil B</v>
      </c>
      <c r="AX60" s="1353" t="str">
        <f>VLOOKUP(C60,'Foundation Calculation'!$E$2:$G$33,3,1)</f>
        <v>PT</v>
      </c>
      <c r="AY60" s="1354">
        <f>IF(AX60="PT",VLOOKUP(L60,'Foundation Calculation'!$K$2:$R$40,VLOOKUP(AW60,'Foundation Calculation'!$I$2:$J$8,2,FALSE),0),IF(AX60="K",VLOOKUP(L60,'Foundation Calculation'!$K$42:$R$80,VLOOKUP(AW60,'Foundation Calculation'!$I$2:$J$8,2,FALSE),0),""))</f>
        <v>3.5</v>
      </c>
      <c r="AZ60" s="1354"/>
      <c r="BA60" s="1355" t="s">
        <v>2809</v>
      </c>
      <c r="BB60" s="1285" t="str">
        <f>Pole_Calculations!A15</f>
        <v>App.7-V11A-P9.5.1.1</v>
      </c>
      <c r="BC60" s="823"/>
      <c r="BD60" s="1356">
        <v>43806</v>
      </c>
      <c r="BE60" s="1356">
        <v>43859</v>
      </c>
      <c r="BF60" s="1356"/>
      <c r="BG60" s="1356">
        <v>43870</v>
      </c>
    </row>
    <row r="61" spans="1:59" s="1288" customFormat="1" ht="15.75" customHeight="1">
      <c r="A61" s="1285"/>
      <c r="B61" s="1362"/>
      <c r="C61" s="1360"/>
      <c r="D61" s="1351"/>
      <c r="E61" s="1351"/>
      <c r="F61" s="1351"/>
      <c r="G61" s="1352">
        <v>53</v>
      </c>
      <c r="H61" s="1285"/>
      <c r="I61" s="1351"/>
      <c r="J61" s="1360"/>
      <c r="K61" s="1353"/>
      <c r="L61" s="1353"/>
      <c r="M61" s="1353"/>
      <c r="N61" s="1285"/>
      <c r="O61" s="1285"/>
      <c r="P61" s="1285"/>
      <c r="Q61" s="1285"/>
      <c r="R61" s="1285"/>
      <c r="S61" s="1352">
        <f t="shared" ref="S61" si="25">AG62-AG60</f>
        <v>86393</v>
      </c>
      <c r="T61" s="1285"/>
      <c r="U61" s="1285"/>
      <c r="V61" s="1285"/>
      <c r="W61" s="1285"/>
      <c r="X61" s="1285"/>
      <c r="Y61" s="1285"/>
      <c r="Z61" s="1285"/>
      <c r="AA61" s="1285"/>
      <c r="AB61" s="1285"/>
      <c r="AC61" s="1285"/>
      <c r="AD61" s="1285"/>
      <c r="AE61" s="1285"/>
      <c r="AF61" s="1285"/>
      <c r="AG61" s="1350"/>
      <c r="AH61" s="1285"/>
      <c r="AI61" s="1285"/>
      <c r="AJ61" s="1285"/>
      <c r="AK61" s="1285"/>
      <c r="AL61" s="1285"/>
      <c r="AM61" s="1285"/>
      <c r="AN61" s="1352"/>
      <c r="AO61" s="1285"/>
      <c r="AP61" s="1285"/>
      <c r="AQ61" s="1354">
        <f>+FL_2($T$62,$T$60,$G$61,1200,9.28, 1*$F$62)</f>
        <v>-0.38672504684162567</v>
      </c>
      <c r="AR61" s="1353"/>
      <c r="AS61" s="1353"/>
      <c r="AT61" s="1354"/>
      <c r="AU61" s="1353"/>
      <c r="AV61" s="1353"/>
      <c r="AW61" s="1353"/>
      <c r="AX61" s="1353"/>
      <c r="AY61" s="1354"/>
      <c r="AZ61" s="1354"/>
      <c r="BA61" s="1355"/>
      <c r="BB61" s="1285"/>
      <c r="BC61" s="823"/>
      <c r="BD61" s="1356">
        <v>43806</v>
      </c>
      <c r="BE61" s="1356"/>
      <c r="BF61" s="1356"/>
      <c r="BG61" s="1356"/>
    </row>
    <row r="62" spans="1:59" s="1288" customFormat="1" ht="15.75" customHeight="1">
      <c r="A62" s="1285"/>
      <c r="B62" s="1363" t="s">
        <v>3359</v>
      </c>
      <c r="C62" s="1360">
        <f>+$C$60+$G$61</f>
        <v>86393.170000000013</v>
      </c>
      <c r="D62" s="1351"/>
      <c r="E62" s="1351"/>
      <c r="F62" s="1351">
        <v>-1900</v>
      </c>
      <c r="G62" s="1352"/>
      <c r="H62" s="1285"/>
      <c r="I62" s="1351" t="s">
        <v>1039</v>
      </c>
      <c r="J62" s="1360"/>
      <c r="K62" s="1353"/>
      <c r="L62" s="1285" t="s">
        <v>230</v>
      </c>
      <c r="M62" s="1285" t="str">
        <f>IF(AX62="PT",VLOOKUP(L62,'Foundation Calculation'!$V$2:$X$40,VLOOKUP(AX62,'Foundation Calculation'!$I$10:$J$13,2,FALSE),0),IF(AX62="K",VLOOKUP(L62,'Foundation Calculation'!$V$42:$X$80,VLOOKUP(AX62,'Foundation Calculation'!$I$10:$J$13,2,FALSE),0),""))</f>
        <v>C4R</v>
      </c>
      <c r="N62" s="1285" t="s">
        <v>143</v>
      </c>
      <c r="O62" s="1285"/>
      <c r="P62" s="1285"/>
      <c r="Q62" s="1285">
        <v>150</v>
      </c>
      <c r="R62" s="1285">
        <v>-1900</v>
      </c>
      <c r="S62" s="1352"/>
      <c r="T62" s="1285">
        <v>-30</v>
      </c>
      <c r="U62" s="1285"/>
      <c r="V62" s="1285"/>
      <c r="W62" s="1285">
        <v>1.4</v>
      </c>
      <c r="X62" s="1285"/>
      <c r="Y62" s="1285"/>
      <c r="Z62" s="1285"/>
      <c r="AA62" s="1285"/>
      <c r="AB62" s="1285"/>
      <c r="AC62" s="1285" t="s">
        <v>4090</v>
      </c>
      <c r="AD62" s="1285"/>
      <c r="AE62" s="1285"/>
      <c r="AF62" s="1285">
        <v>600</v>
      </c>
      <c r="AG62" s="1350">
        <v>86393</v>
      </c>
      <c r="AH62" s="1285">
        <v>2633</v>
      </c>
      <c r="AI62" s="1285">
        <v>650</v>
      </c>
      <c r="AJ62" s="1285"/>
      <c r="AK62" s="1285"/>
      <c r="AL62" s="1285"/>
      <c r="AM62" s="1285" t="s">
        <v>1042</v>
      </c>
      <c r="AN62" s="1352">
        <v>5.15</v>
      </c>
      <c r="AO62" s="1285"/>
      <c r="AP62" s="1285"/>
      <c r="AQ62" s="1354"/>
      <c r="AR62" s="1353"/>
      <c r="AS62" s="1353"/>
      <c r="AT62" s="1354">
        <f>+ab($T$62,$T$60,$T$64,$G$61,$G$63, 1*$F$62,1200)</f>
        <v>-6.9767744865038042</v>
      </c>
      <c r="AU62" s="1353"/>
      <c r="AV62" s="1353"/>
      <c r="AW62" s="1353" t="str">
        <f>VLOOKUP(C62,'Foundation Calculation'!$A$2:$C$33,3,1)</f>
        <v>Soil B</v>
      </c>
      <c r="AX62" s="1353" t="str">
        <f>VLOOKUP(C62,'Foundation Calculation'!$E$2:$G$33,3,1)</f>
        <v>PT</v>
      </c>
      <c r="AY62" s="1354">
        <f>IF(AX62="PT",VLOOKUP(L62,'Foundation Calculation'!$K$2:$R$40,VLOOKUP(AW62,'Foundation Calculation'!$I$2:$J$8,2,FALSE),0),IF(AX62="K",VLOOKUP(L62,'Foundation Calculation'!$K$42:$R$80,VLOOKUP(AW62,'Foundation Calculation'!$I$2:$J$8,2,FALSE),0),""))</f>
        <v>3.5</v>
      </c>
      <c r="AZ62" s="1354"/>
      <c r="BA62" s="1355" t="s">
        <v>2809</v>
      </c>
      <c r="BB62" s="1285" t="str">
        <f>Pole_Calculations!A15</f>
        <v>App.7-V11A-P9.5.1.1</v>
      </c>
      <c r="BC62" s="823"/>
      <c r="BD62" s="1356">
        <v>43806</v>
      </c>
      <c r="BE62" s="1356"/>
      <c r="BF62" s="1356"/>
      <c r="BG62" s="1356"/>
    </row>
    <row r="63" spans="1:59" ht="15.75" customHeight="1">
      <c r="A63" s="647" t="s">
        <v>3049</v>
      </c>
      <c r="B63" s="648"/>
      <c r="C63" s="649"/>
      <c r="D63" s="650"/>
      <c r="E63" s="650"/>
      <c r="F63" s="650"/>
      <c r="G63" s="651">
        <v>51</v>
      </c>
      <c r="H63" s="647"/>
      <c r="I63" s="650"/>
      <c r="J63" s="649"/>
      <c r="K63" s="653"/>
      <c r="L63" s="647"/>
      <c r="M63" s="647"/>
      <c r="N63" s="647"/>
      <c r="O63" s="647"/>
      <c r="P63" s="647"/>
      <c r="Q63" s="647"/>
      <c r="R63" s="647"/>
      <c r="S63" s="651">
        <f t="shared" ref="S63" si="26">AG64-AG62</f>
        <v>52</v>
      </c>
      <c r="T63" s="647"/>
      <c r="U63" s="647"/>
      <c r="V63" s="647"/>
      <c r="W63" s="647"/>
      <c r="X63" s="647"/>
      <c r="Y63" s="647"/>
      <c r="Z63" s="647"/>
      <c r="AA63" s="647"/>
      <c r="AB63" s="647"/>
      <c r="AC63" s="647"/>
      <c r="AD63" s="647"/>
      <c r="AE63" s="647"/>
      <c r="AF63" s="647"/>
      <c r="AG63" s="652"/>
      <c r="AH63" s="647"/>
      <c r="AI63" s="647"/>
      <c r="AJ63" s="647"/>
      <c r="AK63" s="647"/>
      <c r="AL63" s="647"/>
      <c r="AM63" s="647"/>
      <c r="AN63" s="651"/>
      <c r="AO63" s="647"/>
      <c r="AP63" s="647"/>
      <c r="AQ63" s="654">
        <f>+FL_2($T$64,$T$62,$G$63,1200,9.28, 1*$F$64)</f>
        <v>-0.38030387259165732</v>
      </c>
      <c r="AR63" s="653"/>
      <c r="AS63" s="653"/>
      <c r="AT63" s="654"/>
      <c r="AU63" s="653"/>
      <c r="AV63" s="653"/>
      <c r="AW63" s="653"/>
      <c r="AX63" s="653"/>
      <c r="AY63" s="654"/>
      <c r="AZ63" s="654"/>
      <c r="BA63" s="701"/>
      <c r="BB63" s="647"/>
      <c r="BC63" s="169"/>
      <c r="BD63" s="1330"/>
      <c r="BE63" s="1330"/>
      <c r="BF63" s="1330"/>
      <c r="BG63" s="1330"/>
    </row>
    <row r="64" spans="1:59" s="1385" customFormat="1" ht="15.75" customHeight="1">
      <c r="A64" s="658" t="s">
        <v>3517</v>
      </c>
      <c r="B64" s="664" t="s">
        <v>2972</v>
      </c>
      <c r="C64" s="660">
        <v>86445.85</v>
      </c>
      <c r="D64" s="661"/>
      <c r="E64" s="661"/>
      <c r="F64" s="661">
        <v>-1900</v>
      </c>
      <c r="G64" s="662"/>
      <c r="H64" s="658"/>
      <c r="I64" s="661"/>
      <c r="J64" s="660"/>
      <c r="K64" s="663"/>
      <c r="L64" s="658" t="s">
        <v>819</v>
      </c>
      <c r="M64" s="658" t="str">
        <f>IF(AX64="PT",VLOOKUP(L64,'Foundation Calculation'!$V$2:$X$40,VLOOKUP(AX64,'Foundation Calculation'!$I$10:$J$13,2,FALSE),0),IF(AX64="K",VLOOKUP(L64,'Foundation Calculation'!$V$42:$X$80,VLOOKUP(AX64,'Foundation Calculation'!$I$10:$J$13,2,FALSE),0),""))</f>
        <v>C5R</v>
      </c>
      <c r="N64" s="658" t="s">
        <v>143</v>
      </c>
      <c r="O64" s="658"/>
      <c r="P64" s="658"/>
      <c r="Q64" s="658">
        <v>140</v>
      </c>
      <c r="R64" s="658">
        <v>-1900</v>
      </c>
      <c r="S64" s="662"/>
      <c r="T64" s="658">
        <v>-30</v>
      </c>
      <c r="U64" s="658"/>
      <c r="V64" s="658"/>
      <c r="W64" s="658">
        <v>1.4</v>
      </c>
      <c r="X64" s="658"/>
      <c r="Y64" s="658"/>
      <c r="Z64" s="658"/>
      <c r="AA64" s="658"/>
      <c r="AB64" s="658"/>
      <c r="AC64" s="658" t="s">
        <v>4090</v>
      </c>
      <c r="AD64" s="658"/>
      <c r="AE64" s="658"/>
      <c r="AF64" s="658">
        <v>6000</v>
      </c>
      <c r="AG64" s="739">
        <v>86445</v>
      </c>
      <c r="AH64" s="658">
        <v>2653</v>
      </c>
      <c r="AI64" s="658">
        <v>520</v>
      </c>
      <c r="AJ64" s="658"/>
      <c r="AK64" s="658"/>
      <c r="AL64" s="658"/>
      <c r="AM64" s="658" t="s">
        <v>1042</v>
      </c>
      <c r="AN64" s="662">
        <v>5.15</v>
      </c>
      <c r="AO64" s="658"/>
      <c r="AP64" s="658"/>
      <c r="AQ64" s="665"/>
      <c r="AR64" s="663"/>
      <c r="AS64" s="663"/>
      <c r="AT64" s="665">
        <f>+ab($T$64,$T$62,$T$66,$G$63,$G$65, 1*$F$64,1200)</f>
        <v>-6.9767744865038042</v>
      </c>
      <c r="AU64" s="663"/>
      <c r="AV64" s="663"/>
      <c r="AW64" s="663" t="str">
        <f>VLOOKUP(C64,'Foundation Calculation'!$A$2:$C$33,3,1)</f>
        <v>Soil B</v>
      </c>
      <c r="AX64" s="684" t="str">
        <f>VLOOKUP(C64,'Foundation Calculation'!$E$2:$G$33,3,1)</f>
        <v>PT</v>
      </c>
      <c r="AY64" s="665">
        <f>IF(AX64="PT",VLOOKUP(L64,'Foundation Calculation'!$K$2:$R$40,VLOOKUP(AW64,'Foundation Calculation'!$I$2:$J$8,2,FALSE),0),IF(AX64="K",VLOOKUP(L64,'Foundation Calculation'!$K$42:$R$80,VLOOKUP(AW64,'Foundation Calculation'!$I$2:$J$8,2,FALSE),0),""))</f>
        <v>3.5</v>
      </c>
      <c r="AZ64" s="665"/>
      <c r="BA64" s="670" t="s">
        <v>2809</v>
      </c>
      <c r="BB64" s="658" t="str">
        <f>Pole_Calculations!A152</f>
        <v>App.7.1-V01-P9.5.1.1</v>
      </c>
      <c r="BC64" s="1384"/>
      <c r="BD64" s="1329">
        <v>43806</v>
      </c>
      <c r="BE64" s="1330">
        <v>43867</v>
      </c>
      <c r="BF64" s="1330"/>
      <c r="BG64" s="1330"/>
    </row>
    <row r="65" spans="1:59" ht="15.75" customHeight="1">
      <c r="A65" s="1372"/>
      <c r="B65" s="1373"/>
      <c r="C65" s="1374"/>
      <c r="D65" s="1375"/>
      <c r="E65" s="1375"/>
      <c r="F65" s="1375"/>
      <c r="G65" s="1376">
        <v>53</v>
      </c>
      <c r="H65" s="1372"/>
      <c r="I65" s="1375"/>
      <c r="J65" s="1374">
        <f>C66-7.5</f>
        <v>86491.35</v>
      </c>
      <c r="K65" s="1377" t="s">
        <v>2787</v>
      </c>
      <c r="L65" s="1372"/>
      <c r="M65" s="1372"/>
      <c r="N65" s="1372"/>
      <c r="O65" s="1372"/>
      <c r="P65" s="1372"/>
      <c r="Q65" s="1372"/>
      <c r="R65" s="1372"/>
      <c r="S65" s="1376">
        <f t="shared" ref="S65" si="27">AG66-AG64</f>
        <v>53</v>
      </c>
      <c r="T65" s="1372"/>
      <c r="U65" s="1372"/>
      <c r="V65" s="1372"/>
      <c r="W65" s="1372"/>
      <c r="X65" s="1372"/>
      <c r="Y65" s="1372"/>
      <c r="Z65" s="1372"/>
      <c r="AA65" s="1372"/>
      <c r="AB65" s="1372"/>
      <c r="AC65" s="1372"/>
      <c r="AD65" s="1372"/>
      <c r="AE65" s="1372"/>
      <c r="AF65" s="1372"/>
      <c r="AG65" s="1378"/>
      <c r="AH65" s="1372"/>
      <c r="AI65" s="1372"/>
      <c r="AJ65" s="1372"/>
      <c r="AK65" s="1372"/>
      <c r="AL65" s="1372"/>
      <c r="AM65" s="1372"/>
      <c r="AN65" s="1376"/>
      <c r="AO65" s="1372"/>
      <c r="AP65" s="1372"/>
      <c r="AQ65" s="1379">
        <f>+FL_2($T$66,$T$64,$G$65,1200,9.28, 1*$F$66)</f>
        <v>-0.38672504684162567</v>
      </c>
      <c r="AR65" s="1377"/>
      <c r="AS65" s="1377"/>
      <c r="AT65" s="1379"/>
      <c r="AU65" s="1377"/>
      <c r="AV65" s="1377"/>
      <c r="AW65" s="1377" t="str">
        <f>VLOOKUP(J65,'Foundation Calculation'!$A$2:$C$33,3,1)</f>
        <v>Soil B</v>
      </c>
      <c r="AX65" s="1380" t="str">
        <f>VLOOKUP(J65,'Foundation Calculation'!$E$2:$G$33,3,1)</f>
        <v>PT</v>
      </c>
      <c r="AY65" s="1379"/>
      <c r="AZ65" s="1379">
        <f>IF(AX65="PT",VLOOKUP(K65,'Foundation Calculation'!$K$2:$R$40,VLOOKUP(AW65,'Foundation Calculation'!$I$2:$J$8,2,FALSE),0),IF(AX65="K",VLOOKUP(K65,'Foundation Calculation'!$K$42:$R$80,VLOOKUP(AW65,'Foundation Calculation'!$I$2:$J$8,2,FALSE),0),""))</f>
        <v>3.9</v>
      </c>
      <c r="BA65" s="1381" t="s">
        <v>2809</v>
      </c>
      <c r="BB65" s="1372"/>
      <c r="BC65" s="169"/>
      <c r="BD65" s="1382">
        <v>43806</v>
      </c>
      <c r="BE65" s="1383"/>
      <c r="BF65" s="1383"/>
      <c r="BG65" s="1383"/>
    </row>
    <row r="66" spans="1:59" s="1385" customFormat="1" ht="15.75" customHeight="1">
      <c r="A66" s="658"/>
      <c r="B66" s="664" t="s">
        <v>2973</v>
      </c>
      <c r="C66" s="660">
        <f>+$C$64+$G$65</f>
        <v>86498.85</v>
      </c>
      <c r="D66" s="661"/>
      <c r="E66" s="661"/>
      <c r="F66" s="661">
        <v>-1900</v>
      </c>
      <c r="G66" s="662"/>
      <c r="H66" s="658" t="s">
        <v>138</v>
      </c>
      <c r="I66" s="661" t="s">
        <v>623</v>
      </c>
      <c r="J66" s="660"/>
      <c r="K66" s="663"/>
      <c r="L66" s="658" t="s">
        <v>899</v>
      </c>
      <c r="M66" s="658" t="str">
        <f>IF(AX66="PT",VLOOKUP(L66,'Foundation Calculation'!$V$2:$X$40,VLOOKUP(AX66,'Foundation Calculation'!$I$10:$J$13,2,FALSE),0),IF(AX66="K",VLOOKUP(L66,'Foundation Calculation'!$V$42:$X$80,VLOOKUP(AX66,'Foundation Calculation'!$I$10:$J$13,2,FALSE),0),""))</f>
        <v>C5R</v>
      </c>
      <c r="N66" s="658" t="s">
        <v>143</v>
      </c>
      <c r="O66" s="658"/>
      <c r="P66" s="658"/>
      <c r="Q66" s="658">
        <v>150</v>
      </c>
      <c r="R66" s="658">
        <v>-1900</v>
      </c>
      <c r="S66" s="662"/>
      <c r="T66" s="658">
        <v>-30</v>
      </c>
      <c r="U66" s="658"/>
      <c r="V66" s="658"/>
      <c r="W66" s="658">
        <v>1.4</v>
      </c>
      <c r="X66" s="658"/>
      <c r="Y66" s="658"/>
      <c r="Z66" s="658"/>
      <c r="AA66" s="658"/>
      <c r="AB66" s="658"/>
      <c r="AC66" s="658" t="s">
        <v>4090</v>
      </c>
      <c r="AD66" s="658"/>
      <c r="AE66" s="658"/>
      <c r="AF66" s="658">
        <v>6000</v>
      </c>
      <c r="AG66" s="739">
        <v>86498</v>
      </c>
      <c r="AH66" s="658">
        <v>2163</v>
      </c>
      <c r="AI66" s="658">
        <v>590</v>
      </c>
      <c r="AJ66" s="658"/>
      <c r="AK66" s="658"/>
      <c r="AL66" s="658"/>
      <c r="AM66" s="658" t="s">
        <v>1042</v>
      </c>
      <c r="AN66" s="662">
        <v>5.15</v>
      </c>
      <c r="AO66" s="658"/>
      <c r="AP66" s="658"/>
      <c r="AQ66" s="665"/>
      <c r="AR66" s="663"/>
      <c r="AS66" s="663"/>
      <c r="AT66" s="665">
        <f>+ab($T$66,$T$64,$U$70,$G$65,$G$67, 1*$F$66,1200)</f>
        <v>-6.6596817555195482</v>
      </c>
      <c r="AU66" s="663"/>
      <c r="AV66" s="663"/>
      <c r="AW66" s="663" t="str">
        <f>VLOOKUP(C66,'Foundation Calculation'!$A$2:$C$33,3,1)</f>
        <v>Soil B</v>
      </c>
      <c r="AX66" s="684" t="str">
        <f>VLOOKUP(C66,'Foundation Calculation'!$E$2:$G$33,3,1)</f>
        <v>PT</v>
      </c>
      <c r="AY66" s="665">
        <f>IF(AX66="PT",VLOOKUP(L66,'Foundation Calculation'!$K$2:$R$40,VLOOKUP(AW66,'Foundation Calculation'!$I$2:$J$8,2,FALSE),0),IF(AX66="K",VLOOKUP(L66,'Foundation Calculation'!$K$42:$R$80,VLOOKUP(AW66,'Foundation Calculation'!$I$2:$J$8,2,FALSE),0),""))</f>
        <v>3.5</v>
      </c>
      <c r="AZ66" s="665"/>
      <c r="BA66" s="670" t="s">
        <v>2809</v>
      </c>
      <c r="BB66" s="658" t="str">
        <f>Pole_Calculations!A157</f>
        <v>App.7.1-V01-P9.5.1.6</v>
      </c>
      <c r="BC66" s="1384"/>
      <c r="BD66" s="1329">
        <v>43806</v>
      </c>
      <c r="BE66" s="1330"/>
      <c r="BF66" s="1330"/>
      <c r="BG66" s="1330"/>
    </row>
    <row r="67" spans="1:59" ht="15.75" customHeight="1">
      <c r="A67" s="647" t="s">
        <v>3049</v>
      </c>
      <c r="B67" s="648"/>
      <c r="C67" s="649"/>
      <c r="D67" s="650"/>
      <c r="E67" s="650"/>
      <c r="F67" s="650"/>
      <c r="G67" s="651">
        <v>56</v>
      </c>
      <c r="H67" s="647"/>
      <c r="I67" s="650"/>
      <c r="J67" s="649"/>
      <c r="K67" s="653"/>
      <c r="L67" s="647"/>
      <c r="M67" s="647"/>
      <c r="N67" s="647"/>
      <c r="O67" s="647"/>
      <c r="P67" s="647"/>
      <c r="Q67" s="647"/>
      <c r="R67" s="647"/>
      <c r="S67" s="651">
        <f t="shared" ref="S67" si="28">AG68-AG66</f>
        <v>-86498</v>
      </c>
      <c r="T67" s="647"/>
      <c r="U67" s="647"/>
      <c r="V67" s="647"/>
      <c r="W67" s="647"/>
      <c r="X67" s="647"/>
      <c r="Y67" s="647"/>
      <c r="Z67" s="647"/>
      <c r="AA67" s="647"/>
      <c r="AB67" s="647"/>
      <c r="AC67" s="647"/>
      <c r="AD67" s="647"/>
      <c r="AE67" s="647"/>
      <c r="AF67" s="647"/>
      <c r="AG67" s="652"/>
      <c r="AH67" s="647"/>
      <c r="AI67" s="647"/>
      <c r="AJ67" s="647"/>
      <c r="AK67" s="647"/>
      <c r="AL67" s="647"/>
      <c r="AM67" s="647"/>
      <c r="AN67" s="651"/>
      <c r="AO67" s="647"/>
      <c r="AP67" s="647"/>
      <c r="AQ67" s="654">
        <f>+FL_2($U$70,$T$66,$G$67,1200,9.28, 1*$F$70)</f>
        <v>-0.39681967434361021</v>
      </c>
      <c r="AR67" s="653"/>
      <c r="AS67" s="653"/>
      <c r="AT67" s="654"/>
      <c r="AU67" s="653"/>
      <c r="AV67" s="653"/>
      <c r="AW67" s="653"/>
      <c r="AX67" s="653"/>
      <c r="AY67" s="654"/>
      <c r="AZ67" s="654"/>
      <c r="BA67" s="701"/>
      <c r="BB67" s="647"/>
      <c r="BC67" s="169"/>
      <c r="BD67" s="1330"/>
      <c r="BE67" s="1330"/>
      <c r="BF67" s="1330"/>
      <c r="BG67" s="1330"/>
    </row>
    <row r="68" spans="1:59" ht="15.75" customHeight="1">
      <c r="A68" s="658"/>
      <c r="B68" s="664" t="s">
        <v>4934</v>
      </c>
      <c r="C68" s="660">
        <f>C70-25</f>
        <v>86529.85</v>
      </c>
      <c r="D68" s="661"/>
      <c r="E68" s="661"/>
      <c r="F68" s="661"/>
      <c r="G68" s="662"/>
      <c r="H68" s="658"/>
      <c r="I68" s="661"/>
      <c r="J68" s="660"/>
      <c r="K68" s="663"/>
      <c r="L68" s="663" t="s">
        <v>4420</v>
      </c>
      <c r="M68" s="663" t="s">
        <v>4399</v>
      </c>
      <c r="N68" s="658"/>
      <c r="O68" s="658"/>
      <c r="P68" s="658"/>
      <c r="Q68" s="658"/>
      <c r="R68" s="658"/>
      <c r="S68" s="662"/>
      <c r="T68" s="658"/>
      <c r="U68" s="658"/>
      <c r="V68" s="658"/>
      <c r="W68" s="658"/>
      <c r="X68" s="658"/>
      <c r="Y68" s="658"/>
      <c r="Z68" s="658"/>
      <c r="AA68" s="658"/>
      <c r="AB68" s="658"/>
      <c r="AC68" s="658"/>
      <c r="AD68" s="658"/>
      <c r="AE68" s="658"/>
      <c r="AF68" s="658"/>
      <c r="AG68" s="739"/>
      <c r="AH68" s="658"/>
      <c r="AI68" s="658"/>
      <c r="AJ68" s="658"/>
      <c r="AK68" s="658"/>
      <c r="AL68" s="658"/>
      <c r="AM68" s="658"/>
      <c r="AN68" s="662"/>
      <c r="AO68" s="658"/>
      <c r="AP68" s="658"/>
      <c r="AQ68" s="665"/>
      <c r="AR68" s="663"/>
      <c r="AS68" s="663"/>
      <c r="AT68" s="665"/>
      <c r="AU68" s="663"/>
      <c r="AV68" s="663"/>
      <c r="AW68" s="663" t="str">
        <f>VLOOKUP(C68,'Foundation Calculation'!$A$2:$C$33,3,1)</f>
        <v>Soil B</v>
      </c>
      <c r="AX68" s="684" t="str">
        <f>VLOOKUP(C68,'Foundation Calculation'!$E$2:$G$33,3,1)</f>
        <v>PT</v>
      </c>
      <c r="AY68" s="665">
        <v>1.2</v>
      </c>
      <c r="AZ68" s="665"/>
      <c r="BA68" s="670" t="s">
        <v>2809</v>
      </c>
      <c r="BB68" s="658"/>
      <c r="BC68" s="169"/>
      <c r="BD68" s="1329">
        <v>43806</v>
      </c>
      <c r="BE68" s="1329"/>
      <c r="BF68" s="1330"/>
      <c r="BG68" s="1330"/>
    </row>
    <row r="69" spans="1:59" ht="15.75" customHeight="1">
      <c r="A69" s="658"/>
      <c r="B69" s="664"/>
      <c r="C69" s="660"/>
      <c r="D69" s="661"/>
      <c r="E69" s="661"/>
      <c r="F69" s="661"/>
      <c r="G69" s="662"/>
      <c r="H69" s="658"/>
      <c r="I69" s="661"/>
      <c r="J69" s="660"/>
      <c r="K69" s="663"/>
      <c r="L69" s="658"/>
      <c r="M69" s="658"/>
      <c r="N69" s="658"/>
      <c r="O69" s="658"/>
      <c r="P69" s="658"/>
      <c r="Q69" s="658"/>
      <c r="R69" s="658"/>
      <c r="S69" s="662">
        <f t="shared" ref="S69" si="29">AG70-AG68</f>
        <v>86554</v>
      </c>
      <c r="T69" s="658"/>
      <c r="U69" s="658"/>
      <c r="V69" s="658"/>
      <c r="W69" s="658"/>
      <c r="X69" s="658"/>
      <c r="Y69" s="658"/>
      <c r="Z69" s="658"/>
      <c r="AA69" s="658"/>
      <c r="AB69" s="658"/>
      <c r="AC69" s="658"/>
      <c r="AD69" s="658"/>
      <c r="AE69" s="658"/>
      <c r="AF69" s="658"/>
      <c r="AG69" s="739"/>
      <c r="AH69" s="658"/>
      <c r="AI69" s="658"/>
      <c r="AJ69" s="658"/>
      <c r="AK69" s="658"/>
      <c r="AL69" s="658"/>
      <c r="AM69" s="658"/>
      <c r="AN69" s="662"/>
      <c r="AO69" s="658"/>
      <c r="AP69" s="658"/>
      <c r="AQ69" s="665"/>
      <c r="AR69" s="663"/>
      <c r="AS69" s="663"/>
      <c r="AT69" s="665"/>
      <c r="AU69" s="663"/>
      <c r="AV69" s="663"/>
      <c r="AW69" s="663"/>
      <c r="AX69" s="663"/>
      <c r="AY69" s="665"/>
      <c r="AZ69" s="665"/>
      <c r="BA69" s="670"/>
      <c r="BB69" s="658"/>
      <c r="BC69" s="169"/>
      <c r="BD69" s="1330"/>
      <c r="BE69" s="1330"/>
      <c r="BF69" s="1330"/>
      <c r="BG69" s="1330"/>
    </row>
    <row r="70" spans="1:59" ht="15.75" customHeight="1">
      <c r="A70" s="658" t="s">
        <v>3043</v>
      </c>
      <c r="B70" s="664" t="s">
        <v>2974</v>
      </c>
      <c r="C70" s="660">
        <f>+$C$66+$G$67</f>
        <v>86554.85</v>
      </c>
      <c r="D70" s="661"/>
      <c r="E70" s="661"/>
      <c r="F70" s="661">
        <v>-1900</v>
      </c>
      <c r="G70" s="662"/>
      <c r="H70" s="658" t="s">
        <v>619</v>
      </c>
      <c r="I70" s="661" t="s">
        <v>1429</v>
      </c>
      <c r="J70" s="660"/>
      <c r="K70" s="663"/>
      <c r="L70" s="658" t="s">
        <v>1697</v>
      </c>
      <c r="M70" s="658" t="str">
        <f>IF(AX70="PT",VLOOKUP(L70,'Foundation Calculation'!$V$2:$X$40,VLOOKUP(AX70,'Foundation Calculation'!$I$10:$J$13,2,FALSE),0),IF(AX70="K",VLOOKUP(L70,'Foundation Calculation'!$V$42:$X$80,VLOOKUP(AX70,'Foundation Calculation'!$I$10:$J$13,2,FALSE),0),""))</f>
        <v>2C3R</v>
      </c>
      <c r="N70" s="658" t="s">
        <v>140</v>
      </c>
      <c r="O70" s="658" t="s">
        <v>143</v>
      </c>
      <c r="P70" s="658"/>
      <c r="Q70" s="658">
        <v>130</v>
      </c>
      <c r="R70" s="658">
        <v>-1900</v>
      </c>
      <c r="S70" s="662"/>
      <c r="T70" s="658">
        <v>15</v>
      </c>
      <c r="U70" s="658">
        <v>-30</v>
      </c>
      <c r="V70" s="658"/>
      <c r="W70" s="658">
        <v>1.4</v>
      </c>
      <c r="X70" s="658">
        <v>2.2999999999999998</v>
      </c>
      <c r="Y70" s="658"/>
      <c r="Z70" s="658">
        <v>0.45</v>
      </c>
      <c r="AA70" s="658"/>
      <c r="AB70" s="658"/>
      <c r="AC70" s="658" t="s">
        <v>4090</v>
      </c>
      <c r="AD70" s="658"/>
      <c r="AE70" s="658"/>
      <c r="AF70" s="658">
        <v>6000</v>
      </c>
      <c r="AG70" s="739">
        <v>86554</v>
      </c>
      <c r="AH70" s="658">
        <v>2253</v>
      </c>
      <c r="AI70" s="658">
        <v>630</v>
      </c>
      <c r="AJ70" s="658" t="s">
        <v>3048</v>
      </c>
      <c r="AK70" s="658"/>
      <c r="AL70" s="658"/>
      <c r="AM70" s="658" t="s">
        <v>1042</v>
      </c>
      <c r="AN70" s="662">
        <v>5.15</v>
      </c>
      <c r="AO70" s="658"/>
      <c r="AP70" s="658"/>
      <c r="AQ70" s="665"/>
      <c r="AR70" s="663"/>
      <c r="AS70" s="663"/>
      <c r="AT70" s="665">
        <f>+ab($U$70,$T$66,$U$74,$G$67,$G$71, 1*$F$70,1200)</f>
        <v>-7.7531606288539097</v>
      </c>
      <c r="AU70" s="663"/>
      <c r="AV70" s="663"/>
      <c r="AW70" s="663" t="str">
        <f>VLOOKUP(C70,'Foundation Calculation'!$A$2:$C$33,3,1)</f>
        <v>Soil B</v>
      </c>
      <c r="AX70" s="684" t="str">
        <f>VLOOKUP(C70,'Foundation Calculation'!$E$2:$G$33,3,1)</f>
        <v>PT</v>
      </c>
      <c r="AY70" s="665">
        <f>IF(AX70="PT",VLOOKUP(L70,'Foundation Calculation'!$K$2:$R$40,VLOOKUP(AW70,'Foundation Calculation'!$I$2:$J$8,2,FALSE),0),IF(AX70="K",VLOOKUP(L70,'Foundation Calculation'!$K$42:$R$80,VLOOKUP(AW70,'Foundation Calculation'!$I$2:$J$8,2,FALSE),0),""))</f>
        <v>3.5</v>
      </c>
      <c r="AZ70" s="665"/>
      <c r="BA70" s="670" t="s">
        <v>2809</v>
      </c>
      <c r="BB70" s="658" t="str">
        <f>Pole_Calculations!A156</f>
        <v>App.7.1-V01-P9.5.1.5</v>
      </c>
      <c r="BC70" s="169"/>
      <c r="BD70" s="1329">
        <v>43806</v>
      </c>
      <c r="BE70" s="1330">
        <v>43867</v>
      </c>
      <c r="BF70" s="1330"/>
      <c r="BG70" s="1330"/>
    </row>
    <row r="71" spans="1:59" ht="15.75" customHeight="1">
      <c r="A71" s="658"/>
      <c r="B71" s="664"/>
      <c r="C71" s="660"/>
      <c r="D71" s="661"/>
      <c r="E71" s="661"/>
      <c r="F71" s="661"/>
      <c r="G71" s="662">
        <v>42</v>
      </c>
      <c r="H71" s="658"/>
      <c r="I71" s="661"/>
      <c r="J71" s="660"/>
      <c r="K71" s="663"/>
      <c r="L71" s="658"/>
      <c r="M71" s="658"/>
      <c r="N71" s="658"/>
      <c r="O71" s="658"/>
      <c r="P71" s="658"/>
      <c r="Q71" s="658"/>
      <c r="R71" s="658"/>
      <c r="S71" s="662">
        <f t="shared" ref="S71" si="30">AG72-AG70</f>
        <v>42.619999999995343</v>
      </c>
      <c r="T71" s="658"/>
      <c r="U71" s="658"/>
      <c r="V71" s="658"/>
      <c r="W71" s="658"/>
      <c r="X71" s="658"/>
      <c r="Y71" s="658"/>
      <c r="Z71" s="658"/>
      <c r="AA71" s="658"/>
      <c r="AB71" s="658"/>
      <c r="AC71" s="658"/>
      <c r="AD71" s="658"/>
      <c r="AE71" s="658"/>
      <c r="AF71" s="658"/>
      <c r="AG71" s="739"/>
      <c r="AH71" s="658"/>
      <c r="AI71" s="658"/>
      <c r="AJ71" s="658" t="s">
        <v>1360</v>
      </c>
      <c r="AK71" s="658"/>
      <c r="AL71" s="658"/>
      <c r="AM71" s="658"/>
      <c r="AN71" s="662"/>
      <c r="AO71" s="658"/>
      <c r="AP71" s="658"/>
      <c r="AQ71" s="665">
        <f>+FL_1($U$74,$U$71,$G$71,1200,9.28, 1*$F$74)</f>
        <v>0.12685072263173941</v>
      </c>
      <c r="AR71" s="663"/>
      <c r="AS71" s="663"/>
      <c r="AT71" s="665"/>
      <c r="AU71" s="663"/>
      <c r="AV71" s="663"/>
      <c r="AW71" s="663"/>
      <c r="AX71" s="684"/>
      <c r="AY71" s="665"/>
      <c r="AZ71" s="665"/>
      <c r="BA71" s="670"/>
      <c r="BB71" s="658"/>
      <c r="BC71" s="169"/>
      <c r="BD71" s="1329"/>
      <c r="BE71" s="1330"/>
      <c r="BF71" s="1330"/>
      <c r="BG71" s="1330"/>
    </row>
    <row r="72" spans="1:59" ht="15.75" customHeight="1">
      <c r="A72" s="658" t="s">
        <v>3045</v>
      </c>
      <c r="B72" s="664" t="s">
        <v>2975</v>
      </c>
      <c r="C72" s="660">
        <f>+$C$70+$G$71</f>
        <v>86596.85</v>
      </c>
      <c r="D72" s="661"/>
      <c r="E72" s="661"/>
      <c r="F72" s="661"/>
      <c r="G72" s="662"/>
      <c r="H72" s="658"/>
      <c r="I72" s="661"/>
      <c r="J72" s="660"/>
      <c r="K72" s="663"/>
      <c r="L72" s="658" t="s">
        <v>1699</v>
      </c>
      <c r="M72" s="658" t="str">
        <f>IF(AX72="PT",VLOOKUP(L72,'Foundation Calculation'!$V$2:$X$40,VLOOKUP(AX72,'Foundation Calculation'!$I$10:$J$13,2,FALSE),0),IF(AX72="K",VLOOKUP(L72,'Foundation Calculation'!$V$42:$X$80,VLOOKUP(AX72,'Foundation Calculation'!$I$10:$J$13,2,FALSE),0),""))</f>
        <v>C7R</v>
      </c>
      <c r="N72" s="658"/>
      <c r="O72" s="658"/>
      <c r="P72" s="658"/>
      <c r="Q72" s="658">
        <v>130</v>
      </c>
      <c r="R72" s="658">
        <v>-2078.5700000000002</v>
      </c>
      <c r="S72" s="662"/>
      <c r="T72" s="658"/>
      <c r="U72" s="658"/>
      <c r="V72" s="658"/>
      <c r="W72" s="658"/>
      <c r="X72" s="658"/>
      <c r="Y72" s="658"/>
      <c r="Z72" s="658"/>
      <c r="AA72" s="658"/>
      <c r="AB72" s="658"/>
      <c r="AC72" s="658"/>
      <c r="AD72" s="658"/>
      <c r="AE72" s="658"/>
      <c r="AF72" s="658"/>
      <c r="AG72" s="739">
        <v>86596.62</v>
      </c>
      <c r="AH72" s="658">
        <v>2603</v>
      </c>
      <c r="AI72" s="658">
        <v>430</v>
      </c>
      <c r="AJ72" s="658" t="s">
        <v>883</v>
      </c>
      <c r="AK72" s="658"/>
      <c r="AL72" s="658"/>
      <c r="AM72" s="658" t="s">
        <v>1042</v>
      </c>
      <c r="AN72" s="662"/>
      <c r="AO72" s="658"/>
      <c r="AP72" s="658"/>
      <c r="AQ72" s="665"/>
      <c r="AR72" s="663"/>
      <c r="AS72" s="663"/>
      <c r="AT72" s="665"/>
      <c r="AU72" s="663"/>
      <c r="AV72" s="663"/>
      <c r="AW72" s="663" t="str">
        <f>VLOOKUP(C72,'Foundation Calculation'!$A$2:$C$33,3,1)</f>
        <v>Soil B</v>
      </c>
      <c r="AX72" s="684" t="str">
        <f>VLOOKUP(C72,'Foundation Calculation'!$E$2:$G$33,3,1)</f>
        <v>PT</v>
      </c>
      <c r="AY72" s="665">
        <f>IF(AX72="PT",VLOOKUP(L72,'Foundation Calculation'!$K$2:$R$40,VLOOKUP(AW72,'Foundation Calculation'!$I$2:$J$8,2,FALSE),0),IF(AX72="K",VLOOKUP(L72,'Foundation Calculation'!$K$42:$R$80,VLOOKUP(AW72,'Foundation Calculation'!$I$2:$J$8,2,FALSE),0),""))</f>
        <v>4.4000000000000004</v>
      </c>
      <c r="AZ72" s="665"/>
      <c r="BA72" s="670" t="s">
        <v>2809</v>
      </c>
      <c r="BB72" s="658" t="str">
        <f>Pole_Calculations!A136</f>
        <v>App.7-V11A-P12.3.1.1</v>
      </c>
      <c r="BC72" s="169"/>
      <c r="BD72" s="1329"/>
      <c r="BE72" s="1330"/>
      <c r="BF72" s="1330"/>
      <c r="BG72" s="1330"/>
    </row>
    <row r="73" spans="1:59" ht="15.75" customHeight="1">
      <c r="A73" s="658"/>
      <c r="B73" s="664"/>
      <c r="C73" s="660"/>
      <c r="D73" s="661"/>
      <c r="E73" s="661"/>
      <c r="F73" s="661"/>
      <c r="G73" s="662">
        <v>5</v>
      </c>
      <c r="H73" s="658"/>
      <c r="I73" s="661"/>
      <c r="J73" s="660"/>
      <c r="K73" s="663"/>
      <c r="L73" s="658"/>
      <c r="M73" s="658"/>
      <c r="N73" s="658"/>
      <c r="O73" s="658"/>
      <c r="P73" s="658"/>
      <c r="Q73" s="658"/>
      <c r="R73" s="658"/>
      <c r="S73" s="662">
        <f t="shared" ref="S73" si="31">AG74-AG72</f>
        <v>5</v>
      </c>
      <c r="T73" s="658"/>
      <c r="U73" s="658"/>
      <c r="V73" s="658"/>
      <c r="W73" s="658"/>
      <c r="X73" s="658"/>
      <c r="Y73" s="658"/>
      <c r="Z73" s="658"/>
      <c r="AA73" s="658"/>
      <c r="AB73" s="658"/>
      <c r="AC73" s="658"/>
      <c r="AD73" s="658"/>
      <c r="AE73" s="658"/>
      <c r="AF73" s="658"/>
      <c r="AG73" s="739"/>
      <c r="AH73" s="658"/>
      <c r="AI73" s="658"/>
      <c r="AJ73" s="658"/>
      <c r="AK73" s="658"/>
      <c r="AL73" s="658"/>
      <c r="AM73" s="658"/>
      <c r="AN73" s="662"/>
      <c r="AO73" s="658"/>
      <c r="AP73" s="658"/>
      <c r="AQ73" s="665"/>
      <c r="AR73" s="663"/>
      <c r="AS73" s="663"/>
      <c r="AT73" s="665"/>
      <c r="AU73" s="663"/>
      <c r="AV73" s="663"/>
      <c r="AW73" s="663"/>
      <c r="AX73" s="684"/>
      <c r="AY73" s="665"/>
      <c r="AZ73" s="665"/>
      <c r="BA73" s="670"/>
      <c r="BB73" s="658"/>
      <c r="BC73" s="169"/>
      <c r="BD73" s="1329"/>
      <c r="BE73" s="1330"/>
      <c r="BF73" s="1330"/>
      <c r="BG73" s="1330"/>
    </row>
    <row r="74" spans="1:59" ht="15.75" customHeight="1">
      <c r="A74" s="658" t="s">
        <v>3044</v>
      </c>
      <c r="B74" s="664" t="s">
        <v>2976</v>
      </c>
      <c r="C74" s="660">
        <f>+$C$72+$G$73</f>
        <v>86601.85</v>
      </c>
      <c r="D74" s="661"/>
      <c r="E74" s="661"/>
      <c r="F74" s="661">
        <v>-2133</v>
      </c>
      <c r="G74" s="662"/>
      <c r="H74" s="658" t="s">
        <v>619</v>
      </c>
      <c r="I74" s="661" t="s">
        <v>1429</v>
      </c>
      <c r="J74" s="660"/>
      <c r="K74" s="663"/>
      <c r="L74" s="658" t="s">
        <v>1697</v>
      </c>
      <c r="M74" s="658" t="str">
        <f>IF(AX74="PT",VLOOKUP(L74,'Foundation Calculation'!$V$2:$X$40,VLOOKUP(AX74,'Foundation Calculation'!$I$10:$J$13,2,FALSE),0),IF(AX74="K",VLOOKUP(L74,'Foundation Calculation'!$V$42:$X$80,VLOOKUP(AX74,'Foundation Calculation'!$I$10:$J$13,2,FALSE),0),""))</f>
        <v>2C3R</v>
      </c>
      <c r="N74" s="658" t="s">
        <v>143</v>
      </c>
      <c r="O74" s="658" t="s">
        <v>140</v>
      </c>
      <c r="P74" s="658"/>
      <c r="Q74" s="658">
        <v>140</v>
      </c>
      <c r="R74" s="658">
        <v>-2123.08</v>
      </c>
      <c r="S74" s="662"/>
      <c r="T74" s="658">
        <v>10</v>
      </c>
      <c r="U74" s="658">
        <v>-35</v>
      </c>
      <c r="V74" s="658"/>
      <c r="W74" s="658">
        <v>1.4</v>
      </c>
      <c r="X74" s="658">
        <v>2.2999999999999998</v>
      </c>
      <c r="Y74" s="658"/>
      <c r="Z74" s="658"/>
      <c r="AA74" s="658">
        <v>0.45</v>
      </c>
      <c r="AB74" s="658"/>
      <c r="AC74" s="658" t="s">
        <v>4124</v>
      </c>
      <c r="AD74" s="658"/>
      <c r="AE74" s="658"/>
      <c r="AF74" s="658">
        <v>6000</v>
      </c>
      <c r="AG74" s="739">
        <v>86601.62</v>
      </c>
      <c r="AH74" s="658">
        <v>2743</v>
      </c>
      <c r="AI74" s="658">
        <v>510</v>
      </c>
      <c r="AJ74" s="658" t="s">
        <v>3048</v>
      </c>
      <c r="AK74" s="658"/>
      <c r="AL74" s="658"/>
      <c r="AM74" s="658" t="s">
        <v>1042</v>
      </c>
      <c r="AN74" s="662">
        <v>5.15</v>
      </c>
      <c r="AO74" s="658"/>
      <c r="AP74" s="658"/>
      <c r="AQ74" s="665"/>
      <c r="AR74" s="663"/>
      <c r="AS74" s="663"/>
      <c r="AT74" s="665">
        <f>+ab($T$74,$T$71,$T$76,$G$71,$G$75, 1*$F$74,1200)</f>
        <v>-9.7233053557257598</v>
      </c>
      <c r="AU74" s="663"/>
      <c r="AV74" s="663"/>
      <c r="AW74" s="663" t="str">
        <f>VLOOKUP(C74,'Foundation Calculation'!$A$2:$C$33,3,1)</f>
        <v>Soil B</v>
      </c>
      <c r="AX74" s="684" t="str">
        <f>VLOOKUP(C74,'Foundation Calculation'!$E$2:$G$33,3,1)</f>
        <v>PT</v>
      </c>
      <c r="AY74" s="665">
        <f>IF(AX74="PT",VLOOKUP(L74,'Foundation Calculation'!$K$2:$R$40,VLOOKUP(AW74,'Foundation Calculation'!$I$2:$J$8,2,FALSE),0),IF(AX74="K",VLOOKUP(L74,'Foundation Calculation'!$K$42:$R$80,VLOOKUP(AW74,'Foundation Calculation'!$I$2:$J$8,2,FALSE),0),""))</f>
        <v>3.5</v>
      </c>
      <c r="AZ74" s="665"/>
      <c r="BA74" s="670" t="s">
        <v>2809</v>
      </c>
      <c r="BB74" s="658" t="str">
        <f>Pole_Calculations!A156</f>
        <v>App.7.1-V01-P9.5.1.5</v>
      </c>
      <c r="BC74" s="169"/>
      <c r="BD74" s="1329">
        <v>43806</v>
      </c>
      <c r="BE74" s="1330">
        <v>43867</v>
      </c>
      <c r="BF74" s="1330"/>
      <c r="BG74" s="1330"/>
    </row>
    <row r="75" spans="1:59" ht="15.75" customHeight="1">
      <c r="A75" s="658"/>
      <c r="B75" s="664"/>
      <c r="C75" s="660"/>
      <c r="D75" s="661"/>
      <c r="E75" s="661"/>
      <c r="F75" s="661"/>
      <c r="G75" s="662">
        <v>47</v>
      </c>
      <c r="H75" s="658"/>
      <c r="I75" s="661"/>
      <c r="J75" s="660"/>
      <c r="K75" s="663"/>
      <c r="L75" s="658"/>
      <c r="M75" s="658"/>
      <c r="N75" s="658"/>
      <c r="O75" s="658"/>
      <c r="P75" s="658"/>
      <c r="Q75" s="658"/>
      <c r="R75" s="658"/>
      <c r="S75" s="662">
        <f t="shared" ref="S75" si="32">AG76-AG74</f>
        <v>46.380000000004657</v>
      </c>
      <c r="T75" s="658"/>
      <c r="U75" s="658"/>
      <c r="V75" s="658"/>
      <c r="W75" s="658"/>
      <c r="X75" s="658"/>
      <c r="Y75" s="658"/>
      <c r="Z75" s="658"/>
      <c r="AA75" s="658"/>
      <c r="AB75" s="658"/>
      <c r="AC75" s="658"/>
      <c r="AD75" s="658"/>
      <c r="AE75" s="658"/>
      <c r="AF75" s="658"/>
      <c r="AG75" s="739"/>
      <c r="AH75" s="658"/>
      <c r="AI75" s="658"/>
      <c r="AJ75" s="658"/>
      <c r="AK75" s="658"/>
      <c r="AL75" s="658"/>
      <c r="AM75" s="658"/>
      <c r="AN75" s="662"/>
      <c r="AO75" s="658"/>
      <c r="AP75" s="658"/>
      <c r="AQ75" s="665">
        <f>+FL_2($T$76,$T$74,$G$75,1200,9.28, 1*$F$76)</f>
        <v>1.1000544190451475E-2</v>
      </c>
      <c r="AR75" s="663"/>
      <c r="AS75" s="663"/>
      <c r="AT75" s="665"/>
      <c r="AU75" s="663"/>
      <c r="AV75" s="663"/>
      <c r="AW75" s="663"/>
      <c r="AX75" s="684"/>
      <c r="AY75" s="665"/>
      <c r="AZ75" s="665"/>
      <c r="BA75" s="670"/>
      <c r="BB75" s="658"/>
      <c r="BC75" s="169"/>
      <c r="BD75" s="1329"/>
      <c r="BE75" s="1330"/>
      <c r="BF75" s="1330"/>
      <c r="BG75" s="1330"/>
    </row>
    <row r="76" spans="1:59" ht="15.75" customHeight="1">
      <c r="A76" s="658"/>
      <c r="B76" s="664" t="s">
        <v>2977</v>
      </c>
      <c r="C76" s="660">
        <f>+$C$74+$G$75</f>
        <v>86648.85</v>
      </c>
      <c r="D76" s="661"/>
      <c r="E76" s="661"/>
      <c r="F76" s="661">
        <v>-2736</v>
      </c>
      <c r="G76" s="662"/>
      <c r="H76" s="658" t="s">
        <v>619</v>
      </c>
      <c r="I76" s="661"/>
      <c r="J76" s="660"/>
      <c r="K76" s="663"/>
      <c r="L76" s="658" t="s">
        <v>895</v>
      </c>
      <c r="M76" s="658" t="str">
        <f>IF(AX76="PT",VLOOKUP(L76,'Foundation Calculation'!$V$2:$X$40,VLOOKUP(AX76,'Foundation Calculation'!$I$10:$J$13,2,FALSE),0),IF(AX76="K",VLOOKUP(L76,'Foundation Calculation'!$V$42:$X$80,VLOOKUP(AX76,'Foundation Calculation'!$I$10:$J$13,2,FALSE),0),""))</f>
        <v>2C3R</v>
      </c>
      <c r="N76" s="658" t="s">
        <v>140</v>
      </c>
      <c r="O76" s="658" t="s">
        <v>143</v>
      </c>
      <c r="P76" s="658"/>
      <c r="Q76" s="658">
        <v>90</v>
      </c>
      <c r="R76" s="658">
        <v>-2723.73</v>
      </c>
      <c r="S76" s="662"/>
      <c r="T76" s="658">
        <v>15</v>
      </c>
      <c r="U76" s="658">
        <v>-30</v>
      </c>
      <c r="V76" s="658"/>
      <c r="W76" s="658">
        <v>1</v>
      </c>
      <c r="X76" s="658">
        <v>2</v>
      </c>
      <c r="Y76" s="658"/>
      <c r="Z76" s="658">
        <v>0.45</v>
      </c>
      <c r="AA76" s="658"/>
      <c r="AB76" s="658"/>
      <c r="AC76" s="658" t="s">
        <v>1421</v>
      </c>
      <c r="AD76" s="658"/>
      <c r="AE76" s="658"/>
      <c r="AF76" s="658">
        <v>6000</v>
      </c>
      <c r="AG76" s="739">
        <v>86648</v>
      </c>
      <c r="AH76" s="658">
        <v>2053</v>
      </c>
      <c r="AI76" s="658">
        <v>690</v>
      </c>
      <c r="AJ76" s="658"/>
      <c r="AK76" s="658"/>
      <c r="AL76" s="658"/>
      <c r="AM76" s="658" t="s">
        <v>1042</v>
      </c>
      <c r="AN76" s="662">
        <v>5.15</v>
      </c>
      <c r="AO76" s="658"/>
      <c r="AP76" s="658"/>
      <c r="AQ76" s="665"/>
      <c r="AR76" s="663"/>
      <c r="AS76" s="663"/>
      <c r="AT76" s="665">
        <f>+ab($T$76,$T$74,$T$80,$G$75,$G$79, 1*$F$76,1200)</f>
        <v>-13.444228601567589</v>
      </c>
      <c r="AU76" s="663"/>
      <c r="AV76" s="663"/>
      <c r="AW76" s="663" t="str">
        <f>VLOOKUP(C76,'Foundation Calculation'!$A$2:$C$33,3,1)</f>
        <v>Soil B</v>
      </c>
      <c r="AX76" s="684" t="str">
        <f>VLOOKUP(C76,'Foundation Calculation'!$E$2:$G$33,3,1)</f>
        <v>PT</v>
      </c>
      <c r="AY76" s="665">
        <f>IF(AX76="PT",VLOOKUP(L76,'Foundation Calculation'!$K$2:$R$40,VLOOKUP(AW76,'Foundation Calculation'!$I$2:$J$8,2,FALSE),0),IF(AX76="K",VLOOKUP(L76,'Foundation Calculation'!$K$42:$R$80,VLOOKUP(AW76,'Foundation Calculation'!$I$2:$J$8,2,FALSE),0),""))</f>
        <v>3.5</v>
      </c>
      <c r="AZ76" s="665"/>
      <c r="BA76" s="670" t="s">
        <v>2809</v>
      </c>
      <c r="BB76" s="658" t="str">
        <f>Pole_Calculations!A156</f>
        <v>App.7.1-V01-P9.5.1.5</v>
      </c>
      <c r="BC76" s="169"/>
      <c r="BD76" s="1329">
        <v>43806</v>
      </c>
      <c r="BE76" s="1330">
        <v>43867</v>
      </c>
      <c r="BF76" s="1330"/>
      <c r="BG76" s="1330"/>
    </row>
    <row r="77" spans="1:59" ht="15.75" customHeight="1">
      <c r="A77" s="658"/>
      <c r="B77" s="664"/>
      <c r="C77" s="660"/>
      <c r="D77" s="661"/>
      <c r="E77" s="661"/>
      <c r="F77" s="661"/>
      <c r="G77" s="662">
        <v>5</v>
      </c>
      <c r="H77" s="658"/>
      <c r="I77" s="661"/>
      <c r="J77" s="660"/>
      <c r="K77" s="663"/>
      <c r="L77" s="658"/>
      <c r="M77" s="658"/>
      <c r="N77" s="658"/>
      <c r="O77" s="658"/>
      <c r="P77" s="658"/>
      <c r="Q77" s="658"/>
      <c r="R77" s="658"/>
      <c r="S77" s="662">
        <f t="shared" ref="S77" si="33">AG78-AG76</f>
        <v>5</v>
      </c>
      <c r="T77" s="658"/>
      <c r="U77" s="658"/>
      <c r="V77" s="658"/>
      <c r="W77" s="658"/>
      <c r="X77" s="658"/>
      <c r="Y77" s="658"/>
      <c r="Z77" s="658"/>
      <c r="AA77" s="658"/>
      <c r="AB77" s="658"/>
      <c r="AC77" s="658"/>
      <c r="AD77" s="658"/>
      <c r="AE77" s="658"/>
      <c r="AF77" s="658"/>
      <c r="AG77" s="739"/>
      <c r="AH77" s="658"/>
      <c r="AI77" s="658"/>
      <c r="AJ77" s="658"/>
      <c r="AK77" s="658"/>
      <c r="AL77" s="658"/>
      <c r="AM77" s="658"/>
      <c r="AN77" s="662"/>
      <c r="AO77" s="658"/>
      <c r="AP77" s="658"/>
      <c r="AQ77" s="665">
        <f>+FL_1($T$80,$T$76,$G$79,1200,9.28, 1*$F$80)</f>
        <v>0.35403317848152127</v>
      </c>
      <c r="AR77" s="663"/>
      <c r="AS77" s="663"/>
      <c r="AT77" s="665"/>
      <c r="AU77" s="663"/>
      <c r="AV77" s="663"/>
      <c r="AW77" s="663"/>
      <c r="AX77" s="684"/>
      <c r="AY77" s="665"/>
      <c r="AZ77" s="665"/>
      <c r="BA77" s="670"/>
      <c r="BB77" s="658"/>
      <c r="BC77" s="169"/>
      <c r="BD77" s="1329"/>
      <c r="BE77" s="1330"/>
      <c r="BF77" s="1330"/>
      <c r="BG77" s="1330"/>
    </row>
    <row r="78" spans="1:59" ht="15.75" customHeight="1">
      <c r="A78" s="658" t="s">
        <v>3060</v>
      </c>
      <c r="B78" s="664" t="s">
        <v>2978</v>
      </c>
      <c r="C78" s="660">
        <f>+$C$76+$G$77</f>
        <v>86653.85</v>
      </c>
      <c r="D78" s="661"/>
      <c r="E78" s="661"/>
      <c r="F78" s="661"/>
      <c r="G78" s="662"/>
      <c r="H78" s="658"/>
      <c r="I78" s="661"/>
      <c r="J78" s="660"/>
      <c r="K78" s="663"/>
      <c r="L78" s="658" t="s">
        <v>1699</v>
      </c>
      <c r="M78" s="658" t="str">
        <f>IF(AX78="PT",VLOOKUP(L78,'Foundation Calculation'!$V$2:$X$40,VLOOKUP(AX78,'Foundation Calculation'!$I$10:$J$13,2,FALSE),0),IF(AX78="K",VLOOKUP(L78,'Foundation Calculation'!$V$42:$X$80,VLOOKUP(AX78,'Foundation Calculation'!$I$10:$J$13,2,FALSE),0),""))</f>
        <v>C7R</v>
      </c>
      <c r="N78" s="658"/>
      <c r="O78" s="658"/>
      <c r="P78" s="658"/>
      <c r="Q78" s="658">
        <v>100</v>
      </c>
      <c r="R78" s="658">
        <v>-2836.25</v>
      </c>
      <c r="S78" s="662"/>
      <c r="T78" s="658"/>
      <c r="U78" s="658"/>
      <c r="V78" s="658"/>
      <c r="W78" s="658"/>
      <c r="X78" s="658"/>
      <c r="Y78" s="658"/>
      <c r="Z78" s="658"/>
      <c r="AA78" s="658"/>
      <c r="AB78" s="658"/>
      <c r="AC78" s="658"/>
      <c r="AD78" s="658"/>
      <c r="AE78" s="658"/>
      <c r="AF78" s="658"/>
      <c r="AG78" s="739">
        <v>86653</v>
      </c>
      <c r="AH78" s="658">
        <v>1963</v>
      </c>
      <c r="AI78" s="658">
        <v>690</v>
      </c>
      <c r="AJ78" s="658" t="s">
        <v>883</v>
      </c>
      <c r="AK78" s="658"/>
      <c r="AL78" s="658"/>
      <c r="AM78" s="658" t="s">
        <v>1042</v>
      </c>
      <c r="AN78" s="662"/>
      <c r="AO78" s="658"/>
      <c r="AP78" s="658"/>
      <c r="AQ78" s="665"/>
      <c r="AR78" s="663"/>
      <c r="AS78" s="663"/>
      <c r="AT78" s="665"/>
      <c r="AU78" s="663"/>
      <c r="AV78" s="663"/>
      <c r="AW78" s="663" t="str">
        <f>VLOOKUP(C78,'Foundation Calculation'!$A$2:$C$33,3,1)</f>
        <v>Soil B</v>
      </c>
      <c r="AX78" s="684" t="str">
        <f>VLOOKUP(C78,'Foundation Calculation'!$E$2:$G$33,3,1)</f>
        <v>PT</v>
      </c>
      <c r="AY78" s="665">
        <f>IF(AX78="PT",VLOOKUP(L78,'Foundation Calculation'!$K$2:$R$40,VLOOKUP(AW78,'Foundation Calculation'!$I$2:$J$8,2,FALSE),0),IF(AX78="K",VLOOKUP(L78,'Foundation Calculation'!$K$42:$R$80,VLOOKUP(AW78,'Foundation Calculation'!$I$2:$J$8,2,FALSE),0),""))</f>
        <v>4.4000000000000004</v>
      </c>
      <c r="AZ78" s="665"/>
      <c r="BA78" s="670" t="s">
        <v>2809</v>
      </c>
      <c r="BB78" s="658" t="str">
        <f>Pole_Calculations!A136</f>
        <v>App.7-V11A-P12.3.1.1</v>
      </c>
      <c r="BC78" s="169"/>
      <c r="BD78" s="1329">
        <v>43806</v>
      </c>
      <c r="BE78" s="1330">
        <v>43867</v>
      </c>
      <c r="BF78" s="1330"/>
      <c r="BG78" s="1330"/>
    </row>
    <row r="79" spans="1:59" ht="15.75" customHeight="1">
      <c r="A79" s="658"/>
      <c r="B79" s="664"/>
      <c r="C79" s="660"/>
      <c r="D79" s="661"/>
      <c r="E79" s="661"/>
      <c r="F79" s="661"/>
      <c r="G79" s="662">
        <v>42</v>
      </c>
      <c r="H79" s="658"/>
      <c r="I79" s="661"/>
      <c r="J79" s="660"/>
      <c r="K79" s="663"/>
      <c r="L79" s="658"/>
      <c r="M79" s="658"/>
      <c r="N79" s="658"/>
      <c r="O79" s="658"/>
      <c r="P79" s="658"/>
      <c r="Q79" s="658"/>
      <c r="R79" s="658"/>
      <c r="S79" s="662">
        <f t="shared" ref="S79" si="34">AG80-AG78</f>
        <v>43</v>
      </c>
      <c r="T79" s="658"/>
      <c r="U79" s="658"/>
      <c r="V79" s="658"/>
      <c r="W79" s="658"/>
      <c r="X79" s="658"/>
      <c r="Y79" s="658"/>
      <c r="Z79" s="658"/>
      <c r="AA79" s="658"/>
      <c r="AB79" s="658"/>
      <c r="AC79" s="658"/>
      <c r="AD79" s="658"/>
      <c r="AE79" s="658"/>
      <c r="AF79" s="658"/>
      <c r="AG79" s="739"/>
      <c r="AH79" s="658"/>
      <c r="AI79" s="658"/>
      <c r="AJ79" s="658"/>
      <c r="AK79" s="658"/>
      <c r="AL79" s="658"/>
      <c r="AM79" s="658"/>
      <c r="AN79" s="662"/>
      <c r="AO79" s="658"/>
      <c r="AP79" s="658"/>
      <c r="AQ79" s="665"/>
      <c r="AR79" s="663"/>
      <c r="AS79" s="663"/>
      <c r="AT79" s="665"/>
      <c r="AU79" s="663"/>
      <c r="AV79" s="663"/>
      <c r="AW79" s="663"/>
      <c r="AX79" s="684"/>
      <c r="AY79" s="665"/>
      <c r="AZ79" s="665"/>
      <c r="BA79" s="670"/>
      <c r="BB79" s="658"/>
      <c r="BC79" s="169"/>
      <c r="BD79" s="1329"/>
      <c r="BE79" s="1330"/>
      <c r="BF79" s="1330"/>
      <c r="BG79" s="1330"/>
    </row>
    <row r="80" spans="1:59" ht="15.75" customHeight="1">
      <c r="A80" s="658" t="s">
        <v>3047</v>
      </c>
      <c r="B80" s="664" t="s">
        <v>2979</v>
      </c>
      <c r="C80" s="660">
        <f>+$C$78+$G$79</f>
        <v>86695.85</v>
      </c>
      <c r="D80" s="661"/>
      <c r="E80" s="661"/>
      <c r="F80" s="661">
        <v>-3813</v>
      </c>
      <c r="G80" s="662"/>
      <c r="H80" s="658" t="s">
        <v>619</v>
      </c>
      <c r="I80" s="661" t="s">
        <v>1429</v>
      </c>
      <c r="J80" s="660"/>
      <c r="K80" s="663"/>
      <c r="L80" s="658" t="s">
        <v>1697</v>
      </c>
      <c r="M80" s="658" t="str">
        <f>IF(AX80="PT",VLOOKUP(L80,'Foundation Calculation'!$V$2:$X$40,VLOOKUP(AX80,'Foundation Calculation'!$I$10:$J$13,2,FALSE),0),IF(AX80="K",VLOOKUP(L80,'Foundation Calculation'!$V$42:$X$80,VLOOKUP(AX80,'Foundation Calculation'!$I$10:$J$13,2,FALSE),0),""))</f>
        <v>2C3R</v>
      </c>
      <c r="N80" s="658" t="s">
        <v>2789</v>
      </c>
      <c r="O80" s="658" t="s">
        <v>140</v>
      </c>
      <c r="P80" s="658"/>
      <c r="Q80" s="658">
        <v>70</v>
      </c>
      <c r="R80" s="658">
        <v>-3801.47</v>
      </c>
      <c r="S80" s="662"/>
      <c r="T80" s="658">
        <v>10</v>
      </c>
      <c r="U80" s="658">
        <v>-35</v>
      </c>
      <c r="V80" s="658"/>
      <c r="W80" s="658">
        <v>0.8</v>
      </c>
      <c r="X80" s="658">
        <v>1.4</v>
      </c>
      <c r="Y80" s="658"/>
      <c r="Z80" s="658"/>
      <c r="AA80" s="658">
        <v>0.45</v>
      </c>
      <c r="AB80" s="658"/>
      <c r="AC80" s="658" t="s">
        <v>1421</v>
      </c>
      <c r="AD80" s="658"/>
      <c r="AE80" s="658"/>
      <c r="AF80" s="658">
        <v>6000</v>
      </c>
      <c r="AG80" s="739">
        <v>86696</v>
      </c>
      <c r="AH80" s="658">
        <v>1883</v>
      </c>
      <c r="AI80" s="658">
        <v>560</v>
      </c>
      <c r="AJ80" s="658" t="s">
        <v>3048</v>
      </c>
      <c r="AK80" s="658"/>
      <c r="AL80" s="658"/>
      <c r="AM80" s="658" t="s">
        <v>1042</v>
      </c>
      <c r="AN80" s="662">
        <v>5.15</v>
      </c>
      <c r="AO80" s="658"/>
      <c r="AP80" s="658"/>
      <c r="AQ80" s="665"/>
      <c r="AR80" s="663"/>
      <c r="AS80" s="663"/>
      <c r="AT80" s="665">
        <f>+ab($T$80,$T$76,$T$84,$G$79,$G$83, 1*$F$80,1200)</f>
        <v>-10.738197551487017</v>
      </c>
      <c r="AU80" s="663"/>
      <c r="AV80" s="663"/>
      <c r="AW80" s="663" t="str">
        <f>VLOOKUP(C80,'Foundation Calculation'!$A$2:$C$33,3,1)</f>
        <v>Soil B</v>
      </c>
      <c r="AX80" s="684" t="str">
        <f>VLOOKUP(C80,'Foundation Calculation'!$E$2:$G$33,3,1)</f>
        <v>PT</v>
      </c>
      <c r="AY80" s="665">
        <f>IF(AX80="PT",VLOOKUP(L80,'Foundation Calculation'!$K$2:$R$40,VLOOKUP(AW80,'Foundation Calculation'!$I$2:$J$8,2,FALSE),0),IF(AX80="K",VLOOKUP(L80,'Foundation Calculation'!$K$42:$R$80,VLOOKUP(AW80,'Foundation Calculation'!$I$2:$J$8,2,FALSE),0),""))</f>
        <v>3.5</v>
      </c>
      <c r="AZ80" s="665"/>
      <c r="BA80" s="670" t="s">
        <v>2809</v>
      </c>
      <c r="BB80" s="658" t="str">
        <f>Pole_Calculations!A156</f>
        <v>App.7.1-V01-P9.5.1.5</v>
      </c>
      <c r="BC80" s="169"/>
      <c r="BD80" s="1329">
        <v>43806</v>
      </c>
      <c r="BE80" s="1330"/>
      <c r="BF80" s="1330"/>
      <c r="BG80" s="1330"/>
    </row>
    <row r="81" spans="1:59" ht="15.75" customHeight="1">
      <c r="A81" s="658"/>
      <c r="B81" s="664"/>
      <c r="C81" s="660"/>
      <c r="D81" s="661"/>
      <c r="E81" s="661"/>
      <c r="F81" s="661"/>
      <c r="G81" s="662"/>
      <c r="H81" s="658"/>
      <c r="I81" s="661"/>
      <c r="J81" s="660"/>
      <c r="K81" s="663"/>
      <c r="L81" s="658"/>
      <c r="M81" s="658"/>
      <c r="N81" s="658"/>
      <c r="O81" s="658"/>
      <c r="P81" s="658"/>
      <c r="Q81" s="658"/>
      <c r="R81" s="658"/>
      <c r="S81" s="662">
        <f t="shared" ref="S81" si="35">AG82-AG80</f>
        <v>-86696</v>
      </c>
      <c r="T81" s="658"/>
      <c r="U81" s="658"/>
      <c r="V81" s="658"/>
      <c r="W81" s="658"/>
      <c r="X81" s="658"/>
      <c r="Y81" s="658"/>
      <c r="Z81" s="658"/>
      <c r="AA81" s="658"/>
      <c r="AB81" s="658"/>
      <c r="AC81" s="658"/>
      <c r="AD81" s="658"/>
      <c r="AE81" s="658"/>
      <c r="AF81" s="658"/>
      <c r="AG81" s="739"/>
      <c r="AH81" s="658"/>
      <c r="AI81" s="658"/>
      <c r="AJ81" s="658" t="s">
        <v>1360</v>
      </c>
      <c r="AK81" s="658"/>
      <c r="AL81" s="658"/>
      <c r="AM81" s="658"/>
      <c r="AN81" s="662"/>
      <c r="AO81" s="658"/>
      <c r="AP81" s="658"/>
      <c r="AQ81" s="665"/>
      <c r="AR81" s="663"/>
      <c r="AS81" s="663"/>
      <c r="AT81" s="665"/>
      <c r="AU81" s="663"/>
      <c r="AV81" s="663"/>
      <c r="AW81" s="663"/>
      <c r="AX81" s="684"/>
      <c r="AY81" s="665"/>
      <c r="AZ81" s="665"/>
      <c r="BA81" s="670"/>
      <c r="BB81" s="658"/>
      <c r="BC81" s="169"/>
      <c r="BD81" s="1329"/>
      <c r="BE81" s="1330"/>
      <c r="BF81" s="1330"/>
      <c r="BG81" s="1330"/>
    </row>
    <row r="82" spans="1:59" ht="15.75" customHeight="1">
      <c r="A82" s="658"/>
      <c r="B82" s="664" t="s">
        <v>4935</v>
      </c>
      <c r="C82" s="660">
        <f>C80+25</f>
        <v>86720.85</v>
      </c>
      <c r="D82" s="661"/>
      <c r="E82" s="661"/>
      <c r="F82" s="661"/>
      <c r="G82" s="662"/>
      <c r="H82" s="658"/>
      <c r="I82" s="661"/>
      <c r="J82" s="660"/>
      <c r="K82" s="663"/>
      <c r="L82" s="658" t="s">
        <v>4420</v>
      </c>
      <c r="M82" s="658" t="s">
        <v>4399</v>
      </c>
      <c r="N82" s="658"/>
      <c r="O82" s="658"/>
      <c r="P82" s="658"/>
      <c r="Q82" s="658"/>
      <c r="R82" s="658"/>
      <c r="S82" s="662"/>
      <c r="T82" s="658"/>
      <c r="U82" s="658"/>
      <c r="V82" s="658"/>
      <c r="W82" s="658"/>
      <c r="X82" s="658"/>
      <c r="Y82" s="658"/>
      <c r="Z82" s="658"/>
      <c r="AA82" s="658"/>
      <c r="AB82" s="658"/>
      <c r="AC82" s="658"/>
      <c r="AD82" s="658"/>
      <c r="AE82" s="658"/>
      <c r="AF82" s="658"/>
      <c r="AG82" s="739"/>
      <c r="AH82" s="658"/>
      <c r="AI82" s="658"/>
      <c r="AJ82" s="658"/>
      <c r="AK82" s="658"/>
      <c r="AL82" s="658"/>
      <c r="AM82" s="658"/>
      <c r="AN82" s="662"/>
      <c r="AO82" s="658"/>
      <c r="AP82" s="658"/>
      <c r="AQ82" s="665"/>
      <c r="AR82" s="663"/>
      <c r="AS82" s="663"/>
      <c r="AT82" s="665"/>
      <c r="AU82" s="663"/>
      <c r="AV82" s="663"/>
      <c r="AW82" s="663" t="str">
        <f>VLOOKUP(C82,'Foundation Calculation'!$A$2:$C$33,3,1)</f>
        <v>Soil B</v>
      </c>
      <c r="AX82" s="684" t="str">
        <f>VLOOKUP(C82,'Foundation Calculation'!$E$2:$G$33,3,1)</f>
        <v>PT</v>
      </c>
      <c r="AY82" s="665">
        <v>1.2</v>
      </c>
      <c r="AZ82" s="665"/>
      <c r="BA82" s="670" t="s">
        <v>2809</v>
      </c>
      <c r="BB82" s="658"/>
      <c r="BC82" s="169"/>
      <c r="BD82" s="1329"/>
      <c r="BE82" s="1330"/>
      <c r="BF82" s="1330"/>
      <c r="BG82" s="1330"/>
    </row>
    <row r="83" spans="1:59" ht="15.75" customHeight="1">
      <c r="A83" s="658"/>
      <c r="B83" s="664"/>
      <c r="C83" s="660"/>
      <c r="D83" s="661"/>
      <c r="E83" s="661"/>
      <c r="F83" s="661"/>
      <c r="G83" s="662">
        <v>56.7</v>
      </c>
      <c r="H83" s="658"/>
      <c r="I83" s="661"/>
      <c r="J83" s="660"/>
      <c r="K83" s="663"/>
      <c r="L83" s="658"/>
      <c r="M83" s="658"/>
      <c r="N83" s="658"/>
      <c r="O83" s="658"/>
      <c r="P83" s="658"/>
      <c r="Q83" s="658"/>
      <c r="R83" s="658"/>
      <c r="S83" s="662">
        <f t="shared" ref="S83" si="36">AG84-AG82</f>
        <v>86752</v>
      </c>
      <c r="T83" s="658"/>
      <c r="U83" s="658"/>
      <c r="V83" s="658"/>
      <c r="W83" s="658"/>
      <c r="X83" s="658"/>
      <c r="Y83" s="658"/>
      <c r="Z83" s="658"/>
      <c r="AA83" s="658"/>
      <c r="AB83" s="658"/>
      <c r="AC83" s="658"/>
      <c r="AD83" s="658"/>
      <c r="AE83" s="658"/>
      <c r="AF83" s="658"/>
      <c r="AG83" s="739"/>
      <c r="AH83" s="658"/>
      <c r="AI83" s="658"/>
      <c r="AJ83" s="658"/>
      <c r="AK83" s="658"/>
      <c r="AL83" s="658"/>
      <c r="AM83" s="658"/>
      <c r="AN83" s="662"/>
      <c r="AO83" s="658"/>
      <c r="AP83" s="658"/>
      <c r="AQ83" s="665">
        <f>+FL_1($T$84,$T$80,$G$83,1200,9.28, 1*$F$84)</f>
        <v>0.57299138877235134</v>
      </c>
      <c r="AR83" s="663"/>
      <c r="AS83" s="663"/>
      <c r="AT83" s="665"/>
      <c r="AU83" s="663"/>
      <c r="AV83" s="663"/>
      <c r="AW83" s="663"/>
      <c r="AX83" s="684"/>
      <c r="AY83" s="665"/>
      <c r="AZ83" s="665"/>
      <c r="BA83" s="670"/>
      <c r="BB83" s="658"/>
      <c r="BC83" s="169"/>
      <c r="BD83" s="1329"/>
      <c r="BE83" s="1330"/>
      <c r="BF83" s="1330"/>
      <c r="BG83" s="1330"/>
    </row>
    <row r="84" spans="1:59" ht="15.75" customHeight="1">
      <c r="A84" s="495"/>
      <c r="B84" s="491" t="s">
        <v>2980</v>
      </c>
      <c r="C84" s="489">
        <f>+$C$80+$G$83</f>
        <v>86752.55</v>
      </c>
      <c r="D84" s="492"/>
      <c r="E84" s="492"/>
      <c r="F84" s="492">
        <v>-7255</v>
      </c>
      <c r="G84" s="457"/>
      <c r="H84" s="495" t="s">
        <v>138</v>
      </c>
      <c r="I84" s="492" t="s">
        <v>623</v>
      </c>
      <c r="J84" s="489"/>
      <c r="K84" s="490"/>
      <c r="L84" s="495" t="s">
        <v>899</v>
      </c>
      <c r="M84" s="495" t="str">
        <f>IF(AX84="PT",VLOOKUP(L84,'Foundation Calculation'!$V$2:$X$40,VLOOKUP(AX84,'Foundation Calculation'!$I$10:$J$13,2,FALSE),0),IF(AX84="K",VLOOKUP(L84,'Foundation Calculation'!$V$42:$X$80,VLOOKUP(AX84,'Foundation Calculation'!$I$10:$J$13,2,FALSE),0),""))</f>
        <v>C5R</v>
      </c>
      <c r="N84" s="495" t="s">
        <v>144</v>
      </c>
      <c r="O84" s="495"/>
      <c r="P84" s="495"/>
      <c r="Q84" s="495">
        <v>20</v>
      </c>
      <c r="R84" s="495">
        <v>-7097.03</v>
      </c>
      <c r="S84" s="457"/>
      <c r="T84" s="495">
        <v>30</v>
      </c>
      <c r="U84" s="495"/>
      <c r="V84" s="495"/>
      <c r="W84" s="495">
        <v>0.6</v>
      </c>
      <c r="X84" s="495"/>
      <c r="Y84" s="495"/>
      <c r="Z84" s="495"/>
      <c r="AA84" s="495"/>
      <c r="AB84" s="495"/>
      <c r="AC84" s="495" t="s">
        <v>1421</v>
      </c>
      <c r="AD84" s="495"/>
      <c r="AE84" s="495"/>
      <c r="AF84" s="495">
        <v>6300</v>
      </c>
      <c r="AG84" s="431">
        <v>86752</v>
      </c>
      <c r="AH84" s="495">
        <v>2773</v>
      </c>
      <c r="AI84" s="495">
        <v>610</v>
      </c>
      <c r="AJ84" s="495"/>
      <c r="AK84" s="495"/>
      <c r="AL84" s="495"/>
      <c r="AM84" s="495" t="s">
        <v>1042</v>
      </c>
      <c r="AN84" s="457">
        <v>5.15</v>
      </c>
      <c r="AO84" s="495"/>
      <c r="AP84" s="495"/>
      <c r="AQ84" s="493"/>
      <c r="AR84" s="490"/>
      <c r="AS84" s="490"/>
      <c r="AT84" s="493">
        <f>+ab($T$84,$T$80,$T$86,$G$83,$G$85, 1*$F$84,1200)</f>
        <v>16.987989615231953</v>
      </c>
      <c r="AU84" s="490"/>
      <c r="AV84" s="490"/>
      <c r="AW84" s="490" t="str">
        <f>VLOOKUP(C84,'Foundation Calculation'!$A$2:$C$33,3,1)</f>
        <v>Soil B</v>
      </c>
      <c r="AX84" s="490" t="str">
        <f>VLOOKUP(C84,'Foundation Calculation'!$E$2:$G$33,3,1)</f>
        <v>PT</v>
      </c>
      <c r="AY84" s="493">
        <f>IF(AX84="PT",VLOOKUP(L84,'Foundation Calculation'!$K$2:$R$40,VLOOKUP(AW84,'Foundation Calculation'!$I$2:$J$8,2,FALSE),0),IF(AX84="K",VLOOKUP(L84,'Foundation Calculation'!$K$42:$R$80,VLOOKUP(AW84,'Foundation Calculation'!$I$2:$J$8,2,FALSE),0),""))</f>
        <v>3.5</v>
      </c>
      <c r="AZ84" s="493"/>
      <c r="BA84" s="602" t="s">
        <v>2809</v>
      </c>
      <c r="BB84" s="495" t="str">
        <f>Pole_Calculations!A157</f>
        <v>App.7.1-V01-P9.5.1.6</v>
      </c>
      <c r="BC84" s="169"/>
      <c r="BD84" s="1329">
        <v>43806</v>
      </c>
      <c r="BE84" s="1330"/>
      <c r="BF84" s="1330"/>
      <c r="BG84" s="1330"/>
    </row>
    <row r="85" spans="1:59" ht="15.75" customHeight="1">
      <c r="A85" s="495"/>
      <c r="B85" s="491"/>
      <c r="C85" s="489"/>
      <c r="D85" s="492"/>
      <c r="E85" s="492"/>
      <c r="F85" s="492"/>
      <c r="G85" s="457">
        <v>45</v>
      </c>
      <c r="H85" s="495"/>
      <c r="I85" s="492"/>
      <c r="J85" s="489">
        <f>C84+7.5</f>
        <v>86760.05</v>
      </c>
      <c r="K85" s="490" t="s">
        <v>2787</v>
      </c>
      <c r="L85" s="495"/>
      <c r="M85" s="495"/>
      <c r="N85" s="495"/>
      <c r="O85" s="495"/>
      <c r="P85" s="495"/>
      <c r="Q85" s="495"/>
      <c r="R85" s="495"/>
      <c r="S85" s="457">
        <f t="shared" ref="S85" si="37">AG86-AG84</f>
        <v>45</v>
      </c>
      <c r="T85" s="495"/>
      <c r="U85" s="495"/>
      <c r="V85" s="495"/>
      <c r="W85" s="495"/>
      <c r="X85" s="495"/>
      <c r="Y85" s="495"/>
      <c r="Z85" s="495"/>
      <c r="AA85" s="495"/>
      <c r="AB85" s="495"/>
      <c r="AC85" s="495"/>
      <c r="AD85" s="495"/>
      <c r="AE85" s="495"/>
      <c r="AF85" s="495"/>
      <c r="AG85" s="431"/>
      <c r="AH85" s="495"/>
      <c r="AI85" s="495"/>
      <c r="AJ85" s="495"/>
      <c r="AK85" s="495"/>
      <c r="AL85" s="495"/>
      <c r="AM85" s="495" t="s">
        <v>3053</v>
      </c>
      <c r="AN85" s="457"/>
      <c r="AO85" s="495"/>
      <c r="AP85" s="495"/>
      <c r="AQ85" s="493">
        <f>+FL_2($T$86,$T$84,$G$85,1200,9.28, 1*$F$86)</f>
        <v>-0.35284272661770588</v>
      </c>
      <c r="AR85" s="490"/>
      <c r="AS85" s="490"/>
      <c r="AT85" s="493"/>
      <c r="AU85" s="490"/>
      <c r="AV85" s="490"/>
      <c r="AW85" s="490" t="str">
        <f>VLOOKUP(J85,'Foundation Calculation'!$A$2:$C$33,3,1)</f>
        <v>Soil B</v>
      </c>
      <c r="AX85" s="490" t="str">
        <f>VLOOKUP(J85,'Foundation Calculation'!$E$2:$G$33,3,1)</f>
        <v>PT</v>
      </c>
      <c r="AY85" s="493"/>
      <c r="AZ85" s="493">
        <f>IF(AX85="PT",VLOOKUP(K85,'Foundation Calculation'!$K$2:$R$40,VLOOKUP(AW85,'Foundation Calculation'!$I$2:$J$8,2,FALSE),0),IF(AX85="K",VLOOKUP(K85,'Foundation Calculation'!$K$42:$R$80,VLOOKUP(AW85,'Foundation Calculation'!$I$2:$J$8,2,FALSE),0),""))</f>
        <v>3.9</v>
      </c>
      <c r="BA85" s="602" t="s">
        <v>2809</v>
      </c>
      <c r="BB85" s="495"/>
      <c r="BC85" s="169"/>
      <c r="BD85" s="1329">
        <v>43806</v>
      </c>
      <c r="BE85" s="1330"/>
      <c r="BF85" s="1330"/>
      <c r="BG85" s="1330"/>
    </row>
    <row r="86" spans="1:59" ht="15.75" customHeight="1">
      <c r="A86" s="488" t="s">
        <v>1851</v>
      </c>
      <c r="B86" s="656" t="s">
        <v>2981</v>
      </c>
      <c r="C86" s="489">
        <f>+$C$84+$G$85</f>
        <v>86797.55</v>
      </c>
      <c r="D86" s="492"/>
      <c r="E86" s="492"/>
      <c r="F86" s="492">
        <v>-24602</v>
      </c>
      <c r="G86" s="457"/>
      <c r="H86" s="495"/>
      <c r="I86" s="492"/>
      <c r="J86" s="489"/>
      <c r="K86" s="490"/>
      <c r="L86" s="495" t="s">
        <v>1682</v>
      </c>
      <c r="M86" s="495"/>
      <c r="N86" s="495" t="s">
        <v>143</v>
      </c>
      <c r="O86" s="495"/>
      <c r="P86" s="495"/>
      <c r="Q86" s="495">
        <v>0</v>
      </c>
      <c r="R86" s="495">
        <v>0</v>
      </c>
      <c r="S86" s="457"/>
      <c r="T86" s="495">
        <v>-35</v>
      </c>
      <c r="U86" s="495"/>
      <c r="V86" s="495"/>
      <c r="W86" s="495">
        <v>0.6</v>
      </c>
      <c r="X86" s="495"/>
      <c r="Y86" s="495"/>
      <c r="Z86" s="495"/>
      <c r="AA86" s="495"/>
      <c r="AB86" s="495"/>
      <c r="AC86" s="495" t="s">
        <v>4090</v>
      </c>
      <c r="AD86" s="495"/>
      <c r="AE86" s="495"/>
      <c r="AF86" s="495">
        <v>100</v>
      </c>
      <c r="AG86" s="431">
        <v>86797</v>
      </c>
      <c r="AH86" s="495">
        <v>2573</v>
      </c>
      <c r="AI86" s="495">
        <v>-4970</v>
      </c>
      <c r="AJ86" s="495"/>
      <c r="AK86" s="495"/>
      <c r="AL86" s="495"/>
      <c r="AM86" s="495" t="s">
        <v>3053</v>
      </c>
      <c r="AN86" s="457">
        <v>5.15</v>
      </c>
      <c r="AO86" s="495"/>
      <c r="AP86" s="495"/>
      <c r="AQ86" s="493"/>
      <c r="AR86" s="490"/>
      <c r="AS86" s="490"/>
      <c r="AT86" s="493">
        <f>+ab($T$86,$T$84,$T$88,$G$85,$G$87, 1*$F$86,1200)</f>
        <v>-6.0067362089805609</v>
      </c>
      <c r="AU86" s="490"/>
      <c r="AV86" s="490"/>
      <c r="AW86" s="490"/>
      <c r="AX86" s="490"/>
      <c r="AY86" s="493"/>
      <c r="AZ86" s="493"/>
      <c r="BA86" s="602"/>
      <c r="BB86" s="488"/>
      <c r="BC86" s="169"/>
      <c r="BD86" s="1330"/>
      <c r="BE86" s="1329"/>
      <c r="BF86" s="1330"/>
      <c r="BG86" s="1329"/>
    </row>
    <row r="87" spans="1:59" ht="15.75" customHeight="1">
      <c r="A87" s="495"/>
      <c r="B87" s="491"/>
      <c r="C87" s="489"/>
      <c r="D87" s="492"/>
      <c r="E87" s="492"/>
      <c r="F87" s="492"/>
      <c r="G87" s="457">
        <v>45</v>
      </c>
      <c r="H87" s="495"/>
      <c r="I87" s="492"/>
      <c r="J87" s="489"/>
      <c r="K87" s="490"/>
      <c r="L87" s="495"/>
      <c r="M87" s="495"/>
      <c r="N87" s="495"/>
      <c r="O87" s="495"/>
      <c r="P87" s="495"/>
      <c r="Q87" s="495"/>
      <c r="R87" s="495"/>
      <c r="S87" s="457">
        <f t="shared" ref="S87" si="38">AG88-AG86</f>
        <v>45</v>
      </c>
      <c r="T87" s="495"/>
      <c r="U87" s="495"/>
      <c r="V87" s="495"/>
      <c r="W87" s="495"/>
      <c r="X87" s="495"/>
      <c r="Y87" s="495"/>
      <c r="Z87" s="495"/>
      <c r="AA87" s="495"/>
      <c r="AB87" s="495"/>
      <c r="AC87" s="495"/>
      <c r="AD87" s="495"/>
      <c r="AE87" s="495"/>
      <c r="AF87" s="495"/>
      <c r="AG87" s="431"/>
      <c r="AH87" s="495"/>
      <c r="AI87" s="495"/>
      <c r="AJ87" s="495"/>
      <c r="AK87" s="495"/>
      <c r="AL87" s="495"/>
      <c r="AM87" s="495" t="s">
        <v>3053</v>
      </c>
      <c r="AN87" s="457"/>
      <c r="AO87" s="495"/>
      <c r="AP87" s="495"/>
      <c r="AQ87" s="493">
        <f>+FL_2($T$88,$T$86,$G$87,1200,9.28, 1*$F$88)</f>
        <v>-0.35219954355555549</v>
      </c>
      <c r="AR87" s="490"/>
      <c r="AS87" s="490"/>
      <c r="AT87" s="493"/>
      <c r="AU87" s="490"/>
      <c r="AV87" s="490"/>
      <c r="AW87" s="490"/>
      <c r="AX87" s="490"/>
      <c r="AY87" s="493"/>
      <c r="AZ87" s="493"/>
      <c r="BA87" s="602"/>
      <c r="BB87" s="495"/>
      <c r="BC87" s="169"/>
      <c r="BD87" s="1330"/>
      <c r="BE87" s="1330"/>
      <c r="BF87" s="1330"/>
      <c r="BG87" s="1330"/>
    </row>
    <row r="88" spans="1:59" ht="15.75" customHeight="1">
      <c r="A88" s="495" t="s">
        <v>3517</v>
      </c>
      <c r="B88" s="491" t="s">
        <v>2982</v>
      </c>
      <c r="C88" s="489">
        <f>+$C$86+$G$87</f>
        <v>86842.55</v>
      </c>
      <c r="D88" s="492"/>
      <c r="E88" s="492"/>
      <c r="F88" s="492">
        <v>0</v>
      </c>
      <c r="G88" s="457"/>
      <c r="H88" s="495"/>
      <c r="I88" s="492"/>
      <c r="J88" s="489"/>
      <c r="K88" s="490"/>
      <c r="L88" s="495" t="s">
        <v>818</v>
      </c>
      <c r="M88" s="495" t="str">
        <f>IF(AX88="PT",VLOOKUP(L88,'Foundation Calculation'!$V$2:$X$40,VLOOKUP(AX88,'Foundation Calculation'!$I$10:$J$13,2,FALSE),0),IF(AX88="K",VLOOKUP(L88,'Foundation Calculation'!$V$42:$X$80,VLOOKUP(AX88,'Foundation Calculation'!$I$10:$J$13,2,FALSE),0),""))</f>
        <v>C4R</v>
      </c>
      <c r="N88" s="495" t="s">
        <v>2797</v>
      </c>
      <c r="O88" s="495"/>
      <c r="P88" s="495"/>
      <c r="Q88" s="495">
        <v>0</v>
      </c>
      <c r="R88" s="495">
        <v>0</v>
      </c>
      <c r="S88" s="457"/>
      <c r="T88" s="495">
        <v>35</v>
      </c>
      <c r="U88" s="495"/>
      <c r="V88" s="495"/>
      <c r="W88" s="495">
        <v>0.6</v>
      </c>
      <c r="X88" s="495"/>
      <c r="Y88" s="495"/>
      <c r="Z88" s="495"/>
      <c r="AA88" s="495"/>
      <c r="AB88" s="495"/>
      <c r="AC88" s="495" t="s">
        <v>4090</v>
      </c>
      <c r="AD88" s="495"/>
      <c r="AE88" s="495"/>
      <c r="AF88" s="495">
        <v>6300</v>
      </c>
      <c r="AG88" s="431">
        <v>86842</v>
      </c>
      <c r="AH88" s="495">
        <v>2543</v>
      </c>
      <c r="AI88" s="495">
        <v>650</v>
      </c>
      <c r="AJ88" s="495"/>
      <c r="AK88" s="495"/>
      <c r="AL88" s="495"/>
      <c r="AM88" s="495" t="s">
        <v>1042</v>
      </c>
      <c r="AN88" s="457">
        <v>5.15</v>
      </c>
      <c r="AO88" s="495"/>
      <c r="AP88" s="495"/>
      <c r="AQ88" s="493"/>
      <c r="AR88" s="490"/>
      <c r="AS88" s="490"/>
      <c r="AT88" s="493">
        <f>+ab($T$88,$T$86,$T$90,$G$87,$G$89, 1*$F$88,1200)</f>
        <v>6.0757896623763079</v>
      </c>
      <c r="AU88" s="490"/>
      <c r="AV88" s="490"/>
      <c r="AW88" s="490" t="str">
        <f>VLOOKUP(C88,'Foundation Calculation'!$A$2:$C$33,3,1)</f>
        <v>Soil B</v>
      </c>
      <c r="AX88" s="490" t="str">
        <f>VLOOKUP(C88,'Foundation Calculation'!$E$2:$G$33,3,1)</f>
        <v>PT</v>
      </c>
      <c r="AY88" s="493">
        <f>IF(AX88="PT",VLOOKUP(L88,'Foundation Calculation'!$K$2:$R$40,VLOOKUP(AW88,'Foundation Calculation'!$I$2:$J$8,2,FALSE),0),IF(AX88="K",VLOOKUP(L88,'Foundation Calculation'!$K$42:$R$80,VLOOKUP(AW88,'Foundation Calculation'!$I$2:$J$8,2,FALSE),0),""))</f>
        <v>3.5</v>
      </c>
      <c r="AZ88" s="493"/>
      <c r="BA88" s="602" t="s">
        <v>2809</v>
      </c>
      <c r="BB88" s="495" t="str">
        <f>Pole_Calculations!A152</f>
        <v>App.7.1-V01-P9.5.1.1</v>
      </c>
      <c r="BC88" s="169"/>
      <c r="BD88" s="1330">
        <v>43806</v>
      </c>
      <c r="BE88" s="1330"/>
      <c r="BF88" s="1330"/>
      <c r="BG88" s="1330"/>
    </row>
    <row r="89" spans="1:59" ht="15.75" customHeight="1">
      <c r="A89" s="1239"/>
      <c r="B89" s="447"/>
      <c r="C89" s="446"/>
      <c r="D89" s="448"/>
      <c r="E89" s="448"/>
      <c r="F89" s="448"/>
      <c r="G89" s="455">
        <v>44</v>
      </c>
      <c r="H89" s="1239"/>
      <c r="I89" s="448"/>
      <c r="J89" s="446"/>
      <c r="K89" s="638"/>
      <c r="L89" s="1239"/>
      <c r="M89" s="1239"/>
      <c r="N89" s="1239"/>
      <c r="O89" s="1239"/>
      <c r="P89" s="1239"/>
      <c r="Q89" s="1239"/>
      <c r="R89" s="1239"/>
      <c r="S89" s="455">
        <f t="shared" ref="S89" si="39">AG90-AG88</f>
        <v>-86842</v>
      </c>
      <c r="T89" s="1239"/>
      <c r="U89" s="1239"/>
      <c r="V89" s="1239"/>
      <c r="W89" s="1239"/>
      <c r="X89" s="1239"/>
      <c r="Y89" s="1239"/>
      <c r="Z89" s="1239"/>
      <c r="AA89" s="1239"/>
      <c r="AB89" s="1239"/>
      <c r="AC89" s="1239"/>
      <c r="AD89" s="1239"/>
      <c r="AE89" s="1239"/>
      <c r="AF89" s="1239"/>
      <c r="AG89" s="171"/>
      <c r="AH89" s="1239"/>
      <c r="AI89" s="1239"/>
      <c r="AJ89" s="1239"/>
      <c r="AK89" s="1239"/>
      <c r="AL89" s="1239"/>
      <c r="AM89" s="1239"/>
      <c r="AN89" s="455"/>
      <c r="AO89" s="1239"/>
      <c r="AP89" s="1239"/>
      <c r="AQ89" s="484">
        <f>+FL_2($T$90,$T$88,$G$89,1200,9.28, 1*$F$90)</f>
        <v>-0.35078837199999996</v>
      </c>
      <c r="AR89" s="638"/>
      <c r="AS89" s="638"/>
      <c r="AT89" s="484"/>
      <c r="AU89" s="638"/>
      <c r="AV89" s="638"/>
      <c r="AW89" s="638"/>
      <c r="AX89" s="638"/>
      <c r="AY89" s="484"/>
      <c r="AZ89" s="484"/>
      <c r="BA89" s="671"/>
      <c r="BB89" s="1239"/>
      <c r="BC89" s="169"/>
      <c r="BD89" s="1330"/>
      <c r="BE89" s="1330"/>
      <c r="BF89" s="1330"/>
      <c r="BG89" s="1330"/>
    </row>
    <row r="90" spans="1:59" ht="15.75" customHeight="1">
      <c r="A90" s="1239"/>
      <c r="B90" s="582" t="s">
        <v>2983</v>
      </c>
      <c r="C90" s="446">
        <f>+$C$88+$G$89</f>
        <v>86886.55</v>
      </c>
      <c r="D90" s="448"/>
      <c r="E90" s="448"/>
      <c r="F90" s="448">
        <v>0</v>
      </c>
      <c r="G90" s="455"/>
      <c r="H90" s="1239"/>
      <c r="I90" s="448"/>
      <c r="J90" s="446"/>
      <c r="K90" s="638"/>
      <c r="L90" s="1239" t="s">
        <v>230</v>
      </c>
      <c r="M90" s="1239" t="str">
        <f>IF(AX90="PT",VLOOKUP(L90,'Foundation Calculation'!$V$2:$X$40,VLOOKUP(AX90,'Foundation Calculation'!$I$10:$J$13,2,FALSE),0),IF(AX90="K",VLOOKUP(L90,'Foundation Calculation'!$V$42:$X$80,VLOOKUP(AX90,'Foundation Calculation'!$I$10:$J$13,2,FALSE),0),""))</f>
        <v>C4R</v>
      </c>
      <c r="N90" s="1239" t="s">
        <v>2789</v>
      </c>
      <c r="O90" s="1239"/>
      <c r="P90" s="1239"/>
      <c r="Q90" s="1239"/>
      <c r="R90" s="1239"/>
      <c r="S90" s="455"/>
      <c r="T90" s="1239">
        <v>-35</v>
      </c>
      <c r="U90" s="1239"/>
      <c r="V90" s="1239"/>
      <c r="W90" s="1239">
        <v>0.7</v>
      </c>
      <c r="X90" s="1239"/>
      <c r="Y90" s="1239"/>
      <c r="Z90" s="1239"/>
      <c r="AA90" s="1239"/>
      <c r="AB90" s="1239"/>
      <c r="AC90" s="1239" t="s">
        <v>4115</v>
      </c>
      <c r="AD90" s="1239"/>
      <c r="AE90" s="1239"/>
      <c r="AF90" s="1239">
        <v>6000</v>
      </c>
      <c r="AG90" s="171"/>
      <c r="AH90" s="1239"/>
      <c r="AI90" s="1239"/>
      <c r="AJ90" s="1239"/>
      <c r="AK90" s="1239"/>
      <c r="AL90" s="1239"/>
      <c r="AM90" s="1239" t="s">
        <v>1042</v>
      </c>
      <c r="AN90" s="455">
        <v>5.21</v>
      </c>
      <c r="AO90" s="1239"/>
      <c r="AP90" s="1239"/>
      <c r="AQ90" s="484"/>
      <c r="AR90" s="638"/>
      <c r="AS90" s="638"/>
      <c r="AT90" s="484">
        <f>+ab($T$90,$T$88,$T$92,$G$89,$G$91, 1*$F$90,1200)</f>
        <v>-6.0087942188661216</v>
      </c>
      <c r="AU90" s="638"/>
      <c r="AV90" s="638"/>
      <c r="AW90" s="638" t="str">
        <f>VLOOKUP(C90,'Foundation Calculation'!$A$2:$C$33,3,1)</f>
        <v>Soil B</v>
      </c>
      <c r="AX90" s="638" t="str">
        <f>VLOOKUP(C90,'Foundation Calculation'!$E$2:$G$33,3,1)</f>
        <v>PT</v>
      </c>
      <c r="AY90" s="484">
        <f>IF(AX90="PT",VLOOKUP(L90,'Foundation Calculation'!$K$2:$R$40,VLOOKUP(AW90,'Foundation Calculation'!$I$2:$J$8,2,FALSE),0),IF(AX90="K",VLOOKUP(L90,'Foundation Calculation'!$K$42:$R$80,VLOOKUP(AW90,'Foundation Calculation'!$I$2:$J$8,2,FALSE),0),""))</f>
        <v>3.5</v>
      </c>
      <c r="AZ90" s="484"/>
      <c r="BA90" s="671" t="s">
        <v>2809</v>
      </c>
      <c r="BB90" s="1239" t="str">
        <f>Pole_Calculations!A152</f>
        <v>App.7.1-V01-P9.5.1.1</v>
      </c>
      <c r="BC90" s="169"/>
      <c r="BD90" s="1329">
        <v>43806</v>
      </c>
      <c r="BE90" s="1329">
        <v>43859</v>
      </c>
      <c r="BF90" s="1330"/>
      <c r="BG90" s="1329">
        <v>43870</v>
      </c>
    </row>
    <row r="91" spans="1:59" ht="15.75" customHeight="1">
      <c r="A91" s="1239"/>
      <c r="B91" s="447"/>
      <c r="C91" s="446"/>
      <c r="D91" s="448"/>
      <c r="E91" s="448"/>
      <c r="F91" s="448"/>
      <c r="G91" s="455">
        <v>44</v>
      </c>
      <c r="H91" s="1239"/>
      <c r="I91" s="448"/>
      <c r="J91" s="446">
        <f>C92-7.5</f>
        <v>86923.05</v>
      </c>
      <c r="K91" s="638" t="s">
        <v>2788</v>
      </c>
      <c r="L91" s="1239"/>
      <c r="M91" s="1239"/>
      <c r="N91" s="1239"/>
      <c r="O91" s="1239"/>
      <c r="P91" s="1239"/>
      <c r="Q91" s="1239"/>
      <c r="R91" s="1239"/>
      <c r="S91" s="455">
        <f t="shared" ref="S91" si="40">AG92-AG90</f>
        <v>86930</v>
      </c>
      <c r="T91" s="1239"/>
      <c r="U91" s="1239"/>
      <c r="V91" s="1239"/>
      <c r="W91" s="1239"/>
      <c r="X91" s="1239"/>
      <c r="Y91" s="1239"/>
      <c r="Z91" s="1239"/>
      <c r="AA91" s="1239"/>
      <c r="AB91" s="1239"/>
      <c r="AC91" s="1239"/>
      <c r="AD91" s="1239"/>
      <c r="AE91" s="1239"/>
      <c r="AF91" s="1239"/>
      <c r="AG91" s="171"/>
      <c r="AH91" s="1239"/>
      <c r="AI91" s="1239"/>
      <c r="AJ91" s="1239"/>
      <c r="AK91" s="1239"/>
      <c r="AL91" s="1239"/>
      <c r="AM91" s="1239"/>
      <c r="AN91" s="455"/>
      <c r="AO91" s="1239"/>
      <c r="AP91" s="1239"/>
      <c r="AQ91" s="484">
        <f>+FL_1($T$92,$T$90,$G$91,1200,9.28, 1*$F$92)</f>
        <v>0.35078837199999996</v>
      </c>
      <c r="AR91" s="638"/>
      <c r="AS91" s="638"/>
      <c r="AT91" s="484"/>
      <c r="AU91" s="638"/>
      <c r="AV91" s="638"/>
      <c r="AW91" s="638" t="str">
        <f>VLOOKUP(J91,'Foundation Calculation'!$A$2:$C$33,3,1)</f>
        <v>Soil B</v>
      </c>
      <c r="AX91" s="638" t="str">
        <f>VLOOKUP(J91,'Foundation Calculation'!$E$2:$G$33,3,1)</f>
        <v>PT</v>
      </c>
      <c r="AY91" s="484"/>
      <c r="AZ91" s="484">
        <f>IF(AX91="PT",VLOOKUP(K91,'Foundation Calculation'!$K$2:$R$40,VLOOKUP(AW91,'Foundation Calculation'!$I$2:$J$8,2,FALSE),0),IF(AX91="K",VLOOKUP(K91,'Foundation Calculation'!$K$42:$R$80,VLOOKUP(AW91,'Foundation Calculation'!$I$2:$J$8,2,FALSE),0),""))</f>
        <v>2.8</v>
      </c>
      <c r="BA91" s="671" t="s">
        <v>2809</v>
      </c>
      <c r="BB91" s="1239"/>
      <c r="BC91" s="169"/>
      <c r="BD91" s="1329">
        <v>43806</v>
      </c>
      <c r="BE91" s="1330"/>
      <c r="BF91" s="1330"/>
      <c r="BG91" s="1330"/>
    </row>
    <row r="92" spans="1:59" ht="15.75" customHeight="1">
      <c r="A92" s="1239"/>
      <c r="B92" s="582" t="s">
        <v>2984</v>
      </c>
      <c r="C92" s="446">
        <f>+$C$90+$G$91</f>
        <v>86930.55</v>
      </c>
      <c r="D92" s="448"/>
      <c r="E92" s="448"/>
      <c r="F92" s="448">
        <v>0</v>
      </c>
      <c r="G92" s="455"/>
      <c r="H92" s="1239" t="s">
        <v>873</v>
      </c>
      <c r="I92" s="448"/>
      <c r="J92" s="446"/>
      <c r="K92" s="638"/>
      <c r="L92" s="1239" t="s">
        <v>230</v>
      </c>
      <c r="M92" s="1239" t="str">
        <f>IF(AX92="PT",VLOOKUP(L92,'Foundation Calculation'!$V$2:$X$40,VLOOKUP(AX92,'Foundation Calculation'!$I$10:$J$13,2,FALSE),0),IF(AX92="K",VLOOKUP(L92,'Foundation Calculation'!$V$42:$X$80,VLOOKUP(AX92,'Foundation Calculation'!$I$10:$J$13,2,FALSE),0),""))</f>
        <v>C4R</v>
      </c>
      <c r="N92" s="1239" t="s">
        <v>144</v>
      </c>
      <c r="O92" s="1239"/>
      <c r="P92" s="1239"/>
      <c r="Q92" s="1239">
        <v>0</v>
      </c>
      <c r="R92" s="1239">
        <v>0</v>
      </c>
      <c r="S92" s="455"/>
      <c r="T92" s="1239">
        <v>35</v>
      </c>
      <c r="U92" s="1239"/>
      <c r="V92" s="1239"/>
      <c r="W92" s="1239">
        <v>0.8</v>
      </c>
      <c r="X92" s="1239"/>
      <c r="Y92" s="1239"/>
      <c r="Z92" s="1239"/>
      <c r="AA92" s="1239"/>
      <c r="AB92" s="1239"/>
      <c r="AC92" s="1239" t="s">
        <v>4115</v>
      </c>
      <c r="AD92" s="1239"/>
      <c r="AE92" s="1239"/>
      <c r="AF92" s="1239">
        <v>6000</v>
      </c>
      <c r="AG92" s="171">
        <v>86930</v>
      </c>
      <c r="AH92" s="1239">
        <v>1993</v>
      </c>
      <c r="AI92" s="1239">
        <v>670</v>
      </c>
      <c r="AJ92" s="1239"/>
      <c r="AK92" s="1239"/>
      <c r="AL92" s="1239"/>
      <c r="AM92" s="1239" t="s">
        <v>1042</v>
      </c>
      <c r="AN92" s="455">
        <v>5.32</v>
      </c>
      <c r="AO92" s="1239"/>
      <c r="AP92" s="1239"/>
      <c r="AQ92" s="484"/>
      <c r="AR92" s="638"/>
      <c r="AS92" s="638"/>
      <c r="AT92" s="484">
        <f>+ab($T$92,$T$90,$T$94,$G$91,$G$93, 1*$F$92,1200)</f>
        <v>6.0491683966203853</v>
      </c>
      <c r="AU92" s="638"/>
      <c r="AV92" s="638"/>
      <c r="AW92" s="638" t="str">
        <f>VLOOKUP(C92,'Foundation Calculation'!$A$2:$C$33,3,1)</f>
        <v>Soil B</v>
      </c>
      <c r="AX92" s="638" t="str">
        <f>VLOOKUP(C92,'Foundation Calculation'!$E$2:$G$33,3,1)</f>
        <v>PT</v>
      </c>
      <c r="AY92" s="484">
        <f>IF(AX92="PT",VLOOKUP(L92,'Foundation Calculation'!$K$2:$R$40,VLOOKUP(AW92,'Foundation Calculation'!$I$2:$J$8,2,FALSE),0),IF(AX92="K",VLOOKUP(L92,'Foundation Calculation'!$K$42:$R$80,VLOOKUP(AW92,'Foundation Calculation'!$I$2:$J$8,2,FALSE),0),""))</f>
        <v>3.5</v>
      </c>
      <c r="AZ92" s="484"/>
      <c r="BA92" s="671" t="s">
        <v>2809</v>
      </c>
      <c r="BB92" s="1239" t="str">
        <f>Pole_Calculations!A154</f>
        <v>App.7.1-V01-P9.5.1.3</v>
      </c>
      <c r="BC92" s="169"/>
      <c r="BD92" s="1371">
        <v>43806</v>
      </c>
      <c r="BE92" s="1371"/>
      <c r="BF92" s="1371"/>
      <c r="BG92" s="1371"/>
    </row>
    <row r="93" spans="1:59" ht="15.75" customHeight="1">
      <c r="A93" s="1239"/>
      <c r="B93" s="447"/>
      <c r="C93" s="446"/>
      <c r="D93" s="448"/>
      <c r="E93" s="448"/>
      <c r="F93" s="448"/>
      <c r="G93" s="455">
        <v>44.6</v>
      </c>
      <c r="H93" s="1239"/>
      <c r="I93" s="448"/>
      <c r="J93" s="446">
        <f>C94-7.5</f>
        <v>86967.650000000009</v>
      </c>
      <c r="K93" s="638" t="s">
        <v>2788</v>
      </c>
      <c r="L93" s="1239"/>
      <c r="M93" s="1239"/>
      <c r="N93" s="1239"/>
      <c r="O93" s="1239"/>
      <c r="P93" s="1239"/>
      <c r="Q93" s="1239"/>
      <c r="R93" s="1239"/>
      <c r="S93" s="455">
        <f t="shared" ref="S93" si="41">AG94-AG92</f>
        <v>45</v>
      </c>
      <c r="T93" s="1239"/>
      <c r="U93" s="1239"/>
      <c r="V93" s="1239"/>
      <c r="W93" s="1239"/>
      <c r="X93" s="1239"/>
      <c r="Y93" s="1239"/>
      <c r="Z93" s="1239"/>
      <c r="AA93" s="1239"/>
      <c r="AB93" s="1239"/>
      <c r="AC93" s="1239"/>
      <c r="AD93" s="1239"/>
      <c r="AE93" s="1239"/>
      <c r="AF93" s="1239"/>
      <c r="AG93" s="171"/>
      <c r="AH93" s="1239"/>
      <c r="AI93" s="1239"/>
      <c r="AJ93" s="1239"/>
      <c r="AK93" s="1239"/>
      <c r="AL93" s="1239"/>
      <c r="AM93" s="1239"/>
      <c r="AN93" s="455"/>
      <c r="AO93" s="1239"/>
      <c r="AP93" s="1239"/>
      <c r="AQ93" s="484">
        <f>+FL_1($T$94,$T$92,$G$93,1200,9.28, 1*$F$94)</f>
        <v>0.35155386547085193</v>
      </c>
      <c r="AR93" s="638"/>
      <c r="AS93" s="638"/>
      <c r="AT93" s="484"/>
      <c r="AU93" s="638"/>
      <c r="AV93" s="638"/>
      <c r="AW93" s="638" t="str">
        <f>VLOOKUP(J93,'Foundation Calculation'!$A$2:$C$33,3,1)</f>
        <v>Soil B</v>
      </c>
      <c r="AX93" s="638" t="str">
        <f>VLOOKUP(J93,'Foundation Calculation'!$E$2:$G$33,3,1)</f>
        <v>PT</v>
      </c>
      <c r="AY93" s="484"/>
      <c r="AZ93" s="484">
        <f>IF(AX93="PT",VLOOKUP(K93,'Foundation Calculation'!$K$2:$R$40,VLOOKUP(AW93,'Foundation Calculation'!$I$2:$J$8,2,FALSE),0),IF(AX93="K",VLOOKUP(K93,'Foundation Calculation'!$K$42:$R$80,VLOOKUP(AW93,'Foundation Calculation'!$I$2:$J$8,2,FALSE),0),""))</f>
        <v>2.8</v>
      </c>
      <c r="BA93" s="671" t="s">
        <v>2809</v>
      </c>
      <c r="BB93" s="1239"/>
      <c r="BC93" s="169"/>
      <c r="BD93" s="1329"/>
      <c r="BE93" s="1330"/>
      <c r="BF93" s="1330"/>
      <c r="BG93" s="1330"/>
    </row>
    <row r="94" spans="1:59" ht="15.75" customHeight="1">
      <c r="A94" s="1239"/>
      <c r="B94" s="582" t="s">
        <v>2985</v>
      </c>
      <c r="C94" s="446">
        <f>+$C$92+$G$93</f>
        <v>86975.150000000009</v>
      </c>
      <c r="D94" s="448"/>
      <c r="E94" s="448"/>
      <c r="F94" s="448">
        <v>0</v>
      </c>
      <c r="G94" s="455"/>
      <c r="H94" s="1239" t="s">
        <v>873</v>
      </c>
      <c r="I94" s="448"/>
      <c r="J94" s="446"/>
      <c r="K94" s="638"/>
      <c r="L94" s="1239" t="s">
        <v>821</v>
      </c>
      <c r="M94" s="1239" t="str">
        <f>IF(AX94="PT",VLOOKUP(L94,'Foundation Calculation'!$V$2:$X$40,VLOOKUP(AX94,'Foundation Calculation'!$I$10:$J$13,2,FALSE),0),IF(AX94="K",VLOOKUP(L94,'Foundation Calculation'!$V$42:$X$80,VLOOKUP(AX94,'Foundation Calculation'!$I$10:$J$13,2,FALSE),0),""))</f>
        <v>C7R</v>
      </c>
      <c r="N94" s="1239" t="s">
        <v>2789</v>
      </c>
      <c r="O94" s="1239"/>
      <c r="P94" s="1239"/>
      <c r="Q94" s="1239"/>
      <c r="R94" s="1239"/>
      <c r="S94" s="455"/>
      <c r="T94" s="1239">
        <v>-35</v>
      </c>
      <c r="U94" s="1239"/>
      <c r="V94" s="1239"/>
      <c r="W94" s="1239">
        <v>1</v>
      </c>
      <c r="X94" s="1239"/>
      <c r="Y94" s="1239"/>
      <c r="Z94" s="1239"/>
      <c r="AA94" s="1239"/>
      <c r="AB94" s="1239"/>
      <c r="AC94" s="1239" t="s">
        <v>4090</v>
      </c>
      <c r="AD94" s="1239"/>
      <c r="AE94" s="1239"/>
      <c r="AF94" s="1239">
        <v>6000</v>
      </c>
      <c r="AG94" s="171">
        <v>86975</v>
      </c>
      <c r="AH94" s="1239">
        <v>2643</v>
      </c>
      <c r="AI94" s="1239">
        <v>660</v>
      </c>
      <c r="AJ94" s="1239"/>
      <c r="AK94" s="1239"/>
      <c r="AL94" s="1239" t="s">
        <v>2142</v>
      </c>
      <c r="AM94" s="1239" t="s">
        <v>1042</v>
      </c>
      <c r="AN94" s="455">
        <v>5.43</v>
      </c>
      <c r="AO94" s="1239"/>
      <c r="AP94" s="1239"/>
      <c r="AQ94" s="484"/>
      <c r="AR94" s="638"/>
      <c r="AS94" s="638"/>
      <c r="AT94" s="484">
        <f>+ab($T$94,$T$92,$T$96,$G$93,$G$95, 1*$F$94,1200)</f>
        <v>-6.5527384158249902</v>
      </c>
      <c r="AU94" s="638"/>
      <c r="AV94" s="638"/>
      <c r="AW94" s="638" t="str">
        <f>VLOOKUP(C94,'Foundation Calculation'!$A$2:$C$33,3,1)</f>
        <v>Soil B</v>
      </c>
      <c r="AX94" s="638" t="str">
        <f>VLOOKUP(C94,'Foundation Calculation'!$E$2:$G$33,3,1)</f>
        <v>PT</v>
      </c>
      <c r="AY94" s="484">
        <f>IF(AX94="PT",VLOOKUP(L94,'Foundation Calculation'!$K$2:$R$40,VLOOKUP(AW94,'Foundation Calculation'!$I$2:$J$8,2,FALSE),0),IF(AX94="K",VLOOKUP(L94,'Foundation Calculation'!$K$42:$R$80,VLOOKUP(AW94,'Foundation Calculation'!$I$2:$J$8,2,FALSE),0),""))</f>
        <v>3.5</v>
      </c>
      <c r="AZ94" s="484"/>
      <c r="BA94" s="671" t="s">
        <v>2809</v>
      </c>
      <c r="BB94" s="1239" t="str">
        <f>Pole_Calculations!A178</f>
        <v>App.8-V08F-P10.3</v>
      </c>
      <c r="BC94" s="169"/>
      <c r="BD94" s="1329">
        <v>43799</v>
      </c>
      <c r="BE94" s="1329"/>
      <c r="BF94" s="1329"/>
      <c r="BG94" s="1329"/>
    </row>
    <row r="95" spans="1:59" ht="15.75" customHeight="1">
      <c r="A95" s="1239"/>
      <c r="B95" s="447"/>
      <c r="C95" s="446"/>
      <c r="D95" s="448"/>
      <c r="E95" s="448"/>
      <c r="F95" s="448"/>
      <c r="G95" s="455">
        <v>52</v>
      </c>
      <c r="H95" s="1239"/>
      <c r="I95" s="448">
        <f>C96-C66</f>
        <v>528.30000000000291</v>
      </c>
      <c r="J95" s="446"/>
      <c r="K95" s="638"/>
      <c r="L95" s="1239"/>
      <c r="M95" s="1239"/>
      <c r="N95" s="1239"/>
      <c r="O95" s="1239"/>
      <c r="P95" s="1239"/>
      <c r="Q95" s="1239"/>
      <c r="R95" s="1239"/>
      <c r="S95" s="455">
        <f t="shared" ref="S95" si="42">AG96-AG94</f>
        <v>52</v>
      </c>
      <c r="T95" s="1239"/>
      <c r="U95" s="1239"/>
      <c r="V95" s="1239"/>
      <c r="W95" s="1239"/>
      <c r="X95" s="1239"/>
      <c r="Y95" s="1239"/>
      <c r="Z95" s="1239"/>
      <c r="AA95" s="1239"/>
      <c r="AB95" s="1239"/>
      <c r="AC95" s="1239"/>
      <c r="AD95" s="1239"/>
      <c r="AE95" s="1239"/>
      <c r="AF95" s="1239"/>
      <c r="AG95" s="171"/>
      <c r="AH95" s="1239"/>
      <c r="AI95" s="1239"/>
      <c r="AJ95" s="1239"/>
      <c r="AK95" s="1239"/>
      <c r="AL95" s="1239"/>
      <c r="AM95" s="1239"/>
      <c r="AN95" s="455"/>
      <c r="AO95" s="1239"/>
      <c r="AP95" s="1239"/>
      <c r="AQ95" s="484">
        <f>+FL_1($T$96,$T$94,$G$95,1200,9.28, 1*$F$96)</f>
        <v>0.37855025261538461</v>
      </c>
      <c r="AR95" s="638"/>
      <c r="AS95" s="638"/>
      <c r="AT95" s="484"/>
      <c r="AU95" s="638"/>
      <c r="AV95" s="638"/>
      <c r="AW95" s="638"/>
      <c r="AX95" s="638"/>
      <c r="AY95" s="484"/>
      <c r="AZ95" s="484"/>
      <c r="BA95" s="671"/>
      <c r="BB95" s="1239"/>
      <c r="BC95" s="169"/>
      <c r="BD95" s="1330"/>
      <c r="BE95" s="1330"/>
      <c r="BF95" s="1330"/>
      <c r="BG95" s="1330"/>
    </row>
    <row r="96" spans="1:59" ht="15.75" customHeight="1">
      <c r="A96" s="1239"/>
      <c r="B96" s="582" t="s">
        <v>2986</v>
      </c>
      <c r="C96" s="446">
        <f>+$C$94+$G$95</f>
        <v>87027.150000000009</v>
      </c>
      <c r="D96" s="448"/>
      <c r="E96" s="448"/>
      <c r="F96" s="448">
        <v>0</v>
      </c>
      <c r="G96" s="455"/>
      <c r="H96" s="1239" t="s">
        <v>874</v>
      </c>
      <c r="I96" s="448"/>
      <c r="J96" s="446"/>
      <c r="K96" s="638"/>
      <c r="L96" s="1239" t="s">
        <v>821</v>
      </c>
      <c r="M96" s="1239" t="str">
        <f>IF(AX96="PT",VLOOKUP(L96,'Foundation Calculation'!$V$2:$X$40,VLOOKUP(AX96,'Foundation Calculation'!$I$10:$J$13,2,FALSE),0),IF(AX96="K",VLOOKUP(L96,'Foundation Calculation'!$V$42:$X$80,VLOOKUP(AX96,'Foundation Calculation'!$I$10:$J$13,2,FALSE),0),""))</f>
        <v>C7R</v>
      </c>
      <c r="N96" s="1239" t="s">
        <v>144</v>
      </c>
      <c r="O96" s="1239"/>
      <c r="P96" s="1239"/>
      <c r="Q96" s="1239">
        <v>0</v>
      </c>
      <c r="R96" s="1239">
        <v>0</v>
      </c>
      <c r="S96" s="455"/>
      <c r="T96" s="1239">
        <v>35</v>
      </c>
      <c r="U96" s="1239"/>
      <c r="V96" s="1239"/>
      <c r="W96" s="1239">
        <v>1.2</v>
      </c>
      <c r="X96" s="1239"/>
      <c r="Y96" s="1239"/>
      <c r="Z96" s="1239"/>
      <c r="AA96" s="1239"/>
      <c r="AB96" s="1239"/>
      <c r="AC96" s="1239" t="s">
        <v>4090</v>
      </c>
      <c r="AD96" s="1239"/>
      <c r="AE96" s="1239"/>
      <c r="AF96" s="1239">
        <v>6000</v>
      </c>
      <c r="AG96" s="171">
        <v>87027</v>
      </c>
      <c r="AH96" s="1239">
        <v>2633</v>
      </c>
      <c r="AI96" s="1239">
        <v>690</v>
      </c>
      <c r="AJ96" s="1239"/>
      <c r="AK96" s="1239"/>
      <c r="AL96" s="1239" t="s">
        <v>2142</v>
      </c>
      <c r="AM96" s="1239" t="s">
        <v>1042</v>
      </c>
      <c r="AN96" s="455">
        <v>5.5</v>
      </c>
      <c r="AO96" s="1239"/>
      <c r="AP96" s="1239"/>
      <c r="AQ96" s="484"/>
      <c r="AR96" s="638"/>
      <c r="AS96" s="638"/>
      <c r="AT96" s="484">
        <f>+ab($T$96,$T$94,$T$98,$G$95,$G$97, 1*$F$96,1200)</f>
        <v>7.4735199021817165</v>
      </c>
      <c r="AU96" s="638"/>
      <c r="AV96" s="638"/>
      <c r="AW96" s="638" t="str">
        <f>VLOOKUP(C96,'Foundation Calculation'!$A$2:$C$33,3,1)</f>
        <v>Soil B</v>
      </c>
      <c r="AX96" s="638" t="str">
        <f>VLOOKUP(C96,'Foundation Calculation'!$E$2:$G$33,3,1)</f>
        <v>PT</v>
      </c>
      <c r="AY96" s="484">
        <f>IF(AX96="PT",VLOOKUP(L96,'Foundation Calculation'!$K$2:$R$40,VLOOKUP(AW96,'Foundation Calculation'!$I$2:$J$8,2,FALSE),0),IF(AX96="K",VLOOKUP(L96,'Foundation Calculation'!$K$42:$R$80,VLOOKUP(AW96,'Foundation Calculation'!$I$2:$J$8,2,FALSE),0),""))</f>
        <v>3.5</v>
      </c>
      <c r="AZ96" s="484"/>
      <c r="BA96" s="671" t="s">
        <v>2809</v>
      </c>
      <c r="BB96" s="1239" t="str">
        <f>Pole_Calculations!A178</f>
        <v>App.8-V08F-P10.3</v>
      </c>
      <c r="BC96" s="169"/>
      <c r="BD96" s="1371">
        <v>43799</v>
      </c>
      <c r="BE96" s="1371"/>
      <c r="BF96" s="1371"/>
      <c r="BG96" s="1371"/>
    </row>
    <row r="97" spans="1:59" ht="15.75" customHeight="1">
      <c r="A97" s="647" t="s">
        <v>3049</v>
      </c>
      <c r="B97" s="648"/>
      <c r="C97" s="649"/>
      <c r="D97" s="650"/>
      <c r="E97" s="650"/>
      <c r="F97" s="650"/>
      <c r="G97" s="651">
        <v>58</v>
      </c>
      <c r="H97" s="647"/>
      <c r="I97" s="650">
        <f>C112-C96</f>
        <v>463</v>
      </c>
      <c r="J97" s="649"/>
      <c r="K97" s="653"/>
      <c r="L97" s="647"/>
      <c r="M97" s="647"/>
      <c r="N97" s="647"/>
      <c r="O97" s="647"/>
      <c r="P97" s="647"/>
      <c r="Q97" s="647"/>
      <c r="R97" s="647"/>
      <c r="S97" s="651">
        <f t="shared" ref="S97" si="43">AG98-AG96</f>
        <v>58</v>
      </c>
      <c r="T97" s="647"/>
      <c r="U97" s="647"/>
      <c r="V97" s="647"/>
      <c r="W97" s="647"/>
      <c r="X97" s="647"/>
      <c r="Y97" s="647"/>
      <c r="Z97" s="647"/>
      <c r="AA97" s="647"/>
      <c r="AB97" s="647"/>
      <c r="AC97" s="647"/>
      <c r="AD97" s="647"/>
      <c r="AE97" s="647"/>
      <c r="AF97" s="647"/>
      <c r="AG97" s="652"/>
      <c r="AH97" s="647"/>
      <c r="AI97" s="647"/>
      <c r="AJ97" s="647"/>
      <c r="AK97" s="647"/>
      <c r="AL97" s="647"/>
      <c r="AM97" s="647"/>
      <c r="AN97" s="651"/>
      <c r="AO97" s="647"/>
      <c r="AP97" s="647"/>
      <c r="AQ97" s="654">
        <f>+FL_2($T$98,$T$96,$G$97,1200,9.28, 1*$F$98)</f>
        <v>-0.41936333972413792</v>
      </c>
      <c r="AR97" s="653"/>
      <c r="AS97" s="653"/>
      <c r="AT97" s="654"/>
      <c r="AU97" s="653"/>
      <c r="AV97" s="653"/>
      <c r="AW97" s="653"/>
      <c r="AX97" s="653"/>
      <c r="AY97" s="654"/>
      <c r="AZ97" s="654"/>
      <c r="BA97" s="701"/>
      <c r="BB97" s="647"/>
      <c r="BC97" s="169"/>
      <c r="BD97" s="1330"/>
      <c r="BE97" s="1330"/>
      <c r="BF97" s="1330"/>
      <c r="BG97" s="1330"/>
    </row>
    <row r="98" spans="1:59" ht="15.75" customHeight="1">
      <c r="A98" s="1239"/>
      <c r="B98" s="582" t="s">
        <v>2987</v>
      </c>
      <c r="C98" s="446">
        <f>+$C$96+$G$97</f>
        <v>87085.150000000009</v>
      </c>
      <c r="D98" s="448"/>
      <c r="E98" s="448"/>
      <c r="F98" s="448">
        <v>0</v>
      </c>
      <c r="G98" s="455"/>
      <c r="H98" s="1239" t="s">
        <v>873</v>
      </c>
      <c r="I98" s="448"/>
      <c r="J98" s="446"/>
      <c r="K98" s="638"/>
      <c r="L98" s="1239" t="s">
        <v>821</v>
      </c>
      <c r="M98" s="1239" t="str">
        <f>IF(AX98="PT",VLOOKUP(L98,'Foundation Calculation'!$V$2:$X$40,VLOOKUP(AX98,'Foundation Calculation'!$I$10:$J$13,2,FALSE),0),IF(AX98="K",VLOOKUP(L98,'Foundation Calculation'!$V$42:$X$80,VLOOKUP(AX98,'Foundation Calculation'!$I$10:$J$13,2,FALSE),0),""))</f>
        <v>C7R</v>
      </c>
      <c r="N98" s="1239" t="s">
        <v>143</v>
      </c>
      <c r="O98" s="1239"/>
      <c r="P98" s="1239"/>
      <c r="Q98" s="1239">
        <v>0</v>
      </c>
      <c r="R98" s="1239">
        <v>0</v>
      </c>
      <c r="S98" s="455"/>
      <c r="T98" s="1239">
        <v>-35</v>
      </c>
      <c r="U98" s="1239"/>
      <c r="V98" s="1239"/>
      <c r="W98" s="1239">
        <v>1.4</v>
      </c>
      <c r="X98" s="1239"/>
      <c r="Y98" s="1239"/>
      <c r="Z98" s="1239"/>
      <c r="AA98" s="1239"/>
      <c r="AB98" s="1239"/>
      <c r="AC98" s="1239" t="s">
        <v>4090</v>
      </c>
      <c r="AD98" s="1239"/>
      <c r="AE98" s="1239"/>
      <c r="AF98" s="1239">
        <v>6000</v>
      </c>
      <c r="AG98" s="171">
        <v>87085</v>
      </c>
      <c r="AH98" s="1239">
        <v>2433</v>
      </c>
      <c r="AI98" s="1239">
        <v>610</v>
      </c>
      <c r="AJ98" s="1239"/>
      <c r="AK98" s="1239"/>
      <c r="AL98" s="1239" t="s">
        <v>2142</v>
      </c>
      <c r="AM98" s="1239" t="s">
        <v>1042</v>
      </c>
      <c r="AN98" s="455">
        <v>5.5</v>
      </c>
      <c r="AO98" s="1239"/>
      <c r="AP98" s="1239"/>
      <c r="AQ98" s="484"/>
      <c r="AR98" s="638"/>
      <c r="AS98" s="638"/>
      <c r="AT98" s="484">
        <f>+ab($T$98,$T$96,$T$100,$G$97,$G$99, 1*$F$98,1200)</f>
        <v>-8.0315789917579181</v>
      </c>
      <c r="AU98" s="638"/>
      <c r="AV98" s="638"/>
      <c r="AW98" s="638" t="str">
        <f>VLOOKUP(C98,'Foundation Calculation'!$A$2:$C$33,3,1)</f>
        <v>Soil B</v>
      </c>
      <c r="AX98" s="638" t="str">
        <f>VLOOKUP(C98,'Foundation Calculation'!$E$2:$G$33,3,1)</f>
        <v>PT</v>
      </c>
      <c r="AY98" s="484">
        <f>IF(AX98="PT",VLOOKUP(L98,'Foundation Calculation'!$K$2:$R$40,VLOOKUP(AW98,'Foundation Calculation'!$I$2:$J$8,2,FALSE),0),IF(AX98="K",VLOOKUP(L98,'Foundation Calculation'!$K$42:$R$80,VLOOKUP(AW98,'Foundation Calculation'!$I$2:$J$8,2,FALSE),0),""))</f>
        <v>3.5</v>
      </c>
      <c r="AZ98" s="484"/>
      <c r="BA98" s="671" t="s">
        <v>2809</v>
      </c>
      <c r="BB98" s="1239" t="str">
        <f>Pole_Calculations!A178</f>
        <v>App.8-V08F-P10.3</v>
      </c>
      <c r="BC98" s="169"/>
      <c r="BD98" s="1371"/>
      <c r="BE98" s="1371"/>
      <c r="BF98" s="1371"/>
      <c r="BG98" s="1371"/>
    </row>
    <row r="99" spans="1:59" ht="15.75" customHeight="1">
      <c r="A99" s="1239"/>
      <c r="B99" s="447"/>
      <c r="C99" s="446"/>
      <c r="D99" s="448"/>
      <c r="E99" s="448"/>
      <c r="F99" s="448"/>
      <c r="G99" s="455">
        <v>60</v>
      </c>
      <c r="H99" s="1239"/>
      <c r="I99" s="448"/>
      <c r="J99" s="446">
        <f>C98+7.5</f>
        <v>87092.650000000009</v>
      </c>
      <c r="K99" s="638" t="s">
        <v>2788</v>
      </c>
      <c r="L99" s="1239"/>
      <c r="M99" s="1239"/>
      <c r="N99" s="1239"/>
      <c r="O99" s="1239"/>
      <c r="P99" s="1239"/>
      <c r="Q99" s="1239"/>
      <c r="R99" s="1239"/>
      <c r="S99" s="455">
        <f t="shared" ref="S99" si="44">AG100-AG98</f>
        <v>60</v>
      </c>
      <c r="T99" s="1239"/>
      <c r="U99" s="1239"/>
      <c r="V99" s="1239"/>
      <c r="W99" s="1239"/>
      <c r="X99" s="1239"/>
      <c r="Y99" s="1239"/>
      <c r="Z99" s="1239"/>
      <c r="AA99" s="1239"/>
      <c r="AB99" s="1239"/>
      <c r="AC99" s="1239"/>
      <c r="AD99" s="1239"/>
      <c r="AE99" s="1239"/>
      <c r="AF99" s="1239"/>
      <c r="AG99" s="171"/>
      <c r="AH99" s="1239"/>
      <c r="AI99" s="1239"/>
      <c r="AJ99" s="1239"/>
      <c r="AK99" s="1239"/>
      <c r="AL99" s="1239"/>
      <c r="AM99" s="1239"/>
      <c r="AN99" s="455"/>
      <c r="AO99" s="1239"/>
      <c r="AP99" s="1239"/>
      <c r="AQ99" s="484">
        <f>+FL_1($T$100,$T$98,$G$99,1200,9.28, 1*$F$100)</f>
        <v>0.43600286799999999</v>
      </c>
      <c r="AR99" s="638"/>
      <c r="AS99" s="638"/>
      <c r="AT99" s="484"/>
      <c r="AU99" s="638"/>
      <c r="AV99" s="638"/>
      <c r="AW99" s="638" t="str">
        <f>VLOOKUP(J99,'Foundation Calculation'!$A$2:$C$33,3,1)</f>
        <v>Soil B</v>
      </c>
      <c r="AX99" s="638" t="str">
        <f>VLOOKUP(J99,'Foundation Calculation'!$E$2:$G$33,3,1)</f>
        <v>PT</v>
      </c>
      <c r="AY99" s="484"/>
      <c r="AZ99" s="484">
        <f>IF(AX99="PT",VLOOKUP(K99,'Foundation Calculation'!$K$2:$R$40,VLOOKUP(AW99,'Foundation Calculation'!$I$2:$J$8,2,FALSE),0),IF(AX99="K",VLOOKUP(K99,'Foundation Calculation'!$K$42:$R$80,VLOOKUP(AW99,'Foundation Calculation'!$I$2:$J$8,2,FALSE),0),""))</f>
        <v>2.8</v>
      </c>
      <c r="BA99" s="671" t="s">
        <v>2809</v>
      </c>
      <c r="BB99" s="1239"/>
      <c r="BC99" s="169"/>
      <c r="BD99" s="1329"/>
      <c r="BE99" s="1330"/>
      <c r="BF99" s="1330"/>
      <c r="BG99" s="1330"/>
    </row>
    <row r="100" spans="1:59" ht="15.75" customHeight="1">
      <c r="A100" s="1239"/>
      <c r="B100" s="582" t="s">
        <v>2988</v>
      </c>
      <c r="C100" s="446">
        <f>+$C$98+$G$99</f>
        <v>87145.150000000009</v>
      </c>
      <c r="D100" s="448"/>
      <c r="E100" s="448"/>
      <c r="F100" s="448">
        <v>0</v>
      </c>
      <c r="G100" s="455"/>
      <c r="H100" s="1239" t="s">
        <v>873</v>
      </c>
      <c r="I100" s="448"/>
      <c r="J100" s="446"/>
      <c r="K100" s="638"/>
      <c r="L100" s="1239" t="s">
        <v>821</v>
      </c>
      <c r="M100" s="1239" t="str">
        <f>IF(AX100="PT",VLOOKUP(L100,'Foundation Calculation'!$V$2:$X$40,VLOOKUP(AX100,'Foundation Calculation'!$I$10:$J$13,2,FALSE),0),IF(AX100="K",VLOOKUP(L100,'Foundation Calculation'!$V$42:$X$80,VLOOKUP(AX100,'Foundation Calculation'!$I$10:$J$13,2,FALSE),0),""))</f>
        <v>C7R</v>
      </c>
      <c r="N100" s="1239" t="s">
        <v>144</v>
      </c>
      <c r="O100" s="1239"/>
      <c r="P100" s="1239"/>
      <c r="Q100" s="1239">
        <v>0</v>
      </c>
      <c r="R100" s="1239">
        <v>0</v>
      </c>
      <c r="S100" s="455"/>
      <c r="T100" s="1239">
        <v>35</v>
      </c>
      <c r="U100" s="1239"/>
      <c r="V100" s="1239"/>
      <c r="W100" s="1239">
        <v>1.4</v>
      </c>
      <c r="X100" s="1239"/>
      <c r="Y100" s="1239"/>
      <c r="Z100" s="1239"/>
      <c r="AA100" s="1239"/>
      <c r="AB100" s="1239"/>
      <c r="AC100" s="1239" t="s">
        <v>1421</v>
      </c>
      <c r="AD100" s="1239"/>
      <c r="AE100" s="1239"/>
      <c r="AF100" s="1239">
        <v>6000</v>
      </c>
      <c r="AG100" s="171">
        <v>87145</v>
      </c>
      <c r="AH100" s="1239">
        <v>1973</v>
      </c>
      <c r="AI100" s="1239">
        <v>670</v>
      </c>
      <c r="AJ100" s="1239"/>
      <c r="AK100" s="1239"/>
      <c r="AL100" s="1239" t="s">
        <v>2142</v>
      </c>
      <c r="AM100" s="1239" t="s">
        <v>1042</v>
      </c>
      <c r="AN100" s="455">
        <v>5.5</v>
      </c>
      <c r="AO100" s="1239"/>
      <c r="AP100" s="1239"/>
      <c r="AQ100" s="484"/>
      <c r="AR100" s="638"/>
      <c r="AS100" s="638"/>
      <c r="AT100" s="484">
        <f>+ab($T$100,$T$98,$T$102,$G$99,$G$101, 1*$F$100,1200)</f>
        <v>8.3002133012442592</v>
      </c>
      <c r="AU100" s="638"/>
      <c r="AV100" s="638"/>
      <c r="AW100" s="638" t="str">
        <f>VLOOKUP(C100,'Foundation Calculation'!$A$2:$C$33,3,1)</f>
        <v>Soil B</v>
      </c>
      <c r="AX100" s="638" t="str">
        <f>VLOOKUP(C100,'Foundation Calculation'!$E$2:$G$33,3,1)</f>
        <v>PT</v>
      </c>
      <c r="AY100" s="484">
        <f>IF(AX100="PT",VLOOKUP(L100,'Foundation Calculation'!$K$2:$R$40,VLOOKUP(AW100,'Foundation Calculation'!$I$2:$J$8,2,FALSE),0),IF(AX100="K",VLOOKUP(L100,'Foundation Calculation'!$K$42:$R$80,VLOOKUP(AW100,'Foundation Calculation'!$I$2:$J$8,2,FALSE),0),""))</f>
        <v>3.5</v>
      </c>
      <c r="AZ100" s="484"/>
      <c r="BA100" s="671" t="s">
        <v>2809</v>
      </c>
      <c r="BB100" s="1239" t="str">
        <f>Pole_Calculations!A178</f>
        <v>App.8-V08F-P10.3</v>
      </c>
      <c r="BC100" s="169"/>
      <c r="BD100" s="1371">
        <v>43799</v>
      </c>
      <c r="BE100" s="1371"/>
      <c r="BF100" s="1371"/>
      <c r="BG100" s="1371"/>
    </row>
    <row r="101" spans="1:59" ht="12.5">
      <c r="A101" s="1239"/>
      <c r="B101" s="447"/>
      <c r="C101" s="446"/>
      <c r="D101" s="448"/>
      <c r="E101" s="448"/>
      <c r="F101" s="448"/>
      <c r="G101" s="455">
        <v>62</v>
      </c>
      <c r="H101" s="1239"/>
      <c r="I101" s="448"/>
      <c r="J101" s="446">
        <f>C100+7.5</f>
        <v>87152.650000000009</v>
      </c>
      <c r="K101" s="638" t="s">
        <v>2788</v>
      </c>
      <c r="L101" s="1239"/>
      <c r="M101" s="1239"/>
      <c r="N101" s="1239"/>
      <c r="O101" s="1239"/>
      <c r="P101" s="1239"/>
      <c r="Q101" s="1239"/>
      <c r="R101" s="1239"/>
      <c r="S101" s="455">
        <f t="shared" ref="S101" si="45">AG102-AG100</f>
        <v>62</v>
      </c>
      <c r="T101" s="1239"/>
      <c r="U101" s="1239"/>
      <c r="V101" s="1239"/>
      <c r="W101" s="1239"/>
      <c r="X101" s="1239"/>
      <c r="Y101" s="1239"/>
      <c r="Z101" s="1239"/>
      <c r="AA101" s="1239"/>
      <c r="AB101" s="1239"/>
      <c r="AC101" s="1239"/>
      <c r="AD101" s="1239"/>
      <c r="AE101" s="1239"/>
      <c r="AF101" s="1239"/>
      <c r="AG101" s="171"/>
      <c r="AH101" s="1239"/>
      <c r="AI101" s="1239"/>
      <c r="AJ101" s="1239"/>
      <c r="AK101" s="1239"/>
      <c r="AL101" s="1239"/>
      <c r="AM101" s="1239"/>
      <c r="AN101" s="455"/>
      <c r="AO101" s="1239"/>
      <c r="AP101" s="1239"/>
      <c r="AQ101" s="484">
        <f>+FL_2($T$102,$T$100,$G$101,1200,9.28, 1*$F$102)</f>
        <v>-0.45400350967741931</v>
      </c>
      <c r="AR101" s="638"/>
      <c r="AS101" s="638"/>
      <c r="AT101" s="484"/>
      <c r="AU101" s="638"/>
      <c r="AV101" s="638"/>
      <c r="AW101" s="638" t="str">
        <f>VLOOKUP(J101,'Foundation Calculation'!$A$2:$C$33,3,1)</f>
        <v>Soil B</v>
      </c>
      <c r="AX101" s="638" t="str">
        <f>VLOOKUP(J101,'Foundation Calculation'!$E$2:$G$33,3,1)</f>
        <v>PT</v>
      </c>
      <c r="AY101" s="484"/>
      <c r="AZ101" s="484">
        <f>IF(AX101="PT",VLOOKUP(K101,'Foundation Calculation'!$K$2:$R$40,VLOOKUP(AW101,'Foundation Calculation'!$I$2:$J$8,2,FALSE),0),IF(AX101="K",VLOOKUP(K101,'Foundation Calculation'!$K$42:$R$80,VLOOKUP(AW101,'Foundation Calculation'!$I$2:$J$8,2,FALSE),0),""))</f>
        <v>2.8</v>
      </c>
      <c r="BA101" s="671" t="s">
        <v>2809</v>
      </c>
      <c r="BB101" s="1239"/>
      <c r="BC101" s="169"/>
      <c r="BD101" s="1329">
        <v>43799</v>
      </c>
      <c r="BE101" s="1330"/>
      <c r="BF101" s="1330"/>
      <c r="BG101" s="1330"/>
    </row>
    <row r="102" spans="1:59" ht="15.75" customHeight="1">
      <c r="A102" s="1239"/>
      <c r="B102" s="582" t="s">
        <v>2989</v>
      </c>
      <c r="C102" s="446">
        <f>+$C$100+$G$101</f>
        <v>87207.150000000009</v>
      </c>
      <c r="D102" s="448"/>
      <c r="E102" s="448"/>
      <c r="F102" s="448">
        <v>0</v>
      </c>
      <c r="G102" s="455"/>
      <c r="H102" s="1239"/>
      <c r="I102" s="448"/>
      <c r="J102" s="446"/>
      <c r="K102" s="638"/>
      <c r="L102" s="1239" t="s">
        <v>821</v>
      </c>
      <c r="M102" s="1239" t="str">
        <f>IF(AX102="PT",VLOOKUP(L102,'Foundation Calculation'!$V$2:$X$40,VLOOKUP(AX102,'Foundation Calculation'!$I$10:$J$13,2,FALSE),0),IF(AX102="K",VLOOKUP(L102,'Foundation Calculation'!$V$42:$X$80,VLOOKUP(AX102,'Foundation Calculation'!$I$10:$J$13,2,FALSE),0),""))</f>
        <v>C7R</v>
      </c>
      <c r="N102" s="1239" t="s">
        <v>2789</v>
      </c>
      <c r="O102" s="1239"/>
      <c r="P102" s="1239"/>
      <c r="Q102" s="1239">
        <v>0</v>
      </c>
      <c r="R102" s="1239">
        <v>0</v>
      </c>
      <c r="S102" s="455"/>
      <c r="T102" s="1239">
        <v>-35</v>
      </c>
      <c r="U102" s="1239"/>
      <c r="V102" s="1239"/>
      <c r="W102" s="1239">
        <v>1.4</v>
      </c>
      <c r="X102" s="1239"/>
      <c r="Y102" s="1239"/>
      <c r="Z102" s="1239"/>
      <c r="AA102" s="1239"/>
      <c r="AB102" s="1239"/>
      <c r="AC102" s="1239" t="s">
        <v>1421</v>
      </c>
      <c r="AD102" s="1239"/>
      <c r="AE102" s="1239"/>
      <c r="AF102" s="1239">
        <v>6000</v>
      </c>
      <c r="AG102" s="171">
        <v>87207</v>
      </c>
      <c r="AH102" s="1239">
        <v>1803</v>
      </c>
      <c r="AI102" s="1239">
        <v>580</v>
      </c>
      <c r="AJ102" s="1239"/>
      <c r="AK102" s="1239"/>
      <c r="AL102" s="1239" t="s">
        <v>2142</v>
      </c>
      <c r="AM102" s="1239" t="s">
        <v>1042</v>
      </c>
      <c r="AN102" s="455">
        <v>5.5</v>
      </c>
      <c r="AO102" s="1239"/>
      <c r="AP102" s="1239"/>
      <c r="AQ102" s="484"/>
      <c r="AR102" s="638"/>
      <c r="AS102" s="638"/>
      <c r="AT102" s="484">
        <f>+ab($T$102,$T$100,$T$104,$G$101,$G$103, 1*$F$102,1200)</f>
        <v>-8.1592485105872292</v>
      </c>
      <c r="AU102" s="638"/>
      <c r="AV102" s="638"/>
      <c r="AW102" s="638" t="str">
        <f>VLOOKUP(C102,'Foundation Calculation'!$A$2:$C$33,3,1)</f>
        <v>Soil B</v>
      </c>
      <c r="AX102" s="638" t="str">
        <f>VLOOKUP(C102,'Foundation Calculation'!$E$2:$G$33,3,1)</f>
        <v>PT</v>
      </c>
      <c r="AY102" s="484">
        <f>IF(AX102="PT",VLOOKUP(L102,'Foundation Calculation'!$K$2:$R$40,VLOOKUP(AW102,'Foundation Calculation'!$I$2:$J$8,2,FALSE),0),IF(AX102="K",VLOOKUP(L102,'Foundation Calculation'!$K$42:$R$80,VLOOKUP(AW102,'Foundation Calculation'!$I$2:$J$8,2,FALSE),0),""))</f>
        <v>3.5</v>
      </c>
      <c r="AZ102" s="484"/>
      <c r="BA102" s="671" t="s">
        <v>2809</v>
      </c>
      <c r="BB102" s="1239" t="str">
        <f>Pole_Calculations!A178</f>
        <v>App.8-V08F-P10.3</v>
      </c>
      <c r="BC102" s="169"/>
      <c r="BD102" s="1371">
        <v>43799</v>
      </c>
      <c r="BE102" s="1371"/>
      <c r="BF102" s="1371"/>
      <c r="BG102" s="1371"/>
    </row>
    <row r="103" spans="1:59" ht="15.75" customHeight="1">
      <c r="A103" s="1239"/>
      <c r="B103" s="447"/>
      <c r="C103" s="446"/>
      <c r="D103" s="448"/>
      <c r="E103" s="448"/>
      <c r="F103" s="448"/>
      <c r="G103" s="455">
        <v>58</v>
      </c>
      <c r="H103" s="1239"/>
      <c r="I103" s="448"/>
      <c r="J103" s="446">
        <f>C104-7.5</f>
        <v>87257.650000000009</v>
      </c>
      <c r="K103" s="638" t="s">
        <v>2787</v>
      </c>
      <c r="L103" s="1239"/>
      <c r="M103" s="1239"/>
      <c r="N103" s="1239"/>
      <c r="O103" s="1239"/>
      <c r="P103" s="1239"/>
      <c r="Q103" s="1239"/>
      <c r="R103" s="1239"/>
      <c r="S103" s="455">
        <f t="shared" ref="S103" si="46">AG104-AG102</f>
        <v>58</v>
      </c>
      <c r="T103" s="1239"/>
      <c r="U103" s="1239"/>
      <c r="V103" s="1239"/>
      <c r="W103" s="1239"/>
      <c r="X103" s="1239"/>
      <c r="Y103" s="1239"/>
      <c r="Z103" s="1239"/>
      <c r="AA103" s="1239"/>
      <c r="AB103" s="1239"/>
      <c r="AC103" s="1239"/>
      <c r="AD103" s="1239"/>
      <c r="AE103" s="1239"/>
      <c r="AF103" s="1239"/>
      <c r="AG103" s="171"/>
      <c r="AH103" s="1239"/>
      <c r="AI103" s="1239"/>
      <c r="AJ103" s="1239"/>
      <c r="AK103" s="1239"/>
      <c r="AL103" s="1239"/>
      <c r="AM103" s="1239"/>
      <c r="AN103" s="455"/>
      <c r="AO103" s="1239"/>
      <c r="AP103" s="1239"/>
      <c r="AQ103" s="484">
        <f>+FL_1($T$104,$T$102,$G$103,1200,9.28, 1*$F$104)</f>
        <v>0.41936333972413792</v>
      </c>
      <c r="AR103" s="638"/>
      <c r="AS103" s="638"/>
      <c r="AT103" s="484"/>
      <c r="AU103" s="638"/>
      <c r="AV103" s="638"/>
      <c r="AW103" s="638" t="str">
        <f>VLOOKUP(J103,'Foundation Calculation'!$A$2:$C$33,3,1)</f>
        <v>Soil B</v>
      </c>
      <c r="AX103" s="638" t="str">
        <f>VLOOKUP(J103,'Foundation Calculation'!$E$2:$G$33,3,1)</f>
        <v>PT</v>
      </c>
      <c r="AY103" s="484"/>
      <c r="AZ103" s="484">
        <f>IF(AX103="PT",VLOOKUP(K103,'Foundation Calculation'!$K$2:$R$40,VLOOKUP(AW103,'Foundation Calculation'!$I$2:$J$8,2,FALSE),0),IF(AX103="K",VLOOKUP(K103,'Foundation Calculation'!$K$42:$R$80,VLOOKUP(AW103,'Foundation Calculation'!$I$2:$J$8,2,FALSE),0),""))</f>
        <v>3.9</v>
      </c>
      <c r="BA103" s="671" t="s">
        <v>2809</v>
      </c>
      <c r="BB103" s="1239"/>
      <c r="BC103" s="169"/>
      <c r="BD103" s="1329">
        <v>43799</v>
      </c>
      <c r="BE103" s="1330"/>
      <c r="BF103" s="1330"/>
      <c r="BG103" s="1330"/>
    </row>
    <row r="104" spans="1:59" ht="15.75" customHeight="1">
      <c r="A104" s="1239"/>
      <c r="B104" s="582" t="s">
        <v>2990</v>
      </c>
      <c r="C104" s="446">
        <f>+$C$102+$G$103</f>
        <v>87265.150000000009</v>
      </c>
      <c r="D104" s="448"/>
      <c r="E104" s="448"/>
      <c r="F104" s="448">
        <v>0</v>
      </c>
      <c r="G104" s="455"/>
      <c r="H104" s="1239" t="s">
        <v>138</v>
      </c>
      <c r="I104" s="448" t="s">
        <v>623</v>
      </c>
      <c r="J104" s="446"/>
      <c r="K104" s="638"/>
      <c r="L104" s="1239" t="s">
        <v>821</v>
      </c>
      <c r="M104" s="1239" t="str">
        <f>IF(AX104="PT",VLOOKUP(L104,'Foundation Calculation'!$V$2:$X$40,VLOOKUP(AX104,'Foundation Calculation'!$I$10:$J$13,2,FALSE),0),IF(AX104="K",VLOOKUP(L104,'Foundation Calculation'!$V$42:$X$80,VLOOKUP(AX104,'Foundation Calculation'!$I$10:$J$13,2,FALSE),0),""))</f>
        <v>C7R</v>
      </c>
      <c r="N104" s="1239" t="s">
        <v>144</v>
      </c>
      <c r="O104" s="1239"/>
      <c r="P104" s="1239"/>
      <c r="Q104" s="1239">
        <v>0</v>
      </c>
      <c r="R104" s="1239">
        <v>0</v>
      </c>
      <c r="S104" s="455"/>
      <c r="T104" s="1239">
        <v>35</v>
      </c>
      <c r="U104" s="1239"/>
      <c r="V104" s="1239"/>
      <c r="W104" s="1239">
        <v>1.4</v>
      </c>
      <c r="X104" s="1239"/>
      <c r="Y104" s="1239"/>
      <c r="Z104" s="1239"/>
      <c r="AA104" s="1239"/>
      <c r="AB104" s="1239"/>
      <c r="AC104" s="1239" t="s">
        <v>4090</v>
      </c>
      <c r="AD104" s="1239"/>
      <c r="AE104" s="1239"/>
      <c r="AF104" s="1239">
        <v>6000</v>
      </c>
      <c r="AG104" s="171">
        <v>87265</v>
      </c>
      <c r="AH104" s="1239">
        <v>1723</v>
      </c>
      <c r="AI104" s="1239">
        <v>650</v>
      </c>
      <c r="AJ104" s="1239"/>
      <c r="AK104" s="1239"/>
      <c r="AL104" s="1239" t="s">
        <v>2142</v>
      </c>
      <c r="AM104" s="1239" t="s">
        <v>1042</v>
      </c>
      <c r="AN104" s="455">
        <v>5.5</v>
      </c>
      <c r="AO104" s="1239"/>
      <c r="AP104" s="1239"/>
      <c r="AQ104" s="484"/>
      <c r="AR104" s="638"/>
      <c r="AS104" s="638"/>
      <c r="AT104" s="484">
        <f>+ab($T$104,$T$102,$U$105,$G$103,$G$105, 1*$F$104,1200)</f>
        <v>10.298125102119384</v>
      </c>
      <c r="AU104" s="638"/>
      <c r="AV104" s="638"/>
      <c r="AW104" s="638" t="str">
        <f>VLOOKUP(C104,'Foundation Calculation'!$A$2:$C$33,3,1)</f>
        <v>Soil B</v>
      </c>
      <c r="AX104" s="638" t="str">
        <f>VLOOKUP(C104,'Foundation Calculation'!$E$2:$G$33,3,1)</f>
        <v>PT</v>
      </c>
      <c r="AY104" s="484">
        <f>IF(AX104="PT",VLOOKUP(L104,'Foundation Calculation'!$K$2:$R$40,VLOOKUP(AW104,'Foundation Calculation'!$I$2:$J$8,2,FALSE),0),IF(AX104="K",VLOOKUP(L104,'Foundation Calculation'!$K$42:$R$80,VLOOKUP(AW104,'Foundation Calculation'!$I$2:$J$8,2,FALSE),0),""))</f>
        <v>3.5</v>
      </c>
      <c r="AZ104" s="484"/>
      <c r="BA104" s="671" t="s">
        <v>2809</v>
      </c>
      <c r="BB104" s="1239" t="str">
        <f>Pole_Calculations!A178</f>
        <v>App.8-V08F-P10.3</v>
      </c>
      <c r="BC104" s="169"/>
      <c r="BD104" s="1371">
        <v>43799</v>
      </c>
      <c r="BE104" s="1371"/>
      <c r="BF104" s="1371"/>
      <c r="BG104" s="1371"/>
    </row>
    <row r="105" spans="1:59" ht="15.75" customHeight="1">
      <c r="A105" s="1239"/>
      <c r="B105" s="447"/>
      <c r="C105" s="446"/>
      <c r="D105" s="448"/>
      <c r="E105" s="448"/>
      <c r="F105" s="448"/>
      <c r="G105" s="455">
        <v>55</v>
      </c>
      <c r="H105" s="1239"/>
      <c r="I105" s="448"/>
      <c r="J105" s="446">
        <f>C106-7.5</f>
        <v>87312.650000000009</v>
      </c>
      <c r="K105" s="638" t="s">
        <v>2787</v>
      </c>
      <c r="L105" s="1239"/>
      <c r="M105" s="1239"/>
      <c r="N105" s="1239"/>
      <c r="O105" s="1239"/>
      <c r="P105" s="1239"/>
      <c r="Q105" s="1239"/>
      <c r="R105" s="1239"/>
      <c r="S105" s="455">
        <f t="shared" ref="S105" si="47">AG106-AG104</f>
        <v>55</v>
      </c>
      <c r="T105" s="1239"/>
      <c r="U105" s="1239"/>
      <c r="V105" s="1239"/>
      <c r="W105" s="1239"/>
      <c r="X105" s="1239"/>
      <c r="Y105" s="1239"/>
      <c r="Z105" s="1239"/>
      <c r="AA105" s="1239"/>
      <c r="AB105" s="1239"/>
      <c r="AC105" s="1239"/>
      <c r="AD105" s="1239"/>
      <c r="AE105" s="1239"/>
      <c r="AF105" s="1239"/>
      <c r="AG105" s="171"/>
      <c r="AH105" s="1239"/>
      <c r="AI105" s="1239"/>
      <c r="AJ105" s="1239"/>
      <c r="AK105" s="1239"/>
      <c r="AL105" s="1239"/>
      <c r="AM105" s="1239"/>
      <c r="AN105" s="455"/>
      <c r="AO105" s="1239"/>
      <c r="AP105" s="1239"/>
      <c r="AQ105" s="484">
        <f>+FL_1($U$106,$T$104,$G$105,1200,9.28, 1*$F$106)</f>
        <v>0.39714735709090898</v>
      </c>
      <c r="AR105" s="638"/>
      <c r="AS105" s="638"/>
      <c r="AT105" s="484"/>
      <c r="AU105" s="638"/>
      <c r="AV105" s="638"/>
      <c r="AW105" s="638" t="str">
        <f>VLOOKUP(J105,'Foundation Calculation'!$A$2:$C$33,3,1)</f>
        <v>Soil B</v>
      </c>
      <c r="AX105" s="638" t="str">
        <f>VLOOKUP(J105,'Foundation Calculation'!$E$2:$G$33,3,1)</f>
        <v>PT</v>
      </c>
      <c r="AY105" s="484"/>
      <c r="AZ105" s="484">
        <f>IF(AX105="PT",VLOOKUP(K105,'Foundation Calculation'!$K$2:$R$40,VLOOKUP(AW105,'Foundation Calculation'!$I$2:$J$8,2,FALSE),0),IF(AX105="K",VLOOKUP(K105,'Foundation Calculation'!$K$42:$R$80,VLOOKUP(AW105,'Foundation Calculation'!$I$2:$J$8,2,FALSE),0),""))</f>
        <v>3.9</v>
      </c>
      <c r="BA105" s="671" t="s">
        <v>2809</v>
      </c>
      <c r="BB105" s="1239"/>
      <c r="BC105" s="169"/>
      <c r="BD105" s="1329">
        <v>43799</v>
      </c>
      <c r="BE105" s="1330"/>
      <c r="BF105" s="1330"/>
      <c r="BG105" s="1330"/>
    </row>
    <row r="106" spans="1:59" ht="15.75" customHeight="1">
      <c r="A106" s="449"/>
      <c r="B106" s="485" t="s">
        <v>2991</v>
      </c>
      <c r="C106" s="446">
        <f>+$C$104+$G$105</f>
        <v>87320.150000000009</v>
      </c>
      <c r="D106" s="638"/>
      <c r="E106" s="638"/>
      <c r="F106" s="448">
        <v>0</v>
      </c>
      <c r="G106" s="484"/>
      <c r="H106" s="1239" t="s">
        <v>2128</v>
      </c>
      <c r="I106" s="448" t="s">
        <v>623</v>
      </c>
      <c r="J106" s="446"/>
      <c r="K106" s="638"/>
      <c r="L106" s="1239" t="s">
        <v>821</v>
      </c>
      <c r="M106" s="1239" t="str">
        <f>IF(AX106="PT",VLOOKUP(L106,'Foundation Calculation'!$V$2:$X$40,VLOOKUP(AX106,'Foundation Calculation'!$I$10:$J$13,2,FALSE),0),IF(AX106="K",VLOOKUP(L106,'Foundation Calculation'!$V$42:$X$80,VLOOKUP(AX106,'Foundation Calculation'!$I$10:$J$13,2,FALSE),0),""))</f>
        <v>C7R</v>
      </c>
      <c r="N106" s="638" t="s">
        <v>140</v>
      </c>
      <c r="O106" s="638" t="s">
        <v>143</v>
      </c>
      <c r="P106" s="638"/>
      <c r="Q106" s="638">
        <v>0</v>
      </c>
      <c r="R106" s="638">
        <v>0</v>
      </c>
      <c r="S106" s="484"/>
      <c r="T106" s="638">
        <v>15</v>
      </c>
      <c r="U106" s="638">
        <v>-35</v>
      </c>
      <c r="V106" s="638"/>
      <c r="W106" s="638">
        <v>1.4</v>
      </c>
      <c r="X106" s="638">
        <v>2.2999999999999998</v>
      </c>
      <c r="Y106" s="638"/>
      <c r="Z106" s="638">
        <v>0.6</v>
      </c>
      <c r="AA106" s="638"/>
      <c r="AB106" s="638"/>
      <c r="AC106" s="638" t="s">
        <v>1417</v>
      </c>
      <c r="AD106" s="638"/>
      <c r="AE106" s="638"/>
      <c r="AF106" s="638">
        <v>6000</v>
      </c>
      <c r="AG106" s="446">
        <v>87320</v>
      </c>
      <c r="AH106" s="638">
        <v>1823</v>
      </c>
      <c r="AI106" s="638">
        <v>660</v>
      </c>
      <c r="AJ106" s="638"/>
      <c r="AK106" s="638"/>
      <c r="AL106" s="1239" t="s">
        <v>2142</v>
      </c>
      <c r="AM106" s="1239" t="s">
        <v>1042</v>
      </c>
      <c r="AN106" s="455">
        <v>5.5</v>
      </c>
      <c r="AO106" s="1239"/>
      <c r="AP106" s="1239"/>
      <c r="AQ106" s="484"/>
      <c r="AR106" s="638"/>
      <c r="AS106" s="638"/>
      <c r="AT106" s="484">
        <f>+ab($U$106,$T$104,$U$108,$G$105,$G$107, 1*$F$106,1200)</f>
        <v>-8.3829626585540495</v>
      </c>
      <c r="AU106" s="638"/>
      <c r="AV106" s="638"/>
      <c r="AW106" s="638" t="str">
        <f>VLOOKUP(C106,'Foundation Calculation'!$A$2:$C$33,3,1)</f>
        <v>Soil B</v>
      </c>
      <c r="AX106" s="638" t="str">
        <f>VLOOKUP(C106,'Foundation Calculation'!$E$2:$G$33,3,1)</f>
        <v>PT</v>
      </c>
      <c r="AY106" s="484">
        <f>IF(AX106="PT",VLOOKUP(L106,'Foundation Calculation'!$K$2:$R$40,VLOOKUP(AW106,'Foundation Calculation'!$I$2:$J$8,2,FALSE),0),IF(AX106="K",VLOOKUP(L106,'Foundation Calculation'!$K$42:$R$80,VLOOKUP(AW106,'Foundation Calculation'!$I$2:$J$8,2,FALSE),0),""))</f>
        <v>3.5</v>
      </c>
      <c r="AZ106" s="484"/>
      <c r="BA106" s="671" t="s">
        <v>2809</v>
      </c>
      <c r="BB106" s="449" t="str">
        <f>Pole_Calculations!A178</f>
        <v>App.8-V08F-P10.3</v>
      </c>
      <c r="BC106" s="169"/>
      <c r="BD106" s="1371">
        <v>43799</v>
      </c>
      <c r="BE106" s="1371"/>
      <c r="BF106" s="1371"/>
      <c r="BG106" s="1371"/>
    </row>
    <row r="107" spans="1:59" ht="15.75" customHeight="1">
      <c r="A107" s="449"/>
      <c r="B107" s="445"/>
      <c r="C107" s="446"/>
      <c r="D107" s="638"/>
      <c r="E107" s="638"/>
      <c r="F107" s="448"/>
      <c r="G107" s="484">
        <v>50</v>
      </c>
      <c r="H107" s="1239"/>
      <c r="I107" s="448"/>
      <c r="J107" s="446"/>
      <c r="K107" s="638"/>
      <c r="L107" s="638"/>
      <c r="M107" s="638"/>
      <c r="N107" s="638"/>
      <c r="O107" s="638"/>
      <c r="P107" s="638"/>
      <c r="Q107" s="638"/>
      <c r="R107" s="638"/>
      <c r="S107" s="484">
        <f t="shared" ref="S107" si="48">AG108-AG106</f>
        <v>50</v>
      </c>
      <c r="T107" s="638"/>
      <c r="U107" s="638"/>
      <c r="V107" s="638"/>
      <c r="W107" s="638"/>
      <c r="X107" s="638"/>
      <c r="Y107" s="638"/>
      <c r="Z107" s="638"/>
      <c r="AA107" s="638"/>
      <c r="AB107" s="638"/>
      <c r="AC107" s="638"/>
      <c r="AD107" s="638"/>
      <c r="AE107" s="638"/>
      <c r="AF107" s="638"/>
      <c r="AG107" s="446"/>
      <c r="AH107" s="638"/>
      <c r="AI107" s="638"/>
      <c r="AJ107" s="638"/>
      <c r="AK107" s="638"/>
      <c r="AL107" s="1239"/>
      <c r="AM107" s="638"/>
      <c r="AN107" s="455"/>
      <c r="AO107" s="1239"/>
      <c r="AP107" s="1239"/>
      <c r="AQ107" s="484">
        <f>+FL_1($U$108,$U$106,$G$107,1200,9.28, 1*$F$108)</f>
        <v>0.20632183866666665</v>
      </c>
      <c r="AR107" s="638"/>
      <c r="AS107" s="638"/>
      <c r="AT107" s="484"/>
      <c r="AU107" s="638"/>
      <c r="AV107" s="638"/>
      <c r="AW107" s="638"/>
      <c r="AX107" s="638"/>
      <c r="AY107" s="484"/>
      <c r="AZ107" s="484"/>
      <c r="BA107" s="671"/>
      <c r="BB107" s="449"/>
      <c r="BC107" s="169"/>
      <c r="BD107" s="1330"/>
      <c r="BE107" s="1330"/>
      <c r="BF107" s="1330"/>
      <c r="BG107" s="1330"/>
    </row>
    <row r="108" spans="1:59" ht="15.75" customHeight="1">
      <c r="A108" s="449"/>
      <c r="B108" s="485" t="s">
        <v>2992</v>
      </c>
      <c r="C108" s="446">
        <f>+$C$106+$G$107</f>
        <v>87370.150000000009</v>
      </c>
      <c r="D108" s="638"/>
      <c r="E108" s="638"/>
      <c r="F108" s="448">
        <v>0</v>
      </c>
      <c r="G108" s="484"/>
      <c r="H108" s="1239" t="s">
        <v>619</v>
      </c>
      <c r="I108" s="448"/>
      <c r="J108" s="446"/>
      <c r="K108" s="638"/>
      <c r="L108" s="1239" t="s">
        <v>821</v>
      </c>
      <c r="M108" s="1239" t="str">
        <f>IF(AX108="PT",VLOOKUP(L108,'Foundation Calculation'!$V$2:$X$40,VLOOKUP(AX108,'Foundation Calculation'!$I$10:$J$13,2,FALSE),0),IF(AX108="K",VLOOKUP(L108,'Foundation Calculation'!$V$42:$X$80,VLOOKUP(AX108,'Foundation Calculation'!$I$10:$J$13,2,FALSE),0),""))</f>
        <v>C7R</v>
      </c>
      <c r="N108" s="638" t="s">
        <v>140</v>
      </c>
      <c r="O108" s="638" t="s">
        <v>144</v>
      </c>
      <c r="P108" s="638"/>
      <c r="Q108" s="638">
        <v>0</v>
      </c>
      <c r="R108" s="638">
        <v>0</v>
      </c>
      <c r="S108" s="484"/>
      <c r="T108" s="638">
        <v>35</v>
      </c>
      <c r="U108" s="638">
        <v>15</v>
      </c>
      <c r="V108" s="638"/>
      <c r="W108" s="638">
        <v>1.4</v>
      </c>
      <c r="X108" s="638">
        <v>2.2999999999999998</v>
      </c>
      <c r="Y108" s="638"/>
      <c r="Z108" s="638">
        <v>0.6</v>
      </c>
      <c r="AA108" s="638"/>
      <c r="AB108" s="638"/>
      <c r="AC108" s="638" t="s">
        <v>1421</v>
      </c>
      <c r="AD108" s="638"/>
      <c r="AE108" s="638"/>
      <c r="AF108" s="638">
        <v>6000</v>
      </c>
      <c r="AG108" s="446">
        <v>87370</v>
      </c>
      <c r="AH108" s="638">
        <v>1723</v>
      </c>
      <c r="AI108" s="638">
        <v>660</v>
      </c>
      <c r="AJ108" s="638"/>
      <c r="AK108" s="638"/>
      <c r="AL108" s="1239" t="s">
        <v>2142</v>
      </c>
      <c r="AM108" s="1239" t="s">
        <v>1042</v>
      </c>
      <c r="AN108" s="455">
        <v>5.5</v>
      </c>
      <c r="AO108" s="1239"/>
      <c r="AP108" s="1239"/>
      <c r="AQ108" s="484"/>
      <c r="AR108" s="638"/>
      <c r="AS108" s="638"/>
      <c r="AT108" s="484">
        <f>+ab($U$108,$U$106,$U$110,$G$107,$G$109, 1*$F$108,1200)</f>
        <v>10.352683854102443</v>
      </c>
      <c r="AU108" s="638"/>
      <c r="AV108" s="638"/>
      <c r="AW108" s="638" t="str">
        <f>VLOOKUP(C108,'Foundation Calculation'!$A$2:$C$33,3,1)</f>
        <v>Soil B</v>
      </c>
      <c r="AX108" s="638" t="str">
        <f>VLOOKUP(C108,'Foundation Calculation'!$E$2:$G$33,3,1)</f>
        <v>PT</v>
      </c>
      <c r="AY108" s="484">
        <f>IF(AX108="PT",VLOOKUP(L108,'Foundation Calculation'!$K$2:$R$40,VLOOKUP(AW108,'Foundation Calculation'!$I$2:$J$8,2,FALSE),0),IF(AX108="K",VLOOKUP(L108,'Foundation Calculation'!$K$42:$R$80,VLOOKUP(AW108,'Foundation Calculation'!$I$2:$J$8,2,FALSE),0),""))</f>
        <v>3.5</v>
      </c>
      <c r="AZ108" s="484"/>
      <c r="BA108" s="671" t="s">
        <v>2809</v>
      </c>
      <c r="BB108" s="449" t="str">
        <f>Pole_Calculations!A178</f>
        <v>App.8-V08F-P10.3</v>
      </c>
      <c r="BC108" s="169"/>
      <c r="BD108" s="1371">
        <v>43799</v>
      </c>
      <c r="BE108" s="1371"/>
      <c r="BF108" s="1371"/>
      <c r="BG108" s="1371"/>
    </row>
    <row r="109" spans="1:59" ht="15.75" customHeight="1">
      <c r="A109" s="449"/>
      <c r="B109" s="445"/>
      <c r="C109" s="446"/>
      <c r="D109" s="638"/>
      <c r="E109" s="638"/>
      <c r="F109" s="448"/>
      <c r="G109" s="484">
        <v>60</v>
      </c>
      <c r="H109" s="1239"/>
      <c r="I109" s="448"/>
      <c r="J109" s="446">
        <f>C110-7.5</f>
        <v>87422.650000000009</v>
      </c>
      <c r="K109" s="638" t="s">
        <v>2788</v>
      </c>
      <c r="L109" s="638"/>
      <c r="M109" s="638"/>
      <c r="N109" s="638"/>
      <c r="O109" s="638"/>
      <c r="P109" s="638"/>
      <c r="Q109" s="638"/>
      <c r="R109" s="638"/>
      <c r="S109" s="484">
        <f t="shared" ref="S109" si="49">AG110-AG108</f>
        <v>60</v>
      </c>
      <c r="T109" s="638"/>
      <c r="U109" s="638"/>
      <c r="V109" s="638"/>
      <c r="W109" s="638"/>
      <c r="X109" s="638"/>
      <c r="Y109" s="638"/>
      <c r="Z109" s="638"/>
      <c r="AA109" s="638"/>
      <c r="AB109" s="638"/>
      <c r="AC109" s="638"/>
      <c r="AD109" s="638"/>
      <c r="AE109" s="638"/>
      <c r="AF109" s="638"/>
      <c r="AG109" s="446"/>
      <c r="AH109" s="638"/>
      <c r="AI109" s="638"/>
      <c r="AJ109" s="638"/>
      <c r="AK109" s="638"/>
      <c r="AL109" s="638"/>
      <c r="AM109" s="638"/>
      <c r="AN109" s="455"/>
      <c r="AO109" s="1239"/>
      <c r="AP109" s="1239"/>
      <c r="AQ109" s="484">
        <f>+FL_2($U$110,$U$108,$G$109,1200,9.28, 1*$F$110)</f>
        <v>-0.49289941866666664</v>
      </c>
      <c r="AR109" s="638"/>
      <c r="AS109" s="638"/>
      <c r="AT109" s="484"/>
      <c r="AU109" s="638"/>
      <c r="AV109" s="638"/>
      <c r="AW109" s="638" t="str">
        <f>VLOOKUP(J109,'Foundation Calculation'!$A$2:$C$33,3,1)</f>
        <v>Soil B</v>
      </c>
      <c r="AX109" s="638" t="str">
        <f>VLOOKUP(J109,'Foundation Calculation'!$E$2:$G$33,3,1)</f>
        <v>PT</v>
      </c>
      <c r="AY109" s="484"/>
      <c r="AZ109" s="484">
        <f>IF(AX109="PT",VLOOKUP(K109,'Foundation Calculation'!$K$2:$R$40,VLOOKUP(AW109,'Foundation Calculation'!$I$2:$J$8,2,FALSE),0),IF(AX109="K",VLOOKUP(K109,'Foundation Calculation'!$K$42:$R$80,VLOOKUP(AW109,'Foundation Calculation'!$I$2:$J$8,2,FALSE),0),""))</f>
        <v>2.8</v>
      </c>
      <c r="BA109" s="671" t="s">
        <v>2809</v>
      </c>
      <c r="BB109" s="449"/>
      <c r="BC109" s="169"/>
      <c r="BD109" s="1329">
        <v>43799</v>
      </c>
      <c r="BE109" s="1330"/>
      <c r="BF109" s="1330"/>
      <c r="BG109" s="1330"/>
    </row>
    <row r="110" spans="1:59" ht="12.5">
      <c r="A110" s="449"/>
      <c r="B110" s="485" t="s">
        <v>2993</v>
      </c>
      <c r="C110" s="446">
        <f>+$C$108+$G$109</f>
        <v>87430.150000000009</v>
      </c>
      <c r="D110" s="638"/>
      <c r="E110" s="638"/>
      <c r="F110" s="448">
        <v>0</v>
      </c>
      <c r="G110" s="484"/>
      <c r="H110" s="1239" t="s">
        <v>619</v>
      </c>
      <c r="I110" s="702" t="s">
        <v>3280</v>
      </c>
      <c r="J110" s="446"/>
      <c r="K110" s="638"/>
      <c r="L110" s="1239" t="s">
        <v>821</v>
      </c>
      <c r="M110" s="1239" t="str">
        <f>IF(AX110="PT",VLOOKUP(L110,'Foundation Calculation'!$V$2:$X$40,VLOOKUP(AX110,'Foundation Calculation'!$I$10:$J$13,2,FALSE),0),IF(AX110="K",VLOOKUP(L110,'Foundation Calculation'!$V$42:$X$80,VLOOKUP(AX110,'Foundation Calculation'!$I$10:$J$13,2,FALSE),0),""))</f>
        <v>C7R</v>
      </c>
      <c r="N110" s="638" t="s">
        <v>2789</v>
      </c>
      <c r="O110" s="638" t="s">
        <v>140</v>
      </c>
      <c r="P110" s="638"/>
      <c r="Q110" s="638">
        <v>0</v>
      </c>
      <c r="R110" s="638">
        <v>0</v>
      </c>
      <c r="S110" s="484"/>
      <c r="T110" s="638">
        <v>-15</v>
      </c>
      <c r="U110" s="638">
        <v>-35</v>
      </c>
      <c r="V110" s="638"/>
      <c r="W110" s="638">
        <v>1.4</v>
      </c>
      <c r="X110" s="638">
        <v>2.2999999999999998</v>
      </c>
      <c r="Y110" s="638"/>
      <c r="Z110" s="638"/>
      <c r="AA110" s="638">
        <v>0.6</v>
      </c>
      <c r="AB110" s="638"/>
      <c r="AC110" s="638" t="s">
        <v>1421</v>
      </c>
      <c r="AD110" s="638"/>
      <c r="AE110" s="638"/>
      <c r="AF110" s="638">
        <v>6000</v>
      </c>
      <c r="AG110" s="446">
        <v>87430</v>
      </c>
      <c r="AH110" s="638">
        <v>1823</v>
      </c>
      <c r="AI110" s="638">
        <v>660</v>
      </c>
      <c r="AJ110" s="638"/>
      <c r="AK110" s="638"/>
      <c r="AL110" s="1239" t="s">
        <v>2142</v>
      </c>
      <c r="AM110" s="1239" t="s">
        <v>1042</v>
      </c>
      <c r="AN110" s="455">
        <v>5.5</v>
      </c>
      <c r="AO110" s="1239"/>
      <c r="AP110" s="1239"/>
      <c r="AQ110" s="484"/>
      <c r="AR110" s="638"/>
      <c r="AS110" s="638"/>
      <c r="AT110" s="484">
        <f>+ab($T$110,$T$108,$T$112,$G$109,$G$111, 1*$F$110,1200)</f>
        <v>-11.362273660793893</v>
      </c>
      <c r="AU110" s="638"/>
      <c r="AV110" s="638"/>
      <c r="AW110" s="638" t="str">
        <f>VLOOKUP(C110,'Foundation Calculation'!$A$2:$C$33,3,1)</f>
        <v>Soil B</v>
      </c>
      <c r="AX110" s="638" t="str">
        <f>VLOOKUP(C110,'Foundation Calculation'!$E$2:$G$33,3,1)</f>
        <v>PT</v>
      </c>
      <c r="AY110" s="484">
        <f>IF(AX110="PT",VLOOKUP(L110,'Foundation Calculation'!$K$2:$R$40,VLOOKUP(AW110,'Foundation Calculation'!$I$2:$J$8,2,FALSE),0),IF(AX110="K",VLOOKUP(L110,'Foundation Calculation'!$K$42:$R$80,VLOOKUP(AW110,'Foundation Calculation'!$I$2:$J$8,2,FALSE),0),""))</f>
        <v>3.5</v>
      </c>
      <c r="AZ110" s="484"/>
      <c r="BA110" s="671" t="s">
        <v>2809</v>
      </c>
      <c r="BB110" s="449" t="str">
        <f>Pole_Calculations!A178</f>
        <v>App.8-V08F-P10.3</v>
      </c>
      <c r="BC110" s="169"/>
      <c r="BD110" s="1371">
        <v>43799</v>
      </c>
      <c r="BE110" s="1371"/>
      <c r="BF110" s="1371"/>
      <c r="BG110" s="1371"/>
    </row>
    <row r="111" spans="1:59" ht="15.75" customHeight="1">
      <c r="A111" s="449"/>
      <c r="B111" s="445"/>
      <c r="C111" s="446"/>
      <c r="D111" s="638"/>
      <c r="E111" s="638"/>
      <c r="F111" s="448"/>
      <c r="G111" s="484">
        <v>60</v>
      </c>
      <c r="H111" s="1239"/>
      <c r="I111" s="448"/>
      <c r="J111" s="446">
        <f>C110+7.5</f>
        <v>87437.650000000009</v>
      </c>
      <c r="K111" s="638" t="s">
        <v>2788</v>
      </c>
      <c r="L111" s="638"/>
      <c r="M111" s="638"/>
      <c r="N111" s="638"/>
      <c r="O111" s="638"/>
      <c r="P111" s="638"/>
      <c r="Q111" s="638"/>
      <c r="R111" s="638"/>
      <c r="S111" s="484">
        <f t="shared" ref="S111" si="50">AG112-AG110</f>
        <v>60</v>
      </c>
      <c r="T111" s="638"/>
      <c r="U111" s="638"/>
      <c r="V111" s="638"/>
      <c r="W111" s="638"/>
      <c r="X111" s="638"/>
      <c r="Y111" s="638"/>
      <c r="Z111" s="638"/>
      <c r="AA111" s="638"/>
      <c r="AB111" s="638"/>
      <c r="AC111" s="638"/>
      <c r="AD111" s="638"/>
      <c r="AE111" s="638"/>
      <c r="AF111" s="638"/>
      <c r="AG111" s="446"/>
      <c r="AH111" s="638"/>
      <c r="AI111" s="638"/>
      <c r="AJ111" s="638"/>
      <c r="AK111" s="638"/>
      <c r="AL111" s="638"/>
      <c r="AM111" s="638"/>
      <c r="AN111" s="455"/>
      <c r="AO111" s="1239"/>
      <c r="AP111" s="1239"/>
      <c r="AQ111" s="484">
        <f>+FL_1($T$112,$T$110,$G$111,1200,9.28, 1*$F$112)</f>
        <v>0.49289941866666664</v>
      </c>
      <c r="AR111" s="638"/>
      <c r="AS111" s="638"/>
      <c r="AT111" s="484"/>
      <c r="AU111" s="638"/>
      <c r="AV111" s="638"/>
      <c r="AW111" s="638" t="str">
        <f>VLOOKUP(J111,'Foundation Calculation'!$A$2:$C$33,3,1)</f>
        <v>Soil B</v>
      </c>
      <c r="AX111" s="638" t="str">
        <f>VLOOKUP(J111,'Foundation Calculation'!$E$2:$G$33,3,1)</f>
        <v>PT</v>
      </c>
      <c r="AY111" s="484"/>
      <c r="AZ111" s="484">
        <f>IF(AX111="PT",VLOOKUP(K111,'Foundation Calculation'!$K$2:$R$40,VLOOKUP(AW111,'Foundation Calculation'!$I$2:$J$8,2,FALSE),0),IF(AX111="K",VLOOKUP(K111,'Foundation Calculation'!$K$42:$R$80,VLOOKUP(AW111,'Foundation Calculation'!$I$2:$J$8,2,FALSE),0),""))</f>
        <v>2.8</v>
      </c>
      <c r="BA111" s="671" t="s">
        <v>2809</v>
      </c>
      <c r="BB111" s="449"/>
      <c r="BC111" s="169"/>
      <c r="BD111" s="1329">
        <v>43799</v>
      </c>
      <c r="BE111" s="1330"/>
      <c r="BF111" s="1330"/>
      <c r="BG111" s="1330"/>
    </row>
    <row r="112" spans="1:59" ht="12.5">
      <c r="A112" s="449"/>
      <c r="B112" s="485" t="s">
        <v>2994</v>
      </c>
      <c r="C112" s="446">
        <f>+$C$110+$G$111</f>
        <v>87490.150000000009</v>
      </c>
      <c r="D112" s="638"/>
      <c r="E112" s="638"/>
      <c r="F112" s="448">
        <v>0</v>
      </c>
      <c r="G112" s="484"/>
      <c r="H112" s="1239" t="s">
        <v>2128</v>
      </c>
      <c r="I112" s="448" t="s">
        <v>623</v>
      </c>
      <c r="J112" s="446"/>
      <c r="K112" s="638"/>
      <c r="L112" s="1239" t="s">
        <v>821</v>
      </c>
      <c r="M112" s="1239" t="str">
        <f>IF(AX112="PT",VLOOKUP(L112,'Foundation Calculation'!$V$2:$X$40,VLOOKUP(AX112,'Foundation Calculation'!$I$10:$J$13,2,FALSE),0),IF(AX112="K",VLOOKUP(L112,'Foundation Calculation'!$V$42:$X$80,VLOOKUP(AX112,'Foundation Calculation'!$I$10:$J$13,2,FALSE),0),""))</f>
        <v>C7R</v>
      </c>
      <c r="N112" s="638" t="s">
        <v>144</v>
      </c>
      <c r="O112" s="638" t="s">
        <v>140</v>
      </c>
      <c r="P112" s="638"/>
      <c r="Q112" s="638">
        <v>0</v>
      </c>
      <c r="R112" s="638">
        <v>0</v>
      </c>
      <c r="S112" s="484"/>
      <c r="T112" s="638">
        <v>35</v>
      </c>
      <c r="U112" s="638">
        <v>55</v>
      </c>
      <c r="V112" s="638"/>
      <c r="W112" s="638">
        <v>2.2999999999999998</v>
      </c>
      <c r="X112" s="638">
        <v>1.4</v>
      </c>
      <c r="Y112" s="638"/>
      <c r="Z112" s="638"/>
      <c r="AA112" s="638">
        <v>0.6</v>
      </c>
      <c r="AB112" s="638"/>
      <c r="AC112" s="638" t="s">
        <v>4090</v>
      </c>
      <c r="AD112" s="638"/>
      <c r="AE112" s="638"/>
      <c r="AF112" s="638">
        <v>6000</v>
      </c>
      <c r="AG112" s="446">
        <v>87490</v>
      </c>
      <c r="AH112" s="638">
        <v>1923</v>
      </c>
      <c r="AI112" s="638">
        <v>680</v>
      </c>
      <c r="AJ112" s="638"/>
      <c r="AK112" s="638"/>
      <c r="AL112" s="1239" t="s">
        <v>2142</v>
      </c>
      <c r="AM112" s="1239" t="s">
        <v>1042</v>
      </c>
      <c r="AN112" s="455">
        <v>5.5</v>
      </c>
      <c r="AO112" s="1239"/>
      <c r="AP112" s="1239"/>
      <c r="AQ112" s="484"/>
      <c r="AR112" s="638"/>
      <c r="AS112" s="638"/>
      <c r="AT112" s="484">
        <f>+ab($T$112,$T$110,$T$114,$G$111,$G$113, 1*$F$112,1200)</f>
        <v>9.5063995410137085</v>
      </c>
      <c r="AU112" s="638"/>
      <c r="AV112" s="638"/>
      <c r="AW112" s="638" t="str">
        <f>VLOOKUP(C112,'Foundation Calculation'!$A$2:$C$33,3,1)</f>
        <v>Soil B</v>
      </c>
      <c r="AX112" s="638" t="str">
        <f>VLOOKUP(C112,'Foundation Calculation'!$E$2:$G$33,3,1)</f>
        <v>PT</v>
      </c>
      <c r="AY112" s="484">
        <f>IF(AX112="PT",VLOOKUP(L112,'Foundation Calculation'!$K$2:$R$40,VLOOKUP(AW112,'Foundation Calculation'!$I$2:$J$8,2,FALSE),0),IF(AX112="K",VLOOKUP(L112,'Foundation Calculation'!$K$42:$R$80,VLOOKUP(AW112,'Foundation Calculation'!$I$2:$J$8,2,FALSE),0),""))</f>
        <v>3.5</v>
      </c>
      <c r="AZ112" s="484"/>
      <c r="BA112" s="671" t="s">
        <v>2809</v>
      </c>
      <c r="BB112" s="449" t="str">
        <f>Pole_Calculations!A178</f>
        <v>App.8-V08F-P10.3</v>
      </c>
      <c r="BC112" s="169"/>
      <c r="BD112" s="1371">
        <v>43799</v>
      </c>
      <c r="BE112" s="1371"/>
      <c r="BF112" s="1371"/>
      <c r="BG112" s="1371"/>
    </row>
    <row r="113" spans="1:59" ht="15.75" customHeight="1">
      <c r="A113" s="446"/>
      <c r="B113" s="446"/>
      <c r="C113" s="446"/>
      <c r="D113" s="638"/>
      <c r="E113" s="638"/>
      <c r="F113" s="448"/>
      <c r="G113" s="484">
        <v>60</v>
      </c>
      <c r="H113" s="1239"/>
      <c r="I113" s="448"/>
      <c r="J113" s="446">
        <f>C112+7.5</f>
        <v>87497.650000000009</v>
      </c>
      <c r="K113" s="638" t="s">
        <v>2787</v>
      </c>
      <c r="L113" s="638"/>
      <c r="M113" s="638"/>
      <c r="N113" s="638"/>
      <c r="O113" s="638"/>
      <c r="P113" s="638"/>
      <c r="Q113" s="638"/>
      <c r="R113" s="638"/>
      <c r="S113" s="484">
        <f t="shared" ref="S113" si="51">AG114-AG112</f>
        <v>60</v>
      </c>
      <c r="T113" s="638"/>
      <c r="U113" s="638"/>
      <c r="V113" s="638"/>
      <c r="W113" s="638"/>
      <c r="X113" s="638"/>
      <c r="Y113" s="638"/>
      <c r="Z113" s="638"/>
      <c r="AA113" s="638"/>
      <c r="AB113" s="638"/>
      <c r="AC113" s="638"/>
      <c r="AD113" s="638"/>
      <c r="AE113" s="638"/>
      <c r="AF113" s="638"/>
      <c r="AG113" s="446"/>
      <c r="AH113" s="638"/>
      <c r="AI113" s="638"/>
      <c r="AJ113" s="638"/>
      <c r="AK113" s="638"/>
      <c r="AL113" s="638"/>
      <c r="AM113" s="638"/>
      <c r="AN113" s="455"/>
      <c r="AO113" s="1239"/>
      <c r="AP113" s="1239"/>
      <c r="AQ113" s="484">
        <f>+FL_2($T$114,$T$112,$G$113,1200,9.28, 1*$F$114)</f>
        <v>-0.43600286799999999</v>
      </c>
      <c r="AR113" s="638"/>
      <c r="AS113" s="638"/>
      <c r="AT113" s="484"/>
      <c r="AU113" s="638"/>
      <c r="AV113" s="638"/>
      <c r="AW113" s="638" t="str">
        <f>VLOOKUP(J113,'Foundation Calculation'!$A$2:$C$33,3,1)</f>
        <v>Soil B</v>
      </c>
      <c r="AX113" s="638" t="str">
        <f>VLOOKUP(J113,'Foundation Calculation'!$E$2:$G$33,3,1)</f>
        <v>PT</v>
      </c>
      <c r="AY113" s="484"/>
      <c r="AZ113" s="484">
        <f>IF(AX113="PT",VLOOKUP(K113,'Foundation Calculation'!$K$2:$R$40,VLOOKUP(AW113,'Foundation Calculation'!$I$2:$J$8,2,FALSE),0),IF(AX113="K",VLOOKUP(K113,'Foundation Calculation'!$K$42:$R$80,VLOOKUP(AW113,'Foundation Calculation'!$I$2:$J$8,2,FALSE),0),""))</f>
        <v>3.9</v>
      </c>
      <c r="BA113" s="671" t="s">
        <v>2809</v>
      </c>
      <c r="BB113" s="446"/>
      <c r="BC113" s="169"/>
      <c r="BD113" s="1329">
        <v>43799</v>
      </c>
      <c r="BE113" s="1330"/>
      <c r="BF113" s="1330"/>
      <c r="BG113" s="1330"/>
    </row>
    <row r="114" spans="1:59" ht="15.75" customHeight="1">
      <c r="A114" s="447"/>
      <c r="B114" s="582" t="s">
        <v>2995</v>
      </c>
      <c r="C114" s="446">
        <f>+$C$112+$G$113</f>
        <v>87550.150000000009</v>
      </c>
      <c r="D114" s="447"/>
      <c r="E114" s="447"/>
      <c r="F114" s="448">
        <v>0</v>
      </c>
      <c r="G114" s="484"/>
      <c r="H114" s="1239" t="s">
        <v>138</v>
      </c>
      <c r="I114" s="448" t="s">
        <v>623</v>
      </c>
      <c r="J114" s="446"/>
      <c r="K114" s="638"/>
      <c r="L114" s="1239" t="s">
        <v>821</v>
      </c>
      <c r="M114" s="1239" t="str">
        <f>IF(AX114="PT",VLOOKUP(L114,'Foundation Calculation'!$V$2:$X$40,VLOOKUP(AX114,'Foundation Calculation'!$I$10:$J$13,2,FALSE),0),IF(AX114="K",VLOOKUP(L114,'Foundation Calculation'!$V$42:$X$80,VLOOKUP(AX114,'Foundation Calculation'!$I$10:$J$13,2,FALSE),0),""))</f>
        <v>C7R</v>
      </c>
      <c r="N114" s="638" t="s">
        <v>2789</v>
      </c>
      <c r="O114" s="638"/>
      <c r="P114" s="638"/>
      <c r="Q114" s="638">
        <v>0</v>
      </c>
      <c r="R114" s="638">
        <v>0</v>
      </c>
      <c r="S114" s="484"/>
      <c r="T114" s="638">
        <v>-35</v>
      </c>
      <c r="U114" s="638"/>
      <c r="V114" s="638"/>
      <c r="W114" s="638">
        <v>1.4</v>
      </c>
      <c r="X114" s="638"/>
      <c r="Y114" s="638"/>
      <c r="Z114" s="638"/>
      <c r="AA114" s="638"/>
      <c r="AB114" s="638"/>
      <c r="AC114" s="638" t="s">
        <v>1421</v>
      </c>
      <c r="AD114" s="638"/>
      <c r="AE114" s="638"/>
      <c r="AF114" s="638">
        <v>6000</v>
      </c>
      <c r="AG114" s="446">
        <v>87550</v>
      </c>
      <c r="AH114" s="638">
        <v>2223</v>
      </c>
      <c r="AI114" s="638">
        <v>640</v>
      </c>
      <c r="AJ114" s="638"/>
      <c r="AK114" s="638"/>
      <c r="AL114" s="1239" t="s">
        <v>2142</v>
      </c>
      <c r="AM114" s="1239" t="s">
        <v>1042</v>
      </c>
      <c r="AN114" s="455">
        <v>5.5</v>
      </c>
      <c r="AO114" s="1239"/>
      <c r="AP114" s="1239"/>
      <c r="AQ114" s="484"/>
      <c r="AR114" s="638"/>
      <c r="AS114" s="638"/>
      <c r="AT114" s="484">
        <f>+ab($T$114,$T$112,$T$116,$G$113,$G$115, 1*$F$114,1200)</f>
        <v>-8.1682020423530854</v>
      </c>
      <c r="AU114" s="638"/>
      <c r="AV114" s="638"/>
      <c r="AW114" s="638" t="str">
        <f>VLOOKUP(C114,'Foundation Calculation'!$A$2:$C$33,3,1)</f>
        <v>Soil A</v>
      </c>
      <c r="AX114" s="638" t="str">
        <f>VLOOKUP(C114,'Foundation Calculation'!$E$2:$G$33,3,1)</f>
        <v>PT</v>
      </c>
      <c r="AY114" s="484">
        <f>IF(AX114="PT",VLOOKUP(L114,'Foundation Calculation'!$K$2:$R$40,VLOOKUP(AW114,'Foundation Calculation'!$I$2:$J$8,2,FALSE),0),IF(AX114="K",VLOOKUP(L114,'Foundation Calculation'!$K$42:$R$80,VLOOKUP(AW114,'Foundation Calculation'!$I$2:$J$8,2,FALSE),0),""))</f>
        <v>4</v>
      </c>
      <c r="AZ114" s="484"/>
      <c r="BA114" s="671" t="s">
        <v>2809</v>
      </c>
      <c r="BB114" s="447" t="str">
        <f>Pole_Calculations!A178</f>
        <v>App.8-V08F-P10.3</v>
      </c>
      <c r="BC114" s="169"/>
      <c r="BD114" s="1371"/>
      <c r="BE114" s="1371"/>
      <c r="BF114" s="1371"/>
      <c r="BG114" s="1371"/>
    </row>
    <row r="115" spans="1:59" ht="15.75" customHeight="1">
      <c r="A115" s="447"/>
      <c r="B115" s="447"/>
      <c r="C115" s="446"/>
      <c r="D115" s="447"/>
      <c r="E115" s="447"/>
      <c r="F115" s="448"/>
      <c r="G115" s="484">
        <v>60</v>
      </c>
      <c r="H115" s="1239"/>
      <c r="I115" s="448"/>
      <c r="J115" s="446">
        <f>C114+7.5</f>
        <v>87557.650000000009</v>
      </c>
      <c r="K115" s="638" t="s">
        <v>2787</v>
      </c>
      <c r="L115" s="638"/>
      <c r="M115" s="638"/>
      <c r="N115" s="638"/>
      <c r="O115" s="638"/>
      <c r="P115" s="638"/>
      <c r="Q115" s="638"/>
      <c r="R115" s="638"/>
      <c r="S115" s="484">
        <f t="shared" ref="S115" si="52">AG116-AG114</f>
        <v>60</v>
      </c>
      <c r="T115" s="638"/>
      <c r="U115" s="638"/>
      <c r="V115" s="638"/>
      <c r="W115" s="638"/>
      <c r="X115" s="638"/>
      <c r="Y115" s="638"/>
      <c r="Z115" s="638"/>
      <c r="AA115" s="638"/>
      <c r="AB115" s="638"/>
      <c r="AC115" s="638"/>
      <c r="AD115" s="638"/>
      <c r="AE115" s="638"/>
      <c r="AF115" s="638"/>
      <c r="AG115" s="446"/>
      <c r="AH115" s="638"/>
      <c r="AI115" s="638"/>
      <c r="AJ115" s="638"/>
      <c r="AK115" s="638"/>
      <c r="AL115" s="638"/>
      <c r="AM115" s="638"/>
      <c r="AN115" s="455"/>
      <c r="AO115" s="1239"/>
      <c r="AP115" s="1239"/>
      <c r="AQ115" s="484">
        <f>+FL_1($T$116,$T$114,$G$115,1200,9.28, 1*$F$116)</f>
        <v>0.43600286799999999</v>
      </c>
      <c r="AR115" s="638"/>
      <c r="AS115" s="638"/>
      <c r="AT115" s="484"/>
      <c r="AU115" s="638"/>
      <c r="AV115" s="638"/>
      <c r="AW115" s="638" t="str">
        <f>VLOOKUP(J115,'Foundation Calculation'!$A$2:$C$33,3,1)</f>
        <v>Soil A</v>
      </c>
      <c r="AX115" s="638" t="str">
        <f>VLOOKUP(J115,'Foundation Calculation'!$E$2:$G$33,3,1)</f>
        <v>PT</v>
      </c>
      <c r="AY115" s="484"/>
      <c r="AZ115" s="484">
        <f>IF(AX115="PT",VLOOKUP(K115,'Foundation Calculation'!$K$2:$R$40,VLOOKUP(AW115,'Foundation Calculation'!$I$2:$J$8,2,FALSE),0),IF(AX115="K",VLOOKUP(K115,'Foundation Calculation'!$K$42:$R$80,VLOOKUP(AW115,'Foundation Calculation'!$I$2:$J$8,2,FALSE),0),""))</f>
        <v>3.3</v>
      </c>
      <c r="BA115" s="671" t="s">
        <v>2809</v>
      </c>
      <c r="BB115" s="447"/>
      <c r="BC115" s="169"/>
      <c r="BD115" s="1329"/>
      <c r="BE115" s="1330"/>
      <c r="BF115" s="1330"/>
      <c r="BG115" s="1330"/>
    </row>
    <row r="116" spans="1:59" ht="12.5">
      <c r="A116" s="447"/>
      <c r="B116" s="582" t="s">
        <v>2996</v>
      </c>
      <c r="C116" s="446">
        <f>+$C$114+$G$115</f>
        <v>87610.150000000009</v>
      </c>
      <c r="D116" s="447"/>
      <c r="E116" s="447"/>
      <c r="F116" s="448">
        <v>0</v>
      </c>
      <c r="G116" s="484"/>
      <c r="H116" s="1239"/>
      <c r="I116" s="448"/>
      <c r="J116" s="446"/>
      <c r="K116" s="638"/>
      <c r="L116" s="1239" t="s">
        <v>821</v>
      </c>
      <c r="M116" s="1239" t="str">
        <f>IF(AX116="PT",VLOOKUP(L116,'Foundation Calculation'!$V$2:$X$40,VLOOKUP(AX116,'Foundation Calculation'!$I$10:$J$13,2,FALSE),0),IF(AX116="K",VLOOKUP(L116,'Foundation Calculation'!$V$42:$X$80,VLOOKUP(AX116,'Foundation Calculation'!$I$10:$J$13,2,FALSE),0),""))</f>
        <v>C7R</v>
      </c>
      <c r="N116" s="638" t="s">
        <v>144</v>
      </c>
      <c r="O116" s="638"/>
      <c r="P116" s="638"/>
      <c r="Q116" s="638">
        <v>0</v>
      </c>
      <c r="R116" s="638">
        <v>0</v>
      </c>
      <c r="S116" s="484"/>
      <c r="T116" s="638">
        <v>35</v>
      </c>
      <c r="U116" s="638"/>
      <c r="V116" s="638"/>
      <c r="W116" s="638">
        <v>1.4</v>
      </c>
      <c r="X116" s="638"/>
      <c r="Y116" s="638"/>
      <c r="Z116" s="638"/>
      <c r="AA116" s="638"/>
      <c r="AB116" s="638"/>
      <c r="AC116" s="638" t="s">
        <v>1421</v>
      </c>
      <c r="AD116" s="638"/>
      <c r="AE116" s="638"/>
      <c r="AF116" s="638">
        <v>6000</v>
      </c>
      <c r="AG116" s="446">
        <v>87610</v>
      </c>
      <c r="AH116" s="638">
        <v>2693</v>
      </c>
      <c r="AI116" s="638">
        <v>650</v>
      </c>
      <c r="AJ116" s="638"/>
      <c r="AK116" s="638"/>
      <c r="AL116" s="1239" t="s">
        <v>2142</v>
      </c>
      <c r="AM116" s="1239" t="s">
        <v>1042</v>
      </c>
      <c r="AN116" s="455">
        <v>5.5</v>
      </c>
      <c r="AO116" s="1239"/>
      <c r="AP116" s="1239"/>
      <c r="AQ116" s="484"/>
      <c r="AR116" s="638"/>
      <c r="AS116" s="638"/>
      <c r="AT116" s="484">
        <f>+ab($T$116,$T$114,$T$118,$G$115,$G$117, 1*$F$116,1200)</f>
        <v>8.1681606014296726</v>
      </c>
      <c r="AU116" s="638"/>
      <c r="AV116" s="638"/>
      <c r="AW116" s="638" t="str">
        <f>VLOOKUP(C116,'Foundation Calculation'!$A$2:$C$33,3,1)</f>
        <v>Soil A</v>
      </c>
      <c r="AX116" s="638" t="str">
        <f>VLOOKUP(C116,'Foundation Calculation'!$E$2:$G$33,3,1)</f>
        <v>PT</v>
      </c>
      <c r="AY116" s="484">
        <f>IF(AX116="PT",VLOOKUP(L116,'Foundation Calculation'!$K$2:$R$40,VLOOKUP(AW116,'Foundation Calculation'!$I$2:$J$8,2,FALSE),0),IF(AX116="K",VLOOKUP(L116,'Foundation Calculation'!$K$42:$R$80,VLOOKUP(AW116,'Foundation Calculation'!$I$2:$J$8,2,FALSE),0),""))</f>
        <v>4</v>
      </c>
      <c r="AZ116" s="484"/>
      <c r="BA116" s="671" t="s">
        <v>2809</v>
      </c>
      <c r="BB116" s="447" t="str">
        <f>Pole_Calculations!A178</f>
        <v>App.8-V08F-P10.3</v>
      </c>
      <c r="BC116" s="169"/>
      <c r="BD116" s="1371"/>
      <c r="BE116" s="1371"/>
      <c r="BF116" s="1371"/>
      <c r="BG116" s="1371"/>
    </row>
    <row r="117" spans="1:59" ht="15" customHeight="1">
      <c r="A117" s="447"/>
      <c r="B117" s="447"/>
      <c r="C117" s="446"/>
      <c r="D117" s="447"/>
      <c r="E117" s="447"/>
      <c r="F117" s="448"/>
      <c r="G117" s="484">
        <v>60</v>
      </c>
      <c r="H117" s="1239"/>
      <c r="I117" s="448"/>
      <c r="J117" s="446"/>
      <c r="K117" s="638"/>
      <c r="L117" s="638"/>
      <c r="M117" s="638"/>
      <c r="N117" s="638"/>
      <c r="O117" s="638"/>
      <c r="P117" s="638"/>
      <c r="Q117" s="638"/>
      <c r="R117" s="638"/>
      <c r="S117" s="484">
        <f t="shared" ref="S117" si="53">AG118-AG116</f>
        <v>60</v>
      </c>
      <c r="T117" s="638"/>
      <c r="U117" s="638"/>
      <c r="V117" s="638"/>
      <c r="W117" s="638"/>
      <c r="X117" s="638"/>
      <c r="Y117" s="638"/>
      <c r="Z117" s="638"/>
      <c r="AA117" s="638"/>
      <c r="AB117" s="638"/>
      <c r="AC117" s="638"/>
      <c r="AD117" s="638"/>
      <c r="AE117" s="638"/>
      <c r="AF117" s="638"/>
      <c r="AG117" s="446"/>
      <c r="AH117" s="638"/>
      <c r="AI117" s="638"/>
      <c r="AJ117" s="638"/>
      <c r="AK117" s="638"/>
      <c r="AL117" s="638"/>
      <c r="AM117" s="638"/>
      <c r="AN117" s="455"/>
      <c r="AO117" s="1239"/>
      <c r="AP117" s="1239"/>
      <c r="AQ117" s="484">
        <f>+FL_2($T$118,$T$116,$G$117,1200,9.28, 1*$F$118)</f>
        <v>-0.43600286799999999</v>
      </c>
      <c r="AR117" s="638"/>
      <c r="AS117" s="638"/>
      <c r="AT117" s="484"/>
      <c r="AU117" s="638"/>
      <c r="AV117" s="638"/>
      <c r="AW117" s="638"/>
      <c r="AX117" s="638"/>
      <c r="AY117" s="484"/>
      <c r="AZ117" s="484"/>
      <c r="BA117" s="671"/>
      <c r="BB117" s="447"/>
      <c r="BC117" s="169"/>
      <c r="BD117" s="1330"/>
      <c r="BE117" s="1330"/>
      <c r="BF117" s="1330"/>
      <c r="BG117" s="1330"/>
    </row>
    <row r="118" spans="1:59" ht="15.75" customHeight="1">
      <c r="A118" s="447"/>
      <c r="B118" s="582" t="s">
        <v>2997</v>
      </c>
      <c r="C118" s="446">
        <f>+$C$116+$G$117</f>
        <v>87670.150000000009</v>
      </c>
      <c r="D118" s="447"/>
      <c r="E118" s="447"/>
      <c r="F118" s="448">
        <v>0</v>
      </c>
      <c r="G118" s="484"/>
      <c r="H118" s="1239"/>
      <c r="I118" s="448"/>
      <c r="J118" s="446"/>
      <c r="K118" s="638"/>
      <c r="L118" s="1239" t="s">
        <v>821</v>
      </c>
      <c r="M118" s="1239" t="str">
        <f>IF(AX118="PT",VLOOKUP(L118,'Foundation Calculation'!$V$2:$X$40,VLOOKUP(AX118,'Foundation Calculation'!$I$10:$J$13,2,FALSE),0),IF(AX118="K",VLOOKUP(L118,'Foundation Calculation'!$V$42:$X$80,VLOOKUP(AX118,'Foundation Calculation'!$I$10:$J$13,2,FALSE),0),""))</f>
        <v>C7R</v>
      </c>
      <c r="N118" s="638" t="s">
        <v>143</v>
      </c>
      <c r="O118" s="638"/>
      <c r="P118" s="638"/>
      <c r="Q118" s="638">
        <v>0</v>
      </c>
      <c r="R118" s="638">
        <v>0</v>
      </c>
      <c r="S118" s="484"/>
      <c r="T118" s="638">
        <v>-35</v>
      </c>
      <c r="U118" s="638"/>
      <c r="V118" s="638"/>
      <c r="W118" s="638">
        <v>1.4</v>
      </c>
      <c r="X118" s="638"/>
      <c r="Y118" s="638"/>
      <c r="Z118" s="638"/>
      <c r="AA118" s="638"/>
      <c r="AB118" s="638"/>
      <c r="AC118" s="638" t="s">
        <v>1421</v>
      </c>
      <c r="AD118" s="638"/>
      <c r="AE118" s="638"/>
      <c r="AF118" s="638">
        <v>6000</v>
      </c>
      <c r="AG118" s="446">
        <v>87670</v>
      </c>
      <c r="AH118" s="638">
        <v>2673</v>
      </c>
      <c r="AI118" s="638">
        <v>620</v>
      </c>
      <c r="AJ118" s="638"/>
      <c r="AK118" s="638"/>
      <c r="AL118" s="1239" t="s">
        <v>2142</v>
      </c>
      <c r="AM118" s="1239" t="s">
        <v>1042</v>
      </c>
      <c r="AN118" s="455">
        <v>5.5</v>
      </c>
      <c r="AO118" s="1239"/>
      <c r="AP118" s="1239"/>
      <c r="AQ118" s="484"/>
      <c r="AR118" s="638"/>
      <c r="AS118" s="638"/>
      <c r="AT118" s="484">
        <f>+ab($T$118,$T$116,$T$120,$G$117,$G$119, 1*$F$118,1200)</f>
        <v>-8.1682020423530854</v>
      </c>
      <c r="AU118" s="638"/>
      <c r="AV118" s="638"/>
      <c r="AW118" s="638" t="str">
        <f>VLOOKUP(C118,'Foundation Calculation'!$A$2:$C$33,3,1)</f>
        <v>Soil A</v>
      </c>
      <c r="AX118" s="638" t="str">
        <f>VLOOKUP(C118,'Foundation Calculation'!$E$2:$G$33,3,1)</f>
        <v>PT</v>
      </c>
      <c r="AY118" s="484">
        <f>IF(AX118="PT",VLOOKUP(L118,'Foundation Calculation'!$K$2:$R$40,VLOOKUP(AW118,'Foundation Calculation'!$I$2:$J$8,2,FALSE),0),IF(AX118="K",VLOOKUP(L118,'Foundation Calculation'!$K$42:$R$80,VLOOKUP(AW118,'Foundation Calculation'!$I$2:$J$8,2,FALSE),0),""))</f>
        <v>4</v>
      </c>
      <c r="AZ118" s="484"/>
      <c r="BA118" s="671" t="s">
        <v>2809</v>
      </c>
      <c r="BB118" s="447" t="str">
        <f>Pole_Calculations!A178</f>
        <v>App.8-V08F-P10.3</v>
      </c>
      <c r="BC118" s="169"/>
      <c r="BD118" s="1371"/>
      <c r="BE118" s="1371"/>
      <c r="BF118" s="1371"/>
      <c r="BG118" s="1371"/>
    </row>
    <row r="119" spans="1:59" ht="15.75" customHeight="1">
      <c r="A119" s="647" t="s">
        <v>3049</v>
      </c>
      <c r="B119" s="657"/>
      <c r="C119" s="649"/>
      <c r="D119" s="653"/>
      <c r="E119" s="653"/>
      <c r="F119" s="650"/>
      <c r="G119" s="654">
        <v>60</v>
      </c>
      <c r="H119" s="647"/>
      <c r="I119" s="650"/>
      <c r="J119" s="649"/>
      <c r="K119" s="653"/>
      <c r="L119" s="653"/>
      <c r="M119" s="653"/>
      <c r="N119" s="653"/>
      <c r="O119" s="653"/>
      <c r="P119" s="653"/>
      <c r="Q119" s="653"/>
      <c r="R119" s="653"/>
      <c r="S119" s="654">
        <f t="shared" ref="S119" si="54">AG120-AG118</f>
        <v>60</v>
      </c>
      <c r="T119" s="653"/>
      <c r="U119" s="653"/>
      <c r="V119" s="653"/>
      <c r="W119" s="653"/>
      <c r="X119" s="653"/>
      <c r="Y119" s="653"/>
      <c r="Z119" s="653"/>
      <c r="AA119" s="653"/>
      <c r="AB119" s="653"/>
      <c r="AC119" s="653"/>
      <c r="AD119" s="653"/>
      <c r="AE119" s="653"/>
      <c r="AF119" s="653"/>
      <c r="AG119" s="649"/>
      <c r="AH119" s="653"/>
      <c r="AI119" s="653"/>
      <c r="AJ119" s="653"/>
      <c r="AK119" s="653"/>
      <c r="AL119" s="653"/>
      <c r="AM119" s="653"/>
      <c r="AN119" s="651"/>
      <c r="AO119" s="647"/>
      <c r="AP119" s="647"/>
      <c r="AQ119" s="654">
        <f>+FL_1($T$120,$T$118,$G$119,1200,9.28, 1*$F$120)</f>
        <v>0.43600286799999999</v>
      </c>
      <c r="AR119" s="653"/>
      <c r="AS119" s="653"/>
      <c r="AT119" s="654"/>
      <c r="AU119" s="653"/>
      <c r="AV119" s="653"/>
      <c r="AW119" s="653"/>
      <c r="AX119" s="653"/>
      <c r="AY119" s="654"/>
      <c r="AZ119" s="654"/>
      <c r="BA119" s="701"/>
      <c r="BB119" s="647"/>
      <c r="BC119" s="169"/>
      <c r="BD119" s="1330"/>
      <c r="BE119" s="1330"/>
      <c r="BF119" s="1330"/>
      <c r="BG119" s="1330"/>
    </row>
    <row r="120" spans="1:59" ht="15.75" customHeight="1">
      <c r="A120" s="449"/>
      <c r="B120" s="485" t="s">
        <v>2998</v>
      </c>
      <c r="C120" s="446">
        <f>+$C$118+$G$119</f>
        <v>87730.150000000009</v>
      </c>
      <c r="D120" s="638"/>
      <c r="E120" s="638"/>
      <c r="F120" s="448">
        <v>0</v>
      </c>
      <c r="G120" s="484"/>
      <c r="H120" s="1239"/>
      <c r="I120" s="448"/>
      <c r="J120" s="446"/>
      <c r="K120" s="638"/>
      <c r="L120" s="1239" t="s">
        <v>821</v>
      </c>
      <c r="M120" s="1239" t="str">
        <f>IF(AX120="PT",VLOOKUP(L120,'Foundation Calculation'!$V$2:$X$40,VLOOKUP(AX120,'Foundation Calculation'!$I$10:$J$13,2,FALSE),0),IF(AX120="K",VLOOKUP(L120,'Foundation Calculation'!$V$42:$X$80,VLOOKUP(AX120,'Foundation Calculation'!$I$10:$J$13,2,FALSE),0),""))</f>
        <v>C7R</v>
      </c>
      <c r="N120" s="638" t="s">
        <v>144</v>
      </c>
      <c r="O120" s="638"/>
      <c r="P120" s="638"/>
      <c r="Q120" s="638">
        <v>0</v>
      </c>
      <c r="R120" s="638">
        <v>0</v>
      </c>
      <c r="S120" s="484"/>
      <c r="T120" s="638">
        <v>35</v>
      </c>
      <c r="U120" s="638"/>
      <c r="V120" s="638"/>
      <c r="W120" s="638">
        <v>1.4</v>
      </c>
      <c r="X120" s="638"/>
      <c r="Y120" s="638"/>
      <c r="Z120" s="638"/>
      <c r="AA120" s="638"/>
      <c r="AB120" s="638"/>
      <c r="AC120" s="638" t="s">
        <v>1421</v>
      </c>
      <c r="AD120" s="638"/>
      <c r="AE120" s="638"/>
      <c r="AF120" s="638">
        <v>6000</v>
      </c>
      <c r="AG120" s="446">
        <v>87730</v>
      </c>
      <c r="AH120" s="638">
        <v>2613</v>
      </c>
      <c r="AI120" s="638">
        <v>570</v>
      </c>
      <c r="AJ120" s="638"/>
      <c r="AK120" s="638"/>
      <c r="AL120" s="1239" t="s">
        <v>2142</v>
      </c>
      <c r="AM120" s="1239" t="s">
        <v>1042</v>
      </c>
      <c r="AN120" s="455">
        <v>5.5</v>
      </c>
      <c r="AO120" s="1239"/>
      <c r="AP120" s="1239"/>
      <c r="AQ120" s="484"/>
      <c r="AR120" s="638"/>
      <c r="AS120" s="638"/>
      <c r="AT120" s="484">
        <f>+ab($T$120,$T$118,$T$122,$G$119,$G$121, 1*$F$120,1200)</f>
        <v>8.1681606014296726</v>
      </c>
      <c r="AU120" s="638"/>
      <c r="AV120" s="638"/>
      <c r="AW120" s="638" t="str">
        <f>VLOOKUP(C120,'Foundation Calculation'!$A$2:$C$33,3,1)</f>
        <v>Soil A</v>
      </c>
      <c r="AX120" s="638" t="str">
        <f>VLOOKUP(C120,'Foundation Calculation'!$E$2:$G$33,3,1)</f>
        <v>PT</v>
      </c>
      <c r="AY120" s="484">
        <f>IF(AX120="PT",VLOOKUP(L120,'Foundation Calculation'!$K$2:$R$40,VLOOKUP(AW120,'Foundation Calculation'!$I$2:$J$8,2,FALSE),0),IF(AX120="K",VLOOKUP(L120,'Foundation Calculation'!$K$42:$R$80,VLOOKUP(AW120,'Foundation Calculation'!$I$2:$J$8,2,FALSE),0),""))</f>
        <v>4</v>
      </c>
      <c r="AZ120" s="484"/>
      <c r="BA120" s="671" t="s">
        <v>2809</v>
      </c>
      <c r="BB120" s="449" t="str">
        <f>Pole_Calculations!A178</f>
        <v>App.8-V08F-P10.3</v>
      </c>
      <c r="BC120" s="169"/>
      <c r="BD120" s="1371"/>
      <c r="BE120" s="1371"/>
      <c r="BF120" s="1371"/>
      <c r="BG120" s="1371"/>
    </row>
    <row r="121" spans="1:59" ht="15.75" customHeight="1">
      <c r="A121" s="449"/>
      <c r="B121" s="445"/>
      <c r="C121" s="446"/>
      <c r="D121" s="638"/>
      <c r="E121" s="638"/>
      <c r="F121" s="448"/>
      <c r="G121" s="484">
        <v>60</v>
      </c>
      <c r="H121" s="1239"/>
      <c r="I121" s="448"/>
      <c r="J121" s="446">
        <f>C122-7.5</f>
        <v>87782.650000000009</v>
      </c>
      <c r="K121" s="638" t="s">
        <v>2788</v>
      </c>
      <c r="L121" s="638"/>
      <c r="M121" s="638"/>
      <c r="N121" s="638"/>
      <c r="O121" s="638"/>
      <c r="P121" s="638"/>
      <c r="Q121" s="638"/>
      <c r="R121" s="638"/>
      <c r="S121" s="484">
        <f t="shared" ref="S121" si="55">AG122-AG120</f>
        <v>60</v>
      </c>
      <c r="T121" s="638"/>
      <c r="U121" s="638"/>
      <c r="V121" s="638"/>
      <c r="W121" s="638"/>
      <c r="X121" s="638"/>
      <c r="Y121" s="638"/>
      <c r="Z121" s="638"/>
      <c r="AA121" s="638"/>
      <c r="AB121" s="638"/>
      <c r="AC121" s="638"/>
      <c r="AD121" s="638"/>
      <c r="AE121" s="638"/>
      <c r="AF121" s="638"/>
      <c r="AG121" s="446"/>
      <c r="AH121" s="638"/>
      <c r="AI121" s="638"/>
      <c r="AJ121" s="638"/>
      <c r="AK121" s="638"/>
      <c r="AL121" s="638"/>
      <c r="AM121" s="638"/>
      <c r="AN121" s="455"/>
      <c r="AO121" s="1239"/>
      <c r="AP121" s="1239"/>
      <c r="AQ121" s="484">
        <f>+FL_2($T$122,$T$120,$G$121,1200,9.28, 1*$F$122)</f>
        <v>-0.43600286799999999</v>
      </c>
      <c r="AR121" s="638"/>
      <c r="AS121" s="638"/>
      <c r="AT121" s="484"/>
      <c r="AU121" s="638"/>
      <c r="AV121" s="638"/>
      <c r="AW121" s="638" t="str">
        <f>VLOOKUP(J121,'Foundation Calculation'!$A$2:$C$33,3,1)</f>
        <v>Soil A</v>
      </c>
      <c r="AX121" s="638" t="str">
        <f>VLOOKUP(J121,'Foundation Calculation'!$E$2:$G$33,3,1)</f>
        <v>PT</v>
      </c>
      <c r="AY121" s="484"/>
      <c r="AZ121" s="484">
        <f>IF(AX121="PT",VLOOKUP(K121,'Foundation Calculation'!$K$2:$R$40,VLOOKUP(AW121,'Foundation Calculation'!$I$2:$J$8,2,FALSE),0),IF(AX121="K",VLOOKUP(K121,'Foundation Calculation'!$K$42:$R$80,VLOOKUP(AW121,'Foundation Calculation'!$I$2:$J$8,2,FALSE),0),""))</f>
        <v>2.8</v>
      </c>
      <c r="BA121" s="671" t="s">
        <v>2809</v>
      </c>
      <c r="BB121" s="449"/>
      <c r="BC121" s="169"/>
      <c r="BD121" s="1329"/>
      <c r="BE121" s="1330"/>
      <c r="BF121" s="1330"/>
      <c r="BG121" s="1330"/>
    </row>
    <row r="122" spans="1:59" ht="15.75" customHeight="1">
      <c r="A122" s="449"/>
      <c r="B122" s="485" t="s">
        <v>2999</v>
      </c>
      <c r="C122" s="446">
        <f>+$C$120+$G$121</f>
        <v>87790.150000000009</v>
      </c>
      <c r="D122" s="638"/>
      <c r="E122" s="638"/>
      <c r="F122" s="448">
        <v>0</v>
      </c>
      <c r="G122" s="484"/>
      <c r="H122" s="1239" t="s">
        <v>873</v>
      </c>
      <c r="I122" s="448"/>
      <c r="J122" s="446"/>
      <c r="K122" s="638"/>
      <c r="L122" s="1239" t="s">
        <v>821</v>
      </c>
      <c r="M122" s="1239" t="str">
        <f>IF(AX122="PT",VLOOKUP(L122,'Foundation Calculation'!$V$2:$X$40,VLOOKUP(AX122,'Foundation Calculation'!$I$10:$J$13,2,FALSE),0),IF(AX122="K",VLOOKUP(L122,'Foundation Calculation'!$V$42:$X$80,VLOOKUP(AX122,'Foundation Calculation'!$I$10:$J$13,2,FALSE),0),""))</f>
        <v>C7R</v>
      </c>
      <c r="N122" s="638" t="s">
        <v>143</v>
      </c>
      <c r="O122" s="638"/>
      <c r="P122" s="638"/>
      <c r="Q122" s="638">
        <v>0</v>
      </c>
      <c r="R122" s="638">
        <v>0</v>
      </c>
      <c r="S122" s="484"/>
      <c r="T122" s="638">
        <v>-35</v>
      </c>
      <c r="U122" s="638"/>
      <c r="V122" s="638"/>
      <c r="W122" s="638">
        <v>1.4</v>
      </c>
      <c r="X122" s="638"/>
      <c r="Y122" s="638"/>
      <c r="Z122" s="638"/>
      <c r="AA122" s="638"/>
      <c r="AB122" s="638"/>
      <c r="AC122" s="638" t="s">
        <v>1421</v>
      </c>
      <c r="AD122" s="638"/>
      <c r="AE122" s="638"/>
      <c r="AF122" s="638">
        <v>6000</v>
      </c>
      <c r="AG122" s="446">
        <v>87790</v>
      </c>
      <c r="AH122" s="638">
        <v>2913</v>
      </c>
      <c r="AI122" s="638">
        <v>540</v>
      </c>
      <c r="AJ122" s="638"/>
      <c r="AK122" s="638"/>
      <c r="AL122" s="1239" t="s">
        <v>2142</v>
      </c>
      <c r="AM122" s="1239" t="s">
        <v>1042</v>
      </c>
      <c r="AN122" s="455">
        <v>5.5</v>
      </c>
      <c r="AO122" s="1239"/>
      <c r="AP122" s="1239"/>
      <c r="AQ122" s="484"/>
      <c r="AR122" s="638"/>
      <c r="AS122" s="638"/>
      <c r="AT122" s="484">
        <f>+ab($T$122,$T$120,$T$124,$G$121,$G$123, 1*$F$122,1200)</f>
        <v>-8.1682020423530854</v>
      </c>
      <c r="AU122" s="638"/>
      <c r="AV122" s="638"/>
      <c r="AW122" s="638" t="str">
        <f>VLOOKUP(C122,'Foundation Calculation'!$A$2:$C$33,3,1)</f>
        <v>Soil A</v>
      </c>
      <c r="AX122" s="638" t="str">
        <f>VLOOKUP(C122,'Foundation Calculation'!$E$2:$G$33,3,1)</f>
        <v>PT</v>
      </c>
      <c r="AY122" s="484">
        <f>IF(AX122="PT",VLOOKUP(L122,'Foundation Calculation'!$K$2:$R$40,VLOOKUP(AW122,'Foundation Calculation'!$I$2:$J$8,2,FALSE),0),IF(AX122="K",VLOOKUP(L122,'Foundation Calculation'!$K$42:$R$80,VLOOKUP(AW122,'Foundation Calculation'!$I$2:$J$8,2,FALSE),0),""))</f>
        <v>4</v>
      </c>
      <c r="AZ122" s="484"/>
      <c r="BA122" s="671" t="s">
        <v>2809</v>
      </c>
      <c r="BB122" s="449" t="str">
        <f>Pole_Calculations!A178</f>
        <v>App.8-V08F-P10.3</v>
      </c>
      <c r="BC122" s="169"/>
      <c r="BD122" s="1371"/>
      <c r="BE122" s="1371"/>
      <c r="BF122" s="1371"/>
      <c r="BG122" s="1371"/>
    </row>
    <row r="123" spans="1:59" ht="15.75" customHeight="1">
      <c r="A123" s="449"/>
      <c r="B123" s="445"/>
      <c r="C123" s="446"/>
      <c r="D123" s="638"/>
      <c r="E123" s="638"/>
      <c r="F123" s="448"/>
      <c r="G123" s="484">
        <v>60</v>
      </c>
      <c r="H123" s="1239"/>
      <c r="I123" s="448"/>
      <c r="J123" s="446">
        <f>C124-7.5</f>
        <v>87842.650000000009</v>
      </c>
      <c r="K123" s="638" t="s">
        <v>2788</v>
      </c>
      <c r="L123" s="638"/>
      <c r="M123" s="638"/>
      <c r="N123" s="638"/>
      <c r="O123" s="638"/>
      <c r="P123" s="638"/>
      <c r="Q123" s="638"/>
      <c r="R123" s="638"/>
      <c r="S123" s="484">
        <f t="shared" ref="S123" si="56">AG124-AG122</f>
        <v>60</v>
      </c>
      <c r="T123" s="638"/>
      <c r="U123" s="638"/>
      <c r="V123" s="638"/>
      <c r="W123" s="638"/>
      <c r="X123" s="638"/>
      <c r="Y123" s="638"/>
      <c r="Z123" s="638"/>
      <c r="AA123" s="638"/>
      <c r="AB123" s="638"/>
      <c r="AC123" s="638"/>
      <c r="AD123" s="638"/>
      <c r="AE123" s="638"/>
      <c r="AF123" s="638"/>
      <c r="AG123" s="446"/>
      <c r="AH123" s="638"/>
      <c r="AI123" s="638"/>
      <c r="AJ123" s="638"/>
      <c r="AK123" s="638"/>
      <c r="AL123" s="638"/>
      <c r="AM123" s="638"/>
      <c r="AN123" s="455"/>
      <c r="AO123" s="1239"/>
      <c r="AP123" s="1239"/>
      <c r="AQ123" s="484">
        <f>+FL_1($T$124,$T$122,$G$123,1200,9.28, 1*$F$124)</f>
        <v>0.43600286799999999</v>
      </c>
      <c r="AR123" s="638"/>
      <c r="AS123" s="638"/>
      <c r="AT123" s="484"/>
      <c r="AU123" s="638"/>
      <c r="AV123" s="638"/>
      <c r="AW123" s="638" t="str">
        <f>VLOOKUP(J123,'Foundation Calculation'!$A$2:$C$33,3,1)</f>
        <v>Soil A</v>
      </c>
      <c r="AX123" s="638" t="str">
        <f>VLOOKUP(J123,'Foundation Calculation'!$E$2:$G$33,3,1)</f>
        <v>PT</v>
      </c>
      <c r="AY123" s="484"/>
      <c r="AZ123" s="484">
        <f>IF(AX123="PT",VLOOKUP(K123,'Foundation Calculation'!$K$2:$R$40,VLOOKUP(AW123,'Foundation Calculation'!$I$2:$J$8,2,FALSE),0),IF(AX123="K",VLOOKUP(K123,'Foundation Calculation'!$K$42:$R$80,VLOOKUP(AW123,'Foundation Calculation'!$I$2:$J$8,2,FALSE),0),""))</f>
        <v>2.8</v>
      </c>
      <c r="BA123" s="671" t="s">
        <v>2809</v>
      </c>
      <c r="BB123" s="449"/>
      <c r="BC123" s="169"/>
      <c r="BD123" s="1329"/>
      <c r="BE123" s="1330"/>
      <c r="BF123" s="1330"/>
      <c r="BG123" s="1330"/>
    </row>
    <row r="124" spans="1:59" ht="15.75" customHeight="1">
      <c r="A124" s="1239"/>
      <c r="B124" s="582" t="s">
        <v>3000</v>
      </c>
      <c r="C124" s="446">
        <f>+$C$122+$G$123</f>
        <v>87850.150000000009</v>
      </c>
      <c r="D124" s="448"/>
      <c r="E124" s="448"/>
      <c r="F124" s="448">
        <v>0</v>
      </c>
      <c r="G124" s="455"/>
      <c r="H124" s="1239" t="s">
        <v>873</v>
      </c>
      <c r="I124" s="448"/>
      <c r="J124" s="171"/>
      <c r="K124" s="638"/>
      <c r="L124" s="1239" t="s">
        <v>821</v>
      </c>
      <c r="M124" s="1239" t="str">
        <f>IF(AX124="PT",VLOOKUP(L124,'Foundation Calculation'!$V$2:$X$40,VLOOKUP(AX124,'Foundation Calculation'!$I$10:$J$13,2,FALSE),0),IF(AX124="K",VLOOKUP(L124,'Foundation Calculation'!$V$42:$X$80,VLOOKUP(AX124,'Foundation Calculation'!$I$10:$J$13,2,FALSE),0),""))</f>
        <v>C7R</v>
      </c>
      <c r="N124" s="638" t="s">
        <v>144</v>
      </c>
      <c r="O124" s="638"/>
      <c r="P124" s="638"/>
      <c r="Q124" s="638">
        <v>0</v>
      </c>
      <c r="R124" s="638">
        <v>0</v>
      </c>
      <c r="S124" s="484"/>
      <c r="T124" s="638">
        <v>35</v>
      </c>
      <c r="U124" s="638"/>
      <c r="V124" s="638"/>
      <c r="W124" s="638">
        <v>1.4</v>
      </c>
      <c r="X124" s="638"/>
      <c r="Y124" s="638"/>
      <c r="Z124" s="638"/>
      <c r="AA124" s="638"/>
      <c r="AB124" s="638"/>
      <c r="AC124" s="638" t="s">
        <v>4090</v>
      </c>
      <c r="AD124" s="638"/>
      <c r="AE124" s="638"/>
      <c r="AF124" s="638">
        <v>6000</v>
      </c>
      <c r="AG124" s="446">
        <v>87850</v>
      </c>
      <c r="AH124" s="638">
        <v>2773</v>
      </c>
      <c r="AI124" s="638">
        <v>600</v>
      </c>
      <c r="AJ124" s="638"/>
      <c r="AK124" s="638"/>
      <c r="AL124" s="1239" t="s">
        <v>2142</v>
      </c>
      <c r="AM124" s="1239" t="s">
        <v>1042</v>
      </c>
      <c r="AN124" s="455">
        <v>5.5</v>
      </c>
      <c r="AO124" s="1239"/>
      <c r="AP124" s="1239"/>
      <c r="AQ124" s="484"/>
      <c r="AR124" s="638"/>
      <c r="AS124" s="638"/>
      <c r="AT124" s="484">
        <f>+ab($T$124,$T$122,$T$126,$G$123,$G$125, 1*$F$124,1200)</f>
        <v>7.4343173327685177</v>
      </c>
      <c r="AU124" s="638"/>
      <c r="AV124" s="638"/>
      <c r="AW124" s="638" t="str">
        <f>VLOOKUP(C124,'Foundation Calculation'!$A$2:$C$33,3,1)</f>
        <v>Soil A</v>
      </c>
      <c r="AX124" s="638" t="str">
        <f>VLOOKUP(C124,'Foundation Calculation'!$E$2:$G$33,3,1)</f>
        <v>PT</v>
      </c>
      <c r="AY124" s="484">
        <f>IF(AX124="PT",VLOOKUP(L124,'Foundation Calculation'!$K$2:$R$40,VLOOKUP(AW124,'Foundation Calculation'!$I$2:$J$8,2,FALSE),0),IF(AX124="K",VLOOKUP(L124,'Foundation Calculation'!$K$42:$R$80,VLOOKUP(AW124,'Foundation Calculation'!$I$2:$J$8,2,FALSE),0),""))</f>
        <v>4</v>
      </c>
      <c r="AZ124" s="484"/>
      <c r="BA124" s="671" t="s">
        <v>2809</v>
      </c>
      <c r="BB124" s="1239" t="str">
        <f>Pole_Calculations!A178</f>
        <v>App.8-V08F-P10.3</v>
      </c>
      <c r="BC124" s="169"/>
      <c r="BD124" s="1371"/>
      <c r="BE124" s="1371"/>
      <c r="BF124" s="1371"/>
      <c r="BG124" s="1371"/>
    </row>
    <row r="125" spans="1:59" ht="15.75" customHeight="1">
      <c r="A125" s="1239"/>
      <c r="B125" s="447"/>
      <c r="C125" s="446"/>
      <c r="D125" s="448"/>
      <c r="E125" s="448"/>
      <c r="F125" s="448"/>
      <c r="G125" s="455">
        <v>50</v>
      </c>
      <c r="H125" s="1239"/>
      <c r="I125" s="448">
        <f>C126-C106</f>
        <v>580</v>
      </c>
      <c r="J125" s="171"/>
      <c r="K125" s="638"/>
      <c r="L125" s="1239"/>
      <c r="M125" s="638"/>
      <c r="N125" s="1239"/>
      <c r="O125" s="1239"/>
      <c r="P125" s="1239"/>
      <c r="Q125" s="1239"/>
      <c r="R125" s="1239"/>
      <c r="S125" s="455">
        <f t="shared" ref="S125" si="57">AG126-AG124</f>
        <v>50</v>
      </c>
      <c r="T125" s="1239"/>
      <c r="U125" s="1239"/>
      <c r="V125" s="1239"/>
      <c r="W125" s="638"/>
      <c r="X125" s="1239"/>
      <c r="Y125" s="1239"/>
      <c r="Z125" s="1239"/>
      <c r="AA125" s="1239"/>
      <c r="AB125" s="1239"/>
      <c r="AC125" s="1239"/>
      <c r="AD125" s="1239"/>
      <c r="AE125" s="1239"/>
      <c r="AF125" s="638"/>
      <c r="AG125" s="171"/>
      <c r="AH125" s="1239"/>
      <c r="AI125" s="1239"/>
      <c r="AJ125" s="1239"/>
      <c r="AK125" s="1239"/>
      <c r="AL125" s="1239"/>
      <c r="AM125" s="1239"/>
      <c r="AN125" s="455"/>
      <c r="AO125" s="1239"/>
      <c r="AP125" s="1239"/>
      <c r="AQ125" s="484">
        <f>+FL_2($T$126,$T$124,$G$125,1200,9.28, 1*$F$126)</f>
        <v>-0.36839079999999996</v>
      </c>
      <c r="AR125" s="638"/>
      <c r="AS125" s="638"/>
      <c r="AT125" s="484"/>
      <c r="AU125" s="638"/>
      <c r="AV125" s="638"/>
      <c r="AW125" s="638"/>
      <c r="AX125" s="638"/>
      <c r="AY125" s="484"/>
      <c r="AZ125" s="484"/>
      <c r="BA125" s="671"/>
      <c r="BB125" s="1239"/>
      <c r="BC125" s="169"/>
      <c r="BD125" s="1330"/>
      <c r="BE125" s="1330"/>
      <c r="BF125" s="1330"/>
      <c r="BG125" s="1330"/>
    </row>
    <row r="126" spans="1:59" ht="15.75" customHeight="1">
      <c r="A126" s="1239"/>
      <c r="B126" s="582" t="s">
        <v>3001</v>
      </c>
      <c r="C126" s="446">
        <f>+$C$124+$G$125</f>
        <v>87900.150000000009</v>
      </c>
      <c r="D126" s="448"/>
      <c r="E126" s="448"/>
      <c r="F126" s="448">
        <v>0</v>
      </c>
      <c r="G126" s="455"/>
      <c r="H126" s="1239" t="s">
        <v>874</v>
      </c>
      <c r="I126" s="448"/>
      <c r="J126" s="171"/>
      <c r="K126" s="638"/>
      <c r="L126" s="1239" t="s">
        <v>821</v>
      </c>
      <c r="M126" s="1239" t="str">
        <f>IF(AX126="PT",VLOOKUP(L126,'Foundation Calculation'!$V$2:$X$40,VLOOKUP(AX126,'Foundation Calculation'!$I$10:$J$13,2,FALSE),0),IF(AX126="K",VLOOKUP(L126,'Foundation Calculation'!$V$42:$X$80,VLOOKUP(AX126,'Foundation Calculation'!$I$10:$J$13,2,FALSE),0),""))</f>
        <v>C7R</v>
      </c>
      <c r="N126" s="638" t="s">
        <v>143</v>
      </c>
      <c r="O126" s="638"/>
      <c r="P126" s="638"/>
      <c r="Q126" s="638">
        <v>0</v>
      </c>
      <c r="R126" s="638">
        <v>0</v>
      </c>
      <c r="S126" s="484"/>
      <c r="T126" s="638">
        <v>-35</v>
      </c>
      <c r="U126" s="638"/>
      <c r="V126" s="638"/>
      <c r="W126" s="638">
        <v>1.4</v>
      </c>
      <c r="X126" s="638"/>
      <c r="Y126" s="638"/>
      <c r="Z126" s="638"/>
      <c r="AA126" s="638"/>
      <c r="AB126" s="638"/>
      <c r="AC126" s="638" t="s">
        <v>4090</v>
      </c>
      <c r="AD126" s="638"/>
      <c r="AE126" s="638"/>
      <c r="AF126" s="638">
        <v>6000</v>
      </c>
      <c r="AG126" s="446">
        <v>87900</v>
      </c>
      <c r="AH126" s="638">
        <v>2543</v>
      </c>
      <c r="AI126" s="638">
        <v>450</v>
      </c>
      <c r="AJ126" s="638"/>
      <c r="AK126" s="638"/>
      <c r="AL126" s="1239" t="s">
        <v>2142</v>
      </c>
      <c r="AM126" s="1239" t="s">
        <v>1042</v>
      </c>
      <c r="AN126" s="455">
        <v>5.5</v>
      </c>
      <c r="AO126" s="1239"/>
      <c r="AP126" s="1239"/>
      <c r="AQ126" s="484"/>
      <c r="AR126" s="638"/>
      <c r="AS126" s="638"/>
      <c r="AT126" s="484">
        <f>+ab($T$126,$T$124,$T$128,$G$125,$G$127, 1*$F$126,1200)</f>
        <v>-6.8209152065487553</v>
      </c>
      <c r="AU126" s="638"/>
      <c r="AV126" s="638"/>
      <c r="AW126" s="638" t="str">
        <f>VLOOKUP(C126,'Foundation Calculation'!$A$2:$C$33,3,1)</f>
        <v>Soil A</v>
      </c>
      <c r="AX126" s="638" t="str">
        <f>VLOOKUP(C126,'Foundation Calculation'!$E$2:$G$33,3,1)</f>
        <v>PT</v>
      </c>
      <c r="AY126" s="484">
        <f>IF(AX126="PT",VLOOKUP(L126,'Foundation Calculation'!$K$2:$R$40,VLOOKUP(AW126,'Foundation Calculation'!$I$2:$J$8,2,FALSE),0),IF(AX126="K",VLOOKUP(L126,'Foundation Calculation'!$K$42:$R$80,VLOOKUP(AW126,'Foundation Calculation'!$I$2:$J$8,2,FALSE),0),""))</f>
        <v>4</v>
      </c>
      <c r="AZ126" s="484"/>
      <c r="BA126" s="671" t="s">
        <v>2809</v>
      </c>
      <c r="BB126" s="1239" t="str">
        <f>Pole_Calculations!A178</f>
        <v>App.8-V08F-P10.3</v>
      </c>
      <c r="BC126" s="169"/>
      <c r="BD126" s="1371"/>
      <c r="BE126" s="1371"/>
      <c r="BF126" s="1371"/>
      <c r="BG126" s="1371"/>
    </row>
    <row r="127" spans="1:59" ht="15.75" customHeight="1">
      <c r="A127" s="1239"/>
      <c r="B127" s="447"/>
      <c r="C127" s="446"/>
      <c r="D127" s="448"/>
      <c r="E127" s="448"/>
      <c r="F127" s="448"/>
      <c r="G127" s="455">
        <v>50</v>
      </c>
      <c r="H127" s="1239"/>
      <c r="I127" s="448">
        <f>C146-C126</f>
        <v>566.19999999999709</v>
      </c>
      <c r="J127" s="171"/>
      <c r="K127" s="638"/>
      <c r="L127" s="1239"/>
      <c r="M127" s="638"/>
      <c r="N127" s="1239"/>
      <c r="O127" s="1239"/>
      <c r="P127" s="1239"/>
      <c r="Q127" s="1239"/>
      <c r="R127" s="1239"/>
      <c r="S127" s="455">
        <f t="shared" ref="S127" si="58">AG128-AG126</f>
        <v>50</v>
      </c>
      <c r="T127" s="1239"/>
      <c r="U127" s="1239"/>
      <c r="V127" s="1239"/>
      <c r="W127" s="638"/>
      <c r="X127" s="1239"/>
      <c r="Y127" s="1239"/>
      <c r="Z127" s="1239"/>
      <c r="AA127" s="1239"/>
      <c r="AB127" s="1239"/>
      <c r="AC127" s="1239"/>
      <c r="AD127" s="1239"/>
      <c r="AE127" s="1239"/>
      <c r="AF127" s="638"/>
      <c r="AG127" s="171"/>
      <c r="AH127" s="1239"/>
      <c r="AI127" s="1239"/>
      <c r="AJ127" s="1239"/>
      <c r="AK127" s="1239"/>
      <c r="AL127" s="1239"/>
      <c r="AM127" s="1239"/>
      <c r="AN127" s="455"/>
      <c r="AO127" s="1239"/>
      <c r="AP127" s="1239"/>
      <c r="AQ127" s="484">
        <f>+FL_1($T$128,$T$126,$G$127,1200,9.28, 1*$F$128)</f>
        <v>0.36839079999999996</v>
      </c>
      <c r="AR127" s="638"/>
      <c r="AS127" s="638"/>
      <c r="AT127" s="484"/>
      <c r="AU127" s="638"/>
      <c r="AV127" s="638"/>
      <c r="AW127" s="638"/>
      <c r="AX127" s="638"/>
      <c r="AY127" s="484"/>
      <c r="AZ127" s="484"/>
      <c r="BA127" s="671"/>
      <c r="BB127" s="1239"/>
      <c r="BC127" s="169"/>
      <c r="BD127" s="1330"/>
      <c r="BE127" s="1330"/>
      <c r="BF127" s="1330"/>
      <c r="BG127" s="1330"/>
    </row>
    <row r="128" spans="1:59" ht="15.75" customHeight="1">
      <c r="A128" s="1239"/>
      <c r="B128" s="582" t="s">
        <v>3002</v>
      </c>
      <c r="C128" s="446">
        <f>+$C$126+$G$127</f>
        <v>87950.150000000009</v>
      </c>
      <c r="D128" s="448"/>
      <c r="E128" s="448"/>
      <c r="F128" s="448">
        <v>0</v>
      </c>
      <c r="G128" s="455"/>
      <c r="H128" s="1239" t="s">
        <v>873</v>
      </c>
      <c r="I128" s="448"/>
      <c r="J128" s="171"/>
      <c r="K128" s="638"/>
      <c r="L128" s="1239" t="s">
        <v>821</v>
      </c>
      <c r="M128" s="1239" t="str">
        <f>IF(AX128="PT",VLOOKUP(L128,'Foundation Calculation'!$V$2:$X$40,VLOOKUP(AX128,'Foundation Calculation'!$I$10:$J$13,2,FALSE),0),IF(AX128="K",VLOOKUP(L128,'Foundation Calculation'!$V$42:$X$80,VLOOKUP(AX128,'Foundation Calculation'!$I$10:$J$13,2,FALSE),0),""))</f>
        <v>C7R</v>
      </c>
      <c r="N128" s="638" t="s">
        <v>144</v>
      </c>
      <c r="O128" s="638"/>
      <c r="P128" s="638"/>
      <c r="Q128" s="638">
        <v>0</v>
      </c>
      <c r="R128" s="638">
        <v>0</v>
      </c>
      <c r="S128" s="484"/>
      <c r="T128" s="638">
        <v>35</v>
      </c>
      <c r="U128" s="638"/>
      <c r="V128" s="638"/>
      <c r="W128" s="638">
        <v>1.4</v>
      </c>
      <c r="X128" s="638"/>
      <c r="Y128" s="638"/>
      <c r="Z128" s="638"/>
      <c r="AA128" s="638"/>
      <c r="AB128" s="638"/>
      <c r="AC128" s="638" t="s">
        <v>4090</v>
      </c>
      <c r="AD128" s="638"/>
      <c r="AE128" s="638"/>
      <c r="AF128" s="638">
        <v>6000</v>
      </c>
      <c r="AG128" s="446">
        <v>87950</v>
      </c>
      <c r="AH128" s="638">
        <v>2683</v>
      </c>
      <c r="AI128" s="638">
        <v>510</v>
      </c>
      <c r="AJ128" s="638"/>
      <c r="AK128" s="638"/>
      <c r="AL128" s="1239" t="s">
        <v>2142</v>
      </c>
      <c r="AM128" s="1239" t="s">
        <v>1042</v>
      </c>
      <c r="AN128" s="455">
        <v>5.5</v>
      </c>
      <c r="AO128" s="1239"/>
      <c r="AP128" s="1239"/>
      <c r="AQ128" s="484"/>
      <c r="AR128" s="638"/>
      <c r="AS128" s="638"/>
      <c r="AT128" s="484">
        <f>+ab($T$128,$T$126,$T$130,$G$127,$G$129, 1*$F$128,1200)</f>
        <v>6.9662920876282897</v>
      </c>
      <c r="AU128" s="638"/>
      <c r="AV128" s="638"/>
      <c r="AW128" s="638" t="str">
        <f>VLOOKUP(C128,'Foundation Calculation'!$A$2:$C$33,3,1)</f>
        <v>Soil A</v>
      </c>
      <c r="AX128" s="638" t="str">
        <f>VLOOKUP(C128,'Foundation Calculation'!$E$2:$G$33,3,1)</f>
        <v>PT</v>
      </c>
      <c r="AY128" s="484">
        <f>IF(AX128="PT",VLOOKUP(L128,'Foundation Calculation'!$K$2:$R$40,VLOOKUP(AW128,'Foundation Calculation'!$I$2:$J$8,2,FALSE),0),IF(AX128="K",VLOOKUP(L128,'Foundation Calculation'!$K$42:$R$80,VLOOKUP(AW128,'Foundation Calculation'!$I$2:$J$8,2,FALSE),0),""))</f>
        <v>4</v>
      </c>
      <c r="AZ128" s="484"/>
      <c r="BA128" s="671" t="s">
        <v>2809</v>
      </c>
      <c r="BB128" s="1239" t="str">
        <f>Pole_Calculations!A178</f>
        <v>App.8-V08F-P10.3</v>
      </c>
      <c r="BC128" s="169"/>
      <c r="BD128" s="1371"/>
      <c r="BE128" s="1371"/>
      <c r="BF128" s="1371"/>
      <c r="BG128" s="1371"/>
    </row>
    <row r="129" spans="1:59" ht="15.75" customHeight="1">
      <c r="A129" s="1239"/>
      <c r="B129" s="447"/>
      <c r="C129" s="446"/>
      <c r="D129" s="448"/>
      <c r="E129" s="448"/>
      <c r="F129" s="448"/>
      <c r="G129" s="455">
        <v>52.2</v>
      </c>
      <c r="H129" s="1239"/>
      <c r="I129" s="448"/>
      <c r="J129" s="446">
        <f>C128+7.5</f>
        <v>87957.650000000009</v>
      </c>
      <c r="K129" s="638" t="s">
        <v>2788</v>
      </c>
      <c r="L129" s="1239"/>
      <c r="M129" s="638"/>
      <c r="N129" s="1239"/>
      <c r="O129" s="1239"/>
      <c r="P129" s="1239"/>
      <c r="Q129" s="1239"/>
      <c r="R129" s="1239"/>
      <c r="S129" s="455">
        <f t="shared" ref="S129" si="59">AG130-AG128</f>
        <v>52</v>
      </c>
      <c r="T129" s="1239"/>
      <c r="U129" s="1239"/>
      <c r="V129" s="1239"/>
      <c r="W129" s="638"/>
      <c r="X129" s="1239"/>
      <c r="Y129" s="1239"/>
      <c r="Z129" s="1239"/>
      <c r="AA129" s="1239"/>
      <c r="AB129" s="1239"/>
      <c r="AC129" s="1239"/>
      <c r="AD129" s="1239"/>
      <c r="AE129" s="1239"/>
      <c r="AF129" s="638"/>
      <c r="AG129" s="171"/>
      <c r="AH129" s="1239"/>
      <c r="AI129" s="1239"/>
      <c r="AJ129" s="1239"/>
      <c r="AK129" s="1239"/>
      <c r="AL129" s="1239"/>
      <c r="AM129" s="1239"/>
      <c r="AN129" s="455"/>
      <c r="AO129" s="1239"/>
      <c r="AP129" s="1239"/>
      <c r="AQ129" s="484">
        <f>+FL_2($T$130,$T$128,$G$129,1200,9.28, 1*$F$130)</f>
        <v>-0.37966870363218386</v>
      </c>
      <c r="AR129" s="638"/>
      <c r="AS129" s="638"/>
      <c r="AT129" s="484"/>
      <c r="AU129" s="638"/>
      <c r="AV129" s="638"/>
      <c r="AW129" s="638" t="str">
        <f>VLOOKUP(J129,'Foundation Calculation'!$A$2:$C$33,3,1)</f>
        <v>Soil A</v>
      </c>
      <c r="AX129" s="638" t="str">
        <f>VLOOKUP(J129,'Foundation Calculation'!$E$2:$G$33,3,1)</f>
        <v>PT</v>
      </c>
      <c r="AY129" s="484"/>
      <c r="AZ129" s="484">
        <f>IF(AX129="PT",VLOOKUP(K129,'Foundation Calculation'!$K$2:$R$40,VLOOKUP(AW129,'Foundation Calculation'!$I$2:$J$8,2,FALSE),0),IF(AX129="K",VLOOKUP(K129,'Foundation Calculation'!$K$42:$R$80,VLOOKUP(AW129,'Foundation Calculation'!$I$2:$J$8,2,FALSE),0),""))</f>
        <v>2.8</v>
      </c>
      <c r="BA129" s="671" t="s">
        <v>2809</v>
      </c>
      <c r="BB129" s="1239"/>
      <c r="BC129" s="169"/>
      <c r="BD129" s="1329"/>
      <c r="BE129" s="1330"/>
      <c r="BF129" s="1330"/>
      <c r="BG129" s="1330"/>
    </row>
    <row r="130" spans="1:59" ht="15.75" customHeight="1">
      <c r="A130" s="1239"/>
      <c r="B130" s="582" t="s">
        <v>3003</v>
      </c>
      <c r="C130" s="446">
        <f>+$C$128+$G$129</f>
        <v>88002.35</v>
      </c>
      <c r="D130" s="448"/>
      <c r="E130" s="448"/>
      <c r="F130" s="448">
        <v>0</v>
      </c>
      <c r="G130" s="455"/>
      <c r="H130" s="1239" t="s">
        <v>873</v>
      </c>
      <c r="I130" s="448"/>
      <c r="J130" s="171"/>
      <c r="K130" s="638"/>
      <c r="L130" s="1239" t="s">
        <v>821</v>
      </c>
      <c r="M130" s="1239" t="str">
        <f>IF(AX130="PT",VLOOKUP(L130,'Foundation Calculation'!$V$2:$X$40,VLOOKUP(AX130,'Foundation Calculation'!$I$10:$J$13,2,FALSE),0),IF(AX130="K",VLOOKUP(L130,'Foundation Calculation'!$V$42:$X$80,VLOOKUP(AX130,'Foundation Calculation'!$I$10:$J$13,2,FALSE),0),""))</f>
        <v>C7R</v>
      </c>
      <c r="N130" s="638" t="s">
        <v>143</v>
      </c>
      <c r="O130" s="638"/>
      <c r="P130" s="638"/>
      <c r="Q130" s="638">
        <v>0</v>
      </c>
      <c r="R130" s="638">
        <v>0</v>
      </c>
      <c r="S130" s="484"/>
      <c r="T130" s="638">
        <v>-35</v>
      </c>
      <c r="U130" s="638"/>
      <c r="V130" s="638"/>
      <c r="W130" s="638">
        <v>1.4</v>
      </c>
      <c r="X130" s="638"/>
      <c r="Y130" s="638"/>
      <c r="Z130" s="638"/>
      <c r="AA130" s="638"/>
      <c r="AB130" s="638"/>
      <c r="AC130" s="638" t="s">
        <v>4090</v>
      </c>
      <c r="AD130" s="638"/>
      <c r="AE130" s="638"/>
      <c r="AF130" s="638">
        <v>6000</v>
      </c>
      <c r="AG130" s="446">
        <v>88002</v>
      </c>
      <c r="AH130" s="638">
        <v>2623</v>
      </c>
      <c r="AI130" s="638">
        <v>460</v>
      </c>
      <c r="AJ130" s="638"/>
      <c r="AK130" s="638"/>
      <c r="AL130" s="1239" t="s">
        <v>2142</v>
      </c>
      <c r="AM130" s="1239" t="s">
        <v>1042</v>
      </c>
      <c r="AN130" s="455">
        <v>5.5</v>
      </c>
      <c r="AO130" s="1239"/>
      <c r="AP130" s="1239"/>
      <c r="AQ130" s="484"/>
      <c r="AR130" s="638"/>
      <c r="AS130" s="638"/>
      <c r="AT130" s="484">
        <f>+ab($T$130,$T$128,$T$132,$G$129,$G$131, 1*$F$130,1200)</f>
        <v>-7.3019597346571015</v>
      </c>
      <c r="AU130" s="638"/>
      <c r="AV130" s="638"/>
      <c r="AW130" s="638" t="str">
        <f>VLOOKUP(C130,'Foundation Calculation'!$A$2:$C$33,3,1)</f>
        <v>Soil A</v>
      </c>
      <c r="AX130" s="638" t="str">
        <f>VLOOKUP(C130,'Foundation Calculation'!$E$2:$G$33,3,1)</f>
        <v>PT</v>
      </c>
      <c r="AY130" s="484">
        <f>IF(AX130="PT",VLOOKUP(L130,'Foundation Calculation'!$K$2:$R$40,VLOOKUP(AW130,'Foundation Calculation'!$I$2:$J$8,2,FALSE),0),IF(AX130="K",VLOOKUP(L130,'Foundation Calculation'!$K$42:$R$80,VLOOKUP(AW130,'Foundation Calculation'!$I$2:$J$8,2,FALSE),0),""))</f>
        <v>4</v>
      </c>
      <c r="AZ130" s="484"/>
      <c r="BA130" s="671" t="s">
        <v>2809</v>
      </c>
      <c r="BB130" s="1239" t="str">
        <f>Pole_Calculations!A178</f>
        <v>App.8-V08F-P10.3</v>
      </c>
      <c r="BC130" s="169"/>
      <c r="BD130" s="1371"/>
      <c r="BE130" s="1371"/>
      <c r="BF130" s="1371"/>
      <c r="BG130" s="1371"/>
    </row>
    <row r="131" spans="1:59" ht="15.75" customHeight="1">
      <c r="A131" s="1239"/>
      <c r="B131" s="447"/>
      <c r="C131" s="446"/>
      <c r="D131" s="448"/>
      <c r="E131" s="448"/>
      <c r="F131" s="448"/>
      <c r="G131" s="455">
        <v>55</v>
      </c>
      <c r="H131" s="1239"/>
      <c r="I131" s="448"/>
      <c r="J131" s="446">
        <f>C130+7.5</f>
        <v>88009.85</v>
      </c>
      <c r="K131" s="638" t="s">
        <v>2788</v>
      </c>
      <c r="L131" s="1239"/>
      <c r="M131" s="638"/>
      <c r="N131" s="1239"/>
      <c r="O131" s="1239"/>
      <c r="P131" s="1239"/>
      <c r="Q131" s="1239"/>
      <c r="R131" s="1239"/>
      <c r="S131" s="455">
        <f t="shared" ref="S131" si="60">AG132-AG130</f>
        <v>55</v>
      </c>
      <c r="T131" s="1239"/>
      <c r="U131" s="1239"/>
      <c r="V131" s="1239"/>
      <c r="W131" s="638"/>
      <c r="X131" s="1239"/>
      <c r="Y131" s="1239"/>
      <c r="Z131" s="1239"/>
      <c r="AA131" s="1239"/>
      <c r="AB131" s="1239"/>
      <c r="AC131" s="1239"/>
      <c r="AD131" s="1239"/>
      <c r="AE131" s="1239"/>
      <c r="AF131" s="638"/>
      <c r="AG131" s="171"/>
      <c r="AH131" s="1239"/>
      <c r="AI131" s="1239"/>
      <c r="AJ131" s="1239"/>
      <c r="AK131" s="1239"/>
      <c r="AL131" s="1239"/>
      <c r="AM131" s="1239"/>
      <c r="AN131" s="455"/>
      <c r="AO131" s="1239"/>
      <c r="AP131" s="1239"/>
      <c r="AQ131" s="484">
        <f>+FL_2($T$132,$T$130,$G$131,1200,9.28, 1*$F$132)</f>
        <v>-0.39714735709090898</v>
      </c>
      <c r="AR131" s="638"/>
      <c r="AS131" s="638"/>
      <c r="AT131" s="484"/>
      <c r="AU131" s="638"/>
      <c r="AV131" s="638"/>
      <c r="AW131" s="638" t="str">
        <f>VLOOKUP(J131,'Foundation Calculation'!$A$2:$C$33,3,1)</f>
        <v>Soil A</v>
      </c>
      <c r="AX131" s="638" t="str">
        <f>VLOOKUP(J131,'Foundation Calculation'!$E$2:$G$33,3,1)</f>
        <v>PT</v>
      </c>
      <c r="AY131" s="484"/>
      <c r="AZ131" s="484">
        <f>IF(AX131="PT",VLOOKUP(K131,'Foundation Calculation'!$K$2:$R$40,VLOOKUP(AW131,'Foundation Calculation'!$I$2:$J$8,2,FALSE),0),IF(AX131="K",VLOOKUP(K131,'Foundation Calculation'!$K$42:$R$80,VLOOKUP(AW131,'Foundation Calculation'!$I$2:$J$8,2,FALSE),0),""))</f>
        <v>2.8</v>
      </c>
      <c r="BA131" s="671" t="s">
        <v>2809</v>
      </c>
      <c r="BB131" s="1239"/>
      <c r="BC131" s="169"/>
      <c r="BD131" s="1329"/>
      <c r="BE131" s="1330"/>
      <c r="BF131" s="1330"/>
      <c r="BG131" s="1330"/>
    </row>
    <row r="132" spans="1:59" ht="15.75" customHeight="1">
      <c r="A132" s="1239"/>
      <c r="B132" s="582" t="s">
        <v>3004</v>
      </c>
      <c r="C132" s="446">
        <f>+$C$130+$G$131</f>
        <v>88057.35</v>
      </c>
      <c r="D132" s="448"/>
      <c r="E132" s="448"/>
      <c r="F132" s="448">
        <v>0</v>
      </c>
      <c r="G132" s="455"/>
      <c r="H132" s="1239"/>
      <c r="I132" s="448"/>
      <c r="J132" s="171"/>
      <c r="K132" s="638"/>
      <c r="L132" s="1239" t="s">
        <v>821</v>
      </c>
      <c r="M132" s="1239" t="str">
        <f>IF(AX132="PT",VLOOKUP(L132,'Foundation Calculation'!$V$2:$X$40,VLOOKUP(AX132,'Foundation Calculation'!$I$10:$J$13,2,FALSE),0),IF(AX132="K",VLOOKUP(L132,'Foundation Calculation'!$V$42:$X$80,VLOOKUP(AX132,'Foundation Calculation'!$I$10:$J$13,2,FALSE),0),""))</f>
        <v>C7R</v>
      </c>
      <c r="N132" s="638" t="s">
        <v>144</v>
      </c>
      <c r="O132" s="638"/>
      <c r="P132" s="638"/>
      <c r="Q132" s="638">
        <v>0</v>
      </c>
      <c r="R132" s="638">
        <v>0</v>
      </c>
      <c r="S132" s="484"/>
      <c r="T132" s="638">
        <v>35</v>
      </c>
      <c r="U132" s="638"/>
      <c r="V132" s="638"/>
      <c r="W132" s="638">
        <v>1.4</v>
      </c>
      <c r="X132" s="638"/>
      <c r="Y132" s="638"/>
      <c r="Z132" s="638"/>
      <c r="AA132" s="638"/>
      <c r="AB132" s="638"/>
      <c r="AC132" s="638" t="s">
        <v>4090</v>
      </c>
      <c r="AD132" s="638"/>
      <c r="AE132" s="638"/>
      <c r="AF132" s="638">
        <v>6000</v>
      </c>
      <c r="AG132" s="446">
        <v>88057</v>
      </c>
      <c r="AH132" s="638">
        <v>2563</v>
      </c>
      <c r="AI132" s="638">
        <v>420</v>
      </c>
      <c r="AJ132" s="638"/>
      <c r="AK132" s="638"/>
      <c r="AL132" s="1239" t="s">
        <v>2142</v>
      </c>
      <c r="AM132" s="1239" t="s">
        <v>1042</v>
      </c>
      <c r="AN132" s="455">
        <v>5.5</v>
      </c>
      <c r="AO132" s="1239"/>
      <c r="AP132" s="1239"/>
      <c r="AQ132" s="484"/>
      <c r="AR132" s="638"/>
      <c r="AS132" s="638"/>
      <c r="AT132" s="484">
        <f>+ab($T$132,$T$130,$T$134,$G$131,$G$133, 1*$F$132,1200)</f>
        <v>7.8175137683875535</v>
      </c>
      <c r="AU132" s="638"/>
      <c r="AV132" s="638"/>
      <c r="AW132" s="638" t="str">
        <f>VLOOKUP(C132,'Foundation Calculation'!$A$2:$C$33,3,1)</f>
        <v>Soil A</v>
      </c>
      <c r="AX132" s="638" t="str">
        <f>VLOOKUP(C132,'Foundation Calculation'!$E$2:$G$33,3,1)</f>
        <v>PT</v>
      </c>
      <c r="AY132" s="484">
        <f>IF(AX132="PT",VLOOKUP(L132,'Foundation Calculation'!$K$2:$R$40,VLOOKUP(AW132,'Foundation Calculation'!$I$2:$J$8,2,FALSE),0),IF(AX132="K",VLOOKUP(L132,'Foundation Calculation'!$K$42:$R$80,VLOOKUP(AW132,'Foundation Calculation'!$I$2:$J$8,2,FALSE),0),""))</f>
        <v>4</v>
      </c>
      <c r="AZ132" s="484"/>
      <c r="BA132" s="671" t="s">
        <v>2809</v>
      </c>
      <c r="BB132" s="1239" t="str">
        <f>Pole_Calculations!A178</f>
        <v>App.8-V08F-P10.3</v>
      </c>
      <c r="BC132" s="169"/>
      <c r="BD132" s="1371"/>
      <c r="BE132" s="1371"/>
      <c r="BF132" s="1371"/>
      <c r="BG132" s="1371"/>
    </row>
    <row r="133" spans="1:59" ht="15.75" customHeight="1">
      <c r="A133" s="1239"/>
      <c r="B133" s="447"/>
      <c r="C133" s="446"/>
      <c r="D133" s="448"/>
      <c r="E133" s="448"/>
      <c r="F133" s="448"/>
      <c r="G133" s="455">
        <v>60</v>
      </c>
      <c r="H133" s="1239"/>
      <c r="I133" s="448"/>
      <c r="J133" s="171"/>
      <c r="K133" s="638"/>
      <c r="L133" s="1239"/>
      <c r="M133" s="638"/>
      <c r="N133" s="1239"/>
      <c r="O133" s="1239"/>
      <c r="P133" s="1239"/>
      <c r="Q133" s="1239"/>
      <c r="R133" s="1239"/>
      <c r="S133" s="455">
        <f t="shared" ref="S133" si="61">AG134-AG132</f>
        <v>60</v>
      </c>
      <c r="T133" s="1239"/>
      <c r="U133" s="1239"/>
      <c r="V133" s="1239"/>
      <c r="W133" s="638"/>
      <c r="X133" s="1239"/>
      <c r="Y133" s="1239"/>
      <c r="Z133" s="1239"/>
      <c r="AA133" s="1239"/>
      <c r="AB133" s="1239"/>
      <c r="AC133" s="1239"/>
      <c r="AD133" s="1239"/>
      <c r="AE133" s="1239"/>
      <c r="AF133" s="638"/>
      <c r="AG133" s="171"/>
      <c r="AH133" s="1239"/>
      <c r="AI133" s="1239"/>
      <c r="AJ133" s="1239"/>
      <c r="AK133" s="1239"/>
      <c r="AL133" s="1239"/>
      <c r="AM133" s="1239"/>
      <c r="AN133" s="455"/>
      <c r="AO133" s="1239"/>
      <c r="AP133" s="1239"/>
      <c r="AQ133" s="484">
        <f>+FL_2($T$134,$T$132,$G$133,1200,9.28, 1*$F$134)</f>
        <v>-0.43600286799999999</v>
      </c>
      <c r="AR133" s="638"/>
      <c r="AS133" s="638"/>
      <c r="AT133" s="484"/>
      <c r="AU133" s="638"/>
      <c r="AV133" s="638"/>
      <c r="AW133" s="638"/>
      <c r="AX133" s="638"/>
      <c r="AY133" s="484"/>
      <c r="AZ133" s="484"/>
      <c r="BA133" s="671"/>
      <c r="BB133" s="1239"/>
      <c r="BC133" s="169"/>
      <c r="BD133" s="1330"/>
      <c r="BE133" s="1330"/>
      <c r="BF133" s="1330"/>
      <c r="BG133" s="1330"/>
    </row>
    <row r="134" spans="1:59" ht="15.75" customHeight="1">
      <c r="A134" s="449"/>
      <c r="B134" s="485" t="s">
        <v>3005</v>
      </c>
      <c r="C134" s="446">
        <f>+$C$132+$G$133</f>
        <v>88117.35</v>
      </c>
      <c r="D134" s="638"/>
      <c r="E134" s="638"/>
      <c r="F134" s="448">
        <v>0</v>
      </c>
      <c r="G134" s="484"/>
      <c r="H134" s="1239"/>
      <c r="I134" s="448"/>
      <c r="J134" s="446"/>
      <c r="K134" s="638"/>
      <c r="L134" s="1239" t="s">
        <v>821</v>
      </c>
      <c r="M134" s="1239" t="str">
        <f>IF(AX134="PT",VLOOKUP(L134,'Foundation Calculation'!$V$2:$X$40,VLOOKUP(AX134,'Foundation Calculation'!$I$10:$J$13,2,FALSE),0),IF(AX134="K",VLOOKUP(L134,'Foundation Calculation'!$V$42:$X$80,VLOOKUP(AX134,'Foundation Calculation'!$I$10:$J$13,2,FALSE),0),""))</f>
        <v>C7R</v>
      </c>
      <c r="N134" s="638" t="s">
        <v>143</v>
      </c>
      <c r="O134" s="638"/>
      <c r="P134" s="638"/>
      <c r="Q134" s="638">
        <v>0</v>
      </c>
      <c r="R134" s="638">
        <v>0</v>
      </c>
      <c r="S134" s="484"/>
      <c r="T134" s="638">
        <v>-35</v>
      </c>
      <c r="U134" s="638"/>
      <c r="V134" s="638"/>
      <c r="W134" s="638">
        <v>1.4</v>
      </c>
      <c r="X134" s="638"/>
      <c r="Y134" s="638"/>
      <c r="Z134" s="638"/>
      <c r="AA134" s="638"/>
      <c r="AB134" s="638"/>
      <c r="AC134" s="638" t="s">
        <v>1421</v>
      </c>
      <c r="AD134" s="638"/>
      <c r="AE134" s="638"/>
      <c r="AF134" s="638">
        <v>6000</v>
      </c>
      <c r="AG134" s="446">
        <v>88117</v>
      </c>
      <c r="AH134" s="638">
        <v>2663</v>
      </c>
      <c r="AI134" s="638">
        <v>390</v>
      </c>
      <c r="AJ134" s="638"/>
      <c r="AK134" s="638"/>
      <c r="AL134" s="1239" t="s">
        <v>2142</v>
      </c>
      <c r="AM134" s="1239" t="s">
        <v>1042</v>
      </c>
      <c r="AN134" s="455">
        <v>5.5</v>
      </c>
      <c r="AO134" s="1239"/>
      <c r="AP134" s="1239"/>
      <c r="AQ134" s="484"/>
      <c r="AR134" s="638"/>
      <c r="AS134" s="638"/>
      <c r="AT134" s="484">
        <f>+ab($T$134,$T$132,$T$136,$G$133,$G$135, 1*$F$134,1200)</f>
        <v>-8.300256796512933</v>
      </c>
      <c r="AU134" s="638"/>
      <c r="AV134" s="638"/>
      <c r="AW134" s="638" t="str">
        <f>VLOOKUP(C134,'Foundation Calculation'!$A$2:$C$33,3,1)</f>
        <v>Soil A</v>
      </c>
      <c r="AX134" s="638" t="str">
        <f>VLOOKUP(C134,'Foundation Calculation'!$E$2:$G$33,3,1)</f>
        <v>PT</v>
      </c>
      <c r="AY134" s="484">
        <f>IF(AX134="PT",VLOOKUP(L134,'Foundation Calculation'!$K$2:$R$40,VLOOKUP(AW134,'Foundation Calculation'!$I$2:$J$8,2,FALSE),0),IF(AX134="K",VLOOKUP(L134,'Foundation Calculation'!$K$42:$R$80,VLOOKUP(AW134,'Foundation Calculation'!$I$2:$J$8,2,FALSE),0),""))</f>
        <v>4</v>
      </c>
      <c r="AZ134" s="484"/>
      <c r="BA134" s="671" t="s">
        <v>2809</v>
      </c>
      <c r="BB134" s="449" t="str">
        <f>Pole_Calculations!A178</f>
        <v>App.8-V08F-P10.3</v>
      </c>
      <c r="BC134" s="169"/>
      <c r="BD134" s="1371"/>
      <c r="BE134" s="1371"/>
      <c r="BF134" s="1371"/>
      <c r="BG134" s="1371"/>
    </row>
    <row r="135" spans="1:59" ht="15.75" customHeight="1">
      <c r="A135" s="449"/>
      <c r="B135" s="445"/>
      <c r="C135" s="446"/>
      <c r="D135" s="638"/>
      <c r="E135" s="638"/>
      <c r="F135" s="448"/>
      <c r="G135" s="484">
        <v>62</v>
      </c>
      <c r="H135" s="1239"/>
      <c r="I135" s="448"/>
      <c r="J135" s="446">
        <f>C136-7.5</f>
        <v>88171.85</v>
      </c>
      <c r="K135" s="638" t="s">
        <v>2787</v>
      </c>
      <c r="L135" s="638"/>
      <c r="M135" s="638"/>
      <c r="N135" s="638"/>
      <c r="O135" s="638"/>
      <c r="P135" s="638"/>
      <c r="Q135" s="638"/>
      <c r="R135" s="638"/>
      <c r="S135" s="484">
        <f t="shared" ref="S135" si="62">AG136-AG134</f>
        <v>62</v>
      </c>
      <c r="T135" s="638"/>
      <c r="U135" s="638"/>
      <c r="V135" s="638"/>
      <c r="W135" s="638"/>
      <c r="X135" s="638"/>
      <c r="Y135" s="638"/>
      <c r="Z135" s="638"/>
      <c r="AA135" s="638"/>
      <c r="AB135" s="638"/>
      <c r="AC135" s="638"/>
      <c r="AD135" s="638"/>
      <c r="AE135" s="638"/>
      <c r="AF135" s="638"/>
      <c r="AG135" s="446"/>
      <c r="AH135" s="638"/>
      <c r="AI135" s="638"/>
      <c r="AJ135" s="638"/>
      <c r="AK135" s="638"/>
      <c r="AL135" s="638"/>
      <c r="AM135" s="638"/>
      <c r="AN135" s="455"/>
      <c r="AO135" s="1239"/>
      <c r="AP135" s="1239"/>
      <c r="AQ135" s="484">
        <f>+FL_1($T$136,$T$134,$G$135,1200,9.28, 1*$F$136)</f>
        <v>0.45400350967741931</v>
      </c>
      <c r="AR135" s="638"/>
      <c r="AS135" s="638"/>
      <c r="AT135" s="484"/>
      <c r="AU135" s="638"/>
      <c r="AV135" s="638"/>
      <c r="AW135" s="638" t="str">
        <f>VLOOKUP(J135,'Foundation Calculation'!$A$2:$C$33,3,1)</f>
        <v>Soil A</v>
      </c>
      <c r="AX135" s="638" t="str">
        <f>VLOOKUP(J135,'Foundation Calculation'!$E$2:$G$33,3,1)</f>
        <v>PT</v>
      </c>
      <c r="AY135" s="484"/>
      <c r="AZ135" s="484">
        <f>IF(AX135="PT",VLOOKUP(K135,'Foundation Calculation'!$K$2:$R$40,VLOOKUP(AW135,'Foundation Calculation'!$I$2:$J$8,2,FALSE),0),IF(AX135="K",VLOOKUP(K135,'Foundation Calculation'!$K$42:$R$80,VLOOKUP(AW135,'Foundation Calculation'!$I$2:$J$8,2,FALSE),0),""))</f>
        <v>3.3</v>
      </c>
      <c r="BA135" s="671" t="s">
        <v>2809</v>
      </c>
      <c r="BB135" s="449"/>
      <c r="BC135" s="169"/>
      <c r="BD135" s="1329"/>
      <c r="BE135" s="1330"/>
      <c r="BF135" s="1330"/>
      <c r="BG135" s="1330"/>
    </row>
    <row r="136" spans="1:59" ht="15.75" customHeight="1">
      <c r="A136" s="449"/>
      <c r="B136" s="485" t="s">
        <v>3006</v>
      </c>
      <c r="C136" s="446">
        <f>+$C$134+$G$135</f>
        <v>88179.35</v>
      </c>
      <c r="D136" s="638"/>
      <c r="E136" s="638"/>
      <c r="F136" s="448">
        <v>0</v>
      </c>
      <c r="G136" s="484"/>
      <c r="H136" s="1239" t="s">
        <v>138</v>
      </c>
      <c r="I136" s="448" t="s">
        <v>623</v>
      </c>
      <c r="J136" s="446"/>
      <c r="K136" s="638"/>
      <c r="L136" s="1239" t="s">
        <v>821</v>
      </c>
      <c r="M136" s="1239" t="str">
        <f>IF(AX136="PT",VLOOKUP(L136,'Foundation Calculation'!$V$2:$X$40,VLOOKUP(AX136,'Foundation Calculation'!$I$10:$J$13,2,FALSE),0),IF(AX136="K",VLOOKUP(L136,'Foundation Calculation'!$V$42:$X$80,VLOOKUP(AX136,'Foundation Calculation'!$I$10:$J$13,2,FALSE),0),""))</f>
        <v>C7R</v>
      </c>
      <c r="N136" s="638" t="s">
        <v>144</v>
      </c>
      <c r="O136" s="638"/>
      <c r="P136" s="638"/>
      <c r="Q136" s="638">
        <v>0</v>
      </c>
      <c r="R136" s="638">
        <v>0</v>
      </c>
      <c r="S136" s="484"/>
      <c r="T136" s="638">
        <v>35</v>
      </c>
      <c r="U136" s="638"/>
      <c r="V136" s="638"/>
      <c r="W136" s="638">
        <v>1.4</v>
      </c>
      <c r="X136" s="638"/>
      <c r="Y136" s="638"/>
      <c r="Z136" s="638"/>
      <c r="AA136" s="638"/>
      <c r="AB136" s="638"/>
      <c r="AC136" s="638" t="s">
        <v>1421</v>
      </c>
      <c r="AD136" s="638"/>
      <c r="AE136" s="638"/>
      <c r="AF136" s="638">
        <v>6000</v>
      </c>
      <c r="AG136" s="446">
        <v>88179</v>
      </c>
      <c r="AH136" s="638">
        <v>2823</v>
      </c>
      <c r="AI136" s="638">
        <v>470</v>
      </c>
      <c r="AJ136" s="638"/>
      <c r="AK136" s="638"/>
      <c r="AL136" s="1239" t="s">
        <v>2142</v>
      </c>
      <c r="AM136" s="1239" t="s">
        <v>1042</v>
      </c>
      <c r="AN136" s="455">
        <v>5.5</v>
      </c>
      <c r="AO136" s="1239"/>
      <c r="AP136" s="1239"/>
      <c r="AQ136" s="484"/>
      <c r="AR136" s="638"/>
      <c r="AS136" s="638"/>
      <c r="AT136" s="484">
        <f>+ab($T$136,$T$134,$U$138,$G$135,$G$137, 1*$F$136,1200)</f>
        <v>8.4365744899000195</v>
      </c>
      <c r="AU136" s="638"/>
      <c r="AV136" s="638"/>
      <c r="AW136" s="638" t="str">
        <f>VLOOKUP(C136,'Foundation Calculation'!$A$2:$C$33,3,1)</f>
        <v>Soil A</v>
      </c>
      <c r="AX136" s="638" t="str">
        <f>VLOOKUP(C136,'Foundation Calculation'!$E$2:$G$33,3,1)</f>
        <v>PT</v>
      </c>
      <c r="AY136" s="484">
        <f>IF(AX136="PT",VLOOKUP(L136,'Foundation Calculation'!$K$2:$R$40,VLOOKUP(AW136,'Foundation Calculation'!$I$2:$J$8,2,FALSE),0),IF(AX136="K",VLOOKUP(L136,'Foundation Calculation'!$K$42:$R$80,VLOOKUP(AW136,'Foundation Calculation'!$I$2:$J$8,2,FALSE),0),""))</f>
        <v>4</v>
      </c>
      <c r="AZ136" s="484"/>
      <c r="BA136" s="671" t="s">
        <v>2809</v>
      </c>
      <c r="BB136" s="449" t="str">
        <f>Pole_Calculations!A178</f>
        <v>App.8-V08F-P10.3</v>
      </c>
      <c r="BC136" s="169"/>
      <c r="BD136" s="1371"/>
      <c r="BE136" s="1371"/>
      <c r="BF136" s="1371"/>
      <c r="BG136" s="1371"/>
    </row>
    <row r="137" spans="1:59" ht="15.75" customHeight="1">
      <c r="A137" s="449"/>
      <c r="B137" s="445"/>
      <c r="C137" s="446"/>
      <c r="D137" s="638"/>
      <c r="E137" s="638"/>
      <c r="F137" s="448"/>
      <c r="G137" s="484">
        <v>62</v>
      </c>
      <c r="H137" s="1239"/>
      <c r="I137" s="448"/>
      <c r="J137" s="446">
        <f>C138-7.5</f>
        <v>88233.85</v>
      </c>
      <c r="K137" s="638" t="s">
        <v>2787</v>
      </c>
      <c r="L137" s="638"/>
      <c r="M137" s="638"/>
      <c r="N137" s="638"/>
      <c r="O137" s="638"/>
      <c r="P137" s="638"/>
      <c r="Q137" s="638"/>
      <c r="R137" s="638"/>
      <c r="S137" s="484">
        <f t="shared" ref="S137" si="63">AG138-AG136</f>
        <v>62</v>
      </c>
      <c r="T137" s="638"/>
      <c r="U137" s="638"/>
      <c r="V137" s="638"/>
      <c r="W137" s="638"/>
      <c r="X137" s="638"/>
      <c r="Y137" s="638"/>
      <c r="Z137" s="638"/>
      <c r="AA137" s="638"/>
      <c r="AB137" s="638"/>
      <c r="AC137" s="638"/>
      <c r="AD137" s="638"/>
      <c r="AE137" s="638"/>
      <c r="AF137" s="638"/>
      <c r="AG137" s="446"/>
      <c r="AH137" s="638"/>
      <c r="AI137" s="638"/>
      <c r="AJ137" s="638"/>
      <c r="AK137" s="638"/>
      <c r="AL137" s="638"/>
      <c r="AM137" s="638"/>
      <c r="AN137" s="455"/>
      <c r="AO137" s="1239"/>
      <c r="AP137" s="1239"/>
      <c r="AQ137" s="484">
        <f>+FL_1($U$138,$T$136,$G$137,1200,9.28, 1*$F$138)</f>
        <v>0.45400350967741937</v>
      </c>
      <c r="AR137" s="638"/>
      <c r="AS137" s="638"/>
      <c r="AT137" s="484"/>
      <c r="AU137" s="638"/>
      <c r="AV137" s="638"/>
      <c r="AW137" s="638" t="str">
        <f>VLOOKUP(J137,'Foundation Calculation'!$A$2:$C$33,3,1)</f>
        <v>Soil A</v>
      </c>
      <c r="AX137" s="638" t="str">
        <f>VLOOKUP(J137,'Foundation Calculation'!$E$2:$G$33,3,1)</f>
        <v>PT</v>
      </c>
      <c r="AY137" s="484"/>
      <c r="AZ137" s="484">
        <f>IF(AX137="PT",VLOOKUP(K137,'Foundation Calculation'!$K$2:$R$40,VLOOKUP(AW137,'Foundation Calculation'!$I$2:$J$8,2,FALSE),0),IF(AX137="K",VLOOKUP(K137,'Foundation Calculation'!$K$42:$R$80,VLOOKUP(AW137,'Foundation Calculation'!$I$2:$J$8,2,FALSE),0),""))</f>
        <v>3.3</v>
      </c>
      <c r="BA137" s="671" t="s">
        <v>2809</v>
      </c>
      <c r="BB137" s="449"/>
      <c r="BC137" s="169"/>
      <c r="BD137" s="1329"/>
      <c r="BE137" s="1330"/>
      <c r="BF137" s="1330"/>
      <c r="BG137" s="1330"/>
    </row>
    <row r="138" spans="1:59" ht="15.75" customHeight="1">
      <c r="A138" s="449"/>
      <c r="B138" s="485" t="s">
        <v>3007</v>
      </c>
      <c r="C138" s="446">
        <f>+$C$136+$G$137</f>
        <v>88241.35</v>
      </c>
      <c r="D138" s="638"/>
      <c r="E138" s="638"/>
      <c r="F138" s="448">
        <v>0</v>
      </c>
      <c r="G138" s="484"/>
      <c r="H138" s="1239" t="s">
        <v>2139</v>
      </c>
      <c r="I138" s="448" t="s">
        <v>623</v>
      </c>
      <c r="J138" s="446"/>
      <c r="K138" s="638"/>
      <c r="L138" s="1239" t="s">
        <v>821</v>
      </c>
      <c r="M138" s="1239" t="str">
        <f>IF(AX138="PT",VLOOKUP(L138,'Foundation Calculation'!$V$2:$X$40,VLOOKUP(AX138,'Foundation Calculation'!$I$10:$J$13,2,FALSE),0),IF(AX138="K",VLOOKUP(L138,'Foundation Calculation'!$V$42:$X$80,VLOOKUP(AX138,'Foundation Calculation'!$I$10:$J$13,2,FALSE),0),""))</f>
        <v>C7R</v>
      </c>
      <c r="N138" s="638" t="s">
        <v>140</v>
      </c>
      <c r="O138" s="638" t="s">
        <v>143</v>
      </c>
      <c r="P138" s="638"/>
      <c r="Q138" s="638">
        <v>0</v>
      </c>
      <c r="R138" s="638">
        <v>0</v>
      </c>
      <c r="S138" s="484"/>
      <c r="T138" s="638">
        <v>45</v>
      </c>
      <c r="U138" s="638">
        <v>-35</v>
      </c>
      <c r="V138" s="638"/>
      <c r="W138" s="638">
        <v>1.4</v>
      </c>
      <c r="X138" s="638">
        <v>2.2999999999999998</v>
      </c>
      <c r="Y138" s="638"/>
      <c r="Z138" s="638">
        <v>0.6</v>
      </c>
      <c r="AA138" s="638"/>
      <c r="AB138" s="638"/>
      <c r="AC138" s="638" t="s">
        <v>1421</v>
      </c>
      <c r="AD138" s="638"/>
      <c r="AE138" s="638"/>
      <c r="AF138" s="638">
        <v>6000</v>
      </c>
      <c r="AG138" s="446">
        <v>88241</v>
      </c>
      <c r="AH138" s="638">
        <v>2693</v>
      </c>
      <c r="AI138" s="638">
        <v>480</v>
      </c>
      <c r="AJ138" s="638"/>
      <c r="AK138" s="638"/>
      <c r="AL138" s="1239" t="s">
        <v>2142</v>
      </c>
      <c r="AM138" s="1239" t="s">
        <v>1042</v>
      </c>
      <c r="AN138" s="455">
        <v>5.5</v>
      </c>
      <c r="AO138" s="1239"/>
      <c r="AP138" s="1239"/>
      <c r="AQ138" s="484"/>
      <c r="AR138" s="638"/>
      <c r="AS138" s="638"/>
      <c r="AT138" s="484">
        <f>+ab($U$138,$T$136,$U$140,$G$137,$G$139, 1*$F$138,1200)</f>
        <v>-8.7443431418580957</v>
      </c>
      <c r="AU138" s="638"/>
      <c r="AV138" s="638"/>
      <c r="AW138" s="638" t="str">
        <f>VLOOKUP(C138,'Foundation Calculation'!$A$2:$C$33,3,1)</f>
        <v>Soil A</v>
      </c>
      <c r="AX138" s="638" t="str">
        <f>VLOOKUP(C138,'Foundation Calculation'!$E$2:$G$33,3,1)</f>
        <v>PT</v>
      </c>
      <c r="AY138" s="484">
        <f>IF(AX138="PT",VLOOKUP(L138,'Foundation Calculation'!$K$2:$R$40,VLOOKUP(AW138,'Foundation Calculation'!$I$2:$J$8,2,FALSE),0),IF(AX138="K",VLOOKUP(L138,'Foundation Calculation'!$K$42:$R$80,VLOOKUP(AW138,'Foundation Calculation'!$I$2:$J$8,2,FALSE),0),""))</f>
        <v>4</v>
      </c>
      <c r="AZ138" s="484"/>
      <c r="BA138" s="671" t="s">
        <v>2809</v>
      </c>
      <c r="BB138" s="449" t="str">
        <f>Pole_Calculations!A178</f>
        <v>App.8-V08F-P10.3</v>
      </c>
      <c r="BC138" s="169"/>
      <c r="BD138" s="1371"/>
      <c r="BE138" s="1371"/>
      <c r="BF138" s="1371"/>
      <c r="BG138" s="1371"/>
    </row>
    <row r="139" spans="1:59" ht="15.75" customHeight="1">
      <c r="A139" s="449"/>
      <c r="B139" s="445"/>
      <c r="C139" s="446"/>
      <c r="D139" s="638"/>
      <c r="E139" s="638"/>
      <c r="F139" s="448"/>
      <c r="G139" s="484">
        <v>62</v>
      </c>
      <c r="H139" s="1239"/>
      <c r="I139" s="448">
        <v>650</v>
      </c>
      <c r="J139" s="446">
        <f>C140-7.5</f>
        <v>88295.85</v>
      </c>
      <c r="K139" s="638" t="s">
        <v>2787</v>
      </c>
      <c r="L139" s="638"/>
      <c r="M139" s="638"/>
      <c r="N139" s="638"/>
      <c r="O139" s="638"/>
      <c r="P139" s="638"/>
      <c r="Q139" s="638"/>
      <c r="R139" s="638"/>
      <c r="S139" s="484">
        <f t="shared" ref="S139" si="64">AG140-AG138</f>
        <v>62</v>
      </c>
      <c r="T139" s="638"/>
      <c r="U139" s="638"/>
      <c r="V139" s="638"/>
      <c r="W139" s="638"/>
      <c r="X139" s="638"/>
      <c r="Y139" s="638"/>
      <c r="Z139" s="638"/>
      <c r="AA139" s="638"/>
      <c r="AB139" s="638"/>
      <c r="AC139" s="638"/>
      <c r="AD139" s="638"/>
      <c r="AE139" s="638"/>
      <c r="AF139" s="638"/>
      <c r="AG139" s="446"/>
      <c r="AH139" s="638"/>
      <c r="AI139" s="638"/>
      <c r="AJ139" s="638"/>
      <c r="AK139" s="638"/>
      <c r="AL139" s="638"/>
      <c r="AM139" s="638"/>
      <c r="AN139" s="455"/>
      <c r="AO139" s="1239"/>
      <c r="AP139" s="1239"/>
      <c r="AQ139" s="484">
        <f>+FL_1($U$140,$U$138,$G$139,1200,9.28, 1*$F$140)</f>
        <v>0.41765016498924729</v>
      </c>
      <c r="AR139" s="638"/>
      <c r="AS139" s="638"/>
      <c r="AT139" s="484"/>
      <c r="AU139" s="638"/>
      <c r="AV139" s="638"/>
      <c r="AW139" s="638" t="str">
        <f>VLOOKUP(J139,'Foundation Calculation'!$A$2:$C$33,3,1)</f>
        <v>Soil A</v>
      </c>
      <c r="AX139" s="638" t="str">
        <f>VLOOKUP(J139,'Foundation Calculation'!$E$2:$G$33,3,1)</f>
        <v>PT</v>
      </c>
      <c r="AY139" s="484"/>
      <c r="AZ139" s="484">
        <f>IF(AX139="PT",VLOOKUP(K139,'Foundation Calculation'!$K$2:$R$40,VLOOKUP(AW139,'Foundation Calculation'!$I$2:$J$8,2,FALSE),0),IF(AX139="K",VLOOKUP(K139,'Foundation Calculation'!$K$42:$R$80,VLOOKUP(AW139,'Foundation Calculation'!$I$2:$J$8,2,FALSE),0),""))</f>
        <v>3.3</v>
      </c>
      <c r="BA139" s="671" t="s">
        <v>2809</v>
      </c>
      <c r="BB139" s="449"/>
      <c r="BC139" s="169"/>
      <c r="BD139" s="1329"/>
      <c r="BE139" s="1330"/>
      <c r="BF139" s="1330"/>
      <c r="BG139" s="1330"/>
    </row>
    <row r="140" spans="1:59" ht="15.75" customHeight="1">
      <c r="A140" s="449"/>
      <c r="B140" s="485" t="s">
        <v>3008</v>
      </c>
      <c r="C140" s="446">
        <f>+$C$138+$G$139</f>
        <v>88303.35</v>
      </c>
      <c r="D140" s="638"/>
      <c r="E140" s="638"/>
      <c r="F140" s="448">
        <v>0</v>
      </c>
      <c r="G140" s="484"/>
      <c r="H140" s="1239" t="s">
        <v>2128</v>
      </c>
      <c r="I140" s="448" t="s">
        <v>624</v>
      </c>
      <c r="J140" s="446"/>
      <c r="K140" s="638"/>
      <c r="L140" s="1239" t="s">
        <v>821</v>
      </c>
      <c r="M140" s="1239" t="str">
        <f>IF(AX140="PT",VLOOKUP(L140,'Foundation Calculation'!$V$2:$X$40,VLOOKUP(AX140,'Foundation Calculation'!$I$10:$J$13,2,FALSE),0),IF(AX140="K",VLOOKUP(L140,'Foundation Calculation'!$V$42:$X$80,VLOOKUP(AX140,'Foundation Calculation'!$I$10:$J$13,2,FALSE),0),""))</f>
        <v>C7R</v>
      </c>
      <c r="N140" s="638" t="s">
        <v>140</v>
      </c>
      <c r="O140" s="638" t="s">
        <v>144</v>
      </c>
      <c r="P140" s="638"/>
      <c r="Q140" s="638">
        <v>0</v>
      </c>
      <c r="R140" s="638">
        <v>0</v>
      </c>
      <c r="S140" s="484"/>
      <c r="T140" s="638">
        <v>50</v>
      </c>
      <c r="U140" s="638">
        <v>30</v>
      </c>
      <c r="V140" s="638"/>
      <c r="W140" s="638">
        <v>1.4</v>
      </c>
      <c r="X140" s="638">
        <v>2.2999999999999998</v>
      </c>
      <c r="Y140" s="638"/>
      <c r="Z140" s="638">
        <v>0.6</v>
      </c>
      <c r="AA140" s="638"/>
      <c r="AB140" s="638"/>
      <c r="AC140" s="638" t="s">
        <v>1421</v>
      </c>
      <c r="AD140" s="638"/>
      <c r="AE140" s="638"/>
      <c r="AF140" s="638">
        <v>6000</v>
      </c>
      <c r="AG140" s="446">
        <v>88303</v>
      </c>
      <c r="AH140" s="638">
        <v>2673</v>
      </c>
      <c r="AI140" s="638">
        <v>470</v>
      </c>
      <c r="AJ140" s="638"/>
      <c r="AK140" s="638"/>
      <c r="AL140" s="1239" t="s">
        <v>2142</v>
      </c>
      <c r="AM140" s="1239" t="s">
        <v>1042</v>
      </c>
      <c r="AN140" s="455">
        <v>5.5</v>
      </c>
      <c r="AO140" s="1239"/>
      <c r="AP140" s="1239"/>
      <c r="AQ140" s="484"/>
      <c r="AR140" s="638"/>
      <c r="AS140" s="638"/>
      <c r="AT140" s="484">
        <f>+ab($U$140,$U$138,$V$142,$G$139,$G$141, 1*$F$140,1200)</f>
        <v>9.1346804662664844</v>
      </c>
      <c r="AU140" s="638"/>
      <c r="AV140" s="638"/>
      <c r="AW140" s="638" t="str">
        <f>VLOOKUP(C140,'Foundation Calculation'!$A$2:$C$33,3,1)</f>
        <v>Soil A</v>
      </c>
      <c r="AX140" s="638" t="str">
        <f>VLOOKUP(C140,'Foundation Calculation'!$E$2:$G$33,3,1)</f>
        <v>PT</v>
      </c>
      <c r="AY140" s="484">
        <f>IF(AX140="PT",VLOOKUP(L140,'Foundation Calculation'!$K$2:$R$40,VLOOKUP(AW140,'Foundation Calculation'!$I$2:$J$8,2,FALSE),0),IF(AX140="K",VLOOKUP(L140,'Foundation Calculation'!$K$42:$R$80,VLOOKUP(AW140,'Foundation Calculation'!$I$2:$J$8,2,FALSE),0),""))</f>
        <v>4</v>
      </c>
      <c r="AZ140" s="484"/>
      <c r="BA140" s="671" t="s">
        <v>2809</v>
      </c>
      <c r="BB140" s="449" t="str">
        <f>Pole_Calculations!A178</f>
        <v>App.8-V08F-P10.3</v>
      </c>
      <c r="BC140" s="169"/>
      <c r="BD140" s="1371"/>
      <c r="BE140" s="1371"/>
      <c r="BF140" s="1371"/>
      <c r="BG140" s="1371"/>
    </row>
    <row r="141" spans="1:59" ht="15.75" customHeight="1">
      <c r="A141" s="449"/>
      <c r="B141" s="445"/>
      <c r="C141" s="446"/>
      <c r="D141" s="638"/>
      <c r="E141" s="638"/>
      <c r="F141" s="448"/>
      <c r="G141" s="484">
        <v>58</v>
      </c>
      <c r="H141" s="1239"/>
      <c r="I141" s="448"/>
      <c r="J141" s="446"/>
      <c r="K141" s="638"/>
      <c r="L141" s="638"/>
      <c r="M141" s="638"/>
      <c r="N141" s="638"/>
      <c r="O141" s="638"/>
      <c r="P141" s="638"/>
      <c r="Q141" s="638"/>
      <c r="R141" s="638"/>
      <c r="S141" s="484">
        <f t="shared" ref="S141" si="65">AG142-AG140</f>
        <v>58</v>
      </c>
      <c r="T141" s="638"/>
      <c r="U141" s="638"/>
      <c r="V141" s="638"/>
      <c r="W141" s="638"/>
      <c r="X141" s="638"/>
      <c r="Y141" s="638"/>
      <c r="Z141" s="638"/>
      <c r="AA141" s="638"/>
      <c r="AB141" s="638"/>
      <c r="AC141" s="638"/>
      <c r="AD141" s="638"/>
      <c r="AE141" s="638"/>
      <c r="AF141" s="638"/>
      <c r="AG141" s="446"/>
      <c r="AH141" s="638"/>
      <c r="AI141" s="638"/>
      <c r="AJ141" s="638"/>
      <c r="AK141" s="638"/>
      <c r="AL141" s="638"/>
      <c r="AM141" s="638"/>
      <c r="AN141" s="455"/>
      <c r="AO141" s="1239"/>
      <c r="AP141" s="1239"/>
      <c r="AQ141" s="484">
        <f>+FL_1($V$142,$U$140,$G$141,1200,9.28, 1*$F$142)</f>
        <v>0.39437769177011484</v>
      </c>
      <c r="AR141" s="638"/>
      <c r="AS141" s="638"/>
      <c r="AT141" s="484"/>
      <c r="AU141" s="638"/>
      <c r="AV141" s="638"/>
      <c r="AW141" s="638"/>
      <c r="AX141" s="638"/>
      <c r="AY141" s="484"/>
      <c r="AZ141" s="484"/>
      <c r="BA141" s="671"/>
      <c r="BB141" s="449"/>
      <c r="BC141" s="169"/>
      <c r="BD141" s="1330"/>
      <c r="BE141" s="1330"/>
      <c r="BF141" s="1330"/>
      <c r="BG141" s="1330"/>
    </row>
    <row r="142" spans="1:59" ht="15.75" customHeight="1">
      <c r="A142" s="449" t="s">
        <v>3051</v>
      </c>
      <c r="B142" s="655" t="s">
        <v>3009</v>
      </c>
      <c r="C142" s="446">
        <f>+$C$140+$G$141</f>
        <v>88361.35</v>
      </c>
      <c r="D142" s="449"/>
      <c r="E142" s="449"/>
      <c r="F142" s="448">
        <v>0</v>
      </c>
      <c r="G142" s="484"/>
      <c r="H142" s="449" t="s">
        <v>2551</v>
      </c>
      <c r="I142" s="447" t="s">
        <v>1429</v>
      </c>
      <c r="J142" s="446"/>
      <c r="K142" s="449"/>
      <c r="L142" s="1239" t="s">
        <v>821</v>
      </c>
      <c r="M142" s="1239" t="str">
        <f>IF(AX142="PT",VLOOKUP(L142,'Foundation Calculation'!$V$2:$X$40,VLOOKUP(AX142,'Foundation Calculation'!$I$10:$J$13,2,FALSE),0),IF(AX142="K",VLOOKUP(L142,'Foundation Calculation'!$V$42:$X$80,VLOOKUP(AX142,'Foundation Calculation'!$I$10:$J$13,2,FALSE),0),""))</f>
        <v>C7R</v>
      </c>
      <c r="N142" s="638" t="s">
        <v>140</v>
      </c>
      <c r="O142" s="638" t="s">
        <v>140</v>
      </c>
      <c r="P142" s="638" t="s">
        <v>143</v>
      </c>
      <c r="Q142" s="638">
        <v>0</v>
      </c>
      <c r="R142" s="638">
        <v>0</v>
      </c>
      <c r="S142" s="484"/>
      <c r="T142" s="638">
        <v>15</v>
      </c>
      <c r="U142" s="638">
        <v>65</v>
      </c>
      <c r="V142" s="638">
        <v>-30</v>
      </c>
      <c r="W142" s="638">
        <v>1.8</v>
      </c>
      <c r="X142" s="638">
        <v>1.4</v>
      </c>
      <c r="Y142" s="638">
        <v>2.2999999999999998</v>
      </c>
      <c r="Z142" s="638">
        <v>0.55000000000000004</v>
      </c>
      <c r="AA142" s="638">
        <v>0.6</v>
      </c>
      <c r="AB142" s="638">
        <v>0</v>
      </c>
      <c r="AC142" s="638" t="s">
        <v>1421</v>
      </c>
      <c r="AD142" s="638"/>
      <c r="AE142" s="638"/>
      <c r="AF142" s="638">
        <v>6000</v>
      </c>
      <c r="AG142" s="446">
        <v>88361</v>
      </c>
      <c r="AH142" s="638">
        <v>2823</v>
      </c>
      <c r="AI142" s="638">
        <v>450</v>
      </c>
      <c r="AJ142" s="638" t="s">
        <v>2154</v>
      </c>
      <c r="AK142" s="638"/>
      <c r="AL142" s="1239" t="s">
        <v>2142</v>
      </c>
      <c r="AM142" s="1239" t="s">
        <v>1042</v>
      </c>
      <c r="AN142" s="455">
        <v>5.5</v>
      </c>
      <c r="AO142" s="1239"/>
      <c r="AP142" s="1239"/>
      <c r="AQ142" s="484"/>
      <c r="AR142" s="638"/>
      <c r="AS142" s="638"/>
      <c r="AT142" s="484">
        <f>+ab($V$142,$U$140,$T$144,$G$141,$G$143, 1*$F$142,1200)</f>
        <v>-8.9549658997158375</v>
      </c>
      <c r="AU142" s="638"/>
      <c r="AV142" s="638"/>
      <c r="AW142" s="638" t="str">
        <f>VLOOKUP(C142,'Foundation Calculation'!$A$2:$C$33,3,1)</f>
        <v>Soil A</v>
      </c>
      <c r="AX142" s="638" t="str">
        <f>VLOOKUP(C142,'Foundation Calculation'!$E$2:$G$33,3,1)</f>
        <v>PT</v>
      </c>
      <c r="AY142" s="484">
        <f>IF(AX142="PT",VLOOKUP(L142,'Foundation Calculation'!$K$2:$R$40,VLOOKUP(AW142,'Foundation Calculation'!$I$2:$J$8,2,FALSE),0),IF(AX142="K",VLOOKUP(L142,'Foundation Calculation'!$K$42:$R$80,VLOOKUP(AW142,'Foundation Calculation'!$I$2:$J$8,2,FALSE),0),""))</f>
        <v>4</v>
      </c>
      <c r="AZ142" s="484"/>
      <c r="BA142" s="671" t="s">
        <v>2809</v>
      </c>
      <c r="BB142" s="449" t="str">
        <f>Pole_Calculations!A178</f>
        <v>App.8-V08F-P10.3</v>
      </c>
      <c r="BC142" s="169"/>
      <c r="BD142" s="1371"/>
      <c r="BE142" s="1371"/>
      <c r="BF142" s="1371"/>
      <c r="BG142" s="1371"/>
    </row>
    <row r="143" spans="1:59" ht="15.75" customHeight="1">
      <c r="A143" s="449"/>
      <c r="B143" s="449"/>
      <c r="C143" s="446"/>
      <c r="D143" s="449"/>
      <c r="E143" s="449"/>
      <c r="F143" s="448"/>
      <c r="G143" s="484">
        <v>55</v>
      </c>
      <c r="H143" s="449"/>
      <c r="I143" s="447"/>
      <c r="J143" s="446">
        <f>C144-7.5</f>
        <v>88408.85</v>
      </c>
      <c r="K143" s="638" t="s">
        <v>2787</v>
      </c>
      <c r="L143" s="449"/>
      <c r="M143" s="638"/>
      <c r="N143" s="449"/>
      <c r="O143" s="449"/>
      <c r="P143" s="449"/>
      <c r="Q143" s="449"/>
      <c r="R143" s="449"/>
      <c r="S143" s="484">
        <f t="shared" ref="S143" si="66">AG144-AG142</f>
        <v>55</v>
      </c>
      <c r="T143" s="449"/>
      <c r="U143" s="449"/>
      <c r="V143" s="449"/>
      <c r="W143" s="449"/>
      <c r="X143" s="449"/>
      <c r="Y143" s="449"/>
      <c r="Z143" s="449"/>
      <c r="AA143" s="449"/>
      <c r="AB143" s="449"/>
      <c r="AC143" s="449"/>
      <c r="AD143" s="449"/>
      <c r="AE143" s="449"/>
      <c r="AF143" s="449"/>
      <c r="AG143" s="446"/>
      <c r="AH143" s="449"/>
      <c r="AI143" s="449"/>
      <c r="AJ143" s="449"/>
      <c r="AK143" s="449"/>
      <c r="AL143" s="449"/>
      <c r="AM143" s="449"/>
      <c r="AN143" s="455"/>
      <c r="AO143" s="1239"/>
      <c r="AP143" s="1239"/>
      <c r="AQ143" s="484">
        <f>+FL_1($V$144,$V$142,$G$143,1200,9.28, 1*$F$144)</f>
        <v>7.2225724727272678E-2</v>
      </c>
      <c r="AR143" s="638"/>
      <c r="AS143" s="638"/>
      <c r="AT143" s="484"/>
      <c r="AU143" s="638"/>
      <c r="AV143" s="638"/>
      <c r="AW143" s="638" t="str">
        <f>VLOOKUP(J143,'Foundation Calculation'!$A$2:$C$33,3,1)</f>
        <v>Soil A</v>
      </c>
      <c r="AX143" s="638" t="str">
        <f>VLOOKUP(J143,'Foundation Calculation'!$E$2:$G$33,3,1)</f>
        <v>PT</v>
      </c>
      <c r="AY143" s="484"/>
      <c r="AZ143" s="484">
        <f>IF(AX143="PT",VLOOKUP(K143,'Foundation Calculation'!$K$2:$R$40,VLOOKUP(AW143,'Foundation Calculation'!$I$2:$J$8,2,FALSE),0),IF(AX143="K",VLOOKUP(K143,'Foundation Calculation'!$K$42:$R$80,VLOOKUP(AW143,'Foundation Calculation'!$I$2:$J$8,2,FALSE),0),""))</f>
        <v>3.3</v>
      </c>
      <c r="BA143" s="671" t="s">
        <v>2809</v>
      </c>
      <c r="BB143" s="449"/>
      <c r="BC143" s="169"/>
      <c r="BD143" s="1329"/>
      <c r="BE143" s="1330"/>
      <c r="BF143" s="1330"/>
      <c r="BG143" s="1330"/>
    </row>
    <row r="144" spans="1:59" ht="15.75" customHeight="1">
      <c r="A144" s="449"/>
      <c r="B144" s="655" t="s">
        <v>3010</v>
      </c>
      <c r="C144" s="446">
        <f>+$C$142+$G$143</f>
        <v>88416.35</v>
      </c>
      <c r="D144" s="449"/>
      <c r="E144" s="449"/>
      <c r="F144" s="448">
        <v>0</v>
      </c>
      <c r="G144" s="484"/>
      <c r="H144" s="638" t="s">
        <v>3042</v>
      </c>
      <c r="I144" s="448" t="s">
        <v>624</v>
      </c>
      <c r="J144" s="446"/>
      <c r="K144" s="449"/>
      <c r="L144" s="1239" t="s">
        <v>821</v>
      </c>
      <c r="M144" s="1239" t="str">
        <f>IF(AX144="PT",VLOOKUP(L144,'Foundation Calculation'!$V$2:$X$40,VLOOKUP(AX144,'Foundation Calculation'!$I$10:$J$13,2,FALSE),0),IF(AX144="K",VLOOKUP(L144,'Foundation Calculation'!$V$42:$X$80,VLOOKUP(AX144,'Foundation Calculation'!$I$10:$J$13,2,FALSE),0),""))</f>
        <v>C7R</v>
      </c>
      <c r="N144" s="638" t="s">
        <v>144</v>
      </c>
      <c r="O144" s="638" t="s">
        <v>140</v>
      </c>
      <c r="P144" s="638" t="s">
        <v>140</v>
      </c>
      <c r="Q144" s="638">
        <v>0</v>
      </c>
      <c r="R144" s="638">
        <v>0</v>
      </c>
      <c r="S144" s="484"/>
      <c r="T144" s="638">
        <v>30</v>
      </c>
      <c r="U144" s="638">
        <v>75</v>
      </c>
      <c r="V144" s="638">
        <v>-15</v>
      </c>
      <c r="W144" s="638">
        <v>1.8</v>
      </c>
      <c r="X144" s="638">
        <v>1.4</v>
      </c>
      <c r="Y144" s="638">
        <v>2.2999999999999998</v>
      </c>
      <c r="Z144" s="638"/>
      <c r="AA144" s="638">
        <v>0.6</v>
      </c>
      <c r="AB144" s="638">
        <v>0.55000000000000004</v>
      </c>
      <c r="AC144" s="638" t="s">
        <v>1421</v>
      </c>
      <c r="AD144" s="638"/>
      <c r="AE144" s="638"/>
      <c r="AF144" s="638">
        <v>6000</v>
      </c>
      <c r="AG144" s="446">
        <v>88416</v>
      </c>
      <c r="AH144" s="638">
        <v>2683</v>
      </c>
      <c r="AI144" s="638">
        <v>450</v>
      </c>
      <c r="AJ144" s="638"/>
      <c r="AK144" s="638"/>
      <c r="AL144" s="1239" t="s">
        <v>2142</v>
      </c>
      <c r="AM144" s="1239" t="s">
        <v>1042</v>
      </c>
      <c r="AN144" s="455">
        <v>5.5</v>
      </c>
      <c r="AO144" s="1239"/>
      <c r="AP144" s="1239"/>
      <c r="AQ144" s="484"/>
      <c r="AR144" s="638"/>
      <c r="AS144" s="638"/>
      <c r="AT144" s="484">
        <f>+ab($T$144,$V$142,$T$146,$G$143,$G$145, 1*$F$144,1200)</f>
        <v>8.31732786097092</v>
      </c>
      <c r="AU144" s="638"/>
      <c r="AV144" s="638"/>
      <c r="AW144" s="638" t="str">
        <f>VLOOKUP(C144,'Foundation Calculation'!$A$2:$C$33,3,1)</f>
        <v>Soil A</v>
      </c>
      <c r="AX144" s="638" t="str">
        <f>VLOOKUP(C144,'Foundation Calculation'!$E$2:$G$33,3,1)</f>
        <v>PT</v>
      </c>
      <c r="AY144" s="484">
        <f>IF(AX144="PT",VLOOKUP(L144,'Foundation Calculation'!$K$2:$R$40,VLOOKUP(AW144,'Foundation Calculation'!$I$2:$J$8,2,FALSE),0),IF(AX144="K",VLOOKUP(L144,'Foundation Calculation'!$K$42:$R$80,VLOOKUP(AW144,'Foundation Calculation'!$I$2:$J$8,2,FALSE),0),""))</f>
        <v>4</v>
      </c>
      <c r="AZ144" s="484"/>
      <c r="BA144" s="671" t="s">
        <v>2809</v>
      </c>
      <c r="BB144" s="449" t="str">
        <f>Pole_Calculations!A178</f>
        <v>App.8-V08F-P10.3</v>
      </c>
      <c r="BC144" s="169"/>
      <c r="BD144" s="1371"/>
      <c r="BE144" s="1371"/>
      <c r="BF144" s="1371"/>
      <c r="BG144" s="1371"/>
    </row>
    <row r="145" spans="1:59" ht="15.75" customHeight="1">
      <c r="A145" s="449"/>
      <c r="B145" s="449"/>
      <c r="C145" s="446"/>
      <c r="D145" s="449"/>
      <c r="E145" s="449"/>
      <c r="F145" s="448"/>
      <c r="G145" s="484">
        <v>50</v>
      </c>
      <c r="H145" s="449"/>
      <c r="I145" s="447"/>
      <c r="J145" s="446"/>
      <c r="K145" s="449"/>
      <c r="L145" s="449"/>
      <c r="M145" s="638"/>
      <c r="N145" s="449"/>
      <c r="O145" s="449"/>
      <c r="P145" s="449"/>
      <c r="Q145" s="449"/>
      <c r="R145" s="449"/>
      <c r="S145" s="484">
        <f t="shared" ref="S145" si="67">AG146-AG144</f>
        <v>50</v>
      </c>
      <c r="T145" s="449"/>
      <c r="U145" s="449"/>
      <c r="V145" s="449"/>
      <c r="W145" s="449"/>
      <c r="X145" s="449"/>
      <c r="Y145" s="449"/>
      <c r="Z145" s="449"/>
      <c r="AA145" s="449"/>
      <c r="AB145" s="449"/>
      <c r="AC145" s="449"/>
      <c r="AD145" s="449"/>
      <c r="AE145" s="449"/>
      <c r="AF145" s="449"/>
      <c r="AG145" s="446"/>
      <c r="AH145" s="449"/>
      <c r="AI145" s="449"/>
      <c r="AJ145" s="449"/>
      <c r="AK145" s="449"/>
      <c r="AL145" s="449"/>
      <c r="AM145" s="449"/>
      <c r="AN145" s="455"/>
      <c r="AO145" s="1239"/>
      <c r="AP145" s="1239"/>
      <c r="AQ145" s="484">
        <f>+FL_1($T$146,$T$144,$G$145,1200,9.28, 1*$F$146)</f>
        <v>0.33477011200000012</v>
      </c>
      <c r="AR145" s="638"/>
      <c r="AS145" s="638"/>
      <c r="AT145" s="484"/>
      <c r="AU145" s="638"/>
      <c r="AV145" s="638"/>
      <c r="AW145" s="638"/>
      <c r="AX145" s="638"/>
      <c r="AY145" s="484"/>
      <c r="AZ145" s="484"/>
      <c r="BA145" s="671"/>
      <c r="BB145" s="449"/>
      <c r="BC145" s="169"/>
      <c r="BD145" s="1330"/>
      <c r="BE145" s="1330"/>
      <c r="BF145" s="1330"/>
      <c r="BG145" s="1330"/>
    </row>
    <row r="146" spans="1:59" ht="15.75" customHeight="1">
      <c r="A146" s="449"/>
      <c r="B146" s="435" t="s">
        <v>3011</v>
      </c>
      <c r="C146" s="446">
        <f>+$C$144+$G$145</f>
        <v>88466.35</v>
      </c>
      <c r="D146" s="173"/>
      <c r="E146" s="447"/>
      <c r="F146" s="447">
        <v>0</v>
      </c>
      <c r="G146" s="484"/>
      <c r="H146" s="1239" t="s">
        <v>3042</v>
      </c>
      <c r="I146" s="1239" t="s">
        <v>623</v>
      </c>
      <c r="J146" s="171"/>
      <c r="K146" s="638"/>
      <c r="L146" s="638" t="s">
        <v>4664</v>
      </c>
      <c r="M146" s="638" t="str">
        <f>IF(AX146="PT",VLOOKUP(L146,'Foundation Calculation'!$V$2:$X$40,VLOOKUP(AX146,'Foundation Calculation'!$I$10:$J$13,2,FALSE),0),IF(AX146="K",VLOOKUP(L146,'Foundation Calculation'!$V$42:$X$80,VLOOKUP(AX146,'Foundation Calculation'!$I$10:$J$13,2,FALSE),0),""))</f>
        <v>C11R</v>
      </c>
      <c r="N146" s="1239" t="s">
        <v>143</v>
      </c>
      <c r="O146" s="1239" t="s">
        <v>140</v>
      </c>
      <c r="P146" s="1239"/>
      <c r="Q146" s="638">
        <v>0</v>
      </c>
      <c r="R146" s="638">
        <v>0</v>
      </c>
      <c r="S146" s="484"/>
      <c r="T146" s="638">
        <v>-30</v>
      </c>
      <c r="U146" s="638">
        <v>15</v>
      </c>
      <c r="V146" s="638"/>
      <c r="W146" s="638">
        <v>2</v>
      </c>
      <c r="X146" s="638">
        <v>1.8</v>
      </c>
      <c r="Y146" s="638"/>
      <c r="Z146" s="638"/>
      <c r="AA146" s="638">
        <v>0.55000000000000004</v>
      </c>
      <c r="AB146" s="638"/>
      <c r="AC146" s="638" t="s">
        <v>1421</v>
      </c>
      <c r="AD146" s="638"/>
      <c r="AE146" s="638"/>
      <c r="AF146" s="638">
        <v>6000</v>
      </c>
      <c r="AG146" s="446">
        <v>88466</v>
      </c>
      <c r="AH146" s="638">
        <v>2483</v>
      </c>
      <c r="AI146" s="638">
        <v>350</v>
      </c>
      <c r="AJ146" s="638"/>
      <c r="AK146" s="638"/>
      <c r="AL146" s="638" t="s">
        <v>2143</v>
      </c>
      <c r="AM146" s="638" t="s">
        <v>1042</v>
      </c>
      <c r="AN146" s="455">
        <v>5.5</v>
      </c>
      <c r="AO146" s="1239"/>
      <c r="AP146" s="1239"/>
      <c r="AQ146" s="484"/>
      <c r="AR146" s="484"/>
      <c r="AS146" s="484"/>
      <c r="AT146" s="484">
        <f>+ab($T$146,$T$144,$T$148,$G$145,$G$147, 1*$F$146,1200)</f>
        <v>-12.736924725384528</v>
      </c>
      <c r="AU146" s="638"/>
      <c r="AV146" s="638"/>
      <c r="AW146" s="638" t="str">
        <f>VLOOKUP(C146,'Foundation Calculation'!$A$2:$C$33,3,1)</f>
        <v>Soil A</v>
      </c>
      <c r="AX146" s="638" t="str">
        <f>VLOOKUP(C146,'Foundation Calculation'!$E$2:$G$33,3,1)</f>
        <v>PT</v>
      </c>
      <c r="AY146" s="484">
        <f>IF(AX146="PT",VLOOKUP(L146,'Foundation Calculation'!$K$2:$R$40,VLOOKUP(AW146,'Foundation Calculation'!$I$2:$J$8,2,FALSE),0),IF(AX146="K",VLOOKUP(L146,'Foundation Calculation'!$K$42:$R$80,VLOOKUP(AW146,'Foundation Calculation'!$I$2:$J$8,2,FALSE),0),""))</f>
        <v>4.4000000000000004</v>
      </c>
      <c r="AZ146" s="484"/>
      <c r="BA146" s="671" t="s">
        <v>2809</v>
      </c>
      <c r="BB146" s="449" t="str">
        <f>Pole_Calculations!A178</f>
        <v>App.8-V08F-P10.3</v>
      </c>
      <c r="BC146" s="169"/>
      <c r="BD146" s="1371"/>
      <c r="BE146" s="1371"/>
      <c r="BF146" s="1371"/>
      <c r="BG146" s="1371"/>
    </row>
    <row r="147" spans="1:59" ht="15.75" customHeight="1">
      <c r="A147" s="449"/>
      <c r="B147" s="445"/>
      <c r="C147" s="446"/>
      <c r="D147" s="638"/>
      <c r="E147" s="638"/>
      <c r="F147" s="448"/>
      <c r="G147" s="484">
        <v>35.5</v>
      </c>
      <c r="H147" s="1239"/>
      <c r="I147" s="448"/>
      <c r="J147" s="446">
        <f>C146+7.5</f>
        <v>88473.85</v>
      </c>
      <c r="K147" s="638" t="s">
        <v>2787</v>
      </c>
      <c r="L147" s="638"/>
      <c r="M147" s="638"/>
      <c r="N147" s="638"/>
      <c r="O147" s="638"/>
      <c r="P147" s="638"/>
      <c r="Q147" s="638"/>
      <c r="R147" s="638"/>
      <c r="S147" s="484">
        <f t="shared" ref="S147" si="68">AG148-AG146</f>
        <v>35</v>
      </c>
      <c r="T147" s="638"/>
      <c r="U147" s="638"/>
      <c r="V147" s="638"/>
      <c r="W147" s="638"/>
      <c r="X147" s="638"/>
      <c r="Y147" s="638"/>
      <c r="Z147" s="638"/>
      <c r="AA147" s="638"/>
      <c r="AB147" s="638"/>
      <c r="AC147" s="638"/>
      <c r="AD147" s="638"/>
      <c r="AE147" s="638"/>
      <c r="AF147" s="638"/>
      <c r="AG147" s="446"/>
      <c r="AH147" s="638"/>
      <c r="AI147" s="638"/>
      <c r="AJ147" s="638"/>
      <c r="AK147" s="638"/>
      <c r="AL147" s="638"/>
      <c r="AM147" s="638"/>
      <c r="AN147" s="455"/>
      <c r="AO147" s="1239"/>
      <c r="AP147" s="1239"/>
      <c r="AQ147" s="484">
        <f>+FL_1($T$148,$T$146,$G$147,1200,9.28, 1*$F$148)</f>
        <v>-0.12304549087323945</v>
      </c>
      <c r="AR147" s="638"/>
      <c r="AS147" s="638"/>
      <c r="AT147" s="484"/>
      <c r="AU147" s="638"/>
      <c r="AV147" s="638"/>
      <c r="AW147" s="638" t="str">
        <f>VLOOKUP(J147,'Foundation Calculation'!$A$2:$C$33,3,1)</f>
        <v>Soil A</v>
      </c>
      <c r="AX147" s="638" t="str">
        <f>VLOOKUP(J147,'Foundation Calculation'!$E$2:$G$33,3,1)</f>
        <v>PT</v>
      </c>
      <c r="AY147" s="484"/>
      <c r="AZ147" s="484">
        <f>IF(AX147="PT",VLOOKUP(K147,'Foundation Calculation'!$K$2:$R$40,VLOOKUP(AW147,'Foundation Calculation'!$I$2:$J$8,2,FALSE),0),IF(AX147="K",VLOOKUP(K147,'Foundation Calculation'!$K$42:$R$80,VLOOKUP(AW147,'Foundation Calculation'!$I$2:$J$8,2,FALSE),0),""))</f>
        <v>3.3</v>
      </c>
      <c r="BA147" s="671" t="s">
        <v>2809</v>
      </c>
      <c r="BB147" s="449"/>
      <c r="BC147" s="169"/>
      <c r="BD147" s="1329"/>
      <c r="BE147" s="1330"/>
      <c r="BF147" s="1330"/>
      <c r="BG147" s="1330"/>
    </row>
    <row r="148" spans="1:59" ht="15.75" customHeight="1">
      <c r="A148" s="449"/>
      <c r="B148" s="435" t="s">
        <v>3012</v>
      </c>
      <c r="C148" s="446">
        <f>+$C$146+$G$147</f>
        <v>88501.85</v>
      </c>
      <c r="D148" s="173"/>
      <c r="E148" s="447"/>
      <c r="F148" s="447">
        <v>0</v>
      </c>
      <c r="G148" s="484"/>
      <c r="H148" s="1239" t="s">
        <v>138</v>
      </c>
      <c r="I148" s="1239" t="s">
        <v>623</v>
      </c>
      <c r="J148" s="171"/>
      <c r="K148" s="638"/>
      <c r="L148" s="638" t="s">
        <v>4664</v>
      </c>
      <c r="M148" s="638" t="str">
        <f>IF(AX148="PT",VLOOKUP(L148,'Foundation Calculation'!$V$2:$X$40,VLOOKUP(AX148,'Foundation Calculation'!$I$10:$J$13,2,FALSE),0),IF(AX148="K",VLOOKUP(L148,'Foundation Calculation'!$V$42:$X$80,VLOOKUP(AX148,'Foundation Calculation'!$I$10:$J$13,2,FALSE),0),""))</f>
        <v>C11R</v>
      </c>
      <c r="N148" s="1239" t="s">
        <v>143</v>
      </c>
      <c r="O148" s="1239"/>
      <c r="P148" s="1239"/>
      <c r="Q148" s="638">
        <v>0</v>
      </c>
      <c r="R148" s="638">
        <v>0</v>
      </c>
      <c r="S148" s="484"/>
      <c r="T148" s="638">
        <v>-20</v>
      </c>
      <c r="U148" s="638"/>
      <c r="V148" s="638"/>
      <c r="W148" s="638">
        <v>1.4</v>
      </c>
      <c r="X148" s="638"/>
      <c r="Y148" s="638"/>
      <c r="Z148" s="638"/>
      <c r="AA148" s="638"/>
      <c r="AB148" s="638"/>
      <c r="AC148" s="638" t="s">
        <v>1421</v>
      </c>
      <c r="AD148" s="638"/>
      <c r="AE148" s="638"/>
      <c r="AF148" s="638">
        <v>6000</v>
      </c>
      <c r="AG148" s="446">
        <v>88501</v>
      </c>
      <c r="AH148" s="638">
        <v>2643</v>
      </c>
      <c r="AI148" s="638">
        <v>510</v>
      </c>
      <c r="AJ148" s="638"/>
      <c r="AK148" s="638"/>
      <c r="AL148" s="638" t="s">
        <v>2143</v>
      </c>
      <c r="AM148" s="638" t="s">
        <v>1042</v>
      </c>
      <c r="AN148" s="455">
        <v>5.5</v>
      </c>
      <c r="AO148" s="1239"/>
      <c r="AP148" s="1239"/>
      <c r="AQ148" s="484"/>
      <c r="AR148" s="484"/>
      <c r="AS148" s="484"/>
      <c r="AT148" s="484">
        <f>+ab($T$148,$U$146,$T$150,$G$147,$G$149, 1*$F$148,1200)</f>
        <v>-8.9678797985418992</v>
      </c>
      <c r="AU148" s="638"/>
      <c r="AV148" s="638"/>
      <c r="AW148" s="638" t="str">
        <f>VLOOKUP(C148,'Foundation Calculation'!$A$2:$C$33,3,1)</f>
        <v>Soil B</v>
      </c>
      <c r="AX148" s="638" t="str">
        <f>VLOOKUP(C148,'Foundation Calculation'!$E$2:$G$33,3,1)</f>
        <v>PT</v>
      </c>
      <c r="AY148" s="484">
        <f>IF(AX148="PT",VLOOKUP(L148,'Foundation Calculation'!$K$2:$R$40,VLOOKUP(AW148,'Foundation Calculation'!$I$2:$J$8,2,FALSE),0),IF(AX148="K",VLOOKUP(L148,'Foundation Calculation'!$K$42:$R$80,VLOOKUP(AW148,'Foundation Calculation'!$I$2:$J$8,2,FALSE),0),""))</f>
        <v>4.4000000000000004</v>
      </c>
      <c r="AZ148" s="484"/>
      <c r="BA148" s="671" t="s">
        <v>2809</v>
      </c>
      <c r="BB148" s="449" t="str">
        <f>Pole_Calculations!A178</f>
        <v>App.8-V08F-P10.3</v>
      </c>
      <c r="BC148" s="169"/>
      <c r="BD148" s="1371"/>
      <c r="BE148" s="1371"/>
      <c r="BF148" s="1371"/>
      <c r="BG148" s="1371"/>
    </row>
    <row r="149" spans="1:59" ht="15.75" customHeight="1">
      <c r="A149" s="449"/>
      <c r="B149" s="445"/>
      <c r="C149" s="446"/>
      <c r="D149" s="638"/>
      <c r="E149" s="638"/>
      <c r="F149" s="448"/>
      <c r="G149" s="484">
        <v>44</v>
      </c>
      <c r="H149" s="1239"/>
      <c r="I149" s="448"/>
      <c r="J149" s="446">
        <f>C148+7.5</f>
        <v>88509.35</v>
      </c>
      <c r="K149" s="638" t="s">
        <v>2787</v>
      </c>
      <c r="L149" s="638"/>
      <c r="M149" s="638"/>
      <c r="N149" s="638"/>
      <c r="O149" s="638"/>
      <c r="P149" s="638"/>
      <c r="Q149" s="638"/>
      <c r="R149" s="638"/>
      <c r="S149" s="484">
        <f t="shared" ref="S149" si="69">AG150-AG148</f>
        <v>44</v>
      </c>
      <c r="T149" s="638"/>
      <c r="U149" s="638"/>
      <c r="V149" s="638"/>
      <c r="W149" s="638"/>
      <c r="X149" s="638"/>
      <c r="Y149" s="638"/>
      <c r="Z149" s="638"/>
      <c r="AA149" s="638"/>
      <c r="AB149" s="638"/>
      <c r="AC149" s="638"/>
      <c r="AD149" s="638"/>
      <c r="AE149" s="638"/>
      <c r="AF149" s="638"/>
      <c r="AG149" s="446"/>
      <c r="AH149" s="638"/>
      <c r="AI149" s="638"/>
      <c r="AJ149" s="638"/>
      <c r="AK149" s="638"/>
      <c r="AL149" s="638"/>
      <c r="AM149" s="638"/>
      <c r="AN149" s="455"/>
      <c r="AO149" s="1239"/>
      <c r="AP149" s="1239"/>
      <c r="AQ149" s="484">
        <f>+FL_1($T$150,$T$148,$G$149,1200,9.28, 1*$F$150)</f>
        <v>0.32063732618181817</v>
      </c>
      <c r="AR149" s="638"/>
      <c r="AS149" s="638"/>
      <c r="AT149" s="484"/>
      <c r="AU149" s="638"/>
      <c r="AV149" s="638"/>
      <c r="AW149" s="638" t="str">
        <f>VLOOKUP(J149,'Foundation Calculation'!$A$2:$C$33,3,1)</f>
        <v>Soil B</v>
      </c>
      <c r="AX149" s="638" t="str">
        <f>VLOOKUP(J149,'Foundation Calculation'!$E$2:$G$33,3,1)</f>
        <v>PT</v>
      </c>
      <c r="AY149" s="484"/>
      <c r="AZ149" s="484">
        <f>IF(AX149="PT",VLOOKUP(K149,'Foundation Calculation'!$K$2:$R$40,VLOOKUP(AW149,'Foundation Calculation'!$I$2:$J$8,2,FALSE),0),IF(AX149="K",VLOOKUP(K149,'Foundation Calculation'!$K$42:$R$80,VLOOKUP(AW149,'Foundation Calculation'!$I$2:$J$8,2,FALSE),0),""))</f>
        <v>3.9</v>
      </c>
      <c r="BA149" s="671" t="s">
        <v>2809</v>
      </c>
      <c r="BB149" s="449"/>
      <c r="BC149" s="169"/>
      <c r="BD149" s="1329"/>
      <c r="BE149" s="1330"/>
      <c r="BF149" s="1330"/>
      <c r="BG149" s="1330"/>
    </row>
    <row r="150" spans="1:59" ht="15.75" customHeight="1">
      <c r="A150" s="449"/>
      <c r="B150" s="435" t="s">
        <v>3013</v>
      </c>
      <c r="C150" s="446">
        <f>+$C$148+$G$149</f>
        <v>88545.85</v>
      </c>
      <c r="D150" s="173"/>
      <c r="E150" s="447"/>
      <c r="F150" s="447">
        <v>0</v>
      </c>
      <c r="G150" s="484"/>
      <c r="H150" s="1239" t="s">
        <v>2505</v>
      </c>
      <c r="I150" s="1239"/>
      <c r="J150" s="171"/>
      <c r="K150" s="638"/>
      <c r="L150" s="638" t="s">
        <v>4664</v>
      </c>
      <c r="M150" s="638" t="str">
        <f>IF(AX150="PT",VLOOKUP(L150,'Foundation Calculation'!$V$2:$X$40,VLOOKUP(AX150,'Foundation Calculation'!$I$10:$J$13,2,FALSE),0),IF(AX150="K",VLOOKUP(L150,'Foundation Calculation'!$V$42:$X$80,VLOOKUP(AX150,'Foundation Calculation'!$I$10:$J$13,2,FALSE),0),""))</f>
        <v>C11R</v>
      </c>
      <c r="N150" s="1239" t="s">
        <v>144</v>
      </c>
      <c r="O150" s="1239" t="s">
        <v>143</v>
      </c>
      <c r="P150" s="1239"/>
      <c r="Q150" s="638">
        <v>0</v>
      </c>
      <c r="R150" s="638">
        <v>0</v>
      </c>
      <c r="S150" s="484"/>
      <c r="T150" s="638">
        <v>30</v>
      </c>
      <c r="U150" s="638">
        <v>15</v>
      </c>
      <c r="V150" s="638"/>
      <c r="W150" s="638">
        <v>1.4</v>
      </c>
      <c r="X150" s="638">
        <v>1.8</v>
      </c>
      <c r="Y150" s="638"/>
      <c r="Z150" s="638"/>
      <c r="AA150" s="638"/>
      <c r="AB150" s="638"/>
      <c r="AC150" s="638" t="s">
        <v>1421</v>
      </c>
      <c r="AD150" s="638" t="s">
        <v>4207</v>
      </c>
      <c r="AE150" s="638"/>
      <c r="AF150" s="638">
        <v>6000</v>
      </c>
      <c r="AG150" s="446">
        <v>88545</v>
      </c>
      <c r="AH150" s="638">
        <v>2583</v>
      </c>
      <c r="AI150" s="638">
        <v>340</v>
      </c>
      <c r="AJ150" s="638"/>
      <c r="AK150" s="638"/>
      <c r="AL150" s="638" t="s">
        <v>2143</v>
      </c>
      <c r="AM150" s="638" t="s">
        <v>1042</v>
      </c>
      <c r="AN150" s="455">
        <v>5.5</v>
      </c>
      <c r="AO150" s="1239"/>
      <c r="AP150" s="1239"/>
      <c r="AQ150" s="484"/>
      <c r="AR150" s="484"/>
      <c r="AS150" s="484"/>
      <c r="AT150" s="484">
        <f>+ab($T$150,$T$148,$U$152,$G$149,$G$151, 1*$F$150,1200)</f>
        <v>16.421549790894272</v>
      </c>
      <c r="AU150" s="638"/>
      <c r="AV150" s="638"/>
      <c r="AW150" s="638" t="str">
        <f>VLOOKUP(C150,'Foundation Calculation'!$A$2:$C$33,3,1)</f>
        <v>Soil B</v>
      </c>
      <c r="AX150" s="638" t="str">
        <f>VLOOKUP(C150,'Foundation Calculation'!$E$2:$G$33,3,1)</f>
        <v>PT</v>
      </c>
      <c r="AY150" s="484">
        <f>IF(AX150="PT",VLOOKUP(L150,'Foundation Calculation'!$K$2:$R$40,VLOOKUP(AW150,'Foundation Calculation'!$I$2:$J$8,2,FALSE),0),IF(AX150="K",VLOOKUP(L150,'Foundation Calculation'!$K$42:$R$80,VLOOKUP(AW150,'Foundation Calculation'!$I$2:$J$8,2,FALSE),0),""))</f>
        <v>4.4000000000000004</v>
      </c>
      <c r="AZ150" s="484"/>
      <c r="BA150" s="671" t="s">
        <v>2809</v>
      </c>
      <c r="BB150" s="449" t="str">
        <f>Pole_Calculations!A178</f>
        <v>App.8-V08F-P10.3</v>
      </c>
      <c r="BC150" s="169"/>
      <c r="BD150" s="1371"/>
      <c r="BE150" s="1371"/>
      <c r="BF150" s="1371"/>
      <c r="BG150" s="1371"/>
    </row>
    <row r="151" spans="1:59" ht="15.75" customHeight="1">
      <c r="A151" s="449"/>
      <c r="B151" s="445"/>
      <c r="C151" s="446"/>
      <c r="D151" s="638"/>
      <c r="E151" s="638"/>
      <c r="F151" s="448"/>
      <c r="G151" s="484">
        <v>48</v>
      </c>
      <c r="H151" s="1239"/>
      <c r="I151" s="448"/>
      <c r="J151" s="446"/>
      <c r="K151" s="638"/>
      <c r="L151" s="638"/>
      <c r="M151" s="638"/>
      <c r="N151" s="638"/>
      <c r="O151" s="638"/>
      <c r="P151" s="638"/>
      <c r="Q151" s="638"/>
      <c r="R151" s="638"/>
      <c r="S151" s="484">
        <f t="shared" ref="S151" si="70">AG152-AG150</f>
        <v>48</v>
      </c>
      <c r="T151" s="638"/>
      <c r="U151" s="638"/>
      <c r="V151" s="638"/>
      <c r="W151" s="638"/>
      <c r="X151" s="638"/>
      <c r="Y151" s="638"/>
      <c r="Z151" s="638"/>
      <c r="AA151" s="638"/>
      <c r="AB151" s="638"/>
      <c r="AC151" s="638"/>
      <c r="AD151" s="638"/>
      <c r="AE151" s="638"/>
      <c r="AF151" s="638"/>
      <c r="AG151" s="446"/>
      <c r="AH151" s="638"/>
      <c r="AI151" s="638"/>
      <c r="AJ151" s="638"/>
      <c r="AK151" s="638"/>
      <c r="AL151" s="638"/>
      <c r="AM151" s="638"/>
      <c r="AN151" s="455"/>
      <c r="AO151" s="1239"/>
      <c r="AP151" s="1239"/>
      <c r="AQ151" s="484">
        <f>+FL_1($U$152,$T$150,$G$151,1200,9.28, 1*$F$152)</f>
        <v>0.52271999999999996</v>
      </c>
      <c r="AR151" s="638"/>
      <c r="AS151" s="638"/>
      <c r="AT151" s="484"/>
      <c r="AU151" s="638"/>
      <c r="AV151" s="638"/>
      <c r="AW151" s="638"/>
      <c r="AX151" s="638"/>
      <c r="AY151" s="484"/>
      <c r="AZ151" s="484"/>
      <c r="BA151" s="671"/>
      <c r="BB151" s="449"/>
      <c r="BC151" s="169"/>
      <c r="BD151" s="1330"/>
      <c r="BE151" s="1330"/>
      <c r="BF151" s="1330"/>
      <c r="BG151" s="1330"/>
    </row>
    <row r="152" spans="1:59" ht="15.75" customHeight="1">
      <c r="A152" s="449"/>
      <c r="B152" s="435" t="s">
        <v>3014</v>
      </c>
      <c r="C152" s="446">
        <f>+$C$150+$G$151</f>
        <v>88593.85</v>
      </c>
      <c r="D152" s="173"/>
      <c r="E152" s="447"/>
      <c r="F152" s="447">
        <v>0</v>
      </c>
      <c r="G152" s="484"/>
      <c r="H152" s="1239" t="s">
        <v>2818</v>
      </c>
      <c r="I152" s="1239"/>
      <c r="J152" s="171"/>
      <c r="K152" s="638"/>
      <c r="L152" s="638" t="s">
        <v>4664</v>
      </c>
      <c r="M152" s="638" t="str">
        <f>IF(AX152="PT",VLOOKUP(L152,'Foundation Calculation'!$V$2:$X$40,VLOOKUP(AX152,'Foundation Calculation'!$I$10:$J$13,2,FALSE),0),IF(AX152="K",VLOOKUP(L152,'Foundation Calculation'!$V$42:$X$80,VLOOKUP(AX152,'Foundation Calculation'!$I$10:$J$13,2,FALSE),0),""))</f>
        <v>C11R</v>
      </c>
      <c r="N152" s="1239" t="s">
        <v>143</v>
      </c>
      <c r="O152" s="1239" t="s">
        <v>144</v>
      </c>
      <c r="P152" s="1239" t="s">
        <v>140</v>
      </c>
      <c r="Q152" s="638">
        <v>0</v>
      </c>
      <c r="R152" s="638">
        <v>0</v>
      </c>
      <c r="S152" s="484"/>
      <c r="T152" s="638">
        <v>15</v>
      </c>
      <c r="U152" s="638">
        <v>30</v>
      </c>
      <c r="V152" s="638">
        <v>65</v>
      </c>
      <c r="W152" s="638">
        <v>2</v>
      </c>
      <c r="X152" s="638">
        <v>1.8</v>
      </c>
      <c r="Y152" s="638">
        <v>1.4</v>
      </c>
      <c r="Z152" s="638"/>
      <c r="AA152" s="638"/>
      <c r="AB152" s="638">
        <v>0.6</v>
      </c>
      <c r="AC152" s="638" t="s">
        <v>4207</v>
      </c>
      <c r="AD152" s="638" t="s">
        <v>1427</v>
      </c>
      <c r="AE152" s="638"/>
      <c r="AF152" s="638">
        <v>5800</v>
      </c>
      <c r="AG152" s="446">
        <v>88593</v>
      </c>
      <c r="AH152" s="638">
        <v>2833</v>
      </c>
      <c r="AI152" s="638">
        <v>250</v>
      </c>
      <c r="AJ152" s="638"/>
      <c r="AK152" s="638"/>
      <c r="AL152" s="638" t="s">
        <v>2143</v>
      </c>
      <c r="AM152" s="638" t="s">
        <v>1042</v>
      </c>
      <c r="AN152" s="455">
        <v>5.5</v>
      </c>
      <c r="AO152" s="1239"/>
      <c r="AP152" s="1239"/>
      <c r="AQ152" s="484"/>
      <c r="AR152" s="484"/>
      <c r="AS152" s="484"/>
      <c r="AT152" s="484">
        <f>+ab($U$152,$T$150,$T$154,$G$151,$G$153, 1*$F$152,1200)</f>
        <v>10.900360092269157</v>
      </c>
      <c r="AU152" s="638"/>
      <c r="AV152" s="638"/>
      <c r="AW152" s="638" t="str">
        <f>VLOOKUP(C152,'Foundation Calculation'!$A$2:$C$33,3,1)</f>
        <v>Soil B</v>
      </c>
      <c r="AX152" s="638" t="str">
        <f>VLOOKUP(C152,'Foundation Calculation'!$E$2:$G$33,3,1)</f>
        <v>PT</v>
      </c>
      <c r="AY152" s="484">
        <f>IF(AX152="PT",VLOOKUP(L152,'Foundation Calculation'!$K$2:$R$40,VLOOKUP(AW152,'Foundation Calculation'!$I$2:$J$8,2,FALSE),0),IF(AX152="K",VLOOKUP(L152,'Foundation Calculation'!$K$42:$R$80,VLOOKUP(AW152,'Foundation Calculation'!$I$2:$J$8,2,FALSE),0),""))</f>
        <v>4.4000000000000004</v>
      </c>
      <c r="AZ152" s="484"/>
      <c r="BA152" s="671" t="s">
        <v>2809</v>
      </c>
      <c r="BB152" s="449" t="str">
        <f>Pole_Calculations!A178</f>
        <v>App.8-V08F-P10.3</v>
      </c>
      <c r="BC152" s="169"/>
      <c r="BD152" s="1371"/>
      <c r="BE152" s="1371"/>
      <c r="BF152" s="1371"/>
      <c r="BG152" s="1371"/>
    </row>
    <row r="153" spans="1:59" ht="15.75" customHeight="1">
      <c r="A153" s="449"/>
      <c r="B153" s="445"/>
      <c r="C153" s="446"/>
      <c r="D153" s="638"/>
      <c r="E153" s="638"/>
      <c r="F153" s="448"/>
      <c r="G153" s="484">
        <v>34.5</v>
      </c>
      <c r="H153" s="1239"/>
      <c r="I153" s="448"/>
      <c r="J153" s="446">
        <f>C154-7.5</f>
        <v>88620.85</v>
      </c>
      <c r="K153" s="638" t="s">
        <v>2787</v>
      </c>
      <c r="L153" s="638"/>
      <c r="M153" s="638"/>
      <c r="N153" s="638"/>
      <c r="O153" s="638"/>
      <c r="P153" s="638"/>
      <c r="Q153" s="638"/>
      <c r="R153" s="638"/>
      <c r="S153" s="484">
        <f t="shared" ref="S153" si="71">AG154-AG152</f>
        <v>35</v>
      </c>
      <c r="T153" s="638"/>
      <c r="U153" s="638"/>
      <c r="V153" s="638"/>
      <c r="W153" s="638"/>
      <c r="X153" s="638"/>
      <c r="Y153" s="638"/>
      <c r="Z153" s="638"/>
      <c r="AA153" s="638"/>
      <c r="AB153" s="638"/>
      <c r="AC153" s="638"/>
      <c r="AD153" s="638"/>
      <c r="AE153" s="638"/>
      <c r="AF153" s="638"/>
      <c r="AG153" s="446"/>
      <c r="AH153" s="638"/>
      <c r="AI153" s="638"/>
      <c r="AJ153" s="638"/>
      <c r="AK153" s="638"/>
      <c r="AL153" s="638"/>
      <c r="AM153" s="638"/>
      <c r="AN153" s="455"/>
      <c r="AO153" s="1239"/>
      <c r="AP153" s="1239"/>
      <c r="AQ153" s="484">
        <f>+FL_2($T$154,$U$152,$G$153,1200,9.28, 1*$F$154)</f>
        <v>-0.3</v>
      </c>
      <c r="AR153" s="638"/>
      <c r="AS153" s="638"/>
      <c r="AT153" s="484"/>
      <c r="AU153" s="638"/>
      <c r="AV153" s="638"/>
      <c r="AW153" s="638" t="str">
        <f>VLOOKUP(J153,'Foundation Calculation'!$A$2:$C$33,3,1)</f>
        <v>Soil B</v>
      </c>
      <c r="AX153" s="638" t="str">
        <f>VLOOKUP(J153,'Foundation Calculation'!$E$2:$G$33,3,1)</f>
        <v>PT</v>
      </c>
      <c r="AY153" s="484"/>
      <c r="AZ153" s="484">
        <f>IF(AX153="PT",VLOOKUP(K153,'Foundation Calculation'!$K$2:$R$40,VLOOKUP(AW153,'Foundation Calculation'!$I$2:$J$8,2,FALSE),0),IF(AX153="K",VLOOKUP(K153,'Foundation Calculation'!$K$42:$R$80,VLOOKUP(AW153,'Foundation Calculation'!$I$2:$J$8,2,FALSE),0),""))</f>
        <v>3.9</v>
      </c>
      <c r="BA153" s="671" t="s">
        <v>2809</v>
      </c>
      <c r="BB153" s="449"/>
      <c r="BC153" s="169"/>
      <c r="BD153" s="1329"/>
      <c r="BE153" s="1330"/>
      <c r="BF153" s="1330"/>
      <c r="BG153" s="1330"/>
    </row>
    <row r="154" spans="1:59" ht="15.75" customHeight="1">
      <c r="A154" s="449"/>
      <c r="B154" s="435" t="s">
        <v>3015</v>
      </c>
      <c r="C154" s="446">
        <f>+$C$152+$G$153</f>
        <v>88628.35</v>
      </c>
      <c r="D154" s="173"/>
      <c r="E154" s="447"/>
      <c r="F154" s="447">
        <v>0</v>
      </c>
      <c r="G154" s="484"/>
      <c r="H154" s="1239" t="s">
        <v>2128</v>
      </c>
      <c r="I154" s="1239" t="s">
        <v>623</v>
      </c>
      <c r="J154" s="171"/>
      <c r="K154" s="638"/>
      <c r="L154" s="638" t="s">
        <v>4664</v>
      </c>
      <c r="M154" s="638" t="str">
        <f>IF(AX154="PT",VLOOKUP(L154,'Foundation Calculation'!$V$2:$X$40,VLOOKUP(AX154,'Foundation Calculation'!$I$10:$J$13,2,FALSE),0),IF(AX154="K",VLOOKUP(L154,'Foundation Calculation'!$V$42:$X$80,VLOOKUP(AX154,'Foundation Calculation'!$I$10:$J$13,2,FALSE),0),""))</f>
        <v>C11R</v>
      </c>
      <c r="N154" s="1239" t="s">
        <v>143</v>
      </c>
      <c r="O154" s="1239" t="s">
        <v>140</v>
      </c>
      <c r="P154" s="1239"/>
      <c r="Q154" s="638">
        <v>0</v>
      </c>
      <c r="R154" s="638">
        <v>0</v>
      </c>
      <c r="S154" s="484"/>
      <c r="T154" s="638">
        <v>-30</v>
      </c>
      <c r="U154" s="638">
        <v>15</v>
      </c>
      <c r="V154" s="638"/>
      <c r="W154" s="638">
        <v>1.8</v>
      </c>
      <c r="X154" s="638">
        <v>1.4</v>
      </c>
      <c r="Y154" s="638"/>
      <c r="Z154" s="638"/>
      <c r="AA154" s="638">
        <v>0.6</v>
      </c>
      <c r="AB154" s="638"/>
      <c r="AC154" s="638" t="s">
        <v>4090</v>
      </c>
      <c r="AD154" s="638"/>
      <c r="AE154" s="638"/>
      <c r="AF154" s="638">
        <v>6000</v>
      </c>
      <c r="AG154" s="446">
        <v>88628</v>
      </c>
      <c r="AH154" s="638">
        <v>2643</v>
      </c>
      <c r="AI154" s="638">
        <v>460</v>
      </c>
      <c r="AJ154" s="638"/>
      <c r="AK154" s="638"/>
      <c r="AL154" s="638" t="s">
        <v>2143</v>
      </c>
      <c r="AM154" s="638" t="s">
        <v>1042</v>
      </c>
      <c r="AN154" s="455">
        <v>5.5</v>
      </c>
      <c r="AO154" s="1239"/>
      <c r="AP154" s="1239"/>
      <c r="AQ154" s="484"/>
      <c r="AR154" s="484"/>
      <c r="AS154" s="484"/>
      <c r="AT154" s="484">
        <f>+ab($T$154,$U$152,$U$156,$G$153,$G$155, 1*$F$154,1200)</f>
        <v>-6.0055020023597603</v>
      </c>
      <c r="AU154" s="638"/>
      <c r="AV154" s="638"/>
      <c r="AW154" s="638" t="str">
        <f>VLOOKUP(C154,'Foundation Calculation'!$A$2:$C$33,3,1)</f>
        <v>Soil B</v>
      </c>
      <c r="AX154" s="638" t="str">
        <f>VLOOKUP(C154,'Foundation Calculation'!$E$2:$G$33,3,1)</f>
        <v>PT</v>
      </c>
      <c r="AY154" s="484">
        <f>IF(AX154="PT",VLOOKUP(L154,'Foundation Calculation'!$K$2:$R$40,VLOOKUP(AW154,'Foundation Calculation'!$I$2:$J$8,2,FALSE),0),IF(AX154="K",VLOOKUP(L154,'Foundation Calculation'!$K$42:$R$80,VLOOKUP(AW154,'Foundation Calculation'!$I$2:$J$8,2,FALSE),0),""))</f>
        <v>4.4000000000000004</v>
      </c>
      <c r="AZ154" s="484"/>
      <c r="BA154" s="671" t="s">
        <v>2809</v>
      </c>
      <c r="BB154" s="449" t="str">
        <f>Pole_Calculations!A178</f>
        <v>App.8-V08F-P10.3</v>
      </c>
      <c r="BC154" s="169"/>
      <c r="BD154" s="1371"/>
      <c r="BE154" s="1371"/>
      <c r="BF154" s="1371"/>
      <c r="BG154" s="1371"/>
    </row>
    <row r="155" spans="1:59" ht="15.75" customHeight="1">
      <c r="A155" s="449"/>
      <c r="B155" s="445"/>
      <c r="C155" s="446"/>
      <c r="D155" s="638"/>
      <c r="E155" s="638"/>
      <c r="F155" s="448"/>
      <c r="G155" s="484">
        <v>45</v>
      </c>
      <c r="H155" s="1239"/>
      <c r="I155" s="448"/>
      <c r="J155" s="446"/>
      <c r="K155" s="638"/>
      <c r="L155" s="638"/>
      <c r="M155" s="638"/>
      <c r="N155" s="638"/>
      <c r="O155" s="638"/>
      <c r="P155" s="638"/>
      <c r="Q155" s="638"/>
      <c r="R155" s="638"/>
      <c r="S155" s="484">
        <f t="shared" ref="S155" si="72">AG156-AG154</f>
        <v>45</v>
      </c>
      <c r="T155" s="638"/>
      <c r="U155" s="638"/>
      <c r="V155" s="638"/>
      <c r="W155" s="638"/>
      <c r="X155" s="638"/>
      <c r="Y155" s="638"/>
      <c r="Z155" s="638"/>
      <c r="AA155" s="638"/>
      <c r="AB155" s="638"/>
      <c r="AC155" s="638"/>
      <c r="AD155" s="638"/>
      <c r="AE155" s="638"/>
      <c r="AF155" s="638"/>
      <c r="AG155" s="446"/>
      <c r="AH155" s="638"/>
      <c r="AI155" s="638"/>
      <c r="AJ155" s="638"/>
      <c r="AK155" s="638"/>
      <c r="AL155" s="638"/>
      <c r="AM155" s="638"/>
      <c r="AN155" s="455"/>
      <c r="AO155" s="1239"/>
      <c r="AP155" s="1239"/>
      <c r="AQ155" s="484">
        <f>+FL_1($U$156,$T$154,$G$155,1200,9.28, 1*$F$156)</f>
        <v>0.35564782755555552</v>
      </c>
      <c r="AR155" s="638"/>
      <c r="AS155" s="638"/>
      <c r="AT155" s="484"/>
      <c r="AU155" s="638"/>
      <c r="AV155" s="638"/>
      <c r="AW155" s="638"/>
      <c r="AX155" s="638"/>
      <c r="AY155" s="484"/>
      <c r="AZ155" s="484" t="str">
        <f>IF(AX155="PT",VLOOKUP(K155,'Foundation Calculation'!$L$2:$R$41,VLOOKUP(AW155,'Foundation Calculation'!$I$2:$J$8,2,FALSE),0),IF(AX155="K",VLOOKUP(K155,'Foundation Calculation'!$L$41:$R$79,VLOOKUP(AW155,'Foundation Calculation'!$I$2:$J$8,2,FALSE),0),""))</f>
        <v/>
      </c>
      <c r="BA155" s="671"/>
      <c r="BB155" s="449"/>
      <c r="BC155" s="169"/>
      <c r="BD155" s="1330"/>
      <c r="BE155" s="1330"/>
      <c r="BF155" s="1330"/>
      <c r="BG155" s="1330"/>
    </row>
    <row r="156" spans="1:59" ht="25">
      <c r="A156" s="449"/>
      <c r="B156" s="435" t="s">
        <v>3016</v>
      </c>
      <c r="C156" s="446">
        <f>+$C$154+$G$155</f>
        <v>88673.35</v>
      </c>
      <c r="D156" s="173"/>
      <c r="E156" s="447"/>
      <c r="F156" s="447">
        <v>0</v>
      </c>
      <c r="G156" s="484"/>
      <c r="H156" s="1239" t="s">
        <v>3042</v>
      </c>
      <c r="I156" s="168" t="s">
        <v>3054</v>
      </c>
      <c r="J156" s="171"/>
      <c r="K156" s="638"/>
      <c r="L156" s="638" t="s">
        <v>4666</v>
      </c>
      <c r="M156" s="638" t="str">
        <f>IF(AX156="PT",VLOOKUP(L156,'Foundation Calculation'!$V$2:$X$40,VLOOKUP(AX156,'Foundation Calculation'!$I$10:$J$13,2,FALSE),0),IF(AX156="K",VLOOKUP(L156,'Foundation Calculation'!$V$42:$X$80,VLOOKUP(AX156,'Foundation Calculation'!$I$10:$J$13,2,FALSE),0),""))</f>
        <v>C12R</v>
      </c>
      <c r="N156" s="1239" t="s">
        <v>140</v>
      </c>
      <c r="O156" s="1239" t="s">
        <v>144</v>
      </c>
      <c r="P156" s="1239"/>
      <c r="Q156" s="638">
        <v>0</v>
      </c>
      <c r="R156" s="638">
        <v>0</v>
      </c>
      <c r="S156" s="484"/>
      <c r="T156" s="638">
        <v>55</v>
      </c>
      <c r="U156" s="638">
        <v>35</v>
      </c>
      <c r="V156" s="638"/>
      <c r="W156" s="638">
        <v>1.4</v>
      </c>
      <c r="X156" s="638">
        <v>1.8</v>
      </c>
      <c r="Y156" s="638"/>
      <c r="Z156" s="638">
        <v>0.6</v>
      </c>
      <c r="AA156" s="638"/>
      <c r="AB156" s="638"/>
      <c r="AC156" s="638" t="s">
        <v>4090</v>
      </c>
      <c r="AD156" s="638"/>
      <c r="AE156" s="638"/>
      <c r="AF156" s="638">
        <v>6000</v>
      </c>
      <c r="AG156" s="446">
        <v>88673</v>
      </c>
      <c r="AH156" s="638">
        <v>2723</v>
      </c>
      <c r="AI156" s="638">
        <v>410</v>
      </c>
      <c r="AJ156" s="638"/>
      <c r="AK156" s="638"/>
      <c r="AL156" s="638" t="s">
        <v>2143</v>
      </c>
      <c r="AM156" s="638" t="s">
        <v>1042</v>
      </c>
      <c r="AN156" s="455">
        <v>5.5</v>
      </c>
      <c r="AO156" s="1239"/>
      <c r="AP156" s="1239"/>
      <c r="AQ156" s="484"/>
      <c r="AR156" s="484"/>
      <c r="AS156" s="484"/>
      <c r="AT156" s="484">
        <f>+ab($U$156,$T$154,$U$158,$G$155,$G$157, 1*$F$156,1200)</f>
        <v>19.493563996307621</v>
      </c>
      <c r="AU156" s="638"/>
      <c r="AV156" s="638"/>
      <c r="AW156" s="638" t="str">
        <f>VLOOKUP(C156,'Foundation Calculation'!$A$2:$C$33,3,1)</f>
        <v>Soil B</v>
      </c>
      <c r="AX156" s="638" t="str">
        <f>VLOOKUP(C156,'Foundation Calculation'!$E$2:$G$33,3,1)</f>
        <v>PT</v>
      </c>
      <c r="AY156" s="484">
        <f>IF(AX156="PT",VLOOKUP(L156,'Foundation Calculation'!$K$2:$R$40,VLOOKUP(AW156,'Foundation Calculation'!$I$2:$J$8,2,FALSE),0),IF(AX156="K",VLOOKUP(L156,'Foundation Calculation'!$K$42:$R$80,VLOOKUP(AW156,'Foundation Calculation'!$I$2:$J$8,2,FALSE),0),""))</f>
        <v>5.6</v>
      </c>
      <c r="AZ156" s="484"/>
      <c r="BA156" s="671" t="s">
        <v>2809</v>
      </c>
      <c r="BB156" s="449" t="str">
        <f>Pole_Calculations!A178</f>
        <v>App.8-V08F-P10.3</v>
      </c>
      <c r="BC156" s="169"/>
      <c r="BD156" s="1371"/>
      <c r="BE156" s="1371"/>
      <c r="BF156" s="1371"/>
      <c r="BG156" s="1371"/>
    </row>
    <row r="157" spans="1:59" ht="15.75" customHeight="1">
      <c r="A157" s="449"/>
      <c r="B157" s="445"/>
      <c r="C157" s="446"/>
      <c r="D157" s="638"/>
      <c r="E157" s="638"/>
      <c r="F157" s="448"/>
      <c r="G157" s="484">
        <v>60.2</v>
      </c>
      <c r="H157" s="1239"/>
      <c r="I157" s="448"/>
      <c r="J157" s="446"/>
      <c r="K157" s="638"/>
      <c r="L157" s="1239"/>
      <c r="M157" s="638"/>
      <c r="N157" s="638"/>
      <c r="O157" s="638"/>
      <c r="P157" s="638"/>
      <c r="Q157" s="638"/>
      <c r="R157" s="638"/>
      <c r="S157" s="484">
        <f t="shared" ref="S157" si="73">AG158-AG156</f>
        <v>60</v>
      </c>
      <c r="T157" s="638"/>
      <c r="U157" s="638"/>
      <c r="V157" s="638"/>
      <c r="W157" s="638"/>
      <c r="X157" s="638"/>
      <c r="Y157" s="638"/>
      <c r="Z157" s="638"/>
      <c r="AA157" s="638"/>
      <c r="AB157" s="638"/>
      <c r="AC157" s="638"/>
      <c r="AD157" s="638"/>
      <c r="AE157" s="638"/>
      <c r="AF157" s="638"/>
      <c r="AG157" s="446"/>
      <c r="AH157" s="638"/>
      <c r="AI157" s="638"/>
      <c r="AJ157" s="638"/>
      <c r="AK157" s="638"/>
      <c r="AL157" s="1239"/>
      <c r="AM157" s="1239"/>
      <c r="AN157" s="455"/>
      <c r="AO157" s="1239"/>
      <c r="AP157" s="1239"/>
      <c r="AQ157" s="484">
        <f>+FL_1($U$158,$U$156,$G$157,1200,9.28, 1*$F$158)</f>
        <v>0.86638043125581388</v>
      </c>
      <c r="AR157" s="638"/>
      <c r="AS157" s="638"/>
      <c r="AT157" s="484"/>
      <c r="AU157" s="638"/>
      <c r="AV157" s="638"/>
      <c r="AW157" s="638"/>
      <c r="AX157" s="638"/>
      <c r="AY157" s="484"/>
      <c r="AZ157" s="484" t="str">
        <f>IF(AX157="PT",VLOOKUP(K157,'Foundation Calculation'!$L$2:$R$41,VLOOKUP(AW157,'Foundation Calculation'!$I$2:$J$8,2,FALSE),0),IF(AX157="K",VLOOKUP(K157,'Foundation Calculation'!$L$41:$R$79,VLOOKUP(AW157,'Foundation Calculation'!$I$2:$J$8,2,FALSE),0),""))</f>
        <v/>
      </c>
      <c r="BA157" s="671"/>
      <c r="BB157" s="449"/>
      <c r="BC157" s="169"/>
      <c r="BD157" s="1330"/>
      <c r="BE157" s="1330"/>
      <c r="BF157" s="1330"/>
      <c r="BG157" s="1330"/>
    </row>
    <row r="158" spans="1:59" ht="15.75" customHeight="1">
      <c r="A158" s="449"/>
      <c r="B158" s="435" t="s">
        <v>3017</v>
      </c>
      <c r="C158" s="446">
        <f>+$C$156+$G$157</f>
        <v>88733.55</v>
      </c>
      <c r="D158" s="173"/>
      <c r="E158" s="447"/>
      <c r="F158" s="447">
        <v>0</v>
      </c>
      <c r="G158" s="484"/>
      <c r="H158" s="1239" t="s">
        <v>2551</v>
      </c>
      <c r="I158" s="1239"/>
      <c r="J158" s="171"/>
      <c r="K158" s="638"/>
      <c r="L158" s="638" t="s">
        <v>4664</v>
      </c>
      <c r="M158" s="638" t="str">
        <f>IF(AX158="PT",VLOOKUP(L158,'Foundation Calculation'!$V$2:$X$40,VLOOKUP(AX158,'Foundation Calculation'!$I$10:$J$13,2,FALSE),0),IF(AX158="K",VLOOKUP(L158,'Foundation Calculation'!$V$42:$X$80,VLOOKUP(AX158,'Foundation Calculation'!$I$10:$J$13,2,FALSE),0),""))</f>
        <v>C11R</v>
      </c>
      <c r="N158" s="1239" t="s">
        <v>140</v>
      </c>
      <c r="O158" s="1239" t="s">
        <v>140</v>
      </c>
      <c r="P158" s="1239" t="s">
        <v>143</v>
      </c>
      <c r="Q158" s="638">
        <v>0</v>
      </c>
      <c r="R158" s="638">
        <v>0</v>
      </c>
      <c r="S158" s="484"/>
      <c r="T158" s="638">
        <v>15</v>
      </c>
      <c r="U158" s="638">
        <v>65</v>
      </c>
      <c r="V158" s="638">
        <v>-30</v>
      </c>
      <c r="W158" s="638">
        <v>1.8</v>
      </c>
      <c r="X158" s="638">
        <v>1.4</v>
      </c>
      <c r="Y158" s="638">
        <v>2.2999999999999998</v>
      </c>
      <c r="Z158" s="638">
        <v>0.5</v>
      </c>
      <c r="AA158" s="638">
        <v>0.55000000000000004</v>
      </c>
      <c r="AB158" s="638"/>
      <c r="AC158" s="638" t="s">
        <v>4090</v>
      </c>
      <c r="AD158" s="638"/>
      <c r="AE158" s="638"/>
      <c r="AF158" s="638">
        <v>6000</v>
      </c>
      <c r="AG158" s="446">
        <v>88733</v>
      </c>
      <c r="AH158" s="638">
        <v>2643</v>
      </c>
      <c r="AI158" s="638">
        <v>670</v>
      </c>
      <c r="AJ158" s="638"/>
      <c r="AK158" s="638"/>
      <c r="AL158" s="638" t="s">
        <v>2143</v>
      </c>
      <c r="AM158" s="638" t="s">
        <v>1042</v>
      </c>
      <c r="AN158" s="455">
        <v>5.5</v>
      </c>
      <c r="AO158" s="1239"/>
      <c r="AP158" s="1239"/>
      <c r="AQ158" s="484"/>
      <c r="AR158" s="484"/>
      <c r="AS158" s="484"/>
      <c r="AT158" s="484">
        <f>+ab($U$158,$U$156,$V$160,$G$157,$G$159, 1*$F$158,1200)</f>
        <v>10.049724387997777</v>
      </c>
      <c r="AU158" s="638"/>
      <c r="AV158" s="638"/>
      <c r="AW158" s="638" t="str">
        <f>VLOOKUP(C158,'Foundation Calculation'!$A$2:$C$33,3,1)</f>
        <v>Soil B</v>
      </c>
      <c r="AX158" s="638" t="str">
        <f>VLOOKUP(C158,'Foundation Calculation'!$E$2:$G$33,3,1)</f>
        <v>PT</v>
      </c>
      <c r="AY158" s="484">
        <f>IF(AX158="PT",VLOOKUP(L158,'Foundation Calculation'!$K$2:$R$40,VLOOKUP(AW158,'Foundation Calculation'!$I$2:$J$8,2,FALSE),0),IF(AX158="K",VLOOKUP(L158,'Foundation Calculation'!$K$42:$R$80,VLOOKUP(AW158,'Foundation Calculation'!$I$2:$J$8,2,FALSE),0),""))</f>
        <v>4.4000000000000004</v>
      </c>
      <c r="AZ158" s="484"/>
      <c r="BA158" s="671" t="s">
        <v>2809</v>
      </c>
      <c r="BB158" s="449" t="str">
        <f>Pole_Calculations!A178</f>
        <v>App.8-V08F-P10.3</v>
      </c>
      <c r="BC158" s="169"/>
      <c r="BD158" s="1371"/>
      <c r="BE158" s="1371"/>
      <c r="BF158" s="1371"/>
      <c r="BG158" s="1371"/>
    </row>
    <row r="159" spans="1:59" ht="15.75" customHeight="1">
      <c r="A159" s="449"/>
      <c r="B159" s="445"/>
      <c r="C159" s="446"/>
      <c r="D159" s="638"/>
      <c r="E159" s="638"/>
      <c r="F159" s="448"/>
      <c r="G159" s="484">
        <v>53.9</v>
      </c>
      <c r="H159" s="1239"/>
      <c r="I159" s="448"/>
      <c r="J159" s="446"/>
      <c r="K159" s="638"/>
      <c r="L159" s="638"/>
      <c r="M159" s="638"/>
      <c r="N159" s="638"/>
      <c r="O159" s="638"/>
      <c r="P159" s="638"/>
      <c r="Q159" s="638"/>
      <c r="R159" s="638"/>
      <c r="S159" s="484">
        <f t="shared" ref="S159" si="74">AG160-AG158</f>
        <v>54</v>
      </c>
      <c r="T159" s="638"/>
      <c r="U159" s="638"/>
      <c r="V159" s="638"/>
      <c r="W159" s="638"/>
      <c r="X159" s="638"/>
      <c r="Y159" s="638"/>
      <c r="Z159" s="638"/>
      <c r="AA159" s="638"/>
      <c r="AB159" s="638"/>
      <c r="AC159" s="638"/>
      <c r="AD159" s="638"/>
      <c r="AE159" s="638"/>
      <c r="AF159" s="638"/>
      <c r="AG159" s="446"/>
      <c r="AH159" s="638"/>
      <c r="AI159" s="638"/>
      <c r="AJ159" s="638"/>
      <c r="AK159" s="638"/>
      <c r="AL159" s="638"/>
      <c r="AM159" s="638"/>
      <c r="AN159" s="455"/>
      <c r="AO159" s="1239"/>
      <c r="AP159" s="1239"/>
      <c r="AQ159" s="484">
        <f>+FL_1($U$160,$T$158,$G$159,1200,9.28, 1*$F$160)</f>
        <v>0.73647422084106373</v>
      </c>
      <c r="AR159" s="638"/>
      <c r="AS159" s="638"/>
      <c r="AT159" s="484"/>
      <c r="AU159" s="638"/>
      <c r="AV159" s="638"/>
      <c r="AW159" s="638"/>
      <c r="AX159" s="638"/>
      <c r="AY159" s="484"/>
      <c r="AZ159" s="484"/>
      <c r="BA159" s="671"/>
      <c r="BB159" s="449"/>
      <c r="BC159" s="169"/>
      <c r="BD159" s="1330"/>
      <c r="BE159" s="1330"/>
      <c r="BF159" s="1330"/>
      <c r="BG159" s="1330"/>
    </row>
    <row r="160" spans="1:59" ht="15.75" customHeight="1">
      <c r="A160" s="449" t="s">
        <v>3135</v>
      </c>
      <c r="B160" s="435" t="s">
        <v>3018</v>
      </c>
      <c r="C160" s="446">
        <f>+$C$158+$G$159</f>
        <v>88787.45</v>
      </c>
      <c r="D160" s="173"/>
      <c r="E160" s="447"/>
      <c r="F160" s="447">
        <v>0</v>
      </c>
      <c r="G160" s="484"/>
      <c r="H160" s="1239" t="s">
        <v>2551</v>
      </c>
      <c r="I160" s="1239" t="s">
        <v>1429</v>
      </c>
      <c r="J160" s="171"/>
      <c r="K160" s="638"/>
      <c r="L160" s="638" t="s">
        <v>4664</v>
      </c>
      <c r="M160" s="638" t="str">
        <f>IF(AX160="PT",VLOOKUP(L160,'Foundation Calculation'!$V$2:$X$40,VLOOKUP(AX160,'Foundation Calculation'!$I$10:$J$13,2,FALSE),0),IF(AX160="K",VLOOKUP(L160,'Foundation Calculation'!$V$42:$X$80,VLOOKUP(AX160,'Foundation Calculation'!$I$10:$J$13,2,FALSE),0),""))</f>
        <v>C11R</v>
      </c>
      <c r="N160" s="1239" t="s">
        <v>144</v>
      </c>
      <c r="O160" s="1239" t="s">
        <v>140</v>
      </c>
      <c r="P160" s="1239" t="s">
        <v>140</v>
      </c>
      <c r="Q160" s="638">
        <v>0</v>
      </c>
      <c r="R160" s="638">
        <v>0</v>
      </c>
      <c r="S160" s="484"/>
      <c r="T160" s="638">
        <v>35</v>
      </c>
      <c r="U160" s="638">
        <v>65</v>
      </c>
      <c r="V160" s="638">
        <v>-10</v>
      </c>
      <c r="W160" s="638">
        <v>1.8</v>
      </c>
      <c r="X160" s="638">
        <v>1.4</v>
      </c>
      <c r="Y160" s="638">
        <v>2.2999999999999998</v>
      </c>
      <c r="Z160" s="638"/>
      <c r="AA160" s="638">
        <v>0.6</v>
      </c>
      <c r="AB160" s="638">
        <v>0.5</v>
      </c>
      <c r="AC160" s="638" t="s">
        <v>1421</v>
      </c>
      <c r="AD160" s="638"/>
      <c r="AE160" s="638"/>
      <c r="AF160" s="638">
        <v>6000</v>
      </c>
      <c r="AG160" s="446">
        <v>88787</v>
      </c>
      <c r="AH160" s="638">
        <v>2613</v>
      </c>
      <c r="AI160" s="638">
        <v>470</v>
      </c>
      <c r="AJ160" s="638" t="s">
        <v>2154</v>
      </c>
      <c r="AK160" s="638"/>
      <c r="AL160" s="638" t="s">
        <v>2143</v>
      </c>
      <c r="AM160" s="638" t="s">
        <v>1042</v>
      </c>
      <c r="AN160" s="455">
        <v>5.5</v>
      </c>
      <c r="AO160" s="1239"/>
      <c r="AP160" s="1239"/>
      <c r="AQ160" s="484"/>
      <c r="AR160" s="484"/>
      <c r="AS160" s="484"/>
      <c r="AT160" s="484">
        <f>+ab($U$160,$T$158,$T$162,$G$159,$G$161, 1*$F$160,1200)</f>
        <v>6.5261268910176495</v>
      </c>
      <c r="AU160" s="638"/>
      <c r="AV160" s="638"/>
      <c r="AW160" s="638" t="str">
        <f>VLOOKUP(C160,'Foundation Calculation'!$A$2:$C$33,3,1)</f>
        <v>Soil B</v>
      </c>
      <c r="AX160" s="638" t="str">
        <f>VLOOKUP(C160,'Foundation Calculation'!$E$2:$G$33,3,1)</f>
        <v>PT</v>
      </c>
      <c r="AY160" s="484">
        <f>IF(AX160="PT",VLOOKUP(L160,'Foundation Calculation'!$K$2:$R$40,VLOOKUP(AW160,'Foundation Calculation'!$I$2:$J$8,2,FALSE),0),IF(AX160="K",VLOOKUP(L160,'Foundation Calculation'!$K$42:$R$80,VLOOKUP(AW160,'Foundation Calculation'!$I$2:$J$8,2,FALSE),0),""))</f>
        <v>4.4000000000000004</v>
      </c>
      <c r="AZ160" s="484"/>
      <c r="BA160" s="671" t="s">
        <v>2809</v>
      </c>
      <c r="BB160" s="449" t="str">
        <f>Pole_Calculations!A178</f>
        <v>App.8-V08F-P10.3</v>
      </c>
      <c r="BC160" s="169"/>
      <c r="BD160" s="1371"/>
      <c r="BE160" s="1371"/>
      <c r="BF160" s="1371"/>
      <c r="BG160" s="1371"/>
    </row>
    <row r="161" spans="1:59" ht="15.75" customHeight="1">
      <c r="A161" s="449"/>
      <c r="B161" s="445"/>
      <c r="C161" s="446"/>
      <c r="D161" s="638"/>
      <c r="E161" s="638"/>
      <c r="F161" s="447"/>
      <c r="G161" s="484">
        <v>50</v>
      </c>
      <c r="H161" s="1239"/>
      <c r="I161" s="448"/>
      <c r="J161" s="446"/>
      <c r="K161" s="638"/>
      <c r="L161" s="638"/>
      <c r="M161" s="638"/>
      <c r="N161" s="638"/>
      <c r="O161" s="638"/>
      <c r="P161" s="638"/>
      <c r="Q161" s="638"/>
      <c r="R161" s="638"/>
      <c r="S161" s="484">
        <f t="shared" ref="S161" si="75">AG162-AG160</f>
        <v>50</v>
      </c>
      <c r="T161" s="638"/>
      <c r="U161" s="638"/>
      <c r="V161" s="638"/>
      <c r="W161" s="638"/>
      <c r="X161" s="638"/>
      <c r="Y161" s="638"/>
      <c r="Z161" s="638"/>
      <c r="AA161" s="638"/>
      <c r="AB161" s="638"/>
      <c r="AC161" s="638"/>
      <c r="AD161" s="638"/>
      <c r="AE161" s="638"/>
      <c r="AF161" s="638"/>
      <c r="AG161" s="446"/>
      <c r="AH161" s="638"/>
      <c r="AI161" s="638"/>
      <c r="AJ161" s="638"/>
      <c r="AK161" s="638"/>
      <c r="AL161" s="638"/>
      <c r="AM161" s="638"/>
      <c r="AN161" s="455"/>
      <c r="AO161" s="1239"/>
      <c r="AP161" s="1239"/>
      <c r="AQ161" s="484">
        <f>+FL_1($T$162,$U$160,$G$161,1200,9.28, 1*$F$162)</f>
        <v>0.65002663199945165</v>
      </c>
      <c r="AR161" s="638"/>
      <c r="AS161" s="638"/>
      <c r="AT161" s="484"/>
      <c r="AU161" s="638"/>
      <c r="AV161" s="638"/>
      <c r="AW161" s="638"/>
      <c r="AX161" s="638"/>
      <c r="AY161" s="484"/>
      <c r="AZ161" s="484"/>
      <c r="BA161" s="671"/>
      <c r="BB161" s="449"/>
      <c r="BC161" s="169"/>
      <c r="BD161" s="1330"/>
      <c r="BE161" s="1330"/>
      <c r="BF161" s="1330"/>
      <c r="BG161" s="1330"/>
    </row>
    <row r="162" spans="1:59" ht="15.75" customHeight="1">
      <c r="A162" s="449"/>
      <c r="B162" s="485" t="s">
        <v>3019</v>
      </c>
      <c r="C162" s="446">
        <f>+$C$160+$G$161</f>
        <v>88837.45</v>
      </c>
      <c r="D162" s="638"/>
      <c r="E162" s="638"/>
      <c r="F162" s="447">
        <v>12500</v>
      </c>
      <c r="G162" s="484"/>
      <c r="H162" s="1239" t="s">
        <v>2128</v>
      </c>
      <c r="I162" s="448" t="s">
        <v>623</v>
      </c>
      <c r="J162" s="446"/>
      <c r="K162" s="638"/>
      <c r="L162" s="1239" t="s">
        <v>4393</v>
      </c>
      <c r="M162" s="1239" t="str">
        <f>IF(AX162="PT",VLOOKUP(L162,'Foundation Calculation'!$V$2:$X$40,VLOOKUP(AX162,'Foundation Calculation'!$I$10:$J$13,2,FALSE),0),IF(AX162="K",VLOOKUP(L162,'Foundation Calculation'!$V$42:$X$80,VLOOKUP(AX162,'Foundation Calculation'!$I$10:$J$13,2,FALSE),0),""))</f>
        <v>2C4R</v>
      </c>
      <c r="N162" s="638" t="s">
        <v>143</v>
      </c>
      <c r="O162" s="638" t="s">
        <v>140</v>
      </c>
      <c r="P162" s="638"/>
      <c r="Q162" s="638">
        <v>10</v>
      </c>
      <c r="R162" s="638">
        <v>-12500</v>
      </c>
      <c r="S162" s="484"/>
      <c r="T162" s="638">
        <v>-35</v>
      </c>
      <c r="U162" s="638">
        <v>15</v>
      </c>
      <c r="V162" s="638"/>
      <c r="W162" s="638">
        <v>1.8</v>
      </c>
      <c r="X162" s="638">
        <v>1.4</v>
      </c>
      <c r="Y162" s="638"/>
      <c r="Z162" s="638" t="s">
        <v>4989</v>
      </c>
      <c r="AA162" s="638">
        <v>0.6</v>
      </c>
      <c r="AB162" s="638"/>
      <c r="AC162" s="638" t="s">
        <v>4090</v>
      </c>
      <c r="AD162" s="638"/>
      <c r="AE162" s="638"/>
      <c r="AF162" s="638">
        <v>6000</v>
      </c>
      <c r="AG162" s="446">
        <v>88837</v>
      </c>
      <c r="AH162" s="638">
        <v>2663</v>
      </c>
      <c r="AI162" s="638">
        <v>620</v>
      </c>
      <c r="AJ162" s="638"/>
      <c r="AK162" s="638"/>
      <c r="AL162" s="1239" t="s">
        <v>2135</v>
      </c>
      <c r="AM162" s="1239" t="s">
        <v>1042</v>
      </c>
      <c r="AN162" s="455">
        <v>5.5</v>
      </c>
      <c r="AO162" s="1239"/>
      <c r="AP162" s="1239"/>
      <c r="AQ162" s="484"/>
      <c r="AR162" s="638"/>
      <c r="AS162" s="638"/>
      <c r="AT162" s="484">
        <f>+ab($T$162,$U$160,$T$164,$G$161,$G$163, 1*$F$162,1200)</f>
        <v>-6.5226301621095235</v>
      </c>
      <c r="AU162" s="638"/>
      <c r="AV162" s="638"/>
      <c r="AW162" s="638" t="str">
        <f>VLOOKUP(C162,'Foundation Calculation'!$A$2:$C$33,3,1)</f>
        <v>Soil B</v>
      </c>
      <c r="AX162" s="638" t="str">
        <f>VLOOKUP(C162,'Foundation Calculation'!$E$2:$G$33,3,1)</f>
        <v>PT</v>
      </c>
      <c r="AY162" s="484">
        <f>IF(AX162="PT",VLOOKUP(L162,'Foundation Calculation'!$K$2:$R$40,VLOOKUP(AW162,'Foundation Calculation'!$I$2:$J$8,2,FALSE),0),IF(AX162="K",VLOOKUP(L162,'Foundation Calculation'!$K$42:$R$80,VLOOKUP(AW162,'Foundation Calculation'!$I$2:$J$8,2,FALSE),0),""))</f>
        <v>5.3</v>
      </c>
      <c r="AZ162" s="484"/>
      <c r="BA162" s="671" t="s">
        <v>2809</v>
      </c>
      <c r="BB162" s="449" t="str">
        <f>Pole_Calculations!A178</f>
        <v>App.8-V08F-P10.3</v>
      </c>
      <c r="BC162" s="169"/>
      <c r="BD162" s="1371"/>
      <c r="BE162" s="1371"/>
      <c r="BF162" s="1371"/>
      <c r="BG162" s="1371"/>
    </row>
    <row r="163" spans="1:59" ht="15.75" customHeight="1">
      <c r="A163" s="449"/>
      <c r="B163" s="445"/>
      <c r="C163" s="446"/>
      <c r="D163" s="638"/>
      <c r="E163" s="638"/>
      <c r="F163" s="447"/>
      <c r="G163" s="484">
        <v>52.3</v>
      </c>
      <c r="H163" s="1239"/>
      <c r="I163" s="448"/>
      <c r="J163" s="446">
        <f>C162+7.5</f>
        <v>88844.95</v>
      </c>
      <c r="K163" s="638" t="s">
        <v>2787</v>
      </c>
      <c r="L163" s="638"/>
      <c r="M163" s="638"/>
      <c r="N163" s="638"/>
      <c r="O163" s="638"/>
      <c r="P163" s="638"/>
      <c r="Q163" s="638"/>
      <c r="R163" s="638"/>
      <c r="S163" s="484">
        <f t="shared" ref="S163" si="76">AG164-AG162</f>
        <v>52</v>
      </c>
      <c r="T163" s="638"/>
      <c r="U163" s="638"/>
      <c r="V163" s="638"/>
      <c r="W163" s="638"/>
      <c r="X163" s="638"/>
      <c r="Y163" s="638"/>
      <c r="Z163" s="638"/>
      <c r="AA163" s="638"/>
      <c r="AB163" s="638"/>
      <c r="AC163" s="638"/>
      <c r="AD163" s="638"/>
      <c r="AE163" s="638"/>
      <c r="AF163" s="638"/>
      <c r="AG163" s="446"/>
      <c r="AH163" s="638"/>
      <c r="AI163" s="638"/>
      <c r="AJ163" s="638"/>
      <c r="AK163" s="638"/>
      <c r="AL163" s="638"/>
      <c r="AM163" s="638"/>
      <c r="AN163" s="455"/>
      <c r="AO163" s="1239"/>
      <c r="AP163" s="1239"/>
      <c r="AQ163" s="484">
        <f>+FL_1($T$164,$T$162,$G$163,1200,9.28, 1*$F$164)</f>
        <v>0.38023467504907577</v>
      </c>
      <c r="AR163" s="638"/>
      <c r="AS163" s="638"/>
      <c r="AT163" s="484"/>
      <c r="AU163" s="638"/>
      <c r="AV163" s="638"/>
      <c r="AW163" s="638" t="str">
        <f>VLOOKUP(J163,'Foundation Calculation'!$A$2:$C$33,3,1)</f>
        <v>Soil B</v>
      </c>
      <c r="AX163" s="638" t="str">
        <f>VLOOKUP(J163,'Foundation Calculation'!$E$2:$G$33,3,1)</f>
        <v>PT</v>
      </c>
      <c r="AY163" s="484"/>
      <c r="AZ163" s="484">
        <f>IF(AX163="PT",VLOOKUP(K163,'Foundation Calculation'!$K$2:$R$40,VLOOKUP(AW163,'Foundation Calculation'!$I$2:$J$8,2,FALSE),0),IF(AX163="K",VLOOKUP(K163,'Foundation Calculation'!$K$42:$R$80,VLOOKUP(AW163,'Foundation Calculation'!$I$2:$J$8,2,FALSE),0),""))</f>
        <v>3.9</v>
      </c>
      <c r="BA163" s="671" t="s">
        <v>2809</v>
      </c>
      <c r="BB163" s="449"/>
      <c r="BC163" s="169"/>
      <c r="BD163" s="1329"/>
      <c r="BE163" s="1330"/>
      <c r="BF163" s="1330"/>
      <c r="BG163" s="1330"/>
    </row>
    <row r="164" spans="1:59" ht="15.75" customHeight="1">
      <c r="A164" s="449"/>
      <c r="B164" s="485" t="s">
        <v>3020</v>
      </c>
      <c r="C164" s="446">
        <f>+$C$162+$G$163</f>
        <v>88889.75</v>
      </c>
      <c r="D164" s="638"/>
      <c r="E164" s="638"/>
      <c r="F164" s="447">
        <v>0</v>
      </c>
      <c r="G164" s="484"/>
      <c r="H164" s="1239" t="s">
        <v>2130</v>
      </c>
      <c r="I164" s="448" t="s">
        <v>624</v>
      </c>
      <c r="J164" s="446"/>
      <c r="K164" s="638"/>
      <c r="L164" s="1239" t="s">
        <v>4393</v>
      </c>
      <c r="M164" s="1239" t="str">
        <f>IF(AX164="PT",VLOOKUP(L164,'Foundation Calculation'!$V$2:$X$40,VLOOKUP(AX164,'Foundation Calculation'!$I$10:$J$13,2,FALSE),0),IF(AX164="K",VLOOKUP(L164,'Foundation Calculation'!$V$42:$X$80,VLOOKUP(AX164,'Foundation Calculation'!$I$10:$J$13,2,FALSE),0),""))</f>
        <v>2C4R</v>
      </c>
      <c r="N164" s="638" t="s">
        <v>144</v>
      </c>
      <c r="O164" s="638" t="s">
        <v>140</v>
      </c>
      <c r="P164" s="638"/>
      <c r="Q164" s="638">
        <v>0</v>
      </c>
      <c r="R164" s="638">
        <v>0</v>
      </c>
      <c r="S164" s="484"/>
      <c r="T164" s="638">
        <v>35</v>
      </c>
      <c r="U164" s="638">
        <v>50</v>
      </c>
      <c r="V164" s="638"/>
      <c r="W164" s="638">
        <v>1.8</v>
      </c>
      <c r="X164" s="638">
        <v>1.4</v>
      </c>
      <c r="Y164" s="638"/>
      <c r="Z164" s="638"/>
      <c r="AA164" s="638">
        <v>0.6</v>
      </c>
      <c r="AB164" s="638"/>
      <c r="AC164" s="638" t="s">
        <v>4090</v>
      </c>
      <c r="AD164" s="638"/>
      <c r="AE164" s="638"/>
      <c r="AF164" s="638">
        <v>6000</v>
      </c>
      <c r="AG164" s="446">
        <v>88889</v>
      </c>
      <c r="AH164" s="638">
        <v>2693</v>
      </c>
      <c r="AI164" s="638">
        <v>590</v>
      </c>
      <c r="AJ164" s="638"/>
      <c r="AK164" s="638"/>
      <c r="AL164" s="1239" t="s">
        <v>2135</v>
      </c>
      <c r="AM164" s="1239" t="s">
        <v>1042</v>
      </c>
      <c r="AN164" s="455">
        <v>5.43</v>
      </c>
      <c r="AO164" s="1239"/>
      <c r="AP164" s="1239"/>
      <c r="AQ164" s="484"/>
      <c r="AR164" s="638"/>
      <c r="AS164" s="638"/>
      <c r="AT164" s="484">
        <f>+ab($T$164,$T$162,$T$166,$G$163,$G$165, 1*$F$164,1200)</f>
        <v>6.9727505531444756</v>
      </c>
      <c r="AU164" s="638"/>
      <c r="AV164" s="638"/>
      <c r="AW164" s="638" t="str">
        <f>VLOOKUP(C164,'Foundation Calculation'!$A$2:$C$33,3,1)</f>
        <v>Soil B</v>
      </c>
      <c r="AX164" s="638" t="str">
        <f>VLOOKUP(C164,'Foundation Calculation'!$E$2:$G$33,3,1)</f>
        <v>PT</v>
      </c>
      <c r="AY164" s="484">
        <f>IF(AX164="PT",VLOOKUP(L164,'Foundation Calculation'!$K$2:$R$40,VLOOKUP(AW164,'Foundation Calculation'!$I$2:$J$8,2,FALSE),0),IF(AX164="K",VLOOKUP(L164,'Foundation Calculation'!$K$42:$R$80,VLOOKUP(AW164,'Foundation Calculation'!$I$2:$J$8,2,FALSE),0),""))</f>
        <v>5.3</v>
      </c>
      <c r="AZ164" s="484"/>
      <c r="BA164" s="671" t="s">
        <v>2809</v>
      </c>
      <c r="BB164" s="449" t="str">
        <f>Pole_Calculations!A178</f>
        <v>App.8-V08F-P10.3</v>
      </c>
      <c r="BC164" s="169"/>
      <c r="BD164" s="1371"/>
      <c r="BE164" s="1371"/>
      <c r="BF164" s="1371"/>
      <c r="BG164" s="1371"/>
    </row>
    <row r="165" spans="1:59" ht="15.75" customHeight="1">
      <c r="A165" s="449"/>
      <c r="B165" s="445"/>
      <c r="C165" s="446"/>
      <c r="D165" s="638"/>
      <c r="E165" s="638"/>
      <c r="F165" s="447"/>
      <c r="G165" s="484">
        <v>50</v>
      </c>
      <c r="H165" s="1239"/>
      <c r="I165" s="448"/>
      <c r="J165" s="446">
        <f>C164+7.5</f>
        <v>88897.25</v>
      </c>
      <c r="K165" s="638" t="s">
        <v>2787</v>
      </c>
      <c r="L165" s="638"/>
      <c r="M165" s="638"/>
      <c r="N165" s="638"/>
      <c r="O165" s="638"/>
      <c r="P165" s="638"/>
      <c r="Q165" s="638"/>
      <c r="R165" s="638"/>
      <c r="S165" s="484">
        <f t="shared" ref="S165" si="77">AG166-AG164</f>
        <v>50</v>
      </c>
      <c r="T165" s="638"/>
      <c r="U165" s="638"/>
      <c r="V165" s="638"/>
      <c r="W165" s="638"/>
      <c r="X165" s="638"/>
      <c r="Y165" s="638"/>
      <c r="Z165" s="638"/>
      <c r="AA165" s="638"/>
      <c r="AB165" s="638"/>
      <c r="AC165" s="638"/>
      <c r="AD165" s="638"/>
      <c r="AE165" s="638"/>
      <c r="AF165" s="638"/>
      <c r="AG165" s="446"/>
      <c r="AH165" s="638"/>
      <c r="AI165" s="638"/>
      <c r="AJ165" s="638"/>
      <c r="AK165" s="638"/>
      <c r="AL165" s="638"/>
      <c r="AM165" s="638"/>
      <c r="AN165" s="455"/>
      <c r="AO165" s="1239"/>
      <c r="AP165" s="1239"/>
      <c r="AQ165" s="484">
        <f>+FL_2($T$166,$T$164,$G$165,1200,9.28, 1*$F$166)</f>
        <v>-0.36839079999999996</v>
      </c>
      <c r="AR165" s="638"/>
      <c r="AS165" s="638"/>
      <c r="AT165" s="484"/>
      <c r="AU165" s="638"/>
      <c r="AV165" s="638"/>
      <c r="AW165" s="638" t="str">
        <f>VLOOKUP(J165,'Foundation Calculation'!$A$2:$C$33,3,1)</f>
        <v>Soil B</v>
      </c>
      <c r="AX165" s="638" t="str">
        <f>VLOOKUP(J165,'Foundation Calculation'!$E$2:$G$33,3,1)</f>
        <v>PT</v>
      </c>
      <c r="AY165" s="484"/>
      <c r="AZ165" s="484">
        <f>IF(AX165="PT",VLOOKUP(K165,'Foundation Calculation'!$K$2:$R$40,VLOOKUP(AW165,'Foundation Calculation'!$I$2:$J$8,2,FALSE),0),IF(AX165="K",VLOOKUP(K165,'Foundation Calculation'!$K$42:$R$80,VLOOKUP(AW165,'Foundation Calculation'!$I$2:$J$8,2,FALSE),0),""))</f>
        <v>3.9</v>
      </c>
      <c r="BA165" s="671" t="s">
        <v>2809</v>
      </c>
      <c r="BB165" s="449"/>
      <c r="BC165" s="169"/>
      <c r="BD165" s="1329"/>
      <c r="BE165" s="1330"/>
      <c r="BF165" s="1330"/>
      <c r="BG165" s="1330"/>
    </row>
    <row r="166" spans="1:59" ht="15.75" customHeight="1">
      <c r="A166" s="449"/>
      <c r="B166" s="485" t="s">
        <v>3021</v>
      </c>
      <c r="C166" s="446">
        <f>+$C$164+$G$165</f>
        <v>88939.75</v>
      </c>
      <c r="D166" s="638"/>
      <c r="E166" s="638"/>
      <c r="F166" s="447">
        <v>0</v>
      </c>
      <c r="G166" s="484"/>
      <c r="H166" s="1239" t="s">
        <v>138</v>
      </c>
      <c r="I166" s="448" t="s">
        <v>623</v>
      </c>
      <c r="J166" s="446"/>
      <c r="K166" s="638"/>
      <c r="L166" s="1239" t="s">
        <v>4393</v>
      </c>
      <c r="M166" s="1239" t="str">
        <f>IF(AX166="PT",VLOOKUP(L166,'Foundation Calculation'!$V$2:$X$40,VLOOKUP(AX166,'Foundation Calculation'!$I$10:$J$13,2,FALSE),0),IF(AX166="K",VLOOKUP(L166,'Foundation Calculation'!$V$42:$X$80,VLOOKUP(AX166,'Foundation Calculation'!$I$10:$J$13,2,FALSE),0),""))</f>
        <v>2C4R</v>
      </c>
      <c r="N166" s="638" t="s">
        <v>143</v>
      </c>
      <c r="O166" s="638"/>
      <c r="P166" s="638"/>
      <c r="Q166" s="638">
        <v>0</v>
      </c>
      <c r="R166" s="638">
        <v>0</v>
      </c>
      <c r="S166" s="484"/>
      <c r="T166" s="638">
        <v>-35</v>
      </c>
      <c r="U166" s="638"/>
      <c r="V166" s="638"/>
      <c r="W166" s="638">
        <v>1.2</v>
      </c>
      <c r="X166" s="638"/>
      <c r="Y166" s="638"/>
      <c r="Z166" s="638"/>
      <c r="AA166" s="638"/>
      <c r="AB166" s="638"/>
      <c r="AC166" s="638" t="s">
        <v>4090</v>
      </c>
      <c r="AD166" s="638"/>
      <c r="AE166" s="638"/>
      <c r="AF166" s="638">
        <v>6000</v>
      </c>
      <c r="AG166" s="446">
        <v>88939</v>
      </c>
      <c r="AH166" s="638">
        <v>2653</v>
      </c>
      <c r="AI166" s="638">
        <v>520</v>
      </c>
      <c r="AJ166" s="638"/>
      <c r="AK166" s="638"/>
      <c r="AL166" s="1239" t="s">
        <v>2135</v>
      </c>
      <c r="AM166" s="1239" t="s">
        <v>1042</v>
      </c>
      <c r="AN166" s="455">
        <v>5.32</v>
      </c>
      <c r="AO166" s="1239"/>
      <c r="AP166" s="1239"/>
      <c r="AQ166" s="484"/>
      <c r="AR166" s="638"/>
      <c r="AS166" s="638"/>
      <c r="AT166" s="484">
        <f>+ab($T$166,$T$164,$T$168,$G$165,$G$167, 1*$F$166,1200)</f>
        <v>-6.8745336051796304</v>
      </c>
      <c r="AU166" s="638"/>
      <c r="AV166" s="638"/>
      <c r="AW166" s="638" t="str">
        <f>VLOOKUP(C166,'Foundation Calculation'!$A$2:$C$33,3,1)</f>
        <v>Soil B</v>
      </c>
      <c r="AX166" s="638" t="str">
        <f>VLOOKUP(C166,'Foundation Calculation'!$E$2:$G$33,3,1)</f>
        <v>PT</v>
      </c>
      <c r="AY166" s="484">
        <f>IF(AX166="PT",VLOOKUP(L166,'Foundation Calculation'!$K$2:$R$40,VLOOKUP(AW166,'Foundation Calculation'!$I$2:$J$8,2,FALSE),0),IF(AX166="K",VLOOKUP(L166,'Foundation Calculation'!$K$42:$R$80,VLOOKUP(AW166,'Foundation Calculation'!$I$2:$J$8,2,FALSE),0),""))</f>
        <v>5.3</v>
      </c>
      <c r="AZ166" s="484"/>
      <c r="BA166" s="671" t="s">
        <v>2809</v>
      </c>
      <c r="BB166" s="449" t="str">
        <f>Pole_Calculations!A178</f>
        <v>App.8-V08F-P10.3</v>
      </c>
      <c r="BC166" s="169"/>
      <c r="BD166" s="1371"/>
      <c r="BE166" s="1371"/>
      <c r="BF166" s="1371"/>
      <c r="BG166" s="1371"/>
    </row>
    <row r="167" spans="1:59" ht="15.75" customHeight="1">
      <c r="A167" s="449"/>
      <c r="B167" s="445"/>
      <c r="C167" s="446"/>
      <c r="D167" s="638"/>
      <c r="E167" s="638"/>
      <c r="F167" s="447"/>
      <c r="G167" s="484">
        <v>50.8</v>
      </c>
      <c r="H167" s="1239"/>
      <c r="I167" s="448">
        <v>447</v>
      </c>
      <c r="J167" s="446">
        <f>C166+7.5</f>
        <v>88947.25</v>
      </c>
      <c r="K167" s="638" t="s">
        <v>2787</v>
      </c>
      <c r="L167" s="638"/>
      <c r="M167" s="638"/>
      <c r="N167" s="638"/>
      <c r="O167" s="638"/>
      <c r="P167" s="638"/>
      <c r="Q167" s="638"/>
      <c r="R167" s="638"/>
      <c r="S167" s="484">
        <f t="shared" ref="S167" si="78">AG168-AG166</f>
        <v>51</v>
      </c>
      <c r="T167" s="638"/>
      <c r="U167" s="638"/>
      <c r="V167" s="638"/>
      <c r="W167" s="638"/>
      <c r="X167" s="638"/>
      <c r="Y167" s="638"/>
      <c r="Z167" s="638"/>
      <c r="AA167" s="638"/>
      <c r="AB167" s="638"/>
      <c r="AC167" s="638"/>
      <c r="AD167" s="638"/>
      <c r="AE167" s="638"/>
      <c r="AF167" s="638"/>
      <c r="AG167" s="446"/>
      <c r="AH167" s="638"/>
      <c r="AI167" s="638"/>
      <c r="AJ167" s="638"/>
      <c r="AK167" s="638"/>
      <c r="AL167" s="638"/>
      <c r="AM167" s="638"/>
      <c r="AN167" s="455"/>
      <c r="AO167" s="1239"/>
      <c r="AP167" s="1239"/>
      <c r="AQ167" s="484">
        <f>+FL_1($T$168,$T$166,$G$167,1200,9.28, 1*$F$168)</f>
        <v>0.37222611976902886</v>
      </c>
      <c r="AR167" s="638"/>
      <c r="AS167" s="638"/>
      <c r="AT167" s="484"/>
      <c r="AU167" s="638"/>
      <c r="AV167" s="638"/>
      <c r="AW167" s="638" t="str">
        <f>VLOOKUP(J167,'Foundation Calculation'!$A$2:$C$33,3,1)</f>
        <v>Soil B</v>
      </c>
      <c r="AX167" s="638" t="str">
        <f>VLOOKUP(J167,'Foundation Calculation'!$E$2:$G$33,3,1)</f>
        <v>PT</v>
      </c>
      <c r="AY167" s="484"/>
      <c r="AZ167" s="484">
        <f>IF(AX167="PT",VLOOKUP(K167,'Foundation Calculation'!$K$2:$R$40,VLOOKUP(AW167,'Foundation Calculation'!$I$2:$J$8,2,FALSE),0),IF(AX167="K",VLOOKUP(K167,'Foundation Calculation'!$K$42:$R$80,VLOOKUP(AW167,'Foundation Calculation'!$I$2:$J$8,2,FALSE),0),""))</f>
        <v>3.9</v>
      </c>
      <c r="BA167" s="671" t="s">
        <v>2809</v>
      </c>
      <c r="BB167" s="449"/>
      <c r="BC167" s="169"/>
      <c r="BD167" s="1329"/>
      <c r="BE167" s="1330"/>
      <c r="BF167" s="1330"/>
      <c r="BG167" s="1330"/>
    </row>
    <row r="168" spans="1:59" ht="15.75" customHeight="1">
      <c r="A168" s="449"/>
      <c r="B168" s="485" t="s">
        <v>3022</v>
      </c>
      <c r="C168" s="446">
        <f>+$C$166+$G$167</f>
        <v>88990.55</v>
      </c>
      <c r="D168" s="638"/>
      <c r="E168" s="638"/>
      <c r="F168" s="447">
        <v>0</v>
      </c>
      <c r="G168" s="484"/>
      <c r="H168" s="1239"/>
      <c r="I168" s="448"/>
      <c r="J168" s="446"/>
      <c r="K168" s="638"/>
      <c r="L168" s="1239" t="s">
        <v>4393</v>
      </c>
      <c r="M168" s="1239" t="str">
        <f>IF(AX168="PT",VLOOKUP(L168,'Foundation Calculation'!$V$2:$X$40,VLOOKUP(AX168,'Foundation Calculation'!$I$10:$J$13,2,FALSE),0),IF(AX168="K",VLOOKUP(L168,'Foundation Calculation'!$V$42:$X$80,VLOOKUP(AX168,'Foundation Calculation'!$I$10:$J$13,2,FALSE),0),""))</f>
        <v>2C4R</v>
      </c>
      <c r="N168" s="638" t="s">
        <v>144</v>
      </c>
      <c r="O168" s="638"/>
      <c r="P168" s="638"/>
      <c r="Q168" s="638">
        <v>0</v>
      </c>
      <c r="R168" s="638">
        <v>0</v>
      </c>
      <c r="S168" s="484"/>
      <c r="T168" s="638">
        <v>35</v>
      </c>
      <c r="U168" s="638"/>
      <c r="V168" s="638"/>
      <c r="W168" s="638">
        <v>1</v>
      </c>
      <c r="X168" s="638"/>
      <c r="Y168" s="638"/>
      <c r="Z168" s="638"/>
      <c r="AA168" s="638"/>
      <c r="AB168" s="638"/>
      <c r="AC168" s="638" t="s">
        <v>4090</v>
      </c>
      <c r="AD168" s="638"/>
      <c r="AE168" s="638"/>
      <c r="AF168" s="638">
        <v>6000</v>
      </c>
      <c r="AG168" s="446">
        <v>88990</v>
      </c>
      <c r="AH168" s="638">
        <v>2843</v>
      </c>
      <c r="AI168" s="638">
        <v>390</v>
      </c>
      <c r="AJ168" s="638"/>
      <c r="AK168" s="638"/>
      <c r="AL168" s="1239" t="s">
        <v>2135</v>
      </c>
      <c r="AM168" s="1239" t="s">
        <v>1042</v>
      </c>
      <c r="AN168" s="455">
        <v>5.21</v>
      </c>
      <c r="AO168" s="1239"/>
      <c r="AP168" s="1239"/>
      <c r="AQ168" s="484"/>
      <c r="AR168" s="638"/>
      <c r="AS168" s="638"/>
      <c r="AT168" s="484">
        <f>+ab($T$168,$T$166,$T$170,$G$167,$G$169, 1*$F$168,1200)</f>
        <v>6.8426873450551069</v>
      </c>
      <c r="AU168" s="638"/>
      <c r="AV168" s="638"/>
      <c r="AW168" s="638" t="str">
        <f>VLOOKUP(C168,'Foundation Calculation'!$A$2:$C$33,3,1)</f>
        <v>Soil B</v>
      </c>
      <c r="AX168" s="638" t="str">
        <f>VLOOKUP(C168,'Foundation Calculation'!$E$2:$G$33,3,1)</f>
        <v>PT</v>
      </c>
      <c r="AY168" s="484">
        <f>IF(AX168="PT",VLOOKUP(L168,'Foundation Calculation'!$K$2:$R$40,VLOOKUP(AW168,'Foundation Calculation'!$I$2:$J$8,2,FALSE),0),IF(AX168="K",VLOOKUP(L168,'Foundation Calculation'!$K$42:$R$80,VLOOKUP(AW168,'Foundation Calculation'!$I$2:$J$8,2,FALSE),0),""))</f>
        <v>5.3</v>
      </c>
      <c r="AZ168" s="484"/>
      <c r="BA168" s="671" t="s">
        <v>2809</v>
      </c>
      <c r="BB168" s="449" t="str">
        <f>Pole_Calculations!A178</f>
        <v>App.8-V08F-P10.3</v>
      </c>
      <c r="BC168" s="169"/>
      <c r="BD168" s="1371"/>
      <c r="BE168" s="1371"/>
      <c r="BF168" s="1371"/>
      <c r="BG168" s="1371"/>
    </row>
    <row r="169" spans="1:59" ht="15.75" customHeight="1">
      <c r="A169" s="449"/>
      <c r="B169" s="445"/>
      <c r="C169" s="446"/>
      <c r="D169" s="638"/>
      <c r="E169" s="638"/>
      <c r="F169" s="447"/>
      <c r="G169" s="484">
        <v>46</v>
      </c>
      <c r="H169" s="1239"/>
      <c r="I169" s="448"/>
      <c r="J169" s="446"/>
      <c r="K169" s="638"/>
      <c r="L169" s="638"/>
      <c r="M169" s="638"/>
      <c r="N169" s="638"/>
      <c r="O169" s="638"/>
      <c r="P169" s="638"/>
      <c r="Q169" s="638"/>
      <c r="R169" s="638"/>
      <c r="S169" s="484">
        <f t="shared" ref="S169" si="79">AG170-AG168</f>
        <v>46</v>
      </c>
      <c r="T169" s="638"/>
      <c r="U169" s="638"/>
      <c r="V169" s="638"/>
      <c r="W169" s="638"/>
      <c r="X169" s="638"/>
      <c r="Y169" s="638"/>
      <c r="Z169" s="638"/>
      <c r="AA169" s="638"/>
      <c r="AB169" s="638"/>
      <c r="AC169" s="638"/>
      <c r="AD169" s="638"/>
      <c r="AE169" s="638"/>
      <c r="AF169" s="638"/>
      <c r="AG169" s="446"/>
      <c r="AH169" s="638"/>
      <c r="AI169" s="638"/>
      <c r="AJ169" s="638"/>
      <c r="AK169" s="638"/>
      <c r="AL169" s="638"/>
      <c r="AM169" s="638"/>
      <c r="AN169" s="455"/>
      <c r="AO169" s="1239"/>
      <c r="AP169" s="1239"/>
      <c r="AQ169" s="484">
        <f>+FL_1($T$170,$T$168,$G$169,1200,9.28, 1*$F$170)</f>
        <v>0.35864312214492755</v>
      </c>
      <c r="AR169" s="638"/>
      <c r="AS169" s="638"/>
      <c r="AT169" s="484"/>
      <c r="AU169" s="638"/>
      <c r="AV169" s="638"/>
      <c r="AW169" s="638"/>
      <c r="AX169" s="638"/>
      <c r="AY169" s="484"/>
      <c r="AZ169" s="484"/>
      <c r="BA169" s="671"/>
      <c r="BB169" s="449"/>
      <c r="BC169" s="169"/>
      <c r="BD169" s="1330"/>
      <c r="BE169" s="1330"/>
      <c r="BF169" s="1330"/>
      <c r="BG169" s="1330"/>
    </row>
    <row r="170" spans="1:59" ht="15.75" customHeight="1">
      <c r="A170" s="488"/>
      <c r="B170" s="494" t="s">
        <v>3023</v>
      </c>
      <c r="C170" s="489">
        <f>+$C$168+$G$169</f>
        <v>89036.55</v>
      </c>
      <c r="D170" s="490"/>
      <c r="E170" s="490"/>
      <c r="F170" s="491">
        <v>0</v>
      </c>
      <c r="G170" s="493"/>
      <c r="H170" s="495" t="s">
        <v>873</v>
      </c>
      <c r="I170" s="492"/>
      <c r="J170" s="489">
        <f>C170-7.5</f>
        <v>89029.05</v>
      </c>
      <c r="K170" s="490" t="s">
        <v>2788</v>
      </c>
      <c r="L170" s="490" t="s">
        <v>4393</v>
      </c>
      <c r="M170" s="490" t="str">
        <f>IF(AX170="PT",VLOOKUP(L170,'Foundation Calculation'!$V$2:$X$40,VLOOKUP(AX170,'Foundation Calculation'!$I$10:$J$13,2,FALSE),0),IF(AX170="K",VLOOKUP(L170,'Foundation Calculation'!$V$42:$X$80,VLOOKUP(AX170,'Foundation Calculation'!$I$10:$J$13,2,FALSE),0),""))</f>
        <v>2C4R</v>
      </c>
      <c r="N170" s="490" t="s">
        <v>2789</v>
      </c>
      <c r="O170" s="490"/>
      <c r="P170" s="490"/>
      <c r="Q170" s="490">
        <v>0</v>
      </c>
      <c r="R170" s="490">
        <v>0</v>
      </c>
      <c r="S170" s="493"/>
      <c r="T170" s="490">
        <v>-30</v>
      </c>
      <c r="U170" s="490"/>
      <c r="V170" s="490"/>
      <c r="W170" s="490">
        <v>0.8</v>
      </c>
      <c r="X170" s="490"/>
      <c r="Y170" s="490"/>
      <c r="Z170" s="490"/>
      <c r="AA170" s="490"/>
      <c r="AB170" s="490"/>
      <c r="AC170" s="490" t="s">
        <v>4090</v>
      </c>
      <c r="AD170" s="490"/>
      <c r="AE170" s="490"/>
      <c r="AF170" s="490">
        <v>6000</v>
      </c>
      <c r="AG170" s="489">
        <v>89036</v>
      </c>
      <c r="AH170" s="490">
        <v>3463</v>
      </c>
      <c r="AI170" s="490">
        <v>430</v>
      </c>
      <c r="AJ170" s="490"/>
      <c r="AK170" s="490"/>
      <c r="AL170" s="490" t="s">
        <v>2135</v>
      </c>
      <c r="AM170" s="669" t="s">
        <v>1042</v>
      </c>
      <c r="AN170" s="457">
        <v>5.15</v>
      </c>
      <c r="AO170" s="495"/>
      <c r="AP170" s="495"/>
      <c r="AQ170" s="493"/>
      <c r="AR170" s="490"/>
      <c r="AS170" s="490"/>
      <c r="AT170" s="493">
        <f>+ab($T$170,$T$168,$T$172,$G$169,$G$171, 1*$F$170,1200)</f>
        <v>-6.6849429508689866</v>
      </c>
      <c r="AU170" s="490"/>
      <c r="AV170" s="490"/>
      <c r="AW170" s="490" t="str">
        <f>VLOOKUP(C170,'Foundation Calculation'!$A$2:$C$33,3,1)</f>
        <v>Soil B</v>
      </c>
      <c r="AX170" s="490" t="str">
        <f>VLOOKUP(C170,'Foundation Calculation'!$E$2:$G$33,3,1)</f>
        <v>PT</v>
      </c>
      <c r="AY170" s="493">
        <f>IF(AX170="PT",VLOOKUP(L170,'Foundation Calculation'!$K$2:$R$40,VLOOKUP(AW170,'Foundation Calculation'!$I$2:$J$8,2,FALSE),0),IF(AX170="K",VLOOKUP(L170,'Foundation Calculation'!$K$42:$R$80,VLOOKUP(AW170,'Foundation Calculation'!$I$2:$J$8,2,FALSE),0),""))</f>
        <v>5.3</v>
      </c>
      <c r="AZ170" s="493">
        <f>IF(AX170="PT",VLOOKUP(K170,'Foundation Calculation'!$K$2:$R$40,VLOOKUP(AW170,'Foundation Calculation'!$I$2:$J$8,2,FALSE),0),IF(AX170="K",VLOOKUP(K170,'Foundation Calculation'!$K$42:$R$80,VLOOKUP(AW170,'Foundation Calculation'!$I$2:$J$8,2,FALSE),0),""))</f>
        <v>2.8</v>
      </c>
      <c r="BA170" s="602" t="s">
        <v>2809</v>
      </c>
      <c r="BB170" s="488" t="str">
        <f>Pole_Calculations!A178</f>
        <v>App.8-V08F-P10.3</v>
      </c>
      <c r="BC170" s="169"/>
      <c r="BD170" s="1330"/>
      <c r="BE170" s="1330"/>
      <c r="BF170" s="1330"/>
      <c r="BG170" s="1330"/>
    </row>
    <row r="171" spans="1:59" ht="15.75" customHeight="1">
      <c r="A171" s="488" t="s">
        <v>1851</v>
      </c>
      <c r="B171" s="494"/>
      <c r="C171" s="489"/>
      <c r="D171" s="490"/>
      <c r="E171" s="490"/>
      <c r="F171" s="491"/>
      <c r="G171" s="493">
        <v>45</v>
      </c>
      <c r="H171" s="495"/>
      <c r="I171" s="492"/>
      <c r="J171" s="489"/>
      <c r="K171" s="490"/>
      <c r="L171" s="490"/>
      <c r="M171" s="490"/>
      <c r="N171" s="490"/>
      <c r="O171" s="490"/>
      <c r="P171" s="490"/>
      <c r="Q171" s="490"/>
      <c r="R171" s="490"/>
      <c r="S171" s="493">
        <f t="shared" ref="S171" si="80">AG172-AG170</f>
        <v>45</v>
      </c>
      <c r="T171" s="490"/>
      <c r="U171" s="490"/>
      <c r="V171" s="490"/>
      <c r="W171" s="490"/>
      <c r="X171" s="490"/>
      <c r="Y171" s="490"/>
      <c r="Z171" s="490"/>
      <c r="AA171" s="490"/>
      <c r="AB171" s="490"/>
      <c r="AC171" s="490"/>
      <c r="AD171" s="490"/>
      <c r="AE171" s="490"/>
      <c r="AF171" s="490"/>
      <c r="AG171" s="489"/>
      <c r="AH171" s="490"/>
      <c r="AI171" s="490"/>
      <c r="AJ171" s="490"/>
      <c r="AK171" s="490"/>
      <c r="AL171" s="490"/>
      <c r="AM171" s="669" t="s">
        <v>3056</v>
      </c>
      <c r="AN171" s="457"/>
      <c r="AO171" s="495"/>
      <c r="AP171" s="495"/>
      <c r="AQ171" s="493">
        <f>+FL_1($T$172,$T$170,$G$171,1200,9.28, 1*$F$172)</f>
        <v>0.35</v>
      </c>
      <c r="AR171" s="490"/>
      <c r="AS171" s="490"/>
      <c r="AT171" s="493"/>
      <c r="AU171" s="490"/>
      <c r="AV171" s="490"/>
      <c r="AW171" s="490"/>
      <c r="AX171" s="490"/>
      <c r="AY171" s="493"/>
      <c r="AZ171" s="493"/>
      <c r="BA171" s="602"/>
      <c r="BB171" s="488"/>
      <c r="BC171" s="169"/>
      <c r="BD171" s="1330"/>
      <c r="BE171" s="1330"/>
      <c r="BF171" s="1330"/>
      <c r="BG171" s="1330"/>
    </row>
    <row r="172" spans="1:59" ht="15.75" customHeight="1">
      <c r="A172" s="488"/>
      <c r="B172" s="494" t="s">
        <v>3024</v>
      </c>
      <c r="C172" s="489">
        <f>+$C$170+$G$171</f>
        <v>89081.55</v>
      </c>
      <c r="D172" s="490"/>
      <c r="E172" s="490"/>
      <c r="F172" s="491">
        <v>6700</v>
      </c>
      <c r="G172" s="493"/>
      <c r="H172" s="495"/>
      <c r="I172" s="492"/>
      <c r="J172" s="489"/>
      <c r="K172" s="490"/>
      <c r="L172" s="490" t="s">
        <v>4393</v>
      </c>
      <c r="M172" s="490" t="str">
        <f>IF(AX172="PT",VLOOKUP(L172,'Foundation Calculation'!$V$2:$X$40,VLOOKUP(AX172,'Foundation Calculation'!$I$10:$J$13,2,FALSE),0),IF(AX172="K",VLOOKUP(L172,'Foundation Calculation'!$V$42:$X$80,VLOOKUP(AX172,'Foundation Calculation'!$I$10:$J$13,2,FALSE),0),""))</f>
        <v>2C4R</v>
      </c>
      <c r="N172" s="490" t="s">
        <v>144</v>
      </c>
      <c r="O172" s="490"/>
      <c r="P172" s="490"/>
      <c r="Q172" s="490">
        <v>30</v>
      </c>
      <c r="R172" s="490">
        <v>6700</v>
      </c>
      <c r="S172" s="493"/>
      <c r="T172" s="490">
        <v>35</v>
      </c>
      <c r="U172" s="490"/>
      <c r="V172" s="490"/>
      <c r="W172" s="490">
        <v>0.8</v>
      </c>
      <c r="X172" s="490"/>
      <c r="Y172" s="490"/>
      <c r="Z172" s="490"/>
      <c r="AA172" s="490"/>
      <c r="AB172" s="490"/>
      <c r="AC172" s="490" t="s">
        <v>4090</v>
      </c>
      <c r="AD172" s="490"/>
      <c r="AE172" s="490"/>
      <c r="AF172" s="490">
        <v>5800</v>
      </c>
      <c r="AG172" s="489">
        <v>89081</v>
      </c>
      <c r="AH172" s="490">
        <v>2663</v>
      </c>
      <c r="AI172" s="490">
        <v>320</v>
      </c>
      <c r="AJ172" s="490"/>
      <c r="AK172" s="490"/>
      <c r="AL172" s="490" t="s">
        <v>2135</v>
      </c>
      <c r="AM172" s="669" t="s">
        <v>1042</v>
      </c>
      <c r="AN172" s="457">
        <v>5.15</v>
      </c>
      <c r="AO172" s="495"/>
      <c r="AP172" s="495"/>
      <c r="AQ172" s="493"/>
      <c r="AR172" s="490"/>
      <c r="AS172" s="490"/>
      <c r="AT172" s="493">
        <f>+ab($T$172,$T$170,$T$174,$G$171,$G$173, 1*$F$172,1200)</f>
        <v>5.6712761564288297</v>
      </c>
      <c r="AU172" s="490"/>
      <c r="AV172" s="490"/>
      <c r="AW172" s="490" t="str">
        <f>VLOOKUP(C172,'Foundation Calculation'!$A$2:$C$33,3,1)</f>
        <v>Soil B</v>
      </c>
      <c r="AX172" s="490" t="str">
        <f>VLOOKUP(C172,'Foundation Calculation'!$E$2:$G$33,3,1)</f>
        <v>PT</v>
      </c>
      <c r="AY172" s="493">
        <f>IF(AX172="PT",VLOOKUP(L172,'Foundation Calculation'!$K$2:$R$40,VLOOKUP(AW172,'Foundation Calculation'!$I$2:$J$8,2,FALSE),0),IF(AX172="K",VLOOKUP(L172,'Foundation Calculation'!$K$42:$R$80,VLOOKUP(AW172,'Foundation Calculation'!$I$2:$J$8,2,FALSE),0),""))</f>
        <v>5.3</v>
      </c>
      <c r="AZ172" s="493"/>
      <c r="BA172" s="602" t="s">
        <v>2809</v>
      </c>
      <c r="BB172" s="488" t="str">
        <f>Pole_Calculations!A178</f>
        <v>App.8-V08F-P10.3</v>
      </c>
      <c r="BC172" s="169"/>
      <c r="BD172" s="1330"/>
      <c r="BE172" s="1330"/>
      <c r="BF172" s="1330"/>
      <c r="BG172" s="1330"/>
    </row>
    <row r="173" spans="1:59" ht="15.75" customHeight="1">
      <c r="A173" s="449"/>
      <c r="B173" s="445"/>
      <c r="C173" s="446"/>
      <c r="D173" s="638"/>
      <c r="E173" s="638"/>
      <c r="F173" s="447"/>
      <c r="G173" s="484">
        <v>55</v>
      </c>
      <c r="H173" s="1239"/>
      <c r="I173" s="448"/>
      <c r="J173" s="446"/>
      <c r="K173" s="638"/>
      <c r="L173" s="638"/>
      <c r="M173" s="638"/>
      <c r="N173" s="638"/>
      <c r="O173" s="638"/>
      <c r="P173" s="638"/>
      <c r="Q173" s="638"/>
      <c r="R173" s="638"/>
      <c r="S173" s="484">
        <f t="shared" ref="S173" si="81">AG174-AG172</f>
        <v>55</v>
      </c>
      <c r="T173" s="638"/>
      <c r="U173" s="638"/>
      <c r="V173" s="638"/>
      <c r="W173" s="638"/>
      <c r="X173" s="638"/>
      <c r="Y173" s="638"/>
      <c r="Z173" s="638"/>
      <c r="AA173" s="638"/>
      <c r="AB173" s="638"/>
      <c r="AC173" s="638"/>
      <c r="AD173" s="638"/>
      <c r="AE173" s="638"/>
      <c r="AF173" s="638"/>
      <c r="AG173" s="446"/>
      <c r="AH173" s="638"/>
      <c r="AI173" s="638"/>
      <c r="AJ173" s="638"/>
      <c r="AK173" s="638"/>
      <c r="AL173" s="1239"/>
      <c r="AM173" s="1239"/>
      <c r="AN173" s="455"/>
      <c r="AO173" s="1239"/>
      <c r="AP173" s="1239"/>
      <c r="AQ173" s="484">
        <f>+FL_2($T$174,$T$172,$G$173,1200,9.28, 1*$F$174)</f>
        <v>-0.39954781904273207</v>
      </c>
      <c r="AR173" s="638"/>
      <c r="AS173" s="638"/>
      <c r="AT173" s="484"/>
      <c r="AU173" s="638"/>
      <c r="AV173" s="638"/>
      <c r="AW173" s="638"/>
      <c r="AX173" s="638"/>
      <c r="AY173" s="484"/>
      <c r="AZ173" s="484"/>
      <c r="BA173" s="671"/>
      <c r="BB173" s="449"/>
      <c r="BC173" s="169"/>
      <c r="BD173" s="1330"/>
      <c r="BE173" s="1330"/>
      <c r="BF173" s="1330"/>
      <c r="BG173" s="1330"/>
    </row>
    <row r="174" spans="1:59" ht="15.75" customHeight="1">
      <c r="A174" s="449"/>
      <c r="B174" s="485" t="s">
        <v>3025</v>
      </c>
      <c r="C174" s="446">
        <f>+$C$172+$G$173</f>
        <v>89136.55</v>
      </c>
      <c r="D174" s="638"/>
      <c r="E174" s="638"/>
      <c r="F174" s="447">
        <v>6700</v>
      </c>
      <c r="G174" s="484"/>
      <c r="H174" s="1239"/>
      <c r="I174" s="448"/>
      <c r="J174" s="446"/>
      <c r="K174" s="638"/>
      <c r="L174" s="1239" t="s">
        <v>4393</v>
      </c>
      <c r="M174" s="638" t="str">
        <f>IF(AX174="PT",VLOOKUP(L174,'Foundation Calculation'!$V$2:$X$40,VLOOKUP(AX174,'Foundation Calculation'!$I$10:$J$13,2,FALSE),0),IF(AX174="K",VLOOKUP(L174,'Foundation Calculation'!$V$42:$X$80,VLOOKUP(AX174,'Foundation Calculation'!$I$10:$J$13,2,FALSE),0),""))</f>
        <v>2C4R</v>
      </c>
      <c r="N174" s="638" t="s">
        <v>2789</v>
      </c>
      <c r="O174" s="638"/>
      <c r="P174" s="638"/>
      <c r="Q174" s="638">
        <v>0</v>
      </c>
      <c r="R174" s="638">
        <v>6700</v>
      </c>
      <c r="S174" s="484"/>
      <c r="T174" s="638">
        <v>-30</v>
      </c>
      <c r="U174" s="638"/>
      <c r="V174" s="638"/>
      <c r="W174" s="638">
        <v>1</v>
      </c>
      <c r="X174" s="638"/>
      <c r="Y174" s="638"/>
      <c r="Z174" s="638"/>
      <c r="AA174" s="638"/>
      <c r="AB174" s="638"/>
      <c r="AC174" s="638" t="s">
        <v>1421</v>
      </c>
      <c r="AD174" s="638"/>
      <c r="AE174" s="638"/>
      <c r="AF174" s="638">
        <v>6000</v>
      </c>
      <c r="AG174" s="446">
        <v>89136</v>
      </c>
      <c r="AH174" s="638">
        <v>3973</v>
      </c>
      <c r="AI174" s="638">
        <v>390</v>
      </c>
      <c r="AJ174" s="638"/>
      <c r="AK174" s="638"/>
      <c r="AL174" s="1239" t="s">
        <v>2135</v>
      </c>
      <c r="AM174" s="1239" t="s">
        <v>1042</v>
      </c>
      <c r="AN174" s="455">
        <v>5.23</v>
      </c>
      <c r="AO174" s="1239"/>
      <c r="AP174" s="1239"/>
      <c r="AQ174" s="484"/>
      <c r="AR174" s="638"/>
      <c r="AS174" s="638"/>
      <c r="AT174" s="484">
        <f>+ab($T$174,$T$172,$T$176,$G$173,$G$175, 1*$F$174,1200)</f>
        <v>-12.248368064642024</v>
      </c>
      <c r="AU174" s="638"/>
      <c r="AV174" s="638"/>
      <c r="AW174" s="638" t="str">
        <f>VLOOKUP(C174,'Foundation Calculation'!$A$2:$C$33,3,1)</f>
        <v>Soil B</v>
      </c>
      <c r="AX174" s="638" t="str">
        <f>VLOOKUP(C174,'Foundation Calculation'!$E$2:$G$33,3,1)</f>
        <v>PT</v>
      </c>
      <c r="AY174" s="484">
        <f>IF(AX174="PT",VLOOKUP(L174,'Foundation Calculation'!$K$2:$R$40,VLOOKUP(AW174,'Foundation Calculation'!$I$2:$J$8,2,FALSE),0),IF(AX174="K",VLOOKUP(L174,'Foundation Calculation'!$K$42:$R$80,VLOOKUP(AW174,'Foundation Calculation'!$I$2:$J$8,2,FALSE),0),""))</f>
        <v>5.3</v>
      </c>
      <c r="AZ174" s="484"/>
      <c r="BA174" s="671" t="s">
        <v>2809</v>
      </c>
      <c r="BB174" s="449" t="str">
        <f>Pole_Calculations!A178</f>
        <v>App.8-V08F-P10.3</v>
      </c>
      <c r="BC174" s="169"/>
      <c r="BD174" s="1371"/>
      <c r="BE174" s="1371"/>
      <c r="BF174" s="1371"/>
      <c r="BG174" s="1371"/>
    </row>
    <row r="175" spans="1:59" ht="15.75" customHeight="1">
      <c r="A175" s="449"/>
      <c r="B175" s="445"/>
      <c r="C175" s="446"/>
      <c r="D175" s="638"/>
      <c r="E175" s="638"/>
      <c r="F175" s="447"/>
      <c r="G175" s="484">
        <v>55</v>
      </c>
      <c r="H175" s="1239"/>
      <c r="I175" s="448"/>
      <c r="J175" s="446">
        <f>C176-7.5</f>
        <v>89184.05</v>
      </c>
      <c r="K175" s="638" t="s">
        <v>2787</v>
      </c>
      <c r="L175" s="638"/>
      <c r="M175" s="571"/>
      <c r="N175" s="638"/>
      <c r="O175" s="638"/>
      <c r="P175" s="638"/>
      <c r="Q175" s="638"/>
      <c r="R175" s="638"/>
      <c r="S175" s="484">
        <f t="shared" ref="S175" si="82">AG176-AG174</f>
        <v>55</v>
      </c>
      <c r="T175" s="638"/>
      <c r="U175" s="638"/>
      <c r="V175" s="638"/>
      <c r="W175" s="638"/>
      <c r="X175" s="638"/>
      <c r="Y175" s="638"/>
      <c r="Z175" s="638"/>
      <c r="AA175" s="638"/>
      <c r="AB175" s="638"/>
      <c r="AC175" s="638"/>
      <c r="AD175" s="638"/>
      <c r="AE175" s="638"/>
      <c r="AF175" s="638"/>
      <c r="AG175" s="446"/>
      <c r="AH175" s="638"/>
      <c r="AI175" s="638"/>
      <c r="AJ175" s="638"/>
      <c r="AK175" s="638"/>
      <c r="AL175" s="638"/>
      <c r="AM175" s="638"/>
      <c r="AN175" s="455"/>
      <c r="AO175" s="1239"/>
      <c r="AP175" s="1239"/>
      <c r="AQ175" s="484">
        <f>+FL_1($T$176,$T$174,$G$175,1200,9.28, 1*$F$176)</f>
        <v>0.40772017018181811</v>
      </c>
      <c r="AR175" s="638"/>
      <c r="AS175" s="638"/>
      <c r="AT175" s="484"/>
      <c r="AU175" s="638"/>
      <c r="AV175" s="638"/>
      <c r="AW175" s="638" t="str">
        <f>VLOOKUP(J175,'Foundation Calculation'!$A$2:$C$33,3,1)</f>
        <v>Soil B</v>
      </c>
      <c r="AX175" s="638" t="str">
        <f>VLOOKUP(J175,'Foundation Calculation'!$E$2:$G$33,3,1)</f>
        <v>PT</v>
      </c>
      <c r="AY175" s="484"/>
      <c r="AZ175" s="484">
        <f>IF(AX175="PT",VLOOKUP(K175,'Foundation Calculation'!$K$2:$R$40,VLOOKUP(AW175,'Foundation Calculation'!$I$2:$J$8,2,FALSE),0),IF(AX175="K",VLOOKUP(K175,'Foundation Calculation'!$K$42:$R$80,VLOOKUP(AW175,'Foundation Calculation'!$I$2:$J$8,2,FALSE),0),""))</f>
        <v>3.9</v>
      </c>
      <c r="BA175" s="671" t="s">
        <v>2809</v>
      </c>
      <c r="BB175" s="449"/>
      <c r="BC175" s="169"/>
      <c r="BD175" s="1329"/>
      <c r="BE175" s="1330"/>
      <c r="BF175" s="1330"/>
      <c r="BG175" s="1330"/>
    </row>
    <row r="176" spans="1:59" ht="15.75" customHeight="1">
      <c r="A176" s="449"/>
      <c r="B176" s="485" t="s">
        <v>3026</v>
      </c>
      <c r="C176" s="446">
        <f>+$C$174+$G$175</f>
        <v>89191.55</v>
      </c>
      <c r="D176" s="638"/>
      <c r="E176" s="638"/>
      <c r="F176" s="447">
        <v>0</v>
      </c>
      <c r="G176" s="484"/>
      <c r="H176" s="1239" t="s">
        <v>138</v>
      </c>
      <c r="I176" s="448" t="s">
        <v>623</v>
      </c>
      <c r="J176" s="446"/>
      <c r="K176" s="638"/>
      <c r="L176" s="1239" t="s">
        <v>4393</v>
      </c>
      <c r="M176" s="638" t="str">
        <f>IF(AX176="PT",VLOOKUP(L176,'Foundation Calculation'!$V$2:$X$40,VLOOKUP(AX176,'Foundation Calculation'!$I$10:$J$13,2,FALSE),0),IF(AX176="K",VLOOKUP(L176,'Foundation Calculation'!$V$42:$X$80,VLOOKUP(AX176,'Foundation Calculation'!$I$10:$J$13,2,FALSE),0),""))</f>
        <v>2C4R</v>
      </c>
      <c r="N176" s="638" t="s">
        <v>144</v>
      </c>
      <c r="O176" s="638"/>
      <c r="P176" s="638"/>
      <c r="Q176" s="638">
        <v>0</v>
      </c>
      <c r="R176" s="638">
        <v>0</v>
      </c>
      <c r="S176" s="484"/>
      <c r="T176" s="638">
        <v>35</v>
      </c>
      <c r="U176" s="638"/>
      <c r="V176" s="638"/>
      <c r="W176" s="638">
        <v>1.2</v>
      </c>
      <c r="X176" s="638"/>
      <c r="Y176" s="638"/>
      <c r="Z176" s="638"/>
      <c r="AA176" s="638"/>
      <c r="AB176" s="638"/>
      <c r="AC176" s="638" t="s">
        <v>4090</v>
      </c>
      <c r="AD176" s="638"/>
      <c r="AE176" s="638"/>
      <c r="AF176" s="638">
        <v>6000</v>
      </c>
      <c r="AG176" s="446">
        <v>89191</v>
      </c>
      <c r="AH176" s="638">
        <v>3743</v>
      </c>
      <c r="AI176" s="638">
        <v>430</v>
      </c>
      <c r="AJ176" s="638"/>
      <c r="AK176" s="638"/>
      <c r="AL176" s="1239" t="s">
        <v>2135</v>
      </c>
      <c r="AM176" s="1239" t="s">
        <v>1042</v>
      </c>
      <c r="AN176" s="455">
        <v>5.33</v>
      </c>
      <c r="AO176" s="1239"/>
      <c r="AP176" s="1239"/>
      <c r="AQ176" s="484"/>
      <c r="AR176" s="638"/>
      <c r="AS176" s="638"/>
      <c r="AT176" s="484">
        <f>+ab($T$176,$T$174,$T$178,$G$175,$G$177, 1*$F$176,1200)</f>
        <v>9.2724715364234527</v>
      </c>
      <c r="AU176" s="638"/>
      <c r="AV176" s="638"/>
      <c r="AW176" s="638" t="str">
        <f>VLOOKUP(C176,'Foundation Calculation'!$A$2:$C$33,3,1)</f>
        <v>Soil B</v>
      </c>
      <c r="AX176" s="638" t="str">
        <f>VLOOKUP(C176,'Foundation Calculation'!$E$2:$G$33,3,1)</f>
        <v>PT</v>
      </c>
      <c r="AY176" s="484">
        <f>IF(AX176="PT",VLOOKUP(L176,'Foundation Calculation'!$K$2:$R$40,VLOOKUP(AW176,'Foundation Calculation'!$I$2:$J$8,2,FALSE),0),IF(AX176="K",VLOOKUP(L176,'Foundation Calculation'!$K$42:$R$80,VLOOKUP(AW176,'Foundation Calculation'!$I$2:$J$8,2,FALSE),0),""))</f>
        <v>5.3</v>
      </c>
      <c r="AZ176" s="484"/>
      <c r="BA176" s="671" t="s">
        <v>2809</v>
      </c>
      <c r="BB176" s="449" t="str">
        <f>Pole_Calculations!A178</f>
        <v>App.8-V08F-P10.3</v>
      </c>
      <c r="BC176" s="169"/>
      <c r="BD176" s="1371"/>
      <c r="BE176" s="1371"/>
      <c r="BF176" s="1371"/>
      <c r="BG176" s="1371"/>
    </row>
    <row r="177" spans="1:59" ht="15.75" customHeight="1">
      <c r="A177" s="449"/>
      <c r="B177" s="445"/>
      <c r="C177" s="446"/>
      <c r="D177" s="638"/>
      <c r="E177" s="638"/>
      <c r="F177" s="447"/>
      <c r="G177" s="484">
        <v>57.5</v>
      </c>
      <c r="H177" s="1239"/>
      <c r="I177" s="448"/>
      <c r="J177" s="446"/>
      <c r="K177" s="638"/>
      <c r="L177" s="638"/>
      <c r="M177" s="571"/>
      <c r="N177" s="638"/>
      <c r="O177" s="638"/>
      <c r="P177" s="638"/>
      <c r="Q177" s="638"/>
      <c r="R177" s="638"/>
      <c r="S177" s="484">
        <f t="shared" ref="S177" si="83">AG178-AG176</f>
        <v>58</v>
      </c>
      <c r="T177" s="638"/>
      <c r="U177" s="638"/>
      <c r="V177" s="638"/>
      <c r="W177" s="638"/>
      <c r="X177" s="638"/>
      <c r="Y177" s="638"/>
      <c r="Z177" s="638"/>
      <c r="AA177" s="638"/>
      <c r="AB177" s="638"/>
      <c r="AC177" s="638"/>
      <c r="AD177" s="638"/>
      <c r="AE177" s="638"/>
      <c r="AF177" s="638"/>
      <c r="AG177" s="446"/>
      <c r="AH177" s="638"/>
      <c r="AI177" s="638"/>
      <c r="AJ177" s="638"/>
      <c r="AK177" s="638"/>
      <c r="AL177" s="638"/>
      <c r="AM177" s="638"/>
      <c r="AN177" s="455"/>
      <c r="AO177" s="1239"/>
      <c r="AP177" s="1239"/>
      <c r="AQ177" s="484">
        <f>+FL_1($T$178,$T$176,$G$177,1200,9.28, 1*$F$178)</f>
        <v>0.42625832820274956</v>
      </c>
      <c r="AR177" s="638"/>
      <c r="AS177" s="638"/>
      <c r="AT177" s="484"/>
      <c r="AU177" s="638"/>
      <c r="AV177" s="638"/>
      <c r="AW177" s="638"/>
      <c r="AX177" s="638"/>
      <c r="AY177" s="484"/>
      <c r="AZ177" s="484"/>
      <c r="BA177" s="671"/>
      <c r="BB177" s="449"/>
      <c r="BC177" s="169"/>
      <c r="BD177" s="1330"/>
      <c r="BE177" s="1330"/>
      <c r="BF177" s="1330"/>
      <c r="BG177" s="1330"/>
    </row>
    <row r="178" spans="1:59" ht="15.75" customHeight="1">
      <c r="A178" s="449"/>
      <c r="B178" s="485" t="s">
        <v>3027</v>
      </c>
      <c r="C178" s="446">
        <f>+$C$176+$G$177</f>
        <v>89249.05</v>
      </c>
      <c r="D178" s="638"/>
      <c r="E178" s="638"/>
      <c r="F178" s="447">
        <v>8000</v>
      </c>
      <c r="G178" s="484"/>
      <c r="H178" s="1239" t="s">
        <v>2921</v>
      </c>
      <c r="I178" s="448"/>
      <c r="J178" s="446"/>
      <c r="K178" s="638"/>
      <c r="L178" s="1239" t="s">
        <v>4393</v>
      </c>
      <c r="M178" s="638" t="str">
        <f>IF(AX178="PT",VLOOKUP(L178,'Foundation Calculation'!$V$2:$X$40,VLOOKUP(AX178,'Foundation Calculation'!$I$10:$J$13,2,FALSE),0),IF(AX178="K",VLOOKUP(L178,'Foundation Calculation'!$V$42:$X$80,VLOOKUP(AX178,'Foundation Calculation'!$I$10:$J$13,2,FALSE),0),""))</f>
        <v>2C4R</v>
      </c>
      <c r="N178" s="638" t="s">
        <v>140</v>
      </c>
      <c r="O178" s="638" t="s">
        <v>143</v>
      </c>
      <c r="P178" s="638"/>
      <c r="Q178" s="638">
        <v>20</v>
      </c>
      <c r="R178" s="638">
        <v>8000</v>
      </c>
      <c r="S178" s="484"/>
      <c r="T178" s="638">
        <v>-15</v>
      </c>
      <c r="U178" s="638">
        <v>-35</v>
      </c>
      <c r="V178" s="638"/>
      <c r="W178" s="638">
        <v>1.4</v>
      </c>
      <c r="X178" s="638">
        <v>1.8</v>
      </c>
      <c r="Y178" s="638"/>
      <c r="Z178" s="638">
        <v>0.6</v>
      </c>
      <c r="AA178" s="638"/>
      <c r="AB178" s="638"/>
      <c r="AC178" s="638" t="s">
        <v>1421</v>
      </c>
      <c r="AD178" s="638"/>
      <c r="AE178" s="638"/>
      <c r="AF178" s="638">
        <v>6000</v>
      </c>
      <c r="AG178" s="446">
        <v>89249</v>
      </c>
      <c r="AH178" s="638">
        <v>3843</v>
      </c>
      <c r="AI178" s="638">
        <v>490</v>
      </c>
      <c r="AJ178" s="638"/>
      <c r="AK178" s="638"/>
      <c r="AL178" s="1239">
        <v>490</v>
      </c>
      <c r="AM178" s="1239" t="s">
        <v>1042</v>
      </c>
      <c r="AN178" s="455">
        <v>5.43</v>
      </c>
      <c r="AO178" s="1239"/>
      <c r="AP178" s="1239"/>
      <c r="AQ178" s="484"/>
      <c r="AR178" s="638"/>
      <c r="AS178" s="638"/>
      <c r="AT178" s="484">
        <f>+ab($T$178,$T$176,$T$180,$G$177,$G$179, 1*$F$178,1200)</f>
        <v>-19.075405469368608</v>
      </c>
      <c r="AU178" s="638"/>
      <c r="AV178" s="638"/>
      <c r="AW178" s="638" t="str">
        <f>VLOOKUP(C178,'Foundation Calculation'!$A$2:$C$33,3,1)</f>
        <v>Soil B</v>
      </c>
      <c r="AX178" s="638" t="str">
        <f>VLOOKUP(C178,'Foundation Calculation'!$E$2:$G$33,3,1)</f>
        <v>PT</v>
      </c>
      <c r="AY178" s="484">
        <f>IF(AX178="PT",VLOOKUP(L178,'Foundation Calculation'!$K$2:$R$40,VLOOKUP(AW178,'Foundation Calculation'!$I$2:$J$8,2,FALSE),0),IF(AX178="K",VLOOKUP(L178,'Foundation Calculation'!$K$42:$R$80,VLOOKUP(AW178,'Foundation Calculation'!$I$2:$J$8,2,FALSE),0),""))</f>
        <v>5.3</v>
      </c>
      <c r="AZ178" s="484"/>
      <c r="BA178" s="671" t="s">
        <v>2809</v>
      </c>
      <c r="BB178" s="449" t="str">
        <f>Pole_Calculations!A178</f>
        <v>App.8-V08F-P10.3</v>
      </c>
      <c r="BC178" s="169"/>
      <c r="BD178" s="1371"/>
      <c r="BE178" s="1371"/>
      <c r="BF178" s="1371"/>
      <c r="BG178" s="1371"/>
    </row>
    <row r="179" spans="1:59" ht="15.75" customHeight="1">
      <c r="A179" s="647" t="s">
        <v>3049</v>
      </c>
      <c r="B179" s="657"/>
      <c r="C179" s="649"/>
      <c r="D179" s="653"/>
      <c r="E179" s="653"/>
      <c r="F179" s="648"/>
      <c r="G179" s="654">
        <v>60</v>
      </c>
      <c r="H179" s="647"/>
      <c r="I179" s="650"/>
      <c r="J179" s="649">
        <f>C178+7.5</f>
        <v>89256.55</v>
      </c>
      <c r="K179" s="653" t="s">
        <v>2788</v>
      </c>
      <c r="L179" s="653"/>
      <c r="M179" s="673"/>
      <c r="N179" s="653"/>
      <c r="O179" s="653"/>
      <c r="P179" s="653"/>
      <c r="Q179" s="653"/>
      <c r="R179" s="653"/>
      <c r="S179" s="654">
        <f t="shared" ref="S179" si="84">AG180-AG178</f>
        <v>60</v>
      </c>
      <c r="T179" s="653"/>
      <c r="U179" s="653"/>
      <c r="V179" s="653"/>
      <c r="W179" s="653"/>
      <c r="X179" s="653"/>
      <c r="Y179" s="653"/>
      <c r="Z179" s="653"/>
      <c r="AA179" s="653"/>
      <c r="AB179" s="653"/>
      <c r="AC179" s="653"/>
      <c r="AD179" s="653"/>
      <c r="AE179" s="653"/>
      <c r="AF179" s="653"/>
      <c r="AG179" s="649"/>
      <c r="AH179" s="653"/>
      <c r="AI179" s="653"/>
      <c r="AJ179" s="653"/>
      <c r="AK179" s="653"/>
      <c r="AL179" s="653"/>
      <c r="AM179" s="653"/>
      <c r="AN179" s="651"/>
      <c r="AO179" s="647"/>
      <c r="AP179" s="647"/>
      <c r="AQ179" s="654">
        <f>+FL_1($T$180,$T$178,$G$179,1200,9.28, 1*$F$180)</f>
        <v>0.49289941866666664</v>
      </c>
      <c r="AR179" s="653"/>
      <c r="AS179" s="653"/>
      <c r="AT179" s="654"/>
      <c r="AU179" s="653"/>
      <c r="AV179" s="653"/>
      <c r="AW179" s="653" t="str">
        <f>VLOOKUP(J179,'Foundation Calculation'!$A$2:$C$33,3,1)</f>
        <v>Soil B</v>
      </c>
      <c r="AX179" s="653" t="str">
        <f>VLOOKUP(J179,'Foundation Calculation'!$E$2:$G$33,3,1)</f>
        <v>PT</v>
      </c>
      <c r="AY179" s="654"/>
      <c r="AZ179" s="654">
        <f>IF(AX179="PT",VLOOKUP(K179,'Foundation Calculation'!$K$2:$R$40,VLOOKUP(AW179,'Foundation Calculation'!$I$2:$J$8,2,FALSE),0),IF(AX179="K",VLOOKUP(K179,'Foundation Calculation'!$K$42:$R$80,VLOOKUP(AW179,'Foundation Calculation'!$I$2:$J$8,2,FALSE),0),""))</f>
        <v>2.8</v>
      </c>
      <c r="BA179" s="701" t="s">
        <v>2809</v>
      </c>
      <c r="BB179" s="647"/>
      <c r="BC179" s="169"/>
      <c r="BD179" s="1329"/>
      <c r="BE179" s="1330"/>
      <c r="BF179" s="1330"/>
      <c r="BG179" s="1330"/>
    </row>
    <row r="180" spans="1:59" ht="15.75" customHeight="1">
      <c r="A180" s="449"/>
      <c r="B180" s="485" t="s">
        <v>3028</v>
      </c>
      <c r="C180" s="446">
        <f>+$C$178+$G$179</f>
        <v>89309.05</v>
      </c>
      <c r="D180" s="638"/>
      <c r="E180" s="638"/>
      <c r="F180" s="447">
        <v>0</v>
      </c>
      <c r="G180" s="484"/>
      <c r="H180" s="1239" t="s">
        <v>619</v>
      </c>
      <c r="I180" s="448" t="s">
        <v>1039</v>
      </c>
      <c r="J180" s="446">
        <f>C180-7.5</f>
        <v>89301.55</v>
      </c>
      <c r="K180" s="638" t="s">
        <v>2788</v>
      </c>
      <c r="L180" s="1239" t="s">
        <v>4393</v>
      </c>
      <c r="M180" s="638" t="str">
        <f>IF(AX180="PT",VLOOKUP(L180,'Foundation Calculation'!$V$2:$X$40,VLOOKUP(AX180,'Foundation Calculation'!$I$10:$J$13,2,FALSE),0),IF(AX180="K",VLOOKUP(L180,'Foundation Calculation'!$V$42:$X$80,VLOOKUP(AX180,'Foundation Calculation'!$I$10:$J$13,2,FALSE),0),""))</f>
        <v>2C4R</v>
      </c>
      <c r="N180" s="638" t="s">
        <v>144</v>
      </c>
      <c r="O180" s="638" t="s">
        <v>140</v>
      </c>
      <c r="P180" s="638"/>
      <c r="Q180" s="638">
        <v>0</v>
      </c>
      <c r="R180" s="638">
        <v>0</v>
      </c>
      <c r="S180" s="484"/>
      <c r="T180" s="638">
        <v>35</v>
      </c>
      <c r="U180" s="638">
        <v>15</v>
      </c>
      <c r="V180" s="638"/>
      <c r="W180" s="638">
        <v>1.4</v>
      </c>
      <c r="X180" s="638">
        <v>1.8</v>
      </c>
      <c r="Y180" s="638"/>
      <c r="Z180" s="638"/>
      <c r="AA180" s="638">
        <v>0.53</v>
      </c>
      <c r="AB180" s="638"/>
      <c r="AC180" s="638" t="s">
        <v>4090</v>
      </c>
      <c r="AD180" s="638"/>
      <c r="AE180" s="638"/>
      <c r="AF180" s="638">
        <v>6000</v>
      </c>
      <c r="AG180" s="446">
        <v>89309</v>
      </c>
      <c r="AH180" s="638">
        <v>3693</v>
      </c>
      <c r="AI180" s="638">
        <v>510</v>
      </c>
      <c r="AJ180" s="638"/>
      <c r="AK180" s="638"/>
      <c r="AL180" s="1239">
        <v>510</v>
      </c>
      <c r="AM180" s="1239" t="s">
        <v>1042</v>
      </c>
      <c r="AN180" s="455">
        <v>5.5</v>
      </c>
      <c r="AO180" s="1239"/>
      <c r="AP180" s="1239"/>
      <c r="AQ180" s="484"/>
      <c r="AR180" s="638"/>
      <c r="AS180" s="638"/>
      <c r="AT180" s="484">
        <f>+ab($T$180,$T$178,$T$182,$G$179,$G$181, 1*$F$180,1200)</f>
        <v>8.528634102409054</v>
      </c>
      <c r="AU180" s="638"/>
      <c r="AV180" s="638"/>
      <c r="AW180" s="638" t="str">
        <f>VLOOKUP(C180,'Foundation Calculation'!$A$2:$C$33,3,1)</f>
        <v>Soil B</v>
      </c>
      <c r="AX180" s="638" t="str">
        <f>VLOOKUP(C180,'Foundation Calculation'!$E$2:$G$33,3,1)</f>
        <v>PT</v>
      </c>
      <c r="AY180" s="484">
        <f>IF(AX180="PT",VLOOKUP(L180,'Foundation Calculation'!$K$2:$R$40,VLOOKUP(AW180,'Foundation Calculation'!$I$2:$J$8,2,FALSE),0),IF(AX180="K",VLOOKUP(L180,'Foundation Calculation'!$K$42:$R$80,VLOOKUP(AW180,'Foundation Calculation'!$I$2:$J$8,2,FALSE),0),""))</f>
        <v>5.3</v>
      </c>
      <c r="AZ180" s="484">
        <f>IF(AX180="PT",VLOOKUP(K180,'Foundation Calculation'!$K$2:$R$40,VLOOKUP(AW180,'Foundation Calculation'!$I$2:$J$8,2,FALSE),0),IF(AX180="K",VLOOKUP(K180,'Foundation Calculation'!$K$42:$R$80,VLOOKUP(AW180,'Foundation Calculation'!$I$2:$J$8,2,FALSE),0),""))</f>
        <v>2.8</v>
      </c>
      <c r="BA180" s="671" t="s">
        <v>2809</v>
      </c>
      <c r="BB180" s="449" t="str">
        <f>Pole_Calculations!A178</f>
        <v>App.8-V08F-P10.3</v>
      </c>
      <c r="BC180" s="169"/>
      <c r="BD180" s="1371"/>
      <c r="BE180" s="1371"/>
      <c r="BF180" s="1371"/>
      <c r="BG180" s="1371"/>
    </row>
    <row r="181" spans="1:59" ht="15.75" customHeight="1">
      <c r="A181" s="1239"/>
      <c r="B181" s="447"/>
      <c r="C181" s="446"/>
      <c r="D181" s="448"/>
      <c r="E181" s="448"/>
      <c r="F181" s="448"/>
      <c r="G181" s="455">
        <v>50</v>
      </c>
      <c r="H181" s="1239"/>
      <c r="I181" s="448" t="s">
        <v>1039</v>
      </c>
      <c r="J181" s="171">
        <f>C180+7.5</f>
        <v>89316.55</v>
      </c>
      <c r="K181" s="638" t="s">
        <v>2788</v>
      </c>
      <c r="L181" s="1239"/>
      <c r="M181" s="580"/>
      <c r="N181" s="1239"/>
      <c r="O181" s="1239"/>
      <c r="P181" s="1239"/>
      <c r="Q181" s="1239"/>
      <c r="R181" s="1239"/>
      <c r="S181" s="455">
        <f t="shared" ref="S181" si="85">AG182-AG180</f>
        <v>50</v>
      </c>
      <c r="T181" s="1239"/>
      <c r="U181" s="1239"/>
      <c r="V181" s="1239"/>
      <c r="W181" s="1239"/>
      <c r="X181" s="1239"/>
      <c r="Y181" s="1239"/>
      <c r="Z181" s="1239"/>
      <c r="AA181" s="1239"/>
      <c r="AB181" s="1239"/>
      <c r="AC181" s="1239"/>
      <c r="AD181" s="1239"/>
      <c r="AE181" s="1239"/>
      <c r="AF181" s="1239"/>
      <c r="AG181" s="171"/>
      <c r="AH181" s="1239"/>
      <c r="AI181" s="1239"/>
      <c r="AJ181" s="1239"/>
      <c r="AK181" s="1239"/>
      <c r="AL181" s="1239"/>
      <c r="AM181" s="1239"/>
      <c r="AN181" s="455"/>
      <c r="AO181" s="1239"/>
      <c r="AP181" s="1239"/>
      <c r="AQ181" s="484">
        <f>+FL_2($T$182,$T$180,$G$181,1200,9.28, 1*$F$182)</f>
        <v>-0.36839079999999996</v>
      </c>
      <c r="AR181" s="638"/>
      <c r="AS181" s="638"/>
      <c r="AT181" s="484"/>
      <c r="AU181" s="638"/>
      <c r="AV181" s="638"/>
      <c r="AW181" s="638" t="str">
        <f>VLOOKUP(J181,'Foundation Calculation'!$A$2:$C$33,3,1)</f>
        <v>Soil B</v>
      </c>
      <c r="AX181" s="638" t="str">
        <f>VLOOKUP(J181,'Foundation Calculation'!$E$2:$G$33,3,1)</f>
        <v>PT</v>
      </c>
      <c r="AY181" s="484"/>
      <c r="AZ181" s="484">
        <f>IF(AX181="PT",VLOOKUP(K181,'Foundation Calculation'!$K$2:$R$40,VLOOKUP(AW181,'Foundation Calculation'!$I$2:$J$8,2,FALSE),0),IF(AX181="K",VLOOKUP(K181,'Foundation Calculation'!$K$42:$R$80,VLOOKUP(AW181,'Foundation Calculation'!$I$2:$J$8,2,FALSE),0),""))</f>
        <v>2.8</v>
      </c>
      <c r="BA181" s="671" t="s">
        <v>2809</v>
      </c>
      <c r="BB181" s="1239"/>
      <c r="BC181" s="169"/>
      <c r="BD181" s="1329"/>
      <c r="BE181" s="1330"/>
      <c r="BF181" s="1330"/>
      <c r="BG181" s="1330"/>
    </row>
    <row r="182" spans="1:59" ht="15.75" customHeight="1">
      <c r="A182" s="1239"/>
      <c r="B182" s="435" t="s">
        <v>3029</v>
      </c>
      <c r="C182" s="446">
        <f>+$C$180+$G$181</f>
        <v>89359.05</v>
      </c>
      <c r="D182" s="173"/>
      <c r="E182" s="447"/>
      <c r="F182" s="447">
        <v>0</v>
      </c>
      <c r="G182" s="484"/>
      <c r="H182" s="1239" t="s">
        <v>138</v>
      </c>
      <c r="I182" s="1239" t="s">
        <v>623</v>
      </c>
      <c r="J182" s="171"/>
      <c r="K182" s="638"/>
      <c r="L182" s="638" t="s">
        <v>4664</v>
      </c>
      <c r="M182" s="638" t="str">
        <f>IF(AX182="PT",VLOOKUP(L182,'Foundation Calculation'!$V$2:$X$40,VLOOKUP(AX182,'Foundation Calculation'!$I$10:$J$13,2,FALSE),0),IF(AX182="K",VLOOKUP(L182,'Foundation Calculation'!$V$42:$X$80,VLOOKUP(AX182,'Foundation Calculation'!$I$10:$J$13,2,FALSE),0),""))</f>
        <v>C11R</v>
      </c>
      <c r="N182" s="1239" t="s">
        <v>143</v>
      </c>
      <c r="O182" s="1239"/>
      <c r="P182" s="1239"/>
      <c r="Q182" s="638">
        <v>0</v>
      </c>
      <c r="R182" s="638">
        <v>0</v>
      </c>
      <c r="S182" s="484"/>
      <c r="T182" s="638">
        <v>-35</v>
      </c>
      <c r="U182" s="638"/>
      <c r="V182" s="638"/>
      <c r="W182" s="638">
        <v>1.4</v>
      </c>
      <c r="X182" s="638"/>
      <c r="Y182" s="638"/>
      <c r="Z182" s="638"/>
      <c r="AA182" s="638"/>
      <c r="AB182" s="638"/>
      <c r="AC182" s="638" t="s">
        <v>4090</v>
      </c>
      <c r="AD182" s="638"/>
      <c r="AE182" s="638"/>
      <c r="AF182" s="638">
        <v>6000</v>
      </c>
      <c r="AG182" s="446">
        <v>89359</v>
      </c>
      <c r="AH182" s="638">
        <v>3803</v>
      </c>
      <c r="AI182" s="638">
        <v>700</v>
      </c>
      <c r="AJ182" s="638"/>
      <c r="AK182" s="638"/>
      <c r="AL182" s="638" t="s">
        <v>2143</v>
      </c>
      <c r="AM182" s="638" t="s">
        <v>1042</v>
      </c>
      <c r="AN182" s="455">
        <v>5.5</v>
      </c>
      <c r="AO182" s="1239"/>
      <c r="AP182" s="1239"/>
      <c r="AQ182" s="484"/>
      <c r="AR182" s="484"/>
      <c r="AS182" s="484"/>
      <c r="AT182" s="484">
        <f>+ab($T$182,$T$180,$T$184,$G$181,$G$183, 1*$F$182,1200)</f>
        <v>-6.8209152065487553</v>
      </c>
      <c r="AU182" s="638"/>
      <c r="AV182" s="638"/>
      <c r="AW182" s="638" t="str">
        <f>VLOOKUP(C182,'Foundation Calculation'!$A$2:$C$33,3,1)</f>
        <v>Soil B</v>
      </c>
      <c r="AX182" s="638" t="str">
        <f>VLOOKUP(C182,'Foundation Calculation'!$E$2:$G$33,3,1)</f>
        <v>PT</v>
      </c>
      <c r="AY182" s="484">
        <f>IF(AX182="PT",VLOOKUP(L182,'Foundation Calculation'!$K$2:$R$40,VLOOKUP(AW182,'Foundation Calculation'!$I$2:$J$8,2,FALSE),0),IF(AX182="K",VLOOKUP(L182,'Foundation Calculation'!$K$42:$R$80,VLOOKUP(AW182,'Foundation Calculation'!$I$2:$J$8,2,FALSE),0),""))</f>
        <v>4.4000000000000004</v>
      </c>
      <c r="AZ182" s="484"/>
      <c r="BA182" s="671" t="s">
        <v>2809</v>
      </c>
      <c r="BB182" s="1239" t="str">
        <f>Pole_Calculations!A178</f>
        <v>App.8-V08F-P10.3</v>
      </c>
      <c r="BC182" s="169"/>
      <c r="BD182" s="1371"/>
      <c r="BE182" s="1371"/>
      <c r="BF182" s="1371"/>
      <c r="BG182" s="1371"/>
    </row>
    <row r="183" spans="1:59" ht="15.75" customHeight="1">
      <c r="A183" s="449"/>
      <c r="B183" s="447"/>
      <c r="C183" s="446"/>
      <c r="D183" s="448"/>
      <c r="E183" s="448"/>
      <c r="F183" s="448"/>
      <c r="G183" s="455">
        <v>50</v>
      </c>
      <c r="H183" s="1239"/>
      <c r="I183" s="448"/>
      <c r="J183" s="171">
        <f>C182+7.5</f>
        <v>89366.55</v>
      </c>
      <c r="K183" s="638" t="s">
        <v>2787</v>
      </c>
      <c r="L183" s="1239"/>
      <c r="M183" s="580"/>
      <c r="N183" s="1239"/>
      <c r="O183" s="1239"/>
      <c r="P183" s="1239"/>
      <c r="Q183" s="1239"/>
      <c r="R183" s="1239"/>
      <c r="S183" s="455">
        <f t="shared" ref="S183" si="86">AG184-AG182</f>
        <v>50</v>
      </c>
      <c r="T183" s="1239"/>
      <c r="U183" s="1239"/>
      <c r="V183" s="1239"/>
      <c r="W183" s="1239"/>
      <c r="X183" s="1239"/>
      <c r="Y183" s="1239"/>
      <c r="Z183" s="1239"/>
      <c r="AA183" s="1239"/>
      <c r="AB183" s="1239"/>
      <c r="AC183" s="1239"/>
      <c r="AD183" s="1239"/>
      <c r="AE183" s="1239"/>
      <c r="AF183" s="1239"/>
      <c r="AG183" s="171"/>
      <c r="AH183" s="1239"/>
      <c r="AI183" s="1239"/>
      <c r="AJ183" s="1239"/>
      <c r="AK183" s="1239"/>
      <c r="AL183" s="1239"/>
      <c r="AM183" s="1239"/>
      <c r="AN183" s="455"/>
      <c r="AO183" s="1239"/>
      <c r="AP183" s="1239"/>
      <c r="AQ183" s="484">
        <f>+FL_1($T$184,$T$182,$G$183,1200,9.28, 1*$F$184)</f>
        <v>0.36839079999999996</v>
      </c>
      <c r="AR183" s="638"/>
      <c r="AS183" s="638"/>
      <c r="AT183" s="484"/>
      <c r="AU183" s="638"/>
      <c r="AV183" s="638"/>
      <c r="AW183" s="638" t="str">
        <f>VLOOKUP(J183,'Foundation Calculation'!$A$2:$C$33,3,1)</f>
        <v>Soil B</v>
      </c>
      <c r="AX183" s="638" t="str">
        <f>VLOOKUP(J183,'Foundation Calculation'!$E$2:$G$33,3,1)</f>
        <v>PT</v>
      </c>
      <c r="AY183" s="484"/>
      <c r="AZ183" s="484">
        <f>IF(AX183="PT",VLOOKUP(K183,'Foundation Calculation'!$K$2:$R$40,VLOOKUP(AW183,'Foundation Calculation'!$I$2:$J$8,2,FALSE),0),IF(AX183="K",VLOOKUP(K183,'Foundation Calculation'!$K$42:$R$80,VLOOKUP(AW183,'Foundation Calculation'!$I$2:$J$8,2,FALSE),0),""))</f>
        <v>3.9</v>
      </c>
      <c r="BA183" s="671" t="s">
        <v>2809</v>
      </c>
      <c r="BB183" s="449"/>
      <c r="BC183" s="169"/>
      <c r="BD183" s="1329"/>
      <c r="BE183" s="1330"/>
      <c r="BF183" s="1330"/>
      <c r="BG183" s="1330"/>
    </row>
    <row r="184" spans="1:59" ht="15.75" customHeight="1">
      <c r="A184" s="1239"/>
      <c r="B184" s="435" t="s">
        <v>3030</v>
      </c>
      <c r="C184" s="446">
        <f>+$C$182+$G$183</f>
        <v>89409.05</v>
      </c>
      <c r="D184" s="173"/>
      <c r="E184" s="447"/>
      <c r="F184" s="447">
        <v>0</v>
      </c>
      <c r="G184" s="484"/>
      <c r="H184" s="1239"/>
      <c r="I184" s="1239"/>
      <c r="J184" s="171"/>
      <c r="K184" s="638"/>
      <c r="L184" s="638" t="s">
        <v>4664</v>
      </c>
      <c r="M184" s="638" t="str">
        <f>IF(AX184="PT",VLOOKUP(L184,'Foundation Calculation'!$V$2:$X$40,VLOOKUP(AX184,'Foundation Calculation'!$I$10:$J$13,2,FALSE),0),IF(AX184="K",VLOOKUP(L184,'Foundation Calculation'!$V$42:$X$80,VLOOKUP(AX184,'Foundation Calculation'!$I$10:$J$13,2,FALSE),0),""))</f>
        <v>C11R</v>
      </c>
      <c r="N184" s="1239" t="s">
        <v>144</v>
      </c>
      <c r="O184" s="1239"/>
      <c r="P184" s="1239"/>
      <c r="Q184" s="638">
        <v>0</v>
      </c>
      <c r="R184" s="638">
        <v>0</v>
      </c>
      <c r="S184" s="484"/>
      <c r="T184" s="638">
        <v>35</v>
      </c>
      <c r="U184" s="638"/>
      <c r="V184" s="638"/>
      <c r="W184" s="638">
        <v>1.4</v>
      </c>
      <c r="X184" s="638"/>
      <c r="Y184" s="638"/>
      <c r="Z184" s="638"/>
      <c r="AA184" s="638"/>
      <c r="AB184" s="638"/>
      <c r="AC184" s="638" t="s">
        <v>4090</v>
      </c>
      <c r="AD184" s="638"/>
      <c r="AE184" s="638"/>
      <c r="AF184" s="638">
        <v>6000</v>
      </c>
      <c r="AG184" s="446">
        <v>89409</v>
      </c>
      <c r="AH184" s="638">
        <v>3863</v>
      </c>
      <c r="AI184" s="638">
        <v>730</v>
      </c>
      <c r="AJ184" s="638"/>
      <c r="AK184" s="638"/>
      <c r="AL184" s="638" t="s">
        <v>2143</v>
      </c>
      <c r="AM184" s="638" t="s">
        <v>1042</v>
      </c>
      <c r="AN184" s="455">
        <v>5.5</v>
      </c>
      <c r="AO184" s="1239"/>
      <c r="AP184" s="1239"/>
      <c r="AQ184" s="484"/>
      <c r="AR184" s="484"/>
      <c r="AS184" s="484"/>
      <c r="AT184" s="484">
        <f>+ab($T$184,$T$182,$T$186,$G$183,$G$185, 1*$F$184,1200)</f>
        <v>7.0806177167506643</v>
      </c>
      <c r="AU184" s="638"/>
      <c r="AV184" s="638"/>
      <c r="AW184" s="638" t="str">
        <f>VLOOKUP(C184,'Foundation Calculation'!$A$2:$C$33,3,1)</f>
        <v>Soil B</v>
      </c>
      <c r="AX184" s="638" t="str">
        <f>VLOOKUP(C184,'Foundation Calculation'!$E$2:$G$33,3,1)</f>
        <v>PT</v>
      </c>
      <c r="AY184" s="484">
        <f>IF(AX184="PT",VLOOKUP(L184,'Foundation Calculation'!$K$2:$R$40,VLOOKUP(AW184,'Foundation Calculation'!$I$2:$J$8,2,FALSE),0),IF(AX184="K",VLOOKUP(L184,'Foundation Calculation'!$K$42:$R$80,VLOOKUP(AW184,'Foundation Calculation'!$I$2:$J$8,2,FALSE),0),""))</f>
        <v>4.4000000000000004</v>
      </c>
      <c r="AZ184" s="484"/>
      <c r="BA184" s="671" t="s">
        <v>2809</v>
      </c>
      <c r="BB184" s="1239" t="str">
        <f>Pole_Calculations!A178</f>
        <v>App.8-V08F-P10.3</v>
      </c>
      <c r="BC184" s="169"/>
      <c r="BD184" s="1371"/>
      <c r="BE184" s="1371"/>
      <c r="BF184" s="1371"/>
      <c r="BG184" s="1371"/>
    </row>
    <row r="185" spans="1:59" ht="15.75" customHeight="1">
      <c r="A185" s="1239"/>
      <c r="B185" s="447"/>
      <c r="C185" s="446"/>
      <c r="D185" s="448"/>
      <c r="E185" s="448"/>
      <c r="F185" s="448"/>
      <c r="G185" s="455">
        <v>54</v>
      </c>
      <c r="H185" s="1239"/>
      <c r="I185" s="448"/>
      <c r="J185" s="171"/>
      <c r="K185" s="638"/>
      <c r="L185" s="1239"/>
      <c r="M185" s="580"/>
      <c r="N185" s="1239"/>
      <c r="O185" s="1239"/>
      <c r="P185" s="1239"/>
      <c r="Q185" s="1239"/>
      <c r="R185" s="1239"/>
      <c r="S185" s="455">
        <f t="shared" ref="S185" si="87">AG186-AG184</f>
        <v>54</v>
      </c>
      <c r="T185" s="1239"/>
      <c r="U185" s="1239"/>
      <c r="V185" s="1239"/>
      <c r="W185" s="1239"/>
      <c r="X185" s="1239"/>
      <c r="Y185" s="1239"/>
      <c r="Z185" s="1239"/>
      <c r="AA185" s="1239"/>
      <c r="AB185" s="1239"/>
      <c r="AC185" s="1239"/>
      <c r="AD185" s="1239"/>
      <c r="AE185" s="1239"/>
      <c r="AF185" s="1239"/>
      <c r="AG185" s="171"/>
      <c r="AH185" s="1239"/>
      <c r="AI185" s="1239"/>
      <c r="AJ185" s="1239"/>
      <c r="AK185" s="1239"/>
      <c r="AL185" s="1239"/>
      <c r="AM185" s="1239"/>
      <c r="AN185" s="455"/>
      <c r="AO185" s="1239"/>
      <c r="AP185" s="1239"/>
      <c r="AQ185" s="484">
        <f>+FL_1($T$186,$T$184,$G$185,1200,9.28, 1*$F$186)</f>
        <v>0.39052552059259249</v>
      </c>
      <c r="AR185" s="638"/>
      <c r="AS185" s="638"/>
      <c r="AT185" s="484"/>
      <c r="AU185" s="638"/>
      <c r="AV185" s="638"/>
      <c r="AW185" s="638"/>
      <c r="AX185" s="638"/>
      <c r="AY185" s="484"/>
      <c r="AZ185" s="484"/>
      <c r="BA185" s="671"/>
      <c r="BB185" s="1239"/>
      <c r="BC185" s="169"/>
      <c r="BD185" s="1330"/>
      <c r="BE185" s="1330"/>
      <c r="BF185" s="1330"/>
      <c r="BG185" s="1330"/>
    </row>
    <row r="186" spans="1:59" ht="15.75" customHeight="1">
      <c r="A186" s="1239"/>
      <c r="B186" s="435" t="s">
        <v>3031</v>
      </c>
      <c r="C186" s="446">
        <f>+$C$184+$G$185</f>
        <v>89463.05</v>
      </c>
      <c r="D186" s="173"/>
      <c r="E186" s="447"/>
      <c r="F186" s="447">
        <v>0</v>
      </c>
      <c r="G186" s="484"/>
      <c r="H186" s="1239"/>
      <c r="I186" s="1239"/>
      <c r="J186" s="171"/>
      <c r="K186" s="638"/>
      <c r="L186" s="638" t="s">
        <v>4664</v>
      </c>
      <c r="M186" s="638" t="str">
        <f>IF(AX186="PT",VLOOKUP(L186,'Foundation Calculation'!$V$2:$X$40,VLOOKUP(AX186,'Foundation Calculation'!$I$10:$J$13,2,FALSE),0),IF(AX186="K",VLOOKUP(L186,'Foundation Calculation'!$V$42:$X$80,VLOOKUP(AX186,'Foundation Calculation'!$I$10:$J$13,2,FALSE),0),""))</f>
        <v>C11R</v>
      </c>
      <c r="N186" s="1239" t="s">
        <v>143</v>
      </c>
      <c r="O186" s="1239"/>
      <c r="P186" s="1239"/>
      <c r="Q186" s="638">
        <v>0</v>
      </c>
      <c r="R186" s="638">
        <v>0</v>
      </c>
      <c r="S186" s="484"/>
      <c r="T186" s="638">
        <v>-35</v>
      </c>
      <c r="U186" s="638"/>
      <c r="V186" s="638"/>
      <c r="W186" s="638">
        <v>1.4</v>
      </c>
      <c r="X186" s="638"/>
      <c r="Y186" s="638"/>
      <c r="Z186" s="638"/>
      <c r="AA186" s="638"/>
      <c r="AB186" s="638"/>
      <c r="AC186" s="638" t="s">
        <v>4090</v>
      </c>
      <c r="AD186" s="638"/>
      <c r="AE186" s="638"/>
      <c r="AF186" s="638">
        <v>6000</v>
      </c>
      <c r="AG186" s="446">
        <v>89463</v>
      </c>
      <c r="AH186" s="638">
        <v>3553</v>
      </c>
      <c r="AI186" s="638">
        <v>870</v>
      </c>
      <c r="AJ186" s="638"/>
      <c r="AK186" s="638"/>
      <c r="AL186" s="638" t="s">
        <v>2143</v>
      </c>
      <c r="AM186" s="638" t="s">
        <v>1042</v>
      </c>
      <c r="AN186" s="455">
        <v>5.5</v>
      </c>
      <c r="AO186" s="1239"/>
      <c r="AP186" s="1239"/>
      <c r="AQ186" s="484"/>
      <c r="AR186" s="484"/>
      <c r="AS186" s="484"/>
      <c r="AT186" s="484">
        <f>+ab($T$186,$T$184,$T$188,$G$185,$G$187, 1*$F$186,1200)</f>
        <v>-7.3504381473004621</v>
      </c>
      <c r="AU186" s="638"/>
      <c r="AV186" s="638"/>
      <c r="AW186" s="638" t="str">
        <f>VLOOKUP(C186,'Foundation Calculation'!$A$2:$C$33,3,1)</f>
        <v>Soil B</v>
      </c>
      <c r="AX186" s="638" t="str">
        <f>VLOOKUP(C186,'Foundation Calculation'!$E$2:$G$33,3,1)</f>
        <v>PT</v>
      </c>
      <c r="AY186" s="484">
        <f>IF(AX186="PT",VLOOKUP(L186,'Foundation Calculation'!$K$2:$R$40,VLOOKUP(AW186,'Foundation Calculation'!$I$2:$J$8,2,FALSE),0),IF(AX186="K",VLOOKUP(L186,'Foundation Calculation'!$K$42:$R$80,VLOOKUP(AW186,'Foundation Calculation'!$I$2:$J$8,2,FALSE),0),""))</f>
        <v>4.4000000000000004</v>
      </c>
      <c r="AZ186" s="484"/>
      <c r="BA186" s="671" t="s">
        <v>2809</v>
      </c>
      <c r="BB186" s="1239" t="str">
        <f>Pole_Calculations!A178</f>
        <v>App.8-V08F-P10.3</v>
      </c>
      <c r="BC186" s="169"/>
      <c r="BD186" s="1371"/>
      <c r="BE186" s="1371"/>
      <c r="BF186" s="1371"/>
      <c r="BG186" s="1371"/>
    </row>
    <row r="187" spans="1:59" ht="15.75" customHeight="1">
      <c r="A187" s="1239"/>
      <c r="B187" s="447"/>
      <c r="C187" s="446"/>
      <c r="D187" s="448"/>
      <c r="E187" s="448"/>
      <c r="F187" s="448"/>
      <c r="G187" s="455">
        <v>50</v>
      </c>
      <c r="H187" s="1239"/>
      <c r="I187" s="448"/>
      <c r="J187" s="171">
        <f>C188-7.5</f>
        <v>89505.55</v>
      </c>
      <c r="K187" s="638" t="s">
        <v>2787</v>
      </c>
      <c r="L187" s="1239"/>
      <c r="M187" s="580"/>
      <c r="N187" s="1239"/>
      <c r="O187" s="1239"/>
      <c r="P187" s="1239"/>
      <c r="Q187" s="1239"/>
      <c r="R187" s="1239"/>
      <c r="S187" s="455">
        <f t="shared" ref="S187" si="88">AG188-AG186</f>
        <v>50</v>
      </c>
      <c r="T187" s="1239"/>
      <c r="U187" s="1239"/>
      <c r="V187" s="1239"/>
      <c r="W187" s="1239"/>
      <c r="X187" s="1239"/>
      <c r="Y187" s="1239"/>
      <c r="Z187" s="1239"/>
      <c r="AA187" s="1239"/>
      <c r="AB187" s="1239"/>
      <c r="AC187" s="1239"/>
      <c r="AD187" s="1239"/>
      <c r="AE187" s="1239"/>
      <c r="AF187" s="1239"/>
      <c r="AG187" s="171"/>
      <c r="AH187" s="1239"/>
      <c r="AI187" s="1239"/>
      <c r="AJ187" s="1239"/>
      <c r="AK187" s="1239"/>
      <c r="AL187" s="1239"/>
      <c r="AM187" s="1239"/>
      <c r="AN187" s="455"/>
      <c r="AO187" s="1239"/>
      <c r="AP187" s="1239"/>
      <c r="AQ187" s="484">
        <f>+FL_2($T$188,$T$186,$G$187,1200,9.28, 1*$F$188)</f>
        <v>-0.46727500574684022</v>
      </c>
      <c r="AR187" s="638"/>
      <c r="AS187" s="638"/>
      <c r="AT187" s="484"/>
      <c r="AU187" s="638"/>
      <c r="AV187" s="638"/>
      <c r="AW187" s="638" t="str">
        <f>VLOOKUP(J187,'Foundation Calculation'!$A$2:$C$33,3,1)</f>
        <v>Soil B</v>
      </c>
      <c r="AX187" s="638" t="str">
        <f>VLOOKUP(J187,'Foundation Calculation'!$E$2:$G$33,3,1)</f>
        <v>PT</v>
      </c>
      <c r="AY187" s="484"/>
      <c r="AZ187" s="484">
        <f>IF(AX187="PT",VLOOKUP(K187,'Foundation Calculation'!$K$2:$R$40,VLOOKUP(AW187,'Foundation Calculation'!$I$2:$J$8,2,FALSE),0),IF(AX187="K",VLOOKUP(K187,'Foundation Calculation'!$K$42:$R$80,VLOOKUP(AW187,'Foundation Calculation'!$I$2:$J$8,2,FALSE),0),""))</f>
        <v>3.9</v>
      </c>
      <c r="BA187" s="671" t="s">
        <v>2809</v>
      </c>
      <c r="BB187" s="1239"/>
      <c r="BC187" s="169"/>
      <c r="BD187" s="1329"/>
      <c r="BE187" s="1330"/>
      <c r="BF187" s="1330"/>
      <c r="BG187" s="1330"/>
    </row>
    <row r="188" spans="1:59" ht="15.75" customHeight="1">
      <c r="A188" s="1239"/>
      <c r="B188" s="435" t="s">
        <v>3032</v>
      </c>
      <c r="C188" s="446">
        <f>+$C$186+$G$187</f>
        <v>89513.05</v>
      </c>
      <c r="D188" s="173"/>
      <c r="E188" s="447"/>
      <c r="F188" s="447">
        <v>2414</v>
      </c>
      <c r="G188" s="484"/>
      <c r="H188" s="1239" t="s">
        <v>138</v>
      </c>
      <c r="I188" s="1239" t="s">
        <v>623</v>
      </c>
      <c r="J188" s="171"/>
      <c r="K188" s="638"/>
      <c r="L188" s="638" t="s">
        <v>4664</v>
      </c>
      <c r="M188" s="638" t="str">
        <f>IF(AX188="PT",VLOOKUP(L188,'Foundation Calculation'!$V$2:$X$40,VLOOKUP(AX188,'Foundation Calculation'!$I$10:$J$13,2,FALSE),0),IF(AX188="K",VLOOKUP(L188,'Foundation Calculation'!$V$42:$X$80,VLOOKUP(AX188,'Foundation Calculation'!$I$10:$J$13,2,FALSE),0),""))</f>
        <v>C11R</v>
      </c>
      <c r="N188" s="1239" t="s">
        <v>144</v>
      </c>
      <c r="O188" s="1239"/>
      <c r="P188" s="1239"/>
      <c r="Q188" s="638">
        <v>70</v>
      </c>
      <c r="R188" s="638">
        <v>2292.4299999999998</v>
      </c>
      <c r="S188" s="484"/>
      <c r="T188" s="638">
        <v>30</v>
      </c>
      <c r="U188" s="638"/>
      <c r="V188" s="638"/>
      <c r="W188" s="638">
        <v>1.4</v>
      </c>
      <c r="X188" s="638"/>
      <c r="Y188" s="638"/>
      <c r="Z188" s="638"/>
      <c r="AA188" s="638"/>
      <c r="AB188" s="638"/>
      <c r="AC188" s="638" t="s">
        <v>4090</v>
      </c>
      <c r="AD188" s="638"/>
      <c r="AE188" s="638"/>
      <c r="AF188" s="638">
        <v>6000</v>
      </c>
      <c r="AG188" s="446">
        <v>89513</v>
      </c>
      <c r="AH188" s="638">
        <v>3763</v>
      </c>
      <c r="AI188" s="638">
        <v>630</v>
      </c>
      <c r="AJ188" s="638"/>
      <c r="AK188" s="638"/>
      <c r="AL188" s="638" t="s">
        <v>2143</v>
      </c>
      <c r="AM188" s="638" t="s">
        <v>1042</v>
      </c>
      <c r="AN188" s="455">
        <v>5.5</v>
      </c>
      <c r="AO188" s="1239"/>
      <c r="AP188" s="1239"/>
      <c r="AQ188" s="484"/>
      <c r="AR188" s="484"/>
      <c r="AS188" s="484"/>
      <c r="AT188" s="484">
        <f>+ab($T$188,$T$186,$U$190,$G$187,$G$189, 1*$F$188,1200)</f>
        <v>6.0108905247880502</v>
      </c>
      <c r="AU188" s="638"/>
      <c r="AV188" s="638"/>
      <c r="AW188" s="638" t="str">
        <f>VLOOKUP(C188,'Foundation Calculation'!$A$2:$C$33,3,1)</f>
        <v>Soil B</v>
      </c>
      <c r="AX188" s="638" t="str">
        <f>VLOOKUP(C188,'Foundation Calculation'!$E$2:$G$33,3,1)</f>
        <v>PT</v>
      </c>
      <c r="AY188" s="484">
        <f>IF(AX188="PT",VLOOKUP(L188,'Foundation Calculation'!$K$2:$R$40,VLOOKUP(AW188,'Foundation Calculation'!$I$2:$J$8,2,FALSE),0),IF(AX188="K",VLOOKUP(L188,'Foundation Calculation'!$K$42:$R$80,VLOOKUP(AW188,'Foundation Calculation'!$I$2:$J$8,2,FALSE),0),""))</f>
        <v>4.4000000000000004</v>
      </c>
      <c r="AZ188" s="484"/>
      <c r="BA188" s="671" t="s">
        <v>2809</v>
      </c>
      <c r="BB188" s="1239" t="str">
        <f>Pole_Calculations!A178</f>
        <v>App.8-V08F-P10.3</v>
      </c>
      <c r="BC188" s="169"/>
      <c r="BD188" s="1371"/>
      <c r="BE188" s="1371"/>
      <c r="BF188" s="1371"/>
      <c r="BG188" s="1371"/>
    </row>
    <row r="189" spans="1:59" ht="15.75" customHeight="1">
      <c r="A189" s="1239"/>
      <c r="B189" s="447"/>
      <c r="C189" s="446"/>
      <c r="D189" s="448"/>
      <c r="E189" s="448"/>
      <c r="F189" s="448"/>
      <c r="G189" s="455">
        <v>40.799999999999997</v>
      </c>
      <c r="H189" s="1239"/>
      <c r="I189" s="448"/>
      <c r="J189" s="171"/>
      <c r="K189" s="638"/>
      <c r="L189" s="1239"/>
      <c r="M189" s="580"/>
      <c r="N189" s="1239"/>
      <c r="O189" s="1239"/>
      <c r="P189" s="1239"/>
      <c r="Q189" s="1239"/>
      <c r="R189" s="1239"/>
      <c r="S189" s="455">
        <f t="shared" ref="S189" si="89">AG190-AG188</f>
        <v>40</v>
      </c>
      <c r="T189" s="1239"/>
      <c r="U189" s="1239"/>
      <c r="V189" s="1239"/>
      <c r="W189" s="1239"/>
      <c r="X189" s="1239"/>
      <c r="Y189" s="1239"/>
      <c r="Z189" s="1239"/>
      <c r="AA189" s="1239"/>
      <c r="AB189" s="1239"/>
      <c r="AC189" s="1239"/>
      <c r="AD189" s="1239"/>
      <c r="AE189" s="1239"/>
      <c r="AF189" s="1239"/>
      <c r="AG189" s="171"/>
      <c r="AH189" s="1239"/>
      <c r="AI189" s="1239"/>
      <c r="AJ189" s="1239"/>
      <c r="AK189" s="1239"/>
      <c r="AL189" s="1239"/>
      <c r="AM189" s="1239"/>
      <c r="AN189" s="455"/>
      <c r="AO189" s="1239"/>
      <c r="AP189" s="1239"/>
      <c r="AQ189" s="484">
        <f>+FL_1($U$190,$T$188,$G$189,1200,9.28, 1*$F$190)</f>
        <v>0.30374575051514563</v>
      </c>
      <c r="AR189" s="638"/>
      <c r="AS189" s="638"/>
      <c r="AT189" s="484"/>
      <c r="AU189" s="638"/>
      <c r="AV189" s="638"/>
      <c r="AW189" s="638"/>
      <c r="AX189" s="638"/>
      <c r="AY189" s="484"/>
      <c r="AZ189" s="484"/>
      <c r="BA189" s="671"/>
      <c r="BB189" s="1239"/>
      <c r="BC189" s="169"/>
      <c r="BD189" s="1330"/>
      <c r="BE189" s="1330"/>
      <c r="BF189" s="1330"/>
      <c r="BG189" s="1330"/>
    </row>
    <row r="190" spans="1:59" ht="15.75" customHeight="1">
      <c r="A190" s="1239"/>
      <c r="B190" s="582" t="s">
        <v>3033</v>
      </c>
      <c r="C190" s="446">
        <f>+$C$188+$G$189</f>
        <v>89553.85</v>
      </c>
      <c r="D190" s="448"/>
      <c r="E190" s="448"/>
      <c r="F190" s="448">
        <v>1324</v>
      </c>
      <c r="G190" s="455"/>
      <c r="H190" s="1239" t="s">
        <v>619</v>
      </c>
      <c r="I190" s="448"/>
      <c r="J190" s="171"/>
      <c r="K190" s="638"/>
      <c r="L190" s="1239" t="s">
        <v>4393</v>
      </c>
      <c r="M190" s="638" t="str">
        <f>IF(AX190="PT",VLOOKUP(L190,'Foundation Calculation'!$V$2:$X$40,VLOOKUP(AX190,'Foundation Calculation'!$I$10:$J$13,2,FALSE),0),IF(AX190="K",VLOOKUP(L190,'Foundation Calculation'!$V$42:$X$80,VLOOKUP(AX190,'Foundation Calculation'!$I$10:$J$13,2,FALSE),0),""))</f>
        <v>2C4R</v>
      </c>
      <c r="N190" s="638" t="s">
        <v>140</v>
      </c>
      <c r="O190" s="638" t="s">
        <v>144</v>
      </c>
      <c r="P190" s="638"/>
      <c r="Q190" s="638">
        <v>70</v>
      </c>
      <c r="R190" s="638">
        <v>1333.72</v>
      </c>
      <c r="S190" s="484"/>
      <c r="T190" s="638">
        <v>55</v>
      </c>
      <c r="U190" s="638">
        <v>30</v>
      </c>
      <c r="V190" s="638"/>
      <c r="W190" s="638">
        <v>1.4</v>
      </c>
      <c r="X190" s="638">
        <v>1.8</v>
      </c>
      <c r="Y190" s="638"/>
      <c r="Z190" s="638">
        <v>0.6</v>
      </c>
      <c r="AA190" s="638"/>
      <c r="AB190" s="638"/>
      <c r="AC190" s="638" t="s">
        <v>4090</v>
      </c>
      <c r="AD190" s="638"/>
      <c r="AE190" s="638"/>
      <c r="AF190" s="638">
        <v>6000</v>
      </c>
      <c r="AG190" s="446">
        <v>89553</v>
      </c>
      <c r="AH190" s="638">
        <v>4323</v>
      </c>
      <c r="AI190" s="638">
        <v>760</v>
      </c>
      <c r="AJ190" s="638"/>
      <c r="AK190" s="638"/>
      <c r="AL190" s="1239" t="s">
        <v>2135</v>
      </c>
      <c r="AM190" s="1239" t="s">
        <v>1042</v>
      </c>
      <c r="AN190" s="455">
        <v>5.5</v>
      </c>
      <c r="AO190" s="1239"/>
      <c r="AP190" s="1239"/>
      <c r="AQ190" s="484"/>
      <c r="AR190" s="638"/>
      <c r="AS190" s="638"/>
      <c r="AT190" s="484">
        <f>+ab($U$190,$T$188,$T$192,$G$189,$G$191, 1*$F$190,1200)</f>
        <v>6.2636866224477465</v>
      </c>
      <c r="AU190" s="638"/>
      <c r="AV190" s="638"/>
      <c r="AW190" s="638" t="str">
        <f>VLOOKUP(C190,'Foundation Calculation'!$A$2:$C$33,3,1)</f>
        <v>Soil B</v>
      </c>
      <c r="AX190" s="638" t="str">
        <f>VLOOKUP(C190,'Foundation Calculation'!$E$2:$G$33,3,1)</f>
        <v>PT</v>
      </c>
      <c r="AY190" s="484">
        <f>IF(AX190="PT",VLOOKUP(L190,'Foundation Calculation'!$K$2:$R$40,VLOOKUP(AW190,'Foundation Calculation'!$I$2:$J$8,2,FALSE),0),IF(AX190="K",VLOOKUP(L190,'Foundation Calculation'!$K$42:$R$80,VLOOKUP(AW190,'Foundation Calculation'!$I$2:$J$8,2,FALSE),0),""))</f>
        <v>5.3</v>
      </c>
      <c r="AZ190" s="484"/>
      <c r="BA190" s="671" t="s">
        <v>2809</v>
      </c>
      <c r="BB190" s="1239" t="str">
        <f>Pole_Calculations!A178</f>
        <v>App.8-V08F-P10.3</v>
      </c>
      <c r="BC190" s="169"/>
      <c r="BD190" s="1371">
        <v>43785</v>
      </c>
      <c r="BE190" s="1371"/>
      <c r="BF190" s="1371"/>
      <c r="BG190" s="1371"/>
    </row>
    <row r="191" spans="1:59" ht="15.75" customHeight="1">
      <c r="A191" s="1239"/>
      <c r="B191" s="447"/>
      <c r="C191" s="446"/>
      <c r="D191" s="448"/>
      <c r="E191" s="448"/>
      <c r="F191" s="448"/>
      <c r="G191" s="455">
        <v>40</v>
      </c>
      <c r="H191" s="1239"/>
      <c r="I191" s="448"/>
      <c r="J191" s="171"/>
      <c r="K191" s="638"/>
      <c r="L191" s="1239"/>
      <c r="M191" s="580"/>
      <c r="N191" s="1239"/>
      <c r="O191" s="1239"/>
      <c r="P191" s="1239"/>
      <c r="Q191" s="1239"/>
      <c r="R191" s="1239"/>
      <c r="S191" s="455">
        <f t="shared" ref="S191" si="90">AG192-AG190</f>
        <v>40</v>
      </c>
      <c r="T191" s="1239"/>
      <c r="U191" s="1239"/>
      <c r="V191" s="1239"/>
      <c r="W191" s="1239"/>
      <c r="X191" s="1239"/>
      <c r="Y191" s="1239"/>
      <c r="Z191" s="1239"/>
      <c r="AA191" s="1239"/>
      <c r="AB191" s="1239"/>
      <c r="AC191" s="1239"/>
      <c r="AD191" s="1239"/>
      <c r="AE191" s="1239"/>
      <c r="AF191" s="1239"/>
      <c r="AG191" s="171"/>
      <c r="AH191" s="1239"/>
      <c r="AI191" s="1239"/>
      <c r="AJ191" s="1239"/>
      <c r="AK191" s="1239"/>
      <c r="AL191" s="1239"/>
      <c r="AM191" s="1239"/>
      <c r="AN191" s="455"/>
      <c r="AO191" s="1239"/>
      <c r="AP191" s="1239"/>
      <c r="AQ191" s="484">
        <f>+FL_1($T$192,$U$190,$G$191,1200,9.28, 1*$F$192)</f>
        <v>0.3</v>
      </c>
      <c r="AR191" s="638"/>
      <c r="AS191" s="638"/>
      <c r="AT191" s="484"/>
      <c r="AU191" s="638"/>
      <c r="AV191" s="638"/>
      <c r="AW191" s="638"/>
      <c r="AX191" s="638"/>
      <c r="AY191" s="484"/>
      <c r="AZ191" s="484"/>
      <c r="BA191" s="671"/>
      <c r="BB191" s="1239"/>
      <c r="BC191" s="169"/>
      <c r="BD191" s="1330"/>
      <c r="BE191" s="1330"/>
      <c r="BF191" s="1330"/>
      <c r="BG191" s="1330"/>
    </row>
    <row r="192" spans="1:59" ht="15.75" customHeight="1">
      <c r="A192" s="1239"/>
      <c r="B192" s="582" t="s">
        <v>3034</v>
      </c>
      <c r="C192" s="446">
        <f>+$C$190+$G$191</f>
        <v>89593.85</v>
      </c>
      <c r="D192" s="448"/>
      <c r="E192" s="448"/>
      <c r="F192" s="448">
        <v>1000</v>
      </c>
      <c r="G192" s="455"/>
      <c r="H192" s="1239"/>
      <c r="I192" s="448"/>
      <c r="J192" s="171"/>
      <c r="K192" s="638"/>
      <c r="L192" s="1239" t="s">
        <v>4393</v>
      </c>
      <c r="M192" s="638" t="str">
        <f>IF(AX192="PT",VLOOKUP(L192,'Foundation Calculation'!$V$2:$X$40,VLOOKUP(AX192,'Foundation Calculation'!$I$10:$J$13,2,FALSE),0),IF(AX192="K",VLOOKUP(L192,'Foundation Calculation'!$V$42:$X$80,VLOOKUP(AX192,'Foundation Calculation'!$I$10:$J$13,2,FALSE),0),""))</f>
        <v>2C4R</v>
      </c>
      <c r="N192" s="638" t="s">
        <v>144</v>
      </c>
      <c r="O192" s="638"/>
      <c r="P192" s="638"/>
      <c r="Q192" s="638">
        <v>100</v>
      </c>
      <c r="R192" s="638">
        <v>1000</v>
      </c>
      <c r="S192" s="484"/>
      <c r="T192" s="638">
        <v>30</v>
      </c>
      <c r="U192" s="638"/>
      <c r="V192" s="638"/>
      <c r="W192" s="638">
        <v>1.4</v>
      </c>
      <c r="X192" s="638"/>
      <c r="Y192" s="638"/>
      <c r="Z192" s="638"/>
      <c r="AA192" s="638"/>
      <c r="AB192" s="638"/>
      <c r="AC192" s="638" t="s">
        <v>4090</v>
      </c>
      <c r="AD192" s="638"/>
      <c r="AE192" s="638"/>
      <c r="AF192" s="638">
        <v>6000</v>
      </c>
      <c r="AG192" s="446">
        <v>89593</v>
      </c>
      <c r="AH192" s="638">
        <v>3803</v>
      </c>
      <c r="AI192" s="638">
        <v>830</v>
      </c>
      <c r="AJ192" s="638"/>
      <c r="AK192" s="638"/>
      <c r="AL192" s="1239" t="s">
        <v>2135</v>
      </c>
      <c r="AM192" s="1239" t="s">
        <v>1042</v>
      </c>
      <c r="AN192" s="455">
        <v>5.5</v>
      </c>
      <c r="AO192" s="1239"/>
      <c r="AP192" s="1239"/>
      <c r="AQ192" s="484"/>
      <c r="AR192" s="638"/>
      <c r="AS192" s="638"/>
      <c r="AT192" s="484">
        <f>+ab($T$192,$U$190,$T$194,$G$191,$G$193, 1*$F$192,1200)</f>
        <v>4.9717091773748479</v>
      </c>
      <c r="AU192" s="638"/>
      <c r="AV192" s="638"/>
      <c r="AW192" s="638" t="str">
        <f>VLOOKUP(C192,'Foundation Calculation'!$A$2:$C$33,3,1)</f>
        <v>Soil B</v>
      </c>
      <c r="AX192" s="638" t="str">
        <f>VLOOKUP(C192,'Foundation Calculation'!$E$2:$G$33,3,1)</f>
        <v>PT</v>
      </c>
      <c r="AY192" s="484">
        <f>IF(AX192="PT",VLOOKUP(L192,'Foundation Calculation'!$K$2:$R$40,VLOOKUP(AW192,'Foundation Calculation'!$I$2:$J$8,2,FALSE),0),IF(AX192="K",VLOOKUP(L192,'Foundation Calculation'!$K$42:$R$80,VLOOKUP(AW192,'Foundation Calculation'!$I$2:$J$8,2,FALSE),0),""))</f>
        <v>5.3</v>
      </c>
      <c r="AZ192" s="484"/>
      <c r="BA192" s="671" t="s">
        <v>2809</v>
      </c>
      <c r="BB192" s="1239" t="str">
        <f>Pole_Calculations!A178</f>
        <v>App.8-V08F-P10.3</v>
      </c>
      <c r="BC192" s="169"/>
      <c r="BD192" s="1371">
        <v>43785</v>
      </c>
      <c r="BE192" s="1371"/>
      <c r="BF192" s="1371"/>
      <c r="BG192" s="1371"/>
    </row>
    <row r="193" spans="1:59" ht="15.75" customHeight="1">
      <c r="A193" s="1239"/>
      <c r="B193" s="447"/>
      <c r="C193" s="446"/>
      <c r="D193" s="448"/>
      <c r="E193" s="448"/>
      <c r="F193" s="448"/>
      <c r="G193" s="455">
        <v>37</v>
      </c>
      <c r="H193" s="1239"/>
      <c r="I193" s="448"/>
      <c r="J193" s="171">
        <f>C194-7.5</f>
        <v>89623.35</v>
      </c>
      <c r="K193" s="638" t="s">
        <v>2788</v>
      </c>
      <c r="L193" s="1239"/>
      <c r="M193" s="580"/>
      <c r="N193" s="1239"/>
      <c r="O193" s="1239"/>
      <c r="P193" s="1239"/>
      <c r="Q193" s="1239"/>
      <c r="R193" s="1239"/>
      <c r="S193" s="455">
        <f t="shared" ref="S193" si="91">AG194-AG192</f>
        <v>37</v>
      </c>
      <c r="T193" s="1239"/>
      <c r="U193" s="1239"/>
      <c r="V193" s="1239"/>
      <c r="W193" s="1239"/>
      <c r="X193" s="1239"/>
      <c r="Y193" s="1239"/>
      <c r="Z193" s="1239"/>
      <c r="AA193" s="1239"/>
      <c r="AB193" s="1239"/>
      <c r="AC193" s="1239"/>
      <c r="AD193" s="1239"/>
      <c r="AE193" s="1239"/>
      <c r="AF193" s="1239"/>
      <c r="AG193" s="171"/>
      <c r="AH193" s="1239"/>
      <c r="AI193" s="1239"/>
      <c r="AJ193" s="1239"/>
      <c r="AK193" s="1239"/>
      <c r="AL193" s="1239"/>
      <c r="AM193" s="1239"/>
      <c r="AN193" s="455"/>
      <c r="AO193" s="1239"/>
      <c r="AP193" s="1239"/>
      <c r="AQ193" s="484">
        <f>+FL_1($T$194,$T$192,$G$193,1200,9.28, 1*$F$194)</f>
        <v>0.3</v>
      </c>
      <c r="AR193" s="638"/>
      <c r="AS193" s="638"/>
      <c r="AT193" s="484"/>
      <c r="AU193" s="638"/>
      <c r="AV193" s="638"/>
      <c r="AW193" s="638" t="str">
        <f>VLOOKUP(J193,'Foundation Calculation'!$A$2:$C$33,3,1)</f>
        <v>Soil B</v>
      </c>
      <c r="AX193" s="638" t="str">
        <f>VLOOKUP(J193,'Foundation Calculation'!$E$2:$G$33,3,1)</f>
        <v>PT</v>
      </c>
      <c r="AY193" s="484"/>
      <c r="AZ193" s="484">
        <f>IF(AX193="PT",VLOOKUP(K193,'Foundation Calculation'!$K$2:$R$40,VLOOKUP(AW193,'Foundation Calculation'!$I$2:$J$8,2,FALSE),0),IF(AX193="K",VLOOKUP(K193,'Foundation Calculation'!$K$42:$R$80,VLOOKUP(AW193,'Foundation Calculation'!$I$2:$J$8,2,FALSE),0),""))</f>
        <v>2.8</v>
      </c>
      <c r="BA193" s="671" t="s">
        <v>2809</v>
      </c>
      <c r="BB193" s="1239"/>
      <c r="BC193" s="169"/>
      <c r="BD193" s="1329"/>
      <c r="BE193" s="1330"/>
      <c r="BF193" s="1330"/>
      <c r="BG193" s="1330"/>
    </row>
    <row r="194" spans="1:59" ht="15.75" customHeight="1">
      <c r="A194" s="1239"/>
      <c r="B194" s="435" t="s">
        <v>3035</v>
      </c>
      <c r="C194" s="446">
        <f>+$C$192+$G$193</f>
        <v>89630.85</v>
      </c>
      <c r="D194" s="173"/>
      <c r="E194" s="447"/>
      <c r="F194" s="447">
        <v>1000</v>
      </c>
      <c r="G194" s="484"/>
      <c r="H194" s="1239" t="s">
        <v>873</v>
      </c>
      <c r="I194" s="1239"/>
      <c r="J194" s="171"/>
      <c r="K194" s="638"/>
      <c r="L194" s="638" t="s">
        <v>4664</v>
      </c>
      <c r="M194" s="638" t="str">
        <f>IF(AX194="PT",VLOOKUP(L194,'Foundation Calculation'!$V$2:$X$40,VLOOKUP(AX194,'Foundation Calculation'!$I$10:$J$13,2,FALSE),0),IF(AX194="K",VLOOKUP(L194,'Foundation Calculation'!$V$42:$X$80,VLOOKUP(AX194,'Foundation Calculation'!$I$10:$J$13,2,FALSE),0),""))</f>
        <v>C11R</v>
      </c>
      <c r="N194" s="1239" t="s">
        <v>144</v>
      </c>
      <c r="O194" s="1239"/>
      <c r="P194" s="1239"/>
      <c r="Q194" s="638">
        <v>100</v>
      </c>
      <c r="R194" s="638">
        <v>1000</v>
      </c>
      <c r="S194" s="484"/>
      <c r="T194" s="638">
        <v>30</v>
      </c>
      <c r="U194" s="638"/>
      <c r="V194" s="638"/>
      <c r="W194" s="638">
        <v>1.4</v>
      </c>
      <c r="X194" s="638"/>
      <c r="Y194" s="638"/>
      <c r="Z194" s="638"/>
      <c r="AA194" s="638"/>
      <c r="AB194" s="638"/>
      <c r="AC194" s="638" t="s">
        <v>4090</v>
      </c>
      <c r="AD194" s="638"/>
      <c r="AE194" s="638"/>
      <c r="AF194" s="638">
        <v>6000</v>
      </c>
      <c r="AG194" s="446">
        <v>89630</v>
      </c>
      <c r="AH194" s="638">
        <v>3483</v>
      </c>
      <c r="AI194" s="638">
        <v>930</v>
      </c>
      <c r="AJ194" s="638"/>
      <c r="AK194" s="638"/>
      <c r="AL194" s="638" t="s">
        <v>2143</v>
      </c>
      <c r="AM194" s="638" t="s">
        <v>1042</v>
      </c>
      <c r="AN194" s="455">
        <v>5.5</v>
      </c>
      <c r="AO194" s="1239"/>
      <c r="AP194" s="1239"/>
      <c r="AQ194" s="484"/>
      <c r="AR194" s="484"/>
      <c r="AS194" s="484"/>
      <c r="AT194" s="484">
        <f>+ab($T$194,$T$192,$T$196,$G$193,$G$195, 1*$F$194,1200)</f>
        <v>5.1721928667501498</v>
      </c>
      <c r="AU194" s="638"/>
      <c r="AV194" s="638"/>
      <c r="AW194" s="638" t="str">
        <f>VLOOKUP(C194,'Foundation Calculation'!$A$2:$C$33,3,1)</f>
        <v>Soil B</v>
      </c>
      <c r="AX194" s="638" t="str">
        <f>VLOOKUP(C194,'Foundation Calculation'!$E$2:$G$33,3,1)</f>
        <v>PT</v>
      </c>
      <c r="AY194" s="484">
        <f>IF(AX194="PT",VLOOKUP(L194,'Foundation Calculation'!$K$2:$R$40,VLOOKUP(AW194,'Foundation Calculation'!$I$2:$J$8,2,FALSE),0),IF(AX194="K",VLOOKUP(L194,'Foundation Calculation'!$K$42:$R$80,VLOOKUP(AW194,'Foundation Calculation'!$I$2:$J$8,2,FALSE),0),""))</f>
        <v>4.4000000000000004</v>
      </c>
      <c r="AZ194" s="484"/>
      <c r="BA194" s="671" t="s">
        <v>2809</v>
      </c>
      <c r="BB194" s="1239" t="str">
        <f>Pole_Calculations!A178</f>
        <v>App.8-V08F-P10.3</v>
      </c>
      <c r="BC194" s="169"/>
      <c r="BD194" s="1371"/>
      <c r="BE194" s="1371"/>
      <c r="BF194" s="1371"/>
      <c r="BG194" s="1371"/>
    </row>
    <row r="195" spans="1:59" ht="15.75" customHeight="1">
      <c r="A195" s="1239"/>
      <c r="B195" s="447"/>
      <c r="C195" s="446"/>
      <c r="D195" s="448"/>
      <c r="E195" s="448"/>
      <c r="F195" s="448"/>
      <c r="G195" s="455">
        <v>37</v>
      </c>
      <c r="H195" s="1239"/>
      <c r="I195" s="448">
        <f>C196-C176</f>
        <v>476.30000000000291</v>
      </c>
      <c r="J195" s="171"/>
      <c r="K195" s="638"/>
      <c r="L195" s="1239"/>
      <c r="M195" s="580"/>
      <c r="N195" s="1239"/>
      <c r="O195" s="1239"/>
      <c r="P195" s="1239"/>
      <c r="Q195" s="1239"/>
      <c r="R195" s="1239"/>
      <c r="S195" s="455">
        <f t="shared" ref="S195" si="92">AG196-AG194</f>
        <v>37</v>
      </c>
      <c r="T195" s="1239"/>
      <c r="U195" s="1239"/>
      <c r="V195" s="1239"/>
      <c r="W195" s="1239"/>
      <c r="X195" s="1239"/>
      <c r="Y195" s="1239"/>
      <c r="Z195" s="1239"/>
      <c r="AA195" s="1239"/>
      <c r="AB195" s="1239"/>
      <c r="AC195" s="1239"/>
      <c r="AD195" s="1239"/>
      <c r="AE195" s="1239"/>
      <c r="AF195" s="1239"/>
      <c r="AG195" s="171"/>
      <c r="AH195" s="1239"/>
      <c r="AI195" s="1239"/>
      <c r="AJ195" s="1239"/>
      <c r="AK195" s="1239"/>
      <c r="AL195" s="1239"/>
      <c r="AM195" s="1239"/>
      <c r="AN195" s="455"/>
      <c r="AO195" s="1239"/>
      <c r="AP195" s="1239"/>
      <c r="AQ195" s="484">
        <f>+FL_1($T$196,$T$194,$G$195,1200,9.28, 1*$F$196)</f>
        <v>0.3</v>
      </c>
      <c r="AR195" s="638"/>
      <c r="AS195" s="638"/>
      <c r="AT195" s="484"/>
      <c r="AU195" s="638"/>
      <c r="AV195" s="638"/>
      <c r="AW195" s="638"/>
      <c r="AX195" s="638"/>
      <c r="AY195" s="484"/>
      <c r="AZ195" s="484"/>
      <c r="BA195" s="671"/>
      <c r="BB195" s="1239"/>
      <c r="BC195" s="169"/>
      <c r="BD195" s="1330"/>
      <c r="BE195" s="1330"/>
      <c r="BF195" s="1330"/>
      <c r="BG195" s="1330"/>
    </row>
    <row r="196" spans="1:59" ht="15.75" customHeight="1">
      <c r="A196" s="1239"/>
      <c r="B196" s="435" t="s">
        <v>3036</v>
      </c>
      <c r="C196" s="446">
        <f>+$C$194+$G$195</f>
        <v>89667.85</v>
      </c>
      <c r="D196" s="173"/>
      <c r="E196" s="447"/>
      <c r="F196" s="447">
        <v>1000</v>
      </c>
      <c r="G196" s="484"/>
      <c r="H196" s="1239" t="s">
        <v>874</v>
      </c>
      <c r="I196" s="1239"/>
      <c r="J196" s="171"/>
      <c r="K196" s="638"/>
      <c r="L196" s="638" t="s">
        <v>4664</v>
      </c>
      <c r="M196" s="638" t="str">
        <f>IF(AX196="PT",VLOOKUP(L196,'Foundation Calculation'!$V$2:$X$40,VLOOKUP(AX196,'Foundation Calculation'!$I$10:$J$13,2,FALSE),0),IF(AX196="K",VLOOKUP(L196,'Foundation Calculation'!$V$42:$X$80,VLOOKUP(AX196,'Foundation Calculation'!$I$10:$J$13,2,FALSE),0),""))</f>
        <v>C11R</v>
      </c>
      <c r="N196" s="1239" t="s">
        <v>144</v>
      </c>
      <c r="O196" s="1239"/>
      <c r="P196" s="1239"/>
      <c r="Q196" s="638">
        <v>90</v>
      </c>
      <c r="R196" s="638">
        <v>1000</v>
      </c>
      <c r="S196" s="484"/>
      <c r="T196" s="638">
        <v>30</v>
      </c>
      <c r="U196" s="638"/>
      <c r="V196" s="638"/>
      <c r="W196" s="638">
        <v>1.4</v>
      </c>
      <c r="X196" s="638"/>
      <c r="Y196" s="638"/>
      <c r="Z196" s="638"/>
      <c r="AA196" s="638"/>
      <c r="AB196" s="638"/>
      <c r="AC196" s="638" t="s">
        <v>4090</v>
      </c>
      <c r="AD196" s="638"/>
      <c r="AE196" s="638"/>
      <c r="AF196" s="638">
        <v>6000</v>
      </c>
      <c r="AG196" s="446">
        <v>89667</v>
      </c>
      <c r="AH196" s="638">
        <v>3643</v>
      </c>
      <c r="AI196" s="638">
        <v>1000</v>
      </c>
      <c r="AJ196" s="638"/>
      <c r="AK196" s="638"/>
      <c r="AL196" s="638" t="s">
        <v>2143</v>
      </c>
      <c r="AM196" s="638" t="s">
        <v>1042</v>
      </c>
      <c r="AN196" s="455">
        <v>5.5</v>
      </c>
      <c r="AO196" s="1239"/>
      <c r="AP196" s="1239"/>
      <c r="AQ196" s="484"/>
      <c r="AR196" s="484"/>
      <c r="AS196" s="484"/>
      <c r="AT196" s="484">
        <f>+ab($T$196,$T$194,$T$198,$G$195,$G$197, 1*$F$196,1200)</f>
        <v>5.1721928667501498</v>
      </c>
      <c r="AU196" s="638"/>
      <c r="AV196" s="638"/>
      <c r="AW196" s="638" t="str">
        <f>VLOOKUP(C196,'Foundation Calculation'!$A$2:$C$33,3,1)</f>
        <v>Soil B</v>
      </c>
      <c r="AX196" s="638" t="str">
        <f>VLOOKUP(C196,'Foundation Calculation'!$E$2:$G$33,3,1)</f>
        <v>PT</v>
      </c>
      <c r="AY196" s="484">
        <f>IF(AX196="PT",VLOOKUP(L196,'Foundation Calculation'!$K$2:$R$40,VLOOKUP(AW196,'Foundation Calculation'!$I$2:$J$8,2,FALSE),0),IF(AX196="K",VLOOKUP(L196,'Foundation Calculation'!$K$42:$R$80,VLOOKUP(AW196,'Foundation Calculation'!$I$2:$J$8,2,FALSE),0),""))</f>
        <v>4.4000000000000004</v>
      </c>
      <c r="AZ196" s="484"/>
      <c r="BA196" s="671" t="s">
        <v>2809</v>
      </c>
      <c r="BB196" s="1239" t="str">
        <f>Pole_Calculations!A178</f>
        <v>App.8-V08F-P10.3</v>
      </c>
      <c r="BC196" s="169"/>
      <c r="BD196" s="1371"/>
      <c r="BE196" s="1371"/>
      <c r="BF196" s="1371"/>
      <c r="BG196" s="1371"/>
    </row>
    <row r="197" spans="1:59" ht="15.75" customHeight="1">
      <c r="A197" s="1239"/>
      <c r="B197" s="447"/>
      <c r="C197" s="446"/>
      <c r="D197" s="448"/>
      <c r="E197" s="448"/>
      <c r="F197" s="448"/>
      <c r="G197" s="455">
        <v>37</v>
      </c>
      <c r="H197" s="1239"/>
      <c r="I197" s="448">
        <f>C216-C196</f>
        <v>435</v>
      </c>
      <c r="J197" s="171"/>
      <c r="K197" s="638"/>
      <c r="L197" s="1239"/>
      <c r="M197" s="580"/>
      <c r="N197" s="1239"/>
      <c r="O197" s="1239"/>
      <c r="P197" s="1239"/>
      <c r="Q197" s="1239"/>
      <c r="R197" s="1239"/>
      <c r="S197" s="455">
        <f t="shared" ref="S197" si="93">AG198-AG196</f>
        <v>37</v>
      </c>
      <c r="T197" s="1239"/>
      <c r="U197" s="1239"/>
      <c r="V197" s="1239"/>
      <c r="W197" s="1239"/>
      <c r="X197" s="1239"/>
      <c r="Y197" s="1239"/>
      <c r="Z197" s="1239"/>
      <c r="AA197" s="1239"/>
      <c r="AB197" s="1239"/>
      <c r="AC197" s="1239"/>
      <c r="AD197" s="1239"/>
      <c r="AE197" s="1239"/>
      <c r="AF197" s="1239"/>
      <c r="AG197" s="171"/>
      <c r="AH197" s="1239"/>
      <c r="AI197" s="1239"/>
      <c r="AJ197" s="1239"/>
      <c r="AK197" s="1239"/>
      <c r="AL197" s="1239"/>
      <c r="AM197" s="1239"/>
      <c r="AN197" s="455"/>
      <c r="AO197" s="1239"/>
      <c r="AP197" s="1239"/>
      <c r="AQ197" s="484">
        <f>+FL_1($T$198,$T$196,$G$197,1200,9.28, 1*$F$198)</f>
        <v>0.3</v>
      </c>
      <c r="AR197" s="638"/>
      <c r="AS197" s="638"/>
      <c r="AT197" s="484"/>
      <c r="AU197" s="638"/>
      <c r="AV197" s="638"/>
      <c r="AW197" s="638"/>
      <c r="AX197" s="638"/>
      <c r="AY197" s="484"/>
      <c r="AZ197" s="484"/>
      <c r="BA197" s="671"/>
      <c r="BB197" s="1239"/>
      <c r="BC197" s="169"/>
      <c r="BD197" s="1330"/>
      <c r="BE197" s="1330"/>
      <c r="BF197" s="1330"/>
      <c r="BG197" s="1330"/>
    </row>
    <row r="198" spans="1:59" ht="15.75" customHeight="1">
      <c r="A198" s="1239"/>
      <c r="B198" s="435" t="s">
        <v>3037</v>
      </c>
      <c r="C198" s="446">
        <f>+$C$196+$G$197</f>
        <v>89704.85</v>
      </c>
      <c r="D198" s="173"/>
      <c r="E198" s="447"/>
      <c r="F198" s="447">
        <v>1000</v>
      </c>
      <c r="G198" s="484"/>
      <c r="H198" s="1239" t="s">
        <v>873</v>
      </c>
      <c r="I198" s="1239"/>
      <c r="J198" s="171"/>
      <c r="K198" s="638"/>
      <c r="L198" s="638" t="s">
        <v>4664</v>
      </c>
      <c r="M198" s="638" t="str">
        <f>IF(AX198="PT",VLOOKUP(L198,'Foundation Calculation'!$V$2:$X$40,VLOOKUP(AX198,'Foundation Calculation'!$I$10:$J$13,2,FALSE),0),IF(AX198="K",VLOOKUP(L198,'Foundation Calculation'!$V$42:$X$80,VLOOKUP(AX198,'Foundation Calculation'!$I$10:$J$13,2,FALSE),0),""))</f>
        <v>C11R</v>
      </c>
      <c r="N198" s="1239" t="s">
        <v>144</v>
      </c>
      <c r="O198" s="1239"/>
      <c r="P198" s="1239"/>
      <c r="Q198" s="638">
        <v>120</v>
      </c>
      <c r="R198" s="638">
        <v>1000</v>
      </c>
      <c r="S198" s="484"/>
      <c r="T198" s="638">
        <v>30</v>
      </c>
      <c r="U198" s="638"/>
      <c r="V198" s="638"/>
      <c r="W198" s="638">
        <v>1.4</v>
      </c>
      <c r="X198" s="638"/>
      <c r="Y198" s="638"/>
      <c r="Z198" s="638"/>
      <c r="AA198" s="638"/>
      <c r="AB198" s="638"/>
      <c r="AC198" s="638" t="s">
        <v>4090</v>
      </c>
      <c r="AD198" s="638"/>
      <c r="AE198" s="638"/>
      <c r="AF198" s="638">
        <v>6000</v>
      </c>
      <c r="AG198" s="446">
        <v>89704</v>
      </c>
      <c r="AH198" s="638">
        <v>3763</v>
      </c>
      <c r="AI198" s="638">
        <v>950</v>
      </c>
      <c r="AJ198" s="638"/>
      <c r="AK198" s="638"/>
      <c r="AL198" s="638" t="s">
        <v>2143</v>
      </c>
      <c r="AM198" s="638" t="s">
        <v>1042</v>
      </c>
      <c r="AN198" s="455">
        <v>5.5</v>
      </c>
      <c r="AO198" s="1239"/>
      <c r="AP198" s="1239"/>
      <c r="AQ198" s="484"/>
      <c r="AR198" s="484"/>
      <c r="AS198" s="484"/>
      <c r="AT198" s="484">
        <f>+ab($T$198,$T$196,$T$200,$G$197,$G$199, 1*$F$198,1200)</f>
        <v>5.1721928667501498</v>
      </c>
      <c r="AU198" s="638"/>
      <c r="AV198" s="638"/>
      <c r="AW198" s="638" t="str">
        <f>VLOOKUP(C198,'Foundation Calculation'!$A$2:$C$33,3,1)</f>
        <v>Soil B</v>
      </c>
      <c r="AX198" s="638" t="str">
        <f>VLOOKUP(C198,'Foundation Calculation'!$E$2:$G$33,3,1)</f>
        <v>PT</v>
      </c>
      <c r="AY198" s="484">
        <f>IF(AX198="PT",VLOOKUP(L198,'Foundation Calculation'!$K$2:$R$40,VLOOKUP(AW198,'Foundation Calculation'!$I$2:$J$8,2,FALSE),0),IF(AX198="K",VLOOKUP(L198,'Foundation Calculation'!$K$42:$R$80,VLOOKUP(AW198,'Foundation Calculation'!$I$2:$J$8,2,FALSE),0),""))</f>
        <v>4.4000000000000004</v>
      </c>
      <c r="AZ198" s="484"/>
      <c r="BA198" s="671" t="s">
        <v>2809</v>
      </c>
      <c r="BB198" s="1239" t="str">
        <f>Pole_Calculations!A178</f>
        <v>App.8-V08F-P10.3</v>
      </c>
      <c r="BC198" s="169"/>
      <c r="BD198" s="1371"/>
      <c r="BE198" s="1371"/>
      <c r="BF198" s="1371"/>
      <c r="BG198" s="1371"/>
    </row>
    <row r="199" spans="1:59" ht="15.75" customHeight="1">
      <c r="A199" s="1239"/>
      <c r="B199" s="447"/>
      <c r="C199" s="446"/>
      <c r="D199" s="448"/>
      <c r="E199" s="448"/>
      <c r="F199" s="448"/>
      <c r="G199" s="455">
        <v>37</v>
      </c>
      <c r="H199" s="1239"/>
      <c r="I199" s="448"/>
      <c r="J199" s="171">
        <f>C198+7.5</f>
        <v>89712.35</v>
      </c>
      <c r="K199" s="638" t="s">
        <v>2788</v>
      </c>
      <c r="L199" s="1239"/>
      <c r="M199" s="580"/>
      <c r="N199" s="1239"/>
      <c r="O199" s="1239"/>
      <c r="P199" s="1239"/>
      <c r="Q199" s="1239"/>
      <c r="R199" s="1239"/>
      <c r="S199" s="455">
        <f t="shared" ref="S199" si="94">AG200-AG198</f>
        <v>37</v>
      </c>
      <c r="T199" s="1239"/>
      <c r="U199" s="1239"/>
      <c r="V199" s="1239"/>
      <c r="W199" s="1239"/>
      <c r="X199" s="1239"/>
      <c r="Y199" s="1239"/>
      <c r="Z199" s="1239"/>
      <c r="AA199" s="1239"/>
      <c r="AB199" s="1239"/>
      <c r="AC199" s="1239"/>
      <c r="AD199" s="1239"/>
      <c r="AE199" s="1239"/>
      <c r="AF199" s="1239"/>
      <c r="AG199" s="171"/>
      <c r="AH199" s="1239"/>
      <c r="AI199" s="1239"/>
      <c r="AJ199" s="1239"/>
      <c r="AK199" s="1239"/>
      <c r="AL199" s="1239"/>
      <c r="AM199" s="1239"/>
      <c r="AN199" s="455"/>
      <c r="AO199" s="1239"/>
      <c r="AP199" s="1239"/>
      <c r="AQ199" s="484">
        <f>+FL_1($T$200,$T$198,$G$199,1200,9.28, 1*$F$200)</f>
        <v>0.3</v>
      </c>
      <c r="AR199" s="638"/>
      <c r="AS199" s="638"/>
      <c r="AT199" s="484"/>
      <c r="AU199" s="638"/>
      <c r="AV199" s="638"/>
      <c r="AW199" s="638" t="str">
        <f>VLOOKUP(J199,'Foundation Calculation'!$A$2:$C$33,3,1)</f>
        <v>Soil B</v>
      </c>
      <c r="AX199" s="638" t="str">
        <f>VLOOKUP(J199,'Foundation Calculation'!$E$2:$G$33,3,1)</f>
        <v>PT</v>
      </c>
      <c r="AY199" s="484"/>
      <c r="AZ199" s="484">
        <f>IF(AX199="PT",VLOOKUP(K199,'Foundation Calculation'!$K$2:$R$40,VLOOKUP(AW199,'Foundation Calculation'!$I$2:$J$8,2,FALSE),0),IF(AX199="K",VLOOKUP(K199,'Foundation Calculation'!$K$42:$R$80,VLOOKUP(AW199,'Foundation Calculation'!$I$2:$J$8,2,FALSE),0),""))</f>
        <v>2.8</v>
      </c>
      <c r="BA199" s="671" t="s">
        <v>2809</v>
      </c>
      <c r="BB199" s="1239"/>
      <c r="BC199" s="169"/>
      <c r="BD199" s="1329"/>
      <c r="BE199" s="1330"/>
      <c r="BF199" s="1330"/>
      <c r="BG199" s="1330"/>
    </row>
    <row r="200" spans="1:59" ht="15.75" customHeight="1">
      <c r="A200" s="1239"/>
      <c r="B200" s="435" t="s">
        <v>3038</v>
      </c>
      <c r="C200" s="446">
        <f>+$C$198+$G$199</f>
        <v>89741.85</v>
      </c>
      <c r="D200" s="173"/>
      <c r="E200" s="447"/>
      <c r="F200" s="447">
        <v>1000</v>
      </c>
      <c r="G200" s="484"/>
      <c r="H200" s="1239" t="s">
        <v>619</v>
      </c>
      <c r="I200" s="1239"/>
      <c r="J200" s="171"/>
      <c r="K200" s="638"/>
      <c r="L200" s="638" t="s">
        <v>4664</v>
      </c>
      <c r="M200" s="638" t="str">
        <f>IF(AX200="PT",VLOOKUP(L200,'Foundation Calculation'!$V$2:$X$40,VLOOKUP(AX200,'Foundation Calculation'!$I$10:$J$13,2,FALSE),0),IF(AX200="K",VLOOKUP(L200,'Foundation Calculation'!$V$42:$X$80,VLOOKUP(AX200,'Foundation Calculation'!$I$10:$J$13,2,FALSE),0),""))</f>
        <v>C11R</v>
      </c>
      <c r="N200" s="1239" t="s">
        <v>144</v>
      </c>
      <c r="O200" s="1239" t="s">
        <v>140</v>
      </c>
      <c r="P200" s="1239"/>
      <c r="Q200" s="638">
        <v>100</v>
      </c>
      <c r="R200" s="638">
        <v>1000</v>
      </c>
      <c r="S200" s="484"/>
      <c r="T200" s="638">
        <v>30</v>
      </c>
      <c r="U200" s="638">
        <v>55</v>
      </c>
      <c r="V200" s="638"/>
      <c r="W200" s="638">
        <v>1.8</v>
      </c>
      <c r="X200" s="638">
        <v>1.4</v>
      </c>
      <c r="Y200" s="638"/>
      <c r="Z200" s="638"/>
      <c r="AA200" s="638">
        <v>0.6</v>
      </c>
      <c r="AB200" s="638"/>
      <c r="AC200" s="638" t="s">
        <v>4090</v>
      </c>
      <c r="AD200" s="638"/>
      <c r="AE200" s="638"/>
      <c r="AF200" s="638">
        <v>6000</v>
      </c>
      <c r="AG200" s="446">
        <v>89741</v>
      </c>
      <c r="AH200" s="638">
        <v>3823</v>
      </c>
      <c r="AI200" s="638">
        <v>780</v>
      </c>
      <c r="AJ200" s="638"/>
      <c r="AK200" s="638"/>
      <c r="AL200" s="638" t="s">
        <v>2143</v>
      </c>
      <c r="AM200" s="638" t="s">
        <v>1042</v>
      </c>
      <c r="AN200" s="455">
        <v>5.5</v>
      </c>
      <c r="AO200" s="1239"/>
      <c r="AP200" s="1239"/>
      <c r="AQ200" s="484"/>
      <c r="AR200" s="484"/>
      <c r="AS200" s="484"/>
      <c r="AT200" s="484">
        <f>+ab($T$200,$T$198,$T$202,$G$199,$G$201, 1*$F$200,1200)</f>
        <v>4.9717091773748479</v>
      </c>
      <c r="AU200" s="638"/>
      <c r="AV200" s="638"/>
      <c r="AW200" s="638" t="str">
        <f>VLOOKUP(C200,'Foundation Calculation'!$A$2:$C$33,3,1)</f>
        <v>Soil B</v>
      </c>
      <c r="AX200" s="638" t="str">
        <f>VLOOKUP(C200,'Foundation Calculation'!$E$2:$G$33,3,1)</f>
        <v>PT</v>
      </c>
      <c r="AY200" s="484">
        <f>IF(AX200="PT",VLOOKUP(L200,'Foundation Calculation'!$K$2:$R$40,VLOOKUP(AW200,'Foundation Calculation'!$I$2:$J$8,2,FALSE),0),IF(AX200="K",VLOOKUP(L200,'Foundation Calculation'!$K$42:$R$80,VLOOKUP(AW200,'Foundation Calculation'!$I$2:$J$8,2,FALSE),0),""))</f>
        <v>4.4000000000000004</v>
      </c>
      <c r="AZ200" s="484"/>
      <c r="BA200" s="671" t="s">
        <v>2809</v>
      </c>
      <c r="BB200" s="1239" t="str">
        <f>Pole_Calculations!A178</f>
        <v>App.8-V08F-P10.3</v>
      </c>
      <c r="BC200" s="169"/>
      <c r="BD200" s="1371"/>
      <c r="BE200" s="1371"/>
      <c r="BF200" s="1371"/>
      <c r="BG200" s="1371"/>
    </row>
    <row r="201" spans="1:59" ht="15.75" customHeight="1">
      <c r="A201" s="1239"/>
      <c r="B201" s="447"/>
      <c r="C201" s="446"/>
      <c r="D201" s="448"/>
      <c r="E201" s="448"/>
      <c r="F201" s="448"/>
      <c r="G201" s="455">
        <v>40</v>
      </c>
      <c r="H201" s="1239"/>
      <c r="I201" s="448"/>
      <c r="J201" s="171"/>
      <c r="K201" s="638"/>
      <c r="L201" s="1239"/>
      <c r="M201" s="580"/>
      <c r="N201" s="1239"/>
      <c r="O201" s="1239"/>
      <c r="P201" s="1239"/>
      <c r="Q201" s="1239"/>
      <c r="R201" s="1239"/>
      <c r="S201" s="455">
        <f t="shared" ref="S201" si="95">AG202-AG200</f>
        <v>40</v>
      </c>
      <c r="T201" s="1239"/>
      <c r="U201" s="1239"/>
      <c r="V201" s="1239"/>
      <c r="W201" s="1239"/>
      <c r="X201" s="1239"/>
      <c r="Y201" s="1239"/>
      <c r="Z201" s="1239"/>
      <c r="AA201" s="1239"/>
      <c r="AB201" s="1239"/>
      <c r="AC201" s="1239"/>
      <c r="AD201" s="1239"/>
      <c r="AE201" s="1239"/>
      <c r="AF201" s="1239"/>
      <c r="AG201" s="171"/>
      <c r="AH201" s="1239"/>
      <c r="AI201" s="1239"/>
      <c r="AJ201" s="1239"/>
      <c r="AK201" s="1239"/>
      <c r="AL201" s="1239"/>
      <c r="AM201" s="1239"/>
      <c r="AN201" s="455"/>
      <c r="AO201" s="1239"/>
      <c r="AP201" s="1239"/>
      <c r="AQ201" s="484">
        <f>+FL_1($T$202,$T$200,$G$201,1200,9.28, 1*$F$202)</f>
        <v>0.3</v>
      </c>
      <c r="AR201" s="638"/>
      <c r="AS201" s="638"/>
      <c r="AT201" s="484"/>
      <c r="AU201" s="638"/>
      <c r="AV201" s="638"/>
      <c r="AW201" s="638"/>
      <c r="AX201" s="638"/>
      <c r="AY201" s="484"/>
      <c r="AZ201" s="484"/>
      <c r="BA201" s="671"/>
      <c r="BB201" s="1239"/>
      <c r="BC201" s="169"/>
      <c r="BD201" s="1330"/>
      <c r="BE201" s="1330"/>
      <c r="BF201" s="1330"/>
      <c r="BG201" s="1330"/>
    </row>
    <row r="202" spans="1:59" ht="15.75" customHeight="1">
      <c r="A202" s="1239"/>
      <c r="B202" s="435" t="s">
        <v>3039</v>
      </c>
      <c r="C202" s="446">
        <f>+$C$200+$G$201</f>
        <v>89781.85</v>
      </c>
      <c r="D202" s="173"/>
      <c r="E202" s="447"/>
      <c r="F202" s="447">
        <v>1000</v>
      </c>
      <c r="G202" s="484"/>
      <c r="H202" s="1239" t="s">
        <v>138</v>
      </c>
      <c r="I202" s="1239" t="s">
        <v>623</v>
      </c>
      <c r="J202" s="171"/>
      <c r="K202" s="638"/>
      <c r="L202" s="638" t="s">
        <v>4664</v>
      </c>
      <c r="M202" s="638" t="str">
        <f>IF(AX202="PT",VLOOKUP(L202,'Foundation Calculation'!$V$2:$X$40,VLOOKUP(AX202,'Foundation Calculation'!$I$10:$J$13,2,FALSE),0),IF(AX202="K",VLOOKUP(L202,'Foundation Calculation'!$V$42:$X$80,VLOOKUP(AX202,'Foundation Calculation'!$I$10:$J$13,2,FALSE),0),""))</f>
        <v>C11R</v>
      </c>
      <c r="N202" s="1239" t="s">
        <v>144</v>
      </c>
      <c r="O202" s="1239"/>
      <c r="P202" s="1239"/>
      <c r="Q202" s="638">
        <v>110</v>
      </c>
      <c r="R202" s="638">
        <v>1000</v>
      </c>
      <c r="S202" s="484"/>
      <c r="T202" s="638">
        <v>30</v>
      </c>
      <c r="U202" s="638"/>
      <c r="V202" s="638"/>
      <c r="W202" s="638">
        <v>1.4</v>
      </c>
      <c r="X202" s="638"/>
      <c r="Y202" s="638"/>
      <c r="Z202" s="638"/>
      <c r="AA202" s="638"/>
      <c r="AB202" s="638"/>
      <c r="AC202" s="638" t="s">
        <v>4090</v>
      </c>
      <c r="AD202" s="638"/>
      <c r="AE202" s="638"/>
      <c r="AF202" s="638">
        <v>6000</v>
      </c>
      <c r="AG202" s="446">
        <v>89781</v>
      </c>
      <c r="AH202" s="638">
        <v>4053</v>
      </c>
      <c r="AI202" s="638">
        <v>900</v>
      </c>
      <c r="AJ202" s="638"/>
      <c r="AK202" s="638"/>
      <c r="AL202" s="638" t="s">
        <v>2143</v>
      </c>
      <c r="AM202" s="638" t="s">
        <v>1042</v>
      </c>
      <c r="AN202" s="455">
        <v>5.5</v>
      </c>
      <c r="AO202" s="1239"/>
      <c r="AP202" s="1239"/>
      <c r="AQ202" s="484"/>
      <c r="AR202" s="484"/>
      <c r="AS202" s="484"/>
      <c r="AT202" s="484">
        <f>+ab($T$202,$T$200,$T$204,$G$201,$G$203, 1*$F$202,1200)</f>
        <v>4.5592256064100436</v>
      </c>
      <c r="AU202" s="638"/>
      <c r="AV202" s="638"/>
      <c r="AW202" s="638" t="str">
        <f>VLOOKUP(C202,'Foundation Calculation'!$A$2:$C$33,3,1)</f>
        <v>Soil B</v>
      </c>
      <c r="AX202" s="638" t="str">
        <f>VLOOKUP(C202,'Foundation Calculation'!$E$2:$G$33,3,1)</f>
        <v>PT</v>
      </c>
      <c r="AY202" s="484">
        <f>IF(AX202="PT",VLOOKUP(L202,'Foundation Calculation'!$K$2:$R$40,VLOOKUP(AW202,'Foundation Calculation'!$I$2:$J$8,2,FALSE),0),IF(AX202="K",VLOOKUP(L202,'Foundation Calculation'!$K$42:$R$80,VLOOKUP(AW202,'Foundation Calculation'!$I$2:$J$8,2,FALSE),0),""))</f>
        <v>4.4000000000000004</v>
      </c>
      <c r="AZ202" s="484"/>
      <c r="BA202" s="671" t="s">
        <v>2809</v>
      </c>
      <c r="BB202" s="1239" t="str">
        <f>Pole_Calculations!A178</f>
        <v>App.8-V08F-P10.3</v>
      </c>
      <c r="BC202" s="169"/>
      <c r="BD202" s="1371"/>
      <c r="BE202" s="1371"/>
      <c r="BF202" s="1371"/>
      <c r="BG202" s="1371"/>
    </row>
    <row r="203" spans="1:59" ht="15.75" customHeight="1">
      <c r="A203" s="1239"/>
      <c r="B203" s="447"/>
      <c r="C203" s="446"/>
      <c r="D203" s="448"/>
      <c r="E203" s="448"/>
      <c r="F203" s="448"/>
      <c r="G203" s="455">
        <v>44</v>
      </c>
      <c r="H203" s="1239"/>
      <c r="I203" s="448"/>
      <c r="J203" s="171">
        <f>C202+7.5</f>
        <v>89789.35</v>
      </c>
      <c r="K203" s="638" t="s">
        <v>2787</v>
      </c>
      <c r="L203" s="1239"/>
      <c r="M203" s="580"/>
      <c r="N203" s="1239"/>
      <c r="O203" s="1239"/>
      <c r="P203" s="1239"/>
      <c r="Q203" s="1239"/>
      <c r="R203" s="1239"/>
      <c r="S203" s="455">
        <f t="shared" ref="S203" si="96">AG204-AG202</f>
        <v>44</v>
      </c>
      <c r="T203" s="1239"/>
      <c r="U203" s="1239"/>
      <c r="V203" s="1239"/>
      <c r="W203" s="1239"/>
      <c r="X203" s="1239"/>
      <c r="Y203" s="1239"/>
      <c r="Z203" s="1239"/>
      <c r="AA203" s="1239"/>
      <c r="AB203" s="1239"/>
      <c r="AC203" s="1239"/>
      <c r="AD203" s="1239"/>
      <c r="AE203" s="1239"/>
      <c r="AF203" s="1239"/>
      <c r="AG203" s="171"/>
      <c r="AH203" s="1239"/>
      <c r="AI203" s="1239"/>
      <c r="AJ203" s="1239"/>
      <c r="AK203" s="1239"/>
      <c r="AL203" s="1239"/>
      <c r="AM203" s="1239"/>
      <c r="AN203" s="455"/>
      <c r="AO203" s="1239"/>
      <c r="AP203" s="1239"/>
      <c r="AQ203" s="484">
        <f>+FL_1($T$204,$T$202,$G$203,1200,9.28, 1*$F$204)</f>
        <v>0.30004987797584048</v>
      </c>
      <c r="AR203" s="638"/>
      <c r="AS203" s="638"/>
      <c r="AT203" s="484"/>
      <c r="AU203" s="638"/>
      <c r="AV203" s="638"/>
      <c r="AW203" s="638" t="str">
        <f>VLOOKUP(J203,'Foundation Calculation'!$A$2:$C$33,3,1)</f>
        <v>Soil B</v>
      </c>
      <c r="AX203" s="638" t="str">
        <f>VLOOKUP(J203,'Foundation Calculation'!$E$2:$G$33,3,1)</f>
        <v>PT</v>
      </c>
      <c r="AY203" s="484"/>
      <c r="AZ203" s="484">
        <f>IF(AX203="PT",VLOOKUP(K203,'Foundation Calculation'!$K$2:$R$40,VLOOKUP(AW203,'Foundation Calculation'!$I$2:$J$8,2,FALSE),0),IF(AX203="K",VLOOKUP(K203,'Foundation Calculation'!$K$42:$R$80,VLOOKUP(AW203,'Foundation Calculation'!$I$2:$J$8,2,FALSE),0),""))</f>
        <v>3.9</v>
      </c>
      <c r="BA203" s="671" t="s">
        <v>2809</v>
      </c>
      <c r="BB203" s="1239"/>
      <c r="BC203" s="169"/>
      <c r="BD203" s="1329"/>
      <c r="BE203" s="1330"/>
      <c r="BF203" s="1330"/>
      <c r="BG203" s="1330"/>
    </row>
    <row r="204" spans="1:59" ht="15.75" customHeight="1">
      <c r="A204" s="1239"/>
      <c r="B204" s="435" t="s">
        <v>3040</v>
      </c>
      <c r="C204" s="446">
        <f>+$C$202+$G$203</f>
        <v>89825.85</v>
      </c>
      <c r="D204" s="173"/>
      <c r="E204" s="447"/>
      <c r="F204" s="447">
        <v>1000</v>
      </c>
      <c r="G204" s="484"/>
      <c r="H204" s="1239"/>
      <c r="I204" s="1239"/>
      <c r="J204" s="171"/>
      <c r="K204" s="638"/>
      <c r="L204" s="638" t="s">
        <v>4664</v>
      </c>
      <c r="M204" s="638" t="str">
        <f>IF(AX204="PT",VLOOKUP(L204,'Foundation Calculation'!$V$2:$X$40,VLOOKUP(AX204,'Foundation Calculation'!$I$10:$J$13,2,FALSE),0),IF(AX204="K",VLOOKUP(L204,'Foundation Calculation'!$V$42:$X$80,VLOOKUP(AX204,'Foundation Calculation'!$I$10:$J$13,2,FALSE),0),""))</f>
        <v>C11R</v>
      </c>
      <c r="N204" s="1239" t="s">
        <v>144</v>
      </c>
      <c r="O204" s="1239"/>
      <c r="P204" s="1239"/>
      <c r="Q204" s="638">
        <v>110</v>
      </c>
      <c r="R204" s="638">
        <v>1000</v>
      </c>
      <c r="S204" s="484"/>
      <c r="T204" s="638">
        <v>30</v>
      </c>
      <c r="U204" s="638"/>
      <c r="V204" s="638"/>
      <c r="W204" s="638">
        <v>1.4</v>
      </c>
      <c r="X204" s="638"/>
      <c r="Y204" s="638"/>
      <c r="Z204" s="638"/>
      <c r="AA204" s="638"/>
      <c r="AB204" s="638"/>
      <c r="AC204" s="638" t="s">
        <v>4090</v>
      </c>
      <c r="AD204" s="638"/>
      <c r="AE204" s="638"/>
      <c r="AF204" s="638">
        <v>6000</v>
      </c>
      <c r="AG204" s="446">
        <v>89825</v>
      </c>
      <c r="AH204" s="638">
        <v>3243</v>
      </c>
      <c r="AI204" s="638">
        <v>780</v>
      </c>
      <c r="AJ204" s="638"/>
      <c r="AK204" s="638"/>
      <c r="AL204" s="638" t="s">
        <v>2143</v>
      </c>
      <c r="AM204" s="638" t="s">
        <v>1042</v>
      </c>
      <c r="AN204" s="455">
        <v>5.5</v>
      </c>
      <c r="AO204" s="1239"/>
      <c r="AP204" s="1239"/>
      <c r="AQ204" s="484"/>
      <c r="AR204" s="484"/>
      <c r="AS204" s="484"/>
      <c r="AT204" s="484">
        <f>+ab($T$204,$T$202,$T$206,$G$203,$G$205, 1*$F$204,1200)</f>
        <v>4.3528033927147272</v>
      </c>
      <c r="AU204" s="638"/>
      <c r="AV204" s="638"/>
      <c r="AW204" s="638" t="str">
        <f>VLOOKUP(C204,'Foundation Calculation'!$A$2:$C$33,3,1)</f>
        <v>Soil B</v>
      </c>
      <c r="AX204" s="638" t="str">
        <f>VLOOKUP(C204,'Foundation Calculation'!$E$2:$G$33,3,1)</f>
        <v>PT</v>
      </c>
      <c r="AY204" s="484">
        <f>IF(AX204="PT",VLOOKUP(L204,'Foundation Calculation'!$K$2:$R$40,VLOOKUP(AW204,'Foundation Calculation'!$I$2:$J$8,2,FALSE),0),IF(AX204="K",VLOOKUP(L204,'Foundation Calculation'!$K$42:$R$80,VLOOKUP(AW204,'Foundation Calculation'!$I$2:$J$8,2,FALSE),0),""))</f>
        <v>4.4000000000000004</v>
      </c>
      <c r="AZ204" s="484"/>
      <c r="BA204" s="671" t="s">
        <v>2809</v>
      </c>
      <c r="BB204" s="1239" t="str">
        <f>Pole_Calculations!A178</f>
        <v>App.8-V08F-P10.3</v>
      </c>
      <c r="BC204" s="169"/>
      <c r="BD204" s="1371"/>
      <c r="BE204" s="1371"/>
      <c r="BF204" s="1371"/>
      <c r="BG204" s="1371"/>
    </row>
    <row r="205" spans="1:59" ht="15.75" customHeight="1">
      <c r="A205" s="1239"/>
      <c r="B205" s="447"/>
      <c r="C205" s="446"/>
      <c r="D205" s="448"/>
      <c r="E205" s="448"/>
      <c r="F205" s="448"/>
      <c r="G205" s="455">
        <v>44</v>
      </c>
      <c r="H205" s="1239"/>
      <c r="I205" s="448"/>
      <c r="J205" s="171"/>
      <c r="K205" s="638"/>
      <c r="L205" s="1239"/>
      <c r="M205" s="580"/>
      <c r="N205" s="1239"/>
      <c r="O205" s="1239"/>
      <c r="P205" s="1239"/>
      <c r="Q205" s="1239"/>
      <c r="R205" s="1239"/>
      <c r="S205" s="455">
        <f t="shared" ref="S205" si="97">AG206-AG204</f>
        <v>44</v>
      </c>
      <c r="T205" s="1239"/>
      <c r="U205" s="1239"/>
      <c r="V205" s="1239"/>
      <c r="W205" s="1239"/>
      <c r="X205" s="1239"/>
      <c r="Y205" s="1239"/>
      <c r="Z205" s="1239"/>
      <c r="AA205" s="1239"/>
      <c r="AB205" s="1239"/>
      <c r="AC205" s="1239"/>
      <c r="AD205" s="1239"/>
      <c r="AE205" s="1239"/>
      <c r="AF205" s="1239"/>
      <c r="AG205" s="171"/>
      <c r="AH205" s="1239"/>
      <c r="AI205" s="1239"/>
      <c r="AJ205" s="1239"/>
      <c r="AK205" s="1239"/>
      <c r="AL205" s="1239"/>
      <c r="AM205" s="1239"/>
      <c r="AN205" s="455"/>
      <c r="AO205" s="1239"/>
      <c r="AP205" s="1239"/>
      <c r="AQ205" s="484">
        <f>+FL_1($T$206,$T$204,$G$205,1200,9.28, 1*$F$206)</f>
        <v>0.30004987797584048</v>
      </c>
      <c r="AR205" s="638"/>
      <c r="AS205" s="638"/>
      <c r="AT205" s="484"/>
      <c r="AU205" s="638"/>
      <c r="AV205" s="638"/>
      <c r="AW205" s="638"/>
      <c r="AX205" s="638"/>
      <c r="AY205" s="484"/>
      <c r="AZ205" s="484"/>
      <c r="BA205" s="671"/>
      <c r="BB205" s="1239"/>
      <c r="BC205" s="169"/>
      <c r="BD205" s="1330"/>
      <c r="BE205" s="1330"/>
      <c r="BF205" s="1330"/>
      <c r="BG205" s="1330"/>
    </row>
    <row r="206" spans="1:59" ht="15.75" customHeight="1">
      <c r="A206" s="1239"/>
      <c r="B206" s="435" t="s">
        <v>3041</v>
      </c>
      <c r="C206" s="446">
        <f>+$C$204+$G$205</f>
        <v>89869.85</v>
      </c>
      <c r="D206" s="173"/>
      <c r="E206" s="447"/>
      <c r="F206" s="447">
        <v>1000</v>
      </c>
      <c r="G206" s="484"/>
      <c r="H206" s="1239"/>
      <c r="I206" s="1239"/>
      <c r="J206" s="171"/>
      <c r="K206" s="638"/>
      <c r="L206" s="638" t="s">
        <v>4664</v>
      </c>
      <c r="M206" s="638" t="str">
        <f>IF(AX206="PT",VLOOKUP(L206,'Foundation Calculation'!$V$2:$X$40,VLOOKUP(AX206,'Foundation Calculation'!$I$10:$J$13,2,FALSE),0),IF(AX206="K",VLOOKUP(L206,'Foundation Calculation'!$V$42:$X$80,VLOOKUP(AX206,'Foundation Calculation'!$I$10:$J$13,2,FALSE),0),""))</f>
        <v>C11R</v>
      </c>
      <c r="N206" s="1239" t="s">
        <v>144</v>
      </c>
      <c r="O206" s="1239"/>
      <c r="P206" s="1239"/>
      <c r="Q206" s="638">
        <v>110</v>
      </c>
      <c r="R206" s="638">
        <v>1000</v>
      </c>
      <c r="S206" s="484"/>
      <c r="T206" s="638">
        <v>30</v>
      </c>
      <c r="U206" s="638"/>
      <c r="V206" s="638"/>
      <c r="W206" s="638">
        <v>1.4</v>
      </c>
      <c r="X206" s="638"/>
      <c r="Y206" s="638"/>
      <c r="Z206" s="638"/>
      <c r="AA206" s="638"/>
      <c r="AB206" s="638"/>
      <c r="AC206" s="638" t="s">
        <v>4090</v>
      </c>
      <c r="AD206" s="638"/>
      <c r="AE206" s="638"/>
      <c r="AF206" s="638">
        <v>6000</v>
      </c>
      <c r="AG206" s="446">
        <v>89869</v>
      </c>
      <c r="AH206" s="638">
        <v>3533</v>
      </c>
      <c r="AI206" s="638">
        <v>710</v>
      </c>
      <c r="AJ206" s="638"/>
      <c r="AK206" s="638"/>
      <c r="AL206" s="638" t="s">
        <v>2143</v>
      </c>
      <c r="AM206" s="638" t="s">
        <v>1042</v>
      </c>
      <c r="AN206" s="455">
        <v>5.5</v>
      </c>
      <c r="AO206" s="1239"/>
      <c r="AP206" s="1239"/>
      <c r="AQ206" s="484"/>
      <c r="AR206" s="484"/>
      <c r="AS206" s="484"/>
      <c r="AT206" s="484">
        <f>+ab($T$206,$T$204,$T$208,$G$205,$G$207, 1*$F$206,1200)</f>
        <v>4.3528033927147272</v>
      </c>
      <c r="AU206" s="638"/>
      <c r="AV206" s="638"/>
      <c r="AW206" s="638" t="str">
        <f>VLOOKUP(C206,'Foundation Calculation'!$A$2:$C$33,3,1)</f>
        <v>Soil B</v>
      </c>
      <c r="AX206" s="638" t="str">
        <f>VLOOKUP(C206,'Foundation Calculation'!$E$2:$G$33,3,1)</f>
        <v>PT</v>
      </c>
      <c r="AY206" s="484">
        <f>IF(AX206="PT",VLOOKUP(L206,'Foundation Calculation'!$K$2:$R$40,VLOOKUP(AW206,'Foundation Calculation'!$I$2:$J$8,2,FALSE),0),IF(AX206="K",VLOOKUP(L206,'Foundation Calculation'!$K$42:$R$80,VLOOKUP(AW206,'Foundation Calculation'!$I$2:$J$8,2,FALSE),0),""))</f>
        <v>4.4000000000000004</v>
      </c>
      <c r="AZ206" s="484"/>
      <c r="BA206" s="671" t="s">
        <v>2809</v>
      </c>
      <c r="BB206" s="1239" t="str">
        <f>Pole_Calculations!A178</f>
        <v>App.8-V08F-P10.3</v>
      </c>
      <c r="BC206" s="169"/>
      <c r="BD206" s="1371"/>
      <c r="BE206" s="1371"/>
      <c r="BF206" s="1371"/>
      <c r="BG206" s="1371"/>
    </row>
    <row r="207" spans="1:59" ht="15.75" customHeight="1">
      <c r="A207" s="1239"/>
      <c r="B207" s="582"/>
      <c r="C207" s="446"/>
      <c r="D207" s="448"/>
      <c r="E207" s="448"/>
      <c r="F207" s="448"/>
      <c r="G207" s="455">
        <v>44</v>
      </c>
      <c r="H207" s="1239"/>
      <c r="I207" s="448"/>
      <c r="J207" s="171">
        <f>C208-7.5</f>
        <v>89906.35</v>
      </c>
      <c r="K207" s="638" t="s">
        <v>2787</v>
      </c>
      <c r="L207" s="1239"/>
      <c r="M207" s="580"/>
      <c r="N207" s="1239"/>
      <c r="O207" s="1239"/>
      <c r="P207" s="1239"/>
      <c r="Q207" s="1239"/>
      <c r="R207" s="1239"/>
      <c r="S207" s="455">
        <f t="shared" ref="S207" si="98">AG208-AG206</f>
        <v>44</v>
      </c>
      <c r="T207" s="1239"/>
      <c r="U207" s="1239"/>
      <c r="V207" s="1239"/>
      <c r="W207" s="1239"/>
      <c r="X207" s="1239"/>
      <c r="Y207" s="1239"/>
      <c r="Z207" s="1239"/>
      <c r="AA207" s="1239"/>
      <c r="AB207" s="1239"/>
      <c r="AC207" s="1239"/>
      <c r="AD207" s="1239"/>
      <c r="AE207" s="1239"/>
      <c r="AF207" s="1239"/>
      <c r="AG207" s="171"/>
      <c r="AH207" s="1239"/>
      <c r="AI207" s="1239"/>
      <c r="AJ207" s="1239"/>
      <c r="AK207" s="1239"/>
      <c r="AL207" s="1239"/>
      <c r="AM207" s="1239"/>
      <c r="AN207" s="455"/>
      <c r="AO207" s="1239"/>
      <c r="AP207" s="1239"/>
      <c r="AQ207" s="484">
        <f>+FL_1($T$208,$T$206,$G$207,1200,9.28, 1*$F$208)</f>
        <v>0.30004987797584048</v>
      </c>
      <c r="AR207" s="638"/>
      <c r="AS207" s="638"/>
      <c r="AT207" s="484"/>
      <c r="AU207" s="638"/>
      <c r="AV207" s="638"/>
      <c r="AW207" s="638" t="str">
        <f>VLOOKUP(J207,'Foundation Calculation'!$A$2:$C$33,3,1)</f>
        <v>Soil B</v>
      </c>
      <c r="AX207" s="572" t="str">
        <f>VLOOKUP(J207,'Foundation Calculation'!$E$2:$G$33,3,1)</f>
        <v>PT</v>
      </c>
      <c r="AY207" s="484"/>
      <c r="AZ207" s="484">
        <f>IF(AX207="PT",VLOOKUP(K207,'Foundation Calculation'!$K$2:$R$40,VLOOKUP(AW207,'Foundation Calculation'!$I$2:$J$8,2,FALSE),0),IF(AX207="K",VLOOKUP(K207,'Foundation Calculation'!$K$42:$R$80,VLOOKUP(AW207,'Foundation Calculation'!$I$2:$J$8,2,FALSE),0),""))</f>
        <v>3.9</v>
      </c>
      <c r="BA207" s="671" t="s">
        <v>2809</v>
      </c>
      <c r="BB207" s="1239"/>
      <c r="BC207" s="169"/>
      <c r="BD207" s="1329"/>
      <c r="BE207" s="1330"/>
      <c r="BF207" s="1330"/>
      <c r="BG207" s="1330"/>
    </row>
    <row r="208" spans="1:59" ht="15.75" customHeight="1">
      <c r="A208" s="1239"/>
      <c r="B208" s="435" t="s">
        <v>2895</v>
      </c>
      <c r="C208" s="446">
        <v>89913.85</v>
      </c>
      <c r="D208" s="173"/>
      <c r="E208" s="447"/>
      <c r="F208" s="447">
        <v>1000</v>
      </c>
      <c r="G208" s="484"/>
      <c r="H208" s="1239" t="s">
        <v>138</v>
      </c>
      <c r="I208" s="1239" t="s">
        <v>623</v>
      </c>
      <c r="J208" s="171"/>
      <c r="K208" s="638"/>
      <c r="L208" s="638" t="s">
        <v>4664</v>
      </c>
      <c r="M208" s="638" t="str">
        <f>IF(AX208="PT",VLOOKUP(L208,'Foundation Calculation'!$V$2:$X$40,VLOOKUP(AX208,'Foundation Calculation'!$I$10:$J$13,2,FALSE),0),IF(AX208="K",VLOOKUP(L208,'Foundation Calculation'!$V$42:$X$80,VLOOKUP(AX208,'Foundation Calculation'!$I$10:$J$13,2,FALSE),0),""))</f>
        <v>C11R</v>
      </c>
      <c r="N208" s="1239" t="s">
        <v>144</v>
      </c>
      <c r="O208" s="1239"/>
      <c r="P208" s="1239"/>
      <c r="Q208" s="638">
        <v>120</v>
      </c>
      <c r="R208" s="638">
        <v>1000</v>
      </c>
      <c r="S208" s="484"/>
      <c r="T208" s="638">
        <v>30</v>
      </c>
      <c r="U208" s="638"/>
      <c r="V208" s="638"/>
      <c r="W208" s="638">
        <v>1.4</v>
      </c>
      <c r="X208" s="638"/>
      <c r="Y208" s="638"/>
      <c r="Z208" s="638"/>
      <c r="AA208" s="638"/>
      <c r="AB208" s="638"/>
      <c r="AC208" s="638" t="s">
        <v>4090</v>
      </c>
      <c r="AD208" s="638"/>
      <c r="AE208" s="638"/>
      <c r="AF208" s="638">
        <v>6000</v>
      </c>
      <c r="AG208" s="446">
        <v>89913</v>
      </c>
      <c r="AH208" s="638">
        <v>3673</v>
      </c>
      <c r="AI208" s="638">
        <v>770</v>
      </c>
      <c r="AJ208" s="638"/>
      <c r="AK208" s="638"/>
      <c r="AL208" s="638" t="s">
        <v>2143</v>
      </c>
      <c r="AM208" s="638" t="s">
        <v>1042</v>
      </c>
      <c r="AN208" s="455">
        <v>5.5</v>
      </c>
      <c r="AO208" s="1239"/>
      <c r="AP208" s="1239"/>
      <c r="AQ208" s="484"/>
      <c r="AR208" s="484"/>
      <c r="AS208" s="484"/>
      <c r="AT208" s="484">
        <f>+ab($T$208,$T$206,$U$210,$G$207,$G$209, 1*$F$208,1200)</f>
        <v>4.3528033927147272</v>
      </c>
      <c r="AU208" s="638"/>
      <c r="AV208" s="638"/>
      <c r="AW208" s="638" t="str">
        <f>VLOOKUP(C208,'Foundation Calculation'!$A$2:$C$33,3,1)</f>
        <v>Soil B</v>
      </c>
      <c r="AX208" s="638" t="str">
        <f>VLOOKUP(C208,'Foundation Calculation'!$E$2:$G$33,3,1)</f>
        <v>PT</v>
      </c>
      <c r="AY208" s="484">
        <f>IF(AX208="PT",VLOOKUP(L208,'Foundation Calculation'!$K$2:$R$40,VLOOKUP(AW208,'Foundation Calculation'!$I$2:$J$8,2,FALSE),0),IF(AX208="K",VLOOKUP(L208,'Foundation Calculation'!$K$42:$R$80,VLOOKUP(AW208,'Foundation Calculation'!$I$2:$J$8,2,FALSE),0),""))</f>
        <v>4.4000000000000004</v>
      </c>
      <c r="AZ208" s="484"/>
      <c r="BA208" s="671" t="s">
        <v>2809</v>
      </c>
      <c r="BB208" s="1239" t="str">
        <f>Pole_Calculations!A178</f>
        <v>App.8-V08F-P10.3</v>
      </c>
      <c r="BC208" s="169"/>
      <c r="BD208" s="1371"/>
      <c r="BE208" s="1371"/>
      <c r="BF208" s="1371"/>
      <c r="BG208" s="1371"/>
    </row>
    <row r="209" spans="1:59" ht="15.75" customHeight="1">
      <c r="A209" s="1239"/>
      <c r="B209" s="1239"/>
      <c r="C209" s="171"/>
      <c r="D209" s="1239"/>
      <c r="E209" s="1239"/>
      <c r="F209" s="1239"/>
      <c r="G209" s="455">
        <v>44</v>
      </c>
      <c r="H209" s="1239"/>
      <c r="I209" s="448"/>
      <c r="J209" s="171">
        <f>C210-7.5</f>
        <v>89950.35</v>
      </c>
      <c r="K209" s="638" t="s">
        <v>2787</v>
      </c>
      <c r="L209" s="1239"/>
      <c r="M209" s="580"/>
      <c r="N209" s="1239"/>
      <c r="O209" s="1239"/>
      <c r="P209" s="1239"/>
      <c r="Q209" s="1239"/>
      <c r="R209" s="1239"/>
      <c r="S209" s="455">
        <f t="shared" ref="S209" si="99">AG210-AG208</f>
        <v>44</v>
      </c>
      <c r="T209" s="1239"/>
      <c r="U209" s="1239"/>
      <c r="V209" s="1239"/>
      <c r="W209" s="1239"/>
      <c r="X209" s="1239"/>
      <c r="Y209" s="1239"/>
      <c r="Z209" s="1239"/>
      <c r="AA209" s="1239"/>
      <c r="AB209" s="1239"/>
      <c r="AC209" s="1239"/>
      <c r="AD209" s="1239"/>
      <c r="AE209" s="1239"/>
      <c r="AF209" s="1239"/>
      <c r="AG209" s="171"/>
      <c r="AH209" s="1239"/>
      <c r="AI209" s="1239"/>
      <c r="AJ209" s="1239"/>
      <c r="AK209" s="1239"/>
      <c r="AL209" s="1239"/>
      <c r="AM209" s="1239"/>
      <c r="AN209" s="484"/>
      <c r="AO209" s="638"/>
      <c r="AP209" s="638"/>
      <c r="AQ209" s="484">
        <f>+FL_1($U$210,$T$208,$G$209,1200,9.28, 1*$F$210)</f>
        <v>0.30004987797584048</v>
      </c>
      <c r="AR209" s="638"/>
      <c r="AS209" s="638"/>
      <c r="AT209" s="484"/>
      <c r="AU209" s="638"/>
      <c r="AV209" s="638"/>
      <c r="AW209" s="638" t="str">
        <f>VLOOKUP(J209,'Foundation Calculation'!$A$2:$C$33,3,1)</f>
        <v>Soil B</v>
      </c>
      <c r="AX209" s="572" t="str">
        <f>VLOOKUP(J209,'Foundation Calculation'!$E$2:$G$33,3,1)</f>
        <v>PT</v>
      </c>
      <c r="AY209" s="484"/>
      <c r="AZ209" s="484">
        <f>IF(AX209="PT",VLOOKUP(K209,'Foundation Calculation'!$K$2:$R$40,VLOOKUP(AW209,'Foundation Calculation'!$I$2:$J$8,2,FALSE),0),IF(AX209="K",VLOOKUP(K209,'Foundation Calculation'!$K$42:$R$80,VLOOKUP(AW209,'Foundation Calculation'!$I$2:$J$8,2,FALSE),0),""))</f>
        <v>3.9</v>
      </c>
      <c r="BA209" s="671" t="s">
        <v>2809</v>
      </c>
      <c r="BB209" s="1239"/>
      <c r="BC209" s="169"/>
      <c r="BD209" s="1329"/>
      <c r="BE209" s="1330"/>
      <c r="BF209" s="1330"/>
      <c r="BG209" s="1330"/>
    </row>
    <row r="210" spans="1:59" ht="15.75" customHeight="1">
      <c r="A210" s="1239"/>
      <c r="B210" s="435" t="s">
        <v>2894</v>
      </c>
      <c r="C210" s="446">
        <f>C208+G209</f>
        <v>89957.85</v>
      </c>
      <c r="D210" s="173"/>
      <c r="E210" s="447"/>
      <c r="F210" s="447">
        <v>1000</v>
      </c>
      <c r="G210" s="484"/>
      <c r="H210" s="1239" t="s">
        <v>2128</v>
      </c>
      <c r="I210" s="1239" t="s">
        <v>623</v>
      </c>
      <c r="J210" s="171"/>
      <c r="K210" s="638"/>
      <c r="L210" s="638" t="s">
        <v>4664</v>
      </c>
      <c r="M210" s="638" t="str">
        <f>IF(AX210="PT",VLOOKUP(L210,'Foundation Calculation'!$V$2:$X$40,VLOOKUP(AX210,'Foundation Calculation'!$I$10:$J$13,2,FALSE),0),IF(AX210="K",VLOOKUP(L210,'Foundation Calculation'!$V$42:$X$80,VLOOKUP(AX210,'Foundation Calculation'!$I$10:$J$13,2,FALSE),0),""))</f>
        <v>C11R</v>
      </c>
      <c r="N210" s="1239" t="s">
        <v>140</v>
      </c>
      <c r="O210" s="1239" t="s">
        <v>144</v>
      </c>
      <c r="P210" s="1239"/>
      <c r="Q210" s="638">
        <v>100</v>
      </c>
      <c r="R210" s="638">
        <v>1000</v>
      </c>
      <c r="S210" s="484"/>
      <c r="T210" s="638">
        <v>55</v>
      </c>
      <c r="U210" s="638">
        <v>30</v>
      </c>
      <c r="V210" s="638"/>
      <c r="W210" s="638">
        <v>1.4</v>
      </c>
      <c r="X210" s="638">
        <v>1.8</v>
      </c>
      <c r="Y210" s="638"/>
      <c r="Z210" s="638">
        <v>0.6</v>
      </c>
      <c r="AA210" s="638"/>
      <c r="AB210" s="638"/>
      <c r="AC210" s="638" t="s">
        <v>3050</v>
      </c>
      <c r="AD210" s="638"/>
      <c r="AE210" s="638"/>
      <c r="AF210" s="638">
        <v>6000</v>
      </c>
      <c r="AG210" s="446">
        <v>89957</v>
      </c>
      <c r="AH210" s="638">
        <v>3773</v>
      </c>
      <c r="AI210" s="638">
        <v>850</v>
      </c>
      <c r="AJ210" s="638"/>
      <c r="AK210" s="638"/>
      <c r="AL210" s="638" t="s">
        <v>2143</v>
      </c>
      <c r="AM210" s="638" t="s">
        <v>1042</v>
      </c>
      <c r="AN210" s="455">
        <v>5.5</v>
      </c>
      <c r="AO210" s="1239"/>
      <c r="AP210" s="1239"/>
      <c r="AQ210" s="484"/>
      <c r="AR210" s="484"/>
      <c r="AS210" s="484"/>
      <c r="AT210" s="484">
        <f>+ab($U$210,$T$208,$U$212,$G$209,$G$211, 1*$F$210,1200)</f>
        <v>3.9145198629118338</v>
      </c>
      <c r="AU210" s="638"/>
      <c r="AV210" s="638"/>
      <c r="AW210" s="638" t="str">
        <f>VLOOKUP(C210,'Foundation Calculation'!$A$2:$C$33,3,1)</f>
        <v>Soil B</v>
      </c>
      <c r="AX210" s="638" t="str">
        <f>VLOOKUP(C210,'Foundation Calculation'!$E$2:$G$33,3,1)</f>
        <v>PT</v>
      </c>
      <c r="AY210" s="484">
        <f>IF(AX210="PT",VLOOKUP(L210,'Foundation Calculation'!$K$2:$R$40,VLOOKUP(AW210,'Foundation Calculation'!$I$2:$J$8,2,FALSE),0),IF(AX210="K",VLOOKUP(L210,'Foundation Calculation'!$K$42:$R$80,VLOOKUP(AW210,'Foundation Calculation'!$I$2:$J$8,2,FALSE),0),""))</f>
        <v>4.4000000000000004</v>
      </c>
      <c r="AZ210" s="484"/>
      <c r="BA210" s="671" t="s">
        <v>2809</v>
      </c>
      <c r="BB210" s="1239" t="str">
        <f>Pole_Calculations!A178</f>
        <v>App.8-V08F-P10.3</v>
      </c>
      <c r="BC210" s="169"/>
      <c r="BD210" s="1371"/>
      <c r="BE210" s="1371"/>
      <c r="BF210" s="1371"/>
      <c r="BG210" s="1371"/>
    </row>
    <row r="211" spans="1:59" ht="15.75" customHeight="1">
      <c r="A211" s="1239"/>
      <c r="B211" s="1239"/>
      <c r="C211" s="171"/>
      <c r="D211" s="1239"/>
      <c r="E211" s="1239"/>
      <c r="F211" s="1239"/>
      <c r="G211" s="455">
        <v>45</v>
      </c>
      <c r="H211" s="1239"/>
      <c r="I211" s="448"/>
      <c r="J211" s="171"/>
      <c r="K211" s="1239"/>
      <c r="L211" s="1239"/>
      <c r="M211" s="580"/>
      <c r="N211" s="1239"/>
      <c r="O211" s="1239"/>
      <c r="P211" s="1239"/>
      <c r="Q211" s="1239"/>
      <c r="R211" s="1239"/>
      <c r="S211" s="455">
        <f t="shared" ref="S211" si="100">AG212-AG210</f>
        <v>45</v>
      </c>
      <c r="T211" s="1239"/>
      <c r="U211" s="1239"/>
      <c r="V211" s="1239"/>
      <c r="W211" s="1239"/>
      <c r="X211" s="1239"/>
      <c r="Y211" s="1239"/>
      <c r="Z211" s="1239"/>
      <c r="AA211" s="1239"/>
      <c r="AB211" s="1239"/>
      <c r="AC211" s="1239"/>
      <c r="AD211" s="1239"/>
      <c r="AE211" s="1239"/>
      <c r="AF211" s="1239"/>
      <c r="AG211" s="171"/>
      <c r="AH211" s="1239"/>
      <c r="AI211" s="1239"/>
      <c r="AJ211" s="1239"/>
      <c r="AK211" s="1239"/>
      <c r="AL211" s="1239"/>
      <c r="AM211" s="1239"/>
      <c r="AN211" s="484"/>
      <c r="AO211" s="638"/>
      <c r="AP211" s="638"/>
      <c r="AQ211" s="484">
        <f>+FL_1($U$212,$U$210,$G$211,1200,9.28, 1*$F$212)</f>
        <v>0.30009545575247065</v>
      </c>
      <c r="AR211" s="638"/>
      <c r="AS211" s="638"/>
      <c r="AT211" s="484"/>
      <c r="AU211" s="638"/>
      <c r="AV211" s="638"/>
      <c r="AW211" s="638"/>
      <c r="AX211" s="638"/>
      <c r="AY211" s="484"/>
      <c r="AZ211" s="484"/>
      <c r="BA211" s="671"/>
      <c r="BB211" s="1239"/>
      <c r="BC211" s="169"/>
      <c r="BD211" s="1330"/>
      <c r="BE211" s="1330"/>
      <c r="BF211" s="1330"/>
      <c r="BG211" s="1330"/>
    </row>
    <row r="212" spans="1:59" ht="15.75" customHeight="1">
      <c r="A212" s="1239"/>
      <c r="B212" s="435" t="s">
        <v>2891</v>
      </c>
      <c r="C212" s="446">
        <f>C210+G211</f>
        <v>90002.85</v>
      </c>
      <c r="D212" s="173"/>
      <c r="E212" s="447"/>
      <c r="F212" s="447">
        <v>1000</v>
      </c>
      <c r="G212" s="484"/>
      <c r="H212" s="1239" t="s">
        <v>619</v>
      </c>
      <c r="I212" s="1239"/>
      <c r="J212" s="171"/>
      <c r="K212" s="638"/>
      <c r="L212" s="638" t="s">
        <v>4664</v>
      </c>
      <c r="M212" s="638" t="str">
        <f>IF(AX212="PT",VLOOKUP(L212,'Foundation Calculation'!$V$2:$X$40,VLOOKUP(AX212,'Foundation Calculation'!$I$10:$J$13,2,FALSE),0),IF(AX212="K",VLOOKUP(L212,'Foundation Calculation'!$V$42:$X$80,VLOOKUP(AX212,'Foundation Calculation'!$I$10:$J$13,2,FALSE),0),""))</f>
        <v>C11R</v>
      </c>
      <c r="N212" s="1239" t="s">
        <v>140</v>
      </c>
      <c r="O212" s="1239" t="s">
        <v>144</v>
      </c>
      <c r="P212" s="1239"/>
      <c r="Q212" s="638">
        <v>110</v>
      </c>
      <c r="R212" s="638">
        <v>1000</v>
      </c>
      <c r="S212" s="484"/>
      <c r="T212" s="638">
        <v>30</v>
      </c>
      <c r="U212" s="638">
        <v>10</v>
      </c>
      <c r="V212" s="638"/>
      <c r="W212" s="638">
        <v>1.4</v>
      </c>
      <c r="X212" s="638">
        <v>1.8</v>
      </c>
      <c r="Y212" s="638"/>
      <c r="Z212" s="638">
        <v>0.45</v>
      </c>
      <c r="AA212" s="638"/>
      <c r="AB212" s="638"/>
      <c r="AC212" s="638" t="s">
        <v>4090</v>
      </c>
      <c r="AD212" s="638"/>
      <c r="AE212" s="638"/>
      <c r="AF212" s="638">
        <v>6000</v>
      </c>
      <c r="AG212" s="446">
        <v>90002</v>
      </c>
      <c r="AH212" s="638">
        <v>3593</v>
      </c>
      <c r="AI212" s="638">
        <v>680</v>
      </c>
      <c r="AJ212" s="638"/>
      <c r="AK212" s="638"/>
      <c r="AL212" s="638" t="s">
        <v>2143</v>
      </c>
      <c r="AM212" s="638" t="s">
        <v>1042</v>
      </c>
      <c r="AN212" s="455">
        <v>5.5</v>
      </c>
      <c r="AO212" s="1239"/>
      <c r="AP212" s="1239"/>
      <c r="AQ212" s="484"/>
      <c r="AR212" s="484"/>
      <c r="AS212" s="484"/>
      <c r="AT212" s="484">
        <f>+ab($U$212,$U$210,$U$214,$G$211,$G$213, 1*$F$212,1200)</f>
        <v>4.4479051771545821</v>
      </c>
      <c r="AU212" s="638"/>
      <c r="AV212" s="638"/>
      <c r="AW212" s="638" t="str">
        <f>VLOOKUP(C212,'Foundation Calculation'!$A$2:$C$33,3,1)</f>
        <v>Soil B</v>
      </c>
      <c r="AX212" s="638" t="str">
        <f>VLOOKUP(C212,'Foundation Calculation'!$E$2:$G$33,3,1)</f>
        <v>PT</v>
      </c>
      <c r="AY212" s="484">
        <f>IF(AX212="PT",VLOOKUP(L212,'Foundation Calculation'!$K$2:$R$40,VLOOKUP(AW212,'Foundation Calculation'!$I$2:$J$8,2,FALSE),0),IF(AX212="K",VLOOKUP(L212,'Foundation Calculation'!$K$42:$R$80,VLOOKUP(AW212,'Foundation Calculation'!$I$2:$J$8,2,FALSE),0),""))</f>
        <v>4.4000000000000004</v>
      </c>
      <c r="AZ212" s="484"/>
      <c r="BA212" s="671" t="s">
        <v>2809</v>
      </c>
      <c r="BB212" s="1239" t="str">
        <f>Pole_Calculations!A178</f>
        <v>App.8-V08F-P10.3</v>
      </c>
      <c r="BC212" s="169"/>
      <c r="BD212" s="1371"/>
      <c r="BE212" s="1371"/>
      <c r="BF212" s="1371"/>
      <c r="BG212" s="1371"/>
    </row>
    <row r="213" spans="1:59" ht="15.75" customHeight="1">
      <c r="A213" s="1239"/>
      <c r="B213" s="1239"/>
      <c r="C213" s="171"/>
      <c r="D213" s="1239"/>
      <c r="E213" s="1239"/>
      <c r="F213" s="1239"/>
      <c r="G213" s="455">
        <v>50</v>
      </c>
      <c r="H213" s="1239"/>
      <c r="I213" s="448"/>
      <c r="J213" s="171"/>
      <c r="K213" s="1239"/>
      <c r="L213" s="1239"/>
      <c r="M213" s="580"/>
      <c r="N213" s="1239"/>
      <c r="O213" s="1239"/>
      <c r="P213" s="1239"/>
      <c r="Q213" s="1239"/>
      <c r="R213" s="1239"/>
      <c r="S213" s="455">
        <f t="shared" ref="S213" si="101">AG214-AG212</f>
        <v>50</v>
      </c>
      <c r="T213" s="1239"/>
      <c r="U213" s="1239"/>
      <c r="V213" s="1239"/>
      <c r="W213" s="1239"/>
      <c r="X213" s="1239"/>
      <c r="Y213" s="1239"/>
      <c r="Z213" s="1239"/>
      <c r="AA213" s="1239"/>
      <c r="AB213" s="1239"/>
      <c r="AC213" s="1239"/>
      <c r="AD213" s="1239"/>
      <c r="AE213" s="1239"/>
      <c r="AF213" s="1239"/>
      <c r="AG213" s="171"/>
      <c r="AH213" s="1239"/>
      <c r="AI213" s="1239"/>
      <c r="AJ213" s="1239"/>
      <c r="AK213" s="1239"/>
      <c r="AL213" s="1239"/>
      <c r="AM213" s="1239"/>
      <c r="AN213" s="484"/>
      <c r="AO213" s="638"/>
      <c r="AP213" s="638"/>
      <c r="AQ213" s="484">
        <f>+FL_1($U$214,$U$212,$G$213,1200,9.28, 1*$F$214)</f>
        <v>0.11186784037974273</v>
      </c>
      <c r="AR213" s="638"/>
      <c r="AS213" s="638"/>
      <c r="AT213" s="484"/>
      <c r="AU213" s="638"/>
      <c r="AV213" s="638"/>
      <c r="AW213" s="638"/>
      <c r="AX213" s="638"/>
      <c r="AY213" s="484"/>
      <c r="AZ213" s="484"/>
      <c r="BA213" s="671"/>
      <c r="BB213" s="1239"/>
      <c r="BC213" s="169"/>
      <c r="BD213" s="1330"/>
      <c r="BE213" s="1330"/>
      <c r="BF213" s="1330"/>
      <c r="BG213" s="1330"/>
    </row>
    <row r="214" spans="1:59" ht="15.75" customHeight="1">
      <c r="A214" s="1239"/>
      <c r="B214" s="1239" t="s">
        <v>2892</v>
      </c>
      <c r="C214" s="171">
        <f>C212+G213</f>
        <v>90052.85</v>
      </c>
      <c r="D214" s="1239"/>
      <c r="E214" s="1239"/>
      <c r="F214" s="1239">
        <v>1360</v>
      </c>
      <c r="G214" s="455"/>
      <c r="H214" s="1239" t="s">
        <v>619</v>
      </c>
      <c r="I214" s="448"/>
      <c r="J214" s="171"/>
      <c r="K214" s="1239"/>
      <c r="L214" s="1239" t="s">
        <v>4393</v>
      </c>
      <c r="M214" s="638" t="str">
        <f>IF(AX214="PT",VLOOKUP(L214,'Foundation Calculation'!$V$2:$X$40,VLOOKUP(AX214,'Foundation Calculation'!$I$10:$J$13,2,FALSE),0),IF(AX214="K",VLOOKUP(L214,'Foundation Calculation'!$V$42:$X$80,VLOOKUP(AX214,'Foundation Calculation'!$I$10:$J$13,2,FALSE),0),""))</f>
        <v>2C4R</v>
      </c>
      <c r="N214" s="1239" t="s">
        <v>144</v>
      </c>
      <c r="O214" s="1239" t="s">
        <v>140</v>
      </c>
      <c r="P214" s="1239"/>
      <c r="Q214" s="1239">
        <v>80</v>
      </c>
      <c r="R214" s="1239">
        <v>1365.83</v>
      </c>
      <c r="S214" s="455"/>
      <c r="T214" s="1239">
        <v>30</v>
      </c>
      <c r="U214" s="1239">
        <v>10</v>
      </c>
      <c r="V214" s="1239"/>
      <c r="W214" s="1239">
        <v>1.4</v>
      </c>
      <c r="X214" s="1239">
        <v>2.2999999999999998</v>
      </c>
      <c r="Y214" s="1239"/>
      <c r="Z214" s="1239"/>
      <c r="AA214" s="1239">
        <v>0.45</v>
      </c>
      <c r="AB214" s="1239"/>
      <c r="AC214" s="638" t="s">
        <v>4090</v>
      </c>
      <c r="AD214" s="1239"/>
      <c r="AE214" s="1239"/>
      <c r="AF214" s="1239">
        <v>6000</v>
      </c>
      <c r="AG214" s="171">
        <v>90052</v>
      </c>
      <c r="AH214" s="1239">
        <v>3603</v>
      </c>
      <c r="AI214" s="1239">
        <v>570</v>
      </c>
      <c r="AJ214" s="1239"/>
      <c r="AK214" s="1239"/>
      <c r="AL214" s="1239" t="s">
        <v>2135</v>
      </c>
      <c r="AM214" s="1239" t="s">
        <v>1042</v>
      </c>
      <c r="AN214" s="484">
        <v>5.5</v>
      </c>
      <c r="AO214" s="638"/>
      <c r="AP214" s="638"/>
      <c r="AQ214" s="484"/>
      <c r="AR214" s="638"/>
      <c r="AS214" s="638"/>
      <c r="AT214" s="484">
        <f>+ab($T$214,$T$212,$T$216,$G$213,$G$215, 1*$F$214,1200)</f>
        <v>4.937928152396597</v>
      </c>
      <c r="AU214" s="638"/>
      <c r="AV214" s="638"/>
      <c r="AW214" s="638" t="str">
        <f>VLOOKUP(C214,'Foundation Calculation'!$A$2:$C$33,3,1)</f>
        <v>Soil B</v>
      </c>
      <c r="AX214" s="638" t="str">
        <f>VLOOKUP(C214,'Foundation Calculation'!$E$2:$G$33,3,1)</f>
        <v>PT</v>
      </c>
      <c r="AY214" s="484">
        <f>IF(AX214="PT",VLOOKUP(L214,'Foundation Calculation'!$K$2:$R$40,VLOOKUP(AW214,'Foundation Calculation'!$I$2:$J$8,2,FALSE),0),IF(AX214="K",VLOOKUP(L214,'Foundation Calculation'!$K$42:$R$80,VLOOKUP(AW214,'Foundation Calculation'!$I$2:$J$8,2,FALSE),0),""))</f>
        <v>5.3</v>
      </c>
      <c r="AZ214" s="484"/>
      <c r="BA214" s="671" t="s">
        <v>2809</v>
      </c>
      <c r="BB214" s="1239" t="str">
        <f>Pole_Calculations!A178</f>
        <v>App.8-V08F-P10.3</v>
      </c>
      <c r="BC214" s="169"/>
      <c r="BD214" s="1371">
        <v>43785</v>
      </c>
      <c r="BE214" s="1371"/>
      <c r="BF214" s="1371"/>
      <c r="BG214" s="1371"/>
    </row>
    <row r="215" spans="1:59" ht="15.75" customHeight="1">
      <c r="A215" s="1239"/>
      <c r="B215" s="1239"/>
      <c r="C215" s="171"/>
      <c r="D215" s="1239"/>
      <c r="E215" s="1239"/>
      <c r="F215" s="1239"/>
      <c r="G215" s="455">
        <v>50</v>
      </c>
      <c r="H215" s="1239"/>
      <c r="I215" s="448"/>
      <c r="J215" s="171"/>
      <c r="K215" s="1239"/>
      <c r="L215" s="1239"/>
      <c r="M215" s="580"/>
      <c r="N215" s="1239"/>
      <c r="O215" s="1239"/>
      <c r="P215" s="1239"/>
      <c r="Q215" s="1239"/>
      <c r="R215" s="1239"/>
      <c r="S215" s="455">
        <f t="shared" ref="S215" si="102">AG216-AG214</f>
        <v>50</v>
      </c>
      <c r="T215" s="1239"/>
      <c r="U215" s="1239"/>
      <c r="V215" s="1239"/>
      <c r="W215" s="1239"/>
      <c r="X215" s="1239"/>
      <c r="Y215" s="1239"/>
      <c r="Z215" s="1239"/>
      <c r="AA215" s="1239"/>
      <c r="AB215" s="1239"/>
      <c r="AC215" s="1239"/>
      <c r="AD215" s="1239"/>
      <c r="AE215" s="1239"/>
      <c r="AF215" s="1239"/>
      <c r="AG215" s="171"/>
      <c r="AH215" s="1239"/>
      <c r="AI215" s="1239"/>
      <c r="AJ215" s="1239"/>
      <c r="AK215" s="1239"/>
      <c r="AL215" s="1239"/>
      <c r="AM215" s="1239"/>
      <c r="AN215" s="484"/>
      <c r="AO215" s="638"/>
      <c r="AP215" s="638"/>
      <c r="AQ215" s="484">
        <f>+FL_1($T$216,$T$214,$G$215,1200,9.28, 1*$F$216)</f>
        <v>0.3968460348914607</v>
      </c>
      <c r="AR215" s="638"/>
      <c r="AS215" s="638"/>
      <c r="AT215" s="484"/>
      <c r="AU215" s="638"/>
      <c r="AV215" s="638"/>
      <c r="AW215" s="638"/>
      <c r="AX215" s="638"/>
      <c r="AY215" s="484"/>
      <c r="AZ215" s="484"/>
      <c r="BA215" s="671"/>
      <c r="BB215" s="1239"/>
      <c r="BC215" s="169"/>
      <c r="BD215" s="1330"/>
      <c r="BE215" s="1330"/>
      <c r="BF215" s="1330"/>
      <c r="BG215" s="1330"/>
    </row>
    <row r="216" spans="1:59" ht="15.75" customHeight="1">
      <c r="A216" s="1239"/>
      <c r="B216" s="1239" t="s">
        <v>2893</v>
      </c>
      <c r="C216" s="171">
        <f>C214+G215</f>
        <v>90102.85</v>
      </c>
      <c r="D216" s="1239"/>
      <c r="E216" s="1239"/>
      <c r="F216" s="1239">
        <v>3150</v>
      </c>
      <c r="G216" s="455"/>
      <c r="H216" s="1239" t="s">
        <v>2128</v>
      </c>
      <c r="I216" s="448" t="s">
        <v>623</v>
      </c>
      <c r="J216" s="171"/>
      <c r="K216" s="1239"/>
      <c r="L216" s="1239" t="s">
        <v>4393</v>
      </c>
      <c r="M216" s="638" t="str">
        <f>IF(AX216="PT",VLOOKUP(L216,'Foundation Calculation'!$V$2:$X$40,VLOOKUP(AX216,'Foundation Calculation'!$I$10:$J$13,2,FALSE),0),IF(AX216="K",VLOOKUP(L216,'Foundation Calculation'!$V$42:$X$80,VLOOKUP(AX216,'Foundation Calculation'!$I$10:$J$13,2,FALSE),0),""))</f>
        <v>2C4R</v>
      </c>
      <c r="N216" s="1239" t="s">
        <v>144</v>
      </c>
      <c r="O216" s="1239" t="s">
        <v>140</v>
      </c>
      <c r="P216" s="1239"/>
      <c r="Q216" s="1239">
        <v>10</v>
      </c>
      <c r="R216" s="1239">
        <v>3156.66</v>
      </c>
      <c r="S216" s="455"/>
      <c r="T216" s="1239">
        <v>20</v>
      </c>
      <c r="U216" s="1239">
        <v>55</v>
      </c>
      <c r="V216" s="1239"/>
      <c r="W216" s="1239">
        <v>2.2999999999999998</v>
      </c>
      <c r="X216" s="1239">
        <v>1.4</v>
      </c>
      <c r="Y216" s="1239"/>
      <c r="Z216" s="1239"/>
      <c r="AA216" s="1239">
        <v>0.6</v>
      </c>
      <c r="AB216" s="1239"/>
      <c r="AC216" s="638" t="s">
        <v>4090</v>
      </c>
      <c r="AD216" s="1239"/>
      <c r="AE216" s="1239"/>
      <c r="AF216" s="1239">
        <v>6000</v>
      </c>
      <c r="AG216" s="171">
        <v>90102</v>
      </c>
      <c r="AH216" s="1239">
        <v>4333</v>
      </c>
      <c r="AI216" s="1239">
        <v>480</v>
      </c>
      <c r="AJ216" s="1239"/>
      <c r="AK216" s="1239"/>
      <c r="AL216" s="1239" t="s">
        <v>2135</v>
      </c>
      <c r="AM216" s="1239" t="s">
        <v>1042</v>
      </c>
      <c r="AN216" s="484">
        <v>5.5</v>
      </c>
      <c r="AO216" s="638"/>
      <c r="AP216" s="638"/>
      <c r="AQ216" s="484"/>
      <c r="AR216" s="638"/>
      <c r="AS216" s="638"/>
      <c r="AT216" s="484">
        <f>+ab($T$216,$T$214,$T$218,$G$215,$G$217, 1*$F$216,1200)</f>
        <v>7.9859375004538364</v>
      </c>
      <c r="AU216" s="638"/>
      <c r="AV216" s="638"/>
      <c r="AW216" s="638" t="str">
        <f>VLOOKUP(C216,'Foundation Calculation'!$A$2:$C$33,3,1)</f>
        <v>Soil B</v>
      </c>
      <c r="AX216" s="638" t="str">
        <f>VLOOKUP(C216,'Foundation Calculation'!$E$2:$G$33,3,1)</f>
        <v>PT</v>
      </c>
      <c r="AY216" s="484">
        <f>IF(AX216="PT",VLOOKUP(L216,'Foundation Calculation'!$K$2:$R$40,VLOOKUP(AW216,'Foundation Calculation'!$I$2:$J$8,2,FALSE),0),IF(AX216="K",VLOOKUP(L216,'Foundation Calculation'!$K$42:$R$80,VLOOKUP(AW216,'Foundation Calculation'!$I$2:$J$8,2,FALSE),0),""))</f>
        <v>5.3</v>
      </c>
      <c r="AZ216" s="484"/>
      <c r="BA216" s="671" t="s">
        <v>2809</v>
      </c>
      <c r="BB216" s="1239" t="str">
        <f>Pole_Calculations!A178</f>
        <v>App.8-V08F-P10.3</v>
      </c>
      <c r="BC216" s="169"/>
      <c r="BD216" s="1371">
        <v>43785</v>
      </c>
      <c r="BE216" s="1371"/>
      <c r="BF216" s="1371"/>
      <c r="BG216" s="1371"/>
    </row>
    <row r="217" spans="1:59" ht="15.75" customHeight="1">
      <c r="A217" s="1239"/>
      <c r="B217" s="1239"/>
      <c r="C217" s="171"/>
      <c r="D217" s="1239"/>
      <c r="E217" s="1239"/>
      <c r="F217" s="1239"/>
      <c r="G217" s="455">
        <v>50</v>
      </c>
      <c r="H217" s="1239"/>
      <c r="I217" s="448"/>
      <c r="J217" s="171">
        <f>C216+7.5</f>
        <v>90110.35</v>
      </c>
      <c r="K217" s="638" t="s">
        <v>2787</v>
      </c>
      <c r="L217" s="1239"/>
      <c r="M217" s="580"/>
      <c r="N217" s="1239"/>
      <c r="O217" s="1239"/>
      <c r="P217" s="1239"/>
      <c r="Q217" s="1239"/>
      <c r="R217" s="1239"/>
      <c r="S217" s="455">
        <f t="shared" ref="S217" si="103">AG218-AG216</f>
        <v>50</v>
      </c>
      <c r="T217" s="1239"/>
      <c r="U217" s="1239"/>
      <c r="V217" s="1239"/>
      <c r="W217" s="1239"/>
      <c r="X217" s="1239"/>
      <c r="Y217" s="1239"/>
      <c r="Z217" s="1239"/>
      <c r="AA217" s="1239"/>
      <c r="AB217" s="1239"/>
      <c r="AC217" s="1239"/>
      <c r="AD217" s="1239"/>
      <c r="AE217" s="1239"/>
      <c r="AF217" s="1239"/>
      <c r="AG217" s="171"/>
      <c r="AH217" s="1239"/>
      <c r="AI217" s="1239"/>
      <c r="AJ217" s="1239"/>
      <c r="AK217" s="1239"/>
      <c r="AL217" s="1239"/>
      <c r="AM217" s="1239"/>
      <c r="AN217" s="484"/>
      <c r="AO217" s="638"/>
      <c r="AP217" s="638"/>
      <c r="AQ217" s="484">
        <f>+FL_2($T$218,$T$216,$G$217,1200,9.28, 1*$F$218)</f>
        <v>-0.35632183866666667</v>
      </c>
      <c r="AR217" s="638"/>
      <c r="AS217" s="638"/>
      <c r="AT217" s="484"/>
      <c r="AU217" s="638"/>
      <c r="AV217" s="638"/>
      <c r="AW217" s="638" t="str">
        <f>VLOOKUP(J217,'Foundation Calculation'!$A$2:$C$33,3,1)</f>
        <v>Soil B</v>
      </c>
      <c r="AX217" s="572" t="str">
        <f>VLOOKUP(J217,'Foundation Calculation'!$E$2:$G$33,3,1)</f>
        <v>PT</v>
      </c>
      <c r="AY217" s="484"/>
      <c r="AZ217" s="484">
        <f>IF(AX217="PT",VLOOKUP(K217,'Foundation Calculation'!$K$2:$R$40,VLOOKUP(AW217,'Foundation Calculation'!$I$2:$J$8,2,FALSE),0),IF(AX217="K",VLOOKUP(K217,'Foundation Calculation'!$K$42:$R$80,VLOOKUP(AW217,'Foundation Calculation'!$I$2:$J$8,2,FALSE),0),""))</f>
        <v>3.9</v>
      </c>
      <c r="BA217" s="671" t="s">
        <v>2809</v>
      </c>
      <c r="BB217" s="1239"/>
      <c r="BC217" s="169"/>
      <c r="BD217" s="1329">
        <v>43785</v>
      </c>
      <c r="BE217" s="1330"/>
      <c r="BF217" s="1330"/>
      <c r="BG217" s="1330"/>
    </row>
    <row r="218" spans="1:59" ht="15.75" customHeight="1">
      <c r="A218" s="1239"/>
      <c r="B218" s="1239" t="s">
        <v>2889</v>
      </c>
      <c r="C218" s="171">
        <f>C216+G217</f>
        <v>90152.85</v>
      </c>
      <c r="D218" s="1239"/>
      <c r="E218" s="1239"/>
      <c r="F218" s="1239">
        <v>0</v>
      </c>
      <c r="G218" s="455"/>
      <c r="H218" s="1239" t="s">
        <v>619</v>
      </c>
      <c r="I218" s="448"/>
      <c r="J218" s="171"/>
      <c r="K218" s="1239"/>
      <c r="L218" s="1239" t="s">
        <v>4393</v>
      </c>
      <c r="M218" s="638" t="s">
        <v>4451</v>
      </c>
      <c r="N218" s="1239" t="s">
        <v>143</v>
      </c>
      <c r="O218" s="1239" t="s">
        <v>140</v>
      </c>
      <c r="P218" s="1239"/>
      <c r="Q218" s="1239">
        <v>0</v>
      </c>
      <c r="R218" s="1239">
        <v>0</v>
      </c>
      <c r="S218" s="455"/>
      <c r="T218" s="1239">
        <v>-30</v>
      </c>
      <c r="U218" s="1239">
        <v>15</v>
      </c>
      <c r="V218" s="1239"/>
      <c r="W218" s="1239">
        <v>2.2999999999999998</v>
      </c>
      <c r="X218" s="1239">
        <v>1.4</v>
      </c>
      <c r="Y218" s="1239"/>
      <c r="Z218" s="1239"/>
      <c r="AA218" s="1239">
        <v>0.6</v>
      </c>
      <c r="AB218" s="1239"/>
      <c r="AC218" s="1239" t="s">
        <v>1421</v>
      </c>
      <c r="AD218" s="1239"/>
      <c r="AE218" s="1239"/>
      <c r="AF218" s="1239">
        <v>6000</v>
      </c>
      <c r="AG218" s="171">
        <v>90152</v>
      </c>
      <c r="AH218" s="1239">
        <v>4363</v>
      </c>
      <c r="AI218" s="1239">
        <v>510</v>
      </c>
      <c r="AJ218" s="1239"/>
      <c r="AK218" s="1239"/>
      <c r="AL218" s="1239" t="s">
        <v>2135</v>
      </c>
      <c r="AM218" s="1239" t="s">
        <v>1042</v>
      </c>
      <c r="AN218" s="484">
        <v>5.5</v>
      </c>
      <c r="AO218" s="638"/>
      <c r="AP218" s="638"/>
      <c r="AQ218" s="484"/>
      <c r="AR218" s="638"/>
      <c r="AS218" s="638"/>
      <c r="AT218" s="484">
        <f>+ab($T$218,$T$216,$T$220,$G$217,$G$219, 1*$F$218,1200)</f>
        <v>-9.132732098430683</v>
      </c>
      <c r="AU218" s="638"/>
      <c r="AV218" s="638"/>
      <c r="AW218" s="638" t="str">
        <f>VLOOKUP(C218,'Foundation Calculation'!$A$2:$C$33,3,1)</f>
        <v>Soil B</v>
      </c>
      <c r="AX218" s="638" t="str">
        <f>VLOOKUP(C218,'Foundation Calculation'!$E$2:$G$33,3,1)</f>
        <v>PT</v>
      </c>
      <c r="AY218" s="484">
        <f>IF(AX218="PT",VLOOKUP(L218,'Foundation Calculation'!$K$2:$R$40,VLOOKUP(AW218,'Foundation Calculation'!$I$2:$J$8,2,FALSE),0),IF(AX218="K",VLOOKUP(L218,'Foundation Calculation'!$K$42:$R$80,VLOOKUP(AW218,'Foundation Calculation'!$I$2:$J$8,2,FALSE),0),""))</f>
        <v>5.3</v>
      </c>
      <c r="AZ218" s="484"/>
      <c r="BA218" s="671" t="s">
        <v>2809</v>
      </c>
      <c r="BB218" s="1239" t="str">
        <f>Pole_Calculations!A178</f>
        <v>App.8-V08F-P10.3</v>
      </c>
      <c r="BC218" s="169"/>
      <c r="BD218" s="1371">
        <v>43785</v>
      </c>
      <c r="BE218" s="1371"/>
      <c r="BF218" s="1371"/>
      <c r="BG218" s="1371"/>
    </row>
    <row r="219" spans="1:59" ht="15.75" customHeight="1">
      <c r="A219" s="1239"/>
      <c r="B219" s="1239"/>
      <c r="C219" s="171"/>
      <c r="D219" s="1239"/>
      <c r="E219" s="1239"/>
      <c r="F219" s="1239"/>
      <c r="G219" s="455">
        <v>60</v>
      </c>
      <c r="H219" s="1239"/>
      <c r="I219" s="448"/>
      <c r="J219" s="171"/>
      <c r="K219" s="1239"/>
      <c r="L219" s="1239"/>
      <c r="M219" s="580"/>
      <c r="N219" s="1239"/>
      <c r="O219" s="1239"/>
      <c r="P219" s="1239"/>
      <c r="Q219" s="1239"/>
      <c r="R219" s="1239"/>
      <c r="S219" s="455">
        <f t="shared" ref="S219" si="104">AG220-AG218</f>
        <v>58.80000000000291</v>
      </c>
      <c r="T219" s="1239"/>
      <c r="U219" s="1239"/>
      <c r="V219" s="1239"/>
      <c r="W219" s="1239"/>
      <c r="X219" s="1239"/>
      <c r="Y219" s="1239"/>
      <c r="Z219" s="1239"/>
      <c r="AA219" s="1239"/>
      <c r="AB219" s="1239"/>
      <c r="AC219" s="1239"/>
      <c r="AD219" s="1239"/>
      <c r="AE219" s="1239"/>
      <c r="AF219" s="1239"/>
      <c r="AG219" s="171"/>
      <c r="AH219" s="1239"/>
      <c r="AI219" s="1239"/>
      <c r="AJ219" s="1239"/>
      <c r="AK219" s="1239"/>
      <c r="AL219" s="1239"/>
      <c r="AM219" s="1239"/>
      <c r="AN219" s="484"/>
      <c r="AO219" s="638"/>
      <c r="AP219" s="638"/>
      <c r="AQ219" s="484">
        <f>+FL_1($T$220,$T$218,$G$219,1200,9.28, 1*$F$220)</f>
        <v>0.44888002799999999</v>
      </c>
      <c r="AR219" s="638"/>
      <c r="AS219" s="638"/>
      <c r="AT219" s="484"/>
      <c r="AU219" s="638"/>
      <c r="AV219" s="638"/>
      <c r="AW219" s="638"/>
      <c r="AX219" s="638"/>
      <c r="AY219" s="484"/>
      <c r="AZ219" s="484"/>
      <c r="BA219" s="671"/>
      <c r="BB219" s="1239"/>
      <c r="BC219" s="169"/>
      <c r="BD219" s="1330"/>
      <c r="BE219" s="1330"/>
      <c r="BF219" s="1330"/>
      <c r="BG219" s="1330"/>
    </row>
    <row r="220" spans="1:59" ht="15.75" customHeight="1">
      <c r="A220" s="1239"/>
      <c r="B220" s="1239" t="s">
        <v>2890</v>
      </c>
      <c r="C220" s="171">
        <f>C218+G219</f>
        <v>90212.85</v>
      </c>
      <c r="D220" s="1239"/>
      <c r="E220" s="1239"/>
      <c r="F220" s="1239">
        <v>0</v>
      </c>
      <c r="G220" s="455"/>
      <c r="H220" s="1239" t="s">
        <v>138</v>
      </c>
      <c r="I220" s="448" t="s">
        <v>624</v>
      </c>
      <c r="J220" s="171"/>
      <c r="K220" s="1239"/>
      <c r="L220" s="1239" t="s">
        <v>4393</v>
      </c>
      <c r="M220" s="638" t="s">
        <v>4451</v>
      </c>
      <c r="N220" s="1239" t="s">
        <v>144</v>
      </c>
      <c r="O220" s="1239"/>
      <c r="P220" s="1239"/>
      <c r="Q220" s="1239">
        <v>0</v>
      </c>
      <c r="R220" s="1239">
        <v>0</v>
      </c>
      <c r="S220" s="455"/>
      <c r="T220" s="1239">
        <v>35</v>
      </c>
      <c r="U220" s="1239"/>
      <c r="V220" s="1239"/>
      <c r="W220" s="638">
        <v>1.4</v>
      </c>
      <c r="X220" s="1239"/>
      <c r="Y220" s="1239"/>
      <c r="Z220" s="1239"/>
      <c r="AA220" s="1239"/>
      <c r="AB220" s="1239"/>
      <c r="AC220" s="1239" t="s">
        <v>1421</v>
      </c>
      <c r="AD220" s="1239"/>
      <c r="AE220" s="1239"/>
      <c r="AF220" s="1239">
        <v>6000</v>
      </c>
      <c r="AG220" s="171">
        <v>90210.8</v>
      </c>
      <c r="AH220" s="1239">
        <v>4223</v>
      </c>
      <c r="AI220" s="1239">
        <v>280</v>
      </c>
      <c r="AJ220" s="1239"/>
      <c r="AK220" s="1239"/>
      <c r="AL220" s="1239" t="s">
        <v>2135</v>
      </c>
      <c r="AM220" s="1239" t="s">
        <v>1042</v>
      </c>
      <c r="AN220" s="484">
        <v>5.5</v>
      </c>
      <c r="AO220" s="638"/>
      <c r="AP220" s="638"/>
      <c r="AQ220" s="484"/>
      <c r="AR220" s="638"/>
      <c r="AS220" s="638"/>
      <c r="AT220" s="484">
        <f>+ab($T$220,$T$218,$T$222,$G$219,$G$221, 1*$F$220,1200)</f>
        <v>8.3197576471997259</v>
      </c>
      <c r="AU220" s="638"/>
      <c r="AV220" s="638"/>
      <c r="AW220" s="638" t="str">
        <f>VLOOKUP(C220,'Foundation Calculation'!$A$2:$C$33,3,1)</f>
        <v>Soil B</v>
      </c>
      <c r="AX220" s="638" t="str">
        <f>VLOOKUP(C220,'Foundation Calculation'!$E$2:$G$33,3,1)</f>
        <v>PT</v>
      </c>
      <c r="AY220" s="484">
        <f>IF(AX220="PT",VLOOKUP(L220,'Foundation Calculation'!$K$2:$R$40,VLOOKUP(AW220,'Foundation Calculation'!$I$2:$J$8,2,FALSE),0),IF(AX220="K",VLOOKUP(L220,'Foundation Calculation'!$K$42:$R$80,VLOOKUP(AW220,'Foundation Calculation'!$I$2:$J$8,2,FALSE),0),""))</f>
        <v>5.3</v>
      </c>
      <c r="AZ220" s="484"/>
      <c r="BA220" s="671" t="s">
        <v>2809</v>
      </c>
      <c r="BB220" s="1239" t="str">
        <f>Pole_Calculations!A178</f>
        <v>App.8-V08F-P10.3</v>
      </c>
      <c r="BC220" s="169"/>
      <c r="BD220" s="1371">
        <v>43785</v>
      </c>
      <c r="BE220" s="1371"/>
      <c r="BF220" s="1371"/>
      <c r="BG220" s="1371"/>
    </row>
    <row r="221" spans="1:59" ht="15.75" customHeight="1">
      <c r="A221" s="1239"/>
      <c r="B221" s="1239"/>
      <c r="C221" s="171"/>
      <c r="D221" s="1239"/>
      <c r="E221" s="1239"/>
      <c r="F221" s="1239"/>
      <c r="G221" s="455">
        <v>58</v>
      </c>
      <c r="H221" s="1239"/>
      <c r="I221" s="448"/>
      <c r="J221" s="171">
        <f>C220+7.5</f>
        <v>90220.35</v>
      </c>
      <c r="K221" s="638" t="s">
        <v>2787</v>
      </c>
      <c r="L221" s="1239"/>
      <c r="M221" s="1239"/>
      <c r="N221" s="1239"/>
      <c r="O221" s="1239"/>
      <c r="P221" s="1239"/>
      <c r="Q221" s="1239"/>
      <c r="R221" s="1239"/>
      <c r="S221" s="455">
        <f t="shared" ref="S221" si="105">AG222-AG220</f>
        <v>59.19999999999709</v>
      </c>
      <c r="T221" s="1239"/>
      <c r="U221" s="1239"/>
      <c r="V221" s="1239"/>
      <c r="W221" s="1239"/>
      <c r="X221" s="1239"/>
      <c r="Y221" s="1239"/>
      <c r="Z221" s="1239"/>
      <c r="AA221" s="1239"/>
      <c r="AB221" s="1239"/>
      <c r="AC221" s="1239"/>
      <c r="AD221" s="1239"/>
      <c r="AE221" s="1239"/>
      <c r="AF221" s="1239"/>
      <c r="AG221" s="171"/>
      <c r="AH221" s="1239"/>
      <c r="AI221" s="1239"/>
      <c r="AJ221" s="1239"/>
      <c r="AK221" s="1239"/>
      <c r="AL221" s="1239"/>
      <c r="AM221" s="1239"/>
      <c r="AN221" s="484"/>
      <c r="AO221" s="638"/>
      <c r="AP221" s="638"/>
      <c r="AQ221" s="484">
        <f>+FL_2($T$222,$T$220,$G$221,1200,9.28, 1*$F$222)</f>
        <v>-0.41936333972413792</v>
      </c>
      <c r="AR221" s="638"/>
      <c r="AS221" s="638"/>
      <c r="AT221" s="484"/>
      <c r="AU221" s="638"/>
      <c r="AV221" s="638"/>
      <c r="AW221" s="638" t="str">
        <f>VLOOKUP(J221,'Foundation Calculation'!$A$2:$C$33,3,1)</f>
        <v>Soil B</v>
      </c>
      <c r="AX221" s="572" t="str">
        <f>VLOOKUP(J221,'Foundation Calculation'!$E$2:$G$33,3,1)</f>
        <v>PT</v>
      </c>
      <c r="AY221" s="484"/>
      <c r="AZ221" s="484">
        <f>IF(AX221="PT",VLOOKUP(K221,'Foundation Calculation'!$K$2:$R$40,VLOOKUP(AW221,'Foundation Calculation'!$I$2:$J$8,2,FALSE),0),IF(AX221="K",VLOOKUP(K221,'Foundation Calculation'!$K$42:$R$80,VLOOKUP(AW221,'Foundation Calculation'!$I$2:$J$8,2,FALSE),0),""))</f>
        <v>3.9</v>
      </c>
      <c r="BA221" s="671" t="s">
        <v>2809</v>
      </c>
      <c r="BB221" s="1239"/>
      <c r="BC221" s="169"/>
      <c r="BD221" s="1329">
        <v>43785</v>
      </c>
      <c r="BE221" s="1330"/>
      <c r="BF221" s="1330"/>
      <c r="BG221" s="1330"/>
    </row>
    <row r="222" spans="1:59" ht="15.75" customHeight="1">
      <c r="A222" s="449"/>
      <c r="B222" s="435" t="s">
        <v>2888</v>
      </c>
      <c r="C222" s="446">
        <f>C220+G221</f>
        <v>90270.85</v>
      </c>
      <c r="D222" s="173"/>
      <c r="E222" s="447"/>
      <c r="F222" s="447">
        <v>0</v>
      </c>
      <c r="G222" s="484"/>
      <c r="H222" s="1239"/>
      <c r="I222" s="1239"/>
      <c r="J222" s="171"/>
      <c r="K222" s="638"/>
      <c r="L222" s="1239" t="s">
        <v>4393</v>
      </c>
      <c r="M222" s="638" t="str">
        <f>IF(AX222="PT",VLOOKUP(L222,'Foundation Calculation'!$V$2:$X$40,VLOOKUP(AX222,'Foundation Calculation'!$I$10:$J$13,2,FALSE),0),IF(AX222="K",VLOOKUP(L222,'Foundation Calculation'!$V$42:$X$80,VLOOKUP(AX222,'Foundation Calculation'!$I$10:$J$13,2,FALSE),0),""))</f>
        <v>2C4R</v>
      </c>
      <c r="N222" s="1239" t="s">
        <v>143</v>
      </c>
      <c r="O222" s="1239"/>
      <c r="P222" s="1239"/>
      <c r="Q222" s="638">
        <v>0</v>
      </c>
      <c r="R222" s="638">
        <v>0</v>
      </c>
      <c r="S222" s="484"/>
      <c r="T222" s="638">
        <v>-35</v>
      </c>
      <c r="U222" s="638"/>
      <c r="V222" s="638"/>
      <c r="W222" s="638">
        <v>1.4</v>
      </c>
      <c r="X222" s="638"/>
      <c r="Y222" s="638"/>
      <c r="Z222" s="638"/>
      <c r="AA222" s="638"/>
      <c r="AB222" s="638"/>
      <c r="AC222" s="638" t="s">
        <v>4090</v>
      </c>
      <c r="AD222" s="638"/>
      <c r="AE222" s="638"/>
      <c r="AF222" s="638">
        <v>6000</v>
      </c>
      <c r="AG222" s="446">
        <v>90270</v>
      </c>
      <c r="AH222" s="638">
        <v>2513</v>
      </c>
      <c r="AI222" s="638">
        <v>450</v>
      </c>
      <c r="AJ222" s="638"/>
      <c r="AK222" s="638"/>
      <c r="AL222" s="1239" t="s">
        <v>2135</v>
      </c>
      <c r="AM222" s="638" t="s">
        <v>1042</v>
      </c>
      <c r="AN222" s="455">
        <v>5.5</v>
      </c>
      <c r="AO222" s="1239"/>
      <c r="AP222" s="1239"/>
      <c r="AQ222" s="484"/>
      <c r="AR222" s="484"/>
      <c r="AS222" s="484"/>
      <c r="AT222" s="484">
        <f>+ab($T$222,$T$220,$T$224,$G$221,$G$223, 1*$F$222,1200)</f>
        <v>-8.0315789917579181</v>
      </c>
      <c r="AU222" s="638"/>
      <c r="AV222" s="638"/>
      <c r="AW222" s="638" t="str">
        <f>VLOOKUP(C222,'Foundation Calculation'!$A$2:$C$33,3,1)</f>
        <v>Soil B</v>
      </c>
      <c r="AX222" s="638" t="str">
        <f>VLOOKUP(C222,'Foundation Calculation'!$E$2:$G$33,3,1)</f>
        <v>PT</v>
      </c>
      <c r="AY222" s="484">
        <f>IF(AX222="PT",VLOOKUP(L222,'Foundation Calculation'!$K$2:$R$40,VLOOKUP(AW222,'Foundation Calculation'!$I$2:$J$8,2,FALSE),0),IF(AX222="K",VLOOKUP(L222,'Foundation Calculation'!$K$42:$R$80,VLOOKUP(AW222,'Foundation Calculation'!$I$2:$J$8,2,FALSE),0),""))</f>
        <v>5.3</v>
      </c>
      <c r="AZ222" s="484"/>
      <c r="BA222" s="671" t="s">
        <v>2809</v>
      </c>
      <c r="BB222" s="449" t="str">
        <f>Pole_Calculations!A178</f>
        <v>App.8-V08F-P10.3</v>
      </c>
      <c r="BC222" s="169"/>
      <c r="BD222" s="1371"/>
      <c r="BE222" s="1371"/>
      <c r="BF222" s="1371"/>
      <c r="BG222" s="1371"/>
    </row>
    <row r="223" spans="1:59" ht="15.75" customHeight="1">
      <c r="A223" s="1239"/>
      <c r="B223" s="1239"/>
      <c r="C223" s="171"/>
      <c r="D223" s="1239"/>
      <c r="E223" s="1239"/>
      <c r="F223" s="1239"/>
      <c r="G223" s="455">
        <v>60</v>
      </c>
      <c r="H223" s="1239"/>
      <c r="I223" s="448"/>
      <c r="J223" s="171"/>
      <c r="K223" s="1239"/>
      <c r="L223" s="1239"/>
      <c r="M223" s="1239"/>
      <c r="N223" s="1239"/>
      <c r="O223" s="1239"/>
      <c r="P223" s="1239"/>
      <c r="Q223" s="1239"/>
      <c r="R223" s="1239"/>
      <c r="S223" s="455">
        <f t="shared" ref="S223" si="106">AG224-AG222</f>
        <v>60</v>
      </c>
      <c r="T223" s="1239"/>
      <c r="U223" s="1239"/>
      <c r="V223" s="1239"/>
      <c r="W223" s="1239"/>
      <c r="X223" s="1239"/>
      <c r="Y223" s="1239"/>
      <c r="Z223" s="1239"/>
      <c r="AA223" s="1239"/>
      <c r="AB223" s="1239"/>
      <c r="AC223" s="1239"/>
      <c r="AD223" s="1239"/>
      <c r="AE223" s="1239"/>
      <c r="AF223" s="1239"/>
      <c r="AG223" s="171"/>
      <c r="AH223" s="1239"/>
      <c r="AI223" s="1239"/>
      <c r="AJ223" s="1239"/>
      <c r="AK223" s="1239"/>
      <c r="AL223" s="1239"/>
      <c r="AM223" s="1239"/>
      <c r="AN223" s="484"/>
      <c r="AO223" s="638"/>
      <c r="AP223" s="638"/>
      <c r="AQ223" s="484">
        <f>+FL_1($T$224,$T$222,$G$223,1200,9.28, 1*$F$224)</f>
        <v>0.43600286799999999</v>
      </c>
      <c r="AR223" s="638"/>
      <c r="AS223" s="638"/>
      <c r="AT223" s="484"/>
      <c r="AU223" s="638"/>
      <c r="AV223" s="638"/>
      <c r="AW223" s="638"/>
      <c r="AX223" s="638"/>
      <c r="AY223" s="484"/>
      <c r="AZ223" s="484"/>
      <c r="BA223" s="671"/>
      <c r="BB223" s="1239"/>
      <c r="BC223" s="169"/>
      <c r="BD223" s="1330"/>
      <c r="BE223" s="1330"/>
      <c r="BF223" s="1330"/>
      <c r="BG223" s="1330"/>
    </row>
    <row r="224" spans="1:59" ht="15.75" customHeight="1">
      <c r="A224" s="1239"/>
      <c r="B224" s="1239" t="s">
        <v>2574</v>
      </c>
      <c r="C224" s="171">
        <f>C222+G223</f>
        <v>90330.85</v>
      </c>
      <c r="D224" s="1239"/>
      <c r="E224" s="1239"/>
      <c r="F224" s="447">
        <v>0</v>
      </c>
      <c r="G224" s="455"/>
      <c r="H224" s="1239"/>
      <c r="I224" s="448"/>
      <c r="J224" s="171"/>
      <c r="K224" s="1239"/>
      <c r="L224" s="1239" t="s">
        <v>4393</v>
      </c>
      <c r="M224" s="1239" t="str">
        <f>IF(AX224="PT",VLOOKUP(L224,'Foundation Calculation'!$V$2:$X$40,VLOOKUP(AX224,'Foundation Calculation'!$I$10:$J$13,2,FALSE),0),IF(AX224="K",VLOOKUP(L224,'Foundation Calculation'!$V$42:$X$80,VLOOKUP(AX224,'Foundation Calculation'!$I$10:$J$13,2,FALSE),0),""))</f>
        <v>2C4R</v>
      </c>
      <c r="N224" s="1239" t="s">
        <v>144</v>
      </c>
      <c r="O224" s="1239"/>
      <c r="P224" s="638"/>
      <c r="Q224" s="638">
        <v>0</v>
      </c>
      <c r="R224" s="638">
        <v>0</v>
      </c>
      <c r="S224" s="484"/>
      <c r="T224" s="638">
        <v>35</v>
      </c>
      <c r="U224" s="638"/>
      <c r="V224" s="638"/>
      <c r="W224" s="638">
        <v>1.4</v>
      </c>
      <c r="X224" s="1239"/>
      <c r="Y224" s="1239"/>
      <c r="Z224" s="1239"/>
      <c r="AA224" s="1239"/>
      <c r="AB224" s="1239"/>
      <c r="AC224" s="638" t="s">
        <v>4090</v>
      </c>
      <c r="AD224" s="1239"/>
      <c r="AE224" s="1239"/>
      <c r="AF224" s="1239">
        <v>6000</v>
      </c>
      <c r="AG224" s="171">
        <v>90330</v>
      </c>
      <c r="AH224" s="1239">
        <v>3263</v>
      </c>
      <c r="AI224" s="1239">
        <v>240</v>
      </c>
      <c r="AJ224" s="1239"/>
      <c r="AK224" s="1239"/>
      <c r="AL224" s="1239" t="s">
        <v>2135</v>
      </c>
      <c r="AM224" s="1239" t="s">
        <v>1042</v>
      </c>
      <c r="AN224" s="484">
        <v>5.5</v>
      </c>
      <c r="AO224" s="638"/>
      <c r="AP224" s="638"/>
      <c r="AQ224" s="484"/>
      <c r="AR224" s="638"/>
      <c r="AS224" s="638"/>
      <c r="AT224" s="484">
        <f>+ab($T$224,$T$222,$T$226,$G$223,$G$225, 1*$F$224,1200)</f>
        <v>7.8175137683875535</v>
      </c>
      <c r="AU224" s="638"/>
      <c r="AV224" s="638"/>
      <c r="AW224" s="638" t="str">
        <f>VLOOKUP(C224,'Foundation Calculation'!$A$2:$C$33,3,1)</f>
        <v>Soil B</v>
      </c>
      <c r="AX224" s="572" t="str">
        <f>VLOOKUP(C224,'Foundation Calculation'!$E$2:$G$33,3,1)</f>
        <v>PT</v>
      </c>
      <c r="AY224" s="484">
        <f>IF(AX224="PT",VLOOKUP(L224,'Foundation Calculation'!$K$2:$R$40,VLOOKUP(AW224,'Foundation Calculation'!$I$2:$J$8,2,FALSE),0),IF(AX224="K",VLOOKUP(L224,'Foundation Calculation'!$K$42:$R$80,VLOOKUP(AW224,'Foundation Calculation'!$I$2:$J$8,2,FALSE),0),""))</f>
        <v>5.3</v>
      </c>
      <c r="AZ224" s="484"/>
      <c r="BA224" s="671" t="s">
        <v>2809</v>
      </c>
      <c r="BB224" s="1239" t="str">
        <f>Pole_Calculations!A178</f>
        <v>App.8-V08F-P10.3</v>
      </c>
      <c r="BC224" s="169"/>
      <c r="BD224" s="1371">
        <v>43785</v>
      </c>
      <c r="BE224" s="1371"/>
      <c r="BF224" s="1371"/>
      <c r="BG224" s="1371"/>
    </row>
    <row r="225" spans="1:59" ht="15.75" customHeight="1">
      <c r="A225" s="1239"/>
      <c r="B225" s="1239"/>
      <c r="C225" s="171"/>
      <c r="D225" s="1239"/>
      <c r="E225" s="1239"/>
      <c r="F225" s="1239"/>
      <c r="G225" s="455">
        <v>55</v>
      </c>
      <c r="H225" s="1239"/>
      <c r="I225" s="448"/>
      <c r="J225" s="171"/>
      <c r="K225" s="1239"/>
      <c r="L225" s="1239"/>
      <c r="M225" s="1239"/>
      <c r="N225" s="1239"/>
      <c r="O225" s="1239"/>
      <c r="P225" s="1239"/>
      <c r="Q225" s="1239"/>
      <c r="R225" s="1239"/>
      <c r="S225" s="455">
        <f t="shared" ref="S225" si="107">AG226-AG224</f>
        <v>55</v>
      </c>
      <c r="T225" s="1239"/>
      <c r="U225" s="1239"/>
      <c r="V225" s="1239"/>
      <c r="W225" s="1239"/>
      <c r="X225" s="1239"/>
      <c r="Y225" s="1239"/>
      <c r="Z225" s="1239"/>
      <c r="AA225" s="1239"/>
      <c r="AB225" s="1239"/>
      <c r="AC225" s="1239"/>
      <c r="AD225" s="1239"/>
      <c r="AE225" s="1239"/>
      <c r="AF225" s="1239"/>
      <c r="AG225" s="171"/>
      <c r="AH225" s="1239"/>
      <c r="AI225" s="1239"/>
      <c r="AJ225" s="1239"/>
      <c r="AK225" s="1239"/>
      <c r="AL225" s="1239"/>
      <c r="AM225" s="1239"/>
      <c r="AN225" s="484"/>
      <c r="AO225" s="638"/>
      <c r="AP225" s="638"/>
      <c r="AQ225" s="484">
        <f>+FL_2($T$226,$T$224,$G$225,1200,9.28, 1*$F$226)</f>
        <v>-0.39714735709090909</v>
      </c>
      <c r="AR225" s="638"/>
      <c r="AS225" s="638"/>
      <c r="AT225" s="484"/>
      <c r="AU225" s="638"/>
      <c r="AV225" s="638"/>
      <c r="AW225" s="638"/>
      <c r="AX225" s="638"/>
      <c r="AY225" s="484"/>
      <c r="AZ225" s="484"/>
      <c r="BA225" s="671"/>
      <c r="BB225" s="1239"/>
      <c r="BC225" s="169"/>
      <c r="BD225" s="1330"/>
      <c r="BE225" s="1330"/>
      <c r="BF225" s="1330"/>
      <c r="BG225" s="1330"/>
    </row>
    <row r="226" spans="1:59" ht="15.75" customHeight="1">
      <c r="A226" s="1239"/>
      <c r="B226" s="572" t="s">
        <v>2578</v>
      </c>
      <c r="C226" s="171">
        <f>+$C$224+$G$225</f>
        <v>90385.85</v>
      </c>
      <c r="D226" s="1239"/>
      <c r="E226" s="1239"/>
      <c r="F226" s="447">
        <v>0</v>
      </c>
      <c r="G226" s="455"/>
      <c r="H226" s="1239"/>
      <c r="I226" s="448"/>
      <c r="J226" s="171"/>
      <c r="K226" s="1239"/>
      <c r="L226" s="1239" t="s">
        <v>4393</v>
      </c>
      <c r="M226" s="1239" t="str">
        <f>IF(AX226="PT",VLOOKUP(L226,'Foundation Calculation'!$V$2:$X$40,VLOOKUP(AX226,'Foundation Calculation'!$I$10:$J$13,2,FALSE),0),IF(AX226="K",VLOOKUP(L226,'Foundation Calculation'!$V$42:$X$80,VLOOKUP(AX226,'Foundation Calculation'!$I$10:$J$13,2,FALSE),0),""))</f>
        <v>2C4R</v>
      </c>
      <c r="N226" s="1239" t="s">
        <v>143</v>
      </c>
      <c r="O226" s="1239"/>
      <c r="P226" s="638"/>
      <c r="Q226" s="638">
        <v>0</v>
      </c>
      <c r="R226" s="638">
        <v>0</v>
      </c>
      <c r="S226" s="484"/>
      <c r="T226" s="638">
        <v>-35</v>
      </c>
      <c r="U226" s="638"/>
      <c r="V226" s="638"/>
      <c r="W226" s="638">
        <v>1.4</v>
      </c>
      <c r="X226" s="1239"/>
      <c r="Y226" s="1239"/>
      <c r="Z226" s="1239"/>
      <c r="AA226" s="1239"/>
      <c r="AB226" s="1239"/>
      <c r="AC226" s="638" t="s">
        <v>4090</v>
      </c>
      <c r="AD226" s="1239"/>
      <c r="AE226" s="1239"/>
      <c r="AF226" s="1239">
        <v>6000</v>
      </c>
      <c r="AG226" s="171">
        <v>90385</v>
      </c>
      <c r="AH226" s="1239">
        <v>3383</v>
      </c>
      <c r="AI226" s="1239">
        <v>260</v>
      </c>
      <c r="AJ226" s="1239"/>
      <c r="AK226" s="1239"/>
      <c r="AL226" s="1239" t="s">
        <v>2135</v>
      </c>
      <c r="AM226" s="1239" t="s">
        <v>1042</v>
      </c>
      <c r="AN226" s="484">
        <v>5.5</v>
      </c>
      <c r="AO226" s="638"/>
      <c r="AP226" s="638"/>
      <c r="AQ226" s="484"/>
      <c r="AR226" s="638"/>
      <c r="AS226" s="638"/>
      <c r="AT226" s="484">
        <f>+ab($T$226,$T$224,$T$228,$G$225,$G$227, 1*$F$226,1200)</f>
        <v>-6.8978944678862213</v>
      </c>
      <c r="AU226" s="638"/>
      <c r="AV226" s="638"/>
      <c r="AW226" s="638" t="str">
        <f>VLOOKUP(C226,'Foundation Calculation'!$A$2:$C$33,3,1)</f>
        <v>Soil B</v>
      </c>
      <c r="AX226" s="572" t="str">
        <f>VLOOKUP(C226,'Foundation Calculation'!$E$2:$G$33,3,1)</f>
        <v>PT</v>
      </c>
      <c r="AY226" s="484">
        <f>IF(AX226="PT",VLOOKUP(L226,'Foundation Calculation'!$K$2:$R$40,VLOOKUP(AW226,'Foundation Calculation'!$I$2:$J$8,2,FALSE),0),IF(AX226="K",VLOOKUP(L226,'Foundation Calculation'!$K$42:$R$80,VLOOKUP(AW226,'Foundation Calculation'!$I$2:$J$8,2,FALSE),0),""))</f>
        <v>5.3</v>
      </c>
      <c r="AZ226" s="484"/>
      <c r="BA226" s="671" t="s">
        <v>2809</v>
      </c>
      <c r="BB226" s="1239" t="str">
        <f>Pole_Calculations!A178</f>
        <v>App.8-V08F-P10.3</v>
      </c>
      <c r="BC226" s="169"/>
      <c r="BD226" s="1371">
        <v>43785</v>
      </c>
      <c r="BE226" s="1371"/>
      <c r="BF226" s="1371"/>
      <c r="BG226" s="1371"/>
    </row>
    <row r="227" spans="1:59" ht="15.75" customHeight="1">
      <c r="A227" s="1239"/>
      <c r="B227" s="1239"/>
      <c r="C227" s="171"/>
      <c r="D227" s="1239"/>
      <c r="E227" s="1239"/>
      <c r="F227" s="1239"/>
      <c r="G227" s="455">
        <v>46.8</v>
      </c>
      <c r="H227" s="1239"/>
      <c r="I227" s="448"/>
      <c r="J227" s="171"/>
      <c r="K227" s="1239"/>
      <c r="L227" s="1239"/>
      <c r="M227" s="1239"/>
      <c r="N227" s="1239"/>
      <c r="O227" s="1239"/>
      <c r="P227" s="1239"/>
      <c r="Q227" s="1239"/>
      <c r="R227" s="1239"/>
      <c r="S227" s="455">
        <f t="shared" ref="S227" si="108">AG228-AG226</f>
        <v>47.639999999999418</v>
      </c>
      <c r="T227" s="1239"/>
      <c r="U227" s="1239"/>
      <c r="V227" s="1239"/>
      <c r="W227" s="1239"/>
      <c r="X227" s="1239"/>
      <c r="Y227" s="1239"/>
      <c r="Z227" s="1239"/>
      <c r="AA227" s="1239"/>
      <c r="AB227" s="1239"/>
      <c r="AC227" s="1239"/>
      <c r="AD227" s="1239"/>
      <c r="AE227" s="1239"/>
      <c r="AF227" s="1239"/>
      <c r="AG227" s="171"/>
      <c r="AH227" s="1239"/>
      <c r="AI227" s="1239"/>
      <c r="AJ227" s="1239"/>
      <c r="AK227" s="1239"/>
      <c r="AL227" s="1239"/>
      <c r="AM227" s="1239"/>
      <c r="AN227" s="484"/>
      <c r="AO227" s="638"/>
      <c r="AP227" s="638"/>
      <c r="AQ227" s="484">
        <f>+FL_2($T$228,$T$226,$G$227,1200,9.28, 1*$F$228)</f>
        <v>-0.35636960560683767</v>
      </c>
      <c r="AR227" s="638"/>
      <c r="AS227" s="638"/>
      <c r="AT227" s="484"/>
      <c r="AU227" s="638"/>
      <c r="AV227" s="638"/>
      <c r="AW227" s="638"/>
      <c r="AX227" s="638"/>
      <c r="AY227" s="484"/>
      <c r="AZ227" s="484"/>
      <c r="BA227" s="671"/>
      <c r="BB227" s="1239"/>
      <c r="BC227" s="169"/>
      <c r="BD227" s="1330"/>
      <c r="BE227" s="1330"/>
      <c r="BF227" s="1330"/>
      <c r="BG227" s="1330"/>
    </row>
    <row r="228" spans="1:59" ht="15.75" customHeight="1">
      <c r="A228" s="1239"/>
      <c r="B228" s="572" t="s">
        <v>2579</v>
      </c>
      <c r="C228" s="171">
        <f>+$C$226+$G$227</f>
        <v>90432.650000000009</v>
      </c>
      <c r="D228" s="1239"/>
      <c r="E228" s="1239"/>
      <c r="F228" s="447">
        <v>0</v>
      </c>
      <c r="G228" s="455"/>
      <c r="H228" s="1239"/>
      <c r="I228" s="448" t="s">
        <v>1039</v>
      </c>
      <c r="J228" s="171">
        <f>C228+7.5</f>
        <v>90440.150000000009</v>
      </c>
      <c r="K228" s="1239" t="s">
        <v>2788</v>
      </c>
      <c r="L228" s="1239" t="s">
        <v>4393</v>
      </c>
      <c r="M228" s="1239" t="str">
        <f>IF(AX228="PT",VLOOKUP(L228,'Foundation Calculation'!$V$2:$X$40,VLOOKUP(AX228,'Foundation Calculation'!$I$10:$J$13,2,FALSE),0),IF(AX228="K",VLOOKUP(L228,'Foundation Calculation'!$V$42:$X$80,VLOOKUP(AX228,'Foundation Calculation'!$I$10:$J$13,2,FALSE),0),""))</f>
        <v>2C4R</v>
      </c>
      <c r="N228" s="1239" t="s">
        <v>144</v>
      </c>
      <c r="O228" s="1239"/>
      <c r="P228" s="638"/>
      <c r="Q228" s="638">
        <v>0</v>
      </c>
      <c r="R228" s="638">
        <v>0</v>
      </c>
      <c r="S228" s="484"/>
      <c r="T228" s="638">
        <v>35</v>
      </c>
      <c r="U228" s="638"/>
      <c r="V228" s="638"/>
      <c r="W228" s="638">
        <v>1.4</v>
      </c>
      <c r="X228" s="1239"/>
      <c r="Y228" s="1239"/>
      <c r="Z228" s="1239"/>
      <c r="AA228" s="1239"/>
      <c r="AB228" s="1239"/>
      <c r="AC228" s="638" t="s">
        <v>4090</v>
      </c>
      <c r="AD228" s="1239"/>
      <c r="AE228" s="1239"/>
      <c r="AF228" s="1239">
        <v>6000</v>
      </c>
      <c r="AG228" s="171">
        <v>90432.639999999999</v>
      </c>
      <c r="AH228" s="1239">
        <v>3313</v>
      </c>
      <c r="AI228" s="1239">
        <v>340</v>
      </c>
      <c r="AJ228" s="1239"/>
      <c r="AK228" s="1239"/>
      <c r="AL228" s="1239" t="s">
        <v>2135</v>
      </c>
      <c r="AM228" s="1239" t="s">
        <v>1042</v>
      </c>
      <c r="AN228" s="484">
        <v>5.5</v>
      </c>
      <c r="AO228" s="638"/>
      <c r="AP228" s="638"/>
      <c r="AQ228" s="484"/>
      <c r="AR228" s="638"/>
      <c r="AS228" s="638"/>
      <c r="AT228" s="484">
        <f>+ab($T$228,$T$226,-$T$230,$G$227,$G$229, 1*$F$228,1200)</f>
        <v>6.5974291344373608</v>
      </c>
      <c r="AU228" s="638"/>
      <c r="AV228" s="638"/>
      <c r="AW228" s="638" t="str">
        <f>VLOOKUP(C228,'Foundation Calculation'!$A$2:$C$33,3,1)</f>
        <v>Soil B</v>
      </c>
      <c r="AX228" s="572" t="str">
        <f>VLOOKUP(C228,'Foundation Calculation'!$E$2:$G$33,3,1)</f>
        <v>PT</v>
      </c>
      <c r="AY228" s="484">
        <f>IF(AX228="PT",VLOOKUP(L228,'Foundation Calculation'!$K$2:$R$40,VLOOKUP(AW228,'Foundation Calculation'!$I$2:$J$8,2,FALSE),0),IF(AX228="K",VLOOKUP(L228,'Foundation Calculation'!$K$42:$R$80,VLOOKUP(AW228,'Foundation Calculation'!$I$2:$J$8,2,FALSE),0),""))</f>
        <v>5.3</v>
      </c>
      <c r="AZ228" s="484">
        <f>IF(AX228="PT",VLOOKUP(K228,'Foundation Calculation'!$K$2:$R$40,VLOOKUP(AW228,'Foundation Calculation'!$I$2:$J$8,2,FALSE),0),IF(AX228="K",VLOOKUP(K228,'Foundation Calculation'!$K$42:$R$80,VLOOKUP(AW228,'Foundation Calculation'!$I$2:$J$8,2,FALSE),0),""))</f>
        <v>2.8</v>
      </c>
      <c r="BA228" s="671" t="s">
        <v>2809</v>
      </c>
      <c r="BB228" s="1239" t="str">
        <f>Pole_Calculations!A178</f>
        <v>App.8-V08F-P10.3</v>
      </c>
      <c r="BC228" s="169"/>
      <c r="BD228" s="1371">
        <v>43785</v>
      </c>
      <c r="BE228" s="1371"/>
      <c r="BF228" s="1371"/>
      <c r="BG228" s="1371"/>
    </row>
    <row r="229" spans="1:59" ht="15.75" customHeight="1">
      <c r="A229" s="1239"/>
      <c r="B229" s="1239"/>
      <c r="C229" s="171"/>
      <c r="D229" s="1239"/>
      <c r="E229" s="1239"/>
      <c r="F229" s="1239"/>
      <c r="G229" s="455">
        <v>50</v>
      </c>
      <c r="H229" s="1239"/>
      <c r="I229" s="448"/>
      <c r="J229" s="171">
        <f>C230-7.5</f>
        <v>90475.150000000009</v>
      </c>
      <c r="K229" s="1239" t="s">
        <v>2788</v>
      </c>
      <c r="L229" s="1239"/>
      <c r="M229" s="1239"/>
      <c r="N229" s="1239"/>
      <c r="O229" s="1239"/>
      <c r="P229" s="1239"/>
      <c r="Q229" s="1239"/>
      <c r="R229" s="1239"/>
      <c r="S229" s="455">
        <f t="shared" ref="S229" si="109">AG230-AG228</f>
        <v>49.360000000000582</v>
      </c>
      <c r="T229" s="1239"/>
      <c r="U229" s="1239"/>
      <c r="V229" s="1239"/>
      <c r="W229" s="1239"/>
      <c r="X229" s="1239"/>
      <c r="Y229" s="1239"/>
      <c r="Z229" s="1239"/>
      <c r="AA229" s="1239"/>
      <c r="AB229" s="1239"/>
      <c r="AC229" s="1239"/>
      <c r="AD229" s="1239"/>
      <c r="AE229" s="1239"/>
      <c r="AF229" s="1239"/>
      <c r="AG229" s="171"/>
      <c r="AH229" s="1239"/>
      <c r="AI229" s="1239"/>
      <c r="AJ229" s="1239"/>
      <c r="AK229" s="1239"/>
      <c r="AL229" s="1239"/>
      <c r="AM229" s="1239"/>
      <c r="AN229" s="484"/>
      <c r="AO229" s="638"/>
      <c r="AP229" s="638"/>
      <c r="AQ229" s="484">
        <f>+FL_1(-$T$230,$T$228,$G$229,1200,9.28, 1*$F$230)</f>
        <v>0.36839080000000002</v>
      </c>
      <c r="AR229" s="638"/>
      <c r="AS229" s="638"/>
      <c r="AT229" s="484"/>
      <c r="AU229" s="638"/>
      <c r="AV229" s="638"/>
      <c r="AW229" s="638" t="str">
        <f>VLOOKUP(J229,'Foundation Calculation'!$A$2:$C$33,3,1)</f>
        <v>Soil B</v>
      </c>
      <c r="AX229" s="572" t="str">
        <f>VLOOKUP(J229,'Foundation Calculation'!$E$2:$G$33,3,1)</f>
        <v>PT</v>
      </c>
      <c r="AY229" s="484"/>
      <c r="AZ229" s="484">
        <f>IF(AX229="PT",VLOOKUP(K229,'Foundation Calculation'!$K$2:$R$40,VLOOKUP(AW229,'Foundation Calculation'!$I$2:$J$8,2,FALSE),0),IF(AX229="K",VLOOKUP(K229,'Foundation Calculation'!$K$42:$R$80,VLOOKUP(AW229,'Foundation Calculation'!$I$2:$J$8,2,FALSE),0),""))</f>
        <v>2.8</v>
      </c>
      <c r="BA229" s="671" t="s">
        <v>2809</v>
      </c>
      <c r="BB229" s="1239"/>
      <c r="BC229" s="169"/>
      <c r="BD229" s="1329">
        <v>43785</v>
      </c>
      <c r="BE229" s="1330"/>
      <c r="BF229" s="1330"/>
      <c r="BG229" s="1330"/>
    </row>
    <row r="230" spans="1:59" ht="15.75" customHeight="1">
      <c r="A230" s="1239"/>
      <c r="B230" s="572" t="s">
        <v>2580</v>
      </c>
      <c r="C230" s="171">
        <f>+$C$228+$G$229</f>
        <v>90482.650000000009</v>
      </c>
      <c r="D230" s="1239"/>
      <c r="E230" s="1239"/>
      <c r="F230" s="447">
        <v>0</v>
      </c>
      <c r="G230" s="455"/>
      <c r="H230" s="1239"/>
      <c r="I230" s="448" t="s">
        <v>1039</v>
      </c>
      <c r="J230" s="171"/>
      <c r="K230" s="1239"/>
      <c r="L230" s="1239" t="s">
        <v>819</v>
      </c>
      <c r="M230" s="1239" t="str">
        <f>IF(AX230="PT",VLOOKUP(L230,'Foundation Calculation'!$V$2:$X$40,VLOOKUP(AX230,'Foundation Calculation'!$I$10:$J$13,2,FALSE),0),IF(AX230="K",VLOOKUP(L230,'Foundation Calculation'!$V$42:$X$80,VLOOKUP(AX230,'Foundation Calculation'!$I$10:$J$13,2,FALSE),0),""))</f>
        <v>C5R</v>
      </c>
      <c r="N230" s="1239" t="s">
        <v>144</v>
      </c>
      <c r="O230" s="1239"/>
      <c r="P230" s="638"/>
      <c r="Q230" s="638">
        <v>20</v>
      </c>
      <c r="R230" s="638">
        <v>0</v>
      </c>
      <c r="S230" s="484"/>
      <c r="T230" s="638">
        <v>35</v>
      </c>
      <c r="U230" s="638"/>
      <c r="V230" s="638"/>
      <c r="W230" s="638">
        <v>1.4</v>
      </c>
      <c r="X230" s="1239"/>
      <c r="Y230" s="1239"/>
      <c r="Z230" s="1239"/>
      <c r="AA230" s="1239"/>
      <c r="AB230" s="1239"/>
      <c r="AC230" s="1239" t="s">
        <v>4090</v>
      </c>
      <c r="AD230" s="1239"/>
      <c r="AE230" s="1239"/>
      <c r="AF230" s="1239">
        <v>6000</v>
      </c>
      <c r="AG230" s="171">
        <v>90482</v>
      </c>
      <c r="AH230" s="1239">
        <v>2813</v>
      </c>
      <c r="AI230" s="1239">
        <v>410</v>
      </c>
      <c r="AJ230" s="1239"/>
      <c r="AK230" s="1239"/>
      <c r="AL230" s="1239" t="s">
        <v>2127</v>
      </c>
      <c r="AM230" s="1239" t="s">
        <v>1042</v>
      </c>
      <c r="AN230" s="484">
        <v>5.5</v>
      </c>
      <c r="AO230" s="638"/>
      <c r="AP230" s="638"/>
      <c r="AQ230" s="484"/>
      <c r="AR230" s="638"/>
      <c r="AS230" s="638"/>
      <c r="AT230" s="484">
        <f>+ab($T$230,-$T$228,$T$232,$G$229,$G$231, 1*$F$230,1200)</f>
        <v>6.317818902900509</v>
      </c>
      <c r="AU230" s="638"/>
      <c r="AV230" s="638"/>
      <c r="AW230" s="638" t="str">
        <f>VLOOKUP(C230,'Foundation Calculation'!$A$2:$C$33,3,1)</f>
        <v>Soil B</v>
      </c>
      <c r="AX230" s="572" t="str">
        <f>VLOOKUP(C230,'Foundation Calculation'!$E$2:$G$33,3,1)</f>
        <v>PT</v>
      </c>
      <c r="AY230" s="484">
        <f>IF(AX230="PT",VLOOKUP(L230,'Foundation Calculation'!$K$2:$R$40,VLOOKUP(AW230,'Foundation Calculation'!$I$2:$J$8,2,FALSE),0),IF(AX230="K",VLOOKUP(L230,'Foundation Calculation'!$K$42:$R$80,VLOOKUP(AW230,'Foundation Calculation'!$I$2:$J$8,2,FALSE),0),""))</f>
        <v>3.5</v>
      </c>
      <c r="AZ230" s="484"/>
      <c r="BA230" s="671" t="s">
        <v>2809</v>
      </c>
      <c r="BB230" s="1239" t="str">
        <f>Pole_Calculations!A178</f>
        <v>App.8-V08F-P10.3</v>
      </c>
      <c r="BC230" s="169"/>
      <c r="BD230" s="1371">
        <v>43785</v>
      </c>
      <c r="BE230" s="1371"/>
      <c r="BF230" s="1371"/>
      <c r="BG230" s="1371"/>
    </row>
    <row r="231" spans="1:59" ht="15.75" customHeight="1">
      <c r="A231" s="1239"/>
      <c r="B231" s="1239"/>
      <c r="C231" s="171"/>
      <c r="D231" s="1239"/>
      <c r="E231" s="1239"/>
      <c r="F231" s="1239"/>
      <c r="G231" s="455">
        <v>40</v>
      </c>
      <c r="H231" s="1239"/>
      <c r="I231" s="448"/>
      <c r="J231" s="171">
        <f>C232-7.5</f>
        <v>90515.150000000009</v>
      </c>
      <c r="K231" s="1239" t="s">
        <v>2788</v>
      </c>
      <c r="L231" s="1239"/>
      <c r="M231" s="1239"/>
      <c r="N231" s="1239"/>
      <c r="O231" s="1239"/>
      <c r="P231" s="1239"/>
      <c r="Q231" s="1239"/>
      <c r="R231" s="1239"/>
      <c r="S231" s="455">
        <f t="shared" ref="S231" si="110">AG232-AG230</f>
        <v>40</v>
      </c>
      <c r="T231" s="1239"/>
      <c r="U231" s="1239"/>
      <c r="V231" s="1239"/>
      <c r="W231" s="1239"/>
      <c r="X231" s="1239"/>
      <c r="Y231" s="1239"/>
      <c r="Z231" s="1239"/>
      <c r="AA231" s="1239"/>
      <c r="AB231" s="1239"/>
      <c r="AC231" s="1239"/>
      <c r="AD231" s="1239"/>
      <c r="AE231" s="1239"/>
      <c r="AF231" s="1239"/>
      <c r="AG231" s="171"/>
      <c r="AH231" s="1239"/>
      <c r="AI231" s="1239"/>
      <c r="AJ231" s="1239"/>
      <c r="AK231" s="1239"/>
      <c r="AL231" s="1239"/>
      <c r="AM231" s="1239"/>
      <c r="AN231" s="484"/>
      <c r="AO231" s="638"/>
      <c r="AP231" s="638"/>
      <c r="AQ231" s="484">
        <f>+FL_1($T$232,$T$230,$G$231,1200,9.28, 1*$F$232)</f>
        <v>0.35000000000000053</v>
      </c>
      <c r="AR231" s="638"/>
      <c r="AS231" s="638"/>
      <c r="AT231" s="484"/>
      <c r="AU231" s="638"/>
      <c r="AV231" s="638"/>
      <c r="AW231" s="638" t="str">
        <f>VLOOKUP(J231,'Foundation Calculation'!$A$2:$C$33,3,1)</f>
        <v>Soil B</v>
      </c>
      <c r="AX231" s="572" t="str">
        <f>VLOOKUP(J231,'Foundation Calculation'!$E$2:$G$33,3,1)</f>
        <v>PT</v>
      </c>
      <c r="AY231" s="484"/>
      <c r="AZ231" s="484">
        <f>IF(AX231="PT",VLOOKUP(K231,'Foundation Calculation'!$K$2:$R$40,VLOOKUP(AW231,'Foundation Calculation'!$I$2:$J$8,2,FALSE),0),IF(AX231="K",VLOOKUP(K231,'Foundation Calculation'!$K$42:$R$80,VLOOKUP(AW231,'Foundation Calculation'!$I$2:$J$8,2,FALSE),0),""))</f>
        <v>2.8</v>
      </c>
      <c r="BA231" s="671" t="s">
        <v>2809</v>
      </c>
      <c r="BB231" s="1239"/>
      <c r="BC231" s="169"/>
      <c r="BD231" s="1329">
        <v>43785</v>
      </c>
      <c r="BE231" s="1330"/>
      <c r="BF231" s="1330"/>
      <c r="BG231" s="1330"/>
    </row>
    <row r="232" spans="1:59" ht="15.75" customHeight="1">
      <c r="A232" s="1239"/>
      <c r="B232" s="572" t="s">
        <v>2581</v>
      </c>
      <c r="C232" s="171">
        <f>+$C$230+$G$231</f>
        <v>90522.650000000009</v>
      </c>
      <c r="D232" s="1239"/>
      <c r="E232" s="1239"/>
      <c r="F232" s="447">
        <v>0</v>
      </c>
      <c r="G232" s="455"/>
      <c r="H232" s="1239" t="s">
        <v>873</v>
      </c>
      <c r="I232" s="448">
        <v>656</v>
      </c>
      <c r="J232" s="171"/>
      <c r="K232" s="1239"/>
      <c r="L232" s="1239" t="s">
        <v>819</v>
      </c>
      <c r="M232" s="1239" t="str">
        <f>IF(AX232="PT",VLOOKUP(L232,'Foundation Calculation'!$V$2:$X$40,VLOOKUP(AX232,'Foundation Calculation'!$I$10:$J$13,2,FALSE),0),IF(AX232="K",VLOOKUP(L232,'Foundation Calculation'!$V$42:$X$80,VLOOKUP(AX232,'Foundation Calculation'!$I$10:$J$13,2,FALSE),0),""))</f>
        <v>C5R</v>
      </c>
      <c r="N232" s="1239" t="s">
        <v>143</v>
      </c>
      <c r="O232" s="1239"/>
      <c r="P232" s="638"/>
      <c r="Q232" s="638">
        <v>0</v>
      </c>
      <c r="R232" s="638">
        <v>0</v>
      </c>
      <c r="S232" s="484"/>
      <c r="T232" s="638">
        <v>-30</v>
      </c>
      <c r="U232" s="638"/>
      <c r="V232" s="638"/>
      <c r="W232" s="638">
        <v>1.4</v>
      </c>
      <c r="X232" s="1239"/>
      <c r="Y232" s="1239"/>
      <c r="Z232" s="1239"/>
      <c r="AA232" s="1239"/>
      <c r="AB232" s="1239"/>
      <c r="AC232" s="1239" t="s">
        <v>4115</v>
      </c>
      <c r="AD232" s="1239"/>
      <c r="AE232" s="1239"/>
      <c r="AF232" s="1239">
        <v>6000</v>
      </c>
      <c r="AG232" s="171">
        <v>90522</v>
      </c>
      <c r="AH232" s="1239">
        <v>2573</v>
      </c>
      <c r="AI232" s="1239">
        <v>270</v>
      </c>
      <c r="AJ232" s="1239"/>
      <c r="AK232" s="1239"/>
      <c r="AL232" s="1239" t="s">
        <v>2127</v>
      </c>
      <c r="AM232" s="1239" t="s">
        <v>1042</v>
      </c>
      <c r="AN232" s="484">
        <v>5.5</v>
      </c>
      <c r="AO232" s="638"/>
      <c r="AP232" s="638"/>
      <c r="AQ232" s="484"/>
      <c r="AR232" s="638"/>
      <c r="AS232" s="638"/>
      <c r="AT232" s="484">
        <f>+ab($T$232,$T$230,$T$234,$G$231,$G$233, 1*$F$232,1200)</f>
        <v>-6.5945403732408927</v>
      </c>
      <c r="AU232" s="638"/>
      <c r="AV232" s="638"/>
      <c r="AW232" s="638" t="str">
        <f>VLOOKUP(C232,'Foundation Calculation'!$A$2:$C$33,3,1)</f>
        <v>Soil B</v>
      </c>
      <c r="AX232" s="572" t="str">
        <f>VLOOKUP(C232,'Foundation Calculation'!$E$2:$G$33,3,1)</f>
        <v>PT</v>
      </c>
      <c r="AY232" s="484">
        <f>IF(AX232="PT",VLOOKUP(L232,'Foundation Calculation'!$K$2:$R$40,VLOOKUP(AW232,'Foundation Calculation'!$I$2:$J$8,2,FALSE),0),IF(AX232="K",VLOOKUP(L232,'Foundation Calculation'!$K$42:$R$80,VLOOKUP(AW232,'Foundation Calculation'!$I$2:$J$8,2,FALSE),0),""))</f>
        <v>3.5</v>
      </c>
      <c r="AZ232" s="484"/>
      <c r="BA232" s="671" t="s">
        <v>2809</v>
      </c>
      <c r="BB232" s="1239" t="str">
        <f>Pole_Calculations!A178</f>
        <v>App.8-V08F-P10.3</v>
      </c>
      <c r="BC232" s="169"/>
      <c r="BD232" s="1371">
        <v>43785</v>
      </c>
      <c r="BE232" s="1371"/>
      <c r="BF232" s="1371"/>
      <c r="BG232" s="1371"/>
    </row>
    <row r="233" spans="1:59" ht="15.75" customHeight="1">
      <c r="A233" s="1239"/>
      <c r="B233" s="1239"/>
      <c r="C233" s="171"/>
      <c r="D233" s="1239"/>
      <c r="E233" s="1239"/>
      <c r="F233" s="1239"/>
      <c r="G233" s="455">
        <v>51.1</v>
      </c>
      <c r="H233" s="1239"/>
      <c r="I233" s="448">
        <v>615</v>
      </c>
      <c r="J233" s="171"/>
      <c r="K233" s="1239"/>
      <c r="L233" s="1239"/>
      <c r="M233" s="1239"/>
      <c r="N233" s="1239"/>
      <c r="O233" s="1239"/>
      <c r="P233" s="1239"/>
      <c r="Q233" s="1239"/>
      <c r="R233" s="1239"/>
      <c r="S233" s="455">
        <f t="shared" ref="S233" si="111">AG234-AG232</f>
        <v>51</v>
      </c>
      <c r="T233" s="1239"/>
      <c r="U233" s="1239"/>
      <c r="V233" s="1239"/>
      <c r="W233" s="1239"/>
      <c r="X233" s="1239"/>
      <c r="Y233" s="1239"/>
      <c r="Z233" s="1239"/>
      <c r="AA233" s="1239"/>
      <c r="AB233" s="1239"/>
      <c r="AC233" s="1239"/>
      <c r="AD233" s="1239"/>
      <c r="AE233" s="1239"/>
      <c r="AF233" s="1239"/>
      <c r="AG233" s="171"/>
      <c r="AH233" s="1239"/>
      <c r="AI233" s="1239"/>
      <c r="AJ233" s="1239"/>
      <c r="AK233" s="1239"/>
      <c r="AL233" s="1239"/>
      <c r="AM233" s="1239"/>
      <c r="AN233" s="484"/>
      <c r="AO233" s="638"/>
      <c r="AP233" s="638"/>
      <c r="AQ233" s="484">
        <f>+FL_2($T$234,$T$232,$G$233,1200,9.28, 1*$F$234)</f>
        <v>-0.35827415769102861</v>
      </c>
      <c r="AR233" s="638"/>
      <c r="AS233" s="638"/>
      <c r="AT233" s="484"/>
      <c r="AU233" s="638"/>
      <c r="AV233" s="638"/>
      <c r="AW233" s="638"/>
      <c r="AX233" s="572"/>
      <c r="AY233" s="484"/>
      <c r="AZ233" s="484"/>
      <c r="BA233" s="671"/>
      <c r="BB233" s="1239"/>
      <c r="BC233" s="169"/>
      <c r="BD233" s="1330"/>
      <c r="BE233" s="1330"/>
      <c r="BF233" s="1330"/>
      <c r="BG233" s="1330"/>
    </row>
    <row r="234" spans="1:59" ht="15.75" customHeight="1">
      <c r="A234" s="1239"/>
      <c r="B234" s="572" t="s">
        <v>2582</v>
      </c>
      <c r="C234" s="171">
        <f>+$C$232+$G$233</f>
        <v>90573.750000000015</v>
      </c>
      <c r="D234" s="1239"/>
      <c r="E234" s="1239"/>
      <c r="F234" s="447">
        <v>8000</v>
      </c>
      <c r="G234" s="455"/>
      <c r="H234" s="1239" t="s">
        <v>2920</v>
      </c>
      <c r="I234" s="448" t="s">
        <v>624</v>
      </c>
      <c r="J234" s="171"/>
      <c r="K234" s="1239"/>
      <c r="L234" s="1239" t="s">
        <v>4395</v>
      </c>
      <c r="M234" s="1239" t="str">
        <f>IF(AX234="PT",VLOOKUP(L234,'Foundation Calculation'!$V$2:$X$40,VLOOKUP(AX234,'Foundation Calculation'!$I$10:$J$13,2,FALSE),0),IF(AX234="K",VLOOKUP(L234,'Foundation Calculation'!$V$42:$X$80,VLOOKUP(AX234,'Foundation Calculation'!$I$10:$J$13,2,FALSE),0),""))</f>
        <v>C9R</v>
      </c>
      <c r="N234" s="1239" t="s">
        <v>144</v>
      </c>
      <c r="O234" s="1239"/>
      <c r="P234" s="638"/>
      <c r="Q234" s="638">
        <v>0</v>
      </c>
      <c r="R234" s="638">
        <v>-8000</v>
      </c>
      <c r="S234" s="484"/>
      <c r="T234" s="638">
        <v>35</v>
      </c>
      <c r="U234" s="638"/>
      <c r="V234" s="638"/>
      <c r="W234" s="638">
        <v>1.4</v>
      </c>
      <c r="X234" s="1239"/>
      <c r="Y234" s="1239"/>
      <c r="Z234" s="1239"/>
      <c r="AA234" s="1239"/>
      <c r="AB234" s="1239"/>
      <c r="AC234" s="1239" t="s">
        <v>4090</v>
      </c>
      <c r="AD234" s="1239"/>
      <c r="AE234" s="1239"/>
      <c r="AF234" s="1239">
        <v>6000</v>
      </c>
      <c r="AG234" s="171">
        <v>90573</v>
      </c>
      <c r="AH234" s="1239">
        <v>2683</v>
      </c>
      <c r="AI234" s="1239">
        <v>390</v>
      </c>
      <c r="AJ234" s="1239"/>
      <c r="AK234" s="1239"/>
      <c r="AL234" s="1239" t="s">
        <v>2142</v>
      </c>
      <c r="AM234" s="1239" t="s">
        <v>1042</v>
      </c>
      <c r="AN234" s="484">
        <v>5.5</v>
      </c>
      <c r="AO234" s="638"/>
      <c r="AP234" s="638"/>
      <c r="AQ234" s="484"/>
      <c r="AR234" s="638"/>
      <c r="AS234" s="638"/>
      <c r="AT234" s="484">
        <f>+ab($T$234,$T$232,$T$236,$G$233,$G$235, 1*$F$234,1200)</f>
        <v>5.5613159852987026</v>
      </c>
      <c r="AU234" s="638"/>
      <c r="AV234" s="638"/>
      <c r="AW234" s="638" t="str">
        <f>VLOOKUP(C234,'Foundation Calculation'!$A$2:$C$33,3,1)</f>
        <v>Soil B</v>
      </c>
      <c r="AX234" s="572" t="str">
        <f>VLOOKUP(C234,'Foundation Calculation'!$E$2:$G$33,3,1)</f>
        <v>PT</v>
      </c>
      <c r="AY234" s="484">
        <f>IF(AX234="PT",VLOOKUP(L234,'Foundation Calculation'!$K$2:$R$40,VLOOKUP(AW234,'Foundation Calculation'!$I$2:$J$8,2,FALSE),0),IF(AX234="K",VLOOKUP(L234,'Foundation Calculation'!$K$42:$R$80,VLOOKUP(AW234,'Foundation Calculation'!$I$2:$J$8,2,FALSE),0),""))</f>
        <v>4.5</v>
      </c>
      <c r="AZ234" s="484"/>
      <c r="BA234" s="671" t="s">
        <v>2809</v>
      </c>
      <c r="BB234" s="1239" t="str">
        <f>Pole_Calculations!A178</f>
        <v>App.8-V08F-P10.3</v>
      </c>
      <c r="BC234" s="169"/>
      <c r="BD234" s="1371"/>
      <c r="BE234" s="1371"/>
      <c r="BF234" s="1371"/>
      <c r="BG234" s="1371"/>
    </row>
    <row r="235" spans="1:59" ht="15.75" customHeight="1">
      <c r="A235" s="1239"/>
      <c r="B235" s="1239"/>
      <c r="C235" s="171"/>
      <c r="D235" s="1239"/>
      <c r="E235" s="1239"/>
      <c r="F235" s="1239"/>
      <c r="G235" s="455">
        <v>44.6</v>
      </c>
      <c r="H235" s="1239"/>
      <c r="I235" s="448">
        <v>636</v>
      </c>
      <c r="J235" s="171">
        <f>C234+7.5</f>
        <v>90581.250000000015</v>
      </c>
      <c r="K235" s="1239" t="s">
        <v>2787</v>
      </c>
      <c r="L235" s="1239"/>
      <c r="M235" s="1239"/>
      <c r="N235" s="1239"/>
      <c r="O235" s="1239"/>
      <c r="P235" s="1239"/>
      <c r="Q235" s="1239"/>
      <c r="R235" s="1239"/>
      <c r="S235" s="455">
        <f t="shared" ref="S235" si="112">AG236-AG234</f>
        <v>45</v>
      </c>
      <c r="T235" s="1239"/>
      <c r="U235" s="1239"/>
      <c r="V235" s="1239"/>
      <c r="W235" s="1239"/>
      <c r="X235" s="1239"/>
      <c r="Y235" s="1239"/>
      <c r="Z235" s="1239"/>
      <c r="AA235" s="1239"/>
      <c r="AB235" s="1239"/>
      <c r="AC235" s="1239"/>
      <c r="AD235" s="1239"/>
      <c r="AE235" s="1239"/>
      <c r="AF235" s="1239"/>
      <c r="AG235" s="171"/>
      <c r="AH235" s="1239"/>
      <c r="AI235" s="1239"/>
      <c r="AJ235" s="1239"/>
      <c r="AK235" s="1239"/>
      <c r="AL235" s="1239"/>
      <c r="AM235" s="1239"/>
      <c r="AN235" s="484"/>
      <c r="AO235" s="638"/>
      <c r="AP235" s="638"/>
      <c r="AQ235" s="484">
        <f>+FL_2($T$236,$T$234,$G$235,1200,9.28, 1*$F$236)</f>
        <v>-0.3604728548709355</v>
      </c>
      <c r="AR235" s="638"/>
      <c r="AS235" s="638"/>
      <c r="AT235" s="484"/>
      <c r="AU235" s="638"/>
      <c r="AV235" s="638"/>
      <c r="AW235" s="638" t="str">
        <f>VLOOKUP(J235,'Foundation Calculation'!$A$2:$C$33,3,1)</f>
        <v>Soil B</v>
      </c>
      <c r="AX235" s="572" t="str">
        <f>VLOOKUP(J235,'Foundation Calculation'!$E$2:$G$33,3,1)</f>
        <v>PT</v>
      </c>
      <c r="AY235" s="484"/>
      <c r="AZ235" s="484">
        <f>IF(AX235="PT",VLOOKUP(K235,'Foundation Calculation'!$K$2:$R$40,VLOOKUP(AW235,'Foundation Calculation'!$I$2:$J$8,2,FALSE),0),IF(AX235="K",VLOOKUP(K235,'Foundation Calculation'!$K$42:$R$80,VLOOKUP(AW235,'Foundation Calculation'!$I$2:$J$8,2,FALSE),0),""))</f>
        <v>3.9</v>
      </c>
      <c r="BA235" s="671" t="s">
        <v>2809</v>
      </c>
      <c r="BB235" s="1239"/>
      <c r="BC235" s="169"/>
      <c r="BD235" s="1329"/>
      <c r="BE235" s="1330"/>
      <c r="BF235" s="1330"/>
      <c r="BG235" s="1330"/>
    </row>
    <row r="236" spans="1:59" ht="15.75" customHeight="1">
      <c r="A236" s="449"/>
      <c r="B236" s="435" t="s">
        <v>2583</v>
      </c>
      <c r="C236" s="446">
        <f>+$C$234+$G$235</f>
        <v>90618.35000000002</v>
      </c>
      <c r="D236" s="173"/>
      <c r="E236" s="447"/>
      <c r="F236" s="447">
        <v>8000</v>
      </c>
      <c r="G236" s="484"/>
      <c r="H236" s="1239" t="s">
        <v>873</v>
      </c>
      <c r="I236" s="1239"/>
      <c r="J236" s="171"/>
      <c r="K236" s="638"/>
      <c r="L236" s="638" t="s">
        <v>4664</v>
      </c>
      <c r="M236" s="638" t="str">
        <f>IF(AX236="PT",VLOOKUP(L236,'Foundation Calculation'!$V$2:$X$40,VLOOKUP(AX236,'Foundation Calculation'!$I$10:$J$13,2,FALSE),0),IF(AX236="K",VLOOKUP(L236,'Foundation Calculation'!$V$42:$X$80,VLOOKUP(AX236,'Foundation Calculation'!$I$10:$J$13,2,FALSE),0),""))</f>
        <v>C11R</v>
      </c>
      <c r="N236" s="1239" t="s">
        <v>143</v>
      </c>
      <c r="O236" s="1239"/>
      <c r="P236" s="1239"/>
      <c r="Q236" s="638">
        <v>0</v>
      </c>
      <c r="R236" s="638">
        <v>-8000</v>
      </c>
      <c r="S236" s="484"/>
      <c r="T236" s="638">
        <v>-35</v>
      </c>
      <c r="U236" s="638"/>
      <c r="V236" s="638"/>
      <c r="W236" s="638">
        <v>1.4</v>
      </c>
      <c r="X236" s="638"/>
      <c r="Y236" s="638"/>
      <c r="Z236" s="638"/>
      <c r="AA236" s="638"/>
      <c r="AB236" s="638"/>
      <c r="AC236" s="1239" t="s">
        <v>4090</v>
      </c>
      <c r="AD236" s="638"/>
      <c r="AE236" s="638"/>
      <c r="AF236" s="1239">
        <v>6000</v>
      </c>
      <c r="AG236" s="446">
        <v>90618</v>
      </c>
      <c r="AH236" s="638">
        <v>2613</v>
      </c>
      <c r="AI236" s="638">
        <v>350</v>
      </c>
      <c r="AJ236" s="638"/>
      <c r="AK236" s="638"/>
      <c r="AL236" s="638" t="s">
        <v>2143</v>
      </c>
      <c r="AM236" s="638" t="s">
        <v>1042</v>
      </c>
      <c r="AN236" s="455">
        <v>5.5</v>
      </c>
      <c r="AO236" s="1239"/>
      <c r="AP236" s="1239"/>
      <c r="AQ236" s="484"/>
      <c r="AR236" s="484"/>
      <c r="AS236" s="484"/>
      <c r="AT236" s="484">
        <f>+ab($T$236,$T$234,$T$238,$G$235,$G$237, 1*$F$236,1200)</f>
        <v>-6.8432807825896775</v>
      </c>
      <c r="AU236" s="638"/>
      <c r="AV236" s="638"/>
      <c r="AW236" s="638" t="str">
        <f>VLOOKUP(C236,'Foundation Calculation'!$A$2:$C$33,3,1)</f>
        <v>Soil B</v>
      </c>
      <c r="AX236" s="638" t="str">
        <f>VLOOKUP(C236,'Foundation Calculation'!$E$2:$G$33,3,1)</f>
        <v>PT</v>
      </c>
      <c r="AY236" s="484">
        <f>IF(AX236="PT",VLOOKUP(L236,'Foundation Calculation'!$K$2:$R$40,VLOOKUP(AW236,'Foundation Calculation'!$I$2:$J$8,2,FALSE),0),IF(AX236="K",VLOOKUP(L236,'Foundation Calculation'!$K$42:$R$80,VLOOKUP(AW236,'Foundation Calculation'!$I$2:$J$8,2,FALSE),0),""))</f>
        <v>4.4000000000000004</v>
      </c>
      <c r="AZ236" s="484"/>
      <c r="BA236" s="671" t="s">
        <v>2809</v>
      </c>
      <c r="BB236" s="449" t="str">
        <f>Pole_Calculations!A178</f>
        <v>App.8-V08F-P10.3</v>
      </c>
      <c r="BC236" s="169"/>
      <c r="BD236" s="1371"/>
      <c r="BE236" s="1371"/>
      <c r="BF236" s="1371"/>
      <c r="BG236" s="1371"/>
    </row>
    <row r="237" spans="1:59" ht="15.75" customHeight="1">
      <c r="A237" s="1239"/>
      <c r="B237" s="1547"/>
      <c r="C237" s="171"/>
      <c r="D237" s="1239"/>
      <c r="E237" s="1239"/>
      <c r="F237" s="1239"/>
      <c r="G237" s="455">
        <v>40</v>
      </c>
      <c r="H237" s="1239"/>
      <c r="I237" s="448"/>
      <c r="J237" s="171">
        <f>C236+7.5</f>
        <v>90625.85000000002</v>
      </c>
      <c r="K237" s="1239" t="s">
        <v>2788</v>
      </c>
      <c r="L237" s="1239"/>
      <c r="M237" s="1239"/>
      <c r="N237" s="1239"/>
      <c r="O237" s="1239"/>
      <c r="P237" s="1239"/>
      <c r="Q237" s="1239"/>
      <c r="R237" s="1239"/>
      <c r="S237" s="455">
        <f t="shared" ref="S237" si="113">AG238-AG236</f>
        <v>40</v>
      </c>
      <c r="T237" s="1239"/>
      <c r="U237" s="1239"/>
      <c r="V237" s="1239"/>
      <c r="W237" s="1239"/>
      <c r="X237" s="1239"/>
      <c r="Y237" s="1239"/>
      <c r="Z237" s="1239"/>
      <c r="AA237" s="1239"/>
      <c r="AB237" s="1239"/>
      <c r="AC237" s="1239"/>
      <c r="AD237" s="1239"/>
      <c r="AE237" s="1239"/>
      <c r="AF237" s="1239"/>
      <c r="AG237" s="171"/>
      <c r="AH237" s="1239"/>
      <c r="AI237" s="1239"/>
      <c r="AJ237" s="1239"/>
      <c r="AK237" s="1239"/>
      <c r="AL237" s="1239"/>
      <c r="AM237" s="1239"/>
      <c r="AN237" s="484"/>
      <c r="AO237" s="638"/>
      <c r="AP237" s="638"/>
      <c r="AQ237" s="484">
        <f>+FL_2($T$238,$T$236,$G$237,1200,9.28, 1*$F$238)</f>
        <v>-0.35012121210313901</v>
      </c>
      <c r="AR237" s="638"/>
      <c r="AS237" s="638"/>
      <c r="AT237" s="484"/>
      <c r="AU237" s="638"/>
      <c r="AV237" s="638"/>
      <c r="AW237" s="638" t="str">
        <f>VLOOKUP(J237,'Foundation Calculation'!$A$2:$C$33,3,1)</f>
        <v>Soil B</v>
      </c>
      <c r="AX237" s="572" t="str">
        <f>VLOOKUP(J237,'Foundation Calculation'!$E$2:$G$33,3,1)</f>
        <v>PT</v>
      </c>
      <c r="AY237" s="484"/>
      <c r="AZ237" s="484">
        <f>IF(AX237="PT",VLOOKUP(K237,'Foundation Calculation'!$K$2:$R$40,VLOOKUP(AW237,'Foundation Calculation'!$I$2:$J$8,2,FALSE),0),IF(AX237="K",VLOOKUP(K237,'Foundation Calculation'!$K$42:$R$80,VLOOKUP(AW237,'Foundation Calculation'!$I$2:$J$8,2,FALSE),0),""))</f>
        <v>2.8</v>
      </c>
      <c r="BA237" s="671" t="s">
        <v>2809</v>
      </c>
      <c r="BB237" s="1239"/>
      <c r="BC237" s="169"/>
      <c r="BD237" s="1329"/>
      <c r="BE237" s="1330"/>
      <c r="BF237" s="1330"/>
      <c r="BG237" s="1330"/>
    </row>
    <row r="238" spans="1:59" ht="15.75" customHeight="1">
      <c r="A238" s="449"/>
      <c r="B238" s="435" t="s">
        <v>2584</v>
      </c>
      <c r="C238" s="446">
        <f>+$C$236+$G$237</f>
        <v>90658.35000000002</v>
      </c>
      <c r="D238" s="173"/>
      <c r="E238" s="447"/>
      <c r="F238" s="447">
        <v>8000</v>
      </c>
      <c r="G238" s="484"/>
      <c r="H238" s="1239"/>
      <c r="I238" s="1239" t="s">
        <v>1039</v>
      </c>
      <c r="J238" s="171"/>
      <c r="K238" s="638"/>
      <c r="L238" s="638" t="s">
        <v>4664</v>
      </c>
      <c r="M238" s="638" t="str">
        <f>IF(AX238="PT",VLOOKUP(L238,'Foundation Calculation'!$V$2:$X$40,VLOOKUP(AX238,'Foundation Calculation'!$I$10:$J$13,2,FALSE),0),IF(AX238="K",VLOOKUP(L238,'Foundation Calculation'!$V$42:$X$80,VLOOKUP(AX238,'Foundation Calculation'!$I$10:$J$13,2,FALSE),0),""))</f>
        <v>C11R</v>
      </c>
      <c r="N238" s="1239" t="s">
        <v>144</v>
      </c>
      <c r="O238" s="1239"/>
      <c r="P238" s="1239"/>
      <c r="Q238" s="638">
        <v>0</v>
      </c>
      <c r="R238" s="638">
        <v>-8000</v>
      </c>
      <c r="S238" s="484"/>
      <c r="T238" s="638">
        <v>35</v>
      </c>
      <c r="U238" s="638"/>
      <c r="V238" s="638"/>
      <c r="W238" s="638">
        <v>1.4</v>
      </c>
      <c r="X238" s="638"/>
      <c r="Y238" s="638"/>
      <c r="Z238" s="638"/>
      <c r="AA238" s="638"/>
      <c r="AB238" s="638"/>
      <c r="AC238" s="638" t="s">
        <v>4090</v>
      </c>
      <c r="AD238" s="638"/>
      <c r="AE238" s="638"/>
      <c r="AF238" s="1239">
        <v>6000</v>
      </c>
      <c r="AG238" s="446">
        <v>90658</v>
      </c>
      <c r="AH238" s="638">
        <v>2873</v>
      </c>
      <c r="AI238" s="638">
        <v>450</v>
      </c>
      <c r="AJ238" s="638"/>
      <c r="AK238" s="638"/>
      <c r="AL238" s="638" t="s">
        <v>2143</v>
      </c>
      <c r="AM238" s="638" t="s">
        <v>1042</v>
      </c>
      <c r="AN238" s="455">
        <v>5.5</v>
      </c>
      <c r="AO238" s="1239"/>
      <c r="AP238" s="1239"/>
      <c r="AQ238" s="484"/>
      <c r="AR238" s="484"/>
      <c r="AS238" s="484"/>
      <c r="AT238" s="484">
        <f>+ab($T$238,$T$236,$T$240,$G$237,$G$239, 1*$F$238,1200)</f>
        <v>6.9888163553535847</v>
      </c>
      <c r="AU238" s="638"/>
      <c r="AV238" s="638"/>
      <c r="AW238" s="638" t="str">
        <f>VLOOKUP(C238,'Foundation Calculation'!$A$2:$C$33,3,1)</f>
        <v>Soil B</v>
      </c>
      <c r="AX238" s="638" t="str">
        <f>VLOOKUP(C238,'Foundation Calculation'!$E$2:$G$33,3,1)</f>
        <v>PT</v>
      </c>
      <c r="AY238" s="484">
        <f>IF(AX238="PT",VLOOKUP(L238,'Foundation Calculation'!$K$2:$R$40,VLOOKUP(AW238,'Foundation Calculation'!$I$2:$J$8,2,FALSE),0),IF(AX238="K",VLOOKUP(L238,'Foundation Calculation'!$K$42:$R$80,VLOOKUP(AW238,'Foundation Calculation'!$I$2:$J$8,2,FALSE),0),""))</f>
        <v>4.4000000000000004</v>
      </c>
      <c r="AZ238" s="484"/>
      <c r="BA238" s="671" t="s">
        <v>2809</v>
      </c>
      <c r="BB238" s="449" t="str">
        <f>Pole_Calculations!A178</f>
        <v>App.8-V08F-P10.3</v>
      </c>
      <c r="BC238" s="169"/>
      <c r="BD238" s="1371"/>
      <c r="BE238" s="1371"/>
      <c r="BF238" s="1371"/>
      <c r="BG238" s="1371"/>
    </row>
    <row r="239" spans="1:59" ht="15.75" customHeight="1">
      <c r="A239" s="420"/>
      <c r="B239" s="1549"/>
      <c r="C239" s="432"/>
      <c r="D239" s="420"/>
      <c r="E239" s="420"/>
      <c r="F239" s="420"/>
      <c r="G239" s="444">
        <v>43.4</v>
      </c>
      <c r="H239" s="420"/>
      <c r="I239" s="421"/>
      <c r="J239" s="432"/>
      <c r="K239" s="420"/>
      <c r="L239" s="420"/>
      <c r="M239" s="420"/>
      <c r="N239" s="420"/>
      <c r="O239" s="420"/>
      <c r="P239" s="420"/>
      <c r="Q239" s="420"/>
      <c r="R239" s="420"/>
      <c r="S239" s="444">
        <f t="shared" ref="S239" si="114">AG240-AG238</f>
        <v>45</v>
      </c>
      <c r="T239" s="420"/>
      <c r="U239" s="420"/>
      <c r="V239" s="420"/>
      <c r="W239" s="420"/>
      <c r="X239" s="420"/>
      <c r="Y239" s="420"/>
      <c r="Z239" s="420"/>
      <c r="AA239" s="420"/>
      <c r="AB239" s="420"/>
      <c r="AC239" s="420"/>
      <c r="AD239" s="420"/>
      <c r="AE239" s="420"/>
      <c r="AF239" s="420"/>
      <c r="AG239" s="432"/>
      <c r="AH239" s="420"/>
      <c r="AI239" s="420"/>
      <c r="AJ239" s="420"/>
      <c r="AK239" s="420"/>
      <c r="AL239" s="420"/>
      <c r="AM239" s="420"/>
      <c r="AN239" s="422"/>
      <c r="AO239" s="417"/>
      <c r="AP239" s="417"/>
      <c r="AQ239" s="422">
        <f>+FL_2($T$240,$T$238,$G$239,1200,9.28, 1*$F$240)</f>
        <v>5.4192114211981571E-2</v>
      </c>
      <c r="AR239" s="417"/>
      <c r="AS239" s="417"/>
      <c r="AT239" s="422"/>
      <c r="AU239" s="417"/>
      <c r="AV239" s="417"/>
      <c r="AW239" s="417"/>
      <c r="AX239" s="578"/>
      <c r="AY239" s="422"/>
      <c r="AZ239" s="422"/>
      <c r="BA239" s="604"/>
      <c r="BB239" s="420"/>
      <c r="BC239" s="169"/>
      <c r="BD239" s="1329"/>
      <c r="BE239" s="1330"/>
      <c r="BF239" s="1330"/>
      <c r="BG239" s="1330"/>
    </row>
    <row r="240" spans="1:59" ht="15.75" customHeight="1">
      <c r="A240" s="414"/>
      <c r="B240" s="439" t="s">
        <v>2585</v>
      </c>
      <c r="C240" s="416">
        <f>+$C$238+$G$239</f>
        <v>90701.750000000015</v>
      </c>
      <c r="D240" s="606"/>
      <c r="E240" s="418"/>
      <c r="F240" s="418">
        <v>0</v>
      </c>
      <c r="G240" s="422"/>
      <c r="H240" s="420"/>
      <c r="I240" s="420" t="s">
        <v>1039</v>
      </c>
      <c r="J240" s="432"/>
      <c r="K240" s="417"/>
      <c r="L240" s="417" t="s">
        <v>4666</v>
      </c>
      <c r="M240" s="417" t="str">
        <f>IF(AX240="PT",VLOOKUP(L240,'Foundation Calculation'!$V$2:$X$40,VLOOKUP(AX240,'Foundation Calculation'!$I$10:$J$13,2,FALSE),0),IF(AX240="K",VLOOKUP(L240,'Foundation Calculation'!$V$42:$X$80,VLOOKUP(AX240,'Foundation Calculation'!$I$10:$J$13,2,FALSE),0),""))</f>
        <v>C12R</v>
      </c>
      <c r="N240" s="1550" t="s">
        <v>144</v>
      </c>
      <c r="O240" s="420"/>
      <c r="P240" s="420"/>
      <c r="Q240" s="417">
        <v>0</v>
      </c>
      <c r="R240" s="417">
        <v>0</v>
      </c>
      <c r="S240" s="422"/>
      <c r="T240" s="417">
        <v>15</v>
      </c>
      <c r="U240" s="417"/>
      <c r="V240" s="417"/>
      <c r="W240" s="417">
        <v>1.4</v>
      </c>
      <c r="X240" s="417"/>
      <c r="Y240" s="417"/>
      <c r="Z240" s="417"/>
      <c r="AA240" s="417"/>
      <c r="AB240" s="417"/>
      <c r="AC240" s="417" t="s">
        <v>4090</v>
      </c>
      <c r="AD240" s="417"/>
      <c r="AE240" s="417"/>
      <c r="AF240" s="420">
        <v>6000</v>
      </c>
      <c r="AG240" s="416">
        <v>90703</v>
      </c>
      <c r="AH240" s="417">
        <v>2803</v>
      </c>
      <c r="AI240" s="417">
        <v>160</v>
      </c>
      <c r="AJ240" s="417"/>
      <c r="AK240" s="417"/>
      <c r="AL240" s="417" t="s">
        <v>2143</v>
      </c>
      <c r="AM240" s="417" t="s">
        <v>1042</v>
      </c>
      <c r="AN240" s="444">
        <v>5.5</v>
      </c>
      <c r="AO240" s="420"/>
      <c r="AP240" s="420"/>
      <c r="AQ240" s="422"/>
      <c r="AR240" s="422"/>
      <c r="AS240" s="422"/>
      <c r="AT240" s="422">
        <f>+ab(-T240,T238,T242,G239,G241, 1*F240,1200)</f>
        <v>-10.911270541472717</v>
      </c>
      <c r="AU240" s="417"/>
      <c r="AV240" s="417"/>
      <c r="AW240" s="417" t="str">
        <f>VLOOKUP(C240,'Foundation Calculation'!$A$2:$C$33,3,1)</f>
        <v>Soil B</v>
      </c>
      <c r="AX240" s="417" t="str">
        <f>VLOOKUP(C240,'Foundation Calculation'!$E$2:$G$33,3,1)</f>
        <v>PT</v>
      </c>
      <c r="AY240" s="422">
        <f>IF(AX240="PT",VLOOKUP(L240,'Foundation Calculation'!$K$2:$R$40,VLOOKUP(AW240,'Foundation Calculation'!$I$2:$J$8,2,FALSE),0),IF(AX240="K",VLOOKUP(L240,'Foundation Calculation'!$K$42:$R$80,VLOOKUP(AW240,'Foundation Calculation'!$I$2:$J$8,2,FALSE),0),""))</f>
        <v>5.6</v>
      </c>
      <c r="AZ240" s="422"/>
      <c r="BA240" s="604" t="s">
        <v>2809</v>
      </c>
      <c r="BB240" s="414" t="str">
        <f>Pole_Calculations!A178</f>
        <v>App.8-V08F-P10.3</v>
      </c>
      <c r="BC240" s="169" t="s">
        <v>4955</v>
      </c>
      <c r="BD240" s="1371"/>
      <c r="BE240" s="1371"/>
      <c r="BF240" s="1371"/>
      <c r="BG240" s="1371"/>
    </row>
    <row r="241" spans="1:59" ht="15.75" customHeight="1">
      <c r="A241" s="414"/>
      <c r="B241" s="1548"/>
      <c r="C241" s="416"/>
      <c r="D241" s="417"/>
      <c r="E241" s="417"/>
      <c r="F241" s="418"/>
      <c r="G241" s="422">
        <v>59.8</v>
      </c>
      <c r="H241" s="420"/>
      <c r="I241" s="421"/>
      <c r="J241" s="416"/>
      <c r="K241" s="417"/>
      <c r="L241" s="417"/>
      <c r="M241" s="417"/>
      <c r="N241" s="420"/>
      <c r="O241" s="420"/>
      <c r="P241" s="417"/>
      <c r="Q241" s="417"/>
      <c r="R241" s="417"/>
      <c r="S241" s="422">
        <f t="shared" ref="S241" si="115">AG242-AG240</f>
        <v>40</v>
      </c>
      <c r="T241" s="417"/>
      <c r="U241" s="417"/>
      <c r="V241" s="417"/>
      <c r="W241" s="417"/>
      <c r="X241" s="417"/>
      <c r="Y241" s="417"/>
      <c r="Z241" s="417"/>
      <c r="AA241" s="417"/>
      <c r="AB241" s="417"/>
      <c r="AC241" s="417"/>
      <c r="AD241" s="417"/>
      <c r="AE241" s="417"/>
      <c r="AF241" s="420"/>
      <c r="AG241" s="416"/>
      <c r="AH241" s="417"/>
      <c r="AI241" s="417"/>
      <c r="AJ241" s="417"/>
      <c r="AK241" s="417"/>
      <c r="AL241" s="417"/>
      <c r="AM241" s="417"/>
      <c r="AN241" s="422"/>
      <c r="AO241" s="417"/>
      <c r="AP241" s="417"/>
      <c r="AQ241" s="422">
        <f>+FL_2(T242,T240,G241,1200,9.28, 1*F242)</f>
        <v>-0.17113586870011138</v>
      </c>
      <c r="AR241" s="417"/>
      <c r="AS241" s="417"/>
      <c r="AT241" s="422"/>
      <c r="AU241" s="417"/>
      <c r="AV241" s="417"/>
      <c r="AW241" s="417"/>
      <c r="AX241" s="417"/>
      <c r="AY241" s="422"/>
      <c r="AZ241" s="422"/>
      <c r="BA241" s="604"/>
      <c r="BB241" s="414"/>
      <c r="BC241" s="169"/>
      <c r="BD241" s="1330"/>
      <c r="BE241" s="1330"/>
      <c r="BF241" s="1330"/>
      <c r="BG241" s="1330"/>
    </row>
    <row r="242" spans="1:59" ht="15.75" customHeight="1">
      <c r="A242" s="414"/>
      <c r="B242" s="450" t="s">
        <v>5046</v>
      </c>
      <c r="C242" s="416">
        <f>+$C$240+$G$241</f>
        <v>90761.550000000017</v>
      </c>
      <c r="D242" s="417"/>
      <c r="E242" s="417"/>
      <c r="F242" s="418">
        <v>0</v>
      </c>
      <c r="G242" s="422"/>
      <c r="H242" s="677"/>
      <c r="I242" s="421"/>
      <c r="J242" s="416"/>
      <c r="K242" s="417"/>
      <c r="L242" s="417" t="s">
        <v>4666</v>
      </c>
      <c r="M242" s="420" t="str">
        <f>IF(AX242="PT",VLOOKUP(L242,'Foundation Calculation'!$V$2:$X$40,VLOOKUP(AX242,'Foundation Calculation'!$I$10:$J$13,2,FALSE),0),IF(AX242="K",VLOOKUP(L242,'Foundation Calculation'!$V$42:$X$80,VLOOKUP(AX242,'Foundation Calculation'!$I$10:$J$13,2,FALSE),0),""))</f>
        <v>C12R</v>
      </c>
      <c r="N242" s="420" t="s">
        <v>144</v>
      </c>
      <c r="O242" s="420"/>
      <c r="P242" s="417"/>
      <c r="Q242" s="417">
        <v>0</v>
      </c>
      <c r="R242" s="417">
        <v>0</v>
      </c>
      <c r="S242" s="422"/>
      <c r="T242" s="417">
        <v>20</v>
      </c>
      <c r="U242" s="417"/>
      <c r="V242" s="417"/>
      <c r="W242" s="417">
        <v>1.4</v>
      </c>
      <c r="X242" s="417"/>
      <c r="Y242" s="417"/>
      <c r="Z242" s="417"/>
      <c r="AA242" s="417"/>
      <c r="AB242" s="417"/>
      <c r="AC242" s="420" t="s">
        <v>4090</v>
      </c>
      <c r="AD242" s="417"/>
      <c r="AE242" s="417"/>
      <c r="AF242" s="420">
        <v>6000</v>
      </c>
      <c r="AG242" s="416">
        <v>90743</v>
      </c>
      <c r="AH242" s="417">
        <v>2873</v>
      </c>
      <c r="AI242" s="417">
        <v>300</v>
      </c>
      <c r="AJ242" s="417"/>
      <c r="AK242" s="417"/>
      <c r="AL242" s="417" t="s">
        <v>2143</v>
      </c>
      <c r="AM242" s="417" t="s">
        <v>1042</v>
      </c>
      <c r="AN242" s="422">
        <v>5.5</v>
      </c>
      <c r="AO242" s="417"/>
      <c r="AP242" s="417"/>
      <c r="AQ242" s="422"/>
      <c r="AR242" s="417"/>
      <c r="AS242" s="417"/>
      <c r="AT242" s="422">
        <f>+ab(T242,T240,T244,G241,G243, 1*F242,1200)</f>
        <v>23.578447685827495</v>
      </c>
      <c r="AU242" s="417"/>
      <c r="AV242" s="417"/>
      <c r="AW242" s="417" t="str">
        <f>VLOOKUP(C242,'Foundation Calculation'!$A$2:$C$33,3,1)</f>
        <v>Soil B</v>
      </c>
      <c r="AX242" s="578" t="str">
        <f>VLOOKUP(C242,'Foundation Calculation'!$E$2:$G$33,3,1)</f>
        <v>PT</v>
      </c>
      <c r="AY242" s="422">
        <f>IF(AX242="PT",VLOOKUP(L242,'Foundation Calculation'!$K$2:$R$40,VLOOKUP(AW242,'Foundation Calculation'!$I$2:$J$8,2,FALSE),0),IF(AX242="K",VLOOKUP(L242,'Foundation Calculation'!$K$42:$R$80,VLOOKUP(AW242,'Foundation Calculation'!$I$2:$J$8,2,FALSE),0),""))</f>
        <v>5.6</v>
      </c>
      <c r="AZ242" s="422"/>
      <c r="BA242" s="604" t="s">
        <v>2809</v>
      </c>
      <c r="BB242" s="414" t="str">
        <f>Pole_Calculations!A178</f>
        <v>App.8-V08F-P10.3</v>
      </c>
      <c r="BC242" s="169"/>
      <c r="BD242" s="1371">
        <v>43778</v>
      </c>
      <c r="BE242" s="1371"/>
      <c r="BF242" s="1371"/>
      <c r="BG242" s="1371"/>
    </row>
    <row r="243" spans="1:59" ht="15.75" customHeight="1">
      <c r="A243" s="488" t="s">
        <v>1851</v>
      </c>
      <c r="B243" s="1552"/>
      <c r="C243" s="489"/>
      <c r="D243" s="490"/>
      <c r="E243" s="490"/>
      <c r="F243" s="491"/>
      <c r="G243" s="493">
        <v>58.5</v>
      </c>
      <c r="H243" s="495"/>
      <c r="I243" s="492"/>
      <c r="J243" s="489">
        <f>C244+7.5</f>
        <v>90827.550000000017</v>
      </c>
      <c r="K243" s="490" t="s">
        <v>2788</v>
      </c>
      <c r="L243" s="490"/>
      <c r="M243" s="490"/>
      <c r="N243" s="495"/>
      <c r="O243" s="495"/>
      <c r="P243" s="490"/>
      <c r="Q243" s="490"/>
      <c r="R243" s="490"/>
      <c r="S243" s="493" t="e">
        <f>AG244-#REF!</f>
        <v>#REF!</v>
      </c>
      <c r="T243" s="490"/>
      <c r="U243" s="490"/>
      <c r="V243" s="490"/>
      <c r="W243" s="490"/>
      <c r="X243" s="490"/>
      <c r="Y243" s="490"/>
      <c r="Z243" s="490"/>
      <c r="AA243" s="490"/>
      <c r="AB243" s="490"/>
      <c r="AC243" s="490"/>
      <c r="AD243" s="490"/>
      <c r="AE243" s="490"/>
      <c r="AF243" s="490"/>
      <c r="AG243" s="489"/>
      <c r="AH243" s="490"/>
      <c r="AI243" s="490"/>
      <c r="AJ243" s="490"/>
      <c r="AK243" s="490"/>
      <c r="AL243" s="490"/>
      <c r="AM243" s="490"/>
      <c r="AN243" s="493"/>
      <c r="AO243" s="490"/>
      <c r="AP243" s="490"/>
      <c r="AQ243" s="493">
        <f>+FL_2(T244,T242,G243,1200,9.28, 1*F244)</f>
        <v>-0.36104564577777776</v>
      </c>
      <c r="AR243" s="490"/>
      <c r="AS243" s="490"/>
      <c r="AT243" s="493"/>
      <c r="AU243" s="490"/>
      <c r="AV243" s="490"/>
      <c r="AW243" s="490" t="str">
        <f>VLOOKUP(J243,'Foundation Calculation'!$A$2:$C$33,3,1)</f>
        <v>Soil B</v>
      </c>
      <c r="AX243" s="490" t="str">
        <f>VLOOKUP(J243,'Foundation Calculation'!$E$2:$G$33,3,1)</f>
        <v>PT</v>
      </c>
      <c r="AY243" s="493"/>
      <c r="AZ243" s="493">
        <f>IF(AX243="PT",VLOOKUP(K243,'Foundation Calculation'!$K$2:$R$40,VLOOKUP(AW243,'Foundation Calculation'!$I$2:$J$8,2,FALSE),0),IF(AX243="K",VLOOKUP(K243,'Foundation Calculation'!$K$42:$R$80,VLOOKUP(AW243,'Foundation Calculation'!$I$2:$J$8,2,FALSE),0),""))</f>
        <v>2.8</v>
      </c>
      <c r="BA243" s="602" t="s">
        <v>2809</v>
      </c>
      <c r="BB243" s="488"/>
      <c r="BC243" s="169"/>
      <c r="BD243" s="1330"/>
      <c r="BE243" s="1330"/>
      <c r="BF243" s="1330"/>
      <c r="BG243" s="1330"/>
    </row>
    <row r="244" spans="1:59" ht="15.75" customHeight="1">
      <c r="A244" s="414"/>
      <c r="B244" s="437" t="s">
        <v>2165</v>
      </c>
      <c r="C244" s="416">
        <f>+$C$242+$G$243</f>
        <v>90820.050000000017</v>
      </c>
      <c r="D244" s="417"/>
      <c r="E244" s="417"/>
      <c r="F244" s="418">
        <v>0</v>
      </c>
      <c r="G244" s="422"/>
      <c r="H244" s="420"/>
      <c r="I244" s="421" t="s">
        <v>1039</v>
      </c>
      <c r="J244" s="416"/>
      <c r="K244" s="417"/>
      <c r="L244" s="417" t="s">
        <v>4664</v>
      </c>
      <c r="M244" s="417" t="str">
        <f>IF(AX244="PT",VLOOKUP(L244,'Foundation Calculation'!$V$2:$X$40,VLOOKUP(AX244,'Foundation Calculation'!$I$10:$J$13,2,FALSE),0),IF(AX244="K",VLOOKUP(L244,'Foundation Calculation'!$V$42:$X$80,VLOOKUP(AX244,'Foundation Calculation'!$I$10:$J$13,2,FALSE),0),""))</f>
        <v>C11R</v>
      </c>
      <c r="N244" s="420" t="s">
        <v>143</v>
      </c>
      <c r="O244" s="420"/>
      <c r="P244" s="417"/>
      <c r="Q244" s="417">
        <v>20</v>
      </c>
      <c r="R244" s="417">
        <v>0</v>
      </c>
      <c r="S244" s="422"/>
      <c r="T244" s="417">
        <v>-20</v>
      </c>
      <c r="U244" s="417"/>
      <c r="V244" s="417"/>
      <c r="W244" s="417">
        <v>1.4</v>
      </c>
      <c r="X244" s="417"/>
      <c r="Y244" s="417"/>
      <c r="Z244" s="417"/>
      <c r="AA244" s="417"/>
      <c r="AB244" s="417"/>
      <c r="AC244" s="420" t="s">
        <v>4090</v>
      </c>
      <c r="AD244" s="417"/>
      <c r="AE244" s="417"/>
      <c r="AF244" s="417">
        <v>6000</v>
      </c>
      <c r="AG244" s="416">
        <v>90820</v>
      </c>
      <c r="AH244" s="417">
        <v>2373</v>
      </c>
      <c r="AI244" s="417">
        <v>250</v>
      </c>
      <c r="AJ244" s="417"/>
      <c r="AK244" s="417"/>
      <c r="AL244" s="417" t="s">
        <v>2143</v>
      </c>
      <c r="AM244" s="417" t="s">
        <v>1042</v>
      </c>
      <c r="AN244" s="422">
        <v>5.5</v>
      </c>
      <c r="AO244" s="417"/>
      <c r="AP244" s="417"/>
      <c r="AQ244" s="422"/>
      <c r="AR244" s="417"/>
      <c r="AS244" s="417"/>
      <c r="AT244" s="422">
        <f>+ab(T244,T242,T246,G243,G245, 1*F244,1200)</f>
        <v>-10.261779999996612</v>
      </c>
      <c r="AU244" s="417"/>
      <c r="AV244" s="417"/>
      <c r="AW244" s="417" t="str">
        <f>VLOOKUP(C244,'Foundation Calculation'!$A$2:$C$33,3,1)</f>
        <v>Soil B</v>
      </c>
      <c r="AX244" s="578" t="str">
        <f>VLOOKUP(C244,'Foundation Calculation'!$E$2:$G$33,3,1)</f>
        <v>PT</v>
      </c>
      <c r="AY244" s="422">
        <f>IF(AX244="PT",VLOOKUP(L244,'Foundation Calculation'!$K$2:$R$40,VLOOKUP(AW244,'Foundation Calculation'!$I$2:$J$8,2,FALSE),0),IF(AX244="K",VLOOKUP(L244,'Foundation Calculation'!$K$42:$R$80,VLOOKUP(AW244,'Foundation Calculation'!$I$2:$J$8,2,FALSE),0),""))</f>
        <v>4.4000000000000004</v>
      </c>
      <c r="AZ244" s="422"/>
      <c r="BA244" s="604" t="s">
        <v>2809</v>
      </c>
      <c r="BB244" s="414" t="str">
        <f>Pole_Calculations!A178</f>
        <v>App.8-V08F-P10.3</v>
      </c>
      <c r="BC244" s="169"/>
      <c r="BD244" s="1371"/>
      <c r="BE244" s="1371"/>
      <c r="BF244" s="1371"/>
      <c r="BG244" s="1371"/>
    </row>
    <row r="245" spans="1:59" ht="15.75" customHeight="1">
      <c r="A245" s="414"/>
      <c r="B245" s="1548"/>
      <c r="C245" s="416"/>
      <c r="D245" s="417"/>
      <c r="E245" s="417"/>
      <c r="F245" s="418"/>
      <c r="G245" s="422">
        <v>34.299999999999997</v>
      </c>
      <c r="H245" s="420"/>
      <c r="I245" s="421"/>
      <c r="J245" s="416"/>
      <c r="K245" s="417"/>
      <c r="L245" s="417"/>
      <c r="M245" s="417"/>
      <c r="N245" s="420"/>
      <c r="O245" s="420"/>
      <c r="P245" s="417"/>
      <c r="Q245" s="417"/>
      <c r="R245" s="417"/>
      <c r="S245" s="422">
        <f t="shared" ref="S245" si="116">AG246-AG244</f>
        <v>39</v>
      </c>
      <c r="T245" s="417"/>
      <c r="U245" s="417"/>
      <c r="V245" s="417"/>
      <c r="W245" s="417"/>
      <c r="X245" s="417"/>
      <c r="Y245" s="417"/>
      <c r="Z245" s="417"/>
      <c r="AA245" s="417"/>
      <c r="AB245" s="417"/>
      <c r="AC245" s="417"/>
      <c r="AD245" s="417"/>
      <c r="AE245" s="417"/>
      <c r="AF245" s="417"/>
      <c r="AG245" s="416"/>
      <c r="AH245" s="417"/>
      <c r="AI245" s="417"/>
      <c r="AJ245" s="417"/>
      <c r="AK245" s="417"/>
      <c r="AL245" s="417"/>
      <c r="AM245" s="417"/>
      <c r="AN245" s="422"/>
      <c r="AO245" s="417"/>
      <c r="AP245" s="417"/>
      <c r="AQ245" s="422">
        <f>+FL_2($T$246,$T$244,$G$245,1200,9.28, 1*$F$246)</f>
        <v>-0.20165695030903782</v>
      </c>
      <c r="AR245" s="417"/>
      <c r="AS245" s="417"/>
      <c r="AT245" s="422"/>
      <c r="AU245" s="417"/>
      <c r="AV245" s="417"/>
      <c r="AW245" s="417"/>
      <c r="AX245" s="417"/>
      <c r="AY245" s="422"/>
      <c r="AZ245" s="422"/>
      <c r="BA245" s="604"/>
      <c r="BB245" s="414"/>
      <c r="BC245" s="169"/>
      <c r="BD245" s="1330"/>
      <c r="BE245" s="1330"/>
      <c r="BF245" s="1330"/>
      <c r="BG245" s="1330"/>
    </row>
    <row r="246" spans="1:59" ht="15.75" customHeight="1">
      <c r="A246" s="414"/>
      <c r="B246" s="437" t="s">
        <v>2166</v>
      </c>
      <c r="C246" s="416">
        <f>+$C$244+$G$245</f>
        <v>90854.35000000002</v>
      </c>
      <c r="D246" s="417"/>
      <c r="E246" s="417"/>
      <c r="F246" s="418">
        <v>0</v>
      </c>
      <c r="G246" s="422"/>
      <c r="H246" s="420"/>
      <c r="I246" s="421"/>
      <c r="J246" s="416"/>
      <c r="K246" s="417"/>
      <c r="L246" s="417" t="s">
        <v>4664</v>
      </c>
      <c r="M246" s="417" t="str">
        <f>IF(AX246="PT",VLOOKUP(L246,'Foundation Calculation'!$V$2:$X$40,VLOOKUP(AX246,'Foundation Calculation'!$I$10:$J$13,2,FALSE),0),IF(AX246="K",VLOOKUP(L246,'Foundation Calculation'!$V$42:$X$80,VLOOKUP(AX246,'Foundation Calculation'!$I$10:$J$13,2,FALSE),0),""))</f>
        <v>C11R</v>
      </c>
      <c r="N246" s="420" t="s">
        <v>144</v>
      </c>
      <c r="O246" s="420"/>
      <c r="P246" s="417"/>
      <c r="Q246" s="417">
        <v>10</v>
      </c>
      <c r="R246" s="417">
        <v>10000</v>
      </c>
      <c r="S246" s="422"/>
      <c r="T246" s="417">
        <v>20</v>
      </c>
      <c r="U246" s="417"/>
      <c r="V246" s="417"/>
      <c r="W246" s="417">
        <v>1.4</v>
      </c>
      <c r="X246" s="417"/>
      <c r="Y246" s="417"/>
      <c r="Z246" s="417"/>
      <c r="AA246" s="417"/>
      <c r="AB246" s="417"/>
      <c r="AC246" s="420" t="s">
        <v>1421</v>
      </c>
      <c r="AD246" s="417"/>
      <c r="AE246" s="417"/>
      <c r="AF246" s="417">
        <v>6000</v>
      </c>
      <c r="AG246" s="416">
        <v>90859</v>
      </c>
      <c r="AH246" s="417">
        <v>2413</v>
      </c>
      <c r="AI246" s="417">
        <v>160</v>
      </c>
      <c r="AJ246" s="417"/>
      <c r="AK246" s="417"/>
      <c r="AL246" s="417" t="s">
        <v>2143</v>
      </c>
      <c r="AM246" s="417" t="s">
        <v>1042</v>
      </c>
      <c r="AN246" s="422">
        <v>5.5</v>
      </c>
      <c r="AO246" s="417"/>
      <c r="AP246" s="417"/>
      <c r="AQ246" s="422"/>
      <c r="AR246" s="417"/>
      <c r="AS246" s="417"/>
      <c r="AT246" s="422">
        <f>+ab($T$246,$T$244,$T$248,$G$245,$G$247, 1*$F$246,1200)</f>
        <v>8.7889645789393303</v>
      </c>
      <c r="AU246" s="417"/>
      <c r="AV246" s="417"/>
      <c r="AW246" s="417" t="str">
        <f>VLOOKUP(C246,'Foundation Calculation'!$A$2:$C$33,3,1)</f>
        <v>Soil B</v>
      </c>
      <c r="AX246" s="578" t="str">
        <f>VLOOKUP(C246,'Foundation Calculation'!$E$2:$G$33,3,1)</f>
        <v>PT</v>
      </c>
      <c r="AY246" s="422">
        <f>IF(AX246="PT",VLOOKUP(L246,'Foundation Calculation'!$K$2:$R$40,VLOOKUP(AW246,'Foundation Calculation'!$I$2:$J$8,2,FALSE),0),IF(AX246="K",VLOOKUP(L246,'Foundation Calculation'!$K$42:$R$80,VLOOKUP(AW246,'Foundation Calculation'!$I$2:$J$8,2,FALSE),0),""))</f>
        <v>4.4000000000000004</v>
      </c>
      <c r="AZ246" s="422"/>
      <c r="BA246" s="604" t="s">
        <v>2809</v>
      </c>
      <c r="BB246" s="414" t="str">
        <f>Pole_Calculations!A178</f>
        <v>App.8-V08F-P10.3</v>
      </c>
      <c r="BC246" s="169"/>
      <c r="BD246" s="1371"/>
      <c r="BE246" s="1371"/>
      <c r="BF246" s="1371"/>
      <c r="BG246" s="1371"/>
    </row>
    <row r="247" spans="1:59" ht="15.75" customHeight="1">
      <c r="A247" s="414"/>
      <c r="B247" s="1548"/>
      <c r="C247" s="416"/>
      <c r="D247" s="417"/>
      <c r="E247" s="417"/>
      <c r="F247" s="418"/>
      <c r="G247" s="422">
        <v>40</v>
      </c>
      <c r="H247" s="420"/>
      <c r="I247" s="421"/>
      <c r="J247" s="416"/>
      <c r="K247" s="417"/>
      <c r="L247" s="417"/>
      <c r="M247" s="417"/>
      <c r="N247" s="420"/>
      <c r="O247" s="420"/>
      <c r="P247" s="420"/>
      <c r="Q247" s="417"/>
      <c r="R247" s="417"/>
      <c r="S247" s="422">
        <f t="shared" ref="S247" si="117">AG248-AG246</f>
        <v>39</v>
      </c>
      <c r="T247" s="417"/>
      <c r="U247" s="417"/>
      <c r="V247" s="417"/>
      <c r="W247" s="417"/>
      <c r="X247" s="417"/>
      <c r="Y247" s="417"/>
      <c r="Z247" s="417"/>
      <c r="AA247" s="417"/>
      <c r="AB247" s="417"/>
      <c r="AC247" s="417"/>
      <c r="AD247" s="417"/>
      <c r="AE247" s="417"/>
      <c r="AF247" s="417"/>
      <c r="AG247" s="416"/>
      <c r="AH247" s="417"/>
      <c r="AI247" s="417"/>
      <c r="AJ247" s="417"/>
      <c r="AK247" s="417"/>
      <c r="AL247" s="417"/>
      <c r="AM247" s="417"/>
      <c r="AN247" s="422"/>
      <c r="AO247" s="417"/>
      <c r="AP247" s="417"/>
      <c r="AQ247" s="422">
        <f>+FL_1($T$248,$T$246,$G$247,1200,9.28, 1*$F$248)</f>
        <v>0.21932183866666657</v>
      </c>
      <c r="AR247" s="417"/>
      <c r="AS247" s="417"/>
      <c r="AT247" s="422"/>
      <c r="AU247" s="417"/>
      <c r="AV247" s="417"/>
      <c r="AW247" s="417"/>
      <c r="AX247" s="578"/>
      <c r="AY247" s="422"/>
      <c r="AZ247" s="422"/>
      <c r="BA247" s="604"/>
      <c r="BB247" s="414"/>
      <c r="BC247" s="169"/>
      <c r="BD247" s="1329"/>
      <c r="BE247" s="1330"/>
      <c r="BF247" s="1330"/>
      <c r="BG247" s="1330"/>
    </row>
    <row r="248" spans="1:59" ht="15.75" customHeight="1">
      <c r="A248" s="414"/>
      <c r="B248" s="437" t="s">
        <v>2167</v>
      </c>
      <c r="C248" s="416">
        <f>+$C$246+$G$247</f>
        <v>90894.35000000002</v>
      </c>
      <c r="D248" s="417"/>
      <c r="E248" s="417"/>
      <c r="F248" s="418">
        <v>0</v>
      </c>
      <c r="G248" s="422"/>
      <c r="H248" s="420"/>
      <c r="I248" s="421"/>
      <c r="J248" s="416"/>
      <c r="K248" s="417"/>
      <c r="L248" s="417" t="s">
        <v>4664</v>
      </c>
      <c r="M248" s="417" t="str">
        <f>IF(AX248="PT",VLOOKUP(L248,'Foundation Calculation'!$V$2:$X$40,VLOOKUP(AX248,'Foundation Calculation'!$I$10:$J$13,2,FALSE),0),IF(AX248="K",VLOOKUP(L248,'Foundation Calculation'!$V$42:$X$80,VLOOKUP(AX248,'Foundation Calculation'!$I$10:$J$13,2,FALSE),0),""))</f>
        <v>C11R</v>
      </c>
      <c r="N248" s="420" t="s">
        <v>143</v>
      </c>
      <c r="O248" s="420"/>
      <c r="P248" s="417"/>
      <c r="Q248" s="417">
        <v>0</v>
      </c>
      <c r="R248" s="417">
        <v>10000</v>
      </c>
      <c r="S248" s="422"/>
      <c r="T248" s="417">
        <v>-20</v>
      </c>
      <c r="U248" s="417"/>
      <c r="V248" s="417"/>
      <c r="W248" s="417">
        <v>1.4</v>
      </c>
      <c r="X248" s="417"/>
      <c r="Y248" s="417"/>
      <c r="Z248" s="417"/>
      <c r="AA248" s="417"/>
      <c r="AB248" s="417"/>
      <c r="AC248" s="420" t="s">
        <v>1421</v>
      </c>
      <c r="AD248" s="417"/>
      <c r="AE248" s="417"/>
      <c r="AF248" s="417">
        <v>6000</v>
      </c>
      <c r="AG248" s="416">
        <v>90898</v>
      </c>
      <c r="AH248" s="417">
        <v>2663</v>
      </c>
      <c r="AI248" s="417">
        <v>420</v>
      </c>
      <c r="AJ248" s="417"/>
      <c r="AK248" s="417"/>
      <c r="AL248" s="417" t="s">
        <v>2143</v>
      </c>
      <c r="AM248" s="417" t="s">
        <v>1042</v>
      </c>
      <c r="AN248" s="422">
        <v>5.5</v>
      </c>
      <c r="AO248" s="417"/>
      <c r="AP248" s="417"/>
      <c r="AQ248" s="422"/>
      <c r="AR248" s="417"/>
      <c r="AS248" s="417"/>
      <c r="AT248" s="422">
        <f>+ab($T$248,$T$246,$T$250,$G$247,$G$249, 1*$F$248,1200)</f>
        <v>-11.576993410874968</v>
      </c>
      <c r="AU248" s="417"/>
      <c r="AV248" s="417"/>
      <c r="AW248" s="417" t="str">
        <f>VLOOKUP(C248,'Foundation Calculation'!$A$2:$C$33,3,1)</f>
        <v>Soil B</v>
      </c>
      <c r="AX248" s="578" t="str">
        <f>VLOOKUP(C248,'Foundation Calculation'!$E$2:$G$33,3,1)</f>
        <v>PT</v>
      </c>
      <c r="AY248" s="422">
        <f>IF(AX248="PT",VLOOKUP(L248,'Foundation Calculation'!$K$2:$R$40,VLOOKUP(AW248,'Foundation Calculation'!$I$2:$J$8,2,FALSE),0),IF(AX248="K",VLOOKUP(L248,'Foundation Calculation'!$K$42:$R$80,VLOOKUP(AW248,'Foundation Calculation'!$I$2:$J$8,2,FALSE),0),""))</f>
        <v>4.4000000000000004</v>
      </c>
      <c r="AZ248" s="422"/>
      <c r="BA248" s="604" t="s">
        <v>2809</v>
      </c>
      <c r="BB248" s="414" t="str">
        <f>Pole_Calculations!A178</f>
        <v>App.8-V08F-P10.3</v>
      </c>
      <c r="BC248" s="169" t="s">
        <v>4955</v>
      </c>
      <c r="BD248" s="1371"/>
      <c r="BE248" s="1371"/>
      <c r="BF248" s="1371"/>
      <c r="BG248" s="1371"/>
    </row>
    <row r="249" spans="1:59" ht="15.75" customHeight="1">
      <c r="A249" s="414" t="s">
        <v>2161</v>
      </c>
      <c r="B249" s="415"/>
      <c r="C249" s="416"/>
      <c r="D249" s="417"/>
      <c r="E249" s="417"/>
      <c r="F249" s="418"/>
      <c r="G249" s="422">
        <v>63</v>
      </c>
      <c r="H249" s="420"/>
      <c r="I249" s="421"/>
      <c r="J249" s="416"/>
      <c r="K249" s="417"/>
      <c r="L249" s="417"/>
      <c r="M249" s="417"/>
      <c r="N249" s="417"/>
      <c r="O249" s="417"/>
      <c r="P249" s="420"/>
      <c r="Q249" s="417"/>
      <c r="R249" s="417"/>
      <c r="S249" s="422">
        <f t="shared" ref="S249" si="118">AG250-AG248</f>
        <v>54</v>
      </c>
      <c r="T249" s="417"/>
      <c r="U249" s="417"/>
      <c r="V249" s="417"/>
      <c r="W249" s="417"/>
      <c r="X249" s="417"/>
      <c r="Y249" s="417"/>
      <c r="Z249" s="417"/>
      <c r="AA249" s="417"/>
      <c r="AB249" s="417"/>
      <c r="AC249" s="417"/>
      <c r="AD249" s="417"/>
      <c r="AE249" s="417"/>
      <c r="AF249" s="417"/>
      <c r="AG249" s="416"/>
      <c r="AH249" s="417"/>
      <c r="AI249" s="417"/>
      <c r="AJ249" s="417"/>
      <c r="AK249" s="417"/>
      <c r="AL249" s="417"/>
      <c r="AM249" s="417"/>
      <c r="AN249" s="422"/>
      <c r="AO249" s="417"/>
      <c r="AP249" s="417"/>
      <c r="AQ249" s="422">
        <f>+FL_2($T$250,$T$248,$G$249,1200,9.28, 1*$F$250)</f>
        <v>-0.248497873466209</v>
      </c>
      <c r="AR249" s="417"/>
      <c r="AS249" s="417"/>
      <c r="AT249" s="422"/>
      <c r="AU249" s="417"/>
      <c r="AV249" s="417"/>
      <c r="AW249" s="417"/>
      <c r="AX249" s="417"/>
      <c r="AY249" s="422"/>
      <c r="AZ249" s="422"/>
      <c r="BA249" s="604"/>
      <c r="BB249" s="414"/>
      <c r="BC249" s="169"/>
      <c r="BD249" s="1330"/>
      <c r="BE249" s="1330"/>
      <c r="BF249" s="1330"/>
      <c r="BG249" s="1330"/>
    </row>
    <row r="250" spans="1:59" ht="15.75" customHeight="1">
      <c r="A250" s="414" t="s">
        <v>1854</v>
      </c>
      <c r="B250" s="437" t="s">
        <v>2168</v>
      </c>
      <c r="C250" s="416">
        <f>+$C$248+$G$249</f>
        <v>90957.35000000002</v>
      </c>
      <c r="D250" s="417"/>
      <c r="E250" s="417"/>
      <c r="F250" s="418">
        <v>-2672.01</v>
      </c>
      <c r="G250" s="422"/>
      <c r="H250" s="420"/>
      <c r="I250" s="421"/>
      <c r="J250" s="416"/>
      <c r="K250" s="417"/>
      <c r="L250" s="417" t="s">
        <v>229</v>
      </c>
      <c r="M250" s="417" t="str">
        <f>IF(AX250="PT",VLOOKUP(L250,'Foundation Calculation'!$V$2:$X$40,VLOOKUP(AX250,'Foundation Calculation'!$I$10:$J$13,2,FALSE),0),IF(AX250="K",VLOOKUP(L250,'Foundation Calculation'!$V$42:$X$80,VLOOKUP(AX250,'Foundation Calculation'!$I$10:$J$13,2,FALSE),0),""))</f>
        <v>C3R</v>
      </c>
      <c r="N250" s="420" t="s">
        <v>144</v>
      </c>
      <c r="O250" s="420"/>
      <c r="P250" s="417"/>
      <c r="Q250" s="417">
        <v>50</v>
      </c>
      <c r="R250" s="417">
        <v>2672</v>
      </c>
      <c r="S250" s="422"/>
      <c r="T250" s="417">
        <v>20</v>
      </c>
      <c r="U250" s="417"/>
      <c r="V250" s="417"/>
      <c r="W250" s="417">
        <v>1.4</v>
      </c>
      <c r="X250" s="417"/>
      <c r="Y250" s="417"/>
      <c r="Z250" s="417"/>
      <c r="AA250" s="417"/>
      <c r="AB250" s="417"/>
      <c r="AC250" s="420" t="s">
        <v>4090</v>
      </c>
      <c r="AD250" s="417"/>
      <c r="AE250" s="417"/>
      <c r="AF250" s="417">
        <v>6000</v>
      </c>
      <c r="AG250" s="416">
        <v>90952</v>
      </c>
      <c r="AH250" s="417">
        <v>2393</v>
      </c>
      <c r="AI250" s="417">
        <v>410</v>
      </c>
      <c r="AJ250" s="417"/>
      <c r="AK250" s="417"/>
      <c r="AL250" s="417"/>
      <c r="AM250" s="417" t="s">
        <v>1042</v>
      </c>
      <c r="AN250" s="422">
        <v>5.5</v>
      </c>
      <c r="AO250" s="417"/>
      <c r="AP250" s="417"/>
      <c r="AQ250" s="422"/>
      <c r="AR250" s="417"/>
      <c r="AS250" s="417"/>
      <c r="AT250" s="422">
        <f>+ab($T$250,$T$248,$T$252,$G$249,$G$251, 1*$F$250,1200)</f>
        <v>-37.37669505598555</v>
      </c>
      <c r="AU250" s="417"/>
      <c r="AV250" s="417"/>
      <c r="AW250" s="417" t="str">
        <f>VLOOKUP(C250,'Foundation Calculation'!$A$2:$C$33,3,1)</f>
        <v>Soil B</v>
      </c>
      <c r="AX250" s="578" t="str">
        <f>VLOOKUP(C250,'Foundation Calculation'!$E$2:$G$33,3,1)</f>
        <v>PT</v>
      </c>
      <c r="AY250" s="422">
        <f>IF(AX250="PT",VLOOKUP(L250,'Foundation Calculation'!$K$2:$R$40,VLOOKUP(AW250,'Foundation Calculation'!$I$2:$J$8,2,FALSE),0),IF(AX250="K",VLOOKUP(L250,'Foundation Calculation'!$K$42:$R$80,VLOOKUP(AW250,'Foundation Calculation'!$I$2:$J$8,2,FALSE),0),""))</f>
        <v>3.5</v>
      </c>
      <c r="AZ250" s="422"/>
      <c r="BA250" s="604" t="s">
        <v>2809</v>
      </c>
      <c r="BB250" s="414" t="str">
        <f>Pole_Calculations!A152</f>
        <v>App.7.1-V01-P9.5.1.1</v>
      </c>
      <c r="BC250" s="169" t="s">
        <v>4955</v>
      </c>
      <c r="BD250" s="1371"/>
      <c r="BE250" s="1371"/>
      <c r="BF250" s="1371"/>
      <c r="BG250" s="1371"/>
    </row>
    <row r="251" spans="1:59" ht="15.75" customHeight="1">
      <c r="A251" s="414"/>
      <c r="B251" s="415"/>
      <c r="C251" s="416"/>
      <c r="D251" s="417"/>
      <c r="E251" s="417"/>
      <c r="F251" s="418"/>
      <c r="G251" s="422">
        <v>43.5</v>
      </c>
      <c r="H251" s="420"/>
      <c r="I251" s="421"/>
      <c r="J251" s="416"/>
      <c r="K251" s="417"/>
      <c r="L251" s="417"/>
      <c r="M251" s="417"/>
      <c r="N251" s="420"/>
      <c r="O251" s="420"/>
      <c r="P251" s="420"/>
      <c r="Q251" s="417"/>
      <c r="R251" s="417"/>
      <c r="S251" s="422">
        <f t="shared" ref="S251" si="119">AG252-AG250</f>
        <v>40</v>
      </c>
      <c r="T251" s="417"/>
      <c r="U251" s="417"/>
      <c r="V251" s="417"/>
      <c r="W251" s="417"/>
      <c r="X251" s="417"/>
      <c r="Y251" s="417"/>
      <c r="Z251" s="417"/>
      <c r="AA251" s="417"/>
      <c r="AB251" s="417"/>
      <c r="AC251" s="417"/>
      <c r="AD251" s="417"/>
      <c r="AE251" s="417"/>
      <c r="AF251" s="417"/>
      <c r="AG251" s="416"/>
      <c r="AH251" s="417"/>
      <c r="AI251" s="417"/>
      <c r="AJ251" s="417"/>
      <c r="AK251" s="417"/>
      <c r="AL251" s="417"/>
      <c r="AM251" s="417"/>
      <c r="AN251" s="422"/>
      <c r="AO251" s="417"/>
      <c r="AP251" s="417"/>
      <c r="AQ251" s="422">
        <f>+FL_2($T$252,$T$250,$G$251,1200,9.28, 1*$F$252)</f>
        <v>-0.2</v>
      </c>
      <c r="AR251" s="417"/>
      <c r="AS251" s="417"/>
      <c r="AT251" s="422"/>
      <c r="AU251" s="417"/>
      <c r="AV251" s="417"/>
      <c r="AW251" s="417"/>
      <c r="AX251" s="417"/>
      <c r="AY251" s="422"/>
      <c r="AZ251" s="422"/>
      <c r="BA251" s="604"/>
      <c r="BB251" s="414"/>
      <c r="BC251" s="169"/>
      <c r="BD251" s="1330"/>
      <c r="BE251" s="1330"/>
      <c r="BF251" s="1330"/>
      <c r="BG251" s="1330"/>
    </row>
    <row r="252" spans="1:59" ht="15.75" customHeight="1">
      <c r="A252" s="414"/>
      <c r="B252" s="437" t="s">
        <v>2169</v>
      </c>
      <c r="C252" s="416">
        <f>+$C$250+$G$251</f>
        <v>91000.85000000002</v>
      </c>
      <c r="D252" s="417"/>
      <c r="E252" s="417"/>
      <c r="F252" s="418">
        <v>-1457.38</v>
      </c>
      <c r="G252" s="422"/>
      <c r="H252" s="420"/>
      <c r="I252" s="421"/>
      <c r="J252" s="416"/>
      <c r="K252" s="417"/>
      <c r="L252" s="417" t="s">
        <v>4664</v>
      </c>
      <c r="M252" s="417" t="str">
        <f>IF(AX252="PT",VLOOKUP(L252,'Foundation Calculation'!$V$2:$X$40,VLOOKUP(AX252,'Foundation Calculation'!$I$10:$J$13,2,FALSE),0),IF(AX252="K",VLOOKUP(L252,'Foundation Calculation'!$V$42:$X$80,VLOOKUP(AX252,'Foundation Calculation'!$I$10:$J$13,2,FALSE),0),""))</f>
        <v>C11R</v>
      </c>
      <c r="N252" s="420" t="s">
        <v>143</v>
      </c>
      <c r="O252" s="420"/>
      <c r="P252" s="417"/>
      <c r="Q252" s="417">
        <v>60</v>
      </c>
      <c r="R252" s="417">
        <v>1457.38</v>
      </c>
      <c r="S252" s="422"/>
      <c r="T252" s="417">
        <v>-20</v>
      </c>
      <c r="U252" s="417"/>
      <c r="V252" s="417"/>
      <c r="W252" s="417">
        <v>1.4</v>
      </c>
      <c r="X252" s="417"/>
      <c r="Y252" s="417"/>
      <c r="Z252" s="417"/>
      <c r="AA252" s="417"/>
      <c r="AB252" s="417"/>
      <c r="AC252" s="420" t="s">
        <v>4124</v>
      </c>
      <c r="AD252" s="417"/>
      <c r="AE252" s="417"/>
      <c r="AF252" s="417">
        <v>6000</v>
      </c>
      <c r="AG252" s="416">
        <v>90992</v>
      </c>
      <c r="AH252" s="417">
        <v>1663</v>
      </c>
      <c r="AI252" s="417">
        <v>170</v>
      </c>
      <c r="AJ252" s="417"/>
      <c r="AK252" s="417"/>
      <c r="AL252" s="417" t="s">
        <v>2143</v>
      </c>
      <c r="AM252" s="417" t="s">
        <v>1042</v>
      </c>
      <c r="AN252" s="422">
        <v>5.5</v>
      </c>
      <c r="AO252" s="417"/>
      <c r="AP252" s="417"/>
      <c r="AQ252" s="422"/>
      <c r="AR252" s="417"/>
      <c r="AS252" s="417"/>
      <c r="AT252" s="422">
        <f>+ab($T$252,$T$250,$T$254,$G$251,$G$253, 1*$F$252,1200)</f>
        <v>-5.6627273424091058</v>
      </c>
      <c r="AU252" s="417"/>
      <c r="AV252" s="417"/>
      <c r="AW252" s="417" t="str">
        <f>VLOOKUP(C252,'Foundation Calculation'!$A$2:$C$33,3,1)</f>
        <v>Soil A</v>
      </c>
      <c r="AX252" s="578" t="str">
        <f>VLOOKUP(C252,'Foundation Calculation'!$E$2:$G$33,3,1)</f>
        <v>PT</v>
      </c>
      <c r="AY252" s="422">
        <f>IF(AX252="PT",VLOOKUP(L252,'Foundation Calculation'!$K$2:$R$40,VLOOKUP(AW252,'Foundation Calculation'!$I$2:$J$8,2,FALSE),0),IF(AX252="K",VLOOKUP(L252,'Foundation Calculation'!$K$42:$R$80,VLOOKUP(AW252,'Foundation Calculation'!$I$2:$J$8,2,FALSE),0),""))</f>
        <v>4.4000000000000004</v>
      </c>
      <c r="AZ252" s="422"/>
      <c r="BA252" s="604" t="s">
        <v>2809</v>
      </c>
      <c r="BB252" s="414" t="str">
        <f>Pole_Calculations!A178</f>
        <v>App.8-V08F-P10.3</v>
      </c>
      <c r="BC252" s="169"/>
      <c r="BD252" s="1371"/>
      <c r="BE252" s="1371"/>
      <c r="BF252" s="1371"/>
      <c r="BG252" s="1371"/>
    </row>
    <row r="253" spans="1:59" ht="15.75" customHeight="1">
      <c r="A253" s="414"/>
      <c r="B253" s="415"/>
      <c r="C253" s="416"/>
      <c r="D253" s="417"/>
      <c r="E253" s="417"/>
      <c r="F253" s="418"/>
      <c r="G253" s="422">
        <v>36.200000000000003</v>
      </c>
      <c r="H253" s="420"/>
      <c r="I253" s="421"/>
      <c r="J253" s="416"/>
      <c r="K253" s="417"/>
      <c r="L253" s="417"/>
      <c r="M253" s="417"/>
      <c r="N253" s="420"/>
      <c r="O253" s="420"/>
      <c r="P253" s="420"/>
      <c r="Q253" s="417"/>
      <c r="R253" s="417"/>
      <c r="S253" s="422">
        <f t="shared" ref="S253" si="120">AG254-AG252</f>
        <v>44.660000000003492</v>
      </c>
      <c r="T253" s="417"/>
      <c r="U253" s="417"/>
      <c r="V253" s="417"/>
      <c r="W253" s="417"/>
      <c r="X253" s="417"/>
      <c r="Y253" s="417"/>
      <c r="Z253" s="417"/>
      <c r="AA253" s="417"/>
      <c r="AB253" s="417"/>
      <c r="AC253" s="417"/>
      <c r="AD253" s="417"/>
      <c r="AE253" s="417"/>
      <c r="AF253" s="417"/>
      <c r="AG253" s="416"/>
      <c r="AH253" s="417"/>
      <c r="AI253" s="417"/>
      <c r="AJ253" s="417"/>
      <c r="AK253" s="417"/>
      <c r="AL253" s="417"/>
      <c r="AM253" s="417"/>
      <c r="AN253" s="422"/>
      <c r="AO253" s="417"/>
      <c r="AP253" s="417"/>
      <c r="AQ253" s="422">
        <f>+FL_2($T$254,$T$252,$G$253,1200,9.28, 1*$F$254)</f>
        <v>-0.3</v>
      </c>
      <c r="AR253" s="417"/>
      <c r="AS253" s="417"/>
      <c r="AT253" s="422"/>
      <c r="AU253" s="417"/>
      <c r="AV253" s="417"/>
      <c r="AW253" s="417"/>
      <c r="AX253" s="417"/>
      <c r="AY253" s="422"/>
      <c r="AZ253" s="422"/>
      <c r="BA253" s="604"/>
      <c r="BB253" s="414"/>
      <c r="BC253" s="169"/>
      <c r="BD253" s="1330"/>
      <c r="BE253" s="1330"/>
      <c r="BF253" s="1330"/>
      <c r="BG253" s="1330"/>
    </row>
    <row r="254" spans="1:59" ht="15.75" customHeight="1">
      <c r="A254" s="414"/>
      <c r="B254" s="437" t="s">
        <v>2170</v>
      </c>
      <c r="C254" s="416">
        <f>+$C$252+$G$253</f>
        <v>91037.050000000017</v>
      </c>
      <c r="D254" s="417"/>
      <c r="E254" s="417"/>
      <c r="F254" s="418">
        <v>-1000</v>
      </c>
      <c r="G254" s="422"/>
      <c r="H254" s="420"/>
      <c r="I254" s="421"/>
      <c r="J254" s="416"/>
      <c r="K254" s="417"/>
      <c r="L254" s="417" t="s">
        <v>4664</v>
      </c>
      <c r="M254" s="417" t="str">
        <f>IF(AX254="PT",VLOOKUP(L254,'Foundation Calculation'!$V$2:$X$40,VLOOKUP(AX254,'Foundation Calculation'!$I$10:$J$13,2,FALSE),0),IF(AX254="K",VLOOKUP(L254,'Foundation Calculation'!$V$42:$X$80,VLOOKUP(AX254,'Foundation Calculation'!$I$10:$J$13,2,FALSE),0),""))</f>
        <v>C11R</v>
      </c>
      <c r="N254" s="420" t="s">
        <v>143</v>
      </c>
      <c r="O254" s="420"/>
      <c r="P254" s="417"/>
      <c r="Q254" s="417">
        <v>110</v>
      </c>
      <c r="R254" s="417">
        <v>1000</v>
      </c>
      <c r="S254" s="422"/>
      <c r="T254" s="417">
        <v>-30</v>
      </c>
      <c r="U254" s="417"/>
      <c r="V254" s="417"/>
      <c r="W254" s="417">
        <v>1.4</v>
      </c>
      <c r="X254" s="417"/>
      <c r="Y254" s="417"/>
      <c r="Z254" s="417"/>
      <c r="AA254" s="417"/>
      <c r="AB254" s="417"/>
      <c r="AC254" s="420" t="s">
        <v>4090</v>
      </c>
      <c r="AD254" s="417"/>
      <c r="AE254" s="417"/>
      <c r="AF254" s="417">
        <v>6000</v>
      </c>
      <c r="AG254" s="416">
        <v>91036.66</v>
      </c>
      <c r="AH254" s="417">
        <v>1823</v>
      </c>
      <c r="AI254" s="417">
        <v>140</v>
      </c>
      <c r="AJ254" s="417"/>
      <c r="AK254" s="417"/>
      <c r="AL254" s="417" t="s">
        <v>2143</v>
      </c>
      <c r="AM254" s="417" t="s">
        <v>1042</v>
      </c>
      <c r="AN254" s="422">
        <v>5.5</v>
      </c>
      <c r="AO254" s="417"/>
      <c r="AP254" s="417"/>
      <c r="AQ254" s="422"/>
      <c r="AR254" s="417"/>
      <c r="AS254" s="417"/>
      <c r="AT254" s="422">
        <f>+ab($T$254,$T$252,$T$256,$G$253,$G$255, 1*$F$254,1200)</f>
        <v>-4.657225493478534</v>
      </c>
      <c r="AU254" s="417"/>
      <c r="AV254" s="417"/>
      <c r="AW254" s="417" t="str">
        <f>VLOOKUP(C254,'Foundation Calculation'!$A$2:$C$33,3,1)</f>
        <v>Soil A</v>
      </c>
      <c r="AX254" s="578" t="str">
        <f>VLOOKUP(C254,'Foundation Calculation'!$E$2:$G$33,3,1)</f>
        <v>PT</v>
      </c>
      <c r="AY254" s="422">
        <f>IF(AX254="PT",VLOOKUP(L254,'Foundation Calculation'!$K$2:$R$40,VLOOKUP(AW254,'Foundation Calculation'!$I$2:$J$8,2,FALSE),0),IF(AX254="K",VLOOKUP(L254,'Foundation Calculation'!$K$42:$R$80,VLOOKUP(AW254,'Foundation Calculation'!$I$2:$J$8,2,FALSE),0),""))</f>
        <v>4.4000000000000004</v>
      </c>
      <c r="AZ254" s="422"/>
      <c r="BA254" s="604" t="s">
        <v>2809</v>
      </c>
      <c r="BB254" s="414" t="str">
        <f>Pole_Calculations!A178</f>
        <v>App.8-V08F-P10.3</v>
      </c>
      <c r="BC254" s="169"/>
      <c r="BD254" s="1371"/>
      <c r="BE254" s="1371"/>
      <c r="BF254" s="1371"/>
      <c r="BG254" s="1371"/>
    </row>
    <row r="255" spans="1:59" ht="15.75" customHeight="1">
      <c r="A255" s="414"/>
      <c r="B255" s="415"/>
      <c r="C255" s="416"/>
      <c r="D255" s="417"/>
      <c r="E255" s="417"/>
      <c r="F255" s="418"/>
      <c r="G255" s="422">
        <v>40.5</v>
      </c>
      <c r="H255" s="420"/>
      <c r="I255" s="421"/>
      <c r="J255" s="416">
        <f>C256-7.5</f>
        <v>91070.050000000017</v>
      </c>
      <c r="K255" s="417" t="s">
        <v>2787</v>
      </c>
      <c r="L255" s="417"/>
      <c r="M255" s="417"/>
      <c r="N255" s="420"/>
      <c r="O255" s="420"/>
      <c r="P255" s="420"/>
      <c r="Q255" s="417"/>
      <c r="R255" s="417"/>
      <c r="S255" s="422">
        <f t="shared" ref="S255" si="121">AG256-AG254</f>
        <v>40.339999999996508</v>
      </c>
      <c r="T255" s="417"/>
      <c r="U255" s="417"/>
      <c r="V255" s="417"/>
      <c r="W255" s="417"/>
      <c r="X255" s="417"/>
      <c r="Y255" s="417"/>
      <c r="Z255" s="417"/>
      <c r="AA255" s="417"/>
      <c r="AB255" s="417"/>
      <c r="AC255" s="417"/>
      <c r="AD255" s="417"/>
      <c r="AE255" s="417"/>
      <c r="AF255" s="417"/>
      <c r="AG255" s="416"/>
      <c r="AH255" s="417"/>
      <c r="AI255" s="417"/>
      <c r="AJ255" s="417"/>
      <c r="AK255" s="417"/>
      <c r="AL255" s="417"/>
      <c r="AM255" s="417"/>
      <c r="AN255" s="422"/>
      <c r="AO255" s="417"/>
      <c r="AP255" s="417"/>
      <c r="AQ255" s="422">
        <f>+FL_2($T$256,$T$254,$G$255,1200,9.28, 1*$F$256)</f>
        <v>-0.3</v>
      </c>
      <c r="AR255" s="417"/>
      <c r="AS255" s="417"/>
      <c r="AT255" s="422"/>
      <c r="AU255" s="417"/>
      <c r="AV255" s="417"/>
      <c r="AW255" s="417" t="str">
        <f>VLOOKUP(J255,'Foundation Calculation'!$A$2:$C$33,3,1)</f>
        <v>Soil A</v>
      </c>
      <c r="AX255" s="578" t="str">
        <f>VLOOKUP(J255,'Foundation Calculation'!$E$2:$G$33,3,1)</f>
        <v>PT</v>
      </c>
      <c r="AY255" s="422"/>
      <c r="AZ255" s="422">
        <f>IF(AX255="PT",VLOOKUP(K255,'Foundation Calculation'!$K$2:$R$40,VLOOKUP(AW255,'Foundation Calculation'!$I$2:$J$8,2,FALSE),0),IF(AX255="K",VLOOKUP(K255,'Foundation Calculation'!$K$42:$R$80,VLOOKUP(AW255,'Foundation Calculation'!$I$2:$J$8,2,FALSE),0),""))</f>
        <v>3.3</v>
      </c>
      <c r="BA255" s="604" t="s">
        <v>2809</v>
      </c>
      <c r="BB255" s="414"/>
      <c r="BC255" s="169"/>
      <c r="BD255" s="1329"/>
      <c r="BE255" s="1330"/>
      <c r="BF255" s="1330"/>
      <c r="BG255" s="1330"/>
    </row>
    <row r="256" spans="1:59" ht="15.75" customHeight="1">
      <c r="A256" s="449"/>
      <c r="B256" s="485" t="s">
        <v>2171</v>
      </c>
      <c r="C256" s="446">
        <f>+$C$254+$G$255</f>
        <v>91077.550000000017</v>
      </c>
      <c r="D256" s="638"/>
      <c r="E256" s="638"/>
      <c r="F256" s="447">
        <v>-1210</v>
      </c>
      <c r="G256" s="484"/>
      <c r="H256" s="1239" t="s">
        <v>138</v>
      </c>
      <c r="I256" s="448" t="s">
        <v>623</v>
      </c>
      <c r="J256" s="446"/>
      <c r="K256" s="638"/>
      <c r="L256" s="638" t="s">
        <v>899</v>
      </c>
      <c r="M256" s="638" t="str">
        <f>IF(AX256="PT",VLOOKUP(L256,'Foundation Calculation'!$V$2:$X$40,VLOOKUP(AX256,'Foundation Calculation'!$I$10:$J$13,2,FALSE),0),IF(AX256="K",VLOOKUP(L256,'Foundation Calculation'!$V$42:$X$80,VLOOKUP(AX256,'Foundation Calculation'!$I$10:$J$13,2,FALSE),0),""))</f>
        <v>C5R</v>
      </c>
      <c r="N256" s="1239" t="s">
        <v>143</v>
      </c>
      <c r="O256" s="1239"/>
      <c r="P256" s="1239"/>
      <c r="Q256" s="638">
        <v>90</v>
      </c>
      <c r="R256" s="638">
        <v>1000</v>
      </c>
      <c r="S256" s="484"/>
      <c r="T256" s="638">
        <v>-30</v>
      </c>
      <c r="U256" s="638"/>
      <c r="V256" s="638"/>
      <c r="W256" s="638">
        <v>1.4</v>
      </c>
      <c r="X256" s="638"/>
      <c r="Y256" s="638"/>
      <c r="Z256" s="638"/>
      <c r="AA256" s="638"/>
      <c r="AB256" s="638"/>
      <c r="AC256" s="1239" t="s">
        <v>4090</v>
      </c>
      <c r="AD256" s="638"/>
      <c r="AE256" s="638"/>
      <c r="AF256" s="638">
        <v>6000</v>
      </c>
      <c r="AG256" s="446">
        <v>91077</v>
      </c>
      <c r="AH256" s="638">
        <v>3303</v>
      </c>
      <c r="AI256" s="638">
        <v>390</v>
      </c>
      <c r="AJ256" s="638"/>
      <c r="AK256" s="638"/>
      <c r="AL256" s="638"/>
      <c r="AM256" s="638" t="s">
        <v>1042</v>
      </c>
      <c r="AN256" s="484">
        <v>5.5</v>
      </c>
      <c r="AO256" s="638"/>
      <c r="AP256" s="638"/>
      <c r="AQ256" s="484"/>
      <c r="AR256" s="638"/>
      <c r="AS256" s="638"/>
      <c r="AT256" s="484">
        <f>+ab($T$256,$T$254,$T$258,$G$255,$G$257, 1*$F$256,1200)</f>
        <v>-4.9116439660554825</v>
      </c>
      <c r="AU256" s="638"/>
      <c r="AV256" s="638"/>
      <c r="AW256" s="638" t="str">
        <f>VLOOKUP(C256,'Foundation Calculation'!$A$2:$C$33,3,1)</f>
        <v>Soil A</v>
      </c>
      <c r="AX256" s="572" t="str">
        <f>VLOOKUP(C256,'Foundation Calculation'!$E$2:$G$33,3,1)</f>
        <v>PT</v>
      </c>
      <c r="AY256" s="484">
        <f>IF(AX256="PT",VLOOKUP(L256,'Foundation Calculation'!$K$2:$R$40,VLOOKUP(AW256,'Foundation Calculation'!$I$2:$J$8,2,FALSE),0),IF(AX256="K",VLOOKUP(L256,'Foundation Calculation'!$K$42:$R$80,VLOOKUP(AW256,'Foundation Calculation'!$I$2:$J$8,2,FALSE),0),""))</f>
        <v>3.5</v>
      </c>
      <c r="AZ256" s="484"/>
      <c r="BA256" s="671" t="s">
        <v>2809</v>
      </c>
      <c r="BB256" s="449" t="str">
        <f>Pole_Calculations!A157</f>
        <v>App.7.1-V01-P9.5.1.6</v>
      </c>
      <c r="BC256" s="169" t="s">
        <v>4954</v>
      </c>
      <c r="BD256" s="1371"/>
      <c r="BE256" s="1371"/>
      <c r="BF256" s="1371"/>
      <c r="BG256" s="1371"/>
    </row>
    <row r="257" spans="1:59" ht="15.75" customHeight="1">
      <c r="A257" s="462"/>
      <c r="B257" s="468"/>
      <c r="C257" s="463"/>
      <c r="D257" s="464"/>
      <c r="E257" s="464"/>
      <c r="F257" s="465"/>
      <c r="G257" s="466">
        <v>42.4</v>
      </c>
      <c r="H257" s="467"/>
      <c r="I257" s="469"/>
      <c r="J257" s="463"/>
      <c r="K257" s="464"/>
      <c r="L257" s="464"/>
      <c r="M257" s="464"/>
      <c r="N257" s="467"/>
      <c r="O257" s="467"/>
      <c r="P257" s="467"/>
      <c r="Q257" s="464"/>
      <c r="R257" s="464"/>
      <c r="S257" s="466">
        <f t="shared" ref="S257" si="122">AG258-AG256</f>
        <v>-91077</v>
      </c>
      <c r="T257" s="464"/>
      <c r="U257" s="464"/>
      <c r="V257" s="464"/>
      <c r="W257" s="464"/>
      <c r="X257" s="464"/>
      <c r="Y257" s="464"/>
      <c r="Z257" s="464"/>
      <c r="AA257" s="464"/>
      <c r="AB257" s="464"/>
      <c r="AC257" s="464"/>
      <c r="AD257" s="464"/>
      <c r="AE257" s="464"/>
      <c r="AF257" s="464"/>
      <c r="AG257" s="463"/>
      <c r="AH257" s="464"/>
      <c r="AI257" s="464"/>
      <c r="AJ257" s="464"/>
      <c r="AK257" s="464"/>
      <c r="AL257" s="464"/>
      <c r="AM257" s="464"/>
      <c r="AN257" s="466"/>
      <c r="AO257" s="464"/>
      <c r="AP257" s="464"/>
      <c r="AQ257" s="466">
        <f>+FL_2($U$258,$T$256,$G$257,1200,9.28, 1*$F$258)</f>
        <v>-0.3</v>
      </c>
      <c r="AR257" s="464"/>
      <c r="AS257" s="464"/>
      <c r="AT257" s="466"/>
      <c r="AU257" s="464"/>
      <c r="AV257" s="464"/>
      <c r="AW257" s="464"/>
      <c r="AX257" s="464"/>
      <c r="AY257" s="466"/>
      <c r="AZ257" s="466"/>
      <c r="BA257" s="674"/>
      <c r="BB257" s="462"/>
      <c r="BC257" s="169"/>
      <c r="BD257" s="1330"/>
      <c r="BE257" s="1330"/>
      <c r="BF257" s="1330"/>
      <c r="BG257" s="1330"/>
    </row>
    <row r="258" spans="1:59" ht="15.75" customHeight="1">
      <c r="A258" s="462" t="s">
        <v>2199</v>
      </c>
      <c r="B258" s="687" t="s">
        <v>2172</v>
      </c>
      <c r="C258" s="463">
        <f>+$C$256+$G$257</f>
        <v>91119.950000000012</v>
      </c>
      <c r="D258" s="464"/>
      <c r="E258" s="464"/>
      <c r="F258" s="465">
        <v>-1200</v>
      </c>
      <c r="G258" s="466"/>
      <c r="H258" s="467" t="s">
        <v>619</v>
      </c>
      <c r="I258" s="469"/>
      <c r="J258" s="463"/>
      <c r="K258" s="464"/>
      <c r="L258" s="464" t="s">
        <v>895</v>
      </c>
      <c r="M258" s="464" t="s">
        <v>2811</v>
      </c>
      <c r="N258" s="467" t="s">
        <v>140</v>
      </c>
      <c r="O258" s="467" t="s">
        <v>143</v>
      </c>
      <c r="P258" s="467"/>
      <c r="Q258" s="464"/>
      <c r="R258" s="464"/>
      <c r="S258" s="466"/>
      <c r="T258" s="464">
        <v>-10</v>
      </c>
      <c r="U258" s="464">
        <v>-30</v>
      </c>
      <c r="V258" s="464"/>
      <c r="W258" s="464">
        <v>1.4</v>
      </c>
      <c r="X258" s="464">
        <v>1.8</v>
      </c>
      <c r="Y258" s="464"/>
      <c r="Z258" s="464">
        <v>0.4</v>
      </c>
      <c r="AA258" s="464"/>
      <c r="AB258" s="464"/>
      <c r="AC258" s="464"/>
      <c r="AD258" s="464"/>
      <c r="AE258" s="464"/>
      <c r="AF258" s="464"/>
      <c r="AG258" s="463"/>
      <c r="AH258" s="464"/>
      <c r="AI258" s="464"/>
      <c r="AJ258" s="464"/>
      <c r="AK258" s="464"/>
      <c r="AL258" s="464"/>
      <c r="AM258" s="464" t="s">
        <v>1042</v>
      </c>
      <c r="AN258" s="466">
        <v>5.5</v>
      </c>
      <c r="AO258" s="464"/>
      <c r="AP258" s="464"/>
      <c r="AQ258" s="466"/>
      <c r="AR258" s="464"/>
      <c r="AS258" s="464"/>
      <c r="AT258" s="466">
        <f>+ab($U$258,$T$256,$U$260,$G$257,$G$259, 1*$F$258,1200)</f>
        <v>-5.2130630674235494</v>
      </c>
      <c r="AU258" s="464"/>
      <c r="AV258" s="464"/>
      <c r="AW258" s="464" t="s">
        <v>5030</v>
      </c>
      <c r="AX258" s="685"/>
      <c r="AY258" s="466"/>
      <c r="AZ258" s="466"/>
      <c r="BA258" s="674" t="s">
        <v>2809</v>
      </c>
      <c r="BB258" s="462" t="str">
        <f>Pole_Calculations!A156</f>
        <v>App.7.1-V01-P9.5.1.5</v>
      </c>
      <c r="BC258" s="169" t="s">
        <v>4954</v>
      </c>
      <c r="BD258" s="1329"/>
      <c r="BE258" s="1329"/>
      <c r="BF258" s="1330"/>
      <c r="BG258" s="1329"/>
    </row>
    <row r="259" spans="1:59" ht="15.75" customHeight="1">
      <c r="A259" s="462"/>
      <c r="B259" s="468"/>
      <c r="C259" s="463"/>
      <c r="D259" s="464"/>
      <c r="E259" s="464"/>
      <c r="F259" s="465"/>
      <c r="G259" s="466">
        <v>45.7</v>
      </c>
      <c r="H259" s="467"/>
      <c r="I259" s="469"/>
      <c r="J259" s="463"/>
      <c r="K259" s="464"/>
      <c r="L259" s="464"/>
      <c r="M259" s="464"/>
      <c r="N259" s="467"/>
      <c r="O259" s="467"/>
      <c r="P259" s="467"/>
      <c r="Q259" s="464"/>
      <c r="R259" s="464"/>
      <c r="S259" s="466">
        <f t="shared" ref="S259" si="123">AG260-AG258</f>
        <v>0</v>
      </c>
      <c r="T259" s="464"/>
      <c r="U259" s="464"/>
      <c r="V259" s="464"/>
      <c r="W259" s="464"/>
      <c r="X259" s="464"/>
      <c r="Y259" s="464"/>
      <c r="Z259" s="464"/>
      <c r="AA259" s="464"/>
      <c r="AB259" s="464"/>
      <c r="AC259" s="464"/>
      <c r="AD259" s="464"/>
      <c r="AE259" s="464"/>
      <c r="AF259" s="464"/>
      <c r="AG259" s="463"/>
      <c r="AH259" s="464"/>
      <c r="AI259" s="464"/>
      <c r="AJ259" s="464"/>
      <c r="AK259" s="464"/>
      <c r="AL259" s="464"/>
      <c r="AM259" s="464"/>
      <c r="AN259" s="466"/>
      <c r="AO259" s="464"/>
      <c r="AP259" s="464"/>
      <c r="AQ259" s="466">
        <f>+FL_2($T$260,$U$258,$G$259,1200,9.28, 1*$F$260)</f>
        <v>-0.30005747666105193</v>
      </c>
      <c r="AR259" s="464"/>
      <c r="AS259" s="464"/>
      <c r="AT259" s="466"/>
      <c r="AU259" s="464"/>
      <c r="AV259" s="464"/>
      <c r="AW259" s="464"/>
      <c r="AX259" s="464"/>
      <c r="AY259" s="466"/>
      <c r="AZ259" s="466"/>
      <c r="BA259" s="674"/>
      <c r="BB259" s="462"/>
      <c r="BC259" s="169"/>
      <c r="BD259" s="1330"/>
      <c r="BE259" s="1330"/>
      <c r="BF259" s="1330"/>
      <c r="BG259" s="1330"/>
    </row>
    <row r="260" spans="1:59" ht="15.75" customHeight="1">
      <c r="A260" s="462"/>
      <c r="B260" s="687" t="s">
        <v>2173</v>
      </c>
      <c r="C260" s="463">
        <f>+$C$258+$G$259</f>
        <v>91165.650000000009</v>
      </c>
      <c r="D260" s="464"/>
      <c r="E260" s="464"/>
      <c r="F260" s="465">
        <v>-1200</v>
      </c>
      <c r="G260" s="466"/>
      <c r="H260" s="467" t="s">
        <v>619</v>
      </c>
      <c r="I260" s="469"/>
      <c r="J260" s="463"/>
      <c r="K260" s="464"/>
      <c r="L260" s="464" t="s">
        <v>895</v>
      </c>
      <c r="M260" s="464" t="s">
        <v>2811</v>
      </c>
      <c r="N260" s="467" t="s">
        <v>143</v>
      </c>
      <c r="O260" s="467" t="s">
        <v>140</v>
      </c>
      <c r="P260" s="467"/>
      <c r="Q260" s="464"/>
      <c r="R260" s="464"/>
      <c r="S260" s="466"/>
      <c r="T260" s="464">
        <v>-10</v>
      </c>
      <c r="U260" s="464">
        <v>-30</v>
      </c>
      <c r="V260" s="464"/>
      <c r="W260" s="464">
        <v>1.4</v>
      </c>
      <c r="X260" s="464">
        <v>1.8</v>
      </c>
      <c r="Y260" s="464"/>
      <c r="Z260" s="464"/>
      <c r="AA260" s="464">
        <v>0.4</v>
      </c>
      <c r="AB260" s="464"/>
      <c r="AC260" s="467" t="str">
        <f t="shared" ref="AC260:AC296" si="124">IF(OR(AT260&gt;8,AT260&lt;-8),"PH",IF(OR(AT260&gt;5,AT260&lt;-5),"PH-Q",IF(OR(AT260&gt;1,AT260&lt;-1),"PH-C")))</f>
        <v>PH-Q</v>
      </c>
      <c r="AD260" s="464"/>
      <c r="AE260" s="464"/>
      <c r="AF260" s="464"/>
      <c r="AG260" s="463"/>
      <c r="AH260" s="464"/>
      <c r="AI260" s="464"/>
      <c r="AJ260" s="464"/>
      <c r="AK260" s="464"/>
      <c r="AL260" s="464"/>
      <c r="AM260" s="464" t="s">
        <v>1042</v>
      </c>
      <c r="AN260" s="466">
        <v>5.5</v>
      </c>
      <c r="AO260" s="464"/>
      <c r="AP260" s="464"/>
      <c r="AQ260" s="466"/>
      <c r="AR260" s="464"/>
      <c r="AS260" s="464"/>
      <c r="AT260" s="466">
        <f>+ab($T$260,$T$258,$T$262,$G$259,$G$261, 1*$F$260,1200)</f>
        <v>-5.7088883474202534</v>
      </c>
      <c r="AU260" s="464"/>
      <c r="AV260" s="464"/>
      <c r="AW260" s="464" t="s">
        <v>5030</v>
      </c>
      <c r="AX260" s="685"/>
      <c r="AY260" s="466"/>
      <c r="AZ260" s="466"/>
      <c r="BA260" s="674" t="s">
        <v>2809</v>
      </c>
      <c r="BB260" s="462" t="str">
        <f>Pole_Calculations!A156</f>
        <v>App.7.1-V01-P9.5.1.5</v>
      </c>
      <c r="BC260" s="169" t="s">
        <v>4954</v>
      </c>
      <c r="BD260" s="1329"/>
      <c r="BE260" s="1329"/>
      <c r="BF260" s="1330"/>
      <c r="BG260" s="1329"/>
    </row>
    <row r="261" spans="1:59" ht="15.75" customHeight="1">
      <c r="A261" s="449"/>
      <c r="B261" s="445"/>
      <c r="C261" s="446"/>
      <c r="D261" s="638"/>
      <c r="E261" s="638"/>
      <c r="F261" s="447"/>
      <c r="G261" s="484">
        <v>45.3</v>
      </c>
      <c r="H261" s="1239"/>
      <c r="I261" s="448"/>
      <c r="J261" s="446"/>
      <c r="K261" s="638"/>
      <c r="L261" s="638"/>
      <c r="M261" s="638"/>
      <c r="N261" s="1239"/>
      <c r="O261" s="1239"/>
      <c r="P261" s="1239"/>
      <c r="Q261" s="638"/>
      <c r="R261" s="638"/>
      <c r="S261" s="484">
        <f t="shared" ref="S261" si="125">AG262-AG260</f>
        <v>0</v>
      </c>
      <c r="T261" s="638"/>
      <c r="U261" s="638"/>
      <c r="V261" s="638"/>
      <c r="W261" s="638"/>
      <c r="X261" s="638"/>
      <c r="Y261" s="638"/>
      <c r="Z261" s="638"/>
      <c r="AA261" s="638"/>
      <c r="AB261" s="638"/>
      <c r="AC261" s="638"/>
      <c r="AD261" s="638"/>
      <c r="AE261" s="638"/>
      <c r="AF261" s="638"/>
      <c r="AG261" s="446"/>
      <c r="AH261" s="638"/>
      <c r="AI261" s="638"/>
      <c r="AJ261" s="638"/>
      <c r="AK261" s="638"/>
      <c r="AL261" s="638"/>
      <c r="AM261" s="638"/>
      <c r="AN261" s="484"/>
      <c r="AO261" s="638"/>
      <c r="AP261" s="638"/>
      <c r="AQ261" s="484">
        <f>+FL_2($T$262,$T$260,$G$261,1200,9.28, 1*$F$262)</f>
        <v>-0.3</v>
      </c>
      <c r="AR261" s="638"/>
      <c r="AS261" s="638"/>
      <c r="AT261" s="484"/>
      <c r="AU261" s="638"/>
      <c r="AV261" s="638"/>
      <c r="AW261" s="638"/>
      <c r="AX261" s="638"/>
      <c r="AY261" s="484"/>
      <c r="AZ261" s="484"/>
      <c r="BA261" s="671"/>
      <c r="BB261" s="449"/>
      <c r="BC261" s="169"/>
      <c r="BD261" s="1330"/>
      <c r="BE261" s="1330"/>
      <c r="BF261" s="1330"/>
      <c r="BG261" s="1330"/>
    </row>
    <row r="262" spans="1:59" ht="15.75" customHeight="1">
      <c r="A262" s="449"/>
      <c r="B262" s="485" t="s">
        <v>2174</v>
      </c>
      <c r="C262" s="446">
        <f>+$C$260+$G$261</f>
        <v>91210.950000000012</v>
      </c>
      <c r="D262" s="638"/>
      <c r="E262" s="638"/>
      <c r="F262" s="447">
        <v>-1200</v>
      </c>
      <c r="G262" s="484"/>
      <c r="H262" s="1239" t="s">
        <v>138</v>
      </c>
      <c r="I262" s="448" t="s">
        <v>623</v>
      </c>
      <c r="J262" s="446"/>
      <c r="K262" s="638"/>
      <c r="L262" s="638" t="s">
        <v>899</v>
      </c>
      <c r="M262" s="1239" t="str">
        <f>IF(AX262="PT",VLOOKUP(L262,'Foundation Calculation'!$V$2:$X$40,VLOOKUP(AX262,'Foundation Calculation'!$I$10:$J$13,2,FALSE),0),IF(AX262="K",VLOOKUP(L262,'Foundation Calculation'!$V$42:$X$80,VLOOKUP(AX262,'Foundation Calculation'!$I$10:$J$13,2,FALSE),0),""))</f>
        <v>C5R</v>
      </c>
      <c r="N262" s="1239" t="s">
        <v>143</v>
      </c>
      <c r="O262" s="1239"/>
      <c r="P262" s="1239"/>
      <c r="Q262" s="638"/>
      <c r="R262" s="638"/>
      <c r="S262" s="484"/>
      <c r="T262" s="638">
        <v>-30</v>
      </c>
      <c r="U262" s="638"/>
      <c r="V262" s="638"/>
      <c r="W262" s="638">
        <v>1.2</v>
      </c>
      <c r="X262" s="638"/>
      <c r="Y262" s="638"/>
      <c r="Z262" s="638"/>
      <c r="AA262" s="638"/>
      <c r="AB262" s="638"/>
      <c r="AC262" s="1239" t="s">
        <v>4090</v>
      </c>
      <c r="AD262" s="638"/>
      <c r="AE262" s="638"/>
      <c r="AF262" s="638">
        <v>5800</v>
      </c>
      <c r="AG262" s="446"/>
      <c r="AH262" s="638">
        <v>3373</v>
      </c>
      <c r="AI262" s="638">
        <v>530</v>
      </c>
      <c r="AJ262" s="638"/>
      <c r="AK262" s="638"/>
      <c r="AL262" s="638"/>
      <c r="AM262" s="638" t="s">
        <v>1042</v>
      </c>
      <c r="AN262" s="484">
        <v>5.5</v>
      </c>
      <c r="AO262" s="638"/>
      <c r="AP262" s="638"/>
      <c r="AQ262" s="484"/>
      <c r="AR262" s="638"/>
      <c r="AS262" s="638"/>
      <c r="AT262" s="484">
        <f>+ab($T$262,$T$260,$T$264,$G$261,$G$263, 1*$F$262,1200)</f>
        <v>-4.3122852157678553</v>
      </c>
      <c r="AU262" s="638"/>
      <c r="AV262" s="638"/>
      <c r="AW262" s="638" t="str">
        <f>VLOOKUP(C262,'Foundation Calculation'!$A$2:$C$33,3,1)</f>
        <v>Soil A</v>
      </c>
      <c r="AX262" s="572" t="str">
        <f>VLOOKUP(C262,'Foundation Calculation'!$E$2:$G$33,3,1)</f>
        <v>PT</v>
      </c>
      <c r="AY262" s="484">
        <f>IF(AX262="PT",VLOOKUP(L262,'Foundation Calculation'!$K$2:$R$40,VLOOKUP(AW262,'Foundation Calculation'!$I$2:$J$8,2,FALSE),0),IF(AX262="K",VLOOKUP(L262,'Foundation Calculation'!$K$42:$R$80,VLOOKUP(AW262,'Foundation Calculation'!$I$2:$J$8,2,FALSE),0),""))</f>
        <v>3.5</v>
      </c>
      <c r="AZ262" s="484"/>
      <c r="BA262" s="671" t="s">
        <v>2809</v>
      </c>
      <c r="BB262" s="449" t="str">
        <f>Pole_Calculations!A157</f>
        <v>App.7.1-V01-P9.5.1.6</v>
      </c>
      <c r="BC262" s="169"/>
      <c r="BD262" s="1329">
        <v>43778</v>
      </c>
      <c r="BE262" s="1329">
        <v>43861</v>
      </c>
      <c r="BF262" s="1330"/>
      <c r="BG262" s="1329">
        <v>43898</v>
      </c>
    </row>
    <row r="263" spans="1:59" ht="15.75" customHeight="1">
      <c r="A263" s="424" t="s">
        <v>1663</v>
      </c>
      <c r="B263" s="425"/>
      <c r="C263" s="426"/>
      <c r="D263" s="487"/>
      <c r="E263" s="487"/>
      <c r="F263" s="427"/>
      <c r="G263" s="486">
        <v>50.7</v>
      </c>
      <c r="H263" s="428"/>
      <c r="I263" s="429"/>
      <c r="J263" s="426">
        <f>C262+7.5</f>
        <v>91218.450000000012</v>
      </c>
      <c r="K263" s="487" t="s">
        <v>2787</v>
      </c>
      <c r="L263" s="487"/>
      <c r="M263" s="487"/>
      <c r="N263" s="428"/>
      <c r="O263" s="428"/>
      <c r="P263" s="428"/>
      <c r="Q263" s="487"/>
      <c r="R263" s="487"/>
      <c r="S263" s="486">
        <f t="shared" ref="S263" si="126">AG264-AG262</f>
        <v>91261.74</v>
      </c>
      <c r="T263" s="487"/>
      <c r="U263" s="487"/>
      <c r="V263" s="487"/>
      <c r="W263" s="487"/>
      <c r="X263" s="487"/>
      <c r="Y263" s="487"/>
      <c r="Z263" s="487"/>
      <c r="AA263" s="487"/>
      <c r="AB263" s="487"/>
      <c r="AC263" s="487"/>
      <c r="AD263" s="487"/>
      <c r="AE263" s="487"/>
      <c r="AF263" s="487"/>
      <c r="AG263" s="426"/>
      <c r="AH263" s="487"/>
      <c r="AI263" s="487"/>
      <c r="AJ263" s="487"/>
      <c r="AK263" s="487"/>
      <c r="AL263" s="487"/>
      <c r="AM263" s="487"/>
      <c r="AN263" s="486"/>
      <c r="AO263" s="487"/>
      <c r="AP263" s="487"/>
      <c r="AQ263" s="486">
        <f>+FL_2($T$264,$T$262,$G$263,1200,9.28, 1*$F$264)</f>
        <v>-0.3000152129812923</v>
      </c>
      <c r="AR263" s="487"/>
      <c r="AS263" s="487"/>
      <c r="AT263" s="486"/>
      <c r="AU263" s="487"/>
      <c r="AV263" s="487"/>
      <c r="AW263" s="487" t="str">
        <f>VLOOKUP(J263,'Foundation Calculation'!$A$2:$C$33,3,1)</f>
        <v>Soil A</v>
      </c>
      <c r="AX263" s="688" t="str">
        <f>VLOOKUP(J263,'Foundation Calculation'!$E$2:$G$33,3,1)</f>
        <v>PT</v>
      </c>
      <c r="AY263" s="486"/>
      <c r="AZ263" s="486">
        <f>IF(AX263="PT",VLOOKUP(K263,'Foundation Calculation'!$K$2:$R$40,VLOOKUP(AW263,'Foundation Calculation'!$I$2:$J$8,2,FALSE),0),IF(AX263="K",VLOOKUP(K263,'Foundation Calculation'!$K$42:$R$80,VLOOKUP(AW263,'Foundation Calculation'!$I$2:$J$8,2,FALSE),0),""))</f>
        <v>3.3</v>
      </c>
      <c r="BA263" s="672" t="s">
        <v>2809</v>
      </c>
      <c r="BB263" s="424"/>
      <c r="BC263" s="169"/>
      <c r="BD263" s="1329">
        <v>43778</v>
      </c>
      <c r="BE263" s="1330"/>
      <c r="BF263" s="1330"/>
      <c r="BG263" s="1330"/>
    </row>
    <row r="264" spans="1:59" ht="15.75" customHeight="1">
      <c r="A264" s="449"/>
      <c r="B264" s="435" t="s">
        <v>2186</v>
      </c>
      <c r="C264" s="446">
        <f>+$C$262+$G$263</f>
        <v>91261.650000000009</v>
      </c>
      <c r="D264" s="173"/>
      <c r="E264" s="447"/>
      <c r="F264" s="447">
        <v>-1200</v>
      </c>
      <c r="G264" s="484"/>
      <c r="H264" s="1239"/>
      <c r="I264" s="1239"/>
      <c r="J264" s="171"/>
      <c r="K264" s="638"/>
      <c r="L264" s="638" t="s">
        <v>4664</v>
      </c>
      <c r="M264" s="638" t="str">
        <f>IF(AX264="PT",VLOOKUP(L264,'Foundation Calculation'!$V$2:$X$40,VLOOKUP(AX264,'Foundation Calculation'!$I$10:$J$13,2,FALSE),0),IF(AX264="K",VLOOKUP(L264,'Foundation Calculation'!$V$42:$X$80,VLOOKUP(AX264,'Foundation Calculation'!$I$10:$J$13,2,FALSE),0),""))</f>
        <v>C11R</v>
      </c>
      <c r="N264" s="1239" t="s">
        <v>143</v>
      </c>
      <c r="O264" s="1239"/>
      <c r="P264" s="1239"/>
      <c r="Q264" s="638">
        <v>110</v>
      </c>
      <c r="R264" s="638">
        <v>-1210</v>
      </c>
      <c r="S264" s="484"/>
      <c r="T264" s="638">
        <v>-30</v>
      </c>
      <c r="U264" s="638"/>
      <c r="V264" s="638"/>
      <c r="W264" s="638">
        <v>1.2</v>
      </c>
      <c r="X264" s="638"/>
      <c r="Y264" s="638"/>
      <c r="Z264" s="638"/>
      <c r="AA264" s="638"/>
      <c r="AB264" s="638"/>
      <c r="AC264" s="638" t="s">
        <v>4090</v>
      </c>
      <c r="AD264" s="638"/>
      <c r="AE264" s="638"/>
      <c r="AF264" s="638">
        <v>6000</v>
      </c>
      <c r="AG264" s="446">
        <v>91261.74</v>
      </c>
      <c r="AH264" s="638">
        <v>3473</v>
      </c>
      <c r="AI264" s="638">
        <v>660</v>
      </c>
      <c r="AJ264" s="638"/>
      <c r="AK264" s="638"/>
      <c r="AL264" s="638" t="s">
        <v>2143</v>
      </c>
      <c r="AM264" s="638" t="s">
        <v>1042</v>
      </c>
      <c r="AN264" s="455">
        <v>5.5</v>
      </c>
      <c r="AO264" s="1239"/>
      <c r="AP264" s="1239"/>
      <c r="AQ264" s="484"/>
      <c r="AR264" s="484"/>
      <c r="AS264" s="484"/>
      <c r="AT264" s="484">
        <f>+ab($T$264,$T$262,$T$266,$G$263,$G$265, 1*$F$264,1200)</f>
        <v>-4.6841579214469622</v>
      </c>
      <c r="AU264" s="638"/>
      <c r="AV264" s="638"/>
      <c r="AW264" s="638" t="str">
        <f>VLOOKUP(C264,'Foundation Calculation'!$A$2:$C$33,3,1)</f>
        <v>Soil A</v>
      </c>
      <c r="AX264" s="638" t="str">
        <f>VLOOKUP(C264,'Foundation Calculation'!$E$2:$G$33,3,1)</f>
        <v>PT</v>
      </c>
      <c r="AY264" s="484">
        <f>IF(AX264="PT",VLOOKUP(L264,'Foundation Calculation'!$K$2:$R$40,VLOOKUP(AW264,'Foundation Calculation'!$I$2:$J$8,2,FALSE),0),IF(AX264="K",VLOOKUP(L264,'Foundation Calculation'!$K$42:$R$80,VLOOKUP(AW264,'Foundation Calculation'!$I$2:$J$8,2,FALSE),0),""))</f>
        <v>4.4000000000000004</v>
      </c>
      <c r="AZ264" s="484"/>
      <c r="BA264" s="671" t="s">
        <v>2809</v>
      </c>
      <c r="BB264" s="449" t="str">
        <f>Pole_Calculations!A178</f>
        <v>App.8-V08F-P10.3</v>
      </c>
      <c r="BC264" s="169"/>
      <c r="BD264" s="1371"/>
      <c r="BE264" s="1371"/>
      <c r="BF264" s="1371"/>
      <c r="BG264" s="1371"/>
    </row>
    <row r="265" spans="1:59" ht="15.75" customHeight="1">
      <c r="A265" s="449"/>
      <c r="B265" s="445"/>
      <c r="C265" s="446"/>
      <c r="D265" s="638"/>
      <c r="E265" s="638"/>
      <c r="F265" s="447"/>
      <c r="G265" s="484">
        <v>47.4</v>
      </c>
      <c r="H265" s="1239"/>
      <c r="I265" s="448"/>
      <c r="J265" s="446"/>
      <c r="K265" s="638"/>
      <c r="L265" s="638"/>
      <c r="M265" s="638"/>
      <c r="N265" s="1239"/>
      <c r="O265" s="1239"/>
      <c r="P265" s="1239"/>
      <c r="Q265" s="638"/>
      <c r="R265" s="638"/>
      <c r="S265" s="484">
        <f t="shared" ref="S265" si="127">AG266-AG264</f>
        <v>47.059999999997672</v>
      </c>
      <c r="T265" s="638"/>
      <c r="U265" s="638"/>
      <c r="V265" s="638"/>
      <c r="W265" s="638"/>
      <c r="X265" s="638"/>
      <c r="Y265" s="638"/>
      <c r="Z265" s="638"/>
      <c r="AA265" s="638"/>
      <c r="AB265" s="638"/>
      <c r="AC265" s="638"/>
      <c r="AD265" s="638"/>
      <c r="AE265" s="638"/>
      <c r="AF265" s="638"/>
      <c r="AG265" s="446"/>
      <c r="AH265" s="638"/>
      <c r="AI265" s="638"/>
      <c r="AJ265" s="638"/>
      <c r="AK265" s="638"/>
      <c r="AL265" s="638"/>
      <c r="AM265" s="638"/>
      <c r="AN265" s="484"/>
      <c r="AO265" s="638"/>
      <c r="AP265" s="638"/>
      <c r="AQ265" s="484">
        <f>+FL_2($T$266,$T$264,$G$265,1200,9.28, 1*$F$266)</f>
        <v>-0.30001422298367192</v>
      </c>
      <c r="AR265" s="638"/>
      <c r="AS265" s="638"/>
      <c r="AT265" s="484"/>
      <c r="AU265" s="638"/>
      <c r="AV265" s="638"/>
      <c r="AW265" s="638"/>
      <c r="AX265" s="638"/>
      <c r="AY265" s="484"/>
      <c r="AZ265" s="484"/>
      <c r="BA265" s="671"/>
      <c r="BB265" s="449"/>
      <c r="BC265" s="169"/>
      <c r="BD265" s="1330"/>
      <c r="BE265" s="1330"/>
      <c r="BF265" s="1330"/>
      <c r="BG265" s="1330"/>
    </row>
    <row r="266" spans="1:59" ht="15.75" customHeight="1">
      <c r="A266" s="449"/>
      <c r="B266" s="435" t="s">
        <v>2187</v>
      </c>
      <c r="C266" s="446">
        <f>+$C$264+$G$265</f>
        <v>91309.05</v>
      </c>
      <c r="D266" s="173"/>
      <c r="E266" s="447"/>
      <c r="F266" s="447">
        <v>-1200</v>
      </c>
      <c r="G266" s="484"/>
      <c r="H266" s="1239"/>
      <c r="I266" s="1239"/>
      <c r="J266" s="171"/>
      <c r="K266" s="638"/>
      <c r="L266" s="638" t="s">
        <v>4664</v>
      </c>
      <c r="M266" s="638" t="str">
        <f>IF(AX266="PT",VLOOKUP(L266,'Foundation Calculation'!$V$2:$X$40,VLOOKUP(AX266,'Foundation Calculation'!$I$10:$J$13,2,FALSE),0),IF(AX266="K",VLOOKUP(L266,'Foundation Calculation'!$V$42:$X$80,VLOOKUP(AX266,'Foundation Calculation'!$I$10:$J$13,2,FALSE),0),""))</f>
        <v>C11R</v>
      </c>
      <c r="N266" s="1239" t="s">
        <v>143</v>
      </c>
      <c r="O266" s="1239"/>
      <c r="P266" s="1239"/>
      <c r="Q266" s="638">
        <v>90</v>
      </c>
      <c r="R266" s="638">
        <v>-1210</v>
      </c>
      <c r="S266" s="484"/>
      <c r="T266" s="638">
        <v>-30</v>
      </c>
      <c r="U266" s="638"/>
      <c r="V266" s="638"/>
      <c r="W266" s="638">
        <v>1.4</v>
      </c>
      <c r="X266" s="638"/>
      <c r="Y266" s="638"/>
      <c r="Z266" s="638"/>
      <c r="AA266" s="638"/>
      <c r="AB266" s="638"/>
      <c r="AC266" s="638" t="s">
        <v>4090</v>
      </c>
      <c r="AD266" s="638"/>
      <c r="AE266" s="638"/>
      <c r="AF266" s="638">
        <v>6000</v>
      </c>
      <c r="AG266" s="446">
        <v>91308.800000000003</v>
      </c>
      <c r="AH266" s="638">
        <v>3543</v>
      </c>
      <c r="AI266" s="638">
        <v>720</v>
      </c>
      <c r="AJ266" s="638"/>
      <c r="AK266" s="638"/>
      <c r="AL266" s="638" t="s">
        <v>2143</v>
      </c>
      <c r="AM266" s="638" t="s">
        <v>1042</v>
      </c>
      <c r="AN266" s="455">
        <v>5.5</v>
      </c>
      <c r="AO266" s="1239"/>
      <c r="AP266" s="1239"/>
      <c r="AQ266" s="484"/>
      <c r="AR266" s="484"/>
      <c r="AS266" s="484"/>
      <c r="AT266" s="484">
        <f>+ab($T$266,$T$264,$T$268,$G$265,$G$267, 1*$F$266,1200)</f>
        <v>-4.8312343542278073</v>
      </c>
      <c r="AU266" s="638"/>
      <c r="AV266" s="638"/>
      <c r="AW266" s="638" t="str">
        <f>VLOOKUP(C266,'Foundation Calculation'!$A$2:$C$33,3,1)</f>
        <v>Soil A</v>
      </c>
      <c r="AX266" s="638" t="str">
        <f>VLOOKUP(C266,'Foundation Calculation'!$E$2:$G$33,3,1)</f>
        <v>PT</v>
      </c>
      <c r="AY266" s="484">
        <f>IF(AX266="PT",VLOOKUP(L266,'Foundation Calculation'!$K$2:$R$40,VLOOKUP(AW266,'Foundation Calculation'!$I$2:$J$8,2,FALSE),0),IF(AX266="K",VLOOKUP(L266,'Foundation Calculation'!$K$42:$R$80,VLOOKUP(AW266,'Foundation Calculation'!$I$2:$J$8,2,FALSE),0),""))</f>
        <v>4.4000000000000004</v>
      </c>
      <c r="AZ266" s="484"/>
      <c r="BA266" s="671" t="s">
        <v>2809</v>
      </c>
      <c r="BB266" s="449" t="str">
        <f>Pole_Calculations!A178</f>
        <v>App.8-V08F-P10.3</v>
      </c>
      <c r="BC266" s="169"/>
      <c r="BD266" s="1371"/>
      <c r="BE266" s="1371"/>
      <c r="BF266" s="1371"/>
      <c r="BG266" s="1371"/>
    </row>
    <row r="267" spans="1:59" ht="15.75" customHeight="1">
      <c r="A267" s="462"/>
      <c r="B267" s="468"/>
      <c r="C267" s="463"/>
      <c r="D267" s="464"/>
      <c r="E267" s="465"/>
      <c r="F267" s="465"/>
      <c r="G267" s="466">
        <v>47.7</v>
      </c>
      <c r="H267" s="467"/>
      <c r="I267" s="469"/>
      <c r="J267" s="463"/>
      <c r="K267" s="464"/>
      <c r="L267" s="464"/>
      <c r="M267" s="470"/>
      <c r="N267" s="467"/>
      <c r="O267" s="467"/>
      <c r="P267" s="467"/>
      <c r="Q267" s="464"/>
      <c r="R267" s="464"/>
      <c r="S267" s="466">
        <f t="shared" ref="S267" si="128">AG268-AG266</f>
        <v>47.19999999999709</v>
      </c>
      <c r="T267" s="464"/>
      <c r="U267" s="464"/>
      <c r="V267" s="464"/>
      <c r="W267" s="464"/>
      <c r="X267" s="464"/>
      <c r="Y267" s="464"/>
      <c r="Z267" s="464"/>
      <c r="AA267" s="464"/>
      <c r="AB267" s="464"/>
      <c r="AC267" s="464"/>
      <c r="AD267" s="464"/>
      <c r="AE267" s="464"/>
      <c r="AF267" s="464"/>
      <c r="AG267" s="463"/>
      <c r="AH267" s="464"/>
      <c r="AI267" s="464"/>
      <c r="AJ267" s="470"/>
      <c r="AK267" s="464"/>
      <c r="AL267" s="464"/>
      <c r="AM267" s="464"/>
      <c r="AN267" s="466"/>
      <c r="AO267" s="464"/>
      <c r="AP267" s="464"/>
      <c r="AQ267" s="466">
        <f>+FL_2($T$268,$T$266,$G$267,1200,9.28, 1*$F$268)</f>
        <v>-0.33878058521145615</v>
      </c>
      <c r="AR267" s="464"/>
      <c r="AS267" s="464"/>
      <c r="AT267" s="466"/>
      <c r="AU267" s="464"/>
      <c r="AV267" s="464"/>
      <c r="AW267" s="464"/>
      <c r="AX267" s="464"/>
      <c r="AY267" s="466"/>
      <c r="AZ267" s="466"/>
      <c r="BA267" s="674"/>
      <c r="BB267" s="462"/>
      <c r="BC267" s="169"/>
      <c r="BD267" s="1330"/>
      <c r="BE267" s="1330"/>
      <c r="BF267" s="1330"/>
      <c r="BG267" s="1330"/>
    </row>
    <row r="268" spans="1:59" ht="15.75" customHeight="1">
      <c r="A268" s="462"/>
      <c r="B268" s="450" t="s">
        <v>2188</v>
      </c>
      <c r="C268" s="463">
        <f>+$C$266+$G$267</f>
        <v>91356.75</v>
      </c>
      <c r="D268" s="464"/>
      <c r="E268" s="465"/>
      <c r="F268" s="465">
        <v>-1570</v>
      </c>
      <c r="G268" s="466"/>
      <c r="H268" s="471"/>
      <c r="I268" s="469"/>
      <c r="J268" s="463"/>
      <c r="K268" s="464"/>
      <c r="L268" s="464" t="s">
        <v>4393</v>
      </c>
      <c r="M268" s="464" t="s">
        <v>2811</v>
      </c>
      <c r="N268" s="467" t="s">
        <v>143</v>
      </c>
      <c r="O268" s="467"/>
      <c r="P268" s="467"/>
      <c r="Q268" s="464">
        <v>90</v>
      </c>
      <c r="R268" s="464">
        <v>1570.15</v>
      </c>
      <c r="S268" s="466"/>
      <c r="T268" s="464">
        <v>-30</v>
      </c>
      <c r="U268" s="464"/>
      <c r="V268" s="464"/>
      <c r="W268" s="464">
        <v>1.4</v>
      </c>
      <c r="X268" s="464"/>
      <c r="Y268" s="464"/>
      <c r="Z268" s="464"/>
      <c r="AA268" s="464"/>
      <c r="AB268" s="464"/>
      <c r="AC268" s="467" t="str">
        <f t="shared" si="124"/>
        <v>PH-Q</v>
      </c>
      <c r="AD268" s="464"/>
      <c r="AE268" s="464"/>
      <c r="AF268" s="464"/>
      <c r="AG268" s="463">
        <v>91356</v>
      </c>
      <c r="AH268" s="464">
        <v>1863</v>
      </c>
      <c r="AI268" s="464">
        <v>-70</v>
      </c>
      <c r="AJ268" s="470"/>
      <c r="AK268" s="464"/>
      <c r="AL268" s="464" t="s">
        <v>2135</v>
      </c>
      <c r="AM268" s="464" t="s">
        <v>1042</v>
      </c>
      <c r="AN268" s="466">
        <v>5.5</v>
      </c>
      <c r="AO268" s="464"/>
      <c r="AP268" s="464"/>
      <c r="AQ268" s="466"/>
      <c r="AR268" s="464"/>
      <c r="AS268" s="464"/>
      <c r="AT268" s="466">
        <f>+ab($T$268,$T$266,$T$270,$G$267,$G$269, 1*$F$268,1200)</f>
        <v>-6.1373888758710669</v>
      </c>
      <c r="AU268" s="464"/>
      <c r="AV268" s="464"/>
      <c r="AW268" s="464" t="s">
        <v>5032</v>
      </c>
      <c r="AX268" s="685"/>
      <c r="AY268" s="466"/>
      <c r="AZ268" s="466"/>
      <c r="BA268" s="674" t="s">
        <v>2809</v>
      </c>
      <c r="BB268" s="462" t="str">
        <f>Pole_Calculations!A178</f>
        <v>App.8-V08F-P10.3</v>
      </c>
      <c r="BC268" s="169" t="s">
        <v>4954</v>
      </c>
      <c r="BD268" s="1329"/>
      <c r="BE268" s="1329"/>
      <c r="BF268" s="1329"/>
      <c r="BG268" s="1329"/>
    </row>
    <row r="269" spans="1:59" ht="15.75" customHeight="1">
      <c r="A269" s="462"/>
      <c r="B269" s="468"/>
      <c r="C269" s="463"/>
      <c r="D269" s="464"/>
      <c r="E269" s="465"/>
      <c r="F269" s="465"/>
      <c r="G269" s="466">
        <v>50.1</v>
      </c>
      <c r="H269" s="467"/>
      <c r="I269" s="469"/>
      <c r="J269" s="463"/>
      <c r="K269" s="464"/>
      <c r="L269" s="464"/>
      <c r="M269" s="464"/>
      <c r="N269" s="467"/>
      <c r="O269" s="467"/>
      <c r="P269" s="467"/>
      <c r="Q269" s="464"/>
      <c r="R269" s="464"/>
      <c r="S269" s="466">
        <f t="shared" ref="S269" si="129">AG270-AG268</f>
        <v>50</v>
      </c>
      <c r="T269" s="464"/>
      <c r="U269" s="464"/>
      <c r="V269" s="464"/>
      <c r="W269" s="464"/>
      <c r="X269" s="464"/>
      <c r="Y269" s="464"/>
      <c r="Z269" s="464"/>
      <c r="AA269" s="464"/>
      <c r="AB269" s="464"/>
      <c r="AC269" s="464"/>
      <c r="AD269" s="464"/>
      <c r="AE269" s="464"/>
      <c r="AF269" s="464"/>
      <c r="AG269" s="463"/>
      <c r="AH269" s="464"/>
      <c r="AI269" s="464"/>
      <c r="AJ269" s="464"/>
      <c r="AK269" s="464"/>
      <c r="AL269" s="464"/>
      <c r="AM269" s="464"/>
      <c r="AN269" s="466"/>
      <c r="AO269" s="464"/>
      <c r="AP269" s="464"/>
      <c r="AQ269" s="466">
        <f>+FL_2($T$270,$T$268,$G$269,1200,9.28, 1*$F$270)</f>
        <v>-0.35860604005855778</v>
      </c>
      <c r="AR269" s="464"/>
      <c r="AS269" s="464"/>
      <c r="AT269" s="466"/>
      <c r="AU269" s="464"/>
      <c r="AV269" s="464"/>
      <c r="AW269" s="464"/>
      <c r="AX269" s="464"/>
      <c r="AY269" s="466"/>
      <c r="AZ269" s="466"/>
      <c r="BA269" s="674"/>
      <c r="BB269" s="462"/>
      <c r="BC269" s="169"/>
      <c r="BD269" s="1330"/>
      <c r="BE269" s="1330"/>
      <c r="BF269" s="1330"/>
      <c r="BG269" s="1330"/>
    </row>
    <row r="270" spans="1:59" ht="15.75" customHeight="1">
      <c r="A270" s="462" t="s">
        <v>2199</v>
      </c>
      <c r="B270" s="450" t="s">
        <v>2189</v>
      </c>
      <c r="C270" s="463">
        <f>+$C$268+$G$269</f>
        <v>91406.85</v>
      </c>
      <c r="D270" s="464"/>
      <c r="E270" s="465"/>
      <c r="F270" s="465">
        <v>-1705</v>
      </c>
      <c r="G270" s="466"/>
      <c r="H270" s="467"/>
      <c r="I270" s="469"/>
      <c r="J270" s="463"/>
      <c r="K270" s="464"/>
      <c r="L270" s="464" t="s">
        <v>4393</v>
      </c>
      <c r="M270" s="464" t="s">
        <v>2811</v>
      </c>
      <c r="N270" s="467" t="s">
        <v>143</v>
      </c>
      <c r="O270" s="467"/>
      <c r="P270" s="467"/>
      <c r="Q270" s="464">
        <v>50</v>
      </c>
      <c r="R270" s="464">
        <v>1705.14</v>
      </c>
      <c r="S270" s="466"/>
      <c r="T270" s="464">
        <v>-30</v>
      </c>
      <c r="U270" s="464"/>
      <c r="V270" s="464"/>
      <c r="W270" s="464">
        <v>1.4</v>
      </c>
      <c r="X270" s="464"/>
      <c r="Y270" s="464"/>
      <c r="Z270" s="464"/>
      <c r="AA270" s="464"/>
      <c r="AB270" s="464"/>
      <c r="AC270" s="467" t="str">
        <f t="shared" si="124"/>
        <v>PH-C</v>
      </c>
      <c r="AD270" s="464"/>
      <c r="AE270" s="464"/>
      <c r="AF270" s="464"/>
      <c r="AG270" s="463">
        <v>91406</v>
      </c>
      <c r="AH270" s="464">
        <v>1863</v>
      </c>
      <c r="AI270" s="464">
        <v>-70</v>
      </c>
      <c r="AJ270" s="470"/>
      <c r="AK270" s="464"/>
      <c r="AL270" s="464" t="s">
        <v>2135</v>
      </c>
      <c r="AM270" s="464" t="s">
        <v>1042</v>
      </c>
      <c r="AN270" s="466">
        <v>5.5</v>
      </c>
      <c r="AO270" s="464"/>
      <c r="AP270" s="464"/>
      <c r="AQ270" s="466"/>
      <c r="AR270" s="464"/>
      <c r="AS270" s="464"/>
      <c r="AT270" s="466">
        <f>+ab($T$270,$T$268,$T$272,$G$269,$G$271, 1*$F$270,1200)</f>
        <v>-4.7617850493584104</v>
      </c>
      <c r="AU270" s="464"/>
      <c r="AV270" s="464"/>
      <c r="AW270" s="464" t="s">
        <v>5032</v>
      </c>
      <c r="AX270" s="685"/>
      <c r="AY270" s="466"/>
      <c r="AZ270" s="466"/>
      <c r="BA270" s="674" t="s">
        <v>2809</v>
      </c>
      <c r="BB270" s="462" t="str">
        <f>Pole_Calculations!A178</f>
        <v>App.8-V08F-P10.3</v>
      </c>
      <c r="BC270" s="169" t="s">
        <v>4954</v>
      </c>
      <c r="BD270" s="1329"/>
      <c r="BE270" s="1329"/>
      <c r="BF270" s="1329"/>
      <c r="BG270" s="1329"/>
    </row>
    <row r="271" spans="1:59" ht="15.75" customHeight="1">
      <c r="A271" s="462"/>
      <c r="B271" s="468"/>
      <c r="C271" s="463"/>
      <c r="D271" s="464"/>
      <c r="E271" s="465"/>
      <c r="F271" s="465"/>
      <c r="G271" s="466">
        <v>47.6</v>
      </c>
      <c r="H271" s="467"/>
      <c r="I271" s="469"/>
      <c r="J271" s="463"/>
      <c r="K271" s="464"/>
      <c r="L271" s="464"/>
      <c r="M271" s="464"/>
      <c r="N271" s="467"/>
      <c r="O271" s="467"/>
      <c r="P271" s="467"/>
      <c r="Q271" s="464"/>
      <c r="R271" s="464"/>
      <c r="S271" s="466">
        <f t="shared" ref="S271" si="130">AG272-AG270</f>
        <v>-91406</v>
      </c>
      <c r="T271" s="464"/>
      <c r="U271" s="464"/>
      <c r="V271" s="464"/>
      <c r="W271" s="464"/>
      <c r="X271" s="464"/>
      <c r="Y271" s="464"/>
      <c r="Z271" s="464"/>
      <c r="AA271" s="464"/>
      <c r="AB271" s="464"/>
      <c r="AC271" s="464"/>
      <c r="AD271" s="464"/>
      <c r="AE271" s="464"/>
      <c r="AF271" s="464"/>
      <c r="AG271" s="463"/>
      <c r="AH271" s="464"/>
      <c r="AI271" s="464"/>
      <c r="AJ271" s="464"/>
      <c r="AK271" s="464"/>
      <c r="AL271" s="464"/>
      <c r="AM271" s="464"/>
      <c r="AN271" s="466"/>
      <c r="AO271" s="464"/>
      <c r="AP271" s="464"/>
      <c r="AQ271" s="466">
        <f>+FL_2($T$272,$T$270,$G$271,1200,9.28, 1*$F$272)</f>
        <v>-0.31739227111111684</v>
      </c>
      <c r="AR271" s="464"/>
      <c r="AS271" s="464"/>
      <c r="AT271" s="466"/>
      <c r="AU271" s="464"/>
      <c r="AV271" s="464"/>
      <c r="AW271" s="464"/>
      <c r="AX271" s="464"/>
      <c r="AY271" s="466"/>
      <c r="AZ271" s="466"/>
      <c r="BA271" s="674"/>
      <c r="BB271" s="462"/>
      <c r="BC271" s="169"/>
      <c r="BD271" s="1330"/>
      <c r="BE271" s="1330"/>
      <c r="BF271" s="1330"/>
      <c r="BG271" s="1330"/>
    </row>
    <row r="272" spans="1:59" ht="15.75" customHeight="1">
      <c r="A272" s="462"/>
      <c r="B272" s="450" t="s">
        <v>2190</v>
      </c>
      <c r="C272" s="463">
        <f>+$C$270+$G$271</f>
        <v>91454.450000000012</v>
      </c>
      <c r="D272" s="464"/>
      <c r="E272" s="465"/>
      <c r="F272" s="465">
        <v>-12230</v>
      </c>
      <c r="G272" s="466"/>
      <c r="H272" s="467"/>
      <c r="I272" s="469"/>
      <c r="J272" s="463"/>
      <c r="K272" s="464"/>
      <c r="L272" s="464" t="s">
        <v>4393</v>
      </c>
      <c r="M272" s="464" t="s">
        <v>2811</v>
      </c>
      <c r="N272" s="467" t="s">
        <v>144</v>
      </c>
      <c r="O272" s="467"/>
      <c r="P272" s="467"/>
      <c r="Q272" s="464"/>
      <c r="R272" s="464"/>
      <c r="S272" s="466"/>
      <c r="T272" s="464">
        <v>25</v>
      </c>
      <c r="U272" s="464"/>
      <c r="V272" s="464"/>
      <c r="W272" s="464">
        <v>1.4</v>
      </c>
      <c r="X272" s="464"/>
      <c r="Y272" s="464"/>
      <c r="Z272" s="464"/>
      <c r="AA272" s="464"/>
      <c r="AB272" s="464"/>
      <c r="AC272" s="467" t="str">
        <f t="shared" si="124"/>
        <v>PH</v>
      </c>
      <c r="AD272" s="464"/>
      <c r="AE272" s="464"/>
      <c r="AF272" s="464"/>
      <c r="AG272" s="463"/>
      <c r="AH272" s="464"/>
      <c r="AI272" s="464"/>
      <c r="AJ272" s="470"/>
      <c r="AK272" s="464"/>
      <c r="AL272" s="464" t="s">
        <v>2135</v>
      </c>
      <c r="AM272" s="464" t="s">
        <v>1042</v>
      </c>
      <c r="AN272" s="466">
        <v>5.5</v>
      </c>
      <c r="AO272" s="464"/>
      <c r="AP272" s="464"/>
      <c r="AQ272" s="466"/>
      <c r="AR272" s="464"/>
      <c r="AS272" s="464"/>
      <c r="AT272" s="466">
        <f>+ab($T$272,$T$270,$T$274,$G$271,$G$273, 1*$F$272,1200)</f>
        <v>9.2995767885711196</v>
      </c>
      <c r="AU272" s="464"/>
      <c r="AV272" s="464"/>
      <c r="AW272" s="464" t="s">
        <v>5032</v>
      </c>
      <c r="AX272" s="685"/>
      <c r="AY272" s="466"/>
      <c r="AZ272" s="466"/>
      <c r="BA272" s="674" t="s">
        <v>2809</v>
      </c>
      <c r="BB272" s="462" t="str">
        <f>Pole_Calculations!A178</f>
        <v>App.8-V08F-P10.3</v>
      </c>
      <c r="BC272" s="169" t="s">
        <v>4954</v>
      </c>
      <c r="BD272" s="1329"/>
      <c r="BE272" s="1329"/>
      <c r="BF272" s="1329"/>
      <c r="BG272" s="1329"/>
    </row>
    <row r="273" spans="1:59" ht="15.75" customHeight="1">
      <c r="A273" s="462"/>
      <c r="B273" s="468"/>
      <c r="C273" s="463"/>
      <c r="D273" s="464"/>
      <c r="E273" s="465"/>
      <c r="F273" s="465"/>
      <c r="G273" s="466">
        <v>47</v>
      </c>
      <c r="H273" s="467"/>
      <c r="I273" s="469"/>
      <c r="J273" s="463"/>
      <c r="K273" s="464"/>
      <c r="L273" s="464"/>
      <c r="M273" s="464"/>
      <c r="N273" s="467"/>
      <c r="O273" s="467"/>
      <c r="P273" s="467"/>
      <c r="Q273" s="464"/>
      <c r="R273" s="464"/>
      <c r="S273" s="466">
        <f t="shared" ref="S273" si="131">AG274-AG272</f>
        <v>91502.34</v>
      </c>
      <c r="T273" s="464"/>
      <c r="U273" s="464"/>
      <c r="V273" s="464"/>
      <c r="W273" s="464"/>
      <c r="X273" s="464"/>
      <c r="Y273" s="464"/>
      <c r="Z273" s="464"/>
      <c r="AA273" s="464"/>
      <c r="AB273" s="464"/>
      <c r="AC273" s="464"/>
      <c r="AD273" s="464"/>
      <c r="AE273" s="464"/>
      <c r="AF273" s="464"/>
      <c r="AG273" s="463"/>
      <c r="AH273" s="464"/>
      <c r="AI273" s="464"/>
      <c r="AJ273" s="464"/>
      <c r="AK273" s="464"/>
      <c r="AL273" s="464"/>
      <c r="AM273" s="464"/>
      <c r="AN273" s="466"/>
      <c r="AO273" s="464"/>
      <c r="AP273" s="464"/>
      <c r="AQ273" s="466">
        <f>+FL_2($T$274,$T$272,$G$273,1200,9.28, 1*$F$274)</f>
        <v>-0.36890498544680844</v>
      </c>
      <c r="AR273" s="464"/>
      <c r="AS273" s="464"/>
      <c r="AT273" s="466"/>
      <c r="AU273" s="464"/>
      <c r="AV273" s="464"/>
      <c r="AW273" s="464"/>
      <c r="AX273" s="464"/>
      <c r="AY273" s="466"/>
      <c r="AZ273" s="466"/>
      <c r="BA273" s="674"/>
      <c r="BB273" s="462"/>
      <c r="BC273" s="169"/>
      <c r="BD273" s="1330"/>
      <c r="BE273" s="1330"/>
      <c r="BF273" s="1330"/>
      <c r="BG273" s="1330"/>
    </row>
    <row r="274" spans="1:59" s="1288" customFormat="1" ht="15.75" customHeight="1">
      <c r="A274" s="1361"/>
      <c r="B274" s="439" t="s">
        <v>2191</v>
      </c>
      <c r="C274" s="1360">
        <f>+$C$272+$G$273</f>
        <v>91501.450000000012</v>
      </c>
      <c r="D274" s="1365"/>
      <c r="E274" s="1366"/>
      <c r="F274" s="1366">
        <v>0</v>
      </c>
      <c r="G274" s="1354"/>
      <c r="H274" s="1285"/>
      <c r="I274" s="1285"/>
      <c r="J274" s="1350"/>
      <c r="K274" s="1353"/>
      <c r="L274" s="1353" t="s">
        <v>4393</v>
      </c>
      <c r="M274" s="638" t="str">
        <f>IF(AX274="PT",VLOOKUP(L274,'Foundation Calculation'!$V$2:$X$40,VLOOKUP(AX274,'Foundation Calculation'!$I$10:$J$13,2,FALSE),0),IF(AX274="K",VLOOKUP(L274,'Foundation Calculation'!$V$42:$X$80,VLOOKUP(AX274,'Foundation Calculation'!$I$10:$J$13,2,FALSE),0),""))</f>
        <v>2C4R</v>
      </c>
      <c r="N274" s="1285" t="s">
        <v>143</v>
      </c>
      <c r="O274" s="1285"/>
      <c r="P274" s="1285"/>
      <c r="Q274" s="1353">
        <v>0</v>
      </c>
      <c r="R274" s="1353">
        <v>0</v>
      </c>
      <c r="S274" s="1354"/>
      <c r="T274" s="1353">
        <v>-35</v>
      </c>
      <c r="U274" s="1353"/>
      <c r="V274" s="1353"/>
      <c r="W274" s="1353">
        <v>1.4</v>
      </c>
      <c r="X274" s="1353"/>
      <c r="Y274" s="1353"/>
      <c r="Z274" s="1353"/>
      <c r="AA274" s="1353"/>
      <c r="AB274" s="1353"/>
      <c r="AC274" s="1353" t="s">
        <v>4115</v>
      </c>
      <c r="AD274" s="1353"/>
      <c r="AE274" s="1353"/>
      <c r="AF274" s="1353">
        <v>5800</v>
      </c>
      <c r="AG274" s="1360">
        <v>91502.34</v>
      </c>
      <c r="AH274" s="1353">
        <v>2063</v>
      </c>
      <c r="AI274" s="1353">
        <v>140</v>
      </c>
      <c r="AJ274" s="1353"/>
      <c r="AK274" s="1353"/>
      <c r="AL274" s="1353" t="s">
        <v>2135</v>
      </c>
      <c r="AM274" s="1353" t="s">
        <v>1042</v>
      </c>
      <c r="AN274" s="1352">
        <v>5.5</v>
      </c>
      <c r="AO274" s="1285"/>
      <c r="AP274" s="1285"/>
      <c r="AQ274" s="1354"/>
      <c r="AR274" s="1354"/>
      <c r="AS274" s="1354"/>
      <c r="AT274" s="1354">
        <f>+ab($T$274,$T$272,$T$276,$G$273,$G$275, 1*$F$274,1200)</f>
        <v>-6.3145331251821277</v>
      </c>
      <c r="AU274" s="1353"/>
      <c r="AV274" s="1353"/>
      <c r="AW274" s="1353" t="str">
        <f>VLOOKUP(C274,'Foundation Calculation'!$A$2:$C$33,3,1)</f>
        <v>Soil A</v>
      </c>
      <c r="AX274" s="1353" t="str">
        <f>VLOOKUP(C274,'Foundation Calculation'!$E$2:$G$33,3,1)</f>
        <v>PT</v>
      </c>
      <c r="AY274" s="1354">
        <f>IF(AX274="PT",VLOOKUP(L274,'Foundation Calculation'!$K$2:$R$40,VLOOKUP(AW274,'Foundation Calculation'!$I$2:$J$8,2,FALSE),0),IF(AX274="K",VLOOKUP(L274,'Foundation Calculation'!$K$42:$R$80,VLOOKUP(AW274,'Foundation Calculation'!$I$2:$J$8,2,FALSE),0),""))</f>
        <v>5.6</v>
      </c>
      <c r="AZ274" s="1354"/>
      <c r="BA274" s="1355" t="s">
        <v>2809</v>
      </c>
      <c r="BB274" s="1361" t="str">
        <f>Pole_Calculations!A178</f>
        <v>App.8-V08F-P10.3</v>
      </c>
      <c r="BC274" s="823" t="s">
        <v>4954</v>
      </c>
      <c r="BD274" s="1356"/>
      <c r="BE274" s="1356"/>
      <c r="BF274" s="1356"/>
      <c r="BG274" s="1356"/>
    </row>
    <row r="275" spans="1:59" s="1288" customFormat="1" ht="15.75" customHeight="1">
      <c r="A275" s="1361"/>
      <c r="B275" s="1362"/>
      <c r="C275" s="1360"/>
      <c r="D275" s="1353"/>
      <c r="E275" s="1353"/>
      <c r="F275" s="1366"/>
      <c r="G275" s="1354">
        <v>40</v>
      </c>
      <c r="H275" s="1285"/>
      <c r="I275" s="1351"/>
      <c r="J275" s="1360">
        <f>C276-7.5</f>
        <v>91533.950000000012</v>
      </c>
      <c r="K275" s="1353" t="s">
        <v>2788</v>
      </c>
      <c r="L275" s="1353"/>
      <c r="M275" s="1353"/>
      <c r="N275" s="1285"/>
      <c r="O275" s="1285"/>
      <c r="P275" s="1285"/>
      <c r="Q275" s="1353"/>
      <c r="R275" s="1353"/>
      <c r="S275" s="1354">
        <f t="shared" ref="S275" si="132">AG276-AG274</f>
        <v>39.010000000009313</v>
      </c>
      <c r="T275" s="1353"/>
      <c r="U275" s="1353"/>
      <c r="V275" s="1353"/>
      <c r="W275" s="1353"/>
      <c r="X275" s="1353"/>
      <c r="Y275" s="1353"/>
      <c r="Z275" s="1353"/>
      <c r="AA275" s="1353"/>
      <c r="AB275" s="1353"/>
      <c r="AC275" s="1353"/>
      <c r="AD275" s="1353"/>
      <c r="AE275" s="1353"/>
      <c r="AF275" s="1353"/>
      <c r="AG275" s="1360"/>
      <c r="AH275" s="1353"/>
      <c r="AI275" s="1353"/>
      <c r="AJ275" s="1353"/>
      <c r="AK275" s="1353"/>
      <c r="AL275" s="1353"/>
      <c r="AM275" s="1353"/>
      <c r="AN275" s="1354"/>
      <c r="AO275" s="1353"/>
      <c r="AP275" s="1353"/>
      <c r="AQ275" s="1354">
        <f>+FL_2($T$276,$T$274,$G$275,1200,9.28, 1*$F$276)</f>
        <v>-0.35000000000000125</v>
      </c>
      <c r="AR275" s="1353"/>
      <c r="AS275" s="1353"/>
      <c r="AT275" s="1354"/>
      <c r="AU275" s="1353"/>
      <c r="AV275" s="1353"/>
      <c r="AW275" s="1353" t="str">
        <f>VLOOKUP(J275,'Foundation Calculation'!$A$2:$C$33,3,1)</f>
        <v>Soil A</v>
      </c>
      <c r="AX275" s="1349" t="str">
        <f>VLOOKUP(J275,'Foundation Calculation'!$E$2:$G$33,3,1)</f>
        <v>PT</v>
      </c>
      <c r="AY275" s="1354"/>
      <c r="AZ275" s="1354">
        <f>IF(AX275="PT",VLOOKUP(K275,'Foundation Calculation'!$K$2:$R$40,VLOOKUP(AW275,'Foundation Calculation'!$I$2:$J$8,2,FALSE),0),IF(AX275="K",VLOOKUP(K275,'Foundation Calculation'!$K$42:$R$80,VLOOKUP(AW275,'Foundation Calculation'!$I$2:$J$8,2,FALSE),0),""))</f>
        <v>2.8</v>
      </c>
      <c r="BA275" s="1355" t="s">
        <v>2809</v>
      </c>
      <c r="BB275" s="1361"/>
      <c r="BC275" s="823"/>
      <c r="BD275" s="1356">
        <v>43855</v>
      </c>
      <c r="BE275" s="1356"/>
      <c r="BF275" s="1356"/>
      <c r="BG275" s="1356"/>
    </row>
    <row r="276" spans="1:59" s="1288" customFormat="1" ht="15.75" customHeight="1">
      <c r="A276" s="1361"/>
      <c r="B276" s="439" t="s">
        <v>2192</v>
      </c>
      <c r="C276" s="1360">
        <f>+$C$274+$G$275</f>
        <v>91541.450000000012</v>
      </c>
      <c r="D276" s="1365"/>
      <c r="E276" s="1366"/>
      <c r="F276" s="1366">
        <v>0</v>
      </c>
      <c r="G276" s="1354"/>
      <c r="H276" s="1285" t="s">
        <v>873</v>
      </c>
      <c r="I276" s="1285"/>
      <c r="J276" s="1350"/>
      <c r="K276" s="1353"/>
      <c r="L276" s="1353" t="s">
        <v>4664</v>
      </c>
      <c r="M276" s="638" t="str">
        <f>IF(AX276="PT",VLOOKUP(L276,'Foundation Calculation'!$V$2:$X$40,VLOOKUP(AX276,'Foundation Calculation'!$I$10:$J$13,2,FALSE),0),IF(AX276="K",VLOOKUP(L276,'Foundation Calculation'!$V$42:$X$80,VLOOKUP(AX276,'Foundation Calculation'!$I$10:$J$13,2,FALSE),0),""))</f>
        <v>C11R</v>
      </c>
      <c r="N276" s="1285" t="s">
        <v>144</v>
      </c>
      <c r="O276" s="1285"/>
      <c r="P276" s="1285"/>
      <c r="Q276" s="1353">
        <v>0</v>
      </c>
      <c r="R276" s="1353">
        <v>0</v>
      </c>
      <c r="S276" s="1354"/>
      <c r="T276" s="1353">
        <v>35</v>
      </c>
      <c r="U276" s="1353"/>
      <c r="V276" s="1353"/>
      <c r="W276" s="1353">
        <v>1.4</v>
      </c>
      <c r="X276" s="1353"/>
      <c r="Y276" s="1353"/>
      <c r="Z276" s="1353"/>
      <c r="AA276" s="1353"/>
      <c r="AB276" s="1353"/>
      <c r="AC276" s="1353" t="s">
        <v>4090</v>
      </c>
      <c r="AD276" s="1353"/>
      <c r="AE276" s="1353"/>
      <c r="AF276" s="1353">
        <v>6000</v>
      </c>
      <c r="AG276" s="1360">
        <v>91541.35</v>
      </c>
      <c r="AH276" s="1353">
        <v>2113</v>
      </c>
      <c r="AI276" s="1353">
        <v>240</v>
      </c>
      <c r="AJ276" s="1353"/>
      <c r="AK276" s="1353"/>
      <c r="AL276" s="1353" t="s">
        <v>2143</v>
      </c>
      <c r="AM276" s="1353" t="s">
        <v>1042</v>
      </c>
      <c r="AN276" s="1352">
        <v>5.5</v>
      </c>
      <c r="AO276" s="1285"/>
      <c r="AP276" s="1285"/>
      <c r="AQ276" s="1354"/>
      <c r="AR276" s="1354"/>
      <c r="AS276" s="1354"/>
      <c r="AT276" s="1354">
        <f>+ab($T$276,$T$274,$T$278,$G$275,$G$277, 1*$F$276,1200)</f>
        <v>4.6889123715762251</v>
      </c>
      <c r="AU276" s="1353"/>
      <c r="AV276" s="1353"/>
      <c r="AW276" s="1353" t="str">
        <f>VLOOKUP(C276,'Foundation Calculation'!$A$2:$C$33,3,1)</f>
        <v>Soil A</v>
      </c>
      <c r="AX276" s="1353" t="str">
        <f>VLOOKUP(C276,'Foundation Calculation'!$E$2:$G$33,3,1)</f>
        <v>PT</v>
      </c>
      <c r="AY276" s="1354">
        <f>IF(AX276="PT",VLOOKUP(L276,'Foundation Calculation'!$K$2:$R$40,VLOOKUP(AW276,'Foundation Calculation'!$I$2:$J$8,2,FALSE),0),IF(AX276="K",VLOOKUP(L276,'Foundation Calculation'!$K$42:$R$80,VLOOKUP(AW276,'Foundation Calculation'!$I$2:$J$8,2,FALSE),0),""))</f>
        <v>4.4000000000000004</v>
      </c>
      <c r="AZ276" s="1354"/>
      <c r="BA276" s="1355" t="s">
        <v>2809</v>
      </c>
      <c r="BB276" s="1361" t="str">
        <f>Pole_Calculations!A178</f>
        <v>App.8-V08F-P10.3</v>
      </c>
      <c r="BC276" s="823" t="s">
        <v>4954</v>
      </c>
      <c r="BD276" s="1356">
        <v>43855</v>
      </c>
      <c r="BE276" s="1356"/>
      <c r="BF276" s="1356"/>
      <c r="BG276" s="1356"/>
    </row>
    <row r="277" spans="1:59" s="1288" customFormat="1" ht="15.75" customHeight="1">
      <c r="A277" s="1361"/>
      <c r="B277" s="1362"/>
      <c r="C277" s="1360"/>
      <c r="D277" s="1353"/>
      <c r="E277" s="1353"/>
      <c r="F277" s="1366"/>
      <c r="G277" s="1354">
        <v>30</v>
      </c>
      <c r="H277" s="1285"/>
      <c r="I277" s="1351"/>
      <c r="J277" s="1360">
        <f>C278-7.5</f>
        <v>91563.950000000012</v>
      </c>
      <c r="K277" s="1353" t="s">
        <v>2788</v>
      </c>
      <c r="L277" s="1353"/>
      <c r="M277" s="1353"/>
      <c r="N277" s="1285"/>
      <c r="O277" s="1285"/>
      <c r="P277" s="1285"/>
      <c r="Q277" s="1353"/>
      <c r="R277" s="1367"/>
      <c r="S277" s="1368">
        <f t="shared" ref="S277" si="133">AG278-AG276</f>
        <v>30.319999999992433</v>
      </c>
      <c r="T277" s="1353"/>
      <c r="U277" s="1353"/>
      <c r="V277" s="1353"/>
      <c r="W277" s="1353"/>
      <c r="X277" s="1353"/>
      <c r="Y277" s="1353"/>
      <c r="Z277" s="1353"/>
      <c r="AA277" s="1353"/>
      <c r="AB277" s="1353"/>
      <c r="AC277" s="1353"/>
      <c r="AD277" s="1353"/>
      <c r="AE277" s="1353"/>
      <c r="AF277" s="1353"/>
      <c r="AG277" s="1360"/>
      <c r="AH277" s="1353"/>
      <c r="AI277" s="1353"/>
      <c r="AJ277" s="1353"/>
      <c r="AK277" s="1353"/>
      <c r="AL277" s="1353"/>
      <c r="AM277" s="1353"/>
      <c r="AN277" s="1354"/>
      <c r="AO277" s="1353"/>
      <c r="AP277" s="1353"/>
      <c r="AQ277" s="1354">
        <f>+FL_1($T$278,$T$276,$G$277,1200,9.28, 1*$F$278)</f>
        <v>0.35000000000002224</v>
      </c>
      <c r="AR277" s="1353"/>
      <c r="AS277" s="1353"/>
      <c r="AT277" s="1354"/>
      <c r="AU277" s="1353"/>
      <c r="AV277" s="1353"/>
      <c r="AW277" s="1353" t="str">
        <f>VLOOKUP(J277,'Foundation Calculation'!$A$2:$C$33,3,1)</f>
        <v>Soil A</v>
      </c>
      <c r="AX277" s="1349" t="str">
        <f>VLOOKUP(J277,'Foundation Calculation'!$E$2:$G$33,3,1)</f>
        <v>PT</v>
      </c>
      <c r="AY277" s="1354"/>
      <c r="AZ277" s="1354">
        <f>IF(AX277="PT",VLOOKUP(K277,'Foundation Calculation'!$K$2:$R$40,VLOOKUP(AW277,'Foundation Calculation'!$I$2:$J$8,2,FALSE),0),IF(AX277="K",VLOOKUP(K277,'Foundation Calculation'!$K$42:$R$80,VLOOKUP(AW277,'Foundation Calculation'!$I$2:$J$8,2,FALSE),0),""))</f>
        <v>2.8</v>
      </c>
      <c r="BA277" s="1355" t="s">
        <v>2809</v>
      </c>
      <c r="BB277" s="1361"/>
      <c r="BC277" s="823"/>
      <c r="BD277" s="1356">
        <v>43855</v>
      </c>
      <c r="BE277" s="1356"/>
      <c r="BF277" s="1356"/>
      <c r="BG277" s="1356"/>
    </row>
    <row r="278" spans="1:59" s="1288" customFormat="1" ht="15.75" customHeight="1">
      <c r="A278" s="1361"/>
      <c r="B278" s="439" t="s">
        <v>2193</v>
      </c>
      <c r="C278" s="1360">
        <f>+$C$276+$G$277</f>
        <v>91571.450000000012</v>
      </c>
      <c r="D278" s="1365"/>
      <c r="E278" s="1366"/>
      <c r="F278" s="1366">
        <v>0</v>
      </c>
      <c r="G278" s="1354"/>
      <c r="H278" s="1285" t="s">
        <v>873</v>
      </c>
      <c r="I278" s="1285"/>
      <c r="J278" s="1350"/>
      <c r="K278" s="1353"/>
      <c r="L278" s="1353" t="s">
        <v>4664</v>
      </c>
      <c r="M278" s="638" t="str">
        <f>IF(AX278="PT",VLOOKUP(L278,'Foundation Calculation'!$V$2:$X$40,VLOOKUP(AX278,'Foundation Calculation'!$I$10:$J$13,2,FALSE),0),IF(AX278="K",VLOOKUP(L278,'Foundation Calculation'!$V$42:$X$80,VLOOKUP(AX278,'Foundation Calculation'!$I$10:$J$13,2,FALSE),0),""))</f>
        <v>C11R</v>
      </c>
      <c r="N278" s="1285" t="s">
        <v>143</v>
      </c>
      <c r="O278" s="1285"/>
      <c r="P278" s="1285"/>
      <c r="Q278" s="1353">
        <v>0</v>
      </c>
      <c r="R278" s="1353">
        <v>0</v>
      </c>
      <c r="S278" s="1354"/>
      <c r="T278" s="1353">
        <v>-35</v>
      </c>
      <c r="U278" s="1353"/>
      <c r="V278" s="1353"/>
      <c r="W278" s="1353">
        <v>1.4</v>
      </c>
      <c r="X278" s="1353"/>
      <c r="Y278" s="1353"/>
      <c r="Z278" s="1353"/>
      <c r="AA278" s="1353"/>
      <c r="AB278" s="1353"/>
      <c r="AC278" s="1353" t="s">
        <v>4090</v>
      </c>
      <c r="AD278" s="1353"/>
      <c r="AE278" s="1353"/>
      <c r="AF278" s="1353">
        <v>5800</v>
      </c>
      <c r="AG278" s="1360">
        <v>91571.67</v>
      </c>
      <c r="AH278" s="1353">
        <v>2193</v>
      </c>
      <c r="AI278" s="1353">
        <v>120</v>
      </c>
      <c r="AJ278" s="1353"/>
      <c r="AK278" s="1353"/>
      <c r="AL278" s="1353" t="s">
        <v>2143</v>
      </c>
      <c r="AM278" s="1353" t="s">
        <v>1042</v>
      </c>
      <c r="AN278" s="1352">
        <v>5.5</v>
      </c>
      <c r="AO278" s="1285"/>
      <c r="AP278" s="1285"/>
      <c r="AQ278" s="1354"/>
      <c r="AR278" s="1354"/>
      <c r="AS278" s="1354"/>
      <c r="AT278" s="1354">
        <f>+ab($T$278,$T$276,$T$280,$G$277,$G$279, 1*$F$278,1200)</f>
        <v>-4.4597083838735907</v>
      </c>
      <c r="AU278" s="1353"/>
      <c r="AV278" s="1353"/>
      <c r="AW278" s="1353" t="str">
        <f>VLOOKUP(C278,'Foundation Calculation'!$A$2:$C$33,3,1)</f>
        <v>Soil A</v>
      </c>
      <c r="AX278" s="1353" t="str">
        <f>VLOOKUP(C278,'Foundation Calculation'!$E$2:$G$33,3,1)</f>
        <v>PT</v>
      </c>
      <c r="AY278" s="1354">
        <f>IF(AX278="PT",VLOOKUP(L278,'Foundation Calculation'!$K$2:$R$40,VLOOKUP(AW278,'Foundation Calculation'!$I$2:$J$8,2,FALSE),0),IF(AX278="K",VLOOKUP(L278,'Foundation Calculation'!$K$42:$R$80,VLOOKUP(AW278,'Foundation Calculation'!$I$2:$J$8,2,FALSE),0),""))</f>
        <v>4.4000000000000004</v>
      </c>
      <c r="AZ278" s="1354"/>
      <c r="BA278" s="1355" t="s">
        <v>2809</v>
      </c>
      <c r="BB278" s="1361" t="str">
        <f>Pole_Calculations!A178</f>
        <v>App.8-V08F-P10.3</v>
      </c>
      <c r="BC278" s="823" t="s">
        <v>4954</v>
      </c>
      <c r="BD278" s="1356">
        <v>43855</v>
      </c>
      <c r="BE278" s="1356"/>
      <c r="BF278" s="1356"/>
      <c r="BG278" s="1356"/>
    </row>
    <row r="279" spans="1:59" s="1288" customFormat="1" ht="15.75" customHeight="1">
      <c r="A279" s="1361"/>
      <c r="B279" s="1362"/>
      <c r="C279" s="1360"/>
      <c r="D279" s="1353"/>
      <c r="E279" s="1353"/>
      <c r="F279" s="1366"/>
      <c r="G279" s="1354">
        <v>35.700000000000003</v>
      </c>
      <c r="H279" s="1285"/>
      <c r="I279" s="1351">
        <f>SUM(G257:G279)</f>
        <v>529.6</v>
      </c>
      <c r="J279" s="1360"/>
      <c r="K279" s="1353"/>
      <c r="L279" s="1353"/>
      <c r="M279" s="1353"/>
      <c r="N279" s="1285"/>
      <c r="O279" s="1285"/>
      <c r="P279" s="1285"/>
      <c r="Q279" s="1367"/>
      <c r="R279" s="1367"/>
      <c r="S279" s="1368">
        <f t="shared" ref="S279" si="134">AG280-AG278</f>
        <v>35.680000000007567</v>
      </c>
      <c r="T279" s="1353"/>
      <c r="U279" s="1353"/>
      <c r="V279" s="1353"/>
      <c r="W279" s="1353"/>
      <c r="X279" s="1353"/>
      <c r="Y279" s="1353"/>
      <c r="Z279" s="1353"/>
      <c r="AA279" s="1353"/>
      <c r="AB279" s="1353"/>
      <c r="AC279" s="1353"/>
      <c r="AD279" s="1353"/>
      <c r="AE279" s="1353"/>
      <c r="AF279" s="1353"/>
      <c r="AG279" s="1360"/>
      <c r="AH279" s="1353"/>
      <c r="AI279" s="1353"/>
      <c r="AJ279" s="1353"/>
      <c r="AK279" s="1353"/>
      <c r="AL279" s="1353"/>
      <c r="AM279" s="1353"/>
      <c r="AN279" s="1352"/>
      <c r="AO279" s="1285"/>
      <c r="AP279" s="1285"/>
      <c r="AQ279" s="1352">
        <f>+FL_2($T$280,$T$278,$G$279,1200,9.28, 1*$F$280)</f>
        <v>-0.35000000000000847</v>
      </c>
      <c r="AR279" s="1285"/>
      <c r="AS279" s="1285"/>
      <c r="AT279" s="1352"/>
      <c r="AU279" s="1285"/>
      <c r="AV279" s="1285"/>
      <c r="AW279" s="1353"/>
      <c r="AX279" s="1353"/>
      <c r="AY279" s="1354"/>
      <c r="AZ279" s="1352"/>
      <c r="BA279" s="1358"/>
      <c r="BB279" s="1361"/>
      <c r="BC279" s="823"/>
      <c r="BD279" s="1356"/>
      <c r="BE279" s="1356"/>
      <c r="BF279" s="1356"/>
      <c r="BG279" s="1356"/>
    </row>
    <row r="280" spans="1:59" s="1288" customFormat="1" ht="15.75" customHeight="1">
      <c r="A280" s="1361"/>
      <c r="B280" s="439" t="s">
        <v>2194</v>
      </c>
      <c r="C280" s="1360">
        <f>+$C$278+$G$279</f>
        <v>91607.150000000009</v>
      </c>
      <c r="D280" s="1365"/>
      <c r="E280" s="1366"/>
      <c r="F280" s="1366">
        <v>0</v>
      </c>
      <c r="G280" s="1354"/>
      <c r="H280" s="1285" t="s">
        <v>874</v>
      </c>
      <c r="I280" s="1285"/>
      <c r="J280" s="1350"/>
      <c r="K280" s="1353"/>
      <c r="L280" s="1353" t="s">
        <v>4393</v>
      </c>
      <c r="M280" s="638" t="str">
        <f>IF(AX280="PT",VLOOKUP(L280,'Foundation Calculation'!$V$2:$X$40,VLOOKUP(AX280,'Foundation Calculation'!$I$10:$J$13,2,FALSE),0),IF(AX280="K",VLOOKUP(L280,'Foundation Calculation'!$V$42:$X$80,VLOOKUP(AX280,'Foundation Calculation'!$I$10:$J$13,2,FALSE),0),""))</f>
        <v>2C4R</v>
      </c>
      <c r="N280" s="1285" t="s">
        <v>144</v>
      </c>
      <c r="O280" s="1285"/>
      <c r="P280" s="1285"/>
      <c r="Q280" s="1353">
        <v>0</v>
      </c>
      <c r="R280" s="1353">
        <v>0</v>
      </c>
      <c r="S280" s="1354"/>
      <c r="T280" s="1353">
        <v>35</v>
      </c>
      <c r="U280" s="1353"/>
      <c r="V280" s="1353"/>
      <c r="W280" s="1353">
        <v>1.4</v>
      </c>
      <c r="X280" s="1353"/>
      <c r="Y280" s="1353"/>
      <c r="Z280" s="1353"/>
      <c r="AA280" s="1353"/>
      <c r="AB280" s="1353"/>
      <c r="AC280" s="1353" t="s">
        <v>4090</v>
      </c>
      <c r="AD280" s="1353"/>
      <c r="AE280" s="1353"/>
      <c r="AF280" s="1353">
        <v>6000</v>
      </c>
      <c r="AG280" s="1360">
        <v>91607.35</v>
      </c>
      <c r="AH280" s="1353">
        <v>2293</v>
      </c>
      <c r="AI280" s="1353">
        <v>190</v>
      </c>
      <c r="AJ280" s="1353"/>
      <c r="AK280" s="1353"/>
      <c r="AL280" s="1353" t="s">
        <v>2135</v>
      </c>
      <c r="AM280" s="1353" t="s">
        <v>1042</v>
      </c>
      <c r="AN280" s="1352">
        <v>5.5</v>
      </c>
      <c r="AO280" s="1285"/>
      <c r="AP280" s="1285"/>
      <c r="AQ280" s="1354"/>
      <c r="AR280" s="1354"/>
      <c r="AS280" s="1354"/>
      <c r="AT280" s="1354">
        <f>+ab($T$280,$T$278,$T$282,$G$279,$G$281, 1*$F$280,1200)</f>
        <v>4.690441263861981</v>
      </c>
      <c r="AU280" s="1353"/>
      <c r="AV280" s="1353"/>
      <c r="AW280" s="1353" t="str">
        <f>VLOOKUP(C280,'Foundation Calculation'!$A$2:$C$33,3,1)</f>
        <v>Soil A</v>
      </c>
      <c r="AX280" s="1353" t="str">
        <f>VLOOKUP(C280,'Foundation Calculation'!$E$2:$G$33,3,1)</f>
        <v>PT</v>
      </c>
      <c r="AY280" s="1354">
        <f>IF(AX280="PT",VLOOKUP(L280,'Foundation Calculation'!$K$2:$R$40,VLOOKUP(AW280,'Foundation Calculation'!$I$2:$J$8,2,FALSE),0),IF(AX280="K",VLOOKUP(L280,'Foundation Calculation'!$K$42:$R$80,VLOOKUP(AW280,'Foundation Calculation'!$I$2:$J$8,2,FALSE),0),""))</f>
        <v>5.6</v>
      </c>
      <c r="AZ280" s="1354"/>
      <c r="BA280" s="1355" t="s">
        <v>2809</v>
      </c>
      <c r="BB280" s="1361" t="str">
        <f>Pole_Calculations!A178</f>
        <v>App.8-V08F-P10.3</v>
      </c>
      <c r="BC280" s="823" t="s">
        <v>4955</v>
      </c>
      <c r="BD280" s="1356"/>
      <c r="BE280" s="1356"/>
      <c r="BF280" s="1356"/>
      <c r="BG280" s="1356"/>
    </row>
    <row r="281" spans="1:59" s="1288" customFormat="1" ht="15.75" customHeight="1">
      <c r="A281" s="1361"/>
      <c r="B281" s="1362"/>
      <c r="C281" s="1360"/>
      <c r="D281" s="1353"/>
      <c r="E281" s="1353"/>
      <c r="F281" s="1366"/>
      <c r="G281" s="1354">
        <v>33</v>
      </c>
      <c r="H281" s="1285"/>
      <c r="I281" s="1351">
        <f>SUM(G281:G305)</f>
        <v>492.7</v>
      </c>
      <c r="J281" s="1360"/>
      <c r="K281" s="1353"/>
      <c r="L281" s="1353"/>
      <c r="M281" s="1353"/>
      <c r="N281" s="1285"/>
      <c r="O281" s="1285"/>
      <c r="P281" s="1285"/>
      <c r="Q281" s="1353"/>
      <c r="R281" s="1367"/>
      <c r="S281" s="1368">
        <f t="shared" ref="S281" si="135">AG282-AG280</f>
        <v>33.379999999990105</v>
      </c>
      <c r="T281" s="1353"/>
      <c r="U281" s="1353"/>
      <c r="V281" s="1353"/>
      <c r="W281" s="1353"/>
      <c r="X281" s="1353"/>
      <c r="Y281" s="1353"/>
      <c r="Z281" s="1353"/>
      <c r="AA281" s="1353"/>
      <c r="AB281" s="1353"/>
      <c r="AC281" s="1353"/>
      <c r="AD281" s="1353"/>
      <c r="AE281" s="1353"/>
      <c r="AF281" s="1353"/>
      <c r="AG281" s="1360"/>
      <c r="AH281" s="1353"/>
      <c r="AI281" s="1353"/>
      <c r="AJ281" s="1353"/>
      <c r="AK281" s="1353"/>
      <c r="AL281" s="1353"/>
      <c r="AM281" s="1353"/>
      <c r="AN281" s="1352"/>
      <c r="AO281" s="1285"/>
      <c r="AP281" s="1285"/>
      <c r="AQ281" s="1352">
        <f>+FL_1($T$282,$T$280,$G$281,1200,9.28, 1*$F$282)</f>
        <v>0.35000000000001691</v>
      </c>
      <c r="AR281" s="1285"/>
      <c r="AS281" s="1285"/>
      <c r="AT281" s="1352"/>
      <c r="AU281" s="1285"/>
      <c r="AV281" s="1285"/>
      <c r="AW281" s="1353"/>
      <c r="AX281" s="1353"/>
      <c r="AY281" s="1354"/>
      <c r="AZ281" s="1352"/>
      <c r="BA281" s="1358"/>
      <c r="BB281" s="1361"/>
      <c r="BC281" s="823"/>
      <c r="BD281" s="1356"/>
      <c r="BE281" s="1356"/>
      <c r="BF281" s="1356"/>
      <c r="BG281" s="1356"/>
    </row>
    <row r="282" spans="1:59" s="1288" customFormat="1" ht="15.75" customHeight="1">
      <c r="A282" s="1361"/>
      <c r="B282" s="439" t="s">
        <v>2195</v>
      </c>
      <c r="C282" s="1360">
        <f>+$C$280+$G$281</f>
        <v>91640.150000000009</v>
      </c>
      <c r="D282" s="1365"/>
      <c r="E282" s="1366"/>
      <c r="F282" s="1366">
        <v>0</v>
      </c>
      <c r="G282" s="1354"/>
      <c r="H282" s="1285" t="s">
        <v>873</v>
      </c>
      <c r="I282" s="1285"/>
      <c r="J282" s="1350"/>
      <c r="K282" s="1353"/>
      <c r="L282" s="1353" t="s">
        <v>4393</v>
      </c>
      <c r="M282" s="638" t="str">
        <f>IF(AX282="PT",VLOOKUP(L282,'Foundation Calculation'!$V$2:$X$40,VLOOKUP(AX282,'Foundation Calculation'!$I$10:$J$13,2,FALSE),0),IF(AX282="K",VLOOKUP(L282,'Foundation Calculation'!$V$42:$X$80,VLOOKUP(AX282,'Foundation Calculation'!$I$10:$J$13,2,FALSE),0),""))</f>
        <v>2C4R</v>
      </c>
      <c r="N282" s="1285" t="s">
        <v>143</v>
      </c>
      <c r="O282" s="1285"/>
      <c r="P282" s="1285"/>
      <c r="Q282" s="1353">
        <v>40</v>
      </c>
      <c r="R282" s="1353">
        <v>0</v>
      </c>
      <c r="S282" s="1354"/>
      <c r="T282" s="1353">
        <v>-35</v>
      </c>
      <c r="U282" s="1353"/>
      <c r="V282" s="1353"/>
      <c r="W282" s="1353">
        <v>1.4</v>
      </c>
      <c r="X282" s="1353"/>
      <c r="Y282" s="1353"/>
      <c r="Z282" s="1353"/>
      <c r="AA282" s="1353"/>
      <c r="AB282" s="1353"/>
      <c r="AC282" s="1353" t="s">
        <v>4115</v>
      </c>
      <c r="AD282" s="1353"/>
      <c r="AE282" s="1353"/>
      <c r="AF282" s="1353">
        <v>5800</v>
      </c>
      <c r="AG282" s="1360">
        <v>91640.73</v>
      </c>
      <c r="AH282" s="1353">
        <v>2053</v>
      </c>
      <c r="AI282" s="1353">
        <v>180</v>
      </c>
      <c r="AJ282" s="1353"/>
      <c r="AK282" s="1353"/>
      <c r="AL282" s="1353" t="s">
        <v>2135</v>
      </c>
      <c r="AM282" s="1353" t="s">
        <v>1042</v>
      </c>
      <c r="AN282" s="1352">
        <v>5.5</v>
      </c>
      <c r="AO282" s="1285"/>
      <c r="AP282" s="1285"/>
      <c r="AQ282" s="1354"/>
      <c r="AR282" s="1354"/>
      <c r="AS282" s="1354"/>
      <c r="AT282" s="1354">
        <f>+ab($T$282,$T$280,$T$284,$G$281,$G$283, 1*$F$282,1200)</f>
        <v>-4.5138262032686756</v>
      </c>
      <c r="AU282" s="1353"/>
      <c r="AV282" s="1353"/>
      <c r="AW282" s="1353" t="str">
        <f>VLOOKUP(C282,'Foundation Calculation'!$A$2:$C$33,3,1)</f>
        <v>Soil A</v>
      </c>
      <c r="AX282" s="1353" t="str">
        <f>VLOOKUP(C282,'Foundation Calculation'!$E$2:$G$33,3,1)</f>
        <v>PT</v>
      </c>
      <c r="AY282" s="1354">
        <f>IF(AX282="PT",VLOOKUP(L282,'Foundation Calculation'!$K$2:$R$40,VLOOKUP(AW282,'Foundation Calculation'!$I$2:$J$8,2,FALSE),0),IF(AX282="K",VLOOKUP(L282,'Foundation Calculation'!$K$42:$R$80,VLOOKUP(AW282,'Foundation Calculation'!$I$2:$J$8,2,FALSE),0),""))</f>
        <v>5.6</v>
      </c>
      <c r="AZ282" s="1354"/>
      <c r="BA282" s="1355" t="s">
        <v>2809</v>
      </c>
      <c r="BB282" s="1361" t="str">
        <f>Pole_Calculations!A178</f>
        <v>App.8-V08F-P10.3</v>
      </c>
      <c r="BC282" s="823" t="s">
        <v>4955</v>
      </c>
      <c r="BD282" s="1356"/>
      <c r="BE282" s="1356"/>
      <c r="BF282" s="1356"/>
      <c r="BG282" s="1356"/>
    </row>
    <row r="283" spans="1:59" s="1288" customFormat="1" ht="15.75" customHeight="1">
      <c r="A283" s="1361"/>
      <c r="B283" s="1362"/>
      <c r="C283" s="1360"/>
      <c r="D283" s="1353"/>
      <c r="E283" s="1353"/>
      <c r="F283" s="1366"/>
      <c r="G283" s="1354">
        <v>33</v>
      </c>
      <c r="H283" s="1285"/>
      <c r="I283" s="1351"/>
      <c r="J283" s="1360">
        <f>C282+7.5</f>
        <v>91647.650000000009</v>
      </c>
      <c r="K283" s="1353" t="s">
        <v>2788</v>
      </c>
      <c r="L283" s="1353"/>
      <c r="M283" s="1353"/>
      <c r="N283" s="1285"/>
      <c r="O283" s="1285"/>
      <c r="P283" s="1285"/>
      <c r="Q283" s="1367"/>
      <c r="R283" s="1367"/>
      <c r="S283" s="1368">
        <f t="shared" ref="S283" si="136">AG284-AG282</f>
        <v>32.690000000002328</v>
      </c>
      <c r="T283" s="1353"/>
      <c r="U283" s="1353"/>
      <c r="V283" s="1353"/>
      <c r="W283" s="1353"/>
      <c r="X283" s="1353"/>
      <c r="Y283" s="1353"/>
      <c r="Z283" s="1353"/>
      <c r="AA283" s="1353"/>
      <c r="AB283" s="1353"/>
      <c r="AC283" s="1353"/>
      <c r="AD283" s="1353"/>
      <c r="AE283" s="1353"/>
      <c r="AF283" s="1353"/>
      <c r="AG283" s="1360"/>
      <c r="AH283" s="1353"/>
      <c r="AI283" s="1353"/>
      <c r="AJ283" s="1353"/>
      <c r="AK283" s="1353"/>
      <c r="AL283" s="1353"/>
      <c r="AM283" s="1353"/>
      <c r="AN283" s="1354"/>
      <c r="AO283" s="1353"/>
      <c r="AP283" s="1353"/>
      <c r="AQ283" s="1354">
        <f>+FL_2($T$284,$T$282,$G$283,1200,9.28, 1*$F$284)</f>
        <v>-0.35000000000001691</v>
      </c>
      <c r="AR283" s="1353"/>
      <c r="AS283" s="1353"/>
      <c r="AT283" s="1354"/>
      <c r="AU283" s="1353"/>
      <c r="AV283" s="1353"/>
      <c r="AW283" s="1353" t="str">
        <f>VLOOKUP(J283,'Foundation Calculation'!$A$2:$C$33,3,1)</f>
        <v>Soil A</v>
      </c>
      <c r="AX283" s="1349" t="str">
        <f>VLOOKUP(J283,'Foundation Calculation'!$E$2:$G$33,3,1)</f>
        <v>PT</v>
      </c>
      <c r="AY283" s="1354"/>
      <c r="AZ283" s="1354">
        <f>IF(AX283="PT",VLOOKUP(K283,'Foundation Calculation'!$K$2:$R$40,VLOOKUP(AW283,'Foundation Calculation'!$I$2:$J$8,2,FALSE),0),IF(AX283="K",VLOOKUP(K283,'Foundation Calculation'!$K$42:$R$80,VLOOKUP(AW283,'Foundation Calculation'!$I$2:$J$8,2,FALSE),0),""))</f>
        <v>2.8</v>
      </c>
      <c r="BA283" s="1355" t="s">
        <v>2809</v>
      </c>
      <c r="BB283" s="1361"/>
      <c r="BC283" s="823"/>
      <c r="BD283" s="1356"/>
      <c r="BE283" s="1356"/>
      <c r="BF283" s="1356"/>
      <c r="BG283" s="1356"/>
    </row>
    <row r="284" spans="1:59" s="1288" customFormat="1" ht="15.75" customHeight="1">
      <c r="A284" s="1361"/>
      <c r="B284" s="439" t="s">
        <v>2196</v>
      </c>
      <c r="C284" s="1360">
        <f>+$C$282+$G$283</f>
        <v>91673.150000000009</v>
      </c>
      <c r="D284" s="1365"/>
      <c r="E284" s="1366"/>
      <c r="F284" s="1366">
        <v>0</v>
      </c>
      <c r="G284" s="1354"/>
      <c r="H284" s="1285" t="s">
        <v>873</v>
      </c>
      <c r="I284" s="1285"/>
      <c r="J284" s="1350"/>
      <c r="K284" s="1353"/>
      <c r="L284" s="1353" t="s">
        <v>4393</v>
      </c>
      <c r="M284" s="638" t="str">
        <f>IF(AX284="PT",VLOOKUP(L284,'Foundation Calculation'!$V$2:$X$40,VLOOKUP(AX284,'Foundation Calculation'!$I$10:$J$13,2,FALSE),0),IF(AX284="K",VLOOKUP(L284,'Foundation Calculation'!$V$42:$X$80,VLOOKUP(AX284,'Foundation Calculation'!$I$10:$J$13,2,FALSE),0),""))</f>
        <v>2C4R</v>
      </c>
      <c r="N284" s="1285" t="s">
        <v>144</v>
      </c>
      <c r="O284" s="1285"/>
      <c r="P284" s="1285"/>
      <c r="Q284" s="1353">
        <v>20</v>
      </c>
      <c r="R284" s="1353">
        <v>0</v>
      </c>
      <c r="S284" s="1354"/>
      <c r="T284" s="1353">
        <v>35</v>
      </c>
      <c r="U284" s="1353"/>
      <c r="V284" s="1353"/>
      <c r="W284" s="1353">
        <v>1.4</v>
      </c>
      <c r="X284" s="1353"/>
      <c r="Y284" s="1353"/>
      <c r="Z284" s="1353"/>
      <c r="AA284" s="1353"/>
      <c r="AB284" s="1353"/>
      <c r="AC284" s="1353" t="s">
        <v>4090</v>
      </c>
      <c r="AD284" s="1353"/>
      <c r="AE284" s="1353"/>
      <c r="AF284" s="1353">
        <v>6000</v>
      </c>
      <c r="AG284" s="1360">
        <v>91673.42</v>
      </c>
      <c r="AH284" s="1353">
        <v>2073</v>
      </c>
      <c r="AI284" s="1353">
        <v>170</v>
      </c>
      <c r="AJ284" s="1353"/>
      <c r="AK284" s="1353"/>
      <c r="AL284" s="1353" t="s">
        <v>2135</v>
      </c>
      <c r="AM284" s="1353" t="s">
        <v>1042</v>
      </c>
      <c r="AN284" s="1352">
        <v>5.5</v>
      </c>
      <c r="AO284" s="1285"/>
      <c r="AP284" s="1285"/>
      <c r="AQ284" s="1354"/>
      <c r="AR284" s="1354"/>
      <c r="AS284" s="1354"/>
      <c r="AT284" s="1354">
        <f>+ab($T$284,$T$282,$T$286,$G$283,$G$285, 1*$F$284,1200)</f>
        <v>4.8594320472941739</v>
      </c>
      <c r="AU284" s="1353"/>
      <c r="AV284" s="1353"/>
      <c r="AW284" s="1353" t="str">
        <f>VLOOKUP(C284,'Foundation Calculation'!$A$2:$C$33,3,1)</f>
        <v>Soil A</v>
      </c>
      <c r="AX284" s="1353" t="str">
        <f>VLOOKUP(C284,'Foundation Calculation'!$E$2:$G$33,3,1)</f>
        <v>PT</v>
      </c>
      <c r="AY284" s="1354">
        <f>IF(AX284="PT",VLOOKUP(L284,'Foundation Calculation'!$K$2:$R$40,VLOOKUP(AW284,'Foundation Calculation'!$I$2:$J$8,2,FALSE),0),IF(AX284="K",VLOOKUP(L284,'Foundation Calculation'!$K$42:$R$80,VLOOKUP(AW284,'Foundation Calculation'!$I$2:$J$8,2,FALSE),0),""))</f>
        <v>5.6</v>
      </c>
      <c r="AZ284" s="1354"/>
      <c r="BA284" s="1355" t="s">
        <v>2809</v>
      </c>
      <c r="BB284" s="1361" t="str">
        <f>Pole_Calculations!A178</f>
        <v>App.8-V08F-P10.3</v>
      </c>
      <c r="BC284" s="823" t="s">
        <v>4955</v>
      </c>
      <c r="BD284" s="1356"/>
      <c r="BE284" s="1356"/>
      <c r="BF284" s="1356"/>
      <c r="BG284" s="1356"/>
    </row>
    <row r="285" spans="1:59" s="1288" customFormat="1" ht="15.75" customHeight="1">
      <c r="A285" s="1361"/>
      <c r="B285" s="1362"/>
      <c r="C285" s="1360"/>
      <c r="D285" s="1353"/>
      <c r="E285" s="1353"/>
      <c r="F285" s="1366"/>
      <c r="G285" s="1354">
        <v>33</v>
      </c>
      <c r="H285" s="1285"/>
      <c r="I285" s="1351"/>
      <c r="J285" s="1360">
        <f>C284+7.5</f>
        <v>91680.650000000009</v>
      </c>
      <c r="K285" s="1353" t="s">
        <v>2788</v>
      </c>
      <c r="L285" s="1353"/>
      <c r="M285" s="1353"/>
      <c r="N285" s="1285"/>
      <c r="O285" s="1285"/>
      <c r="P285" s="1285"/>
      <c r="Q285" s="1353"/>
      <c r="R285" s="1367"/>
      <c r="S285" s="1368">
        <f t="shared" ref="S285" si="137">AG286-AG284</f>
        <v>32.80000000000291</v>
      </c>
      <c r="T285" s="1353"/>
      <c r="U285" s="1353"/>
      <c r="V285" s="1353"/>
      <c r="W285" s="1353"/>
      <c r="X285" s="1353"/>
      <c r="Y285" s="1353"/>
      <c r="Z285" s="1353"/>
      <c r="AA285" s="1353"/>
      <c r="AB285" s="1353"/>
      <c r="AC285" s="1353"/>
      <c r="AD285" s="1353"/>
      <c r="AE285" s="1353"/>
      <c r="AF285" s="1353"/>
      <c r="AG285" s="1360"/>
      <c r="AH285" s="1353"/>
      <c r="AI285" s="1353"/>
      <c r="AJ285" s="1353"/>
      <c r="AK285" s="1353"/>
      <c r="AL285" s="1353"/>
      <c r="AM285" s="1353"/>
      <c r="AN285" s="1354"/>
      <c r="AO285" s="1353"/>
      <c r="AP285" s="1353"/>
      <c r="AQ285" s="1354">
        <f>+FL_1($T$286,$T$284,$G$285,1200,9.28, 1*$F$286)</f>
        <v>0.3500000000000108</v>
      </c>
      <c r="AR285" s="1353"/>
      <c r="AS285" s="1353"/>
      <c r="AT285" s="1354"/>
      <c r="AU285" s="1353"/>
      <c r="AV285" s="1353"/>
      <c r="AW285" s="1353" t="str">
        <f>VLOOKUP(J285,'Foundation Calculation'!$A$2:$C$33,3,1)</f>
        <v>Soil A</v>
      </c>
      <c r="AX285" s="1349" t="str">
        <f>VLOOKUP(J285,'Foundation Calculation'!$E$2:$G$33,3,1)</f>
        <v>PT</v>
      </c>
      <c r="AY285" s="1354"/>
      <c r="AZ285" s="1354">
        <f>IF(AX285="PT",VLOOKUP(K285,'Foundation Calculation'!$K$2:$R$40,VLOOKUP(AW285,'Foundation Calculation'!$I$2:$J$8,2,FALSE),0),IF(AX285="K",VLOOKUP(K285,'Foundation Calculation'!$K$42:$R$80,VLOOKUP(AW285,'Foundation Calculation'!$I$2:$J$8,2,FALSE),0),""))</f>
        <v>2.8</v>
      </c>
      <c r="BA285" s="1355" t="s">
        <v>2809</v>
      </c>
      <c r="BB285" s="1361"/>
      <c r="BC285" s="823"/>
      <c r="BD285" s="1356"/>
      <c r="BE285" s="1356"/>
      <c r="BF285" s="1356"/>
      <c r="BG285" s="1356"/>
    </row>
    <row r="286" spans="1:59" s="1288" customFormat="1" ht="15.75" customHeight="1">
      <c r="A286" s="1361"/>
      <c r="B286" s="439" t="s">
        <v>2197</v>
      </c>
      <c r="C286" s="1360">
        <f>+$C$284+$G$285</f>
        <v>91706.150000000009</v>
      </c>
      <c r="D286" s="1365"/>
      <c r="E286" s="1366"/>
      <c r="F286" s="1366">
        <v>13000</v>
      </c>
      <c r="G286" s="1354"/>
      <c r="H286" s="1285"/>
      <c r="I286" s="1285"/>
      <c r="J286" s="1350"/>
      <c r="K286" s="1353"/>
      <c r="L286" s="1353" t="s">
        <v>4393</v>
      </c>
      <c r="M286" s="638" t="str">
        <f>IF(AX286="PT",VLOOKUP(L286,'Foundation Calculation'!$V$2:$X$40,VLOOKUP(AX286,'Foundation Calculation'!$I$10:$J$13,2,FALSE),0),IF(AX286="K",VLOOKUP(L286,'Foundation Calculation'!$V$42:$X$80,VLOOKUP(AX286,'Foundation Calculation'!$I$10:$J$13,2,FALSE),0),""))</f>
        <v>2C4R</v>
      </c>
      <c r="N286" s="1285" t="s">
        <v>143</v>
      </c>
      <c r="O286" s="1285"/>
      <c r="P286" s="1285"/>
      <c r="Q286" s="1353">
        <v>20</v>
      </c>
      <c r="R286" s="1353">
        <v>0</v>
      </c>
      <c r="S286" s="1354"/>
      <c r="T286" s="1353">
        <v>-25</v>
      </c>
      <c r="U286" s="1353"/>
      <c r="V286" s="1353"/>
      <c r="W286" s="1353">
        <v>1.4</v>
      </c>
      <c r="X286" s="1353"/>
      <c r="Y286" s="1353"/>
      <c r="Z286" s="1353"/>
      <c r="AA286" s="1353"/>
      <c r="AB286" s="1353"/>
      <c r="AC286" s="1353" t="s">
        <v>4090</v>
      </c>
      <c r="AD286" s="1353"/>
      <c r="AE286" s="1353"/>
      <c r="AF286" s="1353">
        <v>5800</v>
      </c>
      <c r="AG286" s="1360">
        <v>91706.22</v>
      </c>
      <c r="AH286" s="1353">
        <v>2123</v>
      </c>
      <c r="AI286" s="1353">
        <v>170</v>
      </c>
      <c r="AJ286" s="1353"/>
      <c r="AK286" s="1353"/>
      <c r="AL286" s="1353" t="s">
        <v>2135</v>
      </c>
      <c r="AM286" s="1353" t="s">
        <v>1042</v>
      </c>
      <c r="AN286" s="1352">
        <v>5.5</v>
      </c>
      <c r="AO286" s="1285"/>
      <c r="AP286" s="1285"/>
      <c r="AQ286" s="1354"/>
      <c r="AR286" s="1354"/>
      <c r="AS286" s="1354"/>
      <c r="AT286" s="1354">
        <f>+ab($T$286,$T$284,$T$288,$G$285,$G$287, 1*$F$286,1200)</f>
        <v>-5.5456198463619666</v>
      </c>
      <c r="AU286" s="1353"/>
      <c r="AV286" s="1353"/>
      <c r="AW286" s="1353" t="str">
        <f>VLOOKUP(C286,'Foundation Calculation'!$A$2:$C$33,3,1)</f>
        <v>Soil A</v>
      </c>
      <c r="AX286" s="1353" t="str">
        <f>VLOOKUP(C286,'Foundation Calculation'!$E$2:$G$33,3,1)</f>
        <v>PT</v>
      </c>
      <c r="AY286" s="1354">
        <f>IF(AX286="PT",VLOOKUP(L286,'Foundation Calculation'!$K$2:$R$40,VLOOKUP(AW286,'Foundation Calculation'!$I$2:$J$8,2,FALSE),0),IF(AX286="K",VLOOKUP(L286,'Foundation Calculation'!$K$42:$R$80,VLOOKUP(AW286,'Foundation Calculation'!$I$2:$J$8,2,FALSE),0),""))</f>
        <v>5.6</v>
      </c>
      <c r="AZ286" s="1354"/>
      <c r="BA286" s="1355" t="s">
        <v>2809</v>
      </c>
      <c r="BB286" s="1361" t="str">
        <f>Pole_Calculations!A178</f>
        <v>App.8-V08F-P10.3</v>
      </c>
      <c r="BC286" s="823" t="s">
        <v>4955</v>
      </c>
      <c r="BD286" s="1356"/>
      <c r="BE286" s="1356"/>
      <c r="BF286" s="1356"/>
      <c r="BG286" s="1356"/>
    </row>
    <row r="287" spans="1:59" s="1288" customFormat="1" ht="15.75" customHeight="1">
      <c r="A287" s="1361"/>
      <c r="B287" s="1362"/>
      <c r="C287" s="1360"/>
      <c r="D287" s="1353"/>
      <c r="E287" s="1353"/>
      <c r="F287" s="1366"/>
      <c r="G287" s="1354">
        <v>31.9</v>
      </c>
      <c r="H287" s="1285"/>
      <c r="I287" s="1351"/>
      <c r="J287" s="1360"/>
      <c r="K287" s="1353"/>
      <c r="L287" s="1353"/>
      <c r="M287" s="1353"/>
      <c r="N287" s="1285"/>
      <c r="O287" s="1285"/>
      <c r="P287" s="1285"/>
      <c r="Q287" s="1367"/>
      <c r="R287" s="1367"/>
      <c r="S287" s="1368">
        <f t="shared" ref="S287" si="138">AG288-AG286</f>
        <v>32.039999999993597</v>
      </c>
      <c r="T287" s="1353"/>
      <c r="U287" s="1353"/>
      <c r="V287" s="1353"/>
      <c r="W287" s="1353"/>
      <c r="X287" s="1353"/>
      <c r="Y287" s="1353"/>
      <c r="Z287" s="1353"/>
      <c r="AA287" s="1353"/>
      <c r="AB287" s="1353"/>
      <c r="AC287" s="1353"/>
      <c r="AD287" s="1353"/>
      <c r="AE287" s="1353"/>
      <c r="AF287" s="1353"/>
      <c r="AG287" s="1360"/>
      <c r="AH287" s="1353"/>
      <c r="AI287" s="1353"/>
      <c r="AJ287" s="1353"/>
      <c r="AK287" s="1353"/>
      <c r="AL287" s="1353"/>
      <c r="AM287" s="1353"/>
      <c r="AN287" s="1354"/>
      <c r="AO287" s="1353"/>
      <c r="AP287" s="1353"/>
      <c r="AQ287" s="1354">
        <f>+FL_1($T$288,$T$286,$G$287,1200,9.28, 1*$F$288)</f>
        <v>0.35</v>
      </c>
      <c r="AR287" s="1353"/>
      <c r="AS287" s="1353"/>
      <c r="AT287" s="1354"/>
      <c r="AU287" s="1353"/>
      <c r="AV287" s="1353"/>
      <c r="AW287" s="1353"/>
      <c r="AX287" s="1353"/>
      <c r="AY287" s="1354"/>
      <c r="AZ287" s="1354"/>
      <c r="BA287" s="1355"/>
      <c r="BB287" s="1361"/>
      <c r="BC287" s="823"/>
      <c r="BD287" s="1356"/>
      <c r="BE287" s="1356"/>
      <c r="BF287" s="1356"/>
      <c r="BG287" s="1356"/>
    </row>
    <row r="288" spans="1:59" s="1288" customFormat="1" ht="15.75" customHeight="1">
      <c r="A288" s="1361"/>
      <c r="B288" s="439" t="s">
        <v>2198</v>
      </c>
      <c r="C288" s="1360">
        <f>+$C$286+$G$287</f>
        <v>91738.05</v>
      </c>
      <c r="D288" s="1365"/>
      <c r="E288" s="1366"/>
      <c r="F288" s="1366">
        <v>0</v>
      </c>
      <c r="G288" s="1354"/>
      <c r="H288" s="1285"/>
      <c r="I288" s="1285"/>
      <c r="J288" s="1350"/>
      <c r="K288" s="1353"/>
      <c r="L288" s="1353" t="s">
        <v>4393</v>
      </c>
      <c r="M288" s="638" t="str">
        <f>IF(AX288="PT",VLOOKUP(L288,'Foundation Calculation'!$V$2:$X$40,VLOOKUP(AX288,'Foundation Calculation'!$I$10:$J$13,2,FALSE),0),IF(AX288="K",VLOOKUP(L288,'Foundation Calculation'!$V$42:$X$80,VLOOKUP(AX288,'Foundation Calculation'!$I$10:$J$13,2,FALSE),0),""))</f>
        <v>2C4R</v>
      </c>
      <c r="N288" s="1285" t="s">
        <v>144</v>
      </c>
      <c r="O288" s="1285"/>
      <c r="P288" s="1285"/>
      <c r="Q288" s="1353">
        <v>0</v>
      </c>
      <c r="R288" s="1353">
        <v>0</v>
      </c>
      <c r="S288" s="1354"/>
      <c r="T288" s="1353">
        <v>35</v>
      </c>
      <c r="U288" s="1353"/>
      <c r="V288" s="1353"/>
      <c r="W288" s="1353">
        <v>1.4</v>
      </c>
      <c r="X288" s="1353"/>
      <c r="Y288" s="1353"/>
      <c r="Z288" s="1353"/>
      <c r="AA288" s="1353"/>
      <c r="AB288" s="1353"/>
      <c r="AC288" s="1353" t="s">
        <v>4090</v>
      </c>
      <c r="AD288" s="1353"/>
      <c r="AE288" s="1353"/>
      <c r="AF288" s="1353">
        <v>6000</v>
      </c>
      <c r="AG288" s="1360">
        <v>91738.26</v>
      </c>
      <c r="AH288" s="1353">
        <v>2163</v>
      </c>
      <c r="AI288" s="1353">
        <v>190</v>
      </c>
      <c r="AJ288" s="1353"/>
      <c r="AK288" s="1353"/>
      <c r="AL288" s="1353" t="s">
        <v>2135</v>
      </c>
      <c r="AM288" s="1353" t="s">
        <v>1042</v>
      </c>
      <c r="AN288" s="1352">
        <v>5.5</v>
      </c>
      <c r="AO288" s="1285"/>
      <c r="AP288" s="1285"/>
      <c r="AQ288" s="1354"/>
      <c r="AR288" s="1354"/>
      <c r="AS288" s="1354"/>
      <c r="AT288" s="1354">
        <f>+ab($T$288,$T$286,$T$290,$G$287,$G$289, 1*$F$288,1200)</f>
        <v>4.7217702297977535</v>
      </c>
      <c r="AU288" s="1353"/>
      <c r="AV288" s="1353"/>
      <c r="AW288" s="1353" t="str">
        <f>VLOOKUP(C288,'Foundation Calculation'!$A$2:$C$33,3,1)</f>
        <v>Soil A</v>
      </c>
      <c r="AX288" s="1353" t="str">
        <f>VLOOKUP(C288,'Foundation Calculation'!$E$2:$G$33,3,1)</f>
        <v>PT</v>
      </c>
      <c r="AY288" s="1354">
        <f>IF(AX288="PT",VLOOKUP(L288,'Foundation Calculation'!$K$2:$R$40,VLOOKUP(AW288,'Foundation Calculation'!$I$2:$J$8,2,FALSE),0),IF(AX288="K",VLOOKUP(L288,'Foundation Calculation'!$K$42:$R$80,VLOOKUP(AW288,'Foundation Calculation'!$I$2:$J$8,2,FALSE),0),""))</f>
        <v>5.6</v>
      </c>
      <c r="AZ288" s="1354"/>
      <c r="BA288" s="1355" t="s">
        <v>2809</v>
      </c>
      <c r="BB288" s="1361" t="str">
        <f>Pole_Calculations!A178</f>
        <v>App.8-V08F-P10.3</v>
      </c>
      <c r="BC288" s="823" t="s">
        <v>4955</v>
      </c>
      <c r="BD288" s="1356"/>
      <c r="BE288" s="1356"/>
      <c r="BF288" s="1356"/>
      <c r="BG288" s="1356"/>
    </row>
    <row r="289" spans="1:59" s="1288" customFormat="1" ht="15.75" customHeight="1">
      <c r="A289" s="1361"/>
      <c r="B289" s="1362"/>
      <c r="C289" s="1360"/>
      <c r="D289" s="1353"/>
      <c r="E289" s="1353"/>
      <c r="F289" s="1366"/>
      <c r="G289" s="1354">
        <v>32.200000000000003</v>
      </c>
      <c r="H289" s="1285"/>
      <c r="I289" s="1351"/>
      <c r="J289" s="1360"/>
      <c r="K289" s="1353"/>
      <c r="L289" s="1353"/>
      <c r="M289" s="1353"/>
      <c r="N289" s="1285"/>
      <c r="O289" s="1285"/>
      <c r="P289" s="1285"/>
      <c r="Q289" s="1353"/>
      <c r="R289" s="1353"/>
      <c r="S289" s="1368">
        <f t="shared" ref="S289" si="139">AG290-AG288</f>
        <v>32.080000000001746</v>
      </c>
      <c r="T289" s="1353"/>
      <c r="U289" s="1353"/>
      <c r="V289" s="1353"/>
      <c r="W289" s="1353"/>
      <c r="X289" s="1353"/>
      <c r="Y289" s="1353"/>
      <c r="Z289" s="1353"/>
      <c r="AA289" s="1353"/>
      <c r="AB289" s="1353"/>
      <c r="AC289" s="1353"/>
      <c r="AD289" s="1353"/>
      <c r="AE289" s="1353"/>
      <c r="AF289" s="1353"/>
      <c r="AG289" s="1360"/>
      <c r="AH289" s="1353"/>
      <c r="AI289" s="1353"/>
      <c r="AJ289" s="1353"/>
      <c r="AK289" s="1353"/>
      <c r="AL289" s="1353"/>
      <c r="AM289" s="1353"/>
      <c r="AN289" s="1354"/>
      <c r="AO289" s="1353"/>
      <c r="AP289" s="1353"/>
      <c r="AQ289" s="1354">
        <f>+FL_1($T$290,$T$288,$G$289,1200,9.28, 1*$F$290)</f>
        <v>0.35000000000002007</v>
      </c>
      <c r="AR289" s="1353"/>
      <c r="AS289" s="1353"/>
      <c r="AT289" s="1354"/>
      <c r="AU289" s="1353"/>
      <c r="AV289" s="1353"/>
      <c r="AW289" s="1353"/>
      <c r="AX289" s="1353"/>
      <c r="AY289" s="1354"/>
      <c r="AZ289" s="1354"/>
      <c r="BA289" s="1355"/>
      <c r="BB289" s="1361"/>
      <c r="BC289" s="823"/>
      <c r="BD289" s="1356"/>
      <c r="BE289" s="1356"/>
      <c r="BF289" s="1356"/>
      <c r="BG289" s="1356"/>
    </row>
    <row r="290" spans="1:59" s="1288" customFormat="1" ht="15.75" customHeight="1">
      <c r="A290" s="1361"/>
      <c r="B290" s="439" t="s">
        <v>2270</v>
      </c>
      <c r="C290" s="1360">
        <f>+$C$288+$G$289</f>
        <v>91770.25</v>
      </c>
      <c r="D290" s="1365"/>
      <c r="E290" s="1366"/>
      <c r="F290" s="1366">
        <v>0</v>
      </c>
      <c r="G290" s="1354"/>
      <c r="H290" s="1285"/>
      <c r="I290" s="1285"/>
      <c r="J290" s="1350"/>
      <c r="K290" s="1353"/>
      <c r="L290" s="1353" t="s">
        <v>4488</v>
      </c>
      <c r="M290" s="638" t="str">
        <f>IF(AX290="PT",VLOOKUP(L290,'Foundation Calculation'!$V$2:$X$40,VLOOKUP(AX290,'Foundation Calculation'!$I$10:$J$13,2,FALSE),0),IF(AX290="K",VLOOKUP(L290,'Foundation Calculation'!$V$42:$X$80,VLOOKUP(AX290,'Foundation Calculation'!$I$10:$J$13,2,FALSE),0),""))</f>
        <v>C11R</v>
      </c>
      <c r="N290" s="1285" t="s">
        <v>143</v>
      </c>
      <c r="O290" s="1285"/>
      <c r="P290" s="1285"/>
      <c r="Q290" s="1353">
        <v>0</v>
      </c>
      <c r="R290" s="1353">
        <v>0</v>
      </c>
      <c r="S290" s="1354"/>
      <c r="T290" s="1353">
        <v>-35</v>
      </c>
      <c r="U290" s="1353"/>
      <c r="V290" s="1353"/>
      <c r="W290" s="1353">
        <v>1.4</v>
      </c>
      <c r="X290" s="1353"/>
      <c r="Y290" s="1353"/>
      <c r="Z290" s="1353"/>
      <c r="AA290" s="1353"/>
      <c r="AB290" s="1353"/>
      <c r="AC290" s="1353" t="s">
        <v>3050</v>
      </c>
      <c r="AD290" s="1353"/>
      <c r="AE290" s="1353"/>
      <c r="AF290" s="1353">
        <v>5800</v>
      </c>
      <c r="AG290" s="1360">
        <v>91770.34</v>
      </c>
      <c r="AH290" s="1353">
        <v>2143</v>
      </c>
      <c r="AI290" s="1353">
        <v>130</v>
      </c>
      <c r="AJ290" s="1353"/>
      <c r="AK290" s="1353"/>
      <c r="AL290" s="1353" t="s">
        <v>4490</v>
      </c>
      <c r="AM290" s="1353" t="s">
        <v>1042</v>
      </c>
      <c r="AN290" s="1352">
        <v>5.5</v>
      </c>
      <c r="AO290" s="1285"/>
      <c r="AP290" s="1285"/>
      <c r="AQ290" s="1354"/>
      <c r="AR290" s="1354"/>
      <c r="AS290" s="1354"/>
      <c r="AT290" s="1354">
        <f>+ab($T$290,$T$288,$T$292,$G$289,$G$291, 1*$F$290,1200)</f>
        <v>-4.0192529454263672</v>
      </c>
      <c r="AU290" s="1353"/>
      <c r="AV290" s="1353"/>
      <c r="AW290" s="1353" t="str">
        <f>VLOOKUP(C290,'Foundation Calculation'!$A$2:$C$33,3,1)</f>
        <v>Soil A</v>
      </c>
      <c r="AX290" s="1353" t="str">
        <f>VLOOKUP(C290,'Foundation Calculation'!$E$2:$G$33,3,1)</f>
        <v>PT</v>
      </c>
      <c r="AY290" s="1354">
        <f>IF(AX290="PT",VLOOKUP(L290,'Foundation Calculation'!$K$2:$R$40,VLOOKUP(AW290,'Foundation Calculation'!$I$2:$J$8,2,FALSE),0),IF(AX290="K",VLOOKUP(L290,'Foundation Calculation'!$K$42:$R$80,VLOOKUP(AW290,'Foundation Calculation'!$I$2:$J$8,2,FALSE),0),""))</f>
        <v>4.5999999999999996</v>
      </c>
      <c r="AZ290" s="1354"/>
      <c r="BA290" s="1355" t="s">
        <v>2809</v>
      </c>
      <c r="BB290" s="1361" t="str">
        <f>Pole_Calculations!A178</f>
        <v>App.8-V08F-P10.3</v>
      </c>
      <c r="BC290" s="823" t="s">
        <v>4955</v>
      </c>
      <c r="BD290" s="1356"/>
      <c r="BE290" s="1356"/>
      <c r="BF290" s="1356"/>
      <c r="BG290" s="1356"/>
    </row>
    <row r="291" spans="1:59" s="1288" customFormat="1" ht="15.75" customHeight="1">
      <c r="A291" s="1361"/>
      <c r="B291" s="1362"/>
      <c r="C291" s="1360"/>
      <c r="D291" s="1353"/>
      <c r="E291" s="1353"/>
      <c r="F291" s="1366"/>
      <c r="G291" s="1354">
        <v>27</v>
      </c>
      <c r="H291" s="1285"/>
      <c r="I291" s="1351"/>
      <c r="J291" s="1360"/>
      <c r="K291" s="1353"/>
      <c r="L291" s="1353"/>
      <c r="M291" s="1353"/>
      <c r="N291" s="1285"/>
      <c r="O291" s="1285"/>
      <c r="P291" s="1285"/>
      <c r="Q291" s="1353"/>
      <c r="R291" s="1353"/>
      <c r="S291" s="1368">
        <f t="shared" ref="S291" si="140">AG292-AG290</f>
        <v>27.059999999997672</v>
      </c>
      <c r="T291" s="1353"/>
      <c r="U291" s="1353"/>
      <c r="V291" s="1353"/>
      <c r="W291" s="1353"/>
      <c r="X291" s="1353"/>
      <c r="Y291" s="1353"/>
      <c r="Z291" s="1353"/>
      <c r="AA291" s="1353"/>
      <c r="AB291" s="1353"/>
      <c r="AC291" s="1353"/>
      <c r="AD291" s="1353"/>
      <c r="AE291" s="1353"/>
      <c r="AF291" s="1353"/>
      <c r="AG291" s="1360"/>
      <c r="AH291" s="1353"/>
      <c r="AI291" s="1353"/>
      <c r="AJ291" s="1353"/>
      <c r="AK291" s="1353"/>
      <c r="AL291" s="1353"/>
      <c r="AM291" s="1353"/>
      <c r="AN291" s="1354"/>
      <c r="AO291" s="1353"/>
      <c r="AP291" s="1353"/>
      <c r="AQ291" s="1354">
        <f>+FL_2($T$292,$T$290,$G$291,1200,9.28, 1*$F$292)</f>
        <v>-0.3500000000000219</v>
      </c>
      <c r="AR291" s="1353"/>
      <c r="AS291" s="1353"/>
      <c r="AT291" s="1354"/>
      <c r="AU291" s="1353"/>
      <c r="AV291" s="1353"/>
      <c r="AW291" s="1353"/>
      <c r="AX291" s="1353"/>
      <c r="AY291" s="1354"/>
      <c r="AZ291" s="1354"/>
      <c r="BA291" s="1355"/>
      <c r="BB291" s="1361"/>
      <c r="BC291" s="823"/>
      <c r="BD291" s="1356"/>
      <c r="BE291" s="1356"/>
      <c r="BF291" s="1356"/>
      <c r="BG291" s="1356"/>
    </row>
    <row r="292" spans="1:59" s="1288" customFormat="1" ht="15.75" customHeight="1">
      <c r="A292" s="1361"/>
      <c r="B292" s="439" t="s">
        <v>2271</v>
      </c>
      <c r="C292" s="1360">
        <f>+$C$290+$G$291</f>
        <v>91797.25</v>
      </c>
      <c r="D292" s="1365"/>
      <c r="E292" s="1366"/>
      <c r="F292" s="1366">
        <v>0</v>
      </c>
      <c r="G292" s="1354"/>
      <c r="H292" s="1285"/>
      <c r="I292" s="1285"/>
      <c r="J292" s="1350"/>
      <c r="K292" s="1353"/>
      <c r="L292" s="1353" t="s">
        <v>4488</v>
      </c>
      <c r="M292" s="638" t="str">
        <f>IF(AX292="PT",VLOOKUP(L292,'Foundation Calculation'!$V$2:$X$40,VLOOKUP(AX292,'Foundation Calculation'!$I$10:$J$13,2,FALSE),0),IF(AX292="K",VLOOKUP(L292,'Foundation Calculation'!$V$42:$X$80,VLOOKUP(AX292,'Foundation Calculation'!$I$10:$J$13,2,FALSE),0),""))</f>
        <v>C11R</v>
      </c>
      <c r="N292" s="1285" t="s">
        <v>144</v>
      </c>
      <c r="O292" s="1285"/>
      <c r="P292" s="1285"/>
      <c r="Q292" s="1353">
        <v>10</v>
      </c>
      <c r="R292" s="1353">
        <v>0</v>
      </c>
      <c r="S292" s="1354"/>
      <c r="T292" s="1353">
        <v>35</v>
      </c>
      <c r="U292" s="1353"/>
      <c r="V292" s="1353"/>
      <c r="W292" s="1353">
        <v>1.4</v>
      </c>
      <c r="X292" s="1353"/>
      <c r="Y292" s="1353"/>
      <c r="Z292" s="1353"/>
      <c r="AA292" s="1353"/>
      <c r="AB292" s="1353"/>
      <c r="AC292" s="1353" t="s">
        <v>4090</v>
      </c>
      <c r="AD292" s="1353"/>
      <c r="AE292" s="1353"/>
      <c r="AF292" s="1353">
        <v>6000</v>
      </c>
      <c r="AG292" s="1360">
        <v>91797.4</v>
      </c>
      <c r="AH292" s="1353">
        <v>2163</v>
      </c>
      <c r="AI292" s="1353">
        <v>50</v>
      </c>
      <c r="AJ292" s="1353"/>
      <c r="AK292" s="1353"/>
      <c r="AL292" s="1353" t="s">
        <v>4490</v>
      </c>
      <c r="AM292" s="1353" t="s">
        <v>1042</v>
      </c>
      <c r="AN292" s="1352">
        <v>5.5</v>
      </c>
      <c r="AO292" s="1285"/>
      <c r="AP292" s="1285"/>
      <c r="AQ292" s="1354"/>
      <c r="AR292" s="1354"/>
      <c r="AS292" s="1354"/>
      <c r="AT292" s="1354">
        <f>+ab($T$292,$T$290,$T$294,$G$291,$G$293, 1*$F$292,1200)</f>
        <v>4.2711030021580445</v>
      </c>
      <c r="AU292" s="1353"/>
      <c r="AV292" s="1353"/>
      <c r="AW292" s="1353" t="str">
        <f>VLOOKUP(C292,'Foundation Calculation'!$A$2:$C$33,3,1)</f>
        <v>Soil A</v>
      </c>
      <c r="AX292" s="1353" t="str">
        <f>VLOOKUP(C292,'Foundation Calculation'!$E$2:$G$33,3,1)</f>
        <v>PT</v>
      </c>
      <c r="AY292" s="1354">
        <f>IF(AX292="PT",VLOOKUP(L292,'Foundation Calculation'!$K$2:$R$40,VLOOKUP(AW292,'Foundation Calculation'!$I$2:$J$8,2,FALSE),0),IF(AX292="K",VLOOKUP(L292,'Foundation Calculation'!$K$42:$R$80,VLOOKUP(AW292,'Foundation Calculation'!$I$2:$J$8,2,FALSE),0),""))</f>
        <v>4.5999999999999996</v>
      </c>
      <c r="AZ292" s="1354"/>
      <c r="BA292" s="1355" t="s">
        <v>2809</v>
      </c>
      <c r="BB292" s="1361" t="str">
        <f>Pole_Calculations!A178</f>
        <v>App.8-V08F-P10.3</v>
      </c>
      <c r="BC292" s="823" t="s">
        <v>4954</v>
      </c>
      <c r="BD292" s="1356"/>
      <c r="BE292" s="1356"/>
      <c r="BF292" s="1356"/>
      <c r="BG292" s="1356"/>
    </row>
    <row r="293" spans="1:59" s="1288" customFormat="1" ht="15.75" customHeight="1">
      <c r="A293" s="1361"/>
      <c r="B293" s="1362"/>
      <c r="C293" s="1360"/>
      <c r="D293" s="1353"/>
      <c r="E293" s="1353"/>
      <c r="F293" s="1366"/>
      <c r="G293" s="1354">
        <v>37</v>
      </c>
      <c r="H293" s="1285"/>
      <c r="I293" s="1351"/>
      <c r="J293" s="1360"/>
      <c r="K293" s="1353"/>
      <c r="L293" s="1353"/>
      <c r="M293" s="1353"/>
      <c r="N293" s="1285"/>
      <c r="O293" s="1285"/>
      <c r="P293" s="1285"/>
      <c r="Q293" s="1353"/>
      <c r="R293" s="1353"/>
      <c r="S293" s="1368">
        <f t="shared" ref="S293" si="141">AG294-AG292</f>
        <v>36.970000000001164</v>
      </c>
      <c r="T293" s="1353"/>
      <c r="U293" s="1353"/>
      <c r="V293" s="1353"/>
      <c r="W293" s="1353"/>
      <c r="X293" s="1353"/>
      <c r="Y293" s="1353"/>
      <c r="Z293" s="1353"/>
      <c r="AA293" s="1353"/>
      <c r="AB293" s="1353"/>
      <c r="AC293" s="1353"/>
      <c r="AD293" s="1353"/>
      <c r="AE293" s="1353"/>
      <c r="AF293" s="1353"/>
      <c r="AG293" s="1360"/>
      <c r="AH293" s="1353"/>
      <c r="AI293" s="1353"/>
      <c r="AJ293" s="1353"/>
      <c r="AK293" s="1353"/>
      <c r="AL293" s="1353"/>
      <c r="AM293" s="1353"/>
      <c r="AN293" s="1354"/>
      <c r="AO293" s="1353"/>
      <c r="AP293" s="1353"/>
      <c r="AQ293" s="1354">
        <f>+FL_1($T$294,$T$292,$G$293,1200,9.28, 1*$F$294)</f>
        <v>0.35000000000000558</v>
      </c>
      <c r="AR293" s="1353"/>
      <c r="AS293" s="1353"/>
      <c r="AT293" s="1354"/>
      <c r="AU293" s="1353"/>
      <c r="AV293" s="1353"/>
      <c r="AW293" s="1353"/>
      <c r="AX293" s="1353"/>
      <c r="AY293" s="1354"/>
      <c r="AZ293" s="1354"/>
      <c r="BA293" s="1355"/>
      <c r="BB293" s="1361"/>
      <c r="BC293" s="823"/>
      <c r="BD293" s="1356"/>
      <c r="BE293" s="1356"/>
      <c r="BF293" s="1356"/>
      <c r="BG293" s="1356"/>
    </row>
    <row r="294" spans="1:59" s="1288" customFormat="1" ht="15.75" customHeight="1">
      <c r="A294" s="1361"/>
      <c r="B294" s="439" t="s">
        <v>2272</v>
      </c>
      <c r="C294" s="1360">
        <f>+$C$292+$G$293</f>
        <v>91834.25</v>
      </c>
      <c r="D294" s="1365"/>
      <c r="E294" s="1366"/>
      <c r="F294" s="1366">
        <v>0</v>
      </c>
      <c r="G294" s="1354"/>
      <c r="H294" s="1285"/>
      <c r="I294" s="1285"/>
      <c r="J294" s="1350"/>
      <c r="K294" s="1353"/>
      <c r="L294" s="1353" t="s">
        <v>4488</v>
      </c>
      <c r="M294" s="638" t="str">
        <f>IF(AX294="PT",VLOOKUP(L294,'Foundation Calculation'!$V$2:$X$40,VLOOKUP(AX294,'Foundation Calculation'!$I$10:$J$13,2,FALSE),0),IF(AX294="K",VLOOKUP(L294,'Foundation Calculation'!$V$42:$X$80,VLOOKUP(AX294,'Foundation Calculation'!$I$10:$J$13,2,FALSE),0),""))</f>
        <v>C11R</v>
      </c>
      <c r="N294" s="1285" t="s">
        <v>143</v>
      </c>
      <c r="O294" s="1285"/>
      <c r="P294" s="1285"/>
      <c r="Q294" s="1353">
        <v>0</v>
      </c>
      <c r="R294" s="1353">
        <v>0</v>
      </c>
      <c r="S294" s="1354"/>
      <c r="T294" s="1353">
        <v>-35</v>
      </c>
      <c r="U294" s="1353"/>
      <c r="V294" s="1353"/>
      <c r="W294" s="1353">
        <v>1.4</v>
      </c>
      <c r="X294" s="1353"/>
      <c r="Y294" s="1353"/>
      <c r="Z294" s="1353"/>
      <c r="AA294" s="1353"/>
      <c r="AB294" s="1353"/>
      <c r="AC294" s="1353" t="s">
        <v>4090</v>
      </c>
      <c r="AD294" s="1353"/>
      <c r="AE294" s="1353"/>
      <c r="AF294" s="1353">
        <v>5800</v>
      </c>
      <c r="AG294" s="1360">
        <v>91834.37</v>
      </c>
      <c r="AH294" s="1353">
        <v>2263</v>
      </c>
      <c r="AI294" s="1353">
        <v>40</v>
      </c>
      <c r="AJ294" s="1353"/>
      <c r="AK294" s="1353"/>
      <c r="AL294" s="1353" t="s">
        <v>4490</v>
      </c>
      <c r="AM294" s="1353" t="s">
        <v>1042</v>
      </c>
      <c r="AN294" s="1352">
        <v>5.5</v>
      </c>
      <c r="AO294" s="1285"/>
      <c r="AP294" s="1285"/>
      <c r="AQ294" s="1354"/>
      <c r="AR294" s="1354"/>
      <c r="AS294" s="1354"/>
      <c r="AT294" s="1354">
        <f>+ab($T$294,$T$292,$T$296,$G$293,$G$295, 1*$F$294,1200)</f>
        <v>-5.3377610219228337</v>
      </c>
      <c r="AU294" s="1353"/>
      <c r="AV294" s="1353"/>
      <c r="AW294" s="1353" t="str">
        <f>VLOOKUP(C294,'Foundation Calculation'!$A$2:$C$33,3,1)</f>
        <v>Soil A</v>
      </c>
      <c r="AX294" s="1353" t="str">
        <f>VLOOKUP(C294,'Foundation Calculation'!$E$2:$G$33,3,1)</f>
        <v>PT</v>
      </c>
      <c r="AY294" s="1354">
        <f>IF(AX294="PT",VLOOKUP(L294,'Foundation Calculation'!$K$2:$R$40,VLOOKUP(AW294,'Foundation Calculation'!$I$2:$J$8,2,FALSE),0),IF(AX294="K",VLOOKUP(L294,'Foundation Calculation'!$K$42:$R$80,VLOOKUP(AW294,'Foundation Calculation'!$I$2:$J$8,2,FALSE),0),""))</f>
        <v>4.5999999999999996</v>
      </c>
      <c r="AZ294" s="1354"/>
      <c r="BA294" s="1355" t="s">
        <v>2809</v>
      </c>
      <c r="BB294" s="1361" t="str">
        <f>Pole_Calculations!A178</f>
        <v>App.8-V08F-P10.3</v>
      </c>
      <c r="BC294" s="823" t="s">
        <v>4955</v>
      </c>
      <c r="BD294" s="1356"/>
      <c r="BE294" s="1356"/>
      <c r="BF294" s="1356"/>
      <c r="BG294" s="1356"/>
    </row>
    <row r="295" spans="1:59" s="1288" customFormat="1" ht="15.75" customHeight="1">
      <c r="A295" s="1361"/>
      <c r="B295" s="1362"/>
      <c r="C295" s="1360"/>
      <c r="D295" s="1353"/>
      <c r="E295" s="1353"/>
      <c r="F295" s="1366"/>
      <c r="G295" s="1354">
        <v>38.4</v>
      </c>
      <c r="H295" s="1285"/>
      <c r="I295" s="1351"/>
      <c r="J295" s="1360"/>
      <c r="K295" s="1353"/>
      <c r="L295" s="1353"/>
      <c r="M295" s="1353"/>
      <c r="N295" s="1285"/>
      <c r="O295" s="1285"/>
      <c r="P295" s="1285"/>
      <c r="Q295" s="1353"/>
      <c r="R295" s="1353"/>
      <c r="S295" s="1368">
        <f t="shared" ref="S295" si="142">AG296-AG294</f>
        <v>38.490000000005239</v>
      </c>
      <c r="T295" s="1353"/>
      <c r="U295" s="1353"/>
      <c r="V295" s="1353"/>
      <c r="W295" s="1353"/>
      <c r="X295" s="1353"/>
      <c r="Y295" s="1353"/>
      <c r="Z295" s="1353"/>
      <c r="AA295" s="1353"/>
      <c r="AB295" s="1353"/>
      <c r="AC295" s="1353"/>
      <c r="AD295" s="1353"/>
      <c r="AE295" s="1353"/>
      <c r="AF295" s="1353"/>
      <c r="AG295" s="1360"/>
      <c r="AH295" s="1353"/>
      <c r="AI295" s="1353"/>
      <c r="AJ295" s="1353"/>
      <c r="AK295" s="1353"/>
      <c r="AL295" s="1353"/>
      <c r="AM295" s="1353"/>
      <c r="AN295" s="1354"/>
      <c r="AO295" s="1353"/>
      <c r="AP295" s="1353"/>
      <c r="AQ295" s="1354">
        <f>+FL_2($T$296,$T$294,$G$295,1200,9.28, 1*$F$296)</f>
        <v>-0.35000000000000198</v>
      </c>
      <c r="AR295" s="1353"/>
      <c r="AS295" s="1353"/>
      <c r="AT295" s="1354"/>
      <c r="AU295" s="1353"/>
      <c r="AV295" s="1353"/>
      <c r="AW295" s="1353"/>
      <c r="AX295" s="1353"/>
      <c r="AY295" s="1354"/>
      <c r="AZ295" s="1354"/>
      <c r="BA295" s="1355"/>
      <c r="BB295" s="1361"/>
      <c r="BC295" s="823"/>
      <c r="BD295" s="1356"/>
      <c r="BE295" s="1356"/>
      <c r="BF295" s="1356"/>
      <c r="BG295" s="1356"/>
    </row>
    <row r="296" spans="1:59" s="1288" customFormat="1" ht="15.75" customHeight="1">
      <c r="A296" s="1361"/>
      <c r="B296" s="439" t="s">
        <v>2273</v>
      </c>
      <c r="C296" s="1360">
        <f>+$C$294+$G$295</f>
        <v>91872.65</v>
      </c>
      <c r="D296" s="1365"/>
      <c r="E296" s="1366"/>
      <c r="F296" s="1366">
        <v>0</v>
      </c>
      <c r="G296" s="1354"/>
      <c r="H296" s="1285"/>
      <c r="I296" s="1285"/>
      <c r="J296" s="1350"/>
      <c r="K296" s="1353"/>
      <c r="L296" s="1353" t="s">
        <v>4488</v>
      </c>
      <c r="M296" s="1285" t="str">
        <f>IF(AX296="PT",VLOOKUP(L296,'Foundation Calculation'!$V$2:$X$40,VLOOKUP(AX296,'Foundation Calculation'!$I$10:$J$13,2,FALSE),0),IF(AX296="K",VLOOKUP(L296,'Foundation Calculation'!$V$42:$X$80,VLOOKUP(AX296,'Foundation Calculation'!$I$10:$J$13,2,FALSE),0),""))</f>
        <v>C11R</v>
      </c>
      <c r="N296" s="1285" t="s">
        <v>144</v>
      </c>
      <c r="O296" s="1285"/>
      <c r="P296" s="1285"/>
      <c r="Q296" s="1353">
        <v>0</v>
      </c>
      <c r="R296" s="1353">
        <v>0</v>
      </c>
      <c r="S296" s="1354"/>
      <c r="T296" s="1353">
        <v>30</v>
      </c>
      <c r="U296" s="1353"/>
      <c r="V296" s="1353"/>
      <c r="W296" s="1353">
        <v>1.4</v>
      </c>
      <c r="X296" s="1353"/>
      <c r="Y296" s="1353"/>
      <c r="Z296" s="1353"/>
      <c r="AA296" s="1353"/>
      <c r="AB296" s="1353"/>
      <c r="AC296" s="1353" t="str">
        <f t="shared" si="124"/>
        <v>PH-Q</v>
      </c>
      <c r="AD296" s="1353"/>
      <c r="AE296" s="1353"/>
      <c r="AF296" s="1353">
        <v>5800</v>
      </c>
      <c r="AG296" s="1360">
        <v>91872.86</v>
      </c>
      <c r="AH296" s="1353">
        <v>2183</v>
      </c>
      <c r="AI296" s="1353">
        <v>100</v>
      </c>
      <c r="AJ296" s="1353"/>
      <c r="AK296" s="1353"/>
      <c r="AL296" s="1353" t="s">
        <v>4490</v>
      </c>
      <c r="AM296" s="1353" t="s">
        <v>1042</v>
      </c>
      <c r="AN296" s="1352">
        <v>5.5</v>
      </c>
      <c r="AO296" s="1285"/>
      <c r="AP296" s="1285"/>
      <c r="AQ296" s="1354"/>
      <c r="AR296" s="1354"/>
      <c r="AS296" s="1354"/>
      <c r="AT296" s="1354">
        <f>+ab($T$296,$T$294,$T$298,$G$295,$G$297, 1*$F$296,1200)</f>
        <v>6.2262937704830961</v>
      </c>
      <c r="AU296" s="1353"/>
      <c r="AV296" s="1353"/>
      <c r="AW296" s="1354" t="str">
        <f>VLOOKUP(C296,'Foundation Calculation'!$A$2:$C$33,3,1)</f>
        <v>Soil A</v>
      </c>
      <c r="AX296" s="1354" t="str">
        <f>VLOOKUP(C296,'Foundation Calculation'!$E$2:$G$33,3,1)</f>
        <v>PT</v>
      </c>
      <c r="AY296" s="1354">
        <f>IF(AX296="PT",VLOOKUP(L296,'Foundation Calculation'!$K$2:$R$40,VLOOKUP(AW296,'Foundation Calculation'!$I$2:$J$8,2,FALSE),0),IF(AX296="K",VLOOKUP(L296,'Foundation Calculation'!$K$42:$R$80,VLOOKUP(AW296,'Foundation Calculation'!$I$2:$J$8,2,FALSE),0),""))</f>
        <v>4.5999999999999996</v>
      </c>
      <c r="AZ296" s="1354"/>
      <c r="BA296" s="1355" t="s">
        <v>2809</v>
      </c>
      <c r="BB296" s="1361" t="str">
        <f>Pole_Calculations!A178</f>
        <v>App.8-V08F-P10.3</v>
      </c>
      <c r="BC296" s="823"/>
      <c r="BD296" s="1356"/>
      <c r="BE296" s="1356"/>
      <c r="BF296" s="1356"/>
      <c r="BG296" s="1356"/>
    </row>
    <row r="297" spans="1:59" s="1288" customFormat="1" ht="15.75" customHeight="1">
      <c r="A297" s="1361"/>
      <c r="B297" s="1364"/>
      <c r="C297" s="1360"/>
      <c r="D297" s="1365"/>
      <c r="E297" s="1366"/>
      <c r="F297" s="1366"/>
      <c r="G297" s="1354">
        <v>47.2</v>
      </c>
      <c r="H297" s="1285"/>
      <c r="I297" s="1285"/>
      <c r="J297" s="1350">
        <f>C298-7.5</f>
        <v>91912.499999999985</v>
      </c>
      <c r="K297" s="1353" t="s">
        <v>2787</v>
      </c>
      <c r="L297" s="1353"/>
      <c r="M297" s="1353"/>
      <c r="N297" s="1285"/>
      <c r="O297" s="1285"/>
      <c r="P297" s="1285"/>
      <c r="Q297" s="1353"/>
      <c r="R297" s="1353"/>
      <c r="S297" s="1354">
        <f t="shared" ref="S297" si="143">AG298-AG296</f>
        <v>47.139999999999418</v>
      </c>
      <c r="T297" s="1353"/>
      <c r="U297" s="1353"/>
      <c r="V297" s="1353"/>
      <c r="W297" s="1353"/>
      <c r="X297" s="1353"/>
      <c r="Y297" s="1353"/>
      <c r="Z297" s="1353"/>
      <c r="AA297" s="1353"/>
      <c r="AB297" s="1353"/>
      <c r="AC297" s="1353"/>
      <c r="AD297" s="1353"/>
      <c r="AE297" s="1353"/>
      <c r="AF297" s="1353"/>
      <c r="AG297" s="1360"/>
      <c r="AH297" s="1353"/>
      <c r="AI297" s="1353"/>
      <c r="AJ297" s="1353"/>
      <c r="AK297" s="1353"/>
      <c r="AL297" s="1353"/>
      <c r="AM297" s="1353"/>
      <c r="AN297" s="1352"/>
      <c r="AO297" s="1285"/>
      <c r="AP297" s="1285"/>
      <c r="AQ297" s="1354">
        <f>+FL_2($T$298,$T$296,$G$297,1200,9.28, 1*$F$298)</f>
        <v>-0.36297353850847458</v>
      </c>
      <c r="AR297" s="1354"/>
      <c r="AS297" s="1354"/>
      <c r="AT297" s="1354"/>
      <c r="AU297" s="1353"/>
      <c r="AV297" s="1353"/>
      <c r="AW297" s="1353" t="str">
        <f>VLOOKUP(J297,'Foundation Calculation'!$A$2:$C$33,3,1)</f>
        <v>Soil A</v>
      </c>
      <c r="AX297" s="1349" t="str">
        <f>VLOOKUP(J297,'Foundation Calculation'!$E$2:$G$33,3,1)</f>
        <v>PT</v>
      </c>
      <c r="AY297" s="1354"/>
      <c r="AZ297" s="1354">
        <f>IF(AX297="PT",VLOOKUP(K297,'Foundation Calculation'!$K$2:$R$40,VLOOKUP(AW297,'Foundation Calculation'!$I$2:$J$8,2,FALSE),0),IF(AX297="K",VLOOKUP(K297,'Foundation Calculation'!$K$42:$R$80,VLOOKUP(AW297,'Foundation Calculation'!$I$2:$J$8,2,FALSE),0),""))</f>
        <v>3.3</v>
      </c>
      <c r="BA297" s="1355" t="s">
        <v>2809</v>
      </c>
      <c r="BB297" s="1361"/>
      <c r="BC297" s="823"/>
      <c r="BD297" s="1356">
        <v>43841</v>
      </c>
      <c r="BE297" s="1356"/>
      <c r="BF297" s="1356"/>
      <c r="BG297" s="1356"/>
    </row>
    <row r="298" spans="1:59" s="1288" customFormat="1" ht="15.75" customHeight="1">
      <c r="A298" s="1361"/>
      <c r="B298" s="1364" t="s">
        <v>2274</v>
      </c>
      <c r="C298" s="1360">
        <f>+$C$296+$G$297+0.15</f>
        <v>91919.999999999985</v>
      </c>
      <c r="D298" s="1365"/>
      <c r="E298" s="1366"/>
      <c r="F298" s="1366">
        <v>0</v>
      </c>
      <c r="G298" s="1354"/>
      <c r="H298" s="1285" t="s">
        <v>138</v>
      </c>
      <c r="I298" s="1285" t="s">
        <v>623</v>
      </c>
      <c r="J298" s="1350"/>
      <c r="K298" s="1353"/>
      <c r="L298" s="1353" t="s">
        <v>4488</v>
      </c>
      <c r="M298" s="1285" t="str">
        <f>IF(AX298="PT",VLOOKUP(L298,'Foundation Calculation'!$V$2:$X$40,VLOOKUP(AX298,'Foundation Calculation'!$I$10:$J$13,2,FALSE),0),IF(AX298="K",VLOOKUP(L298,'Foundation Calculation'!$V$42:$X$80,VLOOKUP(AX298,'Foundation Calculation'!$I$10:$J$13,2,FALSE),0),""))</f>
        <v>C11R</v>
      </c>
      <c r="N298" s="1285" t="s">
        <v>143</v>
      </c>
      <c r="O298" s="1285"/>
      <c r="P298" s="1285"/>
      <c r="Q298" s="1353">
        <v>20</v>
      </c>
      <c r="R298" s="1353">
        <v>0</v>
      </c>
      <c r="S298" s="1354"/>
      <c r="T298" s="1353">
        <v>-35</v>
      </c>
      <c r="U298" s="1353"/>
      <c r="V298" s="1353"/>
      <c r="W298" s="1353">
        <v>1.4</v>
      </c>
      <c r="X298" s="1353"/>
      <c r="Y298" s="1353"/>
      <c r="Z298" s="1353"/>
      <c r="AA298" s="1353"/>
      <c r="AB298" s="1353"/>
      <c r="AC298" s="1353" t="s">
        <v>4090</v>
      </c>
      <c r="AD298" s="1353"/>
      <c r="AE298" s="1353"/>
      <c r="AF298" s="1353">
        <v>5800</v>
      </c>
      <c r="AG298" s="1360">
        <v>91920</v>
      </c>
      <c r="AH298" s="1353">
        <v>2103</v>
      </c>
      <c r="AI298" s="1353">
        <v>10</v>
      </c>
      <c r="AJ298" s="1353"/>
      <c r="AK298" s="1353"/>
      <c r="AL298" s="1353" t="s">
        <v>4490</v>
      </c>
      <c r="AM298" s="1353" t="s">
        <v>1042</v>
      </c>
      <c r="AN298" s="1352">
        <v>5.5</v>
      </c>
      <c r="AO298" s="1285"/>
      <c r="AP298" s="1285"/>
      <c r="AQ298" s="1354"/>
      <c r="AR298" s="1354"/>
      <c r="AS298" s="1354"/>
      <c r="AT298" s="1354">
        <f>+ab($T$298,$T$296,$U$300,$G$297,$G$299, 1*$F$298,1200)</f>
        <v>-6.9908404671048343</v>
      </c>
      <c r="AU298" s="1353"/>
      <c r="AV298" s="1353"/>
      <c r="AW298" s="1354" t="str">
        <f>VLOOKUP(C298,'Foundation Calculation'!$A$2:$C$33,3,1)</f>
        <v>Soil A</v>
      </c>
      <c r="AX298" s="1354" t="str">
        <f>VLOOKUP(C298,'Foundation Calculation'!$E$2:$G$33,3,1)</f>
        <v>PT</v>
      </c>
      <c r="AY298" s="1354">
        <f>IF(AX298="PT",VLOOKUP(L298,'Foundation Calculation'!$K$2:$R$40,VLOOKUP(AW298,'Foundation Calculation'!$I$2:$J$8,2,FALSE),0),IF(AX298="K",VLOOKUP(L298,'Foundation Calculation'!$K$42:$R$80,VLOOKUP(AW298,'Foundation Calculation'!$I$2:$J$8,2,FALSE),0),""))</f>
        <v>4.5999999999999996</v>
      </c>
      <c r="AZ298" s="1354"/>
      <c r="BA298" s="1355" t="s">
        <v>2809</v>
      </c>
      <c r="BB298" s="1361" t="str">
        <f>Pole_Calculations!A178</f>
        <v>App.8-V08F-P10.3</v>
      </c>
      <c r="BC298" s="823" t="s">
        <v>4955</v>
      </c>
      <c r="BD298" s="1356">
        <v>43841</v>
      </c>
      <c r="BE298" s="1356"/>
      <c r="BF298" s="1356"/>
      <c r="BG298" s="1356"/>
    </row>
    <row r="299" spans="1:59" s="1288" customFormat="1" ht="15.75" customHeight="1">
      <c r="A299" s="1361"/>
      <c r="B299" s="1364"/>
      <c r="C299" s="1360"/>
      <c r="D299" s="1353"/>
      <c r="E299" s="1353"/>
      <c r="F299" s="1366"/>
      <c r="G299" s="1354">
        <v>48</v>
      </c>
      <c r="H299" s="1285"/>
      <c r="I299" s="1351"/>
      <c r="J299" s="1350">
        <f>C300-7.5</f>
        <v>91960.499999999985</v>
      </c>
      <c r="K299" s="1353" t="s">
        <v>2787</v>
      </c>
      <c r="L299" s="1353"/>
      <c r="M299" s="1353"/>
      <c r="N299" s="1285"/>
      <c r="O299" s="1285"/>
      <c r="P299" s="1285"/>
      <c r="Q299" s="1353"/>
      <c r="R299" s="1353"/>
      <c r="S299" s="1368">
        <f t="shared" ref="S299" si="144">AG300-AG298</f>
        <v>48</v>
      </c>
      <c r="T299" s="1353"/>
      <c r="U299" s="1353"/>
      <c r="V299" s="1353"/>
      <c r="W299" s="1353"/>
      <c r="X299" s="1353"/>
      <c r="Y299" s="1353"/>
      <c r="Z299" s="1353"/>
      <c r="AA299" s="1353"/>
      <c r="AB299" s="1353"/>
      <c r="AC299" s="1353"/>
      <c r="AD299" s="1353"/>
      <c r="AE299" s="1353"/>
      <c r="AF299" s="1353"/>
      <c r="AG299" s="1360"/>
      <c r="AH299" s="1353"/>
      <c r="AI299" s="1353"/>
      <c r="AJ299" s="1353"/>
      <c r="AK299" s="1353"/>
      <c r="AL299" s="1353"/>
      <c r="AM299" s="1353"/>
      <c r="AN299" s="1354"/>
      <c r="AO299" s="1353"/>
      <c r="AP299" s="1353"/>
      <c r="AQ299" s="1354">
        <f>+FL_1($U$300,$T$298,$G$299,1200,9.28, 1*$F$300)</f>
        <v>0.31628254466666661</v>
      </c>
      <c r="AR299" s="1353"/>
      <c r="AS299" s="1353"/>
      <c r="AT299" s="1354"/>
      <c r="AU299" s="1353"/>
      <c r="AV299" s="1353"/>
      <c r="AW299" s="1353" t="str">
        <f>VLOOKUP(J299,'Foundation Calculation'!$A$2:$C$33,3,1)</f>
        <v>Soil A</v>
      </c>
      <c r="AX299" s="1349" t="str">
        <f>VLOOKUP(J299,'Foundation Calculation'!$E$2:$G$33,3,1)</f>
        <v>PT</v>
      </c>
      <c r="AY299" s="1354"/>
      <c r="AZ299" s="1354">
        <f>IF(AX299="PT",VLOOKUP(K299,'Foundation Calculation'!$K$2:$R$40,VLOOKUP(AW299,'Foundation Calculation'!$I$2:$J$8,2,FALSE),0),IF(AX299="K",VLOOKUP(K299,'Foundation Calculation'!$K$42:$R$80,VLOOKUP(AW299,'Foundation Calculation'!$I$2:$J$8,2,FALSE),0),""))</f>
        <v>3.3</v>
      </c>
      <c r="BA299" s="1355" t="s">
        <v>2809</v>
      </c>
      <c r="BB299" s="1361"/>
      <c r="BC299" s="823"/>
      <c r="BD299" s="1356">
        <v>43841</v>
      </c>
      <c r="BE299" s="1356"/>
      <c r="BF299" s="1356"/>
      <c r="BG299" s="1356"/>
    </row>
    <row r="300" spans="1:59" s="1288" customFormat="1" ht="15.75" customHeight="1">
      <c r="A300" s="1361"/>
      <c r="B300" s="439" t="s">
        <v>2275</v>
      </c>
      <c r="C300" s="1360">
        <f>+$C$298+$G$299</f>
        <v>91967.999999999985</v>
      </c>
      <c r="D300" s="1365"/>
      <c r="E300" s="1366"/>
      <c r="F300" s="1366">
        <v>0</v>
      </c>
      <c r="G300" s="1354"/>
      <c r="H300" s="1285" t="s">
        <v>2128</v>
      </c>
      <c r="I300" s="1285" t="s">
        <v>623</v>
      </c>
      <c r="J300" s="1350"/>
      <c r="K300" s="1353"/>
      <c r="L300" s="1353" t="s">
        <v>4488</v>
      </c>
      <c r="M300" s="1285" t="str">
        <f>IF(AX300="PT",VLOOKUP(L300,'Foundation Calculation'!$V$2:$X$40,VLOOKUP(AX300,'Foundation Calculation'!$I$10:$J$13,2,FALSE),0),IF(AX300="K",VLOOKUP(L300,'Foundation Calculation'!$V$42:$X$80,VLOOKUP(AX300,'Foundation Calculation'!$I$10:$J$13,2,FALSE),0),""))</f>
        <v>C11R</v>
      </c>
      <c r="N300" s="1285" t="s">
        <v>140</v>
      </c>
      <c r="O300" s="1285" t="s">
        <v>144</v>
      </c>
      <c r="P300" s="1285"/>
      <c r="Q300" s="1353">
        <v>10</v>
      </c>
      <c r="R300" s="1353">
        <v>0</v>
      </c>
      <c r="S300" s="1354"/>
      <c r="T300" s="1353">
        <v>55</v>
      </c>
      <c r="U300" s="1353">
        <v>30</v>
      </c>
      <c r="V300" s="1353"/>
      <c r="W300" s="1353">
        <v>1.4</v>
      </c>
      <c r="X300" s="1353">
        <v>1.8</v>
      </c>
      <c r="Y300" s="1353"/>
      <c r="Z300" s="1353">
        <v>0.45</v>
      </c>
      <c r="AA300" s="1353"/>
      <c r="AB300" s="1353"/>
      <c r="AC300" s="1353" t="s">
        <v>4090</v>
      </c>
      <c r="AD300" s="1353"/>
      <c r="AE300" s="1353"/>
      <c r="AF300" s="1353">
        <v>5500</v>
      </c>
      <c r="AG300" s="1360">
        <v>91968</v>
      </c>
      <c r="AH300" s="1353">
        <v>2163</v>
      </c>
      <c r="AI300" s="1353">
        <v>-20</v>
      </c>
      <c r="AJ300" s="1353"/>
      <c r="AK300" s="1353"/>
      <c r="AL300" s="1353" t="s">
        <v>4490</v>
      </c>
      <c r="AM300" s="1353" t="s">
        <v>1042</v>
      </c>
      <c r="AN300" s="1352">
        <v>5.5</v>
      </c>
      <c r="AO300" s="1285"/>
      <c r="AP300" s="1285"/>
      <c r="AQ300" s="1354"/>
      <c r="AR300" s="1354"/>
      <c r="AS300" s="1354"/>
      <c r="AT300" s="1354">
        <f>+ab($U$300,$T$298,$U$302,$G$299,$G$301, 1*$F$300,1200)</f>
        <v>6.9852669849237028</v>
      </c>
      <c r="AU300" s="1353"/>
      <c r="AV300" s="1353"/>
      <c r="AW300" s="1354" t="str">
        <f>VLOOKUP(C300,'Foundation Calculation'!$A$2:$C$33,3,1)</f>
        <v>Soil A</v>
      </c>
      <c r="AX300" s="1354" t="str">
        <f>VLOOKUP(C300,'Foundation Calculation'!$E$2:$G$33,3,1)</f>
        <v>PT</v>
      </c>
      <c r="AY300" s="1354">
        <f>IF(AX300="PT",VLOOKUP(L300,'Foundation Calculation'!$K$2:$R$40,VLOOKUP(AW300,'Foundation Calculation'!$I$2:$J$8,2,FALSE),0),IF(AX300="K",VLOOKUP(L300,'Foundation Calculation'!$K$42:$R$80,VLOOKUP(AW300,'Foundation Calculation'!$I$2:$J$8,2,FALSE),0),""))</f>
        <v>4.5999999999999996</v>
      </c>
      <c r="AZ300" s="1354"/>
      <c r="BA300" s="1355" t="s">
        <v>2809</v>
      </c>
      <c r="BB300" s="1361" t="str">
        <f>Pole_Calculations!A178</f>
        <v>App.8-V08F-P10.3</v>
      </c>
      <c r="BC300" s="823" t="s">
        <v>4955</v>
      </c>
      <c r="BD300" s="1356">
        <v>43841</v>
      </c>
      <c r="BE300" s="1356"/>
      <c r="BF300" s="1356"/>
      <c r="BG300" s="1356"/>
    </row>
    <row r="301" spans="1:59" ht="15.75" customHeight="1">
      <c r="A301" s="449"/>
      <c r="B301" s="445"/>
      <c r="C301" s="446"/>
      <c r="D301" s="638"/>
      <c r="E301" s="638"/>
      <c r="F301" s="447"/>
      <c r="G301" s="484">
        <v>43.5</v>
      </c>
      <c r="H301" s="1239"/>
      <c r="I301" s="448"/>
      <c r="J301" s="446"/>
      <c r="K301" s="638"/>
      <c r="L301" s="638"/>
      <c r="M301" s="638"/>
      <c r="N301" s="1239"/>
      <c r="O301" s="1239"/>
      <c r="P301" s="1239"/>
      <c r="Q301" s="638"/>
      <c r="R301" s="638"/>
      <c r="S301" s="1343">
        <f t="shared" ref="S301" si="145">AG302-AG300</f>
        <v>43</v>
      </c>
      <c r="T301" s="638"/>
      <c r="U301" s="638"/>
      <c r="V301" s="638"/>
      <c r="W301" s="638"/>
      <c r="X301" s="638"/>
      <c r="Y301" s="638"/>
      <c r="Z301" s="638"/>
      <c r="AA301" s="638"/>
      <c r="AB301" s="638"/>
      <c r="AC301" s="638"/>
      <c r="AD301" s="638"/>
      <c r="AE301" s="638"/>
      <c r="AF301" s="638"/>
      <c r="AG301" s="446"/>
      <c r="AH301" s="638"/>
      <c r="AI301" s="638"/>
      <c r="AJ301" s="638"/>
      <c r="AK301" s="638"/>
      <c r="AL301" s="638"/>
      <c r="AM301" s="638"/>
      <c r="AN301" s="484"/>
      <c r="AO301" s="638"/>
      <c r="AP301" s="638"/>
      <c r="AQ301" s="484">
        <f>+FL_1($U$302,$U$300,$G$301,1200,9.28, 1*$F$302)</f>
        <v>0.30592376685057476</v>
      </c>
      <c r="AR301" s="638"/>
      <c r="AS301" s="638"/>
      <c r="AT301" s="484"/>
      <c r="AU301" s="638"/>
      <c r="AV301" s="638"/>
      <c r="AW301" s="638"/>
      <c r="AX301" s="638"/>
      <c r="AY301" s="484"/>
      <c r="AZ301" s="484"/>
      <c r="BA301" s="671"/>
      <c r="BB301" s="449"/>
      <c r="BC301" s="169"/>
      <c r="BD301" s="1330"/>
      <c r="BE301" s="1330"/>
      <c r="BF301" s="1330"/>
      <c r="BG301" s="1330"/>
    </row>
    <row r="302" spans="1:59" ht="15.75" customHeight="1">
      <c r="A302" s="449"/>
      <c r="B302" s="439" t="s">
        <v>2276</v>
      </c>
      <c r="C302" s="446">
        <f>+$C$300+$G$301</f>
        <v>92011.499999999985</v>
      </c>
      <c r="D302" s="173"/>
      <c r="E302" s="447"/>
      <c r="F302" s="447">
        <v>0</v>
      </c>
      <c r="G302" s="484"/>
      <c r="H302" s="1239" t="s">
        <v>619</v>
      </c>
      <c r="I302" s="1239"/>
      <c r="J302" s="171"/>
      <c r="K302" s="638"/>
      <c r="L302" s="638" t="s">
        <v>4488</v>
      </c>
      <c r="M302" s="1239" t="str">
        <f>IF(AX302="PT",VLOOKUP(L302,'Foundation Calculation'!$V$2:$X$40,VLOOKUP(AX302,'Foundation Calculation'!$I$10:$J$13,2,FALSE),0),IF(AX302="K",VLOOKUP(L302,'Foundation Calculation'!$V$42:$X$80,VLOOKUP(AX302,'Foundation Calculation'!$I$10:$J$13,2,FALSE),0),""))</f>
        <v>C11R</v>
      </c>
      <c r="N302" s="1239" t="s">
        <v>140</v>
      </c>
      <c r="O302" s="1239" t="s">
        <v>143</v>
      </c>
      <c r="P302" s="1239"/>
      <c r="Q302" s="638">
        <v>0</v>
      </c>
      <c r="R302" s="638">
        <v>0</v>
      </c>
      <c r="S302" s="484"/>
      <c r="T302" s="638">
        <v>15</v>
      </c>
      <c r="U302" s="638">
        <v>-30</v>
      </c>
      <c r="V302" s="638"/>
      <c r="W302" s="638">
        <v>1.4</v>
      </c>
      <c r="X302" s="638">
        <v>1.8</v>
      </c>
      <c r="Y302" s="638"/>
      <c r="Z302" s="638">
        <v>0.45</v>
      </c>
      <c r="AA302" s="638"/>
      <c r="AB302" s="638"/>
      <c r="AC302" s="638" t="s">
        <v>1417</v>
      </c>
      <c r="AD302" s="638"/>
      <c r="AE302" s="638"/>
      <c r="AF302" s="638">
        <v>5800</v>
      </c>
      <c r="AG302" s="446">
        <v>92011</v>
      </c>
      <c r="AH302" s="638">
        <v>1923</v>
      </c>
      <c r="AI302" s="638">
        <v>410</v>
      </c>
      <c r="AJ302" s="638"/>
      <c r="AK302" s="638"/>
      <c r="AL302" s="638" t="s">
        <v>4490</v>
      </c>
      <c r="AM302" s="638" t="s">
        <v>1042</v>
      </c>
      <c r="AN302" s="455">
        <v>5.5</v>
      </c>
      <c r="AO302" s="1239"/>
      <c r="AP302" s="1239"/>
      <c r="AQ302" s="484"/>
      <c r="AR302" s="484"/>
      <c r="AS302" s="484"/>
      <c r="AT302" s="484">
        <f>+ab($U$302,$U$300,$T$304,$G$301,$G$303, 1*$F$302,1200)</f>
        <v>-7.1506335782632169</v>
      </c>
      <c r="AU302" s="638"/>
      <c r="AV302" s="638"/>
      <c r="AW302" s="484" t="str">
        <f>VLOOKUP(C302,'Foundation Calculation'!$A$2:$C$33,3,1)</f>
        <v>Soil B</v>
      </c>
      <c r="AX302" s="484" t="str">
        <f>VLOOKUP(C302,'Foundation Calculation'!$E$2:$G$33,3,1)</f>
        <v>PT</v>
      </c>
      <c r="AY302" s="484">
        <f>IF(AX302="PT",VLOOKUP(L302,'Foundation Calculation'!$K$2:$R$40,VLOOKUP(AW302,'Foundation Calculation'!$I$2:$J$8,2,FALSE),0),IF(AX302="K",VLOOKUP(L302,'Foundation Calculation'!$K$42:$R$80,VLOOKUP(AW302,'Foundation Calculation'!$I$2:$J$8,2,FALSE),0),""))</f>
        <v>4.5999999999999996</v>
      </c>
      <c r="AZ302" s="484"/>
      <c r="BA302" s="671" t="s">
        <v>2809</v>
      </c>
      <c r="BB302" s="449" t="str">
        <f>Pole_Calculations!A178</f>
        <v>App.8-V08F-P10.3</v>
      </c>
      <c r="BC302" s="169"/>
      <c r="BD302" s="1329">
        <v>43841</v>
      </c>
      <c r="BE302" s="1329">
        <v>43859</v>
      </c>
      <c r="BF302" s="1329"/>
      <c r="BG302" s="1329">
        <v>43870</v>
      </c>
    </row>
    <row r="303" spans="1:59" ht="15.75" customHeight="1">
      <c r="A303" s="449"/>
      <c r="B303" s="445"/>
      <c r="C303" s="446"/>
      <c r="D303" s="638"/>
      <c r="E303" s="638"/>
      <c r="F303" s="447"/>
      <c r="G303" s="484">
        <v>46.5</v>
      </c>
      <c r="H303" s="1239"/>
      <c r="I303" s="448"/>
      <c r="J303" s="446"/>
      <c r="K303" s="638"/>
      <c r="L303" s="638"/>
      <c r="M303" s="638"/>
      <c r="N303" s="638"/>
      <c r="O303" s="1239"/>
      <c r="P303" s="1239"/>
      <c r="Q303" s="638"/>
      <c r="R303" s="638"/>
      <c r="S303" s="1343">
        <f t="shared" ref="S303" si="146">AG304-AG302</f>
        <v>47</v>
      </c>
      <c r="T303" s="638"/>
      <c r="U303" s="638"/>
      <c r="V303" s="638"/>
      <c r="W303" s="638"/>
      <c r="X303" s="638"/>
      <c r="Y303" s="638"/>
      <c r="Z303" s="638"/>
      <c r="AA303" s="638"/>
      <c r="AB303" s="638"/>
      <c r="AC303" s="638"/>
      <c r="AD303" s="638"/>
      <c r="AE303" s="638"/>
      <c r="AF303" s="638"/>
      <c r="AG303" s="446"/>
      <c r="AH303" s="638"/>
      <c r="AI303" s="638"/>
      <c r="AJ303" s="638"/>
      <c r="AK303" s="638"/>
      <c r="AL303" s="638"/>
      <c r="AM303" s="638"/>
      <c r="AN303" s="484"/>
      <c r="AO303" s="638"/>
      <c r="AP303" s="638"/>
      <c r="AQ303" s="484">
        <f>+FL_2($T$304,$U$302,$G$303,1200,9.28, 1*$F$304)</f>
        <v>-0.32364081508030579</v>
      </c>
      <c r="AR303" s="638"/>
      <c r="AS303" s="638"/>
      <c r="AT303" s="484"/>
      <c r="AU303" s="638"/>
      <c r="AV303" s="638"/>
      <c r="AW303" s="484"/>
      <c r="AX303" s="484"/>
      <c r="AY303" s="484"/>
      <c r="AZ303" s="484"/>
      <c r="BA303" s="671"/>
      <c r="BB303" s="449"/>
      <c r="BC303" s="169"/>
      <c r="BD303" s="1330"/>
      <c r="BE303" s="1330"/>
      <c r="BF303" s="1330"/>
      <c r="BG303" s="1330"/>
    </row>
    <row r="304" spans="1:59" ht="15.75" customHeight="1">
      <c r="A304" s="449" t="s">
        <v>2926</v>
      </c>
      <c r="B304" s="439" t="s">
        <v>2277</v>
      </c>
      <c r="C304" s="446">
        <f>+$C$302+$G$303</f>
        <v>92057.999999999985</v>
      </c>
      <c r="D304" s="173"/>
      <c r="E304" s="447"/>
      <c r="F304" s="447">
        <v>20000</v>
      </c>
      <c r="G304" s="484"/>
      <c r="H304" s="1239" t="s">
        <v>619</v>
      </c>
      <c r="I304" s="1239" t="s">
        <v>1429</v>
      </c>
      <c r="J304" s="171"/>
      <c r="K304" s="638"/>
      <c r="L304" s="638" t="s">
        <v>4488</v>
      </c>
      <c r="M304" s="1239" t="str">
        <f>IF(AX304="PT",VLOOKUP(L304,'Foundation Calculation'!$V$2:$X$40,VLOOKUP(AX304,'Foundation Calculation'!$I$10:$J$13,2,FALSE),0),IF(AX304="K",VLOOKUP(L304,'Foundation Calculation'!$V$42:$X$80,VLOOKUP(AX304,'Foundation Calculation'!$I$10:$J$13,2,FALSE),0),""))</f>
        <v>C11R</v>
      </c>
      <c r="N304" s="1239" t="s">
        <v>144</v>
      </c>
      <c r="O304" s="1239" t="s">
        <v>140</v>
      </c>
      <c r="P304" s="1239"/>
      <c r="Q304" s="638">
        <v>10</v>
      </c>
      <c r="R304" s="638">
        <v>0</v>
      </c>
      <c r="S304" s="484"/>
      <c r="T304" s="638">
        <v>30</v>
      </c>
      <c r="U304" s="638">
        <v>-15</v>
      </c>
      <c r="V304" s="638"/>
      <c r="W304" s="638">
        <v>1.4</v>
      </c>
      <c r="X304" s="638">
        <v>1.8</v>
      </c>
      <c r="Y304" s="638"/>
      <c r="Z304" s="638"/>
      <c r="AA304" s="638">
        <v>0.45</v>
      </c>
      <c r="AB304" s="638"/>
      <c r="AC304" s="638" t="s">
        <v>1421</v>
      </c>
      <c r="AD304" s="638"/>
      <c r="AE304" s="638"/>
      <c r="AF304" s="638">
        <v>5800</v>
      </c>
      <c r="AG304" s="446">
        <v>92058</v>
      </c>
      <c r="AH304" s="638">
        <v>2013</v>
      </c>
      <c r="AI304" s="638">
        <v>220</v>
      </c>
      <c r="AJ304" s="638" t="s">
        <v>2755</v>
      </c>
      <c r="AK304" s="638"/>
      <c r="AL304" s="638" t="s">
        <v>4490</v>
      </c>
      <c r="AM304" s="638" t="s">
        <v>1042</v>
      </c>
      <c r="AN304" s="455">
        <v>5.5</v>
      </c>
      <c r="AO304" s="1239"/>
      <c r="AP304" s="1239"/>
      <c r="AQ304" s="484"/>
      <c r="AR304" s="484"/>
      <c r="AS304" s="484"/>
      <c r="AT304" s="484">
        <f>+ab($T$304,$T$302,$T$306,$G$303,$G$305, 1*$F$304,1200)</f>
        <v>9.0978606522860783</v>
      </c>
      <c r="AU304" s="638"/>
      <c r="AV304" s="638"/>
      <c r="AW304" s="484" t="str">
        <f>VLOOKUP(C304,'Foundation Calculation'!$A$2:$C$33,3,1)</f>
        <v>Soil B</v>
      </c>
      <c r="AX304" s="484" t="str">
        <f>VLOOKUP(C304,'Foundation Calculation'!$E$2:$G$33,3,1)</f>
        <v>PT</v>
      </c>
      <c r="AY304" s="484">
        <f>IF(AX304="PT",VLOOKUP(L304,'Foundation Calculation'!$K$2:$R$40,VLOOKUP(AW304,'Foundation Calculation'!$I$2:$J$8,2,FALSE),0),IF(AX304="K",VLOOKUP(L304,'Foundation Calculation'!$K$42:$R$80,VLOOKUP(AW304,'Foundation Calculation'!$I$2:$J$8,2,FALSE),0),""))</f>
        <v>4.5999999999999996</v>
      </c>
      <c r="AZ304" s="484"/>
      <c r="BA304" s="671" t="s">
        <v>2809</v>
      </c>
      <c r="BB304" s="449" t="str">
        <f>Pole_Calculations!A178</f>
        <v>App.8-V08F-P10.3</v>
      </c>
      <c r="BC304" s="169"/>
      <c r="BD304" s="1329">
        <v>43841</v>
      </c>
      <c r="BE304" s="1329">
        <v>43859</v>
      </c>
      <c r="BF304" s="1329"/>
      <c r="BG304" s="1329">
        <v>43870</v>
      </c>
    </row>
    <row r="305" spans="1:59" ht="15.75" customHeight="1">
      <c r="A305" s="449"/>
      <c r="B305" s="445"/>
      <c r="C305" s="446"/>
      <c r="D305" s="638"/>
      <c r="E305" s="638"/>
      <c r="F305" s="447"/>
      <c r="G305" s="484">
        <v>42</v>
      </c>
      <c r="H305" s="1239"/>
      <c r="I305" s="448"/>
      <c r="J305" s="446"/>
      <c r="K305" s="638"/>
      <c r="L305" s="638"/>
      <c r="M305" s="638"/>
      <c r="N305" s="1239"/>
      <c r="O305" s="1239"/>
      <c r="P305" s="1239"/>
      <c r="Q305" s="638"/>
      <c r="R305" s="638"/>
      <c r="S305" s="1343">
        <f t="shared" ref="S305" si="147">AG306-AG304</f>
        <v>42.149999999994179</v>
      </c>
      <c r="T305" s="638"/>
      <c r="U305" s="638"/>
      <c r="V305" s="638"/>
      <c r="W305" s="638"/>
      <c r="X305" s="638"/>
      <c r="Y305" s="638"/>
      <c r="Z305" s="638"/>
      <c r="AA305" s="638"/>
      <c r="AB305" s="638"/>
      <c r="AC305" s="638"/>
      <c r="AD305" s="638"/>
      <c r="AE305" s="638"/>
      <c r="AF305" s="638"/>
      <c r="AG305" s="446"/>
      <c r="AH305" s="638"/>
      <c r="AI305" s="638"/>
      <c r="AJ305" s="638"/>
      <c r="AK305" s="638"/>
      <c r="AL305" s="638"/>
      <c r="AM305" s="638"/>
      <c r="AN305" s="484"/>
      <c r="AO305" s="638"/>
      <c r="AP305" s="638"/>
      <c r="AQ305" s="484">
        <f>+FL_1($T$306,$T$304,$G$305,1200,9.28, 1*$F$306)</f>
        <v>0.30037719942857155</v>
      </c>
      <c r="AR305" s="638"/>
      <c r="AS305" s="638"/>
      <c r="AT305" s="484"/>
      <c r="AU305" s="638"/>
      <c r="AV305" s="638"/>
      <c r="AW305" s="638"/>
      <c r="AX305" s="638"/>
      <c r="AY305" s="484"/>
      <c r="AZ305" s="484"/>
      <c r="BA305" s="671"/>
      <c r="BB305" s="449"/>
      <c r="BC305" s="169"/>
      <c r="BD305" s="1330"/>
      <c r="BE305" s="1330"/>
      <c r="BF305" s="1330"/>
      <c r="BG305" s="1330"/>
    </row>
    <row r="306" spans="1:59" ht="15.75" customHeight="1">
      <c r="A306" s="449"/>
      <c r="B306" s="439" t="s">
        <v>2278</v>
      </c>
      <c r="C306" s="446">
        <f>+$C$304+$G$305</f>
        <v>92099.999999999985</v>
      </c>
      <c r="D306" s="173"/>
      <c r="E306" s="447"/>
      <c r="F306" s="447">
        <v>0</v>
      </c>
      <c r="G306" s="484"/>
      <c r="H306" s="1239" t="s">
        <v>2128</v>
      </c>
      <c r="I306" s="1239" t="s">
        <v>623</v>
      </c>
      <c r="J306" s="171"/>
      <c r="K306" s="638"/>
      <c r="L306" s="638" t="s">
        <v>821</v>
      </c>
      <c r="M306" s="1239" t="str">
        <f>IF(AX306="PT",VLOOKUP(L306,'Foundation Calculation'!$V$2:$X$40,VLOOKUP(AX306,'Foundation Calculation'!$I$10:$J$13,2,FALSE),0),IF(AX306="K",VLOOKUP(L306,'Foundation Calculation'!$V$42:$X$80,VLOOKUP(AX306,'Foundation Calculation'!$I$10:$J$13,2,FALSE),0),""))</f>
        <v>C7R</v>
      </c>
      <c r="N306" s="1239" t="s">
        <v>143</v>
      </c>
      <c r="O306" s="1239" t="s">
        <v>140</v>
      </c>
      <c r="P306" s="1239"/>
      <c r="Q306" s="638">
        <v>20</v>
      </c>
      <c r="R306" s="638">
        <v>0</v>
      </c>
      <c r="S306" s="484"/>
      <c r="T306" s="638">
        <v>-35</v>
      </c>
      <c r="U306" s="638">
        <v>55</v>
      </c>
      <c r="V306" s="638"/>
      <c r="W306" s="638">
        <v>1.8</v>
      </c>
      <c r="X306" s="638">
        <v>1.4</v>
      </c>
      <c r="Y306" s="638"/>
      <c r="Z306" s="638"/>
      <c r="AA306" s="638">
        <v>0.45</v>
      </c>
      <c r="AB306" s="638"/>
      <c r="AC306" s="638" t="s">
        <v>4115</v>
      </c>
      <c r="AD306" s="638"/>
      <c r="AE306" s="638"/>
      <c r="AF306" s="638">
        <v>5500</v>
      </c>
      <c r="AG306" s="446">
        <v>92100.15</v>
      </c>
      <c r="AH306" s="638">
        <v>1833</v>
      </c>
      <c r="AI306" s="638">
        <v>-20</v>
      </c>
      <c r="AJ306" s="638"/>
      <c r="AK306" s="638"/>
      <c r="AL306" s="638" t="s">
        <v>2142</v>
      </c>
      <c r="AM306" s="638" t="s">
        <v>1042</v>
      </c>
      <c r="AN306" s="455">
        <v>5.5</v>
      </c>
      <c r="AO306" s="1239"/>
      <c r="AP306" s="1239"/>
      <c r="AQ306" s="484"/>
      <c r="AR306" s="484"/>
      <c r="AS306" s="484"/>
      <c r="AT306" s="484">
        <f>+ab($T$306,$T$304,$T$308,$G$305,$G$307, 1*$F$306,1200)</f>
        <v>-5.3744261728533189</v>
      </c>
      <c r="AU306" s="638"/>
      <c r="AV306" s="638"/>
      <c r="AW306" s="484" t="str">
        <f>VLOOKUP(C306,'Foundation Calculation'!$A$2:$C$33,3,1)</f>
        <v>Soil B</v>
      </c>
      <c r="AX306" s="484" t="str">
        <f>VLOOKUP(C306,'Foundation Calculation'!$E$2:$G$33,3,1)</f>
        <v>PT</v>
      </c>
      <c r="AY306" s="484">
        <f>IF(AX306="PT",VLOOKUP(L306,'Foundation Calculation'!$K$2:$R$40,VLOOKUP(AW306,'Foundation Calculation'!$I$2:$J$8,2,FALSE),0),IF(AX306="K",VLOOKUP(L306,'Foundation Calculation'!$K$42:$R$80,VLOOKUP(AW306,'Foundation Calculation'!$I$2:$J$8,2,FALSE),0),""))</f>
        <v>3.5</v>
      </c>
      <c r="AZ306" s="484"/>
      <c r="BA306" s="671" t="s">
        <v>2809</v>
      </c>
      <c r="BB306" s="449" t="str">
        <f>Pole_Calculations!A178</f>
        <v>App.8-V08F-P10.3</v>
      </c>
      <c r="BC306" s="169"/>
      <c r="BD306" s="1329">
        <v>43841</v>
      </c>
      <c r="BE306" s="1329">
        <v>43861</v>
      </c>
      <c r="BF306" s="1329"/>
      <c r="BG306" s="1329">
        <v>43870</v>
      </c>
    </row>
    <row r="307" spans="1:59" ht="15.75" customHeight="1">
      <c r="A307" s="449"/>
      <c r="B307" s="445"/>
      <c r="C307" s="446"/>
      <c r="D307" s="638"/>
      <c r="E307" s="638"/>
      <c r="F307" s="447"/>
      <c r="G307" s="484">
        <v>32.299999999999997</v>
      </c>
      <c r="H307" s="1239"/>
      <c r="I307" s="448"/>
      <c r="J307" s="446">
        <f>C306+7.5</f>
        <v>92107.499999999985</v>
      </c>
      <c r="K307" s="638" t="s">
        <v>2787</v>
      </c>
      <c r="L307" s="638"/>
      <c r="M307" s="638"/>
      <c r="N307" s="1239"/>
      <c r="O307" s="1239"/>
      <c r="P307" s="1239"/>
      <c r="Q307" s="638"/>
      <c r="R307" s="638"/>
      <c r="S307" s="1343">
        <f t="shared" ref="S307" si="148">AG308-AG306</f>
        <v>30.510000000009313</v>
      </c>
      <c r="T307" s="638"/>
      <c r="U307" s="638"/>
      <c r="V307" s="638"/>
      <c r="W307" s="638"/>
      <c r="X307" s="638"/>
      <c r="Y307" s="638"/>
      <c r="Z307" s="638"/>
      <c r="AA307" s="638"/>
      <c r="AB307" s="638"/>
      <c r="AC307" s="638"/>
      <c r="AD307" s="638"/>
      <c r="AE307" s="638"/>
      <c r="AF307" s="638"/>
      <c r="AG307" s="446"/>
      <c r="AH307" s="638"/>
      <c r="AI307" s="638"/>
      <c r="AJ307" s="638"/>
      <c r="AK307" s="638"/>
      <c r="AL307" s="638"/>
      <c r="AM307" s="638"/>
      <c r="AN307" s="484"/>
      <c r="AO307" s="638"/>
      <c r="AP307" s="638"/>
      <c r="AQ307" s="484">
        <f>+FL_2($T$308,$T$306,$G$307,1200,9.28, 1*$F$308)</f>
        <v>-0.35000000000001624</v>
      </c>
      <c r="AR307" s="638"/>
      <c r="AS307" s="638"/>
      <c r="AT307" s="484"/>
      <c r="AU307" s="638"/>
      <c r="AV307" s="638"/>
      <c r="AW307" s="638" t="str">
        <f>VLOOKUP(J307,'Foundation Calculation'!$A$2:$C$33,3,1)</f>
        <v>Soil B</v>
      </c>
      <c r="AX307" s="572" t="str">
        <f>VLOOKUP(J307,'Foundation Calculation'!$E$2:$G$33,3,1)</f>
        <v>PT</v>
      </c>
      <c r="AY307" s="484"/>
      <c r="AZ307" s="484">
        <f>IF(AX307="PT",VLOOKUP(K307,'Foundation Calculation'!$K$2:$R$40,VLOOKUP(AW307,'Foundation Calculation'!$I$2:$J$8,2,FALSE),0),IF(AX307="K",VLOOKUP(K307,'Foundation Calculation'!$K$42:$R$80,VLOOKUP(AW307,'Foundation Calculation'!$I$2:$J$8,2,FALSE),0),""))</f>
        <v>3.9</v>
      </c>
      <c r="BA307" s="671" t="s">
        <v>2809</v>
      </c>
      <c r="BB307" s="449"/>
      <c r="BC307" s="169"/>
      <c r="BD307" s="1329">
        <v>43841</v>
      </c>
      <c r="BE307" s="1330"/>
      <c r="BF307" s="1330"/>
      <c r="BG307" s="1330"/>
    </row>
    <row r="308" spans="1:59" ht="15.75" customHeight="1">
      <c r="A308" s="449"/>
      <c r="B308" s="439" t="s">
        <v>2279</v>
      </c>
      <c r="C308" s="446">
        <f>+$C$306+$G$307</f>
        <v>92132.299999999988</v>
      </c>
      <c r="D308" s="173"/>
      <c r="E308" s="447"/>
      <c r="F308" s="447">
        <v>18000</v>
      </c>
      <c r="G308" s="484"/>
      <c r="H308" s="1239" t="s">
        <v>138</v>
      </c>
      <c r="I308" s="1239" t="s">
        <v>623</v>
      </c>
      <c r="J308" s="171"/>
      <c r="K308" s="638"/>
      <c r="L308" s="638" t="s">
        <v>821</v>
      </c>
      <c r="M308" s="1239" t="str">
        <f>IF(AX308="PT",VLOOKUP(L308,'Foundation Calculation'!$V$2:$X$40,VLOOKUP(AX308,'Foundation Calculation'!$I$10:$J$13,2,FALSE),0),IF(AX308="K",VLOOKUP(L308,'Foundation Calculation'!$V$42:$X$80,VLOOKUP(AX308,'Foundation Calculation'!$I$10:$J$13,2,FALSE),0),""))</f>
        <v>C7R</v>
      </c>
      <c r="N308" s="1239" t="s">
        <v>144</v>
      </c>
      <c r="O308" s="1239"/>
      <c r="P308" s="1239"/>
      <c r="Q308" s="638">
        <v>0</v>
      </c>
      <c r="R308" s="638">
        <v>0</v>
      </c>
      <c r="S308" s="484"/>
      <c r="T308" s="638">
        <v>30</v>
      </c>
      <c r="U308" s="638"/>
      <c r="V308" s="638"/>
      <c r="W308" s="638">
        <v>1.6</v>
      </c>
      <c r="X308" s="638"/>
      <c r="Y308" s="638"/>
      <c r="Z308" s="638"/>
      <c r="AA308" s="638"/>
      <c r="AB308" s="638"/>
      <c r="AC308" s="638" t="s">
        <v>4090</v>
      </c>
      <c r="AD308" s="638"/>
      <c r="AE308" s="638"/>
      <c r="AF308" s="638">
        <v>5800</v>
      </c>
      <c r="AG308" s="446">
        <v>92130.66</v>
      </c>
      <c r="AH308" s="638">
        <v>2153</v>
      </c>
      <c r="AI308" s="638">
        <v>370</v>
      </c>
      <c r="AJ308" s="638"/>
      <c r="AK308" s="638"/>
      <c r="AL308" s="638" t="s">
        <v>2142</v>
      </c>
      <c r="AM308" s="638" t="s">
        <v>1042</v>
      </c>
      <c r="AN308" s="455">
        <v>5.5</v>
      </c>
      <c r="AO308" s="1239"/>
      <c r="AP308" s="1239"/>
      <c r="AQ308" s="484"/>
      <c r="AR308" s="484"/>
      <c r="AS308" s="484"/>
      <c r="AT308" s="484">
        <f>+ab($T$308,$T$306,$T$310,$G$307,$G$309, 1*$F$308,1200)</f>
        <v>4.8484726460978997</v>
      </c>
      <c r="AU308" s="638"/>
      <c r="AV308" s="638"/>
      <c r="AW308" s="484" t="str">
        <f>VLOOKUP(C308,'Foundation Calculation'!$A$2:$C$33,3,1)</f>
        <v>Soil B</v>
      </c>
      <c r="AX308" s="484" t="str">
        <f>VLOOKUP(C308,'Foundation Calculation'!$E$2:$G$33,3,1)</f>
        <v>PT</v>
      </c>
      <c r="AY308" s="484">
        <f>IF(AX308="PT",VLOOKUP(L308,'Foundation Calculation'!$K$2:$R$40,VLOOKUP(AW308,'Foundation Calculation'!$I$2:$J$8,2,FALSE),0),IF(AX308="K",VLOOKUP(L308,'Foundation Calculation'!$K$42:$R$80,VLOOKUP(AW308,'Foundation Calculation'!$I$2:$J$8,2,FALSE),0),""))</f>
        <v>3.5</v>
      </c>
      <c r="AZ308" s="484"/>
      <c r="BA308" s="671" t="s">
        <v>2809</v>
      </c>
      <c r="BB308" s="449" t="str">
        <f>Pole_Calculations!A178</f>
        <v>App.8-V08F-P10.3</v>
      </c>
      <c r="BC308" s="169"/>
      <c r="BD308" s="1329">
        <v>43841</v>
      </c>
      <c r="BE308" s="1329">
        <v>43861</v>
      </c>
      <c r="BF308" s="1329"/>
      <c r="BG308" s="1329">
        <v>43870</v>
      </c>
    </row>
    <row r="309" spans="1:59" ht="15.75" customHeight="1">
      <c r="A309" s="449"/>
      <c r="B309" s="445"/>
      <c r="C309" s="446"/>
      <c r="D309" s="638"/>
      <c r="E309" s="638"/>
      <c r="F309" s="447"/>
      <c r="G309" s="484">
        <v>37.299999999999997</v>
      </c>
      <c r="H309" s="1239"/>
      <c r="I309" s="448"/>
      <c r="J309" s="446">
        <f>C308+7.5</f>
        <v>92139.799999999988</v>
      </c>
      <c r="K309" s="638" t="s">
        <v>2787</v>
      </c>
      <c r="L309" s="638"/>
      <c r="M309" s="638"/>
      <c r="N309" s="1239"/>
      <c r="O309" s="1239"/>
      <c r="P309" s="1239"/>
      <c r="Q309" s="638"/>
      <c r="R309" s="638"/>
      <c r="S309" s="1343">
        <f t="shared" ref="S309" si="149">AG310-AG308</f>
        <v>38.879999999990105</v>
      </c>
      <c r="T309" s="638"/>
      <c r="U309" s="638"/>
      <c r="V309" s="638"/>
      <c r="W309" s="638"/>
      <c r="X309" s="638"/>
      <c r="Y309" s="638"/>
      <c r="Z309" s="638"/>
      <c r="AA309" s="638"/>
      <c r="AB309" s="638"/>
      <c r="AC309" s="638"/>
      <c r="AD309" s="638"/>
      <c r="AE309" s="638"/>
      <c r="AF309" s="638"/>
      <c r="AG309" s="446"/>
      <c r="AH309" s="638"/>
      <c r="AI309" s="638"/>
      <c r="AJ309" s="638"/>
      <c r="AK309" s="638"/>
      <c r="AL309" s="638"/>
      <c r="AM309" s="638"/>
      <c r="AN309" s="484"/>
      <c r="AO309" s="638"/>
      <c r="AP309" s="638"/>
      <c r="AQ309" s="484">
        <f>+FL_1($T$310,$T$308,$G$309,1200,9.28, 1*$F$310)</f>
        <v>0.30000000000000338</v>
      </c>
      <c r="AR309" s="638"/>
      <c r="AS309" s="638"/>
      <c r="AT309" s="484"/>
      <c r="AU309" s="638"/>
      <c r="AV309" s="638"/>
      <c r="AW309" s="638" t="str">
        <f>VLOOKUP(J309,'Foundation Calculation'!$A$2:$C$33,3,1)</f>
        <v>Soil B</v>
      </c>
      <c r="AX309" s="572" t="str">
        <f>VLOOKUP(J309,'Foundation Calculation'!$E$2:$G$33,3,1)</f>
        <v>PT</v>
      </c>
      <c r="AY309" s="484"/>
      <c r="AZ309" s="484">
        <f>IF(AX309="PT",VLOOKUP(K309,'Foundation Calculation'!$K$2:$R$40,VLOOKUP(AW309,'Foundation Calculation'!$I$2:$J$8,2,FALSE),0),IF(AX309="K",VLOOKUP(K309,'Foundation Calculation'!$K$42:$R$80,VLOOKUP(AW309,'Foundation Calculation'!$I$2:$J$8,2,FALSE),0),""))</f>
        <v>3.9</v>
      </c>
      <c r="BA309" s="671" t="s">
        <v>2809</v>
      </c>
      <c r="BB309" s="449"/>
      <c r="BC309" s="169"/>
      <c r="BD309" s="1329">
        <v>43841</v>
      </c>
      <c r="BE309" s="1330"/>
      <c r="BF309" s="1330"/>
      <c r="BG309" s="1330"/>
    </row>
    <row r="310" spans="1:59" ht="15.75" customHeight="1">
      <c r="A310" s="449"/>
      <c r="B310" s="485" t="s">
        <v>2324</v>
      </c>
      <c r="C310" s="446">
        <f>+$C$308+$G$309</f>
        <v>92169.599999999991</v>
      </c>
      <c r="D310" s="448"/>
      <c r="E310" s="484"/>
      <c r="F310" s="638">
        <v>18000</v>
      </c>
      <c r="G310" s="484"/>
      <c r="H310" s="446"/>
      <c r="I310" s="638"/>
      <c r="J310" s="171"/>
      <c r="K310" s="1239"/>
      <c r="L310" s="638" t="s">
        <v>1451</v>
      </c>
      <c r="M310" s="638" t="str">
        <f>IF(AX310="PT",VLOOKUP(L310,'Foundation Calculation'!$V$2:$X$40,VLOOKUP(AX310,'Foundation Calculation'!$I$10:$J$13,2,FALSE),0),IF(AX310="K",VLOOKUP(L310,'Foundation Calculation'!$V$42:$X$80,VLOOKUP(AX310,'Foundation Calculation'!$I$10:$J$13,2,FALSE),0),""))</f>
        <v>C8R</v>
      </c>
      <c r="N310" s="638" t="s">
        <v>143</v>
      </c>
      <c r="O310" s="638"/>
      <c r="P310" s="638"/>
      <c r="Q310" s="638">
        <v>10</v>
      </c>
      <c r="R310" s="638">
        <v>-18000</v>
      </c>
      <c r="S310" s="484"/>
      <c r="T310" s="638">
        <v>-35</v>
      </c>
      <c r="U310" s="638"/>
      <c r="V310" s="638"/>
      <c r="W310" s="638">
        <v>1.4</v>
      </c>
      <c r="X310" s="638"/>
      <c r="Y310" s="638"/>
      <c r="Z310" s="638"/>
      <c r="AA310" s="638"/>
      <c r="AB310" s="638"/>
      <c r="AC310" s="638" t="s">
        <v>4090</v>
      </c>
      <c r="AD310" s="638"/>
      <c r="AE310" s="446"/>
      <c r="AF310" s="638">
        <v>6100</v>
      </c>
      <c r="AG310" s="446">
        <v>92169.54</v>
      </c>
      <c r="AH310" s="638">
        <v>2293</v>
      </c>
      <c r="AI310" s="638">
        <v>530</v>
      </c>
      <c r="AJ310" s="1239"/>
      <c r="AK310" s="1239"/>
      <c r="AL310" s="455" t="s">
        <v>2143</v>
      </c>
      <c r="AM310" s="1239" t="s">
        <v>1042</v>
      </c>
      <c r="AN310" s="455">
        <v>5.5</v>
      </c>
      <c r="AO310" s="484"/>
      <c r="AP310" s="638"/>
      <c r="AQ310" s="638"/>
      <c r="AR310" s="484"/>
      <c r="AS310" s="638"/>
      <c r="AT310" s="638">
        <f>+ab($T$310,$T$308,$T$312,$G$309,$G$311, 1*$F$310,1200)</f>
        <v>-5.3378227168862979</v>
      </c>
      <c r="AU310" s="638"/>
      <c r="AV310" s="638"/>
      <c r="AW310" s="484" t="str">
        <f>VLOOKUP(C310,'Foundation Calculation'!$A$2:$C$33,3,1)</f>
        <v>Soil B</v>
      </c>
      <c r="AX310" s="484" t="str">
        <f>VLOOKUP(C310,'Foundation Calculation'!$E$2:$G$33,3,1)</f>
        <v>PT</v>
      </c>
      <c r="AY310" s="484">
        <f>IF(AX310="PT",VLOOKUP(L310,'Foundation Calculation'!$K$2:$R$40,VLOOKUP(AW310,'Foundation Calculation'!$I$2:$J$8,2,FALSE),0),IF(AX310="K",VLOOKUP(L310,'Foundation Calculation'!$K$42:$R$80,VLOOKUP(AW310,'Foundation Calculation'!$I$2:$J$8,2,FALSE),0),""))</f>
        <v>4.4000000000000004</v>
      </c>
      <c r="AZ310" s="484"/>
      <c r="BA310" s="671" t="s">
        <v>2809</v>
      </c>
      <c r="BB310" s="449" t="str">
        <f>Pole_Calculations!A178</f>
        <v>App.8-V08F-P10.3</v>
      </c>
      <c r="BC310" s="169"/>
      <c r="BD310" s="1329">
        <v>43771</v>
      </c>
      <c r="BE310" s="1329"/>
      <c r="BF310" s="1329"/>
      <c r="BG310" s="1329">
        <v>43893</v>
      </c>
    </row>
    <row r="311" spans="1:59" ht="15.75" customHeight="1">
      <c r="A311" s="449"/>
      <c r="B311" s="445"/>
      <c r="C311" s="446"/>
      <c r="D311" s="638"/>
      <c r="E311" s="638"/>
      <c r="F311" s="447"/>
      <c r="G311" s="484">
        <v>34.299999999999997</v>
      </c>
      <c r="H311" s="1239"/>
      <c r="I311" s="448"/>
      <c r="J311" s="446"/>
      <c r="K311" s="638"/>
      <c r="L311" s="638"/>
      <c r="M311" s="638"/>
      <c r="N311" s="1239"/>
      <c r="O311" s="1239"/>
      <c r="P311" s="1239"/>
      <c r="Q311" s="638"/>
      <c r="R311" s="638"/>
      <c r="S311" s="1343">
        <f t="shared" ref="S311" si="150">AG312-AG310</f>
        <v>34.280000000013388</v>
      </c>
      <c r="T311" s="638"/>
      <c r="U311" s="638"/>
      <c r="V311" s="638"/>
      <c r="W311" s="638"/>
      <c r="X311" s="638"/>
      <c r="Y311" s="638"/>
      <c r="Z311" s="638"/>
      <c r="AA311" s="638"/>
      <c r="AB311" s="638"/>
      <c r="AC311" s="638"/>
      <c r="AD311" s="638"/>
      <c r="AE311" s="638"/>
      <c r="AF311" s="638"/>
      <c r="AG311" s="446"/>
      <c r="AH311" s="638"/>
      <c r="AI311" s="638"/>
      <c r="AJ311" s="638"/>
      <c r="AK311" s="638"/>
      <c r="AL311" s="638"/>
      <c r="AM311" s="638"/>
      <c r="AN311" s="484"/>
      <c r="AO311" s="638"/>
      <c r="AP311" s="638"/>
      <c r="AQ311" s="484">
        <f>+FL_2($T$312,$T$310,$G$311,1200,9.28, 1*$F$312)</f>
        <v>-0.35000000000001247</v>
      </c>
      <c r="AR311" s="638"/>
      <c r="AS311" s="638"/>
      <c r="AT311" s="484"/>
      <c r="AU311" s="638"/>
      <c r="AV311" s="638"/>
      <c r="AW311" s="638"/>
      <c r="AX311" s="638"/>
      <c r="AY311" s="484"/>
      <c r="AZ311" s="484"/>
      <c r="BA311" s="671"/>
      <c r="BB311" s="449"/>
      <c r="BC311" s="169"/>
      <c r="BD311" s="1330"/>
      <c r="BE311" s="1330"/>
      <c r="BF311" s="1330"/>
      <c r="BG311" s="1330"/>
    </row>
    <row r="312" spans="1:59" ht="15.75" customHeight="1">
      <c r="A312" s="449"/>
      <c r="B312" s="485" t="s">
        <v>2325</v>
      </c>
      <c r="C312" s="446">
        <f>+$C$310+$G$311</f>
        <v>92203.9</v>
      </c>
      <c r="D312" s="638"/>
      <c r="E312" s="638"/>
      <c r="F312" s="448">
        <v>0</v>
      </c>
      <c r="G312" s="484"/>
      <c r="H312" s="638"/>
      <c r="I312" s="447" t="s">
        <v>1039</v>
      </c>
      <c r="J312" s="446">
        <f>C312+7.5</f>
        <v>92211.4</v>
      </c>
      <c r="K312" s="638" t="s">
        <v>2788</v>
      </c>
      <c r="L312" s="638" t="s">
        <v>1451</v>
      </c>
      <c r="M312" s="1239" t="str">
        <f>IF(AX312="PT",VLOOKUP(L312,'Foundation Calculation'!$V$2:$X$40,VLOOKUP(AX312,'Foundation Calculation'!$I$10:$J$13,2,FALSE),0),IF(AX312="K",VLOOKUP(L312,'Foundation Calculation'!$V$42:$X$80,VLOOKUP(AX312,'Foundation Calculation'!$I$10:$J$13,2,FALSE),0),""))</f>
        <v>C8R</v>
      </c>
      <c r="N312" s="638" t="s">
        <v>144</v>
      </c>
      <c r="O312" s="638"/>
      <c r="P312" s="638"/>
      <c r="Q312" s="638">
        <v>10</v>
      </c>
      <c r="R312" s="638">
        <v>0</v>
      </c>
      <c r="S312" s="484"/>
      <c r="T312" s="638">
        <v>35</v>
      </c>
      <c r="U312" s="638"/>
      <c r="V312" s="638"/>
      <c r="W312" s="638">
        <v>1.4</v>
      </c>
      <c r="X312" s="638"/>
      <c r="Y312" s="638"/>
      <c r="Z312" s="638"/>
      <c r="AA312" s="638"/>
      <c r="AB312" s="638"/>
      <c r="AC312" s="638" t="s">
        <v>3050</v>
      </c>
      <c r="AD312" s="638"/>
      <c r="AE312" s="638"/>
      <c r="AF312" s="638">
        <v>5800</v>
      </c>
      <c r="AG312" s="446">
        <v>92203.82</v>
      </c>
      <c r="AH312" s="638">
        <v>2323</v>
      </c>
      <c r="AI312" s="638">
        <v>430</v>
      </c>
      <c r="AJ312" s="638"/>
      <c r="AK312" s="638"/>
      <c r="AL312" s="1239" t="s">
        <v>2143</v>
      </c>
      <c r="AM312" s="1239" t="s">
        <v>1042</v>
      </c>
      <c r="AN312" s="455">
        <v>5.5</v>
      </c>
      <c r="AO312" s="1239"/>
      <c r="AP312" s="1239"/>
      <c r="AQ312" s="484"/>
      <c r="AR312" s="638"/>
      <c r="AS312" s="638"/>
      <c r="AT312" s="484">
        <f>+ab($T$312,$T$310,$T$314,$G$311,$G$313, 1*$F$312,1200)</f>
        <v>3.8648930233301488</v>
      </c>
      <c r="AU312" s="638"/>
      <c r="AV312" s="638"/>
      <c r="AW312" s="638" t="str">
        <f>VLOOKUP(C312,'Foundation Calculation'!$A$2:$C$33,3,1)</f>
        <v>Soil B</v>
      </c>
      <c r="AX312" s="638" t="str">
        <f>VLOOKUP(C312,'Foundation Calculation'!$E$2:$G$33,3,1)</f>
        <v>PT</v>
      </c>
      <c r="AY312" s="484">
        <f>IF(AX312="PT",VLOOKUP(L312,'Foundation Calculation'!$K$2:$R$40,VLOOKUP(AW312,'Foundation Calculation'!$I$2:$J$8,2,FALSE),0),IF(AX312="K",VLOOKUP(L312,'Foundation Calculation'!$K$42:$R$80,VLOOKUP(AW312,'Foundation Calculation'!$I$2:$J$8,2,FALSE),0),""))</f>
        <v>4.4000000000000004</v>
      </c>
      <c r="AZ312" s="484">
        <f>IF(AX312="PT",VLOOKUP(K312,'Foundation Calculation'!$K$2:$R$40,VLOOKUP(AW312,'Foundation Calculation'!$I$2:$J$8,2,FALSE),0),IF(AX312="K",VLOOKUP(K312,'Foundation Calculation'!$K$42:$R$80,VLOOKUP(AW312,'Foundation Calculation'!$I$2:$J$8,2,FALSE),0),""))</f>
        <v>2.8</v>
      </c>
      <c r="BA312" s="671" t="s">
        <v>2809</v>
      </c>
      <c r="BB312" s="449" t="str">
        <f>Pole_Calculations!A178</f>
        <v>App.8-V08F-P10.3</v>
      </c>
      <c r="BC312" s="169"/>
      <c r="BD312" s="1329">
        <v>43848</v>
      </c>
      <c r="BE312" s="1329"/>
      <c r="BF312" s="1329"/>
      <c r="BG312" s="1329">
        <v>43893</v>
      </c>
    </row>
    <row r="313" spans="1:59" ht="15.75" customHeight="1">
      <c r="A313" s="449"/>
      <c r="B313" s="445"/>
      <c r="C313" s="446"/>
      <c r="D313" s="638"/>
      <c r="E313" s="638"/>
      <c r="F313" s="447"/>
      <c r="G313" s="484">
        <v>24</v>
      </c>
      <c r="H313" s="1239"/>
      <c r="I313" s="447"/>
      <c r="J313" s="446">
        <f>C314-7.5</f>
        <v>92220.4</v>
      </c>
      <c r="K313" s="638" t="s">
        <v>2787</v>
      </c>
      <c r="L313" s="638"/>
      <c r="M313" s="638"/>
      <c r="N313" s="1239"/>
      <c r="O313" s="1239"/>
      <c r="P313" s="1239"/>
      <c r="Q313" s="638"/>
      <c r="R313" s="638"/>
      <c r="S313" s="1343">
        <f t="shared" ref="S313" si="151">AG314-AG312</f>
        <v>24.059999999997672</v>
      </c>
      <c r="T313" s="638"/>
      <c r="U313" s="638"/>
      <c r="V313" s="638"/>
      <c r="W313" s="638"/>
      <c r="X313" s="638"/>
      <c r="Y313" s="638"/>
      <c r="Z313" s="638"/>
      <c r="AA313" s="638"/>
      <c r="AB313" s="638"/>
      <c r="AC313" s="638"/>
      <c r="AD313" s="638"/>
      <c r="AE313" s="638"/>
      <c r="AF313" s="638"/>
      <c r="AG313" s="446"/>
      <c r="AH313" s="638"/>
      <c r="AI313" s="638"/>
      <c r="AJ313" s="638"/>
      <c r="AK313" s="638"/>
      <c r="AL313" s="638"/>
      <c r="AM313" s="638"/>
      <c r="AN313" s="484"/>
      <c r="AO313" s="638"/>
      <c r="AP313" s="638"/>
      <c r="AQ313" s="484">
        <f>+FL_1($T$314,$T$312,$G$313,1200,9.28, 1*$F$314)</f>
        <v>0.35000000000001891</v>
      </c>
      <c r="AR313" s="638"/>
      <c r="AS313" s="638"/>
      <c r="AT313" s="484"/>
      <c r="AU313" s="638"/>
      <c r="AV313" s="638"/>
      <c r="AW313" s="638" t="str">
        <f>VLOOKUP(J313,'Foundation Calculation'!$A$2:$C$33,3,1)</f>
        <v>Soil B</v>
      </c>
      <c r="AX313" s="572" t="str">
        <f>VLOOKUP(J313,'Foundation Calculation'!$E$2:$G$33,3,1)</f>
        <v>PT</v>
      </c>
      <c r="AY313" s="484"/>
      <c r="AZ313" s="484">
        <f>IF(AX313="PT",VLOOKUP(K313,'Foundation Calculation'!$K$2:$R$40,VLOOKUP(AW313,'Foundation Calculation'!$I$2:$J$8,2,FALSE),0),IF(AX313="K",VLOOKUP(K313,'Foundation Calculation'!$K$42:$R$80,VLOOKUP(AW313,'Foundation Calculation'!$I$2:$J$8,2,FALSE),0),""))</f>
        <v>3.9</v>
      </c>
      <c r="BA313" s="671" t="s">
        <v>2809</v>
      </c>
      <c r="BB313" s="449"/>
      <c r="BC313" s="169"/>
      <c r="BD313" s="1329">
        <v>43764</v>
      </c>
      <c r="BE313" s="1330"/>
      <c r="BF313" s="1330"/>
      <c r="BG313" s="1330"/>
    </row>
    <row r="314" spans="1:59" ht="15.75" customHeight="1">
      <c r="A314" s="449"/>
      <c r="B314" s="485" t="s">
        <v>2326</v>
      </c>
      <c r="C314" s="446">
        <f>+$C$312+$G$313</f>
        <v>92227.9</v>
      </c>
      <c r="D314" s="638"/>
      <c r="E314" s="638"/>
      <c r="F314" s="448">
        <v>0</v>
      </c>
      <c r="G314" s="484"/>
      <c r="H314" s="638" t="s">
        <v>890</v>
      </c>
      <c r="I314" s="447" t="s">
        <v>623</v>
      </c>
      <c r="J314" s="446"/>
      <c r="K314" s="638"/>
      <c r="L314" s="638" t="s">
        <v>1451</v>
      </c>
      <c r="M314" s="1239" t="str">
        <f>IF(AX314="PT",VLOOKUP(L314,'Foundation Calculation'!$V$2:$X$40,VLOOKUP(AX314,'Foundation Calculation'!$I$10:$J$13,2,FALSE),0),IF(AX314="K",VLOOKUP(L314,'Foundation Calculation'!$V$42:$X$80,VLOOKUP(AX314,'Foundation Calculation'!$I$10:$J$13,2,FALSE),0),""))</f>
        <v>C8R</v>
      </c>
      <c r="N314" s="638" t="s">
        <v>143</v>
      </c>
      <c r="O314" s="638"/>
      <c r="P314" s="638"/>
      <c r="Q314" s="638">
        <v>0</v>
      </c>
      <c r="R314" s="638">
        <v>0</v>
      </c>
      <c r="S314" s="484"/>
      <c r="T314" s="638">
        <v>-35</v>
      </c>
      <c r="U314" s="638"/>
      <c r="V314" s="638"/>
      <c r="W314" s="638">
        <v>1.4</v>
      </c>
      <c r="X314" s="638"/>
      <c r="Y314" s="638"/>
      <c r="Z314" s="638"/>
      <c r="AA314" s="638"/>
      <c r="AB314" s="638"/>
      <c r="AC314" s="638" t="s">
        <v>3050</v>
      </c>
      <c r="AD314" s="638"/>
      <c r="AE314" s="638"/>
      <c r="AF314" s="638">
        <v>6100</v>
      </c>
      <c r="AG314" s="446">
        <v>92227.88</v>
      </c>
      <c r="AH314" s="638">
        <v>2383</v>
      </c>
      <c r="AI314" s="638">
        <v>560</v>
      </c>
      <c r="AJ314" s="638"/>
      <c r="AK314" s="638"/>
      <c r="AL314" s="1239" t="s">
        <v>2143</v>
      </c>
      <c r="AM314" s="1239" t="s">
        <v>1042</v>
      </c>
      <c r="AN314" s="455">
        <v>5.5</v>
      </c>
      <c r="AO314" s="1239"/>
      <c r="AP314" s="1239"/>
      <c r="AQ314" s="484"/>
      <c r="AR314" s="638"/>
      <c r="AS314" s="638"/>
      <c r="AT314" s="484">
        <f>+ab($T$314,$T$312,$U$316,$G$313,$G$315, 1*$F$314,1200)</f>
        <v>-3.9982163393897032</v>
      </c>
      <c r="AU314" s="638"/>
      <c r="AV314" s="638"/>
      <c r="AW314" s="638" t="str">
        <f>VLOOKUP(C314,'Foundation Calculation'!$A$2:$C$33,3,1)</f>
        <v>Soil B</v>
      </c>
      <c r="AX314" s="638" t="str">
        <f>VLOOKUP(C314,'Foundation Calculation'!$E$2:$G$33,3,1)</f>
        <v>PT</v>
      </c>
      <c r="AY314" s="484">
        <f>IF(AX314="PT",VLOOKUP(L314,'Foundation Calculation'!$K$2:$R$40,VLOOKUP(AW314,'Foundation Calculation'!$I$2:$J$8,2,FALSE),0),IF(AX314="K",VLOOKUP(L314,'Foundation Calculation'!$K$42:$R$80,VLOOKUP(AW314,'Foundation Calculation'!$I$2:$J$8,2,FALSE),0),""))</f>
        <v>4.4000000000000004</v>
      </c>
      <c r="AZ314" s="484"/>
      <c r="BA314" s="671" t="s">
        <v>2809</v>
      </c>
      <c r="BB314" s="449" t="str">
        <f>Pole_Calculations!A178</f>
        <v>App.8-V08F-P10.3</v>
      </c>
      <c r="BC314" s="169"/>
      <c r="BD314" s="1329">
        <v>43764</v>
      </c>
      <c r="BE314" s="1329"/>
      <c r="BF314" s="1329"/>
      <c r="BG314" s="1329">
        <v>43893</v>
      </c>
    </row>
    <row r="315" spans="1:59" ht="15.75" customHeight="1">
      <c r="A315" s="449"/>
      <c r="B315" s="445"/>
      <c r="C315" s="446"/>
      <c r="D315" s="638"/>
      <c r="E315" s="638"/>
      <c r="F315" s="447"/>
      <c r="G315" s="484">
        <v>32</v>
      </c>
      <c r="H315" s="1239"/>
      <c r="I315" s="448">
        <v>342</v>
      </c>
      <c r="J315" s="446"/>
      <c r="K315" s="638"/>
      <c r="L315" s="638"/>
      <c r="M315" s="638"/>
      <c r="N315" s="1239"/>
      <c r="O315" s="1239"/>
      <c r="P315" s="1239"/>
      <c r="Q315" s="638"/>
      <c r="R315" s="638"/>
      <c r="S315" s="1343">
        <f t="shared" ref="S315" si="152">AG316-AG314</f>
        <v>32.089999999996508</v>
      </c>
      <c r="T315" s="638"/>
      <c r="U315" s="638"/>
      <c r="V315" s="638"/>
      <c r="W315" s="638"/>
      <c r="X315" s="638"/>
      <c r="Y315" s="638"/>
      <c r="Z315" s="638"/>
      <c r="AA315" s="638"/>
      <c r="AB315" s="638"/>
      <c r="AC315" s="638"/>
      <c r="AD315" s="638"/>
      <c r="AE315" s="638"/>
      <c r="AF315" s="638"/>
      <c r="AG315" s="446"/>
      <c r="AH315" s="638"/>
      <c r="AI315" s="638"/>
      <c r="AJ315" s="638"/>
      <c r="AK315" s="638"/>
      <c r="AL315" s="638"/>
      <c r="AM315" s="638"/>
      <c r="AN315" s="484"/>
      <c r="AO315" s="638"/>
      <c r="AP315" s="638"/>
      <c r="AQ315" s="484">
        <f>+FL_2($U$316,$T$314,$G$315,1200,9.28, 1*$F$316)</f>
        <v>-0.35000000000001397</v>
      </c>
      <c r="AR315" s="638"/>
      <c r="AS315" s="638"/>
      <c r="AT315" s="484"/>
      <c r="AU315" s="638"/>
      <c r="AV315" s="638"/>
      <c r="AW315" s="638"/>
      <c r="AX315" s="638"/>
      <c r="AY315" s="484"/>
      <c r="AZ315" s="484"/>
      <c r="BA315" s="671"/>
      <c r="BB315" s="449"/>
      <c r="BC315" s="169"/>
      <c r="BD315" s="1330"/>
      <c r="BE315" s="1330"/>
      <c r="BF315" s="1330"/>
      <c r="BG315" s="1330"/>
    </row>
    <row r="316" spans="1:59" ht="15.75" customHeight="1">
      <c r="A316" s="424" t="s">
        <v>1663</v>
      </c>
      <c r="B316" s="713" t="s">
        <v>2327</v>
      </c>
      <c r="C316" s="426">
        <f>+$C$314+$G$315</f>
        <v>92259.9</v>
      </c>
      <c r="D316" s="487"/>
      <c r="E316" s="487"/>
      <c r="F316" s="427">
        <v>0</v>
      </c>
      <c r="G316" s="486"/>
      <c r="H316" s="428" t="s">
        <v>619</v>
      </c>
      <c r="I316" s="429"/>
      <c r="J316" s="426"/>
      <c r="K316" s="487"/>
      <c r="L316" s="487" t="s">
        <v>821</v>
      </c>
      <c r="M316" s="487" t="str">
        <f>IF(AX316="PT",VLOOKUP(L316,'Foundation Calculation'!$V$2:$X$40,VLOOKUP(AX316,'Foundation Calculation'!$I$10:$J$13,2,FALSE),0),IF(AX316="K",VLOOKUP(L316,'Foundation Calculation'!$V$42:$X$80,VLOOKUP(AX316,'Foundation Calculation'!$I$10:$J$13,2,FALSE),0),""))</f>
        <v>C7R</v>
      </c>
      <c r="N316" s="428" t="s">
        <v>140</v>
      </c>
      <c r="O316" s="428" t="s">
        <v>144</v>
      </c>
      <c r="P316" s="428"/>
      <c r="Q316" s="487">
        <v>30</v>
      </c>
      <c r="R316" s="822">
        <v>0</v>
      </c>
      <c r="S316" s="1344"/>
      <c r="T316" s="487">
        <v>10</v>
      </c>
      <c r="U316" s="487">
        <v>25</v>
      </c>
      <c r="V316" s="487"/>
      <c r="W316" s="487">
        <v>1.8</v>
      </c>
      <c r="X316" s="487">
        <v>1.4</v>
      </c>
      <c r="Y316" s="487"/>
      <c r="Z316" s="487">
        <v>0.27</v>
      </c>
      <c r="AA316" s="487"/>
      <c r="AB316" s="487"/>
      <c r="AC316" s="487" t="s">
        <v>1421</v>
      </c>
      <c r="AD316" s="487"/>
      <c r="AE316" s="487"/>
      <c r="AF316" s="487">
        <v>5900</v>
      </c>
      <c r="AG316" s="426">
        <v>92259.97</v>
      </c>
      <c r="AH316" s="487">
        <v>2543</v>
      </c>
      <c r="AI316" s="487">
        <v>520</v>
      </c>
      <c r="AJ316" s="487"/>
      <c r="AK316" s="487"/>
      <c r="AL316" s="487" t="s">
        <v>2135</v>
      </c>
      <c r="AM316" s="487" t="s">
        <v>1042</v>
      </c>
      <c r="AN316" s="486">
        <v>5.5</v>
      </c>
      <c r="AO316" s="487"/>
      <c r="AP316" s="487"/>
      <c r="AQ316" s="486"/>
      <c r="AR316" s="487"/>
      <c r="AS316" s="487"/>
      <c r="AT316" s="486">
        <f>+ab($U$316,$T$314,$U$318,$G$315,$G$317, 1*$F$316,1200)</f>
        <v>10.127451428997173</v>
      </c>
      <c r="AU316" s="487"/>
      <c r="AV316" s="487"/>
      <c r="AW316" s="487" t="str">
        <f>VLOOKUP(C316,'Foundation Calculation'!$A$2:$C$33,3,1)</f>
        <v>Soil B</v>
      </c>
      <c r="AX316" s="688" t="str">
        <f>VLOOKUP(C316,'Foundation Calculation'!$E$2:$G$33,3,1)</f>
        <v>PT</v>
      </c>
      <c r="AY316" s="486">
        <f>IF(AX316="PT",VLOOKUP(L316,'Foundation Calculation'!$K$2:$R$40,VLOOKUP(AW316,'Foundation Calculation'!$I$2:$J$8,2,FALSE),0),IF(AX316="K",VLOOKUP(L316,'Foundation Calculation'!$K$42:$R$80,VLOOKUP(AW316,'Foundation Calculation'!$I$2:$J$8,2,FALSE),0),""))</f>
        <v>3.5</v>
      </c>
      <c r="AZ316" s="486"/>
      <c r="BA316" s="672" t="s">
        <v>2809</v>
      </c>
      <c r="BB316" s="424" t="str">
        <f>Pole_Calculations!A178</f>
        <v>App.8-V08F-P10.3</v>
      </c>
      <c r="BC316" s="169"/>
      <c r="BD316" s="1329">
        <v>43771</v>
      </c>
      <c r="BE316" s="1329" t="s">
        <v>4946</v>
      </c>
      <c r="BF316" s="1329"/>
      <c r="BG316" s="1329">
        <v>43814</v>
      </c>
    </row>
    <row r="317" spans="1:59" ht="15.75" customHeight="1">
      <c r="A317" s="449"/>
      <c r="B317" s="445"/>
      <c r="C317" s="446"/>
      <c r="D317" s="638"/>
      <c r="E317" s="638"/>
      <c r="F317" s="447"/>
      <c r="G317" s="484">
        <v>31.7</v>
      </c>
      <c r="H317" s="1239"/>
      <c r="I317" s="448"/>
      <c r="J317" s="446"/>
      <c r="K317" s="638"/>
      <c r="L317" s="638"/>
      <c r="M317" s="638"/>
      <c r="N317" s="1239"/>
      <c r="O317" s="1239"/>
      <c r="P317" s="1239"/>
      <c r="Q317" s="638"/>
      <c r="R317" s="638"/>
      <c r="S317" s="1343">
        <f t="shared" ref="S317" si="153">AG318-AG316</f>
        <v>31.55000000000291</v>
      </c>
      <c r="T317" s="638"/>
      <c r="U317" s="638"/>
      <c r="V317" s="638"/>
      <c r="W317" s="638"/>
      <c r="X317" s="638"/>
      <c r="Y317" s="638"/>
      <c r="Z317" s="638"/>
      <c r="AA317" s="638"/>
      <c r="AB317" s="638"/>
      <c r="AC317" s="638"/>
      <c r="AD317" s="638"/>
      <c r="AE317" s="638"/>
      <c r="AF317" s="638"/>
      <c r="AG317" s="446"/>
      <c r="AH317" s="638"/>
      <c r="AI317" s="638"/>
      <c r="AJ317" s="638"/>
      <c r="AK317" s="638"/>
      <c r="AL317" s="638"/>
      <c r="AM317" s="638"/>
      <c r="AN317" s="484"/>
      <c r="AO317" s="638"/>
      <c r="AP317" s="638"/>
      <c r="AQ317" s="484">
        <f>+FL_1($U$318,$U$316,$G$317,1200,9.28, 1*$F$318)</f>
        <v>0.34713936666666667</v>
      </c>
      <c r="AR317" s="638"/>
      <c r="AS317" s="638"/>
      <c r="AT317" s="484"/>
      <c r="AU317" s="638"/>
      <c r="AV317" s="638"/>
      <c r="AW317" s="638"/>
      <c r="AX317" s="638"/>
      <c r="AY317" s="484"/>
      <c r="AZ317" s="484"/>
      <c r="BA317" s="671"/>
      <c r="BB317" s="449"/>
      <c r="BC317" s="169"/>
      <c r="BD317" s="1330"/>
      <c r="BE317" s="1330"/>
      <c r="BF317" s="1330"/>
      <c r="BG317" s="1330"/>
    </row>
    <row r="318" spans="1:59" ht="15.75" customHeight="1">
      <c r="A318" s="449"/>
      <c r="B318" s="485" t="s">
        <v>2328</v>
      </c>
      <c r="C318" s="446">
        <f>+$C$316+$G$317</f>
        <v>92291.599999999991</v>
      </c>
      <c r="D318" s="638"/>
      <c r="E318" s="638"/>
      <c r="F318" s="447">
        <v>0</v>
      </c>
      <c r="G318" s="484"/>
      <c r="H318" s="1239" t="s">
        <v>4957</v>
      </c>
      <c r="I318" s="448"/>
      <c r="J318" s="446"/>
      <c r="K318" s="638"/>
      <c r="L318" s="1239" t="s">
        <v>821</v>
      </c>
      <c r="M318" s="1239" t="str">
        <f>IF(AX318="PT",VLOOKUP(L318,'Foundation Calculation'!$V$2:$X$40,VLOOKUP(AX318,'Foundation Calculation'!$I$10:$J$13,2,FALSE),0),IF(AX318="K",VLOOKUP(L318,'Foundation Calculation'!$V$42:$X$80,VLOOKUP(AX318,'Foundation Calculation'!$I$10:$J$13,2,FALSE),0),""))</f>
        <v>C7R</v>
      </c>
      <c r="N318" s="1239" t="s">
        <v>2789</v>
      </c>
      <c r="O318" s="1239" t="s">
        <v>144</v>
      </c>
      <c r="P318" s="1239"/>
      <c r="Q318" s="638">
        <v>0</v>
      </c>
      <c r="R318" s="168">
        <v>0</v>
      </c>
      <c r="S318" s="1343"/>
      <c r="T318" s="638">
        <v>10</v>
      </c>
      <c r="U318" s="638">
        <v>25</v>
      </c>
      <c r="V318" s="638"/>
      <c r="W318" s="638">
        <v>1.8</v>
      </c>
      <c r="X318" s="638">
        <v>1.4</v>
      </c>
      <c r="Y318" s="638"/>
      <c r="Z318" s="638"/>
      <c r="AA318" s="638"/>
      <c r="AB318" s="638"/>
      <c r="AC318" s="1239" t="s">
        <v>4207</v>
      </c>
      <c r="AD318" s="638" t="s">
        <v>1427</v>
      </c>
      <c r="AE318" s="638"/>
      <c r="AF318" s="638">
        <v>5900</v>
      </c>
      <c r="AG318" s="446">
        <v>92291.520000000004</v>
      </c>
      <c r="AH318" s="638">
        <v>2463</v>
      </c>
      <c r="AI318" s="638">
        <v>390</v>
      </c>
      <c r="AJ318" s="638"/>
      <c r="AK318" s="638"/>
      <c r="AL318" s="638" t="s">
        <v>2135</v>
      </c>
      <c r="AM318" s="638" t="s">
        <v>1042</v>
      </c>
      <c r="AN318" s="484">
        <v>5.5</v>
      </c>
      <c r="AO318" s="638"/>
      <c r="AP318" s="638"/>
      <c r="AQ318" s="484"/>
      <c r="AR318" s="638"/>
      <c r="AS318" s="638"/>
      <c r="AT318" s="484">
        <f>+ab($U$318,$U$316,$T$320,$G$317,$G$319, 1*$F$318,1200)</f>
        <v>8.6019242893486716</v>
      </c>
      <c r="AU318" s="638"/>
      <c r="AV318" s="638"/>
      <c r="AW318" s="638" t="str">
        <f>VLOOKUP(C318,'Foundation Calculation'!$A$2:$C$33,3,1)</f>
        <v>Soil B</v>
      </c>
      <c r="AX318" s="572" t="str">
        <f>VLOOKUP(C318,'Foundation Calculation'!$E$2:$G$33,3,1)</f>
        <v>PT</v>
      </c>
      <c r="AY318" s="484">
        <f>IF(AX318="PT",VLOOKUP(L318,'Foundation Calculation'!$K$2:$R$40,VLOOKUP(AW318,'Foundation Calculation'!$I$2:$J$8,2,FALSE),0),IF(AX318="K",VLOOKUP(L318,'Foundation Calculation'!$K$42:$R$80,VLOOKUP(AW318,'Foundation Calculation'!$I$2:$J$8,2,FALSE),0),""))</f>
        <v>3.5</v>
      </c>
      <c r="AZ318" s="484"/>
      <c r="BA318" s="671" t="s">
        <v>2809</v>
      </c>
      <c r="BB318" s="449" t="str">
        <f>Pole_Calculations!A178</f>
        <v>App.8-V08F-P10.3</v>
      </c>
      <c r="BC318" s="169"/>
      <c r="BD318" s="1329">
        <v>43764</v>
      </c>
      <c r="BE318" s="1329" t="s">
        <v>4946</v>
      </c>
      <c r="BF318" s="1329"/>
      <c r="BG318" s="1329">
        <v>43814</v>
      </c>
    </row>
    <row r="319" spans="1:59" ht="15.75" customHeight="1">
      <c r="A319" s="449"/>
      <c r="B319" s="445"/>
      <c r="C319" s="446"/>
      <c r="D319" s="638"/>
      <c r="E319" s="638"/>
      <c r="F319" s="447"/>
      <c r="G319" s="484">
        <v>27.1</v>
      </c>
      <c r="H319" s="1239"/>
      <c r="I319" s="448"/>
      <c r="J319" s="446">
        <f>C320-7.5</f>
        <v>92311.2</v>
      </c>
      <c r="K319" s="638" t="s">
        <v>2788</v>
      </c>
      <c r="L319" s="638"/>
      <c r="M319" s="638"/>
      <c r="N319" s="1239"/>
      <c r="O319" s="1239"/>
      <c r="P319" s="1239"/>
      <c r="Q319" s="638"/>
      <c r="R319" s="638"/>
      <c r="S319" s="1343">
        <f t="shared" ref="S319" si="154">AG320-AG318</f>
        <v>26.479999999995925</v>
      </c>
      <c r="T319" s="638"/>
      <c r="U319" s="638"/>
      <c r="V319" s="638"/>
      <c r="W319" s="638"/>
      <c r="X319" s="638"/>
      <c r="Y319" s="638"/>
      <c r="Z319" s="638"/>
      <c r="AA319" s="638"/>
      <c r="AB319" s="638"/>
      <c r="AC319" s="638"/>
      <c r="AD319" s="638"/>
      <c r="AE319" s="638"/>
      <c r="AF319" s="638"/>
      <c r="AG319" s="446"/>
      <c r="AH319" s="638"/>
      <c r="AI319" s="638"/>
      <c r="AJ319" s="638"/>
      <c r="AK319" s="638"/>
      <c r="AL319" s="638"/>
      <c r="AM319" s="638"/>
      <c r="AN319" s="484"/>
      <c r="AO319" s="638"/>
      <c r="AP319" s="638"/>
      <c r="AQ319" s="484">
        <f>+FL_2($T$320,$U$318,$G$319,1200,9.28, 1*$F$320)</f>
        <v>-0.35</v>
      </c>
      <c r="AR319" s="638"/>
      <c r="AS319" s="638"/>
      <c r="AT319" s="484"/>
      <c r="AU319" s="638"/>
      <c r="AV319" s="638"/>
      <c r="AW319" s="638" t="str">
        <f>VLOOKUP(J319,'Foundation Calculation'!$A$2:$C$33,3,1)</f>
        <v>Soil B</v>
      </c>
      <c r="AX319" s="572" t="str">
        <f>VLOOKUP(J319,'Foundation Calculation'!$E$2:$G$33,3,1)</f>
        <v>PT</v>
      </c>
      <c r="AY319" s="484"/>
      <c r="AZ319" s="484">
        <f>IF(AX319="PT",VLOOKUP(K319,'Foundation Calculation'!$K$2:$R$40,VLOOKUP(AW319,'Foundation Calculation'!$I$2:$J$8,2,FALSE),0),IF(AX319="K",VLOOKUP(K319,'Foundation Calculation'!$K$42:$R$80,VLOOKUP(AW319,'Foundation Calculation'!$I$2:$J$8,2,FALSE),0),""))</f>
        <v>2.8</v>
      </c>
      <c r="BA319" s="671" t="s">
        <v>2809</v>
      </c>
      <c r="BB319" s="449"/>
      <c r="BC319" s="169"/>
      <c r="BD319" s="1329">
        <v>43855</v>
      </c>
      <c r="BE319" s="1330"/>
      <c r="BF319" s="1330"/>
      <c r="BG319" s="1330"/>
    </row>
    <row r="320" spans="1:59" ht="15.75" customHeight="1">
      <c r="A320" s="449"/>
      <c r="B320" s="485" t="s">
        <v>2329</v>
      </c>
      <c r="C320" s="446">
        <f>+$C$318+$G$319</f>
        <v>92318.7</v>
      </c>
      <c r="D320" s="638"/>
      <c r="E320" s="638"/>
      <c r="F320" s="447">
        <v>0</v>
      </c>
      <c r="G320" s="484"/>
      <c r="H320" s="1239" t="s">
        <v>873</v>
      </c>
      <c r="I320" s="448"/>
      <c r="J320" s="446"/>
      <c r="K320" s="638"/>
      <c r="L320" s="1239" t="s">
        <v>821</v>
      </c>
      <c r="M320" s="1239" t="str">
        <f>IF(AX320="PT",VLOOKUP(L320,'Foundation Calculation'!$V$2:$X$40,VLOOKUP(AX320,'Foundation Calculation'!$I$10:$J$13,2,FALSE),0),IF(AX320="K",VLOOKUP(L320,'Foundation Calculation'!$V$42:$X$80,VLOOKUP(AX320,'Foundation Calculation'!$I$10:$J$13,2,FALSE),0),""))</f>
        <v>C7R</v>
      </c>
      <c r="N320" s="1239" t="s">
        <v>143</v>
      </c>
      <c r="O320" s="1239"/>
      <c r="P320" s="1239"/>
      <c r="Q320" s="638">
        <v>20</v>
      </c>
      <c r="R320" s="168">
        <v>0</v>
      </c>
      <c r="S320" s="1343"/>
      <c r="T320" s="638">
        <v>-35</v>
      </c>
      <c r="U320" s="638"/>
      <c r="V320" s="638"/>
      <c r="W320" s="638">
        <v>1.4</v>
      </c>
      <c r="X320" s="638"/>
      <c r="Y320" s="638"/>
      <c r="Z320" s="638"/>
      <c r="AA320" s="638"/>
      <c r="AB320" s="638"/>
      <c r="AC320" s="1239" t="s">
        <v>3050</v>
      </c>
      <c r="AD320" s="638"/>
      <c r="AE320" s="638"/>
      <c r="AF320" s="638">
        <v>5800</v>
      </c>
      <c r="AG320" s="446">
        <v>92318</v>
      </c>
      <c r="AH320" s="638">
        <v>2473</v>
      </c>
      <c r="AI320" s="638">
        <v>340</v>
      </c>
      <c r="AJ320" s="638"/>
      <c r="AK320" s="638"/>
      <c r="AL320" s="638" t="s">
        <v>2135</v>
      </c>
      <c r="AM320" s="638" t="s">
        <v>1042</v>
      </c>
      <c r="AN320" s="484">
        <v>5.5</v>
      </c>
      <c r="AO320" s="638"/>
      <c r="AP320" s="638"/>
      <c r="AQ320" s="484"/>
      <c r="AR320" s="638"/>
      <c r="AS320" s="638"/>
      <c r="AT320" s="484">
        <f>+ab($T$320,$U$318,$T$322,$G$319,$G$321, 1*$F$320,1200)</f>
        <v>-3.9937456055124971</v>
      </c>
      <c r="AU320" s="638"/>
      <c r="AV320" s="638"/>
      <c r="AW320" s="638" t="str">
        <f>VLOOKUP(C320,'Foundation Calculation'!$A$2:$C$33,3,1)</f>
        <v>Soil B</v>
      </c>
      <c r="AX320" s="572" t="str">
        <f>VLOOKUP(C320,'Foundation Calculation'!$E$2:$G$33,3,1)</f>
        <v>PT</v>
      </c>
      <c r="AY320" s="484">
        <f>IF(AX320="PT",VLOOKUP(L320,'Foundation Calculation'!$K$2:$R$40,VLOOKUP(AW320,'Foundation Calculation'!$I$2:$J$8,2,FALSE),0),IF(AX320="K",VLOOKUP(L320,'Foundation Calculation'!$K$42:$R$80,VLOOKUP(AW320,'Foundation Calculation'!$I$2:$J$8,2,FALSE),0),""))</f>
        <v>3.5</v>
      </c>
      <c r="AZ320" s="484"/>
      <c r="BA320" s="671" t="s">
        <v>2809</v>
      </c>
      <c r="BB320" s="449" t="str">
        <f>Pole_Calculations!A178</f>
        <v>App.8-V08F-P10.3</v>
      </c>
      <c r="BC320" s="169"/>
      <c r="BD320" s="1329">
        <v>43855</v>
      </c>
      <c r="BE320" s="1329" t="s">
        <v>4946</v>
      </c>
      <c r="BF320" s="1329"/>
      <c r="BG320" s="1329">
        <v>43870</v>
      </c>
    </row>
    <row r="321" spans="1:59" ht="15.75" customHeight="1">
      <c r="A321" s="449"/>
      <c r="B321" s="445"/>
      <c r="C321" s="446"/>
      <c r="D321" s="638"/>
      <c r="E321" s="638"/>
      <c r="F321" s="447"/>
      <c r="G321" s="484">
        <v>27.1</v>
      </c>
      <c r="H321" s="1239"/>
      <c r="I321" s="448"/>
      <c r="J321" s="446">
        <f>C322-7.5</f>
        <v>92338.3</v>
      </c>
      <c r="K321" s="638" t="s">
        <v>2788</v>
      </c>
      <c r="L321" s="638"/>
      <c r="M321" s="638"/>
      <c r="N321" s="1239"/>
      <c r="O321" s="1239"/>
      <c r="P321" s="1239"/>
      <c r="Q321" s="638"/>
      <c r="R321" s="638"/>
      <c r="S321" s="1343">
        <f t="shared" ref="S321" si="155">AG322-AG320</f>
        <v>27</v>
      </c>
      <c r="T321" s="638"/>
      <c r="U321" s="638"/>
      <c r="V321" s="638"/>
      <c r="W321" s="638"/>
      <c r="X321" s="638"/>
      <c r="Y321" s="638"/>
      <c r="Z321" s="638"/>
      <c r="AA321" s="638"/>
      <c r="AB321" s="638"/>
      <c r="AC321" s="638"/>
      <c r="AD321" s="638"/>
      <c r="AE321" s="638"/>
      <c r="AF321" s="638"/>
      <c r="AG321" s="446"/>
      <c r="AH321" s="638"/>
      <c r="AI321" s="638"/>
      <c r="AJ321" s="638"/>
      <c r="AK321" s="638"/>
      <c r="AL321" s="638"/>
      <c r="AM321" s="638"/>
      <c r="AN321" s="484"/>
      <c r="AO321" s="638"/>
      <c r="AP321" s="638"/>
      <c r="AQ321" s="484">
        <f>+FL_2($T$322,$T$320,$G$321,1200,9.28, 1*$F$322)</f>
        <v>-0.3500000000000219</v>
      </c>
      <c r="AR321" s="638"/>
      <c r="AS321" s="638"/>
      <c r="AT321" s="484"/>
      <c r="AU321" s="638"/>
      <c r="AV321" s="638"/>
      <c r="AW321" s="638" t="str">
        <f>VLOOKUP(J321,'Foundation Calculation'!$A$2:$C$33,3,1)</f>
        <v>Soil B</v>
      </c>
      <c r="AX321" s="572" t="str">
        <f>VLOOKUP(J321,'Foundation Calculation'!$E$2:$G$33,3,1)</f>
        <v>PT</v>
      </c>
      <c r="AY321" s="484"/>
      <c r="AZ321" s="484">
        <f>IF(AX321="PT",VLOOKUP(K321,'Foundation Calculation'!$K$2:$R$40,VLOOKUP(AW321,'Foundation Calculation'!$I$2:$J$8,2,FALSE),0),IF(AX321="K",VLOOKUP(K321,'Foundation Calculation'!$K$42:$R$80,VLOOKUP(AW321,'Foundation Calculation'!$I$2:$J$8,2,FALSE),0),""))</f>
        <v>2.8</v>
      </c>
      <c r="BA321" s="671" t="s">
        <v>2809</v>
      </c>
      <c r="BB321" s="449"/>
      <c r="BC321" s="169"/>
      <c r="BD321" s="1329"/>
      <c r="BE321" s="1330"/>
      <c r="BF321" s="1330"/>
      <c r="BG321" s="1330"/>
    </row>
    <row r="322" spans="1:59" ht="15.75" customHeight="1">
      <c r="A322" s="449"/>
      <c r="B322" s="450" t="s">
        <v>2330</v>
      </c>
      <c r="C322" s="446">
        <f>+$C$320+$G$321</f>
        <v>92345.8</v>
      </c>
      <c r="D322" s="638"/>
      <c r="E322" s="638"/>
      <c r="F322" s="447">
        <v>0</v>
      </c>
      <c r="G322" s="484"/>
      <c r="H322" s="1239" t="s">
        <v>873</v>
      </c>
      <c r="I322" s="448"/>
      <c r="J322" s="446"/>
      <c r="K322" s="638"/>
      <c r="L322" s="638" t="s">
        <v>821</v>
      </c>
      <c r="M322" s="638" t="str">
        <f>IF(AX322="PT",VLOOKUP(L322,'Foundation Calculation'!$V$2:$X$40,VLOOKUP(AX322,'Foundation Calculation'!$I$10:$J$13,2,FALSE),0),IF(AX322="K",VLOOKUP(L322,'Foundation Calculation'!$V$42:$X$80,VLOOKUP(AX322,'Foundation Calculation'!$I$10:$J$13,2,FALSE),0),""))</f>
        <v>C7R</v>
      </c>
      <c r="N322" s="1239" t="s">
        <v>144</v>
      </c>
      <c r="O322" s="1239"/>
      <c r="P322" s="1239"/>
      <c r="Q322" s="638">
        <v>0</v>
      </c>
      <c r="R322" s="168">
        <v>0</v>
      </c>
      <c r="S322" s="1343"/>
      <c r="T322" s="638">
        <v>35</v>
      </c>
      <c r="U322" s="638"/>
      <c r="V322" s="638"/>
      <c r="W322" s="638">
        <v>1.4</v>
      </c>
      <c r="X322" s="638"/>
      <c r="Y322" s="638"/>
      <c r="Z322" s="638"/>
      <c r="AA322" s="638"/>
      <c r="AB322" s="638"/>
      <c r="AC322" s="1239" t="s">
        <v>3050</v>
      </c>
      <c r="AD322" s="638"/>
      <c r="AE322" s="638"/>
      <c r="AF322" s="638">
        <v>5500</v>
      </c>
      <c r="AG322" s="446">
        <v>92345</v>
      </c>
      <c r="AH322" s="638">
        <v>2223</v>
      </c>
      <c r="AI322" s="638">
        <v>-40</v>
      </c>
      <c r="AJ322" s="638"/>
      <c r="AK322" s="638"/>
      <c r="AL322" s="638" t="s">
        <v>2135</v>
      </c>
      <c r="AM322" s="638" t="s">
        <v>1042</v>
      </c>
      <c r="AN322" s="484">
        <v>5.46</v>
      </c>
      <c r="AO322" s="638"/>
      <c r="AP322" s="638"/>
      <c r="AQ322" s="484"/>
      <c r="AR322" s="638"/>
      <c r="AS322" s="638"/>
      <c r="AT322" s="484">
        <f>+ab($T$322,$T$320,$T$324,$G$321,$G$323, 1*$F$322,1200)</f>
        <v>3.7024636473351671</v>
      </c>
      <c r="AU322" s="638"/>
      <c r="AV322" s="638"/>
      <c r="AW322" s="638" t="str">
        <f>VLOOKUP(C322,'Foundation Calculation'!$A$2:$C$33,3,1)</f>
        <v>Soil B</v>
      </c>
      <c r="AX322" s="572" t="str">
        <f>VLOOKUP(C322,'Foundation Calculation'!$E$2:$G$33,3,1)</f>
        <v>PT</v>
      </c>
      <c r="AY322" s="484">
        <f>IF(AX322="PT",VLOOKUP(L322,'Foundation Calculation'!$K$2:$R$40,VLOOKUP(AW322,'Foundation Calculation'!$I$2:$J$8,2,FALSE),0),IF(AX322="K",VLOOKUP(L322,'Foundation Calculation'!$K$42:$R$80,VLOOKUP(AW322,'Foundation Calculation'!$I$2:$J$8,2,FALSE),0),""))</f>
        <v>3.5</v>
      </c>
      <c r="AZ322" s="484"/>
      <c r="BA322" s="671" t="s">
        <v>2809</v>
      </c>
      <c r="BB322" s="449" t="str">
        <f>Pole_Calculations!A178</f>
        <v>App.8-V08F-P10.3</v>
      </c>
      <c r="BC322" s="169"/>
      <c r="BD322" s="1371"/>
      <c r="BE322" s="1371"/>
      <c r="BF322" s="1371"/>
      <c r="BG322" s="1371"/>
    </row>
    <row r="323" spans="1:59" ht="15.75" customHeight="1">
      <c r="A323" s="449"/>
      <c r="B323" s="638"/>
      <c r="C323" s="446"/>
      <c r="D323" s="638"/>
      <c r="E323" s="638"/>
      <c r="F323" s="447"/>
      <c r="G323" s="484">
        <v>27</v>
      </c>
      <c r="H323" s="1239"/>
      <c r="I323" s="448">
        <f>SUM(G301:G323)</f>
        <v>404.80000000000007</v>
      </c>
      <c r="J323" s="446"/>
      <c r="K323" s="638"/>
      <c r="L323" s="638"/>
      <c r="M323" s="638"/>
      <c r="N323" s="1239"/>
      <c r="O323" s="1239"/>
      <c r="P323" s="1239"/>
      <c r="Q323" s="638"/>
      <c r="R323" s="638"/>
      <c r="S323" s="1343">
        <f t="shared" ref="S323" si="156">AG324-AG322</f>
        <v>27.899999999994179</v>
      </c>
      <c r="T323" s="638"/>
      <c r="U323" s="638"/>
      <c r="V323" s="638"/>
      <c r="W323" s="638"/>
      <c r="X323" s="638"/>
      <c r="Y323" s="638"/>
      <c r="Z323" s="638"/>
      <c r="AA323" s="638"/>
      <c r="AB323" s="638"/>
      <c r="AC323" s="638"/>
      <c r="AD323" s="638"/>
      <c r="AE323" s="638"/>
      <c r="AF323" s="638"/>
      <c r="AG323" s="446"/>
      <c r="AH323" s="638"/>
      <c r="AI323" s="638"/>
      <c r="AJ323" s="638"/>
      <c r="AK323" s="638"/>
      <c r="AL323" s="638"/>
      <c r="AM323" s="638"/>
      <c r="AN323" s="484"/>
      <c r="AO323" s="638"/>
      <c r="AP323" s="638"/>
      <c r="AQ323" s="484">
        <f>+FL_1($T$324,$T$322,$G$323,1200,9.28, 1*$F$324)</f>
        <v>0.3500000000000219</v>
      </c>
      <c r="AR323" s="638"/>
      <c r="AS323" s="638"/>
      <c r="AT323" s="484"/>
      <c r="AU323" s="638"/>
      <c r="AV323" s="638"/>
      <c r="AW323" s="638"/>
      <c r="AX323" s="638"/>
      <c r="AY323" s="484"/>
      <c r="AZ323" s="484"/>
      <c r="BA323" s="671"/>
      <c r="BB323" s="449"/>
      <c r="BC323" s="169"/>
      <c r="BD323" s="1330"/>
      <c r="BE323" s="1330"/>
      <c r="BF323" s="1330"/>
      <c r="BG323" s="1330"/>
    </row>
    <row r="324" spans="1:59" ht="15.75" customHeight="1">
      <c r="A324" s="449"/>
      <c r="B324" s="450" t="s">
        <v>2331</v>
      </c>
      <c r="C324" s="446">
        <f>+$C$322+$G$323</f>
        <v>92372.800000000003</v>
      </c>
      <c r="D324" s="638"/>
      <c r="E324" s="638"/>
      <c r="F324" s="447">
        <v>0</v>
      </c>
      <c r="G324" s="484"/>
      <c r="H324" s="1239" t="s">
        <v>874</v>
      </c>
      <c r="I324" s="448"/>
      <c r="J324" s="446"/>
      <c r="K324" s="638"/>
      <c r="L324" s="638" t="s">
        <v>821</v>
      </c>
      <c r="M324" s="638" t="str">
        <f>IF(AX324="PT",VLOOKUP(L324,'Foundation Calculation'!$V$2:$X$40,VLOOKUP(AX324,'Foundation Calculation'!$I$10:$J$13,2,FALSE),0),IF(AX324="K",VLOOKUP(L324,'Foundation Calculation'!$V$42:$X$80,VLOOKUP(AX324,'Foundation Calculation'!$I$10:$J$13,2,FALSE),0),""))</f>
        <v>C7R</v>
      </c>
      <c r="N324" s="1239" t="s">
        <v>143</v>
      </c>
      <c r="O324" s="1239"/>
      <c r="P324" s="1239"/>
      <c r="Q324" s="638">
        <v>10</v>
      </c>
      <c r="R324" s="168">
        <v>0</v>
      </c>
      <c r="S324" s="1343"/>
      <c r="T324" s="638">
        <v>-35</v>
      </c>
      <c r="U324" s="638"/>
      <c r="V324" s="638"/>
      <c r="W324" s="638">
        <v>1.4</v>
      </c>
      <c r="X324" s="638"/>
      <c r="Y324" s="638"/>
      <c r="Z324" s="638"/>
      <c r="AA324" s="638"/>
      <c r="AB324" s="638"/>
      <c r="AC324" s="1239" t="s">
        <v>3050</v>
      </c>
      <c r="AD324" s="638"/>
      <c r="AE324" s="638"/>
      <c r="AF324" s="638">
        <v>5500</v>
      </c>
      <c r="AG324" s="446">
        <v>92372.9</v>
      </c>
      <c r="AH324" s="638">
        <v>2213</v>
      </c>
      <c r="AI324" s="638">
        <v>50</v>
      </c>
      <c r="AJ324" s="638"/>
      <c r="AK324" s="638"/>
      <c r="AL324" s="638" t="s">
        <v>2135</v>
      </c>
      <c r="AM324" s="638" t="s">
        <v>1042</v>
      </c>
      <c r="AN324" s="484">
        <v>5.39</v>
      </c>
      <c r="AO324" s="638"/>
      <c r="AP324" s="638"/>
      <c r="AQ324" s="484"/>
      <c r="AR324" s="638"/>
      <c r="AS324" s="638"/>
      <c r="AT324" s="484">
        <f>+ab($T$324,$T$322,$T$326,$G$323,$G$325, 1*$F$324,1200)</f>
        <v>-3.6956553273930099</v>
      </c>
      <c r="AU324" s="638"/>
      <c r="AV324" s="638"/>
      <c r="AW324" s="638" t="str">
        <f>VLOOKUP(C324,'Foundation Calculation'!$A$2:$C$33,3,1)</f>
        <v>Soil B</v>
      </c>
      <c r="AX324" s="572" t="str">
        <f>VLOOKUP(C324,'Foundation Calculation'!$E$2:$G$33,3,1)</f>
        <v>PT</v>
      </c>
      <c r="AY324" s="484">
        <f>IF(AX324="PT",VLOOKUP(L324,'Foundation Calculation'!$K$2:$R$40,VLOOKUP(AW324,'Foundation Calculation'!$I$2:$J$8,2,FALSE),0),IF(AX324="K",VLOOKUP(L324,'Foundation Calculation'!$K$42:$R$80,VLOOKUP(AW324,'Foundation Calculation'!$I$2:$J$8,2,FALSE),0),""))</f>
        <v>3.5</v>
      </c>
      <c r="AZ324" s="484"/>
      <c r="BA324" s="671" t="s">
        <v>2809</v>
      </c>
      <c r="BB324" s="449" t="str">
        <f>Pole_Calculations!A178</f>
        <v>App.8-V08F-P10.3</v>
      </c>
      <c r="BC324" s="169"/>
      <c r="BD324" s="1329"/>
      <c r="BE324" s="1329"/>
      <c r="BF324" s="1329"/>
      <c r="BG324" s="1329">
        <v>43893</v>
      </c>
    </row>
    <row r="325" spans="1:59" ht="15.75" customHeight="1">
      <c r="A325" s="449"/>
      <c r="B325" s="445"/>
      <c r="C325" s="446"/>
      <c r="D325" s="638"/>
      <c r="E325" s="638"/>
      <c r="F325" s="447"/>
      <c r="G325" s="484">
        <v>27</v>
      </c>
      <c r="H325" s="1239"/>
      <c r="I325" s="448">
        <f>SUM(G325:G343)</f>
        <v>402.1</v>
      </c>
      <c r="J325" s="446"/>
      <c r="K325" s="638"/>
      <c r="L325" s="638"/>
      <c r="M325" s="638"/>
      <c r="N325" s="1239"/>
      <c r="O325" s="1239"/>
      <c r="P325" s="1239"/>
      <c r="Q325" s="638"/>
      <c r="R325" s="638"/>
      <c r="S325" s="1343">
        <f t="shared" ref="S325" si="157">AG326-AG324</f>
        <v>26.870000000009895</v>
      </c>
      <c r="T325" s="638"/>
      <c r="U325" s="638"/>
      <c r="V325" s="638"/>
      <c r="W325" s="638"/>
      <c r="X325" s="638"/>
      <c r="Y325" s="638"/>
      <c r="Z325" s="638"/>
      <c r="AA325" s="638"/>
      <c r="AB325" s="638"/>
      <c r="AC325" s="638"/>
      <c r="AD325" s="638"/>
      <c r="AE325" s="638"/>
      <c r="AF325" s="638"/>
      <c r="AG325" s="446"/>
      <c r="AH325" s="638"/>
      <c r="AI325" s="638"/>
      <c r="AJ325" s="638"/>
      <c r="AK325" s="638"/>
      <c r="AL325" s="638"/>
      <c r="AM325" s="638"/>
      <c r="AN325" s="484"/>
      <c r="AO325" s="638"/>
      <c r="AP325" s="638"/>
      <c r="AQ325" s="484">
        <f>+FL_2($T$326,$T$324,$G$325,1200,9.28, 1*$F$326)</f>
        <v>-0.3500000000000219</v>
      </c>
      <c r="AR325" s="638"/>
      <c r="AS325" s="638"/>
      <c r="AT325" s="484"/>
      <c r="AU325" s="638"/>
      <c r="AV325" s="638"/>
      <c r="AW325" s="638"/>
      <c r="AX325" s="638"/>
      <c r="AY325" s="484"/>
      <c r="AZ325" s="484"/>
      <c r="BA325" s="671"/>
      <c r="BB325" s="449"/>
      <c r="BC325" s="169"/>
      <c r="BD325" s="1330"/>
      <c r="BE325" s="1330"/>
      <c r="BF325" s="1330"/>
      <c r="BG325" s="1330"/>
    </row>
    <row r="326" spans="1:59" ht="15.75" customHeight="1">
      <c r="A326" s="449"/>
      <c r="B326" s="485" t="s">
        <v>2332</v>
      </c>
      <c r="C326" s="446">
        <f>+$C$324+$G$325-0.25</f>
        <v>92399.55</v>
      </c>
      <c r="D326" s="638"/>
      <c r="E326" s="638"/>
      <c r="F326" s="447">
        <v>0</v>
      </c>
      <c r="G326" s="484"/>
      <c r="H326" s="1239" t="s">
        <v>873</v>
      </c>
      <c r="I326" s="448"/>
      <c r="J326" s="446"/>
      <c r="K326" s="638"/>
      <c r="L326" s="638" t="s">
        <v>821</v>
      </c>
      <c r="M326" s="638" t="s">
        <v>3331</v>
      </c>
      <c r="N326" s="1239" t="s">
        <v>144</v>
      </c>
      <c r="O326" s="1239"/>
      <c r="P326" s="1239"/>
      <c r="Q326" s="638">
        <v>10</v>
      </c>
      <c r="R326" s="168">
        <v>0</v>
      </c>
      <c r="S326" s="1343"/>
      <c r="T326" s="638">
        <v>35</v>
      </c>
      <c r="U326" s="638"/>
      <c r="V326" s="638"/>
      <c r="W326" s="638">
        <v>1.4</v>
      </c>
      <c r="X326" s="638"/>
      <c r="Y326" s="638"/>
      <c r="Z326" s="638"/>
      <c r="AA326" s="638"/>
      <c r="AB326" s="638"/>
      <c r="AC326" s="1239" t="s">
        <v>3050</v>
      </c>
      <c r="AD326" s="638"/>
      <c r="AE326" s="638"/>
      <c r="AF326" s="638">
        <v>5500</v>
      </c>
      <c r="AG326" s="446">
        <v>92399.77</v>
      </c>
      <c r="AH326" s="638">
        <v>2313</v>
      </c>
      <c r="AI326" s="638">
        <v>70</v>
      </c>
      <c r="AJ326" s="638"/>
      <c r="AK326" s="638"/>
      <c r="AL326" s="638" t="s">
        <v>2135</v>
      </c>
      <c r="AM326" s="638" t="s">
        <v>1042</v>
      </c>
      <c r="AN326" s="484">
        <v>5.32</v>
      </c>
      <c r="AO326" s="638"/>
      <c r="AP326" s="638"/>
      <c r="AQ326" s="484"/>
      <c r="AR326" s="638"/>
      <c r="AS326" s="638"/>
      <c r="AT326" s="484">
        <f>+ab($T$326,$T$324,$T$328,$G$325,$G$327, 1*$F$326,1200)</f>
        <v>3.6472476561170395</v>
      </c>
      <c r="AU326" s="638"/>
      <c r="AV326" s="638"/>
      <c r="AW326" s="638" t="str">
        <f>VLOOKUP(C326,'Foundation Calculation'!$A$2:$C$33,3,1)</f>
        <v>Soil B</v>
      </c>
      <c r="AX326" s="572" t="str">
        <f>VLOOKUP(C326,'Foundation Calculation'!$E$2:$G$33,3,1)</f>
        <v>PT</v>
      </c>
      <c r="AY326" s="484">
        <f>IF(AX326="PT",VLOOKUP(L326,'Foundation Calculation'!$K$2:$R$40,VLOOKUP(AW326,'Foundation Calculation'!$I$2:$J$8,2,FALSE),0),IF(AX326="K",VLOOKUP(L326,'Foundation Calculation'!$K$42:$R$80,VLOOKUP(AW326,'Foundation Calculation'!$I$2:$J$8,2,FALSE),0),""))</f>
        <v>3.5</v>
      </c>
      <c r="AZ326" s="484"/>
      <c r="BA326" s="671" t="s">
        <v>2809</v>
      </c>
      <c r="BB326" s="449" t="str">
        <f>Pole_Calculations!A178</f>
        <v>App.8-V08F-P10.3</v>
      </c>
      <c r="BC326" s="169"/>
      <c r="BD326" s="1329">
        <v>43848</v>
      </c>
      <c r="BE326" s="1329"/>
      <c r="BF326" s="1329"/>
      <c r="BG326" s="1329">
        <v>43893</v>
      </c>
    </row>
    <row r="327" spans="1:59" ht="15.75" customHeight="1">
      <c r="A327" s="449"/>
      <c r="B327" s="445"/>
      <c r="C327" s="446"/>
      <c r="D327" s="638"/>
      <c r="E327" s="638"/>
      <c r="F327" s="447"/>
      <c r="G327" s="484">
        <v>26.3</v>
      </c>
      <c r="H327" s="1239"/>
      <c r="I327" s="448"/>
      <c r="J327" s="446">
        <f>C326+7.5</f>
        <v>92407.05</v>
      </c>
      <c r="K327" s="638" t="s">
        <v>2788</v>
      </c>
      <c r="L327" s="638"/>
      <c r="M327" s="638"/>
      <c r="N327" s="1239"/>
      <c r="O327" s="1239"/>
      <c r="P327" s="1239"/>
      <c r="Q327" s="638"/>
      <c r="R327" s="638"/>
      <c r="S327" s="1343">
        <f t="shared" ref="S327" si="158">AG328-AG326</f>
        <v>26.220000000001164</v>
      </c>
      <c r="T327" s="638"/>
      <c r="U327" s="638"/>
      <c r="V327" s="638"/>
      <c r="W327" s="638"/>
      <c r="X327" s="638"/>
      <c r="Y327" s="638"/>
      <c r="Z327" s="638"/>
      <c r="AA327" s="638"/>
      <c r="AB327" s="638"/>
      <c r="AC327" s="638"/>
      <c r="AD327" s="638"/>
      <c r="AE327" s="638"/>
      <c r="AF327" s="638"/>
      <c r="AG327" s="446"/>
      <c r="AH327" s="638"/>
      <c r="AI327" s="638"/>
      <c r="AJ327" s="638"/>
      <c r="AK327" s="638"/>
      <c r="AL327" s="638"/>
      <c r="AM327" s="638"/>
      <c r="AN327" s="484"/>
      <c r="AO327" s="638"/>
      <c r="AP327" s="638"/>
      <c r="AQ327" s="484">
        <f>+FL_1($T$328,$T$326,$G$327,1200,9.28, 1*$F$328)</f>
        <v>0.35000000000002157</v>
      </c>
      <c r="AR327" s="638"/>
      <c r="AS327" s="638"/>
      <c r="AT327" s="484"/>
      <c r="AU327" s="638"/>
      <c r="AV327" s="638"/>
      <c r="AW327" s="638" t="str">
        <f>VLOOKUP(J327,'Foundation Calculation'!$A$2:$C$33,3,1)</f>
        <v>Soil B</v>
      </c>
      <c r="AX327" s="572" t="str">
        <f>VLOOKUP(J327,'Foundation Calculation'!$E$2:$G$33,3,1)</f>
        <v>PT</v>
      </c>
      <c r="AY327" s="484"/>
      <c r="AZ327" s="484">
        <f>IF(AX327="PT",VLOOKUP(K327,'Foundation Calculation'!$K$2:$R$40,VLOOKUP(AW327,'Foundation Calculation'!$I$2:$J$8,2,FALSE),0),IF(AX327="K",VLOOKUP(K327,'Foundation Calculation'!$K$42:$R$80,VLOOKUP(AW327,'Foundation Calculation'!$I$2:$J$8,2,FALSE),0),""))</f>
        <v>2.8</v>
      </c>
      <c r="BA327" s="671" t="s">
        <v>2809</v>
      </c>
      <c r="BB327" s="449"/>
      <c r="BC327" s="169"/>
      <c r="BD327" s="1329">
        <v>43855</v>
      </c>
      <c r="BE327" s="1330"/>
      <c r="BF327" s="1330"/>
      <c r="BG327" s="1330"/>
    </row>
    <row r="328" spans="1:59" ht="15.75" customHeight="1">
      <c r="A328" s="449"/>
      <c r="B328" s="450" t="s">
        <v>2333</v>
      </c>
      <c r="C328" s="446">
        <f>+$C$326+$G$327</f>
        <v>92425.85</v>
      </c>
      <c r="D328" s="638"/>
      <c r="E328" s="638"/>
      <c r="F328" s="447">
        <v>0</v>
      </c>
      <c r="G328" s="484"/>
      <c r="H328" s="1239" t="s">
        <v>873</v>
      </c>
      <c r="I328" s="448"/>
      <c r="J328" s="446"/>
      <c r="K328" s="638"/>
      <c r="L328" s="638" t="s">
        <v>821</v>
      </c>
      <c r="M328" s="638" t="s">
        <v>3331</v>
      </c>
      <c r="N328" s="1239" t="s">
        <v>2789</v>
      </c>
      <c r="O328" s="1239"/>
      <c r="P328" s="1239"/>
      <c r="Q328" s="638">
        <v>0</v>
      </c>
      <c r="R328" s="168">
        <v>0</v>
      </c>
      <c r="S328" s="1343"/>
      <c r="T328" s="638">
        <v>-35</v>
      </c>
      <c r="U328" s="638"/>
      <c r="V328" s="638"/>
      <c r="W328" s="638">
        <v>1</v>
      </c>
      <c r="X328" s="638"/>
      <c r="Y328" s="638"/>
      <c r="Z328" s="638"/>
      <c r="AA328" s="638"/>
      <c r="AB328" s="638"/>
      <c r="AC328" s="1239" t="s">
        <v>3050</v>
      </c>
      <c r="AD328" s="638"/>
      <c r="AE328" s="638"/>
      <c r="AF328" s="638">
        <v>5300</v>
      </c>
      <c r="AG328" s="446">
        <v>92425.99</v>
      </c>
      <c r="AH328" s="638">
        <v>2183</v>
      </c>
      <c r="AI328" s="638">
        <v>20</v>
      </c>
      <c r="AJ328" s="638"/>
      <c r="AK328" s="638"/>
      <c r="AL328" s="638" t="s">
        <v>2135</v>
      </c>
      <c r="AM328" s="638" t="s">
        <v>1042</v>
      </c>
      <c r="AN328" s="484">
        <v>5.26</v>
      </c>
      <c r="AO328" s="638"/>
      <c r="AP328" s="638"/>
      <c r="AQ328" s="484"/>
      <c r="AR328" s="638"/>
      <c r="AS328" s="638"/>
      <c r="AT328" s="484">
        <f>+ab($T$328,$T$326,$T$330,$G$327,$G$329, 1*$F$328,1200)</f>
        <v>-3.6000972706156706</v>
      </c>
      <c r="AU328" s="638"/>
      <c r="AV328" s="638"/>
      <c r="AW328" s="638" t="str">
        <f>VLOOKUP(C328,'Foundation Calculation'!$A$2:$C$33,3,1)</f>
        <v>Soil B</v>
      </c>
      <c r="AX328" s="572" t="str">
        <f>VLOOKUP(C328,'Foundation Calculation'!$E$2:$G$33,3,1)</f>
        <v>PT</v>
      </c>
      <c r="AY328" s="484">
        <f>IF(AX328="PT",VLOOKUP(L328,'Foundation Calculation'!$K$2:$R$40,VLOOKUP(AW328,'Foundation Calculation'!$I$2:$J$8,2,FALSE),0),IF(AX328="K",VLOOKUP(L328,'Foundation Calculation'!$K$42:$R$80,VLOOKUP(AW328,'Foundation Calculation'!$I$2:$J$8,2,FALSE),0),""))</f>
        <v>3.5</v>
      </c>
      <c r="AZ328" s="484"/>
      <c r="BA328" s="671" t="s">
        <v>2809</v>
      </c>
      <c r="BB328" s="449" t="str">
        <f>Pole_Calculations!A178</f>
        <v>App.8-V08F-P10.3</v>
      </c>
      <c r="BC328" s="169"/>
      <c r="BD328" s="1329">
        <v>43862</v>
      </c>
      <c r="BE328" s="1329"/>
      <c r="BF328" s="1329"/>
      <c r="BG328" s="1329">
        <v>43893</v>
      </c>
    </row>
    <row r="329" spans="1:59" ht="12.5">
      <c r="A329" s="449"/>
      <c r="B329" s="445"/>
      <c r="C329" s="446"/>
      <c r="D329" s="638"/>
      <c r="E329" s="638"/>
      <c r="F329" s="447"/>
      <c r="G329" s="484">
        <v>26.3</v>
      </c>
      <c r="H329" s="1239"/>
      <c r="I329" s="448"/>
      <c r="J329" s="446">
        <f>C328+7.5</f>
        <v>92433.35</v>
      </c>
      <c r="K329" s="638" t="s">
        <v>2788</v>
      </c>
      <c r="L329" s="638"/>
      <c r="M329" s="638"/>
      <c r="N329" s="1239"/>
      <c r="O329" s="1239"/>
      <c r="P329" s="1239"/>
      <c r="Q329" s="638"/>
      <c r="R329" s="638"/>
      <c r="S329" s="1343">
        <f t="shared" ref="S329" si="159">AG330-AG328</f>
        <v>26.299999999988358</v>
      </c>
      <c r="T329" s="638"/>
      <c r="U329" s="638"/>
      <c r="V329" s="638"/>
      <c r="W329" s="638"/>
      <c r="X329" s="638"/>
      <c r="Y329" s="638"/>
      <c r="Z329" s="638"/>
      <c r="AA329" s="638"/>
      <c r="AB329" s="638"/>
      <c r="AC329" s="638"/>
      <c r="AD329" s="638"/>
      <c r="AE329" s="638"/>
      <c r="AF329" s="638"/>
      <c r="AG329" s="446"/>
      <c r="AH329" s="638"/>
      <c r="AI329" s="638"/>
      <c r="AJ329" s="638"/>
      <c r="AK329" s="638"/>
      <c r="AL329" s="638"/>
      <c r="AM329" s="638"/>
      <c r="AN329" s="484"/>
      <c r="AO329" s="638"/>
      <c r="AP329" s="638"/>
      <c r="AQ329" s="484">
        <f>+FL_2($T$330,$T$328,$G$329,1200,9.28, 1*$F$330)</f>
        <v>-0.35000000000002157</v>
      </c>
      <c r="AR329" s="638"/>
      <c r="AS329" s="638"/>
      <c r="AT329" s="484"/>
      <c r="AU329" s="638"/>
      <c r="AV329" s="638"/>
      <c r="AW329" s="638" t="str">
        <f>VLOOKUP(J329,'Foundation Calculation'!$A$2:$C$33,3,1)</f>
        <v>Soil B</v>
      </c>
      <c r="AX329" s="572" t="str">
        <f>VLOOKUP(J329,'Foundation Calculation'!$E$2:$G$33,3,1)</f>
        <v>PT</v>
      </c>
      <c r="AY329" s="484"/>
      <c r="AZ329" s="484">
        <f>IF(AX329="PT",VLOOKUP(K329,'Foundation Calculation'!$K$2:$R$40,VLOOKUP(AW329,'Foundation Calculation'!$I$2:$J$8,2,FALSE),0),IF(AX329="K",VLOOKUP(K329,'Foundation Calculation'!$K$42:$R$80,VLOOKUP(AW329,'Foundation Calculation'!$I$2:$J$8,2,FALSE),0),""))</f>
        <v>2.8</v>
      </c>
      <c r="BA329" s="671" t="s">
        <v>2809</v>
      </c>
      <c r="BB329" s="449"/>
      <c r="BC329" s="169"/>
      <c r="BD329" s="1329"/>
      <c r="BE329" s="1330"/>
      <c r="BF329" s="1330"/>
      <c r="BG329" s="1330"/>
    </row>
    <row r="330" spans="1:59" ht="15.75" customHeight="1">
      <c r="A330" s="449"/>
      <c r="B330" s="485" t="s">
        <v>2334</v>
      </c>
      <c r="C330" s="446">
        <f>+$C$328+$G$329</f>
        <v>92452.150000000009</v>
      </c>
      <c r="D330" s="638"/>
      <c r="E330" s="638"/>
      <c r="F330" s="447">
        <v>0</v>
      </c>
      <c r="G330" s="484"/>
      <c r="H330" s="638"/>
      <c r="I330" s="448"/>
      <c r="J330" s="446"/>
      <c r="K330" s="638"/>
      <c r="L330" s="638" t="s">
        <v>821</v>
      </c>
      <c r="M330" s="638" t="s">
        <v>3331</v>
      </c>
      <c r="N330" s="1239" t="s">
        <v>144</v>
      </c>
      <c r="O330" s="1239"/>
      <c r="P330" s="1239"/>
      <c r="Q330" s="638">
        <v>10</v>
      </c>
      <c r="R330" s="168">
        <v>0</v>
      </c>
      <c r="S330" s="1343"/>
      <c r="T330" s="638">
        <v>35</v>
      </c>
      <c r="U330" s="638"/>
      <c r="V330" s="638"/>
      <c r="W330" s="638">
        <v>0.8</v>
      </c>
      <c r="X330" s="638"/>
      <c r="Y330" s="638"/>
      <c r="Z330" s="638"/>
      <c r="AA330" s="638"/>
      <c r="AB330" s="638"/>
      <c r="AC330" s="1239" t="s">
        <v>3050</v>
      </c>
      <c r="AD330" s="638"/>
      <c r="AE330" s="638"/>
      <c r="AF330" s="638">
        <v>5600</v>
      </c>
      <c r="AG330" s="446">
        <v>92452.29</v>
      </c>
      <c r="AH330" s="638">
        <v>2363</v>
      </c>
      <c r="AI330" s="638">
        <v>100</v>
      </c>
      <c r="AJ330" s="638"/>
      <c r="AK330" s="638"/>
      <c r="AL330" s="638" t="s">
        <v>2135</v>
      </c>
      <c r="AM330" s="638" t="s">
        <v>1042</v>
      </c>
      <c r="AN330" s="484">
        <v>5.19</v>
      </c>
      <c r="AO330" s="638"/>
      <c r="AP330" s="638"/>
      <c r="AQ330" s="484"/>
      <c r="AR330" s="638"/>
      <c r="AS330" s="638"/>
      <c r="AT330" s="484">
        <f>+ab($T$330,$T$328,$T$332,$G$329,$G$331, 1*$F$330,1200)</f>
        <v>3.8767311554640345</v>
      </c>
      <c r="AU330" s="638"/>
      <c r="AV330" s="638"/>
      <c r="AW330" s="638" t="str">
        <f>VLOOKUP(C330,'Foundation Calculation'!$A$2:$C$33,3,1)</f>
        <v>Soil B</v>
      </c>
      <c r="AX330" s="572" t="str">
        <f>VLOOKUP(C330,'Foundation Calculation'!$E$2:$G$33,3,1)</f>
        <v>PT</v>
      </c>
      <c r="AY330" s="484">
        <f>IF(AX330="PT",VLOOKUP(L330,'Foundation Calculation'!$K$2:$R$40,VLOOKUP(AW330,'Foundation Calculation'!$I$2:$J$8,2,FALSE),0),IF(AX330="K",VLOOKUP(L330,'Foundation Calculation'!$K$42:$R$80,VLOOKUP(AW330,'Foundation Calculation'!$I$2:$J$8,2,FALSE),0),""))</f>
        <v>3.5</v>
      </c>
      <c r="AZ330" s="484"/>
      <c r="BA330" s="671" t="s">
        <v>2809</v>
      </c>
      <c r="BB330" s="449" t="str">
        <f>Pole_Calculations!A178</f>
        <v>App.8-V08F-P10.3</v>
      </c>
      <c r="BC330" s="169"/>
      <c r="BD330" s="1329">
        <v>43869</v>
      </c>
      <c r="BE330" s="1329"/>
      <c r="BF330" s="1329"/>
      <c r="BG330" s="1329">
        <v>43893</v>
      </c>
    </row>
    <row r="331" spans="1:59" ht="15.75" customHeight="1">
      <c r="A331" s="449"/>
      <c r="B331" s="445"/>
      <c r="C331" s="446"/>
      <c r="D331" s="638"/>
      <c r="E331" s="638"/>
      <c r="F331" s="447"/>
      <c r="G331" s="484">
        <v>28.5</v>
      </c>
      <c r="H331" s="1239"/>
      <c r="I331" s="448"/>
      <c r="J331" s="446"/>
      <c r="K331" s="638"/>
      <c r="L331" s="638"/>
      <c r="M331" s="638"/>
      <c r="N331" s="1239"/>
      <c r="O331" s="1239"/>
      <c r="P331" s="1239"/>
      <c r="Q331" s="638"/>
      <c r="R331" s="638"/>
      <c r="S331" s="1343">
        <f t="shared" ref="S331" si="160">AG332-AG330</f>
        <v>28.420000000012806</v>
      </c>
      <c r="T331" s="638"/>
      <c r="U331" s="638"/>
      <c r="V331" s="638"/>
      <c r="W331" s="638"/>
      <c r="X331" s="638"/>
      <c r="Y331" s="638"/>
      <c r="Z331" s="638"/>
      <c r="AA331" s="638"/>
      <c r="AB331" s="638"/>
      <c r="AC331" s="638"/>
      <c r="AD331" s="638"/>
      <c r="AE331" s="638"/>
      <c r="AF331" s="638"/>
      <c r="AG331" s="446"/>
      <c r="AH331" s="638"/>
      <c r="AI331" s="638"/>
      <c r="AJ331" s="638"/>
      <c r="AK331" s="638"/>
      <c r="AL331" s="638"/>
      <c r="AM331" s="638"/>
      <c r="AN331" s="484"/>
      <c r="AO331" s="638"/>
      <c r="AP331" s="638"/>
      <c r="AQ331" s="484">
        <f>+FL_1($T$332,$T$330,$G$331,1200,9.28, 1*$F$332)</f>
        <v>0.35000000000001952</v>
      </c>
      <c r="AR331" s="638"/>
      <c r="AS331" s="638"/>
      <c r="AT331" s="484"/>
      <c r="AU331" s="638"/>
      <c r="AV331" s="638"/>
      <c r="AW331" s="638"/>
      <c r="AX331" s="638"/>
      <c r="AY331" s="484"/>
      <c r="AZ331" s="484"/>
      <c r="BA331" s="671"/>
      <c r="BB331" s="449"/>
      <c r="BC331" s="169"/>
      <c r="BD331" s="1330"/>
      <c r="BE331" s="1330"/>
      <c r="BF331" s="1330"/>
      <c r="BG331" s="1330"/>
    </row>
    <row r="332" spans="1:59" ht="15.75" customHeight="1">
      <c r="A332" s="449"/>
      <c r="B332" s="485" t="s">
        <v>2335</v>
      </c>
      <c r="C332" s="446">
        <f>+$C$330+$G$331</f>
        <v>92480.650000000009</v>
      </c>
      <c r="D332" s="638"/>
      <c r="E332" s="638"/>
      <c r="F332" s="447">
        <v>0</v>
      </c>
      <c r="G332" s="484"/>
      <c r="H332" s="1239"/>
      <c r="I332" s="448"/>
      <c r="J332" s="446"/>
      <c r="K332" s="638"/>
      <c r="L332" s="638" t="s">
        <v>821</v>
      </c>
      <c r="M332" s="638" t="str">
        <f>IF(AX332="PT",VLOOKUP(L332,'Foundation Calculation'!$V$2:$X$40,VLOOKUP(AX332,'Foundation Calculation'!$I$10:$J$13,2,FALSE),0),IF(AX332="K",VLOOKUP(L332,'Foundation Calculation'!$V$42:$X$80,VLOOKUP(AX332,'Foundation Calculation'!$I$10:$J$13,2,FALSE),0),""))</f>
        <v>C7R</v>
      </c>
      <c r="N332" s="1239" t="s">
        <v>2796</v>
      </c>
      <c r="O332" s="1239"/>
      <c r="P332" s="1239"/>
      <c r="Q332" s="638">
        <v>0</v>
      </c>
      <c r="R332" s="168">
        <v>0</v>
      </c>
      <c r="S332" s="1343"/>
      <c r="T332" s="638">
        <v>-30</v>
      </c>
      <c r="U332" s="638"/>
      <c r="V332" s="638"/>
      <c r="W332" s="638">
        <v>0.5</v>
      </c>
      <c r="X332" s="638"/>
      <c r="Y332" s="638"/>
      <c r="Z332" s="638"/>
      <c r="AA332" s="638"/>
      <c r="AB332" s="638"/>
      <c r="AC332" s="1239" t="s">
        <v>4115</v>
      </c>
      <c r="AD332" s="638"/>
      <c r="AE332" s="638"/>
      <c r="AF332" s="638">
        <v>5600</v>
      </c>
      <c r="AG332" s="446">
        <v>92480.71</v>
      </c>
      <c r="AH332" s="638">
        <v>2353</v>
      </c>
      <c r="AI332" s="638">
        <v>60</v>
      </c>
      <c r="AJ332" s="638"/>
      <c r="AK332" s="638"/>
      <c r="AL332" s="638" t="s">
        <v>2135</v>
      </c>
      <c r="AM332" s="638" t="s">
        <v>1042</v>
      </c>
      <c r="AN332" s="484">
        <v>5.15</v>
      </c>
      <c r="AO332" s="638"/>
      <c r="AP332" s="638"/>
      <c r="AQ332" s="484"/>
      <c r="AR332" s="638"/>
      <c r="AS332" s="638"/>
      <c r="AT332" s="484">
        <f>+ab($T$332,$T$330,$T$334,$G$331,$G$333, 1*$F$332,1200)</f>
        <v>-5.101855868946263</v>
      </c>
      <c r="AU332" s="638"/>
      <c r="AV332" s="638"/>
      <c r="AW332" s="638" t="str">
        <f>VLOOKUP(C332,'Foundation Calculation'!$A$2:$C$33,3,1)</f>
        <v>Soil B</v>
      </c>
      <c r="AX332" s="572" t="str">
        <f>VLOOKUP(C332,'Foundation Calculation'!$E$2:$G$33,3,1)</f>
        <v>PT</v>
      </c>
      <c r="AY332" s="484">
        <f>IF(AX332="PT",VLOOKUP(L332,'Foundation Calculation'!$K$2:$R$40,VLOOKUP(AW332,'Foundation Calculation'!$I$2:$J$8,2,FALSE),0),IF(AX332="K",VLOOKUP(L332,'Foundation Calculation'!$K$42:$R$80,VLOOKUP(AW332,'Foundation Calculation'!$I$2:$J$8,2,FALSE),0),""))</f>
        <v>3.5</v>
      </c>
      <c r="AZ332" s="484"/>
      <c r="BA332" s="671" t="s">
        <v>2809</v>
      </c>
      <c r="BB332" s="449" t="str">
        <f>Pole_Calculations!A178</f>
        <v>App.8-V08F-P10.3</v>
      </c>
      <c r="BC332" s="169"/>
      <c r="BD332" s="1329">
        <v>43855</v>
      </c>
      <c r="BE332" s="1329">
        <v>43861</v>
      </c>
      <c r="BF332" s="1329"/>
      <c r="BG332" s="1329">
        <v>43870</v>
      </c>
    </row>
    <row r="333" spans="1:59" ht="25">
      <c r="A333" s="488" t="s">
        <v>1851</v>
      </c>
      <c r="B333" s="494"/>
      <c r="C333" s="489"/>
      <c r="D333" s="490"/>
      <c r="E333" s="490"/>
      <c r="F333" s="491"/>
      <c r="G333" s="493">
        <v>40.799999999999997</v>
      </c>
      <c r="H333" s="495"/>
      <c r="I333" s="492"/>
      <c r="J333" s="489">
        <f>C334-7.5</f>
        <v>92513.950000000012</v>
      </c>
      <c r="K333" s="490" t="s">
        <v>2787</v>
      </c>
      <c r="L333" s="490"/>
      <c r="M333" s="490"/>
      <c r="N333" s="495"/>
      <c r="O333" s="495"/>
      <c r="P333" s="495"/>
      <c r="Q333" s="490"/>
      <c r="R333" s="490"/>
      <c r="S333" s="790">
        <f t="shared" ref="S333" si="161">AG334-AG332</f>
        <v>40.549999999988358</v>
      </c>
      <c r="T333" s="490"/>
      <c r="U333" s="490"/>
      <c r="V333" s="490"/>
      <c r="W333" s="490"/>
      <c r="X333" s="490"/>
      <c r="Y333" s="490"/>
      <c r="Z333" s="490"/>
      <c r="AA333" s="490"/>
      <c r="AB333" s="490"/>
      <c r="AC333" s="490"/>
      <c r="AD333" s="490"/>
      <c r="AE333" s="490"/>
      <c r="AF333" s="490"/>
      <c r="AG333" s="489"/>
      <c r="AH333" s="490"/>
      <c r="AI333" s="490"/>
      <c r="AJ333" s="490"/>
      <c r="AK333" s="490"/>
      <c r="AL333" s="490"/>
      <c r="AM333" s="669" t="s">
        <v>4221</v>
      </c>
      <c r="AN333" s="493"/>
      <c r="AO333" s="490"/>
      <c r="AP333" s="490"/>
      <c r="AQ333" s="493">
        <f>+FL_2($T$334,$T$332,$G$333,1200,9.28, 1*$F$334)</f>
        <v>-0.39108128997605673</v>
      </c>
      <c r="AR333" s="490"/>
      <c r="AS333" s="490"/>
      <c r="AT333" s="493"/>
      <c r="AU333" s="490"/>
      <c r="AV333" s="490"/>
      <c r="AW333" s="490" t="str">
        <f>VLOOKUP(J333,'Foundation Calculation'!$A$2:$C$33,3,1)</f>
        <v>Soil B</v>
      </c>
      <c r="AX333" s="579" t="str">
        <f>VLOOKUP(J333,'Foundation Calculation'!$E$2:$G$33,3,1)</f>
        <v>PT</v>
      </c>
      <c r="AY333" s="493"/>
      <c r="AZ333" s="493">
        <f>IF(AX333="PT",VLOOKUP(K333,'Foundation Calculation'!$K$2:$R$40,VLOOKUP(AW333,'Foundation Calculation'!$I$2:$J$8,2,FALSE),0),IF(AX333="K",VLOOKUP(K333,'Foundation Calculation'!$K$42:$R$80,VLOOKUP(AW333,'Foundation Calculation'!$I$2:$J$8,2,FALSE),0),""))</f>
        <v>3.9</v>
      </c>
      <c r="BA333" s="602" t="s">
        <v>2809</v>
      </c>
      <c r="BB333" s="488"/>
      <c r="BC333" s="169"/>
      <c r="BD333" s="1329">
        <v>43764</v>
      </c>
      <c r="BE333" s="1330"/>
      <c r="BF333" s="1330"/>
      <c r="BG333" s="1330"/>
    </row>
    <row r="334" spans="1:59" ht="15.75" customHeight="1">
      <c r="A334" s="449"/>
      <c r="B334" s="450" t="s">
        <v>2336</v>
      </c>
      <c r="C334" s="446">
        <f>+$C$332+$G$333</f>
        <v>92521.450000000012</v>
      </c>
      <c r="D334" s="638"/>
      <c r="E334" s="638"/>
      <c r="F334" s="447">
        <v>1300</v>
      </c>
      <c r="G334" s="484"/>
      <c r="H334" s="1239" t="s">
        <v>2130</v>
      </c>
      <c r="I334" s="448" t="s">
        <v>623</v>
      </c>
      <c r="J334" s="446"/>
      <c r="K334" s="638"/>
      <c r="L334" s="1239" t="s">
        <v>821</v>
      </c>
      <c r="M334" s="1239" t="str">
        <f>IF(AX334="PT",VLOOKUP(L334,'Foundation Calculation'!$V$2:$X$40,VLOOKUP(AX334,'Foundation Calculation'!$I$10:$J$13,2,FALSE),0),IF(AX334="K",VLOOKUP(L334,'Foundation Calculation'!$V$42:$X$80,VLOOKUP(AX334,'Foundation Calculation'!$I$10:$J$13,2,FALSE),0),""))</f>
        <v>C7R</v>
      </c>
      <c r="N334" s="1239" t="s">
        <v>2797</v>
      </c>
      <c r="O334" s="1239" t="s">
        <v>4982</v>
      </c>
      <c r="P334" s="1239"/>
      <c r="Q334" s="638">
        <v>30</v>
      </c>
      <c r="R334" s="168">
        <v>-1319.5</v>
      </c>
      <c r="S334" s="1343"/>
      <c r="T334" s="638">
        <v>30</v>
      </c>
      <c r="U334" s="638">
        <v>55</v>
      </c>
      <c r="V334" s="638"/>
      <c r="W334" s="638">
        <v>0.5</v>
      </c>
      <c r="X334" s="638">
        <v>0.5</v>
      </c>
      <c r="Y334" s="638"/>
      <c r="Z334" s="638"/>
      <c r="AA334" s="638">
        <v>0.3</v>
      </c>
      <c r="AB334" s="638"/>
      <c r="AC334" s="1239" t="s">
        <v>1421</v>
      </c>
      <c r="AD334" s="638"/>
      <c r="AE334" s="638"/>
      <c r="AF334" s="638">
        <v>5800</v>
      </c>
      <c r="AG334" s="446">
        <v>92521.26</v>
      </c>
      <c r="AH334" s="638">
        <v>2003</v>
      </c>
      <c r="AI334" s="638">
        <v>270</v>
      </c>
      <c r="AJ334" s="638"/>
      <c r="AK334" s="638"/>
      <c r="AL334" s="638" t="s">
        <v>2135</v>
      </c>
      <c r="AM334" s="638" t="s">
        <v>1042</v>
      </c>
      <c r="AN334" s="484">
        <v>5.15</v>
      </c>
      <c r="AO334" s="638"/>
      <c r="AP334" s="638"/>
      <c r="AQ334" s="484"/>
      <c r="AR334" s="638"/>
      <c r="AS334" s="638"/>
      <c r="AT334" s="484">
        <f>+ab($T$334,$T$332,$U$336,$G$333,$G$335, 1*$F$334,1200)</f>
        <v>3.9585620710365594</v>
      </c>
      <c r="AU334" s="638"/>
      <c r="AV334" s="638"/>
      <c r="AW334" s="638" t="str">
        <f>VLOOKUP(C334,'Foundation Calculation'!$A$2:$C$33,3,1)</f>
        <v>Soil B</v>
      </c>
      <c r="AX334" s="572" t="str">
        <f>VLOOKUP(C334,'Foundation Calculation'!$E$2:$G$33,3,1)</f>
        <v>PT</v>
      </c>
      <c r="AY334" s="484">
        <f>IF(AX334="PT",VLOOKUP(L334,'Foundation Calculation'!$K$2:$R$40,VLOOKUP(AW334,'Foundation Calculation'!$I$2:$J$8,2,FALSE),0),IF(AX334="K",VLOOKUP(L334,'Foundation Calculation'!$K$42:$R$80,VLOOKUP(AW334,'Foundation Calculation'!$I$2:$J$8,2,FALSE),0),""))</f>
        <v>3.5</v>
      </c>
      <c r="AZ334" s="484"/>
      <c r="BA334" s="671" t="s">
        <v>2809</v>
      </c>
      <c r="BB334" s="449" t="str">
        <f>Pole_Calculations!A178</f>
        <v>App.8-V08F-P10.3</v>
      </c>
      <c r="BC334" s="169"/>
      <c r="BD334" s="1329">
        <v>43764</v>
      </c>
      <c r="BE334" s="1329" t="s">
        <v>4946</v>
      </c>
      <c r="BF334" s="1329"/>
      <c r="BG334" s="1329">
        <v>43870</v>
      </c>
    </row>
    <row r="335" spans="1:59" ht="15.75" customHeight="1">
      <c r="A335" s="449"/>
      <c r="B335" s="445"/>
      <c r="C335" s="446"/>
      <c r="D335" s="638"/>
      <c r="E335" s="638"/>
      <c r="F335" s="447"/>
      <c r="G335" s="484">
        <v>46.8</v>
      </c>
      <c r="H335" s="1239"/>
      <c r="I335" s="448">
        <v>366</v>
      </c>
      <c r="J335" s="446"/>
      <c r="K335" s="638"/>
      <c r="L335" s="638"/>
      <c r="M335" s="638"/>
      <c r="N335" s="1239"/>
      <c r="O335" s="1239"/>
      <c r="P335" s="1239"/>
      <c r="Q335" s="638"/>
      <c r="R335" s="638"/>
      <c r="S335" s="1343">
        <f t="shared" ref="S335" si="162">AG336-AG334</f>
        <v>47.130000000004657</v>
      </c>
      <c r="T335" s="638"/>
      <c r="U335" s="638"/>
      <c r="V335" s="638"/>
      <c r="W335" s="638"/>
      <c r="X335" s="638"/>
      <c r="Y335" s="638"/>
      <c r="Z335" s="638"/>
      <c r="AA335" s="638"/>
      <c r="AB335" s="638"/>
      <c r="AC335" s="638"/>
      <c r="AD335" s="638"/>
      <c r="AE335" s="638"/>
      <c r="AF335" s="638"/>
      <c r="AG335" s="446"/>
      <c r="AH335" s="638"/>
      <c r="AI335" s="638"/>
      <c r="AJ335" s="638"/>
      <c r="AK335" s="638"/>
      <c r="AL335" s="638"/>
      <c r="AM335" s="638"/>
      <c r="AN335" s="484"/>
      <c r="AO335" s="638"/>
      <c r="AP335" s="638"/>
      <c r="AQ335" s="484">
        <f>+FL_1($U$336,$T$334,$G$335,1200,9.28, 1*$F$336)</f>
        <v>0.30110613863598112</v>
      </c>
      <c r="AR335" s="638"/>
      <c r="AS335" s="638"/>
      <c r="AT335" s="484"/>
      <c r="AU335" s="638"/>
      <c r="AV335" s="638"/>
      <c r="AW335" s="638"/>
      <c r="AX335" s="638"/>
      <c r="AY335" s="484"/>
      <c r="AZ335" s="484"/>
      <c r="BA335" s="671"/>
      <c r="BB335" s="449"/>
      <c r="BC335" s="169"/>
      <c r="BD335" s="1330"/>
      <c r="BE335" s="1330"/>
      <c r="BF335" s="1330"/>
      <c r="BG335" s="1330"/>
    </row>
    <row r="336" spans="1:59" ht="15.75" customHeight="1">
      <c r="A336" s="449"/>
      <c r="B336" s="450" t="s">
        <v>2337</v>
      </c>
      <c r="C336" s="446">
        <f>+$C$334+$G$335</f>
        <v>92568.250000000015</v>
      </c>
      <c r="D336" s="638"/>
      <c r="E336" s="638"/>
      <c r="F336" s="447">
        <v>1300</v>
      </c>
      <c r="G336" s="484"/>
      <c r="H336" s="1239" t="s">
        <v>2130</v>
      </c>
      <c r="I336" s="448" t="s">
        <v>623</v>
      </c>
      <c r="J336" s="446">
        <f>C336+7.5</f>
        <v>92575.750000000015</v>
      </c>
      <c r="K336" s="638" t="s">
        <v>2787</v>
      </c>
      <c r="L336" s="1239" t="s">
        <v>821</v>
      </c>
      <c r="M336" s="1239" t="str">
        <f>IF(AX336="PT",VLOOKUP(L336,'Foundation Calculation'!$V$2:$X$40,VLOOKUP(AX336,'Foundation Calculation'!$I$10:$J$13,2,FALSE),0),IF(AX336="K",VLOOKUP(L336,'Foundation Calculation'!$V$42:$X$80,VLOOKUP(AX336,'Foundation Calculation'!$I$10:$J$13,2,FALSE),0),""))</f>
        <v>C7R</v>
      </c>
      <c r="N336" s="1239" t="s">
        <v>140</v>
      </c>
      <c r="O336" s="1239" t="s">
        <v>144</v>
      </c>
      <c r="P336" s="1239"/>
      <c r="Q336" s="638">
        <v>60</v>
      </c>
      <c r="R336" s="168">
        <v>1319.5</v>
      </c>
      <c r="S336" s="1343"/>
      <c r="T336" s="638">
        <v>55</v>
      </c>
      <c r="U336" s="638">
        <v>30</v>
      </c>
      <c r="V336" s="638"/>
      <c r="W336" s="638">
        <v>0.8</v>
      </c>
      <c r="X336" s="638">
        <v>1.7</v>
      </c>
      <c r="Y336" s="638"/>
      <c r="Z336" s="638">
        <v>0.45</v>
      </c>
      <c r="AA336" s="638"/>
      <c r="AB336" s="638"/>
      <c r="AC336" s="638" t="s">
        <v>4090</v>
      </c>
      <c r="AD336" s="638"/>
      <c r="AE336" s="638"/>
      <c r="AF336" s="638">
        <v>5800</v>
      </c>
      <c r="AG336" s="446">
        <v>92568.39</v>
      </c>
      <c r="AH336" s="638">
        <v>2123</v>
      </c>
      <c r="AI336" s="638">
        <v>400</v>
      </c>
      <c r="AJ336" s="638"/>
      <c r="AK336" s="638"/>
      <c r="AL336" s="638" t="s">
        <v>2135</v>
      </c>
      <c r="AM336" s="638" t="s">
        <v>1042</v>
      </c>
      <c r="AN336" s="484">
        <v>5.21</v>
      </c>
      <c r="AO336" s="638"/>
      <c r="AP336" s="638"/>
      <c r="AQ336" s="484"/>
      <c r="AR336" s="638"/>
      <c r="AS336" s="638"/>
      <c r="AT336" s="484">
        <f>+ab($U$336,$T$334,$U$338,$G$335,$G$337, 1*$F$336,1200)</f>
        <v>5.1627038803070278</v>
      </c>
      <c r="AU336" s="638"/>
      <c r="AV336" s="638"/>
      <c r="AW336" s="638" t="str">
        <f>VLOOKUP(C336,'Foundation Calculation'!$A$2:$C$33,3,1)</f>
        <v>Soil B</v>
      </c>
      <c r="AX336" s="572" t="str">
        <f>VLOOKUP(C336,'Foundation Calculation'!$E$2:$G$33,3,1)</f>
        <v>PT</v>
      </c>
      <c r="AY336" s="484">
        <f>IF(AX336="PT",VLOOKUP(L336,'Foundation Calculation'!$K$2:$R$40,VLOOKUP(AW336,'Foundation Calculation'!$I$2:$J$8,2,FALSE),0),IF(AX336="K",VLOOKUP(L336,'Foundation Calculation'!$K$42:$R$80,VLOOKUP(AW336,'Foundation Calculation'!$I$2:$J$8,2,FALSE),0),""))</f>
        <v>3.5</v>
      </c>
      <c r="AZ336" s="484">
        <f>IF(AX336="PT",VLOOKUP(K336,'Foundation Calculation'!$K$2:$R$40,VLOOKUP(AW336,'Foundation Calculation'!$I$2:$J$8,2,FALSE),0),IF(AX336="K",VLOOKUP(K336,'Foundation Calculation'!$K$42:$R$80,VLOOKUP(AW336,'Foundation Calculation'!$I$2:$J$8,2,FALSE),0),""))</f>
        <v>3.9</v>
      </c>
      <c r="BA336" s="671" t="s">
        <v>2809</v>
      </c>
      <c r="BB336" s="449" t="str">
        <f>Pole_Calculations!A178</f>
        <v>App.8-V08F-P10.3</v>
      </c>
      <c r="BC336" s="169"/>
      <c r="BD336" s="1329">
        <v>43764</v>
      </c>
      <c r="BE336" s="1329" t="s">
        <v>4946</v>
      </c>
      <c r="BF336" s="1329"/>
      <c r="BG336" s="1329">
        <v>43814</v>
      </c>
    </row>
    <row r="337" spans="1:59" ht="15.75" customHeight="1">
      <c r="A337" s="449"/>
      <c r="B337" s="445"/>
      <c r="C337" s="446"/>
      <c r="D337" s="638"/>
      <c r="E337" s="638"/>
      <c r="F337" s="447"/>
      <c r="G337" s="484">
        <v>46.8</v>
      </c>
      <c r="H337" s="1239"/>
      <c r="I337" s="448"/>
      <c r="J337" s="446">
        <f>C338-7.5</f>
        <v>92607.550000000017</v>
      </c>
      <c r="K337" s="638" t="s">
        <v>2787</v>
      </c>
      <c r="L337" s="638"/>
      <c r="M337" s="638"/>
      <c r="N337" s="1239"/>
      <c r="O337" s="1239"/>
      <c r="P337" s="1239"/>
      <c r="Q337" s="638"/>
      <c r="R337" s="638"/>
      <c r="S337" s="1343">
        <f t="shared" ref="S337" si="163">AG338-AG336</f>
        <v>46.55000000000291</v>
      </c>
      <c r="T337" s="638"/>
      <c r="U337" s="638"/>
      <c r="V337" s="638"/>
      <c r="W337" s="638"/>
      <c r="X337" s="638"/>
      <c r="Y337" s="638"/>
      <c r="Z337" s="638"/>
      <c r="AA337" s="638"/>
      <c r="AB337" s="638"/>
      <c r="AC337" s="638"/>
      <c r="AD337" s="638"/>
      <c r="AE337" s="638"/>
      <c r="AF337" s="638"/>
      <c r="AG337" s="446"/>
      <c r="AH337" s="638"/>
      <c r="AI337" s="638"/>
      <c r="AJ337" s="638"/>
      <c r="AK337" s="638"/>
      <c r="AL337" s="638"/>
      <c r="AM337" s="638"/>
      <c r="AN337" s="484"/>
      <c r="AO337" s="638"/>
      <c r="AP337" s="638"/>
      <c r="AQ337" s="484">
        <f>+FL_1($U$338,$U$336,$G$337,1200,9.28, 1*$F$338)</f>
        <v>0.30000972354314592</v>
      </c>
      <c r="AR337" s="638"/>
      <c r="AS337" s="638"/>
      <c r="AT337" s="484"/>
      <c r="AU337" s="638"/>
      <c r="AV337" s="638"/>
      <c r="AW337" s="638" t="str">
        <f>VLOOKUP(J337,'Foundation Calculation'!$A$2:$C$33,3,1)</f>
        <v>Soil B</v>
      </c>
      <c r="AX337" s="572" t="str">
        <f>VLOOKUP(J337,'Foundation Calculation'!$E$2:$G$33,3,1)</f>
        <v>PT</v>
      </c>
      <c r="AY337" s="484"/>
      <c r="AZ337" s="484">
        <f>IF(AX337="PT",VLOOKUP(K337,'Foundation Calculation'!$K$2:$R$40,VLOOKUP(AW337,'Foundation Calculation'!$I$2:$J$8,2,FALSE),0),IF(AX337="K",VLOOKUP(K337,'Foundation Calculation'!$K$42:$R$80,VLOOKUP(AW337,'Foundation Calculation'!$I$2:$J$8,2,FALSE),0),""))</f>
        <v>3.9</v>
      </c>
      <c r="BA337" s="671" t="s">
        <v>2809</v>
      </c>
      <c r="BB337" s="449"/>
      <c r="BC337" s="169"/>
      <c r="BD337" s="1329">
        <v>43764</v>
      </c>
      <c r="BE337" s="1330"/>
      <c r="BF337" s="1330"/>
      <c r="BG337" s="1330"/>
    </row>
    <row r="338" spans="1:59" ht="15.75" customHeight="1">
      <c r="A338" s="449"/>
      <c r="B338" s="450" t="s">
        <v>2338</v>
      </c>
      <c r="C338" s="446">
        <f>+$C$336+$G$337</f>
        <v>92615.050000000017</v>
      </c>
      <c r="D338" s="638"/>
      <c r="E338" s="638"/>
      <c r="F338" s="447">
        <v>1300</v>
      </c>
      <c r="G338" s="484"/>
      <c r="H338" s="1239" t="s">
        <v>2128</v>
      </c>
      <c r="I338" s="448" t="s">
        <v>623</v>
      </c>
      <c r="J338" s="446"/>
      <c r="K338" s="638"/>
      <c r="L338" s="1239" t="s">
        <v>821</v>
      </c>
      <c r="M338" s="1239" t="str">
        <f>IF(AX338="PT",VLOOKUP(L338,'Foundation Calculation'!$V$2:$X$40,VLOOKUP(AX338,'Foundation Calculation'!$I$10:$J$13,2,FALSE),0),IF(AX338="K",VLOOKUP(L338,'Foundation Calculation'!$V$42:$X$80,VLOOKUP(AX338,'Foundation Calculation'!$I$10:$J$13,2,FALSE),0),""))</f>
        <v>C7R</v>
      </c>
      <c r="N338" s="1239" t="s">
        <v>140</v>
      </c>
      <c r="O338" s="1239" t="s">
        <v>144</v>
      </c>
      <c r="P338" s="1239"/>
      <c r="Q338" s="638">
        <v>30</v>
      </c>
      <c r="R338" s="638">
        <v>1319.5</v>
      </c>
      <c r="S338" s="1343"/>
      <c r="T338" s="638">
        <v>55</v>
      </c>
      <c r="U338" s="638">
        <v>25</v>
      </c>
      <c r="V338" s="638"/>
      <c r="W338" s="638">
        <v>1</v>
      </c>
      <c r="X338" s="638">
        <v>1.9</v>
      </c>
      <c r="Y338" s="638"/>
      <c r="Z338" s="638">
        <v>0.45</v>
      </c>
      <c r="AA338" s="638"/>
      <c r="AB338" s="638"/>
      <c r="AC338" s="638" t="s">
        <v>4090</v>
      </c>
      <c r="AD338" s="638"/>
      <c r="AE338" s="638"/>
      <c r="AF338" s="638">
        <v>5900</v>
      </c>
      <c r="AG338" s="446">
        <v>92614.94</v>
      </c>
      <c r="AH338" s="638">
        <v>2113</v>
      </c>
      <c r="AI338" s="638">
        <v>320</v>
      </c>
      <c r="AJ338" s="638"/>
      <c r="AK338" s="638"/>
      <c r="AL338" s="638" t="s">
        <v>2135</v>
      </c>
      <c r="AM338" s="638" t="s">
        <v>1042</v>
      </c>
      <c r="AN338" s="484">
        <v>5.32</v>
      </c>
      <c r="AO338" s="638"/>
      <c r="AP338" s="638"/>
      <c r="AQ338" s="484"/>
      <c r="AR338" s="638"/>
      <c r="AS338" s="638"/>
      <c r="AT338" s="484">
        <f>+ab($U$338,$U$336,$U$340,$G$337,$G$339, 1*$F$338,1200)</f>
        <v>4.766889892878214</v>
      </c>
      <c r="AU338" s="638"/>
      <c r="AV338" s="638"/>
      <c r="AW338" s="638" t="str">
        <f>VLOOKUP(C338,'Foundation Calculation'!$A$2:$C$33,3,1)</f>
        <v>Soil B</v>
      </c>
      <c r="AX338" s="572" t="str">
        <f>VLOOKUP(C338,'Foundation Calculation'!$E$2:$G$33,3,1)</f>
        <v>PT</v>
      </c>
      <c r="AY338" s="484">
        <f>IF(AX338="PT",VLOOKUP(L338,'Foundation Calculation'!$K$2:$R$40,VLOOKUP(AW338,'Foundation Calculation'!$I$2:$J$8,2,FALSE),0),IF(AX338="K",VLOOKUP(L338,'Foundation Calculation'!$K$42:$R$80,VLOOKUP(AW338,'Foundation Calculation'!$I$2:$J$8,2,FALSE),0),""))</f>
        <v>3.5</v>
      </c>
      <c r="AZ338" s="484"/>
      <c r="BA338" s="671" t="s">
        <v>2809</v>
      </c>
      <c r="BB338" s="449" t="str">
        <f>Pole_Calculations!A178</f>
        <v>App.8-V08F-P10.3</v>
      </c>
      <c r="BC338" s="169"/>
      <c r="BD338" s="1329">
        <v>43764</v>
      </c>
      <c r="BE338" s="1329" t="s">
        <v>4946</v>
      </c>
      <c r="BF338" s="1329"/>
      <c r="BG338" s="1329">
        <v>43814</v>
      </c>
    </row>
    <row r="339" spans="1:59" ht="15.75" customHeight="1">
      <c r="A339" s="449"/>
      <c r="B339" s="445"/>
      <c r="C339" s="446"/>
      <c r="D339" s="638"/>
      <c r="E339" s="638"/>
      <c r="F339" s="447"/>
      <c r="G339" s="484">
        <v>50</v>
      </c>
      <c r="H339" s="1239"/>
      <c r="I339" s="448"/>
      <c r="J339" s="446">
        <f>C340-7.5</f>
        <v>92657.550000000017</v>
      </c>
      <c r="K339" s="638" t="s">
        <v>2788</v>
      </c>
      <c r="L339" s="638"/>
      <c r="M339" s="638"/>
      <c r="N339" s="1239"/>
      <c r="O339" s="1239"/>
      <c r="P339" s="1239"/>
      <c r="Q339" s="638"/>
      <c r="R339" s="638"/>
      <c r="S339" s="1343">
        <f t="shared" ref="S339:S341" si="164">AG340-AG338</f>
        <v>50.059999999997672</v>
      </c>
      <c r="T339" s="638"/>
      <c r="U339" s="638"/>
      <c r="V339" s="638"/>
      <c r="W339" s="638"/>
      <c r="X339" s="638"/>
      <c r="Y339" s="638"/>
      <c r="Z339" s="638"/>
      <c r="AA339" s="638"/>
      <c r="AB339" s="638"/>
      <c r="AC339" s="638"/>
      <c r="AD339" s="638"/>
      <c r="AE339" s="638"/>
      <c r="AF339" s="638"/>
      <c r="AG339" s="446"/>
      <c r="AH339" s="638"/>
      <c r="AI339" s="638"/>
      <c r="AJ339" s="638"/>
      <c r="AK339" s="638"/>
      <c r="AL339" s="638"/>
      <c r="AM339" s="638"/>
      <c r="AN339" s="484"/>
      <c r="AO339" s="638"/>
      <c r="AP339" s="638"/>
      <c r="AQ339" s="484">
        <f>+FL_1($U$340,$U$338,$G$339,1200,9.28, 1*$F$340)</f>
        <v>0.25003897413957743</v>
      </c>
      <c r="AR339" s="638"/>
      <c r="AS339" s="638"/>
      <c r="AT339" s="484"/>
      <c r="AU339" s="638"/>
      <c r="AV339" s="638"/>
      <c r="AW339" s="638" t="str">
        <f>VLOOKUP(J339,'Foundation Calculation'!$A$2:$C$33,3,1)</f>
        <v>Soil B</v>
      </c>
      <c r="AX339" s="572" t="str">
        <f>VLOOKUP(J339,'Foundation Calculation'!$E$2:$G$33,3,1)</f>
        <v>PT</v>
      </c>
      <c r="AY339" s="484"/>
      <c r="AZ339" s="484">
        <f>IF(AX339="PT",VLOOKUP(K339,'Foundation Calculation'!$K$2:$R$40,VLOOKUP(AW339,'Foundation Calculation'!$I$2:$J$8,2,FALSE),0),IF(AX339="K",VLOOKUP(K339,'Foundation Calculation'!$K$42:$R$80,VLOOKUP(AW339,'Foundation Calculation'!$I$2:$J$8,2,FALSE),0),""))</f>
        <v>2.8</v>
      </c>
      <c r="BA339" s="671" t="s">
        <v>2809</v>
      </c>
      <c r="BB339" s="449"/>
      <c r="BC339" s="169"/>
      <c r="BD339" s="1329">
        <v>43764</v>
      </c>
      <c r="BE339" s="1330"/>
      <c r="BF339" s="1330"/>
      <c r="BG339" s="1330"/>
    </row>
    <row r="340" spans="1:59" ht="12.5">
      <c r="A340" s="449" t="s">
        <v>3279</v>
      </c>
      <c r="B340" s="450" t="s">
        <v>2339</v>
      </c>
      <c r="C340" s="446">
        <f>+$C$338+$G$339</f>
        <v>92665.050000000017</v>
      </c>
      <c r="D340" s="638"/>
      <c r="E340" s="638"/>
      <c r="F340" s="447">
        <v>1300</v>
      </c>
      <c r="G340" s="484"/>
      <c r="H340" s="1239" t="s">
        <v>2157</v>
      </c>
      <c r="I340" s="702" t="s">
        <v>3280</v>
      </c>
      <c r="J340" s="446"/>
      <c r="K340" s="638"/>
      <c r="L340" s="1239" t="s">
        <v>821</v>
      </c>
      <c r="M340" s="1239" t="str">
        <f>IF(AX340="PT",VLOOKUP(L340,'Foundation Calculation'!$V$2:$X$40,VLOOKUP(AX340,'Foundation Calculation'!$I$10:$J$13,2,FALSE),0),IF(AX340="K",VLOOKUP(L340,'Foundation Calculation'!$V$42:$X$80,VLOOKUP(AX340,'Foundation Calculation'!$I$10:$J$13,2,FALSE),0),""))</f>
        <v>C7R</v>
      </c>
      <c r="N340" s="1239" t="s">
        <v>140</v>
      </c>
      <c r="O340" s="1239" t="s">
        <v>144</v>
      </c>
      <c r="P340" s="1239"/>
      <c r="Q340" s="638">
        <v>60</v>
      </c>
      <c r="R340" s="168">
        <v>1319.5</v>
      </c>
      <c r="S340" s="1343"/>
      <c r="T340" s="638">
        <v>50</v>
      </c>
      <c r="U340" s="638">
        <v>5</v>
      </c>
      <c r="V340" s="638"/>
      <c r="W340" s="638">
        <v>1.4</v>
      </c>
      <c r="X340" s="638">
        <v>2.2999999999999998</v>
      </c>
      <c r="Y340" s="638"/>
      <c r="Z340" s="638">
        <v>0.45</v>
      </c>
      <c r="AA340" s="638"/>
      <c r="AB340" s="638"/>
      <c r="AC340" s="638" t="s">
        <v>4090</v>
      </c>
      <c r="AD340" s="638"/>
      <c r="AE340" s="638"/>
      <c r="AF340" s="638">
        <v>5800</v>
      </c>
      <c r="AG340" s="446">
        <v>92665</v>
      </c>
      <c r="AH340" s="638">
        <v>1943</v>
      </c>
      <c r="AI340" s="638">
        <v>330</v>
      </c>
      <c r="AJ340" s="638" t="s">
        <v>884</v>
      </c>
      <c r="AK340" s="638"/>
      <c r="AL340" s="638" t="s">
        <v>2135</v>
      </c>
      <c r="AM340" s="638" t="s">
        <v>1042</v>
      </c>
      <c r="AN340" s="484">
        <v>5.44</v>
      </c>
      <c r="AO340" s="638"/>
      <c r="AP340" s="638"/>
      <c r="AQ340" s="484"/>
      <c r="AR340" s="638"/>
      <c r="AS340" s="638"/>
      <c r="AT340" s="484">
        <f>+ab($U$340,$U$338,$U$342,$G$339,$G$341, 1*$F$340,1200)</f>
        <v>4.1545706287529134</v>
      </c>
      <c r="AU340" s="638"/>
      <c r="AV340" s="638"/>
      <c r="AW340" s="638" t="str">
        <f>VLOOKUP(C340,'Foundation Calculation'!$A$2:$C$33,3,1)</f>
        <v>Soil B</v>
      </c>
      <c r="AX340" s="572" t="str">
        <f>VLOOKUP(C340,'Foundation Calculation'!$E$2:$G$33,3,1)</f>
        <v>PT</v>
      </c>
      <c r="AY340" s="484">
        <f>IF(AX340="PT",VLOOKUP(L340,'Foundation Calculation'!$K$2:$R$40,VLOOKUP(AW340,'Foundation Calculation'!$I$2:$J$8,2,FALSE),0),IF(AX340="K",VLOOKUP(L340,'Foundation Calculation'!$K$42:$R$80,VLOOKUP(AW340,'Foundation Calculation'!$I$2:$J$8,2,FALSE),0),""))</f>
        <v>3.5</v>
      </c>
      <c r="AZ340" s="484"/>
      <c r="BA340" s="671" t="s">
        <v>2809</v>
      </c>
      <c r="BB340" s="449" t="str">
        <f>Pole_Calculations!A178</f>
        <v>App.8-V08F-P10.3</v>
      </c>
      <c r="BC340" s="169"/>
      <c r="BD340" s="1329">
        <v>43764</v>
      </c>
      <c r="BE340" s="1329" t="s">
        <v>4946</v>
      </c>
      <c r="BF340" s="1329"/>
      <c r="BG340" s="1329">
        <v>43814</v>
      </c>
    </row>
    <row r="341" spans="1:59" ht="15.75" customHeight="1">
      <c r="A341" s="449"/>
      <c r="B341" s="445"/>
      <c r="C341" s="446"/>
      <c r="D341" s="638"/>
      <c r="E341" s="638"/>
      <c r="F341" s="447"/>
      <c r="G341" s="484">
        <v>53.6</v>
      </c>
      <c r="H341" s="1239"/>
      <c r="I341" s="448"/>
      <c r="J341" s="446">
        <f>C340+7.5</f>
        <v>92672.550000000017</v>
      </c>
      <c r="K341" s="638" t="s">
        <v>2788</v>
      </c>
      <c r="L341" s="638"/>
      <c r="M341" s="638"/>
      <c r="N341" s="1239"/>
      <c r="O341" s="1239"/>
      <c r="P341" s="1239"/>
      <c r="Q341" s="638"/>
      <c r="R341" s="638"/>
      <c r="S341" s="1343">
        <f t="shared" si="164"/>
        <v>53.630000000004657</v>
      </c>
      <c r="T341" s="638"/>
      <c r="U341" s="638"/>
      <c r="V341" s="638"/>
      <c r="W341" s="638"/>
      <c r="X341" s="638"/>
      <c r="Y341" s="638"/>
      <c r="Z341" s="638"/>
      <c r="AA341" s="638"/>
      <c r="AB341" s="638"/>
      <c r="AC341" s="638"/>
      <c r="AD341" s="638"/>
      <c r="AE341" s="638"/>
      <c r="AF341" s="638"/>
      <c r="AG341" s="446"/>
      <c r="AH341" s="638"/>
      <c r="AI341" s="638"/>
      <c r="AJ341" s="638"/>
      <c r="AK341" s="638"/>
      <c r="AL341" s="638"/>
      <c r="AM341" s="638"/>
      <c r="AN341" s="484"/>
      <c r="AO341" s="638"/>
      <c r="AP341" s="638"/>
      <c r="AQ341" s="484">
        <f>+FL_1($T$342,$U$340,$G$341,1200,9.28, 1*$F$342)</f>
        <v>0.27996993665671643</v>
      </c>
      <c r="AR341" s="638"/>
      <c r="AS341" s="638"/>
      <c r="AT341" s="484"/>
      <c r="AU341" s="638"/>
      <c r="AV341" s="638"/>
      <c r="AW341" s="638" t="str">
        <f>VLOOKUP(J341,'Foundation Calculation'!$A$2:$C$33,3,1)</f>
        <v>Soil B</v>
      </c>
      <c r="AX341" s="572" t="str">
        <f>VLOOKUP(J341,'Foundation Calculation'!$E$2:$G$33,3,1)</f>
        <v>PT</v>
      </c>
      <c r="AY341" s="484"/>
      <c r="AZ341" s="484">
        <f>IF(AX341="PT",VLOOKUP(K341,'Foundation Calculation'!$K$2:$R$40,VLOOKUP(AW341,'Foundation Calculation'!$I$2:$J$8,2,FALSE),0),IF(AX341="K",VLOOKUP(K341,'Foundation Calculation'!$K$42:$R$80,VLOOKUP(AW341,'Foundation Calculation'!$I$2:$J$8,2,FALSE),0),""))</f>
        <v>2.8</v>
      </c>
      <c r="BA341" s="671" t="s">
        <v>2809</v>
      </c>
      <c r="BB341" s="449"/>
      <c r="BC341" s="169"/>
      <c r="BD341" s="1329">
        <v>43764</v>
      </c>
      <c r="BE341" s="1330"/>
      <c r="BF341" s="1330"/>
      <c r="BG341" s="1330"/>
    </row>
    <row r="342" spans="1:59" ht="15.75" customHeight="1">
      <c r="A342" s="501" t="str">
        <f>'HR Track 1 TSA'!A9</f>
        <v>TSA-07</v>
      </c>
      <c r="B342" s="716" t="str">
        <f>'HR Track 1 TSA'!B9</f>
        <v>92-1.21</v>
      </c>
      <c r="C342" s="451">
        <f>'HR Track 1 TSA'!C9</f>
        <v>92718.650000000023</v>
      </c>
      <c r="D342" s="453">
        <f>'HR Track 1 TSA'!D9</f>
        <v>0</v>
      </c>
      <c r="E342" s="452">
        <f>'HR Track 1 TSA'!E9</f>
        <v>0</v>
      </c>
      <c r="F342" s="453">
        <f>'HR Track 1 TSA'!F9</f>
        <v>0</v>
      </c>
      <c r="G342" s="500">
        <f>'HR Track 1 TSA'!G9</f>
        <v>0</v>
      </c>
      <c r="H342" s="453" t="str">
        <f>'HR Track 1 TSA'!H9</f>
        <v>S/A A/S</v>
      </c>
      <c r="I342" s="501" t="str">
        <f>'HR Track 1 TSA'!I9</f>
        <v>CP+AnMC IO</v>
      </c>
      <c r="J342" s="583">
        <f>'HR Track 1 TSA'!J9</f>
        <v>92711.150000000023</v>
      </c>
      <c r="K342" s="452" t="str">
        <f>'HR Track 1 TSA'!K9</f>
        <v>AnMC-R</v>
      </c>
      <c r="L342" s="452" t="str">
        <f>'HR Track 1 TSA'!L9</f>
        <v>2HEB-260L</v>
      </c>
      <c r="M342" s="452" t="str">
        <f>'HR Track 1 TSA'!M9</f>
        <v>2C4R</v>
      </c>
      <c r="N342" s="501" t="str">
        <f>'HR Track 1 TSA'!N9</f>
        <v>EMT-1</v>
      </c>
      <c r="O342" s="501" t="str">
        <f>'HR Track 1 TSA'!O9</f>
        <v>EMT-T</v>
      </c>
      <c r="P342" s="501">
        <f>'HR Track 1 TSA'!P9</f>
        <v>0</v>
      </c>
      <c r="Q342" s="452">
        <f>'HR Track 1 TSA'!Q9</f>
        <v>0</v>
      </c>
      <c r="R342" s="452">
        <f>'HR Track 1 TSA'!R9</f>
        <v>0</v>
      </c>
      <c r="S342" s="500">
        <f>'HR Track 1 TSA'!S9</f>
        <v>0</v>
      </c>
      <c r="T342" s="452">
        <f>'HR Track 1 TSA'!T9</f>
        <v>-5</v>
      </c>
      <c r="U342" s="452">
        <f>'HR Track 1 TSA'!U9</f>
        <v>-50</v>
      </c>
      <c r="V342" s="452">
        <f>'HR Track 1 TSA'!V9</f>
        <v>0</v>
      </c>
      <c r="W342" s="452">
        <f>'HR Track 1 TSA'!W9</f>
        <v>1.4</v>
      </c>
      <c r="X342" s="452">
        <f>'HR Track 1 TSA'!X9</f>
        <v>2.2999999999999998</v>
      </c>
      <c r="Y342" s="452">
        <f>'HR Track 1 TSA'!Y9</f>
        <v>0</v>
      </c>
      <c r="Z342" s="452">
        <f>'HR Track 1 TSA'!Z9</f>
        <v>0</v>
      </c>
      <c r="AA342" s="452">
        <f>'HR Track 1 TSA'!AA9</f>
        <v>0.39</v>
      </c>
      <c r="AB342" s="452">
        <f>'HR Track 1 TSA'!AB9</f>
        <v>0</v>
      </c>
      <c r="AC342" s="452" t="str">
        <f>'HR Track 1 TSA'!AC9</f>
        <v>PH-1150</v>
      </c>
      <c r="AD342" s="452">
        <f>'HR Track 1 TSA'!AD9</f>
        <v>0</v>
      </c>
      <c r="AE342" s="452">
        <f>'HR Track 1 TSA'!AE9</f>
        <v>0</v>
      </c>
      <c r="AF342" s="452">
        <f>'HR Track 1 TSA'!AF9</f>
        <v>5800</v>
      </c>
      <c r="AG342" s="451">
        <f>'HR Track 1 TSA'!AG9</f>
        <v>92718.63</v>
      </c>
      <c r="AH342" s="452">
        <f>'HR Track 1 TSA'!AH9</f>
        <v>2243</v>
      </c>
      <c r="AI342" s="452">
        <f>'HR Track 1 TSA'!AI9</f>
        <v>140</v>
      </c>
      <c r="AJ342" s="452" t="str">
        <f>'HR Track 1 TSA'!AJ9</f>
        <v>Disc/IO</v>
      </c>
      <c r="AK342" s="452">
        <f>'HR Track 1 TSA'!AK9</f>
        <v>0</v>
      </c>
      <c r="AL342" s="452">
        <f>'HR Track 1 TSA'!AL9</f>
        <v>0</v>
      </c>
      <c r="AM342" s="452" t="str">
        <f>'HR Track 1 TSA'!AM9</f>
        <v>RW1</v>
      </c>
      <c r="AN342" s="500">
        <f>'HR Track 1 TSA'!AN9</f>
        <v>5.5</v>
      </c>
      <c r="AO342" s="452">
        <f>'HR Track 1 TSA'!AO9</f>
        <v>0</v>
      </c>
      <c r="AP342" s="452">
        <f>'HR Track 1 TSA'!AP9</f>
        <v>0</v>
      </c>
      <c r="AQ342" s="452">
        <f>'HR Track 1 TSA'!AQ9</f>
        <v>0</v>
      </c>
      <c r="AR342" s="452">
        <f>'HR Track 1 TSA'!AR9</f>
        <v>0</v>
      </c>
      <c r="AS342" s="452">
        <f>'HR Track 1 TSA'!AS9</f>
        <v>0</v>
      </c>
      <c r="AT342" s="452">
        <f>'HR Track 1 TSA'!AT9</f>
        <v>-11.466438686798345</v>
      </c>
      <c r="AU342" s="452">
        <f>'HR Track 1 TSA'!AU9</f>
        <v>0</v>
      </c>
      <c r="AV342" s="452">
        <f>'HR Track 1 TSA'!AV9</f>
        <v>0</v>
      </c>
      <c r="AW342" s="452" t="str">
        <f>'HR Track 1 TSA'!AW9</f>
        <v>Soil B</v>
      </c>
      <c r="AX342" s="452" t="str">
        <f>'HR Track 1 TSA'!AX9</f>
        <v>PT</v>
      </c>
      <c r="AY342" s="500">
        <f>'HR Track 1 TSA'!AY9</f>
        <v>5.3</v>
      </c>
      <c r="AZ342" s="500">
        <f>'HR Track 1 TSA'!AZ9</f>
        <v>3.9</v>
      </c>
      <c r="BA342" s="1333" t="str">
        <f>'HR Track 1 TSA'!BA9</f>
        <v>ü</v>
      </c>
      <c r="BB342" s="452" t="str">
        <f>'HR Track 1 TSA'!BB9</f>
        <v>App.7-V11A-P9.5.1.8</v>
      </c>
      <c r="BC342" s="1334">
        <f>'HR Track 1 TSA'!BC9</f>
        <v>0</v>
      </c>
      <c r="BD342" s="1335">
        <f>'HR Track 1 TSA'!BD9</f>
        <v>43736</v>
      </c>
      <c r="BE342" s="1335">
        <f>'HR Track 1 TSA'!BE9</f>
        <v>0</v>
      </c>
      <c r="BF342" s="1335">
        <f>'HR Track 1 TSA'!BF9</f>
        <v>0</v>
      </c>
      <c r="BG342" s="1335">
        <f>'HR Track 1 TSA'!BG9</f>
        <v>43893</v>
      </c>
    </row>
    <row r="343" spans="1:59" ht="15.75" customHeight="1">
      <c r="A343" s="501">
        <f>'HR Track 1 TSA'!A10</f>
        <v>0</v>
      </c>
      <c r="B343" s="716">
        <f>'HR Track 1 TSA'!B10</f>
        <v>0</v>
      </c>
      <c r="C343" s="451">
        <f>'HR Track 1 TSA'!C10</f>
        <v>0</v>
      </c>
      <c r="D343" s="453">
        <f>'HR Track 1 TSA'!D10</f>
        <v>0</v>
      </c>
      <c r="E343" s="452">
        <f>'HR Track 1 TSA'!E10</f>
        <v>0</v>
      </c>
      <c r="F343" s="453">
        <f>'HR Track 1 TSA'!F10</f>
        <v>0</v>
      </c>
      <c r="G343" s="500">
        <f>'HR Track 1 TSA'!G10</f>
        <v>56</v>
      </c>
      <c r="H343" s="453">
        <f>'HR Track 1 TSA'!H10</f>
        <v>0</v>
      </c>
      <c r="I343" s="501">
        <f>'HR Track 1 TSA'!I10</f>
        <v>0</v>
      </c>
      <c r="J343" s="583">
        <f>'HR Track 1 TSA'!J10</f>
        <v>0</v>
      </c>
      <c r="K343" s="452">
        <f>'HR Track 1 TSA'!K10</f>
        <v>0</v>
      </c>
      <c r="L343" s="452">
        <f>'HR Track 1 TSA'!L10</f>
        <v>0</v>
      </c>
      <c r="M343" s="452">
        <f>'HR Track 1 TSA'!M10</f>
        <v>0</v>
      </c>
      <c r="N343" s="501">
        <f>'HR Track 1 TSA'!N10</f>
        <v>0</v>
      </c>
      <c r="O343" s="501">
        <f>'HR Track 1 TSA'!O10</f>
        <v>0</v>
      </c>
      <c r="P343" s="501">
        <f>'HR Track 1 TSA'!P10</f>
        <v>0</v>
      </c>
      <c r="Q343" s="452">
        <f>'HR Track 1 TSA'!Q10</f>
        <v>0</v>
      </c>
      <c r="R343" s="452">
        <f>'HR Track 1 TSA'!R10</f>
        <v>0</v>
      </c>
      <c r="S343" s="500">
        <f>'HR Track 1 TSA'!S10</f>
        <v>54.649999999994179</v>
      </c>
      <c r="T343" s="452">
        <f>'HR Track 1 TSA'!T10</f>
        <v>0</v>
      </c>
      <c r="U343" s="452">
        <f>'HR Track 1 TSA'!U10</f>
        <v>0</v>
      </c>
      <c r="V343" s="452">
        <f>'HR Track 1 TSA'!V10</f>
        <v>0</v>
      </c>
      <c r="W343" s="452">
        <f>'HR Track 1 TSA'!W10</f>
        <v>0</v>
      </c>
      <c r="X343" s="452">
        <f>'HR Track 1 TSA'!X10</f>
        <v>0</v>
      </c>
      <c r="Y343" s="452">
        <f>'HR Track 1 TSA'!Y10</f>
        <v>0</v>
      </c>
      <c r="Z343" s="452">
        <f>'HR Track 1 TSA'!Z10</f>
        <v>0</v>
      </c>
      <c r="AA343" s="452">
        <f>'HR Track 1 TSA'!AA10</f>
        <v>0</v>
      </c>
      <c r="AB343" s="452">
        <f>'HR Track 1 TSA'!AB10</f>
        <v>0</v>
      </c>
      <c r="AC343" s="452">
        <f>'HR Track 1 TSA'!AC10</f>
        <v>0</v>
      </c>
      <c r="AD343" s="452">
        <f>'HR Track 1 TSA'!AD10</f>
        <v>0</v>
      </c>
      <c r="AE343" s="452">
        <f>'HR Track 1 TSA'!AE10</f>
        <v>0</v>
      </c>
      <c r="AF343" s="452">
        <f>'HR Track 1 TSA'!AF10</f>
        <v>0</v>
      </c>
      <c r="AG343" s="451">
        <f>'HR Track 1 TSA'!AG10</f>
        <v>0</v>
      </c>
      <c r="AH343" s="452">
        <f>'HR Track 1 TSA'!AH10</f>
        <v>0</v>
      </c>
      <c r="AI343" s="452">
        <f>'HR Track 1 TSA'!AI10</f>
        <v>0</v>
      </c>
      <c r="AJ343" s="452">
        <f>'HR Track 1 TSA'!AJ10</f>
        <v>0</v>
      </c>
      <c r="AK343" s="452">
        <f>'HR Track 1 TSA'!AK10</f>
        <v>0</v>
      </c>
      <c r="AL343" s="452">
        <f>'HR Track 1 TSA'!AL10</f>
        <v>0</v>
      </c>
      <c r="AM343" s="452">
        <f>'HR Track 1 TSA'!AM10</f>
        <v>0</v>
      </c>
      <c r="AN343" s="500">
        <f>'HR Track 1 TSA'!AN10</f>
        <v>0</v>
      </c>
      <c r="AO343" s="452">
        <f>'HR Track 1 TSA'!AO10</f>
        <v>0</v>
      </c>
      <c r="AP343" s="452">
        <f>'HR Track 1 TSA'!AP10</f>
        <v>0</v>
      </c>
      <c r="AQ343" s="452">
        <f>'HR Track 1 TSA'!AQ10</f>
        <v>0.45340259199999999</v>
      </c>
      <c r="AR343" s="452">
        <f>'HR Track 1 TSA'!AR10</f>
        <v>0</v>
      </c>
      <c r="AS343" s="452">
        <f>'HR Track 1 TSA'!AS10</f>
        <v>0</v>
      </c>
      <c r="AT343" s="452">
        <f>'HR Track 1 TSA'!AT10</f>
        <v>0</v>
      </c>
      <c r="AU343" s="452">
        <f>'HR Track 1 TSA'!AU10</f>
        <v>0</v>
      </c>
      <c r="AV343" s="452">
        <f>'HR Track 1 TSA'!AV10</f>
        <v>0</v>
      </c>
      <c r="AW343" s="452">
        <f>'HR Track 1 TSA'!AW10</f>
        <v>0</v>
      </c>
      <c r="AX343" s="452">
        <f>'HR Track 1 TSA'!AX10</f>
        <v>0</v>
      </c>
      <c r="AY343" s="500" t="str">
        <f>'HR Track 1 TSA'!AY10</f>
        <v/>
      </c>
      <c r="AZ343" s="500" t="str">
        <f>'HR Track 1 TSA'!AZ10</f>
        <v/>
      </c>
      <c r="BA343" s="1333">
        <f>'HR Track 1 TSA'!BA10</f>
        <v>0</v>
      </c>
      <c r="BB343" s="452">
        <f>'HR Track 1 TSA'!BB10</f>
        <v>0</v>
      </c>
      <c r="BC343" s="1334">
        <f>'HR Track 1 TSA'!BC10</f>
        <v>0</v>
      </c>
      <c r="BD343" s="1335">
        <f>'HR Track 1 TSA'!BD10</f>
        <v>0</v>
      </c>
      <c r="BE343" s="1335">
        <f>'HR Track 1 TSA'!BE10</f>
        <v>0</v>
      </c>
      <c r="BF343" s="1335">
        <f>'HR Track 1 TSA'!BF10</f>
        <v>0</v>
      </c>
      <c r="BG343" s="1335">
        <f>'HR Track 1 TSA'!BG10</f>
        <v>0</v>
      </c>
    </row>
    <row r="344" spans="1:59" ht="15.75" customHeight="1">
      <c r="A344" s="501">
        <f>'HR Track 1 TSA'!A11</f>
        <v>0</v>
      </c>
      <c r="B344" s="716" t="str">
        <f>'HR Track 1 TSA'!B11</f>
        <v>92-1.22</v>
      </c>
      <c r="C344" s="451">
        <f>'HR Track 1 TSA'!C11</f>
        <v>92774.650000000023</v>
      </c>
      <c r="D344" s="453">
        <f>'HR Track 1 TSA'!D11</f>
        <v>0</v>
      </c>
      <c r="E344" s="452">
        <f>'HR Track 1 TSA'!E11</f>
        <v>0</v>
      </c>
      <c r="F344" s="453">
        <f>'HR Track 1 TSA'!F11</f>
        <v>0</v>
      </c>
      <c r="G344" s="500">
        <f>'HR Track 1 TSA'!G11</f>
        <v>0</v>
      </c>
      <c r="H344" s="453" t="str">
        <f>'HR Track 1 TSA'!H11</f>
        <v>P50(CS) S/A A/S</v>
      </c>
      <c r="I344" s="501" t="str">
        <f>'HR Track 1 TSA'!I11</f>
        <v>CP+AnMC</v>
      </c>
      <c r="J344" s="583">
        <f>'HR Track 1 TSA'!J11</f>
        <v>0</v>
      </c>
      <c r="K344" s="452">
        <f>'HR Track 1 TSA'!K11</f>
        <v>0</v>
      </c>
      <c r="L344" s="452" t="str">
        <f>'HR Track 1 TSA'!L11</f>
        <v>2HEB-260</v>
      </c>
      <c r="M344" s="452" t="str">
        <f>'HR Track 1 TSA'!M11</f>
        <v>2C4R</v>
      </c>
      <c r="N344" s="501" t="str">
        <f>'HR Track 1 TSA'!N11</f>
        <v>EMT-T</v>
      </c>
      <c r="O344" s="501" t="str">
        <f>'HR Track 1 TSA'!O11</f>
        <v>EMT-2</v>
      </c>
      <c r="P344" s="501" t="str">
        <f>'HR Track 1 TSA'!P11</f>
        <v>EMT-E</v>
      </c>
      <c r="Q344" s="452">
        <f>'HR Track 1 TSA'!Q11</f>
        <v>10</v>
      </c>
      <c r="R344" s="452">
        <f>'HR Track 1 TSA'!R11</f>
        <v>0</v>
      </c>
      <c r="S344" s="500">
        <f>'HR Track 1 TSA'!S11</f>
        <v>0</v>
      </c>
      <c r="T344" s="452">
        <f>'HR Track 1 TSA'!T11</f>
        <v>-45</v>
      </c>
      <c r="U344" s="452">
        <f>'HR Track 1 TSA'!U11</f>
        <v>30</v>
      </c>
      <c r="V344" s="452">
        <f>'HR Track 1 TSA'!V11</f>
        <v>15</v>
      </c>
      <c r="W344" s="452">
        <f>'HR Track 1 TSA'!W11</f>
        <v>2.2999999999999998</v>
      </c>
      <c r="X344" s="452">
        <f>'HR Track 1 TSA'!X11</f>
        <v>1.4</v>
      </c>
      <c r="Y344" s="452">
        <f>'HR Track 1 TSA'!Y11</f>
        <v>1.8</v>
      </c>
      <c r="Z344" s="452">
        <f>'HR Track 1 TSA'!Z11</f>
        <v>0.5</v>
      </c>
      <c r="AA344" s="452">
        <f>'HR Track 1 TSA'!AA11</f>
        <v>0</v>
      </c>
      <c r="AB344" s="452">
        <f>'HR Track 1 TSA'!AB11</f>
        <v>0</v>
      </c>
      <c r="AC344" s="452" t="str">
        <f>'HR Track 1 TSA'!AC11</f>
        <v>PH-1450</v>
      </c>
      <c r="AD344" s="452" t="str">
        <f>'HR Track 1 TSA'!AD11</f>
        <v>BTC-1651</v>
      </c>
      <c r="AE344" s="452">
        <f>'HR Track 1 TSA'!AE11</f>
        <v>0</v>
      </c>
      <c r="AF344" s="452">
        <f>'HR Track 1 TSA'!AF11</f>
        <v>5400</v>
      </c>
      <c r="AG344" s="451">
        <f>'HR Track 1 TSA'!AG11</f>
        <v>92773.28</v>
      </c>
      <c r="AH344" s="452">
        <f>'HR Track 1 TSA'!AH11</f>
        <v>2003</v>
      </c>
      <c r="AI344" s="452">
        <f>'HR Track 1 TSA'!AI11</f>
        <v>-30</v>
      </c>
      <c r="AJ344" s="452">
        <f>'HR Track 1 TSA'!AJ11</f>
        <v>0</v>
      </c>
      <c r="AK344" s="452">
        <f>'HR Track 1 TSA'!AK11</f>
        <v>0</v>
      </c>
      <c r="AL344" s="452">
        <f>'HR Track 1 TSA'!AL11</f>
        <v>0</v>
      </c>
      <c r="AM344" s="452" t="str">
        <f>'HR Track 1 TSA'!AM11</f>
        <v>RW1</v>
      </c>
      <c r="AN344" s="500">
        <f>'HR Track 1 TSA'!AN11</f>
        <v>5.5</v>
      </c>
      <c r="AO344" s="452">
        <f>'HR Track 1 TSA'!AO11</f>
        <v>0</v>
      </c>
      <c r="AP344" s="452">
        <f>'HR Track 1 TSA'!AP11</f>
        <v>0</v>
      </c>
      <c r="AQ344" s="452">
        <f>'HR Track 1 TSA'!AQ11</f>
        <v>0</v>
      </c>
      <c r="AR344" s="452">
        <f>'HR Track 1 TSA'!AR11</f>
        <v>0</v>
      </c>
      <c r="AS344" s="452">
        <f>'HR Track 1 TSA'!AS11</f>
        <v>0</v>
      </c>
      <c r="AT344" s="452">
        <f>'HR Track 1 TSA'!AT11</f>
        <v>28.185109192983518</v>
      </c>
      <c r="AU344" s="452">
        <f>'HR Track 1 TSA'!AU11</f>
        <v>0</v>
      </c>
      <c r="AV344" s="452">
        <f>'HR Track 1 TSA'!AV11</f>
        <v>0</v>
      </c>
      <c r="AW344" s="452" t="str">
        <f>'HR Track 1 TSA'!AW11</f>
        <v>Soil B</v>
      </c>
      <c r="AX344" s="452" t="str">
        <f>'HR Track 1 TSA'!AX11</f>
        <v>PT</v>
      </c>
      <c r="AY344" s="500">
        <f>'HR Track 1 TSA'!AY11</f>
        <v>4</v>
      </c>
      <c r="AZ344" s="500">
        <f>'HR Track 1 TSA'!AZ11</f>
        <v>0</v>
      </c>
      <c r="BA344" s="1333" t="str">
        <f>'HR Track 1 TSA'!BA11</f>
        <v>ü</v>
      </c>
      <c r="BB344" s="452" t="str">
        <f>'HR Track 1 TSA'!BB11</f>
        <v>App.7-V11A-P9.5.1.9</v>
      </c>
      <c r="BC344" s="1334">
        <f>'HR Track 1 TSA'!BC11</f>
        <v>0</v>
      </c>
      <c r="BD344" s="1335">
        <f>'HR Track 1 TSA'!BD11</f>
        <v>43736</v>
      </c>
      <c r="BE344" s="1335">
        <f>'HR Track 1 TSA'!BE11</f>
        <v>0</v>
      </c>
      <c r="BF344" s="1335">
        <f>'HR Track 1 TSA'!BF11</f>
        <v>0</v>
      </c>
      <c r="BG344" s="1335">
        <f>'HR Track 1 TSA'!BG11</f>
        <v>43893</v>
      </c>
    </row>
    <row r="345" spans="1:59" ht="15.75" customHeight="1">
      <c r="A345" s="501">
        <f>'HR Track 1 TSA'!A12</f>
        <v>0</v>
      </c>
      <c r="B345" s="716">
        <f>'HR Track 1 TSA'!B12</f>
        <v>0</v>
      </c>
      <c r="C345" s="451">
        <f>'HR Track 1 TSA'!C12</f>
        <v>0</v>
      </c>
      <c r="D345" s="453">
        <f>'HR Track 1 TSA'!D12</f>
        <v>0</v>
      </c>
      <c r="E345" s="452">
        <f>'HR Track 1 TSA'!E12</f>
        <v>0</v>
      </c>
      <c r="F345" s="453">
        <f>'HR Track 1 TSA'!F12</f>
        <v>0</v>
      </c>
      <c r="G345" s="500">
        <f>'HR Track 1 TSA'!G12</f>
        <v>48</v>
      </c>
      <c r="H345" s="453">
        <f>'HR Track 1 TSA'!H12</f>
        <v>0</v>
      </c>
      <c r="I345" s="501">
        <f>'HR Track 1 TSA'!I12</f>
        <v>0</v>
      </c>
      <c r="J345" s="583">
        <f>'HR Track 1 TSA'!J12</f>
        <v>92782.150000000023</v>
      </c>
      <c r="K345" s="452" t="str">
        <f>'HR Track 1 TSA'!K12</f>
        <v>AnMC-R</v>
      </c>
      <c r="L345" s="452">
        <f>'HR Track 1 TSA'!L12</f>
        <v>0</v>
      </c>
      <c r="M345" s="452">
        <f>'HR Track 1 TSA'!M12</f>
        <v>0</v>
      </c>
      <c r="N345" s="501">
        <f>'HR Track 1 TSA'!N12</f>
        <v>0</v>
      </c>
      <c r="O345" s="501">
        <f>'HR Track 1 TSA'!O12</f>
        <v>0</v>
      </c>
      <c r="P345" s="501">
        <f>'HR Track 1 TSA'!P12</f>
        <v>0</v>
      </c>
      <c r="Q345" s="452">
        <f>'HR Track 1 TSA'!Q12</f>
        <v>0</v>
      </c>
      <c r="R345" s="452">
        <f>'HR Track 1 TSA'!R12</f>
        <v>0</v>
      </c>
      <c r="S345" s="500">
        <f>'HR Track 1 TSA'!S12</f>
        <v>50.19999999999709</v>
      </c>
      <c r="T345" s="452">
        <f>'HR Track 1 TSA'!T12</f>
        <v>0</v>
      </c>
      <c r="U345" s="452">
        <f>'HR Track 1 TSA'!U12</f>
        <v>0</v>
      </c>
      <c r="V345" s="452">
        <f>'HR Track 1 TSA'!V12</f>
        <v>0</v>
      </c>
      <c r="W345" s="452">
        <f>'HR Track 1 TSA'!W12</f>
        <v>0</v>
      </c>
      <c r="X345" s="452">
        <f>'HR Track 1 TSA'!X12</f>
        <v>0</v>
      </c>
      <c r="Y345" s="452">
        <f>'HR Track 1 TSA'!Y12</f>
        <v>0</v>
      </c>
      <c r="Z345" s="452">
        <f>'HR Track 1 TSA'!Z12</f>
        <v>0</v>
      </c>
      <c r="AA345" s="452">
        <f>'HR Track 1 TSA'!AA12</f>
        <v>0</v>
      </c>
      <c r="AB345" s="452">
        <f>'HR Track 1 TSA'!AB12</f>
        <v>0</v>
      </c>
      <c r="AC345" s="452">
        <f>'HR Track 1 TSA'!AC12</f>
        <v>0</v>
      </c>
      <c r="AD345" s="452">
        <f>'HR Track 1 TSA'!AD12</f>
        <v>0</v>
      </c>
      <c r="AE345" s="452">
        <f>'HR Track 1 TSA'!AE12</f>
        <v>0</v>
      </c>
      <c r="AF345" s="452">
        <f>'HR Track 1 TSA'!AF12</f>
        <v>0</v>
      </c>
      <c r="AG345" s="451">
        <f>'HR Track 1 TSA'!AG12</f>
        <v>0</v>
      </c>
      <c r="AH345" s="452">
        <f>'HR Track 1 TSA'!AH12</f>
        <v>0</v>
      </c>
      <c r="AI345" s="452">
        <f>'HR Track 1 TSA'!AI12</f>
        <v>0</v>
      </c>
      <c r="AJ345" s="452">
        <f>'HR Track 1 TSA'!AJ12</f>
        <v>0</v>
      </c>
      <c r="AK345" s="452">
        <f>'HR Track 1 TSA'!AK12</f>
        <v>0</v>
      </c>
      <c r="AL345" s="452">
        <f>'HR Track 1 TSA'!AL12</f>
        <v>0</v>
      </c>
      <c r="AM345" s="452">
        <f>'HR Track 1 TSA'!AM12</f>
        <v>0</v>
      </c>
      <c r="AN345" s="500">
        <f>'HR Track 1 TSA'!AN12</f>
        <v>0</v>
      </c>
      <c r="AO345" s="452">
        <f>'HR Track 1 TSA'!AO12</f>
        <v>0</v>
      </c>
      <c r="AP345" s="452">
        <f>'HR Track 1 TSA'!AP12</f>
        <v>0</v>
      </c>
      <c r="AQ345" s="452">
        <f>'HR Track 1 TSA'!AQ12</f>
        <v>0.52271999999999996</v>
      </c>
      <c r="AR345" s="452">
        <f>'HR Track 1 TSA'!AR12</f>
        <v>0</v>
      </c>
      <c r="AS345" s="452">
        <f>'HR Track 1 TSA'!AS12</f>
        <v>0</v>
      </c>
      <c r="AT345" s="452">
        <f>'HR Track 1 TSA'!AT12</f>
        <v>0</v>
      </c>
      <c r="AU345" s="452">
        <f>'HR Track 1 TSA'!AU12</f>
        <v>0</v>
      </c>
      <c r="AV345" s="452">
        <f>'HR Track 1 TSA'!AV12</f>
        <v>0</v>
      </c>
      <c r="AW345" s="452" t="str">
        <f>'HR Track 1 TSA'!AW12</f>
        <v>Soil B</v>
      </c>
      <c r="AX345" s="452" t="str">
        <f>'HR Track 1 TSA'!AX12</f>
        <v>PT</v>
      </c>
      <c r="AY345" s="500">
        <f>'HR Track 1 TSA'!AY12</f>
        <v>0</v>
      </c>
      <c r="AZ345" s="500">
        <f>'HR Track 1 TSA'!AZ12</f>
        <v>3.9</v>
      </c>
      <c r="BA345" s="1333" t="str">
        <f>'HR Track 1 TSA'!BA12</f>
        <v>ü</v>
      </c>
      <c r="BB345" s="452">
        <f>'HR Track 1 TSA'!BB12</f>
        <v>0</v>
      </c>
      <c r="BC345" s="1334">
        <f>'HR Track 1 TSA'!BC12</f>
        <v>0</v>
      </c>
      <c r="BD345" s="1335">
        <f>'HR Track 1 TSA'!BD12</f>
        <v>43736</v>
      </c>
      <c r="BE345" s="1335">
        <f>'HR Track 1 TSA'!BE12</f>
        <v>0</v>
      </c>
      <c r="BF345" s="1335">
        <f>'HR Track 1 TSA'!BF12</f>
        <v>0</v>
      </c>
      <c r="BG345" s="1335">
        <f>'HR Track 1 TSA'!BG12</f>
        <v>0</v>
      </c>
    </row>
    <row r="346" spans="1:59" ht="15.75" customHeight="1">
      <c r="S346" s="454"/>
      <c r="BA346" s="1305"/>
      <c r="BC346" s="169"/>
    </row>
    <row r="347" spans="1:59" ht="15.75" customHeight="1">
      <c r="S347" s="454"/>
      <c r="BA347" s="1305"/>
      <c r="BC347" s="169"/>
    </row>
    <row r="348" spans="1:59" ht="15.75" customHeight="1">
      <c r="S348" s="454"/>
      <c r="BA348" s="1305"/>
      <c r="BC348" s="169"/>
    </row>
    <row r="349" spans="1:59" ht="15.75" customHeight="1">
      <c r="S349" s="454"/>
      <c r="BA349" s="1305"/>
      <c r="BC349" s="169"/>
    </row>
    <row r="350" spans="1:59" ht="15.75" customHeight="1">
      <c r="S350" s="454"/>
      <c r="BA350" s="1305"/>
      <c r="BC350" s="169"/>
    </row>
    <row r="351" spans="1:59" ht="15.75" customHeight="1">
      <c r="S351" s="454"/>
      <c r="BA351" s="1305"/>
      <c r="BC351" s="169"/>
    </row>
    <row r="352" spans="1:59" ht="15.75" customHeight="1">
      <c r="S352" s="454"/>
      <c r="BA352" s="1305"/>
      <c r="BC352" s="169"/>
    </row>
    <row r="353" spans="19:55" ht="15.75" customHeight="1">
      <c r="S353" s="454"/>
      <c r="BA353" s="1305"/>
      <c r="BC353" s="169"/>
    </row>
    <row r="354" spans="19:55" ht="15.75" customHeight="1">
      <c r="S354" s="454"/>
      <c r="BA354" s="1305"/>
      <c r="BC354" s="169"/>
    </row>
    <row r="355" spans="19:55" ht="15.75" customHeight="1">
      <c r="S355" s="454"/>
      <c r="BA355" s="1305"/>
      <c r="BC355" s="169"/>
    </row>
    <row r="356" spans="19:55" ht="15.75" customHeight="1">
      <c r="S356" s="454"/>
      <c r="BA356" s="1305"/>
      <c r="BC356" s="169"/>
    </row>
    <row r="357" spans="19:55" ht="15.75" customHeight="1">
      <c r="S357" s="454"/>
      <c r="BA357" s="1305"/>
      <c r="BC357" s="169"/>
    </row>
    <row r="358" spans="19:55" ht="15.75" customHeight="1">
      <c r="S358" s="454"/>
      <c r="BA358" s="1305"/>
      <c r="BC358" s="169"/>
    </row>
    <row r="359" spans="19:55" ht="15.75" customHeight="1">
      <c r="S359" s="454"/>
      <c r="BA359" s="1305"/>
      <c r="BC359" s="169"/>
    </row>
    <row r="360" spans="19:55" ht="15.75" customHeight="1">
      <c r="S360" s="454"/>
      <c r="BA360" s="1305"/>
      <c r="BC360" s="169"/>
    </row>
    <row r="361" spans="19:55" ht="15.75" customHeight="1">
      <c r="S361" s="454"/>
      <c r="BA361" s="1305"/>
      <c r="BC361" s="169"/>
    </row>
    <row r="362" spans="19:55" ht="15.75" customHeight="1">
      <c r="S362" s="454"/>
      <c r="BA362" s="1305"/>
      <c r="BC362" s="169"/>
    </row>
    <row r="363" spans="19:55" ht="15.75" customHeight="1">
      <c r="S363" s="454"/>
      <c r="BA363" s="1305"/>
      <c r="BC363" s="169"/>
    </row>
    <row r="364" spans="19:55" ht="15.75" customHeight="1">
      <c r="S364" s="454"/>
      <c r="BA364" s="1305"/>
      <c r="BC364" s="169"/>
    </row>
    <row r="365" spans="19:55" ht="15.75" customHeight="1">
      <c r="S365" s="454"/>
      <c r="BA365" s="1305"/>
      <c r="BC365" s="169"/>
    </row>
    <row r="366" spans="19:55" ht="15.75" customHeight="1">
      <c r="S366" s="454"/>
      <c r="BA366" s="1305"/>
      <c r="BC366" s="169"/>
    </row>
    <row r="367" spans="19:55" ht="15.75" customHeight="1">
      <c r="S367" s="454"/>
      <c r="BA367" s="1305"/>
      <c r="BC367" s="169"/>
    </row>
    <row r="368" spans="19:55" ht="15.75" customHeight="1">
      <c r="S368" s="454"/>
      <c r="BA368" s="1305"/>
      <c r="BC368" s="169"/>
    </row>
    <row r="369" spans="19:55" ht="15.75" customHeight="1">
      <c r="S369" s="454"/>
      <c r="BA369" s="1305"/>
      <c r="BC369" s="169"/>
    </row>
    <row r="370" spans="19:55" ht="15.75" customHeight="1">
      <c r="S370" s="454"/>
      <c r="BA370" s="1305"/>
      <c r="BC370" s="169"/>
    </row>
    <row r="371" spans="19:55" ht="15.75" customHeight="1">
      <c r="S371" s="454"/>
      <c r="BA371" s="1305"/>
      <c r="BC371" s="169"/>
    </row>
    <row r="372" spans="19:55" ht="15.75" customHeight="1">
      <c r="S372" s="454"/>
      <c r="BA372" s="1305"/>
      <c r="BC372" s="169"/>
    </row>
    <row r="373" spans="19:55" ht="15.75" customHeight="1">
      <c r="S373" s="454"/>
      <c r="BA373" s="1305"/>
      <c r="BC373" s="169"/>
    </row>
    <row r="374" spans="19:55" ht="15.75" customHeight="1">
      <c r="S374" s="454"/>
      <c r="BA374" s="1305"/>
      <c r="BC374" s="169"/>
    </row>
    <row r="375" spans="19:55" ht="15.75" customHeight="1">
      <c r="S375" s="454"/>
      <c r="BA375" s="1305"/>
      <c r="BC375" s="169"/>
    </row>
    <row r="376" spans="19:55" ht="15.75" customHeight="1">
      <c r="S376" s="454"/>
      <c r="BA376" s="1305"/>
      <c r="BC376" s="169"/>
    </row>
    <row r="377" spans="19:55" ht="15.75" customHeight="1">
      <c r="S377" s="454"/>
      <c r="BA377" s="1305"/>
      <c r="BC377" s="169"/>
    </row>
    <row r="378" spans="19:55" ht="15.75" customHeight="1">
      <c r="S378" s="454"/>
      <c r="BA378" s="1305"/>
      <c r="BC378" s="169"/>
    </row>
    <row r="379" spans="19:55" ht="15.75" customHeight="1">
      <c r="S379" s="454"/>
      <c r="BA379" s="1305"/>
      <c r="BC379" s="169"/>
    </row>
    <row r="380" spans="19:55" ht="15.75" customHeight="1">
      <c r="S380" s="454"/>
      <c r="BA380" s="1305"/>
      <c r="BC380" s="169"/>
    </row>
    <row r="381" spans="19:55" ht="15.75" customHeight="1">
      <c r="S381" s="454"/>
      <c r="BA381" s="1305"/>
      <c r="BC381" s="169"/>
    </row>
    <row r="382" spans="19:55" ht="15.75" customHeight="1">
      <c r="S382" s="454"/>
      <c r="BA382" s="1305"/>
      <c r="BC382" s="169"/>
    </row>
    <row r="383" spans="19:55" ht="15.75" customHeight="1">
      <c r="S383" s="454"/>
      <c r="BA383" s="1305"/>
      <c r="BC383" s="169"/>
    </row>
    <row r="384" spans="19:55" ht="15.75" customHeight="1">
      <c r="S384" s="454"/>
      <c r="BA384" s="1305"/>
      <c r="BC384" s="169"/>
    </row>
    <row r="385" spans="19:55" ht="15.75" customHeight="1">
      <c r="S385" s="454"/>
      <c r="BA385" s="1305"/>
      <c r="BC385" s="169"/>
    </row>
    <row r="386" spans="19:55" ht="15.75" customHeight="1">
      <c r="S386" s="454"/>
      <c r="BA386" s="1305"/>
      <c r="BC386" s="169"/>
    </row>
    <row r="387" spans="19:55" ht="15.75" customHeight="1">
      <c r="S387" s="454"/>
      <c r="BA387" s="1305"/>
      <c r="BC387" s="169"/>
    </row>
    <row r="388" spans="19:55" ht="15.75" customHeight="1">
      <c r="S388" s="454"/>
      <c r="BA388" s="1305"/>
      <c r="BC388" s="169"/>
    </row>
    <row r="389" spans="19:55" ht="15.75" customHeight="1">
      <c r="S389" s="454"/>
      <c r="BA389" s="1305"/>
      <c r="BC389" s="169"/>
    </row>
    <row r="390" spans="19:55" ht="15.75" customHeight="1">
      <c r="S390" s="454"/>
      <c r="BA390" s="1305"/>
      <c r="BC390" s="169"/>
    </row>
    <row r="391" spans="19:55" ht="15.75" customHeight="1">
      <c r="S391" s="454"/>
      <c r="BA391" s="1305"/>
      <c r="BC391" s="169"/>
    </row>
    <row r="392" spans="19:55" ht="15.75" customHeight="1">
      <c r="S392" s="454"/>
      <c r="BA392" s="1305"/>
      <c r="BC392" s="169"/>
    </row>
    <row r="393" spans="19:55" ht="15.75" customHeight="1">
      <c r="S393" s="454"/>
      <c r="BA393" s="1305"/>
      <c r="BC393" s="169"/>
    </row>
    <row r="394" spans="19:55" ht="15.75" customHeight="1">
      <c r="S394" s="454"/>
      <c r="BA394" s="1305"/>
      <c r="BC394" s="169"/>
    </row>
    <row r="395" spans="19:55" ht="15.75" customHeight="1">
      <c r="S395" s="454"/>
      <c r="BA395" s="1305"/>
      <c r="BC395" s="169"/>
    </row>
    <row r="396" spans="19:55" ht="15.75" customHeight="1">
      <c r="S396" s="454"/>
      <c r="BA396" s="1305"/>
      <c r="BC396" s="169"/>
    </row>
    <row r="397" spans="19:55" ht="15.75" customHeight="1">
      <c r="S397" s="454"/>
      <c r="BA397" s="1305"/>
      <c r="BC397" s="169"/>
    </row>
    <row r="398" spans="19:55" ht="15.75" customHeight="1">
      <c r="S398" s="454"/>
      <c r="BA398" s="1305"/>
      <c r="BC398" s="169"/>
    </row>
    <row r="399" spans="19:55" ht="15.75" customHeight="1">
      <c r="S399" s="454"/>
      <c r="BA399" s="1305"/>
      <c r="BC399" s="169"/>
    </row>
    <row r="400" spans="19:55" ht="15.75" customHeight="1">
      <c r="S400" s="454"/>
      <c r="BA400" s="1305"/>
      <c r="BC400" s="169"/>
    </row>
    <row r="401" spans="19:55" ht="15.75" customHeight="1">
      <c r="S401" s="454"/>
      <c r="BA401" s="1305"/>
      <c r="BC401" s="169"/>
    </row>
    <row r="402" spans="19:55" ht="15.75" customHeight="1">
      <c r="S402" s="454"/>
      <c r="BA402" s="1305"/>
      <c r="BC402" s="169"/>
    </row>
    <row r="403" spans="19:55" ht="15.75" customHeight="1">
      <c r="S403" s="454"/>
      <c r="BA403" s="1305"/>
      <c r="BC403" s="169"/>
    </row>
    <row r="404" spans="19:55" ht="15.75" customHeight="1">
      <c r="S404" s="454"/>
      <c r="BA404" s="1305"/>
      <c r="BC404" s="169"/>
    </row>
    <row r="405" spans="19:55" ht="15.75" customHeight="1">
      <c r="S405" s="454"/>
      <c r="BA405" s="1305"/>
      <c r="BC405" s="169"/>
    </row>
    <row r="406" spans="19:55" ht="15.75" customHeight="1">
      <c r="S406" s="454"/>
      <c r="BA406" s="1305"/>
      <c r="BC406" s="169"/>
    </row>
    <row r="407" spans="19:55" ht="15.75" customHeight="1">
      <c r="S407" s="454"/>
      <c r="BA407" s="1305"/>
      <c r="BC407" s="169"/>
    </row>
    <row r="408" spans="19:55" ht="15.75" customHeight="1">
      <c r="S408" s="454"/>
      <c r="BA408" s="1305"/>
      <c r="BC408" s="169"/>
    </row>
    <row r="409" spans="19:55" ht="15.75" customHeight="1">
      <c r="S409" s="454"/>
      <c r="BA409" s="1305"/>
      <c r="BC409" s="169"/>
    </row>
    <row r="410" spans="19:55" ht="15.75" customHeight="1">
      <c r="S410" s="454"/>
      <c r="BA410" s="1305"/>
      <c r="BC410" s="169"/>
    </row>
    <row r="411" spans="19:55" ht="15.75" customHeight="1">
      <c r="S411" s="454"/>
      <c r="BA411" s="1305"/>
      <c r="BC411" s="169"/>
    </row>
    <row r="412" spans="19:55" ht="15.75" customHeight="1">
      <c r="S412" s="454"/>
      <c r="BA412" s="1305"/>
      <c r="BC412" s="169"/>
    </row>
    <row r="413" spans="19:55" ht="15.75" customHeight="1">
      <c r="S413" s="454"/>
      <c r="BA413" s="1305"/>
      <c r="BC413" s="169"/>
    </row>
    <row r="414" spans="19:55" ht="15.75" customHeight="1">
      <c r="S414" s="454"/>
      <c r="BA414" s="1305"/>
      <c r="BC414" s="169"/>
    </row>
    <row r="415" spans="19:55" ht="15.75" customHeight="1">
      <c r="S415" s="454"/>
      <c r="BA415" s="1305"/>
      <c r="BC415" s="169"/>
    </row>
    <row r="416" spans="19:55" ht="15.75" customHeight="1">
      <c r="S416" s="454"/>
      <c r="BA416" s="1305"/>
      <c r="BC416" s="169"/>
    </row>
    <row r="417" spans="19:55" ht="15.75" customHeight="1">
      <c r="S417" s="454"/>
      <c r="BA417" s="1305"/>
      <c r="BC417" s="169"/>
    </row>
    <row r="418" spans="19:55" ht="15.75" customHeight="1">
      <c r="S418" s="454"/>
      <c r="BA418" s="1305"/>
      <c r="BC418" s="169"/>
    </row>
    <row r="419" spans="19:55" ht="15.75" customHeight="1">
      <c r="S419" s="454"/>
      <c r="BA419" s="1305"/>
      <c r="BC419" s="169"/>
    </row>
    <row r="420" spans="19:55" ht="15.75" customHeight="1">
      <c r="S420" s="454"/>
      <c r="BA420" s="1305"/>
      <c r="BC420" s="169"/>
    </row>
    <row r="421" spans="19:55" ht="15.75" customHeight="1">
      <c r="S421" s="454"/>
      <c r="BA421" s="1305"/>
      <c r="BC421" s="169"/>
    </row>
    <row r="422" spans="19:55" ht="15.75" customHeight="1">
      <c r="S422" s="454"/>
      <c r="BA422" s="1305"/>
      <c r="BC422" s="169"/>
    </row>
    <row r="423" spans="19:55" ht="15.75" customHeight="1">
      <c r="S423" s="454"/>
      <c r="BA423" s="1305"/>
      <c r="BC423" s="169"/>
    </row>
    <row r="424" spans="19:55" ht="15.75" customHeight="1">
      <c r="S424" s="454"/>
      <c r="BA424" s="1305"/>
      <c r="BC424" s="169"/>
    </row>
    <row r="425" spans="19:55" ht="15.75" customHeight="1">
      <c r="S425" s="454"/>
      <c r="BA425" s="1305"/>
      <c r="BC425" s="169"/>
    </row>
    <row r="426" spans="19:55" ht="15.75" customHeight="1">
      <c r="S426" s="454"/>
      <c r="BA426" s="1305"/>
      <c r="BC426" s="169"/>
    </row>
    <row r="427" spans="19:55" ht="15.75" customHeight="1">
      <c r="S427" s="454"/>
      <c r="BA427" s="1305"/>
      <c r="BC427" s="169"/>
    </row>
    <row r="428" spans="19:55" ht="15.75" customHeight="1">
      <c r="S428" s="454"/>
      <c r="BA428" s="1305"/>
      <c r="BC428" s="169"/>
    </row>
    <row r="429" spans="19:55" ht="15.75" customHeight="1">
      <c r="S429" s="454"/>
      <c r="BA429" s="1305"/>
      <c r="BC429" s="169"/>
    </row>
    <row r="430" spans="19:55" ht="15.75" customHeight="1">
      <c r="S430" s="454"/>
      <c r="BA430" s="1305"/>
      <c r="BC430" s="169"/>
    </row>
    <row r="431" spans="19:55" ht="15.75" customHeight="1">
      <c r="S431" s="454"/>
      <c r="BA431" s="1305"/>
      <c r="BC431" s="169"/>
    </row>
    <row r="432" spans="19:55" ht="15.75" customHeight="1">
      <c r="S432" s="454"/>
      <c r="BA432" s="1305"/>
      <c r="BC432" s="169"/>
    </row>
    <row r="433" spans="19:55" ht="15.75" customHeight="1">
      <c r="S433" s="454"/>
      <c r="BA433" s="1305"/>
      <c r="BC433" s="169"/>
    </row>
    <row r="434" spans="19:55" ht="15.75" customHeight="1">
      <c r="S434" s="454"/>
      <c r="BA434" s="1305"/>
      <c r="BC434" s="169"/>
    </row>
    <row r="435" spans="19:55" ht="15.75" customHeight="1">
      <c r="S435" s="454"/>
      <c r="BA435" s="1305"/>
      <c r="BC435" s="169"/>
    </row>
    <row r="436" spans="19:55" ht="15.75" customHeight="1">
      <c r="S436" s="454"/>
      <c r="BA436" s="1305"/>
      <c r="BC436" s="169"/>
    </row>
    <row r="437" spans="19:55" ht="15.75" customHeight="1">
      <c r="S437" s="454"/>
      <c r="BA437" s="1305"/>
      <c r="BC437" s="169"/>
    </row>
    <row r="438" spans="19:55" ht="15.75" customHeight="1">
      <c r="S438" s="454"/>
      <c r="BA438" s="1305"/>
      <c r="BC438" s="169"/>
    </row>
    <row r="439" spans="19:55" ht="15.75" customHeight="1">
      <c r="S439" s="454"/>
      <c r="BA439" s="1305"/>
      <c r="BC439" s="169"/>
    </row>
    <row r="440" spans="19:55" ht="15.75" customHeight="1">
      <c r="S440" s="454"/>
      <c r="BA440" s="1305"/>
      <c r="BC440" s="169"/>
    </row>
    <row r="441" spans="19:55" ht="15.75" customHeight="1">
      <c r="S441" s="454"/>
      <c r="BA441" s="1305"/>
      <c r="BC441" s="169"/>
    </row>
    <row r="442" spans="19:55" ht="15.75" customHeight="1">
      <c r="S442" s="454"/>
      <c r="BA442" s="1305"/>
      <c r="BC442" s="169"/>
    </row>
    <row r="443" spans="19:55" ht="15.75" customHeight="1">
      <c r="S443" s="454"/>
      <c r="BA443" s="1305"/>
      <c r="BC443" s="169"/>
    </row>
    <row r="444" spans="19:55" ht="15.75" customHeight="1">
      <c r="S444" s="454"/>
      <c r="BA444" s="1305"/>
      <c r="BC444" s="169"/>
    </row>
    <row r="445" spans="19:55" ht="15.75" customHeight="1">
      <c r="S445" s="454"/>
      <c r="BA445" s="1305"/>
      <c r="BC445" s="169"/>
    </row>
    <row r="446" spans="19:55" ht="15.75" customHeight="1">
      <c r="S446" s="454"/>
      <c r="BA446" s="1305"/>
      <c r="BC446" s="169"/>
    </row>
    <row r="447" spans="19:55" ht="15.75" customHeight="1">
      <c r="S447" s="454"/>
      <c r="BA447" s="1305"/>
      <c r="BC447" s="169"/>
    </row>
    <row r="448" spans="19:55" ht="15.75" customHeight="1">
      <c r="S448" s="454"/>
      <c r="BA448" s="1305"/>
      <c r="BC448" s="169"/>
    </row>
    <row r="449" spans="19:55" ht="15.75" customHeight="1">
      <c r="S449" s="454"/>
      <c r="BA449" s="1305"/>
      <c r="BC449" s="169"/>
    </row>
    <row r="450" spans="19:55" ht="15.75" customHeight="1">
      <c r="S450" s="454"/>
      <c r="BA450" s="1305"/>
      <c r="BC450" s="169"/>
    </row>
    <row r="451" spans="19:55" ht="15.75" customHeight="1">
      <c r="S451" s="454"/>
      <c r="BA451" s="1305"/>
      <c r="BC451" s="169"/>
    </row>
    <row r="452" spans="19:55" ht="15.75" customHeight="1">
      <c r="S452" s="454"/>
      <c r="BA452" s="1305"/>
      <c r="BC452" s="169"/>
    </row>
    <row r="453" spans="19:55" ht="15.75" customHeight="1">
      <c r="S453" s="454"/>
      <c r="BA453" s="1305"/>
      <c r="BC453" s="169"/>
    </row>
    <row r="454" spans="19:55" ht="15.75" customHeight="1">
      <c r="S454" s="454"/>
      <c r="BA454" s="1305"/>
      <c r="BC454" s="169"/>
    </row>
    <row r="455" spans="19:55" ht="15.75" customHeight="1">
      <c r="S455" s="454"/>
      <c r="BA455" s="1305"/>
      <c r="BC455" s="169"/>
    </row>
    <row r="456" spans="19:55" ht="15.75" customHeight="1">
      <c r="S456" s="454"/>
      <c r="BA456" s="1305"/>
      <c r="BC456" s="169"/>
    </row>
    <row r="457" spans="19:55" ht="15.75" customHeight="1">
      <c r="S457" s="454"/>
      <c r="BA457" s="1305"/>
      <c r="BC457" s="169"/>
    </row>
    <row r="458" spans="19:55" ht="15.75" customHeight="1">
      <c r="S458" s="454"/>
      <c r="BA458" s="1305"/>
      <c r="BC458" s="169"/>
    </row>
    <row r="459" spans="19:55" ht="15.75" customHeight="1">
      <c r="S459" s="454"/>
      <c r="BA459" s="1305"/>
      <c r="BC459" s="169"/>
    </row>
    <row r="460" spans="19:55" ht="15.75" customHeight="1">
      <c r="S460" s="454"/>
      <c r="BA460" s="1305"/>
      <c r="BC460" s="169"/>
    </row>
    <row r="461" spans="19:55" ht="15.75" customHeight="1">
      <c r="S461" s="454"/>
      <c r="BA461" s="1305"/>
      <c r="BC461" s="169"/>
    </row>
    <row r="462" spans="19:55" ht="15.75" customHeight="1">
      <c r="S462" s="454"/>
      <c r="BA462" s="1305"/>
      <c r="BC462" s="169"/>
    </row>
    <row r="463" spans="19:55" ht="15.75" customHeight="1">
      <c r="S463" s="454"/>
      <c r="BA463" s="1305"/>
      <c r="BC463" s="169"/>
    </row>
    <row r="464" spans="19:55" ht="15.75" customHeight="1">
      <c r="S464" s="454"/>
      <c r="BA464" s="1305"/>
      <c r="BC464" s="169"/>
    </row>
    <row r="465" spans="19:55" ht="15.75" customHeight="1">
      <c r="S465" s="454"/>
      <c r="BA465" s="1305"/>
      <c r="BC465" s="169"/>
    </row>
    <row r="466" spans="19:55" ht="15.75" customHeight="1">
      <c r="S466" s="454"/>
      <c r="BA466" s="1305"/>
      <c r="BC466" s="169"/>
    </row>
    <row r="467" spans="19:55" ht="15.75" customHeight="1">
      <c r="S467" s="454"/>
      <c r="BA467" s="1305"/>
      <c r="BC467" s="169"/>
    </row>
    <row r="468" spans="19:55" ht="15.75" customHeight="1">
      <c r="S468" s="454"/>
      <c r="BA468" s="1305"/>
      <c r="BC468" s="169"/>
    </row>
    <row r="469" spans="19:55" ht="15.75" customHeight="1">
      <c r="S469" s="454"/>
      <c r="BA469" s="1305"/>
      <c r="BC469" s="169"/>
    </row>
    <row r="470" spans="19:55" ht="15.75" customHeight="1">
      <c r="S470" s="454"/>
      <c r="BA470" s="1305"/>
      <c r="BC470" s="169"/>
    </row>
    <row r="471" spans="19:55" ht="15.75" customHeight="1">
      <c r="S471" s="454"/>
      <c r="BA471" s="1305"/>
      <c r="BC471" s="169"/>
    </row>
    <row r="472" spans="19:55" ht="15.75" customHeight="1">
      <c r="S472" s="454"/>
      <c r="BA472" s="1305"/>
      <c r="BC472" s="169"/>
    </row>
    <row r="473" spans="19:55" ht="15.75" customHeight="1">
      <c r="S473" s="454"/>
      <c r="BA473" s="1305"/>
      <c r="BC473" s="169"/>
    </row>
    <row r="474" spans="19:55" ht="15.75" customHeight="1">
      <c r="S474" s="454"/>
      <c r="BA474" s="1305"/>
      <c r="BC474" s="169"/>
    </row>
    <row r="475" spans="19:55" ht="15.75" customHeight="1">
      <c r="S475" s="454"/>
      <c r="BA475" s="1305"/>
      <c r="BC475" s="169"/>
    </row>
    <row r="476" spans="19:55" ht="15.75" customHeight="1">
      <c r="S476" s="454"/>
      <c r="BA476" s="1305"/>
      <c r="BC476" s="169"/>
    </row>
    <row r="477" spans="19:55" ht="15.75" customHeight="1">
      <c r="S477" s="454"/>
      <c r="BA477" s="1305"/>
      <c r="BC477" s="169"/>
    </row>
    <row r="478" spans="19:55" ht="15.75" customHeight="1">
      <c r="S478" s="454"/>
      <c r="BA478" s="1305"/>
      <c r="BC478" s="169"/>
    </row>
    <row r="479" spans="19:55" ht="15.75" customHeight="1">
      <c r="S479" s="454"/>
      <c r="BA479" s="1305"/>
      <c r="BC479" s="169"/>
    </row>
    <row r="480" spans="19:55" ht="15.75" customHeight="1">
      <c r="S480" s="454"/>
      <c r="BA480" s="1305"/>
      <c r="BC480" s="169"/>
    </row>
    <row r="481" spans="19:55" ht="15.75" customHeight="1">
      <c r="S481" s="454"/>
      <c r="BA481" s="1305"/>
      <c r="BC481" s="169"/>
    </row>
    <row r="482" spans="19:55" ht="15.75" customHeight="1">
      <c r="S482" s="454"/>
      <c r="BA482" s="1305"/>
      <c r="BC482" s="169"/>
    </row>
    <row r="483" spans="19:55" ht="15.75" customHeight="1">
      <c r="S483" s="454"/>
      <c r="BA483" s="1305"/>
      <c r="BC483" s="169"/>
    </row>
    <row r="484" spans="19:55" ht="15.75" customHeight="1">
      <c r="S484" s="454"/>
      <c r="BA484" s="1305"/>
      <c r="BC484" s="169"/>
    </row>
    <row r="485" spans="19:55" ht="15.75" customHeight="1">
      <c r="S485" s="454"/>
      <c r="BA485" s="1305"/>
      <c r="BC485" s="169"/>
    </row>
    <row r="486" spans="19:55" ht="15.75" customHeight="1">
      <c r="S486" s="454"/>
      <c r="BA486" s="1305"/>
      <c r="BC486" s="169"/>
    </row>
    <row r="487" spans="19:55" ht="15.75" customHeight="1">
      <c r="S487" s="454"/>
      <c r="BA487" s="1305"/>
      <c r="BC487" s="169"/>
    </row>
    <row r="488" spans="19:55" ht="15.75" customHeight="1">
      <c r="S488" s="454"/>
      <c r="BA488" s="1305"/>
      <c r="BC488" s="169"/>
    </row>
    <row r="489" spans="19:55" ht="15.75" customHeight="1">
      <c r="S489" s="454"/>
      <c r="BA489" s="1305"/>
      <c r="BC489" s="169"/>
    </row>
    <row r="490" spans="19:55" ht="15.75" customHeight="1">
      <c r="S490" s="454"/>
      <c r="BA490" s="1305"/>
      <c r="BC490" s="169"/>
    </row>
    <row r="491" spans="19:55" ht="15.75" customHeight="1">
      <c r="S491" s="454"/>
      <c r="BA491" s="1305"/>
      <c r="BC491" s="169"/>
    </row>
    <row r="492" spans="19:55" ht="15.75" customHeight="1">
      <c r="S492" s="454"/>
      <c r="BA492" s="1305"/>
      <c r="BC492" s="169"/>
    </row>
    <row r="493" spans="19:55" ht="15.75" customHeight="1">
      <c r="S493" s="454"/>
      <c r="BA493" s="1305"/>
      <c r="BC493" s="169"/>
    </row>
    <row r="494" spans="19:55" ht="15.75" customHeight="1">
      <c r="S494" s="454"/>
      <c r="BA494" s="1305"/>
      <c r="BC494" s="169"/>
    </row>
    <row r="495" spans="19:55" ht="15.75" customHeight="1">
      <c r="S495" s="454"/>
      <c r="BA495" s="1305"/>
      <c r="BC495" s="169"/>
    </row>
    <row r="496" spans="19:55" ht="15.75" customHeight="1">
      <c r="S496" s="454"/>
      <c r="BA496" s="1305"/>
      <c r="BC496" s="169"/>
    </row>
    <row r="497" spans="19:55" ht="15.75" customHeight="1">
      <c r="S497" s="454"/>
      <c r="BA497" s="1305"/>
      <c r="BC497" s="169"/>
    </row>
    <row r="498" spans="19:55" ht="15.75" customHeight="1">
      <c r="S498" s="454"/>
      <c r="BA498" s="1305"/>
      <c r="BC498" s="169"/>
    </row>
    <row r="499" spans="19:55" ht="15.75" customHeight="1">
      <c r="S499" s="454"/>
      <c r="BA499" s="1305"/>
      <c r="BC499" s="169"/>
    </row>
    <row r="500" spans="19:55" ht="15.75" customHeight="1">
      <c r="S500" s="454"/>
      <c r="BA500" s="1305"/>
      <c r="BC500" s="169"/>
    </row>
    <row r="501" spans="19:55" ht="15.75" customHeight="1">
      <c r="S501" s="454"/>
      <c r="BA501" s="1305"/>
      <c r="BC501" s="169"/>
    </row>
    <row r="502" spans="19:55" ht="15.75" customHeight="1">
      <c r="S502" s="454"/>
      <c r="BA502" s="1305"/>
      <c r="BC502" s="169"/>
    </row>
    <row r="503" spans="19:55" ht="15.75" customHeight="1">
      <c r="S503" s="454"/>
      <c r="BA503" s="1305"/>
      <c r="BC503" s="169"/>
    </row>
    <row r="504" spans="19:55" ht="15.75" customHeight="1">
      <c r="S504" s="454"/>
      <c r="BA504" s="1305"/>
      <c r="BC504" s="169"/>
    </row>
    <row r="505" spans="19:55" ht="15.75" customHeight="1">
      <c r="S505" s="454"/>
      <c r="BA505" s="1305"/>
      <c r="BC505" s="169"/>
    </row>
    <row r="506" spans="19:55" ht="15.75" customHeight="1">
      <c r="S506" s="454"/>
      <c r="BA506" s="1305"/>
      <c r="BC506" s="169"/>
    </row>
    <row r="507" spans="19:55" ht="15.75" customHeight="1">
      <c r="S507" s="454"/>
      <c r="BA507" s="1305"/>
      <c r="BC507" s="169"/>
    </row>
    <row r="508" spans="19:55" ht="15.75" customHeight="1">
      <c r="S508" s="454"/>
      <c r="BA508" s="1305"/>
      <c r="BC508" s="169"/>
    </row>
    <row r="509" spans="19:55" ht="15.75" customHeight="1">
      <c r="S509" s="454"/>
      <c r="BA509" s="1305"/>
      <c r="BC509" s="169"/>
    </row>
    <row r="510" spans="19:55" ht="15.75" customHeight="1">
      <c r="S510" s="454"/>
      <c r="BA510" s="1305"/>
      <c r="BC510" s="169"/>
    </row>
    <row r="511" spans="19:55" ht="15.75" customHeight="1">
      <c r="S511" s="454"/>
      <c r="BA511" s="1305"/>
      <c r="BC511" s="169"/>
    </row>
    <row r="512" spans="19:55" ht="15.75" customHeight="1">
      <c r="S512" s="454"/>
      <c r="BA512" s="1305"/>
      <c r="BC512" s="169"/>
    </row>
    <row r="513" spans="19:55" ht="15.75" customHeight="1">
      <c r="S513" s="454"/>
      <c r="BA513" s="1305"/>
      <c r="BC513" s="169"/>
    </row>
    <row r="514" spans="19:55" ht="15.75" customHeight="1">
      <c r="S514" s="454"/>
      <c r="BA514" s="1305"/>
      <c r="BC514" s="169"/>
    </row>
    <row r="515" spans="19:55" ht="15.75" customHeight="1">
      <c r="S515" s="454"/>
      <c r="BA515" s="1305"/>
      <c r="BC515" s="169"/>
    </row>
    <row r="516" spans="19:55" ht="15.75" customHeight="1">
      <c r="S516" s="454"/>
      <c r="BA516" s="1305"/>
      <c r="BC516" s="169"/>
    </row>
    <row r="517" spans="19:55" ht="15.75" customHeight="1">
      <c r="S517" s="454"/>
      <c r="BA517" s="1305"/>
      <c r="BC517" s="169"/>
    </row>
    <row r="518" spans="19:55" ht="15.75" customHeight="1">
      <c r="S518" s="454"/>
      <c r="BA518" s="1305"/>
      <c r="BC518" s="169"/>
    </row>
    <row r="519" spans="19:55" ht="15.75" customHeight="1">
      <c r="S519" s="454"/>
      <c r="BA519" s="1305"/>
      <c r="BC519" s="169"/>
    </row>
    <row r="520" spans="19:55" ht="15.75" customHeight="1">
      <c r="S520" s="454"/>
      <c r="BA520" s="1305"/>
      <c r="BC520" s="169"/>
    </row>
    <row r="521" spans="19:55" ht="15.75" customHeight="1">
      <c r="S521" s="454"/>
      <c r="BA521" s="1305"/>
      <c r="BC521" s="169"/>
    </row>
    <row r="522" spans="19:55" ht="15.75" customHeight="1">
      <c r="S522" s="454"/>
      <c r="BA522" s="1305"/>
      <c r="BC522" s="169"/>
    </row>
    <row r="523" spans="19:55" ht="15.75" customHeight="1">
      <c r="S523" s="454"/>
      <c r="BA523" s="1305"/>
      <c r="BC523" s="169"/>
    </row>
    <row r="524" spans="19:55" ht="15.75" customHeight="1">
      <c r="S524" s="454"/>
      <c r="BA524" s="1305"/>
      <c r="BC524" s="169"/>
    </row>
    <row r="525" spans="19:55" ht="15.75" customHeight="1">
      <c r="S525" s="454"/>
      <c r="BA525" s="1305"/>
      <c r="BC525" s="169"/>
    </row>
    <row r="526" spans="19:55" ht="15.75" customHeight="1">
      <c r="S526" s="454"/>
      <c r="BA526" s="1305"/>
      <c r="BC526" s="169"/>
    </row>
    <row r="527" spans="19:55" ht="15.75" customHeight="1">
      <c r="S527" s="454"/>
      <c r="BA527" s="1305"/>
      <c r="BC527" s="169"/>
    </row>
    <row r="528" spans="19:55" ht="15.75" customHeight="1">
      <c r="S528" s="454"/>
      <c r="BA528" s="1305"/>
      <c r="BC528" s="169"/>
    </row>
    <row r="529" spans="19:55" ht="15.75" customHeight="1">
      <c r="S529" s="454"/>
      <c r="BA529" s="1305"/>
      <c r="BC529" s="169"/>
    </row>
    <row r="530" spans="19:55" ht="15.75" customHeight="1">
      <c r="S530" s="454"/>
      <c r="BA530" s="1305"/>
      <c r="BC530" s="169"/>
    </row>
    <row r="531" spans="19:55" ht="15.75" customHeight="1">
      <c r="S531" s="454"/>
      <c r="BA531" s="1305"/>
      <c r="BC531" s="169"/>
    </row>
    <row r="532" spans="19:55" ht="15.75" customHeight="1">
      <c r="S532" s="454"/>
      <c r="BA532" s="1305"/>
      <c r="BC532" s="169"/>
    </row>
    <row r="533" spans="19:55" ht="15.75" customHeight="1">
      <c r="S533" s="454"/>
      <c r="BA533" s="1305"/>
      <c r="BC533" s="169"/>
    </row>
    <row r="534" spans="19:55" ht="15.75" customHeight="1">
      <c r="S534" s="454"/>
      <c r="BA534" s="1305"/>
      <c r="BC534" s="169"/>
    </row>
    <row r="535" spans="19:55" ht="15.75" customHeight="1">
      <c r="S535" s="454"/>
      <c r="BA535" s="1305"/>
      <c r="BC535" s="169"/>
    </row>
    <row r="536" spans="19:55" ht="15.75" customHeight="1">
      <c r="S536" s="454"/>
      <c r="BA536" s="1305"/>
      <c r="BC536" s="169"/>
    </row>
    <row r="537" spans="19:55" ht="15.75" customHeight="1">
      <c r="S537" s="454"/>
      <c r="BA537" s="1305"/>
      <c r="BC537" s="169"/>
    </row>
    <row r="538" spans="19:55" ht="15.75" customHeight="1">
      <c r="S538" s="454"/>
      <c r="BA538" s="1305"/>
      <c r="BC538" s="169"/>
    </row>
    <row r="539" spans="19:55" ht="15.75" customHeight="1">
      <c r="S539" s="454"/>
      <c r="BA539" s="1305"/>
      <c r="BC539" s="169"/>
    </row>
    <row r="540" spans="19:55" ht="15.75" customHeight="1">
      <c r="S540" s="454"/>
      <c r="BA540" s="1305"/>
      <c r="BC540" s="169"/>
    </row>
    <row r="541" spans="19:55" ht="15.75" customHeight="1">
      <c r="S541" s="454"/>
      <c r="BA541" s="1305"/>
      <c r="BC541" s="169"/>
    </row>
    <row r="542" spans="19:55" ht="15.75" customHeight="1">
      <c r="S542" s="454"/>
      <c r="BA542" s="1305"/>
      <c r="BC542" s="169"/>
    </row>
    <row r="543" spans="19:55" ht="15.75" customHeight="1">
      <c r="S543" s="454"/>
      <c r="BA543" s="1305"/>
      <c r="BC543" s="169"/>
    </row>
    <row r="544" spans="19:55" ht="15.75" customHeight="1">
      <c r="S544" s="454"/>
      <c r="BA544" s="1305"/>
      <c r="BC544" s="169"/>
    </row>
    <row r="545" spans="19:55" ht="15.75" customHeight="1">
      <c r="S545" s="454"/>
      <c r="BA545" s="1305"/>
      <c r="BC545" s="169"/>
    </row>
    <row r="546" spans="19:55" ht="15.75" customHeight="1">
      <c r="S546" s="454"/>
      <c r="BA546" s="1305"/>
      <c r="BC546" s="169"/>
    </row>
    <row r="547" spans="19:55" ht="15.75" customHeight="1">
      <c r="S547" s="454"/>
      <c r="BA547" s="1305"/>
      <c r="BC547" s="169"/>
    </row>
    <row r="548" spans="19:55" ht="15.75" customHeight="1">
      <c r="S548" s="454"/>
      <c r="BA548" s="1305"/>
      <c r="BC548" s="169"/>
    </row>
    <row r="549" spans="19:55" ht="15.75" customHeight="1">
      <c r="S549" s="454"/>
      <c r="BA549" s="1305"/>
      <c r="BC549" s="169"/>
    </row>
    <row r="550" spans="19:55" ht="15.75" customHeight="1">
      <c r="S550" s="454"/>
      <c r="BA550" s="1305"/>
      <c r="BC550" s="169"/>
    </row>
    <row r="551" spans="19:55" ht="15.75" customHeight="1">
      <c r="S551" s="454"/>
      <c r="BA551" s="1305"/>
      <c r="BC551" s="169"/>
    </row>
    <row r="552" spans="19:55" ht="15.75" customHeight="1">
      <c r="S552" s="454"/>
      <c r="BA552" s="1305"/>
      <c r="BC552" s="169"/>
    </row>
    <row r="553" spans="19:55" ht="15.75" customHeight="1">
      <c r="S553" s="454"/>
      <c r="BA553" s="1305"/>
      <c r="BC553" s="169"/>
    </row>
    <row r="554" spans="19:55" ht="15.75" customHeight="1">
      <c r="S554" s="454"/>
      <c r="BA554" s="1305"/>
      <c r="BC554" s="169"/>
    </row>
    <row r="555" spans="19:55" ht="15.75" customHeight="1">
      <c r="S555" s="454"/>
      <c r="BA555" s="1305"/>
      <c r="BC555" s="169"/>
    </row>
    <row r="556" spans="19:55" ht="15.75" customHeight="1">
      <c r="S556" s="454"/>
      <c r="BA556" s="1305"/>
      <c r="BC556" s="169"/>
    </row>
    <row r="557" spans="19:55" ht="15.75" customHeight="1">
      <c r="S557" s="454"/>
      <c r="BA557" s="1305"/>
      <c r="BC557" s="169"/>
    </row>
    <row r="558" spans="19:55" ht="15.75" customHeight="1">
      <c r="S558" s="454"/>
      <c r="BA558" s="1305"/>
      <c r="BC558" s="169"/>
    </row>
    <row r="559" spans="19:55" ht="15.75" customHeight="1">
      <c r="S559" s="454"/>
      <c r="BA559" s="1305"/>
      <c r="BC559" s="169"/>
    </row>
    <row r="560" spans="19:55" ht="15.75" customHeight="1">
      <c r="S560" s="454"/>
      <c r="BA560" s="1305"/>
      <c r="BC560" s="169"/>
    </row>
    <row r="561" spans="19:55" ht="15.75" customHeight="1">
      <c r="S561" s="454"/>
      <c r="BA561" s="1305"/>
      <c r="BC561" s="169"/>
    </row>
    <row r="562" spans="19:55" ht="15.75" customHeight="1">
      <c r="S562" s="454"/>
      <c r="BA562" s="1305"/>
      <c r="BC562" s="169"/>
    </row>
    <row r="563" spans="19:55" ht="15.75" customHeight="1">
      <c r="S563" s="454"/>
      <c r="BA563" s="1305"/>
      <c r="BC563" s="169"/>
    </row>
    <row r="564" spans="19:55" ht="15.75" customHeight="1">
      <c r="S564" s="454"/>
      <c r="BA564" s="1305"/>
      <c r="BC564" s="169"/>
    </row>
    <row r="565" spans="19:55" ht="15.75" customHeight="1">
      <c r="S565" s="454"/>
      <c r="BA565" s="1305"/>
      <c r="BC565" s="169"/>
    </row>
    <row r="566" spans="19:55" ht="15.75" customHeight="1">
      <c r="S566" s="454"/>
      <c r="BA566" s="1305"/>
      <c r="BC566" s="169"/>
    </row>
    <row r="567" spans="19:55" ht="15.75" customHeight="1">
      <c r="S567" s="454"/>
      <c r="BA567" s="1305"/>
      <c r="BC567" s="169"/>
    </row>
    <row r="568" spans="19:55" ht="15.75" customHeight="1">
      <c r="S568" s="454"/>
      <c r="BA568" s="1305"/>
      <c r="BC568" s="169"/>
    </row>
    <row r="569" spans="19:55" ht="15.75" customHeight="1">
      <c r="S569" s="454"/>
      <c r="BA569" s="1305"/>
      <c r="BC569" s="169"/>
    </row>
    <row r="570" spans="19:55" ht="15.75" customHeight="1">
      <c r="S570" s="454"/>
      <c r="BA570" s="1305"/>
      <c r="BC570" s="169"/>
    </row>
    <row r="571" spans="19:55" ht="15.75" customHeight="1">
      <c r="S571" s="454"/>
      <c r="BA571" s="1305"/>
      <c r="BC571" s="169"/>
    </row>
    <row r="572" spans="19:55" ht="15.75" customHeight="1">
      <c r="S572" s="454"/>
      <c r="BA572" s="1305"/>
      <c r="BC572" s="169"/>
    </row>
    <row r="573" spans="19:55" ht="15.75" customHeight="1">
      <c r="S573" s="454"/>
      <c r="BA573" s="1305"/>
      <c r="BC573" s="169"/>
    </row>
    <row r="574" spans="19:55" ht="15.75" customHeight="1">
      <c r="S574" s="454"/>
      <c r="BA574" s="1305"/>
      <c r="BC574" s="169"/>
    </row>
    <row r="575" spans="19:55" ht="15.75" customHeight="1">
      <c r="S575" s="454"/>
      <c r="BA575" s="1305"/>
      <c r="BC575" s="169"/>
    </row>
    <row r="576" spans="19:55" ht="15.75" customHeight="1">
      <c r="S576" s="454"/>
      <c r="BA576" s="1305"/>
      <c r="BC576" s="169"/>
    </row>
    <row r="577" spans="19:55" ht="15.75" customHeight="1">
      <c r="S577" s="454"/>
      <c r="BA577" s="1305"/>
      <c r="BC577" s="169"/>
    </row>
    <row r="578" spans="19:55" ht="15.75" customHeight="1">
      <c r="S578" s="454"/>
      <c r="BA578" s="1305"/>
      <c r="BC578" s="169"/>
    </row>
    <row r="579" spans="19:55" ht="15.75" customHeight="1">
      <c r="S579" s="454"/>
      <c r="BA579" s="1305"/>
      <c r="BC579" s="169"/>
    </row>
    <row r="580" spans="19:55" ht="15.75" customHeight="1">
      <c r="S580" s="454"/>
      <c r="BA580" s="1305"/>
      <c r="BC580" s="169"/>
    </row>
    <row r="581" spans="19:55" ht="15.75" customHeight="1">
      <c r="S581" s="454"/>
      <c r="BA581" s="1305"/>
      <c r="BC581" s="169"/>
    </row>
    <row r="582" spans="19:55" ht="15.75" customHeight="1">
      <c r="S582" s="454"/>
      <c r="BA582" s="1305"/>
      <c r="BC582" s="169"/>
    </row>
    <row r="583" spans="19:55" ht="15.75" customHeight="1">
      <c r="S583" s="454"/>
      <c r="BA583" s="1305"/>
      <c r="BC583" s="169"/>
    </row>
    <row r="584" spans="19:55" ht="15.75" customHeight="1">
      <c r="S584" s="454"/>
      <c r="BA584" s="1305"/>
      <c r="BC584" s="169"/>
    </row>
    <row r="585" spans="19:55" ht="15.75" customHeight="1">
      <c r="S585" s="454"/>
      <c r="BA585" s="1305"/>
      <c r="BC585" s="169"/>
    </row>
    <row r="586" spans="19:55" ht="15.75" customHeight="1">
      <c r="S586" s="454"/>
      <c r="BA586" s="1305"/>
      <c r="BC586" s="169"/>
    </row>
    <row r="587" spans="19:55" ht="15.75" customHeight="1">
      <c r="S587" s="454"/>
      <c r="BA587" s="1305"/>
      <c r="BC587" s="169"/>
    </row>
    <row r="588" spans="19:55" ht="15.75" customHeight="1">
      <c r="S588" s="454"/>
      <c r="BA588" s="1305"/>
      <c r="BC588" s="169"/>
    </row>
    <row r="589" spans="19:55" ht="15.75" customHeight="1">
      <c r="S589" s="454"/>
      <c r="BA589" s="1305"/>
      <c r="BC589" s="169"/>
    </row>
    <row r="590" spans="19:55" ht="15.75" customHeight="1">
      <c r="S590" s="454"/>
      <c r="BA590" s="1305"/>
      <c r="BC590" s="169"/>
    </row>
    <row r="591" spans="19:55" ht="15.75" customHeight="1">
      <c r="S591" s="454"/>
      <c r="BA591" s="1305"/>
      <c r="BC591" s="169"/>
    </row>
    <row r="592" spans="19:55" ht="15.75" customHeight="1">
      <c r="S592" s="454"/>
      <c r="BA592" s="1305"/>
      <c r="BC592" s="169"/>
    </row>
    <row r="593" spans="19:55" ht="15.75" customHeight="1">
      <c r="S593" s="454"/>
      <c r="BA593" s="1305"/>
      <c r="BC593" s="169"/>
    </row>
    <row r="594" spans="19:55" ht="15.75" customHeight="1">
      <c r="S594" s="454"/>
      <c r="BA594" s="1305"/>
      <c r="BC594" s="169"/>
    </row>
    <row r="595" spans="19:55" ht="15.75" customHeight="1">
      <c r="S595" s="454"/>
      <c r="BA595" s="1305"/>
      <c r="BC595" s="169"/>
    </row>
    <row r="596" spans="19:55" ht="15.75" customHeight="1">
      <c r="S596" s="454"/>
      <c r="BA596" s="1305"/>
      <c r="BC596" s="169"/>
    </row>
    <row r="597" spans="19:55" ht="15.75" customHeight="1">
      <c r="S597" s="454"/>
      <c r="BA597" s="1305"/>
      <c r="BC597" s="169"/>
    </row>
    <row r="598" spans="19:55" ht="15.75" customHeight="1">
      <c r="S598" s="454"/>
      <c r="BA598" s="1305"/>
      <c r="BC598" s="169"/>
    </row>
    <row r="599" spans="19:55" ht="15.75" customHeight="1">
      <c r="S599" s="454"/>
      <c r="BA599" s="1305"/>
      <c r="BC599" s="169"/>
    </row>
    <row r="600" spans="19:55" ht="15.75" customHeight="1">
      <c r="S600" s="454"/>
      <c r="BA600" s="1305"/>
      <c r="BC600" s="169"/>
    </row>
    <row r="601" spans="19:55" ht="15.75" customHeight="1">
      <c r="S601" s="454"/>
      <c r="BA601" s="1305"/>
      <c r="BC601" s="169"/>
    </row>
    <row r="602" spans="19:55" ht="15.75" customHeight="1">
      <c r="S602" s="454"/>
      <c r="BA602" s="1305"/>
      <c r="BC602" s="169"/>
    </row>
    <row r="603" spans="19:55" ht="15.75" customHeight="1">
      <c r="S603" s="454"/>
      <c r="BA603" s="1305"/>
      <c r="BC603" s="169"/>
    </row>
    <row r="604" spans="19:55" ht="15.75" customHeight="1">
      <c r="S604" s="454"/>
      <c r="BA604" s="1305"/>
      <c r="BC604" s="169"/>
    </row>
    <row r="605" spans="19:55" ht="15.75" customHeight="1">
      <c r="S605" s="454"/>
      <c r="BA605" s="1305"/>
      <c r="BC605" s="169"/>
    </row>
    <row r="606" spans="19:55" ht="15.75" customHeight="1">
      <c r="S606" s="454"/>
      <c r="BA606" s="1305"/>
      <c r="BC606" s="169"/>
    </row>
    <row r="607" spans="19:55" ht="15.75" customHeight="1">
      <c r="S607" s="454"/>
      <c r="BA607" s="1305"/>
      <c r="BC607" s="169"/>
    </row>
    <row r="608" spans="19:55" ht="15.75" customHeight="1">
      <c r="S608" s="454"/>
      <c r="BA608" s="1305"/>
      <c r="BC608" s="169"/>
    </row>
    <row r="609" spans="19:55" ht="15.75" customHeight="1">
      <c r="S609" s="454"/>
      <c r="BA609" s="1305"/>
      <c r="BC609" s="169"/>
    </row>
    <row r="610" spans="19:55" ht="15.75" customHeight="1">
      <c r="S610" s="454"/>
      <c r="BA610" s="1305"/>
      <c r="BC610" s="169"/>
    </row>
    <row r="611" spans="19:55" ht="15.75" customHeight="1">
      <c r="S611" s="454"/>
      <c r="BA611" s="1305"/>
      <c r="BC611" s="169"/>
    </row>
    <row r="612" spans="19:55" ht="15.75" customHeight="1">
      <c r="S612" s="454"/>
      <c r="BA612" s="1305"/>
      <c r="BC612" s="169"/>
    </row>
    <row r="613" spans="19:55" ht="15.75" customHeight="1">
      <c r="S613" s="454"/>
      <c r="BA613" s="1305"/>
      <c r="BC613" s="169"/>
    </row>
    <row r="614" spans="19:55" ht="15.75" customHeight="1">
      <c r="S614" s="454"/>
      <c r="BA614" s="1305"/>
      <c r="BC614" s="169"/>
    </row>
    <row r="615" spans="19:55" ht="15.75" customHeight="1">
      <c r="S615" s="454"/>
      <c r="BA615" s="1305"/>
      <c r="BC615" s="169"/>
    </row>
    <row r="616" spans="19:55" ht="15.75" customHeight="1">
      <c r="S616" s="454"/>
      <c r="BA616" s="1305"/>
      <c r="BC616" s="169"/>
    </row>
    <row r="617" spans="19:55" ht="15.75" customHeight="1">
      <c r="S617" s="454"/>
      <c r="BA617" s="1305"/>
      <c r="BC617" s="169"/>
    </row>
    <row r="618" spans="19:55" ht="15.75" customHeight="1">
      <c r="S618" s="454"/>
      <c r="BA618" s="1305"/>
      <c r="BC618" s="169"/>
    </row>
    <row r="619" spans="19:55" ht="15.75" customHeight="1">
      <c r="S619" s="454"/>
      <c r="BA619" s="1305"/>
      <c r="BC619" s="169"/>
    </row>
    <row r="620" spans="19:55" ht="15.75" customHeight="1">
      <c r="S620" s="454"/>
      <c r="BA620" s="1305"/>
      <c r="BC620" s="169"/>
    </row>
    <row r="621" spans="19:55" ht="15.75" customHeight="1">
      <c r="S621" s="454"/>
      <c r="BA621" s="1305"/>
      <c r="BC621" s="169"/>
    </row>
    <row r="622" spans="19:55" ht="15.75" customHeight="1">
      <c r="S622" s="454"/>
      <c r="BA622" s="1305"/>
      <c r="BC622" s="169"/>
    </row>
    <row r="623" spans="19:55" ht="15.75" customHeight="1">
      <c r="S623" s="454"/>
      <c r="BA623" s="1305"/>
      <c r="BC623" s="169"/>
    </row>
    <row r="624" spans="19:55" ht="15.75" customHeight="1">
      <c r="S624" s="454"/>
      <c r="BA624" s="1305"/>
      <c r="BC624" s="169"/>
    </row>
    <row r="625" spans="19:55" ht="15.75" customHeight="1">
      <c r="S625" s="454"/>
      <c r="BA625" s="1305"/>
      <c r="BC625" s="169"/>
    </row>
    <row r="626" spans="19:55" ht="15.75" customHeight="1">
      <c r="S626" s="454"/>
      <c r="BA626" s="1305"/>
      <c r="BC626" s="169"/>
    </row>
    <row r="627" spans="19:55" ht="15.75" customHeight="1">
      <c r="S627" s="454"/>
      <c r="BA627" s="1305"/>
      <c r="BC627" s="169"/>
    </row>
    <row r="628" spans="19:55" ht="15.75" customHeight="1">
      <c r="S628" s="454"/>
      <c r="BA628" s="1305"/>
      <c r="BC628" s="169"/>
    </row>
    <row r="629" spans="19:55" ht="15.75" customHeight="1">
      <c r="S629" s="454"/>
      <c r="BA629" s="1305"/>
      <c r="BC629" s="169"/>
    </row>
    <row r="630" spans="19:55" ht="15.75" customHeight="1">
      <c r="S630" s="454"/>
      <c r="BA630" s="1305"/>
      <c r="BC630" s="169"/>
    </row>
    <row r="631" spans="19:55" ht="15.75" customHeight="1">
      <c r="S631" s="454"/>
      <c r="BA631" s="1305"/>
      <c r="BC631" s="169"/>
    </row>
    <row r="632" spans="19:55" ht="15.75" customHeight="1">
      <c r="S632" s="454"/>
      <c r="BA632" s="1305"/>
      <c r="BC632" s="169"/>
    </row>
    <row r="633" spans="19:55" ht="15.75" customHeight="1">
      <c r="S633" s="454"/>
      <c r="BA633" s="1305"/>
      <c r="BC633" s="169"/>
    </row>
    <row r="634" spans="19:55" ht="15.75" customHeight="1">
      <c r="S634" s="454"/>
      <c r="BA634" s="1305"/>
      <c r="BC634" s="169"/>
    </row>
    <row r="635" spans="19:55" ht="15.75" customHeight="1">
      <c r="S635" s="454"/>
      <c r="BA635" s="1305"/>
      <c r="BC635" s="169"/>
    </row>
    <row r="636" spans="19:55" ht="15.75" customHeight="1">
      <c r="S636" s="454"/>
      <c r="BA636" s="1305"/>
      <c r="BC636" s="169"/>
    </row>
    <row r="637" spans="19:55" ht="15.75" customHeight="1">
      <c r="S637" s="454"/>
      <c r="BA637" s="1305"/>
      <c r="BC637" s="169"/>
    </row>
    <row r="638" spans="19:55" ht="15.75" customHeight="1">
      <c r="S638" s="454"/>
      <c r="BA638" s="1305"/>
      <c r="BC638" s="169"/>
    </row>
    <row r="639" spans="19:55" ht="15.75" customHeight="1">
      <c r="S639" s="454"/>
      <c r="BA639" s="1305"/>
      <c r="BC639" s="169"/>
    </row>
    <row r="640" spans="19:55" ht="15.75" customHeight="1">
      <c r="S640" s="454"/>
      <c r="BA640" s="1305"/>
      <c r="BC640" s="169"/>
    </row>
    <row r="641" spans="19:55" ht="15.75" customHeight="1">
      <c r="S641" s="454"/>
      <c r="BA641" s="1305"/>
      <c r="BC641" s="169"/>
    </row>
    <row r="642" spans="19:55" ht="15.75" customHeight="1">
      <c r="S642" s="454"/>
      <c r="BA642" s="1305"/>
      <c r="BC642" s="169"/>
    </row>
    <row r="643" spans="19:55" ht="15.75" customHeight="1">
      <c r="S643" s="454"/>
      <c r="BA643" s="1305"/>
      <c r="BC643" s="169"/>
    </row>
    <row r="644" spans="19:55" ht="15.75" customHeight="1">
      <c r="S644" s="454"/>
      <c r="BA644" s="1305"/>
      <c r="BC644" s="169"/>
    </row>
    <row r="645" spans="19:55" ht="15.75" customHeight="1">
      <c r="S645" s="454"/>
      <c r="BA645" s="1305"/>
      <c r="BC645" s="169"/>
    </row>
    <row r="646" spans="19:55" ht="15.75" customHeight="1">
      <c r="S646" s="454"/>
      <c r="BA646" s="1305"/>
      <c r="BC646" s="169"/>
    </row>
    <row r="647" spans="19:55" ht="15.75" customHeight="1">
      <c r="S647" s="454"/>
      <c r="BA647" s="1305"/>
      <c r="BC647" s="169"/>
    </row>
    <row r="648" spans="19:55" ht="15.75" customHeight="1">
      <c r="S648" s="454"/>
      <c r="BA648" s="1305"/>
      <c r="BC648" s="169"/>
    </row>
    <row r="649" spans="19:55" ht="15.75" customHeight="1">
      <c r="S649" s="454"/>
      <c r="BA649" s="1305"/>
      <c r="BC649" s="169"/>
    </row>
    <row r="650" spans="19:55" ht="15.75" customHeight="1">
      <c r="S650" s="454"/>
      <c r="BA650" s="1305"/>
      <c r="BC650" s="169"/>
    </row>
    <row r="651" spans="19:55" ht="15.75" customHeight="1">
      <c r="S651" s="454"/>
      <c r="BA651" s="1305"/>
      <c r="BC651" s="169"/>
    </row>
    <row r="652" spans="19:55" ht="15.75" customHeight="1">
      <c r="S652" s="454"/>
      <c r="BA652" s="1305"/>
      <c r="BC652" s="169"/>
    </row>
    <row r="653" spans="19:55" ht="15.75" customHeight="1">
      <c r="S653" s="454"/>
      <c r="BA653" s="1305"/>
      <c r="BC653" s="169"/>
    </row>
    <row r="654" spans="19:55" ht="15.75" customHeight="1">
      <c r="S654" s="454"/>
      <c r="BA654" s="1305"/>
      <c r="BC654" s="169"/>
    </row>
    <row r="655" spans="19:55" ht="15.75" customHeight="1">
      <c r="S655" s="454"/>
      <c r="BA655" s="1305"/>
      <c r="BC655" s="169"/>
    </row>
    <row r="656" spans="19:55" ht="15.75" customHeight="1">
      <c r="S656" s="454"/>
      <c r="BA656" s="1305"/>
      <c r="BC656" s="169"/>
    </row>
    <row r="657" spans="19:55" ht="15.75" customHeight="1">
      <c r="S657" s="454"/>
      <c r="BA657" s="1305"/>
      <c r="BC657" s="169"/>
    </row>
    <row r="658" spans="19:55" ht="15.75" customHeight="1">
      <c r="S658" s="454"/>
      <c r="BA658" s="1305"/>
      <c r="BC658" s="169"/>
    </row>
    <row r="659" spans="19:55" ht="15.75" customHeight="1">
      <c r="S659" s="454"/>
      <c r="BA659" s="1305"/>
      <c r="BC659" s="169"/>
    </row>
    <row r="660" spans="19:55" ht="15.75" customHeight="1">
      <c r="S660" s="454"/>
      <c r="BA660" s="1305"/>
      <c r="BC660" s="169"/>
    </row>
    <row r="661" spans="19:55" ht="15.75" customHeight="1">
      <c r="S661" s="454"/>
      <c r="BA661" s="1305"/>
      <c r="BC661" s="169"/>
    </row>
    <row r="662" spans="19:55" ht="15.75" customHeight="1">
      <c r="S662" s="454"/>
      <c r="BA662" s="1305"/>
      <c r="BC662" s="169"/>
    </row>
    <row r="663" spans="19:55" ht="15.75" customHeight="1">
      <c r="S663" s="454"/>
      <c r="BA663" s="1305"/>
      <c r="BC663" s="169"/>
    </row>
    <row r="664" spans="19:55" ht="15.75" customHeight="1">
      <c r="S664" s="454"/>
      <c r="BA664" s="1305"/>
      <c r="BC664" s="169"/>
    </row>
    <row r="665" spans="19:55" ht="15.75" customHeight="1">
      <c r="S665" s="454"/>
      <c r="BA665" s="1305"/>
      <c r="BC665" s="169"/>
    </row>
    <row r="666" spans="19:55" ht="15.75" customHeight="1">
      <c r="S666" s="454"/>
      <c r="BA666" s="1305"/>
      <c r="BC666" s="169"/>
    </row>
    <row r="667" spans="19:55" ht="15.75" customHeight="1">
      <c r="S667" s="454"/>
      <c r="BA667" s="1305"/>
      <c r="BC667" s="169"/>
    </row>
    <row r="668" spans="19:55" ht="15.75" customHeight="1">
      <c r="S668" s="454"/>
      <c r="BA668" s="1305"/>
      <c r="BC668" s="169"/>
    </row>
    <row r="669" spans="19:55" ht="15.75" customHeight="1">
      <c r="S669" s="454"/>
      <c r="BA669" s="1305"/>
      <c r="BC669" s="169"/>
    </row>
    <row r="670" spans="19:55" ht="15.75" customHeight="1">
      <c r="S670" s="454"/>
      <c r="BA670" s="1305"/>
      <c r="BC670" s="169"/>
    </row>
    <row r="671" spans="19:55" ht="15.75" customHeight="1">
      <c r="S671" s="454"/>
      <c r="BA671" s="1305"/>
      <c r="BC671" s="169"/>
    </row>
    <row r="672" spans="19:55" ht="15.75" customHeight="1">
      <c r="S672" s="454"/>
      <c r="BA672" s="1305"/>
      <c r="BC672" s="169"/>
    </row>
    <row r="673" spans="19:55" ht="15.75" customHeight="1">
      <c r="S673" s="454"/>
      <c r="BA673" s="1305"/>
      <c r="BC673" s="169"/>
    </row>
    <row r="674" spans="19:55" ht="15.75" customHeight="1">
      <c r="S674" s="454"/>
      <c r="BA674" s="1305"/>
      <c r="BC674" s="169"/>
    </row>
    <row r="675" spans="19:55" ht="15.75" customHeight="1">
      <c r="S675" s="454"/>
      <c r="BA675" s="1305"/>
      <c r="BC675" s="169"/>
    </row>
    <row r="676" spans="19:55" ht="15.75" customHeight="1">
      <c r="S676" s="454"/>
      <c r="BA676" s="1305"/>
      <c r="BC676" s="169"/>
    </row>
    <row r="677" spans="19:55" ht="15.75" customHeight="1">
      <c r="S677" s="454"/>
      <c r="BA677" s="1305"/>
      <c r="BC677" s="169"/>
    </row>
    <row r="678" spans="19:55" ht="15.75" customHeight="1">
      <c r="S678" s="454"/>
      <c r="BA678" s="1305"/>
      <c r="BC678" s="169"/>
    </row>
    <row r="679" spans="19:55" ht="15.75" customHeight="1">
      <c r="S679" s="454"/>
      <c r="BA679" s="1305"/>
      <c r="BC679" s="169"/>
    </row>
    <row r="680" spans="19:55" ht="15.75" customHeight="1">
      <c r="S680" s="454"/>
      <c r="BA680" s="1305"/>
      <c r="BC680" s="169"/>
    </row>
    <row r="681" spans="19:55" ht="15.75" customHeight="1">
      <c r="S681" s="454"/>
      <c r="BA681" s="1305"/>
      <c r="BC681" s="169"/>
    </row>
    <row r="682" spans="19:55" ht="15.75" customHeight="1">
      <c r="S682" s="454"/>
      <c r="BA682" s="1305"/>
      <c r="BC682" s="169"/>
    </row>
    <row r="683" spans="19:55" ht="15.75" customHeight="1">
      <c r="S683" s="454"/>
      <c r="BA683" s="1305"/>
      <c r="BC683" s="169"/>
    </row>
    <row r="684" spans="19:55" ht="15.75" customHeight="1">
      <c r="S684" s="454"/>
      <c r="BA684" s="1305"/>
      <c r="BC684" s="169"/>
    </row>
    <row r="685" spans="19:55" ht="15.75" customHeight="1">
      <c r="S685" s="454"/>
      <c r="BA685" s="1305"/>
      <c r="BC685" s="169"/>
    </row>
    <row r="686" spans="19:55" ht="15.75" customHeight="1">
      <c r="S686" s="454"/>
      <c r="BA686" s="1305"/>
      <c r="BC686" s="169"/>
    </row>
    <row r="687" spans="19:55" ht="15.75" customHeight="1">
      <c r="S687" s="454"/>
      <c r="BA687" s="1305"/>
      <c r="BC687" s="169"/>
    </row>
    <row r="688" spans="19:55" ht="15.75" customHeight="1">
      <c r="S688" s="454"/>
      <c r="BA688" s="1305"/>
      <c r="BC688" s="169"/>
    </row>
    <row r="689" spans="19:55" ht="15.75" customHeight="1">
      <c r="S689" s="454"/>
      <c r="BA689" s="1305"/>
      <c r="BC689" s="169"/>
    </row>
    <row r="690" spans="19:55" ht="15.75" customHeight="1">
      <c r="S690" s="454"/>
      <c r="BA690" s="1305"/>
      <c r="BC690" s="169"/>
    </row>
    <row r="691" spans="19:55" ht="15.75" customHeight="1">
      <c r="S691" s="454"/>
      <c r="BA691" s="1305"/>
      <c r="BC691" s="169"/>
    </row>
    <row r="692" spans="19:55" ht="15.75" customHeight="1">
      <c r="S692" s="454"/>
      <c r="BA692" s="1305"/>
      <c r="BC692" s="169"/>
    </row>
    <row r="693" spans="19:55" ht="15.75" customHeight="1">
      <c r="S693" s="454"/>
      <c r="BA693" s="1305"/>
      <c r="BC693" s="169"/>
    </row>
    <row r="694" spans="19:55" ht="15.75" customHeight="1">
      <c r="S694" s="454"/>
      <c r="BA694" s="1305"/>
      <c r="BC694" s="169"/>
    </row>
    <row r="695" spans="19:55" ht="15.75" customHeight="1">
      <c r="S695" s="454"/>
      <c r="BA695" s="1305"/>
      <c r="BC695" s="169"/>
    </row>
    <row r="696" spans="19:55" ht="15.75" customHeight="1">
      <c r="S696" s="454"/>
      <c r="BA696" s="1305"/>
      <c r="BC696" s="169"/>
    </row>
    <row r="697" spans="19:55" ht="15.75" customHeight="1">
      <c r="S697" s="454"/>
      <c r="BA697" s="1305"/>
      <c r="BC697" s="169"/>
    </row>
    <row r="698" spans="19:55" ht="15.75" customHeight="1">
      <c r="S698" s="454"/>
      <c r="BA698" s="1305"/>
      <c r="BC698" s="169"/>
    </row>
    <row r="699" spans="19:55" ht="15.75" customHeight="1">
      <c r="S699" s="454"/>
      <c r="BA699" s="1305"/>
      <c r="BC699" s="169"/>
    </row>
    <row r="700" spans="19:55" ht="15.75" customHeight="1">
      <c r="S700" s="454"/>
      <c r="BA700" s="1305"/>
      <c r="BC700" s="169"/>
    </row>
    <row r="701" spans="19:55" ht="15.75" customHeight="1">
      <c r="S701" s="454"/>
      <c r="BA701" s="1305"/>
      <c r="BC701" s="169"/>
    </row>
    <row r="702" spans="19:55" ht="15.75" customHeight="1">
      <c r="S702" s="454"/>
      <c r="BA702" s="1305"/>
      <c r="BC702" s="169"/>
    </row>
    <row r="703" spans="19:55" ht="15.75" customHeight="1">
      <c r="S703" s="454"/>
      <c r="BA703" s="1305"/>
      <c r="BC703" s="169"/>
    </row>
    <row r="704" spans="19:55" ht="15.75" customHeight="1">
      <c r="S704" s="454"/>
      <c r="BA704" s="1305"/>
      <c r="BC704" s="169"/>
    </row>
    <row r="705" spans="19:55" ht="15.75" customHeight="1">
      <c r="S705" s="454"/>
      <c r="BA705" s="1305"/>
      <c r="BC705" s="169"/>
    </row>
    <row r="706" spans="19:55" ht="15.75" customHeight="1">
      <c r="S706" s="454"/>
      <c r="BA706" s="1305"/>
      <c r="BC706" s="169"/>
    </row>
    <row r="707" spans="19:55" ht="15.75" customHeight="1">
      <c r="S707" s="454"/>
      <c r="BA707" s="1305"/>
      <c r="BC707" s="169"/>
    </row>
    <row r="708" spans="19:55" ht="15.75" customHeight="1">
      <c r="S708" s="454"/>
      <c r="BA708" s="1305"/>
      <c r="BC708" s="169"/>
    </row>
    <row r="709" spans="19:55" ht="15.75" customHeight="1">
      <c r="S709" s="454"/>
      <c r="BA709" s="1305"/>
      <c r="BC709" s="169"/>
    </row>
    <row r="710" spans="19:55" ht="15.75" customHeight="1">
      <c r="S710" s="454"/>
      <c r="BA710" s="1305"/>
      <c r="BC710" s="169"/>
    </row>
    <row r="711" spans="19:55" ht="15.75" customHeight="1">
      <c r="S711" s="454"/>
      <c r="BA711" s="1305"/>
      <c r="BC711" s="169"/>
    </row>
    <row r="712" spans="19:55" ht="15.75" customHeight="1">
      <c r="S712" s="454"/>
      <c r="BA712" s="1305"/>
      <c r="BC712" s="169"/>
    </row>
    <row r="713" spans="19:55" ht="15.75" customHeight="1">
      <c r="S713" s="454"/>
      <c r="BA713" s="1305"/>
      <c r="BC713" s="169"/>
    </row>
    <row r="714" spans="19:55" ht="15.75" customHeight="1">
      <c r="S714" s="454"/>
      <c r="BA714" s="1305"/>
      <c r="BC714" s="169"/>
    </row>
    <row r="715" spans="19:55" ht="15.75" customHeight="1">
      <c r="S715" s="454"/>
      <c r="BA715" s="1305"/>
      <c r="BC715" s="169"/>
    </row>
    <row r="716" spans="19:55" ht="15.75" customHeight="1">
      <c r="S716" s="454"/>
      <c r="BA716" s="1305"/>
      <c r="BC716" s="169"/>
    </row>
    <row r="717" spans="19:55" ht="15.75" customHeight="1">
      <c r="S717" s="454"/>
      <c r="BA717" s="1305"/>
      <c r="BC717" s="169"/>
    </row>
    <row r="718" spans="19:55" ht="15.75" customHeight="1">
      <c r="S718" s="454"/>
      <c r="BA718" s="1305"/>
      <c r="BC718" s="169"/>
    </row>
    <row r="719" spans="19:55" ht="15.75" customHeight="1">
      <c r="S719" s="454"/>
      <c r="BA719" s="1305"/>
      <c r="BC719" s="169"/>
    </row>
    <row r="720" spans="19:55" ht="15.75" customHeight="1">
      <c r="S720" s="454"/>
      <c r="BA720" s="1305"/>
      <c r="BC720" s="169"/>
    </row>
    <row r="721" spans="19:55" ht="15.75" customHeight="1">
      <c r="S721" s="454"/>
      <c r="BA721" s="1305"/>
      <c r="BC721" s="169"/>
    </row>
    <row r="722" spans="19:55" ht="15.75" customHeight="1">
      <c r="S722" s="454"/>
      <c r="BA722" s="1305"/>
      <c r="BC722" s="169"/>
    </row>
    <row r="723" spans="19:55" ht="15.75" customHeight="1">
      <c r="S723" s="454"/>
      <c r="BA723" s="1305"/>
      <c r="BC723" s="169"/>
    </row>
    <row r="724" spans="19:55" ht="15.75" customHeight="1">
      <c r="S724" s="454"/>
      <c r="BA724" s="1305"/>
      <c r="BC724" s="169"/>
    </row>
    <row r="725" spans="19:55" ht="15.75" customHeight="1">
      <c r="S725" s="454"/>
      <c r="BA725" s="1305"/>
      <c r="BC725" s="169"/>
    </row>
    <row r="726" spans="19:55" ht="15.75" customHeight="1">
      <c r="S726" s="454"/>
      <c r="BA726" s="1305"/>
      <c r="BC726" s="169"/>
    </row>
    <row r="727" spans="19:55" ht="15.75" customHeight="1">
      <c r="S727" s="454"/>
      <c r="BA727" s="1305"/>
      <c r="BC727" s="169"/>
    </row>
    <row r="728" spans="19:55" ht="15.75" customHeight="1">
      <c r="S728" s="454"/>
      <c r="BA728" s="1305"/>
      <c r="BC728" s="169"/>
    </row>
    <row r="729" spans="19:55" ht="15.75" customHeight="1">
      <c r="S729" s="454"/>
      <c r="BA729" s="1305"/>
      <c r="BC729" s="169"/>
    </row>
    <row r="730" spans="19:55" ht="15.75" customHeight="1">
      <c r="S730" s="454"/>
      <c r="BA730" s="1305"/>
      <c r="BC730" s="169"/>
    </row>
    <row r="731" spans="19:55" ht="15.75" customHeight="1">
      <c r="S731" s="454"/>
      <c r="BA731" s="1305"/>
      <c r="BC731" s="169"/>
    </row>
    <row r="732" spans="19:55" ht="15.75" customHeight="1">
      <c r="S732" s="454"/>
      <c r="BA732" s="1305"/>
      <c r="BC732" s="169"/>
    </row>
    <row r="733" spans="19:55" ht="15.75" customHeight="1">
      <c r="S733" s="454"/>
      <c r="BA733" s="1305"/>
      <c r="BC733" s="169"/>
    </row>
    <row r="734" spans="19:55" ht="15.75" customHeight="1">
      <c r="S734" s="454"/>
      <c r="BA734" s="1305"/>
      <c r="BC734" s="169"/>
    </row>
    <row r="735" spans="19:55" ht="15.75" customHeight="1">
      <c r="S735" s="454"/>
      <c r="BA735" s="1305"/>
      <c r="BC735" s="169"/>
    </row>
    <row r="736" spans="19:55" ht="15.75" customHeight="1">
      <c r="S736" s="454"/>
      <c r="BA736" s="1305"/>
      <c r="BC736" s="169"/>
    </row>
    <row r="737" spans="19:55" ht="15.75" customHeight="1">
      <c r="S737" s="454"/>
      <c r="BA737" s="1305"/>
      <c r="BC737" s="169"/>
    </row>
    <row r="738" spans="19:55" ht="15.75" customHeight="1">
      <c r="S738" s="454"/>
      <c r="BA738" s="1305"/>
      <c r="BC738" s="169"/>
    </row>
    <row r="739" spans="19:55" ht="15.75" customHeight="1">
      <c r="S739" s="454"/>
      <c r="BA739" s="1305"/>
      <c r="BC739" s="169"/>
    </row>
    <row r="740" spans="19:55" ht="15.75" customHeight="1">
      <c r="S740" s="454"/>
      <c r="BA740" s="1305"/>
      <c r="BC740" s="169"/>
    </row>
    <row r="741" spans="19:55" ht="15.75" customHeight="1">
      <c r="S741" s="454"/>
      <c r="BA741" s="1305"/>
      <c r="BC741" s="169"/>
    </row>
    <row r="742" spans="19:55" ht="15.75" customHeight="1">
      <c r="S742" s="454"/>
      <c r="BA742" s="1305"/>
      <c r="BC742" s="169"/>
    </row>
    <row r="743" spans="19:55" ht="15.75" customHeight="1">
      <c r="S743" s="454"/>
      <c r="BA743" s="1305"/>
      <c r="BC743" s="169"/>
    </row>
    <row r="744" spans="19:55" ht="15.75" customHeight="1">
      <c r="S744" s="454"/>
      <c r="BA744" s="1305"/>
      <c r="BC744" s="169"/>
    </row>
    <row r="745" spans="19:55" ht="15.75" customHeight="1">
      <c r="S745" s="454"/>
      <c r="BA745" s="1305"/>
      <c r="BC745" s="169"/>
    </row>
    <row r="746" spans="19:55" ht="15.75" customHeight="1">
      <c r="S746" s="454"/>
      <c r="BA746" s="1305"/>
      <c r="BC746" s="169"/>
    </row>
    <row r="747" spans="19:55" ht="15.75" customHeight="1">
      <c r="S747" s="454"/>
      <c r="BA747" s="1305"/>
      <c r="BC747" s="169"/>
    </row>
    <row r="748" spans="19:55" ht="15.75" customHeight="1">
      <c r="S748" s="454"/>
      <c r="BA748" s="1305"/>
      <c r="BC748" s="169"/>
    </row>
    <row r="749" spans="19:55" ht="15.75" customHeight="1">
      <c r="S749" s="454"/>
      <c r="BA749" s="1305"/>
      <c r="BC749" s="169"/>
    </row>
    <row r="750" spans="19:55" ht="15.75" customHeight="1">
      <c r="S750" s="454"/>
      <c r="BA750" s="1305"/>
      <c r="BC750" s="169"/>
    </row>
    <row r="751" spans="19:55" ht="15.75" customHeight="1">
      <c r="S751" s="454"/>
      <c r="BA751" s="1305"/>
      <c r="BC751" s="169"/>
    </row>
    <row r="752" spans="19:55" ht="15.75" customHeight="1">
      <c r="S752" s="454"/>
      <c r="BA752" s="1305"/>
      <c r="BC752" s="169"/>
    </row>
    <row r="753" spans="19:55" ht="15.75" customHeight="1">
      <c r="S753" s="454"/>
      <c r="BA753" s="1305"/>
      <c r="BC753" s="169"/>
    </row>
    <row r="754" spans="19:55" ht="15.75" customHeight="1">
      <c r="S754" s="454"/>
      <c r="BA754" s="1305"/>
      <c r="BC754" s="169"/>
    </row>
    <row r="755" spans="19:55" ht="15.75" customHeight="1">
      <c r="S755" s="454"/>
      <c r="BA755" s="1305"/>
      <c r="BC755" s="169"/>
    </row>
    <row r="756" spans="19:55" ht="15.75" customHeight="1">
      <c r="S756" s="454"/>
      <c r="BA756" s="1305"/>
      <c r="BC756" s="169"/>
    </row>
    <row r="757" spans="19:55" ht="15.75" customHeight="1">
      <c r="S757" s="454"/>
      <c r="BA757" s="1305"/>
      <c r="BC757" s="169"/>
    </row>
    <row r="758" spans="19:55" ht="15.75" customHeight="1">
      <c r="S758" s="454"/>
      <c r="BA758" s="1305"/>
      <c r="BC758" s="169"/>
    </row>
    <row r="759" spans="19:55" ht="15.75" customHeight="1">
      <c r="S759" s="454"/>
      <c r="BA759" s="1305"/>
      <c r="BC759" s="169"/>
    </row>
    <row r="760" spans="19:55" ht="15.75" customHeight="1">
      <c r="S760" s="454"/>
      <c r="BA760" s="1305"/>
      <c r="BC760" s="169"/>
    </row>
    <row r="761" spans="19:55" ht="15.75" customHeight="1">
      <c r="S761" s="454"/>
      <c r="BA761" s="1305"/>
      <c r="BC761" s="169"/>
    </row>
    <row r="762" spans="19:55" ht="15.75" customHeight="1">
      <c r="S762" s="454"/>
      <c r="BA762" s="1305"/>
      <c r="BC762" s="169"/>
    </row>
    <row r="763" spans="19:55" ht="15.75" customHeight="1">
      <c r="S763" s="454"/>
      <c r="BA763" s="1305"/>
      <c r="BC763" s="169"/>
    </row>
    <row r="764" spans="19:55" ht="15.75" customHeight="1">
      <c r="S764" s="454"/>
      <c r="BA764" s="1305"/>
      <c r="BC764" s="169"/>
    </row>
    <row r="765" spans="19:55" ht="15.75" customHeight="1">
      <c r="S765" s="454"/>
      <c r="BA765" s="1305"/>
      <c r="BC765" s="169"/>
    </row>
    <row r="766" spans="19:55" ht="15.75" customHeight="1">
      <c r="S766" s="454"/>
      <c r="BA766" s="1305"/>
      <c r="BC766" s="169"/>
    </row>
    <row r="767" spans="19:55" ht="15.75" customHeight="1">
      <c r="S767" s="454"/>
      <c r="BA767" s="1305"/>
      <c r="BC767" s="169"/>
    </row>
    <row r="768" spans="19:55" ht="15.75" customHeight="1">
      <c r="S768" s="454"/>
      <c r="BA768" s="1305"/>
      <c r="BC768" s="169"/>
    </row>
    <row r="769" spans="19:55" ht="15.75" customHeight="1">
      <c r="S769" s="454"/>
      <c r="BA769" s="1305"/>
      <c r="BC769" s="169"/>
    </row>
    <row r="770" spans="19:55" ht="15.75" customHeight="1">
      <c r="S770" s="454"/>
      <c r="BA770" s="1305"/>
      <c r="BC770" s="169"/>
    </row>
    <row r="771" spans="19:55" ht="15.75" customHeight="1">
      <c r="S771" s="454"/>
      <c r="BA771" s="1305"/>
      <c r="BC771" s="169"/>
    </row>
    <row r="772" spans="19:55" ht="15.75" customHeight="1">
      <c r="S772" s="454"/>
      <c r="BA772" s="1305"/>
      <c r="BC772" s="169"/>
    </row>
    <row r="773" spans="19:55" ht="15.75" customHeight="1">
      <c r="S773" s="454"/>
      <c r="BA773" s="1305"/>
      <c r="BC773" s="169"/>
    </row>
    <row r="774" spans="19:55" ht="15.75" customHeight="1">
      <c r="S774" s="454"/>
      <c r="BA774" s="1305"/>
      <c r="BC774" s="169"/>
    </row>
    <row r="775" spans="19:55" ht="15.75" customHeight="1">
      <c r="S775" s="454"/>
      <c r="BA775" s="1305"/>
      <c r="BC775" s="169"/>
    </row>
    <row r="776" spans="19:55" ht="15.75" customHeight="1">
      <c r="S776" s="454"/>
      <c r="BA776" s="1305"/>
      <c r="BC776" s="169"/>
    </row>
    <row r="777" spans="19:55" ht="15.75" customHeight="1">
      <c r="S777" s="454"/>
      <c r="BA777" s="1305"/>
      <c r="BC777" s="169"/>
    </row>
    <row r="778" spans="19:55" ht="15.75" customHeight="1">
      <c r="S778" s="454"/>
      <c r="BA778" s="1305"/>
      <c r="BC778" s="169"/>
    </row>
    <row r="779" spans="19:55" ht="15.75" customHeight="1">
      <c r="S779" s="454"/>
      <c r="BA779" s="1305"/>
      <c r="BC779" s="169"/>
    </row>
    <row r="780" spans="19:55" ht="15.75" customHeight="1">
      <c r="S780" s="454"/>
      <c r="BA780" s="1305"/>
      <c r="BC780" s="169"/>
    </row>
    <row r="781" spans="19:55" ht="15.75" customHeight="1">
      <c r="S781" s="454"/>
      <c r="BA781" s="1305"/>
      <c r="BC781" s="169"/>
    </row>
    <row r="782" spans="19:55" ht="15.75" customHeight="1">
      <c r="S782" s="454"/>
      <c r="BA782" s="1305"/>
      <c r="BC782" s="169"/>
    </row>
    <row r="783" spans="19:55" ht="15.75" customHeight="1">
      <c r="S783" s="454"/>
      <c r="BA783" s="1305"/>
      <c r="BC783" s="169"/>
    </row>
    <row r="784" spans="19:55" ht="15.75" customHeight="1">
      <c r="S784" s="454"/>
      <c r="BA784" s="1305"/>
      <c r="BC784" s="169"/>
    </row>
    <row r="785" spans="19:55" ht="15.75" customHeight="1">
      <c r="S785" s="454"/>
      <c r="BA785" s="1305"/>
      <c r="BC785" s="169"/>
    </row>
    <row r="786" spans="19:55" ht="15.75" customHeight="1">
      <c r="S786" s="454"/>
      <c r="BA786" s="1305"/>
      <c r="BC786" s="169"/>
    </row>
    <row r="787" spans="19:55" ht="15.75" customHeight="1">
      <c r="S787" s="454"/>
      <c r="BA787" s="1305"/>
      <c r="BC787" s="169"/>
    </row>
    <row r="788" spans="19:55" ht="15.75" customHeight="1">
      <c r="S788" s="454"/>
      <c r="BA788" s="1305"/>
      <c r="BC788" s="169"/>
    </row>
    <row r="789" spans="19:55" ht="15.75" customHeight="1">
      <c r="S789" s="454"/>
      <c r="BA789" s="1305"/>
      <c r="BC789" s="169"/>
    </row>
    <row r="790" spans="19:55" ht="15.75" customHeight="1">
      <c r="S790" s="454"/>
      <c r="BA790" s="1305"/>
      <c r="BC790" s="169"/>
    </row>
    <row r="791" spans="19:55" ht="15.75" customHeight="1">
      <c r="S791" s="454"/>
      <c r="BA791" s="1305"/>
      <c r="BC791" s="169"/>
    </row>
    <row r="792" spans="19:55" ht="15.75" customHeight="1">
      <c r="S792" s="454"/>
      <c r="BA792" s="1305"/>
      <c r="BC792" s="169"/>
    </row>
    <row r="793" spans="19:55" ht="15.75" customHeight="1">
      <c r="S793" s="454"/>
      <c r="BA793" s="1305"/>
      <c r="BC793" s="169"/>
    </row>
    <row r="794" spans="19:55" ht="15.75" customHeight="1">
      <c r="S794" s="454"/>
      <c r="BA794" s="1305"/>
      <c r="BC794" s="169"/>
    </row>
    <row r="795" spans="19:55" ht="15.75" customHeight="1">
      <c r="S795" s="454"/>
      <c r="BA795" s="1305"/>
      <c r="BC795" s="169"/>
    </row>
    <row r="796" spans="19:55" ht="15.75" customHeight="1">
      <c r="S796" s="454"/>
      <c r="BA796" s="1305"/>
      <c r="BC796" s="169"/>
    </row>
    <row r="797" spans="19:55" ht="15.75" customHeight="1">
      <c r="S797" s="454"/>
      <c r="BA797" s="1305"/>
      <c r="BC797" s="169"/>
    </row>
    <row r="798" spans="19:55" ht="15.75" customHeight="1">
      <c r="S798" s="454"/>
      <c r="BA798" s="1305"/>
      <c r="BC798" s="169"/>
    </row>
    <row r="799" spans="19:55" ht="15.75" customHeight="1">
      <c r="S799" s="454"/>
      <c r="BA799" s="1305"/>
      <c r="BC799" s="169"/>
    </row>
    <row r="800" spans="19:55" ht="15.75" customHeight="1">
      <c r="S800" s="454"/>
      <c r="BA800" s="1305"/>
      <c r="BC800" s="169"/>
    </row>
    <row r="801" spans="19:55" ht="15.75" customHeight="1">
      <c r="S801" s="454"/>
      <c r="BA801" s="1305"/>
      <c r="BC801" s="169"/>
    </row>
    <row r="802" spans="19:55" ht="15.75" customHeight="1">
      <c r="S802" s="454"/>
      <c r="BA802" s="1305"/>
      <c r="BC802" s="169"/>
    </row>
    <row r="803" spans="19:55" ht="15.75" customHeight="1">
      <c r="S803" s="454"/>
      <c r="BA803" s="1305"/>
      <c r="BC803" s="169"/>
    </row>
    <row r="804" spans="19:55" ht="15.75" customHeight="1">
      <c r="S804" s="454"/>
      <c r="BA804" s="1305"/>
      <c r="BC804" s="169"/>
    </row>
    <row r="805" spans="19:55" ht="15.75" customHeight="1">
      <c r="S805" s="454"/>
      <c r="BA805" s="1305"/>
      <c r="BC805" s="169"/>
    </row>
    <row r="806" spans="19:55" ht="15.75" customHeight="1">
      <c r="S806" s="454"/>
      <c r="BA806" s="1305"/>
      <c r="BC806" s="169"/>
    </row>
    <row r="807" spans="19:55" ht="15.75" customHeight="1">
      <c r="S807" s="454"/>
      <c r="BA807" s="1305"/>
      <c r="BC807" s="169"/>
    </row>
    <row r="808" spans="19:55" ht="15.75" customHeight="1">
      <c r="S808" s="454"/>
      <c r="BA808" s="1305"/>
      <c r="BC808" s="169"/>
    </row>
    <row r="809" spans="19:55" ht="15.75" customHeight="1">
      <c r="S809" s="454"/>
      <c r="BA809" s="1305"/>
      <c r="BC809" s="169"/>
    </row>
    <row r="810" spans="19:55" ht="15.75" customHeight="1">
      <c r="S810" s="454"/>
      <c r="BA810" s="1305"/>
      <c r="BC810" s="169"/>
    </row>
    <row r="811" spans="19:55" ht="15.75" customHeight="1">
      <c r="S811" s="454"/>
      <c r="BA811" s="1305"/>
      <c r="BC811" s="169"/>
    </row>
    <row r="812" spans="19:55" ht="15.75" customHeight="1">
      <c r="S812" s="454"/>
      <c r="BA812" s="1305"/>
      <c r="BC812" s="169"/>
    </row>
    <row r="813" spans="19:55" ht="15.75" customHeight="1">
      <c r="S813" s="454"/>
      <c r="BA813" s="1305"/>
      <c r="BC813" s="169"/>
    </row>
    <row r="814" spans="19:55" ht="15.75" customHeight="1">
      <c r="S814" s="454"/>
      <c r="BA814" s="1305"/>
      <c r="BC814" s="169"/>
    </row>
    <row r="815" spans="19:55" ht="15.75" customHeight="1">
      <c r="S815" s="454"/>
      <c r="BA815" s="1305"/>
      <c r="BC815" s="169"/>
    </row>
    <row r="816" spans="19:55" ht="15.75" customHeight="1">
      <c r="S816" s="454"/>
      <c r="BA816" s="1305"/>
      <c r="BC816" s="169"/>
    </row>
    <row r="817" spans="19:55" ht="15.75" customHeight="1">
      <c r="S817" s="454"/>
      <c r="BA817" s="1305"/>
      <c r="BC817" s="169"/>
    </row>
    <row r="818" spans="19:55" ht="15.75" customHeight="1">
      <c r="S818" s="454"/>
      <c r="BA818" s="1305"/>
      <c r="BC818" s="169"/>
    </row>
    <row r="819" spans="19:55" ht="15.75" customHeight="1">
      <c r="S819" s="454"/>
      <c r="BA819" s="1305"/>
      <c r="BC819" s="169"/>
    </row>
    <row r="820" spans="19:55" ht="15.75" customHeight="1">
      <c r="S820" s="454"/>
      <c r="BA820" s="1305"/>
      <c r="BC820" s="169"/>
    </row>
    <row r="821" spans="19:55" ht="15.75" customHeight="1">
      <c r="S821" s="454"/>
      <c r="BA821" s="1305"/>
      <c r="BC821" s="169"/>
    </row>
    <row r="822" spans="19:55" ht="15.75" customHeight="1">
      <c r="S822" s="454"/>
      <c r="BA822" s="1305"/>
      <c r="BC822" s="169"/>
    </row>
    <row r="823" spans="19:55" ht="15.75" customHeight="1">
      <c r="S823" s="454"/>
      <c r="BA823" s="1305"/>
      <c r="BC823" s="169"/>
    </row>
    <row r="824" spans="19:55" ht="15.75" customHeight="1">
      <c r="S824" s="454"/>
      <c r="BA824" s="1305"/>
      <c r="BC824" s="169"/>
    </row>
    <row r="825" spans="19:55" ht="15.75" customHeight="1">
      <c r="S825" s="454"/>
      <c r="BA825" s="1305"/>
      <c r="BC825" s="169"/>
    </row>
    <row r="826" spans="19:55" ht="15.75" customHeight="1">
      <c r="S826" s="454"/>
      <c r="BA826" s="1305"/>
      <c r="BC826" s="169"/>
    </row>
    <row r="827" spans="19:55" ht="15.75" customHeight="1">
      <c r="S827" s="454"/>
      <c r="BA827" s="1305"/>
      <c r="BC827" s="169"/>
    </row>
    <row r="828" spans="19:55" ht="15.75" customHeight="1">
      <c r="S828" s="454"/>
      <c r="BA828" s="1305"/>
      <c r="BC828" s="169"/>
    </row>
    <row r="829" spans="19:55" ht="15.75" customHeight="1">
      <c r="S829" s="454"/>
      <c r="BA829" s="1305"/>
      <c r="BC829" s="169"/>
    </row>
    <row r="830" spans="19:55" ht="15.75" customHeight="1">
      <c r="S830" s="454"/>
      <c r="BA830" s="1305"/>
      <c r="BC830" s="169"/>
    </row>
    <row r="831" spans="19:55" ht="15.75" customHeight="1">
      <c r="S831" s="454"/>
      <c r="BA831" s="1305"/>
      <c r="BC831" s="169"/>
    </row>
    <row r="832" spans="19:55" ht="15.75" customHeight="1">
      <c r="S832" s="454"/>
      <c r="BA832" s="1305"/>
      <c r="BC832" s="169"/>
    </row>
    <row r="833" spans="19:55" ht="15.75" customHeight="1">
      <c r="S833" s="454"/>
      <c r="BA833" s="1305"/>
      <c r="BC833" s="169"/>
    </row>
    <row r="834" spans="19:55" ht="15.75" customHeight="1">
      <c r="S834" s="454"/>
      <c r="BA834" s="1305"/>
      <c r="BC834" s="169"/>
    </row>
    <row r="835" spans="19:55" ht="15.75" customHeight="1">
      <c r="S835" s="454"/>
      <c r="BA835" s="1305"/>
      <c r="BC835" s="169"/>
    </row>
    <row r="836" spans="19:55" ht="15.75" customHeight="1">
      <c r="S836" s="454"/>
      <c r="BA836" s="1305"/>
      <c r="BC836" s="169"/>
    </row>
    <row r="837" spans="19:55" ht="15.75" customHeight="1">
      <c r="S837" s="454"/>
      <c r="BA837" s="1305"/>
      <c r="BC837" s="169"/>
    </row>
    <row r="838" spans="19:55" ht="15.75" customHeight="1">
      <c r="S838" s="454"/>
      <c r="BA838" s="1305"/>
      <c r="BC838" s="169"/>
    </row>
    <row r="839" spans="19:55" ht="15.75" customHeight="1">
      <c r="S839" s="454"/>
      <c r="BA839" s="1305"/>
      <c r="BC839" s="169"/>
    </row>
    <row r="840" spans="19:55" ht="15.75" customHeight="1">
      <c r="S840" s="454"/>
      <c r="BA840" s="1305"/>
      <c r="BC840" s="169"/>
    </row>
    <row r="841" spans="19:55" ht="15.75" customHeight="1">
      <c r="S841" s="454"/>
      <c r="BA841" s="1305"/>
      <c r="BC841" s="169"/>
    </row>
    <row r="842" spans="19:55" ht="15.75" customHeight="1">
      <c r="S842" s="454"/>
      <c r="BA842" s="1305"/>
      <c r="BC842" s="169"/>
    </row>
    <row r="843" spans="19:55" ht="15.75" customHeight="1">
      <c r="S843" s="454"/>
      <c r="BA843" s="1305"/>
      <c r="BC843" s="169"/>
    </row>
    <row r="844" spans="19:55" ht="15.75" customHeight="1">
      <c r="S844" s="454"/>
      <c r="BA844" s="1305"/>
      <c r="BC844" s="169"/>
    </row>
    <row r="845" spans="19:55" ht="15.75" customHeight="1">
      <c r="S845" s="454"/>
      <c r="BA845" s="1305"/>
      <c r="BC845" s="169"/>
    </row>
    <row r="846" spans="19:55" ht="15.75" customHeight="1">
      <c r="S846" s="454"/>
      <c r="BA846" s="1305"/>
      <c r="BC846" s="169"/>
    </row>
    <row r="847" spans="19:55" ht="15.75" customHeight="1">
      <c r="S847" s="454"/>
      <c r="BA847" s="1305"/>
      <c r="BC847" s="169"/>
    </row>
    <row r="848" spans="19:55" ht="15.75" customHeight="1">
      <c r="S848" s="454"/>
      <c r="BA848" s="1305"/>
      <c r="BC848" s="169"/>
    </row>
    <row r="849" spans="19:55" ht="15.75" customHeight="1">
      <c r="S849" s="454"/>
      <c r="BA849" s="1305"/>
      <c r="BC849" s="169"/>
    </row>
    <row r="850" spans="19:55" ht="15.75" customHeight="1">
      <c r="S850" s="454"/>
      <c r="BA850" s="1305"/>
      <c r="BC850" s="169"/>
    </row>
    <row r="851" spans="19:55" ht="15.75" customHeight="1">
      <c r="S851" s="454"/>
      <c r="BA851" s="1305"/>
      <c r="BC851" s="169"/>
    </row>
    <row r="852" spans="19:55" ht="15.75" customHeight="1">
      <c r="S852" s="454"/>
      <c r="BA852" s="1305"/>
      <c r="BC852" s="169"/>
    </row>
    <row r="853" spans="19:55" ht="15.75" customHeight="1">
      <c r="S853" s="454"/>
      <c r="BA853" s="1305"/>
      <c r="BC853" s="169"/>
    </row>
    <row r="854" spans="19:55" ht="15.75" customHeight="1">
      <c r="S854" s="454"/>
      <c r="BA854" s="1305"/>
      <c r="BC854" s="169"/>
    </row>
    <row r="855" spans="19:55" ht="15.75" customHeight="1">
      <c r="S855" s="454"/>
      <c r="BA855" s="1305"/>
      <c r="BC855" s="169"/>
    </row>
    <row r="856" spans="19:55" ht="15.75" customHeight="1">
      <c r="S856" s="454"/>
      <c r="BA856" s="1305"/>
      <c r="BC856" s="169"/>
    </row>
    <row r="857" spans="19:55" ht="15.75" customHeight="1">
      <c r="S857" s="454"/>
      <c r="BA857" s="1305"/>
      <c r="BC857" s="169"/>
    </row>
    <row r="858" spans="19:55" ht="15.75" customHeight="1">
      <c r="S858" s="454"/>
      <c r="BA858" s="1305"/>
      <c r="BC858" s="169"/>
    </row>
    <row r="859" spans="19:55" ht="15.75" customHeight="1">
      <c r="S859" s="454"/>
      <c r="BA859" s="1305"/>
      <c r="BC859" s="169"/>
    </row>
    <row r="860" spans="19:55" ht="15.75" customHeight="1">
      <c r="S860" s="454"/>
      <c r="BA860" s="1305"/>
      <c r="BC860" s="169"/>
    </row>
    <row r="861" spans="19:55" ht="15.75" customHeight="1">
      <c r="S861" s="454"/>
      <c r="BA861" s="1305"/>
      <c r="BC861" s="169"/>
    </row>
    <row r="862" spans="19:55" ht="15.75" customHeight="1">
      <c r="S862" s="454"/>
      <c r="BA862" s="1305"/>
      <c r="BC862" s="169"/>
    </row>
    <row r="863" spans="19:55" ht="15.75" customHeight="1">
      <c r="S863" s="454"/>
      <c r="BA863" s="1305"/>
      <c r="BC863" s="169"/>
    </row>
    <row r="864" spans="19:55" ht="15.75" customHeight="1">
      <c r="S864" s="454"/>
      <c r="BA864" s="1305"/>
      <c r="BC864" s="169"/>
    </row>
    <row r="865" spans="19:55" ht="15.75" customHeight="1">
      <c r="S865" s="454"/>
      <c r="BA865" s="1305"/>
      <c r="BC865" s="169"/>
    </row>
    <row r="866" spans="19:55" ht="15.75" customHeight="1">
      <c r="S866" s="454"/>
      <c r="BA866" s="1305"/>
      <c r="BC866" s="169"/>
    </row>
    <row r="867" spans="19:55" ht="15.75" customHeight="1">
      <c r="S867" s="454"/>
      <c r="BA867" s="1305"/>
      <c r="BC867" s="169"/>
    </row>
    <row r="868" spans="19:55" ht="15.75" customHeight="1">
      <c r="S868" s="454"/>
      <c r="BA868" s="1305"/>
      <c r="BC868" s="169"/>
    </row>
    <row r="869" spans="19:55" ht="15.75" customHeight="1">
      <c r="S869" s="454"/>
      <c r="BA869" s="1305"/>
      <c r="BC869" s="169"/>
    </row>
    <row r="870" spans="19:55" ht="15.75" customHeight="1">
      <c r="S870" s="454"/>
      <c r="BA870" s="1305"/>
      <c r="BC870" s="169"/>
    </row>
    <row r="871" spans="19:55" ht="15.75" customHeight="1">
      <c r="S871" s="454"/>
      <c r="BA871" s="1305"/>
      <c r="BC871" s="169"/>
    </row>
    <row r="872" spans="19:55" ht="15.75" customHeight="1">
      <c r="S872" s="454"/>
      <c r="BA872" s="1305"/>
      <c r="BC872" s="169"/>
    </row>
    <row r="873" spans="19:55" ht="15.75" customHeight="1">
      <c r="S873" s="454"/>
      <c r="BA873" s="1305"/>
      <c r="BC873" s="169"/>
    </row>
    <row r="874" spans="19:55" ht="15.75" customHeight="1">
      <c r="S874" s="454"/>
      <c r="BA874" s="1305"/>
      <c r="BC874" s="169"/>
    </row>
    <row r="875" spans="19:55" ht="15.75" customHeight="1">
      <c r="S875" s="454"/>
      <c r="BA875" s="1305"/>
      <c r="BC875" s="169"/>
    </row>
    <row r="876" spans="19:55" ht="15.75" customHeight="1">
      <c r="S876" s="454"/>
      <c r="BA876" s="1305"/>
      <c r="BC876" s="169"/>
    </row>
    <row r="877" spans="19:55" ht="15.75" customHeight="1">
      <c r="S877" s="454"/>
      <c r="BA877" s="1305"/>
      <c r="BC877" s="169"/>
    </row>
    <row r="878" spans="19:55" ht="15.75" customHeight="1">
      <c r="S878" s="454"/>
      <c r="BA878" s="1305"/>
      <c r="BC878" s="169"/>
    </row>
    <row r="879" spans="19:55" ht="15.75" customHeight="1">
      <c r="S879" s="454"/>
      <c r="BA879" s="1305"/>
      <c r="BC879" s="169"/>
    </row>
    <row r="880" spans="19:55" ht="15.75" customHeight="1">
      <c r="S880" s="454"/>
      <c r="BA880" s="1305"/>
      <c r="BC880" s="169"/>
    </row>
    <row r="881" spans="19:55" ht="15.75" customHeight="1">
      <c r="S881" s="454"/>
      <c r="BA881" s="1305"/>
      <c r="BC881" s="169"/>
    </row>
    <row r="882" spans="19:55" ht="15.75" customHeight="1">
      <c r="S882" s="454"/>
      <c r="BA882" s="1305"/>
      <c r="BC882" s="169"/>
    </row>
    <row r="883" spans="19:55" ht="15.75" customHeight="1">
      <c r="S883" s="454"/>
      <c r="BA883" s="1305"/>
      <c r="BC883" s="169"/>
    </row>
    <row r="884" spans="19:55" ht="15.75" customHeight="1">
      <c r="S884" s="454"/>
      <c r="BA884" s="1305"/>
      <c r="BC884" s="169"/>
    </row>
    <row r="885" spans="19:55" ht="15.75" customHeight="1">
      <c r="S885" s="454"/>
      <c r="BA885" s="1305"/>
      <c r="BC885" s="169"/>
    </row>
    <row r="886" spans="19:55" ht="15.75" customHeight="1">
      <c r="S886" s="454"/>
      <c r="BA886" s="1305"/>
      <c r="BC886" s="169"/>
    </row>
    <row r="887" spans="19:55" ht="15.75" customHeight="1">
      <c r="S887" s="454"/>
      <c r="BA887" s="1305"/>
      <c r="BC887" s="169"/>
    </row>
    <row r="888" spans="19:55" ht="15.75" customHeight="1">
      <c r="S888" s="454"/>
      <c r="BA888" s="1305"/>
      <c r="BC888" s="169"/>
    </row>
    <row r="889" spans="19:55" ht="15.75" customHeight="1">
      <c r="S889" s="454"/>
      <c r="BA889" s="1305"/>
      <c r="BC889" s="169"/>
    </row>
    <row r="890" spans="19:55" ht="15.75" customHeight="1">
      <c r="S890" s="454"/>
      <c r="BA890" s="1305"/>
      <c r="BC890" s="169"/>
    </row>
    <row r="891" spans="19:55" ht="15.75" customHeight="1">
      <c r="S891" s="454"/>
      <c r="BA891" s="1305"/>
      <c r="BC891" s="169"/>
    </row>
    <row r="892" spans="19:55" ht="15.75" customHeight="1">
      <c r="S892" s="454"/>
      <c r="BA892" s="1305"/>
      <c r="BC892" s="169"/>
    </row>
    <row r="893" spans="19:55" ht="15.75" customHeight="1">
      <c r="S893" s="454"/>
      <c r="BA893" s="1305"/>
      <c r="BC893" s="169"/>
    </row>
    <row r="894" spans="19:55" ht="15.75" customHeight="1">
      <c r="S894" s="454"/>
      <c r="BA894" s="1305"/>
      <c r="BC894" s="169"/>
    </row>
    <row r="895" spans="19:55" ht="15.75" customHeight="1">
      <c r="S895" s="454"/>
      <c r="BA895" s="1305"/>
      <c r="BC895" s="169"/>
    </row>
    <row r="896" spans="19:55" ht="15.75" customHeight="1">
      <c r="S896" s="454"/>
      <c r="BA896" s="1305"/>
      <c r="BC896" s="169"/>
    </row>
    <row r="897" spans="19:55" ht="15.75" customHeight="1">
      <c r="S897" s="454"/>
      <c r="BA897" s="1305"/>
      <c r="BC897" s="169"/>
    </row>
    <row r="898" spans="19:55" ht="15.75" customHeight="1">
      <c r="S898" s="454"/>
      <c r="BA898" s="1305"/>
      <c r="BC898" s="169"/>
    </row>
    <row r="899" spans="19:55" ht="15.75" customHeight="1">
      <c r="S899" s="454"/>
      <c r="BA899" s="1305"/>
      <c r="BC899" s="169"/>
    </row>
    <row r="900" spans="19:55" ht="15.75" customHeight="1">
      <c r="S900" s="454"/>
      <c r="BA900" s="1305"/>
      <c r="BC900" s="169"/>
    </row>
    <row r="901" spans="19:55" ht="15.75" customHeight="1">
      <c r="S901" s="454"/>
      <c r="BA901" s="1305"/>
      <c r="BC901" s="169"/>
    </row>
    <row r="902" spans="19:55" ht="15.75" customHeight="1">
      <c r="S902" s="454"/>
      <c r="BA902" s="1305"/>
      <c r="BC902" s="169"/>
    </row>
    <row r="903" spans="19:55" ht="15.75" customHeight="1">
      <c r="S903" s="454"/>
      <c r="BA903" s="1305"/>
      <c r="BC903" s="169"/>
    </row>
    <row r="904" spans="19:55" ht="15.75" customHeight="1">
      <c r="S904" s="454"/>
      <c r="BA904" s="1305"/>
      <c r="BC904" s="169"/>
    </row>
    <row r="905" spans="19:55" ht="15.75" customHeight="1">
      <c r="S905" s="454"/>
      <c r="BA905" s="1305"/>
      <c r="BC905" s="169"/>
    </row>
    <row r="906" spans="19:55" ht="15.75" customHeight="1">
      <c r="S906" s="454"/>
      <c r="BA906" s="1305"/>
      <c r="BC906" s="169"/>
    </row>
    <row r="907" spans="19:55" ht="15.75" customHeight="1">
      <c r="S907" s="454"/>
      <c r="BA907" s="1305"/>
      <c r="BC907" s="169"/>
    </row>
    <row r="908" spans="19:55" ht="15.75" customHeight="1">
      <c r="S908" s="454"/>
      <c r="BA908" s="1305"/>
      <c r="BC908" s="169"/>
    </row>
    <row r="909" spans="19:55" ht="15.75" customHeight="1">
      <c r="S909" s="454"/>
      <c r="BA909" s="1305"/>
      <c r="BC909" s="169"/>
    </row>
    <row r="910" spans="19:55" ht="15.75" customHeight="1">
      <c r="S910" s="454"/>
      <c r="BA910" s="1305"/>
      <c r="BC910" s="169"/>
    </row>
    <row r="911" spans="19:55" ht="15.75" customHeight="1">
      <c r="S911" s="454"/>
      <c r="BA911" s="1305"/>
      <c r="BC911" s="169"/>
    </row>
    <row r="912" spans="19:55" ht="15.75" customHeight="1">
      <c r="S912" s="454"/>
      <c r="BA912" s="1305"/>
      <c r="BC912" s="169"/>
    </row>
    <row r="913" spans="19:55" ht="15.75" customHeight="1">
      <c r="S913" s="454"/>
      <c r="BA913" s="1305"/>
      <c r="BC913" s="169"/>
    </row>
    <row r="914" spans="19:55" ht="15.75" customHeight="1">
      <c r="S914" s="454"/>
      <c r="BA914" s="1305"/>
      <c r="BC914" s="169"/>
    </row>
    <row r="915" spans="19:55" ht="15.75" customHeight="1">
      <c r="S915" s="454"/>
      <c r="BA915" s="1305"/>
      <c r="BC915" s="169"/>
    </row>
    <row r="916" spans="19:55" ht="15.75" customHeight="1">
      <c r="S916" s="454"/>
      <c r="BA916" s="1305"/>
      <c r="BC916" s="169"/>
    </row>
    <row r="917" spans="19:55" ht="15.75" customHeight="1">
      <c r="S917" s="454"/>
      <c r="BA917" s="1305"/>
      <c r="BC917" s="169"/>
    </row>
    <row r="918" spans="19:55" ht="15.75" customHeight="1">
      <c r="S918" s="454"/>
      <c r="BA918" s="1305"/>
      <c r="BC918" s="169"/>
    </row>
    <row r="919" spans="19:55" ht="15.75" customHeight="1">
      <c r="S919" s="454"/>
      <c r="BA919" s="1305"/>
      <c r="BC919" s="169"/>
    </row>
    <row r="920" spans="19:55" ht="15.75" customHeight="1">
      <c r="S920" s="454"/>
      <c r="BA920" s="1305"/>
      <c r="BC920" s="169"/>
    </row>
    <row r="921" spans="19:55" ht="15.75" customHeight="1">
      <c r="S921" s="454"/>
      <c r="BA921" s="1305"/>
      <c r="BC921" s="169"/>
    </row>
    <row r="922" spans="19:55" ht="15.75" customHeight="1">
      <c r="S922" s="454"/>
      <c r="BA922" s="1305"/>
      <c r="BC922" s="169"/>
    </row>
    <row r="923" spans="19:55" ht="15.75" customHeight="1">
      <c r="S923" s="454"/>
      <c r="BA923" s="1305"/>
      <c r="BC923" s="169"/>
    </row>
    <row r="924" spans="19:55" ht="15.75" customHeight="1">
      <c r="S924" s="454"/>
      <c r="BA924" s="1305"/>
      <c r="BC924" s="169"/>
    </row>
    <row r="925" spans="19:55" ht="15.75" customHeight="1">
      <c r="S925" s="454"/>
      <c r="BA925" s="1305"/>
      <c r="BC925" s="169"/>
    </row>
    <row r="926" spans="19:55" ht="15.75" customHeight="1">
      <c r="S926" s="454"/>
      <c r="BA926" s="1305"/>
      <c r="BC926" s="169"/>
    </row>
    <row r="927" spans="19:55" ht="15.75" customHeight="1">
      <c r="S927" s="454"/>
      <c r="BA927" s="1305"/>
      <c r="BC927" s="169"/>
    </row>
    <row r="928" spans="19:55" ht="15.75" customHeight="1">
      <c r="S928" s="454"/>
      <c r="BA928" s="1305"/>
      <c r="BC928" s="169"/>
    </row>
    <row r="929" spans="19:55" ht="15.75" customHeight="1">
      <c r="S929" s="454"/>
      <c r="BA929" s="1305"/>
      <c r="BC929" s="169"/>
    </row>
    <row r="930" spans="19:55" ht="15.75" customHeight="1">
      <c r="S930" s="454"/>
      <c r="BA930" s="1305"/>
      <c r="BC930" s="169"/>
    </row>
    <row r="931" spans="19:55" ht="15.75" customHeight="1">
      <c r="S931" s="454"/>
      <c r="BA931" s="1305"/>
      <c r="BC931" s="169"/>
    </row>
    <row r="932" spans="19:55" ht="15.75" customHeight="1">
      <c r="S932" s="454"/>
      <c r="BA932" s="1305"/>
      <c r="BC932" s="169"/>
    </row>
    <row r="933" spans="19:55" ht="15.75" customHeight="1">
      <c r="S933" s="454"/>
      <c r="BA933" s="1305"/>
      <c r="BC933" s="169"/>
    </row>
    <row r="934" spans="19:55" ht="15.75" customHeight="1">
      <c r="S934" s="454"/>
      <c r="BA934" s="1305"/>
      <c r="BC934" s="169"/>
    </row>
    <row r="935" spans="19:55" ht="15.75" customHeight="1">
      <c r="S935" s="454"/>
      <c r="BA935" s="1305"/>
      <c r="BC935" s="169"/>
    </row>
    <row r="936" spans="19:55" ht="15.75" customHeight="1">
      <c r="S936" s="454"/>
      <c r="BA936" s="1305"/>
      <c r="BC936" s="169"/>
    </row>
    <row r="937" spans="19:55" ht="15.75" customHeight="1">
      <c r="S937" s="454"/>
      <c r="BA937" s="1305"/>
      <c r="BC937" s="169"/>
    </row>
    <row r="938" spans="19:55" ht="15.75" customHeight="1">
      <c r="S938" s="454"/>
      <c r="BA938" s="1305"/>
      <c r="BC938" s="169"/>
    </row>
    <row r="939" spans="19:55" ht="15.75" customHeight="1">
      <c r="S939" s="454"/>
      <c r="BA939" s="1305"/>
      <c r="BC939" s="169"/>
    </row>
    <row r="940" spans="19:55" ht="15.75" customHeight="1">
      <c r="S940" s="454"/>
      <c r="BA940" s="1305"/>
      <c r="BC940" s="169"/>
    </row>
    <row r="941" spans="19:55" ht="15.75" customHeight="1">
      <c r="S941" s="454"/>
      <c r="BA941" s="1305"/>
      <c r="BC941" s="169"/>
    </row>
    <row r="942" spans="19:55" ht="15.75" customHeight="1">
      <c r="S942" s="454"/>
      <c r="BA942" s="1305"/>
      <c r="BC942" s="169"/>
    </row>
    <row r="943" spans="19:55" ht="15.75" customHeight="1">
      <c r="S943" s="454"/>
      <c r="BA943" s="1305"/>
      <c r="BC943" s="169"/>
    </row>
    <row r="944" spans="19:55" ht="15.75" customHeight="1">
      <c r="S944" s="454"/>
      <c r="BA944" s="1305"/>
      <c r="BC944" s="169"/>
    </row>
    <row r="945" spans="19:55" ht="15.75" customHeight="1">
      <c r="S945" s="454"/>
      <c r="BA945" s="1305"/>
      <c r="BC945" s="169"/>
    </row>
    <row r="946" spans="19:55" ht="15.75" customHeight="1">
      <c r="S946" s="454"/>
      <c r="BA946" s="1305"/>
      <c r="BC946" s="169"/>
    </row>
    <row r="947" spans="19:55" ht="15.75" customHeight="1">
      <c r="S947" s="454"/>
      <c r="BA947" s="1305"/>
      <c r="BC947" s="169"/>
    </row>
    <row r="948" spans="19:55" ht="15.75" customHeight="1">
      <c r="S948" s="454"/>
      <c r="BA948" s="1305"/>
      <c r="BC948" s="169"/>
    </row>
    <row r="949" spans="19:55" ht="15.75" customHeight="1">
      <c r="S949" s="454"/>
      <c r="BA949" s="1305"/>
      <c r="BC949" s="169"/>
    </row>
    <row r="950" spans="19:55" ht="15.75" customHeight="1">
      <c r="S950" s="454"/>
      <c r="BA950" s="1305"/>
      <c r="BC950" s="169"/>
    </row>
    <row r="951" spans="19:55" ht="15.75" customHeight="1">
      <c r="S951" s="454"/>
      <c r="BA951" s="1305"/>
      <c r="BC951" s="169"/>
    </row>
    <row r="952" spans="19:55" ht="15.75" customHeight="1">
      <c r="S952" s="454"/>
      <c r="BA952" s="1305"/>
      <c r="BC952" s="169"/>
    </row>
    <row r="953" spans="19:55" ht="15.75" customHeight="1">
      <c r="S953" s="454"/>
      <c r="BA953" s="1305"/>
      <c r="BC953" s="169"/>
    </row>
    <row r="954" spans="19:55" ht="15.75" customHeight="1">
      <c r="S954" s="454"/>
      <c r="BA954" s="1305"/>
      <c r="BC954" s="169"/>
    </row>
    <row r="955" spans="19:55" ht="15.75" customHeight="1">
      <c r="S955" s="454"/>
      <c r="BA955" s="1305"/>
      <c r="BC955" s="169"/>
    </row>
    <row r="956" spans="19:55" ht="15.75" customHeight="1">
      <c r="S956" s="454"/>
      <c r="BA956" s="1305"/>
      <c r="BC956" s="169"/>
    </row>
    <row r="957" spans="19:55" ht="15.75" customHeight="1">
      <c r="S957" s="454"/>
      <c r="BA957" s="1305"/>
      <c r="BC957" s="169"/>
    </row>
    <row r="958" spans="19:55" ht="15.75" customHeight="1">
      <c r="S958" s="454"/>
      <c r="BA958" s="1305"/>
      <c r="BC958" s="169"/>
    </row>
    <row r="959" spans="19:55" ht="15.75" customHeight="1">
      <c r="S959" s="454"/>
      <c r="BA959" s="1305"/>
      <c r="BC959" s="169"/>
    </row>
    <row r="960" spans="19:55" ht="15.75" customHeight="1">
      <c r="S960" s="454"/>
      <c r="BA960" s="1305"/>
      <c r="BC960" s="169"/>
    </row>
    <row r="961" spans="19:55" ht="15.75" customHeight="1">
      <c r="S961" s="454"/>
      <c r="BA961" s="1305"/>
      <c r="BC961" s="169"/>
    </row>
    <row r="962" spans="19:55" ht="15.75" customHeight="1">
      <c r="S962" s="454"/>
      <c r="BA962" s="1305"/>
      <c r="BC962" s="169"/>
    </row>
    <row r="963" spans="19:55" ht="15.75" customHeight="1">
      <c r="S963" s="454"/>
      <c r="BA963" s="1305"/>
      <c r="BC963" s="169"/>
    </row>
    <row r="964" spans="19:55" ht="15.75" customHeight="1">
      <c r="S964" s="454"/>
      <c r="BA964" s="1305"/>
      <c r="BC964" s="169"/>
    </row>
    <row r="965" spans="19:55" ht="15.75" customHeight="1">
      <c r="S965" s="454"/>
      <c r="BA965" s="1305"/>
      <c r="BC965" s="169"/>
    </row>
    <row r="966" spans="19:55" ht="15.75" customHeight="1">
      <c r="S966" s="454"/>
      <c r="BA966" s="1305"/>
      <c r="BC966" s="169"/>
    </row>
    <row r="967" spans="19:55" ht="15.75" customHeight="1">
      <c r="S967" s="454"/>
      <c r="BA967" s="1305"/>
      <c r="BC967" s="169"/>
    </row>
    <row r="968" spans="19:55" ht="15.75" customHeight="1">
      <c r="S968" s="454"/>
      <c r="BA968" s="1305"/>
      <c r="BC968" s="169"/>
    </row>
    <row r="969" spans="19:55" ht="15.75" customHeight="1">
      <c r="S969" s="454"/>
      <c r="BA969" s="1305"/>
      <c r="BC969" s="169"/>
    </row>
    <row r="970" spans="19:55" ht="15.75" customHeight="1">
      <c r="S970" s="454"/>
      <c r="BA970" s="1305"/>
      <c r="BC970" s="169"/>
    </row>
    <row r="971" spans="19:55" ht="15.75" customHeight="1">
      <c r="S971" s="454"/>
      <c r="BA971" s="1305"/>
      <c r="BC971" s="169"/>
    </row>
    <row r="972" spans="19:55" ht="15.75" customHeight="1">
      <c r="S972" s="454"/>
      <c r="BA972" s="1305"/>
      <c r="BC972" s="169"/>
    </row>
    <row r="973" spans="19:55" ht="15.75" customHeight="1">
      <c r="S973" s="454"/>
      <c r="BA973" s="1305"/>
      <c r="BC973" s="169"/>
    </row>
    <row r="974" spans="19:55" ht="15.75" customHeight="1">
      <c r="S974" s="454"/>
      <c r="BA974" s="1305"/>
      <c r="BC974" s="169"/>
    </row>
    <row r="975" spans="19:55" ht="15.75" customHeight="1">
      <c r="S975" s="454"/>
      <c r="BA975" s="1305"/>
      <c r="BC975" s="169"/>
    </row>
    <row r="976" spans="19:55" ht="15.75" customHeight="1">
      <c r="S976" s="454"/>
      <c r="BA976" s="1305"/>
      <c r="BC976" s="169"/>
    </row>
    <row r="977" spans="19:55" ht="15.75" customHeight="1">
      <c r="S977" s="454"/>
      <c r="BA977" s="1305"/>
      <c r="BC977" s="169"/>
    </row>
    <row r="978" spans="19:55" ht="15.75" customHeight="1">
      <c r="S978" s="454"/>
      <c r="BA978" s="1305"/>
      <c r="BC978" s="169"/>
    </row>
    <row r="979" spans="19:55" ht="15.75" customHeight="1">
      <c r="S979" s="454"/>
      <c r="BA979" s="1305"/>
      <c r="BC979" s="169"/>
    </row>
    <row r="980" spans="19:55" ht="15.75" customHeight="1">
      <c r="S980" s="454"/>
      <c r="BA980" s="1305"/>
      <c r="BC980" s="169"/>
    </row>
    <row r="981" spans="19:55" ht="15.75" customHeight="1">
      <c r="S981" s="454"/>
      <c r="BA981" s="1305"/>
      <c r="BC981" s="169"/>
    </row>
    <row r="982" spans="19:55" ht="15.75" customHeight="1">
      <c r="S982" s="454"/>
      <c r="BA982" s="1305"/>
      <c r="BC982" s="169"/>
    </row>
    <row r="983" spans="19:55" ht="15.75" customHeight="1">
      <c r="S983" s="454"/>
      <c r="BA983" s="1305"/>
      <c r="BC983" s="169"/>
    </row>
    <row r="984" spans="19:55" ht="15.75" customHeight="1">
      <c r="S984" s="454"/>
      <c r="BA984" s="1305"/>
      <c r="BC984" s="169"/>
    </row>
    <row r="985" spans="19:55" ht="15.75" customHeight="1">
      <c r="S985" s="454"/>
      <c r="BA985" s="1305"/>
      <c r="BC985" s="169"/>
    </row>
    <row r="986" spans="19:55" ht="15.75" customHeight="1">
      <c r="S986" s="454"/>
      <c r="BA986" s="1305"/>
      <c r="BC986" s="169"/>
    </row>
    <row r="987" spans="19:55" ht="15.75" customHeight="1">
      <c r="S987" s="454"/>
      <c r="BA987" s="1305"/>
      <c r="BC987" s="169"/>
    </row>
    <row r="988" spans="19:55" ht="15.75" customHeight="1">
      <c r="S988" s="454"/>
      <c r="BA988" s="1305"/>
      <c r="BC988" s="169"/>
    </row>
    <row r="989" spans="19:55" ht="15.75" customHeight="1">
      <c r="S989" s="454"/>
      <c r="BA989" s="1305"/>
      <c r="BC989" s="169"/>
    </row>
    <row r="990" spans="19:55" ht="15.75" customHeight="1">
      <c r="S990" s="454"/>
      <c r="BA990" s="1305"/>
      <c r="BC990" s="169"/>
    </row>
    <row r="991" spans="19:55" ht="15.75" customHeight="1">
      <c r="S991" s="454"/>
      <c r="BA991" s="1305"/>
      <c r="BC991" s="169"/>
    </row>
    <row r="992" spans="19:55" ht="15.75" customHeight="1">
      <c r="S992" s="454"/>
      <c r="BA992" s="1305"/>
      <c r="BC992" s="169"/>
    </row>
    <row r="993" spans="19:55" ht="15.75" customHeight="1">
      <c r="S993" s="454"/>
      <c r="BA993" s="1305"/>
      <c r="BC993" s="169"/>
    </row>
    <row r="994" spans="19:55" ht="15.75" customHeight="1">
      <c r="S994" s="454"/>
      <c r="BA994" s="1305"/>
      <c r="BC994" s="169"/>
    </row>
    <row r="995" spans="19:55" ht="15.75" customHeight="1">
      <c r="S995" s="454"/>
      <c r="BA995" s="1305"/>
      <c r="BC995" s="169"/>
    </row>
    <row r="996" spans="19:55" ht="15.75" customHeight="1">
      <c r="S996" s="454"/>
      <c r="BA996" s="1305"/>
      <c r="BC996" s="169"/>
    </row>
    <row r="997" spans="19:55" ht="15.75" customHeight="1">
      <c r="S997" s="454"/>
      <c r="BA997" s="1305"/>
      <c r="BC997" s="169"/>
    </row>
    <row r="998" spans="19:55" ht="15.75" customHeight="1">
      <c r="S998" s="454"/>
      <c r="BA998" s="1305"/>
      <c r="BC998" s="169"/>
    </row>
    <row r="999" spans="19:55" ht="15.75" customHeight="1">
      <c r="S999" s="454"/>
      <c r="BA999" s="1305"/>
      <c r="BC999" s="169"/>
    </row>
    <row r="1000" spans="19:55" ht="15.75" customHeight="1">
      <c r="S1000" s="454"/>
      <c r="BA1000" s="1305"/>
      <c r="BC1000" s="169"/>
    </row>
    <row r="1001" spans="19:55" ht="15.75" customHeight="1">
      <c r="S1001" s="454"/>
      <c r="BA1001" s="1305"/>
      <c r="BC1001" s="169"/>
    </row>
    <row r="1002" spans="19:55" ht="15.75" customHeight="1">
      <c r="S1002" s="454"/>
      <c r="BA1002" s="1305"/>
      <c r="BC1002" s="169"/>
    </row>
    <row r="1003" spans="19:55" ht="15.75" customHeight="1">
      <c r="S1003" s="454"/>
      <c r="BA1003" s="1305"/>
      <c r="BC1003" s="169"/>
    </row>
    <row r="1004" spans="19:55" ht="15.75" customHeight="1">
      <c r="S1004" s="454"/>
      <c r="BA1004" s="1305"/>
      <c r="BC1004" s="169"/>
    </row>
    <row r="1005" spans="19:55" ht="15.75" customHeight="1">
      <c r="S1005" s="454"/>
      <c r="BA1005" s="1305"/>
      <c r="BC1005" s="169"/>
    </row>
    <row r="1006" spans="19:55" ht="15.75" customHeight="1">
      <c r="S1006" s="454"/>
      <c r="BA1006" s="1305"/>
      <c r="BC1006" s="169"/>
    </row>
    <row r="1007" spans="19:55" ht="15.75" customHeight="1">
      <c r="S1007" s="454"/>
      <c r="BA1007" s="1305"/>
      <c r="BC1007" s="169"/>
    </row>
    <row r="1008" spans="19:55" ht="15.75" customHeight="1">
      <c r="S1008" s="454"/>
      <c r="BA1008" s="1305"/>
      <c r="BC1008" s="169"/>
    </row>
    <row r="1009" spans="19:55" ht="15.75" customHeight="1">
      <c r="S1009" s="454"/>
      <c r="BA1009" s="1305"/>
      <c r="BC1009" s="169"/>
    </row>
    <row r="1010" spans="19:55" ht="15.75" customHeight="1">
      <c r="S1010" s="454"/>
      <c r="BA1010" s="1305"/>
      <c r="BC1010" s="169"/>
    </row>
    <row r="1011" spans="19:55" ht="15.75" customHeight="1">
      <c r="S1011" s="454"/>
      <c r="BA1011" s="1305"/>
      <c r="BC1011" s="169"/>
    </row>
    <row r="1012" spans="19:55" ht="15.75" customHeight="1">
      <c r="S1012" s="454"/>
      <c r="BA1012" s="1305"/>
      <c r="BC1012" s="169"/>
    </row>
    <row r="1013" spans="19:55" ht="15.75" customHeight="1">
      <c r="S1013" s="454"/>
      <c r="BA1013" s="1305"/>
      <c r="BC1013" s="169"/>
    </row>
    <row r="1014" spans="19:55" ht="15.75" customHeight="1">
      <c r="S1014" s="454"/>
      <c r="BA1014" s="1305"/>
      <c r="BC1014" s="169"/>
    </row>
    <row r="1015" spans="19:55" ht="15.75" customHeight="1">
      <c r="S1015" s="454"/>
      <c r="BA1015" s="1305"/>
      <c r="BC1015" s="169"/>
    </row>
    <row r="1016" spans="19:55" ht="15.75" customHeight="1">
      <c r="S1016" s="454"/>
      <c r="BA1016" s="1305"/>
      <c r="BC1016" s="169"/>
    </row>
    <row r="1017" spans="19:55" ht="15.75" customHeight="1">
      <c r="S1017" s="454"/>
      <c r="BA1017" s="1305"/>
      <c r="BC1017" s="169"/>
    </row>
    <row r="1018" spans="19:55" ht="15.75" customHeight="1">
      <c r="S1018" s="454"/>
      <c r="BA1018" s="1305"/>
      <c r="BC1018" s="169"/>
    </row>
    <row r="1019" spans="19:55" ht="15.75" customHeight="1">
      <c r="S1019" s="454"/>
      <c r="BA1019" s="1305"/>
      <c r="BC1019" s="169"/>
    </row>
    <row r="1020" spans="19:55" ht="15.75" customHeight="1">
      <c r="S1020" s="454"/>
      <c r="BA1020" s="1305"/>
      <c r="BC1020" s="169"/>
    </row>
    <row r="1021" spans="19:55" ht="15.75" customHeight="1">
      <c r="S1021" s="454"/>
      <c r="BA1021" s="1305"/>
      <c r="BC1021" s="169"/>
    </row>
    <row r="1022" spans="19:55" ht="15.75" customHeight="1">
      <c r="S1022" s="454"/>
      <c r="BA1022" s="1305"/>
      <c r="BC1022" s="169"/>
    </row>
    <row r="1023" spans="19:55" ht="15.75" customHeight="1">
      <c r="S1023" s="454"/>
      <c r="BA1023" s="1305"/>
      <c r="BC1023" s="169"/>
    </row>
    <row r="1024" spans="19:55" ht="15.75" customHeight="1">
      <c r="S1024" s="454"/>
      <c r="BA1024" s="1305"/>
      <c r="BC1024" s="169"/>
    </row>
    <row r="1025" spans="19:55" ht="15.75" customHeight="1">
      <c r="S1025" s="454"/>
      <c r="BA1025" s="1305"/>
      <c r="BC1025" s="169"/>
    </row>
    <row r="1026" spans="19:55" ht="15.75" customHeight="1">
      <c r="S1026" s="454"/>
      <c r="BA1026" s="1305"/>
      <c r="BC1026" s="169"/>
    </row>
    <row r="1027" spans="19:55" ht="15.75" customHeight="1">
      <c r="S1027" s="454"/>
      <c r="BA1027" s="1305"/>
      <c r="BC1027" s="169"/>
    </row>
    <row r="1028" spans="19:55" ht="15.75" customHeight="1">
      <c r="S1028" s="454"/>
      <c r="BA1028" s="1305"/>
      <c r="BC1028" s="169"/>
    </row>
    <row r="1029" spans="19:55" ht="15.75" customHeight="1">
      <c r="S1029" s="454"/>
      <c r="BA1029" s="1305"/>
      <c r="BC1029" s="169"/>
    </row>
    <row r="1030" spans="19:55" ht="15.75" customHeight="1">
      <c r="S1030" s="454"/>
      <c r="BA1030" s="1305"/>
      <c r="BC1030" s="169"/>
    </row>
    <row r="1031" spans="19:55" ht="15.75" customHeight="1">
      <c r="S1031" s="454"/>
      <c r="BA1031" s="1305"/>
      <c r="BC1031" s="169"/>
    </row>
    <row r="1032" spans="19:55" ht="15.75" customHeight="1">
      <c r="S1032" s="454"/>
      <c r="BA1032" s="1305"/>
      <c r="BC1032" s="169"/>
    </row>
    <row r="1033" spans="19:55" ht="15.75" customHeight="1">
      <c r="S1033" s="454"/>
      <c r="BA1033" s="1305"/>
      <c r="BC1033" s="169"/>
    </row>
    <row r="1034" spans="19:55" ht="15.75" customHeight="1">
      <c r="S1034" s="454"/>
      <c r="BA1034" s="1305"/>
      <c r="BC1034" s="169"/>
    </row>
    <row r="1035" spans="19:55" ht="15.75" customHeight="1">
      <c r="S1035" s="454"/>
      <c r="BA1035" s="1305"/>
      <c r="BC1035" s="169"/>
    </row>
    <row r="1036" spans="19:55" ht="15.75" customHeight="1">
      <c r="S1036" s="454"/>
      <c r="BA1036" s="1305"/>
      <c r="BC1036" s="169"/>
    </row>
    <row r="1037" spans="19:55" ht="15.75" customHeight="1">
      <c r="S1037" s="454"/>
      <c r="BA1037" s="1305"/>
      <c r="BC1037" s="169"/>
    </row>
    <row r="1038" spans="19:55" ht="15.75" customHeight="1">
      <c r="S1038" s="454"/>
      <c r="BA1038" s="1305"/>
      <c r="BC1038" s="169"/>
    </row>
    <row r="1039" spans="19:55" ht="15.75" customHeight="1">
      <c r="S1039" s="454"/>
      <c r="BA1039" s="1305"/>
      <c r="BC1039" s="169"/>
    </row>
    <row r="1040" spans="19:55" ht="15.75" customHeight="1">
      <c r="S1040" s="454"/>
      <c r="BA1040" s="1305"/>
      <c r="BC1040" s="169"/>
    </row>
    <row r="1041" spans="19:55" ht="15.75" customHeight="1">
      <c r="S1041" s="454"/>
      <c r="BA1041" s="1305"/>
      <c r="BC1041" s="169"/>
    </row>
    <row r="1042" spans="19:55" ht="15.75" customHeight="1">
      <c r="S1042" s="454"/>
      <c r="BA1042" s="1305"/>
      <c r="BC1042" s="169"/>
    </row>
    <row r="1043" spans="19:55" ht="15.75" customHeight="1">
      <c r="S1043" s="454"/>
      <c r="BA1043" s="1305"/>
      <c r="BC1043" s="169"/>
    </row>
    <row r="1044" spans="19:55" ht="15.75" customHeight="1">
      <c r="S1044" s="454"/>
      <c r="BA1044" s="1305"/>
      <c r="BC1044" s="169"/>
    </row>
    <row r="1045" spans="19:55" ht="15.75" customHeight="1">
      <c r="S1045" s="454"/>
      <c r="BA1045" s="1305"/>
      <c r="BC1045" s="169"/>
    </row>
    <row r="1046" spans="19:55" ht="15.75" customHeight="1">
      <c r="S1046" s="454"/>
      <c r="BA1046" s="1305"/>
      <c r="BC1046" s="169"/>
    </row>
    <row r="1047" spans="19:55" ht="15.75" customHeight="1">
      <c r="S1047" s="454"/>
      <c r="BA1047" s="1305"/>
      <c r="BC1047" s="169"/>
    </row>
    <row r="1048" spans="19:55" ht="15.75" customHeight="1">
      <c r="S1048" s="454"/>
      <c r="BA1048" s="1305"/>
      <c r="BC1048" s="169"/>
    </row>
    <row r="1049" spans="19:55" ht="15.75" customHeight="1">
      <c r="S1049" s="454"/>
      <c r="BA1049" s="1305"/>
      <c r="BC1049" s="169"/>
    </row>
    <row r="1050" spans="19:55" ht="15.75" customHeight="1">
      <c r="S1050" s="454"/>
      <c r="BA1050" s="1305"/>
      <c r="BC1050" s="169"/>
    </row>
    <row r="1051" spans="19:55" ht="15.75" customHeight="1">
      <c r="S1051" s="454"/>
      <c r="BA1051" s="1305"/>
      <c r="BC1051" s="169"/>
    </row>
    <row r="1052" spans="19:55" ht="15.75" customHeight="1">
      <c r="S1052" s="454"/>
      <c r="BA1052" s="1305"/>
      <c r="BC1052" s="169"/>
    </row>
    <row r="1053" spans="19:55" ht="15.75" customHeight="1">
      <c r="S1053" s="454"/>
      <c r="BA1053" s="1305"/>
      <c r="BC1053" s="169"/>
    </row>
    <row r="1054" spans="19:55" ht="15.75" customHeight="1">
      <c r="S1054" s="454"/>
      <c r="BA1054" s="1305"/>
      <c r="BC1054" s="169"/>
    </row>
    <row r="1055" spans="19:55" ht="15.75" customHeight="1">
      <c r="S1055" s="454"/>
      <c r="BA1055" s="1305"/>
      <c r="BC1055" s="169"/>
    </row>
    <row r="1056" spans="19:55" ht="15.75" customHeight="1">
      <c r="S1056" s="454"/>
      <c r="BA1056" s="1305"/>
      <c r="BC1056" s="169"/>
    </row>
    <row r="1057" spans="19:55" ht="15.75" customHeight="1">
      <c r="S1057" s="454"/>
      <c r="BA1057" s="1305"/>
      <c r="BC1057" s="169"/>
    </row>
    <row r="1058" spans="19:55" ht="15.75" customHeight="1">
      <c r="S1058" s="454"/>
      <c r="BA1058" s="1305"/>
      <c r="BC1058" s="169"/>
    </row>
    <row r="1059" spans="19:55" ht="15.75" customHeight="1">
      <c r="S1059" s="454"/>
      <c r="BA1059" s="1305"/>
      <c r="BC1059" s="169"/>
    </row>
    <row r="1060" spans="19:55" ht="15.75" customHeight="1">
      <c r="S1060" s="454"/>
      <c r="BA1060" s="1305"/>
      <c r="BC1060" s="169"/>
    </row>
    <row r="1061" spans="19:55" ht="15.75" customHeight="1">
      <c r="S1061" s="454"/>
      <c r="BA1061" s="1305"/>
      <c r="BC1061" s="169"/>
    </row>
    <row r="1062" spans="19:55" ht="15.75" customHeight="1">
      <c r="S1062" s="454"/>
      <c r="BA1062" s="1305"/>
      <c r="BC1062" s="169"/>
    </row>
    <row r="1063" spans="19:55" ht="15.75" customHeight="1">
      <c r="S1063" s="454"/>
      <c r="BA1063" s="1305"/>
      <c r="BC1063" s="169"/>
    </row>
    <row r="1064" spans="19:55" ht="15.75" customHeight="1">
      <c r="S1064" s="454"/>
      <c r="BA1064" s="1305"/>
      <c r="BC1064" s="169"/>
    </row>
    <row r="1065" spans="19:55" ht="15.75" customHeight="1">
      <c r="S1065" s="454"/>
      <c r="BA1065" s="1305"/>
      <c r="BC1065" s="169"/>
    </row>
    <row r="1066" spans="19:55" ht="15.75" customHeight="1">
      <c r="S1066" s="454"/>
      <c r="BA1066" s="1305"/>
      <c r="BC1066" s="169"/>
    </row>
    <row r="1067" spans="19:55" ht="15.75" customHeight="1">
      <c r="S1067" s="454"/>
      <c r="BA1067" s="1305"/>
      <c r="BC1067" s="169"/>
    </row>
    <row r="1068" spans="19:55" ht="15.75" customHeight="1">
      <c r="S1068" s="454"/>
      <c r="BA1068" s="1305"/>
      <c r="BC1068" s="169"/>
    </row>
    <row r="1069" spans="19:55" ht="15.75" customHeight="1">
      <c r="S1069" s="454"/>
      <c r="BA1069" s="1305"/>
      <c r="BC1069" s="169"/>
    </row>
    <row r="1070" spans="19:55" ht="15.75" customHeight="1">
      <c r="S1070" s="454"/>
      <c r="BA1070" s="1305"/>
      <c r="BC1070" s="169"/>
    </row>
    <row r="1071" spans="19:55" ht="15.75" customHeight="1">
      <c r="S1071" s="454"/>
      <c r="BA1071" s="1305"/>
      <c r="BC1071" s="169"/>
    </row>
    <row r="1072" spans="19:55" ht="15.75" customHeight="1">
      <c r="S1072" s="454"/>
      <c r="BA1072" s="1305"/>
      <c r="BC1072" s="169"/>
    </row>
    <row r="1073" spans="19:55" ht="15.75" customHeight="1">
      <c r="S1073" s="454"/>
      <c r="BA1073" s="1305"/>
      <c r="BC1073" s="169"/>
    </row>
    <row r="1074" spans="19:55" ht="15.75" customHeight="1">
      <c r="S1074" s="454"/>
      <c r="BA1074" s="1305"/>
      <c r="BC1074" s="169"/>
    </row>
    <row r="1075" spans="19:55" ht="15.75" customHeight="1">
      <c r="S1075" s="454"/>
      <c r="BA1075" s="1305"/>
      <c r="BC1075" s="169"/>
    </row>
    <row r="1076" spans="19:55" ht="15.75" customHeight="1">
      <c r="S1076" s="454"/>
      <c r="BA1076" s="1305"/>
      <c r="BC1076" s="169"/>
    </row>
    <row r="1077" spans="19:55" ht="15.75" customHeight="1">
      <c r="S1077" s="454"/>
      <c r="BA1077" s="1305"/>
      <c r="BC1077" s="169"/>
    </row>
    <row r="1078" spans="19:55" ht="15.75" customHeight="1">
      <c r="S1078" s="454"/>
      <c r="BA1078" s="1305"/>
      <c r="BC1078" s="169"/>
    </row>
    <row r="1079" spans="19:55" ht="15.75" customHeight="1">
      <c r="S1079" s="454"/>
      <c r="BA1079" s="1305"/>
      <c r="BC1079" s="169"/>
    </row>
    <row r="1080" spans="19:55" ht="15.75" customHeight="1">
      <c r="S1080" s="454"/>
      <c r="BA1080" s="1305"/>
      <c r="BC1080" s="169"/>
    </row>
    <row r="1081" spans="19:55" ht="15.75" customHeight="1">
      <c r="S1081" s="454"/>
      <c r="BA1081" s="1305"/>
      <c r="BC1081" s="169"/>
    </row>
    <row r="1082" spans="19:55" ht="15.75" customHeight="1">
      <c r="S1082" s="454"/>
      <c r="BA1082" s="1305"/>
      <c r="BC1082" s="169"/>
    </row>
    <row r="1083" spans="19:55" ht="15.75" customHeight="1">
      <c r="S1083" s="454"/>
      <c r="BA1083" s="1305"/>
      <c r="BC1083" s="169"/>
    </row>
    <row r="1084" spans="19:55" ht="15.75" customHeight="1">
      <c r="S1084" s="454"/>
      <c r="BA1084" s="1305"/>
      <c r="BC1084" s="169"/>
    </row>
    <row r="1085" spans="19:55" ht="15.75" customHeight="1">
      <c r="S1085" s="454"/>
      <c r="BA1085" s="1305"/>
      <c r="BC1085" s="169"/>
    </row>
    <row r="1086" spans="19:55" ht="15.75" customHeight="1">
      <c r="S1086" s="454"/>
      <c r="BA1086" s="1305"/>
      <c r="BC1086" s="169"/>
    </row>
    <row r="1087" spans="19:55" ht="15.75" customHeight="1">
      <c r="S1087" s="454"/>
      <c r="BA1087" s="1305"/>
      <c r="BC1087" s="169"/>
    </row>
    <row r="1088" spans="19:55" ht="15.75" customHeight="1">
      <c r="S1088" s="454"/>
      <c r="BA1088" s="1305"/>
      <c r="BC1088" s="169"/>
    </row>
    <row r="1089" spans="19:55" ht="15.75" customHeight="1">
      <c r="S1089" s="454"/>
      <c r="BA1089" s="1305"/>
      <c r="BC1089" s="169"/>
    </row>
    <row r="1090" spans="19:55" ht="15.75" customHeight="1">
      <c r="S1090" s="454"/>
      <c r="BA1090" s="1305"/>
      <c r="BC1090" s="169"/>
    </row>
    <row r="1091" spans="19:55" ht="15.75" customHeight="1">
      <c r="S1091" s="454"/>
      <c r="BA1091" s="1305"/>
      <c r="BC1091" s="169"/>
    </row>
    <row r="1092" spans="19:55" ht="15.75" customHeight="1">
      <c r="S1092" s="454"/>
      <c r="BA1092" s="1305"/>
      <c r="BC1092" s="169"/>
    </row>
    <row r="1093" spans="19:55" ht="15.75" customHeight="1">
      <c r="S1093" s="454"/>
      <c r="BA1093" s="1305"/>
      <c r="BC1093" s="169"/>
    </row>
    <row r="1094" spans="19:55" ht="15.75" customHeight="1">
      <c r="S1094" s="454"/>
      <c r="BA1094" s="1305"/>
      <c r="BC1094" s="169"/>
    </row>
    <row r="1095" spans="19:55" ht="15.75" customHeight="1">
      <c r="S1095" s="454"/>
      <c r="BA1095" s="1266"/>
      <c r="BC1095" s="169"/>
    </row>
    <row r="1096" spans="19:55" ht="15.75" customHeight="1">
      <c r="S1096" s="454"/>
      <c r="BA1096" s="1266"/>
      <c r="BC1096" s="169"/>
    </row>
    <row r="1097" spans="19:55" ht="15.75" customHeight="1">
      <c r="S1097" s="454"/>
      <c r="BA1097" s="1266"/>
      <c r="BC1097" s="169"/>
    </row>
    <row r="1098" spans="19:55" ht="15.75" customHeight="1">
      <c r="S1098" s="454"/>
      <c r="BA1098" s="1266"/>
      <c r="BC1098" s="169"/>
    </row>
    <row r="1099" spans="19:55" ht="15.75" customHeight="1">
      <c r="S1099" s="454"/>
      <c r="BA1099" s="1266"/>
      <c r="BC1099" s="169"/>
    </row>
    <row r="1100" spans="19:55" ht="15.75" customHeight="1">
      <c r="S1100" s="454"/>
      <c r="BA1100" s="1266"/>
      <c r="BC1100" s="169"/>
    </row>
    <row r="1101" spans="19:55" ht="15.75" customHeight="1">
      <c r="S1101" s="454"/>
      <c r="BA1101" s="1266"/>
      <c r="BC1101" s="169"/>
    </row>
    <row r="1102" spans="19:55" ht="15.75" customHeight="1">
      <c r="S1102" s="454"/>
      <c r="BA1102" s="1266"/>
      <c r="BC1102" s="169"/>
    </row>
    <row r="1103" spans="19:55" ht="15.75" customHeight="1">
      <c r="S1103" s="454"/>
      <c r="BA1103" s="1266"/>
      <c r="BC1103" s="169"/>
    </row>
    <row r="1104" spans="19:55" ht="15.75" customHeight="1">
      <c r="S1104" s="454"/>
      <c r="BA1104" s="1266"/>
      <c r="BC1104" s="169"/>
    </row>
    <row r="1105" spans="19:55" ht="15.75" customHeight="1">
      <c r="S1105" s="454"/>
      <c r="BA1105" s="1266"/>
      <c r="BC1105" s="169"/>
    </row>
    <row r="1106" spans="19:55" ht="15.75" customHeight="1">
      <c r="S1106" s="454"/>
      <c r="BA1106" s="1266"/>
      <c r="BC1106" s="169"/>
    </row>
    <row r="1107" spans="19:55" ht="15.75" customHeight="1">
      <c r="S1107" s="454"/>
      <c r="BA1107" s="1266"/>
      <c r="BC1107" s="169"/>
    </row>
    <row r="1108" spans="19:55" ht="15.75" customHeight="1">
      <c r="S1108" s="454"/>
      <c r="BA1108" s="1266"/>
      <c r="BC1108" s="169"/>
    </row>
    <row r="1109" spans="19:55" ht="15.75" customHeight="1">
      <c r="S1109" s="454"/>
      <c r="BA1109" s="1266"/>
      <c r="BC1109" s="169"/>
    </row>
    <row r="1110" spans="19:55" ht="15.75" customHeight="1">
      <c r="S1110" s="454"/>
      <c r="BA1110" s="1266"/>
      <c r="BC1110" s="169"/>
    </row>
    <row r="1111" spans="19:55" ht="15.75" customHeight="1">
      <c r="S1111" s="454"/>
      <c r="BA1111" s="1266"/>
      <c r="BC1111" s="169"/>
    </row>
    <row r="1112" spans="19:55" ht="15.75" customHeight="1">
      <c r="S1112" s="454"/>
      <c r="BA1112" s="1266"/>
      <c r="BC1112" s="169"/>
    </row>
    <row r="1113" spans="19:55" ht="15.75" customHeight="1">
      <c r="S1113" s="454"/>
      <c r="BA1113" s="1266"/>
      <c r="BC1113" s="169"/>
    </row>
    <row r="1114" spans="19:55" ht="15.75" customHeight="1">
      <c r="S1114" s="454"/>
      <c r="BA1114" s="1266"/>
      <c r="BC1114" s="169"/>
    </row>
    <row r="1115" spans="19:55" ht="15.75" customHeight="1">
      <c r="S1115" s="454"/>
      <c r="BA1115" s="1266"/>
      <c r="BC1115" s="169"/>
    </row>
    <row r="1116" spans="19:55" ht="15.75" customHeight="1">
      <c r="S1116" s="454"/>
      <c r="BA1116" s="1266"/>
      <c r="BC1116" s="169"/>
    </row>
    <row r="1117" spans="19:55" ht="15.75" customHeight="1">
      <c r="S1117" s="454"/>
      <c r="BA1117" s="1266"/>
      <c r="BC1117" s="169"/>
    </row>
    <row r="1118" spans="19:55" ht="15.75" customHeight="1">
      <c r="S1118" s="454"/>
      <c r="BA1118" s="1266"/>
      <c r="BC1118" s="169"/>
    </row>
    <row r="1119" spans="19:55" ht="15.75" customHeight="1">
      <c r="S1119" s="454"/>
      <c r="BA1119" s="1266"/>
      <c r="BC1119" s="169"/>
    </row>
    <row r="1120" spans="19:55" ht="15.75" customHeight="1">
      <c r="S1120" s="454"/>
      <c r="BA1120" s="1266"/>
      <c r="BC1120" s="169"/>
    </row>
    <row r="1121" spans="19:55" ht="15.75" customHeight="1">
      <c r="S1121" s="454"/>
      <c r="BA1121" s="1266"/>
      <c r="BC1121" s="169"/>
    </row>
    <row r="1122" spans="19:55" ht="15.75" customHeight="1">
      <c r="S1122" s="454"/>
      <c r="BA1122" s="1266"/>
      <c r="BC1122" s="169"/>
    </row>
    <row r="1123" spans="19:55" ht="15.75" customHeight="1">
      <c r="S1123" s="454"/>
      <c r="BA1123" s="1266"/>
      <c r="BC1123" s="169"/>
    </row>
    <row r="1124" spans="19:55" ht="15.75" customHeight="1">
      <c r="S1124" s="454"/>
      <c r="BA1124" s="1266"/>
      <c r="BC1124" s="169"/>
    </row>
    <row r="1125" spans="19:55" ht="15.75" customHeight="1">
      <c r="S1125" s="454"/>
      <c r="BA1125" s="1266"/>
      <c r="BC1125" s="169"/>
    </row>
    <row r="1126" spans="19:55" ht="15.75" customHeight="1">
      <c r="S1126" s="454"/>
      <c r="BA1126" s="1266"/>
      <c r="BC1126" s="169"/>
    </row>
    <row r="1127" spans="19:55" ht="15.75" customHeight="1">
      <c r="S1127" s="454"/>
      <c r="BA1127" s="1266"/>
      <c r="BC1127" s="169"/>
    </row>
    <row r="1128" spans="19:55" ht="15.75" customHeight="1">
      <c r="S1128" s="454"/>
      <c r="BA1128" s="1266"/>
      <c r="BC1128" s="169"/>
    </row>
    <row r="1129" spans="19:55" ht="15.75" customHeight="1">
      <c r="S1129" s="454"/>
      <c r="BA1129" s="1266"/>
      <c r="BC1129" s="169"/>
    </row>
    <row r="1130" spans="19:55" ht="15.75" customHeight="1">
      <c r="S1130" s="454"/>
      <c r="BA1130" s="1266"/>
      <c r="BC1130" s="169"/>
    </row>
    <row r="1131" spans="19:55" ht="15.75" customHeight="1">
      <c r="S1131" s="454"/>
      <c r="BA1131" s="1266"/>
      <c r="BC1131" s="169"/>
    </row>
    <row r="1132" spans="19:55" ht="15.75" customHeight="1">
      <c r="S1132" s="454"/>
      <c r="BA1132" s="1266"/>
      <c r="BC1132" s="169"/>
    </row>
    <row r="1133" spans="19:55" ht="15.75" customHeight="1">
      <c r="S1133" s="454"/>
      <c r="BA1133" s="1266"/>
      <c r="BC1133" s="169"/>
    </row>
    <row r="1134" spans="19:55" ht="15.75" customHeight="1">
      <c r="S1134" s="454"/>
      <c r="BA1134" s="1266"/>
      <c r="BC1134" s="169"/>
    </row>
    <row r="1135" spans="19:55" ht="15.75" customHeight="1">
      <c r="S1135" s="454"/>
      <c r="BA1135" s="1266"/>
      <c r="BC1135" s="169"/>
    </row>
    <row r="1136" spans="19:55" ht="15.75" customHeight="1">
      <c r="S1136" s="454"/>
      <c r="BA1136" s="1266"/>
      <c r="BC1136" s="169"/>
    </row>
    <row r="1137" spans="19:55" ht="15.75" customHeight="1">
      <c r="S1137" s="454"/>
      <c r="BA1137" s="1266"/>
      <c r="BC1137" s="169"/>
    </row>
    <row r="1138" spans="19:55" ht="15.75" customHeight="1">
      <c r="S1138" s="454"/>
      <c r="BA1138" s="1266"/>
      <c r="BC1138" s="169"/>
    </row>
    <row r="1139" spans="19:55" ht="15.75" customHeight="1">
      <c r="S1139" s="454"/>
      <c r="BA1139" s="1266"/>
      <c r="BC1139" s="169"/>
    </row>
    <row r="1140" spans="19:55" ht="15.75" customHeight="1">
      <c r="S1140" s="454"/>
      <c r="BA1140" s="1266"/>
      <c r="BC1140" s="169"/>
    </row>
    <row r="1141" spans="19:55" ht="15.75" customHeight="1">
      <c r="S1141" s="454"/>
      <c r="BA1141" s="1266"/>
      <c r="BC1141" s="169"/>
    </row>
    <row r="1142" spans="19:55" ht="15.75" customHeight="1">
      <c r="S1142" s="454"/>
      <c r="BA1142" s="1266"/>
      <c r="BC1142" s="169"/>
    </row>
    <row r="1143" spans="19:55" ht="15.75" customHeight="1">
      <c r="S1143" s="454"/>
      <c r="BA1143" s="1266"/>
      <c r="BC1143" s="169"/>
    </row>
    <row r="1144" spans="19:55" ht="15.75" customHeight="1">
      <c r="S1144" s="454"/>
      <c r="BA1144" s="1266"/>
      <c r="BC1144" s="169"/>
    </row>
    <row r="1145" spans="19:55" ht="15.75" customHeight="1">
      <c r="S1145" s="454"/>
      <c r="BA1145" s="1266"/>
      <c r="BC1145" s="169"/>
    </row>
    <row r="1146" spans="19:55" ht="15.75" customHeight="1">
      <c r="S1146" s="454"/>
      <c r="BA1146" s="1266"/>
      <c r="BC1146" s="169"/>
    </row>
    <row r="1147" spans="19:55" ht="15.75" customHeight="1">
      <c r="S1147" s="454"/>
      <c r="BA1147" s="1266"/>
      <c r="BC1147" s="169"/>
    </row>
    <row r="1148" spans="19:55" ht="15.75" customHeight="1">
      <c r="S1148" s="454"/>
      <c r="BA1148" s="1266"/>
      <c r="BC1148" s="169"/>
    </row>
    <row r="1149" spans="19:55" ht="15.75" customHeight="1">
      <c r="S1149" s="454"/>
      <c r="BA1149" s="1266"/>
      <c r="BC1149" s="169"/>
    </row>
    <row r="1150" spans="19:55" ht="15.75" customHeight="1">
      <c r="S1150" s="454"/>
      <c r="BA1150" s="1266"/>
      <c r="BC1150" s="169"/>
    </row>
    <row r="1151" spans="19:55" ht="15.75" customHeight="1">
      <c r="S1151" s="454"/>
      <c r="BA1151" s="1266"/>
      <c r="BC1151" s="169"/>
    </row>
    <row r="1152" spans="19:55" ht="15.75" customHeight="1">
      <c r="S1152" s="454"/>
      <c r="BA1152" s="1266"/>
      <c r="BC1152" s="169"/>
    </row>
    <row r="1153" spans="19:55" ht="15.75" customHeight="1">
      <c r="S1153" s="454"/>
      <c r="BA1153" s="1266"/>
      <c r="BC1153" s="169"/>
    </row>
    <row r="1154" spans="19:55" ht="15.75" customHeight="1">
      <c r="S1154" s="454"/>
      <c r="BA1154" s="1266"/>
      <c r="BC1154" s="169"/>
    </row>
    <row r="1155" spans="19:55" ht="15.75" customHeight="1">
      <c r="S1155" s="454"/>
      <c r="BA1155" s="1266"/>
      <c r="BC1155" s="169"/>
    </row>
    <row r="1156" spans="19:55" ht="15.75" customHeight="1">
      <c r="S1156" s="454"/>
      <c r="BA1156" s="1266"/>
      <c r="BC1156" s="169"/>
    </row>
    <row r="1157" spans="19:55" ht="15.75" customHeight="1">
      <c r="S1157" s="454"/>
      <c r="BA1157" s="1266"/>
      <c r="BC1157" s="169"/>
    </row>
    <row r="1158" spans="19:55" ht="15.75" customHeight="1">
      <c r="S1158" s="454"/>
      <c r="BA1158" s="1266"/>
      <c r="BC1158" s="169"/>
    </row>
    <row r="1159" spans="19:55" ht="15.75" customHeight="1">
      <c r="S1159" s="454"/>
      <c r="BA1159" s="1266"/>
      <c r="BC1159" s="169"/>
    </row>
    <row r="1160" spans="19:55" ht="15.75" customHeight="1">
      <c r="S1160" s="454"/>
      <c r="BA1160" s="1266"/>
      <c r="BC1160" s="169"/>
    </row>
    <row r="1161" spans="19:55" ht="15.75" customHeight="1">
      <c r="S1161" s="454"/>
      <c r="BA1161" s="1266"/>
      <c r="BC1161" s="169"/>
    </row>
    <row r="1162" spans="19:55" ht="15.75" customHeight="1">
      <c r="S1162" s="454"/>
      <c r="BA1162" s="1266"/>
      <c r="BC1162" s="169"/>
    </row>
    <row r="1163" spans="19:55" ht="15.75" customHeight="1">
      <c r="S1163" s="454"/>
      <c r="BA1163" s="1266"/>
      <c r="BC1163" s="169"/>
    </row>
    <row r="1164" spans="19:55" ht="15.75" customHeight="1">
      <c r="S1164" s="454"/>
      <c r="BA1164" s="1266"/>
      <c r="BC1164" s="169"/>
    </row>
    <row r="1165" spans="19:55" ht="15.75" customHeight="1">
      <c r="S1165" s="454"/>
      <c r="BA1165" s="1266"/>
      <c r="BC1165" s="169"/>
    </row>
    <row r="1166" spans="19:55" ht="15.75" customHeight="1">
      <c r="S1166" s="454"/>
      <c r="BA1166" s="1266"/>
      <c r="BC1166" s="169"/>
    </row>
    <row r="1167" spans="19:55" ht="15.75" customHeight="1">
      <c r="S1167" s="454"/>
      <c r="BA1167" s="1266"/>
      <c r="BC1167" s="169"/>
    </row>
    <row r="1168" spans="19:55" ht="15.75" customHeight="1">
      <c r="S1168" s="454"/>
      <c r="BA1168" s="1266"/>
      <c r="BC1168" s="169"/>
    </row>
    <row r="1169" spans="19:55" ht="15.75" customHeight="1">
      <c r="S1169" s="454"/>
      <c r="BA1169" s="1266"/>
      <c r="BC1169" s="169"/>
    </row>
    <row r="1170" spans="19:55" ht="15.75" customHeight="1">
      <c r="S1170" s="454"/>
      <c r="BA1170" s="1266"/>
      <c r="BC1170" s="169"/>
    </row>
    <row r="1171" spans="19:55" ht="15.75" customHeight="1">
      <c r="S1171" s="454"/>
      <c r="BA1171" s="1266"/>
      <c r="BC1171" s="169"/>
    </row>
    <row r="1172" spans="19:55" ht="15.75" customHeight="1">
      <c r="S1172" s="454"/>
      <c r="BA1172" s="1266"/>
      <c r="BC1172" s="169"/>
    </row>
    <row r="1173" spans="19:55" ht="15.75" customHeight="1">
      <c r="S1173" s="454"/>
      <c r="BA1173" s="1266"/>
      <c r="BC1173" s="169"/>
    </row>
    <row r="1174" spans="19:55" ht="15.75" customHeight="1">
      <c r="S1174" s="454"/>
      <c r="BA1174" s="1266"/>
      <c r="BC1174" s="169"/>
    </row>
    <row r="1175" spans="19:55" ht="15.75" customHeight="1">
      <c r="S1175" s="454"/>
      <c r="BA1175" s="1266"/>
      <c r="BC1175" s="169"/>
    </row>
    <row r="1176" spans="19:55" ht="15.75" customHeight="1">
      <c r="S1176" s="454"/>
      <c r="BA1176" s="1266"/>
      <c r="BC1176" s="169"/>
    </row>
    <row r="1177" spans="19:55" ht="15.75" customHeight="1">
      <c r="S1177" s="454"/>
      <c r="BA1177" s="1266"/>
      <c r="BC1177" s="169"/>
    </row>
    <row r="1178" spans="19:55" ht="15.75" customHeight="1">
      <c r="S1178" s="454"/>
      <c r="BA1178" s="1266"/>
      <c r="BC1178" s="169"/>
    </row>
    <row r="1179" spans="19:55" ht="15.75" customHeight="1">
      <c r="S1179" s="454"/>
      <c r="BA1179" s="1266"/>
      <c r="BC1179" s="169"/>
    </row>
    <row r="1180" spans="19:55" ht="15.75" customHeight="1">
      <c r="S1180" s="454"/>
      <c r="BA1180" s="1266"/>
      <c r="BC1180" s="169"/>
    </row>
    <row r="1181" spans="19:55" ht="15.75" customHeight="1">
      <c r="S1181" s="454"/>
      <c r="BA1181" s="1266"/>
      <c r="BC1181" s="169"/>
    </row>
    <row r="1182" spans="19:55" ht="15.75" customHeight="1">
      <c r="S1182" s="454"/>
      <c r="BA1182" s="1266"/>
      <c r="BC1182" s="169"/>
    </row>
    <row r="1183" spans="19:55" ht="15.75" customHeight="1">
      <c r="S1183" s="454"/>
      <c r="BA1183" s="1266"/>
      <c r="BC1183" s="169"/>
    </row>
    <row r="1184" spans="19:55" ht="15.75" customHeight="1">
      <c r="S1184" s="454"/>
      <c r="BA1184" s="1266"/>
      <c r="BC1184" s="169"/>
    </row>
    <row r="1185" spans="19:55" ht="15.75" customHeight="1">
      <c r="S1185" s="454"/>
      <c r="BA1185" s="1266"/>
      <c r="BC1185" s="169"/>
    </row>
    <row r="1186" spans="19:55" ht="15.75" customHeight="1">
      <c r="S1186" s="454"/>
      <c r="BA1186" s="1266"/>
      <c r="BC1186" s="169"/>
    </row>
    <row r="1187" spans="19:55" ht="15.75" customHeight="1">
      <c r="S1187" s="454"/>
      <c r="BA1187" s="1266"/>
      <c r="BC1187" s="169"/>
    </row>
    <row r="1188" spans="19:55" ht="15.75" customHeight="1">
      <c r="S1188" s="454"/>
      <c r="BA1188" s="1266"/>
      <c r="BC1188" s="169"/>
    </row>
    <row r="1189" spans="19:55" ht="15.75" customHeight="1">
      <c r="S1189" s="454"/>
      <c r="BA1189" s="1266"/>
      <c r="BC1189" s="169"/>
    </row>
    <row r="1190" spans="19:55" ht="15.75" customHeight="1">
      <c r="S1190" s="454"/>
      <c r="BA1190" s="1266"/>
      <c r="BC1190" s="169"/>
    </row>
    <row r="1191" spans="19:55" ht="15.75" customHeight="1">
      <c r="S1191" s="454"/>
      <c r="BA1191" s="1266"/>
      <c r="BC1191" s="169"/>
    </row>
    <row r="1192" spans="19:55" ht="15.75" customHeight="1">
      <c r="S1192" s="454"/>
      <c r="BA1192" s="1266"/>
      <c r="BC1192" s="169"/>
    </row>
    <row r="1193" spans="19:55" ht="15.75" customHeight="1">
      <c r="S1193" s="454"/>
      <c r="BA1193" s="1266"/>
      <c r="BC1193" s="169"/>
    </row>
    <row r="1194" spans="19:55" ht="15.75" customHeight="1">
      <c r="S1194" s="454"/>
      <c r="BA1194" s="1266"/>
      <c r="BC1194" s="169"/>
    </row>
    <row r="1195" spans="19:55" ht="15.75" customHeight="1">
      <c r="S1195" s="454"/>
      <c r="BA1195" s="1266"/>
      <c r="BC1195" s="169"/>
    </row>
    <row r="1196" spans="19:55" ht="15.75" customHeight="1">
      <c r="S1196" s="454"/>
      <c r="BA1196" s="1266"/>
      <c r="BC1196" s="169"/>
    </row>
    <row r="1197" spans="19:55" ht="15.75" customHeight="1">
      <c r="S1197" s="454"/>
      <c r="BA1197" s="1266"/>
      <c r="BC1197" s="169"/>
    </row>
    <row r="1198" spans="19:55" ht="15.75" customHeight="1">
      <c r="S1198" s="454"/>
      <c r="BA1198" s="1266"/>
      <c r="BC1198" s="169"/>
    </row>
    <row r="1199" spans="19:55" ht="15.75" customHeight="1">
      <c r="S1199" s="454"/>
      <c r="BA1199" s="1266"/>
      <c r="BC1199" s="169"/>
    </row>
    <row r="1200" spans="19:55" ht="15.75" customHeight="1">
      <c r="S1200" s="454"/>
      <c r="BA1200" s="1266"/>
      <c r="BC1200" s="169"/>
    </row>
    <row r="1201" spans="19:55" ht="15.75" customHeight="1">
      <c r="S1201" s="454"/>
      <c r="BA1201" s="1266"/>
      <c r="BC1201" s="169"/>
    </row>
    <row r="1202" spans="19:55" ht="15.75" customHeight="1">
      <c r="S1202" s="454"/>
      <c r="BA1202" s="1266"/>
      <c r="BC1202" s="169"/>
    </row>
    <row r="1203" spans="19:55" ht="15.75" customHeight="1">
      <c r="S1203" s="454"/>
      <c r="BA1203" s="1266"/>
      <c r="BC1203" s="169"/>
    </row>
    <row r="1204" spans="19:55" ht="15.75" customHeight="1">
      <c r="S1204" s="454"/>
      <c r="BA1204" s="1266"/>
      <c r="BC1204" s="169"/>
    </row>
    <row r="1205" spans="19:55" ht="15.75" customHeight="1">
      <c r="S1205" s="454"/>
      <c r="BA1205" s="1266"/>
      <c r="BC1205" s="169"/>
    </row>
    <row r="1206" spans="19:55" ht="15.75" customHeight="1">
      <c r="S1206" s="454"/>
      <c r="BA1206" s="1266"/>
      <c r="BC1206" s="169"/>
    </row>
    <row r="1207" spans="19:55" ht="15.75" customHeight="1">
      <c r="S1207" s="454"/>
      <c r="BA1207" s="1266"/>
      <c r="BC1207" s="169"/>
    </row>
    <row r="1208" spans="19:55" ht="15.75" customHeight="1">
      <c r="S1208" s="454"/>
      <c r="BA1208" s="1266"/>
      <c r="BC1208" s="169"/>
    </row>
    <row r="1209" spans="19:55" ht="15.75" customHeight="1">
      <c r="S1209" s="454"/>
      <c r="BA1209" s="1266"/>
      <c r="BC1209" s="169"/>
    </row>
    <row r="1210" spans="19:55" ht="15.75" customHeight="1">
      <c r="S1210" s="454"/>
      <c r="BA1210" s="1266"/>
      <c r="BC1210" s="169"/>
    </row>
    <row r="1211" spans="19:55" ht="15.75" customHeight="1">
      <c r="S1211" s="454"/>
      <c r="BA1211" s="1266"/>
      <c r="BC1211" s="169"/>
    </row>
    <row r="1212" spans="19:55" ht="15.75" customHeight="1">
      <c r="S1212" s="454"/>
      <c r="BA1212" s="1266"/>
      <c r="BC1212" s="169"/>
    </row>
    <row r="1213" spans="19:55" ht="15.75" customHeight="1">
      <c r="S1213" s="454"/>
      <c r="BA1213" s="1266"/>
      <c r="BC1213" s="169"/>
    </row>
    <row r="1214" spans="19:55" ht="15.75" customHeight="1">
      <c r="S1214" s="454"/>
      <c r="BA1214" s="1266"/>
      <c r="BC1214" s="169"/>
    </row>
    <row r="1215" spans="19:55" ht="15.75" customHeight="1">
      <c r="S1215" s="454"/>
      <c r="BA1215" s="1266"/>
      <c r="BC1215" s="169"/>
    </row>
    <row r="1216" spans="19:55" ht="15.75" customHeight="1">
      <c r="S1216" s="454"/>
      <c r="BA1216" s="1266"/>
      <c r="BC1216" s="169"/>
    </row>
    <row r="1217" spans="19:55" ht="15.75" customHeight="1">
      <c r="S1217" s="454"/>
      <c r="BA1217" s="1266"/>
      <c r="BC1217" s="169"/>
    </row>
    <row r="1218" spans="19:55" ht="15.75" customHeight="1">
      <c r="S1218" s="454"/>
      <c r="BA1218" s="1266"/>
      <c r="BC1218" s="169"/>
    </row>
    <row r="1219" spans="19:55" ht="15.75" customHeight="1">
      <c r="S1219" s="454"/>
      <c r="BA1219" s="1266"/>
      <c r="BC1219" s="169"/>
    </row>
    <row r="1220" spans="19:55" ht="15.75" customHeight="1">
      <c r="S1220" s="454"/>
      <c r="BA1220" s="1266"/>
      <c r="BC1220" s="169"/>
    </row>
    <row r="1221" spans="19:55" ht="15.75" customHeight="1">
      <c r="S1221" s="454"/>
      <c r="BA1221" s="1266"/>
      <c r="BC1221" s="169"/>
    </row>
    <row r="1222" spans="19:55" ht="15.75" customHeight="1">
      <c r="S1222" s="454"/>
      <c r="BA1222" s="1266"/>
      <c r="BC1222" s="169"/>
    </row>
    <row r="1223" spans="19:55" ht="15.75" customHeight="1">
      <c r="S1223" s="454"/>
      <c r="BA1223" s="1266"/>
      <c r="BC1223" s="169"/>
    </row>
    <row r="1224" spans="19:55" ht="15.75" customHeight="1">
      <c r="S1224" s="454"/>
      <c r="BA1224" s="1266"/>
      <c r="BC1224" s="169"/>
    </row>
    <row r="1225" spans="19:55" ht="15.75" customHeight="1">
      <c r="S1225" s="454"/>
      <c r="BA1225" s="1266"/>
      <c r="BC1225" s="169"/>
    </row>
    <row r="1226" spans="19:55" ht="15.75" customHeight="1">
      <c r="S1226" s="454"/>
      <c r="BA1226" s="1266"/>
      <c r="BC1226" s="169"/>
    </row>
    <row r="1227" spans="19:55" ht="15.75" customHeight="1">
      <c r="S1227" s="454"/>
      <c r="BA1227" s="1266"/>
      <c r="BC1227" s="169"/>
    </row>
    <row r="1228" spans="19:55" ht="15.75" customHeight="1">
      <c r="S1228" s="454"/>
      <c r="BA1228" s="1266"/>
      <c r="BC1228" s="169"/>
    </row>
    <row r="1229" spans="19:55" ht="15.75" customHeight="1">
      <c r="S1229" s="454"/>
      <c r="BA1229" s="1266"/>
      <c r="BC1229" s="169"/>
    </row>
    <row r="1230" spans="19:55" ht="15.75" customHeight="1">
      <c r="S1230" s="454"/>
      <c r="BA1230" s="1266"/>
      <c r="BC1230" s="169"/>
    </row>
    <row r="1231" spans="19:55" ht="15.75" customHeight="1">
      <c r="S1231" s="454"/>
      <c r="BA1231" s="1266"/>
      <c r="BC1231" s="169"/>
    </row>
    <row r="1232" spans="19:55" ht="15.75" customHeight="1">
      <c r="S1232" s="454"/>
      <c r="BA1232" s="1266"/>
      <c r="BC1232" s="169"/>
    </row>
    <row r="1233" spans="19:55" ht="15.75" customHeight="1">
      <c r="S1233" s="454"/>
      <c r="BA1233" s="1266"/>
      <c r="BC1233" s="169"/>
    </row>
    <row r="1234" spans="19:55" ht="15.75" customHeight="1">
      <c r="S1234" s="454"/>
      <c r="BA1234" s="1266"/>
      <c r="BC1234" s="169"/>
    </row>
    <row r="1235" spans="19:55" ht="15.75" customHeight="1">
      <c r="S1235" s="454"/>
      <c r="BA1235" s="1266"/>
      <c r="BC1235" s="169"/>
    </row>
    <row r="1236" spans="19:55" ht="15.75" customHeight="1">
      <c r="S1236" s="454"/>
      <c r="BA1236" s="1266"/>
      <c r="BC1236" s="169"/>
    </row>
    <row r="1237" spans="19:55" ht="15.75" customHeight="1">
      <c r="S1237" s="454"/>
      <c r="BA1237" s="1266"/>
      <c r="BC1237" s="169"/>
    </row>
    <row r="1238" spans="19:55" ht="15.75" customHeight="1">
      <c r="S1238" s="454"/>
      <c r="BA1238" s="1266"/>
      <c r="BC1238" s="169"/>
    </row>
    <row r="1239" spans="19:55" ht="15.75" customHeight="1">
      <c r="S1239" s="454"/>
      <c r="BA1239" s="1266"/>
      <c r="BC1239" s="169"/>
    </row>
    <row r="1240" spans="19:55" ht="15.75" customHeight="1">
      <c r="S1240" s="454"/>
      <c r="BA1240" s="1266"/>
      <c r="BC1240" s="169"/>
    </row>
    <row r="1241" spans="19:55" ht="15.75" customHeight="1">
      <c r="S1241" s="454"/>
      <c r="BA1241" s="1266"/>
      <c r="BC1241" s="169"/>
    </row>
    <row r="1242" spans="19:55" ht="15.75" customHeight="1">
      <c r="S1242" s="454"/>
      <c r="BA1242" s="1266"/>
      <c r="BC1242" s="169"/>
    </row>
    <row r="1243" spans="19:55" ht="15.75" customHeight="1">
      <c r="S1243" s="454"/>
      <c r="BA1243" s="1266"/>
      <c r="BC1243" s="169"/>
    </row>
    <row r="1244" spans="19:55" ht="15.75" customHeight="1">
      <c r="S1244" s="454"/>
      <c r="BA1244" s="1266"/>
      <c r="BC1244" s="169"/>
    </row>
    <row r="1245" spans="19:55" ht="15.75" customHeight="1">
      <c r="S1245" s="454"/>
      <c r="BA1245" s="1266"/>
      <c r="BC1245" s="169"/>
    </row>
    <row r="1246" spans="19:55" ht="15.75" customHeight="1">
      <c r="S1246" s="454"/>
      <c r="BA1246" s="1266"/>
      <c r="BC1246" s="169"/>
    </row>
    <row r="1247" spans="19:55" ht="15.75" customHeight="1">
      <c r="S1247" s="454"/>
      <c r="BA1247" s="1266"/>
      <c r="BC1247" s="169"/>
    </row>
    <row r="1248" spans="19:55" ht="15.75" customHeight="1">
      <c r="S1248" s="454"/>
      <c r="BA1248" s="1266"/>
      <c r="BC1248" s="169"/>
    </row>
    <row r="1249" spans="19:55" ht="15.75" customHeight="1">
      <c r="S1249" s="454"/>
      <c r="BA1249" s="1266"/>
      <c r="BC1249" s="169"/>
    </row>
    <row r="1250" spans="19:55" ht="15.75" customHeight="1">
      <c r="S1250" s="454"/>
      <c r="BA1250" s="1266"/>
      <c r="BC1250" s="169"/>
    </row>
    <row r="1251" spans="19:55" ht="15.75" customHeight="1">
      <c r="S1251" s="454"/>
      <c r="BA1251" s="1266"/>
      <c r="BC1251" s="169"/>
    </row>
    <row r="1252" spans="19:55" ht="15.75" customHeight="1">
      <c r="S1252" s="454"/>
      <c r="BA1252" s="1266"/>
      <c r="BC1252" s="169"/>
    </row>
    <row r="1253" spans="19:55" ht="15.75" customHeight="1">
      <c r="S1253" s="454"/>
      <c r="BA1253" s="1266"/>
      <c r="BC1253" s="169"/>
    </row>
    <row r="1254" spans="19:55" ht="15.75" customHeight="1">
      <c r="S1254" s="454"/>
      <c r="BA1254" s="1266"/>
      <c r="BC1254" s="169"/>
    </row>
    <row r="1255" spans="19:55" ht="15.75" customHeight="1">
      <c r="S1255" s="454"/>
      <c r="BA1255" s="1266"/>
      <c r="BC1255" s="169"/>
    </row>
    <row r="1256" spans="19:55" ht="15.75" customHeight="1">
      <c r="S1256" s="454"/>
      <c r="BA1256" s="1266"/>
      <c r="BC1256" s="169"/>
    </row>
    <row r="1257" spans="19:55" ht="15.75" customHeight="1">
      <c r="S1257" s="454"/>
      <c r="BA1257" s="1266"/>
      <c r="BC1257" s="169"/>
    </row>
    <row r="1258" spans="19:55" ht="15.75" customHeight="1">
      <c r="S1258" s="454"/>
      <c r="BA1258" s="1266"/>
      <c r="BC1258" s="169"/>
    </row>
    <row r="1259" spans="19:55" ht="15.75" customHeight="1">
      <c r="S1259" s="454"/>
      <c r="BA1259" s="1266"/>
      <c r="BC1259" s="169"/>
    </row>
    <row r="1260" spans="19:55" ht="15.75" customHeight="1">
      <c r="S1260" s="454"/>
      <c r="BA1260" s="1266"/>
      <c r="BC1260" s="169"/>
    </row>
    <row r="1261" spans="19:55" ht="15.75" customHeight="1">
      <c r="S1261" s="454"/>
      <c r="BA1261" s="1266"/>
      <c r="BC1261" s="169"/>
    </row>
    <row r="1262" spans="19:55" ht="15.75" customHeight="1">
      <c r="S1262" s="454"/>
      <c r="BA1262" s="1266"/>
      <c r="BC1262" s="169"/>
    </row>
    <row r="1263" spans="19:55" ht="15.75" customHeight="1">
      <c r="S1263" s="454"/>
      <c r="BA1263" s="1266"/>
      <c r="BC1263" s="169"/>
    </row>
    <row r="1264" spans="19:55" ht="15.75" customHeight="1">
      <c r="S1264" s="454"/>
      <c r="BA1264" s="1266"/>
      <c r="BC1264" s="169"/>
    </row>
    <row r="1265" spans="19:55" ht="15.75" customHeight="1">
      <c r="S1265" s="454"/>
      <c r="BA1265" s="1266"/>
      <c r="BC1265" s="169"/>
    </row>
    <row r="1266" spans="19:55" ht="15.75" customHeight="1">
      <c r="S1266" s="454"/>
      <c r="BA1266" s="1266"/>
      <c r="BC1266" s="169"/>
    </row>
    <row r="1267" spans="19:55" ht="15.75" customHeight="1">
      <c r="S1267" s="454"/>
      <c r="BA1267" s="1266"/>
      <c r="BC1267" s="169"/>
    </row>
    <row r="1268" spans="19:55" ht="15.75" customHeight="1">
      <c r="S1268" s="454"/>
      <c r="BA1268" s="1266"/>
      <c r="BC1268" s="169"/>
    </row>
    <row r="1269" spans="19:55" ht="15.75" customHeight="1">
      <c r="S1269" s="454"/>
      <c r="BA1269" s="1266"/>
      <c r="BC1269" s="169"/>
    </row>
    <row r="1270" spans="19:55" ht="15.75" customHeight="1">
      <c r="S1270" s="454"/>
      <c r="BA1270" s="1266"/>
      <c r="BC1270" s="169"/>
    </row>
    <row r="1271" spans="19:55" ht="15.75" customHeight="1">
      <c r="S1271" s="454"/>
      <c r="BA1271" s="1266"/>
      <c r="BC1271" s="169"/>
    </row>
    <row r="1272" spans="19:55" ht="15.75" customHeight="1">
      <c r="S1272" s="454"/>
      <c r="BA1272" s="1266"/>
      <c r="BC1272" s="169"/>
    </row>
    <row r="1273" spans="19:55" ht="15.75" customHeight="1">
      <c r="S1273" s="454"/>
      <c r="BA1273" s="1266"/>
      <c r="BC1273" s="169"/>
    </row>
    <row r="1274" spans="19:55" ht="15.75" customHeight="1">
      <c r="S1274" s="454"/>
      <c r="BA1274" s="1266"/>
      <c r="BC1274" s="169"/>
    </row>
    <row r="1275" spans="19:55" ht="15.75" customHeight="1">
      <c r="S1275" s="454"/>
      <c r="BA1275" s="1266"/>
      <c r="BC1275" s="169"/>
    </row>
    <row r="1276" spans="19:55" ht="15.75" customHeight="1">
      <c r="S1276" s="454"/>
      <c r="BA1276" s="1266"/>
      <c r="BC1276" s="169"/>
    </row>
    <row r="1277" spans="19:55" ht="15.75" customHeight="1">
      <c r="S1277" s="454"/>
      <c r="BA1277" s="1266"/>
      <c r="BC1277" s="169"/>
    </row>
    <row r="1278" spans="19:55" ht="15.75" customHeight="1">
      <c r="S1278" s="454"/>
      <c r="BA1278" s="1266"/>
      <c r="BC1278" s="169"/>
    </row>
    <row r="1279" spans="19:55" ht="15.75" customHeight="1">
      <c r="S1279" s="454"/>
      <c r="BA1279" s="1266"/>
      <c r="BC1279" s="169"/>
    </row>
    <row r="1280" spans="19:55" ht="15.75" customHeight="1">
      <c r="S1280" s="454"/>
      <c r="BA1280" s="1266"/>
      <c r="BC1280" s="169"/>
    </row>
    <row r="1281" spans="19:55" ht="15.75" customHeight="1">
      <c r="S1281" s="454"/>
      <c r="BA1281" s="1266"/>
      <c r="BC1281" s="169"/>
    </row>
    <row r="1282" spans="19:55" ht="15.75" customHeight="1">
      <c r="S1282" s="454"/>
      <c r="BA1282" s="1266"/>
      <c r="BC1282" s="169"/>
    </row>
    <row r="1283" spans="19:55" ht="15.75" customHeight="1">
      <c r="S1283" s="454"/>
      <c r="BA1283" s="1266"/>
      <c r="BC1283" s="169"/>
    </row>
    <row r="1284" spans="19:55" ht="15.75" customHeight="1">
      <c r="S1284" s="454"/>
      <c r="BA1284" s="1266"/>
      <c r="BC1284" s="169"/>
    </row>
    <row r="1285" spans="19:55" ht="15.75" customHeight="1">
      <c r="S1285" s="454"/>
      <c r="BA1285" s="1266"/>
      <c r="BC1285" s="169"/>
    </row>
    <row r="1286" spans="19:55" ht="15.75" customHeight="1">
      <c r="S1286" s="454"/>
      <c r="BA1286" s="1266"/>
      <c r="BC1286" s="169"/>
    </row>
    <row r="1287" spans="19:55" ht="15.75" customHeight="1">
      <c r="S1287" s="454"/>
      <c r="BA1287" s="1266"/>
      <c r="BC1287" s="169"/>
    </row>
    <row r="1288" spans="19:55" ht="15.75" customHeight="1">
      <c r="S1288" s="454"/>
      <c r="BA1288" s="1266"/>
      <c r="BC1288" s="169"/>
    </row>
    <row r="1289" spans="19:55" ht="15.75" customHeight="1">
      <c r="S1289" s="454"/>
      <c r="BA1289" s="1266"/>
      <c r="BC1289" s="169"/>
    </row>
    <row r="1290" spans="19:55" ht="15.75" customHeight="1">
      <c r="S1290" s="454"/>
      <c r="BA1290" s="1266"/>
      <c r="BC1290" s="169"/>
    </row>
    <row r="1291" spans="19:55" ht="15.75" customHeight="1">
      <c r="S1291" s="454"/>
      <c r="BA1291" s="1266"/>
      <c r="BC1291" s="169"/>
    </row>
    <row r="1292" spans="19:55" ht="15.75" customHeight="1">
      <c r="S1292" s="454"/>
      <c r="BA1292" s="1266"/>
      <c r="BC1292" s="169"/>
    </row>
    <row r="1293" spans="19:55" ht="15.75" customHeight="1">
      <c r="S1293" s="454"/>
      <c r="BA1293" s="1266"/>
      <c r="BC1293" s="169"/>
    </row>
    <row r="1294" spans="19:55" ht="15.75" customHeight="1">
      <c r="S1294" s="454"/>
      <c r="BA1294" s="1266"/>
      <c r="BC1294" s="169"/>
    </row>
    <row r="1295" spans="19:55" ht="15.75" customHeight="1">
      <c r="S1295" s="454"/>
      <c r="BA1295" s="1266"/>
      <c r="BC1295" s="169"/>
    </row>
    <row r="1296" spans="19:55" ht="15.75" customHeight="1">
      <c r="S1296" s="454"/>
      <c r="BA1296" s="1266"/>
      <c r="BC1296" s="169"/>
    </row>
    <row r="1297" spans="19:55" ht="15.75" customHeight="1">
      <c r="S1297" s="454"/>
      <c r="BA1297" s="1266"/>
      <c r="BC1297" s="169"/>
    </row>
    <row r="1298" spans="19:55" ht="15.75" customHeight="1">
      <c r="S1298" s="454"/>
      <c r="BC1298" s="169"/>
    </row>
    <row r="1299" spans="19:55" ht="15.75" customHeight="1">
      <c r="S1299" s="454"/>
      <c r="BC1299" s="169"/>
    </row>
    <row r="1300" spans="19:55" ht="15.75" customHeight="1">
      <c r="S1300" s="454"/>
      <c r="BC1300" s="169"/>
    </row>
    <row r="1301" spans="19:55" ht="15.75" customHeight="1">
      <c r="S1301" s="454"/>
      <c r="BC1301" s="169"/>
    </row>
    <row r="1302" spans="19:55" ht="15.75" customHeight="1">
      <c r="S1302" s="454"/>
      <c r="BC1302" s="169"/>
    </row>
    <row r="1303" spans="19:55" ht="15.75" customHeight="1">
      <c r="S1303" s="454"/>
      <c r="BC1303" s="169"/>
    </row>
    <row r="1304" spans="19:55" ht="15.75" customHeight="1">
      <c r="S1304" s="454"/>
      <c r="BC1304" s="169"/>
    </row>
    <row r="1305" spans="19:55" ht="15.75" customHeight="1">
      <c r="S1305" s="454"/>
      <c r="BC1305" s="169"/>
    </row>
    <row r="1306" spans="19:55" ht="15.75" customHeight="1">
      <c r="S1306" s="454"/>
      <c r="BC1306" s="169"/>
    </row>
    <row r="1307" spans="19:55" ht="15.75" customHeight="1">
      <c r="S1307" s="454"/>
      <c r="BC1307" s="169"/>
    </row>
    <row r="1308" spans="19:55" ht="15.75" customHeight="1">
      <c r="S1308" s="454"/>
      <c r="BC1308" s="169"/>
    </row>
    <row r="1309" spans="19:55" ht="15.75" customHeight="1">
      <c r="S1309" s="454"/>
      <c r="BC1309" s="169"/>
    </row>
    <row r="1310" spans="19:55" ht="15.75" customHeight="1">
      <c r="S1310" s="454"/>
      <c r="BC1310" s="169"/>
    </row>
    <row r="1311" spans="19:55" ht="15.75" customHeight="1">
      <c r="S1311" s="454"/>
      <c r="BC1311" s="169"/>
    </row>
    <row r="1312" spans="19:55" ht="15.75" customHeight="1">
      <c r="S1312" s="454"/>
      <c r="BC1312" s="169"/>
    </row>
    <row r="1313" spans="19:55" ht="15.75" customHeight="1">
      <c r="S1313" s="454"/>
      <c r="BC1313" s="169"/>
    </row>
    <row r="1314" spans="19:55" ht="15.75" customHeight="1">
      <c r="S1314" s="454"/>
      <c r="BC1314" s="169"/>
    </row>
    <row r="1315" spans="19:55" ht="15.75" customHeight="1">
      <c r="S1315" s="454"/>
      <c r="BC1315" s="169"/>
    </row>
    <row r="1316" spans="19:55" ht="15.75" customHeight="1">
      <c r="S1316" s="454"/>
      <c r="BC1316" s="169"/>
    </row>
    <row r="1317" spans="19:55" ht="15.75" customHeight="1">
      <c r="S1317" s="454"/>
      <c r="BC1317" s="169"/>
    </row>
    <row r="1318" spans="19:55" ht="15.75" customHeight="1">
      <c r="S1318" s="454"/>
      <c r="BC1318" s="169"/>
    </row>
    <row r="1319" spans="19:55" ht="15.75" customHeight="1">
      <c r="S1319" s="454"/>
      <c r="BC1319" s="169"/>
    </row>
    <row r="1320" spans="19:55" ht="15.75" customHeight="1">
      <c r="S1320" s="454"/>
      <c r="BC1320" s="169"/>
    </row>
    <row r="1321" spans="19:55" ht="15.75" customHeight="1">
      <c r="S1321" s="454"/>
      <c r="BC1321" s="169"/>
    </row>
    <row r="1322" spans="19:55" ht="15.75" customHeight="1">
      <c r="S1322" s="454"/>
      <c r="BC1322" s="169"/>
    </row>
    <row r="1323" spans="19:55" ht="15.75" customHeight="1">
      <c r="S1323" s="454"/>
      <c r="BC1323" s="169"/>
    </row>
    <row r="1324" spans="19:55" ht="15.75" customHeight="1">
      <c r="S1324" s="454"/>
      <c r="BC1324" s="169"/>
    </row>
    <row r="1325" spans="19:55" ht="15.75" customHeight="1">
      <c r="S1325" s="454"/>
      <c r="BC1325" s="169"/>
    </row>
    <row r="1326" spans="19:55" ht="15.75" customHeight="1">
      <c r="S1326" s="454"/>
      <c r="BC1326" s="169"/>
    </row>
    <row r="1327" spans="19:55" ht="15.75" customHeight="1">
      <c r="S1327" s="454"/>
      <c r="BC1327" s="169"/>
    </row>
    <row r="1328" spans="19:55" ht="15.75" customHeight="1">
      <c r="S1328" s="454"/>
      <c r="BC1328" s="169"/>
    </row>
    <row r="1329" spans="19:55" ht="15.75" customHeight="1">
      <c r="S1329" s="454"/>
      <c r="BC1329" s="169"/>
    </row>
    <row r="1330" spans="19:55" ht="15.75" customHeight="1">
      <c r="S1330" s="454"/>
      <c r="BC1330" s="169"/>
    </row>
    <row r="1331" spans="19:55" ht="15.75" customHeight="1">
      <c r="S1331" s="454"/>
      <c r="BC1331" s="169"/>
    </row>
    <row r="1332" spans="19:55" ht="15.75" customHeight="1">
      <c r="S1332" s="454"/>
      <c r="BC1332" s="169"/>
    </row>
    <row r="1333" spans="19:55" ht="15.75" customHeight="1">
      <c r="S1333" s="454"/>
      <c r="BC1333" s="169"/>
    </row>
    <row r="1334" spans="19:55" ht="15.75" customHeight="1">
      <c r="S1334" s="454"/>
      <c r="BC1334" s="169"/>
    </row>
    <row r="1335" spans="19:55" ht="15.75" customHeight="1">
      <c r="S1335" s="454"/>
      <c r="BC1335" s="169"/>
    </row>
    <row r="1336" spans="19:55" ht="15.75" customHeight="1">
      <c r="S1336" s="454"/>
      <c r="BC1336" s="169"/>
    </row>
    <row r="1337" spans="19:55" ht="15.75" customHeight="1">
      <c r="S1337" s="454"/>
      <c r="BC1337" s="169"/>
    </row>
    <row r="1338" spans="19:55" ht="15.75" customHeight="1">
      <c r="S1338" s="454"/>
      <c r="BC1338" s="169"/>
    </row>
    <row r="1339" spans="19:55" ht="15.75" customHeight="1">
      <c r="S1339" s="454"/>
      <c r="BC1339" s="169"/>
    </row>
    <row r="1340" spans="19:55" ht="15.75" customHeight="1">
      <c r="S1340" s="454"/>
      <c r="BC1340" s="169"/>
    </row>
    <row r="1341" spans="19:55" ht="15.75" customHeight="1">
      <c r="S1341" s="454"/>
      <c r="BC1341" s="169"/>
    </row>
    <row r="1342" spans="19:55" ht="15.75" customHeight="1">
      <c r="S1342" s="454"/>
      <c r="BC1342" s="169"/>
    </row>
    <row r="1343" spans="19:55" ht="15.75" customHeight="1">
      <c r="S1343" s="454"/>
      <c r="BC1343" s="169"/>
    </row>
    <row r="1344" spans="19:55" ht="15.75" customHeight="1">
      <c r="S1344" s="454"/>
      <c r="BC1344" s="169"/>
    </row>
    <row r="1345" spans="19:55" ht="15.75" customHeight="1">
      <c r="S1345" s="454"/>
      <c r="BC1345" s="169"/>
    </row>
    <row r="1346" spans="19:55" ht="15.75" customHeight="1">
      <c r="S1346" s="454"/>
      <c r="BC1346" s="169"/>
    </row>
    <row r="1347" spans="19:55" ht="15.75" customHeight="1">
      <c r="S1347" s="454"/>
      <c r="BC1347" s="169"/>
    </row>
    <row r="1348" spans="19:55" ht="15.75" customHeight="1">
      <c r="S1348" s="454"/>
      <c r="BC1348" s="169"/>
    </row>
    <row r="1349" spans="19:55" ht="15.75" customHeight="1">
      <c r="S1349" s="454"/>
      <c r="BC1349" s="169"/>
    </row>
    <row r="1350" spans="19:55" ht="15.75" customHeight="1">
      <c r="S1350" s="454"/>
      <c r="BC1350" s="169"/>
    </row>
    <row r="1351" spans="19:55" ht="15.75" customHeight="1">
      <c r="S1351" s="454"/>
      <c r="BC1351" s="169"/>
    </row>
    <row r="1352" spans="19:55" ht="15.75" customHeight="1">
      <c r="S1352" s="454"/>
      <c r="BC1352" s="169"/>
    </row>
    <row r="1353" spans="19:55" ht="15.75" customHeight="1">
      <c r="S1353" s="454"/>
      <c r="BC1353" s="169"/>
    </row>
    <row r="1354" spans="19:55" ht="15.75" customHeight="1">
      <c r="S1354" s="454"/>
      <c r="BC1354" s="169"/>
    </row>
    <row r="1355" spans="19:55" ht="15.75" customHeight="1">
      <c r="S1355" s="454"/>
      <c r="BC1355" s="169"/>
    </row>
    <row r="1356" spans="19:55" ht="15.75" customHeight="1">
      <c r="S1356" s="454"/>
      <c r="BC1356" s="169"/>
    </row>
    <row r="1357" spans="19:55" ht="15.75" customHeight="1">
      <c r="S1357" s="454"/>
      <c r="BC1357" s="169"/>
    </row>
    <row r="1358" spans="19:55" ht="15.75" customHeight="1">
      <c r="S1358" s="454"/>
      <c r="BC1358" s="169"/>
    </row>
    <row r="1359" spans="19:55" ht="15.75" customHeight="1">
      <c r="S1359" s="454"/>
      <c r="BC1359" s="169"/>
    </row>
    <row r="1360" spans="19:55" ht="15.75" customHeight="1">
      <c r="S1360" s="454"/>
      <c r="BC1360" s="169"/>
    </row>
    <row r="1361" spans="19:55" ht="15.75" customHeight="1">
      <c r="S1361" s="454"/>
      <c r="BC1361" s="169"/>
    </row>
    <row r="1362" spans="19:55" ht="15.75" customHeight="1">
      <c r="S1362" s="454"/>
      <c r="BC1362" s="169"/>
    </row>
    <row r="1363" spans="19:55" ht="15.75" customHeight="1">
      <c r="S1363" s="454"/>
      <c r="BC1363" s="169"/>
    </row>
    <row r="1364" spans="19:55" ht="15.75" customHeight="1">
      <c r="S1364" s="454"/>
      <c r="BC1364" s="169"/>
    </row>
    <row r="1365" spans="19:55" ht="15.75" customHeight="1">
      <c r="S1365" s="454"/>
      <c r="BC1365" s="169"/>
    </row>
    <row r="1366" spans="19:55" ht="15.75" customHeight="1">
      <c r="S1366" s="454"/>
      <c r="BC1366" s="169"/>
    </row>
    <row r="1367" spans="19:55" ht="15.75" customHeight="1">
      <c r="S1367" s="454"/>
      <c r="BC1367" s="169"/>
    </row>
    <row r="1368" spans="19:55" ht="15.75" customHeight="1">
      <c r="S1368" s="454"/>
      <c r="BC1368" s="169"/>
    </row>
    <row r="1369" spans="19:55" ht="15.75" customHeight="1">
      <c r="S1369" s="454"/>
      <c r="BC1369" s="169"/>
    </row>
    <row r="1370" spans="19:55" ht="15.75" customHeight="1">
      <c r="S1370" s="454"/>
      <c r="BC1370" s="169"/>
    </row>
    <row r="1371" spans="19:55" ht="15.75" customHeight="1">
      <c r="S1371" s="454"/>
      <c r="BC1371" s="169"/>
    </row>
    <row r="1372" spans="19:55" ht="15.75" customHeight="1">
      <c r="S1372" s="454"/>
      <c r="BC1372" s="169"/>
    </row>
    <row r="1373" spans="19:55" ht="15.75" customHeight="1">
      <c r="S1373" s="454"/>
      <c r="BC1373" s="169"/>
    </row>
    <row r="1374" spans="19:55" ht="15.75" customHeight="1">
      <c r="S1374" s="454"/>
      <c r="BC1374" s="169"/>
    </row>
    <row r="1375" spans="19:55" ht="15.75" customHeight="1">
      <c r="S1375" s="454"/>
      <c r="BC1375" s="169"/>
    </row>
    <row r="1376" spans="19:55" ht="15.75" customHeight="1">
      <c r="S1376" s="454"/>
      <c r="BC1376" s="169"/>
    </row>
    <row r="1377" spans="19:55" ht="15.75" customHeight="1">
      <c r="S1377" s="454"/>
      <c r="BC1377" s="169"/>
    </row>
    <row r="1378" spans="19:55" ht="15.75" customHeight="1">
      <c r="S1378" s="454"/>
      <c r="BC1378" s="169"/>
    </row>
    <row r="1379" spans="19:55" ht="15.75" customHeight="1">
      <c r="S1379" s="454"/>
      <c r="BC1379" s="169"/>
    </row>
    <row r="1380" spans="19:55" ht="15.75" customHeight="1">
      <c r="S1380" s="454"/>
      <c r="BC1380" s="169"/>
    </row>
    <row r="1381" spans="19:55" ht="15.75" customHeight="1">
      <c r="S1381" s="454"/>
      <c r="BC1381" s="169"/>
    </row>
    <row r="1382" spans="19:55" ht="15.75" customHeight="1">
      <c r="S1382" s="454"/>
      <c r="BC1382" s="169"/>
    </row>
    <row r="1383" spans="19:55" ht="15.75" customHeight="1">
      <c r="S1383" s="454"/>
      <c r="BC1383" s="169"/>
    </row>
    <row r="1384" spans="19:55" ht="15.75" customHeight="1">
      <c r="S1384" s="454"/>
      <c r="BC1384" s="169"/>
    </row>
    <row r="1385" spans="19:55" ht="15.75" customHeight="1">
      <c r="S1385" s="454"/>
      <c r="BC1385" s="169"/>
    </row>
    <row r="1386" spans="19:55" ht="15.75" customHeight="1">
      <c r="S1386" s="454"/>
      <c r="BC1386" s="169"/>
    </row>
    <row r="1387" spans="19:55" ht="15.75" customHeight="1">
      <c r="S1387" s="454"/>
      <c r="BC1387" s="169"/>
    </row>
    <row r="1388" spans="19:55" ht="15.75" customHeight="1">
      <c r="S1388" s="454"/>
      <c r="BC1388" s="169"/>
    </row>
    <row r="1389" spans="19:55" ht="15.75" customHeight="1">
      <c r="S1389" s="454"/>
      <c r="BC1389" s="169"/>
    </row>
    <row r="1390" spans="19:55" ht="15.75" customHeight="1">
      <c r="S1390" s="454"/>
      <c r="BC1390" s="169"/>
    </row>
    <row r="1391" spans="19:55" ht="15.75" customHeight="1">
      <c r="S1391" s="454"/>
      <c r="BC1391" s="169"/>
    </row>
    <row r="1392" spans="19:55" ht="15.75" customHeight="1">
      <c r="S1392" s="454"/>
      <c r="BC1392" s="169"/>
    </row>
    <row r="1393" spans="19:55" ht="15.75" customHeight="1">
      <c r="S1393" s="454"/>
      <c r="BC1393" s="169"/>
    </row>
    <row r="1394" spans="19:55" ht="15.75" customHeight="1">
      <c r="S1394" s="454"/>
      <c r="BC1394" s="169"/>
    </row>
    <row r="1395" spans="19:55" ht="15.75" customHeight="1">
      <c r="S1395" s="454"/>
      <c r="BC1395" s="169"/>
    </row>
    <row r="1396" spans="19:55" ht="15.75" customHeight="1">
      <c r="S1396" s="454"/>
      <c r="BC1396" s="169"/>
    </row>
    <row r="1397" spans="19:55" ht="15.75" customHeight="1">
      <c r="S1397" s="454"/>
      <c r="BC1397" s="169"/>
    </row>
    <row r="1398" spans="19:55" ht="15.75" customHeight="1">
      <c r="S1398" s="454"/>
      <c r="BC1398" s="169"/>
    </row>
    <row r="1399" spans="19:55" ht="15.75" customHeight="1">
      <c r="S1399" s="454"/>
      <c r="BC1399" s="169"/>
    </row>
    <row r="1400" spans="19:55" ht="15.75" customHeight="1">
      <c r="S1400" s="454"/>
      <c r="BC1400" s="169"/>
    </row>
    <row r="1401" spans="19:55" ht="15.75" customHeight="1">
      <c r="S1401" s="454"/>
      <c r="BC1401" s="169"/>
    </row>
    <row r="1402" spans="19:55" ht="15.75" customHeight="1">
      <c r="S1402" s="454"/>
      <c r="BC1402" s="169"/>
    </row>
    <row r="1403" spans="19:55" ht="15.75" customHeight="1">
      <c r="S1403" s="454"/>
      <c r="BC1403" s="169"/>
    </row>
    <row r="1404" spans="19:55" ht="15.75" customHeight="1">
      <c r="S1404" s="454"/>
      <c r="BC1404" s="169"/>
    </row>
    <row r="1405" spans="19:55" ht="15.75" customHeight="1">
      <c r="S1405" s="454"/>
      <c r="BC1405" s="169"/>
    </row>
    <row r="1406" spans="19:55" ht="15.75" customHeight="1">
      <c r="S1406" s="454"/>
      <c r="BC1406" s="169"/>
    </row>
    <row r="1407" spans="19:55" ht="15.75" customHeight="1">
      <c r="S1407" s="454"/>
      <c r="BC1407" s="169"/>
    </row>
    <row r="1408" spans="19:55" ht="15.75" customHeight="1">
      <c r="S1408" s="454"/>
      <c r="BC1408" s="169"/>
    </row>
    <row r="1409" spans="19:55" ht="15.75" customHeight="1">
      <c r="S1409" s="454"/>
      <c r="BC1409" s="169"/>
    </row>
    <row r="1410" spans="19:55" ht="15.75" customHeight="1">
      <c r="S1410" s="454"/>
      <c r="BC1410" s="169"/>
    </row>
    <row r="1411" spans="19:55" ht="15.75" customHeight="1">
      <c r="S1411" s="454"/>
      <c r="BC1411" s="169"/>
    </row>
    <row r="1412" spans="19:55" ht="15.75" customHeight="1">
      <c r="S1412" s="454"/>
      <c r="BC1412" s="169"/>
    </row>
    <row r="1413" spans="19:55" ht="15.75" customHeight="1">
      <c r="S1413" s="454"/>
      <c r="BC1413" s="169"/>
    </row>
    <row r="1414" spans="19:55" ht="15.75" customHeight="1">
      <c r="S1414" s="454"/>
      <c r="BC1414" s="169"/>
    </row>
    <row r="1415" spans="19:55" ht="15.75" customHeight="1">
      <c r="S1415" s="454"/>
      <c r="BC1415" s="169"/>
    </row>
    <row r="1416" spans="19:55" ht="15.75" customHeight="1">
      <c r="S1416" s="454"/>
      <c r="BC1416" s="169"/>
    </row>
    <row r="1417" spans="19:55" ht="15.75" customHeight="1">
      <c r="S1417" s="454"/>
      <c r="BC1417" s="169"/>
    </row>
    <row r="1418" spans="19:55" ht="15.75" customHeight="1">
      <c r="S1418" s="454"/>
      <c r="BC1418" s="169"/>
    </row>
    <row r="1419" spans="19:55" ht="15.75" customHeight="1">
      <c r="S1419" s="454"/>
      <c r="BC1419" s="169"/>
    </row>
    <row r="1420" spans="19:55" ht="15.75" customHeight="1">
      <c r="S1420" s="454"/>
      <c r="BC1420" s="169"/>
    </row>
    <row r="1421" spans="19:55" ht="15.75" customHeight="1">
      <c r="S1421" s="454"/>
      <c r="BC1421" s="169"/>
    </row>
    <row r="1422" spans="19:55" ht="15.75" customHeight="1">
      <c r="S1422" s="454"/>
      <c r="BC1422" s="169"/>
    </row>
    <row r="1423" spans="19:55" ht="15.75" customHeight="1">
      <c r="S1423" s="454"/>
      <c r="BC1423" s="169"/>
    </row>
    <row r="1424" spans="19:55" ht="15.75" customHeight="1">
      <c r="S1424" s="454"/>
      <c r="BC1424" s="169"/>
    </row>
    <row r="1425" spans="19:55" ht="15.75" customHeight="1">
      <c r="S1425" s="454"/>
      <c r="BC1425" s="169"/>
    </row>
    <row r="1426" spans="19:55" ht="15.75" customHeight="1">
      <c r="S1426" s="454"/>
      <c r="BC1426" s="169"/>
    </row>
    <row r="1427" spans="19:55" ht="15.75" customHeight="1">
      <c r="S1427" s="454"/>
      <c r="BC1427" s="169"/>
    </row>
    <row r="1428" spans="19:55" ht="15.75" customHeight="1">
      <c r="S1428" s="454"/>
      <c r="BC1428" s="169"/>
    </row>
    <row r="1429" spans="19:55" ht="15.75" customHeight="1">
      <c r="S1429" s="454"/>
      <c r="BC1429" s="169"/>
    </row>
    <row r="1430" spans="19:55" ht="15.75" customHeight="1">
      <c r="S1430" s="454"/>
      <c r="BC1430" s="169"/>
    </row>
    <row r="1431" spans="19:55" ht="15.75" customHeight="1">
      <c r="S1431" s="454"/>
      <c r="BC1431" s="169"/>
    </row>
    <row r="1432" spans="19:55" ht="15.75" customHeight="1">
      <c r="S1432" s="454"/>
      <c r="BC1432" s="169"/>
    </row>
    <row r="1433" spans="19:55" ht="15.75" customHeight="1">
      <c r="S1433" s="454"/>
      <c r="BC1433" s="169"/>
    </row>
    <row r="1434" spans="19:55" ht="15.75" customHeight="1">
      <c r="S1434" s="454"/>
      <c r="BC1434" s="169"/>
    </row>
    <row r="1435" spans="19:55" ht="15.75" customHeight="1">
      <c r="S1435" s="454"/>
      <c r="BC1435" s="169"/>
    </row>
    <row r="1436" spans="19:55" ht="15.75" customHeight="1">
      <c r="S1436" s="454"/>
      <c r="BC1436" s="169"/>
    </row>
    <row r="1437" spans="19:55" ht="15.75" customHeight="1">
      <c r="S1437" s="454"/>
      <c r="BC1437" s="169"/>
    </row>
    <row r="1438" spans="19:55" ht="15.75" customHeight="1">
      <c r="S1438" s="454"/>
      <c r="BC1438" s="169"/>
    </row>
    <row r="1439" spans="19:55" ht="15.75" customHeight="1">
      <c r="S1439" s="454"/>
      <c r="BC1439" s="169"/>
    </row>
    <row r="1440" spans="19:55" ht="15.75" customHeight="1">
      <c r="S1440" s="454"/>
      <c r="BC1440" s="169"/>
    </row>
    <row r="1441" spans="19:55" ht="15.75" customHeight="1">
      <c r="S1441" s="454"/>
      <c r="BC1441" s="169"/>
    </row>
    <row r="1442" spans="19:55" ht="15.75" customHeight="1">
      <c r="S1442" s="454"/>
      <c r="BC1442" s="169"/>
    </row>
    <row r="1443" spans="19:55" ht="15.75" customHeight="1">
      <c r="S1443" s="454"/>
      <c r="BC1443" s="169"/>
    </row>
    <row r="1444" spans="19:55" ht="15.75" customHeight="1">
      <c r="S1444" s="454"/>
      <c r="BC1444" s="169"/>
    </row>
    <row r="1445" spans="19:55" ht="15.75" customHeight="1">
      <c r="S1445" s="454"/>
      <c r="BC1445" s="169"/>
    </row>
    <row r="1446" spans="19:55" ht="15.75" customHeight="1">
      <c r="S1446" s="454"/>
      <c r="BC1446" s="169"/>
    </row>
    <row r="1447" spans="19:55" ht="15.75" customHeight="1">
      <c r="S1447" s="454"/>
      <c r="BC1447" s="169"/>
    </row>
    <row r="1448" spans="19:55" ht="15.75" customHeight="1">
      <c r="S1448" s="454"/>
      <c r="BC1448" s="169"/>
    </row>
    <row r="1449" spans="19:55" ht="15.75" customHeight="1">
      <c r="S1449" s="454"/>
      <c r="BC1449" s="169"/>
    </row>
    <row r="1450" spans="19:55" ht="15.75" customHeight="1">
      <c r="S1450" s="454"/>
      <c r="BC1450" s="169"/>
    </row>
    <row r="1451" spans="19:55" ht="15.75" customHeight="1">
      <c r="S1451" s="454"/>
      <c r="BC1451" s="169"/>
    </row>
    <row r="1452" spans="19:55" ht="15.75" customHeight="1">
      <c r="S1452" s="454"/>
      <c r="BC1452" s="169"/>
    </row>
    <row r="1453" spans="19:55" ht="15.75" customHeight="1">
      <c r="S1453" s="454"/>
      <c r="BC1453" s="169"/>
    </row>
    <row r="1454" spans="19:55" ht="15.75" customHeight="1">
      <c r="S1454" s="454"/>
      <c r="BC1454" s="169"/>
    </row>
    <row r="1455" spans="19:55" ht="15.75" customHeight="1">
      <c r="S1455" s="454"/>
      <c r="BC1455" s="169"/>
    </row>
    <row r="1456" spans="19:55" ht="15.75" customHeight="1">
      <c r="S1456" s="454"/>
      <c r="BC1456" s="169"/>
    </row>
    <row r="1457" spans="19:55" ht="15.75" customHeight="1">
      <c r="S1457" s="454"/>
      <c r="BC1457" s="169"/>
    </row>
    <row r="1458" spans="19:55" ht="15.75" customHeight="1">
      <c r="S1458" s="454"/>
      <c r="BC1458" s="169"/>
    </row>
    <row r="1459" spans="19:55" ht="15.75" customHeight="1">
      <c r="S1459" s="454"/>
      <c r="BC1459" s="169"/>
    </row>
    <row r="1460" spans="19:55" ht="15.75" customHeight="1">
      <c r="S1460" s="454"/>
      <c r="BC1460" s="169"/>
    </row>
    <row r="1461" spans="19:55" ht="15.75" customHeight="1">
      <c r="S1461" s="454"/>
      <c r="BC1461" s="169"/>
    </row>
    <row r="1462" spans="19:55" ht="15.75" customHeight="1">
      <c r="S1462" s="454"/>
      <c r="BC1462" s="169"/>
    </row>
    <row r="1463" spans="19:55" ht="15.75" customHeight="1">
      <c r="S1463" s="454"/>
      <c r="BC1463" s="169"/>
    </row>
    <row r="1464" spans="19:55" ht="15.75" customHeight="1">
      <c r="S1464" s="454"/>
      <c r="BC1464" s="169"/>
    </row>
    <row r="1465" spans="19:55" ht="15.75" customHeight="1">
      <c r="S1465" s="454"/>
      <c r="BC1465" s="169"/>
    </row>
    <row r="1466" spans="19:55" ht="15.75" customHeight="1">
      <c r="S1466" s="454"/>
      <c r="BC1466" s="169"/>
    </row>
    <row r="1467" spans="19:55" ht="15.75" customHeight="1">
      <c r="S1467" s="454"/>
      <c r="BC1467" s="169"/>
    </row>
    <row r="1468" spans="19:55" ht="15.75" customHeight="1">
      <c r="S1468" s="454"/>
      <c r="BC1468" s="169"/>
    </row>
    <row r="1469" spans="19:55" ht="15.75" customHeight="1">
      <c r="S1469" s="454"/>
      <c r="BC1469" s="169"/>
    </row>
    <row r="1470" spans="19:55" ht="15.75" customHeight="1">
      <c r="S1470" s="454"/>
      <c r="BC1470" s="169"/>
    </row>
    <row r="1471" spans="19:55" ht="15.75" customHeight="1">
      <c r="S1471" s="454"/>
      <c r="BC1471" s="169"/>
    </row>
    <row r="1472" spans="19:55" ht="15.75" customHeight="1">
      <c r="S1472" s="454"/>
      <c r="BC1472" s="169"/>
    </row>
    <row r="1473" spans="19:55" ht="15.75" customHeight="1">
      <c r="S1473" s="454"/>
      <c r="BC1473" s="169"/>
    </row>
    <row r="1474" spans="19:55" ht="15.75" customHeight="1">
      <c r="S1474" s="454"/>
      <c r="BC1474" s="169"/>
    </row>
    <row r="1475" spans="19:55" ht="15.75" customHeight="1">
      <c r="S1475" s="454"/>
      <c r="BC1475" s="169"/>
    </row>
    <row r="1476" spans="19:55" ht="15.75" customHeight="1">
      <c r="S1476" s="454"/>
      <c r="BC1476" s="169"/>
    </row>
    <row r="1477" spans="19:55" ht="15.75" customHeight="1">
      <c r="S1477" s="454"/>
      <c r="BC1477" s="169"/>
    </row>
    <row r="1478" spans="19:55" ht="15.75" customHeight="1">
      <c r="S1478" s="454"/>
      <c r="BC1478" s="169"/>
    </row>
    <row r="1479" spans="19:55" ht="15.75" customHeight="1">
      <c r="S1479" s="454"/>
      <c r="BC1479" s="169"/>
    </row>
    <row r="1480" spans="19:55" ht="15.75" customHeight="1">
      <c r="S1480" s="454"/>
      <c r="BC1480" s="169"/>
    </row>
    <row r="1481" spans="19:55" ht="15.75" customHeight="1">
      <c r="S1481" s="454"/>
      <c r="BC1481" s="169"/>
    </row>
    <row r="1482" spans="19:55" ht="15.75" customHeight="1">
      <c r="S1482" s="454"/>
      <c r="BC1482" s="169"/>
    </row>
    <row r="1483" spans="19:55" ht="15.75" customHeight="1">
      <c r="S1483" s="454"/>
      <c r="BC1483" s="169"/>
    </row>
    <row r="1484" spans="19:55" ht="15.75" customHeight="1">
      <c r="S1484" s="454"/>
      <c r="BC1484" s="169"/>
    </row>
    <row r="1485" spans="19:55" ht="15.75" customHeight="1">
      <c r="S1485" s="454"/>
      <c r="BC1485" s="169"/>
    </row>
    <row r="1486" spans="19:55" ht="15.75" customHeight="1">
      <c r="S1486" s="454"/>
      <c r="BC1486" s="169"/>
    </row>
    <row r="1487" spans="19:55" ht="15.75" customHeight="1">
      <c r="S1487" s="454"/>
      <c r="BC1487" s="169"/>
    </row>
    <row r="1488" spans="19:55" ht="15.75" customHeight="1">
      <c r="S1488" s="454"/>
      <c r="BC1488" s="169"/>
    </row>
    <row r="1489" spans="19:55" ht="15.75" customHeight="1">
      <c r="S1489" s="454"/>
      <c r="BC1489" s="169"/>
    </row>
    <row r="1490" spans="19:55" ht="15.75" customHeight="1">
      <c r="S1490" s="454"/>
      <c r="BC1490" s="169"/>
    </row>
    <row r="1491" spans="19:55" ht="15.75" customHeight="1">
      <c r="S1491" s="454"/>
      <c r="BC1491" s="169"/>
    </row>
    <row r="1492" spans="19:55" ht="15.75" customHeight="1">
      <c r="BC1492" s="169"/>
    </row>
    <row r="1493" spans="19:55" ht="15.75" customHeight="1">
      <c r="BC1493" s="169"/>
    </row>
    <row r="1494" spans="19:55" ht="15.75" customHeight="1">
      <c r="BC1494" s="169"/>
    </row>
    <row r="1495" spans="19:55" ht="15.75" customHeight="1">
      <c r="BC1495" s="169"/>
    </row>
    <row r="1496" spans="19:55" ht="15.75" customHeight="1">
      <c r="BC1496" s="169"/>
    </row>
    <row r="1497" spans="19:55" ht="15.75" customHeight="1">
      <c r="BC1497" s="169"/>
    </row>
    <row r="1498" spans="19:55" ht="15.75" customHeight="1">
      <c r="BC1498" s="169"/>
    </row>
    <row r="1499" spans="19:55" ht="15.75" customHeight="1">
      <c r="BC1499" s="169"/>
    </row>
    <row r="1500" spans="19:55" ht="15.75" customHeight="1">
      <c r="BC1500" s="169"/>
    </row>
    <row r="1501" spans="19:55" ht="15.75" customHeight="1">
      <c r="BC1501" s="169"/>
    </row>
    <row r="1502" spans="19:55" ht="15.75" customHeight="1">
      <c r="BC1502" s="169"/>
    </row>
    <row r="1503" spans="19:55" ht="15.75" customHeight="1">
      <c r="BC1503" s="169"/>
    </row>
    <row r="1504" spans="19:55" ht="15.75" customHeight="1">
      <c r="BC1504" s="169"/>
    </row>
    <row r="1505" spans="55:55" ht="15.75" customHeight="1">
      <c r="BC1505" s="169"/>
    </row>
    <row r="1506" spans="55:55" ht="15.75" customHeight="1">
      <c r="BC1506" s="169"/>
    </row>
    <row r="1507" spans="55:55" ht="15.75" customHeight="1">
      <c r="BC1507" s="169"/>
    </row>
    <row r="1508" spans="55:55" ht="15.75" customHeight="1">
      <c r="BC1508" s="169"/>
    </row>
    <row r="1509" spans="55:55" ht="15.75" customHeight="1">
      <c r="BC1509" s="169"/>
    </row>
    <row r="1510" spans="55:55" ht="15.75" customHeight="1">
      <c r="BC1510" s="169"/>
    </row>
    <row r="1511" spans="55:55" ht="15.75" customHeight="1">
      <c r="BC1511" s="169"/>
    </row>
    <row r="1512" spans="55:55" ht="15.75" customHeight="1">
      <c r="BC1512" s="169"/>
    </row>
    <row r="1513" spans="55:55" ht="15.75" customHeight="1">
      <c r="BC1513" s="169"/>
    </row>
    <row r="1514" spans="55:55" ht="15.75" customHeight="1">
      <c r="BC1514" s="169"/>
    </row>
    <row r="1515" spans="55:55" ht="15.75" customHeight="1">
      <c r="BC1515" s="169"/>
    </row>
    <row r="1516" spans="55:55" ht="15.75" customHeight="1">
      <c r="BC1516" s="169"/>
    </row>
    <row r="1517" spans="55:55" ht="15.75" customHeight="1">
      <c r="BC1517" s="169"/>
    </row>
    <row r="1518" spans="55:55" ht="15.75" customHeight="1">
      <c r="BC1518" s="169"/>
    </row>
    <row r="1519" spans="55:55" ht="15.75" customHeight="1">
      <c r="BC1519" s="169"/>
    </row>
    <row r="1520" spans="55:55" ht="15.75" customHeight="1">
      <c r="BC1520" s="169"/>
    </row>
    <row r="1521" spans="55:55" ht="15.75" customHeight="1">
      <c r="BC1521" s="169"/>
    </row>
    <row r="1522" spans="55:55" ht="15.75" customHeight="1">
      <c r="BC1522" s="169"/>
    </row>
    <row r="1523" spans="55:55" ht="15.75" customHeight="1">
      <c r="BC1523" s="169"/>
    </row>
    <row r="1524" spans="55:55" ht="15.75" customHeight="1">
      <c r="BC1524" s="169"/>
    </row>
    <row r="1525" spans="55:55" ht="15.75" customHeight="1">
      <c r="BC1525" s="169"/>
    </row>
    <row r="1526" spans="55:55" ht="15.75" customHeight="1">
      <c r="BC1526" s="169"/>
    </row>
    <row r="1527" spans="55:55" ht="15.75" customHeight="1">
      <c r="BC1527" s="169"/>
    </row>
    <row r="1528" spans="55:55" ht="15.75" customHeight="1">
      <c r="BC1528" s="169"/>
    </row>
    <row r="1529" spans="55:55" ht="15.75" customHeight="1">
      <c r="BC1529" s="169"/>
    </row>
    <row r="1530" spans="55:55" ht="15.75" customHeight="1">
      <c r="BC1530" s="169"/>
    </row>
    <row r="1531" spans="55:55" ht="15.75" customHeight="1">
      <c r="BC1531" s="169"/>
    </row>
    <row r="1532" spans="55:55" ht="15.75" customHeight="1">
      <c r="BC1532" s="169"/>
    </row>
    <row r="1533" spans="55:55" ht="15.75" customHeight="1">
      <c r="BC1533" s="169"/>
    </row>
    <row r="1534" spans="55:55" ht="15.75" customHeight="1">
      <c r="BC1534" s="169"/>
    </row>
    <row r="1535" spans="55:55" ht="15.75" customHeight="1">
      <c r="BC1535" s="169"/>
    </row>
    <row r="1536" spans="55:55" ht="15.75" customHeight="1">
      <c r="BC1536" s="169"/>
    </row>
    <row r="1537" spans="55:55" ht="15.75" customHeight="1">
      <c r="BC1537" s="169"/>
    </row>
    <row r="1538" spans="55:55" ht="15.75" customHeight="1">
      <c r="BC1538" s="169"/>
    </row>
    <row r="1539" spans="55:55" ht="15.75" customHeight="1">
      <c r="BC1539" s="169"/>
    </row>
    <row r="1540" spans="55:55" ht="15.75" customHeight="1">
      <c r="BC1540" s="169"/>
    </row>
    <row r="1541" spans="55:55" ht="15.75" customHeight="1">
      <c r="BC1541" s="169"/>
    </row>
    <row r="1542" spans="55:55" ht="15.75" customHeight="1">
      <c r="BC1542" s="169"/>
    </row>
    <row r="1543" spans="55:55" ht="15.75" customHeight="1">
      <c r="BC1543" s="169"/>
    </row>
    <row r="1544" spans="55:55" ht="15.75" customHeight="1">
      <c r="BC1544" s="169"/>
    </row>
    <row r="1545" spans="55:55" ht="15.75" customHeight="1">
      <c r="BC1545" s="169"/>
    </row>
    <row r="1546" spans="55:55" ht="15.75" customHeight="1">
      <c r="BC1546" s="169"/>
    </row>
    <row r="1547" spans="55:55" ht="15.75" customHeight="1">
      <c r="BC1547" s="169"/>
    </row>
    <row r="1548" spans="55:55" ht="15.75" customHeight="1">
      <c r="BC1548" s="169"/>
    </row>
    <row r="1549" spans="55:55" ht="15.75" customHeight="1">
      <c r="BC1549" s="169"/>
    </row>
    <row r="1550" spans="55:55" ht="15.75" customHeight="1">
      <c r="BC1550" s="169"/>
    </row>
    <row r="1551" spans="55:55" ht="15.75" customHeight="1">
      <c r="BC1551" s="169"/>
    </row>
    <row r="1552" spans="55:55" ht="15.75" customHeight="1">
      <c r="BC1552" s="169"/>
    </row>
    <row r="1553" spans="55:55" ht="15.75" customHeight="1">
      <c r="BC1553" s="169"/>
    </row>
    <row r="1554" spans="55:55" ht="15.75" customHeight="1">
      <c r="BC1554" s="169"/>
    </row>
    <row r="1555" spans="55:55" ht="15.75" customHeight="1">
      <c r="BC1555" s="169"/>
    </row>
    <row r="1556" spans="55:55" ht="15.75" customHeight="1">
      <c r="BC1556" s="169"/>
    </row>
    <row r="1557" spans="55:55" ht="15.75" customHeight="1">
      <c r="BC1557" s="169"/>
    </row>
    <row r="1558" spans="55:55" ht="15.75" customHeight="1">
      <c r="BC1558" s="169"/>
    </row>
    <row r="1559" spans="55:55" ht="15.75" customHeight="1">
      <c r="BC1559" s="169"/>
    </row>
    <row r="1560" spans="55:55" ht="15.75" customHeight="1">
      <c r="BC1560" s="169"/>
    </row>
    <row r="1561" spans="55:55" ht="15.75" customHeight="1">
      <c r="BC1561" s="169"/>
    </row>
    <row r="1562" spans="55:55" ht="15.75" customHeight="1">
      <c r="BC1562" s="169"/>
    </row>
    <row r="1563" spans="55:55" ht="15.75" customHeight="1">
      <c r="BC1563" s="169"/>
    </row>
    <row r="1564" spans="55:55" ht="15.75" customHeight="1">
      <c r="BC1564" s="169"/>
    </row>
    <row r="1565" spans="55:55" ht="15.75" customHeight="1">
      <c r="BC1565" s="169"/>
    </row>
    <row r="1566" spans="55:55" ht="15.75" customHeight="1">
      <c r="BC1566" s="169"/>
    </row>
    <row r="1567" spans="55:55" ht="15.75" customHeight="1">
      <c r="BC1567" s="169"/>
    </row>
    <row r="1568" spans="55:55" ht="15.75" customHeight="1">
      <c r="BC1568" s="169"/>
    </row>
    <row r="1569" spans="55:55" ht="15.75" customHeight="1">
      <c r="BC1569" s="169"/>
    </row>
    <row r="1570" spans="55:55" ht="15.75" customHeight="1">
      <c r="BC1570" s="169"/>
    </row>
    <row r="1571" spans="55:55" ht="15.75" customHeight="1">
      <c r="BC1571" s="169"/>
    </row>
    <row r="1572" spans="55:55" ht="15.75" customHeight="1">
      <c r="BC1572" s="169"/>
    </row>
    <row r="1573" spans="55:55" ht="15.75" customHeight="1">
      <c r="BC1573" s="169"/>
    </row>
    <row r="1574" spans="55:55" ht="15.75" customHeight="1">
      <c r="BC1574" s="169"/>
    </row>
    <row r="1575" spans="55:55" ht="15.75" customHeight="1">
      <c r="BC1575" s="169"/>
    </row>
    <row r="1576" spans="55:55" ht="15.75" customHeight="1">
      <c r="BC1576" s="169"/>
    </row>
    <row r="1577" spans="55:55" ht="15.75" customHeight="1">
      <c r="BC1577" s="169"/>
    </row>
    <row r="1578" spans="55:55" ht="15.75" customHeight="1">
      <c r="BC1578" s="169"/>
    </row>
    <row r="1579" spans="55:55" ht="15.75" customHeight="1">
      <c r="BC1579" s="169"/>
    </row>
    <row r="1580" spans="55:55" ht="15.75" customHeight="1">
      <c r="BC1580" s="169"/>
    </row>
    <row r="1581" spans="55:55" ht="15.75" customHeight="1">
      <c r="BC1581" s="169"/>
    </row>
    <row r="1582" spans="55:55" ht="15.75" customHeight="1">
      <c r="BC1582" s="169"/>
    </row>
    <row r="1583" spans="55:55" ht="15.75" customHeight="1">
      <c r="BC1583" s="169"/>
    </row>
    <row r="1584" spans="55:55" ht="15.75" customHeight="1">
      <c r="BC1584" s="169"/>
    </row>
    <row r="1585" spans="55:55" ht="15.75" customHeight="1">
      <c r="BC1585" s="169"/>
    </row>
    <row r="1586" spans="55:55" ht="15.75" customHeight="1">
      <c r="BC1586" s="169"/>
    </row>
    <row r="1587" spans="55:55" ht="15.75" customHeight="1">
      <c r="BC1587" s="169"/>
    </row>
    <row r="1588" spans="55:55" ht="15.75" customHeight="1">
      <c r="BC1588" s="169"/>
    </row>
    <row r="1589" spans="55:55" ht="15.75" customHeight="1">
      <c r="BC1589" s="169"/>
    </row>
    <row r="1590" spans="55:55" ht="15.75" customHeight="1">
      <c r="BC1590" s="169"/>
    </row>
    <row r="1591" spans="55:55" ht="15.75" customHeight="1">
      <c r="BC1591" s="169"/>
    </row>
    <row r="1592" spans="55:55" ht="15.75" customHeight="1">
      <c r="BC1592" s="169"/>
    </row>
    <row r="1593" spans="55:55" ht="15.75" customHeight="1">
      <c r="BC1593" s="169"/>
    </row>
    <row r="1594" spans="55:55" ht="15.75" customHeight="1">
      <c r="BC1594" s="169"/>
    </row>
    <row r="1595" spans="55:55" ht="15.75" customHeight="1">
      <c r="BC1595" s="169"/>
    </row>
    <row r="1596" spans="55:55" ht="15.75" customHeight="1">
      <c r="BC1596" s="169"/>
    </row>
    <row r="1597" spans="55:55" ht="15.75" customHeight="1">
      <c r="BC1597" s="169"/>
    </row>
    <row r="1598" spans="55:55" ht="15.75" customHeight="1">
      <c r="BC1598" s="169"/>
    </row>
    <row r="1599" spans="55:55" ht="15.75" customHeight="1">
      <c r="BC1599" s="169"/>
    </row>
    <row r="1600" spans="55:55" ht="15.75" customHeight="1">
      <c r="BC1600" s="169"/>
    </row>
    <row r="1601" spans="55:55" ht="15.75" customHeight="1">
      <c r="BC1601" s="169"/>
    </row>
    <row r="1602" spans="55:55" ht="15.75" customHeight="1">
      <c r="BC1602" s="169"/>
    </row>
    <row r="1603" spans="55:55" ht="15.75" customHeight="1">
      <c r="BC1603" s="169"/>
    </row>
    <row r="1604" spans="55:55" ht="15.75" customHeight="1">
      <c r="BC1604" s="169"/>
    </row>
    <row r="1605" spans="55:55" ht="15.75" customHeight="1">
      <c r="BC1605" s="169"/>
    </row>
    <row r="1606" spans="55:55" ht="15.75" customHeight="1">
      <c r="BC1606" s="169"/>
    </row>
    <row r="1607" spans="55:55" ht="15.75" customHeight="1">
      <c r="BC1607" s="169"/>
    </row>
    <row r="1608" spans="55:55" ht="15.75" customHeight="1">
      <c r="BC1608" s="169"/>
    </row>
    <row r="1609" spans="55:55" ht="15.75" customHeight="1">
      <c r="BC1609" s="169"/>
    </row>
    <row r="1610" spans="55:55" ht="15.75" customHeight="1">
      <c r="BC1610" s="169"/>
    </row>
    <row r="1611" spans="55:55" ht="15.75" customHeight="1">
      <c r="BC1611" s="169"/>
    </row>
    <row r="1612" spans="55:55" ht="15.75" customHeight="1">
      <c r="BC1612" s="169"/>
    </row>
    <row r="1613" spans="55:55" ht="15.75" customHeight="1">
      <c r="BC1613" s="169"/>
    </row>
    <row r="1614" spans="55:55" ht="15.75" customHeight="1">
      <c r="BC1614" s="169"/>
    </row>
    <row r="1615" spans="55:55" ht="15.75" customHeight="1">
      <c r="BC1615" s="169"/>
    </row>
    <row r="1616" spans="55:55" ht="15.75" customHeight="1">
      <c r="BC1616" s="169"/>
    </row>
    <row r="1617" spans="55:55" ht="15.75" customHeight="1">
      <c r="BC1617" s="169"/>
    </row>
    <row r="1618" spans="55:55" ht="15.75" customHeight="1">
      <c r="BC1618" s="169"/>
    </row>
    <row r="1619" spans="55:55" ht="15.75" customHeight="1">
      <c r="BC1619" s="169"/>
    </row>
    <row r="1620" spans="55:55" ht="15.75" customHeight="1">
      <c r="BC1620" s="169"/>
    </row>
    <row r="1621" spans="55:55" ht="15.75" customHeight="1">
      <c r="BC1621" s="169"/>
    </row>
    <row r="1622" spans="55:55" ht="15.75" customHeight="1">
      <c r="BC1622" s="169"/>
    </row>
    <row r="1623" spans="55:55" ht="15.75" customHeight="1">
      <c r="BC1623" s="169"/>
    </row>
    <row r="1624" spans="55:55" ht="15.75" customHeight="1">
      <c r="BC1624" s="169"/>
    </row>
    <row r="1625" spans="55:55" ht="15.75" customHeight="1">
      <c r="BC1625" s="169"/>
    </row>
    <row r="1626" spans="55:55" ht="15.75" customHeight="1">
      <c r="BC1626" s="169"/>
    </row>
    <row r="1627" spans="55:55" ht="15.75" customHeight="1">
      <c r="BC1627" s="169"/>
    </row>
    <row r="1628" spans="55:55" ht="15.75" customHeight="1">
      <c r="BC1628" s="169"/>
    </row>
    <row r="1629" spans="55:55" ht="15.75" customHeight="1">
      <c r="BC1629" s="169"/>
    </row>
    <row r="1630" spans="55:55" ht="15.75" customHeight="1">
      <c r="BC1630" s="169"/>
    </row>
    <row r="1631" spans="55:55" ht="15.75" customHeight="1">
      <c r="BC1631" s="169"/>
    </row>
    <row r="1632" spans="55:55" ht="15.75" customHeight="1">
      <c r="BC1632" s="169"/>
    </row>
    <row r="1633" spans="55:55" ht="15.75" customHeight="1">
      <c r="BC1633" s="169"/>
    </row>
    <row r="1634" spans="55:55" ht="15.75" customHeight="1">
      <c r="BC1634" s="169"/>
    </row>
    <row r="1635" spans="55:55" ht="15.75" customHeight="1">
      <c r="BC1635" s="169"/>
    </row>
    <row r="1636" spans="55:55" ht="15.75" customHeight="1">
      <c r="BC1636" s="169"/>
    </row>
    <row r="1637" spans="55:55" ht="15.75" customHeight="1">
      <c r="BC1637" s="169"/>
    </row>
    <row r="1638" spans="55:55" ht="15.75" customHeight="1">
      <c r="BC1638" s="169"/>
    </row>
    <row r="1639" spans="55:55" ht="15.75" customHeight="1">
      <c r="BC1639" s="169"/>
    </row>
    <row r="1640" spans="55:55" ht="15.75" customHeight="1">
      <c r="BC1640" s="169"/>
    </row>
    <row r="1641" spans="55:55" ht="15.75" customHeight="1">
      <c r="BC1641" s="169"/>
    </row>
    <row r="1642" spans="55:55" ht="15.75" customHeight="1">
      <c r="BC1642" s="169"/>
    </row>
    <row r="1643" spans="55:55" ht="15.75" customHeight="1">
      <c r="BC1643" s="169"/>
    </row>
    <row r="1644" spans="55:55" ht="15.75" customHeight="1">
      <c r="BC1644" s="169"/>
    </row>
    <row r="1645" spans="55:55" ht="15.75" customHeight="1">
      <c r="BC1645" s="169"/>
    </row>
    <row r="1646" spans="55:55" ht="15.75" customHeight="1">
      <c r="BC1646" s="169"/>
    </row>
    <row r="1647" spans="55:55" ht="15.75" customHeight="1">
      <c r="BC1647" s="169"/>
    </row>
    <row r="1648" spans="55:55" ht="15.75" customHeight="1">
      <c r="BC1648" s="169"/>
    </row>
    <row r="1649" spans="55:55" ht="15.75" customHeight="1">
      <c r="BC1649" s="169"/>
    </row>
    <row r="1650" spans="55:55" ht="15.75" customHeight="1">
      <c r="BC1650" s="169"/>
    </row>
    <row r="1651" spans="55:55" ht="15.75" customHeight="1">
      <c r="BC1651" s="169"/>
    </row>
    <row r="1652" spans="55:55" ht="15.75" customHeight="1">
      <c r="BC1652" s="169"/>
    </row>
    <row r="1653" spans="55:55" ht="15.75" customHeight="1">
      <c r="BC1653" s="169"/>
    </row>
    <row r="1654" spans="55:55" ht="15.75" customHeight="1">
      <c r="BC1654" s="169"/>
    </row>
    <row r="1655" spans="55:55" ht="15.75" customHeight="1">
      <c r="BC1655" s="169"/>
    </row>
    <row r="1656" spans="55:55" ht="15.75" customHeight="1">
      <c r="BC1656" s="169"/>
    </row>
    <row r="1657" spans="55:55" ht="15.75" customHeight="1">
      <c r="BC1657" s="169"/>
    </row>
    <row r="1658" spans="55:55" ht="15.75" customHeight="1">
      <c r="BC1658" s="169"/>
    </row>
    <row r="1659" spans="55:55" ht="15.75" customHeight="1">
      <c r="BC1659" s="169"/>
    </row>
    <row r="1660" spans="55:55" ht="15.75" customHeight="1">
      <c r="BC1660" s="169"/>
    </row>
    <row r="1661" spans="55:55" ht="15.75" customHeight="1">
      <c r="BC1661" s="169"/>
    </row>
    <row r="1662" spans="55:55" ht="15.75" customHeight="1">
      <c r="BC1662" s="169"/>
    </row>
    <row r="1663" spans="55:55" ht="15.75" customHeight="1">
      <c r="BC1663" s="169"/>
    </row>
    <row r="1664" spans="55:55" ht="15.75" customHeight="1">
      <c r="BC1664" s="169"/>
    </row>
    <row r="1665" spans="55:55" ht="15.75" customHeight="1">
      <c r="BC1665" s="169"/>
    </row>
    <row r="1666" spans="55:55" ht="15.75" customHeight="1">
      <c r="BC1666" s="169"/>
    </row>
    <row r="1667" spans="55:55" ht="15.75" customHeight="1">
      <c r="BC1667" s="169"/>
    </row>
    <row r="1668" spans="55:55" ht="15.75" customHeight="1">
      <c r="BC1668" s="169"/>
    </row>
    <row r="1669" spans="55:55" ht="15.75" customHeight="1">
      <c r="BC1669" s="169"/>
    </row>
    <row r="1670" spans="55:55" ht="15.75" customHeight="1">
      <c r="BC1670" s="169"/>
    </row>
    <row r="1671" spans="55:55" ht="15.75" customHeight="1">
      <c r="BC1671" s="169"/>
    </row>
    <row r="1672" spans="55:55" ht="15.75" customHeight="1">
      <c r="BC1672" s="169"/>
    </row>
    <row r="1673" spans="55:55" ht="15.75" customHeight="1">
      <c r="BC1673" s="169"/>
    </row>
    <row r="1674" spans="55:55" ht="15.75" customHeight="1">
      <c r="BC1674" s="169"/>
    </row>
    <row r="1675" spans="55:55" ht="15.75" customHeight="1">
      <c r="BC1675" s="169"/>
    </row>
    <row r="1676" spans="55:55" ht="15.75" customHeight="1">
      <c r="BC1676" s="169"/>
    </row>
    <row r="1677" spans="55:55" ht="15.75" customHeight="1">
      <c r="BC1677" s="169"/>
    </row>
    <row r="1678" spans="55:55" ht="15.75" customHeight="1">
      <c r="BC1678" s="169"/>
    </row>
    <row r="1679" spans="55:55" ht="15.75" customHeight="1">
      <c r="BC1679" s="169"/>
    </row>
    <row r="1680" spans="55:55" ht="15.75" customHeight="1">
      <c r="BC1680" s="169"/>
    </row>
    <row r="1681" spans="55:55" ht="15.75" customHeight="1">
      <c r="BC1681" s="169"/>
    </row>
    <row r="1682" spans="55:55" ht="15.75" customHeight="1">
      <c r="BC1682" s="169"/>
    </row>
    <row r="1683" spans="55:55" ht="15.75" customHeight="1">
      <c r="BC1683" s="169"/>
    </row>
    <row r="1684" spans="55:55" ht="15.75" customHeight="1">
      <c r="BC1684" s="169"/>
    </row>
    <row r="1685" spans="55:55" ht="15.75" customHeight="1">
      <c r="BC1685" s="169"/>
    </row>
    <row r="1686" spans="55:55" ht="15.75" customHeight="1">
      <c r="BC1686" s="169"/>
    </row>
    <row r="1687" spans="55:55" ht="15.75" customHeight="1">
      <c r="BC1687" s="169"/>
    </row>
    <row r="1688" spans="55:55" ht="15.75" customHeight="1">
      <c r="BC1688" s="169"/>
    </row>
    <row r="1689" spans="55:55" ht="15.75" customHeight="1">
      <c r="BC1689" s="169"/>
    </row>
    <row r="1690" spans="55:55" ht="15.75" customHeight="1">
      <c r="BC1690" s="169"/>
    </row>
    <row r="1691" spans="55:55" ht="15.75" customHeight="1">
      <c r="BC1691" s="169"/>
    </row>
    <row r="1692" spans="55:55" ht="15.75" customHeight="1">
      <c r="BC1692" s="169"/>
    </row>
    <row r="1693" spans="55:55" ht="15.75" customHeight="1">
      <c r="BC1693" s="169"/>
    </row>
    <row r="1694" spans="55:55" ht="15.75" customHeight="1">
      <c r="BC1694" s="169"/>
    </row>
    <row r="1695" spans="55:55" ht="15.75" customHeight="1">
      <c r="BC1695" s="169"/>
    </row>
    <row r="1696" spans="55:55" ht="15.75" customHeight="1">
      <c r="BC1696" s="169"/>
    </row>
    <row r="1697" spans="55:55" ht="15.75" customHeight="1">
      <c r="BC1697" s="169"/>
    </row>
    <row r="1698" spans="55:55" ht="15.75" customHeight="1">
      <c r="BC1698" s="169"/>
    </row>
    <row r="1699" spans="55:55" ht="15.75" customHeight="1">
      <c r="BC1699" s="169"/>
    </row>
    <row r="1700" spans="55:55" ht="15.75" customHeight="1">
      <c r="BC1700" s="169"/>
    </row>
    <row r="1701" spans="55:55" ht="15.75" customHeight="1">
      <c r="BC1701" s="169"/>
    </row>
    <row r="1702" spans="55:55" ht="15.75" customHeight="1">
      <c r="BC1702" s="169"/>
    </row>
    <row r="1703" spans="55:55" ht="15.75" customHeight="1">
      <c r="BC1703" s="169"/>
    </row>
    <row r="1704" spans="55:55" ht="15.75" customHeight="1">
      <c r="BC1704" s="169"/>
    </row>
    <row r="1705" spans="55:55" ht="15.75" customHeight="1">
      <c r="BC1705" s="169"/>
    </row>
    <row r="1706" spans="55:55" ht="15.75" customHeight="1">
      <c r="BC1706" s="169"/>
    </row>
    <row r="1707" spans="55:55" ht="15.75" customHeight="1">
      <c r="BC1707" s="169"/>
    </row>
    <row r="1708" spans="55:55" ht="15.75" customHeight="1">
      <c r="BC1708" s="169"/>
    </row>
    <row r="1709" spans="55:55" ht="15.75" customHeight="1">
      <c r="BC1709" s="169"/>
    </row>
    <row r="1710" spans="55:55" ht="15.75" customHeight="1">
      <c r="BC1710" s="169"/>
    </row>
    <row r="1711" spans="55:55" ht="15.75" customHeight="1">
      <c r="BC1711" s="169"/>
    </row>
    <row r="1712" spans="55:55" ht="15.75" customHeight="1">
      <c r="BC1712" s="169"/>
    </row>
    <row r="1713" spans="55:55" ht="15.75" customHeight="1">
      <c r="BC1713" s="169"/>
    </row>
    <row r="1714" spans="55:55" ht="15.75" customHeight="1">
      <c r="BC1714" s="169"/>
    </row>
    <row r="1715" spans="55:55" ht="15.75" customHeight="1">
      <c r="BC1715" s="169"/>
    </row>
    <row r="1716" spans="55:55" ht="15.75" customHeight="1">
      <c r="BC1716" s="169"/>
    </row>
    <row r="1717" spans="55:55" ht="15.75" customHeight="1">
      <c r="BC1717" s="169"/>
    </row>
    <row r="1718" spans="55:55" ht="15.75" customHeight="1">
      <c r="BC1718" s="169"/>
    </row>
    <row r="1719" spans="55:55" ht="15.75" customHeight="1">
      <c r="BC1719" s="169"/>
    </row>
    <row r="1720" spans="55:55" ht="15.75" customHeight="1">
      <c r="BC1720" s="169"/>
    </row>
    <row r="1721" spans="55:55" ht="15.75" customHeight="1">
      <c r="BC1721" s="169"/>
    </row>
    <row r="1722" spans="55:55" ht="15.75" customHeight="1">
      <c r="BC1722" s="169"/>
    </row>
    <row r="1723" spans="55:55" ht="15.75" customHeight="1">
      <c r="BC1723" s="169"/>
    </row>
    <row r="1724" spans="55:55" ht="15.75" customHeight="1">
      <c r="BC1724" s="169"/>
    </row>
    <row r="1725" spans="55:55" ht="15.75" customHeight="1">
      <c r="BC1725" s="169"/>
    </row>
    <row r="1726" spans="55:55" ht="15.75" customHeight="1">
      <c r="BC1726" s="169"/>
    </row>
    <row r="1727" spans="55:55" ht="15.75" customHeight="1">
      <c r="BC1727" s="169"/>
    </row>
    <row r="1728" spans="55:55" ht="15.75" customHeight="1">
      <c r="BC1728" s="169"/>
    </row>
    <row r="1729" spans="55:55" ht="15.75" customHeight="1">
      <c r="BC1729" s="169"/>
    </row>
    <row r="1730" spans="55:55" ht="15.75" customHeight="1">
      <c r="BC1730" s="169"/>
    </row>
    <row r="1731" spans="55:55" ht="15.75" customHeight="1">
      <c r="BC1731" s="169"/>
    </row>
    <row r="1732" spans="55:55" ht="15.75" customHeight="1">
      <c r="BC1732" s="169"/>
    </row>
    <row r="1733" spans="55:55" ht="15.75" customHeight="1">
      <c r="BC1733" s="169"/>
    </row>
    <row r="1734" spans="55:55" ht="15.75" customHeight="1">
      <c r="BC1734" s="169"/>
    </row>
    <row r="1735" spans="55:55" ht="15.75" customHeight="1">
      <c r="BC1735" s="169"/>
    </row>
    <row r="1736" spans="55:55" ht="15.75" customHeight="1">
      <c r="BC1736" s="169"/>
    </row>
    <row r="1737" spans="55:55" ht="15.75" customHeight="1">
      <c r="BC1737" s="169"/>
    </row>
    <row r="1738" spans="55:55" ht="15.75" customHeight="1">
      <c r="BC1738" s="169"/>
    </row>
    <row r="1739" spans="55:55" ht="15.75" customHeight="1">
      <c r="BC1739" s="169"/>
    </row>
    <row r="1740" spans="55:55" ht="15.75" customHeight="1">
      <c r="BC1740" s="169"/>
    </row>
    <row r="1741" spans="55:55" ht="15.75" customHeight="1">
      <c r="BC1741" s="169"/>
    </row>
    <row r="1742" spans="55:55" ht="15.75" customHeight="1">
      <c r="BC1742" s="169"/>
    </row>
    <row r="1743" spans="55:55" ht="15.75" customHeight="1">
      <c r="BC1743" s="169"/>
    </row>
    <row r="1744" spans="55:55" ht="15.75" customHeight="1">
      <c r="BC1744" s="169"/>
    </row>
    <row r="1745" spans="55:55" ht="15.75" customHeight="1">
      <c r="BC1745" s="169"/>
    </row>
    <row r="1746" spans="55:55" ht="15.75" customHeight="1">
      <c r="BC1746" s="169"/>
    </row>
    <row r="1747" spans="55:55" ht="15.75" customHeight="1">
      <c r="BC1747" s="169"/>
    </row>
    <row r="1748" spans="55:55" ht="15.75" customHeight="1">
      <c r="BC1748" s="169"/>
    </row>
    <row r="1749" spans="55:55" ht="15.75" customHeight="1">
      <c r="BC1749" s="169"/>
    </row>
    <row r="1750" spans="55:55" ht="15.75" customHeight="1">
      <c r="BC1750" s="169"/>
    </row>
    <row r="1751" spans="55:55" ht="15.75" customHeight="1">
      <c r="BC1751" s="169"/>
    </row>
    <row r="1752" spans="55:55" ht="15.75" customHeight="1">
      <c r="BC1752" s="169"/>
    </row>
    <row r="1753" spans="55:55" ht="15.75" customHeight="1">
      <c r="BC1753" s="169"/>
    </row>
    <row r="1754" spans="55:55" ht="15.75" customHeight="1">
      <c r="BC1754" s="169"/>
    </row>
    <row r="1755" spans="55:55" ht="15.75" customHeight="1">
      <c r="BC1755" s="169"/>
    </row>
    <row r="1756" spans="55:55" ht="15.75" customHeight="1">
      <c r="BC1756" s="169"/>
    </row>
    <row r="1757" spans="55:55" ht="15.75" customHeight="1">
      <c r="BC1757" s="169"/>
    </row>
    <row r="1758" spans="55:55" ht="15.75" customHeight="1">
      <c r="BC1758" s="169"/>
    </row>
    <row r="1759" spans="55:55" ht="15.75" customHeight="1">
      <c r="BC1759" s="169"/>
    </row>
    <row r="1760" spans="55:55" ht="15.75" customHeight="1">
      <c r="BC1760" s="169"/>
    </row>
    <row r="1761" spans="55:55" ht="15.75" customHeight="1">
      <c r="BC1761" s="169"/>
    </row>
    <row r="1762" spans="55:55" ht="15.75" customHeight="1">
      <c r="BC1762" s="169"/>
    </row>
    <row r="1763" spans="55:55" ht="15.75" customHeight="1">
      <c r="BC1763" s="169"/>
    </row>
    <row r="1764" spans="55:55" ht="15.75" customHeight="1">
      <c r="BC1764" s="169"/>
    </row>
    <row r="1765" spans="55:55" ht="15.75" customHeight="1">
      <c r="BC1765" s="169"/>
    </row>
    <row r="1766" spans="55:55" ht="15.75" customHeight="1">
      <c r="BC1766" s="169"/>
    </row>
    <row r="1767" spans="55:55" ht="15.75" customHeight="1">
      <c r="BC1767" s="169"/>
    </row>
    <row r="1768" spans="55:55" ht="15.75" customHeight="1">
      <c r="BC1768" s="169"/>
    </row>
    <row r="1769" spans="55:55" ht="15.75" customHeight="1">
      <c r="BC1769" s="169"/>
    </row>
    <row r="1770" spans="55:55" ht="15.75" customHeight="1">
      <c r="BC1770" s="169"/>
    </row>
    <row r="1771" spans="55:55" ht="15.75" customHeight="1">
      <c r="BC1771" s="169"/>
    </row>
    <row r="1772" spans="55:55" ht="15.75" customHeight="1">
      <c r="BC1772" s="169"/>
    </row>
    <row r="1773" spans="55:55" ht="15.75" customHeight="1">
      <c r="BC1773" s="169"/>
    </row>
    <row r="1774" spans="55:55" ht="15.75" customHeight="1">
      <c r="BC1774" s="169"/>
    </row>
    <row r="1775" spans="55:55" ht="15.75" customHeight="1">
      <c r="BC1775" s="169"/>
    </row>
    <row r="1776" spans="55:55" ht="15.75" customHeight="1">
      <c r="BC1776" s="169"/>
    </row>
    <row r="1777" spans="55:55" ht="15.75" customHeight="1">
      <c r="BC1777" s="169"/>
    </row>
    <row r="1778" spans="55:55" ht="15.75" customHeight="1">
      <c r="BC1778" s="169"/>
    </row>
    <row r="1779" spans="55:55" ht="15.75" customHeight="1">
      <c r="BC1779" s="169"/>
    </row>
    <row r="1780" spans="55:55" ht="15.75" customHeight="1">
      <c r="BC1780" s="169"/>
    </row>
    <row r="1781" spans="55:55" ht="15.75" customHeight="1">
      <c r="BC1781" s="169"/>
    </row>
    <row r="1782" spans="55:55" ht="15.75" customHeight="1">
      <c r="BC1782" s="169"/>
    </row>
    <row r="1783" spans="55:55" ht="15.75" customHeight="1">
      <c r="BC1783" s="169"/>
    </row>
    <row r="1784" spans="55:55" ht="15.75" customHeight="1">
      <c r="BC1784" s="169"/>
    </row>
    <row r="1785" spans="55:55" ht="15.75" customHeight="1">
      <c r="BC1785" s="169"/>
    </row>
    <row r="1786" spans="55:55" ht="15.75" customHeight="1">
      <c r="BC1786" s="169"/>
    </row>
    <row r="1787" spans="55:55" ht="15.75" customHeight="1">
      <c r="BC1787" s="169"/>
    </row>
    <row r="1788" spans="55:55" ht="15.75" customHeight="1">
      <c r="BC1788" s="169"/>
    </row>
    <row r="1789" spans="55:55" ht="15.75" customHeight="1">
      <c r="BC1789" s="169"/>
    </row>
    <row r="1790" spans="55:55" ht="15.75" customHeight="1">
      <c r="BC1790" s="169"/>
    </row>
    <row r="1791" spans="55:55" ht="15.75" customHeight="1">
      <c r="BC1791" s="169"/>
    </row>
    <row r="1792" spans="55:55" ht="15.75" customHeight="1">
      <c r="BC1792" s="169"/>
    </row>
    <row r="1793" spans="55:55" ht="15.75" customHeight="1">
      <c r="BC1793" s="169"/>
    </row>
    <row r="1794" spans="55:55" ht="15.75" customHeight="1">
      <c r="BC1794" s="169"/>
    </row>
    <row r="1795" spans="55:55" ht="15.75" customHeight="1">
      <c r="BC1795" s="169"/>
    </row>
    <row r="1796" spans="55:55" ht="15.75" customHeight="1">
      <c r="BC1796" s="169"/>
    </row>
    <row r="1797" spans="55:55" ht="15.75" customHeight="1">
      <c r="BC1797" s="169"/>
    </row>
    <row r="1798" spans="55:55" ht="15.75" customHeight="1">
      <c r="BC1798" s="169"/>
    </row>
    <row r="1799" spans="55:55" ht="15.75" customHeight="1">
      <c r="BC1799" s="169"/>
    </row>
    <row r="1800" spans="55:55" ht="15.75" customHeight="1">
      <c r="BC1800" s="169"/>
    </row>
    <row r="1801" spans="55:55" ht="15.75" customHeight="1">
      <c r="BC1801" s="169"/>
    </row>
    <row r="1802" spans="55:55" ht="15.75" customHeight="1">
      <c r="BC1802" s="169"/>
    </row>
    <row r="1803" spans="55:55" ht="15.75" customHeight="1">
      <c r="BC1803" s="169"/>
    </row>
    <row r="1804" spans="55:55" ht="15.75" customHeight="1">
      <c r="BC1804" s="169"/>
    </row>
    <row r="1805" spans="55:55" ht="15.75" customHeight="1">
      <c r="BC1805" s="169"/>
    </row>
    <row r="1806" spans="55:55" ht="15.75" customHeight="1">
      <c r="BC1806" s="169"/>
    </row>
    <row r="1807" spans="55:55" ht="15.75" customHeight="1">
      <c r="BC1807" s="169"/>
    </row>
    <row r="1808" spans="55:55" ht="15.75" customHeight="1">
      <c r="BC1808" s="169"/>
    </row>
    <row r="1809" spans="55:55" ht="15.75" customHeight="1">
      <c r="BC1809" s="169"/>
    </row>
    <row r="1810" spans="55:55" ht="15.75" customHeight="1">
      <c r="BC1810" s="169"/>
    </row>
    <row r="1811" spans="55:55" ht="15.75" customHeight="1">
      <c r="BC1811" s="169"/>
    </row>
    <row r="1812" spans="55:55" ht="15.75" customHeight="1">
      <c r="BC1812" s="169"/>
    </row>
    <row r="1813" spans="55:55" ht="15.75" customHeight="1">
      <c r="BC1813" s="169"/>
    </row>
    <row r="1814" spans="55:55" ht="15.75" customHeight="1">
      <c r="BC1814" s="169"/>
    </row>
    <row r="1815" spans="55:55" ht="15.75" customHeight="1">
      <c r="BC1815" s="169"/>
    </row>
    <row r="1816" spans="55:55" ht="15.75" customHeight="1">
      <c r="BC1816" s="169"/>
    </row>
    <row r="1817" spans="55:55" ht="15.75" customHeight="1">
      <c r="BC1817" s="169"/>
    </row>
    <row r="1818" spans="55:55" ht="15.75" customHeight="1">
      <c r="BC1818" s="169"/>
    </row>
    <row r="1819" spans="55:55" ht="15.75" customHeight="1">
      <c r="BC1819" s="169"/>
    </row>
    <row r="1820" spans="55:55" ht="15.75" customHeight="1">
      <c r="BC1820" s="169"/>
    </row>
    <row r="1821" spans="55:55" ht="15.75" customHeight="1">
      <c r="BC1821" s="169"/>
    </row>
    <row r="1822" spans="55:55" ht="15.75" customHeight="1">
      <c r="BC1822" s="169"/>
    </row>
    <row r="1823" spans="55:55" ht="15.75" customHeight="1">
      <c r="BC1823" s="169"/>
    </row>
    <row r="1824" spans="55:55" ht="15.75" customHeight="1">
      <c r="BC1824" s="169"/>
    </row>
    <row r="1825" spans="55:55" ht="15.75" customHeight="1">
      <c r="BC1825" s="169"/>
    </row>
    <row r="1826" spans="55:55" ht="15.75" customHeight="1">
      <c r="BC1826" s="169"/>
    </row>
    <row r="1827" spans="55:55" ht="15.75" customHeight="1">
      <c r="BC1827" s="169"/>
    </row>
    <row r="1828" spans="55:55" ht="15.75" customHeight="1">
      <c r="BC1828" s="169"/>
    </row>
    <row r="1829" spans="55:55" ht="15.75" customHeight="1">
      <c r="BC1829" s="169"/>
    </row>
    <row r="1830" spans="55:55" ht="15.75" customHeight="1">
      <c r="BC1830" s="169"/>
    </row>
    <row r="1831" spans="55:55" ht="15.75" customHeight="1">
      <c r="BC1831" s="169"/>
    </row>
    <row r="1832" spans="55:55" ht="15.75" customHeight="1">
      <c r="BC1832" s="169"/>
    </row>
    <row r="1833" spans="55:55" ht="15.75" customHeight="1">
      <c r="BC1833" s="169"/>
    </row>
    <row r="1834" spans="55:55" ht="15.75" customHeight="1">
      <c r="BC1834" s="169"/>
    </row>
    <row r="1835" spans="55:55" ht="15.75" customHeight="1">
      <c r="BC1835" s="169"/>
    </row>
    <row r="1836" spans="55:55" ht="15.75" customHeight="1">
      <c r="BC1836" s="169"/>
    </row>
    <row r="1837" spans="55:55" ht="15.75" customHeight="1">
      <c r="BC1837" s="169"/>
    </row>
    <row r="1838" spans="55:55" ht="15.75" customHeight="1">
      <c r="BC1838" s="169"/>
    </row>
    <row r="1839" spans="55:55" ht="15.75" customHeight="1">
      <c r="BC1839" s="169"/>
    </row>
    <row r="1840" spans="55:55" ht="15.75" customHeight="1">
      <c r="BC1840" s="169"/>
    </row>
    <row r="1841" spans="55:55" ht="15.75" customHeight="1">
      <c r="BC1841" s="169"/>
    </row>
    <row r="1842" spans="55:55" ht="15.75" customHeight="1">
      <c r="BC1842" s="169"/>
    </row>
    <row r="1843" spans="55:55" ht="15.75" customHeight="1">
      <c r="BC1843" s="169"/>
    </row>
    <row r="1844" spans="55:55" ht="15.75" customHeight="1">
      <c r="BC1844" s="169"/>
    </row>
    <row r="1845" spans="55:55" ht="15.75" customHeight="1">
      <c r="BC1845" s="169"/>
    </row>
    <row r="1846" spans="55:55" ht="15.75" customHeight="1">
      <c r="BC1846" s="169"/>
    </row>
    <row r="1847" spans="55:55" ht="15.75" customHeight="1">
      <c r="BC1847" s="169"/>
    </row>
    <row r="1848" spans="55:55" ht="15.75" customHeight="1">
      <c r="BC1848" s="169"/>
    </row>
    <row r="1849" spans="55:55" ht="15.75" customHeight="1">
      <c r="BC1849" s="169"/>
    </row>
    <row r="1850" spans="55:55" ht="15.75" customHeight="1">
      <c r="BC1850" s="169"/>
    </row>
    <row r="1851" spans="55:55" ht="15.75" customHeight="1">
      <c r="BC1851" s="169"/>
    </row>
    <row r="1852" spans="55:55" ht="15.75" customHeight="1">
      <c r="BC1852" s="169"/>
    </row>
    <row r="1853" spans="55:55" ht="15.75" customHeight="1">
      <c r="BC1853" s="169"/>
    </row>
    <row r="1854" spans="55:55" ht="15.75" customHeight="1">
      <c r="BC1854" s="169"/>
    </row>
    <row r="1855" spans="55:55" ht="15.75" customHeight="1">
      <c r="BC1855" s="169"/>
    </row>
    <row r="1856" spans="55:55" ht="15.75" customHeight="1">
      <c r="BC1856" s="169"/>
    </row>
    <row r="1857" spans="55:55" ht="15.75" customHeight="1">
      <c r="BC1857" s="169"/>
    </row>
    <row r="1858" spans="55:55" ht="15.75" customHeight="1">
      <c r="BC1858" s="169"/>
    </row>
    <row r="1859" spans="55:55" ht="15.75" customHeight="1">
      <c r="BC1859" s="169"/>
    </row>
    <row r="1860" spans="55:55" ht="15.75" customHeight="1">
      <c r="BC1860" s="169"/>
    </row>
    <row r="1861" spans="55:55" ht="15.75" customHeight="1">
      <c r="BC1861" s="169"/>
    </row>
    <row r="1862" spans="55:55" ht="15.75" customHeight="1">
      <c r="BC1862" s="169"/>
    </row>
    <row r="1863" spans="55:55" ht="15.75" customHeight="1">
      <c r="BC1863" s="169"/>
    </row>
    <row r="1864" spans="55:55" ht="15.75" customHeight="1">
      <c r="BC1864" s="169"/>
    </row>
    <row r="1865" spans="55:55" ht="15.75" customHeight="1">
      <c r="BC1865" s="169"/>
    </row>
    <row r="1866" spans="55:55" ht="15.75" customHeight="1">
      <c r="BC1866" s="169"/>
    </row>
    <row r="1867" spans="55:55" ht="15.75" customHeight="1">
      <c r="BC1867" s="169"/>
    </row>
    <row r="1868" spans="55:55" ht="15.75" customHeight="1">
      <c r="BC1868" s="169"/>
    </row>
    <row r="1869" spans="55:55" ht="15.75" customHeight="1">
      <c r="BC1869" s="169"/>
    </row>
    <row r="1870" spans="55:55" ht="15.75" customHeight="1">
      <c r="BC1870" s="169"/>
    </row>
    <row r="1871" spans="55:55" ht="15.75" customHeight="1">
      <c r="BC1871" s="169"/>
    </row>
    <row r="1872" spans="55:55" ht="15.75" customHeight="1">
      <c r="BC1872" s="169"/>
    </row>
    <row r="1873" spans="55:55" ht="15.75" customHeight="1">
      <c r="BC1873" s="169"/>
    </row>
    <row r="1874" spans="55:55" ht="15.75" customHeight="1">
      <c r="BC1874" s="169"/>
    </row>
    <row r="1875" spans="55:55" ht="15.75" customHeight="1">
      <c r="BC1875" s="169"/>
    </row>
    <row r="1876" spans="55:55" ht="15.75" customHeight="1">
      <c r="BC1876" s="169"/>
    </row>
    <row r="1877" spans="55:55" ht="15.75" customHeight="1">
      <c r="BC1877" s="169"/>
    </row>
    <row r="1878" spans="55:55" ht="15.75" customHeight="1">
      <c r="BC1878" s="169"/>
    </row>
    <row r="1879" spans="55:55" ht="15.75" customHeight="1">
      <c r="BC1879" s="169"/>
    </row>
    <row r="1880" spans="55:55" ht="15.75" customHeight="1">
      <c r="BC1880" s="169"/>
    </row>
    <row r="1881" spans="55:55" ht="15.75" customHeight="1">
      <c r="BC1881" s="169"/>
    </row>
    <row r="1882" spans="55:55" ht="15.75" customHeight="1">
      <c r="BC1882" s="169"/>
    </row>
    <row r="1883" spans="55:55" ht="15.75" customHeight="1">
      <c r="BC1883" s="169"/>
    </row>
    <row r="1884" spans="55:55" ht="15.75" customHeight="1">
      <c r="BC1884" s="169"/>
    </row>
    <row r="1885" spans="55:55" ht="15.75" customHeight="1">
      <c r="BC1885" s="169"/>
    </row>
    <row r="1886" spans="55:55" ht="15.75" customHeight="1">
      <c r="BC1886" s="169"/>
    </row>
    <row r="1887" spans="55:55" ht="15.75" customHeight="1">
      <c r="BC1887" s="169"/>
    </row>
    <row r="1888" spans="55:55" ht="15.75" customHeight="1">
      <c r="BC1888" s="169"/>
    </row>
    <row r="1889" spans="55:55" ht="15.75" customHeight="1">
      <c r="BC1889" s="169"/>
    </row>
    <row r="1890" spans="55:55" ht="15.75" customHeight="1">
      <c r="BC1890" s="169"/>
    </row>
    <row r="1891" spans="55:55" ht="15.75" customHeight="1">
      <c r="BC1891" s="169"/>
    </row>
    <row r="1892" spans="55:55" ht="15.75" customHeight="1">
      <c r="BC1892" s="169"/>
    </row>
    <row r="1893" spans="55:55" ht="15.75" customHeight="1">
      <c r="BC1893" s="169"/>
    </row>
    <row r="1894" spans="55:55" ht="15.75" customHeight="1">
      <c r="BC1894" s="169"/>
    </row>
    <row r="1895" spans="55:55" ht="15.75" customHeight="1">
      <c r="BC1895" s="169"/>
    </row>
    <row r="1896" spans="55:55" ht="15.75" customHeight="1">
      <c r="BC1896" s="169"/>
    </row>
    <row r="1897" spans="55:55" ht="15.75" customHeight="1">
      <c r="BC1897" s="169"/>
    </row>
    <row r="1898" spans="55:55" ht="15.75" customHeight="1">
      <c r="BC1898" s="169"/>
    </row>
    <row r="1899" spans="55:55" ht="15.75" customHeight="1">
      <c r="BC1899" s="169"/>
    </row>
    <row r="1900" spans="55:55" ht="15.75" customHeight="1">
      <c r="BC1900" s="169"/>
    </row>
    <row r="1901" spans="55:55" ht="15.75" customHeight="1">
      <c r="BC1901" s="169"/>
    </row>
    <row r="1902" spans="55:55" ht="15.75" customHeight="1">
      <c r="BC1902" s="169"/>
    </row>
    <row r="1903" spans="55:55" ht="15.75" customHeight="1">
      <c r="BC1903" s="169"/>
    </row>
    <row r="1904" spans="55:55" ht="15.75" customHeight="1">
      <c r="BC1904" s="169"/>
    </row>
    <row r="1905" spans="55:55" ht="15.75" customHeight="1">
      <c r="BC1905" s="169"/>
    </row>
    <row r="1906" spans="55:55" ht="15.75" customHeight="1">
      <c r="BC1906" s="169"/>
    </row>
    <row r="1907" spans="55:55" ht="15.75" customHeight="1">
      <c r="BC1907" s="169"/>
    </row>
    <row r="1908" spans="55:55" ht="15.75" customHeight="1">
      <c r="BC1908" s="169"/>
    </row>
    <row r="1909" spans="55:55" ht="15.75" customHeight="1">
      <c r="BC1909" s="169"/>
    </row>
    <row r="1910" spans="55:55" ht="15.75" customHeight="1">
      <c r="BC1910" s="169"/>
    </row>
    <row r="1911" spans="55:55" ht="15.75" customHeight="1">
      <c r="BC1911" s="169"/>
    </row>
    <row r="1912" spans="55:55" ht="15.75" customHeight="1">
      <c r="BC1912" s="169"/>
    </row>
    <row r="1913" spans="55:55" ht="15.75" customHeight="1">
      <c r="BC1913" s="169"/>
    </row>
    <row r="1914" spans="55:55" ht="15.75" customHeight="1">
      <c r="BC1914" s="169"/>
    </row>
    <row r="1915" spans="55:55" ht="15.75" customHeight="1">
      <c r="BC1915" s="169"/>
    </row>
    <row r="1916" spans="55:55" ht="15.75" customHeight="1">
      <c r="BC1916" s="169"/>
    </row>
    <row r="1917" spans="55:55" ht="15.75" customHeight="1">
      <c r="BC1917" s="169"/>
    </row>
    <row r="1918" spans="55:55" ht="15.75" customHeight="1">
      <c r="BC1918" s="169"/>
    </row>
    <row r="1919" spans="55:55" ht="15.75" customHeight="1">
      <c r="BC1919" s="169"/>
    </row>
    <row r="1920" spans="55:55" ht="15.75" customHeight="1">
      <c r="BC1920" s="169"/>
    </row>
    <row r="1921" spans="55:55" ht="15.75" customHeight="1">
      <c r="BC1921" s="169"/>
    </row>
    <row r="1922" spans="55:55" ht="15.75" customHeight="1">
      <c r="BC1922" s="169"/>
    </row>
    <row r="1923" spans="55:55" ht="15.75" customHeight="1">
      <c r="BC1923" s="169"/>
    </row>
    <row r="1924" spans="55:55" ht="15.75" customHeight="1">
      <c r="BC1924" s="169"/>
    </row>
    <row r="1925" spans="55:55" ht="15.75" customHeight="1">
      <c r="BC1925" s="169"/>
    </row>
    <row r="1926" spans="55:55" ht="15.75" customHeight="1">
      <c r="BC1926" s="169"/>
    </row>
    <row r="1927" spans="55:55" ht="15.75" customHeight="1">
      <c r="BC1927" s="169"/>
    </row>
    <row r="1928" spans="55:55" ht="15.75" customHeight="1">
      <c r="BC1928" s="169"/>
    </row>
    <row r="1929" spans="55:55" ht="15.75" customHeight="1">
      <c r="BC1929" s="169"/>
    </row>
    <row r="1930" spans="55:55" ht="15.75" customHeight="1">
      <c r="BC1930" s="169"/>
    </row>
    <row r="1931" spans="55:55" ht="15.75" customHeight="1">
      <c r="BC1931" s="169"/>
    </row>
    <row r="1932" spans="55:55" ht="15.75" customHeight="1">
      <c r="BC1932" s="169"/>
    </row>
    <row r="1933" spans="55:55" ht="15.75" customHeight="1">
      <c r="BC1933" s="169"/>
    </row>
    <row r="1934" spans="55:55" ht="15.75" customHeight="1">
      <c r="BC1934" s="169"/>
    </row>
    <row r="1935" spans="55:55" ht="15.75" customHeight="1">
      <c r="BC1935" s="169"/>
    </row>
    <row r="1936" spans="55:55" ht="15.75" customHeight="1">
      <c r="BC1936" s="169"/>
    </row>
    <row r="1937" spans="55:55" ht="15.75" customHeight="1">
      <c r="BC1937" s="169"/>
    </row>
    <row r="1938" spans="55:55" ht="15.75" customHeight="1">
      <c r="BC1938" s="169"/>
    </row>
    <row r="1939" spans="55:55" ht="15.75" customHeight="1">
      <c r="BC1939" s="169"/>
    </row>
    <row r="1940" spans="55:55" ht="15.75" customHeight="1">
      <c r="BC1940" s="169"/>
    </row>
    <row r="1941" spans="55:55" ht="15.75" customHeight="1">
      <c r="BC1941" s="169"/>
    </row>
    <row r="1942" spans="55:55" ht="15.75" customHeight="1">
      <c r="BC1942" s="169"/>
    </row>
    <row r="1943" spans="55:55" ht="15.75" customHeight="1">
      <c r="BC1943" s="169"/>
    </row>
    <row r="1944" spans="55:55" ht="15.75" customHeight="1">
      <c r="BC1944" s="169"/>
    </row>
    <row r="1945" spans="55:55" ht="15.75" customHeight="1">
      <c r="BC1945" s="169"/>
    </row>
    <row r="1946" spans="55:55" ht="15.75" customHeight="1">
      <c r="BC1946" s="169"/>
    </row>
    <row r="1947" spans="55:55" ht="15.75" customHeight="1">
      <c r="BC1947" s="169"/>
    </row>
    <row r="1948" spans="55:55" ht="15.75" customHeight="1">
      <c r="BC1948" s="169"/>
    </row>
    <row r="1949" spans="55:55" ht="15.75" customHeight="1">
      <c r="BC1949" s="169"/>
    </row>
    <row r="1950" spans="55:55" ht="15.75" customHeight="1">
      <c r="BC1950" s="169"/>
    </row>
    <row r="1951" spans="55:55" ht="15.75" customHeight="1">
      <c r="BC1951" s="169"/>
    </row>
    <row r="1952" spans="55:55" ht="15.75" customHeight="1">
      <c r="BC1952" s="169"/>
    </row>
    <row r="1953" spans="55:55" ht="15.75" customHeight="1">
      <c r="BC1953" s="169"/>
    </row>
    <row r="1954" spans="55:55" ht="15.75" customHeight="1">
      <c r="BC1954" s="169"/>
    </row>
    <row r="1955" spans="55:55" ht="15.75" customHeight="1">
      <c r="BC1955" s="169"/>
    </row>
    <row r="1956" spans="55:55" ht="15.75" customHeight="1">
      <c r="BC1956" s="169"/>
    </row>
    <row r="1957" spans="55:55" ht="15.75" customHeight="1">
      <c r="BC1957" s="169"/>
    </row>
    <row r="1958" spans="55:55" ht="15.75" customHeight="1">
      <c r="BC1958" s="169"/>
    </row>
    <row r="1959" spans="55:55" ht="15.75" customHeight="1">
      <c r="BC1959" s="169"/>
    </row>
    <row r="1960" spans="55:55" ht="15.75" customHeight="1">
      <c r="BC1960" s="169"/>
    </row>
    <row r="1961" spans="55:55" ht="15.75" customHeight="1">
      <c r="BC1961" s="169"/>
    </row>
    <row r="1962" spans="55:55" ht="15.75" customHeight="1">
      <c r="BC1962" s="169"/>
    </row>
    <row r="1963" spans="55:55" ht="15.75" customHeight="1">
      <c r="BC1963" s="169"/>
    </row>
    <row r="1964" spans="55:55" ht="15.75" customHeight="1">
      <c r="BC1964" s="169"/>
    </row>
    <row r="1965" spans="55:55" ht="15.75" customHeight="1">
      <c r="BC1965" s="169"/>
    </row>
    <row r="1966" spans="55:55" ht="15.75" customHeight="1">
      <c r="BC1966" s="169"/>
    </row>
    <row r="1967" spans="55:55" ht="15.75" customHeight="1">
      <c r="BC1967" s="169"/>
    </row>
    <row r="1968" spans="55:55" ht="15.75" customHeight="1">
      <c r="BC1968" s="169"/>
    </row>
    <row r="1969" spans="55:55" ht="15.75" customHeight="1">
      <c r="BC1969" s="169"/>
    </row>
    <row r="1970" spans="55:55" ht="15.75" customHeight="1">
      <c r="BC1970" s="169"/>
    </row>
    <row r="1971" spans="55:55" ht="15.75" customHeight="1">
      <c r="BC1971" s="169"/>
    </row>
    <row r="1972" spans="55:55" ht="15.75" customHeight="1">
      <c r="BC1972" s="169"/>
    </row>
    <row r="1973" spans="55:55" ht="15.75" customHeight="1">
      <c r="BC1973" s="169"/>
    </row>
    <row r="1974" spans="55:55" ht="15.75" customHeight="1">
      <c r="BC1974" s="169"/>
    </row>
    <row r="1975" spans="55:55" ht="15.75" customHeight="1">
      <c r="BC1975" s="169"/>
    </row>
    <row r="1976" spans="55:55" ht="15.75" customHeight="1">
      <c r="BC1976" s="169"/>
    </row>
    <row r="1977" spans="55:55" ht="15.75" customHeight="1">
      <c r="BC1977" s="169"/>
    </row>
    <row r="1978" spans="55:55" ht="15.75" customHeight="1">
      <c r="BC1978" s="169"/>
    </row>
    <row r="1979" spans="55:55" ht="15.75" customHeight="1">
      <c r="BC1979" s="169"/>
    </row>
    <row r="1980" spans="55:55" ht="15.75" customHeight="1">
      <c r="BC1980" s="169"/>
    </row>
    <row r="1981" spans="55:55" ht="15.75" customHeight="1">
      <c r="BC1981" s="169"/>
    </row>
    <row r="1982" spans="55:55" ht="15.75" customHeight="1">
      <c r="BC1982" s="169"/>
    </row>
    <row r="1983" spans="55:55" ht="15.75" customHeight="1">
      <c r="BC1983" s="169"/>
    </row>
    <row r="1984" spans="55:55" ht="15.75" customHeight="1">
      <c r="BC1984" s="169"/>
    </row>
    <row r="1985" spans="55:55" ht="15.75" customHeight="1">
      <c r="BC1985" s="169"/>
    </row>
    <row r="1986" spans="55:55" ht="15.75" customHeight="1">
      <c r="BC1986" s="169"/>
    </row>
    <row r="1987" spans="55:55" ht="15.75" customHeight="1">
      <c r="BC1987" s="169"/>
    </row>
    <row r="1988" spans="55:55" ht="15.75" customHeight="1">
      <c r="BC1988" s="169"/>
    </row>
    <row r="1989" spans="55:55" ht="15.75" customHeight="1">
      <c r="BC1989" s="169"/>
    </row>
    <row r="1990" spans="55:55" ht="15.75" customHeight="1">
      <c r="BC1990" s="169"/>
    </row>
    <row r="1991" spans="55:55" ht="15.75" customHeight="1">
      <c r="BC1991" s="169"/>
    </row>
    <row r="1992" spans="55:55" ht="15.75" customHeight="1">
      <c r="BC1992" s="169"/>
    </row>
    <row r="1993" spans="55:55" ht="15.75" customHeight="1">
      <c r="BC1993" s="169"/>
    </row>
    <row r="1994" spans="55:55" ht="15.75" customHeight="1">
      <c r="BC1994" s="169"/>
    </row>
    <row r="1995" spans="55:55" ht="15.75" customHeight="1">
      <c r="BC1995" s="169"/>
    </row>
    <row r="1996" spans="55:55" ht="15.75" customHeight="1">
      <c r="BC1996" s="169"/>
    </row>
    <row r="1997" spans="55:55" ht="15.75" customHeight="1">
      <c r="BC1997" s="169"/>
    </row>
    <row r="1998" spans="55:55" ht="15.75" customHeight="1">
      <c r="BC1998" s="169"/>
    </row>
    <row r="1999" spans="55:55" ht="15.75" customHeight="1">
      <c r="BC1999" s="169"/>
    </row>
    <row r="2000" spans="55:55" ht="15.75" customHeight="1">
      <c r="BC2000" s="169"/>
    </row>
  </sheetData>
  <autoFilter ref="A2:BG345" xr:uid="{00000000-0009-0000-0000-00000B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autoFilter>
  <mergeCells count="10">
    <mergeCell ref="BD1:BG1"/>
    <mergeCell ref="AN2:AP2"/>
    <mergeCell ref="AQ2:AS2"/>
    <mergeCell ref="AT2:AV2"/>
    <mergeCell ref="A1:BB1"/>
    <mergeCell ref="N2:P2"/>
    <mergeCell ref="T2:V2"/>
    <mergeCell ref="W2:Y2"/>
    <mergeCell ref="Z2:AB2"/>
    <mergeCell ref="AC2:AE2"/>
  </mergeCells>
  <phoneticPr fontId="130" type="noConversion"/>
  <conditionalFormatting sqref="BH338:XFD341">
    <cfRule type="cellIs" dxfId="1265" priority="91" operator="equal">
      <formula>0</formula>
    </cfRule>
  </conditionalFormatting>
  <conditionalFormatting sqref="B67:BA69 B65:BA65 B85:BA87 B10:BA63 B89:BA341">
    <cfRule type="expression" dxfId="1264" priority="86">
      <formula>$M10="NON DEFINED"</formula>
    </cfRule>
    <cfRule type="expression" dxfId="1263" priority="87">
      <formula>$AY10="N.D."</formula>
    </cfRule>
  </conditionalFormatting>
  <conditionalFormatting sqref="BD10:BE10 BD12:BE12 BD11 BD14:BE14 BD16:BE16 BD18:BE18 BD17 BD20:BE20 BD22:BE22 BD21 BD24:BE24 BD26:BE26 BD28:BE28 BD27 BD30:BE30 BD32:BE32 BD34:BE34 BD36:BE36 BD35 BD38:BE38 BD40:BE40 BD42:BE42 BD44:BE44 BD43 BD46:BE46 BD48:BE48 BD50:BE50 BD52:BE52 BD54:BE54 BD53 BD58:BE58 BD60:BE60 BD62:BE62 BE86 BD90:BE90 BD92:BE92 BD94:BG94 BD98:BG98 BD100:BG100 BD102:BG102 BD104:BG104 BD106:BG106 BD108:BG108 BD110:BG110 BD112:BG112 BD114:BG114 BD116:BG116 BD115 BD118:BG118 BD120:BG120 BD122:BG122 BD121 BD124:BG124 BD123 BD126:BG126 BD128:BG128 BD130:BG130 BD129 BD132:BG132 BD131 BD134:BG134 BD136:BG136 BD135 BD138:BG138 BD137 BD140:BG140 BD139 BD142:BG142 BD144:BG144 BD143 BD146:BG146 BD148:BG148 BD147 BD150:BG150 BD149 BD152:BG152 BD154:BG154 BD153 BD156:BG156 BD158:BG158 BD160:BG160 BD162:BG162 BD164:BG164 BD163 BD166:BG166 BD165 BD168:BG168 BD167 BD170:BG170 BD172:BG172 BD174:BG174 BD176:BG176 BD175 BD178:BG178 BD180:BG180 BD179 BD182:BG182 BD181 BD184:BG184 BD183 BD186:BG186 BD188:BG188 BD187 BD190:BG190 BD192:BG192 BD194:BG194 BD193 BD196:BG196 BD198:BG198 BD200:BG200 BD199 BD202:BG202 BD204:BG204 BD203 BD206:BG206 BD208:BG208 BD207 BD210:BG210 BD209 BD212:BG212 BD214:BG214 BD216:BG216 BD218:BG218 BD217 BD220:BG220 BD222:BG222 BD221 BD224:BG224 BD226:BG226 BD228:BG228 BD230:BG230 BD229 BD232:BG232 BD231 BD234:BG234 BD236:BG236 BD235 BD238:BG238 BD237 BD240:BG240 BD239 BD242:BG242 BD244:BG244 BD246:BG246 BD248:BG248 BD247 BD250:BG250 BD252:BG252 BD254:BG254 BD256:BE256 BD255 BD258:BE258 BD260:BE260 BD262:BE262 BD264:BG264 BD263 BD266:BG266 BD268:BG268 BD270:BG270 BD272:BG272 BD274:BG274 BD276:BG276 BD278:BG278 BD280:BG280 BD282:BG282 BD284:BG284 BD283 BD286:BG286 BD285 BD288:BG288 BD290:BG290 BD292:BG292 BD294:BG294 BD296:BG296 BE298:BG298 BE300:BG300 BE302:BF302 BE304:BF304 BE306:BF306 BE308:BF308 BD310:BF310 BD312:BF312 BD314:BF314 BD313 BD316:BG316 BD318:BF318 BD320:BF320 BD319 BD322:BG322 BD321 BD324:BG324 BD326:BF326 BD328:BF328 BD327 BD330:BF330 BD329 BD332:BF332 BD334:BF334 BD336:BF336 BD338:BF338 BD337 BD340:BF340 BD339 BD341 BG92 BG86 BG62 BG58 BG54 BG52 BG50 BG48 BG46 BG44 BG42 BG40 BG38 BG36 BG34 BG32 BG30 BG28 BG26 BG24 BG22 BG20 BG18 BG16 BG14 BG12 BG10 BG262 BG260 BG258 BG256 BD113 BD96:BG96 BD93:BD94 BD108:BD111 BD99:BD106 BD90:BD91 BD85 BD68:BE68 BD65 BD58:BD62 BD56:BE56 BD332:BD333 BD275:BD278">
    <cfRule type="containsBlanks" dxfId="1262" priority="82">
      <formula>LEN(TRIM(BD10))=0</formula>
    </cfRule>
  </conditionalFormatting>
  <conditionalFormatting sqref="BC10:BC63 BC346:BC2000 BC65 BC85:BC87 BC67:BC69 BC89:BC341">
    <cfRule type="containsText" dxfId="1261" priority="80" operator="containsText" text="a">
      <formula>NOT(ISERROR(SEARCH("a",BC10)))</formula>
    </cfRule>
    <cfRule type="containsText" dxfId="1260" priority="81" operator="containsText" text="R">
      <formula>NOT(ISERROR(SEARCH("R",BC10)))</formula>
    </cfRule>
  </conditionalFormatting>
  <conditionalFormatting sqref="BA10:BA63 BA65 BA85:BA87 BA67:BA69 BA89:BA341">
    <cfRule type="expression" dxfId="1259" priority="79">
      <formula>$BC10="R"</formula>
    </cfRule>
  </conditionalFormatting>
  <conditionalFormatting sqref="BC4:BG9">
    <cfRule type="cellIs" dxfId="1258" priority="69" operator="equal">
      <formula>0</formula>
    </cfRule>
  </conditionalFormatting>
  <conditionalFormatting sqref="A4:BB9">
    <cfRule type="cellIs" dxfId="1257" priority="73" operator="equal">
      <formula>0</formula>
    </cfRule>
  </conditionalFormatting>
  <conditionalFormatting sqref="B4:BA9 BC4:BG9">
    <cfRule type="expression" dxfId="1256" priority="71">
      <formula>$M4="NON DEFINED"</formula>
    </cfRule>
    <cfRule type="expression" dxfId="1255" priority="72">
      <formula>$AY4="N.D."</formula>
    </cfRule>
  </conditionalFormatting>
  <conditionalFormatting sqref="BA4:BA9">
    <cfRule type="expression" dxfId="1254" priority="70">
      <formula>$BC4="R"</formula>
    </cfRule>
  </conditionalFormatting>
  <conditionalFormatting sqref="BC342:BG345">
    <cfRule type="cellIs" dxfId="1253" priority="59" operator="equal">
      <formula>0</formula>
    </cfRule>
  </conditionalFormatting>
  <conditionalFormatting sqref="A342:BB345">
    <cfRule type="cellIs" dxfId="1252" priority="63" operator="equal">
      <formula>0</formula>
    </cfRule>
  </conditionalFormatting>
  <conditionalFormatting sqref="B342:BA345 BC342:BG345">
    <cfRule type="expression" dxfId="1251" priority="61">
      <formula>$M342="NON DEFINED"</formula>
    </cfRule>
    <cfRule type="expression" dxfId="1250" priority="62">
      <formula>$AY342="N.D."</formula>
    </cfRule>
  </conditionalFormatting>
  <conditionalFormatting sqref="BA342:BA345">
    <cfRule type="expression" dxfId="1249" priority="60">
      <formula>$BC342="R"</formula>
    </cfRule>
  </conditionalFormatting>
  <conditionalFormatting sqref="AN4:AN63 AN65 AN85:AN87 AN67:AN69 AN89:AN345">
    <cfRule type="cellIs" dxfId="1248" priority="58" operator="notEqual">
      <formula>5.5</formula>
    </cfRule>
  </conditionalFormatting>
  <conditionalFormatting sqref="BG318">
    <cfRule type="containsBlanks" dxfId="1247" priority="57">
      <formula>LEN(TRIM(BG318))=0</formula>
    </cfRule>
  </conditionalFormatting>
  <conditionalFormatting sqref="BG336 BG338 BG340">
    <cfRule type="containsBlanks" dxfId="1246" priority="56">
      <formula>LEN(TRIM(BG336))=0</formula>
    </cfRule>
  </conditionalFormatting>
  <conditionalFormatting sqref="BD297">
    <cfRule type="containsBlanks" dxfId="1245" priority="55">
      <formula>LEN(TRIM(BD297))=0</formula>
    </cfRule>
  </conditionalFormatting>
  <conditionalFormatting sqref="BD298">
    <cfRule type="containsBlanks" dxfId="1244" priority="54">
      <formula>LEN(TRIM(BD298))=0</formula>
    </cfRule>
  </conditionalFormatting>
  <conditionalFormatting sqref="BD299">
    <cfRule type="containsBlanks" dxfId="1243" priority="53">
      <formula>LEN(TRIM(BD299))=0</formula>
    </cfRule>
  </conditionalFormatting>
  <conditionalFormatting sqref="BD300">
    <cfRule type="containsBlanks" dxfId="1242" priority="52">
      <formula>LEN(TRIM(BD300))=0</formula>
    </cfRule>
  </conditionalFormatting>
  <conditionalFormatting sqref="BD302">
    <cfRule type="containsBlanks" dxfId="1241" priority="51">
      <formula>LEN(TRIM(BD302))=0</formula>
    </cfRule>
  </conditionalFormatting>
  <conditionalFormatting sqref="BD304">
    <cfRule type="containsBlanks" dxfId="1240" priority="50">
      <formula>LEN(TRIM(BD304))=0</formula>
    </cfRule>
  </conditionalFormatting>
  <conditionalFormatting sqref="BD306">
    <cfRule type="containsBlanks" dxfId="1239" priority="49">
      <formula>LEN(TRIM(BD306))=0</formula>
    </cfRule>
  </conditionalFormatting>
  <conditionalFormatting sqref="BD307">
    <cfRule type="containsBlanks" dxfId="1238" priority="48">
      <formula>LEN(TRIM(BD307))=0</formula>
    </cfRule>
  </conditionalFormatting>
  <conditionalFormatting sqref="BD308">
    <cfRule type="containsBlanks" dxfId="1237" priority="47">
      <formula>LEN(TRIM(BD308))=0</formula>
    </cfRule>
  </conditionalFormatting>
  <conditionalFormatting sqref="BD309">
    <cfRule type="containsBlanks" dxfId="1236" priority="46">
      <formula>LEN(TRIM(BD309))=0</formula>
    </cfRule>
  </conditionalFormatting>
  <conditionalFormatting sqref="BG56">
    <cfRule type="containsBlanks" dxfId="1235" priority="42">
      <formula>LEN(TRIM(BG56))=0</formula>
    </cfRule>
  </conditionalFormatting>
  <conditionalFormatting sqref="BG60">
    <cfRule type="containsBlanks" dxfId="1234" priority="41">
      <formula>LEN(TRIM(BG60))=0</formula>
    </cfRule>
  </conditionalFormatting>
  <conditionalFormatting sqref="BG90">
    <cfRule type="containsBlanks" dxfId="1233" priority="40">
      <formula>LEN(TRIM(BG90))=0</formula>
    </cfRule>
  </conditionalFormatting>
  <conditionalFormatting sqref="BG302 BG304 BG306 BG308">
    <cfRule type="containsBlanks" dxfId="1232" priority="39">
      <formula>LEN(TRIM(BG302))=0</formula>
    </cfRule>
  </conditionalFormatting>
  <conditionalFormatting sqref="BG320">
    <cfRule type="containsBlanks" dxfId="1231" priority="38">
      <formula>LEN(TRIM(BG320))=0</formula>
    </cfRule>
  </conditionalFormatting>
  <conditionalFormatting sqref="BG332 BG334">
    <cfRule type="containsBlanks" dxfId="1230" priority="37">
      <formula>LEN(TRIM(BG332))=0</formula>
    </cfRule>
  </conditionalFormatting>
  <conditionalFormatting sqref="BG326 BG328 BG330">
    <cfRule type="containsBlanks" dxfId="1229" priority="36">
      <formula>LEN(TRIM(BG326))=0</formula>
    </cfRule>
  </conditionalFormatting>
  <conditionalFormatting sqref="BG310 BG312 BG314">
    <cfRule type="containsBlanks" dxfId="1228" priority="35">
      <formula>LEN(TRIM(BG310))=0</formula>
    </cfRule>
  </conditionalFormatting>
  <conditionalFormatting sqref="B64:BA64">
    <cfRule type="expression" dxfId="1227" priority="33">
      <formula>$M64="NON DEFINED"</formula>
    </cfRule>
    <cfRule type="expression" dxfId="1226" priority="34">
      <formula>$AY64="N.D."</formula>
    </cfRule>
  </conditionalFormatting>
  <conditionalFormatting sqref="BD64">
    <cfRule type="containsBlanks" dxfId="1225" priority="32">
      <formula>LEN(TRIM(BD64))=0</formula>
    </cfRule>
  </conditionalFormatting>
  <conditionalFormatting sqref="BC64">
    <cfRule type="containsText" dxfId="1224" priority="30" operator="containsText" text="a">
      <formula>NOT(ISERROR(SEARCH("a",BC64)))</formula>
    </cfRule>
    <cfRule type="containsText" dxfId="1223" priority="31" operator="containsText" text="R">
      <formula>NOT(ISERROR(SEARCH("R",BC64)))</formula>
    </cfRule>
  </conditionalFormatting>
  <conditionalFormatting sqref="BA64">
    <cfRule type="expression" dxfId="1222" priority="29">
      <formula>$BC64="R"</formula>
    </cfRule>
  </conditionalFormatting>
  <conditionalFormatting sqref="AN64">
    <cfRule type="cellIs" dxfId="1221" priority="28" operator="notEqual">
      <formula>5.5</formula>
    </cfRule>
  </conditionalFormatting>
  <conditionalFormatting sqref="B70:BA83">
    <cfRule type="expression" dxfId="1220" priority="26">
      <formula>$M70="NON DEFINED"</formula>
    </cfRule>
    <cfRule type="expression" dxfId="1219" priority="27">
      <formula>$AY70="N.D."</formula>
    </cfRule>
  </conditionalFormatting>
  <conditionalFormatting sqref="BD70:BD83">
    <cfRule type="containsBlanks" dxfId="1218" priority="25">
      <formula>LEN(TRIM(BD70))=0</formula>
    </cfRule>
  </conditionalFormatting>
  <conditionalFormatting sqref="BC70:BC83">
    <cfRule type="containsText" dxfId="1217" priority="23" operator="containsText" text="a">
      <formula>NOT(ISERROR(SEARCH("a",BC70)))</formula>
    </cfRule>
    <cfRule type="containsText" dxfId="1216" priority="24" operator="containsText" text="R">
      <formula>NOT(ISERROR(SEARCH("R",BC70)))</formula>
    </cfRule>
  </conditionalFormatting>
  <conditionalFormatting sqref="BA70:BA83">
    <cfRule type="expression" dxfId="1215" priority="22">
      <formula>$BC70="R"</formula>
    </cfRule>
  </conditionalFormatting>
  <conditionalFormatting sqref="AN70:AN83">
    <cfRule type="cellIs" dxfId="1214" priority="21" operator="notEqual">
      <formula>5.5</formula>
    </cfRule>
  </conditionalFormatting>
  <conditionalFormatting sqref="B84:BA84">
    <cfRule type="expression" dxfId="1213" priority="19">
      <formula>$M84="NON DEFINED"</formula>
    </cfRule>
    <cfRule type="expression" dxfId="1212" priority="20">
      <formula>$AY84="N.D."</formula>
    </cfRule>
  </conditionalFormatting>
  <conditionalFormatting sqref="BD84">
    <cfRule type="containsBlanks" dxfId="1211" priority="18">
      <formula>LEN(TRIM(BD84))=0</formula>
    </cfRule>
  </conditionalFormatting>
  <conditionalFormatting sqref="BC84">
    <cfRule type="containsText" dxfId="1210" priority="16" operator="containsText" text="a">
      <formula>NOT(ISERROR(SEARCH("a",BC84)))</formula>
    </cfRule>
    <cfRule type="containsText" dxfId="1209" priority="17" operator="containsText" text="R">
      <formula>NOT(ISERROR(SEARCH("R",BC84)))</formula>
    </cfRule>
  </conditionalFormatting>
  <conditionalFormatting sqref="BA84">
    <cfRule type="expression" dxfId="1208" priority="15">
      <formula>$BC84="R"</formula>
    </cfRule>
  </conditionalFormatting>
  <conditionalFormatting sqref="AN84">
    <cfRule type="cellIs" dxfId="1207" priority="14" operator="notEqual">
      <formula>5.5</formula>
    </cfRule>
  </conditionalFormatting>
  <conditionalFormatting sqref="B88:BA88">
    <cfRule type="expression" dxfId="1206" priority="12">
      <formula>$M88="NON DEFINED"</formula>
    </cfRule>
    <cfRule type="expression" dxfId="1205" priority="13">
      <formula>$AY88="N.D."</formula>
    </cfRule>
  </conditionalFormatting>
  <conditionalFormatting sqref="BC88">
    <cfRule type="containsText" dxfId="1204" priority="10" operator="containsText" text="a">
      <formula>NOT(ISERROR(SEARCH("a",BC88)))</formula>
    </cfRule>
    <cfRule type="containsText" dxfId="1203" priority="11" operator="containsText" text="R">
      <formula>NOT(ISERROR(SEARCH("R",BC88)))</formula>
    </cfRule>
  </conditionalFormatting>
  <conditionalFormatting sqref="BA88">
    <cfRule type="expression" dxfId="1202" priority="9">
      <formula>$BC88="R"</formula>
    </cfRule>
  </conditionalFormatting>
  <conditionalFormatting sqref="AN88">
    <cfRule type="cellIs" dxfId="1201" priority="8" operator="notEqual">
      <formula>5.5</formula>
    </cfRule>
  </conditionalFormatting>
  <conditionalFormatting sqref="B66:BA66">
    <cfRule type="expression" dxfId="1200" priority="6">
      <formula>$M66="NON DEFINED"</formula>
    </cfRule>
    <cfRule type="expression" dxfId="1199" priority="7">
      <formula>$AY66="N.D."</formula>
    </cfRule>
  </conditionalFormatting>
  <conditionalFormatting sqref="BD66">
    <cfRule type="containsBlanks" dxfId="1198" priority="5">
      <formula>LEN(TRIM(BD66))=0</formula>
    </cfRule>
  </conditionalFormatting>
  <conditionalFormatting sqref="BC66">
    <cfRule type="containsText" dxfId="1197" priority="3" operator="containsText" text="a">
      <formula>NOT(ISERROR(SEARCH("a",BC66)))</formula>
    </cfRule>
    <cfRule type="containsText" dxfId="1196" priority="4" operator="containsText" text="R">
      <formula>NOT(ISERROR(SEARCH("R",BC66)))</formula>
    </cfRule>
  </conditionalFormatting>
  <conditionalFormatting sqref="BA66">
    <cfRule type="expression" dxfId="1195" priority="2">
      <formula>$BC66="R"</formula>
    </cfRule>
  </conditionalFormatting>
  <conditionalFormatting sqref="AN66">
    <cfRule type="cellIs" dxfId="1194" priority="1" operator="notEqual">
      <formula>5.5</formula>
    </cfRule>
  </conditionalFormatting>
  <printOptions horizontalCentered="1" gridLines="1"/>
  <pageMargins left="0.39370078740157483" right="0.39370078740157483" top="0.78740157480314965" bottom="0.78740157480314965" header="0.31496062992125984" footer="0.31496062992125984"/>
  <pageSetup paperSize="8" scale="33" fitToHeight="0" orientation="landscape" r:id="rId1"/>
  <headerFooter alignWithMargins="0">
    <oddHeader>&amp;L&amp;G&amp;C
LAYOUT AND EQUIPMENT
EP06 TRACK 1 HER-TSA
KP85+000 - 92+700&amp;R&amp;G</oddHeader>
    <oddFooter>&amp;L&amp;G
&amp;F&amp;C&amp;D&amp;RPag &amp;P of &amp;N</oddFoot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20">
    <tabColor rgb="FFFF7C80"/>
    <pageSetUpPr fitToPage="1"/>
  </sheetPr>
  <dimension ref="A1:BG1998"/>
  <sheetViews>
    <sheetView view="pageBreakPreview" zoomScale="80" zoomScaleNormal="85" zoomScaleSheetLayoutView="80" workbookViewId="0">
      <pane xSplit="2" ySplit="3" topLeftCell="C4" activePane="bottomRight" state="frozen"/>
      <selection activeCell="G124" sqref="G124"/>
      <selection pane="topRight" activeCell="G124" sqref="G124"/>
      <selection pane="bottomLeft" activeCell="G124" sqref="G124"/>
      <selection pane="bottomRight" activeCell="G124" sqref="G124"/>
    </sheetView>
  </sheetViews>
  <sheetFormatPr baseColWidth="10" defaultColWidth="11.453125" defaultRowHeight="15.75" customHeight="1"/>
  <cols>
    <col min="1" max="1" width="20.6328125" style="178" customWidth="1"/>
    <col min="2" max="2" width="12.6328125" style="178" customWidth="1"/>
    <col min="3" max="3" width="12.6328125" style="184" customWidth="1"/>
    <col min="4" max="5" width="12.6328125" style="178" hidden="1" customWidth="1"/>
    <col min="6" max="6" width="12.6328125" style="179" customWidth="1"/>
    <col min="7" max="7" width="12.6328125" style="454" customWidth="1"/>
    <col min="8" max="8" width="18.6328125" style="178" customWidth="1"/>
    <col min="9" max="9" width="12.6328125" style="179" customWidth="1"/>
    <col min="10" max="10" width="12.6328125" style="184" customWidth="1"/>
    <col min="11" max="11" width="12.6328125" style="178" customWidth="1"/>
    <col min="12" max="13" width="14.6328125" style="178" customWidth="1"/>
    <col min="14" max="16" width="8.6328125" style="178" hidden="1" customWidth="1"/>
    <col min="17" max="19" width="12.6328125" style="178" hidden="1" customWidth="1"/>
    <col min="20" max="28" width="8.6328125" style="178" hidden="1" customWidth="1"/>
    <col min="29" max="31" width="10.6328125" style="178" hidden="1" customWidth="1"/>
    <col min="32" max="32" width="13.54296875" style="178" hidden="1" customWidth="1"/>
    <col min="33" max="33" width="12.6328125" style="184" hidden="1" customWidth="1"/>
    <col min="34" max="36" width="12.6328125" style="178" hidden="1" customWidth="1"/>
    <col min="37" max="38" width="12.6328125" style="178" customWidth="1"/>
    <col min="39" max="39" width="12.6328125" style="178" hidden="1" customWidth="1"/>
    <col min="40" max="40" width="8.6328125" style="458" hidden="1" customWidth="1"/>
    <col min="41" max="42" width="8.6328125" style="169" hidden="1" customWidth="1"/>
    <col min="43" max="46" width="8.6328125" style="458" hidden="1" customWidth="1"/>
    <col min="47" max="48" width="8.6328125" style="169" hidden="1" customWidth="1"/>
    <col min="49" max="50" width="12.6328125" style="169" customWidth="1"/>
    <col min="51" max="52" width="12.6328125" style="458" customWidth="1"/>
    <col min="53" max="53" width="12.6328125" style="169" customWidth="1"/>
    <col min="54" max="54" width="21.6328125" style="178" customWidth="1"/>
    <col min="55" max="55" width="18" style="178" customWidth="1"/>
    <col min="56" max="59" width="14.54296875" style="1323" customWidth="1"/>
    <col min="60" max="60" width="11.453125" style="178" customWidth="1"/>
    <col min="61" max="16384" width="11.453125" style="178"/>
  </cols>
  <sheetData>
    <row r="1" spans="1:59" ht="35.25" customHeight="1">
      <c r="A1" s="1607" t="s">
        <v>2423</v>
      </c>
      <c r="B1" s="1607"/>
      <c r="C1" s="1607"/>
      <c r="D1" s="1607"/>
      <c r="E1" s="1607"/>
      <c r="F1" s="1607"/>
      <c r="G1" s="1607"/>
      <c r="H1" s="1607"/>
      <c r="I1" s="1607"/>
      <c r="J1" s="1607"/>
      <c r="K1" s="1607"/>
      <c r="L1" s="1607"/>
      <c r="M1" s="1607"/>
      <c r="N1" s="1607"/>
      <c r="O1" s="1607"/>
      <c r="P1" s="1607"/>
      <c r="Q1" s="1607"/>
      <c r="R1" s="1607"/>
      <c r="S1" s="1607"/>
      <c r="T1" s="1607"/>
      <c r="U1" s="1607"/>
      <c r="V1" s="1607"/>
      <c r="W1" s="1607"/>
      <c r="X1" s="1607"/>
      <c r="Y1" s="1607"/>
      <c r="Z1" s="1607"/>
      <c r="AA1" s="1607"/>
      <c r="AB1" s="1607"/>
      <c r="AC1" s="1607"/>
      <c r="AD1" s="1607"/>
      <c r="AE1" s="1607"/>
      <c r="AF1" s="1607"/>
      <c r="AG1" s="1607"/>
      <c r="AH1" s="1607"/>
      <c r="AI1" s="1607"/>
      <c r="AJ1" s="1607"/>
      <c r="AK1" s="1607"/>
      <c r="AL1" s="1607"/>
      <c r="AM1" s="1607"/>
      <c r="AN1" s="1607"/>
      <c r="AO1" s="1607"/>
      <c r="AP1" s="1607"/>
      <c r="AQ1" s="1607"/>
      <c r="AR1" s="1607"/>
      <c r="AS1" s="1607"/>
      <c r="AT1" s="1607"/>
      <c r="AU1" s="1607"/>
      <c r="AV1" s="1607"/>
      <c r="AW1" s="1607"/>
      <c r="AX1" s="1607"/>
      <c r="AY1" s="1607"/>
      <c r="AZ1" s="1607"/>
      <c r="BA1" s="1607"/>
      <c r="BB1" s="1607"/>
      <c r="BC1" s="693" t="s">
        <v>4947</v>
      </c>
      <c r="BD1" s="1599" t="s">
        <v>4916</v>
      </c>
      <c r="BE1" s="1599"/>
      <c r="BF1" s="1599"/>
      <c r="BG1" s="1599"/>
    </row>
    <row r="2" spans="1:59" s="699" customFormat="1" ht="42" customHeight="1">
      <c r="A2" s="1257" t="s">
        <v>4417</v>
      </c>
      <c r="B2" s="1257" t="s">
        <v>4418</v>
      </c>
      <c r="C2" s="947" t="s">
        <v>2315</v>
      </c>
      <c r="D2" s="1257" t="s">
        <v>4419</v>
      </c>
      <c r="E2" s="1257" t="s">
        <v>4855</v>
      </c>
      <c r="F2" s="948" t="s">
        <v>4856</v>
      </c>
      <c r="G2" s="1258" t="s">
        <v>4857</v>
      </c>
      <c r="H2" s="1257" t="s">
        <v>455</v>
      </c>
      <c r="I2" s="948" t="s">
        <v>454</v>
      </c>
      <c r="J2" s="948" t="s">
        <v>4423</v>
      </c>
      <c r="K2" s="1257" t="s">
        <v>1362</v>
      </c>
      <c r="L2" s="1257" t="s">
        <v>456</v>
      </c>
      <c r="M2" s="1257" t="s">
        <v>453</v>
      </c>
      <c r="N2" s="1606" t="s">
        <v>457</v>
      </c>
      <c r="O2" s="1606"/>
      <c r="P2" s="1606"/>
      <c r="Q2" s="1257" t="s">
        <v>4858</v>
      </c>
      <c r="R2" s="1257" t="s">
        <v>4859</v>
      </c>
      <c r="S2" s="1257" t="s">
        <v>4860</v>
      </c>
      <c r="T2" s="1606" t="s">
        <v>4861</v>
      </c>
      <c r="U2" s="1606"/>
      <c r="V2" s="1606"/>
      <c r="W2" s="1606" t="s">
        <v>4862</v>
      </c>
      <c r="X2" s="1606"/>
      <c r="Y2" s="1606"/>
      <c r="Z2" s="1606" t="s">
        <v>4863</v>
      </c>
      <c r="AA2" s="1606"/>
      <c r="AB2" s="1606"/>
      <c r="AC2" s="1606" t="s">
        <v>628</v>
      </c>
      <c r="AD2" s="1606"/>
      <c r="AE2" s="1606"/>
      <c r="AF2" s="1257" t="s">
        <v>4872</v>
      </c>
      <c r="AG2" s="947" t="s">
        <v>4864</v>
      </c>
      <c r="AH2" s="1257" t="s">
        <v>4865</v>
      </c>
      <c r="AI2" s="1257" t="s">
        <v>4866</v>
      </c>
      <c r="AJ2" s="1257" t="s">
        <v>629</v>
      </c>
      <c r="AK2" s="1257" t="s">
        <v>458</v>
      </c>
      <c r="AL2" s="1257" t="s">
        <v>459</v>
      </c>
      <c r="AM2" s="1257" t="s">
        <v>631</v>
      </c>
      <c r="AN2" s="1606" t="s">
        <v>4867</v>
      </c>
      <c r="AO2" s="1606"/>
      <c r="AP2" s="1606"/>
      <c r="AQ2" s="1608" t="s">
        <v>460</v>
      </c>
      <c r="AR2" s="1608"/>
      <c r="AS2" s="1608"/>
      <c r="AT2" s="1606" t="s">
        <v>630</v>
      </c>
      <c r="AU2" s="1606"/>
      <c r="AV2" s="1606"/>
      <c r="AW2" s="1257" t="s">
        <v>4868</v>
      </c>
      <c r="AX2" s="1257" t="s">
        <v>4904</v>
      </c>
      <c r="AY2" s="1258" t="s">
        <v>4869</v>
      </c>
      <c r="AZ2" s="1258" t="s">
        <v>4870</v>
      </c>
      <c r="BA2" s="1257" t="s">
        <v>1670</v>
      </c>
      <c r="BB2" s="1257" t="s">
        <v>4871</v>
      </c>
      <c r="BC2" s="693" t="s">
        <v>4948</v>
      </c>
      <c r="BD2" s="1320" t="s">
        <v>453</v>
      </c>
      <c r="BE2" s="1320" t="s">
        <v>4922</v>
      </c>
      <c r="BF2" s="1320" t="s">
        <v>4915</v>
      </c>
      <c r="BG2" s="1320" t="s">
        <v>457</v>
      </c>
    </row>
    <row r="3" spans="1:59" ht="15.75" customHeight="1">
      <c r="A3" s="1239"/>
      <c r="B3" s="1239"/>
      <c r="C3" s="171"/>
      <c r="D3" s="1239"/>
      <c r="E3" s="1239"/>
      <c r="F3" s="448"/>
      <c r="G3" s="455"/>
      <c r="H3" s="1239"/>
      <c r="I3" s="448"/>
      <c r="J3" s="171"/>
      <c r="K3" s="1239"/>
      <c r="L3" s="1239"/>
      <c r="M3" s="1239"/>
      <c r="N3" s="949" t="s">
        <v>123</v>
      </c>
      <c r="O3" s="949" t="s">
        <v>124</v>
      </c>
      <c r="P3" s="949" t="s">
        <v>125</v>
      </c>
      <c r="Q3" s="949"/>
      <c r="R3" s="949"/>
      <c r="S3" s="949"/>
      <c r="T3" s="949" t="s">
        <v>126</v>
      </c>
      <c r="U3" s="949" t="s">
        <v>127</v>
      </c>
      <c r="V3" s="949" t="s">
        <v>128</v>
      </c>
      <c r="W3" s="949" t="s">
        <v>129</v>
      </c>
      <c r="X3" s="949" t="s">
        <v>130</v>
      </c>
      <c r="Y3" s="949" t="s">
        <v>131</v>
      </c>
      <c r="Z3" s="949" t="s">
        <v>132</v>
      </c>
      <c r="AA3" s="949" t="s">
        <v>133</v>
      </c>
      <c r="AB3" s="949" t="s">
        <v>134</v>
      </c>
      <c r="AC3" s="949" t="s">
        <v>135</v>
      </c>
      <c r="AD3" s="949" t="s">
        <v>136</v>
      </c>
      <c r="AE3" s="949" t="s">
        <v>137</v>
      </c>
      <c r="AF3" s="1239"/>
      <c r="AG3" s="171"/>
      <c r="AH3" s="1239"/>
      <c r="AI3" s="1239"/>
      <c r="AJ3" s="1239"/>
      <c r="AK3" s="1239"/>
      <c r="AL3" s="1239"/>
      <c r="AM3" s="1239"/>
      <c r="AN3" s="1341" t="s">
        <v>129</v>
      </c>
      <c r="AO3" s="949" t="s">
        <v>130</v>
      </c>
      <c r="AP3" s="949" t="s">
        <v>131</v>
      </c>
      <c r="AQ3" s="950" t="s">
        <v>613</v>
      </c>
      <c r="AR3" s="950" t="s">
        <v>614</v>
      </c>
      <c r="AS3" s="950" t="s">
        <v>615</v>
      </c>
      <c r="AT3" s="950" t="s">
        <v>616</v>
      </c>
      <c r="AU3" s="949" t="s">
        <v>617</v>
      </c>
      <c r="AV3" s="949" t="s">
        <v>618</v>
      </c>
      <c r="AW3" s="1239"/>
      <c r="AX3" s="1239"/>
      <c r="AY3" s="455"/>
      <c r="AZ3" s="455"/>
      <c r="BA3" s="1239"/>
      <c r="BB3" s="1239"/>
      <c r="BD3" s="1239"/>
      <c r="BE3" s="1239"/>
      <c r="BF3" s="1239"/>
      <c r="BG3" s="1239"/>
    </row>
    <row r="4" spans="1:59" ht="15.75" customHeight="1">
      <c r="A4" s="501">
        <f>'HR Track 2 HER'!A86</f>
        <v>0</v>
      </c>
      <c r="B4" s="716" t="str">
        <f>'HR Track 2 HER'!B86</f>
        <v>85-3.01</v>
      </c>
      <c r="C4" s="451">
        <f>'HR Track 2 HER'!C86</f>
        <v>85018.76999999999</v>
      </c>
      <c r="D4" s="453">
        <f>'HR Track 2 HER'!D86</f>
        <v>0</v>
      </c>
      <c r="E4" s="452">
        <f>'HR Track 2 HER'!E86</f>
        <v>0</v>
      </c>
      <c r="F4" s="453">
        <f>'HR Track 2 HER'!F86</f>
        <v>2633.7968815849445</v>
      </c>
      <c r="G4" s="500">
        <f>'HR Track 2 HER'!G86</f>
        <v>0</v>
      </c>
      <c r="H4" s="453" t="str">
        <f>'HR Track 2 HER'!H86</f>
        <v>S/A</v>
      </c>
      <c r="I4" s="501">
        <f>'HR Track 2 HER'!I86</f>
        <v>0</v>
      </c>
      <c r="J4" s="583">
        <f>'HR Track 2 HER'!J86</f>
        <v>0</v>
      </c>
      <c r="K4" s="452">
        <f>'HR Track 2 HER'!K86</f>
        <v>0</v>
      </c>
      <c r="L4" s="452" t="str">
        <f>'HR Track 2 HER'!L86</f>
        <v>2HEB-240</v>
      </c>
      <c r="M4" s="452" t="str">
        <f>'HR Track 2 HER'!M86</f>
        <v>2C3R</v>
      </c>
      <c r="N4" s="501" t="str">
        <f>'HR Track 2 HER'!N86</f>
        <v>EMT-2</v>
      </c>
      <c r="O4" s="501" t="str">
        <f>'HR Track 2 HER'!O86</f>
        <v>EMT-T</v>
      </c>
      <c r="P4" s="501">
        <f>'HR Track 2 HER'!P86</f>
        <v>0</v>
      </c>
      <c r="Q4" s="452">
        <f>'HR Track 2 HER'!Q86</f>
        <v>0</v>
      </c>
      <c r="R4" s="452">
        <f>'HR Track 2 HER'!R86</f>
        <v>0</v>
      </c>
      <c r="S4" s="500">
        <f>'HR Track 2 HER'!S86</f>
        <v>0</v>
      </c>
      <c r="T4" s="452">
        <f>'HR Track 2 HER'!T86</f>
        <v>-30</v>
      </c>
      <c r="U4" s="452">
        <f>'HR Track 2 HER'!U86</f>
        <v>-45</v>
      </c>
      <c r="V4" s="452">
        <f>'HR Track 2 HER'!V86</f>
        <v>0</v>
      </c>
      <c r="W4" s="452">
        <f>'HR Track 2 HER'!W86</f>
        <v>1.4</v>
      </c>
      <c r="X4" s="452">
        <f>'HR Track 2 HER'!X86</f>
        <v>2</v>
      </c>
      <c r="Y4" s="452">
        <f>'HR Track 2 HER'!Y86</f>
        <v>0</v>
      </c>
      <c r="Z4" s="452">
        <f>'HR Track 2 HER'!Z86</f>
        <v>0</v>
      </c>
      <c r="AA4" s="452">
        <f>'HR Track 2 HER'!AA86</f>
        <v>0.45</v>
      </c>
      <c r="AB4" s="452">
        <f>'HR Track 2 HER'!AB86</f>
        <v>0</v>
      </c>
      <c r="AC4" s="452" t="str">
        <f>'HR Track 2 HER'!AC86</f>
        <v>PH</v>
      </c>
      <c r="AD4" s="452">
        <f>'HR Track 2 HER'!AD86</f>
        <v>0</v>
      </c>
      <c r="AE4" s="452">
        <f>'HR Track 2 HER'!AE86</f>
        <v>0</v>
      </c>
      <c r="AF4" s="452">
        <f>'HR Track 2 HER'!AF86</f>
        <v>0</v>
      </c>
      <c r="AG4" s="451">
        <f>'HR Track 2 HER'!AG86</f>
        <v>0</v>
      </c>
      <c r="AH4" s="452">
        <f>'HR Track 2 HER'!AH86</f>
        <v>0</v>
      </c>
      <c r="AI4" s="452">
        <f>'HR Track 2 HER'!AI86</f>
        <v>0</v>
      </c>
      <c r="AJ4" s="452">
        <f>'HR Track 2 HER'!AJ86</f>
        <v>0</v>
      </c>
      <c r="AK4" s="452">
        <f>'HR Track 2 HER'!AK86</f>
        <v>0</v>
      </c>
      <c r="AL4" s="452">
        <f>'HR Track 2 HER'!AL86</f>
        <v>0</v>
      </c>
      <c r="AM4" s="452" t="str">
        <f>'HR Track 2 HER'!AM86</f>
        <v>RW1</v>
      </c>
      <c r="AN4" s="500">
        <f>'HR Track 2 HER'!AN86</f>
        <v>5.5</v>
      </c>
      <c r="AO4" s="452">
        <f>'HR Track 2 HER'!AO86</f>
        <v>0</v>
      </c>
      <c r="AP4" s="452">
        <f>'HR Track 2 HER'!AP86</f>
        <v>0</v>
      </c>
      <c r="AQ4" s="452">
        <f>'HR Track 2 HER'!AQ86</f>
        <v>0</v>
      </c>
      <c r="AR4" s="452">
        <f>'HR Track 2 HER'!AR86</f>
        <v>0</v>
      </c>
      <c r="AS4" s="452">
        <f>'HR Track 2 HER'!AS86</f>
        <v>0</v>
      </c>
      <c r="AT4" s="452">
        <f>'HR Track 2 HER'!AT86</f>
        <v>-20.742795076120501</v>
      </c>
      <c r="AU4" s="452">
        <f>'HR Track 2 HER'!AU86</f>
        <v>0</v>
      </c>
      <c r="AV4" s="452">
        <f>'HR Track 2 HER'!AV86</f>
        <v>0</v>
      </c>
      <c r="AW4" s="452" t="str">
        <f>'HR Track 2 HER'!AW86</f>
        <v>Soil B</v>
      </c>
      <c r="AX4" s="452" t="str">
        <f>'HR Track 2 HER'!AX86</f>
        <v>PT</v>
      </c>
      <c r="AY4" s="500">
        <f>'HR Track 2 HER'!AY86</f>
        <v>3.5</v>
      </c>
      <c r="AZ4" s="500">
        <f>'HR Track 2 HER'!AZ86</f>
        <v>0</v>
      </c>
      <c r="BA4" s="1333" t="str">
        <f>'HR Track 2 HER'!BA86</f>
        <v>ü</v>
      </c>
      <c r="BB4" s="452" t="str">
        <f>'HR Track 2 HER'!BB86</f>
        <v>App.7-V11A-P9.5.1.5</v>
      </c>
      <c r="BC4" s="1334">
        <f>'HR Track 2 HER'!BC86</f>
        <v>0</v>
      </c>
      <c r="BD4" s="1335">
        <f>'HR Track 2 HER'!BD86</f>
        <v>0</v>
      </c>
      <c r="BE4" s="1335">
        <f>'HR Track 2 HER'!BE86</f>
        <v>0</v>
      </c>
      <c r="BF4" s="1335">
        <f>'HR Track 2 HER'!BF86</f>
        <v>0</v>
      </c>
      <c r="BG4" s="1335">
        <f>'HR Track 2 HER'!BG86</f>
        <v>0</v>
      </c>
    </row>
    <row r="5" spans="1:59" ht="15.75" customHeight="1">
      <c r="A5" s="501"/>
      <c r="B5" s="716"/>
      <c r="C5" s="451"/>
      <c r="D5" s="453"/>
      <c r="E5" s="452"/>
      <c r="F5" s="453"/>
      <c r="G5" s="500">
        <v>46.8</v>
      </c>
      <c r="H5" s="453"/>
      <c r="I5" s="501">
        <v>242</v>
      </c>
      <c r="J5" s="583"/>
      <c r="K5" s="452"/>
      <c r="L5" s="452"/>
      <c r="M5" s="452"/>
      <c r="N5" s="501"/>
      <c r="O5" s="501"/>
      <c r="P5" s="501"/>
      <c r="Q5" s="452"/>
      <c r="R5" s="452"/>
      <c r="S5" s="500"/>
      <c r="T5" s="452"/>
      <c r="U5" s="452"/>
      <c r="V5" s="452"/>
      <c r="W5" s="452"/>
      <c r="X5" s="452"/>
      <c r="Y5" s="452"/>
      <c r="Z5" s="452"/>
      <c r="AA5" s="452"/>
      <c r="AB5" s="452"/>
      <c r="AC5" s="452"/>
      <c r="AD5" s="452"/>
      <c r="AE5" s="452"/>
      <c r="AF5" s="452"/>
      <c r="AG5" s="451"/>
      <c r="AH5" s="452"/>
      <c r="AI5" s="452"/>
      <c r="AJ5" s="452"/>
      <c r="AK5" s="452"/>
      <c r="AL5" s="452"/>
      <c r="AM5" s="452"/>
      <c r="AN5" s="500"/>
      <c r="AO5" s="452"/>
      <c r="AP5" s="452"/>
      <c r="AQ5" s="452">
        <f>+FL_1($T$6,$T$4,$G$5,1200,9.28, 1*$F$6)</f>
        <v>0.3</v>
      </c>
      <c r="AR5" s="452"/>
      <c r="AS5" s="452"/>
      <c r="AT5" s="452"/>
      <c r="AU5" s="452"/>
      <c r="AV5" s="452"/>
      <c r="AW5" s="452"/>
      <c r="AX5" s="452"/>
      <c r="AY5" s="500"/>
      <c r="AZ5" s="500" t="str">
        <f>IF(AX5="PT",VLOOKUP(K5,'Foundation Calculation'!$L$2:$R$41,VLOOKUP(AW5,'Foundation Calculation'!$I$2:$J$8,2,FALSE),0),IF(AX5="K",VLOOKUP(K5,'Foundation Calculation'!$L$41:$R$79,VLOOKUP(AW5,'Foundation Calculation'!$I$2:$J$8,2,FALSE),0),""))</f>
        <v/>
      </c>
      <c r="BA5" s="1333"/>
      <c r="BB5" s="452"/>
      <c r="BC5" s="1334"/>
      <c r="BD5" s="1335"/>
      <c r="BE5" s="1335"/>
      <c r="BF5" s="1335"/>
      <c r="BG5" s="1335"/>
    </row>
    <row r="6" spans="1:59" ht="15.75" customHeight="1">
      <c r="A6" s="1239"/>
      <c r="B6" s="1239" t="s">
        <v>3388</v>
      </c>
      <c r="C6" s="171">
        <v>85065.57</v>
      </c>
      <c r="D6" s="1239"/>
      <c r="E6" s="1239"/>
      <c r="F6" s="448">
        <v>2500</v>
      </c>
      <c r="G6" s="455"/>
      <c r="H6" s="1239" t="s">
        <v>4205</v>
      </c>
      <c r="I6" s="448" t="s">
        <v>623</v>
      </c>
      <c r="J6" s="171"/>
      <c r="K6" s="1239"/>
      <c r="L6" s="1239" t="s">
        <v>896</v>
      </c>
      <c r="M6" s="1239" t="str">
        <f>IF(AX6="PT",VLOOKUP(L6,'Foundation Calculation'!$V$2:$X$40,VLOOKUP(AX6,'Foundation Calculation'!$I$10:$J$13,2,FALSE),0),IF(AX6="K",VLOOKUP(L6,'Foundation Calculation'!$V$42:$X$80,VLOOKUP(AX6,'Foundation Calculation'!$I$10:$J$13,2,FALSE),0),""))</f>
        <v>2C4R</v>
      </c>
      <c r="N6" s="1239" t="s">
        <v>144</v>
      </c>
      <c r="O6" s="1239"/>
      <c r="P6" s="1239"/>
      <c r="Q6" s="1239">
        <v>20</v>
      </c>
      <c r="R6" s="1239">
        <v>2500</v>
      </c>
      <c r="S6" s="455"/>
      <c r="T6" s="1239">
        <v>30</v>
      </c>
      <c r="U6" s="1239"/>
      <c r="V6" s="1239"/>
      <c r="W6" s="1239">
        <v>1.4</v>
      </c>
      <c r="X6" s="1239"/>
      <c r="Y6" s="1239"/>
      <c r="Z6" s="1239"/>
      <c r="AA6" s="1239"/>
      <c r="AB6" s="1239"/>
      <c r="AC6" s="1239" t="str">
        <f>IF(OR(AT6&gt;8,AT6&lt;-8),"PH",IF(OR(AT6&gt;5,AT6&lt;-5),"PH-Q",IF(OR(AT6&gt;1,AT6&lt;-1),"PH-C")))</f>
        <v>PH-C</v>
      </c>
      <c r="AD6" s="1239"/>
      <c r="AE6" s="1239"/>
      <c r="AF6" s="1239"/>
      <c r="AG6" s="171">
        <v>85065</v>
      </c>
      <c r="AH6" s="1239">
        <v>2573</v>
      </c>
      <c r="AI6" s="1239">
        <v>330</v>
      </c>
      <c r="AJ6" s="1239"/>
      <c r="AK6" s="1239"/>
      <c r="AL6" s="1239"/>
      <c r="AM6" s="1239" t="s">
        <v>1042</v>
      </c>
      <c r="AN6" s="455">
        <v>5.5</v>
      </c>
      <c r="AO6" s="1239"/>
      <c r="AP6" s="1239"/>
      <c r="AQ6" s="455"/>
      <c r="AR6" s="1239"/>
      <c r="AS6" s="1239"/>
      <c r="AT6" s="455">
        <f>+ab($T$6,$T$4,$U$8,$G$5,$G$7, 1*$F$6,1200)</f>
        <v>4.239490043120334</v>
      </c>
      <c r="AU6" s="1239"/>
      <c r="AV6" s="1239"/>
      <c r="AW6" s="1239" t="str">
        <f>VLOOKUP(C6,'Foundation Calculation'!$A$2:$C$33,3,1)</f>
        <v>Soil B</v>
      </c>
      <c r="AX6" s="1239" t="str">
        <f>VLOOKUP(C6,'Foundation Calculation'!$E$2:$G$33,3,1)</f>
        <v>PT</v>
      </c>
      <c r="AY6" s="455">
        <f>IF(AX6="PT",VLOOKUP(L6,'Foundation Calculation'!$K$2:$R$40,VLOOKUP(AW6,'Foundation Calculation'!$I$2:$J$8,2,FALSE),0),IF(AX6="K",VLOOKUP(L6,'Foundation Calculation'!$K$42:$R$80,VLOOKUP(AW6,'Foundation Calculation'!$I$2:$J$8,2,FALSE),0),""))</f>
        <v>4</v>
      </c>
      <c r="AZ6" s="455"/>
      <c r="BA6" s="671" t="s">
        <v>2809</v>
      </c>
      <c r="BB6" s="1239" t="str">
        <f>Pole_Calculations!A22</f>
        <v>App.7-V11A-P9.5.1.8</v>
      </c>
      <c r="BC6" s="169"/>
      <c r="BD6" s="1329"/>
      <c r="BE6" s="1329"/>
      <c r="BF6" s="1330"/>
      <c r="BG6" s="1329"/>
    </row>
    <row r="7" spans="1:59" ht="15.75" customHeight="1">
      <c r="A7" s="1239"/>
      <c r="B7" s="1239"/>
      <c r="C7" s="171"/>
      <c r="D7" s="1239"/>
      <c r="E7" s="1239"/>
      <c r="F7" s="448"/>
      <c r="G7" s="455">
        <v>50</v>
      </c>
      <c r="H7" s="1239"/>
      <c r="I7" s="448" t="s">
        <v>623</v>
      </c>
      <c r="J7" s="171"/>
      <c r="K7" s="1239"/>
      <c r="L7" s="1239"/>
      <c r="M7" s="1239"/>
      <c r="N7" s="1239"/>
      <c r="O7" s="1239"/>
      <c r="P7" s="1239"/>
      <c r="Q7" s="1239"/>
      <c r="R7" s="1239"/>
      <c r="S7" s="455">
        <f>AG8-AG6</f>
        <v>50</v>
      </c>
      <c r="T7" s="1239"/>
      <c r="U7" s="1239"/>
      <c r="V7" s="1239"/>
      <c r="W7" s="1239"/>
      <c r="X7" s="1239"/>
      <c r="Y7" s="1239"/>
      <c r="Z7" s="1239"/>
      <c r="AA7" s="1239"/>
      <c r="AB7" s="1239"/>
      <c r="AC7" s="1239"/>
      <c r="AD7" s="1239"/>
      <c r="AE7" s="1239"/>
      <c r="AF7" s="1239"/>
      <c r="AG7" s="171"/>
      <c r="AH7" s="1239"/>
      <c r="AI7" s="1239"/>
      <c r="AJ7" s="1239"/>
      <c r="AK7" s="1239"/>
      <c r="AL7" s="1239"/>
      <c r="AM7" s="1239"/>
      <c r="AN7" s="455"/>
      <c r="AO7" s="1239"/>
      <c r="AP7" s="1239"/>
      <c r="AQ7" s="455">
        <f>+FL_1($U$8,$T$6,$G$7,1200,9.28, 1*$F$8)</f>
        <v>0.32593390799999999</v>
      </c>
      <c r="AR7" s="1239"/>
      <c r="AS7" s="1239"/>
      <c r="AT7" s="455"/>
      <c r="AU7" s="1239"/>
      <c r="AV7" s="1239"/>
      <c r="AW7" s="1239"/>
      <c r="AX7" s="1239"/>
      <c r="AY7" s="455"/>
      <c r="AZ7" s="455"/>
      <c r="BA7" s="1314"/>
      <c r="BB7" s="1239"/>
      <c r="BC7" s="169"/>
      <c r="BD7" s="1330"/>
      <c r="BE7" s="1330"/>
      <c r="BF7" s="1330"/>
      <c r="BG7" s="1330"/>
    </row>
    <row r="8" spans="1:59" ht="15.75" customHeight="1">
      <c r="A8" s="1239"/>
      <c r="B8" s="572" t="s">
        <v>3389</v>
      </c>
      <c r="C8" s="171">
        <f>+$C$6+$G$7</f>
        <v>85115.57</v>
      </c>
      <c r="D8" s="1239"/>
      <c r="E8" s="1239"/>
      <c r="F8" s="448">
        <v>0</v>
      </c>
      <c r="G8" s="455"/>
      <c r="H8" s="1239" t="s">
        <v>619</v>
      </c>
      <c r="I8" s="448"/>
      <c r="J8" s="171"/>
      <c r="K8" s="1239"/>
      <c r="L8" s="1239" t="s">
        <v>895</v>
      </c>
      <c r="M8" s="1239" t="str">
        <f>IF(AX8="PT",VLOOKUP(L8,'Foundation Calculation'!$V$2:$X$40,VLOOKUP(AX8,'Foundation Calculation'!$I$10:$J$13,2,FALSE),0),IF(AX8="K",VLOOKUP(L8,'Foundation Calculation'!$V$42:$X$80,VLOOKUP(AX8,'Foundation Calculation'!$I$10:$J$13,2,FALSE),0),""))</f>
        <v>2C3R</v>
      </c>
      <c r="N8" s="1239" t="s">
        <v>140</v>
      </c>
      <c r="O8" s="1239" t="s">
        <v>143</v>
      </c>
      <c r="P8" s="1239"/>
      <c r="Q8" s="1239">
        <v>0</v>
      </c>
      <c r="R8" s="1239">
        <v>0</v>
      </c>
      <c r="S8" s="455"/>
      <c r="T8" s="1285">
        <v>10</v>
      </c>
      <c r="U8" s="1285">
        <v>-35</v>
      </c>
      <c r="V8" s="1239"/>
      <c r="W8" s="1239">
        <v>1.4</v>
      </c>
      <c r="X8" s="1239">
        <v>2.2999999999999998</v>
      </c>
      <c r="Y8" s="1239"/>
      <c r="Z8" s="1239">
        <v>0.6</v>
      </c>
      <c r="AA8" s="1239"/>
      <c r="AB8" s="1239"/>
      <c r="AC8" s="1239" t="s">
        <v>1421</v>
      </c>
      <c r="AD8" s="1239"/>
      <c r="AE8" s="1239"/>
      <c r="AF8" s="1239">
        <v>6000</v>
      </c>
      <c r="AG8" s="1350">
        <v>85115</v>
      </c>
      <c r="AH8" s="1285">
        <v>2553</v>
      </c>
      <c r="AI8" s="1285">
        <v>580</v>
      </c>
      <c r="AJ8" s="1239"/>
      <c r="AK8" s="1239"/>
      <c r="AL8" s="1239"/>
      <c r="AM8" s="1239" t="s">
        <v>1042</v>
      </c>
      <c r="AN8" s="455">
        <v>5.5</v>
      </c>
      <c r="AO8" s="1239"/>
      <c r="AP8" s="1239"/>
      <c r="AQ8" s="455"/>
      <c r="AR8" s="1239"/>
      <c r="AS8" s="1239"/>
      <c r="AT8" s="455">
        <f>+ab($U$8,$T$6,$U$10,$G$7,$G$9, 1*$F$8,1200)</f>
        <v>-11.145107873316856</v>
      </c>
      <c r="AU8" s="1239"/>
      <c r="AV8" s="1239"/>
      <c r="AW8" s="1239" t="str">
        <f>VLOOKUP(C8,'Foundation Calculation'!$A$2:$C$33,3,1)</f>
        <v>Soil B</v>
      </c>
      <c r="AX8" s="1239" t="str">
        <f>VLOOKUP(C8,'Foundation Calculation'!$E$2:$G$33,3,1)</f>
        <v>PT</v>
      </c>
      <c r="AY8" s="455">
        <f>IF(AX8="PT",VLOOKUP(L8,'Foundation Calculation'!$K$2:$R$40,VLOOKUP(AW8,'Foundation Calculation'!$I$2:$J$8,2,FALSE),0),IF(AX8="K",VLOOKUP(L8,'Foundation Calculation'!$K$42:$R$80,VLOOKUP(AW8,'Foundation Calculation'!$I$2:$J$8,2,FALSE),0),""))</f>
        <v>3.5</v>
      </c>
      <c r="AZ8" s="455"/>
      <c r="BA8" s="671" t="s">
        <v>2809</v>
      </c>
      <c r="BB8" s="1239" t="str">
        <f>Pole_Calculations!A19</f>
        <v>App.7-V11A-P9.5.1.5</v>
      </c>
      <c r="BC8" s="169"/>
      <c r="BD8" s="1329"/>
      <c r="BE8" s="1329"/>
      <c r="BF8" s="1330"/>
      <c r="BG8" s="1329"/>
    </row>
    <row r="9" spans="1:59" ht="15.75" customHeight="1">
      <c r="A9" s="1239"/>
      <c r="B9" s="1239"/>
      <c r="C9" s="171"/>
      <c r="D9" s="1239"/>
      <c r="E9" s="1239"/>
      <c r="F9" s="448"/>
      <c r="G9" s="455">
        <v>50</v>
      </c>
      <c r="H9" s="1239"/>
      <c r="I9" s="448"/>
      <c r="J9" s="171"/>
      <c r="K9" s="1239"/>
      <c r="L9" s="1239"/>
      <c r="M9" s="1239"/>
      <c r="N9" s="1239"/>
      <c r="O9" s="1239"/>
      <c r="P9" s="1239"/>
      <c r="Q9" s="1239"/>
      <c r="R9" s="1239"/>
      <c r="S9" s="455">
        <f>AG10-AG8</f>
        <v>50</v>
      </c>
      <c r="T9" s="1239"/>
      <c r="U9" s="1239"/>
      <c r="V9" s="1239"/>
      <c r="W9" s="1239"/>
      <c r="X9" s="1239"/>
      <c r="Y9" s="1239"/>
      <c r="Z9" s="1239"/>
      <c r="AA9" s="1239"/>
      <c r="AB9" s="1239"/>
      <c r="AC9" s="1239"/>
      <c r="AD9" s="1239"/>
      <c r="AE9" s="1239"/>
      <c r="AF9" s="1239"/>
      <c r="AG9" s="171"/>
      <c r="AH9" s="1239"/>
      <c r="AI9" s="1239"/>
      <c r="AJ9" s="1239"/>
      <c r="AK9" s="1239"/>
      <c r="AL9" s="1239"/>
      <c r="AM9" s="1239"/>
      <c r="AN9" s="455"/>
      <c r="AO9" s="1239"/>
      <c r="AP9" s="1239"/>
      <c r="AQ9" s="455">
        <f>+FL_1($U$10,$U$8,$G$9,1200,9.28, 1*$F$10)</f>
        <v>3.6089831170432428E-2</v>
      </c>
      <c r="AR9" s="1239"/>
      <c r="AS9" s="1239"/>
      <c r="AT9" s="455"/>
      <c r="AU9" s="1239"/>
      <c r="AV9" s="1239"/>
      <c r="AW9" s="638"/>
      <c r="AX9" s="638"/>
      <c r="AY9" s="484"/>
      <c r="AZ9" s="484" t="str">
        <f>IF(AX9="PT",VLOOKUP(K9,'Foundation Calculation'!$L$2:$R$41,VLOOKUP(AW9,'Foundation Calculation'!$I$2:$J$8,2,FALSE),0),IF(AX9="K",VLOOKUP(K9,'Foundation Calculation'!$L$41:$R$79,VLOOKUP(AW9,'Foundation Calculation'!$I$2:$J$8,2,FALSE),0),""))</f>
        <v/>
      </c>
      <c r="BA9" s="671"/>
      <c r="BB9" s="1239"/>
      <c r="BC9" s="169"/>
      <c r="BD9" s="1330"/>
      <c r="BE9" s="1330"/>
      <c r="BF9" s="1330"/>
      <c r="BG9" s="1330"/>
    </row>
    <row r="10" spans="1:59" ht="15.75" customHeight="1">
      <c r="A10" s="1239" t="s">
        <v>3415</v>
      </c>
      <c r="B10" s="572" t="s">
        <v>3390</v>
      </c>
      <c r="C10" s="171">
        <f>+$C$8+$G$9</f>
        <v>85165.57</v>
      </c>
      <c r="D10" s="1239"/>
      <c r="E10" s="1239"/>
      <c r="F10" s="448">
        <f>(250^2)/(85158.49-C10)</f>
        <v>-8827.6836158170318</v>
      </c>
      <c r="G10" s="455"/>
      <c r="H10" s="1239" t="s">
        <v>619</v>
      </c>
      <c r="I10" s="448" t="s">
        <v>1429</v>
      </c>
      <c r="J10" s="171"/>
      <c r="K10" s="1239"/>
      <c r="L10" s="1239" t="s">
        <v>895</v>
      </c>
      <c r="M10" s="1239" t="str">
        <f>IF(AX10="PT",VLOOKUP(L10,'Foundation Calculation'!$V$2:$X$40,VLOOKUP(AX10,'Foundation Calculation'!$I$10:$J$13,2,FALSE),0),IF(AX10="K",VLOOKUP(L10,'Foundation Calculation'!$V$42:$X$80,VLOOKUP(AX10,'Foundation Calculation'!$I$10:$J$13,2,FALSE),0),""))</f>
        <v>2C3R</v>
      </c>
      <c r="N10" s="1239" t="s">
        <v>144</v>
      </c>
      <c r="O10" s="1239" t="s">
        <v>140</v>
      </c>
      <c r="P10" s="1239"/>
      <c r="Q10" s="1239">
        <v>0</v>
      </c>
      <c r="R10" s="1239">
        <v>0</v>
      </c>
      <c r="S10" s="455"/>
      <c r="T10" s="1285">
        <v>30</v>
      </c>
      <c r="U10" s="1285">
        <v>-15</v>
      </c>
      <c r="V10" s="1239"/>
      <c r="W10" s="1239">
        <v>1.4</v>
      </c>
      <c r="X10" s="1239">
        <v>2.2999999999999998</v>
      </c>
      <c r="Y10" s="1239"/>
      <c r="Z10" s="1239"/>
      <c r="AA10" s="1239">
        <v>0.6</v>
      </c>
      <c r="AB10" s="1239"/>
      <c r="AC10" s="1239" t="s">
        <v>1421</v>
      </c>
      <c r="AD10" s="1239"/>
      <c r="AE10" s="1239"/>
      <c r="AF10" s="1239">
        <v>6000</v>
      </c>
      <c r="AG10" s="1350">
        <v>85165</v>
      </c>
      <c r="AH10" s="1285">
        <v>2253</v>
      </c>
      <c r="AI10" s="1285">
        <v>590</v>
      </c>
      <c r="AJ10" s="1239" t="s">
        <v>877</v>
      </c>
      <c r="AK10" s="1239"/>
      <c r="AL10" s="1239"/>
      <c r="AM10" s="1239" t="s">
        <v>1042</v>
      </c>
      <c r="AN10" s="455">
        <v>5.5</v>
      </c>
      <c r="AO10" s="1239"/>
      <c r="AP10" s="1239"/>
      <c r="AQ10" s="455"/>
      <c r="AR10" s="1239"/>
      <c r="AS10" s="1239"/>
      <c r="AT10" s="455">
        <f>+ab($T$10,$T$8,$T$12,$G$9,$G$11, 1*$F$10,1200)</f>
        <v>19.734731631480429</v>
      </c>
      <c r="AU10" s="1239"/>
      <c r="AV10" s="1239"/>
      <c r="AW10" s="1239" t="str">
        <f>VLOOKUP(C10,'Foundation Calculation'!$A$2:$C$33,3,1)</f>
        <v>Soil B</v>
      </c>
      <c r="AX10" s="1239" t="str">
        <f>VLOOKUP(C10,'Foundation Calculation'!$E$2:$G$33,3,1)</f>
        <v>PT</v>
      </c>
      <c r="AY10" s="455">
        <f>IF(AX10="PT",VLOOKUP(L10,'Foundation Calculation'!$K$2:$R$40,VLOOKUP(AW10,'Foundation Calculation'!$I$2:$J$8,2,FALSE),0),IF(AX10="K",VLOOKUP(L10,'Foundation Calculation'!$K$42:$R$80,VLOOKUP(AW10,'Foundation Calculation'!$I$2:$J$8,2,FALSE),0),""))</f>
        <v>3.5</v>
      </c>
      <c r="AZ10" s="455"/>
      <c r="BA10" s="671" t="s">
        <v>2809</v>
      </c>
      <c r="BB10" s="1239" t="str">
        <f>Pole_Calculations!A19</f>
        <v>App.7-V11A-P9.5.1.5</v>
      </c>
      <c r="BC10" s="169"/>
      <c r="BD10" s="1329"/>
      <c r="BE10" s="1329"/>
      <c r="BF10" s="1330"/>
      <c r="BG10" s="1329"/>
    </row>
    <row r="11" spans="1:59" ht="15.75" customHeight="1">
      <c r="A11" s="1239"/>
      <c r="B11" s="1239"/>
      <c r="C11" s="171"/>
      <c r="D11" s="1239"/>
      <c r="E11" s="1239"/>
      <c r="F11" s="448"/>
      <c r="G11" s="455">
        <v>50</v>
      </c>
      <c r="H11" s="1239"/>
      <c r="I11" s="448"/>
      <c r="J11" s="171"/>
      <c r="K11" s="1239"/>
      <c r="L11" s="1239"/>
      <c r="M11" s="1239"/>
      <c r="N11" s="1239"/>
      <c r="O11" s="1239"/>
      <c r="P11" s="1239"/>
      <c r="Q11" s="1239"/>
      <c r="R11" s="1239"/>
      <c r="S11" s="455">
        <f>AG12-AG10</f>
        <v>50</v>
      </c>
      <c r="T11" s="1239"/>
      <c r="U11" s="1239"/>
      <c r="V11" s="1239"/>
      <c r="W11" s="1239"/>
      <c r="X11" s="1239"/>
      <c r="Y11" s="1239"/>
      <c r="Z11" s="1239"/>
      <c r="AA11" s="1239"/>
      <c r="AB11" s="1239"/>
      <c r="AC11" s="1239"/>
      <c r="AD11" s="1239"/>
      <c r="AE11" s="1239"/>
      <c r="AF11" s="1239"/>
      <c r="AG11" s="171"/>
      <c r="AH11" s="1239"/>
      <c r="AI11" s="1239"/>
      <c r="AJ11" s="1239"/>
      <c r="AK11" s="1239"/>
      <c r="AL11" s="1239"/>
      <c r="AM11" s="1239"/>
      <c r="AN11" s="455"/>
      <c r="AO11" s="1239"/>
      <c r="AP11" s="1239"/>
      <c r="AQ11" s="455">
        <f>+FL_2($T$12,$U$10,$G$11,1200,9.28, 1*$F$12)</f>
        <v>-0.32221150409296567</v>
      </c>
      <c r="AR11" s="1239"/>
      <c r="AS11" s="1239"/>
      <c r="AT11" s="455"/>
      <c r="AU11" s="1239"/>
      <c r="AV11" s="1239"/>
      <c r="AW11" s="1239"/>
      <c r="AX11" s="1239"/>
      <c r="AY11" s="455"/>
      <c r="AZ11" s="455"/>
      <c r="BA11" s="1314"/>
      <c r="BB11" s="1239"/>
      <c r="BC11" s="169"/>
      <c r="BD11" s="1330"/>
      <c r="BE11" s="1330"/>
      <c r="BF11" s="1330"/>
      <c r="BG11" s="1330"/>
    </row>
    <row r="12" spans="1:59" ht="15.75" customHeight="1">
      <c r="A12" s="1239"/>
      <c r="B12" s="572" t="s">
        <v>3391</v>
      </c>
      <c r="C12" s="171">
        <f>+$C$10+$G$11</f>
        <v>85215.57</v>
      </c>
      <c r="D12" s="1239"/>
      <c r="E12" s="1239"/>
      <c r="F12" s="448">
        <v>-2504</v>
      </c>
      <c r="G12" s="455"/>
      <c r="H12" s="1239" t="s">
        <v>619</v>
      </c>
      <c r="I12" s="448"/>
      <c r="J12" s="171"/>
      <c r="K12" s="1239"/>
      <c r="L12" s="1239"/>
      <c r="M12" s="1239"/>
      <c r="N12" s="1239" t="s">
        <v>843</v>
      </c>
      <c r="O12" s="1239" t="s">
        <v>845</v>
      </c>
      <c r="P12" s="1239"/>
      <c r="Q12" s="1239">
        <v>30</v>
      </c>
      <c r="R12" s="1239">
        <v>-920.8</v>
      </c>
      <c r="S12" s="455"/>
      <c r="T12" s="1347">
        <v>-25</v>
      </c>
      <c r="U12" s="1347">
        <v>-45</v>
      </c>
      <c r="V12" s="1239"/>
      <c r="W12" s="1239">
        <v>1.4</v>
      </c>
      <c r="X12" s="1239">
        <v>2.2999999999999998</v>
      </c>
      <c r="Y12" s="1239"/>
      <c r="Z12" s="1239"/>
      <c r="AA12" s="1239">
        <v>0.6</v>
      </c>
      <c r="AB12" s="1239"/>
      <c r="AC12" s="1239" t="str">
        <f>IF(OR(AT12&gt;8,AT12&lt;-8),"PH",IF(OR(AT12&gt;5,AT12&lt;-5),"PH-Q",IF(OR(AT12&gt;1,AT12&lt;-1),"PH-C")))</f>
        <v>PH-Q</v>
      </c>
      <c r="AD12" s="1239"/>
      <c r="AE12" s="1239"/>
      <c r="AF12" s="1239"/>
      <c r="AG12" s="1415">
        <v>85215</v>
      </c>
      <c r="AH12" s="1347">
        <v>5043</v>
      </c>
      <c r="AI12" s="1347">
        <v>150</v>
      </c>
      <c r="AJ12" s="1239"/>
      <c r="AK12" s="1239" t="s">
        <v>228</v>
      </c>
      <c r="AL12" s="1239"/>
      <c r="AM12" s="1239"/>
      <c r="AN12" s="455">
        <v>5.5</v>
      </c>
      <c r="AO12" s="1239"/>
      <c r="AP12" s="1239"/>
      <c r="AQ12" s="455"/>
      <c r="AR12" s="1239"/>
      <c r="AS12" s="1239"/>
      <c r="AT12" s="455">
        <f>+ab($T$12,$T$10,$T$14,$G$11,$G$13, 1*$F$12,1200)</f>
        <v>-5.8981037204868132</v>
      </c>
      <c r="AU12" s="1239"/>
      <c r="AV12" s="1239"/>
      <c r="AW12" s="1239"/>
      <c r="AX12" s="1239"/>
      <c r="AY12" s="455"/>
      <c r="AZ12" s="455"/>
      <c r="BA12" s="1314"/>
      <c r="BB12" s="1239"/>
      <c r="BC12" s="169"/>
      <c r="BD12" s="1330"/>
      <c r="BE12" s="1329"/>
      <c r="BF12" s="1330"/>
      <c r="BG12" s="1329"/>
    </row>
    <row r="13" spans="1:59" ht="15.75" customHeight="1">
      <c r="A13" s="1239"/>
      <c r="B13" s="1239"/>
      <c r="C13" s="171"/>
      <c r="D13" s="1239"/>
      <c r="E13" s="1239"/>
      <c r="F13" s="448"/>
      <c r="G13" s="455">
        <v>52.5</v>
      </c>
      <c r="H13" s="1239"/>
      <c r="I13" s="448"/>
      <c r="J13" s="171"/>
      <c r="K13" s="1239"/>
      <c r="L13" s="1239"/>
      <c r="M13" s="1239"/>
      <c r="N13" s="1239"/>
      <c r="O13" s="1239"/>
      <c r="P13" s="1239"/>
      <c r="Q13" s="1239"/>
      <c r="R13" s="1239"/>
      <c r="S13" s="455">
        <f>AG14-AG12</f>
        <v>53</v>
      </c>
      <c r="T13" s="1239"/>
      <c r="U13" s="1239"/>
      <c r="V13" s="1239"/>
      <c r="W13" s="1239"/>
      <c r="X13" s="1239"/>
      <c r="Y13" s="1239"/>
      <c r="Z13" s="1239"/>
      <c r="AA13" s="1239"/>
      <c r="AB13" s="1239"/>
      <c r="AC13" s="1239"/>
      <c r="AD13" s="1239"/>
      <c r="AE13" s="1239"/>
      <c r="AF13" s="1239"/>
      <c r="AG13" s="171"/>
      <c r="AH13" s="1239"/>
      <c r="AI13" s="1239"/>
      <c r="AJ13" s="1239"/>
      <c r="AK13" s="1239"/>
      <c r="AL13" s="1239"/>
      <c r="AM13" s="1239"/>
      <c r="AN13" s="455"/>
      <c r="AO13" s="1239"/>
      <c r="AP13" s="1239"/>
      <c r="AQ13" s="455">
        <f>+FL_2($T$14,$T$12,$G$13,1200,9.28, 1*$F$14)</f>
        <v>-0.41119086416953898</v>
      </c>
      <c r="AR13" s="1239"/>
      <c r="AS13" s="1239"/>
      <c r="AT13" s="455"/>
      <c r="AU13" s="1239"/>
      <c r="AV13" s="1239"/>
      <c r="AW13" s="1239"/>
      <c r="AX13" s="1239"/>
      <c r="AY13" s="455"/>
      <c r="AZ13" s="455"/>
      <c r="BA13" s="1314"/>
      <c r="BB13" s="1239"/>
      <c r="BC13" s="169"/>
      <c r="BD13" s="1330"/>
      <c r="BE13" s="1330"/>
      <c r="BF13" s="1330"/>
      <c r="BG13" s="1330"/>
    </row>
    <row r="14" spans="1:59" ht="15.75" customHeight="1">
      <c r="A14" s="1239"/>
      <c r="B14" s="572" t="s">
        <v>3392</v>
      </c>
      <c r="C14" s="171">
        <f>+$C$12+$G$13</f>
        <v>85268.07</v>
      </c>
      <c r="D14" s="1239"/>
      <c r="E14" s="1239"/>
      <c r="F14" s="448">
        <f>-(250^2)/(85282.78-C14)</f>
        <v>-4248.8103331090842</v>
      </c>
      <c r="G14" s="455"/>
      <c r="H14" s="1239"/>
      <c r="I14" s="448"/>
      <c r="J14" s="171"/>
      <c r="K14" s="1239"/>
      <c r="L14" s="1239"/>
      <c r="M14" s="1239"/>
      <c r="N14" s="1239" t="s">
        <v>843</v>
      </c>
      <c r="O14" s="1239"/>
      <c r="P14" s="1239"/>
      <c r="Q14" s="1239">
        <v>20</v>
      </c>
      <c r="R14" s="1239">
        <v>0</v>
      </c>
      <c r="S14" s="455"/>
      <c r="T14" s="1347">
        <v>-20</v>
      </c>
      <c r="U14" s="1239"/>
      <c r="V14" s="1239"/>
      <c r="W14" s="1239">
        <v>1.4</v>
      </c>
      <c r="X14" s="1239"/>
      <c r="Y14" s="1239"/>
      <c r="Z14" s="1239"/>
      <c r="AA14" s="1239"/>
      <c r="AB14" s="1239"/>
      <c r="AC14" s="1239" t="str">
        <f>IF(OR(AT14&gt;8,AT14&lt;-8),"PH",IF(OR(AT14&gt;5,AT14&lt;-5),"PH-Q",IF(OR(AT14&gt;1,AT14&lt;-1),"PH-C")))</f>
        <v>PH</v>
      </c>
      <c r="AD14" s="1239"/>
      <c r="AE14" s="1239"/>
      <c r="AF14" s="1239"/>
      <c r="AG14" s="1415">
        <v>85268</v>
      </c>
      <c r="AH14" s="1347">
        <v>4973</v>
      </c>
      <c r="AI14" s="1347">
        <v>320</v>
      </c>
      <c r="AJ14" s="1239"/>
      <c r="AK14" s="1239" t="s">
        <v>139</v>
      </c>
      <c r="AL14" s="1239"/>
      <c r="AM14" s="1239"/>
      <c r="AN14" s="455">
        <v>5.5</v>
      </c>
      <c r="AO14" s="1239"/>
      <c r="AP14" s="1239"/>
      <c r="AQ14" s="455"/>
      <c r="AR14" s="1239"/>
      <c r="AS14" s="1239"/>
      <c r="AT14" s="455">
        <f>+ab($T$14,$T$12,$T$16,$G$13,$G$15, 1*$F$14,1200)</f>
        <v>-9.4554532135854021</v>
      </c>
      <c r="AU14" s="1239"/>
      <c r="AV14" s="1239"/>
      <c r="AW14" s="1239"/>
      <c r="AX14" s="1239"/>
      <c r="AY14" s="455"/>
      <c r="AZ14" s="455"/>
      <c r="BA14" s="1314"/>
      <c r="BB14" s="1239"/>
      <c r="BC14" s="169"/>
      <c r="BD14" s="1330"/>
      <c r="BE14" s="1329"/>
      <c r="BF14" s="1330"/>
      <c r="BG14" s="1329"/>
    </row>
    <row r="15" spans="1:59" ht="15.75" customHeight="1">
      <c r="A15" s="1239"/>
      <c r="B15" s="1239"/>
      <c r="C15" s="171"/>
      <c r="D15" s="1239"/>
      <c r="E15" s="1239"/>
      <c r="F15" s="448"/>
      <c r="G15" s="455">
        <v>50</v>
      </c>
      <c r="H15" s="1239"/>
      <c r="I15" s="448"/>
      <c r="J15" s="171">
        <f>C16-7.5</f>
        <v>85310.57</v>
      </c>
      <c r="K15" s="1239" t="s">
        <v>2788</v>
      </c>
      <c r="L15" s="1239"/>
      <c r="M15" s="1239"/>
      <c r="N15" s="1239"/>
      <c r="O15" s="1239"/>
      <c r="P15" s="1239"/>
      <c r="Q15" s="1239"/>
      <c r="R15" s="1239"/>
      <c r="S15" s="455">
        <f>AG16-AG14</f>
        <v>50</v>
      </c>
      <c r="T15" s="1239"/>
      <c r="U15" s="1239"/>
      <c r="V15" s="1239"/>
      <c r="W15" s="1239"/>
      <c r="X15" s="1239"/>
      <c r="Y15" s="1239"/>
      <c r="Z15" s="1239"/>
      <c r="AA15" s="1239"/>
      <c r="AB15" s="1239"/>
      <c r="AC15" s="1239"/>
      <c r="AD15" s="1239"/>
      <c r="AE15" s="1239"/>
      <c r="AF15" s="1239"/>
      <c r="AG15" s="1350"/>
      <c r="AH15" s="1285"/>
      <c r="AI15" s="1285"/>
      <c r="AJ15" s="1239"/>
      <c r="AK15" s="1239"/>
      <c r="AL15" s="1239"/>
      <c r="AM15" s="1239"/>
      <c r="AN15" s="455"/>
      <c r="AO15" s="1239"/>
      <c r="AP15" s="1239"/>
      <c r="AQ15" s="455">
        <f>+FL_1($T$16,$T$14,$G$15,1200,9.28, 1*$F$16)</f>
        <v>0.31903735466666666</v>
      </c>
      <c r="AR15" s="1239"/>
      <c r="AS15" s="1239"/>
      <c r="AT15" s="455"/>
      <c r="AU15" s="1239"/>
      <c r="AV15" s="1239"/>
      <c r="AW15" s="638" t="str">
        <f>VLOOKUP(J15,'Foundation Calculation'!$A$2:$C$33,3,1)</f>
        <v>Soil B</v>
      </c>
      <c r="AX15" s="638" t="str">
        <f>VLOOKUP(J15,'Foundation Calculation'!$E$2:$G$33,3,1)</f>
        <v>PT</v>
      </c>
      <c r="AY15" s="484"/>
      <c r="AZ15" s="484">
        <f>IF(AX15="PT",VLOOKUP(K15,'Foundation Calculation'!$K$2:$R$40,VLOOKUP(AW15,'Foundation Calculation'!$I$2:$J$8,2,FALSE),0),IF(AX15="K",VLOOKUP(K15,'Foundation Calculation'!$K$42:$R$80,VLOOKUP(AW15,'Foundation Calculation'!$I$2:$J$8,2,FALSE),0),""))</f>
        <v>2.8</v>
      </c>
      <c r="BA15" s="671" t="s">
        <v>2809</v>
      </c>
      <c r="BB15" s="1239"/>
      <c r="BC15" s="169"/>
      <c r="BD15" s="1329"/>
      <c r="BE15" s="1330"/>
      <c r="BF15" s="1330"/>
      <c r="BG15" s="1330"/>
    </row>
    <row r="16" spans="1:59" ht="15.75" customHeight="1">
      <c r="A16" s="1239"/>
      <c r="B16" s="572" t="s">
        <v>3393</v>
      </c>
      <c r="C16" s="171">
        <f>+$C$14+$G$15</f>
        <v>85318.07</v>
      </c>
      <c r="D16" s="1239"/>
      <c r="E16" s="1239"/>
      <c r="F16" s="448">
        <v>0</v>
      </c>
      <c r="G16" s="455"/>
      <c r="H16" s="1239"/>
      <c r="I16" s="448" t="s">
        <v>1039</v>
      </c>
      <c r="J16" s="171"/>
      <c r="K16" s="1239"/>
      <c r="L16" s="1239" t="s">
        <v>229</v>
      </c>
      <c r="M16" s="1239" t="str">
        <f>IF(AX16="PT",VLOOKUP(L16,'Foundation Calculation'!$V$2:$X$40,VLOOKUP(AX16,'Foundation Calculation'!$I$10:$J$13,2,FALSE),0),IF(AX16="K",VLOOKUP(L16,'Foundation Calculation'!$V$42:$X$80,VLOOKUP(AX16,'Foundation Calculation'!$I$10:$J$13,2,FALSE),0),""))</f>
        <v>C3R</v>
      </c>
      <c r="N16" s="1239" t="s">
        <v>144</v>
      </c>
      <c r="O16" s="1239"/>
      <c r="P16" s="1239"/>
      <c r="Q16" s="1239">
        <v>0</v>
      </c>
      <c r="R16" s="1239">
        <v>0</v>
      </c>
      <c r="S16" s="455"/>
      <c r="T16" s="1285">
        <v>25</v>
      </c>
      <c r="U16" s="1285"/>
      <c r="V16" s="1285"/>
      <c r="W16" s="1285">
        <v>1.4</v>
      </c>
      <c r="X16" s="1285"/>
      <c r="Y16" s="1285"/>
      <c r="Z16" s="1285"/>
      <c r="AA16" s="1285"/>
      <c r="AB16" s="1285"/>
      <c r="AC16" s="1285" t="s">
        <v>1421</v>
      </c>
      <c r="AD16" s="1285"/>
      <c r="AE16" s="1285"/>
      <c r="AF16" s="1285">
        <v>5800</v>
      </c>
      <c r="AG16" s="1350">
        <v>85318</v>
      </c>
      <c r="AH16" s="1285">
        <v>2363</v>
      </c>
      <c r="AI16" s="1285">
        <v>20</v>
      </c>
      <c r="AJ16" s="1239"/>
      <c r="AK16" s="1239"/>
      <c r="AL16" s="1239"/>
      <c r="AM16" s="1239" t="s">
        <v>1042</v>
      </c>
      <c r="AN16" s="455">
        <v>5.5</v>
      </c>
      <c r="AO16" s="1239"/>
      <c r="AP16" s="1239"/>
      <c r="AQ16" s="455"/>
      <c r="AR16" s="1239"/>
      <c r="AS16" s="1239"/>
      <c r="AT16" s="455">
        <f>+ab($T$16,$T$14,$T$18,$G$15,$G$17, 1*$F$16,1200)</f>
        <v>9.0614126315851067</v>
      </c>
      <c r="AU16" s="1239"/>
      <c r="AV16" s="1239"/>
      <c r="AW16" s="1239" t="str">
        <f>VLOOKUP(C16,'Foundation Calculation'!$A$2:$C$33,3,1)</f>
        <v>Soil B</v>
      </c>
      <c r="AX16" s="1239" t="str">
        <f>VLOOKUP(C16,'Foundation Calculation'!$E$2:$G$33,3,1)</f>
        <v>PT</v>
      </c>
      <c r="AY16" s="455">
        <f>IF(AX16="PT",VLOOKUP(L16,'Foundation Calculation'!$K$2:$R$40,VLOOKUP(AW16,'Foundation Calculation'!$I$2:$J$8,2,FALSE),0),IF(AX16="K",VLOOKUP(L16,'Foundation Calculation'!$K$42:$R$80,VLOOKUP(AW16,'Foundation Calculation'!$I$2:$J$8,2,FALSE),0),""))</f>
        <v>3.5</v>
      </c>
      <c r="AZ16" s="455"/>
      <c r="BA16" s="671" t="s">
        <v>2809</v>
      </c>
      <c r="BB16" s="1239" t="str">
        <f>Pole_Calculations!A15</f>
        <v>App.7-V11A-P9.5.1.1</v>
      </c>
      <c r="BC16" s="169"/>
      <c r="BD16" s="1329"/>
      <c r="BE16" s="1329"/>
      <c r="BF16" s="1330"/>
      <c r="BG16" s="1329"/>
    </row>
    <row r="17" spans="1:59" ht="15.75" customHeight="1">
      <c r="A17" s="1239"/>
      <c r="B17" s="1239"/>
      <c r="C17" s="171"/>
      <c r="D17" s="1239"/>
      <c r="E17" s="1239"/>
      <c r="F17" s="448"/>
      <c r="G17" s="455">
        <v>50</v>
      </c>
      <c r="H17" s="1239"/>
      <c r="I17" s="448"/>
      <c r="J17" s="171"/>
      <c r="K17" s="1239"/>
      <c r="L17" s="1239"/>
      <c r="M17" s="1239"/>
      <c r="N17" s="1239"/>
      <c r="O17" s="1239"/>
      <c r="P17" s="1239"/>
      <c r="Q17" s="1239"/>
      <c r="R17" s="1239"/>
      <c r="S17" s="455">
        <f>AG18-AG16</f>
        <v>50</v>
      </c>
      <c r="T17" s="1239"/>
      <c r="U17" s="1239"/>
      <c r="V17" s="1239"/>
      <c r="W17" s="1239"/>
      <c r="X17" s="1239"/>
      <c r="Y17" s="1239"/>
      <c r="Z17" s="1239"/>
      <c r="AA17" s="1239"/>
      <c r="AB17" s="1239"/>
      <c r="AC17" s="1239"/>
      <c r="AD17" s="1239"/>
      <c r="AE17" s="1239"/>
      <c r="AF17" s="1239"/>
      <c r="AG17" s="1350"/>
      <c r="AH17" s="1285"/>
      <c r="AI17" s="1285"/>
      <c r="AJ17" s="1239"/>
      <c r="AK17" s="1239"/>
      <c r="AL17" s="1239"/>
      <c r="AM17" s="1239"/>
      <c r="AN17" s="455"/>
      <c r="AO17" s="1239"/>
      <c r="AP17" s="1239"/>
      <c r="AQ17" s="455">
        <f>+FL_2($T$18,$T$16,$G$17,1200,9.28, 1*$F$18)</f>
        <v>-0.384770112</v>
      </c>
      <c r="AR17" s="1239"/>
      <c r="AS17" s="1239"/>
      <c r="AT17" s="455"/>
      <c r="AU17" s="1239"/>
      <c r="AV17" s="1239"/>
      <c r="AW17" s="1239"/>
      <c r="AX17" s="1239"/>
      <c r="AY17" s="484"/>
      <c r="AZ17" s="455"/>
      <c r="BA17" s="1314"/>
      <c r="BB17" s="1239"/>
      <c r="BC17" s="169"/>
      <c r="BD17" s="1330"/>
      <c r="BE17" s="1330"/>
      <c r="BF17" s="1330"/>
      <c r="BG17" s="1330"/>
    </row>
    <row r="18" spans="1:59" ht="15.75" customHeight="1">
      <c r="A18" s="1239"/>
      <c r="B18" s="572" t="s">
        <v>3394</v>
      </c>
      <c r="C18" s="171">
        <f>+$C$16+$G$17</f>
        <v>85368.07</v>
      </c>
      <c r="D18" s="1239"/>
      <c r="E18" s="1239"/>
      <c r="F18" s="448">
        <v>0</v>
      </c>
      <c r="G18" s="455"/>
      <c r="H18" s="1239"/>
      <c r="I18" s="448"/>
      <c r="J18" s="171"/>
      <c r="K18" s="1239"/>
      <c r="L18" s="1239" t="s">
        <v>229</v>
      </c>
      <c r="M18" s="1239" t="str">
        <f>IF(AX18="PT",VLOOKUP(L18,'Foundation Calculation'!$V$2:$X$40,VLOOKUP(AX18,'Foundation Calculation'!$I$10:$J$13,2,FALSE),0),IF(AX18="K",VLOOKUP(L18,'Foundation Calculation'!$V$42:$X$80,VLOOKUP(AX18,'Foundation Calculation'!$I$10:$J$13,2,FALSE),0),""))</f>
        <v>C3R</v>
      </c>
      <c r="N18" s="1239" t="s">
        <v>143</v>
      </c>
      <c r="O18" s="1239"/>
      <c r="P18" s="1239"/>
      <c r="Q18" s="1239">
        <v>0</v>
      </c>
      <c r="R18" s="1239">
        <v>0</v>
      </c>
      <c r="S18" s="455"/>
      <c r="T18" s="1285">
        <v>-35</v>
      </c>
      <c r="U18" s="1239"/>
      <c r="V18" s="1239"/>
      <c r="W18" s="1239">
        <v>1.4</v>
      </c>
      <c r="X18" s="1239"/>
      <c r="Y18" s="1239"/>
      <c r="Z18" s="1239"/>
      <c r="AA18" s="1239"/>
      <c r="AB18" s="1239"/>
      <c r="AC18" s="1239" t="s">
        <v>4090</v>
      </c>
      <c r="AD18" s="1239"/>
      <c r="AE18" s="1239"/>
      <c r="AF18" s="1285">
        <v>5800</v>
      </c>
      <c r="AG18" s="1350">
        <v>85368</v>
      </c>
      <c r="AH18" s="1285">
        <v>2383</v>
      </c>
      <c r="AI18" s="1285">
        <v>60</v>
      </c>
      <c r="AJ18" s="1239"/>
      <c r="AK18" s="1239"/>
      <c r="AL18" s="1239"/>
      <c r="AM18" s="1239" t="s">
        <v>1042</v>
      </c>
      <c r="AN18" s="455">
        <v>5.5</v>
      </c>
      <c r="AO18" s="1239"/>
      <c r="AP18" s="1239"/>
      <c r="AQ18" s="455"/>
      <c r="AR18" s="1239"/>
      <c r="AS18" s="1239"/>
      <c r="AT18" s="455">
        <f>+ab($T$18,$T$16,$T$20,$G$17,$G$19, 1*$F$18,1200)</f>
        <v>-7.340081125831099</v>
      </c>
      <c r="AU18" s="1239"/>
      <c r="AV18" s="1239"/>
      <c r="AW18" s="1239" t="str">
        <f>VLOOKUP(C18,'Foundation Calculation'!$A$2:$C$33,3,1)</f>
        <v>Soil B</v>
      </c>
      <c r="AX18" s="1239" t="str">
        <f>VLOOKUP(C18,'Foundation Calculation'!$E$2:$G$33,3,1)</f>
        <v>PT</v>
      </c>
      <c r="AY18" s="455">
        <f>IF(AX18="PT",VLOOKUP(L18,'Foundation Calculation'!$K$2:$R$40,VLOOKUP(AW18,'Foundation Calculation'!$I$2:$J$8,2,FALSE),0),IF(AX18="K",VLOOKUP(L18,'Foundation Calculation'!$K$42:$R$80,VLOOKUP(AW18,'Foundation Calculation'!$I$2:$J$8,2,FALSE),0),""))</f>
        <v>3.5</v>
      </c>
      <c r="AZ18" s="455"/>
      <c r="BA18" s="671" t="s">
        <v>2809</v>
      </c>
      <c r="BB18" s="1239" t="str">
        <f>Pole_Calculations!A15</f>
        <v>App.7-V11A-P9.5.1.1</v>
      </c>
      <c r="BC18" s="169"/>
      <c r="BD18" s="1329"/>
      <c r="BE18" s="1329"/>
      <c r="BF18" s="1330"/>
      <c r="BG18" s="1329"/>
    </row>
    <row r="19" spans="1:59" ht="15.75" customHeight="1">
      <c r="A19" s="1239"/>
      <c r="B19" s="1239"/>
      <c r="C19" s="171"/>
      <c r="D19" s="1239"/>
      <c r="E19" s="1239"/>
      <c r="F19" s="448"/>
      <c r="G19" s="455">
        <v>50</v>
      </c>
      <c r="H19" s="1239"/>
      <c r="I19" s="448"/>
      <c r="J19" s="171">
        <f>C20-7.5</f>
        <v>85410.57</v>
      </c>
      <c r="K19" s="1239" t="s">
        <v>2788</v>
      </c>
      <c r="L19" s="1239"/>
      <c r="M19" s="1239"/>
      <c r="N19" s="1239"/>
      <c r="O19" s="1239"/>
      <c r="P19" s="1239"/>
      <c r="Q19" s="1239"/>
      <c r="R19" s="1239"/>
      <c r="S19" s="455">
        <f>AG20-AG18</f>
        <v>50</v>
      </c>
      <c r="T19" s="1239"/>
      <c r="U19" s="1239"/>
      <c r="V19" s="1239"/>
      <c r="W19" s="1239"/>
      <c r="X19" s="1239"/>
      <c r="Y19" s="1239"/>
      <c r="Z19" s="1239"/>
      <c r="AA19" s="1239"/>
      <c r="AB19" s="1239"/>
      <c r="AC19" s="1239"/>
      <c r="AD19" s="1239"/>
      <c r="AE19" s="1239"/>
      <c r="AF19" s="1239"/>
      <c r="AG19" s="171"/>
      <c r="AH19" s="1239"/>
      <c r="AI19" s="1239"/>
      <c r="AJ19" s="1239"/>
      <c r="AK19" s="1239"/>
      <c r="AL19" s="1239"/>
      <c r="AM19" s="1239"/>
      <c r="AN19" s="455"/>
      <c r="AO19" s="1239"/>
      <c r="AP19" s="1239"/>
      <c r="AQ19" s="455">
        <f>+FL_2($T$20,$T$18,$G$19,1200,9.28, 1*$F$20)</f>
        <v>-0.38513042393269048</v>
      </c>
      <c r="AR19" s="1239"/>
      <c r="AS19" s="1239"/>
      <c r="AT19" s="455"/>
      <c r="AU19" s="1239"/>
      <c r="AV19" s="1239"/>
      <c r="AW19" s="638" t="str">
        <f>VLOOKUP(J19,'Foundation Calculation'!$A$2:$C$33,3,1)</f>
        <v>Soil B</v>
      </c>
      <c r="AX19" s="638" t="str">
        <f>VLOOKUP(J19,'Foundation Calculation'!$E$2:$G$33,3,1)</f>
        <v>PT</v>
      </c>
      <c r="AY19" s="484"/>
      <c r="AZ19" s="484">
        <f>IF(AX19="PT",VLOOKUP(K19,'Foundation Calculation'!$K$2:$R$40,VLOOKUP(AW19,'Foundation Calculation'!$I$2:$J$8,2,FALSE),0),IF(AX19="K",VLOOKUP(K19,'Foundation Calculation'!$K$42:$R$80,VLOOKUP(AW19,'Foundation Calculation'!$I$2:$J$8,2,FALSE),0),""))</f>
        <v>2.8</v>
      </c>
      <c r="BA19" s="671" t="s">
        <v>2809</v>
      </c>
      <c r="BB19" s="1239"/>
      <c r="BC19" s="169"/>
      <c r="BD19" s="1329"/>
      <c r="BE19" s="1330"/>
      <c r="BF19" s="1330"/>
      <c r="BG19" s="1330"/>
    </row>
    <row r="20" spans="1:59" ht="15.75" customHeight="1">
      <c r="A20" s="1239"/>
      <c r="B20" s="572" t="s">
        <v>3395</v>
      </c>
      <c r="C20" s="171">
        <f>+$C$18+$G$19</f>
        <v>85418.07</v>
      </c>
      <c r="D20" s="1239"/>
      <c r="E20" s="1239"/>
      <c r="F20" s="448">
        <v>10000</v>
      </c>
      <c r="G20" s="455"/>
      <c r="H20" s="1239" t="s">
        <v>873</v>
      </c>
      <c r="I20" s="448"/>
      <c r="J20" s="171"/>
      <c r="K20" s="1239"/>
      <c r="L20" s="1239" t="s">
        <v>818</v>
      </c>
      <c r="M20" s="1239" t="str">
        <f>IF(AX20="PT",VLOOKUP(L20,'Foundation Calculation'!$V$2:$X$40,VLOOKUP(AX20,'Foundation Calculation'!$I$10:$J$13,2,FALSE),0),IF(AX20="K",VLOOKUP(L20,'Foundation Calculation'!$V$42:$X$80,VLOOKUP(AX20,'Foundation Calculation'!$I$10:$J$13,2,FALSE),0),""))</f>
        <v>C4R</v>
      </c>
      <c r="N20" s="1239" t="s">
        <v>144</v>
      </c>
      <c r="O20" s="1239"/>
      <c r="P20" s="1239"/>
      <c r="Q20" s="1239">
        <v>0</v>
      </c>
      <c r="R20" s="1239">
        <v>0</v>
      </c>
      <c r="S20" s="455"/>
      <c r="T20" s="1285">
        <v>35</v>
      </c>
      <c r="U20" s="1285"/>
      <c r="V20" s="1285"/>
      <c r="W20" s="1285">
        <v>1.4</v>
      </c>
      <c r="X20" s="1285"/>
      <c r="Y20" s="1285"/>
      <c r="Z20" s="1285"/>
      <c r="AA20" s="1285"/>
      <c r="AB20" s="1285"/>
      <c r="AC20" s="1285" t="s">
        <v>4090</v>
      </c>
      <c r="AD20" s="1285"/>
      <c r="AE20" s="1285"/>
      <c r="AF20" s="1285">
        <v>6000</v>
      </c>
      <c r="AG20" s="1350">
        <v>85418</v>
      </c>
      <c r="AH20" s="1285">
        <v>1983</v>
      </c>
      <c r="AI20" s="1285">
        <v>450</v>
      </c>
      <c r="AJ20" s="1239"/>
      <c r="AK20" s="1239"/>
      <c r="AL20" s="1239"/>
      <c r="AM20" s="1239" t="s">
        <v>1042</v>
      </c>
      <c r="AN20" s="455">
        <v>5.5</v>
      </c>
      <c r="AO20" s="1239"/>
      <c r="AP20" s="1239"/>
      <c r="AQ20" s="455"/>
      <c r="AR20" s="1239"/>
      <c r="AS20" s="1239"/>
      <c r="AT20" s="455">
        <f>+ab($T$20,$T$18,$T$22,$G$19,$G$21, 1*$F$20,1200)</f>
        <v>5.7950867854733401</v>
      </c>
      <c r="AU20" s="1239"/>
      <c r="AV20" s="1239"/>
      <c r="AW20" s="1239" t="str">
        <f>VLOOKUP(C20,'Foundation Calculation'!$A$2:$C$33,3,1)</f>
        <v>Soil B</v>
      </c>
      <c r="AX20" s="1239" t="str">
        <f>VLOOKUP(C20,'Foundation Calculation'!$E$2:$G$33,3,1)</f>
        <v>PT</v>
      </c>
      <c r="AY20" s="455">
        <f>IF(AX20="PT",VLOOKUP(L20,'Foundation Calculation'!$K$2:$R$40,VLOOKUP(AW20,'Foundation Calculation'!$I$2:$J$8,2,FALSE),0),IF(AX20="K",VLOOKUP(L20,'Foundation Calculation'!$K$42:$R$80,VLOOKUP(AW20,'Foundation Calculation'!$I$2:$J$8,2,FALSE),0),""))</f>
        <v>3.5</v>
      </c>
      <c r="AZ20" s="455"/>
      <c r="BA20" s="671" t="s">
        <v>2809</v>
      </c>
      <c r="BB20" s="1239" t="str">
        <f>Pole_Calculations!A17</f>
        <v>App.7-V11A-P9.5.1.3</v>
      </c>
      <c r="BC20" s="169"/>
      <c r="BD20" s="1329"/>
      <c r="BE20" s="1329"/>
      <c r="BF20" s="1330"/>
      <c r="BG20" s="1329"/>
    </row>
    <row r="21" spans="1:59" ht="15.75" customHeight="1">
      <c r="A21" s="1239"/>
      <c r="B21" s="1239"/>
      <c r="C21" s="171"/>
      <c r="D21" s="1239"/>
      <c r="E21" s="1239"/>
      <c r="F21" s="448"/>
      <c r="G21" s="455">
        <v>50</v>
      </c>
      <c r="H21" s="1239"/>
      <c r="I21" s="448">
        <f>C22-C6</f>
        <v>402.5</v>
      </c>
      <c r="J21" s="171"/>
      <c r="K21" s="1239"/>
      <c r="L21" s="1239"/>
      <c r="M21" s="1239"/>
      <c r="N21" s="1239"/>
      <c r="O21" s="1239"/>
      <c r="P21" s="1239"/>
      <c r="Q21" s="1239"/>
      <c r="R21" s="1239"/>
      <c r="S21" s="455">
        <f>AG22-AG20</f>
        <v>50</v>
      </c>
      <c r="T21" s="1239"/>
      <c r="U21" s="1239"/>
      <c r="V21" s="1239"/>
      <c r="W21" s="1239"/>
      <c r="X21" s="1239"/>
      <c r="Y21" s="1239"/>
      <c r="Z21" s="1239"/>
      <c r="AA21" s="1239"/>
      <c r="AB21" s="1239"/>
      <c r="AC21" s="1239"/>
      <c r="AD21" s="1239"/>
      <c r="AE21" s="1239"/>
      <c r="AF21" s="1239"/>
      <c r="AG21" s="171"/>
      <c r="AH21" s="1239"/>
      <c r="AI21" s="1239"/>
      <c r="AJ21" s="1239"/>
      <c r="AK21" s="1239"/>
      <c r="AL21" s="1239"/>
      <c r="AM21" s="1239"/>
      <c r="AN21" s="455"/>
      <c r="AO21" s="1239"/>
      <c r="AP21" s="1239"/>
      <c r="AQ21" s="455">
        <f>+FL_1($T$22,$T$20,$G$21,1200,9.28, 1*$F$22)</f>
        <v>0.35596121502119549</v>
      </c>
      <c r="AR21" s="1239"/>
      <c r="AS21" s="1239"/>
      <c r="AT21" s="455"/>
      <c r="AU21" s="1239"/>
      <c r="AV21" s="1239"/>
      <c r="AW21" s="1239"/>
      <c r="AX21" s="1239"/>
      <c r="AY21" s="484"/>
      <c r="AZ21" s="455"/>
      <c r="BA21" s="1314"/>
      <c r="BB21" s="1239"/>
      <c r="BC21" s="169"/>
      <c r="BD21" s="1330"/>
      <c r="BE21" s="1330"/>
      <c r="BF21" s="1330"/>
      <c r="BG21" s="1330"/>
    </row>
    <row r="22" spans="1:59" ht="15.75" customHeight="1">
      <c r="A22" s="1239"/>
      <c r="B22" s="1239" t="s">
        <v>3396</v>
      </c>
      <c r="C22" s="171">
        <f>+$C$20+$G$21</f>
        <v>85468.07</v>
      </c>
      <c r="D22" s="1239"/>
      <c r="E22" s="1239"/>
      <c r="F22" s="448">
        <v>10000</v>
      </c>
      <c r="G22" s="455"/>
      <c r="H22" s="1239" t="s">
        <v>874</v>
      </c>
      <c r="I22" s="448"/>
      <c r="J22" s="171"/>
      <c r="K22" s="1239"/>
      <c r="L22" s="1239" t="s">
        <v>229</v>
      </c>
      <c r="M22" s="1239" t="str">
        <f>IF(AX22="PT",VLOOKUP(L22,'Foundation Calculation'!$V$2:$X$40,VLOOKUP(AX22,'Foundation Calculation'!$I$10:$J$13,2,FALSE),0),IF(AX22="K",VLOOKUP(L22,'Foundation Calculation'!$V$42:$X$80,VLOOKUP(AX22,'Foundation Calculation'!$I$10:$J$13,2,FALSE),0),""))</f>
        <v>C3R</v>
      </c>
      <c r="N22" s="1239" t="s">
        <v>143</v>
      </c>
      <c r="O22" s="1239"/>
      <c r="P22" s="1239"/>
      <c r="Q22" s="1239">
        <v>0</v>
      </c>
      <c r="R22" s="1239">
        <v>0</v>
      </c>
      <c r="S22" s="455"/>
      <c r="T22" s="1239">
        <v>-35</v>
      </c>
      <c r="U22" s="1239"/>
      <c r="V22" s="1239"/>
      <c r="W22" s="1239">
        <v>1.4</v>
      </c>
      <c r="X22" s="1239"/>
      <c r="Y22" s="1239"/>
      <c r="Z22" s="1239"/>
      <c r="AA22" s="1239"/>
      <c r="AB22" s="1239"/>
      <c r="AC22" s="1239" t="s">
        <v>4090</v>
      </c>
      <c r="AD22" s="1239"/>
      <c r="AE22" s="1239"/>
      <c r="AF22" s="1239">
        <v>6000</v>
      </c>
      <c r="AG22" s="171">
        <v>85468</v>
      </c>
      <c r="AH22" s="1239">
        <v>2073</v>
      </c>
      <c r="AI22" s="1239">
        <v>410</v>
      </c>
      <c r="AJ22" s="1239"/>
      <c r="AK22" s="1239"/>
      <c r="AL22" s="1239"/>
      <c r="AM22" s="1239" t="s">
        <v>1042</v>
      </c>
      <c r="AN22" s="455">
        <v>5.5</v>
      </c>
      <c r="AO22" s="1239"/>
      <c r="AP22" s="1239"/>
      <c r="AQ22" s="455"/>
      <c r="AR22" s="1239"/>
      <c r="AS22" s="1239"/>
      <c r="AT22" s="455">
        <f>+ab($T$22,$T$20,$T$24,$G$21,$G$23, 1*$F$22,1200)</f>
        <v>-8.5180553132563226</v>
      </c>
      <c r="AU22" s="1239"/>
      <c r="AV22" s="1239"/>
      <c r="AW22" s="638" t="str">
        <f>VLOOKUP(C22,'Foundation Calculation'!$A$2:$C$33,3,1)</f>
        <v>Soil B</v>
      </c>
      <c r="AX22" s="638" t="str">
        <f>VLOOKUP(C22,'Foundation Calculation'!$E$2:$G$33,3,1)</f>
        <v>PT</v>
      </c>
      <c r="AY22" s="484">
        <f>IF(AX22="PT",VLOOKUP(L22,'Foundation Calculation'!$K$2:$R$40,VLOOKUP(AW22,'Foundation Calculation'!$I$2:$J$8,2,FALSE),0),IF(AX22="K",VLOOKUP(L22,'Foundation Calculation'!$K$42:$R$80,VLOOKUP(AW22,'Foundation Calculation'!$I$2:$J$8,2,FALSE),0),""))</f>
        <v>3.5</v>
      </c>
      <c r="AZ22" s="484"/>
      <c r="BA22" s="671" t="s">
        <v>2809</v>
      </c>
      <c r="BB22" s="1239" t="str">
        <f>Pole_Calculations!A16</f>
        <v>App.7-V11A-P9.5.1.2</v>
      </c>
      <c r="BC22" s="169"/>
      <c r="BD22" s="1329"/>
      <c r="BE22" s="1330"/>
      <c r="BF22" s="1330"/>
      <c r="BG22" s="1330"/>
    </row>
    <row r="23" spans="1:59" ht="15.75" customHeight="1">
      <c r="A23" s="1239"/>
      <c r="B23" s="1239"/>
      <c r="C23" s="171"/>
      <c r="D23" s="1239"/>
      <c r="E23" s="1239"/>
      <c r="F23" s="448"/>
      <c r="G23" s="455">
        <v>52</v>
      </c>
      <c r="H23" s="1239"/>
      <c r="I23" s="448">
        <f>C38-C22</f>
        <v>438</v>
      </c>
      <c r="J23" s="171"/>
      <c r="K23" s="1239"/>
      <c r="L23" s="1239"/>
      <c r="M23" s="1239"/>
      <c r="N23" s="1239"/>
      <c r="O23" s="1239"/>
      <c r="P23" s="1239"/>
      <c r="Q23" s="1239"/>
      <c r="R23" s="1239"/>
      <c r="S23" s="455">
        <f>AG24-AG22</f>
        <v>52</v>
      </c>
      <c r="T23" s="1239"/>
      <c r="U23" s="1239"/>
      <c r="V23" s="1239"/>
      <c r="W23" s="1239"/>
      <c r="X23" s="1239"/>
      <c r="Y23" s="1239"/>
      <c r="Z23" s="1239"/>
      <c r="AA23" s="1239"/>
      <c r="AB23" s="1239"/>
      <c r="AC23" s="1239"/>
      <c r="AD23" s="1239"/>
      <c r="AE23" s="1239"/>
      <c r="AF23" s="1239"/>
      <c r="AG23" s="171"/>
      <c r="AH23" s="1239"/>
      <c r="AI23" s="1239"/>
      <c r="AJ23" s="1239"/>
      <c r="AK23" s="1239"/>
      <c r="AL23" s="1239"/>
      <c r="AM23" s="1239"/>
      <c r="AN23" s="455"/>
      <c r="AO23" s="1239"/>
      <c r="AP23" s="1239"/>
      <c r="AQ23" s="455">
        <f>+FL_1($T$24,$T$22,$G$23,1200,9.28, 1*$F$24)</f>
        <v>0.37855025261538461</v>
      </c>
      <c r="AR23" s="1239"/>
      <c r="AS23" s="1239"/>
      <c r="AT23" s="455"/>
      <c r="AU23" s="1239"/>
      <c r="AV23" s="1239"/>
      <c r="AW23" s="638"/>
      <c r="AX23" s="638"/>
      <c r="AY23" s="484"/>
      <c r="AZ23" s="484"/>
      <c r="BA23" s="671"/>
      <c r="BB23" s="1239"/>
      <c r="BC23" s="169"/>
      <c r="BD23" s="1329"/>
      <c r="BE23" s="1330"/>
      <c r="BF23" s="1330"/>
      <c r="BG23" s="1330"/>
    </row>
    <row r="24" spans="1:59" ht="15.75" customHeight="1">
      <c r="A24" s="1239"/>
      <c r="B24" s="1239" t="s">
        <v>3397</v>
      </c>
      <c r="C24" s="171">
        <f>+$C$22+$G$23</f>
        <v>85520.07</v>
      </c>
      <c r="D24" s="1239"/>
      <c r="E24" s="1239"/>
      <c r="F24" s="448">
        <v>0</v>
      </c>
      <c r="G24" s="455"/>
      <c r="H24" s="1239" t="s">
        <v>873</v>
      </c>
      <c r="I24" s="448"/>
      <c r="J24" s="171"/>
      <c r="K24" s="1239"/>
      <c r="L24" s="1239" t="s">
        <v>230</v>
      </c>
      <c r="M24" s="1239" t="str">
        <f>IF(AX24="PT",VLOOKUP(L24,'Foundation Calculation'!$V$2:$X$40,VLOOKUP(AX24,'Foundation Calculation'!$I$10:$J$13,2,FALSE),0),IF(AX24="K",VLOOKUP(L24,'Foundation Calculation'!$V$42:$X$80,VLOOKUP(AX24,'Foundation Calculation'!$I$10:$J$13,2,FALSE),0),""))</f>
        <v>C4R</v>
      </c>
      <c r="N24" s="1239" t="s">
        <v>144</v>
      </c>
      <c r="O24" s="1239"/>
      <c r="P24" s="1239"/>
      <c r="Q24" s="1239">
        <v>0</v>
      </c>
      <c r="R24" s="1239">
        <v>0</v>
      </c>
      <c r="S24" s="455"/>
      <c r="T24" s="1239">
        <v>35</v>
      </c>
      <c r="U24" s="1239"/>
      <c r="V24" s="1239"/>
      <c r="W24" s="1239">
        <v>1.4</v>
      </c>
      <c r="X24" s="1239"/>
      <c r="Y24" s="1239"/>
      <c r="Z24" s="1239"/>
      <c r="AA24" s="1239"/>
      <c r="AB24" s="1239"/>
      <c r="AC24" s="1239" t="s">
        <v>4090</v>
      </c>
      <c r="AD24" s="1239"/>
      <c r="AE24" s="1239"/>
      <c r="AF24" s="1239">
        <v>6000</v>
      </c>
      <c r="AG24" s="171">
        <v>85520</v>
      </c>
      <c r="AH24" s="1239">
        <v>2103</v>
      </c>
      <c r="AI24" s="1239">
        <v>480</v>
      </c>
      <c r="AJ24" s="1239"/>
      <c r="AK24" s="1239"/>
      <c r="AL24" s="1239"/>
      <c r="AM24" s="1239" t="s">
        <v>1042</v>
      </c>
      <c r="AN24" s="455">
        <v>5.5</v>
      </c>
      <c r="AO24" s="1239"/>
      <c r="AP24" s="1239"/>
      <c r="AQ24" s="455"/>
      <c r="AR24" s="1239"/>
      <c r="AS24" s="1239"/>
      <c r="AT24" s="455">
        <f>+ab($T$24,$T$22,$T$26,$G$23,$G$25, 1*$F$24,1200)</f>
        <v>7.2877043497680978</v>
      </c>
      <c r="AU24" s="1239"/>
      <c r="AV24" s="1239"/>
      <c r="AW24" s="638" t="str">
        <f>VLOOKUP(C24,'Foundation Calculation'!$A$2:$C$33,3,1)</f>
        <v>Soil B</v>
      </c>
      <c r="AX24" s="638" t="str">
        <f>VLOOKUP(C24,'Foundation Calculation'!$E$2:$G$33,3,1)</f>
        <v>PT</v>
      </c>
      <c r="AY24" s="484">
        <f>IF(AX24="PT",VLOOKUP(L24,'Foundation Calculation'!$K$2:$R$40,VLOOKUP(AW24,'Foundation Calculation'!$I$2:$J$8,2,FALSE),0),IF(AX24="K",VLOOKUP(L24,'Foundation Calculation'!$K$42:$R$80,VLOOKUP(AW24,'Foundation Calculation'!$I$2:$J$8,2,FALSE),0),""))</f>
        <v>3.5</v>
      </c>
      <c r="AZ24" s="484"/>
      <c r="BA24" s="671" t="s">
        <v>2809</v>
      </c>
      <c r="BB24" s="1239" t="str">
        <f>Pole_Calculations!A17</f>
        <v>App.7-V11A-P9.5.1.3</v>
      </c>
      <c r="BC24" s="169"/>
      <c r="BD24" s="1329"/>
      <c r="BE24" s="1330"/>
      <c r="BF24" s="1330"/>
      <c r="BG24" s="1330"/>
    </row>
    <row r="25" spans="1:59" ht="15.75" customHeight="1">
      <c r="A25" s="1239"/>
      <c r="B25" s="1239"/>
      <c r="C25" s="171"/>
      <c r="D25" s="1239"/>
      <c r="E25" s="1239"/>
      <c r="F25" s="448"/>
      <c r="G25" s="455">
        <v>55</v>
      </c>
      <c r="H25" s="1239"/>
      <c r="I25" s="448"/>
      <c r="J25" s="171">
        <f>C24+7.5</f>
        <v>85527.57</v>
      </c>
      <c r="K25" s="1239" t="s">
        <v>2788</v>
      </c>
      <c r="L25" s="1239"/>
      <c r="M25" s="1239"/>
      <c r="N25" s="1239"/>
      <c r="O25" s="1239"/>
      <c r="P25" s="1239"/>
      <c r="Q25" s="1239"/>
      <c r="R25" s="1239"/>
      <c r="S25" s="455">
        <f t="shared" ref="S25" si="0">AG26-AG24</f>
        <v>55</v>
      </c>
      <c r="T25" s="1239"/>
      <c r="U25" s="1239"/>
      <c r="V25" s="1239"/>
      <c r="W25" s="1239"/>
      <c r="X25" s="1239"/>
      <c r="Y25" s="1239"/>
      <c r="Z25" s="1239"/>
      <c r="AA25" s="1239"/>
      <c r="AB25" s="1239"/>
      <c r="AC25" s="1239"/>
      <c r="AD25" s="1239"/>
      <c r="AE25" s="1239"/>
      <c r="AF25" s="1239"/>
      <c r="AG25" s="171"/>
      <c r="AH25" s="1239"/>
      <c r="AI25" s="1239"/>
      <c r="AJ25" s="1239"/>
      <c r="AK25" s="1239"/>
      <c r="AL25" s="1239"/>
      <c r="AM25" s="1239"/>
      <c r="AN25" s="455"/>
      <c r="AO25" s="1239"/>
      <c r="AP25" s="1239"/>
      <c r="AQ25" s="455">
        <f>+FL_1($T$26,$T$24,$G$25,1200,9.28, 1*$F$26)</f>
        <v>0.39714735709090898</v>
      </c>
      <c r="AR25" s="1239"/>
      <c r="AS25" s="1239"/>
      <c r="AT25" s="455"/>
      <c r="AU25" s="1239"/>
      <c r="AV25" s="1239"/>
      <c r="AW25" s="638" t="str">
        <f>VLOOKUP(J25,'Foundation Calculation'!$A$2:$C$33,3,1)</f>
        <v>Soil B</v>
      </c>
      <c r="AX25" s="638" t="str">
        <f>VLOOKUP(J25,'Foundation Calculation'!$E$2:$G$33,3,1)</f>
        <v>PT</v>
      </c>
      <c r="AY25" s="484"/>
      <c r="AZ25" s="484">
        <f>IF(AX25="PT",VLOOKUP(K25,'Foundation Calculation'!$K$2:$R$40,VLOOKUP(AW25,'Foundation Calculation'!$I$2:$J$8,2,FALSE),0),IF(AX25="K",VLOOKUP(K25,'Foundation Calculation'!$K$42:$R$80,VLOOKUP(AW25,'Foundation Calculation'!$I$2:$J$8,2,FALSE),0),""))</f>
        <v>2.8</v>
      </c>
      <c r="BA25" s="671" t="s">
        <v>2809</v>
      </c>
      <c r="BB25" s="1239"/>
      <c r="BC25" s="169"/>
      <c r="BD25" s="1329"/>
      <c r="BE25" s="1330"/>
      <c r="BF25" s="1330"/>
      <c r="BG25" s="1330"/>
    </row>
    <row r="26" spans="1:59" ht="15.75" customHeight="1">
      <c r="A26" s="1239"/>
      <c r="B26" s="1239" t="s">
        <v>3398</v>
      </c>
      <c r="C26" s="171">
        <f>+$C$24+$G$25</f>
        <v>85575.07</v>
      </c>
      <c r="D26" s="1239"/>
      <c r="E26" s="1239"/>
      <c r="F26" s="448">
        <v>0</v>
      </c>
      <c r="G26" s="455"/>
      <c r="H26" s="1239"/>
      <c r="I26" s="448"/>
      <c r="J26" s="171"/>
      <c r="K26" s="1239"/>
      <c r="L26" s="1239" t="s">
        <v>229</v>
      </c>
      <c r="M26" s="1239" t="str">
        <f>IF(AX26="PT",VLOOKUP(L26,'Foundation Calculation'!$V$2:$X$40,VLOOKUP(AX26,'Foundation Calculation'!$I$10:$J$13,2,FALSE),0),IF(AX26="K",VLOOKUP(L26,'Foundation Calculation'!$V$42:$X$80,VLOOKUP(AX26,'Foundation Calculation'!$I$10:$J$13,2,FALSE),0),""))</f>
        <v>C3R</v>
      </c>
      <c r="N26" s="1239" t="s">
        <v>143</v>
      </c>
      <c r="O26" s="1239"/>
      <c r="P26" s="1239"/>
      <c r="Q26" s="1239">
        <v>0</v>
      </c>
      <c r="R26" s="1239">
        <v>0</v>
      </c>
      <c r="S26" s="455"/>
      <c r="T26" s="1239">
        <v>-35</v>
      </c>
      <c r="U26" s="1239"/>
      <c r="V26" s="1239"/>
      <c r="W26" s="1239">
        <v>1.4</v>
      </c>
      <c r="X26" s="1239"/>
      <c r="Y26" s="1239"/>
      <c r="Z26" s="1239"/>
      <c r="AA26" s="1239"/>
      <c r="AB26" s="1239"/>
      <c r="AC26" s="1239" t="s">
        <v>4090</v>
      </c>
      <c r="AD26" s="1239"/>
      <c r="AE26" s="1239"/>
      <c r="AF26" s="1239">
        <v>6000</v>
      </c>
      <c r="AG26" s="171">
        <v>85575</v>
      </c>
      <c r="AH26" s="1239">
        <v>2103</v>
      </c>
      <c r="AI26" s="1239">
        <v>510</v>
      </c>
      <c r="AJ26" s="1239"/>
      <c r="AK26" s="1239"/>
      <c r="AL26" s="1239"/>
      <c r="AM26" s="1239" t="s">
        <v>1042</v>
      </c>
      <c r="AN26" s="455">
        <v>5.5</v>
      </c>
      <c r="AO26" s="1239"/>
      <c r="AP26" s="1239"/>
      <c r="AQ26" s="455"/>
      <c r="AR26" s="1239"/>
      <c r="AS26" s="1239"/>
      <c r="AT26" s="455">
        <f>+ab($T$26,$T$24,$T$28,$G$25,$G$27, 1*$F$26,1200)</f>
        <v>-7.8175501667728815</v>
      </c>
      <c r="AU26" s="1239"/>
      <c r="AV26" s="1239"/>
      <c r="AW26" s="638" t="str">
        <f>VLOOKUP(C26,'Foundation Calculation'!$A$2:$C$33,3,1)</f>
        <v>Soil B</v>
      </c>
      <c r="AX26" s="638" t="str">
        <f>VLOOKUP(C26,'Foundation Calculation'!$E$2:$G$33,3,1)</f>
        <v>PT</v>
      </c>
      <c r="AY26" s="484">
        <f>IF(AX26="PT",VLOOKUP(L26,'Foundation Calculation'!$K$2:$R$40,VLOOKUP(AW26,'Foundation Calculation'!$I$2:$J$8,2,FALSE),0),IF(AX26="K",VLOOKUP(L26,'Foundation Calculation'!$K$42:$R$80,VLOOKUP(AW26,'Foundation Calculation'!$I$2:$J$8,2,FALSE),0),""))</f>
        <v>3.5</v>
      </c>
      <c r="AZ26" s="484"/>
      <c r="BA26" s="671" t="s">
        <v>2809</v>
      </c>
      <c r="BB26" s="1239" t="str">
        <f>Pole_Calculations!A15</f>
        <v>App.7-V11A-P9.5.1.1</v>
      </c>
      <c r="BC26" s="169"/>
      <c r="BD26" s="1329"/>
      <c r="BE26" s="1330"/>
      <c r="BF26" s="1330"/>
      <c r="BG26" s="1330"/>
    </row>
    <row r="27" spans="1:59" ht="15.75" customHeight="1">
      <c r="A27" s="1239"/>
      <c r="B27" s="1239"/>
      <c r="C27" s="171"/>
      <c r="D27" s="1239"/>
      <c r="E27" s="1239"/>
      <c r="F27" s="448"/>
      <c r="G27" s="455">
        <v>60</v>
      </c>
      <c r="H27" s="1239"/>
      <c r="I27" s="448"/>
      <c r="J27" s="171"/>
      <c r="K27" s="1239"/>
      <c r="L27" s="1239"/>
      <c r="M27" s="1239"/>
      <c r="N27" s="1239"/>
      <c r="O27" s="1239"/>
      <c r="P27" s="1239"/>
      <c r="Q27" s="1239"/>
      <c r="R27" s="1239"/>
      <c r="S27" s="455">
        <f t="shared" ref="S27" si="1">AG28-AG26</f>
        <v>60</v>
      </c>
      <c r="T27" s="1239"/>
      <c r="U27" s="1239"/>
      <c r="V27" s="1239"/>
      <c r="W27" s="1239"/>
      <c r="X27" s="1239"/>
      <c r="Y27" s="1239"/>
      <c r="Z27" s="1239"/>
      <c r="AA27" s="1239"/>
      <c r="AB27" s="1239"/>
      <c r="AC27" s="1239"/>
      <c r="AD27" s="1239"/>
      <c r="AE27" s="1239"/>
      <c r="AF27" s="1239"/>
      <c r="AG27" s="171"/>
      <c r="AH27" s="1239"/>
      <c r="AI27" s="1239"/>
      <c r="AJ27" s="1239"/>
      <c r="AK27" s="1239"/>
      <c r="AL27" s="1239"/>
      <c r="AM27" s="1239"/>
      <c r="AN27" s="455"/>
      <c r="AO27" s="1239"/>
      <c r="AP27" s="1239"/>
      <c r="AQ27" s="455">
        <f>+FL_1($T$28,$T$26,$G$27,1200,9.28, 1*$F$28)</f>
        <v>0.43600286799999999</v>
      </c>
      <c r="AR27" s="1239"/>
      <c r="AS27" s="1239"/>
      <c r="AT27" s="455"/>
      <c r="AU27" s="1239"/>
      <c r="AV27" s="1239"/>
      <c r="AW27" s="638"/>
      <c r="AX27" s="638"/>
      <c r="AY27" s="484"/>
      <c r="AZ27" s="484"/>
      <c r="BA27" s="671"/>
      <c r="BB27" s="1239"/>
      <c r="BC27" s="169"/>
      <c r="BD27" s="1329"/>
      <c r="BE27" s="1330"/>
      <c r="BF27" s="1330"/>
      <c r="BG27" s="1330"/>
    </row>
    <row r="28" spans="1:59" ht="15.75" customHeight="1">
      <c r="A28" s="1239"/>
      <c r="B28" s="1239" t="s">
        <v>3399</v>
      </c>
      <c r="C28" s="171">
        <f>+$C$26+$G$27</f>
        <v>85635.07</v>
      </c>
      <c r="D28" s="1239"/>
      <c r="E28" s="1239"/>
      <c r="F28" s="448">
        <v>0</v>
      </c>
      <c r="G28" s="455"/>
      <c r="H28" s="1239"/>
      <c r="I28" s="448"/>
      <c r="J28" s="171"/>
      <c r="K28" s="1239"/>
      <c r="L28" s="1239" t="s">
        <v>229</v>
      </c>
      <c r="M28" s="1239" t="str">
        <f>IF(AX28="PT",VLOOKUP(L28,'Foundation Calculation'!$V$2:$X$40,VLOOKUP(AX28,'Foundation Calculation'!$I$10:$J$13,2,FALSE),0),IF(AX28="K",VLOOKUP(L28,'Foundation Calculation'!$V$42:$X$80,VLOOKUP(AX28,'Foundation Calculation'!$I$10:$J$13,2,FALSE),0),""))</f>
        <v>C3R</v>
      </c>
      <c r="N28" s="1239" t="s">
        <v>144</v>
      </c>
      <c r="O28" s="1239"/>
      <c r="P28" s="1239"/>
      <c r="Q28" s="1239">
        <v>0</v>
      </c>
      <c r="R28" s="1239">
        <v>0</v>
      </c>
      <c r="S28" s="455"/>
      <c r="T28" s="1239">
        <v>35</v>
      </c>
      <c r="U28" s="1239"/>
      <c r="V28" s="1239"/>
      <c r="W28" s="1239">
        <v>1.4</v>
      </c>
      <c r="X28" s="1239"/>
      <c r="Y28" s="1239"/>
      <c r="Z28" s="1239"/>
      <c r="AA28" s="1239"/>
      <c r="AB28" s="1239"/>
      <c r="AC28" s="1239" t="s">
        <v>4090</v>
      </c>
      <c r="AD28" s="1239"/>
      <c r="AE28" s="1239"/>
      <c r="AF28" s="1239">
        <v>6000</v>
      </c>
      <c r="AG28" s="171">
        <v>85635</v>
      </c>
      <c r="AH28" s="1239">
        <v>2103</v>
      </c>
      <c r="AI28" s="1239">
        <v>500</v>
      </c>
      <c r="AJ28" s="1239"/>
      <c r="AK28" s="1239"/>
      <c r="AL28" s="1239"/>
      <c r="AM28" s="1239" t="s">
        <v>1042</v>
      </c>
      <c r="AN28" s="455">
        <v>5.5</v>
      </c>
      <c r="AO28" s="1239"/>
      <c r="AP28" s="1239"/>
      <c r="AQ28" s="455"/>
      <c r="AR28" s="1239"/>
      <c r="AS28" s="1239"/>
      <c r="AT28" s="455">
        <f>+ab($T$28,$T$26,$T$30,$G$27,$G$29, 1*$F$28,1200)</f>
        <v>7.8175137683875535</v>
      </c>
      <c r="AU28" s="1239"/>
      <c r="AV28" s="1239"/>
      <c r="AW28" s="638" t="str">
        <f>VLOOKUP(C28,'Foundation Calculation'!$A$2:$C$33,3,1)</f>
        <v>Soil B</v>
      </c>
      <c r="AX28" s="638" t="str">
        <f>VLOOKUP(C28,'Foundation Calculation'!$E$2:$G$33,3,1)</f>
        <v>PT</v>
      </c>
      <c r="AY28" s="484">
        <f>IF(AX28="PT",VLOOKUP(L28,'Foundation Calculation'!$K$2:$R$40,VLOOKUP(AW28,'Foundation Calculation'!$I$2:$J$8,2,FALSE),0),IF(AX28="K",VLOOKUP(L28,'Foundation Calculation'!$K$42:$R$80,VLOOKUP(AW28,'Foundation Calculation'!$I$2:$J$8,2,FALSE),0),""))</f>
        <v>3.5</v>
      </c>
      <c r="AZ28" s="484"/>
      <c r="BA28" s="671" t="s">
        <v>2809</v>
      </c>
      <c r="BB28" s="1239" t="str">
        <f>Pole_Calculations!A15</f>
        <v>App.7-V11A-P9.5.1.1</v>
      </c>
      <c r="BC28" s="169"/>
      <c r="BD28" s="1329"/>
      <c r="BE28" s="1330"/>
      <c r="BF28" s="1330"/>
      <c r="BG28" s="1330"/>
    </row>
    <row r="29" spans="1:59" ht="15.75" customHeight="1">
      <c r="A29" s="1239"/>
      <c r="B29" s="1239"/>
      <c r="C29" s="171"/>
      <c r="D29" s="1239"/>
      <c r="E29" s="1239"/>
      <c r="F29" s="448"/>
      <c r="G29" s="455">
        <v>55</v>
      </c>
      <c r="H29" s="1239"/>
      <c r="I29" s="448"/>
      <c r="J29" s="171"/>
      <c r="K29" s="1239"/>
      <c r="L29" s="1239"/>
      <c r="M29" s="1239"/>
      <c r="N29" s="1239"/>
      <c r="O29" s="1239"/>
      <c r="P29" s="1239"/>
      <c r="Q29" s="1239"/>
      <c r="R29" s="1239"/>
      <c r="S29" s="455">
        <f t="shared" ref="S29" si="2">AG30-AG28</f>
        <v>55</v>
      </c>
      <c r="T29" s="1239"/>
      <c r="U29" s="1239"/>
      <c r="V29" s="1239"/>
      <c r="W29" s="1239"/>
      <c r="X29" s="1239"/>
      <c r="Y29" s="1239"/>
      <c r="Z29" s="1239"/>
      <c r="AA29" s="1239"/>
      <c r="AB29" s="1239"/>
      <c r="AC29" s="1239"/>
      <c r="AD29" s="1239"/>
      <c r="AE29" s="1239"/>
      <c r="AF29" s="1239"/>
      <c r="AG29" s="171"/>
      <c r="AH29" s="1239"/>
      <c r="AI29" s="1239"/>
      <c r="AJ29" s="1239"/>
      <c r="AK29" s="1239"/>
      <c r="AL29" s="1239"/>
      <c r="AM29" s="1239"/>
      <c r="AN29" s="455"/>
      <c r="AO29" s="1239"/>
      <c r="AP29" s="1239"/>
      <c r="AQ29" s="455">
        <f>+FL_1($T$30,$T$28,$G$29,1200,9.28, 1*$F$30)</f>
        <v>0.39714735709090898</v>
      </c>
      <c r="AR29" s="1239"/>
      <c r="AS29" s="1239"/>
      <c r="AT29" s="455"/>
      <c r="AU29" s="1239"/>
      <c r="AV29" s="1239"/>
      <c r="AW29" s="638"/>
      <c r="AX29" s="638"/>
      <c r="AY29" s="484"/>
      <c r="AZ29" s="484"/>
      <c r="BA29" s="671"/>
      <c r="BB29" s="1239"/>
      <c r="BC29" s="169"/>
      <c r="BD29" s="1329"/>
      <c r="BE29" s="1330"/>
      <c r="BF29" s="1330"/>
      <c r="BG29" s="1330"/>
    </row>
    <row r="30" spans="1:59" ht="15.75" customHeight="1">
      <c r="A30" s="1239"/>
      <c r="B30" s="1239" t="s">
        <v>3400</v>
      </c>
      <c r="C30" s="171">
        <f>+$C$28+$G$29</f>
        <v>85690.07</v>
      </c>
      <c r="D30" s="1239"/>
      <c r="E30" s="1239"/>
      <c r="F30" s="448">
        <v>0</v>
      </c>
      <c r="G30" s="455"/>
      <c r="H30" s="1239"/>
      <c r="I30" s="448"/>
      <c r="J30" s="171"/>
      <c r="K30" s="1239"/>
      <c r="L30" s="1239" t="s">
        <v>229</v>
      </c>
      <c r="M30" s="1239" t="str">
        <f>IF(AX30="PT",VLOOKUP(L30,'Foundation Calculation'!$V$2:$X$40,VLOOKUP(AX30,'Foundation Calculation'!$I$10:$J$13,2,FALSE),0),IF(AX30="K",VLOOKUP(L30,'Foundation Calculation'!$V$42:$X$80,VLOOKUP(AX30,'Foundation Calculation'!$I$10:$J$13,2,FALSE),0),""))</f>
        <v>C3R</v>
      </c>
      <c r="N30" s="1239" t="s">
        <v>143</v>
      </c>
      <c r="O30" s="1239"/>
      <c r="P30" s="1239"/>
      <c r="Q30" s="1239">
        <v>0</v>
      </c>
      <c r="R30" s="1239">
        <v>0</v>
      </c>
      <c r="S30" s="455"/>
      <c r="T30" s="1239">
        <v>-35</v>
      </c>
      <c r="U30" s="1239"/>
      <c r="V30" s="1239"/>
      <c r="W30" s="1239">
        <v>1.4</v>
      </c>
      <c r="X30" s="1239"/>
      <c r="Y30" s="1239"/>
      <c r="Z30" s="1239"/>
      <c r="AA30" s="1239"/>
      <c r="AB30" s="1239"/>
      <c r="AC30" s="1239" t="s">
        <v>4090</v>
      </c>
      <c r="AD30" s="1239"/>
      <c r="AE30" s="1239"/>
      <c r="AF30" s="1239">
        <v>6000</v>
      </c>
      <c r="AG30" s="171">
        <v>85690</v>
      </c>
      <c r="AH30" s="1239">
        <v>2063</v>
      </c>
      <c r="AI30" s="1239">
        <v>500</v>
      </c>
      <c r="AJ30" s="1239"/>
      <c r="AK30" s="1239"/>
      <c r="AL30" s="1239"/>
      <c r="AM30" s="1239" t="s">
        <v>1042</v>
      </c>
      <c r="AN30" s="455">
        <v>5.5</v>
      </c>
      <c r="AO30" s="1239"/>
      <c r="AP30" s="1239"/>
      <c r="AQ30" s="455"/>
      <c r="AR30" s="1239"/>
      <c r="AS30" s="1239"/>
      <c r="AT30" s="455">
        <f>+ab($T$30,$T$28,$T$32,$G$29,$G$31, 1*$F$30,1200)</f>
        <v>-7.2877338051932652</v>
      </c>
      <c r="AU30" s="1239"/>
      <c r="AV30" s="1239"/>
      <c r="AW30" s="638" t="str">
        <f>VLOOKUP(C30,'Foundation Calculation'!$A$2:$C$33,3,1)</f>
        <v>Soil B</v>
      </c>
      <c r="AX30" s="638" t="str">
        <f>VLOOKUP(C30,'Foundation Calculation'!$E$2:$G$33,3,1)</f>
        <v>PT</v>
      </c>
      <c r="AY30" s="484">
        <f>IF(AX30="PT",VLOOKUP(L30,'Foundation Calculation'!$K$2:$R$40,VLOOKUP(AW30,'Foundation Calculation'!$I$2:$J$8,2,FALSE),0),IF(AX30="K",VLOOKUP(L30,'Foundation Calculation'!$K$42:$R$80,VLOOKUP(AW30,'Foundation Calculation'!$I$2:$J$8,2,FALSE),0),""))</f>
        <v>3.5</v>
      </c>
      <c r="AZ30" s="484"/>
      <c r="BA30" s="671" t="s">
        <v>2809</v>
      </c>
      <c r="BB30" s="1239" t="str">
        <f>Pole_Calculations!A15</f>
        <v>App.7-V11A-P9.5.1.1</v>
      </c>
      <c r="BC30" s="169"/>
      <c r="BD30" s="1329"/>
      <c r="BE30" s="1330"/>
      <c r="BF30" s="1330"/>
      <c r="BG30" s="1330"/>
    </row>
    <row r="31" spans="1:59" ht="15.75" customHeight="1">
      <c r="A31" s="1239"/>
      <c r="B31" s="1239"/>
      <c r="C31" s="171"/>
      <c r="D31" s="1239"/>
      <c r="E31" s="1239"/>
      <c r="F31" s="448"/>
      <c r="G31" s="455">
        <v>52</v>
      </c>
      <c r="H31" s="1239"/>
      <c r="I31" s="448"/>
      <c r="J31" s="171">
        <f>C32+7.5</f>
        <v>85749.57</v>
      </c>
      <c r="K31" s="1239" t="s">
        <v>2787</v>
      </c>
      <c r="L31" s="1239"/>
      <c r="M31" s="1239"/>
      <c r="N31" s="1239"/>
      <c r="O31" s="1239"/>
      <c r="P31" s="1239"/>
      <c r="Q31" s="1239"/>
      <c r="R31" s="1239"/>
      <c r="S31" s="455">
        <f t="shared" ref="S31" si="3">AG32-AG30</f>
        <v>44</v>
      </c>
      <c r="T31" s="1239"/>
      <c r="U31" s="1239"/>
      <c r="V31" s="1239"/>
      <c r="W31" s="1239"/>
      <c r="X31" s="1239"/>
      <c r="Y31" s="1239"/>
      <c r="Z31" s="1239"/>
      <c r="AA31" s="1239"/>
      <c r="AB31" s="1239"/>
      <c r="AC31" s="1239"/>
      <c r="AD31" s="1239"/>
      <c r="AE31" s="1239"/>
      <c r="AF31" s="1239"/>
      <c r="AG31" s="171"/>
      <c r="AH31" s="1239"/>
      <c r="AI31" s="1239"/>
      <c r="AJ31" s="1239"/>
      <c r="AK31" s="1239"/>
      <c r="AL31" s="1239"/>
      <c r="AM31" s="1239"/>
      <c r="AN31" s="455"/>
      <c r="AO31" s="1239"/>
      <c r="AP31" s="1239"/>
      <c r="AQ31" s="455">
        <f>+FL_1($T$32,$T$30,$G$31,1200,9.28, 1*$F$32)</f>
        <v>0.37855025261538461</v>
      </c>
      <c r="AR31" s="1239"/>
      <c r="AS31" s="1239"/>
      <c r="AT31" s="455"/>
      <c r="AU31" s="1239"/>
      <c r="AV31" s="1239"/>
      <c r="AW31" s="638" t="str">
        <f>VLOOKUP(J31,'Foundation Calculation'!$A$2:$C$33,3,1)</f>
        <v>Soil B</v>
      </c>
      <c r="AX31" s="638" t="str">
        <f>VLOOKUP(J31,'Foundation Calculation'!$E$2:$G$33,3,1)</f>
        <v>PT</v>
      </c>
      <c r="AY31" s="484"/>
      <c r="AZ31" s="484">
        <f>IF(AX31="PT",VLOOKUP(K31,'Foundation Calculation'!$K$2:$R$40,VLOOKUP(AW31,'Foundation Calculation'!$I$2:$J$8,2,FALSE),0),IF(AX31="K",VLOOKUP(K31,'Foundation Calculation'!$K$42:$R$80,VLOOKUP(AW31,'Foundation Calculation'!$I$2:$J$8,2,FALSE),0),""))</f>
        <v>3.9</v>
      </c>
      <c r="BA31" s="671" t="s">
        <v>2809</v>
      </c>
      <c r="BB31" s="1239"/>
      <c r="BC31" s="169"/>
      <c r="BD31" s="1329"/>
      <c r="BE31" s="1330"/>
      <c r="BF31" s="1330"/>
      <c r="BG31" s="1330"/>
    </row>
    <row r="32" spans="1:59" ht="15.75" customHeight="1">
      <c r="A32" s="1239"/>
      <c r="B32" s="1239" t="s">
        <v>3401</v>
      </c>
      <c r="C32" s="171">
        <f>+$C$30+$G$31</f>
        <v>85742.07</v>
      </c>
      <c r="D32" s="1239"/>
      <c r="E32" s="1239"/>
      <c r="F32" s="448">
        <v>0</v>
      </c>
      <c r="G32" s="455"/>
      <c r="H32" s="1239" t="s">
        <v>138</v>
      </c>
      <c r="I32" s="448" t="s">
        <v>623</v>
      </c>
      <c r="J32" s="171"/>
      <c r="K32" s="1239"/>
      <c r="L32" s="1239" t="s">
        <v>898</v>
      </c>
      <c r="M32" s="1239" t="str">
        <f>IF(AX32="PT",VLOOKUP(L32,'Foundation Calculation'!$V$2:$X$40,VLOOKUP(AX32,'Foundation Calculation'!$I$10:$J$13,2,FALSE),0),IF(AX32="K",VLOOKUP(L32,'Foundation Calculation'!$V$42:$X$80,VLOOKUP(AX32,'Foundation Calculation'!$I$10:$J$13,2,FALSE),0),""))</f>
        <v>C4R</v>
      </c>
      <c r="N32" s="1239" t="s">
        <v>144</v>
      </c>
      <c r="O32" s="1239"/>
      <c r="P32" s="1239"/>
      <c r="Q32" s="1239">
        <v>0</v>
      </c>
      <c r="R32" s="1239">
        <v>0</v>
      </c>
      <c r="S32" s="455"/>
      <c r="T32" s="1239">
        <v>35</v>
      </c>
      <c r="U32" s="1239"/>
      <c r="V32" s="1239"/>
      <c r="W32" s="1239">
        <v>1.4</v>
      </c>
      <c r="X32" s="1239"/>
      <c r="Y32" s="1239"/>
      <c r="Z32" s="1239"/>
      <c r="AA32" s="1239"/>
      <c r="AB32" s="1239"/>
      <c r="AC32" s="1239" t="s">
        <v>4090</v>
      </c>
      <c r="AD32" s="1239"/>
      <c r="AE32" s="1239"/>
      <c r="AF32" s="1239">
        <v>6000</v>
      </c>
      <c r="AG32" s="171">
        <v>85734</v>
      </c>
      <c r="AH32" s="1239">
        <v>1753</v>
      </c>
      <c r="AI32" s="1239">
        <v>580</v>
      </c>
      <c r="AJ32" s="1239"/>
      <c r="AK32" s="1239"/>
      <c r="AL32" s="1239"/>
      <c r="AM32" s="1239" t="s">
        <v>1042</v>
      </c>
      <c r="AN32" s="455">
        <v>5.5</v>
      </c>
      <c r="AO32" s="1239"/>
      <c r="AP32" s="1239"/>
      <c r="AQ32" s="455"/>
      <c r="AR32" s="1239"/>
      <c r="AS32" s="1239"/>
      <c r="AT32" s="455">
        <f>+ab($T$32,$T$30,$T$34,$G$31,$G$33, 1*$F$32,1200)</f>
        <v>8.257675680222242</v>
      </c>
      <c r="AU32" s="1239"/>
      <c r="AV32" s="1239"/>
      <c r="AW32" s="638" t="str">
        <f>VLOOKUP(C32,'Foundation Calculation'!$A$2:$C$33,3,1)</f>
        <v>Soil B</v>
      </c>
      <c r="AX32" s="638" t="str">
        <f>VLOOKUP(C32,'Foundation Calculation'!$E$2:$G$33,3,1)</f>
        <v>PT</v>
      </c>
      <c r="AY32" s="484">
        <f>IF(AX32="PT",VLOOKUP(L32,'Foundation Calculation'!$K$2:$R$40,VLOOKUP(AW32,'Foundation Calculation'!$I$2:$J$8,2,FALSE),0),IF(AX32="K",VLOOKUP(L32,'Foundation Calculation'!$K$42:$R$80,VLOOKUP(AW32,'Foundation Calculation'!$I$2:$J$8,2,FALSE),0),""))</f>
        <v>3.5</v>
      </c>
      <c r="AZ32" s="484"/>
      <c r="BA32" s="671" t="s">
        <v>2809</v>
      </c>
      <c r="BB32" s="1239" t="str">
        <f>Pole_Calculations!A20</f>
        <v>App.7-V11A-P9.5.1.6</v>
      </c>
      <c r="BC32" s="169"/>
      <c r="BD32" s="1329"/>
      <c r="BE32" s="1330"/>
      <c r="BF32" s="1330"/>
      <c r="BG32" s="1330"/>
    </row>
    <row r="33" spans="1:59" ht="15.75" customHeight="1">
      <c r="A33" s="1239"/>
      <c r="B33" s="1239"/>
      <c r="C33" s="171"/>
      <c r="D33" s="1239"/>
      <c r="E33" s="1239"/>
      <c r="F33" s="448"/>
      <c r="G33" s="455">
        <v>52</v>
      </c>
      <c r="H33" s="1239"/>
      <c r="I33" s="448"/>
      <c r="J33" s="171"/>
      <c r="K33" s="1239"/>
      <c r="L33" s="1239"/>
      <c r="M33" s="1239"/>
      <c r="N33" s="1239"/>
      <c r="O33" s="1239"/>
      <c r="P33" s="1239"/>
      <c r="Q33" s="1239"/>
      <c r="R33" s="1239"/>
      <c r="S33" s="455">
        <f t="shared" ref="S33:S45" si="4">AG34-AG32</f>
        <v>60</v>
      </c>
      <c r="T33" s="1239"/>
      <c r="U33" s="1239"/>
      <c r="V33" s="1239"/>
      <c r="W33" s="1239"/>
      <c r="X33" s="1239"/>
      <c r="Y33" s="1239"/>
      <c r="Z33" s="1239"/>
      <c r="AA33" s="1239"/>
      <c r="AB33" s="1239"/>
      <c r="AC33" s="1239"/>
      <c r="AD33" s="1239"/>
      <c r="AE33" s="1239"/>
      <c r="AF33" s="1239"/>
      <c r="AG33" s="171"/>
      <c r="AH33" s="1239"/>
      <c r="AI33" s="1239"/>
      <c r="AJ33" s="1239"/>
      <c r="AK33" s="1239"/>
      <c r="AL33" s="1239"/>
      <c r="AM33" s="1239"/>
      <c r="AN33" s="455"/>
      <c r="AO33" s="1239"/>
      <c r="AP33" s="1239"/>
      <c r="AQ33" s="455">
        <f>+FL_2($U$34,$T$32,$G$33,1200,9.28, 1*$F$34)</f>
        <v>-0.37855025261538461</v>
      </c>
      <c r="AR33" s="1239"/>
      <c r="AS33" s="1239"/>
      <c r="AT33" s="455"/>
      <c r="AU33" s="1239"/>
      <c r="AV33" s="1239"/>
      <c r="AW33" s="1239"/>
      <c r="AX33" s="1239"/>
      <c r="AY33" s="484"/>
      <c r="AZ33" s="455"/>
      <c r="BA33" s="1314"/>
      <c r="BB33" s="1239"/>
      <c r="BC33" s="169"/>
      <c r="BD33" s="1330"/>
      <c r="BE33" s="1330"/>
      <c r="BF33" s="1330"/>
      <c r="BG33" s="1330"/>
    </row>
    <row r="34" spans="1:59" ht="15.75" customHeight="1">
      <c r="A34" s="1239"/>
      <c r="B34" s="572" t="s">
        <v>3402</v>
      </c>
      <c r="C34" s="171">
        <f>+$C$32+$G$33</f>
        <v>85794.07</v>
      </c>
      <c r="D34" s="1239"/>
      <c r="E34" s="1239"/>
      <c r="F34" s="448">
        <v>0</v>
      </c>
      <c r="G34" s="455"/>
      <c r="H34" s="1239" t="s">
        <v>619</v>
      </c>
      <c r="I34" s="448"/>
      <c r="J34" s="171"/>
      <c r="K34" s="1239"/>
      <c r="L34" s="1239" t="s">
        <v>895</v>
      </c>
      <c r="M34" s="1239" t="str">
        <f>IF(AX34="PT",VLOOKUP(L34,'Foundation Calculation'!$V$2:$X$40,VLOOKUP(AX34,'Foundation Calculation'!$I$10:$J$13,2,FALSE),0),IF(AX34="K",VLOOKUP(L34,'Foundation Calculation'!$V$42:$X$80,VLOOKUP(AX34,'Foundation Calculation'!$I$10:$J$13,2,FALSE),0),""))</f>
        <v>2C3R</v>
      </c>
      <c r="N34" s="1239" t="s">
        <v>140</v>
      </c>
      <c r="O34" s="1239" t="s">
        <v>143</v>
      </c>
      <c r="P34" s="1239"/>
      <c r="Q34" s="1239">
        <v>0</v>
      </c>
      <c r="R34" s="1239">
        <v>0</v>
      </c>
      <c r="S34" s="455"/>
      <c r="T34" s="1285">
        <v>-15</v>
      </c>
      <c r="U34" s="1285">
        <v>-35</v>
      </c>
      <c r="V34" s="1285"/>
      <c r="W34" s="1285">
        <v>1.4</v>
      </c>
      <c r="X34" s="1285">
        <v>2.2999999999999998</v>
      </c>
      <c r="Y34" s="1285"/>
      <c r="Z34" s="1285">
        <v>0.6</v>
      </c>
      <c r="AA34" s="1285"/>
      <c r="AB34" s="1285"/>
      <c r="AC34" s="1285" t="s">
        <v>1421</v>
      </c>
      <c r="AD34" s="1285"/>
      <c r="AE34" s="1285"/>
      <c r="AF34" s="1285">
        <v>5900</v>
      </c>
      <c r="AG34" s="1350">
        <v>85794</v>
      </c>
      <c r="AH34" s="1285">
        <v>2613</v>
      </c>
      <c r="AI34" s="1285">
        <v>230</v>
      </c>
      <c r="AJ34" s="1239"/>
      <c r="AK34" s="1239"/>
      <c r="AL34" s="1239"/>
      <c r="AM34" s="1239" t="s">
        <v>1042</v>
      </c>
      <c r="AN34" s="455">
        <v>5.5</v>
      </c>
      <c r="AO34" s="1239"/>
      <c r="AP34" s="1239"/>
      <c r="AQ34" s="455"/>
      <c r="AR34" s="1239"/>
      <c r="AS34" s="1239"/>
      <c r="AT34" s="455">
        <f>+ab($U$34,$T$32,$U$36,$G$33,$G$35, 1*$F$34,1200)</f>
        <v>-8.7361724589719891</v>
      </c>
      <c r="AU34" s="1239"/>
      <c r="AV34" s="1239"/>
      <c r="AW34" s="1239" t="str">
        <f>VLOOKUP(C34,'Foundation Calculation'!$A$2:$C$33,3,1)</f>
        <v>Soil B</v>
      </c>
      <c r="AX34" s="1239" t="str">
        <f>VLOOKUP(C34,'Foundation Calculation'!$E$2:$G$33,3,1)</f>
        <v>PT</v>
      </c>
      <c r="AY34" s="455">
        <f>IF(AX34="PT",VLOOKUP(L34,'Foundation Calculation'!$K$2:$R$40,VLOOKUP(AW34,'Foundation Calculation'!$I$2:$J$8,2,FALSE),0),IF(AX34="K",VLOOKUP(L34,'Foundation Calculation'!$K$42:$R$80,VLOOKUP(AW34,'Foundation Calculation'!$I$2:$J$8,2,FALSE),0),""))</f>
        <v>3.5</v>
      </c>
      <c r="AZ34" s="455"/>
      <c r="BA34" s="671" t="s">
        <v>2809</v>
      </c>
      <c r="BB34" s="1239" t="str">
        <f>Pole_Calculations!A19</f>
        <v>App.7-V11A-P9.5.1.5</v>
      </c>
      <c r="BC34" s="169"/>
      <c r="BD34" s="1329"/>
      <c r="BE34" s="1329"/>
      <c r="BF34" s="1330"/>
      <c r="BG34" s="1329"/>
    </row>
    <row r="35" spans="1:59" ht="15.75" customHeight="1">
      <c r="A35" s="1239"/>
      <c r="B35" s="1239"/>
      <c r="C35" s="171"/>
      <c r="D35" s="1239"/>
      <c r="E35" s="1239"/>
      <c r="F35" s="448"/>
      <c r="G35" s="455">
        <v>60</v>
      </c>
      <c r="H35" s="1239"/>
      <c r="I35" s="448"/>
      <c r="J35" s="171"/>
      <c r="K35" s="1239"/>
      <c r="L35" s="1239"/>
      <c r="M35" s="1239"/>
      <c r="N35" s="1239"/>
      <c r="O35" s="1239"/>
      <c r="P35" s="1239"/>
      <c r="Q35" s="1239"/>
      <c r="R35" s="1239"/>
      <c r="S35" s="455">
        <f t="shared" si="4"/>
        <v>60</v>
      </c>
      <c r="T35" s="1239"/>
      <c r="U35" s="1239"/>
      <c r="V35" s="1239"/>
      <c r="W35" s="1239"/>
      <c r="X35" s="1239"/>
      <c r="Y35" s="1239"/>
      <c r="Z35" s="1239"/>
      <c r="AA35" s="1239"/>
      <c r="AB35" s="1239"/>
      <c r="AC35" s="1239"/>
      <c r="AD35" s="1239"/>
      <c r="AE35" s="1239"/>
      <c r="AF35" s="1239"/>
      <c r="AG35" s="1350"/>
      <c r="AH35" s="1285"/>
      <c r="AI35" s="1285"/>
      <c r="AJ35" s="1239"/>
      <c r="AK35" s="1239"/>
      <c r="AL35" s="1239"/>
      <c r="AM35" s="1239"/>
      <c r="AN35" s="455"/>
      <c r="AO35" s="1239"/>
      <c r="AP35" s="1239"/>
      <c r="AQ35" s="455">
        <f>+FL_1($U$36,$U$34,$G$35,1200,9.28, 1*$F$36)</f>
        <v>0.29289941866666669</v>
      </c>
      <c r="AR35" s="1239"/>
      <c r="AS35" s="1239"/>
      <c r="AT35" s="455"/>
      <c r="AU35" s="1239"/>
      <c r="AV35" s="1239"/>
      <c r="AW35" s="1239"/>
      <c r="AX35" s="1239"/>
      <c r="AY35" s="484"/>
      <c r="AZ35" s="455"/>
      <c r="BA35" s="1314"/>
      <c r="BB35" s="1239"/>
      <c r="BC35" s="169"/>
      <c r="BD35" s="1330"/>
      <c r="BE35" s="1330"/>
      <c r="BF35" s="1330"/>
      <c r="BG35" s="1330"/>
    </row>
    <row r="36" spans="1:59" ht="15.75" customHeight="1">
      <c r="A36" s="1239"/>
      <c r="B36" s="572" t="s">
        <v>3403</v>
      </c>
      <c r="C36" s="171">
        <f>+$C$34+$G$35</f>
        <v>85854.07</v>
      </c>
      <c r="D36" s="1239"/>
      <c r="E36" s="1239"/>
      <c r="F36" s="448">
        <v>0</v>
      </c>
      <c r="G36" s="455"/>
      <c r="H36" s="1239" t="s">
        <v>619</v>
      </c>
      <c r="I36" s="448"/>
      <c r="J36" s="171"/>
      <c r="K36" s="1239"/>
      <c r="L36" s="1239" t="s">
        <v>895</v>
      </c>
      <c r="M36" s="1239" t="str">
        <f>IF(AX36="PT",VLOOKUP(L36,'Foundation Calculation'!$V$2:$X$40,VLOOKUP(AX36,'Foundation Calculation'!$I$10:$J$13,2,FALSE),0),IF(AX36="K",VLOOKUP(L36,'Foundation Calculation'!$V$42:$X$80,VLOOKUP(AX36,'Foundation Calculation'!$I$10:$J$13,2,FALSE),0),""))</f>
        <v>2C3R</v>
      </c>
      <c r="N36" s="1239" t="s">
        <v>144</v>
      </c>
      <c r="O36" s="1239" t="s">
        <v>140</v>
      </c>
      <c r="P36" s="1239"/>
      <c r="Q36" s="1239">
        <v>0</v>
      </c>
      <c r="R36" s="1239">
        <v>0</v>
      </c>
      <c r="S36" s="455"/>
      <c r="T36" s="1285">
        <v>35</v>
      </c>
      <c r="U36" s="1285">
        <v>15</v>
      </c>
      <c r="V36" s="1239"/>
      <c r="W36" s="1239">
        <v>1.4</v>
      </c>
      <c r="X36" s="1239">
        <v>2.2999999999999998</v>
      </c>
      <c r="Y36" s="1239"/>
      <c r="Z36" s="1239"/>
      <c r="AA36" s="1239">
        <v>0.6</v>
      </c>
      <c r="AB36" s="1239"/>
      <c r="AC36" s="1285" t="s">
        <v>1421</v>
      </c>
      <c r="AD36" s="1239"/>
      <c r="AE36" s="1239"/>
      <c r="AF36" s="1239">
        <v>6000</v>
      </c>
      <c r="AG36" s="1350">
        <v>85854</v>
      </c>
      <c r="AH36" s="1285">
        <v>2503</v>
      </c>
      <c r="AI36" s="1285">
        <v>150</v>
      </c>
      <c r="AJ36" s="1239"/>
      <c r="AK36" s="1239"/>
      <c r="AL36" s="1239"/>
      <c r="AM36" s="1239" t="s">
        <v>1042</v>
      </c>
      <c r="AN36" s="455">
        <v>5.5</v>
      </c>
      <c r="AO36" s="1239"/>
      <c r="AP36" s="1239"/>
      <c r="AQ36" s="455"/>
      <c r="AR36" s="1239"/>
      <c r="AS36" s="1239"/>
      <c r="AT36" s="455">
        <f>+ab($T$36,$T$34,$T$38,$G$35,$G$37, 1*$F$36,1200)</f>
        <v>8.7361282580169632</v>
      </c>
      <c r="AU36" s="1239"/>
      <c r="AV36" s="1239"/>
      <c r="AW36" s="1239" t="str">
        <f>VLOOKUP(C36,'Foundation Calculation'!$A$2:$C$33,3,1)</f>
        <v>Soil B</v>
      </c>
      <c r="AX36" s="1239" t="str">
        <f>VLOOKUP(C36,'Foundation Calculation'!$E$2:$G$33,3,1)</f>
        <v>PT</v>
      </c>
      <c r="AY36" s="455">
        <f>IF(AX36="PT",VLOOKUP(L36,'Foundation Calculation'!$K$2:$R$40,VLOOKUP(AW36,'Foundation Calculation'!$I$2:$J$8,2,FALSE),0),IF(AX36="K",VLOOKUP(L36,'Foundation Calculation'!$K$42:$R$80,VLOOKUP(AW36,'Foundation Calculation'!$I$2:$J$8,2,FALSE),0),""))</f>
        <v>3.5</v>
      </c>
      <c r="AZ36" s="455"/>
      <c r="BA36" s="671" t="s">
        <v>2809</v>
      </c>
      <c r="BB36" s="1239" t="str">
        <f>Pole_Calculations!A19</f>
        <v>App.7-V11A-P9.5.1.5</v>
      </c>
      <c r="BC36" s="169"/>
      <c r="BD36" s="1329"/>
      <c r="BE36" s="1329"/>
      <c r="BF36" s="1330"/>
      <c r="BG36" s="1329"/>
    </row>
    <row r="37" spans="1:59" ht="15.75" customHeight="1">
      <c r="A37" s="1239"/>
      <c r="B37" s="1239"/>
      <c r="C37" s="171"/>
      <c r="D37" s="1239"/>
      <c r="E37" s="1239"/>
      <c r="F37" s="448"/>
      <c r="G37" s="455">
        <v>52</v>
      </c>
      <c r="H37" s="1239"/>
      <c r="I37" s="448"/>
      <c r="J37" s="171"/>
      <c r="K37" s="1239"/>
      <c r="L37" s="1239"/>
      <c r="M37" s="1239"/>
      <c r="N37" s="1239"/>
      <c r="O37" s="1239"/>
      <c r="P37" s="1239"/>
      <c r="Q37" s="1239"/>
      <c r="R37" s="1239"/>
      <c r="S37" s="455">
        <f t="shared" si="4"/>
        <v>52</v>
      </c>
      <c r="T37" s="1239"/>
      <c r="U37" s="1239"/>
      <c r="V37" s="1239"/>
      <c r="W37" s="1239"/>
      <c r="X37" s="1239"/>
      <c r="Y37" s="1239"/>
      <c r="Z37" s="1239"/>
      <c r="AA37" s="1239"/>
      <c r="AB37" s="1239"/>
      <c r="AC37" s="1239"/>
      <c r="AD37" s="1239"/>
      <c r="AE37" s="1239"/>
      <c r="AF37" s="1239"/>
      <c r="AG37" s="1350"/>
      <c r="AH37" s="1285"/>
      <c r="AI37" s="1285"/>
      <c r="AJ37" s="1239"/>
      <c r="AK37" s="1239"/>
      <c r="AL37" s="1239"/>
      <c r="AM37" s="1239"/>
      <c r="AN37" s="455"/>
      <c r="AO37" s="1239"/>
      <c r="AP37" s="1239"/>
      <c r="AQ37" s="455">
        <f>+FL_2($T$38,$T$36,$G$37,1200,9.28, 1*$F$38)</f>
        <v>-0.37855025261538461</v>
      </c>
      <c r="AR37" s="1239"/>
      <c r="AS37" s="1239"/>
      <c r="AT37" s="455"/>
      <c r="AU37" s="1239"/>
      <c r="AV37" s="1239"/>
      <c r="AW37" s="1239"/>
      <c r="AX37" s="1239"/>
      <c r="AY37" s="484"/>
      <c r="AZ37" s="455"/>
      <c r="BA37" s="1314"/>
      <c r="BB37" s="1239"/>
      <c r="BC37" s="169"/>
      <c r="BD37" s="1330"/>
      <c r="BE37" s="1330"/>
      <c r="BF37" s="1330"/>
      <c r="BG37" s="1330"/>
    </row>
    <row r="38" spans="1:59" ht="15.75" customHeight="1">
      <c r="A38" s="1239"/>
      <c r="B38" s="572" t="s">
        <v>3404</v>
      </c>
      <c r="C38" s="171">
        <f>+$C$36+$G$37</f>
        <v>85906.07</v>
      </c>
      <c r="D38" s="1239"/>
      <c r="E38" s="1239"/>
      <c r="F38" s="448">
        <v>0</v>
      </c>
      <c r="G38" s="455"/>
      <c r="H38" s="1239" t="s">
        <v>138</v>
      </c>
      <c r="I38" s="448" t="s">
        <v>623</v>
      </c>
      <c r="J38" s="171"/>
      <c r="K38" s="1239"/>
      <c r="L38" s="1239" t="s">
        <v>898</v>
      </c>
      <c r="M38" s="1239" t="str">
        <f>IF(AX38="PT",VLOOKUP(L38,'Foundation Calculation'!$V$2:$X$40,VLOOKUP(AX38,'Foundation Calculation'!$I$10:$J$13,2,FALSE),0),IF(AX38="K",VLOOKUP(L38,'Foundation Calculation'!$V$42:$X$80,VLOOKUP(AX38,'Foundation Calculation'!$I$10:$J$13,2,FALSE),0),""))</f>
        <v>C4R</v>
      </c>
      <c r="N38" s="1239" t="s">
        <v>143</v>
      </c>
      <c r="O38" s="1239"/>
      <c r="P38" s="1239"/>
      <c r="Q38" s="1239">
        <v>0</v>
      </c>
      <c r="R38" s="1239">
        <v>0</v>
      </c>
      <c r="S38" s="455"/>
      <c r="T38" s="1347">
        <v>-35</v>
      </c>
      <c r="U38" s="1239"/>
      <c r="V38" s="1239"/>
      <c r="W38" s="1239">
        <v>1.4</v>
      </c>
      <c r="X38" s="1239"/>
      <c r="Y38" s="1239"/>
      <c r="Z38" s="1239"/>
      <c r="AA38" s="1239"/>
      <c r="AB38" s="1239"/>
      <c r="AC38" s="1239" t="str">
        <f>IF(OR(AT38&gt;8,AT38&lt;-8),"PH",IF(OR(AT38&gt;5,AT38&lt;-5),"PH-Q",IF(OR(AT38&gt;1,AT38&lt;-1),"PH-C")))</f>
        <v>PH-Q</v>
      </c>
      <c r="AD38" s="1239"/>
      <c r="AE38" s="1239"/>
      <c r="AF38" s="1239"/>
      <c r="AG38" s="1415">
        <v>85906</v>
      </c>
      <c r="AH38" s="1347">
        <v>2403</v>
      </c>
      <c r="AI38" s="1347">
        <v>-1800</v>
      </c>
      <c r="AJ38" s="1239"/>
      <c r="AK38" s="1239"/>
      <c r="AL38" s="1239"/>
      <c r="AM38" s="1239" t="s">
        <v>1042</v>
      </c>
      <c r="AN38" s="455">
        <v>5.5</v>
      </c>
      <c r="AO38" s="1239"/>
      <c r="AP38" s="1239"/>
      <c r="AQ38" s="455"/>
      <c r="AR38" s="1239"/>
      <c r="AS38" s="1239"/>
      <c r="AT38" s="455">
        <f>+ab($T$38,$T$36,$T$40,$G$37,$G$39, 1*$F$38,1200)</f>
        <v>-6.9533622030276581</v>
      </c>
      <c r="AU38" s="1239"/>
      <c r="AV38" s="1239"/>
      <c r="AW38" s="1239" t="str">
        <f>VLOOKUP(C38,'Foundation Calculation'!$A$2:$C$33,3,1)</f>
        <v>Soil B</v>
      </c>
      <c r="AX38" s="1239" t="str">
        <f>VLOOKUP(C38,'Foundation Calculation'!$E$2:$G$33,3,1)</f>
        <v>PT</v>
      </c>
      <c r="AY38" s="455">
        <f>IF(AX38="PT",VLOOKUP(L38,'Foundation Calculation'!$K$2:$R$40,VLOOKUP(AW38,'Foundation Calculation'!$I$2:$J$8,2,FALSE),0),IF(AX38="K",VLOOKUP(L38,'Foundation Calculation'!$K$42:$R$80,VLOOKUP(AW38,'Foundation Calculation'!$I$2:$J$8,2,FALSE),0),""))</f>
        <v>3.5</v>
      </c>
      <c r="AZ38" s="455"/>
      <c r="BA38" s="671" t="s">
        <v>2809</v>
      </c>
      <c r="BB38" s="1239" t="str">
        <f>Pole_Calculations!A20</f>
        <v>App.7-V11A-P9.5.1.6</v>
      </c>
      <c r="BC38" s="169"/>
      <c r="BD38" s="1329"/>
      <c r="BE38" s="1329"/>
      <c r="BF38" s="1330"/>
      <c r="BG38" s="1329"/>
    </row>
    <row r="39" spans="1:59" ht="15.75" customHeight="1">
      <c r="A39" s="647" t="s">
        <v>3049</v>
      </c>
      <c r="B39" s="647"/>
      <c r="C39" s="652"/>
      <c r="D39" s="647"/>
      <c r="E39" s="647"/>
      <c r="F39" s="650"/>
      <c r="G39" s="651">
        <v>50</v>
      </c>
      <c r="H39" s="647"/>
      <c r="I39" s="650"/>
      <c r="J39" s="652">
        <f>C38+7.5</f>
        <v>85913.57</v>
      </c>
      <c r="K39" s="647" t="s">
        <v>2787</v>
      </c>
      <c r="L39" s="647"/>
      <c r="M39" s="647"/>
      <c r="N39" s="647"/>
      <c r="O39" s="647"/>
      <c r="P39" s="647"/>
      <c r="Q39" s="647"/>
      <c r="R39" s="647"/>
      <c r="S39" s="651">
        <f t="shared" si="4"/>
        <v>50</v>
      </c>
      <c r="T39" s="647"/>
      <c r="U39" s="647"/>
      <c r="V39" s="647"/>
      <c r="W39" s="647"/>
      <c r="X39" s="647"/>
      <c r="Y39" s="647"/>
      <c r="Z39" s="647"/>
      <c r="AA39" s="647"/>
      <c r="AB39" s="647"/>
      <c r="AC39" s="647"/>
      <c r="AD39" s="647"/>
      <c r="AE39" s="647"/>
      <c r="AF39" s="647"/>
      <c r="AG39" s="652"/>
      <c r="AH39" s="647"/>
      <c r="AI39" s="647"/>
      <c r="AJ39" s="647"/>
      <c r="AK39" s="647"/>
      <c r="AL39" s="647"/>
      <c r="AM39" s="647"/>
      <c r="AN39" s="651"/>
      <c r="AO39" s="647"/>
      <c r="AP39" s="647"/>
      <c r="AQ39" s="651">
        <f>+FL_1($T$40,$T$38,$G$39,1200,9.28, 1*$F$40)</f>
        <v>0.36839079999999996</v>
      </c>
      <c r="AR39" s="647"/>
      <c r="AS39" s="647"/>
      <c r="AT39" s="651"/>
      <c r="AU39" s="647"/>
      <c r="AV39" s="647"/>
      <c r="AW39" s="653" t="str">
        <f>VLOOKUP(J39,'Foundation Calculation'!$A$2:$C$33,3,1)</f>
        <v>Soil B</v>
      </c>
      <c r="AX39" s="653" t="str">
        <f>VLOOKUP(J39,'Foundation Calculation'!$E$2:$G$33,3,1)</f>
        <v>PT</v>
      </c>
      <c r="AY39" s="654"/>
      <c r="AZ39" s="654">
        <f>IF(AX39="PT",VLOOKUP(K39,'Foundation Calculation'!$K$2:$R$40,VLOOKUP(AW39,'Foundation Calculation'!$I$2:$J$8,2,FALSE),0),IF(AX39="K",VLOOKUP(K39,'Foundation Calculation'!$K$42:$R$80,VLOOKUP(AW39,'Foundation Calculation'!$I$2:$J$8,2,FALSE),0),""))</f>
        <v>3.9</v>
      </c>
      <c r="BA39" s="701" t="s">
        <v>2809</v>
      </c>
      <c r="BB39" s="647"/>
      <c r="BC39" s="169"/>
      <c r="BD39" s="1329"/>
      <c r="BE39" s="1330"/>
      <c r="BF39" s="1330"/>
      <c r="BG39" s="1330"/>
    </row>
    <row r="40" spans="1:59" ht="15.75" customHeight="1">
      <c r="A40" s="1239"/>
      <c r="B40" s="572" t="s">
        <v>3405</v>
      </c>
      <c r="C40" s="171">
        <f>+$C$38+$G$39</f>
        <v>85956.07</v>
      </c>
      <c r="D40" s="1239"/>
      <c r="E40" s="1239"/>
      <c r="F40" s="448">
        <v>0</v>
      </c>
      <c r="G40" s="455"/>
      <c r="H40" s="1239"/>
      <c r="I40" s="448"/>
      <c r="J40" s="171"/>
      <c r="K40" s="1239"/>
      <c r="L40" s="1239" t="s">
        <v>229</v>
      </c>
      <c r="M40" s="1239" t="str">
        <f>IF(AX40="PT",VLOOKUP(L40,'Foundation Calculation'!$V$2:$X$40,VLOOKUP(AX40,'Foundation Calculation'!$I$10:$J$13,2,FALSE),0),IF(AX40="K",VLOOKUP(L40,'Foundation Calculation'!$V$42:$X$80,VLOOKUP(AX40,'Foundation Calculation'!$I$10:$J$13,2,FALSE),0),""))</f>
        <v>C3R</v>
      </c>
      <c r="N40" s="1239" t="s">
        <v>144</v>
      </c>
      <c r="O40" s="1239"/>
      <c r="P40" s="1239"/>
      <c r="Q40" s="1239">
        <v>0</v>
      </c>
      <c r="R40" s="1239">
        <v>0</v>
      </c>
      <c r="S40" s="455"/>
      <c r="T40" s="1239">
        <v>35</v>
      </c>
      <c r="U40" s="1239"/>
      <c r="V40" s="1239"/>
      <c r="W40" s="1239">
        <v>1.4</v>
      </c>
      <c r="X40" s="1239"/>
      <c r="Y40" s="1239"/>
      <c r="Z40" s="1239"/>
      <c r="AA40" s="1239"/>
      <c r="AB40" s="1239"/>
      <c r="AC40" s="1239" t="s">
        <v>4090</v>
      </c>
      <c r="AD40" s="1239"/>
      <c r="AE40" s="1239"/>
      <c r="AF40" s="1239">
        <v>6000</v>
      </c>
      <c r="AG40" s="171">
        <v>85956</v>
      </c>
      <c r="AH40" s="1239">
        <v>1963</v>
      </c>
      <c r="AI40" s="1239">
        <v>550</v>
      </c>
      <c r="AJ40" s="1239"/>
      <c r="AK40" s="1239"/>
      <c r="AL40" s="1239"/>
      <c r="AM40" s="1239" t="s">
        <v>1042</v>
      </c>
      <c r="AN40" s="455">
        <v>5.42</v>
      </c>
      <c r="AO40" s="1239"/>
      <c r="AP40" s="1239"/>
      <c r="AQ40" s="455"/>
      <c r="AR40" s="1239"/>
      <c r="AS40" s="1239"/>
      <c r="AT40" s="455">
        <f>+ab($T$40,$T$38,$T$42,$G$39,$G$41, 1*$F$40,1200)</f>
        <v>6.0690214289301956</v>
      </c>
      <c r="AU40" s="1239"/>
      <c r="AV40" s="1239"/>
      <c r="AW40" s="1239" t="str">
        <f>VLOOKUP(C40,'Foundation Calculation'!$A$2:$C$33,3,1)</f>
        <v>Soil B</v>
      </c>
      <c r="AX40" s="1239" t="str">
        <f>VLOOKUP(C40,'Foundation Calculation'!$E$2:$G$33,3,1)</f>
        <v>PT</v>
      </c>
      <c r="AY40" s="455">
        <f>IF(AX40="PT",VLOOKUP(L40,'Foundation Calculation'!$K$2:$R$40,VLOOKUP(AW40,'Foundation Calculation'!$I$2:$J$8,2,FALSE),0),IF(AX40="K",VLOOKUP(L40,'Foundation Calculation'!$K$42:$R$80,VLOOKUP(AW40,'Foundation Calculation'!$I$2:$J$8,2,FALSE),0),""))</f>
        <v>3.5</v>
      </c>
      <c r="AZ40" s="455"/>
      <c r="BA40" s="671" t="s">
        <v>2809</v>
      </c>
      <c r="BB40" s="1239" t="str">
        <f>Pole_Calculations!A15</f>
        <v>App.7-V11A-P9.5.1.1</v>
      </c>
      <c r="BC40" s="169"/>
      <c r="BD40" s="1371"/>
      <c r="BE40" s="1371"/>
      <c r="BF40" s="1371"/>
      <c r="BG40" s="1371"/>
    </row>
    <row r="41" spans="1:59" ht="15.75" customHeight="1">
      <c r="A41" s="1239"/>
      <c r="B41" s="1239"/>
      <c r="C41" s="171"/>
      <c r="D41" s="1239"/>
      <c r="E41" s="1239"/>
      <c r="F41" s="448"/>
      <c r="G41" s="455">
        <v>40</v>
      </c>
      <c r="H41" s="1239"/>
      <c r="I41" s="448"/>
      <c r="J41" s="171"/>
      <c r="K41" s="1239"/>
      <c r="L41" s="1239"/>
      <c r="M41" s="1239"/>
      <c r="N41" s="1239"/>
      <c r="O41" s="1239"/>
      <c r="P41" s="1239"/>
      <c r="Q41" s="1239"/>
      <c r="R41" s="1239"/>
      <c r="S41" s="455">
        <f t="shared" si="4"/>
        <v>40</v>
      </c>
      <c r="T41" s="1239"/>
      <c r="U41" s="1239"/>
      <c r="V41" s="1239"/>
      <c r="W41" s="1239"/>
      <c r="X41" s="1239"/>
      <c r="Y41" s="1239"/>
      <c r="Z41" s="1239"/>
      <c r="AA41" s="1239"/>
      <c r="AB41" s="1239"/>
      <c r="AC41" s="1239"/>
      <c r="AD41" s="1239"/>
      <c r="AE41" s="1239"/>
      <c r="AF41" s="1239"/>
      <c r="AG41" s="171"/>
      <c r="AH41" s="1239"/>
      <c r="AI41" s="1239"/>
      <c r="AJ41" s="1239"/>
      <c r="AK41" s="1239"/>
      <c r="AL41" s="1239"/>
      <c r="AM41" s="1239"/>
      <c r="AN41" s="455"/>
      <c r="AO41" s="1239"/>
      <c r="AP41" s="1239"/>
      <c r="AQ41" s="455">
        <f>+FL_1($T$42,$T$40,$G$41,1200,9.28, 1*$F$42)</f>
        <v>0.35000000000000125</v>
      </c>
      <c r="AR41" s="1239"/>
      <c r="AS41" s="1239"/>
      <c r="AT41" s="455"/>
      <c r="AU41" s="1239"/>
      <c r="AV41" s="1239"/>
      <c r="AW41" s="1239"/>
      <c r="AX41" s="1239"/>
      <c r="AY41" s="455"/>
      <c r="AZ41" s="455"/>
      <c r="BA41" s="1314"/>
      <c r="BB41" s="1239"/>
      <c r="BC41" s="169"/>
      <c r="BD41" s="1330"/>
      <c r="BE41" s="1330"/>
      <c r="BF41" s="1330"/>
      <c r="BG41" s="1330"/>
    </row>
    <row r="42" spans="1:59" ht="15.75" customHeight="1">
      <c r="A42" s="1239"/>
      <c r="B42" s="572" t="s">
        <v>3406</v>
      </c>
      <c r="C42" s="171">
        <f>+$C$40+$G$41</f>
        <v>85996.07</v>
      </c>
      <c r="D42" s="1239"/>
      <c r="E42" s="1239"/>
      <c r="F42" s="448">
        <v>0</v>
      </c>
      <c r="G42" s="455"/>
      <c r="H42" s="1239"/>
      <c r="I42" s="448"/>
      <c r="J42" s="171"/>
      <c r="K42" s="1239"/>
      <c r="L42" s="1239" t="s">
        <v>229</v>
      </c>
      <c r="M42" s="1239" t="str">
        <f>IF(AX42="PT",VLOOKUP(L42,'Foundation Calculation'!$V$2:$X$40,VLOOKUP(AX42,'Foundation Calculation'!$I$10:$J$13,2,FALSE),0),IF(AX42="K",VLOOKUP(L42,'Foundation Calculation'!$V$42:$X$80,VLOOKUP(AX42,'Foundation Calculation'!$I$10:$J$13,2,FALSE),0),""))</f>
        <v>C3R</v>
      </c>
      <c r="N42" s="1239" t="s">
        <v>143</v>
      </c>
      <c r="O42" s="1239"/>
      <c r="P42" s="1239"/>
      <c r="Q42" s="1239">
        <v>0</v>
      </c>
      <c r="R42" s="1239">
        <v>0</v>
      </c>
      <c r="S42" s="455"/>
      <c r="T42" s="1285">
        <v>-35</v>
      </c>
      <c r="U42" s="1239"/>
      <c r="V42" s="1239"/>
      <c r="W42" s="1239">
        <v>1.4</v>
      </c>
      <c r="X42" s="1239"/>
      <c r="Y42" s="1239"/>
      <c r="Z42" s="1239"/>
      <c r="AA42" s="1239"/>
      <c r="AB42" s="1239"/>
      <c r="AC42" s="1239" t="s">
        <v>4090</v>
      </c>
      <c r="AD42" s="1239"/>
      <c r="AE42" s="1239"/>
      <c r="AF42" s="1239">
        <v>6000</v>
      </c>
      <c r="AG42" s="1350">
        <v>85996</v>
      </c>
      <c r="AH42" s="1285">
        <v>2013</v>
      </c>
      <c r="AI42" s="1285">
        <v>430</v>
      </c>
      <c r="AJ42" s="1239"/>
      <c r="AK42" s="1239"/>
      <c r="AL42" s="1239"/>
      <c r="AM42" s="1239" t="s">
        <v>1042</v>
      </c>
      <c r="AN42" s="455">
        <v>5.32</v>
      </c>
      <c r="AO42" s="1239"/>
      <c r="AP42" s="1239"/>
      <c r="AQ42" s="455"/>
      <c r="AR42" s="1239"/>
      <c r="AS42" s="1239"/>
      <c r="AT42" s="455">
        <f>+ab($T$42,$T$40,$T$44,$G$41,$G$43, 1*$F$42,1200)</f>
        <v>-5.8836284034370641</v>
      </c>
      <c r="AU42" s="1239"/>
      <c r="AV42" s="1239"/>
      <c r="AW42" s="1239" t="str">
        <f>VLOOKUP(C42,'Foundation Calculation'!$A$2:$C$33,3,1)</f>
        <v>Soil B</v>
      </c>
      <c r="AX42" s="1239" t="str">
        <f>VLOOKUP(C42,'Foundation Calculation'!$E$2:$G$33,3,1)</f>
        <v>PT</v>
      </c>
      <c r="AY42" s="455">
        <f>IF(AX42="PT",VLOOKUP(L42,'Foundation Calculation'!$K$2:$R$40,VLOOKUP(AW42,'Foundation Calculation'!$I$2:$J$8,2,FALSE),0),IF(AX42="K",VLOOKUP(L42,'Foundation Calculation'!$K$42:$R$80,VLOOKUP(AW42,'Foundation Calculation'!$I$2:$J$8,2,FALSE),0),""))</f>
        <v>3.5</v>
      </c>
      <c r="AZ42" s="455"/>
      <c r="BA42" s="671" t="s">
        <v>2809</v>
      </c>
      <c r="BB42" s="1239" t="str">
        <f>Pole_Calculations!A15</f>
        <v>App.7-V11A-P9.5.1.1</v>
      </c>
      <c r="BC42" s="169"/>
      <c r="BD42" s="1329"/>
      <c r="BE42" s="1329"/>
      <c r="BF42" s="1330"/>
      <c r="BG42" s="1329"/>
    </row>
    <row r="43" spans="1:59" ht="15.75" customHeight="1">
      <c r="A43" s="1239"/>
      <c r="B43" s="1239"/>
      <c r="C43" s="171"/>
      <c r="D43" s="1239"/>
      <c r="E43" s="1239"/>
      <c r="F43" s="448"/>
      <c r="G43" s="455">
        <v>40</v>
      </c>
      <c r="H43" s="1239"/>
      <c r="I43" s="448"/>
      <c r="J43" s="171"/>
      <c r="K43" s="1239"/>
      <c r="L43" s="1239"/>
      <c r="M43" s="1239"/>
      <c r="N43" s="1239"/>
      <c r="O43" s="1239"/>
      <c r="P43" s="1239"/>
      <c r="Q43" s="1239"/>
      <c r="R43" s="1239"/>
      <c r="S43" s="455">
        <f t="shared" si="4"/>
        <v>40</v>
      </c>
      <c r="T43" s="1239"/>
      <c r="U43" s="1239"/>
      <c r="V43" s="1239"/>
      <c r="W43" s="1239"/>
      <c r="X43" s="1239"/>
      <c r="Y43" s="1239"/>
      <c r="Z43" s="1239"/>
      <c r="AA43" s="1239"/>
      <c r="AB43" s="1239"/>
      <c r="AC43" s="1239"/>
      <c r="AD43" s="1239"/>
      <c r="AE43" s="1239"/>
      <c r="AF43" s="1239"/>
      <c r="AG43" s="1350"/>
      <c r="AH43" s="1285"/>
      <c r="AI43" s="1285"/>
      <c r="AJ43" s="1239"/>
      <c r="AK43" s="1239"/>
      <c r="AL43" s="1239"/>
      <c r="AM43" s="1239"/>
      <c r="AN43" s="455"/>
      <c r="AO43" s="1239"/>
      <c r="AP43" s="1239"/>
      <c r="AQ43" s="455">
        <f>+FL_2($T$44,$T$42,$G$43,1200,9.28, 1*$F$44)</f>
        <v>-0.34999999999999959</v>
      </c>
      <c r="AR43" s="1239"/>
      <c r="AS43" s="1239"/>
      <c r="AT43" s="455"/>
      <c r="AU43" s="1239"/>
      <c r="AV43" s="1239"/>
      <c r="AW43" s="1239"/>
      <c r="AX43" s="1239"/>
      <c r="AY43" s="455"/>
      <c r="AZ43" s="455"/>
      <c r="BA43" s="1314"/>
      <c r="BB43" s="1239"/>
      <c r="BC43" s="169"/>
      <c r="BD43" s="1330"/>
      <c r="BE43" s="1330"/>
      <c r="BF43" s="1330"/>
      <c r="BG43" s="1330"/>
    </row>
    <row r="44" spans="1:59" ht="15.75" customHeight="1">
      <c r="A44" s="1239"/>
      <c r="B44" s="572" t="s">
        <v>3407</v>
      </c>
      <c r="C44" s="171">
        <f>+$C$42+$G$43</f>
        <v>86036.07</v>
      </c>
      <c r="D44" s="1239"/>
      <c r="E44" s="1239"/>
      <c r="F44" s="448">
        <f>(537^2)/(86008.29-C44)</f>
        <v>-10380.4535637099</v>
      </c>
      <c r="G44" s="455"/>
      <c r="H44" s="1239"/>
      <c r="I44" s="448"/>
      <c r="J44" s="171"/>
      <c r="K44" s="1239"/>
      <c r="L44" s="1239" t="s">
        <v>229</v>
      </c>
      <c r="M44" s="1239" t="str">
        <f>IF(AX44="PT",VLOOKUP(L44,'Foundation Calculation'!$V$2:$X$40,VLOOKUP(AX44,'Foundation Calculation'!$I$10:$J$13,2,FALSE),0),IF(AX44="K",VLOOKUP(L44,'Foundation Calculation'!$V$42:$X$80,VLOOKUP(AX44,'Foundation Calculation'!$I$10:$J$13,2,FALSE),0),""))</f>
        <v>C3R</v>
      </c>
      <c r="N44" s="1239" t="s">
        <v>144</v>
      </c>
      <c r="O44" s="1239"/>
      <c r="P44" s="1239"/>
      <c r="Q44" s="1239">
        <v>0</v>
      </c>
      <c r="R44" s="1239">
        <v>0</v>
      </c>
      <c r="S44" s="455"/>
      <c r="T44" s="1285">
        <v>25</v>
      </c>
      <c r="U44" s="1285"/>
      <c r="V44" s="1285"/>
      <c r="W44" s="1285">
        <v>1.2</v>
      </c>
      <c r="X44" s="1285"/>
      <c r="Y44" s="1285"/>
      <c r="Z44" s="1285"/>
      <c r="AA44" s="1285"/>
      <c r="AB44" s="1285"/>
      <c r="AC44" s="1285" t="s">
        <v>4090</v>
      </c>
      <c r="AD44" s="1285"/>
      <c r="AE44" s="1285"/>
      <c r="AF44" s="1285">
        <v>6000</v>
      </c>
      <c r="AG44" s="1350">
        <v>86036</v>
      </c>
      <c r="AH44" s="1285">
        <v>2173</v>
      </c>
      <c r="AI44" s="1285">
        <v>430</v>
      </c>
      <c r="AJ44" s="1239"/>
      <c r="AK44" s="1239"/>
      <c r="AL44" s="1239"/>
      <c r="AM44" s="1239" t="s">
        <v>1042</v>
      </c>
      <c r="AN44" s="455">
        <v>5.22</v>
      </c>
      <c r="AO44" s="1239"/>
      <c r="AP44" s="1239"/>
      <c r="AQ44" s="455"/>
      <c r="AR44" s="1239"/>
      <c r="AS44" s="1239"/>
      <c r="AT44" s="455">
        <f>+ab($T$44,$T$42,$T$46,$G$43,$G$45, 1*$F$44,1200)</f>
        <v>9.4432590766849849</v>
      </c>
      <c r="AU44" s="1239"/>
      <c r="AV44" s="1239"/>
      <c r="AW44" s="1239" t="str">
        <f>VLOOKUP(C44,'Foundation Calculation'!$A$2:$C$33,3,1)</f>
        <v>Soil B</v>
      </c>
      <c r="AX44" s="1239" t="str">
        <f>VLOOKUP(C44,'Foundation Calculation'!$E$2:$G$33,3,1)</f>
        <v>PT</v>
      </c>
      <c r="AY44" s="455">
        <f>IF(AX44="PT",VLOOKUP(L44,'Foundation Calculation'!$K$2:$R$40,VLOOKUP(AW44,'Foundation Calculation'!$I$2:$J$8,2,FALSE),0),IF(AX44="K",VLOOKUP(L44,'Foundation Calculation'!$K$42:$R$80,VLOOKUP(AW44,'Foundation Calculation'!$I$2:$J$8,2,FALSE),0),""))</f>
        <v>3.5</v>
      </c>
      <c r="AZ44" s="455"/>
      <c r="BA44" s="671" t="s">
        <v>2809</v>
      </c>
      <c r="BB44" s="1239" t="str">
        <f>Pole_Calculations!A15</f>
        <v>App.7-V11A-P9.5.1.1</v>
      </c>
      <c r="BC44" s="169"/>
      <c r="BD44" s="1329"/>
      <c r="BE44" s="1329"/>
      <c r="BF44" s="1330"/>
      <c r="BG44" s="1329"/>
    </row>
    <row r="45" spans="1:59" ht="15.75" customHeight="1">
      <c r="A45" s="1239"/>
      <c r="B45" s="445"/>
      <c r="C45" s="446"/>
      <c r="D45" s="448"/>
      <c r="E45" s="448"/>
      <c r="F45" s="448"/>
      <c r="G45" s="455">
        <v>48</v>
      </c>
      <c r="H45" s="1239"/>
      <c r="I45" s="448"/>
      <c r="J45" s="446"/>
      <c r="K45" s="638"/>
      <c r="L45" s="638"/>
      <c r="M45" s="638"/>
      <c r="N45" s="1239"/>
      <c r="O45" s="1239"/>
      <c r="P45" s="1239"/>
      <c r="Q45" s="1239"/>
      <c r="R45" s="1239"/>
      <c r="S45" s="455">
        <f t="shared" si="4"/>
        <v>48</v>
      </c>
      <c r="T45" s="1239"/>
      <c r="U45" s="1239"/>
      <c r="V45" s="1239"/>
      <c r="W45" s="1239"/>
      <c r="X45" s="1239"/>
      <c r="Y45" s="1239"/>
      <c r="Z45" s="1239"/>
      <c r="AA45" s="1239"/>
      <c r="AB45" s="1239"/>
      <c r="AC45" s="1239"/>
      <c r="AD45" s="1239"/>
      <c r="AE45" s="1239"/>
      <c r="AF45" s="1239"/>
      <c r="AG45" s="1350"/>
      <c r="AH45" s="1285"/>
      <c r="AI45" s="1285"/>
      <c r="AJ45" s="638"/>
      <c r="AK45" s="1239"/>
      <c r="AL45" s="638"/>
      <c r="AM45" s="1239"/>
      <c r="AN45" s="455"/>
      <c r="AO45" s="1239"/>
      <c r="AP45" s="1239"/>
      <c r="AQ45" s="484">
        <f>+FL_1($T$46,$T$44,$G$45,1200,9.28, 1*$F$46)</f>
        <v>0.36581685878731635</v>
      </c>
      <c r="AR45" s="638"/>
      <c r="AS45" s="638"/>
      <c r="AT45" s="484"/>
      <c r="AU45" s="638"/>
      <c r="AV45" s="638"/>
      <c r="AW45" s="484"/>
      <c r="AX45" s="484"/>
      <c r="AY45" s="484"/>
      <c r="AZ45" s="484"/>
      <c r="BA45" s="671"/>
      <c r="BB45" s="1239"/>
      <c r="BC45" s="169"/>
      <c r="BD45" s="1330"/>
      <c r="BE45" s="1330"/>
      <c r="BF45" s="1330"/>
      <c r="BG45" s="1330"/>
    </row>
    <row r="46" spans="1:59" ht="15.75" customHeight="1">
      <c r="A46" s="1239"/>
      <c r="B46" s="485" t="s">
        <v>3408</v>
      </c>
      <c r="C46" s="446">
        <f>+$C$44+$G$45</f>
        <v>86084.07</v>
      </c>
      <c r="D46" s="448"/>
      <c r="E46" s="448"/>
      <c r="F46" s="448">
        <f>(537^2)/(86008.29-C46)</f>
        <v>-3805.3444180515844</v>
      </c>
      <c r="G46" s="455"/>
      <c r="H46" s="1239"/>
      <c r="I46" s="448"/>
      <c r="J46" s="446"/>
      <c r="K46" s="638"/>
      <c r="L46" s="638" t="s">
        <v>229</v>
      </c>
      <c r="M46" s="1239" t="str">
        <f>IF(AX46="PT",VLOOKUP(L46,'Foundation Calculation'!$V$2:$X$40,VLOOKUP(AX46,'Foundation Calculation'!$I$10:$J$13,2,FALSE),0),IF(AX46="K",VLOOKUP(L46,'Foundation Calculation'!$V$42:$X$80,VLOOKUP(AX46,'Foundation Calculation'!$I$10:$J$13,2,FALSE),0),""))</f>
        <v>C3R</v>
      </c>
      <c r="N46" s="1285" t="s">
        <v>2789</v>
      </c>
      <c r="O46" s="1285"/>
      <c r="P46" s="1285"/>
      <c r="Q46" s="1285">
        <v>20</v>
      </c>
      <c r="R46" s="1285">
        <v>-318.51</v>
      </c>
      <c r="S46" s="1352"/>
      <c r="T46" s="1285">
        <v>-20</v>
      </c>
      <c r="U46" s="1285"/>
      <c r="V46" s="1285"/>
      <c r="W46" s="1285">
        <v>1</v>
      </c>
      <c r="X46" s="1285"/>
      <c r="Y46" s="1285"/>
      <c r="Z46" s="1285"/>
      <c r="AA46" s="1285"/>
      <c r="AB46" s="1285"/>
      <c r="AC46" s="1285" t="s">
        <v>3050</v>
      </c>
      <c r="AD46" s="1285"/>
      <c r="AE46" s="1285"/>
      <c r="AF46" s="1285">
        <v>5500</v>
      </c>
      <c r="AG46" s="1350">
        <v>86084</v>
      </c>
      <c r="AH46" s="1285">
        <v>2053</v>
      </c>
      <c r="AI46" s="1285">
        <v>390</v>
      </c>
      <c r="AJ46" s="638"/>
      <c r="AK46" s="1239"/>
      <c r="AL46" s="638"/>
      <c r="AM46" s="1239" t="s">
        <v>1042</v>
      </c>
      <c r="AN46" s="455">
        <v>5.15</v>
      </c>
      <c r="AO46" s="1239"/>
      <c r="AP46" s="1239"/>
      <c r="AQ46" s="484"/>
      <c r="AR46" s="484"/>
      <c r="AS46" s="484"/>
      <c r="AT46" s="484">
        <f>+ab($T$46,$T$44,$T$48,$G$45,$G$47, 1*$F$46,1200)</f>
        <v>-9.5507267362583619</v>
      </c>
      <c r="AU46" s="638"/>
      <c r="AV46" s="638"/>
      <c r="AW46" s="1239" t="str">
        <f>VLOOKUP(C46,'Foundation Calculation'!$A$2:$C$33,3,1)</f>
        <v>Soil B</v>
      </c>
      <c r="AX46" s="1239" t="str">
        <f>VLOOKUP(C46,'Foundation Calculation'!$E$2:$G$33,3,1)</f>
        <v>PT</v>
      </c>
      <c r="AY46" s="455">
        <f>IF(AX46="PT",VLOOKUP(L46,'Foundation Calculation'!$K$2:$R$40,VLOOKUP(AW46,'Foundation Calculation'!$I$2:$J$8,2,FALSE),0),IF(AX46="K",VLOOKUP(L46,'Foundation Calculation'!$K$42:$R$80,VLOOKUP(AW46,'Foundation Calculation'!$I$2:$J$8,2,FALSE),0),""))</f>
        <v>3.5</v>
      </c>
      <c r="AZ46" s="455"/>
      <c r="BA46" s="671" t="s">
        <v>2809</v>
      </c>
      <c r="BB46" s="1239" t="str">
        <f>Pole_Calculations!A15</f>
        <v>App.7-V11A-P9.5.1.1</v>
      </c>
      <c r="BC46" s="169"/>
      <c r="BD46" s="1329"/>
      <c r="BE46" s="1329"/>
      <c r="BF46" s="1330"/>
      <c r="BG46" s="1329"/>
    </row>
    <row r="47" spans="1:59" ht="15.75" customHeight="1">
      <c r="A47" s="488" t="s">
        <v>1851</v>
      </c>
      <c r="B47" s="494"/>
      <c r="C47" s="489"/>
      <c r="D47" s="492"/>
      <c r="E47" s="492"/>
      <c r="F47" s="492"/>
      <c r="G47" s="457">
        <v>48</v>
      </c>
      <c r="H47" s="495"/>
      <c r="I47" s="492"/>
      <c r="J47" s="489"/>
      <c r="K47" s="490"/>
      <c r="L47" s="490"/>
      <c r="M47" s="490"/>
      <c r="N47" s="495"/>
      <c r="O47" s="495"/>
      <c r="P47" s="495"/>
      <c r="Q47" s="495"/>
      <c r="R47" s="495"/>
      <c r="S47" s="457">
        <f>AG48-AG46</f>
        <v>48</v>
      </c>
      <c r="T47" s="495"/>
      <c r="U47" s="495"/>
      <c r="V47" s="495"/>
      <c r="W47" s="495"/>
      <c r="X47" s="495"/>
      <c r="Y47" s="495"/>
      <c r="Z47" s="495"/>
      <c r="AA47" s="495"/>
      <c r="AB47" s="495"/>
      <c r="AC47" s="495"/>
      <c r="AD47" s="495"/>
      <c r="AE47" s="495"/>
      <c r="AF47" s="495"/>
      <c r="AG47" s="431"/>
      <c r="AH47" s="495"/>
      <c r="AI47" s="495"/>
      <c r="AJ47" s="490"/>
      <c r="AK47" s="495"/>
      <c r="AL47" s="490"/>
      <c r="AM47" s="495"/>
      <c r="AN47" s="457"/>
      <c r="AO47" s="495"/>
      <c r="AP47" s="495"/>
      <c r="AQ47" s="493">
        <f>+FL_2($T$48,$T$46,$G$47,1200,9.28, 1*$F$48)</f>
        <v>-0.35540237342426856</v>
      </c>
      <c r="AR47" s="493"/>
      <c r="AS47" s="493"/>
      <c r="AT47" s="493"/>
      <c r="AU47" s="490"/>
      <c r="AV47" s="490"/>
      <c r="AW47" s="493"/>
      <c r="AX47" s="493"/>
      <c r="AY47" s="493"/>
      <c r="AZ47" s="493"/>
      <c r="BA47" s="602"/>
      <c r="BB47" s="488"/>
      <c r="BC47" s="169"/>
      <c r="BD47" s="1330"/>
      <c r="BE47" s="1330"/>
      <c r="BF47" s="1330"/>
      <c r="BG47" s="1330"/>
    </row>
    <row r="48" spans="1:59" ht="15.75" customHeight="1">
      <c r="A48" s="1239"/>
      <c r="B48" s="485" t="s">
        <v>3409</v>
      </c>
      <c r="C48" s="446">
        <f>+$C$46+$G$47</f>
        <v>86132.07</v>
      </c>
      <c r="D48" s="448"/>
      <c r="E48" s="448"/>
      <c r="F48" s="448">
        <f>(537^2)/(86008.29-C48)</f>
        <v>-2329.6897721761902</v>
      </c>
      <c r="G48" s="455"/>
      <c r="H48" s="1239"/>
      <c r="I48" s="448"/>
      <c r="J48" s="446"/>
      <c r="K48" s="638"/>
      <c r="L48" s="638" t="s">
        <v>230</v>
      </c>
      <c r="M48" s="1239" t="str">
        <f>IF(AX48="PT",VLOOKUP(L48,'Foundation Calculation'!$V$2:$X$40,VLOOKUP(AX48,'Foundation Calculation'!$I$10:$J$13,2,FALSE),0),IF(AX48="K",VLOOKUP(L48,'Foundation Calculation'!$V$42:$X$80,VLOOKUP(AX48,'Foundation Calculation'!$I$10:$J$13,2,FALSE),0),""))</f>
        <v>C4R</v>
      </c>
      <c r="N48" s="1239" t="s">
        <v>2789</v>
      </c>
      <c r="O48" s="1239"/>
      <c r="P48" s="1239"/>
      <c r="Q48" s="1239">
        <v>70</v>
      </c>
      <c r="R48" s="1239">
        <v>-76.97</v>
      </c>
      <c r="S48" s="455"/>
      <c r="T48" s="1239">
        <v>-30</v>
      </c>
      <c r="U48" s="1239"/>
      <c r="V48" s="1239"/>
      <c r="W48" s="1239">
        <v>1</v>
      </c>
      <c r="X48" s="1239"/>
      <c r="Y48" s="1239"/>
      <c r="Z48" s="1239"/>
      <c r="AA48" s="1239"/>
      <c r="AB48" s="1239"/>
      <c r="AC48" s="1239" t="s">
        <v>3050</v>
      </c>
      <c r="AD48" s="1239"/>
      <c r="AE48" s="1239"/>
      <c r="AF48" s="1239">
        <v>5600</v>
      </c>
      <c r="AG48" s="171">
        <v>86132</v>
      </c>
      <c r="AH48" s="1239">
        <v>2303</v>
      </c>
      <c r="AI48" s="1239">
        <v>330</v>
      </c>
      <c r="AJ48" s="638"/>
      <c r="AK48" s="1239"/>
      <c r="AL48" s="638"/>
      <c r="AM48" s="1239" t="s">
        <v>1042</v>
      </c>
      <c r="AN48" s="455">
        <v>5.15</v>
      </c>
      <c r="AO48" s="1239"/>
      <c r="AP48" s="1239"/>
      <c r="AQ48" s="484"/>
      <c r="AR48" s="484"/>
      <c r="AS48" s="484"/>
      <c r="AT48" s="484">
        <f>+ab($T$48,$T$46,$T$50,$G$47,$G$49, 1*$F$48,1200)</f>
        <v>-8.3123640384215545</v>
      </c>
      <c r="AU48" s="638"/>
      <c r="AV48" s="638"/>
      <c r="AW48" s="1239" t="str">
        <f>VLOOKUP(C48,'Foundation Calculation'!$A$2:$C$33,3,1)</f>
        <v>Soil B</v>
      </c>
      <c r="AX48" s="1239" t="str">
        <f>VLOOKUP(C48,'Foundation Calculation'!$E$2:$G$33,3,1)</f>
        <v>PT</v>
      </c>
      <c r="AY48" s="455">
        <f>IF(AX48="PT",VLOOKUP(L48,'Foundation Calculation'!$K$2:$R$40,VLOOKUP(AW48,'Foundation Calculation'!$I$2:$J$8,2,FALSE),0),IF(AX48="K",VLOOKUP(L48,'Foundation Calculation'!$K$42:$R$80,VLOOKUP(AW48,'Foundation Calculation'!$I$2:$J$8,2,FALSE),0),""))</f>
        <v>3.5</v>
      </c>
      <c r="AZ48" s="455"/>
      <c r="BA48" s="671" t="s">
        <v>2809</v>
      </c>
      <c r="BB48" s="1239" t="str">
        <f>Pole_Calculations!A15</f>
        <v>App.7-V11A-P9.5.1.1</v>
      </c>
      <c r="BC48" s="169"/>
      <c r="BD48" s="1371"/>
      <c r="BE48" s="1371"/>
      <c r="BF48" s="1371"/>
      <c r="BG48" s="1371"/>
    </row>
    <row r="49" spans="1:59" ht="15.75" customHeight="1">
      <c r="A49" s="1239" t="s">
        <v>3360</v>
      </c>
      <c r="B49" s="445"/>
      <c r="C49" s="446"/>
      <c r="D49" s="448"/>
      <c r="E49" s="448"/>
      <c r="F49" s="448"/>
      <c r="G49" s="455">
        <v>49.1</v>
      </c>
      <c r="H49" s="1239"/>
      <c r="I49" s="448"/>
      <c r="J49" s="446">
        <f>C50-7.5</f>
        <v>86173.670000000013</v>
      </c>
      <c r="K49" s="638" t="s">
        <v>2788</v>
      </c>
      <c r="L49" s="638"/>
      <c r="M49" s="638"/>
      <c r="N49" s="1239"/>
      <c r="O49" s="1239"/>
      <c r="P49" s="1239"/>
      <c r="Q49" s="1239"/>
      <c r="R49" s="1239"/>
      <c r="S49" s="455">
        <f>AG50-AG48</f>
        <v>49</v>
      </c>
      <c r="T49" s="1239"/>
      <c r="U49" s="1239"/>
      <c r="V49" s="1239"/>
      <c r="W49" s="1239"/>
      <c r="X49" s="1239"/>
      <c r="Y49" s="1239"/>
      <c r="Z49" s="1239"/>
      <c r="AA49" s="1239"/>
      <c r="AB49" s="1239"/>
      <c r="AC49" s="1239"/>
      <c r="AD49" s="1239"/>
      <c r="AE49" s="1239"/>
      <c r="AF49" s="1239"/>
      <c r="AG49" s="171"/>
      <c r="AH49" s="1239"/>
      <c r="AI49" s="1239"/>
      <c r="AJ49" s="638"/>
      <c r="AK49" s="1239"/>
      <c r="AL49" s="638"/>
      <c r="AM49" s="1239"/>
      <c r="AN49" s="455"/>
      <c r="AO49" s="1239"/>
      <c r="AP49" s="1239"/>
      <c r="AQ49" s="484">
        <f>+FL_2($T$50,$T$48,$G$49,1200,9.28, 1*$F$50)</f>
        <v>-0.36561981911651886</v>
      </c>
      <c r="AR49" s="484"/>
      <c r="AS49" s="484"/>
      <c r="AT49" s="484"/>
      <c r="AU49" s="638"/>
      <c r="AV49" s="638"/>
      <c r="AW49" s="638" t="str">
        <f>VLOOKUP(J49,'Foundation Calculation'!$A$2:$C$33,3,1)</f>
        <v>Soil B</v>
      </c>
      <c r="AX49" s="638" t="str">
        <f>VLOOKUP(J49,'Foundation Calculation'!$E$2:$G$33,3,1)</f>
        <v>PT</v>
      </c>
      <c r="AY49" s="484"/>
      <c r="AZ49" s="484">
        <f>IF(AX49="PT",VLOOKUP(K49,'Foundation Calculation'!$K$2:$R$40,VLOOKUP(AW49,'Foundation Calculation'!$I$2:$J$8,2,FALSE),0),IF(AX49="K",VLOOKUP(K49,'Foundation Calculation'!$K$42:$R$80,VLOOKUP(AW49,'Foundation Calculation'!$I$2:$J$8,2,FALSE),0),""))</f>
        <v>2.8</v>
      </c>
      <c r="BA49" s="671" t="s">
        <v>2809</v>
      </c>
      <c r="BB49" s="1239"/>
      <c r="BC49" s="169"/>
      <c r="BD49" s="1329"/>
      <c r="BE49" s="1330"/>
      <c r="BF49" s="1330"/>
      <c r="BG49" s="1330"/>
    </row>
    <row r="50" spans="1:59" ht="15.75" customHeight="1">
      <c r="A50" s="1239"/>
      <c r="B50" s="485" t="s">
        <v>3410</v>
      </c>
      <c r="C50" s="446">
        <f>+$C$48+$G$49</f>
        <v>86181.170000000013</v>
      </c>
      <c r="D50" s="448"/>
      <c r="E50" s="448"/>
      <c r="F50" s="448">
        <v>-1800</v>
      </c>
      <c r="G50" s="455"/>
      <c r="H50" s="1239" t="s">
        <v>873</v>
      </c>
      <c r="I50" s="448"/>
      <c r="J50" s="446"/>
      <c r="K50" s="638"/>
      <c r="L50" s="638" t="s">
        <v>230</v>
      </c>
      <c r="M50" s="1239" t="str">
        <f>IF(AX50="PT",VLOOKUP(L50,'Foundation Calculation'!$V$2:$X$40,VLOOKUP(AX50,'Foundation Calculation'!$I$10:$J$13,2,FALSE),0),IF(AX50="K",VLOOKUP(L50,'Foundation Calculation'!$V$42:$X$80,VLOOKUP(AX50,'Foundation Calculation'!$I$10:$J$13,2,FALSE),0),""))</f>
        <v>C4R</v>
      </c>
      <c r="N50" s="1239" t="s">
        <v>143</v>
      </c>
      <c r="O50" s="1239"/>
      <c r="P50" s="1239"/>
      <c r="Q50" s="1239">
        <v>90</v>
      </c>
      <c r="R50" s="1239">
        <v>-45.88</v>
      </c>
      <c r="S50" s="455"/>
      <c r="T50" s="1239">
        <v>-30</v>
      </c>
      <c r="U50" s="1239"/>
      <c r="V50" s="1239"/>
      <c r="W50" s="1239">
        <v>1.2</v>
      </c>
      <c r="X50" s="1239"/>
      <c r="Y50" s="1239"/>
      <c r="Z50" s="1239"/>
      <c r="AA50" s="1239"/>
      <c r="AB50" s="1239"/>
      <c r="AC50" s="1239" t="s">
        <v>3050</v>
      </c>
      <c r="AD50" s="1239"/>
      <c r="AE50" s="1239"/>
      <c r="AF50" s="1239">
        <v>5600</v>
      </c>
      <c r="AG50" s="171">
        <v>86181</v>
      </c>
      <c r="AH50" s="1239">
        <v>2553</v>
      </c>
      <c r="AI50" s="1239">
        <v>410</v>
      </c>
      <c r="AJ50" s="638"/>
      <c r="AK50" s="1239"/>
      <c r="AL50" s="638"/>
      <c r="AM50" s="1239" t="s">
        <v>1042</v>
      </c>
      <c r="AN50" s="455">
        <v>5.15</v>
      </c>
      <c r="AO50" s="1239"/>
      <c r="AP50" s="1239"/>
      <c r="AQ50" s="484"/>
      <c r="AR50" s="484"/>
      <c r="AS50" s="484"/>
      <c r="AT50" s="484">
        <f>+ab($T$50,$T$48,$T$52,$G$49,$G$51, 1*$F$50,1200)</f>
        <v>-6.8008529250193561</v>
      </c>
      <c r="AU50" s="638"/>
      <c r="AV50" s="638"/>
      <c r="AW50" s="1239" t="str">
        <f>VLOOKUP(C50,'Foundation Calculation'!$A$2:$C$33,3,1)</f>
        <v>Soil B</v>
      </c>
      <c r="AX50" s="1239" t="str">
        <f>VLOOKUP(C50,'Foundation Calculation'!$E$2:$G$33,3,1)</f>
        <v>PT</v>
      </c>
      <c r="AY50" s="455">
        <f>IF(AX50="PT",VLOOKUP(L50,'Foundation Calculation'!$K$2:$R$40,VLOOKUP(AW50,'Foundation Calculation'!$I$2:$J$8,2,FALSE),0),IF(AX50="K",VLOOKUP(L50,'Foundation Calculation'!$K$42:$R$80,VLOOKUP(AW50,'Foundation Calculation'!$I$2:$J$8,2,FALSE),0),""))</f>
        <v>3.5</v>
      </c>
      <c r="AZ50" s="455"/>
      <c r="BA50" s="671" t="s">
        <v>2809</v>
      </c>
      <c r="BB50" s="1239" t="str">
        <f>Pole_Calculations!A17</f>
        <v>App.7-V11A-P9.5.1.3</v>
      </c>
      <c r="BC50" s="169"/>
      <c r="BD50" s="1371"/>
      <c r="BE50" s="1371"/>
      <c r="BF50" s="1371"/>
      <c r="BG50" s="1371"/>
    </row>
    <row r="51" spans="1:59" ht="15.75" customHeight="1">
      <c r="A51" s="1239"/>
      <c r="B51" s="445"/>
      <c r="C51" s="446"/>
      <c r="D51" s="448"/>
      <c r="E51" s="448"/>
      <c r="F51" s="448"/>
      <c r="G51" s="455">
        <v>52</v>
      </c>
      <c r="H51" s="1239"/>
      <c r="I51" s="448">
        <f>C52-C32</f>
        <v>491.10000000000582</v>
      </c>
      <c r="J51" s="446"/>
      <c r="K51" s="638"/>
      <c r="L51" s="638"/>
      <c r="M51" s="638"/>
      <c r="N51" s="1239"/>
      <c r="O51" s="1239"/>
      <c r="P51" s="1239"/>
      <c r="Q51" s="1239"/>
      <c r="R51" s="1239"/>
      <c r="S51" s="455">
        <f>AG52-AG50</f>
        <v>52</v>
      </c>
      <c r="T51" s="1239"/>
      <c r="U51" s="1239"/>
      <c r="V51" s="1239"/>
      <c r="W51" s="1239"/>
      <c r="X51" s="1239"/>
      <c r="Y51" s="1239"/>
      <c r="Z51" s="1239"/>
      <c r="AA51" s="1239"/>
      <c r="AB51" s="1239"/>
      <c r="AC51" s="1239"/>
      <c r="AD51" s="1239"/>
      <c r="AE51" s="1239"/>
      <c r="AF51" s="1239"/>
      <c r="AG51" s="171"/>
      <c r="AH51" s="1239"/>
      <c r="AI51" s="1239"/>
      <c r="AJ51" s="638"/>
      <c r="AK51" s="1239"/>
      <c r="AL51" s="638"/>
      <c r="AM51" s="1239"/>
      <c r="AN51" s="455"/>
      <c r="AO51" s="1239"/>
      <c r="AP51" s="1239"/>
      <c r="AQ51" s="484">
        <f>+FL_2($T$52,$T$50,$G$51,1200,9.28, 1*$F$52)</f>
        <v>-0.37359909328543772</v>
      </c>
      <c r="AR51" s="484"/>
      <c r="AS51" s="484"/>
      <c r="AT51" s="484"/>
      <c r="AU51" s="638"/>
      <c r="AV51" s="638"/>
      <c r="AW51" s="484"/>
      <c r="AX51" s="484"/>
      <c r="AY51" s="484"/>
      <c r="AZ51" s="484"/>
      <c r="BA51" s="671"/>
      <c r="BB51" s="1239"/>
      <c r="BC51" s="169"/>
      <c r="BD51" s="1330"/>
      <c r="BE51" s="1330"/>
      <c r="BF51" s="1330"/>
      <c r="BG51" s="1330"/>
    </row>
    <row r="52" spans="1:59" ht="15.75" customHeight="1">
      <c r="A52" s="1239"/>
      <c r="B52" s="485" t="s">
        <v>3411</v>
      </c>
      <c r="C52" s="446">
        <f>+$C$50+$G$51</f>
        <v>86233.170000000013</v>
      </c>
      <c r="D52" s="448"/>
      <c r="E52" s="448"/>
      <c r="F52" s="448">
        <v>-1800</v>
      </c>
      <c r="G52" s="455"/>
      <c r="H52" s="1239" t="s">
        <v>874</v>
      </c>
      <c r="I52" s="448"/>
      <c r="J52" s="446"/>
      <c r="K52" s="638"/>
      <c r="L52" s="638" t="s">
        <v>230</v>
      </c>
      <c r="M52" s="1239" t="str">
        <f>IF(AX52="PT",VLOOKUP(L52,'Foundation Calculation'!$V$2:$X$40,VLOOKUP(AX52,'Foundation Calculation'!$I$10:$J$13,2,FALSE),0),IF(AX52="K",VLOOKUP(L52,'Foundation Calculation'!$V$42:$X$80,VLOOKUP(AX52,'Foundation Calculation'!$I$10:$J$13,2,FALSE),0),""))</f>
        <v>C4R</v>
      </c>
      <c r="N52" s="1239" t="s">
        <v>143</v>
      </c>
      <c r="O52" s="1239"/>
      <c r="P52" s="1239"/>
      <c r="Q52" s="1239">
        <v>100</v>
      </c>
      <c r="R52" s="1239">
        <v>-1900</v>
      </c>
      <c r="S52" s="455"/>
      <c r="T52" s="1285">
        <v>-30</v>
      </c>
      <c r="U52" s="1239"/>
      <c r="V52" s="1239"/>
      <c r="W52" s="1239">
        <v>1.4</v>
      </c>
      <c r="X52" s="1239"/>
      <c r="Y52" s="1239"/>
      <c r="Z52" s="1239"/>
      <c r="AA52" s="1239"/>
      <c r="AB52" s="1239"/>
      <c r="AC52" s="1239" t="s">
        <v>4090</v>
      </c>
      <c r="AD52" s="1239"/>
      <c r="AE52" s="1239"/>
      <c r="AF52" s="1239">
        <v>6000</v>
      </c>
      <c r="AG52" s="1350">
        <v>86233</v>
      </c>
      <c r="AH52" s="1285">
        <v>2383</v>
      </c>
      <c r="AI52" s="1285">
        <v>490</v>
      </c>
      <c r="AJ52" s="638"/>
      <c r="AK52" s="1239"/>
      <c r="AL52" s="638"/>
      <c r="AM52" s="1239" t="s">
        <v>1042</v>
      </c>
      <c r="AN52" s="455">
        <v>5.15</v>
      </c>
      <c r="AO52" s="1239"/>
      <c r="AP52" s="1239"/>
      <c r="AQ52" s="484"/>
      <c r="AR52" s="484"/>
      <c r="AS52" s="484"/>
      <c r="AT52" s="484">
        <f>+ab($T$52,$T$50,$T$54,$G$51,$G$53, 1*$F$52,1200)</f>
        <v>-6.4892195047312624</v>
      </c>
      <c r="AU52" s="638"/>
      <c r="AV52" s="638"/>
      <c r="AW52" s="1239" t="str">
        <f>VLOOKUP(C52,'Foundation Calculation'!$A$2:$C$33,3,1)</f>
        <v>Soil B</v>
      </c>
      <c r="AX52" s="1239" t="str">
        <f>VLOOKUP(C52,'Foundation Calculation'!$E$2:$G$33,3,1)</f>
        <v>PT</v>
      </c>
      <c r="AY52" s="455">
        <f>IF(AX52="PT",VLOOKUP(L52,'Foundation Calculation'!$K$2:$R$40,VLOOKUP(AW52,'Foundation Calculation'!$I$2:$J$8,2,FALSE),0),IF(AX52="K",VLOOKUP(L52,'Foundation Calculation'!$K$42:$R$80,VLOOKUP(AW52,'Foundation Calculation'!$I$2:$J$8,2,FALSE),0),""))</f>
        <v>3.5</v>
      </c>
      <c r="AZ52" s="455"/>
      <c r="BA52" s="671" t="s">
        <v>2809</v>
      </c>
      <c r="BB52" s="1239" t="str">
        <f>Pole_Calculations!A16</f>
        <v>App.7-V11A-P9.5.1.2</v>
      </c>
      <c r="BC52" s="169"/>
      <c r="BD52" s="1329"/>
      <c r="BE52" s="1329"/>
      <c r="BF52" s="1330"/>
      <c r="BG52" s="1329"/>
    </row>
    <row r="53" spans="1:59" ht="15.75" customHeight="1">
      <c r="A53" s="647" t="s">
        <v>3049</v>
      </c>
      <c r="B53" s="657"/>
      <c r="C53" s="649"/>
      <c r="D53" s="650"/>
      <c r="E53" s="650"/>
      <c r="F53" s="650"/>
      <c r="G53" s="651">
        <v>54</v>
      </c>
      <c r="H53" s="647"/>
      <c r="I53" s="650">
        <f>C80-C52</f>
        <v>519.3799999999901</v>
      </c>
      <c r="J53" s="649"/>
      <c r="K53" s="653"/>
      <c r="L53" s="653"/>
      <c r="M53" s="653"/>
      <c r="N53" s="647"/>
      <c r="O53" s="647"/>
      <c r="P53" s="647"/>
      <c r="Q53" s="647"/>
      <c r="R53" s="647"/>
      <c r="S53" s="651">
        <f t="shared" ref="S53" si="5">AG54-AG52</f>
        <v>54</v>
      </c>
      <c r="T53" s="647"/>
      <c r="U53" s="647"/>
      <c r="V53" s="647"/>
      <c r="W53" s="647"/>
      <c r="X53" s="647"/>
      <c r="Y53" s="647"/>
      <c r="Z53" s="647"/>
      <c r="AA53" s="647"/>
      <c r="AB53" s="647"/>
      <c r="AC53" s="647"/>
      <c r="AD53" s="647"/>
      <c r="AE53" s="647"/>
      <c r="AF53" s="647"/>
      <c r="AG53" s="652"/>
      <c r="AH53" s="647"/>
      <c r="AI53" s="647"/>
      <c r="AJ53" s="653"/>
      <c r="AK53" s="647"/>
      <c r="AL53" s="653"/>
      <c r="AM53" s="647"/>
      <c r="AN53" s="651"/>
      <c r="AO53" s="647"/>
      <c r="AP53" s="647"/>
      <c r="AQ53" s="654">
        <f>+FL_2($T$54,$T$52,$G$53,1200,9.28, 1*$F$54)</f>
        <v>-0.37936860809331741</v>
      </c>
      <c r="AR53" s="654"/>
      <c r="AS53" s="654"/>
      <c r="AT53" s="654"/>
      <c r="AU53" s="653"/>
      <c r="AV53" s="653"/>
      <c r="AW53" s="654"/>
      <c r="AX53" s="654"/>
      <c r="AY53" s="654"/>
      <c r="AZ53" s="654"/>
      <c r="BA53" s="701"/>
      <c r="BB53" s="647"/>
      <c r="BC53" s="169"/>
      <c r="BD53" s="1330"/>
      <c r="BE53" s="1330"/>
      <c r="BF53" s="1330"/>
      <c r="BG53" s="1330"/>
    </row>
    <row r="54" spans="1:59" ht="15.75" customHeight="1">
      <c r="A54" s="1239"/>
      <c r="B54" s="485" t="s">
        <v>3412</v>
      </c>
      <c r="C54" s="446">
        <f>+$C$52+$G$53</f>
        <v>86287.170000000013</v>
      </c>
      <c r="D54" s="448"/>
      <c r="E54" s="448"/>
      <c r="F54" s="448">
        <v>-1800</v>
      </c>
      <c r="G54" s="455"/>
      <c r="H54" s="1239" t="s">
        <v>873</v>
      </c>
      <c r="I54" s="448"/>
      <c r="J54" s="446"/>
      <c r="K54" s="638"/>
      <c r="L54" s="638" t="s">
        <v>230</v>
      </c>
      <c r="M54" s="1239" t="str">
        <f>IF(AX54="PT",VLOOKUP(L54,'Foundation Calculation'!$V$2:$X$40,VLOOKUP(AX54,'Foundation Calculation'!$I$10:$J$13,2,FALSE),0),IF(AX54="K",VLOOKUP(L54,'Foundation Calculation'!$V$42:$X$80,VLOOKUP(AX54,'Foundation Calculation'!$I$10:$J$13,2,FALSE),0),""))</f>
        <v>C4R</v>
      </c>
      <c r="N54" s="1239" t="s">
        <v>143</v>
      </c>
      <c r="O54" s="1239"/>
      <c r="P54" s="1239"/>
      <c r="Q54" s="1239">
        <v>100</v>
      </c>
      <c r="R54" s="1239">
        <v>-1900</v>
      </c>
      <c r="S54" s="455"/>
      <c r="T54" s="1285">
        <v>-30</v>
      </c>
      <c r="U54" s="1239"/>
      <c r="V54" s="1239"/>
      <c r="W54" s="1239">
        <v>1.4</v>
      </c>
      <c r="X54" s="1239"/>
      <c r="Y54" s="1239"/>
      <c r="Z54" s="1239"/>
      <c r="AA54" s="1239"/>
      <c r="AB54" s="1239"/>
      <c r="AC54" s="1239" t="s">
        <v>4090</v>
      </c>
      <c r="AD54" s="1239"/>
      <c r="AE54" s="1239"/>
      <c r="AF54" s="1239">
        <v>6000</v>
      </c>
      <c r="AG54" s="1350">
        <v>86287</v>
      </c>
      <c r="AH54" s="1285">
        <v>2483</v>
      </c>
      <c r="AI54" s="1285">
        <v>610</v>
      </c>
      <c r="AJ54" s="638"/>
      <c r="AK54" s="1239"/>
      <c r="AL54" s="638"/>
      <c r="AM54" s="1239" t="s">
        <v>1042</v>
      </c>
      <c r="AN54" s="455">
        <v>5.15</v>
      </c>
      <c r="AO54" s="1239"/>
      <c r="AP54" s="1239"/>
      <c r="AQ54" s="484"/>
      <c r="AR54" s="484"/>
      <c r="AS54" s="484"/>
      <c r="AT54" s="484">
        <f>+ab($T$54,$T$52,$T$56,$G$53,$G$55, 1*$F$54,1200)</f>
        <v>-6.4290827397988721</v>
      </c>
      <c r="AU54" s="638"/>
      <c r="AV54" s="638"/>
      <c r="AW54" s="1239" t="str">
        <f>VLOOKUP(C54,'Foundation Calculation'!$A$2:$C$33,3,1)</f>
        <v>Soil B</v>
      </c>
      <c r="AX54" s="1239" t="str">
        <f>VLOOKUP(C54,'Foundation Calculation'!$E$2:$G$33,3,1)</f>
        <v>PT</v>
      </c>
      <c r="AY54" s="455">
        <f>IF(AX54="PT",VLOOKUP(L54,'Foundation Calculation'!$K$2:$R$40,VLOOKUP(AW54,'Foundation Calculation'!$I$2:$J$8,2,FALSE),0),IF(AX54="K",VLOOKUP(L54,'Foundation Calculation'!$K$42:$R$80,VLOOKUP(AW54,'Foundation Calculation'!$I$2:$J$8,2,FALSE),0),""))</f>
        <v>3.5</v>
      </c>
      <c r="AZ54" s="455"/>
      <c r="BA54" s="671" t="s">
        <v>2809</v>
      </c>
      <c r="BB54" s="1239" t="str">
        <f>Pole_Calculations!A17</f>
        <v>App.7-V11A-P9.5.1.3</v>
      </c>
      <c r="BC54" s="169"/>
      <c r="BD54" s="1329"/>
      <c r="BE54" s="1329"/>
      <c r="BF54" s="1330"/>
      <c r="BG54" s="1329"/>
    </row>
    <row r="55" spans="1:59" ht="15.75" customHeight="1">
      <c r="A55" s="1239"/>
      <c r="B55" s="445"/>
      <c r="C55" s="446"/>
      <c r="D55" s="448"/>
      <c r="E55" s="448"/>
      <c r="F55" s="448"/>
      <c r="G55" s="455">
        <v>53</v>
      </c>
      <c r="H55" s="1239"/>
      <c r="I55" s="448"/>
      <c r="J55" s="446">
        <f>C54+7.5</f>
        <v>86294.670000000013</v>
      </c>
      <c r="K55" s="638" t="s">
        <v>2788</v>
      </c>
      <c r="L55" s="638"/>
      <c r="M55" s="638"/>
      <c r="N55" s="1239"/>
      <c r="O55" s="1239"/>
      <c r="P55" s="1239"/>
      <c r="Q55" s="1239"/>
      <c r="R55" s="1239"/>
      <c r="S55" s="455">
        <f>AG56-AG54</f>
        <v>53</v>
      </c>
      <c r="T55" s="1239"/>
      <c r="U55" s="1239"/>
      <c r="V55" s="1239"/>
      <c r="W55" s="1239"/>
      <c r="X55" s="1239"/>
      <c r="Y55" s="1239"/>
      <c r="Z55" s="1239"/>
      <c r="AA55" s="1239"/>
      <c r="AB55" s="1239"/>
      <c r="AC55" s="1239"/>
      <c r="AD55" s="1239"/>
      <c r="AE55" s="1239"/>
      <c r="AF55" s="1239"/>
      <c r="AG55" s="171"/>
      <c r="AH55" s="1239"/>
      <c r="AI55" s="1239"/>
      <c r="AJ55" s="638"/>
      <c r="AK55" s="1239"/>
      <c r="AL55" s="638"/>
      <c r="AM55" s="1239"/>
      <c r="AN55" s="455"/>
      <c r="AO55" s="1239"/>
      <c r="AP55" s="1239"/>
      <c r="AQ55" s="484">
        <f>+FL_2($T$56,$T$54,$G$55,1200,9.28, 1*$F$56)</f>
        <v>-0.37645665105204507</v>
      </c>
      <c r="AR55" s="484"/>
      <c r="AS55" s="484"/>
      <c r="AT55" s="484"/>
      <c r="AU55" s="638"/>
      <c r="AV55" s="638"/>
      <c r="AW55" s="638" t="str">
        <f>VLOOKUP(J55,'Foundation Calculation'!$A$2:$C$33,3,1)</f>
        <v>Soil B</v>
      </c>
      <c r="AX55" s="638" t="str">
        <f>VLOOKUP(J55,'Foundation Calculation'!$E$2:$G$33,3,1)</f>
        <v>PT</v>
      </c>
      <c r="AY55" s="484"/>
      <c r="AZ55" s="484">
        <f>IF(AX55="PT",VLOOKUP(K55,'Foundation Calculation'!$K$2:$R$40,VLOOKUP(AW55,'Foundation Calculation'!$I$2:$J$8,2,FALSE),0),IF(AX55="K",VLOOKUP(K55,'Foundation Calculation'!$K$42:$R$80,VLOOKUP(AW55,'Foundation Calculation'!$I$2:$J$8,2,FALSE),0),""))</f>
        <v>2.8</v>
      </c>
      <c r="BA55" s="671" t="s">
        <v>2809</v>
      </c>
      <c r="BB55" s="1239"/>
      <c r="BC55" s="169"/>
      <c r="BD55" s="1329"/>
      <c r="BE55" s="1330"/>
      <c r="BF55" s="1330"/>
      <c r="BG55" s="1330"/>
    </row>
    <row r="56" spans="1:59" ht="15.75" customHeight="1">
      <c r="A56" s="1239"/>
      <c r="B56" s="485" t="s">
        <v>3413</v>
      </c>
      <c r="C56" s="446">
        <f>+$C$54+$G$55</f>
        <v>86340.170000000013</v>
      </c>
      <c r="D56" s="448"/>
      <c r="E56" s="448"/>
      <c r="F56" s="448">
        <v>-1800</v>
      </c>
      <c r="G56" s="455"/>
      <c r="H56" s="1239"/>
      <c r="I56" s="448"/>
      <c r="J56" s="446"/>
      <c r="K56" s="638"/>
      <c r="L56" s="638" t="s">
        <v>230</v>
      </c>
      <c r="M56" s="1239" t="str">
        <f>IF(AX56="PT",VLOOKUP(L56,'Foundation Calculation'!$V$2:$X$40,VLOOKUP(AX56,'Foundation Calculation'!$I$10:$J$13,2,FALSE),0),IF(AX56="K",VLOOKUP(L56,'Foundation Calculation'!$V$42:$X$80,VLOOKUP(AX56,'Foundation Calculation'!$I$10:$J$13,2,FALSE),0),""))</f>
        <v>C4R</v>
      </c>
      <c r="N56" s="1239" t="s">
        <v>143</v>
      </c>
      <c r="O56" s="1239"/>
      <c r="P56" s="1239"/>
      <c r="Q56" s="1239">
        <v>120</v>
      </c>
      <c r="R56" s="1239">
        <v>-1900</v>
      </c>
      <c r="S56" s="455"/>
      <c r="T56" s="1285">
        <v>-30</v>
      </c>
      <c r="U56" s="1239"/>
      <c r="V56" s="1239"/>
      <c r="W56" s="1239">
        <v>1.4</v>
      </c>
      <c r="X56" s="1239"/>
      <c r="Y56" s="1239"/>
      <c r="Z56" s="1239"/>
      <c r="AA56" s="1239"/>
      <c r="AB56" s="1239"/>
      <c r="AC56" s="1239" t="s">
        <v>4090</v>
      </c>
      <c r="AD56" s="1239"/>
      <c r="AE56" s="1239"/>
      <c r="AF56" s="1239">
        <v>6000</v>
      </c>
      <c r="AG56" s="1350">
        <v>86340</v>
      </c>
      <c r="AH56" s="1285">
        <v>2273</v>
      </c>
      <c r="AI56" s="1285">
        <v>660</v>
      </c>
      <c r="AJ56" s="638"/>
      <c r="AK56" s="1239"/>
      <c r="AL56" s="638"/>
      <c r="AM56" s="1239" t="s">
        <v>1042</v>
      </c>
      <c r="AN56" s="455">
        <v>5.15</v>
      </c>
      <c r="AO56" s="1239"/>
      <c r="AP56" s="1239"/>
      <c r="AQ56" s="484"/>
      <c r="AR56" s="484"/>
      <c r="AS56" s="484"/>
      <c r="AT56" s="484">
        <f>+ab($T$56,$T$54,$T$58,$G$55,$G$57, 1*$F$56,1200)</f>
        <v>-6.4892195047312624</v>
      </c>
      <c r="AU56" s="638"/>
      <c r="AV56" s="638"/>
      <c r="AW56" s="1239" t="str">
        <f>VLOOKUP(C56,'Foundation Calculation'!$A$2:$C$33,3,1)</f>
        <v>Soil B</v>
      </c>
      <c r="AX56" s="1239" t="str">
        <f>VLOOKUP(C56,'Foundation Calculation'!$E$2:$G$33,3,1)</f>
        <v>PT</v>
      </c>
      <c r="AY56" s="455">
        <f>IF(AX56="PT",VLOOKUP(L56,'Foundation Calculation'!$K$2:$R$40,VLOOKUP(AW56,'Foundation Calculation'!$I$2:$J$8,2,FALSE),0),IF(AX56="K",VLOOKUP(L56,'Foundation Calculation'!$K$42:$R$80,VLOOKUP(AW56,'Foundation Calculation'!$I$2:$J$8,2,FALSE),0),""))</f>
        <v>3.5</v>
      </c>
      <c r="AZ56" s="455"/>
      <c r="BA56" s="671" t="s">
        <v>2809</v>
      </c>
      <c r="BB56" s="1239" t="str">
        <f>Pole_Calculations!A15</f>
        <v>App.7-V11A-P9.5.1.1</v>
      </c>
      <c r="BC56" s="169"/>
      <c r="BD56" s="1329"/>
      <c r="BE56" s="1329"/>
      <c r="BF56" s="1330"/>
      <c r="BG56" s="1329"/>
    </row>
    <row r="57" spans="1:59" ht="15.75" customHeight="1">
      <c r="A57" s="1239"/>
      <c r="B57" s="445"/>
      <c r="C57" s="446"/>
      <c r="D57" s="448"/>
      <c r="E57" s="448"/>
      <c r="F57" s="448"/>
      <c r="G57" s="455">
        <v>53</v>
      </c>
      <c r="H57" s="1239"/>
      <c r="I57" s="448"/>
      <c r="J57" s="446"/>
      <c r="K57" s="638"/>
      <c r="L57" s="638"/>
      <c r="M57" s="638"/>
      <c r="N57" s="1239"/>
      <c r="O57" s="1239"/>
      <c r="P57" s="1239"/>
      <c r="Q57" s="1239"/>
      <c r="R57" s="1239"/>
      <c r="S57" s="455">
        <f>AG58-AG56</f>
        <v>53</v>
      </c>
      <c r="T57" s="1239"/>
      <c r="U57" s="1239"/>
      <c r="V57" s="1239"/>
      <c r="W57" s="1239"/>
      <c r="X57" s="1239"/>
      <c r="Y57" s="1239"/>
      <c r="Z57" s="1239"/>
      <c r="AA57" s="1239"/>
      <c r="AB57" s="1239"/>
      <c r="AC57" s="1239"/>
      <c r="AD57" s="1239"/>
      <c r="AE57" s="1239"/>
      <c r="AF57" s="1239"/>
      <c r="AG57" s="171"/>
      <c r="AH57" s="1239"/>
      <c r="AI57" s="1239"/>
      <c r="AJ57" s="638"/>
      <c r="AK57" s="1239"/>
      <c r="AL57" s="638"/>
      <c r="AM57" s="1239"/>
      <c r="AN57" s="455"/>
      <c r="AO57" s="1239"/>
      <c r="AP57" s="1239"/>
      <c r="AQ57" s="484">
        <f>+FL_2($T$58,$T$56,$G$57,1200,9.28, 1*$F$58)</f>
        <v>-0.37645665105204507</v>
      </c>
      <c r="AR57" s="484"/>
      <c r="AS57" s="484"/>
      <c r="AT57" s="484"/>
      <c r="AU57" s="638"/>
      <c r="AV57" s="638"/>
      <c r="AW57" s="484"/>
      <c r="AX57" s="484"/>
      <c r="AY57" s="484"/>
      <c r="AZ57" s="484"/>
      <c r="BA57" s="671"/>
      <c r="BB57" s="1239"/>
      <c r="BC57" s="169"/>
      <c r="BD57" s="1330"/>
      <c r="BE57" s="1330"/>
      <c r="BF57" s="1330"/>
      <c r="BG57" s="1330"/>
    </row>
    <row r="58" spans="1:59" ht="15.75" customHeight="1">
      <c r="A58" s="1239"/>
      <c r="B58" s="582" t="s">
        <v>3414</v>
      </c>
      <c r="C58" s="446">
        <f>+$C$56+$G$57</f>
        <v>86393.170000000013</v>
      </c>
      <c r="D58" s="448"/>
      <c r="E58" s="448"/>
      <c r="F58" s="448">
        <v>-1800</v>
      </c>
      <c r="G58" s="455"/>
      <c r="H58" s="1239"/>
      <c r="I58" s="448"/>
      <c r="J58" s="446"/>
      <c r="K58" s="638"/>
      <c r="L58" s="638" t="s">
        <v>230</v>
      </c>
      <c r="M58" s="1239" t="str">
        <f>IF(AX58="PT",VLOOKUP(L58,'Foundation Calculation'!$V$2:$X$40,VLOOKUP(AX58,'Foundation Calculation'!$I$10:$J$13,2,FALSE),0),IF(AX58="K",VLOOKUP(L58,'Foundation Calculation'!$V$42:$X$80,VLOOKUP(AX58,'Foundation Calculation'!$I$10:$J$13,2,FALSE),0),""))</f>
        <v>C4R</v>
      </c>
      <c r="N58" s="1239" t="s">
        <v>143</v>
      </c>
      <c r="O58" s="1239"/>
      <c r="P58" s="1239"/>
      <c r="Q58" s="1239">
        <v>100</v>
      </c>
      <c r="R58" s="1239">
        <v>-377.69</v>
      </c>
      <c r="S58" s="455"/>
      <c r="T58" s="1239">
        <v>-30</v>
      </c>
      <c r="U58" s="1239"/>
      <c r="V58" s="1239"/>
      <c r="W58" s="1239">
        <v>1.4</v>
      </c>
      <c r="X58" s="1239"/>
      <c r="Y58" s="1239"/>
      <c r="Z58" s="1239"/>
      <c r="AA58" s="1239"/>
      <c r="AB58" s="1239"/>
      <c r="AC58" s="1239" t="s">
        <v>3050</v>
      </c>
      <c r="AD58" s="1239"/>
      <c r="AE58" s="1239"/>
      <c r="AF58" s="1239">
        <v>5800</v>
      </c>
      <c r="AG58" s="171">
        <v>86393</v>
      </c>
      <c r="AH58" s="1239">
        <v>2343</v>
      </c>
      <c r="AI58" s="1239">
        <v>660</v>
      </c>
      <c r="AJ58" s="1239"/>
      <c r="AK58" s="1239"/>
      <c r="AL58" s="1239"/>
      <c r="AM58" s="1239" t="s">
        <v>1042</v>
      </c>
      <c r="AN58" s="455">
        <v>5.15</v>
      </c>
      <c r="AO58" s="1239"/>
      <c r="AP58" s="1239"/>
      <c r="AQ58" s="484"/>
      <c r="AR58" s="484"/>
      <c r="AS58" s="484"/>
      <c r="AT58" s="484">
        <f>+ab($T$58,$T$56,$T$60,$G$57,$G$59, 1*$F$58,1200)</f>
        <v>-6.6129171613800173</v>
      </c>
      <c r="AU58" s="638"/>
      <c r="AV58" s="638"/>
      <c r="AW58" s="1239" t="str">
        <f>VLOOKUP(C58,'Foundation Calculation'!$A$2:$C$33,3,1)</f>
        <v>Soil B</v>
      </c>
      <c r="AX58" s="1239" t="str">
        <f>VLOOKUP(C58,'Foundation Calculation'!$E$2:$G$33,3,1)</f>
        <v>PT</v>
      </c>
      <c r="AY58" s="455">
        <f>IF(AX58="PT",VLOOKUP(L58,'Foundation Calculation'!$K$2:$R$40,VLOOKUP(AW58,'Foundation Calculation'!$I$2:$J$8,2,FALSE),0),IF(AX58="K",VLOOKUP(L58,'Foundation Calculation'!$K$42:$R$80,VLOOKUP(AW58,'Foundation Calculation'!$I$2:$J$8,2,FALSE),0),""))</f>
        <v>3.5</v>
      </c>
      <c r="AZ58" s="455"/>
      <c r="BA58" s="671" t="s">
        <v>2809</v>
      </c>
      <c r="BB58" s="1239" t="str">
        <f>Pole_Calculations!A15</f>
        <v>App.7-V11A-P9.5.1.1</v>
      </c>
      <c r="BC58" s="169"/>
      <c r="BD58" s="1371"/>
      <c r="BE58" s="1371"/>
      <c r="BF58" s="1371"/>
      <c r="BG58" s="1371"/>
    </row>
    <row r="59" spans="1:59" ht="15.75" customHeight="1">
      <c r="A59" s="647" t="s">
        <v>3049</v>
      </c>
      <c r="B59" s="657"/>
      <c r="C59" s="649"/>
      <c r="D59" s="650"/>
      <c r="E59" s="650"/>
      <c r="F59" s="650"/>
      <c r="G59" s="651">
        <v>51</v>
      </c>
      <c r="H59" s="647"/>
      <c r="I59" s="650"/>
      <c r="J59" s="649"/>
      <c r="K59" s="653"/>
      <c r="L59" s="647"/>
      <c r="M59" s="647"/>
      <c r="N59" s="647"/>
      <c r="O59" s="647"/>
      <c r="P59" s="647"/>
      <c r="Q59" s="647"/>
      <c r="R59" s="647"/>
      <c r="S59" s="651">
        <f>AG60-AG58</f>
        <v>52</v>
      </c>
      <c r="T59" s="647"/>
      <c r="U59" s="647"/>
      <c r="V59" s="647"/>
      <c r="W59" s="647"/>
      <c r="X59" s="647"/>
      <c r="Y59" s="647"/>
      <c r="Z59" s="647"/>
      <c r="AA59" s="647"/>
      <c r="AB59" s="647"/>
      <c r="AC59" s="647"/>
      <c r="AD59" s="647"/>
      <c r="AE59" s="647"/>
      <c r="AF59" s="647"/>
      <c r="AG59" s="652"/>
      <c r="AH59" s="647"/>
      <c r="AI59" s="647"/>
      <c r="AJ59" s="647"/>
      <c r="AK59" s="647"/>
      <c r="AL59" s="647"/>
      <c r="AM59" s="647"/>
      <c r="AN59" s="651"/>
      <c r="AO59" s="647"/>
      <c r="AP59" s="647"/>
      <c r="AQ59" s="654">
        <f>+FL_2($T$60,$T$58,$G$59,1200,9.28, 1*$F$60)</f>
        <v>-0.37079593648197229</v>
      </c>
      <c r="AR59" s="654"/>
      <c r="AS59" s="654"/>
      <c r="AT59" s="654"/>
      <c r="AU59" s="653"/>
      <c r="AV59" s="653"/>
      <c r="AW59" s="653"/>
      <c r="AX59" s="653"/>
      <c r="AY59" s="654"/>
      <c r="AZ59" s="654"/>
      <c r="BA59" s="701"/>
      <c r="BB59" s="647"/>
      <c r="BC59" s="169"/>
      <c r="BD59" s="1330"/>
      <c r="BE59" s="1330"/>
      <c r="BF59" s="1330"/>
      <c r="BG59" s="1330"/>
    </row>
    <row r="60" spans="1:59" ht="15.75" customHeight="1">
      <c r="A60" s="1239" t="s">
        <v>3517</v>
      </c>
      <c r="B60" s="447" t="s">
        <v>3136</v>
      </c>
      <c r="C60" s="446">
        <v>86445.85</v>
      </c>
      <c r="D60" s="448"/>
      <c r="E60" s="448"/>
      <c r="F60" s="448">
        <v>-1800</v>
      </c>
      <c r="G60" s="455"/>
      <c r="H60" s="1239"/>
      <c r="I60" s="448"/>
      <c r="J60" s="446"/>
      <c r="K60" s="638"/>
      <c r="L60" s="1239" t="s">
        <v>818</v>
      </c>
      <c r="M60" s="1239" t="str">
        <f>IF(AX60="PT",VLOOKUP(L60,'Foundation Calculation'!$V$2:$X$40,VLOOKUP(AX60,'Foundation Calculation'!$I$10:$J$13,2,FALSE),0),IF(AX60="K",VLOOKUP(L60,'Foundation Calculation'!$V$42:$X$80,VLOOKUP(AX60,'Foundation Calculation'!$I$10:$J$13,2,FALSE),0),""))</f>
        <v>C4R</v>
      </c>
      <c r="N60" s="1239" t="s">
        <v>143</v>
      </c>
      <c r="O60" s="1239"/>
      <c r="P60" s="1239"/>
      <c r="Q60" s="1239">
        <v>100</v>
      </c>
      <c r="R60" s="1239">
        <v>-236.97</v>
      </c>
      <c r="S60" s="455"/>
      <c r="T60" s="1239">
        <v>-30</v>
      </c>
      <c r="U60" s="1239"/>
      <c r="V60" s="1239"/>
      <c r="W60" s="1239">
        <v>1.4</v>
      </c>
      <c r="X60" s="1239"/>
      <c r="Y60" s="1239"/>
      <c r="Z60" s="1239"/>
      <c r="AA60" s="1239"/>
      <c r="AB60" s="1239"/>
      <c r="AC60" s="1239" t="s">
        <v>3050</v>
      </c>
      <c r="AD60" s="1239"/>
      <c r="AE60" s="1239"/>
      <c r="AF60" s="1239">
        <v>5800</v>
      </c>
      <c r="AG60" s="171">
        <v>86445</v>
      </c>
      <c r="AH60" s="1239">
        <v>2453</v>
      </c>
      <c r="AI60" s="1239">
        <v>620</v>
      </c>
      <c r="AJ60" s="1239"/>
      <c r="AK60" s="1239"/>
      <c r="AL60" s="1239"/>
      <c r="AM60" s="1239"/>
      <c r="AN60" s="455">
        <v>5.15</v>
      </c>
      <c r="AO60" s="1239"/>
      <c r="AP60" s="1239"/>
      <c r="AQ60" s="484"/>
      <c r="AR60" s="484"/>
      <c r="AS60" s="484"/>
      <c r="AT60" s="484">
        <f>+ab($T$60,$T$58,$T$62,$G$59,$G$61, 1*$F$60,1200)</f>
        <v>-6.6129171613800173</v>
      </c>
      <c r="AU60" s="638"/>
      <c r="AV60" s="638"/>
      <c r="AW60" s="638" t="str">
        <f>VLOOKUP(C60,'Foundation Calculation'!$A$2:$C$33,3,1)</f>
        <v>Soil B</v>
      </c>
      <c r="AX60" s="572" t="str">
        <f>VLOOKUP(C60,'Foundation Calculation'!$E$2:$G$33,3,1)</f>
        <v>PT</v>
      </c>
      <c r="AY60" s="484">
        <f>IF(AX60="PT",VLOOKUP(L60,'Foundation Calculation'!$K$2:$R$40,VLOOKUP(AW60,'Foundation Calculation'!$I$2:$J$8,2,FALSE),0),IF(AX60="K",VLOOKUP(L60,'Foundation Calculation'!$K$42:$R$80,VLOOKUP(AW60,'Foundation Calculation'!$I$2:$J$8,2,FALSE),0),""))</f>
        <v>3.5</v>
      </c>
      <c r="AZ60" s="484"/>
      <c r="BA60" s="671" t="s">
        <v>2809</v>
      </c>
      <c r="BB60" s="1239" t="str">
        <f>Pole_Calculations!A15</f>
        <v>App.7-V11A-P9.5.1.1</v>
      </c>
      <c r="BC60" s="169"/>
      <c r="BD60" s="1371"/>
      <c r="BE60" s="1371"/>
      <c r="BF60" s="1371"/>
      <c r="BG60" s="1371"/>
    </row>
    <row r="61" spans="1:59" ht="15.75" customHeight="1">
      <c r="A61" s="658"/>
      <c r="B61" s="666"/>
      <c r="C61" s="660"/>
      <c r="D61" s="661"/>
      <c r="E61" s="661"/>
      <c r="F61" s="661"/>
      <c r="G61" s="662">
        <v>53</v>
      </c>
      <c r="H61" s="658"/>
      <c r="I61" s="661"/>
      <c r="J61" s="660">
        <f>C62-7.5</f>
        <v>86491.35</v>
      </c>
      <c r="K61" s="663" t="s">
        <v>2787</v>
      </c>
      <c r="L61" s="658"/>
      <c r="M61" s="658"/>
      <c r="N61" s="658"/>
      <c r="O61" s="658"/>
      <c r="P61" s="658"/>
      <c r="Q61" s="658"/>
      <c r="R61" s="658"/>
      <c r="S61" s="662">
        <f>AG62-AG60</f>
        <v>53</v>
      </c>
      <c r="T61" s="658"/>
      <c r="U61" s="658"/>
      <c r="V61" s="658"/>
      <c r="W61" s="658"/>
      <c r="X61" s="658"/>
      <c r="Y61" s="658"/>
      <c r="Z61" s="658"/>
      <c r="AA61" s="658"/>
      <c r="AB61" s="658"/>
      <c r="AC61" s="658"/>
      <c r="AD61" s="658"/>
      <c r="AE61" s="658"/>
      <c r="AF61" s="658"/>
      <c r="AG61" s="739"/>
      <c r="AH61" s="658"/>
      <c r="AI61" s="658"/>
      <c r="AJ61" s="658"/>
      <c r="AK61" s="658"/>
      <c r="AL61" s="658"/>
      <c r="AM61" s="658"/>
      <c r="AN61" s="662"/>
      <c r="AO61" s="658"/>
      <c r="AP61" s="658"/>
      <c r="AQ61" s="665">
        <f>+FL_2($T$62,$T$60,$G$61,1200,9.28, 1*$F$62)</f>
        <v>-0.37645665105204507</v>
      </c>
      <c r="AR61" s="665"/>
      <c r="AS61" s="665"/>
      <c r="AT61" s="665"/>
      <c r="AU61" s="663"/>
      <c r="AV61" s="663"/>
      <c r="AW61" s="663" t="str">
        <f>VLOOKUP(J61,'Foundation Calculation'!$A$2:$C$33,3,1)</f>
        <v>Soil B</v>
      </c>
      <c r="AX61" s="684" t="str">
        <f>VLOOKUP(J61,'Foundation Calculation'!$E$2:$G$33,3,1)</f>
        <v>PT</v>
      </c>
      <c r="AY61" s="665"/>
      <c r="AZ61" s="665">
        <f>IF(AX61="PT",VLOOKUP(K61,'Foundation Calculation'!$K$2:$R$40,VLOOKUP(AW61,'Foundation Calculation'!$I$2:$J$8,2,FALSE),0),IF(AX61="K",VLOOKUP(K61,'Foundation Calculation'!$K$42:$R$80,VLOOKUP(AW61,'Foundation Calculation'!$I$2:$J$8,2,FALSE),0),""))</f>
        <v>3.9</v>
      </c>
      <c r="BA61" s="670" t="s">
        <v>2809</v>
      </c>
      <c r="BB61" s="658"/>
      <c r="BC61" s="169"/>
      <c r="BD61" s="1329"/>
      <c r="BE61" s="1330"/>
      <c r="BF61" s="1330"/>
      <c r="BG61" s="1330"/>
    </row>
    <row r="62" spans="1:59" ht="15.75" customHeight="1">
      <c r="A62" s="658"/>
      <c r="B62" s="666" t="s">
        <v>3137</v>
      </c>
      <c r="C62" s="660">
        <f>+$C$60+$G$61</f>
        <v>86498.85</v>
      </c>
      <c r="D62" s="661"/>
      <c r="E62" s="661"/>
      <c r="F62" s="661">
        <v>-1800</v>
      </c>
      <c r="G62" s="662"/>
      <c r="H62" s="658" t="s">
        <v>138</v>
      </c>
      <c r="I62" s="661" t="s">
        <v>623</v>
      </c>
      <c r="J62" s="660"/>
      <c r="K62" s="663"/>
      <c r="L62" s="658" t="s">
        <v>899</v>
      </c>
      <c r="M62" s="658" t="str">
        <f>IF(AX62="PT",VLOOKUP(L62,'Foundation Calculation'!$V$2:$X$40,VLOOKUP(AX62,'Foundation Calculation'!$I$10:$J$13,2,FALSE),0),IF(AX62="K",VLOOKUP(L62,'Foundation Calculation'!$V$42:$X$80,VLOOKUP(AX62,'Foundation Calculation'!$I$10:$J$13,2,FALSE),0),""))</f>
        <v>C5R</v>
      </c>
      <c r="N62" s="658" t="s">
        <v>143</v>
      </c>
      <c r="O62" s="658"/>
      <c r="P62" s="658"/>
      <c r="Q62" s="658">
        <v>90</v>
      </c>
      <c r="R62" s="658">
        <v>-1900</v>
      </c>
      <c r="S62" s="662"/>
      <c r="T62" s="658">
        <v>-30</v>
      </c>
      <c r="U62" s="658"/>
      <c r="V62" s="658"/>
      <c r="W62" s="658">
        <v>1.4</v>
      </c>
      <c r="X62" s="658"/>
      <c r="Y62" s="658"/>
      <c r="Z62" s="658"/>
      <c r="AA62" s="658"/>
      <c r="AB62" s="658"/>
      <c r="AC62" s="658" t="s">
        <v>4090</v>
      </c>
      <c r="AD62" s="658"/>
      <c r="AE62" s="658"/>
      <c r="AF62" s="658">
        <v>6000</v>
      </c>
      <c r="AG62" s="739">
        <v>86498</v>
      </c>
      <c r="AH62" s="658">
        <v>2303</v>
      </c>
      <c r="AI62" s="658">
        <v>590</v>
      </c>
      <c r="AJ62" s="658"/>
      <c r="AK62" s="658"/>
      <c r="AL62" s="658"/>
      <c r="AM62" s="658" t="s">
        <v>1042</v>
      </c>
      <c r="AN62" s="662">
        <v>5.15</v>
      </c>
      <c r="AO62" s="658"/>
      <c r="AP62" s="658"/>
      <c r="AQ62" s="665"/>
      <c r="AR62" s="663"/>
      <c r="AS62" s="663"/>
      <c r="AT62" s="665">
        <f>+ab($T$62,$T$60,$T$66,$G$61,$G$63, 1*$F$62,1200)</f>
        <v>-4.9957889940296818</v>
      </c>
      <c r="AU62" s="663"/>
      <c r="AV62" s="663"/>
      <c r="AW62" s="663" t="str">
        <f>VLOOKUP(C62,'Foundation Calculation'!$A$2:$C$33,3,1)</f>
        <v>Soil B</v>
      </c>
      <c r="AX62" s="684" t="str">
        <f>VLOOKUP(C62,'Foundation Calculation'!$E$2:$G$33,3,1)</f>
        <v>PT</v>
      </c>
      <c r="AY62" s="665">
        <f>IF(AX62="PT",VLOOKUP(L62,'Foundation Calculation'!$K$2:$R$40,VLOOKUP(AW62,'Foundation Calculation'!$I$2:$J$8,2,FALSE),0),IF(AX62="K",VLOOKUP(L62,'Foundation Calculation'!$K$42:$R$80,VLOOKUP(AW62,'Foundation Calculation'!$I$2:$J$8,2,FALSE),0),""))</f>
        <v>3.5</v>
      </c>
      <c r="AZ62" s="665"/>
      <c r="BA62" s="670" t="s">
        <v>2809</v>
      </c>
      <c r="BB62" s="658" t="str">
        <f>Pole_Calculations!A20</f>
        <v>App.7-V11A-P9.5.1.6</v>
      </c>
      <c r="BC62" s="169"/>
      <c r="BD62" s="1329"/>
      <c r="BE62" s="1329"/>
      <c r="BF62" s="1330"/>
      <c r="BG62" s="1329"/>
    </row>
    <row r="63" spans="1:59" ht="15.75" customHeight="1">
      <c r="A63" s="647" t="s">
        <v>3049</v>
      </c>
      <c r="B63" s="657"/>
      <c r="C63" s="649"/>
      <c r="D63" s="650"/>
      <c r="E63" s="650"/>
      <c r="F63" s="650"/>
      <c r="G63" s="651">
        <v>56</v>
      </c>
      <c r="H63" s="647"/>
      <c r="I63" s="650"/>
      <c r="J63" s="649"/>
      <c r="K63" s="653"/>
      <c r="L63" s="647"/>
      <c r="M63" s="647"/>
      <c r="N63" s="647"/>
      <c r="O63" s="647"/>
      <c r="P63" s="647"/>
      <c r="Q63" s="647"/>
      <c r="R63" s="647"/>
      <c r="S63" s="651">
        <f>AG64-AG62</f>
        <v>-86498</v>
      </c>
      <c r="T63" s="647"/>
      <c r="U63" s="647"/>
      <c r="V63" s="647"/>
      <c r="W63" s="647"/>
      <c r="X63" s="647"/>
      <c r="Y63" s="647"/>
      <c r="Z63" s="647"/>
      <c r="AA63" s="647"/>
      <c r="AB63" s="647"/>
      <c r="AC63" s="647"/>
      <c r="AD63" s="647"/>
      <c r="AE63" s="647"/>
      <c r="AF63" s="647"/>
      <c r="AG63" s="652"/>
      <c r="AH63" s="647"/>
      <c r="AI63" s="647"/>
      <c r="AJ63" s="647"/>
      <c r="AK63" s="647"/>
      <c r="AL63" s="647"/>
      <c r="AM63" s="647"/>
      <c r="AN63" s="651"/>
      <c r="AO63" s="647"/>
      <c r="AP63" s="647"/>
      <c r="AQ63" s="654">
        <f>+FL_2($U$66,$T$62,$G$63,1200,9.28, 1*$F$66)</f>
        <v>-0.38535571308337702</v>
      </c>
      <c r="AR63" s="653"/>
      <c r="AS63" s="653"/>
      <c r="AT63" s="654"/>
      <c r="AU63" s="653"/>
      <c r="AV63" s="653"/>
      <c r="AW63" s="653"/>
      <c r="AX63" s="653"/>
      <c r="AY63" s="654"/>
      <c r="AZ63" s="654"/>
      <c r="BA63" s="701"/>
      <c r="BB63" s="647"/>
      <c r="BC63" s="169"/>
      <c r="BD63" s="1330"/>
      <c r="BE63" s="1330"/>
      <c r="BF63" s="1330"/>
      <c r="BG63" s="1330"/>
    </row>
    <row r="64" spans="1:59" ht="15.75" customHeight="1">
      <c r="A64" s="658"/>
      <c r="B64" s="666" t="s">
        <v>4938</v>
      </c>
      <c r="C64" s="660">
        <f>C66-25</f>
        <v>86529.85</v>
      </c>
      <c r="D64" s="661"/>
      <c r="E64" s="661"/>
      <c r="F64" s="661"/>
      <c r="G64" s="662"/>
      <c r="H64" s="658"/>
      <c r="I64" s="661"/>
      <c r="J64" s="660"/>
      <c r="K64" s="663"/>
      <c r="L64" s="663" t="s">
        <v>4420</v>
      </c>
      <c r="M64" s="663" t="s">
        <v>4399</v>
      </c>
      <c r="N64" s="658"/>
      <c r="O64" s="658"/>
      <c r="P64" s="658"/>
      <c r="Q64" s="658"/>
      <c r="R64" s="658"/>
      <c r="S64" s="662"/>
      <c r="T64" s="658"/>
      <c r="U64" s="658"/>
      <c r="V64" s="658"/>
      <c r="W64" s="658"/>
      <c r="X64" s="658"/>
      <c r="Y64" s="658"/>
      <c r="Z64" s="658"/>
      <c r="AA64" s="658"/>
      <c r="AB64" s="658"/>
      <c r="AC64" s="658"/>
      <c r="AD64" s="658"/>
      <c r="AE64" s="658"/>
      <c r="AF64" s="658"/>
      <c r="AG64" s="739"/>
      <c r="AH64" s="658"/>
      <c r="AI64" s="658"/>
      <c r="AJ64" s="658"/>
      <c r="AK64" s="658"/>
      <c r="AL64" s="658"/>
      <c r="AM64" s="658"/>
      <c r="AN64" s="662"/>
      <c r="AO64" s="658"/>
      <c r="AP64" s="658"/>
      <c r="AQ64" s="665"/>
      <c r="AR64" s="663"/>
      <c r="AS64" s="663"/>
      <c r="AT64" s="665"/>
      <c r="AU64" s="663"/>
      <c r="AV64" s="663"/>
      <c r="AW64" s="663" t="str">
        <f>VLOOKUP(C64,'Foundation Calculation'!$A$2:$C$33,3,1)</f>
        <v>Soil B</v>
      </c>
      <c r="AX64" s="684" t="str">
        <f>VLOOKUP(C64,'Foundation Calculation'!$E$2:$G$33,3,1)</f>
        <v>PT</v>
      </c>
      <c r="AY64" s="665">
        <v>1.2</v>
      </c>
      <c r="AZ64" s="665"/>
      <c r="BA64" s="670" t="s">
        <v>2809</v>
      </c>
      <c r="BB64" s="658"/>
      <c r="BC64" s="169"/>
      <c r="BD64" s="1329"/>
      <c r="BE64" s="1329"/>
      <c r="BF64" s="1330"/>
      <c r="BG64" s="1330"/>
    </row>
    <row r="65" spans="1:59" ht="15.75" customHeight="1">
      <c r="A65" s="658"/>
      <c r="B65" s="666"/>
      <c r="C65" s="660"/>
      <c r="D65" s="661"/>
      <c r="E65" s="661"/>
      <c r="F65" s="661"/>
      <c r="G65" s="662"/>
      <c r="H65" s="658"/>
      <c r="I65" s="661"/>
      <c r="J65" s="660"/>
      <c r="K65" s="663"/>
      <c r="L65" s="658"/>
      <c r="M65" s="658"/>
      <c r="N65" s="658"/>
      <c r="O65" s="658"/>
      <c r="P65" s="658"/>
      <c r="Q65" s="658"/>
      <c r="R65" s="658"/>
      <c r="S65" s="662">
        <f>AG66-AG64</f>
        <v>86554</v>
      </c>
      <c r="T65" s="658"/>
      <c r="U65" s="658"/>
      <c r="V65" s="658"/>
      <c r="W65" s="658"/>
      <c r="X65" s="658"/>
      <c r="Y65" s="658"/>
      <c r="Z65" s="658"/>
      <c r="AA65" s="658"/>
      <c r="AB65" s="658"/>
      <c r="AC65" s="658"/>
      <c r="AD65" s="658"/>
      <c r="AE65" s="658"/>
      <c r="AF65" s="658"/>
      <c r="AG65" s="739"/>
      <c r="AH65" s="658"/>
      <c r="AI65" s="658"/>
      <c r="AJ65" s="658"/>
      <c r="AK65" s="658"/>
      <c r="AL65" s="658"/>
      <c r="AM65" s="658"/>
      <c r="AN65" s="662"/>
      <c r="AO65" s="658"/>
      <c r="AP65" s="658"/>
      <c r="AQ65" s="665"/>
      <c r="AR65" s="663"/>
      <c r="AS65" s="663"/>
      <c r="AT65" s="665"/>
      <c r="AU65" s="663"/>
      <c r="AV65" s="663"/>
      <c r="AW65" s="663"/>
      <c r="AX65" s="663"/>
      <c r="AY65" s="665"/>
      <c r="AZ65" s="665"/>
      <c r="BA65" s="670"/>
      <c r="BB65" s="658"/>
      <c r="BC65" s="169"/>
      <c r="BD65" s="1330"/>
      <c r="BE65" s="1330"/>
      <c r="BF65" s="1330"/>
      <c r="BG65" s="1330"/>
    </row>
    <row r="66" spans="1:59" ht="15.75" customHeight="1">
      <c r="A66" s="658" t="s">
        <v>3200</v>
      </c>
      <c r="B66" s="666" t="s">
        <v>3138</v>
      </c>
      <c r="C66" s="660">
        <f>+$C$62+$G$63</f>
        <v>86554.85</v>
      </c>
      <c r="D66" s="661"/>
      <c r="E66" s="661"/>
      <c r="F66" s="661">
        <v>-1800</v>
      </c>
      <c r="G66" s="662"/>
      <c r="H66" s="658" t="s">
        <v>619</v>
      </c>
      <c r="I66" s="661" t="s">
        <v>1429</v>
      </c>
      <c r="J66" s="660"/>
      <c r="K66" s="663"/>
      <c r="L66" s="658" t="s">
        <v>895</v>
      </c>
      <c r="M66" s="658" t="str">
        <f>IF(AX66="PT",VLOOKUP(L66,'Foundation Calculation'!$V$2:$X$40,VLOOKUP(AX66,'Foundation Calculation'!$I$10:$J$13,2,FALSE),0),IF(AX66="K",VLOOKUP(L66,'Foundation Calculation'!$V$42:$X$80,VLOOKUP(AX66,'Foundation Calculation'!$I$10:$J$13,2,FALSE),0),""))</f>
        <v>2C3R</v>
      </c>
      <c r="N66" s="658" t="s">
        <v>140</v>
      </c>
      <c r="O66" s="658" t="s">
        <v>143</v>
      </c>
      <c r="P66" s="658"/>
      <c r="Q66" s="658">
        <v>100</v>
      </c>
      <c r="R66" s="658">
        <v>216.63</v>
      </c>
      <c r="S66" s="662"/>
      <c r="T66" s="658">
        <v>15</v>
      </c>
      <c r="U66" s="658">
        <v>-30</v>
      </c>
      <c r="V66" s="658"/>
      <c r="W66" s="658">
        <v>1.4</v>
      </c>
      <c r="X66" s="658">
        <v>2.2999999999999998</v>
      </c>
      <c r="Y66" s="658"/>
      <c r="Z66" s="658">
        <v>0.45</v>
      </c>
      <c r="AA66" s="658"/>
      <c r="AB66" s="658"/>
      <c r="AC66" s="658" t="s">
        <v>3050</v>
      </c>
      <c r="AD66" s="658"/>
      <c r="AE66" s="658"/>
      <c r="AF66" s="658">
        <v>5400</v>
      </c>
      <c r="AG66" s="739">
        <v>86554</v>
      </c>
      <c r="AH66" s="658">
        <v>2033</v>
      </c>
      <c r="AI66" s="658">
        <v>370</v>
      </c>
      <c r="AJ66" s="658" t="s">
        <v>3048</v>
      </c>
      <c r="AK66" s="658"/>
      <c r="AL66" s="658"/>
      <c r="AM66" s="658" t="s">
        <v>1042</v>
      </c>
      <c r="AN66" s="662">
        <v>5.15</v>
      </c>
      <c r="AO66" s="658"/>
      <c r="AP66" s="658"/>
      <c r="AQ66" s="665"/>
      <c r="AR66" s="663"/>
      <c r="AS66" s="663"/>
      <c r="AT66" s="665">
        <f>+ab($U$66,$T$62,$U$70,$G$63,$G$67, 1*$F$66,1200)</f>
        <v>-7.6925106627735147</v>
      </c>
      <c r="AU66" s="663"/>
      <c r="AV66" s="663"/>
      <c r="AW66" s="663" t="str">
        <f>VLOOKUP(C66,'Foundation Calculation'!$A$2:$C$33,3,1)</f>
        <v>Soil B</v>
      </c>
      <c r="AX66" s="684" t="str">
        <f>VLOOKUP(C66,'Foundation Calculation'!$E$2:$G$33,3,1)</f>
        <v>PT</v>
      </c>
      <c r="AY66" s="665">
        <f>IF(AX66="PT",VLOOKUP(L66,'Foundation Calculation'!$K$2:$R$40,VLOOKUP(AW66,'Foundation Calculation'!$I$2:$J$8,2,FALSE),0),IF(AX66="K",VLOOKUP(L66,'Foundation Calculation'!$K$42:$R$80,VLOOKUP(AW66,'Foundation Calculation'!$I$2:$J$8,2,FALSE),0),""))</f>
        <v>3.5</v>
      </c>
      <c r="AZ66" s="665"/>
      <c r="BA66" s="670" t="s">
        <v>2809</v>
      </c>
      <c r="BB66" s="658" t="str">
        <f>Pole_Calculations!A19</f>
        <v>App.7-V11A-P9.5.1.5</v>
      </c>
      <c r="BC66" s="169"/>
      <c r="BD66" s="1329">
        <v>43813</v>
      </c>
      <c r="BE66" s="1329"/>
      <c r="BF66" s="1330"/>
      <c r="BG66" s="1329"/>
    </row>
    <row r="67" spans="1:59" ht="15.75" customHeight="1">
      <c r="A67" s="658"/>
      <c r="B67" s="666"/>
      <c r="C67" s="660"/>
      <c r="D67" s="661"/>
      <c r="E67" s="661"/>
      <c r="F67" s="661"/>
      <c r="G67" s="662">
        <v>38</v>
      </c>
      <c r="H67" s="658"/>
      <c r="I67" s="661"/>
      <c r="J67" s="660"/>
      <c r="K67" s="663"/>
      <c r="L67" s="658"/>
      <c r="M67" s="658"/>
      <c r="N67" s="658"/>
      <c r="O67" s="658"/>
      <c r="P67" s="658"/>
      <c r="Q67" s="658"/>
      <c r="R67" s="658"/>
      <c r="S67" s="662">
        <f>AG68-AG66</f>
        <v>47</v>
      </c>
      <c r="T67" s="658"/>
      <c r="U67" s="658"/>
      <c r="V67" s="658"/>
      <c r="W67" s="658"/>
      <c r="X67" s="658"/>
      <c r="Y67" s="658"/>
      <c r="Z67" s="658"/>
      <c r="AA67" s="658"/>
      <c r="AB67" s="658"/>
      <c r="AC67" s="658"/>
      <c r="AD67" s="658"/>
      <c r="AE67" s="658"/>
      <c r="AF67" s="658"/>
      <c r="AG67" s="739"/>
      <c r="AH67" s="658"/>
      <c r="AI67" s="658"/>
      <c r="AJ67" s="658" t="s">
        <v>1360</v>
      </c>
      <c r="AK67" s="658"/>
      <c r="AL67" s="658"/>
      <c r="AM67" s="658"/>
      <c r="AN67" s="662"/>
      <c r="AO67" s="658"/>
      <c r="AP67" s="658"/>
      <c r="AQ67" s="665">
        <f>+FL_1($T$70,$T$66,$G$67,1200,9.28, 1*$F$70)</f>
        <v>0.36551863226273057</v>
      </c>
      <c r="AR67" s="663"/>
      <c r="AS67" s="663"/>
      <c r="AT67" s="665"/>
      <c r="AU67" s="663"/>
      <c r="AV67" s="663"/>
      <c r="AW67" s="663"/>
      <c r="AX67" s="684"/>
      <c r="AY67" s="665"/>
      <c r="AZ67" s="665"/>
      <c r="BA67" s="670"/>
      <c r="BB67" s="658"/>
      <c r="BC67" s="169"/>
      <c r="BD67" s="1329"/>
      <c r="BE67" s="1329"/>
      <c r="BF67" s="1330"/>
      <c r="BG67" s="1329"/>
    </row>
    <row r="68" spans="1:59" ht="15.75" customHeight="1">
      <c r="A68" s="658"/>
      <c r="B68" s="666" t="s">
        <v>3139</v>
      </c>
      <c r="C68" s="660">
        <f>+$C$66+$G$67</f>
        <v>86592.85</v>
      </c>
      <c r="D68" s="661"/>
      <c r="E68" s="661"/>
      <c r="F68" s="661"/>
      <c r="G68" s="662"/>
      <c r="H68" s="658"/>
      <c r="I68" s="661"/>
      <c r="J68" s="660"/>
      <c r="K68" s="663"/>
      <c r="L68" s="658" t="s">
        <v>1699</v>
      </c>
      <c r="M68" s="658" t="str">
        <f>IF(AX68="PT",VLOOKUP(L68,'Foundation Calculation'!$V$2:$X$40,VLOOKUP(AX68,'Foundation Calculation'!$I$10:$J$13,2,FALSE),0),IF(AX68="K",VLOOKUP(L68,'Foundation Calculation'!$V$42:$X$80,VLOOKUP(AX68,'Foundation Calculation'!$I$10:$J$13,2,FALSE),0),""))</f>
        <v>C7R</v>
      </c>
      <c r="N68" s="658"/>
      <c r="O68" s="658"/>
      <c r="P68" s="658"/>
      <c r="Q68" s="658">
        <v>110</v>
      </c>
      <c r="R68" s="658">
        <v>317.63</v>
      </c>
      <c r="S68" s="662"/>
      <c r="T68" s="658"/>
      <c r="U68" s="658"/>
      <c r="V68" s="658"/>
      <c r="W68" s="658"/>
      <c r="X68" s="658"/>
      <c r="Y68" s="658"/>
      <c r="Z68" s="658"/>
      <c r="AA68" s="658"/>
      <c r="AB68" s="658"/>
      <c r="AC68" s="658"/>
      <c r="AD68" s="658"/>
      <c r="AE68" s="658"/>
      <c r="AF68" s="658"/>
      <c r="AG68" s="739">
        <v>86601</v>
      </c>
      <c r="AH68" s="658">
        <v>2133</v>
      </c>
      <c r="AI68" s="658">
        <v>140</v>
      </c>
      <c r="AJ68" s="658"/>
      <c r="AK68" s="658"/>
      <c r="AL68" s="658"/>
      <c r="AM68" s="658" t="s">
        <v>1042</v>
      </c>
      <c r="AN68" s="662"/>
      <c r="AO68" s="658"/>
      <c r="AP68" s="658"/>
      <c r="AQ68" s="665"/>
      <c r="AR68" s="663"/>
      <c r="AS68" s="663"/>
      <c r="AT68" s="665"/>
      <c r="AU68" s="663"/>
      <c r="AV68" s="663"/>
      <c r="AW68" s="663" t="str">
        <f>VLOOKUP(C68,'Foundation Calculation'!$A$2:$C$33,3,1)</f>
        <v>Soil B</v>
      </c>
      <c r="AX68" s="684" t="str">
        <f>VLOOKUP(C68,'Foundation Calculation'!$E$2:$G$33,3,1)</f>
        <v>PT</v>
      </c>
      <c r="AY68" s="665">
        <f>IF(AX68="PT",VLOOKUP(L68,'Foundation Calculation'!$K$2:$R$40,VLOOKUP(AW68,'Foundation Calculation'!$I$2:$J$8,2,FALSE),0),IF(AX68="K",VLOOKUP(L68,'Foundation Calculation'!$K$42:$R$80,VLOOKUP(AW68,'Foundation Calculation'!$I$2:$J$8,2,FALSE),0),""))</f>
        <v>4.4000000000000004</v>
      </c>
      <c r="AZ68" s="665"/>
      <c r="BA68" s="670" t="s">
        <v>2809</v>
      </c>
      <c r="BB68" s="658" t="str">
        <f>Pole_Calculations!A136</f>
        <v>App.7-V11A-P12.3.1.1</v>
      </c>
      <c r="BC68" s="169"/>
      <c r="BD68" s="1329"/>
      <c r="BE68" s="1329"/>
      <c r="BF68" s="1330"/>
      <c r="BG68" s="1329"/>
    </row>
    <row r="69" spans="1:59" ht="15.75" customHeight="1">
      <c r="A69" s="658"/>
      <c r="B69" s="666"/>
      <c r="C69" s="660"/>
      <c r="D69" s="661"/>
      <c r="E69" s="661"/>
      <c r="F69" s="661"/>
      <c r="G69" s="662">
        <v>9</v>
      </c>
      <c r="H69" s="658"/>
      <c r="I69" s="661"/>
      <c r="J69" s="660"/>
      <c r="K69" s="663"/>
      <c r="L69" s="658"/>
      <c r="M69" s="658"/>
      <c r="N69" s="658"/>
      <c r="O69" s="658"/>
      <c r="P69" s="658"/>
      <c r="Q69" s="658"/>
      <c r="R69" s="658"/>
      <c r="S69" s="662">
        <f>AG70-AG68</f>
        <v>0</v>
      </c>
      <c r="T69" s="658"/>
      <c r="U69" s="658"/>
      <c r="V69" s="658"/>
      <c r="W69" s="658"/>
      <c r="X69" s="658"/>
      <c r="Y69" s="658"/>
      <c r="Z69" s="658"/>
      <c r="AA69" s="658"/>
      <c r="AB69" s="658"/>
      <c r="AC69" s="658"/>
      <c r="AD69" s="658"/>
      <c r="AE69" s="658"/>
      <c r="AF69" s="658"/>
      <c r="AG69" s="739"/>
      <c r="AH69" s="658"/>
      <c r="AI69" s="658"/>
      <c r="AJ69" s="658"/>
      <c r="AK69" s="658"/>
      <c r="AL69" s="658"/>
      <c r="AM69" s="658"/>
      <c r="AN69" s="662"/>
      <c r="AO69" s="658"/>
      <c r="AP69" s="658"/>
      <c r="AQ69" s="665"/>
      <c r="AR69" s="663"/>
      <c r="AS69" s="663"/>
      <c r="AT69" s="665"/>
      <c r="AU69" s="663"/>
      <c r="AV69" s="663"/>
      <c r="AW69" s="663"/>
      <c r="AX69" s="684"/>
      <c r="AY69" s="665"/>
      <c r="AZ69" s="665"/>
      <c r="BA69" s="670"/>
      <c r="BB69" s="658"/>
      <c r="BC69" s="169"/>
      <c r="BD69" s="1329"/>
      <c r="BE69" s="1329"/>
      <c r="BF69" s="1330"/>
      <c r="BG69" s="1329"/>
    </row>
    <row r="70" spans="1:59" ht="15.75" customHeight="1">
      <c r="A70" s="658" t="s">
        <v>3201</v>
      </c>
      <c r="B70" s="666" t="s">
        <v>3140</v>
      </c>
      <c r="C70" s="660">
        <f>+$C$68+$G$69</f>
        <v>86601.85</v>
      </c>
      <c r="D70" s="661"/>
      <c r="E70" s="661"/>
      <c r="F70" s="661">
        <v>-1800</v>
      </c>
      <c r="G70" s="662"/>
      <c r="H70" s="658" t="s">
        <v>619</v>
      </c>
      <c r="I70" s="661" t="s">
        <v>1429</v>
      </c>
      <c r="J70" s="660"/>
      <c r="K70" s="663"/>
      <c r="L70" s="658" t="s">
        <v>1697</v>
      </c>
      <c r="M70" s="658" t="str">
        <f>IF(AX70="PT",VLOOKUP(L70,'Foundation Calculation'!$V$2:$X$40,VLOOKUP(AX70,'Foundation Calculation'!$I$10:$J$13,2,FALSE),0),IF(AX70="K",VLOOKUP(L70,'Foundation Calculation'!$V$42:$X$80,VLOOKUP(AX70,'Foundation Calculation'!$I$10:$J$13,2,FALSE),0),""))</f>
        <v>2C3R</v>
      </c>
      <c r="N70" s="658" t="s">
        <v>143</v>
      </c>
      <c r="O70" s="658" t="s">
        <v>140</v>
      </c>
      <c r="P70" s="658"/>
      <c r="Q70" s="658">
        <v>130</v>
      </c>
      <c r="R70" s="658">
        <v>-317.63</v>
      </c>
      <c r="S70" s="662"/>
      <c r="T70" s="658">
        <v>10</v>
      </c>
      <c r="U70" s="658">
        <v>-35</v>
      </c>
      <c r="V70" s="658"/>
      <c r="W70" s="658">
        <v>1.4</v>
      </c>
      <c r="X70" s="658">
        <v>2.2999999999999998</v>
      </c>
      <c r="Y70" s="658"/>
      <c r="Z70" s="658"/>
      <c r="AA70" s="658">
        <v>0.45</v>
      </c>
      <c r="AB70" s="658"/>
      <c r="AC70" s="658" t="s">
        <v>4135</v>
      </c>
      <c r="AD70" s="658"/>
      <c r="AE70" s="658"/>
      <c r="AF70" s="658">
        <v>5700</v>
      </c>
      <c r="AG70" s="739">
        <v>86601</v>
      </c>
      <c r="AH70" s="658">
        <v>2113</v>
      </c>
      <c r="AI70" s="658">
        <v>430</v>
      </c>
      <c r="AJ70" s="658" t="s">
        <v>3048</v>
      </c>
      <c r="AK70" s="658"/>
      <c r="AL70" s="658"/>
      <c r="AM70" s="658" t="s">
        <v>1042</v>
      </c>
      <c r="AN70" s="662">
        <v>5.15</v>
      </c>
      <c r="AO70" s="658"/>
      <c r="AP70" s="658"/>
      <c r="AQ70" s="665"/>
      <c r="AR70" s="663"/>
      <c r="AS70" s="663"/>
      <c r="AT70" s="665">
        <f>+ab($T$70,$T$66,$T$72,$G$67,$G$71, 1*$F$70,1200)</f>
        <v>-7.3426564451686192</v>
      </c>
      <c r="AU70" s="663"/>
      <c r="AV70" s="663"/>
      <c r="AW70" s="663" t="str">
        <f>VLOOKUP(C70,'Foundation Calculation'!$A$2:$C$33,3,1)</f>
        <v>Soil B</v>
      </c>
      <c r="AX70" s="684" t="str">
        <f>VLOOKUP(C70,'Foundation Calculation'!$E$2:$G$33,3,1)</f>
        <v>PT</v>
      </c>
      <c r="AY70" s="665">
        <f>IF(AX70="PT",VLOOKUP(L70,'Foundation Calculation'!$K$2:$R$40,VLOOKUP(AW70,'Foundation Calculation'!$I$2:$J$8,2,FALSE),0),IF(AX70="K",VLOOKUP(L70,'Foundation Calculation'!$K$42:$R$80,VLOOKUP(AW70,'Foundation Calculation'!$I$2:$J$8,2,FALSE),0),""))</f>
        <v>3.5</v>
      </c>
      <c r="AZ70" s="665"/>
      <c r="BA70" s="670" t="s">
        <v>2809</v>
      </c>
      <c r="BB70" s="658" t="str">
        <f>Pole_Calculations!A19</f>
        <v>App.7-V11A-P9.5.1.5</v>
      </c>
      <c r="BC70" s="169"/>
      <c r="BD70" s="1329">
        <v>43813</v>
      </c>
      <c r="BE70" s="1329"/>
      <c r="BF70" s="1330"/>
      <c r="BG70" s="1329"/>
    </row>
    <row r="71" spans="1:59" ht="15.75" customHeight="1">
      <c r="A71" s="658"/>
      <c r="B71" s="666"/>
      <c r="C71" s="660"/>
      <c r="D71" s="661"/>
      <c r="E71" s="661"/>
      <c r="F71" s="661"/>
      <c r="G71" s="662">
        <v>47</v>
      </c>
      <c r="H71" s="658"/>
      <c r="I71" s="661"/>
      <c r="J71" s="660"/>
      <c r="K71" s="663"/>
      <c r="L71" s="658"/>
      <c r="M71" s="658"/>
      <c r="N71" s="658"/>
      <c r="O71" s="658"/>
      <c r="P71" s="658"/>
      <c r="Q71" s="658"/>
      <c r="R71" s="658"/>
      <c r="S71" s="662">
        <f>AG72-AG70</f>
        <v>47</v>
      </c>
      <c r="T71" s="658"/>
      <c r="U71" s="658"/>
      <c r="V71" s="658"/>
      <c r="W71" s="658"/>
      <c r="X71" s="658"/>
      <c r="Y71" s="658"/>
      <c r="Z71" s="658"/>
      <c r="AA71" s="658"/>
      <c r="AB71" s="658"/>
      <c r="AC71" s="658"/>
      <c r="AD71" s="658"/>
      <c r="AE71" s="658"/>
      <c r="AF71" s="658"/>
      <c r="AG71" s="739"/>
      <c r="AH71" s="658"/>
      <c r="AI71" s="658"/>
      <c r="AJ71" s="658"/>
      <c r="AK71" s="658"/>
      <c r="AL71" s="658"/>
      <c r="AM71" s="658"/>
      <c r="AN71" s="662"/>
      <c r="AO71" s="658"/>
      <c r="AP71" s="658"/>
      <c r="AQ71" s="665">
        <f>+FL_2($T$72,$T$70,$G$71,1200,9.28, 1*$F$72)</f>
        <v>2.2349199989049842E-2</v>
      </c>
      <c r="AR71" s="663"/>
      <c r="AS71" s="663"/>
      <c r="AT71" s="665"/>
      <c r="AU71" s="663"/>
      <c r="AV71" s="663"/>
      <c r="AW71" s="663"/>
      <c r="AX71" s="663"/>
      <c r="AY71" s="665"/>
      <c r="AZ71" s="665"/>
      <c r="BA71" s="670"/>
      <c r="BB71" s="658"/>
      <c r="BC71" s="169"/>
      <c r="BD71" s="1330"/>
      <c r="BE71" s="1330"/>
      <c r="BF71" s="1330"/>
      <c r="BG71" s="1330"/>
    </row>
    <row r="72" spans="1:59" ht="15.75" customHeight="1">
      <c r="A72" s="658"/>
      <c r="B72" s="666" t="s">
        <v>3141</v>
      </c>
      <c r="C72" s="660">
        <f>+$C$70+$G$71</f>
        <v>86648.85</v>
      </c>
      <c r="D72" s="661"/>
      <c r="E72" s="661"/>
      <c r="F72" s="661">
        <v>-2456</v>
      </c>
      <c r="G72" s="662"/>
      <c r="H72" s="658" t="s">
        <v>619</v>
      </c>
      <c r="I72" s="661"/>
      <c r="J72" s="660"/>
      <c r="K72" s="663"/>
      <c r="L72" s="658" t="s">
        <v>895</v>
      </c>
      <c r="M72" s="658" t="str">
        <f>IF(AX72="PT",VLOOKUP(L72,'Foundation Calculation'!$V$2:$X$40,VLOOKUP(AX72,'Foundation Calculation'!$I$10:$J$13,2,FALSE),0),IF(AX72="K",VLOOKUP(L72,'Foundation Calculation'!$V$42:$X$80,VLOOKUP(AX72,'Foundation Calculation'!$I$10:$J$13,2,FALSE),0),""))</f>
        <v>2C3R</v>
      </c>
      <c r="N72" s="658" t="s">
        <v>140</v>
      </c>
      <c r="O72" s="658" t="s">
        <v>143</v>
      </c>
      <c r="P72" s="658"/>
      <c r="Q72" s="658">
        <v>70</v>
      </c>
      <c r="R72" s="658">
        <v>2407</v>
      </c>
      <c r="S72" s="662"/>
      <c r="T72" s="658">
        <v>15</v>
      </c>
      <c r="U72" s="658">
        <v>-30</v>
      </c>
      <c r="V72" s="658"/>
      <c r="W72" s="658">
        <v>1</v>
      </c>
      <c r="X72" s="658">
        <v>2</v>
      </c>
      <c r="Y72" s="658"/>
      <c r="Z72" s="658">
        <v>0.45</v>
      </c>
      <c r="AA72" s="658"/>
      <c r="AB72" s="658"/>
      <c r="AC72" s="658" t="s">
        <v>1421</v>
      </c>
      <c r="AD72" s="658"/>
      <c r="AE72" s="658"/>
      <c r="AF72" s="658">
        <v>5800</v>
      </c>
      <c r="AG72" s="739">
        <v>86648</v>
      </c>
      <c r="AH72" s="658">
        <v>2293</v>
      </c>
      <c r="AI72" s="658">
        <v>370</v>
      </c>
      <c r="AJ72" s="658"/>
      <c r="AK72" s="658"/>
      <c r="AL72" s="658"/>
      <c r="AM72" s="658" t="s">
        <v>1042</v>
      </c>
      <c r="AN72" s="662">
        <v>5.15</v>
      </c>
      <c r="AO72" s="658"/>
      <c r="AP72" s="658"/>
      <c r="AQ72" s="665"/>
      <c r="AR72" s="663"/>
      <c r="AS72" s="663"/>
      <c r="AT72" s="665">
        <f>+ab($T$72,$T$70,$T$76,$G$71,$G$75, 1*$F$72,1200)</f>
        <v>-11.920628296890765</v>
      </c>
      <c r="AU72" s="663"/>
      <c r="AV72" s="663"/>
      <c r="AW72" s="663" t="str">
        <f>VLOOKUP(C72,'Foundation Calculation'!$A$2:$C$33,3,1)</f>
        <v>Soil B</v>
      </c>
      <c r="AX72" s="684" t="str">
        <f>VLOOKUP(C72,'Foundation Calculation'!$E$2:$G$33,3,1)</f>
        <v>PT</v>
      </c>
      <c r="AY72" s="665">
        <f>IF(AX72="PT",VLOOKUP(L72,'Foundation Calculation'!$K$2:$R$40,VLOOKUP(AW72,'Foundation Calculation'!$I$2:$J$8,2,FALSE),0),IF(AX72="K",VLOOKUP(L72,'Foundation Calculation'!$K$42:$R$80,VLOOKUP(AW72,'Foundation Calculation'!$I$2:$J$8,2,FALSE),0),""))</f>
        <v>3.5</v>
      </c>
      <c r="AZ72" s="665"/>
      <c r="BA72" s="670" t="s">
        <v>2809</v>
      </c>
      <c r="BB72" s="658" t="str">
        <f>Pole_Calculations!A19</f>
        <v>App.7-V11A-P9.5.1.5</v>
      </c>
      <c r="BC72" s="169"/>
      <c r="BD72" s="1329"/>
      <c r="BE72" s="1329"/>
      <c r="BF72" s="1330"/>
      <c r="BG72" s="1329"/>
    </row>
    <row r="73" spans="1:59" ht="15.75" customHeight="1">
      <c r="A73" s="658"/>
      <c r="B73" s="666"/>
      <c r="C73" s="660"/>
      <c r="D73" s="661"/>
      <c r="E73" s="661"/>
      <c r="F73" s="661"/>
      <c r="G73" s="662">
        <v>5</v>
      </c>
      <c r="H73" s="658"/>
      <c r="I73" s="661"/>
      <c r="J73" s="660"/>
      <c r="K73" s="663"/>
      <c r="L73" s="658"/>
      <c r="M73" s="658"/>
      <c r="N73" s="658"/>
      <c r="O73" s="658"/>
      <c r="P73" s="658"/>
      <c r="Q73" s="658"/>
      <c r="R73" s="658"/>
      <c r="S73" s="662">
        <f>AG74-AG72</f>
        <v>4</v>
      </c>
      <c r="T73" s="658"/>
      <c r="U73" s="658"/>
      <c r="V73" s="658"/>
      <c r="W73" s="658"/>
      <c r="X73" s="658"/>
      <c r="Y73" s="658"/>
      <c r="Z73" s="658"/>
      <c r="AA73" s="658"/>
      <c r="AB73" s="658"/>
      <c r="AC73" s="658"/>
      <c r="AD73" s="658"/>
      <c r="AE73" s="658"/>
      <c r="AF73" s="658"/>
      <c r="AG73" s="739"/>
      <c r="AH73" s="658"/>
      <c r="AI73" s="658"/>
      <c r="AJ73" s="658"/>
      <c r="AK73" s="658"/>
      <c r="AL73" s="658"/>
      <c r="AM73" s="658"/>
      <c r="AN73" s="662"/>
      <c r="AO73" s="658"/>
      <c r="AP73" s="658"/>
      <c r="AQ73" s="665">
        <f>+FL_1($T$76,$T$72,$G$75,1200,9.28, 1*$F$76)</f>
        <v>0.35200533667303668</v>
      </c>
      <c r="AR73" s="663"/>
      <c r="AS73" s="663"/>
      <c r="AT73" s="665"/>
      <c r="AU73" s="663"/>
      <c r="AV73" s="663"/>
      <c r="AW73" s="663"/>
      <c r="AX73" s="663"/>
      <c r="AY73" s="665"/>
      <c r="AZ73" s="665"/>
      <c r="BA73" s="670"/>
      <c r="BB73" s="658"/>
      <c r="BC73" s="169"/>
      <c r="BD73" s="1330"/>
      <c r="BE73" s="1330"/>
      <c r="BF73" s="1330"/>
      <c r="BG73" s="1330"/>
    </row>
    <row r="74" spans="1:59" ht="15.75" customHeight="1">
      <c r="A74" s="658"/>
      <c r="B74" s="666" t="s">
        <v>3142</v>
      </c>
      <c r="C74" s="660">
        <f>+$C$72+$G$73</f>
        <v>86653.85</v>
      </c>
      <c r="D74" s="661"/>
      <c r="E74" s="661"/>
      <c r="F74" s="661"/>
      <c r="G74" s="662"/>
      <c r="H74" s="658"/>
      <c r="I74" s="661"/>
      <c r="J74" s="660"/>
      <c r="K74" s="663"/>
      <c r="L74" s="658" t="s">
        <v>1699</v>
      </c>
      <c r="M74" s="658" t="str">
        <f>IF(AX74="PT",VLOOKUP(L74,'Foundation Calculation'!$V$2:$X$40,VLOOKUP(AX74,'Foundation Calculation'!$I$10:$J$13,2,FALSE),0),IF(AX74="K",VLOOKUP(L74,'Foundation Calculation'!$V$42:$X$80,VLOOKUP(AX74,'Foundation Calculation'!$I$10:$J$13,2,FALSE),0),""))</f>
        <v>C7R</v>
      </c>
      <c r="N74" s="658"/>
      <c r="O74" s="658"/>
      <c r="P74" s="658"/>
      <c r="Q74" s="658">
        <v>50</v>
      </c>
      <c r="R74" s="658">
        <v>0</v>
      </c>
      <c r="S74" s="662"/>
      <c r="T74" s="658"/>
      <c r="U74" s="658"/>
      <c r="V74" s="658"/>
      <c r="W74" s="658"/>
      <c r="X74" s="658"/>
      <c r="Y74" s="658"/>
      <c r="Z74" s="658"/>
      <c r="AA74" s="658"/>
      <c r="AB74" s="658"/>
      <c r="AC74" s="658"/>
      <c r="AD74" s="658"/>
      <c r="AE74" s="658"/>
      <c r="AF74" s="658"/>
      <c r="AG74" s="739">
        <v>86652</v>
      </c>
      <c r="AH74" s="658">
        <v>2263</v>
      </c>
      <c r="AI74" s="658">
        <v>580</v>
      </c>
      <c r="AJ74" s="658"/>
      <c r="AK74" s="658"/>
      <c r="AL74" s="658"/>
      <c r="AM74" s="658" t="s">
        <v>1042</v>
      </c>
      <c r="AN74" s="662"/>
      <c r="AO74" s="658"/>
      <c r="AP74" s="658"/>
      <c r="AQ74" s="665"/>
      <c r="AR74" s="663"/>
      <c r="AS74" s="663"/>
      <c r="AT74" s="665"/>
      <c r="AU74" s="663"/>
      <c r="AV74" s="663"/>
      <c r="AW74" s="663" t="str">
        <f>VLOOKUP(C74,'Foundation Calculation'!$A$2:$C$33,3,1)</f>
        <v>Soil B</v>
      </c>
      <c r="AX74" s="684" t="str">
        <f>VLOOKUP(C74,'Foundation Calculation'!$E$2:$G$33,3,1)</f>
        <v>PT</v>
      </c>
      <c r="AY74" s="665">
        <f>IF(AX74="PT",VLOOKUP(L74,'Foundation Calculation'!$K$2:$R$40,VLOOKUP(AW74,'Foundation Calculation'!$I$2:$J$8,2,FALSE),0),IF(AX74="K",VLOOKUP(L74,'Foundation Calculation'!$K$42:$R$80,VLOOKUP(AW74,'Foundation Calculation'!$I$2:$J$8,2,FALSE),0),""))</f>
        <v>4.4000000000000004</v>
      </c>
      <c r="AZ74" s="665"/>
      <c r="BA74" s="670" t="s">
        <v>2809</v>
      </c>
      <c r="BB74" s="658" t="str">
        <f>Pole_Calculations!A136</f>
        <v>App.7-V11A-P12.3.1.1</v>
      </c>
      <c r="BC74" s="169"/>
      <c r="BD74" s="1329">
        <v>43813</v>
      </c>
      <c r="BE74" s="1329"/>
      <c r="BF74" s="1330"/>
      <c r="BG74" s="1330"/>
    </row>
    <row r="75" spans="1:59" ht="15.75" customHeight="1">
      <c r="A75" s="658"/>
      <c r="B75" s="666"/>
      <c r="C75" s="660"/>
      <c r="D75" s="661"/>
      <c r="E75" s="661"/>
      <c r="F75" s="661"/>
      <c r="G75" s="662">
        <v>42</v>
      </c>
      <c r="H75" s="658"/>
      <c r="I75" s="661"/>
      <c r="J75" s="660"/>
      <c r="K75" s="663"/>
      <c r="L75" s="658"/>
      <c r="M75" s="658"/>
      <c r="N75" s="658"/>
      <c r="O75" s="658"/>
      <c r="P75" s="658"/>
      <c r="Q75" s="658"/>
      <c r="R75" s="658"/>
      <c r="S75" s="662">
        <f>AG76-AG74</f>
        <v>43</v>
      </c>
      <c r="T75" s="658"/>
      <c r="U75" s="658"/>
      <c r="V75" s="658"/>
      <c r="W75" s="658"/>
      <c r="X75" s="658"/>
      <c r="Y75" s="658"/>
      <c r="Z75" s="658"/>
      <c r="AA75" s="658"/>
      <c r="AB75" s="658"/>
      <c r="AC75" s="658"/>
      <c r="AD75" s="658"/>
      <c r="AE75" s="658"/>
      <c r="AF75" s="658"/>
      <c r="AG75" s="739"/>
      <c r="AH75" s="658"/>
      <c r="AI75" s="658"/>
      <c r="AJ75" s="658"/>
      <c r="AK75" s="658"/>
      <c r="AL75" s="658"/>
      <c r="AM75" s="658"/>
      <c r="AN75" s="662"/>
      <c r="AO75" s="658"/>
      <c r="AP75" s="658"/>
      <c r="AQ75" s="665"/>
      <c r="AR75" s="663"/>
      <c r="AS75" s="663"/>
      <c r="AT75" s="665"/>
      <c r="AU75" s="663"/>
      <c r="AV75" s="663"/>
      <c r="AW75" s="663"/>
      <c r="AX75" s="663"/>
      <c r="AY75" s="665"/>
      <c r="AZ75" s="665"/>
      <c r="BA75" s="670"/>
      <c r="BB75" s="658"/>
      <c r="BC75" s="169"/>
      <c r="BD75" s="1330"/>
      <c r="BE75" s="1330"/>
      <c r="BF75" s="1330"/>
      <c r="BG75" s="1330"/>
    </row>
    <row r="76" spans="1:59" ht="15.75" customHeight="1">
      <c r="A76" s="658" t="s">
        <v>3202</v>
      </c>
      <c r="B76" s="666" t="s">
        <v>3143</v>
      </c>
      <c r="C76" s="660">
        <f>+$C$74+$G$75</f>
        <v>86695.85</v>
      </c>
      <c r="D76" s="661"/>
      <c r="E76" s="661"/>
      <c r="F76" s="661">
        <v>-3952</v>
      </c>
      <c r="G76" s="662"/>
      <c r="H76" s="658" t="s">
        <v>619</v>
      </c>
      <c r="I76" s="661" t="s">
        <v>1429</v>
      </c>
      <c r="J76" s="660"/>
      <c r="K76" s="663"/>
      <c r="L76" s="658" t="s">
        <v>1697</v>
      </c>
      <c r="M76" s="658" t="str">
        <f>IF(AX76="PT",VLOOKUP(L76,'Foundation Calculation'!$V$2:$X$40,VLOOKUP(AX76,'Foundation Calculation'!$I$10:$J$13,2,FALSE),0),IF(AX76="K",VLOOKUP(L76,'Foundation Calculation'!$V$42:$X$80,VLOOKUP(AX76,'Foundation Calculation'!$I$10:$J$13,2,FALSE),0),""))</f>
        <v>2C3R</v>
      </c>
      <c r="N76" s="658" t="s">
        <v>2789</v>
      </c>
      <c r="O76" s="658" t="s">
        <v>140</v>
      </c>
      <c r="P76" s="658"/>
      <c r="Q76" s="658">
        <v>40</v>
      </c>
      <c r="R76" s="658">
        <v>-2500</v>
      </c>
      <c r="S76" s="662"/>
      <c r="T76" s="658">
        <v>10</v>
      </c>
      <c r="U76" s="658">
        <v>-35</v>
      </c>
      <c r="V76" s="658"/>
      <c r="W76" s="658">
        <v>0.8</v>
      </c>
      <c r="X76" s="658">
        <v>1.4</v>
      </c>
      <c r="Y76" s="658"/>
      <c r="Z76" s="658"/>
      <c r="AA76" s="658">
        <v>0.45</v>
      </c>
      <c r="AB76" s="658"/>
      <c r="AC76" s="658" t="s">
        <v>4090</v>
      </c>
      <c r="AD76" s="658"/>
      <c r="AE76" s="658"/>
      <c r="AF76" s="658">
        <v>6000</v>
      </c>
      <c r="AG76" s="739">
        <v>86695</v>
      </c>
      <c r="AH76" s="658">
        <v>2173</v>
      </c>
      <c r="AI76" s="658">
        <v>590</v>
      </c>
      <c r="AJ76" s="658" t="s">
        <v>3048</v>
      </c>
      <c r="AK76" s="658"/>
      <c r="AL76" s="658"/>
      <c r="AM76" s="658" t="s">
        <v>1042</v>
      </c>
      <c r="AN76" s="662">
        <v>5.15</v>
      </c>
      <c r="AO76" s="658"/>
      <c r="AP76" s="658"/>
      <c r="AQ76" s="665"/>
      <c r="AR76" s="663"/>
      <c r="AS76" s="663"/>
      <c r="AT76" s="665">
        <f>+ab($T$76,$T$72,$T$80,$G$75,$G$79, 1*$F$76,1200)</f>
        <v>-11.015447121789119</v>
      </c>
      <c r="AU76" s="663"/>
      <c r="AV76" s="663"/>
      <c r="AW76" s="663" t="str">
        <f>VLOOKUP(C76,'Foundation Calculation'!$A$2:$C$33,3,1)</f>
        <v>Soil B</v>
      </c>
      <c r="AX76" s="684" t="str">
        <f>VLOOKUP(C76,'Foundation Calculation'!$E$2:$G$33,3,1)</f>
        <v>PT</v>
      </c>
      <c r="AY76" s="665">
        <f>IF(AX76="PT",VLOOKUP(L76,'Foundation Calculation'!$K$2:$R$40,VLOOKUP(AW76,'Foundation Calculation'!$I$2:$J$8,2,FALSE),0),IF(AX76="K",VLOOKUP(L76,'Foundation Calculation'!$K$42:$R$80,VLOOKUP(AW76,'Foundation Calculation'!$I$2:$J$8,2,FALSE),0),""))</f>
        <v>3.5</v>
      </c>
      <c r="AZ76" s="665"/>
      <c r="BA76" s="670" t="s">
        <v>2809</v>
      </c>
      <c r="BB76" s="658" t="str">
        <f>Pole_Calculations!A19</f>
        <v>App.7-V11A-P9.5.1.5</v>
      </c>
      <c r="BC76" s="169"/>
      <c r="BD76" s="1329"/>
      <c r="BE76" s="1329"/>
      <c r="BF76" s="1330"/>
      <c r="BG76" s="1329"/>
    </row>
    <row r="77" spans="1:59" ht="15.75" customHeight="1">
      <c r="A77" s="658"/>
      <c r="B77" s="666"/>
      <c r="C77" s="660"/>
      <c r="D77" s="661"/>
      <c r="E77" s="661"/>
      <c r="F77" s="661"/>
      <c r="G77" s="662"/>
      <c r="H77" s="658"/>
      <c r="I77" s="661"/>
      <c r="J77" s="660"/>
      <c r="K77" s="663"/>
      <c r="L77" s="658"/>
      <c r="M77" s="658"/>
      <c r="N77" s="658"/>
      <c r="O77" s="658"/>
      <c r="P77" s="658"/>
      <c r="Q77" s="658"/>
      <c r="R77" s="658"/>
      <c r="S77" s="662">
        <f>AG78-AG76</f>
        <v>-86695</v>
      </c>
      <c r="T77" s="658"/>
      <c r="U77" s="658"/>
      <c r="V77" s="658"/>
      <c r="W77" s="658"/>
      <c r="X77" s="658"/>
      <c r="Y77" s="658"/>
      <c r="Z77" s="658"/>
      <c r="AA77" s="658"/>
      <c r="AB77" s="658"/>
      <c r="AC77" s="658"/>
      <c r="AD77" s="658"/>
      <c r="AE77" s="658"/>
      <c r="AF77" s="658"/>
      <c r="AG77" s="739"/>
      <c r="AH77" s="658"/>
      <c r="AI77" s="658"/>
      <c r="AJ77" s="658" t="s">
        <v>1360</v>
      </c>
      <c r="AK77" s="658"/>
      <c r="AL77" s="658"/>
      <c r="AM77" s="658"/>
      <c r="AN77" s="662"/>
      <c r="AO77" s="658"/>
      <c r="AP77" s="658"/>
      <c r="AQ77" s="665"/>
      <c r="AR77" s="663"/>
      <c r="AS77" s="663"/>
      <c r="AT77" s="665"/>
      <c r="AU77" s="663"/>
      <c r="AV77" s="663"/>
      <c r="AW77" s="663"/>
      <c r="AX77" s="684"/>
      <c r="AY77" s="665"/>
      <c r="AZ77" s="665"/>
      <c r="BA77" s="670"/>
      <c r="BB77" s="658"/>
      <c r="BC77" s="169"/>
      <c r="BD77" s="1330"/>
      <c r="BE77" s="1330"/>
      <c r="BF77" s="1330"/>
      <c r="BG77" s="1330"/>
    </row>
    <row r="78" spans="1:59" ht="15.75" customHeight="1">
      <c r="A78" s="658"/>
      <c r="B78" s="666" t="s">
        <v>4939</v>
      </c>
      <c r="C78" s="660">
        <f>C76+25</f>
        <v>86720.85</v>
      </c>
      <c r="D78" s="661"/>
      <c r="E78" s="661"/>
      <c r="F78" s="661"/>
      <c r="G78" s="662"/>
      <c r="H78" s="658"/>
      <c r="I78" s="661"/>
      <c r="J78" s="660"/>
      <c r="K78" s="663"/>
      <c r="L78" s="663" t="s">
        <v>4420</v>
      </c>
      <c r="M78" s="663" t="s">
        <v>4399</v>
      </c>
      <c r="N78" s="658"/>
      <c r="O78" s="658"/>
      <c r="P78" s="658"/>
      <c r="Q78" s="658"/>
      <c r="R78" s="658"/>
      <c r="S78" s="662"/>
      <c r="T78" s="658"/>
      <c r="U78" s="658"/>
      <c r="V78" s="658"/>
      <c r="W78" s="658"/>
      <c r="X78" s="658"/>
      <c r="Y78" s="658"/>
      <c r="Z78" s="658"/>
      <c r="AA78" s="658"/>
      <c r="AB78" s="658"/>
      <c r="AC78" s="658"/>
      <c r="AD78" s="658"/>
      <c r="AE78" s="658"/>
      <c r="AF78" s="658"/>
      <c r="AG78" s="739"/>
      <c r="AH78" s="658"/>
      <c r="AI78" s="658"/>
      <c r="AJ78" s="658"/>
      <c r="AK78" s="658"/>
      <c r="AL78" s="658"/>
      <c r="AM78" s="658"/>
      <c r="AN78" s="662"/>
      <c r="AO78" s="658"/>
      <c r="AP78" s="658"/>
      <c r="AQ78" s="665"/>
      <c r="AR78" s="663"/>
      <c r="AS78" s="663"/>
      <c r="AT78" s="665"/>
      <c r="AU78" s="663"/>
      <c r="AV78" s="663"/>
      <c r="AW78" s="663" t="str">
        <f>VLOOKUP(C78,'Foundation Calculation'!$A$2:$C$33,3,1)</f>
        <v>Soil B</v>
      </c>
      <c r="AX78" s="684" t="str">
        <f>VLOOKUP(C78,'Foundation Calculation'!$E$2:$G$33,3,1)</f>
        <v>PT</v>
      </c>
      <c r="AY78" s="665">
        <v>1.2</v>
      </c>
      <c r="AZ78" s="665"/>
      <c r="BA78" s="670" t="s">
        <v>2809</v>
      </c>
      <c r="BB78" s="658"/>
      <c r="BC78" s="169"/>
      <c r="BD78" s="1329">
        <v>43813</v>
      </c>
      <c r="BE78" s="1329"/>
      <c r="BF78" s="1330"/>
      <c r="BG78" s="1330"/>
    </row>
    <row r="79" spans="1:59" ht="15.75" customHeight="1">
      <c r="A79" s="658"/>
      <c r="B79" s="666"/>
      <c r="C79" s="660"/>
      <c r="D79" s="661"/>
      <c r="E79" s="661"/>
      <c r="F79" s="661"/>
      <c r="G79" s="662">
        <v>56.7</v>
      </c>
      <c r="H79" s="658"/>
      <c r="I79" s="661"/>
      <c r="J79" s="660"/>
      <c r="K79" s="663"/>
      <c r="L79" s="658"/>
      <c r="M79" s="658"/>
      <c r="N79" s="658"/>
      <c r="O79" s="658"/>
      <c r="P79" s="658"/>
      <c r="Q79" s="658"/>
      <c r="R79" s="658"/>
      <c r="S79" s="662"/>
      <c r="T79" s="658"/>
      <c r="U79" s="658"/>
      <c r="V79" s="658"/>
      <c r="W79" s="658"/>
      <c r="X79" s="658"/>
      <c r="Y79" s="658"/>
      <c r="Z79" s="658"/>
      <c r="AA79" s="658"/>
      <c r="AB79" s="658"/>
      <c r="AC79" s="658"/>
      <c r="AD79" s="658"/>
      <c r="AE79" s="658"/>
      <c r="AF79" s="658"/>
      <c r="AG79" s="739"/>
      <c r="AH79" s="658"/>
      <c r="AI79" s="658"/>
      <c r="AJ79" s="658"/>
      <c r="AK79" s="658"/>
      <c r="AL79" s="658"/>
      <c r="AM79" s="658"/>
      <c r="AN79" s="662"/>
      <c r="AO79" s="658"/>
      <c r="AP79" s="658"/>
      <c r="AQ79" s="665">
        <f>+FL_1($T$80,$U$76,$G$79,1200,9.28, 1*$F$80)</f>
        <v>0.38785131754526286</v>
      </c>
      <c r="AR79" s="663"/>
      <c r="AS79" s="663"/>
      <c r="AT79" s="665"/>
      <c r="AU79" s="663"/>
      <c r="AV79" s="663"/>
      <c r="AW79" s="663"/>
      <c r="AX79" s="663"/>
      <c r="AY79" s="665"/>
      <c r="AZ79" s="665"/>
      <c r="BA79" s="670"/>
      <c r="BB79" s="658"/>
      <c r="BC79" s="169"/>
      <c r="BD79" s="1330"/>
      <c r="BE79" s="1330"/>
      <c r="BF79" s="1330"/>
      <c r="BG79" s="1330"/>
    </row>
    <row r="80" spans="1:59" ht="15.75" customHeight="1">
      <c r="A80" s="658"/>
      <c r="B80" s="666" t="s">
        <v>3144</v>
      </c>
      <c r="C80" s="660">
        <f>+$C$76+$G$79</f>
        <v>86752.55</v>
      </c>
      <c r="D80" s="661"/>
      <c r="E80" s="661"/>
      <c r="F80" s="661">
        <v>-17508</v>
      </c>
      <c r="G80" s="662"/>
      <c r="H80" s="658" t="s">
        <v>138</v>
      </c>
      <c r="I80" s="661" t="s">
        <v>623</v>
      </c>
      <c r="J80" s="660"/>
      <c r="K80" s="663"/>
      <c r="L80" s="663" t="s">
        <v>898</v>
      </c>
      <c r="M80" s="663" t="str">
        <f>IF(AX80="PT",VLOOKUP(L80,'Foundation Calculation'!$V$2:$X$40,VLOOKUP(AX80,'Foundation Calculation'!$I$10:$J$13,2,FALSE),0),IF(AX80="K",VLOOKUP(L80,'Foundation Calculation'!$V$42:$X$80,VLOOKUP(AX80,'Foundation Calculation'!$I$10:$J$13,2,FALSE),0),""))</f>
        <v>C4R</v>
      </c>
      <c r="N80" s="658" t="s">
        <v>144</v>
      </c>
      <c r="O80" s="658"/>
      <c r="P80" s="658"/>
      <c r="Q80" s="658">
        <v>0</v>
      </c>
      <c r="R80" s="658">
        <v>0</v>
      </c>
      <c r="S80" s="662"/>
      <c r="T80" s="658">
        <v>30</v>
      </c>
      <c r="U80" s="658"/>
      <c r="V80" s="658"/>
      <c r="W80" s="658">
        <v>0.6</v>
      </c>
      <c r="X80" s="658"/>
      <c r="Y80" s="658"/>
      <c r="Z80" s="658"/>
      <c r="AA80" s="658"/>
      <c r="AB80" s="658"/>
      <c r="AC80" s="658" t="s">
        <v>1421</v>
      </c>
      <c r="AD80" s="658"/>
      <c r="AE80" s="658"/>
      <c r="AF80" s="658">
        <v>6200</v>
      </c>
      <c r="AG80" s="739">
        <v>86752</v>
      </c>
      <c r="AH80" s="658">
        <v>2513</v>
      </c>
      <c r="AI80" s="658">
        <v>570</v>
      </c>
      <c r="AJ80" s="658"/>
      <c r="AK80" s="658"/>
      <c r="AL80" s="658"/>
      <c r="AM80" s="658" t="s">
        <v>1042</v>
      </c>
      <c r="AN80" s="662">
        <v>5.15</v>
      </c>
      <c r="AO80" s="658"/>
      <c r="AP80" s="658"/>
      <c r="AQ80" s="665"/>
      <c r="AR80" s="663"/>
      <c r="AS80" s="663"/>
      <c r="AT80" s="665">
        <f>+ab($T$80,$T$76,$T$82,$G$79,$G$81, 1*$F$80,1200)</f>
        <v>13.494376460938192</v>
      </c>
      <c r="AU80" s="663"/>
      <c r="AV80" s="663"/>
      <c r="AW80" s="663" t="str">
        <f>VLOOKUP(C80,'Foundation Calculation'!$A$2:$C$33,3,1)</f>
        <v>Soil B</v>
      </c>
      <c r="AX80" s="684" t="str">
        <f>VLOOKUP(C80,'Foundation Calculation'!$E$2:$G$33,3,1)</f>
        <v>PT</v>
      </c>
      <c r="AY80" s="665">
        <f>IF(AX80="PT",VLOOKUP(L80,'Foundation Calculation'!$K$2:$R$40,VLOOKUP(AW80,'Foundation Calculation'!$I$2:$J$8,2,FALSE),0),IF(AX80="K",VLOOKUP(L80,'Foundation Calculation'!$K$42:$R$80,VLOOKUP(AW80,'Foundation Calculation'!$I$2:$J$8,2,FALSE),0),""))</f>
        <v>3.5</v>
      </c>
      <c r="AZ80" s="665"/>
      <c r="BA80" s="670" t="s">
        <v>2809</v>
      </c>
      <c r="BB80" s="658" t="str">
        <f>Pole_Calculations!A20</f>
        <v>App.7-V11A-P9.5.1.6</v>
      </c>
      <c r="BC80" s="169"/>
      <c r="BD80" s="1329">
        <v>43813</v>
      </c>
      <c r="BE80" s="1329"/>
      <c r="BF80" s="1330"/>
      <c r="BG80" s="1330"/>
    </row>
    <row r="81" spans="1:59" ht="15.75" customHeight="1">
      <c r="A81" s="495"/>
      <c r="B81" s="494"/>
      <c r="C81" s="489"/>
      <c r="D81" s="492"/>
      <c r="E81" s="492"/>
      <c r="F81" s="492"/>
      <c r="G81" s="457">
        <v>45</v>
      </c>
      <c r="H81" s="495"/>
      <c r="I81" s="492"/>
      <c r="J81" s="489">
        <f>C80+7.5</f>
        <v>86760.05</v>
      </c>
      <c r="K81" s="490" t="s">
        <v>2787</v>
      </c>
      <c r="L81" s="490"/>
      <c r="M81" s="490"/>
      <c r="N81" s="495"/>
      <c r="O81" s="495"/>
      <c r="P81" s="495"/>
      <c r="Q81" s="495"/>
      <c r="R81" s="495"/>
      <c r="S81" s="457"/>
      <c r="T81" s="495"/>
      <c r="U81" s="495"/>
      <c r="V81" s="495"/>
      <c r="W81" s="495"/>
      <c r="X81" s="495"/>
      <c r="Y81" s="495"/>
      <c r="Z81" s="495"/>
      <c r="AA81" s="495"/>
      <c r="AB81" s="495"/>
      <c r="AC81" s="495"/>
      <c r="AD81" s="495"/>
      <c r="AE81" s="495"/>
      <c r="AF81" s="495"/>
      <c r="AG81" s="431"/>
      <c r="AH81" s="495"/>
      <c r="AI81" s="495"/>
      <c r="AJ81" s="495"/>
      <c r="AK81" s="495"/>
      <c r="AL81" s="495"/>
      <c r="AM81" s="495"/>
      <c r="AN81" s="457"/>
      <c r="AO81" s="495"/>
      <c r="AP81" s="495"/>
      <c r="AQ81" s="493">
        <f>+FL_1($T$82,$T$80,$G$81,1200,9.28, 1*$F$82)</f>
        <v>0.31069252799999991</v>
      </c>
      <c r="AR81" s="493"/>
      <c r="AS81" s="493"/>
      <c r="AT81" s="493"/>
      <c r="AU81" s="490"/>
      <c r="AV81" s="490"/>
      <c r="AW81" s="490" t="str">
        <f>VLOOKUP(J81,'Foundation Calculation'!$A$2:$C$33,3,1)</f>
        <v>Soil B</v>
      </c>
      <c r="AX81" s="490" t="str">
        <f>VLOOKUP(J81,'Foundation Calculation'!$E$2:$G$33,3,1)</f>
        <v>PT</v>
      </c>
      <c r="AY81" s="493"/>
      <c r="AZ81" s="493">
        <f>IF(AX81="PT",VLOOKUP(K81,'Foundation Calculation'!$K$2:$R$40,VLOOKUP(AW81,'Foundation Calculation'!$I$2:$J$8,2,FALSE),0),IF(AX81="K",VLOOKUP(K81,'Foundation Calculation'!$K$42:$R$80,VLOOKUP(AW81,'Foundation Calculation'!$I$2:$J$8,2,FALSE),0),""))</f>
        <v>3.9</v>
      </c>
      <c r="BA81" s="602" t="s">
        <v>2809</v>
      </c>
      <c r="BB81" s="495"/>
      <c r="BC81" s="169"/>
      <c r="BD81" s="1329">
        <v>43813</v>
      </c>
      <c r="BE81" s="1330"/>
      <c r="BF81" s="1330"/>
      <c r="BG81" s="1330"/>
    </row>
    <row r="82" spans="1:59" ht="15.75" customHeight="1">
      <c r="A82" s="488" t="s">
        <v>1851</v>
      </c>
      <c r="B82" s="494" t="s">
        <v>3145</v>
      </c>
      <c r="C82" s="489">
        <f>+$C$80+$G$81</f>
        <v>86797.55</v>
      </c>
      <c r="D82" s="492"/>
      <c r="E82" s="492"/>
      <c r="F82" s="492">
        <v>0</v>
      </c>
      <c r="G82" s="457"/>
      <c r="H82" s="495"/>
      <c r="I82" s="492"/>
      <c r="J82" s="489"/>
      <c r="K82" s="490"/>
      <c r="L82" s="495" t="s">
        <v>234</v>
      </c>
      <c r="M82" s="490"/>
      <c r="N82" s="495" t="s">
        <v>633</v>
      </c>
      <c r="O82" s="495"/>
      <c r="P82" s="495"/>
      <c r="Q82" s="495">
        <v>0</v>
      </c>
      <c r="R82" s="495">
        <v>0</v>
      </c>
      <c r="S82" s="457"/>
      <c r="T82" s="495">
        <v>-30</v>
      </c>
      <c r="U82" s="495"/>
      <c r="V82" s="495"/>
      <c r="W82" s="495">
        <v>0.6</v>
      </c>
      <c r="X82" s="495"/>
      <c r="Y82" s="495"/>
      <c r="Z82" s="495"/>
      <c r="AA82" s="495"/>
      <c r="AB82" s="495"/>
      <c r="AC82" s="495" t="s">
        <v>4115</v>
      </c>
      <c r="AD82" s="495"/>
      <c r="AE82" s="495"/>
      <c r="AF82" s="495">
        <v>900</v>
      </c>
      <c r="AG82" s="431">
        <v>86787</v>
      </c>
      <c r="AH82" s="495">
        <v>1753</v>
      </c>
      <c r="AI82" s="495">
        <v>-4780</v>
      </c>
      <c r="AJ82" s="495"/>
      <c r="AK82" s="495"/>
      <c r="AL82" s="495"/>
      <c r="AM82" s="495" t="s">
        <v>2880</v>
      </c>
      <c r="AN82" s="457">
        <v>5.15</v>
      </c>
      <c r="AO82" s="495"/>
      <c r="AP82" s="495"/>
      <c r="AQ82" s="493"/>
      <c r="AR82" s="493"/>
      <c r="AS82" s="493"/>
      <c r="AT82" s="493">
        <f>+ab($T$82,$T$80,$T$84,$G$81,$G$83, 1*$F$82,1200)</f>
        <v>-7.8015933333575376</v>
      </c>
      <c r="AU82" s="490"/>
      <c r="AV82" s="490"/>
      <c r="AW82" s="493"/>
      <c r="AX82" s="493"/>
      <c r="AY82" s="493"/>
      <c r="AZ82" s="493"/>
      <c r="BA82" s="602"/>
      <c r="BB82" s="488"/>
      <c r="BC82" s="169"/>
      <c r="BD82" s="1330"/>
      <c r="BE82" s="1329"/>
      <c r="BF82" s="1330"/>
      <c r="BG82" s="1329"/>
    </row>
    <row r="83" spans="1:59" ht="15.75" customHeight="1">
      <c r="A83" s="495"/>
      <c r="B83" s="494"/>
      <c r="C83" s="489"/>
      <c r="D83" s="492"/>
      <c r="E83" s="492"/>
      <c r="F83" s="492"/>
      <c r="G83" s="457">
        <v>45</v>
      </c>
      <c r="H83" s="495"/>
      <c r="I83" s="492"/>
      <c r="J83" s="489"/>
      <c r="K83" s="490"/>
      <c r="L83" s="490"/>
      <c r="M83" s="490"/>
      <c r="N83" s="495"/>
      <c r="O83" s="495"/>
      <c r="P83" s="495"/>
      <c r="Q83" s="495"/>
      <c r="R83" s="495"/>
      <c r="S83" s="457">
        <f>AG84-AG82</f>
        <v>55</v>
      </c>
      <c r="T83" s="495"/>
      <c r="U83" s="495"/>
      <c r="V83" s="495"/>
      <c r="W83" s="495"/>
      <c r="X83" s="495"/>
      <c r="Y83" s="495"/>
      <c r="Z83" s="495"/>
      <c r="AA83" s="495"/>
      <c r="AB83" s="495"/>
      <c r="AC83" s="495" t="s">
        <v>5024</v>
      </c>
      <c r="AD83" s="495"/>
      <c r="AE83" s="495"/>
      <c r="AF83" s="495"/>
      <c r="AG83" s="431"/>
      <c r="AH83" s="495"/>
      <c r="AI83" s="495"/>
      <c r="AJ83" s="495"/>
      <c r="AK83" s="495"/>
      <c r="AL83" s="495"/>
      <c r="AM83" s="495"/>
      <c r="AN83" s="457"/>
      <c r="AO83" s="495"/>
      <c r="AP83" s="495"/>
      <c r="AQ83" s="493">
        <f>+FL_2($T$84,$T$82,$G$83,1200,9.28, 1*$F$84)</f>
        <v>-0.3640041678618432</v>
      </c>
      <c r="AR83" s="493"/>
      <c r="AS83" s="493"/>
      <c r="AT83" s="493"/>
      <c r="AU83" s="490"/>
      <c r="AV83" s="490"/>
      <c r="AW83" s="493"/>
      <c r="AX83" s="493"/>
      <c r="AY83" s="493"/>
      <c r="AZ83" s="493"/>
      <c r="BA83" s="602"/>
      <c r="BB83" s="495"/>
      <c r="BC83" s="169"/>
      <c r="BD83" s="1330"/>
      <c r="BE83" s="1330"/>
      <c r="BF83" s="1330"/>
      <c r="BG83" s="1330"/>
    </row>
    <row r="84" spans="1:59" ht="15.75" customHeight="1">
      <c r="A84" s="658" t="s">
        <v>3517</v>
      </c>
      <c r="B84" s="666" t="s">
        <v>3146</v>
      </c>
      <c r="C84" s="660">
        <f>+$C$82+$G$83</f>
        <v>86842.55</v>
      </c>
      <c r="D84" s="661"/>
      <c r="E84" s="661"/>
      <c r="F84" s="661">
        <v>4500</v>
      </c>
      <c r="G84" s="662"/>
      <c r="H84" s="658"/>
      <c r="I84" s="661"/>
      <c r="J84" s="660"/>
      <c r="K84" s="663"/>
      <c r="L84" s="663" t="s">
        <v>230</v>
      </c>
      <c r="M84" s="663" t="str">
        <f>IF(AX84="PT",VLOOKUP(L84,'Foundation Calculation'!$V$2:$X$40,VLOOKUP(AX84,'Foundation Calculation'!$I$10:$J$13,2,FALSE),0),IF(AX84="K",VLOOKUP(L84,'Foundation Calculation'!$V$42:$X$80,VLOOKUP(AX84,'Foundation Calculation'!$I$10:$J$13,2,FALSE),0),""))</f>
        <v>C4R</v>
      </c>
      <c r="N84" s="663" t="s">
        <v>144</v>
      </c>
      <c r="O84" s="658"/>
      <c r="P84" s="658"/>
      <c r="Q84" s="658">
        <v>0</v>
      </c>
      <c r="R84" s="658">
        <v>535.9</v>
      </c>
      <c r="S84" s="662"/>
      <c r="T84" s="658">
        <v>20</v>
      </c>
      <c r="U84" s="658"/>
      <c r="V84" s="658"/>
      <c r="W84" s="658">
        <v>0.6</v>
      </c>
      <c r="X84" s="658"/>
      <c r="Y84" s="658"/>
      <c r="Z84" s="658"/>
      <c r="AA84" s="658"/>
      <c r="AB84" s="658"/>
      <c r="AC84" s="658" t="s">
        <v>3050</v>
      </c>
      <c r="AD84" s="658"/>
      <c r="AE84" s="658"/>
      <c r="AF84" s="658">
        <v>7400</v>
      </c>
      <c r="AG84" s="739">
        <v>86842</v>
      </c>
      <c r="AH84" s="658">
        <v>2593</v>
      </c>
      <c r="AI84" s="658">
        <v>1760</v>
      </c>
      <c r="AJ84" s="658"/>
      <c r="AK84" s="658"/>
      <c r="AL84" s="658"/>
      <c r="AM84" s="658" t="s">
        <v>1042</v>
      </c>
      <c r="AN84" s="662">
        <v>5.15</v>
      </c>
      <c r="AO84" s="658"/>
      <c r="AP84" s="658"/>
      <c r="AQ84" s="665"/>
      <c r="AR84" s="665"/>
      <c r="AS84" s="665"/>
      <c r="AT84" s="665">
        <f>+ab($T$84,$T$82,$T$86,$G$83,$G$85, 1*$F$84,1200)</f>
        <v>9.0614338484185843</v>
      </c>
      <c r="AU84" s="663"/>
      <c r="AV84" s="663"/>
      <c r="AW84" s="663" t="str">
        <f>VLOOKUP(C84,'Foundation Calculation'!$A$2:$C$33,3,1)</f>
        <v>Soil B</v>
      </c>
      <c r="AX84" s="684" t="str">
        <f>VLOOKUP(C84,'Foundation Calculation'!$E$2:$G$33,3,1)</f>
        <v>PT</v>
      </c>
      <c r="AY84" s="665">
        <f>IF(AX84="PT",VLOOKUP(L84,'Foundation Calculation'!$K$2:$R$40,VLOOKUP(AW84,'Foundation Calculation'!$I$2:$J$8,2,FALSE),0),IF(AX84="K",VLOOKUP(L84,'Foundation Calculation'!$K$42:$R$80,VLOOKUP(AW84,'Foundation Calculation'!$I$2:$J$8,2,FALSE),0),""))</f>
        <v>3.5</v>
      </c>
      <c r="AZ84" s="665"/>
      <c r="BA84" s="670" t="s">
        <v>2809</v>
      </c>
      <c r="BB84" s="658" t="str">
        <f>Pole_Calculations!A15</f>
        <v>App.7-V11A-P9.5.1.1</v>
      </c>
      <c r="BC84" s="169"/>
      <c r="BD84" s="1329">
        <v>43813</v>
      </c>
      <c r="BE84" s="1329"/>
      <c r="BF84" s="1330"/>
      <c r="BG84" s="1329"/>
    </row>
    <row r="85" spans="1:59" ht="15.75" customHeight="1">
      <c r="A85" s="1239"/>
      <c r="B85" s="445"/>
      <c r="C85" s="446"/>
      <c r="D85" s="448"/>
      <c r="E85" s="448"/>
      <c r="F85" s="448"/>
      <c r="G85" s="455">
        <v>44</v>
      </c>
      <c r="H85" s="1239"/>
      <c r="I85" s="448"/>
      <c r="J85" s="446"/>
      <c r="K85" s="638"/>
      <c r="L85" s="638"/>
      <c r="M85" s="638"/>
      <c r="N85" s="638"/>
      <c r="O85" s="1239"/>
      <c r="P85" s="1239"/>
      <c r="Q85" s="1239"/>
      <c r="R85" s="1239"/>
      <c r="S85" s="1352">
        <f>AG86-AG84</f>
        <v>44.429999999993015</v>
      </c>
      <c r="T85" s="1239"/>
      <c r="U85" s="1239"/>
      <c r="V85" s="1239"/>
      <c r="W85" s="1239"/>
      <c r="X85" s="1239"/>
      <c r="Y85" s="1239"/>
      <c r="Z85" s="1239"/>
      <c r="AA85" s="1239"/>
      <c r="AB85" s="1239"/>
      <c r="AC85" s="1239"/>
      <c r="AD85" s="1239"/>
      <c r="AE85" s="1239"/>
      <c r="AF85" s="1239"/>
      <c r="AG85" s="171"/>
      <c r="AH85" s="1239"/>
      <c r="AI85" s="1239"/>
      <c r="AJ85" s="1239"/>
      <c r="AK85" s="1239"/>
      <c r="AL85" s="1239"/>
      <c r="AM85" s="1239"/>
      <c r="AN85" s="455"/>
      <c r="AO85" s="1239"/>
      <c r="AP85" s="1239"/>
      <c r="AQ85" s="484">
        <f>+FL_1($T$86,$T$84,$G$85,1200,9.28, 1*$F$86)</f>
        <v>0.33336856754587563</v>
      </c>
      <c r="AR85" s="484"/>
      <c r="AS85" s="484"/>
      <c r="AT85" s="484"/>
      <c r="AU85" s="638"/>
      <c r="AV85" s="638"/>
      <c r="AW85" s="484"/>
      <c r="AX85" s="484"/>
      <c r="AY85" s="484"/>
      <c r="AZ85" s="484"/>
      <c r="BA85" s="671"/>
      <c r="BB85" s="1239"/>
      <c r="BC85" s="169"/>
      <c r="BD85" s="1330"/>
      <c r="BE85" s="1330"/>
      <c r="BF85" s="1330"/>
      <c r="BG85" s="1330"/>
    </row>
    <row r="86" spans="1:59" ht="15.75" customHeight="1">
      <c r="A86" s="1239"/>
      <c r="B86" s="445" t="s">
        <v>3147</v>
      </c>
      <c r="C86" s="446">
        <f>+$C$84+$G$85</f>
        <v>86886.55</v>
      </c>
      <c r="D86" s="448"/>
      <c r="E86" s="448"/>
      <c r="F86" s="448">
        <v>4500</v>
      </c>
      <c r="G86" s="455"/>
      <c r="H86" s="1239"/>
      <c r="I86" s="448"/>
      <c r="J86" s="446"/>
      <c r="K86" s="638"/>
      <c r="L86" s="638" t="s">
        <v>229</v>
      </c>
      <c r="M86" s="638" t="str">
        <f>IF(AX86="PT",VLOOKUP(L86,'Foundation Calculation'!$V$2:$X$40,VLOOKUP(AX86,'Foundation Calculation'!$I$10:$J$13,2,FALSE),0),IF(AX86="K",VLOOKUP(L86,'Foundation Calculation'!$V$42:$X$80,VLOOKUP(AX86,'Foundation Calculation'!$I$10:$J$13,2,FALSE),0),""))</f>
        <v>C3R</v>
      </c>
      <c r="N86" s="638" t="s">
        <v>2797</v>
      </c>
      <c r="O86" s="1239"/>
      <c r="P86" s="1239"/>
      <c r="Q86" s="1239">
        <v>10</v>
      </c>
      <c r="R86" s="1239">
        <v>4250</v>
      </c>
      <c r="S86" s="455"/>
      <c r="T86" s="1239">
        <v>20</v>
      </c>
      <c r="U86" s="1239"/>
      <c r="V86" s="1239"/>
      <c r="W86" s="1239">
        <v>0.7</v>
      </c>
      <c r="X86" s="1239"/>
      <c r="Y86" s="1239"/>
      <c r="Z86" s="1239"/>
      <c r="AA86" s="1239"/>
      <c r="AB86" s="1239"/>
      <c r="AC86" s="1239" t="s">
        <v>1417</v>
      </c>
      <c r="AD86" s="1239"/>
      <c r="AE86" s="1239"/>
      <c r="AF86" s="1239">
        <v>6400</v>
      </c>
      <c r="AG86" s="171">
        <v>86886.43</v>
      </c>
      <c r="AH86" s="1239">
        <v>2613</v>
      </c>
      <c r="AI86" s="1239">
        <v>560</v>
      </c>
      <c r="AJ86" s="1239"/>
      <c r="AK86" s="1239"/>
      <c r="AL86" s="1239"/>
      <c r="AM86" s="1239" t="s">
        <v>1042</v>
      </c>
      <c r="AN86" s="455">
        <v>5.21</v>
      </c>
      <c r="AO86" s="1239"/>
      <c r="AP86" s="1239"/>
      <c r="AQ86" s="484"/>
      <c r="AR86" s="484"/>
      <c r="AS86" s="484"/>
      <c r="AT86" s="484">
        <f>+ab($T$86,$T$84,$T$88,$G$85,$G$87, 1*$F$86,1200)</f>
        <v>18.90774463405927</v>
      </c>
      <c r="AU86" s="638"/>
      <c r="AV86" s="638"/>
      <c r="AW86" s="484" t="str">
        <f>VLOOKUP(C86,'Foundation Calculation'!$A$2:$C$33,3,1)</f>
        <v>Soil B</v>
      </c>
      <c r="AX86" s="484" t="str">
        <f>VLOOKUP(C86,'Foundation Calculation'!$E$2:$G$33,3,1)</f>
        <v>PT</v>
      </c>
      <c r="AY86" s="484">
        <f>IF(AX86="PT",VLOOKUP(L86,'Foundation Calculation'!$K$2:$R$40,VLOOKUP(AW86,'Foundation Calculation'!$I$2:$J$8,2,FALSE),0),IF(AX86="K",VLOOKUP(L86,'Foundation Calculation'!$K$42:$R$80,VLOOKUP(AW86,'Foundation Calculation'!$I$2:$J$8,2,FALSE),0),""))</f>
        <v>3.5</v>
      </c>
      <c r="AZ86" s="484"/>
      <c r="BA86" s="671" t="s">
        <v>2809</v>
      </c>
      <c r="BB86" s="1239" t="str">
        <f>Pole_Calculations!A15</f>
        <v>App.7-V11A-P9.5.1.1</v>
      </c>
      <c r="BC86" s="169"/>
      <c r="BD86" s="1329">
        <v>43813</v>
      </c>
      <c r="BE86" s="1329"/>
      <c r="BF86" s="1330"/>
      <c r="BG86" s="1329">
        <v>43870</v>
      </c>
    </row>
    <row r="87" spans="1:59" ht="15.75" customHeight="1">
      <c r="A87" s="1239"/>
      <c r="B87" s="445"/>
      <c r="C87" s="446"/>
      <c r="D87" s="448"/>
      <c r="E87" s="448"/>
      <c r="F87" s="448"/>
      <c r="G87" s="455">
        <v>44</v>
      </c>
      <c r="H87" s="1239"/>
      <c r="I87" s="448"/>
      <c r="J87" s="446"/>
      <c r="K87" s="638"/>
      <c r="L87" s="638"/>
      <c r="M87" s="638"/>
      <c r="N87" s="638"/>
      <c r="O87" s="1239"/>
      <c r="P87" s="1239"/>
      <c r="Q87" s="1239"/>
      <c r="R87" s="1239"/>
      <c r="S87" s="1352">
        <f t="shared" ref="S87" si="6">AG88-AG86</f>
        <v>43.89000000001397</v>
      </c>
      <c r="T87" s="1239"/>
      <c r="U87" s="1239"/>
      <c r="V87" s="1239"/>
      <c r="W87" s="1239"/>
      <c r="X87" s="1239"/>
      <c r="Y87" s="1239"/>
      <c r="Z87" s="1239"/>
      <c r="AA87" s="1239"/>
      <c r="AB87" s="1239"/>
      <c r="AC87" s="1239"/>
      <c r="AD87" s="1239"/>
      <c r="AE87" s="1239"/>
      <c r="AF87" s="1239"/>
      <c r="AG87" s="171"/>
      <c r="AH87" s="1239"/>
      <c r="AI87" s="1239"/>
      <c r="AJ87" s="1239"/>
      <c r="AK87" s="1239"/>
      <c r="AL87" s="1239"/>
      <c r="AM87" s="1239"/>
      <c r="AN87" s="455"/>
      <c r="AO87" s="1239"/>
      <c r="AP87" s="1239"/>
      <c r="AQ87" s="484">
        <f>+FL_1($T$88,$T$86,$G$87,1200,9.28, 1*$F$88)</f>
        <v>0.33336856754587563</v>
      </c>
      <c r="AR87" s="484"/>
      <c r="AS87" s="484"/>
      <c r="AT87" s="484"/>
      <c r="AU87" s="638"/>
      <c r="AV87" s="638"/>
      <c r="AW87" s="484"/>
      <c r="AX87" s="484"/>
      <c r="AY87" s="484"/>
      <c r="AZ87" s="484"/>
      <c r="BA87" s="671"/>
      <c r="BB87" s="1239"/>
      <c r="BC87" s="169"/>
      <c r="BD87" s="1330"/>
      <c r="BE87" s="1330"/>
      <c r="BF87" s="1330"/>
      <c r="BG87" s="1330"/>
    </row>
    <row r="88" spans="1:59" ht="15.75" customHeight="1">
      <c r="A88" s="1239"/>
      <c r="B88" s="445" t="s">
        <v>3148</v>
      </c>
      <c r="C88" s="446">
        <f>+$C$86+$G$87</f>
        <v>86930.55</v>
      </c>
      <c r="D88" s="448"/>
      <c r="E88" s="448"/>
      <c r="F88" s="448">
        <v>4500</v>
      </c>
      <c r="G88" s="455"/>
      <c r="H88" s="1239"/>
      <c r="I88" s="448" t="s">
        <v>1039</v>
      </c>
      <c r="J88" s="446">
        <f>C88+7.5</f>
        <v>86938.05</v>
      </c>
      <c r="K88" s="638" t="s">
        <v>2788</v>
      </c>
      <c r="L88" s="638" t="s">
        <v>229</v>
      </c>
      <c r="M88" s="638" t="str">
        <f>IF(AX88="PT",VLOOKUP(L88,'Foundation Calculation'!$V$2:$X$40,VLOOKUP(AX88,'Foundation Calculation'!$I$10:$J$13,2,FALSE),0),IF(AX88="K",VLOOKUP(L88,'Foundation Calculation'!$V$42:$X$80,VLOOKUP(AX88,'Foundation Calculation'!$I$10:$J$13,2,FALSE),0),""))</f>
        <v>C3R</v>
      </c>
      <c r="N88" s="638" t="s">
        <v>2797</v>
      </c>
      <c r="O88" s="1239"/>
      <c r="P88" s="1239"/>
      <c r="Q88" s="1239">
        <v>0</v>
      </c>
      <c r="R88" s="1239">
        <v>0</v>
      </c>
      <c r="S88" s="455"/>
      <c r="T88" s="1239">
        <v>20</v>
      </c>
      <c r="U88" s="1239"/>
      <c r="V88" s="1239"/>
      <c r="W88" s="1239">
        <v>0.8</v>
      </c>
      <c r="X88" s="1239"/>
      <c r="Y88" s="1239"/>
      <c r="Z88" s="1239"/>
      <c r="AA88" s="1239"/>
      <c r="AB88" s="1239"/>
      <c r="AC88" s="1239" t="s">
        <v>1421</v>
      </c>
      <c r="AD88" s="1239"/>
      <c r="AE88" s="1239"/>
      <c r="AF88" s="1239">
        <v>6500</v>
      </c>
      <c r="AG88" s="171">
        <v>86930.32</v>
      </c>
      <c r="AH88" s="1239">
        <v>2653</v>
      </c>
      <c r="AI88" s="1239">
        <v>510</v>
      </c>
      <c r="AJ88" s="1239"/>
      <c r="AK88" s="1239"/>
      <c r="AL88" s="1239"/>
      <c r="AM88" s="1239" t="s">
        <v>1042</v>
      </c>
      <c r="AN88" s="455">
        <v>5.32</v>
      </c>
      <c r="AO88" s="1239"/>
      <c r="AP88" s="1239"/>
      <c r="AQ88" s="484"/>
      <c r="AR88" s="484"/>
      <c r="AS88" s="484"/>
      <c r="AT88" s="484">
        <f>+ab($T$88,$T$86,$T$90,$G$87,$G$89, 1*$F$88,1200)</f>
        <v>18.788712488382888</v>
      </c>
      <c r="AU88" s="638"/>
      <c r="AV88" s="638"/>
      <c r="AW88" s="484" t="str">
        <f>VLOOKUP(C88,'Foundation Calculation'!$A$2:$C$33,3,1)</f>
        <v>Soil B</v>
      </c>
      <c r="AX88" s="484" t="str">
        <f>VLOOKUP(C88,'Foundation Calculation'!$E$2:$G$33,3,1)</f>
        <v>PT</v>
      </c>
      <c r="AY88" s="484">
        <f>IF(AX88="PT",VLOOKUP(L88,'Foundation Calculation'!$K$2:$R$40,VLOOKUP(AW88,'Foundation Calculation'!$I$2:$J$8,2,FALSE),0),IF(AX88="K",VLOOKUP(L88,'Foundation Calculation'!$K$42:$R$80,VLOOKUP(AW88,'Foundation Calculation'!$I$2:$J$8,2,FALSE),0),""))</f>
        <v>3.5</v>
      </c>
      <c r="AZ88" s="484">
        <f>IF(AX88="PT",VLOOKUP(K88,'Foundation Calculation'!$K$2:$R$40,VLOOKUP(AW88,'Foundation Calculation'!$I$2:$J$8,2,FALSE),0),IF(AX88="K",VLOOKUP(K88,'Foundation Calculation'!$K$42:$R$80,VLOOKUP(AW88,'Foundation Calculation'!$I$2:$J$8,2,FALSE),0),""))</f>
        <v>2.8</v>
      </c>
      <c r="BA88" s="671" t="s">
        <v>2809</v>
      </c>
      <c r="BB88" s="1239" t="str">
        <f>Pole_Calculations!A15</f>
        <v>App.7-V11A-P9.5.1.1</v>
      </c>
      <c r="BC88" s="169"/>
      <c r="BD88" s="1329">
        <v>43813</v>
      </c>
      <c r="BE88" s="1329"/>
      <c r="BF88" s="1330"/>
      <c r="BG88" s="1329">
        <v>43870</v>
      </c>
    </row>
    <row r="89" spans="1:59" ht="15.75" customHeight="1">
      <c r="A89" s="1239"/>
      <c r="B89" s="445"/>
      <c r="C89" s="446"/>
      <c r="D89" s="448"/>
      <c r="E89" s="448"/>
      <c r="F89" s="448"/>
      <c r="G89" s="455">
        <v>44.6</v>
      </c>
      <c r="H89" s="1239"/>
      <c r="I89" s="448"/>
      <c r="J89" s="446">
        <f>C90-9.5</f>
        <v>86965.650000000009</v>
      </c>
      <c r="K89" s="638" t="s">
        <v>2788</v>
      </c>
      <c r="L89" s="638"/>
      <c r="M89" s="638"/>
      <c r="N89" s="1239"/>
      <c r="O89" s="1239"/>
      <c r="P89" s="1239"/>
      <c r="Q89" s="1239"/>
      <c r="R89" s="1239"/>
      <c r="S89" s="1352">
        <f t="shared" ref="S89" si="7">AG90-AG88</f>
        <v>44.679999999993015</v>
      </c>
      <c r="T89" s="1239"/>
      <c r="U89" s="1239"/>
      <c r="V89" s="1239"/>
      <c r="W89" s="1239"/>
      <c r="X89" s="1239"/>
      <c r="Y89" s="1239"/>
      <c r="Z89" s="1239"/>
      <c r="AA89" s="1239"/>
      <c r="AB89" s="1239"/>
      <c r="AC89" s="1239"/>
      <c r="AD89" s="1239"/>
      <c r="AE89" s="1239"/>
      <c r="AF89" s="1239"/>
      <c r="AG89" s="171"/>
      <c r="AH89" s="1239"/>
      <c r="AI89" s="1239"/>
      <c r="AJ89" s="1239"/>
      <c r="AK89" s="1239"/>
      <c r="AL89" s="1239"/>
      <c r="AM89" s="1239"/>
      <c r="AN89" s="455"/>
      <c r="AO89" s="1239"/>
      <c r="AP89" s="1239"/>
      <c r="AQ89" s="484">
        <f>+FL_1($T$90,$T$88,$G$89,1200,9.28,-1*$F$90)</f>
        <v>0.39228546666666669</v>
      </c>
      <c r="AR89" s="484"/>
      <c r="AS89" s="484"/>
      <c r="AT89" s="484"/>
      <c r="AU89" s="638"/>
      <c r="AV89" s="638"/>
      <c r="AW89" s="638" t="str">
        <f>VLOOKUP(J89,'Foundation Calculation'!$A$2:$C$33,3,1)</f>
        <v>Soil B</v>
      </c>
      <c r="AX89" s="638" t="str">
        <f>VLOOKUP(J89,'Foundation Calculation'!$E$2:$G$33,3,1)</f>
        <v>PT</v>
      </c>
      <c r="AY89" s="484"/>
      <c r="AZ89" s="484">
        <f>IF(AX89="PT",VLOOKUP(K89,'Foundation Calculation'!$K$2:$R$40,VLOOKUP(AW89,'Foundation Calculation'!$I$2:$J$8,2,FALSE),0),IF(AX89="K",VLOOKUP(K89,'Foundation Calculation'!$K$42:$R$80,VLOOKUP(AW89,'Foundation Calculation'!$I$2:$J$8,2,FALSE),0),""))</f>
        <v>2.8</v>
      </c>
      <c r="BA89" s="671" t="s">
        <v>2809</v>
      </c>
      <c r="BB89" s="1239"/>
      <c r="BC89" s="169"/>
      <c r="BD89" s="1329">
        <v>43813</v>
      </c>
      <c r="BE89" s="1330"/>
      <c r="BF89" s="1330"/>
      <c r="BG89" s="1330"/>
    </row>
    <row r="90" spans="1:59" ht="15.75" customHeight="1">
      <c r="A90" s="1239"/>
      <c r="B90" s="445" t="s">
        <v>3149</v>
      </c>
      <c r="C90" s="446">
        <f>+$C$88+$G$89</f>
        <v>86975.150000000009</v>
      </c>
      <c r="D90" s="448"/>
      <c r="E90" s="448"/>
      <c r="F90" s="448">
        <v>0</v>
      </c>
      <c r="G90" s="455"/>
      <c r="H90" s="1239" t="s">
        <v>873</v>
      </c>
      <c r="I90" s="448" t="s">
        <v>1039</v>
      </c>
      <c r="J90" s="446">
        <f>C90-7.5</f>
        <v>86967.650000000009</v>
      </c>
      <c r="K90" s="638" t="s">
        <v>2788</v>
      </c>
      <c r="L90" s="638" t="s">
        <v>821</v>
      </c>
      <c r="M90" s="638" t="str">
        <f>IF(AX90="PT",VLOOKUP(L90,'Foundation Calculation'!$V$2:$X$40,VLOOKUP(AX90,'Foundation Calculation'!$I$10:$J$13,2,FALSE),0),IF(AX90="K",VLOOKUP(L90,'Foundation Calculation'!$V$42:$X$80,VLOOKUP(AX90,'Foundation Calculation'!$I$10:$J$13,2,FALSE),0),""))</f>
        <v>C7R</v>
      </c>
      <c r="N90" s="638" t="s">
        <v>144</v>
      </c>
      <c r="O90" s="1239"/>
      <c r="P90" s="1239"/>
      <c r="Q90" s="1239">
        <v>0</v>
      </c>
      <c r="R90" s="1239">
        <v>0</v>
      </c>
      <c r="S90" s="455"/>
      <c r="T90" s="1285">
        <v>20</v>
      </c>
      <c r="U90" s="1285"/>
      <c r="V90" s="1285"/>
      <c r="W90" s="1285">
        <v>1</v>
      </c>
      <c r="X90" s="1285"/>
      <c r="Y90" s="1285"/>
      <c r="Z90" s="1285"/>
      <c r="AA90" s="1285"/>
      <c r="AB90" s="1285"/>
      <c r="AC90" s="1285" t="s">
        <v>1417</v>
      </c>
      <c r="AD90" s="1285"/>
      <c r="AE90" s="1285"/>
      <c r="AF90" s="1285">
        <v>6000</v>
      </c>
      <c r="AG90" s="1350">
        <v>86975</v>
      </c>
      <c r="AH90" s="1285">
        <v>2763</v>
      </c>
      <c r="AI90" s="1285">
        <v>270</v>
      </c>
      <c r="AJ90" s="1239"/>
      <c r="AK90" s="1239"/>
      <c r="AL90" s="1239" t="s">
        <v>2142</v>
      </c>
      <c r="AM90" s="1239"/>
      <c r="AN90" s="455">
        <v>5.43</v>
      </c>
      <c r="AO90" s="1239"/>
      <c r="AP90" s="1239"/>
      <c r="AQ90" s="484"/>
      <c r="AR90" s="484"/>
      <c r="AS90" s="484"/>
      <c r="AT90" s="484">
        <f>+ab($T$92,$T$90,$T$94,$G$91,$G$93,-1*$F$92,1200)</f>
        <v>15.324145612052993</v>
      </c>
      <c r="AU90" s="638"/>
      <c r="AV90" s="638"/>
      <c r="AW90" s="484" t="str">
        <f>VLOOKUP(C90,'Foundation Calculation'!$A$2:$C$33,3,1)</f>
        <v>Soil B</v>
      </c>
      <c r="AX90" s="484" t="str">
        <f>VLOOKUP(C90,'Foundation Calculation'!$E$2:$G$33,3,1)</f>
        <v>PT</v>
      </c>
      <c r="AY90" s="484">
        <f>IF(AX90="PT",VLOOKUP(L90,'Foundation Calculation'!$K$2:$R$40,VLOOKUP(AW90,'Foundation Calculation'!$I$2:$J$8,2,FALSE),0),IF(AX90="K",VLOOKUP(L90,'Foundation Calculation'!$K$42:$R$80,VLOOKUP(AW90,'Foundation Calculation'!$I$2:$J$8,2,FALSE),0),""))</f>
        <v>3.5</v>
      </c>
      <c r="AZ90" s="484">
        <f>IF(AX90="PT",VLOOKUP(K90,'Foundation Calculation'!$K$2:$R$40,VLOOKUP(AW90,'Foundation Calculation'!$I$2:$J$8,2,FALSE),0),IF(AX90="K",VLOOKUP(K90,'Foundation Calculation'!$K$42:$R$80,VLOOKUP(AW90,'Foundation Calculation'!$I$2:$J$8,2,FALSE),0),""))</f>
        <v>2.8</v>
      </c>
      <c r="BA90" s="671" t="s">
        <v>2809</v>
      </c>
      <c r="BB90" s="1239" t="str">
        <f>Pole_Calculations!A178</f>
        <v>App.8-V08F-P10.3</v>
      </c>
      <c r="BC90" s="169"/>
      <c r="BD90" s="1329">
        <v>43813</v>
      </c>
      <c r="BE90" s="1329"/>
      <c r="BF90" s="1329"/>
      <c r="BG90" s="1329"/>
    </row>
    <row r="91" spans="1:59" ht="15.75" customHeight="1">
      <c r="A91" s="1239"/>
      <c r="B91" s="445"/>
      <c r="C91" s="446"/>
      <c r="D91" s="448"/>
      <c r="E91" s="448"/>
      <c r="F91" s="448"/>
      <c r="G91" s="455">
        <v>52</v>
      </c>
      <c r="H91" s="1239"/>
      <c r="I91" s="448">
        <f>C92-C62</f>
        <v>528.30000000000291</v>
      </c>
      <c r="J91" s="446"/>
      <c r="K91" s="638"/>
      <c r="L91" s="638"/>
      <c r="M91" s="638"/>
      <c r="N91" s="1239"/>
      <c r="O91" s="1239"/>
      <c r="P91" s="1239"/>
      <c r="Q91" s="1239"/>
      <c r="R91" s="1239"/>
      <c r="S91" s="1352">
        <f t="shared" ref="S91:S111" si="8">AG92-AG90</f>
        <v>52</v>
      </c>
      <c r="T91" s="1239"/>
      <c r="U91" s="1239"/>
      <c r="V91" s="1239"/>
      <c r="W91" s="1239"/>
      <c r="X91" s="1239"/>
      <c r="Y91" s="1239"/>
      <c r="Z91" s="1239"/>
      <c r="AA91" s="1239"/>
      <c r="AB91" s="1239"/>
      <c r="AC91" s="1239"/>
      <c r="AD91" s="1239"/>
      <c r="AE91" s="1239"/>
      <c r="AF91" s="1239"/>
      <c r="AG91" s="171"/>
      <c r="AH91" s="1239"/>
      <c r="AI91" s="1239"/>
      <c r="AJ91" s="1239"/>
      <c r="AK91" s="638"/>
      <c r="AL91" s="1239"/>
      <c r="AM91" s="1239"/>
      <c r="AN91" s="455"/>
      <c r="AO91" s="1239"/>
      <c r="AP91" s="1239"/>
      <c r="AQ91" s="484">
        <f>+FL_1($T$92,$T$90,$G$91,1200,9.28,-1*$F$92)</f>
        <v>0.38627492869164542</v>
      </c>
      <c r="AR91" s="484"/>
      <c r="AS91" s="484"/>
      <c r="AT91" s="484"/>
      <c r="AU91" s="638"/>
      <c r="AV91" s="638"/>
      <c r="AW91" s="484"/>
      <c r="AX91" s="484"/>
      <c r="AY91" s="484"/>
      <c r="AZ91" s="484"/>
      <c r="BA91" s="671"/>
      <c r="BB91" s="1239"/>
      <c r="BC91" s="169"/>
      <c r="BD91" s="1330"/>
      <c r="BE91" s="1330"/>
      <c r="BF91" s="1330"/>
      <c r="BG91" s="1330"/>
    </row>
    <row r="92" spans="1:59" ht="15.75" customHeight="1">
      <c r="A92" s="1239"/>
      <c r="B92" s="445" t="s">
        <v>3150</v>
      </c>
      <c r="C92" s="446">
        <f>+$C$90+$G$91</f>
        <v>87027.150000000009</v>
      </c>
      <c r="D92" s="448"/>
      <c r="E92" s="448"/>
      <c r="F92" s="448">
        <v>-4500</v>
      </c>
      <c r="G92" s="455"/>
      <c r="H92" s="1239" t="s">
        <v>874</v>
      </c>
      <c r="I92" s="448"/>
      <c r="J92" s="446"/>
      <c r="K92" s="638"/>
      <c r="L92" s="638" t="s">
        <v>821</v>
      </c>
      <c r="M92" s="638" t="str">
        <f>IF(AX92="PT",VLOOKUP(L92,'Foundation Calculation'!$V$2:$X$40,VLOOKUP(AX92,'Foundation Calculation'!$I$10:$J$13,2,FALSE),0),IF(AX92="K",VLOOKUP(L92,'Foundation Calculation'!$V$42:$X$80,VLOOKUP(AX92,'Foundation Calculation'!$I$10:$J$13,2,FALSE),0),""))</f>
        <v>C7R</v>
      </c>
      <c r="N92" s="638" t="s">
        <v>144</v>
      </c>
      <c r="O92" s="1239"/>
      <c r="P92" s="1239"/>
      <c r="Q92" s="1239">
        <v>0</v>
      </c>
      <c r="R92" s="1239">
        <v>-1900</v>
      </c>
      <c r="S92" s="455"/>
      <c r="T92" s="1285">
        <v>20</v>
      </c>
      <c r="U92" s="1285"/>
      <c r="V92" s="1285"/>
      <c r="W92" s="1285">
        <v>1.2</v>
      </c>
      <c r="X92" s="1285"/>
      <c r="Y92" s="1285"/>
      <c r="Z92" s="1285"/>
      <c r="AA92" s="1285"/>
      <c r="AB92" s="1285"/>
      <c r="AC92" s="1285" t="str">
        <f>IF(OR(AT92&gt;8,AT92&lt;-8),"PH",IF(OR(AT92&gt;5,AT92&lt;-5),"PH-Q",IF(OR(AT92&gt;1,AT92&lt;-1),"PH-C")))</f>
        <v>PH</v>
      </c>
      <c r="AD92" s="1285"/>
      <c r="AE92" s="1285"/>
      <c r="AF92" s="1285"/>
      <c r="AG92" s="1350">
        <v>87027</v>
      </c>
      <c r="AH92" s="1285">
        <v>2593</v>
      </c>
      <c r="AI92" s="1285">
        <v>440</v>
      </c>
      <c r="AJ92" s="1239"/>
      <c r="AK92" s="1239"/>
      <c r="AL92" s="1239" t="s">
        <v>2142</v>
      </c>
      <c r="AM92" s="1239"/>
      <c r="AN92" s="455">
        <v>5.5</v>
      </c>
      <c r="AO92" s="1239"/>
      <c r="AP92" s="1239"/>
      <c r="AQ92" s="484"/>
      <c r="AR92" s="484"/>
      <c r="AS92" s="484"/>
      <c r="AT92" s="484">
        <f>+ab($T$92,$T$90,$T$94,$G$91,$G$93,-1*$F$92,1200)</f>
        <v>15.324145612052993</v>
      </c>
      <c r="AU92" s="638"/>
      <c r="AV92" s="638"/>
      <c r="AW92" s="484" t="str">
        <f>VLOOKUP(C92,'Foundation Calculation'!$A$2:$C$33,3,1)</f>
        <v>Soil B</v>
      </c>
      <c r="AX92" s="484" t="str">
        <f>VLOOKUP(C92,'Foundation Calculation'!$E$2:$G$33,3,1)</f>
        <v>PT</v>
      </c>
      <c r="AY92" s="484">
        <f>IF(AX92="PT",VLOOKUP(L92,'Foundation Calculation'!$K$2:$R$40,VLOOKUP(AW92,'Foundation Calculation'!$I$2:$J$8,2,FALSE),0),IF(AX92="K",VLOOKUP(L92,'Foundation Calculation'!$K$42:$R$80,VLOOKUP(AW92,'Foundation Calculation'!$I$2:$J$8,2,FALSE),0),""))</f>
        <v>3.5</v>
      </c>
      <c r="AZ92" s="484"/>
      <c r="BA92" s="671" t="s">
        <v>2809</v>
      </c>
      <c r="BB92" s="1239" t="str">
        <f>Pole_Calculations!A178</f>
        <v>App.8-V08F-P10.3</v>
      </c>
      <c r="BC92" s="169"/>
      <c r="BD92" s="1329"/>
      <c r="BE92" s="1329"/>
      <c r="BF92" s="1329"/>
      <c r="BG92" s="1329"/>
    </row>
    <row r="93" spans="1:59" ht="15.75" customHeight="1">
      <c r="A93" s="647" t="s">
        <v>3049</v>
      </c>
      <c r="B93" s="657"/>
      <c r="C93" s="649"/>
      <c r="D93" s="650"/>
      <c r="E93" s="650"/>
      <c r="F93" s="650"/>
      <c r="G93" s="651">
        <v>58</v>
      </c>
      <c r="H93" s="647"/>
      <c r="I93" s="650">
        <f>C108-C92</f>
        <v>463</v>
      </c>
      <c r="J93" s="649"/>
      <c r="K93" s="653"/>
      <c r="L93" s="653"/>
      <c r="M93" s="653"/>
      <c r="N93" s="647"/>
      <c r="O93" s="647"/>
      <c r="P93" s="647"/>
      <c r="Q93" s="647"/>
      <c r="R93" s="647"/>
      <c r="S93" s="651">
        <f t="shared" si="8"/>
        <v>58</v>
      </c>
      <c r="T93" s="647"/>
      <c r="U93" s="647"/>
      <c r="V93" s="647"/>
      <c r="W93" s="647"/>
      <c r="X93" s="647"/>
      <c r="Y93" s="647"/>
      <c r="Z93" s="647"/>
      <c r="AA93" s="647"/>
      <c r="AB93" s="647"/>
      <c r="AC93" s="647"/>
      <c r="AD93" s="647"/>
      <c r="AE93" s="647"/>
      <c r="AF93" s="647"/>
      <c r="AG93" s="652"/>
      <c r="AH93" s="647"/>
      <c r="AI93" s="647"/>
      <c r="AJ93" s="647"/>
      <c r="AK93" s="653"/>
      <c r="AL93" s="647"/>
      <c r="AM93" s="647"/>
      <c r="AN93" s="651"/>
      <c r="AO93" s="647"/>
      <c r="AP93" s="647"/>
      <c r="AQ93" s="654">
        <f>+FL_1($T$94,$T$92,$G$93,1200,9.28,-1*$F$94)</f>
        <v>0.43174125199486135</v>
      </c>
      <c r="AR93" s="654"/>
      <c r="AS93" s="654"/>
      <c r="AT93" s="654"/>
      <c r="AU93" s="653"/>
      <c r="AV93" s="653"/>
      <c r="AW93" s="654"/>
      <c r="AX93" s="654"/>
      <c r="AY93" s="654"/>
      <c r="AZ93" s="654"/>
      <c r="BA93" s="701"/>
      <c r="BB93" s="647"/>
      <c r="BC93" s="169"/>
      <c r="BD93" s="1330"/>
      <c r="BE93" s="1330"/>
      <c r="BF93" s="1330"/>
      <c r="BG93" s="1330"/>
    </row>
    <row r="94" spans="1:59" ht="15.75" customHeight="1">
      <c r="A94" s="1239"/>
      <c r="B94" s="445" t="s">
        <v>3151</v>
      </c>
      <c r="C94" s="446">
        <f>+$C$92+$G$93</f>
        <v>87085.150000000009</v>
      </c>
      <c r="D94" s="448"/>
      <c r="E94" s="448"/>
      <c r="F94" s="448">
        <v>-4500</v>
      </c>
      <c r="G94" s="455"/>
      <c r="H94" s="1239" t="s">
        <v>873</v>
      </c>
      <c r="I94" s="448"/>
      <c r="J94" s="446"/>
      <c r="K94" s="638"/>
      <c r="L94" s="638" t="s">
        <v>821</v>
      </c>
      <c r="M94" s="638" t="str">
        <f>IF(AX94="PT",VLOOKUP(L94,'Foundation Calculation'!$V$2:$X$40,VLOOKUP(AX94,'Foundation Calculation'!$I$10:$J$13,2,FALSE),0),IF(AX94="K",VLOOKUP(L94,'Foundation Calculation'!$V$42:$X$80,VLOOKUP(AX94,'Foundation Calculation'!$I$10:$J$13,2,FALSE),0),""))</f>
        <v>C7R</v>
      </c>
      <c r="N94" s="1239" t="s">
        <v>144</v>
      </c>
      <c r="O94" s="1239"/>
      <c r="P94" s="1239"/>
      <c r="Q94" s="1239">
        <v>0</v>
      </c>
      <c r="R94" s="1239">
        <v>0</v>
      </c>
      <c r="S94" s="455"/>
      <c r="T94" s="1285">
        <v>20</v>
      </c>
      <c r="U94" s="1285"/>
      <c r="V94" s="1285"/>
      <c r="W94" s="1285">
        <v>1.4</v>
      </c>
      <c r="X94" s="1285"/>
      <c r="Y94" s="1285"/>
      <c r="Z94" s="1285"/>
      <c r="AA94" s="1285"/>
      <c r="AB94" s="1285"/>
      <c r="AC94" s="1285" t="s">
        <v>4115</v>
      </c>
      <c r="AD94" s="1285"/>
      <c r="AE94" s="1285"/>
      <c r="AF94" s="1285">
        <v>6000</v>
      </c>
      <c r="AG94" s="1350">
        <v>87085</v>
      </c>
      <c r="AH94" s="1285">
        <v>2683</v>
      </c>
      <c r="AI94" s="1285">
        <v>520</v>
      </c>
      <c r="AJ94" s="1239"/>
      <c r="AK94" s="1239"/>
      <c r="AL94" s="1239" t="s">
        <v>2142</v>
      </c>
      <c r="AM94" s="1239"/>
      <c r="AN94" s="455">
        <v>5.5</v>
      </c>
      <c r="AO94" s="1239"/>
      <c r="AP94" s="1239"/>
      <c r="AQ94" s="484"/>
      <c r="AR94" s="484"/>
      <c r="AS94" s="484"/>
      <c r="AT94" s="484">
        <f>+ab($T$94,$T$92,$T$96,$G$93,$G$95,-1*$F$94,1200)</f>
        <v>9.229488503511595</v>
      </c>
      <c r="AU94" s="638"/>
      <c r="AV94" s="638"/>
      <c r="AW94" s="484" t="str">
        <f>VLOOKUP(C94,'Foundation Calculation'!$A$2:$C$33,3,1)</f>
        <v>Soil B</v>
      </c>
      <c r="AX94" s="484" t="str">
        <f>VLOOKUP(C94,'Foundation Calculation'!$E$2:$G$33,3,1)</f>
        <v>PT</v>
      </c>
      <c r="AY94" s="484">
        <f>IF(AX94="PT",VLOOKUP(L94,'Foundation Calculation'!$K$2:$R$40,VLOOKUP(AW94,'Foundation Calculation'!$I$2:$J$8,2,FALSE),0),IF(AX94="K",VLOOKUP(L94,'Foundation Calculation'!$K$42:$R$80,VLOOKUP(AW94,'Foundation Calculation'!$I$2:$J$8,2,FALSE),0),""))</f>
        <v>3.5</v>
      </c>
      <c r="AZ94" s="484"/>
      <c r="BA94" s="671" t="s">
        <v>2809</v>
      </c>
      <c r="BB94" s="1239" t="str">
        <f>Pole_Calculations!A178</f>
        <v>App.8-V08F-P10.3</v>
      </c>
      <c r="BC94" s="169"/>
      <c r="BD94" s="1329">
        <v>43812</v>
      </c>
      <c r="BE94" s="1329"/>
      <c r="BF94" s="1329"/>
      <c r="BG94" s="1329"/>
    </row>
    <row r="95" spans="1:59" ht="15.75" customHeight="1">
      <c r="A95" s="1239"/>
      <c r="B95" s="445"/>
      <c r="C95" s="446"/>
      <c r="D95" s="448"/>
      <c r="E95" s="448"/>
      <c r="F95" s="448"/>
      <c r="G95" s="455">
        <v>60</v>
      </c>
      <c r="H95" s="1239"/>
      <c r="I95" s="448"/>
      <c r="J95" s="446">
        <f>C94+7.5</f>
        <v>87092.650000000009</v>
      </c>
      <c r="K95" s="638" t="s">
        <v>2788</v>
      </c>
      <c r="L95" s="638"/>
      <c r="M95" s="638"/>
      <c r="N95" s="1239"/>
      <c r="O95" s="1239"/>
      <c r="P95" s="1239"/>
      <c r="Q95" s="1239"/>
      <c r="R95" s="1239"/>
      <c r="S95" s="1352">
        <f t="shared" si="8"/>
        <v>60</v>
      </c>
      <c r="T95" s="1239"/>
      <c r="U95" s="1239"/>
      <c r="V95" s="1239"/>
      <c r="W95" s="1239"/>
      <c r="X95" s="1239"/>
      <c r="Y95" s="1239"/>
      <c r="Z95" s="1239"/>
      <c r="AA95" s="1239"/>
      <c r="AB95" s="1239"/>
      <c r="AC95" s="1239"/>
      <c r="AD95" s="1239"/>
      <c r="AE95" s="1239"/>
      <c r="AF95" s="1239"/>
      <c r="AG95" s="171"/>
      <c r="AH95" s="1239"/>
      <c r="AI95" s="1239"/>
      <c r="AJ95" s="1239"/>
      <c r="AK95" s="1239"/>
      <c r="AL95" s="1239"/>
      <c r="AM95" s="1239"/>
      <c r="AN95" s="455"/>
      <c r="AO95" s="1239"/>
      <c r="AP95" s="1239"/>
      <c r="AQ95" s="484">
        <f>+FL_2($T$96,$T$94,$G$95,1200,9.28,-1*$F$96)</f>
        <v>-0.40936853333333328</v>
      </c>
      <c r="AR95" s="484"/>
      <c r="AS95" s="484"/>
      <c r="AT95" s="484"/>
      <c r="AU95" s="638"/>
      <c r="AV95" s="638"/>
      <c r="AW95" s="638" t="str">
        <f>VLOOKUP(J95,'Foundation Calculation'!$A$2:$C$33,3,1)</f>
        <v>Soil B</v>
      </c>
      <c r="AX95" s="638" t="str">
        <f>VLOOKUP(J95,'Foundation Calculation'!$E$2:$G$33,3,1)</f>
        <v>PT</v>
      </c>
      <c r="AY95" s="484"/>
      <c r="AZ95" s="484">
        <f>IF(AX95="PT",VLOOKUP(K95,'Foundation Calculation'!$K$2:$R$40,VLOOKUP(AW95,'Foundation Calculation'!$I$2:$J$8,2,FALSE),0),IF(AX95="K",VLOOKUP(K95,'Foundation Calculation'!$K$42:$R$80,VLOOKUP(AW95,'Foundation Calculation'!$I$2:$J$8,2,FALSE),0),""))</f>
        <v>2.8</v>
      </c>
      <c r="BA95" s="671" t="s">
        <v>2809</v>
      </c>
      <c r="BB95" s="1239"/>
      <c r="BC95" s="169"/>
      <c r="BD95" s="1329">
        <v>43812</v>
      </c>
      <c r="BE95" s="1330"/>
      <c r="BF95" s="1330"/>
      <c r="BG95" s="1330"/>
    </row>
    <row r="96" spans="1:59" ht="15.75" customHeight="1">
      <c r="A96" s="1239"/>
      <c r="B96" s="445" t="s">
        <v>3152</v>
      </c>
      <c r="C96" s="446">
        <f>+$C$94+$G$95</f>
        <v>87145.150000000009</v>
      </c>
      <c r="D96" s="448"/>
      <c r="E96" s="448"/>
      <c r="F96" s="448">
        <v>0</v>
      </c>
      <c r="G96" s="455"/>
      <c r="H96" s="1239"/>
      <c r="I96" s="448"/>
      <c r="J96" s="446"/>
      <c r="K96" s="638"/>
      <c r="L96" s="638" t="s">
        <v>821</v>
      </c>
      <c r="M96" s="638" t="str">
        <f>IF(AX96="PT",VLOOKUP(L96,'Foundation Calculation'!$V$2:$X$40,VLOOKUP(AX96,'Foundation Calculation'!$I$10:$J$13,2,FALSE),0),IF(AX96="K",VLOOKUP(L96,'Foundation Calculation'!$V$42:$X$80,VLOOKUP(AX96,'Foundation Calculation'!$I$10:$J$13,2,FALSE),0),""))</f>
        <v>C7R</v>
      </c>
      <c r="N96" s="1239" t="s">
        <v>143</v>
      </c>
      <c r="O96" s="1239"/>
      <c r="P96" s="1239"/>
      <c r="Q96" s="1239">
        <v>0</v>
      </c>
      <c r="R96" s="1239">
        <v>0</v>
      </c>
      <c r="S96" s="455"/>
      <c r="T96" s="1285">
        <v>-25</v>
      </c>
      <c r="U96" s="1285"/>
      <c r="V96" s="1285"/>
      <c r="W96" s="1285">
        <v>1.4</v>
      </c>
      <c r="X96" s="1285"/>
      <c r="Y96" s="1285"/>
      <c r="Z96" s="1285"/>
      <c r="AA96" s="1285"/>
      <c r="AB96" s="1285"/>
      <c r="AC96" s="1285" t="s">
        <v>1421</v>
      </c>
      <c r="AD96" s="1285"/>
      <c r="AE96" s="1285"/>
      <c r="AF96" s="1285">
        <v>6000</v>
      </c>
      <c r="AG96" s="1350">
        <v>87145</v>
      </c>
      <c r="AH96" s="1285">
        <v>2613</v>
      </c>
      <c r="AI96" s="1285">
        <v>600</v>
      </c>
      <c r="AJ96" s="1239"/>
      <c r="AK96" s="1239"/>
      <c r="AL96" s="1239" t="s">
        <v>2142</v>
      </c>
      <c r="AM96" s="1239"/>
      <c r="AN96" s="455">
        <v>5.5</v>
      </c>
      <c r="AO96" s="1239"/>
      <c r="AP96" s="1239"/>
      <c r="AQ96" s="484"/>
      <c r="AR96" s="484"/>
      <c r="AS96" s="484"/>
      <c r="AT96" s="484">
        <f>+ab($T$96,$T$94,$T$98,$G$95,$G$97,-1*$F$96,1200)</f>
        <v>-11.562025621544185</v>
      </c>
      <c r="AU96" s="638"/>
      <c r="AV96" s="638"/>
      <c r="AW96" s="484" t="str">
        <f>VLOOKUP(C96,'Foundation Calculation'!$A$2:$C$33,3,1)</f>
        <v>Soil B</v>
      </c>
      <c r="AX96" s="484" t="str">
        <f>VLOOKUP(C96,'Foundation Calculation'!$E$2:$G$33,3,1)</f>
        <v>PT</v>
      </c>
      <c r="AY96" s="484">
        <f>IF(AX96="PT",VLOOKUP(L96,'Foundation Calculation'!$K$2:$R$40,VLOOKUP(AW96,'Foundation Calculation'!$I$2:$J$8,2,FALSE),0),IF(AX96="K",VLOOKUP(L96,'Foundation Calculation'!$K$42:$R$80,VLOOKUP(AW96,'Foundation Calculation'!$I$2:$J$8,2,FALSE),0),""))</f>
        <v>3.5</v>
      </c>
      <c r="AZ96" s="484"/>
      <c r="BA96" s="671" t="s">
        <v>2809</v>
      </c>
      <c r="BB96" s="1239" t="str">
        <f>Pole_Calculations!A178</f>
        <v>App.8-V08F-P10.3</v>
      </c>
      <c r="BC96" s="169"/>
      <c r="BD96" s="1329">
        <v>43812</v>
      </c>
      <c r="BE96" s="1329"/>
      <c r="BF96" s="1329"/>
      <c r="BG96" s="1329"/>
    </row>
    <row r="97" spans="1:59" ht="15.75" customHeight="1">
      <c r="A97" s="1239"/>
      <c r="B97" s="445"/>
      <c r="C97" s="446"/>
      <c r="D97" s="448"/>
      <c r="E97" s="448"/>
      <c r="F97" s="448"/>
      <c r="G97" s="455">
        <v>62</v>
      </c>
      <c r="H97" s="1239"/>
      <c r="I97" s="448"/>
      <c r="J97" s="446"/>
      <c r="K97" s="638"/>
      <c r="L97" s="638"/>
      <c r="M97" s="638"/>
      <c r="N97" s="1239"/>
      <c r="O97" s="1239"/>
      <c r="P97" s="1239"/>
      <c r="Q97" s="1239"/>
      <c r="R97" s="1239"/>
      <c r="S97" s="1352">
        <f t="shared" si="8"/>
        <v>62</v>
      </c>
      <c r="T97" s="1239"/>
      <c r="U97" s="1239"/>
      <c r="V97" s="1239"/>
      <c r="W97" s="1239"/>
      <c r="X97" s="1239"/>
      <c r="Y97" s="1239"/>
      <c r="Z97" s="1239"/>
      <c r="AA97" s="1239"/>
      <c r="AB97" s="1239"/>
      <c r="AC97" s="1239"/>
      <c r="AD97" s="1239"/>
      <c r="AE97" s="1239"/>
      <c r="AF97" s="1239"/>
      <c r="AG97" s="171"/>
      <c r="AH97" s="1239"/>
      <c r="AI97" s="1239"/>
      <c r="AJ97" s="1239"/>
      <c r="AK97" s="1239"/>
      <c r="AL97" s="1239"/>
      <c r="AM97" s="1239"/>
      <c r="AN97" s="455"/>
      <c r="AO97" s="1239"/>
      <c r="AP97" s="1239"/>
      <c r="AQ97" s="484">
        <f>+FL_1($T$98,$T$96,$G$97,1200,9.28,-1*$F$98)</f>
        <v>0.44746645199999996</v>
      </c>
      <c r="AR97" s="484"/>
      <c r="AS97" s="484"/>
      <c r="AT97" s="484"/>
      <c r="AU97" s="638"/>
      <c r="AV97" s="638"/>
      <c r="AW97" s="484"/>
      <c r="AX97" s="484"/>
      <c r="AY97" s="484"/>
      <c r="AZ97" s="484"/>
      <c r="BA97" s="671"/>
      <c r="BB97" s="1239"/>
      <c r="BC97" s="169"/>
      <c r="BD97" s="1330"/>
      <c r="BE97" s="1330"/>
      <c r="BF97" s="1330"/>
      <c r="BG97" s="1330"/>
    </row>
    <row r="98" spans="1:59" ht="15.75" customHeight="1">
      <c r="A98" s="1239"/>
      <c r="B98" s="445" t="s">
        <v>3153</v>
      </c>
      <c r="C98" s="446">
        <f>+$C$96+$G$97</f>
        <v>87207.150000000009</v>
      </c>
      <c r="D98" s="448"/>
      <c r="E98" s="448"/>
      <c r="F98" s="448">
        <v>0</v>
      </c>
      <c r="G98" s="455"/>
      <c r="H98" s="1239"/>
      <c r="I98" s="448"/>
      <c r="J98" s="446"/>
      <c r="K98" s="638"/>
      <c r="L98" s="638" t="s">
        <v>821</v>
      </c>
      <c r="M98" s="638" t="str">
        <f>IF(AX98="PT",VLOOKUP(L98,'Foundation Calculation'!$V$2:$X$40,VLOOKUP(AX98,'Foundation Calculation'!$I$10:$J$13,2,FALSE),0),IF(AX98="K",VLOOKUP(L98,'Foundation Calculation'!$V$42:$X$80,VLOOKUP(AX98,'Foundation Calculation'!$I$10:$J$13,2,FALSE),0),""))</f>
        <v>C7R</v>
      </c>
      <c r="N98" s="1239" t="s">
        <v>144</v>
      </c>
      <c r="O98" s="1239"/>
      <c r="P98" s="1239"/>
      <c r="Q98" s="1239">
        <v>0</v>
      </c>
      <c r="R98" s="1239">
        <v>0</v>
      </c>
      <c r="S98" s="455"/>
      <c r="T98" s="1285">
        <v>30</v>
      </c>
      <c r="U98" s="1285"/>
      <c r="V98" s="1285"/>
      <c r="W98" s="1285">
        <v>1.4</v>
      </c>
      <c r="X98" s="1285"/>
      <c r="Y98" s="1285"/>
      <c r="Z98" s="1285"/>
      <c r="AA98" s="1285"/>
      <c r="AB98" s="1285"/>
      <c r="AC98" s="1285" t="s">
        <v>1421</v>
      </c>
      <c r="AD98" s="1285"/>
      <c r="AE98" s="1285"/>
      <c r="AF98" s="1285">
        <v>6000</v>
      </c>
      <c r="AG98" s="1350">
        <v>87207</v>
      </c>
      <c r="AH98" s="1285">
        <v>2523</v>
      </c>
      <c r="AI98" s="1285">
        <v>540</v>
      </c>
      <c r="AJ98" s="1239"/>
      <c r="AK98" s="1239"/>
      <c r="AL98" s="1239" t="s">
        <v>2142</v>
      </c>
      <c r="AM98" s="1239"/>
      <c r="AN98" s="455">
        <v>5.5</v>
      </c>
      <c r="AO98" s="1239"/>
      <c r="AP98" s="1239"/>
      <c r="AQ98" s="484"/>
      <c r="AR98" s="484"/>
      <c r="AS98" s="484"/>
      <c r="AT98" s="484">
        <f>+ab($T$98,$T$96,$T$100,$G$97,$G$99,-1*$F$98,1200)</f>
        <v>9.4702017898946149</v>
      </c>
      <c r="AU98" s="638"/>
      <c r="AV98" s="638"/>
      <c r="AW98" s="484" t="str">
        <f>VLOOKUP(C98,'Foundation Calculation'!$A$2:$C$33,3,1)</f>
        <v>Soil B</v>
      </c>
      <c r="AX98" s="484" t="str">
        <f>VLOOKUP(C98,'Foundation Calculation'!$E$2:$G$33,3,1)</f>
        <v>PT</v>
      </c>
      <c r="AY98" s="484">
        <f>IF(AX98="PT",VLOOKUP(L98,'Foundation Calculation'!$K$2:$R$40,VLOOKUP(AW98,'Foundation Calculation'!$I$2:$J$8,2,FALSE),0),IF(AX98="K",VLOOKUP(L98,'Foundation Calculation'!$K$42:$R$80,VLOOKUP(AW98,'Foundation Calculation'!$I$2:$J$8,2,FALSE),0),""))</f>
        <v>3.5</v>
      </c>
      <c r="AZ98" s="484"/>
      <c r="BA98" s="671" t="s">
        <v>2809</v>
      </c>
      <c r="BB98" s="1239" t="str">
        <f>Pole_Calculations!A178</f>
        <v>App.8-V08F-P10.3</v>
      </c>
      <c r="BC98" s="169"/>
      <c r="BD98" s="1329">
        <v>43812</v>
      </c>
      <c r="BE98" s="1329"/>
      <c r="BF98" s="1329"/>
      <c r="BG98" s="1329"/>
    </row>
    <row r="99" spans="1:59" ht="15.75" customHeight="1">
      <c r="A99" s="1239"/>
      <c r="B99" s="445"/>
      <c r="C99" s="446"/>
      <c r="D99" s="448"/>
      <c r="E99" s="448"/>
      <c r="F99" s="448"/>
      <c r="G99" s="455">
        <v>58</v>
      </c>
      <c r="H99" s="1239"/>
      <c r="I99" s="448"/>
      <c r="J99" s="446"/>
      <c r="K99" s="638"/>
      <c r="L99" s="638"/>
      <c r="M99" s="638"/>
      <c r="N99" s="1239"/>
      <c r="O99" s="1239"/>
      <c r="P99" s="1239"/>
      <c r="Q99" s="1239"/>
      <c r="R99" s="1239"/>
      <c r="S99" s="1352">
        <f t="shared" si="8"/>
        <v>58</v>
      </c>
      <c r="T99" s="1239"/>
      <c r="U99" s="1239"/>
      <c r="V99" s="1239"/>
      <c r="W99" s="1239"/>
      <c r="X99" s="1239"/>
      <c r="Y99" s="1239"/>
      <c r="Z99" s="1239"/>
      <c r="AA99" s="1239"/>
      <c r="AB99" s="1239"/>
      <c r="AC99" s="1239"/>
      <c r="AD99" s="1239"/>
      <c r="AE99" s="1239"/>
      <c r="AF99" s="1239"/>
      <c r="AG99" s="171"/>
      <c r="AH99" s="1239"/>
      <c r="AI99" s="1239"/>
      <c r="AJ99" s="1239"/>
      <c r="AK99" s="1239"/>
      <c r="AL99" s="1239"/>
      <c r="AM99" s="1239"/>
      <c r="AN99" s="455"/>
      <c r="AO99" s="1239"/>
      <c r="AP99" s="1239"/>
      <c r="AQ99" s="484">
        <f>+FL_2($T$100,$T$98,$G$99,1200,9.28,-1*$F$100)</f>
        <v>-0.43139002570114943</v>
      </c>
      <c r="AR99" s="484"/>
      <c r="AS99" s="484"/>
      <c r="AT99" s="484"/>
      <c r="AU99" s="638"/>
      <c r="AV99" s="638"/>
      <c r="AW99" s="484"/>
      <c r="AX99" s="484"/>
      <c r="AY99" s="484"/>
      <c r="AZ99" s="484"/>
      <c r="BA99" s="671"/>
      <c r="BB99" s="1239"/>
      <c r="BC99" s="169"/>
      <c r="BD99" s="1330"/>
      <c r="BE99" s="1330"/>
      <c r="BF99" s="1330"/>
      <c r="BG99" s="1330"/>
    </row>
    <row r="100" spans="1:59" ht="15.75" customHeight="1">
      <c r="A100" s="1239"/>
      <c r="B100" s="445" t="s">
        <v>3154</v>
      </c>
      <c r="C100" s="446">
        <f>+$C$98+$G$99</f>
        <v>87265.150000000009</v>
      </c>
      <c r="D100" s="448"/>
      <c r="E100" s="448"/>
      <c r="F100" s="448">
        <v>0</v>
      </c>
      <c r="G100" s="455"/>
      <c r="H100" s="1239"/>
      <c r="I100" s="448"/>
      <c r="J100" s="446"/>
      <c r="K100" s="638"/>
      <c r="L100" s="638" t="s">
        <v>821</v>
      </c>
      <c r="M100" s="638" t="str">
        <f>IF(AX100="PT",VLOOKUP(L100,'Foundation Calculation'!$V$2:$X$40,VLOOKUP(AX100,'Foundation Calculation'!$I$10:$J$13,2,FALSE),0),IF(AX100="K",VLOOKUP(L100,'Foundation Calculation'!$V$42:$X$80,VLOOKUP(AX100,'Foundation Calculation'!$I$10:$J$13,2,FALSE),0),""))</f>
        <v>C7R</v>
      </c>
      <c r="N100" s="1239" t="s">
        <v>143</v>
      </c>
      <c r="O100" s="1239"/>
      <c r="P100" s="1239"/>
      <c r="Q100" s="1239">
        <v>0</v>
      </c>
      <c r="R100" s="1239">
        <v>0</v>
      </c>
      <c r="S100" s="455"/>
      <c r="T100" s="1285">
        <v>-35</v>
      </c>
      <c r="U100" s="1285"/>
      <c r="V100" s="1285"/>
      <c r="W100" s="1285">
        <v>1.4</v>
      </c>
      <c r="X100" s="1285"/>
      <c r="Y100" s="1285"/>
      <c r="Z100" s="1285"/>
      <c r="AA100" s="1285"/>
      <c r="AB100" s="1285"/>
      <c r="AC100" s="1285" t="s">
        <v>4090</v>
      </c>
      <c r="AD100" s="1285"/>
      <c r="AE100" s="1285"/>
      <c r="AF100" s="1285">
        <v>6000</v>
      </c>
      <c r="AG100" s="1350">
        <v>87265</v>
      </c>
      <c r="AH100" s="1285">
        <v>2543</v>
      </c>
      <c r="AI100" s="1285">
        <v>510</v>
      </c>
      <c r="AJ100" s="1239"/>
      <c r="AK100" s="1239"/>
      <c r="AL100" s="1239" t="s">
        <v>2142</v>
      </c>
      <c r="AM100" s="1239"/>
      <c r="AN100" s="455">
        <v>5.5</v>
      </c>
      <c r="AO100" s="1239"/>
      <c r="AP100" s="1239"/>
      <c r="AQ100" s="484"/>
      <c r="AR100" s="484"/>
      <c r="AS100" s="484"/>
      <c r="AT100" s="484">
        <f>+ab($T$100,$T$98,$T$102,$G$99,$G$101,-1*$F$100,1200)</f>
        <v>-7.965813709315988</v>
      </c>
      <c r="AU100" s="638"/>
      <c r="AV100" s="638"/>
      <c r="AW100" s="484" t="str">
        <f>VLOOKUP(C100,'Foundation Calculation'!$A$2:$C$33,3,1)</f>
        <v>Soil B</v>
      </c>
      <c r="AX100" s="484" t="str">
        <f>VLOOKUP(C100,'Foundation Calculation'!$E$2:$G$33,3,1)</f>
        <v>PT</v>
      </c>
      <c r="AY100" s="484">
        <f>IF(AX100="PT",VLOOKUP(L100,'Foundation Calculation'!$K$2:$R$40,VLOOKUP(AW100,'Foundation Calculation'!$I$2:$J$8,2,FALSE),0),IF(AX100="K",VLOOKUP(L100,'Foundation Calculation'!$K$42:$R$80,VLOOKUP(AW100,'Foundation Calculation'!$I$2:$J$8,2,FALSE),0),""))</f>
        <v>3.5</v>
      </c>
      <c r="AZ100" s="484"/>
      <c r="BA100" s="671" t="s">
        <v>2809</v>
      </c>
      <c r="BB100" s="1239" t="str">
        <f>Pole_Calculations!A178</f>
        <v>App.8-V08F-P10.3</v>
      </c>
      <c r="BC100" s="169"/>
      <c r="BD100" s="1329">
        <v>43812</v>
      </c>
      <c r="BE100" s="1329"/>
      <c r="BF100" s="1329"/>
      <c r="BG100" s="1329"/>
    </row>
    <row r="101" spans="1:59" ht="15.75" customHeight="1">
      <c r="A101" s="1239"/>
      <c r="B101" s="445"/>
      <c r="C101" s="446"/>
      <c r="D101" s="448"/>
      <c r="E101" s="448"/>
      <c r="F101" s="448"/>
      <c r="G101" s="455">
        <v>55</v>
      </c>
      <c r="H101" s="1239"/>
      <c r="I101" s="448"/>
      <c r="J101" s="446">
        <f>C102-7.5</f>
        <v>87312.650000000009</v>
      </c>
      <c r="K101" s="638" t="s">
        <v>2787</v>
      </c>
      <c r="L101" s="638"/>
      <c r="M101" s="638"/>
      <c r="N101" s="1239"/>
      <c r="O101" s="1239"/>
      <c r="P101" s="1239"/>
      <c r="Q101" s="1239"/>
      <c r="R101" s="1239"/>
      <c r="S101" s="1352">
        <f t="shared" si="8"/>
        <v>55</v>
      </c>
      <c r="T101" s="1239"/>
      <c r="U101" s="1239"/>
      <c r="V101" s="1239"/>
      <c r="W101" s="1239"/>
      <c r="X101" s="1239"/>
      <c r="Y101" s="1239"/>
      <c r="Z101" s="1239"/>
      <c r="AA101" s="1239"/>
      <c r="AB101" s="1239"/>
      <c r="AC101" s="1239"/>
      <c r="AD101" s="1239"/>
      <c r="AE101" s="1239"/>
      <c r="AF101" s="1239"/>
      <c r="AG101" s="171"/>
      <c r="AH101" s="1239"/>
      <c r="AI101" s="1239"/>
      <c r="AJ101" s="1239"/>
      <c r="AK101" s="1239"/>
      <c r="AL101" s="1239"/>
      <c r="AM101" s="1239"/>
      <c r="AN101" s="455"/>
      <c r="AO101" s="1239"/>
      <c r="AP101" s="1239"/>
      <c r="AQ101" s="484">
        <f>+FL_2($T$102,$T$100,$G$101,1200,9.28,-1*$F$102)</f>
        <v>-0.39714735709090898</v>
      </c>
      <c r="AR101" s="484"/>
      <c r="AS101" s="484"/>
      <c r="AT101" s="484"/>
      <c r="AU101" s="638"/>
      <c r="AV101" s="638"/>
      <c r="AW101" s="638" t="str">
        <f>VLOOKUP(J101,'Foundation Calculation'!$A$2:$C$33,3,1)</f>
        <v>Soil B</v>
      </c>
      <c r="AX101" s="638" t="str">
        <f>VLOOKUP(J101,'Foundation Calculation'!$E$2:$G$33,3,1)</f>
        <v>PT</v>
      </c>
      <c r="AY101" s="484"/>
      <c r="AZ101" s="484">
        <f>IF(AX101="PT",VLOOKUP(K101,'Foundation Calculation'!$K$2:$R$40,VLOOKUP(AW101,'Foundation Calculation'!$I$2:$J$8,2,FALSE),0),IF(AX101="K",VLOOKUP(K101,'Foundation Calculation'!$K$42:$R$80,VLOOKUP(AW101,'Foundation Calculation'!$I$2:$J$8,2,FALSE),0),""))</f>
        <v>3.9</v>
      </c>
      <c r="BA101" s="671" t="s">
        <v>2809</v>
      </c>
      <c r="BB101" s="1239"/>
      <c r="BC101" s="169"/>
      <c r="BD101" s="1329">
        <v>43812</v>
      </c>
      <c r="BE101" s="1330"/>
      <c r="BF101" s="1330"/>
      <c r="BG101" s="1330"/>
    </row>
    <row r="102" spans="1:59" ht="15.75" customHeight="1">
      <c r="A102" s="449"/>
      <c r="B102" s="445" t="s">
        <v>3155</v>
      </c>
      <c r="C102" s="446">
        <f>+$C$100+$G$101</f>
        <v>87320.150000000009</v>
      </c>
      <c r="D102" s="448"/>
      <c r="E102" s="448"/>
      <c r="F102" s="448">
        <v>0</v>
      </c>
      <c r="G102" s="484"/>
      <c r="H102" s="1239" t="s">
        <v>138</v>
      </c>
      <c r="I102" s="448" t="s">
        <v>623</v>
      </c>
      <c r="J102" s="446"/>
      <c r="K102" s="638"/>
      <c r="L102" s="638" t="s">
        <v>821</v>
      </c>
      <c r="M102" s="638" t="str">
        <f>IF(AX102="PT",VLOOKUP(L102,'Foundation Calculation'!$V$2:$X$40,VLOOKUP(AX102,'Foundation Calculation'!$I$10:$J$13,2,FALSE),0),IF(AX102="K",VLOOKUP(L102,'Foundation Calculation'!$V$42:$X$80,VLOOKUP(AX102,'Foundation Calculation'!$I$10:$J$13,2,FALSE),0),""))</f>
        <v>C7R</v>
      </c>
      <c r="N102" s="1239" t="s">
        <v>144</v>
      </c>
      <c r="O102" s="1239"/>
      <c r="P102" s="1239"/>
      <c r="Q102" s="1239">
        <v>0</v>
      </c>
      <c r="R102" s="1239">
        <v>0</v>
      </c>
      <c r="S102" s="455"/>
      <c r="T102" s="1285">
        <v>35</v>
      </c>
      <c r="U102" s="1285"/>
      <c r="V102" s="1285"/>
      <c r="W102" s="1285">
        <v>1.4</v>
      </c>
      <c r="X102" s="1285"/>
      <c r="Y102" s="1285"/>
      <c r="Z102" s="1285"/>
      <c r="AA102" s="1285"/>
      <c r="AB102" s="1285"/>
      <c r="AC102" s="1285" t="s">
        <v>4090</v>
      </c>
      <c r="AD102" s="1285"/>
      <c r="AE102" s="1285"/>
      <c r="AF102" s="1285">
        <v>6000</v>
      </c>
      <c r="AG102" s="1350">
        <v>87320</v>
      </c>
      <c r="AH102" s="1285">
        <v>2613</v>
      </c>
      <c r="AI102" s="1285">
        <v>550</v>
      </c>
      <c r="AJ102" s="1239"/>
      <c r="AK102" s="1239"/>
      <c r="AL102" s="1239" t="s">
        <v>2142</v>
      </c>
      <c r="AM102" s="1239"/>
      <c r="AN102" s="455">
        <v>5.5</v>
      </c>
      <c r="AO102" s="1239"/>
      <c r="AP102" s="1239"/>
      <c r="AQ102" s="484"/>
      <c r="AR102" s="484"/>
      <c r="AS102" s="484"/>
      <c r="AT102" s="484">
        <f>+ab($T$102,$T$100,$U$104,$G$101,$G$103,-1*$F$102,1200)</f>
        <v>7.1424146886693025</v>
      </c>
      <c r="AU102" s="638"/>
      <c r="AV102" s="638"/>
      <c r="AW102" s="484" t="str">
        <f>VLOOKUP(C102,'Foundation Calculation'!$A$2:$C$33,3,1)</f>
        <v>Soil B</v>
      </c>
      <c r="AX102" s="484" t="str">
        <f>VLOOKUP(C102,'Foundation Calculation'!$E$2:$G$33,3,1)</f>
        <v>PT</v>
      </c>
      <c r="AY102" s="484">
        <f>IF(AX102="PT",VLOOKUP(L102,'Foundation Calculation'!$K$2:$R$40,VLOOKUP(AW102,'Foundation Calculation'!$I$2:$J$8,2,FALSE),0),IF(AX102="K",VLOOKUP(L102,'Foundation Calculation'!$K$42:$R$80,VLOOKUP(AW102,'Foundation Calculation'!$I$2:$J$8,2,FALSE),0),""))</f>
        <v>3.5</v>
      </c>
      <c r="AZ102" s="484"/>
      <c r="BA102" s="671" t="s">
        <v>2809</v>
      </c>
      <c r="BB102" s="449" t="str">
        <f>Pole_Calculations!A178</f>
        <v>App.8-V08F-P10.3</v>
      </c>
      <c r="BC102" s="169"/>
      <c r="BD102" s="1329">
        <v>43812</v>
      </c>
      <c r="BE102" s="1329"/>
      <c r="BF102" s="1329"/>
      <c r="BG102" s="1329"/>
    </row>
    <row r="103" spans="1:59" ht="15.75" customHeight="1">
      <c r="A103" s="449"/>
      <c r="B103" s="445"/>
      <c r="C103" s="446"/>
      <c r="D103" s="448"/>
      <c r="E103" s="448"/>
      <c r="F103" s="448"/>
      <c r="G103" s="484">
        <v>50</v>
      </c>
      <c r="H103" s="1239"/>
      <c r="I103" s="448"/>
      <c r="J103" s="446"/>
      <c r="K103" s="638"/>
      <c r="L103" s="638"/>
      <c r="M103" s="638"/>
      <c r="N103" s="1239"/>
      <c r="O103" s="1239"/>
      <c r="P103" s="1239"/>
      <c r="Q103" s="1239"/>
      <c r="R103" s="1239"/>
      <c r="S103" s="1352">
        <f t="shared" si="8"/>
        <v>50</v>
      </c>
      <c r="T103" s="1239"/>
      <c r="U103" s="1239"/>
      <c r="V103" s="1239"/>
      <c r="W103" s="1239"/>
      <c r="X103" s="1239"/>
      <c r="Y103" s="1239"/>
      <c r="Z103" s="1239"/>
      <c r="AA103" s="1239"/>
      <c r="AB103" s="1239"/>
      <c r="AC103" s="1239"/>
      <c r="AD103" s="1239"/>
      <c r="AE103" s="1239"/>
      <c r="AF103" s="1239"/>
      <c r="AG103" s="171"/>
      <c r="AH103" s="1239"/>
      <c r="AI103" s="1239"/>
      <c r="AJ103" s="1239"/>
      <c r="AK103" s="1239"/>
      <c r="AL103" s="1239"/>
      <c r="AM103" s="1239"/>
      <c r="AN103" s="455"/>
      <c r="AO103" s="1239"/>
      <c r="AP103" s="1239"/>
      <c r="AQ103" s="484">
        <f>+FL_1($U$104,$T$102,$G$103,1200,9.28,-1*$F$104)</f>
        <v>0.36839080000000002</v>
      </c>
      <c r="AR103" s="484"/>
      <c r="AS103" s="484"/>
      <c r="AT103" s="484"/>
      <c r="AU103" s="638"/>
      <c r="AV103" s="638"/>
      <c r="AW103" s="484"/>
      <c r="AX103" s="484"/>
      <c r="AY103" s="484"/>
      <c r="AZ103" s="484"/>
      <c r="BA103" s="671"/>
      <c r="BB103" s="449"/>
      <c r="BC103" s="169"/>
      <c r="BD103" s="1330"/>
      <c r="BE103" s="1330"/>
      <c r="BF103" s="1330"/>
      <c r="BG103" s="1330"/>
    </row>
    <row r="104" spans="1:59" ht="15.75" customHeight="1">
      <c r="A104" s="449"/>
      <c r="B104" s="445" t="s">
        <v>3156</v>
      </c>
      <c r="C104" s="446">
        <f>+$C$102+$G$103</f>
        <v>87370.150000000009</v>
      </c>
      <c r="D104" s="448"/>
      <c r="E104" s="448"/>
      <c r="F104" s="448">
        <v>0</v>
      </c>
      <c r="G104" s="484"/>
      <c r="H104" s="1239" t="s">
        <v>619</v>
      </c>
      <c r="I104" s="448"/>
      <c r="J104" s="446"/>
      <c r="K104" s="638"/>
      <c r="L104" s="638" t="s">
        <v>821</v>
      </c>
      <c r="M104" s="638" t="str">
        <f>IF(AX104="PT",VLOOKUP(L104,'Foundation Calculation'!$V$2:$X$40,VLOOKUP(AX104,'Foundation Calculation'!$I$10:$J$13,2,FALSE),0),IF(AX104="K",VLOOKUP(L104,'Foundation Calculation'!$V$42:$X$80,VLOOKUP(AX104,'Foundation Calculation'!$I$10:$J$13,2,FALSE),0),""))</f>
        <v>C7R</v>
      </c>
      <c r="N104" s="1239" t="s">
        <v>140</v>
      </c>
      <c r="O104" s="1239" t="s">
        <v>143</v>
      </c>
      <c r="P104" s="1239"/>
      <c r="Q104" s="1239">
        <v>0</v>
      </c>
      <c r="R104" s="1239">
        <v>0</v>
      </c>
      <c r="S104" s="455"/>
      <c r="T104" s="1285">
        <v>-15</v>
      </c>
      <c r="U104" s="1285">
        <v>-35</v>
      </c>
      <c r="V104" s="1285"/>
      <c r="W104" s="1285">
        <v>1.4</v>
      </c>
      <c r="X104" s="1285">
        <v>2.2999999999999998</v>
      </c>
      <c r="Y104" s="1285"/>
      <c r="Z104" s="1285">
        <v>0.6</v>
      </c>
      <c r="AA104" s="1285"/>
      <c r="AB104" s="1285"/>
      <c r="AC104" s="1285" t="s">
        <v>1421</v>
      </c>
      <c r="AD104" s="1285"/>
      <c r="AE104" s="1285"/>
      <c r="AF104" s="1285">
        <v>6000</v>
      </c>
      <c r="AG104" s="1350">
        <v>87370</v>
      </c>
      <c r="AH104" s="1285">
        <v>2713</v>
      </c>
      <c r="AI104" s="1285">
        <v>510</v>
      </c>
      <c r="AJ104" s="1239"/>
      <c r="AK104" s="1239"/>
      <c r="AL104" s="1239" t="s">
        <v>2142</v>
      </c>
      <c r="AM104" s="1239"/>
      <c r="AN104" s="455">
        <v>5.5</v>
      </c>
      <c r="AO104" s="1239"/>
      <c r="AP104" s="1239"/>
      <c r="AQ104" s="484"/>
      <c r="AR104" s="484"/>
      <c r="AS104" s="484"/>
      <c r="AT104" s="484">
        <f>+ab($U$104,$T$102,$U$106,$G$103,$G$105,-1*$F$104,1200)</f>
        <v>-8.5286754914538374</v>
      </c>
      <c r="AU104" s="638"/>
      <c r="AV104" s="638"/>
      <c r="AW104" s="484" t="str">
        <f>VLOOKUP(C104,'Foundation Calculation'!$A$2:$C$33,3,1)</f>
        <v>Soil B</v>
      </c>
      <c r="AX104" s="484" t="str">
        <f>VLOOKUP(C104,'Foundation Calculation'!$E$2:$G$33,3,1)</f>
        <v>PT</v>
      </c>
      <c r="AY104" s="484">
        <f>IF(AX104="PT",VLOOKUP(L104,'Foundation Calculation'!$K$2:$R$40,VLOOKUP(AW104,'Foundation Calculation'!$I$2:$J$8,2,FALSE),0),IF(AX104="K",VLOOKUP(L104,'Foundation Calculation'!$K$42:$R$80,VLOOKUP(AW104,'Foundation Calculation'!$I$2:$J$8,2,FALSE),0),""))</f>
        <v>3.5</v>
      </c>
      <c r="AZ104" s="484"/>
      <c r="BA104" s="671" t="s">
        <v>2809</v>
      </c>
      <c r="BB104" s="449" t="str">
        <f>Pole_Calculations!A178</f>
        <v>App.8-V08F-P10.3</v>
      </c>
      <c r="BC104" s="169"/>
      <c r="BD104" s="1329">
        <v>43812</v>
      </c>
      <c r="BE104" s="1329"/>
      <c r="BF104" s="1329"/>
      <c r="BG104" s="1329"/>
    </row>
    <row r="105" spans="1:59" ht="15.75" customHeight="1">
      <c r="A105" s="449"/>
      <c r="B105" s="445"/>
      <c r="C105" s="446"/>
      <c r="D105" s="448"/>
      <c r="E105" s="448"/>
      <c r="F105" s="448"/>
      <c r="G105" s="484">
        <v>60</v>
      </c>
      <c r="H105" s="1239"/>
      <c r="I105" s="448"/>
      <c r="J105" s="446"/>
      <c r="K105" s="638"/>
      <c r="L105" s="638"/>
      <c r="M105" s="638"/>
      <c r="N105" s="1239"/>
      <c r="O105" s="1239"/>
      <c r="P105" s="1239"/>
      <c r="Q105" s="1239"/>
      <c r="R105" s="1239"/>
      <c r="S105" s="1352">
        <f>AG106-AG104</f>
        <v>60</v>
      </c>
      <c r="T105" s="1239"/>
      <c r="U105" s="1239"/>
      <c r="V105" s="1239"/>
      <c r="W105" s="1239"/>
      <c r="X105" s="1239"/>
      <c r="Y105" s="1239"/>
      <c r="Z105" s="1239"/>
      <c r="AA105" s="1239"/>
      <c r="AB105" s="1239"/>
      <c r="AC105" s="1239"/>
      <c r="AD105" s="1239"/>
      <c r="AE105" s="1239"/>
      <c r="AF105" s="1239"/>
      <c r="AG105" s="171"/>
      <c r="AH105" s="1239"/>
      <c r="AI105" s="1239"/>
      <c r="AJ105" s="1239"/>
      <c r="AK105" s="1239"/>
      <c r="AL105" s="1239"/>
      <c r="AM105" s="1239"/>
      <c r="AN105" s="455"/>
      <c r="AO105" s="1239"/>
      <c r="AP105" s="1239"/>
      <c r="AQ105" s="484">
        <f>+FL_1($U$106,$U$104,$G$105,1200,9.28,-1*$F$106)</f>
        <v>0.29289941866666669</v>
      </c>
      <c r="AR105" s="484"/>
      <c r="AS105" s="484"/>
      <c r="AT105" s="484"/>
      <c r="AU105" s="638"/>
      <c r="AV105" s="638"/>
      <c r="AW105" s="484"/>
      <c r="AX105" s="484"/>
      <c r="AY105" s="484"/>
      <c r="AZ105" s="484"/>
      <c r="BA105" s="671"/>
      <c r="BB105" s="449"/>
      <c r="BC105" s="169"/>
      <c r="BD105" s="1330"/>
      <c r="BE105" s="1330"/>
      <c r="BF105" s="1330"/>
      <c r="BG105" s="1330"/>
    </row>
    <row r="106" spans="1:59" ht="15.75" customHeight="1">
      <c r="A106" s="449"/>
      <c r="B106" s="445" t="s">
        <v>3157</v>
      </c>
      <c r="C106" s="446">
        <f>+$C$104+$G$105</f>
        <v>87430.150000000009</v>
      </c>
      <c r="D106" s="448"/>
      <c r="E106" s="448"/>
      <c r="F106" s="448">
        <v>0</v>
      </c>
      <c r="G106" s="484"/>
      <c r="H106" s="1239" t="s">
        <v>619</v>
      </c>
      <c r="I106" s="448"/>
      <c r="J106" s="446"/>
      <c r="K106" s="638"/>
      <c r="L106" s="638" t="s">
        <v>821</v>
      </c>
      <c r="M106" s="638" t="str">
        <f>IF(AX106="PT",VLOOKUP(L106,'Foundation Calculation'!$V$2:$X$40,VLOOKUP(AX106,'Foundation Calculation'!$I$10:$J$13,2,FALSE),0),IF(AX106="K",VLOOKUP(L106,'Foundation Calculation'!$V$42:$X$80,VLOOKUP(AX106,'Foundation Calculation'!$I$10:$J$13,2,FALSE),0),""))</f>
        <v>C7R</v>
      </c>
      <c r="N106" s="1239" t="s">
        <v>144</v>
      </c>
      <c r="O106" s="1239" t="s">
        <v>140</v>
      </c>
      <c r="P106" s="1239"/>
      <c r="Q106" s="1239">
        <v>0</v>
      </c>
      <c r="R106" s="1239">
        <v>0</v>
      </c>
      <c r="S106" s="455"/>
      <c r="T106" s="1285">
        <v>35</v>
      </c>
      <c r="U106" s="1285">
        <v>15</v>
      </c>
      <c r="V106" s="1285"/>
      <c r="W106" s="1285">
        <v>1.4</v>
      </c>
      <c r="X106" s="1285">
        <v>2.2999999999999998</v>
      </c>
      <c r="Y106" s="1285"/>
      <c r="Z106" s="1285"/>
      <c r="AA106" s="1285">
        <v>0.6</v>
      </c>
      <c r="AB106" s="1285"/>
      <c r="AC106" s="1285" t="s">
        <v>1421</v>
      </c>
      <c r="AD106" s="1285"/>
      <c r="AE106" s="1285"/>
      <c r="AF106" s="1285">
        <v>6000</v>
      </c>
      <c r="AG106" s="1350">
        <v>87430</v>
      </c>
      <c r="AH106" s="1285">
        <v>2643</v>
      </c>
      <c r="AI106" s="1285">
        <v>460</v>
      </c>
      <c r="AJ106" s="1239"/>
      <c r="AK106" s="1239"/>
      <c r="AL106" s="1239" t="s">
        <v>2142</v>
      </c>
      <c r="AM106" s="1239"/>
      <c r="AN106" s="455">
        <v>5.5</v>
      </c>
      <c r="AO106" s="1239"/>
      <c r="AP106" s="1239"/>
      <c r="AQ106" s="484"/>
      <c r="AR106" s="484"/>
      <c r="AS106" s="484"/>
      <c r="AT106" s="484">
        <f>+ab($T$106,$T$104,$T$108,$G$105,$G$107,-1*$F$106,1200)</f>
        <v>9.5063995410137085</v>
      </c>
      <c r="AU106" s="638"/>
      <c r="AV106" s="638"/>
      <c r="AW106" s="484" t="str">
        <f>VLOOKUP(C106,'Foundation Calculation'!$A$2:$C$33,3,1)</f>
        <v>Soil B</v>
      </c>
      <c r="AX106" s="484" t="str">
        <f>VLOOKUP(C106,'Foundation Calculation'!$E$2:$G$33,3,1)</f>
        <v>PT</v>
      </c>
      <c r="AY106" s="484">
        <f>IF(AX106="PT",VLOOKUP(L106,'Foundation Calculation'!$K$2:$R$40,VLOOKUP(AW106,'Foundation Calculation'!$I$2:$J$8,2,FALSE),0),IF(AX106="K",VLOOKUP(L106,'Foundation Calculation'!$K$42:$R$80,VLOOKUP(AW106,'Foundation Calculation'!$I$2:$J$8,2,FALSE),0),""))</f>
        <v>3.5</v>
      </c>
      <c r="AZ106" s="484"/>
      <c r="BA106" s="671" t="s">
        <v>2809</v>
      </c>
      <c r="BB106" s="449" t="str">
        <f>Pole_Calculations!A178</f>
        <v>App.8-V08F-P10.3</v>
      </c>
      <c r="BC106" s="169"/>
      <c r="BD106" s="1329">
        <v>43812</v>
      </c>
      <c r="BE106" s="1329"/>
      <c r="BF106" s="1329"/>
      <c r="BG106" s="1329"/>
    </row>
    <row r="107" spans="1:59" ht="15.75" customHeight="1">
      <c r="A107" s="449"/>
      <c r="B107" s="445"/>
      <c r="C107" s="446"/>
      <c r="D107" s="448"/>
      <c r="E107" s="448"/>
      <c r="F107" s="448"/>
      <c r="G107" s="484">
        <v>60</v>
      </c>
      <c r="H107" s="1239"/>
      <c r="I107" s="448"/>
      <c r="J107" s="446"/>
      <c r="K107" s="638"/>
      <c r="L107" s="638"/>
      <c r="M107" s="638"/>
      <c r="N107" s="1239"/>
      <c r="O107" s="1239"/>
      <c r="P107" s="1239"/>
      <c r="Q107" s="1239"/>
      <c r="R107" s="1239"/>
      <c r="S107" s="1352">
        <f t="shared" si="8"/>
        <v>60</v>
      </c>
      <c r="T107" s="1239"/>
      <c r="U107" s="1239"/>
      <c r="V107" s="1239"/>
      <c r="W107" s="1239"/>
      <c r="X107" s="1239"/>
      <c r="Y107" s="1239"/>
      <c r="Z107" s="1239"/>
      <c r="AA107" s="1239"/>
      <c r="AB107" s="1239"/>
      <c r="AC107" s="1239"/>
      <c r="AD107" s="1239"/>
      <c r="AE107" s="1239"/>
      <c r="AF107" s="1239"/>
      <c r="AG107" s="171"/>
      <c r="AH107" s="1239"/>
      <c r="AI107" s="1239"/>
      <c r="AJ107" s="1239"/>
      <c r="AK107" s="1239"/>
      <c r="AL107" s="1239"/>
      <c r="AM107" s="1239"/>
      <c r="AN107" s="455"/>
      <c r="AO107" s="1239"/>
      <c r="AP107" s="1239"/>
      <c r="AQ107" s="484">
        <f>+FL_2($T$108,$T$106,$G$107,1200,9.28,-1*$F$108)</f>
        <v>-0.43600286799999999</v>
      </c>
      <c r="AR107" s="484"/>
      <c r="AS107" s="484"/>
      <c r="AT107" s="484"/>
      <c r="AU107" s="638"/>
      <c r="AV107" s="638"/>
      <c r="AW107" s="484"/>
      <c r="AX107" s="484"/>
      <c r="AY107" s="484"/>
      <c r="AZ107" s="484"/>
      <c r="BA107" s="671"/>
      <c r="BB107" s="449"/>
      <c r="BC107" s="169"/>
      <c r="BD107" s="1330"/>
      <c r="BE107" s="1330"/>
      <c r="BF107" s="1330"/>
      <c r="BG107" s="1330"/>
    </row>
    <row r="108" spans="1:59" ht="15.75" customHeight="1">
      <c r="A108" s="449"/>
      <c r="B108" s="445" t="s">
        <v>3158</v>
      </c>
      <c r="C108" s="446">
        <f>+$C$106+$G$107</f>
        <v>87490.150000000009</v>
      </c>
      <c r="D108" s="448"/>
      <c r="E108" s="448"/>
      <c r="F108" s="448">
        <v>0</v>
      </c>
      <c r="G108" s="484"/>
      <c r="H108" s="1239" t="s">
        <v>138</v>
      </c>
      <c r="I108" s="448" t="s">
        <v>623</v>
      </c>
      <c r="J108" s="446"/>
      <c r="K108" s="638"/>
      <c r="L108" s="638" t="s">
        <v>821</v>
      </c>
      <c r="M108" s="638" t="str">
        <f>IF(AX108="PT",VLOOKUP(L108,'Foundation Calculation'!$V$2:$X$40,VLOOKUP(AX108,'Foundation Calculation'!$I$10:$J$13,2,FALSE),0),IF(AX108="K",VLOOKUP(L108,'Foundation Calculation'!$V$42:$X$80,VLOOKUP(AX108,'Foundation Calculation'!$I$10:$J$13,2,FALSE),0),""))</f>
        <v>C7R</v>
      </c>
      <c r="N108" s="1239" t="s">
        <v>143</v>
      </c>
      <c r="O108" s="1239"/>
      <c r="P108" s="1239"/>
      <c r="Q108" s="1239">
        <v>0</v>
      </c>
      <c r="R108" s="1239">
        <v>0</v>
      </c>
      <c r="S108" s="455"/>
      <c r="T108" s="1285">
        <v>-35</v>
      </c>
      <c r="U108" s="1285"/>
      <c r="V108" s="1285"/>
      <c r="W108" s="1285">
        <v>1.4</v>
      </c>
      <c r="X108" s="1285"/>
      <c r="Y108" s="1285"/>
      <c r="Z108" s="1285"/>
      <c r="AA108" s="1285"/>
      <c r="AB108" s="1285"/>
      <c r="AC108" s="1285" t="s">
        <v>1421</v>
      </c>
      <c r="AD108" s="1285"/>
      <c r="AE108" s="1285"/>
      <c r="AF108" s="1285">
        <v>6000</v>
      </c>
      <c r="AG108" s="1350">
        <v>87490</v>
      </c>
      <c r="AH108" s="1285">
        <v>2653</v>
      </c>
      <c r="AI108" s="1285">
        <v>570</v>
      </c>
      <c r="AJ108" s="1239"/>
      <c r="AK108" s="1239"/>
      <c r="AL108" s="1239" t="s">
        <v>2142</v>
      </c>
      <c r="AM108" s="1239"/>
      <c r="AN108" s="455">
        <v>5.5</v>
      </c>
      <c r="AO108" s="1239"/>
      <c r="AP108" s="1239"/>
      <c r="AQ108" s="484"/>
      <c r="AR108" s="484"/>
      <c r="AS108" s="484"/>
      <c r="AT108" s="484">
        <f>+ab($T$108,$T$106,$T$110,$G$107,$G$109,-1*$F$108,1200)</f>
        <v>-8.1682020423530854</v>
      </c>
      <c r="AU108" s="638"/>
      <c r="AV108" s="638"/>
      <c r="AW108" s="484" t="str">
        <f>VLOOKUP(C108,'Foundation Calculation'!$A$2:$C$33,3,1)</f>
        <v>Soil B</v>
      </c>
      <c r="AX108" s="484" t="str">
        <f>VLOOKUP(C108,'Foundation Calculation'!$E$2:$G$33,3,1)</f>
        <v>PT</v>
      </c>
      <c r="AY108" s="484">
        <f>IF(AX108="PT",VLOOKUP(L108,'Foundation Calculation'!$K$2:$R$40,VLOOKUP(AW108,'Foundation Calculation'!$I$2:$J$8,2,FALSE),0),IF(AX108="K",VLOOKUP(L108,'Foundation Calculation'!$K$42:$R$80,VLOOKUP(AW108,'Foundation Calculation'!$I$2:$J$8,2,FALSE),0),""))</f>
        <v>3.5</v>
      </c>
      <c r="AZ108" s="484"/>
      <c r="BA108" s="671" t="s">
        <v>2809</v>
      </c>
      <c r="BB108" s="449" t="str">
        <f>Pole_Calculations!A178</f>
        <v>App.8-V08F-P10.3</v>
      </c>
      <c r="BC108" s="169"/>
      <c r="BD108" s="1329">
        <v>43812</v>
      </c>
      <c r="BE108" s="1329"/>
      <c r="BF108" s="1329"/>
      <c r="BG108" s="1329"/>
    </row>
    <row r="109" spans="1:59" ht="15.75" customHeight="1">
      <c r="A109" s="446"/>
      <c r="B109" s="445"/>
      <c r="C109" s="446"/>
      <c r="D109" s="448"/>
      <c r="E109" s="448"/>
      <c r="F109" s="448"/>
      <c r="G109" s="484">
        <v>60</v>
      </c>
      <c r="H109" s="1239"/>
      <c r="I109" s="448"/>
      <c r="J109" s="446">
        <f>C108+7.5</f>
        <v>87497.650000000009</v>
      </c>
      <c r="K109" s="638" t="s">
        <v>2787</v>
      </c>
      <c r="L109" s="638"/>
      <c r="M109" s="638"/>
      <c r="N109" s="1239"/>
      <c r="O109" s="1239"/>
      <c r="P109" s="1239"/>
      <c r="Q109" s="1239"/>
      <c r="R109" s="1239"/>
      <c r="S109" s="1352">
        <f t="shared" si="8"/>
        <v>60</v>
      </c>
      <c r="T109" s="1239"/>
      <c r="U109" s="1239"/>
      <c r="V109" s="1239"/>
      <c r="W109" s="1239"/>
      <c r="X109" s="1239"/>
      <c r="Y109" s="1239"/>
      <c r="Z109" s="1239"/>
      <c r="AA109" s="1239"/>
      <c r="AB109" s="1239"/>
      <c r="AC109" s="1239"/>
      <c r="AD109" s="1239"/>
      <c r="AE109" s="1239"/>
      <c r="AF109" s="1239"/>
      <c r="AG109" s="171"/>
      <c r="AH109" s="1239"/>
      <c r="AI109" s="1239"/>
      <c r="AJ109" s="1239"/>
      <c r="AK109" s="1239"/>
      <c r="AL109" s="1239"/>
      <c r="AM109" s="1239"/>
      <c r="AN109" s="455"/>
      <c r="AO109" s="1239"/>
      <c r="AP109" s="1239"/>
      <c r="AQ109" s="484">
        <f>+FL_1($T$110,$T$108,$G$109,1200,9.28,-1*$F$110)</f>
        <v>0.43600286799999999</v>
      </c>
      <c r="AR109" s="484"/>
      <c r="AS109" s="484"/>
      <c r="AT109" s="484"/>
      <c r="AU109" s="638"/>
      <c r="AV109" s="638"/>
      <c r="AW109" s="638" t="str">
        <f>VLOOKUP(J109,'Foundation Calculation'!$A$2:$C$33,3,1)</f>
        <v>Soil B</v>
      </c>
      <c r="AX109" s="638" t="str">
        <f>VLOOKUP(J109,'Foundation Calculation'!$E$2:$G$33,3,1)</f>
        <v>PT</v>
      </c>
      <c r="AY109" s="484"/>
      <c r="AZ109" s="484">
        <f>IF(AX109="PT",VLOOKUP(K109,'Foundation Calculation'!$K$2:$R$40,VLOOKUP(AW109,'Foundation Calculation'!$I$2:$J$8,2,FALSE),0),IF(AX109="K",VLOOKUP(K109,'Foundation Calculation'!$K$42:$R$80,VLOOKUP(AW109,'Foundation Calculation'!$I$2:$J$8,2,FALSE),0),""))</f>
        <v>3.9</v>
      </c>
      <c r="BA109" s="671" t="s">
        <v>2809</v>
      </c>
      <c r="BB109" s="446"/>
      <c r="BC109" s="169"/>
      <c r="BD109" s="1329">
        <v>43812</v>
      </c>
      <c r="BE109" s="1330"/>
      <c r="BF109" s="1330"/>
      <c r="BG109" s="1330"/>
    </row>
    <row r="110" spans="1:59" ht="15.75" customHeight="1">
      <c r="A110" s="447"/>
      <c r="B110" s="445" t="s">
        <v>3159</v>
      </c>
      <c r="C110" s="446">
        <f>+$C$108+$G$109</f>
        <v>87550.150000000009</v>
      </c>
      <c r="D110" s="448"/>
      <c r="E110" s="448"/>
      <c r="F110" s="448">
        <v>0</v>
      </c>
      <c r="G110" s="484"/>
      <c r="H110" s="1239"/>
      <c r="I110" s="448"/>
      <c r="J110" s="446"/>
      <c r="K110" s="638"/>
      <c r="L110" s="638" t="s">
        <v>821</v>
      </c>
      <c r="M110" s="638" t="str">
        <f>IF(AX110="PT",VLOOKUP(L110,'Foundation Calculation'!$V$2:$X$40,VLOOKUP(AX110,'Foundation Calculation'!$I$10:$J$13,2,FALSE),0),IF(AX110="K",VLOOKUP(L110,'Foundation Calculation'!$V$42:$X$80,VLOOKUP(AX110,'Foundation Calculation'!$I$10:$J$13,2,FALSE),0),""))</f>
        <v>C7R</v>
      </c>
      <c r="N110" s="1239" t="s">
        <v>144</v>
      </c>
      <c r="O110" s="1239"/>
      <c r="P110" s="1239"/>
      <c r="Q110" s="1239">
        <v>0</v>
      </c>
      <c r="R110" s="1239">
        <v>0</v>
      </c>
      <c r="S110" s="455"/>
      <c r="T110" s="1285">
        <v>35</v>
      </c>
      <c r="U110" s="1285"/>
      <c r="V110" s="1285"/>
      <c r="W110" s="1285">
        <v>1.4</v>
      </c>
      <c r="X110" s="1285"/>
      <c r="Y110" s="1285"/>
      <c r="Z110" s="1285"/>
      <c r="AA110" s="1285"/>
      <c r="AB110" s="1285"/>
      <c r="AC110" s="1285" t="s">
        <v>1421</v>
      </c>
      <c r="AD110" s="1285"/>
      <c r="AE110" s="1285"/>
      <c r="AF110" s="1285">
        <v>6000</v>
      </c>
      <c r="AG110" s="1350">
        <v>87550</v>
      </c>
      <c r="AH110" s="1285">
        <v>2483</v>
      </c>
      <c r="AI110" s="1285">
        <v>500</v>
      </c>
      <c r="AJ110" s="1239"/>
      <c r="AK110" s="1239"/>
      <c r="AL110" s="1239" t="s">
        <v>2142</v>
      </c>
      <c r="AM110" s="1239"/>
      <c r="AN110" s="455">
        <v>5.5</v>
      </c>
      <c r="AO110" s="1239"/>
      <c r="AP110" s="1239"/>
      <c r="AQ110" s="484"/>
      <c r="AR110" s="484"/>
      <c r="AS110" s="484"/>
      <c r="AT110" s="484">
        <f>+ab($T$110,$T$108,$T$112,$G$109,$G$111,-1*$F$110,1200)</f>
        <v>8.1681606014296726</v>
      </c>
      <c r="AU110" s="638"/>
      <c r="AV110" s="638"/>
      <c r="AW110" s="484" t="str">
        <f>VLOOKUP(C110,'Foundation Calculation'!$A$2:$C$33,3,1)</f>
        <v>Soil A</v>
      </c>
      <c r="AX110" s="484" t="str">
        <f>VLOOKUP(C110,'Foundation Calculation'!$E$2:$G$33,3,1)</f>
        <v>PT</v>
      </c>
      <c r="AY110" s="484">
        <f>IF(AX110="PT",VLOOKUP(L110,'Foundation Calculation'!$K$2:$R$40,VLOOKUP(AW110,'Foundation Calculation'!$I$2:$J$8,2,FALSE),0),IF(AX110="K",VLOOKUP(L110,'Foundation Calculation'!$K$42:$R$80,VLOOKUP(AW110,'Foundation Calculation'!$I$2:$J$8,2,FALSE),0),""))</f>
        <v>4</v>
      </c>
      <c r="AZ110" s="484"/>
      <c r="BA110" s="671" t="s">
        <v>2809</v>
      </c>
      <c r="BB110" s="447" t="str">
        <f>Pole_Calculations!A178</f>
        <v>App.8-V08F-P10.3</v>
      </c>
      <c r="BC110" s="169"/>
      <c r="BD110" s="1329">
        <v>43812</v>
      </c>
      <c r="BE110" s="1329"/>
      <c r="BF110" s="1329"/>
      <c r="BG110" s="1329"/>
    </row>
    <row r="111" spans="1:59" ht="15.75" customHeight="1">
      <c r="A111" s="447"/>
      <c r="B111" s="445"/>
      <c r="C111" s="446"/>
      <c r="D111" s="448"/>
      <c r="E111" s="448"/>
      <c r="F111" s="448"/>
      <c r="G111" s="484">
        <v>60</v>
      </c>
      <c r="H111" s="1239"/>
      <c r="I111" s="448"/>
      <c r="J111" s="446"/>
      <c r="K111" s="638"/>
      <c r="L111" s="638"/>
      <c r="M111" s="638"/>
      <c r="N111" s="1239"/>
      <c r="O111" s="1239"/>
      <c r="P111" s="1239"/>
      <c r="Q111" s="1239"/>
      <c r="R111" s="1239"/>
      <c r="S111" s="1352">
        <f t="shared" si="8"/>
        <v>60</v>
      </c>
      <c r="T111" s="1239"/>
      <c r="U111" s="1239"/>
      <c r="V111" s="1239"/>
      <c r="W111" s="1239"/>
      <c r="X111" s="1239"/>
      <c r="Y111" s="1239"/>
      <c r="Z111" s="1239"/>
      <c r="AA111" s="1239"/>
      <c r="AB111" s="1239"/>
      <c r="AC111" s="1239"/>
      <c r="AD111" s="1239"/>
      <c r="AE111" s="1239"/>
      <c r="AF111" s="1239"/>
      <c r="AG111" s="171"/>
      <c r="AH111" s="1239"/>
      <c r="AI111" s="1239"/>
      <c r="AJ111" s="1239"/>
      <c r="AK111" s="1239"/>
      <c r="AL111" s="1239"/>
      <c r="AM111" s="1239"/>
      <c r="AN111" s="455"/>
      <c r="AO111" s="1239"/>
      <c r="AP111" s="1239"/>
      <c r="AQ111" s="484">
        <f>+FL_2($T$112,$T$110,$G$111,1200,9.28,-1*$F$112)</f>
        <v>-0.43600286799999999</v>
      </c>
      <c r="AR111" s="484"/>
      <c r="AS111" s="484"/>
      <c r="AT111" s="484"/>
      <c r="AU111" s="638"/>
      <c r="AV111" s="638"/>
      <c r="AW111" s="484"/>
      <c r="AX111" s="484"/>
      <c r="AY111" s="484"/>
      <c r="AZ111" s="484"/>
      <c r="BA111" s="671"/>
      <c r="BB111" s="447"/>
      <c r="BC111" s="169"/>
      <c r="BD111" s="1330"/>
      <c r="BE111" s="1330"/>
      <c r="BF111" s="1330"/>
      <c r="BG111" s="1330"/>
    </row>
    <row r="112" spans="1:59" ht="15.75" customHeight="1">
      <c r="A112" s="447"/>
      <c r="B112" s="445" t="s">
        <v>3160</v>
      </c>
      <c r="C112" s="446">
        <f>+$C$110+$G$111</f>
        <v>87610.150000000009</v>
      </c>
      <c r="D112" s="448"/>
      <c r="E112" s="448"/>
      <c r="F112" s="448">
        <v>0</v>
      </c>
      <c r="G112" s="484"/>
      <c r="H112" s="1239"/>
      <c r="I112" s="448"/>
      <c r="J112" s="446"/>
      <c r="K112" s="638"/>
      <c r="L112" s="638" t="s">
        <v>821</v>
      </c>
      <c r="M112" s="638" t="str">
        <f>IF(AX112="PT",VLOOKUP(L112,'Foundation Calculation'!$V$2:$X$40,VLOOKUP(AX112,'Foundation Calculation'!$I$10:$J$13,2,FALSE),0),IF(AX112="K",VLOOKUP(L112,'Foundation Calculation'!$V$42:$X$80,VLOOKUP(AX112,'Foundation Calculation'!$I$10:$J$13,2,FALSE),0),""))</f>
        <v>C7R</v>
      </c>
      <c r="N112" s="1239" t="s">
        <v>143</v>
      </c>
      <c r="O112" s="1239"/>
      <c r="P112" s="1239"/>
      <c r="Q112" s="1239">
        <v>0</v>
      </c>
      <c r="R112" s="1239">
        <v>0</v>
      </c>
      <c r="S112" s="455"/>
      <c r="T112" s="1239">
        <v>-35</v>
      </c>
      <c r="U112" s="1239"/>
      <c r="V112" s="1239"/>
      <c r="W112" s="1239">
        <v>1.4</v>
      </c>
      <c r="X112" s="1239"/>
      <c r="Y112" s="1239"/>
      <c r="Z112" s="1239"/>
      <c r="AA112" s="1239"/>
      <c r="AB112" s="1239"/>
      <c r="AC112" s="1239" t="s">
        <v>1421</v>
      </c>
      <c r="AD112" s="1239"/>
      <c r="AE112" s="1239"/>
      <c r="AF112" s="1239">
        <v>6000</v>
      </c>
      <c r="AG112" s="171">
        <v>87610</v>
      </c>
      <c r="AH112" s="1239">
        <v>2613</v>
      </c>
      <c r="AI112" s="1239">
        <v>330</v>
      </c>
      <c r="AJ112" s="1239"/>
      <c r="AK112" s="1239"/>
      <c r="AL112" s="1239" t="s">
        <v>2142</v>
      </c>
      <c r="AM112" s="1239"/>
      <c r="AN112" s="455">
        <v>5.5</v>
      </c>
      <c r="AO112" s="1239"/>
      <c r="AP112" s="1239"/>
      <c r="AQ112" s="484"/>
      <c r="AR112" s="484"/>
      <c r="AS112" s="484"/>
      <c r="AT112" s="484">
        <f>+ab($T$112,$T$110,$T$114,$G$111,$G$113,-1*$F$112,1200)</f>
        <v>-8.1682020423530854</v>
      </c>
      <c r="AU112" s="638"/>
      <c r="AV112" s="638"/>
      <c r="AW112" s="484" t="str">
        <f>VLOOKUP(C112,'Foundation Calculation'!$A$2:$C$33,3,1)</f>
        <v>Soil A</v>
      </c>
      <c r="AX112" s="484" t="str">
        <f>VLOOKUP(C112,'Foundation Calculation'!$E$2:$G$33,3,1)</f>
        <v>PT</v>
      </c>
      <c r="AY112" s="484">
        <f>IF(AX112="PT",VLOOKUP(L112,'Foundation Calculation'!$K$2:$R$40,VLOOKUP(AW112,'Foundation Calculation'!$I$2:$J$8,2,FALSE),0),IF(AX112="K",VLOOKUP(L112,'Foundation Calculation'!$K$42:$R$80,VLOOKUP(AW112,'Foundation Calculation'!$I$2:$J$8,2,FALSE),0),""))</f>
        <v>4</v>
      </c>
      <c r="AZ112" s="484"/>
      <c r="BA112" s="671" t="s">
        <v>2809</v>
      </c>
      <c r="BB112" s="447" t="str">
        <f>Pole_Calculations!A178</f>
        <v>App.8-V08F-P10.3</v>
      </c>
      <c r="BC112" s="169"/>
      <c r="BD112" s="1371">
        <v>43812</v>
      </c>
      <c r="BE112" s="1371"/>
      <c r="BF112" s="1371"/>
      <c r="BG112" s="1371"/>
    </row>
    <row r="113" spans="1:59" ht="15.75" customHeight="1">
      <c r="A113" s="447"/>
      <c r="B113" s="445"/>
      <c r="C113" s="446"/>
      <c r="D113" s="448"/>
      <c r="E113" s="448"/>
      <c r="F113" s="448"/>
      <c r="G113" s="484">
        <v>60</v>
      </c>
      <c r="H113" s="1239"/>
      <c r="I113" s="448"/>
      <c r="J113" s="446"/>
      <c r="K113" s="638"/>
      <c r="L113" s="638"/>
      <c r="M113" s="638"/>
      <c r="N113" s="1239"/>
      <c r="O113" s="1239"/>
      <c r="P113" s="1239"/>
      <c r="Q113" s="1239"/>
      <c r="R113" s="1239"/>
      <c r="S113" s="455">
        <f>AG114-AG112</f>
        <v>60</v>
      </c>
      <c r="T113" s="1239"/>
      <c r="U113" s="1239"/>
      <c r="V113" s="1239"/>
      <c r="W113" s="1239"/>
      <c r="X113" s="1239"/>
      <c r="Y113" s="1239"/>
      <c r="Z113" s="1239"/>
      <c r="AA113" s="1239"/>
      <c r="AB113" s="1239"/>
      <c r="AC113" s="1239"/>
      <c r="AD113" s="1239"/>
      <c r="AE113" s="1239"/>
      <c r="AF113" s="1239"/>
      <c r="AG113" s="171"/>
      <c r="AH113" s="1239"/>
      <c r="AI113" s="1239"/>
      <c r="AJ113" s="1239"/>
      <c r="AK113" s="1239"/>
      <c r="AL113" s="1239"/>
      <c r="AM113" s="1239"/>
      <c r="AN113" s="455"/>
      <c r="AO113" s="1239"/>
      <c r="AP113" s="1239"/>
      <c r="AQ113" s="484">
        <f>+FL_1($T$114,$T$112,$G$113,1200,9.28,-1*$F$114)</f>
        <v>0.43600286799999999</v>
      </c>
      <c r="AR113" s="484"/>
      <c r="AS113" s="484"/>
      <c r="AT113" s="484"/>
      <c r="AU113" s="638"/>
      <c r="AV113" s="638"/>
      <c r="AW113" s="484"/>
      <c r="AX113" s="484"/>
      <c r="AY113" s="484"/>
      <c r="AZ113" s="484"/>
      <c r="BA113" s="671"/>
      <c r="BB113" s="447"/>
      <c r="BC113" s="169"/>
      <c r="BD113" s="1330"/>
      <c r="BE113" s="1330"/>
      <c r="BF113" s="1330"/>
      <c r="BG113" s="1330"/>
    </row>
    <row r="114" spans="1:59" ht="15.75" customHeight="1">
      <c r="A114" s="447"/>
      <c r="B114" s="445" t="s">
        <v>3161</v>
      </c>
      <c r="C114" s="446">
        <f>+$C$112+$G$113</f>
        <v>87670.150000000009</v>
      </c>
      <c r="D114" s="448"/>
      <c r="E114" s="448"/>
      <c r="F114" s="448">
        <v>0</v>
      </c>
      <c r="G114" s="484"/>
      <c r="H114" s="1239"/>
      <c r="I114" s="448"/>
      <c r="J114" s="446"/>
      <c r="K114" s="638"/>
      <c r="L114" s="638" t="s">
        <v>821</v>
      </c>
      <c r="M114" s="638" t="str">
        <f>IF(AX114="PT",VLOOKUP(L114,'Foundation Calculation'!$V$2:$X$40,VLOOKUP(AX114,'Foundation Calculation'!$I$10:$J$13,2,FALSE),0),IF(AX114="K",VLOOKUP(L114,'Foundation Calculation'!$V$42:$X$80,VLOOKUP(AX114,'Foundation Calculation'!$I$10:$J$13,2,FALSE),0),""))</f>
        <v>C7R</v>
      </c>
      <c r="N114" s="1239" t="s">
        <v>144</v>
      </c>
      <c r="O114" s="1239"/>
      <c r="P114" s="1239"/>
      <c r="Q114" s="1239">
        <v>0</v>
      </c>
      <c r="R114" s="1239">
        <v>0</v>
      </c>
      <c r="S114" s="455"/>
      <c r="T114" s="1239">
        <v>35</v>
      </c>
      <c r="U114" s="1239"/>
      <c r="V114" s="1239"/>
      <c r="W114" s="1239">
        <v>1.4</v>
      </c>
      <c r="X114" s="1239"/>
      <c r="Y114" s="1239"/>
      <c r="Z114" s="1239"/>
      <c r="AA114" s="1239"/>
      <c r="AB114" s="1239"/>
      <c r="AC114" s="1239" t="s">
        <v>1421</v>
      </c>
      <c r="AD114" s="1239"/>
      <c r="AE114" s="1239"/>
      <c r="AF114" s="1239">
        <v>6000</v>
      </c>
      <c r="AG114" s="171">
        <v>87670</v>
      </c>
      <c r="AH114" s="1239">
        <v>2773</v>
      </c>
      <c r="AI114" s="1239">
        <v>560</v>
      </c>
      <c r="AJ114" s="1239"/>
      <c r="AK114" s="1239"/>
      <c r="AL114" s="1239" t="s">
        <v>2142</v>
      </c>
      <c r="AM114" s="1239"/>
      <c r="AN114" s="455">
        <v>5.5</v>
      </c>
      <c r="AO114" s="1239"/>
      <c r="AP114" s="1239"/>
      <c r="AQ114" s="484"/>
      <c r="AR114" s="484"/>
      <c r="AS114" s="484"/>
      <c r="AT114" s="484">
        <f>+ab($T$114,$T$112,$T$116,$G$113,$G$115,-1*$F$114,1200)</f>
        <v>8.1681606014296726</v>
      </c>
      <c r="AU114" s="638"/>
      <c r="AV114" s="638"/>
      <c r="AW114" s="484" t="str">
        <f>VLOOKUP(C114,'Foundation Calculation'!$A$2:$C$33,3,1)</f>
        <v>Soil A</v>
      </c>
      <c r="AX114" s="484" t="str">
        <f>VLOOKUP(C114,'Foundation Calculation'!$E$2:$G$33,3,1)</f>
        <v>PT</v>
      </c>
      <c r="AY114" s="484">
        <f>IF(AX114="PT",VLOOKUP(L114,'Foundation Calculation'!$K$2:$R$40,VLOOKUP(AW114,'Foundation Calculation'!$I$2:$J$8,2,FALSE),0),IF(AX114="K",VLOOKUP(L114,'Foundation Calculation'!$K$42:$R$80,VLOOKUP(AW114,'Foundation Calculation'!$I$2:$J$8,2,FALSE),0),""))</f>
        <v>4</v>
      </c>
      <c r="AZ114" s="484"/>
      <c r="BA114" s="671" t="s">
        <v>2809</v>
      </c>
      <c r="BB114" s="447" t="str">
        <f>Pole_Calculations!A178</f>
        <v>App.8-V08F-P10.3</v>
      </c>
      <c r="BC114" s="169"/>
      <c r="BD114" s="1371"/>
      <c r="BE114" s="1371"/>
      <c r="BF114" s="1371"/>
      <c r="BG114" s="1371"/>
    </row>
    <row r="115" spans="1:59" ht="15.75" customHeight="1">
      <c r="A115" s="647" t="s">
        <v>3049</v>
      </c>
      <c r="B115" s="657"/>
      <c r="C115" s="649"/>
      <c r="D115" s="650"/>
      <c r="E115" s="650"/>
      <c r="F115" s="650"/>
      <c r="G115" s="654">
        <v>60</v>
      </c>
      <c r="H115" s="647"/>
      <c r="I115" s="650"/>
      <c r="J115" s="649"/>
      <c r="K115" s="653"/>
      <c r="L115" s="653"/>
      <c r="M115" s="653"/>
      <c r="N115" s="647"/>
      <c r="O115" s="647"/>
      <c r="P115" s="647"/>
      <c r="Q115" s="647"/>
      <c r="R115" s="647"/>
      <c r="S115" s="651">
        <f t="shared" ref="S115" si="9">AG116-AG114</f>
        <v>60</v>
      </c>
      <c r="T115" s="647"/>
      <c r="U115" s="647"/>
      <c r="V115" s="647"/>
      <c r="W115" s="647"/>
      <c r="X115" s="647"/>
      <c r="Y115" s="647"/>
      <c r="Z115" s="647"/>
      <c r="AA115" s="647"/>
      <c r="AB115" s="647"/>
      <c r="AC115" s="647"/>
      <c r="AD115" s="647"/>
      <c r="AE115" s="647"/>
      <c r="AF115" s="647"/>
      <c r="AG115" s="652"/>
      <c r="AH115" s="647"/>
      <c r="AI115" s="647"/>
      <c r="AJ115" s="647"/>
      <c r="AK115" s="647"/>
      <c r="AL115" s="647"/>
      <c r="AM115" s="647"/>
      <c r="AN115" s="651"/>
      <c r="AO115" s="647"/>
      <c r="AP115" s="647"/>
      <c r="AQ115" s="654">
        <f>+FL_2($T$116,$T$114,$G$115,1200,9.28,-1*$F$116)</f>
        <v>-0.43600286799999999</v>
      </c>
      <c r="AR115" s="654"/>
      <c r="AS115" s="654"/>
      <c r="AT115" s="654"/>
      <c r="AU115" s="653"/>
      <c r="AV115" s="653"/>
      <c r="AW115" s="654"/>
      <c r="AX115" s="654"/>
      <c r="AY115" s="654"/>
      <c r="AZ115" s="654"/>
      <c r="BA115" s="701"/>
      <c r="BB115" s="647"/>
      <c r="BC115" s="169"/>
      <c r="BD115" s="1330"/>
      <c r="BE115" s="1330"/>
      <c r="BF115" s="1330"/>
      <c r="BG115" s="1330"/>
    </row>
    <row r="116" spans="1:59" ht="15.75" customHeight="1">
      <c r="A116" s="449"/>
      <c r="B116" s="445" t="s">
        <v>3162</v>
      </c>
      <c r="C116" s="446">
        <f>+$C$114+$G$115</f>
        <v>87730.150000000009</v>
      </c>
      <c r="D116" s="448"/>
      <c r="E116" s="448"/>
      <c r="F116" s="448">
        <v>0</v>
      </c>
      <c r="G116" s="484"/>
      <c r="H116" s="1239"/>
      <c r="I116" s="448"/>
      <c r="J116" s="446"/>
      <c r="K116" s="638"/>
      <c r="L116" s="638" t="s">
        <v>821</v>
      </c>
      <c r="M116" s="638" t="str">
        <f>IF(AX116="PT",VLOOKUP(L116,'Foundation Calculation'!$V$2:$X$40,VLOOKUP(AX116,'Foundation Calculation'!$I$10:$J$13,2,FALSE),0),IF(AX116="K",VLOOKUP(L116,'Foundation Calculation'!$V$42:$X$80,VLOOKUP(AX116,'Foundation Calculation'!$I$10:$J$13,2,FALSE),0),""))</f>
        <v>C7R</v>
      </c>
      <c r="N116" s="1239" t="s">
        <v>143</v>
      </c>
      <c r="O116" s="1239"/>
      <c r="P116" s="1239"/>
      <c r="Q116" s="1239">
        <v>0</v>
      </c>
      <c r="R116" s="1239">
        <v>0</v>
      </c>
      <c r="S116" s="455"/>
      <c r="T116" s="1239">
        <v>-35</v>
      </c>
      <c r="U116" s="1239"/>
      <c r="V116" s="1239"/>
      <c r="W116" s="1239">
        <v>1.4</v>
      </c>
      <c r="X116" s="1239"/>
      <c r="Y116" s="1239"/>
      <c r="Z116" s="1239"/>
      <c r="AA116" s="1239"/>
      <c r="AB116" s="1239"/>
      <c r="AC116" s="1239" t="s">
        <v>1421</v>
      </c>
      <c r="AD116" s="1239"/>
      <c r="AE116" s="1239"/>
      <c r="AF116" s="1239">
        <v>6000</v>
      </c>
      <c r="AG116" s="171">
        <v>87730</v>
      </c>
      <c r="AH116" s="1239">
        <v>2673</v>
      </c>
      <c r="AI116" s="1239">
        <v>400</v>
      </c>
      <c r="AJ116" s="1239"/>
      <c r="AK116" s="1239"/>
      <c r="AL116" s="1239" t="s">
        <v>2142</v>
      </c>
      <c r="AM116" s="1239"/>
      <c r="AN116" s="455">
        <v>5.5</v>
      </c>
      <c r="AO116" s="1239"/>
      <c r="AP116" s="1239"/>
      <c r="AQ116" s="484"/>
      <c r="AR116" s="484"/>
      <c r="AS116" s="484"/>
      <c r="AT116" s="484">
        <f>+ab($T$116,$T$114,$T$118,$G$115,$G$117,-1*$F$116,1200)</f>
        <v>-8.1682020423530854</v>
      </c>
      <c r="AU116" s="638"/>
      <c r="AV116" s="638"/>
      <c r="AW116" s="484" t="str">
        <f>VLOOKUP(C116,'Foundation Calculation'!$A$2:$C$33,3,1)</f>
        <v>Soil A</v>
      </c>
      <c r="AX116" s="484" t="str">
        <f>VLOOKUP(C116,'Foundation Calculation'!$E$2:$G$33,3,1)</f>
        <v>PT</v>
      </c>
      <c r="AY116" s="484">
        <f>IF(AX116="PT",VLOOKUP(L116,'Foundation Calculation'!$K$2:$R$40,VLOOKUP(AW116,'Foundation Calculation'!$I$2:$J$8,2,FALSE),0),IF(AX116="K",VLOOKUP(L116,'Foundation Calculation'!$K$42:$R$80,VLOOKUP(AW116,'Foundation Calculation'!$I$2:$J$8,2,FALSE),0),""))</f>
        <v>4</v>
      </c>
      <c r="AZ116" s="484"/>
      <c r="BA116" s="671" t="s">
        <v>2809</v>
      </c>
      <c r="BB116" s="449" t="str">
        <f>Pole_Calculations!A178</f>
        <v>App.8-V08F-P10.3</v>
      </c>
      <c r="BC116" s="169"/>
      <c r="BD116" s="1371"/>
      <c r="BE116" s="1371"/>
      <c r="BF116" s="1371"/>
      <c r="BG116" s="1371"/>
    </row>
    <row r="117" spans="1:59" ht="15.75" customHeight="1">
      <c r="A117" s="449"/>
      <c r="B117" s="445"/>
      <c r="C117" s="446"/>
      <c r="D117" s="448"/>
      <c r="E117" s="448"/>
      <c r="F117" s="448"/>
      <c r="G117" s="484">
        <v>60</v>
      </c>
      <c r="H117" s="1239"/>
      <c r="I117" s="448"/>
      <c r="J117" s="446"/>
      <c r="K117" s="638"/>
      <c r="L117" s="638"/>
      <c r="M117" s="638"/>
      <c r="N117" s="1239"/>
      <c r="O117" s="1239"/>
      <c r="P117" s="1239"/>
      <c r="Q117" s="1239"/>
      <c r="R117" s="1239"/>
      <c r="S117" s="455">
        <f t="shared" ref="S117" si="10">AG118-AG116</f>
        <v>60</v>
      </c>
      <c r="T117" s="1239"/>
      <c r="U117" s="1239"/>
      <c r="V117" s="1239"/>
      <c r="W117" s="1239"/>
      <c r="X117" s="1239"/>
      <c r="Y117" s="1239"/>
      <c r="Z117" s="1239"/>
      <c r="AA117" s="1239"/>
      <c r="AB117" s="1239"/>
      <c r="AC117" s="1239"/>
      <c r="AD117" s="1239"/>
      <c r="AE117" s="1239"/>
      <c r="AF117" s="1239"/>
      <c r="AG117" s="171"/>
      <c r="AH117" s="1239"/>
      <c r="AI117" s="1239"/>
      <c r="AJ117" s="1239"/>
      <c r="AK117" s="1239"/>
      <c r="AL117" s="1239"/>
      <c r="AM117" s="1239"/>
      <c r="AN117" s="455"/>
      <c r="AO117" s="1239"/>
      <c r="AP117" s="1239"/>
      <c r="AQ117" s="484">
        <f>+FL_1($T$118,$T$116,$G$117,1200,9.28,-1*$F$118)</f>
        <v>0.43600286799999999</v>
      </c>
      <c r="AR117" s="484"/>
      <c r="AS117" s="484"/>
      <c r="AT117" s="484"/>
      <c r="AU117" s="638"/>
      <c r="AV117" s="638"/>
      <c r="AW117" s="484"/>
      <c r="AX117" s="484"/>
      <c r="AY117" s="484"/>
      <c r="AZ117" s="484"/>
      <c r="BA117" s="671"/>
      <c r="BB117" s="449"/>
      <c r="BC117" s="169"/>
      <c r="BD117" s="1330"/>
      <c r="BE117" s="1330"/>
      <c r="BF117" s="1330"/>
      <c r="BG117" s="1330"/>
    </row>
    <row r="118" spans="1:59" ht="15.75" customHeight="1">
      <c r="A118" s="449"/>
      <c r="B118" s="445" t="s">
        <v>3163</v>
      </c>
      <c r="C118" s="446">
        <f>+$C$116+$G$117</f>
        <v>87790.150000000009</v>
      </c>
      <c r="D118" s="448"/>
      <c r="E118" s="448"/>
      <c r="F118" s="448">
        <v>0</v>
      </c>
      <c r="G118" s="484"/>
      <c r="H118" s="1239"/>
      <c r="I118" s="448"/>
      <c r="J118" s="446"/>
      <c r="K118" s="638"/>
      <c r="L118" s="638" t="s">
        <v>821</v>
      </c>
      <c r="M118" s="638" t="str">
        <f>IF(AX118="PT",VLOOKUP(L118,'Foundation Calculation'!$V$2:$X$40,VLOOKUP(AX118,'Foundation Calculation'!$I$10:$J$13,2,FALSE),0),IF(AX118="K",VLOOKUP(L118,'Foundation Calculation'!$V$42:$X$80,VLOOKUP(AX118,'Foundation Calculation'!$I$10:$J$13,2,FALSE),0),""))</f>
        <v>C7R</v>
      </c>
      <c r="N118" s="1239" t="s">
        <v>144</v>
      </c>
      <c r="O118" s="1239"/>
      <c r="P118" s="1239"/>
      <c r="Q118" s="1239">
        <v>0</v>
      </c>
      <c r="R118" s="1239">
        <v>0</v>
      </c>
      <c r="S118" s="455"/>
      <c r="T118" s="1239">
        <v>35</v>
      </c>
      <c r="U118" s="1239"/>
      <c r="V118" s="1239"/>
      <c r="W118" s="1239">
        <v>1.4</v>
      </c>
      <c r="X118" s="1239"/>
      <c r="Y118" s="1239"/>
      <c r="Z118" s="1239"/>
      <c r="AA118" s="1239"/>
      <c r="AB118" s="1239"/>
      <c r="AC118" s="1239" t="s">
        <v>1421</v>
      </c>
      <c r="AD118" s="1239"/>
      <c r="AE118" s="1239"/>
      <c r="AF118" s="1239">
        <v>6000</v>
      </c>
      <c r="AG118" s="171">
        <v>87790</v>
      </c>
      <c r="AH118" s="1239">
        <v>2693</v>
      </c>
      <c r="AI118" s="1239">
        <v>570</v>
      </c>
      <c r="AJ118" s="1239"/>
      <c r="AK118" s="1239"/>
      <c r="AL118" s="1239" t="s">
        <v>2142</v>
      </c>
      <c r="AM118" s="1239"/>
      <c r="AN118" s="455">
        <v>5.5</v>
      </c>
      <c r="AO118" s="1239"/>
      <c r="AP118" s="1239"/>
      <c r="AQ118" s="484"/>
      <c r="AR118" s="484"/>
      <c r="AS118" s="484"/>
      <c r="AT118" s="484">
        <f>+ab($T$118,$T$116,$T$120,$G$117,$G$119,-1*$F$118,1200)</f>
        <v>8.1681606014296726</v>
      </c>
      <c r="AU118" s="638"/>
      <c r="AV118" s="638"/>
      <c r="AW118" s="484" t="str">
        <f>VLOOKUP(C118,'Foundation Calculation'!$A$2:$C$33,3,1)</f>
        <v>Soil A</v>
      </c>
      <c r="AX118" s="484" t="str">
        <f>VLOOKUP(C118,'Foundation Calculation'!$E$2:$G$33,3,1)</f>
        <v>PT</v>
      </c>
      <c r="AY118" s="484">
        <f>IF(AX118="PT",VLOOKUP(L118,'Foundation Calculation'!$K$2:$R$40,VLOOKUP(AW118,'Foundation Calculation'!$I$2:$J$8,2,FALSE),0),IF(AX118="K",VLOOKUP(L118,'Foundation Calculation'!$K$42:$R$80,VLOOKUP(AW118,'Foundation Calculation'!$I$2:$J$8,2,FALSE),0),""))</f>
        <v>4</v>
      </c>
      <c r="AZ118" s="484"/>
      <c r="BA118" s="671" t="s">
        <v>2809</v>
      </c>
      <c r="BB118" s="449" t="str">
        <f>Pole_Calculations!A178</f>
        <v>App.8-V08F-P10.3</v>
      </c>
      <c r="BC118" s="169"/>
      <c r="BD118" s="1371"/>
      <c r="BE118" s="1371"/>
      <c r="BF118" s="1371"/>
      <c r="BG118" s="1371"/>
    </row>
    <row r="119" spans="1:59" ht="15.75" customHeight="1">
      <c r="A119" s="449"/>
      <c r="B119" s="445"/>
      <c r="C119" s="446"/>
      <c r="D119" s="448"/>
      <c r="E119" s="448"/>
      <c r="F119" s="448"/>
      <c r="G119" s="484">
        <v>60</v>
      </c>
      <c r="H119" s="1239"/>
      <c r="I119" s="448"/>
      <c r="J119" s="446">
        <f>C120-7.5</f>
        <v>87842.650000000009</v>
      </c>
      <c r="K119" s="638" t="s">
        <v>2788</v>
      </c>
      <c r="L119" s="638"/>
      <c r="M119" s="638"/>
      <c r="N119" s="1239"/>
      <c r="O119" s="1239"/>
      <c r="P119" s="1239"/>
      <c r="Q119" s="1239"/>
      <c r="R119" s="1239"/>
      <c r="S119" s="455">
        <f t="shared" ref="S119" si="11">AG120-AG118</f>
        <v>60</v>
      </c>
      <c r="T119" s="1239"/>
      <c r="U119" s="1239"/>
      <c r="V119" s="1239"/>
      <c r="W119" s="1239"/>
      <c r="X119" s="1239"/>
      <c r="Y119" s="1239"/>
      <c r="Z119" s="1239"/>
      <c r="AA119" s="1239"/>
      <c r="AB119" s="1239"/>
      <c r="AC119" s="1239"/>
      <c r="AD119" s="1239"/>
      <c r="AE119" s="1239"/>
      <c r="AF119" s="1239"/>
      <c r="AG119" s="171"/>
      <c r="AH119" s="1239"/>
      <c r="AI119" s="1239"/>
      <c r="AJ119" s="1239"/>
      <c r="AK119" s="1239"/>
      <c r="AL119" s="1239"/>
      <c r="AM119" s="1239"/>
      <c r="AN119" s="455"/>
      <c r="AO119" s="1239"/>
      <c r="AP119" s="1239"/>
      <c r="AQ119" s="484">
        <f>+FL_2($T$120,$T$118,$G$119,1200,9.28,-1*$F$120)</f>
        <v>-0.43600286799999999</v>
      </c>
      <c r="AR119" s="484"/>
      <c r="AS119" s="484"/>
      <c r="AT119" s="484"/>
      <c r="AU119" s="638"/>
      <c r="AV119" s="638"/>
      <c r="AW119" s="638" t="str">
        <f>VLOOKUP(J119,'Foundation Calculation'!$A$2:$C$33,3,1)</f>
        <v>Soil A</v>
      </c>
      <c r="AX119" s="638" t="str">
        <f>VLOOKUP(J119,'Foundation Calculation'!$E$2:$G$33,3,1)</f>
        <v>PT</v>
      </c>
      <c r="AY119" s="484"/>
      <c r="AZ119" s="484">
        <f>IF(AX119="PT",VLOOKUP(K119,'Foundation Calculation'!$K$2:$R$40,VLOOKUP(AW119,'Foundation Calculation'!$I$2:$J$8,2,FALSE),0),IF(AX119="K",VLOOKUP(K119,'Foundation Calculation'!$K$42:$R$80,VLOOKUP(AW119,'Foundation Calculation'!$I$2:$J$8,2,FALSE),0),""))</f>
        <v>2.8</v>
      </c>
      <c r="BA119" s="671" t="s">
        <v>2809</v>
      </c>
      <c r="BB119" s="449"/>
      <c r="BC119" s="169"/>
      <c r="BD119" s="1329"/>
      <c r="BE119" s="1330"/>
      <c r="BF119" s="1330"/>
      <c r="BG119" s="1330"/>
    </row>
    <row r="120" spans="1:59" ht="15.75" customHeight="1">
      <c r="A120" s="1239"/>
      <c r="B120" s="445" t="s">
        <v>3164</v>
      </c>
      <c r="C120" s="446">
        <f>+$C$118+$G$119</f>
        <v>87850.150000000009</v>
      </c>
      <c r="D120" s="448"/>
      <c r="E120" s="448"/>
      <c r="F120" s="448">
        <v>0</v>
      </c>
      <c r="G120" s="455"/>
      <c r="H120" s="1239" t="s">
        <v>873</v>
      </c>
      <c r="I120" s="448"/>
      <c r="J120" s="446"/>
      <c r="K120" s="638"/>
      <c r="L120" s="638" t="s">
        <v>821</v>
      </c>
      <c r="M120" s="638" t="str">
        <f>IF(AX120="PT",VLOOKUP(L120,'Foundation Calculation'!$V$2:$X$40,VLOOKUP(AX120,'Foundation Calculation'!$I$10:$J$13,2,FALSE),0),IF(AX120="K",VLOOKUP(L120,'Foundation Calculation'!$V$42:$X$80,VLOOKUP(AX120,'Foundation Calculation'!$I$10:$J$13,2,FALSE),0),""))</f>
        <v>C7R</v>
      </c>
      <c r="N120" s="1239" t="s">
        <v>143</v>
      </c>
      <c r="O120" s="1239"/>
      <c r="P120" s="1239"/>
      <c r="Q120" s="1239">
        <v>0</v>
      </c>
      <c r="R120" s="1239">
        <v>0</v>
      </c>
      <c r="S120" s="455"/>
      <c r="T120" s="1239">
        <v>-35</v>
      </c>
      <c r="U120" s="1239"/>
      <c r="V120" s="1239"/>
      <c r="W120" s="1239">
        <v>1.4</v>
      </c>
      <c r="X120" s="1239"/>
      <c r="Y120" s="1239"/>
      <c r="Z120" s="1239"/>
      <c r="AA120" s="1239"/>
      <c r="AB120" s="1239"/>
      <c r="AC120" s="1239" t="s">
        <v>4090</v>
      </c>
      <c r="AD120" s="1239"/>
      <c r="AE120" s="1239"/>
      <c r="AF120" s="1239">
        <v>6000</v>
      </c>
      <c r="AG120" s="171">
        <v>87850</v>
      </c>
      <c r="AH120" s="1239">
        <v>2793</v>
      </c>
      <c r="AI120" s="1239">
        <v>590</v>
      </c>
      <c r="AJ120" s="1239"/>
      <c r="AK120" s="1239"/>
      <c r="AL120" s="1239" t="s">
        <v>2142</v>
      </c>
      <c r="AM120" s="1239"/>
      <c r="AN120" s="455">
        <v>5.5</v>
      </c>
      <c r="AO120" s="1239"/>
      <c r="AP120" s="1239"/>
      <c r="AQ120" s="484"/>
      <c r="AR120" s="484"/>
      <c r="AS120" s="484"/>
      <c r="AT120" s="484">
        <f>+ab($T$120,$T$118,$T$122,$G$119,$G$121,-1*$F$120,1200)</f>
        <v>-7.4343488377840483</v>
      </c>
      <c r="AU120" s="638"/>
      <c r="AV120" s="638"/>
      <c r="AW120" s="484" t="str">
        <f>VLOOKUP(C120,'Foundation Calculation'!$A$2:$C$33,3,1)</f>
        <v>Soil A</v>
      </c>
      <c r="AX120" s="484" t="str">
        <f>VLOOKUP(C120,'Foundation Calculation'!$E$2:$G$33,3,1)</f>
        <v>PT</v>
      </c>
      <c r="AY120" s="484">
        <f>IF(AX120="PT",VLOOKUP(L120,'Foundation Calculation'!$K$2:$R$40,VLOOKUP(AW120,'Foundation Calculation'!$I$2:$J$8,2,FALSE),0),IF(AX120="K",VLOOKUP(L120,'Foundation Calculation'!$K$42:$R$80,VLOOKUP(AW120,'Foundation Calculation'!$I$2:$J$8,2,FALSE),0),""))</f>
        <v>4</v>
      </c>
      <c r="AZ120" s="484"/>
      <c r="BA120" s="671" t="s">
        <v>2809</v>
      </c>
      <c r="BB120" s="1239" t="str">
        <f>Pole_Calculations!A178</f>
        <v>App.8-V08F-P10.3</v>
      </c>
      <c r="BC120" s="169"/>
      <c r="BD120" s="1371"/>
      <c r="BE120" s="1371"/>
      <c r="BF120" s="1371"/>
      <c r="BG120" s="1371"/>
    </row>
    <row r="121" spans="1:59" ht="15.75" customHeight="1">
      <c r="A121" s="1239"/>
      <c r="B121" s="445"/>
      <c r="C121" s="446"/>
      <c r="D121" s="448"/>
      <c r="E121" s="448"/>
      <c r="F121" s="448"/>
      <c r="G121" s="455">
        <v>50</v>
      </c>
      <c r="H121" s="1239"/>
      <c r="I121" s="448">
        <f>C122-C102</f>
        <v>580</v>
      </c>
      <c r="J121" s="446"/>
      <c r="K121" s="638"/>
      <c r="L121" s="638"/>
      <c r="M121" s="638"/>
      <c r="N121" s="1239"/>
      <c r="O121" s="1239"/>
      <c r="P121" s="1239"/>
      <c r="Q121" s="1239"/>
      <c r="R121" s="1239"/>
      <c r="S121" s="455">
        <f t="shared" ref="S121" si="12">AG122-AG120</f>
        <v>50</v>
      </c>
      <c r="T121" s="1239"/>
      <c r="U121" s="1239"/>
      <c r="V121" s="1239"/>
      <c r="W121" s="1239"/>
      <c r="X121" s="1239"/>
      <c r="Y121" s="1239"/>
      <c r="Z121" s="1239"/>
      <c r="AA121" s="1239"/>
      <c r="AB121" s="1239"/>
      <c r="AC121" s="1239"/>
      <c r="AD121" s="1239"/>
      <c r="AE121" s="1239"/>
      <c r="AF121" s="1239"/>
      <c r="AG121" s="171"/>
      <c r="AH121" s="1239"/>
      <c r="AI121" s="1239"/>
      <c r="AJ121" s="1239"/>
      <c r="AK121" s="638"/>
      <c r="AL121" s="1239"/>
      <c r="AM121" s="1239"/>
      <c r="AN121" s="455"/>
      <c r="AO121" s="1239"/>
      <c r="AP121" s="1239"/>
      <c r="AQ121" s="484">
        <f>+FL_1($T$122,$T$120,$G$121,1200,9.28,-1*$F$122)</f>
        <v>0.36839079999999996</v>
      </c>
      <c r="AR121" s="484"/>
      <c r="AS121" s="484"/>
      <c r="AT121" s="484"/>
      <c r="AU121" s="638"/>
      <c r="AV121" s="638"/>
      <c r="AW121" s="484"/>
      <c r="AX121" s="484"/>
      <c r="AY121" s="484"/>
      <c r="AZ121" s="484"/>
      <c r="BA121" s="671"/>
      <c r="BB121" s="1239"/>
      <c r="BC121" s="169"/>
      <c r="BD121" s="1330"/>
      <c r="BE121" s="1330"/>
      <c r="BF121" s="1330"/>
      <c r="BG121" s="1330"/>
    </row>
    <row r="122" spans="1:59" ht="15.75" customHeight="1">
      <c r="A122" s="1239"/>
      <c r="B122" s="445" t="s">
        <v>3165</v>
      </c>
      <c r="C122" s="446">
        <f>+$C$120+$G$121</f>
        <v>87900.150000000009</v>
      </c>
      <c r="D122" s="448"/>
      <c r="E122" s="448"/>
      <c r="F122" s="448">
        <v>0</v>
      </c>
      <c r="G122" s="455"/>
      <c r="H122" s="1239" t="s">
        <v>874</v>
      </c>
      <c r="I122" s="448"/>
      <c r="J122" s="446"/>
      <c r="K122" s="638"/>
      <c r="L122" s="638" t="s">
        <v>821</v>
      </c>
      <c r="M122" s="638" t="str">
        <f>IF(AX122="PT",VLOOKUP(L122,'Foundation Calculation'!$V$2:$X$40,VLOOKUP(AX122,'Foundation Calculation'!$I$10:$J$13,2,FALSE),0),IF(AX122="K",VLOOKUP(L122,'Foundation Calculation'!$V$42:$X$80,VLOOKUP(AX122,'Foundation Calculation'!$I$10:$J$13,2,FALSE),0),""))</f>
        <v>C7R</v>
      </c>
      <c r="N122" s="1239" t="s">
        <v>144</v>
      </c>
      <c r="O122" s="1239"/>
      <c r="P122" s="1239"/>
      <c r="Q122" s="1239">
        <v>0</v>
      </c>
      <c r="R122" s="1239">
        <v>0</v>
      </c>
      <c r="S122" s="455"/>
      <c r="T122" s="1239">
        <v>35</v>
      </c>
      <c r="U122" s="1239"/>
      <c r="V122" s="1239"/>
      <c r="W122" s="1239">
        <v>1.4</v>
      </c>
      <c r="X122" s="1239"/>
      <c r="Y122" s="1239"/>
      <c r="Z122" s="1239"/>
      <c r="AA122" s="1239"/>
      <c r="AB122" s="1239"/>
      <c r="AC122" s="1239" t="s">
        <v>4090</v>
      </c>
      <c r="AD122" s="1239"/>
      <c r="AE122" s="1239"/>
      <c r="AF122" s="1239">
        <v>6000</v>
      </c>
      <c r="AG122" s="171">
        <v>87900</v>
      </c>
      <c r="AH122" s="1239">
        <v>2733</v>
      </c>
      <c r="AI122" s="1239">
        <v>620</v>
      </c>
      <c r="AJ122" s="1239"/>
      <c r="AK122" s="1239"/>
      <c r="AL122" s="1239" t="s">
        <v>2142</v>
      </c>
      <c r="AM122" s="1239"/>
      <c r="AN122" s="455">
        <v>5.5</v>
      </c>
      <c r="AO122" s="1239"/>
      <c r="AP122" s="1239"/>
      <c r="AQ122" s="484"/>
      <c r="AR122" s="484"/>
      <c r="AS122" s="484"/>
      <c r="AT122" s="484">
        <f>+ab($T$122,$T$120,$T$124,$G$121,$G$123,-1*$F$122,1200)</f>
        <v>6.820891075690624</v>
      </c>
      <c r="AU122" s="638"/>
      <c r="AV122" s="638"/>
      <c r="AW122" s="484" t="str">
        <f>VLOOKUP(C122,'Foundation Calculation'!$A$2:$C$33,3,1)</f>
        <v>Soil A</v>
      </c>
      <c r="AX122" s="484" t="str">
        <f>VLOOKUP(C122,'Foundation Calculation'!$E$2:$G$33,3,1)</f>
        <v>PT</v>
      </c>
      <c r="AY122" s="484">
        <f>IF(AX122="PT",VLOOKUP(L122,'Foundation Calculation'!$K$2:$R$40,VLOOKUP(AW122,'Foundation Calculation'!$I$2:$J$8,2,FALSE),0),IF(AX122="K",VLOOKUP(L122,'Foundation Calculation'!$K$42:$R$80,VLOOKUP(AW122,'Foundation Calculation'!$I$2:$J$8,2,FALSE),0),""))</f>
        <v>4</v>
      </c>
      <c r="AZ122" s="484"/>
      <c r="BA122" s="671" t="s">
        <v>2809</v>
      </c>
      <c r="BB122" s="1239" t="str">
        <f>Pole_Calculations!A178</f>
        <v>App.8-V08F-P10.3</v>
      </c>
      <c r="BC122" s="169"/>
      <c r="BD122" s="1371"/>
      <c r="BE122" s="1371"/>
      <c r="BF122" s="1371"/>
      <c r="BG122" s="1371"/>
    </row>
    <row r="123" spans="1:59" ht="15.75" customHeight="1">
      <c r="A123" s="1239"/>
      <c r="B123" s="445"/>
      <c r="C123" s="446"/>
      <c r="D123" s="448"/>
      <c r="E123" s="448"/>
      <c r="F123" s="448"/>
      <c r="G123" s="455">
        <v>50</v>
      </c>
      <c r="H123" s="1239"/>
      <c r="I123" s="448">
        <f>C144-C122</f>
        <v>601.69999999999709</v>
      </c>
      <c r="J123" s="446"/>
      <c r="K123" s="638"/>
      <c r="L123" s="638"/>
      <c r="M123" s="638"/>
      <c r="N123" s="1239"/>
      <c r="O123" s="1239"/>
      <c r="P123" s="1239"/>
      <c r="Q123" s="1239"/>
      <c r="R123" s="1239"/>
      <c r="S123" s="455">
        <f t="shared" ref="S123" si="13">AG124-AG122</f>
        <v>50</v>
      </c>
      <c r="T123" s="1239"/>
      <c r="U123" s="1239"/>
      <c r="V123" s="1239"/>
      <c r="W123" s="1239"/>
      <c r="X123" s="1239"/>
      <c r="Y123" s="1239"/>
      <c r="Z123" s="1239"/>
      <c r="AA123" s="1239"/>
      <c r="AB123" s="1239"/>
      <c r="AC123" s="1239"/>
      <c r="AD123" s="1239"/>
      <c r="AE123" s="1239"/>
      <c r="AF123" s="1239"/>
      <c r="AG123" s="171"/>
      <c r="AH123" s="1239"/>
      <c r="AI123" s="1239"/>
      <c r="AJ123" s="1239"/>
      <c r="AK123" s="638"/>
      <c r="AL123" s="1239"/>
      <c r="AM123" s="1239"/>
      <c r="AN123" s="455"/>
      <c r="AO123" s="1239"/>
      <c r="AP123" s="1239"/>
      <c r="AQ123" s="484">
        <f>+FL_2($T$124,$T$122,$G$123,1200,9.28,-1*$F$124)</f>
        <v>-0.36839079999999996</v>
      </c>
      <c r="AR123" s="484"/>
      <c r="AS123" s="484"/>
      <c r="AT123" s="484"/>
      <c r="AU123" s="638"/>
      <c r="AV123" s="638"/>
      <c r="AW123" s="484"/>
      <c r="AX123" s="484"/>
      <c r="AY123" s="484"/>
      <c r="AZ123" s="484"/>
      <c r="BA123" s="671"/>
      <c r="BB123" s="1239"/>
      <c r="BC123" s="169"/>
      <c r="BD123" s="1330"/>
      <c r="BE123" s="1330"/>
      <c r="BF123" s="1330"/>
      <c r="BG123" s="1330"/>
    </row>
    <row r="124" spans="1:59" ht="15.75" customHeight="1">
      <c r="A124" s="1239"/>
      <c r="B124" s="445" t="s">
        <v>3166</v>
      </c>
      <c r="C124" s="446">
        <f>+$C$122+$G$123</f>
        <v>87950.150000000009</v>
      </c>
      <c r="D124" s="448"/>
      <c r="E124" s="448"/>
      <c r="F124" s="448">
        <v>0</v>
      </c>
      <c r="G124" s="455"/>
      <c r="H124" s="1239" t="s">
        <v>873</v>
      </c>
      <c r="I124" s="448"/>
      <c r="J124" s="446"/>
      <c r="K124" s="638"/>
      <c r="L124" s="638" t="s">
        <v>821</v>
      </c>
      <c r="M124" s="638" t="str">
        <f>IF(AX124="PT",VLOOKUP(L124,'Foundation Calculation'!$V$2:$X$40,VLOOKUP(AX124,'Foundation Calculation'!$I$10:$J$13,2,FALSE),0),IF(AX124="K",VLOOKUP(L124,'Foundation Calculation'!$V$42:$X$80,VLOOKUP(AX124,'Foundation Calculation'!$I$10:$J$13,2,FALSE),0),""))</f>
        <v>C7R</v>
      </c>
      <c r="N124" s="1239" t="s">
        <v>143</v>
      </c>
      <c r="O124" s="1239"/>
      <c r="P124" s="1239"/>
      <c r="Q124" s="1239">
        <v>0</v>
      </c>
      <c r="R124" s="1239">
        <v>0</v>
      </c>
      <c r="S124" s="455"/>
      <c r="T124" s="1239">
        <v>-35</v>
      </c>
      <c r="U124" s="1239"/>
      <c r="V124" s="1239"/>
      <c r="W124" s="1239">
        <v>1.4</v>
      </c>
      <c r="X124" s="1239"/>
      <c r="Y124" s="1239"/>
      <c r="Z124" s="1239"/>
      <c r="AA124" s="1239"/>
      <c r="AB124" s="1239"/>
      <c r="AC124" s="1239" t="s">
        <v>4090</v>
      </c>
      <c r="AD124" s="1239"/>
      <c r="AE124" s="1239"/>
      <c r="AF124" s="1239">
        <v>6000</v>
      </c>
      <c r="AG124" s="171">
        <v>87950</v>
      </c>
      <c r="AH124" s="1239">
        <v>2603</v>
      </c>
      <c r="AI124" s="1239">
        <v>540</v>
      </c>
      <c r="AJ124" s="1239"/>
      <c r="AK124" s="1239"/>
      <c r="AL124" s="1239" t="s">
        <v>2142</v>
      </c>
      <c r="AM124" s="1239"/>
      <c r="AN124" s="455">
        <v>5.5</v>
      </c>
      <c r="AO124" s="1239"/>
      <c r="AP124" s="1239"/>
      <c r="AQ124" s="484"/>
      <c r="AR124" s="484"/>
      <c r="AS124" s="484"/>
      <c r="AT124" s="484">
        <f>+ab($T$124,$T$122,$T$126,$G$123,$G$125,-1*$F$124,1200)</f>
        <v>-6.9663178067641267</v>
      </c>
      <c r="AU124" s="638"/>
      <c r="AV124" s="638"/>
      <c r="AW124" s="484" t="str">
        <f>VLOOKUP(C124,'Foundation Calculation'!$A$2:$C$33,3,1)</f>
        <v>Soil A</v>
      </c>
      <c r="AX124" s="484" t="str">
        <f>VLOOKUP(C124,'Foundation Calculation'!$E$2:$G$33,3,1)</f>
        <v>PT</v>
      </c>
      <c r="AY124" s="484">
        <f>IF(AX124="PT",VLOOKUP(L124,'Foundation Calculation'!$K$2:$R$40,VLOOKUP(AW124,'Foundation Calculation'!$I$2:$J$8,2,FALSE),0),IF(AX124="K",VLOOKUP(L124,'Foundation Calculation'!$K$42:$R$80,VLOOKUP(AW124,'Foundation Calculation'!$I$2:$J$8,2,FALSE),0),""))</f>
        <v>4</v>
      </c>
      <c r="AZ124" s="484"/>
      <c r="BA124" s="671" t="s">
        <v>2809</v>
      </c>
      <c r="BB124" s="1239" t="str">
        <f>Pole_Calculations!A178</f>
        <v>App.8-V08F-P10.3</v>
      </c>
      <c r="BC124" s="169"/>
      <c r="BD124" s="1371"/>
      <c r="BE124" s="1371"/>
      <c r="BF124" s="1371"/>
      <c r="BG124" s="1371"/>
    </row>
    <row r="125" spans="1:59" ht="15.75" customHeight="1">
      <c r="A125" s="1239"/>
      <c r="B125" s="445"/>
      <c r="C125" s="446"/>
      <c r="D125" s="448"/>
      <c r="E125" s="448"/>
      <c r="F125" s="448"/>
      <c r="G125" s="455">
        <v>52.2</v>
      </c>
      <c r="H125" s="1239"/>
      <c r="I125" s="448"/>
      <c r="J125" s="446">
        <f>C124+7.5</f>
        <v>87957.650000000009</v>
      </c>
      <c r="K125" s="638" t="s">
        <v>2788</v>
      </c>
      <c r="L125" s="638"/>
      <c r="M125" s="638"/>
      <c r="N125" s="1239"/>
      <c r="O125" s="1239"/>
      <c r="P125" s="1239"/>
      <c r="Q125" s="1239"/>
      <c r="R125" s="1239"/>
      <c r="S125" s="455">
        <f t="shared" ref="S125" si="14">AG126-AG124</f>
        <v>52</v>
      </c>
      <c r="T125" s="1239"/>
      <c r="U125" s="1239"/>
      <c r="V125" s="1239"/>
      <c r="W125" s="1239"/>
      <c r="X125" s="1239"/>
      <c r="Y125" s="1239"/>
      <c r="Z125" s="1239"/>
      <c r="AA125" s="1239"/>
      <c r="AB125" s="1239"/>
      <c r="AC125" s="1239"/>
      <c r="AD125" s="1239"/>
      <c r="AE125" s="1239"/>
      <c r="AF125" s="1239"/>
      <c r="AG125" s="171"/>
      <c r="AH125" s="1239"/>
      <c r="AI125" s="1239"/>
      <c r="AJ125" s="1239"/>
      <c r="AK125" s="1239"/>
      <c r="AL125" s="1239"/>
      <c r="AM125" s="1239"/>
      <c r="AN125" s="455"/>
      <c r="AO125" s="1239"/>
      <c r="AP125" s="1239"/>
      <c r="AQ125" s="484">
        <f>+FL_1($T$126,$T$124,$G$125,1200,9.28,-1*$F$126)</f>
        <v>0.37966870363218386</v>
      </c>
      <c r="AR125" s="484"/>
      <c r="AS125" s="484"/>
      <c r="AT125" s="484"/>
      <c r="AU125" s="638"/>
      <c r="AV125" s="638"/>
      <c r="AW125" s="638" t="str">
        <f>VLOOKUP(J125,'Foundation Calculation'!$A$2:$C$33,3,1)</f>
        <v>Soil A</v>
      </c>
      <c r="AX125" s="638" t="str">
        <f>VLOOKUP(J125,'Foundation Calculation'!$E$2:$G$33,3,1)</f>
        <v>PT</v>
      </c>
      <c r="AY125" s="484"/>
      <c r="AZ125" s="484">
        <f>IF(AX125="PT",VLOOKUP(K125,'Foundation Calculation'!$K$2:$R$40,VLOOKUP(AW125,'Foundation Calculation'!$I$2:$J$8,2,FALSE),0),IF(AX125="K",VLOOKUP(K125,'Foundation Calculation'!$K$42:$R$80,VLOOKUP(AW125,'Foundation Calculation'!$I$2:$J$8,2,FALSE),0),""))</f>
        <v>2.8</v>
      </c>
      <c r="BA125" s="671" t="s">
        <v>2809</v>
      </c>
      <c r="BB125" s="1239"/>
      <c r="BC125" s="169"/>
      <c r="BD125" s="1329"/>
      <c r="BE125" s="1330"/>
      <c r="BF125" s="1330"/>
      <c r="BG125" s="1330"/>
    </row>
    <row r="126" spans="1:59" ht="15.75" customHeight="1">
      <c r="A126" s="1239"/>
      <c r="B126" s="445" t="s">
        <v>3167</v>
      </c>
      <c r="C126" s="446">
        <f>+$C$124+$G$125</f>
        <v>88002.35</v>
      </c>
      <c r="D126" s="448"/>
      <c r="E126" s="448"/>
      <c r="F126" s="448">
        <v>0</v>
      </c>
      <c r="G126" s="455"/>
      <c r="H126" s="1239"/>
      <c r="I126" s="448"/>
      <c r="J126" s="446"/>
      <c r="K126" s="638"/>
      <c r="L126" s="638" t="s">
        <v>821</v>
      </c>
      <c r="M126" s="638" t="str">
        <f>IF(AX126="PT",VLOOKUP(L126,'Foundation Calculation'!$V$2:$X$40,VLOOKUP(AX126,'Foundation Calculation'!$I$10:$J$13,2,FALSE),0),IF(AX126="K",VLOOKUP(L126,'Foundation Calculation'!$V$42:$X$80,VLOOKUP(AX126,'Foundation Calculation'!$I$10:$J$13,2,FALSE),0),""))</f>
        <v>C7R</v>
      </c>
      <c r="N126" s="1239" t="s">
        <v>144</v>
      </c>
      <c r="O126" s="1239"/>
      <c r="P126" s="1239"/>
      <c r="Q126" s="1239">
        <v>0</v>
      </c>
      <c r="R126" s="1239">
        <v>0</v>
      </c>
      <c r="S126" s="455"/>
      <c r="T126" s="1239">
        <v>35</v>
      </c>
      <c r="U126" s="1239"/>
      <c r="V126" s="1239"/>
      <c r="W126" s="1239">
        <v>1.4</v>
      </c>
      <c r="X126" s="1239"/>
      <c r="Y126" s="1239"/>
      <c r="Z126" s="1239"/>
      <c r="AA126" s="1239"/>
      <c r="AB126" s="1239"/>
      <c r="AC126" s="1239" t="s">
        <v>4090</v>
      </c>
      <c r="AD126" s="1239"/>
      <c r="AE126" s="1239"/>
      <c r="AF126" s="1239">
        <v>6000</v>
      </c>
      <c r="AG126" s="171">
        <v>88002</v>
      </c>
      <c r="AH126" s="1239">
        <v>2583</v>
      </c>
      <c r="AI126" s="1239">
        <v>600</v>
      </c>
      <c r="AJ126" s="1239"/>
      <c r="AK126" s="1239"/>
      <c r="AL126" s="1239" t="s">
        <v>2142</v>
      </c>
      <c r="AM126" s="1239"/>
      <c r="AN126" s="455">
        <v>5.5</v>
      </c>
      <c r="AO126" s="1239"/>
      <c r="AP126" s="1239"/>
      <c r="AQ126" s="484"/>
      <c r="AR126" s="484"/>
      <c r="AS126" s="484"/>
      <c r="AT126" s="484">
        <f>+ab($T$126,$T$124,$T$128,$G$125,$G$127,-1*$F$126,1200)</f>
        <v>7.3019301094769578</v>
      </c>
      <c r="AU126" s="638"/>
      <c r="AV126" s="638"/>
      <c r="AW126" s="484" t="str">
        <f>VLOOKUP(C126,'Foundation Calculation'!$A$2:$C$33,3,1)</f>
        <v>Soil A</v>
      </c>
      <c r="AX126" s="484" t="str">
        <f>VLOOKUP(C126,'Foundation Calculation'!$E$2:$G$33,3,1)</f>
        <v>PT</v>
      </c>
      <c r="AY126" s="484">
        <f>IF(AX126="PT",VLOOKUP(L126,'Foundation Calculation'!$K$2:$R$40,VLOOKUP(AW126,'Foundation Calculation'!$I$2:$J$8,2,FALSE),0),IF(AX126="K",VLOOKUP(L126,'Foundation Calculation'!$K$42:$R$80,VLOOKUP(AW126,'Foundation Calculation'!$I$2:$J$8,2,FALSE),0),""))</f>
        <v>4</v>
      </c>
      <c r="AZ126" s="484"/>
      <c r="BA126" s="671" t="s">
        <v>2809</v>
      </c>
      <c r="BB126" s="1239" t="str">
        <f>Pole_Calculations!A178</f>
        <v>App.8-V08F-P10.3</v>
      </c>
      <c r="BC126" s="169"/>
      <c r="BD126" s="1371"/>
      <c r="BE126" s="1371"/>
      <c r="BF126" s="1371"/>
      <c r="BG126" s="1371"/>
    </row>
    <row r="127" spans="1:59" ht="15.75" customHeight="1">
      <c r="A127" s="1239"/>
      <c r="B127" s="445"/>
      <c r="C127" s="446"/>
      <c r="D127" s="448"/>
      <c r="E127" s="448"/>
      <c r="F127" s="448"/>
      <c r="G127" s="455">
        <v>55</v>
      </c>
      <c r="H127" s="1239"/>
      <c r="I127" s="448"/>
      <c r="J127" s="446"/>
      <c r="K127" s="638"/>
      <c r="L127" s="638"/>
      <c r="M127" s="638"/>
      <c r="N127" s="1239"/>
      <c r="O127" s="1239"/>
      <c r="P127" s="1239"/>
      <c r="Q127" s="1239"/>
      <c r="R127" s="1239"/>
      <c r="S127" s="455">
        <f t="shared" ref="S127" si="15">AG128-AG126</f>
        <v>55</v>
      </c>
      <c r="T127" s="1239"/>
      <c r="U127" s="1239"/>
      <c r="V127" s="1239"/>
      <c r="W127" s="1239"/>
      <c r="X127" s="1239"/>
      <c r="Y127" s="1239"/>
      <c r="Z127" s="1239"/>
      <c r="AA127" s="1239"/>
      <c r="AB127" s="1239"/>
      <c r="AC127" s="1239"/>
      <c r="AD127" s="1239"/>
      <c r="AE127" s="1239"/>
      <c r="AF127" s="1239"/>
      <c r="AG127" s="171"/>
      <c r="AH127" s="1239"/>
      <c r="AI127" s="1239"/>
      <c r="AJ127" s="1239"/>
      <c r="AK127" s="1239"/>
      <c r="AL127" s="1239"/>
      <c r="AM127" s="1239"/>
      <c r="AN127" s="455"/>
      <c r="AO127" s="1239"/>
      <c r="AP127" s="1239"/>
      <c r="AQ127" s="484">
        <f>+FL_1($T$128,$T$126,$G$127,1200,9.28,-1*$F$128)</f>
        <v>0.42984014062234999</v>
      </c>
      <c r="AR127" s="484"/>
      <c r="AS127" s="484"/>
      <c r="AT127" s="484"/>
      <c r="AU127" s="638"/>
      <c r="AV127" s="638"/>
      <c r="AW127" s="484"/>
      <c r="AX127" s="484"/>
      <c r="AY127" s="484"/>
      <c r="AZ127" s="484"/>
      <c r="BA127" s="671"/>
      <c r="BB127" s="1239"/>
      <c r="BC127" s="169"/>
      <c r="BD127" s="1330"/>
      <c r="BE127" s="1330"/>
      <c r="BF127" s="1330"/>
      <c r="BG127" s="1330"/>
    </row>
    <row r="128" spans="1:59" ht="15.75" customHeight="1">
      <c r="A128" s="1239"/>
      <c r="B128" s="445" t="s">
        <v>3168</v>
      </c>
      <c r="C128" s="446">
        <f>+$C$126+$G$127</f>
        <v>88057.35</v>
      </c>
      <c r="D128" s="448"/>
      <c r="E128" s="448"/>
      <c r="F128" s="448">
        <v>8000</v>
      </c>
      <c r="G128" s="455"/>
      <c r="H128" s="1239"/>
      <c r="I128" s="448"/>
      <c r="J128" s="446"/>
      <c r="K128" s="638"/>
      <c r="L128" s="638" t="s">
        <v>821</v>
      </c>
      <c r="M128" s="638" t="str">
        <f>IF(AX128="PT",VLOOKUP(L128,'Foundation Calculation'!$V$2:$X$40,VLOOKUP(AX128,'Foundation Calculation'!$I$10:$J$13,2,FALSE),0),IF(AX128="K",VLOOKUP(L128,'Foundation Calculation'!$V$42:$X$80,VLOOKUP(AX128,'Foundation Calculation'!$I$10:$J$13,2,FALSE),0),""))</f>
        <v>C7R</v>
      </c>
      <c r="N128" s="1239" t="s">
        <v>143</v>
      </c>
      <c r="O128" s="1239"/>
      <c r="P128" s="1239"/>
      <c r="Q128" s="1239">
        <v>0</v>
      </c>
      <c r="R128" s="1239">
        <v>0</v>
      </c>
      <c r="S128" s="455"/>
      <c r="T128" s="1239">
        <v>-35</v>
      </c>
      <c r="U128" s="1239"/>
      <c r="V128" s="1239"/>
      <c r="W128" s="1239">
        <v>1.4</v>
      </c>
      <c r="X128" s="1239"/>
      <c r="Y128" s="1239"/>
      <c r="Z128" s="1239"/>
      <c r="AA128" s="1239"/>
      <c r="AB128" s="1239"/>
      <c r="AC128" s="1239" t="s">
        <v>4090</v>
      </c>
      <c r="AD128" s="1239"/>
      <c r="AE128" s="1239"/>
      <c r="AF128" s="1239">
        <v>6000</v>
      </c>
      <c r="AG128" s="171">
        <v>88057</v>
      </c>
      <c r="AH128" s="1239">
        <v>2623</v>
      </c>
      <c r="AI128" s="1239">
        <v>680</v>
      </c>
      <c r="AJ128" s="1239"/>
      <c r="AK128" s="1239"/>
      <c r="AL128" s="1239" t="s">
        <v>2142</v>
      </c>
      <c r="AM128" s="1239"/>
      <c r="AN128" s="455">
        <v>5.5</v>
      </c>
      <c r="AO128" s="1239"/>
      <c r="AP128" s="1239"/>
      <c r="AQ128" s="484"/>
      <c r="AR128" s="484"/>
      <c r="AS128" s="484"/>
      <c r="AT128" s="484">
        <f>+ab($T$128,$T$126,$T$130,$G$127,$G$129,-1*$F$128,1200)</f>
        <v>-6.0534961168056585</v>
      </c>
      <c r="AU128" s="638"/>
      <c r="AV128" s="638"/>
      <c r="AW128" s="484" t="str">
        <f>VLOOKUP(C128,'Foundation Calculation'!$A$2:$C$33,3,1)</f>
        <v>Soil A</v>
      </c>
      <c r="AX128" s="484" t="str">
        <f>VLOOKUP(C128,'Foundation Calculation'!$E$2:$G$33,3,1)</f>
        <v>PT</v>
      </c>
      <c r="AY128" s="484">
        <f>IF(AX128="PT",VLOOKUP(L128,'Foundation Calculation'!$K$2:$R$40,VLOOKUP(AW128,'Foundation Calculation'!$I$2:$J$8,2,FALSE),0),IF(AX128="K",VLOOKUP(L128,'Foundation Calculation'!$K$42:$R$80,VLOOKUP(AW128,'Foundation Calculation'!$I$2:$J$8,2,FALSE),0),""))</f>
        <v>4</v>
      </c>
      <c r="AZ128" s="484"/>
      <c r="BA128" s="671" t="s">
        <v>2809</v>
      </c>
      <c r="BB128" s="1239" t="str">
        <f>Pole_Calculations!A178</f>
        <v>App.8-V08F-P10.3</v>
      </c>
      <c r="BC128" s="169"/>
      <c r="BD128" s="1371"/>
      <c r="BE128" s="1371"/>
      <c r="BF128" s="1371"/>
      <c r="BG128" s="1371"/>
    </row>
    <row r="129" spans="1:59" ht="15.75" customHeight="1">
      <c r="A129" s="1239"/>
      <c r="B129" s="445"/>
      <c r="C129" s="446"/>
      <c r="D129" s="448"/>
      <c r="E129" s="448"/>
      <c r="F129" s="448"/>
      <c r="G129" s="455">
        <v>60</v>
      </c>
      <c r="H129" s="1239"/>
      <c r="I129" s="448"/>
      <c r="J129" s="446"/>
      <c r="K129" s="638"/>
      <c r="L129" s="638"/>
      <c r="M129" s="638"/>
      <c r="N129" s="1239"/>
      <c r="O129" s="1239"/>
      <c r="P129" s="1239"/>
      <c r="Q129" s="1239"/>
      <c r="R129" s="1239"/>
      <c r="S129" s="455">
        <f t="shared" ref="S129" si="16">AG130-AG128</f>
        <v>60</v>
      </c>
      <c r="T129" s="1239"/>
      <c r="U129" s="1239"/>
      <c r="V129" s="1239"/>
      <c r="W129" s="1239"/>
      <c r="X129" s="1239"/>
      <c r="Y129" s="1239"/>
      <c r="Z129" s="1239"/>
      <c r="AA129" s="1239"/>
      <c r="AB129" s="1239"/>
      <c r="AC129" s="1239"/>
      <c r="AD129" s="1239"/>
      <c r="AE129" s="1239"/>
      <c r="AF129" s="1239"/>
      <c r="AG129" s="171"/>
      <c r="AH129" s="1239"/>
      <c r="AI129" s="1239"/>
      <c r="AJ129" s="1239"/>
      <c r="AK129" s="1239"/>
      <c r="AL129" s="1239"/>
      <c r="AM129" s="1239"/>
      <c r="AN129" s="455"/>
      <c r="AO129" s="1239"/>
      <c r="AP129" s="1239"/>
      <c r="AQ129" s="484">
        <f>+FL_1($T$130,$T$128,$G$129,1200,9.28,-1*$F$130)</f>
        <v>0.43600286799999999</v>
      </c>
      <c r="AR129" s="484"/>
      <c r="AS129" s="484"/>
      <c r="AT129" s="484"/>
      <c r="AU129" s="638"/>
      <c r="AV129" s="638"/>
      <c r="AW129" s="484"/>
      <c r="AX129" s="484"/>
      <c r="AY129" s="484"/>
      <c r="AZ129" s="484"/>
      <c r="BA129" s="671"/>
      <c r="BB129" s="1239"/>
      <c r="BC129" s="169"/>
      <c r="BD129" s="1330"/>
      <c r="BE129" s="1330"/>
      <c r="BF129" s="1330"/>
      <c r="BG129" s="1330"/>
    </row>
    <row r="130" spans="1:59" ht="17.25" customHeight="1">
      <c r="A130" s="449"/>
      <c r="B130" s="445" t="s">
        <v>3169</v>
      </c>
      <c r="C130" s="446">
        <f>+$C$128+$G$129</f>
        <v>88117.35</v>
      </c>
      <c r="D130" s="448"/>
      <c r="E130" s="448"/>
      <c r="F130" s="448">
        <v>0</v>
      </c>
      <c r="G130" s="484"/>
      <c r="H130" s="1239"/>
      <c r="I130" s="448"/>
      <c r="J130" s="446"/>
      <c r="K130" s="638"/>
      <c r="L130" s="638" t="s">
        <v>821</v>
      </c>
      <c r="M130" s="638" t="str">
        <f>IF(AX130="PT",VLOOKUP(L130,'Foundation Calculation'!$V$2:$X$40,VLOOKUP(AX130,'Foundation Calculation'!$I$10:$J$13,2,FALSE),0),IF(AX130="K",VLOOKUP(L130,'Foundation Calculation'!$V$42:$X$80,VLOOKUP(AX130,'Foundation Calculation'!$I$10:$J$13,2,FALSE),0),""))</f>
        <v>C7R</v>
      </c>
      <c r="N130" s="1239" t="s">
        <v>144</v>
      </c>
      <c r="O130" s="1239"/>
      <c r="P130" s="1239"/>
      <c r="Q130" s="1239">
        <v>0</v>
      </c>
      <c r="R130" s="1239">
        <v>0</v>
      </c>
      <c r="S130" s="455"/>
      <c r="T130" s="1239">
        <v>35</v>
      </c>
      <c r="U130" s="1239"/>
      <c r="V130" s="1239"/>
      <c r="W130" s="1239">
        <v>1.4</v>
      </c>
      <c r="X130" s="1239"/>
      <c r="Y130" s="1239"/>
      <c r="Z130" s="1239"/>
      <c r="AA130" s="1239"/>
      <c r="AB130" s="1239"/>
      <c r="AC130" s="1239" t="s">
        <v>1421</v>
      </c>
      <c r="AD130" s="1239"/>
      <c r="AE130" s="1239"/>
      <c r="AF130" s="1239">
        <v>6000</v>
      </c>
      <c r="AG130" s="171">
        <v>88117</v>
      </c>
      <c r="AH130" s="1239">
        <v>2463</v>
      </c>
      <c r="AI130" s="1239">
        <v>690</v>
      </c>
      <c r="AJ130" s="1239"/>
      <c r="AK130" s="1239"/>
      <c r="AL130" s="1239" t="s">
        <v>2142</v>
      </c>
      <c r="AM130" s="1239"/>
      <c r="AN130" s="455">
        <v>5.5</v>
      </c>
      <c r="AO130" s="1239"/>
      <c r="AP130" s="1239"/>
      <c r="AQ130" s="484"/>
      <c r="AR130" s="484"/>
      <c r="AS130" s="484"/>
      <c r="AT130" s="484">
        <f>+ab($T$130,$T$128,$T$132,$G$129,$G$131,-1*$F$130,1200)</f>
        <v>8.3002133012442592</v>
      </c>
      <c r="AU130" s="638"/>
      <c r="AV130" s="638"/>
      <c r="AW130" s="484" t="str">
        <f>VLOOKUP(C130,'Foundation Calculation'!$A$2:$C$33,3,1)</f>
        <v>Soil A</v>
      </c>
      <c r="AX130" s="484" t="str">
        <f>VLOOKUP(C130,'Foundation Calculation'!$E$2:$G$33,3,1)</f>
        <v>PT</v>
      </c>
      <c r="AY130" s="484">
        <f>IF(AX130="PT",VLOOKUP(L130,'Foundation Calculation'!$K$2:$R$40,VLOOKUP(AW130,'Foundation Calculation'!$I$2:$J$8,2,FALSE),0),IF(AX130="K",VLOOKUP(L130,'Foundation Calculation'!$K$42:$R$80,VLOOKUP(AW130,'Foundation Calculation'!$I$2:$J$8,2,FALSE),0),""))</f>
        <v>4</v>
      </c>
      <c r="AZ130" s="484"/>
      <c r="BA130" s="671" t="s">
        <v>2809</v>
      </c>
      <c r="BB130" s="449" t="str">
        <f>Pole_Calculations!A178</f>
        <v>App.8-V08F-P10.3</v>
      </c>
      <c r="BC130" s="169"/>
      <c r="BD130" s="1371"/>
      <c r="BE130" s="1371"/>
      <c r="BF130" s="1371"/>
      <c r="BG130" s="1371"/>
    </row>
    <row r="131" spans="1:59" ht="15.75" customHeight="1">
      <c r="A131" s="449"/>
      <c r="B131" s="445"/>
      <c r="C131" s="446"/>
      <c r="D131" s="448"/>
      <c r="E131" s="448"/>
      <c r="F131" s="448"/>
      <c r="G131" s="484">
        <v>62</v>
      </c>
      <c r="H131" s="1239"/>
      <c r="I131" s="448"/>
      <c r="J131" s="446"/>
      <c r="K131" s="638"/>
      <c r="L131" s="638"/>
      <c r="M131" s="638"/>
      <c r="N131" s="1239"/>
      <c r="O131" s="1239"/>
      <c r="P131" s="1239"/>
      <c r="Q131" s="1239"/>
      <c r="R131" s="1239"/>
      <c r="S131" s="455">
        <f t="shared" ref="S131" si="17">AG132-AG130</f>
        <v>62</v>
      </c>
      <c r="T131" s="1239"/>
      <c r="U131" s="1239"/>
      <c r="V131" s="1239"/>
      <c r="W131" s="1239"/>
      <c r="X131" s="1239"/>
      <c r="Y131" s="1239"/>
      <c r="Z131" s="1239"/>
      <c r="AA131" s="1239"/>
      <c r="AB131" s="1239"/>
      <c r="AC131" s="1239"/>
      <c r="AD131" s="1239"/>
      <c r="AE131" s="1239"/>
      <c r="AF131" s="1239"/>
      <c r="AG131" s="171"/>
      <c r="AH131" s="1239"/>
      <c r="AI131" s="1239"/>
      <c r="AJ131" s="1239"/>
      <c r="AK131" s="1239"/>
      <c r="AL131" s="1239"/>
      <c r="AM131" s="1239"/>
      <c r="AN131" s="455"/>
      <c r="AO131" s="1239"/>
      <c r="AP131" s="1239"/>
      <c r="AQ131" s="484">
        <f>+FL_2($T$132,$T$130,$G$131,1200,9.28,-1*$F$132)</f>
        <v>-0.45400350967741931</v>
      </c>
      <c r="AR131" s="484"/>
      <c r="AS131" s="484"/>
      <c r="AT131" s="484"/>
      <c r="AU131" s="638"/>
      <c r="AV131" s="638"/>
      <c r="AW131" s="484"/>
      <c r="AX131" s="484"/>
      <c r="AY131" s="484"/>
      <c r="AZ131" s="484"/>
      <c r="BA131" s="671"/>
      <c r="BB131" s="449"/>
      <c r="BC131" s="169"/>
      <c r="BD131" s="1330"/>
      <c r="BE131" s="1330"/>
      <c r="BF131" s="1330"/>
      <c r="BG131" s="1330"/>
    </row>
    <row r="132" spans="1:59" ht="15.75" customHeight="1">
      <c r="A132" s="449"/>
      <c r="B132" s="445" t="s">
        <v>3170</v>
      </c>
      <c r="C132" s="446">
        <f>+$C$130+$G$131</f>
        <v>88179.35</v>
      </c>
      <c r="D132" s="448"/>
      <c r="E132" s="448"/>
      <c r="F132" s="448">
        <v>0</v>
      </c>
      <c r="G132" s="484"/>
      <c r="H132" s="1239"/>
      <c r="I132" s="448"/>
      <c r="J132" s="446"/>
      <c r="K132" s="638"/>
      <c r="L132" s="638" t="s">
        <v>821</v>
      </c>
      <c r="M132" s="638" t="str">
        <f>IF(AX132="PT",VLOOKUP(L132,'Foundation Calculation'!$V$2:$X$40,VLOOKUP(AX132,'Foundation Calculation'!$I$10:$J$13,2,FALSE),0),IF(AX132="K",VLOOKUP(L132,'Foundation Calculation'!$V$42:$X$80,VLOOKUP(AX132,'Foundation Calculation'!$I$10:$J$13,2,FALSE),0),""))</f>
        <v>C7R</v>
      </c>
      <c r="N132" s="1239" t="s">
        <v>143</v>
      </c>
      <c r="O132" s="1239"/>
      <c r="P132" s="1239"/>
      <c r="Q132" s="1239">
        <v>0</v>
      </c>
      <c r="R132" s="1239">
        <v>0</v>
      </c>
      <c r="S132" s="455"/>
      <c r="T132" s="1239">
        <v>-35</v>
      </c>
      <c r="U132" s="1239"/>
      <c r="V132" s="1239"/>
      <c r="W132" s="1239">
        <v>1.4</v>
      </c>
      <c r="X132" s="1239"/>
      <c r="Y132" s="1239"/>
      <c r="Z132" s="1239"/>
      <c r="AA132" s="1239"/>
      <c r="AB132" s="1239"/>
      <c r="AC132" s="1239" t="s">
        <v>1421</v>
      </c>
      <c r="AD132" s="1239"/>
      <c r="AE132" s="1239"/>
      <c r="AF132" s="1239">
        <v>6000</v>
      </c>
      <c r="AG132" s="171">
        <v>88179</v>
      </c>
      <c r="AH132" s="1239">
        <v>2273</v>
      </c>
      <c r="AI132" s="1239">
        <v>500</v>
      </c>
      <c r="AJ132" s="1239"/>
      <c r="AK132" s="1239"/>
      <c r="AL132" s="1239" t="s">
        <v>2142</v>
      </c>
      <c r="AM132" s="1239"/>
      <c r="AN132" s="455">
        <v>5.5</v>
      </c>
      <c r="AO132" s="1239"/>
      <c r="AP132" s="1239"/>
      <c r="AQ132" s="484"/>
      <c r="AR132" s="484"/>
      <c r="AS132" s="484"/>
      <c r="AT132" s="484">
        <f>+ab($T$132,$T$130,$T$134,$G$131,$G$133,-1*$F$132,1200)</f>
        <v>-8.4366201521118445</v>
      </c>
      <c r="AU132" s="638"/>
      <c r="AV132" s="638"/>
      <c r="AW132" s="484" t="str">
        <f>VLOOKUP(C132,'Foundation Calculation'!$A$2:$C$33,3,1)</f>
        <v>Soil A</v>
      </c>
      <c r="AX132" s="484" t="str">
        <f>VLOOKUP(C132,'Foundation Calculation'!$E$2:$G$33,3,1)</f>
        <v>PT</v>
      </c>
      <c r="AY132" s="484">
        <f>IF(AX132="PT",VLOOKUP(L132,'Foundation Calculation'!$K$2:$R$40,VLOOKUP(AW132,'Foundation Calculation'!$I$2:$J$8,2,FALSE),0),IF(AX132="K",VLOOKUP(L132,'Foundation Calculation'!$K$42:$R$80,VLOOKUP(AW132,'Foundation Calculation'!$I$2:$J$8,2,FALSE),0),""))</f>
        <v>4</v>
      </c>
      <c r="AZ132" s="484"/>
      <c r="BA132" s="671" t="s">
        <v>2809</v>
      </c>
      <c r="BB132" s="449" t="str">
        <f>Pole_Calculations!A178</f>
        <v>App.8-V08F-P10.3</v>
      </c>
      <c r="BC132" s="169"/>
      <c r="BD132" s="1371"/>
      <c r="BE132" s="1371"/>
      <c r="BF132" s="1371"/>
      <c r="BG132" s="1371"/>
    </row>
    <row r="133" spans="1:59" ht="15.75" customHeight="1">
      <c r="A133" s="449"/>
      <c r="B133" s="445"/>
      <c r="C133" s="446"/>
      <c r="D133" s="448"/>
      <c r="E133" s="448"/>
      <c r="F133" s="448"/>
      <c r="G133" s="484">
        <v>62</v>
      </c>
      <c r="H133" s="1239"/>
      <c r="I133" s="448"/>
      <c r="J133" s="446"/>
      <c r="K133" s="638"/>
      <c r="L133" s="638"/>
      <c r="M133" s="638"/>
      <c r="N133" s="1239"/>
      <c r="O133" s="1239"/>
      <c r="P133" s="1239"/>
      <c r="Q133" s="1239"/>
      <c r="R133" s="1239"/>
      <c r="S133" s="455">
        <f t="shared" ref="S133" si="18">AG134-AG132</f>
        <v>62</v>
      </c>
      <c r="T133" s="1239"/>
      <c r="U133" s="1239"/>
      <c r="V133" s="1239"/>
      <c r="W133" s="1239"/>
      <c r="X133" s="1239"/>
      <c r="Y133" s="1239"/>
      <c r="Z133" s="1239"/>
      <c r="AA133" s="1239"/>
      <c r="AB133" s="1239"/>
      <c r="AC133" s="1239"/>
      <c r="AD133" s="1239"/>
      <c r="AE133" s="1239"/>
      <c r="AF133" s="1239"/>
      <c r="AG133" s="171"/>
      <c r="AH133" s="1239"/>
      <c r="AI133" s="1239"/>
      <c r="AJ133" s="1239"/>
      <c r="AK133" s="1239"/>
      <c r="AL133" s="1239"/>
      <c r="AM133" s="1239"/>
      <c r="AN133" s="455"/>
      <c r="AO133" s="1239"/>
      <c r="AP133" s="1239"/>
      <c r="AQ133" s="484">
        <f>+FL_1($T$134,$T$132,$G$133,1200,9.28,-1*$F$134)</f>
        <v>0.45400350967741931</v>
      </c>
      <c r="AR133" s="484"/>
      <c r="AS133" s="484"/>
      <c r="AT133" s="484"/>
      <c r="AU133" s="638"/>
      <c r="AV133" s="638"/>
      <c r="AW133" s="484"/>
      <c r="AX133" s="484"/>
      <c r="AY133" s="484"/>
      <c r="AZ133" s="484"/>
      <c r="BA133" s="671"/>
      <c r="BB133" s="449"/>
      <c r="BC133" s="169"/>
      <c r="BD133" s="1330"/>
      <c r="BE133" s="1330"/>
      <c r="BF133" s="1330"/>
      <c r="BG133" s="1330"/>
    </row>
    <row r="134" spans="1:59" ht="15.75" customHeight="1">
      <c r="A134" s="449"/>
      <c r="B134" s="445" t="s">
        <v>3171</v>
      </c>
      <c r="C134" s="446">
        <f>+$C$132+$G$133</f>
        <v>88241.35</v>
      </c>
      <c r="D134" s="448"/>
      <c r="E134" s="448"/>
      <c r="F134" s="448">
        <v>0</v>
      </c>
      <c r="G134" s="484"/>
      <c r="H134" s="1239"/>
      <c r="I134" s="448"/>
      <c r="J134" s="446"/>
      <c r="K134" s="638"/>
      <c r="L134" s="638" t="s">
        <v>821</v>
      </c>
      <c r="M134" s="638" t="str">
        <f>IF(AX134="PT",VLOOKUP(L134,'Foundation Calculation'!$V$2:$X$40,VLOOKUP(AX134,'Foundation Calculation'!$I$10:$J$13,2,FALSE),0),IF(AX134="K",VLOOKUP(L134,'Foundation Calculation'!$V$42:$X$80,VLOOKUP(AX134,'Foundation Calculation'!$I$10:$J$13,2,FALSE),0),""))</f>
        <v>C7R</v>
      </c>
      <c r="N134" s="1239" t="s">
        <v>144</v>
      </c>
      <c r="O134" s="1239"/>
      <c r="P134" s="1239"/>
      <c r="Q134" s="1239">
        <v>0</v>
      </c>
      <c r="R134" s="1239">
        <v>0</v>
      </c>
      <c r="S134" s="455"/>
      <c r="T134" s="1239">
        <v>35</v>
      </c>
      <c r="U134" s="1239"/>
      <c r="V134" s="1239"/>
      <c r="W134" s="1239">
        <v>1.4</v>
      </c>
      <c r="X134" s="1239"/>
      <c r="Y134" s="1239"/>
      <c r="Z134" s="1239"/>
      <c r="AA134" s="1239"/>
      <c r="AB134" s="1239"/>
      <c r="AC134" s="1239" t="s">
        <v>1421</v>
      </c>
      <c r="AD134" s="1239"/>
      <c r="AE134" s="1239"/>
      <c r="AF134" s="1239">
        <v>6000</v>
      </c>
      <c r="AG134" s="171">
        <v>88241</v>
      </c>
      <c r="AH134" s="1239">
        <v>2413</v>
      </c>
      <c r="AI134" s="1239">
        <v>470</v>
      </c>
      <c r="AJ134" s="1239"/>
      <c r="AK134" s="1239"/>
      <c r="AL134" s="1239" t="s">
        <v>2142</v>
      </c>
      <c r="AM134" s="1239"/>
      <c r="AN134" s="455">
        <v>5.5</v>
      </c>
      <c r="AO134" s="1239"/>
      <c r="AP134" s="1239"/>
      <c r="AQ134" s="484"/>
      <c r="AR134" s="484"/>
      <c r="AS134" s="484"/>
      <c r="AT134" s="484">
        <f>+ab($T$134,$T$132,$T$136,$G$133,$G$135,-1*$F$134,1200)</f>
        <v>9.0751163075501768</v>
      </c>
      <c r="AU134" s="638"/>
      <c r="AV134" s="638"/>
      <c r="AW134" s="484" t="str">
        <f>VLOOKUP(C134,'Foundation Calculation'!$A$2:$C$33,3,1)</f>
        <v>Soil A</v>
      </c>
      <c r="AX134" s="484" t="str">
        <f>VLOOKUP(C134,'Foundation Calculation'!$E$2:$G$33,3,1)</f>
        <v>PT</v>
      </c>
      <c r="AY134" s="484">
        <f>IF(AX134="PT",VLOOKUP(L134,'Foundation Calculation'!$K$2:$R$40,VLOOKUP(AW134,'Foundation Calculation'!$I$2:$J$8,2,FALSE),0),IF(AX134="K",VLOOKUP(L134,'Foundation Calculation'!$K$42:$R$80,VLOOKUP(AW134,'Foundation Calculation'!$I$2:$J$8,2,FALSE),0),""))</f>
        <v>4</v>
      </c>
      <c r="AZ134" s="484"/>
      <c r="BA134" s="671" t="s">
        <v>2809</v>
      </c>
      <c r="BB134" s="449" t="str">
        <f>Pole_Calculations!A178</f>
        <v>App.8-V08F-P10.3</v>
      </c>
      <c r="BC134" s="169"/>
      <c r="BD134" s="1371"/>
      <c r="BE134" s="1371"/>
      <c r="BF134" s="1371"/>
      <c r="BG134" s="1371"/>
    </row>
    <row r="135" spans="1:59" ht="15.75" customHeight="1">
      <c r="A135" s="449"/>
      <c r="B135" s="445"/>
      <c r="C135" s="446"/>
      <c r="D135" s="448"/>
      <c r="E135" s="448"/>
      <c r="F135" s="448"/>
      <c r="G135" s="484">
        <v>62</v>
      </c>
      <c r="H135" s="1239"/>
      <c r="I135" s="448"/>
      <c r="J135" s="446">
        <f>C136-7.5</f>
        <v>88295.85</v>
      </c>
      <c r="K135" s="638" t="s">
        <v>2787</v>
      </c>
      <c r="L135" s="638"/>
      <c r="M135" s="638"/>
      <c r="N135" s="1239"/>
      <c r="O135" s="1239"/>
      <c r="P135" s="1239"/>
      <c r="Q135" s="1239"/>
      <c r="R135" s="1239"/>
      <c r="S135" s="455">
        <f t="shared" ref="S135" si="19">AG136-AG134</f>
        <v>62</v>
      </c>
      <c r="T135" s="1239"/>
      <c r="U135" s="1239"/>
      <c r="V135" s="1239"/>
      <c r="W135" s="1239"/>
      <c r="X135" s="1239"/>
      <c r="Y135" s="1239"/>
      <c r="Z135" s="1239"/>
      <c r="AA135" s="1239"/>
      <c r="AB135" s="1239"/>
      <c r="AC135" s="1239"/>
      <c r="AD135" s="1239"/>
      <c r="AE135" s="1239"/>
      <c r="AF135" s="1239"/>
      <c r="AG135" s="171"/>
      <c r="AH135" s="1239"/>
      <c r="AI135" s="1239"/>
      <c r="AJ135" s="1239"/>
      <c r="AK135" s="1239"/>
      <c r="AL135" s="1239"/>
      <c r="AM135" s="1239"/>
      <c r="AN135" s="455"/>
      <c r="AO135" s="1239"/>
      <c r="AP135" s="1239"/>
      <c r="AQ135" s="484">
        <f>+FL_1($T$136,$T$134,$G$135,1200,9.28,-1*$F$136)</f>
        <v>0.48213781079569878</v>
      </c>
      <c r="AR135" s="484"/>
      <c r="AS135" s="484"/>
      <c r="AT135" s="484"/>
      <c r="AU135" s="638"/>
      <c r="AV135" s="638"/>
      <c r="AW135" s="638" t="str">
        <f>VLOOKUP(J135,'Foundation Calculation'!$A$2:$C$33,3,1)</f>
        <v>Soil A</v>
      </c>
      <c r="AX135" s="638" t="str">
        <f>VLOOKUP(J135,'Foundation Calculation'!$E$2:$G$33,3,1)</f>
        <v>PT</v>
      </c>
      <c r="AY135" s="484"/>
      <c r="AZ135" s="484">
        <f>IF(AX135="PT",VLOOKUP(K135,'Foundation Calculation'!$K$2:$R$40,VLOOKUP(AW135,'Foundation Calculation'!$I$2:$J$8,2,FALSE),0),IF(AX135="K",VLOOKUP(K135,'Foundation Calculation'!$K$42:$R$80,VLOOKUP(AW135,'Foundation Calculation'!$I$2:$J$8,2,FALSE),0),""))</f>
        <v>3.3</v>
      </c>
      <c r="BA135" s="671" t="s">
        <v>2809</v>
      </c>
      <c r="BB135" s="449"/>
      <c r="BC135" s="169"/>
      <c r="BD135" s="1329"/>
      <c r="BE135" s="1330"/>
      <c r="BF135" s="1330"/>
      <c r="BG135" s="1330"/>
    </row>
    <row r="136" spans="1:59" ht="15.75" customHeight="1">
      <c r="A136" s="449"/>
      <c r="B136" s="445" t="s">
        <v>3172</v>
      </c>
      <c r="C136" s="446">
        <f>+$C$134+$G$135</f>
        <v>88303.35</v>
      </c>
      <c r="D136" s="448"/>
      <c r="E136" s="448"/>
      <c r="F136" s="448">
        <v>0</v>
      </c>
      <c r="G136" s="484"/>
      <c r="H136" s="1239" t="s">
        <v>138</v>
      </c>
      <c r="I136" s="448" t="s">
        <v>4231</v>
      </c>
      <c r="J136" s="446"/>
      <c r="K136" s="638"/>
      <c r="L136" s="638" t="s">
        <v>821</v>
      </c>
      <c r="M136" s="638" t="str">
        <f>IF(AX136="PT",VLOOKUP(L136,'Foundation Calculation'!$V$2:$X$40,VLOOKUP(AX136,'Foundation Calculation'!$I$10:$J$13,2,FALSE),0),IF(AX136="K",VLOOKUP(L136,'Foundation Calculation'!$V$42:$X$80,VLOOKUP(AX136,'Foundation Calculation'!$I$10:$J$13,2,FALSE),0),""))</f>
        <v>C7R</v>
      </c>
      <c r="N136" s="1239" t="s">
        <v>143</v>
      </c>
      <c r="O136" s="1239"/>
      <c r="P136" s="1239"/>
      <c r="Q136" s="1239">
        <v>0</v>
      </c>
      <c r="R136" s="1239">
        <v>0</v>
      </c>
      <c r="S136" s="455"/>
      <c r="T136" s="1239">
        <v>-25</v>
      </c>
      <c r="U136" s="1239"/>
      <c r="V136" s="1239"/>
      <c r="W136" s="1239">
        <v>1.4</v>
      </c>
      <c r="X136" s="1239"/>
      <c r="Y136" s="1239"/>
      <c r="Z136" s="1239"/>
      <c r="AA136" s="1239"/>
      <c r="AB136" s="1239"/>
      <c r="AC136" s="1239" t="s">
        <v>1421</v>
      </c>
      <c r="AD136" s="1239"/>
      <c r="AE136" s="1239"/>
      <c r="AF136" s="1239">
        <v>6000</v>
      </c>
      <c r="AG136" s="171">
        <v>88303</v>
      </c>
      <c r="AH136" s="1239">
        <v>2123</v>
      </c>
      <c r="AI136" s="1239">
        <v>370</v>
      </c>
      <c r="AJ136" s="1239"/>
      <c r="AK136" s="1239"/>
      <c r="AL136" s="1239" t="s">
        <v>2142</v>
      </c>
      <c r="AM136" s="1239"/>
      <c r="AN136" s="455">
        <v>5.5</v>
      </c>
      <c r="AO136" s="1239"/>
      <c r="AP136" s="1239"/>
      <c r="AQ136" s="484"/>
      <c r="AR136" s="484"/>
      <c r="AS136" s="484"/>
      <c r="AT136" s="484">
        <f>+ab($T$136,$T$134,$U$138,$G$135,$G$137,-1*$F$136,1200)</f>
        <v>-12.033153754493076</v>
      </c>
      <c r="AU136" s="638"/>
      <c r="AV136" s="638"/>
      <c r="AW136" s="484" t="str">
        <f>VLOOKUP(C136,'Foundation Calculation'!$A$2:$C$33,3,1)</f>
        <v>Soil A</v>
      </c>
      <c r="AX136" s="484" t="str">
        <f>VLOOKUP(C136,'Foundation Calculation'!$E$2:$G$33,3,1)</f>
        <v>PT</v>
      </c>
      <c r="AY136" s="484">
        <f>IF(AX136="PT",VLOOKUP(L136,'Foundation Calculation'!$K$2:$R$40,VLOOKUP(AW136,'Foundation Calculation'!$I$2:$J$8,2,FALSE),0),IF(AX136="K",VLOOKUP(L136,'Foundation Calculation'!$K$42:$R$80,VLOOKUP(AW136,'Foundation Calculation'!$I$2:$J$8,2,FALSE),0),""))</f>
        <v>4</v>
      </c>
      <c r="AZ136" s="484"/>
      <c r="BA136" s="671" t="s">
        <v>2809</v>
      </c>
      <c r="BB136" s="449" t="str">
        <f>Pole_Calculations!A178</f>
        <v>App.8-V08F-P10.3</v>
      </c>
      <c r="BC136" s="169"/>
      <c r="BD136" s="1371"/>
      <c r="BE136" s="1371"/>
      <c r="BF136" s="1371"/>
      <c r="BG136" s="1371"/>
    </row>
    <row r="137" spans="1:59" ht="15.75" customHeight="1">
      <c r="A137" s="449"/>
      <c r="B137" s="445"/>
      <c r="C137" s="446"/>
      <c r="D137" s="448"/>
      <c r="E137" s="448"/>
      <c r="F137" s="448"/>
      <c r="G137" s="484">
        <v>58</v>
      </c>
      <c r="H137" s="1239"/>
      <c r="I137" s="448"/>
      <c r="J137" s="446"/>
      <c r="K137" s="638"/>
      <c r="L137" s="638"/>
      <c r="M137" s="638"/>
      <c r="N137" s="1239"/>
      <c r="O137" s="1239"/>
      <c r="P137" s="1239"/>
      <c r="Q137" s="1239"/>
      <c r="R137" s="1239"/>
      <c r="S137" s="455">
        <f t="shared" ref="S137" si="20">AG138-AG136</f>
        <v>58</v>
      </c>
      <c r="T137" s="1239"/>
      <c r="U137" s="1239"/>
      <c r="V137" s="1239"/>
      <c r="W137" s="1239"/>
      <c r="X137" s="1239"/>
      <c r="Y137" s="1239"/>
      <c r="Z137" s="1239"/>
      <c r="AA137" s="1239"/>
      <c r="AB137" s="1239"/>
      <c r="AC137" s="1239"/>
      <c r="AD137" s="1239"/>
      <c r="AE137" s="1239"/>
      <c r="AF137" s="1239"/>
      <c r="AG137" s="171"/>
      <c r="AH137" s="1239"/>
      <c r="AI137" s="1239"/>
      <c r="AJ137" s="1239"/>
      <c r="AK137" s="1239"/>
      <c r="AL137" s="1239"/>
      <c r="AM137" s="1239"/>
      <c r="AN137" s="455"/>
      <c r="AO137" s="1239"/>
      <c r="AP137" s="1239"/>
      <c r="AQ137" s="484">
        <f>+FL_1($U$138,$T$136,$G$137,1200,9.28,-1*$F$138)</f>
        <v>0.27373083218390803</v>
      </c>
      <c r="AR137" s="484"/>
      <c r="AS137" s="484"/>
      <c r="AT137" s="484"/>
      <c r="AU137" s="638"/>
      <c r="AV137" s="638"/>
      <c r="AW137" s="484"/>
      <c r="AX137" s="484"/>
      <c r="AY137" s="484"/>
      <c r="AZ137" s="484"/>
      <c r="BA137" s="671"/>
      <c r="BB137" s="449"/>
      <c r="BC137" s="169"/>
      <c r="BD137" s="1330"/>
      <c r="BE137" s="1330"/>
      <c r="BF137" s="1330"/>
      <c r="BG137" s="1330"/>
    </row>
    <row r="138" spans="1:59" ht="15.75" customHeight="1">
      <c r="A138" s="449" t="s">
        <v>3267</v>
      </c>
      <c r="B138" s="445" t="s">
        <v>3173</v>
      </c>
      <c r="C138" s="446">
        <f>+$C$136+$G$137</f>
        <v>88361.35</v>
      </c>
      <c r="D138" s="448"/>
      <c r="E138" s="448"/>
      <c r="F138" s="448">
        <v>0</v>
      </c>
      <c r="G138" s="484"/>
      <c r="H138" s="1239" t="s">
        <v>619</v>
      </c>
      <c r="I138" s="448" t="s">
        <v>1429</v>
      </c>
      <c r="J138" s="446"/>
      <c r="K138" s="638"/>
      <c r="L138" s="638" t="s">
        <v>821</v>
      </c>
      <c r="M138" s="638" t="str">
        <f>IF(AX138="PT",VLOOKUP(L138,'Foundation Calculation'!$V$2:$X$40,VLOOKUP(AX138,'Foundation Calculation'!$I$10:$J$13,2,FALSE),0),IF(AX138="K",VLOOKUP(L138,'Foundation Calculation'!$V$42:$X$80,VLOOKUP(AX138,'Foundation Calculation'!$I$10:$J$13,2,FALSE),0),""))</f>
        <v>C7R</v>
      </c>
      <c r="N138" s="1239" t="s">
        <v>140</v>
      </c>
      <c r="O138" s="1239" t="s">
        <v>144</v>
      </c>
      <c r="P138" s="1239"/>
      <c r="Q138" s="1239">
        <v>0</v>
      </c>
      <c r="R138" s="1239">
        <v>0</v>
      </c>
      <c r="S138" s="455"/>
      <c r="T138" s="1239">
        <v>55</v>
      </c>
      <c r="U138" s="1239">
        <v>10</v>
      </c>
      <c r="V138" s="1239"/>
      <c r="W138" s="1239">
        <v>1.4</v>
      </c>
      <c r="X138" s="1239">
        <v>2.2999999999999998</v>
      </c>
      <c r="Y138" s="1239"/>
      <c r="Z138" s="1239">
        <v>0.6</v>
      </c>
      <c r="AA138" s="1239"/>
      <c r="AB138" s="1239"/>
      <c r="AC138" s="1239" t="s">
        <v>1421</v>
      </c>
      <c r="AD138" s="1239"/>
      <c r="AE138" s="1239"/>
      <c r="AF138" s="1239">
        <v>6000</v>
      </c>
      <c r="AG138" s="171">
        <v>88361</v>
      </c>
      <c r="AH138" s="1239">
        <v>1653</v>
      </c>
      <c r="AI138" s="1239">
        <v>380</v>
      </c>
      <c r="AJ138" s="1239" t="s">
        <v>2154</v>
      </c>
      <c r="AK138" s="638"/>
      <c r="AL138" s="1239" t="s">
        <v>2142</v>
      </c>
      <c r="AM138" s="1239"/>
      <c r="AN138" s="455">
        <v>5.5</v>
      </c>
      <c r="AO138" s="1239"/>
      <c r="AP138" s="1239"/>
      <c r="AQ138" s="484"/>
      <c r="AR138" s="484"/>
      <c r="AS138" s="484"/>
      <c r="AT138" s="484">
        <f>+ab($U$138,$T$136,$U$140,$G$137,$G$139,-1*$F$138,1200)</f>
        <v>10.625153514457125</v>
      </c>
      <c r="AU138" s="638"/>
      <c r="AV138" s="638"/>
      <c r="AW138" s="484" t="str">
        <f>VLOOKUP(C138,'Foundation Calculation'!$A$2:$C$33,3,1)</f>
        <v>Soil A</v>
      </c>
      <c r="AX138" s="484" t="str">
        <f>VLOOKUP(C138,'Foundation Calculation'!$E$2:$G$33,3,1)</f>
        <v>PT</v>
      </c>
      <c r="AY138" s="484">
        <f>IF(AX138="PT",VLOOKUP(L138,'Foundation Calculation'!$K$2:$R$40,VLOOKUP(AW138,'Foundation Calculation'!$I$2:$J$8,2,FALSE),0),IF(AX138="K",VLOOKUP(L138,'Foundation Calculation'!$K$42:$R$80,VLOOKUP(AW138,'Foundation Calculation'!$I$2:$J$8,2,FALSE),0),""))</f>
        <v>4</v>
      </c>
      <c r="AZ138" s="484"/>
      <c r="BA138" s="671" t="s">
        <v>2809</v>
      </c>
      <c r="BB138" s="449" t="str">
        <f>Pole_Calculations!A178</f>
        <v>App.8-V08F-P10.3</v>
      </c>
      <c r="BC138" s="169"/>
      <c r="BD138" s="1371"/>
      <c r="BE138" s="1371"/>
      <c r="BF138" s="1371"/>
      <c r="BG138" s="1371"/>
    </row>
    <row r="139" spans="1:59" ht="15.75" customHeight="1">
      <c r="A139" s="449"/>
      <c r="B139" s="445"/>
      <c r="C139" s="446"/>
      <c r="D139" s="448"/>
      <c r="E139" s="448"/>
      <c r="F139" s="448"/>
      <c r="G139" s="484">
        <v>55</v>
      </c>
      <c r="H139" s="1239"/>
      <c r="I139" s="448"/>
      <c r="J139" s="446"/>
      <c r="K139" s="638"/>
      <c r="L139" s="638"/>
      <c r="M139" s="638"/>
      <c r="N139" s="1239"/>
      <c r="O139" s="1239"/>
      <c r="P139" s="1239"/>
      <c r="Q139" s="1239"/>
      <c r="R139" s="1239"/>
      <c r="S139" s="455">
        <f t="shared" ref="S139" si="21">AG140-AG138</f>
        <v>55</v>
      </c>
      <c r="T139" s="1239"/>
      <c r="U139" s="1239"/>
      <c r="V139" s="1239"/>
      <c r="W139" s="1239"/>
      <c r="X139" s="1239"/>
      <c r="Y139" s="1239"/>
      <c r="Z139" s="1239"/>
      <c r="AA139" s="1239"/>
      <c r="AB139" s="1239"/>
      <c r="AC139" s="1239"/>
      <c r="AD139" s="1239"/>
      <c r="AE139" s="1239"/>
      <c r="AF139" s="1239"/>
      <c r="AG139" s="171"/>
      <c r="AH139" s="1239"/>
      <c r="AI139" s="1239"/>
      <c r="AJ139" s="1239"/>
      <c r="AK139" s="1239"/>
      <c r="AL139" s="1239"/>
      <c r="AM139" s="1239"/>
      <c r="AN139" s="455"/>
      <c r="AO139" s="1239"/>
      <c r="AP139" s="1239"/>
      <c r="AQ139" s="484">
        <f>+FL_2($T$140,$U$138,$G$139,1200,9.28,-1*$F$140)</f>
        <v>-0.3009661090909091</v>
      </c>
      <c r="AR139" s="484"/>
      <c r="AS139" s="484"/>
      <c r="AT139" s="484"/>
      <c r="AU139" s="638"/>
      <c r="AV139" s="638"/>
      <c r="AW139" s="484"/>
      <c r="AX139" s="484"/>
      <c r="AY139" s="484"/>
      <c r="AZ139" s="484"/>
      <c r="BA139" s="671"/>
      <c r="BB139" s="449"/>
      <c r="BC139" s="169"/>
      <c r="BD139" s="1330"/>
      <c r="BE139" s="1330"/>
      <c r="BF139" s="1330"/>
      <c r="BG139" s="1330"/>
    </row>
    <row r="140" spans="1:59" ht="15.75" customHeight="1">
      <c r="A140" s="449"/>
      <c r="B140" s="445" t="s">
        <v>3174</v>
      </c>
      <c r="C140" s="446">
        <f>+$C$138+$G$139</f>
        <v>88416.35</v>
      </c>
      <c r="D140" s="448"/>
      <c r="E140" s="448"/>
      <c r="F140" s="448">
        <v>0</v>
      </c>
      <c r="G140" s="484"/>
      <c r="H140" s="1239" t="s">
        <v>619</v>
      </c>
      <c r="I140" s="448" t="s">
        <v>1039</v>
      </c>
      <c r="J140" s="446"/>
      <c r="K140" s="638"/>
      <c r="L140" s="638" t="s">
        <v>821</v>
      </c>
      <c r="M140" s="638" t="s">
        <v>3331</v>
      </c>
      <c r="N140" s="1239" t="s">
        <v>143</v>
      </c>
      <c r="O140" s="1239" t="s">
        <v>140</v>
      </c>
      <c r="P140" s="1239"/>
      <c r="Q140" s="1239">
        <v>0</v>
      </c>
      <c r="R140" s="1239">
        <v>0</v>
      </c>
      <c r="S140" s="455"/>
      <c r="T140" s="1285">
        <v>-10</v>
      </c>
      <c r="U140" s="1285">
        <v>-55</v>
      </c>
      <c r="V140" s="1285"/>
      <c r="W140" s="1285">
        <v>1.4</v>
      </c>
      <c r="X140" s="1285">
        <v>2.2999999999999998</v>
      </c>
      <c r="Y140" s="1285"/>
      <c r="Z140" s="1285"/>
      <c r="AA140" s="1285">
        <v>0.6</v>
      </c>
      <c r="AB140" s="1285"/>
      <c r="AC140" s="1285" t="s">
        <v>1421</v>
      </c>
      <c r="AD140" s="1285"/>
      <c r="AE140" s="1285"/>
      <c r="AF140" s="1285">
        <v>6500</v>
      </c>
      <c r="AG140" s="1350">
        <v>88416</v>
      </c>
      <c r="AH140" s="1285">
        <v>2313</v>
      </c>
      <c r="AI140" s="1285">
        <v>1140</v>
      </c>
      <c r="AJ140" s="1239"/>
      <c r="AK140" s="638"/>
      <c r="AL140" s="1239" t="s">
        <v>2142</v>
      </c>
      <c r="AM140" s="1239"/>
      <c r="AN140" s="455">
        <v>5.5</v>
      </c>
      <c r="AO140" s="1239"/>
      <c r="AP140" s="1239"/>
      <c r="AQ140" s="484"/>
      <c r="AR140" s="484"/>
      <c r="AS140" s="484"/>
      <c r="AT140" s="484">
        <f>+ab($T$140,$T$138,$T$142,$G$139,$G$141,-1*$F$140,1200)</f>
        <v>-10.091557634416267</v>
      </c>
      <c r="AU140" s="638"/>
      <c r="AV140" s="638"/>
      <c r="AW140" s="484" t="str">
        <f>VLOOKUP(C140,'Foundation Calculation'!$A$2:$C$33,3,1)</f>
        <v>Soil A</v>
      </c>
      <c r="AX140" s="484" t="str">
        <f>VLOOKUP(C140,'Foundation Calculation'!$E$2:$G$33,3,1)</f>
        <v>PT</v>
      </c>
      <c r="AY140" s="484">
        <f>IF(AX140="PT",VLOOKUP(L140,'Foundation Calculation'!$K$2:$R$40,VLOOKUP(AW140,'Foundation Calculation'!$I$2:$J$8,2,FALSE),0),IF(AX140="K",VLOOKUP(L140,'Foundation Calculation'!$K$42:$R$80,VLOOKUP(AW140,'Foundation Calculation'!$I$2:$J$8,2,FALSE),0),""))</f>
        <v>4</v>
      </c>
      <c r="AZ140" s="484"/>
      <c r="BA140" s="671" t="s">
        <v>2809</v>
      </c>
      <c r="BB140" s="449" t="str">
        <f>Pole_Calculations!A178</f>
        <v>App.8-V08F-P10.3</v>
      </c>
      <c r="BC140" s="169"/>
      <c r="BD140" s="1329"/>
      <c r="BE140" s="1329"/>
      <c r="BF140" s="1329"/>
      <c r="BG140" s="1329"/>
    </row>
    <row r="141" spans="1:59" ht="15.75" customHeight="1">
      <c r="A141" s="449"/>
      <c r="B141" s="445"/>
      <c r="C141" s="446"/>
      <c r="D141" s="448"/>
      <c r="E141" s="448"/>
      <c r="F141" s="448"/>
      <c r="G141" s="484">
        <v>50</v>
      </c>
      <c r="H141" s="1239"/>
      <c r="I141" s="448"/>
      <c r="J141" s="446">
        <f>C140+7.5</f>
        <v>88423.85</v>
      </c>
      <c r="K141" s="638" t="s">
        <v>2788</v>
      </c>
      <c r="L141" s="638"/>
      <c r="M141" s="638"/>
      <c r="N141" s="1239"/>
      <c r="O141" s="1239"/>
      <c r="P141" s="1239"/>
      <c r="Q141" s="1239"/>
      <c r="R141" s="1239"/>
      <c r="S141" s="455">
        <f t="shared" ref="S141" si="22">AG142-AG140</f>
        <v>50</v>
      </c>
      <c r="T141" s="1239"/>
      <c r="U141" s="1239"/>
      <c r="V141" s="1239"/>
      <c r="W141" s="1239"/>
      <c r="X141" s="1239"/>
      <c r="Y141" s="1239"/>
      <c r="Z141" s="1239"/>
      <c r="AA141" s="1239"/>
      <c r="AB141" s="1239"/>
      <c r="AC141" s="1239"/>
      <c r="AD141" s="1239"/>
      <c r="AE141" s="1239"/>
      <c r="AF141" s="1239"/>
      <c r="AG141" s="171"/>
      <c r="AH141" s="1239"/>
      <c r="AI141" s="1239"/>
      <c r="AJ141" s="1239"/>
      <c r="AK141" s="1239"/>
      <c r="AL141" s="1239"/>
      <c r="AM141" s="1239"/>
      <c r="AN141" s="455"/>
      <c r="AO141" s="1239"/>
      <c r="AP141" s="1239"/>
      <c r="AQ141" s="484">
        <f>+FL_1($T$142,$T$140,$G$141,1200,9.28,-1*$F$142)</f>
        <v>0.34834769999999998</v>
      </c>
      <c r="AR141" s="484"/>
      <c r="AS141" s="484"/>
      <c r="AT141" s="484"/>
      <c r="AU141" s="638"/>
      <c r="AV141" s="638"/>
      <c r="AW141" s="638" t="str">
        <f>VLOOKUP(J141,'Foundation Calculation'!$A$2:$C$33,3,1)</f>
        <v>Soil A</v>
      </c>
      <c r="AX141" s="638" t="str">
        <f>VLOOKUP(J141,'Foundation Calculation'!$E$2:$G$33,3,1)</f>
        <v>PT</v>
      </c>
      <c r="AY141" s="484"/>
      <c r="AZ141" s="484">
        <v>2.8</v>
      </c>
      <c r="BA141" s="671" t="s">
        <v>2809</v>
      </c>
      <c r="BB141" s="449"/>
      <c r="BC141" s="169"/>
      <c r="BD141" s="1329"/>
      <c r="BE141" s="1330"/>
      <c r="BF141" s="1330"/>
      <c r="BG141" s="1330"/>
    </row>
    <row r="142" spans="1:59" s="1436" customFormat="1" ht="15.75" customHeight="1">
      <c r="A142" s="1425"/>
      <c r="B142" s="1426" t="s">
        <v>3175</v>
      </c>
      <c r="C142" s="1427">
        <f>+$C$140+$G$141</f>
        <v>88466.35</v>
      </c>
      <c r="D142" s="1428"/>
      <c r="E142" s="1428"/>
      <c r="F142" s="1428">
        <v>0</v>
      </c>
      <c r="G142" s="1429"/>
      <c r="H142" s="1430"/>
      <c r="I142" s="1428"/>
      <c r="J142" s="1427"/>
      <c r="K142" s="1431"/>
      <c r="L142" s="1431"/>
      <c r="M142" s="1431"/>
      <c r="N142" s="1430" t="s">
        <v>844</v>
      </c>
      <c r="O142" s="1430"/>
      <c r="P142" s="1430"/>
      <c r="Q142" s="1430">
        <v>0</v>
      </c>
      <c r="R142" s="1430">
        <v>0</v>
      </c>
      <c r="S142" s="1432"/>
      <c r="T142" s="1430">
        <v>25</v>
      </c>
      <c r="U142" s="1430"/>
      <c r="V142" s="1430"/>
      <c r="W142" s="1430">
        <v>1.4</v>
      </c>
      <c r="X142" s="1430"/>
      <c r="Y142" s="1430"/>
      <c r="Z142" s="1430"/>
      <c r="AA142" s="1430"/>
      <c r="AB142" s="1430"/>
      <c r="AC142" s="1430" t="s">
        <v>1417</v>
      </c>
      <c r="AD142" s="1430"/>
      <c r="AE142" s="1430"/>
      <c r="AF142" s="1430">
        <v>100</v>
      </c>
      <c r="AG142" s="1433">
        <v>88466</v>
      </c>
      <c r="AH142" s="1430">
        <v>1883</v>
      </c>
      <c r="AI142" s="1430">
        <f>-4270-1200</f>
        <v>-5470</v>
      </c>
      <c r="AJ142" s="1430"/>
      <c r="AK142" s="1431" t="s">
        <v>139</v>
      </c>
      <c r="AL142" s="1431"/>
      <c r="AM142" s="1430"/>
      <c r="AN142" s="1432">
        <v>5.5</v>
      </c>
      <c r="AO142" s="1430"/>
      <c r="AP142" s="1430"/>
      <c r="AQ142" s="1429"/>
      <c r="AR142" s="1429"/>
      <c r="AS142" s="1429"/>
      <c r="AT142" s="1429">
        <f>+ab($T$142,$T$140,$T$144,$G$141,$G$143,-1*$F$142,1200)</f>
        <v>8.46899494982177</v>
      </c>
      <c r="AU142" s="1431"/>
      <c r="AV142" s="1431"/>
      <c r="AW142" s="1429"/>
      <c r="AX142" s="1429"/>
      <c r="AY142" s="1429"/>
      <c r="AZ142" s="1429"/>
      <c r="BA142" s="1431"/>
      <c r="BB142" s="1425"/>
      <c r="BC142" s="1434"/>
      <c r="BD142" s="1435"/>
      <c r="BE142" s="1435"/>
      <c r="BF142" s="1435"/>
      <c r="BG142" s="1435"/>
    </row>
    <row r="143" spans="1:59" ht="15.75" customHeight="1">
      <c r="A143" s="449"/>
      <c r="B143" s="445"/>
      <c r="C143" s="446"/>
      <c r="D143" s="448"/>
      <c r="E143" s="448"/>
      <c r="F143" s="448"/>
      <c r="G143" s="484">
        <v>35.5</v>
      </c>
      <c r="H143" s="1239"/>
      <c r="I143" s="448"/>
      <c r="J143" s="446"/>
      <c r="K143" s="638"/>
      <c r="L143" s="638"/>
      <c r="M143" s="638"/>
      <c r="N143" s="1239"/>
      <c r="O143" s="1239"/>
      <c r="P143" s="1239"/>
      <c r="Q143" s="1239"/>
      <c r="R143" s="1239"/>
      <c r="S143" s="455">
        <v>35</v>
      </c>
      <c r="T143" s="1239"/>
      <c r="U143" s="1239"/>
      <c r="V143" s="1239"/>
      <c r="W143" s="1239"/>
      <c r="X143" s="1239"/>
      <c r="Y143" s="1239"/>
      <c r="Z143" s="1239"/>
      <c r="AA143" s="1239"/>
      <c r="AB143" s="1239"/>
      <c r="AC143" s="1239"/>
      <c r="AD143" s="1239"/>
      <c r="AE143" s="1239"/>
      <c r="AF143" s="1239"/>
      <c r="AG143" s="171"/>
      <c r="AH143" s="1239"/>
      <c r="AI143" s="1239"/>
      <c r="AJ143" s="1239"/>
      <c r="AK143" s="1239"/>
      <c r="AL143" s="1239"/>
      <c r="AM143" s="1239"/>
      <c r="AN143" s="455"/>
      <c r="AO143" s="1239"/>
      <c r="AP143" s="1239"/>
      <c r="AQ143" s="484">
        <f>+FL_2($T$144,$T$142,$G$143,1200,9.28,-1*$F$144)</f>
        <v>-0.3</v>
      </c>
      <c r="AR143" s="484"/>
      <c r="AS143" s="484"/>
      <c r="AT143" s="484"/>
      <c r="AU143" s="638"/>
      <c r="AV143" s="638"/>
      <c r="AW143" s="484"/>
      <c r="AX143" s="484"/>
      <c r="AY143" s="484"/>
      <c r="AZ143" s="484"/>
      <c r="BA143" s="671"/>
      <c r="BB143" s="449"/>
      <c r="BC143" s="169"/>
      <c r="BD143" s="1330"/>
      <c r="BE143" s="1330"/>
      <c r="BF143" s="1330"/>
      <c r="BG143" s="1330"/>
    </row>
    <row r="144" spans="1:59" ht="15.75" customHeight="1">
      <c r="A144" s="449"/>
      <c r="B144" s="445" t="s">
        <v>3176</v>
      </c>
      <c r="C144" s="446">
        <f>+$C$142+$G$143</f>
        <v>88501.85</v>
      </c>
      <c r="D144" s="448"/>
      <c r="E144" s="448"/>
      <c r="F144" s="448">
        <v>0</v>
      </c>
      <c r="G144" s="484"/>
      <c r="H144" s="1239"/>
      <c r="I144" s="448"/>
      <c r="J144" s="446"/>
      <c r="K144" s="638"/>
      <c r="L144" s="638"/>
      <c r="M144" s="638"/>
      <c r="N144" s="1239" t="s">
        <v>843</v>
      </c>
      <c r="O144" s="1239"/>
      <c r="P144" s="1239"/>
      <c r="Q144" s="1239"/>
      <c r="R144" s="1239"/>
      <c r="S144" s="455"/>
      <c r="T144" s="1239">
        <v>-30</v>
      </c>
      <c r="U144" s="1239"/>
      <c r="V144" s="1239"/>
      <c r="W144" s="1239">
        <v>1.4</v>
      </c>
      <c r="X144" s="1239"/>
      <c r="Y144" s="1239"/>
      <c r="Z144" s="1239"/>
      <c r="AA144" s="1239"/>
      <c r="AB144" s="1239"/>
      <c r="AC144" s="1239" t="str">
        <f>IF(OR(AT144&gt;8,AT144&lt;-8),"PH",IF(OR(AT144&gt;5,AT144&lt;-5),"PH-Q",IF(OR(AT144&gt;1,AT144&lt;-1),"PH-C")))</f>
        <v>PH-Q</v>
      </c>
      <c r="AD144" s="1239"/>
      <c r="AE144" s="1239"/>
      <c r="AF144" s="1239"/>
      <c r="AG144" s="171"/>
      <c r="AH144" s="1239"/>
      <c r="AI144" s="1239"/>
      <c r="AJ144" s="1239"/>
      <c r="AK144" s="638" t="s">
        <v>139</v>
      </c>
      <c r="AL144" s="638"/>
      <c r="AM144" s="1239"/>
      <c r="AN144" s="455">
        <v>5.5</v>
      </c>
      <c r="AO144" s="1239"/>
      <c r="AP144" s="1239"/>
      <c r="AQ144" s="484"/>
      <c r="AR144" s="484"/>
      <c r="AS144" s="484"/>
      <c r="AT144" s="484">
        <f>+ab($T$144,$T$142,$T$146,$G$143,$G$145,-1*$F$144,1200)</f>
        <v>-6.3145887284526712</v>
      </c>
      <c r="AU144" s="638"/>
      <c r="AV144" s="638"/>
      <c r="AW144" s="484"/>
      <c r="AX144" s="484"/>
      <c r="AY144" s="484"/>
      <c r="AZ144" s="484"/>
      <c r="BA144" s="671"/>
      <c r="BB144" s="449"/>
      <c r="BC144" s="169"/>
      <c r="BD144" s="1330"/>
      <c r="BE144" s="1329"/>
      <c r="BF144" s="1330"/>
      <c r="BG144" s="1329"/>
    </row>
    <row r="145" spans="1:59" ht="15.75" customHeight="1">
      <c r="A145" s="449"/>
      <c r="B145" s="445"/>
      <c r="C145" s="446"/>
      <c r="D145" s="448"/>
      <c r="E145" s="448"/>
      <c r="F145" s="448"/>
      <c r="G145" s="484">
        <v>44</v>
      </c>
      <c r="H145" s="1239"/>
      <c r="I145" s="448"/>
      <c r="J145" s="446"/>
      <c r="K145" s="638"/>
      <c r="L145" s="638"/>
      <c r="M145" s="638"/>
      <c r="N145" s="1239"/>
      <c r="O145" s="1239"/>
      <c r="P145" s="1239"/>
      <c r="Q145" s="1239"/>
      <c r="R145" s="1239"/>
      <c r="S145" s="455">
        <v>44</v>
      </c>
      <c r="T145" s="1239"/>
      <c r="U145" s="1239"/>
      <c r="V145" s="1239"/>
      <c r="W145" s="1239"/>
      <c r="X145" s="1239"/>
      <c r="Y145" s="1239"/>
      <c r="Z145" s="1239"/>
      <c r="AA145" s="1239"/>
      <c r="AB145" s="1239"/>
      <c r="AC145" s="1239"/>
      <c r="AD145" s="1239"/>
      <c r="AE145" s="1239"/>
      <c r="AF145" s="1239"/>
      <c r="AG145" s="171"/>
      <c r="AH145" s="1239"/>
      <c r="AI145" s="1239"/>
      <c r="AJ145" s="1239"/>
      <c r="AK145" s="1239"/>
      <c r="AL145" s="1239"/>
      <c r="AM145" s="1239"/>
      <c r="AN145" s="455"/>
      <c r="AO145" s="1239"/>
      <c r="AP145" s="1239"/>
      <c r="AQ145" s="484">
        <f>+FL_1($T$146,$T$144,$G$145,1200,9.28,-1*$F$146)</f>
        <v>0.35324589090909086</v>
      </c>
      <c r="AR145" s="484"/>
      <c r="AS145" s="484"/>
      <c r="AT145" s="484"/>
      <c r="AU145" s="638"/>
      <c r="AV145" s="638"/>
      <c r="AW145" s="484"/>
      <c r="AX145" s="484"/>
      <c r="AY145" s="484"/>
      <c r="AZ145" s="484"/>
      <c r="BA145" s="671"/>
      <c r="BB145" s="449"/>
      <c r="BC145" s="169"/>
      <c r="BD145" s="1330"/>
      <c r="BE145" s="1330"/>
      <c r="BF145" s="1330"/>
      <c r="BG145" s="1330"/>
    </row>
    <row r="146" spans="1:59" s="1436" customFormat="1" ht="15.75" customHeight="1">
      <c r="A146" s="1425"/>
      <c r="B146" s="1426" t="s">
        <v>3177</v>
      </c>
      <c r="C146" s="1427">
        <f>+$C$144+$G$145</f>
        <v>88545.85</v>
      </c>
      <c r="D146" s="1428"/>
      <c r="E146" s="1428"/>
      <c r="F146" s="1428">
        <v>0</v>
      </c>
      <c r="G146" s="1429"/>
      <c r="H146" s="1430"/>
      <c r="I146" s="1428"/>
      <c r="J146" s="1427"/>
      <c r="K146" s="1431"/>
      <c r="L146" s="1431"/>
      <c r="M146" s="1431"/>
      <c r="N146" s="1430" t="s">
        <v>844</v>
      </c>
      <c r="O146" s="1430"/>
      <c r="P146" s="1430"/>
      <c r="Q146" s="1430">
        <v>0</v>
      </c>
      <c r="R146" s="1430">
        <v>0</v>
      </c>
      <c r="S146" s="1432"/>
      <c r="T146" s="1430">
        <v>35</v>
      </c>
      <c r="U146" s="1430"/>
      <c r="V146" s="1430"/>
      <c r="W146" s="1430">
        <v>1.4</v>
      </c>
      <c r="X146" s="1430"/>
      <c r="Y146" s="1430"/>
      <c r="Z146" s="1430"/>
      <c r="AA146" s="1430"/>
      <c r="AB146" s="1430"/>
      <c r="AC146" s="1430" t="str">
        <f>IF(OR(AT146&gt;8,AT146&lt;-8),"PH",IF(OR(AT146&gt;5,AT146&lt;-5),"PH-Q",IF(OR(AT146&gt;1,AT146&lt;-1),"PH-C")))</f>
        <v>PH-Q</v>
      </c>
      <c r="AD146" s="1430"/>
      <c r="AE146" s="1430"/>
      <c r="AF146" s="1430">
        <v>50</v>
      </c>
      <c r="AG146" s="1433">
        <v>88545</v>
      </c>
      <c r="AH146" s="1430">
        <v>1863</v>
      </c>
      <c r="AI146" s="1430">
        <f>-4412-1200</f>
        <v>-5612</v>
      </c>
      <c r="AJ146" s="1430"/>
      <c r="AK146" s="1431" t="s">
        <v>139</v>
      </c>
      <c r="AL146" s="1431"/>
      <c r="AM146" s="1430"/>
      <c r="AN146" s="1432">
        <v>5.5</v>
      </c>
      <c r="AO146" s="1430"/>
      <c r="AP146" s="1430"/>
      <c r="AQ146" s="1429"/>
      <c r="AR146" s="1429"/>
      <c r="AS146" s="1429"/>
      <c r="AT146" s="1429">
        <f>+ab($T$146,$T$144,$T$148,$G$145,$G$147,-1*$F$146,1200)</f>
        <v>6.5085794335604978</v>
      </c>
      <c r="AU146" s="1431"/>
      <c r="AV146" s="1431"/>
      <c r="AW146" s="1429"/>
      <c r="AX146" s="1429"/>
      <c r="AY146" s="1429"/>
      <c r="AZ146" s="1429"/>
      <c r="BA146" s="1431"/>
      <c r="BB146" s="1425"/>
      <c r="BC146" s="1434"/>
      <c r="BD146" s="1435"/>
      <c r="BE146" s="1435"/>
      <c r="BF146" s="1435"/>
      <c r="BG146" s="1435"/>
    </row>
    <row r="147" spans="1:59" ht="15.75" customHeight="1">
      <c r="A147" s="449"/>
      <c r="B147" s="445"/>
      <c r="C147" s="446"/>
      <c r="D147" s="448"/>
      <c r="E147" s="448"/>
      <c r="F147" s="448"/>
      <c r="G147" s="484">
        <v>48</v>
      </c>
      <c r="H147" s="1239"/>
      <c r="I147" s="448"/>
      <c r="J147" s="446"/>
      <c r="K147" s="638"/>
      <c r="L147" s="638"/>
      <c r="M147" s="638"/>
      <c r="N147" s="1239"/>
      <c r="O147" s="1239"/>
      <c r="P147" s="1239"/>
      <c r="Q147" s="1239"/>
      <c r="R147" s="1239"/>
      <c r="S147" s="455">
        <v>48</v>
      </c>
      <c r="T147" s="1239"/>
      <c r="U147" s="1239"/>
      <c r="V147" s="1239"/>
      <c r="W147" s="1239"/>
      <c r="X147" s="1239"/>
      <c r="Y147" s="1239"/>
      <c r="Z147" s="1239"/>
      <c r="AA147" s="1239"/>
      <c r="AB147" s="1239"/>
      <c r="AC147" s="1239"/>
      <c r="AD147" s="1239"/>
      <c r="AE147" s="1239"/>
      <c r="AF147" s="1239"/>
      <c r="AG147" s="171"/>
      <c r="AH147" s="1239"/>
      <c r="AI147" s="1239"/>
      <c r="AJ147" s="1239"/>
      <c r="AK147" s="1239"/>
      <c r="AL147" s="1239"/>
      <c r="AM147" s="1239"/>
      <c r="AN147" s="455"/>
      <c r="AO147" s="1239"/>
      <c r="AP147" s="1239"/>
      <c r="AQ147" s="484">
        <f>+FL_1($T$148,$T$146,$G$147,1200,9.28,-1*$F$148)</f>
        <v>0.36022448800000006</v>
      </c>
      <c r="AR147" s="484"/>
      <c r="AS147" s="484"/>
      <c r="AT147" s="484"/>
      <c r="AU147" s="638"/>
      <c r="AV147" s="638"/>
      <c r="AW147" s="484"/>
      <c r="AX147" s="484"/>
      <c r="AY147" s="484"/>
      <c r="AZ147" s="484"/>
      <c r="BA147" s="671"/>
      <c r="BB147" s="449"/>
      <c r="BC147" s="169"/>
      <c r="BD147" s="1330"/>
      <c r="BE147" s="1330"/>
      <c r="BF147" s="1330"/>
      <c r="BG147" s="1330"/>
    </row>
    <row r="148" spans="1:59" s="1436" customFormat="1" ht="15.75" customHeight="1">
      <c r="A148" s="1425"/>
      <c r="B148" s="1426" t="s">
        <v>3178</v>
      </c>
      <c r="C148" s="1427">
        <f>+$C$146+$G$147</f>
        <v>88593.85</v>
      </c>
      <c r="D148" s="1428"/>
      <c r="E148" s="1428"/>
      <c r="F148" s="1428">
        <v>0</v>
      </c>
      <c r="G148" s="1429"/>
      <c r="H148" s="1430"/>
      <c r="I148" s="1428"/>
      <c r="J148" s="1427"/>
      <c r="K148" s="1431"/>
      <c r="L148" s="1431"/>
      <c r="M148" s="1431"/>
      <c r="N148" s="1430" t="s">
        <v>843</v>
      </c>
      <c r="O148" s="1430"/>
      <c r="P148" s="1430"/>
      <c r="Q148" s="1430">
        <v>0</v>
      </c>
      <c r="R148" s="1430">
        <v>0</v>
      </c>
      <c r="S148" s="1432"/>
      <c r="T148" s="1430">
        <v>-35</v>
      </c>
      <c r="U148" s="1430"/>
      <c r="V148" s="1430"/>
      <c r="W148" s="1430">
        <v>1.4</v>
      </c>
      <c r="X148" s="1430"/>
      <c r="Y148" s="1430"/>
      <c r="Z148" s="1430"/>
      <c r="AA148" s="1430"/>
      <c r="AB148" s="1430"/>
      <c r="AC148" s="1430" t="str">
        <f>IF(OR(AT148&gt;8,AT148&lt;-8),"PH",IF(OR(AT148&gt;5,AT148&lt;-5),"PH-Q",IF(OR(AT148&gt;1,AT148&lt;-1),"PH-C")))</f>
        <v>PH-Q</v>
      </c>
      <c r="AD148" s="1430"/>
      <c r="AE148" s="1430"/>
      <c r="AF148" s="1430">
        <v>25</v>
      </c>
      <c r="AG148" s="1433">
        <v>88593</v>
      </c>
      <c r="AH148" s="1430">
        <v>1943</v>
      </c>
      <c r="AI148" s="1430">
        <f>-4328-1200</f>
        <v>-5528</v>
      </c>
      <c r="AJ148" s="1430"/>
      <c r="AK148" s="1431" t="s">
        <v>139</v>
      </c>
      <c r="AL148" s="1431"/>
      <c r="AM148" s="1430"/>
      <c r="AN148" s="1432">
        <v>5.5</v>
      </c>
      <c r="AO148" s="1430"/>
      <c r="AP148" s="1430"/>
      <c r="AQ148" s="1429"/>
      <c r="AR148" s="1429"/>
      <c r="AS148" s="1429"/>
      <c r="AT148" s="1429">
        <f>+ab($T$148,$T$146,$U$150,$G$147,$G$149,-1*$F$148,1200)</f>
        <v>-5.4857664835046611</v>
      </c>
      <c r="AU148" s="1431"/>
      <c r="AV148" s="1431"/>
      <c r="AW148" s="1429"/>
      <c r="AX148" s="1429"/>
      <c r="AY148" s="1429"/>
      <c r="AZ148" s="1429"/>
      <c r="BA148" s="1431"/>
      <c r="BB148" s="1425"/>
      <c r="BC148" s="1434"/>
      <c r="BD148" s="1435"/>
      <c r="BE148" s="1435"/>
      <c r="BF148" s="1435"/>
      <c r="BG148" s="1435"/>
    </row>
    <row r="149" spans="1:59" ht="15.75" customHeight="1">
      <c r="A149" s="449"/>
      <c r="B149" s="445" t="s">
        <v>2311</v>
      </c>
      <c r="C149" s="446"/>
      <c r="D149" s="448"/>
      <c r="E149" s="448"/>
      <c r="F149" s="448"/>
      <c r="G149" s="484">
        <v>34.5</v>
      </c>
      <c r="H149" s="1239"/>
      <c r="I149" s="448"/>
      <c r="J149" s="446"/>
      <c r="K149" s="638"/>
      <c r="L149" s="638"/>
      <c r="M149" s="638"/>
      <c r="N149" s="1239"/>
      <c r="O149" s="1239"/>
      <c r="P149" s="1239"/>
      <c r="Q149" s="1239"/>
      <c r="R149" s="1239"/>
      <c r="S149" s="455">
        <v>35</v>
      </c>
      <c r="T149" s="1239"/>
      <c r="U149" s="1239"/>
      <c r="V149" s="1239"/>
      <c r="W149" s="1239"/>
      <c r="X149" s="1239"/>
      <c r="Y149" s="1239"/>
      <c r="Z149" s="1239"/>
      <c r="AA149" s="1239"/>
      <c r="AB149" s="1239"/>
      <c r="AC149" s="1239"/>
      <c r="AD149" s="1239"/>
      <c r="AE149" s="1239"/>
      <c r="AF149" s="1239"/>
      <c r="AG149" s="171"/>
      <c r="AH149" s="1239"/>
      <c r="AI149" s="1239"/>
      <c r="AJ149" s="1239"/>
      <c r="AK149" s="1239"/>
      <c r="AL149" s="1239"/>
      <c r="AM149" s="1239"/>
      <c r="AN149" s="455"/>
      <c r="AO149" s="1239"/>
      <c r="AP149" s="1239"/>
      <c r="AQ149" s="484">
        <f>+FL_1($U$150,$T$148,$G$149,1200,9.28,-1*$F$150)</f>
        <v>0.35</v>
      </c>
      <c r="AR149" s="484"/>
      <c r="AS149" s="484"/>
      <c r="AT149" s="484"/>
      <c r="AU149" s="638"/>
      <c r="AV149" s="638"/>
      <c r="AW149" s="484"/>
      <c r="AX149" s="484"/>
      <c r="AY149" s="484"/>
      <c r="AZ149" s="484"/>
      <c r="BA149" s="671"/>
      <c r="BB149" s="449"/>
      <c r="BC149" s="169"/>
      <c r="BD149" s="1330"/>
      <c r="BE149" s="1330"/>
      <c r="BF149" s="1330"/>
      <c r="BG149" s="1330"/>
    </row>
    <row r="150" spans="1:59" s="1436" customFormat="1" ht="15.75" customHeight="1">
      <c r="A150" s="1425"/>
      <c r="B150" s="1426" t="s">
        <v>3179</v>
      </c>
      <c r="C150" s="1427">
        <f>+$C$148+$G$149</f>
        <v>88628.35</v>
      </c>
      <c r="D150" s="1428"/>
      <c r="E150" s="1428"/>
      <c r="F150" s="1428">
        <v>0</v>
      </c>
      <c r="G150" s="1429"/>
      <c r="H150" s="1430" t="s">
        <v>619</v>
      </c>
      <c r="I150" s="1428"/>
      <c r="J150" s="1427"/>
      <c r="K150" s="1431"/>
      <c r="L150" s="1431"/>
      <c r="M150" s="1431"/>
      <c r="N150" s="1430" t="s">
        <v>845</v>
      </c>
      <c r="O150" s="1430" t="s">
        <v>844</v>
      </c>
      <c r="P150" s="1430"/>
      <c r="Q150" s="1430">
        <v>0</v>
      </c>
      <c r="R150" s="1430">
        <v>0</v>
      </c>
      <c r="S150" s="1432"/>
      <c r="T150" s="1430">
        <v>45</v>
      </c>
      <c r="U150" s="1430">
        <v>35</v>
      </c>
      <c r="V150" s="1430"/>
      <c r="W150" s="1430">
        <v>1.4</v>
      </c>
      <c r="X150" s="1430">
        <v>1.8</v>
      </c>
      <c r="Y150" s="1430"/>
      <c r="Z150" s="1430">
        <v>0.6</v>
      </c>
      <c r="AA150" s="1430"/>
      <c r="AB150" s="1430"/>
      <c r="AC150" s="1430"/>
      <c r="AD150" s="1430"/>
      <c r="AE150" s="1430"/>
      <c r="AF150" s="1430">
        <v>40</v>
      </c>
      <c r="AG150" s="1433">
        <v>88628</v>
      </c>
      <c r="AH150" s="1430">
        <v>1953</v>
      </c>
      <c r="AI150" s="1430">
        <f>-4315-1200</f>
        <v>-5515</v>
      </c>
      <c r="AJ150" s="1430"/>
      <c r="AK150" s="1430" t="s">
        <v>228</v>
      </c>
      <c r="AL150" s="1431"/>
      <c r="AM150" s="1430"/>
      <c r="AN150" s="1432">
        <v>5.5</v>
      </c>
      <c r="AO150" s="1430"/>
      <c r="AP150" s="1430"/>
      <c r="AQ150" s="1429"/>
      <c r="AR150" s="1429"/>
      <c r="AS150" s="1429"/>
      <c r="AT150" s="1429">
        <f>+ab($U$150,$T$148,$T$152,$G$149,$G$151,-1*$F$150,1200)</f>
        <v>5.8814438015402635</v>
      </c>
      <c r="AU150" s="1431"/>
      <c r="AV150" s="1431"/>
      <c r="AW150" s="1429"/>
      <c r="AX150" s="1429"/>
      <c r="AY150" s="1429"/>
      <c r="AZ150" s="1429"/>
      <c r="BA150" s="1431"/>
      <c r="BB150" s="1425"/>
      <c r="BC150" s="1434"/>
      <c r="BD150" s="1435"/>
      <c r="BE150" s="1435"/>
      <c r="BF150" s="1435"/>
      <c r="BG150" s="1435"/>
    </row>
    <row r="151" spans="1:59" ht="15.75" customHeight="1">
      <c r="A151" s="449"/>
      <c r="B151" s="445"/>
      <c r="C151" s="446"/>
      <c r="D151" s="448"/>
      <c r="E151" s="448"/>
      <c r="F151" s="448"/>
      <c r="G151" s="484">
        <v>45</v>
      </c>
      <c r="H151" s="1239"/>
      <c r="I151" s="448">
        <f>C152-C136</f>
        <v>370</v>
      </c>
      <c r="J151" s="446"/>
      <c r="K151" s="638"/>
      <c r="L151" s="1239"/>
      <c r="M151" s="638"/>
      <c r="N151" s="1239"/>
      <c r="O151" s="1239"/>
      <c r="P151" s="1239"/>
      <c r="Q151" s="1239"/>
      <c r="R151" s="1239"/>
      <c r="S151" s="455">
        <v>45</v>
      </c>
      <c r="T151" s="1239"/>
      <c r="U151" s="1239"/>
      <c r="V151" s="1239"/>
      <c r="W151" s="1239"/>
      <c r="X151" s="1239"/>
      <c r="Y151" s="1239"/>
      <c r="Z151" s="1239"/>
      <c r="AA151" s="1239"/>
      <c r="AB151" s="1239"/>
      <c r="AC151" s="1239"/>
      <c r="AD151" s="1239"/>
      <c r="AE151" s="1239"/>
      <c r="AF151" s="1239"/>
      <c r="AG151" s="171"/>
      <c r="AH151" s="1239"/>
      <c r="AI151" s="1239"/>
      <c r="AJ151" s="1239"/>
      <c r="AK151" s="638" t="s">
        <v>2760</v>
      </c>
      <c r="AL151" s="1239"/>
      <c r="AM151" s="1239"/>
      <c r="AN151" s="455"/>
      <c r="AO151" s="1239"/>
      <c r="AP151" s="1239"/>
      <c r="AQ151" s="484">
        <f>+FL_1($T$152,$U$150,$G$151,1200,9.28,-1*$F$152)</f>
        <v>0.36733364444444438</v>
      </c>
      <c r="AR151" s="484"/>
      <c r="AS151" s="484"/>
      <c r="AT151" s="484"/>
      <c r="AU151" s="638"/>
      <c r="AV151" s="638"/>
      <c r="AW151" s="638"/>
      <c r="AX151" s="638"/>
      <c r="AY151" s="484"/>
      <c r="AZ151" s="484"/>
      <c r="BA151" s="671"/>
      <c r="BB151" s="449"/>
      <c r="BC151" s="169"/>
      <c r="BD151" s="1330"/>
      <c r="BE151" s="1330"/>
      <c r="BF151" s="1330"/>
      <c r="BG151" s="1330"/>
    </row>
    <row r="152" spans="1:59" s="1436" customFormat="1" ht="15.75" customHeight="1">
      <c r="A152" s="1425"/>
      <c r="B152" s="1426" t="s">
        <v>3180</v>
      </c>
      <c r="C152" s="1427">
        <f>+$C$150+$G$151</f>
        <v>88673.35</v>
      </c>
      <c r="D152" s="1428"/>
      <c r="E152" s="1428"/>
      <c r="F152" s="1428">
        <v>0</v>
      </c>
      <c r="G152" s="1429"/>
      <c r="H152" s="1430" t="s">
        <v>874</v>
      </c>
      <c r="I152" s="1428"/>
      <c r="J152" s="1427"/>
      <c r="K152" s="1431"/>
      <c r="L152" s="1431"/>
      <c r="M152" s="1431"/>
      <c r="N152" s="1430" t="s">
        <v>843</v>
      </c>
      <c r="O152" s="1430"/>
      <c r="P152" s="1430"/>
      <c r="Q152" s="1430">
        <v>0</v>
      </c>
      <c r="R152" s="1430">
        <v>0</v>
      </c>
      <c r="S152" s="1432"/>
      <c r="T152" s="1430">
        <v>-20</v>
      </c>
      <c r="U152" s="1430"/>
      <c r="V152" s="1430"/>
      <c r="W152" s="1430">
        <v>1.4</v>
      </c>
      <c r="X152" s="1430"/>
      <c r="Y152" s="1430"/>
      <c r="Z152" s="1430"/>
      <c r="AA152" s="1430"/>
      <c r="AB152" s="1430"/>
      <c r="AC152" s="1430" t="str">
        <f>IF(OR(AT152&gt;8,AT152&lt;-8),"PH",IF(OR(AT152&gt;5,AT152&lt;-5),"PH-Q",IF(OR(AT152&gt;1,AT152&lt;-1),"PH-C")))</f>
        <v>PH</v>
      </c>
      <c r="AD152" s="1430"/>
      <c r="AE152" s="1430"/>
      <c r="AF152" s="1430">
        <v>50</v>
      </c>
      <c r="AG152" s="1433">
        <v>88673</v>
      </c>
      <c r="AH152" s="1430">
        <v>1853</v>
      </c>
      <c r="AI152" s="1430">
        <f>-4356-1200</f>
        <v>-5556</v>
      </c>
      <c r="AJ152" s="1430"/>
      <c r="AK152" s="1430" t="s">
        <v>139</v>
      </c>
      <c r="AL152" s="1431"/>
      <c r="AM152" s="1430"/>
      <c r="AN152" s="1432">
        <v>5.5</v>
      </c>
      <c r="AO152" s="1430"/>
      <c r="AP152" s="1430"/>
      <c r="AQ152" s="1429"/>
      <c r="AR152" s="1429"/>
      <c r="AS152" s="1429"/>
      <c r="AT152" s="1429">
        <f>+ab($T$152,$U$150,$T$154,$G$151,$G$153,-1*$F$152,1200)</f>
        <v>-20.044436427136439</v>
      </c>
      <c r="AU152" s="1431"/>
      <c r="AV152" s="1431"/>
      <c r="AW152" s="1429"/>
      <c r="AX152" s="1429"/>
      <c r="AY152" s="1429"/>
      <c r="AZ152" s="1429"/>
      <c r="BA152" s="1431"/>
      <c r="BB152" s="1425"/>
      <c r="BC152" s="1434"/>
      <c r="BD152" s="1435"/>
      <c r="BE152" s="1435"/>
      <c r="BF152" s="1435"/>
      <c r="BG152" s="1435"/>
    </row>
    <row r="153" spans="1:59" ht="15.75" customHeight="1">
      <c r="A153" s="449"/>
      <c r="B153" s="445"/>
      <c r="C153" s="446"/>
      <c r="D153" s="448"/>
      <c r="E153" s="448"/>
      <c r="F153" s="448"/>
      <c r="G153" s="484">
        <v>49.3</v>
      </c>
      <c r="H153" s="1239"/>
      <c r="I153" s="448">
        <f>C168-C152</f>
        <v>408.20000000001164</v>
      </c>
      <c r="J153" s="446"/>
      <c r="K153" s="638"/>
      <c r="L153" s="1239"/>
      <c r="M153" s="638"/>
      <c r="N153" s="1239"/>
      <c r="O153" s="1239"/>
      <c r="P153" s="1239"/>
      <c r="Q153" s="1239"/>
      <c r="R153" s="1239"/>
      <c r="S153" s="455">
        <v>60</v>
      </c>
      <c r="T153" s="1239"/>
      <c r="U153" s="1239"/>
      <c r="V153" s="1239"/>
      <c r="W153" s="1239"/>
      <c r="X153" s="1239"/>
      <c r="Y153" s="1239"/>
      <c r="Z153" s="1239"/>
      <c r="AA153" s="1239"/>
      <c r="AB153" s="1239"/>
      <c r="AC153" s="1239"/>
      <c r="AD153" s="1239"/>
      <c r="AE153" s="1239"/>
      <c r="AF153" s="1239"/>
      <c r="AG153" s="171"/>
      <c r="AH153" s="1239"/>
      <c r="AI153" s="1239"/>
      <c r="AJ153" s="1239"/>
      <c r="AK153" s="638"/>
      <c r="AL153" s="1239"/>
      <c r="AM153" s="1239"/>
      <c r="AN153" s="455"/>
      <c r="AO153" s="1239"/>
      <c r="AP153" s="1239"/>
      <c r="AQ153" s="484">
        <f>+FL_2($T$154,$T$152,$G$153,1200,9.28,-1*$F$154)</f>
        <v>-0.51593274231778219</v>
      </c>
      <c r="AR153" s="484"/>
      <c r="AS153" s="484"/>
      <c r="AT153" s="484"/>
      <c r="AU153" s="638"/>
      <c r="AV153" s="638"/>
      <c r="AW153" s="484"/>
      <c r="AX153" s="484"/>
      <c r="AY153" s="484"/>
      <c r="AZ153" s="484"/>
      <c r="BA153" s="671"/>
      <c r="BB153" s="449"/>
      <c r="BC153" s="169"/>
      <c r="BD153" s="1330"/>
      <c r="BE153" s="1330"/>
      <c r="BF153" s="1330"/>
      <c r="BG153" s="1330"/>
    </row>
    <row r="154" spans="1:59" s="1448" customFormat="1" ht="15.75" customHeight="1">
      <c r="A154" s="1437"/>
      <c r="B154" s="1438" t="s">
        <v>3181</v>
      </c>
      <c r="C154" s="1439">
        <f>+$C$152+$G$153</f>
        <v>88722.650000000009</v>
      </c>
      <c r="D154" s="1440"/>
      <c r="E154" s="1440"/>
      <c r="F154" s="1440">
        <v>0</v>
      </c>
      <c r="G154" s="1441"/>
      <c r="H154" s="1442" t="s">
        <v>5059</v>
      </c>
      <c r="I154" s="1440"/>
      <c r="J154" s="1439"/>
      <c r="K154" s="1443"/>
      <c r="L154" s="1443"/>
      <c r="M154" s="1443"/>
      <c r="N154" s="1442" t="s">
        <v>843</v>
      </c>
      <c r="O154" s="1442" t="s">
        <v>844</v>
      </c>
      <c r="P154" s="1442" t="s">
        <v>845</v>
      </c>
      <c r="Q154" s="1442">
        <v>0</v>
      </c>
      <c r="R154" s="1442">
        <v>0</v>
      </c>
      <c r="S154" s="1444"/>
      <c r="T154" s="1442">
        <v>-35</v>
      </c>
      <c r="U154" s="1442">
        <v>-20</v>
      </c>
      <c r="V154" s="1442">
        <v>-80</v>
      </c>
      <c r="W154" s="1442">
        <v>1.8</v>
      </c>
      <c r="X154" s="1442">
        <v>1.4</v>
      </c>
      <c r="Y154" s="1442">
        <v>2</v>
      </c>
      <c r="Z154" s="1442"/>
      <c r="AA154" s="1442"/>
      <c r="AB154" s="1442"/>
      <c r="AC154" s="1442" t="str">
        <f>IF(OR(AT154&gt;8,AT154&lt;-8),"PH",IF(OR(AT154&gt;5,AT154&lt;-5),"PH-Q",IF(OR(AT154&gt;1,AT154&lt;-1),"PH-C")))</f>
        <v>PH</v>
      </c>
      <c r="AD154" s="1442"/>
      <c r="AE154" s="1442"/>
      <c r="AF154" s="1442"/>
      <c r="AG154" s="1445">
        <v>88733</v>
      </c>
      <c r="AH154" s="1442">
        <v>1903</v>
      </c>
      <c r="AI154" s="1442">
        <f>-4373-1200</f>
        <v>-5573</v>
      </c>
      <c r="AJ154" s="1442" t="s">
        <v>864</v>
      </c>
      <c r="AK154" s="1442" t="s">
        <v>5064</v>
      </c>
      <c r="AL154" s="1443"/>
      <c r="AM154" s="1442"/>
      <c r="AN154" s="1444">
        <v>5.5</v>
      </c>
      <c r="AO154" s="1442"/>
      <c r="AP154" s="1442"/>
      <c r="AQ154" s="1441"/>
      <c r="AR154" s="1441"/>
      <c r="AS154" s="1441"/>
      <c r="AT154" s="1441">
        <f>+ab($T$154,$T$152,$U$156,$G$153,$G$155,-1*$F$154,1200)</f>
        <v>-14.369072580262074</v>
      </c>
      <c r="AU154" s="1443"/>
      <c r="AV154" s="1443"/>
      <c r="AW154" s="1441"/>
      <c r="AX154" s="1441"/>
      <c r="AY154" s="1441"/>
      <c r="AZ154" s="1441"/>
      <c r="BA154" s="1443"/>
      <c r="BB154" s="1437"/>
      <c r="BC154" s="1446"/>
      <c r="BD154" s="1447"/>
      <c r="BE154" s="1447"/>
      <c r="BF154" s="1447"/>
      <c r="BG154" s="1447"/>
    </row>
    <row r="155" spans="1:59" ht="15.75" customHeight="1">
      <c r="A155" s="449"/>
      <c r="B155" s="445"/>
      <c r="C155" s="446"/>
      <c r="D155" s="448"/>
      <c r="E155" s="448"/>
      <c r="F155" s="448"/>
      <c r="G155" s="484">
        <v>64.8</v>
      </c>
      <c r="H155" s="1239"/>
      <c r="I155" s="448"/>
      <c r="J155" s="446"/>
      <c r="K155" s="638"/>
      <c r="L155" s="1239"/>
      <c r="M155" s="638"/>
      <c r="N155" s="1239"/>
      <c r="O155" s="1239"/>
      <c r="P155" s="1239"/>
      <c r="Q155" s="1239"/>
      <c r="R155" s="1239"/>
      <c r="S155" s="455">
        <v>54</v>
      </c>
      <c r="T155" s="1239"/>
      <c r="U155" s="1239"/>
      <c r="V155" s="1239"/>
      <c r="W155" s="1239"/>
      <c r="X155" s="1239"/>
      <c r="Y155" s="1239"/>
      <c r="Z155" s="1239"/>
      <c r="AA155" s="1239"/>
      <c r="AB155" s="1239"/>
      <c r="AC155" s="1239"/>
      <c r="AD155" s="1239"/>
      <c r="AE155" s="1239"/>
      <c r="AF155" s="1239"/>
      <c r="AG155" s="171"/>
      <c r="AH155" s="1239"/>
      <c r="AI155" s="1239"/>
      <c r="AJ155" s="1239"/>
      <c r="AK155" s="1239"/>
      <c r="AL155" s="1239"/>
      <c r="AM155" s="1239"/>
      <c r="AN155" s="455"/>
      <c r="AO155" s="1239"/>
      <c r="AP155" s="1239"/>
      <c r="AQ155" s="484">
        <f>+FL_1($U$156,$T$154,$G$155,1200,9.28,-1*$F$156)</f>
        <v>0.44596209397530862</v>
      </c>
      <c r="AR155" s="484"/>
      <c r="AS155" s="484"/>
      <c r="AT155" s="484"/>
      <c r="AU155" s="638"/>
      <c r="AV155" s="638"/>
      <c r="AW155" s="484"/>
      <c r="AX155" s="484"/>
      <c r="AY155" s="484"/>
      <c r="AZ155" s="484"/>
      <c r="BA155" s="671"/>
      <c r="BB155" s="449"/>
      <c r="BC155" s="169"/>
      <c r="BD155" s="1330"/>
      <c r="BE155" s="1330"/>
      <c r="BF155" s="1330"/>
      <c r="BG155" s="1330"/>
    </row>
    <row r="156" spans="1:59" s="1448" customFormat="1" ht="15" customHeight="1">
      <c r="A156" s="1437"/>
      <c r="B156" s="1438" t="s">
        <v>3182</v>
      </c>
      <c r="C156" s="1439">
        <f>+$C$154+$G$155</f>
        <v>88787.450000000012</v>
      </c>
      <c r="D156" s="1440"/>
      <c r="E156" s="1440"/>
      <c r="F156" s="1440">
        <v>0</v>
      </c>
      <c r="G156" s="1441"/>
      <c r="H156" s="1442" t="s">
        <v>3269</v>
      </c>
      <c r="I156" s="1440"/>
      <c r="J156" s="1439"/>
      <c r="K156" s="1443"/>
      <c r="L156" s="1443"/>
      <c r="M156" s="1443"/>
      <c r="N156" s="1442" t="s">
        <v>845</v>
      </c>
      <c r="O156" s="1442" t="s">
        <v>844</v>
      </c>
      <c r="P156" s="1442" t="s">
        <v>843</v>
      </c>
      <c r="Q156" s="1442">
        <v>0</v>
      </c>
      <c r="R156" s="1442">
        <v>0</v>
      </c>
      <c r="S156" s="1444"/>
      <c r="T156" s="1442">
        <v>45</v>
      </c>
      <c r="U156" s="1442">
        <v>30</v>
      </c>
      <c r="V156" s="1442">
        <v>15</v>
      </c>
      <c r="W156" s="1442">
        <v>1.4</v>
      </c>
      <c r="X156" s="1442">
        <v>1.8</v>
      </c>
      <c r="Y156" s="1442">
        <v>2.2999999999999998</v>
      </c>
      <c r="Z156" s="1442">
        <v>0.45</v>
      </c>
      <c r="AA156" s="1442"/>
      <c r="AB156" s="1442"/>
      <c r="AC156" s="1442"/>
      <c r="AD156" s="1442" t="s">
        <v>2773</v>
      </c>
      <c r="AE156" s="1442" t="s">
        <v>1428</v>
      </c>
      <c r="AF156" s="1442"/>
      <c r="AG156" s="1445">
        <v>88787</v>
      </c>
      <c r="AH156" s="1442">
        <v>1913</v>
      </c>
      <c r="AI156" s="1442">
        <f>-4399-1200</f>
        <v>-5599</v>
      </c>
      <c r="AJ156" s="1442"/>
      <c r="AK156" s="1442" t="s">
        <v>3133</v>
      </c>
      <c r="AL156" s="1443"/>
      <c r="AM156" s="1442"/>
      <c r="AN156" s="1444">
        <v>5.5</v>
      </c>
      <c r="AO156" s="1442"/>
      <c r="AP156" s="1442"/>
      <c r="AQ156" s="1441"/>
      <c r="AR156" s="1441"/>
      <c r="AS156" s="1441"/>
      <c r="AT156" s="1441">
        <f>+ab($U$156,$T$154,-$U$158,$G$155,$G$157,-1*$F$156,1200)</f>
        <v>8.6439684043988567</v>
      </c>
      <c r="AU156" s="1443"/>
      <c r="AV156" s="1443"/>
      <c r="AW156" s="1441"/>
      <c r="AX156" s="1441"/>
      <c r="AY156" s="1441"/>
      <c r="AZ156" s="1441"/>
      <c r="BA156" s="1443"/>
      <c r="BB156" s="1437"/>
      <c r="BC156" s="1446"/>
      <c r="BD156" s="1447"/>
      <c r="BE156" s="1447"/>
      <c r="BF156" s="1447"/>
      <c r="BG156" s="1447"/>
    </row>
    <row r="157" spans="1:59" ht="15.75" customHeight="1">
      <c r="A157" s="449"/>
      <c r="B157" s="445"/>
      <c r="C157" s="446"/>
      <c r="D157" s="448"/>
      <c r="E157" s="448"/>
      <c r="F157" s="448"/>
      <c r="G157" s="484">
        <v>50</v>
      </c>
      <c r="H157" s="1239"/>
      <c r="I157" s="448"/>
      <c r="J157" s="446"/>
      <c r="K157" s="638"/>
      <c r="L157" s="1239"/>
      <c r="M157" s="638"/>
      <c r="N157" s="1239"/>
      <c r="O157" s="1239"/>
      <c r="P157" s="1239"/>
      <c r="Q157" s="1239"/>
      <c r="R157" s="1239"/>
      <c r="S157" s="455">
        <v>50</v>
      </c>
      <c r="T157" s="1239"/>
      <c r="U157" s="1239"/>
      <c r="V157" s="1239"/>
      <c r="W157" s="1239"/>
      <c r="X157" s="1239"/>
      <c r="Y157" s="1239"/>
      <c r="Z157" s="1239"/>
      <c r="AA157" s="1239"/>
      <c r="AB157" s="1239"/>
      <c r="AC157" s="1239"/>
      <c r="AD157" s="1239"/>
      <c r="AE157" s="1239"/>
      <c r="AF157" s="1239"/>
      <c r="AG157" s="171"/>
      <c r="AH157" s="1239"/>
      <c r="AI157" s="1239"/>
      <c r="AJ157" s="1239"/>
      <c r="AK157" s="1239"/>
      <c r="AL157" s="1239"/>
      <c r="AM157" s="1239"/>
      <c r="AN157" s="455"/>
      <c r="AO157" s="1239"/>
      <c r="AP157" s="1239"/>
      <c r="AQ157" s="484">
        <f>+FL_1(-$U$158,$U$156,$G$157,1200,9.28,-1*$F$158)</f>
        <v>0.33477011200000012</v>
      </c>
      <c r="AR157" s="484"/>
      <c r="AS157" s="484"/>
      <c r="AT157" s="484"/>
      <c r="AU157" s="638"/>
      <c r="AV157" s="638"/>
      <c r="AW157" s="484"/>
      <c r="AX157" s="484"/>
      <c r="AY157" s="484"/>
      <c r="AZ157" s="484"/>
      <c r="BA157" s="671"/>
      <c r="BB157" s="449"/>
      <c r="BC157" s="169"/>
      <c r="BD157" s="1330"/>
      <c r="BE157" s="1330"/>
      <c r="BF157" s="1330"/>
      <c r="BG157" s="1330"/>
    </row>
    <row r="158" spans="1:59" s="1448" customFormat="1" ht="15.75" customHeight="1">
      <c r="A158" s="1437"/>
      <c r="B158" s="1438" t="s">
        <v>3183</v>
      </c>
      <c r="C158" s="1439">
        <f>+$C$156+$G$157</f>
        <v>88837.450000000012</v>
      </c>
      <c r="D158" s="1440"/>
      <c r="E158" s="1440"/>
      <c r="F158" s="1440">
        <v>0</v>
      </c>
      <c r="G158" s="1441"/>
      <c r="H158" s="1442" t="s">
        <v>2818</v>
      </c>
      <c r="I158" s="1440"/>
      <c r="J158" s="1439"/>
      <c r="K158" s="1443"/>
      <c r="L158" s="1443"/>
      <c r="M158" s="1443"/>
      <c r="N158" s="1442" t="s">
        <v>843</v>
      </c>
      <c r="O158" s="1442" t="s">
        <v>844</v>
      </c>
      <c r="P158" s="1442" t="s">
        <v>845</v>
      </c>
      <c r="Q158" s="1442">
        <v>0</v>
      </c>
      <c r="R158" s="1442">
        <v>0</v>
      </c>
      <c r="S158" s="1444"/>
      <c r="T158" s="1442">
        <v>15</v>
      </c>
      <c r="U158" s="1442">
        <v>30</v>
      </c>
      <c r="V158" s="1442">
        <v>45</v>
      </c>
      <c r="W158" s="1442">
        <v>2.2999999999999998</v>
      </c>
      <c r="X158" s="1442">
        <v>1.8</v>
      </c>
      <c r="Y158" s="1442">
        <v>1.4</v>
      </c>
      <c r="Z158" s="1442"/>
      <c r="AA158" s="1442"/>
      <c r="AB158" s="1442">
        <v>0.45</v>
      </c>
      <c r="AC158" s="1442" t="s">
        <v>1428</v>
      </c>
      <c r="AD158" s="1442" t="s">
        <v>2773</v>
      </c>
      <c r="AE158" s="1442"/>
      <c r="AF158" s="1442"/>
      <c r="AG158" s="1445">
        <v>88837</v>
      </c>
      <c r="AH158" s="1442">
        <v>1823</v>
      </c>
      <c r="AI158" s="1442">
        <f>-4327-1200</f>
        <v>-5527</v>
      </c>
      <c r="AJ158" s="1442"/>
      <c r="AK158" s="1442" t="s">
        <v>3133</v>
      </c>
      <c r="AL158" s="1443"/>
      <c r="AM158" s="1442"/>
      <c r="AN158" s="1444">
        <v>5.5</v>
      </c>
      <c r="AO158" s="1442"/>
      <c r="AP158" s="1442"/>
      <c r="AQ158" s="1441"/>
      <c r="AR158" s="1441"/>
      <c r="AS158" s="1441"/>
      <c r="AT158" s="1441">
        <f>+ab($U$158,$U$156,$T$160,$G$157,$G$159,-1*$F$158,1200)</f>
        <v>15.081659626928245</v>
      </c>
      <c r="AU158" s="1443"/>
      <c r="AV158" s="1443"/>
      <c r="AW158" s="1441"/>
      <c r="AX158" s="1441"/>
      <c r="AY158" s="1441"/>
      <c r="AZ158" s="1441"/>
      <c r="BA158" s="1443"/>
      <c r="BB158" s="1437"/>
      <c r="BC158" s="1446"/>
      <c r="BD158" s="1447"/>
      <c r="BE158" s="1447"/>
      <c r="BF158" s="1447"/>
      <c r="BG158" s="1447"/>
    </row>
    <row r="159" spans="1:59" ht="15.75" customHeight="1">
      <c r="A159" s="449"/>
      <c r="B159" s="445"/>
      <c r="C159" s="446"/>
      <c r="D159" s="448"/>
      <c r="E159" s="448"/>
      <c r="F159" s="448"/>
      <c r="G159" s="484">
        <v>52.3</v>
      </c>
      <c r="H159" s="1239"/>
      <c r="I159" s="448"/>
      <c r="J159" s="446"/>
      <c r="K159" s="638"/>
      <c r="L159" s="1239"/>
      <c r="M159" s="638"/>
      <c r="N159" s="1239"/>
      <c r="O159" s="1239"/>
      <c r="P159" s="1239"/>
      <c r="Q159" s="1239"/>
      <c r="R159" s="1239"/>
      <c r="S159" s="455">
        <v>52</v>
      </c>
      <c r="T159" s="1239"/>
      <c r="U159" s="1239"/>
      <c r="V159" s="1239"/>
      <c r="W159" s="1239"/>
      <c r="X159" s="1239"/>
      <c r="Y159" s="1239"/>
      <c r="Z159" s="1239"/>
      <c r="AA159" s="1239"/>
      <c r="AB159" s="1239"/>
      <c r="AC159" s="1239"/>
      <c r="AD159" s="1239"/>
      <c r="AE159" s="1239"/>
      <c r="AF159" s="1239"/>
      <c r="AG159" s="171"/>
      <c r="AH159" s="1239"/>
      <c r="AI159" s="1239"/>
      <c r="AJ159" s="1239"/>
      <c r="AK159" s="1239"/>
      <c r="AL159" s="1239"/>
      <c r="AM159" s="1239"/>
      <c r="AN159" s="455"/>
      <c r="AO159" s="1239"/>
      <c r="AP159" s="1239"/>
      <c r="AQ159" s="484">
        <f>+FL_2($T$160,$U$158,$G$159,1200,9.28,-1*$F$160)</f>
        <v>-0.38927942534608023</v>
      </c>
      <c r="AR159" s="484"/>
      <c r="AS159" s="484"/>
      <c r="AT159" s="484"/>
      <c r="AU159" s="638"/>
      <c r="AV159" s="638"/>
      <c r="AW159" s="484"/>
      <c r="AX159" s="484"/>
      <c r="AY159" s="484"/>
      <c r="AZ159" s="484"/>
      <c r="BA159" s="671"/>
      <c r="BB159" s="449"/>
      <c r="BC159" s="169"/>
      <c r="BD159" s="1330"/>
      <c r="BE159" s="1330"/>
      <c r="BF159" s="1330"/>
      <c r="BG159" s="1330"/>
    </row>
    <row r="160" spans="1:59" s="1436" customFormat="1" ht="15.75" customHeight="1">
      <c r="A160" s="1425"/>
      <c r="B160" s="1426" t="s">
        <v>3184</v>
      </c>
      <c r="C160" s="1427">
        <f>+$C$158+$G$159</f>
        <v>88889.750000000015</v>
      </c>
      <c r="D160" s="1428"/>
      <c r="E160" s="1428"/>
      <c r="F160" s="1428">
        <v>0</v>
      </c>
      <c r="G160" s="1429"/>
      <c r="H160" s="1430" t="s">
        <v>4193</v>
      </c>
      <c r="I160" s="1428"/>
      <c r="J160" s="1427"/>
      <c r="K160" s="1431"/>
      <c r="L160" s="1431"/>
      <c r="M160" s="1431"/>
      <c r="N160" s="1430" t="s">
        <v>843</v>
      </c>
      <c r="O160" s="1430" t="s">
        <v>845</v>
      </c>
      <c r="P160" s="1430"/>
      <c r="Q160" s="1430">
        <v>0</v>
      </c>
      <c r="R160" s="1430">
        <v>0</v>
      </c>
      <c r="S160" s="1432"/>
      <c r="T160" s="1430">
        <v>-35</v>
      </c>
      <c r="U160" s="1430">
        <v>50</v>
      </c>
      <c r="V160" s="1430"/>
      <c r="W160" s="1430">
        <v>1.8</v>
      </c>
      <c r="X160" s="1430">
        <v>1.4</v>
      </c>
      <c r="Y160" s="1430"/>
      <c r="Z160" s="1430"/>
      <c r="AA160" s="1430"/>
      <c r="AB160" s="1430">
        <v>0.52</v>
      </c>
      <c r="AC160" s="1430" t="str">
        <f>IF(OR(AT160&gt;8,AT160&lt;-8),"PH",IF(OR(AT160&gt;5,AT160&lt;-5),"PH-Q",IF(OR(AT160&gt;1,AT160&lt;-1),"PH-C")))</f>
        <v>PH</v>
      </c>
      <c r="AD160" s="1430"/>
      <c r="AE160" s="1430"/>
      <c r="AF160" s="1430"/>
      <c r="AG160" s="1433">
        <v>88889</v>
      </c>
      <c r="AH160" s="1430">
        <v>1813</v>
      </c>
      <c r="AI160" s="1430">
        <f>-4376-1200</f>
        <v>-5576</v>
      </c>
      <c r="AJ160" s="1430"/>
      <c r="AK160" s="1430" t="s">
        <v>228</v>
      </c>
      <c r="AL160" s="1431"/>
      <c r="AM160" s="1430"/>
      <c r="AN160" s="1432">
        <v>5.43</v>
      </c>
      <c r="AO160" s="1430"/>
      <c r="AP160" s="1430"/>
      <c r="AQ160" s="1429"/>
      <c r="AR160" s="1429"/>
      <c r="AS160" s="1429"/>
      <c r="AT160" s="1429">
        <f>+ab($T$160,$U$158,$T$162,$G$159,$G$161,-1*$F$160,1200)</f>
        <v>-8.4930899744592345</v>
      </c>
      <c r="AU160" s="1431"/>
      <c r="AV160" s="1431"/>
      <c r="AW160" s="1429"/>
      <c r="AX160" s="1429"/>
      <c r="AY160" s="1429"/>
      <c r="AZ160" s="1429"/>
      <c r="BA160" s="1431"/>
      <c r="BB160" s="1425"/>
      <c r="BC160" s="1434"/>
      <c r="BD160" s="1435"/>
      <c r="BE160" s="1435"/>
      <c r="BF160" s="1435"/>
      <c r="BG160" s="1435"/>
    </row>
    <row r="161" spans="1:59" ht="15.75" customHeight="1">
      <c r="A161" s="449"/>
      <c r="B161" s="445"/>
      <c r="C161" s="446"/>
      <c r="D161" s="448"/>
      <c r="E161" s="448"/>
      <c r="F161" s="448"/>
      <c r="G161" s="484">
        <v>50</v>
      </c>
      <c r="H161" s="1239"/>
      <c r="I161" s="448"/>
      <c r="J161" s="446"/>
      <c r="K161" s="638"/>
      <c r="L161" s="1239"/>
      <c r="M161" s="638"/>
      <c r="N161" s="1239"/>
      <c r="O161" s="1239"/>
      <c r="P161" s="1239"/>
      <c r="Q161" s="1239"/>
      <c r="R161" s="1239"/>
      <c r="S161" s="455">
        <v>50</v>
      </c>
      <c r="T161" s="1239"/>
      <c r="U161" s="1239"/>
      <c r="V161" s="1239"/>
      <c r="W161" s="1239"/>
      <c r="X161" s="1239"/>
      <c r="Y161" s="1239"/>
      <c r="Z161" s="1239"/>
      <c r="AA161" s="1239"/>
      <c r="AB161" s="1239"/>
      <c r="AC161" s="1239"/>
      <c r="AD161" s="1239"/>
      <c r="AE161" s="1239"/>
      <c r="AF161" s="1239"/>
      <c r="AG161" s="171"/>
      <c r="AH161" s="1239"/>
      <c r="AI161" s="1239"/>
      <c r="AJ161" s="1239"/>
      <c r="AK161" s="1239"/>
      <c r="AL161" s="1239"/>
      <c r="AM161" s="1239"/>
      <c r="AN161" s="455"/>
      <c r="AO161" s="1239"/>
      <c r="AP161" s="1239"/>
      <c r="AQ161" s="484">
        <f>+FL_2($U$162,-$T$160,$G$161,1200,9.28,-1*$F$162)</f>
        <v>-0.32593390799999999</v>
      </c>
      <c r="AR161" s="484"/>
      <c r="AS161" s="484"/>
      <c r="AT161" s="484"/>
      <c r="AU161" s="638"/>
      <c r="AV161" s="638"/>
      <c r="AW161" s="484"/>
      <c r="AX161" s="484"/>
      <c r="AY161" s="484"/>
      <c r="AZ161" s="484"/>
      <c r="BA161" s="671"/>
      <c r="BB161" s="449"/>
      <c r="BC161" s="169"/>
      <c r="BD161" s="1330"/>
      <c r="BE161" s="1330"/>
      <c r="BF161" s="1330"/>
      <c r="BG161" s="1330"/>
    </row>
    <row r="162" spans="1:59" s="1448" customFormat="1" ht="15.75" customHeight="1">
      <c r="A162" s="1437" t="s">
        <v>3268</v>
      </c>
      <c r="B162" s="1438" t="s">
        <v>3185</v>
      </c>
      <c r="C162" s="1439">
        <f>+$C$160+$G$161</f>
        <v>88939.750000000015</v>
      </c>
      <c r="D162" s="1440"/>
      <c r="E162" s="1440"/>
      <c r="F162" s="1440">
        <v>0</v>
      </c>
      <c r="G162" s="1441"/>
      <c r="H162" s="1442" t="s">
        <v>619</v>
      </c>
      <c r="I162" s="1440" t="s">
        <v>1429</v>
      </c>
      <c r="J162" s="1439"/>
      <c r="K162" s="1443"/>
      <c r="L162" s="1443"/>
      <c r="M162" s="1443"/>
      <c r="N162" s="1442" t="s">
        <v>845</v>
      </c>
      <c r="O162" s="1442" t="s">
        <v>843</v>
      </c>
      <c r="P162" s="1442"/>
      <c r="Q162" s="1442">
        <v>0</v>
      </c>
      <c r="R162" s="1442">
        <v>0</v>
      </c>
      <c r="S162" s="1444"/>
      <c r="T162" s="1442">
        <v>15</v>
      </c>
      <c r="U162" s="1442">
        <v>-30</v>
      </c>
      <c r="V162" s="1442"/>
      <c r="W162" s="1442">
        <v>1.2</v>
      </c>
      <c r="X162" s="1442">
        <v>1.6</v>
      </c>
      <c r="Y162" s="1442"/>
      <c r="Z162" s="1442">
        <v>0.34</v>
      </c>
      <c r="AA162" s="1442"/>
      <c r="AB162" s="1442"/>
      <c r="AC162" s="1442"/>
      <c r="AD162" s="1442"/>
      <c r="AE162" s="1442"/>
      <c r="AF162" s="1442"/>
      <c r="AG162" s="1445">
        <v>88939</v>
      </c>
      <c r="AH162" s="1442">
        <v>1563</v>
      </c>
      <c r="AI162" s="1442">
        <f>-3825-1200</f>
        <v>-5025</v>
      </c>
      <c r="AJ162" s="1442" t="s">
        <v>2154</v>
      </c>
      <c r="AK162" s="1442" t="s">
        <v>228</v>
      </c>
      <c r="AL162" s="1443"/>
      <c r="AM162" s="1442"/>
      <c r="AN162" s="1444">
        <v>5.32</v>
      </c>
      <c r="AO162" s="1442"/>
      <c r="AP162" s="1442"/>
      <c r="AQ162" s="1441"/>
      <c r="AR162" s="1441"/>
      <c r="AS162" s="1441"/>
      <c r="AT162" s="1441">
        <f>+ab($U$162,-$T$160,$U$164,$G$161,$G$163,-1*$F$162,1200)</f>
        <v>-11.856650323349168</v>
      </c>
      <c r="AU162" s="1443"/>
      <c r="AV162" s="1443"/>
      <c r="AW162" s="1441"/>
      <c r="AX162" s="1441"/>
      <c r="AY162" s="1441"/>
      <c r="AZ162" s="1441"/>
      <c r="BA162" s="1443"/>
      <c r="BB162" s="1437"/>
      <c r="BC162" s="1446"/>
      <c r="BD162" s="1447"/>
      <c r="BE162" s="1447"/>
      <c r="BF162" s="1447"/>
      <c r="BG162" s="1447"/>
    </row>
    <row r="163" spans="1:59" ht="15.75" customHeight="1">
      <c r="A163" s="449"/>
      <c r="B163" s="445"/>
      <c r="C163" s="446"/>
      <c r="D163" s="448"/>
      <c r="E163" s="448"/>
      <c r="F163" s="448"/>
      <c r="G163" s="484">
        <v>50.8</v>
      </c>
      <c r="H163" s="1239"/>
      <c r="I163" s="448"/>
      <c r="J163" s="446"/>
      <c r="K163" s="638"/>
      <c r="L163" s="1239"/>
      <c r="M163" s="638"/>
      <c r="N163" s="1239"/>
      <c r="O163" s="1239"/>
      <c r="P163" s="1239"/>
      <c r="Q163" s="1239"/>
      <c r="R163" s="1239"/>
      <c r="S163" s="455">
        <v>51</v>
      </c>
      <c r="T163" s="1239"/>
      <c r="U163" s="1239"/>
      <c r="V163" s="1239"/>
      <c r="W163" s="1239"/>
      <c r="X163" s="1239"/>
      <c r="Y163" s="1239"/>
      <c r="Z163" s="1239"/>
      <c r="AA163" s="1239"/>
      <c r="AB163" s="1239"/>
      <c r="AC163" s="1239"/>
      <c r="AD163" s="1239"/>
      <c r="AE163" s="1239"/>
      <c r="AF163" s="1239"/>
      <c r="AG163" s="171"/>
      <c r="AH163" s="1239"/>
      <c r="AI163" s="1239"/>
      <c r="AJ163" s="1239"/>
      <c r="AK163" s="1239"/>
      <c r="AL163" s="1239"/>
      <c r="AM163" s="1239"/>
      <c r="AN163" s="455"/>
      <c r="AO163" s="1239"/>
      <c r="AP163" s="1239"/>
      <c r="AQ163" s="484">
        <f>+FL_1($U$164,$U$162,$G$163,1200,9.28,-1*$F$164)</f>
        <v>3.0098999559055067E-2</v>
      </c>
      <c r="AR163" s="484"/>
      <c r="AS163" s="484"/>
      <c r="AT163" s="484"/>
      <c r="AU163" s="638"/>
      <c r="AV163" s="638"/>
      <c r="AW163" s="484"/>
      <c r="AX163" s="484"/>
      <c r="AY163" s="484"/>
      <c r="AZ163" s="484"/>
      <c r="BA163" s="671"/>
      <c r="BB163" s="449"/>
      <c r="BC163" s="169"/>
      <c r="BD163" s="1330"/>
      <c r="BE163" s="1330"/>
      <c r="BF163" s="1330"/>
      <c r="BG163" s="1330"/>
    </row>
    <row r="164" spans="1:59" s="1436" customFormat="1" ht="15.75" customHeight="1">
      <c r="A164" s="1425"/>
      <c r="B164" s="1426" t="s">
        <v>3186</v>
      </c>
      <c r="C164" s="1427">
        <f>+$C$162+$G$163</f>
        <v>88990.550000000017</v>
      </c>
      <c r="D164" s="1428"/>
      <c r="E164" s="1428"/>
      <c r="F164" s="1428">
        <v>0</v>
      </c>
      <c r="G164" s="1429"/>
      <c r="H164" s="1430" t="s">
        <v>619</v>
      </c>
      <c r="I164" s="1428"/>
      <c r="J164" s="1427"/>
      <c r="K164" s="1431"/>
      <c r="L164" s="1431"/>
      <c r="M164" s="1431"/>
      <c r="N164" s="1430" t="s">
        <v>844</v>
      </c>
      <c r="O164" s="1430" t="s">
        <v>845</v>
      </c>
      <c r="P164" s="1430"/>
      <c r="Q164" s="1430">
        <v>0</v>
      </c>
      <c r="R164" s="1430">
        <v>0</v>
      </c>
      <c r="S164" s="1432"/>
      <c r="T164" s="1430">
        <v>30</v>
      </c>
      <c r="U164" s="1430">
        <v>-15</v>
      </c>
      <c r="V164" s="1430"/>
      <c r="W164" s="1430">
        <v>1</v>
      </c>
      <c r="X164" s="1430">
        <v>1.4</v>
      </c>
      <c r="Y164" s="1430"/>
      <c r="Z164" s="1430"/>
      <c r="AA164" s="1430">
        <v>0.56000000000000005</v>
      </c>
      <c r="AB164" s="1430"/>
      <c r="AC164" s="1430" t="str">
        <f>IF(OR(AT164&gt;8,AT164&lt;-8),"PH",IF(OR(AT164&gt;5,AT164&lt;-5),"PH-Q",IF(OR(AT164&gt;1,AT164&lt;-1),"PH-C")))</f>
        <v>PH</v>
      </c>
      <c r="AD164" s="1430"/>
      <c r="AE164" s="1430"/>
      <c r="AF164" s="1430"/>
      <c r="AG164" s="1433">
        <v>88990</v>
      </c>
      <c r="AH164" s="1430">
        <v>1633</v>
      </c>
      <c r="AI164" s="1430">
        <f>-3882-1200</f>
        <v>-5082</v>
      </c>
      <c r="AJ164" s="1430"/>
      <c r="AK164" s="1430" t="s">
        <v>228</v>
      </c>
      <c r="AL164" s="1431"/>
      <c r="AM164" s="1430"/>
      <c r="AN164" s="1432">
        <v>5.21</v>
      </c>
      <c r="AO164" s="1430"/>
      <c r="AP164" s="1430"/>
      <c r="AQ164" s="1429"/>
      <c r="AR164" s="1429"/>
      <c r="AS164" s="1429"/>
      <c r="AT164" s="1429">
        <f>+ab($T$164,$T$162,$T$166,$G$163,$G$165,-1*$F$164,1200)</f>
        <v>11.09212076702291</v>
      </c>
      <c r="AU164" s="1431"/>
      <c r="AV164" s="1431"/>
      <c r="AW164" s="1429"/>
      <c r="AX164" s="1429"/>
      <c r="AY164" s="1429"/>
      <c r="AZ164" s="1429"/>
      <c r="BA164" s="1431"/>
      <c r="BB164" s="1425"/>
      <c r="BC164" s="1434"/>
      <c r="BD164" s="1435"/>
      <c r="BE164" s="1435"/>
      <c r="BF164" s="1435"/>
      <c r="BG164" s="1435"/>
    </row>
    <row r="165" spans="1:59" ht="15.75" customHeight="1">
      <c r="A165" s="449"/>
      <c r="B165" s="447"/>
      <c r="C165" s="446"/>
      <c r="D165" s="448"/>
      <c r="E165" s="448"/>
      <c r="F165" s="448"/>
      <c r="G165" s="484">
        <v>46</v>
      </c>
      <c r="H165" s="1239"/>
      <c r="I165" s="448"/>
      <c r="J165" s="446"/>
      <c r="K165" s="638"/>
      <c r="L165" s="1239"/>
      <c r="M165" s="638"/>
      <c r="N165" s="1239"/>
      <c r="O165" s="1239"/>
      <c r="P165" s="1239"/>
      <c r="Q165" s="1239"/>
      <c r="R165" s="1239"/>
      <c r="S165" s="455">
        <v>46</v>
      </c>
      <c r="T165" s="1239"/>
      <c r="U165" s="1239"/>
      <c r="V165" s="1239"/>
      <c r="W165" s="1239"/>
      <c r="X165" s="1239"/>
      <c r="Y165" s="1239"/>
      <c r="Z165" s="1239"/>
      <c r="AA165" s="1239"/>
      <c r="AB165" s="1239"/>
      <c r="AC165" s="1239"/>
      <c r="AD165" s="1239"/>
      <c r="AE165" s="1239"/>
      <c r="AF165" s="1239"/>
      <c r="AG165" s="171"/>
      <c r="AH165" s="1239"/>
      <c r="AI165" s="1239"/>
      <c r="AJ165" s="1239"/>
      <c r="AK165" s="1239"/>
      <c r="AL165" s="1239"/>
      <c r="AM165" s="1239"/>
      <c r="AN165" s="455"/>
      <c r="AO165" s="1239"/>
      <c r="AP165" s="1239"/>
      <c r="AQ165" s="484">
        <f>+FL_2($T$166,$T$164,$G$165,1200,9.28,-1*$F$166)</f>
        <v>-0.3586431221449275</v>
      </c>
      <c r="AR165" s="484"/>
      <c r="AS165" s="484"/>
      <c r="AT165" s="484"/>
      <c r="AU165" s="638"/>
      <c r="AV165" s="638"/>
      <c r="AW165" s="484"/>
      <c r="AX165" s="484"/>
      <c r="AY165" s="484"/>
      <c r="AZ165" s="484"/>
      <c r="BA165" s="671"/>
      <c r="BB165" s="449"/>
      <c r="BC165" s="169"/>
      <c r="BD165" s="1330"/>
      <c r="BE165" s="1330"/>
      <c r="BF165" s="1330"/>
      <c r="BG165" s="1330"/>
    </row>
    <row r="166" spans="1:59" s="1436" customFormat="1" ht="15.75" customHeight="1">
      <c r="A166" s="1425"/>
      <c r="B166" s="1449" t="s">
        <v>2904</v>
      </c>
      <c r="C166" s="1427">
        <f>+$C$164+$G$165</f>
        <v>89036.550000000017</v>
      </c>
      <c r="D166" s="1428"/>
      <c r="E166" s="1428"/>
      <c r="F166" s="1428">
        <v>0</v>
      </c>
      <c r="G166" s="1429"/>
      <c r="H166" s="1430"/>
      <c r="I166" s="1428"/>
      <c r="J166" s="1427"/>
      <c r="K166" s="1431"/>
      <c r="L166" s="1431"/>
      <c r="M166" s="1431"/>
      <c r="N166" s="1430" t="s">
        <v>843</v>
      </c>
      <c r="O166" s="1430"/>
      <c r="P166" s="1430"/>
      <c r="Q166" s="1430">
        <v>0</v>
      </c>
      <c r="R166" s="1430">
        <v>0</v>
      </c>
      <c r="S166" s="1432"/>
      <c r="T166" s="1430">
        <v>-35</v>
      </c>
      <c r="U166" s="1430"/>
      <c r="V166" s="1430"/>
      <c r="W166" s="1430">
        <v>0.8</v>
      </c>
      <c r="X166" s="1430"/>
      <c r="Y166" s="1430"/>
      <c r="Z166" s="1430"/>
      <c r="AA166" s="1430"/>
      <c r="AB166" s="1430"/>
      <c r="AC166" s="1430" t="str">
        <f>IF(OR(AT166&gt;8,AT166&lt;-8),"PH",IF(OR(AT166&gt;5,AT166&lt;-5),"PH-Q",IF(OR(AT166&gt;1,AT166&lt;-1),"PH-C")))</f>
        <v>PH-Q</v>
      </c>
      <c r="AD166" s="1430"/>
      <c r="AE166" s="1430"/>
      <c r="AF166" s="1430"/>
      <c r="AG166" s="1433">
        <v>89036</v>
      </c>
      <c r="AH166" s="1430">
        <v>1443</v>
      </c>
      <c r="AI166" s="1430">
        <f>-4337-1200</f>
        <v>-5537</v>
      </c>
      <c r="AJ166" s="1430"/>
      <c r="AK166" s="1430" t="s">
        <v>139</v>
      </c>
      <c r="AL166" s="1431"/>
      <c r="AM166" s="1430"/>
      <c r="AN166" s="1432">
        <v>5.15</v>
      </c>
      <c r="AO166" s="1430"/>
      <c r="AP166" s="1430"/>
      <c r="AQ166" s="1429"/>
      <c r="AR166" s="1429"/>
      <c r="AS166" s="1429"/>
      <c r="AT166" s="1429">
        <f>+ab($T$166,$T$164,$T$168,$G$165,$G$167,-1*$F$166,1200)</f>
        <v>-6.4368734290686849</v>
      </c>
      <c r="AU166" s="1431"/>
      <c r="AV166" s="1431"/>
      <c r="AW166" s="1429"/>
      <c r="AX166" s="1429"/>
      <c r="AY166" s="1429"/>
      <c r="AZ166" s="1429"/>
      <c r="BA166" s="1431"/>
      <c r="BB166" s="1425"/>
      <c r="BC166" s="1434"/>
      <c r="BD166" s="1435"/>
      <c r="BE166" s="1435"/>
      <c r="BF166" s="1435"/>
      <c r="BG166" s="1435"/>
    </row>
    <row r="167" spans="1:59" ht="15.75" customHeight="1">
      <c r="A167" s="488" t="s">
        <v>1851</v>
      </c>
      <c r="B167" s="491"/>
      <c r="C167" s="489"/>
      <c r="D167" s="492"/>
      <c r="E167" s="492"/>
      <c r="F167" s="492"/>
      <c r="G167" s="493">
        <v>45</v>
      </c>
      <c r="H167" s="495"/>
      <c r="I167" s="492"/>
      <c r="J167" s="489"/>
      <c r="K167" s="490"/>
      <c r="L167" s="495"/>
      <c r="M167" s="495"/>
      <c r="N167" s="495"/>
      <c r="O167" s="495"/>
      <c r="P167" s="495"/>
      <c r="Q167" s="495"/>
      <c r="R167" s="495"/>
      <c r="S167" s="457">
        <v>45</v>
      </c>
      <c r="T167" s="495"/>
      <c r="U167" s="495"/>
      <c r="V167" s="495"/>
      <c r="W167" s="495"/>
      <c r="X167" s="495"/>
      <c r="Y167" s="495"/>
      <c r="Z167" s="495"/>
      <c r="AA167" s="495"/>
      <c r="AB167" s="495"/>
      <c r="AC167" s="495"/>
      <c r="AD167" s="495"/>
      <c r="AE167" s="495"/>
      <c r="AF167" s="495"/>
      <c r="AG167" s="431"/>
      <c r="AH167" s="495"/>
      <c r="AI167" s="495"/>
      <c r="AJ167" s="495"/>
      <c r="AK167" s="495"/>
      <c r="AL167" s="495"/>
      <c r="AM167" s="495"/>
      <c r="AN167" s="457"/>
      <c r="AO167" s="495"/>
      <c r="AP167" s="495"/>
      <c r="AQ167" s="493">
        <f>+FL_1($T$168,$T$166,$G$167,1200,9.28,-1*$F$168)</f>
        <v>0.35219954355555555</v>
      </c>
      <c r="AR167" s="493"/>
      <c r="AS167" s="493"/>
      <c r="AT167" s="493"/>
      <c r="AU167" s="490"/>
      <c r="AV167" s="490"/>
      <c r="AW167" s="493"/>
      <c r="AX167" s="493"/>
      <c r="AY167" s="493"/>
      <c r="AZ167" s="493"/>
      <c r="BA167" s="602"/>
      <c r="BB167" s="488"/>
      <c r="BC167" s="169"/>
      <c r="BD167" s="1330"/>
      <c r="BE167" s="1330"/>
      <c r="BF167" s="1330"/>
      <c r="BG167" s="1330"/>
    </row>
    <row r="168" spans="1:59" s="1436" customFormat="1" ht="15.75" customHeight="1">
      <c r="A168" s="1425"/>
      <c r="B168" s="1449" t="s">
        <v>2907</v>
      </c>
      <c r="C168" s="1427">
        <f>+$C$166+$G$167</f>
        <v>89081.550000000017</v>
      </c>
      <c r="D168" s="1428"/>
      <c r="E168" s="1428"/>
      <c r="F168" s="1428">
        <v>0</v>
      </c>
      <c r="G168" s="1429"/>
      <c r="H168" s="1430"/>
      <c r="I168" s="1428"/>
      <c r="J168" s="1427"/>
      <c r="K168" s="1431"/>
      <c r="L168" s="1431"/>
      <c r="M168" s="1431"/>
      <c r="N168" s="1430" t="s">
        <v>844</v>
      </c>
      <c r="O168" s="1430"/>
      <c r="P168" s="1430"/>
      <c r="Q168" s="1430">
        <v>0</v>
      </c>
      <c r="R168" s="1430">
        <v>0</v>
      </c>
      <c r="S168" s="1432"/>
      <c r="T168" s="1430">
        <v>35</v>
      </c>
      <c r="U168" s="1430"/>
      <c r="V168" s="1430"/>
      <c r="W168" s="1430">
        <v>0.8</v>
      </c>
      <c r="X168" s="1430"/>
      <c r="Y168" s="1430"/>
      <c r="Z168" s="1430"/>
      <c r="AA168" s="1430"/>
      <c r="AB168" s="1430"/>
      <c r="AC168" s="1430" t="str">
        <f>IF(OR(AT168&gt;8,AT168&lt;-8),"PH",IF(OR(AT168&gt;5,AT168&lt;-5),"PH-Q",IF(OR(AT168&gt;1,AT168&lt;-1),"PH-C")))</f>
        <v>PH-Q</v>
      </c>
      <c r="AD168" s="1430"/>
      <c r="AE168" s="1430"/>
      <c r="AF168" s="1430"/>
      <c r="AG168" s="1433">
        <v>89081</v>
      </c>
      <c r="AH168" s="1430">
        <v>1693</v>
      </c>
      <c r="AI168" s="1430">
        <f>-4494-1200</f>
        <v>-5694</v>
      </c>
      <c r="AJ168" s="1430"/>
      <c r="AK168" s="1431" t="s">
        <v>139</v>
      </c>
      <c r="AL168" s="1431"/>
      <c r="AM168" s="1430"/>
      <c r="AN168" s="1432">
        <v>5.15</v>
      </c>
      <c r="AO168" s="1430"/>
      <c r="AP168" s="1430"/>
      <c r="AQ168" s="1429"/>
      <c r="AR168" s="1429"/>
      <c r="AS168" s="1429"/>
      <c r="AT168" s="1429">
        <f>+ab($T$168,$T$166,$T$170,$G$167,$G$169,-1*$F$168,1200)</f>
        <v>6.7533154091294669</v>
      </c>
      <c r="AU168" s="1431"/>
      <c r="AV168" s="1431"/>
      <c r="AW168" s="1429"/>
      <c r="AX168" s="1429"/>
      <c r="AY168" s="1429"/>
      <c r="AZ168" s="1429"/>
      <c r="BA168" s="1431"/>
      <c r="BB168" s="1425"/>
      <c r="BC168" s="1434"/>
      <c r="BD168" s="1435"/>
      <c r="BE168" s="1435"/>
      <c r="BF168" s="1435"/>
      <c r="BG168" s="1435"/>
    </row>
    <row r="169" spans="1:59" ht="15.75" customHeight="1">
      <c r="A169" s="449"/>
      <c r="B169" s="447"/>
      <c r="C169" s="446"/>
      <c r="D169" s="448"/>
      <c r="E169" s="448"/>
      <c r="F169" s="448"/>
      <c r="G169" s="484">
        <v>55</v>
      </c>
      <c r="H169" s="1239"/>
      <c r="I169" s="448"/>
      <c r="J169" s="446"/>
      <c r="K169" s="638"/>
      <c r="L169" s="1239"/>
      <c r="M169" s="1239"/>
      <c r="N169" s="1239"/>
      <c r="O169" s="1239"/>
      <c r="P169" s="1239"/>
      <c r="Q169" s="1239"/>
      <c r="R169" s="1239"/>
      <c r="S169" s="455">
        <v>45</v>
      </c>
      <c r="T169" s="1239"/>
      <c r="U169" s="1239"/>
      <c r="V169" s="1239"/>
      <c r="W169" s="638"/>
      <c r="X169" s="1239"/>
      <c r="Y169" s="1239"/>
      <c r="Z169" s="1239"/>
      <c r="AA169" s="1239"/>
      <c r="AB169" s="1239"/>
      <c r="AC169" s="1239"/>
      <c r="AD169" s="1239"/>
      <c r="AE169" s="1239"/>
      <c r="AF169" s="1239"/>
      <c r="AG169" s="171"/>
      <c r="AH169" s="1239"/>
      <c r="AI169" s="1239"/>
      <c r="AJ169" s="1239"/>
      <c r="AK169" s="638"/>
      <c r="AL169" s="1239"/>
      <c r="AM169" s="1239"/>
      <c r="AN169" s="455"/>
      <c r="AO169" s="1239"/>
      <c r="AP169" s="1239"/>
      <c r="AQ169" s="484">
        <f>+FL_1($T$170,$T$168,$G$169,1200,9.28,-1*$F$170)</f>
        <v>0.39714735709090898</v>
      </c>
      <c r="AR169" s="484"/>
      <c r="AS169" s="484"/>
      <c r="AT169" s="484"/>
      <c r="AU169" s="638"/>
      <c r="AV169" s="638"/>
      <c r="AW169" s="638"/>
      <c r="AX169" s="638"/>
      <c r="AY169" s="484"/>
      <c r="AZ169" s="484"/>
      <c r="BA169" s="671"/>
      <c r="BB169" s="449"/>
      <c r="BC169" s="169"/>
      <c r="BD169" s="1330"/>
      <c r="BE169" s="1330"/>
      <c r="BF169" s="1330"/>
      <c r="BG169" s="1330"/>
    </row>
    <row r="170" spans="1:59" ht="15.75" customHeight="1">
      <c r="A170" s="449"/>
      <c r="B170" s="447" t="s">
        <v>2908</v>
      </c>
      <c r="C170" s="446">
        <f>+$C$168+$G$169</f>
        <v>89136.550000000017</v>
      </c>
      <c r="D170" s="448"/>
      <c r="E170" s="448"/>
      <c r="F170" s="448">
        <v>0</v>
      </c>
      <c r="G170" s="484"/>
      <c r="H170" s="1239"/>
      <c r="I170" s="448"/>
      <c r="J170" s="446"/>
      <c r="K170" s="638"/>
      <c r="L170" s="638"/>
      <c r="M170" s="638"/>
      <c r="N170" s="1239" t="s">
        <v>843</v>
      </c>
      <c r="O170" s="1239"/>
      <c r="P170" s="1239"/>
      <c r="Q170" s="1239"/>
      <c r="R170" s="1239"/>
      <c r="S170" s="455"/>
      <c r="T170" s="1239">
        <v>-35</v>
      </c>
      <c r="U170" s="1239"/>
      <c r="V170" s="1239"/>
      <c r="W170" s="638">
        <v>1</v>
      </c>
      <c r="X170" s="1239"/>
      <c r="Y170" s="1239"/>
      <c r="Z170" s="1239"/>
      <c r="AA170" s="1239"/>
      <c r="AB170" s="1239"/>
      <c r="AC170" s="1239" t="str">
        <f>IF(OR(AT170&gt;8,AT170&lt;-8),"PH",IF(OR(AT170&gt;5,AT170&lt;-5),"PH-Q",IF(OR(AT170&gt;1,AT170&lt;-1),"PH-C")))</f>
        <v>PH-Q</v>
      </c>
      <c r="AD170" s="1239"/>
      <c r="AE170" s="1239"/>
      <c r="AF170" s="1239"/>
      <c r="AG170" s="171"/>
      <c r="AH170" s="1239"/>
      <c r="AI170" s="1239"/>
      <c r="AJ170" s="1239"/>
      <c r="AK170" s="638" t="s">
        <v>139</v>
      </c>
      <c r="AL170" s="638"/>
      <c r="AM170" s="1239"/>
      <c r="AN170" s="455">
        <v>5.23</v>
      </c>
      <c r="AO170" s="1239"/>
      <c r="AP170" s="1239"/>
      <c r="AQ170" s="484"/>
      <c r="AR170" s="484"/>
      <c r="AS170" s="484"/>
      <c r="AT170" s="484">
        <f>+ab($T$170,$T$168,$T$172,$G$169,$G$171,-1*$F$170,1200)</f>
        <v>-7.495600280563588</v>
      </c>
      <c r="AU170" s="638"/>
      <c r="AV170" s="638"/>
      <c r="AW170" s="484"/>
      <c r="AX170" s="484"/>
      <c r="AY170" s="484"/>
      <c r="AZ170" s="484"/>
      <c r="BA170" s="671"/>
      <c r="BB170" s="449"/>
      <c r="BC170" s="169"/>
      <c r="BD170" s="1330"/>
      <c r="BE170" s="1329"/>
      <c r="BF170" s="1330"/>
      <c r="BG170" s="1329"/>
    </row>
    <row r="171" spans="1:59" ht="12.5">
      <c r="A171" s="449"/>
      <c r="B171" s="447"/>
      <c r="C171" s="446"/>
      <c r="D171" s="448"/>
      <c r="E171" s="448"/>
      <c r="F171" s="448"/>
      <c r="G171" s="484">
        <v>55</v>
      </c>
      <c r="H171" s="1239"/>
      <c r="I171" s="448"/>
      <c r="J171" s="446"/>
      <c r="K171" s="638"/>
      <c r="L171" s="1239"/>
      <c r="M171" s="1239"/>
      <c r="N171" s="1239"/>
      <c r="O171" s="1239"/>
      <c r="P171" s="1239"/>
      <c r="Q171" s="1239"/>
      <c r="R171" s="1239"/>
      <c r="S171" s="455"/>
      <c r="T171" s="1239"/>
      <c r="U171" s="1239"/>
      <c r="V171" s="1239"/>
      <c r="W171" s="638"/>
      <c r="X171" s="1239"/>
      <c r="Y171" s="1239"/>
      <c r="Z171" s="1239"/>
      <c r="AA171" s="1239"/>
      <c r="AB171" s="1239"/>
      <c r="AC171" s="1239"/>
      <c r="AD171" s="1239"/>
      <c r="AE171" s="1239"/>
      <c r="AF171" s="1239"/>
      <c r="AG171" s="171"/>
      <c r="AH171" s="1239"/>
      <c r="AI171" s="1239"/>
      <c r="AJ171" s="1239"/>
      <c r="AK171" s="638"/>
      <c r="AL171" s="1239"/>
      <c r="AM171" s="1239"/>
      <c r="AN171" s="455"/>
      <c r="AO171" s="1239"/>
      <c r="AP171" s="1239"/>
      <c r="AQ171" s="484">
        <f>+FL_2($T$172,$T$170,$G$171,1200,9.28,-1*$F$172)</f>
        <v>-0.39714735709090898</v>
      </c>
      <c r="AR171" s="484"/>
      <c r="AS171" s="484"/>
      <c r="AT171" s="484"/>
      <c r="AU171" s="638"/>
      <c r="AV171" s="638"/>
      <c r="AW171" s="484"/>
      <c r="AX171" s="484"/>
      <c r="AY171" s="484"/>
      <c r="AZ171" s="484"/>
      <c r="BA171" s="671"/>
      <c r="BB171" s="449"/>
      <c r="BC171" s="169"/>
      <c r="BD171" s="1330"/>
      <c r="BE171" s="1330"/>
      <c r="BF171" s="1330"/>
      <c r="BG171" s="1330"/>
    </row>
    <row r="172" spans="1:59" ht="15.75" customHeight="1">
      <c r="A172" s="449"/>
      <c r="B172" s="447" t="s">
        <v>2909</v>
      </c>
      <c r="C172" s="446">
        <f>+$C$170+$G$171</f>
        <v>89191.550000000017</v>
      </c>
      <c r="D172" s="448"/>
      <c r="E172" s="448"/>
      <c r="F172" s="448">
        <v>0</v>
      </c>
      <c r="G172" s="484"/>
      <c r="H172" s="1239"/>
      <c r="I172" s="448"/>
      <c r="J172" s="446"/>
      <c r="K172" s="638"/>
      <c r="L172" s="638"/>
      <c r="M172" s="638"/>
      <c r="N172" s="1239" t="s">
        <v>844</v>
      </c>
      <c r="O172" s="1239"/>
      <c r="P172" s="1239"/>
      <c r="Q172" s="1239"/>
      <c r="R172" s="1239"/>
      <c r="S172" s="455"/>
      <c r="T172" s="1239">
        <v>35</v>
      </c>
      <c r="U172" s="1239"/>
      <c r="V172" s="1239"/>
      <c r="W172" s="638">
        <v>1.2</v>
      </c>
      <c r="X172" s="1239"/>
      <c r="Y172" s="1239"/>
      <c r="Z172" s="1239"/>
      <c r="AA172" s="1239"/>
      <c r="AB172" s="1239"/>
      <c r="AC172" s="1239" t="str">
        <f>IF(OR(AT172&gt;8,AT172&lt;-8),"PH",IF(OR(AT172&gt;5,AT172&lt;-5),"PH-Q",IF(OR(AT172&gt;1,AT172&lt;-1),"PH-C")))</f>
        <v>PH-Q</v>
      </c>
      <c r="AD172" s="1239"/>
      <c r="AE172" s="1239"/>
      <c r="AF172" s="1239"/>
      <c r="AG172" s="171"/>
      <c r="AH172" s="1239"/>
      <c r="AI172" s="1239"/>
      <c r="AJ172" s="1239"/>
      <c r="AK172" s="638" t="s">
        <v>139</v>
      </c>
      <c r="AL172" s="638"/>
      <c r="AM172" s="1239"/>
      <c r="AN172" s="455">
        <v>5.33</v>
      </c>
      <c r="AO172" s="1239"/>
      <c r="AP172" s="1239"/>
      <c r="AQ172" s="484"/>
      <c r="AR172" s="484"/>
      <c r="AS172" s="484"/>
      <c r="AT172" s="484">
        <f>+ab($T$172,$T$170,$T$174,$G$171,$G$173,-1*$F$172,1200)</f>
        <v>7.6601789947934842</v>
      </c>
      <c r="AU172" s="638"/>
      <c r="AV172" s="638"/>
      <c r="AW172" s="484"/>
      <c r="AX172" s="484"/>
      <c r="AY172" s="484"/>
      <c r="AZ172" s="484"/>
      <c r="BA172" s="671"/>
      <c r="BB172" s="449"/>
      <c r="BC172" s="169"/>
      <c r="BD172" s="1330"/>
      <c r="BE172" s="1329"/>
      <c r="BF172" s="1330"/>
      <c r="BG172" s="1329"/>
    </row>
    <row r="173" spans="1:59" ht="15.75" customHeight="1">
      <c r="A173" s="449"/>
      <c r="B173" s="447"/>
      <c r="C173" s="446"/>
      <c r="D173" s="448"/>
      <c r="E173" s="448"/>
      <c r="F173" s="448"/>
      <c r="G173" s="484">
        <v>57.5</v>
      </c>
      <c r="H173" s="1239"/>
      <c r="I173" s="448"/>
      <c r="J173" s="446"/>
      <c r="K173" s="638"/>
      <c r="L173" s="1239"/>
      <c r="M173" s="1239"/>
      <c r="N173" s="1239"/>
      <c r="O173" s="1239"/>
      <c r="P173" s="1239"/>
      <c r="Q173" s="1239"/>
      <c r="R173" s="1239"/>
      <c r="S173" s="455"/>
      <c r="T173" s="1239"/>
      <c r="U173" s="1239"/>
      <c r="V173" s="1239"/>
      <c r="W173" s="638"/>
      <c r="X173" s="1239"/>
      <c r="Y173" s="1239"/>
      <c r="Z173" s="1239"/>
      <c r="AA173" s="1239"/>
      <c r="AB173" s="1239"/>
      <c r="AC173" s="1239"/>
      <c r="AD173" s="1239"/>
      <c r="AE173" s="1239"/>
      <c r="AF173" s="1239"/>
      <c r="AG173" s="171"/>
      <c r="AH173" s="1239"/>
      <c r="AI173" s="1239"/>
      <c r="AJ173" s="1239"/>
      <c r="AK173" s="638"/>
      <c r="AL173" s="1239"/>
      <c r="AM173" s="1239"/>
      <c r="AN173" s="455"/>
      <c r="AO173" s="1239"/>
      <c r="AP173" s="1239"/>
      <c r="AQ173" s="484">
        <f>+FL_2($T$174,$T$172,$G$173,1200,9.28,-1*$F$174)</f>
        <v>-0.4154258193043478</v>
      </c>
      <c r="AR173" s="484"/>
      <c r="AS173" s="484"/>
      <c r="AT173" s="484"/>
      <c r="AU173" s="638"/>
      <c r="AV173" s="638"/>
      <c r="AW173" s="484"/>
      <c r="AX173" s="484"/>
      <c r="AY173" s="484"/>
      <c r="AZ173" s="484"/>
      <c r="BA173" s="671"/>
      <c r="BB173" s="449"/>
      <c r="BC173" s="169"/>
      <c r="BD173" s="1330"/>
      <c r="BE173" s="1330"/>
      <c r="BF173" s="1330"/>
      <c r="BG173" s="1330"/>
    </row>
    <row r="174" spans="1:59" ht="15.75" customHeight="1">
      <c r="A174" s="449"/>
      <c r="B174" s="447" t="s">
        <v>2910</v>
      </c>
      <c r="C174" s="446">
        <f>+$C$172+$G$173</f>
        <v>89249.050000000017</v>
      </c>
      <c r="D174" s="448"/>
      <c r="E174" s="448"/>
      <c r="F174" s="448">
        <v>0</v>
      </c>
      <c r="G174" s="484"/>
      <c r="H174" s="1239"/>
      <c r="I174" s="448"/>
      <c r="J174" s="446"/>
      <c r="K174" s="638"/>
      <c r="L174" s="638"/>
      <c r="M174" s="638"/>
      <c r="N174" s="1239" t="s">
        <v>843</v>
      </c>
      <c r="O174" s="1239"/>
      <c r="P174" s="1239"/>
      <c r="Q174" s="1239">
        <v>0</v>
      </c>
      <c r="R174" s="1239">
        <v>0</v>
      </c>
      <c r="S174" s="455"/>
      <c r="T174" s="1239">
        <v>-35</v>
      </c>
      <c r="U174" s="1239"/>
      <c r="V174" s="1239"/>
      <c r="W174" s="638">
        <v>1.4</v>
      </c>
      <c r="X174" s="1239"/>
      <c r="Y174" s="1239"/>
      <c r="Z174" s="1239"/>
      <c r="AA174" s="1239"/>
      <c r="AB174" s="1239"/>
      <c r="AC174" s="1239" t="s">
        <v>4115</v>
      </c>
      <c r="AD174" s="1239"/>
      <c r="AE174" s="1239"/>
      <c r="AF174" s="1239">
        <v>100</v>
      </c>
      <c r="AG174" s="171">
        <v>89249</v>
      </c>
      <c r="AH174" s="1239">
        <v>1763</v>
      </c>
      <c r="AI174" s="1239">
        <v>-5478</v>
      </c>
      <c r="AJ174" s="1239"/>
      <c r="AK174" s="638" t="s">
        <v>139</v>
      </c>
      <c r="AL174" s="638"/>
      <c r="AM174" s="1239"/>
      <c r="AN174" s="455">
        <v>5.43</v>
      </c>
      <c r="AO174" s="1239"/>
      <c r="AP174" s="1239"/>
      <c r="AQ174" s="484"/>
      <c r="AR174" s="484"/>
      <c r="AS174" s="484"/>
      <c r="AT174" s="484">
        <f>+ab($T$174,$T$172,$T$176,$G$173,$G$175,-1*$F$174,1200)</f>
        <v>-7.9966817166989346</v>
      </c>
      <c r="AU174" s="638"/>
      <c r="AV174" s="638"/>
      <c r="AW174" s="484"/>
      <c r="AX174" s="484"/>
      <c r="AY174" s="484"/>
      <c r="AZ174" s="484"/>
      <c r="BA174" s="671"/>
      <c r="BB174" s="449"/>
      <c r="BC174" s="169"/>
      <c r="BD174" s="1330"/>
      <c r="BE174" s="1329"/>
      <c r="BF174" s="1330"/>
      <c r="BG174" s="1329"/>
    </row>
    <row r="175" spans="1:59" ht="15.75" customHeight="1">
      <c r="A175" s="647" t="s">
        <v>3049</v>
      </c>
      <c r="B175" s="648"/>
      <c r="C175" s="649"/>
      <c r="D175" s="650"/>
      <c r="E175" s="650"/>
      <c r="F175" s="650"/>
      <c r="G175" s="654">
        <v>60</v>
      </c>
      <c r="H175" s="647"/>
      <c r="I175" s="650"/>
      <c r="J175" s="649"/>
      <c r="K175" s="653"/>
      <c r="L175" s="647"/>
      <c r="M175" s="647"/>
      <c r="N175" s="647"/>
      <c r="O175" s="647"/>
      <c r="P175" s="647"/>
      <c r="Q175" s="647"/>
      <c r="R175" s="647"/>
      <c r="S175" s="651">
        <f>AG176-AG174</f>
        <v>60</v>
      </c>
      <c r="T175" s="647"/>
      <c r="U175" s="647"/>
      <c r="V175" s="647"/>
      <c r="W175" s="647"/>
      <c r="X175" s="647"/>
      <c r="Y175" s="647"/>
      <c r="Z175" s="647"/>
      <c r="AA175" s="647"/>
      <c r="AB175" s="647"/>
      <c r="AC175" s="647"/>
      <c r="AD175" s="647"/>
      <c r="AE175" s="647"/>
      <c r="AF175" s="647"/>
      <c r="AG175" s="652"/>
      <c r="AH175" s="647"/>
      <c r="AI175" s="647"/>
      <c r="AJ175" s="647"/>
      <c r="AK175" s="653"/>
      <c r="AL175" s="647"/>
      <c r="AM175" s="647"/>
      <c r="AN175" s="651"/>
      <c r="AO175" s="647"/>
      <c r="AP175" s="647"/>
      <c r="AQ175" s="654">
        <f>+FL_1($T$176,$T$174,$G$175,1200,9.28,-1*$F$176)</f>
        <v>0.43600286799999999</v>
      </c>
      <c r="AR175" s="654"/>
      <c r="AS175" s="654"/>
      <c r="AT175" s="654"/>
      <c r="AU175" s="653"/>
      <c r="AV175" s="653"/>
      <c r="AW175" s="653"/>
      <c r="AX175" s="653"/>
      <c r="AY175" s="654"/>
      <c r="AZ175" s="654"/>
      <c r="BA175" s="701"/>
      <c r="BB175" s="647"/>
      <c r="BC175" s="169"/>
      <c r="BD175" s="1330"/>
      <c r="BE175" s="1330"/>
      <c r="BF175" s="1330"/>
      <c r="BG175" s="1330"/>
    </row>
    <row r="176" spans="1:59" ht="15.75" customHeight="1">
      <c r="A176" s="449"/>
      <c r="B176" s="447" t="s">
        <v>2911</v>
      </c>
      <c r="C176" s="446">
        <f>+$C$174+$G$175</f>
        <v>89309.050000000017</v>
      </c>
      <c r="D176" s="448"/>
      <c r="E176" s="448"/>
      <c r="F176" s="448">
        <v>0</v>
      </c>
      <c r="G176" s="484"/>
      <c r="H176" s="1239"/>
      <c r="I176" s="448"/>
      <c r="J176" s="446"/>
      <c r="K176" s="638"/>
      <c r="L176" s="638"/>
      <c r="M176" s="638"/>
      <c r="N176" s="1239" t="s">
        <v>844</v>
      </c>
      <c r="O176" s="1239"/>
      <c r="P176" s="1239"/>
      <c r="Q176" s="1239">
        <v>0</v>
      </c>
      <c r="R176" s="1239">
        <v>0</v>
      </c>
      <c r="S176" s="455"/>
      <c r="T176" s="1239">
        <v>35</v>
      </c>
      <c r="U176" s="1239"/>
      <c r="V176" s="1239"/>
      <c r="W176" s="1239">
        <v>1.4</v>
      </c>
      <c r="X176" s="1239"/>
      <c r="Y176" s="1239"/>
      <c r="Z176" s="1239"/>
      <c r="AA176" s="1239"/>
      <c r="AB176" s="1239"/>
      <c r="AC176" s="1239" t="s">
        <v>4090</v>
      </c>
      <c r="AD176" s="1239"/>
      <c r="AE176" s="1239"/>
      <c r="AF176" s="1239">
        <v>100</v>
      </c>
      <c r="AG176" s="171">
        <v>89309</v>
      </c>
      <c r="AH176" s="1239">
        <v>1703</v>
      </c>
      <c r="AI176" s="1239">
        <v>-5445</v>
      </c>
      <c r="AJ176" s="1239"/>
      <c r="AK176" s="638" t="s">
        <v>139</v>
      </c>
      <c r="AL176" s="638"/>
      <c r="AM176" s="1239"/>
      <c r="AN176" s="455">
        <v>5.5</v>
      </c>
      <c r="AO176" s="1239"/>
      <c r="AP176" s="1239"/>
      <c r="AQ176" s="484"/>
      <c r="AR176" s="484"/>
      <c r="AS176" s="484"/>
      <c r="AT176" s="484">
        <f>+ab($T$176,$T$174,-$T$178,$G$175,$G$177,-1*$F$176,1200)</f>
        <v>7.4343173327685177</v>
      </c>
      <c r="AU176" s="638"/>
      <c r="AV176" s="638"/>
      <c r="AW176" s="484"/>
      <c r="AX176" s="484"/>
      <c r="AY176" s="484"/>
      <c r="AZ176" s="484"/>
      <c r="BA176" s="671"/>
      <c r="BB176" s="449"/>
      <c r="BC176" s="169"/>
      <c r="BD176" s="1330"/>
      <c r="BE176" s="1329"/>
      <c r="BF176" s="1330"/>
      <c r="BG176" s="1329"/>
    </row>
    <row r="177" spans="1:59" ht="15.75" customHeight="1">
      <c r="A177" s="1239"/>
      <c r="B177" s="447"/>
      <c r="C177" s="446"/>
      <c r="D177" s="448"/>
      <c r="E177" s="448"/>
      <c r="F177" s="448"/>
      <c r="G177" s="455">
        <v>50</v>
      </c>
      <c r="H177" s="1239"/>
      <c r="I177" s="448"/>
      <c r="J177" s="446"/>
      <c r="K177" s="638"/>
      <c r="L177" s="1239"/>
      <c r="M177" s="1239"/>
      <c r="N177" s="1239"/>
      <c r="O177" s="1239"/>
      <c r="P177" s="1239"/>
      <c r="Q177" s="1239"/>
      <c r="R177" s="1239"/>
      <c r="S177" s="455"/>
      <c r="T177" s="1239"/>
      <c r="U177" s="1239"/>
      <c r="V177" s="1239"/>
      <c r="W177" s="1239"/>
      <c r="X177" s="1239"/>
      <c r="Y177" s="1239"/>
      <c r="Z177" s="1239"/>
      <c r="AA177" s="1239"/>
      <c r="AB177" s="1239"/>
      <c r="AC177" s="1239"/>
      <c r="AD177" s="1239"/>
      <c r="AE177" s="1239"/>
      <c r="AF177" s="1239"/>
      <c r="AG177" s="171"/>
      <c r="AH177" s="1239"/>
      <c r="AI177" s="1239"/>
      <c r="AJ177" s="1239"/>
      <c r="AK177" s="638"/>
      <c r="AL177" s="1239"/>
      <c r="AM177" s="1239"/>
      <c r="AN177" s="455"/>
      <c r="AO177" s="1239"/>
      <c r="AP177" s="1239"/>
      <c r="AQ177" s="484">
        <f>+FL_1(-$T$178,$T$176,$G$177,1200,9.28, 1*$F$178)</f>
        <v>0.36839080000000002</v>
      </c>
      <c r="AR177" s="484"/>
      <c r="AS177" s="484"/>
      <c r="AT177" s="484"/>
      <c r="AU177" s="638"/>
      <c r="AV177" s="638"/>
      <c r="AW177" s="484"/>
      <c r="AX177" s="484"/>
      <c r="AY177" s="484"/>
      <c r="AZ177" s="484"/>
      <c r="BA177" s="671"/>
      <c r="BB177" s="1239"/>
      <c r="BC177" s="169"/>
      <c r="BD177" s="1330"/>
      <c r="BE177" s="1330"/>
      <c r="BF177" s="1330"/>
      <c r="BG177" s="1330"/>
    </row>
    <row r="178" spans="1:59" ht="15.75" customHeight="1">
      <c r="A178" s="1239"/>
      <c r="B178" s="447" t="s">
        <v>3187</v>
      </c>
      <c r="C178" s="446">
        <f>+$C$176+$G$177</f>
        <v>89359.050000000017</v>
      </c>
      <c r="D178" s="448"/>
      <c r="E178" s="448"/>
      <c r="F178" s="448">
        <v>0</v>
      </c>
      <c r="G178" s="455"/>
      <c r="H178" s="1239"/>
      <c r="I178" s="448"/>
      <c r="J178" s="446"/>
      <c r="K178" s="638"/>
      <c r="L178" s="638"/>
      <c r="M178" s="638"/>
      <c r="N178" s="1239" t="s">
        <v>844</v>
      </c>
      <c r="O178" s="1239"/>
      <c r="P178" s="1239"/>
      <c r="Q178" s="1239"/>
      <c r="R178" s="1239"/>
      <c r="S178" s="455"/>
      <c r="T178" s="1239">
        <v>35</v>
      </c>
      <c r="U178" s="1239"/>
      <c r="V178" s="1239"/>
      <c r="W178" s="1239">
        <v>1.4</v>
      </c>
      <c r="X178" s="1239"/>
      <c r="Y178" s="1239"/>
      <c r="Z178" s="1239"/>
      <c r="AA178" s="1239"/>
      <c r="AB178" s="1239"/>
      <c r="AC178" s="1239" t="str">
        <f>IF(OR(AT178&gt;8,AT178&lt;-8),"PH",IF(OR(AT178&gt;5,AT178&lt;-5),"PH-Q",IF(OR(AT178&gt;1,AT178&lt;-1),"PH-C")))</f>
        <v>PH-Q</v>
      </c>
      <c r="AD178" s="1239"/>
      <c r="AE178" s="1239"/>
      <c r="AF178" s="1239"/>
      <c r="AG178" s="171"/>
      <c r="AH178" s="1239"/>
      <c r="AI178" s="1239"/>
      <c r="AJ178" s="1239"/>
      <c r="AK178" s="638" t="s">
        <v>139</v>
      </c>
      <c r="AL178" s="638"/>
      <c r="AM178" s="1239"/>
      <c r="AN178" s="455">
        <v>5.5</v>
      </c>
      <c r="AO178" s="1239"/>
      <c r="AP178" s="1239"/>
      <c r="AQ178" s="484"/>
      <c r="AR178" s="484"/>
      <c r="AS178" s="484"/>
      <c r="AT178" s="484">
        <f>+ab($T$178,-$T$176,$T$180,$G$177,$G$179, 1*$F$178,1200)</f>
        <v>6.820891075690624</v>
      </c>
      <c r="AU178" s="638"/>
      <c r="AV178" s="638"/>
      <c r="AW178" s="484"/>
      <c r="AX178" s="484"/>
      <c r="AY178" s="484"/>
      <c r="AZ178" s="484"/>
      <c r="BA178" s="671"/>
      <c r="BB178" s="1239"/>
      <c r="BC178" s="169"/>
      <c r="BD178" s="1330"/>
      <c r="BE178" s="1329"/>
      <c r="BF178" s="1330"/>
      <c r="BG178" s="1329"/>
    </row>
    <row r="179" spans="1:59" ht="15.75" customHeight="1">
      <c r="A179" s="449"/>
      <c r="B179" s="447"/>
      <c r="C179" s="446"/>
      <c r="D179" s="448"/>
      <c r="E179" s="448"/>
      <c r="F179" s="448"/>
      <c r="G179" s="455">
        <v>50</v>
      </c>
      <c r="H179" s="1239"/>
      <c r="I179" s="448"/>
      <c r="J179" s="446"/>
      <c r="K179" s="638"/>
      <c r="L179" s="1239"/>
      <c r="M179" s="1239"/>
      <c r="N179" s="1239"/>
      <c r="O179" s="1239"/>
      <c r="P179" s="1239"/>
      <c r="Q179" s="1239"/>
      <c r="R179" s="1239"/>
      <c r="S179" s="455"/>
      <c r="T179" s="1239"/>
      <c r="U179" s="1239"/>
      <c r="V179" s="1239"/>
      <c r="W179" s="1239"/>
      <c r="X179" s="1239"/>
      <c r="Y179" s="1239"/>
      <c r="Z179" s="1239"/>
      <c r="AA179" s="1239"/>
      <c r="AB179" s="1239"/>
      <c r="AC179" s="1239"/>
      <c r="AD179" s="1239"/>
      <c r="AE179" s="1239"/>
      <c r="AF179" s="1239"/>
      <c r="AG179" s="171"/>
      <c r="AH179" s="1239"/>
      <c r="AI179" s="1239"/>
      <c r="AJ179" s="1239"/>
      <c r="AK179" s="638"/>
      <c r="AL179" s="1239"/>
      <c r="AM179" s="1239"/>
      <c r="AN179" s="455"/>
      <c r="AO179" s="1239"/>
      <c r="AP179" s="1239"/>
      <c r="AQ179" s="484">
        <f>+FL_2($T$180,$T$178,$G$179,1200,9.28, 1*$F$180)</f>
        <v>-0.36839079999999996</v>
      </c>
      <c r="AR179" s="484"/>
      <c r="AS179" s="484"/>
      <c r="AT179" s="484"/>
      <c r="AU179" s="638"/>
      <c r="AV179" s="638"/>
      <c r="AW179" s="484"/>
      <c r="AX179" s="484"/>
      <c r="AY179" s="484"/>
      <c r="AZ179" s="484"/>
      <c r="BA179" s="671"/>
      <c r="BB179" s="449"/>
      <c r="BC179" s="169"/>
      <c r="BD179" s="1330"/>
      <c r="BE179" s="1330"/>
      <c r="BF179" s="1330"/>
      <c r="BG179" s="1330"/>
    </row>
    <row r="180" spans="1:59" ht="15.75" customHeight="1">
      <c r="A180" s="1239"/>
      <c r="B180" s="447" t="s">
        <v>3188</v>
      </c>
      <c r="C180" s="446">
        <f>+$C$178+$G$179</f>
        <v>89409.050000000017</v>
      </c>
      <c r="D180" s="448"/>
      <c r="E180" s="448"/>
      <c r="F180" s="448">
        <v>0</v>
      </c>
      <c r="G180" s="455"/>
      <c r="H180" s="1239"/>
      <c r="I180" s="448"/>
      <c r="J180" s="446"/>
      <c r="K180" s="638"/>
      <c r="L180" s="638"/>
      <c r="M180" s="638"/>
      <c r="N180" s="1239" t="s">
        <v>843</v>
      </c>
      <c r="O180" s="1239"/>
      <c r="P180" s="1239"/>
      <c r="Q180" s="1239"/>
      <c r="R180" s="1239"/>
      <c r="S180" s="455"/>
      <c r="T180" s="1239">
        <v>-35</v>
      </c>
      <c r="U180" s="1239"/>
      <c r="V180" s="1239"/>
      <c r="W180" s="1239">
        <v>1.4</v>
      </c>
      <c r="X180" s="1239"/>
      <c r="Y180" s="1239"/>
      <c r="Z180" s="1239"/>
      <c r="AA180" s="1239"/>
      <c r="AB180" s="1239"/>
      <c r="AC180" s="1239" t="str">
        <f>IF(OR(AT180&gt;8,AT180&lt;-8),"PH",IF(OR(AT180&gt;5,AT180&lt;-5),"PH-Q",IF(OR(AT180&gt;1,AT180&lt;-1),"PH-C")))</f>
        <v>PH-Q</v>
      </c>
      <c r="AD180" s="1239"/>
      <c r="AE180" s="1239"/>
      <c r="AF180" s="1239"/>
      <c r="AG180" s="171"/>
      <c r="AH180" s="1239"/>
      <c r="AI180" s="1239"/>
      <c r="AJ180" s="1239"/>
      <c r="AK180" s="638" t="s">
        <v>139</v>
      </c>
      <c r="AL180" s="638"/>
      <c r="AM180" s="1239"/>
      <c r="AN180" s="455">
        <v>5.5</v>
      </c>
      <c r="AO180" s="1239"/>
      <c r="AP180" s="1239"/>
      <c r="AQ180" s="484"/>
      <c r="AR180" s="484"/>
      <c r="AS180" s="484"/>
      <c r="AT180" s="484">
        <f>+ab($T$180,$T$178,$T$182,$G$179,$G$181, 1*$F$180,1200)</f>
        <v>-7.3297542047300874</v>
      </c>
      <c r="AU180" s="638"/>
      <c r="AV180" s="638"/>
      <c r="AW180" s="484"/>
      <c r="AX180" s="484"/>
      <c r="AY180" s="484"/>
      <c r="AZ180" s="484"/>
      <c r="BA180" s="671"/>
      <c r="BB180" s="1239"/>
      <c r="BC180" s="169"/>
      <c r="BD180" s="1330"/>
      <c r="BE180" s="1329"/>
      <c r="BF180" s="1330"/>
      <c r="BG180" s="1329"/>
    </row>
    <row r="181" spans="1:59" ht="15.75" customHeight="1">
      <c r="A181" s="1239"/>
      <c r="B181" s="447"/>
      <c r="C181" s="446"/>
      <c r="D181" s="448"/>
      <c r="E181" s="448"/>
      <c r="F181" s="448"/>
      <c r="G181" s="455">
        <v>54</v>
      </c>
      <c r="H181" s="1239"/>
      <c r="I181" s="448"/>
      <c r="J181" s="446"/>
      <c r="K181" s="638"/>
      <c r="L181" s="1239"/>
      <c r="M181" s="1239"/>
      <c r="N181" s="1239"/>
      <c r="O181" s="1239"/>
      <c r="P181" s="1239"/>
      <c r="Q181" s="1239"/>
      <c r="R181" s="1239"/>
      <c r="S181" s="455"/>
      <c r="T181" s="1239"/>
      <c r="U181" s="1239"/>
      <c r="V181" s="1239"/>
      <c r="W181" s="1239"/>
      <c r="X181" s="1239"/>
      <c r="Y181" s="1239"/>
      <c r="Z181" s="1239"/>
      <c r="AA181" s="1239"/>
      <c r="AB181" s="1239"/>
      <c r="AC181" s="1239"/>
      <c r="AD181" s="1239"/>
      <c r="AE181" s="1239"/>
      <c r="AF181" s="1239"/>
      <c r="AG181" s="171"/>
      <c r="AH181" s="1239"/>
      <c r="AI181" s="1239"/>
      <c r="AJ181" s="1239"/>
      <c r="AK181" s="638"/>
      <c r="AL181" s="1239"/>
      <c r="AM181" s="1239"/>
      <c r="AN181" s="455"/>
      <c r="AO181" s="1239"/>
      <c r="AP181" s="1239"/>
      <c r="AQ181" s="484">
        <f>+FL_2($T$182,$T$180,$G$181,1200,9.28, 1*$F$182)</f>
        <v>-0.42254253783605561</v>
      </c>
      <c r="AR181" s="484"/>
      <c r="AS181" s="484"/>
      <c r="AT181" s="484"/>
      <c r="AU181" s="638"/>
      <c r="AV181" s="638"/>
      <c r="AW181" s="638"/>
      <c r="AX181" s="638"/>
      <c r="AY181" s="484"/>
      <c r="AZ181" s="484"/>
      <c r="BA181" s="671"/>
      <c r="BB181" s="1239"/>
      <c r="BC181" s="169"/>
      <c r="BD181" s="1330"/>
      <c r="BE181" s="1330"/>
      <c r="BF181" s="1330"/>
      <c r="BG181" s="1330"/>
    </row>
    <row r="182" spans="1:59" ht="15.75" customHeight="1">
      <c r="A182" s="1239"/>
      <c r="B182" s="447" t="s">
        <v>3189</v>
      </c>
      <c r="C182" s="446">
        <f>+$C$180+$G$181</f>
        <v>89463.050000000017</v>
      </c>
      <c r="D182" s="448"/>
      <c r="E182" s="448"/>
      <c r="F182" s="448">
        <v>11622</v>
      </c>
      <c r="G182" s="455"/>
      <c r="H182" s="1239"/>
      <c r="I182" s="448"/>
      <c r="J182" s="446"/>
      <c r="K182" s="638"/>
      <c r="L182" s="638"/>
      <c r="M182" s="638"/>
      <c r="N182" s="1239" t="s">
        <v>844</v>
      </c>
      <c r="O182" s="1239"/>
      <c r="P182" s="1239"/>
      <c r="Q182" s="1239"/>
      <c r="R182" s="1239"/>
      <c r="S182" s="455"/>
      <c r="T182" s="1239">
        <v>30</v>
      </c>
      <c r="U182" s="1239"/>
      <c r="V182" s="1239"/>
      <c r="W182" s="1239">
        <v>1.4</v>
      </c>
      <c r="X182" s="1239"/>
      <c r="Y182" s="1239"/>
      <c r="Z182" s="1239"/>
      <c r="AA182" s="1239"/>
      <c r="AB182" s="1239"/>
      <c r="AC182" s="1239" t="str">
        <f>IF(OR(AT182&gt;8,AT182&lt;-8),"PH",IF(OR(AT182&gt;5,AT182&lt;-5),"PH-Q",IF(OR(AT182&gt;1,AT182&lt;-1),"PH-C")))</f>
        <v>PH</v>
      </c>
      <c r="AD182" s="1239"/>
      <c r="AE182" s="1239"/>
      <c r="AF182" s="1239"/>
      <c r="AG182" s="171"/>
      <c r="AH182" s="1239"/>
      <c r="AI182" s="1239"/>
      <c r="AJ182" s="1239"/>
      <c r="AK182" s="638" t="s">
        <v>139</v>
      </c>
      <c r="AL182" s="638"/>
      <c r="AM182" s="1239"/>
      <c r="AN182" s="455">
        <v>5.5</v>
      </c>
      <c r="AO182" s="1239"/>
      <c r="AP182" s="1239"/>
      <c r="AQ182" s="484"/>
      <c r="AR182" s="484"/>
      <c r="AS182" s="484"/>
      <c r="AT182" s="484">
        <f>+ab($T$182,$T$180,$T$184,$G$181,$G$183, 1*$F$182,1200)</f>
        <v>11.46632325686549</v>
      </c>
      <c r="AU182" s="638"/>
      <c r="AV182" s="638"/>
      <c r="AW182" s="484"/>
      <c r="AX182" s="484"/>
      <c r="AY182" s="484"/>
      <c r="AZ182" s="484"/>
      <c r="BA182" s="671"/>
      <c r="BB182" s="1239"/>
      <c r="BC182" s="169"/>
      <c r="BD182" s="1330"/>
      <c r="BE182" s="1329"/>
      <c r="BF182" s="1330"/>
      <c r="BG182" s="1329"/>
    </row>
    <row r="183" spans="1:59" ht="15.75" customHeight="1">
      <c r="A183" s="1239"/>
      <c r="B183" s="447"/>
      <c r="C183" s="446"/>
      <c r="D183" s="448"/>
      <c r="E183" s="448"/>
      <c r="F183" s="448"/>
      <c r="G183" s="455">
        <v>50</v>
      </c>
      <c r="H183" s="1239"/>
      <c r="I183" s="448">
        <f>C184-C158</f>
        <v>675.60000000000582</v>
      </c>
      <c r="J183" s="446"/>
      <c r="K183" s="638"/>
      <c r="L183" s="1239"/>
      <c r="M183" s="1239"/>
      <c r="N183" s="1239"/>
      <c r="O183" s="1239"/>
      <c r="P183" s="1239"/>
      <c r="Q183" s="1239"/>
      <c r="R183" s="1239"/>
      <c r="S183" s="455"/>
      <c r="T183" s="1239"/>
      <c r="U183" s="1239"/>
      <c r="V183" s="1239"/>
      <c r="W183" s="1239"/>
      <c r="X183" s="1239"/>
      <c r="Y183" s="1239"/>
      <c r="Z183" s="1239"/>
      <c r="AA183" s="1239"/>
      <c r="AB183" s="1239"/>
      <c r="AC183" s="1239"/>
      <c r="AD183" s="1239"/>
      <c r="AE183" s="1239"/>
      <c r="AF183" s="1239"/>
      <c r="AG183" s="171"/>
      <c r="AH183" s="1239"/>
      <c r="AI183" s="1239"/>
      <c r="AJ183" s="1239"/>
      <c r="AK183" s="638" t="s">
        <v>2760</v>
      </c>
      <c r="AL183" s="1239"/>
      <c r="AM183" s="1239"/>
      <c r="AN183" s="455"/>
      <c r="AO183" s="1239"/>
      <c r="AP183" s="1239"/>
      <c r="AQ183" s="484">
        <f>+FL_1($T$184,$T$182,$G$183,1200,9.28, 1*$F$184)</f>
        <v>0.42413868381087616</v>
      </c>
      <c r="AR183" s="484"/>
      <c r="AS183" s="484"/>
      <c r="AT183" s="484"/>
      <c r="AU183" s="638"/>
      <c r="AV183" s="638"/>
      <c r="AW183" s="484"/>
      <c r="AX183" s="484"/>
      <c r="AY183" s="484"/>
      <c r="AZ183" s="484"/>
      <c r="BA183" s="671"/>
      <c r="BB183" s="1239"/>
      <c r="BC183" s="169"/>
      <c r="BD183" s="1330"/>
      <c r="BE183" s="1330"/>
      <c r="BF183" s="1330"/>
      <c r="BG183" s="1330"/>
    </row>
    <row r="184" spans="1:59" ht="15.75" customHeight="1">
      <c r="A184" s="1239"/>
      <c r="B184" s="447" t="s">
        <v>3190</v>
      </c>
      <c r="C184" s="446">
        <f>+$C$182+$G$183</f>
        <v>89513.050000000017</v>
      </c>
      <c r="D184" s="448"/>
      <c r="E184" s="448"/>
      <c r="F184" s="448">
        <v>2659</v>
      </c>
      <c r="G184" s="455"/>
      <c r="H184" s="1239" t="s">
        <v>874</v>
      </c>
      <c r="I184" s="448"/>
      <c r="J184" s="446"/>
      <c r="K184" s="638"/>
      <c r="L184" s="638"/>
      <c r="M184" s="638"/>
      <c r="N184" s="1239" t="s">
        <v>844</v>
      </c>
      <c r="O184" s="1239"/>
      <c r="P184" s="1239"/>
      <c r="Q184" s="1239"/>
      <c r="R184" s="1239"/>
      <c r="S184" s="455"/>
      <c r="T184" s="1239">
        <v>30</v>
      </c>
      <c r="U184" s="1239"/>
      <c r="V184" s="1239"/>
      <c r="W184" s="1239">
        <v>1.4</v>
      </c>
      <c r="X184" s="1239"/>
      <c r="Y184" s="1239"/>
      <c r="Z184" s="1239"/>
      <c r="AA184" s="1239"/>
      <c r="AB184" s="1239"/>
      <c r="AC184" s="1239" t="str">
        <f>IF(OR(AT184&gt;8,AT184&lt;-8),"PH",IF(OR(AT184&gt;5,AT184&lt;-5),"PH-Q",IF(OR(AT184&gt;1,AT184&lt;-1),"PH-C")))</f>
        <v>PH</v>
      </c>
      <c r="AD184" s="1239"/>
      <c r="AE184" s="1239"/>
      <c r="AF184" s="1239"/>
      <c r="AG184" s="171"/>
      <c r="AH184" s="1239"/>
      <c r="AI184" s="1239"/>
      <c r="AJ184" s="1239"/>
      <c r="AK184" s="1239" t="s">
        <v>139</v>
      </c>
      <c r="AL184" s="638"/>
      <c r="AM184" s="1239"/>
      <c r="AN184" s="455">
        <v>5.5</v>
      </c>
      <c r="AO184" s="1239"/>
      <c r="AP184" s="1239"/>
      <c r="AQ184" s="484"/>
      <c r="AR184" s="484"/>
      <c r="AS184" s="484"/>
      <c r="AT184" s="484">
        <f>+ab($T$184,$T$182,$T$186,$G$183,$G$185, 1*$F$184,1200)</f>
        <v>11.097918191148713</v>
      </c>
      <c r="AU184" s="638"/>
      <c r="AV184" s="638"/>
      <c r="AW184" s="484"/>
      <c r="AX184" s="484"/>
      <c r="AY184" s="484"/>
      <c r="AZ184" s="484"/>
      <c r="BA184" s="671"/>
      <c r="BB184" s="1239"/>
      <c r="BC184" s="169"/>
      <c r="BD184" s="1330"/>
      <c r="BE184" s="1329"/>
      <c r="BF184" s="1330"/>
      <c r="BG184" s="1329"/>
    </row>
    <row r="185" spans="1:59" ht="15.75" customHeight="1">
      <c r="A185" s="1239"/>
      <c r="B185" s="447"/>
      <c r="C185" s="446"/>
      <c r="D185" s="448"/>
      <c r="E185" s="448"/>
      <c r="F185" s="448"/>
      <c r="G185" s="455">
        <v>40.799999999999997</v>
      </c>
      <c r="H185" s="1239"/>
      <c r="I185" s="448">
        <f>C214-C184</f>
        <v>639.79999999998836</v>
      </c>
      <c r="J185" s="446"/>
      <c r="K185" s="638"/>
      <c r="L185" s="1239"/>
      <c r="M185" s="1239"/>
      <c r="N185" s="1239"/>
      <c r="O185" s="1239"/>
      <c r="P185" s="1239"/>
      <c r="Q185" s="1239"/>
      <c r="R185" s="1239"/>
      <c r="S185" s="455"/>
      <c r="T185" s="1239"/>
      <c r="U185" s="1239"/>
      <c r="V185" s="1239"/>
      <c r="W185" s="1239"/>
      <c r="X185" s="1239"/>
      <c r="Y185" s="1239"/>
      <c r="Z185" s="1239"/>
      <c r="AA185" s="1239"/>
      <c r="AB185" s="1239"/>
      <c r="AC185" s="1239"/>
      <c r="AD185" s="1239"/>
      <c r="AE185" s="1239"/>
      <c r="AF185" s="1239"/>
      <c r="AG185" s="171"/>
      <c r="AH185" s="1239"/>
      <c r="AI185" s="1239"/>
      <c r="AJ185" s="1239"/>
      <c r="AK185" s="638" t="s">
        <v>2760</v>
      </c>
      <c r="AL185" s="1239"/>
      <c r="AM185" s="1239"/>
      <c r="AN185" s="455"/>
      <c r="AO185" s="1239"/>
      <c r="AP185" s="1239"/>
      <c r="AQ185" s="484">
        <f>+FL_1($T$186,$T$184,$G$185,1200,9.28, 1*$F$186)</f>
        <v>0.316908024198438</v>
      </c>
      <c r="AR185" s="484"/>
      <c r="AS185" s="484"/>
      <c r="AT185" s="484"/>
      <c r="AU185" s="638"/>
      <c r="AV185" s="638"/>
      <c r="AW185" s="484"/>
      <c r="AX185" s="484"/>
      <c r="AY185" s="484"/>
      <c r="AZ185" s="484"/>
      <c r="BA185" s="671"/>
      <c r="BB185" s="1239"/>
      <c r="BC185" s="169"/>
      <c r="BD185" s="1330"/>
      <c r="BE185" s="1330"/>
      <c r="BF185" s="1330"/>
      <c r="BG185" s="1330"/>
    </row>
    <row r="186" spans="1:59" ht="15.75" customHeight="1">
      <c r="A186" s="1239"/>
      <c r="B186" s="447" t="s">
        <v>3191</v>
      </c>
      <c r="C186" s="446">
        <f>+$C$184+$G$185</f>
        <v>89553.85000000002</v>
      </c>
      <c r="D186" s="448"/>
      <c r="E186" s="448"/>
      <c r="F186" s="448">
        <v>1445</v>
      </c>
      <c r="G186" s="455"/>
      <c r="H186" s="1239"/>
      <c r="I186" s="448"/>
      <c r="J186" s="446"/>
      <c r="K186" s="638"/>
      <c r="L186" s="638"/>
      <c r="M186" s="638"/>
      <c r="N186" s="1239" t="s">
        <v>844</v>
      </c>
      <c r="O186" s="1239"/>
      <c r="P186" s="1239"/>
      <c r="Q186" s="1239">
        <v>70</v>
      </c>
      <c r="R186" s="1239">
        <v>1637.99</v>
      </c>
      <c r="S186" s="455"/>
      <c r="T186" s="1239">
        <v>30</v>
      </c>
      <c r="U186" s="1239"/>
      <c r="V186" s="1239"/>
      <c r="W186" s="1239">
        <v>1.4</v>
      </c>
      <c r="X186" s="1239"/>
      <c r="Y186" s="1239"/>
      <c r="Z186" s="1239"/>
      <c r="AA186" s="1239"/>
      <c r="AB186" s="1239"/>
      <c r="AC186" s="1239" t="s">
        <v>4090</v>
      </c>
      <c r="AD186" s="1239"/>
      <c r="AE186" s="1239"/>
      <c r="AF186" s="1239">
        <v>1200</v>
      </c>
      <c r="AG186" s="171">
        <v>89553</v>
      </c>
      <c r="AH186" s="1239">
        <v>1903</v>
      </c>
      <c r="AI186" s="1239">
        <v>-4496</v>
      </c>
      <c r="AJ186" s="1239"/>
      <c r="AK186" s="1239" t="s">
        <v>139</v>
      </c>
      <c r="AL186" s="638"/>
      <c r="AM186" s="1239"/>
      <c r="AN186" s="455">
        <v>5.5</v>
      </c>
      <c r="AO186" s="1239"/>
      <c r="AP186" s="1239"/>
      <c r="AQ186" s="484"/>
      <c r="AR186" s="484"/>
      <c r="AS186" s="484"/>
      <c r="AT186" s="484">
        <f>+ab($T$186,$T$184,-$T$188,$G$185,$G$187, 1*$F$186,1200)</f>
        <v>6.8309375450598377</v>
      </c>
      <c r="AU186" s="638"/>
      <c r="AV186" s="638"/>
      <c r="AW186" s="484"/>
      <c r="AX186" s="484"/>
      <c r="AY186" s="484"/>
      <c r="AZ186" s="484"/>
      <c r="BA186" s="671"/>
      <c r="BB186" s="1239"/>
      <c r="BC186" s="169"/>
      <c r="BD186" s="1330"/>
      <c r="BE186" s="1329"/>
      <c r="BF186" s="1330"/>
      <c r="BG186" s="1329"/>
    </row>
    <row r="187" spans="1:59" ht="15.75" customHeight="1">
      <c r="A187" s="1239"/>
      <c r="B187" s="447"/>
      <c r="C187" s="446"/>
      <c r="D187" s="448"/>
      <c r="E187" s="448"/>
      <c r="F187" s="448"/>
      <c r="G187" s="455">
        <v>40</v>
      </c>
      <c r="H187" s="1239"/>
      <c r="I187" s="448"/>
      <c r="J187" s="446"/>
      <c r="K187" s="638"/>
      <c r="L187" s="1239"/>
      <c r="M187" s="1239"/>
      <c r="N187" s="1239"/>
      <c r="O187" s="1239"/>
      <c r="P187" s="1239"/>
      <c r="Q187" s="1239"/>
      <c r="R187" s="1239"/>
      <c r="S187" s="455">
        <f>AG188-AG186</f>
        <v>40</v>
      </c>
      <c r="T187" s="1239"/>
      <c r="U187" s="1239"/>
      <c r="V187" s="1239"/>
      <c r="W187" s="1239"/>
      <c r="X187" s="1239"/>
      <c r="Y187" s="1239"/>
      <c r="Z187" s="1239"/>
      <c r="AA187" s="1239"/>
      <c r="AB187" s="1239"/>
      <c r="AC187" s="1239"/>
      <c r="AD187" s="1239"/>
      <c r="AE187" s="1239"/>
      <c r="AF187" s="1239"/>
      <c r="AG187" s="171"/>
      <c r="AH187" s="1239"/>
      <c r="AI187" s="1239"/>
      <c r="AJ187" s="1239"/>
      <c r="AK187" s="638"/>
      <c r="AL187" s="1239"/>
      <c r="AM187" s="1239"/>
      <c r="AN187" s="455"/>
      <c r="AO187" s="1239"/>
      <c r="AP187" s="1239"/>
      <c r="AQ187" s="484">
        <f>+FL_1($T$188,-$T$186,$G$187,1200,9.28,-1*$F$188)</f>
        <v>6.3239921516860392E-2</v>
      </c>
      <c r="AR187" s="484"/>
      <c r="AS187" s="484"/>
      <c r="AT187" s="484"/>
      <c r="AU187" s="638"/>
      <c r="AV187" s="638"/>
      <c r="AW187" s="638"/>
      <c r="AX187" s="638"/>
      <c r="AY187" s="484"/>
      <c r="AZ187" s="484"/>
      <c r="BA187" s="671"/>
      <c r="BB187" s="1239"/>
      <c r="BC187" s="169"/>
      <c r="BD187" s="1330"/>
      <c r="BE187" s="1330"/>
      <c r="BF187" s="1330"/>
      <c r="BG187" s="1330"/>
    </row>
    <row r="188" spans="1:59" ht="15.75" customHeight="1">
      <c r="A188" s="1239"/>
      <c r="B188" s="447" t="s">
        <v>3192</v>
      </c>
      <c r="C188" s="446">
        <f>+$C$186+$G$187</f>
        <v>89593.85000000002</v>
      </c>
      <c r="D188" s="448"/>
      <c r="E188" s="448"/>
      <c r="F188" s="448">
        <v>959</v>
      </c>
      <c r="G188" s="455"/>
      <c r="H188" s="1239"/>
      <c r="I188" s="448"/>
      <c r="J188" s="446"/>
      <c r="K188" s="638"/>
      <c r="L188" s="638"/>
      <c r="M188" s="638"/>
      <c r="N188" s="1239" t="s">
        <v>843</v>
      </c>
      <c r="O188" s="1239"/>
      <c r="P188" s="1239"/>
      <c r="Q188" s="1239">
        <v>90</v>
      </c>
      <c r="R188" s="1239">
        <v>1182.6500000000001</v>
      </c>
      <c r="S188" s="455"/>
      <c r="T188" s="1239">
        <v>-30</v>
      </c>
      <c r="U188" s="1239"/>
      <c r="V188" s="1239"/>
      <c r="W188" s="1239">
        <v>1.4</v>
      </c>
      <c r="X188" s="1239"/>
      <c r="Y188" s="1239"/>
      <c r="Z188" s="1239"/>
      <c r="AA188" s="1239"/>
      <c r="AB188" s="1239"/>
      <c r="AC188" s="1239" t="s">
        <v>4090</v>
      </c>
      <c r="AD188" s="1239"/>
      <c r="AE188" s="1239"/>
      <c r="AF188" s="1239">
        <v>800</v>
      </c>
      <c r="AG188" s="171">
        <v>89593</v>
      </c>
      <c r="AH188" s="1239">
        <v>1833</v>
      </c>
      <c r="AI188" s="1239">
        <v>-4887</v>
      </c>
      <c r="AJ188" s="1239"/>
      <c r="AK188" s="1239" t="s">
        <v>139</v>
      </c>
      <c r="AL188" s="638"/>
      <c r="AM188" s="1239"/>
      <c r="AN188" s="455">
        <v>5.5</v>
      </c>
      <c r="AO188" s="1239"/>
      <c r="AP188" s="1239"/>
      <c r="AQ188" s="484"/>
      <c r="AR188" s="484"/>
      <c r="AS188" s="484"/>
      <c r="AT188" s="484">
        <f>+ab($T$188,-$T$186,$T$190,$G$187,$G$189,-1*$F$188,1200)</f>
        <v>-4.7688291488427721</v>
      </c>
      <c r="AU188" s="638"/>
      <c r="AV188" s="638"/>
      <c r="AW188" s="484"/>
      <c r="AX188" s="484"/>
      <c r="AY188" s="484"/>
      <c r="AZ188" s="484"/>
      <c r="BA188" s="671"/>
      <c r="BB188" s="1239"/>
      <c r="BC188" s="169"/>
      <c r="BD188" s="1330"/>
      <c r="BE188" s="1329"/>
      <c r="BF188" s="1330"/>
      <c r="BG188" s="1329"/>
    </row>
    <row r="189" spans="1:59" ht="15.75" customHeight="1">
      <c r="A189" s="1239"/>
      <c r="B189" s="447"/>
      <c r="C189" s="446"/>
      <c r="D189" s="448"/>
      <c r="E189" s="448"/>
      <c r="F189" s="448"/>
      <c r="G189" s="455">
        <v>37</v>
      </c>
      <c r="H189" s="1239"/>
      <c r="I189" s="448"/>
      <c r="J189" s="446"/>
      <c r="K189" s="638"/>
      <c r="L189" s="1239"/>
      <c r="M189" s="1239"/>
      <c r="N189" s="1239"/>
      <c r="O189" s="1239"/>
      <c r="P189" s="1239"/>
      <c r="Q189" s="1239"/>
      <c r="R189" s="1239"/>
      <c r="S189" s="455">
        <f>AG190-AG188</f>
        <v>37</v>
      </c>
      <c r="T189" s="1239"/>
      <c r="U189" s="1239"/>
      <c r="V189" s="1239"/>
      <c r="W189" s="1239"/>
      <c r="X189" s="1239"/>
      <c r="Y189" s="1239"/>
      <c r="Z189" s="1239"/>
      <c r="AA189" s="1239"/>
      <c r="AB189" s="1239"/>
      <c r="AC189" s="1239"/>
      <c r="AD189" s="1239"/>
      <c r="AE189" s="1239"/>
      <c r="AF189" s="1239"/>
      <c r="AG189" s="171"/>
      <c r="AH189" s="1239"/>
      <c r="AI189" s="1239"/>
      <c r="AJ189" s="1239"/>
      <c r="AK189" s="638"/>
      <c r="AL189" s="1239"/>
      <c r="AM189" s="1239"/>
      <c r="AN189" s="455"/>
      <c r="AO189" s="1239"/>
      <c r="AP189" s="1239"/>
      <c r="AQ189" s="484">
        <f>+FL_2($T$190,$T$188,$G$189,1200,9.28,-1*$F$190)</f>
        <v>-0.3</v>
      </c>
      <c r="AR189" s="484"/>
      <c r="AS189" s="484"/>
      <c r="AT189" s="484"/>
      <c r="AU189" s="638"/>
      <c r="AV189" s="638"/>
      <c r="AW189" s="484"/>
      <c r="AX189" s="484"/>
      <c r="AY189" s="484"/>
      <c r="AZ189" s="484"/>
      <c r="BA189" s="671"/>
      <c r="BB189" s="1239"/>
      <c r="BC189" s="169"/>
      <c r="BD189" s="1330"/>
      <c r="BE189" s="1330"/>
      <c r="BF189" s="1330"/>
      <c r="BG189" s="1330"/>
    </row>
    <row r="190" spans="1:59" ht="15.75" customHeight="1">
      <c r="A190" s="1239"/>
      <c r="B190" s="447" t="s">
        <v>3193</v>
      </c>
      <c r="C190" s="446">
        <f>+$C$188+$G$189</f>
        <v>89630.85000000002</v>
      </c>
      <c r="D190" s="448"/>
      <c r="E190" s="448"/>
      <c r="F190" s="448">
        <v>959</v>
      </c>
      <c r="G190" s="455"/>
      <c r="H190" s="1239"/>
      <c r="I190" s="448"/>
      <c r="J190" s="446"/>
      <c r="K190" s="638"/>
      <c r="L190" s="638"/>
      <c r="M190" s="638"/>
      <c r="N190" s="1239" t="s">
        <v>2794</v>
      </c>
      <c r="O190" s="1239"/>
      <c r="P190" s="1239"/>
      <c r="Q190" s="1239">
        <v>20</v>
      </c>
      <c r="R190" s="1239">
        <v>959.4</v>
      </c>
      <c r="S190" s="455"/>
      <c r="T190" s="1239">
        <v>-30</v>
      </c>
      <c r="U190" s="1239"/>
      <c r="V190" s="1239"/>
      <c r="W190" s="1239">
        <v>1.4</v>
      </c>
      <c r="X190" s="1239"/>
      <c r="Y190" s="1239"/>
      <c r="Z190" s="1239"/>
      <c r="AA190" s="1239"/>
      <c r="AB190" s="1239"/>
      <c r="AC190" s="1285" t="s">
        <v>4090</v>
      </c>
      <c r="AD190" s="1239"/>
      <c r="AE190" s="1239"/>
      <c r="AF190" s="1239">
        <v>100</v>
      </c>
      <c r="AG190" s="171">
        <v>89630</v>
      </c>
      <c r="AH190" s="1239">
        <v>1753</v>
      </c>
      <c r="AI190" s="1239">
        <v>-5118</v>
      </c>
      <c r="AJ190" s="1239"/>
      <c r="AK190" s="1239" t="s">
        <v>139</v>
      </c>
      <c r="AL190" s="638"/>
      <c r="AM190" s="1239"/>
      <c r="AN190" s="455">
        <v>5.5</v>
      </c>
      <c r="AO190" s="1239"/>
      <c r="AP190" s="1239"/>
      <c r="AQ190" s="484"/>
      <c r="AR190" s="484"/>
      <c r="AS190" s="484"/>
      <c r="AT190" s="484">
        <f>+ab($T$190,$T$188,$T$192,$G$189,$G$191,-1*$F$190,1200)</f>
        <v>-4.9612137930112041</v>
      </c>
      <c r="AU190" s="638"/>
      <c r="AV190" s="638"/>
      <c r="AW190" s="484"/>
      <c r="AX190" s="484"/>
      <c r="AY190" s="484"/>
      <c r="AZ190" s="484"/>
      <c r="BA190" s="671"/>
      <c r="BB190" s="1239"/>
      <c r="BC190" s="169"/>
      <c r="BD190" s="1330"/>
      <c r="BE190" s="1329"/>
      <c r="BF190" s="1330"/>
      <c r="BG190" s="1329"/>
    </row>
    <row r="191" spans="1:59" ht="15.75" customHeight="1">
      <c r="A191" s="1239"/>
      <c r="B191" s="447"/>
      <c r="C191" s="446"/>
      <c r="D191" s="448"/>
      <c r="E191" s="448"/>
      <c r="F191" s="448"/>
      <c r="G191" s="455">
        <v>37</v>
      </c>
      <c r="H191" s="1239"/>
      <c r="I191" s="448"/>
      <c r="J191" s="446"/>
      <c r="K191" s="638"/>
      <c r="L191" s="1239"/>
      <c r="M191" s="1239"/>
      <c r="N191" s="1239"/>
      <c r="O191" s="1239"/>
      <c r="P191" s="1239"/>
      <c r="Q191" s="1239"/>
      <c r="R191" s="1239"/>
      <c r="S191" s="455">
        <f>AG192-AG190</f>
        <v>37</v>
      </c>
      <c r="T191" s="1239"/>
      <c r="U191" s="1239"/>
      <c r="V191" s="1239"/>
      <c r="W191" s="1239"/>
      <c r="X191" s="1239"/>
      <c r="Y191" s="1239"/>
      <c r="Z191" s="1239"/>
      <c r="AA191" s="1239"/>
      <c r="AB191" s="1239"/>
      <c r="AC191" s="1239"/>
      <c r="AD191" s="1239"/>
      <c r="AE191" s="1239"/>
      <c r="AF191" s="1239"/>
      <c r="AG191" s="171"/>
      <c r="AH191" s="1239"/>
      <c r="AI191" s="1239"/>
      <c r="AJ191" s="1239"/>
      <c r="AK191" s="638"/>
      <c r="AL191" s="1239"/>
      <c r="AM191" s="1239"/>
      <c r="AN191" s="455"/>
      <c r="AO191" s="1239"/>
      <c r="AP191" s="1239"/>
      <c r="AQ191" s="484">
        <f>+FL_2($T$192,$T$190,$G$191,1200,9.28,-1*$F$192)</f>
        <v>-0.3</v>
      </c>
      <c r="AR191" s="484"/>
      <c r="AS191" s="484"/>
      <c r="AT191" s="484"/>
      <c r="AU191" s="638"/>
      <c r="AV191" s="638"/>
      <c r="AW191" s="484"/>
      <c r="AX191" s="484"/>
      <c r="AY191" s="484"/>
      <c r="AZ191" s="484"/>
      <c r="BA191" s="671"/>
      <c r="BB191" s="1239"/>
      <c r="BC191" s="169"/>
      <c r="BD191" s="1330"/>
      <c r="BE191" s="1330"/>
      <c r="BF191" s="1330"/>
      <c r="BG191" s="1330"/>
    </row>
    <row r="192" spans="1:59" ht="15.75" customHeight="1">
      <c r="A192" s="1239"/>
      <c r="B192" s="447" t="s">
        <v>3194</v>
      </c>
      <c r="C192" s="446">
        <f>+$C$190+$G$191</f>
        <v>89667.85000000002</v>
      </c>
      <c r="D192" s="448"/>
      <c r="E192" s="448"/>
      <c r="F192" s="448">
        <v>959</v>
      </c>
      <c r="G192" s="455"/>
      <c r="H192" s="1239"/>
      <c r="I192" s="448"/>
      <c r="J192" s="446"/>
      <c r="K192" s="638"/>
      <c r="L192" s="638"/>
      <c r="M192" s="638"/>
      <c r="N192" s="1239" t="s">
        <v>843</v>
      </c>
      <c r="O192" s="1239"/>
      <c r="P192" s="1239"/>
      <c r="Q192" s="1239">
        <v>10</v>
      </c>
      <c r="R192" s="1239">
        <v>959.4</v>
      </c>
      <c r="S192" s="455"/>
      <c r="T192" s="1239">
        <v>-30</v>
      </c>
      <c r="U192" s="1239"/>
      <c r="V192" s="1239"/>
      <c r="W192" s="1239">
        <v>1.4</v>
      </c>
      <c r="X192" s="1239"/>
      <c r="Y192" s="1239"/>
      <c r="Z192" s="1239"/>
      <c r="AA192" s="1239"/>
      <c r="AB192" s="1239"/>
      <c r="AC192" s="1239" t="s">
        <v>4115</v>
      </c>
      <c r="AD192" s="1239"/>
      <c r="AE192" s="1239"/>
      <c r="AF192" s="1239">
        <v>200</v>
      </c>
      <c r="AG192" s="171">
        <v>89667</v>
      </c>
      <c r="AH192" s="1239">
        <v>1903</v>
      </c>
      <c r="AI192" s="1239">
        <v>-5467</v>
      </c>
      <c r="AJ192" s="1239"/>
      <c r="AK192" s="1239" t="s">
        <v>139</v>
      </c>
      <c r="AL192" s="638"/>
      <c r="AM192" s="1239"/>
      <c r="AN192" s="455">
        <v>5.5</v>
      </c>
      <c r="AO192" s="1239"/>
      <c r="AP192" s="1239"/>
      <c r="AQ192" s="484"/>
      <c r="AR192" s="484"/>
      <c r="AS192" s="484"/>
      <c r="AT192" s="484">
        <f>+ab($T$192,$T$190,$T$194,$G$191,$G$193,-1*$F$192,1200)</f>
        <v>-4.9612137930112041</v>
      </c>
      <c r="AU192" s="638"/>
      <c r="AV192" s="638"/>
      <c r="AW192" s="484"/>
      <c r="AX192" s="484"/>
      <c r="AY192" s="484"/>
      <c r="AZ192" s="484"/>
      <c r="BA192" s="671"/>
      <c r="BB192" s="1239"/>
      <c r="BC192" s="169"/>
      <c r="BD192" s="1330"/>
      <c r="BE192" s="1329"/>
      <c r="BF192" s="1330"/>
      <c r="BG192" s="1329"/>
    </row>
    <row r="193" spans="1:59" ht="15.75" customHeight="1">
      <c r="A193" s="1239"/>
      <c r="B193" s="447"/>
      <c r="C193" s="446"/>
      <c r="D193" s="448"/>
      <c r="E193" s="448"/>
      <c r="F193" s="448"/>
      <c r="G193" s="455">
        <v>37</v>
      </c>
      <c r="H193" s="1239"/>
      <c r="I193" s="448"/>
      <c r="J193" s="446"/>
      <c r="K193" s="638"/>
      <c r="L193" s="1239"/>
      <c r="M193" s="1239"/>
      <c r="N193" s="1239"/>
      <c r="O193" s="1239"/>
      <c r="P193" s="1239"/>
      <c r="Q193" s="1239"/>
      <c r="R193" s="1239"/>
      <c r="S193" s="455">
        <f>AG194-AG192</f>
        <v>37</v>
      </c>
      <c r="T193" s="1239"/>
      <c r="U193" s="1239"/>
      <c r="V193" s="1239"/>
      <c r="W193" s="1239"/>
      <c r="X193" s="1239"/>
      <c r="Y193" s="1239"/>
      <c r="Z193" s="1239"/>
      <c r="AA193" s="1239"/>
      <c r="AB193" s="1239"/>
      <c r="AC193" s="1239"/>
      <c r="AD193" s="1239"/>
      <c r="AE193" s="1239"/>
      <c r="AF193" s="1239"/>
      <c r="AG193" s="171"/>
      <c r="AH193" s="1239"/>
      <c r="AI193" s="1239"/>
      <c r="AJ193" s="1239"/>
      <c r="AK193" s="638"/>
      <c r="AL193" s="1239"/>
      <c r="AM193" s="1239"/>
      <c r="AN193" s="455"/>
      <c r="AO193" s="1239"/>
      <c r="AP193" s="1239"/>
      <c r="AQ193" s="484">
        <f>+FL_2($T$194,$T$192,$G$193,1200,9.28,-1*$F$194)</f>
        <v>-0.3</v>
      </c>
      <c r="AR193" s="484"/>
      <c r="AS193" s="484"/>
      <c r="AT193" s="484"/>
      <c r="AU193" s="638"/>
      <c r="AV193" s="638"/>
      <c r="AW193" s="638"/>
      <c r="AX193" s="638"/>
      <c r="AY193" s="484"/>
      <c r="AZ193" s="484"/>
      <c r="BA193" s="671"/>
      <c r="BB193" s="1239"/>
      <c r="BC193" s="169"/>
      <c r="BD193" s="1330"/>
      <c r="BE193" s="1330"/>
      <c r="BF193" s="1330"/>
      <c r="BG193" s="1330"/>
    </row>
    <row r="194" spans="1:59" ht="15.75" customHeight="1">
      <c r="A194" s="1239"/>
      <c r="B194" s="447" t="s">
        <v>3195</v>
      </c>
      <c r="C194" s="446">
        <f>+$C$192+$G$193</f>
        <v>89704.85000000002</v>
      </c>
      <c r="D194" s="448"/>
      <c r="E194" s="448"/>
      <c r="F194" s="448">
        <v>959</v>
      </c>
      <c r="G194" s="455"/>
      <c r="H194" s="1239"/>
      <c r="I194" s="448"/>
      <c r="J194" s="446"/>
      <c r="K194" s="638"/>
      <c r="L194" s="638"/>
      <c r="M194" s="638"/>
      <c r="N194" s="1239" t="s">
        <v>2794</v>
      </c>
      <c r="O194" s="1239"/>
      <c r="P194" s="1239"/>
      <c r="Q194" s="1239">
        <v>0</v>
      </c>
      <c r="R194" s="1239">
        <v>959.4</v>
      </c>
      <c r="S194" s="455"/>
      <c r="T194" s="1239">
        <v>-30</v>
      </c>
      <c r="U194" s="1239"/>
      <c r="V194" s="1239"/>
      <c r="W194" s="1239">
        <v>1.4</v>
      </c>
      <c r="X194" s="1239"/>
      <c r="Y194" s="1239"/>
      <c r="Z194" s="1239"/>
      <c r="AA194" s="1239"/>
      <c r="AB194" s="1239"/>
      <c r="AC194" s="1239" t="s">
        <v>4115</v>
      </c>
      <c r="AD194" s="1239"/>
      <c r="AE194" s="1239"/>
      <c r="AF194" s="1239">
        <v>200</v>
      </c>
      <c r="AG194" s="171">
        <v>89704</v>
      </c>
      <c r="AH194" s="1239">
        <v>1523</v>
      </c>
      <c r="AI194" s="1239">
        <v>-4997</v>
      </c>
      <c r="AJ194" s="1239"/>
      <c r="AK194" s="1239" t="s">
        <v>139</v>
      </c>
      <c r="AL194" s="638"/>
      <c r="AM194" s="1239"/>
      <c r="AN194" s="455">
        <v>5.5</v>
      </c>
      <c r="AO194" s="1239"/>
      <c r="AP194" s="1239"/>
      <c r="AQ194" s="484"/>
      <c r="AR194" s="484"/>
      <c r="AS194" s="484"/>
      <c r="AT194" s="484">
        <f>+ab($T$194,$T$192,$T$196,$G$193,$G$195,-1*$F$194,1200)</f>
        <v>-4.9612137930112041</v>
      </c>
      <c r="AU194" s="638"/>
      <c r="AV194" s="638"/>
      <c r="AW194" s="484"/>
      <c r="AX194" s="484"/>
      <c r="AY194" s="484"/>
      <c r="AZ194" s="484"/>
      <c r="BA194" s="671"/>
      <c r="BB194" s="1239"/>
      <c r="BC194" s="169"/>
      <c r="BD194" s="1330"/>
      <c r="BE194" s="1329"/>
      <c r="BF194" s="1330"/>
      <c r="BG194" s="1329"/>
    </row>
    <row r="195" spans="1:59" ht="15.75" customHeight="1">
      <c r="A195" s="1239"/>
      <c r="B195" s="447"/>
      <c r="C195" s="446"/>
      <c r="D195" s="448"/>
      <c r="E195" s="448"/>
      <c r="F195" s="448"/>
      <c r="G195" s="455">
        <v>37</v>
      </c>
      <c r="H195" s="1239"/>
      <c r="I195" s="448"/>
      <c r="J195" s="446"/>
      <c r="K195" s="638"/>
      <c r="L195" s="1239"/>
      <c r="M195" s="1239"/>
      <c r="N195" s="1239"/>
      <c r="O195" s="1239"/>
      <c r="P195" s="1239"/>
      <c r="Q195" s="1239"/>
      <c r="R195" s="1239"/>
      <c r="S195" s="455">
        <f>AG196-AG194</f>
        <v>37</v>
      </c>
      <c r="T195" s="1239"/>
      <c r="U195" s="1239"/>
      <c r="V195" s="1239"/>
      <c r="W195" s="1239"/>
      <c r="X195" s="1239"/>
      <c r="Y195" s="1239"/>
      <c r="Z195" s="1239"/>
      <c r="AA195" s="1239"/>
      <c r="AB195" s="1239"/>
      <c r="AC195" s="1239"/>
      <c r="AD195" s="1239"/>
      <c r="AE195" s="1239"/>
      <c r="AF195" s="1239"/>
      <c r="AG195" s="171"/>
      <c r="AH195" s="1239"/>
      <c r="AI195" s="1239"/>
      <c r="AJ195" s="1239"/>
      <c r="AK195" s="638"/>
      <c r="AL195" s="1239"/>
      <c r="AM195" s="1239"/>
      <c r="AN195" s="455"/>
      <c r="AO195" s="1239"/>
      <c r="AP195" s="1239"/>
      <c r="AQ195" s="484">
        <f>+FL_2($T$196,$T$194,$G$195,1200,9.28,-1*$F$196)</f>
        <v>-0.3</v>
      </c>
      <c r="AR195" s="484"/>
      <c r="AS195" s="484"/>
      <c r="AT195" s="484"/>
      <c r="AU195" s="638"/>
      <c r="AV195" s="638"/>
      <c r="AW195" s="484"/>
      <c r="AX195" s="484"/>
      <c r="AY195" s="484"/>
      <c r="AZ195" s="484"/>
      <c r="BA195" s="671"/>
      <c r="BB195" s="1239"/>
      <c r="BC195" s="169"/>
      <c r="BD195" s="1330"/>
      <c r="BE195" s="1330"/>
      <c r="BF195" s="1330"/>
      <c r="BG195" s="1330"/>
    </row>
    <row r="196" spans="1:59" ht="15.75" customHeight="1">
      <c r="A196" s="1239"/>
      <c r="B196" s="447" t="s">
        <v>3196</v>
      </c>
      <c r="C196" s="446">
        <f>+$C$194+$G$195</f>
        <v>89741.85000000002</v>
      </c>
      <c r="D196" s="448"/>
      <c r="E196" s="448"/>
      <c r="F196" s="448">
        <v>959</v>
      </c>
      <c r="G196" s="455"/>
      <c r="H196" s="1239"/>
      <c r="I196" s="448"/>
      <c r="J196" s="446"/>
      <c r="K196" s="638"/>
      <c r="L196" s="638"/>
      <c r="M196" s="638"/>
      <c r="N196" s="1239" t="s">
        <v>2794</v>
      </c>
      <c r="O196" s="1239"/>
      <c r="P196" s="1239"/>
      <c r="Q196" s="1285">
        <v>110</v>
      </c>
      <c r="R196" s="1285">
        <v>959.4</v>
      </c>
      <c r="S196" s="1352"/>
      <c r="T196" s="1285">
        <v>-30</v>
      </c>
      <c r="U196" s="1285"/>
      <c r="V196" s="1285"/>
      <c r="W196" s="1285">
        <v>1.4</v>
      </c>
      <c r="X196" s="1285"/>
      <c r="Y196" s="1285"/>
      <c r="Z196" s="1285"/>
      <c r="AA196" s="1285"/>
      <c r="AB196" s="1285"/>
      <c r="AC196" s="1285" t="s">
        <v>4090</v>
      </c>
      <c r="AD196" s="1285"/>
      <c r="AE196" s="1285"/>
      <c r="AF196" s="1239">
        <v>200</v>
      </c>
      <c r="AG196" s="1350">
        <v>89741</v>
      </c>
      <c r="AH196" s="1285">
        <v>1743</v>
      </c>
      <c r="AI196" s="1285">
        <v>-5017</v>
      </c>
      <c r="AJ196" s="1285"/>
      <c r="AK196" s="1353" t="s">
        <v>139</v>
      </c>
      <c r="AL196" s="1353"/>
      <c r="AM196" s="1285"/>
      <c r="AN196" s="1352">
        <v>5.5</v>
      </c>
      <c r="AO196" s="1239"/>
      <c r="AP196" s="1239"/>
      <c r="AQ196" s="484"/>
      <c r="AR196" s="484"/>
      <c r="AS196" s="484"/>
      <c r="AT196" s="484">
        <f>+ab($T$196,$T$194,$T$198,$G$195,$G$197,-1*$F$196,1200)</f>
        <v>-4.7688291488427721</v>
      </c>
      <c r="AU196" s="638"/>
      <c r="AV196" s="638"/>
      <c r="AW196" s="484"/>
      <c r="AX196" s="484"/>
      <c r="AY196" s="484"/>
      <c r="AZ196" s="484"/>
      <c r="BA196" s="671"/>
      <c r="BB196" s="1239"/>
      <c r="BC196" s="169"/>
      <c r="BD196" s="1330"/>
      <c r="BE196" s="1329"/>
      <c r="BF196" s="1330"/>
      <c r="BG196" s="1329"/>
    </row>
    <row r="197" spans="1:59" ht="15.75" customHeight="1">
      <c r="A197" s="1239"/>
      <c r="B197" s="447"/>
      <c r="C197" s="446"/>
      <c r="D197" s="448"/>
      <c r="E197" s="448"/>
      <c r="F197" s="448"/>
      <c r="G197" s="455">
        <v>40</v>
      </c>
      <c r="H197" s="1239"/>
      <c r="I197" s="448"/>
      <c r="J197" s="446"/>
      <c r="K197" s="638"/>
      <c r="L197" s="1239"/>
      <c r="M197" s="1239"/>
      <c r="N197" s="1239"/>
      <c r="O197" s="1239"/>
      <c r="P197" s="1239"/>
      <c r="Q197" s="1239"/>
      <c r="R197" s="1239"/>
      <c r="S197" s="455">
        <f>AG198-AG196</f>
        <v>40</v>
      </c>
      <c r="T197" s="1239"/>
      <c r="U197" s="1239"/>
      <c r="V197" s="1239"/>
      <c r="W197" s="1239"/>
      <c r="X197" s="1239"/>
      <c r="Y197" s="1239"/>
      <c r="Z197" s="1239"/>
      <c r="AA197" s="1239"/>
      <c r="AB197" s="1239"/>
      <c r="AC197" s="1239"/>
      <c r="AD197" s="1239"/>
      <c r="AE197" s="1239"/>
      <c r="AF197" s="1239"/>
      <c r="AG197" s="171"/>
      <c r="AH197" s="1239"/>
      <c r="AI197" s="1239"/>
      <c r="AJ197" s="1239"/>
      <c r="AK197" s="638"/>
      <c r="AL197" s="1239"/>
      <c r="AM197" s="1239"/>
      <c r="AN197" s="455"/>
      <c r="AO197" s="1239"/>
      <c r="AP197" s="1239"/>
      <c r="AQ197" s="484">
        <f>+FL_2($T$198,$T$196,$G$197,1200,9.28,-1*$F$198)</f>
        <v>-0.3</v>
      </c>
      <c r="AR197" s="484"/>
      <c r="AS197" s="484"/>
      <c r="AT197" s="484"/>
      <c r="AU197" s="638"/>
      <c r="AV197" s="638"/>
      <c r="AW197" s="484"/>
      <c r="AX197" s="484"/>
      <c r="AY197" s="484"/>
      <c r="AZ197" s="484"/>
      <c r="BA197" s="671"/>
      <c r="BB197" s="1239"/>
      <c r="BC197" s="169"/>
      <c r="BD197" s="1330"/>
      <c r="BE197" s="1330"/>
      <c r="BF197" s="1330"/>
      <c r="BG197" s="1330"/>
    </row>
    <row r="198" spans="1:59" ht="15.75" customHeight="1">
      <c r="A198" s="1239"/>
      <c r="B198" s="447" t="s">
        <v>3197</v>
      </c>
      <c r="C198" s="446">
        <f>+$C$196+$G$197</f>
        <v>89781.85000000002</v>
      </c>
      <c r="D198" s="448"/>
      <c r="E198" s="448"/>
      <c r="F198" s="448">
        <v>959</v>
      </c>
      <c r="G198" s="455"/>
      <c r="H198" s="1239"/>
      <c r="I198" s="448"/>
      <c r="J198" s="446"/>
      <c r="K198" s="638"/>
      <c r="L198" s="638"/>
      <c r="M198" s="638"/>
      <c r="N198" s="1239" t="s">
        <v>2794</v>
      </c>
      <c r="O198" s="1239"/>
      <c r="P198" s="1239"/>
      <c r="Q198" s="1285">
        <v>120</v>
      </c>
      <c r="R198" s="1285">
        <v>959.4</v>
      </c>
      <c r="S198" s="1352"/>
      <c r="T198" s="1285">
        <v>-30</v>
      </c>
      <c r="U198" s="1285"/>
      <c r="V198" s="1285"/>
      <c r="W198" s="1285">
        <v>1.4</v>
      </c>
      <c r="X198" s="1285"/>
      <c r="Y198" s="1285"/>
      <c r="Z198" s="1285"/>
      <c r="AA198" s="1285"/>
      <c r="AB198" s="1285"/>
      <c r="AC198" s="1285" t="s">
        <v>4090</v>
      </c>
      <c r="AD198" s="1285"/>
      <c r="AE198" s="1285"/>
      <c r="AF198" s="1239">
        <v>200</v>
      </c>
      <c r="AG198" s="1350">
        <v>89781</v>
      </c>
      <c r="AH198" s="1285">
        <v>1583</v>
      </c>
      <c r="AI198" s="1285">
        <v>-4942</v>
      </c>
      <c r="AJ198" s="1285"/>
      <c r="AK198" s="1353" t="s">
        <v>139</v>
      </c>
      <c r="AL198" s="1353"/>
      <c r="AM198" s="1285"/>
      <c r="AN198" s="1352">
        <v>5.5</v>
      </c>
      <c r="AO198" s="1239"/>
      <c r="AP198" s="1239"/>
      <c r="AQ198" s="484"/>
      <c r="AR198" s="484"/>
      <c r="AS198" s="484"/>
      <c r="AT198" s="484">
        <f>+ab($T$198,$T$196,$T$200,$G$197,$G$199,-1*$F$198,1200)</f>
        <v>-4.3730378615143941</v>
      </c>
      <c r="AU198" s="638"/>
      <c r="AV198" s="638"/>
      <c r="AW198" s="484"/>
      <c r="AX198" s="484"/>
      <c r="AY198" s="484"/>
      <c r="AZ198" s="484"/>
      <c r="BA198" s="671"/>
      <c r="BB198" s="1239"/>
      <c r="BC198" s="169"/>
      <c r="BD198" s="1330"/>
      <c r="BE198" s="1329"/>
      <c r="BF198" s="1330"/>
      <c r="BG198" s="1329"/>
    </row>
    <row r="199" spans="1:59" ht="15.75" customHeight="1">
      <c r="A199" s="1239"/>
      <c r="B199" s="447"/>
      <c r="C199" s="446"/>
      <c r="D199" s="448"/>
      <c r="E199" s="448"/>
      <c r="F199" s="448"/>
      <c r="G199" s="455">
        <v>44</v>
      </c>
      <c r="H199" s="1239"/>
      <c r="I199" s="448"/>
      <c r="J199" s="446"/>
      <c r="K199" s="638"/>
      <c r="L199" s="1239"/>
      <c r="M199" s="1239"/>
      <c r="N199" s="1239"/>
      <c r="O199" s="1239"/>
      <c r="P199" s="1239"/>
      <c r="Q199" s="1239"/>
      <c r="R199" s="1239"/>
      <c r="S199" s="455">
        <f>AG200-AG198</f>
        <v>44</v>
      </c>
      <c r="T199" s="1239"/>
      <c r="U199" s="1239"/>
      <c r="V199" s="1239"/>
      <c r="W199" s="1239"/>
      <c r="X199" s="1239"/>
      <c r="Y199" s="1239"/>
      <c r="Z199" s="1239"/>
      <c r="AA199" s="1239"/>
      <c r="AB199" s="1239"/>
      <c r="AC199" s="1239"/>
      <c r="AD199" s="1239"/>
      <c r="AE199" s="1239"/>
      <c r="AF199" s="1239"/>
      <c r="AG199" s="171"/>
      <c r="AH199" s="1239"/>
      <c r="AI199" s="1239"/>
      <c r="AJ199" s="1239"/>
      <c r="AK199" s="638"/>
      <c r="AL199" s="1239"/>
      <c r="AM199" s="1239"/>
      <c r="AN199" s="455"/>
      <c r="AO199" s="1239"/>
      <c r="AP199" s="1239"/>
      <c r="AQ199" s="484">
        <f>+FL_2($T$200,$T$198,$G$199,1200,9.28,-1*$F$200)</f>
        <v>-0.30005928574105978</v>
      </c>
      <c r="AR199" s="484"/>
      <c r="AS199" s="484"/>
      <c r="AT199" s="484"/>
      <c r="AU199" s="638"/>
      <c r="AV199" s="638"/>
      <c r="AW199" s="638"/>
      <c r="AX199" s="638"/>
      <c r="AY199" s="484"/>
      <c r="AZ199" s="484"/>
      <c r="BA199" s="671"/>
      <c r="BB199" s="1239"/>
      <c r="BC199" s="169"/>
      <c r="BD199" s="1330"/>
      <c r="BE199" s="1330"/>
      <c r="BF199" s="1330"/>
      <c r="BG199" s="1330"/>
    </row>
    <row r="200" spans="1:59" ht="15.75" customHeight="1">
      <c r="A200" s="1239"/>
      <c r="B200" s="447" t="s">
        <v>3198</v>
      </c>
      <c r="C200" s="446">
        <f>+$C$198+$G$199</f>
        <v>89825.85000000002</v>
      </c>
      <c r="D200" s="448"/>
      <c r="E200" s="448"/>
      <c r="F200" s="448">
        <v>959</v>
      </c>
      <c r="G200" s="455"/>
      <c r="H200" s="1239"/>
      <c r="I200" s="448"/>
      <c r="J200" s="446"/>
      <c r="K200" s="638"/>
      <c r="L200" s="638"/>
      <c r="M200" s="638"/>
      <c r="N200" s="1239" t="s">
        <v>843</v>
      </c>
      <c r="O200" s="1239"/>
      <c r="P200" s="1239"/>
      <c r="Q200" s="1285">
        <v>110</v>
      </c>
      <c r="R200" s="1285">
        <v>959.4</v>
      </c>
      <c r="S200" s="1352"/>
      <c r="T200" s="1285">
        <v>-30</v>
      </c>
      <c r="U200" s="1285"/>
      <c r="V200" s="1285"/>
      <c r="W200" s="1285">
        <v>1.4</v>
      </c>
      <c r="X200" s="1285"/>
      <c r="Y200" s="1285"/>
      <c r="Z200" s="1285"/>
      <c r="AA200" s="1285"/>
      <c r="AB200" s="1285"/>
      <c r="AC200" s="1285" t="s">
        <v>4117</v>
      </c>
      <c r="AD200" s="1285"/>
      <c r="AE200" s="1285"/>
      <c r="AF200" s="1239">
        <v>400</v>
      </c>
      <c r="AG200" s="1350">
        <v>89825</v>
      </c>
      <c r="AH200" s="1285">
        <v>1843</v>
      </c>
      <c r="AI200" s="1285">
        <v>-5096</v>
      </c>
      <c r="AJ200" s="1285"/>
      <c r="AK200" s="1353" t="s">
        <v>139</v>
      </c>
      <c r="AL200" s="1353"/>
      <c r="AM200" s="1285"/>
      <c r="AN200" s="1352">
        <v>5.5</v>
      </c>
      <c r="AO200" s="1239"/>
      <c r="AP200" s="1239"/>
      <c r="AQ200" s="484"/>
      <c r="AR200" s="484"/>
      <c r="AS200" s="484"/>
      <c r="AT200" s="484">
        <f>+ab($T$200,$T$198,$T$202,$G$199,$G$201,-1*$F$200,1200)</f>
        <v>-4.1749829179129012</v>
      </c>
      <c r="AU200" s="638"/>
      <c r="AV200" s="638"/>
      <c r="AW200" s="484"/>
      <c r="AX200" s="484"/>
      <c r="AY200" s="484"/>
      <c r="AZ200" s="484"/>
      <c r="BA200" s="671"/>
      <c r="BB200" s="1239"/>
      <c r="BC200" s="169"/>
      <c r="BD200" s="1330"/>
      <c r="BE200" s="1329"/>
      <c r="BF200" s="1330"/>
      <c r="BG200" s="1329"/>
    </row>
    <row r="201" spans="1:59" ht="15.75" customHeight="1">
      <c r="A201" s="1239"/>
      <c r="B201" s="447"/>
      <c r="C201" s="446"/>
      <c r="D201" s="448"/>
      <c r="E201" s="448"/>
      <c r="F201" s="448"/>
      <c r="G201" s="455">
        <v>44</v>
      </c>
      <c r="H201" s="1239"/>
      <c r="I201" s="448"/>
      <c r="J201" s="446"/>
      <c r="K201" s="638"/>
      <c r="L201" s="1239"/>
      <c r="M201" s="1239"/>
      <c r="N201" s="1239"/>
      <c r="O201" s="1239"/>
      <c r="P201" s="1239"/>
      <c r="Q201" s="1239"/>
      <c r="R201" s="1239"/>
      <c r="S201" s="455">
        <f>AG202-AG200</f>
        <v>44</v>
      </c>
      <c r="T201" s="1239"/>
      <c r="U201" s="1239"/>
      <c r="V201" s="1239"/>
      <c r="W201" s="1239"/>
      <c r="X201" s="1239"/>
      <c r="Y201" s="1239"/>
      <c r="Z201" s="1239"/>
      <c r="AA201" s="1239"/>
      <c r="AB201" s="1239"/>
      <c r="AC201" s="1239"/>
      <c r="AD201" s="1239"/>
      <c r="AE201" s="1239"/>
      <c r="AF201" s="1239"/>
      <c r="AG201" s="171"/>
      <c r="AH201" s="1239"/>
      <c r="AI201" s="1239"/>
      <c r="AJ201" s="1239"/>
      <c r="AK201" s="638"/>
      <c r="AL201" s="1239"/>
      <c r="AM201" s="1239"/>
      <c r="AN201" s="455"/>
      <c r="AO201" s="1239"/>
      <c r="AP201" s="1239"/>
      <c r="AQ201" s="484">
        <f>+FL_2($T$202,$T$200,$G$201,1200,9.28,-1*$F$202)</f>
        <v>-0.30005928574105978</v>
      </c>
      <c r="AR201" s="484"/>
      <c r="AS201" s="484"/>
      <c r="AT201" s="484"/>
      <c r="AU201" s="638"/>
      <c r="AV201" s="638"/>
      <c r="AW201" s="484"/>
      <c r="AX201" s="484"/>
      <c r="AY201" s="484"/>
      <c r="AZ201" s="484"/>
      <c r="BA201" s="671"/>
      <c r="BB201" s="1239"/>
      <c r="BC201" s="169"/>
      <c r="BD201" s="1330"/>
      <c r="BE201" s="1330"/>
      <c r="BF201" s="1330"/>
      <c r="BG201" s="1330"/>
    </row>
    <row r="202" spans="1:59" ht="15.75" customHeight="1">
      <c r="A202" s="1239"/>
      <c r="B202" s="447" t="s">
        <v>3199</v>
      </c>
      <c r="C202" s="446">
        <f>+$C$200+$G$201</f>
        <v>89869.85000000002</v>
      </c>
      <c r="D202" s="448"/>
      <c r="E202" s="448"/>
      <c r="F202" s="448">
        <v>959</v>
      </c>
      <c r="G202" s="455"/>
      <c r="H202" s="1239"/>
      <c r="I202" s="448"/>
      <c r="J202" s="446"/>
      <c r="K202" s="638"/>
      <c r="L202" s="638"/>
      <c r="M202" s="638"/>
      <c r="N202" s="1239" t="s">
        <v>843</v>
      </c>
      <c r="O202" s="1239"/>
      <c r="P202" s="1239"/>
      <c r="Q202" s="1285">
        <v>120</v>
      </c>
      <c r="R202" s="1285">
        <v>959.4</v>
      </c>
      <c r="S202" s="1352"/>
      <c r="T202" s="1285">
        <v>-30</v>
      </c>
      <c r="U202" s="1285"/>
      <c r="V202" s="1285"/>
      <c r="W202" s="1285">
        <v>1.4</v>
      </c>
      <c r="X202" s="1285"/>
      <c r="Y202" s="1285"/>
      <c r="Z202" s="1285"/>
      <c r="AA202" s="1285"/>
      <c r="AB202" s="1285"/>
      <c r="AC202" s="1285" t="s">
        <v>4117</v>
      </c>
      <c r="AD202" s="1285"/>
      <c r="AE202" s="1285"/>
      <c r="AF202" s="1239">
        <v>400</v>
      </c>
      <c r="AG202" s="1350">
        <v>89869</v>
      </c>
      <c r="AH202" s="1285">
        <v>1793</v>
      </c>
      <c r="AI202" s="1285">
        <v>-5130</v>
      </c>
      <c r="AJ202" s="1285"/>
      <c r="AK202" s="1353" t="s">
        <v>139</v>
      </c>
      <c r="AL202" s="1353"/>
      <c r="AM202" s="1285"/>
      <c r="AN202" s="1352">
        <v>5.5</v>
      </c>
      <c r="AO202" s="1239"/>
      <c r="AP202" s="1239"/>
      <c r="AQ202" s="484"/>
      <c r="AR202" s="484"/>
      <c r="AS202" s="484"/>
      <c r="AT202" s="484">
        <f>+ab($T$202,$T$200,$T$204,$G$201,$G$203,-1*$F$202,1200)</f>
        <v>-4.1749829179129012</v>
      </c>
      <c r="AU202" s="638"/>
      <c r="AV202" s="638"/>
      <c r="AW202" s="484"/>
      <c r="AX202" s="484"/>
      <c r="AY202" s="484"/>
      <c r="AZ202" s="484"/>
      <c r="BA202" s="671"/>
      <c r="BB202" s="1239"/>
      <c r="BC202" s="169"/>
      <c r="BD202" s="1330"/>
      <c r="BE202" s="1329"/>
      <c r="BF202" s="1330"/>
      <c r="BG202" s="1329"/>
    </row>
    <row r="203" spans="1:59" ht="15.75" customHeight="1">
      <c r="A203" s="449"/>
      <c r="B203" s="447"/>
      <c r="C203" s="446"/>
      <c r="D203" s="448"/>
      <c r="E203" s="448"/>
      <c r="F203" s="448"/>
      <c r="G203" s="455">
        <v>44</v>
      </c>
      <c r="H203" s="1239"/>
      <c r="I203" s="448"/>
      <c r="J203" s="446"/>
      <c r="K203" s="638"/>
      <c r="L203" s="1239"/>
      <c r="M203" s="1239"/>
      <c r="N203" s="1239"/>
      <c r="O203" s="1239"/>
      <c r="P203" s="1239"/>
      <c r="Q203" s="1239"/>
      <c r="R203" s="1239"/>
      <c r="S203" s="455">
        <f>AG204-AG202</f>
        <v>44</v>
      </c>
      <c r="T203" s="1239"/>
      <c r="U203" s="1239"/>
      <c r="V203" s="1239"/>
      <c r="W203" s="1239"/>
      <c r="X203" s="1239"/>
      <c r="Y203" s="1239"/>
      <c r="Z203" s="1239"/>
      <c r="AA203" s="1239"/>
      <c r="AB203" s="1239"/>
      <c r="AC203" s="1239"/>
      <c r="AD203" s="1239"/>
      <c r="AE203" s="1239"/>
      <c r="AF203" s="1239"/>
      <c r="AG203" s="171"/>
      <c r="AH203" s="1239"/>
      <c r="AI203" s="1239"/>
      <c r="AJ203" s="1239"/>
      <c r="AK203" s="1239"/>
      <c r="AL203" s="1239"/>
      <c r="AM203" s="1239"/>
      <c r="AN203" s="455"/>
      <c r="AO203" s="1239"/>
      <c r="AP203" s="1239"/>
      <c r="AQ203" s="484">
        <f>+FL_2($T$204,$T$202,$G$203,1200,9.28,-1*$F$204)</f>
        <v>-0.30005928574105978</v>
      </c>
      <c r="AR203" s="484"/>
      <c r="AS203" s="484"/>
      <c r="AT203" s="484"/>
      <c r="AU203" s="638"/>
      <c r="AV203" s="638"/>
      <c r="AW203" s="638"/>
      <c r="AX203" s="638"/>
      <c r="AY203" s="484"/>
      <c r="AZ203" s="484"/>
      <c r="BA203" s="671"/>
      <c r="BB203" s="449"/>
      <c r="BC203" s="169"/>
      <c r="BD203" s="1330"/>
      <c r="BE203" s="1330"/>
      <c r="BF203" s="1330"/>
      <c r="BG203" s="1330"/>
    </row>
    <row r="204" spans="1:59" ht="15.75" customHeight="1">
      <c r="A204" s="449"/>
      <c r="B204" s="447" t="s">
        <v>2905</v>
      </c>
      <c r="C204" s="446">
        <v>89913.85</v>
      </c>
      <c r="D204" s="448"/>
      <c r="E204" s="448"/>
      <c r="F204" s="448">
        <v>959</v>
      </c>
      <c r="G204" s="455"/>
      <c r="H204" s="1239"/>
      <c r="I204" s="448"/>
      <c r="J204" s="446"/>
      <c r="K204" s="638"/>
      <c r="L204" s="638"/>
      <c r="M204" s="638"/>
      <c r="N204" s="1239" t="s">
        <v>843</v>
      </c>
      <c r="O204" s="1239"/>
      <c r="P204" s="1239"/>
      <c r="Q204" s="1285">
        <v>110</v>
      </c>
      <c r="R204" s="1285">
        <v>959.4</v>
      </c>
      <c r="S204" s="1352"/>
      <c r="T204" s="1285">
        <v>-30</v>
      </c>
      <c r="U204" s="1285"/>
      <c r="V204" s="1285"/>
      <c r="W204" s="1285">
        <v>1.4</v>
      </c>
      <c r="X204" s="1285"/>
      <c r="Y204" s="1285"/>
      <c r="Z204" s="1285"/>
      <c r="AA204" s="1285"/>
      <c r="AB204" s="1285"/>
      <c r="AC204" s="1285" t="s">
        <v>4117</v>
      </c>
      <c r="AD204" s="1285"/>
      <c r="AE204" s="1285"/>
      <c r="AF204" s="1239">
        <v>200</v>
      </c>
      <c r="AG204" s="1350">
        <v>89913</v>
      </c>
      <c r="AH204" s="1285">
        <v>1893</v>
      </c>
      <c r="AI204" s="1285">
        <v>-5238</v>
      </c>
      <c r="AJ204" s="1285"/>
      <c r="AK204" s="1353" t="s">
        <v>139</v>
      </c>
      <c r="AL204" s="1353"/>
      <c r="AM204" s="1285"/>
      <c r="AN204" s="1352">
        <v>5.5</v>
      </c>
      <c r="AO204" s="1239"/>
      <c r="AP204" s="1239"/>
      <c r="AQ204" s="484"/>
      <c r="AR204" s="484"/>
      <c r="AS204" s="484"/>
      <c r="AT204" s="484">
        <f>+ab($T$204,$T$202,$T$206,$G$203,$G$205,-1*$F$204,1200)</f>
        <v>-4.1749829179129012</v>
      </c>
      <c r="AU204" s="638"/>
      <c r="AV204" s="638"/>
      <c r="AW204" s="638"/>
      <c r="AX204" s="638"/>
      <c r="AY204" s="484"/>
      <c r="AZ204" s="484"/>
      <c r="BA204" s="671"/>
      <c r="BB204" s="449"/>
      <c r="BC204" s="169"/>
      <c r="BD204" s="1330"/>
      <c r="BE204" s="1329"/>
      <c r="BF204" s="1330"/>
      <c r="BG204" s="1329"/>
    </row>
    <row r="205" spans="1:59" ht="15.75" customHeight="1">
      <c r="A205" s="449"/>
      <c r="B205" s="447"/>
      <c r="C205" s="446"/>
      <c r="D205" s="448"/>
      <c r="E205" s="448"/>
      <c r="F205" s="448"/>
      <c r="G205" s="455">
        <v>44</v>
      </c>
      <c r="H205" s="1239"/>
      <c r="I205" s="448"/>
      <c r="J205" s="446"/>
      <c r="K205" s="638"/>
      <c r="L205" s="1239"/>
      <c r="M205" s="1239"/>
      <c r="N205" s="1239"/>
      <c r="O205" s="1239"/>
      <c r="P205" s="1239"/>
      <c r="Q205" s="1239"/>
      <c r="R205" s="1239"/>
      <c r="S205" s="455">
        <f>AG206-AG204</f>
        <v>44</v>
      </c>
      <c r="T205" s="1239"/>
      <c r="U205" s="1239"/>
      <c r="V205" s="1239"/>
      <c r="W205" s="1239"/>
      <c r="X205" s="1239"/>
      <c r="Y205" s="1239"/>
      <c r="Z205" s="1239"/>
      <c r="AA205" s="1239"/>
      <c r="AB205" s="1239"/>
      <c r="AC205" s="1239"/>
      <c r="AD205" s="1239"/>
      <c r="AE205" s="1239"/>
      <c r="AF205" s="1239"/>
      <c r="AG205" s="171"/>
      <c r="AH205" s="1239"/>
      <c r="AI205" s="1239"/>
      <c r="AJ205" s="1239"/>
      <c r="AK205" s="1239"/>
      <c r="AL205" s="1239"/>
      <c r="AM205" s="1239"/>
      <c r="AN205" s="455"/>
      <c r="AO205" s="1239"/>
      <c r="AP205" s="1239"/>
      <c r="AQ205" s="484">
        <f>+FL_2($T$206,$T$204,$G$205,1200,9.28,-1*$F$206)</f>
        <v>-0.30005928574105978</v>
      </c>
      <c r="AR205" s="484"/>
      <c r="AS205" s="484"/>
      <c r="AT205" s="484"/>
      <c r="AU205" s="638"/>
      <c r="AV205" s="638"/>
      <c r="AW205" s="638"/>
      <c r="AX205" s="638"/>
      <c r="AY205" s="484"/>
      <c r="AZ205" s="484"/>
      <c r="BA205" s="671"/>
      <c r="BB205" s="449"/>
      <c r="BC205" s="169"/>
      <c r="BD205" s="1330"/>
      <c r="BE205" s="1330"/>
      <c r="BF205" s="1330"/>
      <c r="BG205" s="1330"/>
    </row>
    <row r="206" spans="1:59" ht="15.75" customHeight="1">
      <c r="A206" s="449"/>
      <c r="B206" s="447" t="s">
        <v>2906</v>
      </c>
      <c r="C206" s="171">
        <f>C204+G205</f>
        <v>89957.85</v>
      </c>
      <c r="D206" s="448"/>
      <c r="E206" s="448"/>
      <c r="F206" s="448">
        <v>959</v>
      </c>
      <c r="G206" s="455"/>
      <c r="H206" s="1239"/>
      <c r="I206" s="448"/>
      <c r="J206" s="446"/>
      <c r="K206" s="638"/>
      <c r="L206" s="638"/>
      <c r="M206" s="638"/>
      <c r="N206" s="1239" t="s">
        <v>843</v>
      </c>
      <c r="O206" s="1239"/>
      <c r="P206" s="1239"/>
      <c r="Q206" s="1239">
        <v>100</v>
      </c>
      <c r="R206" s="1239">
        <v>959.4</v>
      </c>
      <c r="S206" s="455"/>
      <c r="T206" s="638">
        <v>-30</v>
      </c>
      <c r="U206" s="1239"/>
      <c r="V206" s="1239"/>
      <c r="W206" s="638">
        <v>1.4</v>
      </c>
      <c r="X206" s="1239"/>
      <c r="Y206" s="1239"/>
      <c r="Z206" s="1239"/>
      <c r="AA206" s="1239"/>
      <c r="AB206" s="1239"/>
      <c r="AC206" s="1239" t="s">
        <v>4128</v>
      </c>
      <c r="AD206" s="1239"/>
      <c r="AE206" s="1239"/>
      <c r="AF206" s="1239">
        <v>200</v>
      </c>
      <c r="AG206" s="171">
        <v>89957</v>
      </c>
      <c r="AH206" s="1239">
        <v>1963</v>
      </c>
      <c r="AI206" s="1239">
        <v>-5229</v>
      </c>
      <c r="AJ206" s="1239"/>
      <c r="AK206" s="638" t="s">
        <v>139</v>
      </c>
      <c r="AL206" s="638"/>
      <c r="AM206" s="1239"/>
      <c r="AN206" s="455">
        <v>5.5</v>
      </c>
      <c r="AO206" s="1239"/>
      <c r="AP206" s="1239"/>
      <c r="AQ206" s="484"/>
      <c r="AR206" s="484"/>
      <c r="AS206" s="484"/>
      <c r="AT206" s="484">
        <f>+ab($T$206,$T$204,$U$208,$G$205,$G$207,-1*$F$206,1200)</f>
        <v>-4.1282360979558153</v>
      </c>
      <c r="AU206" s="638"/>
      <c r="AV206" s="638"/>
      <c r="AW206" s="638"/>
      <c r="AX206" s="638"/>
      <c r="AY206" s="484"/>
      <c r="AZ206" s="484"/>
      <c r="BA206" s="671"/>
      <c r="BB206" s="449"/>
      <c r="BC206" s="169"/>
      <c r="BD206" s="1330"/>
      <c r="BE206" s="1329"/>
      <c r="BF206" s="1330"/>
      <c r="BG206" s="1329"/>
    </row>
    <row r="207" spans="1:59" ht="15.75" customHeight="1">
      <c r="A207" s="449"/>
      <c r="B207" s="447"/>
      <c r="C207" s="446"/>
      <c r="D207" s="448"/>
      <c r="E207" s="448"/>
      <c r="F207" s="448"/>
      <c r="G207" s="455">
        <v>45</v>
      </c>
      <c r="H207" s="1239"/>
      <c r="I207" s="448"/>
      <c r="J207" s="446"/>
      <c r="K207" s="638"/>
      <c r="L207" s="1239"/>
      <c r="M207" s="1239"/>
      <c r="N207" s="1239"/>
      <c r="O207" s="1239"/>
      <c r="P207" s="1239"/>
      <c r="Q207" s="1239"/>
      <c r="R207" s="1239"/>
      <c r="S207" s="455">
        <f>AG208-AG206</f>
        <v>45</v>
      </c>
      <c r="T207" s="1239"/>
      <c r="U207" s="1239"/>
      <c r="V207" s="1239"/>
      <c r="W207" s="1239"/>
      <c r="X207" s="1239"/>
      <c r="Y207" s="1239"/>
      <c r="Z207" s="1239"/>
      <c r="AA207" s="1239"/>
      <c r="AB207" s="1239"/>
      <c r="AC207" s="1239"/>
      <c r="AD207" s="1239"/>
      <c r="AE207" s="1239"/>
      <c r="AF207" s="1239"/>
      <c r="AG207" s="171"/>
      <c r="AH207" s="1239"/>
      <c r="AI207" s="1239"/>
      <c r="AJ207" s="1239"/>
      <c r="AK207" s="1239"/>
      <c r="AL207" s="1239"/>
      <c r="AM207" s="1239"/>
      <c r="AN207" s="455"/>
      <c r="AO207" s="1239"/>
      <c r="AP207" s="1239"/>
      <c r="AQ207" s="484">
        <f>+FL_2($U$208,$T$206,$G$207,1200,9.28,-1*$F$208)</f>
        <v>-0.30003867397738282</v>
      </c>
      <c r="AR207" s="484"/>
      <c r="AS207" s="484"/>
      <c r="AT207" s="484"/>
      <c r="AU207" s="638"/>
      <c r="AV207" s="638"/>
      <c r="AW207" s="638"/>
      <c r="AX207" s="638"/>
      <c r="AY207" s="484"/>
      <c r="AZ207" s="484"/>
      <c r="BA207" s="671"/>
      <c r="BB207" s="449"/>
      <c r="BC207" s="169"/>
      <c r="BD207" s="1330"/>
      <c r="BE207" s="1330"/>
      <c r="BF207" s="1330"/>
      <c r="BG207" s="1330"/>
    </row>
    <row r="208" spans="1:59" ht="15.75" customHeight="1">
      <c r="A208" s="449"/>
      <c r="B208" s="447" t="s">
        <v>3312</v>
      </c>
      <c r="C208" s="171">
        <f>C206+G207</f>
        <v>90002.85</v>
      </c>
      <c r="D208" s="448"/>
      <c r="E208" s="448"/>
      <c r="F208" s="448">
        <v>1058</v>
      </c>
      <c r="G208" s="455"/>
      <c r="H208" s="1239" t="s">
        <v>619</v>
      </c>
      <c r="I208" s="448"/>
      <c r="J208" s="446"/>
      <c r="K208" s="638"/>
      <c r="L208" s="638"/>
      <c r="M208" s="638"/>
      <c r="N208" s="1239" t="s">
        <v>845</v>
      </c>
      <c r="O208" s="1239" t="s">
        <v>843</v>
      </c>
      <c r="P208" s="1239"/>
      <c r="Q208" s="1239">
        <v>120</v>
      </c>
      <c r="R208" s="1239">
        <v>1123.6199999999999</v>
      </c>
      <c r="S208" s="455"/>
      <c r="T208" s="638">
        <v>-10</v>
      </c>
      <c r="U208" s="1239">
        <v>-30</v>
      </c>
      <c r="V208" s="1239"/>
      <c r="W208" s="638">
        <v>1.4</v>
      </c>
      <c r="X208" s="1239">
        <v>1.8</v>
      </c>
      <c r="Y208" s="1239"/>
      <c r="Z208" s="1239">
        <v>0.45</v>
      </c>
      <c r="AA208" s="1239"/>
      <c r="AB208" s="1239"/>
      <c r="AC208" s="1239" t="s">
        <v>4090</v>
      </c>
      <c r="AD208" s="1239"/>
      <c r="AE208" s="1239"/>
      <c r="AF208" s="1239">
        <v>200</v>
      </c>
      <c r="AG208" s="171">
        <v>90002</v>
      </c>
      <c r="AH208" s="1239">
        <v>1863</v>
      </c>
      <c r="AI208" s="1239">
        <v>-5348</v>
      </c>
      <c r="AJ208" s="1239"/>
      <c r="AK208" s="638" t="s">
        <v>228</v>
      </c>
      <c r="AL208" s="638"/>
      <c r="AM208" s="1239"/>
      <c r="AN208" s="455">
        <v>5.5</v>
      </c>
      <c r="AO208" s="1239"/>
      <c r="AP208" s="1239"/>
      <c r="AQ208" s="484"/>
      <c r="AR208" s="484"/>
      <c r="AS208" s="484"/>
      <c r="AT208" s="484">
        <f>+ab($U$208,$T$206,$U$210,$G$207,$G$209,-1*$F$208,1200)</f>
        <v>-4.2662545930036542</v>
      </c>
      <c r="AU208" s="638"/>
      <c r="AV208" s="638"/>
      <c r="AW208" s="638"/>
      <c r="AX208" s="638"/>
      <c r="AY208" s="484"/>
      <c r="AZ208" s="484"/>
      <c r="BA208" s="671"/>
      <c r="BB208" s="449"/>
      <c r="BC208" s="169"/>
      <c r="BD208" s="1330"/>
      <c r="BE208" s="1329"/>
      <c r="BF208" s="1330"/>
      <c r="BG208" s="1329"/>
    </row>
    <row r="209" spans="1:59" ht="15.75" customHeight="1">
      <c r="A209" s="449"/>
      <c r="B209" s="447"/>
      <c r="C209" s="446"/>
      <c r="D209" s="448"/>
      <c r="E209" s="448"/>
      <c r="F209" s="448"/>
      <c r="G209" s="455">
        <v>50</v>
      </c>
      <c r="H209" s="1239"/>
      <c r="I209" s="448"/>
      <c r="J209" s="446"/>
      <c r="K209" s="638"/>
      <c r="L209" s="1239"/>
      <c r="M209" s="1239"/>
      <c r="N209" s="638"/>
      <c r="O209" s="638"/>
      <c r="P209" s="638"/>
      <c r="Q209" s="638"/>
      <c r="R209" s="638"/>
      <c r="S209" s="455">
        <f>AG210-AG208</f>
        <v>50</v>
      </c>
      <c r="T209" s="638"/>
      <c r="U209" s="638"/>
      <c r="V209" s="638"/>
      <c r="W209" s="638"/>
      <c r="X209" s="638"/>
      <c r="Y209" s="638"/>
      <c r="Z209" s="638"/>
      <c r="AA209" s="638"/>
      <c r="AB209" s="1239"/>
      <c r="AC209" s="1239"/>
      <c r="AD209" s="1239"/>
      <c r="AE209" s="1239"/>
      <c r="AF209" s="1239"/>
      <c r="AG209" s="171"/>
      <c r="AH209" s="1239"/>
      <c r="AI209" s="1239"/>
      <c r="AJ209" s="1239"/>
      <c r="AK209" s="1239"/>
      <c r="AL209" s="1239"/>
      <c r="AM209" s="1239"/>
      <c r="AN209" s="455"/>
      <c r="AO209" s="1239"/>
      <c r="AP209" s="1239"/>
      <c r="AQ209" s="484">
        <f>+FL_2($U$210,$U$208,$G$209,1200,9.28,-1*$F$210)</f>
        <v>-0.35486604070312444</v>
      </c>
      <c r="AR209" s="484"/>
      <c r="AS209" s="484"/>
      <c r="AT209" s="484"/>
      <c r="AU209" s="638"/>
      <c r="AV209" s="638"/>
      <c r="AW209" s="638"/>
      <c r="AX209" s="638"/>
      <c r="AY209" s="484"/>
      <c r="AZ209" s="484"/>
      <c r="BA209" s="671"/>
      <c r="BB209" s="449"/>
      <c r="BC209" s="169"/>
      <c r="BD209" s="1330"/>
      <c r="BE209" s="1330"/>
      <c r="BF209" s="1330"/>
      <c r="BG209" s="1330"/>
    </row>
    <row r="210" spans="1:59" ht="15.75" customHeight="1">
      <c r="A210" s="449"/>
      <c r="B210" s="447" t="s">
        <v>3313</v>
      </c>
      <c r="C210" s="171">
        <f>C208+G209</f>
        <v>90052.85</v>
      </c>
      <c r="D210" s="448"/>
      <c r="E210" s="448"/>
      <c r="F210" s="448">
        <v>1673</v>
      </c>
      <c r="G210" s="455"/>
      <c r="H210" s="1239" t="s">
        <v>619</v>
      </c>
      <c r="I210" s="448"/>
      <c r="J210" s="446"/>
      <c r="K210" s="638"/>
      <c r="L210" s="638"/>
      <c r="M210" s="638"/>
      <c r="N210" s="1239" t="s">
        <v>843</v>
      </c>
      <c r="O210" s="1239" t="s">
        <v>845</v>
      </c>
      <c r="P210" s="1239"/>
      <c r="Q210" s="1239">
        <v>90</v>
      </c>
      <c r="R210" s="1239">
        <v>1672.21</v>
      </c>
      <c r="S210" s="455"/>
      <c r="T210" s="638">
        <v>-10</v>
      </c>
      <c r="U210" s="1239">
        <v>-30</v>
      </c>
      <c r="V210" s="1239"/>
      <c r="W210" s="638">
        <v>1.4</v>
      </c>
      <c r="X210" s="1239">
        <v>1.8</v>
      </c>
      <c r="Y210" s="1239"/>
      <c r="Z210" s="1239"/>
      <c r="AA210" s="1239">
        <v>0.45</v>
      </c>
      <c r="AB210" s="1239"/>
      <c r="AC210" s="1239" t="s">
        <v>4090</v>
      </c>
      <c r="AD210" s="1239"/>
      <c r="AE210" s="1239"/>
      <c r="AF210" s="1239">
        <v>200</v>
      </c>
      <c r="AG210" s="171">
        <v>90052</v>
      </c>
      <c r="AH210" s="1239">
        <v>1813</v>
      </c>
      <c r="AI210" s="1239">
        <v>-5390</v>
      </c>
      <c r="AJ210" s="1239"/>
      <c r="AK210" s="638" t="s">
        <v>228</v>
      </c>
      <c r="AL210" s="638"/>
      <c r="AM210" s="1239"/>
      <c r="AN210" s="455">
        <v>5.5</v>
      </c>
      <c r="AO210" s="1239"/>
      <c r="AP210" s="1239"/>
      <c r="AQ210" s="484"/>
      <c r="AR210" s="484"/>
      <c r="AS210" s="484"/>
      <c r="AT210" s="484">
        <f>+ab($T$210,$T$208,$T$212,$G$209,$G$211,-1*$F$210,1200)</f>
        <v>-7.1005805905160981</v>
      </c>
      <c r="AU210" s="638"/>
      <c r="AV210" s="638"/>
      <c r="AW210" s="638"/>
      <c r="AX210" s="638"/>
      <c r="AY210" s="484"/>
      <c r="AZ210" s="484"/>
      <c r="BA210" s="671"/>
      <c r="BB210" s="449"/>
      <c r="BC210" s="169"/>
      <c r="BD210" s="1330"/>
      <c r="BE210" s="1329"/>
      <c r="BF210" s="1330"/>
      <c r="BG210" s="1329"/>
    </row>
    <row r="211" spans="1:59" ht="15.75" customHeight="1">
      <c r="A211" s="449"/>
      <c r="B211" s="447"/>
      <c r="C211" s="446"/>
      <c r="D211" s="638"/>
      <c r="E211" s="638"/>
      <c r="F211" s="447"/>
      <c r="G211" s="455">
        <v>50</v>
      </c>
      <c r="H211" s="1239"/>
      <c r="I211" s="448"/>
      <c r="J211" s="446"/>
      <c r="K211" s="638"/>
      <c r="L211" s="1239"/>
      <c r="M211" s="1239"/>
      <c r="N211" s="638"/>
      <c r="O211" s="638"/>
      <c r="P211" s="638"/>
      <c r="Q211" s="638"/>
      <c r="R211" s="638"/>
      <c r="S211" s="455">
        <f>AG212-AG210</f>
        <v>50</v>
      </c>
      <c r="T211" s="638"/>
      <c r="U211" s="638"/>
      <c r="V211" s="638"/>
      <c r="W211" s="638"/>
      <c r="X211" s="638"/>
      <c r="Y211" s="638"/>
      <c r="Z211" s="638"/>
      <c r="AA211" s="638"/>
      <c r="AB211" s="638"/>
      <c r="AC211" s="638"/>
      <c r="AD211" s="638"/>
      <c r="AE211" s="638"/>
      <c r="AF211" s="638"/>
      <c r="AG211" s="446"/>
      <c r="AH211" s="638"/>
      <c r="AI211" s="638"/>
      <c r="AJ211" s="638"/>
      <c r="AK211" s="638"/>
      <c r="AL211" s="638"/>
      <c r="AM211" s="1239"/>
      <c r="AN211" s="455"/>
      <c r="AO211" s="1239"/>
      <c r="AP211" s="1239"/>
      <c r="AQ211" s="484">
        <f>+FL_2($T$212,$T$210,$G$211,1200,9.28,-1*$F$212)</f>
        <v>-0.33028603472662321</v>
      </c>
      <c r="AR211" s="484"/>
      <c r="AS211" s="484"/>
      <c r="AT211" s="484"/>
      <c r="AU211" s="638"/>
      <c r="AV211" s="638"/>
      <c r="AW211" s="638"/>
      <c r="AX211" s="638"/>
      <c r="AY211" s="484"/>
      <c r="AZ211" s="484"/>
      <c r="BA211" s="671"/>
      <c r="BB211" s="449"/>
      <c r="BC211" s="169"/>
      <c r="BD211" s="1330"/>
      <c r="BE211" s="1330"/>
      <c r="BF211" s="1330"/>
      <c r="BG211" s="1330"/>
    </row>
    <row r="212" spans="1:59" ht="15.75" customHeight="1">
      <c r="A212" s="449"/>
      <c r="B212" s="447" t="s">
        <v>3314</v>
      </c>
      <c r="C212" s="171">
        <f>C210+G211</f>
        <v>90102.85</v>
      </c>
      <c r="D212" s="448"/>
      <c r="E212" s="448"/>
      <c r="F212" s="448">
        <v>3254</v>
      </c>
      <c r="G212" s="455"/>
      <c r="H212" s="1239"/>
      <c r="I212" s="448"/>
      <c r="J212" s="446"/>
      <c r="K212" s="638"/>
      <c r="L212" s="638"/>
      <c r="M212" s="638"/>
      <c r="N212" s="1239" t="s">
        <v>843</v>
      </c>
      <c r="O212" s="1239"/>
      <c r="P212" s="1239"/>
      <c r="Q212" s="1239">
        <v>50</v>
      </c>
      <c r="R212" s="1239">
        <v>3271.51</v>
      </c>
      <c r="S212" s="455"/>
      <c r="T212" s="638">
        <v>-25</v>
      </c>
      <c r="U212" s="1239"/>
      <c r="V212" s="1239"/>
      <c r="W212" s="638">
        <v>1.4</v>
      </c>
      <c r="X212" s="1239"/>
      <c r="Y212" s="1239"/>
      <c r="Z212" s="1239"/>
      <c r="AA212" s="1239"/>
      <c r="AB212" s="1239"/>
      <c r="AC212" s="1239" t="s">
        <v>1421</v>
      </c>
      <c r="AD212" s="1239"/>
      <c r="AE212" s="1239"/>
      <c r="AF212" s="1239">
        <v>200</v>
      </c>
      <c r="AG212" s="171">
        <v>90102</v>
      </c>
      <c r="AH212" s="1239">
        <v>2023</v>
      </c>
      <c r="AI212" s="1239">
        <v>-5379</v>
      </c>
      <c r="AJ212" s="1239"/>
      <c r="AK212" s="638" t="s">
        <v>139</v>
      </c>
      <c r="AL212" s="638"/>
      <c r="AM212" s="1239"/>
      <c r="AN212" s="455">
        <v>5.5</v>
      </c>
      <c r="AO212" s="1239"/>
      <c r="AP212" s="1239"/>
      <c r="AQ212" s="484"/>
      <c r="AR212" s="484"/>
      <c r="AS212" s="484"/>
      <c r="AT212" s="484">
        <f>+ab($T$212,$T$210,$T$214,$G$211,$G$213,-1*$F$212,1200)</f>
        <v>-10.334860657320856</v>
      </c>
      <c r="AU212" s="638"/>
      <c r="AV212" s="638"/>
      <c r="AW212" s="638"/>
      <c r="AX212" s="638"/>
      <c r="AY212" s="484"/>
      <c r="AZ212" s="484"/>
      <c r="BA212" s="671"/>
      <c r="BB212" s="449"/>
      <c r="BC212" s="169"/>
      <c r="BD212" s="1330"/>
      <c r="BE212" s="1329"/>
      <c r="BF212" s="1330"/>
      <c r="BG212" s="1329"/>
    </row>
    <row r="213" spans="1:59" ht="15.75" customHeight="1">
      <c r="A213" s="449"/>
      <c r="B213" s="447"/>
      <c r="C213" s="446"/>
      <c r="D213" s="638"/>
      <c r="E213" s="638"/>
      <c r="F213" s="447"/>
      <c r="G213" s="455">
        <v>50</v>
      </c>
      <c r="H213" s="1239"/>
      <c r="I213" s="448"/>
      <c r="J213" s="446"/>
      <c r="K213" s="638"/>
      <c r="L213" s="1239"/>
      <c r="M213" s="1239"/>
      <c r="N213" s="638"/>
      <c r="O213" s="638"/>
      <c r="P213" s="638"/>
      <c r="Q213" s="638"/>
      <c r="R213" s="638"/>
      <c r="S213" s="455">
        <f>AG214-AG212</f>
        <v>50</v>
      </c>
      <c r="T213" s="638"/>
      <c r="U213" s="638"/>
      <c r="V213" s="638"/>
      <c r="W213" s="638"/>
      <c r="X213" s="638"/>
      <c r="Y213" s="638"/>
      <c r="Z213" s="638"/>
      <c r="AA213" s="638"/>
      <c r="AB213" s="638"/>
      <c r="AC213" s="638"/>
      <c r="AD213" s="638"/>
      <c r="AE213" s="638"/>
      <c r="AF213" s="638"/>
      <c r="AG213" s="446"/>
      <c r="AH213" s="638"/>
      <c r="AI213" s="638"/>
      <c r="AJ213" s="638"/>
      <c r="AK213" s="638"/>
      <c r="AL213" s="638"/>
      <c r="AM213" s="1239"/>
      <c r="AN213" s="455"/>
      <c r="AO213" s="1239"/>
      <c r="AP213" s="1239"/>
      <c r="AQ213" s="484">
        <f>+FL_2($T$214,$T$212,$G$213,1200,9.28,-1*$F$214)</f>
        <v>-0.48610458466088552</v>
      </c>
      <c r="AR213" s="484"/>
      <c r="AS213" s="484"/>
      <c r="AT213" s="484"/>
      <c r="AU213" s="638"/>
      <c r="AV213" s="638"/>
      <c r="AW213" s="638"/>
      <c r="AX213" s="638"/>
      <c r="AY213" s="484"/>
      <c r="AZ213" s="484"/>
      <c r="BA213" s="671"/>
      <c r="BB213" s="449"/>
      <c r="BC213" s="169"/>
      <c r="BD213" s="1330"/>
      <c r="BE213" s="1330"/>
      <c r="BF213" s="1330"/>
      <c r="BG213" s="1330"/>
    </row>
    <row r="214" spans="1:59" ht="15.75" customHeight="1">
      <c r="A214" s="449"/>
      <c r="B214" s="447" t="s">
        <v>3315</v>
      </c>
      <c r="C214" s="171">
        <f>C212+G213</f>
        <v>90152.85</v>
      </c>
      <c r="D214" s="638"/>
      <c r="E214" s="638"/>
      <c r="F214" s="447">
        <v>56184</v>
      </c>
      <c r="G214" s="455"/>
      <c r="H214" s="1239"/>
      <c r="I214" s="448"/>
      <c r="J214" s="446"/>
      <c r="K214" s="638"/>
      <c r="L214" s="638"/>
      <c r="M214" s="638"/>
      <c r="N214" s="638" t="s">
        <v>843</v>
      </c>
      <c r="O214" s="638"/>
      <c r="P214" s="638"/>
      <c r="Q214" s="638">
        <v>0</v>
      </c>
      <c r="R214" s="638">
        <v>66619</v>
      </c>
      <c r="S214" s="484"/>
      <c r="T214" s="638">
        <v>-25</v>
      </c>
      <c r="U214" s="638"/>
      <c r="V214" s="638"/>
      <c r="W214" s="638">
        <v>1.4</v>
      </c>
      <c r="X214" s="638"/>
      <c r="Y214" s="638"/>
      <c r="Z214" s="638"/>
      <c r="AA214" s="638"/>
      <c r="AB214" s="638"/>
      <c r="AC214" s="1239" t="str">
        <f t="shared" ref="AC214:AC220" si="23">IF(OR(AT214&gt;8,AT214&lt;-8),"PH",IF(OR(AT214&gt;5,AT214&lt;-5),"PH-Q",IF(OR(AT214&gt;1,AT214&lt;-1),"PH-C")))</f>
        <v>PH</v>
      </c>
      <c r="AD214" s="638"/>
      <c r="AE214" s="638"/>
      <c r="AF214" s="638">
        <v>300</v>
      </c>
      <c r="AG214" s="446">
        <v>90152</v>
      </c>
      <c r="AH214" s="638">
        <v>1943</v>
      </c>
      <c r="AI214" s="638">
        <v>-5386</v>
      </c>
      <c r="AJ214" s="638"/>
      <c r="AK214" s="638" t="s">
        <v>139</v>
      </c>
      <c r="AL214" s="638"/>
      <c r="AM214" s="638"/>
      <c r="AN214" s="455">
        <v>5.5</v>
      </c>
      <c r="AO214" s="1239"/>
      <c r="AP214" s="1239"/>
      <c r="AQ214" s="484"/>
      <c r="AR214" s="484"/>
      <c r="AS214" s="484"/>
      <c r="AT214" s="484">
        <f>+ab($T$214,$T$212,$T$216,$G$213,$G$215,-1*$F$214,1200)</f>
        <v>-18.268555808133183</v>
      </c>
      <c r="AU214" s="638"/>
      <c r="AV214" s="638"/>
      <c r="AW214" s="638"/>
      <c r="AX214" s="638"/>
      <c r="AY214" s="484"/>
      <c r="AZ214" s="484"/>
      <c r="BA214" s="671"/>
      <c r="BB214" s="449"/>
      <c r="BC214" s="169"/>
      <c r="BD214" s="1330"/>
      <c r="BE214" s="1329"/>
      <c r="BF214" s="1330"/>
      <c r="BG214" s="1329"/>
    </row>
    <row r="215" spans="1:59" ht="15.75" customHeight="1">
      <c r="A215" s="449"/>
      <c r="B215" s="447"/>
      <c r="C215" s="446"/>
      <c r="D215" s="638"/>
      <c r="E215" s="638"/>
      <c r="F215" s="447"/>
      <c r="G215" s="455">
        <v>60</v>
      </c>
      <c r="H215" s="1239"/>
      <c r="I215" s="448"/>
      <c r="J215" s="446"/>
      <c r="K215" s="638"/>
      <c r="L215" s="1239"/>
      <c r="M215" s="1239"/>
      <c r="N215" s="638"/>
      <c r="O215" s="638"/>
      <c r="P215" s="638"/>
      <c r="Q215" s="638"/>
      <c r="R215" s="638"/>
      <c r="S215" s="484"/>
      <c r="T215" s="638"/>
      <c r="U215" s="638"/>
      <c r="V215" s="638"/>
      <c r="W215" s="638"/>
      <c r="X215" s="638"/>
      <c r="Y215" s="638"/>
      <c r="Z215" s="638"/>
      <c r="AA215" s="638"/>
      <c r="AB215" s="638"/>
      <c r="AC215" s="638"/>
      <c r="AD215" s="638"/>
      <c r="AE215" s="638"/>
      <c r="AF215" s="638"/>
      <c r="AG215" s="446"/>
      <c r="AH215" s="638"/>
      <c r="AI215" s="638"/>
      <c r="AJ215" s="638"/>
      <c r="AK215" s="638"/>
      <c r="AL215" s="638"/>
      <c r="AM215" s="1239"/>
      <c r="AN215" s="455"/>
      <c r="AO215" s="1239"/>
      <c r="AP215" s="1239"/>
      <c r="AQ215" s="484">
        <f>+FL_1($T$216,$T$214,$G$215,1200,9.28,-1*$F$216)</f>
        <v>0.42732829999999994</v>
      </c>
      <c r="AR215" s="484"/>
      <c r="AS215" s="484"/>
      <c r="AT215" s="484"/>
      <c r="AU215" s="638"/>
      <c r="AV215" s="638"/>
      <c r="AW215" s="638"/>
      <c r="AX215" s="638"/>
      <c r="AY215" s="484"/>
      <c r="AZ215" s="484"/>
      <c r="BA215" s="671"/>
      <c r="BB215" s="449"/>
      <c r="BC215" s="169"/>
      <c r="BD215" s="1330"/>
      <c r="BE215" s="1330"/>
      <c r="BF215" s="1330"/>
      <c r="BG215" s="1330"/>
    </row>
    <row r="216" spans="1:59" ht="15.75" customHeight="1">
      <c r="A216" s="449"/>
      <c r="B216" s="447" t="s">
        <v>3316</v>
      </c>
      <c r="C216" s="171">
        <f>C214+G215</f>
        <v>90212.85</v>
      </c>
      <c r="D216" s="638"/>
      <c r="E216" s="638"/>
      <c r="F216" s="447">
        <v>0</v>
      </c>
      <c r="G216" s="455"/>
      <c r="H216" s="1239"/>
      <c r="I216" s="448"/>
      <c r="J216" s="446"/>
      <c r="K216" s="638"/>
      <c r="L216" s="638"/>
      <c r="M216" s="638"/>
      <c r="N216" s="1239" t="s">
        <v>844</v>
      </c>
      <c r="O216" s="638"/>
      <c r="P216" s="638"/>
      <c r="Q216" s="638"/>
      <c r="R216" s="638"/>
      <c r="S216" s="484"/>
      <c r="T216" s="638">
        <v>30</v>
      </c>
      <c r="U216" s="638"/>
      <c r="V216" s="638"/>
      <c r="W216" s="638">
        <v>1.4</v>
      </c>
      <c r="X216" s="638"/>
      <c r="Y216" s="638"/>
      <c r="Z216" s="638"/>
      <c r="AA216" s="638"/>
      <c r="AB216" s="638"/>
      <c r="AC216" s="1239" t="str">
        <f t="shared" si="23"/>
        <v>PH</v>
      </c>
      <c r="AD216" s="638"/>
      <c r="AE216" s="638"/>
      <c r="AF216" s="638"/>
      <c r="AG216" s="446"/>
      <c r="AH216" s="638"/>
      <c r="AI216" s="638"/>
      <c r="AJ216" s="638"/>
      <c r="AK216" s="638" t="s">
        <v>139</v>
      </c>
      <c r="AL216" s="638"/>
      <c r="AM216" s="1239"/>
      <c r="AN216" s="455">
        <v>5.5</v>
      </c>
      <c r="AO216" s="1239"/>
      <c r="AP216" s="1239"/>
      <c r="AQ216" s="484"/>
      <c r="AR216" s="484"/>
      <c r="AS216" s="484"/>
      <c r="AT216" s="484">
        <f>+ab($T$216,$T$214,$T$218,$G$215,$G$217,-1*$F$216,1200)</f>
        <v>9.3351904443249403</v>
      </c>
      <c r="AU216" s="638"/>
      <c r="AV216" s="638"/>
      <c r="AW216" s="638"/>
      <c r="AX216" s="638"/>
      <c r="AY216" s="484"/>
      <c r="AZ216" s="484"/>
      <c r="BA216" s="671"/>
      <c r="BB216" s="449"/>
      <c r="BC216" s="169"/>
      <c r="BD216" s="1330"/>
      <c r="BE216" s="1329"/>
      <c r="BF216" s="1330"/>
      <c r="BG216" s="1329"/>
    </row>
    <row r="217" spans="1:59" ht="15.75" customHeight="1">
      <c r="A217" s="449"/>
      <c r="B217" s="447"/>
      <c r="C217" s="446"/>
      <c r="D217" s="638"/>
      <c r="E217" s="638"/>
      <c r="F217" s="447"/>
      <c r="G217" s="455">
        <v>58</v>
      </c>
      <c r="H217" s="1239"/>
      <c r="I217" s="448"/>
      <c r="J217" s="446"/>
      <c r="K217" s="638"/>
      <c r="L217" s="1239"/>
      <c r="M217" s="1239"/>
      <c r="N217" s="638"/>
      <c r="O217" s="638"/>
      <c r="P217" s="638"/>
      <c r="Q217" s="638"/>
      <c r="R217" s="638"/>
      <c r="S217" s="484"/>
      <c r="T217" s="638"/>
      <c r="U217" s="638"/>
      <c r="V217" s="638"/>
      <c r="W217" s="638"/>
      <c r="X217" s="638"/>
      <c r="Y217" s="638"/>
      <c r="Z217" s="638"/>
      <c r="AA217" s="638"/>
      <c r="AB217" s="638"/>
      <c r="AC217" s="638"/>
      <c r="AD217" s="638"/>
      <c r="AE217" s="638"/>
      <c r="AF217" s="638"/>
      <c r="AG217" s="446"/>
      <c r="AH217" s="638"/>
      <c r="AI217" s="638"/>
      <c r="AJ217" s="638"/>
      <c r="AK217" s="638"/>
      <c r="AL217" s="638"/>
      <c r="AM217" s="1239"/>
      <c r="AN217" s="455"/>
      <c r="AO217" s="1239"/>
      <c r="AP217" s="1239"/>
      <c r="AQ217" s="484">
        <f>+FL_2($T$218,$T$216,$G$217,1200,9.28,-1*$F$218)</f>
        <v>-0.43139002570114943</v>
      </c>
      <c r="AR217" s="484"/>
      <c r="AS217" s="484"/>
      <c r="AT217" s="484"/>
      <c r="AU217" s="638"/>
      <c r="AV217" s="638"/>
      <c r="AW217" s="638"/>
      <c r="AX217" s="638"/>
      <c r="AY217" s="484"/>
      <c r="AZ217" s="484"/>
      <c r="BA217" s="671"/>
      <c r="BB217" s="449"/>
      <c r="BC217" s="169"/>
      <c r="BD217" s="1330"/>
      <c r="BE217" s="1330"/>
      <c r="BF217" s="1330"/>
      <c r="BG217" s="1330"/>
    </row>
    <row r="218" spans="1:59" ht="15.75" customHeight="1">
      <c r="A218" s="449"/>
      <c r="B218" s="447" t="s">
        <v>3317</v>
      </c>
      <c r="C218" s="171">
        <f>C216+G217</f>
        <v>90270.85</v>
      </c>
      <c r="D218" s="638"/>
      <c r="E218" s="638"/>
      <c r="F218" s="447">
        <v>0</v>
      </c>
      <c r="G218" s="484"/>
      <c r="H218" s="1239"/>
      <c r="I218" s="448"/>
      <c r="J218" s="446"/>
      <c r="K218" s="638"/>
      <c r="L218" s="638"/>
      <c r="M218" s="638"/>
      <c r="N218" s="638" t="s">
        <v>843</v>
      </c>
      <c r="O218" s="638"/>
      <c r="P218" s="638"/>
      <c r="Q218" s="638"/>
      <c r="R218" s="638"/>
      <c r="S218" s="484"/>
      <c r="T218" s="638">
        <v>-35</v>
      </c>
      <c r="U218" s="638"/>
      <c r="V218" s="638"/>
      <c r="W218" s="638">
        <v>1.4</v>
      </c>
      <c r="X218" s="638"/>
      <c r="Y218" s="638"/>
      <c r="Z218" s="638"/>
      <c r="AA218" s="638"/>
      <c r="AB218" s="638"/>
      <c r="AC218" s="1239" t="str">
        <f t="shared" si="23"/>
        <v>PH</v>
      </c>
      <c r="AD218" s="638"/>
      <c r="AE218" s="638"/>
      <c r="AF218" s="638"/>
      <c r="AG218" s="446"/>
      <c r="AH218" s="638"/>
      <c r="AI218" s="638"/>
      <c r="AJ218" s="638"/>
      <c r="AK218" s="638" t="s">
        <v>139</v>
      </c>
      <c r="AL218" s="638"/>
      <c r="AM218" s="1239"/>
      <c r="AN218" s="455">
        <v>5.5</v>
      </c>
      <c r="AO218" s="1239"/>
      <c r="AP218" s="1239"/>
      <c r="AQ218" s="484"/>
      <c r="AR218" s="484"/>
      <c r="AS218" s="484"/>
      <c r="AT218" s="484">
        <f>+ab($T$218,$T$216,$T$220,$G$217,$G$219,-1*$F$218,1200)</f>
        <v>-8.6403956707899994</v>
      </c>
      <c r="AU218" s="638"/>
      <c r="AV218" s="638"/>
      <c r="AW218" s="638"/>
      <c r="AX218" s="638"/>
      <c r="AY218" s="484"/>
      <c r="AZ218" s="484"/>
      <c r="BA218" s="671"/>
      <c r="BB218" s="449"/>
      <c r="BC218" s="169"/>
      <c r="BD218" s="1330"/>
      <c r="BE218" s="1329"/>
      <c r="BF218" s="1330"/>
      <c r="BG218" s="1329"/>
    </row>
    <row r="219" spans="1:59" ht="15.75" customHeight="1">
      <c r="A219" s="449"/>
      <c r="B219" s="445"/>
      <c r="C219" s="446"/>
      <c r="D219" s="638"/>
      <c r="E219" s="638"/>
      <c r="F219" s="447"/>
      <c r="G219" s="484">
        <v>60</v>
      </c>
      <c r="H219" s="1239"/>
      <c r="I219" s="448"/>
      <c r="J219" s="446"/>
      <c r="K219" s="638"/>
      <c r="L219" s="1239"/>
      <c r="M219" s="1239"/>
      <c r="N219" s="638"/>
      <c r="O219" s="638"/>
      <c r="P219" s="638"/>
      <c r="Q219" s="638"/>
      <c r="R219" s="638"/>
      <c r="S219" s="484"/>
      <c r="T219" s="638"/>
      <c r="U219" s="638"/>
      <c r="V219" s="638"/>
      <c r="W219" s="638"/>
      <c r="X219" s="638"/>
      <c r="Y219" s="638"/>
      <c r="Z219" s="638"/>
      <c r="AA219" s="638"/>
      <c r="AB219" s="638"/>
      <c r="AC219" s="638"/>
      <c r="AD219" s="638"/>
      <c r="AE219" s="638"/>
      <c r="AF219" s="638"/>
      <c r="AG219" s="446"/>
      <c r="AH219" s="638"/>
      <c r="AI219" s="638"/>
      <c r="AJ219" s="638"/>
      <c r="AK219" s="638"/>
      <c r="AL219" s="638"/>
      <c r="AM219" s="1239"/>
      <c r="AN219" s="455"/>
      <c r="AO219" s="1239"/>
      <c r="AP219" s="1239"/>
      <c r="AQ219" s="484">
        <f>+FL_2($T$220,$T$218,$G$219,1200,9.28,-1*$F$220)</f>
        <v>-0.44888002800000004</v>
      </c>
      <c r="AR219" s="484"/>
      <c r="AS219" s="484"/>
      <c r="AT219" s="484"/>
      <c r="AU219" s="638"/>
      <c r="AV219" s="638"/>
      <c r="AW219" s="638"/>
      <c r="AX219" s="638"/>
      <c r="AY219" s="484"/>
      <c r="AZ219" s="484"/>
      <c r="BA219" s="671"/>
      <c r="BB219" s="449"/>
      <c r="BC219" s="169"/>
      <c r="BD219" s="1330"/>
      <c r="BE219" s="1330"/>
      <c r="BF219" s="1330"/>
      <c r="BG219" s="1330"/>
    </row>
    <row r="220" spans="1:59" ht="15.75" customHeight="1">
      <c r="A220" s="449"/>
      <c r="B220" s="1239" t="s">
        <v>2576</v>
      </c>
      <c r="C220" s="171">
        <f>C218+G219</f>
        <v>90330.85</v>
      </c>
      <c r="D220" s="638"/>
      <c r="E220" s="638"/>
      <c r="F220" s="447">
        <v>0</v>
      </c>
      <c r="G220" s="484"/>
      <c r="H220" s="1239"/>
      <c r="I220" s="448"/>
      <c r="J220" s="446"/>
      <c r="K220" s="638"/>
      <c r="L220" s="638"/>
      <c r="M220" s="638"/>
      <c r="N220" s="1239" t="s">
        <v>844</v>
      </c>
      <c r="O220" s="1239"/>
      <c r="P220" s="638"/>
      <c r="Q220" s="638"/>
      <c r="R220" s="638"/>
      <c r="S220" s="484"/>
      <c r="T220" s="638">
        <v>30</v>
      </c>
      <c r="U220" s="638"/>
      <c r="V220" s="638"/>
      <c r="W220" s="638">
        <v>1.4</v>
      </c>
      <c r="X220" s="638"/>
      <c r="Y220" s="638"/>
      <c r="Z220" s="638"/>
      <c r="AA220" s="638"/>
      <c r="AB220" s="638"/>
      <c r="AC220" s="1239" t="str">
        <f t="shared" si="23"/>
        <v>PH</v>
      </c>
      <c r="AD220" s="638"/>
      <c r="AE220" s="638"/>
      <c r="AF220" s="638"/>
      <c r="AG220" s="446"/>
      <c r="AH220" s="638"/>
      <c r="AI220" s="638"/>
      <c r="AJ220" s="638"/>
      <c r="AK220" s="638" t="s">
        <v>139</v>
      </c>
      <c r="AL220" s="638"/>
      <c r="AM220" s="1239"/>
      <c r="AN220" s="455">
        <v>5.5</v>
      </c>
      <c r="AO220" s="1239"/>
      <c r="AP220" s="1239"/>
      <c r="AQ220" s="484"/>
      <c r="AR220" s="484"/>
      <c r="AS220" s="484"/>
      <c r="AT220" s="484">
        <f>+ab($T$220,$T$218,$T$222,$G$219,$G$221,-1*$F$220,1200)</f>
        <v>9.1326836129065345</v>
      </c>
      <c r="AU220" s="638"/>
      <c r="AV220" s="638"/>
      <c r="AW220" s="638"/>
      <c r="AX220" s="638"/>
      <c r="AY220" s="484"/>
      <c r="AZ220" s="484"/>
      <c r="BA220" s="671"/>
      <c r="BB220" s="449"/>
      <c r="BC220" s="169"/>
      <c r="BD220" s="1330"/>
      <c r="BE220" s="1329"/>
      <c r="BF220" s="1330"/>
      <c r="BG220" s="1329"/>
    </row>
    <row r="221" spans="1:59" ht="15.75" customHeight="1">
      <c r="A221" s="449"/>
      <c r="B221" s="445"/>
      <c r="C221" s="446"/>
      <c r="D221" s="638"/>
      <c r="E221" s="638"/>
      <c r="F221" s="447"/>
      <c r="G221" s="455">
        <v>55</v>
      </c>
      <c r="H221" s="1239"/>
      <c r="I221" s="448"/>
      <c r="J221" s="446"/>
      <c r="K221" s="638"/>
      <c r="L221" s="1239"/>
      <c r="M221" s="1239"/>
      <c r="N221" s="1239"/>
      <c r="O221" s="1239"/>
      <c r="P221" s="638"/>
      <c r="Q221" s="638"/>
      <c r="R221" s="638"/>
      <c r="S221" s="484"/>
      <c r="T221" s="638"/>
      <c r="U221" s="638"/>
      <c r="V221" s="638"/>
      <c r="W221" s="638"/>
      <c r="X221" s="638"/>
      <c r="Y221" s="638"/>
      <c r="Z221" s="638"/>
      <c r="AA221" s="638"/>
      <c r="AB221" s="638"/>
      <c r="AC221" s="638"/>
      <c r="AD221" s="638"/>
      <c r="AE221" s="638"/>
      <c r="AF221" s="638"/>
      <c r="AG221" s="446"/>
      <c r="AH221" s="638"/>
      <c r="AI221" s="638"/>
      <c r="AJ221" s="638"/>
      <c r="AK221" s="638"/>
      <c r="AL221" s="638"/>
      <c r="AM221" s="1239"/>
      <c r="AN221" s="455"/>
      <c r="AO221" s="1239"/>
      <c r="AP221" s="1239"/>
      <c r="AQ221" s="484">
        <f>+FL_2($T$222,$T$220,$G$221,1200,9.28,-1*$F$222)</f>
        <v>-0.33207183866666667</v>
      </c>
      <c r="AR221" s="484"/>
      <c r="AS221" s="484"/>
      <c r="AT221" s="484"/>
      <c r="AU221" s="638"/>
      <c r="AV221" s="638"/>
      <c r="AW221" s="638"/>
      <c r="AX221" s="638"/>
      <c r="AY221" s="484"/>
      <c r="AZ221" s="484"/>
      <c r="BA221" s="671"/>
      <c r="BB221" s="449"/>
      <c r="BC221" s="169"/>
      <c r="BD221" s="1330"/>
      <c r="BE221" s="1330"/>
      <c r="BF221" s="1330"/>
      <c r="BG221" s="1330"/>
    </row>
    <row r="222" spans="1:59" ht="15.75" customHeight="1">
      <c r="A222" s="449"/>
      <c r="B222" s="1239" t="s">
        <v>2642</v>
      </c>
      <c r="C222" s="446">
        <f>+$C$220+$G$221</f>
        <v>90385.85</v>
      </c>
      <c r="D222" s="638"/>
      <c r="E222" s="638"/>
      <c r="F222" s="447">
        <v>0</v>
      </c>
      <c r="G222" s="455"/>
      <c r="H222" s="1239"/>
      <c r="I222" s="448"/>
      <c r="J222" s="446"/>
      <c r="K222" s="638"/>
      <c r="L222" s="638"/>
      <c r="M222" s="638"/>
      <c r="N222" s="1239" t="s">
        <v>843</v>
      </c>
      <c r="O222" s="1239"/>
      <c r="P222" s="638"/>
      <c r="Q222" s="638"/>
      <c r="R222" s="638"/>
      <c r="S222" s="484"/>
      <c r="T222" s="638">
        <v>-25</v>
      </c>
      <c r="U222" s="638"/>
      <c r="V222" s="638"/>
      <c r="W222" s="638">
        <v>1.4</v>
      </c>
      <c r="X222" s="638"/>
      <c r="Y222" s="638"/>
      <c r="Z222" s="638"/>
      <c r="AA222" s="638"/>
      <c r="AB222" s="638"/>
      <c r="AC222" s="1239" t="str">
        <f>IF(OR(AT222&gt;8,AT222&lt;-8),"PH",IF(OR(AT222&gt;5,AT222&lt;-5),"PH-Q",IF(OR(AT222&gt;1,AT222&lt;-1),"PH-C")))</f>
        <v>PH-Q</v>
      </c>
      <c r="AD222" s="638"/>
      <c r="AE222" s="638"/>
      <c r="AF222" s="638"/>
      <c r="AG222" s="446"/>
      <c r="AH222" s="638"/>
      <c r="AI222" s="638"/>
      <c r="AJ222" s="638"/>
      <c r="AK222" s="638" t="s">
        <v>139</v>
      </c>
      <c r="AL222" s="638"/>
      <c r="AM222" s="1239"/>
      <c r="AN222" s="455">
        <v>5.5</v>
      </c>
      <c r="AO222" s="1239"/>
      <c r="AP222" s="1239"/>
      <c r="AQ222" s="484"/>
      <c r="AR222" s="484"/>
      <c r="AS222" s="484"/>
      <c r="AT222" s="484">
        <f>+ab($T$222,$T$220,$T$224,$G$221,$G$223,-1*$F$222,1200)</f>
        <v>-7.0467403828219108</v>
      </c>
      <c r="AU222" s="638"/>
      <c r="AV222" s="638"/>
      <c r="AW222" s="638"/>
      <c r="AX222" s="638"/>
      <c r="AY222" s="484"/>
      <c r="AZ222" s="484"/>
      <c r="BA222" s="671"/>
      <c r="BB222" s="449"/>
      <c r="BC222" s="169"/>
      <c r="BD222" s="1330"/>
      <c r="BE222" s="1329"/>
      <c r="BF222" s="1330"/>
      <c r="BG222" s="1329"/>
    </row>
    <row r="223" spans="1:59" ht="15.75" customHeight="1">
      <c r="A223" s="446"/>
      <c r="B223" s="445"/>
      <c r="C223" s="446"/>
      <c r="D223" s="638"/>
      <c r="E223" s="638"/>
      <c r="F223" s="447"/>
      <c r="G223" s="455">
        <v>46.8</v>
      </c>
      <c r="H223" s="1239"/>
      <c r="I223" s="448"/>
      <c r="J223" s="446"/>
      <c r="K223" s="638"/>
      <c r="L223" s="1239"/>
      <c r="M223" s="1239"/>
      <c r="N223" s="1239"/>
      <c r="O223" s="1239"/>
      <c r="P223" s="638"/>
      <c r="Q223" s="638"/>
      <c r="R223" s="638"/>
      <c r="S223" s="484"/>
      <c r="T223" s="638"/>
      <c r="U223" s="638"/>
      <c r="V223" s="638"/>
      <c r="W223" s="638"/>
      <c r="X223" s="638"/>
      <c r="Y223" s="638"/>
      <c r="Z223" s="638"/>
      <c r="AA223" s="638"/>
      <c r="AB223" s="638"/>
      <c r="AC223" s="638"/>
      <c r="AD223" s="638"/>
      <c r="AE223" s="638"/>
      <c r="AF223" s="638"/>
      <c r="AG223" s="446"/>
      <c r="AH223" s="638"/>
      <c r="AI223" s="638"/>
      <c r="AJ223" s="638"/>
      <c r="AK223" s="638"/>
      <c r="AL223" s="638"/>
      <c r="AM223" s="1239"/>
      <c r="AN223" s="455"/>
      <c r="AO223" s="1239"/>
      <c r="AP223" s="1239"/>
      <c r="AQ223" s="484">
        <f>+FL_1($U$224,$T$222,$G$223,1200,9.28,-1*$F$224)</f>
        <v>0.20206064798935949</v>
      </c>
      <c r="AR223" s="484"/>
      <c r="AS223" s="484"/>
      <c r="AT223" s="484"/>
      <c r="AU223" s="638"/>
      <c r="AV223" s="638"/>
      <c r="AW223" s="638"/>
      <c r="AX223" s="638"/>
      <c r="AY223" s="484"/>
      <c r="AZ223" s="484"/>
      <c r="BA223" s="671"/>
      <c r="BB223" s="446"/>
      <c r="BC223" s="169"/>
      <c r="BD223" s="1330"/>
      <c r="BE223" s="1330"/>
      <c r="BF223" s="1330"/>
      <c r="BG223" s="1330"/>
    </row>
    <row r="224" spans="1:59" ht="15.75" customHeight="1">
      <c r="A224" s="447" t="s">
        <v>3295</v>
      </c>
      <c r="B224" s="1239" t="s">
        <v>2643</v>
      </c>
      <c r="C224" s="446">
        <f>+$C$222+$G$223</f>
        <v>90432.650000000009</v>
      </c>
      <c r="D224" s="638"/>
      <c r="E224" s="638"/>
      <c r="F224" s="447">
        <v>8004</v>
      </c>
      <c r="G224" s="455"/>
      <c r="H224" s="1239" t="s">
        <v>619</v>
      </c>
      <c r="I224" s="448" t="s">
        <v>1429</v>
      </c>
      <c r="J224" s="446"/>
      <c r="K224" s="638"/>
      <c r="L224" s="638"/>
      <c r="M224" s="638"/>
      <c r="N224" s="1239" t="s">
        <v>845</v>
      </c>
      <c r="O224" s="1239" t="s">
        <v>844</v>
      </c>
      <c r="P224" s="638"/>
      <c r="Q224" s="638"/>
      <c r="R224" s="638"/>
      <c r="S224" s="484"/>
      <c r="T224" s="1239">
        <v>55</v>
      </c>
      <c r="U224" s="1239">
        <v>10</v>
      </c>
      <c r="V224" s="638"/>
      <c r="W224" s="638">
        <v>1.4</v>
      </c>
      <c r="X224" s="638">
        <v>1.8</v>
      </c>
      <c r="Y224" s="638"/>
      <c r="Z224" s="638">
        <v>0.45</v>
      </c>
      <c r="AA224" s="638"/>
      <c r="AB224" s="638"/>
      <c r="AC224" s="638"/>
      <c r="AD224" s="638"/>
      <c r="AE224" s="638"/>
      <c r="AF224" s="638"/>
      <c r="AG224" s="446"/>
      <c r="AH224" s="638"/>
      <c r="AI224" s="638"/>
      <c r="AJ224" s="638" t="s">
        <v>2154</v>
      </c>
      <c r="AK224" s="638" t="s">
        <v>228</v>
      </c>
      <c r="AL224" s="638"/>
      <c r="AM224" s="1239"/>
      <c r="AN224" s="455">
        <v>5.5</v>
      </c>
      <c r="AO224" s="1239"/>
      <c r="AP224" s="1239"/>
      <c r="AQ224" s="484"/>
      <c r="AR224" s="484"/>
      <c r="AS224" s="484"/>
      <c r="AT224" s="484">
        <f>+ab($U$224,$T$222,$U$226,$G$223,$G$225,-1*$F$224,1200)</f>
        <v>13.06537254097206</v>
      </c>
      <c r="AU224" s="638"/>
      <c r="AV224" s="638"/>
      <c r="AW224" s="638"/>
      <c r="AX224" s="638"/>
      <c r="AY224" s="484"/>
      <c r="AZ224" s="484"/>
      <c r="BA224" s="671"/>
      <c r="BB224" s="447"/>
      <c r="BC224" s="169"/>
      <c r="BD224" s="1330"/>
      <c r="BE224" s="1329"/>
      <c r="BF224" s="1330"/>
      <c r="BG224" s="1329"/>
    </row>
    <row r="225" spans="1:59" ht="15.75" customHeight="1">
      <c r="A225" s="447"/>
      <c r="B225" s="445"/>
      <c r="C225" s="446"/>
      <c r="D225" s="447"/>
      <c r="E225" s="447"/>
      <c r="F225" s="447"/>
      <c r="G225" s="455">
        <v>50</v>
      </c>
      <c r="H225" s="1239"/>
      <c r="I225" s="448"/>
      <c r="J225" s="446"/>
      <c r="K225" s="638"/>
      <c r="L225" s="1239"/>
      <c r="M225" s="1239"/>
      <c r="N225" s="1239"/>
      <c r="O225" s="1239"/>
      <c r="P225" s="638"/>
      <c r="Q225" s="638"/>
      <c r="R225" s="638"/>
      <c r="S225" s="484"/>
      <c r="T225" s="1239"/>
      <c r="U225" s="1239"/>
      <c r="V225" s="638"/>
      <c r="W225" s="638"/>
      <c r="X225" s="638"/>
      <c r="Y225" s="638"/>
      <c r="Z225" s="638"/>
      <c r="AA225" s="638"/>
      <c r="AB225" s="638"/>
      <c r="AC225" s="638"/>
      <c r="AD225" s="638"/>
      <c r="AE225" s="638"/>
      <c r="AF225" s="638"/>
      <c r="AG225" s="446"/>
      <c r="AH225" s="638"/>
      <c r="AI225" s="638"/>
      <c r="AJ225" s="638"/>
      <c r="AK225" s="638"/>
      <c r="AL225" s="638"/>
      <c r="AM225" s="1239"/>
      <c r="AN225" s="455"/>
      <c r="AO225" s="1239"/>
      <c r="AP225" s="1239"/>
      <c r="AQ225" s="484">
        <f>+FL_1($U$226,$U$224,$G$225,1200,9.28,-1*$F$226)</f>
        <v>0.14977930625293007</v>
      </c>
      <c r="AR225" s="484"/>
      <c r="AS225" s="484"/>
      <c r="AT225" s="484"/>
      <c r="AU225" s="638"/>
      <c r="AV225" s="638"/>
      <c r="AW225" s="638"/>
      <c r="AX225" s="638"/>
      <c r="AY225" s="484"/>
      <c r="AZ225" s="484"/>
      <c r="BA225" s="671"/>
      <c r="BB225" s="447"/>
      <c r="BC225" s="169"/>
      <c r="BD225" s="1330"/>
      <c r="BE225" s="1330"/>
      <c r="BF225" s="1330"/>
      <c r="BG225" s="1330"/>
    </row>
    <row r="226" spans="1:59" ht="15.75" customHeight="1">
      <c r="A226" s="447"/>
      <c r="B226" s="1239" t="s">
        <v>2644</v>
      </c>
      <c r="C226" s="446">
        <f>+$C$224+$G$225</f>
        <v>90482.650000000009</v>
      </c>
      <c r="D226" s="638"/>
      <c r="E226" s="638"/>
      <c r="F226" s="447">
        <v>8004</v>
      </c>
      <c r="G226" s="455"/>
      <c r="H226" s="1239" t="s">
        <v>619</v>
      </c>
      <c r="I226" s="448"/>
      <c r="J226" s="446"/>
      <c r="K226" s="638"/>
      <c r="L226" s="638"/>
      <c r="M226" s="638"/>
      <c r="N226" s="1239" t="s">
        <v>843</v>
      </c>
      <c r="O226" s="1239" t="s">
        <v>845</v>
      </c>
      <c r="P226" s="638"/>
      <c r="Q226" s="638">
        <v>0</v>
      </c>
      <c r="R226" s="638">
        <v>8004.7</v>
      </c>
      <c r="S226" s="484"/>
      <c r="T226" s="1239">
        <v>-10</v>
      </c>
      <c r="U226" s="1239">
        <v>-55</v>
      </c>
      <c r="V226" s="638"/>
      <c r="W226" s="638">
        <v>1.4</v>
      </c>
      <c r="X226" s="638">
        <v>1.8</v>
      </c>
      <c r="Y226" s="638"/>
      <c r="Z226" s="638"/>
      <c r="AA226" s="638">
        <v>0.45</v>
      </c>
      <c r="AB226" s="638"/>
      <c r="AC226" s="638" t="s">
        <v>4090</v>
      </c>
      <c r="AD226" s="638"/>
      <c r="AE226" s="638"/>
      <c r="AF226" s="638">
        <v>200</v>
      </c>
      <c r="AG226" s="446">
        <v>90482</v>
      </c>
      <c r="AH226" s="638">
        <v>1473</v>
      </c>
      <c r="AI226" s="638">
        <v>-5300</v>
      </c>
      <c r="AJ226" s="638"/>
      <c r="AK226" s="638" t="s">
        <v>228</v>
      </c>
      <c r="AL226" s="638"/>
      <c r="AM226" s="1239"/>
      <c r="AN226" s="455">
        <v>5.5</v>
      </c>
      <c r="AO226" s="1239"/>
      <c r="AP226" s="1239"/>
      <c r="AQ226" s="484"/>
      <c r="AR226" s="484"/>
      <c r="AS226" s="484"/>
      <c r="AT226" s="484">
        <f>+ab($T$226,$T$224,$T$228,$G$225,$G$227,-1*$F$226,1200)</f>
        <v>-6.9758235785560085</v>
      </c>
      <c r="AU226" s="638"/>
      <c r="AV226" s="638"/>
      <c r="AW226" s="638"/>
      <c r="AX226" s="638"/>
      <c r="AY226" s="484"/>
      <c r="AZ226" s="484"/>
      <c r="BA226" s="671"/>
      <c r="BB226" s="447"/>
      <c r="BC226" s="169"/>
      <c r="BD226" s="1330"/>
      <c r="BE226" s="1329"/>
      <c r="BF226" s="1330"/>
      <c r="BG226" s="1329"/>
    </row>
    <row r="227" spans="1:59" ht="15.75" customHeight="1">
      <c r="A227" s="447"/>
      <c r="B227" s="445"/>
      <c r="C227" s="446"/>
      <c r="D227" s="447"/>
      <c r="E227" s="447"/>
      <c r="F227" s="447"/>
      <c r="G227" s="455">
        <v>40</v>
      </c>
      <c r="H227" s="1239"/>
      <c r="I227" s="448"/>
      <c r="J227" s="446"/>
      <c r="K227" s="638"/>
      <c r="L227" s="1239"/>
      <c r="M227" s="1239"/>
      <c r="N227" s="1239"/>
      <c r="O227" s="1239"/>
      <c r="P227" s="638"/>
      <c r="Q227" s="638"/>
      <c r="R227" s="638"/>
      <c r="S227" s="484">
        <f>AG228-AG226</f>
        <v>40</v>
      </c>
      <c r="T227" s="1239"/>
      <c r="U227" s="1239"/>
      <c r="V227" s="638"/>
      <c r="W227" s="638"/>
      <c r="X227" s="638"/>
      <c r="Y227" s="638"/>
      <c r="Z227" s="638"/>
      <c r="AA227" s="638"/>
      <c r="AB227" s="638"/>
      <c r="AC227" s="638"/>
      <c r="AD227" s="638"/>
      <c r="AE227" s="638"/>
      <c r="AF227" s="638"/>
      <c r="AG227" s="446"/>
      <c r="AH227" s="638"/>
      <c r="AI227" s="638"/>
      <c r="AJ227" s="638"/>
      <c r="AK227" s="638"/>
      <c r="AL227" s="638"/>
      <c r="AM227" s="1239"/>
      <c r="AN227" s="455"/>
      <c r="AO227" s="1239"/>
      <c r="AP227" s="1239"/>
      <c r="AQ227" s="484">
        <f>+FL_1($T$228,$T$226,$G$227,1200,9.28,-1*$F$228)</f>
        <v>0.2972707950749035</v>
      </c>
      <c r="AR227" s="484"/>
      <c r="AS227" s="484"/>
      <c r="AT227" s="484"/>
      <c r="AU227" s="638"/>
      <c r="AV227" s="638"/>
      <c r="AW227" s="638"/>
      <c r="AX227" s="638"/>
      <c r="AY227" s="484"/>
      <c r="AZ227" s="484"/>
      <c r="BA227" s="671"/>
      <c r="BB227" s="447"/>
      <c r="BC227" s="169"/>
      <c r="BD227" s="1330"/>
      <c r="BE227" s="1330"/>
      <c r="BF227" s="1330"/>
      <c r="BG227" s="1330"/>
    </row>
    <row r="228" spans="1:59" ht="15.75" customHeight="1">
      <c r="A228" s="447"/>
      <c r="B228" s="1239" t="s">
        <v>2645</v>
      </c>
      <c r="C228" s="446">
        <f>+$C$226+$G$227</f>
        <v>90522.650000000009</v>
      </c>
      <c r="D228" s="638"/>
      <c r="E228" s="638"/>
      <c r="F228" s="447">
        <v>8004</v>
      </c>
      <c r="G228" s="455"/>
      <c r="H228" s="1239"/>
      <c r="I228" s="448"/>
      <c r="J228" s="446"/>
      <c r="K228" s="638"/>
      <c r="L228" s="638"/>
      <c r="M228" s="638"/>
      <c r="N228" s="1239" t="s">
        <v>844</v>
      </c>
      <c r="O228" s="1239"/>
      <c r="P228" s="638"/>
      <c r="Q228" s="638">
        <v>30</v>
      </c>
      <c r="R228" s="638">
        <v>8004.7</v>
      </c>
      <c r="S228" s="484"/>
      <c r="T228" s="1239">
        <v>25</v>
      </c>
      <c r="U228" s="1239"/>
      <c r="V228" s="638"/>
      <c r="W228" s="638">
        <v>1.4</v>
      </c>
      <c r="X228" s="638"/>
      <c r="Y228" s="638"/>
      <c r="Z228" s="638"/>
      <c r="AA228" s="638"/>
      <c r="AB228" s="638"/>
      <c r="AC228" s="638" t="s">
        <v>4090</v>
      </c>
      <c r="AD228" s="638"/>
      <c r="AE228" s="638"/>
      <c r="AF228" s="638">
        <v>200</v>
      </c>
      <c r="AG228" s="446">
        <v>90522</v>
      </c>
      <c r="AH228" s="638">
        <v>1773</v>
      </c>
      <c r="AI228" s="638">
        <v>-5556</v>
      </c>
      <c r="AJ228" s="638"/>
      <c r="AK228" s="638" t="s">
        <v>139</v>
      </c>
      <c r="AL228" s="638"/>
      <c r="AM228" s="1239"/>
      <c r="AN228" s="455">
        <f>AN226-0.1</f>
        <v>5.4</v>
      </c>
      <c r="AO228" s="1239"/>
      <c r="AP228" s="1239"/>
      <c r="AQ228" s="484"/>
      <c r="AR228" s="484"/>
      <c r="AS228" s="484"/>
      <c r="AT228" s="484">
        <f>+ab($T$228,$T$226,$T$230,$G$227,$G$229,-1*$F$228,1200)</f>
        <v>13.620326314561611</v>
      </c>
      <c r="AU228" s="638"/>
      <c r="AV228" s="638"/>
      <c r="AW228" s="638"/>
      <c r="AX228" s="638"/>
      <c r="AY228" s="484"/>
      <c r="AZ228" s="484"/>
      <c r="BA228" s="671"/>
      <c r="BB228" s="447"/>
      <c r="BC228" s="169"/>
      <c r="BD228" s="1330"/>
      <c r="BE228" s="1329"/>
      <c r="BF228" s="1330"/>
      <c r="BG228" s="1329"/>
    </row>
    <row r="229" spans="1:59" ht="15.75" customHeight="1">
      <c r="A229" s="449"/>
      <c r="B229" s="445"/>
      <c r="C229" s="446"/>
      <c r="D229" s="447"/>
      <c r="E229" s="447"/>
      <c r="F229" s="447"/>
      <c r="G229" s="455">
        <v>51.1</v>
      </c>
      <c r="H229" s="1239"/>
      <c r="I229" s="448"/>
      <c r="J229" s="446"/>
      <c r="K229" s="638"/>
      <c r="L229" s="1239"/>
      <c r="M229" s="1239"/>
      <c r="N229" s="638"/>
      <c r="O229" s="638"/>
      <c r="P229" s="638"/>
      <c r="Q229" s="638"/>
      <c r="R229" s="638"/>
      <c r="S229" s="484">
        <f>AG230-AG228</f>
        <v>51</v>
      </c>
      <c r="T229" s="638"/>
      <c r="U229" s="638"/>
      <c r="V229" s="638"/>
      <c r="W229" s="638"/>
      <c r="X229" s="638"/>
      <c r="Y229" s="638"/>
      <c r="Z229" s="638"/>
      <c r="AA229" s="638"/>
      <c r="AB229" s="638"/>
      <c r="AC229" s="638"/>
      <c r="AD229" s="638"/>
      <c r="AE229" s="638"/>
      <c r="AF229" s="638"/>
      <c r="AG229" s="446"/>
      <c r="AH229" s="638"/>
      <c r="AI229" s="638"/>
      <c r="AJ229" s="638"/>
      <c r="AK229" s="638"/>
      <c r="AL229" s="638"/>
      <c r="AM229" s="638"/>
      <c r="AN229" s="455"/>
      <c r="AO229" s="1239"/>
      <c r="AP229" s="1239"/>
      <c r="AQ229" s="484">
        <f>+FL_2($T$230,$T$228,$G$229,1200,9.28,-1*$F$230)</f>
        <v>-0.35231783342204825</v>
      </c>
      <c r="AR229" s="484"/>
      <c r="AS229" s="484"/>
      <c r="AT229" s="484"/>
      <c r="AU229" s="638"/>
      <c r="AV229" s="638"/>
      <c r="AW229" s="638"/>
      <c r="AX229" s="638"/>
      <c r="AY229" s="484"/>
      <c r="AZ229" s="484"/>
      <c r="BA229" s="671"/>
      <c r="BB229" s="449"/>
      <c r="BC229" s="169"/>
      <c r="BD229" s="1330"/>
      <c r="BE229" s="1330"/>
      <c r="BF229" s="1330"/>
      <c r="BG229" s="1330"/>
    </row>
    <row r="230" spans="1:59" ht="15.75" customHeight="1">
      <c r="A230" s="449"/>
      <c r="B230" s="1239" t="s">
        <v>2646</v>
      </c>
      <c r="C230" s="446">
        <f>+$C$228+$G$229</f>
        <v>90573.750000000015</v>
      </c>
      <c r="D230" s="638"/>
      <c r="E230" s="638"/>
      <c r="F230" s="447">
        <v>0</v>
      </c>
      <c r="G230" s="455"/>
      <c r="H230" s="1239"/>
      <c r="I230" s="448"/>
      <c r="J230" s="446"/>
      <c r="K230" s="638"/>
      <c r="L230" s="638"/>
      <c r="M230" s="638"/>
      <c r="N230" s="1239" t="s">
        <v>843</v>
      </c>
      <c r="O230" s="1239"/>
      <c r="P230" s="638"/>
      <c r="Q230" s="638">
        <v>0</v>
      </c>
      <c r="R230" s="638">
        <v>0</v>
      </c>
      <c r="S230" s="484"/>
      <c r="T230" s="1239">
        <v>-30</v>
      </c>
      <c r="U230" s="1239"/>
      <c r="V230" s="638"/>
      <c r="W230" s="638">
        <v>1.4</v>
      </c>
      <c r="X230" s="638"/>
      <c r="Y230" s="638"/>
      <c r="Z230" s="638"/>
      <c r="AA230" s="638"/>
      <c r="AB230" s="638"/>
      <c r="AC230" s="638" t="s">
        <v>4117</v>
      </c>
      <c r="AD230" s="638"/>
      <c r="AE230" s="638"/>
      <c r="AF230" s="638">
        <v>100</v>
      </c>
      <c r="AG230" s="446">
        <v>90573</v>
      </c>
      <c r="AH230" s="638">
        <v>1803</v>
      </c>
      <c r="AI230" s="638">
        <v>-5400</v>
      </c>
      <c r="AJ230" s="638"/>
      <c r="AK230" s="638" t="s">
        <v>139</v>
      </c>
      <c r="AL230" s="638"/>
      <c r="AM230" s="1239"/>
      <c r="AN230" s="455">
        <f>AN232+0.1</f>
        <v>5.25</v>
      </c>
      <c r="AO230" s="1239"/>
      <c r="AP230" s="1239"/>
      <c r="AQ230" s="484"/>
      <c r="AR230" s="484"/>
      <c r="AS230" s="484"/>
      <c r="AT230" s="484">
        <f>+ab($T$230,$T$228,$T$232,$G$229,$G$231,-1*$F$230,1200)</f>
        <v>-9.6332495625386585</v>
      </c>
      <c r="AU230" s="638"/>
      <c r="AV230" s="638"/>
      <c r="AW230" s="638"/>
      <c r="AX230" s="638"/>
      <c r="AY230" s="484"/>
      <c r="AZ230" s="484"/>
      <c r="BA230" s="671"/>
      <c r="BB230" s="449"/>
      <c r="BC230" s="169"/>
      <c r="BD230" s="1330"/>
      <c r="BE230" s="1329"/>
      <c r="BF230" s="1330"/>
      <c r="BG230" s="1329"/>
    </row>
    <row r="231" spans="1:59" ht="15.75" customHeight="1">
      <c r="A231" s="449"/>
      <c r="B231" s="445"/>
      <c r="C231" s="446"/>
      <c r="D231" s="638"/>
      <c r="E231" s="638"/>
      <c r="F231" s="447"/>
      <c r="G231" s="455">
        <v>44.6</v>
      </c>
      <c r="H231" s="1239"/>
      <c r="I231" s="448"/>
      <c r="J231" s="446"/>
      <c r="K231" s="638"/>
      <c r="L231" s="1239"/>
      <c r="M231" s="1239"/>
      <c r="N231" s="638"/>
      <c r="O231" s="638"/>
      <c r="P231" s="638"/>
      <c r="Q231" s="638"/>
      <c r="R231" s="638"/>
      <c r="S231" s="484">
        <f>AG232-AG230</f>
        <v>45</v>
      </c>
      <c r="T231" s="638"/>
      <c r="U231" s="638"/>
      <c r="V231" s="638"/>
      <c r="W231" s="638"/>
      <c r="X231" s="638"/>
      <c r="Y231" s="638"/>
      <c r="Z231" s="638"/>
      <c r="AA231" s="638"/>
      <c r="AB231" s="638"/>
      <c r="AC231" s="638"/>
      <c r="AD231" s="638"/>
      <c r="AE231" s="638"/>
      <c r="AF231" s="638"/>
      <c r="AG231" s="446"/>
      <c r="AH231" s="638"/>
      <c r="AI231" s="638"/>
      <c r="AJ231" s="638"/>
      <c r="AK231" s="638"/>
      <c r="AL231" s="638"/>
      <c r="AM231" s="638"/>
      <c r="AN231" s="455"/>
      <c r="AO231" s="1239"/>
      <c r="AP231" s="1239"/>
      <c r="AQ231" s="484">
        <f>+FL_2($T$232,$T$230,$G$231,1200,9.28,-1*$F$232)</f>
        <v>-0.34429147443946179</v>
      </c>
      <c r="AR231" s="484"/>
      <c r="AS231" s="484"/>
      <c r="AT231" s="484"/>
      <c r="AU231" s="638"/>
      <c r="AV231" s="638"/>
      <c r="AW231" s="638"/>
      <c r="AX231" s="638"/>
      <c r="AY231" s="484"/>
      <c r="AZ231" s="484"/>
      <c r="BA231" s="671"/>
      <c r="BB231" s="449"/>
      <c r="BC231" s="169"/>
      <c r="BD231" s="1330"/>
      <c r="BE231" s="1330"/>
      <c r="BF231" s="1330"/>
      <c r="BG231" s="1330"/>
    </row>
    <row r="232" spans="1:59" ht="15.75" customHeight="1">
      <c r="A232" s="447"/>
      <c r="B232" s="1239" t="s">
        <v>2647</v>
      </c>
      <c r="C232" s="446">
        <f>+$C$230+$G$231</f>
        <v>90618.35000000002</v>
      </c>
      <c r="D232" s="638"/>
      <c r="E232" s="638"/>
      <c r="F232" s="447">
        <v>0</v>
      </c>
      <c r="G232" s="455"/>
      <c r="H232" s="1239" t="s">
        <v>5048</v>
      </c>
      <c r="I232" s="448"/>
      <c r="J232" s="446"/>
      <c r="K232" s="638"/>
      <c r="L232" s="638"/>
      <c r="M232" s="638"/>
      <c r="N232" s="1563" t="s">
        <v>844</v>
      </c>
      <c r="O232" s="1563" t="s">
        <v>843</v>
      </c>
      <c r="P232" s="638"/>
      <c r="Q232" s="638">
        <v>0</v>
      </c>
      <c r="R232" s="638">
        <v>0</v>
      </c>
      <c r="S232" s="484"/>
      <c r="T232" s="1239">
        <v>10</v>
      </c>
      <c r="U232" s="1239">
        <v>-20</v>
      </c>
      <c r="V232" s="638"/>
      <c r="W232" s="638">
        <v>1.8</v>
      </c>
      <c r="X232" s="638">
        <v>1.4</v>
      </c>
      <c r="Y232" s="638"/>
      <c r="Z232" s="638"/>
      <c r="AA232" s="638"/>
      <c r="AB232" s="638"/>
      <c r="AC232" s="638" t="str">
        <f>IF(OR(AT232&gt;8,AT232&lt;-8),"PH",IF(OR(AT232&gt;5,AT232&lt;-5),"PH-Q",IF(OR(AT232&gt;1,AT232&lt;-1),"PH-C")))</f>
        <v>PH</v>
      </c>
      <c r="AD232" s="638"/>
      <c r="AE232" s="638"/>
      <c r="AF232" s="638">
        <v>200</v>
      </c>
      <c r="AG232" s="446">
        <v>90618</v>
      </c>
      <c r="AH232" s="638">
        <v>1683</v>
      </c>
      <c r="AI232" s="638">
        <v>-5814</v>
      </c>
      <c r="AJ232" s="638" t="s">
        <v>864</v>
      </c>
      <c r="AK232" s="638" t="s">
        <v>228</v>
      </c>
      <c r="AL232" s="638"/>
      <c r="AM232" s="1239"/>
      <c r="AN232" s="455">
        <v>5.15</v>
      </c>
      <c r="AO232" s="1239"/>
      <c r="AP232" s="1239"/>
      <c r="AQ232" s="484"/>
      <c r="AR232" s="484"/>
      <c r="AS232" s="484"/>
      <c r="AT232" s="484">
        <f>+ab($T$232,$T$230,-$T$234,$G$231,$G$233,-1*$F$232,1200)</f>
        <v>32.69099357781073</v>
      </c>
      <c r="AU232" s="638"/>
      <c r="AV232" s="638"/>
      <c r="AW232" s="638"/>
      <c r="AX232" s="638"/>
      <c r="AY232" s="484"/>
      <c r="AZ232" s="484"/>
      <c r="BA232" s="671"/>
      <c r="BB232" s="447"/>
      <c r="BC232" s="169"/>
      <c r="BD232" s="1330"/>
      <c r="BE232" s="1329"/>
      <c r="BF232" s="1330"/>
      <c r="BG232" s="1329"/>
    </row>
    <row r="233" spans="1:59" ht="15.75" customHeight="1">
      <c r="A233" s="447"/>
      <c r="B233" s="445"/>
      <c r="C233" s="446"/>
      <c r="D233" s="638"/>
      <c r="E233" s="638"/>
      <c r="F233" s="447"/>
      <c r="G233" s="455">
        <v>40</v>
      </c>
      <c r="H233" s="1239"/>
      <c r="I233" s="448"/>
      <c r="J233" s="446"/>
      <c r="K233" s="638"/>
      <c r="L233" s="1239"/>
      <c r="M233" s="1239"/>
      <c r="N233" s="1564"/>
      <c r="O233" s="1564"/>
      <c r="P233" s="638"/>
      <c r="Q233" s="638"/>
      <c r="R233" s="638"/>
      <c r="S233" s="484">
        <f>AG234-AG232</f>
        <v>-304</v>
      </c>
      <c r="T233" s="638"/>
      <c r="U233" s="638"/>
      <c r="V233" s="638"/>
      <c r="W233" s="638"/>
      <c r="X233" s="638"/>
      <c r="Y233" s="638"/>
      <c r="Z233" s="638"/>
      <c r="AA233" s="638"/>
      <c r="AB233" s="638"/>
      <c r="AC233" s="638"/>
      <c r="AD233" s="638"/>
      <c r="AE233" s="638"/>
      <c r="AF233" s="638"/>
      <c r="AG233" s="446"/>
      <c r="AH233" s="638"/>
      <c r="AI233" s="638"/>
      <c r="AJ233" s="638"/>
      <c r="AK233" s="638"/>
      <c r="AL233" s="638"/>
      <c r="AM233" s="638"/>
      <c r="AN233" s="455"/>
      <c r="AO233" s="1239"/>
      <c r="AP233" s="1239"/>
      <c r="AQ233" s="484">
        <f>+FL_1(-$T$234,$T$232,$G$233,1200,9.28,-1*$F$234)</f>
        <v>0.33875880000000003</v>
      </c>
      <c r="AR233" s="484"/>
      <c r="AS233" s="484"/>
      <c r="AT233" s="484"/>
      <c r="AU233" s="638"/>
      <c r="AV233" s="638"/>
      <c r="AW233" s="638"/>
      <c r="AX233" s="638"/>
      <c r="AY233" s="484"/>
      <c r="AZ233" s="484"/>
      <c r="BA233" s="671"/>
      <c r="BB233" s="447"/>
      <c r="BC233" s="169"/>
      <c r="BD233" s="1330"/>
      <c r="BE233" s="1330"/>
      <c r="BF233" s="1330"/>
      <c r="BG233" s="1330"/>
    </row>
    <row r="234" spans="1:59" s="1436" customFormat="1" ht="15.75" customHeight="1">
      <c r="A234" s="1554"/>
      <c r="B234" s="1562" t="s">
        <v>2648</v>
      </c>
      <c r="C234" s="1556">
        <f>+$C$232+$G$233</f>
        <v>90658.35000000002</v>
      </c>
      <c r="D234" s="1557"/>
      <c r="E234" s="1557"/>
      <c r="F234" s="1558">
        <v>0</v>
      </c>
      <c r="G234" s="1559"/>
      <c r="H234" s="1555" t="s">
        <v>619</v>
      </c>
      <c r="I234" s="1560"/>
      <c r="J234" s="1556"/>
      <c r="K234" s="1557"/>
      <c r="L234" s="1557"/>
      <c r="M234" s="1557"/>
      <c r="N234" s="1565" t="s">
        <v>843</v>
      </c>
      <c r="O234" s="1565" t="s">
        <v>845</v>
      </c>
      <c r="P234" s="1557"/>
      <c r="Q234" s="1557">
        <v>0</v>
      </c>
      <c r="R234" s="1557">
        <v>0</v>
      </c>
      <c r="S234" s="1561"/>
      <c r="T234" s="1557">
        <v>-25</v>
      </c>
      <c r="U234" s="1557">
        <v>40</v>
      </c>
      <c r="V234" s="1557"/>
      <c r="W234" s="1557">
        <v>1.8</v>
      </c>
      <c r="X234" s="1557">
        <v>1.4</v>
      </c>
      <c r="Y234" s="1557"/>
      <c r="Z234" s="1557"/>
      <c r="AA234" s="1557">
        <v>0.3</v>
      </c>
      <c r="AB234" s="1557"/>
      <c r="AC234" s="1557" t="s">
        <v>2773</v>
      </c>
      <c r="AD234" s="1557"/>
      <c r="AE234" s="1557"/>
      <c r="AF234" s="1557"/>
      <c r="AG234" s="1556">
        <v>90314</v>
      </c>
      <c r="AH234" s="1557">
        <v>1763</v>
      </c>
      <c r="AI234" s="1557">
        <f>-4760-1200</f>
        <v>-5960</v>
      </c>
      <c r="AJ234" s="1557"/>
      <c r="AK234" s="1557" t="s">
        <v>228</v>
      </c>
      <c r="AL234" s="1557"/>
      <c r="AM234" s="1557"/>
      <c r="AN234" s="1559">
        <v>5.15</v>
      </c>
      <c r="AO234" s="1555"/>
      <c r="AP234" s="1555"/>
      <c r="AQ234" s="1561"/>
      <c r="AR234" s="1561"/>
      <c r="AS234" s="1561"/>
      <c r="AT234" s="1561">
        <f>+ab($T$234,-$T$232,$T$236,$G$233,$G$235,-1*$F$234,1200)</f>
        <v>-15.826933101463343</v>
      </c>
      <c r="AU234" s="1557"/>
      <c r="AV234" s="1557"/>
      <c r="AW234" s="1557"/>
      <c r="AX234" s="1557"/>
      <c r="AY234" s="1561"/>
      <c r="AZ234" s="1561"/>
      <c r="BA234" s="1557"/>
      <c r="BB234" s="1554"/>
      <c r="BC234" s="1434"/>
      <c r="BD234" s="1435"/>
      <c r="BE234" s="1435"/>
      <c r="BF234" s="1435"/>
      <c r="BG234" s="1435"/>
    </row>
    <row r="235" spans="1:59" ht="15.75" customHeight="1">
      <c r="A235" s="414"/>
      <c r="B235" s="415"/>
      <c r="C235" s="416"/>
      <c r="D235" s="421"/>
      <c r="E235" s="421"/>
      <c r="F235" s="421"/>
      <c r="G235" s="444">
        <v>43.4</v>
      </c>
      <c r="H235" s="420"/>
      <c r="I235" s="421"/>
      <c r="J235" s="416"/>
      <c r="K235" s="417"/>
      <c r="L235" s="420"/>
      <c r="M235" s="420"/>
      <c r="N235" s="1551"/>
      <c r="O235" s="1551"/>
      <c r="P235" s="417"/>
      <c r="Q235" s="417"/>
      <c r="R235" s="417"/>
      <c r="S235" s="422">
        <v>45</v>
      </c>
      <c r="T235" s="417"/>
      <c r="U235" s="417"/>
      <c r="V235" s="417"/>
      <c r="W235" s="417"/>
      <c r="X235" s="417"/>
      <c r="Y235" s="417"/>
      <c r="Z235" s="417"/>
      <c r="AA235" s="417"/>
      <c r="AB235" s="417"/>
      <c r="AC235" s="417"/>
      <c r="AD235" s="417"/>
      <c r="AE235" s="417"/>
      <c r="AF235" s="417"/>
      <c r="AG235" s="416"/>
      <c r="AH235" s="417"/>
      <c r="AI235" s="417"/>
      <c r="AJ235" s="417"/>
      <c r="AK235" s="417"/>
      <c r="AL235" s="417"/>
      <c r="AM235" s="417"/>
      <c r="AN235" s="444"/>
      <c r="AO235" s="420"/>
      <c r="AP235" s="420"/>
      <c r="AQ235" s="422">
        <f>+FL_1($T$236,$T$234,$G$235,1200,9.28,-1*$F$236)</f>
        <v>0.14912687522580642</v>
      </c>
      <c r="AR235" s="422"/>
      <c r="AS235" s="422"/>
      <c r="AT235" s="422"/>
      <c r="AU235" s="417"/>
      <c r="AV235" s="417"/>
      <c r="AW235" s="417"/>
      <c r="AX235" s="417"/>
      <c r="AY235" s="422"/>
      <c r="AZ235" s="422"/>
      <c r="BA235" s="604"/>
      <c r="BB235" s="414"/>
      <c r="BC235" s="169"/>
      <c r="BD235" s="1330"/>
      <c r="BE235" s="1330"/>
      <c r="BF235" s="1330"/>
      <c r="BG235" s="1330"/>
    </row>
    <row r="236" spans="1:59" s="1436" customFormat="1" ht="16.5" customHeight="1">
      <c r="A236" s="1566"/>
      <c r="B236" s="1567" t="s">
        <v>2649</v>
      </c>
      <c r="C236" s="1568">
        <f>+$C$234+$G$235</f>
        <v>90701.750000000015</v>
      </c>
      <c r="D236" s="1566"/>
      <c r="E236" s="1566"/>
      <c r="F236" s="1569">
        <v>0</v>
      </c>
      <c r="G236" s="1570"/>
      <c r="H236" s="1566"/>
      <c r="I236" s="1569"/>
      <c r="J236" s="1568"/>
      <c r="K236" s="1566"/>
      <c r="L236" s="1571"/>
      <c r="M236" s="1571"/>
      <c r="N236" s="1572" t="s">
        <v>844</v>
      </c>
      <c r="O236" s="1572"/>
      <c r="P236" s="1566"/>
      <c r="Q236" s="1566">
        <v>0</v>
      </c>
      <c r="R236" s="1566">
        <v>0</v>
      </c>
      <c r="S236" s="1570"/>
      <c r="T236" s="1566">
        <v>10</v>
      </c>
      <c r="U236" s="1566"/>
      <c r="V236" s="1566"/>
      <c r="W236" s="1566">
        <v>1.4</v>
      </c>
      <c r="X236" s="1566"/>
      <c r="Y236" s="1566"/>
      <c r="Z236" s="1566"/>
      <c r="AA236" s="1566"/>
      <c r="AB236" s="1566"/>
      <c r="AC236" s="1571" t="s">
        <v>1428</v>
      </c>
      <c r="AD236" s="1571"/>
      <c r="AE236" s="1566"/>
      <c r="AF236" s="1566"/>
      <c r="AG236" s="1568">
        <v>90315</v>
      </c>
      <c r="AH236" s="1566">
        <v>1193</v>
      </c>
      <c r="AI236" s="1566">
        <f>-5030-1200</f>
        <v>-6230</v>
      </c>
      <c r="AJ236" s="1566" t="s">
        <v>4188</v>
      </c>
      <c r="AK236" s="1566" t="s">
        <v>139</v>
      </c>
      <c r="AL236" s="1571"/>
      <c r="AM236" s="1566"/>
      <c r="AN236" s="1570">
        <v>5.15</v>
      </c>
      <c r="AO236" s="1566"/>
      <c r="AP236" s="1566"/>
      <c r="AQ236" s="1573"/>
      <c r="AR236" s="1573"/>
      <c r="AS236" s="1573"/>
      <c r="AT236" s="1573">
        <f>+ab(T236,-T234,T238,G235,G237,-1*F236,1200)</f>
        <v>-33.146923729194363</v>
      </c>
      <c r="AU236" s="1571"/>
      <c r="AV236" s="1571"/>
      <c r="AW236" s="1571"/>
      <c r="AX236" s="1571"/>
      <c r="AY236" s="1573"/>
      <c r="AZ236" s="1573"/>
      <c r="BA236" s="1571"/>
      <c r="BB236" s="1566"/>
      <c r="BC236" s="1434"/>
      <c r="BD236" s="1435"/>
      <c r="BE236" s="1435"/>
      <c r="BF236" s="1435"/>
      <c r="BG236" s="1435"/>
    </row>
    <row r="237" spans="1:59" ht="15.75" customHeight="1">
      <c r="A237" s="420"/>
      <c r="B237" s="1548"/>
      <c r="C237" s="432"/>
      <c r="D237" s="420"/>
      <c r="E237" s="420"/>
      <c r="F237" s="421"/>
      <c r="G237" s="444">
        <v>59.8</v>
      </c>
      <c r="H237" s="420"/>
      <c r="I237" s="421">
        <f>SUM(G221:G237)</f>
        <v>430.7</v>
      </c>
      <c r="J237" s="432"/>
      <c r="K237" s="420"/>
      <c r="L237" s="420"/>
      <c r="M237" s="420"/>
      <c r="N237" s="420"/>
      <c r="O237" s="420"/>
      <c r="P237" s="420"/>
      <c r="Q237" s="420"/>
      <c r="R237" s="420"/>
      <c r="S237" s="444">
        <v>40</v>
      </c>
      <c r="T237" s="420"/>
      <c r="U237" s="420"/>
      <c r="V237" s="420"/>
      <c r="W237" s="420"/>
      <c r="X237" s="420"/>
      <c r="Y237" s="420"/>
      <c r="Z237" s="420"/>
      <c r="AA237" s="420"/>
      <c r="AB237" s="420"/>
      <c r="AC237" s="420"/>
      <c r="AD237" s="420"/>
      <c r="AE237" s="420"/>
      <c r="AF237" s="420"/>
      <c r="AG237" s="432"/>
      <c r="AH237" s="420"/>
      <c r="AI237" s="420"/>
      <c r="AJ237" s="417"/>
      <c r="AK237" s="420"/>
      <c r="AL237" s="420"/>
      <c r="AM237" s="420"/>
      <c r="AN237" s="444"/>
      <c r="AO237" s="420"/>
      <c r="AP237" s="420"/>
      <c r="AQ237" s="422">
        <f>+FL_1(T238,-T236,G237,1200,9.28,-1*F238)</f>
        <v>0.41195595642809363</v>
      </c>
      <c r="AR237" s="422"/>
      <c r="AS237" s="422"/>
      <c r="AT237" s="422"/>
      <c r="AU237" s="417"/>
      <c r="AV237" s="417"/>
      <c r="AW237" s="417"/>
      <c r="AX237" s="417"/>
      <c r="AY237" s="422"/>
      <c r="AZ237" s="422"/>
      <c r="BA237" s="604"/>
      <c r="BB237" s="420"/>
      <c r="BC237" s="169"/>
      <c r="BD237" s="1330"/>
      <c r="BE237" s="1330"/>
      <c r="BF237" s="1330"/>
      <c r="BG237" s="1330"/>
    </row>
    <row r="238" spans="1:59" ht="15.75" customHeight="1">
      <c r="A238" s="420"/>
      <c r="B238" s="420" t="s">
        <v>5049</v>
      </c>
      <c r="C238" s="432">
        <f>+$C$236+$G$237</f>
        <v>90761.550000000017</v>
      </c>
      <c r="D238" s="420"/>
      <c r="E238" s="420"/>
      <c r="F238" s="421">
        <v>0</v>
      </c>
      <c r="G238" s="444"/>
      <c r="H238" s="420" t="s">
        <v>874</v>
      </c>
      <c r="I238" s="421"/>
      <c r="J238" s="432"/>
      <c r="K238" s="420"/>
      <c r="L238" s="417"/>
      <c r="M238" s="417"/>
      <c r="N238" s="1550" t="s">
        <v>844</v>
      </c>
      <c r="O238" s="420"/>
      <c r="P238" s="420"/>
      <c r="Q238" s="420">
        <v>0</v>
      </c>
      <c r="R238" s="420">
        <v>0</v>
      </c>
      <c r="S238" s="444"/>
      <c r="T238" s="420">
        <v>20</v>
      </c>
      <c r="U238" s="420"/>
      <c r="V238" s="420"/>
      <c r="W238" s="420">
        <v>1.4</v>
      </c>
      <c r="X238" s="420"/>
      <c r="Y238" s="420"/>
      <c r="Z238" s="420"/>
      <c r="AA238" s="420"/>
      <c r="AB238" s="420"/>
      <c r="AC238" s="417" t="s">
        <v>2773</v>
      </c>
      <c r="AD238" s="417"/>
      <c r="AE238" s="420"/>
      <c r="AF238" s="420"/>
      <c r="AG238" s="432">
        <v>903216</v>
      </c>
      <c r="AH238" s="420">
        <v>1943</v>
      </c>
      <c r="AI238" s="420">
        <v>-5020</v>
      </c>
      <c r="AJ238" s="417"/>
      <c r="AK238" s="420" t="s">
        <v>139</v>
      </c>
      <c r="AL238" s="417"/>
      <c r="AM238" s="420"/>
      <c r="AN238" s="444">
        <v>5.15</v>
      </c>
      <c r="AO238" s="420"/>
      <c r="AP238" s="420"/>
      <c r="AQ238" s="422"/>
      <c r="AR238" s="422"/>
      <c r="AS238" s="422"/>
      <c r="AT238" s="422">
        <f>+ab(T238,-T236,T240,G237,G239,-1*F238,1200)</f>
        <v>15.521582216946994</v>
      </c>
      <c r="AU238" s="417"/>
      <c r="AV238" s="417"/>
      <c r="AW238" s="417"/>
      <c r="AX238" s="417"/>
      <c r="AY238" s="422"/>
      <c r="AZ238" s="422"/>
      <c r="BA238" s="604"/>
      <c r="BB238" s="420"/>
      <c r="BC238" s="169"/>
      <c r="BD238" s="1330"/>
      <c r="BE238" s="1329"/>
      <c r="BF238" s="1330"/>
      <c r="BG238" s="1329"/>
    </row>
    <row r="239" spans="1:59" ht="15.75" customHeight="1">
      <c r="A239" s="488" t="s">
        <v>1851</v>
      </c>
      <c r="B239" s="1574"/>
      <c r="C239" s="431"/>
      <c r="D239" s="495"/>
      <c r="E239" s="495"/>
      <c r="F239" s="492"/>
      <c r="G239" s="457">
        <v>56.8</v>
      </c>
      <c r="H239" s="495"/>
      <c r="I239" s="492">
        <f>SUM(G239:G261)</f>
        <v>547.5</v>
      </c>
      <c r="J239" s="431"/>
      <c r="K239" s="495"/>
      <c r="L239" s="495"/>
      <c r="M239" s="495"/>
      <c r="N239" s="495"/>
      <c r="O239" s="495"/>
      <c r="P239" s="495"/>
      <c r="Q239" s="495"/>
      <c r="R239" s="495"/>
      <c r="S239" s="457"/>
      <c r="T239" s="495"/>
      <c r="U239" s="495"/>
      <c r="V239" s="495"/>
      <c r="W239" s="495"/>
      <c r="X239" s="495"/>
      <c r="Y239" s="495"/>
      <c r="Z239" s="495"/>
      <c r="AA239" s="495"/>
      <c r="AB239" s="495"/>
      <c r="AC239" s="495"/>
      <c r="AD239" s="495"/>
      <c r="AE239" s="495"/>
      <c r="AF239" s="495"/>
      <c r="AG239" s="431"/>
      <c r="AH239" s="495"/>
      <c r="AI239" s="495"/>
      <c r="AJ239" s="495"/>
      <c r="AK239" s="495"/>
      <c r="AL239" s="495"/>
      <c r="AM239" s="495"/>
      <c r="AN239" s="457"/>
      <c r="AO239" s="495"/>
      <c r="AP239" s="495"/>
      <c r="AQ239" s="493">
        <f>+FL_1(T240,-T238,G239,1200,9.28,-1*F240)</f>
        <v>0.11186986666666661</v>
      </c>
      <c r="AR239" s="493"/>
      <c r="AS239" s="493"/>
      <c r="AT239" s="493"/>
      <c r="AU239" s="490"/>
      <c r="AV239" s="490"/>
      <c r="AW239" s="490"/>
      <c r="AX239" s="490"/>
      <c r="AY239" s="493"/>
      <c r="AZ239" s="493"/>
      <c r="BA239" s="602"/>
      <c r="BB239" s="488"/>
      <c r="BC239" s="169"/>
      <c r="BD239" s="1330"/>
      <c r="BE239" s="1330"/>
      <c r="BF239" s="1330"/>
      <c r="BG239" s="1330"/>
    </row>
    <row r="240" spans="1:59" ht="15.75" customHeight="1">
      <c r="A240" s="414"/>
      <c r="B240" s="420" t="s">
        <v>2215</v>
      </c>
      <c r="C240" s="432">
        <f>+$C$238+$G$239</f>
        <v>90818.35000000002</v>
      </c>
      <c r="D240" s="420"/>
      <c r="E240" s="420"/>
      <c r="F240" s="421">
        <v>0</v>
      </c>
      <c r="G240" s="444"/>
      <c r="H240" s="420"/>
      <c r="I240" s="421"/>
      <c r="J240" s="432"/>
      <c r="K240" s="420"/>
      <c r="L240" s="420"/>
      <c r="M240" s="420"/>
      <c r="N240" s="1550" t="s">
        <v>843</v>
      </c>
      <c r="O240" s="420"/>
      <c r="P240" s="420"/>
      <c r="Q240" s="420"/>
      <c r="R240" s="420"/>
      <c r="S240" s="444"/>
      <c r="T240" s="420">
        <v>-20</v>
      </c>
      <c r="U240" s="420"/>
      <c r="V240" s="420"/>
      <c r="W240" s="420">
        <v>1.4</v>
      </c>
      <c r="X240" s="420"/>
      <c r="Y240" s="420"/>
      <c r="Z240" s="420"/>
      <c r="AA240" s="420"/>
      <c r="AB240" s="420"/>
      <c r="AC240" s="420" t="str">
        <f t="shared" ref="AC240:AC252" si="24">IF(OR(AT240&gt;8,AT240&lt;-8),"PH",IF(OR(AT240&gt;5,AT240&lt;-5),"PH-Q",IF(OR(AT240&gt;1,AT240&lt;-1),"PH-C")))</f>
        <v>PH</v>
      </c>
      <c r="AD240" s="420"/>
      <c r="AE240" s="420"/>
      <c r="AF240" s="420"/>
      <c r="AG240" s="432"/>
      <c r="AH240" s="420"/>
      <c r="AI240" s="420"/>
      <c r="AJ240" s="420"/>
      <c r="AK240" s="420" t="s">
        <v>139</v>
      </c>
      <c r="AL240" s="420"/>
      <c r="AM240" s="420"/>
      <c r="AN240" s="444">
        <v>5.2</v>
      </c>
      <c r="AO240" s="420"/>
      <c r="AP240" s="420"/>
      <c r="AQ240" s="422"/>
      <c r="AR240" s="422"/>
      <c r="AS240" s="422"/>
      <c r="AT240" s="422">
        <f>+ab(U240,-T238,T242,G239,G241,-1*F240,1200)</f>
        <v>20.221523968478309</v>
      </c>
      <c r="AU240" s="417"/>
      <c r="AV240" s="417"/>
      <c r="AW240" s="417"/>
      <c r="AX240" s="417"/>
      <c r="AY240" s="422"/>
      <c r="AZ240" s="422"/>
      <c r="BA240" s="604"/>
      <c r="BB240" s="414"/>
      <c r="BC240" s="169"/>
      <c r="BD240" s="1330"/>
      <c r="BE240" s="1329"/>
      <c r="BF240" s="1330"/>
      <c r="BG240" s="1329"/>
    </row>
    <row r="241" spans="1:59" ht="15.75" customHeight="1">
      <c r="A241" s="414"/>
      <c r="B241" s="1549"/>
      <c r="C241" s="432"/>
      <c r="D241" s="420"/>
      <c r="E241" s="420"/>
      <c r="F241" s="421"/>
      <c r="G241" s="444">
        <v>35.9</v>
      </c>
      <c r="H241" s="420"/>
      <c r="I241" s="421"/>
      <c r="J241" s="432"/>
      <c r="K241" s="420"/>
      <c r="L241" s="420"/>
      <c r="M241" s="420"/>
      <c r="N241" s="420"/>
      <c r="O241" s="420"/>
      <c r="P241" s="420"/>
      <c r="Q241" s="420"/>
      <c r="R241" s="420"/>
      <c r="S241" s="444"/>
      <c r="T241" s="420"/>
      <c r="U241" s="420"/>
      <c r="V241" s="420"/>
      <c r="W241" s="420"/>
      <c r="X241" s="420"/>
      <c r="Y241" s="420"/>
      <c r="Z241" s="420"/>
      <c r="AA241" s="420"/>
      <c r="AB241" s="420"/>
      <c r="AC241" s="420"/>
      <c r="AD241" s="420"/>
      <c r="AE241" s="420"/>
      <c r="AF241" s="420"/>
      <c r="AG241" s="432"/>
      <c r="AH241" s="420"/>
      <c r="AI241" s="420"/>
      <c r="AJ241" s="420"/>
      <c r="AK241" s="420"/>
      <c r="AL241" s="420"/>
      <c r="AM241" s="420"/>
      <c r="AN241" s="444"/>
      <c r="AO241" s="420"/>
      <c r="AP241" s="420"/>
      <c r="AQ241" s="422">
        <f>+FL_2($T$242,$T$240,$G$241,1200,9.28,-1*$F$242)</f>
        <v>-0.32458496666666664</v>
      </c>
      <c r="AR241" s="422"/>
      <c r="AS241" s="422"/>
      <c r="AT241" s="422"/>
      <c r="AU241" s="417"/>
      <c r="AV241" s="417"/>
      <c r="AW241" s="417"/>
      <c r="AX241" s="417"/>
      <c r="AY241" s="422"/>
      <c r="AZ241" s="422"/>
      <c r="BA241" s="604"/>
      <c r="BB241" s="414"/>
      <c r="BC241" s="169"/>
      <c r="BD241" s="1330"/>
      <c r="BE241" s="1330"/>
      <c r="BF241" s="1330"/>
      <c r="BG241" s="1330"/>
    </row>
    <row r="242" spans="1:59" ht="15.75" customHeight="1">
      <c r="A242" s="459"/>
      <c r="B242" s="420" t="s">
        <v>2216</v>
      </c>
      <c r="C242" s="432">
        <f>+$C$240+$G$241</f>
        <v>90854.250000000015</v>
      </c>
      <c r="D242" s="420"/>
      <c r="E242" s="420"/>
      <c r="F242" s="421">
        <v>0</v>
      </c>
      <c r="G242" s="444"/>
      <c r="H242" s="420"/>
      <c r="I242" s="421"/>
      <c r="J242" s="432"/>
      <c r="K242" s="420"/>
      <c r="L242" s="420"/>
      <c r="M242" s="420"/>
      <c r="N242" s="420" t="s">
        <v>843</v>
      </c>
      <c r="O242" s="420"/>
      <c r="P242" s="420"/>
      <c r="Q242" s="420"/>
      <c r="R242" s="420"/>
      <c r="S242" s="444"/>
      <c r="T242" s="420">
        <v>-20</v>
      </c>
      <c r="U242" s="420"/>
      <c r="V242" s="420"/>
      <c r="W242" s="420">
        <v>1.4</v>
      </c>
      <c r="X242" s="420"/>
      <c r="Y242" s="420"/>
      <c r="Z242" s="420"/>
      <c r="AA242" s="420"/>
      <c r="AB242" s="420"/>
      <c r="AC242" s="420" t="str">
        <f t="shared" si="24"/>
        <v>PH</v>
      </c>
      <c r="AD242" s="420"/>
      <c r="AE242" s="420"/>
      <c r="AF242" s="420"/>
      <c r="AG242" s="432"/>
      <c r="AH242" s="420"/>
      <c r="AI242" s="420"/>
      <c r="AJ242" s="420"/>
      <c r="AK242" s="420" t="s">
        <v>139</v>
      </c>
      <c r="AL242" s="420"/>
      <c r="AM242" s="420"/>
      <c r="AN242" s="444">
        <v>5.31</v>
      </c>
      <c r="AO242" s="420"/>
      <c r="AP242" s="420"/>
      <c r="AQ242" s="422"/>
      <c r="AR242" s="422"/>
      <c r="AS242" s="422"/>
      <c r="AT242" s="422">
        <f>+ab($T$242,$T$240,$T$244,$G$241,$G$243,-1*$F$242,1200)</f>
        <v>-18.559702943375402</v>
      </c>
      <c r="AU242" s="417"/>
      <c r="AV242" s="417"/>
      <c r="AW242" s="417"/>
      <c r="AX242" s="417"/>
      <c r="AY242" s="422"/>
      <c r="AZ242" s="422"/>
      <c r="BA242" s="604"/>
      <c r="BB242" s="459"/>
      <c r="BC242" s="169"/>
      <c r="BD242" s="1330"/>
      <c r="BE242" s="1329"/>
      <c r="BF242" s="1330"/>
      <c r="BG242" s="1329"/>
    </row>
    <row r="243" spans="1:59" ht="15.75" customHeight="1">
      <c r="A243" s="414"/>
      <c r="B243" s="1549"/>
      <c r="C243" s="432"/>
      <c r="D243" s="420"/>
      <c r="E243" s="420"/>
      <c r="F243" s="421"/>
      <c r="G243" s="444">
        <v>40.1</v>
      </c>
      <c r="H243" s="420"/>
      <c r="I243" s="421"/>
      <c r="J243" s="432"/>
      <c r="K243" s="420"/>
      <c r="L243" s="420"/>
      <c r="M243" s="420"/>
      <c r="N243" s="420"/>
      <c r="O243" s="420"/>
      <c r="P243" s="420"/>
      <c r="Q243" s="420"/>
      <c r="R243" s="420"/>
      <c r="S243" s="444"/>
      <c r="T243" s="420"/>
      <c r="U243" s="420"/>
      <c r="V243" s="420"/>
      <c r="W243" s="420"/>
      <c r="X243" s="420"/>
      <c r="Y243" s="420"/>
      <c r="Z243" s="420"/>
      <c r="AA243" s="420"/>
      <c r="AB243" s="420"/>
      <c r="AC243" s="420"/>
      <c r="AD243" s="420"/>
      <c r="AE243" s="420"/>
      <c r="AF243" s="420"/>
      <c r="AG243" s="432"/>
      <c r="AH243" s="420"/>
      <c r="AI243" s="420"/>
      <c r="AJ243" s="420"/>
      <c r="AK243" s="420"/>
      <c r="AL243" s="420"/>
      <c r="AM243" s="420"/>
      <c r="AN243" s="444"/>
      <c r="AO243" s="420"/>
      <c r="AP243" s="420"/>
      <c r="AQ243" s="422">
        <f>+FL_2($T$244,$T$242,$G$243,1200,9.28,-1*$F$244)</f>
        <v>-0.21977407090606824</v>
      </c>
      <c r="AR243" s="422"/>
      <c r="AS243" s="422"/>
      <c r="AT243" s="422"/>
      <c r="AU243" s="417"/>
      <c r="AV243" s="417"/>
      <c r="AW243" s="417"/>
      <c r="AX243" s="417"/>
      <c r="AY243" s="422"/>
      <c r="AZ243" s="422"/>
      <c r="BA243" s="604"/>
      <c r="BB243" s="414"/>
      <c r="BC243" s="169"/>
      <c r="BD243" s="1330"/>
      <c r="BE243" s="1330"/>
      <c r="BF243" s="1330"/>
      <c r="BG243" s="1330"/>
    </row>
    <row r="244" spans="1:59" ht="15.75" customHeight="1">
      <c r="A244" s="414"/>
      <c r="B244" s="420" t="s">
        <v>2217</v>
      </c>
      <c r="C244" s="432">
        <f>+$C$242+$G$243</f>
        <v>90894.35000000002</v>
      </c>
      <c r="D244" s="420"/>
      <c r="E244" s="420"/>
      <c r="F244" s="421">
        <v>0</v>
      </c>
      <c r="G244" s="444"/>
      <c r="H244" s="420"/>
      <c r="I244" s="421"/>
      <c r="J244" s="432"/>
      <c r="K244" s="420"/>
      <c r="L244" s="420"/>
      <c r="M244" s="420"/>
      <c r="N244" s="420" t="s">
        <v>844</v>
      </c>
      <c r="O244" s="420"/>
      <c r="P244" s="420"/>
      <c r="Q244" s="420"/>
      <c r="R244" s="420"/>
      <c r="S244" s="444"/>
      <c r="T244" s="420">
        <v>20</v>
      </c>
      <c r="U244" s="420"/>
      <c r="V244" s="420"/>
      <c r="W244" s="420">
        <v>1.4</v>
      </c>
      <c r="X244" s="420"/>
      <c r="Y244" s="420"/>
      <c r="Z244" s="420"/>
      <c r="AA244" s="420"/>
      <c r="AB244" s="420"/>
      <c r="AC244" s="420" t="str">
        <f t="shared" si="24"/>
        <v>PH</v>
      </c>
      <c r="AD244" s="420"/>
      <c r="AE244" s="420"/>
      <c r="AF244" s="420"/>
      <c r="AG244" s="432"/>
      <c r="AH244" s="420"/>
      <c r="AI244" s="420"/>
      <c r="AJ244" s="420"/>
      <c r="AK244" s="420" t="s">
        <v>139</v>
      </c>
      <c r="AL244" s="420"/>
      <c r="AM244" s="420"/>
      <c r="AN244" s="444">
        <v>5.42</v>
      </c>
      <c r="AO244" s="420"/>
      <c r="AP244" s="420"/>
      <c r="AQ244" s="422"/>
      <c r="AR244" s="422"/>
      <c r="AS244" s="422"/>
      <c r="AT244" s="422">
        <f>+ab($T$244,$T$242,$T$246,$G$243,$G$245,-1*$F$244,1200)</f>
        <v>11.594129261077354</v>
      </c>
      <c r="AU244" s="417"/>
      <c r="AV244" s="417"/>
      <c r="AW244" s="417"/>
      <c r="AX244" s="417"/>
      <c r="AY244" s="422"/>
      <c r="AZ244" s="422"/>
      <c r="BA244" s="604"/>
      <c r="BB244" s="414"/>
      <c r="BC244" s="169" t="s">
        <v>4955</v>
      </c>
      <c r="BD244" s="1330"/>
      <c r="BE244" s="1329"/>
      <c r="BF244" s="1330"/>
      <c r="BG244" s="1329"/>
    </row>
    <row r="245" spans="1:59" ht="15.75" customHeight="1">
      <c r="A245" s="414" t="s">
        <v>2161</v>
      </c>
      <c r="B245" s="420"/>
      <c r="C245" s="432"/>
      <c r="D245" s="420"/>
      <c r="E245" s="420"/>
      <c r="F245" s="421"/>
      <c r="G245" s="444">
        <v>63</v>
      </c>
      <c r="H245" s="420"/>
      <c r="I245" s="421"/>
      <c r="J245" s="432"/>
      <c r="K245" s="420"/>
      <c r="L245" s="420"/>
      <c r="M245" s="420"/>
      <c r="N245" s="420"/>
      <c r="O245" s="420"/>
      <c r="P245" s="420"/>
      <c r="Q245" s="420"/>
      <c r="R245" s="420"/>
      <c r="S245" s="444"/>
      <c r="T245" s="420"/>
      <c r="U245" s="420"/>
      <c r="V245" s="420"/>
      <c r="W245" s="420"/>
      <c r="X245" s="420"/>
      <c r="Y245" s="420"/>
      <c r="Z245" s="420"/>
      <c r="AA245" s="420"/>
      <c r="AB245" s="420"/>
      <c r="AC245" s="420"/>
      <c r="AD245" s="420"/>
      <c r="AE245" s="420"/>
      <c r="AF245" s="420"/>
      <c r="AG245" s="432"/>
      <c r="AH245" s="420"/>
      <c r="AI245" s="420"/>
      <c r="AJ245" s="420"/>
      <c r="AK245" s="420"/>
      <c r="AL245" s="420"/>
      <c r="AM245" s="420"/>
      <c r="AN245" s="444"/>
      <c r="AO245" s="420"/>
      <c r="AP245" s="420"/>
      <c r="AQ245" s="422">
        <f>+FL_1($T$246,$T$244,$G$245,1200,9.28,-1*$F$246)</f>
        <v>0.40973406546031738</v>
      </c>
      <c r="AR245" s="422"/>
      <c r="AS245" s="422"/>
      <c r="AT245" s="422"/>
      <c r="AU245" s="417"/>
      <c r="AV245" s="417"/>
      <c r="AW245" s="417"/>
      <c r="AX245" s="417"/>
      <c r="AY245" s="422"/>
      <c r="AZ245" s="422"/>
      <c r="BA245" s="604"/>
      <c r="BB245" s="414"/>
      <c r="BC245" s="169"/>
      <c r="BD245" s="1330"/>
      <c r="BE245" s="1330"/>
      <c r="BF245" s="1330"/>
      <c r="BG245" s="1330"/>
    </row>
    <row r="246" spans="1:59" ht="15.75" customHeight="1">
      <c r="A246" s="414" t="s">
        <v>1854</v>
      </c>
      <c r="B246" s="420" t="s">
        <v>2218</v>
      </c>
      <c r="C246" s="432">
        <f>+$C$244+$G$245</f>
        <v>90957.35000000002</v>
      </c>
      <c r="D246" s="420"/>
      <c r="E246" s="420"/>
      <c r="F246" s="421">
        <v>0</v>
      </c>
      <c r="G246" s="444"/>
      <c r="H246" s="420"/>
      <c r="I246" s="421"/>
      <c r="J246" s="432"/>
      <c r="K246" s="420"/>
      <c r="L246" s="420" t="s">
        <v>2141</v>
      </c>
      <c r="M246" s="420" t="s">
        <v>2402</v>
      </c>
      <c r="N246" s="420" t="s">
        <v>843</v>
      </c>
      <c r="O246" s="420"/>
      <c r="P246" s="420"/>
      <c r="Q246" s="420"/>
      <c r="R246" s="420"/>
      <c r="S246" s="444"/>
      <c r="T246" s="420">
        <v>-20</v>
      </c>
      <c r="U246" s="420"/>
      <c r="V246" s="420"/>
      <c r="W246" s="420">
        <v>1.4</v>
      </c>
      <c r="X246" s="420"/>
      <c r="Y246" s="420"/>
      <c r="Z246" s="420"/>
      <c r="AA246" s="420"/>
      <c r="AB246" s="420"/>
      <c r="AC246" s="420" t="str">
        <f t="shared" si="24"/>
        <v>PH</v>
      </c>
      <c r="AD246" s="420"/>
      <c r="AE246" s="420"/>
      <c r="AF246" s="420"/>
      <c r="AG246" s="432"/>
      <c r="AH246" s="420"/>
      <c r="AI246" s="420"/>
      <c r="AJ246" s="420"/>
      <c r="AK246" s="420" t="s">
        <v>139</v>
      </c>
      <c r="AL246" s="420" t="s">
        <v>828</v>
      </c>
      <c r="AM246" s="420"/>
      <c r="AN246" s="444">
        <v>5.5</v>
      </c>
      <c r="AO246" s="420"/>
      <c r="AP246" s="420"/>
      <c r="AQ246" s="422"/>
      <c r="AR246" s="422"/>
      <c r="AS246" s="422"/>
      <c r="AT246" s="422">
        <f>+ab($T$246,$T$244,$T$248,$G$245,$G$247,-1*$F$246,1200)</f>
        <v>-12.158818179339251</v>
      </c>
      <c r="AU246" s="417"/>
      <c r="AV246" s="417"/>
      <c r="AW246" s="417"/>
      <c r="AX246" s="417"/>
      <c r="AY246" s="422"/>
      <c r="AZ246" s="422"/>
      <c r="BA246" s="604"/>
      <c r="BB246" s="414"/>
      <c r="BC246" s="169" t="s">
        <v>4955</v>
      </c>
      <c r="BD246" s="1330"/>
      <c r="BE246" s="1329"/>
      <c r="BF246" s="1330"/>
      <c r="BG246" s="1329"/>
    </row>
    <row r="247" spans="1:59" ht="15.75" customHeight="1">
      <c r="A247" s="414"/>
      <c r="B247" s="420"/>
      <c r="C247" s="432"/>
      <c r="D247" s="420"/>
      <c r="E247" s="420"/>
      <c r="F247" s="421"/>
      <c r="G247" s="444">
        <v>43.5</v>
      </c>
      <c r="H247" s="420"/>
      <c r="I247" s="421"/>
      <c r="J247" s="432"/>
      <c r="K247" s="420"/>
      <c r="L247" s="420"/>
      <c r="M247" s="420"/>
      <c r="N247" s="420"/>
      <c r="O247" s="420"/>
      <c r="P247" s="420"/>
      <c r="Q247" s="420"/>
      <c r="R247" s="420"/>
      <c r="S247" s="444"/>
      <c r="T247" s="420"/>
      <c r="U247" s="420"/>
      <c r="V247" s="420"/>
      <c r="W247" s="420"/>
      <c r="X247" s="420"/>
      <c r="Y247" s="420"/>
      <c r="Z247" s="420"/>
      <c r="AA247" s="420"/>
      <c r="AB247" s="420"/>
      <c r="AC247" s="420"/>
      <c r="AD247" s="420"/>
      <c r="AE247" s="420"/>
      <c r="AF247" s="420"/>
      <c r="AG247" s="432"/>
      <c r="AH247" s="420"/>
      <c r="AI247" s="420"/>
      <c r="AJ247" s="420"/>
      <c r="AK247" s="420"/>
      <c r="AL247" s="420"/>
      <c r="AM247" s="420"/>
      <c r="AN247" s="444"/>
      <c r="AO247" s="420"/>
      <c r="AP247" s="420"/>
      <c r="AQ247" s="422">
        <f>+FL_2($T$248,$T$246,$G$247,1200,9.28,-1*$F$248)</f>
        <v>-0.23758695466666666</v>
      </c>
      <c r="AR247" s="422"/>
      <c r="AS247" s="422"/>
      <c r="AT247" s="422"/>
      <c r="AU247" s="417"/>
      <c r="AV247" s="417"/>
      <c r="AW247" s="417"/>
      <c r="AX247" s="417"/>
      <c r="AY247" s="422"/>
      <c r="AZ247" s="422"/>
      <c r="BA247" s="604"/>
      <c r="BB247" s="414"/>
      <c r="BC247" s="169"/>
      <c r="BD247" s="1330"/>
      <c r="BE247" s="1330"/>
      <c r="BF247" s="1330"/>
      <c r="BG247" s="1330"/>
    </row>
    <row r="248" spans="1:59" ht="15.75" customHeight="1">
      <c r="A248" s="414"/>
      <c r="B248" s="420" t="s">
        <v>2219</v>
      </c>
      <c r="C248" s="432">
        <f>+$C$246+$G$247</f>
        <v>91000.85000000002</v>
      </c>
      <c r="D248" s="420"/>
      <c r="E248" s="420"/>
      <c r="F248" s="421">
        <v>0</v>
      </c>
      <c r="G248" s="444"/>
      <c r="H248" s="420"/>
      <c r="I248" s="421"/>
      <c r="J248" s="432"/>
      <c r="K248" s="420"/>
      <c r="L248" s="420"/>
      <c r="M248" s="420"/>
      <c r="N248" s="420" t="s">
        <v>844</v>
      </c>
      <c r="O248" s="420"/>
      <c r="P248" s="420"/>
      <c r="Q248" s="420"/>
      <c r="R248" s="420"/>
      <c r="S248" s="444"/>
      <c r="T248" s="420">
        <v>20</v>
      </c>
      <c r="U248" s="420"/>
      <c r="V248" s="420"/>
      <c r="W248" s="420">
        <v>1.4</v>
      </c>
      <c r="X248" s="420"/>
      <c r="Y248" s="420"/>
      <c r="Z248" s="420"/>
      <c r="AA248" s="420"/>
      <c r="AB248" s="420"/>
      <c r="AC248" s="420" t="str">
        <f t="shared" si="24"/>
        <v>PH</v>
      </c>
      <c r="AD248" s="420"/>
      <c r="AE248" s="420"/>
      <c r="AF248" s="420"/>
      <c r="AG248" s="432"/>
      <c r="AH248" s="420"/>
      <c r="AI248" s="420"/>
      <c r="AJ248" s="420"/>
      <c r="AK248" s="420" t="s">
        <v>139</v>
      </c>
      <c r="AL248" s="420"/>
      <c r="AM248" s="420"/>
      <c r="AN248" s="444">
        <v>5.5</v>
      </c>
      <c r="AO248" s="420"/>
      <c r="AP248" s="420"/>
      <c r="AQ248" s="422"/>
      <c r="AR248" s="422"/>
      <c r="AS248" s="422"/>
      <c r="AT248" s="422">
        <f>+ab($T$248,$T$246,$T$250,$G$247,$G$249,-1*$F$248,1200)</f>
        <v>27.502409262479226</v>
      </c>
      <c r="AU248" s="417"/>
      <c r="AV248" s="417"/>
      <c r="AW248" s="417"/>
      <c r="AX248" s="417"/>
      <c r="AY248" s="422"/>
      <c r="AZ248" s="422"/>
      <c r="BA248" s="604"/>
      <c r="BB248" s="414"/>
      <c r="BC248" s="169"/>
      <c r="BD248" s="1330"/>
      <c r="BE248" s="1329"/>
      <c r="BF248" s="1330"/>
      <c r="BG248" s="1329"/>
    </row>
    <row r="249" spans="1:59" ht="15.75" customHeight="1">
      <c r="A249" s="414"/>
      <c r="B249" s="420"/>
      <c r="C249" s="432"/>
      <c r="D249" s="420"/>
      <c r="E249" s="420"/>
      <c r="F249" s="421"/>
      <c r="G249" s="444">
        <v>36.200000000000003</v>
      </c>
      <c r="H249" s="420"/>
      <c r="I249" s="421"/>
      <c r="J249" s="432"/>
      <c r="K249" s="420"/>
      <c r="L249" s="420"/>
      <c r="M249" s="420"/>
      <c r="N249" s="420"/>
      <c r="O249" s="420"/>
      <c r="P249" s="420"/>
      <c r="Q249" s="420"/>
      <c r="R249" s="420"/>
      <c r="S249" s="444"/>
      <c r="T249" s="420"/>
      <c r="U249" s="420"/>
      <c r="V249" s="420"/>
      <c r="W249" s="420"/>
      <c r="X249" s="420"/>
      <c r="Y249" s="420"/>
      <c r="Z249" s="420"/>
      <c r="AA249" s="420"/>
      <c r="AB249" s="420"/>
      <c r="AC249" s="420"/>
      <c r="AD249" s="420"/>
      <c r="AE249" s="420"/>
      <c r="AF249" s="420"/>
      <c r="AG249" s="432"/>
      <c r="AH249" s="420"/>
      <c r="AI249" s="420"/>
      <c r="AJ249" s="420"/>
      <c r="AK249" s="420"/>
      <c r="AL249" s="420"/>
      <c r="AM249" s="420"/>
      <c r="AN249" s="444"/>
      <c r="AO249" s="420"/>
      <c r="AP249" s="420"/>
      <c r="AQ249" s="422">
        <f>+FL_1($T$250,$T$248,$G$249,1200,9.28,-1*$F$250)</f>
        <v>0.3</v>
      </c>
      <c r="AR249" s="422"/>
      <c r="AS249" s="422"/>
      <c r="AT249" s="422"/>
      <c r="AU249" s="417"/>
      <c r="AV249" s="417"/>
      <c r="AW249" s="417"/>
      <c r="AX249" s="417"/>
      <c r="AY249" s="422"/>
      <c r="AZ249" s="422"/>
      <c r="BA249" s="604"/>
      <c r="BB249" s="414"/>
      <c r="BC249" s="169"/>
      <c r="BD249" s="1330"/>
      <c r="BE249" s="1330"/>
      <c r="BF249" s="1330"/>
      <c r="BG249" s="1330"/>
    </row>
    <row r="250" spans="1:59" ht="15.75" customHeight="1">
      <c r="A250" s="414"/>
      <c r="B250" s="420" t="s">
        <v>2220</v>
      </c>
      <c r="C250" s="432">
        <f>+$C$248+$G$249</f>
        <v>91037.050000000017</v>
      </c>
      <c r="D250" s="420"/>
      <c r="E250" s="420"/>
      <c r="F250" s="421">
        <v>-1103</v>
      </c>
      <c r="G250" s="444"/>
      <c r="H250" s="420"/>
      <c r="I250" s="421"/>
      <c r="J250" s="432"/>
      <c r="K250" s="420"/>
      <c r="L250" s="420"/>
      <c r="M250" s="420"/>
      <c r="N250" s="420" t="s">
        <v>844</v>
      </c>
      <c r="O250" s="420"/>
      <c r="P250" s="420"/>
      <c r="Q250" s="420"/>
      <c r="R250" s="420"/>
      <c r="S250" s="444"/>
      <c r="T250" s="420">
        <v>30</v>
      </c>
      <c r="U250" s="420"/>
      <c r="V250" s="420"/>
      <c r="W250" s="420">
        <v>1.4</v>
      </c>
      <c r="X250" s="420"/>
      <c r="Y250" s="420"/>
      <c r="Z250" s="420"/>
      <c r="AA250" s="420"/>
      <c r="AB250" s="420"/>
      <c r="AC250" s="420" t="str">
        <f t="shared" si="24"/>
        <v>PH-Q</v>
      </c>
      <c r="AD250" s="420"/>
      <c r="AE250" s="420"/>
      <c r="AF250" s="420"/>
      <c r="AG250" s="432"/>
      <c r="AH250" s="420"/>
      <c r="AI250" s="420"/>
      <c r="AJ250" s="420"/>
      <c r="AK250" s="420" t="s">
        <v>139</v>
      </c>
      <c r="AL250" s="420"/>
      <c r="AM250" s="420"/>
      <c r="AN250" s="444">
        <v>5.5</v>
      </c>
      <c r="AO250" s="420"/>
      <c r="AP250" s="420"/>
      <c r="AQ250" s="422"/>
      <c r="AR250" s="422"/>
      <c r="AS250" s="422"/>
      <c r="AT250" s="422">
        <f>+ab($T$250,$T$248,$T$252,$G$249,$G$251,-1*$F$250,1200)</f>
        <v>5.0993708047722865</v>
      </c>
      <c r="AU250" s="417"/>
      <c r="AV250" s="417"/>
      <c r="AW250" s="417"/>
      <c r="AX250" s="417"/>
      <c r="AY250" s="422"/>
      <c r="AZ250" s="422"/>
      <c r="BA250" s="604"/>
      <c r="BB250" s="414"/>
      <c r="BC250" s="169"/>
      <c r="BD250" s="1330"/>
      <c r="BE250" s="1329"/>
      <c r="BF250" s="1330"/>
      <c r="BG250" s="1329"/>
    </row>
    <row r="251" spans="1:59" ht="15.75" customHeight="1">
      <c r="A251" s="414"/>
      <c r="B251" s="420"/>
      <c r="C251" s="432"/>
      <c r="D251" s="420"/>
      <c r="E251" s="420"/>
      <c r="F251" s="421"/>
      <c r="G251" s="444">
        <v>40.5</v>
      </c>
      <c r="H251" s="420"/>
      <c r="I251" s="421"/>
      <c r="J251" s="432">
        <f>C252-7.5</f>
        <v>91070.050000000017</v>
      </c>
      <c r="K251" s="420" t="s">
        <v>2787</v>
      </c>
      <c r="L251" s="420"/>
      <c r="M251" s="420"/>
      <c r="N251" s="420"/>
      <c r="O251" s="420"/>
      <c r="P251" s="420"/>
      <c r="Q251" s="420"/>
      <c r="R251" s="420"/>
      <c r="S251" s="444"/>
      <c r="T251" s="420"/>
      <c r="U251" s="420"/>
      <c r="V251" s="420"/>
      <c r="W251" s="420"/>
      <c r="X251" s="420"/>
      <c r="Y251" s="420"/>
      <c r="Z251" s="420"/>
      <c r="AA251" s="420"/>
      <c r="AB251" s="420"/>
      <c r="AC251" s="420"/>
      <c r="AD251" s="420"/>
      <c r="AE251" s="420"/>
      <c r="AF251" s="420"/>
      <c r="AG251" s="432"/>
      <c r="AH251" s="420"/>
      <c r="AI251" s="420"/>
      <c r="AJ251" s="420"/>
      <c r="AK251" s="420"/>
      <c r="AL251" s="420"/>
      <c r="AM251" s="420"/>
      <c r="AN251" s="444"/>
      <c r="AO251" s="420"/>
      <c r="AP251" s="420"/>
      <c r="AQ251" s="422">
        <f>+FL_1($T$252,$T$250,$G$251,1200,9.28,-1*$F$252)</f>
        <v>0.3</v>
      </c>
      <c r="AR251" s="422"/>
      <c r="AS251" s="422"/>
      <c r="AT251" s="422"/>
      <c r="AU251" s="417"/>
      <c r="AV251" s="417"/>
      <c r="AW251" s="417" t="str">
        <f>VLOOKUP(J251,'Foundation Calculation'!$A$2:$C$33,3,1)</f>
        <v>Soil A</v>
      </c>
      <c r="AX251" s="417" t="str">
        <f>VLOOKUP(J251,'Foundation Calculation'!$E$2:$G$33,3,1)</f>
        <v>PT</v>
      </c>
      <c r="AY251" s="422"/>
      <c r="AZ251" s="422">
        <f>IF(AX251="PT",VLOOKUP(K251,'Foundation Calculation'!$K$2:$R$40,VLOOKUP(AW251,'Foundation Calculation'!$I$2:$J$8,2,FALSE),0),IF(AX251="K",VLOOKUP(K251,'Foundation Calculation'!$K$42:$R$80,VLOOKUP(AW251,'Foundation Calculation'!$I$2:$J$8,2,FALSE),0),""))</f>
        <v>3.3</v>
      </c>
      <c r="BA251" s="604" t="s">
        <v>2809</v>
      </c>
      <c r="BB251" s="414"/>
      <c r="BC251" s="169"/>
      <c r="BD251" s="1329"/>
      <c r="BE251" s="1330"/>
      <c r="BF251" s="1330"/>
      <c r="BG251" s="1330"/>
    </row>
    <row r="252" spans="1:59" ht="15.75" customHeight="1">
      <c r="A252" s="467"/>
      <c r="B252" s="467" t="s">
        <v>2221</v>
      </c>
      <c r="C252" s="473">
        <f>+$C$250+$G$251</f>
        <v>91077.550000000017</v>
      </c>
      <c r="D252" s="467"/>
      <c r="E252" s="467"/>
      <c r="F252" s="469">
        <v>-1103</v>
      </c>
      <c r="G252" s="474"/>
      <c r="H252" s="467" t="s">
        <v>2682</v>
      </c>
      <c r="I252" s="469" t="s">
        <v>4231</v>
      </c>
      <c r="J252" s="473"/>
      <c r="K252" s="467"/>
      <c r="L252" s="467" t="s">
        <v>899</v>
      </c>
      <c r="M252" s="467" t="s">
        <v>2811</v>
      </c>
      <c r="N252" s="467" t="s">
        <v>144</v>
      </c>
      <c r="O252" s="467"/>
      <c r="P252" s="467"/>
      <c r="Q252" s="467">
        <v>40</v>
      </c>
      <c r="R252" s="467">
        <v>-1103.28</v>
      </c>
      <c r="S252" s="474"/>
      <c r="T252" s="467">
        <v>30</v>
      </c>
      <c r="U252" s="467"/>
      <c r="V252" s="467"/>
      <c r="W252" s="467">
        <v>1.4</v>
      </c>
      <c r="X252" s="467"/>
      <c r="Y252" s="467"/>
      <c r="Z252" s="467"/>
      <c r="AA252" s="467"/>
      <c r="AB252" s="467"/>
      <c r="AC252" s="467" t="str">
        <f t="shared" si="24"/>
        <v>PH-C</v>
      </c>
      <c r="AD252" s="467"/>
      <c r="AE252" s="467"/>
      <c r="AF252" s="467"/>
      <c r="AG252" s="473">
        <v>91077</v>
      </c>
      <c r="AH252" s="467">
        <v>1793</v>
      </c>
      <c r="AI252" s="467">
        <v>-90</v>
      </c>
      <c r="AJ252" s="467"/>
      <c r="AK252" s="467"/>
      <c r="AL252" s="467"/>
      <c r="AM252" s="467" t="s">
        <v>1042</v>
      </c>
      <c r="AN252" s="474">
        <v>5.5</v>
      </c>
      <c r="AO252" s="467"/>
      <c r="AP252" s="467"/>
      <c r="AQ252" s="466"/>
      <c r="AR252" s="466"/>
      <c r="AS252" s="466"/>
      <c r="AT252" s="466">
        <f>+ab($T$252,$T$250,$U$254,$G$251,$G$253,-1*$F$252,1200)</f>
        <v>4.0747845962023996</v>
      </c>
      <c r="AU252" s="464"/>
      <c r="AV252" s="464"/>
      <c r="AW252" s="464"/>
      <c r="AX252" s="464" t="s">
        <v>5029</v>
      </c>
      <c r="AY252" s="466"/>
      <c r="AZ252" s="466"/>
      <c r="BA252" s="674" t="s">
        <v>2809</v>
      </c>
      <c r="BB252" s="467" t="str">
        <f>Pole_Calculations!A20</f>
        <v>App.7-V11A-P9.5.1.6</v>
      </c>
      <c r="BC252" s="169" t="s">
        <v>4954</v>
      </c>
      <c r="BD252" s="1330"/>
      <c r="BE252" s="1329"/>
      <c r="BF252" s="1330"/>
      <c r="BG252" s="1329"/>
    </row>
    <row r="253" spans="1:59" ht="15.75" customHeight="1">
      <c r="A253" s="462" t="s">
        <v>2199</v>
      </c>
      <c r="B253" s="467"/>
      <c r="C253" s="473"/>
      <c r="D253" s="467"/>
      <c r="E253" s="467"/>
      <c r="F253" s="469"/>
      <c r="G253" s="474">
        <v>42.4</v>
      </c>
      <c r="H253" s="467"/>
      <c r="I253" s="469"/>
      <c r="J253" s="473"/>
      <c r="K253" s="467"/>
      <c r="L253" s="467"/>
      <c r="M253" s="467"/>
      <c r="N253" s="467"/>
      <c r="O253" s="467"/>
      <c r="P253" s="467"/>
      <c r="Q253" s="467"/>
      <c r="R253" s="467"/>
      <c r="S253" s="474">
        <v>42</v>
      </c>
      <c r="T253" s="467"/>
      <c r="U253" s="467"/>
      <c r="V253" s="467"/>
      <c r="W253" s="467"/>
      <c r="X253" s="467"/>
      <c r="Y253" s="467"/>
      <c r="Z253" s="467"/>
      <c r="AA253" s="467"/>
      <c r="AB253" s="467"/>
      <c r="AC253" s="467"/>
      <c r="AD253" s="467"/>
      <c r="AE253" s="467"/>
      <c r="AF253" s="467"/>
      <c r="AG253" s="473"/>
      <c r="AH253" s="467"/>
      <c r="AI253" s="467"/>
      <c r="AJ253" s="467"/>
      <c r="AK253" s="467"/>
      <c r="AL253" s="467"/>
      <c r="AM253" s="467"/>
      <c r="AN253" s="474"/>
      <c r="AO253" s="467"/>
      <c r="AP253" s="467"/>
      <c r="AQ253" s="466">
        <f>+FL_1($U$254,$T$252,$G$253,1200,9.28,-1*$F$254)</f>
        <v>0.29999999999999905</v>
      </c>
      <c r="AR253" s="466"/>
      <c r="AS253" s="466"/>
      <c r="AT253" s="466"/>
      <c r="AU253" s="464"/>
      <c r="AV253" s="464"/>
      <c r="AW253" s="464"/>
      <c r="AX253" s="464"/>
      <c r="AY253" s="466"/>
      <c r="AZ253" s="466"/>
      <c r="BA253" s="674"/>
      <c r="BB253" s="462"/>
      <c r="BC253" s="169"/>
      <c r="BD253" s="1330"/>
      <c r="BE253" s="1330"/>
      <c r="BF253" s="1330"/>
      <c r="BG253" s="1330"/>
    </row>
    <row r="254" spans="1:59" ht="15.75" customHeight="1">
      <c r="A254" s="467"/>
      <c r="B254" s="467" t="s">
        <v>2222</v>
      </c>
      <c r="C254" s="473">
        <f>+$C$252+$G$253</f>
        <v>91119.950000000012</v>
      </c>
      <c r="D254" s="467"/>
      <c r="E254" s="467"/>
      <c r="F254" s="469">
        <v>-1150</v>
      </c>
      <c r="G254" s="474"/>
      <c r="H254" s="467" t="s">
        <v>619</v>
      </c>
      <c r="I254" s="469"/>
      <c r="J254" s="473"/>
      <c r="K254" s="467"/>
      <c r="L254" s="467" t="s">
        <v>895</v>
      </c>
      <c r="M254" s="467" t="s">
        <v>2811</v>
      </c>
      <c r="N254" s="467" t="s">
        <v>140</v>
      </c>
      <c r="O254" s="467" t="s">
        <v>144</v>
      </c>
      <c r="P254" s="467"/>
      <c r="Q254" s="467">
        <v>50</v>
      </c>
      <c r="R254" s="467">
        <v>-1150</v>
      </c>
      <c r="S254" s="474"/>
      <c r="T254" s="467">
        <v>35</v>
      </c>
      <c r="U254" s="467">
        <v>-10</v>
      </c>
      <c r="V254" s="467"/>
      <c r="W254" s="467">
        <v>1.4</v>
      </c>
      <c r="X254" s="467">
        <v>1.8</v>
      </c>
      <c r="Y254" s="467"/>
      <c r="Z254" s="467">
        <v>0.4</v>
      </c>
      <c r="AA254" s="467"/>
      <c r="AB254" s="467"/>
      <c r="AC254" s="467"/>
      <c r="AD254" s="467"/>
      <c r="AE254" s="467"/>
      <c r="AF254" s="467"/>
      <c r="AG254" s="473">
        <v>91119</v>
      </c>
      <c r="AH254" s="467">
        <v>1893</v>
      </c>
      <c r="AI254" s="467">
        <v>-30</v>
      </c>
      <c r="AJ254" s="467"/>
      <c r="AK254" s="467"/>
      <c r="AL254" s="467"/>
      <c r="AM254" s="467" t="s">
        <v>1042</v>
      </c>
      <c r="AN254" s="474">
        <v>5.5</v>
      </c>
      <c r="AO254" s="467"/>
      <c r="AP254" s="467"/>
      <c r="AQ254" s="466"/>
      <c r="AR254" s="466"/>
      <c r="AS254" s="466"/>
      <c r="AT254" s="466">
        <f>+ab($U$254,$T$252,$T$256,$G$253,$G$255,-1*$F$254,1200)</f>
        <v>9.4518388769822259</v>
      </c>
      <c r="AU254" s="464"/>
      <c r="AV254" s="464"/>
      <c r="AW254" s="464"/>
      <c r="AX254" s="464" t="s">
        <v>5030</v>
      </c>
      <c r="AY254" s="466"/>
      <c r="AZ254" s="466"/>
      <c r="BA254" s="674" t="s">
        <v>2809</v>
      </c>
      <c r="BB254" s="467" t="str">
        <f>Pole_Calculations!A19</f>
        <v>App.7-V11A-P9.5.1.5</v>
      </c>
      <c r="BC254" s="169" t="s">
        <v>4954</v>
      </c>
      <c r="BD254" s="1330"/>
      <c r="BE254" s="1329"/>
      <c r="BF254" s="1330"/>
      <c r="BG254" s="1329"/>
    </row>
    <row r="255" spans="1:59" ht="15.75" customHeight="1">
      <c r="A255" s="467"/>
      <c r="B255" s="467"/>
      <c r="C255" s="473"/>
      <c r="D255" s="467"/>
      <c r="E255" s="467"/>
      <c r="F255" s="469"/>
      <c r="G255" s="474">
        <v>45.7</v>
      </c>
      <c r="H255" s="467"/>
      <c r="I255" s="469" t="s">
        <v>1039</v>
      </c>
      <c r="J255" s="473"/>
      <c r="K255" s="467"/>
      <c r="L255" s="467"/>
      <c r="M255" s="467"/>
      <c r="N255" s="467"/>
      <c r="O255" s="467"/>
      <c r="P255" s="467"/>
      <c r="Q255" s="467"/>
      <c r="R255" s="467"/>
      <c r="S255" s="474">
        <v>46</v>
      </c>
      <c r="T255" s="467"/>
      <c r="U255" s="467"/>
      <c r="V255" s="467"/>
      <c r="W255" s="467"/>
      <c r="X255" s="467"/>
      <c r="Y255" s="467"/>
      <c r="Z255" s="467"/>
      <c r="AA255" s="467"/>
      <c r="AB255" s="467"/>
      <c r="AC255" s="467"/>
      <c r="AD255" s="467"/>
      <c r="AE255" s="467"/>
      <c r="AF255" s="467"/>
      <c r="AG255" s="473"/>
      <c r="AH255" s="467"/>
      <c r="AI255" s="467"/>
      <c r="AJ255" s="467"/>
      <c r="AK255" s="467"/>
      <c r="AL255" s="467"/>
      <c r="AM255" s="467"/>
      <c r="AN255" s="474"/>
      <c r="AO255" s="467"/>
      <c r="AP255" s="467"/>
      <c r="AQ255" s="466">
        <f>+FL_1($T$256,$U$254,$G$255,1200,9.28,-1*$F$256)</f>
        <v>0.3</v>
      </c>
      <c r="AR255" s="466"/>
      <c r="AS255" s="466"/>
      <c r="AT255" s="466"/>
      <c r="AU255" s="464"/>
      <c r="AV255" s="464"/>
      <c r="AW255" s="464"/>
      <c r="AX255" s="464"/>
      <c r="AY255" s="466"/>
      <c r="AZ255" s="466"/>
      <c r="BA255" s="674"/>
      <c r="BB255" s="467"/>
      <c r="BC255" s="169"/>
      <c r="BD255" s="1330"/>
      <c r="BE255" s="1330"/>
      <c r="BF255" s="1330"/>
      <c r="BG255" s="1330"/>
    </row>
    <row r="256" spans="1:59" ht="15.75" customHeight="1">
      <c r="A256" s="1239" t="s">
        <v>2650</v>
      </c>
      <c r="B256" s="1239" t="s">
        <v>2223</v>
      </c>
      <c r="C256" s="171">
        <f>+$C$254+$G$255</f>
        <v>91165.650000000009</v>
      </c>
      <c r="D256" s="1239"/>
      <c r="E256" s="1239"/>
      <c r="F256" s="448">
        <v>-1150</v>
      </c>
      <c r="G256" s="455"/>
      <c r="H256" s="1239" t="s">
        <v>2157</v>
      </c>
      <c r="I256" s="448" t="s">
        <v>1429</v>
      </c>
      <c r="J256" s="171"/>
      <c r="K256" s="1239"/>
      <c r="L256" s="1239" t="s">
        <v>1697</v>
      </c>
      <c r="M256" s="1239" t="str">
        <f>IF(AX256="PT",VLOOKUP(L256,'Foundation Calculation'!$V$2:$X$40,VLOOKUP(AX256,'Foundation Calculation'!$I$10:$J$13,2,FALSE),0),IF(AX256="K",VLOOKUP(L256,'Foundation Calculation'!$V$42:$X$80,VLOOKUP(AX256,'Foundation Calculation'!$I$10:$J$13,2,FALSE),0),""))</f>
        <v>2C3R</v>
      </c>
      <c r="N256" s="1239" t="s">
        <v>144</v>
      </c>
      <c r="O256" s="1239" t="s">
        <v>140</v>
      </c>
      <c r="P256" s="1239"/>
      <c r="Q256" s="1239"/>
      <c r="R256" s="1239"/>
      <c r="S256" s="455"/>
      <c r="T256" s="1239">
        <v>30</v>
      </c>
      <c r="U256" s="1239">
        <v>-15</v>
      </c>
      <c r="V256" s="1239"/>
      <c r="W256" s="1239">
        <v>1.4</v>
      </c>
      <c r="X256" s="1239">
        <v>1.8</v>
      </c>
      <c r="Y256" s="1239"/>
      <c r="Z256" s="1239"/>
      <c r="AA256" s="1239">
        <v>0.4</v>
      </c>
      <c r="AB256" s="1239"/>
      <c r="AC256" s="1239" t="str">
        <f t="shared" ref="AC256:AC296" si="25">IF(OR(AT256&gt;8,AT256&lt;-8),"PH",IF(OR(AT256&gt;5,AT256&lt;-5),"PH-Q",IF(OR(AT256&gt;1,AT256&lt;-1),"PH-C")))</f>
        <v>PH-C</v>
      </c>
      <c r="AD256" s="1239"/>
      <c r="AE256" s="1239"/>
      <c r="AF256" s="1239"/>
      <c r="AG256" s="171"/>
      <c r="AH256" s="1239"/>
      <c r="AI256" s="1239"/>
      <c r="AJ256" s="1239" t="s">
        <v>877</v>
      </c>
      <c r="AK256" s="1239"/>
      <c r="AL256" s="1239"/>
      <c r="AM256" s="1239" t="s">
        <v>1042</v>
      </c>
      <c r="AN256" s="455">
        <v>5.5</v>
      </c>
      <c r="AO256" s="1239"/>
      <c r="AP256" s="1239"/>
      <c r="AQ256" s="484"/>
      <c r="AR256" s="484"/>
      <c r="AS256" s="484"/>
      <c r="AT256" s="484">
        <f>+ab($T$256,$T$254,$T$258,$G$255,$G$257,-1*$F$256,1200)</f>
        <v>4.9754219710737591</v>
      </c>
      <c r="AU256" s="638"/>
      <c r="AV256" s="638"/>
      <c r="AW256" s="638" t="str">
        <f>VLOOKUP(C256,'Foundation Calculation'!$A$2:$C$33,3,1)</f>
        <v>Soil A</v>
      </c>
      <c r="AX256" s="638" t="str">
        <f>VLOOKUP(C256,'Foundation Calculation'!$E$2:$G$33,3,1)</f>
        <v>PT</v>
      </c>
      <c r="AY256" s="484">
        <f>IF(AX256="PT",VLOOKUP(L256,'Foundation Calculation'!$K$2:$R$40,VLOOKUP(AW256,'Foundation Calculation'!$I$2:$J$8,2,FALSE),0),IF(AX256="K",VLOOKUP(L256,'Foundation Calculation'!$K$42:$R$80,VLOOKUP(AW256,'Foundation Calculation'!$I$2:$J$8,2,FALSE),0),""))</f>
        <v>3.7</v>
      </c>
      <c r="AZ256" s="484"/>
      <c r="BA256" s="671" t="s">
        <v>2809</v>
      </c>
      <c r="BB256" s="1239" t="str">
        <f>Pole_Calculations!A19</f>
        <v>App.7-V11A-P9.5.1.5</v>
      </c>
      <c r="BC256" s="169"/>
      <c r="BD256" s="1329"/>
      <c r="BE256" s="1329"/>
      <c r="BF256" s="1330"/>
      <c r="BG256" s="1329"/>
    </row>
    <row r="257" spans="1:59" ht="15.75" customHeight="1">
      <c r="A257" s="1239"/>
      <c r="B257" s="1239"/>
      <c r="C257" s="171"/>
      <c r="D257" s="1239"/>
      <c r="E257" s="1239"/>
      <c r="F257" s="448"/>
      <c r="G257" s="455">
        <v>45.3</v>
      </c>
      <c r="H257" s="1239"/>
      <c r="I257" s="448"/>
      <c r="J257" s="171"/>
      <c r="K257" s="1239"/>
      <c r="L257" s="1239"/>
      <c r="M257" s="1239"/>
      <c r="N257" s="1239"/>
      <c r="O257" s="1239"/>
      <c r="P257" s="1239"/>
      <c r="Q257" s="1239"/>
      <c r="R257" s="1239"/>
      <c r="S257" s="455"/>
      <c r="T257" s="1239"/>
      <c r="U257" s="1239"/>
      <c r="V257" s="1239"/>
      <c r="W257" s="1239"/>
      <c r="X257" s="1239"/>
      <c r="Y257" s="1239"/>
      <c r="Z257" s="1239"/>
      <c r="AA257" s="1239"/>
      <c r="AB257" s="1239"/>
      <c r="AC257" s="1239"/>
      <c r="AD257" s="1239"/>
      <c r="AE257" s="1239"/>
      <c r="AF257" s="1239"/>
      <c r="AG257" s="171"/>
      <c r="AH257" s="1239"/>
      <c r="AI257" s="1239"/>
      <c r="AJ257" s="1239"/>
      <c r="AK257" s="1239"/>
      <c r="AL257" s="1239"/>
      <c r="AM257" s="1239"/>
      <c r="AN257" s="455"/>
      <c r="AO257" s="1239"/>
      <c r="AP257" s="1239"/>
      <c r="AQ257" s="484">
        <f>+FL_1($T$258,$T$256,$G$257,1200,9.28,-1*$F$258)</f>
        <v>0.30002180131658646</v>
      </c>
      <c r="AR257" s="484"/>
      <c r="AS257" s="484"/>
      <c r="AT257" s="484"/>
      <c r="AU257" s="638"/>
      <c r="AV257" s="638"/>
      <c r="AW257" s="638"/>
      <c r="AX257" s="638"/>
      <c r="AY257" s="484"/>
      <c r="AZ257" s="484"/>
      <c r="BA257" s="671"/>
      <c r="BB257" s="1239"/>
      <c r="BC257" s="169"/>
      <c r="BD257" s="1330"/>
      <c r="BE257" s="1330"/>
      <c r="BF257" s="1330"/>
      <c r="BG257" s="1330"/>
    </row>
    <row r="258" spans="1:59" ht="15.75" customHeight="1">
      <c r="A258" s="1239"/>
      <c r="B258" s="1239" t="s">
        <v>2224</v>
      </c>
      <c r="C258" s="171">
        <f>+$C$256+$G$257</f>
        <v>91210.950000000012</v>
      </c>
      <c r="D258" s="1239"/>
      <c r="E258" s="1239"/>
      <c r="F258" s="448">
        <v>-1150</v>
      </c>
      <c r="G258" s="455"/>
      <c r="H258" s="1239" t="s">
        <v>2157</v>
      </c>
      <c r="I258" s="448"/>
      <c r="J258" s="171"/>
      <c r="K258" s="1239"/>
      <c r="L258" s="638"/>
      <c r="M258" s="638"/>
      <c r="N258" s="1239" t="s">
        <v>844</v>
      </c>
      <c r="O258" s="1239" t="s">
        <v>845</v>
      </c>
      <c r="P258" s="1239"/>
      <c r="Q258" s="1239">
        <v>60</v>
      </c>
      <c r="R258" s="1239">
        <v>1150</v>
      </c>
      <c r="S258" s="455"/>
      <c r="T258" s="1239">
        <v>30</v>
      </c>
      <c r="U258" s="1239">
        <v>-70</v>
      </c>
      <c r="V258" s="1239"/>
      <c r="W258" s="1239">
        <v>1.2</v>
      </c>
      <c r="X258" s="1239">
        <v>1.8</v>
      </c>
      <c r="Y258" s="1239"/>
      <c r="Z258" s="1239"/>
      <c r="AA258" s="1239">
        <v>0.45</v>
      </c>
      <c r="AB258" s="1239"/>
      <c r="AC258" s="1239" t="s">
        <v>4090</v>
      </c>
      <c r="AD258" s="1239"/>
      <c r="AE258" s="1239"/>
      <c r="AF258" s="1239">
        <v>200</v>
      </c>
      <c r="AG258" s="171">
        <v>91210</v>
      </c>
      <c r="AH258" s="1239">
        <v>1863</v>
      </c>
      <c r="AI258" s="1239">
        <v>-5200</v>
      </c>
      <c r="AJ258" s="1239"/>
      <c r="AK258" s="1239" t="s">
        <v>228</v>
      </c>
      <c r="AL258" s="1239"/>
      <c r="AM258" s="1239"/>
      <c r="AN258" s="455">
        <v>5.5</v>
      </c>
      <c r="AO258" s="1239"/>
      <c r="AP258" s="1239"/>
      <c r="AQ258" s="484"/>
      <c r="AR258" s="484"/>
      <c r="AS258" s="484"/>
      <c r="AT258" s="484">
        <f>+ab($T$258,$T$256,$T$260,$G$257,$G$259,-1*$F$258,1200)</f>
        <v>4.5875995088231543</v>
      </c>
      <c r="AU258" s="638"/>
      <c r="AV258" s="638"/>
      <c r="AW258" s="638"/>
      <c r="AX258" s="638"/>
      <c r="AY258" s="484"/>
      <c r="AZ258" s="484"/>
      <c r="BA258" s="671"/>
      <c r="BB258" s="1239"/>
      <c r="BC258" s="169"/>
      <c r="BD258" s="1330"/>
      <c r="BE258" s="1329"/>
      <c r="BF258" s="1330"/>
      <c r="BG258" s="1329"/>
    </row>
    <row r="259" spans="1:59" ht="15.75" customHeight="1">
      <c r="A259" s="424" t="s">
        <v>1663</v>
      </c>
      <c r="B259" s="428"/>
      <c r="C259" s="430"/>
      <c r="D259" s="428"/>
      <c r="E259" s="428"/>
      <c r="F259" s="429"/>
      <c r="G259" s="456">
        <v>50.7</v>
      </c>
      <c r="H259" s="428"/>
      <c r="I259" s="429"/>
      <c r="J259" s="430"/>
      <c r="K259" s="428"/>
      <c r="L259" s="428"/>
      <c r="M259" s="428"/>
      <c r="N259" s="428"/>
      <c r="O259" s="428"/>
      <c r="P259" s="428"/>
      <c r="Q259" s="428"/>
      <c r="R259" s="428"/>
      <c r="S259" s="456"/>
      <c r="T259" s="428"/>
      <c r="U259" s="428"/>
      <c r="V259" s="428"/>
      <c r="W259" s="428"/>
      <c r="X259" s="428"/>
      <c r="Y259" s="428"/>
      <c r="Z259" s="428"/>
      <c r="AA259" s="428"/>
      <c r="AB259" s="428"/>
      <c r="AC259" s="428"/>
      <c r="AD259" s="428"/>
      <c r="AE259" s="428"/>
      <c r="AF259" s="428"/>
      <c r="AG259" s="430"/>
      <c r="AH259" s="428"/>
      <c r="AI259" s="428"/>
      <c r="AJ259" s="428"/>
      <c r="AK259" s="428"/>
      <c r="AL259" s="428"/>
      <c r="AM259" s="428"/>
      <c r="AN259" s="456"/>
      <c r="AO259" s="428"/>
      <c r="AP259" s="428"/>
      <c r="AQ259" s="486">
        <f>+FL_1($T$260,$T$258,$G$259,1200,9.28,-1*$F$260)</f>
        <v>0.30002439957308891</v>
      </c>
      <c r="AR259" s="486"/>
      <c r="AS259" s="486"/>
      <c r="AT259" s="486"/>
      <c r="AU259" s="487"/>
      <c r="AV259" s="487"/>
      <c r="AW259" s="487"/>
      <c r="AX259" s="487"/>
      <c r="AY259" s="486"/>
      <c r="AZ259" s="486"/>
      <c r="BA259" s="672"/>
      <c r="BB259" s="424"/>
      <c r="BC259" s="169"/>
      <c r="BD259" s="1330"/>
      <c r="BE259" s="1330"/>
      <c r="BF259" s="1330"/>
      <c r="BG259" s="1330"/>
    </row>
    <row r="260" spans="1:59" ht="15.75" customHeight="1">
      <c r="A260" s="1239"/>
      <c r="B260" s="1239" t="s">
        <v>2225</v>
      </c>
      <c r="C260" s="171">
        <f>+$C$258+$G$259</f>
        <v>91261.650000000009</v>
      </c>
      <c r="D260" s="1239"/>
      <c r="E260" s="1239"/>
      <c r="F260" s="448">
        <v>-1150</v>
      </c>
      <c r="G260" s="455"/>
      <c r="H260" s="1239"/>
      <c r="I260" s="448"/>
      <c r="J260" s="171"/>
      <c r="K260" s="1239"/>
      <c r="L260" s="638"/>
      <c r="M260" s="638"/>
      <c r="N260" s="1239" t="s">
        <v>844</v>
      </c>
      <c r="O260" s="1239"/>
      <c r="P260" s="1239"/>
      <c r="Q260" s="1239"/>
      <c r="R260" s="1239"/>
      <c r="S260" s="455"/>
      <c r="T260" s="1239">
        <v>30</v>
      </c>
      <c r="U260" s="1239"/>
      <c r="V260" s="1239"/>
      <c r="W260" s="1239">
        <v>1.2</v>
      </c>
      <c r="X260" s="1239"/>
      <c r="Y260" s="1239"/>
      <c r="Z260" s="1239"/>
      <c r="AA260" s="1239"/>
      <c r="AB260" s="1239"/>
      <c r="AC260" s="1239" t="str">
        <f t="shared" si="25"/>
        <v>PH-C</v>
      </c>
      <c r="AD260" s="1239"/>
      <c r="AE260" s="1239"/>
      <c r="AF260" s="1239"/>
      <c r="AG260" s="171"/>
      <c r="AH260" s="1239"/>
      <c r="AI260" s="1239"/>
      <c r="AJ260" s="1239"/>
      <c r="AK260" s="1239" t="s">
        <v>139</v>
      </c>
      <c r="AL260" s="1239"/>
      <c r="AM260" s="1239"/>
      <c r="AN260" s="455">
        <v>5.5</v>
      </c>
      <c r="AO260" s="1239"/>
      <c r="AP260" s="1239"/>
      <c r="AQ260" s="484"/>
      <c r="AR260" s="484"/>
      <c r="AS260" s="484"/>
      <c r="AT260" s="484">
        <f>+ab($T$260,$T$258,$T$262,$G$259,$G$261,-1*$F$260,1200)</f>
        <v>4.489799910789551</v>
      </c>
      <c r="AU260" s="638"/>
      <c r="AV260" s="638"/>
      <c r="AW260" s="638"/>
      <c r="AX260" s="638"/>
      <c r="AY260" s="484"/>
      <c r="AZ260" s="484"/>
      <c r="BA260" s="671"/>
      <c r="BB260" s="1239"/>
      <c r="BC260" s="169"/>
      <c r="BD260" s="1330"/>
      <c r="BE260" s="1329"/>
      <c r="BF260" s="1330"/>
      <c r="BG260" s="1329"/>
    </row>
    <row r="261" spans="1:59" ht="15.75" customHeight="1">
      <c r="A261" s="1239"/>
      <c r="B261" s="1239"/>
      <c r="C261" s="171"/>
      <c r="D261" s="1239"/>
      <c r="E261" s="1239"/>
      <c r="F261" s="448"/>
      <c r="G261" s="455">
        <v>47.4</v>
      </c>
      <c r="H261" s="1239"/>
      <c r="I261" s="448"/>
      <c r="J261" s="171"/>
      <c r="K261" s="1239"/>
      <c r="L261" s="1239"/>
      <c r="M261" s="1239"/>
      <c r="N261" s="1239"/>
      <c r="O261" s="1239"/>
      <c r="P261" s="1239"/>
      <c r="Q261" s="1239"/>
      <c r="R261" s="1239"/>
      <c r="S261" s="455"/>
      <c r="T261" s="1239"/>
      <c r="U261" s="1239"/>
      <c r="V261" s="1239"/>
      <c r="W261" s="1239"/>
      <c r="X261" s="1239"/>
      <c r="Y261" s="1239"/>
      <c r="Z261" s="1239"/>
      <c r="AA261" s="1239"/>
      <c r="AB261" s="1239"/>
      <c r="AC261" s="1239"/>
      <c r="AD261" s="1239"/>
      <c r="AE261" s="1239"/>
      <c r="AF261" s="1239"/>
      <c r="AG261" s="171"/>
      <c r="AH261" s="1239"/>
      <c r="AI261" s="1239"/>
      <c r="AJ261" s="1239"/>
      <c r="AK261" s="1239"/>
      <c r="AL261" s="1239"/>
      <c r="AM261" s="1239"/>
      <c r="AN261" s="455"/>
      <c r="AO261" s="1239"/>
      <c r="AP261" s="1239"/>
      <c r="AQ261" s="484">
        <f>+FL_1($T$262,$T$260,$G$261,1200,9.28,-1*$F$262)</f>
        <v>0.30002281174959439</v>
      </c>
      <c r="AR261" s="484"/>
      <c r="AS261" s="484"/>
      <c r="AT261" s="484"/>
      <c r="AU261" s="638"/>
      <c r="AV261" s="638"/>
      <c r="AW261" s="638"/>
      <c r="AX261" s="638"/>
      <c r="AY261" s="484"/>
      <c r="AZ261" s="484"/>
      <c r="BA261" s="671"/>
      <c r="BB261" s="1239"/>
      <c r="BC261" s="169"/>
      <c r="BD261" s="1330"/>
      <c r="BE261" s="1330"/>
      <c r="BF261" s="1330"/>
      <c r="BG261" s="1330"/>
    </row>
    <row r="262" spans="1:59" ht="15.75" customHeight="1">
      <c r="A262" s="1239"/>
      <c r="B262" s="1239" t="s">
        <v>2226</v>
      </c>
      <c r="C262" s="171">
        <f>+$C$260+$G$261</f>
        <v>91309.05</v>
      </c>
      <c r="D262" s="1239"/>
      <c r="E262" s="1239"/>
      <c r="F262" s="448">
        <v>-1150</v>
      </c>
      <c r="G262" s="455"/>
      <c r="H262" s="1239"/>
      <c r="I262" s="448"/>
      <c r="J262" s="171"/>
      <c r="K262" s="1239"/>
      <c r="L262" s="638"/>
      <c r="M262" s="638"/>
      <c r="N262" s="1239" t="s">
        <v>844</v>
      </c>
      <c r="O262" s="1239"/>
      <c r="P262" s="1239"/>
      <c r="Q262" s="1239"/>
      <c r="R262" s="1239"/>
      <c r="S262" s="455"/>
      <c r="T262" s="1239">
        <v>30</v>
      </c>
      <c r="U262" s="1239"/>
      <c r="V262" s="1239"/>
      <c r="W262" s="1239">
        <v>1.4</v>
      </c>
      <c r="X262" s="1239"/>
      <c r="Y262" s="1239"/>
      <c r="Z262" s="1239"/>
      <c r="AA262" s="1239"/>
      <c r="AB262" s="1239"/>
      <c r="AC262" s="1239" t="str">
        <f t="shared" si="25"/>
        <v>PH-C</v>
      </c>
      <c r="AD262" s="1239"/>
      <c r="AE262" s="1239"/>
      <c r="AF262" s="1239"/>
      <c r="AG262" s="171"/>
      <c r="AH262" s="1239"/>
      <c r="AI262" s="1239"/>
      <c r="AJ262" s="1239"/>
      <c r="AK262" s="1239" t="s">
        <v>139</v>
      </c>
      <c r="AL262" s="1239"/>
      <c r="AM262" s="1239"/>
      <c r="AN262" s="455">
        <v>5.5</v>
      </c>
      <c r="AO262" s="1239"/>
      <c r="AP262" s="1239"/>
      <c r="AQ262" s="484"/>
      <c r="AR262" s="484"/>
      <c r="AS262" s="484"/>
      <c r="AT262" s="484">
        <f>+ab($T$262,$T$260,$T$264,$G$261,$G$263,-1*$F$262,1200)</f>
        <v>4.6308273296551681</v>
      </c>
      <c r="AU262" s="638"/>
      <c r="AV262" s="638"/>
      <c r="AW262" s="638"/>
      <c r="AX262" s="638"/>
      <c r="AY262" s="484"/>
      <c r="AZ262" s="484"/>
      <c r="BA262" s="671"/>
      <c r="BB262" s="1239"/>
      <c r="BC262" s="169"/>
      <c r="BD262" s="1330"/>
      <c r="BE262" s="1329"/>
      <c r="BF262" s="1330"/>
      <c r="BG262" s="1329"/>
    </row>
    <row r="263" spans="1:59" ht="15.75" customHeight="1">
      <c r="A263" s="467"/>
      <c r="B263" s="467"/>
      <c r="C263" s="473"/>
      <c r="D263" s="467"/>
      <c r="E263" s="467"/>
      <c r="F263" s="469"/>
      <c r="G263" s="474">
        <v>47.7</v>
      </c>
      <c r="H263" s="467"/>
      <c r="I263" s="469"/>
      <c r="J263" s="473"/>
      <c r="K263" s="467"/>
      <c r="L263" s="467"/>
      <c r="M263" s="467"/>
      <c r="N263" s="467"/>
      <c r="O263" s="467"/>
      <c r="P263" s="467"/>
      <c r="Q263" s="467"/>
      <c r="R263" s="467"/>
      <c r="S263" s="474"/>
      <c r="T263" s="467"/>
      <c r="U263" s="467"/>
      <c r="V263" s="467"/>
      <c r="W263" s="467"/>
      <c r="X263" s="467"/>
      <c r="Y263" s="467"/>
      <c r="Z263" s="467"/>
      <c r="AA263" s="467"/>
      <c r="AB263" s="467"/>
      <c r="AC263" s="467"/>
      <c r="AD263" s="467"/>
      <c r="AE263" s="467"/>
      <c r="AF263" s="467"/>
      <c r="AG263" s="473"/>
      <c r="AH263" s="467"/>
      <c r="AI263" s="467"/>
      <c r="AJ263" s="467"/>
      <c r="AK263" s="467"/>
      <c r="AL263" s="467"/>
      <c r="AM263" s="467"/>
      <c r="AN263" s="474"/>
      <c r="AO263" s="467"/>
      <c r="AP263" s="467"/>
      <c r="AQ263" s="466">
        <f>+FL_1($T$264,$T$262,$G$263,1200,9.28,-1*$F$264)</f>
        <v>0.30011824970153356</v>
      </c>
      <c r="AR263" s="466"/>
      <c r="AS263" s="466"/>
      <c r="AT263" s="466"/>
      <c r="AU263" s="464"/>
      <c r="AV263" s="464"/>
      <c r="AW263" s="464"/>
      <c r="AX263" s="464"/>
      <c r="AY263" s="466"/>
      <c r="AZ263" s="466"/>
      <c r="BA263" s="674"/>
      <c r="BB263" s="467"/>
      <c r="BC263" s="169"/>
      <c r="BD263" s="1330"/>
      <c r="BE263" s="1330"/>
      <c r="BF263" s="1330"/>
      <c r="BG263" s="1330"/>
    </row>
    <row r="264" spans="1:59" ht="15.75" customHeight="1">
      <c r="A264" s="467"/>
      <c r="B264" s="467" t="s">
        <v>2227</v>
      </c>
      <c r="C264" s="473">
        <f>+$C$262+$G$263</f>
        <v>91356.75</v>
      </c>
      <c r="D264" s="467"/>
      <c r="E264" s="467"/>
      <c r="F264" s="469">
        <v>-788</v>
      </c>
      <c r="G264" s="474"/>
      <c r="H264" s="467"/>
      <c r="I264" s="469"/>
      <c r="J264" s="473"/>
      <c r="K264" s="467"/>
      <c r="L264" s="467"/>
      <c r="M264" s="467"/>
      <c r="N264" s="467" t="s">
        <v>844</v>
      </c>
      <c r="O264" s="467"/>
      <c r="P264" s="467"/>
      <c r="Q264" s="467"/>
      <c r="R264" s="467"/>
      <c r="S264" s="474"/>
      <c r="T264" s="467">
        <v>30</v>
      </c>
      <c r="U264" s="467"/>
      <c r="V264" s="467"/>
      <c r="W264" s="467">
        <v>1.4</v>
      </c>
      <c r="X264" s="467"/>
      <c r="Y264" s="467"/>
      <c r="Z264" s="467"/>
      <c r="AA264" s="467"/>
      <c r="AB264" s="467"/>
      <c r="AC264" s="467" t="str">
        <f t="shared" si="25"/>
        <v>PH-C</v>
      </c>
      <c r="AD264" s="467"/>
      <c r="AE264" s="467"/>
      <c r="AF264" s="467"/>
      <c r="AG264" s="473"/>
      <c r="AH264" s="467"/>
      <c r="AI264" s="467"/>
      <c r="AJ264" s="467"/>
      <c r="AK264" s="467" t="s">
        <v>139</v>
      </c>
      <c r="AL264" s="467"/>
      <c r="AM264" s="467"/>
      <c r="AN264" s="474">
        <v>5.5</v>
      </c>
      <c r="AO264" s="467"/>
      <c r="AP264" s="467"/>
      <c r="AQ264" s="466"/>
      <c r="AR264" s="466"/>
      <c r="AS264" s="466"/>
      <c r="AT264" s="466">
        <f>+ab($T$264,$T$262,$T$266,$G$263,$G$265,-1*$F$264,1200)</f>
        <v>3.0892609733415042</v>
      </c>
      <c r="AU264" s="464"/>
      <c r="AV264" s="464"/>
      <c r="AW264" s="464"/>
      <c r="AX264" s="464"/>
      <c r="AY264" s="466"/>
      <c r="AZ264" s="466"/>
      <c r="BA264" s="674"/>
      <c r="BB264" s="467"/>
      <c r="BC264" s="169"/>
      <c r="BD264" s="1330"/>
      <c r="BE264" s="1329"/>
      <c r="BF264" s="1330"/>
      <c r="BG264" s="1329"/>
    </row>
    <row r="265" spans="1:59" ht="15.75" customHeight="1">
      <c r="A265" s="467"/>
      <c r="B265" s="467"/>
      <c r="C265" s="473"/>
      <c r="D265" s="467"/>
      <c r="E265" s="467"/>
      <c r="F265" s="469"/>
      <c r="G265" s="474">
        <v>50.1</v>
      </c>
      <c r="H265" s="467"/>
      <c r="I265" s="469"/>
      <c r="J265" s="473"/>
      <c r="K265" s="467"/>
      <c r="L265" s="467"/>
      <c r="M265" s="467"/>
      <c r="N265" s="467"/>
      <c r="O265" s="467"/>
      <c r="P265" s="467"/>
      <c r="Q265" s="467"/>
      <c r="R265" s="467"/>
      <c r="S265" s="474"/>
      <c r="T265" s="467"/>
      <c r="U265" s="467"/>
      <c r="V265" s="467"/>
      <c r="W265" s="467"/>
      <c r="X265" s="467"/>
      <c r="Y265" s="467"/>
      <c r="Z265" s="467"/>
      <c r="AA265" s="467"/>
      <c r="AB265" s="467"/>
      <c r="AC265" s="467"/>
      <c r="AD265" s="467"/>
      <c r="AE265" s="467"/>
      <c r="AF265" s="467"/>
      <c r="AG265" s="473"/>
      <c r="AH265" s="467"/>
      <c r="AI265" s="467"/>
      <c r="AJ265" s="467"/>
      <c r="AK265" s="467"/>
      <c r="AL265" s="467"/>
      <c r="AM265" s="467"/>
      <c r="AN265" s="474"/>
      <c r="AO265" s="467"/>
      <c r="AP265" s="467"/>
      <c r="AQ265" s="466">
        <f>+FL_1($T$266,$T$264,$G$265,1200,9.28,-1*$F$266)</f>
        <v>0.34404507921575744</v>
      </c>
      <c r="AR265" s="466"/>
      <c r="AS265" s="466"/>
      <c r="AT265" s="466"/>
      <c r="AU265" s="464"/>
      <c r="AV265" s="464"/>
      <c r="AW265" s="464"/>
      <c r="AX265" s="464"/>
      <c r="AY265" s="466"/>
      <c r="AZ265" s="466"/>
      <c r="BA265" s="674"/>
      <c r="BB265" s="467"/>
      <c r="BC265" s="169"/>
      <c r="BD265" s="1330"/>
      <c r="BE265" s="1330"/>
      <c r="BF265" s="1330"/>
      <c r="BG265" s="1330"/>
    </row>
    <row r="266" spans="1:59" ht="15.75" customHeight="1">
      <c r="A266" s="462" t="s">
        <v>2199</v>
      </c>
      <c r="B266" s="467" t="s">
        <v>2228</v>
      </c>
      <c r="C266" s="473">
        <f>+$C$264+$G$265</f>
        <v>91406.85</v>
      </c>
      <c r="D266" s="467"/>
      <c r="E266" s="467"/>
      <c r="F266" s="469">
        <v>-1580</v>
      </c>
      <c r="G266" s="474"/>
      <c r="H266" s="467"/>
      <c r="I266" s="469"/>
      <c r="J266" s="473"/>
      <c r="K266" s="467"/>
      <c r="L266" s="467"/>
      <c r="M266" s="467"/>
      <c r="N266" s="467" t="s">
        <v>844</v>
      </c>
      <c r="O266" s="467"/>
      <c r="P266" s="467"/>
      <c r="Q266" s="467"/>
      <c r="R266" s="467"/>
      <c r="S266" s="474"/>
      <c r="T266" s="467">
        <v>30</v>
      </c>
      <c r="U266" s="467"/>
      <c r="V266" s="467"/>
      <c r="W266" s="467">
        <v>1.4</v>
      </c>
      <c r="X266" s="467"/>
      <c r="Y266" s="467"/>
      <c r="Z266" s="467"/>
      <c r="AA266" s="467"/>
      <c r="AB266" s="467"/>
      <c r="AC266" s="467" t="str">
        <f t="shared" si="25"/>
        <v>PH-C</v>
      </c>
      <c r="AD266" s="467"/>
      <c r="AE266" s="467"/>
      <c r="AF266" s="467"/>
      <c r="AG266" s="473"/>
      <c r="AH266" s="467"/>
      <c r="AI266" s="467"/>
      <c r="AJ266" s="467"/>
      <c r="AK266" s="467" t="s">
        <v>139</v>
      </c>
      <c r="AL266" s="467"/>
      <c r="AM266" s="467"/>
      <c r="AN266" s="474">
        <v>5.5</v>
      </c>
      <c r="AO266" s="467"/>
      <c r="AP266" s="467"/>
      <c r="AQ266" s="466"/>
      <c r="AR266" s="466"/>
      <c r="AS266" s="466"/>
      <c r="AT266" s="466">
        <f>+ab($T$266,$T$264,$T$268,$G$265,$G$267,-1*$F$266,1200)</f>
        <v>4.2970400327772609</v>
      </c>
      <c r="AU266" s="464"/>
      <c r="AV266" s="464"/>
      <c r="AW266" s="464"/>
      <c r="AX266" s="464"/>
      <c r="AY266" s="466"/>
      <c r="AZ266" s="466"/>
      <c r="BA266" s="674"/>
      <c r="BB266" s="462"/>
      <c r="BC266" s="169"/>
      <c r="BD266" s="1330"/>
      <c r="BE266" s="1329"/>
      <c r="BF266" s="1330"/>
      <c r="BG266" s="1329"/>
    </row>
    <row r="267" spans="1:59" ht="15.75" customHeight="1">
      <c r="A267" s="467"/>
      <c r="B267" s="467"/>
      <c r="C267" s="473"/>
      <c r="D267" s="467"/>
      <c r="E267" s="467"/>
      <c r="F267" s="469"/>
      <c r="G267" s="474">
        <v>47.6</v>
      </c>
      <c r="H267" s="467"/>
      <c r="I267" s="469"/>
      <c r="J267" s="473"/>
      <c r="K267" s="467"/>
      <c r="L267" s="467"/>
      <c r="M267" s="467"/>
      <c r="N267" s="467"/>
      <c r="O267" s="467"/>
      <c r="P267" s="467"/>
      <c r="Q267" s="467"/>
      <c r="R267" s="467"/>
      <c r="S267" s="474"/>
      <c r="T267" s="467"/>
      <c r="U267" s="467"/>
      <c r="V267" s="467"/>
      <c r="W267" s="467"/>
      <c r="X267" s="467"/>
      <c r="Y267" s="467"/>
      <c r="Z267" s="467"/>
      <c r="AA267" s="467"/>
      <c r="AB267" s="467"/>
      <c r="AC267" s="467"/>
      <c r="AD267" s="467"/>
      <c r="AE267" s="467"/>
      <c r="AF267" s="467"/>
      <c r="AG267" s="473"/>
      <c r="AH267" s="467"/>
      <c r="AI267" s="467"/>
      <c r="AJ267" s="467"/>
      <c r="AK267" s="467"/>
      <c r="AL267" s="467"/>
      <c r="AM267" s="467"/>
      <c r="AN267" s="474"/>
      <c r="AO267" s="467"/>
      <c r="AP267" s="467"/>
      <c r="AQ267" s="466">
        <f>+FL_2($T$268,$T$266,$G$267,1200,9.28,-1*$F$268)</f>
        <v>-0.36458703018487393</v>
      </c>
      <c r="AR267" s="466"/>
      <c r="AS267" s="466"/>
      <c r="AT267" s="466"/>
      <c r="AU267" s="464"/>
      <c r="AV267" s="464"/>
      <c r="AW267" s="464"/>
      <c r="AX267" s="464"/>
      <c r="AY267" s="466"/>
      <c r="AZ267" s="466"/>
      <c r="BA267" s="674"/>
      <c r="BB267" s="467"/>
      <c r="BC267" s="169"/>
      <c r="BD267" s="1330"/>
      <c r="BE267" s="1330"/>
      <c r="BF267" s="1330"/>
      <c r="BG267" s="1330"/>
    </row>
    <row r="268" spans="1:59" ht="15.75" customHeight="1">
      <c r="A268" s="467"/>
      <c r="B268" s="467" t="s">
        <v>2229</v>
      </c>
      <c r="C268" s="473">
        <f>+$C$266+$G$267</f>
        <v>91454.450000000012</v>
      </c>
      <c r="D268" s="467"/>
      <c r="E268" s="467"/>
      <c r="F268" s="469">
        <v>0</v>
      </c>
      <c r="G268" s="474"/>
      <c r="H268" s="467"/>
      <c r="I268" s="469"/>
      <c r="J268" s="473"/>
      <c r="K268" s="467"/>
      <c r="L268" s="467"/>
      <c r="M268" s="467"/>
      <c r="N268" s="467" t="s">
        <v>843</v>
      </c>
      <c r="O268" s="467"/>
      <c r="P268" s="467"/>
      <c r="Q268" s="467"/>
      <c r="R268" s="467"/>
      <c r="S268" s="474"/>
      <c r="T268" s="467">
        <v>-35</v>
      </c>
      <c r="U268" s="467"/>
      <c r="V268" s="467"/>
      <c r="W268" s="467">
        <v>1.4</v>
      </c>
      <c r="X268" s="467"/>
      <c r="Y268" s="467"/>
      <c r="Z268" s="467"/>
      <c r="AA268" s="467"/>
      <c r="AB268" s="467"/>
      <c r="AC268" s="467" t="str">
        <f t="shared" si="25"/>
        <v>PH-Q</v>
      </c>
      <c r="AD268" s="467"/>
      <c r="AE268" s="467"/>
      <c r="AF268" s="467"/>
      <c r="AG268" s="473"/>
      <c r="AH268" s="467"/>
      <c r="AI268" s="467"/>
      <c r="AJ268" s="467"/>
      <c r="AK268" s="467" t="s">
        <v>139</v>
      </c>
      <c r="AL268" s="467"/>
      <c r="AM268" s="467"/>
      <c r="AN268" s="474">
        <v>5.5</v>
      </c>
      <c r="AO268" s="467"/>
      <c r="AP268" s="467"/>
      <c r="AQ268" s="466"/>
      <c r="AR268" s="466"/>
      <c r="AS268" s="466"/>
      <c r="AT268" s="466">
        <f>+ab($T$268,$T$266,$T$270,$G$267,$G$269,-1*$F$268,1200)</f>
        <v>-6.6909298621794076</v>
      </c>
      <c r="AU268" s="464"/>
      <c r="AV268" s="464"/>
      <c r="AW268" s="464"/>
      <c r="AX268" s="464"/>
      <c r="AY268" s="466"/>
      <c r="AZ268" s="466"/>
      <c r="BA268" s="674"/>
      <c r="BB268" s="467"/>
      <c r="BC268" s="169"/>
      <c r="BD268" s="1330"/>
      <c r="BE268" s="1329"/>
      <c r="BF268" s="1330"/>
      <c r="BG268" s="1329"/>
    </row>
    <row r="269" spans="1:59" ht="15.75" customHeight="1">
      <c r="A269" s="467"/>
      <c r="B269" s="467"/>
      <c r="C269" s="473"/>
      <c r="D269" s="467"/>
      <c r="E269" s="467"/>
      <c r="F269" s="469"/>
      <c r="G269" s="474">
        <v>47</v>
      </c>
      <c r="H269" s="467"/>
      <c r="I269" s="469"/>
      <c r="J269" s="473"/>
      <c r="K269" s="467"/>
      <c r="L269" s="467"/>
      <c r="M269" s="467"/>
      <c r="N269" s="467"/>
      <c r="O269" s="467"/>
      <c r="P269" s="467"/>
      <c r="Q269" s="467"/>
      <c r="R269" s="467"/>
      <c r="S269" s="474"/>
      <c r="T269" s="467"/>
      <c r="U269" s="467"/>
      <c r="V269" s="467"/>
      <c r="W269" s="467"/>
      <c r="X269" s="467"/>
      <c r="Y269" s="467"/>
      <c r="Z269" s="467"/>
      <c r="AA269" s="467"/>
      <c r="AB269" s="467"/>
      <c r="AC269" s="467"/>
      <c r="AD269" s="467"/>
      <c r="AE269" s="467"/>
      <c r="AF269" s="467"/>
      <c r="AG269" s="473"/>
      <c r="AH269" s="467"/>
      <c r="AI269" s="467"/>
      <c r="AJ269" s="467"/>
      <c r="AK269" s="467"/>
      <c r="AL269" s="467"/>
      <c r="AM269" s="467"/>
      <c r="AN269" s="474"/>
      <c r="AO269" s="467"/>
      <c r="AP269" s="467"/>
      <c r="AQ269" s="466">
        <f>+FL_2($T$270,$T$268,$G$269,1200,9.28,-1*$F$270)</f>
        <v>-0.35695465849645375</v>
      </c>
      <c r="AR269" s="466"/>
      <c r="AS269" s="466"/>
      <c r="AT269" s="466"/>
      <c r="AU269" s="464"/>
      <c r="AV269" s="464"/>
      <c r="AW269" s="464"/>
      <c r="AX269" s="464"/>
      <c r="AY269" s="466"/>
      <c r="AZ269" s="466"/>
      <c r="BA269" s="674"/>
      <c r="BB269" s="467"/>
      <c r="BC269" s="169"/>
      <c r="BD269" s="1330"/>
      <c r="BE269" s="1330"/>
      <c r="BF269" s="1330"/>
      <c r="BG269" s="1330"/>
    </row>
    <row r="270" spans="1:59" ht="15.75" customHeight="1">
      <c r="A270" s="1239"/>
      <c r="B270" s="1239" t="s">
        <v>2230</v>
      </c>
      <c r="C270" s="171">
        <f>+$C$268+$G$269</f>
        <v>91501.450000000012</v>
      </c>
      <c r="D270" s="1239"/>
      <c r="E270" s="1239"/>
      <c r="F270" s="448">
        <v>0</v>
      </c>
      <c r="G270" s="455"/>
      <c r="H270" s="1239"/>
      <c r="I270" s="448"/>
      <c r="J270" s="171"/>
      <c r="K270" s="1239"/>
      <c r="L270" s="638"/>
      <c r="M270" s="638"/>
      <c r="N270" s="1239" t="s">
        <v>844</v>
      </c>
      <c r="O270" s="1239"/>
      <c r="P270" s="1239"/>
      <c r="Q270" s="1239"/>
      <c r="R270" s="1239"/>
      <c r="S270" s="455"/>
      <c r="T270" s="1239">
        <v>35</v>
      </c>
      <c r="U270" s="1239"/>
      <c r="V270" s="1239"/>
      <c r="W270" s="1239">
        <v>1.4</v>
      </c>
      <c r="X270" s="1239"/>
      <c r="Y270" s="1239"/>
      <c r="Z270" s="1239"/>
      <c r="AA270" s="1239"/>
      <c r="AB270" s="1239"/>
      <c r="AC270" s="1239" t="str">
        <f t="shared" si="25"/>
        <v>PH-Q</v>
      </c>
      <c r="AD270" s="1239"/>
      <c r="AE270" s="1239"/>
      <c r="AF270" s="1239"/>
      <c r="AG270" s="171"/>
      <c r="AH270" s="1239"/>
      <c r="AI270" s="1239"/>
      <c r="AJ270" s="1239"/>
      <c r="AK270" s="1239" t="s">
        <v>139</v>
      </c>
      <c r="AL270" s="1239"/>
      <c r="AM270" s="1239"/>
      <c r="AN270" s="455">
        <v>5.5</v>
      </c>
      <c r="AO270" s="1239"/>
      <c r="AP270" s="1239"/>
      <c r="AQ270" s="484"/>
      <c r="AR270" s="484"/>
      <c r="AS270" s="484"/>
      <c r="AT270" s="484">
        <f>+ab($T$270,$T$268,$T$272,$G$269,$G$271,-1*$F$270,1200)</f>
        <v>5.9027993675350734</v>
      </c>
      <c r="AU270" s="638"/>
      <c r="AV270" s="638"/>
      <c r="AW270" s="638"/>
      <c r="AX270" s="638"/>
      <c r="AY270" s="484"/>
      <c r="AZ270" s="484"/>
      <c r="BA270" s="671"/>
      <c r="BB270" s="1239"/>
      <c r="BC270" s="169"/>
      <c r="BD270" s="1330"/>
      <c r="BE270" s="1329"/>
      <c r="BF270" s="1330"/>
      <c r="BG270" s="1329"/>
    </row>
    <row r="271" spans="1:59" ht="15.75" customHeight="1">
      <c r="A271" s="1239"/>
      <c r="B271" s="1239"/>
      <c r="C271" s="171"/>
      <c r="D271" s="1239"/>
      <c r="E271" s="1239"/>
      <c r="F271" s="448"/>
      <c r="G271" s="455">
        <v>40</v>
      </c>
      <c r="H271" s="1239"/>
      <c r="I271" s="448"/>
      <c r="J271" s="171"/>
      <c r="K271" s="1239"/>
      <c r="L271" s="1239"/>
      <c r="M271" s="1239"/>
      <c r="N271" s="1239"/>
      <c r="O271" s="1239"/>
      <c r="P271" s="1239"/>
      <c r="Q271" s="1239"/>
      <c r="R271" s="1239"/>
      <c r="S271" s="455"/>
      <c r="T271" s="1239"/>
      <c r="U271" s="1239"/>
      <c r="V271" s="1239"/>
      <c r="W271" s="1239"/>
      <c r="X271" s="1239"/>
      <c r="Y271" s="1239"/>
      <c r="Z271" s="1239"/>
      <c r="AA271" s="1239"/>
      <c r="AB271" s="1239"/>
      <c r="AC271" s="1239"/>
      <c r="AD271" s="1239"/>
      <c r="AE271" s="1239"/>
      <c r="AF271" s="1239"/>
      <c r="AG271" s="171"/>
      <c r="AH271" s="1239"/>
      <c r="AI271" s="1239"/>
      <c r="AJ271" s="1239"/>
      <c r="AK271" s="1239"/>
      <c r="AL271" s="1239"/>
      <c r="AM271" s="1239"/>
      <c r="AN271" s="455"/>
      <c r="AO271" s="1239"/>
      <c r="AP271" s="1239"/>
      <c r="AQ271" s="484">
        <f>+FL_1($T$272,$T$270,$G$271,1200,9.28,-1*$F$272)</f>
        <v>0.35000000000000125</v>
      </c>
      <c r="AR271" s="484"/>
      <c r="AS271" s="484"/>
      <c r="AT271" s="484"/>
      <c r="AU271" s="638"/>
      <c r="AV271" s="638"/>
      <c r="AW271" s="638"/>
      <c r="AX271" s="638"/>
      <c r="AY271" s="484"/>
      <c r="AZ271" s="484"/>
      <c r="BA271" s="671"/>
      <c r="BB271" s="1239"/>
      <c r="BC271" s="169"/>
      <c r="BD271" s="1330"/>
      <c r="BE271" s="1330"/>
      <c r="BF271" s="1330"/>
      <c r="BG271" s="1330"/>
    </row>
    <row r="272" spans="1:59" ht="15.75" customHeight="1">
      <c r="A272" s="1239"/>
      <c r="B272" s="1239" t="s">
        <v>2231</v>
      </c>
      <c r="C272" s="171">
        <f>+$C$270+$G$271</f>
        <v>91541.450000000012</v>
      </c>
      <c r="D272" s="1239"/>
      <c r="E272" s="1239"/>
      <c r="F272" s="448">
        <v>0</v>
      </c>
      <c r="G272" s="455"/>
      <c r="H272" s="1239"/>
      <c r="I272" s="448"/>
      <c r="J272" s="171"/>
      <c r="K272" s="1239"/>
      <c r="L272" s="638"/>
      <c r="M272" s="638"/>
      <c r="N272" s="1239" t="s">
        <v>843</v>
      </c>
      <c r="O272" s="1239"/>
      <c r="P272" s="1239"/>
      <c r="Q272" s="1239"/>
      <c r="R272" s="1239"/>
      <c r="S272" s="455"/>
      <c r="T272" s="1239">
        <v>-35</v>
      </c>
      <c r="U272" s="1239"/>
      <c r="V272" s="1239"/>
      <c r="W272" s="1239">
        <v>1.4</v>
      </c>
      <c r="X272" s="1239"/>
      <c r="Y272" s="1239"/>
      <c r="Z272" s="1239"/>
      <c r="AA272" s="1239"/>
      <c r="AB272" s="1239"/>
      <c r="AC272" s="1239" t="str">
        <f t="shared" si="25"/>
        <v>PH-C</v>
      </c>
      <c r="AD272" s="1239"/>
      <c r="AE272" s="1239"/>
      <c r="AF272" s="1239"/>
      <c r="AG272" s="171"/>
      <c r="AH272" s="1239"/>
      <c r="AI272" s="1239"/>
      <c r="AJ272" s="1239"/>
      <c r="AK272" s="1239" t="s">
        <v>139</v>
      </c>
      <c r="AL272" s="1239"/>
      <c r="AM272" s="1239"/>
      <c r="AN272" s="455">
        <v>5.5</v>
      </c>
      <c r="AO272" s="1239"/>
      <c r="AP272" s="1239"/>
      <c r="AQ272" s="484"/>
      <c r="AR272" s="484"/>
      <c r="AS272" s="484"/>
      <c r="AT272" s="484">
        <f>+ab($T$272,$T$270,$T$274,$G$271,$G$273,-1*$F$272,1200)</f>
        <v>-4.688920373877222</v>
      </c>
      <c r="AU272" s="638"/>
      <c r="AV272" s="638"/>
      <c r="AW272" s="638"/>
      <c r="AX272" s="638"/>
      <c r="AY272" s="484"/>
      <c r="AZ272" s="484"/>
      <c r="BA272" s="671"/>
      <c r="BB272" s="1239"/>
      <c r="BC272" s="169"/>
      <c r="BD272" s="1330"/>
      <c r="BE272" s="1329"/>
      <c r="BF272" s="1330"/>
      <c r="BG272" s="1329"/>
    </row>
    <row r="273" spans="1:59" ht="15.75" customHeight="1">
      <c r="A273" s="1239"/>
      <c r="B273" s="1239"/>
      <c r="C273" s="171"/>
      <c r="D273" s="1239"/>
      <c r="E273" s="1239"/>
      <c r="F273" s="448"/>
      <c r="G273" s="455">
        <v>30</v>
      </c>
      <c r="H273" s="1239"/>
      <c r="I273" s="448"/>
      <c r="J273" s="171"/>
      <c r="K273" s="1239"/>
      <c r="L273" s="1239"/>
      <c r="M273" s="1239"/>
      <c r="N273" s="1239"/>
      <c r="O273" s="1239"/>
      <c r="P273" s="1239"/>
      <c r="Q273" s="1239"/>
      <c r="R273" s="1239"/>
      <c r="S273" s="455"/>
      <c r="T273" s="1239"/>
      <c r="U273" s="1239"/>
      <c r="V273" s="1239"/>
      <c r="W273" s="1239"/>
      <c r="X273" s="1239"/>
      <c r="Y273" s="1239"/>
      <c r="Z273" s="1239"/>
      <c r="AA273" s="1239"/>
      <c r="AB273" s="1239"/>
      <c r="AC273" s="1239"/>
      <c r="AD273" s="1239"/>
      <c r="AE273" s="1239"/>
      <c r="AF273" s="1239"/>
      <c r="AG273" s="171"/>
      <c r="AH273" s="1239"/>
      <c r="AI273" s="1239"/>
      <c r="AJ273" s="1239"/>
      <c r="AK273" s="1239"/>
      <c r="AL273" s="1239"/>
      <c r="AM273" s="1239"/>
      <c r="AN273" s="455"/>
      <c r="AO273" s="1239"/>
      <c r="AP273" s="1239"/>
      <c r="AQ273" s="484">
        <f>+FL_2($T$274,$T$272,$G$273,1200,9.28,-1*$F$274)</f>
        <v>-0.35000000000002224</v>
      </c>
      <c r="AR273" s="484"/>
      <c r="AS273" s="484"/>
      <c r="AT273" s="484"/>
      <c r="AU273" s="638"/>
      <c r="AV273" s="638"/>
      <c r="AW273" s="638"/>
      <c r="AX273" s="638"/>
      <c r="AY273" s="484"/>
      <c r="AZ273" s="484"/>
      <c r="BA273" s="671"/>
      <c r="BB273" s="1239"/>
      <c r="BC273" s="169"/>
      <c r="BD273" s="1330"/>
      <c r="BE273" s="1330"/>
      <c r="BF273" s="1330"/>
      <c r="BG273" s="1330"/>
    </row>
    <row r="274" spans="1:59" ht="15.75" customHeight="1">
      <c r="A274" s="1239"/>
      <c r="B274" s="1239" t="s">
        <v>2232</v>
      </c>
      <c r="C274" s="171">
        <f>+$C$272+$G$273</f>
        <v>91571.450000000012</v>
      </c>
      <c r="D274" s="1239"/>
      <c r="E274" s="1239"/>
      <c r="F274" s="448">
        <v>0</v>
      </c>
      <c r="G274" s="455"/>
      <c r="H274" s="1239"/>
      <c r="I274" s="448"/>
      <c r="J274" s="171"/>
      <c r="K274" s="1239"/>
      <c r="L274" s="638"/>
      <c r="M274" s="638"/>
      <c r="N274" s="1239" t="s">
        <v>844</v>
      </c>
      <c r="O274" s="1239"/>
      <c r="P274" s="1239"/>
      <c r="Q274" s="1239"/>
      <c r="R274" s="1239"/>
      <c r="S274" s="455"/>
      <c r="T274" s="1239">
        <v>35</v>
      </c>
      <c r="U274" s="1239"/>
      <c r="V274" s="1239"/>
      <c r="W274" s="1239">
        <v>1.4</v>
      </c>
      <c r="X274" s="1239"/>
      <c r="Y274" s="1239"/>
      <c r="Z274" s="1239"/>
      <c r="AA274" s="1239"/>
      <c r="AB274" s="1239"/>
      <c r="AC274" s="1239" t="str">
        <f t="shared" si="25"/>
        <v>PH-C</v>
      </c>
      <c r="AD274" s="1239"/>
      <c r="AE274" s="1239"/>
      <c r="AF274" s="1239"/>
      <c r="AG274" s="171"/>
      <c r="AH274" s="1239"/>
      <c r="AI274" s="1239"/>
      <c r="AJ274" s="1239"/>
      <c r="AK274" s="1239" t="s">
        <v>139</v>
      </c>
      <c r="AL274" s="1239"/>
      <c r="AM274" s="1239"/>
      <c r="AN274" s="455">
        <v>5.5</v>
      </c>
      <c r="AO274" s="1239"/>
      <c r="AP274" s="1239"/>
      <c r="AQ274" s="484"/>
      <c r="AR274" s="484"/>
      <c r="AS274" s="484"/>
      <c r="AT274" s="484">
        <f>+ab($T$274,$T$272,$T$276,$G$273,$G$275,-1*$F$274,1200)</f>
        <v>4.4597015880513418</v>
      </c>
      <c r="AU274" s="638"/>
      <c r="AV274" s="638"/>
      <c r="AW274" s="638"/>
      <c r="AX274" s="638"/>
      <c r="AY274" s="484"/>
      <c r="AZ274" s="484"/>
      <c r="BA274" s="671"/>
      <c r="BB274" s="1239"/>
      <c r="BC274" s="169"/>
      <c r="BD274" s="1330"/>
      <c r="BE274" s="1329"/>
      <c r="BF274" s="1330"/>
      <c r="BG274" s="1329"/>
    </row>
    <row r="275" spans="1:59" ht="15.75" customHeight="1">
      <c r="A275" s="1239"/>
      <c r="B275" s="1239"/>
      <c r="C275" s="171"/>
      <c r="D275" s="1239"/>
      <c r="E275" s="1239"/>
      <c r="F275" s="448"/>
      <c r="G275" s="455">
        <v>35.700000000000003</v>
      </c>
      <c r="H275" s="455"/>
      <c r="I275" s="448">
        <f>SUM(G253:G275)</f>
        <v>529.6</v>
      </c>
      <c r="J275" s="171"/>
      <c r="K275" s="1239"/>
      <c r="L275" s="1239"/>
      <c r="M275" s="1239"/>
      <c r="N275" s="1239"/>
      <c r="O275" s="1239"/>
      <c r="P275" s="1239"/>
      <c r="Q275" s="1239"/>
      <c r="R275" s="1239"/>
      <c r="S275" s="455"/>
      <c r="T275" s="1239"/>
      <c r="U275" s="1239"/>
      <c r="V275" s="1239"/>
      <c r="W275" s="1239"/>
      <c r="X275" s="1239"/>
      <c r="Y275" s="1239"/>
      <c r="Z275" s="1239"/>
      <c r="AA275" s="1239"/>
      <c r="AB275" s="1239"/>
      <c r="AC275" s="1239"/>
      <c r="AD275" s="1239"/>
      <c r="AE275" s="1239"/>
      <c r="AF275" s="1239"/>
      <c r="AG275" s="171"/>
      <c r="AH275" s="1239"/>
      <c r="AI275" s="1239"/>
      <c r="AJ275" s="1239"/>
      <c r="AK275" s="1239" t="s">
        <v>2760</v>
      </c>
      <c r="AL275" s="1239"/>
      <c r="AM275" s="1239"/>
      <c r="AN275" s="455"/>
      <c r="AO275" s="1239"/>
      <c r="AP275" s="1239"/>
      <c r="AQ275" s="484">
        <f>+FL_1($T$276,$T$274,$G$275,1200,9.28,-1*$F$276)</f>
        <v>0.35000000000000847</v>
      </c>
      <c r="AR275" s="484"/>
      <c r="AS275" s="484"/>
      <c r="AT275" s="484"/>
      <c r="AU275" s="638"/>
      <c r="AV275" s="638"/>
      <c r="AW275" s="638"/>
      <c r="AX275" s="638"/>
      <c r="AY275" s="484"/>
      <c r="AZ275" s="484"/>
      <c r="BA275" s="671"/>
      <c r="BB275" s="1239"/>
      <c r="BC275" s="169"/>
      <c r="BD275" s="1330"/>
      <c r="BE275" s="1330"/>
      <c r="BF275" s="1330"/>
      <c r="BG275" s="1330"/>
    </row>
    <row r="276" spans="1:59" ht="15.75" customHeight="1">
      <c r="A276" s="1239"/>
      <c r="B276" s="1239" t="s">
        <v>2233</v>
      </c>
      <c r="C276" s="171">
        <f>+$C$274+$G$275</f>
        <v>91607.150000000009</v>
      </c>
      <c r="D276" s="1239"/>
      <c r="E276" s="1239"/>
      <c r="F276" s="448">
        <v>0</v>
      </c>
      <c r="G276" s="455"/>
      <c r="H276" s="1239" t="s">
        <v>874</v>
      </c>
      <c r="I276" s="448"/>
      <c r="J276" s="171"/>
      <c r="K276" s="1239"/>
      <c r="L276" s="638"/>
      <c r="M276" s="638"/>
      <c r="N276" s="1239" t="s">
        <v>843</v>
      </c>
      <c r="O276" s="1239"/>
      <c r="P276" s="1239"/>
      <c r="Q276" s="1239"/>
      <c r="R276" s="1239"/>
      <c r="S276" s="455"/>
      <c r="T276" s="1239">
        <v>-35</v>
      </c>
      <c r="U276" s="1239"/>
      <c r="V276" s="1239"/>
      <c r="W276" s="1239">
        <v>1.4</v>
      </c>
      <c r="X276" s="1239"/>
      <c r="Y276" s="1239"/>
      <c r="Z276" s="1239"/>
      <c r="AA276" s="1239"/>
      <c r="AB276" s="1239"/>
      <c r="AC276" s="1239" t="str">
        <f t="shared" si="25"/>
        <v>PH-C</v>
      </c>
      <c r="AD276" s="1239"/>
      <c r="AE276" s="1239"/>
      <c r="AF276" s="1239"/>
      <c r="AG276" s="171"/>
      <c r="AH276" s="1239"/>
      <c r="AI276" s="1239"/>
      <c r="AJ276" s="1239"/>
      <c r="AK276" s="1239" t="s">
        <v>139</v>
      </c>
      <c r="AL276" s="1239"/>
      <c r="AM276" s="1239"/>
      <c r="AN276" s="455">
        <v>5.5</v>
      </c>
      <c r="AO276" s="1239"/>
      <c r="AP276" s="1239"/>
      <c r="AQ276" s="484"/>
      <c r="AR276" s="484"/>
      <c r="AS276" s="484"/>
      <c r="AT276" s="484">
        <f>+ab($T$276,$T$274,$T$278,$G$275,$G$277,-1*$F$276,1200)</f>
        <v>-4.690449122659591</v>
      </c>
      <c r="AU276" s="638"/>
      <c r="AV276" s="638"/>
      <c r="AW276" s="638"/>
      <c r="AX276" s="638"/>
      <c r="AY276" s="484"/>
      <c r="AZ276" s="484"/>
      <c r="BA276" s="671"/>
      <c r="BB276" s="1239"/>
      <c r="BC276" s="169"/>
      <c r="BD276" s="1330"/>
      <c r="BE276" s="1329"/>
      <c r="BF276" s="1330"/>
      <c r="BG276" s="1329"/>
    </row>
    <row r="277" spans="1:59" ht="15.75" customHeight="1">
      <c r="A277" s="1239"/>
      <c r="B277" s="1239"/>
      <c r="C277" s="171"/>
      <c r="D277" s="1239"/>
      <c r="E277" s="1239"/>
      <c r="F277" s="448"/>
      <c r="G277" s="455">
        <v>33</v>
      </c>
      <c r="H277" s="1239"/>
      <c r="I277" s="448">
        <f>SUM(G277:G305)</f>
        <v>562.29999999999995</v>
      </c>
      <c r="J277" s="171"/>
      <c r="K277" s="1239"/>
      <c r="L277" s="1239"/>
      <c r="M277" s="1239"/>
      <c r="N277" s="1239"/>
      <c r="O277" s="1239"/>
      <c r="P277" s="1239"/>
      <c r="Q277" s="1239"/>
      <c r="R277" s="1239"/>
      <c r="S277" s="455"/>
      <c r="T277" s="1239"/>
      <c r="U277" s="1239"/>
      <c r="V277" s="1239"/>
      <c r="W277" s="1239"/>
      <c r="X277" s="1239"/>
      <c r="Y277" s="1239"/>
      <c r="Z277" s="1239"/>
      <c r="AA277" s="1239"/>
      <c r="AB277" s="1239"/>
      <c r="AC277" s="1239"/>
      <c r="AD277" s="1239"/>
      <c r="AE277" s="1239"/>
      <c r="AF277" s="1239"/>
      <c r="AG277" s="171"/>
      <c r="AH277" s="1239"/>
      <c r="AI277" s="1239"/>
      <c r="AJ277" s="1239"/>
      <c r="AK277" s="1239" t="s">
        <v>2760</v>
      </c>
      <c r="AL277" s="1239"/>
      <c r="AM277" s="1239"/>
      <c r="AN277" s="455"/>
      <c r="AO277" s="1239"/>
      <c r="AP277" s="1239"/>
      <c r="AQ277" s="484">
        <f>+FL_2($T$278,$T$276,$G$277,1200,9.28,-1*$F$278)</f>
        <v>-0.35000000000001691</v>
      </c>
      <c r="AR277" s="484"/>
      <c r="AS277" s="484"/>
      <c r="AT277" s="484"/>
      <c r="AU277" s="638"/>
      <c r="AV277" s="638"/>
      <c r="AW277" s="638"/>
      <c r="AX277" s="638"/>
      <c r="AY277" s="484"/>
      <c r="AZ277" s="484"/>
      <c r="BA277" s="671"/>
      <c r="BB277" s="1239"/>
      <c r="BC277" s="169"/>
      <c r="BD277" s="1330"/>
      <c r="BE277" s="1330"/>
      <c r="BF277" s="1330"/>
      <c r="BG277" s="1330"/>
    </row>
    <row r="278" spans="1:59" ht="15.75" customHeight="1">
      <c r="A278" s="1239"/>
      <c r="B278" s="1239" t="s">
        <v>2234</v>
      </c>
      <c r="C278" s="171">
        <f>+$C$276+$G$277</f>
        <v>91640.150000000009</v>
      </c>
      <c r="D278" s="1239"/>
      <c r="E278" s="1239"/>
      <c r="F278" s="448">
        <v>0</v>
      </c>
      <c r="G278" s="455"/>
      <c r="H278" s="1239"/>
      <c r="I278" s="448"/>
      <c r="J278" s="171"/>
      <c r="K278" s="1239"/>
      <c r="L278" s="638"/>
      <c r="M278" s="638"/>
      <c r="N278" s="1239" t="s">
        <v>844</v>
      </c>
      <c r="O278" s="1239"/>
      <c r="P278" s="1239"/>
      <c r="Q278" s="1239"/>
      <c r="R278" s="1239"/>
      <c r="S278" s="455"/>
      <c r="T278" s="1239">
        <v>35</v>
      </c>
      <c r="U278" s="1239"/>
      <c r="V278" s="1239"/>
      <c r="W278" s="1239">
        <v>1.4</v>
      </c>
      <c r="X278" s="1239"/>
      <c r="Y278" s="1239"/>
      <c r="Z278" s="1239"/>
      <c r="AA278" s="1239"/>
      <c r="AB278" s="1239"/>
      <c r="AC278" s="1239" t="str">
        <f t="shared" si="25"/>
        <v>PH-C</v>
      </c>
      <c r="AD278" s="1239"/>
      <c r="AE278" s="1239"/>
      <c r="AF278" s="1239"/>
      <c r="AG278" s="171"/>
      <c r="AH278" s="1239"/>
      <c r="AI278" s="1239"/>
      <c r="AJ278" s="1239"/>
      <c r="AK278" s="1239" t="s">
        <v>139</v>
      </c>
      <c r="AL278" s="1239"/>
      <c r="AM278" s="1239"/>
      <c r="AN278" s="455">
        <v>5.5</v>
      </c>
      <c r="AO278" s="1239"/>
      <c r="AP278" s="1239"/>
      <c r="AQ278" s="484"/>
      <c r="AR278" s="484"/>
      <c r="AS278" s="484"/>
      <c r="AT278" s="484">
        <f>+ab($T$278,$T$276,$T$280,$G$277,$G$279,-1*$F$278,1200)</f>
        <v>4.5138192100696939</v>
      </c>
      <c r="AU278" s="638"/>
      <c r="AV278" s="638"/>
      <c r="AW278" s="638"/>
      <c r="AX278" s="638"/>
      <c r="AY278" s="484"/>
      <c r="AZ278" s="484"/>
      <c r="BA278" s="671"/>
      <c r="BB278" s="1239"/>
      <c r="BC278" s="169"/>
      <c r="BD278" s="1330"/>
      <c r="BE278" s="1329"/>
      <c r="BF278" s="1330"/>
      <c r="BG278" s="1329"/>
    </row>
    <row r="279" spans="1:59" ht="15.75" customHeight="1">
      <c r="A279" s="1239"/>
      <c r="B279" s="1239"/>
      <c r="C279" s="171"/>
      <c r="D279" s="1239"/>
      <c r="E279" s="1239"/>
      <c r="F279" s="448"/>
      <c r="G279" s="455">
        <v>33</v>
      </c>
      <c r="H279" s="1239"/>
      <c r="I279" s="448"/>
      <c r="J279" s="171"/>
      <c r="K279" s="1239"/>
      <c r="L279" s="1239"/>
      <c r="M279" s="1239"/>
      <c r="N279" s="1239"/>
      <c r="O279" s="1239"/>
      <c r="P279" s="1239"/>
      <c r="Q279" s="1239"/>
      <c r="R279" s="1239"/>
      <c r="S279" s="455"/>
      <c r="T279" s="1239"/>
      <c r="U279" s="1239"/>
      <c r="V279" s="1239"/>
      <c r="W279" s="1239"/>
      <c r="X279" s="1239"/>
      <c r="Y279" s="1239"/>
      <c r="Z279" s="1239"/>
      <c r="AA279" s="1239"/>
      <c r="AB279" s="1239"/>
      <c r="AC279" s="1239"/>
      <c r="AD279" s="1239"/>
      <c r="AE279" s="1239"/>
      <c r="AF279" s="1239"/>
      <c r="AG279" s="171"/>
      <c r="AH279" s="1239"/>
      <c r="AI279" s="1239"/>
      <c r="AJ279" s="1239"/>
      <c r="AK279" s="1239"/>
      <c r="AL279" s="1239"/>
      <c r="AM279" s="1239"/>
      <c r="AN279" s="455"/>
      <c r="AO279" s="1239"/>
      <c r="AP279" s="1239"/>
      <c r="AQ279" s="484">
        <f>+FL_1($T$280,$T$278,$G$279,1200,9.28,-1*$F$280)</f>
        <v>0.35000000000001691</v>
      </c>
      <c r="AR279" s="484"/>
      <c r="AS279" s="484"/>
      <c r="AT279" s="484"/>
      <c r="AU279" s="638"/>
      <c r="AV279" s="638"/>
      <c r="AW279" s="638"/>
      <c r="AX279" s="638"/>
      <c r="AY279" s="484"/>
      <c r="AZ279" s="484"/>
      <c r="BA279" s="671"/>
      <c r="BB279" s="1239"/>
      <c r="BC279" s="169"/>
      <c r="BD279" s="1330"/>
      <c r="BE279" s="1330"/>
      <c r="BF279" s="1330"/>
      <c r="BG279" s="1330"/>
    </row>
    <row r="280" spans="1:59" ht="15.75" customHeight="1">
      <c r="A280" s="1239"/>
      <c r="B280" s="1239" t="s">
        <v>2235</v>
      </c>
      <c r="C280" s="171">
        <f>+$C$278+$G$279</f>
        <v>91673.150000000009</v>
      </c>
      <c r="D280" s="1239"/>
      <c r="E280" s="1239"/>
      <c r="F280" s="448">
        <v>0</v>
      </c>
      <c r="G280" s="455"/>
      <c r="H280" s="1239"/>
      <c r="I280" s="448"/>
      <c r="J280" s="171"/>
      <c r="K280" s="1239"/>
      <c r="L280" s="638"/>
      <c r="M280" s="638"/>
      <c r="N280" s="1239" t="s">
        <v>843</v>
      </c>
      <c r="O280" s="1239"/>
      <c r="P280" s="1239"/>
      <c r="Q280" s="1239"/>
      <c r="R280" s="1239"/>
      <c r="S280" s="455"/>
      <c r="T280" s="1239">
        <v>-35</v>
      </c>
      <c r="U280" s="1239"/>
      <c r="V280" s="1239"/>
      <c r="W280" s="1239">
        <v>1.4</v>
      </c>
      <c r="X280" s="1239"/>
      <c r="Y280" s="1239"/>
      <c r="Z280" s="1239"/>
      <c r="AA280" s="1239"/>
      <c r="AB280" s="1239"/>
      <c r="AC280" s="1239" t="str">
        <f t="shared" si="25"/>
        <v>PH-C</v>
      </c>
      <c r="AD280" s="1239"/>
      <c r="AE280" s="1239"/>
      <c r="AF280" s="1239"/>
      <c r="AG280" s="171"/>
      <c r="AH280" s="1239"/>
      <c r="AI280" s="1239"/>
      <c r="AJ280" s="1239"/>
      <c r="AK280" s="1239" t="s">
        <v>139</v>
      </c>
      <c r="AL280" s="1239"/>
      <c r="AM280" s="1239"/>
      <c r="AN280" s="455">
        <v>5.5</v>
      </c>
      <c r="AO280" s="1239"/>
      <c r="AP280" s="1239"/>
      <c r="AQ280" s="484"/>
      <c r="AR280" s="484"/>
      <c r="AS280" s="484"/>
      <c r="AT280" s="484">
        <f>+ab($T$280,$T$278,$T$282,$G$279,$G$281,-1*$F$280,1200)</f>
        <v>-4.5138262032686756</v>
      </c>
      <c r="AU280" s="638"/>
      <c r="AV280" s="638"/>
      <c r="AW280" s="638"/>
      <c r="AX280" s="638"/>
      <c r="AY280" s="484"/>
      <c r="AZ280" s="484"/>
      <c r="BA280" s="671"/>
      <c r="BB280" s="1239"/>
      <c r="BC280" s="169"/>
      <c r="BD280" s="1330"/>
      <c r="BE280" s="1329"/>
      <c r="BF280" s="1330"/>
      <c r="BG280" s="1329"/>
    </row>
    <row r="281" spans="1:59" ht="15.75" customHeight="1">
      <c r="A281" s="1239"/>
      <c r="B281" s="1239"/>
      <c r="C281" s="171"/>
      <c r="D281" s="1239"/>
      <c r="E281" s="1239"/>
      <c r="F281" s="448"/>
      <c r="G281" s="455">
        <v>33</v>
      </c>
      <c r="H281" s="1239"/>
      <c r="I281" s="448"/>
      <c r="J281" s="171"/>
      <c r="K281" s="1239"/>
      <c r="L281" s="1239"/>
      <c r="M281" s="1239"/>
      <c r="N281" s="1239"/>
      <c r="O281" s="1239"/>
      <c r="P281" s="1239"/>
      <c r="Q281" s="1239"/>
      <c r="R281" s="1239"/>
      <c r="S281" s="455"/>
      <c r="T281" s="1239"/>
      <c r="U281" s="1239"/>
      <c r="V281" s="1239"/>
      <c r="W281" s="1239"/>
      <c r="X281" s="1239"/>
      <c r="Y281" s="1239"/>
      <c r="Z281" s="1239"/>
      <c r="AA281" s="1239"/>
      <c r="AB281" s="1239"/>
      <c r="AC281" s="1239"/>
      <c r="AD281" s="1239"/>
      <c r="AE281" s="1239"/>
      <c r="AF281" s="1239"/>
      <c r="AG281" s="171"/>
      <c r="AH281" s="1239"/>
      <c r="AI281" s="1239"/>
      <c r="AJ281" s="1239"/>
      <c r="AK281" s="1239"/>
      <c r="AL281" s="1239"/>
      <c r="AM281" s="1239"/>
      <c r="AN281" s="455"/>
      <c r="AO281" s="1239"/>
      <c r="AP281" s="1239"/>
      <c r="AQ281" s="484">
        <f>+FL_2($T$282,$T$280,$G$281,1200,9.28,-1*$F$282)</f>
        <v>-0.35000000000001691</v>
      </c>
      <c r="AR281" s="484"/>
      <c r="AS281" s="484"/>
      <c r="AT281" s="484"/>
      <c r="AU281" s="638"/>
      <c r="AV281" s="638"/>
      <c r="AW281" s="638"/>
      <c r="AX281" s="638"/>
      <c r="AY281" s="484"/>
      <c r="AZ281" s="484"/>
      <c r="BA281" s="671"/>
      <c r="BB281" s="1239"/>
      <c r="BC281" s="169"/>
      <c r="BD281" s="1330"/>
      <c r="BE281" s="1330"/>
      <c r="BF281" s="1330"/>
      <c r="BG281" s="1330"/>
    </row>
    <row r="282" spans="1:59" ht="15.75" customHeight="1">
      <c r="A282" s="1239"/>
      <c r="B282" s="1239" t="s">
        <v>2236</v>
      </c>
      <c r="C282" s="171">
        <f>+$C$280+$G$281</f>
        <v>91706.150000000009</v>
      </c>
      <c r="D282" s="1239"/>
      <c r="E282" s="1239"/>
      <c r="F282" s="448">
        <v>0</v>
      </c>
      <c r="G282" s="455"/>
      <c r="H282" s="1239"/>
      <c r="I282" s="448"/>
      <c r="J282" s="171"/>
      <c r="K282" s="1239"/>
      <c r="L282" s="638"/>
      <c r="M282" s="638"/>
      <c r="N282" s="1239" t="s">
        <v>844</v>
      </c>
      <c r="O282" s="1239"/>
      <c r="P282" s="1239"/>
      <c r="Q282" s="1239"/>
      <c r="R282" s="1239"/>
      <c r="S282" s="455"/>
      <c r="T282" s="1239">
        <v>35</v>
      </c>
      <c r="U282" s="1239"/>
      <c r="V282" s="1239"/>
      <c r="W282" s="1239">
        <v>1.4</v>
      </c>
      <c r="X282" s="1239"/>
      <c r="Y282" s="1239"/>
      <c r="Z282" s="1239"/>
      <c r="AA282" s="1239"/>
      <c r="AB282" s="1239"/>
      <c r="AC282" s="1239" t="str">
        <f t="shared" si="25"/>
        <v>PH-C</v>
      </c>
      <c r="AD282" s="1239"/>
      <c r="AE282" s="1239"/>
      <c r="AF282" s="1239"/>
      <c r="AG282" s="171"/>
      <c r="AH282" s="1239"/>
      <c r="AI282" s="1239"/>
      <c r="AJ282" s="1239"/>
      <c r="AK282" s="1239" t="s">
        <v>139</v>
      </c>
      <c r="AL282" s="1239"/>
      <c r="AM282" s="1239"/>
      <c r="AN282" s="455">
        <v>5.5</v>
      </c>
      <c r="AO282" s="1239"/>
      <c r="AP282" s="1239"/>
      <c r="AQ282" s="484"/>
      <c r="AR282" s="484"/>
      <c r="AS282" s="484"/>
      <c r="AT282" s="484">
        <f>+ab($T$282,$T$280,$T$284,$G$281,$G$283,-1*$F$282,1200)</f>
        <v>4.4376221202531516</v>
      </c>
      <c r="AU282" s="638"/>
      <c r="AV282" s="638"/>
      <c r="AW282" s="638"/>
      <c r="AX282" s="638"/>
      <c r="AY282" s="484"/>
      <c r="AZ282" s="484"/>
      <c r="BA282" s="671"/>
      <c r="BB282" s="1239"/>
      <c r="BC282" s="169"/>
      <c r="BD282" s="1330"/>
      <c r="BE282" s="1329"/>
      <c r="BF282" s="1330"/>
      <c r="BG282" s="1329"/>
    </row>
    <row r="283" spans="1:59" ht="15.75" customHeight="1">
      <c r="A283" s="1239"/>
      <c r="B283" s="1239"/>
      <c r="C283" s="171"/>
      <c r="D283" s="1239"/>
      <c r="E283" s="1239"/>
      <c r="F283" s="448"/>
      <c r="G283" s="455">
        <v>31.9</v>
      </c>
      <c r="H283" s="1239"/>
      <c r="I283" s="448"/>
      <c r="J283" s="171"/>
      <c r="K283" s="1239"/>
      <c r="L283" s="1239"/>
      <c r="M283" s="1239"/>
      <c r="N283" s="1239"/>
      <c r="O283" s="1239"/>
      <c r="P283" s="1239"/>
      <c r="Q283" s="1239"/>
      <c r="R283" s="1239"/>
      <c r="S283" s="455"/>
      <c r="T283" s="1239"/>
      <c r="U283" s="1239"/>
      <c r="V283" s="1239"/>
      <c r="W283" s="1239"/>
      <c r="X283" s="1239"/>
      <c r="Y283" s="1239"/>
      <c r="Z283" s="1239"/>
      <c r="AA283" s="1239"/>
      <c r="AB283" s="1239"/>
      <c r="AC283" s="1239"/>
      <c r="AD283" s="1239"/>
      <c r="AE283" s="1239"/>
      <c r="AF283" s="1239"/>
      <c r="AG283" s="171"/>
      <c r="AH283" s="1239"/>
      <c r="AI283" s="1239"/>
      <c r="AJ283" s="1239"/>
      <c r="AK283" s="1239"/>
      <c r="AL283" s="1239"/>
      <c r="AM283" s="1239"/>
      <c r="AN283" s="455"/>
      <c r="AO283" s="1239"/>
      <c r="AP283" s="1239"/>
      <c r="AQ283" s="484">
        <f>+FL_1($T$284,$T$282,$G$283,1200,9.28,-1*$F$284)</f>
        <v>0.35000000000002102</v>
      </c>
      <c r="AR283" s="484"/>
      <c r="AS283" s="484"/>
      <c r="AT283" s="484"/>
      <c r="AU283" s="638"/>
      <c r="AV283" s="638"/>
      <c r="AW283" s="638"/>
      <c r="AX283" s="638"/>
      <c r="AY283" s="484"/>
      <c r="AZ283" s="484"/>
      <c r="BA283" s="671"/>
      <c r="BB283" s="1239"/>
      <c r="BC283" s="169"/>
      <c r="BD283" s="1330"/>
      <c r="BE283" s="1330"/>
      <c r="BF283" s="1330"/>
      <c r="BG283" s="1330"/>
    </row>
    <row r="284" spans="1:59" ht="15.75" customHeight="1">
      <c r="A284" s="1239"/>
      <c r="B284" s="1239" t="s">
        <v>2237</v>
      </c>
      <c r="C284" s="171">
        <f>+$C$282+$G$283</f>
        <v>91738.05</v>
      </c>
      <c r="D284" s="1239"/>
      <c r="E284" s="1239"/>
      <c r="F284" s="448">
        <v>0</v>
      </c>
      <c r="G284" s="455"/>
      <c r="H284" s="1239"/>
      <c r="I284" s="448"/>
      <c r="J284" s="171"/>
      <c r="K284" s="1239"/>
      <c r="L284" s="638"/>
      <c r="M284" s="638"/>
      <c r="N284" s="1239" t="s">
        <v>843</v>
      </c>
      <c r="O284" s="1239"/>
      <c r="P284" s="1239"/>
      <c r="Q284" s="1239"/>
      <c r="R284" s="1239"/>
      <c r="S284" s="455"/>
      <c r="T284" s="1239">
        <v>-35</v>
      </c>
      <c r="U284" s="1239"/>
      <c r="V284" s="1239"/>
      <c r="W284" s="1239">
        <v>1.4</v>
      </c>
      <c r="X284" s="1239"/>
      <c r="Y284" s="1239"/>
      <c r="Z284" s="1239"/>
      <c r="AA284" s="1239"/>
      <c r="AB284" s="1239"/>
      <c r="AC284" s="1239" t="str">
        <f t="shared" si="25"/>
        <v>PH-C</v>
      </c>
      <c r="AD284" s="1239"/>
      <c r="AE284" s="1239"/>
      <c r="AF284" s="1239"/>
      <c r="AG284" s="171"/>
      <c r="AH284" s="1239"/>
      <c r="AI284" s="1239"/>
      <c r="AJ284" s="1239"/>
      <c r="AK284" s="1239" t="s">
        <v>139</v>
      </c>
      <c r="AL284" s="1239"/>
      <c r="AM284" s="1239"/>
      <c r="AN284" s="455">
        <v>5.5</v>
      </c>
      <c r="AO284" s="1239"/>
      <c r="AP284" s="1239"/>
      <c r="AQ284" s="484"/>
      <c r="AR284" s="484"/>
      <c r="AS284" s="484"/>
      <c r="AT284" s="484">
        <f>+ab($T$284,$T$282,$T$286,$G$283,$G$285,-1*$F$284,1200)</f>
        <v>-4.3843010047193944</v>
      </c>
      <c r="AU284" s="638"/>
      <c r="AV284" s="638"/>
      <c r="AW284" s="638"/>
      <c r="AX284" s="638"/>
      <c r="AY284" s="484"/>
      <c r="AZ284" s="484"/>
      <c r="BA284" s="671"/>
      <c r="BB284" s="1239"/>
      <c r="BC284" s="169"/>
      <c r="BD284" s="1330"/>
      <c r="BE284" s="1329"/>
      <c r="BF284" s="1330"/>
      <c r="BG284" s="1329"/>
    </row>
    <row r="285" spans="1:59" ht="15.75" customHeight="1">
      <c r="A285" s="1239"/>
      <c r="B285" s="1239"/>
      <c r="C285" s="171"/>
      <c r="D285" s="1239"/>
      <c r="E285" s="1239"/>
      <c r="F285" s="448"/>
      <c r="G285" s="455">
        <v>32.200000000000003</v>
      </c>
      <c r="H285" s="1239"/>
      <c r="I285" s="448"/>
      <c r="J285" s="171"/>
      <c r="K285" s="1239"/>
      <c r="L285" s="1239"/>
      <c r="M285" s="1239"/>
      <c r="N285" s="1239"/>
      <c r="O285" s="1239"/>
      <c r="P285" s="1239"/>
      <c r="Q285" s="1239"/>
      <c r="R285" s="1239"/>
      <c r="S285" s="455"/>
      <c r="T285" s="1239"/>
      <c r="U285" s="1239"/>
      <c r="V285" s="1239"/>
      <c r="W285" s="1239"/>
      <c r="X285" s="1239"/>
      <c r="Y285" s="1239"/>
      <c r="Z285" s="1239"/>
      <c r="AA285" s="1239"/>
      <c r="AB285" s="1239"/>
      <c r="AC285" s="1239"/>
      <c r="AD285" s="1239"/>
      <c r="AE285" s="1239"/>
      <c r="AF285" s="1239"/>
      <c r="AG285" s="171"/>
      <c r="AH285" s="1239"/>
      <c r="AI285" s="1239"/>
      <c r="AJ285" s="1239"/>
      <c r="AK285" s="1239"/>
      <c r="AL285" s="1239"/>
      <c r="AM285" s="1239"/>
      <c r="AN285" s="455"/>
      <c r="AO285" s="1239"/>
      <c r="AP285" s="1239"/>
      <c r="AQ285" s="484">
        <f>+FL_2($T$286,$T$284,$G$285,1200,9.28,-1*$F$286)</f>
        <v>-0.35000000000002007</v>
      </c>
      <c r="AR285" s="484"/>
      <c r="AS285" s="484"/>
      <c r="AT285" s="484"/>
      <c r="AU285" s="638"/>
      <c r="AV285" s="638"/>
      <c r="AW285" s="638"/>
      <c r="AX285" s="638"/>
      <c r="AY285" s="484"/>
      <c r="AZ285" s="484"/>
      <c r="BA285" s="671"/>
      <c r="BB285" s="1239"/>
      <c r="BC285" s="169"/>
      <c r="BD285" s="1330"/>
      <c r="BE285" s="1330"/>
      <c r="BF285" s="1330"/>
      <c r="BG285" s="1330"/>
    </row>
    <row r="286" spans="1:59" ht="15.75" customHeight="1">
      <c r="A286" s="1239"/>
      <c r="B286" s="1239" t="s">
        <v>2238</v>
      </c>
      <c r="C286" s="171">
        <f>+$C$284+$G$285</f>
        <v>91770.25</v>
      </c>
      <c r="D286" s="1239"/>
      <c r="E286" s="1239"/>
      <c r="F286" s="448">
        <v>0</v>
      </c>
      <c r="G286" s="455"/>
      <c r="H286" s="1239"/>
      <c r="I286" s="448"/>
      <c r="J286" s="171"/>
      <c r="K286" s="1239"/>
      <c r="L286" s="638"/>
      <c r="M286" s="638"/>
      <c r="N286" s="1239" t="s">
        <v>844</v>
      </c>
      <c r="O286" s="1239"/>
      <c r="P286" s="1239"/>
      <c r="Q286" s="1239"/>
      <c r="R286" s="1239"/>
      <c r="S286" s="455"/>
      <c r="T286" s="1239">
        <v>35</v>
      </c>
      <c r="U286" s="1239"/>
      <c r="V286" s="1239"/>
      <c r="W286" s="1239">
        <v>1.4</v>
      </c>
      <c r="X286" s="1239"/>
      <c r="Y286" s="1239"/>
      <c r="Z286" s="1239"/>
      <c r="AA286" s="1239"/>
      <c r="AB286" s="1239"/>
      <c r="AC286" s="1239" t="str">
        <f t="shared" si="25"/>
        <v>PH-C</v>
      </c>
      <c r="AD286" s="1239"/>
      <c r="AE286" s="1239"/>
      <c r="AF286" s="1239"/>
      <c r="AG286" s="171"/>
      <c r="AH286" s="1239"/>
      <c r="AI286" s="1239"/>
      <c r="AJ286" s="1239"/>
      <c r="AK286" s="1239" t="s">
        <v>139</v>
      </c>
      <c r="AL286" s="1239"/>
      <c r="AM286" s="1239"/>
      <c r="AN286" s="455">
        <v>5.5</v>
      </c>
      <c r="AO286" s="1239"/>
      <c r="AP286" s="1239"/>
      <c r="AQ286" s="484"/>
      <c r="AR286" s="484"/>
      <c r="AS286" s="484"/>
      <c r="AT286" s="484">
        <f>+ab($T$286,$T$284,$T$288,$G$285,$G$287,-1*$F$286,1200)</f>
        <v>4.0192479698777355</v>
      </c>
      <c r="AU286" s="638"/>
      <c r="AV286" s="638"/>
      <c r="AW286" s="638"/>
      <c r="AX286" s="638"/>
      <c r="AY286" s="484"/>
      <c r="AZ286" s="484"/>
      <c r="BA286" s="671"/>
      <c r="BB286" s="1239"/>
      <c r="BC286" s="169"/>
      <c r="BD286" s="1330"/>
      <c r="BE286" s="1329"/>
      <c r="BF286" s="1330"/>
      <c r="BG286" s="1329"/>
    </row>
    <row r="287" spans="1:59" ht="15.75" customHeight="1">
      <c r="A287" s="1239"/>
      <c r="B287" s="1239"/>
      <c r="C287" s="171"/>
      <c r="D287" s="1239"/>
      <c r="E287" s="1239"/>
      <c r="F287" s="448"/>
      <c r="G287" s="455">
        <v>27</v>
      </c>
      <c r="H287" s="1239"/>
      <c r="I287" s="448"/>
      <c r="J287" s="171"/>
      <c r="K287" s="1239"/>
      <c r="L287" s="1239"/>
      <c r="M287" s="1239"/>
      <c r="N287" s="1239"/>
      <c r="O287" s="1239"/>
      <c r="P287" s="1239"/>
      <c r="Q287" s="1239"/>
      <c r="R287" s="1239"/>
      <c r="S287" s="455"/>
      <c r="T287" s="1239"/>
      <c r="U287" s="1239"/>
      <c r="V287" s="1239"/>
      <c r="W287" s="1239"/>
      <c r="X287" s="1239"/>
      <c r="Y287" s="1239"/>
      <c r="Z287" s="1239"/>
      <c r="AA287" s="1239"/>
      <c r="AB287" s="1239"/>
      <c r="AC287" s="1239"/>
      <c r="AD287" s="1239"/>
      <c r="AE287" s="1239"/>
      <c r="AF287" s="1239"/>
      <c r="AG287" s="171"/>
      <c r="AH287" s="1239"/>
      <c r="AI287" s="1239"/>
      <c r="AJ287" s="1239"/>
      <c r="AK287" s="1239"/>
      <c r="AL287" s="1239"/>
      <c r="AM287" s="1239"/>
      <c r="AN287" s="455"/>
      <c r="AO287" s="1239"/>
      <c r="AP287" s="1239"/>
      <c r="AQ287" s="484">
        <f>+FL_1($T$288,$T$286,$G$287,1200,9.28,-1*$F$288)</f>
        <v>0.3500000000000219</v>
      </c>
      <c r="AR287" s="484"/>
      <c r="AS287" s="484"/>
      <c r="AT287" s="484"/>
      <c r="AU287" s="638"/>
      <c r="AV287" s="638"/>
      <c r="AW287" s="638"/>
      <c r="AX287" s="638"/>
      <c r="AY287" s="484"/>
      <c r="AZ287" s="484"/>
      <c r="BA287" s="671"/>
      <c r="BB287" s="1239"/>
      <c r="BC287" s="169"/>
      <c r="BD287" s="1330"/>
      <c r="BE287" s="1330"/>
      <c r="BF287" s="1330"/>
      <c r="BG287" s="1330"/>
    </row>
    <row r="288" spans="1:59" ht="15.75" customHeight="1">
      <c r="A288" s="1239"/>
      <c r="B288" s="1239" t="s">
        <v>2239</v>
      </c>
      <c r="C288" s="171">
        <f>+$C$286+$G$287</f>
        <v>91797.25</v>
      </c>
      <c r="D288" s="1239"/>
      <c r="E288" s="1239"/>
      <c r="F288" s="448">
        <v>0</v>
      </c>
      <c r="G288" s="455"/>
      <c r="H288" s="1239"/>
      <c r="I288" s="448"/>
      <c r="J288" s="171"/>
      <c r="K288" s="1239"/>
      <c r="L288" s="638"/>
      <c r="M288" s="638"/>
      <c r="N288" s="1239" t="s">
        <v>843</v>
      </c>
      <c r="O288" s="1239"/>
      <c r="P288" s="1239"/>
      <c r="Q288" s="1239"/>
      <c r="R288" s="1239"/>
      <c r="S288" s="455"/>
      <c r="T288" s="1239">
        <v>-35</v>
      </c>
      <c r="U288" s="1239"/>
      <c r="V288" s="1239"/>
      <c r="W288" s="1239">
        <v>1.4</v>
      </c>
      <c r="X288" s="1239"/>
      <c r="Y288" s="1239"/>
      <c r="Z288" s="1239"/>
      <c r="AA288" s="1239"/>
      <c r="AB288" s="1239"/>
      <c r="AC288" s="1239" t="str">
        <f t="shared" si="25"/>
        <v>PH-C</v>
      </c>
      <c r="AD288" s="1239"/>
      <c r="AE288" s="1239"/>
      <c r="AF288" s="1239"/>
      <c r="AG288" s="171"/>
      <c r="AH288" s="1239"/>
      <c r="AI288" s="1239"/>
      <c r="AJ288" s="1239"/>
      <c r="AK288" s="1239" t="s">
        <v>139</v>
      </c>
      <c r="AL288" s="1239"/>
      <c r="AM288" s="1239"/>
      <c r="AN288" s="455">
        <v>5.5</v>
      </c>
      <c r="AO288" s="1239"/>
      <c r="AP288" s="1239"/>
      <c r="AQ288" s="484"/>
      <c r="AR288" s="484"/>
      <c r="AS288" s="484"/>
      <c r="AT288" s="484">
        <f>+ab($T$288,$T$286,$T$290,$G$287,$G$289,-1*$F$288,1200)</f>
        <v>-4.2711090750800391</v>
      </c>
      <c r="AU288" s="638"/>
      <c r="AV288" s="638"/>
      <c r="AW288" s="638"/>
      <c r="AX288" s="638"/>
      <c r="AY288" s="484"/>
      <c r="AZ288" s="484"/>
      <c r="BA288" s="671"/>
      <c r="BB288" s="1239"/>
      <c r="BC288" s="169"/>
      <c r="BD288" s="1330"/>
      <c r="BE288" s="1329"/>
      <c r="BF288" s="1330"/>
      <c r="BG288" s="1329"/>
    </row>
    <row r="289" spans="1:59" ht="15.75" customHeight="1">
      <c r="A289" s="1239"/>
      <c r="B289" s="1239"/>
      <c r="C289" s="171"/>
      <c r="D289" s="1239"/>
      <c r="E289" s="1239"/>
      <c r="F289" s="448"/>
      <c r="G289" s="484">
        <v>37</v>
      </c>
      <c r="H289" s="1239"/>
      <c r="I289" s="448"/>
      <c r="J289" s="171"/>
      <c r="K289" s="1239"/>
      <c r="L289" s="1239"/>
      <c r="M289" s="1239"/>
      <c r="N289" s="1239"/>
      <c r="O289" s="1239"/>
      <c r="P289" s="1239"/>
      <c r="Q289" s="1239"/>
      <c r="R289" s="1239"/>
      <c r="S289" s="455"/>
      <c r="T289" s="1239"/>
      <c r="U289" s="1239"/>
      <c r="V289" s="1239"/>
      <c r="W289" s="1239"/>
      <c r="X289" s="1239"/>
      <c r="Y289" s="1239"/>
      <c r="Z289" s="1239"/>
      <c r="AA289" s="1239"/>
      <c r="AB289" s="1239"/>
      <c r="AC289" s="1239"/>
      <c r="AD289" s="1239"/>
      <c r="AE289" s="1239"/>
      <c r="AF289" s="1239"/>
      <c r="AG289" s="171"/>
      <c r="AH289" s="1239"/>
      <c r="AI289" s="1239"/>
      <c r="AJ289" s="1239"/>
      <c r="AK289" s="1239"/>
      <c r="AL289" s="1239"/>
      <c r="AM289" s="1239"/>
      <c r="AN289" s="455"/>
      <c r="AO289" s="1239"/>
      <c r="AP289" s="1239"/>
      <c r="AQ289" s="484">
        <f>+FL_2($T$290,$T$288,$G$289,1200,9.28,-1*$F$290)</f>
        <v>-0.35000000000000558</v>
      </c>
      <c r="AR289" s="484"/>
      <c r="AS289" s="484"/>
      <c r="AT289" s="484"/>
      <c r="AU289" s="638"/>
      <c r="AV289" s="638"/>
      <c r="AW289" s="638"/>
      <c r="AX289" s="638"/>
      <c r="AY289" s="484"/>
      <c r="AZ289" s="484"/>
      <c r="BA289" s="671"/>
      <c r="BB289" s="1239"/>
      <c r="BC289" s="169"/>
      <c r="BD289" s="1330"/>
      <c r="BE289" s="1330"/>
      <c r="BF289" s="1330"/>
      <c r="BG289" s="1330"/>
    </row>
    <row r="290" spans="1:59" ht="15.75" customHeight="1">
      <c r="A290" s="1239"/>
      <c r="B290" s="1239" t="s">
        <v>2288</v>
      </c>
      <c r="C290" s="171">
        <f>+$C$288+$G$289</f>
        <v>91834.25</v>
      </c>
      <c r="D290" s="1239"/>
      <c r="E290" s="1239"/>
      <c r="F290" s="448">
        <v>0</v>
      </c>
      <c r="G290" s="484"/>
      <c r="H290" s="1239"/>
      <c r="I290" s="448"/>
      <c r="J290" s="171"/>
      <c r="K290" s="1239"/>
      <c r="L290" s="638"/>
      <c r="M290" s="638"/>
      <c r="N290" s="1239" t="s">
        <v>844</v>
      </c>
      <c r="O290" s="1239"/>
      <c r="P290" s="1239"/>
      <c r="Q290" s="1239"/>
      <c r="R290" s="1239"/>
      <c r="S290" s="455"/>
      <c r="T290" s="1239">
        <v>35</v>
      </c>
      <c r="U290" s="1239"/>
      <c r="V290" s="1239"/>
      <c r="W290" s="1239">
        <v>1.4</v>
      </c>
      <c r="X290" s="1239"/>
      <c r="Y290" s="1239"/>
      <c r="Z290" s="1239"/>
      <c r="AA290" s="1239"/>
      <c r="AB290" s="1239"/>
      <c r="AC290" s="1239" t="str">
        <f t="shared" si="25"/>
        <v>PH-Q</v>
      </c>
      <c r="AD290" s="1239"/>
      <c r="AE290" s="1239"/>
      <c r="AF290" s="1239"/>
      <c r="AG290" s="171"/>
      <c r="AH290" s="1239"/>
      <c r="AI290" s="1239"/>
      <c r="AJ290" s="1239"/>
      <c r="AK290" s="1239" t="s">
        <v>139</v>
      </c>
      <c r="AL290" s="1239"/>
      <c r="AM290" s="1239"/>
      <c r="AN290" s="455">
        <v>5.5</v>
      </c>
      <c r="AO290" s="1239"/>
      <c r="AP290" s="1239"/>
      <c r="AQ290" s="484"/>
      <c r="AR290" s="484"/>
      <c r="AS290" s="484"/>
      <c r="AT290" s="484">
        <f>+ab($T$290,$T$288,$T$292,$G$289,$G$291,-1*$F$290,1200)</f>
        <v>5.1516806182912349</v>
      </c>
      <c r="AU290" s="638"/>
      <c r="AV290" s="638"/>
      <c r="AW290" s="638"/>
      <c r="AX290" s="638"/>
      <c r="AY290" s="484"/>
      <c r="AZ290" s="484"/>
      <c r="BA290" s="671"/>
      <c r="BB290" s="1239"/>
      <c r="BC290" s="169"/>
      <c r="BD290" s="1330"/>
      <c r="BE290" s="1329"/>
      <c r="BF290" s="1330"/>
      <c r="BG290" s="1329"/>
    </row>
    <row r="291" spans="1:59" ht="15.75" customHeight="1">
      <c r="A291" s="1239"/>
      <c r="B291" s="1239"/>
      <c r="C291" s="171"/>
      <c r="D291" s="1239"/>
      <c r="E291" s="1239"/>
      <c r="F291" s="448"/>
      <c r="G291" s="484">
        <v>38.4</v>
      </c>
      <c r="H291" s="1239"/>
      <c r="I291" s="448"/>
      <c r="J291" s="171"/>
      <c r="K291" s="1239"/>
      <c r="L291" s="1239"/>
      <c r="M291" s="1239"/>
      <c r="N291" s="1239"/>
      <c r="O291" s="1239"/>
      <c r="P291" s="1239"/>
      <c r="Q291" s="1239"/>
      <c r="R291" s="1239"/>
      <c r="S291" s="455"/>
      <c r="T291" s="1239"/>
      <c r="U291" s="1239"/>
      <c r="V291" s="1239"/>
      <c r="W291" s="1239"/>
      <c r="X291" s="1239"/>
      <c r="Y291" s="1239"/>
      <c r="Z291" s="1239"/>
      <c r="AA291" s="1239"/>
      <c r="AB291" s="1239"/>
      <c r="AC291" s="1239"/>
      <c r="AD291" s="1239"/>
      <c r="AE291" s="1239"/>
      <c r="AF291" s="1239"/>
      <c r="AG291" s="171"/>
      <c r="AH291" s="1239"/>
      <c r="AI291" s="1239"/>
      <c r="AJ291" s="1239"/>
      <c r="AK291" s="1239"/>
      <c r="AL291" s="1239"/>
      <c r="AM291" s="1239"/>
      <c r="AN291" s="455"/>
      <c r="AO291" s="1239"/>
      <c r="AP291" s="1239"/>
      <c r="AQ291" s="484">
        <f>+FL_1($T$292,$T$290,$G$291,1200,9.28,-1*$F$292)</f>
        <v>0.35000000000000309</v>
      </c>
      <c r="AR291" s="484"/>
      <c r="AS291" s="484"/>
      <c r="AT291" s="484"/>
      <c r="AU291" s="638"/>
      <c r="AV291" s="638"/>
      <c r="AW291" s="638"/>
      <c r="AX291" s="638"/>
      <c r="AY291" s="484"/>
      <c r="AZ291" s="484"/>
      <c r="BA291" s="671"/>
      <c r="BB291" s="1239"/>
      <c r="BC291" s="169"/>
      <c r="BD291" s="1330"/>
      <c r="BE291" s="1330"/>
      <c r="BF291" s="1330"/>
      <c r="BG291" s="1330"/>
    </row>
    <row r="292" spans="1:59" ht="15.75" customHeight="1">
      <c r="A292" s="1239"/>
      <c r="B292" s="1239" t="s">
        <v>2289</v>
      </c>
      <c r="C292" s="171">
        <f>+$C$290+$G$291</f>
        <v>91872.65</v>
      </c>
      <c r="D292" s="1239"/>
      <c r="E292" s="1239"/>
      <c r="F292" s="448">
        <v>0</v>
      </c>
      <c r="G292" s="484"/>
      <c r="H292" s="1239"/>
      <c r="I292" s="448"/>
      <c r="J292" s="171"/>
      <c r="K292" s="1239"/>
      <c r="L292" s="638"/>
      <c r="M292" s="638"/>
      <c r="N292" s="1239" t="s">
        <v>843</v>
      </c>
      <c r="O292" s="1239"/>
      <c r="P292" s="1239"/>
      <c r="Q292" s="1239"/>
      <c r="R292" s="1239"/>
      <c r="S292" s="455"/>
      <c r="T292" s="1239">
        <v>-35</v>
      </c>
      <c r="U292" s="1239"/>
      <c r="V292" s="1239"/>
      <c r="W292" s="1239">
        <v>1.4</v>
      </c>
      <c r="X292" s="1239"/>
      <c r="Y292" s="1239"/>
      <c r="Z292" s="1239"/>
      <c r="AA292" s="1239"/>
      <c r="AB292" s="1239"/>
      <c r="AC292" s="1239" t="str">
        <f t="shared" si="25"/>
        <v>PH-Q</v>
      </c>
      <c r="AD292" s="1239"/>
      <c r="AE292" s="1239"/>
      <c r="AF292" s="1239"/>
      <c r="AG292" s="171"/>
      <c r="AH292" s="1239"/>
      <c r="AI292" s="1239"/>
      <c r="AJ292" s="1239"/>
      <c r="AK292" s="1239" t="s">
        <v>139</v>
      </c>
      <c r="AL292" s="1239"/>
      <c r="AM292" s="1239"/>
      <c r="AN292" s="455">
        <v>5.5</v>
      </c>
      <c r="AO292" s="1239"/>
      <c r="AP292" s="1239"/>
      <c r="AQ292" s="484"/>
      <c r="AR292" s="484"/>
      <c r="AS292" s="484"/>
      <c r="AT292" s="484">
        <f>+ab($T$292,$T$290,$T$294,$G$291,$G$293,-1*$F$292,1200)</f>
        <v>-5.9748352952055042</v>
      </c>
      <c r="AU292" s="638"/>
      <c r="AV292" s="638"/>
      <c r="AW292" s="638"/>
      <c r="AX292" s="638"/>
      <c r="AY292" s="484"/>
      <c r="AZ292" s="484"/>
      <c r="BA292" s="671"/>
      <c r="BB292" s="1239"/>
      <c r="BC292" s="169"/>
      <c r="BD292" s="1330"/>
      <c r="BE292" s="1329"/>
      <c r="BF292" s="1330"/>
      <c r="BG292" s="1329"/>
    </row>
    <row r="293" spans="1:59" ht="15.75" customHeight="1">
      <c r="A293" s="1239"/>
      <c r="B293" s="1239"/>
      <c r="C293" s="171"/>
      <c r="D293" s="1239"/>
      <c r="E293" s="1239"/>
      <c r="F293" s="448"/>
      <c r="G293" s="484">
        <v>47.2</v>
      </c>
      <c r="H293" s="1239"/>
      <c r="I293" s="448"/>
      <c r="J293" s="171"/>
      <c r="K293" s="1239"/>
      <c r="L293" s="1239"/>
      <c r="M293" s="1239"/>
      <c r="N293" s="1239"/>
      <c r="O293" s="1239"/>
      <c r="P293" s="1239"/>
      <c r="Q293" s="1239"/>
      <c r="R293" s="1239"/>
      <c r="S293" s="455"/>
      <c r="T293" s="1239"/>
      <c r="U293" s="1239"/>
      <c r="V293" s="1239"/>
      <c r="W293" s="1239"/>
      <c r="X293" s="1239"/>
      <c r="Y293" s="1239"/>
      <c r="Z293" s="1239"/>
      <c r="AA293" s="1239"/>
      <c r="AB293" s="1239"/>
      <c r="AC293" s="1239"/>
      <c r="AD293" s="1239"/>
      <c r="AE293" s="1239"/>
      <c r="AF293" s="1239"/>
      <c r="AG293" s="171"/>
      <c r="AH293" s="1239"/>
      <c r="AI293" s="1239"/>
      <c r="AJ293" s="1239"/>
      <c r="AK293" s="1239"/>
      <c r="AL293" s="1239"/>
      <c r="AM293" s="1239"/>
      <c r="AN293" s="455"/>
      <c r="AO293" s="1239"/>
      <c r="AP293" s="1239"/>
      <c r="AQ293" s="484">
        <f>+FL_2($T$294,$T$292,$G$293,1200,9.28,-1*$F$294)</f>
        <v>-0.36297353850847464</v>
      </c>
      <c r="AR293" s="484"/>
      <c r="AS293" s="484"/>
      <c r="AT293" s="484"/>
      <c r="AU293" s="638"/>
      <c r="AV293" s="638"/>
      <c r="AW293" s="638"/>
      <c r="AX293" s="638"/>
      <c r="AY293" s="484"/>
      <c r="AZ293" s="484"/>
      <c r="BA293" s="671"/>
      <c r="BB293" s="1239"/>
      <c r="BC293" s="169"/>
      <c r="BD293" s="1330"/>
      <c r="BE293" s="1330"/>
      <c r="BF293" s="1330"/>
      <c r="BG293" s="1330"/>
    </row>
    <row r="294" spans="1:59" ht="15.75" customHeight="1">
      <c r="A294" s="1239"/>
      <c r="B294" s="1239" t="s">
        <v>2290</v>
      </c>
      <c r="C294" s="171">
        <f>+$C$292+$G$293+0.15</f>
        <v>91919.999999999985</v>
      </c>
      <c r="D294" s="1239"/>
      <c r="E294" s="1239"/>
      <c r="F294" s="448">
        <v>0</v>
      </c>
      <c r="G294" s="484"/>
      <c r="H294" s="1239"/>
      <c r="I294" s="448"/>
      <c r="J294" s="171"/>
      <c r="K294" s="1239"/>
      <c r="L294" s="638"/>
      <c r="M294" s="638"/>
      <c r="N294" s="1239" t="s">
        <v>844</v>
      </c>
      <c r="O294" s="1239"/>
      <c r="P294" s="1239"/>
      <c r="Q294" s="1239"/>
      <c r="R294" s="1239"/>
      <c r="S294" s="455"/>
      <c r="T294" s="1239">
        <v>30</v>
      </c>
      <c r="U294" s="1239"/>
      <c r="V294" s="1239"/>
      <c r="W294" s="1239">
        <v>1.4</v>
      </c>
      <c r="X294" s="1239"/>
      <c r="Y294" s="1239"/>
      <c r="Z294" s="1239"/>
      <c r="AA294" s="1239"/>
      <c r="AB294" s="1239"/>
      <c r="AC294" s="1239" t="str">
        <f t="shared" si="25"/>
        <v>PH-Q</v>
      </c>
      <c r="AD294" s="1239"/>
      <c r="AE294" s="1239"/>
      <c r="AF294" s="1239"/>
      <c r="AG294" s="171"/>
      <c r="AH294" s="1239"/>
      <c r="AI294" s="1239"/>
      <c r="AJ294" s="1239"/>
      <c r="AK294" s="1239" t="s">
        <v>139</v>
      </c>
      <c r="AL294" s="1239"/>
      <c r="AM294" s="1239"/>
      <c r="AN294" s="455">
        <v>5.5</v>
      </c>
      <c r="AO294" s="1239"/>
      <c r="AP294" s="1239"/>
      <c r="AQ294" s="484"/>
      <c r="AR294" s="484"/>
      <c r="AS294" s="484"/>
      <c r="AT294" s="484">
        <f>+ab($T$294,$T$292,$T$296,$G$293,$G$295,-1*$F$294,1200)</f>
        <v>7.5616541084021947</v>
      </c>
      <c r="AU294" s="638"/>
      <c r="AV294" s="638"/>
      <c r="AW294" s="638"/>
      <c r="AX294" s="638"/>
      <c r="AY294" s="484"/>
      <c r="AZ294" s="484"/>
      <c r="BA294" s="671"/>
      <c r="BB294" s="1239"/>
      <c r="BC294" s="169"/>
      <c r="BD294" s="1330"/>
      <c r="BE294" s="1329"/>
      <c r="BF294" s="1330"/>
      <c r="BG294" s="1329"/>
    </row>
    <row r="295" spans="1:59" ht="15.75" customHeight="1">
      <c r="A295" s="1239"/>
      <c r="B295" s="1239"/>
      <c r="C295" s="171"/>
      <c r="D295" s="1239"/>
      <c r="E295" s="1239"/>
      <c r="F295" s="448"/>
      <c r="G295" s="484">
        <v>48</v>
      </c>
      <c r="H295" s="1239"/>
      <c r="I295" s="448"/>
      <c r="J295" s="171"/>
      <c r="K295" s="1239"/>
      <c r="L295" s="1239"/>
      <c r="M295" s="1239"/>
      <c r="N295" s="1239"/>
      <c r="O295" s="1239"/>
      <c r="P295" s="1239"/>
      <c r="Q295" s="1239"/>
      <c r="R295" s="1239"/>
      <c r="S295" s="455"/>
      <c r="T295" s="1239"/>
      <c r="U295" s="1239"/>
      <c r="V295" s="1239"/>
      <c r="W295" s="1239"/>
      <c r="X295" s="1239"/>
      <c r="Y295" s="1239"/>
      <c r="Z295" s="1239"/>
      <c r="AA295" s="1239"/>
      <c r="AB295" s="1239"/>
      <c r="AC295" s="1239"/>
      <c r="AD295" s="1239"/>
      <c r="AE295" s="1239"/>
      <c r="AF295" s="1239"/>
      <c r="AG295" s="171"/>
      <c r="AH295" s="1239"/>
      <c r="AI295" s="1239"/>
      <c r="AJ295" s="1239"/>
      <c r="AK295" s="1239"/>
      <c r="AL295" s="1239"/>
      <c r="AM295" s="1239"/>
      <c r="AN295" s="455"/>
      <c r="AO295" s="1239"/>
      <c r="AP295" s="1239"/>
      <c r="AQ295" s="484">
        <f>+FL_1($T$296,$T$294,$G$295,1200,9.28,-1*$F$296)</f>
        <v>0.33260797200000003</v>
      </c>
      <c r="AR295" s="484"/>
      <c r="AS295" s="484"/>
      <c r="AT295" s="484"/>
      <c r="AU295" s="638"/>
      <c r="AV295" s="638"/>
      <c r="AW295" s="638"/>
      <c r="AX295" s="638"/>
      <c r="AY295" s="484"/>
      <c r="AZ295" s="484"/>
      <c r="BA295" s="671"/>
      <c r="BB295" s="1239"/>
      <c r="BC295" s="169"/>
      <c r="BD295" s="1330"/>
      <c r="BE295" s="1330"/>
      <c r="BF295" s="1330"/>
      <c r="BG295" s="1330"/>
    </row>
    <row r="296" spans="1:59" ht="15.75" customHeight="1">
      <c r="A296" s="1239"/>
      <c r="B296" s="1239" t="s">
        <v>2291</v>
      </c>
      <c r="C296" s="171">
        <f>+$C$294+$G$295</f>
        <v>91967.999999999985</v>
      </c>
      <c r="D296" s="1239"/>
      <c r="E296" s="1239"/>
      <c r="F296" s="448">
        <v>0</v>
      </c>
      <c r="G296" s="484"/>
      <c r="H296" s="1239"/>
      <c r="I296" s="448"/>
      <c r="J296" s="171"/>
      <c r="K296" s="1239"/>
      <c r="L296" s="638"/>
      <c r="M296" s="638"/>
      <c r="N296" s="1239" t="s">
        <v>843</v>
      </c>
      <c r="O296" s="1239"/>
      <c r="P296" s="1239"/>
      <c r="Q296" s="1239"/>
      <c r="R296" s="1239"/>
      <c r="S296" s="455"/>
      <c r="T296" s="1239">
        <v>-25</v>
      </c>
      <c r="U296" s="1239"/>
      <c r="V296" s="1239"/>
      <c r="W296" s="1239">
        <v>1.4</v>
      </c>
      <c r="X296" s="1239"/>
      <c r="Y296" s="1239"/>
      <c r="Z296" s="1239"/>
      <c r="AA296" s="1239"/>
      <c r="AB296" s="1239"/>
      <c r="AC296" s="1239" t="str">
        <f t="shared" si="25"/>
        <v>PH</v>
      </c>
      <c r="AD296" s="1239"/>
      <c r="AE296" s="1239"/>
      <c r="AF296" s="1239"/>
      <c r="AG296" s="171"/>
      <c r="AH296" s="1239"/>
      <c r="AI296" s="1239"/>
      <c r="AJ296" s="1239"/>
      <c r="AK296" s="1239" t="s">
        <v>139</v>
      </c>
      <c r="AL296" s="1239"/>
      <c r="AM296" s="1239"/>
      <c r="AN296" s="455">
        <v>5.5</v>
      </c>
      <c r="AO296" s="1239"/>
      <c r="AP296" s="1239"/>
      <c r="AQ296" s="484"/>
      <c r="AR296" s="484"/>
      <c r="AS296" s="484"/>
      <c r="AT296" s="484">
        <f>+ab($T$296,$T$294,$U$298,$G$295,$G$297,-1*$F$296,1200)</f>
        <v>-9.74347444260607</v>
      </c>
      <c r="AU296" s="638"/>
      <c r="AV296" s="638"/>
      <c r="AW296" s="638"/>
      <c r="AX296" s="638"/>
      <c r="AY296" s="484"/>
      <c r="AZ296" s="484"/>
      <c r="BA296" s="671"/>
      <c r="BB296" s="1239"/>
      <c r="BC296" s="169"/>
      <c r="BD296" s="1330"/>
      <c r="BE296" s="1329"/>
      <c r="BF296" s="1330"/>
      <c r="BG296" s="1329"/>
    </row>
    <row r="297" spans="1:59" ht="15.75" customHeight="1">
      <c r="A297" s="1239"/>
      <c r="B297" s="1239"/>
      <c r="C297" s="171"/>
      <c r="D297" s="1239"/>
      <c r="E297" s="1239"/>
      <c r="F297" s="448"/>
      <c r="G297" s="484">
        <v>43.5</v>
      </c>
      <c r="H297" s="1239"/>
      <c r="I297" s="448"/>
      <c r="J297" s="171"/>
      <c r="K297" s="1239"/>
      <c r="L297" s="1239"/>
      <c r="M297" s="1239"/>
      <c r="N297" s="1239"/>
      <c r="O297" s="1239"/>
      <c r="P297" s="1239"/>
      <c r="Q297" s="1239"/>
      <c r="R297" s="1239"/>
      <c r="S297" s="484">
        <f>AG298-AG296</f>
        <v>92011</v>
      </c>
      <c r="T297" s="1239"/>
      <c r="U297" s="1239"/>
      <c r="V297" s="1239"/>
      <c r="W297" s="1239"/>
      <c r="X297" s="1239"/>
      <c r="Y297" s="1239"/>
      <c r="Z297" s="1239"/>
      <c r="AA297" s="1239"/>
      <c r="AB297" s="1239"/>
      <c r="AC297" s="1239"/>
      <c r="AD297" s="1239"/>
      <c r="AE297" s="1239"/>
      <c r="AF297" s="1239"/>
      <c r="AG297" s="171"/>
      <c r="AH297" s="1239"/>
      <c r="AI297" s="1239"/>
      <c r="AJ297" s="1239"/>
      <c r="AK297" s="1239"/>
      <c r="AL297" s="1239"/>
      <c r="AM297" s="1239"/>
      <c r="AN297" s="455"/>
      <c r="AO297" s="1239"/>
      <c r="AP297" s="1239"/>
      <c r="AQ297" s="484">
        <f>+FL_1($U$298,$T$296,$G$297,1200,9.28,-1*$F$298)</f>
        <v>0.14977379425287354</v>
      </c>
      <c r="AR297" s="484"/>
      <c r="AS297" s="484"/>
      <c r="AT297" s="484"/>
      <c r="AU297" s="638"/>
      <c r="AV297" s="638"/>
      <c r="AW297" s="638"/>
      <c r="AX297" s="638"/>
      <c r="AY297" s="484"/>
      <c r="AZ297" s="484"/>
      <c r="BA297" s="671"/>
      <c r="BB297" s="1239"/>
      <c r="BC297" s="169"/>
      <c r="BD297" s="1330"/>
      <c r="BE297" s="1330"/>
      <c r="BF297" s="1330"/>
      <c r="BG297" s="1330"/>
    </row>
    <row r="298" spans="1:59" ht="15.75" customHeight="1">
      <c r="A298" s="1239"/>
      <c r="B298" s="1239" t="s">
        <v>2292</v>
      </c>
      <c r="C298" s="171">
        <f>+$C$296+$G$297</f>
        <v>92011.499999999985</v>
      </c>
      <c r="D298" s="1239"/>
      <c r="E298" s="1239"/>
      <c r="F298" s="448">
        <v>0</v>
      </c>
      <c r="G298" s="484"/>
      <c r="H298" s="1239" t="s">
        <v>619</v>
      </c>
      <c r="I298" s="448"/>
      <c r="J298" s="171"/>
      <c r="K298" s="1239"/>
      <c r="L298" s="638"/>
      <c r="M298" s="638"/>
      <c r="N298" s="1239" t="s">
        <v>845</v>
      </c>
      <c r="O298" s="1239" t="s">
        <v>144</v>
      </c>
      <c r="P298" s="1239"/>
      <c r="Q298" s="1239">
        <v>0</v>
      </c>
      <c r="R298" s="1239">
        <v>0</v>
      </c>
      <c r="S298" s="455"/>
      <c r="T298" s="1239">
        <v>55</v>
      </c>
      <c r="U298" s="1239">
        <v>10</v>
      </c>
      <c r="V298" s="1239"/>
      <c r="W298" s="1239">
        <v>1.4</v>
      </c>
      <c r="X298" s="1239">
        <v>1.8</v>
      </c>
      <c r="Y298" s="1239"/>
      <c r="Z298" s="1239">
        <v>0.45</v>
      </c>
      <c r="AA298" s="1239"/>
      <c r="AB298" s="1239"/>
      <c r="AC298" s="1239" t="s">
        <v>1421</v>
      </c>
      <c r="AD298" s="1239"/>
      <c r="AE298" s="1239"/>
      <c r="AF298" s="1239">
        <v>200</v>
      </c>
      <c r="AG298" s="171">
        <v>92011</v>
      </c>
      <c r="AH298" s="1239">
        <v>1643</v>
      </c>
      <c r="AI298" s="1239">
        <v>-5510</v>
      </c>
      <c r="AJ298" s="1239"/>
      <c r="AK298" s="1239" t="s">
        <v>228</v>
      </c>
      <c r="AL298" s="1239"/>
      <c r="AM298" s="1239"/>
      <c r="AN298" s="455">
        <v>5.5</v>
      </c>
      <c r="AO298" s="1239"/>
      <c r="AP298" s="1239"/>
      <c r="AQ298" s="484"/>
      <c r="AR298" s="484"/>
      <c r="AS298" s="484"/>
      <c r="AT298" s="484">
        <f>+ab($U$298,$T$296,$U$300,$G$297,$G$299,-1*$F$298,1200)</f>
        <v>8.6464441757924906</v>
      </c>
      <c r="AU298" s="638"/>
      <c r="AV298" s="638"/>
      <c r="AW298" s="638"/>
      <c r="AX298" s="638"/>
      <c r="AY298" s="484"/>
      <c r="AZ298" s="484"/>
      <c r="BA298" s="671"/>
      <c r="BB298" s="1239"/>
      <c r="BC298" s="169"/>
      <c r="BD298" s="1371"/>
      <c r="BE298" s="1371"/>
      <c r="BF298" s="1371"/>
      <c r="BG298" s="1371"/>
    </row>
    <row r="299" spans="1:59" ht="15.75" customHeight="1">
      <c r="A299" s="1239"/>
      <c r="B299" s="1239"/>
      <c r="C299" s="171"/>
      <c r="D299" s="1239"/>
      <c r="E299" s="1239"/>
      <c r="F299" s="448"/>
      <c r="G299" s="484">
        <v>46.5</v>
      </c>
      <c r="H299" s="1239"/>
      <c r="I299" s="448"/>
      <c r="J299" s="171"/>
      <c r="K299" s="1239"/>
      <c r="L299" s="1239"/>
      <c r="M299" s="1239"/>
      <c r="N299" s="1239"/>
      <c r="O299" s="1239"/>
      <c r="P299" s="1239"/>
      <c r="Q299" s="1239"/>
      <c r="R299" s="1239"/>
      <c r="S299" s="484">
        <f>AG300-AG298</f>
        <v>47</v>
      </c>
      <c r="T299" s="1239"/>
      <c r="U299" s="1239"/>
      <c r="V299" s="1239"/>
      <c r="W299" s="1239"/>
      <c r="X299" s="1239"/>
      <c r="Y299" s="1239"/>
      <c r="Z299" s="1239"/>
      <c r="AA299" s="1239"/>
      <c r="AB299" s="1239"/>
      <c r="AC299" s="1239"/>
      <c r="AD299" s="1239"/>
      <c r="AE299" s="1239"/>
      <c r="AF299" s="1239"/>
      <c r="AG299" s="171"/>
      <c r="AH299" s="1239"/>
      <c r="AI299" s="1239"/>
      <c r="AJ299" s="1239"/>
      <c r="AK299" s="1239"/>
      <c r="AL299" s="1239"/>
      <c r="AM299" s="1239"/>
      <c r="AN299" s="455"/>
      <c r="AO299" s="1239"/>
      <c r="AP299" s="1239"/>
      <c r="AQ299" s="484">
        <f>+FL_2($T$300,$U$298,$G$299,1200,9.28,-1*$F$300)</f>
        <v>-0.22097821982795696</v>
      </c>
      <c r="AR299" s="484"/>
      <c r="AS299" s="484"/>
      <c r="AT299" s="484"/>
      <c r="AU299" s="638"/>
      <c r="AV299" s="638"/>
      <c r="AW299" s="638"/>
      <c r="AX299" s="638"/>
      <c r="AY299" s="484"/>
      <c r="AZ299" s="484"/>
      <c r="BA299" s="671"/>
      <c r="BB299" s="1239"/>
      <c r="BC299" s="169"/>
      <c r="BD299" s="1330"/>
      <c r="BE299" s="1330"/>
      <c r="BF299" s="1330"/>
      <c r="BG299" s="1330"/>
    </row>
    <row r="300" spans="1:59" ht="15" customHeight="1">
      <c r="A300" s="1239" t="s">
        <v>2928</v>
      </c>
      <c r="B300" s="1239" t="s">
        <v>2293</v>
      </c>
      <c r="C300" s="171">
        <f>+$C$298+$G$299</f>
        <v>92057.999999999985</v>
      </c>
      <c r="D300" s="1239"/>
      <c r="E300" s="1239"/>
      <c r="F300" s="448">
        <v>0</v>
      </c>
      <c r="G300" s="484"/>
      <c r="H300" s="1239" t="s">
        <v>619</v>
      </c>
      <c r="I300" s="448" t="s">
        <v>1429</v>
      </c>
      <c r="J300" s="171"/>
      <c r="K300" s="1239"/>
      <c r="L300" s="638"/>
      <c r="M300" s="638"/>
      <c r="N300" s="1239" t="s">
        <v>2794</v>
      </c>
      <c r="O300" s="1239" t="s">
        <v>845</v>
      </c>
      <c r="P300" s="1239"/>
      <c r="Q300" s="1239">
        <v>0</v>
      </c>
      <c r="R300" s="1239">
        <v>0</v>
      </c>
      <c r="S300" s="455"/>
      <c r="T300" s="1239">
        <v>-10</v>
      </c>
      <c r="U300" s="1239">
        <v>-55</v>
      </c>
      <c r="V300" s="1239"/>
      <c r="W300" s="1239">
        <v>1.4</v>
      </c>
      <c r="X300" s="1239">
        <v>1.8</v>
      </c>
      <c r="Y300" s="1239"/>
      <c r="Z300" s="1239"/>
      <c r="AA300" s="1239">
        <v>0.45</v>
      </c>
      <c r="AB300" s="1239"/>
      <c r="AC300" s="1239" t="s">
        <v>4090</v>
      </c>
      <c r="AD300" s="1239"/>
      <c r="AE300" s="1239"/>
      <c r="AF300" s="1239">
        <v>200</v>
      </c>
      <c r="AG300" s="171">
        <v>92058</v>
      </c>
      <c r="AH300" s="1239">
        <v>1683</v>
      </c>
      <c r="AI300" s="1239">
        <v>-5620</v>
      </c>
      <c r="AJ300" s="1239" t="s">
        <v>2755</v>
      </c>
      <c r="AK300" s="1239" t="s">
        <v>228</v>
      </c>
      <c r="AL300" s="1239"/>
      <c r="AM300" s="1239"/>
      <c r="AN300" s="455">
        <v>5.5</v>
      </c>
      <c r="AO300" s="1239"/>
      <c r="AP300" s="1239"/>
      <c r="AQ300" s="484"/>
      <c r="AR300" s="484"/>
      <c r="AS300" s="484"/>
      <c r="AT300" s="484">
        <f>+ab($T$300,$T$298,$T$302,$G$299,$G$301,-1*$F$300,1200)</f>
        <v>-8.5367708053372411</v>
      </c>
      <c r="AU300" s="638"/>
      <c r="AV300" s="638"/>
      <c r="AW300" s="638"/>
      <c r="AX300" s="638"/>
      <c r="AY300" s="484"/>
      <c r="AZ300" s="484"/>
      <c r="BA300" s="671"/>
      <c r="BB300" s="1239"/>
      <c r="BC300" s="169"/>
      <c r="BD300" s="1371"/>
      <c r="BE300" s="1371"/>
      <c r="BF300" s="1371"/>
      <c r="BG300" s="1371"/>
    </row>
    <row r="301" spans="1:59" ht="15.75" customHeight="1">
      <c r="A301" s="1239"/>
      <c r="B301" s="1239"/>
      <c r="C301" s="171"/>
      <c r="D301" s="1239"/>
      <c r="E301" s="1239"/>
      <c r="F301" s="448"/>
      <c r="G301" s="484">
        <v>42</v>
      </c>
      <c r="H301" s="1239"/>
      <c r="I301" s="448"/>
      <c r="J301" s="171"/>
      <c r="K301" s="1239"/>
      <c r="L301" s="1239"/>
      <c r="M301" s="1239"/>
      <c r="N301" s="1239"/>
      <c r="O301" s="1239"/>
      <c r="P301" s="1239"/>
      <c r="Q301" s="1239"/>
      <c r="R301" s="1239"/>
      <c r="S301" s="484">
        <f>AG302-AG300</f>
        <v>42</v>
      </c>
      <c r="T301" s="1239"/>
      <c r="U301" s="1239"/>
      <c r="V301" s="1239"/>
      <c r="W301" s="1239"/>
      <c r="X301" s="1239"/>
      <c r="Y301" s="1239"/>
      <c r="Z301" s="1239"/>
      <c r="AA301" s="1239"/>
      <c r="AB301" s="1239"/>
      <c r="AC301" s="1239"/>
      <c r="AD301" s="1239"/>
      <c r="AE301" s="1239"/>
      <c r="AF301" s="1239"/>
      <c r="AG301" s="171"/>
      <c r="AH301" s="1239"/>
      <c r="AI301" s="1239"/>
      <c r="AJ301" s="1239"/>
      <c r="AK301" s="1239"/>
      <c r="AL301" s="1239"/>
      <c r="AM301" s="1239"/>
      <c r="AN301" s="455"/>
      <c r="AO301" s="1239"/>
      <c r="AP301" s="1239"/>
      <c r="AQ301" s="484">
        <f>+FL_1($T$302,$T$300,$G$301,1200,9.28,-1*$F$302)</f>
        <v>0.29041941866666665</v>
      </c>
      <c r="AR301" s="484"/>
      <c r="AS301" s="484"/>
      <c r="AT301" s="484"/>
      <c r="AU301" s="638"/>
      <c r="AV301" s="638"/>
      <c r="AW301" s="638"/>
      <c r="AX301" s="638"/>
      <c r="AY301" s="484"/>
      <c r="AZ301" s="484"/>
      <c r="BA301" s="671"/>
      <c r="BB301" s="1239"/>
      <c r="BC301" s="169"/>
      <c r="BD301" s="1330"/>
      <c r="BE301" s="1330"/>
      <c r="BF301" s="1330"/>
      <c r="BG301" s="1330"/>
    </row>
    <row r="302" spans="1:59" ht="15.75" customHeight="1">
      <c r="A302" s="1239"/>
      <c r="B302" s="1239" t="s">
        <v>2294</v>
      </c>
      <c r="C302" s="171">
        <f>+$C$300+$G$301</f>
        <v>92099.999999999985</v>
      </c>
      <c r="D302" s="1239"/>
      <c r="E302" s="1239"/>
      <c r="F302" s="448">
        <v>0</v>
      </c>
      <c r="G302" s="484"/>
      <c r="H302" s="1239"/>
      <c r="I302" s="448"/>
      <c r="J302" s="171"/>
      <c r="K302" s="1239"/>
      <c r="L302" s="638"/>
      <c r="M302" s="638"/>
      <c r="N302" s="1239" t="s">
        <v>844</v>
      </c>
      <c r="O302" s="1239"/>
      <c r="P302" s="1239"/>
      <c r="Q302" s="1239">
        <v>0</v>
      </c>
      <c r="R302" s="1239">
        <v>0</v>
      </c>
      <c r="S302" s="455"/>
      <c r="T302" s="1239">
        <v>25</v>
      </c>
      <c r="U302" s="1239"/>
      <c r="V302" s="1239"/>
      <c r="W302" s="1239">
        <v>1.4</v>
      </c>
      <c r="X302" s="1239"/>
      <c r="Y302" s="1239"/>
      <c r="Z302" s="1239"/>
      <c r="AA302" s="1239"/>
      <c r="AB302" s="1239"/>
      <c r="AC302" s="1239" t="s">
        <v>4090</v>
      </c>
      <c r="AD302" s="1239"/>
      <c r="AE302" s="1239"/>
      <c r="AF302" s="1239">
        <v>200</v>
      </c>
      <c r="AG302" s="171">
        <v>92100</v>
      </c>
      <c r="AH302" s="1239">
        <v>1763</v>
      </c>
      <c r="AI302" s="1239">
        <v>-5560</v>
      </c>
      <c r="AJ302" s="1239"/>
      <c r="AK302" s="1239" t="s">
        <v>139</v>
      </c>
      <c r="AL302" s="1239"/>
      <c r="AM302" s="1239"/>
      <c r="AN302" s="455">
        <v>5.5</v>
      </c>
      <c r="AO302" s="1239"/>
      <c r="AP302" s="1239"/>
      <c r="AQ302" s="484"/>
      <c r="AR302" s="484"/>
      <c r="AS302" s="484"/>
      <c r="AT302" s="484">
        <f>+ab($T$302,$T$300,$T$304,$G$301,$G$303,-1*$F$302,1200)</f>
        <v>7.5228473588276144</v>
      </c>
      <c r="AU302" s="638"/>
      <c r="AV302" s="638"/>
      <c r="AW302" s="638"/>
      <c r="AX302" s="638"/>
      <c r="AY302" s="484"/>
      <c r="AZ302" s="484"/>
      <c r="BA302" s="671"/>
      <c r="BB302" s="1239"/>
      <c r="BC302" s="169"/>
      <c r="BD302" s="1371"/>
      <c r="BE302" s="1371"/>
      <c r="BF302" s="1371"/>
      <c r="BG302" s="1371"/>
    </row>
    <row r="303" spans="1:59" ht="15.75" customHeight="1">
      <c r="A303" s="1239"/>
      <c r="B303" s="1239"/>
      <c r="C303" s="171"/>
      <c r="D303" s="1239"/>
      <c r="E303" s="1239"/>
      <c r="F303" s="448"/>
      <c r="G303" s="484">
        <v>32.299999999999997</v>
      </c>
      <c r="H303" s="1239"/>
      <c r="I303" s="448"/>
      <c r="J303" s="171"/>
      <c r="K303" s="1239"/>
      <c r="L303" s="1239"/>
      <c r="M303" s="1239"/>
      <c r="N303" s="1239"/>
      <c r="O303" s="1239"/>
      <c r="P303" s="1239"/>
      <c r="Q303" s="1239"/>
      <c r="R303" s="1239"/>
      <c r="S303" s="484">
        <f>AG304-AG302</f>
        <v>30.570000000006985</v>
      </c>
      <c r="T303" s="1239"/>
      <c r="U303" s="1239"/>
      <c r="V303" s="1239"/>
      <c r="W303" s="1239"/>
      <c r="X303" s="1239"/>
      <c r="Y303" s="1239"/>
      <c r="Z303" s="1239"/>
      <c r="AA303" s="1239"/>
      <c r="AB303" s="1239"/>
      <c r="AC303" s="1239"/>
      <c r="AD303" s="1239"/>
      <c r="AE303" s="1239"/>
      <c r="AF303" s="1239"/>
      <c r="AG303" s="171"/>
      <c r="AH303" s="1239"/>
      <c r="AI303" s="1239"/>
      <c r="AJ303" s="1239"/>
      <c r="AK303" s="1239"/>
      <c r="AL303" s="1239"/>
      <c r="AM303" s="1239"/>
      <c r="AN303" s="455"/>
      <c r="AO303" s="1239"/>
      <c r="AP303" s="1239"/>
      <c r="AQ303" s="484">
        <f>+FL_2($T$304,$T$302,$G$303,1200,9.28,-1*$F$304)</f>
        <v>-0.3</v>
      </c>
      <c r="AR303" s="484"/>
      <c r="AS303" s="484"/>
      <c r="AT303" s="484"/>
      <c r="AU303" s="638"/>
      <c r="AV303" s="638"/>
      <c r="AW303" s="638"/>
      <c r="AX303" s="638"/>
      <c r="AY303" s="484"/>
      <c r="AZ303" s="484"/>
      <c r="BA303" s="671"/>
      <c r="BB303" s="1239"/>
      <c r="BC303" s="169"/>
      <c r="BD303" s="1330"/>
      <c r="BE303" s="1330"/>
      <c r="BF303" s="1330"/>
      <c r="BG303" s="1330"/>
    </row>
    <row r="304" spans="1:59" ht="15.75" customHeight="1">
      <c r="A304" s="1239"/>
      <c r="B304" s="1239" t="s">
        <v>2295</v>
      </c>
      <c r="C304" s="171">
        <f>+$C$302+$G$303</f>
        <v>92132.299999999988</v>
      </c>
      <c r="D304" s="1239"/>
      <c r="E304" s="1239"/>
      <c r="F304" s="448">
        <v>0</v>
      </c>
      <c r="G304" s="484"/>
      <c r="H304" s="1239"/>
      <c r="I304" s="448"/>
      <c r="J304" s="171"/>
      <c r="K304" s="1239"/>
      <c r="L304" s="638"/>
      <c r="M304" s="638"/>
      <c r="N304" s="1239" t="s">
        <v>843</v>
      </c>
      <c r="O304" s="1239"/>
      <c r="P304" s="1239"/>
      <c r="Q304" s="1239">
        <v>0</v>
      </c>
      <c r="R304" s="1239">
        <v>0</v>
      </c>
      <c r="S304" s="455"/>
      <c r="T304" s="1239">
        <v>-30</v>
      </c>
      <c r="U304" s="1239"/>
      <c r="V304" s="1239"/>
      <c r="W304" s="1239">
        <v>1.4</v>
      </c>
      <c r="X304" s="1239"/>
      <c r="Y304" s="1239"/>
      <c r="Z304" s="1239"/>
      <c r="AA304" s="1239"/>
      <c r="AB304" s="1239"/>
      <c r="AC304" s="1239" t="s">
        <v>4115</v>
      </c>
      <c r="AD304" s="1239"/>
      <c r="AE304" s="1239"/>
      <c r="AF304" s="1239">
        <v>200</v>
      </c>
      <c r="AG304" s="171">
        <v>92130.57</v>
      </c>
      <c r="AH304" s="1239">
        <v>1833</v>
      </c>
      <c r="AI304" s="1239">
        <v>-5610</v>
      </c>
      <c r="AJ304" s="1239"/>
      <c r="AK304" s="1239" t="s">
        <v>139</v>
      </c>
      <c r="AL304" s="1239"/>
      <c r="AM304" s="1239"/>
      <c r="AN304" s="455">
        <v>5.5</v>
      </c>
      <c r="AO304" s="1239"/>
      <c r="AP304" s="1239"/>
      <c r="AQ304" s="484"/>
      <c r="AR304" s="484"/>
      <c r="AS304" s="484"/>
      <c r="AT304" s="484">
        <f>+ab($T$304,$T$302,$T$306,$G$303,$G$305,-1*$F$304,1200)</f>
        <v>-5.5520721873078118</v>
      </c>
      <c r="AU304" s="638"/>
      <c r="AV304" s="638"/>
      <c r="AW304" s="638"/>
      <c r="AX304" s="638"/>
      <c r="AY304" s="484"/>
      <c r="AZ304" s="484"/>
      <c r="BA304" s="671"/>
      <c r="BB304" s="1239"/>
      <c r="BC304" s="169"/>
      <c r="BD304" s="1371"/>
      <c r="BE304" s="1371"/>
      <c r="BF304" s="1371"/>
      <c r="BG304" s="1371"/>
    </row>
    <row r="305" spans="1:59" ht="15.75" customHeight="1">
      <c r="A305" s="1239"/>
      <c r="B305" s="1239"/>
      <c r="C305" s="171"/>
      <c r="D305" s="1239"/>
      <c r="E305" s="1239"/>
      <c r="F305" s="448"/>
      <c r="G305" s="484">
        <v>37.299999999999997</v>
      </c>
      <c r="H305" s="1239"/>
      <c r="I305" s="448"/>
      <c r="J305" s="171"/>
      <c r="K305" s="1239"/>
      <c r="L305" s="1239"/>
      <c r="M305" s="1239"/>
      <c r="N305" s="1239"/>
      <c r="O305" s="1239"/>
      <c r="P305" s="1239"/>
      <c r="Q305" s="1239"/>
      <c r="R305" s="1239"/>
      <c r="S305" s="484">
        <f>AG306-AG304</f>
        <v>38.969999999986612</v>
      </c>
      <c r="T305" s="1239"/>
      <c r="U305" s="1239"/>
      <c r="V305" s="1239"/>
      <c r="W305" s="1239"/>
      <c r="X305" s="1239"/>
      <c r="Y305" s="1239"/>
      <c r="Z305" s="1239"/>
      <c r="AA305" s="1239"/>
      <c r="AB305" s="1239"/>
      <c r="AC305" s="1239"/>
      <c r="AD305" s="1239"/>
      <c r="AE305" s="1239"/>
      <c r="AF305" s="1239"/>
      <c r="AG305" s="171"/>
      <c r="AH305" s="1239"/>
      <c r="AI305" s="1239"/>
      <c r="AJ305" s="1239"/>
      <c r="AK305" s="1239"/>
      <c r="AL305" s="1239"/>
      <c r="AM305" s="1239"/>
      <c r="AN305" s="455"/>
      <c r="AO305" s="1239"/>
      <c r="AP305" s="1239"/>
      <c r="AQ305" s="484">
        <f>+FL_1($T$306,$T$304,$G$305,1200,9.28,-1*$F$306)</f>
        <v>0.35</v>
      </c>
      <c r="AR305" s="484"/>
      <c r="AS305" s="484"/>
      <c r="AT305" s="484"/>
      <c r="AU305" s="638"/>
      <c r="AV305" s="638"/>
      <c r="AW305" s="638"/>
      <c r="AX305" s="638"/>
      <c r="AY305" s="484"/>
      <c r="AZ305" s="484"/>
      <c r="BA305" s="671"/>
      <c r="BB305" s="1239"/>
      <c r="BC305" s="169"/>
      <c r="BD305" s="1330"/>
      <c r="BE305" s="1330"/>
      <c r="BF305" s="1330"/>
      <c r="BG305" s="1330"/>
    </row>
    <row r="306" spans="1:59" ht="15.75" customHeight="1">
      <c r="A306" s="1239"/>
      <c r="B306" s="1239" t="s">
        <v>2358</v>
      </c>
      <c r="C306" s="171">
        <f>+$C$304+$G$305</f>
        <v>92169.599999999991</v>
      </c>
      <c r="D306" s="1239"/>
      <c r="E306" s="1239"/>
      <c r="F306" s="448">
        <v>0</v>
      </c>
      <c r="G306" s="484"/>
      <c r="H306" s="1239"/>
      <c r="I306" s="448"/>
      <c r="J306" s="171"/>
      <c r="K306" s="1239"/>
      <c r="L306" s="638"/>
      <c r="M306" s="638"/>
      <c r="N306" s="1239" t="s">
        <v>844</v>
      </c>
      <c r="O306" s="1239"/>
      <c r="P306" s="1239"/>
      <c r="Q306" s="1239">
        <v>0</v>
      </c>
      <c r="R306" s="1239">
        <v>0</v>
      </c>
      <c r="S306" s="455"/>
      <c r="T306" s="1239">
        <v>35</v>
      </c>
      <c r="U306" s="1239"/>
      <c r="V306" s="1239"/>
      <c r="W306" s="1239">
        <v>1.6</v>
      </c>
      <c r="X306" s="1239"/>
      <c r="Y306" s="1239"/>
      <c r="Z306" s="1239"/>
      <c r="AA306" s="1239"/>
      <c r="AB306" s="1239"/>
      <c r="AC306" s="1239" t="s">
        <v>4090</v>
      </c>
      <c r="AD306" s="1239"/>
      <c r="AE306" s="1239"/>
      <c r="AF306" s="1239">
        <v>100</v>
      </c>
      <c r="AG306" s="171">
        <v>92169.54</v>
      </c>
      <c r="AH306" s="1239">
        <v>1893</v>
      </c>
      <c r="AI306" s="1239">
        <v>-5540</v>
      </c>
      <c r="AJ306" s="1239"/>
      <c r="AK306" s="1239" t="s">
        <v>139</v>
      </c>
      <c r="AL306" s="1239"/>
      <c r="AM306" s="1239"/>
      <c r="AN306" s="455">
        <v>5.5</v>
      </c>
      <c r="AO306" s="1239"/>
      <c r="AP306" s="1239"/>
      <c r="AQ306" s="484"/>
      <c r="AR306" s="484"/>
      <c r="AS306" s="484"/>
      <c r="AT306" s="484">
        <f>+ab($T$306,$T$304,$T$308,$G$305,$G$307,-1*$F$306,1200)</f>
        <v>5.0587141548288805</v>
      </c>
      <c r="AU306" s="638"/>
      <c r="AV306" s="638"/>
      <c r="AW306" s="638"/>
      <c r="AX306" s="638"/>
      <c r="AY306" s="484"/>
      <c r="AZ306" s="484"/>
      <c r="BA306" s="671"/>
      <c r="BB306" s="1239"/>
      <c r="BC306" s="169"/>
      <c r="BD306" s="1371"/>
      <c r="BE306" s="1371"/>
      <c r="BF306" s="1371"/>
      <c r="BG306" s="1371"/>
    </row>
    <row r="307" spans="1:59" ht="15.75" customHeight="1">
      <c r="A307" s="1239"/>
      <c r="B307" s="1239"/>
      <c r="C307" s="171"/>
      <c r="D307" s="1239"/>
      <c r="E307" s="1239"/>
      <c r="F307" s="448"/>
      <c r="G307" s="484">
        <v>34.299999999999997</v>
      </c>
      <c r="H307" s="1239"/>
      <c r="I307" s="448"/>
      <c r="J307" s="171"/>
      <c r="K307" s="1239"/>
      <c r="L307" s="1239"/>
      <c r="M307" s="1239"/>
      <c r="N307" s="1239"/>
      <c r="O307" s="1239"/>
      <c r="P307" s="1239"/>
      <c r="Q307" s="1239"/>
      <c r="R307" s="1239"/>
      <c r="S307" s="484">
        <f>AG308-AG306</f>
        <v>34.280000000013388</v>
      </c>
      <c r="T307" s="1239"/>
      <c r="U307" s="1239"/>
      <c r="V307" s="1239"/>
      <c r="W307" s="1239"/>
      <c r="X307" s="1239"/>
      <c r="Y307" s="1239"/>
      <c r="Z307" s="1239"/>
      <c r="AA307" s="1239"/>
      <c r="AB307" s="1239"/>
      <c r="AC307" s="1239"/>
      <c r="AD307" s="1239"/>
      <c r="AE307" s="1239"/>
      <c r="AF307" s="1239"/>
      <c r="AG307" s="171"/>
      <c r="AH307" s="1239"/>
      <c r="AI307" s="1239"/>
      <c r="AJ307" s="1239"/>
      <c r="AK307" s="1239"/>
      <c r="AL307" s="1239"/>
      <c r="AM307" s="1239"/>
      <c r="AN307" s="455"/>
      <c r="AO307" s="1239"/>
      <c r="AP307" s="1239"/>
      <c r="AQ307" s="484">
        <f>+FL_1($T$308,$T$306,$G$307,1200,9.28,-1*$F$308)</f>
        <v>0.35000000000001247</v>
      </c>
      <c r="AR307" s="484"/>
      <c r="AS307" s="484"/>
      <c r="AT307" s="484"/>
      <c r="AU307" s="638"/>
      <c r="AV307" s="638"/>
      <c r="AW307" s="638"/>
      <c r="AX307" s="638"/>
      <c r="AY307" s="484"/>
      <c r="AZ307" s="484"/>
      <c r="BA307" s="671"/>
      <c r="BB307" s="1239"/>
      <c r="BC307" s="169"/>
      <c r="BD307" s="1330"/>
      <c r="BE307" s="1330"/>
      <c r="BF307" s="1330"/>
      <c r="BG307" s="1330"/>
    </row>
    <row r="308" spans="1:59" ht="15.75" customHeight="1">
      <c r="A308" s="1239"/>
      <c r="B308" s="1239" t="s">
        <v>2359</v>
      </c>
      <c r="C308" s="171">
        <f>+$C$306+$G$307</f>
        <v>92203.9</v>
      </c>
      <c r="D308" s="1239"/>
      <c r="E308" s="1239"/>
      <c r="F308" s="448">
        <v>0</v>
      </c>
      <c r="G308" s="484"/>
      <c r="H308" s="1239"/>
      <c r="I308" s="448"/>
      <c r="J308" s="171"/>
      <c r="K308" s="1239"/>
      <c r="L308" s="638"/>
      <c r="M308" s="638"/>
      <c r="N308" s="1239" t="s">
        <v>2794</v>
      </c>
      <c r="O308" s="1239"/>
      <c r="P308" s="1239"/>
      <c r="Q308" s="1239">
        <v>0</v>
      </c>
      <c r="R308" s="1239">
        <v>0</v>
      </c>
      <c r="S308" s="455"/>
      <c r="T308" s="1239">
        <v>-35</v>
      </c>
      <c r="U308" s="1239"/>
      <c r="V308" s="1239"/>
      <c r="W308" s="1239">
        <v>1.4</v>
      </c>
      <c r="X308" s="1239"/>
      <c r="Y308" s="1239"/>
      <c r="Z308" s="1239"/>
      <c r="AA308" s="1239"/>
      <c r="AB308" s="1239"/>
      <c r="AC308" s="1239" t="s">
        <v>3050</v>
      </c>
      <c r="AD308" s="1239"/>
      <c r="AE308" s="1239"/>
      <c r="AF308" s="1239">
        <v>100</v>
      </c>
      <c r="AG308" s="171">
        <v>92203.82</v>
      </c>
      <c r="AH308" s="1239">
        <v>1843</v>
      </c>
      <c r="AI308" s="1239">
        <v>-5650</v>
      </c>
      <c r="AJ308" s="1239"/>
      <c r="AK308" s="1239" t="s">
        <v>139</v>
      </c>
      <c r="AL308" s="1239"/>
      <c r="AM308" s="1239"/>
      <c r="AN308" s="455">
        <v>5.5</v>
      </c>
      <c r="AO308" s="1239"/>
      <c r="AP308" s="1239"/>
      <c r="AQ308" s="484"/>
      <c r="AR308" s="484"/>
      <c r="AS308" s="484"/>
      <c r="AT308" s="484">
        <f>+ab($T$308,$T$306,$T$310,$G$307,$G$309,-1*$F$308,1200)</f>
        <v>-3.8648975546720337</v>
      </c>
      <c r="AU308" s="638"/>
      <c r="AV308" s="638"/>
      <c r="AW308" s="638"/>
      <c r="AX308" s="638"/>
      <c r="AY308" s="484"/>
      <c r="AZ308" s="484"/>
      <c r="BA308" s="671"/>
      <c r="BB308" s="1239"/>
      <c r="BC308" s="169"/>
      <c r="BD308" s="1371"/>
      <c r="BE308" s="1371"/>
      <c r="BF308" s="1371"/>
      <c r="BG308" s="1371"/>
    </row>
    <row r="309" spans="1:59" ht="14.25" customHeight="1">
      <c r="A309" s="1239"/>
      <c r="B309" s="1239"/>
      <c r="C309" s="171"/>
      <c r="D309" s="1239"/>
      <c r="E309" s="1239"/>
      <c r="F309" s="448"/>
      <c r="G309" s="484">
        <v>24</v>
      </c>
      <c r="H309" s="1239"/>
      <c r="I309" s="448"/>
      <c r="J309" s="171"/>
      <c r="K309" s="1239"/>
      <c r="L309" s="1239"/>
      <c r="M309" s="1239"/>
      <c r="N309" s="1239"/>
      <c r="O309" s="1239"/>
      <c r="P309" s="1239"/>
      <c r="Q309" s="1239"/>
      <c r="R309" s="1239"/>
      <c r="S309" s="484">
        <f t="shared" ref="S309" si="26">AG310-AG308</f>
        <v>23.689999999987776</v>
      </c>
      <c r="T309" s="1239"/>
      <c r="U309" s="1239"/>
      <c r="V309" s="1239"/>
      <c r="W309" s="1239"/>
      <c r="X309" s="1239"/>
      <c r="Y309" s="1239"/>
      <c r="Z309" s="1239"/>
      <c r="AA309" s="1239"/>
      <c r="AB309" s="1239"/>
      <c r="AC309" s="1239"/>
      <c r="AD309" s="1239"/>
      <c r="AE309" s="1239"/>
      <c r="AF309" s="1239"/>
      <c r="AG309" s="171"/>
      <c r="AH309" s="1239"/>
      <c r="AI309" s="1239"/>
      <c r="AJ309" s="1239"/>
      <c r="AK309" s="1239"/>
      <c r="AL309" s="1239"/>
      <c r="AM309" s="1239"/>
      <c r="AN309" s="455"/>
      <c r="AO309" s="1239"/>
      <c r="AP309" s="1239"/>
      <c r="AQ309" s="484">
        <f>+FL_2($T$310,$T$308,$G$309,1200,9.28,-1*$F$310)</f>
        <v>-0.35000000000001891</v>
      </c>
      <c r="AR309" s="484"/>
      <c r="AS309" s="484"/>
      <c r="AT309" s="484"/>
      <c r="AU309" s="638"/>
      <c r="AV309" s="638"/>
      <c r="AW309" s="638"/>
      <c r="AX309" s="638"/>
      <c r="AY309" s="484"/>
      <c r="AZ309" s="484"/>
      <c r="BA309" s="671"/>
      <c r="BB309" s="1239"/>
      <c r="BC309" s="169"/>
      <c r="BD309" s="1330"/>
      <c r="BE309" s="1330"/>
      <c r="BF309" s="1330"/>
      <c r="BG309" s="1330"/>
    </row>
    <row r="310" spans="1:59" ht="15.75" customHeight="1">
      <c r="A310" s="1239"/>
      <c r="B310" s="1239" t="s">
        <v>2360</v>
      </c>
      <c r="C310" s="171">
        <f>+$C$308+$G$309</f>
        <v>92227.9</v>
      </c>
      <c r="D310" s="1239"/>
      <c r="E310" s="1239"/>
      <c r="F310" s="448">
        <v>0</v>
      </c>
      <c r="G310" s="484"/>
      <c r="H310" s="1239"/>
      <c r="I310" s="448"/>
      <c r="J310" s="171"/>
      <c r="K310" s="1239"/>
      <c r="L310" s="638"/>
      <c r="M310" s="638"/>
      <c r="N310" s="1239" t="s">
        <v>844</v>
      </c>
      <c r="O310" s="1239"/>
      <c r="P310" s="1239"/>
      <c r="Q310" s="1239">
        <v>0</v>
      </c>
      <c r="R310" s="1239">
        <v>0</v>
      </c>
      <c r="S310" s="455"/>
      <c r="T310" s="1239">
        <v>35</v>
      </c>
      <c r="U310" s="1239"/>
      <c r="V310" s="1239"/>
      <c r="W310" s="1239">
        <v>1.4</v>
      </c>
      <c r="X310" s="1239"/>
      <c r="Y310" s="1239"/>
      <c r="Z310" s="1239"/>
      <c r="AA310" s="1239"/>
      <c r="AB310" s="1239"/>
      <c r="AC310" s="1239" t="s">
        <v>3050</v>
      </c>
      <c r="AD310" s="1239"/>
      <c r="AE310" s="1239"/>
      <c r="AF310" s="1239">
        <v>200</v>
      </c>
      <c r="AG310" s="171">
        <v>92227.51</v>
      </c>
      <c r="AH310" s="1239">
        <v>1773</v>
      </c>
      <c r="AI310" s="1239">
        <v>-5620</v>
      </c>
      <c r="AJ310" s="1239"/>
      <c r="AK310" s="1239" t="s">
        <v>139</v>
      </c>
      <c r="AL310" s="1239"/>
      <c r="AM310" s="1239"/>
      <c r="AN310" s="455">
        <v>5.5</v>
      </c>
      <c r="AO310" s="1239"/>
      <c r="AP310" s="1239"/>
      <c r="AQ310" s="484"/>
      <c r="AR310" s="484"/>
      <c r="AS310" s="484"/>
      <c r="AT310" s="484">
        <f>+ab($T$310,$T$308,$T$312,$G$309,$G$311,-1*$F$310,1200)</f>
        <v>3.7541460733112708</v>
      </c>
      <c r="AU310" s="638"/>
      <c r="AV310" s="638"/>
      <c r="AW310" s="638"/>
      <c r="AX310" s="638"/>
      <c r="AY310" s="484"/>
      <c r="AZ310" s="484"/>
      <c r="BA310" s="671"/>
      <c r="BB310" s="1239"/>
      <c r="BC310" s="169"/>
      <c r="BD310" s="1371"/>
      <c r="BE310" s="1371"/>
      <c r="BF310" s="1371"/>
      <c r="BG310" s="1371"/>
    </row>
    <row r="311" spans="1:59" ht="15.75" customHeight="1">
      <c r="A311" s="1239"/>
      <c r="B311" s="1239"/>
      <c r="C311" s="171"/>
      <c r="D311" s="1239"/>
      <c r="E311" s="1239"/>
      <c r="F311" s="448"/>
      <c r="G311" s="484">
        <v>32</v>
      </c>
      <c r="H311" s="1239"/>
      <c r="I311" s="448"/>
      <c r="J311" s="171"/>
      <c r="K311" s="1239"/>
      <c r="L311" s="1239"/>
      <c r="M311" s="1239"/>
      <c r="N311" s="1239"/>
      <c r="O311" s="1239"/>
      <c r="P311" s="1239"/>
      <c r="Q311" s="1239"/>
      <c r="R311" s="1239"/>
      <c r="S311" s="484">
        <f t="shared" ref="S311" si="27">AG312-AG310</f>
        <v>32.460000000006403</v>
      </c>
      <c r="T311" s="1239"/>
      <c r="U311" s="1239"/>
      <c r="V311" s="1239"/>
      <c r="W311" s="1239"/>
      <c r="X311" s="1239"/>
      <c r="Y311" s="1239"/>
      <c r="Z311" s="1239"/>
      <c r="AA311" s="1239"/>
      <c r="AB311" s="1239"/>
      <c r="AC311" s="1239"/>
      <c r="AD311" s="1239"/>
      <c r="AE311" s="1239"/>
      <c r="AF311" s="1239"/>
      <c r="AG311" s="171"/>
      <c r="AH311" s="1239"/>
      <c r="AI311" s="1239"/>
      <c r="AJ311" s="1239"/>
      <c r="AK311" s="1239"/>
      <c r="AL311" s="1239"/>
      <c r="AM311" s="1239"/>
      <c r="AN311" s="455"/>
      <c r="AO311" s="1239"/>
      <c r="AP311" s="1239"/>
      <c r="AQ311" s="484">
        <f>+FL_1($T$312,$T$310,$G$311,1200,9.28,-1*$F$312)</f>
        <v>0.35000000000002096</v>
      </c>
      <c r="AR311" s="484"/>
      <c r="AS311" s="484"/>
      <c r="AT311" s="484"/>
      <c r="AU311" s="638"/>
      <c r="AV311" s="638"/>
      <c r="AW311" s="638"/>
      <c r="AX311" s="638"/>
      <c r="AY311" s="484"/>
      <c r="AZ311" s="484"/>
      <c r="BA311" s="671"/>
      <c r="BB311" s="1239"/>
      <c r="BC311" s="169"/>
      <c r="BD311" s="1330"/>
      <c r="BE311" s="1330"/>
      <c r="BF311" s="1330"/>
      <c r="BG311" s="1330"/>
    </row>
    <row r="312" spans="1:59" ht="15.75" customHeight="1">
      <c r="A312" s="424" t="s">
        <v>1663</v>
      </c>
      <c r="B312" s="428" t="s">
        <v>2361</v>
      </c>
      <c r="C312" s="430">
        <f>+$C$310+$G$311</f>
        <v>92259.9</v>
      </c>
      <c r="D312" s="428"/>
      <c r="E312" s="428"/>
      <c r="F312" s="429">
        <v>0</v>
      </c>
      <c r="G312" s="486"/>
      <c r="H312" s="428"/>
      <c r="I312" s="429"/>
      <c r="J312" s="430"/>
      <c r="K312" s="428"/>
      <c r="L312" s="428"/>
      <c r="M312" s="428"/>
      <c r="N312" s="428" t="s">
        <v>2794</v>
      </c>
      <c r="O312" s="428"/>
      <c r="P312" s="428"/>
      <c r="Q312" s="428">
        <v>0</v>
      </c>
      <c r="R312" s="428">
        <v>0</v>
      </c>
      <c r="S312" s="455"/>
      <c r="T312" s="428">
        <v>-35</v>
      </c>
      <c r="U312" s="428"/>
      <c r="V312" s="428"/>
      <c r="W312" s="428">
        <v>1.4</v>
      </c>
      <c r="X312" s="428"/>
      <c r="Y312" s="428"/>
      <c r="Z312" s="428"/>
      <c r="AA312" s="428"/>
      <c r="AB312" s="428"/>
      <c r="AC312" s="428" t="s">
        <v>4090</v>
      </c>
      <c r="AD312" s="428"/>
      <c r="AE312" s="428"/>
      <c r="AF312" s="428">
        <v>900</v>
      </c>
      <c r="AG312" s="430">
        <v>92259.97</v>
      </c>
      <c r="AH312" s="428">
        <v>1723</v>
      </c>
      <c r="AI312" s="428">
        <v>-4370</v>
      </c>
      <c r="AJ312" s="428"/>
      <c r="AK312" s="428" t="s">
        <v>139</v>
      </c>
      <c r="AL312" s="428"/>
      <c r="AM312" s="428"/>
      <c r="AN312" s="456">
        <v>5.5</v>
      </c>
      <c r="AO312" s="428"/>
      <c r="AP312" s="428"/>
      <c r="AQ312" s="486"/>
      <c r="AR312" s="486"/>
      <c r="AS312" s="486"/>
      <c r="AT312" s="486">
        <f>+ab($T$312,$T$310,$T$314,$G$311,$G$313,-1*$F$312,1200)</f>
        <v>-5.0836609104299537</v>
      </c>
      <c r="AU312" s="487"/>
      <c r="AV312" s="487"/>
      <c r="AW312" s="487"/>
      <c r="AX312" s="487"/>
      <c r="AY312" s="486"/>
      <c r="AZ312" s="486"/>
      <c r="BA312" s="672"/>
      <c r="BB312" s="424"/>
      <c r="BC312" s="169"/>
      <c r="BD312" s="1330"/>
      <c r="BE312" s="1329"/>
      <c r="BF312" s="1330"/>
      <c r="BG312" s="1329">
        <v>43893</v>
      </c>
    </row>
    <row r="313" spans="1:59" ht="15.75" customHeight="1">
      <c r="A313" s="1239"/>
      <c r="B313" s="1239"/>
      <c r="C313" s="171"/>
      <c r="D313" s="1239"/>
      <c r="E313" s="1239"/>
      <c r="F313" s="448"/>
      <c r="G313" s="484">
        <v>31.7</v>
      </c>
      <c r="H313" s="1239"/>
      <c r="I313" s="448"/>
      <c r="J313" s="171"/>
      <c r="K313" s="1239"/>
      <c r="L313" s="1239"/>
      <c r="M313" s="1239"/>
      <c r="N313" s="1239"/>
      <c r="O313" s="1239"/>
      <c r="P313" s="1239"/>
      <c r="Q313" s="1239"/>
      <c r="R313" s="1239"/>
      <c r="S313" s="484">
        <f t="shared" ref="S313" si="28">AG314-AG312</f>
        <v>31.55000000000291</v>
      </c>
      <c r="T313" s="1239"/>
      <c r="U313" s="1239"/>
      <c r="V313" s="1239"/>
      <c r="W313" s="1239"/>
      <c r="X313" s="1239"/>
      <c r="Y313" s="1239"/>
      <c r="Z313" s="1239"/>
      <c r="AA313" s="1239"/>
      <c r="AB313" s="1239"/>
      <c r="AC313" s="1239"/>
      <c r="AD313" s="1239"/>
      <c r="AE313" s="1239"/>
      <c r="AF313" s="1239"/>
      <c r="AG313" s="171"/>
      <c r="AH313" s="1239"/>
      <c r="AI313" s="1239"/>
      <c r="AJ313" s="1239"/>
      <c r="AK313" s="1239"/>
      <c r="AL313" s="1239"/>
      <c r="AM313" s="1239"/>
      <c r="AN313" s="455"/>
      <c r="AO313" s="1239"/>
      <c r="AP313" s="1239"/>
      <c r="AQ313" s="484">
        <f>+FL_2($T$314,$T$312,$G$313,1200,9.28,-1*$F$314)</f>
        <v>-0.35000000000000758</v>
      </c>
      <c r="AR313" s="484"/>
      <c r="AS313" s="484"/>
      <c r="AT313" s="484"/>
      <c r="AU313" s="638"/>
      <c r="AV313" s="638"/>
      <c r="AW313" s="638"/>
      <c r="AX313" s="638"/>
      <c r="AY313" s="484"/>
      <c r="AZ313" s="484"/>
      <c r="BA313" s="671"/>
      <c r="BB313" s="1239"/>
      <c r="BC313" s="169"/>
      <c r="BD313" s="1330"/>
      <c r="BE313" s="1330"/>
      <c r="BF313" s="1330"/>
      <c r="BG313" s="1330"/>
    </row>
    <row r="314" spans="1:59" ht="15.75" customHeight="1">
      <c r="A314" s="1239"/>
      <c r="B314" s="1239" t="s">
        <v>2362</v>
      </c>
      <c r="C314" s="171">
        <f>+$C$312+$G$313</f>
        <v>92291.599999999991</v>
      </c>
      <c r="D314" s="1239"/>
      <c r="E314" s="1239"/>
      <c r="F314" s="448">
        <v>0</v>
      </c>
      <c r="G314" s="484"/>
      <c r="H314" s="1239"/>
      <c r="I314" s="448"/>
      <c r="J314" s="171"/>
      <c r="K314" s="1239"/>
      <c r="L314" s="638"/>
      <c r="M314" s="638"/>
      <c r="N314" s="1239" t="s">
        <v>844</v>
      </c>
      <c r="O314" s="1239"/>
      <c r="P314" s="1239"/>
      <c r="Q314" s="1239">
        <v>0</v>
      </c>
      <c r="R314" s="1239">
        <v>0</v>
      </c>
      <c r="S314" s="455"/>
      <c r="T314" s="1239">
        <v>15</v>
      </c>
      <c r="U314" s="1239"/>
      <c r="V314" s="1239"/>
      <c r="W314" s="1239">
        <v>1.4</v>
      </c>
      <c r="X314" s="1239"/>
      <c r="Y314" s="1239"/>
      <c r="Z314" s="1239"/>
      <c r="AA314" s="1239"/>
      <c r="AB314" s="1239"/>
      <c r="AC314" s="1239" t="s">
        <v>4090</v>
      </c>
      <c r="AD314" s="1239"/>
      <c r="AE314" s="1239"/>
      <c r="AF314" s="1239">
        <v>200</v>
      </c>
      <c r="AG314" s="171">
        <v>92291.520000000004</v>
      </c>
      <c r="AH314" s="1239">
        <v>1523</v>
      </c>
      <c r="AI314" s="1239">
        <v>-5700</v>
      </c>
      <c r="AJ314" s="1239"/>
      <c r="AK314" s="1239" t="s">
        <v>139</v>
      </c>
      <c r="AL314" s="1239"/>
      <c r="AM314" s="1239"/>
      <c r="AN314" s="455">
        <v>5.5</v>
      </c>
      <c r="AO314" s="1239"/>
      <c r="AP314" s="1239"/>
      <c r="AQ314" s="484"/>
      <c r="AR314" s="484"/>
      <c r="AS314" s="484"/>
      <c r="AT314" s="484">
        <f>+ab($T$314,$T$312,$T$316,$G$313,$G$315,-1*$F$314,1200)</f>
        <v>5.9056222733541679</v>
      </c>
      <c r="AU314" s="638"/>
      <c r="AV314" s="638"/>
      <c r="AW314" s="638"/>
      <c r="AX314" s="638"/>
      <c r="AY314" s="484"/>
      <c r="AZ314" s="484"/>
      <c r="BA314" s="671"/>
      <c r="BB314" s="1239"/>
      <c r="BC314" s="169"/>
      <c r="BD314" s="1371"/>
      <c r="BE314" s="1371"/>
      <c r="BF314" s="1371"/>
      <c r="BG314" s="1371"/>
    </row>
    <row r="315" spans="1:59" ht="15.75" customHeight="1">
      <c r="A315" s="1239"/>
      <c r="B315" s="1239"/>
      <c r="C315" s="171"/>
      <c r="D315" s="1239"/>
      <c r="E315" s="1239"/>
      <c r="F315" s="448"/>
      <c r="G315" s="484">
        <v>27.1</v>
      </c>
      <c r="H315" s="1239"/>
      <c r="I315" s="448"/>
      <c r="J315" s="171"/>
      <c r="K315" s="1239"/>
      <c r="L315" s="1239"/>
      <c r="M315" s="1239"/>
      <c r="N315" s="1239"/>
      <c r="O315" s="1239"/>
      <c r="P315" s="1239"/>
      <c r="Q315" s="1239"/>
      <c r="R315" s="1239"/>
      <c r="S315" s="484">
        <f t="shared" ref="S315" si="29">AG316-AG314</f>
        <v>26.479999999995925</v>
      </c>
      <c r="T315" s="1239"/>
      <c r="U315" s="1239"/>
      <c r="V315" s="1239"/>
      <c r="W315" s="1239"/>
      <c r="X315" s="1239"/>
      <c r="Y315" s="1239"/>
      <c r="Z315" s="1239"/>
      <c r="AA315" s="1239"/>
      <c r="AB315" s="1239"/>
      <c r="AC315" s="1239"/>
      <c r="AD315" s="1239"/>
      <c r="AE315" s="1239"/>
      <c r="AF315" s="1239"/>
      <c r="AG315" s="171"/>
      <c r="AH315" s="1239"/>
      <c r="AI315" s="1239"/>
      <c r="AJ315" s="1239"/>
      <c r="AK315" s="1239"/>
      <c r="AL315" s="1239"/>
      <c r="AM315" s="1239"/>
      <c r="AN315" s="455"/>
      <c r="AO315" s="1239"/>
      <c r="AP315" s="1239"/>
      <c r="AQ315" s="484">
        <f>+FL_1($T$316,$T$314,$G$315,1200,9.28,-1*$F$316)</f>
        <v>0.15000000000000874</v>
      </c>
      <c r="AR315" s="484"/>
      <c r="AS315" s="484"/>
      <c r="AT315" s="484"/>
      <c r="AU315" s="638"/>
      <c r="AV315" s="638"/>
      <c r="AW315" s="638"/>
      <c r="AX315" s="638"/>
      <c r="AY315" s="484"/>
      <c r="AZ315" s="484"/>
      <c r="BA315" s="671"/>
      <c r="BB315" s="1239"/>
      <c r="BC315" s="169"/>
      <c r="BD315" s="1330"/>
      <c r="BE315" s="1330"/>
      <c r="BF315" s="1330"/>
      <c r="BG315" s="1330"/>
    </row>
    <row r="316" spans="1:59" ht="15.75" customHeight="1">
      <c r="A316" s="1239"/>
      <c r="B316" s="1239" t="s">
        <v>2363</v>
      </c>
      <c r="C316" s="171">
        <f>+$C$314+$G$315</f>
        <v>92318.7</v>
      </c>
      <c r="D316" s="1239"/>
      <c r="E316" s="1239"/>
      <c r="F316" s="448">
        <v>0</v>
      </c>
      <c r="G316" s="484"/>
      <c r="H316" s="1239"/>
      <c r="I316" s="448"/>
      <c r="J316" s="171"/>
      <c r="K316" s="1239"/>
      <c r="L316" s="638"/>
      <c r="M316" s="638"/>
      <c r="N316" s="1239" t="s">
        <v>843</v>
      </c>
      <c r="O316" s="1239"/>
      <c r="P316" s="1239"/>
      <c r="Q316" s="1239">
        <v>0</v>
      </c>
      <c r="R316" s="1239">
        <v>0</v>
      </c>
      <c r="S316" s="455"/>
      <c r="T316" s="1239">
        <v>-30</v>
      </c>
      <c r="U316" s="1239"/>
      <c r="V316" s="1239"/>
      <c r="W316" s="1239">
        <v>1.4</v>
      </c>
      <c r="X316" s="1239"/>
      <c r="Y316" s="1239"/>
      <c r="Z316" s="1239"/>
      <c r="AA316" s="1239"/>
      <c r="AB316" s="1239"/>
      <c r="AC316" s="1239" t="s">
        <v>3050</v>
      </c>
      <c r="AD316" s="1239"/>
      <c r="AE316" s="1239"/>
      <c r="AF316" s="1239">
        <v>100</v>
      </c>
      <c r="AG316" s="171">
        <v>92318</v>
      </c>
      <c r="AH316" s="1239">
        <v>1823</v>
      </c>
      <c r="AI316" s="1239">
        <v>-5460</v>
      </c>
      <c r="AJ316" s="1239"/>
      <c r="AK316" s="1239" t="s">
        <v>139</v>
      </c>
      <c r="AL316" s="1239"/>
      <c r="AM316" s="1239"/>
      <c r="AN316" s="455">
        <v>5.5</v>
      </c>
      <c r="AO316" s="1239"/>
      <c r="AP316" s="1239"/>
      <c r="AQ316" s="484"/>
      <c r="AR316" s="484"/>
      <c r="AS316" s="484"/>
      <c r="AT316" s="484">
        <f>+ab($T$316,$T$314,$T$318,$G$315,$G$317,-1*$F$316,1200)</f>
        <v>-11.403233739697596</v>
      </c>
      <c r="AU316" s="638"/>
      <c r="AV316" s="638"/>
      <c r="AW316" s="638"/>
      <c r="AX316" s="638"/>
      <c r="AY316" s="484"/>
      <c r="AZ316" s="484"/>
      <c r="BA316" s="671"/>
      <c r="BB316" s="1239"/>
      <c r="BC316" s="169"/>
      <c r="BD316" s="1371"/>
      <c r="BE316" s="1371"/>
      <c r="BF316" s="1371"/>
      <c r="BG316" s="1371"/>
    </row>
    <row r="317" spans="1:59" ht="15.75" customHeight="1">
      <c r="A317" s="1239"/>
      <c r="B317" s="1239"/>
      <c r="C317" s="171"/>
      <c r="D317" s="1239"/>
      <c r="E317" s="1239"/>
      <c r="F317" s="448"/>
      <c r="G317" s="484">
        <v>27.1</v>
      </c>
      <c r="H317" s="1239"/>
      <c r="I317" s="448"/>
      <c r="J317" s="171"/>
      <c r="K317" s="1239"/>
      <c r="L317" s="1239"/>
      <c r="M317" s="1239"/>
      <c r="N317" s="1239"/>
      <c r="O317" s="1239"/>
      <c r="P317" s="1239"/>
      <c r="Q317" s="1239"/>
      <c r="R317" s="1239"/>
      <c r="S317" s="484">
        <f t="shared" ref="S317" si="30">AG318-AG316</f>
        <v>27</v>
      </c>
      <c r="T317" s="1239"/>
      <c r="U317" s="1239"/>
      <c r="V317" s="1239"/>
      <c r="W317" s="1239"/>
      <c r="X317" s="1239"/>
      <c r="Y317" s="1239"/>
      <c r="Z317" s="1239"/>
      <c r="AA317" s="1239"/>
      <c r="AB317" s="1239"/>
      <c r="AC317" s="1239"/>
      <c r="AD317" s="1239"/>
      <c r="AE317" s="1239"/>
      <c r="AF317" s="1239"/>
      <c r="AG317" s="171"/>
      <c r="AH317" s="1239"/>
      <c r="AI317" s="1239"/>
      <c r="AJ317" s="1239"/>
      <c r="AK317" s="1239"/>
      <c r="AL317" s="1239"/>
      <c r="AM317" s="1239"/>
      <c r="AN317" s="455"/>
      <c r="AO317" s="1239"/>
      <c r="AP317" s="1239"/>
      <c r="AQ317" s="484">
        <f>+FL_2($T$318,$T$316,$G$317,1200,9.28,-1*$F$318)</f>
        <v>-0.37099296666666665</v>
      </c>
      <c r="AR317" s="484"/>
      <c r="AS317" s="484"/>
      <c r="AT317" s="484"/>
      <c r="AU317" s="638"/>
      <c r="AV317" s="638"/>
      <c r="AW317" s="638"/>
      <c r="AX317" s="638"/>
      <c r="AY317" s="484"/>
      <c r="AZ317" s="484"/>
      <c r="BA317" s="671"/>
      <c r="BB317" s="1239"/>
      <c r="BC317" s="169"/>
      <c r="BD317" s="1330"/>
      <c r="BE317" s="1330"/>
      <c r="BF317" s="1330"/>
      <c r="BG317" s="1330"/>
    </row>
    <row r="318" spans="1:59" ht="15.75" customHeight="1">
      <c r="A318" s="1239"/>
      <c r="B318" s="1239" t="s">
        <v>2364</v>
      </c>
      <c r="C318" s="171">
        <f>+$C$316+$G$317</f>
        <v>92345.8</v>
      </c>
      <c r="D318" s="1239"/>
      <c r="E318" s="1239"/>
      <c r="F318" s="448">
        <v>0</v>
      </c>
      <c r="G318" s="484"/>
      <c r="H318" s="1239" t="s">
        <v>2506</v>
      </c>
      <c r="I318" s="448"/>
      <c r="J318" s="171"/>
      <c r="K318" s="1239"/>
      <c r="L318" s="638"/>
      <c r="M318" s="638"/>
      <c r="N318" s="1239" t="s">
        <v>843</v>
      </c>
      <c r="O318" s="1239" t="s">
        <v>844</v>
      </c>
      <c r="P318" s="1239"/>
      <c r="Q318" s="1239">
        <v>0</v>
      </c>
      <c r="R318" s="1239">
        <v>0</v>
      </c>
      <c r="S318" s="455"/>
      <c r="T318" s="1239">
        <v>-30</v>
      </c>
      <c r="U318" s="1239">
        <v>-15</v>
      </c>
      <c r="V318" s="1239"/>
      <c r="W318" s="1239">
        <v>1.9</v>
      </c>
      <c r="X318" s="1239">
        <v>1.4</v>
      </c>
      <c r="Y318" s="1239"/>
      <c r="Z318" s="1239"/>
      <c r="AA318" s="1239"/>
      <c r="AB318" s="1239"/>
      <c r="AC318" s="638" t="s">
        <v>4090</v>
      </c>
      <c r="AD318" s="638" t="s">
        <v>4207</v>
      </c>
      <c r="AE318" s="1239"/>
      <c r="AF318" s="1239">
        <v>200</v>
      </c>
      <c r="AG318" s="171">
        <v>92345</v>
      </c>
      <c r="AH318" s="1239">
        <v>2133</v>
      </c>
      <c r="AI318" s="1239">
        <v>-5150</v>
      </c>
      <c r="AJ318" s="1239"/>
      <c r="AK318" s="1239" t="s">
        <v>228</v>
      </c>
      <c r="AL318" s="1239"/>
      <c r="AM318" s="1239"/>
      <c r="AN318" s="484">
        <v>5.46</v>
      </c>
      <c r="AO318" s="1239"/>
      <c r="AP318" s="1239"/>
      <c r="AQ318" s="484"/>
      <c r="AR318" s="484"/>
      <c r="AS318" s="484"/>
      <c r="AT318" s="484">
        <f>+ab($T$318,$T$316,$U$320,$G$317,$G$319,-1*$F$318,1200)</f>
        <v>-10.251407818400239</v>
      </c>
      <c r="AU318" s="638"/>
      <c r="AV318" s="638"/>
      <c r="AW318" s="638"/>
      <c r="AX318" s="638"/>
      <c r="AY318" s="484"/>
      <c r="AZ318" s="484"/>
      <c r="BA318" s="671"/>
      <c r="BB318" s="1239"/>
      <c r="BC318" s="169"/>
      <c r="BD318" s="1371"/>
      <c r="BE318" s="1371"/>
      <c r="BF318" s="1371"/>
      <c r="BG318" s="1371"/>
    </row>
    <row r="319" spans="1:59" ht="15.75" customHeight="1">
      <c r="A319" s="1239"/>
      <c r="B319" s="1239"/>
      <c r="C319" s="171"/>
      <c r="D319" s="1239"/>
      <c r="E319" s="1239"/>
      <c r="F319" s="448"/>
      <c r="G319" s="484">
        <v>27</v>
      </c>
      <c r="H319" s="1239"/>
      <c r="I319" s="448">
        <f>SUM(G295:G319)</f>
        <v>452.80000000000007</v>
      </c>
      <c r="J319" s="171"/>
      <c r="K319" s="1239"/>
      <c r="L319" s="1239"/>
      <c r="M319" s="1239"/>
      <c r="N319" s="1239"/>
      <c r="O319" s="1239"/>
      <c r="P319" s="1239"/>
      <c r="Q319" s="1239"/>
      <c r="R319" s="1239"/>
      <c r="S319" s="484">
        <f t="shared" ref="S319" si="31">AG320-AG318</f>
        <v>27</v>
      </c>
      <c r="T319" s="1239"/>
      <c r="U319" s="1239"/>
      <c r="V319" s="1239"/>
      <c r="W319" s="1239"/>
      <c r="X319" s="1239"/>
      <c r="Y319" s="1239"/>
      <c r="Z319" s="1239"/>
      <c r="AA319" s="1239"/>
      <c r="AB319" s="1239"/>
      <c r="AC319" s="1239"/>
      <c r="AD319" s="1239"/>
      <c r="AE319" s="1239"/>
      <c r="AF319" s="1239"/>
      <c r="AG319" s="171"/>
      <c r="AH319" s="1239"/>
      <c r="AI319" s="1239"/>
      <c r="AJ319" s="1239"/>
      <c r="AK319" s="1239" t="s">
        <v>2760</v>
      </c>
      <c r="AL319" s="1239"/>
      <c r="AM319" s="1239"/>
      <c r="AN319" s="484"/>
      <c r="AO319" s="638"/>
      <c r="AP319" s="638"/>
      <c r="AQ319" s="484">
        <f>+FL_2($U$320,$T$318,$G$319,1200,9.28,-1*$F$320)</f>
        <v>-0.30000000000001142</v>
      </c>
      <c r="AR319" s="484"/>
      <c r="AS319" s="484"/>
      <c r="AT319" s="484"/>
      <c r="AU319" s="638"/>
      <c r="AV319" s="638"/>
      <c r="AW319" s="638"/>
      <c r="AX319" s="638"/>
      <c r="AY319" s="484"/>
      <c r="AZ319" s="484"/>
      <c r="BA319" s="671"/>
      <c r="BB319" s="1239"/>
      <c r="BC319" s="169"/>
      <c r="BD319" s="1330"/>
      <c r="BE319" s="1330"/>
      <c r="BF319" s="1330"/>
      <c r="BG319" s="1330"/>
    </row>
    <row r="320" spans="1:59" ht="15.75" customHeight="1">
      <c r="A320" s="1239"/>
      <c r="B320" s="1239" t="s">
        <v>2365</v>
      </c>
      <c r="C320" s="171">
        <f>+$C$318+$G$319</f>
        <v>92372.800000000003</v>
      </c>
      <c r="D320" s="1239"/>
      <c r="E320" s="1239"/>
      <c r="F320" s="448">
        <v>0</v>
      </c>
      <c r="G320" s="484"/>
      <c r="H320" s="1239" t="s">
        <v>3325</v>
      </c>
      <c r="I320" s="448"/>
      <c r="J320" s="171"/>
      <c r="K320" s="1239"/>
      <c r="L320" s="638"/>
      <c r="M320" s="638"/>
      <c r="N320" s="1239" t="s">
        <v>845</v>
      </c>
      <c r="O320" s="1239" t="s">
        <v>844</v>
      </c>
      <c r="P320" s="1239"/>
      <c r="Q320" s="1239">
        <v>0</v>
      </c>
      <c r="R320" s="1239">
        <v>0</v>
      </c>
      <c r="S320" s="455"/>
      <c r="T320" s="1239">
        <v>15</v>
      </c>
      <c r="U320" s="1239">
        <v>20</v>
      </c>
      <c r="V320" s="1239"/>
      <c r="W320" s="1239">
        <v>1.9</v>
      </c>
      <c r="X320" s="1239">
        <v>1.4</v>
      </c>
      <c r="Y320" s="1239"/>
      <c r="Z320" s="1239">
        <v>0.22</v>
      </c>
      <c r="AA320" s="1239"/>
      <c r="AB320" s="1239"/>
      <c r="AC320" s="1239" t="s">
        <v>1427</v>
      </c>
      <c r="AD320" s="1239"/>
      <c r="AE320" s="1239"/>
      <c r="AF320" s="1239">
        <v>200</v>
      </c>
      <c r="AG320" s="171">
        <v>92372</v>
      </c>
      <c r="AH320" s="1239">
        <v>1733</v>
      </c>
      <c r="AI320" s="1239">
        <v>-5580</v>
      </c>
      <c r="AJ320" s="1239"/>
      <c r="AK320" s="1239" t="s">
        <v>228</v>
      </c>
      <c r="AL320" s="1239"/>
      <c r="AM320" s="1239"/>
      <c r="AN320" s="484">
        <v>5.39</v>
      </c>
      <c r="AO320" s="638"/>
      <c r="AP320" s="638"/>
      <c r="AQ320" s="484"/>
      <c r="AR320" s="484"/>
      <c r="AS320" s="484"/>
      <c r="AT320" s="484">
        <f>+ab($U$320,$T$318,$U$322,$G$319,$G$321,-1*$F$320,1200)</f>
        <v>12.738602113026948</v>
      </c>
      <c r="AU320" s="638"/>
      <c r="AV320" s="638"/>
      <c r="AW320" s="638"/>
      <c r="AX320" s="638"/>
      <c r="AY320" s="484"/>
      <c r="AZ320" s="484"/>
      <c r="BA320" s="671"/>
      <c r="BB320" s="1239"/>
      <c r="BC320" s="169"/>
      <c r="BD320" s="1371"/>
      <c r="BE320" s="1371"/>
      <c r="BF320" s="1371"/>
      <c r="BG320" s="1371"/>
    </row>
    <row r="321" spans="1:59" ht="15.75" customHeight="1">
      <c r="A321" s="1239"/>
      <c r="B321" s="1239"/>
      <c r="C321" s="171"/>
      <c r="D321" s="1239"/>
      <c r="E321" s="1239"/>
      <c r="F321" s="448"/>
      <c r="G321" s="484">
        <v>27</v>
      </c>
      <c r="H321" s="1239"/>
      <c r="I321" s="448">
        <f>SUM(G321:G345)</f>
        <v>502</v>
      </c>
      <c r="J321" s="171"/>
      <c r="K321" s="1239"/>
      <c r="L321" s="1239"/>
      <c r="M321" s="1239"/>
      <c r="N321" s="1239"/>
      <c r="O321" s="1239"/>
      <c r="P321" s="1239"/>
      <c r="Q321" s="1239"/>
      <c r="R321" s="1239"/>
      <c r="S321" s="484">
        <f t="shared" ref="S321" si="32">AG322-AG320</f>
        <v>27.770000000004075</v>
      </c>
      <c r="T321" s="1239"/>
      <c r="U321" s="1239"/>
      <c r="V321" s="1239"/>
      <c r="W321" s="1239"/>
      <c r="X321" s="1239"/>
      <c r="Y321" s="1239"/>
      <c r="Z321" s="1239"/>
      <c r="AA321" s="1239"/>
      <c r="AB321" s="1239"/>
      <c r="AC321" s="1239"/>
      <c r="AD321" s="1239"/>
      <c r="AE321" s="1239"/>
      <c r="AF321" s="1239"/>
      <c r="AG321" s="171"/>
      <c r="AH321" s="1239"/>
      <c r="AI321" s="1239"/>
      <c r="AJ321" s="1239"/>
      <c r="AK321" s="1239" t="s">
        <v>2760</v>
      </c>
      <c r="AL321" s="1239"/>
      <c r="AM321" s="1239"/>
      <c r="AN321" s="484"/>
      <c r="AO321" s="638"/>
      <c r="AP321" s="638"/>
      <c r="AQ321" s="484">
        <f>+FL_1($U$322,$U$320,$G$321,1200,9.28,-1*$F$322)</f>
        <v>0.32933902207407412</v>
      </c>
      <c r="AR321" s="484"/>
      <c r="AS321" s="484"/>
      <c r="AT321" s="484"/>
      <c r="AU321" s="638"/>
      <c r="AV321" s="638"/>
      <c r="AW321" s="638"/>
      <c r="AX321" s="638"/>
      <c r="AY321" s="484"/>
      <c r="AZ321" s="484"/>
      <c r="BA321" s="671"/>
      <c r="BB321" s="1239"/>
      <c r="BC321" s="169"/>
      <c r="BD321" s="1330"/>
      <c r="BE321" s="1330"/>
      <c r="BF321" s="1330"/>
      <c r="BG321" s="1330"/>
    </row>
    <row r="322" spans="1:59" ht="15.75" customHeight="1">
      <c r="A322" s="1239"/>
      <c r="B322" s="1239" t="s">
        <v>2366</v>
      </c>
      <c r="C322" s="171">
        <f>+$C$320+$G$321-0.25</f>
        <v>92399.55</v>
      </c>
      <c r="D322" s="1239"/>
      <c r="E322" s="1239"/>
      <c r="F322" s="448">
        <v>0</v>
      </c>
      <c r="G322" s="484"/>
      <c r="H322" s="1239" t="s">
        <v>2505</v>
      </c>
      <c r="I322" s="448"/>
      <c r="J322" s="171"/>
      <c r="K322" s="1239"/>
      <c r="L322" s="638"/>
      <c r="M322" s="638"/>
      <c r="N322" s="1239" t="s">
        <v>2794</v>
      </c>
      <c r="O322" s="1239" t="s">
        <v>844</v>
      </c>
      <c r="P322" s="1239"/>
      <c r="Q322" s="1239">
        <v>0</v>
      </c>
      <c r="R322" s="1239">
        <v>0</v>
      </c>
      <c r="S322" s="455"/>
      <c r="T322" s="1239">
        <v>15</v>
      </c>
      <c r="U322" s="1239">
        <v>30</v>
      </c>
      <c r="V322" s="1239"/>
      <c r="W322" s="1239">
        <v>1.9</v>
      </c>
      <c r="X322" s="1239">
        <v>1.4</v>
      </c>
      <c r="Y322" s="1239"/>
      <c r="Z322" s="1239"/>
      <c r="AA322" s="1239"/>
      <c r="AB322" s="1239"/>
      <c r="AC322" s="638" t="s">
        <v>4207</v>
      </c>
      <c r="AD322" s="638" t="s">
        <v>4124</v>
      </c>
      <c r="AE322" s="1239"/>
      <c r="AF322" s="1239">
        <v>200</v>
      </c>
      <c r="AG322" s="171">
        <v>92399.77</v>
      </c>
      <c r="AH322" s="1239">
        <v>1773</v>
      </c>
      <c r="AI322" s="1239">
        <v>-5060</v>
      </c>
      <c r="AJ322" s="1239"/>
      <c r="AK322" s="1239" t="s">
        <v>228</v>
      </c>
      <c r="AL322" s="1239"/>
      <c r="AM322" s="1239"/>
      <c r="AN322" s="484">
        <v>5.32</v>
      </c>
      <c r="AO322" s="638"/>
      <c r="AP322" s="638"/>
      <c r="AQ322" s="484"/>
      <c r="AR322" s="484"/>
      <c r="AS322" s="484"/>
      <c r="AT322" s="484">
        <f>+ab($U$322,$U$320,$T$324,$G$321,$G$323,-1*$F$322,1200)</f>
        <v>6.7213682183064272</v>
      </c>
      <c r="AU322" s="638"/>
      <c r="AV322" s="638"/>
      <c r="AW322" s="638"/>
      <c r="AX322" s="638"/>
      <c r="AY322" s="484"/>
      <c r="AZ322" s="484"/>
      <c r="BA322" s="671"/>
      <c r="BB322" s="1239"/>
      <c r="BC322" s="169"/>
      <c r="BD322" s="1371"/>
      <c r="BE322" s="1371"/>
      <c r="BF322" s="1371"/>
      <c r="BG322" s="1371"/>
    </row>
    <row r="323" spans="1:59" ht="15.75" customHeight="1">
      <c r="A323" s="1239"/>
      <c r="B323" s="1239"/>
      <c r="C323" s="171"/>
      <c r="D323" s="1239"/>
      <c r="E323" s="1239"/>
      <c r="F323" s="448"/>
      <c r="G323" s="484">
        <v>26.3</v>
      </c>
      <c r="H323" s="1239"/>
      <c r="I323" s="448"/>
      <c r="J323" s="171"/>
      <c r="K323" s="1239"/>
      <c r="L323" s="1239"/>
      <c r="M323" s="1239"/>
      <c r="N323" s="1239"/>
      <c r="O323" s="1239"/>
      <c r="P323" s="1239"/>
      <c r="Q323" s="1239"/>
      <c r="R323" s="1239"/>
      <c r="S323" s="484">
        <f t="shared" ref="S323" si="33">AG324-AG322</f>
        <v>26.220000000001164</v>
      </c>
      <c r="T323" s="1239"/>
      <c r="U323" s="1239"/>
      <c r="V323" s="1239"/>
      <c r="W323" s="1239"/>
      <c r="X323" s="1239"/>
      <c r="Y323" s="1239"/>
      <c r="Z323" s="1239"/>
      <c r="AA323" s="1239"/>
      <c r="AB323" s="1239"/>
      <c r="AC323" s="1239"/>
      <c r="AD323" s="1239"/>
      <c r="AE323" s="1239"/>
      <c r="AF323" s="1239"/>
      <c r="AG323" s="171"/>
      <c r="AH323" s="1239"/>
      <c r="AI323" s="1239"/>
      <c r="AJ323" s="1239"/>
      <c r="AK323" s="1239"/>
      <c r="AL323" s="1239"/>
      <c r="AM323" s="1239"/>
      <c r="AN323" s="484"/>
      <c r="AO323" s="638"/>
      <c r="AP323" s="638"/>
      <c r="AQ323" s="484">
        <f>+FL_2($T$324,$U$322,$G$323,1200,9.28,-1*$F$324)</f>
        <v>-0.35</v>
      </c>
      <c r="AR323" s="484"/>
      <c r="AS323" s="484"/>
      <c r="AT323" s="484"/>
      <c r="AU323" s="638"/>
      <c r="AV323" s="638"/>
      <c r="AW323" s="638"/>
      <c r="AX323" s="638"/>
      <c r="AY323" s="484"/>
      <c r="AZ323" s="484"/>
      <c r="BA323" s="671"/>
      <c r="BB323" s="1239"/>
      <c r="BC323" s="169"/>
      <c r="BD323" s="1330"/>
      <c r="BE323" s="1330"/>
      <c r="BF323" s="1330"/>
      <c r="BG323" s="1330"/>
    </row>
    <row r="324" spans="1:59" ht="15.75" customHeight="1">
      <c r="A324" s="1239" t="s">
        <v>1852</v>
      </c>
      <c r="B324" s="1239" t="s">
        <v>2367</v>
      </c>
      <c r="C324" s="171">
        <f>+$C$322+$G$323</f>
        <v>92425.85</v>
      </c>
      <c r="D324" s="1239"/>
      <c r="E324" s="1239"/>
      <c r="F324" s="448">
        <v>0</v>
      </c>
      <c r="G324" s="484"/>
      <c r="H324" s="1239"/>
      <c r="I324" s="448"/>
      <c r="J324" s="171"/>
      <c r="K324" s="1239"/>
      <c r="L324" s="638"/>
      <c r="M324" s="638"/>
      <c r="N324" s="1239" t="s">
        <v>2794</v>
      </c>
      <c r="O324" s="1239"/>
      <c r="P324" s="1239"/>
      <c r="Q324" s="1239">
        <v>0</v>
      </c>
      <c r="R324" s="1239">
        <v>0</v>
      </c>
      <c r="S324" s="455"/>
      <c r="T324" s="1239">
        <v>-35</v>
      </c>
      <c r="U324" s="1239"/>
      <c r="V324" s="1239"/>
      <c r="W324" s="1239">
        <v>1</v>
      </c>
      <c r="X324" s="1239"/>
      <c r="Y324" s="1239"/>
      <c r="Z324" s="1239"/>
      <c r="AA324" s="1239"/>
      <c r="AB324" s="1239"/>
      <c r="AC324" s="1239" t="s">
        <v>4126</v>
      </c>
      <c r="AD324" s="1239"/>
      <c r="AE324" s="1239"/>
      <c r="AF324" s="1239">
        <v>300</v>
      </c>
      <c r="AG324" s="171">
        <v>92425.99</v>
      </c>
      <c r="AH324" s="1239">
        <v>1583</v>
      </c>
      <c r="AI324" s="1239">
        <v>-4820</v>
      </c>
      <c r="AJ324" s="1239"/>
      <c r="AK324" s="1239" t="s">
        <v>139</v>
      </c>
      <c r="AL324" s="1239"/>
      <c r="AM324" s="1239"/>
      <c r="AN324" s="484">
        <v>5.26</v>
      </c>
      <c r="AO324" s="638"/>
      <c r="AP324" s="638"/>
      <c r="AQ324" s="484"/>
      <c r="AR324" s="484"/>
      <c r="AS324" s="484"/>
      <c r="AT324" s="484">
        <f>+ab($T$324,$U$322,$T$326,$G$323,$G$325,-1*$F$324,1200)</f>
        <v>-3.876213773401882</v>
      </c>
      <c r="AU324" s="638"/>
      <c r="AV324" s="638"/>
      <c r="AW324" s="638"/>
      <c r="AX324" s="638"/>
      <c r="AY324" s="484"/>
      <c r="AZ324" s="484"/>
      <c r="BA324" s="671"/>
      <c r="BB324" s="1239"/>
      <c r="BC324" s="169"/>
      <c r="BD324" s="1371"/>
      <c r="BE324" s="1371"/>
      <c r="BF324" s="1371"/>
      <c r="BG324" s="1371"/>
    </row>
    <row r="325" spans="1:59" ht="15.75" customHeight="1">
      <c r="A325" s="1239"/>
      <c r="B325" s="1239"/>
      <c r="C325" s="171"/>
      <c r="D325" s="1239"/>
      <c r="E325" s="1239"/>
      <c r="F325" s="448"/>
      <c r="G325" s="484">
        <v>26.3</v>
      </c>
      <c r="H325" s="1239"/>
      <c r="I325" s="448"/>
      <c r="J325" s="171"/>
      <c r="K325" s="1239"/>
      <c r="L325" s="1239"/>
      <c r="M325" s="1239"/>
      <c r="N325" s="1239"/>
      <c r="O325" s="1239"/>
      <c r="P325" s="1239"/>
      <c r="Q325" s="1239"/>
      <c r="R325" s="1239"/>
      <c r="S325" s="484">
        <f t="shared" ref="S325" si="34">AG326-AG324</f>
        <v>26.009999999994761</v>
      </c>
      <c r="T325" s="1239"/>
      <c r="U325" s="1239"/>
      <c r="V325" s="1239"/>
      <c r="W325" s="1239"/>
      <c r="X325" s="1239"/>
      <c r="Y325" s="1239"/>
      <c r="Z325" s="1239"/>
      <c r="AA325" s="1239"/>
      <c r="AB325" s="1239"/>
      <c r="AC325" s="1239"/>
      <c r="AD325" s="1239"/>
      <c r="AE325" s="1239"/>
      <c r="AF325" s="1239"/>
      <c r="AG325" s="171"/>
      <c r="AH325" s="1239"/>
      <c r="AI325" s="1239"/>
      <c r="AJ325" s="1239" t="s">
        <v>864</v>
      </c>
      <c r="AK325" s="1239" t="s">
        <v>2762</v>
      </c>
      <c r="AL325" s="1239"/>
      <c r="AM325" s="1239"/>
      <c r="AN325" s="484"/>
      <c r="AO325" s="638"/>
      <c r="AP325" s="638"/>
      <c r="AQ325" s="484">
        <f>+FL_2($T$326,$T$324,$G$325,1200,9.28,-1*$F$326)</f>
        <v>-0.35000000000001907</v>
      </c>
      <c r="AR325" s="484"/>
      <c r="AS325" s="484"/>
      <c r="AT325" s="484"/>
      <c r="AU325" s="638"/>
      <c r="AV325" s="638"/>
      <c r="AW325" s="638"/>
      <c r="AX325" s="638"/>
      <c r="AY325" s="484"/>
      <c r="AZ325" s="484"/>
      <c r="BA325" s="671"/>
      <c r="BB325" s="1239"/>
      <c r="BC325" s="169"/>
      <c r="BD325" s="1330"/>
      <c r="BE325" s="1330"/>
      <c r="BF325" s="1330"/>
      <c r="BG325" s="1330"/>
    </row>
    <row r="326" spans="1:59" ht="15.75" customHeight="1">
      <c r="A326" s="1239"/>
      <c r="B326" s="1239" t="s">
        <v>2368</v>
      </c>
      <c r="C326" s="171">
        <f>+$C$324+$G$325</f>
        <v>92452.150000000009</v>
      </c>
      <c r="D326" s="1239"/>
      <c r="E326" s="1239"/>
      <c r="F326" s="448">
        <v>0</v>
      </c>
      <c r="G326" s="484"/>
      <c r="H326" s="1239" t="s">
        <v>2505</v>
      </c>
      <c r="I326" s="448"/>
      <c r="J326" s="171"/>
      <c r="K326" s="1239"/>
      <c r="L326" s="638"/>
      <c r="M326" s="638"/>
      <c r="N326" s="1239" t="s">
        <v>844</v>
      </c>
      <c r="O326" s="1239" t="s">
        <v>2794</v>
      </c>
      <c r="P326" s="1239"/>
      <c r="Q326" s="1239">
        <v>0</v>
      </c>
      <c r="R326" s="1239">
        <v>0</v>
      </c>
      <c r="S326" s="455"/>
      <c r="T326" s="1239">
        <v>30</v>
      </c>
      <c r="U326" s="1239">
        <v>15</v>
      </c>
      <c r="V326" s="1239"/>
      <c r="W326" s="1239">
        <v>0.75</v>
      </c>
      <c r="X326" s="1239">
        <v>0.8</v>
      </c>
      <c r="Y326" s="1239"/>
      <c r="Z326" s="1239"/>
      <c r="AA326" s="1239"/>
      <c r="AB326" s="1239"/>
      <c r="AC326" s="638" t="s">
        <v>4115</v>
      </c>
      <c r="AD326" s="638" t="s">
        <v>4992</v>
      </c>
      <c r="AE326" s="1239"/>
      <c r="AF326" s="1239">
        <v>500</v>
      </c>
      <c r="AG326" s="171">
        <v>92452</v>
      </c>
      <c r="AH326" s="1239">
        <v>1793</v>
      </c>
      <c r="AI326" s="1239">
        <v>-4870</v>
      </c>
      <c r="AJ326" s="1239"/>
      <c r="AK326" s="1239" t="s">
        <v>228</v>
      </c>
      <c r="AL326" s="1239"/>
      <c r="AM326" s="1239"/>
      <c r="AN326" s="484">
        <v>5.19</v>
      </c>
      <c r="AO326" s="638"/>
      <c r="AP326" s="638"/>
      <c r="AQ326" s="484"/>
      <c r="AR326" s="484"/>
      <c r="AS326" s="484"/>
      <c r="AT326" s="484">
        <f>+ab($T$326,$T$324,$T$328,$G$325,$G$327,-1*$F$326,1200)</f>
        <v>6.3746791154877274</v>
      </c>
      <c r="AU326" s="638"/>
      <c r="AV326" s="638"/>
      <c r="AW326" s="638"/>
      <c r="AX326" s="638"/>
      <c r="AY326" s="484"/>
      <c r="AZ326" s="484"/>
      <c r="BA326" s="671"/>
      <c r="BB326" s="1239"/>
      <c r="BC326" s="169"/>
      <c r="BD326" s="1371"/>
      <c r="BE326" s="1371"/>
      <c r="BF326" s="1371"/>
      <c r="BG326" s="1371"/>
    </row>
    <row r="327" spans="1:59" ht="15.75" customHeight="1">
      <c r="A327" s="1239"/>
      <c r="B327" s="1239"/>
      <c r="C327" s="171"/>
      <c r="D327" s="1239"/>
      <c r="E327" s="1239"/>
      <c r="F327" s="448"/>
      <c r="G327" s="484">
        <v>28.5</v>
      </c>
      <c r="H327" s="1239"/>
      <c r="I327" s="448"/>
      <c r="J327" s="171"/>
      <c r="K327" s="1239"/>
      <c r="L327" s="1239"/>
      <c r="M327" s="1239"/>
      <c r="N327" s="1239"/>
      <c r="O327" s="1239"/>
      <c r="P327" s="1239"/>
      <c r="Q327" s="1239"/>
      <c r="R327" s="1239"/>
      <c r="S327" s="484">
        <f t="shared" ref="S327" si="35">AG328-AG326</f>
        <v>28</v>
      </c>
      <c r="T327" s="1239"/>
      <c r="U327" s="1239"/>
      <c r="V327" s="1239"/>
      <c r="W327" s="1239"/>
      <c r="X327" s="1239"/>
      <c r="Y327" s="1239"/>
      <c r="Z327" s="1239"/>
      <c r="AA327" s="1239"/>
      <c r="AB327" s="1239"/>
      <c r="AC327" s="1239"/>
      <c r="AD327" s="1239"/>
      <c r="AE327" s="1239"/>
      <c r="AF327" s="1239"/>
      <c r="AG327" s="171"/>
      <c r="AH327" s="1239"/>
      <c r="AI327" s="1239"/>
      <c r="AJ327" s="1239"/>
      <c r="AK327" s="1239"/>
      <c r="AL327" s="1239"/>
      <c r="AM327" s="1239"/>
      <c r="AN327" s="484"/>
      <c r="AO327" s="638"/>
      <c r="AP327" s="638"/>
      <c r="AQ327" s="484">
        <f>+FL_1($T$328,$T$326,$G$327,1200,9.28,-1*$F$328)</f>
        <v>0.32142751326315788</v>
      </c>
      <c r="AR327" s="484"/>
      <c r="AS327" s="484"/>
      <c r="AT327" s="484"/>
      <c r="AU327" s="638"/>
      <c r="AV327" s="638"/>
      <c r="AW327" s="638"/>
      <c r="AX327" s="638"/>
      <c r="AY327" s="484"/>
      <c r="AZ327" s="484"/>
      <c r="BA327" s="671"/>
      <c r="BB327" s="1239"/>
      <c r="BC327" s="169"/>
      <c r="BD327" s="1330"/>
      <c r="BE327" s="1330"/>
      <c r="BF327" s="1330"/>
      <c r="BG327" s="1330"/>
    </row>
    <row r="328" spans="1:59" ht="15.75" customHeight="1">
      <c r="A328" s="1239"/>
      <c r="B328" s="1239" t="s">
        <v>2369</v>
      </c>
      <c r="C328" s="171">
        <f>+$C$326+$G$327</f>
        <v>92480.650000000009</v>
      </c>
      <c r="D328" s="1239"/>
      <c r="E328" s="1239"/>
      <c r="F328" s="448">
        <v>0</v>
      </c>
      <c r="G328" s="484"/>
      <c r="H328" s="1239" t="s">
        <v>619</v>
      </c>
      <c r="I328" s="448"/>
      <c r="J328" s="171"/>
      <c r="K328" s="1239"/>
      <c r="L328" s="638"/>
      <c r="M328" s="638"/>
      <c r="N328" s="1239" t="s">
        <v>2797</v>
      </c>
      <c r="O328" s="1239" t="s">
        <v>4982</v>
      </c>
      <c r="P328" s="1239"/>
      <c r="Q328" s="1239">
        <v>0</v>
      </c>
      <c r="R328" s="1239">
        <v>0</v>
      </c>
      <c r="S328" s="455"/>
      <c r="T328" s="1239">
        <v>15</v>
      </c>
      <c r="U328" s="1239">
        <v>-30</v>
      </c>
      <c r="V328" s="1239"/>
      <c r="W328" s="1239">
        <v>0.5</v>
      </c>
      <c r="X328" s="1239">
        <v>0.5</v>
      </c>
      <c r="Y328" s="1239"/>
      <c r="Z328" s="1239"/>
      <c r="AA328" s="1239">
        <v>0.32</v>
      </c>
      <c r="AB328" s="1239"/>
      <c r="AC328" s="1239" t="s">
        <v>1421</v>
      </c>
      <c r="AD328" s="1239"/>
      <c r="AE328" s="1239"/>
      <c r="AF328" s="1239">
        <v>450</v>
      </c>
      <c r="AG328" s="171">
        <v>92480</v>
      </c>
      <c r="AH328" s="1239">
        <v>1523</v>
      </c>
      <c r="AI328" s="1239">
        <v>-4900</v>
      </c>
      <c r="AJ328" s="1239"/>
      <c r="AK328" s="1239" t="s">
        <v>228</v>
      </c>
      <c r="AL328" s="1239"/>
      <c r="AM328" s="1239"/>
      <c r="AN328" s="484">
        <v>5.15</v>
      </c>
      <c r="AO328" s="638"/>
      <c r="AP328" s="638"/>
      <c r="AQ328" s="484"/>
      <c r="AR328" s="484"/>
      <c r="AS328" s="484"/>
      <c r="AT328" s="484">
        <f>+ab($T$328,$T$326,$T$330,$G$327,$G$329,-1*$F$328,1200)</f>
        <v>30.148739081439778</v>
      </c>
      <c r="AU328" s="638"/>
      <c r="AV328" s="638"/>
      <c r="AW328" s="638"/>
      <c r="AX328" s="638"/>
      <c r="AY328" s="484"/>
      <c r="AZ328" s="484"/>
      <c r="BA328" s="671"/>
      <c r="BB328" s="1239"/>
      <c r="BC328" s="169"/>
      <c r="BD328" s="1371"/>
      <c r="BE328" s="1371"/>
      <c r="BF328" s="1371"/>
      <c r="BG328" s="1371"/>
    </row>
    <row r="329" spans="1:59" ht="15.75" customHeight="1">
      <c r="A329" s="495" t="s">
        <v>1851</v>
      </c>
      <c r="B329" s="495"/>
      <c r="C329" s="431"/>
      <c r="D329" s="495"/>
      <c r="E329" s="495"/>
      <c r="F329" s="492"/>
      <c r="G329" s="493">
        <v>40.799999999999997</v>
      </c>
      <c r="H329" s="495"/>
      <c r="I329" s="492"/>
      <c r="J329" s="431"/>
      <c r="K329" s="495"/>
      <c r="L329" s="495"/>
      <c r="M329" s="495"/>
      <c r="N329" s="495"/>
      <c r="O329" s="495"/>
      <c r="P329" s="495"/>
      <c r="Q329" s="495"/>
      <c r="R329" s="495"/>
      <c r="S329" s="484">
        <f t="shared" ref="S329:S337" si="36">AG330-AG328</f>
        <v>41.259999999994761</v>
      </c>
      <c r="T329" s="495"/>
      <c r="U329" s="495"/>
      <c r="V329" s="495"/>
      <c r="W329" s="495"/>
      <c r="X329" s="495"/>
      <c r="Y329" s="495"/>
      <c r="Z329" s="495"/>
      <c r="AA329" s="495"/>
      <c r="AB329" s="495"/>
      <c r="AC329" s="495"/>
      <c r="AD329" s="495"/>
      <c r="AE329" s="495"/>
      <c r="AF329" s="495"/>
      <c r="AG329" s="431"/>
      <c r="AH329" s="495"/>
      <c r="AI329" s="495"/>
      <c r="AJ329" s="495"/>
      <c r="AK329" s="495"/>
      <c r="AL329" s="495"/>
      <c r="AM329" s="495"/>
      <c r="AN329" s="493"/>
      <c r="AO329" s="490"/>
      <c r="AP329" s="490"/>
      <c r="AQ329" s="493">
        <f>+FL_2($T$330,$T$328,$G$329,1200,9.28,-1*$F$330)</f>
        <v>-0.31456687309803921</v>
      </c>
      <c r="AR329" s="493"/>
      <c r="AS329" s="493"/>
      <c r="AT329" s="493"/>
      <c r="AU329" s="490"/>
      <c r="AV329" s="490"/>
      <c r="AW329" s="490"/>
      <c r="AX329" s="490"/>
      <c r="AY329" s="493"/>
      <c r="AZ329" s="493"/>
      <c r="BA329" s="602"/>
      <c r="BB329" s="495"/>
      <c r="BC329" s="169"/>
      <c r="BD329" s="1330"/>
      <c r="BE329" s="1330"/>
      <c r="BF329" s="1330"/>
      <c r="BG329" s="1330"/>
    </row>
    <row r="330" spans="1:59" ht="15.75" customHeight="1">
      <c r="A330" s="1239"/>
      <c r="B330" s="1239" t="s">
        <v>2370</v>
      </c>
      <c r="C330" s="171">
        <f>+$C$328+$G$329</f>
        <v>92521.450000000012</v>
      </c>
      <c r="D330" s="1239"/>
      <c r="E330" s="1239"/>
      <c r="F330" s="448">
        <v>0</v>
      </c>
      <c r="G330" s="484"/>
      <c r="H330" s="1239"/>
      <c r="I330" s="448"/>
      <c r="J330" s="171"/>
      <c r="K330" s="1239"/>
      <c r="L330" s="638"/>
      <c r="M330" s="638"/>
      <c r="N330" s="1239" t="s">
        <v>2796</v>
      </c>
      <c r="O330" s="1239"/>
      <c r="P330" s="1239"/>
      <c r="Q330" s="1239">
        <v>30</v>
      </c>
      <c r="R330" s="1239">
        <v>0</v>
      </c>
      <c r="S330" s="455"/>
      <c r="T330" s="1239">
        <v>-30</v>
      </c>
      <c r="U330" s="1239"/>
      <c r="V330" s="1239"/>
      <c r="W330" s="1239">
        <v>0.5</v>
      </c>
      <c r="X330" s="1239"/>
      <c r="Y330" s="1239"/>
      <c r="Z330" s="1239"/>
      <c r="AA330" s="1239"/>
      <c r="AB330" s="1239"/>
      <c r="AC330" s="1239" t="s">
        <v>1417</v>
      </c>
      <c r="AD330" s="1239"/>
      <c r="AE330" s="1239"/>
      <c r="AF330" s="1239">
        <v>400</v>
      </c>
      <c r="AG330" s="171">
        <v>92521.26</v>
      </c>
      <c r="AH330" s="1239">
        <v>1753</v>
      </c>
      <c r="AI330" s="1239">
        <v>-5420</v>
      </c>
      <c r="AJ330" s="1239"/>
      <c r="AK330" s="1239" t="s">
        <v>139</v>
      </c>
      <c r="AL330" s="1239"/>
      <c r="AM330" s="1239"/>
      <c r="AN330" s="484">
        <v>5.15</v>
      </c>
      <c r="AO330" s="638"/>
      <c r="AP330" s="638"/>
      <c r="AQ330" s="484"/>
      <c r="AR330" s="484"/>
      <c r="AS330" s="484"/>
      <c r="AT330" s="484">
        <f>+ab($T$330,$T$328,$T$332,$G$329,$G$331,-1*$F$330,1200)</f>
        <v>-15.474300642122422</v>
      </c>
      <c r="AU330" s="638"/>
      <c r="AV330" s="638"/>
      <c r="AW330" s="638"/>
      <c r="AX330" s="638"/>
      <c r="AY330" s="484"/>
      <c r="AZ330" s="484"/>
      <c r="BA330" s="671"/>
      <c r="BB330" s="1239"/>
      <c r="BC330" s="169"/>
      <c r="BD330" s="1371"/>
      <c r="BE330" s="1371"/>
      <c r="BF330" s="1371"/>
      <c r="BG330" s="1371"/>
    </row>
    <row r="331" spans="1:59" ht="15.75" customHeight="1">
      <c r="A331" s="1239"/>
      <c r="B331" s="1239"/>
      <c r="C331" s="171"/>
      <c r="D331" s="1239"/>
      <c r="E331" s="1239"/>
      <c r="F331" s="448"/>
      <c r="G331" s="484">
        <v>46.8</v>
      </c>
      <c r="H331" s="1239"/>
      <c r="I331" s="448"/>
      <c r="J331" s="171"/>
      <c r="K331" s="1239"/>
      <c r="L331" s="1239"/>
      <c r="M331" s="1239"/>
      <c r="N331" s="1239"/>
      <c r="O331" s="1239"/>
      <c r="P331" s="1239"/>
      <c r="Q331" s="1239"/>
      <c r="R331" s="1239"/>
      <c r="S331" s="484">
        <f t="shared" si="36"/>
        <v>47.130000000004657</v>
      </c>
      <c r="T331" s="1239"/>
      <c r="U331" s="1239"/>
      <c r="V331" s="1239"/>
      <c r="W331" s="1239"/>
      <c r="X331" s="1239"/>
      <c r="Y331" s="1239"/>
      <c r="Z331" s="1239"/>
      <c r="AA331" s="1239"/>
      <c r="AB331" s="1239"/>
      <c r="AC331" s="1239"/>
      <c r="AD331" s="1239"/>
      <c r="AE331" s="1239"/>
      <c r="AF331" s="1239"/>
      <c r="AG331" s="171"/>
      <c r="AH331" s="1239"/>
      <c r="AI331" s="1239"/>
      <c r="AJ331" s="1239"/>
      <c r="AK331" s="1239"/>
      <c r="AL331" s="1239"/>
      <c r="AM331" s="1239"/>
      <c r="AN331" s="484"/>
      <c r="AO331" s="638"/>
      <c r="AP331" s="638"/>
      <c r="AQ331" s="484">
        <f>+FL_2($T$332,$T$330,$G$331,1200,9.28,-1*$F$332)</f>
        <v>-0.30006373506664852</v>
      </c>
      <c r="AR331" s="484"/>
      <c r="AS331" s="484"/>
      <c r="AT331" s="484"/>
      <c r="AU331" s="638"/>
      <c r="AV331" s="638"/>
      <c r="AW331" s="638"/>
      <c r="AX331" s="638"/>
      <c r="AY331" s="484"/>
      <c r="AZ331" s="484"/>
      <c r="BA331" s="671"/>
      <c r="BB331" s="1239"/>
      <c r="BC331" s="169"/>
      <c r="BD331" s="1330"/>
      <c r="BE331" s="1330"/>
      <c r="BF331" s="1330"/>
      <c r="BG331" s="1330"/>
    </row>
    <row r="332" spans="1:59" ht="15.75" customHeight="1">
      <c r="A332" s="1239"/>
      <c r="B332" s="1239" t="s">
        <v>2371</v>
      </c>
      <c r="C332" s="171">
        <f>+$C$330+$G$331</f>
        <v>92568.250000000015</v>
      </c>
      <c r="D332" s="1239"/>
      <c r="E332" s="1239"/>
      <c r="F332" s="448">
        <v>1000</v>
      </c>
      <c r="G332" s="484"/>
      <c r="H332" s="1239"/>
      <c r="I332" s="448"/>
      <c r="J332" s="171"/>
      <c r="K332" s="1239"/>
      <c r="L332" s="638"/>
      <c r="M332" s="638"/>
      <c r="N332" s="1239" t="s">
        <v>2794</v>
      </c>
      <c r="O332" s="1239"/>
      <c r="P332" s="1239"/>
      <c r="Q332" s="1239">
        <v>40</v>
      </c>
      <c r="R332" s="1239">
        <v>1000</v>
      </c>
      <c r="S332" s="455"/>
      <c r="T332" s="1239">
        <v>-25</v>
      </c>
      <c r="U332" s="1239"/>
      <c r="V332" s="1239"/>
      <c r="W332" s="1239">
        <v>0.8</v>
      </c>
      <c r="X332" s="1239"/>
      <c r="Y332" s="1239"/>
      <c r="Z332" s="1239"/>
      <c r="AA332" s="1239"/>
      <c r="AB332" s="1239"/>
      <c r="AC332" s="1239" t="s">
        <v>4090</v>
      </c>
      <c r="AD332" s="1239"/>
      <c r="AE332" s="1239"/>
      <c r="AF332" s="1239">
        <v>600</v>
      </c>
      <c r="AG332" s="171">
        <v>92568.39</v>
      </c>
      <c r="AH332" s="1239">
        <v>1753</v>
      </c>
      <c r="AI332" s="1239">
        <v>-4770</v>
      </c>
      <c r="AJ332" s="1239"/>
      <c r="AK332" s="1239" t="s">
        <v>139</v>
      </c>
      <c r="AL332" s="1239"/>
      <c r="AM332" s="1239"/>
      <c r="AN332" s="484">
        <v>5.21</v>
      </c>
      <c r="AO332" s="638"/>
      <c r="AP332" s="638"/>
      <c r="AQ332" s="484"/>
      <c r="AR332" s="484"/>
      <c r="AS332" s="484"/>
      <c r="AT332" s="484">
        <f>+ab($T$332,$T$330,$T$334,$G$331,$G$333,-1*$F$332,1200)</f>
        <v>-4.188582947661641</v>
      </c>
      <c r="AU332" s="638"/>
      <c r="AV332" s="638"/>
      <c r="AW332" s="638"/>
      <c r="AX332" s="638"/>
      <c r="AY332" s="484"/>
      <c r="AZ332" s="484"/>
      <c r="BA332" s="671"/>
      <c r="BB332" s="1239"/>
      <c r="BC332" s="169"/>
      <c r="BD332" s="1371"/>
      <c r="BE332" s="1371"/>
      <c r="BF332" s="1371"/>
      <c r="BG332" s="1371"/>
    </row>
    <row r="333" spans="1:59" ht="15.75" customHeight="1">
      <c r="A333" s="1239"/>
      <c r="B333" s="1239"/>
      <c r="C333" s="171"/>
      <c r="D333" s="1239"/>
      <c r="E333" s="1239"/>
      <c r="F333" s="448"/>
      <c r="G333" s="484">
        <v>46.8</v>
      </c>
      <c r="H333" s="1239"/>
      <c r="I333" s="448"/>
      <c r="J333" s="171"/>
      <c r="K333" s="1239"/>
      <c r="L333" s="1239"/>
      <c r="M333" s="1239"/>
      <c r="N333" s="1239"/>
      <c r="O333" s="1239"/>
      <c r="P333" s="1239"/>
      <c r="Q333" s="1239"/>
      <c r="R333" s="1239"/>
      <c r="S333" s="484">
        <f t="shared" si="36"/>
        <v>46.55000000000291</v>
      </c>
      <c r="T333" s="1239"/>
      <c r="U333" s="1239"/>
      <c r="V333" s="1239"/>
      <c r="W333" s="1239"/>
      <c r="X333" s="1239"/>
      <c r="Y333" s="1239"/>
      <c r="Z333" s="1239"/>
      <c r="AA333" s="1239"/>
      <c r="AB333" s="1239"/>
      <c r="AC333" s="1239"/>
      <c r="AD333" s="1239"/>
      <c r="AE333" s="1239"/>
      <c r="AF333" s="1239"/>
      <c r="AG333" s="171"/>
      <c r="AH333" s="1239"/>
      <c r="AI333" s="1239"/>
      <c r="AJ333" s="1239"/>
      <c r="AK333" s="1239"/>
      <c r="AL333" s="1239"/>
      <c r="AM333" s="1239"/>
      <c r="AN333" s="484"/>
      <c r="AO333" s="638"/>
      <c r="AP333" s="638"/>
      <c r="AQ333" s="484">
        <f>+FL_2($T$334,$T$332,$G$333,1200,9.28,-1*$F$334)</f>
        <v>-0.46172319999999994</v>
      </c>
      <c r="AR333" s="484"/>
      <c r="AS333" s="484"/>
      <c r="AT333" s="484"/>
      <c r="AU333" s="638"/>
      <c r="AV333" s="638"/>
      <c r="AW333" s="638"/>
      <c r="AX333" s="638"/>
      <c r="AY333" s="484"/>
      <c r="AZ333" s="484"/>
      <c r="BA333" s="671"/>
      <c r="BB333" s="1239"/>
      <c r="BC333" s="169"/>
      <c r="BD333" s="1330"/>
      <c r="BE333" s="1330"/>
      <c r="BF333" s="1330"/>
      <c r="BG333" s="1330"/>
    </row>
    <row r="334" spans="1:59" ht="15.75" customHeight="1">
      <c r="A334" s="1239"/>
      <c r="B334" s="1239" t="s">
        <v>2372</v>
      </c>
      <c r="C334" s="171">
        <f>+$C$332+$G$333</f>
        <v>92615.050000000017</v>
      </c>
      <c r="D334" s="1239"/>
      <c r="E334" s="1239"/>
      <c r="F334" s="448">
        <v>0</v>
      </c>
      <c r="G334" s="484"/>
      <c r="H334" s="1239"/>
      <c r="I334" s="448"/>
      <c r="J334" s="171"/>
      <c r="K334" s="1239"/>
      <c r="L334" s="638"/>
      <c r="M334" s="638"/>
      <c r="N334" s="1239" t="s">
        <v>2794</v>
      </c>
      <c r="O334" s="1239"/>
      <c r="P334" s="1239"/>
      <c r="Q334" s="1239">
        <v>0</v>
      </c>
      <c r="R334" s="1239">
        <v>0</v>
      </c>
      <c r="S334" s="455"/>
      <c r="T334" s="1239">
        <v>-25</v>
      </c>
      <c r="U334" s="1239"/>
      <c r="V334" s="1239"/>
      <c r="W334" s="1239">
        <v>1</v>
      </c>
      <c r="X334" s="1239"/>
      <c r="Y334" s="1239"/>
      <c r="Z334" s="1239"/>
      <c r="AA334" s="1239"/>
      <c r="AB334" s="1239"/>
      <c r="AC334" s="1239" t="s">
        <v>1417</v>
      </c>
      <c r="AD334" s="1239"/>
      <c r="AE334" s="1239"/>
      <c r="AF334" s="1239">
        <v>800</v>
      </c>
      <c r="AG334" s="171">
        <v>92614.94</v>
      </c>
      <c r="AH334" s="1239">
        <v>1983</v>
      </c>
      <c r="AI334" s="1239">
        <v>-4660</v>
      </c>
      <c r="AJ334" s="1239"/>
      <c r="AK334" s="1239" t="s">
        <v>139</v>
      </c>
      <c r="AL334" s="1239"/>
      <c r="AM334" s="1239"/>
      <c r="AN334" s="484">
        <v>5.32</v>
      </c>
      <c r="AO334" s="638"/>
      <c r="AP334" s="638"/>
      <c r="AQ334" s="484"/>
      <c r="AR334" s="484"/>
      <c r="AS334" s="484"/>
      <c r="AT334" s="484">
        <f>+ab($T$334,$T$332,$T$336,$G$333,$G$335,-1*$F$334,1200)</f>
        <v>-13.453817935575351</v>
      </c>
      <c r="AU334" s="638"/>
      <c r="AV334" s="638"/>
      <c r="AW334" s="638"/>
      <c r="AX334" s="638"/>
      <c r="AY334" s="484"/>
      <c r="AZ334" s="484"/>
      <c r="BA334" s="671"/>
      <c r="BB334" s="1239"/>
      <c r="BC334" s="169"/>
      <c r="BD334" s="1371"/>
      <c r="BE334" s="1371"/>
      <c r="BF334" s="1371"/>
      <c r="BG334" s="1371"/>
    </row>
    <row r="335" spans="1:59" ht="15.75" customHeight="1">
      <c r="A335" s="1239"/>
      <c r="B335" s="1239"/>
      <c r="C335" s="171"/>
      <c r="D335" s="1239"/>
      <c r="E335" s="1239"/>
      <c r="F335" s="448"/>
      <c r="G335" s="484">
        <v>50</v>
      </c>
      <c r="H335" s="1239"/>
      <c r="I335" s="448"/>
      <c r="J335" s="171"/>
      <c r="K335" s="1239"/>
      <c r="L335" s="1239"/>
      <c r="M335" s="1239"/>
      <c r="N335" s="1239"/>
      <c r="O335" s="1239"/>
      <c r="P335" s="1239"/>
      <c r="Q335" s="1239"/>
      <c r="R335" s="1239"/>
      <c r="S335" s="484">
        <f t="shared" si="36"/>
        <v>50.059999999997672</v>
      </c>
      <c r="T335" s="1239"/>
      <c r="U335" s="1239"/>
      <c r="V335" s="1239"/>
      <c r="W335" s="1239"/>
      <c r="X335" s="1239"/>
      <c r="Y335" s="1239"/>
      <c r="Z335" s="1239"/>
      <c r="AA335" s="1239"/>
      <c r="AB335" s="1239"/>
      <c r="AC335" s="1239"/>
      <c r="AD335" s="1239"/>
      <c r="AE335" s="1239"/>
      <c r="AF335" s="1239"/>
      <c r="AG335" s="171"/>
      <c r="AH335" s="1239"/>
      <c r="AI335" s="1239"/>
      <c r="AJ335" s="1239"/>
      <c r="AK335" s="1239"/>
      <c r="AL335" s="1239"/>
      <c r="AM335" s="1239"/>
      <c r="AN335" s="484"/>
      <c r="AO335" s="638"/>
      <c r="AP335" s="638"/>
      <c r="AQ335" s="484">
        <f>+FL_1($U$336,$T$334,$G$335,1200,9.28,-1*$F$336)</f>
        <v>0.31408081676263933</v>
      </c>
      <c r="AR335" s="484"/>
      <c r="AS335" s="484"/>
      <c r="AT335" s="484"/>
      <c r="AU335" s="638"/>
      <c r="AV335" s="638"/>
      <c r="AW335" s="638"/>
      <c r="AX335" s="638"/>
      <c r="AY335" s="484"/>
      <c r="AZ335" s="484"/>
      <c r="BA335" s="671"/>
      <c r="BB335" s="1239"/>
      <c r="BC335" s="169"/>
      <c r="BD335" s="1330"/>
      <c r="BE335" s="1330"/>
      <c r="BF335" s="1330"/>
      <c r="BG335" s="1330"/>
    </row>
    <row r="336" spans="1:59" ht="15.75" customHeight="1">
      <c r="A336" s="1239"/>
      <c r="B336" s="1239" t="s">
        <v>2373</v>
      </c>
      <c r="C336" s="171">
        <f>+$C$334+$G$335</f>
        <v>92665.050000000017</v>
      </c>
      <c r="D336" s="1239"/>
      <c r="E336" s="1239"/>
      <c r="F336" s="448">
        <v>-5945</v>
      </c>
      <c r="G336" s="484"/>
      <c r="H336" s="1239" t="s">
        <v>619</v>
      </c>
      <c r="I336" s="448"/>
      <c r="J336" s="171"/>
      <c r="K336" s="1239"/>
      <c r="L336" s="638"/>
      <c r="M336" s="638"/>
      <c r="N336" s="1239" t="s">
        <v>845</v>
      </c>
      <c r="O336" s="1239" t="s">
        <v>844</v>
      </c>
      <c r="P336" s="1239"/>
      <c r="Q336" s="1239">
        <v>0</v>
      </c>
      <c r="R336" s="1239">
        <v>0</v>
      </c>
      <c r="S336" s="455"/>
      <c r="T336" s="1239">
        <v>45</v>
      </c>
      <c r="U336" s="1239">
        <v>30</v>
      </c>
      <c r="V336" s="1239"/>
      <c r="W336" s="1239">
        <v>1.4</v>
      </c>
      <c r="X336" s="1239">
        <v>1.8</v>
      </c>
      <c r="Y336" s="1239"/>
      <c r="Z336" s="1239">
        <v>0.51</v>
      </c>
      <c r="AA336" s="1239"/>
      <c r="AB336" s="1239"/>
      <c r="AC336" s="1239" t="s">
        <v>4090</v>
      </c>
      <c r="AD336" s="1239"/>
      <c r="AE336" s="1239"/>
      <c r="AF336" s="1239">
        <v>200</v>
      </c>
      <c r="AG336" s="171">
        <v>92665</v>
      </c>
      <c r="AH336" s="1239">
        <v>1633</v>
      </c>
      <c r="AI336" s="1239">
        <v>-5080</v>
      </c>
      <c r="AJ336" s="1239"/>
      <c r="AK336" s="1239" t="s">
        <v>228</v>
      </c>
      <c r="AL336" s="1239"/>
      <c r="AM336" s="1239"/>
      <c r="AN336" s="484">
        <v>5.44</v>
      </c>
      <c r="AO336" s="638"/>
      <c r="AP336" s="638"/>
      <c r="AQ336" s="484"/>
      <c r="AR336" s="484"/>
      <c r="AS336" s="484"/>
      <c r="AT336" s="484">
        <f>+ab($T$336,$T$334,$T$338,$G$335,$G$337,-1*$F$336,1200)</f>
        <v>6.6927736947092464</v>
      </c>
      <c r="AU336" s="638"/>
      <c r="AV336" s="638"/>
      <c r="AW336" s="638"/>
      <c r="AX336" s="638"/>
      <c r="AY336" s="484"/>
      <c r="AZ336" s="484"/>
      <c r="BA336" s="671"/>
      <c r="BB336" s="1239"/>
      <c r="BC336" s="169"/>
      <c r="BD336" s="1371"/>
      <c r="BE336" s="1371"/>
      <c r="BF336" s="1371"/>
      <c r="BG336" s="1371"/>
    </row>
    <row r="337" spans="1:59" ht="15.75" customHeight="1">
      <c r="A337" s="1239"/>
      <c r="B337" s="1239"/>
      <c r="C337" s="171"/>
      <c r="D337" s="1239"/>
      <c r="E337" s="1239"/>
      <c r="F337" s="448"/>
      <c r="G337" s="484">
        <v>47</v>
      </c>
      <c r="H337" s="1239"/>
      <c r="I337" s="448"/>
      <c r="J337" s="586"/>
      <c r="K337" s="1239"/>
      <c r="L337" s="1239"/>
      <c r="M337" s="1239"/>
      <c r="N337" s="1239"/>
      <c r="O337" s="1239"/>
      <c r="P337" s="1239"/>
      <c r="Q337" s="1239"/>
      <c r="R337" s="1239"/>
      <c r="S337" s="484">
        <f t="shared" si="36"/>
        <v>46.809999999997672</v>
      </c>
      <c r="T337" s="1239"/>
      <c r="U337" s="1239"/>
      <c r="V337" s="1239"/>
      <c r="W337" s="1239"/>
      <c r="X337" s="1239"/>
      <c r="Y337" s="1239"/>
      <c r="Z337" s="1239"/>
      <c r="AA337" s="1239"/>
      <c r="AB337" s="1239"/>
      <c r="AC337" s="1239"/>
      <c r="AD337" s="1239"/>
      <c r="AE337" s="1239"/>
      <c r="AF337" s="1239"/>
      <c r="AG337" s="171"/>
      <c r="AH337" s="1239"/>
      <c r="AI337" s="1239"/>
      <c r="AJ337" s="1239"/>
      <c r="AK337" s="1239"/>
      <c r="AL337" s="1239"/>
      <c r="AM337" s="1239"/>
      <c r="AN337" s="484"/>
      <c r="AO337" s="638"/>
      <c r="AP337" s="638"/>
      <c r="AQ337" s="484">
        <f>+FL_1(-$U$338,$U$336,$G$337,1200,9.28, 1*$F$338)</f>
        <v>0.31890498544680856</v>
      </c>
      <c r="AR337" s="484"/>
      <c r="AS337" s="484"/>
      <c r="AT337" s="484"/>
      <c r="AU337" s="638"/>
      <c r="AV337" s="638"/>
      <c r="AW337" s="638"/>
      <c r="AX337" s="638"/>
      <c r="AY337" s="484"/>
      <c r="AZ337" s="484"/>
      <c r="BA337" s="671"/>
      <c r="BB337" s="1239"/>
      <c r="BC337" s="169"/>
      <c r="BD337" s="1330"/>
      <c r="BE337" s="1330"/>
      <c r="BF337" s="1330"/>
      <c r="BG337" s="1330"/>
    </row>
    <row r="338" spans="1:59" ht="15.75" customHeight="1">
      <c r="A338" s="501" t="str">
        <f>'HR Track 5 TSA'!A6</f>
        <v>TSA-B01</v>
      </c>
      <c r="B338" s="716" t="str">
        <f>'HR Track 5 TSA'!B6</f>
        <v>92-5.21</v>
      </c>
      <c r="C338" s="451">
        <f>'HR Track 5 TSA'!C6</f>
        <v>92712.05</v>
      </c>
      <c r="D338" s="453">
        <f>'HR Track 5 TSA'!D6</f>
        <v>0</v>
      </c>
      <c r="E338" s="452">
        <f>'HR Track 5 TSA'!E6</f>
        <v>0</v>
      </c>
      <c r="F338" s="453">
        <f>'HR Track 5 TSA'!F6</f>
        <v>0</v>
      </c>
      <c r="G338" s="500">
        <f>'HR Track 5 TSA'!G6</f>
        <v>0</v>
      </c>
      <c r="H338" s="453" t="str">
        <f>'HR Track 5 TSA'!H6</f>
        <v xml:space="preserve">P50(CS) </v>
      </c>
      <c r="I338" s="501" t="str">
        <f>'HR Track 5 TSA'!I6</f>
        <v>AnRW</v>
      </c>
      <c r="J338" s="583">
        <f>'HR Track 5 TSA'!J6</f>
        <v>0</v>
      </c>
      <c r="K338" s="452">
        <f>'HR Track 5 TSA'!K6</f>
        <v>0</v>
      </c>
      <c r="L338" s="452" t="str">
        <f>'HR Track 5 TSA'!L6</f>
        <v>2HEB-260L</v>
      </c>
      <c r="M338" s="452" t="str">
        <f>'HR Track 5 TSA'!M6</f>
        <v>2C4R</v>
      </c>
      <c r="N338" s="501" t="str">
        <f>'HR Track 5 TSA'!N6</f>
        <v>EMT-1</v>
      </c>
      <c r="O338" s="501" t="str">
        <f>'HR Track 5 TSA'!O6</f>
        <v>EMT-2</v>
      </c>
      <c r="P338" s="501">
        <f>'HR Track 5 TSA'!P6</f>
        <v>0</v>
      </c>
      <c r="Q338" s="452">
        <f>'HR Track 5 TSA'!Q6</f>
        <v>0</v>
      </c>
      <c r="R338" s="452">
        <f>'HR Track 5 TSA'!R6</f>
        <v>0</v>
      </c>
      <c r="S338" s="500">
        <f>'HR Track 5 TSA'!S6</f>
        <v>0</v>
      </c>
      <c r="T338" s="452">
        <f>'HR Track 5 TSA'!T6</f>
        <v>15</v>
      </c>
      <c r="U338" s="452">
        <f>'HR Track 5 TSA'!U6</f>
        <v>30</v>
      </c>
      <c r="V338" s="452">
        <f>'HR Track 5 TSA'!V6</f>
        <v>0</v>
      </c>
      <c r="W338" s="452">
        <f>'HR Track 5 TSA'!W6</f>
        <v>2.2999999999999998</v>
      </c>
      <c r="X338" s="452">
        <f>'HR Track 5 TSA'!X6</f>
        <v>1.4</v>
      </c>
      <c r="Y338" s="452">
        <f>'HR Track 5 TSA'!Y6</f>
        <v>0</v>
      </c>
      <c r="Z338" s="452">
        <f>'HR Track 5 TSA'!Z6</f>
        <v>0</v>
      </c>
      <c r="AA338" s="452">
        <f>'HR Track 5 TSA'!AA6</f>
        <v>0</v>
      </c>
      <c r="AB338" s="452">
        <f>'HR Track 5 TSA'!AB6</f>
        <v>0</v>
      </c>
      <c r="AC338" s="452" t="str">
        <f>'HR Track 5 TSA'!AC6</f>
        <v>BTC-1651</v>
      </c>
      <c r="AD338" s="452" t="str">
        <f>'HR Track 5 TSA'!AD6</f>
        <v>PHQ-1450</v>
      </c>
      <c r="AE338" s="452">
        <f>'HR Track 5 TSA'!AE6</f>
        <v>0</v>
      </c>
      <c r="AF338" s="452">
        <f>'HR Track 5 TSA'!AF6</f>
        <v>4900</v>
      </c>
      <c r="AG338" s="451">
        <f>'HR Track 5 TSA'!AG6</f>
        <v>92711.81</v>
      </c>
      <c r="AH338" s="452">
        <f>'HR Track 5 TSA'!AH6</f>
        <v>2493</v>
      </c>
      <c r="AI338" s="452">
        <f>'HR Track 5 TSA'!AI6</f>
        <v>-370</v>
      </c>
      <c r="AJ338" s="452" t="str">
        <f>'HR Track 5 TSA'!AJ6</f>
        <v>Disc/PP</v>
      </c>
      <c r="AK338" s="452">
        <f>'HR Track 5 TSA'!AK6</f>
        <v>0</v>
      </c>
      <c r="AL338" s="452">
        <f>'HR Track 5 TSA'!AL6</f>
        <v>0</v>
      </c>
      <c r="AM338" s="452" t="str">
        <f>'HR Track 5 TSA'!AM6</f>
        <v>RW1</v>
      </c>
      <c r="AN338" s="500">
        <f>'HR Track 5 TSA'!AN6</f>
        <v>5.5</v>
      </c>
      <c r="AO338" s="452">
        <f>'HR Track 5 TSA'!AO6</f>
        <v>0</v>
      </c>
      <c r="AP338" s="452">
        <f>'HR Track 5 TSA'!AP6</f>
        <v>0</v>
      </c>
      <c r="AQ338" s="452">
        <f>'HR Track 5 TSA'!AQ6</f>
        <v>0</v>
      </c>
      <c r="AR338" s="452">
        <f>'HR Track 5 TSA'!AR6</f>
        <v>0</v>
      </c>
      <c r="AS338" s="452">
        <f>'HR Track 5 TSA'!AS6</f>
        <v>0</v>
      </c>
      <c r="AT338" s="452">
        <f>'HR Track 5 TSA'!AT6</f>
        <v>13.689219470672699</v>
      </c>
      <c r="AU338" s="452">
        <f>'HR Track 5 TSA'!AU6</f>
        <v>0</v>
      </c>
      <c r="AV338" s="452">
        <f>'HR Track 5 TSA'!AV6</f>
        <v>0</v>
      </c>
      <c r="AW338" s="452" t="str">
        <f>'HR Track 5 TSA'!AW6</f>
        <v>Soil B</v>
      </c>
      <c r="AX338" s="452" t="str">
        <f>'HR Track 5 TSA'!AX6</f>
        <v>PT</v>
      </c>
      <c r="AY338" s="500">
        <f>'HR Track 5 TSA'!AY6</f>
        <v>5.3</v>
      </c>
      <c r="AZ338" s="500">
        <f>'HR Track 5 TSA'!AZ6</f>
        <v>0</v>
      </c>
      <c r="BA338" s="1333" t="str">
        <f>'HR Track 5 TSA'!BA6</f>
        <v>ü</v>
      </c>
      <c r="BB338" s="452" t="str">
        <f>'HR Track 5 TSA'!BB6</f>
        <v>App.7-V11A-P9.5.1.5</v>
      </c>
      <c r="BC338" s="1334">
        <f>'HR Track 5 TSA'!BC6</f>
        <v>0</v>
      </c>
      <c r="BD338" s="1335">
        <f>'HR Track 5 TSA'!BD6</f>
        <v>43743</v>
      </c>
      <c r="BE338" s="1335">
        <f>'HR Track 5 TSA'!BE6</f>
        <v>0</v>
      </c>
      <c r="BF338" s="1335">
        <f>'HR Track 5 TSA'!BF6</f>
        <v>0</v>
      </c>
      <c r="BG338" s="1335">
        <f>'HR Track 5 TSA'!BG6</f>
        <v>43893</v>
      </c>
    </row>
    <row r="339" spans="1:59" ht="15.75" customHeight="1">
      <c r="A339" s="501">
        <f>'HR Track 5 TSA'!A7</f>
        <v>0</v>
      </c>
      <c r="B339" s="716">
        <f>'HR Track 5 TSA'!B7</f>
        <v>0</v>
      </c>
      <c r="C339" s="451">
        <f>'HR Track 5 TSA'!C7</f>
        <v>0</v>
      </c>
      <c r="D339" s="453">
        <f>'HR Track 5 TSA'!D7</f>
        <v>0</v>
      </c>
      <c r="E339" s="452">
        <f>'HR Track 5 TSA'!E7</f>
        <v>0</v>
      </c>
      <c r="F339" s="453">
        <f>'HR Track 5 TSA'!F7</f>
        <v>0</v>
      </c>
      <c r="G339" s="500">
        <f>'HR Track 5 TSA'!G7</f>
        <v>40</v>
      </c>
      <c r="H339" s="453">
        <f>'HR Track 5 TSA'!H7</f>
        <v>0</v>
      </c>
      <c r="I339" s="501">
        <f>'HR Track 5 TSA'!I7</f>
        <v>0</v>
      </c>
      <c r="J339" s="583">
        <f>'HR Track 5 TSA'!J7</f>
        <v>92744.55</v>
      </c>
      <c r="K339" s="452" t="str">
        <f>'HR Track 5 TSA'!K7</f>
        <v>AnMC-R</v>
      </c>
      <c r="L339" s="452">
        <f>'HR Track 5 TSA'!L7</f>
        <v>0</v>
      </c>
      <c r="M339" s="452">
        <f>'HR Track 5 TSA'!M7</f>
        <v>0</v>
      </c>
      <c r="N339" s="501">
        <f>'HR Track 5 TSA'!N7</f>
        <v>0</v>
      </c>
      <c r="O339" s="501">
        <f>'HR Track 5 TSA'!O7</f>
        <v>0</v>
      </c>
      <c r="P339" s="501">
        <f>'HR Track 5 TSA'!P7</f>
        <v>0</v>
      </c>
      <c r="Q339" s="452">
        <f>'HR Track 5 TSA'!Q7</f>
        <v>0</v>
      </c>
      <c r="R339" s="452">
        <f>'HR Track 5 TSA'!R7</f>
        <v>0</v>
      </c>
      <c r="S339" s="500">
        <f>'HR Track 5 TSA'!S7</f>
        <v>39.710000000006403</v>
      </c>
      <c r="T339" s="452">
        <f>'HR Track 5 TSA'!T7</f>
        <v>0</v>
      </c>
      <c r="U339" s="452">
        <f>'HR Track 5 TSA'!U7</f>
        <v>0</v>
      </c>
      <c r="V339" s="452">
        <f>'HR Track 5 TSA'!V7</f>
        <v>0</v>
      </c>
      <c r="W339" s="452">
        <f>'HR Track 5 TSA'!W7</f>
        <v>0</v>
      </c>
      <c r="X339" s="452">
        <f>'HR Track 5 TSA'!X7</f>
        <v>0</v>
      </c>
      <c r="Y339" s="452">
        <f>'HR Track 5 TSA'!Y7</f>
        <v>0</v>
      </c>
      <c r="Z339" s="452">
        <f>'HR Track 5 TSA'!Z7</f>
        <v>0</v>
      </c>
      <c r="AA339" s="452">
        <f>'HR Track 5 TSA'!AA7</f>
        <v>0</v>
      </c>
      <c r="AB339" s="452">
        <f>'HR Track 5 TSA'!AB7</f>
        <v>0</v>
      </c>
      <c r="AC339" s="452">
        <f>'HR Track 5 TSA'!AC7</f>
        <v>0</v>
      </c>
      <c r="AD339" s="452">
        <f>'HR Track 5 TSA'!AD7</f>
        <v>0</v>
      </c>
      <c r="AE339" s="452">
        <f>'HR Track 5 TSA'!AE7</f>
        <v>0</v>
      </c>
      <c r="AF339" s="452">
        <f>'HR Track 5 TSA'!AF7</f>
        <v>0</v>
      </c>
      <c r="AG339" s="451">
        <f>'HR Track 5 TSA'!AG7</f>
        <v>0</v>
      </c>
      <c r="AH339" s="452">
        <f>'HR Track 5 TSA'!AH7</f>
        <v>0</v>
      </c>
      <c r="AI339" s="452">
        <f>'HR Track 5 TSA'!AI7</f>
        <v>0</v>
      </c>
      <c r="AJ339" s="452">
        <f>'HR Track 5 TSA'!AJ7</f>
        <v>0</v>
      </c>
      <c r="AK339" s="452">
        <f>'HR Track 5 TSA'!AK7</f>
        <v>0</v>
      </c>
      <c r="AL339" s="452">
        <f>'HR Track 5 TSA'!AL7</f>
        <v>0</v>
      </c>
      <c r="AM339" s="452">
        <f>'HR Track 5 TSA'!AM7</f>
        <v>0</v>
      </c>
      <c r="AN339" s="500">
        <f>'HR Track 5 TSA'!AN7</f>
        <v>0</v>
      </c>
      <c r="AO339" s="452">
        <f>'HR Track 5 TSA'!AO7</f>
        <v>0</v>
      </c>
      <c r="AP339" s="452">
        <f>'HR Track 5 TSA'!AP7</f>
        <v>0</v>
      </c>
      <c r="AQ339" s="452">
        <f>'HR Track 5 TSA'!AQ7</f>
        <v>-0.26932183866666665</v>
      </c>
      <c r="AR339" s="452">
        <f>'HR Track 5 TSA'!AR7</f>
        <v>0</v>
      </c>
      <c r="AS339" s="452">
        <f>'HR Track 5 TSA'!AS7</f>
        <v>0</v>
      </c>
      <c r="AT339" s="452">
        <f>'HR Track 5 TSA'!AT7</f>
        <v>0</v>
      </c>
      <c r="AU339" s="452">
        <f>'HR Track 5 TSA'!AU7</f>
        <v>0</v>
      </c>
      <c r="AV339" s="452">
        <f>'HR Track 5 TSA'!AV7</f>
        <v>0</v>
      </c>
      <c r="AW339" s="452" t="str">
        <f>'HR Track 5 TSA'!AW7</f>
        <v>Soil B</v>
      </c>
      <c r="AX339" s="452" t="str">
        <f>'HR Track 5 TSA'!AX7</f>
        <v>PT</v>
      </c>
      <c r="AY339" s="500">
        <f>'HR Track 5 TSA'!AY7</f>
        <v>0</v>
      </c>
      <c r="AZ339" s="500">
        <f>'HR Track 5 TSA'!AZ7</f>
        <v>3.9</v>
      </c>
      <c r="BA339" s="1333" t="str">
        <f>'HR Track 5 TSA'!BA7</f>
        <v>ü</v>
      </c>
      <c r="BB339" s="452">
        <f>'HR Track 5 TSA'!BB7</f>
        <v>0</v>
      </c>
      <c r="BC339" s="1334">
        <f>'HR Track 5 TSA'!BC7</f>
        <v>0</v>
      </c>
      <c r="BD339" s="1335">
        <f>'HR Track 5 TSA'!BD7</f>
        <v>43743</v>
      </c>
      <c r="BE339" s="1335">
        <f>'HR Track 5 TSA'!BE7</f>
        <v>0</v>
      </c>
      <c r="BF339" s="1335">
        <f>'HR Track 5 TSA'!BF7</f>
        <v>0</v>
      </c>
      <c r="BG339" s="1335">
        <f>'HR Track 5 TSA'!BG7</f>
        <v>0</v>
      </c>
    </row>
    <row r="340" spans="1:59" ht="15.75" customHeight="1">
      <c r="A340" s="501">
        <f>'HR Track 5 TSA'!A8</f>
        <v>0</v>
      </c>
      <c r="B340" s="716" t="str">
        <f>'HR Track 5 TSA'!B8</f>
        <v>92-5.22</v>
      </c>
      <c r="C340" s="451">
        <f>'HR Track 5 TSA'!C8</f>
        <v>92752.05</v>
      </c>
      <c r="D340" s="453">
        <f>'HR Track 5 TSA'!D8</f>
        <v>0</v>
      </c>
      <c r="E340" s="452">
        <f>'HR Track 5 TSA'!E8</f>
        <v>0</v>
      </c>
      <c r="F340" s="453">
        <f>'HR Track 5 TSA'!F8</f>
        <v>0</v>
      </c>
      <c r="G340" s="500">
        <f>'HR Track 5 TSA'!G8</f>
        <v>0</v>
      </c>
      <c r="H340" s="453" t="str">
        <f>'HR Track 5 TSA'!H8</f>
        <v>A/S</v>
      </c>
      <c r="I340" s="501" t="str">
        <f>'HR Track 5 TSA'!I8</f>
        <v>CP/TX-P/1100</v>
      </c>
      <c r="J340" s="583">
        <f>'HR Track 5 TSA'!J8</f>
        <v>0</v>
      </c>
      <c r="K340" s="452">
        <f>'HR Track 5 TSA'!K8</f>
        <v>0</v>
      </c>
      <c r="L340" s="452" t="str">
        <f>'HR Track 5 TSA'!L8</f>
        <v>HEB-260 (CP)</v>
      </c>
      <c r="M340" s="452" t="str">
        <f>'HR Track 5 TSA'!M8</f>
        <v>C4R</v>
      </c>
      <c r="N340" s="501" t="str">
        <f>'HR Track 5 TSA'!N8</f>
        <v>EMT-1</v>
      </c>
      <c r="O340" s="501">
        <f>'HR Track 5 TSA'!O8</f>
        <v>0</v>
      </c>
      <c r="P340" s="501">
        <f>'HR Track 5 TSA'!P8</f>
        <v>0</v>
      </c>
      <c r="Q340" s="452">
        <f>'HR Track 5 TSA'!Q8</f>
        <v>0</v>
      </c>
      <c r="R340" s="452">
        <f>'HR Track 5 TSA'!R8</f>
        <v>0</v>
      </c>
      <c r="S340" s="500">
        <f>'HR Track 5 TSA'!S8</f>
        <v>0</v>
      </c>
      <c r="T340" s="452">
        <f>'HR Track 5 TSA'!T8</f>
        <v>-25</v>
      </c>
      <c r="U340" s="452">
        <f>'HR Track 5 TSA'!U8</f>
        <v>0</v>
      </c>
      <c r="V340" s="452">
        <f>'HR Track 5 TSA'!V8</f>
        <v>0</v>
      </c>
      <c r="W340" s="452">
        <f>'HR Track 5 TSA'!W8</f>
        <v>1.4</v>
      </c>
      <c r="X340" s="452">
        <f>'HR Track 5 TSA'!X8</f>
        <v>0</v>
      </c>
      <c r="Y340" s="452">
        <f>'HR Track 5 TSA'!Y8</f>
        <v>0</v>
      </c>
      <c r="Z340" s="452">
        <f>'HR Track 5 TSA'!Z8</f>
        <v>0</v>
      </c>
      <c r="AA340" s="452">
        <f>'HR Track 5 TSA'!AA8</f>
        <v>0</v>
      </c>
      <c r="AB340" s="452">
        <f>'HR Track 5 TSA'!AB8</f>
        <v>0</v>
      </c>
      <c r="AC340" s="452" t="str">
        <f>'HR Track 5 TSA'!AC8</f>
        <v>PH-1150</v>
      </c>
      <c r="AD340" s="452">
        <f>'HR Track 5 TSA'!AD8</f>
        <v>0</v>
      </c>
      <c r="AE340" s="452">
        <f>'HR Track 5 TSA'!AE8</f>
        <v>0</v>
      </c>
      <c r="AF340" s="452">
        <f>'HR Track 5 TSA'!AF8</f>
        <v>5800</v>
      </c>
      <c r="AG340" s="451">
        <f>'HR Track 5 TSA'!AG8</f>
        <v>92751.52</v>
      </c>
      <c r="AH340" s="452">
        <f>'HR Track 5 TSA'!AH8</f>
        <v>2503</v>
      </c>
      <c r="AI340" s="452">
        <f>'HR Track 5 TSA'!AI8</f>
        <v>150</v>
      </c>
      <c r="AJ340" s="452">
        <f>'HR Track 5 TSA'!AJ8</f>
        <v>0</v>
      </c>
      <c r="AK340" s="452">
        <f>'HR Track 5 TSA'!AK8</f>
        <v>0</v>
      </c>
      <c r="AL340" s="452">
        <f>'HR Track 5 TSA'!AL8</f>
        <v>0</v>
      </c>
      <c r="AM340" s="452" t="str">
        <f>'HR Track 5 TSA'!AM8</f>
        <v>RW1</v>
      </c>
      <c r="AN340" s="500">
        <f>'HR Track 5 TSA'!AN8</f>
        <v>5.5</v>
      </c>
      <c r="AO340" s="452">
        <f>'HR Track 5 TSA'!AO8</f>
        <v>0</v>
      </c>
      <c r="AP340" s="452">
        <f>'HR Track 5 TSA'!AP8</f>
        <v>0</v>
      </c>
      <c r="AQ340" s="452">
        <f>'HR Track 5 TSA'!AQ8</f>
        <v>0</v>
      </c>
      <c r="AR340" s="452">
        <f>'HR Track 5 TSA'!AR8</f>
        <v>0</v>
      </c>
      <c r="AS340" s="452">
        <f>'HR Track 5 TSA'!AS8</f>
        <v>0</v>
      </c>
      <c r="AT340" s="452">
        <f>'HR Track 5 TSA'!AT8</f>
        <v>-8.4664133614455555</v>
      </c>
      <c r="AU340" s="452">
        <f>'HR Track 5 TSA'!AU8</f>
        <v>0</v>
      </c>
      <c r="AV340" s="452">
        <f>'HR Track 5 TSA'!AV8</f>
        <v>0</v>
      </c>
      <c r="AW340" s="452" t="str">
        <f>'HR Track 5 TSA'!AW8</f>
        <v>Soil B</v>
      </c>
      <c r="AX340" s="452" t="str">
        <f>'HR Track 5 TSA'!AX8</f>
        <v>PT</v>
      </c>
      <c r="AY340" s="500">
        <f>'HR Track 5 TSA'!AY8</f>
        <v>3.5</v>
      </c>
      <c r="AZ340" s="500">
        <f>'HR Track 5 TSA'!AZ8</f>
        <v>0</v>
      </c>
      <c r="BA340" s="1333" t="str">
        <f>'HR Track 5 TSA'!BA8</f>
        <v>ü</v>
      </c>
      <c r="BB340" s="452" t="str">
        <f>'HR Track 5 TSA'!BB8</f>
        <v>App.7-V11A-P9.5.1.6</v>
      </c>
      <c r="BC340" s="1334">
        <f>'HR Track 5 TSA'!BC8</f>
        <v>0</v>
      </c>
      <c r="BD340" s="1335">
        <f>'HR Track 5 TSA'!BD8</f>
        <v>43743</v>
      </c>
      <c r="BE340" s="1335" t="str">
        <f>'HR Track 5 TSA'!BE8</f>
        <v>Ejecutado</v>
      </c>
      <c r="BF340" s="1335">
        <f>'HR Track 5 TSA'!BF8</f>
        <v>0</v>
      </c>
      <c r="BG340" s="1335">
        <f>'HR Track 5 TSA'!BG8</f>
        <v>43808</v>
      </c>
    </row>
    <row r="341" spans="1:59" ht="15.75" customHeight="1">
      <c r="A341" s="501">
        <f>'HR Track 5 TSA'!A9</f>
        <v>0</v>
      </c>
      <c r="B341" s="716">
        <f>'HR Track 5 TSA'!B9</f>
        <v>0</v>
      </c>
      <c r="C341" s="451">
        <f>'HR Track 5 TSA'!C9</f>
        <v>0</v>
      </c>
      <c r="D341" s="453">
        <f>'HR Track 5 TSA'!D9</f>
        <v>0</v>
      </c>
      <c r="E341" s="452">
        <f>'HR Track 5 TSA'!E9</f>
        <v>0</v>
      </c>
      <c r="F341" s="453">
        <f>'HR Track 5 TSA'!F9</f>
        <v>0</v>
      </c>
      <c r="G341" s="500">
        <f>'HR Track 5 TSA'!G9</f>
        <v>40</v>
      </c>
      <c r="H341" s="453">
        <f>'HR Track 5 TSA'!H9</f>
        <v>0</v>
      </c>
      <c r="I341" s="501">
        <f>'HR Track 5 TSA'!I9</f>
        <v>0</v>
      </c>
      <c r="J341" s="583">
        <f>'HR Track 5 TSA'!J9</f>
        <v>0</v>
      </c>
      <c r="K341" s="452">
        <f>'HR Track 5 TSA'!K9</f>
        <v>0</v>
      </c>
      <c r="L341" s="452">
        <f>'HR Track 5 TSA'!L9</f>
        <v>0</v>
      </c>
      <c r="M341" s="452">
        <f>'HR Track 5 TSA'!M9</f>
        <v>0</v>
      </c>
      <c r="N341" s="501">
        <f>'HR Track 5 TSA'!N9</f>
        <v>0</v>
      </c>
      <c r="O341" s="501">
        <f>'HR Track 5 TSA'!O9</f>
        <v>0</v>
      </c>
      <c r="P341" s="501">
        <f>'HR Track 5 TSA'!P9</f>
        <v>0</v>
      </c>
      <c r="Q341" s="452">
        <f>'HR Track 5 TSA'!Q9</f>
        <v>0</v>
      </c>
      <c r="R341" s="452">
        <f>'HR Track 5 TSA'!R9</f>
        <v>0</v>
      </c>
      <c r="S341" s="500">
        <f>'HR Track 5 TSA'!S9</f>
        <v>41.360000000000582</v>
      </c>
      <c r="T341" s="452">
        <f>'HR Track 5 TSA'!T9</f>
        <v>0</v>
      </c>
      <c r="U341" s="452">
        <f>'HR Track 5 TSA'!U9</f>
        <v>0</v>
      </c>
      <c r="V341" s="452">
        <f>'HR Track 5 TSA'!V9</f>
        <v>0</v>
      </c>
      <c r="W341" s="452">
        <f>'HR Track 5 TSA'!W9</f>
        <v>0</v>
      </c>
      <c r="X341" s="452">
        <f>'HR Track 5 TSA'!X9</f>
        <v>0</v>
      </c>
      <c r="Y341" s="452">
        <f>'HR Track 5 TSA'!Y9</f>
        <v>0</v>
      </c>
      <c r="Z341" s="452">
        <f>'HR Track 5 TSA'!Z9</f>
        <v>0</v>
      </c>
      <c r="AA341" s="452">
        <f>'HR Track 5 TSA'!AA9</f>
        <v>0</v>
      </c>
      <c r="AB341" s="452">
        <f>'HR Track 5 TSA'!AB9</f>
        <v>0</v>
      </c>
      <c r="AC341" s="452">
        <f>'HR Track 5 TSA'!AC9</f>
        <v>0</v>
      </c>
      <c r="AD341" s="452">
        <f>'HR Track 5 TSA'!AD9</f>
        <v>0</v>
      </c>
      <c r="AE341" s="452">
        <f>'HR Track 5 TSA'!AE9</f>
        <v>0</v>
      </c>
      <c r="AF341" s="452">
        <f>'HR Track 5 TSA'!AF9</f>
        <v>0</v>
      </c>
      <c r="AG341" s="451">
        <f>'HR Track 5 TSA'!AG9</f>
        <v>0</v>
      </c>
      <c r="AH341" s="452">
        <f>'HR Track 5 TSA'!AH9</f>
        <v>0</v>
      </c>
      <c r="AI341" s="452">
        <f>'HR Track 5 TSA'!AI9</f>
        <v>0</v>
      </c>
      <c r="AJ341" s="452">
        <f>'HR Track 5 TSA'!AJ9</f>
        <v>0</v>
      </c>
      <c r="AK341" s="452">
        <f>'HR Track 5 TSA'!AK9</f>
        <v>0</v>
      </c>
      <c r="AL341" s="452">
        <f>'HR Track 5 TSA'!AL9</f>
        <v>0</v>
      </c>
      <c r="AM341" s="452">
        <f>'HR Track 5 TSA'!AM9</f>
        <v>0</v>
      </c>
      <c r="AN341" s="500">
        <f>'HR Track 5 TSA'!AN9</f>
        <v>0</v>
      </c>
      <c r="AO341" s="452">
        <f>'HR Track 5 TSA'!AO9</f>
        <v>0</v>
      </c>
      <c r="AP341" s="452">
        <f>'HR Track 5 TSA'!AP9</f>
        <v>0</v>
      </c>
      <c r="AQ341" s="452">
        <f>'HR Track 5 TSA'!AQ9</f>
        <v>-0.30899681987683558</v>
      </c>
      <c r="AR341" s="452">
        <f>'HR Track 5 TSA'!AR9</f>
        <v>0</v>
      </c>
      <c r="AS341" s="452">
        <f>'HR Track 5 TSA'!AS9</f>
        <v>0</v>
      </c>
      <c r="AT341" s="452">
        <f>'HR Track 5 TSA'!AT9</f>
        <v>0</v>
      </c>
      <c r="AU341" s="452">
        <f>'HR Track 5 TSA'!AU9</f>
        <v>0</v>
      </c>
      <c r="AV341" s="452">
        <f>'HR Track 5 TSA'!AV9</f>
        <v>0</v>
      </c>
      <c r="AW341" s="452">
        <f>'HR Track 5 TSA'!AW9</f>
        <v>0</v>
      </c>
      <c r="AX341" s="452">
        <f>'HR Track 5 TSA'!AX9</f>
        <v>0</v>
      </c>
      <c r="AY341" s="500" t="str">
        <f>'HR Track 5 TSA'!AY9</f>
        <v/>
      </c>
      <c r="AZ341" s="500" t="str">
        <f>'HR Track 5 TSA'!AZ9</f>
        <v/>
      </c>
      <c r="BA341" s="1333">
        <f>'HR Track 5 TSA'!BA9</f>
        <v>0</v>
      </c>
      <c r="BB341" s="452">
        <f>'HR Track 5 TSA'!BB9</f>
        <v>0</v>
      </c>
      <c r="BC341" s="1334">
        <f>'HR Track 5 TSA'!BC9</f>
        <v>0</v>
      </c>
      <c r="BD341" s="1335">
        <f>'HR Track 5 TSA'!BD9</f>
        <v>0</v>
      </c>
      <c r="BE341" s="1335">
        <f>'HR Track 5 TSA'!BE9</f>
        <v>0</v>
      </c>
      <c r="BF341" s="1335">
        <f>'HR Track 5 TSA'!BF9</f>
        <v>0</v>
      </c>
      <c r="BG341" s="1335">
        <f>'HR Track 5 TSA'!BG9</f>
        <v>0</v>
      </c>
    </row>
    <row r="342" spans="1:59" ht="15.75" customHeight="1">
      <c r="A342" s="501">
        <f>'HR Track 5 TSA'!A10</f>
        <v>0</v>
      </c>
      <c r="B342" s="716" t="str">
        <f>'HR Track 5 TSA'!B10</f>
        <v>92-5.23</v>
      </c>
      <c r="C342" s="451">
        <f>'HR Track 5 TSA'!C10</f>
        <v>92792.05</v>
      </c>
      <c r="D342" s="453">
        <f>'HR Track 5 TSA'!D10</f>
        <v>0</v>
      </c>
      <c r="E342" s="452">
        <f>'HR Track 5 TSA'!E10</f>
        <v>0</v>
      </c>
      <c r="F342" s="453">
        <f>'HR Track 5 TSA'!F10</f>
        <v>5000</v>
      </c>
      <c r="G342" s="500">
        <f>'HR Track 5 TSA'!G10</f>
        <v>0</v>
      </c>
      <c r="H342" s="453" t="str">
        <f>'HR Track 5 TSA'!H10</f>
        <v>S/A</v>
      </c>
      <c r="I342" s="501">
        <f>'HR Track 5 TSA'!I10</f>
        <v>0</v>
      </c>
      <c r="J342" s="583">
        <f>'HR Track 5 TSA'!J10</f>
        <v>0</v>
      </c>
      <c r="K342" s="452">
        <f>'HR Track 5 TSA'!K10</f>
        <v>0</v>
      </c>
      <c r="L342" s="452" t="str">
        <f>'HR Track 5 TSA'!L10</f>
        <v>2HEB-240</v>
      </c>
      <c r="M342" s="452" t="str">
        <f>'HR Track 5 TSA'!M10</f>
        <v>2C3R</v>
      </c>
      <c r="N342" s="501" t="str">
        <f>'HR Track 5 TSA'!N10</f>
        <v>EMT-T</v>
      </c>
      <c r="O342" s="501" t="str">
        <f>'HR Track 5 TSA'!O10</f>
        <v>EMT-2</v>
      </c>
      <c r="P342" s="501">
        <f>'HR Track 5 TSA'!P10</f>
        <v>0</v>
      </c>
      <c r="Q342" s="452">
        <f>'HR Track 5 TSA'!Q10</f>
        <v>0</v>
      </c>
      <c r="R342" s="452">
        <f>'HR Track 5 TSA'!R10</f>
        <v>0</v>
      </c>
      <c r="S342" s="500">
        <f>'HR Track 5 TSA'!S10</f>
        <v>0</v>
      </c>
      <c r="T342" s="452">
        <f>'HR Track 5 TSA'!T10</f>
        <v>55</v>
      </c>
      <c r="U342" s="452">
        <f>'HR Track 5 TSA'!U10</f>
        <v>10</v>
      </c>
      <c r="V342" s="452">
        <f>'HR Track 5 TSA'!V10</f>
        <v>0</v>
      </c>
      <c r="W342" s="452">
        <f>'HR Track 5 TSA'!W10</f>
        <v>1.4</v>
      </c>
      <c r="X342" s="452">
        <f>'HR Track 5 TSA'!X10</f>
        <v>2.2999999999999998</v>
      </c>
      <c r="Y342" s="452">
        <f>'HR Track 5 TSA'!Y10</f>
        <v>0</v>
      </c>
      <c r="Z342" s="452">
        <f>'HR Track 5 TSA'!Z10</f>
        <v>0.45</v>
      </c>
      <c r="AA342" s="452">
        <f>'HR Track 5 TSA'!AA10</f>
        <v>0</v>
      </c>
      <c r="AB342" s="452">
        <f>'HR Track 5 TSA'!AB10</f>
        <v>0</v>
      </c>
      <c r="AC342" s="452" t="str">
        <f>'HR Track 5 TSA'!AC10</f>
        <v>PH-1150</v>
      </c>
      <c r="AD342" s="452">
        <f>'HR Track 5 TSA'!AD10</f>
        <v>0</v>
      </c>
      <c r="AE342" s="452">
        <f>'HR Track 5 TSA'!AE10</f>
        <v>0</v>
      </c>
      <c r="AF342" s="452">
        <f>'HR Track 5 TSA'!AF10</f>
        <v>5900</v>
      </c>
      <c r="AG342" s="451">
        <f>'HR Track 5 TSA'!AG10</f>
        <v>92792.88</v>
      </c>
      <c r="AH342" s="452">
        <f>'HR Track 5 TSA'!AH10</f>
        <v>2713</v>
      </c>
      <c r="AI342" s="452">
        <f>'HR Track 5 TSA'!AI10</f>
        <v>190</v>
      </c>
      <c r="AJ342" s="452">
        <f>'HR Track 5 TSA'!AJ10</f>
        <v>0</v>
      </c>
      <c r="AK342" s="452">
        <f>'HR Track 5 TSA'!AK10</f>
        <v>0</v>
      </c>
      <c r="AL342" s="452">
        <f>'HR Track 5 TSA'!AL10</f>
        <v>0</v>
      </c>
      <c r="AM342" s="452" t="str">
        <f>'HR Track 5 TSA'!AM10</f>
        <v>RW1</v>
      </c>
      <c r="AN342" s="500">
        <f>'HR Track 5 TSA'!AN10</f>
        <v>5.5</v>
      </c>
      <c r="AO342" s="452">
        <f>'HR Track 5 TSA'!AO10</f>
        <v>0</v>
      </c>
      <c r="AP342" s="452">
        <f>'HR Track 5 TSA'!AP10</f>
        <v>0</v>
      </c>
      <c r="AQ342" s="452">
        <f>'HR Track 5 TSA'!AQ10</f>
        <v>0</v>
      </c>
      <c r="AR342" s="452">
        <f>'HR Track 5 TSA'!AR10</f>
        <v>0</v>
      </c>
      <c r="AS342" s="452">
        <f>'HR Track 5 TSA'!AS10</f>
        <v>0</v>
      </c>
      <c r="AT342" s="452">
        <f>'HR Track 5 TSA'!AT10</f>
        <v>5.9442281626909974</v>
      </c>
      <c r="AU342" s="452">
        <f>'HR Track 5 TSA'!AU10</f>
        <v>0</v>
      </c>
      <c r="AV342" s="452">
        <f>'HR Track 5 TSA'!AV10</f>
        <v>0</v>
      </c>
      <c r="AW342" s="452" t="str">
        <f>'HR Track 5 TSA'!AW10</f>
        <v>Soil B</v>
      </c>
      <c r="AX342" s="452" t="str">
        <f>'HR Track 5 TSA'!AX10</f>
        <v>PT</v>
      </c>
      <c r="AY342" s="500">
        <f>'HR Track 5 TSA'!AY10</f>
        <v>3.5</v>
      </c>
      <c r="AZ342" s="500">
        <f>'HR Track 5 TSA'!AZ10</f>
        <v>0</v>
      </c>
      <c r="BA342" s="1333" t="str">
        <f>'HR Track 5 TSA'!BA10</f>
        <v>ü</v>
      </c>
      <c r="BB342" s="452" t="str">
        <f>'HR Track 5 TSA'!BB10</f>
        <v>App.7-V11A-P9.5.1.5</v>
      </c>
      <c r="BC342" s="1334">
        <f>'HR Track 5 TSA'!BC10</f>
        <v>0</v>
      </c>
      <c r="BD342" s="1335">
        <f>'HR Track 5 TSA'!BD10</f>
        <v>43745</v>
      </c>
      <c r="BE342" s="1335" t="str">
        <f>'HR Track 5 TSA'!BE10</f>
        <v>Ejecutado</v>
      </c>
      <c r="BF342" s="1335">
        <f>'HR Track 5 TSA'!BF10</f>
        <v>0</v>
      </c>
      <c r="BG342" s="1335">
        <f>'HR Track 5 TSA'!BG10</f>
        <v>43808</v>
      </c>
    </row>
    <row r="343" spans="1:59" ht="15.75" customHeight="1">
      <c r="A343" s="501">
        <f>'HR Track 5 TSA'!A11</f>
        <v>0</v>
      </c>
      <c r="B343" s="716">
        <f>'HR Track 5 TSA'!B11</f>
        <v>0</v>
      </c>
      <c r="C343" s="451">
        <f>'HR Track 5 TSA'!C11</f>
        <v>0</v>
      </c>
      <c r="D343" s="453">
        <f>'HR Track 5 TSA'!D11</f>
        <v>0</v>
      </c>
      <c r="E343" s="452">
        <f>'HR Track 5 TSA'!E11</f>
        <v>0</v>
      </c>
      <c r="F343" s="453">
        <f>'HR Track 5 TSA'!F11</f>
        <v>0</v>
      </c>
      <c r="G343" s="500">
        <f>'HR Track 5 TSA'!G11</f>
        <v>43</v>
      </c>
      <c r="H343" s="453">
        <f>'HR Track 5 TSA'!H11</f>
        <v>0</v>
      </c>
      <c r="I343" s="501">
        <f>'HR Track 5 TSA'!I11</f>
        <v>0</v>
      </c>
      <c r="J343" s="583">
        <f>'HR Track 5 TSA'!J11</f>
        <v>0</v>
      </c>
      <c r="K343" s="452">
        <f>'HR Track 5 TSA'!K11</f>
        <v>0</v>
      </c>
      <c r="L343" s="452">
        <f>'HR Track 5 TSA'!L11</f>
        <v>0</v>
      </c>
      <c r="M343" s="452">
        <f>'HR Track 5 TSA'!M11</f>
        <v>0</v>
      </c>
      <c r="N343" s="501">
        <f>'HR Track 5 TSA'!N11</f>
        <v>0</v>
      </c>
      <c r="O343" s="501">
        <f>'HR Track 5 TSA'!O11</f>
        <v>0</v>
      </c>
      <c r="P343" s="501">
        <f>'HR Track 5 TSA'!P11</f>
        <v>0</v>
      </c>
      <c r="Q343" s="452">
        <f>'HR Track 5 TSA'!Q11</f>
        <v>0</v>
      </c>
      <c r="R343" s="452">
        <f>'HR Track 5 TSA'!R11</f>
        <v>0</v>
      </c>
      <c r="S343" s="500">
        <f>'HR Track 5 TSA'!S11</f>
        <v>42.929999999993015</v>
      </c>
      <c r="T343" s="452">
        <f>'HR Track 5 TSA'!T11</f>
        <v>0</v>
      </c>
      <c r="U343" s="452">
        <f>'HR Track 5 TSA'!U11</f>
        <v>0</v>
      </c>
      <c r="V343" s="452">
        <f>'HR Track 5 TSA'!V11</f>
        <v>0</v>
      </c>
      <c r="W343" s="452">
        <f>'HR Track 5 TSA'!W11</f>
        <v>0</v>
      </c>
      <c r="X343" s="452">
        <f>'HR Track 5 TSA'!X11</f>
        <v>0</v>
      </c>
      <c r="Y343" s="452">
        <f>'HR Track 5 TSA'!Y11</f>
        <v>0</v>
      </c>
      <c r="Z343" s="452">
        <f>'HR Track 5 TSA'!Z11</f>
        <v>0</v>
      </c>
      <c r="AA343" s="452">
        <f>'HR Track 5 TSA'!AA11</f>
        <v>0</v>
      </c>
      <c r="AB343" s="452">
        <f>'HR Track 5 TSA'!AB11</f>
        <v>0</v>
      </c>
      <c r="AC343" s="452">
        <f>'HR Track 5 TSA'!AC11</f>
        <v>0</v>
      </c>
      <c r="AD343" s="452">
        <f>'HR Track 5 TSA'!AD11</f>
        <v>0</v>
      </c>
      <c r="AE343" s="452">
        <f>'HR Track 5 TSA'!AE11</f>
        <v>0</v>
      </c>
      <c r="AF343" s="452">
        <f>'HR Track 5 TSA'!AF11</f>
        <v>0</v>
      </c>
      <c r="AG343" s="451">
        <f>'HR Track 5 TSA'!AG11</f>
        <v>0</v>
      </c>
      <c r="AH343" s="452">
        <f>'HR Track 5 TSA'!AH11</f>
        <v>0</v>
      </c>
      <c r="AI343" s="452">
        <f>'HR Track 5 TSA'!AI11</f>
        <v>0</v>
      </c>
      <c r="AJ343" s="452">
        <f>'HR Track 5 TSA'!AJ11</f>
        <v>0</v>
      </c>
      <c r="AK343" s="452">
        <f>'HR Track 5 TSA'!AK11</f>
        <v>0</v>
      </c>
      <c r="AL343" s="452">
        <f>'HR Track 5 TSA'!AL11</f>
        <v>0</v>
      </c>
      <c r="AM343" s="452">
        <f>'HR Track 5 TSA'!AM11</f>
        <v>0</v>
      </c>
      <c r="AN343" s="500">
        <f>'HR Track 5 TSA'!AN11</f>
        <v>0</v>
      </c>
      <c r="AO343" s="452">
        <f>'HR Track 5 TSA'!AO11</f>
        <v>0</v>
      </c>
      <c r="AP343" s="452">
        <f>'HR Track 5 TSA'!AP11</f>
        <v>0</v>
      </c>
      <c r="AQ343" s="452">
        <f>'HR Track 5 TSA'!AQ11</f>
        <v>-0.2360748632149485</v>
      </c>
      <c r="AR343" s="452">
        <f>'HR Track 5 TSA'!AR11</f>
        <v>0</v>
      </c>
      <c r="AS343" s="452">
        <f>'HR Track 5 TSA'!AS11</f>
        <v>0</v>
      </c>
      <c r="AT343" s="452">
        <f>'HR Track 5 TSA'!AT11</f>
        <v>0</v>
      </c>
      <c r="AU343" s="452">
        <f>'HR Track 5 TSA'!AU11</f>
        <v>0</v>
      </c>
      <c r="AV343" s="452">
        <f>'HR Track 5 TSA'!AV11</f>
        <v>0</v>
      </c>
      <c r="AW343" s="452">
        <f>'HR Track 5 TSA'!AW11</f>
        <v>0</v>
      </c>
      <c r="AX343" s="452">
        <f>'HR Track 5 TSA'!AX11</f>
        <v>0</v>
      </c>
      <c r="AY343" s="500" t="str">
        <f>'HR Track 5 TSA'!AY11</f>
        <v/>
      </c>
      <c r="AZ343" s="500" t="str">
        <f>'HR Track 5 TSA'!AZ11</f>
        <v/>
      </c>
      <c r="BA343" s="1333">
        <f>'HR Track 5 TSA'!BA11</f>
        <v>0</v>
      </c>
      <c r="BB343" s="452">
        <f>'HR Track 5 TSA'!BB11</f>
        <v>0</v>
      </c>
      <c r="BC343" s="1334">
        <f>'HR Track 5 TSA'!BC11</f>
        <v>0</v>
      </c>
      <c r="BD343" s="1335">
        <f>'HR Track 5 TSA'!BD11</f>
        <v>0</v>
      </c>
      <c r="BE343" s="1335">
        <f>'HR Track 5 TSA'!BE11</f>
        <v>0</v>
      </c>
      <c r="BF343" s="1335">
        <f>'HR Track 5 TSA'!BF11</f>
        <v>0</v>
      </c>
      <c r="BG343" s="1335">
        <f>'HR Track 5 TSA'!BG11</f>
        <v>0</v>
      </c>
    </row>
    <row r="344" spans="1:59" ht="15.75" customHeight="1">
      <c r="A344" s="501" t="str">
        <f>'HR Track 5 TSA'!A12</f>
        <v>TSA-09</v>
      </c>
      <c r="B344" s="716" t="str">
        <f>'HR Track 5 TSA'!B12</f>
        <v>92-5.23BIS</v>
      </c>
      <c r="C344" s="451">
        <f>'HR Track 5 TSA'!C12</f>
        <v>92835.05</v>
      </c>
      <c r="D344" s="453">
        <f>'HR Track 5 TSA'!D12</f>
        <v>0</v>
      </c>
      <c r="E344" s="452">
        <f>'HR Track 5 TSA'!E12</f>
        <v>0</v>
      </c>
      <c r="F344" s="453">
        <f>'HR Track 5 TSA'!F12</f>
        <v>5000</v>
      </c>
      <c r="G344" s="500">
        <f>'HR Track 5 TSA'!G12</f>
        <v>0</v>
      </c>
      <c r="H344" s="453" t="str">
        <f>'HR Track 5 TSA'!H12</f>
        <v>S/A</v>
      </c>
      <c r="I344" s="501" t="str">
        <f>'HR Track 5 TSA'!I12</f>
        <v>IO</v>
      </c>
      <c r="J344" s="583">
        <f>'HR Track 5 TSA'!J12</f>
        <v>0</v>
      </c>
      <c r="K344" s="452">
        <f>'HR Track 5 TSA'!K12</f>
        <v>0</v>
      </c>
      <c r="L344" s="452" t="str">
        <f>'HR Track 5 TSA'!L12</f>
        <v>2HEB-240</v>
      </c>
      <c r="M344" s="452" t="str">
        <f>'HR Track 5 TSA'!M12</f>
        <v>2C3R</v>
      </c>
      <c r="N344" s="501" t="str">
        <f>'HR Track 5 TSA'!N12</f>
        <v>EMT-1</v>
      </c>
      <c r="O344" s="501" t="str">
        <f>'HR Track 5 TSA'!O12</f>
        <v>EMT-T</v>
      </c>
      <c r="P344" s="501">
        <f>'HR Track 5 TSA'!P12</f>
        <v>0</v>
      </c>
      <c r="Q344" s="452">
        <f>'HR Track 5 TSA'!Q12</f>
        <v>0</v>
      </c>
      <c r="R344" s="452">
        <f>'HR Track 5 TSA'!R12</f>
        <v>-5000</v>
      </c>
      <c r="S344" s="500">
        <f>'HR Track 5 TSA'!S12</f>
        <v>0</v>
      </c>
      <c r="T344" s="452">
        <f>'HR Track 5 TSA'!T12</f>
        <v>-10</v>
      </c>
      <c r="U344" s="452">
        <f>'HR Track 5 TSA'!U12</f>
        <v>-55</v>
      </c>
      <c r="V344" s="452">
        <f>'HR Track 5 TSA'!V12</f>
        <v>0</v>
      </c>
      <c r="W344" s="452">
        <f>'HR Track 5 TSA'!W12</f>
        <v>1.4</v>
      </c>
      <c r="X344" s="452">
        <f>'HR Track 5 TSA'!X12</f>
        <v>2.2999999999999998</v>
      </c>
      <c r="Y344" s="452">
        <f>'HR Track 5 TSA'!Y12</f>
        <v>0</v>
      </c>
      <c r="Z344" s="452">
        <f>'HR Track 5 TSA'!Z12</f>
        <v>0</v>
      </c>
      <c r="AA344" s="452">
        <f>'HR Track 5 TSA'!AA12</f>
        <v>0.45</v>
      </c>
      <c r="AB344" s="452">
        <f>'HR Track 5 TSA'!AB12</f>
        <v>0</v>
      </c>
      <c r="AC344" s="452" t="str">
        <f>'HR Track 5 TSA'!AC12</f>
        <v>PHQ-1150</v>
      </c>
      <c r="AD344" s="452">
        <f>'HR Track 5 TSA'!AD12</f>
        <v>0</v>
      </c>
      <c r="AE344" s="452">
        <f>'HR Track 5 TSA'!AE12</f>
        <v>0</v>
      </c>
      <c r="AF344" s="452">
        <f>'HR Track 5 TSA'!AF12</f>
        <v>5800</v>
      </c>
      <c r="AG344" s="451">
        <f>'HR Track 5 TSA'!AG12</f>
        <v>92835.81</v>
      </c>
      <c r="AH344" s="452">
        <f>'HR Track 5 TSA'!AH12</f>
        <v>2543</v>
      </c>
      <c r="AI344" s="452">
        <f>'HR Track 5 TSA'!AI12</f>
        <v>80</v>
      </c>
      <c r="AJ344" s="452" t="str">
        <f>'HR Track 5 TSA'!AJ12</f>
        <v>Disc/IO</v>
      </c>
      <c r="AK344" s="452">
        <f>'HR Track 5 TSA'!AK12</f>
        <v>0</v>
      </c>
      <c r="AL344" s="452">
        <f>'HR Track 5 TSA'!AL12</f>
        <v>0</v>
      </c>
      <c r="AM344" s="452" t="str">
        <f>'HR Track 5 TSA'!AM12</f>
        <v>RW1</v>
      </c>
      <c r="AN344" s="500">
        <f>'HR Track 5 TSA'!AN12</f>
        <v>5.5</v>
      </c>
      <c r="AO344" s="452">
        <f>'HR Track 5 TSA'!AO12</f>
        <v>0</v>
      </c>
      <c r="AP344" s="452">
        <f>'HR Track 5 TSA'!AP12</f>
        <v>0</v>
      </c>
      <c r="AQ344" s="452">
        <f>'HR Track 5 TSA'!AQ12</f>
        <v>0</v>
      </c>
      <c r="AR344" s="452">
        <f>'HR Track 5 TSA'!AR12</f>
        <v>0</v>
      </c>
      <c r="AS344" s="452">
        <f>'HR Track 5 TSA'!AS12</f>
        <v>0</v>
      </c>
      <c r="AT344" s="452">
        <f>'HR Track 5 TSA'!AT12</f>
        <v>-12.021864990040665</v>
      </c>
      <c r="AU344" s="452">
        <f>'HR Track 5 TSA'!AU12</f>
        <v>0</v>
      </c>
      <c r="AV344" s="452">
        <f>'HR Track 5 TSA'!AV12</f>
        <v>0</v>
      </c>
      <c r="AW344" s="452" t="str">
        <f>'HR Track 5 TSA'!AW12</f>
        <v>Soil B</v>
      </c>
      <c r="AX344" s="452" t="str">
        <f>'HR Track 5 TSA'!AX12</f>
        <v>PT</v>
      </c>
      <c r="AY344" s="500">
        <f>'HR Track 5 TSA'!AY12</f>
        <v>3.5</v>
      </c>
      <c r="AZ344" s="500">
        <f>'HR Track 5 TSA'!AZ12</f>
        <v>0</v>
      </c>
      <c r="BA344" s="1333" t="str">
        <f>'HR Track 5 TSA'!BA12</f>
        <v>ü</v>
      </c>
      <c r="BB344" s="452" t="str">
        <f>'HR Track 5 TSA'!BB12</f>
        <v>App.7-V11A-P9.5.1.5</v>
      </c>
      <c r="BC344" s="1334">
        <f>'HR Track 5 TSA'!BC12</f>
        <v>0</v>
      </c>
      <c r="BD344" s="1335">
        <f>'HR Track 5 TSA'!BD12</f>
        <v>43736</v>
      </c>
      <c r="BE344" s="1335">
        <f>'HR Track 5 TSA'!BE12</f>
        <v>43841</v>
      </c>
      <c r="BF344" s="1335">
        <f>'HR Track 5 TSA'!BF12</f>
        <v>0</v>
      </c>
      <c r="BG344" s="1335">
        <f>'HR Track 5 TSA'!BG12</f>
        <v>43870</v>
      </c>
    </row>
    <row r="345" spans="1:59" ht="15.75" customHeight="1">
      <c r="A345" s="501">
        <f>'HR Track 5 TSA'!A13</f>
        <v>0</v>
      </c>
      <c r="B345" s="716">
        <f>'HR Track 5 TSA'!B13</f>
        <v>0</v>
      </c>
      <c r="C345" s="451">
        <f>'HR Track 5 TSA'!C13</f>
        <v>0</v>
      </c>
      <c r="D345" s="453">
        <f>'HR Track 5 TSA'!D13</f>
        <v>0</v>
      </c>
      <c r="E345" s="452">
        <f>'HR Track 5 TSA'!E13</f>
        <v>0</v>
      </c>
      <c r="F345" s="453">
        <f>'HR Track 5 TSA'!F13</f>
        <v>0</v>
      </c>
      <c r="G345" s="500">
        <f>'HR Track 5 TSA'!G13</f>
        <v>39.5</v>
      </c>
      <c r="H345" s="453">
        <f>'HR Track 5 TSA'!H13</f>
        <v>0</v>
      </c>
      <c r="I345" s="501">
        <f>'HR Track 5 TSA'!I13</f>
        <v>0</v>
      </c>
      <c r="J345" s="583">
        <f>'HR Track 5 TSA'!J13</f>
        <v>0</v>
      </c>
      <c r="K345" s="452">
        <f>'HR Track 5 TSA'!K13</f>
        <v>0</v>
      </c>
      <c r="L345" s="452">
        <f>'HR Track 5 TSA'!L13</f>
        <v>0</v>
      </c>
      <c r="M345" s="452">
        <f>'HR Track 5 TSA'!M13</f>
        <v>0</v>
      </c>
      <c r="N345" s="501">
        <f>'HR Track 5 TSA'!N13</f>
        <v>0</v>
      </c>
      <c r="O345" s="501">
        <f>'HR Track 5 TSA'!O13</f>
        <v>0</v>
      </c>
      <c r="P345" s="501">
        <f>'HR Track 5 TSA'!P13</f>
        <v>0</v>
      </c>
      <c r="Q345" s="452">
        <f>'HR Track 5 TSA'!Q13</f>
        <v>0</v>
      </c>
      <c r="R345" s="452">
        <f>'HR Track 5 TSA'!R13</f>
        <v>0</v>
      </c>
      <c r="S345" s="500">
        <f>'HR Track 5 TSA'!S13</f>
        <v>41.320000000006985</v>
      </c>
      <c r="T345" s="452">
        <f>'HR Track 5 TSA'!T13</f>
        <v>0</v>
      </c>
      <c r="U345" s="452">
        <f>'HR Track 5 TSA'!U13</f>
        <v>0</v>
      </c>
      <c r="V345" s="452">
        <f>'HR Track 5 TSA'!V13</f>
        <v>0</v>
      </c>
      <c r="W345" s="452">
        <f>'HR Track 5 TSA'!W13</f>
        <v>0</v>
      </c>
      <c r="X345" s="452">
        <f>'HR Track 5 TSA'!X13</f>
        <v>0</v>
      </c>
      <c r="Y345" s="452">
        <f>'HR Track 5 TSA'!Y13</f>
        <v>0</v>
      </c>
      <c r="Z345" s="452">
        <f>'HR Track 5 TSA'!Z13</f>
        <v>0</v>
      </c>
      <c r="AA345" s="452">
        <f>'HR Track 5 TSA'!AA13</f>
        <v>0</v>
      </c>
      <c r="AB345" s="452">
        <f>'HR Track 5 TSA'!AB13</f>
        <v>0</v>
      </c>
      <c r="AC345" s="452">
        <f>'HR Track 5 TSA'!AC13</f>
        <v>0</v>
      </c>
      <c r="AD345" s="452">
        <f>'HR Track 5 TSA'!AD13</f>
        <v>0</v>
      </c>
      <c r="AE345" s="452">
        <f>'HR Track 5 TSA'!AE13</f>
        <v>0</v>
      </c>
      <c r="AF345" s="452">
        <f>'HR Track 5 TSA'!AF13</f>
        <v>0</v>
      </c>
      <c r="AG345" s="451">
        <f>'HR Track 5 TSA'!AG13</f>
        <v>0</v>
      </c>
      <c r="AH345" s="452">
        <f>'HR Track 5 TSA'!AH13</f>
        <v>0</v>
      </c>
      <c r="AI345" s="452">
        <f>'HR Track 5 TSA'!AI13</f>
        <v>0</v>
      </c>
      <c r="AJ345" s="452">
        <f>'HR Track 5 TSA'!AJ13</f>
        <v>0</v>
      </c>
      <c r="AK345" s="452">
        <f>'HR Track 5 TSA'!AK13</f>
        <v>0</v>
      </c>
      <c r="AL345" s="452">
        <f>'HR Track 5 TSA'!AL13</f>
        <v>0</v>
      </c>
      <c r="AM345" s="452">
        <f>'HR Track 5 TSA'!AM13</f>
        <v>0</v>
      </c>
      <c r="AN345" s="500">
        <f>'HR Track 5 TSA'!AN13</f>
        <v>0</v>
      </c>
      <c r="AO345" s="452">
        <f>'HR Track 5 TSA'!AO13</f>
        <v>0</v>
      </c>
      <c r="AP345" s="452">
        <f>'HR Track 5 TSA'!AP13</f>
        <v>0</v>
      </c>
      <c r="AQ345" s="452">
        <f>'HR Track 5 TSA'!AQ13</f>
        <v>0.27658691846413502</v>
      </c>
      <c r="AR345" s="452">
        <f>'HR Track 5 TSA'!AR13</f>
        <v>0</v>
      </c>
      <c r="AS345" s="452">
        <f>'HR Track 5 TSA'!AS13</f>
        <v>0</v>
      </c>
      <c r="AT345" s="452">
        <f>'HR Track 5 TSA'!AT13</f>
        <v>0</v>
      </c>
      <c r="AU345" s="452">
        <f>'HR Track 5 TSA'!AU13</f>
        <v>0</v>
      </c>
      <c r="AV345" s="452">
        <f>'HR Track 5 TSA'!AV13</f>
        <v>0</v>
      </c>
      <c r="AW345" s="452">
        <f>'HR Track 5 TSA'!AW13</f>
        <v>0</v>
      </c>
      <c r="AX345" s="452">
        <f>'HR Track 5 TSA'!AX13</f>
        <v>0</v>
      </c>
      <c r="AY345" s="500" t="str">
        <f>'HR Track 5 TSA'!AY13</f>
        <v/>
      </c>
      <c r="AZ345" s="500" t="str">
        <f>'HR Track 5 TSA'!AZ13</f>
        <v/>
      </c>
      <c r="BA345" s="1333">
        <f>'HR Track 5 TSA'!BA13</f>
        <v>0</v>
      </c>
      <c r="BB345" s="452">
        <f>'HR Track 5 TSA'!BB13</f>
        <v>0</v>
      </c>
      <c r="BC345" s="1334">
        <f>'HR Track 5 TSA'!BC13</f>
        <v>0</v>
      </c>
      <c r="BD345" s="1335">
        <f>'HR Track 5 TSA'!BD13</f>
        <v>0</v>
      </c>
      <c r="BE345" s="1335">
        <f>'HR Track 5 TSA'!BE13</f>
        <v>0</v>
      </c>
      <c r="BF345" s="1335">
        <f>'HR Track 5 TSA'!BF13</f>
        <v>0</v>
      </c>
      <c r="BG345" s="1335">
        <f>'HR Track 5 TSA'!BG13</f>
        <v>0</v>
      </c>
    </row>
    <row r="346" spans="1:59" ht="15.75" customHeight="1">
      <c r="A346" s="501">
        <f>'HR Track 5 TSA'!A14</f>
        <v>0</v>
      </c>
      <c r="B346" s="716" t="str">
        <f>'HR Track 5 TSA'!B14</f>
        <v>92-5.24</v>
      </c>
      <c r="C346" s="451">
        <f>'HR Track 5 TSA'!C14</f>
        <v>92874.55</v>
      </c>
      <c r="D346" s="453">
        <f>'HR Track 5 TSA'!D14</f>
        <v>0</v>
      </c>
      <c r="E346" s="452">
        <f>'HR Track 5 TSA'!E14</f>
        <v>0</v>
      </c>
      <c r="F346" s="453">
        <f>'HR Track 5 TSA'!F14</f>
        <v>0</v>
      </c>
      <c r="G346" s="500">
        <f>'HR Track 5 TSA'!G14</f>
        <v>0</v>
      </c>
      <c r="H346" s="453" t="str">
        <f>'HR Track 5 TSA'!H14</f>
        <v>A/S</v>
      </c>
      <c r="I346" s="501" t="str">
        <f>'HR Track 5 TSA'!I14</f>
        <v>CP+AnMC</v>
      </c>
      <c r="J346" s="583">
        <f>'HR Track 5 TSA'!J14</f>
        <v>0</v>
      </c>
      <c r="K346" s="452">
        <f>'HR Track 5 TSA'!K14</f>
        <v>0</v>
      </c>
      <c r="L346" s="452" t="str">
        <f>'HR Track 5 TSA'!L14</f>
        <v>HEB-260 (CP)</v>
      </c>
      <c r="M346" s="452" t="str">
        <f>'HR Track 5 TSA'!M14</f>
        <v>C4R</v>
      </c>
      <c r="N346" s="501" t="str">
        <f>'HR Track 5 TSA'!N14</f>
        <v>EMT-2</v>
      </c>
      <c r="O346" s="501">
        <f>'HR Track 5 TSA'!O14</f>
        <v>0</v>
      </c>
      <c r="P346" s="501">
        <f>'HR Track 5 TSA'!P14</f>
        <v>0</v>
      </c>
      <c r="Q346" s="452">
        <f>'HR Track 5 TSA'!Q14</f>
        <v>0</v>
      </c>
      <c r="R346" s="452">
        <f>'HR Track 5 TSA'!R14</f>
        <v>0</v>
      </c>
      <c r="S346" s="500">
        <f>'HR Track 5 TSA'!S14</f>
        <v>0</v>
      </c>
      <c r="T346" s="452">
        <f>'HR Track 5 TSA'!T14</f>
        <v>25</v>
      </c>
      <c r="U346" s="452">
        <f>'HR Track 5 TSA'!U14</f>
        <v>0</v>
      </c>
      <c r="V346" s="452">
        <f>'HR Track 5 TSA'!V14</f>
        <v>0</v>
      </c>
      <c r="W346" s="452">
        <f>'HR Track 5 TSA'!W14</f>
        <v>1.4</v>
      </c>
      <c r="X346" s="452">
        <f>'HR Track 5 TSA'!X14</f>
        <v>0</v>
      </c>
      <c r="Y346" s="452">
        <f>'HR Track 5 TSA'!Y14</f>
        <v>0</v>
      </c>
      <c r="Z346" s="452">
        <f>'HR Track 5 TSA'!Z14</f>
        <v>0</v>
      </c>
      <c r="AA346" s="452">
        <f>'HR Track 5 TSA'!AA14</f>
        <v>0</v>
      </c>
      <c r="AB346" s="452">
        <f>'HR Track 5 TSA'!AB14</f>
        <v>0</v>
      </c>
      <c r="AC346" s="452" t="str">
        <f>'HR Track 5 TSA'!AC14</f>
        <v>PH-1150</v>
      </c>
      <c r="AD346" s="452">
        <f>'HR Track 5 TSA'!AD14</f>
        <v>0</v>
      </c>
      <c r="AE346" s="452">
        <f>'HR Track 5 TSA'!AE14</f>
        <v>0</v>
      </c>
      <c r="AF346" s="452">
        <f>'HR Track 5 TSA'!AF14</f>
        <v>5800</v>
      </c>
      <c r="AG346" s="451">
        <f>'HR Track 5 TSA'!AG14</f>
        <v>92877.13</v>
      </c>
      <c r="AH346" s="452">
        <f>'HR Track 5 TSA'!AH14</f>
        <v>3253</v>
      </c>
      <c r="AI346" s="452">
        <f>'HR Track 5 TSA'!AI14</f>
        <v>-20</v>
      </c>
      <c r="AJ346" s="452">
        <f>'HR Track 5 TSA'!AJ14</f>
        <v>0</v>
      </c>
      <c r="AK346" s="452">
        <f>'HR Track 5 TSA'!AK14</f>
        <v>0</v>
      </c>
      <c r="AL346" s="452">
        <f>'HR Track 5 TSA'!AL14</f>
        <v>0</v>
      </c>
      <c r="AM346" s="452" t="str">
        <f>'HR Track 5 TSA'!AM14</f>
        <v>RW1</v>
      </c>
      <c r="AN346" s="500">
        <f>'HR Track 5 TSA'!AN14</f>
        <v>5.5</v>
      </c>
      <c r="AO346" s="452">
        <f>'HR Track 5 TSA'!AO14</f>
        <v>0</v>
      </c>
      <c r="AP346" s="452">
        <f>'HR Track 5 TSA'!AP14</f>
        <v>0</v>
      </c>
      <c r="AQ346" s="452">
        <f>'HR Track 5 TSA'!AQ14</f>
        <v>0</v>
      </c>
      <c r="AR346" s="452">
        <f>'HR Track 5 TSA'!AR14</f>
        <v>0</v>
      </c>
      <c r="AS346" s="452">
        <f>'HR Track 5 TSA'!AS14</f>
        <v>0</v>
      </c>
      <c r="AT346" s="452">
        <f>'HR Track 5 TSA'!AT14</f>
        <v>8.5132632029462059</v>
      </c>
      <c r="AU346" s="452">
        <f>'HR Track 5 TSA'!AU14</f>
        <v>0</v>
      </c>
      <c r="AV346" s="452">
        <f>'HR Track 5 TSA'!AV14</f>
        <v>0</v>
      </c>
      <c r="AW346" s="452" t="str">
        <f>'HR Track 5 TSA'!AW14</f>
        <v>Soil B</v>
      </c>
      <c r="AX346" s="452" t="str">
        <f>'HR Track 5 TSA'!AX14</f>
        <v>PT</v>
      </c>
      <c r="AY346" s="500">
        <f>'HR Track 5 TSA'!AY14</f>
        <v>3.5</v>
      </c>
      <c r="AZ346" s="500">
        <f>'HR Track 5 TSA'!AZ14</f>
        <v>0</v>
      </c>
      <c r="BA346" s="1333" t="str">
        <f>'HR Track 5 TSA'!BA14</f>
        <v>ü</v>
      </c>
      <c r="BB346" s="452" t="str">
        <f>'HR Track 5 TSA'!BB14</f>
        <v>App.7-V11A-P9.5.1.6</v>
      </c>
      <c r="BC346" s="1334">
        <f>'HR Track 5 TSA'!BC14</f>
        <v>0</v>
      </c>
      <c r="BD346" s="1335">
        <f>'HR Track 5 TSA'!BD14</f>
        <v>43736</v>
      </c>
      <c r="BE346" s="1335">
        <f>'HR Track 5 TSA'!BE14</f>
        <v>43812</v>
      </c>
      <c r="BF346" s="1335">
        <f>'HR Track 5 TSA'!BF14</f>
        <v>0</v>
      </c>
      <c r="BG346" s="1335">
        <f>'HR Track 5 TSA'!BG14</f>
        <v>43870</v>
      </c>
    </row>
    <row r="347" spans="1:59" ht="15.75" customHeight="1">
      <c r="A347" s="501">
        <f>'HR Track 5 TSA'!A15</f>
        <v>0</v>
      </c>
      <c r="B347" s="716">
        <f>'HR Track 5 TSA'!B15</f>
        <v>0</v>
      </c>
      <c r="C347" s="451">
        <f>'HR Track 5 TSA'!C15</f>
        <v>0</v>
      </c>
      <c r="D347" s="453">
        <f>'HR Track 5 TSA'!D15</f>
        <v>0</v>
      </c>
      <c r="E347" s="452">
        <f>'HR Track 5 TSA'!E15</f>
        <v>0</v>
      </c>
      <c r="F347" s="453">
        <f>'HR Track 5 TSA'!F15</f>
        <v>0</v>
      </c>
      <c r="G347" s="500">
        <f>'HR Track 5 TSA'!G15</f>
        <v>40.700000000000003</v>
      </c>
      <c r="H347" s="453">
        <f>'HR Track 5 TSA'!H15</f>
        <v>0</v>
      </c>
      <c r="I347" s="501">
        <f>'HR Track 5 TSA'!I15</f>
        <v>0</v>
      </c>
      <c r="J347" s="583">
        <f>'HR Track 5 TSA'!J15</f>
        <v>92882.05</v>
      </c>
      <c r="K347" s="452" t="str">
        <f>'HR Track 5 TSA'!K15</f>
        <v>AnMC-R</v>
      </c>
      <c r="L347" s="452">
        <f>'HR Track 5 TSA'!L15</f>
        <v>0</v>
      </c>
      <c r="M347" s="452">
        <f>'HR Track 5 TSA'!M15</f>
        <v>0</v>
      </c>
      <c r="N347" s="501">
        <f>'HR Track 5 TSA'!N15</f>
        <v>0</v>
      </c>
      <c r="O347" s="501">
        <f>'HR Track 5 TSA'!O15</f>
        <v>0</v>
      </c>
      <c r="P347" s="501">
        <f>'HR Track 5 TSA'!P15</f>
        <v>0</v>
      </c>
      <c r="Q347" s="452">
        <f>'HR Track 5 TSA'!Q15</f>
        <v>0</v>
      </c>
      <c r="R347" s="452">
        <f>'HR Track 5 TSA'!R15</f>
        <v>0</v>
      </c>
      <c r="S347" s="500">
        <f>'HR Track 5 TSA'!S15</f>
        <v>-92877.13</v>
      </c>
      <c r="T347" s="452">
        <f>'HR Track 5 TSA'!T15</f>
        <v>0</v>
      </c>
      <c r="U347" s="452">
        <f>'HR Track 5 TSA'!U15</f>
        <v>0</v>
      </c>
      <c r="V347" s="452">
        <f>'HR Track 5 TSA'!V15</f>
        <v>0</v>
      </c>
      <c r="W347" s="452">
        <f>'HR Track 5 TSA'!W15</f>
        <v>0</v>
      </c>
      <c r="X347" s="452">
        <f>'HR Track 5 TSA'!X15</f>
        <v>0</v>
      </c>
      <c r="Y347" s="452">
        <f>'HR Track 5 TSA'!Y15</f>
        <v>0</v>
      </c>
      <c r="Z347" s="452">
        <f>'HR Track 5 TSA'!Z15</f>
        <v>0</v>
      </c>
      <c r="AA347" s="452">
        <f>'HR Track 5 TSA'!AA15</f>
        <v>0</v>
      </c>
      <c r="AB347" s="452">
        <f>'HR Track 5 TSA'!AB15</f>
        <v>0</v>
      </c>
      <c r="AC347" s="452">
        <f>'HR Track 5 TSA'!AC15</f>
        <v>0</v>
      </c>
      <c r="AD347" s="452">
        <f>'HR Track 5 TSA'!AD15</f>
        <v>0</v>
      </c>
      <c r="AE347" s="452">
        <f>'HR Track 5 TSA'!AE15</f>
        <v>0</v>
      </c>
      <c r="AF347" s="452">
        <f>'HR Track 5 TSA'!AF15</f>
        <v>0</v>
      </c>
      <c r="AG347" s="451">
        <f>'HR Track 5 TSA'!AG15</f>
        <v>0</v>
      </c>
      <c r="AH347" s="452">
        <f>'HR Track 5 TSA'!AH15</f>
        <v>0</v>
      </c>
      <c r="AI347" s="452">
        <f>'HR Track 5 TSA'!AI15</f>
        <v>0</v>
      </c>
      <c r="AJ347" s="452">
        <f>'HR Track 5 TSA'!AJ15</f>
        <v>0</v>
      </c>
      <c r="AK347" s="452">
        <f>'HR Track 5 TSA'!AK15</f>
        <v>0</v>
      </c>
      <c r="AL347" s="452">
        <f>'HR Track 5 TSA'!AL15</f>
        <v>0</v>
      </c>
      <c r="AM347" s="452">
        <f>'HR Track 5 TSA'!AM15</f>
        <v>0</v>
      </c>
      <c r="AN347" s="500">
        <f>'HR Track 5 TSA'!AN15</f>
        <v>0</v>
      </c>
      <c r="AO347" s="452">
        <f>'HR Track 5 TSA'!AO15</f>
        <v>0</v>
      </c>
      <c r="AP347" s="452">
        <f>'HR Track 5 TSA'!AP15</f>
        <v>0</v>
      </c>
      <c r="AQ347" s="452">
        <f>'HR Track 5 TSA'!AQ15</f>
        <v>-0.37716785379701939</v>
      </c>
      <c r="AR347" s="452">
        <f>'HR Track 5 TSA'!AR15</f>
        <v>0</v>
      </c>
      <c r="AS347" s="452">
        <f>'HR Track 5 TSA'!AS15</f>
        <v>0</v>
      </c>
      <c r="AT347" s="452">
        <f>'HR Track 5 TSA'!AT15</f>
        <v>0</v>
      </c>
      <c r="AU347" s="452">
        <f>'HR Track 5 TSA'!AU15</f>
        <v>0</v>
      </c>
      <c r="AV347" s="452">
        <f>'HR Track 5 TSA'!AV15</f>
        <v>0</v>
      </c>
      <c r="AW347" s="452" t="str">
        <f>'HR Track 5 TSA'!AW15</f>
        <v>Soil B</v>
      </c>
      <c r="AX347" s="452" t="str">
        <f>'HR Track 5 TSA'!AX15</f>
        <v>PT</v>
      </c>
      <c r="AY347" s="500">
        <f>'HR Track 5 TSA'!AY15</f>
        <v>0</v>
      </c>
      <c r="AZ347" s="500">
        <f>'HR Track 5 TSA'!AZ15</f>
        <v>3.9</v>
      </c>
      <c r="BA347" s="1333" t="str">
        <f>'HR Track 5 TSA'!BA15</f>
        <v>ü</v>
      </c>
      <c r="BB347" s="452">
        <f>'HR Track 5 TSA'!BB15</f>
        <v>0</v>
      </c>
      <c r="BC347" s="1334">
        <f>'HR Track 5 TSA'!BC15</f>
        <v>0</v>
      </c>
      <c r="BD347" s="1335">
        <f>'HR Track 5 TSA'!BD15</f>
        <v>43736</v>
      </c>
      <c r="BE347" s="1335">
        <f>'HR Track 5 TSA'!BE15</f>
        <v>0</v>
      </c>
      <c r="BF347" s="1335">
        <f>'HR Track 5 TSA'!BF15</f>
        <v>0</v>
      </c>
      <c r="BG347" s="1335">
        <f>'HR Track 5 TSA'!BG15</f>
        <v>0</v>
      </c>
    </row>
    <row r="348" spans="1:59" ht="15.75" customHeight="1">
      <c r="S348" s="454"/>
      <c r="BA348" s="1305"/>
      <c r="BC348" s="169"/>
    </row>
    <row r="349" spans="1:59" ht="15.75" customHeight="1">
      <c r="S349" s="454"/>
      <c r="BA349" s="1305"/>
      <c r="BC349" s="169"/>
    </row>
    <row r="350" spans="1:59" ht="15.75" customHeight="1">
      <c r="S350" s="454"/>
      <c r="BA350" s="1305"/>
      <c r="BC350" s="169"/>
    </row>
    <row r="351" spans="1:59" ht="15.75" customHeight="1">
      <c r="S351" s="454"/>
      <c r="BA351" s="1305"/>
      <c r="BC351" s="169"/>
    </row>
    <row r="352" spans="1:59" ht="15.75" customHeight="1">
      <c r="S352" s="454"/>
      <c r="BA352" s="1305"/>
      <c r="BC352" s="169"/>
    </row>
    <row r="353" spans="19:55" ht="15.75" customHeight="1">
      <c r="S353" s="454"/>
      <c r="BA353" s="1305"/>
      <c r="BC353" s="169"/>
    </row>
    <row r="354" spans="19:55" ht="15.75" customHeight="1">
      <c r="S354" s="454"/>
      <c r="BA354" s="1305"/>
      <c r="BC354" s="169"/>
    </row>
    <row r="355" spans="19:55" ht="15.75" customHeight="1">
      <c r="S355" s="454"/>
      <c r="BA355" s="1305"/>
      <c r="BC355" s="169"/>
    </row>
    <row r="356" spans="19:55" ht="15.75" customHeight="1">
      <c r="S356" s="454"/>
      <c r="BA356" s="1305"/>
      <c r="BC356" s="169"/>
    </row>
    <row r="357" spans="19:55" ht="15.75" customHeight="1">
      <c r="S357" s="454"/>
      <c r="BA357" s="1305"/>
      <c r="BC357" s="169"/>
    </row>
    <row r="358" spans="19:55" ht="15.75" customHeight="1">
      <c r="S358" s="454"/>
      <c r="BA358" s="1305"/>
      <c r="BC358" s="169"/>
    </row>
    <row r="359" spans="19:55" ht="15.75" customHeight="1">
      <c r="S359" s="454"/>
      <c r="BA359" s="1305"/>
      <c r="BC359" s="169"/>
    </row>
    <row r="360" spans="19:55" ht="15.75" customHeight="1">
      <c r="S360" s="454"/>
      <c r="BA360" s="1305"/>
      <c r="BC360" s="169"/>
    </row>
    <row r="361" spans="19:55" ht="15.75" customHeight="1">
      <c r="S361" s="454"/>
      <c r="BA361" s="1305"/>
      <c r="BC361" s="169"/>
    </row>
    <row r="362" spans="19:55" ht="15.75" customHeight="1">
      <c r="S362" s="454"/>
      <c r="BA362" s="1305"/>
      <c r="BC362" s="169"/>
    </row>
    <row r="363" spans="19:55" ht="15.75" customHeight="1">
      <c r="S363" s="454"/>
      <c r="BA363" s="1305"/>
      <c r="BC363" s="169"/>
    </row>
    <row r="364" spans="19:55" ht="15.75" customHeight="1">
      <c r="S364" s="454"/>
      <c r="BA364" s="1305"/>
      <c r="BC364" s="169"/>
    </row>
    <row r="365" spans="19:55" ht="15.75" customHeight="1">
      <c r="S365" s="454"/>
      <c r="BA365" s="1305"/>
      <c r="BC365" s="169"/>
    </row>
    <row r="366" spans="19:55" ht="15.75" customHeight="1">
      <c r="S366" s="454"/>
      <c r="BA366" s="1305"/>
      <c r="BC366" s="169"/>
    </row>
    <row r="367" spans="19:55" ht="15.75" customHeight="1">
      <c r="S367" s="454"/>
      <c r="BA367" s="1305"/>
      <c r="BC367" s="169"/>
    </row>
    <row r="368" spans="19:55" ht="15.75" customHeight="1">
      <c r="S368" s="454"/>
      <c r="BA368" s="1305"/>
      <c r="BC368" s="169"/>
    </row>
    <row r="369" spans="19:55" ht="15.75" customHeight="1">
      <c r="S369" s="454"/>
      <c r="BA369" s="1305"/>
      <c r="BC369" s="169"/>
    </row>
    <row r="370" spans="19:55" ht="15.75" customHeight="1">
      <c r="S370" s="454"/>
      <c r="BA370" s="1305"/>
      <c r="BC370" s="169"/>
    </row>
    <row r="371" spans="19:55" ht="15.75" customHeight="1">
      <c r="S371" s="454"/>
      <c r="BA371" s="1305"/>
      <c r="BC371" s="169"/>
    </row>
    <row r="372" spans="19:55" ht="15.75" customHeight="1">
      <c r="S372" s="454"/>
      <c r="BA372" s="1305"/>
      <c r="BC372" s="169"/>
    </row>
    <row r="373" spans="19:55" ht="15.75" customHeight="1">
      <c r="S373" s="454"/>
      <c r="BA373" s="1305"/>
      <c r="BC373" s="169"/>
    </row>
    <row r="374" spans="19:55" ht="15.75" customHeight="1">
      <c r="S374" s="454"/>
      <c r="BA374" s="1305"/>
      <c r="BC374" s="169"/>
    </row>
    <row r="375" spans="19:55" ht="15.75" customHeight="1">
      <c r="S375" s="454"/>
      <c r="BA375" s="1305"/>
      <c r="BC375" s="169"/>
    </row>
    <row r="376" spans="19:55" ht="15.75" customHeight="1">
      <c r="S376" s="454"/>
      <c r="BA376" s="1305"/>
      <c r="BC376" s="169"/>
    </row>
    <row r="377" spans="19:55" ht="15.75" customHeight="1">
      <c r="S377" s="454"/>
      <c r="BA377" s="1305"/>
      <c r="BC377" s="169"/>
    </row>
    <row r="378" spans="19:55" ht="15.75" customHeight="1">
      <c r="S378" s="454"/>
      <c r="BA378" s="1305"/>
      <c r="BC378" s="169"/>
    </row>
    <row r="379" spans="19:55" ht="15.75" customHeight="1">
      <c r="S379" s="454"/>
      <c r="BA379" s="1305"/>
      <c r="BC379" s="169"/>
    </row>
    <row r="380" spans="19:55" ht="15.75" customHeight="1">
      <c r="S380" s="454"/>
      <c r="BA380" s="1305"/>
      <c r="BC380" s="169"/>
    </row>
    <row r="381" spans="19:55" ht="15.75" customHeight="1">
      <c r="S381" s="454"/>
      <c r="BA381" s="1305"/>
      <c r="BC381" s="169"/>
    </row>
    <row r="382" spans="19:55" ht="15.75" customHeight="1">
      <c r="S382" s="454"/>
      <c r="BA382" s="1305"/>
      <c r="BC382" s="169"/>
    </row>
    <row r="383" spans="19:55" ht="15.75" customHeight="1">
      <c r="S383" s="454"/>
      <c r="BA383" s="1305"/>
      <c r="BC383" s="169"/>
    </row>
    <row r="384" spans="19:55" ht="15.75" customHeight="1">
      <c r="S384" s="454"/>
      <c r="BA384" s="1305"/>
      <c r="BC384" s="169"/>
    </row>
    <row r="385" spans="19:55" ht="15.75" customHeight="1">
      <c r="S385" s="454"/>
      <c r="BA385" s="1305"/>
      <c r="BC385" s="169"/>
    </row>
    <row r="386" spans="19:55" ht="15.75" customHeight="1">
      <c r="S386" s="454"/>
      <c r="BA386" s="1305"/>
      <c r="BC386" s="169"/>
    </row>
    <row r="387" spans="19:55" ht="15.75" customHeight="1">
      <c r="S387" s="454"/>
      <c r="BA387" s="1305"/>
      <c r="BC387" s="169"/>
    </row>
    <row r="388" spans="19:55" ht="15.75" customHeight="1">
      <c r="S388" s="454"/>
      <c r="BA388" s="1305"/>
      <c r="BC388" s="169"/>
    </row>
    <row r="389" spans="19:55" ht="15.75" customHeight="1">
      <c r="S389" s="454"/>
      <c r="BA389" s="1305"/>
      <c r="BC389" s="169"/>
    </row>
    <row r="390" spans="19:55" ht="15.75" customHeight="1">
      <c r="S390" s="454"/>
      <c r="BA390" s="1305"/>
      <c r="BC390" s="169"/>
    </row>
    <row r="391" spans="19:55" ht="15.75" customHeight="1">
      <c r="S391" s="454"/>
      <c r="BA391" s="1305"/>
      <c r="BC391" s="169"/>
    </row>
    <row r="392" spans="19:55" ht="15.75" customHeight="1">
      <c r="S392" s="454"/>
      <c r="BA392" s="1305"/>
      <c r="BC392" s="169"/>
    </row>
    <row r="393" spans="19:55" ht="15.75" customHeight="1">
      <c r="S393" s="454"/>
      <c r="BA393" s="1305"/>
      <c r="BC393" s="169"/>
    </row>
    <row r="394" spans="19:55" ht="15.75" customHeight="1">
      <c r="S394" s="454"/>
      <c r="BA394" s="1305"/>
      <c r="BC394" s="169"/>
    </row>
    <row r="395" spans="19:55" ht="15.75" customHeight="1">
      <c r="S395" s="454"/>
      <c r="BA395" s="1305"/>
      <c r="BC395" s="169"/>
    </row>
    <row r="396" spans="19:55" ht="15.75" customHeight="1">
      <c r="S396" s="454"/>
      <c r="BA396" s="1305"/>
      <c r="BC396" s="169"/>
    </row>
    <row r="397" spans="19:55" ht="15.75" customHeight="1">
      <c r="S397" s="454"/>
      <c r="BA397" s="1305"/>
      <c r="BC397" s="169"/>
    </row>
    <row r="398" spans="19:55" ht="15.75" customHeight="1">
      <c r="S398" s="454"/>
      <c r="BA398" s="1305"/>
      <c r="BC398" s="169"/>
    </row>
    <row r="399" spans="19:55" ht="15.75" customHeight="1">
      <c r="S399" s="454"/>
      <c r="BA399" s="1305"/>
      <c r="BC399" s="169"/>
    </row>
    <row r="400" spans="19:55" ht="15.75" customHeight="1">
      <c r="S400" s="454"/>
      <c r="BA400" s="1305"/>
      <c r="BC400" s="169"/>
    </row>
    <row r="401" spans="19:55" ht="15.75" customHeight="1">
      <c r="S401" s="454"/>
      <c r="BA401" s="1305"/>
      <c r="BC401" s="169"/>
    </row>
    <row r="402" spans="19:55" ht="15.75" customHeight="1">
      <c r="S402" s="454"/>
      <c r="BA402" s="1305"/>
      <c r="BC402" s="169"/>
    </row>
    <row r="403" spans="19:55" ht="15.75" customHeight="1">
      <c r="S403" s="454"/>
      <c r="BA403" s="1305"/>
      <c r="BC403" s="169"/>
    </row>
    <row r="404" spans="19:55" ht="15.75" customHeight="1">
      <c r="S404" s="454"/>
      <c r="BA404" s="1305"/>
      <c r="BC404" s="169"/>
    </row>
    <row r="405" spans="19:55" ht="15.75" customHeight="1">
      <c r="S405" s="454"/>
      <c r="BA405" s="1305"/>
      <c r="BC405" s="169"/>
    </row>
    <row r="406" spans="19:55" ht="15.75" customHeight="1">
      <c r="S406" s="454"/>
      <c r="BA406" s="1305"/>
      <c r="BC406" s="169"/>
    </row>
    <row r="407" spans="19:55" ht="15.75" customHeight="1">
      <c r="S407" s="454"/>
      <c r="BA407" s="1305"/>
      <c r="BC407" s="169"/>
    </row>
    <row r="408" spans="19:55" ht="15.75" customHeight="1">
      <c r="S408" s="454"/>
      <c r="BA408" s="1305"/>
      <c r="BC408" s="169"/>
    </row>
    <row r="409" spans="19:55" ht="15.75" customHeight="1">
      <c r="S409" s="454"/>
      <c r="BA409" s="1305"/>
      <c r="BC409" s="169"/>
    </row>
    <row r="410" spans="19:55" ht="15.75" customHeight="1">
      <c r="S410" s="454"/>
      <c r="BA410" s="1305"/>
      <c r="BC410" s="169"/>
    </row>
    <row r="411" spans="19:55" ht="15.75" customHeight="1">
      <c r="S411" s="454"/>
      <c r="BA411" s="1305"/>
      <c r="BC411" s="169"/>
    </row>
    <row r="412" spans="19:55" ht="15.75" customHeight="1">
      <c r="S412" s="454"/>
      <c r="BA412" s="1305"/>
      <c r="BC412" s="169"/>
    </row>
    <row r="413" spans="19:55" ht="15.75" customHeight="1">
      <c r="S413" s="454"/>
      <c r="BA413" s="1305"/>
      <c r="BC413" s="169"/>
    </row>
    <row r="414" spans="19:55" ht="15.75" customHeight="1">
      <c r="S414" s="454"/>
      <c r="BA414" s="1305"/>
      <c r="BC414" s="169"/>
    </row>
    <row r="415" spans="19:55" ht="15.75" customHeight="1">
      <c r="S415" s="454"/>
      <c r="BA415" s="1305"/>
      <c r="BC415" s="169"/>
    </row>
    <row r="416" spans="19:55" ht="15.75" customHeight="1">
      <c r="S416" s="454"/>
      <c r="BA416" s="1305"/>
      <c r="BC416" s="169"/>
    </row>
    <row r="417" spans="19:55" ht="15.75" customHeight="1">
      <c r="S417" s="454"/>
      <c r="BA417" s="1305"/>
      <c r="BC417" s="169"/>
    </row>
    <row r="418" spans="19:55" ht="15.75" customHeight="1">
      <c r="S418" s="454"/>
      <c r="BA418" s="1305"/>
      <c r="BC418" s="169"/>
    </row>
    <row r="419" spans="19:55" ht="15.75" customHeight="1">
      <c r="S419" s="454"/>
      <c r="BA419" s="1305"/>
      <c r="BC419" s="169"/>
    </row>
    <row r="420" spans="19:55" ht="15.75" customHeight="1">
      <c r="S420" s="454"/>
      <c r="BA420" s="1305"/>
      <c r="BC420" s="169"/>
    </row>
    <row r="421" spans="19:55" ht="15.75" customHeight="1">
      <c r="S421" s="454"/>
      <c r="BA421" s="1305"/>
      <c r="BC421" s="169"/>
    </row>
    <row r="422" spans="19:55" ht="15.75" customHeight="1">
      <c r="S422" s="454"/>
      <c r="BA422" s="1305"/>
      <c r="BC422" s="169"/>
    </row>
    <row r="423" spans="19:55" ht="15.75" customHeight="1">
      <c r="S423" s="454"/>
      <c r="BA423" s="1305"/>
      <c r="BC423" s="169"/>
    </row>
    <row r="424" spans="19:55" ht="15.75" customHeight="1">
      <c r="S424" s="454"/>
      <c r="BA424" s="1305"/>
      <c r="BC424" s="169"/>
    </row>
    <row r="425" spans="19:55" ht="15.75" customHeight="1">
      <c r="S425" s="454"/>
      <c r="BA425" s="1305"/>
      <c r="BC425" s="169"/>
    </row>
    <row r="426" spans="19:55" ht="15.75" customHeight="1">
      <c r="S426" s="454"/>
      <c r="BA426" s="1305"/>
      <c r="BC426" s="169"/>
    </row>
    <row r="427" spans="19:55" ht="15.75" customHeight="1">
      <c r="S427" s="454"/>
      <c r="BA427" s="1305"/>
      <c r="BC427" s="169"/>
    </row>
    <row r="428" spans="19:55" ht="15.75" customHeight="1">
      <c r="S428" s="454"/>
      <c r="BA428" s="1305"/>
      <c r="BC428" s="169"/>
    </row>
    <row r="429" spans="19:55" ht="15.75" customHeight="1">
      <c r="S429" s="454"/>
      <c r="BA429" s="1305"/>
      <c r="BC429" s="169"/>
    </row>
    <row r="430" spans="19:55" ht="15.75" customHeight="1">
      <c r="S430" s="454"/>
      <c r="BA430" s="1305"/>
      <c r="BC430" s="169"/>
    </row>
    <row r="431" spans="19:55" ht="15.75" customHeight="1">
      <c r="S431" s="454"/>
      <c r="BA431" s="1305"/>
      <c r="BC431" s="169"/>
    </row>
    <row r="432" spans="19:55" ht="15.75" customHeight="1">
      <c r="S432" s="454"/>
      <c r="BA432" s="1305"/>
      <c r="BC432" s="169"/>
    </row>
    <row r="433" spans="19:55" ht="15.75" customHeight="1">
      <c r="S433" s="454"/>
      <c r="BA433" s="1305"/>
      <c r="BC433" s="169"/>
    </row>
    <row r="434" spans="19:55" ht="15.75" customHeight="1">
      <c r="S434" s="454"/>
      <c r="BA434" s="1305"/>
      <c r="BC434" s="169"/>
    </row>
    <row r="435" spans="19:55" ht="15.75" customHeight="1">
      <c r="S435" s="454"/>
      <c r="BA435" s="1305"/>
      <c r="BC435" s="169"/>
    </row>
    <row r="436" spans="19:55" ht="15.75" customHeight="1">
      <c r="S436" s="454"/>
      <c r="BA436" s="1305"/>
      <c r="BC436" s="169"/>
    </row>
    <row r="437" spans="19:55" ht="15.75" customHeight="1">
      <c r="S437" s="454"/>
      <c r="BA437" s="1305"/>
      <c r="BC437" s="169"/>
    </row>
    <row r="438" spans="19:55" ht="15.75" customHeight="1">
      <c r="S438" s="454"/>
      <c r="BA438" s="1305"/>
      <c r="BC438" s="169"/>
    </row>
    <row r="439" spans="19:55" ht="15.75" customHeight="1">
      <c r="S439" s="454"/>
      <c r="BA439" s="1305"/>
      <c r="BC439" s="169"/>
    </row>
    <row r="440" spans="19:55" ht="15.75" customHeight="1">
      <c r="S440" s="454"/>
      <c r="BA440" s="1305"/>
      <c r="BC440" s="169"/>
    </row>
    <row r="441" spans="19:55" ht="15.75" customHeight="1">
      <c r="S441" s="454"/>
      <c r="BA441" s="1305"/>
      <c r="BC441" s="169"/>
    </row>
    <row r="442" spans="19:55" ht="15.75" customHeight="1">
      <c r="S442" s="454"/>
      <c r="BA442" s="1305"/>
      <c r="BC442" s="169"/>
    </row>
    <row r="443" spans="19:55" ht="15.75" customHeight="1">
      <c r="S443" s="454"/>
      <c r="BA443" s="1305"/>
      <c r="BC443" s="169"/>
    </row>
    <row r="444" spans="19:55" ht="15.75" customHeight="1">
      <c r="S444" s="454"/>
      <c r="BA444" s="1305"/>
      <c r="BC444" s="169"/>
    </row>
    <row r="445" spans="19:55" ht="15.75" customHeight="1">
      <c r="S445" s="454"/>
      <c r="BA445" s="1305"/>
      <c r="BC445" s="169"/>
    </row>
    <row r="446" spans="19:55" ht="15.75" customHeight="1">
      <c r="S446" s="454"/>
      <c r="BA446" s="1305"/>
      <c r="BC446" s="169"/>
    </row>
    <row r="447" spans="19:55" ht="15.75" customHeight="1">
      <c r="S447" s="454"/>
      <c r="BA447" s="1305"/>
      <c r="BC447" s="169"/>
    </row>
    <row r="448" spans="19:55" ht="15.75" customHeight="1">
      <c r="S448" s="454"/>
      <c r="BA448" s="1305"/>
      <c r="BC448" s="169"/>
    </row>
    <row r="449" spans="19:55" ht="15.75" customHeight="1">
      <c r="S449" s="454"/>
      <c r="BA449" s="1305"/>
      <c r="BC449" s="169"/>
    </row>
    <row r="450" spans="19:55" ht="15.75" customHeight="1">
      <c r="S450" s="454"/>
      <c r="BA450" s="1305"/>
      <c r="BC450" s="169"/>
    </row>
    <row r="451" spans="19:55" ht="15.75" customHeight="1">
      <c r="S451" s="454"/>
      <c r="BA451" s="1305"/>
      <c r="BC451" s="169"/>
    </row>
    <row r="452" spans="19:55" ht="15.75" customHeight="1">
      <c r="S452" s="454"/>
      <c r="BA452" s="1305"/>
      <c r="BC452" s="169"/>
    </row>
    <row r="453" spans="19:55" ht="15.75" customHeight="1">
      <c r="S453" s="454"/>
      <c r="BA453" s="1305"/>
      <c r="BC453" s="169"/>
    </row>
    <row r="454" spans="19:55" ht="15.75" customHeight="1">
      <c r="S454" s="454"/>
      <c r="BA454" s="1305"/>
      <c r="BC454" s="169"/>
    </row>
    <row r="455" spans="19:55" ht="15.75" customHeight="1">
      <c r="S455" s="454"/>
      <c r="BA455" s="1305"/>
      <c r="BC455" s="169"/>
    </row>
    <row r="456" spans="19:55" ht="15.75" customHeight="1">
      <c r="S456" s="454"/>
      <c r="BA456" s="1305"/>
      <c r="BC456" s="169"/>
    </row>
    <row r="457" spans="19:55" ht="15.75" customHeight="1">
      <c r="S457" s="454"/>
      <c r="BA457" s="1305"/>
      <c r="BC457" s="169"/>
    </row>
    <row r="458" spans="19:55" ht="15.75" customHeight="1">
      <c r="S458" s="454"/>
      <c r="BA458" s="1305"/>
      <c r="BC458" s="169"/>
    </row>
    <row r="459" spans="19:55" ht="15.75" customHeight="1">
      <c r="S459" s="454"/>
      <c r="BA459" s="1305"/>
      <c r="BC459" s="169"/>
    </row>
    <row r="460" spans="19:55" ht="15.75" customHeight="1">
      <c r="S460" s="454"/>
      <c r="BA460" s="1305"/>
      <c r="BC460" s="169"/>
    </row>
    <row r="461" spans="19:55" ht="15.75" customHeight="1">
      <c r="S461" s="454"/>
      <c r="BA461" s="1305"/>
      <c r="BC461" s="169"/>
    </row>
    <row r="462" spans="19:55" ht="15.75" customHeight="1">
      <c r="S462" s="454"/>
      <c r="BA462" s="1305"/>
      <c r="BC462" s="169"/>
    </row>
    <row r="463" spans="19:55" ht="15.75" customHeight="1">
      <c r="S463" s="454"/>
      <c r="BA463" s="1305"/>
      <c r="BC463" s="169"/>
    </row>
    <row r="464" spans="19:55" ht="15.75" customHeight="1">
      <c r="S464" s="454"/>
      <c r="BA464" s="1305"/>
      <c r="BC464" s="169"/>
    </row>
    <row r="465" spans="19:55" ht="15.75" customHeight="1">
      <c r="S465" s="454"/>
      <c r="BA465" s="1305"/>
      <c r="BC465" s="169"/>
    </row>
    <row r="466" spans="19:55" ht="15.75" customHeight="1">
      <c r="S466" s="454"/>
      <c r="BA466" s="1305"/>
      <c r="BC466" s="169"/>
    </row>
    <row r="467" spans="19:55" ht="15.75" customHeight="1">
      <c r="S467" s="454"/>
      <c r="BA467" s="1305"/>
      <c r="BC467" s="169"/>
    </row>
    <row r="468" spans="19:55" ht="15.75" customHeight="1">
      <c r="S468" s="454"/>
      <c r="BA468" s="1305"/>
      <c r="BC468" s="169"/>
    </row>
    <row r="469" spans="19:55" ht="15.75" customHeight="1">
      <c r="S469" s="454"/>
      <c r="BA469" s="1305"/>
      <c r="BC469" s="169"/>
    </row>
    <row r="470" spans="19:55" ht="15.75" customHeight="1">
      <c r="S470" s="454"/>
      <c r="BA470" s="1305"/>
      <c r="BC470" s="169"/>
    </row>
    <row r="471" spans="19:55" ht="15.75" customHeight="1">
      <c r="S471" s="454"/>
      <c r="BA471" s="1305"/>
      <c r="BC471" s="169"/>
    </row>
    <row r="472" spans="19:55" ht="15.75" customHeight="1">
      <c r="S472" s="454"/>
      <c r="BA472" s="1305"/>
      <c r="BC472" s="169"/>
    </row>
    <row r="473" spans="19:55" ht="15.75" customHeight="1">
      <c r="S473" s="454"/>
      <c r="BA473" s="1305"/>
      <c r="BC473" s="169"/>
    </row>
    <row r="474" spans="19:55" ht="15.75" customHeight="1">
      <c r="S474" s="454"/>
      <c r="BA474" s="1305"/>
      <c r="BC474" s="169"/>
    </row>
    <row r="475" spans="19:55" ht="15.75" customHeight="1">
      <c r="S475" s="454"/>
      <c r="BA475" s="1305"/>
      <c r="BC475" s="169"/>
    </row>
    <row r="476" spans="19:55" ht="15.75" customHeight="1">
      <c r="S476" s="454"/>
      <c r="BA476" s="1305"/>
      <c r="BC476" s="169"/>
    </row>
    <row r="477" spans="19:55" ht="15.75" customHeight="1">
      <c r="S477" s="454"/>
      <c r="BA477" s="1305"/>
      <c r="BC477" s="169"/>
    </row>
    <row r="478" spans="19:55" ht="15.75" customHeight="1">
      <c r="S478" s="454"/>
      <c r="BA478" s="1305"/>
      <c r="BC478" s="169"/>
    </row>
    <row r="479" spans="19:55" ht="15.75" customHeight="1">
      <c r="S479" s="454"/>
      <c r="BA479" s="1305"/>
      <c r="BC479" s="169"/>
    </row>
    <row r="480" spans="19:55" ht="15.75" customHeight="1">
      <c r="S480" s="454"/>
      <c r="BA480" s="1305"/>
      <c r="BC480" s="169"/>
    </row>
    <row r="481" spans="19:55" ht="15.75" customHeight="1">
      <c r="S481" s="454"/>
      <c r="BA481" s="1305"/>
      <c r="BC481" s="169"/>
    </row>
    <row r="482" spans="19:55" ht="15.75" customHeight="1">
      <c r="S482" s="454"/>
      <c r="BA482" s="1305"/>
      <c r="BC482" s="169"/>
    </row>
    <row r="483" spans="19:55" ht="15.75" customHeight="1">
      <c r="S483" s="454"/>
      <c r="BA483" s="1305"/>
      <c r="BC483" s="169"/>
    </row>
    <row r="484" spans="19:55" ht="15.75" customHeight="1">
      <c r="S484" s="454"/>
      <c r="BA484" s="1305"/>
      <c r="BC484" s="169"/>
    </row>
    <row r="485" spans="19:55" ht="15.75" customHeight="1">
      <c r="S485" s="454"/>
      <c r="BA485" s="1305"/>
      <c r="BC485" s="169"/>
    </row>
    <row r="486" spans="19:55" ht="15.75" customHeight="1">
      <c r="S486" s="454"/>
      <c r="BA486" s="1305"/>
      <c r="BC486" s="169"/>
    </row>
    <row r="487" spans="19:55" ht="15.75" customHeight="1">
      <c r="S487" s="454"/>
      <c r="BA487" s="1305"/>
      <c r="BC487" s="169"/>
    </row>
    <row r="488" spans="19:55" ht="15.75" customHeight="1">
      <c r="S488" s="454"/>
      <c r="BA488" s="1305"/>
      <c r="BC488" s="169"/>
    </row>
    <row r="489" spans="19:55" ht="15.75" customHeight="1">
      <c r="S489" s="454"/>
      <c r="BA489" s="1305"/>
      <c r="BC489" s="169"/>
    </row>
    <row r="490" spans="19:55" ht="15.75" customHeight="1">
      <c r="S490" s="454"/>
      <c r="BA490" s="1305"/>
      <c r="BC490" s="169"/>
    </row>
    <row r="491" spans="19:55" ht="15.75" customHeight="1">
      <c r="S491" s="454"/>
      <c r="BA491" s="1305"/>
      <c r="BC491" s="169"/>
    </row>
    <row r="492" spans="19:55" ht="15.75" customHeight="1">
      <c r="S492" s="454"/>
      <c r="BA492" s="1305"/>
      <c r="BC492" s="169"/>
    </row>
    <row r="493" spans="19:55" ht="15.75" customHeight="1">
      <c r="S493" s="454"/>
      <c r="BA493" s="1305"/>
      <c r="BC493" s="169"/>
    </row>
    <row r="494" spans="19:55" ht="15.75" customHeight="1">
      <c r="S494" s="454"/>
      <c r="BA494" s="1305"/>
      <c r="BC494" s="169"/>
    </row>
    <row r="495" spans="19:55" ht="15.75" customHeight="1">
      <c r="S495" s="454"/>
      <c r="BA495" s="1305"/>
      <c r="BC495" s="169"/>
    </row>
    <row r="496" spans="19:55" ht="15.75" customHeight="1">
      <c r="S496" s="454"/>
      <c r="BA496" s="1305"/>
      <c r="BC496" s="169"/>
    </row>
    <row r="497" spans="19:55" ht="15.75" customHeight="1">
      <c r="S497" s="454"/>
      <c r="BA497" s="1305"/>
      <c r="BC497" s="169"/>
    </row>
    <row r="498" spans="19:55" ht="15.75" customHeight="1">
      <c r="S498" s="454"/>
      <c r="BA498" s="1305"/>
      <c r="BC498" s="169"/>
    </row>
    <row r="499" spans="19:55" ht="15.75" customHeight="1">
      <c r="S499" s="454"/>
      <c r="BA499" s="1305"/>
      <c r="BC499" s="169"/>
    </row>
    <row r="500" spans="19:55" ht="15.75" customHeight="1">
      <c r="S500" s="454"/>
      <c r="BA500" s="1305"/>
      <c r="BC500" s="169"/>
    </row>
    <row r="501" spans="19:55" ht="15.75" customHeight="1">
      <c r="S501" s="454"/>
      <c r="BA501" s="1305"/>
      <c r="BC501" s="169"/>
    </row>
    <row r="502" spans="19:55" ht="15.75" customHeight="1">
      <c r="S502" s="454"/>
      <c r="BA502" s="1305"/>
      <c r="BC502" s="169"/>
    </row>
    <row r="503" spans="19:55" ht="15.75" customHeight="1">
      <c r="S503" s="454"/>
      <c r="BA503" s="1305"/>
      <c r="BC503" s="169"/>
    </row>
    <row r="504" spans="19:55" ht="15.75" customHeight="1">
      <c r="S504" s="454"/>
      <c r="BA504" s="1305"/>
      <c r="BC504" s="169"/>
    </row>
    <row r="505" spans="19:55" ht="15.75" customHeight="1">
      <c r="S505" s="454"/>
      <c r="BA505" s="1305"/>
      <c r="BC505" s="169"/>
    </row>
    <row r="506" spans="19:55" ht="15.75" customHeight="1">
      <c r="S506" s="454"/>
      <c r="BA506" s="1305"/>
      <c r="BC506" s="169"/>
    </row>
    <row r="507" spans="19:55" ht="15.75" customHeight="1">
      <c r="S507" s="454"/>
      <c r="BA507" s="1305"/>
      <c r="BC507" s="169"/>
    </row>
    <row r="508" spans="19:55" ht="15.75" customHeight="1">
      <c r="S508" s="454"/>
      <c r="BA508" s="1305"/>
      <c r="BC508" s="169"/>
    </row>
    <row r="509" spans="19:55" ht="15.75" customHeight="1">
      <c r="S509" s="454"/>
      <c r="BA509" s="1305"/>
      <c r="BC509" s="169"/>
    </row>
    <row r="510" spans="19:55" ht="15.75" customHeight="1">
      <c r="S510" s="454"/>
      <c r="BA510" s="1305"/>
      <c r="BC510" s="169"/>
    </row>
    <row r="511" spans="19:55" ht="15.75" customHeight="1">
      <c r="S511" s="454"/>
      <c r="BA511" s="1305"/>
      <c r="BC511" s="169"/>
    </row>
    <row r="512" spans="19:55" ht="15.75" customHeight="1">
      <c r="S512" s="454"/>
      <c r="BA512" s="1305"/>
      <c r="BC512" s="169"/>
    </row>
    <row r="513" spans="19:55" ht="15.75" customHeight="1">
      <c r="S513" s="454"/>
      <c r="BA513" s="1305"/>
      <c r="BC513" s="169"/>
    </row>
    <row r="514" spans="19:55" ht="15.75" customHeight="1">
      <c r="S514" s="454"/>
      <c r="BA514" s="1305"/>
      <c r="BC514" s="169"/>
    </row>
    <row r="515" spans="19:55" ht="15.75" customHeight="1">
      <c r="S515" s="454"/>
      <c r="BA515" s="1305"/>
      <c r="BC515" s="169"/>
    </row>
    <row r="516" spans="19:55" ht="15.75" customHeight="1">
      <c r="S516" s="454"/>
      <c r="BA516" s="1305"/>
      <c r="BC516" s="169"/>
    </row>
    <row r="517" spans="19:55" ht="15.75" customHeight="1">
      <c r="S517" s="454"/>
      <c r="BA517" s="1305"/>
      <c r="BC517" s="169"/>
    </row>
    <row r="518" spans="19:55" ht="15.75" customHeight="1">
      <c r="S518" s="454"/>
      <c r="BA518" s="1305"/>
      <c r="BC518" s="169"/>
    </row>
    <row r="519" spans="19:55" ht="15.75" customHeight="1">
      <c r="S519" s="454"/>
      <c r="BA519" s="1305"/>
      <c r="BC519" s="169"/>
    </row>
    <row r="520" spans="19:55" ht="15.75" customHeight="1">
      <c r="S520" s="454"/>
      <c r="BA520" s="1305"/>
      <c r="BC520" s="169"/>
    </row>
    <row r="521" spans="19:55" ht="15.75" customHeight="1">
      <c r="S521" s="454"/>
      <c r="BA521" s="1305"/>
      <c r="BC521" s="169"/>
    </row>
    <row r="522" spans="19:55" ht="15.75" customHeight="1">
      <c r="S522" s="454"/>
      <c r="BA522" s="1305"/>
      <c r="BC522" s="169"/>
    </row>
    <row r="523" spans="19:55" ht="15.75" customHeight="1">
      <c r="S523" s="454"/>
      <c r="BA523" s="1305"/>
      <c r="BC523" s="169"/>
    </row>
    <row r="524" spans="19:55" ht="15.75" customHeight="1">
      <c r="S524" s="454"/>
      <c r="BA524" s="1305"/>
      <c r="BC524" s="169"/>
    </row>
    <row r="525" spans="19:55" ht="15.75" customHeight="1">
      <c r="S525" s="454"/>
      <c r="BA525" s="1305"/>
      <c r="BC525" s="169"/>
    </row>
    <row r="526" spans="19:55" ht="15.75" customHeight="1">
      <c r="S526" s="454"/>
      <c r="BA526" s="1305"/>
      <c r="BC526" s="169"/>
    </row>
    <row r="527" spans="19:55" ht="15.75" customHeight="1">
      <c r="S527" s="454"/>
      <c r="BA527" s="1305"/>
      <c r="BC527" s="169"/>
    </row>
    <row r="528" spans="19:55" ht="15.75" customHeight="1">
      <c r="S528" s="454"/>
      <c r="BA528" s="1305"/>
      <c r="BC528" s="169"/>
    </row>
    <row r="529" spans="19:55" ht="15.75" customHeight="1">
      <c r="S529" s="454"/>
      <c r="BA529" s="1305"/>
      <c r="BC529" s="169"/>
    </row>
    <row r="530" spans="19:55" ht="15.75" customHeight="1">
      <c r="S530" s="454"/>
      <c r="BA530" s="1305"/>
      <c r="BC530" s="169"/>
    </row>
    <row r="531" spans="19:55" ht="15.75" customHeight="1">
      <c r="S531" s="454"/>
      <c r="BA531" s="1305"/>
      <c r="BC531" s="169"/>
    </row>
    <row r="532" spans="19:55" ht="15.75" customHeight="1">
      <c r="S532" s="454"/>
      <c r="BA532" s="1305"/>
      <c r="BC532" s="169"/>
    </row>
    <row r="533" spans="19:55" ht="15.75" customHeight="1">
      <c r="S533" s="454"/>
      <c r="BA533" s="1305"/>
      <c r="BC533" s="169"/>
    </row>
    <row r="534" spans="19:55" ht="15.75" customHeight="1">
      <c r="S534" s="454"/>
      <c r="BA534" s="1305"/>
      <c r="BC534" s="169"/>
    </row>
    <row r="535" spans="19:55" ht="15.75" customHeight="1">
      <c r="S535" s="454"/>
      <c r="BA535" s="1305"/>
      <c r="BC535" s="169"/>
    </row>
    <row r="536" spans="19:55" ht="15.75" customHeight="1">
      <c r="S536" s="454"/>
      <c r="BA536" s="1305"/>
      <c r="BC536" s="169"/>
    </row>
    <row r="537" spans="19:55" ht="15.75" customHeight="1">
      <c r="S537" s="454"/>
      <c r="BA537" s="1305"/>
      <c r="BC537" s="169"/>
    </row>
    <row r="538" spans="19:55" ht="15.75" customHeight="1">
      <c r="S538" s="454"/>
      <c r="BA538" s="1305"/>
      <c r="BC538" s="169"/>
    </row>
    <row r="539" spans="19:55" ht="15.75" customHeight="1">
      <c r="S539" s="454"/>
      <c r="BA539" s="1305"/>
      <c r="BC539" s="169"/>
    </row>
    <row r="540" spans="19:55" ht="15.75" customHeight="1">
      <c r="S540" s="454"/>
      <c r="BA540" s="1305"/>
      <c r="BC540" s="169"/>
    </row>
    <row r="541" spans="19:55" ht="15.75" customHeight="1">
      <c r="S541" s="454"/>
      <c r="BA541" s="1305"/>
      <c r="BC541" s="169"/>
    </row>
    <row r="542" spans="19:55" ht="15.75" customHeight="1">
      <c r="S542" s="454"/>
      <c r="BA542" s="1305"/>
      <c r="BC542" s="169"/>
    </row>
    <row r="543" spans="19:55" ht="15.75" customHeight="1">
      <c r="S543" s="454"/>
      <c r="BA543" s="1305"/>
      <c r="BC543" s="169"/>
    </row>
    <row r="544" spans="19:55" ht="15.75" customHeight="1">
      <c r="S544" s="454"/>
      <c r="BA544" s="1305"/>
      <c r="BC544" s="169"/>
    </row>
    <row r="545" spans="19:55" ht="15.75" customHeight="1">
      <c r="S545" s="454"/>
      <c r="BA545" s="1305"/>
      <c r="BC545" s="169"/>
    </row>
    <row r="546" spans="19:55" ht="15.75" customHeight="1">
      <c r="S546" s="454"/>
      <c r="BA546" s="1305"/>
      <c r="BC546" s="169"/>
    </row>
    <row r="547" spans="19:55" ht="15.75" customHeight="1">
      <c r="S547" s="454"/>
      <c r="BA547" s="1305"/>
      <c r="BC547" s="169"/>
    </row>
    <row r="548" spans="19:55" ht="15.75" customHeight="1">
      <c r="S548" s="454"/>
      <c r="BA548" s="1305"/>
      <c r="BC548" s="169"/>
    </row>
    <row r="549" spans="19:55" ht="15.75" customHeight="1">
      <c r="S549" s="454"/>
      <c r="BA549" s="1305"/>
      <c r="BC549" s="169"/>
    </row>
    <row r="550" spans="19:55" ht="15.75" customHeight="1">
      <c r="S550" s="454"/>
      <c r="BA550" s="1305"/>
      <c r="BC550" s="169"/>
    </row>
    <row r="551" spans="19:55" ht="15.75" customHeight="1">
      <c r="S551" s="454"/>
      <c r="BA551" s="1305"/>
      <c r="BC551" s="169"/>
    </row>
    <row r="552" spans="19:55" ht="15.75" customHeight="1">
      <c r="S552" s="454"/>
      <c r="BA552" s="1305"/>
      <c r="BC552" s="169"/>
    </row>
    <row r="553" spans="19:55" ht="15.75" customHeight="1">
      <c r="S553" s="454"/>
      <c r="BA553" s="1305"/>
      <c r="BC553" s="169"/>
    </row>
    <row r="554" spans="19:55" ht="15.75" customHeight="1">
      <c r="S554" s="454"/>
      <c r="BA554" s="1305"/>
      <c r="BC554" s="169"/>
    </row>
    <row r="555" spans="19:55" ht="15.75" customHeight="1">
      <c r="S555" s="454"/>
      <c r="BA555" s="1305"/>
      <c r="BC555" s="169"/>
    </row>
    <row r="556" spans="19:55" ht="15.75" customHeight="1">
      <c r="S556" s="454"/>
      <c r="BA556" s="1305"/>
      <c r="BC556" s="169"/>
    </row>
    <row r="557" spans="19:55" ht="15.75" customHeight="1">
      <c r="S557" s="454"/>
      <c r="BA557" s="1305"/>
      <c r="BC557" s="169"/>
    </row>
    <row r="558" spans="19:55" ht="15.75" customHeight="1">
      <c r="S558" s="454"/>
      <c r="BA558" s="1305"/>
      <c r="BC558" s="169"/>
    </row>
    <row r="559" spans="19:55" ht="15.75" customHeight="1">
      <c r="S559" s="454"/>
      <c r="BA559" s="1305"/>
      <c r="BC559" s="169"/>
    </row>
    <row r="560" spans="19:55" ht="15.75" customHeight="1">
      <c r="S560" s="454"/>
      <c r="BA560" s="1305"/>
      <c r="BC560" s="169"/>
    </row>
    <row r="561" spans="19:55" ht="15.75" customHeight="1">
      <c r="S561" s="454"/>
      <c r="BA561" s="1305"/>
      <c r="BC561" s="169"/>
    </row>
    <row r="562" spans="19:55" ht="15.75" customHeight="1">
      <c r="S562" s="454"/>
      <c r="BA562" s="1305"/>
      <c r="BC562" s="169"/>
    </row>
    <row r="563" spans="19:55" ht="15.75" customHeight="1">
      <c r="S563" s="454"/>
      <c r="BA563" s="1305"/>
      <c r="BC563" s="169"/>
    </row>
    <row r="564" spans="19:55" ht="15.75" customHeight="1">
      <c r="S564" s="454"/>
      <c r="BA564" s="1305"/>
      <c r="BC564" s="169"/>
    </row>
    <row r="565" spans="19:55" ht="15.75" customHeight="1">
      <c r="S565" s="454"/>
      <c r="BA565" s="1305"/>
      <c r="BC565" s="169"/>
    </row>
    <row r="566" spans="19:55" ht="15.75" customHeight="1">
      <c r="S566" s="454"/>
      <c r="BA566" s="1305"/>
      <c r="BC566" s="169"/>
    </row>
    <row r="567" spans="19:55" ht="15.75" customHeight="1">
      <c r="S567" s="454"/>
      <c r="BA567" s="1305"/>
      <c r="BC567" s="169"/>
    </row>
    <row r="568" spans="19:55" ht="15.75" customHeight="1">
      <c r="S568" s="454"/>
      <c r="BA568" s="1305"/>
      <c r="BC568" s="169"/>
    </row>
    <row r="569" spans="19:55" ht="15.75" customHeight="1">
      <c r="S569" s="454"/>
      <c r="BA569" s="1305"/>
      <c r="BC569" s="169"/>
    </row>
    <row r="570" spans="19:55" ht="15.75" customHeight="1">
      <c r="S570" s="454"/>
      <c r="BA570" s="1305"/>
      <c r="BC570" s="169"/>
    </row>
    <row r="571" spans="19:55" ht="15.75" customHeight="1">
      <c r="S571" s="454"/>
      <c r="BA571" s="1305"/>
      <c r="BC571" s="169"/>
    </row>
    <row r="572" spans="19:55" ht="15.75" customHeight="1">
      <c r="S572" s="454"/>
      <c r="BA572" s="1305"/>
      <c r="BC572" s="169"/>
    </row>
    <row r="573" spans="19:55" ht="15.75" customHeight="1">
      <c r="S573" s="454"/>
      <c r="BA573" s="1305"/>
      <c r="BC573" s="169"/>
    </row>
    <row r="574" spans="19:55" ht="15.75" customHeight="1">
      <c r="S574" s="454"/>
      <c r="BA574" s="1305"/>
      <c r="BC574" s="169"/>
    </row>
    <row r="575" spans="19:55" ht="15.75" customHeight="1">
      <c r="S575" s="454"/>
      <c r="BA575" s="1305"/>
      <c r="BC575" s="169"/>
    </row>
    <row r="576" spans="19:55" ht="15.75" customHeight="1">
      <c r="S576" s="454"/>
      <c r="BA576" s="1305"/>
      <c r="BC576" s="169"/>
    </row>
    <row r="577" spans="19:55" ht="15.75" customHeight="1">
      <c r="S577" s="454"/>
      <c r="BA577" s="1305"/>
      <c r="BC577" s="169"/>
    </row>
    <row r="578" spans="19:55" ht="15.75" customHeight="1">
      <c r="S578" s="454"/>
      <c r="BA578" s="1305"/>
      <c r="BC578" s="169"/>
    </row>
    <row r="579" spans="19:55" ht="15.75" customHeight="1">
      <c r="S579" s="454"/>
      <c r="BA579" s="1305"/>
      <c r="BC579" s="169"/>
    </row>
    <row r="580" spans="19:55" ht="15.75" customHeight="1">
      <c r="S580" s="454"/>
      <c r="BA580" s="1305"/>
      <c r="BC580" s="169"/>
    </row>
    <row r="581" spans="19:55" ht="15.75" customHeight="1">
      <c r="S581" s="454"/>
      <c r="BA581" s="1305"/>
      <c r="BC581" s="169"/>
    </row>
    <row r="582" spans="19:55" ht="15.75" customHeight="1">
      <c r="S582" s="454"/>
      <c r="BA582" s="1305"/>
      <c r="BC582" s="169"/>
    </row>
    <row r="583" spans="19:55" ht="15.75" customHeight="1">
      <c r="S583" s="454"/>
      <c r="BA583" s="1305"/>
      <c r="BC583" s="169"/>
    </row>
    <row r="584" spans="19:55" ht="15.75" customHeight="1">
      <c r="S584" s="454"/>
      <c r="BA584" s="1305"/>
      <c r="BC584" s="169"/>
    </row>
    <row r="585" spans="19:55" ht="15.75" customHeight="1">
      <c r="S585" s="454"/>
      <c r="BA585" s="1305"/>
      <c r="BC585" s="169"/>
    </row>
    <row r="586" spans="19:55" ht="15.75" customHeight="1">
      <c r="S586" s="454"/>
      <c r="BA586" s="1305"/>
      <c r="BC586" s="169"/>
    </row>
    <row r="587" spans="19:55" ht="15.75" customHeight="1">
      <c r="S587" s="454"/>
      <c r="BA587" s="1305"/>
      <c r="BC587" s="169"/>
    </row>
    <row r="588" spans="19:55" ht="15.75" customHeight="1">
      <c r="S588" s="454"/>
      <c r="BA588" s="1305"/>
      <c r="BC588" s="169"/>
    </row>
    <row r="589" spans="19:55" ht="15.75" customHeight="1">
      <c r="S589" s="454"/>
      <c r="BA589" s="1305"/>
      <c r="BC589" s="169"/>
    </row>
    <row r="590" spans="19:55" ht="15.75" customHeight="1">
      <c r="S590" s="454"/>
      <c r="BA590" s="1305"/>
      <c r="BC590" s="169"/>
    </row>
    <row r="591" spans="19:55" ht="15.75" customHeight="1">
      <c r="S591" s="454"/>
      <c r="BA591" s="1305"/>
      <c r="BC591" s="169"/>
    </row>
    <row r="592" spans="19:55" ht="15.75" customHeight="1">
      <c r="S592" s="454"/>
      <c r="BA592" s="1305"/>
      <c r="BC592" s="169"/>
    </row>
    <row r="593" spans="19:55" ht="15.75" customHeight="1">
      <c r="S593" s="454"/>
      <c r="BA593" s="1305"/>
      <c r="BC593" s="169"/>
    </row>
    <row r="594" spans="19:55" ht="15.75" customHeight="1">
      <c r="S594" s="454"/>
      <c r="BA594" s="1305"/>
      <c r="BC594" s="169"/>
    </row>
    <row r="595" spans="19:55" ht="15.75" customHeight="1">
      <c r="S595" s="454"/>
      <c r="BA595" s="1305"/>
      <c r="BC595" s="169"/>
    </row>
    <row r="596" spans="19:55" ht="15.75" customHeight="1">
      <c r="S596" s="454"/>
      <c r="BA596" s="1305"/>
      <c r="BC596" s="169"/>
    </row>
    <row r="597" spans="19:55" ht="15.75" customHeight="1">
      <c r="S597" s="454"/>
      <c r="BA597" s="1305"/>
      <c r="BC597" s="169"/>
    </row>
    <row r="598" spans="19:55" ht="15.75" customHeight="1">
      <c r="S598" s="454"/>
      <c r="BA598" s="1305"/>
      <c r="BC598" s="169"/>
    </row>
    <row r="599" spans="19:55" ht="15.75" customHeight="1">
      <c r="S599" s="454"/>
      <c r="BA599" s="1305"/>
      <c r="BC599" s="169"/>
    </row>
    <row r="600" spans="19:55" ht="15.75" customHeight="1">
      <c r="S600" s="454"/>
      <c r="BA600" s="1305"/>
      <c r="BC600" s="169"/>
    </row>
    <row r="601" spans="19:55" ht="15.75" customHeight="1">
      <c r="S601" s="454"/>
      <c r="BA601" s="1305"/>
      <c r="BC601" s="169"/>
    </row>
    <row r="602" spans="19:55" ht="15.75" customHeight="1">
      <c r="S602" s="454"/>
      <c r="BA602" s="1305"/>
      <c r="BC602" s="169"/>
    </row>
    <row r="603" spans="19:55" ht="15.75" customHeight="1">
      <c r="S603" s="454"/>
      <c r="BA603" s="1305"/>
      <c r="BC603" s="169"/>
    </row>
    <row r="604" spans="19:55" ht="15.75" customHeight="1">
      <c r="S604" s="454"/>
      <c r="BA604" s="1305"/>
      <c r="BC604" s="169"/>
    </row>
    <row r="605" spans="19:55" ht="15.75" customHeight="1">
      <c r="S605" s="454"/>
      <c r="BA605" s="1305"/>
      <c r="BC605" s="169"/>
    </row>
    <row r="606" spans="19:55" ht="15.75" customHeight="1">
      <c r="S606" s="454"/>
      <c r="BA606" s="1305"/>
      <c r="BC606" s="169"/>
    </row>
    <row r="607" spans="19:55" ht="15.75" customHeight="1">
      <c r="S607" s="454"/>
      <c r="BA607" s="1305"/>
      <c r="BC607" s="169"/>
    </row>
    <row r="608" spans="19:55" ht="15.75" customHeight="1">
      <c r="S608" s="454"/>
      <c r="BA608" s="1305"/>
      <c r="BC608" s="169"/>
    </row>
    <row r="609" spans="19:55" ht="15.75" customHeight="1">
      <c r="S609" s="454"/>
      <c r="BA609" s="1305"/>
      <c r="BC609" s="169"/>
    </row>
    <row r="610" spans="19:55" ht="15.75" customHeight="1">
      <c r="S610" s="454"/>
      <c r="BA610" s="1305"/>
      <c r="BC610" s="169"/>
    </row>
    <row r="611" spans="19:55" ht="15.75" customHeight="1">
      <c r="S611" s="454"/>
      <c r="BA611" s="1305"/>
      <c r="BC611" s="169"/>
    </row>
    <row r="612" spans="19:55" ht="15.75" customHeight="1">
      <c r="S612" s="454"/>
      <c r="BA612" s="1305"/>
      <c r="BC612" s="169"/>
    </row>
    <row r="613" spans="19:55" ht="15.75" customHeight="1">
      <c r="S613" s="454"/>
      <c r="BA613" s="1305"/>
      <c r="BC613" s="169"/>
    </row>
    <row r="614" spans="19:55" ht="15.75" customHeight="1">
      <c r="S614" s="454"/>
      <c r="BA614" s="1305"/>
      <c r="BC614" s="169"/>
    </row>
    <row r="615" spans="19:55" ht="15.75" customHeight="1">
      <c r="S615" s="454"/>
      <c r="BA615" s="1305"/>
      <c r="BC615" s="169"/>
    </row>
    <row r="616" spans="19:55" ht="15.75" customHeight="1">
      <c r="S616" s="454"/>
      <c r="BA616" s="1305"/>
      <c r="BC616" s="169"/>
    </row>
    <row r="617" spans="19:55" ht="15.75" customHeight="1">
      <c r="S617" s="454"/>
      <c r="BA617" s="1305"/>
      <c r="BC617" s="169"/>
    </row>
    <row r="618" spans="19:55" ht="15.75" customHeight="1">
      <c r="S618" s="454"/>
      <c r="BA618" s="1305"/>
      <c r="BC618" s="169"/>
    </row>
    <row r="619" spans="19:55" ht="15.75" customHeight="1">
      <c r="S619" s="454"/>
      <c r="BA619" s="1305"/>
      <c r="BC619" s="169"/>
    </row>
    <row r="620" spans="19:55" ht="15.75" customHeight="1">
      <c r="S620" s="454"/>
      <c r="BA620" s="1305"/>
      <c r="BC620" s="169"/>
    </row>
    <row r="621" spans="19:55" ht="15.75" customHeight="1">
      <c r="S621" s="454"/>
      <c r="BA621" s="1305"/>
      <c r="BC621" s="169"/>
    </row>
    <row r="622" spans="19:55" ht="15.75" customHeight="1">
      <c r="S622" s="454"/>
      <c r="BA622" s="1305"/>
      <c r="BC622" s="169"/>
    </row>
    <row r="623" spans="19:55" ht="15.75" customHeight="1">
      <c r="S623" s="454"/>
      <c r="BA623" s="1305"/>
      <c r="BC623" s="169"/>
    </row>
    <row r="624" spans="19:55" ht="15.75" customHeight="1">
      <c r="S624" s="454"/>
      <c r="BA624" s="1305"/>
      <c r="BC624" s="169"/>
    </row>
    <row r="625" spans="19:55" ht="15.75" customHeight="1">
      <c r="S625" s="454"/>
      <c r="BA625" s="1305"/>
      <c r="BC625" s="169"/>
    </row>
    <row r="626" spans="19:55" ht="15.75" customHeight="1">
      <c r="S626" s="454"/>
      <c r="BA626" s="1305"/>
      <c r="BC626" s="169"/>
    </row>
    <row r="627" spans="19:55" ht="15.75" customHeight="1">
      <c r="S627" s="454"/>
      <c r="BA627" s="1305"/>
      <c r="BC627" s="169"/>
    </row>
    <row r="628" spans="19:55" ht="15.75" customHeight="1">
      <c r="S628" s="454"/>
      <c r="BA628" s="1305"/>
      <c r="BC628" s="169"/>
    </row>
    <row r="629" spans="19:55" ht="15.75" customHeight="1">
      <c r="S629" s="454"/>
      <c r="BA629" s="1305"/>
      <c r="BC629" s="169"/>
    </row>
    <row r="630" spans="19:55" ht="15.75" customHeight="1">
      <c r="S630" s="454"/>
      <c r="BA630" s="1305"/>
      <c r="BC630" s="169"/>
    </row>
    <row r="631" spans="19:55" ht="15.75" customHeight="1">
      <c r="S631" s="454"/>
      <c r="BA631" s="1305"/>
      <c r="BC631" s="169"/>
    </row>
    <row r="632" spans="19:55" ht="15.75" customHeight="1">
      <c r="S632" s="454"/>
      <c r="BA632" s="1305"/>
      <c r="BC632" s="169"/>
    </row>
    <row r="633" spans="19:55" ht="15.75" customHeight="1">
      <c r="S633" s="454"/>
      <c r="BA633" s="1305"/>
      <c r="BC633" s="169"/>
    </row>
    <row r="634" spans="19:55" ht="15.75" customHeight="1">
      <c r="S634" s="454"/>
      <c r="BA634" s="1305"/>
      <c r="BC634" s="169"/>
    </row>
    <row r="635" spans="19:55" ht="15.75" customHeight="1">
      <c r="S635" s="454"/>
      <c r="BA635" s="1305"/>
      <c r="BC635" s="169"/>
    </row>
    <row r="636" spans="19:55" ht="15.75" customHeight="1">
      <c r="S636" s="454"/>
      <c r="BA636" s="1305"/>
      <c r="BC636" s="169"/>
    </row>
    <row r="637" spans="19:55" ht="15.75" customHeight="1">
      <c r="S637" s="454"/>
      <c r="BA637" s="1305"/>
      <c r="BC637" s="169"/>
    </row>
    <row r="638" spans="19:55" ht="15.75" customHeight="1">
      <c r="S638" s="454"/>
      <c r="BA638" s="1305"/>
      <c r="BC638" s="169"/>
    </row>
    <row r="639" spans="19:55" ht="15.75" customHeight="1">
      <c r="S639" s="454"/>
      <c r="BA639" s="1305"/>
      <c r="BC639" s="169"/>
    </row>
    <row r="640" spans="19:55" ht="15.75" customHeight="1">
      <c r="S640" s="454"/>
      <c r="BA640" s="1305"/>
      <c r="BC640" s="169"/>
    </row>
    <row r="641" spans="19:55" ht="15.75" customHeight="1">
      <c r="S641" s="454"/>
      <c r="BA641" s="1305"/>
      <c r="BC641" s="169"/>
    </row>
    <row r="642" spans="19:55" ht="15.75" customHeight="1">
      <c r="S642" s="454"/>
      <c r="BA642" s="1305"/>
      <c r="BC642" s="169"/>
    </row>
    <row r="643" spans="19:55" ht="15.75" customHeight="1">
      <c r="S643" s="454"/>
      <c r="BA643" s="1305"/>
      <c r="BC643" s="169"/>
    </row>
    <row r="644" spans="19:55" ht="15.75" customHeight="1">
      <c r="S644" s="454"/>
      <c r="BA644" s="1305"/>
      <c r="BC644" s="169"/>
    </row>
    <row r="645" spans="19:55" ht="15.75" customHeight="1">
      <c r="S645" s="454"/>
      <c r="BA645" s="1305"/>
      <c r="BC645" s="169"/>
    </row>
    <row r="646" spans="19:55" ht="15.75" customHeight="1">
      <c r="S646" s="454"/>
      <c r="BA646" s="1305"/>
      <c r="BC646" s="169"/>
    </row>
    <row r="647" spans="19:55" ht="15.75" customHeight="1">
      <c r="S647" s="454"/>
      <c r="BA647" s="1305"/>
      <c r="BC647" s="169"/>
    </row>
    <row r="648" spans="19:55" ht="15.75" customHeight="1">
      <c r="S648" s="454"/>
      <c r="BA648" s="1305"/>
      <c r="BC648" s="169"/>
    </row>
    <row r="649" spans="19:55" ht="15.75" customHeight="1">
      <c r="S649" s="454"/>
      <c r="BA649" s="1305"/>
      <c r="BC649" s="169"/>
    </row>
    <row r="650" spans="19:55" ht="15.75" customHeight="1">
      <c r="S650" s="454"/>
      <c r="BA650" s="1305"/>
      <c r="BC650" s="169"/>
    </row>
    <row r="651" spans="19:55" ht="15.75" customHeight="1">
      <c r="S651" s="454"/>
      <c r="BA651" s="1305"/>
      <c r="BC651" s="169"/>
    </row>
    <row r="652" spans="19:55" ht="15.75" customHeight="1">
      <c r="S652" s="454"/>
      <c r="BA652" s="1305"/>
      <c r="BC652" s="169"/>
    </row>
    <row r="653" spans="19:55" ht="15.75" customHeight="1">
      <c r="S653" s="454"/>
      <c r="BA653" s="1305"/>
      <c r="BC653" s="169"/>
    </row>
    <row r="654" spans="19:55" ht="15.75" customHeight="1">
      <c r="S654" s="454"/>
      <c r="BA654" s="1305"/>
      <c r="BC654" s="169"/>
    </row>
    <row r="655" spans="19:55" ht="15.75" customHeight="1">
      <c r="S655" s="454"/>
      <c r="BA655" s="1305"/>
      <c r="BC655" s="169"/>
    </row>
    <row r="656" spans="19:55" ht="15.75" customHeight="1">
      <c r="S656" s="454"/>
      <c r="BA656" s="1305"/>
      <c r="BC656" s="169"/>
    </row>
    <row r="657" spans="19:55" ht="15.75" customHeight="1">
      <c r="S657" s="454"/>
      <c r="BA657" s="1305"/>
      <c r="BC657" s="169"/>
    </row>
    <row r="658" spans="19:55" ht="15.75" customHeight="1">
      <c r="S658" s="454"/>
      <c r="BA658" s="1305"/>
      <c r="BC658" s="169"/>
    </row>
    <row r="659" spans="19:55" ht="15.75" customHeight="1">
      <c r="S659" s="454"/>
      <c r="BA659" s="1305"/>
      <c r="BC659" s="169"/>
    </row>
    <row r="660" spans="19:55" ht="15.75" customHeight="1">
      <c r="S660" s="454"/>
      <c r="BA660" s="1305"/>
      <c r="BC660" s="169"/>
    </row>
    <row r="661" spans="19:55" ht="15.75" customHeight="1">
      <c r="S661" s="454"/>
      <c r="BA661" s="1305"/>
      <c r="BC661" s="169"/>
    </row>
    <row r="662" spans="19:55" ht="15.75" customHeight="1">
      <c r="S662" s="454"/>
      <c r="BA662" s="1305"/>
      <c r="BC662" s="169"/>
    </row>
    <row r="663" spans="19:55" ht="15.75" customHeight="1">
      <c r="S663" s="454"/>
      <c r="BA663" s="1305"/>
      <c r="BC663" s="169"/>
    </row>
    <row r="664" spans="19:55" ht="15.75" customHeight="1">
      <c r="S664" s="454"/>
      <c r="BA664" s="1305"/>
      <c r="BC664" s="169"/>
    </row>
    <row r="665" spans="19:55" ht="15.75" customHeight="1">
      <c r="S665" s="454"/>
      <c r="BA665" s="1305"/>
      <c r="BC665" s="169"/>
    </row>
    <row r="666" spans="19:55" ht="15.75" customHeight="1">
      <c r="S666" s="454"/>
      <c r="BA666" s="1305"/>
      <c r="BC666" s="169"/>
    </row>
    <row r="667" spans="19:55" ht="15.75" customHeight="1">
      <c r="S667" s="454"/>
      <c r="BA667" s="1305"/>
      <c r="BC667" s="169"/>
    </row>
    <row r="668" spans="19:55" ht="15.75" customHeight="1">
      <c r="S668" s="454"/>
      <c r="BA668" s="1305"/>
      <c r="BC668" s="169"/>
    </row>
    <row r="669" spans="19:55" ht="15.75" customHeight="1">
      <c r="S669" s="454"/>
      <c r="BA669" s="1305"/>
      <c r="BC669" s="169"/>
    </row>
    <row r="670" spans="19:55" ht="15.75" customHeight="1">
      <c r="S670" s="454"/>
      <c r="BA670" s="1305"/>
      <c r="BC670" s="169"/>
    </row>
    <row r="671" spans="19:55" ht="15.75" customHeight="1">
      <c r="S671" s="454"/>
      <c r="BA671" s="1305"/>
      <c r="BC671" s="169"/>
    </row>
    <row r="672" spans="19:55" ht="15.75" customHeight="1">
      <c r="S672" s="454"/>
      <c r="BA672" s="1305"/>
      <c r="BC672" s="169"/>
    </row>
    <row r="673" spans="19:55" ht="15.75" customHeight="1">
      <c r="S673" s="454"/>
      <c r="BA673" s="1305"/>
      <c r="BC673" s="169"/>
    </row>
    <row r="674" spans="19:55" ht="15.75" customHeight="1">
      <c r="S674" s="454"/>
      <c r="BA674" s="1305"/>
      <c r="BC674" s="169"/>
    </row>
    <row r="675" spans="19:55" ht="15.75" customHeight="1">
      <c r="S675" s="454"/>
      <c r="BA675" s="1305"/>
      <c r="BC675" s="169"/>
    </row>
    <row r="676" spans="19:55" ht="15.75" customHeight="1">
      <c r="S676" s="454"/>
      <c r="BA676" s="1305"/>
      <c r="BC676" s="169"/>
    </row>
    <row r="677" spans="19:55" ht="15.75" customHeight="1">
      <c r="S677" s="454"/>
      <c r="BA677" s="1305"/>
      <c r="BC677" s="169"/>
    </row>
    <row r="678" spans="19:55" ht="15.75" customHeight="1">
      <c r="S678" s="454"/>
      <c r="BA678" s="1305"/>
      <c r="BC678" s="169"/>
    </row>
    <row r="679" spans="19:55" ht="15.75" customHeight="1">
      <c r="S679" s="454"/>
      <c r="BA679" s="1305"/>
      <c r="BC679" s="169"/>
    </row>
    <row r="680" spans="19:55" ht="15.75" customHeight="1">
      <c r="S680" s="454"/>
      <c r="BA680" s="1305"/>
      <c r="BC680" s="169"/>
    </row>
    <row r="681" spans="19:55" ht="15.75" customHeight="1">
      <c r="S681" s="454"/>
      <c r="BA681" s="1305"/>
      <c r="BC681" s="169"/>
    </row>
    <row r="682" spans="19:55" ht="15.75" customHeight="1">
      <c r="S682" s="454"/>
      <c r="BA682" s="1305"/>
      <c r="BC682" s="169"/>
    </row>
    <row r="683" spans="19:55" ht="15.75" customHeight="1">
      <c r="S683" s="454"/>
      <c r="BA683" s="1305"/>
      <c r="BC683" s="169"/>
    </row>
    <row r="684" spans="19:55" ht="15.75" customHeight="1">
      <c r="S684" s="454"/>
      <c r="BA684" s="1305"/>
      <c r="BC684" s="169"/>
    </row>
    <row r="685" spans="19:55" ht="15.75" customHeight="1">
      <c r="S685" s="454"/>
      <c r="BA685" s="1305"/>
      <c r="BC685" s="169"/>
    </row>
    <row r="686" spans="19:55" ht="15.75" customHeight="1">
      <c r="S686" s="454"/>
      <c r="BA686" s="1305"/>
      <c r="BC686" s="169"/>
    </row>
    <row r="687" spans="19:55" ht="15.75" customHeight="1">
      <c r="S687" s="454"/>
      <c r="BA687" s="1305"/>
      <c r="BC687" s="169"/>
    </row>
    <row r="688" spans="19:55" ht="15.75" customHeight="1">
      <c r="S688" s="454"/>
      <c r="BA688" s="1305"/>
      <c r="BC688" s="169"/>
    </row>
    <row r="689" spans="19:55" ht="15.75" customHeight="1">
      <c r="S689" s="454"/>
      <c r="BA689" s="1305"/>
      <c r="BC689" s="169"/>
    </row>
    <row r="690" spans="19:55" ht="15.75" customHeight="1">
      <c r="S690" s="454"/>
      <c r="BA690" s="1305"/>
      <c r="BC690" s="169"/>
    </row>
    <row r="691" spans="19:55" ht="15.75" customHeight="1">
      <c r="S691" s="454"/>
      <c r="BA691" s="1305"/>
      <c r="BC691" s="169"/>
    </row>
    <row r="692" spans="19:55" ht="15.75" customHeight="1">
      <c r="S692" s="454"/>
      <c r="BA692" s="1305"/>
      <c r="BC692" s="169"/>
    </row>
    <row r="693" spans="19:55" ht="15.75" customHeight="1">
      <c r="S693" s="454"/>
      <c r="BA693" s="1305"/>
      <c r="BC693" s="169"/>
    </row>
    <row r="694" spans="19:55" ht="15.75" customHeight="1">
      <c r="S694" s="454"/>
      <c r="BA694" s="1305"/>
      <c r="BC694" s="169"/>
    </row>
    <row r="695" spans="19:55" ht="15.75" customHeight="1">
      <c r="S695" s="454"/>
      <c r="BA695" s="1305"/>
      <c r="BC695" s="169"/>
    </row>
    <row r="696" spans="19:55" ht="15.75" customHeight="1">
      <c r="S696" s="454"/>
      <c r="BA696" s="1305"/>
      <c r="BC696" s="169"/>
    </row>
    <row r="697" spans="19:55" ht="15.75" customHeight="1">
      <c r="S697" s="454"/>
      <c r="BA697" s="1305"/>
      <c r="BC697" s="169"/>
    </row>
    <row r="698" spans="19:55" ht="15.75" customHeight="1">
      <c r="S698" s="454"/>
      <c r="BA698" s="1305"/>
      <c r="BC698" s="169"/>
    </row>
    <row r="699" spans="19:55" ht="15.75" customHeight="1">
      <c r="S699" s="454"/>
      <c r="BA699" s="1305"/>
      <c r="BC699" s="169"/>
    </row>
    <row r="700" spans="19:55" ht="15.75" customHeight="1">
      <c r="S700" s="454"/>
      <c r="BA700" s="1305"/>
      <c r="BC700" s="169"/>
    </row>
    <row r="701" spans="19:55" ht="15.75" customHeight="1">
      <c r="S701" s="454"/>
      <c r="BA701" s="1305"/>
      <c r="BC701" s="169"/>
    </row>
    <row r="702" spans="19:55" ht="15.75" customHeight="1">
      <c r="S702" s="454"/>
      <c r="BA702" s="1305"/>
      <c r="BC702" s="169"/>
    </row>
    <row r="703" spans="19:55" ht="15.75" customHeight="1">
      <c r="S703" s="454"/>
      <c r="BA703" s="1305"/>
      <c r="BC703" s="169"/>
    </row>
    <row r="704" spans="19:55" ht="15.75" customHeight="1">
      <c r="S704" s="454"/>
      <c r="BA704" s="1305"/>
      <c r="BC704" s="169"/>
    </row>
    <row r="705" spans="19:55" ht="15.75" customHeight="1">
      <c r="S705" s="454"/>
      <c r="BA705" s="1305"/>
      <c r="BC705" s="169"/>
    </row>
    <row r="706" spans="19:55" ht="15.75" customHeight="1">
      <c r="S706" s="454"/>
      <c r="BA706" s="1305"/>
      <c r="BC706" s="169"/>
    </row>
    <row r="707" spans="19:55" ht="15.75" customHeight="1">
      <c r="S707" s="454"/>
      <c r="BA707" s="1305"/>
      <c r="BC707" s="169"/>
    </row>
    <row r="708" spans="19:55" ht="15.75" customHeight="1">
      <c r="S708" s="454"/>
      <c r="BA708" s="1305"/>
      <c r="BC708" s="169"/>
    </row>
    <row r="709" spans="19:55" ht="15.75" customHeight="1">
      <c r="S709" s="454"/>
      <c r="BA709" s="1305"/>
      <c r="BC709" s="169"/>
    </row>
    <row r="710" spans="19:55" ht="15.75" customHeight="1">
      <c r="S710" s="454"/>
      <c r="BA710" s="1305"/>
      <c r="BC710" s="169"/>
    </row>
    <row r="711" spans="19:55" ht="15.75" customHeight="1">
      <c r="S711" s="454"/>
      <c r="BA711" s="1305"/>
      <c r="BC711" s="169"/>
    </row>
    <row r="712" spans="19:55" ht="15.75" customHeight="1">
      <c r="S712" s="454"/>
      <c r="BA712" s="1305"/>
      <c r="BC712" s="169"/>
    </row>
    <row r="713" spans="19:55" ht="15.75" customHeight="1">
      <c r="S713" s="454"/>
      <c r="BA713" s="1305"/>
      <c r="BC713" s="169"/>
    </row>
    <row r="714" spans="19:55" ht="15.75" customHeight="1">
      <c r="S714" s="454"/>
      <c r="BA714" s="1305"/>
      <c r="BC714" s="169"/>
    </row>
    <row r="715" spans="19:55" ht="15.75" customHeight="1">
      <c r="S715" s="454"/>
      <c r="BA715" s="1305"/>
      <c r="BC715" s="169"/>
    </row>
    <row r="716" spans="19:55" ht="15.75" customHeight="1">
      <c r="S716" s="454"/>
      <c r="BA716" s="1305"/>
      <c r="BC716" s="169"/>
    </row>
    <row r="717" spans="19:55" ht="15.75" customHeight="1">
      <c r="S717" s="454"/>
      <c r="BA717" s="1305"/>
      <c r="BC717" s="169"/>
    </row>
    <row r="718" spans="19:55" ht="15.75" customHeight="1">
      <c r="S718" s="454"/>
      <c r="BA718" s="1305"/>
      <c r="BC718" s="169"/>
    </row>
    <row r="719" spans="19:55" ht="15.75" customHeight="1">
      <c r="S719" s="454"/>
      <c r="BA719" s="1305"/>
      <c r="BC719" s="169"/>
    </row>
    <row r="720" spans="19:55" ht="15.75" customHeight="1">
      <c r="S720" s="454"/>
      <c r="BA720" s="1305"/>
      <c r="BC720" s="169"/>
    </row>
    <row r="721" spans="19:55" ht="15.75" customHeight="1">
      <c r="S721" s="454"/>
      <c r="BA721" s="1305"/>
      <c r="BC721" s="169"/>
    </row>
    <row r="722" spans="19:55" ht="15.75" customHeight="1">
      <c r="S722" s="454"/>
      <c r="BA722" s="1305"/>
      <c r="BC722" s="169"/>
    </row>
    <row r="723" spans="19:55" ht="15.75" customHeight="1">
      <c r="S723" s="454"/>
      <c r="BA723" s="1305"/>
      <c r="BC723" s="169"/>
    </row>
    <row r="724" spans="19:55" ht="15.75" customHeight="1">
      <c r="S724" s="454"/>
      <c r="BA724" s="1305"/>
      <c r="BC724" s="169"/>
    </row>
    <row r="725" spans="19:55" ht="15.75" customHeight="1">
      <c r="S725" s="454"/>
      <c r="BA725" s="1305"/>
      <c r="BC725" s="169"/>
    </row>
    <row r="726" spans="19:55" ht="15.75" customHeight="1">
      <c r="S726" s="454"/>
      <c r="BA726" s="1305"/>
      <c r="BC726" s="169"/>
    </row>
    <row r="727" spans="19:55" ht="15.75" customHeight="1">
      <c r="S727" s="454"/>
      <c r="BA727" s="1305"/>
      <c r="BC727" s="169"/>
    </row>
    <row r="728" spans="19:55" ht="15.75" customHeight="1">
      <c r="S728" s="454"/>
      <c r="BA728" s="1305"/>
      <c r="BC728" s="169"/>
    </row>
    <row r="729" spans="19:55" ht="15.75" customHeight="1">
      <c r="S729" s="454"/>
      <c r="BA729" s="1305"/>
      <c r="BC729" s="169"/>
    </row>
    <row r="730" spans="19:55" ht="15.75" customHeight="1">
      <c r="S730" s="454"/>
      <c r="BA730" s="1305"/>
      <c r="BC730" s="169"/>
    </row>
    <row r="731" spans="19:55" ht="15.75" customHeight="1">
      <c r="S731" s="454"/>
      <c r="BA731" s="1305"/>
      <c r="BC731" s="169"/>
    </row>
    <row r="732" spans="19:55" ht="15.75" customHeight="1">
      <c r="S732" s="454"/>
      <c r="BA732" s="1305"/>
      <c r="BC732" s="169"/>
    </row>
    <row r="733" spans="19:55" ht="15.75" customHeight="1">
      <c r="S733" s="454"/>
      <c r="BA733" s="1305"/>
      <c r="BC733" s="169"/>
    </row>
    <row r="734" spans="19:55" ht="15.75" customHeight="1">
      <c r="S734" s="454"/>
      <c r="BA734" s="1305"/>
      <c r="BC734" s="169"/>
    </row>
    <row r="735" spans="19:55" ht="15.75" customHeight="1">
      <c r="S735" s="454"/>
      <c r="BA735" s="1305"/>
      <c r="BC735" s="169"/>
    </row>
    <row r="736" spans="19:55" ht="15.75" customHeight="1">
      <c r="S736" s="454"/>
      <c r="BA736" s="1305"/>
      <c r="BC736" s="169"/>
    </row>
    <row r="737" spans="19:55" ht="15.75" customHeight="1">
      <c r="S737" s="454"/>
      <c r="BA737" s="1305"/>
      <c r="BC737" s="169"/>
    </row>
    <row r="738" spans="19:55" ht="15.75" customHeight="1">
      <c r="S738" s="454"/>
      <c r="BA738" s="1305"/>
      <c r="BC738" s="169"/>
    </row>
    <row r="739" spans="19:55" ht="15.75" customHeight="1">
      <c r="S739" s="454"/>
      <c r="BA739" s="1305"/>
      <c r="BC739" s="169"/>
    </row>
    <row r="740" spans="19:55" ht="15.75" customHeight="1">
      <c r="S740" s="454"/>
      <c r="BA740" s="1305"/>
      <c r="BC740" s="169"/>
    </row>
    <row r="741" spans="19:55" ht="15.75" customHeight="1">
      <c r="S741" s="454"/>
      <c r="BA741" s="1305"/>
      <c r="BC741" s="169"/>
    </row>
    <row r="742" spans="19:55" ht="15.75" customHeight="1">
      <c r="S742" s="454"/>
      <c r="BA742" s="1305"/>
      <c r="BC742" s="169"/>
    </row>
    <row r="743" spans="19:55" ht="15.75" customHeight="1">
      <c r="S743" s="454"/>
      <c r="BA743" s="1305"/>
      <c r="BC743" s="169"/>
    </row>
    <row r="744" spans="19:55" ht="15.75" customHeight="1">
      <c r="S744" s="454"/>
      <c r="BA744" s="1305"/>
      <c r="BC744" s="169"/>
    </row>
    <row r="745" spans="19:55" ht="15.75" customHeight="1">
      <c r="S745" s="454"/>
      <c r="BA745" s="1305"/>
      <c r="BC745" s="169"/>
    </row>
    <row r="746" spans="19:55" ht="15.75" customHeight="1">
      <c r="S746" s="454"/>
      <c r="BA746" s="1305"/>
      <c r="BC746" s="169"/>
    </row>
    <row r="747" spans="19:55" ht="15.75" customHeight="1">
      <c r="S747" s="454"/>
      <c r="BA747" s="1305"/>
      <c r="BC747" s="169"/>
    </row>
    <row r="748" spans="19:55" ht="15.75" customHeight="1">
      <c r="S748" s="454"/>
      <c r="BA748" s="1305"/>
      <c r="BC748" s="169"/>
    </row>
    <row r="749" spans="19:55" ht="15.75" customHeight="1">
      <c r="S749" s="454"/>
      <c r="BA749" s="1305"/>
      <c r="BC749" s="169"/>
    </row>
    <row r="750" spans="19:55" ht="15.75" customHeight="1">
      <c r="S750" s="454"/>
      <c r="BA750" s="1305"/>
      <c r="BC750" s="169"/>
    </row>
    <row r="751" spans="19:55" ht="15.75" customHeight="1">
      <c r="S751" s="454"/>
      <c r="BA751" s="1305"/>
      <c r="BC751" s="169"/>
    </row>
    <row r="752" spans="19:55" ht="15.75" customHeight="1">
      <c r="S752" s="454"/>
      <c r="BA752" s="1305"/>
      <c r="BC752" s="169"/>
    </row>
    <row r="753" spans="19:55" ht="15.75" customHeight="1">
      <c r="S753" s="454"/>
      <c r="BA753" s="1305"/>
      <c r="BC753" s="169"/>
    </row>
    <row r="754" spans="19:55" ht="15.75" customHeight="1">
      <c r="S754" s="454"/>
      <c r="BA754" s="1305"/>
      <c r="BC754" s="169"/>
    </row>
    <row r="755" spans="19:55" ht="15.75" customHeight="1">
      <c r="S755" s="454"/>
      <c r="BA755" s="1305"/>
      <c r="BC755" s="169"/>
    </row>
    <row r="756" spans="19:55" ht="15.75" customHeight="1">
      <c r="S756" s="454"/>
      <c r="BA756" s="1305"/>
      <c r="BC756" s="169"/>
    </row>
    <row r="757" spans="19:55" ht="15.75" customHeight="1">
      <c r="S757" s="454"/>
      <c r="BA757" s="1305"/>
      <c r="BC757" s="169"/>
    </row>
    <row r="758" spans="19:55" ht="15.75" customHeight="1">
      <c r="S758" s="454"/>
      <c r="BA758" s="1305"/>
      <c r="BC758" s="169"/>
    </row>
    <row r="759" spans="19:55" ht="15.75" customHeight="1">
      <c r="S759" s="454"/>
      <c r="BA759" s="1305"/>
      <c r="BC759" s="169"/>
    </row>
    <row r="760" spans="19:55" ht="15.75" customHeight="1">
      <c r="S760" s="454"/>
      <c r="BA760" s="1305"/>
      <c r="BC760" s="169"/>
    </row>
    <row r="761" spans="19:55" ht="15.75" customHeight="1">
      <c r="S761" s="454"/>
      <c r="BA761" s="1305"/>
      <c r="BC761" s="169"/>
    </row>
    <row r="762" spans="19:55" ht="15.75" customHeight="1">
      <c r="S762" s="454"/>
      <c r="BA762" s="1305"/>
      <c r="BC762" s="169"/>
    </row>
    <row r="763" spans="19:55" ht="15.75" customHeight="1">
      <c r="S763" s="454"/>
      <c r="BA763" s="1305"/>
      <c r="BC763" s="169"/>
    </row>
    <row r="764" spans="19:55" ht="15.75" customHeight="1">
      <c r="S764" s="454"/>
      <c r="BA764" s="1305"/>
      <c r="BC764" s="169"/>
    </row>
    <row r="765" spans="19:55" ht="15.75" customHeight="1">
      <c r="S765" s="454"/>
      <c r="BA765" s="1305"/>
      <c r="BC765" s="169"/>
    </row>
    <row r="766" spans="19:55" ht="15.75" customHeight="1">
      <c r="S766" s="454"/>
      <c r="BA766" s="1305"/>
      <c r="BC766" s="169"/>
    </row>
    <row r="767" spans="19:55" ht="15.75" customHeight="1">
      <c r="S767" s="454"/>
      <c r="BA767" s="1305"/>
      <c r="BC767" s="169"/>
    </row>
    <row r="768" spans="19:55" ht="15.75" customHeight="1">
      <c r="S768" s="454"/>
      <c r="BA768" s="1305"/>
      <c r="BC768" s="169"/>
    </row>
    <row r="769" spans="19:55" ht="15.75" customHeight="1">
      <c r="S769" s="454"/>
      <c r="BA769" s="1305"/>
      <c r="BC769" s="169"/>
    </row>
    <row r="770" spans="19:55" ht="15.75" customHeight="1">
      <c r="S770" s="454"/>
      <c r="BA770" s="1305"/>
      <c r="BC770" s="169"/>
    </row>
    <row r="771" spans="19:55" ht="15.75" customHeight="1">
      <c r="S771" s="454"/>
      <c r="BA771" s="1305"/>
      <c r="BC771" s="169"/>
    </row>
    <row r="772" spans="19:55" ht="15.75" customHeight="1">
      <c r="S772" s="454"/>
      <c r="BA772" s="1305"/>
      <c r="BC772" s="169"/>
    </row>
    <row r="773" spans="19:55" ht="15.75" customHeight="1">
      <c r="S773" s="454"/>
      <c r="BA773" s="1305"/>
      <c r="BC773" s="169"/>
    </row>
    <row r="774" spans="19:55" ht="15.75" customHeight="1">
      <c r="S774" s="454"/>
      <c r="BA774" s="1305"/>
      <c r="BC774" s="169"/>
    </row>
    <row r="775" spans="19:55" ht="15.75" customHeight="1">
      <c r="S775" s="454"/>
      <c r="BA775" s="1305"/>
      <c r="BC775" s="169"/>
    </row>
    <row r="776" spans="19:55" ht="15.75" customHeight="1">
      <c r="S776" s="454"/>
      <c r="BA776" s="1305"/>
      <c r="BC776" s="169"/>
    </row>
    <row r="777" spans="19:55" ht="15.75" customHeight="1">
      <c r="S777" s="454"/>
      <c r="BA777" s="1305"/>
      <c r="BC777" s="169"/>
    </row>
    <row r="778" spans="19:55" ht="15.75" customHeight="1">
      <c r="S778" s="454"/>
      <c r="BA778" s="1305"/>
      <c r="BC778" s="169"/>
    </row>
    <row r="779" spans="19:55" ht="15.75" customHeight="1">
      <c r="S779" s="454"/>
      <c r="BA779" s="1305"/>
      <c r="BC779" s="169"/>
    </row>
    <row r="780" spans="19:55" ht="15.75" customHeight="1">
      <c r="S780" s="454"/>
      <c r="BA780" s="1305"/>
      <c r="BC780" s="169"/>
    </row>
    <row r="781" spans="19:55" ht="15.75" customHeight="1">
      <c r="S781" s="454"/>
      <c r="BA781" s="1305"/>
      <c r="BC781" s="169"/>
    </row>
    <row r="782" spans="19:55" ht="15.75" customHeight="1">
      <c r="S782" s="454"/>
      <c r="BA782" s="1305"/>
      <c r="BC782" s="169"/>
    </row>
    <row r="783" spans="19:55" ht="15.75" customHeight="1">
      <c r="S783" s="454"/>
      <c r="BA783" s="1305"/>
      <c r="BC783" s="169"/>
    </row>
    <row r="784" spans="19:55" ht="15.75" customHeight="1">
      <c r="S784" s="454"/>
      <c r="BA784" s="1305"/>
      <c r="BC784" s="169"/>
    </row>
    <row r="785" spans="19:55" ht="15.75" customHeight="1">
      <c r="S785" s="454"/>
      <c r="BA785" s="1305"/>
      <c r="BC785" s="169"/>
    </row>
    <row r="786" spans="19:55" ht="15.75" customHeight="1">
      <c r="S786" s="454"/>
      <c r="BA786" s="1305"/>
      <c r="BC786" s="169"/>
    </row>
    <row r="787" spans="19:55" ht="15.75" customHeight="1">
      <c r="S787" s="454"/>
      <c r="BA787" s="1305"/>
      <c r="BC787" s="169"/>
    </row>
    <row r="788" spans="19:55" ht="15.75" customHeight="1">
      <c r="S788" s="454"/>
      <c r="BA788" s="1305"/>
      <c r="BC788" s="169"/>
    </row>
    <row r="789" spans="19:55" ht="15.75" customHeight="1">
      <c r="S789" s="454"/>
      <c r="BA789" s="1305"/>
      <c r="BC789" s="169"/>
    </row>
    <row r="790" spans="19:55" ht="15.75" customHeight="1">
      <c r="S790" s="454"/>
      <c r="BA790" s="1305"/>
      <c r="BC790" s="169"/>
    </row>
    <row r="791" spans="19:55" ht="15.75" customHeight="1">
      <c r="S791" s="454"/>
      <c r="BA791" s="1305"/>
      <c r="BC791" s="169"/>
    </row>
    <row r="792" spans="19:55" ht="15.75" customHeight="1">
      <c r="S792" s="454"/>
      <c r="BA792" s="1305"/>
      <c r="BC792" s="169"/>
    </row>
    <row r="793" spans="19:55" ht="15.75" customHeight="1">
      <c r="S793" s="454"/>
      <c r="BA793" s="1305"/>
      <c r="BC793" s="169"/>
    </row>
    <row r="794" spans="19:55" ht="15.75" customHeight="1">
      <c r="S794" s="454"/>
      <c r="BA794" s="1305"/>
      <c r="BC794" s="169"/>
    </row>
    <row r="795" spans="19:55" ht="15.75" customHeight="1">
      <c r="S795" s="454"/>
      <c r="BA795" s="1305"/>
      <c r="BC795" s="169"/>
    </row>
    <row r="796" spans="19:55" ht="15.75" customHeight="1">
      <c r="S796" s="454"/>
      <c r="BA796" s="1305"/>
      <c r="BC796" s="169"/>
    </row>
    <row r="797" spans="19:55" ht="15.75" customHeight="1">
      <c r="S797" s="454"/>
      <c r="BA797" s="1305"/>
      <c r="BC797" s="169"/>
    </row>
    <row r="798" spans="19:55" ht="15.75" customHeight="1">
      <c r="S798" s="454"/>
      <c r="BA798" s="1305"/>
      <c r="BC798" s="169"/>
    </row>
    <row r="799" spans="19:55" ht="15.75" customHeight="1">
      <c r="S799" s="454"/>
      <c r="BA799" s="1305"/>
      <c r="BC799" s="169"/>
    </row>
    <row r="800" spans="19:55" ht="15.75" customHeight="1">
      <c r="S800" s="454"/>
      <c r="BA800" s="1305"/>
      <c r="BC800" s="169"/>
    </row>
    <row r="801" spans="19:55" ht="15.75" customHeight="1">
      <c r="S801" s="454"/>
      <c r="BA801" s="1305"/>
      <c r="BC801" s="169"/>
    </row>
    <row r="802" spans="19:55" ht="15.75" customHeight="1">
      <c r="S802" s="454"/>
      <c r="BA802" s="1305"/>
      <c r="BC802" s="169"/>
    </row>
    <row r="803" spans="19:55" ht="15.75" customHeight="1">
      <c r="S803" s="454"/>
      <c r="BA803" s="1305"/>
      <c r="BC803" s="169"/>
    </row>
    <row r="804" spans="19:55" ht="15.75" customHeight="1">
      <c r="S804" s="454"/>
      <c r="BA804" s="1305"/>
      <c r="BC804" s="169"/>
    </row>
    <row r="805" spans="19:55" ht="15.75" customHeight="1">
      <c r="S805" s="454"/>
      <c r="BA805" s="1305"/>
      <c r="BC805" s="169"/>
    </row>
    <row r="806" spans="19:55" ht="15.75" customHeight="1">
      <c r="S806" s="454"/>
      <c r="BA806" s="1305"/>
      <c r="BC806" s="169"/>
    </row>
    <row r="807" spans="19:55" ht="15.75" customHeight="1">
      <c r="S807" s="454"/>
      <c r="BA807" s="1305"/>
      <c r="BC807" s="169"/>
    </row>
    <row r="808" spans="19:55" ht="15.75" customHeight="1">
      <c r="S808" s="454"/>
      <c r="BA808" s="1305"/>
      <c r="BC808" s="169"/>
    </row>
    <row r="809" spans="19:55" ht="15.75" customHeight="1">
      <c r="S809" s="454"/>
      <c r="BA809" s="1305"/>
      <c r="BC809" s="169"/>
    </row>
    <row r="810" spans="19:55" ht="15.75" customHeight="1">
      <c r="S810" s="454"/>
      <c r="BA810" s="1305"/>
      <c r="BC810" s="169"/>
    </row>
    <row r="811" spans="19:55" ht="15.75" customHeight="1">
      <c r="S811" s="454"/>
      <c r="BA811" s="1305"/>
      <c r="BC811" s="169"/>
    </row>
    <row r="812" spans="19:55" ht="15.75" customHeight="1">
      <c r="S812" s="454"/>
      <c r="BA812" s="1305"/>
      <c r="BC812" s="169"/>
    </row>
    <row r="813" spans="19:55" ht="15.75" customHeight="1">
      <c r="S813" s="454"/>
      <c r="BA813" s="1305"/>
      <c r="BC813" s="169"/>
    </row>
    <row r="814" spans="19:55" ht="15.75" customHeight="1">
      <c r="S814" s="454"/>
      <c r="BA814" s="1305"/>
      <c r="BC814" s="169"/>
    </row>
    <row r="815" spans="19:55" ht="15.75" customHeight="1">
      <c r="S815" s="454"/>
      <c r="BA815" s="1305"/>
      <c r="BC815" s="169"/>
    </row>
    <row r="816" spans="19:55" ht="15.75" customHeight="1">
      <c r="S816" s="454"/>
      <c r="BA816" s="1305"/>
      <c r="BC816" s="169"/>
    </row>
    <row r="817" spans="19:55" ht="15.75" customHeight="1">
      <c r="S817" s="454"/>
      <c r="BA817" s="1305"/>
      <c r="BC817" s="169"/>
    </row>
    <row r="818" spans="19:55" ht="15.75" customHeight="1">
      <c r="S818" s="454"/>
      <c r="BA818" s="1305"/>
      <c r="BC818" s="169"/>
    </row>
    <row r="819" spans="19:55" ht="15.75" customHeight="1">
      <c r="S819" s="454"/>
      <c r="BA819" s="1305"/>
      <c r="BC819" s="169"/>
    </row>
    <row r="820" spans="19:55" ht="15.75" customHeight="1">
      <c r="S820" s="454"/>
      <c r="BA820" s="1305"/>
      <c r="BC820" s="169"/>
    </row>
    <row r="821" spans="19:55" ht="15.75" customHeight="1">
      <c r="S821" s="454"/>
      <c r="BA821" s="1305"/>
      <c r="BC821" s="169"/>
    </row>
    <row r="822" spans="19:55" ht="15.75" customHeight="1">
      <c r="S822" s="454"/>
      <c r="BA822" s="1305"/>
      <c r="BC822" s="169"/>
    </row>
    <row r="823" spans="19:55" ht="15.75" customHeight="1">
      <c r="S823" s="454"/>
      <c r="BA823" s="1305"/>
      <c r="BC823" s="169"/>
    </row>
    <row r="824" spans="19:55" ht="15.75" customHeight="1">
      <c r="S824" s="454"/>
      <c r="BA824" s="1305"/>
      <c r="BC824" s="169"/>
    </row>
    <row r="825" spans="19:55" ht="15.75" customHeight="1">
      <c r="S825" s="454"/>
      <c r="BA825" s="1305"/>
      <c r="BC825" s="169"/>
    </row>
    <row r="826" spans="19:55" ht="15.75" customHeight="1">
      <c r="S826" s="454"/>
      <c r="BA826" s="1305"/>
      <c r="BC826" s="169"/>
    </row>
    <row r="827" spans="19:55" ht="15.75" customHeight="1">
      <c r="S827" s="454"/>
      <c r="BA827" s="1305"/>
      <c r="BC827" s="169"/>
    </row>
    <row r="828" spans="19:55" ht="15.75" customHeight="1">
      <c r="S828" s="454"/>
      <c r="BA828" s="1305"/>
      <c r="BC828" s="169"/>
    </row>
    <row r="829" spans="19:55" ht="15.75" customHeight="1">
      <c r="S829" s="454"/>
      <c r="BA829" s="1305"/>
      <c r="BC829" s="169"/>
    </row>
    <row r="830" spans="19:55" ht="15.75" customHeight="1">
      <c r="S830" s="454"/>
      <c r="BA830" s="1305"/>
      <c r="BC830" s="169"/>
    </row>
    <row r="831" spans="19:55" ht="15.75" customHeight="1">
      <c r="S831" s="454"/>
      <c r="BA831" s="1305"/>
      <c r="BC831" s="169"/>
    </row>
    <row r="832" spans="19:55" ht="15.75" customHeight="1">
      <c r="S832" s="454"/>
      <c r="BA832" s="1305"/>
      <c r="BC832" s="169"/>
    </row>
    <row r="833" spans="19:55" ht="15.75" customHeight="1">
      <c r="S833" s="454"/>
      <c r="BA833" s="1305"/>
      <c r="BC833" s="169"/>
    </row>
    <row r="834" spans="19:55" ht="15.75" customHeight="1">
      <c r="S834" s="454"/>
      <c r="BA834" s="1305"/>
      <c r="BC834" s="169"/>
    </row>
    <row r="835" spans="19:55" ht="15.75" customHeight="1">
      <c r="S835" s="454"/>
      <c r="BA835" s="1305"/>
      <c r="BC835" s="169"/>
    </row>
    <row r="836" spans="19:55" ht="15.75" customHeight="1">
      <c r="S836" s="454"/>
      <c r="BA836" s="1305"/>
      <c r="BC836" s="169"/>
    </row>
    <row r="837" spans="19:55" ht="15.75" customHeight="1">
      <c r="S837" s="454"/>
      <c r="BA837" s="1305"/>
      <c r="BC837" s="169"/>
    </row>
    <row r="838" spans="19:55" ht="15.75" customHeight="1">
      <c r="S838" s="454"/>
      <c r="BA838" s="1305"/>
      <c r="BC838" s="169"/>
    </row>
    <row r="839" spans="19:55" ht="15.75" customHeight="1">
      <c r="S839" s="454"/>
      <c r="BA839" s="1305"/>
      <c r="BC839" s="169"/>
    </row>
    <row r="840" spans="19:55" ht="15.75" customHeight="1">
      <c r="S840" s="454"/>
      <c r="BA840" s="1305"/>
      <c r="BC840" s="169"/>
    </row>
    <row r="841" spans="19:55" ht="15.75" customHeight="1">
      <c r="S841" s="454"/>
      <c r="BA841" s="1305"/>
      <c r="BC841" s="169"/>
    </row>
    <row r="842" spans="19:55" ht="15.75" customHeight="1">
      <c r="S842" s="454"/>
      <c r="BA842" s="1305"/>
      <c r="BC842" s="169"/>
    </row>
    <row r="843" spans="19:55" ht="15.75" customHeight="1">
      <c r="S843" s="454"/>
      <c r="BA843" s="1305"/>
      <c r="BC843" s="169"/>
    </row>
    <row r="844" spans="19:55" ht="15.75" customHeight="1">
      <c r="S844" s="454"/>
      <c r="BA844" s="1305"/>
      <c r="BC844" s="169"/>
    </row>
    <row r="845" spans="19:55" ht="15.75" customHeight="1">
      <c r="S845" s="454"/>
      <c r="BA845" s="1305"/>
      <c r="BC845" s="169"/>
    </row>
    <row r="846" spans="19:55" ht="15.75" customHeight="1">
      <c r="S846" s="454"/>
      <c r="BA846" s="1305"/>
      <c r="BC846" s="169"/>
    </row>
    <row r="847" spans="19:55" ht="15.75" customHeight="1">
      <c r="S847" s="454"/>
      <c r="BA847" s="1305"/>
      <c r="BC847" s="169"/>
    </row>
    <row r="848" spans="19:55" ht="15.75" customHeight="1">
      <c r="S848" s="454"/>
      <c r="BA848" s="1305"/>
      <c r="BC848" s="169"/>
    </row>
    <row r="849" spans="19:55" ht="15.75" customHeight="1">
      <c r="S849" s="454"/>
      <c r="BA849" s="1305"/>
      <c r="BC849" s="169"/>
    </row>
    <row r="850" spans="19:55" ht="15.75" customHeight="1">
      <c r="S850" s="454"/>
      <c r="BA850" s="1305"/>
      <c r="BC850" s="169"/>
    </row>
    <row r="851" spans="19:55" ht="15.75" customHeight="1">
      <c r="S851" s="454"/>
      <c r="BA851" s="1305"/>
      <c r="BC851" s="169"/>
    </row>
    <row r="852" spans="19:55" ht="15.75" customHeight="1">
      <c r="S852" s="454"/>
      <c r="BA852" s="1305"/>
      <c r="BC852" s="169"/>
    </row>
    <row r="853" spans="19:55" ht="15.75" customHeight="1">
      <c r="S853" s="454"/>
      <c r="BA853" s="1305"/>
      <c r="BC853" s="169"/>
    </row>
    <row r="854" spans="19:55" ht="15.75" customHeight="1">
      <c r="S854" s="454"/>
      <c r="BA854" s="1305"/>
      <c r="BC854" s="169"/>
    </row>
    <row r="855" spans="19:55" ht="15.75" customHeight="1">
      <c r="S855" s="454"/>
      <c r="BA855" s="1305"/>
      <c r="BC855" s="169"/>
    </row>
    <row r="856" spans="19:55" ht="15.75" customHeight="1">
      <c r="S856" s="454"/>
      <c r="BA856" s="1305"/>
      <c r="BC856" s="169"/>
    </row>
    <row r="857" spans="19:55" ht="15.75" customHeight="1">
      <c r="S857" s="454"/>
      <c r="BA857" s="1305"/>
      <c r="BC857" s="169"/>
    </row>
    <row r="858" spans="19:55" ht="15.75" customHeight="1">
      <c r="S858" s="454"/>
      <c r="BA858" s="1305"/>
      <c r="BC858" s="169"/>
    </row>
    <row r="859" spans="19:55" ht="15.75" customHeight="1">
      <c r="S859" s="454"/>
      <c r="BA859" s="1305"/>
      <c r="BC859" s="169"/>
    </row>
    <row r="860" spans="19:55" ht="15.75" customHeight="1">
      <c r="S860" s="454"/>
      <c r="BA860" s="1305"/>
      <c r="BC860" s="169"/>
    </row>
    <row r="861" spans="19:55" ht="15.75" customHeight="1">
      <c r="S861" s="454"/>
      <c r="BA861" s="1305"/>
      <c r="BC861" s="169"/>
    </row>
    <row r="862" spans="19:55" ht="15.75" customHeight="1">
      <c r="S862" s="454"/>
      <c r="BA862" s="1305"/>
      <c r="BC862" s="169"/>
    </row>
    <row r="863" spans="19:55" ht="15.75" customHeight="1">
      <c r="S863" s="454"/>
      <c r="BA863" s="1305"/>
      <c r="BC863" s="169"/>
    </row>
    <row r="864" spans="19:55" ht="15.75" customHeight="1">
      <c r="S864" s="454"/>
      <c r="BA864" s="1305"/>
      <c r="BC864" s="169"/>
    </row>
    <row r="865" spans="19:55" ht="15.75" customHeight="1">
      <c r="S865" s="454"/>
      <c r="BA865" s="1305"/>
      <c r="BC865" s="169"/>
    </row>
    <row r="866" spans="19:55" ht="15.75" customHeight="1">
      <c r="S866" s="454"/>
      <c r="BA866" s="1305"/>
      <c r="BC866" s="169"/>
    </row>
    <row r="867" spans="19:55" ht="15.75" customHeight="1">
      <c r="S867" s="454"/>
      <c r="BA867" s="1305"/>
      <c r="BC867" s="169"/>
    </row>
    <row r="868" spans="19:55" ht="15.75" customHeight="1">
      <c r="S868" s="454"/>
      <c r="BA868" s="1305"/>
      <c r="BC868" s="169"/>
    </row>
    <row r="869" spans="19:55" ht="15.75" customHeight="1">
      <c r="S869" s="454"/>
      <c r="BA869" s="1305"/>
      <c r="BC869" s="169"/>
    </row>
    <row r="870" spans="19:55" ht="15.75" customHeight="1">
      <c r="S870" s="454"/>
      <c r="BA870" s="1305"/>
      <c r="BC870" s="169"/>
    </row>
    <row r="871" spans="19:55" ht="15.75" customHeight="1">
      <c r="S871" s="454"/>
      <c r="BA871" s="1305"/>
      <c r="BC871" s="169"/>
    </row>
    <row r="872" spans="19:55" ht="15.75" customHeight="1">
      <c r="S872" s="454"/>
      <c r="BA872" s="1305"/>
      <c r="BC872" s="169"/>
    </row>
    <row r="873" spans="19:55" ht="15.75" customHeight="1">
      <c r="S873" s="454"/>
      <c r="BA873" s="1305"/>
      <c r="BC873" s="169"/>
    </row>
    <row r="874" spans="19:55" ht="15.75" customHeight="1">
      <c r="S874" s="454"/>
      <c r="BA874" s="1305"/>
      <c r="BC874" s="169"/>
    </row>
    <row r="875" spans="19:55" ht="15.75" customHeight="1">
      <c r="S875" s="454"/>
      <c r="BA875" s="1305"/>
      <c r="BC875" s="169"/>
    </row>
    <row r="876" spans="19:55" ht="15.75" customHeight="1">
      <c r="S876" s="454"/>
      <c r="BA876" s="1305"/>
      <c r="BC876" s="169"/>
    </row>
    <row r="877" spans="19:55" ht="15.75" customHeight="1">
      <c r="S877" s="454"/>
      <c r="BA877" s="1305"/>
      <c r="BC877" s="169"/>
    </row>
    <row r="878" spans="19:55" ht="15.75" customHeight="1">
      <c r="S878" s="454"/>
      <c r="BA878" s="1305"/>
      <c r="BC878" s="169"/>
    </row>
    <row r="879" spans="19:55" ht="15.75" customHeight="1">
      <c r="S879" s="454"/>
      <c r="BA879" s="1305"/>
      <c r="BC879" s="169"/>
    </row>
    <row r="880" spans="19:55" ht="15.75" customHeight="1">
      <c r="S880" s="454"/>
      <c r="BA880" s="1305"/>
      <c r="BC880" s="169"/>
    </row>
    <row r="881" spans="19:55" ht="15.75" customHeight="1">
      <c r="S881" s="454"/>
      <c r="BA881" s="1305"/>
      <c r="BC881" s="169"/>
    </row>
    <row r="882" spans="19:55" ht="15.75" customHeight="1">
      <c r="S882" s="454"/>
      <c r="BA882" s="1305"/>
      <c r="BC882" s="169"/>
    </row>
    <row r="883" spans="19:55" ht="15.75" customHeight="1">
      <c r="S883" s="454"/>
      <c r="BA883" s="1305"/>
      <c r="BC883" s="169"/>
    </row>
    <row r="884" spans="19:55" ht="15.75" customHeight="1">
      <c r="S884" s="454"/>
      <c r="BA884" s="1305"/>
      <c r="BC884" s="169"/>
    </row>
    <row r="885" spans="19:55" ht="15.75" customHeight="1">
      <c r="S885" s="454"/>
      <c r="BA885" s="1305"/>
      <c r="BC885" s="169"/>
    </row>
    <row r="886" spans="19:55" ht="15.75" customHeight="1">
      <c r="S886" s="454"/>
      <c r="BA886" s="1305"/>
      <c r="BC886" s="169"/>
    </row>
    <row r="887" spans="19:55" ht="15.75" customHeight="1">
      <c r="S887" s="454"/>
      <c r="BA887" s="1305"/>
      <c r="BC887" s="169"/>
    </row>
    <row r="888" spans="19:55" ht="15.75" customHeight="1">
      <c r="S888" s="454"/>
      <c r="BA888" s="1305"/>
      <c r="BC888" s="169"/>
    </row>
    <row r="889" spans="19:55" ht="15.75" customHeight="1">
      <c r="S889" s="454"/>
      <c r="BA889" s="1305"/>
      <c r="BC889" s="169"/>
    </row>
    <row r="890" spans="19:55" ht="15.75" customHeight="1">
      <c r="S890" s="454"/>
      <c r="BA890" s="1305"/>
      <c r="BC890" s="169"/>
    </row>
    <row r="891" spans="19:55" ht="15.75" customHeight="1">
      <c r="S891" s="454"/>
      <c r="BA891" s="1305"/>
      <c r="BC891" s="169"/>
    </row>
    <row r="892" spans="19:55" ht="15.75" customHeight="1">
      <c r="S892" s="454"/>
      <c r="BA892" s="1305"/>
      <c r="BC892" s="169"/>
    </row>
    <row r="893" spans="19:55" ht="15.75" customHeight="1">
      <c r="S893" s="454"/>
      <c r="BA893" s="1305"/>
      <c r="BC893" s="169"/>
    </row>
    <row r="894" spans="19:55" ht="15.75" customHeight="1">
      <c r="S894" s="454"/>
      <c r="BA894" s="1305"/>
      <c r="BC894" s="169"/>
    </row>
    <row r="895" spans="19:55" ht="15.75" customHeight="1">
      <c r="S895" s="454"/>
      <c r="BA895" s="1305"/>
      <c r="BC895" s="169"/>
    </row>
    <row r="896" spans="19:55" ht="15.75" customHeight="1">
      <c r="S896" s="454"/>
      <c r="BA896" s="1305"/>
      <c r="BC896" s="169"/>
    </row>
    <row r="897" spans="19:55" ht="15.75" customHeight="1">
      <c r="S897" s="454"/>
      <c r="BA897" s="1305"/>
      <c r="BC897" s="169"/>
    </row>
    <row r="898" spans="19:55" ht="15.75" customHeight="1">
      <c r="S898" s="454"/>
      <c r="BA898" s="1305"/>
      <c r="BC898" s="169"/>
    </row>
    <row r="899" spans="19:55" ht="15.75" customHeight="1">
      <c r="S899" s="454"/>
      <c r="BA899" s="1305"/>
      <c r="BC899" s="169"/>
    </row>
    <row r="900" spans="19:55" ht="15.75" customHeight="1">
      <c r="S900" s="454"/>
      <c r="BA900" s="1305"/>
      <c r="BC900" s="169"/>
    </row>
    <row r="901" spans="19:55" ht="15.75" customHeight="1">
      <c r="S901" s="454"/>
      <c r="BA901" s="1305"/>
      <c r="BC901" s="169"/>
    </row>
    <row r="902" spans="19:55" ht="15.75" customHeight="1">
      <c r="S902" s="454"/>
      <c r="BA902" s="1305"/>
      <c r="BC902" s="169"/>
    </row>
    <row r="903" spans="19:55" ht="15.75" customHeight="1">
      <c r="S903" s="454"/>
      <c r="BA903" s="1305"/>
      <c r="BC903" s="169"/>
    </row>
    <row r="904" spans="19:55" ht="15.75" customHeight="1">
      <c r="S904" s="454"/>
      <c r="BA904" s="1305"/>
      <c r="BC904" s="169"/>
    </row>
    <row r="905" spans="19:55" ht="15.75" customHeight="1">
      <c r="S905" s="454"/>
      <c r="BA905" s="1305"/>
      <c r="BC905" s="169"/>
    </row>
    <row r="906" spans="19:55" ht="15.75" customHeight="1">
      <c r="S906" s="454"/>
      <c r="BA906" s="1305"/>
      <c r="BC906" s="169"/>
    </row>
    <row r="907" spans="19:55" ht="15.75" customHeight="1">
      <c r="S907" s="454"/>
      <c r="BA907" s="1305"/>
      <c r="BC907" s="169"/>
    </row>
    <row r="908" spans="19:55" ht="15.75" customHeight="1">
      <c r="S908" s="454"/>
      <c r="BA908" s="1305"/>
      <c r="BC908" s="169"/>
    </row>
    <row r="909" spans="19:55" ht="15.75" customHeight="1">
      <c r="S909" s="454"/>
      <c r="BA909" s="1305"/>
      <c r="BC909" s="169"/>
    </row>
    <row r="910" spans="19:55" ht="15.75" customHeight="1">
      <c r="S910" s="454"/>
      <c r="BA910" s="1305"/>
      <c r="BC910" s="169"/>
    </row>
    <row r="911" spans="19:55" ht="15.75" customHeight="1">
      <c r="S911" s="454"/>
      <c r="BA911" s="1305"/>
      <c r="BC911" s="169"/>
    </row>
    <row r="912" spans="19:55" ht="15.75" customHeight="1">
      <c r="S912" s="454"/>
      <c r="BA912" s="1305"/>
      <c r="BC912" s="169"/>
    </row>
    <row r="913" spans="19:55" ht="15.75" customHeight="1">
      <c r="S913" s="454"/>
      <c r="BA913" s="1305"/>
      <c r="BC913" s="169"/>
    </row>
    <row r="914" spans="19:55" ht="15.75" customHeight="1">
      <c r="S914" s="454"/>
      <c r="BA914" s="1305"/>
      <c r="BC914" s="169"/>
    </row>
    <row r="915" spans="19:55" ht="15.75" customHeight="1">
      <c r="S915" s="454"/>
      <c r="BA915" s="1305"/>
      <c r="BC915" s="169"/>
    </row>
    <row r="916" spans="19:55" ht="15.75" customHeight="1">
      <c r="S916" s="454"/>
      <c r="BA916" s="1305"/>
      <c r="BC916" s="169"/>
    </row>
    <row r="917" spans="19:55" ht="15.75" customHeight="1">
      <c r="S917" s="454"/>
      <c r="BA917" s="1305"/>
      <c r="BC917" s="169"/>
    </row>
    <row r="918" spans="19:55" ht="15.75" customHeight="1">
      <c r="S918" s="454"/>
      <c r="BA918" s="1305"/>
      <c r="BC918" s="169"/>
    </row>
    <row r="919" spans="19:55" ht="15.75" customHeight="1">
      <c r="S919" s="454"/>
      <c r="BA919" s="1305"/>
      <c r="BC919" s="169"/>
    </row>
    <row r="920" spans="19:55" ht="15.75" customHeight="1">
      <c r="S920" s="454"/>
      <c r="BA920" s="1305"/>
      <c r="BC920" s="169"/>
    </row>
    <row r="921" spans="19:55" ht="15.75" customHeight="1">
      <c r="S921" s="454"/>
      <c r="BA921" s="1305"/>
      <c r="BC921" s="169"/>
    </row>
    <row r="922" spans="19:55" ht="15.75" customHeight="1">
      <c r="S922" s="454"/>
      <c r="BA922" s="1305"/>
      <c r="BC922" s="169"/>
    </row>
    <row r="923" spans="19:55" ht="15.75" customHeight="1">
      <c r="S923" s="454"/>
      <c r="BA923" s="1305"/>
      <c r="BC923" s="169"/>
    </row>
    <row r="924" spans="19:55" ht="15.75" customHeight="1">
      <c r="S924" s="454"/>
      <c r="BA924" s="1305"/>
      <c r="BC924" s="169"/>
    </row>
    <row r="925" spans="19:55" ht="15.75" customHeight="1">
      <c r="S925" s="454"/>
      <c r="BA925" s="1305"/>
      <c r="BC925" s="169"/>
    </row>
    <row r="926" spans="19:55" ht="15.75" customHeight="1">
      <c r="S926" s="454"/>
      <c r="BA926" s="1305"/>
      <c r="BC926" s="169"/>
    </row>
    <row r="927" spans="19:55" ht="15.75" customHeight="1">
      <c r="S927" s="454"/>
      <c r="BA927" s="1305"/>
      <c r="BC927" s="169"/>
    </row>
    <row r="928" spans="19:55" ht="15.75" customHeight="1">
      <c r="S928" s="454"/>
      <c r="BA928" s="1305"/>
      <c r="BC928" s="169"/>
    </row>
    <row r="929" spans="19:55" ht="15.75" customHeight="1">
      <c r="S929" s="454"/>
      <c r="BA929" s="1305"/>
      <c r="BC929" s="169"/>
    </row>
    <row r="930" spans="19:55" ht="15.75" customHeight="1">
      <c r="S930" s="454"/>
      <c r="BA930" s="1305"/>
      <c r="BC930" s="169"/>
    </row>
    <row r="931" spans="19:55" ht="15.75" customHeight="1">
      <c r="S931" s="454"/>
      <c r="BA931" s="1305"/>
      <c r="BC931" s="169"/>
    </row>
    <row r="932" spans="19:55" ht="15.75" customHeight="1">
      <c r="S932" s="454"/>
      <c r="BA932" s="1305"/>
      <c r="BC932" s="169"/>
    </row>
    <row r="933" spans="19:55" ht="15.75" customHeight="1">
      <c r="S933" s="454"/>
      <c r="BA933" s="1305"/>
      <c r="BC933" s="169"/>
    </row>
    <row r="934" spans="19:55" ht="15.75" customHeight="1">
      <c r="S934" s="454"/>
      <c r="BA934" s="1305"/>
      <c r="BC934" s="169"/>
    </row>
    <row r="935" spans="19:55" ht="15.75" customHeight="1">
      <c r="S935" s="454"/>
      <c r="BA935" s="1305"/>
      <c r="BC935" s="169"/>
    </row>
    <row r="936" spans="19:55" ht="15.75" customHeight="1">
      <c r="S936" s="454"/>
      <c r="BA936" s="1305"/>
      <c r="BC936" s="169"/>
    </row>
    <row r="937" spans="19:55" ht="15.75" customHeight="1">
      <c r="S937" s="454"/>
      <c r="BA937" s="1305"/>
      <c r="BC937" s="169"/>
    </row>
    <row r="938" spans="19:55" ht="15.75" customHeight="1">
      <c r="S938" s="454"/>
      <c r="BA938" s="1305"/>
      <c r="BC938" s="169"/>
    </row>
    <row r="939" spans="19:55" ht="15.75" customHeight="1">
      <c r="S939" s="454"/>
      <c r="BA939" s="1305"/>
      <c r="BC939" s="169"/>
    </row>
    <row r="940" spans="19:55" ht="15.75" customHeight="1">
      <c r="S940" s="454"/>
      <c r="BA940" s="1305"/>
      <c r="BC940" s="169"/>
    </row>
    <row r="941" spans="19:55" ht="15.75" customHeight="1">
      <c r="S941" s="454"/>
      <c r="BA941" s="1305"/>
      <c r="BC941" s="169"/>
    </row>
    <row r="942" spans="19:55" ht="15.75" customHeight="1">
      <c r="S942" s="454"/>
      <c r="BA942" s="1305"/>
      <c r="BC942" s="169"/>
    </row>
    <row r="943" spans="19:55" ht="15.75" customHeight="1">
      <c r="S943" s="454"/>
      <c r="BA943" s="1305"/>
      <c r="BC943" s="169"/>
    </row>
    <row r="944" spans="19:55" ht="15.75" customHeight="1">
      <c r="S944" s="454"/>
      <c r="BA944" s="1305"/>
      <c r="BC944" s="169"/>
    </row>
    <row r="945" spans="19:55" ht="15.75" customHeight="1">
      <c r="S945" s="454"/>
      <c r="BA945" s="1305"/>
      <c r="BC945" s="169"/>
    </row>
    <row r="946" spans="19:55" ht="15.75" customHeight="1">
      <c r="S946" s="454"/>
      <c r="BA946" s="1305"/>
      <c r="BC946" s="169"/>
    </row>
    <row r="947" spans="19:55" ht="15.75" customHeight="1">
      <c r="S947" s="454"/>
      <c r="BA947" s="1305"/>
      <c r="BC947" s="169"/>
    </row>
    <row r="948" spans="19:55" ht="15.75" customHeight="1">
      <c r="S948" s="454"/>
      <c r="BA948" s="1305"/>
      <c r="BC948" s="169"/>
    </row>
    <row r="949" spans="19:55" ht="15.75" customHeight="1">
      <c r="S949" s="454"/>
      <c r="BA949" s="1305"/>
      <c r="BC949" s="169"/>
    </row>
    <row r="950" spans="19:55" ht="15.75" customHeight="1">
      <c r="S950" s="454"/>
      <c r="BA950" s="1305"/>
      <c r="BC950" s="169"/>
    </row>
    <row r="951" spans="19:55" ht="15.75" customHeight="1">
      <c r="S951" s="454"/>
      <c r="BA951" s="1305"/>
      <c r="BC951" s="169"/>
    </row>
    <row r="952" spans="19:55" ht="15.75" customHeight="1">
      <c r="S952" s="454"/>
      <c r="BA952" s="1305"/>
      <c r="BC952" s="169"/>
    </row>
    <row r="953" spans="19:55" ht="15.75" customHeight="1">
      <c r="S953" s="454"/>
      <c r="BA953" s="1305"/>
      <c r="BC953" s="169"/>
    </row>
    <row r="954" spans="19:55" ht="15.75" customHeight="1">
      <c r="S954" s="454"/>
      <c r="BA954" s="1305"/>
      <c r="BC954" s="169"/>
    </row>
    <row r="955" spans="19:55" ht="15.75" customHeight="1">
      <c r="S955" s="454"/>
      <c r="BA955" s="1305"/>
      <c r="BC955" s="169"/>
    </row>
    <row r="956" spans="19:55" ht="15.75" customHeight="1">
      <c r="S956" s="454"/>
      <c r="BA956" s="1305"/>
      <c r="BC956" s="169"/>
    </row>
    <row r="957" spans="19:55" ht="15.75" customHeight="1">
      <c r="S957" s="454"/>
      <c r="BA957" s="1305"/>
      <c r="BC957" s="169"/>
    </row>
    <row r="958" spans="19:55" ht="15.75" customHeight="1">
      <c r="S958" s="454"/>
      <c r="BA958" s="1305"/>
      <c r="BC958" s="169"/>
    </row>
    <row r="959" spans="19:55" ht="15.75" customHeight="1">
      <c r="S959" s="454"/>
      <c r="BA959" s="1305"/>
      <c r="BC959" s="169"/>
    </row>
    <row r="960" spans="19:55" ht="15.75" customHeight="1">
      <c r="S960" s="454"/>
      <c r="BA960" s="1305"/>
      <c r="BC960" s="169"/>
    </row>
    <row r="961" spans="19:55" ht="15.75" customHeight="1">
      <c r="S961" s="454"/>
      <c r="BA961" s="1305"/>
      <c r="BC961" s="169"/>
    </row>
    <row r="962" spans="19:55" ht="15.75" customHeight="1">
      <c r="S962" s="454"/>
      <c r="BA962" s="1305"/>
      <c r="BC962" s="169"/>
    </row>
    <row r="963" spans="19:55" ht="15.75" customHeight="1">
      <c r="S963" s="454"/>
      <c r="BA963" s="1305"/>
      <c r="BC963" s="169"/>
    </row>
    <row r="964" spans="19:55" ht="15.75" customHeight="1">
      <c r="S964" s="454"/>
      <c r="BA964" s="1305"/>
      <c r="BC964" s="169"/>
    </row>
    <row r="965" spans="19:55" ht="15.75" customHeight="1">
      <c r="S965" s="454"/>
      <c r="BA965" s="1305"/>
      <c r="BC965" s="169"/>
    </row>
    <row r="966" spans="19:55" ht="15.75" customHeight="1">
      <c r="S966" s="454"/>
      <c r="BA966" s="1305"/>
      <c r="BC966" s="169"/>
    </row>
    <row r="967" spans="19:55" ht="15.75" customHeight="1">
      <c r="S967" s="454"/>
      <c r="BA967" s="1305"/>
      <c r="BC967" s="169"/>
    </row>
    <row r="968" spans="19:55" ht="15.75" customHeight="1">
      <c r="S968" s="454"/>
      <c r="BA968" s="1305"/>
      <c r="BC968" s="169"/>
    </row>
    <row r="969" spans="19:55" ht="15.75" customHeight="1">
      <c r="S969" s="454"/>
      <c r="BA969" s="1305"/>
      <c r="BC969" s="169"/>
    </row>
    <row r="970" spans="19:55" ht="15.75" customHeight="1">
      <c r="S970" s="454"/>
      <c r="BA970" s="1305"/>
      <c r="BC970" s="169"/>
    </row>
    <row r="971" spans="19:55" ht="15.75" customHeight="1">
      <c r="S971" s="454"/>
      <c r="BA971" s="1305"/>
      <c r="BC971" s="169"/>
    </row>
    <row r="972" spans="19:55" ht="15.75" customHeight="1">
      <c r="S972" s="454"/>
      <c r="BA972" s="1305"/>
      <c r="BC972" s="169"/>
    </row>
    <row r="973" spans="19:55" ht="15.75" customHeight="1">
      <c r="S973" s="454"/>
      <c r="BA973" s="1305"/>
      <c r="BC973" s="169"/>
    </row>
    <row r="974" spans="19:55" ht="15.75" customHeight="1">
      <c r="S974" s="454"/>
      <c r="BA974" s="1305"/>
      <c r="BC974" s="169"/>
    </row>
    <row r="975" spans="19:55" ht="15.75" customHeight="1">
      <c r="S975" s="454"/>
      <c r="BA975" s="1305"/>
      <c r="BC975" s="169"/>
    </row>
    <row r="976" spans="19:55" ht="15.75" customHeight="1">
      <c r="S976" s="454"/>
      <c r="BA976" s="1305"/>
      <c r="BC976" s="169"/>
    </row>
    <row r="977" spans="19:55" ht="15.75" customHeight="1">
      <c r="S977" s="454"/>
      <c r="BA977" s="1305"/>
      <c r="BC977" s="169"/>
    </row>
    <row r="978" spans="19:55" ht="15.75" customHeight="1">
      <c r="S978" s="454"/>
      <c r="BA978" s="1305"/>
      <c r="BC978" s="169"/>
    </row>
    <row r="979" spans="19:55" ht="15.75" customHeight="1">
      <c r="S979" s="454"/>
      <c r="BA979" s="1305"/>
      <c r="BC979" s="169"/>
    </row>
    <row r="980" spans="19:55" ht="15.75" customHeight="1">
      <c r="S980" s="454"/>
      <c r="BA980" s="1305"/>
      <c r="BC980" s="169"/>
    </row>
    <row r="981" spans="19:55" ht="15.75" customHeight="1">
      <c r="S981" s="454"/>
      <c r="BA981" s="1305"/>
      <c r="BC981" s="169"/>
    </row>
    <row r="982" spans="19:55" ht="15.75" customHeight="1">
      <c r="S982" s="454"/>
      <c r="BA982" s="1305"/>
      <c r="BC982" s="169"/>
    </row>
    <row r="983" spans="19:55" ht="15.75" customHeight="1">
      <c r="S983" s="454"/>
      <c r="BA983" s="1305"/>
      <c r="BC983" s="169"/>
    </row>
    <row r="984" spans="19:55" ht="15.75" customHeight="1">
      <c r="S984" s="454"/>
      <c r="BA984" s="1305"/>
      <c r="BC984" s="169"/>
    </row>
    <row r="985" spans="19:55" ht="15.75" customHeight="1">
      <c r="S985" s="454"/>
      <c r="BA985" s="1305"/>
      <c r="BC985" s="169"/>
    </row>
    <row r="986" spans="19:55" ht="15.75" customHeight="1">
      <c r="S986" s="454"/>
      <c r="BA986" s="1305"/>
      <c r="BC986" s="169"/>
    </row>
    <row r="987" spans="19:55" ht="15.75" customHeight="1">
      <c r="S987" s="454"/>
      <c r="BA987" s="1305"/>
      <c r="BC987" s="169"/>
    </row>
    <row r="988" spans="19:55" ht="15.75" customHeight="1">
      <c r="S988" s="454"/>
      <c r="BA988" s="1305"/>
      <c r="BC988" s="169"/>
    </row>
    <row r="989" spans="19:55" ht="15.75" customHeight="1">
      <c r="S989" s="454"/>
      <c r="BA989" s="1305"/>
      <c r="BC989" s="169"/>
    </row>
    <row r="990" spans="19:55" ht="15.75" customHeight="1">
      <c r="S990" s="454"/>
      <c r="BA990" s="1305"/>
      <c r="BC990" s="169"/>
    </row>
    <row r="991" spans="19:55" ht="15.75" customHeight="1">
      <c r="S991" s="454"/>
      <c r="BA991" s="1305"/>
      <c r="BC991" s="169"/>
    </row>
    <row r="992" spans="19:55" ht="15.75" customHeight="1">
      <c r="S992" s="454"/>
      <c r="BA992" s="1305"/>
      <c r="BC992" s="169"/>
    </row>
    <row r="993" spans="19:55" ht="15.75" customHeight="1">
      <c r="S993" s="454"/>
      <c r="BA993" s="1305"/>
      <c r="BC993" s="169"/>
    </row>
    <row r="994" spans="19:55" ht="15.75" customHeight="1">
      <c r="S994" s="454"/>
      <c r="BA994" s="1305"/>
      <c r="BC994" s="169"/>
    </row>
    <row r="995" spans="19:55" ht="15.75" customHeight="1">
      <c r="S995" s="454"/>
      <c r="BA995" s="1305"/>
      <c r="BC995" s="169"/>
    </row>
    <row r="996" spans="19:55" ht="15.75" customHeight="1">
      <c r="S996" s="454"/>
      <c r="BA996" s="1305"/>
      <c r="BC996" s="169"/>
    </row>
    <row r="997" spans="19:55" ht="15.75" customHeight="1">
      <c r="S997" s="454"/>
      <c r="BA997" s="1305"/>
      <c r="BC997" s="169"/>
    </row>
    <row r="998" spans="19:55" ht="15.75" customHeight="1">
      <c r="S998" s="454"/>
      <c r="BA998" s="1305"/>
      <c r="BC998" s="169"/>
    </row>
    <row r="999" spans="19:55" ht="15.75" customHeight="1">
      <c r="S999" s="454"/>
      <c r="BA999" s="1305"/>
      <c r="BC999" s="169"/>
    </row>
    <row r="1000" spans="19:55" ht="15.75" customHeight="1">
      <c r="S1000" s="454"/>
      <c r="BA1000" s="1305"/>
      <c r="BC1000" s="169"/>
    </row>
    <row r="1001" spans="19:55" ht="15.75" customHeight="1">
      <c r="S1001" s="454"/>
      <c r="BA1001" s="1305"/>
      <c r="BC1001" s="169"/>
    </row>
    <row r="1002" spans="19:55" ht="15.75" customHeight="1">
      <c r="S1002" s="454"/>
      <c r="BA1002" s="1305"/>
      <c r="BC1002" s="169"/>
    </row>
    <row r="1003" spans="19:55" ht="15.75" customHeight="1">
      <c r="S1003" s="454"/>
      <c r="BA1003" s="1305"/>
      <c r="BC1003" s="169"/>
    </row>
    <row r="1004" spans="19:55" ht="15.75" customHeight="1">
      <c r="S1004" s="454"/>
      <c r="BA1004" s="1305"/>
      <c r="BC1004" s="169"/>
    </row>
    <row r="1005" spans="19:55" ht="15.75" customHeight="1">
      <c r="S1005" s="454"/>
      <c r="BA1005" s="1305"/>
      <c r="BC1005" s="169"/>
    </row>
    <row r="1006" spans="19:55" ht="15.75" customHeight="1">
      <c r="S1006" s="454"/>
      <c r="BA1006" s="1305"/>
      <c r="BC1006" s="169"/>
    </row>
    <row r="1007" spans="19:55" ht="15.75" customHeight="1">
      <c r="S1007" s="454"/>
      <c r="BA1007" s="1305"/>
      <c r="BC1007" s="169"/>
    </row>
    <row r="1008" spans="19:55" ht="15.75" customHeight="1">
      <c r="S1008" s="454"/>
      <c r="BA1008" s="1305"/>
      <c r="BC1008" s="169"/>
    </row>
    <row r="1009" spans="19:55" ht="15.75" customHeight="1">
      <c r="S1009" s="454"/>
      <c r="BA1009" s="1305"/>
      <c r="BC1009" s="169"/>
    </row>
    <row r="1010" spans="19:55" ht="15.75" customHeight="1">
      <c r="S1010" s="454"/>
      <c r="BA1010" s="1305"/>
      <c r="BC1010" s="169"/>
    </row>
    <row r="1011" spans="19:55" ht="15.75" customHeight="1">
      <c r="S1011" s="454"/>
      <c r="BA1011" s="1305"/>
      <c r="BC1011" s="169"/>
    </row>
    <row r="1012" spans="19:55" ht="15.75" customHeight="1">
      <c r="S1012" s="454"/>
      <c r="BA1012" s="1305"/>
      <c r="BC1012" s="169"/>
    </row>
    <row r="1013" spans="19:55" ht="15.75" customHeight="1">
      <c r="S1013" s="454"/>
      <c r="BA1013" s="1305"/>
      <c r="BC1013" s="169"/>
    </row>
    <row r="1014" spans="19:55" ht="15.75" customHeight="1">
      <c r="S1014" s="454"/>
      <c r="BA1014" s="1305"/>
      <c r="BC1014" s="169"/>
    </row>
    <row r="1015" spans="19:55" ht="15.75" customHeight="1">
      <c r="S1015" s="454"/>
      <c r="BA1015" s="1305"/>
      <c r="BC1015" s="169"/>
    </row>
    <row r="1016" spans="19:55" ht="15.75" customHeight="1">
      <c r="S1016" s="454"/>
      <c r="BA1016" s="1305"/>
      <c r="BC1016" s="169"/>
    </row>
    <row r="1017" spans="19:55" ht="15.75" customHeight="1">
      <c r="S1017" s="454"/>
      <c r="BA1017" s="1305"/>
      <c r="BC1017" s="169"/>
    </row>
    <row r="1018" spans="19:55" ht="15.75" customHeight="1">
      <c r="S1018" s="454"/>
      <c r="BA1018" s="1305"/>
      <c r="BC1018" s="169"/>
    </row>
    <row r="1019" spans="19:55" ht="15.75" customHeight="1">
      <c r="S1019" s="454"/>
      <c r="BA1019" s="1305"/>
      <c r="BC1019" s="169"/>
    </row>
    <row r="1020" spans="19:55" ht="15.75" customHeight="1">
      <c r="S1020" s="454"/>
      <c r="BA1020" s="1305"/>
      <c r="BC1020" s="169"/>
    </row>
    <row r="1021" spans="19:55" ht="15.75" customHeight="1">
      <c r="S1021" s="454"/>
      <c r="BA1021" s="1305"/>
      <c r="BC1021" s="169"/>
    </row>
    <row r="1022" spans="19:55" ht="15.75" customHeight="1">
      <c r="S1022" s="454"/>
      <c r="BA1022" s="1305"/>
      <c r="BC1022" s="169"/>
    </row>
    <row r="1023" spans="19:55" ht="15.75" customHeight="1">
      <c r="S1023" s="454"/>
      <c r="BA1023" s="1305"/>
      <c r="BC1023" s="169"/>
    </row>
    <row r="1024" spans="19:55" ht="15.75" customHeight="1">
      <c r="S1024" s="454"/>
      <c r="BA1024" s="1305"/>
      <c r="BC1024" s="169"/>
    </row>
    <row r="1025" spans="19:55" ht="15.75" customHeight="1">
      <c r="S1025" s="454"/>
      <c r="BA1025" s="1305"/>
      <c r="BC1025" s="169"/>
    </row>
    <row r="1026" spans="19:55" ht="15.75" customHeight="1">
      <c r="S1026" s="454"/>
      <c r="BA1026" s="1305"/>
      <c r="BC1026" s="169"/>
    </row>
    <row r="1027" spans="19:55" ht="15.75" customHeight="1">
      <c r="S1027" s="454"/>
      <c r="BA1027" s="1305"/>
      <c r="BC1027" s="169"/>
    </row>
    <row r="1028" spans="19:55" ht="15.75" customHeight="1">
      <c r="S1028" s="454"/>
      <c r="BA1028" s="1305"/>
      <c r="BC1028" s="169"/>
    </row>
    <row r="1029" spans="19:55" ht="15.75" customHeight="1">
      <c r="S1029" s="454"/>
      <c r="BA1029" s="1305"/>
      <c r="BC1029" s="169"/>
    </row>
    <row r="1030" spans="19:55" ht="15.75" customHeight="1">
      <c r="S1030" s="454"/>
      <c r="BA1030" s="1305"/>
      <c r="BC1030" s="169"/>
    </row>
    <row r="1031" spans="19:55" ht="15.75" customHeight="1">
      <c r="S1031" s="454"/>
      <c r="BA1031" s="1305"/>
      <c r="BC1031" s="169"/>
    </row>
    <row r="1032" spans="19:55" ht="15.75" customHeight="1">
      <c r="S1032" s="454"/>
      <c r="BA1032" s="1305"/>
      <c r="BC1032" s="169"/>
    </row>
    <row r="1033" spans="19:55" ht="15.75" customHeight="1">
      <c r="S1033" s="454"/>
      <c r="BA1033" s="1305"/>
      <c r="BC1033" s="169"/>
    </row>
    <row r="1034" spans="19:55" ht="15.75" customHeight="1">
      <c r="S1034" s="454"/>
      <c r="BA1034" s="1305"/>
      <c r="BC1034" s="169"/>
    </row>
    <row r="1035" spans="19:55" ht="15.75" customHeight="1">
      <c r="S1035" s="454"/>
      <c r="BA1035" s="1305"/>
      <c r="BC1035" s="169"/>
    </row>
    <row r="1036" spans="19:55" ht="15.75" customHeight="1">
      <c r="S1036" s="454"/>
      <c r="BA1036" s="1305"/>
      <c r="BC1036" s="169"/>
    </row>
    <row r="1037" spans="19:55" ht="15.75" customHeight="1">
      <c r="S1037" s="454"/>
      <c r="BA1037" s="1305"/>
      <c r="BC1037" s="169"/>
    </row>
    <row r="1038" spans="19:55" ht="15.75" customHeight="1">
      <c r="S1038" s="454"/>
      <c r="BA1038" s="1305"/>
      <c r="BC1038" s="169"/>
    </row>
    <row r="1039" spans="19:55" ht="15.75" customHeight="1">
      <c r="S1039" s="454"/>
      <c r="BA1039" s="1305"/>
      <c r="BC1039" s="169"/>
    </row>
    <row r="1040" spans="19:55" ht="15.75" customHeight="1">
      <c r="S1040" s="454"/>
      <c r="BA1040" s="1305"/>
      <c r="BC1040" s="169"/>
    </row>
    <row r="1041" spans="19:55" ht="15.75" customHeight="1">
      <c r="S1041" s="454"/>
      <c r="BA1041" s="1305"/>
      <c r="BC1041" s="169"/>
    </row>
    <row r="1042" spans="19:55" ht="15.75" customHeight="1">
      <c r="S1042" s="454"/>
      <c r="BA1042" s="1305"/>
      <c r="BC1042" s="169"/>
    </row>
    <row r="1043" spans="19:55" ht="15.75" customHeight="1">
      <c r="S1043" s="454"/>
      <c r="BA1043" s="1305"/>
      <c r="BC1043" s="169"/>
    </row>
    <row r="1044" spans="19:55" ht="15.75" customHeight="1">
      <c r="S1044" s="454"/>
      <c r="BA1044" s="1305"/>
      <c r="BC1044" s="169"/>
    </row>
    <row r="1045" spans="19:55" ht="15.75" customHeight="1">
      <c r="S1045" s="454"/>
      <c r="BA1045" s="1305"/>
      <c r="BC1045" s="169"/>
    </row>
    <row r="1046" spans="19:55" ht="15.75" customHeight="1">
      <c r="S1046" s="454"/>
      <c r="BA1046" s="1305"/>
      <c r="BC1046" s="169"/>
    </row>
    <row r="1047" spans="19:55" ht="15.75" customHeight="1">
      <c r="S1047" s="454"/>
      <c r="BA1047" s="1305"/>
      <c r="BC1047" s="169"/>
    </row>
    <row r="1048" spans="19:55" ht="15.75" customHeight="1">
      <c r="S1048" s="454"/>
      <c r="BA1048" s="1305"/>
      <c r="BC1048" s="169"/>
    </row>
    <row r="1049" spans="19:55" ht="15.75" customHeight="1">
      <c r="S1049" s="454"/>
      <c r="BA1049" s="1305"/>
      <c r="BC1049" s="169"/>
    </row>
    <row r="1050" spans="19:55" ht="15.75" customHeight="1">
      <c r="S1050" s="454"/>
      <c r="BA1050" s="1305"/>
      <c r="BC1050" s="169"/>
    </row>
    <row r="1051" spans="19:55" ht="15.75" customHeight="1">
      <c r="S1051" s="454"/>
      <c r="BA1051" s="1305"/>
      <c r="BC1051" s="169"/>
    </row>
    <row r="1052" spans="19:55" ht="15.75" customHeight="1">
      <c r="S1052" s="454"/>
      <c r="BA1052" s="1305"/>
      <c r="BC1052" s="169"/>
    </row>
    <row r="1053" spans="19:55" ht="15.75" customHeight="1">
      <c r="S1053" s="454"/>
      <c r="BA1053" s="1305"/>
      <c r="BC1053" s="169"/>
    </row>
    <row r="1054" spans="19:55" ht="15.75" customHeight="1">
      <c r="S1054" s="454"/>
      <c r="BA1054" s="1305"/>
      <c r="BC1054" s="169"/>
    </row>
    <row r="1055" spans="19:55" ht="15.75" customHeight="1">
      <c r="S1055" s="454"/>
      <c r="BA1055" s="1305"/>
      <c r="BC1055" s="169"/>
    </row>
    <row r="1056" spans="19:55" ht="15.75" customHeight="1">
      <c r="S1056" s="454"/>
      <c r="BA1056" s="1305"/>
      <c r="BC1056" s="169"/>
    </row>
    <row r="1057" spans="19:55" ht="15.75" customHeight="1">
      <c r="S1057" s="454"/>
      <c r="BA1057" s="1305"/>
      <c r="BC1057" s="169"/>
    </row>
    <row r="1058" spans="19:55" ht="15.75" customHeight="1">
      <c r="S1058" s="454"/>
      <c r="BA1058" s="1305"/>
      <c r="BC1058" s="169"/>
    </row>
    <row r="1059" spans="19:55" ht="15.75" customHeight="1">
      <c r="S1059" s="454"/>
      <c r="BA1059" s="1305"/>
      <c r="BC1059" s="169"/>
    </row>
    <row r="1060" spans="19:55" ht="15.75" customHeight="1">
      <c r="S1060" s="454"/>
      <c r="BA1060" s="1305"/>
      <c r="BC1060" s="169"/>
    </row>
    <row r="1061" spans="19:55" ht="15.75" customHeight="1">
      <c r="S1061" s="454"/>
      <c r="BA1061" s="1305"/>
      <c r="BC1061" s="169"/>
    </row>
    <row r="1062" spans="19:55" ht="15.75" customHeight="1">
      <c r="S1062" s="454"/>
      <c r="BA1062" s="1305"/>
      <c r="BC1062" s="169"/>
    </row>
    <row r="1063" spans="19:55" ht="15.75" customHeight="1">
      <c r="S1063" s="454"/>
      <c r="BA1063" s="1305"/>
      <c r="BC1063" s="169"/>
    </row>
    <row r="1064" spans="19:55" ht="15.75" customHeight="1">
      <c r="S1064" s="454"/>
      <c r="BA1064" s="1305"/>
      <c r="BC1064" s="169"/>
    </row>
    <row r="1065" spans="19:55" ht="15.75" customHeight="1">
      <c r="S1065" s="454"/>
      <c r="BA1065" s="1305"/>
      <c r="BC1065" s="169"/>
    </row>
    <row r="1066" spans="19:55" ht="15.75" customHeight="1">
      <c r="S1066" s="454"/>
      <c r="BA1066" s="1305"/>
      <c r="BC1066" s="169"/>
    </row>
    <row r="1067" spans="19:55" ht="15.75" customHeight="1">
      <c r="S1067" s="454"/>
      <c r="BA1067" s="1305"/>
      <c r="BC1067" s="169"/>
    </row>
    <row r="1068" spans="19:55" ht="15.75" customHeight="1">
      <c r="S1068" s="454"/>
      <c r="BA1068" s="1305"/>
      <c r="BC1068" s="169"/>
    </row>
    <row r="1069" spans="19:55" ht="15.75" customHeight="1">
      <c r="S1069" s="454"/>
      <c r="BA1069" s="1305"/>
      <c r="BC1069" s="169"/>
    </row>
    <row r="1070" spans="19:55" ht="15.75" customHeight="1">
      <c r="S1070" s="454"/>
      <c r="BA1070" s="1305"/>
      <c r="BC1070" s="169"/>
    </row>
    <row r="1071" spans="19:55" ht="15.75" customHeight="1">
      <c r="S1071" s="454"/>
      <c r="BA1071" s="1305"/>
      <c r="BC1071" s="169"/>
    </row>
    <row r="1072" spans="19:55" ht="15.75" customHeight="1">
      <c r="S1072" s="454"/>
      <c r="BA1072" s="1305"/>
      <c r="BC1072" s="169"/>
    </row>
    <row r="1073" spans="19:55" ht="15.75" customHeight="1">
      <c r="S1073" s="454"/>
      <c r="BA1073" s="1305"/>
      <c r="BC1073" s="169"/>
    </row>
    <row r="1074" spans="19:55" ht="15.75" customHeight="1">
      <c r="S1074" s="454"/>
      <c r="BA1074" s="1305"/>
      <c r="BC1074" s="169"/>
    </row>
    <row r="1075" spans="19:55" ht="15.75" customHeight="1">
      <c r="S1075" s="454"/>
      <c r="BA1075" s="1305"/>
      <c r="BC1075" s="169"/>
    </row>
    <row r="1076" spans="19:55" ht="15.75" customHeight="1">
      <c r="S1076" s="454"/>
      <c r="BA1076" s="1305"/>
      <c r="BC1076" s="169"/>
    </row>
    <row r="1077" spans="19:55" ht="15.75" customHeight="1">
      <c r="S1077" s="454"/>
      <c r="BA1077" s="1305"/>
      <c r="BC1077" s="169"/>
    </row>
    <row r="1078" spans="19:55" ht="15.75" customHeight="1">
      <c r="S1078" s="454"/>
      <c r="BA1078" s="1305"/>
      <c r="BC1078" s="169"/>
    </row>
    <row r="1079" spans="19:55" ht="15.75" customHeight="1">
      <c r="S1079" s="454"/>
      <c r="BA1079" s="1305"/>
      <c r="BC1079" s="169"/>
    </row>
    <row r="1080" spans="19:55" ht="15.75" customHeight="1">
      <c r="S1080" s="454"/>
      <c r="BA1080" s="1305"/>
      <c r="BC1080" s="169"/>
    </row>
    <row r="1081" spans="19:55" ht="15.75" customHeight="1">
      <c r="S1081" s="454"/>
      <c r="BA1081" s="1305"/>
      <c r="BC1081" s="169"/>
    </row>
    <row r="1082" spans="19:55" ht="15.75" customHeight="1">
      <c r="S1082" s="454"/>
      <c r="BA1082" s="1305"/>
      <c r="BC1082" s="169"/>
    </row>
    <row r="1083" spans="19:55" ht="15.75" customHeight="1">
      <c r="S1083" s="454"/>
      <c r="BA1083" s="1305"/>
      <c r="BC1083" s="169"/>
    </row>
    <row r="1084" spans="19:55" ht="15.75" customHeight="1">
      <c r="S1084" s="454"/>
      <c r="BA1084" s="1305"/>
      <c r="BC1084" s="169"/>
    </row>
    <row r="1085" spans="19:55" ht="15.75" customHeight="1">
      <c r="S1085" s="454"/>
      <c r="BA1085" s="1305"/>
      <c r="BC1085" s="169"/>
    </row>
    <row r="1086" spans="19:55" ht="15.75" customHeight="1">
      <c r="S1086" s="454"/>
      <c r="BA1086" s="1305"/>
      <c r="BC1086" s="169"/>
    </row>
    <row r="1087" spans="19:55" ht="15.75" customHeight="1">
      <c r="S1087" s="454"/>
      <c r="BA1087" s="1305"/>
      <c r="BC1087" s="169"/>
    </row>
    <row r="1088" spans="19:55" ht="15.75" customHeight="1">
      <c r="S1088" s="454"/>
      <c r="BA1088" s="1305"/>
      <c r="BC1088" s="169"/>
    </row>
    <row r="1089" spans="19:55" ht="15.75" customHeight="1">
      <c r="S1089" s="454"/>
      <c r="BA1089" s="1305"/>
      <c r="BC1089" s="169"/>
    </row>
    <row r="1090" spans="19:55" ht="15.75" customHeight="1">
      <c r="S1090" s="454"/>
      <c r="BA1090" s="1305"/>
      <c r="BC1090" s="169"/>
    </row>
    <row r="1091" spans="19:55" ht="15.75" customHeight="1">
      <c r="S1091" s="454"/>
      <c r="BA1091" s="1305"/>
      <c r="BC1091" s="169"/>
    </row>
    <row r="1092" spans="19:55" ht="15.75" customHeight="1">
      <c r="S1092" s="454"/>
      <c r="BA1092" s="1305"/>
      <c r="BC1092" s="169"/>
    </row>
    <row r="1093" spans="19:55" ht="15.75" customHeight="1">
      <c r="S1093" s="454"/>
      <c r="BA1093" s="1266"/>
      <c r="BC1093" s="169"/>
    </row>
    <row r="1094" spans="19:55" ht="15.75" customHeight="1">
      <c r="S1094" s="454"/>
      <c r="BA1094" s="1266"/>
      <c r="BC1094" s="169"/>
    </row>
    <row r="1095" spans="19:55" ht="15.75" customHeight="1">
      <c r="S1095" s="454"/>
      <c r="BA1095" s="1266"/>
      <c r="BC1095" s="169"/>
    </row>
    <row r="1096" spans="19:55" ht="15.75" customHeight="1">
      <c r="S1096" s="454"/>
      <c r="BA1096" s="1266"/>
      <c r="BC1096" s="169"/>
    </row>
    <row r="1097" spans="19:55" ht="15.75" customHeight="1">
      <c r="S1097" s="454"/>
      <c r="BA1097" s="1266"/>
      <c r="BC1097" s="169"/>
    </row>
    <row r="1098" spans="19:55" ht="15.75" customHeight="1">
      <c r="S1098" s="454"/>
      <c r="BA1098" s="1266"/>
      <c r="BC1098" s="169"/>
    </row>
    <row r="1099" spans="19:55" ht="15.75" customHeight="1">
      <c r="S1099" s="454"/>
      <c r="BA1099" s="1266"/>
      <c r="BC1099" s="169"/>
    </row>
    <row r="1100" spans="19:55" ht="15.75" customHeight="1">
      <c r="S1100" s="454"/>
      <c r="BA1100" s="1266"/>
      <c r="BC1100" s="169"/>
    </row>
    <row r="1101" spans="19:55" ht="15.75" customHeight="1">
      <c r="S1101" s="454"/>
      <c r="BA1101" s="1266"/>
      <c r="BC1101" s="169"/>
    </row>
    <row r="1102" spans="19:55" ht="15.75" customHeight="1">
      <c r="S1102" s="454"/>
      <c r="BA1102" s="1266"/>
      <c r="BC1102" s="169"/>
    </row>
    <row r="1103" spans="19:55" ht="15.75" customHeight="1">
      <c r="S1103" s="454"/>
      <c r="BA1103" s="1266"/>
      <c r="BC1103" s="169"/>
    </row>
    <row r="1104" spans="19:55" ht="15.75" customHeight="1">
      <c r="S1104" s="454"/>
      <c r="BA1104" s="1266"/>
      <c r="BC1104" s="169"/>
    </row>
    <row r="1105" spans="19:55" ht="15.75" customHeight="1">
      <c r="S1105" s="454"/>
      <c r="BA1105" s="1266"/>
      <c r="BC1105" s="169"/>
    </row>
    <row r="1106" spans="19:55" ht="15.75" customHeight="1">
      <c r="S1106" s="454"/>
      <c r="BA1106" s="1266"/>
      <c r="BC1106" s="169"/>
    </row>
    <row r="1107" spans="19:55" ht="15.75" customHeight="1">
      <c r="S1107" s="454"/>
      <c r="BA1107" s="1266"/>
      <c r="BC1107" s="169"/>
    </row>
    <row r="1108" spans="19:55" ht="15.75" customHeight="1">
      <c r="S1108" s="454"/>
      <c r="BA1108" s="1266"/>
      <c r="BC1108" s="169"/>
    </row>
    <row r="1109" spans="19:55" ht="15.75" customHeight="1">
      <c r="S1109" s="454"/>
      <c r="BA1109" s="1266"/>
      <c r="BC1109" s="169"/>
    </row>
    <row r="1110" spans="19:55" ht="15.75" customHeight="1">
      <c r="S1110" s="454"/>
      <c r="BA1110" s="1266"/>
      <c r="BC1110" s="169"/>
    </row>
    <row r="1111" spans="19:55" ht="15.75" customHeight="1">
      <c r="S1111" s="454"/>
      <c r="BA1111" s="1266"/>
      <c r="BC1111" s="169"/>
    </row>
    <row r="1112" spans="19:55" ht="15.75" customHeight="1">
      <c r="S1112" s="454"/>
      <c r="BA1112" s="1266"/>
      <c r="BC1112" s="169"/>
    </row>
    <row r="1113" spans="19:55" ht="15.75" customHeight="1">
      <c r="S1113" s="454"/>
      <c r="BA1113" s="1266"/>
      <c r="BC1113" s="169"/>
    </row>
    <row r="1114" spans="19:55" ht="15.75" customHeight="1">
      <c r="S1114" s="454"/>
      <c r="BA1114" s="1266"/>
      <c r="BC1114" s="169"/>
    </row>
    <row r="1115" spans="19:55" ht="15.75" customHeight="1">
      <c r="S1115" s="454"/>
      <c r="BA1115" s="1266"/>
      <c r="BC1115" s="169"/>
    </row>
    <row r="1116" spans="19:55" ht="15.75" customHeight="1">
      <c r="S1116" s="454"/>
      <c r="BA1116" s="1266"/>
      <c r="BC1116" s="169"/>
    </row>
    <row r="1117" spans="19:55" ht="15.75" customHeight="1">
      <c r="S1117" s="454"/>
      <c r="BA1117" s="1266"/>
      <c r="BC1117" s="169"/>
    </row>
    <row r="1118" spans="19:55" ht="15.75" customHeight="1">
      <c r="S1118" s="454"/>
      <c r="BA1118" s="1266"/>
      <c r="BC1118" s="169"/>
    </row>
    <row r="1119" spans="19:55" ht="15.75" customHeight="1">
      <c r="S1119" s="454"/>
      <c r="BA1119" s="1266"/>
      <c r="BC1119" s="169"/>
    </row>
    <row r="1120" spans="19:55" ht="15.75" customHeight="1">
      <c r="S1120" s="454"/>
      <c r="BA1120" s="1266"/>
      <c r="BC1120" s="169"/>
    </row>
    <row r="1121" spans="19:55" ht="15.75" customHeight="1">
      <c r="S1121" s="454"/>
      <c r="BA1121" s="1266"/>
      <c r="BC1121" s="169"/>
    </row>
    <row r="1122" spans="19:55" ht="15.75" customHeight="1">
      <c r="S1122" s="454"/>
      <c r="BA1122" s="1266"/>
      <c r="BC1122" s="169"/>
    </row>
    <row r="1123" spans="19:55" ht="15.75" customHeight="1">
      <c r="S1123" s="454"/>
      <c r="BA1123" s="1266"/>
      <c r="BC1123" s="169"/>
    </row>
    <row r="1124" spans="19:55" ht="15.75" customHeight="1">
      <c r="S1124" s="454"/>
      <c r="BA1124" s="1266"/>
      <c r="BC1124" s="169"/>
    </row>
    <row r="1125" spans="19:55" ht="15.75" customHeight="1">
      <c r="S1125" s="454"/>
      <c r="BA1125" s="1266"/>
      <c r="BC1125" s="169"/>
    </row>
    <row r="1126" spans="19:55" ht="15.75" customHeight="1">
      <c r="S1126" s="454"/>
      <c r="BA1126" s="1266"/>
      <c r="BC1126" s="169"/>
    </row>
    <row r="1127" spans="19:55" ht="15.75" customHeight="1">
      <c r="S1127" s="454"/>
      <c r="BA1127" s="1266"/>
      <c r="BC1127" s="169"/>
    </row>
    <row r="1128" spans="19:55" ht="15.75" customHeight="1">
      <c r="S1128" s="454"/>
      <c r="BA1128" s="1266"/>
      <c r="BC1128" s="169"/>
    </row>
    <row r="1129" spans="19:55" ht="15.75" customHeight="1">
      <c r="S1129" s="454"/>
      <c r="BA1129" s="1266"/>
      <c r="BC1129" s="169"/>
    </row>
    <row r="1130" spans="19:55" ht="15.75" customHeight="1">
      <c r="S1130" s="454"/>
      <c r="BA1130" s="1266"/>
      <c r="BC1130" s="169"/>
    </row>
    <row r="1131" spans="19:55" ht="15.75" customHeight="1">
      <c r="S1131" s="454"/>
      <c r="BA1131" s="1266"/>
      <c r="BC1131" s="169"/>
    </row>
    <row r="1132" spans="19:55" ht="15.75" customHeight="1">
      <c r="S1132" s="454"/>
      <c r="BA1132" s="1266"/>
      <c r="BC1132" s="169"/>
    </row>
    <row r="1133" spans="19:55" ht="15.75" customHeight="1">
      <c r="S1133" s="454"/>
      <c r="BA1133" s="1266"/>
      <c r="BC1133" s="169"/>
    </row>
    <row r="1134" spans="19:55" ht="15.75" customHeight="1">
      <c r="S1134" s="454"/>
      <c r="BA1134" s="1266"/>
      <c r="BC1134" s="169"/>
    </row>
    <row r="1135" spans="19:55" ht="15.75" customHeight="1">
      <c r="S1135" s="454"/>
      <c r="BA1135" s="1266"/>
      <c r="BC1135" s="169"/>
    </row>
    <row r="1136" spans="19:55" ht="15.75" customHeight="1">
      <c r="S1136" s="454"/>
      <c r="BA1136" s="1266"/>
      <c r="BC1136" s="169"/>
    </row>
    <row r="1137" spans="19:55" ht="15.75" customHeight="1">
      <c r="S1137" s="454"/>
      <c r="BA1137" s="1266"/>
      <c r="BC1137" s="169"/>
    </row>
    <row r="1138" spans="19:55" ht="15.75" customHeight="1">
      <c r="S1138" s="454"/>
      <c r="BA1138" s="1266"/>
      <c r="BC1138" s="169"/>
    </row>
    <row r="1139" spans="19:55" ht="15.75" customHeight="1">
      <c r="S1139" s="454"/>
      <c r="BA1139" s="1266"/>
      <c r="BC1139" s="169"/>
    </row>
    <row r="1140" spans="19:55" ht="15.75" customHeight="1">
      <c r="S1140" s="454"/>
      <c r="BA1140" s="1266"/>
      <c r="BC1140" s="169"/>
    </row>
    <row r="1141" spans="19:55" ht="15.75" customHeight="1">
      <c r="S1141" s="454"/>
      <c r="BA1141" s="1266"/>
      <c r="BC1141" s="169"/>
    </row>
    <row r="1142" spans="19:55" ht="15.75" customHeight="1">
      <c r="S1142" s="454"/>
      <c r="BA1142" s="1266"/>
      <c r="BC1142" s="169"/>
    </row>
    <row r="1143" spans="19:55" ht="15.75" customHeight="1">
      <c r="S1143" s="454"/>
      <c r="BA1143" s="1266"/>
      <c r="BC1143" s="169"/>
    </row>
    <row r="1144" spans="19:55" ht="15.75" customHeight="1">
      <c r="S1144" s="454"/>
      <c r="BA1144" s="1266"/>
      <c r="BC1144" s="169"/>
    </row>
    <row r="1145" spans="19:55" ht="15.75" customHeight="1">
      <c r="S1145" s="454"/>
      <c r="BA1145" s="1266"/>
      <c r="BC1145" s="169"/>
    </row>
    <row r="1146" spans="19:55" ht="15.75" customHeight="1">
      <c r="S1146" s="454"/>
      <c r="BA1146" s="1266"/>
      <c r="BC1146" s="169"/>
    </row>
    <row r="1147" spans="19:55" ht="15.75" customHeight="1">
      <c r="S1147" s="454"/>
      <c r="BA1147" s="1266"/>
      <c r="BC1147" s="169"/>
    </row>
    <row r="1148" spans="19:55" ht="15.75" customHeight="1">
      <c r="S1148" s="454"/>
      <c r="BA1148" s="1266"/>
      <c r="BC1148" s="169"/>
    </row>
    <row r="1149" spans="19:55" ht="15.75" customHeight="1">
      <c r="S1149" s="454"/>
      <c r="BA1149" s="1266"/>
      <c r="BC1149" s="169"/>
    </row>
    <row r="1150" spans="19:55" ht="15.75" customHeight="1">
      <c r="S1150" s="454"/>
      <c r="BA1150" s="1266"/>
      <c r="BC1150" s="169"/>
    </row>
    <row r="1151" spans="19:55" ht="15.75" customHeight="1">
      <c r="S1151" s="454"/>
      <c r="BA1151" s="1266"/>
      <c r="BC1151" s="169"/>
    </row>
    <row r="1152" spans="19:55" ht="15.75" customHeight="1">
      <c r="S1152" s="454"/>
      <c r="BA1152" s="1266"/>
      <c r="BC1152" s="169"/>
    </row>
    <row r="1153" spans="19:55" ht="15.75" customHeight="1">
      <c r="S1153" s="454"/>
      <c r="BA1153" s="1266"/>
      <c r="BC1153" s="169"/>
    </row>
    <row r="1154" spans="19:55" ht="15.75" customHeight="1">
      <c r="S1154" s="454"/>
      <c r="BA1154" s="1266"/>
      <c r="BC1154" s="169"/>
    </row>
    <row r="1155" spans="19:55" ht="15.75" customHeight="1">
      <c r="S1155" s="454"/>
      <c r="BA1155" s="1266"/>
      <c r="BC1155" s="169"/>
    </row>
    <row r="1156" spans="19:55" ht="15.75" customHeight="1">
      <c r="S1156" s="454"/>
      <c r="BA1156" s="1266"/>
      <c r="BC1156" s="169"/>
    </row>
    <row r="1157" spans="19:55" ht="15.75" customHeight="1">
      <c r="S1157" s="454"/>
      <c r="BA1157" s="1266"/>
      <c r="BC1157" s="169"/>
    </row>
    <row r="1158" spans="19:55" ht="15.75" customHeight="1">
      <c r="S1158" s="454"/>
      <c r="BA1158" s="1266"/>
      <c r="BC1158" s="169"/>
    </row>
    <row r="1159" spans="19:55" ht="15.75" customHeight="1">
      <c r="S1159" s="454"/>
      <c r="BA1159" s="1266"/>
      <c r="BC1159" s="169"/>
    </row>
    <row r="1160" spans="19:55" ht="15.75" customHeight="1">
      <c r="S1160" s="454"/>
      <c r="BA1160" s="1266"/>
      <c r="BC1160" s="169"/>
    </row>
    <row r="1161" spans="19:55" ht="15.75" customHeight="1">
      <c r="S1161" s="454"/>
      <c r="BA1161" s="1266"/>
      <c r="BC1161" s="169"/>
    </row>
    <row r="1162" spans="19:55" ht="15.75" customHeight="1">
      <c r="S1162" s="454"/>
      <c r="BA1162" s="1266"/>
      <c r="BC1162" s="169"/>
    </row>
    <row r="1163" spans="19:55" ht="15.75" customHeight="1">
      <c r="S1163" s="454"/>
      <c r="BA1163" s="1266"/>
      <c r="BC1163" s="169"/>
    </row>
    <row r="1164" spans="19:55" ht="15.75" customHeight="1">
      <c r="S1164" s="454"/>
      <c r="BA1164" s="1266"/>
      <c r="BC1164" s="169"/>
    </row>
    <row r="1165" spans="19:55" ht="15.75" customHeight="1">
      <c r="S1165" s="454"/>
      <c r="BA1165" s="1266"/>
      <c r="BC1165" s="169"/>
    </row>
    <row r="1166" spans="19:55" ht="15.75" customHeight="1">
      <c r="S1166" s="454"/>
      <c r="BA1166" s="1266"/>
      <c r="BC1166" s="169"/>
    </row>
    <row r="1167" spans="19:55" ht="15.75" customHeight="1">
      <c r="S1167" s="454"/>
      <c r="BA1167" s="1266"/>
      <c r="BC1167" s="169"/>
    </row>
    <row r="1168" spans="19:55" ht="15.75" customHeight="1">
      <c r="S1168" s="454"/>
      <c r="BA1168" s="1266"/>
      <c r="BC1168" s="169"/>
    </row>
    <row r="1169" spans="19:55" ht="15.75" customHeight="1">
      <c r="S1169" s="454"/>
      <c r="BA1169" s="1266"/>
      <c r="BC1169" s="169"/>
    </row>
    <row r="1170" spans="19:55" ht="15.75" customHeight="1">
      <c r="S1170" s="454"/>
      <c r="BA1170" s="1266"/>
      <c r="BC1170" s="169"/>
    </row>
    <row r="1171" spans="19:55" ht="15.75" customHeight="1">
      <c r="S1171" s="454"/>
      <c r="BA1171" s="1266"/>
      <c r="BC1171" s="169"/>
    </row>
    <row r="1172" spans="19:55" ht="15.75" customHeight="1">
      <c r="S1172" s="454"/>
      <c r="BA1172" s="1266"/>
      <c r="BC1172" s="169"/>
    </row>
    <row r="1173" spans="19:55" ht="15.75" customHeight="1">
      <c r="S1173" s="454"/>
      <c r="BA1173" s="1266"/>
      <c r="BC1173" s="169"/>
    </row>
    <row r="1174" spans="19:55" ht="15.75" customHeight="1">
      <c r="S1174" s="454"/>
      <c r="BA1174" s="1266"/>
      <c r="BC1174" s="169"/>
    </row>
    <row r="1175" spans="19:55" ht="15.75" customHeight="1">
      <c r="S1175" s="454"/>
      <c r="BA1175" s="1266"/>
      <c r="BC1175" s="169"/>
    </row>
    <row r="1176" spans="19:55" ht="15.75" customHeight="1">
      <c r="S1176" s="454"/>
      <c r="BA1176" s="1266"/>
      <c r="BC1176" s="169"/>
    </row>
    <row r="1177" spans="19:55" ht="15.75" customHeight="1">
      <c r="S1177" s="454"/>
      <c r="BA1177" s="1266"/>
      <c r="BC1177" s="169"/>
    </row>
    <row r="1178" spans="19:55" ht="15.75" customHeight="1">
      <c r="S1178" s="454"/>
      <c r="BA1178" s="1266"/>
      <c r="BC1178" s="169"/>
    </row>
    <row r="1179" spans="19:55" ht="15.75" customHeight="1">
      <c r="S1179" s="454"/>
      <c r="BA1179" s="1266"/>
      <c r="BC1179" s="169"/>
    </row>
    <row r="1180" spans="19:55" ht="15.75" customHeight="1">
      <c r="S1180" s="454"/>
      <c r="BA1180" s="1266"/>
      <c r="BC1180" s="169"/>
    </row>
    <row r="1181" spans="19:55" ht="15.75" customHeight="1">
      <c r="S1181" s="454"/>
      <c r="BA1181" s="1266"/>
      <c r="BC1181" s="169"/>
    </row>
    <row r="1182" spans="19:55" ht="15.75" customHeight="1">
      <c r="S1182" s="454"/>
      <c r="BA1182" s="1266"/>
      <c r="BC1182" s="169"/>
    </row>
    <row r="1183" spans="19:55" ht="15.75" customHeight="1">
      <c r="S1183" s="454"/>
      <c r="BA1183" s="1266"/>
      <c r="BC1183" s="169"/>
    </row>
    <row r="1184" spans="19:55" ht="15.75" customHeight="1">
      <c r="S1184" s="454"/>
      <c r="BA1184" s="1266"/>
      <c r="BC1184" s="169"/>
    </row>
    <row r="1185" spans="19:55" ht="15.75" customHeight="1">
      <c r="S1185" s="454"/>
      <c r="BA1185" s="1266"/>
      <c r="BC1185" s="169"/>
    </row>
    <row r="1186" spans="19:55" ht="15.75" customHeight="1">
      <c r="S1186" s="454"/>
      <c r="BA1186" s="1266"/>
      <c r="BC1186" s="169"/>
    </row>
    <row r="1187" spans="19:55" ht="15.75" customHeight="1">
      <c r="S1187" s="454"/>
      <c r="BA1187" s="1266"/>
      <c r="BC1187" s="169"/>
    </row>
    <row r="1188" spans="19:55" ht="15.75" customHeight="1">
      <c r="S1188" s="454"/>
      <c r="BA1188" s="1266"/>
      <c r="BC1188" s="169"/>
    </row>
    <row r="1189" spans="19:55" ht="15.75" customHeight="1">
      <c r="S1189" s="454"/>
      <c r="BA1189" s="1266"/>
      <c r="BC1189" s="169"/>
    </row>
    <row r="1190" spans="19:55" ht="15.75" customHeight="1">
      <c r="S1190" s="454"/>
      <c r="BA1190" s="1266"/>
      <c r="BC1190" s="169"/>
    </row>
    <row r="1191" spans="19:55" ht="15.75" customHeight="1">
      <c r="S1191" s="454"/>
      <c r="BA1191" s="1266"/>
      <c r="BC1191" s="169"/>
    </row>
    <row r="1192" spans="19:55" ht="15.75" customHeight="1">
      <c r="S1192" s="454"/>
      <c r="BA1192" s="1266"/>
      <c r="BC1192" s="169"/>
    </row>
    <row r="1193" spans="19:55" ht="15.75" customHeight="1">
      <c r="S1193" s="454"/>
      <c r="BA1193" s="1266"/>
      <c r="BC1193" s="169"/>
    </row>
    <row r="1194" spans="19:55" ht="15.75" customHeight="1">
      <c r="S1194" s="454"/>
      <c r="BA1194" s="1266"/>
      <c r="BC1194" s="169"/>
    </row>
    <row r="1195" spans="19:55" ht="15.75" customHeight="1">
      <c r="S1195" s="454"/>
      <c r="BA1195" s="1266"/>
      <c r="BC1195" s="169"/>
    </row>
    <row r="1196" spans="19:55" ht="15.75" customHeight="1">
      <c r="S1196" s="454"/>
      <c r="BA1196" s="1266"/>
      <c r="BC1196" s="169"/>
    </row>
    <row r="1197" spans="19:55" ht="15.75" customHeight="1">
      <c r="S1197" s="454"/>
      <c r="BA1197" s="1266"/>
      <c r="BC1197" s="169"/>
    </row>
    <row r="1198" spans="19:55" ht="15.75" customHeight="1">
      <c r="S1198" s="454"/>
      <c r="BA1198" s="1266"/>
      <c r="BC1198" s="169"/>
    </row>
    <row r="1199" spans="19:55" ht="15.75" customHeight="1">
      <c r="S1199" s="454"/>
      <c r="BA1199" s="1266"/>
      <c r="BC1199" s="169"/>
    </row>
    <row r="1200" spans="19:55" ht="15.75" customHeight="1">
      <c r="S1200" s="454"/>
      <c r="BA1200" s="1266"/>
      <c r="BC1200" s="169"/>
    </row>
    <row r="1201" spans="19:55" ht="15.75" customHeight="1">
      <c r="S1201" s="454"/>
      <c r="BA1201" s="1266"/>
      <c r="BC1201" s="169"/>
    </row>
    <row r="1202" spans="19:55" ht="15.75" customHeight="1">
      <c r="S1202" s="454"/>
      <c r="BA1202" s="1266"/>
      <c r="BC1202" s="169"/>
    </row>
    <row r="1203" spans="19:55" ht="15.75" customHeight="1">
      <c r="S1203" s="454"/>
      <c r="BA1203" s="1266"/>
      <c r="BC1203" s="169"/>
    </row>
    <row r="1204" spans="19:55" ht="15.75" customHeight="1">
      <c r="S1204" s="454"/>
      <c r="BA1204" s="1266"/>
      <c r="BC1204" s="169"/>
    </row>
    <row r="1205" spans="19:55" ht="15.75" customHeight="1">
      <c r="S1205" s="454"/>
      <c r="BA1205" s="1266"/>
      <c r="BC1205" s="169"/>
    </row>
    <row r="1206" spans="19:55" ht="15.75" customHeight="1">
      <c r="S1206" s="454"/>
      <c r="BA1206" s="1266"/>
      <c r="BC1206" s="169"/>
    </row>
    <row r="1207" spans="19:55" ht="15.75" customHeight="1">
      <c r="S1207" s="454"/>
      <c r="BA1207" s="1266"/>
      <c r="BC1207" s="169"/>
    </row>
    <row r="1208" spans="19:55" ht="15.75" customHeight="1">
      <c r="S1208" s="454"/>
      <c r="BA1208" s="1266"/>
      <c r="BC1208" s="169"/>
    </row>
    <row r="1209" spans="19:55" ht="15.75" customHeight="1">
      <c r="S1209" s="454"/>
      <c r="BA1209" s="1266"/>
      <c r="BC1209" s="169"/>
    </row>
    <row r="1210" spans="19:55" ht="15.75" customHeight="1">
      <c r="S1210" s="454"/>
      <c r="BA1210" s="1266"/>
      <c r="BC1210" s="169"/>
    </row>
    <row r="1211" spans="19:55" ht="15.75" customHeight="1">
      <c r="S1211" s="454"/>
      <c r="BA1211" s="1266"/>
      <c r="BC1211" s="169"/>
    </row>
    <row r="1212" spans="19:55" ht="15.75" customHeight="1">
      <c r="S1212" s="454"/>
      <c r="BA1212" s="1266"/>
      <c r="BC1212" s="169"/>
    </row>
    <row r="1213" spans="19:55" ht="15.75" customHeight="1">
      <c r="S1213" s="454"/>
      <c r="BA1213" s="1266"/>
      <c r="BC1213" s="169"/>
    </row>
    <row r="1214" spans="19:55" ht="15.75" customHeight="1">
      <c r="S1214" s="454"/>
      <c r="BA1214" s="1266"/>
      <c r="BC1214" s="169"/>
    </row>
    <row r="1215" spans="19:55" ht="15.75" customHeight="1">
      <c r="S1215" s="454"/>
      <c r="BA1215" s="1266"/>
      <c r="BC1215" s="169"/>
    </row>
    <row r="1216" spans="19:55" ht="15.75" customHeight="1">
      <c r="S1216" s="454"/>
      <c r="BA1216" s="1266"/>
      <c r="BC1216" s="169"/>
    </row>
    <row r="1217" spans="19:55" ht="15.75" customHeight="1">
      <c r="S1217" s="454"/>
      <c r="BA1217" s="1266"/>
      <c r="BC1217" s="169"/>
    </row>
    <row r="1218" spans="19:55" ht="15.75" customHeight="1">
      <c r="S1218" s="454"/>
      <c r="BA1218" s="1266"/>
      <c r="BC1218" s="169"/>
    </row>
    <row r="1219" spans="19:55" ht="15.75" customHeight="1">
      <c r="S1219" s="454"/>
      <c r="BA1219" s="1266"/>
      <c r="BC1219" s="169"/>
    </row>
    <row r="1220" spans="19:55" ht="15.75" customHeight="1">
      <c r="S1220" s="454"/>
      <c r="BA1220" s="1266"/>
      <c r="BC1220" s="169"/>
    </row>
    <row r="1221" spans="19:55" ht="15.75" customHeight="1">
      <c r="S1221" s="454"/>
      <c r="BA1221" s="1266"/>
      <c r="BC1221" s="169"/>
    </row>
    <row r="1222" spans="19:55" ht="15.75" customHeight="1">
      <c r="S1222" s="454"/>
      <c r="BA1222" s="1266"/>
      <c r="BC1222" s="169"/>
    </row>
    <row r="1223" spans="19:55" ht="15.75" customHeight="1">
      <c r="S1223" s="454"/>
      <c r="BA1223" s="1266"/>
      <c r="BC1223" s="169"/>
    </row>
    <row r="1224" spans="19:55" ht="15.75" customHeight="1">
      <c r="S1224" s="454"/>
      <c r="BA1224" s="1266"/>
      <c r="BC1224" s="169"/>
    </row>
    <row r="1225" spans="19:55" ht="15.75" customHeight="1">
      <c r="S1225" s="454"/>
      <c r="BA1225" s="1266"/>
      <c r="BC1225" s="169"/>
    </row>
    <row r="1226" spans="19:55" ht="15.75" customHeight="1">
      <c r="S1226" s="454"/>
      <c r="BA1226" s="1266"/>
      <c r="BC1226" s="169"/>
    </row>
    <row r="1227" spans="19:55" ht="15.75" customHeight="1">
      <c r="S1227" s="454"/>
      <c r="BA1227" s="1266"/>
      <c r="BC1227" s="169"/>
    </row>
    <row r="1228" spans="19:55" ht="15.75" customHeight="1">
      <c r="S1228" s="454"/>
      <c r="BA1228" s="1266"/>
      <c r="BC1228" s="169"/>
    </row>
    <row r="1229" spans="19:55" ht="15.75" customHeight="1">
      <c r="S1229" s="454"/>
      <c r="BA1229" s="1266"/>
      <c r="BC1229" s="169"/>
    </row>
    <row r="1230" spans="19:55" ht="15.75" customHeight="1">
      <c r="S1230" s="454"/>
      <c r="BA1230" s="1266"/>
      <c r="BC1230" s="169"/>
    </row>
    <row r="1231" spans="19:55" ht="15.75" customHeight="1">
      <c r="S1231" s="454"/>
      <c r="BA1231" s="1266"/>
      <c r="BC1231" s="169"/>
    </row>
    <row r="1232" spans="19:55" ht="15.75" customHeight="1">
      <c r="S1232" s="454"/>
      <c r="BA1232" s="1266"/>
      <c r="BC1232" s="169"/>
    </row>
    <row r="1233" spans="19:55" ht="15.75" customHeight="1">
      <c r="S1233" s="454"/>
      <c r="BA1233" s="1266"/>
      <c r="BC1233" s="169"/>
    </row>
    <row r="1234" spans="19:55" ht="15.75" customHeight="1">
      <c r="S1234" s="454"/>
      <c r="BA1234" s="1266"/>
      <c r="BC1234" s="169"/>
    </row>
    <row r="1235" spans="19:55" ht="15.75" customHeight="1">
      <c r="S1235" s="454"/>
      <c r="BA1235" s="1266"/>
      <c r="BC1235" s="169"/>
    </row>
    <row r="1236" spans="19:55" ht="15.75" customHeight="1">
      <c r="S1236" s="454"/>
      <c r="BA1236" s="1266"/>
      <c r="BC1236" s="169"/>
    </row>
    <row r="1237" spans="19:55" ht="15.75" customHeight="1">
      <c r="S1237" s="454"/>
      <c r="BA1237" s="1266"/>
      <c r="BC1237" s="169"/>
    </row>
    <row r="1238" spans="19:55" ht="15.75" customHeight="1">
      <c r="S1238" s="454"/>
      <c r="BA1238" s="1266"/>
      <c r="BC1238" s="169"/>
    </row>
    <row r="1239" spans="19:55" ht="15.75" customHeight="1">
      <c r="S1239" s="454"/>
      <c r="BA1239" s="1266"/>
      <c r="BC1239" s="169"/>
    </row>
    <row r="1240" spans="19:55" ht="15.75" customHeight="1">
      <c r="S1240" s="454"/>
      <c r="BA1240" s="1266"/>
      <c r="BC1240" s="169"/>
    </row>
    <row r="1241" spans="19:55" ht="15.75" customHeight="1">
      <c r="S1241" s="454"/>
      <c r="BA1241" s="1266"/>
      <c r="BC1241" s="169"/>
    </row>
    <row r="1242" spans="19:55" ht="15.75" customHeight="1">
      <c r="S1242" s="454"/>
      <c r="BA1242" s="1266"/>
      <c r="BC1242" s="169"/>
    </row>
    <row r="1243" spans="19:55" ht="15.75" customHeight="1">
      <c r="S1243" s="454"/>
      <c r="BA1243" s="1266"/>
      <c r="BC1243" s="169"/>
    </row>
    <row r="1244" spans="19:55" ht="15.75" customHeight="1">
      <c r="S1244" s="454"/>
      <c r="BA1244" s="1266"/>
      <c r="BC1244" s="169"/>
    </row>
    <row r="1245" spans="19:55" ht="15.75" customHeight="1">
      <c r="S1245" s="454"/>
      <c r="BA1245" s="1266"/>
      <c r="BC1245" s="169"/>
    </row>
    <row r="1246" spans="19:55" ht="15.75" customHeight="1">
      <c r="S1246" s="454"/>
      <c r="BA1246" s="1266"/>
      <c r="BC1246" s="169"/>
    </row>
    <row r="1247" spans="19:55" ht="15.75" customHeight="1">
      <c r="S1247" s="454"/>
      <c r="BA1247" s="1266"/>
      <c r="BC1247" s="169"/>
    </row>
    <row r="1248" spans="19:55" ht="15.75" customHeight="1">
      <c r="S1248" s="454"/>
      <c r="BA1248" s="1266"/>
      <c r="BC1248" s="169"/>
    </row>
    <row r="1249" spans="19:55" ht="15.75" customHeight="1">
      <c r="S1249" s="454"/>
      <c r="BA1249" s="1266"/>
      <c r="BC1249" s="169"/>
    </row>
    <row r="1250" spans="19:55" ht="15.75" customHeight="1">
      <c r="S1250" s="454"/>
      <c r="BA1250" s="1266"/>
      <c r="BC1250" s="169"/>
    </row>
    <row r="1251" spans="19:55" ht="15.75" customHeight="1">
      <c r="S1251" s="454"/>
      <c r="BA1251" s="1266"/>
      <c r="BC1251" s="169"/>
    </row>
    <row r="1252" spans="19:55" ht="15.75" customHeight="1">
      <c r="S1252" s="454"/>
      <c r="BA1252" s="1266"/>
      <c r="BC1252" s="169"/>
    </row>
    <row r="1253" spans="19:55" ht="15.75" customHeight="1">
      <c r="S1253" s="454"/>
      <c r="BA1253" s="1266"/>
      <c r="BC1253" s="169"/>
    </row>
    <row r="1254" spans="19:55" ht="15.75" customHeight="1">
      <c r="S1254" s="454"/>
      <c r="BA1254" s="1266"/>
      <c r="BC1254" s="169"/>
    </row>
    <row r="1255" spans="19:55" ht="15.75" customHeight="1">
      <c r="S1255" s="454"/>
      <c r="BA1255" s="1266"/>
      <c r="BC1255" s="169"/>
    </row>
    <row r="1256" spans="19:55" ht="15.75" customHeight="1">
      <c r="S1256" s="454"/>
      <c r="BA1256" s="1266"/>
      <c r="BC1256" s="169"/>
    </row>
    <row r="1257" spans="19:55" ht="15.75" customHeight="1">
      <c r="S1257" s="454"/>
      <c r="BA1257" s="1266"/>
      <c r="BC1257" s="169"/>
    </row>
    <row r="1258" spans="19:55" ht="15.75" customHeight="1">
      <c r="S1258" s="454"/>
      <c r="BA1258" s="1266"/>
      <c r="BC1258" s="169"/>
    </row>
    <row r="1259" spans="19:55" ht="15.75" customHeight="1">
      <c r="S1259" s="454"/>
      <c r="BA1259" s="1266"/>
      <c r="BC1259" s="169"/>
    </row>
    <row r="1260" spans="19:55" ht="15.75" customHeight="1">
      <c r="S1260" s="454"/>
      <c r="BA1260" s="1266"/>
      <c r="BC1260" s="169"/>
    </row>
    <row r="1261" spans="19:55" ht="15.75" customHeight="1">
      <c r="S1261" s="454"/>
      <c r="BA1261" s="1266"/>
      <c r="BC1261" s="169"/>
    </row>
    <row r="1262" spans="19:55" ht="15.75" customHeight="1">
      <c r="S1262" s="454"/>
      <c r="BA1262" s="1266"/>
      <c r="BC1262" s="169"/>
    </row>
    <row r="1263" spans="19:55" ht="15.75" customHeight="1">
      <c r="S1263" s="454"/>
      <c r="BA1263" s="1266"/>
      <c r="BC1263" s="169"/>
    </row>
    <row r="1264" spans="19:55" ht="15.75" customHeight="1">
      <c r="S1264" s="454"/>
      <c r="BA1264" s="1266"/>
      <c r="BC1264" s="169"/>
    </row>
    <row r="1265" spans="19:55" ht="15.75" customHeight="1">
      <c r="S1265" s="454"/>
      <c r="BA1265" s="1266"/>
      <c r="BC1265" s="169"/>
    </row>
    <row r="1266" spans="19:55" ht="15.75" customHeight="1">
      <c r="S1266" s="454"/>
      <c r="BA1266" s="1266"/>
      <c r="BC1266" s="169"/>
    </row>
    <row r="1267" spans="19:55" ht="15.75" customHeight="1">
      <c r="S1267" s="454"/>
      <c r="BA1267" s="1266"/>
      <c r="BC1267" s="169"/>
    </row>
    <row r="1268" spans="19:55" ht="15.75" customHeight="1">
      <c r="S1268" s="454"/>
      <c r="BA1268" s="1266"/>
      <c r="BC1268" s="169"/>
    </row>
    <row r="1269" spans="19:55" ht="15.75" customHeight="1">
      <c r="S1269" s="454"/>
      <c r="BA1269" s="1266"/>
      <c r="BC1269" s="169"/>
    </row>
    <row r="1270" spans="19:55" ht="15.75" customHeight="1">
      <c r="S1270" s="454"/>
      <c r="BA1270" s="1266"/>
      <c r="BC1270" s="169"/>
    </row>
    <row r="1271" spans="19:55" ht="15.75" customHeight="1">
      <c r="S1271" s="454"/>
      <c r="BA1271" s="1266"/>
      <c r="BC1271" s="169"/>
    </row>
    <row r="1272" spans="19:55" ht="15.75" customHeight="1">
      <c r="S1272" s="454"/>
      <c r="BA1272" s="1266"/>
      <c r="BC1272" s="169"/>
    </row>
    <row r="1273" spans="19:55" ht="15.75" customHeight="1">
      <c r="S1273" s="454"/>
      <c r="BA1273" s="1266"/>
      <c r="BC1273" s="169"/>
    </row>
    <row r="1274" spans="19:55" ht="15.75" customHeight="1">
      <c r="S1274" s="454"/>
      <c r="BA1274" s="1266"/>
      <c r="BC1274" s="169"/>
    </row>
    <row r="1275" spans="19:55" ht="15.75" customHeight="1">
      <c r="S1275" s="454"/>
      <c r="BA1275" s="1266"/>
      <c r="BC1275" s="169"/>
    </row>
    <row r="1276" spans="19:55" ht="15.75" customHeight="1">
      <c r="S1276" s="454"/>
      <c r="BA1276" s="1266"/>
      <c r="BC1276" s="169"/>
    </row>
    <row r="1277" spans="19:55" ht="15.75" customHeight="1">
      <c r="S1277" s="454"/>
      <c r="BA1277" s="1266"/>
      <c r="BC1277" s="169"/>
    </row>
    <row r="1278" spans="19:55" ht="15.75" customHeight="1">
      <c r="S1278" s="454"/>
      <c r="BA1278" s="1266"/>
      <c r="BC1278" s="169"/>
    </row>
    <row r="1279" spans="19:55" ht="15.75" customHeight="1">
      <c r="S1279" s="454"/>
      <c r="BA1279" s="1266"/>
      <c r="BC1279" s="169"/>
    </row>
    <row r="1280" spans="19:55" ht="15.75" customHeight="1">
      <c r="S1280" s="454"/>
      <c r="BA1280" s="1266"/>
      <c r="BC1280" s="169"/>
    </row>
    <row r="1281" spans="19:55" ht="15.75" customHeight="1">
      <c r="S1281" s="454"/>
      <c r="BA1281" s="1266"/>
      <c r="BC1281" s="169"/>
    </row>
    <row r="1282" spans="19:55" ht="15.75" customHeight="1">
      <c r="S1282" s="454"/>
      <c r="BA1282" s="1266"/>
      <c r="BC1282" s="169"/>
    </row>
    <row r="1283" spans="19:55" ht="15.75" customHeight="1">
      <c r="S1283" s="454"/>
      <c r="BA1283" s="1266"/>
      <c r="BC1283" s="169"/>
    </row>
    <row r="1284" spans="19:55" ht="15.75" customHeight="1">
      <c r="S1284" s="454"/>
      <c r="BA1284" s="1266"/>
      <c r="BC1284" s="169"/>
    </row>
    <row r="1285" spans="19:55" ht="15.75" customHeight="1">
      <c r="S1285" s="454"/>
      <c r="BA1285" s="1266"/>
      <c r="BC1285" s="169"/>
    </row>
    <row r="1286" spans="19:55" ht="15.75" customHeight="1">
      <c r="S1286" s="454"/>
      <c r="BA1286" s="1266"/>
      <c r="BC1286" s="169"/>
    </row>
    <row r="1287" spans="19:55" ht="15.75" customHeight="1">
      <c r="S1287" s="454"/>
      <c r="BA1287" s="1266"/>
      <c r="BC1287" s="169"/>
    </row>
    <row r="1288" spans="19:55" ht="15.75" customHeight="1">
      <c r="S1288" s="454"/>
      <c r="BA1288" s="1266"/>
      <c r="BC1288" s="169"/>
    </row>
    <row r="1289" spans="19:55" ht="15.75" customHeight="1">
      <c r="S1289" s="454"/>
      <c r="BA1289" s="1266"/>
      <c r="BC1289" s="169"/>
    </row>
    <row r="1290" spans="19:55" ht="15.75" customHeight="1">
      <c r="S1290" s="454"/>
      <c r="BA1290" s="1266"/>
      <c r="BC1290" s="169"/>
    </row>
    <row r="1291" spans="19:55" ht="15.75" customHeight="1">
      <c r="S1291" s="454"/>
      <c r="BA1291" s="1266"/>
      <c r="BC1291" s="169"/>
    </row>
    <row r="1292" spans="19:55" ht="15.75" customHeight="1">
      <c r="S1292" s="454"/>
      <c r="BA1292" s="1266"/>
      <c r="BC1292" s="169"/>
    </row>
    <row r="1293" spans="19:55" ht="15.75" customHeight="1">
      <c r="S1293" s="454"/>
      <c r="BA1293" s="1266"/>
      <c r="BC1293" s="169"/>
    </row>
    <row r="1294" spans="19:55" ht="15.75" customHeight="1">
      <c r="S1294" s="454"/>
      <c r="BA1294" s="1266"/>
      <c r="BC1294" s="169"/>
    </row>
    <row r="1295" spans="19:55" ht="15.75" customHeight="1">
      <c r="S1295" s="454"/>
      <c r="BA1295" s="1266"/>
      <c r="BC1295" s="169"/>
    </row>
    <row r="1296" spans="19:55" ht="15.75" customHeight="1">
      <c r="S1296" s="454"/>
      <c r="BC1296" s="169"/>
    </row>
    <row r="1297" spans="19:55" ht="15.75" customHeight="1">
      <c r="S1297" s="454"/>
      <c r="BC1297" s="169"/>
    </row>
    <row r="1298" spans="19:55" ht="15.75" customHeight="1">
      <c r="S1298" s="454"/>
      <c r="BC1298" s="169"/>
    </row>
    <row r="1299" spans="19:55" ht="15.75" customHeight="1">
      <c r="S1299" s="454"/>
      <c r="BC1299" s="169"/>
    </row>
    <row r="1300" spans="19:55" ht="15.75" customHeight="1">
      <c r="S1300" s="454"/>
      <c r="BC1300" s="169"/>
    </row>
    <row r="1301" spans="19:55" ht="15.75" customHeight="1">
      <c r="S1301" s="454"/>
      <c r="BC1301" s="169"/>
    </row>
    <row r="1302" spans="19:55" ht="15.75" customHeight="1">
      <c r="S1302" s="454"/>
      <c r="BC1302" s="169"/>
    </row>
    <row r="1303" spans="19:55" ht="15.75" customHeight="1">
      <c r="S1303" s="454"/>
      <c r="BC1303" s="169"/>
    </row>
    <row r="1304" spans="19:55" ht="15.75" customHeight="1">
      <c r="S1304" s="454"/>
      <c r="BC1304" s="169"/>
    </row>
    <row r="1305" spans="19:55" ht="15.75" customHeight="1">
      <c r="S1305" s="454"/>
      <c r="BC1305" s="169"/>
    </row>
    <row r="1306" spans="19:55" ht="15.75" customHeight="1">
      <c r="S1306" s="454"/>
      <c r="BC1306" s="169"/>
    </row>
    <row r="1307" spans="19:55" ht="15.75" customHeight="1">
      <c r="S1307" s="454"/>
      <c r="BC1307" s="169"/>
    </row>
    <row r="1308" spans="19:55" ht="15.75" customHeight="1">
      <c r="S1308" s="454"/>
      <c r="BC1308" s="169"/>
    </row>
    <row r="1309" spans="19:55" ht="15.75" customHeight="1">
      <c r="S1309" s="454"/>
      <c r="BC1309" s="169"/>
    </row>
    <row r="1310" spans="19:55" ht="15.75" customHeight="1">
      <c r="S1310" s="454"/>
      <c r="BC1310" s="169"/>
    </row>
    <row r="1311" spans="19:55" ht="15.75" customHeight="1">
      <c r="S1311" s="454"/>
      <c r="BC1311" s="169"/>
    </row>
    <row r="1312" spans="19:55" ht="15.75" customHeight="1">
      <c r="S1312" s="454"/>
      <c r="BC1312" s="169"/>
    </row>
    <row r="1313" spans="19:55" ht="15.75" customHeight="1">
      <c r="S1313" s="454"/>
      <c r="BC1313" s="169"/>
    </row>
    <row r="1314" spans="19:55" ht="15.75" customHeight="1">
      <c r="S1314" s="454"/>
      <c r="BC1314" s="169"/>
    </row>
    <row r="1315" spans="19:55" ht="15.75" customHeight="1">
      <c r="S1315" s="454"/>
      <c r="BC1315" s="169"/>
    </row>
    <row r="1316" spans="19:55" ht="15.75" customHeight="1">
      <c r="S1316" s="454"/>
      <c r="BC1316" s="169"/>
    </row>
    <row r="1317" spans="19:55" ht="15.75" customHeight="1">
      <c r="S1317" s="454"/>
      <c r="BC1317" s="169"/>
    </row>
    <row r="1318" spans="19:55" ht="15.75" customHeight="1">
      <c r="S1318" s="454"/>
      <c r="BC1318" s="169"/>
    </row>
    <row r="1319" spans="19:55" ht="15.75" customHeight="1">
      <c r="S1319" s="454"/>
      <c r="BC1319" s="169"/>
    </row>
    <row r="1320" spans="19:55" ht="15.75" customHeight="1">
      <c r="S1320" s="454"/>
      <c r="BC1320" s="169"/>
    </row>
    <row r="1321" spans="19:55" ht="15.75" customHeight="1">
      <c r="S1321" s="454"/>
      <c r="BC1321" s="169"/>
    </row>
    <row r="1322" spans="19:55" ht="15.75" customHeight="1">
      <c r="S1322" s="454"/>
      <c r="BC1322" s="169"/>
    </row>
    <row r="1323" spans="19:55" ht="15.75" customHeight="1">
      <c r="S1323" s="454"/>
      <c r="BC1323" s="169"/>
    </row>
    <row r="1324" spans="19:55" ht="15.75" customHeight="1">
      <c r="S1324" s="454"/>
      <c r="BC1324" s="169"/>
    </row>
    <row r="1325" spans="19:55" ht="15.75" customHeight="1">
      <c r="S1325" s="454"/>
      <c r="BC1325" s="169"/>
    </row>
    <row r="1326" spans="19:55" ht="15.75" customHeight="1">
      <c r="S1326" s="454"/>
      <c r="BC1326" s="169"/>
    </row>
    <row r="1327" spans="19:55" ht="15.75" customHeight="1">
      <c r="S1327" s="454"/>
      <c r="BC1327" s="169"/>
    </row>
    <row r="1328" spans="19:55" ht="15.75" customHeight="1">
      <c r="S1328" s="454"/>
      <c r="BC1328" s="169"/>
    </row>
    <row r="1329" spans="19:55" ht="15.75" customHeight="1">
      <c r="S1329" s="454"/>
      <c r="BC1329" s="169"/>
    </row>
    <row r="1330" spans="19:55" ht="15.75" customHeight="1">
      <c r="S1330" s="454"/>
      <c r="BC1330" s="169"/>
    </row>
    <row r="1331" spans="19:55" ht="15.75" customHeight="1">
      <c r="S1331" s="454"/>
      <c r="BC1331" s="169"/>
    </row>
    <row r="1332" spans="19:55" ht="15.75" customHeight="1">
      <c r="S1332" s="454"/>
      <c r="BC1332" s="169"/>
    </row>
    <row r="1333" spans="19:55" ht="15.75" customHeight="1">
      <c r="S1333" s="454"/>
      <c r="BC1333" s="169"/>
    </row>
    <row r="1334" spans="19:55" ht="15.75" customHeight="1">
      <c r="S1334" s="454"/>
      <c r="BC1334" s="169"/>
    </row>
    <row r="1335" spans="19:55" ht="15.75" customHeight="1">
      <c r="S1335" s="454"/>
      <c r="BC1335" s="169"/>
    </row>
    <row r="1336" spans="19:55" ht="15.75" customHeight="1">
      <c r="S1336" s="454"/>
      <c r="BC1336" s="169"/>
    </row>
    <row r="1337" spans="19:55" ht="15.75" customHeight="1">
      <c r="S1337" s="454"/>
      <c r="BC1337" s="169"/>
    </row>
    <row r="1338" spans="19:55" ht="15.75" customHeight="1">
      <c r="S1338" s="454"/>
      <c r="BC1338" s="169"/>
    </row>
    <row r="1339" spans="19:55" ht="15.75" customHeight="1">
      <c r="S1339" s="454"/>
      <c r="BC1339" s="169"/>
    </row>
    <row r="1340" spans="19:55" ht="15.75" customHeight="1">
      <c r="S1340" s="454"/>
      <c r="BC1340" s="169"/>
    </row>
    <row r="1341" spans="19:55" ht="15.75" customHeight="1">
      <c r="S1341" s="454"/>
      <c r="BC1341" s="169"/>
    </row>
    <row r="1342" spans="19:55" ht="15.75" customHeight="1">
      <c r="S1342" s="454"/>
      <c r="BC1342" s="169"/>
    </row>
    <row r="1343" spans="19:55" ht="15.75" customHeight="1">
      <c r="S1343" s="454"/>
      <c r="BC1343" s="169"/>
    </row>
    <row r="1344" spans="19:55" ht="15.75" customHeight="1">
      <c r="S1344" s="454"/>
      <c r="BC1344" s="169"/>
    </row>
    <row r="1345" spans="19:55" ht="15.75" customHeight="1">
      <c r="S1345" s="454"/>
      <c r="BC1345" s="169"/>
    </row>
    <row r="1346" spans="19:55" ht="15.75" customHeight="1">
      <c r="S1346" s="454"/>
      <c r="BC1346" s="169"/>
    </row>
    <row r="1347" spans="19:55" ht="15.75" customHeight="1">
      <c r="S1347" s="454"/>
      <c r="BC1347" s="169"/>
    </row>
    <row r="1348" spans="19:55" ht="15.75" customHeight="1">
      <c r="S1348" s="454"/>
      <c r="BC1348" s="169"/>
    </row>
    <row r="1349" spans="19:55" ht="15.75" customHeight="1">
      <c r="S1349" s="454"/>
      <c r="BC1349" s="169"/>
    </row>
    <row r="1350" spans="19:55" ht="15.75" customHeight="1">
      <c r="S1350" s="454"/>
      <c r="BC1350" s="169"/>
    </row>
    <row r="1351" spans="19:55" ht="15.75" customHeight="1">
      <c r="S1351" s="454"/>
      <c r="BC1351" s="169"/>
    </row>
    <row r="1352" spans="19:55" ht="15.75" customHeight="1">
      <c r="S1352" s="454"/>
      <c r="BC1352" s="169"/>
    </row>
    <row r="1353" spans="19:55" ht="15.75" customHeight="1">
      <c r="S1353" s="454"/>
      <c r="BC1353" s="169"/>
    </row>
    <row r="1354" spans="19:55" ht="15.75" customHeight="1">
      <c r="S1354" s="454"/>
      <c r="BC1354" s="169"/>
    </row>
    <row r="1355" spans="19:55" ht="15.75" customHeight="1">
      <c r="S1355" s="454"/>
      <c r="BC1355" s="169"/>
    </row>
    <row r="1356" spans="19:55" ht="15.75" customHeight="1">
      <c r="S1356" s="454"/>
      <c r="BC1356" s="169"/>
    </row>
    <row r="1357" spans="19:55" ht="15.75" customHeight="1">
      <c r="S1357" s="454"/>
      <c r="BC1357" s="169"/>
    </row>
    <row r="1358" spans="19:55" ht="15.75" customHeight="1">
      <c r="S1358" s="454"/>
      <c r="BC1358" s="169"/>
    </row>
    <row r="1359" spans="19:55" ht="15.75" customHeight="1">
      <c r="S1359" s="454"/>
      <c r="BC1359" s="169"/>
    </row>
    <row r="1360" spans="19:55" ht="15.75" customHeight="1">
      <c r="S1360" s="454"/>
      <c r="BC1360" s="169"/>
    </row>
    <row r="1361" spans="19:55" ht="15.75" customHeight="1">
      <c r="S1361" s="454"/>
      <c r="BC1361" s="169"/>
    </row>
    <row r="1362" spans="19:55" ht="15.75" customHeight="1">
      <c r="S1362" s="454"/>
      <c r="BC1362" s="169"/>
    </row>
    <row r="1363" spans="19:55" ht="15.75" customHeight="1">
      <c r="S1363" s="454"/>
      <c r="BC1363" s="169"/>
    </row>
    <row r="1364" spans="19:55" ht="15.75" customHeight="1">
      <c r="S1364" s="454"/>
      <c r="BC1364" s="169"/>
    </row>
    <row r="1365" spans="19:55" ht="15.75" customHeight="1">
      <c r="S1365" s="454"/>
      <c r="BC1365" s="169"/>
    </row>
    <row r="1366" spans="19:55" ht="15.75" customHeight="1">
      <c r="S1366" s="454"/>
      <c r="BC1366" s="169"/>
    </row>
    <row r="1367" spans="19:55" ht="15.75" customHeight="1">
      <c r="S1367" s="454"/>
      <c r="BC1367" s="169"/>
    </row>
    <row r="1368" spans="19:55" ht="15.75" customHeight="1">
      <c r="S1368" s="454"/>
      <c r="BC1368" s="169"/>
    </row>
    <row r="1369" spans="19:55" ht="15.75" customHeight="1">
      <c r="S1369" s="454"/>
      <c r="BC1369" s="169"/>
    </row>
    <row r="1370" spans="19:55" ht="15.75" customHeight="1">
      <c r="S1370" s="454"/>
      <c r="BC1370" s="169"/>
    </row>
    <row r="1371" spans="19:55" ht="15.75" customHeight="1">
      <c r="S1371" s="454"/>
      <c r="BC1371" s="169"/>
    </row>
    <row r="1372" spans="19:55" ht="15.75" customHeight="1">
      <c r="S1372" s="454"/>
      <c r="BC1372" s="169"/>
    </row>
    <row r="1373" spans="19:55" ht="15.75" customHeight="1">
      <c r="S1373" s="454"/>
      <c r="BC1373" s="169"/>
    </row>
    <row r="1374" spans="19:55" ht="15.75" customHeight="1">
      <c r="S1374" s="454"/>
      <c r="BC1374" s="169"/>
    </row>
    <row r="1375" spans="19:55" ht="15.75" customHeight="1">
      <c r="S1375" s="454"/>
      <c r="BC1375" s="169"/>
    </row>
    <row r="1376" spans="19:55" ht="15.75" customHeight="1">
      <c r="S1376" s="454"/>
      <c r="BC1376" s="169"/>
    </row>
    <row r="1377" spans="19:55" ht="15.75" customHeight="1">
      <c r="S1377" s="454"/>
      <c r="BC1377" s="169"/>
    </row>
    <row r="1378" spans="19:55" ht="15.75" customHeight="1">
      <c r="S1378" s="454"/>
      <c r="BC1378" s="169"/>
    </row>
    <row r="1379" spans="19:55" ht="15.75" customHeight="1">
      <c r="S1379" s="454"/>
      <c r="BC1379" s="169"/>
    </row>
    <row r="1380" spans="19:55" ht="15.75" customHeight="1">
      <c r="S1380" s="454"/>
      <c r="BC1380" s="169"/>
    </row>
    <row r="1381" spans="19:55" ht="15.75" customHeight="1">
      <c r="S1381" s="454"/>
      <c r="BC1381" s="169"/>
    </row>
    <row r="1382" spans="19:55" ht="15.75" customHeight="1">
      <c r="S1382" s="454"/>
      <c r="BC1382" s="169"/>
    </row>
    <row r="1383" spans="19:55" ht="15.75" customHeight="1">
      <c r="S1383" s="454"/>
      <c r="BC1383" s="169"/>
    </row>
    <row r="1384" spans="19:55" ht="15.75" customHeight="1">
      <c r="S1384" s="454"/>
      <c r="BC1384" s="169"/>
    </row>
    <row r="1385" spans="19:55" ht="15.75" customHeight="1">
      <c r="S1385" s="454"/>
      <c r="BC1385" s="169"/>
    </row>
    <row r="1386" spans="19:55" ht="15.75" customHeight="1">
      <c r="S1386" s="454"/>
      <c r="BC1386" s="169"/>
    </row>
    <row r="1387" spans="19:55" ht="15.75" customHeight="1">
      <c r="S1387" s="454"/>
      <c r="BC1387" s="169"/>
    </row>
    <row r="1388" spans="19:55" ht="15.75" customHeight="1">
      <c r="S1388" s="454"/>
      <c r="BC1388" s="169"/>
    </row>
    <row r="1389" spans="19:55" ht="15.75" customHeight="1">
      <c r="S1389" s="454"/>
      <c r="BC1389" s="169"/>
    </row>
    <row r="1390" spans="19:55" ht="15.75" customHeight="1">
      <c r="S1390" s="454"/>
      <c r="BC1390" s="169"/>
    </row>
    <row r="1391" spans="19:55" ht="15.75" customHeight="1">
      <c r="S1391" s="454"/>
      <c r="BC1391" s="169"/>
    </row>
    <row r="1392" spans="19:55" ht="15.75" customHeight="1">
      <c r="S1392" s="454"/>
      <c r="BC1392" s="169"/>
    </row>
    <row r="1393" spans="19:55" ht="15.75" customHeight="1">
      <c r="S1393" s="454"/>
      <c r="BC1393" s="169"/>
    </row>
    <row r="1394" spans="19:55" ht="15.75" customHeight="1">
      <c r="S1394" s="454"/>
      <c r="BC1394" s="169"/>
    </row>
    <row r="1395" spans="19:55" ht="15.75" customHeight="1">
      <c r="S1395" s="454"/>
      <c r="BC1395" s="169"/>
    </row>
    <row r="1396" spans="19:55" ht="15.75" customHeight="1">
      <c r="S1396" s="454"/>
      <c r="BC1396" s="169"/>
    </row>
    <row r="1397" spans="19:55" ht="15.75" customHeight="1">
      <c r="S1397" s="454"/>
      <c r="BC1397" s="169"/>
    </row>
    <row r="1398" spans="19:55" ht="15.75" customHeight="1">
      <c r="S1398" s="454"/>
      <c r="BC1398" s="169"/>
    </row>
    <row r="1399" spans="19:55" ht="15.75" customHeight="1">
      <c r="S1399" s="454"/>
      <c r="BC1399" s="169"/>
    </row>
    <row r="1400" spans="19:55" ht="15.75" customHeight="1">
      <c r="S1400" s="454"/>
      <c r="BC1400" s="169"/>
    </row>
    <row r="1401" spans="19:55" ht="15.75" customHeight="1">
      <c r="S1401" s="454"/>
      <c r="BC1401" s="169"/>
    </row>
    <row r="1402" spans="19:55" ht="15.75" customHeight="1">
      <c r="S1402" s="454"/>
      <c r="BC1402" s="169"/>
    </row>
    <row r="1403" spans="19:55" ht="15.75" customHeight="1">
      <c r="S1403" s="454"/>
      <c r="BC1403" s="169"/>
    </row>
    <row r="1404" spans="19:55" ht="15.75" customHeight="1">
      <c r="S1404" s="454"/>
      <c r="BC1404" s="169"/>
    </row>
    <row r="1405" spans="19:55" ht="15.75" customHeight="1">
      <c r="S1405" s="454"/>
      <c r="BC1405" s="169"/>
    </row>
    <row r="1406" spans="19:55" ht="15.75" customHeight="1">
      <c r="S1406" s="454"/>
      <c r="BC1406" s="169"/>
    </row>
    <row r="1407" spans="19:55" ht="15.75" customHeight="1">
      <c r="S1407" s="454"/>
      <c r="BC1407" s="169"/>
    </row>
    <row r="1408" spans="19:55" ht="15.75" customHeight="1">
      <c r="S1408" s="454"/>
      <c r="BC1408" s="169"/>
    </row>
    <row r="1409" spans="19:55" ht="15.75" customHeight="1">
      <c r="S1409" s="454"/>
      <c r="BC1409" s="169"/>
    </row>
    <row r="1410" spans="19:55" ht="15.75" customHeight="1">
      <c r="S1410" s="454"/>
      <c r="BC1410" s="169"/>
    </row>
    <row r="1411" spans="19:55" ht="15.75" customHeight="1">
      <c r="S1411" s="454"/>
      <c r="BC1411" s="169"/>
    </row>
    <row r="1412" spans="19:55" ht="15.75" customHeight="1">
      <c r="S1412" s="454"/>
      <c r="BC1412" s="169"/>
    </row>
    <row r="1413" spans="19:55" ht="15.75" customHeight="1">
      <c r="S1413" s="454"/>
      <c r="BC1413" s="169"/>
    </row>
    <row r="1414" spans="19:55" ht="15.75" customHeight="1">
      <c r="S1414" s="454"/>
      <c r="BC1414" s="169"/>
    </row>
    <row r="1415" spans="19:55" ht="15.75" customHeight="1">
      <c r="S1415" s="454"/>
      <c r="BC1415" s="169"/>
    </row>
    <row r="1416" spans="19:55" ht="15.75" customHeight="1">
      <c r="S1416" s="454"/>
      <c r="BC1416" s="169"/>
    </row>
    <row r="1417" spans="19:55" ht="15.75" customHeight="1">
      <c r="S1417" s="454"/>
      <c r="BC1417" s="169"/>
    </row>
    <row r="1418" spans="19:55" ht="15.75" customHeight="1">
      <c r="S1418" s="454"/>
      <c r="BC1418" s="169"/>
    </row>
    <row r="1419" spans="19:55" ht="15.75" customHeight="1">
      <c r="S1419" s="454"/>
      <c r="BC1419" s="169"/>
    </row>
    <row r="1420" spans="19:55" ht="15.75" customHeight="1">
      <c r="S1420" s="454"/>
      <c r="BC1420" s="169"/>
    </row>
    <row r="1421" spans="19:55" ht="15.75" customHeight="1">
      <c r="S1421" s="454"/>
      <c r="BC1421" s="169"/>
    </row>
    <row r="1422" spans="19:55" ht="15.75" customHeight="1">
      <c r="S1422" s="454"/>
      <c r="BC1422" s="169"/>
    </row>
    <row r="1423" spans="19:55" ht="15.75" customHeight="1">
      <c r="S1423" s="454"/>
      <c r="BC1423" s="169"/>
    </row>
    <row r="1424" spans="19:55" ht="15.75" customHeight="1">
      <c r="S1424" s="454"/>
      <c r="BC1424" s="169"/>
    </row>
    <row r="1425" spans="19:55" ht="15.75" customHeight="1">
      <c r="S1425" s="454"/>
      <c r="BC1425" s="169"/>
    </row>
    <row r="1426" spans="19:55" ht="15.75" customHeight="1">
      <c r="S1426" s="454"/>
      <c r="BC1426" s="169"/>
    </row>
    <row r="1427" spans="19:55" ht="15.75" customHeight="1">
      <c r="S1427" s="454"/>
      <c r="BC1427" s="169"/>
    </row>
    <row r="1428" spans="19:55" ht="15.75" customHeight="1">
      <c r="S1428" s="454"/>
      <c r="BC1428" s="169"/>
    </row>
    <row r="1429" spans="19:55" ht="15.75" customHeight="1">
      <c r="S1429" s="454"/>
      <c r="BC1429" s="169"/>
    </row>
    <row r="1430" spans="19:55" ht="15.75" customHeight="1">
      <c r="S1430" s="454"/>
      <c r="BC1430" s="169"/>
    </row>
    <row r="1431" spans="19:55" ht="15.75" customHeight="1">
      <c r="S1431" s="454"/>
      <c r="BC1431" s="169"/>
    </row>
    <row r="1432" spans="19:55" ht="15.75" customHeight="1">
      <c r="S1432" s="454"/>
      <c r="BC1432" s="169"/>
    </row>
    <row r="1433" spans="19:55" ht="15.75" customHeight="1">
      <c r="S1433" s="454"/>
      <c r="BC1433" s="169"/>
    </row>
    <row r="1434" spans="19:55" ht="15.75" customHeight="1">
      <c r="S1434" s="454"/>
      <c r="BC1434" s="169"/>
    </row>
    <row r="1435" spans="19:55" ht="15.75" customHeight="1">
      <c r="S1435" s="454"/>
      <c r="BC1435" s="169"/>
    </row>
    <row r="1436" spans="19:55" ht="15.75" customHeight="1">
      <c r="S1436" s="454"/>
      <c r="BC1436" s="169"/>
    </row>
    <row r="1437" spans="19:55" ht="15.75" customHeight="1">
      <c r="S1437" s="454"/>
      <c r="BC1437" s="169"/>
    </row>
    <row r="1438" spans="19:55" ht="15.75" customHeight="1">
      <c r="S1438" s="454"/>
      <c r="BC1438" s="169"/>
    </row>
    <row r="1439" spans="19:55" ht="15.75" customHeight="1">
      <c r="S1439" s="454"/>
      <c r="BC1439" s="169"/>
    </row>
    <row r="1440" spans="19:55" ht="15.75" customHeight="1">
      <c r="S1440" s="454"/>
      <c r="BC1440" s="169"/>
    </row>
    <row r="1441" spans="19:55" ht="15.75" customHeight="1">
      <c r="S1441" s="454"/>
      <c r="BC1441" s="169"/>
    </row>
    <row r="1442" spans="19:55" ht="15.75" customHeight="1">
      <c r="S1442" s="454"/>
      <c r="BC1442" s="169"/>
    </row>
    <row r="1443" spans="19:55" ht="15.75" customHeight="1">
      <c r="S1443" s="454"/>
      <c r="BC1443" s="169"/>
    </row>
    <row r="1444" spans="19:55" ht="15.75" customHeight="1">
      <c r="S1444" s="454"/>
      <c r="BC1444" s="169"/>
    </row>
    <row r="1445" spans="19:55" ht="15.75" customHeight="1">
      <c r="S1445" s="454"/>
      <c r="BC1445" s="169"/>
    </row>
    <row r="1446" spans="19:55" ht="15.75" customHeight="1">
      <c r="S1446" s="454"/>
      <c r="BC1446" s="169"/>
    </row>
    <row r="1447" spans="19:55" ht="15.75" customHeight="1">
      <c r="S1447" s="454"/>
      <c r="BC1447" s="169"/>
    </row>
    <row r="1448" spans="19:55" ht="15.75" customHeight="1">
      <c r="S1448" s="454"/>
      <c r="BC1448" s="169"/>
    </row>
    <row r="1449" spans="19:55" ht="15.75" customHeight="1">
      <c r="S1449" s="454"/>
      <c r="BC1449" s="169"/>
    </row>
    <row r="1450" spans="19:55" ht="15.75" customHeight="1">
      <c r="S1450" s="454"/>
      <c r="BC1450" s="169"/>
    </row>
    <row r="1451" spans="19:55" ht="15.75" customHeight="1">
      <c r="S1451" s="454"/>
      <c r="BC1451" s="169"/>
    </row>
    <row r="1452" spans="19:55" ht="15.75" customHeight="1">
      <c r="S1452" s="454"/>
      <c r="BC1452" s="169"/>
    </row>
    <row r="1453" spans="19:55" ht="15.75" customHeight="1">
      <c r="S1453" s="454"/>
      <c r="BC1453" s="169"/>
    </row>
    <row r="1454" spans="19:55" ht="15.75" customHeight="1">
      <c r="S1454" s="454"/>
      <c r="BC1454" s="169"/>
    </row>
    <row r="1455" spans="19:55" ht="15.75" customHeight="1">
      <c r="S1455" s="454"/>
      <c r="BC1455" s="169"/>
    </row>
    <row r="1456" spans="19:55" ht="15.75" customHeight="1">
      <c r="S1456" s="454"/>
      <c r="BC1456" s="169"/>
    </row>
    <row r="1457" spans="19:55" ht="15.75" customHeight="1">
      <c r="S1457" s="454"/>
      <c r="BC1457" s="169"/>
    </row>
    <row r="1458" spans="19:55" ht="15.75" customHeight="1">
      <c r="S1458" s="454"/>
      <c r="BC1458" s="169"/>
    </row>
    <row r="1459" spans="19:55" ht="15.75" customHeight="1">
      <c r="S1459" s="454"/>
      <c r="BC1459" s="169"/>
    </row>
    <row r="1460" spans="19:55" ht="15.75" customHeight="1">
      <c r="S1460" s="454"/>
      <c r="BC1460" s="169"/>
    </row>
    <row r="1461" spans="19:55" ht="15.75" customHeight="1">
      <c r="S1461" s="454"/>
      <c r="BC1461" s="169"/>
    </row>
    <row r="1462" spans="19:55" ht="15.75" customHeight="1">
      <c r="S1462" s="454"/>
      <c r="BC1462" s="169"/>
    </row>
    <row r="1463" spans="19:55" ht="15.75" customHeight="1">
      <c r="S1463" s="454"/>
      <c r="BC1463" s="169"/>
    </row>
    <row r="1464" spans="19:55" ht="15.75" customHeight="1">
      <c r="S1464" s="454"/>
      <c r="BC1464" s="169"/>
    </row>
    <row r="1465" spans="19:55" ht="15.75" customHeight="1">
      <c r="S1465" s="454"/>
      <c r="BC1465" s="169"/>
    </row>
    <row r="1466" spans="19:55" ht="15.75" customHeight="1">
      <c r="S1466" s="454"/>
      <c r="BC1466" s="169"/>
    </row>
    <row r="1467" spans="19:55" ht="15.75" customHeight="1">
      <c r="S1467" s="454"/>
      <c r="BC1467" s="169"/>
    </row>
    <row r="1468" spans="19:55" ht="15.75" customHeight="1">
      <c r="S1468" s="454"/>
      <c r="BC1468" s="169"/>
    </row>
    <row r="1469" spans="19:55" ht="15.75" customHeight="1">
      <c r="S1469" s="454"/>
      <c r="BC1469" s="169"/>
    </row>
    <row r="1470" spans="19:55" ht="15.75" customHeight="1">
      <c r="S1470" s="454"/>
      <c r="BC1470" s="169"/>
    </row>
    <row r="1471" spans="19:55" ht="15.75" customHeight="1">
      <c r="S1471" s="454"/>
      <c r="BC1471" s="169"/>
    </row>
    <row r="1472" spans="19:55" ht="15.75" customHeight="1">
      <c r="S1472" s="454"/>
      <c r="BC1472" s="169"/>
    </row>
    <row r="1473" spans="19:55" ht="15.75" customHeight="1">
      <c r="S1473" s="454"/>
      <c r="BC1473" s="169"/>
    </row>
    <row r="1474" spans="19:55" ht="15.75" customHeight="1">
      <c r="S1474" s="454"/>
      <c r="BC1474" s="169"/>
    </row>
    <row r="1475" spans="19:55" ht="15.75" customHeight="1">
      <c r="S1475" s="454"/>
      <c r="BC1475" s="169"/>
    </row>
    <row r="1476" spans="19:55" ht="15.75" customHeight="1">
      <c r="S1476" s="454"/>
      <c r="BC1476" s="169"/>
    </row>
    <row r="1477" spans="19:55" ht="15.75" customHeight="1">
      <c r="S1477" s="454"/>
      <c r="BC1477" s="169"/>
    </row>
    <row r="1478" spans="19:55" ht="15.75" customHeight="1">
      <c r="S1478" s="454"/>
      <c r="BC1478" s="169"/>
    </row>
    <row r="1479" spans="19:55" ht="15.75" customHeight="1">
      <c r="S1479" s="454"/>
      <c r="BC1479" s="169"/>
    </row>
    <row r="1480" spans="19:55" ht="15.75" customHeight="1">
      <c r="S1480" s="454"/>
      <c r="BC1480" s="169"/>
    </row>
    <row r="1481" spans="19:55" ht="15.75" customHeight="1">
      <c r="S1481" s="454"/>
      <c r="BC1481" s="169"/>
    </row>
    <row r="1482" spans="19:55" ht="15.75" customHeight="1">
      <c r="S1482" s="454"/>
      <c r="BC1482" s="169"/>
    </row>
    <row r="1483" spans="19:55" ht="15.75" customHeight="1">
      <c r="S1483" s="454"/>
      <c r="BC1483" s="169"/>
    </row>
    <row r="1484" spans="19:55" ht="15.75" customHeight="1">
      <c r="S1484" s="454"/>
      <c r="BC1484" s="169"/>
    </row>
    <row r="1485" spans="19:55" ht="15.75" customHeight="1">
      <c r="S1485" s="454"/>
      <c r="BC1485" s="169"/>
    </row>
    <row r="1486" spans="19:55" ht="15.75" customHeight="1">
      <c r="S1486" s="454"/>
      <c r="BC1486" s="169"/>
    </row>
    <row r="1487" spans="19:55" ht="15.75" customHeight="1">
      <c r="S1487" s="454"/>
      <c r="BC1487" s="169"/>
    </row>
    <row r="1488" spans="19:55" ht="15.75" customHeight="1">
      <c r="S1488" s="454"/>
      <c r="BC1488" s="169"/>
    </row>
    <row r="1489" spans="19:55" ht="15.75" customHeight="1">
      <c r="S1489" s="454"/>
      <c r="BC1489" s="169"/>
    </row>
    <row r="1490" spans="19:55" ht="15.75" customHeight="1">
      <c r="S1490" s="454"/>
      <c r="BC1490" s="169"/>
    </row>
    <row r="1491" spans="19:55" ht="15.75" customHeight="1">
      <c r="S1491" s="454"/>
      <c r="BC1491" s="169"/>
    </row>
    <row r="1492" spans="19:55" ht="15.75" customHeight="1">
      <c r="BC1492" s="169"/>
    </row>
    <row r="1493" spans="19:55" ht="15.75" customHeight="1">
      <c r="BC1493" s="169"/>
    </row>
    <row r="1494" spans="19:55" ht="15.75" customHeight="1">
      <c r="BC1494" s="169"/>
    </row>
    <row r="1495" spans="19:55" ht="15.75" customHeight="1">
      <c r="BC1495" s="169"/>
    </row>
    <row r="1496" spans="19:55" ht="15.75" customHeight="1">
      <c r="BC1496" s="169"/>
    </row>
    <row r="1497" spans="19:55" ht="15.75" customHeight="1">
      <c r="BC1497" s="169"/>
    </row>
    <row r="1498" spans="19:55" ht="15.75" customHeight="1">
      <c r="BC1498" s="169"/>
    </row>
    <row r="1499" spans="19:55" ht="15.75" customHeight="1">
      <c r="BC1499" s="169"/>
    </row>
    <row r="1500" spans="19:55" ht="15.75" customHeight="1">
      <c r="BC1500" s="169"/>
    </row>
    <row r="1501" spans="19:55" ht="15.75" customHeight="1">
      <c r="BC1501" s="169"/>
    </row>
    <row r="1502" spans="19:55" ht="15.75" customHeight="1">
      <c r="BC1502" s="169"/>
    </row>
    <row r="1503" spans="19:55" ht="15.75" customHeight="1">
      <c r="BC1503" s="169"/>
    </row>
    <row r="1504" spans="19:55" ht="15.75" customHeight="1">
      <c r="BC1504" s="169"/>
    </row>
    <row r="1505" spans="55:55" ht="15.75" customHeight="1">
      <c r="BC1505" s="169"/>
    </row>
    <row r="1506" spans="55:55" ht="15.75" customHeight="1">
      <c r="BC1506" s="169"/>
    </row>
    <row r="1507" spans="55:55" ht="15.75" customHeight="1">
      <c r="BC1507" s="169"/>
    </row>
    <row r="1508" spans="55:55" ht="15.75" customHeight="1">
      <c r="BC1508" s="169"/>
    </row>
    <row r="1509" spans="55:55" ht="15.75" customHeight="1">
      <c r="BC1509" s="169"/>
    </row>
    <row r="1510" spans="55:55" ht="15.75" customHeight="1">
      <c r="BC1510" s="169"/>
    </row>
    <row r="1511" spans="55:55" ht="15.75" customHeight="1">
      <c r="BC1511" s="169"/>
    </row>
    <row r="1512" spans="55:55" ht="15.75" customHeight="1">
      <c r="BC1512" s="169"/>
    </row>
    <row r="1513" spans="55:55" ht="15.75" customHeight="1">
      <c r="BC1513" s="169"/>
    </row>
    <row r="1514" spans="55:55" ht="15.75" customHeight="1">
      <c r="BC1514" s="169"/>
    </row>
    <row r="1515" spans="55:55" ht="15.75" customHeight="1">
      <c r="BC1515" s="169"/>
    </row>
    <row r="1516" spans="55:55" ht="15.75" customHeight="1">
      <c r="BC1516" s="169"/>
    </row>
    <row r="1517" spans="55:55" ht="15.75" customHeight="1">
      <c r="BC1517" s="169"/>
    </row>
    <row r="1518" spans="55:55" ht="15.75" customHeight="1">
      <c r="BC1518" s="169"/>
    </row>
    <row r="1519" spans="55:55" ht="15.75" customHeight="1">
      <c r="BC1519" s="169"/>
    </row>
    <row r="1520" spans="55:55" ht="15.75" customHeight="1">
      <c r="BC1520" s="169"/>
    </row>
    <row r="1521" spans="55:55" ht="15.75" customHeight="1">
      <c r="BC1521" s="169"/>
    </row>
    <row r="1522" spans="55:55" ht="15.75" customHeight="1">
      <c r="BC1522" s="169"/>
    </row>
    <row r="1523" spans="55:55" ht="15.75" customHeight="1">
      <c r="BC1523" s="169"/>
    </row>
    <row r="1524" spans="55:55" ht="15.75" customHeight="1">
      <c r="BC1524" s="169"/>
    </row>
    <row r="1525" spans="55:55" ht="15.75" customHeight="1">
      <c r="BC1525" s="169"/>
    </row>
    <row r="1526" spans="55:55" ht="15.75" customHeight="1">
      <c r="BC1526" s="169"/>
    </row>
    <row r="1527" spans="55:55" ht="15.75" customHeight="1">
      <c r="BC1527" s="169"/>
    </row>
    <row r="1528" spans="55:55" ht="15.75" customHeight="1">
      <c r="BC1528" s="169"/>
    </row>
    <row r="1529" spans="55:55" ht="15.75" customHeight="1">
      <c r="BC1529" s="169"/>
    </row>
    <row r="1530" spans="55:55" ht="15.75" customHeight="1">
      <c r="BC1530" s="169"/>
    </row>
    <row r="1531" spans="55:55" ht="15.75" customHeight="1">
      <c r="BC1531" s="169"/>
    </row>
    <row r="1532" spans="55:55" ht="15.75" customHeight="1">
      <c r="BC1532" s="169"/>
    </row>
    <row r="1533" spans="55:55" ht="15.75" customHeight="1">
      <c r="BC1533" s="169"/>
    </row>
    <row r="1534" spans="55:55" ht="15.75" customHeight="1">
      <c r="BC1534" s="169"/>
    </row>
    <row r="1535" spans="55:55" ht="15.75" customHeight="1">
      <c r="BC1535" s="169"/>
    </row>
    <row r="1536" spans="55:55" ht="15.75" customHeight="1">
      <c r="BC1536" s="169"/>
    </row>
    <row r="1537" spans="55:55" ht="15.75" customHeight="1">
      <c r="BC1537" s="169"/>
    </row>
    <row r="1538" spans="55:55" ht="15.75" customHeight="1">
      <c r="BC1538" s="169"/>
    </row>
    <row r="1539" spans="55:55" ht="15.75" customHeight="1">
      <c r="BC1539" s="169"/>
    </row>
    <row r="1540" spans="55:55" ht="15.75" customHeight="1">
      <c r="BC1540" s="169"/>
    </row>
    <row r="1541" spans="55:55" ht="15.75" customHeight="1">
      <c r="BC1541" s="169"/>
    </row>
    <row r="1542" spans="55:55" ht="15.75" customHeight="1">
      <c r="BC1542" s="169"/>
    </row>
    <row r="1543" spans="55:55" ht="15.75" customHeight="1">
      <c r="BC1543" s="169"/>
    </row>
    <row r="1544" spans="55:55" ht="15.75" customHeight="1">
      <c r="BC1544" s="169"/>
    </row>
    <row r="1545" spans="55:55" ht="15.75" customHeight="1">
      <c r="BC1545" s="169"/>
    </row>
    <row r="1546" spans="55:55" ht="15.75" customHeight="1">
      <c r="BC1546" s="169"/>
    </row>
    <row r="1547" spans="55:55" ht="15.75" customHeight="1">
      <c r="BC1547" s="169"/>
    </row>
    <row r="1548" spans="55:55" ht="15.75" customHeight="1">
      <c r="BC1548" s="169"/>
    </row>
    <row r="1549" spans="55:55" ht="15.75" customHeight="1">
      <c r="BC1549" s="169"/>
    </row>
    <row r="1550" spans="55:55" ht="15.75" customHeight="1">
      <c r="BC1550" s="169"/>
    </row>
    <row r="1551" spans="55:55" ht="15.75" customHeight="1">
      <c r="BC1551" s="169"/>
    </row>
    <row r="1552" spans="55:55" ht="15.75" customHeight="1">
      <c r="BC1552" s="169"/>
    </row>
    <row r="1553" spans="55:55" ht="15.75" customHeight="1">
      <c r="BC1553" s="169"/>
    </row>
    <row r="1554" spans="55:55" ht="15.75" customHeight="1">
      <c r="BC1554" s="169"/>
    </row>
    <row r="1555" spans="55:55" ht="15.75" customHeight="1">
      <c r="BC1555" s="169"/>
    </row>
    <row r="1556" spans="55:55" ht="15.75" customHeight="1">
      <c r="BC1556" s="169"/>
    </row>
    <row r="1557" spans="55:55" ht="15.75" customHeight="1">
      <c r="BC1557" s="169"/>
    </row>
    <row r="1558" spans="55:55" ht="15.75" customHeight="1">
      <c r="BC1558" s="169"/>
    </row>
    <row r="1559" spans="55:55" ht="15.75" customHeight="1">
      <c r="BC1559" s="169"/>
    </row>
    <row r="1560" spans="55:55" ht="15.75" customHeight="1">
      <c r="BC1560" s="169"/>
    </row>
    <row r="1561" spans="55:55" ht="15.75" customHeight="1">
      <c r="BC1561" s="169"/>
    </row>
    <row r="1562" spans="55:55" ht="15.75" customHeight="1">
      <c r="BC1562" s="169"/>
    </row>
    <row r="1563" spans="55:55" ht="15.75" customHeight="1">
      <c r="BC1563" s="169"/>
    </row>
    <row r="1564" spans="55:55" ht="15.75" customHeight="1">
      <c r="BC1564" s="169"/>
    </row>
    <row r="1565" spans="55:55" ht="15.75" customHeight="1">
      <c r="BC1565" s="169"/>
    </row>
    <row r="1566" spans="55:55" ht="15.75" customHeight="1">
      <c r="BC1566" s="169"/>
    </row>
    <row r="1567" spans="55:55" ht="15.75" customHeight="1">
      <c r="BC1567" s="169"/>
    </row>
    <row r="1568" spans="55:55" ht="15.75" customHeight="1">
      <c r="BC1568" s="169"/>
    </row>
    <row r="1569" spans="55:55" ht="15.75" customHeight="1">
      <c r="BC1569" s="169"/>
    </row>
    <row r="1570" spans="55:55" ht="15.75" customHeight="1">
      <c r="BC1570" s="169"/>
    </row>
    <row r="1571" spans="55:55" ht="15.75" customHeight="1">
      <c r="BC1571" s="169"/>
    </row>
    <row r="1572" spans="55:55" ht="15.75" customHeight="1">
      <c r="BC1572" s="169"/>
    </row>
    <row r="1573" spans="55:55" ht="15.75" customHeight="1">
      <c r="BC1573" s="169"/>
    </row>
    <row r="1574" spans="55:55" ht="15.75" customHeight="1">
      <c r="BC1574" s="169"/>
    </row>
    <row r="1575" spans="55:55" ht="15.75" customHeight="1">
      <c r="BC1575" s="169"/>
    </row>
    <row r="1576" spans="55:55" ht="15.75" customHeight="1">
      <c r="BC1576" s="169"/>
    </row>
    <row r="1577" spans="55:55" ht="15.75" customHeight="1">
      <c r="BC1577" s="169"/>
    </row>
    <row r="1578" spans="55:55" ht="15.75" customHeight="1">
      <c r="BC1578" s="169"/>
    </row>
    <row r="1579" spans="55:55" ht="15.75" customHeight="1">
      <c r="BC1579" s="169"/>
    </row>
    <row r="1580" spans="55:55" ht="15.75" customHeight="1">
      <c r="BC1580" s="169"/>
    </row>
    <row r="1581" spans="55:55" ht="15.75" customHeight="1">
      <c r="BC1581" s="169"/>
    </row>
    <row r="1582" spans="55:55" ht="15.75" customHeight="1">
      <c r="BC1582" s="169"/>
    </row>
    <row r="1583" spans="55:55" ht="15.75" customHeight="1">
      <c r="BC1583" s="169"/>
    </row>
    <row r="1584" spans="55:55" ht="15.75" customHeight="1">
      <c r="BC1584" s="169"/>
    </row>
    <row r="1585" spans="55:55" ht="15.75" customHeight="1">
      <c r="BC1585" s="169"/>
    </row>
    <row r="1586" spans="55:55" ht="15.75" customHeight="1">
      <c r="BC1586" s="169"/>
    </row>
    <row r="1587" spans="55:55" ht="15.75" customHeight="1">
      <c r="BC1587" s="169"/>
    </row>
    <row r="1588" spans="55:55" ht="15.75" customHeight="1">
      <c r="BC1588" s="169"/>
    </row>
    <row r="1589" spans="55:55" ht="15.75" customHeight="1">
      <c r="BC1589" s="169"/>
    </row>
    <row r="1590" spans="55:55" ht="15.75" customHeight="1">
      <c r="BC1590" s="169"/>
    </row>
    <row r="1591" spans="55:55" ht="15.75" customHeight="1">
      <c r="BC1591" s="169"/>
    </row>
    <row r="1592" spans="55:55" ht="15.75" customHeight="1">
      <c r="BC1592" s="169"/>
    </row>
    <row r="1593" spans="55:55" ht="15.75" customHeight="1">
      <c r="BC1593" s="169"/>
    </row>
    <row r="1594" spans="55:55" ht="15.75" customHeight="1">
      <c r="BC1594" s="169"/>
    </row>
    <row r="1595" spans="55:55" ht="15.75" customHeight="1">
      <c r="BC1595" s="169"/>
    </row>
    <row r="1596" spans="55:55" ht="15.75" customHeight="1">
      <c r="BC1596" s="169"/>
    </row>
    <row r="1597" spans="55:55" ht="15.75" customHeight="1">
      <c r="BC1597" s="169"/>
    </row>
    <row r="1598" spans="55:55" ht="15.75" customHeight="1">
      <c r="BC1598" s="169"/>
    </row>
    <row r="1599" spans="55:55" ht="15.75" customHeight="1">
      <c r="BC1599" s="169"/>
    </row>
    <row r="1600" spans="55:55" ht="15.75" customHeight="1">
      <c r="BC1600" s="169"/>
    </row>
    <row r="1601" spans="55:55" ht="15.75" customHeight="1">
      <c r="BC1601" s="169"/>
    </row>
    <row r="1602" spans="55:55" ht="15.75" customHeight="1">
      <c r="BC1602" s="169"/>
    </row>
    <row r="1603" spans="55:55" ht="15.75" customHeight="1">
      <c r="BC1603" s="169"/>
    </row>
    <row r="1604" spans="55:55" ht="15.75" customHeight="1">
      <c r="BC1604" s="169"/>
    </row>
    <row r="1605" spans="55:55" ht="15.75" customHeight="1">
      <c r="BC1605" s="169"/>
    </row>
    <row r="1606" spans="55:55" ht="15.75" customHeight="1">
      <c r="BC1606" s="169"/>
    </row>
    <row r="1607" spans="55:55" ht="15.75" customHeight="1">
      <c r="BC1607" s="169"/>
    </row>
    <row r="1608" spans="55:55" ht="15.75" customHeight="1">
      <c r="BC1608" s="169"/>
    </row>
    <row r="1609" spans="55:55" ht="15.75" customHeight="1">
      <c r="BC1609" s="169"/>
    </row>
    <row r="1610" spans="55:55" ht="15.75" customHeight="1">
      <c r="BC1610" s="169"/>
    </row>
    <row r="1611" spans="55:55" ht="15.75" customHeight="1">
      <c r="BC1611" s="169"/>
    </row>
    <row r="1612" spans="55:55" ht="15.75" customHeight="1">
      <c r="BC1612" s="169"/>
    </row>
    <row r="1613" spans="55:55" ht="15.75" customHeight="1">
      <c r="BC1613" s="169"/>
    </row>
    <row r="1614" spans="55:55" ht="15.75" customHeight="1">
      <c r="BC1614" s="169"/>
    </row>
    <row r="1615" spans="55:55" ht="15.75" customHeight="1">
      <c r="BC1615" s="169"/>
    </row>
    <row r="1616" spans="55:55" ht="15.75" customHeight="1">
      <c r="BC1616" s="169"/>
    </row>
    <row r="1617" spans="55:55" ht="15.75" customHeight="1">
      <c r="BC1617" s="169"/>
    </row>
    <row r="1618" spans="55:55" ht="15.75" customHeight="1">
      <c r="BC1618" s="169"/>
    </row>
    <row r="1619" spans="55:55" ht="15.75" customHeight="1">
      <c r="BC1619" s="169"/>
    </row>
    <row r="1620" spans="55:55" ht="15.75" customHeight="1">
      <c r="BC1620" s="169"/>
    </row>
    <row r="1621" spans="55:55" ht="15.75" customHeight="1">
      <c r="BC1621" s="169"/>
    </row>
    <row r="1622" spans="55:55" ht="15.75" customHeight="1">
      <c r="BC1622" s="169"/>
    </row>
    <row r="1623" spans="55:55" ht="15.75" customHeight="1">
      <c r="BC1623" s="169"/>
    </row>
    <row r="1624" spans="55:55" ht="15.75" customHeight="1">
      <c r="BC1624" s="169"/>
    </row>
    <row r="1625" spans="55:55" ht="15.75" customHeight="1">
      <c r="BC1625" s="169"/>
    </row>
    <row r="1626" spans="55:55" ht="15.75" customHeight="1">
      <c r="BC1626" s="169"/>
    </row>
    <row r="1627" spans="55:55" ht="15.75" customHeight="1">
      <c r="BC1627" s="169"/>
    </row>
    <row r="1628" spans="55:55" ht="15.75" customHeight="1">
      <c r="BC1628" s="169"/>
    </row>
    <row r="1629" spans="55:55" ht="15.75" customHeight="1">
      <c r="BC1629" s="169"/>
    </row>
    <row r="1630" spans="55:55" ht="15.75" customHeight="1">
      <c r="BC1630" s="169"/>
    </row>
    <row r="1631" spans="55:55" ht="15.75" customHeight="1">
      <c r="BC1631" s="169"/>
    </row>
    <row r="1632" spans="55:55" ht="15.75" customHeight="1">
      <c r="BC1632" s="169"/>
    </row>
    <row r="1633" spans="55:55" ht="15.75" customHeight="1">
      <c r="BC1633" s="169"/>
    </row>
    <row r="1634" spans="55:55" ht="15.75" customHeight="1">
      <c r="BC1634" s="169"/>
    </row>
    <row r="1635" spans="55:55" ht="15.75" customHeight="1">
      <c r="BC1635" s="169"/>
    </row>
    <row r="1636" spans="55:55" ht="15.75" customHeight="1">
      <c r="BC1636" s="169"/>
    </row>
    <row r="1637" spans="55:55" ht="15.75" customHeight="1">
      <c r="BC1637" s="169"/>
    </row>
    <row r="1638" spans="55:55" ht="15.75" customHeight="1">
      <c r="BC1638" s="169"/>
    </row>
    <row r="1639" spans="55:55" ht="15.75" customHeight="1">
      <c r="BC1639" s="169"/>
    </row>
    <row r="1640" spans="55:55" ht="15.75" customHeight="1">
      <c r="BC1640" s="169"/>
    </row>
    <row r="1641" spans="55:55" ht="15.75" customHeight="1">
      <c r="BC1641" s="169"/>
    </row>
    <row r="1642" spans="55:55" ht="15.75" customHeight="1">
      <c r="BC1642" s="169"/>
    </row>
    <row r="1643" spans="55:55" ht="15.75" customHeight="1">
      <c r="BC1643" s="169"/>
    </row>
    <row r="1644" spans="55:55" ht="15.75" customHeight="1">
      <c r="BC1644" s="169"/>
    </row>
    <row r="1645" spans="55:55" ht="15.75" customHeight="1">
      <c r="BC1645" s="169"/>
    </row>
    <row r="1646" spans="55:55" ht="15.75" customHeight="1">
      <c r="BC1646" s="169"/>
    </row>
    <row r="1647" spans="55:55" ht="15.75" customHeight="1">
      <c r="BC1647" s="169"/>
    </row>
    <row r="1648" spans="55:55" ht="15.75" customHeight="1">
      <c r="BC1648" s="169"/>
    </row>
    <row r="1649" spans="55:55" ht="15.75" customHeight="1">
      <c r="BC1649" s="169"/>
    </row>
    <row r="1650" spans="55:55" ht="15.75" customHeight="1">
      <c r="BC1650" s="169"/>
    </row>
    <row r="1651" spans="55:55" ht="15.75" customHeight="1">
      <c r="BC1651" s="169"/>
    </row>
    <row r="1652" spans="55:55" ht="15.75" customHeight="1">
      <c r="BC1652" s="169"/>
    </row>
    <row r="1653" spans="55:55" ht="15.75" customHeight="1">
      <c r="BC1653" s="169"/>
    </row>
    <row r="1654" spans="55:55" ht="15.75" customHeight="1">
      <c r="BC1654" s="169"/>
    </row>
    <row r="1655" spans="55:55" ht="15.75" customHeight="1">
      <c r="BC1655" s="169"/>
    </row>
    <row r="1656" spans="55:55" ht="15.75" customHeight="1">
      <c r="BC1656" s="169"/>
    </row>
    <row r="1657" spans="55:55" ht="15.75" customHeight="1">
      <c r="BC1657" s="169"/>
    </row>
    <row r="1658" spans="55:55" ht="15.75" customHeight="1">
      <c r="BC1658" s="169"/>
    </row>
    <row r="1659" spans="55:55" ht="15.75" customHeight="1">
      <c r="BC1659" s="169"/>
    </row>
    <row r="1660" spans="55:55" ht="15.75" customHeight="1">
      <c r="BC1660" s="169"/>
    </row>
    <row r="1661" spans="55:55" ht="15.75" customHeight="1">
      <c r="BC1661" s="169"/>
    </row>
    <row r="1662" spans="55:55" ht="15.75" customHeight="1">
      <c r="BC1662" s="169"/>
    </row>
    <row r="1663" spans="55:55" ht="15.75" customHeight="1">
      <c r="BC1663" s="169"/>
    </row>
    <row r="1664" spans="55:55" ht="15.75" customHeight="1">
      <c r="BC1664" s="169"/>
    </row>
    <row r="1665" spans="55:55" ht="15.75" customHeight="1">
      <c r="BC1665" s="169"/>
    </row>
    <row r="1666" spans="55:55" ht="15.75" customHeight="1">
      <c r="BC1666" s="169"/>
    </row>
    <row r="1667" spans="55:55" ht="15.75" customHeight="1">
      <c r="BC1667" s="169"/>
    </row>
    <row r="1668" spans="55:55" ht="15.75" customHeight="1">
      <c r="BC1668" s="169"/>
    </row>
    <row r="1669" spans="55:55" ht="15.75" customHeight="1">
      <c r="BC1669" s="169"/>
    </row>
    <row r="1670" spans="55:55" ht="15.75" customHeight="1">
      <c r="BC1670" s="169"/>
    </row>
    <row r="1671" spans="55:55" ht="15.75" customHeight="1">
      <c r="BC1671" s="169"/>
    </row>
    <row r="1672" spans="55:55" ht="15.75" customHeight="1">
      <c r="BC1672" s="169"/>
    </row>
    <row r="1673" spans="55:55" ht="15.75" customHeight="1">
      <c r="BC1673" s="169"/>
    </row>
    <row r="1674" spans="55:55" ht="15.75" customHeight="1">
      <c r="BC1674" s="169"/>
    </row>
    <row r="1675" spans="55:55" ht="15.75" customHeight="1">
      <c r="BC1675" s="169"/>
    </row>
    <row r="1676" spans="55:55" ht="15.75" customHeight="1">
      <c r="BC1676" s="169"/>
    </row>
    <row r="1677" spans="55:55" ht="15.75" customHeight="1">
      <c r="BC1677" s="169"/>
    </row>
    <row r="1678" spans="55:55" ht="15.75" customHeight="1">
      <c r="BC1678" s="169"/>
    </row>
    <row r="1679" spans="55:55" ht="15.75" customHeight="1">
      <c r="BC1679" s="169"/>
    </row>
    <row r="1680" spans="55:55" ht="15.75" customHeight="1">
      <c r="BC1680" s="169"/>
    </row>
    <row r="1681" spans="55:55" ht="15.75" customHeight="1">
      <c r="BC1681" s="169"/>
    </row>
    <row r="1682" spans="55:55" ht="15.75" customHeight="1">
      <c r="BC1682" s="169"/>
    </row>
    <row r="1683" spans="55:55" ht="15.75" customHeight="1">
      <c r="BC1683" s="169"/>
    </row>
    <row r="1684" spans="55:55" ht="15.75" customHeight="1">
      <c r="BC1684" s="169"/>
    </row>
    <row r="1685" spans="55:55" ht="15.75" customHeight="1">
      <c r="BC1685" s="169"/>
    </row>
    <row r="1686" spans="55:55" ht="15.75" customHeight="1">
      <c r="BC1686" s="169"/>
    </row>
    <row r="1687" spans="55:55" ht="15.75" customHeight="1">
      <c r="BC1687" s="169"/>
    </row>
    <row r="1688" spans="55:55" ht="15.75" customHeight="1">
      <c r="BC1688" s="169"/>
    </row>
    <row r="1689" spans="55:55" ht="15.75" customHeight="1">
      <c r="BC1689" s="169"/>
    </row>
    <row r="1690" spans="55:55" ht="15.75" customHeight="1">
      <c r="BC1690" s="169"/>
    </row>
    <row r="1691" spans="55:55" ht="15.75" customHeight="1">
      <c r="BC1691" s="169"/>
    </row>
    <row r="1692" spans="55:55" ht="15.75" customHeight="1">
      <c r="BC1692" s="169"/>
    </row>
    <row r="1693" spans="55:55" ht="15.75" customHeight="1">
      <c r="BC1693" s="169"/>
    </row>
    <row r="1694" spans="55:55" ht="15.75" customHeight="1">
      <c r="BC1694" s="169"/>
    </row>
    <row r="1695" spans="55:55" ht="15.75" customHeight="1">
      <c r="BC1695" s="169"/>
    </row>
    <row r="1696" spans="55:55" ht="15.75" customHeight="1">
      <c r="BC1696" s="169"/>
    </row>
    <row r="1697" spans="55:55" ht="15.75" customHeight="1">
      <c r="BC1697" s="169"/>
    </row>
    <row r="1698" spans="55:55" ht="15.75" customHeight="1">
      <c r="BC1698" s="169"/>
    </row>
    <row r="1699" spans="55:55" ht="15.75" customHeight="1">
      <c r="BC1699" s="169"/>
    </row>
    <row r="1700" spans="55:55" ht="15.75" customHeight="1">
      <c r="BC1700" s="169"/>
    </row>
    <row r="1701" spans="55:55" ht="15.75" customHeight="1">
      <c r="BC1701" s="169"/>
    </row>
    <row r="1702" spans="55:55" ht="15.75" customHeight="1">
      <c r="BC1702" s="169"/>
    </row>
    <row r="1703" spans="55:55" ht="15.75" customHeight="1">
      <c r="BC1703" s="169"/>
    </row>
    <row r="1704" spans="55:55" ht="15.75" customHeight="1">
      <c r="BC1704" s="169"/>
    </row>
    <row r="1705" spans="55:55" ht="15.75" customHeight="1">
      <c r="BC1705" s="169"/>
    </row>
    <row r="1706" spans="55:55" ht="15.75" customHeight="1">
      <c r="BC1706" s="169"/>
    </row>
    <row r="1707" spans="55:55" ht="15.75" customHeight="1">
      <c r="BC1707" s="169"/>
    </row>
    <row r="1708" spans="55:55" ht="15.75" customHeight="1">
      <c r="BC1708" s="169"/>
    </row>
    <row r="1709" spans="55:55" ht="15.75" customHeight="1">
      <c r="BC1709" s="169"/>
    </row>
    <row r="1710" spans="55:55" ht="15.75" customHeight="1">
      <c r="BC1710" s="169"/>
    </row>
    <row r="1711" spans="55:55" ht="15.75" customHeight="1">
      <c r="BC1711" s="169"/>
    </row>
    <row r="1712" spans="55:55" ht="15.75" customHeight="1">
      <c r="BC1712" s="169"/>
    </row>
    <row r="1713" spans="55:55" ht="15.75" customHeight="1">
      <c r="BC1713" s="169"/>
    </row>
    <row r="1714" spans="55:55" ht="15.75" customHeight="1">
      <c r="BC1714" s="169"/>
    </row>
    <row r="1715" spans="55:55" ht="15.75" customHeight="1">
      <c r="BC1715" s="169"/>
    </row>
    <row r="1716" spans="55:55" ht="15.75" customHeight="1">
      <c r="BC1716" s="169"/>
    </row>
    <row r="1717" spans="55:55" ht="15.75" customHeight="1">
      <c r="BC1717" s="169"/>
    </row>
    <row r="1718" spans="55:55" ht="15.75" customHeight="1">
      <c r="BC1718" s="169"/>
    </row>
    <row r="1719" spans="55:55" ht="15.75" customHeight="1">
      <c r="BC1719" s="169"/>
    </row>
    <row r="1720" spans="55:55" ht="15.75" customHeight="1">
      <c r="BC1720" s="169"/>
    </row>
    <row r="1721" spans="55:55" ht="15.75" customHeight="1">
      <c r="BC1721" s="169"/>
    </row>
    <row r="1722" spans="55:55" ht="15.75" customHeight="1">
      <c r="BC1722" s="169"/>
    </row>
    <row r="1723" spans="55:55" ht="15.75" customHeight="1">
      <c r="BC1723" s="169"/>
    </row>
    <row r="1724" spans="55:55" ht="15.75" customHeight="1">
      <c r="BC1724" s="169"/>
    </row>
    <row r="1725" spans="55:55" ht="15.75" customHeight="1">
      <c r="BC1725" s="169"/>
    </row>
    <row r="1726" spans="55:55" ht="15.75" customHeight="1">
      <c r="BC1726" s="169"/>
    </row>
    <row r="1727" spans="55:55" ht="15.75" customHeight="1">
      <c r="BC1727" s="169"/>
    </row>
    <row r="1728" spans="55:55" ht="15.75" customHeight="1">
      <c r="BC1728" s="169"/>
    </row>
    <row r="1729" spans="55:55" ht="15.75" customHeight="1">
      <c r="BC1729" s="169"/>
    </row>
    <row r="1730" spans="55:55" ht="15.75" customHeight="1">
      <c r="BC1730" s="169"/>
    </row>
    <row r="1731" spans="55:55" ht="15.75" customHeight="1">
      <c r="BC1731" s="169"/>
    </row>
    <row r="1732" spans="55:55" ht="15.75" customHeight="1">
      <c r="BC1732" s="169"/>
    </row>
    <row r="1733" spans="55:55" ht="15.75" customHeight="1">
      <c r="BC1733" s="169"/>
    </row>
    <row r="1734" spans="55:55" ht="15.75" customHeight="1">
      <c r="BC1734" s="169"/>
    </row>
    <row r="1735" spans="55:55" ht="15.75" customHeight="1">
      <c r="BC1735" s="169"/>
    </row>
    <row r="1736" spans="55:55" ht="15.75" customHeight="1">
      <c r="BC1736" s="169"/>
    </row>
    <row r="1737" spans="55:55" ht="15.75" customHeight="1">
      <c r="BC1737" s="169"/>
    </row>
    <row r="1738" spans="55:55" ht="15.75" customHeight="1">
      <c r="BC1738" s="169"/>
    </row>
    <row r="1739" spans="55:55" ht="15.75" customHeight="1">
      <c r="BC1739" s="169"/>
    </row>
    <row r="1740" spans="55:55" ht="15.75" customHeight="1">
      <c r="BC1740" s="169"/>
    </row>
    <row r="1741" spans="55:55" ht="15.75" customHeight="1">
      <c r="BC1741" s="169"/>
    </row>
    <row r="1742" spans="55:55" ht="15.75" customHeight="1">
      <c r="BC1742" s="169"/>
    </row>
    <row r="1743" spans="55:55" ht="15.75" customHeight="1">
      <c r="BC1743" s="169"/>
    </row>
    <row r="1744" spans="55:55" ht="15.75" customHeight="1">
      <c r="BC1744" s="169"/>
    </row>
    <row r="1745" spans="55:55" ht="15.75" customHeight="1">
      <c r="BC1745" s="169"/>
    </row>
    <row r="1746" spans="55:55" ht="15.75" customHeight="1">
      <c r="BC1746" s="169"/>
    </row>
    <row r="1747" spans="55:55" ht="15.75" customHeight="1">
      <c r="BC1747" s="169"/>
    </row>
    <row r="1748" spans="55:55" ht="15.75" customHeight="1">
      <c r="BC1748" s="169"/>
    </row>
    <row r="1749" spans="55:55" ht="15.75" customHeight="1">
      <c r="BC1749" s="169"/>
    </row>
    <row r="1750" spans="55:55" ht="15.75" customHeight="1">
      <c r="BC1750" s="169"/>
    </row>
    <row r="1751" spans="55:55" ht="15.75" customHeight="1">
      <c r="BC1751" s="169"/>
    </row>
    <row r="1752" spans="55:55" ht="15.75" customHeight="1">
      <c r="BC1752" s="169"/>
    </row>
    <row r="1753" spans="55:55" ht="15.75" customHeight="1">
      <c r="BC1753" s="169"/>
    </row>
    <row r="1754" spans="55:55" ht="15.75" customHeight="1">
      <c r="BC1754" s="169"/>
    </row>
    <row r="1755" spans="55:55" ht="15.75" customHeight="1">
      <c r="BC1755" s="169"/>
    </row>
    <row r="1756" spans="55:55" ht="15.75" customHeight="1">
      <c r="BC1756" s="169"/>
    </row>
    <row r="1757" spans="55:55" ht="15.75" customHeight="1">
      <c r="BC1757" s="169"/>
    </row>
    <row r="1758" spans="55:55" ht="15.75" customHeight="1">
      <c r="BC1758" s="169"/>
    </row>
    <row r="1759" spans="55:55" ht="15.75" customHeight="1">
      <c r="BC1759" s="169"/>
    </row>
    <row r="1760" spans="55:55" ht="15.75" customHeight="1">
      <c r="BC1760" s="169"/>
    </row>
    <row r="1761" spans="55:55" ht="15.75" customHeight="1">
      <c r="BC1761" s="169"/>
    </row>
    <row r="1762" spans="55:55" ht="15.75" customHeight="1">
      <c r="BC1762" s="169"/>
    </row>
    <row r="1763" spans="55:55" ht="15.75" customHeight="1">
      <c r="BC1763" s="169"/>
    </row>
    <row r="1764" spans="55:55" ht="15.75" customHeight="1">
      <c r="BC1764" s="169"/>
    </row>
    <row r="1765" spans="55:55" ht="15.75" customHeight="1">
      <c r="BC1765" s="169"/>
    </row>
    <row r="1766" spans="55:55" ht="15.75" customHeight="1">
      <c r="BC1766" s="169"/>
    </row>
    <row r="1767" spans="55:55" ht="15.75" customHeight="1">
      <c r="BC1767" s="169"/>
    </row>
    <row r="1768" spans="55:55" ht="15.75" customHeight="1">
      <c r="BC1768" s="169"/>
    </row>
    <row r="1769" spans="55:55" ht="15.75" customHeight="1">
      <c r="BC1769" s="169"/>
    </row>
    <row r="1770" spans="55:55" ht="15.75" customHeight="1">
      <c r="BC1770" s="169"/>
    </row>
    <row r="1771" spans="55:55" ht="15.75" customHeight="1">
      <c r="BC1771" s="169"/>
    </row>
    <row r="1772" spans="55:55" ht="15.75" customHeight="1">
      <c r="BC1772" s="169"/>
    </row>
    <row r="1773" spans="55:55" ht="15.75" customHeight="1">
      <c r="BC1773" s="169"/>
    </row>
    <row r="1774" spans="55:55" ht="15.75" customHeight="1">
      <c r="BC1774" s="169"/>
    </row>
    <row r="1775" spans="55:55" ht="15.75" customHeight="1">
      <c r="BC1775" s="169"/>
    </row>
    <row r="1776" spans="55:55" ht="15.75" customHeight="1">
      <c r="BC1776" s="169"/>
    </row>
    <row r="1777" spans="55:55" ht="15.75" customHeight="1">
      <c r="BC1777" s="169"/>
    </row>
    <row r="1778" spans="55:55" ht="15.75" customHeight="1">
      <c r="BC1778" s="169"/>
    </row>
    <row r="1779" spans="55:55" ht="15.75" customHeight="1">
      <c r="BC1779" s="169"/>
    </row>
    <row r="1780" spans="55:55" ht="15.75" customHeight="1">
      <c r="BC1780" s="169"/>
    </row>
    <row r="1781" spans="55:55" ht="15.75" customHeight="1">
      <c r="BC1781" s="169"/>
    </row>
    <row r="1782" spans="55:55" ht="15.75" customHeight="1">
      <c r="BC1782" s="169"/>
    </row>
    <row r="1783" spans="55:55" ht="15.75" customHeight="1">
      <c r="BC1783" s="169"/>
    </row>
    <row r="1784" spans="55:55" ht="15.75" customHeight="1">
      <c r="BC1784" s="169"/>
    </row>
    <row r="1785" spans="55:55" ht="15.75" customHeight="1">
      <c r="BC1785" s="169"/>
    </row>
    <row r="1786" spans="55:55" ht="15.75" customHeight="1">
      <c r="BC1786" s="169"/>
    </row>
    <row r="1787" spans="55:55" ht="15.75" customHeight="1">
      <c r="BC1787" s="169"/>
    </row>
    <row r="1788" spans="55:55" ht="15.75" customHeight="1">
      <c r="BC1788" s="169"/>
    </row>
    <row r="1789" spans="55:55" ht="15.75" customHeight="1">
      <c r="BC1789" s="169"/>
    </row>
    <row r="1790" spans="55:55" ht="15.75" customHeight="1">
      <c r="BC1790" s="169"/>
    </row>
    <row r="1791" spans="55:55" ht="15.75" customHeight="1">
      <c r="BC1791" s="169"/>
    </row>
    <row r="1792" spans="55:55" ht="15.75" customHeight="1">
      <c r="BC1792" s="169"/>
    </row>
    <row r="1793" spans="55:55" ht="15.75" customHeight="1">
      <c r="BC1793" s="169"/>
    </row>
    <row r="1794" spans="55:55" ht="15.75" customHeight="1">
      <c r="BC1794" s="169"/>
    </row>
    <row r="1795" spans="55:55" ht="15.75" customHeight="1">
      <c r="BC1795" s="169"/>
    </row>
    <row r="1796" spans="55:55" ht="15.75" customHeight="1">
      <c r="BC1796" s="169"/>
    </row>
    <row r="1797" spans="55:55" ht="15.75" customHeight="1">
      <c r="BC1797" s="169"/>
    </row>
    <row r="1798" spans="55:55" ht="15.75" customHeight="1">
      <c r="BC1798" s="169"/>
    </row>
    <row r="1799" spans="55:55" ht="15.75" customHeight="1">
      <c r="BC1799" s="169"/>
    </row>
    <row r="1800" spans="55:55" ht="15.75" customHeight="1">
      <c r="BC1800" s="169"/>
    </row>
    <row r="1801" spans="55:55" ht="15.75" customHeight="1">
      <c r="BC1801" s="169"/>
    </row>
    <row r="1802" spans="55:55" ht="15.75" customHeight="1">
      <c r="BC1802" s="169"/>
    </row>
    <row r="1803" spans="55:55" ht="15.75" customHeight="1">
      <c r="BC1803" s="169"/>
    </row>
    <row r="1804" spans="55:55" ht="15.75" customHeight="1">
      <c r="BC1804" s="169"/>
    </row>
    <row r="1805" spans="55:55" ht="15.75" customHeight="1">
      <c r="BC1805" s="169"/>
    </row>
    <row r="1806" spans="55:55" ht="15.75" customHeight="1">
      <c r="BC1806" s="169"/>
    </row>
    <row r="1807" spans="55:55" ht="15.75" customHeight="1">
      <c r="BC1807" s="169"/>
    </row>
    <row r="1808" spans="55:55" ht="15.75" customHeight="1">
      <c r="BC1808" s="169"/>
    </row>
    <row r="1809" spans="55:55" ht="15.75" customHeight="1">
      <c r="BC1809" s="169"/>
    </row>
    <row r="1810" spans="55:55" ht="15.75" customHeight="1">
      <c r="BC1810" s="169"/>
    </row>
    <row r="1811" spans="55:55" ht="15.75" customHeight="1">
      <c r="BC1811" s="169"/>
    </row>
    <row r="1812" spans="55:55" ht="15.75" customHeight="1">
      <c r="BC1812" s="169"/>
    </row>
    <row r="1813" spans="55:55" ht="15.75" customHeight="1">
      <c r="BC1813" s="169"/>
    </row>
    <row r="1814" spans="55:55" ht="15.75" customHeight="1">
      <c r="BC1814" s="169"/>
    </row>
    <row r="1815" spans="55:55" ht="15.75" customHeight="1">
      <c r="BC1815" s="169"/>
    </row>
    <row r="1816" spans="55:55" ht="15.75" customHeight="1">
      <c r="BC1816" s="169"/>
    </row>
    <row r="1817" spans="55:55" ht="15.75" customHeight="1">
      <c r="BC1817" s="169"/>
    </row>
    <row r="1818" spans="55:55" ht="15.75" customHeight="1">
      <c r="BC1818" s="169"/>
    </row>
    <row r="1819" spans="55:55" ht="15.75" customHeight="1">
      <c r="BC1819" s="169"/>
    </row>
    <row r="1820" spans="55:55" ht="15.75" customHeight="1">
      <c r="BC1820" s="169"/>
    </row>
    <row r="1821" spans="55:55" ht="15.75" customHeight="1">
      <c r="BC1821" s="169"/>
    </row>
    <row r="1822" spans="55:55" ht="15.75" customHeight="1">
      <c r="BC1822" s="169"/>
    </row>
    <row r="1823" spans="55:55" ht="15.75" customHeight="1">
      <c r="BC1823" s="169"/>
    </row>
    <row r="1824" spans="55:55" ht="15.75" customHeight="1">
      <c r="BC1824" s="169"/>
    </row>
    <row r="1825" spans="55:55" ht="15.75" customHeight="1">
      <c r="BC1825" s="169"/>
    </row>
    <row r="1826" spans="55:55" ht="15.75" customHeight="1">
      <c r="BC1826" s="169"/>
    </row>
    <row r="1827" spans="55:55" ht="15.75" customHeight="1">
      <c r="BC1827" s="169"/>
    </row>
    <row r="1828" spans="55:55" ht="15.75" customHeight="1">
      <c r="BC1828" s="169"/>
    </row>
    <row r="1829" spans="55:55" ht="15.75" customHeight="1">
      <c r="BC1829" s="169"/>
    </row>
    <row r="1830" spans="55:55" ht="15.75" customHeight="1">
      <c r="BC1830" s="169"/>
    </row>
    <row r="1831" spans="55:55" ht="15.75" customHeight="1">
      <c r="BC1831" s="169"/>
    </row>
    <row r="1832" spans="55:55" ht="15.75" customHeight="1">
      <c r="BC1832" s="169"/>
    </row>
    <row r="1833" spans="55:55" ht="15.75" customHeight="1">
      <c r="BC1833" s="169"/>
    </row>
    <row r="1834" spans="55:55" ht="15.75" customHeight="1">
      <c r="BC1834" s="169"/>
    </row>
    <row r="1835" spans="55:55" ht="15.75" customHeight="1">
      <c r="BC1835" s="169"/>
    </row>
    <row r="1836" spans="55:55" ht="15.75" customHeight="1">
      <c r="BC1836" s="169"/>
    </row>
    <row r="1837" spans="55:55" ht="15.75" customHeight="1">
      <c r="BC1837" s="169"/>
    </row>
    <row r="1838" spans="55:55" ht="15.75" customHeight="1">
      <c r="BC1838" s="169"/>
    </row>
    <row r="1839" spans="55:55" ht="15.75" customHeight="1">
      <c r="BC1839" s="169"/>
    </row>
    <row r="1840" spans="55:55" ht="15.75" customHeight="1">
      <c r="BC1840" s="169"/>
    </row>
    <row r="1841" spans="55:55" ht="15.75" customHeight="1">
      <c r="BC1841" s="169"/>
    </row>
    <row r="1842" spans="55:55" ht="15.75" customHeight="1">
      <c r="BC1842" s="169"/>
    </row>
    <row r="1843" spans="55:55" ht="15.75" customHeight="1">
      <c r="BC1843" s="169"/>
    </row>
    <row r="1844" spans="55:55" ht="15.75" customHeight="1">
      <c r="BC1844" s="169"/>
    </row>
    <row r="1845" spans="55:55" ht="15.75" customHeight="1">
      <c r="BC1845" s="169"/>
    </row>
    <row r="1846" spans="55:55" ht="15.75" customHeight="1">
      <c r="BC1846" s="169"/>
    </row>
    <row r="1847" spans="55:55" ht="15.75" customHeight="1">
      <c r="BC1847" s="169"/>
    </row>
    <row r="1848" spans="55:55" ht="15.75" customHeight="1">
      <c r="BC1848" s="169"/>
    </row>
    <row r="1849" spans="55:55" ht="15.75" customHeight="1">
      <c r="BC1849" s="169"/>
    </row>
    <row r="1850" spans="55:55" ht="15.75" customHeight="1">
      <c r="BC1850" s="169"/>
    </row>
    <row r="1851" spans="55:55" ht="15.75" customHeight="1">
      <c r="BC1851" s="169"/>
    </row>
    <row r="1852" spans="55:55" ht="15.75" customHeight="1">
      <c r="BC1852" s="169"/>
    </row>
    <row r="1853" spans="55:55" ht="15.75" customHeight="1">
      <c r="BC1853" s="169"/>
    </row>
    <row r="1854" spans="55:55" ht="15.75" customHeight="1">
      <c r="BC1854" s="169"/>
    </row>
    <row r="1855" spans="55:55" ht="15.75" customHeight="1">
      <c r="BC1855" s="169"/>
    </row>
    <row r="1856" spans="55:55" ht="15.75" customHeight="1">
      <c r="BC1856" s="169"/>
    </row>
    <row r="1857" spans="55:55" ht="15.75" customHeight="1">
      <c r="BC1857" s="169"/>
    </row>
    <row r="1858" spans="55:55" ht="15.75" customHeight="1">
      <c r="BC1858" s="169"/>
    </row>
    <row r="1859" spans="55:55" ht="15.75" customHeight="1">
      <c r="BC1859" s="169"/>
    </row>
    <row r="1860" spans="55:55" ht="15.75" customHeight="1">
      <c r="BC1860" s="169"/>
    </row>
    <row r="1861" spans="55:55" ht="15.75" customHeight="1">
      <c r="BC1861" s="169"/>
    </row>
    <row r="1862" spans="55:55" ht="15.75" customHeight="1">
      <c r="BC1862" s="169"/>
    </row>
    <row r="1863" spans="55:55" ht="15.75" customHeight="1">
      <c r="BC1863" s="169"/>
    </row>
    <row r="1864" spans="55:55" ht="15.75" customHeight="1">
      <c r="BC1864" s="169"/>
    </row>
    <row r="1865" spans="55:55" ht="15.75" customHeight="1">
      <c r="BC1865" s="169"/>
    </row>
    <row r="1866" spans="55:55" ht="15.75" customHeight="1">
      <c r="BC1866" s="169"/>
    </row>
    <row r="1867" spans="55:55" ht="15.75" customHeight="1">
      <c r="BC1867" s="169"/>
    </row>
    <row r="1868" spans="55:55" ht="15.75" customHeight="1">
      <c r="BC1868" s="169"/>
    </row>
    <row r="1869" spans="55:55" ht="15.75" customHeight="1">
      <c r="BC1869" s="169"/>
    </row>
    <row r="1870" spans="55:55" ht="15.75" customHeight="1">
      <c r="BC1870" s="169"/>
    </row>
    <row r="1871" spans="55:55" ht="15.75" customHeight="1">
      <c r="BC1871" s="169"/>
    </row>
    <row r="1872" spans="55:55" ht="15.75" customHeight="1">
      <c r="BC1872" s="169"/>
    </row>
    <row r="1873" spans="55:55" ht="15.75" customHeight="1">
      <c r="BC1873" s="169"/>
    </row>
    <row r="1874" spans="55:55" ht="15.75" customHeight="1">
      <c r="BC1874" s="169"/>
    </row>
    <row r="1875" spans="55:55" ht="15.75" customHeight="1">
      <c r="BC1875" s="169"/>
    </row>
    <row r="1876" spans="55:55" ht="15.75" customHeight="1">
      <c r="BC1876" s="169"/>
    </row>
    <row r="1877" spans="55:55" ht="15.75" customHeight="1">
      <c r="BC1877" s="169"/>
    </row>
    <row r="1878" spans="55:55" ht="15.75" customHeight="1">
      <c r="BC1878" s="169"/>
    </row>
    <row r="1879" spans="55:55" ht="15.75" customHeight="1">
      <c r="BC1879" s="169"/>
    </row>
    <row r="1880" spans="55:55" ht="15.75" customHeight="1">
      <c r="BC1880" s="169"/>
    </row>
    <row r="1881" spans="55:55" ht="15.75" customHeight="1">
      <c r="BC1881" s="169"/>
    </row>
    <row r="1882" spans="55:55" ht="15.75" customHeight="1">
      <c r="BC1882" s="169"/>
    </row>
    <row r="1883" spans="55:55" ht="15.75" customHeight="1">
      <c r="BC1883" s="169"/>
    </row>
    <row r="1884" spans="55:55" ht="15.75" customHeight="1">
      <c r="BC1884" s="169"/>
    </row>
    <row r="1885" spans="55:55" ht="15.75" customHeight="1">
      <c r="BC1885" s="169"/>
    </row>
    <row r="1886" spans="55:55" ht="15.75" customHeight="1">
      <c r="BC1886" s="169"/>
    </row>
    <row r="1887" spans="55:55" ht="15.75" customHeight="1">
      <c r="BC1887" s="169"/>
    </row>
    <row r="1888" spans="55:55" ht="15.75" customHeight="1">
      <c r="BC1888" s="169"/>
    </row>
    <row r="1889" spans="55:55" ht="15.75" customHeight="1">
      <c r="BC1889" s="169"/>
    </row>
    <row r="1890" spans="55:55" ht="15.75" customHeight="1">
      <c r="BC1890" s="169"/>
    </row>
    <row r="1891" spans="55:55" ht="15.75" customHeight="1">
      <c r="BC1891" s="169"/>
    </row>
    <row r="1892" spans="55:55" ht="15.75" customHeight="1">
      <c r="BC1892" s="169"/>
    </row>
    <row r="1893" spans="55:55" ht="15.75" customHeight="1">
      <c r="BC1893" s="169"/>
    </row>
    <row r="1894" spans="55:55" ht="15.75" customHeight="1">
      <c r="BC1894" s="169"/>
    </row>
    <row r="1895" spans="55:55" ht="15.75" customHeight="1">
      <c r="BC1895" s="169"/>
    </row>
    <row r="1896" spans="55:55" ht="15.75" customHeight="1">
      <c r="BC1896" s="169"/>
    </row>
    <row r="1897" spans="55:55" ht="15.75" customHeight="1">
      <c r="BC1897" s="169"/>
    </row>
    <row r="1898" spans="55:55" ht="15.75" customHeight="1">
      <c r="BC1898" s="169"/>
    </row>
    <row r="1899" spans="55:55" ht="15.75" customHeight="1">
      <c r="BC1899" s="169"/>
    </row>
    <row r="1900" spans="55:55" ht="15.75" customHeight="1">
      <c r="BC1900" s="169"/>
    </row>
    <row r="1901" spans="55:55" ht="15.75" customHeight="1">
      <c r="BC1901" s="169"/>
    </row>
    <row r="1902" spans="55:55" ht="15.75" customHeight="1">
      <c r="BC1902" s="169"/>
    </row>
    <row r="1903" spans="55:55" ht="15.75" customHeight="1">
      <c r="BC1903" s="169"/>
    </row>
    <row r="1904" spans="55:55" ht="15.75" customHeight="1">
      <c r="BC1904" s="169"/>
    </row>
    <row r="1905" spans="55:55" ht="15.75" customHeight="1">
      <c r="BC1905" s="169"/>
    </row>
    <row r="1906" spans="55:55" ht="15.75" customHeight="1">
      <c r="BC1906" s="169"/>
    </row>
    <row r="1907" spans="55:55" ht="15.75" customHeight="1">
      <c r="BC1907" s="169"/>
    </row>
    <row r="1908" spans="55:55" ht="15.75" customHeight="1">
      <c r="BC1908" s="169"/>
    </row>
    <row r="1909" spans="55:55" ht="15.75" customHeight="1">
      <c r="BC1909" s="169"/>
    </row>
    <row r="1910" spans="55:55" ht="15.75" customHeight="1">
      <c r="BC1910" s="169"/>
    </row>
    <row r="1911" spans="55:55" ht="15.75" customHeight="1">
      <c r="BC1911" s="169"/>
    </row>
    <row r="1912" spans="55:55" ht="15.75" customHeight="1">
      <c r="BC1912" s="169"/>
    </row>
    <row r="1913" spans="55:55" ht="15.75" customHeight="1">
      <c r="BC1913" s="169"/>
    </row>
    <row r="1914" spans="55:55" ht="15.75" customHeight="1">
      <c r="BC1914" s="169"/>
    </row>
    <row r="1915" spans="55:55" ht="15.75" customHeight="1">
      <c r="BC1915" s="169"/>
    </row>
    <row r="1916" spans="55:55" ht="15.75" customHeight="1">
      <c r="BC1916" s="169"/>
    </row>
    <row r="1917" spans="55:55" ht="15.75" customHeight="1">
      <c r="BC1917" s="169"/>
    </row>
    <row r="1918" spans="55:55" ht="15.75" customHeight="1">
      <c r="BC1918" s="169"/>
    </row>
    <row r="1919" spans="55:55" ht="15.75" customHeight="1">
      <c r="BC1919" s="169"/>
    </row>
    <row r="1920" spans="55:55" ht="15.75" customHeight="1">
      <c r="BC1920" s="169"/>
    </row>
    <row r="1921" spans="55:55" ht="15.75" customHeight="1">
      <c r="BC1921" s="169"/>
    </row>
    <row r="1922" spans="55:55" ht="15.75" customHeight="1">
      <c r="BC1922" s="169"/>
    </row>
    <row r="1923" spans="55:55" ht="15.75" customHeight="1">
      <c r="BC1923" s="169"/>
    </row>
    <row r="1924" spans="55:55" ht="15.75" customHeight="1">
      <c r="BC1924" s="169"/>
    </row>
    <row r="1925" spans="55:55" ht="15.75" customHeight="1">
      <c r="BC1925" s="169"/>
    </row>
    <row r="1926" spans="55:55" ht="15.75" customHeight="1">
      <c r="BC1926" s="169"/>
    </row>
    <row r="1927" spans="55:55" ht="15.75" customHeight="1">
      <c r="BC1927" s="169"/>
    </row>
    <row r="1928" spans="55:55" ht="15.75" customHeight="1">
      <c r="BC1928" s="169"/>
    </row>
    <row r="1929" spans="55:55" ht="15.75" customHeight="1">
      <c r="BC1929" s="169"/>
    </row>
    <row r="1930" spans="55:55" ht="15.75" customHeight="1">
      <c r="BC1930" s="169"/>
    </row>
    <row r="1931" spans="55:55" ht="15.75" customHeight="1">
      <c r="BC1931" s="169"/>
    </row>
    <row r="1932" spans="55:55" ht="15.75" customHeight="1">
      <c r="BC1932" s="169"/>
    </row>
    <row r="1933" spans="55:55" ht="15.75" customHeight="1">
      <c r="BC1933" s="169"/>
    </row>
    <row r="1934" spans="55:55" ht="15.75" customHeight="1">
      <c r="BC1934" s="169"/>
    </row>
    <row r="1935" spans="55:55" ht="15.75" customHeight="1">
      <c r="BC1935" s="169"/>
    </row>
    <row r="1936" spans="55:55" ht="15.75" customHeight="1">
      <c r="BC1936" s="169"/>
    </row>
    <row r="1937" spans="55:55" ht="15.75" customHeight="1">
      <c r="BC1937" s="169"/>
    </row>
    <row r="1938" spans="55:55" ht="15.75" customHeight="1">
      <c r="BC1938" s="169"/>
    </row>
    <row r="1939" spans="55:55" ht="15.75" customHeight="1">
      <c r="BC1939" s="169"/>
    </row>
    <row r="1940" spans="55:55" ht="15.75" customHeight="1">
      <c r="BC1940" s="169"/>
    </row>
    <row r="1941" spans="55:55" ht="15.75" customHeight="1">
      <c r="BC1941" s="169"/>
    </row>
    <row r="1942" spans="55:55" ht="15.75" customHeight="1">
      <c r="BC1942" s="169"/>
    </row>
    <row r="1943" spans="55:55" ht="15.75" customHeight="1">
      <c r="BC1943" s="169"/>
    </row>
    <row r="1944" spans="55:55" ht="15.75" customHeight="1">
      <c r="BC1944" s="169"/>
    </row>
    <row r="1945" spans="55:55" ht="15.75" customHeight="1">
      <c r="BC1945" s="169"/>
    </row>
    <row r="1946" spans="55:55" ht="15.75" customHeight="1">
      <c r="BC1946" s="169"/>
    </row>
    <row r="1947" spans="55:55" ht="15.75" customHeight="1">
      <c r="BC1947" s="169"/>
    </row>
    <row r="1948" spans="55:55" ht="15.75" customHeight="1">
      <c r="BC1948" s="169"/>
    </row>
    <row r="1949" spans="55:55" ht="15.75" customHeight="1">
      <c r="BC1949" s="169"/>
    </row>
    <row r="1950" spans="55:55" ht="15.75" customHeight="1">
      <c r="BC1950" s="169"/>
    </row>
    <row r="1951" spans="55:55" ht="15.75" customHeight="1">
      <c r="BC1951" s="169"/>
    </row>
    <row r="1952" spans="55:55" ht="15.75" customHeight="1">
      <c r="BC1952" s="169"/>
    </row>
    <row r="1953" spans="55:55" ht="15.75" customHeight="1">
      <c r="BC1953" s="169"/>
    </row>
    <row r="1954" spans="55:55" ht="15.75" customHeight="1">
      <c r="BC1954" s="169"/>
    </row>
    <row r="1955" spans="55:55" ht="15.75" customHeight="1">
      <c r="BC1955" s="169"/>
    </row>
    <row r="1956" spans="55:55" ht="15.75" customHeight="1">
      <c r="BC1956" s="169"/>
    </row>
    <row r="1957" spans="55:55" ht="15.75" customHeight="1">
      <c r="BC1957" s="169"/>
    </row>
    <row r="1958" spans="55:55" ht="15.75" customHeight="1">
      <c r="BC1958" s="169"/>
    </row>
    <row r="1959" spans="55:55" ht="15.75" customHeight="1">
      <c r="BC1959" s="169"/>
    </row>
    <row r="1960" spans="55:55" ht="15.75" customHeight="1">
      <c r="BC1960" s="169"/>
    </row>
    <row r="1961" spans="55:55" ht="15.75" customHeight="1">
      <c r="BC1961" s="169"/>
    </row>
    <row r="1962" spans="55:55" ht="15.75" customHeight="1">
      <c r="BC1962" s="169"/>
    </row>
    <row r="1963" spans="55:55" ht="15.75" customHeight="1">
      <c r="BC1963" s="169"/>
    </row>
    <row r="1964" spans="55:55" ht="15.75" customHeight="1">
      <c r="BC1964" s="169"/>
    </row>
    <row r="1965" spans="55:55" ht="15.75" customHeight="1">
      <c r="BC1965" s="169"/>
    </row>
    <row r="1966" spans="55:55" ht="15.75" customHeight="1">
      <c r="BC1966" s="169"/>
    </row>
    <row r="1967" spans="55:55" ht="15.75" customHeight="1">
      <c r="BC1967" s="169"/>
    </row>
    <row r="1968" spans="55:55" ht="15.75" customHeight="1">
      <c r="BC1968" s="169"/>
    </row>
    <row r="1969" spans="55:55" ht="15.75" customHeight="1">
      <c r="BC1969" s="169"/>
    </row>
    <row r="1970" spans="55:55" ht="15.75" customHeight="1">
      <c r="BC1970" s="169"/>
    </row>
    <row r="1971" spans="55:55" ht="15.75" customHeight="1">
      <c r="BC1971" s="169"/>
    </row>
    <row r="1972" spans="55:55" ht="15.75" customHeight="1">
      <c r="BC1972" s="169"/>
    </row>
    <row r="1973" spans="55:55" ht="15.75" customHeight="1">
      <c r="BC1973" s="169"/>
    </row>
    <row r="1974" spans="55:55" ht="15.75" customHeight="1">
      <c r="BC1974" s="169"/>
    </row>
    <row r="1975" spans="55:55" ht="15.75" customHeight="1">
      <c r="BC1975" s="169"/>
    </row>
    <row r="1976" spans="55:55" ht="15.75" customHeight="1">
      <c r="BC1976" s="169"/>
    </row>
    <row r="1977" spans="55:55" ht="15.75" customHeight="1">
      <c r="BC1977" s="169"/>
    </row>
    <row r="1978" spans="55:55" ht="15.75" customHeight="1">
      <c r="BC1978" s="169"/>
    </row>
    <row r="1979" spans="55:55" ht="15.75" customHeight="1">
      <c r="BC1979" s="169"/>
    </row>
    <row r="1980" spans="55:55" ht="15.75" customHeight="1">
      <c r="BC1980" s="169"/>
    </row>
    <row r="1981" spans="55:55" ht="15.75" customHeight="1">
      <c r="BC1981" s="169"/>
    </row>
    <row r="1982" spans="55:55" ht="15.75" customHeight="1">
      <c r="BC1982" s="169"/>
    </row>
    <row r="1983" spans="55:55" ht="15.75" customHeight="1">
      <c r="BC1983" s="169"/>
    </row>
    <row r="1984" spans="55:55" ht="15.75" customHeight="1">
      <c r="BC1984" s="169"/>
    </row>
    <row r="1985" spans="55:55" ht="15.75" customHeight="1">
      <c r="BC1985" s="169"/>
    </row>
    <row r="1986" spans="55:55" ht="15.75" customHeight="1">
      <c r="BC1986" s="169"/>
    </row>
    <row r="1987" spans="55:55" ht="15.75" customHeight="1">
      <c r="BC1987" s="169"/>
    </row>
    <row r="1988" spans="55:55" ht="15.75" customHeight="1">
      <c r="BC1988" s="169"/>
    </row>
    <row r="1989" spans="55:55" ht="15.75" customHeight="1">
      <c r="BC1989" s="169"/>
    </row>
    <row r="1990" spans="55:55" ht="15.75" customHeight="1">
      <c r="BC1990" s="169"/>
    </row>
    <row r="1991" spans="55:55" ht="15.75" customHeight="1">
      <c r="BC1991" s="169"/>
    </row>
    <row r="1992" spans="55:55" ht="15.75" customHeight="1">
      <c r="BC1992" s="169"/>
    </row>
    <row r="1993" spans="55:55" ht="15.75" customHeight="1">
      <c r="BC1993" s="169"/>
    </row>
    <row r="1994" spans="55:55" ht="15.75" customHeight="1">
      <c r="BC1994" s="169"/>
    </row>
    <row r="1995" spans="55:55" ht="15.75" customHeight="1">
      <c r="BC1995" s="169"/>
    </row>
    <row r="1996" spans="55:55" ht="15.75" customHeight="1">
      <c r="BC1996" s="169"/>
    </row>
    <row r="1997" spans="55:55" ht="15.75" customHeight="1">
      <c r="BC1997" s="169"/>
    </row>
    <row r="1998" spans="55:55" ht="15.75" customHeight="1">
      <c r="BC1998" s="169"/>
    </row>
  </sheetData>
  <autoFilter ref="A2:BG347" xr:uid="{00000000-0009-0000-0000-00000D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autoFilter>
  <mergeCells count="10">
    <mergeCell ref="BD1:BG1"/>
    <mergeCell ref="AN2:AP2"/>
    <mergeCell ref="AQ2:AS2"/>
    <mergeCell ref="AT2:AV2"/>
    <mergeCell ref="A1:BB1"/>
    <mergeCell ref="N2:P2"/>
    <mergeCell ref="T2:V2"/>
    <mergeCell ref="W2:Y2"/>
    <mergeCell ref="Z2:AB2"/>
    <mergeCell ref="AC2:AE2"/>
  </mergeCells>
  <phoneticPr fontId="130" type="noConversion"/>
  <conditionalFormatting sqref="BH334:XFD337">
    <cfRule type="cellIs" dxfId="907" priority="205" operator="equal">
      <formula>0</formula>
    </cfRule>
  </conditionalFormatting>
  <conditionalFormatting sqref="B308:BA308 B307:R307 T307:BA307 B330:BA330 B309:R329 T309:BA329 S310 S312 S314 S316 S318 S320 S322 S324 S326 S328 B331:R337 T331:BA337 S332 S334 S336 B300:BA300 B299:R299 T299:BA299 B298:BA298 B297:R297 T297:BA297 B301:R301 T301:BA301 B303:R303 T303:BA303 B306:BA306 B305:R305 T305:BA305 B302:BA302 B304:BA304 B71:BA71 B73:R73 T73:BA73 B75:R75 T75:BA75 B78:BA79 B77:R77 T77:BA77 B74:BA74 B76:BA76 B81:BA82 B86:BA86 B85:R85 T85:BA85 B84:AF84 B83:R83 T83:BA83 B92:BA92 B87:R91 T87:BA91 S88 S90 B93:R93 T93:BA93 B95:R95 T95:BA95 B97:R111 S98 S100 S102 S104 S106 S108 S110 B94:BA94 B96:BA96 T97:BA111 B112:BA185 B187:BA187 B189:BA189 B191:BA191 AO190:BA190 B193:BA193 AO192:BA192 B195:BA195 B197:BA197 B196:M196 O196:AB196 AD196:AE196 AG196:BA196 B199:BA199 AO198:BA198 B201:BA201 AO200:BA200 B203:BA203 AO202:BA202 AO204:BA204 B205:BA209 B210:M210 B211:BA211 AO210:BA210 AO212:BA212 B6:BA65 AO72:BA72 AJ84:BA84 B213:BA296">
    <cfRule type="expression" dxfId="906" priority="196">
      <formula>$M6="NON DEFINED"</formula>
    </cfRule>
    <cfRule type="expression" dxfId="905" priority="197">
      <formula>$AY6="N.D."</formula>
    </cfRule>
  </conditionalFormatting>
  <conditionalFormatting sqref="BD6:BE6 BD8:BE8 BD10:BE10 BD16:BE16 BE12 BD18:BE18 BD22:BE22 BD24:BE24 BD28:BE28 BD30:BE30 BD34:BE34 BD36:BE36 BD38:BE38 BD42:BE42 BD44:BE44 BD46:BE46 BD48:BE48 BD52:BE52 BD54:BE54 BD58:BE58 BD60:BE60 BD64:BE64 BD72:BE72 BD76:BE76 BE82 BD88:BE88 BD92:BG92 BD94:BG94 BD100:BG100 BD108:BG108 BD112:BG112 BD114:BG114 BD116:BG116 BD118:BG118 BD122:BG122 BD124:BG124 BD128:BG128 BD130:BG130 BD132:BG132 BD134:BG134 BD138:BG138 BD140:BG140 BD251 BE142 BD256:BE256 BE252 BE258 BE14 BD15 BD20:BE20 BD19 BD26:BE26 BD32:BE32 BD40:BE40 BD39 BD50:BE50 BD49 BD56:BE56 BD55 BD62:BE62 BD61 BD90:BG90 BD96:BG96 BD102:BG102 BD110:BG110 BD120:BG120 BD119 BD126:BG126 BD125 BD136:BG136 BD135 BD141 BE144 BE146 BE148 BE150 BE152 BE154 BE156 BE158 BE160 BE162 BE164 BE166 BE168 BE170 BE172 BE174 BE176 BE178 BE180 BE182 BE184 BE190 BE192 BE196 BE198 BE200 BE202 BE204 BE206 BE208 BE210 BE212 BE214 BE216 BE218 BE220 BE222 BE224 BE226 BE228 BE230 BE232 BE234 BE236 BE238 BE240 BE242 BE244 BE246 BE248 BE250 BE254 BE260 BE262 BE264 BE266 BE268 BE270 BE272 BE274 BE276 BE278 BE280 BE282 BE284 BE286 BE288 BE290 BE292 BE294 BE296 BE298 BE300 BE302 BE304 BE306 BE308 BE310 BE312 BE314 BE316 BE318 BE320 BE322 BE324 BE326 BE328 BE330 BE332 BE334 BE336 BG62 BG56 BG50 BG40 BG32 BG26 BG20 BG14 BG82 BG84 BG76 BG72 BG60 BG58 BG54 BG52 BG48 BG46 BG44 BG42 BG38 BG36 BG34 BG30 BG28 BG24 BG22 BG18 BG12 BG16 BG10 BG8 BG6 BG336 BG334 BG332 BG330 BG328 BG326 BG324 BG322 BG320 BG318 BG316 BG314 BG312 BG310 BG308 BG306 BG304 BG302 BG300 BG298 BG296 BG294 BG292 BG290 BG288 BG286 BG284 BG282 BG280 BG278 BG276 BG274 BG272 BG270 BG268 BG266 BG264 BG262 BG260 BG254 BG250 BG248 BG246 BG244 BG242 BG240 BG238 BG236 BG234 BG232 BG230 BG228 BG226 BG224 BG222 BG220 BG218 BG216 BG214 BG212 BG210 BG208 BG206 BG204 BG202 BG200 BG198 BG196 BG192 BG190 BG184 BG182 BG180 BG178 BG176 BG174 BG172 BG170 BG168 BG166 BG164 BG162 BG160 BG158 BG156 BG154 BG152 BG150 BG148 BG146 BG144 BG258 BG252 BG256 BG142 BD108:BD110 BD106:BG106 BD104:BG104 BD100:BD102 BD98:BG98 BD94:BD96 BD88:BD89 BD86:BE86 BD84:BE84 BD81 BD78:BE78 BD74:BE74 BD22:BD32">
    <cfRule type="containsBlanks" dxfId="904" priority="188">
      <formula>LEN(TRIM(BD6))=0</formula>
    </cfRule>
  </conditionalFormatting>
  <conditionalFormatting sqref="BC348:BC1998 BC81:BC185 BC71:BC79 BC6:BC65 BC187 BC189:BC193 BC195:BC337">
    <cfRule type="containsText" dxfId="903" priority="184" operator="containsText" text="a">
      <formula>NOT(ISERROR(SEARCH("a",BC6)))</formula>
    </cfRule>
    <cfRule type="containsText" dxfId="902" priority="185" operator="containsText" text="R">
      <formula>NOT(ISERROR(SEARCH("R",BC6)))</formula>
    </cfRule>
  </conditionalFormatting>
  <conditionalFormatting sqref="BA81:BA185 BA71:BA79 BA6:BA65 BA187 BA189:BA193 BA195:BA337">
    <cfRule type="expression" dxfId="901" priority="183">
      <formula>$BC6="R"</formula>
    </cfRule>
  </conditionalFormatting>
  <conditionalFormatting sqref="BC4:BG5">
    <cfRule type="cellIs" dxfId="900" priority="173" operator="equal">
      <formula>0</formula>
    </cfRule>
  </conditionalFormatting>
  <conditionalFormatting sqref="A4:BB5">
    <cfRule type="cellIs" dxfId="899" priority="177" operator="equal">
      <formula>0</formula>
    </cfRule>
  </conditionalFormatting>
  <conditionalFormatting sqref="B4:BA5 BC4:BG5">
    <cfRule type="expression" dxfId="898" priority="175">
      <formula>$M4="NON DEFINED"</formula>
    </cfRule>
    <cfRule type="expression" dxfId="897" priority="176">
      <formula>$AY4="N.D."</formula>
    </cfRule>
  </conditionalFormatting>
  <conditionalFormatting sqref="BA4:BA5">
    <cfRule type="expression" dxfId="896" priority="174">
      <formula>$BC4="R"</formula>
    </cfRule>
  </conditionalFormatting>
  <conditionalFormatting sqref="BC338:BG347">
    <cfRule type="cellIs" dxfId="895" priority="168" operator="equal">
      <formula>0</formula>
    </cfRule>
  </conditionalFormatting>
  <conditionalFormatting sqref="A338:BB347">
    <cfRule type="cellIs" dxfId="894" priority="172" operator="equal">
      <formula>0</formula>
    </cfRule>
  </conditionalFormatting>
  <conditionalFormatting sqref="B338:BA347 BC338:BG347">
    <cfRule type="expression" dxfId="893" priority="170">
      <formula>$M338="NON DEFINED"</formula>
    </cfRule>
    <cfRule type="expression" dxfId="892" priority="171">
      <formula>$AY338="N.D."</formula>
    </cfRule>
  </conditionalFormatting>
  <conditionalFormatting sqref="BA338:BA347">
    <cfRule type="expression" dxfId="891" priority="169">
      <formula>$BC338="R"</formula>
    </cfRule>
  </conditionalFormatting>
  <conditionalFormatting sqref="AN81:AN185 AN71 AN4:AN65 AN187 AN189 AN191 AN193 AN195:AN197 AN199 AN201 AN203 AN205:AN209 AN211 AN213:AN347 AN73:AN79">
    <cfRule type="cellIs" dxfId="890" priority="167" operator="notEqual">
      <formula>5.5</formula>
    </cfRule>
  </conditionalFormatting>
  <conditionalFormatting sqref="BG86 BG88">
    <cfRule type="containsBlanks" dxfId="889" priority="166">
      <formula>LEN(TRIM(BG86))=0</formula>
    </cfRule>
  </conditionalFormatting>
  <conditionalFormatting sqref="S307 S309 S311 S313 S315 S317 S319 S321 S323 S325 S327 S329 S331 S333 S335 S337">
    <cfRule type="expression" dxfId="888" priority="164">
      <formula>$M307="NON DEFINED"</formula>
    </cfRule>
    <cfRule type="expression" dxfId="887" priority="165">
      <formula>$AY307="N.D."</formula>
    </cfRule>
  </conditionalFormatting>
  <conditionalFormatting sqref="S299">
    <cfRule type="expression" dxfId="886" priority="162">
      <formula>$M299="NON DEFINED"</formula>
    </cfRule>
    <cfRule type="expression" dxfId="885" priority="163">
      <formula>$AY299="N.D."</formula>
    </cfRule>
  </conditionalFormatting>
  <conditionalFormatting sqref="S297">
    <cfRule type="expression" dxfId="884" priority="160">
      <formula>$M297="NON DEFINED"</formula>
    </cfRule>
    <cfRule type="expression" dxfId="883" priority="161">
      <formula>$AY297="N.D."</formula>
    </cfRule>
  </conditionalFormatting>
  <conditionalFormatting sqref="S301">
    <cfRule type="expression" dxfId="882" priority="158">
      <formula>$M301="NON DEFINED"</formula>
    </cfRule>
    <cfRule type="expression" dxfId="881" priority="159">
      <formula>$AY301="N.D."</formula>
    </cfRule>
  </conditionalFormatting>
  <conditionalFormatting sqref="S303">
    <cfRule type="expression" dxfId="880" priority="156">
      <formula>$M303="NON DEFINED"</formula>
    </cfRule>
    <cfRule type="expression" dxfId="879" priority="157">
      <formula>$AY303="N.D."</formula>
    </cfRule>
  </conditionalFormatting>
  <conditionalFormatting sqref="S305">
    <cfRule type="expression" dxfId="878" priority="154">
      <formula>$M305="NON DEFINED"</formula>
    </cfRule>
    <cfRule type="expression" dxfId="877" priority="155">
      <formula>$AY305="N.D."</formula>
    </cfRule>
  </conditionalFormatting>
  <conditionalFormatting sqref="B80:BA80">
    <cfRule type="expression" dxfId="876" priority="152">
      <formula>$M80="NON DEFINED"</formula>
    </cfRule>
    <cfRule type="expression" dxfId="875" priority="153">
      <formula>$AY80="N.D."</formula>
    </cfRule>
  </conditionalFormatting>
  <conditionalFormatting sqref="BD80:BE80">
    <cfRule type="containsBlanks" dxfId="874" priority="151">
      <formula>LEN(TRIM(BD80))=0</formula>
    </cfRule>
  </conditionalFormatting>
  <conditionalFormatting sqref="BC80">
    <cfRule type="containsText" dxfId="873" priority="149" operator="containsText" text="a">
      <formula>NOT(ISERROR(SEARCH("a",BC80)))</formula>
    </cfRule>
    <cfRule type="containsText" dxfId="872" priority="150" operator="containsText" text="R">
      <formula>NOT(ISERROR(SEARCH("R",BC80)))</formula>
    </cfRule>
  </conditionalFormatting>
  <conditionalFormatting sqref="BA80">
    <cfRule type="expression" dxfId="871" priority="148">
      <formula>$BC80="R"</formula>
    </cfRule>
  </conditionalFormatting>
  <conditionalFormatting sqref="AN80">
    <cfRule type="cellIs" dxfId="870" priority="147" operator="notEqual">
      <formula>5.5</formula>
    </cfRule>
  </conditionalFormatting>
  <conditionalFormatting sqref="B66:BA66 B67:R67 T67:BA67 B70:BA70 B69:R69 T69:BA69 B68:BA68">
    <cfRule type="expression" dxfId="869" priority="145">
      <formula>$M66="NON DEFINED"</formula>
    </cfRule>
    <cfRule type="expression" dxfId="868" priority="146">
      <formula>$AY66="N.D."</formula>
    </cfRule>
  </conditionalFormatting>
  <conditionalFormatting sqref="BD66:BE70 BG66:BG70">
    <cfRule type="containsBlanks" dxfId="867" priority="144">
      <formula>LEN(TRIM(BD66))=0</formula>
    </cfRule>
  </conditionalFormatting>
  <conditionalFormatting sqref="BC66:BC70">
    <cfRule type="containsText" dxfId="866" priority="142" operator="containsText" text="a">
      <formula>NOT(ISERROR(SEARCH("a",BC66)))</formula>
    </cfRule>
    <cfRule type="containsText" dxfId="865" priority="143" operator="containsText" text="R">
      <formula>NOT(ISERROR(SEARCH("R",BC66)))</formula>
    </cfRule>
  </conditionalFormatting>
  <conditionalFormatting sqref="BA66:BA70">
    <cfRule type="expression" dxfId="864" priority="141">
      <formula>$BC66="R"</formula>
    </cfRule>
  </conditionalFormatting>
  <conditionalFormatting sqref="AN66:AN70">
    <cfRule type="cellIs" dxfId="863" priority="140" operator="notEqual">
      <formula>5.5</formula>
    </cfRule>
  </conditionalFormatting>
  <conditionalFormatting sqref="S67">
    <cfRule type="expression" dxfId="862" priority="138">
      <formula>$M67="NON DEFINED"</formula>
    </cfRule>
    <cfRule type="expression" dxfId="861" priority="139">
      <formula>$AY67="N.D."</formula>
    </cfRule>
  </conditionalFormatting>
  <conditionalFormatting sqref="S69">
    <cfRule type="expression" dxfId="860" priority="136">
      <formula>$M69="NON DEFINED"</formula>
    </cfRule>
    <cfRule type="expression" dxfId="859" priority="137">
      <formula>$AY69="N.D."</formula>
    </cfRule>
  </conditionalFormatting>
  <conditionalFormatting sqref="S73">
    <cfRule type="expression" dxfId="858" priority="134">
      <formula>$M73="NON DEFINED"</formula>
    </cfRule>
    <cfRule type="expression" dxfId="857" priority="135">
      <formula>$AY73="N.D."</formula>
    </cfRule>
  </conditionalFormatting>
  <conditionalFormatting sqref="S75">
    <cfRule type="expression" dxfId="856" priority="132">
      <formula>$M75="NON DEFINED"</formula>
    </cfRule>
    <cfRule type="expression" dxfId="855" priority="133">
      <formula>$AY75="N.D."</formula>
    </cfRule>
  </conditionalFormatting>
  <conditionalFormatting sqref="S77">
    <cfRule type="expression" dxfId="854" priority="130">
      <formula>$M77="NON DEFINED"</formula>
    </cfRule>
    <cfRule type="expression" dxfId="853" priority="131">
      <formula>$AY77="N.D."</formula>
    </cfRule>
  </conditionalFormatting>
  <conditionalFormatting sqref="S85 S87 S89 S91">
    <cfRule type="expression" dxfId="852" priority="128">
      <formula>$M85="NON DEFINED"</formula>
    </cfRule>
    <cfRule type="expression" dxfId="851" priority="129">
      <formula>$AY85="N.D."</formula>
    </cfRule>
  </conditionalFormatting>
  <conditionalFormatting sqref="S83">
    <cfRule type="expression" dxfId="850" priority="124">
      <formula>$M83="NON DEFINED"</formula>
    </cfRule>
    <cfRule type="expression" dxfId="849" priority="125">
      <formula>$AY83="N.D."</formula>
    </cfRule>
  </conditionalFormatting>
  <conditionalFormatting sqref="S93">
    <cfRule type="expression" dxfId="848" priority="120">
      <formula>$M93="NON DEFINED"</formula>
    </cfRule>
    <cfRule type="expression" dxfId="847" priority="121">
      <formula>$AY93="N.D."</formula>
    </cfRule>
  </conditionalFormatting>
  <conditionalFormatting sqref="S95 S97 S99 S101 S103 S105 S107 S109 S111">
    <cfRule type="expression" dxfId="846" priority="118">
      <formula>$M95="NON DEFINED"</formula>
    </cfRule>
    <cfRule type="expression" dxfId="845" priority="119">
      <formula>$AY95="N.D."</formula>
    </cfRule>
  </conditionalFormatting>
  <conditionalFormatting sqref="B186:BA186">
    <cfRule type="expression" dxfId="844" priority="116">
      <formula>$M186="NON DEFINED"</formula>
    </cfRule>
    <cfRule type="expression" dxfId="843" priority="117">
      <formula>$AY186="N.D."</formula>
    </cfRule>
  </conditionalFormatting>
  <conditionalFormatting sqref="BE186 BG186">
    <cfRule type="containsBlanks" dxfId="842" priority="115">
      <formula>LEN(TRIM(BE186))=0</formula>
    </cfRule>
  </conditionalFormatting>
  <conditionalFormatting sqref="BC186">
    <cfRule type="containsText" dxfId="841" priority="113" operator="containsText" text="a">
      <formula>NOT(ISERROR(SEARCH("a",BC186)))</formula>
    </cfRule>
    <cfRule type="containsText" dxfId="840" priority="114" operator="containsText" text="R">
      <formula>NOT(ISERROR(SEARCH("R",BC186)))</formula>
    </cfRule>
  </conditionalFormatting>
  <conditionalFormatting sqref="BA186">
    <cfRule type="expression" dxfId="839" priority="112">
      <formula>$BC186="R"</formula>
    </cfRule>
  </conditionalFormatting>
  <conditionalFormatting sqref="AN186">
    <cfRule type="cellIs" dxfId="838" priority="111" operator="notEqual">
      <formula>5.5</formula>
    </cfRule>
  </conditionalFormatting>
  <conditionalFormatting sqref="B188:BA188">
    <cfRule type="expression" dxfId="837" priority="107">
      <formula>$M188="NON DEFINED"</formula>
    </cfRule>
    <cfRule type="expression" dxfId="836" priority="108">
      <formula>$AY188="N.D."</formula>
    </cfRule>
  </conditionalFormatting>
  <conditionalFormatting sqref="BE188 BG188">
    <cfRule type="containsBlanks" dxfId="835" priority="106">
      <formula>LEN(TRIM(BE188))=0</formula>
    </cfRule>
  </conditionalFormatting>
  <conditionalFormatting sqref="BC188">
    <cfRule type="containsText" dxfId="834" priority="104" operator="containsText" text="a">
      <formula>NOT(ISERROR(SEARCH("a",BC188)))</formula>
    </cfRule>
    <cfRule type="containsText" dxfId="833" priority="105" operator="containsText" text="R">
      <formula>NOT(ISERROR(SEARCH("R",BC188)))</formula>
    </cfRule>
  </conditionalFormatting>
  <conditionalFormatting sqref="BA188">
    <cfRule type="expression" dxfId="832" priority="103">
      <formula>$BC188="R"</formula>
    </cfRule>
  </conditionalFormatting>
  <conditionalFormatting sqref="AN188">
    <cfRule type="cellIs" dxfId="831" priority="102" operator="notEqual">
      <formula>5.5</formula>
    </cfRule>
  </conditionalFormatting>
  <conditionalFormatting sqref="B190:M190 O190:AB190 AD190:AN190">
    <cfRule type="expression" dxfId="830" priority="100">
      <formula>$M190="NON DEFINED"</formula>
    </cfRule>
    <cfRule type="expression" dxfId="829" priority="101">
      <formula>$AY190="N.D."</formula>
    </cfRule>
  </conditionalFormatting>
  <conditionalFormatting sqref="AN190">
    <cfRule type="cellIs" dxfId="828" priority="99" operator="notEqual">
      <formula>5.5</formula>
    </cfRule>
  </conditionalFormatting>
  <conditionalFormatting sqref="B192:AB192 AD192:AN192">
    <cfRule type="expression" dxfId="827" priority="97">
      <formula>$M192="NON DEFINED"</formula>
    </cfRule>
    <cfRule type="expression" dxfId="826" priority="98">
      <formula>$AY192="N.D."</formula>
    </cfRule>
  </conditionalFormatting>
  <conditionalFormatting sqref="AN192">
    <cfRule type="cellIs" dxfId="825" priority="96" operator="notEqual">
      <formula>5.5</formula>
    </cfRule>
  </conditionalFormatting>
  <conditionalFormatting sqref="AO194:BA194">
    <cfRule type="expression" dxfId="824" priority="94">
      <formula>$M194="NON DEFINED"</formula>
    </cfRule>
    <cfRule type="expression" dxfId="823" priority="95">
      <formula>$AY194="N.D."</formula>
    </cfRule>
  </conditionalFormatting>
  <conditionalFormatting sqref="BE194 BG194">
    <cfRule type="containsBlanks" dxfId="822" priority="93">
      <formula>LEN(TRIM(BE194))=0</formula>
    </cfRule>
  </conditionalFormatting>
  <conditionalFormatting sqref="BC194">
    <cfRule type="containsText" dxfId="821" priority="91" operator="containsText" text="a">
      <formula>NOT(ISERROR(SEARCH("a",BC194)))</formula>
    </cfRule>
    <cfRule type="containsText" dxfId="820" priority="92" operator="containsText" text="R">
      <formula>NOT(ISERROR(SEARCH("R",BC194)))</formula>
    </cfRule>
  </conditionalFormatting>
  <conditionalFormatting sqref="BA194">
    <cfRule type="expression" dxfId="819" priority="90">
      <formula>$BC194="R"</formula>
    </cfRule>
  </conditionalFormatting>
  <conditionalFormatting sqref="B194:AN194">
    <cfRule type="expression" dxfId="818" priority="88">
      <formula>$M194="NON DEFINED"</formula>
    </cfRule>
    <cfRule type="expression" dxfId="817" priority="89">
      <formula>$AY194="N.D."</formula>
    </cfRule>
  </conditionalFormatting>
  <conditionalFormatting sqref="AN194">
    <cfRule type="cellIs" dxfId="816" priority="87" operator="notEqual">
      <formula>5.5</formula>
    </cfRule>
  </conditionalFormatting>
  <conditionalFormatting sqref="N196">
    <cfRule type="expression" dxfId="815" priority="85">
      <formula>$M196="NON DEFINED"</formula>
    </cfRule>
    <cfRule type="expression" dxfId="814" priority="86">
      <formula>$AY196="N.D."</formula>
    </cfRule>
  </conditionalFormatting>
  <conditionalFormatting sqref="AC196">
    <cfRule type="expression" dxfId="813" priority="83">
      <formula>$M196="NON DEFINED"</formula>
    </cfRule>
    <cfRule type="expression" dxfId="812" priority="84">
      <formula>$AY196="N.D."</formula>
    </cfRule>
  </conditionalFormatting>
  <conditionalFormatting sqref="N190">
    <cfRule type="expression" dxfId="811" priority="81">
      <formula>$M190="NON DEFINED"</formula>
    </cfRule>
    <cfRule type="expression" dxfId="810" priority="82">
      <formula>$AY190="N.D."</formula>
    </cfRule>
  </conditionalFormatting>
  <conditionalFormatting sqref="AC190">
    <cfRule type="expression" dxfId="809" priority="79">
      <formula>$M190="NON DEFINED"</formula>
    </cfRule>
    <cfRule type="expression" dxfId="808" priority="80">
      <formula>$AY190="N.D."</formula>
    </cfRule>
  </conditionalFormatting>
  <conditionalFormatting sqref="AC192">
    <cfRule type="expression" dxfId="807" priority="77">
      <formula>$M192="NON DEFINED"</formula>
    </cfRule>
    <cfRule type="expression" dxfId="806" priority="78">
      <formula>$AY192="N.D."</formula>
    </cfRule>
  </conditionalFormatting>
  <conditionalFormatting sqref="AF196">
    <cfRule type="expression" dxfId="805" priority="75">
      <formula>$M196="NON DEFINED"</formula>
    </cfRule>
    <cfRule type="expression" dxfId="804" priority="76">
      <formula>$AY196="N.D."</formula>
    </cfRule>
  </conditionalFormatting>
  <conditionalFormatting sqref="B198:M198 O198:AB198 AD198:AE198 AG198:AN198">
    <cfRule type="expression" dxfId="803" priority="69">
      <formula>$M198="NON DEFINED"</formula>
    </cfRule>
    <cfRule type="expression" dxfId="802" priority="70">
      <formula>$AY198="N.D."</formula>
    </cfRule>
  </conditionalFormatting>
  <conditionalFormatting sqref="AN198">
    <cfRule type="cellIs" dxfId="801" priority="68" operator="notEqual">
      <formula>5.5</formula>
    </cfRule>
  </conditionalFormatting>
  <conditionalFormatting sqref="N198">
    <cfRule type="expression" dxfId="800" priority="66">
      <formula>$M198="NON DEFINED"</formula>
    </cfRule>
    <cfRule type="expression" dxfId="799" priority="67">
      <formula>$AY198="N.D."</formula>
    </cfRule>
  </conditionalFormatting>
  <conditionalFormatting sqref="AC198">
    <cfRule type="expression" dxfId="798" priority="64">
      <formula>$M198="NON DEFINED"</formula>
    </cfRule>
    <cfRule type="expression" dxfId="797" priority="65">
      <formula>$AY198="N.D."</formula>
    </cfRule>
  </conditionalFormatting>
  <conditionalFormatting sqref="AF198">
    <cfRule type="expression" dxfId="796" priority="60">
      <formula>$M198="NON DEFINED"</formula>
    </cfRule>
    <cfRule type="expression" dxfId="795" priority="61">
      <formula>$AY198="N.D."</formula>
    </cfRule>
  </conditionalFormatting>
  <conditionalFormatting sqref="B200:M200 O200:AB200 AD200:AE200 AG200:AN200">
    <cfRule type="expression" dxfId="794" priority="56">
      <formula>$M200="NON DEFINED"</formula>
    </cfRule>
    <cfRule type="expression" dxfId="793" priority="57">
      <formula>$AY200="N.D."</formula>
    </cfRule>
  </conditionalFormatting>
  <conditionalFormatting sqref="AN200">
    <cfRule type="cellIs" dxfId="792" priority="55" operator="notEqual">
      <formula>5.5</formula>
    </cfRule>
  </conditionalFormatting>
  <conditionalFormatting sqref="N200">
    <cfRule type="expression" dxfId="791" priority="53">
      <formula>$M200="NON DEFINED"</formula>
    </cfRule>
    <cfRule type="expression" dxfId="790" priority="54">
      <formula>$AY200="N.D."</formula>
    </cfRule>
  </conditionalFormatting>
  <conditionalFormatting sqref="AC200">
    <cfRule type="expression" dxfId="789" priority="51">
      <formula>$M200="NON DEFINED"</formula>
    </cfRule>
    <cfRule type="expression" dxfId="788" priority="52">
      <formula>$AY200="N.D."</formula>
    </cfRule>
  </conditionalFormatting>
  <conditionalFormatting sqref="AF200">
    <cfRule type="expression" dxfId="787" priority="49">
      <formula>$M200="NON DEFINED"</formula>
    </cfRule>
    <cfRule type="expression" dxfId="786" priority="50">
      <formula>$AY200="N.D."</formula>
    </cfRule>
  </conditionalFormatting>
  <conditionalFormatting sqref="B202:M202 O202:AB202 AD202:AE202 AG202:AN202">
    <cfRule type="expression" dxfId="785" priority="43">
      <formula>$M202="NON DEFINED"</formula>
    </cfRule>
    <cfRule type="expression" dxfId="784" priority="44">
      <formula>$AY202="N.D."</formula>
    </cfRule>
  </conditionalFormatting>
  <conditionalFormatting sqref="AN202">
    <cfRule type="cellIs" dxfId="783" priority="42" operator="notEqual">
      <formula>5.5</formula>
    </cfRule>
  </conditionalFormatting>
  <conditionalFormatting sqref="N202">
    <cfRule type="expression" dxfId="782" priority="40">
      <formula>$M202="NON DEFINED"</formula>
    </cfRule>
    <cfRule type="expression" dxfId="781" priority="41">
      <formula>$AY202="N.D."</formula>
    </cfRule>
  </conditionalFormatting>
  <conditionalFormatting sqref="AC202">
    <cfRule type="expression" dxfId="780" priority="38">
      <formula>$M202="NON DEFINED"</formula>
    </cfRule>
    <cfRule type="expression" dxfId="779" priority="39">
      <formula>$AY202="N.D."</formula>
    </cfRule>
  </conditionalFormatting>
  <conditionalFormatting sqref="AF202">
    <cfRule type="expression" dxfId="778" priority="36">
      <formula>$M202="NON DEFINED"</formula>
    </cfRule>
    <cfRule type="expression" dxfId="777" priority="37">
      <formula>$AY202="N.D."</formula>
    </cfRule>
  </conditionalFormatting>
  <conditionalFormatting sqref="B204:M204 O204:AB204 AD204:AE204 AG204:AN204">
    <cfRule type="expression" dxfId="776" priority="32">
      <formula>$M204="NON DEFINED"</formula>
    </cfRule>
    <cfRule type="expression" dxfId="775" priority="33">
      <formula>$AY204="N.D."</formula>
    </cfRule>
  </conditionalFormatting>
  <conditionalFormatting sqref="AN204">
    <cfRule type="cellIs" dxfId="774" priority="31" operator="notEqual">
      <formula>5.5</formula>
    </cfRule>
  </conditionalFormatting>
  <conditionalFormatting sqref="N204">
    <cfRule type="expression" dxfId="773" priority="29">
      <formula>$M204="NON DEFINED"</formula>
    </cfRule>
    <cfRule type="expression" dxfId="772" priority="30">
      <formula>$AY204="N.D."</formula>
    </cfRule>
  </conditionalFormatting>
  <conditionalFormatting sqref="AC204">
    <cfRule type="expression" dxfId="771" priority="27">
      <formula>$M204="NON DEFINED"</formula>
    </cfRule>
    <cfRule type="expression" dxfId="770" priority="28">
      <formula>$AY204="N.D."</formula>
    </cfRule>
  </conditionalFormatting>
  <conditionalFormatting sqref="AF204">
    <cfRule type="expression" dxfId="769" priority="25">
      <formula>$M204="NON DEFINED"</formula>
    </cfRule>
    <cfRule type="expression" dxfId="768" priority="26">
      <formula>$AY204="N.D."</formula>
    </cfRule>
  </conditionalFormatting>
  <conditionalFormatting sqref="N210:AN210">
    <cfRule type="expression" dxfId="767" priority="19">
      <formula>$M210="NON DEFINED"</formula>
    </cfRule>
    <cfRule type="expression" dxfId="766" priority="20">
      <formula>$AY210="N.D."</formula>
    </cfRule>
  </conditionalFormatting>
  <conditionalFormatting sqref="AN210">
    <cfRule type="cellIs" dxfId="765" priority="18" operator="notEqual">
      <formula>5.5</formula>
    </cfRule>
  </conditionalFormatting>
  <conditionalFormatting sqref="B212:M212">
    <cfRule type="expression" dxfId="764" priority="16">
      <formula>$M212="NON DEFINED"</formula>
    </cfRule>
    <cfRule type="expression" dxfId="763" priority="17">
      <formula>$AY212="N.D."</formula>
    </cfRule>
  </conditionalFormatting>
  <conditionalFormatting sqref="N212:AN212">
    <cfRule type="expression" dxfId="762" priority="14">
      <formula>$M212="NON DEFINED"</formula>
    </cfRule>
    <cfRule type="expression" dxfId="761" priority="15">
      <formula>$AY212="N.D."</formula>
    </cfRule>
  </conditionalFormatting>
  <conditionalFormatting sqref="AN212">
    <cfRule type="cellIs" dxfId="760" priority="13" operator="notEqual">
      <formula>5.5</formula>
    </cfRule>
  </conditionalFormatting>
  <conditionalFormatting sqref="B72:AN72">
    <cfRule type="expression" dxfId="759" priority="4">
      <formula>$M72="NON DEFINED"</formula>
    </cfRule>
    <cfRule type="expression" dxfId="758" priority="5">
      <formula>$AY72="N.D."</formula>
    </cfRule>
  </conditionalFormatting>
  <conditionalFormatting sqref="AN72">
    <cfRule type="cellIs" dxfId="757" priority="3" operator="notEqual">
      <formula>5.5</formula>
    </cfRule>
  </conditionalFormatting>
  <conditionalFormatting sqref="AG84:AI84">
    <cfRule type="expression" dxfId="756" priority="1">
      <formula>$M84="NON DEFINED"</formula>
    </cfRule>
    <cfRule type="expression" dxfId="755" priority="2">
      <formula>$AY84="N.D."</formula>
    </cfRule>
  </conditionalFormatting>
  <printOptions horizontalCentered="1" gridLines="1"/>
  <pageMargins left="0.39370078740157483" right="0.39370078740157483" top="0.78740157480314965" bottom="0.78740157480314965" header="0.31496062992125984" footer="0.31496062992125984"/>
  <pageSetup paperSize="8" scale="76" fitToHeight="0" orientation="landscape" r:id="rId1"/>
  <headerFooter alignWithMargins="0">
    <oddHeader>&amp;L&amp;G&amp;C
LAYOUT AND EQUIPMENT
EP06 TRACK 3 HER-TSA
KP85+000 - 92+700&amp;R&amp;G</oddHeader>
    <oddFooter>&amp;L&amp;G
&amp;F&amp;C&amp;D&amp;RPag &amp;P of &amp;N</oddFoot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6">
    <tabColor rgb="FFFF7C80"/>
    <pageSetUpPr fitToPage="1"/>
  </sheetPr>
  <dimension ref="A1:BG2005"/>
  <sheetViews>
    <sheetView view="pageBreakPreview" zoomScale="80" zoomScaleNormal="85" zoomScaleSheetLayoutView="80" workbookViewId="0">
      <pane xSplit="2" ySplit="3" topLeftCell="C4" activePane="bottomRight" state="frozen"/>
      <selection activeCell="G124" sqref="G124"/>
      <selection pane="topRight" activeCell="G124" sqref="G124"/>
      <selection pane="bottomLeft" activeCell="G124" sqref="G124"/>
      <selection pane="bottomRight" activeCell="G124" sqref="G124"/>
    </sheetView>
  </sheetViews>
  <sheetFormatPr baseColWidth="10" defaultColWidth="11.453125" defaultRowHeight="15.75" customHeight="1"/>
  <cols>
    <col min="1" max="1" width="20.6328125" style="178" customWidth="1"/>
    <col min="2" max="2" width="12.6328125" style="178" customWidth="1"/>
    <col min="3" max="3" width="12.6328125" style="184" customWidth="1"/>
    <col min="4" max="5" width="12.6328125" style="178" hidden="1" customWidth="1"/>
    <col min="6" max="6" width="12.6328125" style="179" customWidth="1"/>
    <col min="7" max="7" width="12.6328125" style="454" customWidth="1"/>
    <col min="8" max="8" width="18.6328125" style="178" customWidth="1"/>
    <col min="9" max="9" width="12.6328125" style="179" customWidth="1"/>
    <col min="10" max="10" width="12.6328125" style="184" customWidth="1"/>
    <col min="11" max="11" width="12.6328125" style="178" customWidth="1"/>
    <col min="12" max="13" width="14.6328125" style="178" customWidth="1"/>
    <col min="14" max="16" width="8.6328125" style="178" hidden="1" customWidth="1"/>
    <col min="17" max="19" width="12.6328125" style="178" hidden="1" customWidth="1"/>
    <col min="20" max="28" width="8.6328125" style="178" hidden="1" customWidth="1"/>
    <col min="29" max="31" width="10.6328125" style="178" hidden="1" customWidth="1"/>
    <col min="32" max="32" width="13.54296875" style="178" hidden="1" customWidth="1"/>
    <col min="33" max="33" width="12.6328125" style="184" hidden="1" customWidth="1"/>
    <col min="34" max="36" width="12.6328125" style="178" hidden="1" customWidth="1"/>
    <col min="37" max="38" width="12.6328125" style="178" customWidth="1"/>
    <col min="39" max="39" width="12.6328125" style="178" hidden="1" customWidth="1"/>
    <col min="40" max="40" width="8.6328125" style="458" hidden="1" customWidth="1"/>
    <col min="41" max="42" width="8.6328125" style="169" hidden="1" customWidth="1"/>
    <col min="43" max="46" width="8.6328125" style="458" hidden="1" customWidth="1"/>
    <col min="47" max="48" width="8.6328125" style="169" hidden="1" customWidth="1"/>
    <col min="49" max="50" width="12.6328125" style="169" customWidth="1"/>
    <col min="51" max="52" width="12.6328125" style="458" customWidth="1"/>
    <col min="53" max="53" width="12.6328125" style="169" customWidth="1"/>
    <col min="54" max="54" width="21.6328125" style="178" customWidth="1"/>
    <col min="55" max="55" width="18" style="178" customWidth="1"/>
    <col min="56" max="59" width="14.54296875" style="1323" customWidth="1"/>
    <col min="60" max="60" width="11.453125" style="178" customWidth="1"/>
    <col min="61" max="16384" width="11.453125" style="178"/>
  </cols>
  <sheetData>
    <row r="1" spans="1:59" ht="35.25" customHeight="1">
      <c r="A1" s="1607" t="s">
        <v>3301</v>
      </c>
      <c r="B1" s="1607"/>
      <c r="C1" s="1607"/>
      <c r="D1" s="1607"/>
      <c r="E1" s="1607"/>
      <c r="F1" s="1607"/>
      <c r="G1" s="1607"/>
      <c r="H1" s="1607"/>
      <c r="I1" s="1607"/>
      <c r="J1" s="1607"/>
      <c r="K1" s="1607"/>
      <c r="L1" s="1607"/>
      <c r="M1" s="1607"/>
      <c r="N1" s="1607"/>
      <c r="O1" s="1607"/>
      <c r="P1" s="1607"/>
      <c r="Q1" s="1607"/>
      <c r="R1" s="1607"/>
      <c r="S1" s="1607"/>
      <c r="T1" s="1607"/>
      <c r="U1" s="1607"/>
      <c r="V1" s="1607"/>
      <c r="W1" s="1607"/>
      <c r="X1" s="1607"/>
      <c r="Y1" s="1607"/>
      <c r="Z1" s="1607"/>
      <c r="AA1" s="1607"/>
      <c r="AB1" s="1607"/>
      <c r="AC1" s="1607"/>
      <c r="AD1" s="1607"/>
      <c r="AE1" s="1607"/>
      <c r="AF1" s="1607"/>
      <c r="AG1" s="1607"/>
      <c r="AH1" s="1607"/>
      <c r="AI1" s="1607"/>
      <c r="AJ1" s="1607"/>
      <c r="AK1" s="1607"/>
      <c r="AL1" s="1607"/>
      <c r="AM1" s="1607"/>
      <c r="AN1" s="1607"/>
      <c r="AO1" s="1607"/>
      <c r="AP1" s="1607"/>
      <c r="AQ1" s="1607"/>
      <c r="AR1" s="1607"/>
      <c r="AS1" s="1607"/>
      <c r="AT1" s="1607"/>
      <c r="AU1" s="1607"/>
      <c r="AV1" s="1607"/>
      <c r="AW1" s="1607"/>
      <c r="AX1" s="1607"/>
      <c r="AY1" s="1607"/>
      <c r="AZ1" s="1607"/>
      <c r="BA1" s="1607"/>
      <c r="BB1" s="1607"/>
      <c r="BC1" s="693" t="s">
        <v>4947</v>
      </c>
      <c r="BD1" s="1599" t="s">
        <v>4916</v>
      </c>
      <c r="BE1" s="1599"/>
      <c r="BF1" s="1599"/>
      <c r="BG1" s="1599"/>
    </row>
    <row r="2" spans="1:59" s="699" customFormat="1" ht="42" customHeight="1">
      <c r="A2" s="1257" t="s">
        <v>4417</v>
      </c>
      <c r="B2" s="1257" t="s">
        <v>4418</v>
      </c>
      <c r="C2" s="947" t="s">
        <v>2315</v>
      </c>
      <c r="D2" s="1257" t="s">
        <v>4419</v>
      </c>
      <c r="E2" s="1257" t="s">
        <v>4855</v>
      </c>
      <c r="F2" s="948" t="s">
        <v>4856</v>
      </c>
      <c r="G2" s="1258" t="s">
        <v>4857</v>
      </c>
      <c r="H2" s="1257" t="s">
        <v>455</v>
      </c>
      <c r="I2" s="948" t="s">
        <v>454</v>
      </c>
      <c r="J2" s="948" t="s">
        <v>4423</v>
      </c>
      <c r="K2" s="1257" t="s">
        <v>1362</v>
      </c>
      <c r="L2" s="1257" t="s">
        <v>456</v>
      </c>
      <c r="M2" s="1257" t="s">
        <v>453</v>
      </c>
      <c r="N2" s="1606" t="s">
        <v>457</v>
      </c>
      <c r="O2" s="1606"/>
      <c r="P2" s="1606"/>
      <c r="Q2" s="1257" t="s">
        <v>4858</v>
      </c>
      <c r="R2" s="1257" t="s">
        <v>4859</v>
      </c>
      <c r="S2" s="1257" t="s">
        <v>4860</v>
      </c>
      <c r="T2" s="1606" t="s">
        <v>4861</v>
      </c>
      <c r="U2" s="1606"/>
      <c r="V2" s="1606"/>
      <c r="W2" s="1606" t="s">
        <v>4862</v>
      </c>
      <c r="X2" s="1606"/>
      <c r="Y2" s="1606"/>
      <c r="Z2" s="1606" t="s">
        <v>4863</v>
      </c>
      <c r="AA2" s="1606"/>
      <c r="AB2" s="1606"/>
      <c r="AC2" s="1606" t="s">
        <v>628</v>
      </c>
      <c r="AD2" s="1606"/>
      <c r="AE2" s="1606"/>
      <c r="AF2" s="1257" t="s">
        <v>4872</v>
      </c>
      <c r="AG2" s="951" t="s">
        <v>4864</v>
      </c>
      <c r="AH2" s="1257" t="s">
        <v>4865</v>
      </c>
      <c r="AI2" s="1257" t="s">
        <v>4866</v>
      </c>
      <c r="AJ2" s="1257" t="s">
        <v>629</v>
      </c>
      <c r="AK2" s="1257" t="s">
        <v>458</v>
      </c>
      <c r="AL2" s="1257" t="s">
        <v>459</v>
      </c>
      <c r="AM2" s="1257" t="s">
        <v>631</v>
      </c>
      <c r="AN2" s="1606" t="s">
        <v>4867</v>
      </c>
      <c r="AO2" s="1606"/>
      <c r="AP2" s="1606"/>
      <c r="AQ2" s="1608" t="s">
        <v>460</v>
      </c>
      <c r="AR2" s="1608"/>
      <c r="AS2" s="1608"/>
      <c r="AT2" s="1606" t="s">
        <v>630</v>
      </c>
      <c r="AU2" s="1606"/>
      <c r="AV2" s="1606"/>
      <c r="AW2" s="1257" t="s">
        <v>4868</v>
      </c>
      <c r="AX2" s="1257" t="s">
        <v>4904</v>
      </c>
      <c r="AY2" s="1258" t="s">
        <v>4869</v>
      </c>
      <c r="AZ2" s="1258" t="s">
        <v>4870</v>
      </c>
      <c r="BA2" s="1257" t="s">
        <v>1670</v>
      </c>
      <c r="BB2" s="1257" t="s">
        <v>4871</v>
      </c>
      <c r="BC2" s="693" t="s">
        <v>4948</v>
      </c>
      <c r="BD2" s="1320" t="s">
        <v>453</v>
      </c>
      <c r="BE2" s="1320" t="s">
        <v>4922</v>
      </c>
      <c r="BF2" s="1320" t="s">
        <v>4915</v>
      </c>
      <c r="BG2" s="1320" t="s">
        <v>457</v>
      </c>
    </row>
    <row r="3" spans="1:59" ht="15.75" customHeight="1">
      <c r="A3" s="1239"/>
      <c r="B3" s="1239"/>
      <c r="C3" s="171"/>
      <c r="D3" s="1239"/>
      <c r="E3" s="1239"/>
      <c r="F3" s="448"/>
      <c r="G3" s="455"/>
      <c r="H3" s="1239"/>
      <c r="I3" s="448"/>
      <c r="J3" s="171"/>
      <c r="K3" s="1239"/>
      <c r="L3" s="1239"/>
      <c r="M3" s="1239"/>
      <c r="N3" s="949" t="s">
        <v>123</v>
      </c>
      <c r="O3" s="949" t="s">
        <v>124</v>
      </c>
      <c r="P3" s="949" t="s">
        <v>125</v>
      </c>
      <c r="Q3" s="1239"/>
      <c r="R3" s="1239"/>
      <c r="S3" s="1239"/>
      <c r="T3" s="949" t="s">
        <v>126</v>
      </c>
      <c r="U3" s="949" t="s">
        <v>127</v>
      </c>
      <c r="V3" s="949" t="s">
        <v>128</v>
      </c>
      <c r="W3" s="949" t="s">
        <v>129</v>
      </c>
      <c r="X3" s="949" t="s">
        <v>130</v>
      </c>
      <c r="Y3" s="949" t="s">
        <v>131</v>
      </c>
      <c r="Z3" s="949" t="s">
        <v>132</v>
      </c>
      <c r="AA3" s="949" t="s">
        <v>133</v>
      </c>
      <c r="AB3" s="949" t="s">
        <v>134</v>
      </c>
      <c r="AC3" s="949" t="s">
        <v>135</v>
      </c>
      <c r="AD3" s="949" t="s">
        <v>136</v>
      </c>
      <c r="AE3" s="949" t="s">
        <v>137</v>
      </c>
      <c r="AF3" s="1239"/>
      <c r="AG3" s="679"/>
      <c r="AH3" s="1239"/>
      <c r="AI3" s="1239"/>
      <c r="AJ3" s="1239"/>
      <c r="AK3" s="1239"/>
      <c r="AL3" s="1239"/>
      <c r="AM3" s="1239"/>
      <c r="AN3" s="1341" t="s">
        <v>129</v>
      </c>
      <c r="AO3" s="949" t="s">
        <v>130</v>
      </c>
      <c r="AP3" s="949" t="s">
        <v>131</v>
      </c>
      <c r="AQ3" s="950" t="s">
        <v>613</v>
      </c>
      <c r="AR3" s="950" t="s">
        <v>614</v>
      </c>
      <c r="AS3" s="950" t="s">
        <v>615</v>
      </c>
      <c r="AT3" s="950" t="s">
        <v>616</v>
      </c>
      <c r="AU3" s="949" t="s">
        <v>617</v>
      </c>
      <c r="AV3" s="949" t="s">
        <v>618</v>
      </c>
      <c r="AW3" s="1239"/>
      <c r="AX3" s="1239"/>
      <c r="AY3" s="455"/>
      <c r="AZ3" s="455"/>
      <c r="BA3" s="1239"/>
      <c r="BB3" s="1239"/>
      <c r="BD3" s="1239"/>
      <c r="BE3" s="1239"/>
      <c r="BF3" s="1239"/>
      <c r="BG3" s="1239"/>
    </row>
    <row r="4" spans="1:59" ht="15.75" customHeight="1">
      <c r="A4" s="501">
        <f>'HR Track 1 HER'!A86</f>
        <v>0</v>
      </c>
      <c r="B4" s="716" t="str">
        <f>'HR Track 1 HER'!B86</f>
        <v>85-4.01</v>
      </c>
      <c r="C4" s="451">
        <f>'HR Track 1 HER'!C86</f>
        <v>85018.76999999999</v>
      </c>
      <c r="D4" s="453">
        <f>'HR Track 1 HER'!D86</f>
        <v>0</v>
      </c>
      <c r="E4" s="452">
        <f>'HR Track 1 HER'!E86</f>
        <v>0</v>
      </c>
      <c r="F4" s="453">
        <f>'HR Track 1 HER'!F86</f>
        <v>2640.4731727943827</v>
      </c>
      <c r="G4" s="500">
        <f>'HR Track 1 HER'!G86</f>
        <v>0</v>
      </c>
      <c r="H4" s="453" t="e">
        <f>'HR Track 1 HER'!#REF!</f>
        <v>#REF!</v>
      </c>
      <c r="I4" s="501">
        <f>'HR Track 1 HER'!H86</f>
        <v>0</v>
      </c>
      <c r="J4" s="583">
        <f>'HR Track 1 HER'!I86</f>
        <v>0</v>
      </c>
      <c r="K4" s="452">
        <f>'HR Track 1 HER'!J86</f>
        <v>0</v>
      </c>
      <c r="L4" s="452" t="str">
        <f>'HR Track 1 HER'!K86</f>
        <v>2HEB-240</v>
      </c>
      <c r="M4" s="452" t="str">
        <f>'HR Track 1 HER'!L86</f>
        <v>2C3R_L</v>
      </c>
      <c r="N4" s="501" t="str">
        <f>'HR Track 1 HER'!M86</f>
        <v>EMT-1</v>
      </c>
      <c r="O4" s="501" t="str">
        <f>'HR Track 1 HER'!N86</f>
        <v>EMT-T</v>
      </c>
      <c r="P4" s="501">
        <f>'HR Track 1 HER'!O86</f>
        <v>0</v>
      </c>
      <c r="Q4" s="452">
        <f>'HR Track 1 HER'!P86</f>
        <v>0</v>
      </c>
      <c r="R4" s="452">
        <f>'HR Track 1 HER'!Q86</f>
        <v>0</v>
      </c>
      <c r="S4" s="500">
        <f>'HR Track 1 HER'!R86</f>
        <v>0</v>
      </c>
      <c r="T4" s="452">
        <f>'HR Track 1 HER'!S86</f>
        <v>-30</v>
      </c>
      <c r="U4" s="452">
        <f>'HR Track 1 HER'!T86</f>
        <v>-55</v>
      </c>
      <c r="V4" s="452">
        <f>'HR Track 1 HER'!U86</f>
        <v>0</v>
      </c>
      <c r="W4" s="452">
        <f>'HR Track 1 HER'!V86</f>
        <v>1.4</v>
      </c>
      <c r="X4" s="452">
        <f>'HR Track 1 HER'!W86</f>
        <v>2.2999999999999998</v>
      </c>
      <c r="Y4" s="452">
        <f>'HR Track 1 HER'!X86</f>
        <v>0</v>
      </c>
      <c r="Z4" s="452">
        <f>'HR Track 1 HER'!Y86</f>
        <v>0</v>
      </c>
      <c r="AA4" s="452">
        <f>'HR Track 1 HER'!Z86</f>
        <v>0.45</v>
      </c>
      <c r="AB4" s="452">
        <f>'HR Track 1 HER'!AA86</f>
        <v>0</v>
      </c>
      <c r="AC4" s="452" t="str">
        <f>'HR Track 1 HER'!AB86</f>
        <v>PH-Q</v>
      </c>
      <c r="AD4" s="452">
        <f>'HR Track 1 HER'!AC86</f>
        <v>0</v>
      </c>
      <c r="AE4" s="452">
        <f>'HR Track 1 HER'!AD86</f>
        <v>0</v>
      </c>
      <c r="AF4" s="452">
        <f>'HR Track 1 HER'!AE86</f>
        <v>0</v>
      </c>
      <c r="AG4" s="451">
        <f>'HR Track 1 HER'!AF86</f>
        <v>0</v>
      </c>
      <c r="AH4" s="452">
        <f>'HR Track 1 HER'!AG86</f>
        <v>0</v>
      </c>
      <c r="AI4" s="452">
        <f>'HR Track 1 HER'!AH86</f>
        <v>0</v>
      </c>
      <c r="AJ4" s="452">
        <f>'HR Track 1 HER'!AI86</f>
        <v>0</v>
      </c>
      <c r="AK4" s="452">
        <f>'HR Track 1 HER'!AJ86</f>
        <v>0</v>
      </c>
      <c r="AL4" s="452">
        <f>'HR Track 1 HER'!AK86</f>
        <v>0</v>
      </c>
      <c r="AM4" s="452" t="str">
        <f>'HR Track 1 HER'!AL86</f>
        <v>RW1</v>
      </c>
      <c r="AN4" s="500">
        <f>'HR Track 1 HER'!AM86</f>
        <v>5.5</v>
      </c>
      <c r="AO4" s="452">
        <f>'HR Track 1 HER'!AN86</f>
        <v>0</v>
      </c>
      <c r="AP4" s="452">
        <f>'HR Track 1 HER'!AO86</f>
        <v>0</v>
      </c>
      <c r="AQ4" s="452">
        <f>'HR Track 1 HER'!AP86</f>
        <v>0</v>
      </c>
      <c r="AR4" s="452">
        <f>'HR Track 1 HER'!AQ86</f>
        <v>0</v>
      </c>
      <c r="AS4" s="452">
        <f>'HR Track 1 HER'!AR86</f>
        <v>0</v>
      </c>
      <c r="AT4" s="452">
        <f>'HR Track 1 HER'!AS86</f>
        <v>-6.0515341035664383</v>
      </c>
      <c r="AU4" s="452">
        <f>'HR Track 1 HER'!AT86</f>
        <v>0</v>
      </c>
      <c r="AV4" s="452">
        <f>'HR Track 1 HER'!AU86</f>
        <v>0</v>
      </c>
      <c r="AW4" s="452" t="str">
        <f>'HR Track 1 HER'!AV86</f>
        <v>Soil B</v>
      </c>
      <c r="AX4" s="452" t="str">
        <f>'HR Track 1 HER'!AW86</f>
        <v>PT</v>
      </c>
      <c r="AY4" s="500">
        <f>'HR Track 1 HER'!AX86</f>
        <v>3.5</v>
      </c>
      <c r="AZ4" s="500">
        <f>'HR Track 1 HER'!AY86</f>
        <v>0</v>
      </c>
      <c r="BA4" s="1333" t="str">
        <f>'HR Track 1 HER'!AZ86</f>
        <v>ü</v>
      </c>
      <c r="BB4" s="452" t="str">
        <f>'HR Track 1 HER'!BA86</f>
        <v>App.7.1-V01-P9.5.1.5</v>
      </c>
      <c r="BC4" s="1334">
        <f>'HR Track 1 HER'!BB86</f>
        <v>0</v>
      </c>
      <c r="BD4" s="1335">
        <f>'HR Track 1 HER'!BC86</f>
        <v>0</v>
      </c>
      <c r="BE4" s="1335">
        <f>'HR Track 1 HER'!BD86</f>
        <v>0</v>
      </c>
      <c r="BF4" s="1335">
        <f>'HR Track 1 HER'!BE86</f>
        <v>0</v>
      </c>
      <c r="BG4" s="1335">
        <f>'HR Track 1 HER'!BF86</f>
        <v>0</v>
      </c>
    </row>
    <row r="5" spans="1:59" ht="15.75" customHeight="1">
      <c r="A5" s="501"/>
      <c r="B5" s="716"/>
      <c r="C5" s="451"/>
      <c r="D5" s="453"/>
      <c r="E5" s="452"/>
      <c r="F5" s="453"/>
      <c r="G5" s="500">
        <v>46.8</v>
      </c>
      <c r="H5" s="453"/>
      <c r="I5" s="501">
        <v>268</v>
      </c>
      <c r="J5" s="583"/>
      <c r="K5" s="452"/>
      <c r="L5" s="452"/>
      <c r="M5" s="452"/>
      <c r="N5" s="501"/>
      <c r="O5" s="501"/>
      <c r="P5" s="501"/>
      <c r="Q5" s="452"/>
      <c r="R5" s="452"/>
      <c r="S5" s="500">
        <f>AG6-AG4</f>
        <v>85065</v>
      </c>
      <c r="T5" s="452"/>
      <c r="U5" s="452"/>
      <c r="V5" s="452"/>
      <c r="W5" s="452"/>
      <c r="X5" s="452"/>
      <c r="Y5" s="452"/>
      <c r="Z5" s="452"/>
      <c r="AA5" s="452"/>
      <c r="AB5" s="452"/>
      <c r="AC5" s="452"/>
      <c r="AD5" s="452"/>
      <c r="AE5" s="452"/>
      <c r="AF5" s="452"/>
      <c r="AG5" s="451"/>
      <c r="AH5" s="452"/>
      <c r="AI5" s="452"/>
      <c r="AJ5" s="452"/>
      <c r="AK5" s="452"/>
      <c r="AL5" s="452"/>
      <c r="AM5" s="452"/>
      <c r="AN5" s="500"/>
      <c r="AO5" s="452"/>
      <c r="AP5" s="452"/>
      <c r="AQ5" s="452">
        <f>+FL_2($T$6,$T$4,$G$5,1200,9.28,-1*$F$6)</f>
        <v>-0.40220880131959669</v>
      </c>
      <c r="AR5" s="452"/>
      <c r="AS5" s="452"/>
      <c r="AT5" s="452"/>
      <c r="AU5" s="452"/>
      <c r="AV5" s="452"/>
      <c r="AW5" s="452"/>
      <c r="AX5" s="452"/>
      <c r="AY5" s="500"/>
      <c r="AZ5" s="500"/>
      <c r="BA5" s="1333"/>
      <c r="BB5" s="452"/>
      <c r="BC5" s="1334"/>
      <c r="BD5" s="1335"/>
      <c r="BE5" s="1335"/>
      <c r="BF5" s="1335"/>
      <c r="BG5" s="1335"/>
    </row>
    <row r="6" spans="1:59" ht="25">
      <c r="A6" s="1239"/>
      <c r="B6" s="1239" t="s">
        <v>3416</v>
      </c>
      <c r="C6" s="171">
        <v>85065.57</v>
      </c>
      <c r="D6" s="1239"/>
      <c r="E6" s="1239"/>
      <c r="F6" s="448">
        <v>2500</v>
      </c>
      <c r="G6" s="455"/>
      <c r="H6" s="1239" t="s">
        <v>4201</v>
      </c>
      <c r="I6" s="702" t="s">
        <v>4890</v>
      </c>
      <c r="J6" s="171"/>
      <c r="K6" s="1239"/>
      <c r="L6" s="1239" t="s">
        <v>896</v>
      </c>
      <c r="M6" s="1239" t="s">
        <v>4451</v>
      </c>
      <c r="N6" s="1239" t="s">
        <v>143</v>
      </c>
      <c r="O6" s="1239"/>
      <c r="P6" s="1239"/>
      <c r="Q6" s="1239">
        <v>190</v>
      </c>
      <c r="R6" s="1239">
        <v>2500</v>
      </c>
      <c r="S6" s="455"/>
      <c r="T6" s="1239">
        <v>-30</v>
      </c>
      <c r="U6" s="1239"/>
      <c r="V6" s="1239"/>
      <c r="W6" s="1239">
        <v>1.4</v>
      </c>
      <c r="X6" s="1239"/>
      <c r="Y6" s="1239"/>
      <c r="Z6" s="1239"/>
      <c r="AA6" s="1239"/>
      <c r="AB6" s="1239"/>
      <c r="AC6" s="1239" t="s">
        <v>4090</v>
      </c>
      <c r="AD6" s="1239"/>
      <c r="AE6" s="1239"/>
      <c r="AF6" s="1239">
        <v>6000</v>
      </c>
      <c r="AG6" s="1350">
        <v>85065</v>
      </c>
      <c r="AH6" s="1285">
        <v>2053</v>
      </c>
      <c r="AI6" s="1285">
        <v>320</v>
      </c>
      <c r="AJ6" s="1239"/>
      <c r="AK6" s="1239"/>
      <c r="AL6" s="1239"/>
      <c r="AM6" s="1239" t="s">
        <v>1042</v>
      </c>
      <c r="AN6" s="455">
        <v>5.5</v>
      </c>
      <c r="AO6" s="1239"/>
      <c r="AP6" s="1239"/>
      <c r="AQ6" s="455"/>
      <c r="AR6" s="1239"/>
      <c r="AS6" s="1239"/>
      <c r="AT6" s="455">
        <f>+ab($T$6,$T$4,$U$8,$G$5,$G$7,-1*$F$6,1200)</f>
        <v>-6.9789006737026291</v>
      </c>
      <c r="AU6" s="1239"/>
      <c r="AV6" s="1239"/>
      <c r="AW6" s="1239" t="str">
        <f>VLOOKUP(C6,'Foundation Calculation'!$A$2:$C$33,3,1)</f>
        <v>Soil B</v>
      </c>
      <c r="AX6" s="1239" t="str">
        <f>VLOOKUP(C6,'Foundation Calculation'!$E$2:$G$33,3,1)</f>
        <v>PT</v>
      </c>
      <c r="AY6" s="455">
        <f>IF(AX6="PT",VLOOKUP(L6,'Foundation Calculation'!$K$2:$R$40,VLOOKUP(AW6,'Foundation Calculation'!$I$2:$J$8,2,FALSE),0),IF(AX6="K",VLOOKUP(L6,'Foundation Calculation'!$K$42:$R$80,VLOOKUP(AW6,'Foundation Calculation'!$I$2:$J$8,2,FALSE),0),""))</f>
        <v>4</v>
      </c>
      <c r="AZ6" s="455"/>
      <c r="BA6" s="671" t="s">
        <v>2809</v>
      </c>
      <c r="BB6" s="1239" t="str">
        <f>Pole_Calculations!A159</f>
        <v>App.7.1-V01-P9.5.1.8</v>
      </c>
      <c r="BC6" s="169"/>
      <c r="BD6" s="1329"/>
      <c r="BE6" s="1329"/>
      <c r="BF6" s="1330"/>
      <c r="BG6" s="1329"/>
    </row>
    <row r="7" spans="1:59" ht="15.75" customHeight="1">
      <c r="A7" s="1239"/>
      <c r="B7" s="1239"/>
      <c r="C7" s="171"/>
      <c r="D7" s="1239"/>
      <c r="E7" s="1239"/>
      <c r="F7" s="448"/>
      <c r="G7" s="455">
        <v>50</v>
      </c>
      <c r="H7" s="1239"/>
      <c r="I7" s="448"/>
      <c r="J7" s="171"/>
      <c r="K7" s="1239"/>
      <c r="L7" s="1239"/>
      <c r="M7" s="1239"/>
      <c r="N7" s="1239"/>
      <c r="O7" s="1239"/>
      <c r="P7" s="1239"/>
      <c r="Q7" s="1239"/>
      <c r="R7" s="1239"/>
      <c r="S7" s="455">
        <f t="shared" ref="S7" si="0">AG8-AG6</f>
        <v>50</v>
      </c>
      <c r="T7" s="1239"/>
      <c r="U7" s="1239"/>
      <c r="V7" s="1239"/>
      <c r="W7" s="1239"/>
      <c r="X7" s="1239"/>
      <c r="Y7" s="1239"/>
      <c r="Z7" s="1239"/>
      <c r="AA7" s="1239"/>
      <c r="AB7" s="1239"/>
      <c r="AC7" s="1239"/>
      <c r="AD7" s="1239"/>
      <c r="AE7" s="1239"/>
      <c r="AF7" s="1239"/>
      <c r="AG7" s="171"/>
      <c r="AH7" s="1239"/>
      <c r="AI7" s="1239"/>
      <c r="AJ7" s="1239"/>
      <c r="AK7" s="1239"/>
      <c r="AL7" s="1239"/>
      <c r="AM7" s="1239"/>
      <c r="AN7" s="455"/>
      <c r="AO7" s="1239"/>
      <c r="AP7" s="1239"/>
      <c r="AQ7" s="455">
        <f>+FL_1($U$8,$T$6,$G$7,1200,9.28,-1*$F$8)</f>
        <v>0.183045968</v>
      </c>
      <c r="AR7" s="1239"/>
      <c r="AS7" s="1239"/>
      <c r="AT7" s="455"/>
      <c r="AU7" s="1239"/>
      <c r="AV7" s="1239"/>
      <c r="AW7" s="1239"/>
      <c r="AX7" s="1239"/>
      <c r="AY7" s="455"/>
      <c r="AZ7" s="455"/>
      <c r="BA7" s="1314"/>
      <c r="BB7" s="1239"/>
      <c r="BC7" s="169"/>
      <c r="BD7" s="1330"/>
      <c r="BE7" s="1330"/>
      <c r="BF7" s="1330"/>
      <c r="BG7" s="1330"/>
    </row>
    <row r="8" spans="1:59" ht="15.75" customHeight="1">
      <c r="A8" s="1239"/>
      <c r="B8" s="572" t="s">
        <v>3417</v>
      </c>
      <c r="C8" s="171">
        <f>+$C$6+$G$7</f>
        <v>85115.57</v>
      </c>
      <c r="D8" s="1239"/>
      <c r="E8" s="1239"/>
      <c r="F8" s="448">
        <v>0</v>
      </c>
      <c r="G8" s="455"/>
      <c r="H8" s="1239" t="s">
        <v>4202</v>
      </c>
      <c r="I8" s="448"/>
      <c r="J8" s="171"/>
      <c r="K8" s="1239"/>
      <c r="L8" s="1239" t="s">
        <v>895</v>
      </c>
      <c r="M8" s="1239" t="str">
        <f>IF(AX8="PT",VLOOKUP(L8,'Foundation Calculation'!$V$2:$X$40,VLOOKUP(AX8,'Foundation Calculation'!$I$10:$J$13,2,FALSE),0),IF(AX8="K",VLOOKUP(L8,'Foundation Calculation'!$V$42:$X$80,VLOOKUP(AX8,'Foundation Calculation'!$I$10:$J$13,2,FALSE),0),""))</f>
        <v>2C3R</v>
      </c>
      <c r="N8" s="1239" t="s">
        <v>140</v>
      </c>
      <c r="O8" s="1239" t="s">
        <v>144</v>
      </c>
      <c r="P8" s="1239"/>
      <c r="Q8" s="1239">
        <v>0</v>
      </c>
      <c r="R8" s="1239">
        <v>0</v>
      </c>
      <c r="S8" s="455"/>
      <c r="T8" s="1239">
        <v>55</v>
      </c>
      <c r="U8" s="1239">
        <v>10</v>
      </c>
      <c r="V8" s="1239"/>
      <c r="W8" s="1239">
        <v>1.4</v>
      </c>
      <c r="X8" s="1239">
        <v>2.2999999999999998</v>
      </c>
      <c r="Y8" s="1239"/>
      <c r="Z8" s="1239">
        <v>0.45</v>
      </c>
      <c r="AA8" s="1285"/>
      <c r="AB8" s="1239"/>
      <c r="AC8" s="1239" t="s">
        <v>1421</v>
      </c>
      <c r="AD8" s="1239"/>
      <c r="AE8" s="1239"/>
      <c r="AF8" s="1239">
        <v>6000</v>
      </c>
      <c r="AG8" s="1350">
        <v>85115</v>
      </c>
      <c r="AH8" s="1285">
        <v>1953</v>
      </c>
      <c r="AI8" s="1285">
        <v>230</v>
      </c>
      <c r="AJ8" s="1239"/>
      <c r="AK8" s="1239"/>
      <c r="AL8" s="1239"/>
      <c r="AM8" s="1239" t="s">
        <v>1042</v>
      </c>
      <c r="AN8" s="455">
        <v>5.5</v>
      </c>
      <c r="AO8" s="1239"/>
      <c r="AP8" s="1239"/>
      <c r="AQ8" s="455"/>
      <c r="AR8" s="1239"/>
      <c r="AS8" s="1239"/>
      <c r="AT8" s="455">
        <f>+ab($U$8,$T$6,$U$10,$G$7,$G$9,-1*$F$8,1200)</f>
        <v>9.0614126315851067</v>
      </c>
      <c r="AU8" s="1239"/>
      <c r="AV8" s="1239"/>
      <c r="AW8" s="1239" t="str">
        <f>VLOOKUP(C8,'Foundation Calculation'!$A$2:$C$33,3,1)</f>
        <v>Soil B</v>
      </c>
      <c r="AX8" s="1239" t="str">
        <f>VLOOKUP(C8,'Foundation Calculation'!$E$2:$G$33,3,1)</f>
        <v>PT</v>
      </c>
      <c r="AY8" s="455">
        <f>IF(AX8="PT",VLOOKUP(L8,'Foundation Calculation'!$K$2:$R$40,VLOOKUP(AW8,'Foundation Calculation'!$I$2:$J$8,2,FALSE),0),IF(AX8="K",VLOOKUP(L8,'Foundation Calculation'!$K$42:$R$80,VLOOKUP(AW8,'Foundation Calculation'!$I$2:$J$8,2,FALSE),0),""))</f>
        <v>3.5</v>
      </c>
      <c r="AZ8" s="455"/>
      <c r="BA8" s="671" t="s">
        <v>2809</v>
      </c>
      <c r="BB8" s="1239" t="str">
        <f>Pole_Calculations!A156</f>
        <v>App.7.1-V01-P9.5.1.5</v>
      </c>
      <c r="BC8" s="169"/>
      <c r="BD8" s="1329"/>
      <c r="BE8" s="1329"/>
      <c r="BF8" s="1330"/>
      <c r="BG8" s="1329"/>
    </row>
    <row r="9" spans="1:59" ht="15.75" customHeight="1">
      <c r="A9" s="1239"/>
      <c r="B9" s="1239"/>
      <c r="C9" s="171"/>
      <c r="D9" s="1239"/>
      <c r="E9" s="1239"/>
      <c r="F9" s="448"/>
      <c r="G9" s="455">
        <v>50</v>
      </c>
      <c r="H9" s="1239"/>
      <c r="I9" s="448"/>
      <c r="J9" s="171"/>
      <c r="K9" s="1239"/>
      <c r="L9" s="1239"/>
      <c r="M9" s="1239"/>
      <c r="N9" s="1239"/>
      <c r="O9" s="1239"/>
      <c r="P9" s="1239"/>
      <c r="Q9" s="1239"/>
      <c r="R9" s="1239"/>
      <c r="S9" s="455">
        <f t="shared" ref="S9" si="1">AG10-AG8</f>
        <v>50</v>
      </c>
      <c r="T9" s="1239"/>
      <c r="U9" s="1239"/>
      <c r="V9" s="1239"/>
      <c r="W9" s="1239"/>
      <c r="X9" s="1239"/>
      <c r="Y9" s="1239"/>
      <c r="Z9" s="1239"/>
      <c r="AA9" s="1239"/>
      <c r="AB9" s="1239"/>
      <c r="AC9" s="1239"/>
      <c r="AD9" s="1239"/>
      <c r="AE9" s="1239"/>
      <c r="AF9" s="1239"/>
      <c r="AG9" s="171"/>
      <c r="AH9" s="1239"/>
      <c r="AI9" s="1239"/>
      <c r="AJ9" s="1239"/>
      <c r="AK9" s="1239"/>
      <c r="AL9" s="1239"/>
      <c r="AM9" s="1239"/>
      <c r="AN9" s="455"/>
      <c r="AO9" s="1239"/>
      <c r="AP9" s="1239"/>
      <c r="AQ9" s="455">
        <f>+FL_1($T$10,$T$8,$G$9,1200,9.28,-1*$F$10)</f>
        <v>0.55915421148002487</v>
      </c>
      <c r="AR9" s="1239"/>
      <c r="AS9" s="1239"/>
      <c r="AT9" s="455"/>
      <c r="AU9" s="1239"/>
      <c r="AV9" s="1239"/>
      <c r="AW9" s="638"/>
      <c r="AX9" s="638"/>
      <c r="AY9" s="484"/>
      <c r="AZ9" s="484" t="str">
        <f>IF(AX9="PT",VLOOKUP(K9,'Foundation Calculation'!$L$2:$R$41,VLOOKUP(AW9,'Foundation Calculation'!$I$2:$J$8,2,FALSE),0),IF(AX9="K",VLOOKUP(K9,'Foundation Calculation'!$L$41:$R$79,VLOOKUP(AW9,'Foundation Calculation'!$I$2:$J$8,2,FALSE),0),""))</f>
        <v/>
      </c>
      <c r="BA9" s="671"/>
      <c r="BB9" s="1239"/>
      <c r="BC9" s="169"/>
      <c r="BD9" s="1330"/>
      <c r="BE9" s="1330"/>
      <c r="BF9" s="1330"/>
      <c r="BG9" s="1330"/>
    </row>
    <row r="10" spans="1:59" ht="15.75" customHeight="1">
      <c r="A10" s="1239" t="s">
        <v>3443</v>
      </c>
      <c r="B10" s="572" t="s">
        <v>3418</v>
      </c>
      <c r="C10" s="171">
        <f>+$C$8+$G$9</f>
        <v>85165.57</v>
      </c>
      <c r="D10" s="1239"/>
      <c r="E10" s="1239"/>
      <c r="F10" s="448">
        <f>(250^2)/(85158.42-C10)</f>
        <v>-8741.2587412480661</v>
      </c>
      <c r="G10" s="455"/>
      <c r="H10" s="1239" t="s">
        <v>619</v>
      </c>
      <c r="I10" s="448" t="s">
        <v>2685</v>
      </c>
      <c r="J10" s="171"/>
      <c r="K10" s="1239"/>
      <c r="L10" s="1239" t="s">
        <v>1697</v>
      </c>
      <c r="M10" s="1239" t="str">
        <f>IF(AX10="PT",VLOOKUP(L10,'Foundation Calculation'!$V$2:$X$40,VLOOKUP(AX10,'Foundation Calculation'!$I$10:$J$13,2,FALSE),0),IF(AX10="K",VLOOKUP(L10,'Foundation Calculation'!$V$42:$X$80,VLOOKUP(AX10,'Foundation Calculation'!$I$10:$J$13,2,FALSE),0),""))</f>
        <v>2C3R</v>
      </c>
      <c r="N10" s="1239" t="s">
        <v>2789</v>
      </c>
      <c r="O10" s="1239" t="s">
        <v>140</v>
      </c>
      <c r="P10" s="1239"/>
      <c r="Q10" s="1239">
        <v>0</v>
      </c>
      <c r="R10" s="1239">
        <v>0</v>
      </c>
      <c r="S10" s="455"/>
      <c r="T10" s="1285">
        <v>-10</v>
      </c>
      <c r="U10" s="1285">
        <v>-55</v>
      </c>
      <c r="V10" s="1285"/>
      <c r="W10" s="1285">
        <v>1.4</v>
      </c>
      <c r="X10" s="1285">
        <v>2.2999999999999998</v>
      </c>
      <c r="Y10" s="1285"/>
      <c r="Z10" s="1285"/>
      <c r="AA10" s="1285">
        <v>0.45</v>
      </c>
      <c r="AB10" s="1285"/>
      <c r="AC10" s="1285" t="s">
        <v>1421</v>
      </c>
      <c r="AD10" s="1285"/>
      <c r="AE10" s="1285"/>
      <c r="AF10" s="1285">
        <v>6000</v>
      </c>
      <c r="AG10" s="1350">
        <v>85165</v>
      </c>
      <c r="AH10" s="1285">
        <v>1973</v>
      </c>
      <c r="AI10" s="1285">
        <v>520</v>
      </c>
      <c r="AJ10" s="1239" t="s">
        <v>877</v>
      </c>
      <c r="AK10" s="1239"/>
      <c r="AL10" s="1239"/>
      <c r="AM10" s="1239" t="s">
        <v>1042</v>
      </c>
      <c r="AN10" s="455">
        <v>5.5</v>
      </c>
      <c r="AO10" s="1239"/>
      <c r="AP10" s="1239"/>
      <c r="AQ10" s="455"/>
      <c r="AR10" s="1239"/>
      <c r="AS10" s="1239"/>
      <c r="AT10" s="455">
        <f>+ab($T$10,$T$8,$T$12,$G$9,$G$11,-1*$F$10,1200)</f>
        <v>-12.362912778162917</v>
      </c>
      <c r="AU10" s="1239"/>
      <c r="AV10" s="1239"/>
      <c r="AW10" s="1239" t="str">
        <f>VLOOKUP(C10,'Foundation Calculation'!$A$2:$C$33,3,1)</f>
        <v>Soil B</v>
      </c>
      <c r="AX10" s="1239" t="str">
        <f>VLOOKUP(C10,'Foundation Calculation'!$E$2:$G$33,3,1)</f>
        <v>PT</v>
      </c>
      <c r="AY10" s="455">
        <f>IF(AX10="PT",VLOOKUP(L10,'Foundation Calculation'!$K$2:$R$40,VLOOKUP(AW10,'Foundation Calculation'!$I$2:$J$8,2,FALSE),0),IF(AX10="K",VLOOKUP(L10,'Foundation Calculation'!$K$42:$R$80,VLOOKUP(AW10,'Foundation Calculation'!$I$2:$J$8,2,FALSE),0),""))</f>
        <v>3.5</v>
      </c>
      <c r="AZ10" s="455"/>
      <c r="BA10" s="671" t="s">
        <v>2809</v>
      </c>
      <c r="BB10" s="1239" t="str">
        <f>Pole_Calculations!A156</f>
        <v>App.7.1-V01-P9.5.1.5</v>
      </c>
      <c r="BC10" s="169"/>
      <c r="BD10" s="1329"/>
      <c r="BE10" s="1329"/>
      <c r="BF10" s="1330"/>
      <c r="BG10" s="1329"/>
    </row>
    <row r="11" spans="1:59" ht="15.75" customHeight="1">
      <c r="A11" s="1239"/>
      <c r="B11" s="1239"/>
      <c r="C11" s="171"/>
      <c r="D11" s="1239"/>
      <c r="E11" s="1239"/>
      <c r="F11" s="448"/>
      <c r="G11" s="455">
        <v>50</v>
      </c>
      <c r="H11" s="1239"/>
      <c r="I11" s="448"/>
      <c r="J11" s="171">
        <f>C10+7.5</f>
        <v>85173.07</v>
      </c>
      <c r="K11" s="1239" t="s">
        <v>2788</v>
      </c>
      <c r="L11" s="1239"/>
      <c r="M11" s="1239"/>
      <c r="N11" s="1239"/>
      <c r="O11" s="1239"/>
      <c r="P11" s="1239"/>
      <c r="Q11" s="1239"/>
      <c r="R11" s="1239"/>
      <c r="S11" s="455">
        <f t="shared" ref="S11" si="2">AG12-AG10</f>
        <v>50</v>
      </c>
      <c r="T11" s="1239"/>
      <c r="U11" s="1239"/>
      <c r="V11" s="1239"/>
      <c r="W11" s="1239"/>
      <c r="X11" s="1239"/>
      <c r="Y11" s="1239"/>
      <c r="Z11" s="1239"/>
      <c r="AA11" s="1239"/>
      <c r="AB11" s="1239"/>
      <c r="AC11" s="1239"/>
      <c r="AD11" s="1239"/>
      <c r="AE11" s="1239"/>
      <c r="AF11" s="1239"/>
      <c r="AG11" s="171"/>
      <c r="AH11" s="1239"/>
      <c r="AI11" s="1239"/>
      <c r="AJ11" s="1239"/>
      <c r="AK11" s="1239"/>
      <c r="AL11" s="1239"/>
      <c r="AM11" s="1239"/>
      <c r="AN11" s="455"/>
      <c r="AO11" s="1239"/>
      <c r="AP11" s="1239"/>
      <c r="AQ11" s="455">
        <f>+FL_1($T$12,$T$10,$G$11,1200,9.28,-1*$F$12)</f>
        <v>0.30238073219889972</v>
      </c>
      <c r="AR11" s="1239"/>
      <c r="AS11" s="1239"/>
      <c r="AT11" s="455"/>
      <c r="AU11" s="1239"/>
      <c r="AV11" s="1239"/>
      <c r="AW11" s="638" t="str">
        <f>VLOOKUP(J11,'Foundation Calculation'!$A$2:$C$33,3,1)</f>
        <v>Soil B</v>
      </c>
      <c r="AX11" s="638" t="str">
        <f>VLOOKUP(J11,'Foundation Calculation'!$E$2:$G$33,3,1)</f>
        <v>PT</v>
      </c>
      <c r="AY11" s="484"/>
      <c r="AZ11" s="484">
        <f>IF(AX11="PT",VLOOKUP(K11,'Foundation Calculation'!$K$2:$R$40,VLOOKUP(AW11,'Foundation Calculation'!$I$2:$J$8,2,FALSE),0),IF(AX11="K",VLOOKUP(K11,'Foundation Calculation'!$K$42:$R$80,VLOOKUP(AW11,'Foundation Calculation'!$I$2:$J$8,2,FALSE),0),""))</f>
        <v>2.8</v>
      </c>
      <c r="BA11" s="671" t="s">
        <v>2809</v>
      </c>
      <c r="BB11" s="1239"/>
      <c r="BC11" s="169"/>
      <c r="BD11" s="1329"/>
      <c r="BE11" s="1330"/>
      <c r="BF11" s="1330"/>
      <c r="BG11" s="1330"/>
    </row>
    <row r="12" spans="1:59" ht="15.75" customHeight="1">
      <c r="A12" s="1239"/>
      <c r="B12" s="572" t="s">
        <v>3419</v>
      </c>
      <c r="C12" s="171">
        <f>+$C$10+$G$11</f>
        <v>85215.57</v>
      </c>
      <c r="D12" s="1239"/>
      <c r="E12" s="1239"/>
      <c r="F12" s="448">
        <v>-2500</v>
      </c>
      <c r="G12" s="455"/>
      <c r="H12" s="1239" t="s">
        <v>138</v>
      </c>
      <c r="I12" s="448" t="s">
        <v>623</v>
      </c>
      <c r="J12" s="171"/>
      <c r="K12" s="1239"/>
      <c r="L12" s="1239" t="s">
        <v>820</v>
      </c>
      <c r="M12" s="1239" t="str">
        <f>IF(AX12="PT",VLOOKUP(L12,'Foundation Calculation'!$V$2:$X$40,VLOOKUP(AX12,'Foundation Calculation'!$I$10:$J$13,2,FALSE),0),IF(AX12="K",VLOOKUP(L12,'Foundation Calculation'!$V$42:$X$80,VLOOKUP(AX12,'Foundation Calculation'!$I$10:$J$13,2,FALSE),0),""))</f>
        <v>C7R</v>
      </c>
      <c r="N12" s="1239" t="s">
        <v>144</v>
      </c>
      <c r="O12" s="1239"/>
      <c r="P12" s="1239"/>
      <c r="Q12" s="1239">
        <v>50</v>
      </c>
      <c r="R12" s="1239">
        <v>-2500</v>
      </c>
      <c r="S12" s="455"/>
      <c r="T12" s="1285">
        <v>30</v>
      </c>
      <c r="U12" s="1285"/>
      <c r="V12" s="1285"/>
      <c r="W12" s="1285">
        <v>1.4</v>
      </c>
      <c r="X12" s="1285"/>
      <c r="Y12" s="1285"/>
      <c r="Z12" s="1285"/>
      <c r="AA12" s="1285"/>
      <c r="AB12" s="1285"/>
      <c r="AC12" s="1285" t="s">
        <v>4090</v>
      </c>
      <c r="AD12" s="1285"/>
      <c r="AE12" s="1285"/>
      <c r="AF12" s="1285">
        <v>6000</v>
      </c>
      <c r="AG12" s="1350">
        <v>85215</v>
      </c>
      <c r="AH12" s="1285">
        <v>1903</v>
      </c>
      <c r="AI12" s="1285">
        <v>500</v>
      </c>
      <c r="AJ12" s="1239"/>
      <c r="AK12" s="1239"/>
      <c r="AL12" s="1239" t="s">
        <v>2127</v>
      </c>
      <c r="AM12" s="1239" t="s">
        <v>1042</v>
      </c>
      <c r="AN12" s="455">
        <v>5.5</v>
      </c>
      <c r="AO12" s="1239"/>
      <c r="AP12" s="1239"/>
      <c r="AQ12" s="455"/>
      <c r="AR12" s="1239"/>
      <c r="AS12" s="1239"/>
      <c r="AT12" s="455">
        <f>+ab($T$12,$T$10,$T$14,$G$11,$G$13,-1*$F$12,1200)</f>
        <v>6.2859282074020211</v>
      </c>
      <c r="AU12" s="1239"/>
      <c r="AV12" s="1239"/>
      <c r="AW12" s="1239" t="str">
        <f>VLOOKUP(C12,'Foundation Calculation'!$A$2:$C$33,3,1)</f>
        <v>Soil B</v>
      </c>
      <c r="AX12" s="1239" t="str">
        <f>VLOOKUP(C12,'Foundation Calculation'!$E$2:$G$33,3,1)</f>
        <v>PT</v>
      </c>
      <c r="AY12" s="455">
        <f>IF(AX12="PT",VLOOKUP(L12,'Foundation Calculation'!$K$2:$R$40,VLOOKUP(AW12,'Foundation Calculation'!$I$2:$J$8,2,FALSE),0),IF(AX12="K",VLOOKUP(L12,'Foundation Calculation'!$K$42:$R$80,VLOOKUP(AW12,'Foundation Calculation'!$I$2:$J$8,2,FALSE),0),""))</f>
        <v>3.5</v>
      </c>
      <c r="AZ12" s="455"/>
      <c r="BA12" s="671" t="s">
        <v>2809</v>
      </c>
      <c r="BB12" s="1239" t="str">
        <f>Pole_Calculations!A178</f>
        <v>App.8-V08F-P10.3</v>
      </c>
      <c r="BC12" s="169"/>
      <c r="BD12" s="1329"/>
      <c r="BE12" s="1329"/>
      <c r="BF12" s="1329"/>
      <c r="BG12" s="1329"/>
    </row>
    <row r="13" spans="1:59" ht="15.75" customHeight="1">
      <c r="A13" s="1239"/>
      <c r="B13" s="1239"/>
      <c r="C13" s="171"/>
      <c r="D13" s="1239"/>
      <c r="E13" s="1239"/>
      <c r="F13" s="448"/>
      <c r="G13" s="455">
        <v>52.5</v>
      </c>
      <c r="H13" s="1239"/>
      <c r="I13" s="448"/>
      <c r="J13" s="171">
        <f>C12+7.5</f>
        <v>85223.07</v>
      </c>
      <c r="K13" s="1239" t="s">
        <v>2787</v>
      </c>
      <c r="L13" s="1239"/>
      <c r="M13" s="1239"/>
      <c r="N13" s="1239"/>
      <c r="O13" s="1239"/>
      <c r="P13" s="1239"/>
      <c r="Q13" s="1239"/>
      <c r="R13" s="1239"/>
      <c r="S13" s="455">
        <f t="shared" ref="S13" si="3">AG14-AG12</f>
        <v>53</v>
      </c>
      <c r="T13" s="1239"/>
      <c r="U13" s="1239"/>
      <c r="V13" s="1239"/>
      <c r="W13" s="1239"/>
      <c r="X13" s="1239"/>
      <c r="Y13" s="1239"/>
      <c r="Z13" s="1239"/>
      <c r="AA13" s="1239"/>
      <c r="AB13" s="1239"/>
      <c r="AC13" s="1239"/>
      <c r="AD13" s="1239"/>
      <c r="AE13" s="1239"/>
      <c r="AF13" s="1239"/>
      <c r="AG13" s="1350"/>
      <c r="AH13" s="1285"/>
      <c r="AI13" s="1285"/>
      <c r="AJ13" s="1239"/>
      <c r="AK13" s="1239"/>
      <c r="AL13" s="1239"/>
      <c r="AM13" s="1239"/>
      <c r="AN13" s="455"/>
      <c r="AO13" s="1239"/>
      <c r="AP13" s="1239"/>
      <c r="AQ13" s="455">
        <f>+FL_1($T$14,$T$12,$G$13,1200,9.28,-1*$F$14)</f>
        <v>0.44727852235850218</v>
      </c>
      <c r="AR13" s="1239"/>
      <c r="AS13" s="1239"/>
      <c r="AT13" s="455"/>
      <c r="AU13" s="1239"/>
      <c r="AV13" s="1239"/>
      <c r="AW13" s="638" t="str">
        <f>VLOOKUP(J13,'Foundation Calculation'!$A$2:$C$33,3,1)</f>
        <v>Soil B</v>
      </c>
      <c r="AX13" s="638" t="str">
        <f>VLOOKUP(J13,'Foundation Calculation'!$E$2:$G$33,3,1)</f>
        <v>PT</v>
      </c>
      <c r="AY13" s="484"/>
      <c r="AZ13" s="484">
        <f>IF(AX13="PT",VLOOKUP(K13,'Foundation Calculation'!$K$2:$R$40,VLOOKUP(AW13,'Foundation Calculation'!$I$2:$J$8,2,FALSE),0),IF(AX13="K",VLOOKUP(K13,'Foundation Calculation'!$K$42:$R$80,VLOOKUP(AW13,'Foundation Calculation'!$I$2:$J$8,2,FALSE),0),""))</f>
        <v>3.9</v>
      </c>
      <c r="BA13" s="671" t="s">
        <v>2809</v>
      </c>
      <c r="BB13" s="1239"/>
      <c r="BC13" s="169"/>
      <c r="BD13" s="1329"/>
      <c r="BE13" s="1330"/>
      <c r="BF13" s="1330"/>
      <c r="BG13" s="1330"/>
    </row>
    <row r="14" spans="1:59" ht="15.75" customHeight="1">
      <c r="A14" s="1239"/>
      <c r="B14" s="572" t="s">
        <v>3420</v>
      </c>
      <c r="C14" s="171">
        <f>+$C$12+$G$13</f>
        <v>85268.07</v>
      </c>
      <c r="D14" s="1239"/>
      <c r="E14" s="1239"/>
      <c r="F14" s="448">
        <f>-(250^2)/(85281.2-C14)</f>
        <v>-4760.0913937583473</v>
      </c>
      <c r="G14" s="455"/>
      <c r="H14" s="1239"/>
      <c r="I14" s="448"/>
      <c r="J14" s="171"/>
      <c r="K14" s="1239"/>
      <c r="L14" s="1239" t="s">
        <v>820</v>
      </c>
      <c r="M14" s="1239" t="str">
        <f>IF(AX14="PT",VLOOKUP(L14,'Foundation Calculation'!$V$2:$X$40,VLOOKUP(AX14,'Foundation Calculation'!$I$10:$J$13,2,FALSE),0),IF(AX14="K",VLOOKUP(L14,'Foundation Calculation'!$V$42:$X$80,VLOOKUP(AX14,'Foundation Calculation'!$I$10:$J$13,2,FALSE),0),""))</f>
        <v>C7R</v>
      </c>
      <c r="N14" s="1239" t="s">
        <v>144</v>
      </c>
      <c r="O14" s="1239"/>
      <c r="P14" s="1239"/>
      <c r="Q14" s="1239">
        <v>10</v>
      </c>
      <c r="R14" s="1239">
        <v>-3643.43</v>
      </c>
      <c r="S14" s="455"/>
      <c r="T14" s="1285">
        <v>20</v>
      </c>
      <c r="U14" s="1285"/>
      <c r="V14" s="1285"/>
      <c r="W14" s="1285">
        <v>1.4</v>
      </c>
      <c r="X14" s="1285"/>
      <c r="Y14" s="1285"/>
      <c r="Z14" s="1285"/>
      <c r="AA14" s="1285"/>
      <c r="AB14" s="1285"/>
      <c r="AC14" s="1285" t="s">
        <v>1421</v>
      </c>
      <c r="AD14" s="1285"/>
      <c r="AE14" s="1285"/>
      <c r="AF14" s="1285">
        <v>6000</v>
      </c>
      <c r="AG14" s="1350">
        <v>85268</v>
      </c>
      <c r="AH14" s="1285">
        <v>1963</v>
      </c>
      <c r="AI14" s="1285">
        <v>600</v>
      </c>
      <c r="AJ14" s="1239"/>
      <c r="AK14" s="1239"/>
      <c r="AL14" s="1239" t="s">
        <v>2127</v>
      </c>
      <c r="AM14" s="1239" t="s">
        <v>1042</v>
      </c>
      <c r="AN14" s="455">
        <v>5.5</v>
      </c>
      <c r="AO14" s="1239"/>
      <c r="AP14" s="1239"/>
      <c r="AQ14" s="455"/>
      <c r="AR14" s="1239"/>
      <c r="AS14" s="1239"/>
      <c r="AT14" s="455">
        <f>+ab($T$14,$T$12,$T$16,$G$13,$G$15,-1*$F$14,1200)</f>
        <v>9.5713363562059826</v>
      </c>
      <c r="AU14" s="1239"/>
      <c r="AV14" s="1239"/>
      <c r="AW14" s="1239" t="str">
        <f>VLOOKUP(C14,'Foundation Calculation'!$A$2:$C$33,3,1)</f>
        <v>Soil B</v>
      </c>
      <c r="AX14" s="1239" t="str">
        <f>VLOOKUP(C14,'Foundation Calculation'!$E$2:$G$33,3,1)</f>
        <v>PT</v>
      </c>
      <c r="AY14" s="455">
        <f>IF(AX14="PT",VLOOKUP(L14,'Foundation Calculation'!$K$2:$R$40,VLOOKUP(AW14,'Foundation Calculation'!$I$2:$J$8,2,FALSE),0),IF(AX14="K",VLOOKUP(L14,'Foundation Calculation'!$K$42:$R$80,VLOOKUP(AW14,'Foundation Calculation'!$I$2:$J$8,2,FALSE),0),""))</f>
        <v>3.5</v>
      </c>
      <c r="AZ14" s="455"/>
      <c r="BA14" s="671" t="s">
        <v>2809</v>
      </c>
      <c r="BB14" s="1239" t="str">
        <f>Pole_Calculations!A178</f>
        <v>App.8-V08F-P10.3</v>
      </c>
      <c r="BC14" s="169"/>
      <c r="BD14" s="1329"/>
      <c r="BE14" s="1329"/>
      <c r="BF14" s="1329"/>
      <c r="BG14" s="1329"/>
    </row>
    <row r="15" spans="1:59" ht="15.75" customHeight="1">
      <c r="A15" s="1239"/>
      <c r="B15" s="1239"/>
      <c r="C15" s="171"/>
      <c r="D15" s="1239"/>
      <c r="E15" s="1239"/>
      <c r="F15" s="448"/>
      <c r="G15" s="455">
        <v>50</v>
      </c>
      <c r="H15" s="1239"/>
      <c r="I15" s="448"/>
      <c r="J15" s="171"/>
      <c r="K15" s="1239"/>
      <c r="L15" s="1239"/>
      <c r="M15" s="1239"/>
      <c r="N15" s="1239"/>
      <c r="O15" s="1239"/>
      <c r="P15" s="1239"/>
      <c r="Q15" s="1239"/>
      <c r="R15" s="1239"/>
      <c r="S15" s="455">
        <f t="shared" ref="S15" si="4">AG16-AG14</f>
        <v>50</v>
      </c>
      <c r="T15" s="1285"/>
      <c r="U15" s="1285"/>
      <c r="V15" s="1285"/>
      <c r="W15" s="1285"/>
      <c r="X15" s="1285"/>
      <c r="Y15" s="1285"/>
      <c r="Z15" s="1285"/>
      <c r="AA15" s="1285"/>
      <c r="AB15" s="1285"/>
      <c r="AC15" s="1285"/>
      <c r="AD15" s="1285"/>
      <c r="AE15" s="1285"/>
      <c r="AF15" s="1285"/>
      <c r="AG15" s="1350"/>
      <c r="AH15" s="1285"/>
      <c r="AI15" s="1285"/>
      <c r="AJ15" s="1239"/>
      <c r="AK15" s="1239"/>
      <c r="AL15" s="1239"/>
      <c r="AM15" s="1239"/>
      <c r="AN15" s="455"/>
      <c r="AO15" s="1239"/>
      <c r="AP15" s="1239"/>
      <c r="AQ15" s="455">
        <f>+FL_2($T$16,$T$14,$G$15,1200,9.28,-1*$F$16)</f>
        <v>-0.39489941866666661</v>
      </c>
      <c r="AR15" s="1239"/>
      <c r="AS15" s="1239"/>
      <c r="AT15" s="455"/>
      <c r="AU15" s="1239"/>
      <c r="AV15" s="1239"/>
      <c r="AW15" s="1239"/>
      <c r="AX15" s="1239"/>
      <c r="AY15" s="455"/>
      <c r="AZ15" s="455"/>
      <c r="BA15" s="1314"/>
      <c r="BB15" s="1239"/>
      <c r="BC15" s="169"/>
      <c r="BD15" s="1330"/>
      <c r="BE15" s="1330"/>
      <c r="BF15" s="1330"/>
      <c r="BG15" s="1330"/>
    </row>
    <row r="16" spans="1:59" ht="15.75" customHeight="1">
      <c r="A16" s="1239"/>
      <c r="B16" s="572" t="s">
        <v>3421</v>
      </c>
      <c r="C16" s="171">
        <f>+$C$14+$G$15</f>
        <v>85318.07</v>
      </c>
      <c r="D16" s="1239"/>
      <c r="E16" s="1239"/>
      <c r="F16" s="448">
        <v>0</v>
      </c>
      <c r="G16" s="455"/>
      <c r="H16" s="1239"/>
      <c r="I16" s="448"/>
      <c r="J16" s="171"/>
      <c r="K16" s="1239"/>
      <c r="L16" s="1239" t="s">
        <v>229</v>
      </c>
      <c r="M16" s="1239" t="str">
        <f>IF(AX16="PT",VLOOKUP(L16,'Foundation Calculation'!$V$2:$X$40,VLOOKUP(AX16,'Foundation Calculation'!$I$10:$J$13,2,FALSE),0),IF(AX16="K",VLOOKUP(L16,'Foundation Calculation'!$V$42:$X$80,VLOOKUP(AX16,'Foundation Calculation'!$I$10:$J$13,2,FALSE),0),""))</f>
        <v>C3R</v>
      </c>
      <c r="N16" s="1239" t="s">
        <v>143</v>
      </c>
      <c r="O16" s="1239"/>
      <c r="P16" s="1239"/>
      <c r="Q16" s="1239">
        <v>0</v>
      </c>
      <c r="R16" s="1239">
        <v>0</v>
      </c>
      <c r="S16" s="455"/>
      <c r="T16" s="1285">
        <v>-35</v>
      </c>
      <c r="U16" s="1285"/>
      <c r="V16" s="1285"/>
      <c r="W16" s="1285">
        <v>1.4</v>
      </c>
      <c r="X16" s="1285"/>
      <c r="Y16" s="1285"/>
      <c r="Z16" s="1285"/>
      <c r="AA16" s="1285"/>
      <c r="AB16" s="1285"/>
      <c r="AC16" s="1285" t="s">
        <v>4115</v>
      </c>
      <c r="AD16" s="1285"/>
      <c r="AE16" s="1285"/>
      <c r="AF16" s="1285">
        <v>6000</v>
      </c>
      <c r="AG16" s="1350">
        <v>85318</v>
      </c>
      <c r="AH16" s="1285">
        <v>1933</v>
      </c>
      <c r="AI16" s="1285">
        <v>520</v>
      </c>
      <c r="AJ16" s="1239"/>
      <c r="AK16" s="1239"/>
      <c r="AL16" s="1239"/>
      <c r="AM16" s="1239" t="s">
        <v>1042</v>
      </c>
      <c r="AN16" s="455">
        <v>5.5</v>
      </c>
      <c r="AO16" s="1239"/>
      <c r="AP16" s="1239"/>
      <c r="AQ16" s="455"/>
      <c r="AR16" s="1239"/>
      <c r="AS16" s="1239"/>
      <c r="AT16" s="455">
        <f>+ab($T$16,$T$14,$T$18,$G$15,$G$17,-1*$F$16,1200)</f>
        <v>-7.6302911312210604</v>
      </c>
      <c r="AU16" s="1239"/>
      <c r="AV16" s="1239"/>
      <c r="AW16" s="1239" t="str">
        <f>VLOOKUP(C16,'Foundation Calculation'!$A$2:$C$33,3,1)</f>
        <v>Soil B</v>
      </c>
      <c r="AX16" s="1239" t="str">
        <f>VLOOKUP(C16,'Foundation Calculation'!$E$2:$G$33,3,1)</f>
        <v>PT</v>
      </c>
      <c r="AY16" s="455">
        <f>IF(AX16="PT",VLOOKUP(L16,'Foundation Calculation'!$K$2:$R$40,VLOOKUP(AW16,'Foundation Calculation'!$I$2:$J$8,2,FALSE),0),IF(AX16="K",VLOOKUP(L16,'Foundation Calculation'!$K$42:$R$80,VLOOKUP(AW16,'Foundation Calculation'!$I$2:$J$8,2,FALSE),0),""))</f>
        <v>3.5</v>
      </c>
      <c r="AZ16" s="455"/>
      <c r="BA16" s="671" t="s">
        <v>2809</v>
      </c>
      <c r="BB16" s="1239" t="str">
        <f>Pole_Calculations!A15</f>
        <v>App.7-V11A-P9.5.1.1</v>
      </c>
      <c r="BC16" s="169"/>
      <c r="BD16" s="1329"/>
      <c r="BE16" s="1329"/>
      <c r="BF16" s="1330"/>
      <c r="BG16" s="1329"/>
    </row>
    <row r="17" spans="1:59" ht="15.75" customHeight="1">
      <c r="A17" s="1239"/>
      <c r="B17" s="1239"/>
      <c r="C17" s="171"/>
      <c r="D17" s="1239"/>
      <c r="E17" s="1239"/>
      <c r="F17" s="448"/>
      <c r="G17" s="455">
        <v>50</v>
      </c>
      <c r="H17" s="1239"/>
      <c r="I17" s="448"/>
      <c r="J17" s="171"/>
      <c r="K17" s="1239"/>
      <c r="L17" s="1239"/>
      <c r="M17" s="1239"/>
      <c r="N17" s="1239"/>
      <c r="O17" s="1239"/>
      <c r="P17" s="1239"/>
      <c r="Q17" s="1239"/>
      <c r="R17" s="1239"/>
      <c r="S17" s="455">
        <f t="shared" ref="S17" si="5">AG18-AG16</f>
        <v>50</v>
      </c>
      <c r="T17" s="1239"/>
      <c r="U17" s="1239"/>
      <c r="V17" s="1239"/>
      <c r="W17" s="1239"/>
      <c r="X17" s="1239"/>
      <c r="Y17" s="1239"/>
      <c r="Z17" s="1239"/>
      <c r="AA17" s="1239"/>
      <c r="AB17" s="1239"/>
      <c r="AC17" s="1239"/>
      <c r="AD17" s="1239"/>
      <c r="AE17" s="1239"/>
      <c r="AF17" s="1239"/>
      <c r="AG17" s="1350"/>
      <c r="AH17" s="1285"/>
      <c r="AI17" s="1285"/>
      <c r="AJ17" s="1239"/>
      <c r="AK17" s="1239"/>
      <c r="AL17" s="1239"/>
      <c r="AM17" s="1239"/>
      <c r="AN17" s="455"/>
      <c r="AO17" s="1239"/>
      <c r="AP17" s="1239"/>
      <c r="AQ17" s="455">
        <f>+FL_1($T$18,$T$16,$G$17,1200,9.28,-1*$F$18)</f>
        <v>0.36839079999999996</v>
      </c>
      <c r="AR17" s="1239"/>
      <c r="AS17" s="1239"/>
      <c r="AT17" s="455"/>
      <c r="AU17" s="1239"/>
      <c r="AV17" s="1239"/>
      <c r="AW17" s="1239"/>
      <c r="AX17" s="1239"/>
      <c r="AY17" s="455"/>
      <c r="AZ17" s="455"/>
      <c r="BA17" s="1314"/>
      <c r="BB17" s="1239"/>
      <c r="BC17" s="169"/>
      <c r="BD17" s="1330"/>
      <c r="BE17" s="1330"/>
      <c r="BF17" s="1330"/>
      <c r="BG17" s="1330"/>
    </row>
    <row r="18" spans="1:59" ht="15.75" customHeight="1">
      <c r="A18" s="1239"/>
      <c r="B18" s="572" t="s">
        <v>3422</v>
      </c>
      <c r="C18" s="171">
        <f>+$C$16+$G$17</f>
        <v>85368.07</v>
      </c>
      <c r="D18" s="1239"/>
      <c r="E18" s="1239"/>
      <c r="F18" s="448">
        <v>0</v>
      </c>
      <c r="G18" s="455"/>
      <c r="H18" s="1239"/>
      <c r="I18" s="448"/>
      <c r="J18" s="171"/>
      <c r="K18" s="1239"/>
      <c r="L18" s="1239" t="s">
        <v>229</v>
      </c>
      <c r="M18" s="1239" t="str">
        <f>IF(AX18="PT",VLOOKUP(L18,'Foundation Calculation'!$V$2:$X$40,VLOOKUP(AX18,'Foundation Calculation'!$I$10:$J$13,2,FALSE),0),IF(AX18="K",VLOOKUP(L18,'Foundation Calculation'!$V$42:$X$80,VLOOKUP(AX18,'Foundation Calculation'!$I$10:$J$13,2,FALSE),0),""))</f>
        <v>C3R</v>
      </c>
      <c r="N18" s="1239" t="s">
        <v>144</v>
      </c>
      <c r="O18" s="1239"/>
      <c r="P18" s="1239"/>
      <c r="Q18" s="1239">
        <v>0</v>
      </c>
      <c r="R18" s="1239">
        <v>0</v>
      </c>
      <c r="S18" s="455"/>
      <c r="T18" s="1285">
        <v>35</v>
      </c>
      <c r="U18" s="1285"/>
      <c r="V18" s="1285"/>
      <c r="W18" s="1285">
        <v>1.4</v>
      </c>
      <c r="X18" s="1285"/>
      <c r="Y18" s="1285"/>
      <c r="Z18" s="1285"/>
      <c r="AA18" s="1285"/>
      <c r="AB18" s="1285"/>
      <c r="AC18" s="1285" t="s">
        <v>4090</v>
      </c>
      <c r="AD18" s="1285"/>
      <c r="AE18" s="1285"/>
      <c r="AF18" s="1285">
        <v>6000</v>
      </c>
      <c r="AG18" s="1350">
        <v>85368</v>
      </c>
      <c r="AH18" s="1285">
        <v>1913</v>
      </c>
      <c r="AI18" s="1285">
        <v>430</v>
      </c>
      <c r="AJ18" s="1239"/>
      <c r="AK18" s="1239"/>
      <c r="AL18" s="1239"/>
      <c r="AM18" s="1239" t="s">
        <v>1042</v>
      </c>
      <c r="AN18" s="455">
        <v>5.5</v>
      </c>
      <c r="AO18" s="1239"/>
      <c r="AP18" s="1239"/>
      <c r="AQ18" s="455"/>
      <c r="AR18" s="1239"/>
      <c r="AS18" s="1239"/>
      <c r="AT18" s="455">
        <f>+ab($T$18,$T$16,$T$20,$G$17,$G$19,-1*$F$18,1200)</f>
        <v>6.820891075690624</v>
      </c>
      <c r="AU18" s="1239"/>
      <c r="AV18" s="1239"/>
      <c r="AW18" s="1239" t="str">
        <f>VLOOKUP(C18,'Foundation Calculation'!$A$2:$C$33,3,1)</f>
        <v>Soil B</v>
      </c>
      <c r="AX18" s="1239" t="str">
        <f>VLOOKUP(C18,'Foundation Calculation'!$E$2:$G$33,3,1)</f>
        <v>PT</v>
      </c>
      <c r="AY18" s="455">
        <f>IF(AX18="PT",VLOOKUP(L18,'Foundation Calculation'!$K$2:$R$40,VLOOKUP(AW18,'Foundation Calculation'!$I$2:$J$8,2,FALSE),0),IF(AX18="K",VLOOKUP(L18,'Foundation Calculation'!$K$42:$R$80,VLOOKUP(AW18,'Foundation Calculation'!$I$2:$J$8,2,FALSE),0),""))</f>
        <v>3.5</v>
      </c>
      <c r="AZ18" s="455"/>
      <c r="BA18" s="671" t="s">
        <v>2809</v>
      </c>
      <c r="BB18" s="1239" t="str">
        <f>Pole_Calculations!A15</f>
        <v>App.7-V11A-P9.5.1.1</v>
      </c>
      <c r="BC18" s="169"/>
      <c r="BD18" s="1329"/>
      <c r="BE18" s="1329"/>
      <c r="BF18" s="1330"/>
      <c r="BG18" s="1329"/>
    </row>
    <row r="19" spans="1:59" ht="15.75" customHeight="1">
      <c r="A19" s="1239"/>
      <c r="B19" s="1239"/>
      <c r="C19" s="171"/>
      <c r="D19" s="1239"/>
      <c r="E19" s="1239"/>
      <c r="F19" s="448"/>
      <c r="G19" s="455">
        <v>50</v>
      </c>
      <c r="H19" s="1239"/>
      <c r="I19" s="448"/>
      <c r="J19" s="171">
        <f>C20-7.5</f>
        <v>85410.57</v>
      </c>
      <c r="K19" s="1239" t="s">
        <v>2788</v>
      </c>
      <c r="L19" s="1239"/>
      <c r="M19" s="1239"/>
      <c r="N19" s="1239"/>
      <c r="O19" s="1239"/>
      <c r="P19" s="1239"/>
      <c r="Q19" s="1239"/>
      <c r="R19" s="1239"/>
      <c r="S19" s="455">
        <f t="shared" ref="S19" si="6">AG20-AG18</f>
        <v>50</v>
      </c>
      <c r="T19" s="1239"/>
      <c r="U19" s="1239"/>
      <c r="V19" s="1239"/>
      <c r="W19" s="1239"/>
      <c r="X19" s="1239"/>
      <c r="Y19" s="1239"/>
      <c r="Z19" s="1239"/>
      <c r="AA19" s="1239"/>
      <c r="AB19" s="1239"/>
      <c r="AC19" s="1239"/>
      <c r="AD19" s="1239"/>
      <c r="AE19" s="1239"/>
      <c r="AF19" s="1239"/>
      <c r="AG19" s="1350"/>
      <c r="AH19" s="1285"/>
      <c r="AI19" s="1285"/>
      <c r="AJ19" s="1239"/>
      <c r="AK19" s="1239"/>
      <c r="AL19" s="1239"/>
      <c r="AM19" s="1239"/>
      <c r="AN19" s="455"/>
      <c r="AO19" s="1239"/>
      <c r="AP19" s="1239"/>
      <c r="AQ19" s="455">
        <f>+FL_1($T$20,$T$18,$G$19,1200,9.28,-1*$F$20)</f>
        <v>0.38513042393269048</v>
      </c>
      <c r="AR19" s="1239"/>
      <c r="AS19" s="1239"/>
      <c r="AT19" s="455"/>
      <c r="AU19" s="1239"/>
      <c r="AV19" s="1239"/>
      <c r="AW19" s="638" t="str">
        <f>VLOOKUP(J19,'Foundation Calculation'!$A$2:$C$33,3,1)</f>
        <v>Soil B</v>
      </c>
      <c r="AX19" s="638" t="str">
        <f>VLOOKUP(J19,'Foundation Calculation'!$E$2:$G$33,3,1)</f>
        <v>PT</v>
      </c>
      <c r="AY19" s="484"/>
      <c r="AZ19" s="484">
        <f>IF(AX19="PT",VLOOKUP(K19,'Foundation Calculation'!$K$2:$R$40,VLOOKUP(AW19,'Foundation Calculation'!$I$2:$J$8,2,FALSE),0),IF(AX19="K",VLOOKUP(K19,'Foundation Calculation'!$K$42:$R$80,VLOOKUP(AW19,'Foundation Calculation'!$I$2:$J$8,2,FALSE),0),""))</f>
        <v>2.8</v>
      </c>
      <c r="BA19" s="671" t="s">
        <v>2809</v>
      </c>
      <c r="BB19" s="1239"/>
      <c r="BC19" s="169"/>
      <c r="BD19" s="1329"/>
      <c r="BE19" s="1330"/>
      <c r="BF19" s="1330"/>
      <c r="BG19" s="1330"/>
    </row>
    <row r="20" spans="1:59" ht="15.75" customHeight="1">
      <c r="A20" s="1239"/>
      <c r="B20" s="572" t="s">
        <v>3423</v>
      </c>
      <c r="C20" s="171">
        <f>+$C$18+$G$19</f>
        <v>85418.07</v>
      </c>
      <c r="D20" s="1239"/>
      <c r="E20" s="1239"/>
      <c r="F20" s="448">
        <v>10000</v>
      </c>
      <c r="G20" s="455"/>
      <c r="H20" s="1239" t="s">
        <v>873</v>
      </c>
      <c r="I20" s="448"/>
      <c r="J20" s="171"/>
      <c r="K20" s="1239"/>
      <c r="L20" s="1239" t="s">
        <v>230</v>
      </c>
      <c r="M20" s="1239" t="str">
        <f>IF(AX20="PT",VLOOKUP(L20,'Foundation Calculation'!$V$2:$X$40,VLOOKUP(AX20,'Foundation Calculation'!$I$10:$J$13,2,FALSE),0),IF(AX20="K",VLOOKUP(L20,'Foundation Calculation'!$V$42:$X$80,VLOOKUP(AX20,'Foundation Calculation'!$I$10:$J$13,2,FALSE),0),""))</f>
        <v>C4R</v>
      </c>
      <c r="N20" s="1239" t="s">
        <v>143</v>
      </c>
      <c r="O20" s="1239"/>
      <c r="P20" s="1239"/>
      <c r="Q20" s="1239">
        <v>0</v>
      </c>
      <c r="R20" s="1239">
        <v>0</v>
      </c>
      <c r="S20" s="455"/>
      <c r="T20" s="1285">
        <v>-35</v>
      </c>
      <c r="U20" s="1285"/>
      <c r="V20" s="1285"/>
      <c r="W20" s="1285">
        <v>1.4</v>
      </c>
      <c r="X20" s="1285"/>
      <c r="Y20" s="1285"/>
      <c r="Z20" s="1285"/>
      <c r="AA20" s="1285"/>
      <c r="AB20" s="1285"/>
      <c r="AC20" s="1285" t="s">
        <v>4090</v>
      </c>
      <c r="AD20" s="1285"/>
      <c r="AE20" s="1285"/>
      <c r="AF20" s="1285">
        <v>6000</v>
      </c>
      <c r="AG20" s="1350">
        <v>85418</v>
      </c>
      <c r="AH20" s="1285">
        <v>2073</v>
      </c>
      <c r="AI20" s="1285">
        <v>390</v>
      </c>
      <c r="AJ20" s="1239"/>
      <c r="AK20" s="1239"/>
      <c r="AL20" s="1239"/>
      <c r="AM20" s="1239" t="s">
        <v>1042</v>
      </c>
      <c r="AN20" s="455">
        <v>5.5</v>
      </c>
      <c r="AO20" s="1239"/>
      <c r="AP20" s="1239"/>
      <c r="AQ20" s="455"/>
      <c r="AR20" s="1239"/>
      <c r="AS20" s="1239"/>
      <c r="AT20" s="455">
        <f>+ab($T$20,$T$18,$T$22,$G$19,$G$21,-1*$F$20,1200)</f>
        <v>-5.7950867854733401</v>
      </c>
      <c r="AU20" s="1239"/>
      <c r="AV20" s="1239"/>
      <c r="AW20" s="1239" t="str">
        <f>VLOOKUP(C20,'Foundation Calculation'!$A$2:$C$33,3,1)</f>
        <v>Soil B</v>
      </c>
      <c r="AX20" s="1239" t="str">
        <f>VLOOKUP(C20,'Foundation Calculation'!$E$2:$G$33,3,1)</f>
        <v>PT</v>
      </c>
      <c r="AY20" s="455">
        <f>IF(AX20="PT",VLOOKUP(L20,'Foundation Calculation'!$K$2:$R$40,VLOOKUP(AW20,'Foundation Calculation'!$I$2:$J$8,2,FALSE),0),IF(AX20="K",VLOOKUP(L20,'Foundation Calculation'!$K$42:$R$80,VLOOKUP(AW20,'Foundation Calculation'!$I$2:$J$8,2,FALSE),0),""))</f>
        <v>3.5</v>
      </c>
      <c r="AZ20" s="455"/>
      <c r="BA20" s="671" t="s">
        <v>2809</v>
      </c>
      <c r="BB20" s="1239" t="str">
        <f>Pole_Calculations!A16</f>
        <v>App.7-V11A-P9.5.1.2</v>
      </c>
      <c r="BC20" s="169"/>
      <c r="BD20" s="1329"/>
      <c r="BE20" s="1329"/>
      <c r="BF20" s="1330"/>
      <c r="BG20" s="1329"/>
    </row>
    <row r="21" spans="1:59" ht="15.75" customHeight="1">
      <c r="A21" s="1239"/>
      <c r="B21" s="1239"/>
      <c r="C21" s="171"/>
      <c r="D21" s="1239"/>
      <c r="E21" s="1239"/>
      <c r="F21" s="448"/>
      <c r="G21" s="455">
        <v>50</v>
      </c>
      <c r="H21" s="1239"/>
      <c r="I21" s="448">
        <f>C22-C6</f>
        <v>402.5</v>
      </c>
      <c r="J21" s="171"/>
      <c r="K21" s="1239"/>
      <c r="L21" s="1239"/>
      <c r="M21" s="1239"/>
      <c r="N21" s="1239"/>
      <c r="O21" s="1239"/>
      <c r="P21" s="1239"/>
      <c r="Q21" s="1239"/>
      <c r="R21" s="1239"/>
      <c r="S21" s="455">
        <f t="shared" ref="S21" si="7">AG22-AG20</f>
        <v>50</v>
      </c>
      <c r="T21" s="1239"/>
      <c r="U21" s="1239"/>
      <c r="V21" s="1239"/>
      <c r="W21" s="1239"/>
      <c r="X21" s="1239"/>
      <c r="Y21" s="1239"/>
      <c r="Z21" s="1239"/>
      <c r="AA21" s="1239"/>
      <c r="AB21" s="1239"/>
      <c r="AC21" s="1239"/>
      <c r="AD21" s="1239"/>
      <c r="AE21" s="1239"/>
      <c r="AF21" s="1239"/>
      <c r="AG21" s="1350"/>
      <c r="AH21" s="1285"/>
      <c r="AI21" s="1285"/>
      <c r="AJ21" s="1239"/>
      <c r="AK21" s="1239"/>
      <c r="AL21" s="1239"/>
      <c r="AM21" s="1239"/>
      <c r="AN21" s="455"/>
      <c r="AO21" s="1239"/>
      <c r="AP21" s="1239"/>
      <c r="AQ21" s="455">
        <f>+FL_2($T$22,$T$20,$G$21,1200,9.28,-1*$F$22)</f>
        <v>-0.35596121502119549</v>
      </c>
      <c r="AR21" s="1239"/>
      <c r="AS21" s="1239"/>
      <c r="AT21" s="455"/>
      <c r="AU21" s="1239"/>
      <c r="AV21" s="1239"/>
      <c r="AW21" s="1239"/>
      <c r="AX21" s="1239"/>
      <c r="AY21" s="455"/>
      <c r="AZ21" s="455"/>
      <c r="BA21" s="1314"/>
      <c r="BB21" s="1239"/>
      <c r="BC21" s="169"/>
      <c r="BD21" s="1330"/>
      <c r="BE21" s="1330"/>
      <c r="BF21" s="1330"/>
      <c r="BG21" s="1330"/>
    </row>
    <row r="22" spans="1:59" ht="15.75" customHeight="1">
      <c r="A22" s="1239"/>
      <c r="B22" s="572" t="s">
        <v>3424</v>
      </c>
      <c r="C22" s="171">
        <f>+$C$20+$G$21</f>
        <v>85468.07</v>
      </c>
      <c r="D22" s="1239"/>
      <c r="E22" s="1239"/>
      <c r="F22" s="448">
        <v>10000</v>
      </c>
      <c r="G22" s="455"/>
      <c r="H22" s="1239" t="s">
        <v>874</v>
      </c>
      <c r="I22" s="448"/>
      <c r="J22" s="171"/>
      <c r="K22" s="1239"/>
      <c r="L22" s="1239" t="s">
        <v>229</v>
      </c>
      <c r="M22" s="1239" t="str">
        <f>IF(AX22="PT",VLOOKUP(L22,'Foundation Calculation'!$V$2:$X$40,VLOOKUP(AX22,'Foundation Calculation'!$I$10:$J$13,2,FALSE),0),IF(AX22="K",VLOOKUP(L22,'Foundation Calculation'!$V$42:$X$80,VLOOKUP(AX22,'Foundation Calculation'!$I$10:$J$13,2,FALSE),0),""))</f>
        <v>C3R</v>
      </c>
      <c r="N22" s="1239" t="s">
        <v>144</v>
      </c>
      <c r="O22" s="1239"/>
      <c r="P22" s="1239"/>
      <c r="Q22" s="1239">
        <v>0</v>
      </c>
      <c r="R22" s="1239">
        <v>0</v>
      </c>
      <c r="S22" s="455"/>
      <c r="T22" s="1285">
        <v>35</v>
      </c>
      <c r="U22" s="1285"/>
      <c r="V22" s="1285"/>
      <c r="W22" s="1285">
        <v>1.4</v>
      </c>
      <c r="X22" s="1285"/>
      <c r="Y22" s="1285"/>
      <c r="Z22" s="1285"/>
      <c r="AA22" s="1285"/>
      <c r="AB22" s="1285"/>
      <c r="AC22" s="1285" t="s">
        <v>4090</v>
      </c>
      <c r="AD22" s="1285"/>
      <c r="AE22" s="1285"/>
      <c r="AF22" s="1285">
        <v>6000</v>
      </c>
      <c r="AG22" s="1350">
        <v>85468</v>
      </c>
      <c r="AH22" s="1285">
        <v>2023</v>
      </c>
      <c r="AI22" s="1285">
        <v>510</v>
      </c>
      <c r="AJ22" s="1239"/>
      <c r="AK22" s="1239"/>
      <c r="AL22" s="1239"/>
      <c r="AM22" s="1239" t="s">
        <v>1042</v>
      </c>
      <c r="AN22" s="455">
        <v>5.5</v>
      </c>
      <c r="AO22" s="1239"/>
      <c r="AP22" s="1239"/>
      <c r="AQ22" s="455"/>
      <c r="AR22" s="1239"/>
      <c r="AS22" s="1239"/>
      <c r="AT22" s="455">
        <f>+ab($T$22,$T$20,$T$24,$G$21,$G$23,-1*$F$22,1200)</f>
        <v>8.5180553132563226</v>
      </c>
      <c r="AU22" s="1239"/>
      <c r="AV22" s="1239"/>
      <c r="AW22" s="1239" t="str">
        <f>VLOOKUP(C22,'Foundation Calculation'!$A$2:$C$33,3,1)</f>
        <v>Soil B</v>
      </c>
      <c r="AX22" s="1239" t="str">
        <f>VLOOKUP(C22,'Foundation Calculation'!$E$2:$G$33,3,1)</f>
        <v>PT</v>
      </c>
      <c r="AY22" s="455">
        <f>IF(AX22="PT",VLOOKUP(L22,'Foundation Calculation'!$K$2:$R$40,VLOOKUP(AW22,'Foundation Calculation'!$I$2:$J$8,2,FALSE),0),IF(AX22="K",VLOOKUP(L22,'Foundation Calculation'!$K$42:$R$80,VLOOKUP(AW22,'Foundation Calculation'!$I$2:$J$8,2,FALSE),0),""))</f>
        <v>3.5</v>
      </c>
      <c r="AZ22" s="455"/>
      <c r="BA22" s="671" t="s">
        <v>2809</v>
      </c>
      <c r="BB22" s="1239" t="str">
        <f>Pole_Calculations!A16</f>
        <v>App.7-V11A-P9.5.1.2</v>
      </c>
      <c r="BC22" s="169"/>
      <c r="BD22" s="1329"/>
      <c r="BE22" s="1329"/>
      <c r="BF22" s="1330"/>
      <c r="BG22" s="1329"/>
    </row>
    <row r="23" spans="1:59" ht="15.75" customHeight="1">
      <c r="A23" s="1239"/>
      <c r="B23" s="1239"/>
      <c r="C23" s="171"/>
      <c r="D23" s="1239"/>
      <c r="E23" s="1239"/>
      <c r="F23" s="448"/>
      <c r="G23" s="455">
        <v>52</v>
      </c>
      <c r="H23" s="1239"/>
      <c r="I23" s="448">
        <f>C38-C22</f>
        <v>438</v>
      </c>
      <c r="J23" s="171"/>
      <c r="K23" s="1239"/>
      <c r="L23" s="1239"/>
      <c r="M23" s="1239"/>
      <c r="N23" s="1239"/>
      <c r="O23" s="1239"/>
      <c r="P23" s="1239"/>
      <c r="Q23" s="1239"/>
      <c r="R23" s="1239"/>
      <c r="S23" s="455">
        <f t="shared" ref="S23" si="8">AG24-AG22</f>
        <v>52</v>
      </c>
      <c r="T23" s="1239"/>
      <c r="U23" s="1239"/>
      <c r="V23" s="1239"/>
      <c r="W23" s="1239"/>
      <c r="X23" s="1239"/>
      <c r="Y23" s="1239"/>
      <c r="Z23" s="1239"/>
      <c r="AA23" s="1239"/>
      <c r="AB23" s="1239"/>
      <c r="AC23" s="1239"/>
      <c r="AD23" s="1239"/>
      <c r="AE23" s="1239"/>
      <c r="AF23" s="1239"/>
      <c r="AG23" s="1350"/>
      <c r="AH23" s="1285"/>
      <c r="AI23" s="1285"/>
      <c r="AJ23" s="1239"/>
      <c r="AK23" s="1239"/>
      <c r="AL23" s="1239"/>
      <c r="AM23" s="1239"/>
      <c r="AN23" s="455"/>
      <c r="AO23" s="1239"/>
      <c r="AP23" s="1239"/>
      <c r="AQ23" s="455">
        <f>+FL_2($T$24,$T$22,$G$23,1200,9.28,-1*$F$24)</f>
        <v>-0.37855025261538461</v>
      </c>
      <c r="AR23" s="1239"/>
      <c r="AS23" s="1239"/>
      <c r="AT23" s="455"/>
      <c r="AU23" s="1239"/>
      <c r="AV23" s="1239"/>
      <c r="AW23" s="1239"/>
      <c r="AX23" s="1239"/>
      <c r="AY23" s="455"/>
      <c r="AZ23" s="455"/>
      <c r="BA23" s="1314"/>
      <c r="BB23" s="1239"/>
      <c r="BC23" s="169"/>
      <c r="BD23" s="1330"/>
      <c r="BE23" s="1330"/>
      <c r="BF23" s="1330"/>
      <c r="BG23" s="1330"/>
    </row>
    <row r="24" spans="1:59" ht="15.75" customHeight="1">
      <c r="A24" s="1239"/>
      <c r="B24" s="572" t="s">
        <v>3425</v>
      </c>
      <c r="C24" s="171">
        <f>+$C$22+$G$23</f>
        <v>85520.07</v>
      </c>
      <c r="D24" s="1239"/>
      <c r="E24" s="1239"/>
      <c r="F24" s="448">
        <v>0</v>
      </c>
      <c r="G24" s="455"/>
      <c r="H24" s="1239" t="s">
        <v>873</v>
      </c>
      <c r="I24" s="448"/>
      <c r="J24" s="171"/>
      <c r="K24" s="1239"/>
      <c r="L24" s="1239" t="s">
        <v>230</v>
      </c>
      <c r="M24" s="1239" t="str">
        <f>IF(AX24="PT",VLOOKUP(L24,'Foundation Calculation'!$V$2:$X$40,VLOOKUP(AX24,'Foundation Calculation'!$I$10:$J$13,2,FALSE),0),IF(AX24="K",VLOOKUP(L24,'Foundation Calculation'!$V$42:$X$80,VLOOKUP(AX24,'Foundation Calculation'!$I$10:$J$13,2,FALSE),0),""))</f>
        <v>C4R</v>
      </c>
      <c r="N24" s="1239" t="s">
        <v>143</v>
      </c>
      <c r="O24" s="1239"/>
      <c r="P24" s="1239"/>
      <c r="Q24" s="1239">
        <v>0</v>
      </c>
      <c r="R24" s="1239">
        <v>0</v>
      </c>
      <c r="S24" s="455"/>
      <c r="T24" s="1285">
        <v>-35</v>
      </c>
      <c r="U24" s="1285"/>
      <c r="V24" s="1285"/>
      <c r="W24" s="1285">
        <v>1.4</v>
      </c>
      <c r="X24" s="1285"/>
      <c r="Y24" s="1285"/>
      <c r="Z24" s="1285"/>
      <c r="AA24" s="1285"/>
      <c r="AB24" s="1285"/>
      <c r="AC24" s="1285" t="s">
        <v>4090</v>
      </c>
      <c r="AD24" s="1285"/>
      <c r="AE24" s="1285"/>
      <c r="AF24" s="1285">
        <v>6000</v>
      </c>
      <c r="AG24" s="1350">
        <v>85520</v>
      </c>
      <c r="AH24" s="1285">
        <v>1973</v>
      </c>
      <c r="AI24" s="1285">
        <v>440</v>
      </c>
      <c r="AJ24" s="1239"/>
      <c r="AK24" s="1239"/>
      <c r="AL24" s="1239"/>
      <c r="AM24" s="1239" t="s">
        <v>1042</v>
      </c>
      <c r="AN24" s="455">
        <v>5.5</v>
      </c>
      <c r="AO24" s="1239"/>
      <c r="AP24" s="1239"/>
      <c r="AQ24" s="455"/>
      <c r="AR24" s="1239"/>
      <c r="AS24" s="1239"/>
      <c r="AT24" s="455">
        <f>+ab($T$24,$T$22,$T$26,$G$23,$G$25,-1*$F$24,1200)</f>
        <v>-7.2877338051932652</v>
      </c>
      <c r="AU24" s="1239"/>
      <c r="AV24" s="1239"/>
      <c r="AW24" s="1239" t="str">
        <f>VLOOKUP(C24,'Foundation Calculation'!$A$2:$C$33,3,1)</f>
        <v>Soil B</v>
      </c>
      <c r="AX24" s="1239" t="str">
        <f>VLOOKUP(C24,'Foundation Calculation'!$E$2:$G$33,3,1)</f>
        <v>PT</v>
      </c>
      <c r="AY24" s="455">
        <f>IF(AX24="PT",VLOOKUP(L24,'Foundation Calculation'!$K$2:$R$40,VLOOKUP(AW24,'Foundation Calculation'!$I$2:$J$8,2,FALSE),0),IF(AX24="K",VLOOKUP(L24,'Foundation Calculation'!$K$42:$R$80,VLOOKUP(AW24,'Foundation Calculation'!$I$2:$J$8,2,FALSE),0),""))</f>
        <v>3.5</v>
      </c>
      <c r="AZ24" s="455"/>
      <c r="BA24" s="671" t="s">
        <v>2809</v>
      </c>
      <c r="BB24" s="1239" t="str">
        <f>Pole_Calculations!A16</f>
        <v>App.7-V11A-P9.5.1.2</v>
      </c>
      <c r="BC24" s="169"/>
      <c r="BD24" s="1329"/>
      <c r="BE24" s="1329"/>
      <c r="BF24" s="1330"/>
      <c r="BG24" s="1329"/>
    </row>
    <row r="25" spans="1:59" ht="15.75" customHeight="1">
      <c r="A25" s="1239"/>
      <c r="B25" s="1239"/>
      <c r="C25" s="171"/>
      <c r="D25" s="1239"/>
      <c r="E25" s="1239"/>
      <c r="F25" s="448"/>
      <c r="G25" s="455">
        <v>55</v>
      </c>
      <c r="H25" s="1239"/>
      <c r="I25" s="448"/>
      <c r="J25" s="171">
        <f>C24+7.5</f>
        <v>85527.57</v>
      </c>
      <c r="K25" s="1239" t="s">
        <v>2788</v>
      </c>
      <c r="L25" s="1239"/>
      <c r="M25" s="1239"/>
      <c r="N25" s="1239"/>
      <c r="O25" s="1239"/>
      <c r="P25" s="1239"/>
      <c r="Q25" s="1239"/>
      <c r="R25" s="1239"/>
      <c r="S25" s="455">
        <f t="shared" ref="S25" si="9">AG26-AG24</f>
        <v>55</v>
      </c>
      <c r="T25" s="1285"/>
      <c r="U25" s="1285"/>
      <c r="V25" s="1285"/>
      <c r="W25" s="1285"/>
      <c r="X25" s="1285"/>
      <c r="Y25" s="1285"/>
      <c r="Z25" s="1285"/>
      <c r="AA25" s="1285"/>
      <c r="AB25" s="1285"/>
      <c r="AC25" s="1285"/>
      <c r="AD25" s="1285"/>
      <c r="AE25" s="1285"/>
      <c r="AF25" s="1285"/>
      <c r="AG25" s="1350"/>
      <c r="AH25" s="1285"/>
      <c r="AI25" s="1285"/>
      <c r="AJ25" s="1239"/>
      <c r="AK25" s="1239"/>
      <c r="AL25" s="1239"/>
      <c r="AM25" s="1239"/>
      <c r="AN25" s="455"/>
      <c r="AO25" s="1239"/>
      <c r="AP25" s="1239"/>
      <c r="AQ25" s="455">
        <f>+FL_2($T$26,$T$24,$G$25,1200,9.28,-1*$F$26)</f>
        <v>-0.39714735709090898</v>
      </c>
      <c r="AR25" s="1239"/>
      <c r="AS25" s="1239"/>
      <c r="AT25" s="455"/>
      <c r="AU25" s="1239"/>
      <c r="AV25" s="1239"/>
      <c r="AW25" s="638" t="str">
        <f>VLOOKUP(J25,'Foundation Calculation'!$A$2:$C$33,3,1)</f>
        <v>Soil B</v>
      </c>
      <c r="AX25" s="638" t="str">
        <f>VLOOKUP(J25,'Foundation Calculation'!$E$2:$G$33,3,1)</f>
        <v>PT</v>
      </c>
      <c r="AY25" s="484"/>
      <c r="AZ25" s="484">
        <f>IF(AX25="PT",VLOOKUP(K25,'Foundation Calculation'!$K$2:$R$40,VLOOKUP(AW25,'Foundation Calculation'!$I$2:$J$8,2,FALSE),0),IF(AX25="K",VLOOKUP(K25,'Foundation Calculation'!$K$42:$R$80,VLOOKUP(AW25,'Foundation Calculation'!$I$2:$J$8,2,FALSE),0),""))</f>
        <v>2.8</v>
      </c>
      <c r="BA25" s="671" t="s">
        <v>2809</v>
      </c>
      <c r="BB25" s="1239"/>
      <c r="BC25" s="169"/>
      <c r="BD25" s="1329"/>
      <c r="BE25" s="1330"/>
      <c r="BF25" s="1330"/>
      <c r="BG25" s="1330"/>
    </row>
    <row r="26" spans="1:59" ht="15.75" customHeight="1">
      <c r="A26" s="1239"/>
      <c r="B26" s="572" t="s">
        <v>3426</v>
      </c>
      <c r="C26" s="171">
        <f>+$C$24+$G$25</f>
        <v>85575.07</v>
      </c>
      <c r="D26" s="1239"/>
      <c r="E26" s="1239"/>
      <c r="F26" s="448">
        <v>0</v>
      </c>
      <c r="G26" s="455"/>
      <c r="H26" s="1239"/>
      <c r="I26" s="448"/>
      <c r="J26" s="171"/>
      <c r="K26" s="1239"/>
      <c r="L26" s="1239" t="s">
        <v>229</v>
      </c>
      <c r="M26" s="1239" t="str">
        <f>IF(AX26="PT",VLOOKUP(L26,'Foundation Calculation'!$V$2:$X$40,VLOOKUP(AX26,'Foundation Calculation'!$I$10:$J$13,2,FALSE),0),IF(AX26="K",VLOOKUP(L26,'Foundation Calculation'!$V$42:$X$80,VLOOKUP(AX26,'Foundation Calculation'!$I$10:$J$13,2,FALSE),0),""))</f>
        <v>C3R</v>
      </c>
      <c r="N26" s="1239" t="s">
        <v>144</v>
      </c>
      <c r="O26" s="1239"/>
      <c r="P26" s="1239"/>
      <c r="Q26" s="1239">
        <v>0</v>
      </c>
      <c r="R26" s="1239">
        <v>0</v>
      </c>
      <c r="S26" s="455"/>
      <c r="T26" s="1285">
        <v>35</v>
      </c>
      <c r="U26" s="1285"/>
      <c r="V26" s="1285"/>
      <c r="W26" s="1285">
        <v>1.4</v>
      </c>
      <c r="X26" s="1285"/>
      <c r="Y26" s="1285"/>
      <c r="Z26" s="1285"/>
      <c r="AA26" s="1285"/>
      <c r="AB26" s="1285"/>
      <c r="AC26" s="1285" t="s">
        <v>4090</v>
      </c>
      <c r="AD26" s="1285"/>
      <c r="AE26" s="1285"/>
      <c r="AF26" s="1285">
        <v>6000</v>
      </c>
      <c r="AG26" s="1350">
        <v>85575</v>
      </c>
      <c r="AH26" s="1285">
        <v>1903</v>
      </c>
      <c r="AI26" s="1285">
        <v>360</v>
      </c>
      <c r="AJ26" s="1239"/>
      <c r="AK26" s="1239"/>
      <c r="AL26" s="1239"/>
      <c r="AM26" s="1239" t="s">
        <v>1042</v>
      </c>
      <c r="AN26" s="455">
        <v>5.5</v>
      </c>
      <c r="AO26" s="1239"/>
      <c r="AP26" s="1239"/>
      <c r="AQ26" s="455"/>
      <c r="AR26" s="1239"/>
      <c r="AS26" s="1239"/>
      <c r="AT26" s="455">
        <f>+ab($T$26,$T$24,$T$28,$G$25,$G$27,-1*$F$26,1200)</f>
        <v>7.8175137683875535</v>
      </c>
      <c r="AU26" s="1239"/>
      <c r="AV26" s="1239"/>
      <c r="AW26" s="1239" t="str">
        <f>VLOOKUP(C26,'Foundation Calculation'!$A$2:$C$33,3,1)</f>
        <v>Soil B</v>
      </c>
      <c r="AX26" s="1239" t="str">
        <f>VLOOKUP(C26,'Foundation Calculation'!$E$2:$G$33,3,1)</f>
        <v>PT</v>
      </c>
      <c r="AY26" s="455">
        <f>IF(AX26="PT",VLOOKUP(L26,'Foundation Calculation'!$K$2:$R$40,VLOOKUP(AW26,'Foundation Calculation'!$I$2:$J$8,2,FALSE),0),IF(AX26="K",VLOOKUP(L26,'Foundation Calculation'!$K$42:$R$80,VLOOKUP(AW26,'Foundation Calculation'!$I$2:$J$8,2,FALSE),0),""))</f>
        <v>3.5</v>
      </c>
      <c r="AZ26" s="455"/>
      <c r="BA26" s="671" t="s">
        <v>2809</v>
      </c>
      <c r="BB26" s="1239" t="str">
        <f>Pole_Calculations!A15</f>
        <v>App.7-V11A-P9.5.1.1</v>
      </c>
      <c r="BC26" s="169"/>
      <c r="BD26" s="1329"/>
      <c r="BE26" s="1329"/>
      <c r="BF26" s="1330"/>
      <c r="BG26" s="1329"/>
    </row>
    <row r="27" spans="1:59" ht="15.75" customHeight="1">
      <c r="A27" s="1239"/>
      <c r="B27" s="1239"/>
      <c r="C27" s="171"/>
      <c r="D27" s="1239"/>
      <c r="E27" s="1239"/>
      <c r="F27" s="448"/>
      <c r="G27" s="455">
        <v>60</v>
      </c>
      <c r="H27" s="1239"/>
      <c r="I27" s="448"/>
      <c r="J27" s="171"/>
      <c r="K27" s="1239"/>
      <c r="L27" s="1239"/>
      <c r="M27" s="1239"/>
      <c r="N27" s="1239"/>
      <c r="O27" s="1239"/>
      <c r="P27" s="1239"/>
      <c r="Q27" s="1239"/>
      <c r="R27" s="1239"/>
      <c r="S27" s="455">
        <f t="shared" ref="S27" si="10">AG28-AG26</f>
        <v>60</v>
      </c>
      <c r="T27" s="1239"/>
      <c r="U27" s="1239"/>
      <c r="V27" s="1239"/>
      <c r="W27" s="1239"/>
      <c r="X27" s="1239"/>
      <c r="Y27" s="1239"/>
      <c r="Z27" s="1239"/>
      <c r="AA27" s="1239"/>
      <c r="AB27" s="1239"/>
      <c r="AC27" s="1239"/>
      <c r="AD27" s="1239"/>
      <c r="AE27" s="1239"/>
      <c r="AF27" s="1239"/>
      <c r="AG27" s="1350"/>
      <c r="AH27" s="1285"/>
      <c r="AI27" s="1285"/>
      <c r="AJ27" s="1239"/>
      <c r="AK27" s="1239"/>
      <c r="AL27" s="1239"/>
      <c r="AM27" s="1239"/>
      <c r="AN27" s="455"/>
      <c r="AO27" s="1239"/>
      <c r="AP27" s="1239"/>
      <c r="AQ27" s="455">
        <f>+FL_2($T$28,$T$26,$G$27,1200,9.28,-1*$F$28)</f>
        <v>-0.43600286799999999</v>
      </c>
      <c r="AR27" s="1239"/>
      <c r="AS27" s="1239"/>
      <c r="AT27" s="455"/>
      <c r="AU27" s="1239"/>
      <c r="AV27" s="1239"/>
      <c r="AW27" s="1239"/>
      <c r="AX27" s="1239"/>
      <c r="AY27" s="455"/>
      <c r="AZ27" s="455"/>
      <c r="BA27" s="1314"/>
      <c r="BB27" s="1239"/>
      <c r="BC27" s="169"/>
      <c r="BD27" s="1330"/>
      <c r="BE27" s="1330"/>
      <c r="BF27" s="1330"/>
      <c r="BG27" s="1330"/>
    </row>
    <row r="28" spans="1:59" ht="15.75" customHeight="1">
      <c r="A28" s="1239"/>
      <c r="B28" s="572" t="s">
        <v>3427</v>
      </c>
      <c r="C28" s="171">
        <f>+$C$26+$G$27</f>
        <v>85635.07</v>
      </c>
      <c r="D28" s="1239"/>
      <c r="E28" s="1239"/>
      <c r="F28" s="448">
        <v>0</v>
      </c>
      <c r="G28" s="455"/>
      <c r="H28" s="1239"/>
      <c r="I28" s="448"/>
      <c r="J28" s="171"/>
      <c r="K28" s="1239"/>
      <c r="L28" s="1239" t="s">
        <v>229</v>
      </c>
      <c r="M28" s="1239" t="str">
        <f>IF(AX28="PT",VLOOKUP(L28,'Foundation Calculation'!$V$2:$X$40,VLOOKUP(AX28,'Foundation Calculation'!$I$10:$J$13,2,FALSE),0),IF(AX28="K",VLOOKUP(L28,'Foundation Calculation'!$V$42:$X$80,VLOOKUP(AX28,'Foundation Calculation'!$I$10:$J$13,2,FALSE),0),""))</f>
        <v>C3R</v>
      </c>
      <c r="N28" s="1239" t="s">
        <v>143</v>
      </c>
      <c r="O28" s="1239"/>
      <c r="P28" s="1239"/>
      <c r="Q28" s="1239">
        <v>0</v>
      </c>
      <c r="R28" s="1239">
        <v>0</v>
      </c>
      <c r="S28" s="455"/>
      <c r="T28" s="1285">
        <v>-35</v>
      </c>
      <c r="U28" s="1285"/>
      <c r="V28" s="1285"/>
      <c r="W28" s="1285">
        <v>1.4</v>
      </c>
      <c r="X28" s="1285"/>
      <c r="Y28" s="1285"/>
      <c r="Z28" s="1285"/>
      <c r="AA28" s="1285"/>
      <c r="AB28" s="1285"/>
      <c r="AC28" s="1285" t="s">
        <v>4090</v>
      </c>
      <c r="AD28" s="1285"/>
      <c r="AE28" s="1285"/>
      <c r="AF28" s="1285">
        <v>6000</v>
      </c>
      <c r="AG28" s="1350">
        <v>85635</v>
      </c>
      <c r="AH28" s="1285">
        <v>2033</v>
      </c>
      <c r="AI28" s="1285">
        <v>350</v>
      </c>
      <c r="AJ28" s="1239"/>
      <c r="AK28" s="1239"/>
      <c r="AL28" s="1239"/>
      <c r="AM28" s="1239" t="s">
        <v>1042</v>
      </c>
      <c r="AN28" s="455">
        <v>5.5</v>
      </c>
      <c r="AO28" s="1239"/>
      <c r="AP28" s="1239"/>
      <c r="AQ28" s="455"/>
      <c r="AR28" s="1239"/>
      <c r="AS28" s="1239"/>
      <c r="AT28" s="455">
        <f>+ab($T$28,$T$26,$T$30,$G$27,$G$29,-1*$F$28,1200)</f>
        <v>-8.1162073500296401</v>
      </c>
      <c r="AU28" s="1239"/>
      <c r="AV28" s="1239"/>
      <c r="AW28" s="1239" t="str">
        <f>VLOOKUP(C28,'Foundation Calculation'!$A$2:$C$33,3,1)</f>
        <v>Soil B</v>
      </c>
      <c r="AX28" s="1239" t="str">
        <f>VLOOKUP(C28,'Foundation Calculation'!$E$2:$G$33,3,1)</f>
        <v>PT</v>
      </c>
      <c r="AY28" s="455">
        <f>IF(AX28="PT",VLOOKUP(L28,'Foundation Calculation'!$K$2:$R$40,VLOOKUP(AW28,'Foundation Calculation'!$I$2:$J$8,2,FALSE),0),IF(AX28="K",VLOOKUP(L28,'Foundation Calculation'!$K$42:$R$80,VLOOKUP(AW28,'Foundation Calculation'!$I$2:$J$8,2,FALSE),0),""))</f>
        <v>3.5</v>
      </c>
      <c r="AZ28" s="455"/>
      <c r="BA28" s="671" t="s">
        <v>2809</v>
      </c>
      <c r="BB28" s="1239" t="str">
        <f>Pole_Calculations!A15</f>
        <v>App.7-V11A-P9.5.1.1</v>
      </c>
      <c r="BC28" s="169"/>
      <c r="BD28" s="1329"/>
      <c r="BE28" s="1329"/>
      <c r="BF28" s="1330"/>
      <c r="BG28" s="1329"/>
    </row>
    <row r="29" spans="1:59" ht="15.75" customHeight="1">
      <c r="A29" s="1239"/>
      <c r="B29" s="1239"/>
      <c r="C29" s="171"/>
      <c r="D29" s="1239"/>
      <c r="E29" s="1239"/>
      <c r="F29" s="448"/>
      <c r="G29" s="455">
        <v>55</v>
      </c>
      <c r="H29" s="1239"/>
      <c r="I29" s="448"/>
      <c r="J29" s="171"/>
      <c r="K29" s="1239"/>
      <c r="L29" s="1239"/>
      <c r="M29" s="1239"/>
      <c r="N29" s="1239"/>
      <c r="O29" s="1239"/>
      <c r="P29" s="1239"/>
      <c r="Q29" s="1239"/>
      <c r="R29" s="1239"/>
      <c r="S29" s="455">
        <f t="shared" ref="S29" si="11">AG30-AG28</f>
        <v>55</v>
      </c>
      <c r="T29" s="1239"/>
      <c r="U29" s="1239"/>
      <c r="V29" s="1239"/>
      <c r="W29" s="1239"/>
      <c r="X29" s="1239"/>
      <c r="Y29" s="1239"/>
      <c r="Z29" s="1239"/>
      <c r="AA29" s="1239"/>
      <c r="AB29" s="1239"/>
      <c r="AC29" s="1239"/>
      <c r="AD29" s="1239"/>
      <c r="AE29" s="1239"/>
      <c r="AF29" s="1239"/>
      <c r="AG29" s="171"/>
      <c r="AH29" s="1239"/>
      <c r="AI29" s="1239"/>
      <c r="AJ29" s="1239"/>
      <c r="AK29" s="1239"/>
      <c r="AL29" s="1239"/>
      <c r="AM29" s="1239"/>
      <c r="AN29" s="455"/>
      <c r="AO29" s="1239"/>
      <c r="AP29" s="1239"/>
      <c r="AQ29" s="455">
        <f>+FL_2($T$30,$T$28,$G$29,1200,9.28,-1*$F$30)</f>
        <v>-0.40772017018181816</v>
      </c>
      <c r="AR29" s="1239"/>
      <c r="AS29" s="1239"/>
      <c r="AT29" s="455"/>
      <c r="AU29" s="1239"/>
      <c r="AV29" s="1239"/>
      <c r="AW29" s="1239"/>
      <c r="AX29" s="1239"/>
      <c r="AY29" s="455"/>
      <c r="AZ29" s="455"/>
      <c r="BA29" s="1314"/>
      <c r="BB29" s="1239"/>
      <c r="BC29" s="169"/>
      <c r="BD29" s="1330"/>
      <c r="BE29" s="1330"/>
      <c r="BF29" s="1330"/>
      <c r="BG29" s="1330"/>
    </row>
    <row r="30" spans="1:59" ht="15.75" customHeight="1">
      <c r="A30" s="1239"/>
      <c r="B30" s="714" t="s">
        <v>3428</v>
      </c>
      <c r="C30" s="171">
        <f>+$C$28+$G$29</f>
        <v>85690.07</v>
      </c>
      <c r="D30" s="1239"/>
      <c r="E30" s="1239"/>
      <c r="F30" s="448">
        <v>0</v>
      </c>
      <c r="G30" s="455"/>
      <c r="H30" s="1239"/>
      <c r="I30" s="448"/>
      <c r="J30" s="171"/>
      <c r="K30" s="1239"/>
      <c r="L30" s="1239" t="s">
        <v>229</v>
      </c>
      <c r="M30" s="1239" t="str">
        <f>IF(AX30="PT",VLOOKUP(L30,'Foundation Calculation'!$V$2:$X$40,VLOOKUP(AX30,'Foundation Calculation'!$I$10:$J$13,2,FALSE),0),IF(AX30="K",VLOOKUP(L30,'Foundation Calculation'!$V$42:$X$80,VLOOKUP(AX30,'Foundation Calculation'!$I$10:$J$13,2,FALSE),0),""))</f>
        <v>C3R</v>
      </c>
      <c r="N30" s="1239" t="s">
        <v>144</v>
      </c>
      <c r="O30" s="1239"/>
      <c r="P30" s="1239"/>
      <c r="Q30" s="1239">
        <v>0</v>
      </c>
      <c r="R30" s="1239">
        <v>0</v>
      </c>
      <c r="S30" s="455"/>
      <c r="T30" s="1285">
        <v>30</v>
      </c>
      <c r="U30" s="1285"/>
      <c r="V30" s="1285"/>
      <c r="W30" s="1285">
        <v>1.4</v>
      </c>
      <c r="X30" s="1285"/>
      <c r="Y30" s="1285"/>
      <c r="Z30" s="1285"/>
      <c r="AA30" s="1285"/>
      <c r="AB30" s="1285"/>
      <c r="AC30" s="1285" t="s">
        <v>4090</v>
      </c>
      <c r="AD30" s="1285"/>
      <c r="AE30" s="1285"/>
      <c r="AF30" s="1285">
        <v>6000</v>
      </c>
      <c r="AG30" s="1350">
        <v>85690</v>
      </c>
      <c r="AH30" s="1285">
        <v>4443</v>
      </c>
      <c r="AI30" s="1285">
        <v>710</v>
      </c>
      <c r="AJ30" s="1239"/>
      <c r="AK30" s="1239"/>
      <c r="AL30" s="1239"/>
      <c r="AM30" s="1239" t="s">
        <v>1042</v>
      </c>
      <c r="AN30" s="455">
        <v>5.5</v>
      </c>
      <c r="AO30" s="1239"/>
      <c r="AP30" s="1239"/>
      <c r="AQ30" s="455"/>
      <c r="AR30" s="1239"/>
      <c r="AS30" s="1239"/>
      <c r="AT30" s="455">
        <f>+ab($T$30,$T$28,$T$32,$G$29,$G$31,-1*$F$30,1200)</f>
        <v>8.5054550613883215</v>
      </c>
      <c r="AU30" s="1239"/>
      <c r="AV30" s="1239"/>
      <c r="AW30" s="1239" t="str">
        <f>VLOOKUP(C30,'Foundation Calculation'!$A$2:$C$33,3,1)</f>
        <v>Soil B</v>
      </c>
      <c r="AX30" s="1239" t="str">
        <f>VLOOKUP(C30,'Foundation Calculation'!$E$2:$G$33,3,1)</f>
        <v>PT</v>
      </c>
      <c r="AY30" s="455">
        <f>IF(AX30="PT",VLOOKUP(L30,'Foundation Calculation'!$K$2:$R$40,VLOOKUP(AW30,'Foundation Calculation'!$I$2:$J$8,2,FALSE),0),IF(AX30="K",VLOOKUP(L30,'Foundation Calculation'!$K$42:$R$80,VLOOKUP(AW30,'Foundation Calculation'!$I$2:$J$8,2,FALSE),0),""))</f>
        <v>3.5</v>
      </c>
      <c r="AZ30" s="455"/>
      <c r="BA30" s="671" t="s">
        <v>2809</v>
      </c>
      <c r="BB30" s="1239" t="str">
        <f>Pole_Calculations!A15</f>
        <v>App.7-V11A-P9.5.1.1</v>
      </c>
      <c r="BC30" s="169"/>
      <c r="BD30" s="1329"/>
      <c r="BE30" s="1329"/>
      <c r="BF30" s="1330"/>
      <c r="BG30" s="1329"/>
    </row>
    <row r="31" spans="1:59" ht="15.75" customHeight="1">
      <c r="A31" s="1239"/>
      <c r="B31" s="1239"/>
      <c r="C31" s="171"/>
      <c r="D31" s="1239"/>
      <c r="E31" s="1239"/>
      <c r="F31" s="448"/>
      <c r="G31" s="455">
        <v>52</v>
      </c>
      <c r="H31" s="1239"/>
      <c r="I31" s="448"/>
      <c r="J31" s="171">
        <f>C32-7.5</f>
        <v>85734.57</v>
      </c>
      <c r="K31" s="1239" t="s">
        <v>2882</v>
      </c>
      <c r="L31" s="1239"/>
      <c r="M31" s="1239"/>
      <c r="N31" s="1239"/>
      <c r="O31" s="1239"/>
      <c r="P31" s="1239"/>
      <c r="Q31" s="1239"/>
      <c r="R31" s="1239"/>
      <c r="S31" s="455">
        <f t="shared" ref="S31" si="12">AG32-AG30</f>
        <v>44</v>
      </c>
      <c r="T31" s="1239"/>
      <c r="U31" s="1239"/>
      <c r="V31" s="1239"/>
      <c r="W31" s="1239"/>
      <c r="X31" s="1239"/>
      <c r="Y31" s="1239"/>
      <c r="Z31" s="1239"/>
      <c r="AA31" s="1239"/>
      <c r="AB31" s="1239"/>
      <c r="AC31" s="1239"/>
      <c r="AD31" s="1239"/>
      <c r="AE31" s="1239"/>
      <c r="AF31" s="1239"/>
      <c r="AG31" s="171"/>
      <c r="AH31" s="1239"/>
      <c r="AI31" s="1239"/>
      <c r="AJ31" s="1239"/>
      <c r="AK31" s="1239"/>
      <c r="AL31" s="1239"/>
      <c r="AM31" s="1239"/>
      <c r="AN31" s="455"/>
      <c r="AO31" s="1239"/>
      <c r="AP31" s="1239"/>
      <c r="AQ31" s="455">
        <f>+FL_1($T$32,$T$30,$G$31,1200,9.28,-1*$F$32)</f>
        <v>0.35871724635897423</v>
      </c>
      <c r="AR31" s="1239"/>
      <c r="AS31" s="1239"/>
      <c r="AT31" s="455"/>
      <c r="AU31" s="1239"/>
      <c r="AV31" s="1239"/>
      <c r="AW31" s="638" t="str">
        <f>VLOOKUP(J31,'Foundation Calculation'!$A$2:$C$33,3,1)</f>
        <v>Soil B</v>
      </c>
      <c r="AX31" s="638" t="str">
        <f>VLOOKUP(J31,'Foundation Calculation'!$E$2:$G$33,3,1)</f>
        <v>PT</v>
      </c>
      <c r="AY31" s="484"/>
      <c r="AZ31" s="484">
        <v>3.9</v>
      </c>
      <c r="BA31" s="671" t="s">
        <v>2809</v>
      </c>
      <c r="BB31" s="1239"/>
      <c r="BC31" s="169"/>
      <c r="BD31" s="1329"/>
      <c r="BE31" s="1330"/>
      <c r="BF31" s="1330"/>
      <c r="BG31" s="1330"/>
    </row>
    <row r="32" spans="1:59" ht="15.75" customHeight="1">
      <c r="A32" s="1239"/>
      <c r="B32" s="714" t="s">
        <v>3429</v>
      </c>
      <c r="C32" s="171">
        <f>+$C$30+$G$31</f>
        <v>85742.07</v>
      </c>
      <c r="D32" s="1239"/>
      <c r="E32" s="1239"/>
      <c r="F32" s="448">
        <v>0</v>
      </c>
      <c r="G32" s="455"/>
      <c r="H32" s="1239" t="s">
        <v>138</v>
      </c>
      <c r="I32" s="448" t="s">
        <v>623</v>
      </c>
      <c r="J32" s="171"/>
      <c r="K32" s="1239"/>
      <c r="L32" s="1239" t="s">
        <v>898</v>
      </c>
      <c r="M32" s="1239" t="str">
        <f>IF(AX32="PT",VLOOKUP(L32,'Foundation Calculation'!$V$2:$X$40,VLOOKUP(AX32,'Foundation Calculation'!$I$10:$J$13,2,FALSE),0),IF(AX32="K",VLOOKUP(L32,'Foundation Calculation'!$V$42:$X$80,VLOOKUP(AX32,'Foundation Calculation'!$I$10:$J$13,2,FALSE),0),""))</f>
        <v>C4R</v>
      </c>
      <c r="N32" s="1239" t="s">
        <v>143</v>
      </c>
      <c r="O32" s="1239"/>
      <c r="P32" s="1239"/>
      <c r="Q32" s="1239">
        <v>0</v>
      </c>
      <c r="R32" s="1239">
        <v>0</v>
      </c>
      <c r="S32" s="455"/>
      <c r="T32" s="1285">
        <v>-25</v>
      </c>
      <c r="U32" s="1285"/>
      <c r="V32" s="1285"/>
      <c r="W32" s="1285">
        <v>1.4</v>
      </c>
      <c r="X32" s="1285"/>
      <c r="Y32" s="1285"/>
      <c r="Z32" s="1285"/>
      <c r="AA32" s="1285"/>
      <c r="AB32" s="1285"/>
      <c r="AC32" s="1285" t="s">
        <v>4115</v>
      </c>
      <c r="AD32" s="1285"/>
      <c r="AE32" s="1285"/>
      <c r="AF32" s="1285">
        <v>6000</v>
      </c>
      <c r="AG32" s="1350">
        <v>85734</v>
      </c>
      <c r="AH32" s="1285">
        <v>1783</v>
      </c>
      <c r="AI32" s="1285">
        <v>330</v>
      </c>
      <c r="AJ32" s="1239"/>
      <c r="AK32" s="1239"/>
      <c r="AL32" s="1239"/>
      <c r="AM32" s="1239" t="s">
        <v>1042</v>
      </c>
      <c r="AN32" s="455">
        <v>5.5</v>
      </c>
      <c r="AO32" s="1239"/>
      <c r="AP32" s="1239"/>
      <c r="AQ32" s="455"/>
      <c r="AR32" s="1239"/>
      <c r="AS32" s="1239"/>
      <c r="AT32" s="455">
        <f>+ab($T$32,$T$30,$T$34,$G$31,$G$33,-1*$F$32,1200)</f>
        <v>-8.6114711809687048</v>
      </c>
      <c r="AU32" s="1239"/>
      <c r="AV32" s="1239"/>
      <c r="AW32" s="1239" t="str">
        <f>VLOOKUP(C32,'Foundation Calculation'!$A$2:$C$33,3,1)</f>
        <v>Soil B</v>
      </c>
      <c r="AX32" s="1239" t="str">
        <f>VLOOKUP(C32,'Foundation Calculation'!$E$2:$G$33,3,1)</f>
        <v>PT</v>
      </c>
      <c r="AY32" s="455">
        <f>IF(AX32="PT",VLOOKUP(L32,'Foundation Calculation'!$K$2:$R$40,VLOOKUP(AW32,'Foundation Calculation'!$I$2:$J$8,2,FALSE),0),IF(AX32="K",VLOOKUP(L32,'Foundation Calculation'!$K$42:$R$80,VLOOKUP(AW32,'Foundation Calculation'!$I$2:$J$8,2,FALSE),0),""))</f>
        <v>3.5</v>
      </c>
      <c r="AZ32" s="455"/>
      <c r="BA32" s="671" t="s">
        <v>2809</v>
      </c>
      <c r="BB32" s="1239" t="str">
        <f>Pole_Calculations!A20</f>
        <v>App.7-V11A-P9.5.1.6</v>
      </c>
      <c r="BC32" s="169"/>
      <c r="BD32" s="1329"/>
      <c r="BE32" s="1329"/>
      <c r="BF32" s="1330"/>
      <c r="BG32" s="1329"/>
    </row>
    <row r="33" spans="1:59" ht="15.75" customHeight="1">
      <c r="A33" s="1239"/>
      <c r="B33" s="1239"/>
      <c r="C33" s="171"/>
      <c r="D33" s="1239"/>
      <c r="E33" s="1239"/>
      <c r="F33" s="448"/>
      <c r="G33" s="455">
        <v>52</v>
      </c>
      <c r="H33" s="1239"/>
      <c r="I33" s="448"/>
      <c r="J33" s="171"/>
      <c r="K33" s="1239"/>
      <c r="L33" s="1239"/>
      <c r="M33" s="1239"/>
      <c r="N33" s="1239"/>
      <c r="O33" s="1239"/>
      <c r="P33" s="1239"/>
      <c r="Q33" s="1239"/>
      <c r="R33" s="1239"/>
      <c r="S33" s="455">
        <f t="shared" ref="S33" si="13">AG34-AG32</f>
        <v>60</v>
      </c>
      <c r="T33" s="1239"/>
      <c r="U33" s="1239"/>
      <c r="V33" s="1239"/>
      <c r="W33" s="1239"/>
      <c r="X33" s="1239"/>
      <c r="Y33" s="1239"/>
      <c r="Z33" s="1239"/>
      <c r="AA33" s="1239"/>
      <c r="AB33" s="1239"/>
      <c r="AC33" s="1239"/>
      <c r="AD33" s="1239"/>
      <c r="AE33" s="1239"/>
      <c r="AF33" s="1239"/>
      <c r="AG33" s="1350"/>
      <c r="AH33" s="1285"/>
      <c r="AI33" s="1285"/>
      <c r="AJ33" s="1239"/>
      <c r="AK33" s="1239"/>
      <c r="AL33" s="1239"/>
      <c r="AM33" s="1239"/>
      <c r="AN33" s="455"/>
      <c r="AO33" s="1239"/>
      <c r="AP33" s="1239"/>
      <c r="AQ33" s="455">
        <f>+FL_2($U$34,$T$32,$G$33,1200,9.28,-1*$F$34)</f>
        <v>-0.34964416153846156</v>
      </c>
      <c r="AR33" s="1239"/>
      <c r="AS33" s="1239"/>
      <c r="AT33" s="455"/>
      <c r="AU33" s="1239"/>
      <c r="AV33" s="1239"/>
      <c r="AW33" s="1239"/>
      <c r="AX33" s="1239"/>
      <c r="AY33" s="455"/>
      <c r="AZ33" s="455"/>
      <c r="BA33" s="1314"/>
      <c r="BB33" s="1239"/>
      <c r="BC33" s="169"/>
      <c r="BD33" s="1330"/>
      <c r="BE33" s="1330"/>
      <c r="BF33" s="1330"/>
      <c r="BG33" s="1330"/>
    </row>
    <row r="34" spans="1:59" ht="15.75" customHeight="1">
      <c r="A34" s="1239"/>
      <c r="B34" s="572" t="s">
        <v>3430</v>
      </c>
      <c r="C34" s="171">
        <f>+$C$32+$G$33</f>
        <v>85794.07</v>
      </c>
      <c r="D34" s="1239"/>
      <c r="E34" s="1239"/>
      <c r="F34" s="448">
        <v>0</v>
      </c>
      <c r="G34" s="455"/>
      <c r="H34" s="1239" t="s">
        <v>619</v>
      </c>
      <c r="I34" s="448"/>
      <c r="J34" s="171"/>
      <c r="K34" s="1239"/>
      <c r="L34" s="1239" t="s">
        <v>895</v>
      </c>
      <c r="M34" s="1239" t="str">
        <f>IF(AX34="PT",VLOOKUP(L34,'Foundation Calculation'!$V$2:$X$40,VLOOKUP(AX34,'Foundation Calculation'!$I$10:$J$13,2,FALSE),0),IF(AX34="K",VLOOKUP(L34,'Foundation Calculation'!$V$42:$X$80,VLOOKUP(AX34,'Foundation Calculation'!$I$10:$J$13,2,FALSE),0),""))</f>
        <v>2C3R</v>
      </c>
      <c r="N34" s="1239" t="s">
        <v>140</v>
      </c>
      <c r="O34" s="1239" t="s">
        <v>144</v>
      </c>
      <c r="P34" s="1239"/>
      <c r="Q34" s="1239">
        <v>0</v>
      </c>
      <c r="R34" s="1239">
        <v>0</v>
      </c>
      <c r="S34" s="1352"/>
      <c r="T34" s="1285">
        <v>35</v>
      </c>
      <c r="U34" s="1285">
        <v>15</v>
      </c>
      <c r="V34" s="1285"/>
      <c r="W34" s="1285">
        <v>1.4</v>
      </c>
      <c r="X34" s="1285">
        <v>2.2999999999999998</v>
      </c>
      <c r="Y34" s="1285"/>
      <c r="Z34" s="1285">
        <v>0.6</v>
      </c>
      <c r="AA34" s="1285"/>
      <c r="AB34" s="1285"/>
      <c r="AC34" s="1285" t="s">
        <v>1421</v>
      </c>
      <c r="AD34" s="1285"/>
      <c r="AE34" s="1285"/>
      <c r="AF34" s="1285">
        <v>6000</v>
      </c>
      <c r="AG34" s="1350">
        <v>85794</v>
      </c>
      <c r="AH34" s="1285">
        <v>1923</v>
      </c>
      <c r="AI34" s="1285">
        <v>440</v>
      </c>
      <c r="AJ34" s="1239"/>
      <c r="AK34" s="1239"/>
      <c r="AL34" s="1239"/>
      <c r="AM34" s="1239" t="s">
        <v>1042</v>
      </c>
      <c r="AN34" s="455">
        <v>5.5</v>
      </c>
      <c r="AO34" s="1239"/>
      <c r="AP34" s="1239"/>
      <c r="AQ34" s="455"/>
      <c r="AR34" s="1239"/>
      <c r="AS34" s="1239"/>
      <c r="AT34" s="455">
        <f>+ab($U$34,$T$32,$U$36,$G$33,$G$35,-1*$F$34,1200)</f>
        <v>11.80416587022178</v>
      </c>
      <c r="AU34" s="1239"/>
      <c r="AV34" s="1239"/>
      <c r="AW34" s="1239" t="str">
        <f>VLOOKUP(C34,'Foundation Calculation'!$A$2:$C$33,3,1)</f>
        <v>Soil B</v>
      </c>
      <c r="AX34" s="1239" t="str">
        <f>VLOOKUP(C34,'Foundation Calculation'!$E$2:$G$33,3,1)</f>
        <v>PT</v>
      </c>
      <c r="AY34" s="455">
        <f>IF(AX34="PT",VLOOKUP(L34,'Foundation Calculation'!$K$2:$R$40,VLOOKUP(AW34,'Foundation Calculation'!$I$2:$J$8,2,FALSE),0),IF(AX34="K",VLOOKUP(L34,'Foundation Calculation'!$K$42:$R$80,VLOOKUP(AW34,'Foundation Calculation'!$I$2:$J$8,2,FALSE),0),""))</f>
        <v>3.5</v>
      </c>
      <c r="AZ34" s="455"/>
      <c r="BA34" s="671" t="s">
        <v>2809</v>
      </c>
      <c r="BB34" s="1239" t="str">
        <f>Pole_Calculations!A19</f>
        <v>App.7-V11A-P9.5.1.5</v>
      </c>
      <c r="BC34" s="169"/>
      <c r="BD34" s="1329"/>
      <c r="BE34" s="1329"/>
      <c r="BF34" s="1330"/>
      <c r="BG34" s="1329"/>
    </row>
    <row r="35" spans="1:59" ht="15.75" customHeight="1">
      <c r="A35" s="1239"/>
      <c r="B35" s="1239"/>
      <c r="C35" s="171"/>
      <c r="D35" s="1239"/>
      <c r="E35" s="1239"/>
      <c r="F35" s="448"/>
      <c r="G35" s="455">
        <v>60</v>
      </c>
      <c r="H35" s="1239"/>
      <c r="I35" s="448"/>
      <c r="J35" s="171"/>
      <c r="K35" s="1239"/>
      <c r="L35" s="1239"/>
      <c r="M35" s="1239"/>
      <c r="N35" s="1239"/>
      <c r="O35" s="1239"/>
      <c r="P35" s="1239"/>
      <c r="Q35" s="1239"/>
      <c r="R35" s="1239"/>
      <c r="S35" s="455">
        <f t="shared" ref="S35" si="14">AG36-AG34</f>
        <v>60</v>
      </c>
      <c r="T35" s="1239"/>
      <c r="U35" s="1239"/>
      <c r="V35" s="1239"/>
      <c r="W35" s="1239"/>
      <c r="X35" s="1239"/>
      <c r="Y35" s="1239"/>
      <c r="Z35" s="1239"/>
      <c r="AA35" s="1239"/>
      <c r="AB35" s="1239"/>
      <c r="AC35" s="1239"/>
      <c r="AD35" s="1239"/>
      <c r="AE35" s="1239"/>
      <c r="AF35" s="1239"/>
      <c r="AG35" s="1350"/>
      <c r="AH35" s="1285"/>
      <c r="AI35" s="1285"/>
      <c r="AJ35" s="1239"/>
      <c r="AK35" s="1239"/>
      <c r="AL35" s="1239"/>
      <c r="AM35" s="1239"/>
      <c r="AN35" s="455"/>
      <c r="AO35" s="1239"/>
      <c r="AP35" s="1239"/>
      <c r="AQ35" s="455">
        <f>+FL_2($U$36,$U$34,$G$35,1200,9.28,-1*$F$36)</f>
        <v>-0.49289941866666664</v>
      </c>
      <c r="AR35" s="1239"/>
      <c r="AS35" s="1239"/>
      <c r="AT35" s="455"/>
      <c r="AU35" s="1239"/>
      <c r="AV35" s="1239"/>
      <c r="AW35" s="1239"/>
      <c r="AX35" s="1239"/>
      <c r="AY35" s="455"/>
      <c r="AZ35" s="455"/>
      <c r="BA35" s="1314"/>
      <c r="BB35" s="1239"/>
      <c r="BC35" s="169"/>
      <c r="BD35" s="1330"/>
      <c r="BE35" s="1330"/>
      <c r="BF35" s="1330"/>
      <c r="BG35" s="1330"/>
    </row>
    <row r="36" spans="1:59" ht="15.75" customHeight="1">
      <c r="A36" s="1239"/>
      <c r="B36" s="572" t="s">
        <v>3431</v>
      </c>
      <c r="C36" s="171">
        <f>+$C$34+$G$35</f>
        <v>85854.07</v>
      </c>
      <c r="D36" s="1239"/>
      <c r="E36" s="1239"/>
      <c r="F36" s="448">
        <v>0</v>
      </c>
      <c r="G36" s="455"/>
      <c r="H36" s="1239" t="s">
        <v>619</v>
      </c>
      <c r="I36" s="448"/>
      <c r="J36" s="171"/>
      <c r="K36" s="1239"/>
      <c r="L36" s="1239" t="s">
        <v>895</v>
      </c>
      <c r="M36" s="1239" t="str">
        <f>IF(AX36="PT",VLOOKUP(L36,'Foundation Calculation'!$V$2:$X$40,VLOOKUP(AX36,'Foundation Calculation'!$I$10:$J$13,2,FALSE),0),IF(AX36="K",VLOOKUP(L36,'Foundation Calculation'!$V$42:$X$80,VLOOKUP(AX36,'Foundation Calculation'!$I$10:$J$13,2,FALSE),0),""))</f>
        <v>2C3R</v>
      </c>
      <c r="N36" s="1239" t="s">
        <v>143</v>
      </c>
      <c r="O36" s="1239" t="s">
        <v>140</v>
      </c>
      <c r="P36" s="1239"/>
      <c r="Q36" s="1239">
        <v>0</v>
      </c>
      <c r="R36" s="1239">
        <v>0</v>
      </c>
      <c r="S36" s="455"/>
      <c r="T36" s="1285">
        <v>-15</v>
      </c>
      <c r="U36" s="1285">
        <v>-35</v>
      </c>
      <c r="V36" s="1285"/>
      <c r="W36" s="1285">
        <v>1.4</v>
      </c>
      <c r="X36" s="1285">
        <v>2.2999999999999998</v>
      </c>
      <c r="Y36" s="1285"/>
      <c r="Z36" s="1285"/>
      <c r="AA36" s="1285">
        <v>0.6</v>
      </c>
      <c r="AB36" s="1285"/>
      <c r="AC36" s="1285" t="s">
        <v>1421</v>
      </c>
      <c r="AD36" s="1285"/>
      <c r="AE36" s="1285"/>
      <c r="AF36" s="1285">
        <v>6000</v>
      </c>
      <c r="AG36" s="1350">
        <v>85854</v>
      </c>
      <c r="AH36" s="1285">
        <v>3503</v>
      </c>
      <c r="AI36" s="1285">
        <v>560</v>
      </c>
      <c r="AJ36" s="1239"/>
      <c r="AK36" s="1239"/>
      <c r="AL36" s="1239"/>
      <c r="AM36" s="1239" t="s">
        <v>1042</v>
      </c>
      <c r="AN36" s="455">
        <v>5.5</v>
      </c>
      <c r="AO36" s="1239"/>
      <c r="AP36" s="1239"/>
      <c r="AQ36" s="455"/>
      <c r="AR36" s="1239"/>
      <c r="AS36" s="1239"/>
      <c r="AT36" s="455">
        <f>+ab($T$36,$T$34,$T$38,$G$35,$G$37,-1*$F$36,1200)</f>
        <v>-11.804246052776424</v>
      </c>
      <c r="AU36" s="1239"/>
      <c r="AV36" s="1239"/>
      <c r="AW36" s="1239" t="str">
        <f>VLOOKUP(C36,'Foundation Calculation'!$A$2:$C$33,3,1)</f>
        <v>Soil B</v>
      </c>
      <c r="AX36" s="1239" t="str">
        <f>VLOOKUP(C36,'Foundation Calculation'!$E$2:$G$33,3,1)</f>
        <v>PT</v>
      </c>
      <c r="AY36" s="455">
        <f>IF(AX36="PT",VLOOKUP(L36,'Foundation Calculation'!$K$2:$R$40,VLOOKUP(AW36,'Foundation Calculation'!$I$2:$J$8,2,FALSE),0),IF(AX36="K",VLOOKUP(L36,'Foundation Calculation'!$K$42:$R$80,VLOOKUP(AW36,'Foundation Calculation'!$I$2:$J$8,2,FALSE),0),""))</f>
        <v>3.5</v>
      </c>
      <c r="AZ36" s="455"/>
      <c r="BA36" s="671" t="s">
        <v>2809</v>
      </c>
      <c r="BB36" s="1239" t="str">
        <f>Pole_Calculations!A45</f>
        <v>App.7-V11A-P9.5.4.5</v>
      </c>
      <c r="BC36" s="169"/>
      <c r="BD36" s="1329"/>
      <c r="BE36" s="1329"/>
      <c r="BF36" s="1330"/>
      <c r="BG36" s="1329"/>
    </row>
    <row r="37" spans="1:59" ht="15.75" customHeight="1">
      <c r="A37" s="1239"/>
      <c r="B37" s="1239"/>
      <c r="C37" s="171"/>
      <c r="D37" s="1239"/>
      <c r="E37" s="1239"/>
      <c r="F37" s="448"/>
      <c r="G37" s="455">
        <v>52</v>
      </c>
      <c r="H37" s="1239"/>
      <c r="I37" s="448"/>
      <c r="J37" s="171"/>
      <c r="K37" s="1239"/>
      <c r="L37" s="1239"/>
      <c r="M37" s="1239"/>
      <c r="N37" s="1239"/>
      <c r="O37" s="1239"/>
      <c r="P37" s="1239"/>
      <c r="Q37" s="1239"/>
      <c r="R37" s="1239"/>
      <c r="S37" s="455">
        <f t="shared" ref="S37" si="15">AG38-AG36</f>
        <v>52</v>
      </c>
      <c r="T37" s="1239"/>
      <c r="U37" s="1239"/>
      <c r="V37" s="1239"/>
      <c r="W37" s="1239"/>
      <c r="X37" s="1239"/>
      <c r="Y37" s="1239"/>
      <c r="Z37" s="1239"/>
      <c r="AA37" s="1239"/>
      <c r="AB37" s="1239"/>
      <c r="AC37" s="1239"/>
      <c r="AD37" s="1239"/>
      <c r="AE37" s="1239"/>
      <c r="AF37" s="1239"/>
      <c r="AG37" s="1350"/>
      <c r="AH37" s="1285"/>
      <c r="AI37" s="1285"/>
      <c r="AJ37" s="1239"/>
      <c r="AK37" s="1239"/>
      <c r="AL37" s="1239"/>
      <c r="AM37" s="1239"/>
      <c r="AN37" s="455"/>
      <c r="AO37" s="1239"/>
      <c r="AP37" s="1239"/>
      <c r="AQ37" s="455">
        <f>+FL_1($T$38,$T$36,$G$37,1200,9.28,-1*$F$38)</f>
        <v>0.34964416153846151</v>
      </c>
      <c r="AR37" s="1239"/>
      <c r="AS37" s="1239"/>
      <c r="AT37" s="455"/>
      <c r="AU37" s="1239"/>
      <c r="AV37" s="1239"/>
      <c r="AW37" s="1239"/>
      <c r="AX37" s="1239"/>
      <c r="AY37" s="455"/>
      <c r="AZ37" s="455"/>
      <c r="BA37" s="1314"/>
      <c r="BB37" s="1239"/>
      <c r="BC37" s="169"/>
      <c r="BD37" s="1330"/>
      <c r="BE37" s="1330"/>
      <c r="BF37" s="1330"/>
      <c r="BG37" s="1330"/>
    </row>
    <row r="38" spans="1:59" ht="15.75" customHeight="1">
      <c r="A38" s="1239"/>
      <c r="B38" s="572" t="s">
        <v>3432</v>
      </c>
      <c r="C38" s="171">
        <f>+$C$36+$G$37</f>
        <v>85906.07</v>
      </c>
      <c r="D38" s="1239"/>
      <c r="E38" s="1239"/>
      <c r="F38" s="448">
        <v>0</v>
      </c>
      <c r="G38" s="455"/>
      <c r="H38" s="1239" t="s">
        <v>138</v>
      </c>
      <c r="I38" s="448" t="s">
        <v>623</v>
      </c>
      <c r="J38" s="171"/>
      <c r="K38" s="1239"/>
      <c r="L38" s="1239" t="s">
        <v>898</v>
      </c>
      <c r="M38" s="1239" t="str">
        <f>IF(AX38="PT",VLOOKUP(L38,'Foundation Calculation'!$V$2:$X$40,VLOOKUP(AX38,'Foundation Calculation'!$I$10:$J$13,2,FALSE),0),IF(AX38="K",VLOOKUP(L38,'Foundation Calculation'!$V$42:$X$80,VLOOKUP(AX38,'Foundation Calculation'!$I$10:$J$13,2,FALSE),0),""))</f>
        <v>C4R</v>
      </c>
      <c r="N38" s="1239" t="s">
        <v>144</v>
      </c>
      <c r="O38" s="1239"/>
      <c r="P38" s="1239"/>
      <c r="Q38" s="1239">
        <v>0</v>
      </c>
      <c r="R38" s="1239">
        <v>0</v>
      </c>
      <c r="S38" s="455"/>
      <c r="T38" s="1285">
        <v>25</v>
      </c>
      <c r="U38" s="1285"/>
      <c r="V38" s="1285"/>
      <c r="W38" s="1285">
        <v>1.4</v>
      </c>
      <c r="X38" s="1285"/>
      <c r="Y38" s="1285"/>
      <c r="Z38" s="1285"/>
      <c r="AA38" s="1285"/>
      <c r="AB38" s="1285"/>
      <c r="AC38" s="1285" t="s">
        <v>1421</v>
      </c>
      <c r="AD38" s="1285"/>
      <c r="AE38" s="1285"/>
      <c r="AF38" s="1285">
        <v>6000</v>
      </c>
      <c r="AG38" s="1350">
        <v>85906</v>
      </c>
      <c r="AH38" s="1285">
        <v>3343</v>
      </c>
      <c r="AI38" s="1285">
        <v>610</v>
      </c>
      <c r="AJ38" s="1239"/>
      <c r="AK38" s="1239"/>
      <c r="AL38" s="1239"/>
      <c r="AM38" s="1239" t="s">
        <v>1042</v>
      </c>
      <c r="AN38" s="455">
        <v>5.5</v>
      </c>
      <c r="AO38" s="1239"/>
      <c r="AP38" s="1239"/>
      <c r="AQ38" s="455"/>
      <c r="AR38" s="1239"/>
      <c r="AS38" s="1239"/>
      <c r="AT38" s="455">
        <f>+ab($T$38,$T$36,$T$40,$G$37,$G$39,-1*$F$38,1200)</f>
        <v>9.652167398423682</v>
      </c>
      <c r="AU38" s="1239"/>
      <c r="AV38" s="1239"/>
      <c r="AW38" s="1239" t="str">
        <f>VLOOKUP(C38,'Foundation Calculation'!$A$2:$C$33,3,1)</f>
        <v>Soil B</v>
      </c>
      <c r="AX38" s="1239" t="str">
        <f>VLOOKUP(C38,'Foundation Calculation'!$E$2:$G$33,3,1)</f>
        <v>PT</v>
      </c>
      <c r="AY38" s="455">
        <f>IF(AX38="PT",VLOOKUP(L38,'Foundation Calculation'!$K$2:$R$40,VLOOKUP(AW38,'Foundation Calculation'!$I$2:$J$8,2,FALSE),0),IF(AX38="K",VLOOKUP(L38,'Foundation Calculation'!$K$42:$R$80,VLOOKUP(AW38,'Foundation Calculation'!$I$2:$J$8,2,FALSE),0),""))</f>
        <v>3.5</v>
      </c>
      <c r="AZ38" s="455"/>
      <c r="BA38" s="671" t="s">
        <v>2809</v>
      </c>
      <c r="BB38" s="1239" t="str">
        <f>Pole_Calculations!A46</f>
        <v>App.7-V11A-P9.5.4.6</v>
      </c>
      <c r="BC38" s="169"/>
      <c r="BD38" s="1329"/>
      <c r="BE38" s="1329"/>
      <c r="BF38" s="1330"/>
      <c r="BG38" s="1329"/>
    </row>
    <row r="39" spans="1:59" ht="15.75" customHeight="1">
      <c r="A39" s="647" t="s">
        <v>3049</v>
      </c>
      <c r="B39" s="647"/>
      <c r="C39" s="652"/>
      <c r="D39" s="647"/>
      <c r="E39" s="647"/>
      <c r="F39" s="650"/>
      <c r="G39" s="651">
        <v>50</v>
      </c>
      <c r="H39" s="647"/>
      <c r="I39" s="650"/>
      <c r="J39" s="652">
        <f>C38+7.5</f>
        <v>85913.57</v>
      </c>
      <c r="K39" s="647" t="s">
        <v>2787</v>
      </c>
      <c r="L39" s="647"/>
      <c r="M39" s="647"/>
      <c r="N39" s="647"/>
      <c r="O39" s="647"/>
      <c r="P39" s="647"/>
      <c r="Q39" s="647"/>
      <c r="R39" s="647"/>
      <c r="S39" s="651">
        <f t="shared" ref="S39" si="16">AG40-AG38</f>
        <v>50</v>
      </c>
      <c r="T39" s="647"/>
      <c r="U39" s="647"/>
      <c r="V39" s="647"/>
      <c r="W39" s="647"/>
      <c r="X39" s="647"/>
      <c r="Y39" s="647"/>
      <c r="Z39" s="647"/>
      <c r="AA39" s="647"/>
      <c r="AB39" s="647"/>
      <c r="AC39" s="647"/>
      <c r="AD39" s="647"/>
      <c r="AE39" s="647"/>
      <c r="AF39" s="647"/>
      <c r="AG39" s="652"/>
      <c r="AH39" s="647"/>
      <c r="AI39" s="647"/>
      <c r="AJ39" s="647"/>
      <c r="AK39" s="647"/>
      <c r="AL39" s="647"/>
      <c r="AM39" s="647"/>
      <c r="AN39" s="651"/>
      <c r="AO39" s="647"/>
      <c r="AP39" s="647"/>
      <c r="AQ39" s="651">
        <f>+FL_2($T$40,$T$38,$G$39,1200,9.28,-1*$F$40)</f>
        <v>-0.384770112</v>
      </c>
      <c r="AR39" s="647"/>
      <c r="AS39" s="647"/>
      <c r="AT39" s="651"/>
      <c r="AU39" s="647"/>
      <c r="AV39" s="647"/>
      <c r="AW39" s="653" t="str">
        <f>VLOOKUP(J39,'Foundation Calculation'!$A$2:$C$33,3,1)</f>
        <v>Soil B</v>
      </c>
      <c r="AX39" s="653" t="str">
        <f>VLOOKUP(J39,'Foundation Calculation'!$E$2:$G$33,3,1)</f>
        <v>PT</v>
      </c>
      <c r="AY39" s="654"/>
      <c r="AZ39" s="654">
        <f>IF(AX39="PT",VLOOKUP(K39,'Foundation Calculation'!$K$2:$R$40,VLOOKUP(AW39,'Foundation Calculation'!$I$2:$J$8,2,FALSE),0),IF(AX39="K",VLOOKUP(K39,'Foundation Calculation'!$K$42:$R$80,VLOOKUP(AW39,'Foundation Calculation'!$I$2:$J$8,2,FALSE),0),""))</f>
        <v>3.9</v>
      </c>
      <c r="BA39" s="701" t="s">
        <v>2809</v>
      </c>
      <c r="BB39" s="647"/>
      <c r="BC39" s="169"/>
      <c r="BD39" s="1329"/>
      <c r="BE39" s="1330"/>
      <c r="BF39" s="1330"/>
      <c r="BG39" s="1330"/>
    </row>
    <row r="40" spans="1:59" ht="15.75" customHeight="1">
      <c r="A40" s="1239"/>
      <c r="B40" s="572" t="s">
        <v>3433</v>
      </c>
      <c r="C40" s="171">
        <f>+$C$38+$G$39</f>
        <v>85956.07</v>
      </c>
      <c r="D40" s="1239"/>
      <c r="E40" s="1239"/>
      <c r="F40" s="448">
        <v>0</v>
      </c>
      <c r="G40" s="455"/>
      <c r="H40" s="1239"/>
      <c r="I40" s="448"/>
      <c r="J40" s="171"/>
      <c r="K40" s="1239"/>
      <c r="L40" s="1239" t="s">
        <v>229</v>
      </c>
      <c r="M40" s="1239" t="str">
        <f>IF(AX40="PT",VLOOKUP(L40,'Foundation Calculation'!$V$2:$X$40,VLOOKUP(AX40,'Foundation Calculation'!$I$10:$J$13,2,FALSE),0),IF(AX40="K",VLOOKUP(L40,'Foundation Calculation'!$V$42:$X$80,VLOOKUP(AX40,'Foundation Calculation'!$I$10:$J$13,2,FALSE),0),""))</f>
        <v>C3R</v>
      </c>
      <c r="N40" s="1239" t="s">
        <v>143</v>
      </c>
      <c r="O40" s="1239"/>
      <c r="P40" s="1239"/>
      <c r="Q40" s="1239">
        <v>0</v>
      </c>
      <c r="R40" s="1239">
        <v>0</v>
      </c>
      <c r="S40" s="455"/>
      <c r="T40" s="1285">
        <v>-35</v>
      </c>
      <c r="U40" s="1285"/>
      <c r="V40" s="1285"/>
      <c r="W40" s="1285">
        <v>1.4</v>
      </c>
      <c r="X40" s="1285"/>
      <c r="Y40" s="1285"/>
      <c r="Z40" s="1285"/>
      <c r="AA40" s="1285"/>
      <c r="AB40" s="1285"/>
      <c r="AC40" s="1285" t="s">
        <v>4090</v>
      </c>
      <c r="AD40" s="1285"/>
      <c r="AE40" s="1285"/>
      <c r="AF40" s="1285">
        <v>6000</v>
      </c>
      <c r="AG40" s="1350">
        <v>85956</v>
      </c>
      <c r="AH40" s="1285">
        <v>3093</v>
      </c>
      <c r="AI40" s="1285">
        <v>370</v>
      </c>
      <c r="AJ40" s="1239"/>
      <c r="AK40" s="1239"/>
      <c r="AL40" s="1239"/>
      <c r="AM40" s="1239" t="s">
        <v>1042</v>
      </c>
      <c r="AN40" s="455">
        <v>5.42</v>
      </c>
      <c r="AO40" s="1239"/>
      <c r="AP40" s="1239"/>
      <c r="AQ40" s="455"/>
      <c r="AR40" s="1239"/>
      <c r="AS40" s="1239"/>
      <c r="AT40" s="455">
        <f>+ab($T$40,$T$38,$T$42,$G$39,$G$41,-1*$F$40,1200)</f>
        <v>-6.4771124974025991</v>
      </c>
      <c r="AU40" s="1239"/>
      <c r="AV40" s="1239"/>
      <c r="AW40" s="1239" t="str">
        <f>VLOOKUP(C40,'Foundation Calculation'!$A$2:$C$33,3,1)</f>
        <v>Soil B</v>
      </c>
      <c r="AX40" s="1239" t="str">
        <f>VLOOKUP(C40,'Foundation Calculation'!$E$2:$G$33,3,1)</f>
        <v>PT</v>
      </c>
      <c r="AY40" s="455">
        <f>IF(AX40="PT",VLOOKUP(L40,'Foundation Calculation'!$K$2:$R$40,VLOOKUP(AW40,'Foundation Calculation'!$I$2:$J$8,2,FALSE),0),IF(AX40="K",VLOOKUP(L40,'Foundation Calculation'!$K$42:$R$80,VLOOKUP(AW40,'Foundation Calculation'!$I$2:$J$8,2,FALSE),0),""))</f>
        <v>3.5</v>
      </c>
      <c r="AZ40" s="455"/>
      <c r="BA40" s="671" t="s">
        <v>2809</v>
      </c>
      <c r="BB40" s="1239" t="str">
        <f>Pole_Calculations!A41</f>
        <v>App.7-V11A-P9.5.4.1</v>
      </c>
      <c r="BC40" s="169"/>
      <c r="BD40" s="1329"/>
      <c r="BE40" s="1329"/>
      <c r="BF40" s="1330"/>
      <c r="BG40" s="1329"/>
    </row>
    <row r="41" spans="1:59" ht="15.75" customHeight="1">
      <c r="A41" s="1239"/>
      <c r="B41" s="1239"/>
      <c r="C41" s="171"/>
      <c r="D41" s="1239"/>
      <c r="E41" s="1239"/>
      <c r="F41" s="448"/>
      <c r="G41" s="455">
        <v>40</v>
      </c>
      <c r="H41" s="1239"/>
      <c r="I41" s="448"/>
      <c r="J41" s="171"/>
      <c r="K41" s="1239"/>
      <c r="L41" s="1239"/>
      <c r="M41" s="1239"/>
      <c r="N41" s="1239"/>
      <c r="O41" s="1239"/>
      <c r="P41" s="1239"/>
      <c r="Q41" s="1239"/>
      <c r="R41" s="1239"/>
      <c r="S41" s="455">
        <f t="shared" ref="S41" si="17">AG42-AG40</f>
        <v>40</v>
      </c>
      <c r="T41" s="1239"/>
      <c r="U41" s="1239"/>
      <c r="V41" s="1239"/>
      <c r="W41" s="1239"/>
      <c r="X41" s="1239"/>
      <c r="Y41" s="1239"/>
      <c r="Z41" s="1239"/>
      <c r="AA41" s="1239"/>
      <c r="AB41" s="1239"/>
      <c r="AC41" s="1239"/>
      <c r="AD41" s="1239"/>
      <c r="AE41" s="1239"/>
      <c r="AF41" s="1239"/>
      <c r="AG41" s="1350"/>
      <c r="AH41" s="1285"/>
      <c r="AI41" s="1285"/>
      <c r="AJ41" s="1239"/>
      <c r="AK41" s="1239"/>
      <c r="AL41" s="1239"/>
      <c r="AM41" s="1239"/>
      <c r="AN41" s="455"/>
      <c r="AO41" s="1239"/>
      <c r="AP41" s="1239"/>
      <c r="AQ41" s="455">
        <f>+FL_2($T$42,$T$40,$G$41,1200,9.28,-1*$F$42)</f>
        <v>-0.35000000000000125</v>
      </c>
      <c r="AR41" s="1239"/>
      <c r="AS41" s="1239"/>
      <c r="AT41" s="455"/>
      <c r="AU41" s="1239"/>
      <c r="AV41" s="1239"/>
      <c r="AW41" s="1239"/>
      <c r="AX41" s="1239"/>
      <c r="AY41" s="455"/>
      <c r="AZ41" s="455"/>
      <c r="BA41" s="1314"/>
      <c r="BB41" s="1239"/>
      <c r="BC41" s="169"/>
      <c r="BD41" s="1330"/>
      <c r="BE41" s="1330"/>
      <c r="BF41" s="1330"/>
      <c r="BG41" s="1330"/>
    </row>
    <row r="42" spans="1:59" ht="15.75" customHeight="1">
      <c r="A42" s="1239"/>
      <c r="B42" s="572" t="s">
        <v>3434</v>
      </c>
      <c r="C42" s="171">
        <f>+$C$40+$G$41</f>
        <v>85996.07</v>
      </c>
      <c r="D42" s="1239"/>
      <c r="E42" s="1239"/>
      <c r="F42" s="448">
        <v>0</v>
      </c>
      <c r="G42" s="455"/>
      <c r="H42" s="1239"/>
      <c r="I42" s="448"/>
      <c r="J42" s="171"/>
      <c r="K42" s="1239"/>
      <c r="L42" s="1239" t="s">
        <v>229</v>
      </c>
      <c r="M42" s="1239" t="str">
        <f>IF(AX42="PT",VLOOKUP(L42,'Foundation Calculation'!$V$2:$X$40,VLOOKUP(AX42,'Foundation Calculation'!$I$10:$J$13,2,FALSE),0),IF(AX42="K",VLOOKUP(L42,'Foundation Calculation'!$V$42:$X$80,VLOOKUP(AX42,'Foundation Calculation'!$I$10:$J$13,2,FALSE),0),""))</f>
        <v>C3R</v>
      </c>
      <c r="N42" s="1239" t="s">
        <v>144</v>
      </c>
      <c r="O42" s="1239"/>
      <c r="P42" s="1239"/>
      <c r="Q42" s="1239">
        <v>0</v>
      </c>
      <c r="R42" s="1239">
        <v>0</v>
      </c>
      <c r="S42" s="455"/>
      <c r="T42" s="1285">
        <v>35</v>
      </c>
      <c r="U42" s="1285"/>
      <c r="V42" s="1285"/>
      <c r="W42" s="1285">
        <v>1.4</v>
      </c>
      <c r="X42" s="1285"/>
      <c r="Y42" s="1285"/>
      <c r="Z42" s="1285"/>
      <c r="AA42" s="1285"/>
      <c r="AB42" s="1285"/>
      <c r="AC42" s="1285" t="s">
        <v>4090</v>
      </c>
      <c r="AD42" s="1285"/>
      <c r="AE42" s="1285"/>
      <c r="AF42" s="1285">
        <v>6000</v>
      </c>
      <c r="AG42" s="1350">
        <v>85996</v>
      </c>
      <c r="AH42" s="1285">
        <v>3113</v>
      </c>
      <c r="AI42" s="1285">
        <v>470</v>
      </c>
      <c r="AJ42" s="1239"/>
      <c r="AK42" s="1239"/>
      <c r="AL42" s="1239"/>
      <c r="AM42" s="1239" t="s">
        <v>1042</v>
      </c>
      <c r="AN42" s="455">
        <v>5.32</v>
      </c>
      <c r="AO42" s="1239"/>
      <c r="AP42" s="1239"/>
      <c r="AQ42" s="455"/>
      <c r="AR42" s="1239"/>
      <c r="AS42" s="1239"/>
      <c r="AT42" s="455">
        <f>+ab($T$42,$T$40,$T$44,$G$41,$G$43,-1*$F$42,1200)</f>
        <v>5.8836140222763529</v>
      </c>
      <c r="AU42" s="1239"/>
      <c r="AV42" s="1239"/>
      <c r="AW42" s="1239" t="str">
        <f>VLOOKUP(C42,'Foundation Calculation'!$A$2:$C$33,3,1)</f>
        <v>Soil B</v>
      </c>
      <c r="AX42" s="1239" t="str">
        <f>VLOOKUP(C42,'Foundation Calculation'!$E$2:$G$33,3,1)</f>
        <v>PT</v>
      </c>
      <c r="AY42" s="455">
        <f>IF(AX42="PT",VLOOKUP(L42,'Foundation Calculation'!$K$2:$R$40,VLOOKUP(AW42,'Foundation Calculation'!$I$2:$J$8,2,FALSE),0),IF(AX42="K",VLOOKUP(L42,'Foundation Calculation'!$K$42:$R$80,VLOOKUP(AW42,'Foundation Calculation'!$I$2:$J$8,2,FALSE),0),""))</f>
        <v>3.5</v>
      </c>
      <c r="AZ42" s="455"/>
      <c r="BA42" s="671" t="s">
        <v>2809</v>
      </c>
      <c r="BB42" s="1239" t="str">
        <f>Pole_Calculations!A41</f>
        <v>App.7-V11A-P9.5.4.1</v>
      </c>
      <c r="BC42" s="169"/>
      <c r="BD42" s="1329"/>
      <c r="BE42" s="1329"/>
      <c r="BF42" s="1330"/>
      <c r="BG42" s="1329"/>
    </row>
    <row r="43" spans="1:59" ht="15.75" customHeight="1">
      <c r="A43" s="1239"/>
      <c r="B43" s="1239"/>
      <c r="C43" s="171"/>
      <c r="D43" s="1239"/>
      <c r="E43" s="1239"/>
      <c r="F43" s="448"/>
      <c r="G43" s="455">
        <v>40</v>
      </c>
      <c r="H43" s="1239"/>
      <c r="I43" s="448"/>
      <c r="J43" s="171"/>
      <c r="K43" s="1239"/>
      <c r="L43" s="1239"/>
      <c r="M43" s="1239"/>
      <c r="N43" s="1239"/>
      <c r="O43" s="1239"/>
      <c r="P43" s="1239"/>
      <c r="Q43" s="1239"/>
      <c r="R43" s="1239"/>
      <c r="S43" s="455">
        <f t="shared" ref="S43" si="18">AG44-AG42</f>
        <v>40</v>
      </c>
      <c r="T43" s="1239"/>
      <c r="U43" s="1239"/>
      <c r="V43" s="1239"/>
      <c r="W43" s="1239"/>
      <c r="X43" s="1239"/>
      <c r="Y43" s="1239"/>
      <c r="Z43" s="1239"/>
      <c r="AA43" s="1239"/>
      <c r="AB43" s="1239"/>
      <c r="AC43" s="1239"/>
      <c r="AD43" s="1239"/>
      <c r="AE43" s="1239"/>
      <c r="AF43" s="1239"/>
      <c r="AG43" s="1350"/>
      <c r="AH43" s="1285"/>
      <c r="AI43" s="1285"/>
      <c r="AJ43" s="1239"/>
      <c r="AK43" s="1239"/>
      <c r="AL43" s="1239"/>
      <c r="AM43" s="1239"/>
      <c r="AN43" s="455"/>
      <c r="AO43" s="1239"/>
      <c r="AP43" s="1239"/>
      <c r="AQ43" s="455">
        <f>+FL_1($T$44,$T$42,$G$43,1200,9.28,-1*$F$44)</f>
        <v>0.34999999999999959</v>
      </c>
      <c r="AR43" s="1239"/>
      <c r="AS43" s="1239"/>
      <c r="AT43" s="455"/>
      <c r="AU43" s="1239"/>
      <c r="AV43" s="1239"/>
      <c r="AW43" s="1239"/>
      <c r="AX43" s="1239"/>
      <c r="AY43" s="455"/>
      <c r="AZ43" s="455"/>
      <c r="BA43" s="1314"/>
      <c r="BB43" s="1239"/>
      <c r="BC43" s="169"/>
      <c r="BD43" s="1330"/>
      <c r="BE43" s="1330"/>
      <c r="BF43" s="1330"/>
      <c r="BG43" s="1330"/>
    </row>
    <row r="44" spans="1:59" ht="15.75" customHeight="1">
      <c r="A44" s="1239"/>
      <c r="B44" s="572" t="s">
        <v>3435</v>
      </c>
      <c r="C44" s="171">
        <f>+$C$42+$G$43</f>
        <v>86036.07</v>
      </c>
      <c r="D44" s="1239"/>
      <c r="E44" s="1239"/>
      <c r="F44" s="448">
        <f>(537^2)/(86002.78-C44)</f>
        <v>-8662.33103033732</v>
      </c>
      <c r="G44" s="455"/>
      <c r="H44" s="1239"/>
      <c r="I44" s="448"/>
      <c r="J44" s="171"/>
      <c r="K44" s="1239"/>
      <c r="L44" s="1239" t="s">
        <v>229</v>
      </c>
      <c r="M44" s="1239" t="str">
        <f>IF(AX44="PT",VLOOKUP(L44,'Foundation Calculation'!$V$2:$X$40,VLOOKUP(AX44,'Foundation Calculation'!$I$10:$J$13,2,FALSE),0),IF(AX44="K",VLOOKUP(L44,'Foundation Calculation'!$V$42:$X$80,VLOOKUP(AX44,'Foundation Calculation'!$I$10:$J$13,2,FALSE),0),""))</f>
        <v>C3R</v>
      </c>
      <c r="N44" s="1239" t="s">
        <v>143</v>
      </c>
      <c r="O44" s="1239"/>
      <c r="P44" s="1239"/>
      <c r="Q44" s="1239">
        <v>10</v>
      </c>
      <c r="R44" s="1239">
        <v>9651.2000000000007</v>
      </c>
      <c r="S44" s="455"/>
      <c r="T44" s="1285">
        <v>-25</v>
      </c>
      <c r="U44" s="1285"/>
      <c r="V44" s="1285"/>
      <c r="W44" s="1285">
        <v>1.2</v>
      </c>
      <c r="X44" s="1285"/>
      <c r="Y44" s="1285"/>
      <c r="Z44" s="1285"/>
      <c r="AA44" s="1285"/>
      <c r="AB44" s="1285"/>
      <c r="AC44" s="1285" t="s">
        <v>1421</v>
      </c>
      <c r="AD44" s="1285"/>
      <c r="AE44" s="1285"/>
      <c r="AF44" s="1285">
        <v>5800</v>
      </c>
      <c r="AG44" s="1350">
        <v>86036</v>
      </c>
      <c r="AH44" s="1285">
        <v>3203</v>
      </c>
      <c r="AI44" s="1285">
        <v>350</v>
      </c>
      <c r="AJ44" s="1239"/>
      <c r="AK44" s="1239"/>
      <c r="AL44" s="1239"/>
      <c r="AM44" s="1239" t="s">
        <v>1042</v>
      </c>
      <c r="AN44" s="455">
        <v>5.22</v>
      </c>
      <c r="AO44" s="1239"/>
      <c r="AP44" s="1239"/>
      <c r="AQ44" s="455"/>
      <c r="AR44" s="1239"/>
      <c r="AS44" s="1239"/>
      <c r="AT44" s="455">
        <f>+ab($T$44,$T$42,$T$46,$G$43,$G$45,-1*$F$44,1200)</f>
        <v>-9.8468216688233916</v>
      </c>
      <c r="AU44" s="1239"/>
      <c r="AV44" s="1239"/>
      <c r="AW44" s="1239" t="str">
        <f>VLOOKUP(C44,'Foundation Calculation'!$A$2:$C$33,3,1)</f>
        <v>Soil B</v>
      </c>
      <c r="AX44" s="1239" t="str">
        <f>VLOOKUP(C44,'Foundation Calculation'!$E$2:$G$33,3,1)</f>
        <v>PT</v>
      </c>
      <c r="AY44" s="455">
        <f>IF(AX44="PT",VLOOKUP(L44,'Foundation Calculation'!$K$2:$R$40,VLOOKUP(AW44,'Foundation Calculation'!$I$2:$J$8,2,FALSE),0),IF(AX44="K",VLOOKUP(L44,'Foundation Calculation'!$K$42:$R$80,VLOOKUP(AW44,'Foundation Calculation'!$I$2:$J$8,2,FALSE),0),""))</f>
        <v>3.5</v>
      </c>
      <c r="AZ44" s="455"/>
      <c r="BA44" s="671" t="s">
        <v>2809</v>
      </c>
      <c r="BB44" s="1239" t="str">
        <f>Pole_Calculations!A41</f>
        <v>App.7-V11A-P9.5.4.1</v>
      </c>
      <c r="BC44" s="169"/>
      <c r="BD44" s="1329"/>
      <c r="BE44" s="1329"/>
      <c r="BF44" s="1330"/>
      <c r="BG44" s="1329"/>
    </row>
    <row r="45" spans="1:59" ht="15.75" customHeight="1">
      <c r="A45" s="1239"/>
      <c r="B45" s="445"/>
      <c r="C45" s="446"/>
      <c r="D45" s="448"/>
      <c r="E45" s="448"/>
      <c r="F45" s="448"/>
      <c r="G45" s="455">
        <v>48</v>
      </c>
      <c r="H45" s="1239"/>
      <c r="I45" s="448"/>
      <c r="J45" s="446"/>
      <c r="K45" s="638"/>
      <c r="L45" s="638"/>
      <c r="M45" s="638"/>
      <c r="N45" s="1239"/>
      <c r="O45" s="1239"/>
      <c r="P45" s="1239"/>
      <c r="Q45" s="1239"/>
      <c r="R45" s="1239"/>
      <c r="S45" s="455">
        <f t="shared" ref="S45" si="19">AG46-AG44</f>
        <v>48</v>
      </c>
      <c r="T45" s="1239"/>
      <c r="U45" s="1239"/>
      <c r="V45" s="1239"/>
      <c r="W45" s="1239"/>
      <c r="X45" s="1239"/>
      <c r="Y45" s="1239"/>
      <c r="Z45" s="1239"/>
      <c r="AA45" s="1239"/>
      <c r="AB45" s="1239"/>
      <c r="AC45" s="1239"/>
      <c r="AD45" s="1239"/>
      <c r="AE45" s="1239"/>
      <c r="AF45" s="1239"/>
      <c r="AG45" s="1350"/>
      <c r="AH45" s="1285"/>
      <c r="AI45" s="1285"/>
      <c r="AJ45" s="638"/>
      <c r="AK45" s="1239"/>
      <c r="AL45" s="638"/>
      <c r="AM45" s="1239"/>
      <c r="AN45" s="455"/>
      <c r="AO45" s="1239"/>
      <c r="AP45" s="1239"/>
      <c r="AQ45" s="484">
        <f>+FL_2($T$46,$T$44,$G$45,1200,9.28,-1*$F$46)</f>
        <v>-0.37055194380933149</v>
      </c>
      <c r="AR45" s="638"/>
      <c r="AS45" s="638"/>
      <c r="AT45" s="484"/>
      <c r="AU45" s="638"/>
      <c r="AV45" s="638"/>
      <c r="AW45" s="484"/>
      <c r="AX45" s="484"/>
      <c r="AY45" s="484"/>
      <c r="AZ45" s="484"/>
      <c r="BA45" s="671"/>
      <c r="BB45" s="1239"/>
      <c r="BC45" s="169"/>
      <c r="BD45" s="1330"/>
      <c r="BE45" s="1330"/>
      <c r="BF45" s="1330"/>
      <c r="BG45" s="1330"/>
    </row>
    <row r="46" spans="1:59" ht="15.75" customHeight="1">
      <c r="A46" s="1239"/>
      <c r="B46" s="485" t="s">
        <v>3436</v>
      </c>
      <c r="C46" s="446">
        <f>+$C$44+$G$45</f>
        <v>86084.07</v>
      </c>
      <c r="D46" s="448"/>
      <c r="E46" s="448"/>
      <c r="F46" s="448">
        <f>(537^2)/(86002.78-C46)</f>
        <v>-3547.4105055968889</v>
      </c>
      <c r="G46" s="455"/>
      <c r="H46" s="1239"/>
      <c r="I46" s="448"/>
      <c r="J46" s="446"/>
      <c r="K46" s="638"/>
      <c r="L46" s="638" t="s">
        <v>229</v>
      </c>
      <c r="M46" s="1239" t="str">
        <f>IF(AX46="PT",VLOOKUP(L46,'Foundation Calculation'!$V$2:$X$40,VLOOKUP(AX46,'Foundation Calculation'!$I$10:$J$13,2,FALSE),0),IF(AX46="K",VLOOKUP(L46,'Foundation Calculation'!$V$42:$X$80,VLOOKUP(AX46,'Foundation Calculation'!$I$10:$J$13,2,FALSE),0),""))</f>
        <v>C3R</v>
      </c>
      <c r="N46" s="1239" t="s">
        <v>144</v>
      </c>
      <c r="O46" s="1239"/>
      <c r="P46" s="1239"/>
      <c r="Q46" s="1239">
        <v>30</v>
      </c>
      <c r="R46" s="1239">
        <v>3720.06</v>
      </c>
      <c r="S46" s="455"/>
      <c r="T46" s="1285">
        <v>20</v>
      </c>
      <c r="U46" s="1285"/>
      <c r="V46" s="1285"/>
      <c r="W46" s="1285">
        <v>1</v>
      </c>
      <c r="X46" s="1285"/>
      <c r="Y46" s="1285"/>
      <c r="Z46" s="1285"/>
      <c r="AA46" s="1285"/>
      <c r="AB46" s="1285"/>
      <c r="AC46" s="1285" t="s">
        <v>1421</v>
      </c>
      <c r="AD46" s="1285"/>
      <c r="AE46" s="1285"/>
      <c r="AF46" s="1285">
        <v>6000</v>
      </c>
      <c r="AG46" s="1350">
        <v>86084</v>
      </c>
      <c r="AH46" s="1285">
        <v>3283</v>
      </c>
      <c r="AI46" s="1285">
        <v>650</v>
      </c>
      <c r="AJ46" s="638"/>
      <c r="AK46" s="1239"/>
      <c r="AL46" s="638"/>
      <c r="AM46" s="1239" t="s">
        <v>1042</v>
      </c>
      <c r="AN46" s="455">
        <v>5.15</v>
      </c>
      <c r="AO46" s="1239"/>
      <c r="AP46" s="1239"/>
      <c r="AQ46" s="484"/>
      <c r="AR46" s="484"/>
      <c r="AS46" s="484"/>
      <c r="AT46" s="484">
        <f>+ab($T$46,$T$44,$T$48,$G$45,$G$47,-1*$F$46,1200)</f>
        <v>9.137309241227582</v>
      </c>
      <c r="AU46" s="638"/>
      <c r="AV46" s="638"/>
      <c r="AW46" s="1239" t="str">
        <f>VLOOKUP(C46,'Foundation Calculation'!$A$2:$C$33,3,1)</f>
        <v>Soil B</v>
      </c>
      <c r="AX46" s="1239" t="str">
        <f>VLOOKUP(C46,'Foundation Calculation'!$E$2:$G$33,3,1)</f>
        <v>PT</v>
      </c>
      <c r="AY46" s="455">
        <f>IF(AX46="PT",VLOOKUP(L46,'Foundation Calculation'!$K$2:$R$40,VLOOKUP(AW46,'Foundation Calculation'!$I$2:$J$8,2,FALSE),0),IF(AX46="K",VLOOKUP(L46,'Foundation Calculation'!$K$42:$R$80,VLOOKUP(AW46,'Foundation Calculation'!$I$2:$J$8,2,FALSE),0),""))</f>
        <v>3.5</v>
      </c>
      <c r="AZ46" s="455"/>
      <c r="BA46" s="671" t="s">
        <v>2809</v>
      </c>
      <c r="BB46" s="1239" t="str">
        <f>Pole_Calculations!A41</f>
        <v>App.7-V11A-P9.5.4.1</v>
      </c>
      <c r="BC46" s="169"/>
      <c r="BD46" s="1329"/>
      <c r="BE46" s="1329"/>
      <c r="BF46" s="1330"/>
      <c r="BG46" s="1329"/>
    </row>
    <row r="47" spans="1:59" ht="15.75" customHeight="1">
      <c r="A47" s="488" t="s">
        <v>1851</v>
      </c>
      <c r="B47" s="494"/>
      <c r="C47" s="489"/>
      <c r="D47" s="492"/>
      <c r="E47" s="492"/>
      <c r="F47" s="492"/>
      <c r="G47" s="457">
        <v>48</v>
      </c>
      <c r="H47" s="495"/>
      <c r="I47" s="492"/>
      <c r="J47" s="489"/>
      <c r="K47" s="490"/>
      <c r="L47" s="490"/>
      <c r="M47" s="490"/>
      <c r="N47" s="495"/>
      <c r="O47" s="495"/>
      <c r="P47" s="495"/>
      <c r="Q47" s="495"/>
      <c r="R47" s="495"/>
      <c r="S47" s="457">
        <f t="shared" ref="S47" si="20">AG48-AG46</f>
        <v>48</v>
      </c>
      <c r="T47" s="495"/>
      <c r="U47" s="495"/>
      <c r="V47" s="495"/>
      <c r="W47" s="495"/>
      <c r="X47" s="495"/>
      <c r="Y47" s="495"/>
      <c r="Z47" s="495"/>
      <c r="AA47" s="495"/>
      <c r="AB47" s="495"/>
      <c r="AC47" s="495"/>
      <c r="AD47" s="495"/>
      <c r="AE47" s="495"/>
      <c r="AF47" s="495"/>
      <c r="AG47" s="431"/>
      <c r="AH47" s="495"/>
      <c r="AI47" s="495"/>
      <c r="AJ47" s="490"/>
      <c r="AK47" s="495"/>
      <c r="AL47" s="490"/>
      <c r="AM47" s="495"/>
      <c r="AN47" s="457"/>
      <c r="AO47" s="495"/>
      <c r="AP47" s="495"/>
      <c r="AQ47" s="493">
        <f>+FL_1($T$48,$T$46,$G$47,1200,9.28,-1*$F$48)</f>
        <v>0.35026989283543691</v>
      </c>
      <c r="AR47" s="493"/>
      <c r="AS47" s="493"/>
      <c r="AT47" s="493"/>
      <c r="AU47" s="490"/>
      <c r="AV47" s="490"/>
      <c r="AW47" s="493"/>
      <c r="AX47" s="493"/>
      <c r="AY47" s="493"/>
      <c r="AZ47" s="493"/>
      <c r="BA47" s="602"/>
      <c r="BB47" s="488"/>
      <c r="BC47" s="169"/>
      <c r="BD47" s="1330"/>
      <c r="BE47" s="1330"/>
      <c r="BF47" s="1330"/>
      <c r="BG47" s="1330"/>
    </row>
    <row r="48" spans="1:59" ht="15.75" customHeight="1">
      <c r="A48" s="1239"/>
      <c r="B48" s="485" t="s">
        <v>3437</v>
      </c>
      <c r="C48" s="446">
        <f>+$C$46+$G$47</f>
        <v>86132.07</v>
      </c>
      <c r="D48" s="448"/>
      <c r="E48" s="448"/>
      <c r="F48" s="448">
        <f>(537^2)/(86002.78-C48)</f>
        <v>-2230.4045169771971</v>
      </c>
      <c r="G48" s="455"/>
      <c r="H48" s="1239"/>
      <c r="I48" s="448"/>
      <c r="J48" s="446"/>
      <c r="K48" s="638"/>
      <c r="L48" s="638" t="s">
        <v>230</v>
      </c>
      <c r="M48" s="1239" t="str">
        <f>IF(AX48="PT",VLOOKUP(L48,'Foundation Calculation'!$V$2:$X$40,VLOOKUP(AX48,'Foundation Calculation'!$I$10:$J$13,2,FALSE),0),IF(AX48="K",VLOOKUP(L48,'Foundation Calculation'!$V$42:$X$80,VLOOKUP(AX48,'Foundation Calculation'!$I$10:$J$13,2,FALSE),0),""))</f>
        <v>C4R</v>
      </c>
      <c r="N48" s="1239" t="s">
        <v>144</v>
      </c>
      <c r="O48" s="1239"/>
      <c r="P48" s="1239"/>
      <c r="Q48" s="1239">
        <v>70</v>
      </c>
      <c r="R48" s="1239">
        <v>2301.41</v>
      </c>
      <c r="S48" s="455"/>
      <c r="T48" s="1285">
        <v>30</v>
      </c>
      <c r="U48" s="1285"/>
      <c r="V48" s="1285"/>
      <c r="W48" s="1285">
        <v>1</v>
      </c>
      <c r="X48" s="1285"/>
      <c r="Y48" s="1285"/>
      <c r="Z48" s="1285"/>
      <c r="AA48" s="1285"/>
      <c r="AB48" s="1285"/>
      <c r="AC48" s="1285" t="s">
        <v>1421</v>
      </c>
      <c r="AD48" s="1285"/>
      <c r="AE48" s="1285"/>
      <c r="AF48" s="1285">
        <v>6000</v>
      </c>
      <c r="AG48" s="1350">
        <v>86132</v>
      </c>
      <c r="AH48" s="1285">
        <v>2103</v>
      </c>
      <c r="AI48" s="1285">
        <v>450</v>
      </c>
      <c r="AJ48" s="638"/>
      <c r="AK48" s="1239"/>
      <c r="AL48" s="638"/>
      <c r="AM48" s="1239" t="s">
        <v>1042</v>
      </c>
      <c r="AN48" s="455">
        <v>5.15</v>
      </c>
      <c r="AO48" s="1239"/>
      <c r="AP48" s="1239"/>
      <c r="AQ48" s="484"/>
      <c r="AR48" s="484"/>
      <c r="AS48" s="484"/>
      <c r="AT48" s="484">
        <f>+ab($T$48,$T$46,$T$50,$G$47,$G$49,-1*$F$48,1200)</f>
        <v>7.9933178850122166</v>
      </c>
      <c r="AU48" s="638"/>
      <c r="AV48" s="638"/>
      <c r="AW48" s="1239" t="str">
        <f>VLOOKUP(C48,'Foundation Calculation'!$A$2:$C$33,3,1)</f>
        <v>Soil B</v>
      </c>
      <c r="AX48" s="1239" t="str">
        <f>VLOOKUP(C48,'Foundation Calculation'!$E$2:$G$33,3,1)</f>
        <v>PT</v>
      </c>
      <c r="AY48" s="455">
        <f>IF(AX48="PT",VLOOKUP(L48,'Foundation Calculation'!$K$2:$R$40,VLOOKUP(AW48,'Foundation Calculation'!$I$2:$J$8,2,FALSE),0),IF(AX48="K",VLOOKUP(L48,'Foundation Calculation'!$K$42:$R$80,VLOOKUP(AW48,'Foundation Calculation'!$I$2:$J$8,2,FALSE),0),""))</f>
        <v>3.5</v>
      </c>
      <c r="AZ48" s="455"/>
      <c r="BA48" s="671" t="s">
        <v>2809</v>
      </c>
      <c r="BB48" s="1239" t="str">
        <f>Pole_Calculations!A15</f>
        <v>App.7-V11A-P9.5.1.1</v>
      </c>
      <c r="BC48" s="169"/>
      <c r="BD48" s="1329"/>
      <c r="BE48" s="1329"/>
      <c r="BF48" s="1330"/>
      <c r="BG48" s="1329"/>
    </row>
    <row r="49" spans="1:59" ht="15.75" customHeight="1">
      <c r="A49" s="1239" t="s">
        <v>4176</v>
      </c>
      <c r="B49" s="445"/>
      <c r="C49" s="446"/>
      <c r="D49" s="448"/>
      <c r="E49" s="448"/>
      <c r="F49" s="448"/>
      <c r="G49" s="455">
        <v>49.1</v>
      </c>
      <c r="H49" s="1239"/>
      <c r="I49" s="448"/>
      <c r="J49" s="446">
        <f>C50-7.5</f>
        <v>86173.670000000013</v>
      </c>
      <c r="K49" s="638" t="s">
        <v>2788</v>
      </c>
      <c r="L49" s="638"/>
      <c r="M49" s="638"/>
      <c r="N49" s="1239"/>
      <c r="O49" s="1239"/>
      <c r="P49" s="1239"/>
      <c r="Q49" s="1239"/>
      <c r="R49" s="1239"/>
      <c r="S49" s="455">
        <f t="shared" ref="S49" si="21">AG50-AG48</f>
        <v>49</v>
      </c>
      <c r="T49" s="1239"/>
      <c r="U49" s="1239"/>
      <c r="V49" s="1239"/>
      <c r="W49" s="1239"/>
      <c r="X49" s="1239"/>
      <c r="Y49" s="1239"/>
      <c r="Z49" s="1239"/>
      <c r="AA49" s="1239"/>
      <c r="AB49" s="1239"/>
      <c r="AC49" s="1239"/>
      <c r="AD49" s="1239"/>
      <c r="AE49" s="1239"/>
      <c r="AF49" s="1239"/>
      <c r="AG49" s="171"/>
      <c r="AH49" s="1239"/>
      <c r="AI49" s="1239"/>
      <c r="AJ49" s="638"/>
      <c r="AK49" s="1239"/>
      <c r="AL49" s="638"/>
      <c r="AM49" s="1239"/>
      <c r="AN49" s="455"/>
      <c r="AO49" s="1239"/>
      <c r="AP49" s="1239"/>
      <c r="AQ49" s="484">
        <f>+FL_1($T$50,$T$48,$G$49,1200,9.28,-1*$F$50)</f>
        <v>0.36561981911651886</v>
      </c>
      <c r="AR49" s="484"/>
      <c r="AS49" s="484"/>
      <c r="AT49" s="484"/>
      <c r="AU49" s="638"/>
      <c r="AV49" s="638"/>
      <c r="AW49" s="638" t="str">
        <f>VLOOKUP(J49,'Foundation Calculation'!$A$2:$C$33,3,1)</f>
        <v>Soil B</v>
      </c>
      <c r="AX49" s="638" t="str">
        <f>VLOOKUP(J49,'Foundation Calculation'!$E$2:$G$33,3,1)</f>
        <v>PT</v>
      </c>
      <c r="AY49" s="484"/>
      <c r="AZ49" s="484">
        <f>IF(AX49="PT",VLOOKUP(K49,'Foundation Calculation'!$K$2:$R$40,VLOOKUP(AW49,'Foundation Calculation'!$I$2:$J$8,2,FALSE),0),IF(AX49="K",VLOOKUP(K49,'Foundation Calculation'!$K$42:$R$80,VLOOKUP(AW49,'Foundation Calculation'!$I$2:$J$8,2,FALSE),0),""))</f>
        <v>2.8</v>
      </c>
      <c r="BA49" s="671" t="s">
        <v>2809</v>
      </c>
      <c r="BB49" s="1239"/>
      <c r="BC49" s="169"/>
      <c r="BD49" s="1329"/>
      <c r="BE49" s="1330"/>
      <c r="BF49" s="1330"/>
      <c r="BG49" s="1330"/>
    </row>
    <row r="50" spans="1:59" ht="15.75" customHeight="1">
      <c r="A50" s="1239"/>
      <c r="B50" s="485" t="s">
        <v>3438</v>
      </c>
      <c r="C50" s="446">
        <f>+$C$48+$G$49</f>
        <v>86181.170000000013</v>
      </c>
      <c r="D50" s="448"/>
      <c r="E50" s="448"/>
      <c r="F50" s="448">
        <v>-1800</v>
      </c>
      <c r="G50" s="455"/>
      <c r="H50" s="1239" t="s">
        <v>873</v>
      </c>
      <c r="I50" s="448"/>
      <c r="J50" s="446"/>
      <c r="K50" s="638"/>
      <c r="L50" s="638" t="s">
        <v>230</v>
      </c>
      <c r="M50" s="1239" t="str">
        <f>IF(AX50="PT",VLOOKUP(L50,'Foundation Calculation'!$V$2:$X$40,VLOOKUP(AX50,'Foundation Calculation'!$I$10:$J$13,2,FALSE),0),IF(AX50="K",VLOOKUP(L50,'Foundation Calculation'!$V$42:$X$80,VLOOKUP(AX50,'Foundation Calculation'!$I$10:$J$13,2,FALSE),0),""))</f>
        <v>C4R</v>
      </c>
      <c r="N50" s="1239" t="s">
        <v>144</v>
      </c>
      <c r="O50" s="1239"/>
      <c r="P50" s="1239"/>
      <c r="Q50" s="1239">
        <v>90</v>
      </c>
      <c r="R50" s="1239">
        <v>-1804.7</v>
      </c>
      <c r="S50" s="455"/>
      <c r="T50" s="1239">
        <v>30</v>
      </c>
      <c r="U50" s="1239"/>
      <c r="V50" s="1239"/>
      <c r="W50" s="1239">
        <v>1.2</v>
      </c>
      <c r="X50" s="1239"/>
      <c r="Y50" s="1239"/>
      <c r="Z50" s="1239"/>
      <c r="AA50" s="1239"/>
      <c r="AB50" s="1239"/>
      <c r="AC50" s="1239" t="s">
        <v>4090</v>
      </c>
      <c r="AD50" s="1239"/>
      <c r="AE50" s="1239"/>
      <c r="AF50" s="1239">
        <v>6000</v>
      </c>
      <c r="AG50" s="171">
        <v>86181</v>
      </c>
      <c r="AH50" s="1239">
        <v>4073</v>
      </c>
      <c r="AI50" s="1239">
        <v>860</v>
      </c>
      <c r="AJ50" s="638"/>
      <c r="AK50" s="1239"/>
      <c r="AL50" s="638"/>
      <c r="AM50" s="1239" t="s">
        <v>1042</v>
      </c>
      <c r="AN50" s="455">
        <v>5.15</v>
      </c>
      <c r="AO50" s="1239"/>
      <c r="AP50" s="1239"/>
      <c r="AQ50" s="484"/>
      <c r="AR50" s="484"/>
      <c r="AS50" s="484"/>
      <c r="AT50" s="484">
        <f>+ab($T$50,$T$48,$T$52,$G$49,$G$51,-1*$F$50,1200)</f>
        <v>6.8008529250193561</v>
      </c>
      <c r="AU50" s="638"/>
      <c r="AV50" s="638"/>
      <c r="AW50" s="1239" t="str">
        <f>VLOOKUP(C50,'Foundation Calculation'!$A$2:$C$33,3,1)</f>
        <v>Soil B</v>
      </c>
      <c r="AX50" s="1239" t="str">
        <f>VLOOKUP(C50,'Foundation Calculation'!$E$2:$G$33,3,1)</f>
        <v>PT</v>
      </c>
      <c r="AY50" s="455">
        <f>IF(AX50="PT",VLOOKUP(L50,'Foundation Calculation'!$K$2:$R$40,VLOOKUP(AW50,'Foundation Calculation'!$I$2:$J$8,2,FALSE),0),IF(AX50="K",VLOOKUP(L50,'Foundation Calculation'!$K$42:$R$80,VLOOKUP(AW50,'Foundation Calculation'!$I$2:$J$8,2,FALSE),0),""))</f>
        <v>3.5</v>
      </c>
      <c r="AZ50" s="455"/>
      <c r="BA50" s="671" t="s">
        <v>2809</v>
      </c>
      <c r="BB50" s="1239" t="str">
        <f>Pole_Calculations!A16</f>
        <v>App.7-V11A-P9.5.1.2</v>
      </c>
      <c r="BC50" s="169"/>
      <c r="BD50" s="1371"/>
      <c r="BE50" s="1371"/>
      <c r="BF50" s="1371"/>
      <c r="BG50" s="1371"/>
    </row>
    <row r="51" spans="1:59" ht="15.65" customHeight="1">
      <c r="A51" s="1239"/>
      <c r="B51" s="445"/>
      <c r="C51" s="446"/>
      <c r="D51" s="448"/>
      <c r="E51" s="448"/>
      <c r="F51" s="448"/>
      <c r="G51" s="455">
        <v>52</v>
      </c>
      <c r="H51" s="1239"/>
      <c r="I51" s="448">
        <f>C52-C32</f>
        <v>491.10000000000582</v>
      </c>
      <c r="J51" s="446"/>
      <c r="K51" s="638"/>
      <c r="L51" s="638"/>
      <c r="M51" s="638"/>
      <c r="N51" s="1239"/>
      <c r="O51" s="1239"/>
      <c r="P51" s="1239"/>
      <c r="Q51" s="1239"/>
      <c r="R51" s="1239"/>
      <c r="S51" s="455">
        <f t="shared" ref="S51" si="22">AG52-AG50</f>
        <v>52</v>
      </c>
      <c r="T51" s="1239"/>
      <c r="U51" s="1239"/>
      <c r="V51" s="1239"/>
      <c r="W51" s="1239"/>
      <c r="X51" s="1239"/>
      <c r="Y51" s="1239"/>
      <c r="Z51" s="1239"/>
      <c r="AA51" s="1239"/>
      <c r="AB51" s="1239"/>
      <c r="AC51" s="1239"/>
      <c r="AD51" s="1239"/>
      <c r="AE51" s="1239"/>
      <c r="AF51" s="1239"/>
      <c r="AG51" s="171"/>
      <c r="AH51" s="1239"/>
      <c r="AI51" s="1239"/>
      <c r="AJ51" s="638"/>
      <c r="AK51" s="1239"/>
      <c r="AL51" s="638"/>
      <c r="AM51" s="1239"/>
      <c r="AN51" s="455"/>
      <c r="AO51" s="1239"/>
      <c r="AP51" s="1239"/>
      <c r="AQ51" s="484">
        <f>+FL_1($T$52,$T$50,$G$51,1200,9.28,-1*$F$52)</f>
        <v>0.37359909328543772</v>
      </c>
      <c r="AR51" s="484"/>
      <c r="AS51" s="484"/>
      <c r="AT51" s="484"/>
      <c r="AU51" s="638"/>
      <c r="AV51" s="638"/>
      <c r="AW51" s="484"/>
      <c r="AX51" s="484"/>
      <c r="AY51" s="484"/>
      <c r="AZ51" s="484"/>
      <c r="BA51" s="671"/>
      <c r="BB51" s="1239"/>
      <c r="BC51" s="169"/>
      <c r="BD51" s="1330"/>
      <c r="BE51" s="1330"/>
      <c r="BF51" s="1330"/>
      <c r="BG51" s="1330"/>
    </row>
    <row r="52" spans="1:59" ht="15.75" customHeight="1">
      <c r="A52" s="1239"/>
      <c r="B52" s="485" t="s">
        <v>3439</v>
      </c>
      <c r="C52" s="446">
        <f>+$C$50+$G$51</f>
        <v>86233.170000000013</v>
      </c>
      <c r="D52" s="448"/>
      <c r="E52" s="448"/>
      <c r="F52" s="448">
        <v>-1800</v>
      </c>
      <c r="G52" s="455"/>
      <c r="H52" s="1239" t="s">
        <v>874</v>
      </c>
      <c r="I52" s="448"/>
      <c r="J52" s="446"/>
      <c r="K52" s="638"/>
      <c r="L52" s="638" t="s">
        <v>230</v>
      </c>
      <c r="M52" s="1239" t="str">
        <f>IF(AX52="PT",VLOOKUP(L52,'Foundation Calculation'!$V$2:$X$40,VLOOKUP(AX52,'Foundation Calculation'!$I$10:$J$13,2,FALSE),0),IF(AX52="K",VLOOKUP(L52,'Foundation Calculation'!$V$42:$X$80,VLOOKUP(AX52,'Foundation Calculation'!$I$10:$J$13,2,FALSE),0),""))</f>
        <v>C4R</v>
      </c>
      <c r="N52" s="1239" t="s">
        <v>144</v>
      </c>
      <c r="O52" s="1239"/>
      <c r="P52" s="1239"/>
      <c r="Q52" s="1239">
        <v>100</v>
      </c>
      <c r="R52" s="1239">
        <v>-1804.7</v>
      </c>
      <c r="S52" s="455"/>
      <c r="T52" s="1239">
        <v>30</v>
      </c>
      <c r="U52" s="1239"/>
      <c r="V52" s="1239"/>
      <c r="W52" s="1239">
        <v>1.4</v>
      </c>
      <c r="X52" s="1239"/>
      <c r="Y52" s="1239"/>
      <c r="Z52" s="1239"/>
      <c r="AA52" s="1239"/>
      <c r="AB52" s="1239"/>
      <c r="AC52" s="1239" t="s">
        <v>4090</v>
      </c>
      <c r="AD52" s="1239"/>
      <c r="AE52" s="1239"/>
      <c r="AF52" s="1239">
        <v>6000</v>
      </c>
      <c r="AG52" s="171">
        <v>86233</v>
      </c>
      <c r="AH52" s="1239">
        <v>3553</v>
      </c>
      <c r="AI52" s="1239">
        <v>270</v>
      </c>
      <c r="AJ52" s="638"/>
      <c r="AK52" s="1239"/>
      <c r="AL52" s="638"/>
      <c r="AM52" s="1239" t="s">
        <v>1042</v>
      </c>
      <c r="AN52" s="455">
        <v>5.15</v>
      </c>
      <c r="AO52" s="1239"/>
      <c r="AP52" s="1239"/>
      <c r="AQ52" s="484"/>
      <c r="AR52" s="484"/>
      <c r="AS52" s="484"/>
      <c r="AT52" s="484">
        <f>+ab($T$52,$T$50,$T$54,$G$51,$G$53,-1*$F$52,1200)</f>
        <v>6.4892195047312624</v>
      </c>
      <c r="AU52" s="638"/>
      <c r="AV52" s="638"/>
      <c r="AW52" s="1239" t="str">
        <f>VLOOKUP(C52,'Foundation Calculation'!$A$2:$C$33,3,1)</f>
        <v>Soil B</v>
      </c>
      <c r="AX52" s="1239" t="str">
        <f>VLOOKUP(C52,'Foundation Calculation'!$E$2:$G$33,3,1)</f>
        <v>PT</v>
      </c>
      <c r="AY52" s="455">
        <f>IF(AX52="PT",VLOOKUP(L52,'Foundation Calculation'!$K$2:$R$40,VLOOKUP(AW52,'Foundation Calculation'!$I$2:$J$8,2,FALSE),0),IF(AX52="K",VLOOKUP(L52,'Foundation Calculation'!$K$42:$R$80,VLOOKUP(AW52,'Foundation Calculation'!$I$2:$J$8,2,FALSE),0),""))</f>
        <v>3.5</v>
      </c>
      <c r="AZ52" s="455"/>
      <c r="BA52" s="671" t="s">
        <v>2809</v>
      </c>
      <c r="BB52" s="1239" t="str">
        <f>Pole_Calculations!A16</f>
        <v>App.7-V11A-P9.5.1.2</v>
      </c>
      <c r="BC52" s="169"/>
      <c r="BD52" s="1371"/>
      <c r="BE52" s="1371"/>
      <c r="BF52" s="1371"/>
      <c r="BG52" s="1371"/>
    </row>
    <row r="53" spans="1:59" ht="15.75" customHeight="1">
      <c r="A53" s="647" t="s">
        <v>3049</v>
      </c>
      <c r="B53" s="657"/>
      <c r="C53" s="649"/>
      <c r="D53" s="650"/>
      <c r="E53" s="650"/>
      <c r="F53" s="650"/>
      <c r="G53" s="651">
        <v>54</v>
      </c>
      <c r="H53" s="647"/>
      <c r="I53" s="650">
        <f>C80-C52</f>
        <v>519.3799999999901</v>
      </c>
      <c r="J53" s="649"/>
      <c r="K53" s="653"/>
      <c r="L53" s="653"/>
      <c r="M53" s="653"/>
      <c r="N53" s="647"/>
      <c r="O53" s="647"/>
      <c r="P53" s="647"/>
      <c r="Q53" s="647"/>
      <c r="R53" s="647"/>
      <c r="S53" s="651">
        <f t="shared" ref="S53" si="23">AG54-AG52</f>
        <v>54</v>
      </c>
      <c r="T53" s="647"/>
      <c r="U53" s="647"/>
      <c r="V53" s="647"/>
      <c r="W53" s="647"/>
      <c r="X53" s="647"/>
      <c r="Y53" s="647"/>
      <c r="Z53" s="647"/>
      <c r="AA53" s="647"/>
      <c r="AB53" s="647"/>
      <c r="AC53" s="647"/>
      <c r="AD53" s="647"/>
      <c r="AE53" s="647"/>
      <c r="AF53" s="647"/>
      <c r="AG53" s="652"/>
      <c r="AH53" s="647"/>
      <c r="AI53" s="647"/>
      <c r="AJ53" s="653"/>
      <c r="AK53" s="647"/>
      <c r="AL53" s="653"/>
      <c r="AM53" s="647"/>
      <c r="AN53" s="651"/>
      <c r="AO53" s="647"/>
      <c r="AP53" s="647"/>
      <c r="AQ53" s="654">
        <f>+FL_1($T$54,$T$52,$G$53,1200,9.28,-1*$F$54)</f>
        <v>0.37936860809331741</v>
      </c>
      <c r="AR53" s="654"/>
      <c r="AS53" s="654"/>
      <c r="AT53" s="654"/>
      <c r="AU53" s="653"/>
      <c r="AV53" s="653"/>
      <c r="AW53" s="654"/>
      <c r="AX53" s="654"/>
      <c r="AY53" s="654"/>
      <c r="AZ53" s="654"/>
      <c r="BA53" s="701"/>
      <c r="BB53" s="647"/>
      <c r="BC53" s="169"/>
      <c r="BD53" s="1330"/>
      <c r="BE53" s="1330"/>
      <c r="BF53" s="1330"/>
      <c r="BG53" s="1330"/>
    </row>
    <row r="54" spans="1:59" ht="15.75" customHeight="1">
      <c r="A54" s="1239"/>
      <c r="B54" s="485" t="s">
        <v>3440</v>
      </c>
      <c r="C54" s="446">
        <f>+$C$52+$G$53</f>
        <v>86287.170000000013</v>
      </c>
      <c r="D54" s="448"/>
      <c r="E54" s="448"/>
      <c r="F54" s="448">
        <v>-1800</v>
      </c>
      <c r="G54" s="455"/>
      <c r="H54" s="1239" t="s">
        <v>873</v>
      </c>
      <c r="I54" s="448"/>
      <c r="J54" s="446"/>
      <c r="K54" s="638"/>
      <c r="L54" s="638" t="s">
        <v>230</v>
      </c>
      <c r="M54" s="1239" t="s">
        <v>1541</v>
      </c>
      <c r="N54" s="1239" t="s">
        <v>144</v>
      </c>
      <c r="O54" s="1239"/>
      <c r="P54" s="1239"/>
      <c r="Q54" s="1239">
        <v>90</v>
      </c>
      <c r="R54" s="1239">
        <v>-1804.7</v>
      </c>
      <c r="S54" s="455"/>
      <c r="T54" s="1239">
        <v>30</v>
      </c>
      <c r="U54" s="1239"/>
      <c r="V54" s="1239"/>
      <c r="W54" s="1239">
        <v>1.4</v>
      </c>
      <c r="X54" s="1239"/>
      <c r="Y54" s="1239"/>
      <c r="Z54" s="1239"/>
      <c r="AA54" s="1239"/>
      <c r="AB54" s="1239"/>
      <c r="AC54" s="1239" t="s">
        <v>4090</v>
      </c>
      <c r="AD54" s="1239"/>
      <c r="AE54" s="1239"/>
      <c r="AF54" s="1239">
        <v>5400</v>
      </c>
      <c r="AG54" s="171">
        <v>86287</v>
      </c>
      <c r="AH54" s="1239">
        <v>3353</v>
      </c>
      <c r="AI54" s="1239">
        <v>-390</v>
      </c>
      <c r="AJ54" s="638"/>
      <c r="AK54" s="1239"/>
      <c r="AL54" s="638"/>
      <c r="AM54" s="1239" t="s">
        <v>1042</v>
      </c>
      <c r="AN54" s="455">
        <v>5.15</v>
      </c>
      <c r="AO54" s="1239"/>
      <c r="AP54" s="1239"/>
      <c r="AQ54" s="484"/>
      <c r="AR54" s="484"/>
      <c r="AS54" s="484"/>
      <c r="AT54" s="484">
        <f>+ab($T$54,$T$52,$T$56,$G$53,$G$55,-1*$F$54,1200)</f>
        <v>6.4290827397988721</v>
      </c>
      <c r="AU54" s="638"/>
      <c r="AV54" s="638"/>
      <c r="AW54" s="1239" t="s">
        <v>4975</v>
      </c>
      <c r="AX54" s="1239"/>
      <c r="AY54" s="455"/>
      <c r="AZ54" s="455"/>
      <c r="BA54" s="671" t="s">
        <v>2809</v>
      </c>
      <c r="BB54" s="1239" t="str">
        <f>Pole_Calculations!A16</f>
        <v>App.7-V11A-P9.5.1.2</v>
      </c>
      <c r="BC54" s="169" t="s">
        <v>4955</v>
      </c>
      <c r="BD54" s="1371"/>
      <c r="BE54" s="1371"/>
      <c r="BF54" s="1371"/>
      <c r="BG54" s="1371"/>
    </row>
    <row r="55" spans="1:59" ht="15.75" customHeight="1">
      <c r="A55" s="1239"/>
      <c r="B55" s="445"/>
      <c r="C55" s="446"/>
      <c r="D55" s="448"/>
      <c r="E55" s="448"/>
      <c r="F55" s="448"/>
      <c r="G55" s="455">
        <v>53</v>
      </c>
      <c r="H55" s="1239"/>
      <c r="I55" s="448"/>
      <c r="J55" s="446">
        <f>C54+7.5</f>
        <v>86294.670000000013</v>
      </c>
      <c r="K55" s="638" t="s">
        <v>1685</v>
      </c>
      <c r="L55" s="638"/>
      <c r="M55" s="638"/>
      <c r="N55" s="1239"/>
      <c r="O55" s="1239"/>
      <c r="P55" s="1239"/>
      <c r="Q55" s="1239"/>
      <c r="R55" s="1239"/>
      <c r="S55" s="455">
        <f t="shared" ref="S55" si="24">AG56-AG54</f>
        <v>53</v>
      </c>
      <c r="T55" s="1239"/>
      <c r="U55" s="1239"/>
      <c r="V55" s="1239"/>
      <c r="W55" s="1239"/>
      <c r="X55" s="1239"/>
      <c r="Y55" s="1239"/>
      <c r="Z55" s="1239"/>
      <c r="AA55" s="1239"/>
      <c r="AB55" s="1239"/>
      <c r="AC55" s="1239"/>
      <c r="AD55" s="1239"/>
      <c r="AE55" s="1239"/>
      <c r="AF55" s="1239"/>
      <c r="AG55" s="171"/>
      <c r="AH55" s="1239"/>
      <c r="AI55" s="1239"/>
      <c r="AJ55" s="638"/>
      <c r="AK55" s="1239"/>
      <c r="AL55" s="638"/>
      <c r="AM55" s="1239"/>
      <c r="AN55" s="455"/>
      <c r="AO55" s="1239"/>
      <c r="AP55" s="1239"/>
      <c r="AQ55" s="484">
        <f>+FL_1($T$56,$T$54,$G$55,1200,9.28,-1*$F$56)</f>
        <v>0.37645665105204507</v>
      </c>
      <c r="AR55" s="484"/>
      <c r="AS55" s="484"/>
      <c r="AT55" s="484"/>
      <c r="AU55" s="638"/>
      <c r="AV55" s="638"/>
      <c r="AW55" s="638" t="s">
        <v>2846</v>
      </c>
      <c r="AX55" s="638"/>
      <c r="AY55" s="484"/>
      <c r="AZ55" s="484"/>
      <c r="BA55" s="671" t="s">
        <v>2809</v>
      </c>
      <c r="BB55" s="1239"/>
      <c r="BC55" s="169" t="s">
        <v>4954</v>
      </c>
      <c r="BD55" s="1329"/>
      <c r="BE55" s="1330"/>
      <c r="BF55" s="1330"/>
      <c r="BG55" s="1330"/>
    </row>
    <row r="56" spans="1:59" ht="15.75" customHeight="1">
      <c r="A56" s="1239"/>
      <c r="B56" s="485" t="s">
        <v>3441</v>
      </c>
      <c r="C56" s="446">
        <f>+$C$54+$G$55</f>
        <v>86340.170000000013</v>
      </c>
      <c r="D56" s="448"/>
      <c r="E56" s="448"/>
      <c r="F56" s="448">
        <v>-1800</v>
      </c>
      <c r="G56" s="455"/>
      <c r="H56" s="1239"/>
      <c r="I56" s="448"/>
      <c r="J56" s="446"/>
      <c r="K56" s="638"/>
      <c r="L56" s="638" t="s">
        <v>230</v>
      </c>
      <c r="M56" s="1239" t="s">
        <v>1541</v>
      </c>
      <c r="N56" s="1239" t="s">
        <v>144</v>
      </c>
      <c r="O56" s="1239"/>
      <c r="P56" s="1239"/>
      <c r="Q56" s="1239">
        <v>100</v>
      </c>
      <c r="R56" s="1239">
        <v>-1804.7</v>
      </c>
      <c r="S56" s="455"/>
      <c r="T56" s="1239">
        <v>30</v>
      </c>
      <c r="U56" s="1239"/>
      <c r="V56" s="1239"/>
      <c r="W56" s="1239">
        <v>1.4</v>
      </c>
      <c r="X56" s="1239"/>
      <c r="Y56" s="1239"/>
      <c r="Z56" s="1239"/>
      <c r="AA56" s="1239"/>
      <c r="AB56" s="1239"/>
      <c r="AC56" s="1239" t="s">
        <v>4090</v>
      </c>
      <c r="AD56" s="1239"/>
      <c r="AE56" s="1239"/>
      <c r="AF56" s="1239">
        <v>5000</v>
      </c>
      <c r="AG56" s="171">
        <v>86340</v>
      </c>
      <c r="AH56" s="1239">
        <v>2643</v>
      </c>
      <c r="AI56" s="1239">
        <v>-510</v>
      </c>
      <c r="AJ56" s="638"/>
      <c r="AK56" s="1239"/>
      <c r="AL56" s="638"/>
      <c r="AM56" s="1239" t="s">
        <v>1042</v>
      </c>
      <c r="AN56" s="455">
        <v>5.15</v>
      </c>
      <c r="AO56" s="1239"/>
      <c r="AP56" s="1239"/>
      <c r="AQ56" s="484"/>
      <c r="AR56" s="484"/>
      <c r="AS56" s="484"/>
      <c r="AT56" s="484">
        <f>+ab($T$56,$T$54,$T$58,$G$55,$G$57,-1*$F$56,1200)</f>
        <v>6.4892195047312624</v>
      </c>
      <c r="AU56" s="638"/>
      <c r="AV56" s="638"/>
      <c r="AW56" s="1239" t="s">
        <v>4975</v>
      </c>
      <c r="AX56" s="1239"/>
      <c r="AY56" s="455"/>
      <c r="AZ56" s="455"/>
      <c r="BA56" s="671" t="s">
        <v>2809</v>
      </c>
      <c r="BB56" s="1239" t="str">
        <f>Pole_Calculations!A15</f>
        <v>App.7-V11A-P9.5.1.1</v>
      </c>
      <c r="BC56" s="169" t="s">
        <v>4954</v>
      </c>
      <c r="BD56" s="1371"/>
      <c r="BE56" s="1371"/>
      <c r="BF56" s="1371"/>
      <c r="BG56" s="1371"/>
    </row>
    <row r="57" spans="1:59" ht="15.75" customHeight="1">
      <c r="A57" s="1239"/>
      <c r="B57" s="445"/>
      <c r="C57" s="446"/>
      <c r="D57" s="448"/>
      <c r="E57" s="448"/>
      <c r="F57" s="448"/>
      <c r="G57" s="455">
        <v>53</v>
      </c>
      <c r="H57" s="1239"/>
      <c r="I57" s="448"/>
      <c r="J57" s="446"/>
      <c r="K57" s="638"/>
      <c r="L57" s="638"/>
      <c r="M57" s="638"/>
      <c r="N57" s="1239"/>
      <c r="O57" s="1239"/>
      <c r="P57" s="1239"/>
      <c r="Q57" s="1239"/>
      <c r="R57" s="1239"/>
      <c r="S57" s="455">
        <f t="shared" ref="S57" si="25">AG58-AG56</f>
        <v>53</v>
      </c>
      <c r="T57" s="1239"/>
      <c r="U57" s="1239"/>
      <c r="V57" s="1239"/>
      <c r="W57" s="1239"/>
      <c r="X57" s="1239"/>
      <c r="Y57" s="1239"/>
      <c r="Z57" s="1239"/>
      <c r="AA57" s="1239"/>
      <c r="AB57" s="1239"/>
      <c r="AC57" s="1239"/>
      <c r="AD57" s="1239"/>
      <c r="AE57" s="1239"/>
      <c r="AF57" s="1239"/>
      <c r="AG57" s="171"/>
      <c r="AH57" s="1239"/>
      <c r="AI57" s="1239"/>
      <c r="AJ57" s="638"/>
      <c r="AK57" s="1239"/>
      <c r="AL57" s="638"/>
      <c r="AM57" s="1239"/>
      <c r="AN57" s="455"/>
      <c r="AO57" s="1239"/>
      <c r="AP57" s="1239"/>
      <c r="AQ57" s="484">
        <f>+FL_1($T$58,$T$56,$G$57,1200,9.28,-1*$F$58)</f>
        <v>0.37645665105204507</v>
      </c>
      <c r="AR57" s="484"/>
      <c r="AS57" s="484"/>
      <c r="AT57" s="484"/>
      <c r="AU57" s="638"/>
      <c r="AV57" s="638"/>
      <c r="AW57" s="638"/>
      <c r="AX57" s="638"/>
      <c r="AY57" s="484"/>
      <c r="AZ57" s="484"/>
      <c r="BA57" s="671"/>
      <c r="BB57" s="1239"/>
      <c r="BC57" s="169"/>
      <c r="BD57" s="1329"/>
      <c r="BE57" s="1330"/>
      <c r="BF57" s="1330"/>
      <c r="BG57" s="1330"/>
    </row>
    <row r="58" spans="1:59" ht="15.75" customHeight="1">
      <c r="A58" s="1239"/>
      <c r="B58" s="582" t="s">
        <v>3442</v>
      </c>
      <c r="C58" s="446">
        <f>+$C$56+$G$57</f>
        <v>86393.170000000013</v>
      </c>
      <c r="D58" s="448"/>
      <c r="E58" s="448"/>
      <c r="F58" s="448">
        <v>-1800</v>
      </c>
      <c r="G58" s="455"/>
      <c r="H58" s="1239"/>
      <c r="I58" s="448"/>
      <c r="J58" s="446"/>
      <c r="K58" s="638"/>
      <c r="L58" s="638" t="s">
        <v>230</v>
      </c>
      <c r="M58" s="1239" t="s">
        <v>1541</v>
      </c>
      <c r="N58" s="1239" t="s">
        <v>144</v>
      </c>
      <c r="O58" s="1239"/>
      <c r="P58" s="1239"/>
      <c r="Q58" s="1239">
        <v>110</v>
      </c>
      <c r="R58" s="1239">
        <v>-1804.7</v>
      </c>
      <c r="S58" s="455"/>
      <c r="T58" s="1285">
        <v>30</v>
      </c>
      <c r="U58" s="1285"/>
      <c r="V58" s="1285"/>
      <c r="W58" s="1285">
        <v>1.4</v>
      </c>
      <c r="X58" s="1285"/>
      <c r="Y58" s="1285"/>
      <c r="Z58" s="1285"/>
      <c r="AA58" s="1285"/>
      <c r="AB58" s="1285"/>
      <c r="AC58" s="1285" t="s">
        <v>4090</v>
      </c>
      <c r="AD58" s="1285"/>
      <c r="AE58" s="1285"/>
      <c r="AF58" s="1285">
        <v>4400</v>
      </c>
      <c r="AG58" s="1350">
        <v>86393</v>
      </c>
      <c r="AH58" s="1285">
        <v>2903</v>
      </c>
      <c r="AI58" s="1285">
        <v>-920</v>
      </c>
      <c r="AJ58" s="1239"/>
      <c r="AK58" s="1239"/>
      <c r="AL58" s="1239"/>
      <c r="AM58" s="1239" t="s">
        <v>1042</v>
      </c>
      <c r="AN58" s="455">
        <v>5.15</v>
      </c>
      <c r="AO58" s="1239"/>
      <c r="AP58" s="1239"/>
      <c r="AQ58" s="484"/>
      <c r="AR58" s="484"/>
      <c r="AS58" s="484"/>
      <c r="AT58" s="484">
        <f>+ab($T$58,$T$56,$T$60,$G$57,$G$59,-1*$F$58,1200)</f>
        <v>6.6129171613800173</v>
      </c>
      <c r="AU58" s="638"/>
      <c r="AV58" s="638"/>
      <c r="AW58" s="1239" t="s">
        <v>4975</v>
      </c>
      <c r="AX58" s="1239"/>
      <c r="AY58" s="455"/>
      <c r="AZ58" s="455"/>
      <c r="BA58" s="671" t="s">
        <v>2809</v>
      </c>
      <c r="BB58" s="1239" t="str">
        <f>Pole_Calculations!A15</f>
        <v>App.7-V11A-P9.5.1.1</v>
      </c>
      <c r="BC58" s="169" t="s">
        <v>4954</v>
      </c>
      <c r="BD58" s="1329"/>
      <c r="BE58" s="1329"/>
      <c r="BF58" s="1330"/>
      <c r="BG58" s="1329"/>
    </row>
    <row r="59" spans="1:59" ht="15.75" customHeight="1">
      <c r="A59" s="647" t="s">
        <v>3049</v>
      </c>
      <c r="B59" s="648"/>
      <c r="C59" s="649"/>
      <c r="D59" s="650"/>
      <c r="E59" s="650"/>
      <c r="F59" s="650"/>
      <c r="G59" s="651">
        <v>51</v>
      </c>
      <c r="H59" s="647"/>
      <c r="I59" s="650"/>
      <c r="J59" s="649">
        <f>C60-7.5</f>
        <v>86438.35</v>
      </c>
      <c r="K59" s="653" t="s">
        <v>2788</v>
      </c>
      <c r="L59" s="647"/>
      <c r="M59" s="647"/>
      <c r="N59" s="647"/>
      <c r="O59" s="647"/>
      <c r="P59" s="647"/>
      <c r="Q59" s="647"/>
      <c r="R59" s="647"/>
      <c r="S59" s="651">
        <f t="shared" ref="S59" si="26">AG60-AG58</f>
        <v>52</v>
      </c>
      <c r="T59" s="647"/>
      <c r="U59" s="647"/>
      <c r="V59" s="647"/>
      <c r="W59" s="647"/>
      <c r="X59" s="647"/>
      <c r="Y59" s="647"/>
      <c r="Z59" s="647"/>
      <c r="AA59" s="647"/>
      <c r="AB59" s="647"/>
      <c r="AC59" s="647"/>
      <c r="AD59" s="647"/>
      <c r="AE59" s="647"/>
      <c r="AF59" s="647"/>
      <c r="AG59" s="652"/>
      <c r="AH59" s="647"/>
      <c r="AI59" s="647"/>
      <c r="AJ59" s="647"/>
      <c r="AK59" s="647"/>
      <c r="AL59" s="647"/>
      <c r="AM59" s="647"/>
      <c r="AN59" s="651"/>
      <c r="AO59" s="647"/>
      <c r="AP59" s="647"/>
      <c r="AQ59" s="654">
        <f>+FL_1($T$60,$T$58,$G$59,1200,9.28,-1*$F$60)</f>
        <v>0.37079593648197229</v>
      </c>
      <c r="AR59" s="653"/>
      <c r="AS59" s="653"/>
      <c r="AT59" s="654"/>
      <c r="AU59" s="653"/>
      <c r="AV59" s="653"/>
      <c r="AW59" s="653" t="s">
        <v>2846</v>
      </c>
      <c r="AX59" s="653"/>
      <c r="AY59" s="654"/>
      <c r="AZ59" s="654"/>
      <c r="BA59" s="701" t="s">
        <v>2809</v>
      </c>
      <c r="BB59" s="647"/>
      <c r="BC59" s="169" t="s">
        <v>4954</v>
      </c>
      <c r="BD59" s="1330"/>
      <c r="BE59" s="1330"/>
      <c r="BF59" s="1330"/>
      <c r="BG59" s="1330"/>
    </row>
    <row r="60" spans="1:59" ht="15.75" customHeight="1">
      <c r="A60" s="658" t="s">
        <v>3517</v>
      </c>
      <c r="B60" s="646" t="s">
        <v>3203</v>
      </c>
      <c r="C60" s="660">
        <v>86445.85</v>
      </c>
      <c r="D60" s="661"/>
      <c r="E60" s="661"/>
      <c r="F60" s="661">
        <v>-1800</v>
      </c>
      <c r="G60" s="662"/>
      <c r="H60" s="658"/>
      <c r="I60" s="661" t="s">
        <v>1039</v>
      </c>
      <c r="J60" s="660"/>
      <c r="K60" s="663"/>
      <c r="L60" s="658" t="s">
        <v>819</v>
      </c>
      <c r="M60" s="658" t="s">
        <v>1542</v>
      </c>
      <c r="N60" s="658" t="s">
        <v>144</v>
      </c>
      <c r="O60" s="658"/>
      <c r="P60" s="658"/>
      <c r="Q60" s="658">
        <v>100</v>
      </c>
      <c r="R60" s="658">
        <v>-1804.7</v>
      </c>
      <c r="S60" s="662"/>
      <c r="T60" s="658">
        <v>30</v>
      </c>
      <c r="U60" s="658"/>
      <c r="V60" s="658"/>
      <c r="W60" s="658">
        <v>1.4</v>
      </c>
      <c r="X60" s="658"/>
      <c r="Y60" s="658"/>
      <c r="Z60" s="658"/>
      <c r="AA60" s="658"/>
      <c r="AB60" s="658"/>
      <c r="AC60" s="658" t="s">
        <v>4090</v>
      </c>
      <c r="AD60" s="658"/>
      <c r="AE60" s="658"/>
      <c r="AF60" s="658">
        <v>4700</v>
      </c>
      <c r="AG60" s="739">
        <v>86445</v>
      </c>
      <c r="AH60" s="658">
        <v>2593</v>
      </c>
      <c r="AI60" s="658">
        <v>-820</v>
      </c>
      <c r="AJ60" s="658"/>
      <c r="AK60" s="658"/>
      <c r="AL60" s="658"/>
      <c r="AM60" s="658" t="s">
        <v>1042</v>
      </c>
      <c r="AN60" s="662">
        <v>5.15</v>
      </c>
      <c r="AO60" s="658"/>
      <c r="AP60" s="658"/>
      <c r="AQ60" s="665"/>
      <c r="AR60" s="663"/>
      <c r="AS60" s="663"/>
      <c r="AT60" s="665">
        <f>+ab($T$60,$T$58,$T$62,$G$59,$G$61,-1*$F$60,1200)</f>
        <v>6.6129171613800173</v>
      </c>
      <c r="AU60" s="663"/>
      <c r="AV60" s="663"/>
      <c r="AW60" s="663" t="s">
        <v>4975</v>
      </c>
      <c r="AX60" s="684"/>
      <c r="AY60" s="665"/>
      <c r="AZ60" s="665"/>
      <c r="BA60" s="670" t="s">
        <v>2809</v>
      </c>
      <c r="BB60" s="658" t="str">
        <f>Pole_Calculations!A152</f>
        <v>App.7.1-V01-P9.5.1.1</v>
      </c>
      <c r="BC60" s="169" t="s">
        <v>4954</v>
      </c>
      <c r="BD60" s="1329"/>
      <c r="BE60" s="1329"/>
      <c r="BF60" s="1330"/>
      <c r="BG60" s="1329"/>
    </row>
    <row r="61" spans="1:59" ht="15.75" customHeight="1">
      <c r="A61" s="658"/>
      <c r="B61" s="664"/>
      <c r="C61" s="660"/>
      <c r="D61" s="661"/>
      <c r="E61" s="661"/>
      <c r="F61" s="661"/>
      <c r="G61" s="662">
        <v>53</v>
      </c>
      <c r="H61" s="658"/>
      <c r="I61" s="661"/>
      <c r="J61" s="660">
        <f>C62-7.5</f>
        <v>86491.35</v>
      </c>
      <c r="K61" s="663" t="s">
        <v>1684</v>
      </c>
      <c r="L61" s="658"/>
      <c r="M61" s="658"/>
      <c r="N61" s="658"/>
      <c r="O61" s="658"/>
      <c r="P61" s="658"/>
      <c r="Q61" s="658"/>
      <c r="R61" s="658"/>
      <c r="S61" s="662">
        <f t="shared" ref="S61" si="27">AG62-AG60</f>
        <v>53</v>
      </c>
      <c r="T61" s="658"/>
      <c r="U61" s="658"/>
      <c r="V61" s="658"/>
      <c r="W61" s="658"/>
      <c r="X61" s="658"/>
      <c r="Y61" s="658"/>
      <c r="Z61" s="658"/>
      <c r="AA61" s="658"/>
      <c r="AB61" s="658"/>
      <c r="AC61" s="658"/>
      <c r="AD61" s="658"/>
      <c r="AE61" s="658"/>
      <c r="AF61" s="658"/>
      <c r="AG61" s="739"/>
      <c r="AH61" s="658"/>
      <c r="AI61" s="658"/>
      <c r="AJ61" s="658"/>
      <c r="AK61" s="658"/>
      <c r="AL61" s="658"/>
      <c r="AM61" s="658"/>
      <c r="AN61" s="662"/>
      <c r="AO61" s="658"/>
      <c r="AP61" s="658"/>
      <c r="AQ61" s="665">
        <f>+FL_1($T$62,$T$60,$G$61,1200,9.28,-1*$F$62)</f>
        <v>0.37645665105204507</v>
      </c>
      <c r="AR61" s="663"/>
      <c r="AS61" s="663"/>
      <c r="AT61" s="665"/>
      <c r="AU61" s="663"/>
      <c r="AV61" s="663"/>
      <c r="AW61" s="663" t="s">
        <v>2846</v>
      </c>
      <c r="AX61" s="684"/>
      <c r="AY61" s="665"/>
      <c r="AZ61" s="665"/>
      <c r="BA61" s="670" t="s">
        <v>2809</v>
      </c>
      <c r="BB61" s="658"/>
      <c r="BC61" s="169" t="s">
        <v>4954</v>
      </c>
      <c r="BD61" s="1329"/>
      <c r="BE61" s="1330"/>
      <c r="BF61" s="1330"/>
      <c r="BG61" s="1330"/>
    </row>
    <row r="62" spans="1:59" ht="12.5">
      <c r="A62" s="658"/>
      <c r="B62" s="659" t="s">
        <v>3204</v>
      </c>
      <c r="C62" s="660">
        <f>+$C$60+$G$61</f>
        <v>86498.85</v>
      </c>
      <c r="D62" s="661"/>
      <c r="E62" s="661"/>
      <c r="F62" s="661">
        <v>-1800</v>
      </c>
      <c r="G62" s="662"/>
      <c r="H62" s="658" t="s">
        <v>138</v>
      </c>
      <c r="I62" s="661" t="s">
        <v>623</v>
      </c>
      <c r="J62" s="660"/>
      <c r="K62" s="663"/>
      <c r="L62" s="658" t="s">
        <v>899</v>
      </c>
      <c r="M62" s="658" t="s">
        <v>1542</v>
      </c>
      <c r="N62" s="658" t="s">
        <v>144</v>
      </c>
      <c r="O62" s="658"/>
      <c r="P62" s="658"/>
      <c r="Q62" s="658">
        <v>100</v>
      </c>
      <c r="R62" s="658">
        <v>-1804.7</v>
      </c>
      <c r="S62" s="662"/>
      <c r="T62" s="658">
        <v>30</v>
      </c>
      <c r="U62" s="658"/>
      <c r="V62" s="658"/>
      <c r="W62" s="658">
        <v>1.4</v>
      </c>
      <c r="X62" s="658"/>
      <c r="Y62" s="658"/>
      <c r="Z62" s="658"/>
      <c r="AA62" s="658"/>
      <c r="AB62" s="658"/>
      <c r="AC62" s="658" t="s">
        <v>4090</v>
      </c>
      <c r="AD62" s="658"/>
      <c r="AE62" s="658"/>
      <c r="AF62" s="658">
        <v>4400</v>
      </c>
      <c r="AG62" s="739">
        <v>86498</v>
      </c>
      <c r="AH62" s="658">
        <v>2453</v>
      </c>
      <c r="AI62" s="658">
        <v>-984</v>
      </c>
      <c r="AJ62" s="658"/>
      <c r="AK62" s="658"/>
      <c r="AL62" s="658"/>
      <c r="AM62" s="658" t="s">
        <v>1042</v>
      </c>
      <c r="AN62" s="662">
        <v>5.15</v>
      </c>
      <c r="AO62" s="658"/>
      <c r="AP62" s="658"/>
      <c r="AQ62" s="665"/>
      <c r="AR62" s="663"/>
      <c r="AS62" s="663"/>
      <c r="AT62" s="665">
        <f>+ab($T$62,$T$60,$T$66,$G$61,$G$63,-1*$F$62,1200)</f>
        <v>6.5022519858817116</v>
      </c>
      <c r="AU62" s="663"/>
      <c r="AV62" s="663"/>
      <c r="AW62" s="663" t="s">
        <v>4975</v>
      </c>
      <c r="AX62" s="684"/>
      <c r="AY62" s="665"/>
      <c r="AZ62" s="665"/>
      <c r="BA62" s="670" t="s">
        <v>2809</v>
      </c>
      <c r="BB62" s="658" t="str">
        <f>Pole_Calculations!A157</f>
        <v>App.7.1-V01-P9.5.1.6</v>
      </c>
      <c r="BC62" s="169" t="s">
        <v>4954</v>
      </c>
      <c r="BD62" s="1329"/>
      <c r="BE62" s="1329"/>
      <c r="BF62" s="1330"/>
      <c r="BG62" s="1329"/>
    </row>
    <row r="63" spans="1:59" ht="15.75" customHeight="1">
      <c r="A63" s="647" t="s">
        <v>3049</v>
      </c>
      <c r="B63" s="648"/>
      <c r="C63" s="649"/>
      <c r="D63" s="650"/>
      <c r="E63" s="650"/>
      <c r="F63" s="650"/>
      <c r="G63" s="651">
        <v>56</v>
      </c>
      <c r="H63" s="647"/>
      <c r="I63" s="650"/>
      <c r="J63" s="649"/>
      <c r="K63" s="653"/>
      <c r="L63" s="647"/>
      <c r="M63" s="647"/>
      <c r="N63" s="647"/>
      <c r="O63" s="647"/>
      <c r="P63" s="647"/>
      <c r="Q63" s="647"/>
      <c r="R63" s="647"/>
      <c r="S63" s="651">
        <f t="shared" ref="S63" si="28">AG64-AG62</f>
        <v>-86498</v>
      </c>
      <c r="T63" s="647"/>
      <c r="U63" s="647"/>
      <c r="V63" s="647"/>
      <c r="W63" s="647"/>
      <c r="X63" s="647"/>
      <c r="Y63" s="647"/>
      <c r="Z63" s="647"/>
      <c r="AA63" s="647"/>
      <c r="AB63" s="647"/>
      <c r="AC63" s="647"/>
      <c r="AD63" s="647"/>
      <c r="AE63" s="647"/>
      <c r="AF63" s="647"/>
      <c r="AG63" s="652"/>
      <c r="AH63" s="647"/>
      <c r="AI63" s="647"/>
      <c r="AJ63" s="647"/>
      <c r="AK63" s="647"/>
      <c r="AL63" s="647"/>
      <c r="AM63" s="647"/>
      <c r="AN63" s="651"/>
      <c r="AO63" s="647"/>
      <c r="AP63" s="647"/>
      <c r="AQ63" s="654">
        <f>+FL_2($U$66,$T$62,$G$63,1200,9.28,-1*$F$66)</f>
        <v>-0.44013329361956288</v>
      </c>
      <c r="AR63" s="653"/>
      <c r="AS63" s="653"/>
      <c r="AT63" s="654"/>
      <c r="AU63" s="653"/>
      <c r="AV63" s="653"/>
      <c r="AW63" s="653"/>
      <c r="AX63" s="653"/>
      <c r="AY63" s="654"/>
      <c r="AZ63" s="654"/>
      <c r="BA63" s="701"/>
      <c r="BB63" s="647"/>
      <c r="BC63" s="169"/>
      <c r="BD63" s="1330"/>
      <c r="BE63" s="1330"/>
      <c r="BF63" s="1330"/>
      <c r="BG63" s="1330"/>
    </row>
    <row r="64" spans="1:59" ht="15.75" customHeight="1">
      <c r="A64" s="658"/>
      <c r="B64" s="659" t="s">
        <v>4940</v>
      </c>
      <c r="C64" s="660">
        <f>C66-25</f>
        <v>86529.85</v>
      </c>
      <c r="D64" s="661"/>
      <c r="E64" s="661"/>
      <c r="F64" s="661"/>
      <c r="G64" s="662"/>
      <c r="H64" s="658"/>
      <c r="I64" s="661"/>
      <c r="J64" s="660"/>
      <c r="K64" s="663"/>
      <c r="L64" s="663" t="s">
        <v>4420</v>
      </c>
      <c r="M64" s="663" t="s">
        <v>2811</v>
      </c>
      <c r="N64" s="658"/>
      <c r="O64" s="658"/>
      <c r="P64" s="658"/>
      <c r="Q64" s="658"/>
      <c r="R64" s="658"/>
      <c r="S64" s="662"/>
      <c r="T64" s="658"/>
      <c r="U64" s="658"/>
      <c r="V64" s="658"/>
      <c r="W64" s="658"/>
      <c r="X64" s="658"/>
      <c r="Y64" s="658"/>
      <c r="Z64" s="658"/>
      <c r="AA64" s="658"/>
      <c r="AB64" s="658"/>
      <c r="AC64" s="658"/>
      <c r="AD64" s="658"/>
      <c r="AE64" s="658"/>
      <c r="AF64" s="658"/>
      <c r="AG64" s="739"/>
      <c r="AH64" s="658"/>
      <c r="AI64" s="658"/>
      <c r="AJ64" s="658"/>
      <c r="AK64" s="658"/>
      <c r="AL64" s="658"/>
      <c r="AM64" s="658"/>
      <c r="AN64" s="662"/>
      <c r="AO64" s="658"/>
      <c r="AP64" s="658"/>
      <c r="AQ64" s="665"/>
      <c r="AR64" s="663"/>
      <c r="AS64" s="663"/>
      <c r="AT64" s="665"/>
      <c r="AU64" s="663"/>
      <c r="AV64" s="663"/>
      <c r="AW64" s="663" t="s">
        <v>4979</v>
      </c>
      <c r="AX64" s="684"/>
      <c r="AY64" s="665"/>
      <c r="AZ64" s="665"/>
      <c r="BA64" s="670" t="s">
        <v>2809</v>
      </c>
      <c r="BB64" s="658"/>
      <c r="BC64" s="169" t="s">
        <v>4954</v>
      </c>
      <c r="BD64" s="1329"/>
      <c r="BE64" s="1329"/>
      <c r="BF64" s="1330"/>
      <c r="BG64" s="1330"/>
    </row>
    <row r="65" spans="1:59" ht="15.75" customHeight="1">
      <c r="A65" s="658"/>
      <c r="B65" s="664"/>
      <c r="C65" s="660"/>
      <c r="D65" s="661"/>
      <c r="E65" s="661"/>
      <c r="F65" s="661"/>
      <c r="G65" s="662"/>
      <c r="H65" s="658"/>
      <c r="I65" s="661"/>
      <c r="J65" s="660"/>
      <c r="K65" s="663"/>
      <c r="L65" s="658"/>
      <c r="M65" s="658"/>
      <c r="N65" s="658"/>
      <c r="O65" s="658"/>
      <c r="P65" s="658"/>
      <c r="Q65" s="658"/>
      <c r="R65" s="658"/>
      <c r="S65" s="662">
        <f t="shared" ref="S65" si="29">AG66-AG64</f>
        <v>86554</v>
      </c>
      <c r="T65" s="658"/>
      <c r="U65" s="658"/>
      <c r="V65" s="658"/>
      <c r="W65" s="658"/>
      <c r="X65" s="658"/>
      <c r="Y65" s="658"/>
      <c r="Z65" s="658"/>
      <c r="AA65" s="658"/>
      <c r="AB65" s="658"/>
      <c r="AC65" s="658"/>
      <c r="AD65" s="658"/>
      <c r="AE65" s="658"/>
      <c r="AF65" s="658"/>
      <c r="AG65" s="739"/>
      <c r="AH65" s="658"/>
      <c r="AI65" s="658"/>
      <c r="AJ65" s="658"/>
      <c r="AK65" s="658"/>
      <c r="AL65" s="658"/>
      <c r="AM65" s="658"/>
      <c r="AN65" s="662"/>
      <c r="AO65" s="658"/>
      <c r="AP65" s="658"/>
      <c r="AQ65" s="665"/>
      <c r="AR65" s="663"/>
      <c r="AS65" s="663"/>
      <c r="AT65" s="665"/>
      <c r="AU65" s="663"/>
      <c r="AV65" s="663"/>
      <c r="AW65" s="663"/>
      <c r="AX65" s="663"/>
      <c r="AY65" s="665"/>
      <c r="AZ65" s="665"/>
      <c r="BA65" s="670"/>
      <c r="BB65" s="658"/>
      <c r="BC65" s="169"/>
      <c r="BD65" s="1330"/>
      <c r="BE65" s="1330"/>
      <c r="BF65" s="1330"/>
      <c r="BG65" s="1330"/>
    </row>
    <row r="66" spans="1:59" ht="15.75" customHeight="1">
      <c r="A66" s="658" t="s">
        <v>3296</v>
      </c>
      <c r="B66" s="668" t="s">
        <v>3205</v>
      </c>
      <c r="C66" s="660">
        <f>+$C$62+$G$63</f>
        <v>86554.85</v>
      </c>
      <c r="D66" s="661"/>
      <c r="E66" s="661"/>
      <c r="F66" s="661">
        <v>-1800</v>
      </c>
      <c r="G66" s="662"/>
      <c r="H66" s="658" t="s">
        <v>619</v>
      </c>
      <c r="I66" s="661" t="s">
        <v>1429</v>
      </c>
      <c r="J66" s="660"/>
      <c r="K66" s="663"/>
      <c r="L66" s="658" t="s">
        <v>1697</v>
      </c>
      <c r="M66" s="658" t="s">
        <v>1686</v>
      </c>
      <c r="N66" s="658" t="s">
        <v>140</v>
      </c>
      <c r="O66" s="658" t="s">
        <v>144</v>
      </c>
      <c r="P66" s="658"/>
      <c r="Q66" s="658">
        <v>90</v>
      </c>
      <c r="R66" s="658">
        <v>-1804.7</v>
      </c>
      <c r="S66" s="662"/>
      <c r="T66" s="658">
        <v>35</v>
      </c>
      <c r="U66" s="658">
        <v>-10</v>
      </c>
      <c r="V66" s="658"/>
      <c r="W66" s="658">
        <v>1.4</v>
      </c>
      <c r="X66" s="658">
        <v>2.2999999999999998</v>
      </c>
      <c r="Y66" s="658"/>
      <c r="Z66" s="658">
        <v>0.45</v>
      </c>
      <c r="AA66" s="658"/>
      <c r="AB66" s="658"/>
      <c r="AC66" s="658" t="s">
        <v>1421</v>
      </c>
      <c r="AD66" s="658"/>
      <c r="AE66" s="658"/>
      <c r="AF66" s="658">
        <v>4200</v>
      </c>
      <c r="AG66" s="739">
        <v>86554</v>
      </c>
      <c r="AH66" s="658">
        <v>2573</v>
      </c>
      <c r="AI66" s="658">
        <v>-1050</v>
      </c>
      <c r="AJ66" s="658" t="s">
        <v>3048</v>
      </c>
      <c r="AK66" s="658"/>
      <c r="AL66" s="658"/>
      <c r="AM66" s="658" t="s">
        <v>1042</v>
      </c>
      <c r="AN66" s="662">
        <v>5.15</v>
      </c>
      <c r="AO66" s="658"/>
      <c r="AP66" s="658"/>
      <c r="AQ66" s="665"/>
      <c r="AR66" s="663"/>
      <c r="AS66" s="663"/>
      <c r="AT66" s="665">
        <f>+ab($U$66,$T$62,$U$70,$G$63,$G$67,-1*$F$66,1200)</f>
        <v>9.3756862391064644</v>
      </c>
      <c r="AU66" s="663"/>
      <c r="AV66" s="663"/>
      <c r="AW66" s="663" t="s">
        <v>4976</v>
      </c>
      <c r="AX66" s="684"/>
      <c r="AY66" s="665"/>
      <c r="AZ66" s="665"/>
      <c r="BA66" s="670" t="s">
        <v>2809</v>
      </c>
      <c r="BB66" s="658" t="str">
        <f>Pole_Calculations!A156</f>
        <v>App.7.1-V01-P9.5.1.5</v>
      </c>
      <c r="BC66" s="169" t="s">
        <v>4954</v>
      </c>
      <c r="BD66" s="1329"/>
      <c r="BE66" s="1329"/>
      <c r="BF66" s="1330"/>
      <c r="BG66" s="1329"/>
    </row>
    <row r="67" spans="1:59" ht="15.75" customHeight="1">
      <c r="A67" s="658"/>
      <c r="B67" s="664"/>
      <c r="C67" s="660"/>
      <c r="D67" s="661"/>
      <c r="E67" s="661"/>
      <c r="F67" s="661"/>
      <c r="G67" s="662">
        <v>38</v>
      </c>
      <c r="H67" s="658"/>
      <c r="I67" s="661"/>
      <c r="J67" s="660"/>
      <c r="K67" s="663"/>
      <c r="L67" s="658"/>
      <c r="M67" s="658"/>
      <c r="N67" s="658"/>
      <c r="O67" s="658"/>
      <c r="P67" s="658"/>
      <c r="Q67" s="658"/>
      <c r="R67" s="658"/>
      <c r="S67" s="662">
        <f t="shared" ref="S67" si="30">AG68-AG66</f>
        <v>33</v>
      </c>
      <c r="T67" s="658"/>
      <c r="U67" s="658"/>
      <c r="V67" s="658"/>
      <c r="W67" s="658"/>
      <c r="X67" s="658"/>
      <c r="Y67" s="658"/>
      <c r="Z67" s="658"/>
      <c r="AA67" s="658"/>
      <c r="AB67" s="658"/>
      <c r="AC67" s="658"/>
      <c r="AD67" s="658"/>
      <c r="AE67" s="658"/>
      <c r="AF67" s="658"/>
      <c r="AG67" s="739"/>
      <c r="AH67" s="658"/>
      <c r="AI67" s="658"/>
      <c r="AJ67" s="658" t="s">
        <v>1360</v>
      </c>
      <c r="AK67" s="658"/>
      <c r="AL67" s="658"/>
      <c r="AM67" s="658"/>
      <c r="AN67" s="662"/>
      <c r="AO67" s="658"/>
      <c r="AP67" s="658"/>
      <c r="AQ67" s="665">
        <f>+FL_1($T$70,$T$66,$G$67,1200,9.28,-1*$F$70)</f>
        <v>0.36828155910225607</v>
      </c>
      <c r="AR67" s="663"/>
      <c r="AS67" s="663"/>
      <c r="AT67" s="665"/>
      <c r="AU67" s="663"/>
      <c r="AV67" s="663"/>
      <c r="AW67" s="663"/>
      <c r="AX67" s="663"/>
      <c r="AY67" s="665"/>
      <c r="AZ67" s="665"/>
      <c r="BA67" s="670"/>
      <c r="BB67" s="658"/>
      <c r="BC67" s="169"/>
      <c r="BD67" s="1330"/>
      <c r="BE67" s="1330"/>
      <c r="BF67" s="1330"/>
      <c r="BG67" s="1330"/>
    </row>
    <row r="68" spans="1:59" ht="15.75" customHeight="1">
      <c r="A68" s="658" t="s">
        <v>3046</v>
      </c>
      <c r="B68" s="668" t="s">
        <v>3206</v>
      </c>
      <c r="C68" s="660">
        <f>+$C$66+$G$67</f>
        <v>86592.85</v>
      </c>
      <c r="D68" s="661"/>
      <c r="E68" s="661"/>
      <c r="F68" s="661"/>
      <c r="G68" s="662"/>
      <c r="H68" s="658"/>
      <c r="I68" s="661"/>
      <c r="J68" s="660"/>
      <c r="K68" s="663"/>
      <c r="L68" s="658" t="s">
        <v>1699</v>
      </c>
      <c r="M68" s="658" t="s">
        <v>1687</v>
      </c>
      <c r="N68" s="658"/>
      <c r="O68" s="658"/>
      <c r="P68" s="658"/>
      <c r="Q68" s="658">
        <v>90</v>
      </c>
      <c r="R68" s="658">
        <v>-1804.7</v>
      </c>
      <c r="S68" s="662"/>
      <c r="T68" s="658"/>
      <c r="U68" s="658"/>
      <c r="V68" s="658"/>
      <c r="W68" s="658"/>
      <c r="X68" s="658"/>
      <c r="Y68" s="658"/>
      <c r="Z68" s="658"/>
      <c r="AA68" s="658"/>
      <c r="AB68" s="658"/>
      <c r="AC68" s="658"/>
      <c r="AD68" s="658"/>
      <c r="AE68" s="658"/>
      <c r="AF68" s="658"/>
      <c r="AG68" s="739">
        <v>86587</v>
      </c>
      <c r="AH68" s="658">
        <v>1833</v>
      </c>
      <c r="AI68" s="658">
        <v>360</v>
      </c>
      <c r="AJ68" s="658" t="s">
        <v>883</v>
      </c>
      <c r="AK68" s="658"/>
      <c r="AL68" s="658"/>
      <c r="AM68" s="658" t="s">
        <v>1042</v>
      </c>
      <c r="AN68" s="662"/>
      <c r="AO68" s="658"/>
      <c r="AP68" s="658"/>
      <c r="AQ68" s="665"/>
      <c r="AR68" s="663"/>
      <c r="AS68" s="663"/>
      <c r="AT68" s="665"/>
      <c r="AU68" s="663"/>
      <c r="AV68" s="663"/>
      <c r="AW68" s="663" t="s">
        <v>4976</v>
      </c>
      <c r="AX68" s="684"/>
      <c r="AY68" s="665"/>
      <c r="AZ68" s="665"/>
      <c r="BA68" s="670" t="s">
        <v>2809</v>
      </c>
      <c r="BB68" s="658" t="str">
        <f>Pole_Calculations!A136</f>
        <v>App.7-V11A-P12.3.1.1</v>
      </c>
      <c r="BC68" s="169" t="s">
        <v>4954</v>
      </c>
      <c r="BD68" s="1329"/>
      <c r="BE68" s="1329"/>
      <c r="BF68" s="1330"/>
      <c r="BG68" s="1330"/>
    </row>
    <row r="69" spans="1:59" ht="15.75" customHeight="1">
      <c r="A69" s="658"/>
      <c r="B69" s="664"/>
      <c r="C69" s="660"/>
      <c r="D69" s="661"/>
      <c r="E69" s="661"/>
      <c r="F69" s="661"/>
      <c r="G69" s="662">
        <v>9</v>
      </c>
      <c r="H69" s="658"/>
      <c r="I69" s="661"/>
      <c r="J69" s="660"/>
      <c r="K69" s="663"/>
      <c r="L69" s="658"/>
      <c r="M69" s="658"/>
      <c r="N69" s="658"/>
      <c r="O69" s="658"/>
      <c r="P69" s="658"/>
      <c r="Q69" s="658"/>
      <c r="R69" s="658"/>
      <c r="S69" s="662">
        <f t="shared" ref="S69" si="31">AG70-AG68</f>
        <v>14</v>
      </c>
      <c r="T69" s="658"/>
      <c r="U69" s="658"/>
      <c r="V69" s="658"/>
      <c r="W69" s="658"/>
      <c r="X69" s="658"/>
      <c r="Y69" s="658"/>
      <c r="Z69" s="658"/>
      <c r="AA69" s="658"/>
      <c r="AB69" s="658"/>
      <c r="AC69" s="658"/>
      <c r="AD69" s="658"/>
      <c r="AE69" s="658"/>
      <c r="AF69" s="658"/>
      <c r="AG69" s="739"/>
      <c r="AH69" s="658"/>
      <c r="AI69" s="658"/>
      <c r="AJ69" s="658"/>
      <c r="AK69" s="658"/>
      <c r="AL69" s="658"/>
      <c r="AM69" s="658"/>
      <c r="AN69" s="662"/>
      <c r="AO69" s="658"/>
      <c r="AP69" s="658"/>
      <c r="AQ69" s="665"/>
      <c r="AR69" s="663"/>
      <c r="AS69" s="663"/>
      <c r="AT69" s="665"/>
      <c r="AU69" s="663"/>
      <c r="AV69" s="663"/>
      <c r="AW69" s="663"/>
      <c r="AX69" s="663"/>
      <c r="AY69" s="665"/>
      <c r="AZ69" s="665"/>
      <c r="BA69" s="670"/>
      <c r="BB69" s="658"/>
      <c r="BC69" s="169"/>
      <c r="BD69" s="1330"/>
      <c r="BE69" s="1330"/>
      <c r="BF69" s="1330"/>
      <c r="BG69" s="1330"/>
    </row>
    <row r="70" spans="1:59" ht="15.75" customHeight="1">
      <c r="A70" s="658" t="s">
        <v>3299</v>
      </c>
      <c r="B70" s="668" t="s">
        <v>3207</v>
      </c>
      <c r="C70" s="660">
        <f>+$C$68+$G$69</f>
        <v>86601.85</v>
      </c>
      <c r="D70" s="661"/>
      <c r="E70" s="661"/>
      <c r="F70" s="661">
        <v>-1800</v>
      </c>
      <c r="G70" s="662"/>
      <c r="H70" s="658" t="s">
        <v>619</v>
      </c>
      <c r="I70" s="661" t="s">
        <v>1429</v>
      </c>
      <c r="J70" s="660"/>
      <c r="K70" s="663"/>
      <c r="L70" s="658" t="s">
        <v>1697</v>
      </c>
      <c r="M70" s="658" t="s">
        <v>1686</v>
      </c>
      <c r="N70" s="658" t="s">
        <v>144</v>
      </c>
      <c r="O70" s="658" t="s">
        <v>140</v>
      </c>
      <c r="P70" s="658"/>
      <c r="Q70" s="658">
        <v>90</v>
      </c>
      <c r="R70" s="658">
        <v>-1804.7</v>
      </c>
      <c r="S70" s="662"/>
      <c r="T70" s="658">
        <v>30</v>
      </c>
      <c r="U70" s="658">
        <v>-15</v>
      </c>
      <c r="V70" s="658"/>
      <c r="W70" s="658">
        <v>1.4</v>
      </c>
      <c r="X70" s="658">
        <v>2.2999999999999998</v>
      </c>
      <c r="Y70" s="658"/>
      <c r="Z70" s="658"/>
      <c r="AA70" s="658">
        <v>0.45</v>
      </c>
      <c r="AB70" s="658"/>
      <c r="AC70" s="658" t="s">
        <v>1421</v>
      </c>
      <c r="AD70" s="658"/>
      <c r="AE70" s="658"/>
      <c r="AF70" s="658">
        <v>5200</v>
      </c>
      <c r="AG70" s="739">
        <v>86601</v>
      </c>
      <c r="AH70" s="658">
        <v>1853</v>
      </c>
      <c r="AI70" s="658">
        <v>160</v>
      </c>
      <c r="AJ70" s="658" t="s">
        <v>3048</v>
      </c>
      <c r="AK70" s="658"/>
      <c r="AL70" s="658"/>
      <c r="AM70" s="658" t="s">
        <v>1042</v>
      </c>
      <c r="AN70" s="662">
        <v>5.15</v>
      </c>
      <c r="AO70" s="658"/>
      <c r="AP70" s="658"/>
      <c r="AQ70" s="665"/>
      <c r="AR70" s="663"/>
      <c r="AS70" s="663"/>
      <c r="AT70" s="665">
        <f>+ab($T$70,$T$66,$T$72,$G$67,$G$71,-1*$F$70,1200)</f>
        <v>8.964247981244938</v>
      </c>
      <c r="AU70" s="663"/>
      <c r="AV70" s="663"/>
      <c r="AW70" s="663" t="s">
        <v>4976</v>
      </c>
      <c r="AX70" s="684"/>
      <c r="AY70" s="665"/>
      <c r="AZ70" s="665"/>
      <c r="BA70" s="670" t="s">
        <v>2809</v>
      </c>
      <c r="BB70" s="658" t="str">
        <f>Pole_Calculations!A156</f>
        <v>App.7.1-V01-P9.5.1.5</v>
      </c>
      <c r="BC70" s="169" t="s">
        <v>4954</v>
      </c>
      <c r="BD70" s="1329"/>
      <c r="BE70" s="1329"/>
      <c r="BF70" s="1330"/>
      <c r="BG70" s="1329"/>
    </row>
    <row r="71" spans="1:59" ht="15.75" customHeight="1">
      <c r="A71" s="658"/>
      <c r="B71" s="664"/>
      <c r="C71" s="660"/>
      <c r="D71" s="661"/>
      <c r="E71" s="661"/>
      <c r="F71" s="661"/>
      <c r="G71" s="662">
        <v>47</v>
      </c>
      <c r="H71" s="658"/>
      <c r="I71" s="661"/>
      <c r="J71" s="660"/>
      <c r="K71" s="663"/>
      <c r="L71" s="658"/>
      <c r="M71" s="658"/>
      <c r="N71" s="658"/>
      <c r="O71" s="658"/>
      <c r="P71" s="658"/>
      <c r="Q71" s="658"/>
      <c r="R71" s="658"/>
      <c r="S71" s="662">
        <f t="shared" ref="S71" si="32">AG72-AG70</f>
        <v>38</v>
      </c>
      <c r="T71" s="658"/>
      <c r="U71" s="658"/>
      <c r="V71" s="658"/>
      <c r="W71" s="658"/>
      <c r="X71" s="658"/>
      <c r="Y71" s="658"/>
      <c r="Z71" s="658"/>
      <c r="AA71" s="658"/>
      <c r="AB71" s="658"/>
      <c r="AC71" s="658"/>
      <c r="AD71" s="658"/>
      <c r="AE71" s="658"/>
      <c r="AF71" s="658"/>
      <c r="AG71" s="739"/>
      <c r="AH71" s="658"/>
      <c r="AI71" s="658"/>
      <c r="AJ71" s="658"/>
      <c r="AK71" s="658"/>
      <c r="AL71" s="658"/>
      <c r="AM71" s="658"/>
      <c r="AN71" s="662"/>
      <c r="AO71" s="658"/>
      <c r="AP71" s="658"/>
      <c r="AQ71" s="665">
        <f>+FL_1($U$72,$U$70,$G$71,1200,9.28,-1*$F$72)</f>
        <v>-2.2349199989047774E-2</v>
      </c>
      <c r="AR71" s="663"/>
      <c r="AS71" s="663"/>
      <c r="AT71" s="665"/>
      <c r="AU71" s="663"/>
      <c r="AV71" s="663"/>
      <c r="AW71" s="663"/>
      <c r="AX71" s="663"/>
      <c r="AY71" s="665"/>
      <c r="AZ71" s="665"/>
      <c r="BA71" s="670"/>
      <c r="BB71" s="658"/>
      <c r="BC71" s="169"/>
      <c r="BD71" s="1330"/>
      <c r="BE71" s="1330"/>
      <c r="BF71" s="1330"/>
      <c r="BG71" s="1330"/>
    </row>
    <row r="72" spans="1:59" ht="15.75" customHeight="1">
      <c r="A72" s="658"/>
      <c r="B72" s="659" t="s">
        <v>3208</v>
      </c>
      <c r="C72" s="660">
        <f>+$C$70+$G$71</f>
        <v>86648.85</v>
      </c>
      <c r="D72" s="661"/>
      <c r="E72" s="661"/>
      <c r="F72" s="661">
        <v>-2456</v>
      </c>
      <c r="G72" s="662"/>
      <c r="H72" s="658" t="s">
        <v>619</v>
      </c>
      <c r="I72" s="661"/>
      <c r="J72" s="660"/>
      <c r="K72" s="663"/>
      <c r="L72" s="658" t="s">
        <v>895</v>
      </c>
      <c r="M72" s="658" t="s">
        <v>1686</v>
      </c>
      <c r="N72" s="658" t="s">
        <v>140</v>
      </c>
      <c r="O72" s="658" t="s">
        <v>144</v>
      </c>
      <c r="P72" s="658"/>
      <c r="Q72" s="658">
        <v>60</v>
      </c>
      <c r="R72" s="658">
        <v>-2380.2600000000002</v>
      </c>
      <c r="S72" s="662"/>
      <c r="T72" s="658">
        <v>35</v>
      </c>
      <c r="U72" s="658">
        <v>-10</v>
      </c>
      <c r="V72" s="658"/>
      <c r="W72" s="658">
        <v>1</v>
      </c>
      <c r="X72" s="658">
        <v>2</v>
      </c>
      <c r="Y72" s="658"/>
      <c r="Z72" s="658">
        <v>0.45</v>
      </c>
      <c r="AA72" s="658"/>
      <c r="AB72" s="658"/>
      <c r="AC72" s="658" t="s">
        <v>1421</v>
      </c>
      <c r="AD72" s="658"/>
      <c r="AE72" s="658"/>
      <c r="AF72" s="658">
        <v>5800</v>
      </c>
      <c r="AG72" s="739">
        <v>86639</v>
      </c>
      <c r="AH72" s="658">
        <v>2253</v>
      </c>
      <c r="AI72" s="658">
        <v>350</v>
      </c>
      <c r="AJ72" s="658"/>
      <c r="AK72" s="658"/>
      <c r="AL72" s="658"/>
      <c r="AM72" s="658" t="s">
        <v>1042</v>
      </c>
      <c r="AN72" s="662">
        <v>5.15</v>
      </c>
      <c r="AO72" s="658"/>
      <c r="AP72" s="658"/>
      <c r="AQ72" s="665"/>
      <c r="AR72" s="663"/>
      <c r="AS72" s="663"/>
      <c r="AT72" s="665">
        <f>+ab($T$72,$T$70,$T$76,$G$71,$G$75,-1*$F$72,1200)</f>
        <v>9.9035874769613184</v>
      </c>
      <c r="AU72" s="663"/>
      <c r="AV72" s="663"/>
      <c r="AW72" s="663" t="s">
        <v>4976</v>
      </c>
      <c r="AX72" s="684"/>
      <c r="AY72" s="665"/>
      <c r="AZ72" s="665"/>
      <c r="BA72" s="670" t="s">
        <v>2809</v>
      </c>
      <c r="BB72" s="658" t="str">
        <f>Pole_Calculations!A156</f>
        <v>App.7.1-V01-P9.5.1.5</v>
      </c>
      <c r="BC72" s="169" t="s">
        <v>4954</v>
      </c>
      <c r="BD72" s="1329"/>
      <c r="BE72" s="1329"/>
      <c r="BF72" s="1330"/>
      <c r="BG72" s="1329"/>
    </row>
    <row r="73" spans="1:59" ht="15.75" customHeight="1">
      <c r="A73" s="658"/>
      <c r="B73" s="664"/>
      <c r="C73" s="660"/>
      <c r="D73" s="661"/>
      <c r="E73" s="661"/>
      <c r="F73" s="661"/>
      <c r="G73" s="662">
        <v>5</v>
      </c>
      <c r="H73" s="658"/>
      <c r="I73" s="661"/>
      <c r="J73" s="660"/>
      <c r="K73" s="663"/>
      <c r="L73" s="658"/>
      <c r="M73" s="658"/>
      <c r="N73" s="658"/>
      <c r="O73" s="658"/>
      <c r="P73" s="658"/>
      <c r="Q73" s="658"/>
      <c r="R73" s="658"/>
      <c r="S73" s="662">
        <f t="shared" ref="S73" si="33">AG74-AG72</f>
        <v>14</v>
      </c>
      <c r="T73" s="658"/>
      <c r="U73" s="658"/>
      <c r="V73" s="658"/>
      <c r="W73" s="658"/>
      <c r="X73" s="658"/>
      <c r="Y73" s="658"/>
      <c r="Z73" s="658"/>
      <c r="AA73" s="658"/>
      <c r="AB73" s="658"/>
      <c r="AC73" s="658"/>
      <c r="AD73" s="658"/>
      <c r="AE73" s="658"/>
      <c r="AF73" s="658"/>
      <c r="AG73" s="739"/>
      <c r="AH73" s="658"/>
      <c r="AI73" s="658"/>
      <c r="AJ73" s="658"/>
      <c r="AK73" s="658"/>
      <c r="AL73" s="658"/>
      <c r="AM73" s="658"/>
      <c r="AN73" s="662"/>
      <c r="AO73" s="658"/>
      <c r="AP73" s="658"/>
      <c r="AQ73" s="665">
        <f>+FL_1($T$76,$T$72,$G$75,1200,9.28,-1*$F$76)</f>
        <v>0.46472507172662836</v>
      </c>
      <c r="AR73" s="663"/>
      <c r="AS73" s="663"/>
      <c r="AT73" s="665"/>
      <c r="AU73" s="663"/>
      <c r="AV73" s="663"/>
      <c r="AW73" s="663"/>
      <c r="AX73" s="663"/>
      <c r="AY73" s="665"/>
      <c r="AZ73" s="665"/>
      <c r="BA73" s="670"/>
      <c r="BB73" s="658"/>
      <c r="BC73" s="169"/>
      <c r="BD73" s="1330"/>
      <c r="BE73" s="1330"/>
      <c r="BF73" s="1330"/>
      <c r="BG73" s="1330"/>
    </row>
    <row r="74" spans="1:59" ht="15.75" customHeight="1">
      <c r="A74" s="658" t="s">
        <v>3297</v>
      </c>
      <c r="B74" s="659" t="s">
        <v>3209</v>
      </c>
      <c r="C74" s="660">
        <f>+$C$72+$G$73</f>
        <v>86653.85</v>
      </c>
      <c r="D74" s="661"/>
      <c r="E74" s="661"/>
      <c r="F74" s="661"/>
      <c r="G74" s="662"/>
      <c r="H74" s="658"/>
      <c r="I74" s="661"/>
      <c r="J74" s="660"/>
      <c r="K74" s="663"/>
      <c r="L74" s="658" t="s">
        <v>1699</v>
      </c>
      <c r="M74" s="658" t="s">
        <v>1687</v>
      </c>
      <c r="N74" s="658"/>
      <c r="O74" s="658"/>
      <c r="P74" s="658"/>
      <c r="Q74" s="658">
        <v>90</v>
      </c>
      <c r="R74" s="658">
        <v>-2380.2600000000002</v>
      </c>
      <c r="S74" s="662"/>
      <c r="T74" s="658"/>
      <c r="U74" s="658"/>
      <c r="V74" s="658"/>
      <c r="W74" s="658"/>
      <c r="X74" s="658"/>
      <c r="Y74" s="658"/>
      <c r="Z74" s="658"/>
      <c r="AA74" s="658"/>
      <c r="AB74" s="658"/>
      <c r="AC74" s="658"/>
      <c r="AD74" s="658"/>
      <c r="AE74" s="658"/>
      <c r="AF74" s="658"/>
      <c r="AG74" s="739">
        <v>86653</v>
      </c>
      <c r="AH74" s="658">
        <v>2113</v>
      </c>
      <c r="AI74" s="658">
        <v>290</v>
      </c>
      <c r="AJ74" s="658" t="s">
        <v>883</v>
      </c>
      <c r="AK74" s="658"/>
      <c r="AL74" s="658"/>
      <c r="AM74" s="658" t="s">
        <v>1042</v>
      </c>
      <c r="AN74" s="662"/>
      <c r="AO74" s="658"/>
      <c r="AP74" s="658"/>
      <c r="AQ74" s="665"/>
      <c r="AR74" s="663"/>
      <c r="AS74" s="663"/>
      <c r="AT74" s="665"/>
      <c r="AU74" s="663"/>
      <c r="AV74" s="663"/>
      <c r="AW74" s="663" t="s">
        <v>4976</v>
      </c>
      <c r="AX74" s="684"/>
      <c r="AY74" s="665"/>
      <c r="AZ74" s="665"/>
      <c r="BA74" s="670" t="s">
        <v>2809</v>
      </c>
      <c r="BB74" s="658" t="str">
        <f>Pole_Calculations!A136</f>
        <v>App.7-V11A-P12.3.1.1</v>
      </c>
      <c r="BC74" s="169" t="s">
        <v>4954</v>
      </c>
      <c r="BD74" s="1329"/>
      <c r="BE74" s="1329"/>
      <c r="BF74" s="1330"/>
      <c r="BG74" s="1330"/>
    </row>
    <row r="75" spans="1:59" ht="15.75" customHeight="1">
      <c r="A75" s="658"/>
      <c r="B75" s="664"/>
      <c r="C75" s="660"/>
      <c r="D75" s="661"/>
      <c r="E75" s="661"/>
      <c r="F75" s="661"/>
      <c r="G75" s="662">
        <v>42</v>
      </c>
      <c r="H75" s="658"/>
      <c r="I75" s="661"/>
      <c r="J75" s="660"/>
      <c r="K75" s="663"/>
      <c r="L75" s="658"/>
      <c r="M75" s="658"/>
      <c r="N75" s="658"/>
      <c r="O75" s="658"/>
      <c r="P75" s="658"/>
      <c r="Q75" s="658"/>
      <c r="R75" s="658"/>
      <c r="S75" s="662">
        <f t="shared" ref="S75" si="34">AG76-AG74</f>
        <v>42</v>
      </c>
      <c r="T75" s="658"/>
      <c r="U75" s="658"/>
      <c r="V75" s="658"/>
      <c r="W75" s="658"/>
      <c r="X75" s="658"/>
      <c r="Y75" s="658"/>
      <c r="Z75" s="658"/>
      <c r="AA75" s="658"/>
      <c r="AB75" s="658"/>
      <c r="AC75" s="658"/>
      <c r="AD75" s="658"/>
      <c r="AE75" s="658"/>
      <c r="AF75" s="658"/>
      <c r="AG75" s="739"/>
      <c r="AH75" s="658"/>
      <c r="AI75" s="658"/>
      <c r="AJ75" s="658"/>
      <c r="AK75" s="658"/>
      <c r="AL75" s="658"/>
      <c r="AM75" s="658"/>
      <c r="AN75" s="662"/>
      <c r="AO75" s="658"/>
      <c r="AP75" s="658"/>
      <c r="AQ75" s="665"/>
      <c r="AR75" s="663"/>
      <c r="AS75" s="663"/>
      <c r="AT75" s="665"/>
      <c r="AU75" s="663"/>
      <c r="AV75" s="663"/>
      <c r="AW75" s="663"/>
      <c r="AX75" s="663"/>
      <c r="AY75" s="665"/>
      <c r="AZ75" s="665"/>
      <c r="BA75" s="670"/>
      <c r="BB75" s="658"/>
      <c r="BC75" s="169"/>
      <c r="BD75" s="1330"/>
      <c r="BE75" s="1330"/>
      <c r="BF75" s="1330"/>
      <c r="BG75" s="1330"/>
    </row>
    <row r="76" spans="1:59" ht="15.75" customHeight="1">
      <c r="A76" s="658" t="s">
        <v>3300</v>
      </c>
      <c r="B76" s="659" t="s">
        <v>3210</v>
      </c>
      <c r="C76" s="660">
        <f>+$C$74+$G$75</f>
        <v>86695.85</v>
      </c>
      <c r="D76" s="661"/>
      <c r="E76" s="661"/>
      <c r="F76" s="661">
        <v>-3952</v>
      </c>
      <c r="G76" s="662"/>
      <c r="H76" s="658" t="s">
        <v>619</v>
      </c>
      <c r="I76" s="661" t="s">
        <v>1429</v>
      </c>
      <c r="J76" s="660"/>
      <c r="K76" s="663"/>
      <c r="L76" s="658" t="s">
        <v>1697</v>
      </c>
      <c r="M76" s="658" t="s">
        <v>1686</v>
      </c>
      <c r="N76" s="658" t="s">
        <v>144</v>
      </c>
      <c r="O76" s="658" t="s">
        <v>140</v>
      </c>
      <c r="P76" s="658"/>
      <c r="Q76" s="658">
        <v>60</v>
      </c>
      <c r="R76" s="658">
        <v>-3889.63</v>
      </c>
      <c r="S76" s="662"/>
      <c r="T76" s="658">
        <v>35</v>
      </c>
      <c r="U76" s="658">
        <v>-10</v>
      </c>
      <c r="V76" s="658"/>
      <c r="W76" s="658">
        <v>0.8</v>
      </c>
      <c r="X76" s="658">
        <v>1.4</v>
      </c>
      <c r="Y76" s="658"/>
      <c r="Z76" s="658"/>
      <c r="AA76" s="658">
        <v>0.45</v>
      </c>
      <c r="AB76" s="658"/>
      <c r="AC76" s="658" t="s">
        <v>4115</v>
      </c>
      <c r="AD76" s="658"/>
      <c r="AE76" s="658"/>
      <c r="AF76" s="658">
        <v>5500</v>
      </c>
      <c r="AG76" s="739">
        <v>86695</v>
      </c>
      <c r="AH76" s="658">
        <v>2013</v>
      </c>
      <c r="AI76" s="658">
        <v>180</v>
      </c>
      <c r="AJ76" s="658" t="s">
        <v>3048</v>
      </c>
      <c r="AK76" s="658"/>
      <c r="AL76" s="658"/>
      <c r="AM76" s="658" t="s">
        <v>1042</v>
      </c>
      <c r="AN76" s="662">
        <v>5.15</v>
      </c>
      <c r="AO76" s="658"/>
      <c r="AP76" s="658"/>
      <c r="AQ76" s="665"/>
      <c r="AR76" s="663"/>
      <c r="AS76" s="663"/>
      <c r="AT76" s="665">
        <f>+ab($T$76,$T$72,$T$80,$G$75,$G$79,-1*$F$76,1200)</f>
        <v>7.9602059303359214</v>
      </c>
      <c r="AU76" s="663"/>
      <c r="AV76" s="663"/>
      <c r="AW76" s="663" t="s">
        <v>4976</v>
      </c>
      <c r="AX76" s="684"/>
      <c r="AY76" s="665"/>
      <c r="AZ76" s="665"/>
      <c r="BA76" s="670" t="s">
        <v>2809</v>
      </c>
      <c r="BB76" s="658" t="str">
        <f>Pole_Calculations!A156</f>
        <v>App.7.1-V01-P9.5.1.5</v>
      </c>
      <c r="BC76" s="169" t="s">
        <v>4954</v>
      </c>
      <c r="BD76" s="1329"/>
      <c r="BE76" s="1329"/>
      <c r="BF76" s="1330"/>
      <c r="BG76" s="1329"/>
    </row>
    <row r="77" spans="1:59" ht="15.75" customHeight="1">
      <c r="A77" s="658"/>
      <c r="B77" s="659"/>
      <c r="C77" s="660"/>
      <c r="D77" s="661"/>
      <c r="E77" s="661"/>
      <c r="F77" s="661"/>
      <c r="G77" s="662"/>
      <c r="H77" s="658"/>
      <c r="I77" s="661"/>
      <c r="J77" s="660"/>
      <c r="K77" s="663"/>
      <c r="L77" s="658"/>
      <c r="M77" s="658"/>
      <c r="N77" s="658"/>
      <c r="O77" s="658"/>
      <c r="P77" s="658"/>
      <c r="Q77" s="658"/>
      <c r="R77" s="658"/>
      <c r="S77" s="662">
        <f t="shared" ref="S77" si="35">AG78-AG76</f>
        <v>-86695</v>
      </c>
      <c r="T77" s="658"/>
      <c r="U77" s="658"/>
      <c r="V77" s="658"/>
      <c r="W77" s="658"/>
      <c r="X77" s="658"/>
      <c r="Y77" s="658"/>
      <c r="Z77" s="658"/>
      <c r="AA77" s="658"/>
      <c r="AB77" s="658"/>
      <c r="AC77" s="658"/>
      <c r="AD77" s="658"/>
      <c r="AE77" s="658"/>
      <c r="AF77" s="658"/>
      <c r="AG77" s="739"/>
      <c r="AH77" s="658"/>
      <c r="AI77" s="658"/>
      <c r="AJ77" s="658" t="s">
        <v>1360</v>
      </c>
      <c r="AK77" s="658"/>
      <c r="AL77" s="658"/>
      <c r="AM77" s="658"/>
      <c r="AN77" s="662"/>
      <c r="AO77" s="658"/>
      <c r="AP77" s="658"/>
      <c r="AQ77" s="665"/>
      <c r="AR77" s="663"/>
      <c r="AS77" s="663"/>
      <c r="AT77" s="665"/>
      <c r="AU77" s="663"/>
      <c r="AV77" s="663"/>
      <c r="AW77" s="663"/>
      <c r="AX77" s="684"/>
      <c r="AY77" s="665"/>
      <c r="AZ77" s="665"/>
      <c r="BA77" s="670"/>
      <c r="BB77" s="658"/>
      <c r="BC77" s="169"/>
      <c r="BD77" s="1330"/>
      <c r="BE77" s="1330"/>
      <c r="BF77" s="1330"/>
      <c r="BG77" s="1330"/>
    </row>
    <row r="78" spans="1:59" ht="15.75" customHeight="1">
      <c r="A78" s="658"/>
      <c r="B78" s="659" t="s">
        <v>4941</v>
      </c>
      <c r="C78" s="660">
        <f>C76+25</f>
        <v>86720.85</v>
      </c>
      <c r="D78" s="661"/>
      <c r="E78" s="661"/>
      <c r="F78" s="661"/>
      <c r="G78" s="662"/>
      <c r="H78" s="658"/>
      <c r="I78" s="661"/>
      <c r="J78" s="660"/>
      <c r="K78" s="663"/>
      <c r="L78" s="663" t="s">
        <v>4420</v>
      </c>
      <c r="M78" s="663" t="s">
        <v>2811</v>
      </c>
      <c r="N78" s="658"/>
      <c r="O78" s="658"/>
      <c r="P78" s="658"/>
      <c r="Q78" s="658"/>
      <c r="R78" s="658"/>
      <c r="S78" s="662"/>
      <c r="T78" s="658"/>
      <c r="U78" s="658"/>
      <c r="V78" s="658"/>
      <c r="W78" s="658"/>
      <c r="X78" s="658"/>
      <c r="Y78" s="658"/>
      <c r="Z78" s="658"/>
      <c r="AA78" s="658"/>
      <c r="AB78" s="658"/>
      <c r="AC78" s="658"/>
      <c r="AD78" s="658"/>
      <c r="AE78" s="658"/>
      <c r="AF78" s="658"/>
      <c r="AG78" s="739"/>
      <c r="AH78" s="658"/>
      <c r="AI78" s="658"/>
      <c r="AJ78" s="658"/>
      <c r="AK78" s="658"/>
      <c r="AL78" s="658"/>
      <c r="AM78" s="658"/>
      <c r="AN78" s="662"/>
      <c r="AO78" s="658"/>
      <c r="AP78" s="658"/>
      <c r="AQ78" s="665"/>
      <c r="AR78" s="663"/>
      <c r="AS78" s="663"/>
      <c r="AT78" s="665"/>
      <c r="AU78" s="663"/>
      <c r="AV78" s="663"/>
      <c r="AW78" s="663" t="s">
        <v>4979</v>
      </c>
      <c r="AX78" s="684"/>
      <c r="AY78" s="665"/>
      <c r="AZ78" s="665"/>
      <c r="BA78" s="670" t="s">
        <v>2809</v>
      </c>
      <c r="BB78" s="658"/>
      <c r="BC78" s="169" t="s">
        <v>4954</v>
      </c>
      <c r="BD78" s="1329"/>
      <c r="BE78" s="1329"/>
      <c r="BF78" s="1330"/>
      <c r="BG78" s="1330"/>
    </row>
    <row r="79" spans="1:59" ht="15.75" customHeight="1">
      <c r="A79" s="658"/>
      <c r="B79" s="664"/>
      <c r="C79" s="660"/>
      <c r="D79" s="661"/>
      <c r="E79" s="661"/>
      <c r="F79" s="661"/>
      <c r="G79" s="662">
        <v>56.7</v>
      </c>
      <c r="H79" s="658"/>
      <c r="I79" s="661"/>
      <c r="J79" s="660"/>
      <c r="K79" s="663"/>
      <c r="L79" s="658"/>
      <c r="M79" s="658"/>
      <c r="N79" s="658"/>
      <c r="O79" s="658"/>
      <c r="P79" s="658"/>
      <c r="Q79" s="658"/>
      <c r="R79" s="658"/>
      <c r="S79" s="662">
        <f t="shared" ref="S79" si="36">AG80-AG78</f>
        <v>86752</v>
      </c>
      <c r="T79" s="658"/>
      <c r="U79" s="658"/>
      <c r="V79" s="658"/>
      <c r="W79" s="658"/>
      <c r="X79" s="658"/>
      <c r="Y79" s="658"/>
      <c r="Z79" s="658"/>
      <c r="AA79" s="658"/>
      <c r="AB79" s="658"/>
      <c r="AC79" s="658"/>
      <c r="AD79" s="658"/>
      <c r="AE79" s="658"/>
      <c r="AF79" s="658"/>
      <c r="AG79" s="739"/>
      <c r="AH79" s="658"/>
      <c r="AI79" s="658"/>
      <c r="AJ79" s="658"/>
      <c r="AK79" s="658"/>
      <c r="AL79" s="658"/>
      <c r="AM79" s="658"/>
      <c r="AN79" s="662"/>
      <c r="AO79" s="658"/>
      <c r="AP79" s="658"/>
      <c r="AQ79" s="665">
        <f>+FL_1($T$80,$T$76,$G$79,1200,9.28,-1*$F$80)</f>
        <v>0.40456548746311993</v>
      </c>
      <c r="AR79" s="663"/>
      <c r="AS79" s="663"/>
      <c r="AT79" s="665"/>
      <c r="AU79" s="663"/>
      <c r="AV79" s="663"/>
      <c r="AW79" s="663"/>
      <c r="AX79" s="663"/>
      <c r="AY79" s="665"/>
      <c r="AZ79" s="665"/>
      <c r="BA79" s="670"/>
      <c r="BB79" s="658"/>
      <c r="BC79" s="169"/>
      <c r="BD79" s="1330"/>
      <c r="BE79" s="1330"/>
      <c r="BF79" s="1330"/>
      <c r="BG79" s="1330"/>
    </row>
    <row r="80" spans="1:59" ht="15.75" customHeight="1">
      <c r="A80" s="658"/>
      <c r="B80" s="659" t="s">
        <v>3211</v>
      </c>
      <c r="C80" s="660">
        <f>+$C$76+$G$79</f>
        <v>86752.55</v>
      </c>
      <c r="D80" s="661"/>
      <c r="E80" s="661"/>
      <c r="F80" s="661">
        <v>-17508</v>
      </c>
      <c r="G80" s="662"/>
      <c r="H80" s="658" t="s">
        <v>138</v>
      </c>
      <c r="I80" s="661" t="s">
        <v>623</v>
      </c>
      <c r="J80" s="660"/>
      <c r="K80" s="663"/>
      <c r="L80" s="658" t="s">
        <v>898</v>
      </c>
      <c r="M80" s="658" t="s">
        <v>1541</v>
      </c>
      <c r="N80" s="658" t="s">
        <v>2796</v>
      </c>
      <c r="O80" s="658"/>
      <c r="P80" s="658"/>
      <c r="Q80" s="658">
        <v>30</v>
      </c>
      <c r="R80" s="658">
        <v>-16450.41</v>
      </c>
      <c r="S80" s="662"/>
      <c r="T80" s="658">
        <v>-30</v>
      </c>
      <c r="U80" s="658"/>
      <c r="V80" s="658"/>
      <c r="W80" s="658">
        <v>0.6</v>
      </c>
      <c r="X80" s="658"/>
      <c r="Y80" s="658"/>
      <c r="Z80" s="658"/>
      <c r="AA80" s="658"/>
      <c r="AB80" s="658"/>
      <c r="AC80" s="658" t="s">
        <v>1417</v>
      </c>
      <c r="AD80" s="658"/>
      <c r="AE80" s="658"/>
      <c r="AF80" s="658"/>
      <c r="AG80" s="739">
        <v>86752</v>
      </c>
      <c r="AH80" s="658">
        <v>2233</v>
      </c>
      <c r="AI80" s="658">
        <v>300</v>
      </c>
      <c r="AJ80" s="658"/>
      <c r="AK80" s="658"/>
      <c r="AL80" s="658"/>
      <c r="AM80" s="658" t="s">
        <v>1042</v>
      </c>
      <c r="AN80" s="662">
        <v>5.15</v>
      </c>
      <c r="AO80" s="658"/>
      <c r="AP80" s="658"/>
      <c r="AQ80" s="665"/>
      <c r="AR80" s="663"/>
      <c r="AS80" s="663"/>
      <c r="AT80" s="665">
        <f>+ab($T$80,$T$76,$T$82,$G$79,$G$81,-1*$F$80,1200)</f>
        <v>-8.283542939815316</v>
      </c>
      <c r="AU80" s="663"/>
      <c r="AV80" s="663"/>
      <c r="AW80" s="663" t="s">
        <v>4975</v>
      </c>
      <c r="AX80" s="684"/>
      <c r="AY80" s="665"/>
      <c r="AZ80" s="665"/>
      <c r="BA80" s="670" t="s">
        <v>2809</v>
      </c>
      <c r="BB80" s="658" t="str">
        <f>Pole_Calculations!A157</f>
        <v>App.7.1-V01-P9.5.1.6</v>
      </c>
      <c r="BC80" s="169" t="s">
        <v>4954</v>
      </c>
      <c r="BD80" s="1329"/>
      <c r="BE80" s="1329"/>
      <c r="BF80" s="1330"/>
      <c r="BG80" s="1329"/>
    </row>
    <row r="81" spans="1:59" ht="15.75" customHeight="1">
      <c r="A81" s="495"/>
      <c r="B81" s="491"/>
      <c r="C81" s="489"/>
      <c r="D81" s="492"/>
      <c r="E81" s="492"/>
      <c r="F81" s="492"/>
      <c r="G81" s="457">
        <v>45</v>
      </c>
      <c r="H81" s="495"/>
      <c r="I81" s="492"/>
      <c r="J81" s="489">
        <f>C80+7.5</f>
        <v>86760.05</v>
      </c>
      <c r="K81" s="490" t="s">
        <v>1684</v>
      </c>
      <c r="L81" s="495"/>
      <c r="M81" s="495"/>
      <c r="N81" s="495"/>
      <c r="O81" s="495"/>
      <c r="P81" s="495"/>
      <c r="Q81" s="495"/>
      <c r="R81" s="495"/>
      <c r="S81" s="457">
        <f t="shared" ref="S81" si="37">AG82-AG80</f>
        <v>35</v>
      </c>
      <c r="T81" s="495"/>
      <c r="U81" s="495"/>
      <c r="V81" s="495"/>
      <c r="W81" s="495"/>
      <c r="X81" s="495"/>
      <c r="Y81" s="495"/>
      <c r="Z81" s="495"/>
      <c r="AA81" s="495"/>
      <c r="AB81" s="495"/>
      <c r="AC81" s="495"/>
      <c r="AD81" s="495"/>
      <c r="AE81" s="495"/>
      <c r="AF81" s="495"/>
      <c r="AG81" s="431"/>
      <c r="AH81" s="495"/>
      <c r="AI81" s="495"/>
      <c r="AJ81" s="495"/>
      <c r="AK81" s="495"/>
      <c r="AL81" s="495"/>
      <c r="AM81" s="495" t="s">
        <v>3053</v>
      </c>
      <c r="AN81" s="457"/>
      <c r="AO81" s="495"/>
      <c r="AP81" s="495"/>
      <c r="AQ81" s="493">
        <f>+FL_1($T$82,$T$80,$G$81,1200,9.28,-1*$F$82)</f>
        <v>0.35564782755555552</v>
      </c>
      <c r="AR81" s="490"/>
      <c r="AS81" s="490"/>
      <c r="AT81" s="493"/>
      <c r="AU81" s="490"/>
      <c r="AV81" s="490"/>
      <c r="AW81" s="490" t="s">
        <v>2846</v>
      </c>
      <c r="AX81" s="490"/>
      <c r="AY81" s="493"/>
      <c r="AZ81" s="493"/>
      <c r="BA81" s="602" t="s">
        <v>2809</v>
      </c>
      <c r="BB81" s="495"/>
      <c r="BC81" s="169" t="s">
        <v>4955</v>
      </c>
      <c r="BD81" s="1329"/>
      <c r="BE81" s="1330"/>
      <c r="BF81" s="1330"/>
      <c r="BG81" s="1330"/>
    </row>
    <row r="82" spans="1:59" ht="15.75" customHeight="1">
      <c r="A82" s="488" t="s">
        <v>1851</v>
      </c>
      <c r="B82" s="656" t="s">
        <v>3212</v>
      </c>
      <c r="C82" s="489">
        <f>+$C$80+$G$81</f>
        <v>86797.55</v>
      </c>
      <c r="D82" s="492"/>
      <c r="E82" s="492"/>
      <c r="F82" s="492">
        <v>0</v>
      </c>
      <c r="G82" s="457"/>
      <c r="H82" s="495"/>
      <c r="I82" s="492"/>
      <c r="J82" s="489"/>
      <c r="K82" s="490"/>
      <c r="L82" s="495" t="s">
        <v>1682</v>
      </c>
      <c r="M82" s="495"/>
      <c r="N82" s="495" t="s">
        <v>144</v>
      </c>
      <c r="O82" s="495"/>
      <c r="P82" s="495"/>
      <c r="Q82" s="495">
        <v>0</v>
      </c>
      <c r="R82" s="495">
        <v>0</v>
      </c>
      <c r="S82" s="457"/>
      <c r="T82" s="495">
        <v>35</v>
      </c>
      <c r="U82" s="495"/>
      <c r="V82" s="495"/>
      <c r="W82" s="495">
        <v>0.6</v>
      </c>
      <c r="X82" s="495"/>
      <c r="Y82" s="495"/>
      <c r="Z82" s="495"/>
      <c r="AA82" s="495"/>
      <c r="AB82" s="495"/>
      <c r="AC82" s="495" t="s">
        <v>4090</v>
      </c>
      <c r="AD82" s="495"/>
      <c r="AE82" s="495"/>
      <c r="AF82" s="495">
        <v>1000</v>
      </c>
      <c r="AG82" s="431">
        <v>86787</v>
      </c>
      <c r="AH82" s="495">
        <v>2063</v>
      </c>
      <c r="AI82" s="495">
        <v>-4650</v>
      </c>
      <c r="AJ82" s="495"/>
      <c r="AK82" s="495"/>
      <c r="AL82" s="495"/>
      <c r="AM82" s="495" t="s">
        <v>3053</v>
      </c>
      <c r="AN82" s="457">
        <v>5.15</v>
      </c>
      <c r="AO82" s="495"/>
      <c r="AP82" s="495"/>
      <c r="AQ82" s="493"/>
      <c r="AR82" s="490"/>
      <c r="AS82" s="490"/>
      <c r="AT82" s="493">
        <f>+ab($T$82,$T$80,$T$84,$G$81,$G$83,-1*$F$82,1200)</f>
        <v>6.3700363060812064</v>
      </c>
      <c r="AU82" s="490"/>
      <c r="AV82" s="490"/>
      <c r="AW82" s="490" t="s">
        <v>2846</v>
      </c>
      <c r="AX82" s="490"/>
      <c r="AY82" s="493"/>
      <c r="AZ82" s="493"/>
      <c r="BA82" s="602" t="s">
        <v>2809</v>
      </c>
      <c r="BB82" s="488"/>
      <c r="BC82" s="169"/>
      <c r="BD82" s="1330"/>
      <c r="BE82" s="1329"/>
      <c r="BF82" s="1330"/>
      <c r="BG82" s="1329"/>
    </row>
    <row r="83" spans="1:59" ht="15.75" customHeight="1">
      <c r="A83" s="495"/>
      <c r="B83" s="491"/>
      <c r="C83" s="489"/>
      <c r="D83" s="492"/>
      <c r="E83" s="492"/>
      <c r="F83" s="492"/>
      <c r="G83" s="457">
        <v>45</v>
      </c>
      <c r="H83" s="495"/>
      <c r="I83" s="492"/>
      <c r="J83" s="489"/>
      <c r="K83" s="490"/>
      <c r="L83" s="495"/>
      <c r="M83" s="495"/>
      <c r="N83" s="495"/>
      <c r="O83" s="495"/>
      <c r="P83" s="495"/>
      <c r="Q83" s="495"/>
      <c r="R83" s="495"/>
      <c r="S83" s="457">
        <f t="shared" ref="S83" si="38">AG84-AG82</f>
        <v>55</v>
      </c>
      <c r="T83" s="495"/>
      <c r="U83" s="495"/>
      <c r="V83" s="495"/>
      <c r="W83" s="495"/>
      <c r="X83" s="495"/>
      <c r="Y83" s="495"/>
      <c r="Z83" s="495"/>
      <c r="AA83" s="495"/>
      <c r="AB83" s="495"/>
      <c r="AC83" s="495"/>
      <c r="AD83" s="495"/>
      <c r="AE83" s="495"/>
      <c r="AF83" s="495"/>
      <c r="AG83" s="431"/>
      <c r="AH83" s="495"/>
      <c r="AI83" s="495"/>
      <c r="AJ83" s="495"/>
      <c r="AK83" s="495"/>
      <c r="AL83" s="495"/>
      <c r="AM83" s="495" t="s">
        <v>3053</v>
      </c>
      <c r="AN83" s="457"/>
      <c r="AO83" s="495"/>
      <c r="AP83" s="495"/>
      <c r="AQ83" s="493">
        <f>+FL_2($T$84,$T$82,$G$83,1200,9.28,-1*$F$84)</f>
        <v>-0.35219954355555555</v>
      </c>
      <c r="AR83" s="490"/>
      <c r="AS83" s="490"/>
      <c r="AT83" s="493"/>
      <c r="AU83" s="490"/>
      <c r="AV83" s="490"/>
      <c r="AW83" s="490"/>
      <c r="AX83" s="490"/>
      <c r="AY83" s="493"/>
      <c r="AZ83" s="493"/>
      <c r="BA83" s="602"/>
      <c r="BB83" s="495"/>
      <c r="BC83" s="169"/>
      <c r="BD83" s="1330"/>
      <c r="BE83" s="1330"/>
      <c r="BF83" s="1330"/>
      <c r="BG83" s="1330"/>
    </row>
    <row r="84" spans="1:59" ht="15.75" customHeight="1">
      <c r="A84" s="658" t="s">
        <v>3517</v>
      </c>
      <c r="B84" s="668" t="s">
        <v>3213</v>
      </c>
      <c r="C84" s="660">
        <f>+$C$82+$G$83</f>
        <v>86842.55</v>
      </c>
      <c r="D84" s="661"/>
      <c r="E84" s="661"/>
      <c r="F84" s="661">
        <v>0</v>
      </c>
      <c r="G84" s="662"/>
      <c r="H84" s="658"/>
      <c r="I84" s="661"/>
      <c r="J84" s="660"/>
      <c r="K84" s="663"/>
      <c r="L84" s="658" t="s">
        <v>230</v>
      </c>
      <c r="M84" s="658" t="s">
        <v>1541</v>
      </c>
      <c r="N84" s="658" t="s">
        <v>143</v>
      </c>
      <c r="O84" s="658"/>
      <c r="P84" s="658"/>
      <c r="Q84" s="658">
        <v>0</v>
      </c>
      <c r="R84" s="658">
        <v>0</v>
      </c>
      <c r="S84" s="662"/>
      <c r="T84" s="658">
        <v>-35</v>
      </c>
      <c r="U84" s="658"/>
      <c r="V84" s="658"/>
      <c r="W84" s="658">
        <v>0.6</v>
      </c>
      <c r="X84" s="658"/>
      <c r="Y84" s="658"/>
      <c r="Z84" s="658"/>
      <c r="AA84" s="658"/>
      <c r="AB84" s="658"/>
      <c r="AC84" s="658" t="s">
        <v>4090</v>
      </c>
      <c r="AD84" s="658"/>
      <c r="AE84" s="658"/>
      <c r="AF84" s="658">
        <v>4900</v>
      </c>
      <c r="AG84" s="739">
        <v>86842</v>
      </c>
      <c r="AH84" s="658">
        <v>2873</v>
      </c>
      <c r="AI84" s="658">
        <v>-780</v>
      </c>
      <c r="AJ84" s="658"/>
      <c r="AK84" s="658"/>
      <c r="AL84" s="658"/>
      <c r="AM84" s="658" t="s">
        <v>1042</v>
      </c>
      <c r="AN84" s="662">
        <v>5.15</v>
      </c>
      <c r="AO84" s="658"/>
      <c r="AP84" s="658"/>
      <c r="AQ84" s="665"/>
      <c r="AR84" s="663"/>
      <c r="AS84" s="663"/>
      <c r="AT84" s="665">
        <f>+ab($T$84,$T$82,$T$86,$G$83,$G$85,-1*$F$84,1200)</f>
        <v>-6.0758067196573107</v>
      </c>
      <c r="AU84" s="663"/>
      <c r="AV84" s="663"/>
      <c r="AW84" s="663" t="s">
        <v>4975</v>
      </c>
      <c r="AX84" s="684"/>
      <c r="AY84" s="665"/>
      <c r="AZ84" s="665"/>
      <c r="BA84" s="670" t="s">
        <v>2809</v>
      </c>
      <c r="BB84" s="658" t="str">
        <f>Pole_Calculations!A152</f>
        <v>App.7.1-V01-P9.5.1.1</v>
      </c>
      <c r="BC84" s="169" t="s">
        <v>4954</v>
      </c>
      <c r="BD84" s="1329"/>
      <c r="BE84" s="1329"/>
      <c r="BF84" s="1330"/>
      <c r="BG84" s="1329"/>
    </row>
    <row r="85" spans="1:59" ht="15.75" customHeight="1">
      <c r="A85" s="1239"/>
      <c r="B85" s="447"/>
      <c r="C85" s="446"/>
      <c r="D85" s="448"/>
      <c r="E85" s="448"/>
      <c r="F85" s="448"/>
      <c r="G85" s="455">
        <v>44</v>
      </c>
      <c r="H85" s="1239"/>
      <c r="I85" s="448"/>
      <c r="J85" s="446"/>
      <c r="K85" s="638"/>
      <c r="L85" s="1239"/>
      <c r="M85" s="1239"/>
      <c r="N85" s="1239"/>
      <c r="O85" s="1239"/>
      <c r="P85" s="1239"/>
      <c r="Q85" s="1239"/>
      <c r="R85" s="1239"/>
      <c r="S85" s="455">
        <f t="shared" ref="S85" si="39">AG86-AG84</f>
        <v>44</v>
      </c>
      <c r="T85" s="1239"/>
      <c r="U85" s="1239"/>
      <c r="V85" s="1239"/>
      <c r="W85" s="1239"/>
      <c r="X85" s="1239"/>
      <c r="Y85" s="1239"/>
      <c r="Z85" s="1239"/>
      <c r="AA85" s="1239"/>
      <c r="AB85" s="1239"/>
      <c r="AC85" s="1239"/>
      <c r="AD85" s="1239"/>
      <c r="AE85" s="1239"/>
      <c r="AF85" s="1239"/>
      <c r="AG85" s="171"/>
      <c r="AH85" s="1239"/>
      <c r="AI85" s="1239"/>
      <c r="AJ85" s="1239"/>
      <c r="AK85" s="1239"/>
      <c r="AL85" s="1239"/>
      <c r="AM85" s="1239"/>
      <c r="AN85" s="455"/>
      <c r="AO85" s="1239"/>
      <c r="AP85" s="1239"/>
      <c r="AQ85" s="484">
        <f>+FL_1($T$86,$T$84,$G$85,1200,9.28,-1*$F$86)</f>
        <v>0.36363832729337026</v>
      </c>
      <c r="AR85" s="484"/>
      <c r="AS85" s="484"/>
      <c r="AT85" s="484"/>
      <c r="AU85" s="638"/>
      <c r="AV85" s="638"/>
      <c r="AW85" s="638"/>
      <c r="AX85" s="638"/>
      <c r="AY85" s="484"/>
      <c r="AZ85" s="484"/>
      <c r="BA85" s="671"/>
      <c r="BB85" s="1239"/>
      <c r="BC85" s="169"/>
      <c r="BD85" s="1330"/>
      <c r="BE85" s="1330"/>
      <c r="BF85" s="1330"/>
      <c r="BG85" s="1330"/>
    </row>
    <row r="86" spans="1:59" ht="15.75" customHeight="1">
      <c r="A86" s="449"/>
      <c r="B86" s="450" t="s">
        <v>3214</v>
      </c>
      <c r="C86" s="446">
        <f>+$C$84+$G$85</f>
        <v>86886.55</v>
      </c>
      <c r="D86" s="638"/>
      <c r="E86" s="638"/>
      <c r="F86" s="447">
        <v>5500</v>
      </c>
      <c r="G86" s="455"/>
      <c r="H86" s="1239"/>
      <c r="I86" s="448"/>
      <c r="J86" s="446"/>
      <c r="K86" s="638"/>
      <c r="L86" s="1239" t="s">
        <v>230</v>
      </c>
      <c r="M86" s="1239" t="s">
        <v>1541</v>
      </c>
      <c r="N86" s="1239" t="s">
        <v>144</v>
      </c>
      <c r="O86" s="1239"/>
      <c r="P86" s="1239"/>
      <c r="Q86" s="1239">
        <v>0</v>
      </c>
      <c r="R86" s="1239">
        <v>0</v>
      </c>
      <c r="S86" s="455"/>
      <c r="T86" s="1285">
        <v>35</v>
      </c>
      <c r="U86" s="1285"/>
      <c r="V86" s="1285"/>
      <c r="W86" s="1285">
        <v>0.7</v>
      </c>
      <c r="X86" s="1285"/>
      <c r="Y86" s="1285"/>
      <c r="Z86" s="1285"/>
      <c r="AA86" s="1285"/>
      <c r="AB86" s="1285"/>
      <c r="AC86" s="1285" t="s">
        <v>4090</v>
      </c>
      <c r="AD86" s="1285"/>
      <c r="AE86" s="1285"/>
      <c r="AF86" s="1285">
        <v>5200</v>
      </c>
      <c r="AG86" s="1350">
        <v>86886</v>
      </c>
      <c r="AH86" s="1285">
        <v>2633</v>
      </c>
      <c r="AI86" s="1285">
        <v>-670</v>
      </c>
      <c r="AJ86" s="1239"/>
      <c r="AK86" s="1239"/>
      <c r="AL86" s="1239"/>
      <c r="AM86" s="1239" t="s">
        <v>1042</v>
      </c>
      <c r="AN86" s="455">
        <v>5.21</v>
      </c>
      <c r="AO86" s="1239"/>
      <c r="AP86" s="1239"/>
      <c r="AQ86" s="484"/>
      <c r="AR86" s="484"/>
      <c r="AS86" s="484"/>
      <c r="AT86" s="484">
        <f>+ab($T$86,$T$84,$T$88,$G$85,$G$87,-1*$F$86,1200)</f>
        <v>8.0040846734371769</v>
      </c>
      <c r="AU86" s="638"/>
      <c r="AV86" s="638"/>
      <c r="AW86" s="638" t="s">
        <v>4975</v>
      </c>
      <c r="AX86" s="572"/>
      <c r="AY86" s="484"/>
      <c r="AZ86" s="484"/>
      <c r="BA86" s="671" t="s">
        <v>2809</v>
      </c>
      <c r="BB86" s="449" t="str">
        <f>Pole_Calculations!A152</f>
        <v>App.7.1-V01-P9.5.1.1</v>
      </c>
      <c r="BC86" s="169" t="s">
        <v>4954</v>
      </c>
      <c r="BD86" s="1329"/>
      <c r="BE86" s="1329"/>
      <c r="BF86" s="1330"/>
      <c r="BG86" s="1329"/>
    </row>
    <row r="87" spans="1:59" ht="15.75" customHeight="1">
      <c r="A87" s="449"/>
      <c r="B87" s="445"/>
      <c r="C87" s="446"/>
      <c r="D87" s="638"/>
      <c r="E87" s="638"/>
      <c r="F87" s="447"/>
      <c r="G87" s="455">
        <v>44</v>
      </c>
      <c r="H87" s="1239"/>
      <c r="I87" s="448"/>
      <c r="J87" s="446"/>
      <c r="K87" s="638"/>
      <c r="L87" s="1239"/>
      <c r="M87" s="1239"/>
      <c r="N87" s="1239"/>
      <c r="O87" s="1239"/>
      <c r="P87" s="1239"/>
      <c r="Q87" s="1239"/>
      <c r="R87" s="1239"/>
      <c r="S87" s="455">
        <f t="shared" ref="S87" si="40">AG88-AG86</f>
        <v>44</v>
      </c>
      <c r="T87" s="1239"/>
      <c r="U87" s="1239"/>
      <c r="V87" s="1239"/>
      <c r="W87" s="1239"/>
      <c r="X87" s="1239"/>
      <c r="Y87" s="1239"/>
      <c r="Z87" s="1239"/>
      <c r="AA87" s="1239"/>
      <c r="AB87" s="1239"/>
      <c r="AC87" s="1239"/>
      <c r="AD87" s="1239"/>
      <c r="AE87" s="1239"/>
      <c r="AF87" s="1239"/>
      <c r="AG87" s="171"/>
      <c r="AH87" s="1239"/>
      <c r="AI87" s="1239"/>
      <c r="AJ87" s="1239"/>
      <c r="AK87" s="1239"/>
      <c r="AL87" s="1239"/>
      <c r="AM87" s="1239"/>
      <c r="AN87" s="455"/>
      <c r="AO87" s="1239"/>
      <c r="AP87" s="1239"/>
      <c r="AQ87" s="484">
        <f>+FL_2($T$88,$T$86,$G$87,1200,9.28,-1*$F$88)</f>
        <v>-0.35078837199999996</v>
      </c>
      <c r="AR87" s="484"/>
      <c r="AS87" s="484"/>
      <c r="AT87" s="484"/>
      <c r="AU87" s="638"/>
      <c r="AV87" s="638"/>
      <c r="AW87" s="638"/>
      <c r="AX87" s="572"/>
      <c r="AY87" s="484"/>
      <c r="AZ87" s="484"/>
      <c r="BA87" s="671"/>
      <c r="BB87" s="449"/>
      <c r="BC87" s="169"/>
      <c r="BD87" s="1330"/>
      <c r="BE87" s="1330"/>
      <c r="BF87" s="1330"/>
      <c r="BG87" s="1330"/>
    </row>
    <row r="88" spans="1:59" ht="15.75" customHeight="1">
      <c r="A88" s="449"/>
      <c r="B88" s="450" t="s">
        <v>3215</v>
      </c>
      <c r="C88" s="446">
        <f>+$C$86+$G$87</f>
        <v>86930.55</v>
      </c>
      <c r="D88" s="638"/>
      <c r="E88" s="638"/>
      <c r="F88" s="447">
        <v>0</v>
      </c>
      <c r="G88" s="455"/>
      <c r="H88" s="1239"/>
      <c r="I88" s="448"/>
      <c r="J88" s="446"/>
      <c r="K88" s="638"/>
      <c r="L88" s="1239" t="s">
        <v>230</v>
      </c>
      <c r="M88" s="1239" t="s">
        <v>1541</v>
      </c>
      <c r="N88" s="1239" t="s">
        <v>143</v>
      </c>
      <c r="O88" s="1239"/>
      <c r="P88" s="1239"/>
      <c r="Q88" s="1239">
        <v>0</v>
      </c>
      <c r="R88" s="1239">
        <v>0</v>
      </c>
      <c r="S88" s="455"/>
      <c r="T88" s="1285">
        <v>-35</v>
      </c>
      <c r="U88" s="1285"/>
      <c r="V88" s="1285"/>
      <c r="W88" s="1285">
        <v>0.8</v>
      </c>
      <c r="X88" s="1285"/>
      <c r="Y88" s="1285"/>
      <c r="Z88" s="1285"/>
      <c r="AA88" s="1285"/>
      <c r="AB88" s="1285"/>
      <c r="AC88" s="1285" t="s">
        <v>4115</v>
      </c>
      <c r="AD88" s="1285"/>
      <c r="AE88" s="1285"/>
      <c r="AF88" s="1285">
        <v>4700</v>
      </c>
      <c r="AG88" s="1350">
        <v>86930</v>
      </c>
      <c r="AH88" s="1285">
        <v>2673</v>
      </c>
      <c r="AI88" s="1285">
        <v>-590</v>
      </c>
      <c r="AJ88" s="1239"/>
      <c r="AK88" s="1239"/>
      <c r="AL88" s="1239"/>
      <c r="AM88" s="1239" t="s">
        <v>1042</v>
      </c>
      <c r="AN88" s="455">
        <v>5.32</v>
      </c>
      <c r="AO88" s="1239"/>
      <c r="AP88" s="1239"/>
      <c r="AQ88" s="484"/>
      <c r="AR88" s="484"/>
      <c r="AS88" s="484"/>
      <c r="AT88" s="484">
        <f>+ab($T$88,$T$86,$T$90,$G$87,$G$89,-1*$F$88,1200)</f>
        <v>-6.0491852293148796</v>
      </c>
      <c r="AU88" s="638"/>
      <c r="AV88" s="638"/>
      <c r="AW88" s="638" t="s">
        <v>4975</v>
      </c>
      <c r="AX88" s="572"/>
      <c r="AY88" s="484"/>
      <c r="AZ88" s="484"/>
      <c r="BA88" s="671" t="s">
        <v>2809</v>
      </c>
      <c r="BB88" s="449" t="str">
        <f>Pole_Calculations!A152</f>
        <v>App.7.1-V01-P9.5.1.1</v>
      </c>
      <c r="BC88" s="169" t="s">
        <v>4954</v>
      </c>
      <c r="BD88" s="1329"/>
      <c r="BE88" s="1329"/>
      <c r="BF88" s="1330"/>
      <c r="BG88" s="1329"/>
    </row>
    <row r="89" spans="1:59" ht="15.75" customHeight="1">
      <c r="A89" s="449"/>
      <c r="B89" s="445"/>
      <c r="C89" s="446"/>
      <c r="D89" s="638"/>
      <c r="E89" s="638"/>
      <c r="F89" s="447"/>
      <c r="G89" s="455">
        <v>44.6</v>
      </c>
      <c r="H89" s="1239"/>
      <c r="I89" s="448"/>
      <c r="J89" s="446">
        <f>C90-7.5</f>
        <v>86967.650000000009</v>
      </c>
      <c r="K89" s="638" t="s">
        <v>1685</v>
      </c>
      <c r="L89" s="1239"/>
      <c r="M89" s="1239"/>
      <c r="N89" s="1239"/>
      <c r="O89" s="1239"/>
      <c r="P89" s="1239"/>
      <c r="Q89" s="1239"/>
      <c r="R89" s="1239"/>
      <c r="S89" s="455">
        <f t="shared" ref="S89" si="41">AG90-AG88</f>
        <v>45</v>
      </c>
      <c r="T89" s="1239"/>
      <c r="U89" s="1239"/>
      <c r="V89" s="1239"/>
      <c r="W89" s="1239"/>
      <c r="X89" s="1239"/>
      <c r="Y89" s="1239"/>
      <c r="Z89" s="1239"/>
      <c r="AA89" s="1239"/>
      <c r="AB89" s="1239"/>
      <c r="AC89" s="1239"/>
      <c r="AD89" s="1239"/>
      <c r="AE89" s="1239"/>
      <c r="AF89" s="1239"/>
      <c r="AG89" s="171"/>
      <c r="AH89" s="1239"/>
      <c r="AI89" s="1239"/>
      <c r="AJ89" s="1239"/>
      <c r="AK89" s="1239"/>
      <c r="AL89" s="1239"/>
      <c r="AM89" s="1239"/>
      <c r="AN89" s="455"/>
      <c r="AO89" s="1239"/>
      <c r="AP89" s="1239"/>
      <c r="AQ89" s="484">
        <f>+FL_2($T$90,$T$88,$G$89,1200,9.28,-1*$F$90)</f>
        <v>-0.35155386547085193</v>
      </c>
      <c r="AR89" s="484"/>
      <c r="AS89" s="484"/>
      <c r="AT89" s="484"/>
      <c r="AU89" s="638"/>
      <c r="AV89" s="638"/>
      <c r="AW89" s="638" t="s">
        <v>2846</v>
      </c>
      <c r="AX89" s="572"/>
      <c r="AY89" s="484"/>
      <c r="AZ89" s="484"/>
      <c r="BA89" s="671" t="s">
        <v>2809</v>
      </c>
      <c r="BB89" s="449"/>
      <c r="BC89" s="169" t="s">
        <v>4954</v>
      </c>
      <c r="BD89" s="1329"/>
      <c r="BE89" s="1330"/>
      <c r="BF89" s="1330"/>
      <c r="BG89" s="1330"/>
    </row>
    <row r="90" spans="1:59" ht="15.75" customHeight="1">
      <c r="A90" s="449"/>
      <c r="B90" s="450" t="s">
        <v>3216</v>
      </c>
      <c r="C90" s="446">
        <f>+$C$88+$G$89</f>
        <v>86975.150000000009</v>
      </c>
      <c r="D90" s="638"/>
      <c r="E90" s="638"/>
      <c r="F90" s="447">
        <v>0</v>
      </c>
      <c r="G90" s="455"/>
      <c r="H90" s="1239" t="s">
        <v>873</v>
      </c>
      <c r="I90" s="448"/>
      <c r="J90" s="446"/>
      <c r="K90" s="638"/>
      <c r="L90" s="1239" t="s">
        <v>230</v>
      </c>
      <c r="M90" s="1239" t="s">
        <v>1541</v>
      </c>
      <c r="N90" s="1239" t="s">
        <v>144</v>
      </c>
      <c r="O90" s="1239"/>
      <c r="P90" s="1239"/>
      <c r="Q90" s="1239">
        <v>0</v>
      </c>
      <c r="R90" s="1239">
        <v>0</v>
      </c>
      <c r="S90" s="455"/>
      <c r="T90" s="1285">
        <v>35</v>
      </c>
      <c r="U90" s="1285"/>
      <c r="V90" s="1285"/>
      <c r="W90" s="1285">
        <v>1</v>
      </c>
      <c r="X90" s="1285"/>
      <c r="Y90" s="1285"/>
      <c r="Z90" s="1285"/>
      <c r="AA90" s="1285"/>
      <c r="AB90" s="1285"/>
      <c r="AC90" s="1285" t="s">
        <v>4090</v>
      </c>
      <c r="AD90" s="1285"/>
      <c r="AE90" s="1285"/>
      <c r="AF90" s="1285">
        <v>4800</v>
      </c>
      <c r="AG90" s="1350">
        <v>86975</v>
      </c>
      <c r="AH90" s="1285">
        <v>2793</v>
      </c>
      <c r="AI90" s="1285">
        <v>-550</v>
      </c>
      <c r="AJ90" s="1239"/>
      <c r="AK90" s="1239"/>
      <c r="AL90" s="1239"/>
      <c r="AM90" s="1239" t="s">
        <v>1042</v>
      </c>
      <c r="AN90" s="455">
        <v>5.43</v>
      </c>
      <c r="AO90" s="1239"/>
      <c r="AP90" s="1239"/>
      <c r="AQ90" s="484"/>
      <c r="AR90" s="484"/>
      <c r="AS90" s="484"/>
      <c r="AT90" s="484">
        <f>+ab($T$90,$T$88,$T$92,$G$89,$G$91,-1*$F$90,1200)</f>
        <v>6.5527168945168883</v>
      </c>
      <c r="AU90" s="638"/>
      <c r="AV90" s="638"/>
      <c r="AW90" s="638" t="s">
        <v>4975</v>
      </c>
      <c r="AX90" s="572"/>
      <c r="AY90" s="484"/>
      <c r="AZ90" s="484"/>
      <c r="BA90" s="671" t="s">
        <v>2809</v>
      </c>
      <c r="BB90" s="449" t="str">
        <f>Pole_Calculations!A154</f>
        <v>App.7.1-V01-P9.5.1.3</v>
      </c>
      <c r="BC90" s="169" t="s">
        <v>4954</v>
      </c>
      <c r="BD90" s="1329"/>
      <c r="BE90" s="1329"/>
      <c r="BF90" s="1330"/>
      <c r="BG90" s="1329"/>
    </row>
    <row r="91" spans="1:59" ht="15.75" customHeight="1">
      <c r="A91" s="449"/>
      <c r="B91" s="445"/>
      <c r="C91" s="446"/>
      <c r="D91" s="638"/>
      <c r="E91" s="638"/>
      <c r="F91" s="447"/>
      <c r="G91" s="455">
        <v>52</v>
      </c>
      <c r="H91" s="1239"/>
      <c r="I91" s="448">
        <f>C92-C62</f>
        <v>528.30000000000291</v>
      </c>
      <c r="J91" s="446"/>
      <c r="K91" s="638"/>
      <c r="L91" s="1239"/>
      <c r="M91" s="1239"/>
      <c r="N91" s="1239"/>
      <c r="O91" s="1239"/>
      <c r="P91" s="1239"/>
      <c r="Q91" s="1239"/>
      <c r="R91" s="1239"/>
      <c r="S91" s="455">
        <f t="shared" ref="S91" si="42">AG92-AG90</f>
        <v>52</v>
      </c>
      <c r="T91" s="1239"/>
      <c r="U91" s="1239"/>
      <c r="V91" s="1239"/>
      <c r="W91" s="1239"/>
      <c r="X91" s="1239"/>
      <c r="Y91" s="1239"/>
      <c r="Z91" s="1239"/>
      <c r="AA91" s="1239"/>
      <c r="AB91" s="1239"/>
      <c r="AC91" s="1239"/>
      <c r="AD91" s="1239"/>
      <c r="AE91" s="1239"/>
      <c r="AF91" s="1239"/>
      <c r="AG91" s="171"/>
      <c r="AH91" s="1239"/>
      <c r="AI91" s="1239"/>
      <c r="AJ91" s="1239"/>
      <c r="AK91" s="1239"/>
      <c r="AL91" s="1239"/>
      <c r="AM91" s="1239"/>
      <c r="AN91" s="455"/>
      <c r="AO91" s="1239"/>
      <c r="AP91" s="1239"/>
      <c r="AQ91" s="484">
        <f>+FL_2($T$92,$T$90,$G$91,1200,9.28,-1*$F$92)</f>
        <v>-0.37855025261538461</v>
      </c>
      <c r="AR91" s="484"/>
      <c r="AS91" s="484"/>
      <c r="AT91" s="484"/>
      <c r="AU91" s="638"/>
      <c r="AV91" s="638"/>
      <c r="AW91" s="638"/>
      <c r="AX91" s="638"/>
      <c r="AY91" s="484"/>
      <c r="AZ91" s="484"/>
      <c r="BA91" s="671"/>
      <c r="BB91" s="449"/>
      <c r="BC91" s="169"/>
      <c r="BD91" s="1330"/>
      <c r="BE91" s="1330"/>
      <c r="BF91" s="1330"/>
      <c r="BG91" s="1330"/>
    </row>
    <row r="92" spans="1:59" ht="15.75" customHeight="1">
      <c r="A92" s="449"/>
      <c r="B92" s="485" t="s">
        <v>3217</v>
      </c>
      <c r="C92" s="446">
        <f>+$C$90+$G$91</f>
        <v>87027.150000000009</v>
      </c>
      <c r="D92" s="638"/>
      <c r="E92" s="638"/>
      <c r="F92" s="447">
        <v>0</v>
      </c>
      <c r="G92" s="455"/>
      <c r="H92" s="1239" t="s">
        <v>874</v>
      </c>
      <c r="I92" s="448"/>
      <c r="J92" s="446"/>
      <c r="K92" s="638"/>
      <c r="L92" s="1239" t="s">
        <v>230</v>
      </c>
      <c r="M92" s="1239" t="s">
        <v>1541</v>
      </c>
      <c r="N92" s="1239" t="s">
        <v>143</v>
      </c>
      <c r="O92" s="1239"/>
      <c r="P92" s="1239"/>
      <c r="Q92" s="1239">
        <v>0</v>
      </c>
      <c r="R92" s="1239">
        <v>0</v>
      </c>
      <c r="S92" s="455"/>
      <c r="T92" s="1285">
        <v>-35</v>
      </c>
      <c r="U92" s="1285"/>
      <c r="V92" s="1285"/>
      <c r="W92" s="1285">
        <v>1.2</v>
      </c>
      <c r="X92" s="1285"/>
      <c r="Y92" s="1285"/>
      <c r="Z92" s="1285"/>
      <c r="AA92" s="1285"/>
      <c r="AB92" s="1285"/>
      <c r="AC92" s="1285" t="s">
        <v>4090</v>
      </c>
      <c r="AD92" s="1285"/>
      <c r="AE92" s="1285"/>
      <c r="AF92" s="1285">
        <v>5400</v>
      </c>
      <c r="AG92" s="1350">
        <v>87027</v>
      </c>
      <c r="AH92" s="1285">
        <v>2933</v>
      </c>
      <c r="AI92" s="1285">
        <v>-330</v>
      </c>
      <c r="AJ92" s="1239"/>
      <c r="AK92" s="1239"/>
      <c r="AL92" s="1239"/>
      <c r="AM92" s="1239" t="s">
        <v>1042</v>
      </c>
      <c r="AN92" s="455">
        <v>5.5</v>
      </c>
      <c r="AO92" s="1239"/>
      <c r="AP92" s="1239"/>
      <c r="AQ92" s="484"/>
      <c r="AR92" s="484"/>
      <c r="AS92" s="484"/>
      <c r="AT92" s="484">
        <f>+ab($T$92,$T$90,$T$94,$G$91,$G$93,-1*$F$92,1200)</f>
        <v>-7.4735517384464334</v>
      </c>
      <c r="AU92" s="638"/>
      <c r="AV92" s="638"/>
      <c r="AW92" s="638" t="s">
        <v>4975</v>
      </c>
      <c r="AX92" s="572"/>
      <c r="AY92" s="484"/>
      <c r="AZ92" s="484"/>
      <c r="BA92" s="671" t="s">
        <v>2809</v>
      </c>
      <c r="BB92" s="449" t="str">
        <f>Pole_Calculations!A153</f>
        <v>App.7.1-V01-P9.5.1.2</v>
      </c>
      <c r="BC92" s="169" t="s">
        <v>4954</v>
      </c>
      <c r="BD92" s="1329"/>
      <c r="BE92" s="1329"/>
      <c r="BF92" s="1330"/>
      <c r="BG92" s="1329"/>
    </row>
    <row r="93" spans="1:59" ht="15.75" customHeight="1">
      <c r="A93" s="649"/>
      <c r="B93" s="649"/>
      <c r="C93" s="649"/>
      <c r="D93" s="653"/>
      <c r="E93" s="653"/>
      <c r="F93" s="648"/>
      <c r="G93" s="651">
        <v>58</v>
      </c>
      <c r="H93" s="647"/>
      <c r="I93" s="650">
        <f>C108-C92</f>
        <v>463</v>
      </c>
      <c r="J93" s="649"/>
      <c r="K93" s="653"/>
      <c r="L93" s="647"/>
      <c r="M93" s="647"/>
      <c r="N93" s="647"/>
      <c r="O93" s="647"/>
      <c r="P93" s="647"/>
      <c r="Q93" s="647"/>
      <c r="R93" s="647"/>
      <c r="S93" s="651">
        <f t="shared" ref="S93" si="43">AG94-AG92</f>
        <v>58.070000000006985</v>
      </c>
      <c r="T93" s="647"/>
      <c r="U93" s="647"/>
      <c r="V93" s="647"/>
      <c r="W93" s="647"/>
      <c r="X93" s="647"/>
      <c r="Y93" s="647"/>
      <c r="Z93" s="647"/>
      <c r="AA93" s="647"/>
      <c r="AB93" s="647"/>
      <c r="AC93" s="647"/>
      <c r="AD93" s="647"/>
      <c r="AE93" s="647"/>
      <c r="AF93" s="647"/>
      <c r="AG93" s="652"/>
      <c r="AH93" s="647"/>
      <c r="AI93" s="647"/>
      <c r="AJ93" s="647"/>
      <c r="AK93" s="647"/>
      <c r="AL93" s="647"/>
      <c r="AM93" s="647"/>
      <c r="AN93" s="651"/>
      <c r="AO93" s="647"/>
      <c r="AP93" s="647"/>
      <c r="AQ93" s="654">
        <f>+FL_1($T$94,$T$92,$G$93,1200,9.28,-1*$F$94)</f>
        <v>0.41936333972413792</v>
      </c>
      <c r="AR93" s="654"/>
      <c r="AS93" s="654"/>
      <c r="AT93" s="654"/>
      <c r="AU93" s="653"/>
      <c r="AV93" s="653"/>
      <c r="AW93" s="653"/>
      <c r="AX93" s="653"/>
      <c r="AY93" s="654" t="s">
        <v>638</v>
      </c>
      <c r="AZ93" s="654"/>
      <c r="BA93" s="701"/>
      <c r="BB93" s="649"/>
      <c r="BC93" s="169"/>
      <c r="BD93" s="1330"/>
      <c r="BE93" s="1330"/>
      <c r="BF93" s="1330"/>
      <c r="BG93" s="1330"/>
    </row>
    <row r="94" spans="1:59" ht="15.75" customHeight="1">
      <c r="A94" s="447"/>
      <c r="B94" s="435" t="s">
        <v>3218</v>
      </c>
      <c r="C94" s="446">
        <f>+$C$92+$G$93</f>
        <v>87085.150000000009</v>
      </c>
      <c r="D94" s="173"/>
      <c r="E94" s="447"/>
      <c r="F94" s="447">
        <v>0</v>
      </c>
      <c r="G94" s="484"/>
      <c r="H94" s="1239" t="s">
        <v>873</v>
      </c>
      <c r="I94" s="1239"/>
      <c r="J94" s="171"/>
      <c r="K94" s="638"/>
      <c r="L94" s="638" t="s">
        <v>230</v>
      </c>
      <c r="M94" s="1239" t="str">
        <f>IF(AX94="PT",VLOOKUP(L94,'Foundation Calculation'!$V$2:$X$40,VLOOKUP(AX94,'Foundation Calculation'!$I$10:$J$13,2,FALSE),0),IF(AX94="K",VLOOKUP(L94,'Foundation Calculation'!$V$42:$X$80,VLOOKUP(AX94,'Foundation Calculation'!$I$10:$J$13,2,FALSE),0),""))</f>
        <v>C4R</v>
      </c>
      <c r="N94" s="1239" t="s">
        <v>144</v>
      </c>
      <c r="O94" s="1239"/>
      <c r="P94" s="1239"/>
      <c r="Q94" s="638">
        <v>0</v>
      </c>
      <c r="R94" s="638">
        <v>0</v>
      </c>
      <c r="S94" s="484"/>
      <c r="T94" s="638">
        <v>35</v>
      </c>
      <c r="U94" s="638"/>
      <c r="V94" s="638"/>
      <c r="W94" s="638">
        <v>1.4</v>
      </c>
      <c r="X94" s="638"/>
      <c r="Y94" s="638"/>
      <c r="Z94" s="638"/>
      <c r="AA94" s="638"/>
      <c r="AB94" s="638"/>
      <c r="AC94" s="638" t="s">
        <v>4090</v>
      </c>
      <c r="AD94" s="638"/>
      <c r="AE94" s="638"/>
      <c r="AF94" s="638">
        <v>5800</v>
      </c>
      <c r="AG94" s="446">
        <v>87085.07</v>
      </c>
      <c r="AH94" s="638">
        <v>1803</v>
      </c>
      <c r="AI94" s="638">
        <v>380</v>
      </c>
      <c r="AJ94" s="638"/>
      <c r="AK94" s="638"/>
      <c r="AL94" s="638"/>
      <c r="AM94" s="638" t="s">
        <v>1042</v>
      </c>
      <c r="AN94" s="455">
        <v>5.5</v>
      </c>
      <c r="AO94" s="1239"/>
      <c r="AP94" s="1239"/>
      <c r="AQ94" s="484"/>
      <c r="AR94" s="484"/>
      <c r="AS94" s="484"/>
      <c r="AT94" s="484">
        <f>+ab($T$94,$T$92,$T$96,$G$93,$G$95,-1*$F$94,1200)</f>
        <v>8.0315395844366186</v>
      </c>
      <c r="AU94" s="638"/>
      <c r="AV94" s="638"/>
      <c r="AW94" s="638" t="str">
        <f>VLOOKUP(C94,'Foundation Calculation'!$A$2:$C$33,3,1)</f>
        <v>Soil B</v>
      </c>
      <c r="AX94" s="572" t="str">
        <f>VLOOKUP(C94,'Foundation Calculation'!$E$2:$G$33,3,1)</f>
        <v>PT</v>
      </c>
      <c r="AY94" s="484">
        <f>IF(AX94="PT",VLOOKUP(L94,'Foundation Calculation'!$K$2:$R$40,VLOOKUP(AW94,'Foundation Calculation'!$I$2:$J$8,2,FALSE),0),IF(AX94="K",VLOOKUP(L94,'Foundation Calculation'!$K$42:$R$80,VLOOKUP(AW94,'Foundation Calculation'!$I$2:$J$8,2,FALSE),0),""))</f>
        <v>3.5</v>
      </c>
      <c r="AZ94" s="484"/>
      <c r="BA94" s="671" t="s">
        <v>2809</v>
      </c>
      <c r="BB94" s="447" t="str">
        <f>Pole_Calculations!A154</f>
        <v>App.7.1-V01-P9.5.1.3</v>
      </c>
      <c r="BC94" s="169"/>
      <c r="BD94" s="1329">
        <v>43850</v>
      </c>
      <c r="BE94" s="1329">
        <v>43857</v>
      </c>
      <c r="BF94" s="1330"/>
      <c r="BG94" s="1329">
        <v>43870</v>
      </c>
    </row>
    <row r="95" spans="1:59" ht="15.75" customHeight="1">
      <c r="A95" s="447"/>
      <c r="B95" s="435"/>
      <c r="C95" s="446"/>
      <c r="D95" s="173"/>
      <c r="E95" s="447"/>
      <c r="F95" s="447"/>
      <c r="G95" s="484">
        <v>60</v>
      </c>
      <c r="H95" s="1239"/>
      <c r="I95" s="1239"/>
      <c r="J95" s="171">
        <f>C94+7.5</f>
        <v>87092.650000000009</v>
      </c>
      <c r="K95" s="638" t="s">
        <v>2788</v>
      </c>
      <c r="L95" s="638"/>
      <c r="M95" s="638"/>
      <c r="N95" s="1239"/>
      <c r="O95" s="1239"/>
      <c r="P95" s="1239"/>
      <c r="Q95" s="638"/>
      <c r="R95" s="638"/>
      <c r="S95" s="484">
        <f t="shared" ref="S95" si="44">AG96-AG94</f>
        <v>59.989999999990687</v>
      </c>
      <c r="T95" s="638"/>
      <c r="U95" s="638"/>
      <c r="V95" s="638"/>
      <c r="W95" s="638"/>
      <c r="X95" s="638"/>
      <c r="Y95" s="638"/>
      <c r="Z95" s="638"/>
      <c r="AA95" s="638"/>
      <c r="AB95" s="638"/>
      <c r="AC95" s="638"/>
      <c r="AD95" s="638"/>
      <c r="AE95" s="638"/>
      <c r="AF95" s="638"/>
      <c r="AG95" s="446"/>
      <c r="AH95" s="638"/>
      <c r="AI95" s="638"/>
      <c r="AJ95" s="638"/>
      <c r="AK95" s="638"/>
      <c r="AL95" s="638"/>
      <c r="AM95" s="638"/>
      <c r="AN95" s="455"/>
      <c r="AO95" s="1239"/>
      <c r="AP95" s="1239"/>
      <c r="AQ95" s="484">
        <f>+FL_2($T$96,$T$94,$G$95,1200,9.28,-1*$F$96)</f>
        <v>-0.43600286799999999</v>
      </c>
      <c r="AR95" s="484"/>
      <c r="AS95" s="484"/>
      <c r="AT95" s="484"/>
      <c r="AU95" s="638"/>
      <c r="AV95" s="638"/>
      <c r="AW95" s="638" t="str">
        <f>VLOOKUP(J95,'Foundation Calculation'!$A$2:$C$33,3,1)</f>
        <v>Soil B</v>
      </c>
      <c r="AX95" s="572" t="str">
        <f>VLOOKUP(J95,'Foundation Calculation'!$E$2:$G$33,3,1)</f>
        <v>PT</v>
      </c>
      <c r="AY95" s="484"/>
      <c r="AZ95" s="484">
        <f>IF(AX95="PT",VLOOKUP(K95,'Foundation Calculation'!$K$2:$R$40,VLOOKUP(AW95,'Foundation Calculation'!$I$2:$J$8,2,FALSE),0),IF(AX95="K",VLOOKUP(K95,'Foundation Calculation'!$K$42:$R$80,VLOOKUP(AW95,'Foundation Calculation'!$I$2:$J$8,2,FALSE),0),""))</f>
        <v>2.8</v>
      </c>
      <c r="BA95" s="671" t="s">
        <v>2809</v>
      </c>
      <c r="BB95" s="447"/>
      <c r="BC95" s="169"/>
      <c r="BD95" s="1329">
        <v>43850</v>
      </c>
      <c r="BE95" s="1330"/>
      <c r="BF95" s="1330"/>
      <c r="BG95" s="1330"/>
    </row>
    <row r="96" spans="1:59" ht="15.75" customHeight="1">
      <c r="A96" s="447"/>
      <c r="B96" s="668" t="s">
        <v>3219</v>
      </c>
      <c r="C96" s="446">
        <f>+$C$94+$G$95</f>
        <v>87145.150000000009</v>
      </c>
      <c r="D96" s="447"/>
      <c r="E96" s="447"/>
      <c r="F96" s="447">
        <v>0</v>
      </c>
      <c r="G96" s="455"/>
      <c r="H96" s="1239"/>
      <c r="I96" s="448"/>
      <c r="J96" s="446"/>
      <c r="K96" s="638"/>
      <c r="L96" s="1239" t="s">
        <v>230</v>
      </c>
      <c r="M96" s="1239" t="str">
        <f>IF(AX96="PT",VLOOKUP(L96,'Foundation Calculation'!$V$2:$X$40,VLOOKUP(AX96,'Foundation Calculation'!$I$10:$J$13,2,FALSE),0),IF(AX96="K",VLOOKUP(L96,'Foundation Calculation'!$V$42:$X$80,VLOOKUP(AX96,'Foundation Calculation'!$I$10:$J$13,2,FALSE),0),""))</f>
        <v>C4R</v>
      </c>
      <c r="N96" s="1239" t="s">
        <v>143</v>
      </c>
      <c r="O96" s="1239"/>
      <c r="P96" s="1239"/>
      <c r="Q96" s="1239">
        <v>0</v>
      </c>
      <c r="R96" s="1239">
        <v>0</v>
      </c>
      <c r="S96" s="455"/>
      <c r="T96" s="1239">
        <v>-35</v>
      </c>
      <c r="U96" s="1239"/>
      <c r="V96" s="1239"/>
      <c r="W96" s="638">
        <v>1.4</v>
      </c>
      <c r="X96" s="1239"/>
      <c r="Y96" s="1239"/>
      <c r="Z96" s="1239"/>
      <c r="AA96" s="1239"/>
      <c r="AB96" s="1239"/>
      <c r="AC96" s="1239" t="s">
        <v>4115</v>
      </c>
      <c r="AD96" s="1239"/>
      <c r="AE96" s="1239"/>
      <c r="AF96" s="1239">
        <v>5800</v>
      </c>
      <c r="AG96" s="171">
        <v>87145.06</v>
      </c>
      <c r="AH96" s="1239">
        <v>1983</v>
      </c>
      <c r="AI96" s="1239">
        <v>270</v>
      </c>
      <c r="AJ96" s="1239"/>
      <c r="AK96" s="1239"/>
      <c r="AL96" s="1239"/>
      <c r="AM96" s="1239" t="s">
        <v>1042</v>
      </c>
      <c r="AN96" s="455">
        <v>5.5</v>
      </c>
      <c r="AO96" s="1239"/>
      <c r="AP96" s="1239"/>
      <c r="AQ96" s="484"/>
      <c r="AR96" s="484"/>
      <c r="AS96" s="484"/>
      <c r="AT96" s="484">
        <f>+ab($T$96,$T$94,$T$98,$G$95,$G$97,-1*$F$96,1200)</f>
        <v>-8.300256796512933</v>
      </c>
      <c r="AU96" s="638"/>
      <c r="AV96" s="638"/>
      <c r="AW96" s="638" t="str">
        <f>VLOOKUP(C96,'Foundation Calculation'!$A$2:$C$33,3,1)</f>
        <v>Soil B</v>
      </c>
      <c r="AX96" s="572" t="str">
        <f>VLOOKUP(C96,'Foundation Calculation'!$E$2:$G$33,3,1)</f>
        <v>PT</v>
      </c>
      <c r="AY96" s="484">
        <f>IF(AX96="PT",VLOOKUP(L96,'Foundation Calculation'!$K$2:$R$40,VLOOKUP(AW96,'Foundation Calculation'!$I$2:$J$8,2,FALSE),0),IF(AX96="K",VLOOKUP(L96,'Foundation Calculation'!$K$42:$R$80,VLOOKUP(AW96,'Foundation Calculation'!$I$2:$J$8,2,FALSE),0),""))</f>
        <v>3.5</v>
      </c>
      <c r="AZ96" s="484"/>
      <c r="BA96" s="671" t="s">
        <v>2809</v>
      </c>
      <c r="BB96" s="447" t="str">
        <f>Pole_Calculations!A152</f>
        <v>App.7.1-V01-P9.5.1.1</v>
      </c>
      <c r="BC96" s="169"/>
      <c r="BD96" s="1329">
        <v>43850</v>
      </c>
      <c r="BE96" s="1329">
        <v>43857</v>
      </c>
      <c r="BF96" s="1330"/>
      <c r="BG96" s="1329">
        <v>43870</v>
      </c>
    </row>
    <row r="97" spans="1:59" ht="15.75" customHeight="1">
      <c r="A97" s="447"/>
      <c r="B97" s="447"/>
      <c r="C97" s="446"/>
      <c r="D97" s="447"/>
      <c r="E97" s="447"/>
      <c r="F97" s="447"/>
      <c r="G97" s="455">
        <v>62</v>
      </c>
      <c r="H97" s="1239"/>
      <c r="I97" s="448"/>
      <c r="J97" s="446"/>
      <c r="K97" s="638"/>
      <c r="L97" s="1239"/>
      <c r="M97" s="1239"/>
      <c r="N97" s="1239"/>
      <c r="O97" s="1239"/>
      <c r="P97" s="1239"/>
      <c r="Q97" s="1239"/>
      <c r="R97" s="1239"/>
      <c r="S97" s="455">
        <f t="shared" ref="S97" si="45">AG98-AG96</f>
        <v>62.010000000009313</v>
      </c>
      <c r="T97" s="1239"/>
      <c r="U97" s="1239"/>
      <c r="V97" s="1239"/>
      <c r="W97" s="1239"/>
      <c r="X97" s="1239"/>
      <c r="Y97" s="1239"/>
      <c r="Z97" s="1239"/>
      <c r="AA97" s="1239"/>
      <c r="AB97" s="1239"/>
      <c r="AC97" s="1239"/>
      <c r="AD97" s="1239"/>
      <c r="AE97" s="1239"/>
      <c r="AF97" s="1239"/>
      <c r="AG97" s="171"/>
      <c r="AH97" s="1239"/>
      <c r="AI97" s="1239"/>
      <c r="AJ97" s="1239"/>
      <c r="AK97" s="1239"/>
      <c r="AL97" s="1239"/>
      <c r="AM97" s="1239"/>
      <c r="AN97" s="455"/>
      <c r="AO97" s="1239"/>
      <c r="AP97" s="1239"/>
      <c r="AQ97" s="484">
        <f>+FL_1($T$98,$T$96,$G$97,1200,9.28,-1*$F$98)</f>
        <v>0.45400350967741931</v>
      </c>
      <c r="AR97" s="484"/>
      <c r="AS97" s="484"/>
      <c r="AT97" s="484"/>
      <c r="AU97" s="638"/>
      <c r="AV97" s="638"/>
      <c r="AW97" s="638"/>
      <c r="AX97" s="572"/>
      <c r="AY97" s="484"/>
      <c r="AZ97" s="484"/>
      <c r="BA97" s="671"/>
      <c r="BB97" s="447"/>
      <c r="BC97" s="169"/>
      <c r="BD97" s="1330"/>
      <c r="BE97" s="1330"/>
      <c r="BF97" s="1330"/>
      <c r="BG97" s="1330"/>
    </row>
    <row r="98" spans="1:59" ht="15.75" customHeight="1">
      <c r="A98" s="447"/>
      <c r="B98" s="582" t="s">
        <v>3220</v>
      </c>
      <c r="C98" s="446">
        <f>+$C$96+$G$97</f>
        <v>87207.150000000009</v>
      </c>
      <c r="D98" s="447"/>
      <c r="E98" s="447"/>
      <c r="F98" s="447">
        <v>0</v>
      </c>
      <c r="G98" s="455"/>
      <c r="H98" s="1239"/>
      <c r="I98" s="448"/>
      <c r="J98" s="446"/>
      <c r="K98" s="638"/>
      <c r="L98" s="1239" t="s">
        <v>230</v>
      </c>
      <c r="M98" s="1239" t="str">
        <f>IF(AX98="PT",VLOOKUP(L98,'Foundation Calculation'!$V$2:$X$40,VLOOKUP(AX98,'Foundation Calculation'!$I$10:$J$13,2,FALSE),0),IF(AX98="K",VLOOKUP(L98,'Foundation Calculation'!$V$42:$X$80,VLOOKUP(AX98,'Foundation Calculation'!$I$10:$J$13,2,FALSE),0),""))</f>
        <v>C4R</v>
      </c>
      <c r="N98" s="1239" t="s">
        <v>144</v>
      </c>
      <c r="O98" s="1239"/>
      <c r="P98" s="1239"/>
      <c r="Q98" s="1239">
        <v>0</v>
      </c>
      <c r="R98" s="1239">
        <v>0</v>
      </c>
      <c r="S98" s="455"/>
      <c r="T98" s="1239">
        <v>35</v>
      </c>
      <c r="U98" s="1239"/>
      <c r="V98" s="1239"/>
      <c r="W98" s="638">
        <v>1.4</v>
      </c>
      <c r="X98" s="1239"/>
      <c r="Y98" s="1239"/>
      <c r="Z98" s="1239"/>
      <c r="AA98" s="1239"/>
      <c r="AB98" s="1239"/>
      <c r="AC98" s="1239" t="s">
        <v>4090</v>
      </c>
      <c r="AD98" s="1239"/>
      <c r="AE98" s="1239"/>
      <c r="AF98" s="1239">
        <v>5800</v>
      </c>
      <c r="AG98" s="171">
        <v>87207.07</v>
      </c>
      <c r="AH98" s="1239">
        <v>2103</v>
      </c>
      <c r="AI98" s="1239">
        <v>330</v>
      </c>
      <c r="AJ98" s="1239"/>
      <c r="AK98" s="1239"/>
      <c r="AL98" s="1239"/>
      <c r="AM98" s="1239" t="s">
        <v>1042</v>
      </c>
      <c r="AN98" s="455">
        <v>5.5</v>
      </c>
      <c r="AO98" s="1239"/>
      <c r="AP98" s="1239"/>
      <c r="AQ98" s="484"/>
      <c r="AR98" s="484"/>
      <c r="AS98" s="484"/>
      <c r="AT98" s="484">
        <f>+ab($T$98,$T$96,$T$100,$G$97,$G$99,-1*$F$98,1200)</f>
        <v>8.1592071598496663</v>
      </c>
      <c r="AU98" s="638"/>
      <c r="AV98" s="638"/>
      <c r="AW98" s="638" t="str">
        <f>VLOOKUP(C98,'Foundation Calculation'!$A$2:$C$33,3,1)</f>
        <v>Soil B</v>
      </c>
      <c r="AX98" s="572" t="str">
        <f>VLOOKUP(C98,'Foundation Calculation'!$E$2:$G$33,3,1)</f>
        <v>PT</v>
      </c>
      <c r="AY98" s="484">
        <f>IF(AX98="PT",VLOOKUP(L98,'Foundation Calculation'!$K$2:$R$40,VLOOKUP(AW98,'Foundation Calculation'!$I$2:$J$8,2,FALSE),0),IF(AX98="K",VLOOKUP(L98,'Foundation Calculation'!$K$42:$R$80,VLOOKUP(AW98,'Foundation Calculation'!$I$2:$J$8,2,FALSE),0),""))</f>
        <v>3.5</v>
      </c>
      <c r="AZ98" s="484"/>
      <c r="BA98" s="671" t="s">
        <v>2809</v>
      </c>
      <c r="BB98" s="447" t="str">
        <f>Pole_Calculations!A152</f>
        <v>App.7.1-V01-P9.5.1.1</v>
      </c>
      <c r="BC98" s="169"/>
      <c r="BD98" s="1329">
        <v>43815</v>
      </c>
      <c r="BE98" s="1329">
        <v>43852</v>
      </c>
      <c r="BF98" s="1330"/>
      <c r="BG98" s="1329">
        <v>43870</v>
      </c>
    </row>
    <row r="99" spans="1:59" ht="15.75" customHeight="1">
      <c r="A99" s="449"/>
      <c r="B99" s="445"/>
      <c r="C99" s="446"/>
      <c r="D99" s="638"/>
      <c r="E99" s="638"/>
      <c r="F99" s="447"/>
      <c r="G99" s="455">
        <v>58</v>
      </c>
      <c r="H99" s="1239"/>
      <c r="I99" s="448"/>
      <c r="J99" s="446"/>
      <c r="K99" s="638"/>
      <c r="L99" s="1239"/>
      <c r="M99" s="1239"/>
      <c r="N99" s="1239"/>
      <c r="O99" s="1239"/>
      <c r="P99" s="1239"/>
      <c r="Q99" s="1239"/>
      <c r="R99" s="1239"/>
      <c r="S99" s="455">
        <f t="shared" ref="S99" si="46">AG100-AG98</f>
        <v>57.979999999995925</v>
      </c>
      <c r="T99" s="1239"/>
      <c r="U99" s="1239"/>
      <c r="V99" s="1239"/>
      <c r="W99" s="1239"/>
      <c r="X99" s="1239"/>
      <c r="Y99" s="1239"/>
      <c r="Z99" s="1239"/>
      <c r="AA99" s="1239"/>
      <c r="AB99" s="1239"/>
      <c r="AC99" s="1239"/>
      <c r="AD99" s="1239"/>
      <c r="AE99" s="1239"/>
      <c r="AF99" s="1239"/>
      <c r="AG99" s="171"/>
      <c r="AH99" s="1239"/>
      <c r="AI99" s="1239"/>
      <c r="AJ99" s="1239"/>
      <c r="AK99" s="1239"/>
      <c r="AL99" s="1239"/>
      <c r="AM99" s="1239"/>
      <c r="AN99" s="455"/>
      <c r="AO99" s="1239"/>
      <c r="AP99" s="1239"/>
      <c r="AQ99" s="484">
        <f>+FL_2($T$100,$T$98,$G$99,1200,9.28,-1*$F$100)</f>
        <v>-0.41936333972413792</v>
      </c>
      <c r="AR99" s="484"/>
      <c r="AS99" s="484"/>
      <c r="AT99" s="484"/>
      <c r="AU99" s="638"/>
      <c r="AV99" s="638"/>
      <c r="AW99" s="638"/>
      <c r="AX99" s="572"/>
      <c r="AY99" s="484"/>
      <c r="AZ99" s="484"/>
      <c r="BA99" s="671"/>
      <c r="BB99" s="449"/>
      <c r="BC99" s="169"/>
      <c r="BD99" s="1330"/>
      <c r="BE99" s="1330"/>
      <c r="BF99" s="1330"/>
      <c r="BG99" s="1330"/>
    </row>
    <row r="100" spans="1:59" ht="15.75" customHeight="1">
      <c r="A100" s="449"/>
      <c r="B100" s="485" t="s">
        <v>3221</v>
      </c>
      <c r="C100" s="446">
        <f>+$C$98+$G$99</f>
        <v>87265.150000000009</v>
      </c>
      <c r="D100" s="638"/>
      <c r="E100" s="638"/>
      <c r="F100" s="447">
        <v>0</v>
      </c>
      <c r="G100" s="455"/>
      <c r="H100" s="1239"/>
      <c r="I100" s="448"/>
      <c r="J100" s="446"/>
      <c r="K100" s="638"/>
      <c r="L100" s="1239" t="s">
        <v>230</v>
      </c>
      <c r="M100" s="1239" t="str">
        <f>IF(AX100="PT",VLOOKUP(L100,'Foundation Calculation'!$V$2:$X$40,VLOOKUP(AX100,'Foundation Calculation'!$I$10:$J$13,2,FALSE),0),IF(AX100="K",VLOOKUP(L100,'Foundation Calculation'!$V$42:$X$80,VLOOKUP(AX100,'Foundation Calculation'!$I$10:$J$13,2,FALSE),0),""))</f>
        <v>C4R</v>
      </c>
      <c r="N100" s="1239" t="s">
        <v>143</v>
      </c>
      <c r="O100" s="1239"/>
      <c r="P100" s="1239"/>
      <c r="Q100" s="1239">
        <v>10</v>
      </c>
      <c r="R100" s="1239">
        <v>0</v>
      </c>
      <c r="S100" s="455"/>
      <c r="T100" s="1239">
        <v>-35</v>
      </c>
      <c r="U100" s="1239"/>
      <c r="V100" s="1239"/>
      <c r="W100" s="638">
        <v>1.4</v>
      </c>
      <c r="X100" s="1239"/>
      <c r="Y100" s="1239"/>
      <c r="Z100" s="1239"/>
      <c r="AA100" s="1239"/>
      <c r="AB100" s="1239"/>
      <c r="AC100" s="1239" t="s">
        <v>4115</v>
      </c>
      <c r="AD100" s="1239"/>
      <c r="AE100" s="1239"/>
      <c r="AF100" s="1239">
        <v>5800</v>
      </c>
      <c r="AG100" s="171">
        <v>87265.05</v>
      </c>
      <c r="AH100" s="1239">
        <v>2013</v>
      </c>
      <c r="AI100" s="1239">
        <v>380</v>
      </c>
      <c r="AJ100" s="1239"/>
      <c r="AK100" s="1239"/>
      <c r="AL100" s="1239"/>
      <c r="AM100" s="1239" t="s">
        <v>1042</v>
      </c>
      <c r="AN100" s="455">
        <v>5.5</v>
      </c>
      <c r="AO100" s="1239"/>
      <c r="AP100" s="1239"/>
      <c r="AQ100" s="484"/>
      <c r="AR100" s="484"/>
      <c r="AS100" s="484"/>
      <c r="AT100" s="484">
        <f>+ab($T$100,$T$98,$U$102,$G$99,$G$101,-1*$F$100,1200)</f>
        <v>-10.298186883450382</v>
      </c>
      <c r="AU100" s="638"/>
      <c r="AV100" s="638"/>
      <c r="AW100" s="638" t="str">
        <f>VLOOKUP(C100,'Foundation Calculation'!$A$2:$C$33,3,1)</f>
        <v>Soil B</v>
      </c>
      <c r="AX100" s="572" t="str">
        <f>VLOOKUP(C100,'Foundation Calculation'!$E$2:$G$33,3,1)</f>
        <v>PT</v>
      </c>
      <c r="AY100" s="484">
        <f>IF(AX100="PT",VLOOKUP(L100,'Foundation Calculation'!$K$2:$R$40,VLOOKUP(AW100,'Foundation Calculation'!$I$2:$J$8,2,FALSE),0),IF(AX100="K",VLOOKUP(L100,'Foundation Calculation'!$K$42:$R$80,VLOOKUP(AW100,'Foundation Calculation'!$I$2:$J$8,2,FALSE),0),""))</f>
        <v>3.5</v>
      </c>
      <c r="AZ100" s="484"/>
      <c r="BA100" s="671" t="s">
        <v>2809</v>
      </c>
      <c r="BB100" s="449" t="str">
        <f>Pole_Calculations!A152</f>
        <v>App.7.1-V01-P9.5.1.1</v>
      </c>
      <c r="BC100" s="169"/>
      <c r="BD100" s="1329">
        <v>43815</v>
      </c>
      <c r="BE100" s="1329">
        <v>43852</v>
      </c>
      <c r="BF100" s="1330"/>
      <c r="BG100" s="1329">
        <v>43870</v>
      </c>
    </row>
    <row r="101" spans="1:59" ht="15.75" customHeight="1">
      <c r="A101" s="449"/>
      <c r="B101" s="445"/>
      <c r="C101" s="446"/>
      <c r="D101" s="638"/>
      <c r="E101" s="638"/>
      <c r="F101" s="447"/>
      <c r="G101" s="455">
        <v>55</v>
      </c>
      <c r="H101" s="1239"/>
      <c r="I101" s="448"/>
      <c r="J101" s="446">
        <f>C102-7.5</f>
        <v>87312.650000000009</v>
      </c>
      <c r="K101" s="638" t="s">
        <v>2787</v>
      </c>
      <c r="L101" s="1239"/>
      <c r="M101" s="1239"/>
      <c r="N101" s="1239"/>
      <c r="O101" s="1239"/>
      <c r="P101" s="1239"/>
      <c r="Q101" s="1239"/>
      <c r="R101" s="1239"/>
      <c r="S101" s="455">
        <f t="shared" ref="S101" si="47">AG102-AG100</f>
        <v>54.869999999995343</v>
      </c>
      <c r="T101" s="1239"/>
      <c r="U101" s="1239"/>
      <c r="V101" s="1239"/>
      <c r="W101" s="1239"/>
      <c r="X101" s="1239"/>
      <c r="Y101" s="1239"/>
      <c r="Z101" s="1239"/>
      <c r="AA101" s="1239"/>
      <c r="AB101" s="1239"/>
      <c r="AC101" s="1239"/>
      <c r="AD101" s="1239"/>
      <c r="AE101" s="1239"/>
      <c r="AF101" s="1239"/>
      <c r="AG101" s="171"/>
      <c r="AH101" s="1239"/>
      <c r="AI101" s="1239"/>
      <c r="AJ101" s="1239"/>
      <c r="AK101" s="1239"/>
      <c r="AL101" s="1239"/>
      <c r="AM101" s="1239"/>
      <c r="AN101" s="455"/>
      <c r="AO101" s="1239"/>
      <c r="AP101" s="1239"/>
      <c r="AQ101" s="484">
        <f>+FL_1($U$102,$T$100,$G$101,1200,9.28,-1*$F$102)</f>
        <v>0.14359933927272728</v>
      </c>
      <c r="AR101" s="484"/>
      <c r="AS101" s="484"/>
      <c r="AT101" s="484"/>
      <c r="AU101" s="638"/>
      <c r="AV101" s="638"/>
      <c r="AW101" s="638" t="str">
        <f>VLOOKUP(J101,'Foundation Calculation'!$A$2:$C$33,3,1)</f>
        <v>Soil B</v>
      </c>
      <c r="AX101" s="572" t="str">
        <f>VLOOKUP(J101,'Foundation Calculation'!$E$2:$G$33,3,1)</f>
        <v>PT</v>
      </c>
      <c r="AY101" s="484"/>
      <c r="AZ101" s="484">
        <f>IF(AX101="PT",VLOOKUP(K101,'Foundation Calculation'!$K$2:$R$40,VLOOKUP(AW101,'Foundation Calculation'!$I$2:$J$8,2,FALSE),0),IF(AX101="K",VLOOKUP(K101,'Foundation Calculation'!$K$42:$R$80,VLOOKUP(AW101,'Foundation Calculation'!$I$2:$J$8,2,FALSE),0),""))</f>
        <v>3.9</v>
      </c>
      <c r="BA101" s="671" t="s">
        <v>2809</v>
      </c>
      <c r="BB101" s="449"/>
      <c r="BC101" s="169"/>
      <c r="BD101" s="1329">
        <v>43815</v>
      </c>
      <c r="BE101" s="1330"/>
      <c r="BF101" s="1330"/>
      <c r="BG101" s="1330"/>
    </row>
    <row r="102" spans="1:59" ht="15.75" customHeight="1">
      <c r="A102" s="449"/>
      <c r="B102" s="485" t="s">
        <v>3222</v>
      </c>
      <c r="C102" s="446">
        <f>+$C$100+$G$101</f>
        <v>87320.150000000009</v>
      </c>
      <c r="D102" s="638"/>
      <c r="E102" s="638"/>
      <c r="F102" s="447">
        <v>0</v>
      </c>
      <c r="G102" s="484"/>
      <c r="H102" s="1239" t="s">
        <v>2682</v>
      </c>
      <c r="I102" s="448" t="s">
        <v>623</v>
      </c>
      <c r="J102" s="446"/>
      <c r="K102" s="638"/>
      <c r="L102" s="1239" t="s">
        <v>898</v>
      </c>
      <c r="M102" s="1239" t="str">
        <f>IF(AX102="PT",VLOOKUP(L102,'Foundation Calculation'!$V$2:$X$40,VLOOKUP(AX102,'Foundation Calculation'!$I$10:$J$13,2,FALSE),0),IF(AX102="K",VLOOKUP(L102,'Foundation Calculation'!$V$42:$X$80,VLOOKUP(AX102,'Foundation Calculation'!$I$10:$J$13,2,FALSE),0),""))</f>
        <v>C4R</v>
      </c>
      <c r="N102" s="1239" t="s">
        <v>144</v>
      </c>
      <c r="O102" s="1239"/>
      <c r="P102" s="638"/>
      <c r="Q102" s="638">
        <v>0</v>
      </c>
      <c r="R102" s="638">
        <v>0</v>
      </c>
      <c r="S102" s="484"/>
      <c r="T102" s="638">
        <v>35</v>
      </c>
      <c r="U102" s="638"/>
      <c r="V102" s="638"/>
      <c r="W102" s="638">
        <v>1.4</v>
      </c>
      <c r="X102" s="638"/>
      <c r="Y102" s="638"/>
      <c r="Z102" s="638"/>
      <c r="AA102" s="638"/>
      <c r="AB102" s="638"/>
      <c r="AC102" s="1239" t="s">
        <v>4090</v>
      </c>
      <c r="AD102" s="638"/>
      <c r="AE102" s="638"/>
      <c r="AF102" s="638">
        <v>5800</v>
      </c>
      <c r="AG102" s="446">
        <v>87319.92</v>
      </c>
      <c r="AH102" s="638">
        <v>2213</v>
      </c>
      <c r="AI102" s="638">
        <v>330</v>
      </c>
      <c r="AJ102" s="638"/>
      <c r="AK102" s="638"/>
      <c r="AL102" s="1239"/>
      <c r="AM102" s="1239" t="s">
        <v>1042</v>
      </c>
      <c r="AN102" s="455">
        <v>5.5</v>
      </c>
      <c r="AO102" s="1239"/>
      <c r="AP102" s="1239"/>
      <c r="AQ102" s="484"/>
      <c r="AR102" s="484"/>
      <c r="AS102" s="484"/>
      <c r="AT102" s="484">
        <f>+ab($U$102,$T$100,$U$104,$G$101,$G$103,-1*$F$102,1200)</f>
        <v>14.06947391695517</v>
      </c>
      <c r="AU102" s="638"/>
      <c r="AV102" s="638"/>
      <c r="AW102" s="638" t="str">
        <f>VLOOKUP(C102,'Foundation Calculation'!$A$2:$C$33,3,1)</f>
        <v>Soil B</v>
      </c>
      <c r="AX102" s="572" t="str">
        <f>VLOOKUP(C102,'Foundation Calculation'!$E$2:$G$33,3,1)</f>
        <v>PT</v>
      </c>
      <c r="AY102" s="484">
        <f>IF(AX102="PT",VLOOKUP(L102,'Foundation Calculation'!$K$2:$R$40,VLOOKUP(AW102,'Foundation Calculation'!$I$2:$J$8,2,FALSE),0),IF(AX102="K",VLOOKUP(L102,'Foundation Calculation'!$K$42:$R$80,VLOOKUP(AW102,'Foundation Calculation'!$I$2:$J$8,2,FALSE),0),""))</f>
        <v>3.5</v>
      </c>
      <c r="AZ102" s="484"/>
      <c r="BA102" s="671" t="s">
        <v>2809</v>
      </c>
      <c r="BB102" s="449" t="str">
        <f>Pole_Calculations!A157</f>
        <v>App.7.1-V01-P9.5.1.6</v>
      </c>
      <c r="BC102" s="169"/>
      <c r="BD102" s="1329">
        <v>43815</v>
      </c>
      <c r="BE102" s="1329">
        <v>43852</v>
      </c>
      <c r="BF102" s="1330"/>
      <c r="BG102" s="1329">
        <v>43870</v>
      </c>
    </row>
    <row r="103" spans="1:59" ht="15.75" customHeight="1">
      <c r="A103" s="449"/>
      <c r="B103" s="445"/>
      <c r="C103" s="446"/>
      <c r="D103" s="638"/>
      <c r="E103" s="638"/>
      <c r="F103" s="447"/>
      <c r="G103" s="484">
        <v>50</v>
      </c>
      <c r="H103" s="1239"/>
      <c r="I103" s="448"/>
      <c r="J103" s="446"/>
      <c r="K103" s="638"/>
      <c r="L103" s="638"/>
      <c r="M103" s="1239"/>
      <c r="N103" s="638"/>
      <c r="O103" s="638"/>
      <c r="P103" s="638"/>
      <c r="Q103" s="638"/>
      <c r="R103" s="638"/>
      <c r="S103" s="484">
        <f t="shared" ref="S103" si="48">AG104-AG102</f>
        <v>50</v>
      </c>
      <c r="T103" s="638"/>
      <c r="U103" s="638"/>
      <c r="V103" s="638"/>
      <c r="W103" s="638"/>
      <c r="X103" s="638"/>
      <c r="Y103" s="638"/>
      <c r="Z103" s="638"/>
      <c r="AA103" s="638"/>
      <c r="AB103" s="638"/>
      <c r="AC103" s="1239"/>
      <c r="AD103" s="638"/>
      <c r="AE103" s="638"/>
      <c r="AF103" s="638"/>
      <c r="AG103" s="446"/>
      <c r="AH103" s="638"/>
      <c r="AI103" s="638"/>
      <c r="AJ103" s="638"/>
      <c r="AK103" s="638"/>
      <c r="AL103" s="638"/>
      <c r="AM103" s="638"/>
      <c r="AN103" s="455"/>
      <c r="AO103" s="1239"/>
      <c r="AP103" s="1239"/>
      <c r="AQ103" s="484">
        <f>+FL_1($U$104,$U$102,$G$103,1200,9.28,-1*$F$104)</f>
        <v>9.8347699999999927E-2</v>
      </c>
      <c r="AR103" s="484"/>
      <c r="AS103" s="484"/>
      <c r="AT103" s="484"/>
      <c r="AU103" s="638"/>
      <c r="AV103" s="638"/>
      <c r="AW103" s="638"/>
      <c r="AX103" s="638"/>
      <c r="AY103" s="484"/>
      <c r="AZ103" s="484"/>
      <c r="BA103" s="671"/>
      <c r="BB103" s="449"/>
      <c r="BC103" s="169"/>
      <c r="BD103" s="1330"/>
      <c r="BE103" s="1330"/>
      <c r="BF103" s="1330"/>
      <c r="BG103" s="1330"/>
    </row>
    <row r="104" spans="1:59" ht="15.75" customHeight="1">
      <c r="A104" s="1239"/>
      <c r="B104" s="582" t="s">
        <v>3223</v>
      </c>
      <c r="C104" s="446">
        <f>+$C$102+$G$103</f>
        <v>87370.150000000009</v>
      </c>
      <c r="D104" s="448"/>
      <c r="E104" s="448"/>
      <c r="F104" s="447">
        <v>0</v>
      </c>
      <c r="G104" s="484"/>
      <c r="H104" s="1239" t="s">
        <v>619</v>
      </c>
      <c r="I104" s="448"/>
      <c r="J104" s="446"/>
      <c r="K104" s="638"/>
      <c r="L104" s="1239" t="s">
        <v>895</v>
      </c>
      <c r="M104" s="1239" t="str">
        <f>IF(AX104="PT",VLOOKUP(L104,'Foundation Calculation'!$V$2:$X$40,VLOOKUP(AX104,'Foundation Calculation'!$I$10:$J$13,2,FALSE),0),IF(AX104="K",VLOOKUP(L104,'Foundation Calculation'!$V$42:$X$80,VLOOKUP(AX104,'Foundation Calculation'!$I$10:$J$13,2,FALSE),0),""))</f>
        <v>2C3R</v>
      </c>
      <c r="N104" s="1239" t="s">
        <v>140</v>
      </c>
      <c r="O104" s="1239" t="s">
        <v>143</v>
      </c>
      <c r="P104" s="638"/>
      <c r="Q104" s="638">
        <v>0</v>
      </c>
      <c r="R104" s="638">
        <v>0</v>
      </c>
      <c r="S104" s="484"/>
      <c r="T104" s="638">
        <v>-15</v>
      </c>
      <c r="U104" s="638">
        <v>-35</v>
      </c>
      <c r="V104" s="638"/>
      <c r="W104" s="638">
        <v>1.4</v>
      </c>
      <c r="X104" s="638">
        <v>2.2999999999999998</v>
      </c>
      <c r="Y104" s="638"/>
      <c r="Z104" s="638">
        <v>0.6</v>
      </c>
      <c r="AA104" s="638"/>
      <c r="AB104" s="638"/>
      <c r="AC104" s="1239" t="s">
        <v>1421</v>
      </c>
      <c r="AD104" s="638"/>
      <c r="AE104" s="638"/>
      <c r="AF104" s="638">
        <v>5800</v>
      </c>
      <c r="AG104" s="446">
        <v>87369.919999999998</v>
      </c>
      <c r="AH104" s="638">
        <v>2263</v>
      </c>
      <c r="AI104" s="638">
        <v>370</v>
      </c>
      <c r="AJ104" s="638"/>
      <c r="AK104" s="638"/>
      <c r="AL104" s="1239"/>
      <c r="AM104" s="1239" t="s">
        <v>1042</v>
      </c>
      <c r="AN104" s="455">
        <v>5.5</v>
      </c>
      <c r="AO104" s="1239"/>
      <c r="AP104" s="1239"/>
      <c r="AQ104" s="484"/>
      <c r="AR104" s="484"/>
      <c r="AS104" s="484"/>
      <c r="AT104" s="484">
        <f>+ab($T$104,$T$102,$T$106,$G$103,$G$105,-1*$F$104,1200)</f>
        <v>-10.352744627180188</v>
      </c>
      <c r="AU104" s="638"/>
      <c r="AV104" s="638"/>
      <c r="AW104" s="638" t="str">
        <f>VLOOKUP(C104,'Foundation Calculation'!$A$2:$C$33,3,1)</f>
        <v>Soil B</v>
      </c>
      <c r="AX104" s="572" t="str">
        <f>VLOOKUP(C104,'Foundation Calculation'!$E$2:$G$33,3,1)</f>
        <v>PT</v>
      </c>
      <c r="AY104" s="484">
        <f>IF(AX104="PT",VLOOKUP(L104,'Foundation Calculation'!$K$2:$R$40,VLOOKUP(AW104,'Foundation Calculation'!$I$2:$J$8,2,FALSE),0),IF(AX104="K",VLOOKUP(L104,'Foundation Calculation'!$K$42:$R$80,VLOOKUP(AW104,'Foundation Calculation'!$I$2:$J$8,2,FALSE),0),""))</f>
        <v>3.5</v>
      </c>
      <c r="AZ104" s="484"/>
      <c r="BA104" s="671" t="s">
        <v>2809</v>
      </c>
      <c r="BB104" s="1239" t="str">
        <f>Pole_Calculations!A156</f>
        <v>App.7.1-V01-P9.5.1.5</v>
      </c>
      <c r="BC104" s="169"/>
      <c r="BD104" s="1329">
        <v>43815</v>
      </c>
      <c r="BE104" s="1329">
        <v>43852</v>
      </c>
      <c r="BF104" s="1330"/>
      <c r="BG104" s="1329">
        <v>43870</v>
      </c>
    </row>
    <row r="105" spans="1:59" ht="15.75" customHeight="1">
      <c r="A105" s="1239"/>
      <c r="B105" s="447"/>
      <c r="C105" s="446"/>
      <c r="D105" s="448"/>
      <c r="E105" s="448"/>
      <c r="F105" s="447"/>
      <c r="G105" s="484">
        <v>60</v>
      </c>
      <c r="H105" s="1239"/>
      <c r="I105" s="448"/>
      <c r="J105" s="446">
        <f>C106-7.5</f>
        <v>87422.650000000009</v>
      </c>
      <c r="K105" s="638" t="s">
        <v>2788</v>
      </c>
      <c r="L105" s="638"/>
      <c r="M105" s="1239"/>
      <c r="N105" s="638"/>
      <c r="O105" s="638"/>
      <c r="P105" s="638"/>
      <c r="Q105" s="638"/>
      <c r="R105" s="638"/>
      <c r="S105" s="484">
        <f t="shared" ref="S105" si="49">AG106-AG104</f>
        <v>60.080000000001746</v>
      </c>
      <c r="T105" s="638"/>
      <c r="U105" s="638"/>
      <c r="V105" s="638"/>
      <c r="W105" s="638"/>
      <c r="X105" s="638"/>
      <c r="Y105" s="638"/>
      <c r="Z105" s="638"/>
      <c r="AA105" s="638"/>
      <c r="AB105" s="638"/>
      <c r="AC105" s="1239"/>
      <c r="AD105" s="638"/>
      <c r="AE105" s="638"/>
      <c r="AF105" s="638"/>
      <c r="AG105" s="446"/>
      <c r="AH105" s="638"/>
      <c r="AI105" s="638"/>
      <c r="AJ105" s="638"/>
      <c r="AK105" s="638"/>
      <c r="AL105" s="638"/>
      <c r="AM105" s="638"/>
      <c r="AN105" s="455"/>
      <c r="AO105" s="1239"/>
      <c r="AP105" s="1239"/>
      <c r="AQ105" s="484">
        <f>+FL_1($T$106,$U$104,$G$105,1200,9.28,-1*$F$106)</f>
        <v>0.43600286799999999</v>
      </c>
      <c r="AR105" s="484"/>
      <c r="AS105" s="484"/>
      <c r="AT105" s="484"/>
      <c r="AU105" s="638"/>
      <c r="AV105" s="638"/>
      <c r="AW105" s="638" t="str">
        <f>VLOOKUP(J105,'Foundation Calculation'!$A$2:$C$33,3,1)</f>
        <v>Soil B</v>
      </c>
      <c r="AX105" s="572" t="str">
        <f>VLOOKUP(J105,'Foundation Calculation'!$E$2:$G$33,3,1)</f>
        <v>PT</v>
      </c>
      <c r="AY105" s="484"/>
      <c r="AZ105" s="484">
        <f>IF(AX105="PT",VLOOKUP(K105,'Foundation Calculation'!$K$2:$R$40,VLOOKUP(AW105,'Foundation Calculation'!$I$2:$J$8,2,FALSE),0),IF(AX105="K",VLOOKUP(K105,'Foundation Calculation'!$K$42:$R$80,VLOOKUP(AW105,'Foundation Calculation'!$I$2:$J$8,2,FALSE),0),""))</f>
        <v>2.8</v>
      </c>
      <c r="BA105" s="671" t="s">
        <v>2809</v>
      </c>
      <c r="BB105" s="1239"/>
      <c r="BC105" s="169"/>
      <c r="BD105" s="1329">
        <v>43815</v>
      </c>
      <c r="BE105" s="1330"/>
      <c r="BF105" s="1330"/>
      <c r="BG105" s="1330"/>
    </row>
    <row r="106" spans="1:59" ht="12.5">
      <c r="A106" s="1239"/>
      <c r="B106" s="582" t="s">
        <v>3224</v>
      </c>
      <c r="C106" s="446">
        <f>+$C$104+$G$105</f>
        <v>87430.150000000009</v>
      </c>
      <c r="D106" s="448"/>
      <c r="E106" s="448"/>
      <c r="F106" s="447">
        <v>0</v>
      </c>
      <c r="G106" s="484"/>
      <c r="H106" s="1239" t="s">
        <v>619</v>
      </c>
      <c r="I106" s="702" t="s">
        <v>3280</v>
      </c>
      <c r="J106" s="446"/>
      <c r="K106" s="638"/>
      <c r="L106" s="1239" t="s">
        <v>230</v>
      </c>
      <c r="M106" s="1239" t="str">
        <f>IF(AX106="PT",VLOOKUP(L106,'Foundation Calculation'!$V$2:$X$40,VLOOKUP(AX106,'Foundation Calculation'!$I$10:$J$13,2,FALSE),0),IF(AX106="K",VLOOKUP(L106,'Foundation Calculation'!$V$42:$X$80,VLOOKUP(AX106,'Foundation Calculation'!$I$10:$J$13,2,FALSE),0),""))</f>
        <v>C4R</v>
      </c>
      <c r="N106" s="1239" t="s">
        <v>144</v>
      </c>
      <c r="O106" s="638" t="s">
        <v>140</v>
      </c>
      <c r="P106" s="638"/>
      <c r="Q106" s="638">
        <v>0</v>
      </c>
      <c r="R106" s="638">
        <v>0</v>
      </c>
      <c r="S106" s="484"/>
      <c r="T106" s="638">
        <v>35</v>
      </c>
      <c r="U106" s="638">
        <v>15</v>
      </c>
      <c r="V106" s="638"/>
      <c r="W106" s="638">
        <v>1.4</v>
      </c>
      <c r="X106" s="638">
        <v>2.2999999999999998</v>
      </c>
      <c r="Y106" s="638"/>
      <c r="Z106" s="638"/>
      <c r="AA106" s="638">
        <v>0.6</v>
      </c>
      <c r="AB106" s="638"/>
      <c r="AC106" s="1239" t="s">
        <v>1421</v>
      </c>
      <c r="AD106" s="638"/>
      <c r="AE106" s="638"/>
      <c r="AF106" s="638">
        <v>5800</v>
      </c>
      <c r="AG106" s="446">
        <v>87430</v>
      </c>
      <c r="AH106" s="638">
        <v>1983</v>
      </c>
      <c r="AI106" s="638">
        <v>380</v>
      </c>
      <c r="AJ106" s="638"/>
      <c r="AK106" s="638"/>
      <c r="AL106" s="1239"/>
      <c r="AM106" s="1239" t="s">
        <v>1042</v>
      </c>
      <c r="AN106" s="455">
        <v>5.5</v>
      </c>
      <c r="AO106" s="1239"/>
      <c r="AP106" s="1239"/>
      <c r="AQ106" s="484"/>
      <c r="AR106" s="484"/>
      <c r="AS106" s="484"/>
      <c r="AT106" s="484">
        <f>+ab($T$106,$T$104,$T$108,$G$105,$G$107,-1*$F$106,1200)</f>
        <v>9.5063995410137085</v>
      </c>
      <c r="AU106" s="638"/>
      <c r="AV106" s="638"/>
      <c r="AW106" s="638" t="str">
        <f>VLOOKUP(C106,'Foundation Calculation'!$A$2:$C$33,3,1)</f>
        <v>Soil B</v>
      </c>
      <c r="AX106" s="572" t="str">
        <f>VLOOKUP(C106,'Foundation Calculation'!$E$2:$G$33,3,1)</f>
        <v>PT</v>
      </c>
      <c r="AY106" s="484">
        <f>IF(AX106="PT",VLOOKUP(L106,'Foundation Calculation'!$K$2:$R$40,VLOOKUP(AW106,'Foundation Calculation'!$I$2:$J$8,2,FALSE),0),IF(AX106="K",VLOOKUP(L106,'Foundation Calculation'!$K$42:$R$80,VLOOKUP(AW106,'Foundation Calculation'!$I$2:$J$8,2,FALSE),0),""))</f>
        <v>3.5</v>
      </c>
      <c r="AZ106" s="484"/>
      <c r="BA106" s="671" t="s">
        <v>2809</v>
      </c>
      <c r="BB106" s="1239" t="str">
        <f>Pole_Calculations!A156</f>
        <v>App.7.1-V01-P9.5.1.5</v>
      </c>
      <c r="BC106" s="169"/>
      <c r="BD106" s="1329">
        <v>43815</v>
      </c>
      <c r="BE106" s="1329">
        <v>43850</v>
      </c>
      <c r="BF106" s="1330"/>
      <c r="BG106" s="1329">
        <v>43870</v>
      </c>
    </row>
    <row r="107" spans="1:59" ht="15.75" customHeight="1">
      <c r="A107" s="1239"/>
      <c r="B107" s="447"/>
      <c r="C107" s="446"/>
      <c r="D107" s="448"/>
      <c r="E107" s="448"/>
      <c r="F107" s="447"/>
      <c r="G107" s="484">
        <v>60</v>
      </c>
      <c r="H107" s="1239"/>
      <c r="I107" s="448"/>
      <c r="J107" s="446">
        <f>C106+7.5</f>
        <v>87437.650000000009</v>
      </c>
      <c r="K107" s="638" t="s">
        <v>2788</v>
      </c>
      <c r="L107" s="638"/>
      <c r="M107" s="1239"/>
      <c r="N107" s="638"/>
      <c r="O107" s="638"/>
      <c r="P107" s="638"/>
      <c r="Q107" s="638"/>
      <c r="R107" s="638"/>
      <c r="S107" s="484">
        <f t="shared" ref="S107" si="50">AG108-AG106</f>
        <v>59.910000000003492</v>
      </c>
      <c r="T107" s="638"/>
      <c r="U107" s="638"/>
      <c r="V107" s="638"/>
      <c r="W107" s="638"/>
      <c r="X107" s="638"/>
      <c r="Y107" s="638"/>
      <c r="Z107" s="638"/>
      <c r="AA107" s="638"/>
      <c r="AB107" s="638"/>
      <c r="AC107" s="1239"/>
      <c r="AD107" s="638"/>
      <c r="AE107" s="638"/>
      <c r="AF107" s="638"/>
      <c r="AG107" s="446"/>
      <c r="AH107" s="638"/>
      <c r="AI107" s="638"/>
      <c r="AJ107" s="638"/>
      <c r="AK107" s="638"/>
      <c r="AL107" s="638"/>
      <c r="AM107" s="638"/>
      <c r="AN107" s="455"/>
      <c r="AO107" s="1239"/>
      <c r="AP107" s="1239"/>
      <c r="AQ107" s="484">
        <f>+FL_2($T$108,$T$106,$G$107,1200,9.28,-1*$F$108)</f>
        <v>-0.43600286799999999</v>
      </c>
      <c r="AR107" s="484"/>
      <c r="AS107" s="484"/>
      <c r="AT107" s="484"/>
      <c r="AU107" s="638"/>
      <c r="AV107" s="638"/>
      <c r="AW107" s="638" t="str">
        <f>VLOOKUP(J107,'Foundation Calculation'!$A$2:$C$33,3,1)</f>
        <v>Soil B</v>
      </c>
      <c r="AX107" s="572" t="str">
        <f>VLOOKUP(J107,'Foundation Calculation'!$E$2:$G$33,3,1)</f>
        <v>PT</v>
      </c>
      <c r="AY107" s="484"/>
      <c r="AZ107" s="484">
        <f>IF(AX107="PT",VLOOKUP(K107,'Foundation Calculation'!$K$2:$R$40,VLOOKUP(AW107,'Foundation Calculation'!$I$2:$J$8,2,FALSE),0),IF(AX107="K",VLOOKUP(K107,'Foundation Calculation'!$K$42:$R$80,VLOOKUP(AW107,'Foundation Calculation'!$I$2:$J$8,2,FALSE),0),""))</f>
        <v>2.8</v>
      </c>
      <c r="BA107" s="671" t="s">
        <v>2809</v>
      </c>
      <c r="BB107" s="1239"/>
      <c r="BC107" s="169"/>
      <c r="BD107" s="1329">
        <v>43815</v>
      </c>
      <c r="BE107" s="1330"/>
      <c r="BF107" s="1330"/>
      <c r="BG107" s="1330"/>
    </row>
    <row r="108" spans="1:59" ht="15.75" customHeight="1">
      <c r="A108" s="1239"/>
      <c r="B108" s="582" t="s">
        <v>3225</v>
      </c>
      <c r="C108" s="446">
        <f>+$C$106+$G$107</f>
        <v>87490.150000000009</v>
      </c>
      <c r="D108" s="448"/>
      <c r="E108" s="448"/>
      <c r="F108" s="447">
        <v>0</v>
      </c>
      <c r="G108" s="484"/>
      <c r="H108" s="1239" t="s">
        <v>138</v>
      </c>
      <c r="I108" s="448" t="s">
        <v>623</v>
      </c>
      <c r="J108" s="446"/>
      <c r="K108" s="638"/>
      <c r="L108" s="1239" t="s">
        <v>898</v>
      </c>
      <c r="M108" s="1239" t="str">
        <f>IF(AX108="PT",VLOOKUP(L108,'Foundation Calculation'!$V$2:$X$40,VLOOKUP(AX108,'Foundation Calculation'!$I$10:$J$13,2,FALSE),0),IF(AX108="K",VLOOKUP(L108,'Foundation Calculation'!$V$42:$X$80,VLOOKUP(AX108,'Foundation Calculation'!$I$10:$J$13,2,FALSE),0),""))</f>
        <v>C4R</v>
      </c>
      <c r="N108" s="638" t="s">
        <v>2789</v>
      </c>
      <c r="O108" s="638"/>
      <c r="P108" s="638"/>
      <c r="Q108" s="638">
        <v>0</v>
      </c>
      <c r="R108" s="638">
        <v>0</v>
      </c>
      <c r="S108" s="484"/>
      <c r="T108" s="638">
        <v>-35</v>
      </c>
      <c r="U108" s="638"/>
      <c r="V108" s="638"/>
      <c r="W108" s="638">
        <v>1.4</v>
      </c>
      <c r="X108" s="638"/>
      <c r="Y108" s="638"/>
      <c r="Z108" s="638"/>
      <c r="AA108" s="638"/>
      <c r="AB108" s="638"/>
      <c r="AC108" s="1239" t="s">
        <v>4090</v>
      </c>
      <c r="AD108" s="638"/>
      <c r="AE108" s="638"/>
      <c r="AF108" s="638">
        <v>5800</v>
      </c>
      <c r="AG108" s="446">
        <v>87489.91</v>
      </c>
      <c r="AH108" s="638">
        <v>1843</v>
      </c>
      <c r="AI108" s="638">
        <v>380</v>
      </c>
      <c r="AJ108" s="638"/>
      <c r="AK108" s="638"/>
      <c r="AL108" s="1239"/>
      <c r="AM108" s="1239" t="s">
        <v>1042</v>
      </c>
      <c r="AN108" s="455">
        <v>5.5</v>
      </c>
      <c r="AO108" s="1239"/>
      <c r="AP108" s="1239"/>
      <c r="AQ108" s="484"/>
      <c r="AR108" s="484"/>
      <c r="AS108" s="484"/>
      <c r="AT108" s="484">
        <f>+ab($T$108,$T$106,$T$110,$G$107,$G$109,-1*$F$108,1200)</f>
        <v>-8.1682020423530854</v>
      </c>
      <c r="AU108" s="638"/>
      <c r="AV108" s="638"/>
      <c r="AW108" s="638" t="str">
        <f>VLOOKUP(C108,'Foundation Calculation'!$A$2:$C$33,3,1)</f>
        <v>Soil B</v>
      </c>
      <c r="AX108" s="572" t="str">
        <f>VLOOKUP(C108,'Foundation Calculation'!$E$2:$G$33,3,1)</f>
        <v>PT</v>
      </c>
      <c r="AY108" s="484">
        <f>IF(AX108="PT",VLOOKUP(L108,'Foundation Calculation'!$K$2:$R$40,VLOOKUP(AW108,'Foundation Calculation'!$I$2:$J$8,2,FALSE),0),IF(AX108="K",VLOOKUP(L108,'Foundation Calculation'!$K$42:$R$80,VLOOKUP(AW108,'Foundation Calculation'!$I$2:$J$8,2,FALSE),0),""))</f>
        <v>3.5</v>
      </c>
      <c r="AZ108" s="484"/>
      <c r="BA108" s="671" t="s">
        <v>2809</v>
      </c>
      <c r="BB108" s="1239" t="str">
        <f>Pole_Calculations!A157</f>
        <v>App.7.1-V01-P9.5.1.6</v>
      </c>
      <c r="BC108" s="169"/>
      <c r="BD108" s="1329">
        <v>43814</v>
      </c>
      <c r="BE108" s="1329">
        <v>43850</v>
      </c>
      <c r="BF108" s="1330"/>
      <c r="BG108" s="1329">
        <v>43870</v>
      </c>
    </row>
    <row r="109" spans="1:59" ht="15.75" customHeight="1">
      <c r="A109" s="1239"/>
      <c r="B109" s="447"/>
      <c r="C109" s="446"/>
      <c r="D109" s="448"/>
      <c r="E109" s="448"/>
      <c r="F109" s="447"/>
      <c r="G109" s="484">
        <v>60</v>
      </c>
      <c r="H109" s="1239"/>
      <c r="I109" s="448"/>
      <c r="J109" s="446">
        <f>C108+7.5</f>
        <v>87497.650000000009</v>
      </c>
      <c r="K109" s="638" t="s">
        <v>2787</v>
      </c>
      <c r="L109" s="638"/>
      <c r="M109" s="1239"/>
      <c r="N109" s="638"/>
      <c r="O109" s="638"/>
      <c r="P109" s="638"/>
      <c r="Q109" s="638"/>
      <c r="R109" s="638"/>
      <c r="S109" s="484">
        <f t="shared" ref="S109" si="51">AG110-AG108</f>
        <v>60.190000000002328</v>
      </c>
      <c r="T109" s="638"/>
      <c r="U109" s="638"/>
      <c r="V109" s="638"/>
      <c r="W109" s="638"/>
      <c r="X109" s="638"/>
      <c r="Y109" s="638"/>
      <c r="Z109" s="638"/>
      <c r="AA109" s="638"/>
      <c r="AB109" s="638"/>
      <c r="AC109" s="1239"/>
      <c r="AD109" s="638"/>
      <c r="AE109" s="638"/>
      <c r="AF109" s="638"/>
      <c r="AG109" s="446"/>
      <c r="AH109" s="638"/>
      <c r="AI109" s="638"/>
      <c r="AJ109" s="638"/>
      <c r="AK109" s="638"/>
      <c r="AL109" s="638"/>
      <c r="AM109" s="638"/>
      <c r="AN109" s="455"/>
      <c r="AO109" s="1239"/>
      <c r="AP109" s="1239"/>
      <c r="AQ109" s="484">
        <f>+FL_1($T$110,$T$108,$G$109,1200,9.28,-1*$F$110)</f>
        <v>0.43600286799999999</v>
      </c>
      <c r="AR109" s="484"/>
      <c r="AS109" s="484"/>
      <c r="AT109" s="484"/>
      <c r="AU109" s="638"/>
      <c r="AV109" s="638"/>
      <c r="AW109" s="638" t="str">
        <f>VLOOKUP(J109,'Foundation Calculation'!$A$2:$C$33,3,1)</f>
        <v>Soil B</v>
      </c>
      <c r="AX109" s="572" t="str">
        <f>VLOOKUP(J109,'Foundation Calculation'!$E$2:$G$33,3,1)</f>
        <v>PT</v>
      </c>
      <c r="AY109" s="484"/>
      <c r="AZ109" s="484">
        <f>IF(AX109="PT",VLOOKUP(K109,'Foundation Calculation'!$K$2:$R$40,VLOOKUP(AW109,'Foundation Calculation'!$I$2:$J$8,2,FALSE),0),IF(AX109="K",VLOOKUP(K109,'Foundation Calculation'!$K$42:$R$80,VLOOKUP(AW109,'Foundation Calculation'!$I$2:$J$8,2,FALSE),0),""))</f>
        <v>3.9</v>
      </c>
      <c r="BA109" s="671" t="s">
        <v>2809</v>
      </c>
      <c r="BB109" s="1239"/>
      <c r="BC109" s="169"/>
      <c r="BD109" s="1329">
        <v>43814</v>
      </c>
      <c r="BE109" s="1330"/>
      <c r="BF109" s="1330"/>
      <c r="BG109" s="1330"/>
    </row>
    <row r="110" spans="1:59" ht="15.75" customHeight="1">
      <c r="A110" s="1239"/>
      <c r="B110" s="582" t="s">
        <v>3226</v>
      </c>
      <c r="C110" s="446">
        <f>+$C$108+$G$109</f>
        <v>87550.150000000009</v>
      </c>
      <c r="D110" s="448"/>
      <c r="E110" s="448"/>
      <c r="F110" s="447">
        <v>0</v>
      </c>
      <c r="G110" s="484"/>
      <c r="H110" s="1239"/>
      <c r="I110" s="448"/>
      <c r="J110" s="446"/>
      <c r="K110" s="638"/>
      <c r="L110" s="1239" t="s">
        <v>230</v>
      </c>
      <c r="M110" s="1239" t="str">
        <f>IF(AX110="PT",VLOOKUP(L110,'Foundation Calculation'!$V$2:$X$40,VLOOKUP(AX110,'Foundation Calculation'!$I$10:$J$13,2,FALSE),0),IF(AX110="K",VLOOKUP(L110,'Foundation Calculation'!$V$42:$X$80,VLOOKUP(AX110,'Foundation Calculation'!$I$10:$J$13,2,FALSE),0),""))</f>
        <v>C4R</v>
      </c>
      <c r="N110" s="638" t="s">
        <v>144</v>
      </c>
      <c r="O110" s="638"/>
      <c r="P110" s="638"/>
      <c r="Q110" s="638">
        <v>0</v>
      </c>
      <c r="R110" s="638">
        <v>0</v>
      </c>
      <c r="S110" s="484"/>
      <c r="T110" s="638">
        <v>35</v>
      </c>
      <c r="U110" s="638"/>
      <c r="V110" s="638"/>
      <c r="W110" s="638">
        <v>1.4</v>
      </c>
      <c r="X110" s="638"/>
      <c r="Y110" s="638"/>
      <c r="Z110" s="638"/>
      <c r="AA110" s="638"/>
      <c r="AB110" s="638"/>
      <c r="AC110" s="1239" t="s">
        <v>4090</v>
      </c>
      <c r="AD110" s="638"/>
      <c r="AE110" s="638"/>
      <c r="AF110" s="638">
        <v>5800</v>
      </c>
      <c r="AG110" s="446">
        <v>87550.1</v>
      </c>
      <c r="AH110" s="638">
        <v>1743</v>
      </c>
      <c r="AI110" s="638">
        <v>390</v>
      </c>
      <c r="AJ110" s="638"/>
      <c r="AK110" s="638"/>
      <c r="AL110" s="1239"/>
      <c r="AM110" s="1239" t="s">
        <v>1042</v>
      </c>
      <c r="AN110" s="455">
        <v>5.5</v>
      </c>
      <c r="AO110" s="1239"/>
      <c r="AP110" s="1239"/>
      <c r="AQ110" s="484"/>
      <c r="AR110" s="484"/>
      <c r="AS110" s="484"/>
      <c r="AT110" s="484">
        <f>+ab($T$110,$T$108,$T$112,$G$109,$G$111,-1*$F$110,1200)</f>
        <v>8.1681606014296726</v>
      </c>
      <c r="AU110" s="638"/>
      <c r="AV110" s="638"/>
      <c r="AW110" s="638" t="str">
        <f>VLOOKUP(C110,'Foundation Calculation'!$A$2:$C$33,3,1)</f>
        <v>Soil A</v>
      </c>
      <c r="AX110" s="572" t="str">
        <f>VLOOKUP(C110,'Foundation Calculation'!$E$2:$G$33,3,1)</f>
        <v>PT</v>
      </c>
      <c r="AY110" s="484">
        <f>IF(AX110="PT",VLOOKUP(L110,'Foundation Calculation'!$K$2:$R$40,VLOOKUP(AW110,'Foundation Calculation'!$I$2:$J$8,2,FALSE),0),IF(AX110="K",VLOOKUP(L110,'Foundation Calculation'!$K$42:$R$80,VLOOKUP(AW110,'Foundation Calculation'!$I$2:$J$8,2,FALSE),0),""))</f>
        <v>3.5</v>
      </c>
      <c r="AZ110" s="484"/>
      <c r="BA110" s="671" t="s">
        <v>2809</v>
      </c>
      <c r="BB110" s="1239" t="str">
        <f>Pole_Calculations!A152</f>
        <v>App.7.1-V01-P9.5.1.1</v>
      </c>
      <c r="BC110" s="169"/>
      <c r="BD110" s="1329">
        <v>43814</v>
      </c>
      <c r="BE110" s="1329">
        <v>43850</v>
      </c>
      <c r="BF110" s="1330"/>
      <c r="BG110" s="1329">
        <v>43870</v>
      </c>
    </row>
    <row r="111" spans="1:59" ht="15.75" customHeight="1">
      <c r="A111" s="1239"/>
      <c r="B111" s="447"/>
      <c r="C111" s="446"/>
      <c r="D111" s="448"/>
      <c r="E111" s="448"/>
      <c r="F111" s="447"/>
      <c r="G111" s="484">
        <v>60</v>
      </c>
      <c r="H111" s="1239"/>
      <c r="I111" s="448"/>
      <c r="J111" s="446"/>
      <c r="K111" s="638"/>
      <c r="L111" s="638"/>
      <c r="M111" s="1239"/>
      <c r="N111" s="638"/>
      <c r="O111" s="638"/>
      <c r="P111" s="638"/>
      <c r="Q111" s="638"/>
      <c r="R111" s="638"/>
      <c r="S111" s="484">
        <f t="shared" ref="S111" si="52">AG112-AG110</f>
        <v>59.849999999991269</v>
      </c>
      <c r="T111" s="638"/>
      <c r="U111" s="638"/>
      <c r="V111" s="638"/>
      <c r="W111" s="638"/>
      <c r="X111" s="638"/>
      <c r="Y111" s="638"/>
      <c r="Z111" s="638"/>
      <c r="AA111" s="638"/>
      <c r="AB111" s="638"/>
      <c r="AC111" s="1239"/>
      <c r="AD111" s="638"/>
      <c r="AE111" s="638"/>
      <c r="AF111" s="638"/>
      <c r="AG111" s="446"/>
      <c r="AH111" s="638"/>
      <c r="AI111" s="638"/>
      <c r="AJ111" s="638"/>
      <c r="AK111" s="638"/>
      <c r="AL111" s="638"/>
      <c r="AM111" s="638"/>
      <c r="AN111" s="455"/>
      <c r="AO111" s="1239"/>
      <c r="AP111" s="1239"/>
      <c r="AQ111" s="484">
        <f>+FL_2($T$112,$T$110,$G$111,1200,9.28,-1*$F$112)</f>
        <v>-0.43600286799999999</v>
      </c>
      <c r="AR111" s="484"/>
      <c r="AS111" s="484"/>
      <c r="AT111" s="484"/>
      <c r="AU111" s="638"/>
      <c r="AV111" s="638"/>
      <c r="AW111" s="638"/>
      <c r="AX111" s="572"/>
      <c r="AY111" s="484"/>
      <c r="AZ111" s="484"/>
      <c r="BA111" s="671"/>
      <c r="BB111" s="1239"/>
      <c r="BC111" s="169"/>
      <c r="BD111" s="1330"/>
      <c r="BE111" s="1330"/>
      <c r="BF111" s="1330"/>
      <c r="BG111" s="1330"/>
    </row>
    <row r="112" spans="1:59" ht="12.5">
      <c r="A112" s="1239"/>
      <c r="B112" s="582" t="s">
        <v>3227</v>
      </c>
      <c r="C112" s="446">
        <f>+$C$110+$G$111</f>
        <v>87610.150000000009</v>
      </c>
      <c r="D112" s="448"/>
      <c r="E112" s="448"/>
      <c r="F112" s="447">
        <v>0</v>
      </c>
      <c r="G112" s="484"/>
      <c r="H112" s="1239"/>
      <c r="I112" s="448"/>
      <c r="J112" s="446"/>
      <c r="K112" s="638"/>
      <c r="L112" s="1239" t="s">
        <v>230</v>
      </c>
      <c r="M112" s="1239" t="str">
        <f>IF(AX112="PT",VLOOKUP(L112,'Foundation Calculation'!$V$2:$X$40,VLOOKUP(AX112,'Foundation Calculation'!$I$10:$J$13,2,FALSE),0),IF(AX112="K",VLOOKUP(L112,'Foundation Calculation'!$V$42:$X$80,VLOOKUP(AX112,'Foundation Calculation'!$I$10:$J$13,2,FALSE),0),""))</f>
        <v>C4R</v>
      </c>
      <c r="N112" s="638" t="s">
        <v>143</v>
      </c>
      <c r="O112" s="638"/>
      <c r="P112" s="638"/>
      <c r="Q112" s="638">
        <v>0</v>
      </c>
      <c r="R112" s="638">
        <v>0</v>
      </c>
      <c r="S112" s="484"/>
      <c r="T112" s="638">
        <v>-35</v>
      </c>
      <c r="U112" s="638"/>
      <c r="V112" s="638"/>
      <c r="W112" s="638">
        <v>1.4</v>
      </c>
      <c r="X112" s="638"/>
      <c r="Y112" s="638"/>
      <c r="Z112" s="638"/>
      <c r="AA112" s="638"/>
      <c r="AB112" s="638"/>
      <c r="AC112" s="1239" t="s">
        <v>4115</v>
      </c>
      <c r="AD112" s="638"/>
      <c r="AE112" s="638"/>
      <c r="AF112" s="638">
        <v>5800</v>
      </c>
      <c r="AG112" s="446">
        <v>87609.95</v>
      </c>
      <c r="AH112" s="638">
        <v>2243</v>
      </c>
      <c r="AI112" s="638">
        <v>320</v>
      </c>
      <c r="AJ112" s="638"/>
      <c r="AK112" s="638"/>
      <c r="AL112" s="1239"/>
      <c r="AM112" s="1239" t="s">
        <v>1042</v>
      </c>
      <c r="AN112" s="455">
        <v>5.5</v>
      </c>
      <c r="AO112" s="1239"/>
      <c r="AP112" s="1239"/>
      <c r="AQ112" s="484"/>
      <c r="AR112" s="484"/>
      <c r="AS112" s="484"/>
      <c r="AT112" s="484">
        <f>+ab($T$112,$T$110,$T$114,$G$111,$G$113,-1*$F$112,1200)</f>
        <v>-8.1682020423530854</v>
      </c>
      <c r="AU112" s="638"/>
      <c r="AV112" s="638"/>
      <c r="AW112" s="638" t="str">
        <f>VLOOKUP(C112,'Foundation Calculation'!$A$2:$C$33,3,1)</f>
        <v>Soil A</v>
      </c>
      <c r="AX112" s="572" t="str">
        <f>VLOOKUP(C112,'Foundation Calculation'!$E$2:$G$33,3,1)</f>
        <v>PT</v>
      </c>
      <c r="AY112" s="484">
        <f>IF(AX112="PT",VLOOKUP(L112,'Foundation Calculation'!$K$2:$R$40,VLOOKUP(AW112,'Foundation Calculation'!$I$2:$J$8,2,FALSE),0),IF(AX112="K",VLOOKUP(L112,'Foundation Calculation'!$K$42:$R$80,VLOOKUP(AW112,'Foundation Calculation'!$I$2:$J$8,2,FALSE),0),""))</f>
        <v>3.5</v>
      </c>
      <c r="AZ112" s="484"/>
      <c r="BA112" s="671" t="s">
        <v>2809</v>
      </c>
      <c r="BB112" s="1239" t="str">
        <f>Pole_Calculations!A152</f>
        <v>App.7.1-V01-P9.5.1.1</v>
      </c>
      <c r="BC112" s="169"/>
      <c r="BD112" s="1329">
        <v>43811</v>
      </c>
      <c r="BE112" s="1329">
        <v>43852</v>
      </c>
      <c r="BF112" s="1330"/>
      <c r="BG112" s="1329">
        <v>43870</v>
      </c>
    </row>
    <row r="113" spans="1:59" ht="15.75" customHeight="1">
      <c r="A113" s="1239"/>
      <c r="B113" s="447"/>
      <c r="C113" s="446"/>
      <c r="D113" s="448"/>
      <c r="E113" s="448"/>
      <c r="F113" s="448"/>
      <c r="G113" s="484">
        <v>60</v>
      </c>
      <c r="H113" s="1239"/>
      <c r="I113" s="448"/>
      <c r="J113" s="446"/>
      <c r="K113" s="638"/>
      <c r="L113" s="638"/>
      <c r="M113" s="1239"/>
      <c r="N113" s="638"/>
      <c r="O113" s="638"/>
      <c r="P113" s="638"/>
      <c r="Q113" s="638"/>
      <c r="R113" s="638"/>
      <c r="S113" s="484">
        <f t="shared" ref="S113" si="53">AG114-AG112</f>
        <v>60.089999999996508</v>
      </c>
      <c r="T113" s="638"/>
      <c r="U113" s="638"/>
      <c r="V113" s="638"/>
      <c r="W113" s="638"/>
      <c r="X113" s="638"/>
      <c r="Y113" s="638"/>
      <c r="Z113" s="638"/>
      <c r="AA113" s="638"/>
      <c r="AB113" s="638"/>
      <c r="AC113" s="1239"/>
      <c r="AD113" s="638"/>
      <c r="AE113" s="638"/>
      <c r="AF113" s="638"/>
      <c r="AG113" s="446"/>
      <c r="AH113" s="638"/>
      <c r="AI113" s="638"/>
      <c r="AJ113" s="638"/>
      <c r="AK113" s="638"/>
      <c r="AL113" s="638"/>
      <c r="AM113" s="638"/>
      <c r="AN113" s="455"/>
      <c r="AO113" s="1239"/>
      <c r="AP113" s="1239"/>
      <c r="AQ113" s="484">
        <f>+FL_1($T$114,$T$112,$G$113,1200,9.28,-1*$F$114)</f>
        <v>0.43600286799999999</v>
      </c>
      <c r="AR113" s="484"/>
      <c r="AS113" s="484"/>
      <c r="AT113" s="484"/>
      <c r="AU113" s="638"/>
      <c r="AV113" s="638"/>
      <c r="AW113" s="638"/>
      <c r="AX113" s="638"/>
      <c r="AY113" s="484"/>
      <c r="AZ113" s="484"/>
      <c r="BA113" s="671"/>
      <c r="BB113" s="1239"/>
      <c r="BC113" s="169"/>
      <c r="BD113" s="1330"/>
      <c r="BE113" s="1330"/>
      <c r="BF113" s="1330"/>
      <c r="BG113" s="1330"/>
    </row>
    <row r="114" spans="1:59" ht="15.75" customHeight="1">
      <c r="A114" s="449"/>
      <c r="B114" s="485" t="s">
        <v>3228</v>
      </c>
      <c r="C114" s="446">
        <f>+$C$112+$G$113</f>
        <v>87670.150000000009</v>
      </c>
      <c r="D114" s="638"/>
      <c r="E114" s="638"/>
      <c r="F114" s="447">
        <v>0</v>
      </c>
      <c r="G114" s="484"/>
      <c r="H114" s="1239"/>
      <c r="I114" s="448"/>
      <c r="J114" s="446"/>
      <c r="K114" s="638"/>
      <c r="L114" s="1239" t="s">
        <v>230</v>
      </c>
      <c r="M114" s="1239" t="str">
        <f>IF(AX114="PT",VLOOKUP(L114,'Foundation Calculation'!$V$2:$X$40,VLOOKUP(AX114,'Foundation Calculation'!$I$10:$J$13,2,FALSE),0),IF(AX114="K",VLOOKUP(L114,'Foundation Calculation'!$V$42:$X$80,VLOOKUP(AX114,'Foundation Calculation'!$I$10:$J$13,2,FALSE),0),""))</f>
        <v>C4R</v>
      </c>
      <c r="N114" s="638" t="s">
        <v>144</v>
      </c>
      <c r="O114" s="638"/>
      <c r="P114" s="638"/>
      <c r="Q114" s="638">
        <v>0</v>
      </c>
      <c r="R114" s="638">
        <v>0</v>
      </c>
      <c r="S114" s="484"/>
      <c r="T114" s="638">
        <v>35</v>
      </c>
      <c r="U114" s="638"/>
      <c r="V114" s="638"/>
      <c r="W114" s="638">
        <v>1.4</v>
      </c>
      <c r="X114" s="638"/>
      <c r="Y114" s="638"/>
      <c r="Z114" s="638"/>
      <c r="AA114" s="638"/>
      <c r="AB114" s="638"/>
      <c r="AC114" s="1239" t="s">
        <v>1421</v>
      </c>
      <c r="AD114" s="638"/>
      <c r="AE114" s="638"/>
      <c r="AF114" s="638">
        <v>5800</v>
      </c>
      <c r="AG114" s="446">
        <v>87670.04</v>
      </c>
      <c r="AH114" s="638">
        <v>2523</v>
      </c>
      <c r="AI114" s="638">
        <v>350</v>
      </c>
      <c r="AJ114" s="638"/>
      <c r="AK114" s="638"/>
      <c r="AL114" s="1239"/>
      <c r="AM114" s="1239" t="s">
        <v>1042</v>
      </c>
      <c r="AN114" s="455">
        <v>5.5</v>
      </c>
      <c r="AO114" s="1239"/>
      <c r="AP114" s="1239"/>
      <c r="AQ114" s="484"/>
      <c r="AR114" s="484"/>
      <c r="AS114" s="484"/>
      <c r="AT114" s="484">
        <f>+ab($T$114,$T$112,$T$116,$G$113,$G$115,-1*$F$114,1200)</f>
        <v>8.1681606014296726</v>
      </c>
      <c r="AU114" s="638"/>
      <c r="AV114" s="638"/>
      <c r="AW114" s="638" t="str">
        <f>VLOOKUP(C114,'Foundation Calculation'!$A$2:$C$33,3,1)</f>
        <v>Soil A</v>
      </c>
      <c r="AX114" s="572" t="str">
        <f>VLOOKUP(C114,'Foundation Calculation'!$E$2:$G$33,3,1)</f>
        <v>PT</v>
      </c>
      <c r="AY114" s="484">
        <f>IF(AX114="PT",VLOOKUP(L114,'Foundation Calculation'!$K$2:$R$40,VLOOKUP(AW114,'Foundation Calculation'!$I$2:$J$8,2,FALSE),0),IF(AX114="K",VLOOKUP(L114,'Foundation Calculation'!$K$42:$R$80,VLOOKUP(AW114,'Foundation Calculation'!$I$2:$J$8,2,FALSE),0),""))</f>
        <v>3.5</v>
      </c>
      <c r="AZ114" s="484"/>
      <c r="BA114" s="671" t="s">
        <v>2809</v>
      </c>
      <c r="BB114" s="449" t="str">
        <f>Pole_Calculations!A152</f>
        <v>App.7.1-V01-P9.5.1.1</v>
      </c>
      <c r="BC114" s="169"/>
      <c r="BD114" s="1329">
        <v>43811</v>
      </c>
      <c r="BE114" s="1329">
        <v>43852</v>
      </c>
      <c r="BF114" s="1330"/>
      <c r="BG114" s="1329">
        <v>43870</v>
      </c>
    </row>
    <row r="115" spans="1:59" ht="15.75" customHeight="1">
      <c r="A115" s="667"/>
      <c r="B115" s="657"/>
      <c r="C115" s="649"/>
      <c r="D115" s="653"/>
      <c r="E115" s="653"/>
      <c r="F115" s="648"/>
      <c r="G115" s="654">
        <v>60</v>
      </c>
      <c r="H115" s="647"/>
      <c r="I115" s="650"/>
      <c r="J115" s="649"/>
      <c r="K115" s="653"/>
      <c r="L115" s="653"/>
      <c r="M115" s="653"/>
      <c r="N115" s="653"/>
      <c r="O115" s="653"/>
      <c r="P115" s="653"/>
      <c r="Q115" s="653"/>
      <c r="R115" s="653"/>
      <c r="S115" s="654">
        <f t="shared" ref="S115" si="54">AG116-AG114</f>
        <v>60</v>
      </c>
      <c r="T115" s="653"/>
      <c r="U115" s="653"/>
      <c r="V115" s="653"/>
      <c r="W115" s="653"/>
      <c r="X115" s="653"/>
      <c r="Y115" s="653"/>
      <c r="Z115" s="653"/>
      <c r="AA115" s="653"/>
      <c r="AB115" s="653"/>
      <c r="AC115" s="647"/>
      <c r="AD115" s="653"/>
      <c r="AE115" s="653"/>
      <c r="AF115" s="653"/>
      <c r="AG115" s="649"/>
      <c r="AH115" s="653"/>
      <c r="AI115" s="653"/>
      <c r="AJ115" s="653"/>
      <c r="AK115" s="653"/>
      <c r="AL115" s="653"/>
      <c r="AM115" s="653"/>
      <c r="AN115" s="651"/>
      <c r="AO115" s="647"/>
      <c r="AP115" s="647"/>
      <c r="AQ115" s="654">
        <f>+FL_2($T$116,$T$114,$G$115,1200,9.28,-1*$F$116)</f>
        <v>-0.43600286799999999</v>
      </c>
      <c r="AR115" s="654"/>
      <c r="AS115" s="654"/>
      <c r="AT115" s="654"/>
      <c r="AU115" s="653"/>
      <c r="AV115" s="653"/>
      <c r="AW115" s="653"/>
      <c r="AX115" s="653"/>
      <c r="AY115" s="654"/>
      <c r="AZ115" s="654"/>
      <c r="BA115" s="701"/>
      <c r="BB115" s="667"/>
      <c r="BC115" s="169"/>
      <c r="BD115" s="1330"/>
      <c r="BE115" s="1330"/>
      <c r="BF115" s="1330"/>
      <c r="BG115" s="1330"/>
    </row>
    <row r="116" spans="1:59" ht="15.75" customHeight="1">
      <c r="A116" s="449"/>
      <c r="B116" s="485" t="s">
        <v>3229</v>
      </c>
      <c r="C116" s="446">
        <f>+$C$114+$G$115</f>
        <v>87730.150000000009</v>
      </c>
      <c r="D116" s="638"/>
      <c r="E116" s="638"/>
      <c r="F116" s="447">
        <v>0</v>
      </c>
      <c r="G116" s="484"/>
      <c r="H116" s="1239"/>
      <c r="I116" s="448"/>
      <c r="J116" s="446"/>
      <c r="K116" s="638"/>
      <c r="L116" s="1239" t="s">
        <v>230</v>
      </c>
      <c r="M116" s="1239" t="str">
        <f>IF(AX116="PT",VLOOKUP(L116,'Foundation Calculation'!$V$2:$X$40,VLOOKUP(AX116,'Foundation Calculation'!$I$10:$J$13,2,FALSE),0),IF(AX116="K",VLOOKUP(L116,'Foundation Calculation'!$V$42:$X$80,VLOOKUP(AX116,'Foundation Calculation'!$I$10:$J$13,2,FALSE),0),""))</f>
        <v>C4R</v>
      </c>
      <c r="N116" s="638" t="s">
        <v>143</v>
      </c>
      <c r="O116" s="638"/>
      <c r="P116" s="638"/>
      <c r="Q116" s="638">
        <v>0</v>
      </c>
      <c r="R116" s="638">
        <v>0</v>
      </c>
      <c r="S116" s="484"/>
      <c r="T116" s="638">
        <v>-35</v>
      </c>
      <c r="U116" s="638"/>
      <c r="V116" s="638"/>
      <c r="W116" s="638">
        <v>1.4</v>
      </c>
      <c r="X116" s="638"/>
      <c r="Y116" s="638"/>
      <c r="Z116" s="638"/>
      <c r="AA116" s="638"/>
      <c r="AB116" s="638"/>
      <c r="AC116" s="1239" t="s">
        <v>1421</v>
      </c>
      <c r="AD116" s="638"/>
      <c r="AE116" s="638"/>
      <c r="AF116" s="638">
        <v>5800</v>
      </c>
      <c r="AG116" s="446">
        <v>87730.04</v>
      </c>
      <c r="AH116" s="638">
        <v>2493</v>
      </c>
      <c r="AI116" s="638">
        <v>320</v>
      </c>
      <c r="AJ116" s="638"/>
      <c r="AK116" s="638"/>
      <c r="AL116" s="1239"/>
      <c r="AM116" s="1239" t="s">
        <v>1042</v>
      </c>
      <c r="AN116" s="455">
        <v>5.5</v>
      </c>
      <c r="AO116" s="1239"/>
      <c r="AP116" s="1239"/>
      <c r="AQ116" s="484"/>
      <c r="AR116" s="484"/>
      <c r="AS116" s="484"/>
      <c r="AT116" s="484">
        <f>+ab($T$116,$T$114,$T$118,$G$115,$G$117,-1*$F$116,1200)</f>
        <v>-8.1682020423530854</v>
      </c>
      <c r="AU116" s="638"/>
      <c r="AV116" s="638"/>
      <c r="AW116" s="638" t="str">
        <f>VLOOKUP(C116,'Foundation Calculation'!$A$2:$C$33,3,1)</f>
        <v>Soil A</v>
      </c>
      <c r="AX116" s="572" t="str">
        <f>VLOOKUP(C116,'Foundation Calculation'!$E$2:$G$33,3,1)</f>
        <v>PT</v>
      </c>
      <c r="AY116" s="484">
        <f>IF(AX116="PT",VLOOKUP(L116,'Foundation Calculation'!$K$2:$R$40,VLOOKUP(AW116,'Foundation Calculation'!$I$2:$J$8,2,FALSE),0),IF(AX116="K",VLOOKUP(L116,'Foundation Calculation'!$K$42:$R$80,VLOOKUP(AW116,'Foundation Calculation'!$I$2:$J$8,2,FALSE),0),""))</f>
        <v>3.5</v>
      </c>
      <c r="AZ116" s="484"/>
      <c r="BA116" s="671" t="s">
        <v>2809</v>
      </c>
      <c r="BB116" s="449" t="str">
        <f>Pole_Calculations!A152</f>
        <v>App.7.1-V01-P9.5.1.1</v>
      </c>
      <c r="BC116" s="169"/>
      <c r="BD116" s="1329">
        <v>43811</v>
      </c>
      <c r="BE116" s="1329">
        <v>43852</v>
      </c>
      <c r="BF116" s="1330"/>
      <c r="BG116" s="1329">
        <v>43870</v>
      </c>
    </row>
    <row r="117" spans="1:59" ht="15.75" customHeight="1">
      <c r="A117" s="449"/>
      <c r="B117" s="445"/>
      <c r="C117" s="446"/>
      <c r="D117" s="638"/>
      <c r="E117" s="638"/>
      <c r="F117" s="447"/>
      <c r="G117" s="484">
        <v>60</v>
      </c>
      <c r="H117" s="1239"/>
      <c r="I117" s="448"/>
      <c r="J117" s="446"/>
      <c r="K117" s="638"/>
      <c r="L117" s="638"/>
      <c r="M117" s="638"/>
      <c r="N117" s="638"/>
      <c r="O117" s="638"/>
      <c r="P117" s="638"/>
      <c r="Q117" s="638"/>
      <c r="R117" s="638"/>
      <c r="S117" s="484">
        <f t="shared" ref="S117" si="55">AG118-AG116</f>
        <v>60.010000000009313</v>
      </c>
      <c r="T117" s="638"/>
      <c r="U117" s="638"/>
      <c r="V117" s="638"/>
      <c r="W117" s="638"/>
      <c r="X117" s="638"/>
      <c r="Y117" s="638"/>
      <c r="Z117" s="638"/>
      <c r="AA117" s="638"/>
      <c r="AB117" s="638"/>
      <c r="AC117" s="1239"/>
      <c r="AD117" s="638"/>
      <c r="AE117" s="638"/>
      <c r="AF117" s="638"/>
      <c r="AG117" s="446"/>
      <c r="AH117" s="638"/>
      <c r="AI117" s="638"/>
      <c r="AJ117" s="638"/>
      <c r="AK117" s="638"/>
      <c r="AL117" s="638"/>
      <c r="AM117" s="638"/>
      <c r="AN117" s="455"/>
      <c r="AO117" s="1239"/>
      <c r="AP117" s="1239"/>
      <c r="AQ117" s="484">
        <f>+FL_1($T$118,$T$116,$G$117,1200,9.28,-1*$F$118)</f>
        <v>0.43600286799999999</v>
      </c>
      <c r="AR117" s="484"/>
      <c r="AS117" s="484"/>
      <c r="AT117" s="484"/>
      <c r="AU117" s="638"/>
      <c r="AV117" s="638"/>
      <c r="AW117" s="638"/>
      <c r="AX117" s="572"/>
      <c r="AY117" s="484"/>
      <c r="AZ117" s="484"/>
      <c r="BA117" s="671"/>
      <c r="BB117" s="449"/>
      <c r="BC117" s="169"/>
      <c r="BD117" s="1330"/>
      <c r="BE117" s="1330"/>
      <c r="BF117" s="1330"/>
      <c r="BG117" s="1330"/>
    </row>
    <row r="118" spans="1:59" ht="15.75" customHeight="1">
      <c r="A118" s="449"/>
      <c r="B118" s="485" t="s">
        <v>3230</v>
      </c>
      <c r="C118" s="446">
        <f>+$C$116+$G$117</f>
        <v>87790.150000000009</v>
      </c>
      <c r="D118" s="638"/>
      <c r="E118" s="638"/>
      <c r="F118" s="447">
        <v>0</v>
      </c>
      <c r="G118" s="484"/>
      <c r="H118" s="1239"/>
      <c r="I118" s="448"/>
      <c r="J118" s="446"/>
      <c r="K118" s="638"/>
      <c r="L118" s="1239" t="s">
        <v>230</v>
      </c>
      <c r="M118" s="1239" t="str">
        <f>IF(AX118="PT",VLOOKUP(L118,'Foundation Calculation'!$V$2:$X$40,VLOOKUP(AX118,'Foundation Calculation'!$I$10:$J$13,2,FALSE),0),IF(AX118="K",VLOOKUP(L118,'Foundation Calculation'!$V$42:$X$80,VLOOKUP(AX118,'Foundation Calculation'!$I$10:$J$13,2,FALSE),0),""))</f>
        <v>C4R</v>
      </c>
      <c r="N118" s="638" t="s">
        <v>144</v>
      </c>
      <c r="O118" s="638"/>
      <c r="P118" s="638"/>
      <c r="Q118" s="638">
        <v>10</v>
      </c>
      <c r="R118" s="638">
        <v>0</v>
      </c>
      <c r="S118" s="484"/>
      <c r="T118" s="638">
        <v>35</v>
      </c>
      <c r="U118" s="638"/>
      <c r="V118" s="638"/>
      <c r="W118" s="638">
        <v>1.4</v>
      </c>
      <c r="X118" s="638"/>
      <c r="Y118" s="638"/>
      <c r="Z118" s="638"/>
      <c r="AA118" s="638"/>
      <c r="AB118" s="638"/>
      <c r="AC118" s="1239" t="s">
        <v>1421</v>
      </c>
      <c r="AD118" s="638"/>
      <c r="AE118" s="638"/>
      <c r="AF118" s="638">
        <v>5800</v>
      </c>
      <c r="AG118" s="446">
        <v>87790.05</v>
      </c>
      <c r="AH118" s="638">
        <v>2683</v>
      </c>
      <c r="AI118" s="638">
        <v>300</v>
      </c>
      <c r="AJ118" s="638"/>
      <c r="AK118" s="638"/>
      <c r="AL118" s="1239"/>
      <c r="AM118" s="1239" t="s">
        <v>1042</v>
      </c>
      <c r="AN118" s="455">
        <v>5.5</v>
      </c>
      <c r="AO118" s="1239"/>
      <c r="AP118" s="1239"/>
      <c r="AQ118" s="484"/>
      <c r="AR118" s="484"/>
      <c r="AS118" s="484"/>
      <c r="AT118" s="484">
        <f>+ab($T$118,$T$116,$T$120,$G$117,$G$119,-1*$F$118,1200)</f>
        <v>8.1681606014296726</v>
      </c>
      <c r="AU118" s="638"/>
      <c r="AV118" s="638"/>
      <c r="AW118" s="638" t="str">
        <f>VLOOKUP(C118,'Foundation Calculation'!$A$2:$C$33,3,1)</f>
        <v>Soil A</v>
      </c>
      <c r="AX118" s="572" t="str">
        <f>VLOOKUP(C118,'Foundation Calculation'!$E$2:$G$33,3,1)</f>
        <v>PT</v>
      </c>
      <c r="AY118" s="484">
        <f>IF(AX118="PT",VLOOKUP(L118,'Foundation Calculation'!$K$2:$R$40,VLOOKUP(AW118,'Foundation Calculation'!$I$2:$J$8,2,FALSE),0),IF(AX118="K",VLOOKUP(L118,'Foundation Calculation'!$K$42:$R$80,VLOOKUP(AW118,'Foundation Calculation'!$I$2:$J$8,2,FALSE),0),""))</f>
        <v>3.5</v>
      </c>
      <c r="AZ118" s="484"/>
      <c r="BA118" s="671" t="s">
        <v>2809</v>
      </c>
      <c r="BB118" s="449" t="str">
        <f>Pole_Calculations!A152</f>
        <v>App.7.1-V01-P9.5.1.1</v>
      </c>
      <c r="BC118" s="169"/>
      <c r="BD118" s="1329">
        <v>43811</v>
      </c>
      <c r="BE118" s="1329">
        <v>43852</v>
      </c>
      <c r="BF118" s="1330"/>
      <c r="BG118" s="1329">
        <v>43870</v>
      </c>
    </row>
    <row r="119" spans="1:59" ht="15.75" customHeight="1">
      <c r="A119" s="449"/>
      <c r="B119" s="445"/>
      <c r="C119" s="446"/>
      <c r="D119" s="638"/>
      <c r="E119" s="638"/>
      <c r="F119" s="447"/>
      <c r="G119" s="484">
        <v>60</v>
      </c>
      <c r="H119" s="1239"/>
      <c r="I119" s="448"/>
      <c r="J119" s="446">
        <f>C120-7.5</f>
        <v>87842.650000000009</v>
      </c>
      <c r="K119" s="638" t="s">
        <v>2788</v>
      </c>
      <c r="L119" s="638"/>
      <c r="M119" s="638"/>
      <c r="N119" s="638"/>
      <c r="O119" s="638"/>
      <c r="P119" s="638"/>
      <c r="Q119" s="638"/>
      <c r="R119" s="638"/>
      <c r="S119" s="484">
        <f t="shared" ref="S119" si="56">AG120-AG118</f>
        <v>59.869999999995343</v>
      </c>
      <c r="T119" s="638"/>
      <c r="U119" s="638"/>
      <c r="V119" s="638"/>
      <c r="W119" s="638"/>
      <c r="X119" s="638"/>
      <c r="Y119" s="638"/>
      <c r="Z119" s="638"/>
      <c r="AA119" s="638"/>
      <c r="AB119" s="638"/>
      <c r="AC119" s="1239"/>
      <c r="AD119" s="638"/>
      <c r="AE119" s="638"/>
      <c r="AF119" s="638"/>
      <c r="AG119" s="446"/>
      <c r="AH119" s="638"/>
      <c r="AI119" s="638"/>
      <c r="AJ119" s="638"/>
      <c r="AK119" s="638"/>
      <c r="AL119" s="638"/>
      <c r="AM119" s="638"/>
      <c r="AN119" s="455"/>
      <c r="AO119" s="1239"/>
      <c r="AP119" s="1239"/>
      <c r="AQ119" s="484">
        <f>+FL_2($T$120,$T$118,$G$119,1200,9.28,-1*$F$120)</f>
        <v>-0.43600286799999999</v>
      </c>
      <c r="AR119" s="484"/>
      <c r="AS119" s="484"/>
      <c r="AT119" s="484"/>
      <c r="AU119" s="638"/>
      <c r="AV119" s="638"/>
      <c r="AW119" s="638" t="str">
        <f>VLOOKUP(J119,'Foundation Calculation'!$A$2:$C$33,3,1)</f>
        <v>Soil A</v>
      </c>
      <c r="AX119" s="572" t="str">
        <f>VLOOKUP(J119,'Foundation Calculation'!$E$2:$G$33,3,1)</f>
        <v>PT</v>
      </c>
      <c r="AY119" s="484"/>
      <c r="AZ119" s="484">
        <f>IF(AX119="PT",VLOOKUP(K119,'Foundation Calculation'!$K$2:$R$40,VLOOKUP(AW119,'Foundation Calculation'!$I$2:$J$8,2,FALSE),0),IF(AX119="K",VLOOKUP(K119,'Foundation Calculation'!$K$42:$R$80,VLOOKUP(AW119,'Foundation Calculation'!$I$2:$J$8,2,FALSE),0),""))</f>
        <v>2.8</v>
      </c>
      <c r="BA119" s="671" t="s">
        <v>2809</v>
      </c>
      <c r="BB119" s="449"/>
      <c r="BC119" s="169"/>
      <c r="BD119" s="1329">
        <v>43810</v>
      </c>
      <c r="BE119" s="1330"/>
      <c r="BF119" s="1330"/>
      <c r="BG119" s="1330"/>
    </row>
    <row r="120" spans="1:59" ht="15.75" customHeight="1">
      <c r="A120" s="449"/>
      <c r="B120" s="485" t="s">
        <v>3231</v>
      </c>
      <c r="C120" s="446">
        <f>+$C$118+$G$119</f>
        <v>87850.150000000009</v>
      </c>
      <c r="D120" s="638"/>
      <c r="E120" s="638"/>
      <c r="F120" s="447">
        <v>0</v>
      </c>
      <c r="G120" s="455"/>
      <c r="H120" s="1239" t="s">
        <v>873</v>
      </c>
      <c r="I120" s="448"/>
      <c r="J120" s="171"/>
      <c r="K120" s="638"/>
      <c r="L120" s="1239" t="s">
        <v>230</v>
      </c>
      <c r="M120" s="1239" t="str">
        <f>IF(AX120="PT",VLOOKUP(L120,'Foundation Calculation'!$V$2:$X$40,VLOOKUP(AX120,'Foundation Calculation'!$I$10:$J$13,2,FALSE),0),IF(AX120="K",VLOOKUP(L120,'Foundation Calculation'!$V$42:$X$80,VLOOKUP(AX120,'Foundation Calculation'!$I$10:$J$13,2,FALSE),0),""))</f>
        <v>C4R</v>
      </c>
      <c r="N120" s="638" t="s">
        <v>143</v>
      </c>
      <c r="O120" s="638"/>
      <c r="P120" s="638"/>
      <c r="Q120" s="638">
        <v>10</v>
      </c>
      <c r="R120" s="638">
        <v>0</v>
      </c>
      <c r="S120" s="484"/>
      <c r="T120" s="638">
        <v>-35</v>
      </c>
      <c r="U120" s="638"/>
      <c r="V120" s="638"/>
      <c r="W120" s="638">
        <v>1.4</v>
      </c>
      <c r="X120" s="638"/>
      <c r="Y120" s="638"/>
      <c r="Z120" s="638"/>
      <c r="AA120" s="638"/>
      <c r="AB120" s="638"/>
      <c r="AC120" s="1239" t="s">
        <v>4090</v>
      </c>
      <c r="AD120" s="638"/>
      <c r="AE120" s="638"/>
      <c r="AF120" s="638">
        <v>5800</v>
      </c>
      <c r="AG120" s="446">
        <v>87849.919999999998</v>
      </c>
      <c r="AH120" s="638">
        <v>2753</v>
      </c>
      <c r="AI120" s="638">
        <v>280</v>
      </c>
      <c r="AJ120" s="638"/>
      <c r="AK120" s="638"/>
      <c r="AL120" s="1239"/>
      <c r="AM120" s="1239" t="s">
        <v>1042</v>
      </c>
      <c r="AN120" s="455">
        <v>5.5</v>
      </c>
      <c r="AO120" s="1239"/>
      <c r="AP120" s="1239"/>
      <c r="AQ120" s="484"/>
      <c r="AR120" s="484"/>
      <c r="AS120" s="484"/>
      <c r="AT120" s="484">
        <f>+ab($T$120,$T$118,$T$122,$G$119,$G$121,-1*$F$120,1200)</f>
        <v>-7.4343488377840483</v>
      </c>
      <c r="AU120" s="638"/>
      <c r="AV120" s="638"/>
      <c r="AW120" s="638" t="str">
        <f>VLOOKUP(C120,'Foundation Calculation'!$A$2:$C$33,3,1)</f>
        <v>Soil A</v>
      </c>
      <c r="AX120" s="572" t="str">
        <f>VLOOKUP(C120,'Foundation Calculation'!$E$2:$G$33,3,1)</f>
        <v>PT</v>
      </c>
      <c r="AY120" s="484">
        <f>IF(AX120="PT",VLOOKUP(L120,'Foundation Calculation'!$K$2:$R$40,VLOOKUP(AW120,'Foundation Calculation'!$I$2:$J$8,2,FALSE),0),IF(AX120="K",VLOOKUP(L120,'Foundation Calculation'!$K$42:$R$80,VLOOKUP(AW120,'Foundation Calculation'!$I$2:$J$8,2,FALSE),0),""))</f>
        <v>3.5</v>
      </c>
      <c r="AZ120" s="484"/>
      <c r="BA120" s="671" t="s">
        <v>2809</v>
      </c>
      <c r="BB120" s="449" t="str">
        <f>Pole_Calculations!A154</f>
        <v>App.7.1-V01-P9.5.1.3</v>
      </c>
      <c r="BC120" s="169"/>
      <c r="BD120" s="1329">
        <v>43810</v>
      </c>
      <c r="BE120" s="1329">
        <v>43852</v>
      </c>
      <c r="BF120" s="1330"/>
      <c r="BG120" s="1329">
        <v>43870</v>
      </c>
    </row>
    <row r="121" spans="1:59" ht="15.75" customHeight="1">
      <c r="A121" s="449"/>
      <c r="B121" s="445"/>
      <c r="C121" s="446"/>
      <c r="D121" s="638"/>
      <c r="E121" s="638"/>
      <c r="F121" s="447"/>
      <c r="G121" s="455">
        <v>50</v>
      </c>
      <c r="H121" s="1239"/>
      <c r="I121" s="448">
        <f>C122-C102</f>
        <v>580</v>
      </c>
      <c r="J121" s="171"/>
      <c r="K121" s="638"/>
      <c r="L121" s="1239"/>
      <c r="M121" s="638"/>
      <c r="N121" s="1239"/>
      <c r="O121" s="1239"/>
      <c r="P121" s="1239"/>
      <c r="Q121" s="1239"/>
      <c r="R121" s="1239"/>
      <c r="S121" s="455">
        <f t="shared" ref="S121" si="57">AG122-AG120</f>
        <v>49.919999999998254</v>
      </c>
      <c r="T121" s="1239"/>
      <c r="U121" s="1239"/>
      <c r="V121" s="1239"/>
      <c r="W121" s="1239"/>
      <c r="X121" s="1239"/>
      <c r="Y121" s="1239"/>
      <c r="Z121" s="1239"/>
      <c r="AA121" s="1239"/>
      <c r="AB121" s="1239"/>
      <c r="AC121" s="1239"/>
      <c r="AD121" s="1239"/>
      <c r="AE121" s="1239"/>
      <c r="AF121" s="1239"/>
      <c r="AG121" s="171"/>
      <c r="AH121" s="1239"/>
      <c r="AI121" s="1239"/>
      <c r="AJ121" s="1239"/>
      <c r="AK121" s="1239"/>
      <c r="AL121" s="1239"/>
      <c r="AM121" s="1239"/>
      <c r="AN121" s="455"/>
      <c r="AO121" s="1239"/>
      <c r="AP121" s="1239"/>
      <c r="AQ121" s="484">
        <f>+FL_1($T$122,$T$120,$G$121,1200,9.28,-1*$F$122)</f>
        <v>0.36839079999999996</v>
      </c>
      <c r="AR121" s="484"/>
      <c r="AS121" s="484"/>
      <c r="AT121" s="484"/>
      <c r="AU121" s="638"/>
      <c r="AV121" s="638"/>
      <c r="AW121" s="638"/>
      <c r="AX121" s="638"/>
      <c r="AY121" s="484"/>
      <c r="AZ121" s="484"/>
      <c r="BA121" s="671"/>
      <c r="BB121" s="449"/>
      <c r="BC121" s="169"/>
      <c r="BD121" s="1330"/>
      <c r="BE121" s="1330"/>
      <c r="BF121" s="1330"/>
      <c r="BG121" s="1330"/>
    </row>
    <row r="122" spans="1:59" ht="15.75" customHeight="1">
      <c r="A122" s="449"/>
      <c r="B122" s="655" t="s">
        <v>3232</v>
      </c>
      <c r="C122" s="446">
        <f>+$C$120+$G$121</f>
        <v>87900.150000000009</v>
      </c>
      <c r="D122" s="449"/>
      <c r="E122" s="449"/>
      <c r="F122" s="447">
        <v>0</v>
      </c>
      <c r="G122" s="455"/>
      <c r="H122" s="1239" t="s">
        <v>874</v>
      </c>
      <c r="I122" s="448"/>
      <c r="J122" s="171"/>
      <c r="K122" s="638"/>
      <c r="L122" s="1239" t="s">
        <v>230</v>
      </c>
      <c r="M122" s="1239" t="str">
        <f>IF(AX122="PT",VLOOKUP(L122,'Foundation Calculation'!$V$2:$X$40,VLOOKUP(AX122,'Foundation Calculation'!$I$10:$J$13,2,FALSE),0),IF(AX122="K",VLOOKUP(L122,'Foundation Calculation'!$V$42:$X$80,VLOOKUP(AX122,'Foundation Calculation'!$I$10:$J$13,2,FALSE),0),""))</f>
        <v>C4R</v>
      </c>
      <c r="N122" s="638" t="s">
        <v>144</v>
      </c>
      <c r="O122" s="638"/>
      <c r="P122" s="638"/>
      <c r="Q122" s="638">
        <v>10</v>
      </c>
      <c r="R122" s="638">
        <v>0</v>
      </c>
      <c r="S122" s="484"/>
      <c r="T122" s="638">
        <v>35</v>
      </c>
      <c r="U122" s="638"/>
      <c r="V122" s="638"/>
      <c r="W122" s="638">
        <v>1.4</v>
      </c>
      <c r="X122" s="638"/>
      <c r="Y122" s="638"/>
      <c r="Z122" s="638"/>
      <c r="AA122" s="638"/>
      <c r="AB122" s="638"/>
      <c r="AC122" s="1239" t="s">
        <v>4090</v>
      </c>
      <c r="AD122" s="638"/>
      <c r="AE122" s="638"/>
      <c r="AF122" s="638">
        <v>5800</v>
      </c>
      <c r="AG122" s="446">
        <v>87899.839999999997</v>
      </c>
      <c r="AH122" s="638">
        <v>2663</v>
      </c>
      <c r="AI122" s="638">
        <v>310</v>
      </c>
      <c r="AJ122" s="638"/>
      <c r="AK122" s="638"/>
      <c r="AL122" s="1239"/>
      <c r="AM122" s="1239" t="s">
        <v>1042</v>
      </c>
      <c r="AN122" s="455">
        <v>5.5</v>
      </c>
      <c r="AO122" s="1239"/>
      <c r="AP122" s="1239"/>
      <c r="AQ122" s="484"/>
      <c r="AR122" s="484"/>
      <c r="AS122" s="484"/>
      <c r="AT122" s="484">
        <f>+ab($T$122,$T$120,$T$124,$G$121,$G$123,-1*$F$122,1200)</f>
        <v>6.820891075690624</v>
      </c>
      <c r="AU122" s="638"/>
      <c r="AV122" s="638"/>
      <c r="AW122" s="638" t="str">
        <f>VLOOKUP(C122,'Foundation Calculation'!$A$2:$C$33,3,1)</f>
        <v>Soil A</v>
      </c>
      <c r="AX122" s="572" t="str">
        <f>VLOOKUP(C122,'Foundation Calculation'!$E$2:$G$33,3,1)</f>
        <v>PT</v>
      </c>
      <c r="AY122" s="484">
        <f>IF(AX122="PT",VLOOKUP(L122,'Foundation Calculation'!$K$2:$R$40,VLOOKUP(AW122,'Foundation Calculation'!$I$2:$J$8,2,FALSE),0),IF(AX122="K",VLOOKUP(L122,'Foundation Calculation'!$K$42:$R$80,VLOOKUP(AW122,'Foundation Calculation'!$I$2:$J$8,2,FALSE),0),""))</f>
        <v>3.5</v>
      </c>
      <c r="AZ122" s="484"/>
      <c r="BA122" s="671" t="s">
        <v>2809</v>
      </c>
      <c r="BB122" s="449" t="str">
        <f>Pole_Calculations!A153</f>
        <v>App.7.1-V01-P9.5.1.2</v>
      </c>
      <c r="BC122" s="169"/>
      <c r="BD122" s="1329">
        <v>43810</v>
      </c>
      <c r="BE122" s="1329">
        <v>43852</v>
      </c>
      <c r="BF122" s="1330"/>
      <c r="BG122" s="1329">
        <v>43870</v>
      </c>
    </row>
    <row r="123" spans="1:59" ht="12.5">
      <c r="A123" s="449"/>
      <c r="B123" s="449"/>
      <c r="C123" s="446"/>
      <c r="D123" s="449"/>
      <c r="E123" s="449"/>
      <c r="F123" s="447"/>
      <c r="G123" s="455">
        <v>50</v>
      </c>
      <c r="H123" s="1239"/>
      <c r="I123" s="448">
        <f>C142-C122</f>
        <v>566.19999999999709</v>
      </c>
      <c r="J123" s="171"/>
      <c r="K123" s="638"/>
      <c r="L123" s="1239"/>
      <c r="M123" s="638"/>
      <c r="N123" s="1239"/>
      <c r="O123" s="1239"/>
      <c r="P123" s="1239"/>
      <c r="Q123" s="1239"/>
      <c r="R123" s="1239"/>
      <c r="S123" s="455">
        <f t="shared" ref="S123" si="58">AG124-AG122</f>
        <v>50.180000000007567</v>
      </c>
      <c r="T123" s="1239"/>
      <c r="U123" s="1239"/>
      <c r="V123" s="1239"/>
      <c r="W123" s="638"/>
      <c r="X123" s="1239"/>
      <c r="Y123" s="1239"/>
      <c r="Z123" s="1239"/>
      <c r="AA123" s="1239"/>
      <c r="AB123" s="1239"/>
      <c r="AC123" s="1239"/>
      <c r="AD123" s="1239"/>
      <c r="AE123" s="1239"/>
      <c r="AF123" s="1239"/>
      <c r="AG123" s="171"/>
      <c r="AH123" s="1239"/>
      <c r="AI123" s="1239"/>
      <c r="AJ123" s="1239"/>
      <c r="AK123" s="1239"/>
      <c r="AL123" s="1239"/>
      <c r="AM123" s="1239"/>
      <c r="AN123" s="455"/>
      <c r="AO123" s="1239"/>
      <c r="AP123" s="1239"/>
      <c r="AQ123" s="484">
        <f>+FL_2($T$124,$T$122,$G$123,1200,9.28,-1*$F$124)</f>
        <v>-0.36839079999999996</v>
      </c>
      <c r="AR123" s="484"/>
      <c r="AS123" s="484"/>
      <c r="AT123" s="484"/>
      <c r="AU123" s="638"/>
      <c r="AV123" s="638"/>
      <c r="AW123" s="638"/>
      <c r="AX123" s="638"/>
      <c r="AY123" s="484"/>
      <c r="AZ123" s="484"/>
      <c r="BA123" s="671"/>
      <c r="BB123" s="449"/>
      <c r="BC123" s="169"/>
      <c r="BD123" s="1330"/>
      <c r="BE123" s="1330"/>
      <c r="BF123" s="1330"/>
      <c r="BG123" s="1330"/>
    </row>
    <row r="124" spans="1:59" ht="15.75" customHeight="1">
      <c r="A124" s="449"/>
      <c r="B124" s="655" t="s">
        <v>3233</v>
      </c>
      <c r="C124" s="446">
        <f>+$C$122+$G$123</f>
        <v>87950.150000000009</v>
      </c>
      <c r="D124" s="449"/>
      <c r="E124" s="449"/>
      <c r="F124" s="447">
        <v>0</v>
      </c>
      <c r="G124" s="455"/>
      <c r="H124" s="1239" t="s">
        <v>873</v>
      </c>
      <c r="I124" s="448"/>
      <c r="J124" s="171"/>
      <c r="K124" s="638"/>
      <c r="L124" s="1239" t="s">
        <v>230</v>
      </c>
      <c r="M124" s="1239" t="str">
        <f>IF(AX124="PT",VLOOKUP(L124,'Foundation Calculation'!$V$2:$X$40,VLOOKUP(AX124,'Foundation Calculation'!$I$10:$J$13,2,FALSE),0),IF(AX124="K",VLOOKUP(L124,'Foundation Calculation'!$V$42:$X$80,VLOOKUP(AX124,'Foundation Calculation'!$I$10:$J$13,2,FALSE),0),""))</f>
        <v>C4R</v>
      </c>
      <c r="N124" s="638" t="s">
        <v>143</v>
      </c>
      <c r="O124" s="638"/>
      <c r="P124" s="638"/>
      <c r="Q124" s="638">
        <v>0</v>
      </c>
      <c r="R124" s="638">
        <v>0</v>
      </c>
      <c r="S124" s="484"/>
      <c r="T124" s="638">
        <v>-35</v>
      </c>
      <c r="U124" s="638"/>
      <c r="V124" s="638"/>
      <c r="W124" s="638">
        <v>1.4</v>
      </c>
      <c r="X124" s="638"/>
      <c r="Y124" s="638"/>
      <c r="Z124" s="638"/>
      <c r="AA124" s="638"/>
      <c r="AB124" s="638"/>
      <c r="AC124" s="1239" t="s">
        <v>4090</v>
      </c>
      <c r="AD124" s="638"/>
      <c r="AE124" s="638"/>
      <c r="AF124" s="638">
        <v>5800</v>
      </c>
      <c r="AG124" s="446">
        <v>87950.02</v>
      </c>
      <c r="AH124" s="638">
        <v>2573</v>
      </c>
      <c r="AI124" s="638">
        <v>110</v>
      </c>
      <c r="AJ124" s="638"/>
      <c r="AK124" s="638"/>
      <c r="AL124" s="1239"/>
      <c r="AM124" s="1239" t="s">
        <v>1042</v>
      </c>
      <c r="AN124" s="455">
        <v>5.5</v>
      </c>
      <c r="AO124" s="1239"/>
      <c r="AP124" s="1239"/>
      <c r="AQ124" s="484"/>
      <c r="AR124" s="484"/>
      <c r="AS124" s="484"/>
      <c r="AT124" s="484">
        <f>+ab($T$124,$T$122,$T$126,$G$123,$G$125,-1*$F$124,1200)</f>
        <v>-6.9663178067641267</v>
      </c>
      <c r="AU124" s="638"/>
      <c r="AV124" s="638"/>
      <c r="AW124" s="638" t="str">
        <f>VLOOKUP(C124,'Foundation Calculation'!$A$2:$C$33,3,1)</f>
        <v>Soil A</v>
      </c>
      <c r="AX124" s="572" t="str">
        <f>VLOOKUP(C124,'Foundation Calculation'!$E$2:$G$33,3,1)</f>
        <v>PT</v>
      </c>
      <c r="AY124" s="484">
        <f>IF(AX124="PT",VLOOKUP(L124,'Foundation Calculation'!$K$2:$R$40,VLOOKUP(AW124,'Foundation Calculation'!$I$2:$J$8,2,FALSE),0),IF(AX124="K",VLOOKUP(L124,'Foundation Calculation'!$K$42:$R$80,VLOOKUP(AW124,'Foundation Calculation'!$I$2:$J$8,2,FALSE),0),""))</f>
        <v>3.5</v>
      </c>
      <c r="AZ124" s="484"/>
      <c r="BA124" s="671" t="s">
        <v>2809</v>
      </c>
      <c r="BB124" s="449" t="str">
        <f>Pole_Calculations!A154</f>
        <v>App.7.1-V01-P9.5.1.3</v>
      </c>
      <c r="BC124" s="169"/>
      <c r="BD124" s="1329">
        <v>43810</v>
      </c>
      <c r="BE124" s="1329">
        <v>43852</v>
      </c>
      <c r="BF124" s="1330"/>
      <c r="BG124" s="1329">
        <v>43870</v>
      </c>
    </row>
    <row r="125" spans="1:59" ht="15.75" customHeight="1">
      <c r="A125" s="449"/>
      <c r="B125" s="449"/>
      <c r="C125" s="446"/>
      <c r="D125" s="449"/>
      <c r="E125" s="449"/>
      <c r="F125" s="447"/>
      <c r="G125" s="455">
        <v>52.2</v>
      </c>
      <c r="H125" s="1239"/>
      <c r="I125" s="448"/>
      <c r="J125" s="446">
        <f>C124+7.5</f>
        <v>87957.650000000009</v>
      </c>
      <c r="K125" s="638" t="s">
        <v>2788</v>
      </c>
      <c r="L125" s="1239"/>
      <c r="M125" s="638"/>
      <c r="N125" s="1239"/>
      <c r="O125" s="1239"/>
      <c r="P125" s="1239"/>
      <c r="Q125" s="1239"/>
      <c r="R125" s="1239"/>
      <c r="S125" s="455">
        <f t="shared" ref="S125" si="59">AG126-AG124</f>
        <v>52.239999999990687</v>
      </c>
      <c r="T125" s="638"/>
      <c r="U125" s="1239"/>
      <c r="V125" s="1239"/>
      <c r="W125" s="1239"/>
      <c r="X125" s="1239"/>
      <c r="Y125" s="1239"/>
      <c r="Z125" s="1239"/>
      <c r="AA125" s="1239"/>
      <c r="AB125" s="1239"/>
      <c r="AC125" s="1239"/>
      <c r="AD125" s="1239"/>
      <c r="AE125" s="1239"/>
      <c r="AF125" s="1239"/>
      <c r="AG125" s="171"/>
      <c r="AH125" s="1239"/>
      <c r="AI125" s="1239"/>
      <c r="AJ125" s="1239"/>
      <c r="AK125" s="1239"/>
      <c r="AL125" s="1239"/>
      <c r="AM125" s="1239"/>
      <c r="AN125" s="455"/>
      <c r="AO125" s="1239"/>
      <c r="AP125" s="1239"/>
      <c r="AQ125" s="484">
        <f>+FL_1($T$126,$T$124,$G$125,1200,9.28,-1*$F$126)</f>
        <v>0.37966870363218386</v>
      </c>
      <c r="AR125" s="484"/>
      <c r="AS125" s="484"/>
      <c r="AT125" s="484"/>
      <c r="AU125" s="638"/>
      <c r="AV125" s="638"/>
      <c r="AW125" s="638" t="str">
        <f>VLOOKUP(J125,'Foundation Calculation'!$A$2:$C$33,3,1)</f>
        <v>Soil A</v>
      </c>
      <c r="AX125" s="572" t="str">
        <f>VLOOKUP(J125,'Foundation Calculation'!$E$2:$G$33,3,1)</f>
        <v>PT</v>
      </c>
      <c r="AY125" s="484"/>
      <c r="AZ125" s="484">
        <f>IF(AX125="PT",VLOOKUP(K125,'Foundation Calculation'!$K$2:$R$40,VLOOKUP(AW125,'Foundation Calculation'!$I$2:$J$8,2,FALSE),0),IF(AX125="K",VLOOKUP(K125,'Foundation Calculation'!$K$42:$R$80,VLOOKUP(AW125,'Foundation Calculation'!$I$2:$J$8,2,FALSE),0),""))</f>
        <v>2.8</v>
      </c>
      <c r="BA125" s="671" t="s">
        <v>2809</v>
      </c>
      <c r="BB125" s="449"/>
      <c r="BC125" s="169"/>
      <c r="BD125" s="1329">
        <v>43810</v>
      </c>
      <c r="BE125" s="1330"/>
      <c r="BF125" s="1330"/>
      <c r="BG125" s="1330"/>
    </row>
    <row r="126" spans="1:59" ht="15.75" customHeight="1">
      <c r="A126" s="449"/>
      <c r="B126" s="485" t="s">
        <v>3234</v>
      </c>
      <c r="C126" s="446">
        <f>+$C$124+$G$125</f>
        <v>88002.35</v>
      </c>
      <c r="D126" s="638"/>
      <c r="E126" s="638"/>
      <c r="F126" s="447">
        <v>0</v>
      </c>
      <c r="G126" s="455"/>
      <c r="H126" s="1239"/>
      <c r="I126" s="448"/>
      <c r="J126" s="171"/>
      <c r="K126" s="638"/>
      <c r="L126" s="1239" t="s">
        <v>230</v>
      </c>
      <c r="M126" s="1239" t="str">
        <f>IF(AX126="PT",VLOOKUP(L126,'Foundation Calculation'!$V$2:$X$40,VLOOKUP(AX126,'Foundation Calculation'!$I$10:$J$13,2,FALSE),0),IF(AX126="K",VLOOKUP(L126,'Foundation Calculation'!$V$42:$X$80,VLOOKUP(AX126,'Foundation Calculation'!$I$10:$J$13,2,FALSE),0),""))</f>
        <v>C4R</v>
      </c>
      <c r="N126" s="638" t="s">
        <v>144</v>
      </c>
      <c r="O126" s="638"/>
      <c r="P126" s="638"/>
      <c r="Q126" s="638">
        <v>10</v>
      </c>
      <c r="R126" s="638">
        <v>0</v>
      </c>
      <c r="S126" s="484"/>
      <c r="T126" s="638">
        <v>35</v>
      </c>
      <c r="U126" s="638"/>
      <c r="V126" s="638"/>
      <c r="W126" s="638">
        <v>1.4</v>
      </c>
      <c r="X126" s="638"/>
      <c r="Y126" s="638"/>
      <c r="Z126" s="638"/>
      <c r="AA126" s="638"/>
      <c r="AB126" s="638"/>
      <c r="AC126" s="1239" t="s">
        <v>4090</v>
      </c>
      <c r="AD126" s="638"/>
      <c r="AE126" s="638"/>
      <c r="AF126" s="638">
        <v>5800</v>
      </c>
      <c r="AG126" s="446">
        <v>88002.26</v>
      </c>
      <c r="AH126" s="638">
        <v>2603</v>
      </c>
      <c r="AI126" s="638">
        <v>350</v>
      </c>
      <c r="AJ126" s="638"/>
      <c r="AK126" s="638"/>
      <c r="AL126" s="1239"/>
      <c r="AM126" s="1239" t="s">
        <v>1042</v>
      </c>
      <c r="AN126" s="455">
        <v>5.5</v>
      </c>
      <c r="AO126" s="1239"/>
      <c r="AP126" s="1239"/>
      <c r="AQ126" s="484"/>
      <c r="AR126" s="484"/>
      <c r="AS126" s="484"/>
      <c r="AT126" s="484">
        <f>+ab($T$126,$T$124,$T$128,$G$125,$G$127,-1*$F$126,1200)</f>
        <v>7.3019301094769578</v>
      </c>
      <c r="AU126" s="638"/>
      <c r="AV126" s="638"/>
      <c r="AW126" s="638" t="str">
        <f>VLOOKUP(C126,'Foundation Calculation'!$A$2:$C$33,3,1)</f>
        <v>Soil A</v>
      </c>
      <c r="AX126" s="572" t="str">
        <f>VLOOKUP(C126,'Foundation Calculation'!$E$2:$G$33,3,1)</f>
        <v>PT</v>
      </c>
      <c r="AY126" s="484">
        <f>IF(AX126="PT",VLOOKUP(L126,'Foundation Calculation'!$K$2:$R$40,VLOOKUP(AW126,'Foundation Calculation'!$I$2:$J$8,2,FALSE),0),IF(AX126="K",VLOOKUP(L126,'Foundation Calculation'!$K$42:$R$80,VLOOKUP(AW126,'Foundation Calculation'!$I$2:$J$8,2,FALSE),0),""))</f>
        <v>3.5</v>
      </c>
      <c r="AZ126" s="484"/>
      <c r="BA126" s="671" t="s">
        <v>2809</v>
      </c>
      <c r="BB126" s="449" t="str">
        <f>Pole_Calculations!A152</f>
        <v>App.7.1-V01-P9.5.1.1</v>
      </c>
      <c r="BC126" s="169"/>
      <c r="BD126" s="1329">
        <v>43810</v>
      </c>
      <c r="BE126" s="1329">
        <v>43852</v>
      </c>
      <c r="BF126" s="1330"/>
      <c r="BG126" s="1329">
        <v>43870</v>
      </c>
    </row>
    <row r="127" spans="1:59" ht="15.75" customHeight="1">
      <c r="A127" s="449"/>
      <c r="B127" s="445"/>
      <c r="C127" s="446"/>
      <c r="D127" s="638"/>
      <c r="E127" s="638"/>
      <c r="F127" s="447"/>
      <c r="G127" s="455">
        <v>55</v>
      </c>
      <c r="H127" s="1239"/>
      <c r="I127" s="448"/>
      <c r="J127" s="446"/>
      <c r="K127" s="638"/>
      <c r="L127" s="1239"/>
      <c r="M127" s="638"/>
      <c r="N127" s="1239"/>
      <c r="O127" s="1239"/>
      <c r="P127" s="1239"/>
      <c r="Q127" s="1239"/>
      <c r="R127" s="1239"/>
      <c r="S127" s="455">
        <f t="shared" ref="S127" si="60">AG128-AG126</f>
        <v>55</v>
      </c>
      <c r="T127" s="638"/>
      <c r="U127" s="1239"/>
      <c r="V127" s="1239"/>
      <c r="W127" s="638"/>
      <c r="X127" s="1239"/>
      <c r="Y127" s="1239"/>
      <c r="Z127" s="1239"/>
      <c r="AA127" s="1239"/>
      <c r="AB127" s="1239"/>
      <c r="AC127" s="1239"/>
      <c r="AD127" s="1239"/>
      <c r="AE127" s="1239"/>
      <c r="AF127" s="1239"/>
      <c r="AG127" s="171"/>
      <c r="AH127" s="1239"/>
      <c r="AI127" s="1239"/>
      <c r="AJ127" s="1239"/>
      <c r="AK127" s="1239"/>
      <c r="AL127" s="1239"/>
      <c r="AM127" s="1239"/>
      <c r="AN127" s="455"/>
      <c r="AO127" s="1239"/>
      <c r="AP127" s="1239"/>
      <c r="AQ127" s="484">
        <f>+FL_1($T$128,$T$126,$G$127,1200,9.28,-1*$F$128)</f>
        <v>0.39714735709090898</v>
      </c>
      <c r="AR127" s="484"/>
      <c r="AS127" s="484"/>
      <c r="AT127" s="484"/>
      <c r="AU127" s="638"/>
      <c r="AV127" s="638"/>
      <c r="AW127" s="638"/>
      <c r="AX127" s="572"/>
      <c r="AY127" s="484"/>
      <c r="AZ127" s="484"/>
      <c r="BA127" s="671"/>
      <c r="BB127" s="449"/>
      <c r="BC127" s="169"/>
      <c r="BD127" s="1330"/>
      <c r="BE127" s="1330"/>
      <c r="BF127" s="1330"/>
      <c r="BG127" s="1330"/>
    </row>
    <row r="128" spans="1:59" ht="15.75" customHeight="1">
      <c r="A128" s="449"/>
      <c r="B128" s="485" t="s">
        <v>3235</v>
      </c>
      <c r="C128" s="446">
        <f>+$C$126+$G$127</f>
        <v>88057.35</v>
      </c>
      <c r="D128" s="638"/>
      <c r="E128" s="638"/>
      <c r="F128" s="447">
        <v>0</v>
      </c>
      <c r="G128" s="455"/>
      <c r="H128" s="638"/>
      <c r="I128" s="448"/>
      <c r="J128" s="446"/>
      <c r="K128" s="638"/>
      <c r="L128" s="1239" t="s">
        <v>230</v>
      </c>
      <c r="M128" s="1239" t="str">
        <f>IF(AX128="PT",VLOOKUP(L128,'Foundation Calculation'!$V$2:$X$40,VLOOKUP(AX128,'Foundation Calculation'!$I$10:$J$13,2,FALSE),0),IF(AX128="K",VLOOKUP(L128,'Foundation Calculation'!$V$42:$X$80,VLOOKUP(AX128,'Foundation Calculation'!$I$10:$J$13,2,FALSE),0),""))</f>
        <v>C4R</v>
      </c>
      <c r="N128" s="638" t="s">
        <v>143</v>
      </c>
      <c r="O128" s="638"/>
      <c r="P128" s="638"/>
      <c r="Q128" s="638">
        <v>0</v>
      </c>
      <c r="R128" s="638">
        <v>0</v>
      </c>
      <c r="S128" s="484"/>
      <c r="T128" s="638">
        <v>-35</v>
      </c>
      <c r="U128" s="638"/>
      <c r="V128" s="638"/>
      <c r="W128" s="638">
        <v>1.4</v>
      </c>
      <c r="X128" s="638"/>
      <c r="Y128" s="638"/>
      <c r="Z128" s="638"/>
      <c r="AA128" s="638"/>
      <c r="AB128" s="638"/>
      <c r="AC128" s="1239" t="s">
        <v>4090</v>
      </c>
      <c r="AD128" s="638"/>
      <c r="AE128" s="638"/>
      <c r="AF128" s="638">
        <v>5800</v>
      </c>
      <c r="AG128" s="446">
        <v>88057.26</v>
      </c>
      <c r="AH128" s="638">
        <v>2793</v>
      </c>
      <c r="AI128" s="638">
        <v>320</v>
      </c>
      <c r="AJ128" s="638"/>
      <c r="AK128" s="638"/>
      <c r="AL128" s="1239"/>
      <c r="AM128" s="1239" t="s">
        <v>1042</v>
      </c>
      <c r="AN128" s="455">
        <v>5.5</v>
      </c>
      <c r="AO128" s="1239"/>
      <c r="AP128" s="1239"/>
      <c r="AQ128" s="484"/>
      <c r="AR128" s="484"/>
      <c r="AS128" s="484"/>
      <c r="AT128" s="484">
        <f>+ab($T$128,$T$126,$T$130,$G$127,$G$129,-1*$F$128,1200)</f>
        <v>-7.8175501667728815</v>
      </c>
      <c r="AU128" s="638"/>
      <c r="AV128" s="638"/>
      <c r="AW128" s="638" t="str">
        <f>VLOOKUP(C128,'Foundation Calculation'!$A$2:$C$33,3,1)</f>
        <v>Soil A</v>
      </c>
      <c r="AX128" s="572" t="str">
        <f>VLOOKUP(C128,'Foundation Calculation'!$E$2:$G$33,3,1)</f>
        <v>PT</v>
      </c>
      <c r="AY128" s="484">
        <f>IF(AX128="PT",VLOOKUP(L128,'Foundation Calculation'!$K$2:$R$40,VLOOKUP(AW128,'Foundation Calculation'!$I$2:$J$8,2,FALSE),0),IF(AX128="K",VLOOKUP(L128,'Foundation Calculation'!$K$42:$R$80,VLOOKUP(AW128,'Foundation Calculation'!$I$2:$J$8,2,FALSE),0),""))</f>
        <v>3.5</v>
      </c>
      <c r="AZ128" s="484"/>
      <c r="BA128" s="671" t="s">
        <v>2809</v>
      </c>
      <c r="BB128" s="449" t="str">
        <f>Pole_Calculations!A152</f>
        <v>App.7.1-V01-P9.5.1.1</v>
      </c>
      <c r="BC128" s="169"/>
      <c r="BD128" s="1329">
        <v>43809</v>
      </c>
      <c r="BE128" s="1329">
        <v>43852</v>
      </c>
      <c r="BF128" s="1330"/>
      <c r="BG128" s="1329">
        <v>43870</v>
      </c>
    </row>
    <row r="129" spans="1:59" ht="15.75" customHeight="1">
      <c r="A129" s="449"/>
      <c r="B129" s="445"/>
      <c r="C129" s="446"/>
      <c r="D129" s="638"/>
      <c r="E129" s="638"/>
      <c r="F129" s="447"/>
      <c r="G129" s="455">
        <v>60</v>
      </c>
      <c r="H129" s="1239"/>
      <c r="I129" s="448"/>
      <c r="J129" s="446"/>
      <c r="K129" s="638"/>
      <c r="L129" s="1239"/>
      <c r="M129" s="638"/>
      <c r="N129" s="1239"/>
      <c r="O129" s="1239"/>
      <c r="P129" s="1239"/>
      <c r="Q129" s="1239"/>
      <c r="R129" s="1239"/>
      <c r="S129" s="455">
        <f t="shared" ref="S129" si="61">AG130-AG128</f>
        <v>60.020000000004075</v>
      </c>
      <c r="T129" s="1239"/>
      <c r="U129" s="1239"/>
      <c r="V129" s="1239"/>
      <c r="W129" s="1239"/>
      <c r="X129" s="1239"/>
      <c r="Y129" s="1239"/>
      <c r="Z129" s="1239"/>
      <c r="AA129" s="1239"/>
      <c r="AB129" s="1239"/>
      <c r="AC129" s="1239"/>
      <c r="AD129" s="1239"/>
      <c r="AE129" s="1239"/>
      <c r="AF129" s="1239"/>
      <c r="AG129" s="171"/>
      <c r="AH129" s="1239"/>
      <c r="AI129" s="1239"/>
      <c r="AJ129" s="1239"/>
      <c r="AK129" s="1239"/>
      <c r="AL129" s="1239"/>
      <c r="AM129" s="1239"/>
      <c r="AN129" s="455"/>
      <c r="AO129" s="1239"/>
      <c r="AP129" s="1239"/>
      <c r="AQ129" s="484">
        <f>+FL_1($T$130,$T$128,$G$129,1200,9.28,-1*$F$130)</f>
        <v>0.43600286799999999</v>
      </c>
      <c r="AR129" s="484"/>
      <c r="AS129" s="484"/>
      <c r="AT129" s="484"/>
      <c r="AU129" s="638"/>
      <c r="AV129" s="638"/>
      <c r="AW129" s="638"/>
      <c r="AX129" s="638"/>
      <c r="AY129" s="484"/>
      <c r="AZ129" s="484"/>
      <c r="BA129" s="671"/>
      <c r="BB129" s="449"/>
      <c r="BC129" s="169"/>
      <c r="BD129" s="1330"/>
      <c r="BE129" s="1330"/>
      <c r="BF129" s="1330"/>
      <c r="BG129" s="1330"/>
    </row>
    <row r="130" spans="1:59" ht="15.75" customHeight="1">
      <c r="A130" s="449"/>
      <c r="B130" s="485" t="s">
        <v>3236</v>
      </c>
      <c r="C130" s="446">
        <f>+$C$128+$G$129</f>
        <v>88117.35</v>
      </c>
      <c r="D130" s="638"/>
      <c r="E130" s="638"/>
      <c r="F130" s="447">
        <v>0</v>
      </c>
      <c r="G130" s="484"/>
      <c r="H130" s="1239"/>
      <c r="I130" s="448"/>
      <c r="J130" s="446"/>
      <c r="K130" s="638"/>
      <c r="L130" s="1239" t="s">
        <v>230</v>
      </c>
      <c r="M130" s="1239" t="str">
        <f>IF(AX130="PT",VLOOKUP(L130,'Foundation Calculation'!$V$2:$X$40,VLOOKUP(AX130,'Foundation Calculation'!$I$10:$J$13,2,FALSE),0),IF(AX130="K",VLOOKUP(L130,'Foundation Calculation'!$V$42:$X$80,VLOOKUP(AX130,'Foundation Calculation'!$I$10:$J$13,2,FALSE),0),""))</f>
        <v>C4R</v>
      </c>
      <c r="N130" s="638" t="s">
        <v>144</v>
      </c>
      <c r="O130" s="638"/>
      <c r="P130" s="638"/>
      <c r="Q130" s="638">
        <v>0</v>
      </c>
      <c r="R130" s="638">
        <v>0</v>
      </c>
      <c r="S130" s="484"/>
      <c r="T130" s="638">
        <v>35</v>
      </c>
      <c r="U130" s="638"/>
      <c r="V130" s="638"/>
      <c r="W130" s="638">
        <v>1.4</v>
      </c>
      <c r="X130" s="638"/>
      <c r="Y130" s="638"/>
      <c r="Z130" s="638"/>
      <c r="AA130" s="638"/>
      <c r="AB130" s="638"/>
      <c r="AC130" s="1239" t="s">
        <v>1421</v>
      </c>
      <c r="AD130" s="638"/>
      <c r="AE130" s="638"/>
      <c r="AF130" s="638">
        <v>5800</v>
      </c>
      <c r="AG130" s="446">
        <v>88117.28</v>
      </c>
      <c r="AH130" s="638">
        <v>2843</v>
      </c>
      <c r="AI130" s="638">
        <v>300</v>
      </c>
      <c r="AJ130" s="638"/>
      <c r="AK130" s="638"/>
      <c r="AL130" s="1239"/>
      <c r="AM130" s="1239" t="s">
        <v>1042</v>
      </c>
      <c r="AN130" s="455">
        <v>5.5</v>
      </c>
      <c r="AO130" s="1239"/>
      <c r="AP130" s="1239"/>
      <c r="AQ130" s="484"/>
      <c r="AR130" s="484"/>
      <c r="AS130" s="484"/>
      <c r="AT130" s="484">
        <f>+ab($T$130,$T$128,$T$132,$G$129,$G$131,-1*$F$130,1200)</f>
        <v>8.3002133012442592</v>
      </c>
      <c r="AU130" s="638"/>
      <c r="AV130" s="638"/>
      <c r="AW130" s="638" t="str">
        <f>VLOOKUP(C130,'Foundation Calculation'!$A$2:$C$33,3,1)</f>
        <v>Soil A</v>
      </c>
      <c r="AX130" s="572" t="str">
        <f>VLOOKUP(C130,'Foundation Calculation'!$E$2:$G$33,3,1)</f>
        <v>PT</v>
      </c>
      <c r="AY130" s="484">
        <f>IF(AX130="PT",VLOOKUP(L130,'Foundation Calculation'!$K$2:$R$40,VLOOKUP(AW130,'Foundation Calculation'!$I$2:$J$8,2,FALSE),0),IF(AX130="K",VLOOKUP(L130,'Foundation Calculation'!$K$42:$R$80,VLOOKUP(AW130,'Foundation Calculation'!$I$2:$J$8,2,FALSE),0),""))</f>
        <v>3.5</v>
      </c>
      <c r="AZ130" s="484"/>
      <c r="BA130" s="671" t="s">
        <v>2809</v>
      </c>
      <c r="BB130" s="449" t="str">
        <f>Pole_Calculations!A152</f>
        <v>App.7.1-V01-P9.5.1.1</v>
      </c>
      <c r="BC130" s="169"/>
      <c r="BD130" s="1329">
        <v>43809</v>
      </c>
      <c r="BE130" s="1329">
        <v>43852</v>
      </c>
      <c r="BF130" s="1330"/>
      <c r="BG130" s="1329">
        <v>43870</v>
      </c>
    </row>
    <row r="131" spans="1:59" ht="15.75" customHeight="1">
      <c r="A131" s="449"/>
      <c r="B131" s="445"/>
      <c r="C131" s="446"/>
      <c r="D131" s="638"/>
      <c r="E131" s="638"/>
      <c r="F131" s="447"/>
      <c r="G131" s="484">
        <v>62</v>
      </c>
      <c r="H131" s="1239"/>
      <c r="I131" s="448"/>
      <c r="J131" s="446"/>
      <c r="K131" s="638"/>
      <c r="L131" s="638"/>
      <c r="M131" s="638"/>
      <c r="N131" s="638"/>
      <c r="O131" s="638"/>
      <c r="P131" s="638"/>
      <c r="Q131" s="638"/>
      <c r="R131" s="638"/>
      <c r="S131" s="484">
        <f t="shared" ref="S131" si="62">AG132-AG130</f>
        <v>62.059999999997672</v>
      </c>
      <c r="T131" s="638"/>
      <c r="U131" s="638"/>
      <c r="V131" s="638"/>
      <c r="W131" s="638"/>
      <c r="X131" s="638"/>
      <c r="Y131" s="638"/>
      <c r="Z131" s="638"/>
      <c r="AA131" s="638"/>
      <c r="AB131" s="638"/>
      <c r="AC131" s="1239"/>
      <c r="AD131" s="638"/>
      <c r="AE131" s="638"/>
      <c r="AF131" s="638"/>
      <c r="AG131" s="446"/>
      <c r="AH131" s="638"/>
      <c r="AI131" s="638"/>
      <c r="AJ131" s="638"/>
      <c r="AK131" s="638"/>
      <c r="AL131" s="638"/>
      <c r="AM131" s="638"/>
      <c r="AN131" s="455"/>
      <c r="AO131" s="1239"/>
      <c r="AP131" s="1239"/>
      <c r="AQ131" s="484">
        <f>+FL_2($T$132,$T$130,$G$131,1200,9.28,-1*$F$132)</f>
        <v>-0.45400350967741931</v>
      </c>
      <c r="AR131" s="484"/>
      <c r="AS131" s="484"/>
      <c r="AT131" s="484"/>
      <c r="AU131" s="638"/>
      <c r="AV131" s="638"/>
      <c r="AW131" s="638"/>
      <c r="AX131" s="638"/>
      <c r="AY131" s="484"/>
      <c r="AZ131" s="484"/>
      <c r="BA131" s="671"/>
      <c r="BB131" s="449"/>
      <c r="BC131" s="169"/>
      <c r="BD131" s="1330"/>
      <c r="BE131" s="1330"/>
      <c r="BF131" s="1330"/>
      <c r="BG131" s="1330"/>
    </row>
    <row r="132" spans="1:59" ht="15.75" customHeight="1">
      <c r="A132" s="449"/>
      <c r="B132" s="485" t="s">
        <v>3237</v>
      </c>
      <c r="C132" s="446">
        <f>+$C$130+$G$131</f>
        <v>88179.35</v>
      </c>
      <c r="D132" s="638"/>
      <c r="E132" s="638"/>
      <c r="F132" s="447">
        <v>0</v>
      </c>
      <c r="G132" s="484"/>
      <c r="H132" s="1239"/>
      <c r="I132" s="448"/>
      <c r="J132" s="446"/>
      <c r="K132" s="638"/>
      <c r="L132" s="1239" t="s">
        <v>230</v>
      </c>
      <c r="M132" s="1239" t="str">
        <f>IF(AX132="PT",VLOOKUP(L132,'Foundation Calculation'!$V$2:$X$40,VLOOKUP(AX132,'Foundation Calculation'!$I$10:$J$13,2,FALSE),0),IF(AX132="K",VLOOKUP(L132,'Foundation Calculation'!$V$42:$X$80,VLOOKUP(AX132,'Foundation Calculation'!$I$10:$J$13,2,FALSE),0),""))</f>
        <v>C4R</v>
      </c>
      <c r="N132" s="638" t="s">
        <v>143</v>
      </c>
      <c r="O132" s="638"/>
      <c r="P132" s="638"/>
      <c r="Q132" s="638">
        <v>10</v>
      </c>
      <c r="R132" s="638">
        <v>0</v>
      </c>
      <c r="S132" s="484"/>
      <c r="T132" s="638">
        <v>-35</v>
      </c>
      <c r="U132" s="638"/>
      <c r="V132" s="638"/>
      <c r="W132" s="638">
        <v>1.4</v>
      </c>
      <c r="X132" s="638"/>
      <c r="Y132" s="638"/>
      <c r="Z132" s="638"/>
      <c r="AA132" s="638"/>
      <c r="AB132" s="638"/>
      <c r="AC132" s="1239" t="s">
        <v>1421</v>
      </c>
      <c r="AD132" s="638"/>
      <c r="AE132" s="638"/>
      <c r="AF132" s="638">
        <v>5800</v>
      </c>
      <c r="AG132" s="446">
        <v>88179.34</v>
      </c>
      <c r="AH132" s="638">
        <v>3493</v>
      </c>
      <c r="AI132" s="638">
        <v>250</v>
      </c>
      <c r="AJ132" s="638"/>
      <c r="AK132" s="638"/>
      <c r="AL132" s="1239"/>
      <c r="AM132" s="1239" t="s">
        <v>1042</v>
      </c>
      <c r="AN132" s="455">
        <v>5.5</v>
      </c>
      <c r="AO132" s="1239"/>
      <c r="AP132" s="1239"/>
      <c r="AQ132" s="484"/>
      <c r="AR132" s="484"/>
      <c r="AS132" s="484"/>
      <c r="AT132" s="484">
        <f>+ab($T$132,$T$130,$T$134,$G$131,$G$133,-1*$F$132,1200)</f>
        <v>-8.7443431418580957</v>
      </c>
      <c r="AU132" s="638"/>
      <c r="AV132" s="638"/>
      <c r="AW132" s="638" t="str">
        <f>VLOOKUP(C132,'Foundation Calculation'!$A$2:$C$33,3,1)</f>
        <v>Soil A</v>
      </c>
      <c r="AX132" s="572" t="str">
        <f>VLOOKUP(C132,'Foundation Calculation'!$E$2:$G$33,3,1)</f>
        <v>PT</v>
      </c>
      <c r="AY132" s="484">
        <f>IF(AX132="PT",VLOOKUP(L132,'Foundation Calculation'!$K$2:$R$40,VLOOKUP(AW132,'Foundation Calculation'!$I$2:$J$8,2,FALSE),0),IF(AX132="K",VLOOKUP(L132,'Foundation Calculation'!$K$42:$R$80,VLOOKUP(AW132,'Foundation Calculation'!$I$2:$J$8,2,FALSE),0),""))</f>
        <v>3.5</v>
      </c>
      <c r="AZ132" s="484"/>
      <c r="BA132" s="671" t="s">
        <v>2809</v>
      </c>
      <c r="BB132" s="449" t="str">
        <f>Pole_Calculations!A152</f>
        <v>App.7.1-V01-P9.5.1.1</v>
      </c>
      <c r="BC132" s="169"/>
      <c r="BD132" s="1329">
        <v>43809</v>
      </c>
      <c r="BE132" s="1329">
        <v>43852</v>
      </c>
      <c r="BF132" s="1330"/>
      <c r="BG132" s="1329">
        <v>43870</v>
      </c>
    </row>
    <row r="133" spans="1:59" ht="15.75" customHeight="1">
      <c r="A133" s="449"/>
      <c r="B133" s="445"/>
      <c r="C133" s="446"/>
      <c r="D133" s="638"/>
      <c r="E133" s="638"/>
      <c r="F133" s="447"/>
      <c r="G133" s="484">
        <v>62</v>
      </c>
      <c r="H133" s="1239"/>
      <c r="I133" s="448"/>
      <c r="J133" s="446"/>
      <c r="K133" s="638"/>
      <c r="L133" s="638"/>
      <c r="M133" s="638"/>
      <c r="N133" s="638"/>
      <c r="O133" s="638"/>
      <c r="P133" s="638"/>
      <c r="Q133" s="638"/>
      <c r="R133" s="638"/>
      <c r="S133" s="484">
        <f t="shared" ref="S133" si="63">AG134-AG132</f>
        <v>61.980000000010477</v>
      </c>
      <c r="T133" s="1239"/>
      <c r="U133" s="638"/>
      <c r="V133" s="638"/>
      <c r="W133" s="1239"/>
      <c r="X133" s="638"/>
      <c r="Y133" s="638"/>
      <c r="Z133" s="638"/>
      <c r="AA133" s="638"/>
      <c r="AB133" s="638"/>
      <c r="AC133" s="1239"/>
      <c r="AD133" s="638"/>
      <c r="AE133" s="638"/>
      <c r="AF133" s="638"/>
      <c r="AG133" s="446"/>
      <c r="AH133" s="638"/>
      <c r="AI133" s="638"/>
      <c r="AJ133" s="638"/>
      <c r="AK133" s="638"/>
      <c r="AL133" s="638"/>
      <c r="AM133" s="638"/>
      <c r="AN133" s="455"/>
      <c r="AO133" s="1239"/>
      <c r="AP133" s="1239"/>
      <c r="AQ133" s="484">
        <f>+FL_2($T$134,$T$132,$G$133,1200,9.28,-1*$F$134)</f>
        <v>-0.46765016498924739</v>
      </c>
      <c r="AR133" s="484"/>
      <c r="AS133" s="484"/>
      <c r="AT133" s="484"/>
      <c r="AU133" s="638"/>
      <c r="AV133" s="638"/>
      <c r="AW133" s="638"/>
      <c r="AX133" s="572"/>
      <c r="AY133" s="484"/>
      <c r="AZ133" s="484"/>
      <c r="BA133" s="671"/>
      <c r="BB133" s="449"/>
      <c r="BC133" s="169"/>
      <c r="BD133" s="1330"/>
      <c r="BE133" s="1330"/>
      <c r="BF133" s="1330"/>
      <c r="BG133" s="1330"/>
    </row>
    <row r="134" spans="1:59" ht="15.75" customHeight="1">
      <c r="A134" s="449"/>
      <c r="B134" s="485" t="s">
        <v>3238</v>
      </c>
      <c r="C134" s="446">
        <f>+$C$132+$G$133</f>
        <v>88241.35</v>
      </c>
      <c r="D134" s="638"/>
      <c r="E134" s="638"/>
      <c r="F134" s="447">
        <v>0</v>
      </c>
      <c r="G134" s="484"/>
      <c r="H134" s="1239"/>
      <c r="I134" s="448"/>
      <c r="J134" s="446"/>
      <c r="K134" s="638"/>
      <c r="L134" s="1239" t="s">
        <v>230</v>
      </c>
      <c r="M134" s="1239" t="str">
        <f>IF(AX134="PT",VLOOKUP(L134,'Foundation Calculation'!$V$2:$X$40,VLOOKUP(AX134,'Foundation Calculation'!$I$10:$J$13,2,FALSE),0),IF(AX134="K",VLOOKUP(L134,'Foundation Calculation'!$V$42:$X$80,VLOOKUP(AX134,'Foundation Calculation'!$I$10:$J$13,2,FALSE),0),""))</f>
        <v>C4R</v>
      </c>
      <c r="N134" s="638" t="s">
        <v>144</v>
      </c>
      <c r="O134" s="638"/>
      <c r="P134" s="638"/>
      <c r="Q134" s="638">
        <v>20</v>
      </c>
      <c r="R134" s="638">
        <v>0</v>
      </c>
      <c r="S134" s="484"/>
      <c r="T134" s="638">
        <v>30</v>
      </c>
      <c r="U134" s="638"/>
      <c r="V134" s="638"/>
      <c r="W134" s="638">
        <v>1.4</v>
      </c>
      <c r="X134" s="638"/>
      <c r="Y134" s="638"/>
      <c r="Z134" s="638"/>
      <c r="AA134" s="638"/>
      <c r="AB134" s="638"/>
      <c r="AC134" s="1239" t="s">
        <v>1421</v>
      </c>
      <c r="AD134" s="638"/>
      <c r="AE134" s="638"/>
      <c r="AF134" s="638">
        <v>5800</v>
      </c>
      <c r="AG134" s="446">
        <v>88241.32</v>
      </c>
      <c r="AH134" s="638">
        <v>2463</v>
      </c>
      <c r="AI134" s="638">
        <v>310</v>
      </c>
      <c r="AJ134" s="638"/>
      <c r="AK134" s="638"/>
      <c r="AL134" s="1239"/>
      <c r="AM134" s="1239" t="s">
        <v>1042</v>
      </c>
      <c r="AN134" s="455">
        <v>5.5</v>
      </c>
      <c r="AO134" s="1239"/>
      <c r="AP134" s="1239"/>
      <c r="AQ134" s="484"/>
      <c r="AR134" s="484"/>
      <c r="AS134" s="484"/>
      <c r="AT134" s="484">
        <f>+ab($T$134,$T$132,$T$136,$G$133,$G$135,-1*$F$134,1200)</f>
        <v>9.8172082785389527</v>
      </c>
      <c r="AU134" s="638"/>
      <c r="AV134" s="638"/>
      <c r="AW134" s="638" t="str">
        <f>VLOOKUP(C134,'Foundation Calculation'!$A$2:$C$33,3,1)</f>
        <v>Soil A</v>
      </c>
      <c r="AX134" s="572" t="str">
        <f>VLOOKUP(C134,'Foundation Calculation'!$E$2:$G$33,3,1)</f>
        <v>PT</v>
      </c>
      <c r="AY134" s="484">
        <f>IF(AX134="PT",VLOOKUP(L134,'Foundation Calculation'!$K$2:$R$40,VLOOKUP(AW134,'Foundation Calculation'!$I$2:$J$8,2,FALSE),0),IF(AX134="K",VLOOKUP(L134,'Foundation Calculation'!$K$42:$R$80,VLOOKUP(AW134,'Foundation Calculation'!$I$2:$J$8,2,FALSE),0),""))</f>
        <v>3.5</v>
      </c>
      <c r="AZ134" s="484"/>
      <c r="BA134" s="671" t="s">
        <v>2809</v>
      </c>
      <c r="BB134" s="449" t="str">
        <f>Pole_Calculations!A152</f>
        <v>App.7.1-V01-P9.5.1.1</v>
      </c>
      <c r="BC134" s="169"/>
      <c r="BD134" s="1329">
        <v>43809</v>
      </c>
      <c r="BE134" s="1329">
        <v>43852</v>
      </c>
      <c r="BF134" s="1330"/>
      <c r="BG134" s="1329">
        <v>43870</v>
      </c>
    </row>
    <row r="135" spans="1:59" ht="15.75" customHeight="1">
      <c r="A135" s="449"/>
      <c r="B135" s="445"/>
      <c r="C135" s="446"/>
      <c r="D135" s="638"/>
      <c r="E135" s="638"/>
      <c r="F135" s="447"/>
      <c r="G135" s="484">
        <v>62</v>
      </c>
      <c r="H135" s="1239"/>
      <c r="I135" s="448"/>
      <c r="J135" s="446">
        <f>C136-7.5</f>
        <v>88295.85</v>
      </c>
      <c r="K135" s="638" t="s">
        <v>2787</v>
      </c>
      <c r="L135" s="638"/>
      <c r="M135" s="638"/>
      <c r="N135" s="638"/>
      <c r="O135" s="638"/>
      <c r="P135" s="638"/>
      <c r="Q135" s="638"/>
      <c r="R135" s="638"/>
      <c r="S135" s="484">
        <f t="shared" ref="S135" si="64">AG136-AG134</f>
        <v>62</v>
      </c>
      <c r="T135" s="638"/>
      <c r="U135" s="638"/>
      <c r="V135" s="638"/>
      <c r="W135" s="638"/>
      <c r="X135" s="638"/>
      <c r="Y135" s="638"/>
      <c r="Z135" s="638"/>
      <c r="AA135" s="638"/>
      <c r="AB135" s="638"/>
      <c r="AC135" s="1239"/>
      <c r="AD135" s="638"/>
      <c r="AE135" s="638"/>
      <c r="AF135" s="638"/>
      <c r="AG135" s="446"/>
      <c r="AH135" s="638"/>
      <c r="AI135" s="638"/>
      <c r="AJ135" s="638"/>
      <c r="AK135" s="638"/>
      <c r="AL135" s="638"/>
      <c r="AM135" s="638"/>
      <c r="AN135" s="455"/>
      <c r="AO135" s="1239"/>
      <c r="AP135" s="1239"/>
      <c r="AQ135" s="484">
        <f>+FL_1($U$136,$T$134,$G$135,1200,9.28,-1*$F$136)</f>
        <v>0.59468078895523879</v>
      </c>
      <c r="AR135" s="484"/>
      <c r="AS135" s="484"/>
      <c r="AT135" s="484"/>
      <c r="AU135" s="638"/>
      <c r="AV135" s="638"/>
      <c r="AW135" s="638" t="str">
        <f>VLOOKUP(J135,'Foundation Calculation'!$A$2:$C$33,3,1)</f>
        <v>Soil A</v>
      </c>
      <c r="AX135" s="572" t="str">
        <f>VLOOKUP(J135,'Foundation Calculation'!$E$2:$G$33,3,1)</f>
        <v>PT</v>
      </c>
      <c r="AY135" s="484"/>
      <c r="AZ135" s="484">
        <f>IF(AX135="PT",VLOOKUP(K135,'Foundation Calculation'!$K$2:$R$40,VLOOKUP(AW135,'Foundation Calculation'!$I$2:$J$8,2,FALSE),0),IF(AX135="K",VLOOKUP(K135,'Foundation Calculation'!$K$42:$R$80,VLOOKUP(AW135,'Foundation Calculation'!$I$2:$J$8,2,FALSE),0),""))</f>
        <v>3.3</v>
      </c>
      <c r="BA135" s="671" t="s">
        <v>2809</v>
      </c>
      <c r="BB135" s="449"/>
      <c r="BC135" s="169"/>
      <c r="BD135" s="1329">
        <v>43808</v>
      </c>
      <c r="BE135" s="1330"/>
      <c r="BF135" s="1330"/>
      <c r="BG135" s="1330"/>
    </row>
    <row r="136" spans="1:59" ht="15.75" customHeight="1">
      <c r="A136" s="449"/>
      <c r="B136" s="485" t="s">
        <v>3239</v>
      </c>
      <c r="C136" s="446">
        <f>+$C$134+$G$135</f>
        <v>88303.35</v>
      </c>
      <c r="D136" s="638"/>
      <c r="E136" s="638"/>
      <c r="F136" s="447">
        <v>8000</v>
      </c>
      <c r="G136" s="484"/>
      <c r="H136" s="1239" t="s">
        <v>138</v>
      </c>
      <c r="I136" s="448" t="s">
        <v>623</v>
      </c>
      <c r="J136" s="446"/>
      <c r="K136" s="638"/>
      <c r="L136" s="1239" t="s">
        <v>899</v>
      </c>
      <c r="M136" s="1239" t="str">
        <f>IF(AX136="PT",VLOOKUP(L136,'Foundation Calculation'!$V$2:$X$40,VLOOKUP(AX136,'Foundation Calculation'!$I$10:$J$13,2,FALSE),0),IF(AX136="K",VLOOKUP(L136,'Foundation Calculation'!$V$42:$X$80,VLOOKUP(AX136,'Foundation Calculation'!$I$10:$J$13,2,FALSE),0),""))</f>
        <v>C5R</v>
      </c>
      <c r="N136" s="638" t="s">
        <v>143</v>
      </c>
      <c r="O136" s="638"/>
      <c r="P136" s="638"/>
      <c r="Q136" s="638">
        <v>40</v>
      </c>
      <c r="R136" s="638">
        <v>8000</v>
      </c>
      <c r="S136" s="484"/>
      <c r="T136" s="638">
        <v>-25</v>
      </c>
      <c r="U136" s="638"/>
      <c r="V136" s="638"/>
      <c r="W136" s="638">
        <v>1.4</v>
      </c>
      <c r="X136" s="638"/>
      <c r="Y136" s="638"/>
      <c r="Z136" s="638"/>
      <c r="AA136" s="638"/>
      <c r="AB136" s="638"/>
      <c r="AC136" s="1239" t="s">
        <v>1421</v>
      </c>
      <c r="AD136" s="638"/>
      <c r="AE136" s="638"/>
      <c r="AF136" s="638">
        <v>5800</v>
      </c>
      <c r="AG136" s="446">
        <v>88303.32</v>
      </c>
      <c r="AH136" s="638">
        <v>2913</v>
      </c>
      <c r="AI136" s="638">
        <v>400</v>
      </c>
      <c r="AJ136" s="638"/>
      <c r="AK136" s="638"/>
      <c r="AL136" s="1239"/>
      <c r="AM136" s="1239" t="s">
        <v>1042</v>
      </c>
      <c r="AN136" s="455">
        <v>5.5</v>
      </c>
      <c r="AO136" s="1239"/>
      <c r="AP136" s="1239"/>
      <c r="AQ136" s="484"/>
      <c r="AR136" s="484"/>
      <c r="AS136" s="484"/>
      <c r="AT136" s="484">
        <f>+ab($U$136,$T$134,$U$138,$G$135,$G$137,-1*$F$136,1200)</f>
        <v>-13.395819354906758</v>
      </c>
      <c r="AU136" s="638"/>
      <c r="AV136" s="638"/>
      <c r="AW136" s="638" t="str">
        <f>VLOOKUP(C136,'Foundation Calculation'!$A$2:$C$33,3,1)</f>
        <v>Soil A</v>
      </c>
      <c r="AX136" s="572" t="str">
        <f>VLOOKUP(C136,'Foundation Calculation'!$E$2:$G$33,3,1)</f>
        <v>PT</v>
      </c>
      <c r="AY136" s="484">
        <f>IF(AX136="PT",VLOOKUP(L136,'Foundation Calculation'!$K$2:$R$40,VLOOKUP(AW136,'Foundation Calculation'!$I$2:$J$8,2,FALSE),0),IF(AX136="K",VLOOKUP(L136,'Foundation Calculation'!$K$42:$R$80,VLOOKUP(AW136,'Foundation Calculation'!$I$2:$J$8,2,FALSE),0),""))</f>
        <v>3.5</v>
      </c>
      <c r="AZ136" s="484"/>
      <c r="BA136" s="671" t="s">
        <v>2809</v>
      </c>
      <c r="BB136" s="449" t="str">
        <f>Pole_Calculations!A157</f>
        <v>App.7.1-V01-P9.5.1.6</v>
      </c>
      <c r="BC136" s="169"/>
      <c r="BD136" s="1329">
        <v>43808</v>
      </c>
      <c r="BE136" s="1329">
        <v>43857</v>
      </c>
      <c r="BF136" s="1330"/>
      <c r="BG136" s="1329">
        <v>43870</v>
      </c>
    </row>
    <row r="137" spans="1:59" ht="15.75" customHeight="1">
      <c r="A137" s="449"/>
      <c r="B137" s="445"/>
      <c r="C137" s="446"/>
      <c r="D137" s="638"/>
      <c r="E137" s="638"/>
      <c r="F137" s="447"/>
      <c r="G137" s="484">
        <v>58</v>
      </c>
      <c r="H137" s="1239"/>
      <c r="I137" s="448"/>
      <c r="J137" s="446"/>
      <c r="K137" s="638"/>
      <c r="L137" s="638"/>
      <c r="M137" s="638"/>
      <c r="N137" s="638"/>
      <c r="O137" s="638"/>
      <c r="P137" s="638"/>
      <c r="Q137" s="638"/>
      <c r="R137" s="638"/>
      <c r="S137" s="484">
        <f t="shared" ref="S137" si="65">AG138-AG136</f>
        <v>57.819999999992433</v>
      </c>
      <c r="T137" s="638"/>
      <c r="U137" s="638"/>
      <c r="V137" s="638"/>
      <c r="W137" s="638"/>
      <c r="X137" s="638"/>
      <c r="Y137" s="638"/>
      <c r="Z137" s="638"/>
      <c r="AA137" s="638"/>
      <c r="AB137" s="638"/>
      <c r="AC137" s="1239"/>
      <c r="AD137" s="638"/>
      <c r="AE137" s="638"/>
      <c r="AF137" s="638"/>
      <c r="AG137" s="446"/>
      <c r="AH137" s="638"/>
      <c r="AI137" s="638"/>
      <c r="AJ137" s="638"/>
      <c r="AK137" s="638"/>
      <c r="AL137" s="638"/>
      <c r="AM137" s="638"/>
      <c r="AN137" s="455"/>
      <c r="AO137" s="1239"/>
      <c r="AP137" s="1239"/>
      <c r="AQ137" s="484">
        <f>+FL_1($U$138,$U$136,$G$137,1200,9.28,-1*$F$138)</f>
        <v>0.42940387466121327</v>
      </c>
      <c r="AR137" s="484"/>
      <c r="AS137" s="484"/>
      <c r="AT137" s="484"/>
      <c r="AU137" s="638"/>
      <c r="AV137" s="638"/>
      <c r="AW137" s="638"/>
      <c r="AX137" s="638"/>
      <c r="AY137" s="484"/>
      <c r="AZ137" s="484"/>
      <c r="BA137" s="671"/>
      <c r="BB137" s="449"/>
      <c r="BC137" s="169"/>
      <c r="BD137" s="1330"/>
      <c r="BE137" s="1330"/>
      <c r="BF137" s="1330"/>
      <c r="BG137" s="1330"/>
    </row>
    <row r="138" spans="1:59" ht="15.75" customHeight="1">
      <c r="A138" s="449" t="s">
        <v>3270</v>
      </c>
      <c r="B138" s="485" t="s">
        <v>3240</v>
      </c>
      <c r="C138" s="446">
        <f>+$C$136+$G$137</f>
        <v>88361.35</v>
      </c>
      <c r="D138" s="638"/>
      <c r="E138" s="638"/>
      <c r="F138" s="447">
        <v>8000</v>
      </c>
      <c r="G138" s="484"/>
      <c r="H138" s="1239" t="s">
        <v>619</v>
      </c>
      <c r="I138" s="448" t="s">
        <v>1429</v>
      </c>
      <c r="J138" s="446"/>
      <c r="K138" s="638"/>
      <c r="L138" s="1239" t="s">
        <v>232</v>
      </c>
      <c r="M138" s="1239" t="str">
        <f>IF(AX138="PT",VLOOKUP(L138,'Foundation Calculation'!$V$2:$X$40,VLOOKUP(AX138,'Foundation Calculation'!$I$10:$J$13,2,FALSE),0),IF(AX138="K",VLOOKUP(L138,'Foundation Calculation'!$V$42:$X$80,VLOOKUP(AX138,'Foundation Calculation'!$I$10:$J$13,2,FALSE),0),""))</f>
        <v>C5R</v>
      </c>
      <c r="N138" s="638" t="s">
        <v>140</v>
      </c>
      <c r="O138" s="638" t="s">
        <v>144</v>
      </c>
      <c r="P138" s="638"/>
      <c r="Q138" s="638">
        <v>10</v>
      </c>
      <c r="R138" s="638">
        <v>8000</v>
      </c>
      <c r="S138" s="484"/>
      <c r="T138" s="638">
        <v>55</v>
      </c>
      <c r="U138" s="638">
        <v>10</v>
      </c>
      <c r="V138" s="638"/>
      <c r="W138" s="638">
        <v>1.4</v>
      </c>
      <c r="X138" s="638">
        <v>2.2999999999999998</v>
      </c>
      <c r="Y138" s="638"/>
      <c r="Z138" s="638">
        <v>0.6</v>
      </c>
      <c r="AA138" s="638"/>
      <c r="AB138" s="638"/>
      <c r="AC138" s="1239" t="s">
        <v>1421</v>
      </c>
      <c r="AD138" s="638"/>
      <c r="AE138" s="638"/>
      <c r="AF138" s="638">
        <v>5800</v>
      </c>
      <c r="AG138" s="446">
        <v>88361.14</v>
      </c>
      <c r="AH138" s="638">
        <v>2803</v>
      </c>
      <c r="AI138" s="638">
        <v>410</v>
      </c>
      <c r="AJ138" s="638" t="s">
        <v>877</v>
      </c>
      <c r="AK138" s="638"/>
      <c r="AL138" s="1239"/>
      <c r="AM138" s="1239" t="s">
        <v>1042</v>
      </c>
      <c r="AN138" s="455">
        <v>5.5</v>
      </c>
      <c r="AO138" s="1239"/>
      <c r="AP138" s="1239"/>
      <c r="AQ138" s="484"/>
      <c r="AR138" s="484"/>
      <c r="AS138" s="484"/>
      <c r="AT138" s="484">
        <f>+ab($U$138,$U$136,$U$140,$G$137,$G$139,-1*$F$138,1200)</f>
        <v>27.332618987567507</v>
      </c>
      <c r="AU138" s="638"/>
      <c r="AV138" s="638"/>
      <c r="AW138" s="638" t="str">
        <f>VLOOKUP(C138,'Foundation Calculation'!$A$2:$C$33,3,1)</f>
        <v>Soil A</v>
      </c>
      <c r="AX138" s="572" t="str">
        <f>VLOOKUP(C138,'Foundation Calculation'!$E$2:$G$33,3,1)</f>
        <v>PT</v>
      </c>
      <c r="AY138" s="484">
        <f>IF(AX138="PT",VLOOKUP(L138,'Foundation Calculation'!$K$2:$R$40,VLOOKUP(AW138,'Foundation Calculation'!$I$2:$J$8,2,FALSE),0),IF(AX138="K",VLOOKUP(L138,'Foundation Calculation'!$K$42:$R$80,VLOOKUP(AW138,'Foundation Calculation'!$I$2:$J$8,2,FALSE),0),""))</f>
        <v>3.5</v>
      </c>
      <c r="AZ138" s="484"/>
      <c r="BA138" s="671" t="s">
        <v>2809</v>
      </c>
      <c r="BB138" s="449" t="str">
        <f>Pole_Calculations!A156</f>
        <v>App.7.1-V01-P9.5.1.5</v>
      </c>
      <c r="BC138" s="169"/>
      <c r="BD138" s="1329">
        <v>43808</v>
      </c>
      <c r="BE138" s="1329">
        <v>43852</v>
      </c>
      <c r="BF138" s="1330"/>
      <c r="BG138" s="1329">
        <v>43870</v>
      </c>
    </row>
    <row r="139" spans="1:59" ht="15.75" customHeight="1">
      <c r="A139" s="449"/>
      <c r="B139" s="445"/>
      <c r="C139" s="446"/>
      <c r="D139" s="638"/>
      <c r="E139" s="638"/>
      <c r="F139" s="447"/>
      <c r="G139" s="484">
        <v>55</v>
      </c>
      <c r="H139" s="1239"/>
      <c r="I139" s="448"/>
      <c r="J139" s="446"/>
      <c r="K139" s="638"/>
      <c r="L139" s="449"/>
      <c r="M139" s="638"/>
      <c r="N139" s="449"/>
      <c r="O139" s="449"/>
      <c r="P139" s="449"/>
      <c r="Q139" s="449"/>
      <c r="R139" s="449"/>
      <c r="S139" s="484">
        <f t="shared" ref="S139" si="66">AG140-AG138</f>
        <v>55.110000000000582</v>
      </c>
      <c r="T139" s="449"/>
      <c r="U139" s="449"/>
      <c r="V139" s="449"/>
      <c r="W139" s="449"/>
      <c r="X139" s="449"/>
      <c r="Y139" s="449"/>
      <c r="Z139" s="449"/>
      <c r="AA139" s="449"/>
      <c r="AB139" s="449"/>
      <c r="AC139" s="1239"/>
      <c r="AD139" s="449"/>
      <c r="AE139" s="449"/>
      <c r="AF139" s="449"/>
      <c r="AG139" s="446"/>
      <c r="AH139" s="449"/>
      <c r="AI139" s="449"/>
      <c r="AJ139" s="449"/>
      <c r="AK139" s="449"/>
      <c r="AL139" s="449"/>
      <c r="AM139" s="449"/>
      <c r="AN139" s="455"/>
      <c r="AO139" s="1239"/>
      <c r="AP139" s="1239"/>
      <c r="AQ139" s="484">
        <f>+FL_1($U$140,$U$138,$G$139,1200,9.28,-1*$F$140)</f>
        <v>0.19242044872649597</v>
      </c>
      <c r="AR139" s="484"/>
      <c r="AS139" s="484"/>
      <c r="AT139" s="484"/>
      <c r="AU139" s="638"/>
      <c r="AV139" s="638"/>
      <c r="AW139" s="638"/>
      <c r="AX139" s="638"/>
      <c r="AY139" s="484"/>
      <c r="AZ139" s="484"/>
      <c r="BA139" s="671"/>
      <c r="BB139" s="449"/>
      <c r="BC139" s="169"/>
      <c r="BD139" s="1330"/>
      <c r="BE139" s="1330"/>
      <c r="BF139" s="1330"/>
      <c r="BG139" s="1330"/>
    </row>
    <row r="140" spans="1:59" ht="15.75" customHeight="1">
      <c r="A140" s="449"/>
      <c r="B140" s="485" t="s">
        <v>3241</v>
      </c>
      <c r="C140" s="446">
        <f>+$C$138+$G$139</f>
        <v>88416.35</v>
      </c>
      <c r="D140" s="638"/>
      <c r="E140" s="638"/>
      <c r="F140" s="447">
        <v>8000</v>
      </c>
      <c r="G140" s="484"/>
      <c r="H140" s="1239" t="s">
        <v>619</v>
      </c>
      <c r="I140" s="448"/>
      <c r="J140" s="446"/>
      <c r="K140" s="638"/>
      <c r="L140" s="1239" t="s">
        <v>895</v>
      </c>
      <c r="M140" s="1239" t="str">
        <f>IF(AX140="PT",VLOOKUP(L140,'Foundation Calculation'!$V$2:$X$40,VLOOKUP(AX140,'Foundation Calculation'!$I$10:$J$13,2,FALSE),0),IF(AX140="K",VLOOKUP(L140,'Foundation Calculation'!$V$42:$X$80,VLOOKUP(AX140,'Foundation Calculation'!$I$10:$J$13,2,FALSE),0),""))</f>
        <v>2C3R</v>
      </c>
      <c r="N140" s="638" t="s">
        <v>143</v>
      </c>
      <c r="O140" s="638" t="s">
        <v>140</v>
      </c>
      <c r="P140" s="638"/>
      <c r="Q140" s="638">
        <v>10</v>
      </c>
      <c r="R140" s="638">
        <v>8000</v>
      </c>
      <c r="S140" s="484"/>
      <c r="T140" s="638">
        <v>-10</v>
      </c>
      <c r="U140" s="638">
        <v>-55</v>
      </c>
      <c r="V140" s="638"/>
      <c r="W140" s="638">
        <v>1.4</v>
      </c>
      <c r="X140" s="638">
        <v>2.2999999999999998</v>
      </c>
      <c r="Y140" s="638"/>
      <c r="Z140" s="638"/>
      <c r="AA140" s="638">
        <v>0.6</v>
      </c>
      <c r="AB140" s="638"/>
      <c r="AC140" s="1239" t="s">
        <v>4090</v>
      </c>
      <c r="AD140" s="638"/>
      <c r="AE140" s="638"/>
      <c r="AF140" s="638">
        <v>5800</v>
      </c>
      <c r="AG140" s="446">
        <v>88416.25</v>
      </c>
      <c r="AH140" s="638">
        <v>2743</v>
      </c>
      <c r="AI140" s="638">
        <v>430</v>
      </c>
      <c r="AJ140" s="638"/>
      <c r="AK140" s="638"/>
      <c r="AL140" s="1239"/>
      <c r="AM140" s="1239" t="s">
        <v>1042</v>
      </c>
      <c r="AN140" s="455">
        <v>5.5</v>
      </c>
      <c r="AO140" s="1239"/>
      <c r="AP140" s="1239"/>
      <c r="AQ140" s="484"/>
      <c r="AR140" s="484"/>
      <c r="AS140" s="484"/>
      <c r="AT140" s="484">
        <f>+ab($T$140,$T$138,$T$142,$G$139,$G$141,-1*$F$140,1200)</f>
        <v>-7.5171490378736863</v>
      </c>
      <c r="AU140" s="638"/>
      <c r="AV140" s="638"/>
      <c r="AW140" s="638" t="str">
        <f>VLOOKUP(C140,'Foundation Calculation'!$A$2:$C$33,3,1)</f>
        <v>Soil A</v>
      </c>
      <c r="AX140" s="572" t="str">
        <f>VLOOKUP(C140,'Foundation Calculation'!$E$2:$G$33,3,1)</f>
        <v>PT</v>
      </c>
      <c r="AY140" s="484">
        <f>IF(AX140="PT",VLOOKUP(L140,'Foundation Calculation'!$K$2:$R$40,VLOOKUP(AW140,'Foundation Calculation'!$I$2:$J$8,2,FALSE),0),IF(AX140="K",VLOOKUP(L140,'Foundation Calculation'!$K$42:$R$80,VLOOKUP(AW140,'Foundation Calculation'!$I$2:$J$8,2,FALSE),0),""))</f>
        <v>3.7</v>
      </c>
      <c r="AZ140" s="484"/>
      <c r="BA140" s="671" t="s">
        <v>2809</v>
      </c>
      <c r="BB140" s="449" t="str">
        <f>Pole_Calculations!A156</f>
        <v>App.7.1-V01-P9.5.1.5</v>
      </c>
      <c r="BC140" s="169"/>
      <c r="BD140" s="1329">
        <v>43808</v>
      </c>
      <c r="BE140" s="1329">
        <v>43852</v>
      </c>
      <c r="BF140" s="1330"/>
      <c r="BG140" s="1329">
        <v>43870</v>
      </c>
    </row>
    <row r="141" spans="1:59" ht="15.75" customHeight="1">
      <c r="A141" s="449"/>
      <c r="B141" s="445"/>
      <c r="C141" s="446"/>
      <c r="D141" s="638"/>
      <c r="E141" s="638"/>
      <c r="F141" s="447"/>
      <c r="G141" s="484">
        <v>50</v>
      </c>
      <c r="H141" s="1239"/>
      <c r="I141" s="448"/>
      <c r="J141" s="446"/>
      <c r="K141" s="638"/>
      <c r="L141" s="449"/>
      <c r="M141" s="449"/>
      <c r="N141" s="449"/>
      <c r="O141" s="449"/>
      <c r="P141" s="449"/>
      <c r="Q141" s="449"/>
      <c r="R141" s="449"/>
      <c r="S141" s="484">
        <f t="shared" ref="S141" si="67">AG142-AG140</f>
        <v>49.75</v>
      </c>
      <c r="T141" s="449"/>
      <c r="U141" s="449"/>
      <c r="V141" s="449"/>
      <c r="W141" s="449"/>
      <c r="X141" s="449"/>
      <c r="Y141" s="449"/>
      <c r="Z141" s="449"/>
      <c r="AA141" s="449"/>
      <c r="AB141" s="449"/>
      <c r="AC141" s="1239"/>
      <c r="AD141" s="449"/>
      <c r="AE141" s="449"/>
      <c r="AF141" s="449"/>
      <c r="AG141" s="446"/>
      <c r="AH141" s="449"/>
      <c r="AI141" s="449"/>
      <c r="AJ141" s="449"/>
      <c r="AK141" s="449"/>
      <c r="AL141" s="449"/>
      <c r="AM141" s="449"/>
      <c r="AN141" s="455"/>
      <c r="AO141" s="1239"/>
      <c r="AP141" s="1239"/>
      <c r="AQ141" s="484">
        <f>+FL_1($T$142,$T$140,$G$141,1200,9.28,-1*$F$142)</f>
        <v>0.34834769999999998</v>
      </c>
      <c r="AR141" s="484"/>
      <c r="AS141" s="484"/>
      <c r="AT141" s="484"/>
      <c r="AU141" s="638"/>
      <c r="AV141" s="638"/>
      <c r="AW141" s="638"/>
      <c r="AX141" s="638"/>
      <c r="AY141" s="484"/>
      <c r="AZ141" s="484"/>
      <c r="BA141" s="671"/>
      <c r="BB141" s="449"/>
      <c r="BC141" s="169"/>
      <c r="BD141" s="1330"/>
      <c r="BE141" s="1330"/>
      <c r="BF141" s="1330"/>
      <c r="BG141" s="1330"/>
    </row>
    <row r="142" spans="1:59" ht="15.75" customHeight="1">
      <c r="A142" s="449"/>
      <c r="B142" s="435" t="s">
        <v>3242</v>
      </c>
      <c r="C142" s="446">
        <f>+$C$140+$G$141</f>
        <v>88466.35</v>
      </c>
      <c r="D142" s="173"/>
      <c r="E142" s="447"/>
      <c r="F142" s="447">
        <v>0</v>
      </c>
      <c r="G142" s="484"/>
      <c r="H142" s="1239" t="s">
        <v>2133</v>
      </c>
      <c r="I142" s="1239" t="s">
        <v>623</v>
      </c>
      <c r="J142" s="171"/>
      <c r="K142" s="638"/>
      <c r="L142" s="638" t="s">
        <v>4664</v>
      </c>
      <c r="M142" s="638" t="str">
        <f>IF(AX142="PT",VLOOKUP(L142,'Foundation Calculation'!$V$2:$X$40,VLOOKUP(AX142,'Foundation Calculation'!$I$10:$J$13,2,FALSE),0),IF(AX142="K",VLOOKUP(L142,'Foundation Calculation'!$V$42:$X$80,VLOOKUP(AX142,'Foundation Calculation'!$I$10:$J$13,2,FALSE),0),""))</f>
        <v>C11R</v>
      </c>
      <c r="N142" s="1239" t="s">
        <v>144</v>
      </c>
      <c r="O142" s="1239" t="s">
        <v>140</v>
      </c>
      <c r="P142" s="1239"/>
      <c r="Q142" s="638">
        <v>0</v>
      </c>
      <c r="R142" s="638">
        <v>0</v>
      </c>
      <c r="S142" s="484"/>
      <c r="T142" s="1353">
        <v>25</v>
      </c>
      <c r="U142" s="1353">
        <v>50</v>
      </c>
      <c r="V142" s="1353"/>
      <c r="W142" s="1353">
        <v>1.8</v>
      </c>
      <c r="X142" s="1353">
        <v>1.4</v>
      </c>
      <c r="Y142" s="1353"/>
      <c r="Z142" s="1353"/>
      <c r="AA142" s="1353">
        <v>0.6</v>
      </c>
      <c r="AB142" s="1353"/>
      <c r="AC142" s="1285" t="s">
        <v>1421</v>
      </c>
      <c r="AD142" s="1353"/>
      <c r="AE142" s="1353"/>
      <c r="AF142" s="1353">
        <v>6000</v>
      </c>
      <c r="AG142" s="1360">
        <v>88466</v>
      </c>
      <c r="AH142" s="1353">
        <v>2403</v>
      </c>
      <c r="AI142" s="1353">
        <v>280</v>
      </c>
      <c r="AJ142" s="638"/>
      <c r="AK142" s="638"/>
      <c r="AL142" s="638" t="s">
        <v>2143</v>
      </c>
      <c r="AM142" s="638" t="s">
        <v>1042</v>
      </c>
      <c r="AN142" s="455">
        <v>5.5</v>
      </c>
      <c r="AO142" s="1239"/>
      <c r="AP142" s="1239"/>
      <c r="AQ142" s="484"/>
      <c r="AR142" s="484"/>
      <c r="AS142" s="484"/>
      <c r="AT142" s="484">
        <f>+ab($T$142,$T$140,$T$144,$G$141,$G$143,-1*$F$142,1200)</f>
        <v>9.659993359208066</v>
      </c>
      <c r="AU142" s="638"/>
      <c r="AV142" s="638"/>
      <c r="AW142" s="638" t="str">
        <f>VLOOKUP(C142,'Foundation Calculation'!$A$2:$C$33,3,1)</f>
        <v>Soil A</v>
      </c>
      <c r="AX142" s="638" t="str">
        <f>VLOOKUP(C142,'Foundation Calculation'!$E$2:$G$33,3,1)</f>
        <v>PT</v>
      </c>
      <c r="AY142" s="484">
        <f>IF(AX142="PT",VLOOKUP(L142,'Foundation Calculation'!$K$2:$R$40,VLOOKUP(AW142,'Foundation Calculation'!$I$2:$J$8,2,FALSE),0),IF(AX142="K",VLOOKUP(L142,'Foundation Calculation'!$K$42:$R$80,VLOOKUP(AW142,'Foundation Calculation'!$I$2:$J$8,2,FALSE),0),""))</f>
        <v>4.4000000000000004</v>
      </c>
      <c r="AZ142" s="484"/>
      <c r="BA142" s="671" t="s">
        <v>2809</v>
      </c>
      <c r="BB142" s="449" t="str">
        <f>Pole_Calculations!A178</f>
        <v>App.8-V08F-P10.3</v>
      </c>
      <c r="BC142" s="169"/>
      <c r="BD142" s="1329"/>
      <c r="BE142" s="1329"/>
      <c r="BF142" s="1329"/>
      <c r="BG142" s="1329"/>
    </row>
    <row r="143" spans="1:59" ht="15.75" customHeight="1">
      <c r="A143" s="449"/>
      <c r="B143" s="445"/>
      <c r="C143" s="446"/>
      <c r="D143" s="638"/>
      <c r="E143" s="638"/>
      <c r="F143" s="447"/>
      <c r="G143" s="484">
        <v>35.5</v>
      </c>
      <c r="H143" s="1239"/>
      <c r="I143" s="448"/>
      <c r="J143" s="446">
        <f>C142+7.5</f>
        <v>88473.85</v>
      </c>
      <c r="K143" s="638" t="s">
        <v>2787</v>
      </c>
      <c r="L143" s="638"/>
      <c r="M143" s="449"/>
      <c r="N143" s="638"/>
      <c r="O143" s="638"/>
      <c r="P143" s="638"/>
      <c r="Q143" s="638"/>
      <c r="R143" s="638"/>
      <c r="S143" s="484">
        <f t="shared" ref="S143" si="68">AG144-AG142</f>
        <v>35</v>
      </c>
      <c r="T143" s="638"/>
      <c r="U143" s="638"/>
      <c r="V143" s="638"/>
      <c r="W143" s="638"/>
      <c r="X143" s="638"/>
      <c r="Y143" s="638"/>
      <c r="Z143" s="638"/>
      <c r="AA143" s="638"/>
      <c r="AB143" s="638"/>
      <c r="AC143" s="1239"/>
      <c r="AD143" s="638"/>
      <c r="AE143" s="638"/>
      <c r="AF143" s="638"/>
      <c r="AG143" s="446"/>
      <c r="AH143" s="638"/>
      <c r="AI143" s="638"/>
      <c r="AJ143" s="638"/>
      <c r="AK143" s="638"/>
      <c r="AL143" s="638"/>
      <c r="AM143" s="638"/>
      <c r="AN143" s="455"/>
      <c r="AO143" s="1239"/>
      <c r="AP143" s="1239"/>
      <c r="AQ143" s="484">
        <f>+FL_1($T$144,$T$142,$G$143,1200,9.28,-1*$F$144)</f>
        <v>0.24999999999999839</v>
      </c>
      <c r="AR143" s="484"/>
      <c r="AS143" s="484"/>
      <c r="AT143" s="484"/>
      <c r="AU143" s="638"/>
      <c r="AV143" s="638"/>
      <c r="AW143" s="638" t="str">
        <f>VLOOKUP(J143,'Foundation Calculation'!$A$2:$C$33,3,1)</f>
        <v>Soil A</v>
      </c>
      <c r="AX143" s="572" t="str">
        <f>VLOOKUP(J143,'Foundation Calculation'!$E$2:$G$33,3,1)</f>
        <v>PT</v>
      </c>
      <c r="AY143" s="484"/>
      <c r="AZ143" s="484">
        <f>IF(AX143="PT",VLOOKUP(K143,'Foundation Calculation'!$K$2:$R$40,VLOOKUP(AW143,'Foundation Calculation'!$I$2:$J$8,2,FALSE),0),IF(AX143="K",VLOOKUP(K143,'Foundation Calculation'!$K$42:$R$80,VLOOKUP(AW143,'Foundation Calculation'!$I$2:$J$8,2,FALSE),0),""))</f>
        <v>3.3</v>
      </c>
      <c r="BA143" s="671" t="s">
        <v>2809</v>
      </c>
      <c r="BB143" s="449"/>
      <c r="BC143" s="169"/>
      <c r="BD143" s="1329"/>
      <c r="BE143" s="1330"/>
      <c r="BF143" s="1330"/>
      <c r="BG143" s="1330"/>
    </row>
    <row r="144" spans="1:59" ht="15.75" customHeight="1">
      <c r="A144" s="449"/>
      <c r="B144" s="435" t="s">
        <v>3243</v>
      </c>
      <c r="C144" s="446">
        <f>+$C$142+$G$143</f>
        <v>88501.85</v>
      </c>
      <c r="D144" s="173"/>
      <c r="E144" s="447"/>
      <c r="F144" s="447">
        <v>-5000</v>
      </c>
      <c r="G144" s="484"/>
      <c r="H144" s="1239" t="s">
        <v>138</v>
      </c>
      <c r="I144" s="1239" t="s">
        <v>623</v>
      </c>
      <c r="J144" s="171"/>
      <c r="K144" s="638"/>
      <c r="L144" s="638" t="s">
        <v>4664</v>
      </c>
      <c r="M144" s="638" t="str">
        <f>IF(AX144="PT",VLOOKUP(L144,'Foundation Calculation'!$V$2:$X$40,VLOOKUP(AX144,'Foundation Calculation'!$I$10:$J$13,2,FALSE),0),IF(AX144="K",VLOOKUP(L144,'Foundation Calculation'!$V$42:$X$80,VLOOKUP(AX144,'Foundation Calculation'!$I$10:$J$13,2,FALSE),0),""))</f>
        <v>C11R</v>
      </c>
      <c r="N144" s="1239" t="s">
        <v>143</v>
      </c>
      <c r="O144" s="1239"/>
      <c r="P144" s="1239"/>
      <c r="Q144" s="638">
        <v>0</v>
      </c>
      <c r="R144" s="638">
        <v>0</v>
      </c>
      <c r="S144" s="484"/>
      <c r="T144" s="1353">
        <v>-20</v>
      </c>
      <c r="U144" s="1353"/>
      <c r="V144" s="1353"/>
      <c r="W144" s="1353">
        <v>1.4</v>
      </c>
      <c r="X144" s="1353"/>
      <c r="Y144" s="1353"/>
      <c r="Z144" s="1353"/>
      <c r="AA144" s="1353"/>
      <c r="AB144" s="1353"/>
      <c r="AC144" s="1353" t="s">
        <v>1421</v>
      </c>
      <c r="AD144" s="1353"/>
      <c r="AE144" s="1353"/>
      <c r="AF144" s="1353">
        <v>6000</v>
      </c>
      <c r="AG144" s="1360">
        <v>88501</v>
      </c>
      <c r="AH144" s="1353">
        <v>2563</v>
      </c>
      <c r="AI144" s="1353">
        <v>400</v>
      </c>
      <c r="AJ144" s="638"/>
      <c r="AK144" s="638"/>
      <c r="AL144" s="638" t="s">
        <v>2143</v>
      </c>
      <c r="AM144" s="638" t="s">
        <v>1042</v>
      </c>
      <c r="AN144" s="455">
        <v>5.5</v>
      </c>
      <c r="AO144" s="1239"/>
      <c r="AP144" s="1239"/>
      <c r="AQ144" s="484"/>
      <c r="AR144" s="484"/>
      <c r="AS144" s="484"/>
      <c r="AT144" s="484">
        <f>+ab($T$144,$T$142,$T$146,$G$143,$G$145,-1*$F$144,1200)</f>
        <v>-13.62539356888718</v>
      </c>
      <c r="AU144" s="638"/>
      <c r="AV144" s="638"/>
      <c r="AW144" s="638" t="str">
        <f>VLOOKUP(C144,'Foundation Calculation'!$A$2:$C$33,3,1)</f>
        <v>Soil B</v>
      </c>
      <c r="AX144" s="638" t="str">
        <f>VLOOKUP(C144,'Foundation Calculation'!$E$2:$G$33,3,1)</f>
        <v>PT</v>
      </c>
      <c r="AY144" s="484">
        <f>IF(AX144="PT",VLOOKUP(L144,'Foundation Calculation'!$K$2:$R$40,VLOOKUP(AW144,'Foundation Calculation'!$I$2:$J$8,2,FALSE),0),IF(AX144="K",VLOOKUP(L144,'Foundation Calculation'!$K$42:$R$80,VLOOKUP(AW144,'Foundation Calculation'!$I$2:$J$8,2,FALSE),0),""))</f>
        <v>4.4000000000000004</v>
      </c>
      <c r="AZ144" s="484"/>
      <c r="BA144" s="671" t="s">
        <v>2809</v>
      </c>
      <c r="BB144" s="449" t="str">
        <f>Pole_Calculations!A178</f>
        <v>App.8-V08F-P10.3</v>
      </c>
      <c r="BC144" s="169"/>
      <c r="BD144" s="1329"/>
      <c r="BE144" s="1329"/>
      <c r="BF144" s="1329"/>
      <c r="BG144" s="1329"/>
    </row>
    <row r="145" spans="1:59" ht="15.75" customHeight="1">
      <c r="A145" s="449"/>
      <c r="B145" s="445"/>
      <c r="C145" s="446"/>
      <c r="D145" s="638"/>
      <c r="E145" s="638"/>
      <c r="F145" s="447"/>
      <c r="G145" s="484">
        <v>44</v>
      </c>
      <c r="H145" s="1239"/>
      <c r="I145" s="448"/>
      <c r="J145" s="446">
        <f>C144+7.5</f>
        <v>88509.35</v>
      </c>
      <c r="K145" s="638" t="s">
        <v>2787</v>
      </c>
      <c r="L145" s="638"/>
      <c r="M145" s="449"/>
      <c r="N145" s="638"/>
      <c r="O145" s="638"/>
      <c r="P145" s="638"/>
      <c r="Q145" s="638"/>
      <c r="R145" s="638"/>
      <c r="S145" s="484">
        <f t="shared" ref="S145" si="69">AG146-AG144</f>
        <v>44</v>
      </c>
      <c r="T145" s="638"/>
      <c r="U145" s="638"/>
      <c r="V145" s="638"/>
      <c r="W145" s="638"/>
      <c r="X145" s="638"/>
      <c r="Y145" s="638"/>
      <c r="Z145" s="638"/>
      <c r="AA145" s="638"/>
      <c r="AB145" s="638"/>
      <c r="AC145" s="1239"/>
      <c r="AD145" s="638"/>
      <c r="AE145" s="638"/>
      <c r="AF145" s="638"/>
      <c r="AG145" s="446"/>
      <c r="AH145" s="638"/>
      <c r="AI145" s="638"/>
      <c r="AJ145" s="638"/>
      <c r="AK145" s="638"/>
      <c r="AL145" s="638"/>
      <c r="AM145" s="638"/>
      <c r="AN145" s="455"/>
      <c r="AO145" s="1239"/>
      <c r="AP145" s="1239"/>
      <c r="AQ145" s="484">
        <f>+FL_2($T$146,$T$144,$G$145,1200,9.28,-1*$F$146)</f>
        <v>-0.27800125633284456</v>
      </c>
      <c r="AR145" s="484"/>
      <c r="AS145" s="484"/>
      <c r="AT145" s="484"/>
      <c r="AU145" s="638"/>
      <c r="AV145" s="638"/>
      <c r="AW145" s="638" t="str">
        <f>VLOOKUP(J145,'Foundation Calculation'!$A$2:$C$33,3,1)</f>
        <v>Soil B</v>
      </c>
      <c r="AX145" s="572" t="str">
        <f>VLOOKUP(J145,'Foundation Calculation'!$E$2:$G$33,3,1)</f>
        <v>PT</v>
      </c>
      <c r="AY145" s="484"/>
      <c r="AZ145" s="484">
        <f>IF(AX145="PT",VLOOKUP(K145,'Foundation Calculation'!$K$2:$R$40,VLOOKUP(AW145,'Foundation Calculation'!$I$2:$J$8,2,FALSE),0),IF(AX145="K",VLOOKUP(K145,'Foundation Calculation'!$K$42:$R$80,VLOOKUP(AW145,'Foundation Calculation'!$I$2:$J$8,2,FALSE),0),""))</f>
        <v>3.9</v>
      </c>
      <c r="BA145" s="671" t="s">
        <v>2809</v>
      </c>
      <c r="BB145" s="449"/>
      <c r="BC145" s="169"/>
      <c r="BD145" s="1329"/>
      <c r="BE145" s="1330"/>
      <c r="BF145" s="1330"/>
      <c r="BG145" s="1330"/>
    </row>
    <row r="146" spans="1:59" ht="15.75" customHeight="1">
      <c r="A146" s="449"/>
      <c r="B146" s="435" t="s">
        <v>3244</v>
      </c>
      <c r="C146" s="446">
        <f>+$C$144+$G$145</f>
        <v>88545.85</v>
      </c>
      <c r="D146" s="173"/>
      <c r="E146" s="447"/>
      <c r="F146" s="447">
        <v>-5000</v>
      </c>
      <c r="G146" s="484"/>
      <c r="H146" s="1239" t="s">
        <v>890</v>
      </c>
      <c r="I146" s="1239" t="s">
        <v>623</v>
      </c>
      <c r="J146" s="171">
        <f>C146-7.5</f>
        <v>88538.35</v>
      </c>
      <c r="K146" s="638" t="s">
        <v>2787</v>
      </c>
      <c r="L146" s="638" t="s">
        <v>4664</v>
      </c>
      <c r="M146" s="638" t="str">
        <f>IF(AX146="PT",VLOOKUP(L146,'Foundation Calculation'!$V$2:$X$40,VLOOKUP(AX146,'Foundation Calculation'!$I$10:$J$13,2,FALSE),0),IF(AX146="K",VLOOKUP(L146,'Foundation Calculation'!$V$42:$X$80,VLOOKUP(AX146,'Foundation Calculation'!$I$10:$J$13,2,FALSE),0),""))</f>
        <v>C11R</v>
      </c>
      <c r="N146" s="1239" t="s">
        <v>144</v>
      </c>
      <c r="O146" s="1239"/>
      <c r="P146" s="1239"/>
      <c r="Q146" s="638">
        <v>0</v>
      </c>
      <c r="R146" s="638">
        <v>0</v>
      </c>
      <c r="S146" s="484"/>
      <c r="T146" s="1353">
        <v>20</v>
      </c>
      <c r="U146" s="1353"/>
      <c r="V146" s="1353"/>
      <c r="W146" s="1353">
        <v>1.4</v>
      </c>
      <c r="X146" s="1353"/>
      <c r="Y146" s="1353"/>
      <c r="Z146" s="1353"/>
      <c r="AA146" s="1353"/>
      <c r="AB146" s="1353"/>
      <c r="AC146" s="1353" t="s">
        <v>1421</v>
      </c>
      <c r="AD146" s="1353"/>
      <c r="AE146" s="1353"/>
      <c r="AF146" s="1353">
        <v>6000</v>
      </c>
      <c r="AG146" s="1360">
        <v>88545</v>
      </c>
      <c r="AH146" s="1353">
        <v>2883</v>
      </c>
      <c r="AI146" s="1353">
        <v>420</v>
      </c>
      <c r="AJ146" s="638"/>
      <c r="AK146" s="638"/>
      <c r="AL146" s="638" t="s">
        <v>2143</v>
      </c>
      <c r="AM146" s="638" t="s">
        <v>1042</v>
      </c>
      <c r="AN146" s="455">
        <v>5.5</v>
      </c>
      <c r="AO146" s="1239"/>
      <c r="AP146" s="1239"/>
      <c r="AQ146" s="484"/>
      <c r="AR146" s="484"/>
      <c r="AS146" s="484"/>
      <c r="AT146" s="484">
        <f>+ab($T$146,$T$144,$U$148,$G$145,$G$147,-1*$F$146,1200)</f>
        <v>7.4584953332297887</v>
      </c>
      <c r="AU146" s="638"/>
      <c r="AV146" s="638"/>
      <c r="AW146" s="638" t="str">
        <f>VLOOKUP(C146,'Foundation Calculation'!$A$2:$C$33,3,1)</f>
        <v>Soil B</v>
      </c>
      <c r="AX146" s="638" t="str">
        <f>VLOOKUP(C146,'Foundation Calculation'!$E$2:$G$33,3,1)</f>
        <v>PT</v>
      </c>
      <c r="AY146" s="484">
        <f>IF(AX146="PT",VLOOKUP(L146,'Foundation Calculation'!$K$2:$R$40,VLOOKUP(AW146,'Foundation Calculation'!$I$2:$J$8,2,FALSE),0),IF(AX146="K",VLOOKUP(L146,'Foundation Calculation'!$K$42:$R$80,VLOOKUP(AW146,'Foundation Calculation'!$I$2:$J$8,2,FALSE),0),""))</f>
        <v>4.4000000000000004</v>
      </c>
      <c r="AZ146" s="484">
        <f>IF(AX146="PT",VLOOKUP(K146,'Foundation Calculation'!$K$2:$R$40,VLOOKUP(AW146,'Foundation Calculation'!$I$2:$J$8,2,FALSE),0),IF(AX146="K",VLOOKUP(K146,'Foundation Calculation'!$K$42:$R$80,VLOOKUP(AW146,'Foundation Calculation'!$I$2:$J$8,2,FALSE),0),""))</f>
        <v>3.9</v>
      </c>
      <c r="BA146" s="671" t="s">
        <v>2809</v>
      </c>
      <c r="BB146" s="449" t="str">
        <f>Pole_Calculations!A178</f>
        <v>App.8-V08F-P10.3</v>
      </c>
      <c r="BC146" s="169"/>
      <c r="BD146" s="1329"/>
      <c r="BE146" s="1329"/>
      <c r="BF146" s="1329"/>
      <c r="BG146" s="1329"/>
    </row>
    <row r="147" spans="1:59" ht="15.75" customHeight="1">
      <c r="A147" s="449"/>
      <c r="B147" s="445"/>
      <c r="C147" s="446"/>
      <c r="D147" s="638"/>
      <c r="E147" s="638"/>
      <c r="F147" s="447"/>
      <c r="G147" s="484">
        <v>48</v>
      </c>
      <c r="H147" s="1239"/>
      <c r="I147" s="448"/>
      <c r="J147" s="446">
        <f>C148-9.5</f>
        <v>88584.35</v>
      </c>
      <c r="K147" s="638" t="s">
        <v>2787</v>
      </c>
      <c r="L147" s="638"/>
      <c r="M147" s="449"/>
      <c r="N147" s="638"/>
      <c r="O147" s="638"/>
      <c r="P147" s="638"/>
      <c r="Q147" s="638"/>
      <c r="R147" s="638"/>
      <c r="S147" s="484">
        <f t="shared" ref="S147" si="70">AG148-AG146</f>
        <v>48</v>
      </c>
      <c r="T147" s="638"/>
      <c r="U147" s="638"/>
      <c r="V147" s="638"/>
      <c r="W147" s="638"/>
      <c r="X147" s="638"/>
      <c r="Y147" s="638"/>
      <c r="Z147" s="638"/>
      <c r="AA147" s="638"/>
      <c r="AB147" s="638"/>
      <c r="AC147" s="1239"/>
      <c r="AD147" s="638"/>
      <c r="AE147" s="638"/>
      <c r="AF147" s="638"/>
      <c r="AG147" s="446"/>
      <c r="AH147" s="638"/>
      <c r="AI147" s="638"/>
      <c r="AJ147" s="638"/>
      <c r="AK147" s="638"/>
      <c r="AL147" s="638"/>
      <c r="AM147" s="638"/>
      <c r="AN147" s="455"/>
      <c r="AO147" s="1239"/>
      <c r="AP147" s="1239"/>
      <c r="AQ147" s="484">
        <f>+FL_1($U$148,$T$146,$G$147,1200,9.28,-1*$F$148)</f>
        <v>0.28209612199999989</v>
      </c>
      <c r="AR147" s="484"/>
      <c r="AS147" s="484"/>
      <c r="AT147" s="484"/>
      <c r="AU147" s="638"/>
      <c r="AV147" s="638"/>
      <c r="AW147" s="638" t="str">
        <f>VLOOKUP(J147,'Foundation Calculation'!$A$2:$C$33,3,1)</f>
        <v>Soil B</v>
      </c>
      <c r="AX147" s="572" t="str">
        <f>VLOOKUP(J147,'Foundation Calculation'!$E$2:$G$33,3,1)</f>
        <v>PT</v>
      </c>
      <c r="AY147" s="484"/>
      <c r="AZ147" s="484">
        <f>IF(AX147="PT",VLOOKUP(K147,'Foundation Calculation'!$K$2:$R$40,VLOOKUP(AW147,'Foundation Calculation'!$I$2:$J$8,2,FALSE),0),IF(AX147="K",VLOOKUP(K147,'Foundation Calculation'!$K$42:$R$80,VLOOKUP(AW147,'Foundation Calculation'!$I$2:$J$8,2,FALSE),0),""))</f>
        <v>3.9</v>
      </c>
      <c r="BA147" s="671" t="s">
        <v>2809</v>
      </c>
      <c r="BB147" s="449"/>
      <c r="BC147" s="169"/>
      <c r="BD147" s="1329"/>
      <c r="BE147" s="1330"/>
      <c r="BF147" s="1330"/>
      <c r="BG147" s="1330"/>
    </row>
    <row r="148" spans="1:59" ht="15.75" customHeight="1">
      <c r="A148" s="449"/>
      <c r="B148" s="435" t="s">
        <v>3245</v>
      </c>
      <c r="C148" s="446">
        <f>+$C$146+$G$147</f>
        <v>88593.85</v>
      </c>
      <c r="D148" s="173"/>
      <c r="E148" s="447"/>
      <c r="F148" s="447">
        <v>0</v>
      </c>
      <c r="G148" s="484"/>
      <c r="H148" s="1239" t="s">
        <v>5060</v>
      </c>
      <c r="I148" s="1239" t="s">
        <v>624</v>
      </c>
      <c r="J148" s="171">
        <f>C148-7.5</f>
        <v>88586.35</v>
      </c>
      <c r="K148" s="638" t="s">
        <v>2788</v>
      </c>
      <c r="L148" s="638" t="s">
        <v>4664</v>
      </c>
      <c r="M148" s="638" t="str">
        <f>IF(AX148="PT",VLOOKUP(L148,'Foundation Calculation'!$V$2:$X$40,VLOOKUP(AX148,'Foundation Calculation'!$I$10:$J$13,2,FALSE),0),IF(AX148="K",VLOOKUP(L148,'Foundation Calculation'!$V$42:$X$80,VLOOKUP(AX148,'Foundation Calculation'!$I$10:$J$13,2,FALSE),0),""))</f>
        <v>C11R</v>
      </c>
      <c r="N148" s="1239" t="s">
        <v>140</v>
      </c>
      <c r="O148" s="1239" t="s">
        <v>143</v>
      </c>
      <c r="P148" s="1239"/>
      <c r="Q148" s="638">
        <v>0</v>
      </c>
      <c r="R148" s="638">
        <v>0</v>
      </c>
      <c r="S148" s="484"/>
      <c r="T148" s="1353">
        <v>35</v>
      </c>
      <c r="U148" s="1353">
        <v>-15</v>
      </c>
      <c r="V148" s="1353"/>
      <c r="W148" s="1353">
        <v>1.4</v>
      </c>
      <c r="X148" s="1353">
        <v>1.8</v>
      </c>
      <c r="Y148" s="1353"/>
      <c r="Z148" s="1353">
        <v>0.6</v>
      </c>
      <c r="AA148" s="1353"/>
      <c r="AB148" s="1353"/>
      <c r="AC148" s="1353" t="s">
        <v>4090</v>
      </c>
      <c r="AD148" s="1353"/>
      <c r="AE148" s="1353"/>
      <c r="AF148" s="1353">
        <v>6000</v>
      </c>
      <c r="AG148" s="1360">
        <v>88593</v>
      </c>
      <c r="AH148" s="1353">
        <v>3313</v>
      </c>
      <c r="AI148" s="1353">
        <v>640</v>
      </c>
      <c r="AJ148" s="638"/>
      <c r="AK148" s="638"/>
      <c r="AL148" s="638" t="s">
        <v>2143</v>
      </c>
      <c r="AM148" s="638" t="s">
        <v>1042</v>
      </c>
      <c r="AN148" s="455">
        <v>5.5</v>
      </c>
      <c r="AO148" s="1239"/>
      <c r="AP148" s="1239"/>
      <c r="AQ148" s="484"/>
      <c r="AR148" s="484"/>
      <c r="AS148" s="484"/>
      <c r="AT148" s="484">
        <f>+ab($U$148,$T$146,$U$150,$G$147,$G$149,-1*$F$148,1200)</f>
        <v>-29.823712888705057</v>
      </c>
      <c r="AU148" s="638"/>
      <c r="AV148" s="638"/>
      <c r="AW148" s="638" t="str">
        <f>VLOOKUP(C148,'Foundation Calculation'!$A$2:$C$33,3,1)</f>
        <v>Soil B</v>
      </c>
      <c r="AX148" s="638" t="str">
        <f>VLOOKUP(C148,'Foundation Calculation'!$E$2:$G$33,3,1)</f>
        <v>PT</v>
      </c>
      <c r="AY148" s="484">
        <f>IF(AX148="PT",VLOOKUP(L148,'Foundation Calculation'!$K$2:$R$40,VLOOKUP(AW148,'Foundation Calculation'!$I$2:$J$8,2,FALSE),0),IF(AX148="K",VLOOKUP(L148,'Foundation Calculation'!$K$42:$R$80,VLOOKUP(AW148,'Foundation Calculation'!$I$2:$J$8,2,FALSE),0),""))</f>
        <v>4.4000000000000004</v>
      </c>
      <c r="AZ148" s="484"/>
      <c r="BA148" s="671" t="s">
        <v>2809</v>
      </c>
      <c r="BB148" s="449" t="str">
        <f>Pole_Calculations!A178</f>
        <v>App.8-V08F-P10.3</v>
      </c>
      <c r="BC148" s="169"/>
      <c r="BD148" s="1329"/>
      <c r="BE148" s="1329"/>
      <c r="BF148" s="1329"/>
      <c r="BG148" s="1329"/>
    </row>
    <row r="149" spans="1:59" ht="15.75" customHeight="1">
      <c r="A149" s="449"/>
      <c r="B149" s="445"/>
      <c r="C149" s="446"/>
      <c r="D149" s="638"/>
      <c r="E149" s="638"/>
      <c r="F149" s="447"/>
      <c r="G149" s="484">
        <v>34.5</v>
      </c>
      <c r="H149" s="1239"/>
      <c r="I149" s="448">
        <f>C168-C148</f>
        <v>442.69999999999709</v>
      </c>
      <c r="J149" s="446"/>
      <c r="K149" s="638"/>
      <c r="L149" s="638"/>
      <c r="M149" s="449"/>
      <c r="N149" s="638"/>
      <c r="O149" s="638"/>
      <c r="P149" s="638"/>
      <c r="Q149" s="638"/>
      <c r="R149" s="638"/>
      <c r="S149" s="484">
        <f t="shared" ref="S149" si="71">AG150-AG148</f>
        <v>35</v>
      </c>
      <c r="T149" s="638"/>
      <c r="U149" s="638"/>
      <c r="V149" s="638"/>
      <c r="W149" s="638"/>
      <c r="X149" s="638"/>
      <c r="Y149" s="638"/>
      <c r="Z149" s="638"/>
      <c r="AA149" s="638"/>
      <c r="AB149" s="638"/>
      <c r="AC149" s="1239"/>
      <c r="AD149" s="638"/>
      <c r="AE149" s="638"/>
      <c r="AF149" s="638"/>
      <c r="AG149" s="446"/>
      <c r="AH149" s="638"/>
      <c r="AI149" s="638"/>
      <c r="AJ149" s="638"/>
      <c r="AK149" s="638"/>
      <c r="AL149" s="638"/>
      <c r="AM149" s="638"/>
      <c r="AN149" s="455"/>
      <c r="AO149" s="1239"/>
      <c r="AP149" s="1239"/>
      <c r="AQ149" s="484">
        <f>+FL_1($U$150,$U$148,$G$149,1200,9.28,-1*$F$150)</f>
        <v>-5.858448973913042E-2</v>
      </c>
      <c r="AR149" s="484"/>
      <c r="AS149" s="484"/>
      <c r="AT149" s="484"/>
      <c r="AU149" s="638"/>
      <c r="AV149" s="638"/>
      <c r="AW149" s="638"/>
      <c r="AX149" s="638"/>
      <c r="AY149" s="484"/>
      <c r="AZ149" s="484"/>
      <c r="BA149" s="671"/>
      <c r="BB149" s="449"/>
      <c r="BC149" s="169"/>
      <c r="BD149" s="1330"/>
      <c r="BE149" s="1330"/>
      <c r="BF149" s="1330"/>
      <c r="BG149" s="1330"/>
    </row>
    <row r="150" spans="1:59" ht="15.75" customHeight="1">
      <c r="A150" s="449"/>
      <c r="B150" s="435" t="s">
        <v>3246</v>
      </c>
      <c r="C150" s="446">
        <f>+$C$148+$G$149</f>
        <v>88628.35</v>
      </c>
      <c r="D150" s="173"/>
      <c r="E150" s="447"/>
      <c r="F150" s="447">
        <v>0</v>
      </c>
      <c r="G150" s="484"/>
      <c r="H150" s="1239" t="s">
        <v>619</v>
      </c>
      <c r="I150" s="1239"/>
      <c r="J150" s="171"/>
      <c r="K150" s="638"/>
      <c r="L150" s="638" t="s">
        <v>4664</v>
      </c>
      <c r="M150" s="638" t="str">
        <f>IF(AX150="PT",VLOOKUP(L150,'Foundation Calculation'!$V$2:$X$40,VLOOKUP(AX150,'Foundation Calculation'!$I$10:$J$13,2,FALSE),0),IF(AX150="K",VLOOKUP(L150,'Foundation Calculation'!$V$42:$X$80,VLOOKUP(AX150,'Foundation Calculation'!$I$10:$J$13,2,FALSE),0),""))</f>
        <v>C11R</v>
      </c>
      <c r="N150" s="1239" t="s">
        <v>140</v>
      </c>
      <c r="O150" s="1239" t="s">
        <v>143</v>
      </c>
      <c r="P150" s="1239"/>
      <c r="Q150" s="638">
        <v>0</v>
      </c>
      <c r="R150" s="638">
        <v>0</v>
      </c>
      <c r="S150" s="484"/>
      <c r="T150" s="1353">
        <v>-55</v>
      </c>
      <c r="U150" s="1353">
        <v>-20</v>
      </c>
      <c r="V150" s="1353"/>
      <c r="W150" s="1353">
        <v>2</v>
      </c>
      <c r="X150" s="1353">
        <v>1.4</v>
      </c>
      <c r="Y150" s="1353"/>
      <c r="Z150" s="1353">
        <v>0.4</v>
      </c>
      <c r="AA150" s="1353"/>
      <c r="AB150" s="1353"/>
      <c r="AC150" s="1353"/>
      <c r="AD150" s="1353"/>
      <c r="AE150" s="1353"/>
      <c r="AF150" s="1353">
        <v>6000</v>
      </c>
      <c r="AG150" s="1360">
        <v>88628</v>
      </c>
      <c r="AH150" s="1353">
        <v>2683</v>
      </c>
      <c r="AI150" s="1353">
        <v>523</v>
      </c>
      <c r="AJ150" s="638"/>
      <c r="AK150" s="638"/>
      <c r="AL150" s="638" t="s">
        <v>2143</v>
      </c>
      <c r="AM150" s="638" t="s">
        <v>1042</v>
      </c>
      <c r="AN150" s="455">
        <v>5.5</v>
      </c>
      <c r="AO150" s="1239"/>
      <c r="AP150" s="1239"/>
      <c r="AQ150" s="484"/>
      <c r="AR150" s="484"/>
      <c r="AS150" s="484"/>
      <c r="AT150" s="484">
        <f>+ab($U$150,$U$148,$U$152,$G$149,$G$151,-1*$F$150,1200)</f>
        <v>-13.764922280682887</v>
      </c>
      <c r="AU150" s="638"/>
      <c r="AV150" s="638"/>
      <c r="AW150" s="638" t="str">
        <f>VLOOKUP(C150,'Foundation Calculation'!$A$2:$C$33,3,1)</f>
        <v>Soil B</v>
      </c>
      <c r="AX150" s="638" t="str">
        <f>VLOOKUP(C150,'Foundation Calculation'!$E$2:$G$33,3,1)</f>
        <v>PT</v>
      </c>
      <c r="AY150" s="484">
        <f>IF(AX150="PT",VLOOKUP(L150,'Foundation Calculation'!$K$2:$R$40,VLOOKUP(AW150,'Foundation Calculation'!$I$2:$J$8,2,FALSE),0),IF(AX150="K",VLOOKUP(L150,'Foundation Calculation'!$K$42:$R$80,VLOOKUP(AW150,'Foundation Calculation'!$I$2:$J$8,2,FALSE),0),""))</f>
        <v>4.4000000000000004</v>
      </c>
      <c r="AZ150" s="484"/>
      <c r="BA150" s="671" t="s">
        <v>2809</v>
      </c>
      <c r="BB150" s="449" t="str">
        <f>Pole_Calculations!A178</f>
        <v>App.8-V08F-P10.3</v>
      </c>
      <c r="BC150" s="169"/>
      <c r="BD150" s="1329"/>
      <c r="BE150" s="1329"/>
      <c r="BF150" s="1329"/>
      <c r="BG150" s="1329"/>
    </row>
    <row r="151" spans="1:59" ht="15.65" customHeight="1">
      <c r="A151" s="449"/>
      <c r="B151" s="445"/>
      <c r="C151" s="446"/>
      <c r="D151" s="638"/>
      <c r="E151" s="638"/>
      <c r="F151" s="447"/>
      <c r="G151" s="484">
        <v>45</v>
      </c>
      <c r="H151" s="1239"/>
      <c r="I151" s="448"/>
      <c r="J151" s="446"/>
      <c r="K151" s="638"/>
      <c r="L151" s="638"/>
      <c r="M151" s="449"/>
      <c r="N151" s="638"/>
      <c r="O151" s="638"/>
      <c r="P151" s="638"/>
      <c r="Q151" s="638"/>
      <c r="R151" s="638"/>
      <c r="S151" s="484">
        <f t="shared" ref="S151" si="72">AG152-AG150</f>
        <v>45</v>
      </c>
      <c r="T151" s="638"/>
      <c r="U151" s="638"/>
      <c r="V151" s="638"/>
      <c r="W151" s="638"/>
      <c r="X151" s="638"/>
      <c r="Y151" s="638"/>
      <c r="Z151" s="638"/>
      <c r="AA151" s="638"/>
      <c r="AB151" s="638"/>
      <c r="AC151" s="1239"/>
      <c r="AD151" s="638"/>
      <c r="AE151" s="638"/>
      <c r="AF151" s="638"/>
      <c r="AG151" s="446"/>
      <c r="AH151" s="638"/>
      <c r="AI151" s="638"/>
      <c r="AJ151" s="638"/>
      <c r="AK151" s="638"/>
      <c r="AL151" s="638"/>
      <c r="AM151" s="638"/>
      <c r="AN151" s="455"/>
      <c r="AO151" s="1239"/>
      <c r="AP151" s="1239"/>
      <c r="AQ151" s="484">
        <f>+FL_2($U$152,$U$150,$G$151,1200,9.28,-1*$F$152)</f>
        <v>-0.21733364444444445</v>
      </c>
      <c r="AR151" s="484"/>
      <c r="AS151" s="484"/>
      <c r="AT151" s="484"/>
      <c r="AU151" s="638"/>
      <c r="AV151" s="638"/>
      <c r="AW151" s="638"/>
      <c r="AX151" s="572"/>
      <c r="AY151" s="484"/>
      <c r="AZ151" s="484" t="str">
        <f>IF(AX151="PT",VLOOKUP(K151,'Foundation Calculation'!$K$2:$R$40,VLOOKUP(AW151,'Foundation Calculation'!$I$2:$J$8,2,FALSE),0),IF(AX151="K",VLOOKUP(K151,'Foundation Calculation'!$K$42:$R$80,VLOOKUP(AW151,'Foundation Calculation'!$I$2:$J$8,2,FALSE),0),""))</f>
        <v/>
      </c>
      <c r="BA151" s="671"/>
      <c r="BB151" s="449"/>
      <c r="BC151" s="169"/>
      <c r="BD151" s="1329"/>
      <c r="BE151" s="1330"/>
      <c r="BF151" s="1330"/>
      <c r="BG151" s="1330"/>
    </row>
    <row r="152" spans="1:59" ht="15.65" customHeight="1">
      <c r="A152" s="449"/>
      <c r="B152" s="435" t="s">
        <v>3247</v>
      </c>
      <c r="C152" s="446">
        <f>+$C$150+$G$151</f>
        <v>88673.35</v>
      </c>
      <c r="D152" s="173"/>
      <c r="E152" s="447"/>
      <c r="F152" s="447">
        <v>0</v>
      </c>
      <c r="G152" s="484"/>
      <c r="H152" s="1239" t="s">
        <v>5061</v>
      </c>
      <c r="I152" s="1239"/>
      <c r="J152" s="171"/>
      <c r="K152" s="638"/>
      <c r="L152" s="638" t="s">
        <v>4664</v>
      </c>
      <c r="M152" s="638" t="str">
        <f>IF(AX152="PT",VLOOKUP(L152,'Foundation Calculation'!$V$2:$X$40,VLOOKUP(AX152,'Foundation Calculation'!$I$10:$J$13,2,FALSE),0),IF(AX152="K",VLOOKUP(L152,'Foundation Calculation'!$V$42:$X$80,VLOOKUP(AX152,'Foundation Calculation'!$I$10:$J$13,2,FALSE),0),""))</f>
        <v>C11R</v>
      </c>
      <c r="N152" s="1239" t="s">
        <v>143</v>
      </c>
      <c r="O152" s="1239" t="s">
        <v>144</v>
      </c>
      <c r="P152" s="1239"/>
      <c r="Q152" s="638">
        <v>0</v>
      </c>
      <c r="R152" s="638">
        <v>0</v>
      </c>
      <c r="S152" s="484"/>
      <c r="T152" s="1353">
        <v>25</v>
      </c>
      <c r="U152" s="1353">
        <v>35</v>
      </c>
      <c r="V152" s="1353"/>
      <c r="W152" s="1353">
        <v>2</v>
      </c>
      <c r="X152" s="1353">
        <v>1.4</v>
      </c>
      <c r="Y152" s="1353"/>
      <c r="Z152" s="1353"/>
      <c r="AA152" s="1353"/>
      <c r="AB152" s="1353"/>
      <c r="AC152" s="1353" t="s">
        <v>4090</v>
      </c>
      <c r="AD152" s="1353"/>
      <c r="AE152" s="1353"/>
      <c r="AF152" s="1353">
        <v>6000</v>
      </c>
      <c r="AG152" s="1360">
        <v>88673</v>
      </c>
      <c r="AH152" s="1353">
        <v>2573</v>
      </c>
      <c r="AI152" s="1353">
        <v>450</v>
      </c>
      <c r="AJ152" s="1353" t="s">
        <v>4090</v>
      </c>
      <c r="AK152" s="638"/>
      <c r="AL152" s="638" t="s">
        <v>2143</v>
      </c>
      <c r="AM152" s="638" t="s">
        <v>1042</v>
      </c>
      <c r="AN152" s="455">
        <v>5.5</v>
      </c>
      <c r="AO152" s="1239"/>
      <c r="AP152" s="1239"/>
      <c r="AQ152" s="484"/>
      <c r="AR152" s="484"/>
      <c r="AS152" s="484"/>
      <c r="AT152" s="484">
        <f>+ab($U$152,$U$150,$T$156,$G$151,$G$155,-1*$F$152,1200)</f>
        <v>7.993484428668288</v>
      </c>
      <c r="AU152" s="638"/>
      <c r="AV152" s="638"/>
      <c r="AW152" s="638" t="str">
        <f>VLOOKUP(C152,'Foundation Calculation'!$A$2:$C$33,3,1)</f>
        <v>Soil B</v>
      </c>
      <c r="AX152" s="638" t="str">
        <f>VLOOKUP(C152,'Foundation Calculation'!$E$2:$G$33,3,1)</f>
        <v>PT</v>
      </c>
      <c r="AY152" s="484">
        <f>IF(AX152="PT",VLOOKUP(L152,'Foundation Calculation'!$K$2:$R$40,VLOOKUP(AW152,'Foundation Calculation'!$I$2:$J$8,2,FALSE),0),IF(AX152="K",VLOOKUP(L152,'Foundation Calculation'!$K$42:$R$80,VLOOKUP(AW152,'Foundation Calculation'!$I$2:$J$8,2,FALSE),0),""))</f>
        <v>4.4000000000000004</v>
      </c>
      <c r="AZ152" s="484"/>
      <c r="BA152" s="671" t="s">
        <v>2809</v>
      </c>
      <c r="BB152" s="449" t="str">
        <f>Pole_Calculations!A178</f>
        <v>App.8-V08F-P10.3</v>
      </c>
      <c r="BC152" s="169"/>
      <c r="BD152" s="1329"/>
      <c r="BE152" s="1329"/>
      <c r="BF152" s="1329"/>
      <c r="BG152" s="1329"/>
    </row>
    <row r="153" spans="1:59" ht="15.75" customHeight="1">
      <c r="A153" s="449"/>
      <c r="B153" s="435"/>
      <c r="C153" s="446"/>
      <c r="D153" s="173"/>
      <c r="E153" s="447"/>
      <c r="F153" s="447"/>
      <c r="G153" s="484">
        <v>49.3</v>
      </c>
      <c r="H153" s="1239"/>
      <c r="I153" s="1239"/>
      <c r="J153" s="171"/>
      <c r="K153" s="638"/>
      <c r="L153" s="638"/>
      <c r="M153" s="638"/>
      <c r="N153" s="1239"/>
      <c r="O153" s="1239"/>
      <c r="P153" s="1239"/>
      <c r="Q153" s="638"/>
      <c r="R153" s="638"/>
      <c r="S153" s="484"/>
      <c r="T153" s="1353"/>
      <c r="U153" s="1353"/>
      <c r="V153" s="1353"/>
      <c r="W153" s="1353"/>
      <c r="X153" s="1353"/>
      <c r="Y153" s="1353"/>
      <c r="Z153" s="1353"/>
      <c r="AA153" s="1353"/>
      <c r="AB153" s="1353"/>
      <c r="AC153" s="1353"/>
      <c r="AD153" s="1353"/>
      <c r="AE153" s="1353"/>
      <c r="AF153" s="1353"/>
      <c r="AG153" s="1360"/>
      <c r="AH153" s="1353"/>
      <c r="AI153" s="1353"/>
      <c r="AJ153" s="638"/>
      <c r="AK153" s="638"/>
      <c r="AL153" s="638"/>
      <c r="AM153" s="638"/>
      <c r="AN153" s="455"/>
      <c r="AO153" s="1239"/>
      <c r="AP153" s="1239"/>
      <c r="AQ153" s="484"/>
      <c r="AR153" s="484"/>
      <c r="AS153" s="484"/>
      <c r="AT153" s="484"/>
      <c r="AU153" s="638"/>
      <c r="AV153" s="638"/>
      <c r="AW153" s="638"/>
      <c r="AX153" s="638"/>
      <c r="AY153" s="484"/>
      <c r="AZ153" s="484"/>
      <c r="BA153" s="671"/>
      <c r="BB153" s="449"/>
      <c r="BC153" s="169"/>
      <c r="BD153" s="1329"/>
      <c r="BE153" s="1329"/>
      <c r="BF153" s="1329"/>
      <c r="BG153" s="1329"/>
    </row>
    <row r="154" spans="1:59" ht="15.75" customHeight="1">
      <c r="A154" s="449"/>
      <c r="B154" s="435" t="s">
        <v>5062</v>
      </c>
      <c r="C154" s="446">
        <f>C152+G153</f>
        <v>88722.650000000009</v>
      </c>
      <c r="D154" s="173"/>
      <c r="E154" s="447"/>
      <c r="F154" s="447">
        <v>0</v>
      </c>
      <c r="G154" s="484"/>
      <c r="H154" s="1239"/>
      <c r="I154" s="1239"/>
      <c r="J154" s="171"/>
      <c r="K154" s="638"/>
      <c r="L154" s="638" t="s">
        <v>2141</v>
      </c>
      <c r="M154" s="638" t="str">
        <f>IF(AX154="PT",VLOOKUP(L154,'Foundation Calculation'!$V$2:$X$40,VLOOKUP(AX154,'Foundation Calculation'!$I$10:$J$13,2,FALSE),0),IF(AX154="K",VLOOKUP(L154,'Foundation Calculation'!$V$42:$X$80,VLOOKUP(AX154,'Foundation Calculation'!$I$10:$J$13,2,FALSE),0),""))</f>
        <v>C9R</v>
      </c>
      <c r="N154" s="1239" t="s">
        <v>642</v>
      </c>
      <c r="O154" s="1239"/>
      <c r="P154" s="1239"/>
      <c r="Q154" s="638"/>
      <c r="R154" s="638"/>
      <c r="S154" s="484"/>
      <c r="T154" s="1353" t="s">
        <v>642</v>
      </c>
      <c r="U154" s="1353"/>
      <c r="V154" s="1353"/>
      <c r="W154" s="1353" t="s">
        <v>642</v>
      </c>
      <c r="X154" s="1353"/>
      <c r="Y154" s="1353"/>
      <c r="Z154" s="1353"/>
      <c r="AA154" s="1353"/>
      <c r="AB154" s="1353"/>
      <c r="AC154" s="1353"/>
      <c r="AD154" s="1353"/>
      <c r="AE154" s="1353"/>
      <c r="AF154" s="1353"/>
      <c r="AG154" s="1360"/>
      <c r="AH154" s="1353"/>
      <c r="AI154" s="1353"/>
      <c r="AJ154" s="638"/>
      <c r="AK154" s="638"/>
      <c r="AL154" s="638" t="s">
        <v>828</v>
      </c>
      <c r="AM154" s="638" t="s">
        <v>1042</v>
      </c>
      <c r="AN154" s="455" t="s">
        <v>642</v>
      </c>
      <c r="AO154" s="1239"/>
      <c r="AP154" s="1239"/>
      <c r="AQ154" s="484"/>
      <c r="AR154" s="484"/>
      <c r="AS154" s="484"/>
      <c r="AT154" s="484"/>
      <c r="AU154" s="638"/>
      <c r="AV154" s="638"/>
      <c r="AW154" s="638" t="str">
        <f>VLOOKUP(C154,'Foundation Calculation'!$A$2:$C$33,3,1)</f>
        <v>Soil B</v>
      </c>
      <c r="AX154" s="638" t="str">
        <f>VLOOKUP(C154,'Foundation Calculation'!$E$2:$G$33,3,1)</f>
        <v>PT</v>
      </c>
      <c r="AY154" s="484">
        <f>IF(AX154="PT",VLOOKUP(L154,'Foundation Calculation'!$K$2:$R$40,VLOOKUP(AW154,'Foundation Calculation'!$I$2:$J$8,2,FALSE),0),IF(AX154="K",VLOOKUP(L154,'Foundation Calculation'!$K$42:$R$80,VLOOKUP(AW154,'Foundation Calculation'!$I$2:$J$8,2,FALSE),0),""))</f>
        <v>4.5999999999999996</v>
      </c>
      <c r="AZ154" s="484"/>
      <c r="BA154" s="671" t="s">
        <v>2809</v>
      </c>
      <c r="BB154" s="449" t="s">
        <v>5063</v>
      </c>
      <c r="BC154" s="169"/>
      <c r="BD154" s="1329"/>
      <c r="BE154" s="1329"/>
      <c r="BF154" s="1329"/>
      <c r="BG154" s="1329"/>
    </row>
    <row r="155" spans="1:59" ht="15.75" customHeight="1">
      <c r="A155" s="449"/>
      <c r="B155" s="445"/>
      <c r="C155" s="446"/>
      <c r="D155" s="638"/>
      <c r="E155" s="638"/>
      <c r="F155" s="447"/>
      <c r="G155" s="484">
        <v>60.2</v>
      </c>
      <c r="H155" s="1239"/>
      <c r="I155" s="448"/>
      <c r="J155" s="446"/>
      <c r="K155" s="638"/>
      <c r="L155" s="1239"/>
      <c r="M155" s="449"/>
      <c r="N155" s="638"/>
      <c r="O155" s="638"/>
      <c r="P155" s="638"/>
      <c r="Q155" s="638"/>
      <c r="R155" s="638"/>
      <c r="S155" s="484">
        <f>AG156-AG152</f>
        <v>60</v>
      </c>
      <c r="T155" s="638"/>
      <c r="U155" s="638"/>
      <c r="V155" s="638"/>
      <c r="W155" s="638"/>
      <c r="X155" s="638"/>
      <c r="Y155" s="638"/>
      <c r="Z155" s="638"/>
      <c r="AA155" s="638"/>
      <c r="AB155" s="638"/>
      <c r="AC155" s="1239"/>
      <c r="AD155" s="638"/>
      <c r="AE155" s="638"/>
      <c r="AF155" s="638"/>
      <c r="AG155" s="446"/>
      <c r="AH155" s="638"/>
      <c r="AI155" s="638"/>
      <c r="AJ155" s="638"/>
      <c r="AK155" s="638"/>
      <c r="AL155" s="1239"/>
      <c r="AM155" s="1239"/>
      <c r="AN155" s="455"/>
      <c r="AO155" s="1239"/>
      <c r="AP155" s="1239"/>
      <c r="AQ155" s="484">
        <f>+FL_1($T$156,$U$152,$G$155,1200,9.28,-1*$F$156)</f>
        <v>0.43774296893023262</v>
      </c>
      <c r="AR155" s="484"/>
      <c r="AS155" s="484"/>
      <c r="AT155" s="484"/>
      <c r="AU155" s="638"/>
      <c r="AV155" s="638"/>
      <c r="AW155" s="638"/>
      <c r="AX155" s="638"/>
      <c r="AY155" s="484"/>
      <c r="AZ155" s="484"/>
      <c r="BA155" s="671"/>
      <c r="BB155" s="449"/>
      <c r="BC155" s="169"/>
      <c r="BD155" s="1330"/>
      <c r="BE155" s="1330"/>
      <c r="BF155" s="1330"/>
      <c r="BG155" s="1330"/>
    </row>
    <row r="156" spans="1:59" ht="15.75" customHeight="1">
      <c r="A156" s="449"/>
      <c r="B156" s="435" t="s">
        <v>3248</v>
      </c>
      <c r="C156" s="446">
        <f>+$C$152+$G$155</f>
        <v>88733.55</v>
      </c>
      <c r="D156" s="173"/>
      <c r="E156" s="447"/>
      <c r="F156" s="447">
        <v>0</v>
      </c>
      <c r="G156" s="484"/>
      <c r="H156" s="1239" t="s">
        <v>619</v>
      </c>
      <c r="I156" s="1239"/>
      <c r="J156" s="171"/>
      <c r="K156" s="638"/>
      <c r="L156" s="638" t="s">
        <v>4664</v>
      </c>
      <c r="M156" s="638" t="str">
        <f>IF(AX156="PT",VLOOKUP(L156,'Foundation Calculation'!$V$2:$X$40,VLOOKUP(AX156,'Foundation Calculation'!$I$10:$J$13,2,FALSE),0),IF(AX156="K",VLOOKUP(L156,'Foundation Calculation'!$V$42:$X$80,VLOOKUP(AX156,'Foundation Calculation'!$I$10:$J$13,2,FALSE),0),""))</f>
        <v>C11R</v>
      </c>
      <c r="N156" s="1239" t="s">
        <v>143</v>
      </c>
      <c r="O156" s="1239"/>
      <c r="P156" s="1239"/>
      <c r="Q156" s="638">
        <v>0</v>
      </c>
      <c r="R156" s="638">
        <v>0</v>
      </c>
      <c r="S156" s="484"/>
      <c r="T156" s="1353">
        <v>-35</v>
      </c>
      <c r="U156" s="1353"/>
      <c r="V156" s="1353"/>
      <c r="W156" s="1353">
        <v>1.4</v>
      </c>
      <c r="X156" s="1353"/>
      <c r="Y156" s="1353"/>
      <c r="Z156" s="1353"/>
      <c r="AA156" s="1353"/>
      <c r="AB156" s="1353"/>
      <c r="AC156" s="1353" t="s">
        <v>1421</v>
      </c>
      <c r="AD156" s="1353"/>
      <c r="AE156" s="1353"/>
      <c r="AF156" s="1353">
        <v>6000</v>
      </c>
      <c r="AG156" s="1360">
        <v>88733</v>
      </c>
      <c r="AH156" s="1353">
        <v>2593</v>
      </c>
      <c r="AI156" s="1353">
        <v>645</v>
      </c>
      <c r="AJ156" s="638"/>
      <c r="AK156" s="638"/>
      <c r="AL156" s="638" t="s">
        <v>2143</v>
      </c>
      <c r="AM156" s="638" t="s">
        <v>1042</v>
      </c>
      <c r="AN156" s="455">
        <v>5.5</v>
      </c>
      <c r="AO156" s="1239"/>
      <c r="AP156" s="1239"/>
      <c r="AQ156" s="484"/>
      <c r="AR156" s="484"/>
      <c r="AS156" s="484"/>
      <c r="AT156" s="484">
        <f>+ab($T$156,$U$152,$T$158,$G$155,$G$157,-1*$F$156,1200)</f>
        <v>-7.7482240802375513</v>
      </c>
      <c r="AU156" s="638"/>
      <c r="AV156" s="638"/>
      <c r="AW156" s="638" t="str">
        <f>VLOOKUP(C156,'Foundation Calculation'!$A$2:$C$33,3,1)</f>
        <v>Soil B</v>
      </c>
      <c r="AX156" s="638" t="str">
        <f>VLOOKUP(C156,'Foundation Calculation'!$E$2:$G$33,3,1)</f>
        <v>PT</v>
      </c>
      <c r="AY156" s="484">
        <f>IF(AX156="PT",VLOOKUP(L156,'Foundation Calculation'!$K$2:$R$40,VLOOKUP(AW156,'Foundation Calculation'!$I$2:$J$8,2,FALSE),0),IF(AX156="K",VLOOKUP(L156,'Foundation Calculation'!$K$42:$R$80,VLOOKUP(AW156,'Foundation Calculation'!$I$2:$J$8,2,FALSE),0),""))</f>
        <v>4.4000000000000004</v>
      </c>
      <c r="AZ156" s="484"/>
      <c r="BA156" s="671" t="s">
        <v>2809</v>
      </c>
      <c r="BB156" s="449" t="str">
        <f>Pole_Calculations!A178</f>
        <v>App.8-V08F-P10.3</v>
      </c>
      <c r="BC156" s="169"/>
      <c r="BD156" s="1329"/>
      <c r="BE156" s="1329"/>
      <c r="BF156" s="1329"/>
      <c r="BG156" s="1329"/>
    </row>
    <row r="157" spans="1:59" ht="15.75" customHeight="1">
      <c r="A157" s="449"/>
      <c r="B157" s="445"/>
      <c r="C157" s="446"/>
      <c r="D157" s="638"/>
      <c r="E157" s="638"/>
      <c r="F157" s="447"/>
      <c r="G157" s="484">
        <v>53.9</v>
      </c>
      <c r="H157" s="1239"/>
      <c r="I157" s="448"/>
      <c r="J157" s="446"/>
      <c r="K157" s="638"/>
      <c r="L157" s="638"/>
      <c r="M157" s="449"/>
      <c r="N157" s="638"/>
      <c r="O157" s="638"/>
      <c r="P157" s="638"/>
      <c r="Q157" s="638"/>
      <c r="R157" s="638"/>
      <c r="S157" s="484">
        <f t="shared" ref="S157" si="73">AG158-AG156</f>
        <v>54</v>
      </c>
      <c r="T157" s="638"/>
      <c r="U157" s="638"/>
      <c r="V157" s="638"/>
      <c r="W157" s="638"/>
      <c r="X157" s="638"/>
      <c r="Y157" s="638"/>
      <c r="Z157" s="638"/>
      <c r="AA157" s="638"/>
      <c r="AB157" s="638"/>
      <c r="AC157" s="1239"/>
      <c r="AD157" s="638"/>
      <c r="AE157" s="638"/>
      <c r="AF157" s="638"/>
      <c r="AG157" s="446"/>
      <c r="AH157" s="638"/>
      <c r="AI157" s="638"/>
      <c r="AJ157" s="638"/>
      <c r="AK157" s="638"/>
      <c r="AL157" s="638"/>
      <c r="AM157" s="638"/>
      <c r="AN157" s="455"/>
      <c r="AO157" s="1239"/>
      <c r="AP157" s="1239"/>
      <c r="AQ157" s="484">
        <f>+FL_1($T$158,$T$156,$G$157,1200,9.28,-1*$F$158)</f>
        <v>0.38988599605194801</v>
      </c>
      <c r="AR157" s="484"/>
      <c r="AS157" s="484"/>
      <c r="AT157" s="484"/>
      <c r="AU157" s="638"/>
      <c r="AV157" s="638"/>
      <c r="AW157" s="638"/>
      <c r="AX157" s="638"/>
      <c r="AY157" s="484"/>
      <c r="AZ157" s="484"/>
      <c r="BA157" s="671"/>
      <c r="BB157" s="449"/>
      <c r="BC157" s="169"/>
      <c r="BD157" s="1330"/>
      <c r="BE157" s="1330"/>
      <c r="BF157" s="1330"/>
      <c r="BG157" s="1330"/>
    </row>
    <row r="158" spans="1:59" ht="15.75" customHeight="1">
      <c r="A158" s="449"/>
      <c r="B158" s="435" t="s">
        <v>3249</v>
      </c>
      <c r="C158" s="446">
        <f>+$C$156+$G$157</f>
        <v>88787.45</v>
      </c>
      <c r="D158" s="173"/>
      <c r="E158" s="447"/>
      <c r="F158" s="447">
        <v>0</v>
      </c>
      <c r="G158" s="484"/>
      <c r="H158" s="1239" t="s">
        <v>873</v>
      </c>
      <c r="I158" s="1239"/>
      <c r="J158" s="171"/>
      <c r="K158" s="638"/>
      <c r="L158" s="638" t="s">
        <v>4664</v>
      </c>
      <c r="M158" s="638" t="str">
        <f>IF(AX158="PT",VLOOKUP(L158,'Foundation Calculation'!$V$2:$X$40,VLOOKUP(AX158,'Foundation Calculation'!$I$10:$J$13,2,FALSE),0),IF(AX158="K",VLOOKUP(L158,'Foundation Calculation'!$V$42:$X$80,VLOOKUP(AX158,'Foundation Calculation'!$I$10:$J$13,2,FALSE),0),""))</f>
        <v>C11R</v>
      </c>
      <c r="N158" s="1239" t="s">
        <v>144</v>
      </c>
      <c r="O158" s="1239"/>
      <c r="P158" s="1239"/>
      <c r="Q158" s="638">
        <v>0</v>
      </c>
      <c r="R158" s="638">
        <v>0</v>
      </c>
      <c r="S158" s="484"/>
      <c r="T158" s="1353">
        <v>35</v>
      </c>
      <c r="U158" s="1353"/>
      <c r="V158" s="1353"/>
      <c r="W158" s="1353">
        <v>1.4</v>
      </c>
      <c r="X158" s="1353"/>
      <c r="Y158" s="1353"/>
      <c r="Z158" s="1353"/>
      <c r="AA158" s="1353"/>
      <c r="AB158" s="1353"/>
      <c r="AC158" s="1353" t="str">
        <f>IF(OR(AT158&gt;8,AT158&lt;-8),"PH",IF(OR(AT158&gt;5,AT158&lt;-5),"PH-Q",IF(OR(AT158&gt;1,AT158&lt;-1),"PH-C")))</f>
        <v>PH-Q</v>
      </c>
      <c r="AD158" s="1353"/>
      <c r="AE158" s="1353"/>
      <c r="AF158" s="1353"/>
      <c r="AG158" s="1360">
        <v>88787</v>
      </c>
      <c r="AH158" s="1353">
        <v>2803</v>
      </c>
      <c r="AI158" s="1353">
        <v>580</v>
      </c>
      <c r="AJ158" s="638"/>
      <c r="AK158" s="638"/>
      <c r="AL158" s="638" t="s">
        <v>2143</v>
      </c>
      <c r="AM158" s="638" t="s">
        <v>1042</v>
      </c>
      <c r="AN158" s="455">
        <v>5.5</v>
      </c>
      <c r="AO158" s="1239"/>
      <c r="AP158" s="1239"/>
      <c r="AQ158" s="484"/>
      <c r="AR158" s="484"/>
      <c r="AS158" s="484"/>
      <c r="AT158" s="484">
        <f>+ab($T$158,$T$156,$T$160,$G$157,$G$159,-1*$F$158,1200)</f>
        <v>7.074371670200156</v>
      </c>
      <c r="AU158" s="638"/>
      <c r="AV158" s="638"/>
      <c r="AW158" s="638" t="str">
        <f>VLOOKUP(C158,'Foundation Calculation'!$A$2:$C$33,3,1)</f>
        <v>Soil B</v>
      </c>
      <c r="AX158" s="638" t="str">
        <f>VLOOKUP(C158,'Foundation Calculation'!$E$2:$G$33,3,1)</f>
        <v>PT</v>
      </c>
      <c r="AY158" s="484">
        <f>IF(AX158="PT",VLOOKUP(L158,'Foundation Calculation'!$K$2:$R$40,VLOOKUP(AW158,'Foundation Calculation'!$I$2:$J$8,2,FALSE),0),IF(AX158="K",VLOOKUP(L158,'Foundation Calculation'!$K$42:$R$80,VLOOKUP(AW158,'Foundation Calculation'!$I$2:$J$8,2,FALSE),0),""))</f>
        <v>4.4000000000000004</v>
      </c>
      <c r="AZ158" s="484"/>
      <c r="BA158" s="671" t="s">
        <v>2809</v>
      </c>
      <c r="BB158" s="449" t="str">
        <f>Pole_Calculations!A178</f>
        <v>App.8-V08F-P10.3</v>
      </c>
      <c r="BC158" s="169"/>
      <c r="BD158" s="1329"/>
      <c r="BE158" s="1329"/>
      <c r="BF158" s="1329"/>
      <c r="BG158" s="1329"/>
    </row>
    <row r="159" spans="1:59" ht="15.75" customHeight="1">
      <c r="A159" s="449"/>
      <c r="B159" s="445"/>
      <c r="C159" s="446"/>
      <c r="D159" s="638"/>
      <c r="E159" s="638"/>
      <c r="F159" s="447"/>
      <c r="G159" s="484">
        <v>50</v>
      </c>
      <c r="H159" s="1239"/>
      <c r="I159" s="448"/>
      <c r="J159" s="446">
        <f>C158+7.5</f>
        <v>88794.95</v>
      </c>
      <c r="K159" s="638" t="s">
        <v>2788</v>
      </c>
      <c r="L159" s="638"/>
      <c r="M159" s="638"/>
      <c r="N159" s="638"/>
      <c r="O159" s="638"/>
      <c r="P159" s="638"/>
      <c r="Q159" s="638"/>
      <c r="R159" s="638"/>
      <c r="S159" s="484">
        <f t="shared" ref="S159" si="74">AG160-AG158</f>
        <v>50</v>
      </c>
      <c r="T159" s="638"/>
      <c r="U159" s="638"/>
      <c r="V159" s="638"/>
      <c r="W159" s="638"/>
      <c r="X159" s="638"/>
      <c r="Y159" s="638"/>
      <c r="Z159" s="638"/>
      <c r="AA159" s="638"/>
      <c r="AB159" s="638"/>
      <c r="AC159" s="1239"/>
      <c r="AD159" s="638"/>
      <c r="AE159" s="638"/>
      <c r="AF159" s="638"/>
      <c r="AG159" s="446"/>
      <c r="AH159" s="638"/>
      <c r="AI159" s="638"/>
      <c r="AJ159" s="638"/>
      <c r="AK159" s="638"/>
      <c r="AL159" s="638"/>
      <c r="AM159" s="638"/>
      <c r="AN159" s="455"/>
      <c r="AO159" s="1239"/>
      <c r="AP159" s="1239"/>
      <c r="AQ159" s="484">
        <f>+FL_2($T$160,$T$158,$G$159,1200,9.28,-1*$F$160)</f>
        <v>-0.36839079999999996</v>
      </c>
      <c r="AR159" s="484"/>
      <c r="AS159" s="484"/>
      <c r="AT159" s="484"/>
      <c r="AU159" s="638"/>
      <c r="AV159" s="638"/>
      <c r="AW159" s="638" t="str">
        <f>VLOOKUP(J159,'Foundation Calculation'!$A$2:$C$33,3,1)</f>
        <v>Soil B</v>
      </c>
      <c r="AX159" s="572" t="str">
        <f>VLOOKUP(J159,'Foundation Calculation'!$E$2:$G$33,3,1)</f>
        <v>PT</v>
      </c>
      <c r="AY159" s="484"/>
      <c r="AZ159" s="484">
        <f>IF(AX159="PT",VLOOKUP(K159,'Foundation Calculation'!$K$2:$R$40,VLOOKUP(AW159,'Foundation Calculation'!$I$2:$J$8,2,FALSE),0),IF(AX159="K",VLOOKUP(K159,'Foundation Calculation'!$K$42:$R$80,VLOOKUP(AW159,'Foundation Calculation'!$I$2:$J$8,2,FALSE),0),""))</f>
        <v>2.8</v>
      </c>
      <c r="BA159" s="671" t="s">
        <v>2809</v>
      </c>
      <c r="BB159" s="449"/>
      <c r="BC159" s="169"/>
      <c r="BD159" s="1329"/>
      <c r="BE159" s="1330"/>
      <c r="BF159" s="1330"/>
      <c r="BG159" s="1330"/>
    </row>
    <row r="160" spans="1:59" ht="15.75" customHeight="1">
      <c r="A160" s="449"/>
      <c r="B160" s="485" t="s">
        <v>3250</v>
      </c>
      <c r="C160" s="446">
        <f>+$C$158+$G$159</f>
        <v>88837.45</v>
      </c>
      <c r="D160" s="638"/>
      <c r="E160" s="638"/>
      <c r="F160" s="447">
        <v>0</v>
      </c>
      <c r="G160" s="484"/>
      <c r="H160" s="1239" t="s">
        <v>138</v>
      </c>
      <c r="I160" s="448" t="s">
        <v>623</v>
      </c>
      <c r="J160" s="446">
        <f>C160-7.5</f>
        <v>88829.95</v>
      </c>
      <c r="K160" s="638" t="s">
        <v>2787</v>
      </c>
      <c r="L160" s="1239" t="s">
        <v>4393</v>
      </c>
      <c r="M160" s="1239" t="str">
        <f>IF(AX160="PT",VLOOKUP(L160,'Foundation Calculation'!$V$2:$X$40,VLOOKUP(AX160,'Foundation Calculation'!$I$10:$J$13,2,FALSE),0),IF(AX160="K",VLOOKUP(L160,'Foundation Calculation'!$V$42:$X$80,VLOOKUP(AX160,'Foundation Calculation'!$I$10:$J$13,2,FALSE),0),""))</f>
        <v>2C4R</v>
      </c>
      <c r="N160" s="638" t="s">
        <v>143</v>
      </c>
      <c r="O160" s="638"/>
      <c r="P160" s="638"/>
      <c r="Q160" s="638">
        <v>0</v>
      </c>
      <c r="R160" s="638">
        <v>0</v>
      </c>
      <c r="S160" s="484"/>
      <c r="T160" s="638">
        <v>-35</v>
      </c>
      <c r="U160" s="638"/>
      <c r="V160" s="638"/>
      <c r="W160" s="638">
        <v>1.4</v>
      </c>
      <c r="X160" s="638"/>
      <c r="Y160" s="638"/>
      <c r="Z160" s="638"/>
      <c r="AA160" s="638"/>
      <c r="AB160" s="638"/>
      <c r="AC160" s="1239" t="s">
        <v>1421</v>
      </c>
      <c r="AD160" s="638"/>
      <c r="AE160" s="638"/>
      <c r="AF160" s="638">
        <v>6000</v>
      </c>
      <c r="AG160" s="446">
        <v>88837</v>
      </c>
      <c r="AH160" s="638">
        <v>2613</v>
      </c>
      <c r="AI160" s="638">
        <v>500</v>
      </c>
      <c r="AJ160" s="638"/>
      <c r="AK160" s="638"/>
      <c r="AL160" s="1239" t="s">
        <v>2135</v>
      </c>
      <c r="AM160" s="1239" t="s">
        <v>1042</v>
      </c>
      <c r="AN160" s="455">
        <v>5.5</v>
      </c>
      <c r="AO160" s="1239"/>
      <c r="AP160" s="1239"/>
      <c r="AQ160" s="484"/>
      <c r="AR160" s="484"/>
      <c r="AS160" s="484"/>
      <c r="AT160" s="484">
        <f>+ab($T$160,$T$158,$U$162,$G$159,$G$161,-1*$F$160,1200)</f>
        <v>-7.2223937771807192</v>
      </c>
      <c r="AU160" s="638"/>
      <c r="AV160" s="638"/>
      <c r="AW160" s="638" t="str">
        <f>VLOOKUP(C160,'Foundation Calculation'!$A$2:$C$33,3,1)</f>
        <v>Soil B</v>
      </c>
      <c r="AX160" s="572" t="str">
        <f>VLOOKUP(C160,'Foundation Calculation'!$E$2:$G$33,3,1)</f>
        <v>PT</v>
      </c>
      <c r="AY160" s="484">
        <f>IF(AX160="PT",VLOOKUP(L160,'Foundation Calculation'!$K$2:$R$40,VLOOKUP(AW160,'Foundation Calculation'!$I$2:$J$8,2,FALSE),0),IF(AX160="K",VLOOKUP(L160,'Foundation Calculation'!$K$42:$R$80,VLOOKUP(AW160,'Foundation Calculation'!$I$2:$J$8,2,FALSE),0),""))</f>
        <v>5.3</v>
      </c>
      <c r="AZ160" s="484">
        <f>IF(AX160="PT",VLOOKUP(K160,'Foundation Calculation'!$K$2:$R$40,VLOOKUP(AW160,'Foundation Calculation'!$I$2:$J$8,2,FALSE),0),IF(AX160="K",VLOOKUP(K160,'Foundation Calculation'!$K$42:$R$80,VLOOKUP(AW160,'Foundation Calculation'!$I$2:$J$8,2,FALSE),0),""))</f>
        <v>3.9</v>
      </c>
      <c r="BA160" s="671" t="s">
        <v>2809</v>
      </c>
      <c r="BB160" s="449" t="str">
        <f>Pole_Calculations!A178</f>
        <v>App.8-V08F-P10.3</v>
      </c>
      <c r="BC160" s="169"/>
      <c r="BD160" s="1371"/>
      <c r="BE160" s="1371"/>
      <c r="BF160" s="1371"/>
      <c r="BG160" s="1371"/>
    </row>
    <row r="161" spans="1:59" ht="15.75" customHeight="1">
      <c r="A161" s="449"/>
      <c r="B161" s="445"/>
      <c r="C161" s="446"/>
      <c r="D161" s="638"/>
      <c r="E161" s="638"/>
      <c r="F161" s="447"/>
      <c r="G161" s="484">
        <v>52.3</v>
      </c>
      <c r="H161" s="1239"/>
      <c r="I161" s="448"/>
      <c r="J161" s="446">
        <f>C162-7.5</f>
        <v>88882.25</v>
      </c>
      <c r="K161" s="638" t="s">
        <v>2788</v>
      </c>
      <c r="L161" s="638"/>
      <c r="M161" s="638"/>
      <c r="N161" s="638"/>
      <c r="O161" s="638"/>
      <c r="P161" s="638"/>
      <c r="Q161" s="638"/>
      <c r="R161" s="638"/>
      <c r="S161" s="484">
        <f t="shared" ref="S161" si="75">AG162-AG160</f>
        <v>52</v>
      </c>
      <c r="T161" s="638"/>
      <c r="U161" s="638"/>
      <c r="V161" s="638"/>
      <c r="W161" s="638"/>
      <c r="X161" s="638"/>
      <c r="Y161" s="638"/>
      <c r="Z161" s="638"/>
      <c r="AA161" s="638"/>
      <c r="AB161" s="638"/>
      <c r="AC161" s="1239"/>
      <c r="AD161" s="638"/>
      <c r="AE161" s="638"/>
      <c r="AF161" s="638"/>
      <c r="AG161" s="446"/>
      <c r="AH161" s="638"/>
      <c r="AI161" s="638"/>
      <c r="AJ161" s="638"/>
      <c r="AK161" s="638"/>
      <c r="AL161" s="638"/>
      <c r="AM161" s="638"/>
      <c r="AN161" s="455"/>
      <c r="AO161" s="1239"/>
      <c r="AP161" s="1239"/>
      <c r="AQ161" s="484">
        <f>+FL_1($U$162,$T$160,$G$161,1200,9.28,-1*$F$162)</f>
        <v>0.33927942534608024</v>
      </c>
      <c r="AR161" s="484"/>
      <c r="AS161" s="484"/>
      <c r="AT161" s="484"/>
      <c r="AU161" s="638"/>
      <c r="AV161" s="638"/>
      <c r="AW161" s="638" t="str">
        <f>VLOOKUP(J161,'Foundation Calculation'!$A$2:$C$33,3,1)</f>
        <v>Soil B</v>
      </c>
      <c r="AX161" s="572" t="str">
        <f>VLOOKUP(J161,'Foundation Calculation'!$E$2:$G$33,3,1)</f>
        <v>PT</v>
      </c>
      <c r="AY161" s="484"/>
      <c r="AZ161" s="484">
        <f>IF(AX161="PT",VLOOKUP(K161,'Foundation Calculation'!$K$2:$R$40,VLOOKUP(AW161,'Foundation Calculation'!$I$2:$J$8,2,FALSE),0),IF(AX161="K",VLOOKUP(K161,'Foundation Calculation'!$K$42:$R$80,VLOOKUP(AW161,'Foundation Calculation'!$I$2:$J$8,2,FALSE),0),""))</f>
        <v>2.8</v>
      </c>
      <c r="BA161" s="671" t="s">
        <v>2809</v>
      </c>
      <c r="BB161" s="449"/>
      <c r="BC161" s="169"/>
      <c r="BD161" s="1329"/>
      <c r="BE161" s="1330"/>
      <c r="BF161" s="1330"/>
      <c r="BG161" s="1330"/>
    </row>
    <row r="162" spans="1:59" ht="15.75" customHeight="1">
      <c r="A162" s="449"/>
      <c r="B162" s="485" t="s">
        <v>3251</v>
      </c>
      <c r="C162" s="446">
        <f>+$C$160+$G$161</f>
        <v>88889.75</v>
      </c>
      <c r="D162" s="638"/>
      <c r="E162" s="638"/>
      <c r="F162" s="447">
        <v>0</v>
      </c>
      <c r="G162" s="484"/>
      <c r="H162" s="1239" t="s">
        <v>3271</v>
      </c>
      <c r="I162" s="448"/>
      <c r="J162" s="446"/>
      <c r="K162" s="638"/>
      <c r="L162" s="1239" t="s">
        <v>4393</v>
      </c>
      <c r="M162" s="1239" t="str">
        <f>IF(AX162="PT",VLOOKUP(L162,'Foundation Calculation'!$V$2:$X$40,VLOOKUP(AX162,'Foundation Calculation'!$I$10:$J$13,2,FALSE),0),IF(AX162="K",VLOOKUP(L162,'Foundation Calculation'!$V$42:$X$80,VLOOKUP(AX162,'Foundation Calculation'!$I$10:$J$13,2,FALSE),0),""))</f>
        <v>2C4R</v>
      </c>
      <c r="N162" s="638" t="s">
        <v>140</v>
      </c>
      <c r="O162" s="638" t="s">
        <v>144</v>
      </c>
      <c r="P162" s="638" t="s">
        <v>143</v>
      </c>
      <c r="Q162" s="638">
        <v>0</v>
      </c>
      <c r="R162" s="638">
        <v>0</v>
      </c>
      <c r="S162" s="484"/>
      <c r="T162" s="638">
        <v>45</v>
      </c>
      <c r="U162" s="638">
        <v>30</v>
      </c>
      <c r="V162" s="638">
        <v>15</v>
      </c>
      <c r="W162" s="1239">
        <v>1.4</v>
      </c>
      <c r="X162" s="638">
        <v>1.8</v>
      </c>
      <c r="Y162" s="638">
        <v>2.2999999999999998</v>
      </c>
      <c r="Z162" s="638">
        <v>0.6</v>
      </c>
      <c r="AA162" s="638"/>
      <c r="AB162" s="638"/>
      <c r="AC162" s="1239"/>
      <c r="AD162" s="638" t="s">
        <v>1427</v>
      </c>
      <c r="AE162" s="638" t="s">
        <v>4207</v>
      </c>
      <c r="AF162" s="638">
        <v>6000</v>
      </c>
      <c r="AG162" s="446">
        <v>88889</v>
      </c>
      <c r="AH162" s="638">
        <v>2443</v>
      </c>
      <c r="AI162" s="638">
        <v>530</v>
      </c>
      <c r="AJ162" s="638"/>
      <c r="AK162" s="638"/>
      <c r="AL162" s="1239" t="s">
        <v>2135</v>
      </c>
      <c r="AM162" s="1239" t="s">
        <v>1042</v>
      </c>
      <c r="AN162" s="455">
        <v>5.43</v>
      </c>
      <c r="AO162" s="1239"/>
      <c r="AP162" s="1239"/>
      <c r="AQ162" s="484"/>
      <c r="AR162" s="484"/>
      <c r="AS162" s="484"/>
      <c r="AT162" s="484">
        <f>+ab($U$162,$T$160,$T$164,$G$161,$G$163,-1*$F$162,1200)</f>
        <v>7.8066559844147019</v>
      </c>
      <c r="AU162" s="638"/>
      <c r="AV162" s="638"/>
      <c r="AW162" s="638" t="str">
        <f>VLOOKUP(C162,'Foundation Calculation'!$A$2:$C$33,3,1)</f>
        <v>Soil B</v>
      </c>
      <c r="AX162" s="572" t="str">
        <f>VLOOKUP(C162,'Foundation Calculation'!$E$2:$G$33,3,1)</f>
        <v>PT</v>
      </c>
      <c r="AY162" s="484">
        <f>IF(AX162="PT",VLOOKUP(L162,'Foundation Calculation'!$K$2:$R$40,VLOOKUP(AW162,'Foundation Calculation'!$I$2:$J$8,2,FALSE),0),IF(AX162="K",VLOOKUP(L162,'Foundation Calculation'!$K$42:$R$80,VLOOKUP(AW162,'Foundation Calculation'!$I$2:$J$8,2,FALSE),0),""))</f>
        <v>5.3</v>
      </c>
      <c r="AZ162" s="484"/>
      <c r="BA162" s="671" t="s">
        <v>2809</v>
      </c>
      <c r="BB162" s="449" t="str">
        <f>Pole_Calculations!A178</f>
        <v>App.8-V08F-P10.3</v>
      </c>
      <c r="BC162" s="169"/>
      <c r="BD162" s="1371"/>
      <c r="BE162" s="1371"/>
      <c r="BF162" s="1371"/>
      <c r="BG162" s="1371"/>
    </row>
    <row r="163" spans="1:59" ht="15.75" customHeight="1">
      <c r="A163" s="1239"/>
      <c r="B163" s="447"/>
      <c r="C163" s="446"/>
      <c r="D163" s="448"/>
      <c r="E163" s="448"/>
      <c r="F163" s="447"/>
      <c r="G163" s="484">
        <v>50</v>
      </c>
      <c r="H163" s="1239"/>
      <c r="I163" s="448">
        <f>C164-C136</f>
        <v>636.39999999999418</v>
      </c>
      <c r="J163" s="171"/>
      <c r="K163" s="638"/>
      <c r="L163" s="638"/>
      <c r="M163" s="638"/>
      <c r="N163" s="638"/>
      <c r="O163" s="638"/>
      <c r="P163" s="638"/>
      <c r="Q163" s="638"/>
      <c r="R163" s="638"/>
      <c r="S163" s="484">
        <f t="shared" ref="S163" si="76">AG164-AG162</f>
        <v>50</v>
      </c>
      <c r="T163" s="638"/>
      <c r="U163" s="638"/>
      <c r="V163" s="638"/>
      <c r="W163" s="1239"/>
      <c r="X163" s="638"/>
      <c r="Y163" s="638"/>
      <c r="Z163" s="638"/>
      <c r="AA163" s="638"/>
      <c r="AB163" s="638"/>
      <c r="AC163" s="1239"/>
      <c r="AD163" s="638"/>
      <c r="AE163" s="638"/>
      <c r="AF163" s="638"/>
      <c r="AG163" s="446"/>
      <c r="AH163" s="638"/>
      <c r="AI163" s="638"/>
      <c r="AJ163" s="638"/>
      <c r="AK163" s="638"/>
      <c r="AL163" s="638"/>
      <c r="AM163" s="638"/>
      <c r="AN163" s="455"/>
      <c r="AO163" s="1239"/>
      <c r="AP163" s="1239"/>
      <c r="AQ163" s="484">
        <f>+FL_1($T$164,$U$162,$G$163,1200,9.28,-1*$F$164)</f>
        <v>0.33477011200000012</v>
      </c>
      <c r="AR163" s="484"/>
      <c r="AS163" s="484"/>
      <c r="AT163" s="484"/>
      <c r="AU163" s="638"/>
      <c r="AV163" s="638"/>
      <c r="AW163" s="638"/>
      <c r="AX163" s="638"/>
      <c r="AY163" s="484"/>
      <c r="AZ163" s="484"/>
      <c r="BA163" s="671"/>
      <c r="BB163" s="1239"/>
      <c r="BC163" s="169"/>
      <c r="BD163" s="1330"/>
      <c r="BE163" s="1330"/>
      <c r="BF163" s="1330"/>
      <c r="BG163" s="1330"/>
    </row>
    <row r="164" spans="1:59" ht="15.75" customHeight="1">
      <c r="A164" s="1239"/>
      <c r="B164" s="582" t="s">
        <v>3252</v>
      </c>
      <c r="C164" s="446">
        <f>+$C$162+$G$163</f>
        <v>88939.75</v>
      </c>
      <c r="D164" s="448"/>
      <c r="E164" s="448"/>
      <c r="F164" s="447">
        <v>0</v>
      </c>
      <c r="G164" s="484"/>
      <c r="H164" s="1239" t="s">
        <v>4194</v>
      </c>
      <c r="I164" s="448"/>
      <c r="J164" s="171"/>
      <c r="K164" s="638"/>
      <c r="L164" s="1239" t="s">
        <v>4393</v>
      </c>
      <c r="M164" s="1239" t="str">
        <f>IF(AX164="PT",VLOOKUP(L164,'Foundation Calculation'!$V$2:$X$40,VLOOKUP(AX164,'Foundation Calculation'!$I$10:$J$13,2,FALSE),0),IF(AX164="K",VLOOKUP(L164,'Foundation Calculation'!$V$42:$X$80,VLOOKUP(AX164,'Foundation Calculation'!$I$10:$J$13,2,FALSE),0),""))</f>
        <v>2C4R</v>
      </c>
      <c r="N164" s="638" t="s">
        <v>143</v>
      </c>
      <c r="O164" s="638" t="s">
        <v>140</v>
      </c>
      <c r="P164" s="638" t="s">
        <v>140</v>
      </c>
      <c r="Q164" s="638">
        <v>0</v>
      </c>
      <c r="R164" s="638">
        <v>0</v>
      </c>
      <c r="S164" s="484"/>
      <c r="T164" s="638">
        <v>-30</v>
      </c>
      <c r="U164" s="638">
        <v>-45</v>
      </c>
      <c r="V164" s="638">
        <v>30</v>
      </c>
      <c r="W164" s="1239">
        <v>1.4</v>
      </c>
      <c r="X164" s="638">
        <v>1.8</v>
      </c>
      <c r="Y164" s="638">
        <v>1</v>
      </c>
      <c r="Z164" s="638"/>
      <c r="AA164" s="638">
        <v>0.45</v>
      </c>
      <c r="AB164" s="638">
        <v>0.4</v>
      </c>
      <c r="AC164" s="1239" t="s">
        <v>4090</v>
      </c>
      <c r="AD164" s="638"/>
      <c r="AE164" s="638"/>
      <c r="AF164" s="638">
        <v>6000</v>
      </c>
      <c r="AG164" s="446">
        <v>88939</v>
      </c>
      <c r="AH164" s="638">
        <v>2783</v>
      </c>
      <c r="AI164" s="638">
        <v>450</v>
      </c>
      <c r="AJ164" s="638"/>
      <c r="AK164" s="638"/>
      <c r="AL164" s="1239" t="s">
        <v>2135</v>
      </c>
      <c r="AM164" s="1239" t="s">
        <v>1042</v>
      </c>
      <c r="AN164" s="455">
        <v>5.32</v>
      </c>
      <c r="AO164" s="1239"/>
      <c r="AP164" s="1239"/>
      <c r="AQ164" s="484"/>
      <c r="AR164" s="484"/>
      <c r="AS164" s="484"/>
      <c r="AT164" s="484">
        <f>+ab($T$164,$U$162,$T$166,$G$163,$G$165,-1*$F$164,1200)</f>
        <v>-7.6925402263244971</v>
      </c>
      <c r="AU164" s="638"/>
      <c r="AV164" s="638"/>
      <c r="AW164" s="638" t="str">
        <f>VLOOKUP(C164,'Foundation Calculation'!$A$2:$C$33,3,1)</f>
        <v>Soil B</v>
      </c>
      <c r="AX164" s="572" t="str">
        <f>VLOOKUP(C164,'Foundation Calculation'!$E$2:$G$33,3,1)</f>
        <v>PT</v>
      </c>
      <c r="AY164" s="484">
        <f>IF(AX164="PT",VLOOKUP(L164,'Foundation Calculation'!$K$2:$R$40,VLOOKUP(AW164,'Foundation Calculation'!$I$2:$J$8,2,FALSE),0),IF(AX164="K",VLOOKUP(L164,'Foundation Calculation'!$K$42:$R$80,VLOOKUP(AW164,'Foundation Calculation'!$I$2:$J$8,2,FALSE),0),""))</f>
        <v>5.3</v>
      </c>
      <c r="AZ164" s="484"/>
      <c r="BA164" s="671" t="s">
        <v>2809</v>
      </c>
      <c r="BB164" s="1239" t="str">
        <f>Pole_Calculations!A178</f>
        <v>App.8-V08F-P10.3</v>
      </c>
      <c r="BC164" s="169"/>
      <c r="BD164" s="1371"/>
      <c r="BE164" s="1371"/>
      <c r="BF164" s="1371"/>
      <c r="BG164" s="1371"/>
    </row>
    <row r="165" spans="1:59" ht="15.75" customHeight="1">
      <c r="A165" s="1239"/>
      <c r="B165" s="447"/>
      <c r="C165" s="446"/>
      <c r="D165" s="448"/>
      <c r="E165" s="448"/>
      <c r="F165" s="447"/>
      <c r="G165" s="484">
        <v>50.8</v>
      </c>
      <c r="H165" s="1239"/>
      <c r="I165" s="448">
        <f>C188-C164</f>
        <v>614.10000000000582</v>
      </c>
      <c r="J165" s="171"/>
      <c r="K165" s="638"/>
      <c r="L165" s="638"/>
      <c r="M165" s="638"/>
      <c r="N165" s="638"/>
      <c r="O165" s="638"/>
      <c r="P165" s="638"/>
      <c r="Q165" s="638"/>
      <c r="R165" s="638"/>
      <c r="S165" s="484">
        <f t="shared" ref="S165" si="77">AG166-AG164</f>
        <v>51</v>
      </c>
      <c r="T165" s="638"/>
      <c r="U165" s="638"/>
      <c r="V165" s="638"/>
      <c r="W165" s="1239"/>
      <c r="X165" s="638"/>
      <c r="Y165" s="638"/>
      <c r="Z165" s="638"/>
      <c r="AA165" s="638"/>
      <c r="AB165" s="638"/>
      <c r="AC165" s="1239"/>
      <c r="AD165" s="638"/>
      <c r="AE165" s="638"/>
      <c r="AF165" s="638"/>
      <c r="AG165" s="446"/>
      <c r="AH165" s="638"/>
      <c r="AI165" s="638"/>
      <c r="AJ165" s="638"/>
      <c r="AK165" s="638"/>
      <c r="AL165" s="638"/>
      <c r="AM165" s="638"/>
      <c r="AN165" s="455"/>
      <c r="AO165" s="1239"/>
      <c r="AP165" s="1239"/>
      <c r="AQ165" s="484">
        <f>+FL_1($T$166,$T$164,$G$165,1200,9.28,-1*$F$166)</f>
        <v>0.38031471102362202</v>
      </c>
      <c r="AR165" s="484"/>
      <c r="AS165" s="484"/>
      <c r="AT165" s="484"/>
      <c r="AU165" s="638"/>
      <c r="AV165" s="638"/>
      <c r="AW165" s="638"/>
      <c r="AX165" s="638"/>
      <c r="AY165" s="484"/>
      <c r="AZ165" s="484"/>
      <c r="BA165" s="671"/>
      <c r="BB165" s="1239"/>
      <c r="BC165" s="169"/>
      <c r="BD165" s="1330"/>
      <c r="BE165" s="1330"/>
      <c r="BF165" s="1330"/>
      <c r="BG165" s="1330"/>
    </row>
    <row r="166" spans="1:59" ht="15.75" customHeight="1">
      <c r="A166" s="1239"/>
      <c r="B166" s="582" t="s">
        <v>3253</v>
      </c>
      <c r="C166" s="446">
        <f>+$C$164+$G$165</f>
        <v>88990.55</v>
      </c>
      <c r="D166" s="448"/>
      <c r="E166" s="448"/>
      <c r="F166" s="447">
        <v>0</v>
      </c>
      <c r="G166" s="484"/>
      <c r="H166" s="1239" t="s">
        <v>4195</v>
      </c>
      <c r="I166" s="448" t="s">
        <v>624</v>
      </c>
      <c r="J166" s="171">
        <f>C166+7.5</f>
        <v>88998.05</v>
      </c>
      <c r="K166" s="638" t="s">
        <v>2787</v>
      </c>
      <c r="L166" s="1239" t="s">
        <v>4393</v>
      </c>
      <c r="M166" s="1239" t="str">
        <f>IF(AX166="PT",VLOOKUP(L166,'Foundation Calculation'!$V$2:$X$40,VLOOKUP(AX166,'Foundation Calculation'!$I$10:$J$13,2,FALSE),0),IF(AX166="K",VLOOKUP(L166,'Foundation Calculation'!$V$42:$X$80,VLOOKUP(AX166,'Foundation Calculation'!$I$10:$J$13,2,FALSE),0),""))</f>
        <v>2C4R</v>
      </c>
      <c r="N166" s="638" t="s">
        <v>144</v>
      </c>
      <c r="O166" s="638" t="s">
        <v>140</v>
      </c>
      <c r="P166" s="638"/>
      <c r="Q166" s="638">
        <v>0</v>
      </c>
      <c r="R166" s="638">
        <v>0</v>
      </c>
      <c r="S166" s="484"/>
      <c r="T166" s="638">
        <v>35</v>
      </c>
      <c r="U166" s="638">
        <v>-30</v>
      </c>
      <c r="V166" s="638"/>
      <c r="W166" s="1239">
        <v>1</v>
      </c>
      <c r="X166" s="638">
        <v>1.8</v>
      </c>
      <c r="Y166" s="638"/>
      <c r="Z166" s="638"/>
      <c r="AA166" s="638">
        <v>0.6</v>
      </c>
      <c r="AB166" s="638"/>
      <c r="AC166" s="1239" t="s">
        <v>4090</v>
      </c>
      <c r="AD166" s="638"/>
      <c r="AE166" s="638"/>
      <c r="AF166" s="638">
        <v>5800</v>
      </c>
      <c r="AG166" s="446">
        <v>88990</v>
      </c>
      <c r="AH166" s="638">
        <v>2773</v>
      </c>
      <c r="AI166" s="638">
        <v>410</v>
      </c>
      <c r="AJ166" s="638"/>
      <c r="AK166" s="638"/>
      <c r="AL166" s="1239" t="s">
        <v>2135</v>
      </c>
      <c r="AM166" s="1239" t="s">
        <v>1042</v>
      </c>
      <c r="AN166" s="455">
        <v>5.21</v>
      </c>
      <c r="AO166" s="1239"/>
      <c r="AP166" s="1239"/>
      <c r="AQ166" s="484"/>
      <c r="AR166" s="484"/>
      <c r="AS166" s="484"/>
      <c r="AT166" s="484">
        <f>+ab($T$166,$T$164,$T$168,$G$165,$G$167,-1*$F$166,1200)</f>
        <v>6.8178362044331724</v>
      </c>
      <c r="AU166" s="638"/>
      <c r="AV166" s="638"/>
      <c r="AW166" s="638" t="str">
        <f>VLOOKUP(C166,'Foundation Calculation'!$A$2:$C$33,3,1)</f>
        <v>Soil B</v>
      </c>
      <c r="AX166" s="572" t="str">
        <f>VLOOKUP(C166,'Foundation Calculation'!$E$2:$G$33,3,1)</f>
        <v>PT</v>
      </c>
      <c r="AY166" s="484">
        <f>IF(AX166="PT",VLOOKUP(L166,'Foundation Calculation'!$K$2:$R$40,VLOOKUP(AW166,'Foundation Calculation'!$I$2:$J$8,2,FALSE),0),IF(AX166="K",VLOOKUP(L166,'Foundation Calculation'!$K$42:$R$80,VLOOKUP(AW166,'Foundation Calculation'!$I$2:$J$8,2,FALSE),0),""))</f>
        <v>5.3</v>
      </c>
      <c r="AZ166" s="484">
        <f>IF(AX166="PT",VLOOKUP(K166,'Foundation Calculation'!$K$2:$R$40,VLOOKUP(AW166,'Foundation Calculation'!$I$2:$J$8,2,FALSE),0),IF(AX166="K",VLOOKUP(K166,'Foundation Calculation'!$K$42:$R$80,VLOOKUP(AW166,'Foundation Calculation'!$I$2:$J$8,2,FALSE),0),""))</f>
        <v>3.9</v>
      </c>
      <c r="BA166" s="671" t="s">
        <v>2809</v>
      </c>
      <c r="BB166" s="1239" t="str">
        <f>Pole_Calculations!A178</f>
        <v>App.8-V08F-P10.3</v>
      </c>
      <c r="BC166" s="169"/>
      <c r="BD166" s="1371"/>
      <c r="BE166" s="1371"/>
      <c r="BF166" s="1371"/>
      <c r="BG166" s="1371"/>
    </row>
    <row r="167" spans="1:59" ht="15.75" customHeight="1">
      <c r="A167" s="1239"/>
      <c r="B167" s="447"/>
      <c r="C167" s="446"/>
      <c r="D167" s="448"/>
      <c r="E167" s="448"/>
      <c r="F167" s="447"/>
      <c r="G167" s="484">
        <v>46</v>
      </c>
      <c r="H167" s="1239"/>
      <c r="I167" s="448"/>
      <c r="J167" s="171">
        <f>C166+9.5</f>
        <v>89000.05</v>
      </c>
      <c r="K167" s="638" t="s">
        <v>2788</v>
      </c>
      <c r="L167" s="638"/>
      <c r="M167" s="638"/>
      <c r="N167" s="638"/>
      <c r="O167" s="638"/>
      <c r="P167" s="638"/>
      <c r="Q167" s="638"/>
      <c r="R167" s="638"/>
      <c r="S167" s="484">
        <f t="shared" ref="S167" si="78">AG168-AG166</f>
        <v>46</v>
      </c>
      <c r="T167" s="638"/>
      <c r="U167" s="638"/>
      <c r="V167" s="638"/>
      <c r="W167" s="1239"/>
      <c r="X167" s="638"/>
      <c r="Y167" s="638"/>
      <c r="Z167" s="638"/>
      <c r="AA167" s="638"/>
      <c r="AB167" s="638"/>
      <c r="AC167" s="1239"/>
      <c r="AD167" s="638"/>
      <c r="AE167" s="638"/>
      <c r="AF167" s="638"/>
      <c r="AG167" s="446"/>
      <c r="AH167" s="638"/>
      <c r="AI167" s="638"/>
      <c r="AJ167" s="638"/>
      <c r="AK167" s="638"/>
      <c r="AL167" s="638"/>
      <c r="AM167" s="638"/>
      <c r="AN167" s="455"/>
      <c r="AO167" s="1239"/>
      <c r="AP167" s="1239"/>
      <c r="AQ167" s="484">
        <f>+FL_1($T$168,$T$166,$G$167,1200,9.28,-1*$F$168)</f>
        <v>0.35426799953623195</v>
      </c>
      <c r="AR167" s="484"/>
      <c r="AS167" s="484"/>
      <c r="AT167" s="484"/>
      <c r="AU167" s="638"/>
      <c r="AV167" s="638"/>
      <c r="AW167" s="638" t="str">
        <f>VLOOKUP(J167,'Foundation Calculation'!$A$2:$C$33,3,1)</f>
        <v>Soil B</v>
      </c>
      <c r="AX167" s="572" t="str">
        <f>VLOOKUP(J167,'Foundation Calculation'!$E$2:$G$33,3,1)</f>
        <v>PT</v>
      </c>
      <c r="AY167" s="484"/>
      <c r="AZ167" s="484">
        <f>IF(AX167="PT",VLOOKUP(K167,'Foundation Calculation'!$K$2:$R$40,VLOOKUP(AW167,'Foundation Calculation'!$I$2:$J$8,2,FALSE),0),IF(AX167="K",VLOOKUP(K167,'Foundation Calculation'!$K$42:$R$80,VLOOKUP(AW167,'Foundation Calculation'!$I$2:$J$8,2,FALSE),0),""))</f>
        <v>2.8</v>
      </c>
      <c r="BA167" s="671" t="s">
        <v>2809</v>
      </c>
      <c r="BB167" s="1239"/>
      <c r="BC167" s="169"/>
      <c r="BD167" s="1329"/>
      <c r="BE167" s="1330"/>
      <c r="BF167" s="1330"/>
      <c r="BG167" s="1330"/>
    </row>
    <row r="168" spans="1:59" ht="15.75" customHeight="1">
      <c r="A168" s="1239"/>
      <c r="B168" s="582" t="s">
        <v>2914</v>
      </c>
      <c r="C168" s="446">
        <f>+$C$166+$G$167</f>
        <v>89036.55</v>
      </c>
      <c r="D168" s="448"/>
      <c r="E168" s="448"/>
      <c r="F168" s="447">
        <v>0</v>
      </c>
      <c r="G168" s="484"/>
      <c r="H168" s="1239" t="s">
        <v>2130</v>
      </c>
      <c r="I168" s="448" t="s">
        <v>623</v>
      </c>
      <c r="J168" s="171"/>
      <c r="K168" s="638"/>
      <c r="L168" s="1239" t="s">
        <v>4393</v>
      </c>
      <c r="M168" s="1239" t="str">
        <f>IF(AX168="PT",VLOOKUP(L168,'Foundation Calculation'!$V$2:$X$40,VLOOKUP(AX168,'Foundation Calculation'!$I$10:$J$13,2,FALSE),0),IF(AX168="K",VLOOKUP(L168,'Foundation Calculation'!$V$42:$X$80,VLOOKUP(AX168,'Foundation Calculation'!$I$10:$J$13,2,FALSE),0),""))</f>
        <v>2C4R</v>
      </c>
      <c r="N168" s="638" t="s">
        <v>143</v>
      </c>
      <c r="O168" s="638" t="s">
        <v>140</v>
      </c>
      <c r="P168" s="638"/>
      <c r="Q168" s="638">
        <v>0</v>
      </c>
      <c r="R168" s="638">
        <v>0</v>
      </c>
      <c r="S168" s="484"/>
      <c r="T168" s="638">
        <v>-35</v>
      </c>
      <c r="U168" s="638">
        <v>45</v>
      </c>
      <c r="V168" s="638"/>
      <c r="W168" s="1239">
        <v>0.8</v>
      </c>
      <c r="X168" s="638">
        <v>0.7</v>
      </c>
      <c r="Y168" s="638"/>
      <c r="Z168" s="638"/>
      <c r="AA168" s="638">
        <v>0.26</v>
      </c>
      <c r="AB168" s="638"/>
      <c r="AC168" s="1239" t="s">
        <v>4090</v>
      </c>
      <c r="AD168" s="638"/>
      <c r="AE168" s="638"/>
      <c r="AF168" s="638">
        <v>5600</v>
      </c>
      <c r="AG168" s="446">
        <v>89036</v>
      </c>
      <c r="AH168" s="638">
        <v>2723</v>
      </c>
      <c r="AI168" s="638">
        <v>280</v>
      </c>
      <c r="AJ168" s="638"/>
      <c r="AK168" s="638"/>
      <c r="AL168" s="1239" t="s">
        <v>2135</v>
      </c>
      <c r="AM168" s="1239" t="s">
        <v>1042</v>
      </c>
      <c r="AN168" s="455">
        <v>5.15</v>
      </c>
      <c r="AO168" s="1239"/>
      <c r="AP168" s="1239"/>
      <c r="AQ168" s="484"/>
      <c r="AR168" s="484"/>
      <c r="AS168" s="484"/>
      <c r="AT168" s="484">
        <f>+ab($T$168,$T$166,$T$170,$G$167,$G$169,-1*$F$168,1200)</f>
        <v>-6.2113202956963516</v>
      </c>
      <c r="AU168" s="638"/>
      <c r="AV168" s="638"/>
      <c r="AW168" s="638" t="str">
        <f>VLOOKUP(C168,'Foundation Calculation'!$A$2:$C$33,3,1)</f>
        <v>Soil B</v>
      </c>
      <c r="AX168" s="572" t="str">
        <f>VLOOKUP(C168,'Foundation Calculation'!$E$2:$G$33,3,1)</f>
        <v>PT</v>
      </c>
      <c r="AY168" s="484">
        <f>IF(AX168="PT",VLOOKUP(L168,'Foundation Calculation'!$K$2:$R$40,VLOOKUP(AW168,'Foundation Calculation'!$I$2:$J$8,2,FALSE),0),IF(AX168="K",VLOOKUP(L168,'Foundation Calculation'!$K$42:$R$80,VLOOKUP(AW168,'Foundation Calculation'!$I$2:$J$8,2,FALSE),0),""))</f>
        <v>5.3</v>
      </c>
      <c r="AZ168" s="484"/>
      <c r="BA168" s="671" t="s">
        <v>2809</v>
      </c>
      <c r="BB168" s="1239" t="str">
        <f>Pole_Calculations!A178</f>
        <v>App.8-V08F-P10.3</v>
      </c>
      <c r="BC168" s="169"/>
      <c r="BD168" s="1371"/>
      <c r="BE168" s="1371"/>
      <c r="BF168" s="1371"/>
      <c r="BG168" s="1371"/>
    </row>
    <row r="169" spans="1:59" ht="15.75" customHeight="1">
      <c r="A169" s="495"/>
      <c r="B169" s="491"/>
      <c r="C169" s="489"/>
      <c r="D169" s="492"/>
      <c r="E169" s="492"/>
      <c r="F169" s="492"/>
      <c r="G169" s="493">
        <v>45</v>
      </c>
      <c r="H169" s="495"/>
      <c r="I169" s="492"/>
      <c r="J169" s="431">
        <f>C168+7.5</f>
        <v>89044.05</v>
      </c>
      <c r="K169" s="490" t="s">
        <v>2787</v>
      </c>
      <c r="L169" s="490"/>
      <c r="M169" s="490"/>
      <c r="N169" s="490"/>
      <c r="O169" s="490"/>
      <c r="P169" s="490"/>
      <c r="Q169" s="490"/>
      <c r="R169" s="490"/>
      <c r="S169" s="493">
        <f t="shared" ref="S169" si="79">AG170-AG168</f>
        <v>45</v>
      </c>
      <c r="T169" s="490"/>
      <c r="U169" s="490"/>
      <c r="V169" s="490"/>
      <c r="W169" s="495"/>
      <c r="X169" s="490"/>
      <c r="Y169" s="490"/>
      <c r="Z169" s="490"/>
      <c r="AA169" s="490"/>
      <c r="AB169" s="490"/>
      <c r="AC169" s="495"/>
      <c r="AD169" s="490"/>
      <c r="AE169" s="490"/>
      <c r="AF169" s="490"/>
      <c r="AG169" s="489"/>
      <c r="AH169" s="490"/>
      <c r="AI169" s="490"/>
      <c r="AJ169" s="490"/>
      <c r="AK169" s="490"/>
      <c r="AL169" s="490"/>
      <c r="AM169" s="669" t="s">
        <v>3056</v>
      </c>
      <c r="AN169" s="457"/>
      <c r="AO169" s="495"/>
      <c r="AP169" s="495"/>
      <c r="AQ169" s="493">
        <f>+FL_1($T$170,$T$168,$G$169,1200,9.28,-1*$F$170)</f>
        <v>0.35219954355555555</v>
      </c>
      <c r="AR169" s="493"/>
      <c r="AS169" s="493"/>
      <c r="AT169" s="493"/>
      <c r="AU169" s="490"/>
      <c r="AV169" s="490"/>
      <c r="AW169" s="490" t="str">
        <f>VLOOKUP(J169,'Foundation Calculation'!$A$2:$C$33,3,1)</f>
        <v>Soil B</v>
      </c>
      <c r="AX169" s="490" t="str">
        <f>VLOOKUP(J169,'Foundation Calculation'!$E$2:$G$33,3,1)</f>
        <v>PT</v>
      </c>
      <c r="AY169" s="493"/>
      <c r="AZ169" s="493">
        <f>IF(AX169="PT",VLOOKUP(K169,'Foundation Calculation'!$K$2:$R$40,VLOOKUP(AW169,'Foundation Calculation'!$I$2:$J$8,2,FALSE),0),IF(AX169="K",VLOOKUP(K169,'Foundation Calculation'!$K$42:$R$80,VLOOKUP(AW169,'Foundation Calculation'!$I$2:$J$8,2,FALSE),0),""))</f>
        <v>3.9</v>
      </c>
      <c r="BA169" s="602" t="s">
        <v>2809</v>
      </c>
      <c r="BB169" s="495"/>
      <c r="BC169" s="169"/>
      <c r="BD169" s="1329"/>
      <c r="BE169" s="1330"/>
      <c r="BF169" s="1330"/>
      <c r="BG169" s="1330"/>
    </row>
    <row r="170" spans="1:59" ht="15.75" customHeight="1">
      <c r="A170" s="1239"/>
      <c r="B170" s="582" t="s">
        <v>2915</v>
      </c>
      <c r="C170" s="446">
        <f>+$C$168+$G$169</f>
        <v>89081.55</v>
      </c>
      <c r="D170" s="448"/>
      <c r="E170" s="448"/>
      <c r="F170" s="448">
        <v>0</v>
      </c>
      <c r="G170" s="484"/>
      <c r="H170" s="1239" t="s">
        <v>138</v>
      </c>
      <c r="I170" s="448" t="s">
        <v>4231</v>
      </c>
      <c r="J170" s="171"/>
      <c r="K170" s="638"/>
      <c r="L170" s="1239" t="s">
        <v>4393</v>
      </c>
      <c r="M170" s="1239" t="str">
        <f>IF(AX170="PT",VLOOKUP(L170,'Foundation Calculation'!$V$2:$X$40,VLOOKUP(AX170,'Foundation Calculation'!$I$10:$J$13,2,FALSE),0),IF(AX170="K",VLOOKUP(L170,'Foundation Calculation'!$V$42:$X$80,VLOOKUP(AX170,'Foundation Calculation'!$I$10:$J$13,2,FALSE),0),""))</f>
        <v>2C4R</v>
      </c>
      <c r="N170" s="638" t="s">
        <v>144</v>
      </c>
      <c r="O170" s="638"/>
      <c r="P170" s="638"/>
      <c r="Q170" s="638">
        <v>0</v>
      </c>
      <c r="R170" s="638">
        <v>0</v>
      </c>
      <c r="S170" s="484"/>
      <c r="T170" s="638">
        <v>35</v>
      </c>
      <c r="U170" s="638"/>
      <c r="V170" s="638"/>
      <c r="W170" s="1239">
        <v>0.8</v>
      </c>
      <c r="X170" s="638"/>
      <c r="Y170" s="638"/>
      <c r="Z170" s="638"/>
      <c r="AA170" s="638"/>
      <c r="AB170" s="638"/>
      <c r="AC170" s="1239" t="s">
        <v>4090</v>
      </c>
      <c r="AD170" s="638"/>
      <c r="AE170" s="638"/>
      <c r="AF170" s="638">
        <v>5600</v>
      </c>
      <c r="AG170" s="446">
        <v>89081</v>
      </c>
      <c r="AH170" s="638">
        <v>2263</v>
      </c>
      <c r="AI170" s="638">
        <v>200</v>
      </c>
      <c r="AJ170" s="638"/>
      <c r="AK170" s="638"/>
      <c r="AL170" s="1239" t="s">
        <v>2135</v>
      </c>
      <c r="AM170" s="1239" t="s">
        <v>1042</v>
      </c>
      <c r="AN170" s="455">
        <v>5.15</v>
      </c>
      <c r="AO170" s="1239"/>
      <c r="AP170" s="1239"/>
      <c r="AQ170" s="484"/>
      <c r="AR170" s="484"/>
      <c r="AS170" s="484"/>
      <c r="AT170" s="484">
        <f>+ab($T$170,$T$168,$T$172,$G$169,$G$171,-1*$F$170,1200)</f>
        <v>6.7533154091294669</v>
      </c>
      <c r="AU170" s="638"/>
      <c r="AV170" s="638"/>
      <c r="AW170" s="638" t="str">
        <f>VLOOKUP(C170,'Foundation Calculation'!$A$2:$C$33,3,1)</f>
        <v>Soil B</v>
      </c>
      <c r="AX170" s="572" t="str">
        <f>VLOOKUP(C170,'Foundation Calculation'!$E$2:$G$33,3,1)</f>
        <v>PT</v>
      </c>
      <c r="AY170" s="484">
        <f>IF(AX170="PT",VLOOKUP(L170,'Foundation Calculation'!$K$2:$R$40,VLOOKUP(AW170,'Foundation Calculation'!$I$2:$J$8,2,FALSE),0),IF(AX170="K",VLOOKUP(L170,'Foundation Calculation'!$K$42:$R$80,VLOOKUP(AW170,'Foundation Calculation'!$I$2:$J$8,2,FALSE),0),""))</f>
        <v>5.3</v>
      </c>
      <c r="AZ170" s="484"/>
      <c r="BA170" s="671" t="s">
        <v>2809</v>
      </c>
      <c r="BB170" s="1239" t="str">
        <f>Pole_Calculations!A178</f>
        <v>App.8-V08F-P10.3</v>
      </c>
      <c r="BC170" s="169"/>
      <c r="BD170" s="1371"/>
      <c r="BE170" s="1371"/>
      <c r="BF170" s="1371"/>
      <c r="BG170" s="1371"/>
    </row>
    <row r="171" spans="1:59" ht="15.75" customHeight="1">
      <c r="A171" s="1239"/>
      <c r="B171" s="447"/>
      <c r="C171" s="446"/>
      <c r="D171" s="448"/>
      <c r="E171" s="448"/>
      <c r="F171" s="448"/>
      <c r="G171" s="484">
        <v>55</v>
      </c>
      <c r="H171" s="1239"/>
      <c r="I171" s="448"/>
      <c r="J171" s="171">
        <f>C170+7.5</f>
        <v>89089.05</v>
      </c>
      <c r="K171" s="638" t="s">
        <v>2787</v>
      </c>
      <c r="L171" s="638"/>
      <c r="M171" s="638"/>
      <c r="N171" s="638"/>
      <c r="O171" s="638"/>
      <c r="P171" s="638"/>
      <c r="Q171" s="638"/>
      <c r="R171" s="638"/>
      <c r="S171" s="484">
        <f t="shared" ref="S171" si="80">AG172-AG170</f>
        <v>55</v>
      </c>
      <c r="T171" s="638"/>
      <c r="U171" s="638"/>
      <c r="V171" s="638"/>
      <c r="W171" s="638"/>
      <c r="X171" s="638"/>
      <c r="Y171" s="638"/>
      <c r="Z171" s="638"/>
      <c r="AA171" s="638"/>
      <c r="AB171" s="638"/>
      <c r="AC171" s="1239"/>
      <c r="AD171" s="638"/>
      <c r="AE171" s="638"/>
      <c r="AF171" s="638"/>
      <c r="AG171" s="446"/>
      <c r="AH171" s="638"/>
      <c r="AI171" s="638"/>
      <c r="AJ171" s="638"/>
      <c r="AK171" s="638"/>
      <c r="AL171" s="1239"/>
      <c r="AM171" s="1239"/>
      <c r="AN171" s="455"/>
      <c r="AO171" s="1239"/>
      <c r="AP171" s="1239"/>
      <c r="AQ171" s="484">
        <f>+FL_1($T$172,$T$170,$G$171,1200,9.28,-1*$F$172)</f>
        <v>0.39714735709090898</v>
      </c>
      <c r="AR171" s="484"/>
      <c r="AS171" s="484"/>
      <c r="AT171" s="484"/>
      <c r="AU171" s="638"/>
      <c r="AV171" s="638"/>
      <c r="AW171" s="638" t="str">
        <f>VLOOKUP(J171,'Foundation Calculation'!$A$2:$C$33,3,1)</f>
        <v>Soil B</v>
      </c>
      <c r="AX171" s="572" t="str">
        <f>VLOOKUP(J171,'Foundation Calculation'!$E$2:$G$33,3,1)</f>
        <v>PT</v>
      </c>
      <c r="AY171" s="484"/>
      <c r="AZ171" s="484">
        <f>IF(AX171="PT",VLOOKUP(K171,'Foundation Calculation'!$K$2:$R$40,VLOOKUP(AW171,'Foundation Calculation'!$I$2:$J$8,2,FALSE),0),IF(AX171="K",VLOOKUP(K171,'Foundation Calculation'!$K$42:$R$80,VLOOKUP(AW171,'Foundation Calculation'!$I$2:$J$8,2,FALSE),0),""))</f>
        <v>3.9</v>
      </c>
      <c r="BA171" s="671" t="s">
        <v>2809</v>
      </c>
      <c r="BB171" s="1239"/>
      <c r="BC171" s="169"/>
      <c r="BD171" s="1329"/>
      <c r="BE171" s="1330"/>
      <c r="BF171" s="1330"/>
      <c r="BG171" s="1330"/>
    </row>
    <row r="172" spans="1:59" ht="15.75" customHeight="1">
      <c r="A172" s="1239"/>
      <c r="B172" s="582" t="s">
        <v>2916</v>
      </c>
      <c r="C172" s="446">
        <f>+$C$170+$G$171</f>
        <v>89136.55</v>
      </c>
      <c r="D172" s="448"/>
      <c r="E172" s="448"/>
      <c r="F172" s="448">
        <v>0</v>
      </c>
      <c r="G172" s="484"/>
      <c r="H172" s="1239"/>
      <c r="I172" s="448"/>
      <c r="J172" s="171"/>
      <c r="K172" s="638"/>
      <c r="L172" s="1239" t="s">
        <v>4393</v>
      </c>
      <c r="M172" s="1239" t="str">
        <f>IF(AX172="PT",VLOOKUP(L172,'Foundation Calculation'!$V$2:$X$40,VLOOKUP(AX172,'Foundation Calculation'!$I$10:$J$13,2,FALSE),0),IF(AX172="K",VLOOKUP(L172,'Foundation Calculation'!$V$42:$X$80,VLOOKUP(AX172,'Foundation Calculation'!$I$10:$J$13,2,FALSE),0),""))</f>
        <v>2C4R</v>
      </c>
      <c r="N172" s="638" t="s">
        <v>143</v>
      </c>
      <c r="O172" s="638"/>
      <c r="P172" s="638"/>
      <c r="Q172" s="638">
        <v>0</v>
      </c>
      <c r="R172" s="638">
        <v>0</v>
      </c>
      <c r="S172" s="484"/>
      <c r="T172" s="638">
        <v>-35</v>
      </c>
      <c r="U172" s="638"/>
      <c r="V172" s="638"/>
      <c r="W172" s="638">
        <v>1</v>
      </c>
      <c r="X172" s="638"/>
      <c r="Y172" s="638"/>
      <c r="Z172" s="638"/>
      <c r="AA172" s="638"/>
      <c r="AB172" s="638"/>
      <c r="AC172" s="1239" t="s">
        <v>4090</v>
      </c>
      <c r="AD172" s="638"/>
      <c r="AE172" s="638"/>
      <c r="AF172" s="638">
        <v>5800</v>
      </c>
      <c r="AG172" s="446">
        <v>89136</v>
      </c>
      <c r="AH172" s="638">
        <v>3523</v>
      </c>
      <c r="AI172" s="638">
        <v>230</v>
      </c>
      <c r="AJ172" s="638"/>
      <c r="AK172" s="638"/>
      <c r="AL172" s="1239" t="s">
        <v>2135</v>
      </c>
      <c r="AM172" s="1239" t="s">
        <v>1042</v>
      </c>
      <c r="AN172" s="455">
        <v>5.23</v>
      </c>
      <c r="AO172" s="1239"/>
      <c r="AP172" s="1239"/>
      <c r="AQ172" s="484"/>
      <c r="AR172" s="484"/>
      <c r="AS172" s="484"/>
      <c r="AT172" s="484">
        <f>+ab($T$172,$T$170,$T$174,$G$171,$G$173,-1*$F$172,1200)</f>
        <v>-7.495600280563588</v>
      </c>
      <c r="AU172" s="638"/>
      <c r="AV172" s="638"/>
      <c r="AW172" s="638" t="str">
        <f>VLOOKUP(C172,'Foundation Calculation'!$A$2:$C$33,3,1)</f>
        <v>Soil B</v>
      </c>
      <c r="AX172" s="572" t="str">
        <f>VLOOKUP(C172,'Foundation Calculation'!$E$2:$G$33,3,1)</f>
        <v>PT</v>
      </c>
      <c r="AY172" s="484">
        <f>IF(AX172="PT",VLOOKUP(L172,'Foundation Calculation'!$K$2:$R$40,VLOOKUP(AW172,'Foundation Calculation'!$I$2:$J$8,2,FALSE),0),IF(AX172="K",VLOOKUP(L172,'Foundation Calculation'!$K$42:$R$80,VLOOKUP(AW172,'Foundation Calculation'!$I$2:$J$8,2,FALSE),0),""))</f>
        <v>5.3</v>
      </c>
      <c r="AZ172" s="484"/>
      <c r="BA172" s="671" t="s">
        <v>2809</v>
      </c>
      <c r="BB172" s="1239" t="str">
        <f>Pole_Calculations!A178</f>
        <v>App.8-V08F-P10.3</v>
      </c>
      <c r="BC172" s="169"/>
      <c r="BD172" s="1371">
        <v>43852</v>
      </c>
      <c r="BE172" s="1371"/>
      <c r="BF172" s="1371"/>
      <c r="BG172" s="1371"/>
    </row>
    <row r="173" spans="1:59" ht="15.75" customHeight="1">
      <c r="A173" s="1239"/>
      <c r="B173" s="447"/>
      <c r="C173" s="446"/>
      <c r="D173" s="448"/>
      <c r="E173" s="448"/>
      <c r="F173" s="448"/>
      <c r="G173" s="484">
        <v>55</v>
      </c>
      <c r="H173" s="1239"/>
      <c r="I173" s="448"/>
      <c r="J173" s="171"/>
      <c r="K173" s="638"/>
      <c r="L173" s="638"/>
      <c r="M173" s="638"/>
      <c r="N173" s="638"/>
      <c r="O173" s="638"/>
      <c r="P173" s="638"/>
      <c r="Q173" s="638"/>
      <c r="R173" s="638"/>
      <c r="S173" s="484">
        <f t="shared" ref="S173" si="81">AG174-AG172</f>
        <v>55</v>
      </c>
      <c r="T173" s="638"/>
      <c r="U173" s="638"/>
      <c r="V173" s="638"/>
      <c r="W173" s="638"/>
      <c r="X173" s="638"/>
      <c r="Y173" s="638"/>
      <c r="Z173" s="638"/>
      <c r="AA173" s="638"/>
      <c r="AB173" s="638"/>
      <c r="AC173" s="1239"/>
      <c r="AD173" s="638"/>
      <c r="AE173" s="638"/>
      <c r="AF173" s="638"/>
      <c r="AG173" s="446"/>
      <c r="AH173" s="638"/>
      <c r="AI173" s="638"/>
      <c r="AJ173" s="638"/>
      <c r="AK173" s="638"/>
      <c r="AL173" s="638"/>
      <c r="AM173" s="638"/>
      <c r="AN173" s="455"/>
      <c r="AO173" s="1239"/>
      <c r="AP173" s="1239"/>
      <c r="AQ173" s="484">
        <f>+FL_2($T$174,$T$172,$G$173,1200,9.28,-1*$F$174)</f>
        <v>-0.39714735709090898</v>
      </c>
      <c r="AR173" s="484"/>
      <c r="AS173" s="484"/>
      <c r="AT173" s="484"/>
      <c r="AU173" s="638"/>
      <c r="AV173" s="638"/>
      <c r="AW173" s="638"/>
      <c r="AX173" s="638"/>
      <c r="AY173" s="484"/>
      <c r="AZ173" s="484"/>
      <c r="BA173" s="671"/>
      <c r="BB173" s="1239"/>
      <c r="BC173" s="169"/>
      <c r="BD173" s="1330"/>
      <c r="BE173" s="1330"/>
      <c r="BF173" s="1330"/>
      <c r="BG173" s="1330"/>
    </row>
    <row r="174" spans="1:59" ht="15.75" customHeight="1">
      <c r="A174" s="1239"/>
      <c r="B174" s="582" t="s">
        <v>2917</v>
      </c>
      <c r="C174" s="446">
        <f>+$C$172+$G$173</f>
        <v>89191.55</v>
      </c>
      <c r="D174" s="448"/>
      <c r="E174" s="448"/>
      <c r="F174" s="448">
        <v>0</v>
      </c>
      <c r="G174" s="484"/>
      <c r="H174" s="1239"/>
      <c r="I174" s="448"/>
      <c r="J174" s="171"/>
      <c r="K174" s="638"/>
      <c r="L174" s="1239" t="s">
        <v>4393</v>
      </c>
      <c r="M174" s="1239" t="str">
        <f>IF(AX174="PT",VLOOKUP(L174,'Foundation Calculation'!$V$2:$X$40,VLOOKUP(AX174,'Foundation Calculation'!$I$10:$J$13,2,FALSE),0),IF(AX174="K",VLOOKUP(L174,'Foundation Calculation'!$V$42:$X$80,VLOOKUP(AX174,'Foundation Calculation'!$I$10:$J$13,2,FALSE),0),""))</f>
        <v>2C4R</v>
      </c>
      <c r="N174" s="638" t="s">
        <v>144</v>
      </c>
      <c r="O174" s="638"/>
      <c r="P174" s="638"/>
      <c r="Q174" s="638">
        <v>0</v>
      </c>
      <c r="R174" s="638">
        <v>0</v>
      </c>
      <c r="S174" s="484"/>
      <c r="T174" s="638">
        <v>35</v>
      </c>
      <c r="U174" s="638"/>
      <c r="V174" s="638"/>
      <c r="W174" s="638">
        <v>1.2</v>
      </c>
      <c r="X174" s="638"/>
      <c r="Y174" s="638"/>
      <c r="Z174" s="638"/>
      <c r="AA174" s="638"/>
      <c r="AB174" s="638"/>
      <c r="AC174" s="1239" t="s">
        <v>1421</v>
      </c>
      <c r="AD174" s="638"/>
      <c r="AE174" s="638"/>
      <c r="AF174" s="638">
        <v>5200</v>
      </c>
      <c r="AG174" s="446">
        <v>89191</v>
      </c>
      <c r="AH174" s="638">
        <v>3573</v>
      </c>
      <c r="AI174" s="638">
        <v>-140</v>
      </c>
      <c r="AJ174" s="638"/>
      <c r="AK174" s="638"/>
      <c r="AL174" s="1239" t="s">
        <v>2135</v>
      </c>
      <c r="AM174" s="1239" t="s">
        <v>1042</v>
      </c>
      <c r="AN174" s="455">
        <v>5.33</v>
      </c>
      <c r="AO174" s="1239"/>
      <c r="AP174" s="1239"/>
      <c r="AQ174" s="484"/>
      <c r="AR174" s="484"/>
      <c r="AS174" s="484"/>
      <c r="AT174" s="484">
        <f>+ab($T$174,$T$172,$T$176,$G$173,$G$175,-1*$F$174,1200)</f>
        <v>8.5440289247461134</v>
      </c>
      <c r="AU174" s="638"/>
      <c r="AV174" s="638"/>
      <c r="AW174" s="638" t="str">
        <f>VLOOKUP(C174,'Foundation Calculation'!$A$2:$C$33,3,1)</f>
        <v>Soil B</v>
      </c>
      <c r="AX174" s="572" t="str">
        <f>VLOOKUP(C174,'Foundation Calculation'!$E$2:$G$33,3,1)</f>
        <v>PT</v>
      </c>
      <c r="AY174" s="484">
        <f>IF(AX174="PT",VLOOKUP(L174,'Foundation Calculation'!$K$2:$R$40,VLOOKUP(AW174,'Foundation Calculation'!$I$2:$J$8,2,FALSE),0),IF(AX174="K",VLOOKUP(L174,'Foundation Calculation'!$K$42:$R$80,VLOOKUP(AW174,'Foundation Calculation'!$I$2:$J$8,2,FALSE),0),""))</f>
        <v>5.3</v>
      </c>
      <c r="AZ174" s="484"/>
      <c r="BA174" s="671" t="s">
        <v>2809</v>
      </c>
      <c r="BB174" s="1239" t="str">
        <f>Pole_Calculations!A178</f>
        <v>App.8-V08F-P10.3</v>
      </c>
      <c r="BC174" s="169"/>
      <c r="BD174" s="1371">
        <v>43852</v>
      </c>
      <c r="BE174" s="1371"/>
      <c r="BF174" s="1371"/>
      <c r="BG174" s="1371"/>
    </row>
    <row r="175" spans="1:59" ht="15.75" customHeight="1">
      <c r="A175" s="1239"/>
      <c r="B175" s="447"/>
      <c r="C175" s="446"/>
      <c r="D175" s="448"/>
      <c r="E175" s="448"/>
      <c r="F175" s="448"/>
      <c r="G175" s="484">
        <v>57.5</v>
      </c>
      <c r="H175" s="1239"/>
      <c r="I175" s="448"/>
      <c r="J175" s="171">
        <f>C176-7.5</f>
        <v>89241.55</v>
      </c>
      <c r="K175" s="638" t="s">
        <v>2787</v>
      </c>
      <c r="L175" s="638"/>
      <c r="M175" s="638"/>
      <c r="N175" s="638"/>
      <c r="O175" s="638"/>
      <c r="P175" s="638"/>
      <c r="Q175" s="638"/>
      <c r="R175" s="638"/>
      <c r="S175" s="484">
        <f t="shared" ref="S175" si="82">AG176-AG174</f>
        <v>58</v>
      </c>
      <c r="T175" s="638"/>
      <c r="U175" s="638"/>
      <c r="V175" s="638"/>
      <c r="W175" s="638"/>
      <c r="X175" s="638"/>
      <c r="Y175" s="638"/>
      <c r="Z175" s="638"/>
      <c r="AA175" s="638"/>
      <c r="AB175" s="638"/>
      <c r="AC175" s="1239"/>
      <c r="AD175" s="638"/>
      <c r="AE175" s="638"/>
      <c r="AF175" s="638"/>
      <c r="AG175" s="446"/>
      <c r="AH175" s="638"/>
      <c r="AI175" s="638"/>
      <c r="AJ175" s="638"/>
      <c r="AK175" s="638"/>
      <c r="AL175" s="638"/>
      <c r="AM175" s="638"/>
      <c r="AN175" s="455"/>
      <c r="AO175" s="1239"/>
      <c r="AP175" s="1239"/>
      <c r="AQ175" s="484">
        <f>+FL_1($T$176,$T$174,$G$175,1200,9.28,-1*$F$176)</f>
        <v>0.45375937113043485</v>
      </c>
      <c r="AR175" s="484"/>
      <c r="AS175" s="484"/>
      <c r="AT175" s="484"/>
      <c r="AU175" s="638"/>
      <c r="AV175" s="638"/>
      <c r="AW175" s="638" t="str">
        <f>VLOOKUP(J175,'Foundation Calculation'!$A$2:$C$33,3,1)</f>
        <v>Soil B</v>
      </c>
      <c r="AX175" s="572" t="str">
        <f>VLOOKUP(J175,'Foundation Calculation'!$E$2:$G$33,3,1)</f>
        <v>PT</v>
      </c>
      <c r="AY175" s="484"/>
      <c r="AZ175" s="484">
        <f>IF(AX175="PT",VLOOKUP(K175,'Foundation Calculation'!$K$2:$R$40,VLOOKUP(AW175,'Foundation Calculation'!$I$2:$J$8,2,FALSE),0),IF(AX175="K",VLOOKUP(K175,'Foundation Calculation'!$K$42:$R$80,VLOOKUP(AW175,'Foundation Calculation'!$I$2:$J$8,2,FALSE),0),""))</f>
        <v>3.9</v>
      </c>
      <c r="BA175" s="671" t="s">
        <v>2809</v>
      </c>
      <c r="BB175" s="1239"/>
      <c r="BC175" s="169"/>
      <c r="BD175" s="1329">
        <v>43852</v>
      </c>
      <c r="BE175" s="1330"/>
      <c r="BF175" s="1330"/>
      <c r="BG175" s="1330"/>
    </row>
    <row r="176" spans="1:59" ht="15.75" customHeight="1">
      <c r="A176" s="1239"/>
      <c r="B176" s="582" t="s">
        <v>2918</v>
      </c>
      <c r="C176" s="446">
        <f>+$C$174+$G$175</f>
        <v>89249.05</v>
      </c>
      <c r="D176" s="448"/>
      <c r="E176" s="448"/>
      <c r="F176" s="448">
        <v>0</v>
      </c>
      <c r="G176" s="484"/>
      <c r="H176" s="1239" t="s">
        <v>4905</v>
      </c>
      <c r="I176" s="448" t="s">
        <v>624</v>
      </c>
      <c r="J176" s="171">
        <f>C176+7.5</f>
        <v>89256.55</v>
      </c>
      <c r="K176" s="638" t="s">
        <v>2788</v>
      </c>
      <c r="L176" s="1239" t="s">
        <v>4393</v>
      </c>
      <c r="M176" s="1239" t="str">
        <f>IF(AX176="PT",VLOOKUP(L176,'Foundation Calculation'!$V$2:$X$40,VLOOKUP(AX176,'Foundation Calculation'!$I$10:$J$13,2,FALSE),0),IF(AX176="K",VLOOKUP(L176,'Foundation Calculation'!$V$42:$X$80,VLOOKUP(AX176,'Foundation Calculation'!$I$10:$J$13,2,FALSE),0),""))</f>
        <v>2C4R</v>
      </c>
      <c r="N176" s="638" t="s">
        <v>143</v>
      </c>
      <c r="O176" s="638"/>
      <c r="P176" s="638"/>
      <c r="Q176" s="638">
        <v>0</v>
      </c>
      <c r="R176" s="638">
        <v>0</v>
      </c>
      <c r="S176" s="484"/>
      <c r="T176" s="1353">
        <v>-20</v>
      </c>
      <c r="U176" s="1353"/>
      <c r="V176" s="1353"/>
      <c r="W176" s="1353">
        <v>1.4</v>
      </c>
      <c r="X176" s="1353"/>
      <c r="Y176" s="1353"/>
      <c r="Z176" s="1353"/>
      <c r="AA176" s="1353"/>
      <c r="AB176" s="1353"/>
      <c r="AC176" s="1285" t="s">
        <v>1421</v>
      </c>
      <c r="AD176" s="1353"/>
      <c r="AE176" s="1353"/>
      <c r="AF176" s="1353">
        <v>5600</v>
      </c>
      <c r="AG176" s="1360">
        <v>89249</v>
      </c>
      <c r="AH176" s="1353">
        <v>3193</v>
      </c>
      <c r="AI176" s="1353">
        <v>-60</v>
      </c>
      <c r="AJ176" s="638"/>
      <c r="AK176" s="638"/>
      <c r="AL176" s="1239" t="s">
        <v>2135</v>
      </c>
      <c r="AM176" s="1239" t="s">
        <v>1042</v>
      </c>
      <c r="AN176" s="455">
        <v>5.43</v>
      </c>
      <c r="AO176" s="1239"/>
      <c r="AP176" s="1239"/>
      <c r="AQ176" s="484"/>
      <c r="AR176" s="484"/>
      <c r="AS176" s="484"/>
      <c r="AT176" s="484">
        <f>+ab($T$176,$T$174,$U$178,$G$175,$G$177,-1*$F$176,1200)</f>
        <v>-25.362756300420866</v>
      </c>
      <c r="AU176" s="638"/>
      <c r="AV176" s="638"/>
      <c r="AW176" s="638" t="str">
        <f>VLOOKUP(C176,'Foundation Calculation'!$A$2:$C$33,3,1)</f>
        <v>Soil B</v>
      </c>
      <c r="AX176" s="572" t="str">
        <f>VLOOKUP(C176,'Foundation Calculation'!$E$2:$G$33,3,1)</f>
        <v>PT</v>
      </c>
      <c r="AY176" s="484">
        <f>IF(AX176="PT",VLOOKUP(L176,'Foundation Calculation'!$K$2:$R$40,VLOOKUP(AW176,'Foundation Calculation'!$I$2:$J$8,2,FALSE),0),IF(AX176="K",VLOOKUP(L176,'Foundation Calculation'!$K$42:$R$80,VLOOKUP(AW176,'Foundation Calculation'!$I$2:$J$8,2,FALSE),0),""))</f>
        <v>5.3</v>
      </c>
      <c r="AZ176" s="484">
        <f>IF(AX176="PT",VLOOKUP(K176,'Foundation Calculation'!$K$2:$R$40,VLOOKUP(AW176,'Foundation Calculation'!$I$2:$J$8,2,FALSE),0),IF(AX176="K",VLOOKUP(K176,'Foundation Calculation'!$K$42:$R$80,VLOOKUP(AW176,'Foundation Calculation'!$I$2:$J$8,2,FALSE),0),""))</f>
        <v>2.8</v>
      </c>
      <c r="BA176" s="671" t="s">
        <v>2809</v>
      </c>
      <c r="BB176" s="1239" t="str">
        <f>Pole_Calculations!A178</f>
        <v>App.8-V08F-P10.3</v>
      </c>
      <c r="BC176" s="169"/>
      <c r="BD176" s="1329">
        <v>43852</v>
      </c>
      <c r="BE176" s="1329"/>
      <c r="BF176" s="1329"/>
      <c r="BG176" s="1329"/>
    </row>
    <row r="177" spans="1:59" ht="15.75" customHeight="1">
      <c r="A177" s="647"/>
      <c r="B177" s="648"/>
      <c r="C177" s="649"/>
      <c r="D177" s="650"/>
      <c r="E177" s="650"/>
      <c r="F177" s="650"/>
      <c r="G177" s="654">
        <v>60</v>
      </c>
      <c r="H177" s="647"/>
      <c r="I177" s="650"/>
      <c r="J177" s="652">
        <f>C178-7</f>
        <v>89302.05</v>
      </c>
      <c r="K177" s="653" t="s">
        <v>2787</v>
      </c>
      <c r="L177" s="653"/>
      <c r="M177" s="653"/>
      <c r="N177" s="653"/>
      <c r="O177" s="653"/>
      <c r="P177" s="653"/>
      <c r="Q177" s="653"/>
      <c r="R177" s="653"/>
      <c r="S177" s="654">
        <f t="shared" ref="S177" si="83">AG178-AG176</f>
        <v>60</v>
      </c>
      <c r="T177" s="653"/>
      <c r="U177" s="653"/>
      <c r="V177" s="653"/>
      <c r="W177" s="653"/>
      <c r="X177" s="653"/>
      <c r="Y177" s="653"/>
      <c r="Z177" s="653"/>
      <c r="AA177" s="653"/>
      <c r="AB177" s="653"/>
      <c r="AC177" s="647"/>
      <c r="AD177" s="653"/>
      <c r="AE177" s="653"/>
      <c r="AF177" s="653"/>
      <c r="AG177" s="649"/>
      <c r="AH177" s="653"/>
      <c r="AI177" s="653"/>
      <c r="AJ177" s="653"/>
      <c r="AK177" s="653"/>
      <c r="AL177" s="653"/>
      <c r="AM177" s="653"/>
      <c r="AN177" s="651"/>
      <c r="AO177" s="647"/>
      <c r="AP177" s="647"/>
      <c r="AQ177" s="654">
        <f>+FL_2($U$178,$T$176,$G$177,1200,9.28,-1*$F$178)</f>
        <v>-0.62704094533333321</v>
      </c>
      <c r="AR177" s="654"/>
      <c r="AS177" s="654"/>
      <c r="AT177" s="654"/>
      <c r="AU177" s="653"/>
      <c r="AV177" s="653"/>
      <c r="AW177" s="653" t="str">
        <f>VLOOKUP(J177,'Foundation Calculation'!$A$2:$C$33,3,1)</f>
        <v>Soil B</v>
      </c>
      <c r="AX177" s="653" t="str">
        <f>VLOOKUP(J177,'Foundation Calculation'!$E$2:$G$33,3,1)</f>
        <v>PT</v>
      </c>
      <c r="AY177" s="654"/>
      <c r="AZ177" s="654">
        <f>IF(AX177="PT",VLOOKUP(K177,'Foundation Calculation'!$K$2:$R$40,VLOOKUP(AW177,'Foundation Calculation'!$I$2:$J$8,2,FALSE),0),IF(AX177="K",VLOOKUP(K177,'Foundation Calculation'!$K$42:$R$80,VLOOKUP(AW177,'Foundation Calculation'!$I$2:$J$8,2,FALSE),0),""))</f>
        <v>3.9</v>
      </c>
      <c r="BA177" s="701" t="s">
        <v>2809</v>
      </c>
      <c r="BB177" s="647"/>
      <c r="BC177" s="169"/>
      <c r="BD177" s="1329">
        <v>43853</v>
      </c>
      <c r="BE177" s="1330"/>
      <c r="BF177" s="1330"/>
      <c r="BG177" s="1330"/>
    </row>
    <row r="178" spans="1:59" ht="15.75" customHeight="1">
      <c r="A178" s="1239"/>
      <c r="B178" s="582" t="s">
        <v>2919</v>
      </c>
      <c r="C178" s="446">
        <f>+$C$176+$G$177</f>
        <v>89309.05</v>
      </c>
      <c r="D178" s="448"/>
      <c r="E178" s="448"/>
      <c r="F178" s="448">
        <v>0</v>
      </c>
      <c r="G178" s="484"/>
      <c r="H178" s="1239" t="s">
        <v>2133</v>
      </c>
      <c r="I178" s="448" t="s">
        <v>623</v>
      </c>
      <c r="J178" s="171"/>
      <c r="K178" s="638"/>
      <c r="L178" s="1239" t="s">
        <v>4393</v>
      </c>
      <c r="M178" s="1239" t="str">
        <f>IF(AX178="PT",VLOOKUP(L178,'Foundation Calculation'!$V$2:$X$40,VLOOKUP(AX178,'Foundation Calculation'!$I$10:$J$13,2,FALSE),0),IF(AX178="K",VLOOKUP(L178,'Foundation Calculation'!$V$42:$X$80,VLOOKUP(AX178,'Foundation Calculation'!$I$10:$J$13,2,FALSE),0),""))</f>
        <v>2C4R</v>
      </c>
      <c r="N178" s="1239" t="s">
        <v>140</v>
      </c>
      <c r="O178" s="1239" t="s">
        <v>143</v>
      </c>
      <c r="P178" s="638"/>
      <c r="Q178" s="638">
        <v>0</v>
      </c>
      <c r="R178" s="638">
        <v>0</v>
      </c>
      <c r="S178" s="484"/>
      <c r="T178" s="638">
        <v>-15</v>
      </c>
      <c r="U178" s="638">
        <v>-35</v>
      </c>
      <c r="V178" s="638"/>
      <c r="W178" s="638">
        <v>1.4</v>
      </c>
      <c r="X178" s="638">
        <v>1.8</v>
      </c>
      <c r="Y178" s="638"/>
      <c r="Z178" s="638">
        <v>0.6</v>
      </c>
      <c r="AA178" s="638"/>
      <c r="AB178" s="638"/>
      <c r="AC178" s="1239" t="s">
        <v>1421</v>
      </c>
      <c r="AD178" s="638"/>
      <c r="AE178" s="638"/>
      <c r="AF178" s="638">
        <v>6000</v>
      </c>
      <c r="AG178" s="446">
        <v>89309</v>
      </c>
      <c r="AH178" s="638">
        <v>2653</v>
      </c>
      <c r="AI178" s="638">
        <v>130</v>
      </c>
      <c r="AJ178" s="638"/>
      <c r="AK178" s="638"/>
      <c r="AL178" s="1239" t="s">
        <v>2135</v>
      </c>
      <c r="AM178" s="1239" t="s">
        <v>1042</v>
      </c>
      <c r="AN178" s="455">
        <v>5.5</v>
      </c>
      <c r="AO178" s="1239"/>
      <c r="AP178" s="1239"/>
      <c r="AQ178" s="484"/>
      <c r="AR178" s="484"/>
      <c r="AS178" s="484"/>
      <c r="AT178" s="484">
        <f>+ab($U$178,$T$176,-$U$180,$G$177,$G$179,-1*$F$178,1200)</f>
        <v>-12.192766942951225</v>
      </c>
      <c r="AU178" s="638"/>
      <c r="AV178" s="638"/>
      <c r="AW178" s="638" t="str">
        <f>VLOOKUP(C178,'Foundation Calculation'!$A$2:$C$33,3,1)</f>
        <v>Soil B</v>
      </c>
      <c r="AX178" s="572" t="str">
        <f>VLOOKUP(C178,'Foundation Calculation'!$E$2:$G$33,3,1)</f>
        <v>PT</v>
      </c>
      <c r="AY178" s="484">
        <f>IF(AX178="PT",VLOOKUP(L178,'Foundation Calculation'!$K$2:$R$40,VLOOKUP(AW178,'Foundation Calculation'!$I$2:$J$8,2,FALSE),0),IF(AX178="K",VLOOKUP(L178,'Foundation Calculation'!$K$42:$R$80,VLOOKUP(AW178,'Foundation Calculation'!$I$2:$J$8,2,FALSE),0),""))</f>
        <v>5.3</v>
      </c>
      <c r="AZ178" s="484"/>
      <c r="BA178" s="671" t="s">
        <v>2809</v>
      </c>
      <c r="BB178" s="1239" t="str">
        <f>Pole_Calculations!A178</f>
        <v>App.8-V08F-P10.3</v>
      </c>
      <c r="BC178" s="169"/>
      <c r="BD178" s="1371">
        <v>43852</v>
      </c>
      <c r="BE178" s="1371"/>
      <c r="BF178" s="1371"/>
      <c r="BG178" s="1371"/>
    </row>
    <row r="179" spans="1:59" ht="15.75" customHeight="1">
      <c r="A179" s="1239"/>
      <c r="B179" s="447"/>
      <c r="C179" s="446"/>
      <c r="D179" s="448"/>
      <c r="E179" s="448"/>
      <c r="F179" s="448"/>
      <c r="G179" s="455">
        <v>50</v>
      </c>
      <c r="H179" s="1239"/>
      <c r="I179" s="448"/>
      <c r="J179" s="171"/>
      <c r="K179" s="638"/>
      <c r="L179" s="1239"/>
      <c r="M179" s="1239"/>
      <c r="N179" s="1239"/>
      <c r="O179" s="1239"/>
      <c r="P179" s="1239"/>
      <c r="Q179" s="1239"/>
      <c r="R179" s="1239"/>
      <c r="S179" s="455">
        <f t="shared" ref="S179" si="84">AG180-AG178</f>
        <v>49</v>
      </c>
      <c r="T179" s="1239"/>
      <c r="U179" s="1239"/>
      <c r="V179" s="1239"/>
      <c r="W179" s="1239"/>
      <c r="X179" s="1239"/>
      <c r="Y179" s="1239"/>
      <c r="Z179" s="1239"/>
      <c r="AA179" s="1239"/>
      <c r="AB179" s="1239"/>
      <c r="AC179" s="1239"/>
      <c r="AD179" s="1239"/>
      <c r="AE179" s="1239"/>
      <c r="AF179" s="1239"/>
      <c r="AG179" s="171"/>
      <c r="AH179" s="1239"/>
      <c r="AI179" s="1239"/>
      <c r="AJ179" s="1239"/>
      <c r="AK179" s="1239"/>
      <c r="AL179" s="1239"/>
      <c r="AM179" s="1239"/>
      <c r="AN179" s="455"/>
      <c r="AO179" s="1239"/>
      <c r="AP179" s="1239"/>
      <c r="AQ179" s="484">
        <f>+FL_2(-$U$180,$U$178,$G$179,1200,9.28,-1*$F$180)</f>
        <v>-0.37593390799999998</v>
      </c>
      <c r="AR179" s="484"/>
      <c r="AS179" s="484"/>
      <c r="AT179" s="484"/>
      <c r="AU179" s="638"/>
      <c r="AV179" s="638"/>
      <c r="AW179" s="638"/>
      <c r="AX179" s="638"/>
      <c r="AY179" s="484"/>
      <c r="AZ179" s="484"/>
      <c r="BA179" s="671"/>
      <c r="BB179" s="1239"/>
      <c r="BC179" s="169"/>
      <c r="BD179" s="1330"/>
      <c r="BE179" s="1330"/>
      <c r="BF179" s="1330"/>
      <c r="BG179" s="1330"/>
    </row>
    <row r="180" spans="1:59" ht="15.75" customHeight="1">
      <c r="A180" s="1239"/>
      <c r="B180" s="582" t="s">
        <v>3254</v>
      </c>
      <c r="C180" s="446">
        <f>+$C$178+$G$179</f>
        <v>89359.05</v>
      </c>
      <c r="D180" s="448"/>
      <c r="E180" s="448"/>
      <c r="F180" s="448">
        <v>0</v>
      </c>
      <c r="G180" s="455"/>
      <c r="H180" s="1239" t="s">
        <v>619</v>
      </c>
      <c r="I180" s="448"/>
      <c r="J180" s="171"/>
      <c r="K180" s="638"/>
      <c r="L180" s="1239"/>
      <c r="M180" s="1239"/>
      <c r="N180" s="1239" t="s">
        <v>140</v>
      </c>
      <c r="O180" s="1239" t="s">
        <v>143</v>
      </c>
      <c r="P180" s="1239"/>
      <c r="Q180" s="638">
        <v>30</v>
      </c>
      <c r="R180" s="638">
        <v>0</v>
      </c>
      <c r="S180" s="484"/>
      <c r="T180" s="638">
        <v>-45</v>
      </c>
      <c r="U180" s="638">
        <v>-30</v>
      </c>
      <c r="V180" s="638"/>
      <c r="W180" s="638">
        <v>1.4</v>
      </c>
      <c r="X180" s="638">
        <v>1.2</v>
      </c>
      <c r="Y180" s="638"/>
      <c r="Z180" s="638">
        <v>0.45</v>
      </c>
      <c r="AA180" s="638"/>
      <c r="AB180" s="638"/>
      <c r="AC180" s="1239" t="s">
        <v>1421</v>
      </c>
      <c r="AD180" s="638"/>
      <c r="AE180" s="638"/>
      <c r="AF180" s="638">
        <v>5600</v>
      </c>
      <c r="AG180" s="446">
        <v>89358</v>
      </c>
      <c r="AH180" s="638">
        <v>1863</v>
      </c>
      <c r="AI180" s="638">
        <v>40</v>
      </c>
      <c r="AJ180" s="1239"/>
      <c r="AK180" s="1239" t="s">
        <v>228</v>
      </c>
      <c r="AL180" s="638"/>
      <c r="AM180" s="1239"/>
      <c r="AN180" s="455">
        <v>5.5</v>
      </c>
      <c r="AO180" s="1239"/>
      <c r="AP180" s="1239"/>
      <c r="AQ180" s="484"/>
      <c r="AR180" s="484"/>
      <c r="AS180" s="484"/>
      <c r="AT180" s="484">
        <f>+ab($U$180,-$U$178,$V$182,$G$179,$G$181,-1*$F$180,1200)</f>
        <v>-7.6302911312210604</v>
      </c>
      <c r="AU180" s="638"/>
      <c r="AV180" s="638"/>
      <c r="AW180" s="638"/>
      <c r="AX180" s="572"/>
      <c r="AY180" s="484"/>
      <c r="AZ180" s="1301"/>
      <c r="BA180" s="671"/>
      <c r="BB180" s="1239"/>
      <c r="BC180" s="169"/>
      <c r="BD180" s="1330"/>
      <c r="BE180" s="1329"/>
      <c r="BF180" s="1330"/>
      <c r="BG180" s="1329"/>
    </row>
    <row r="181" spans="1:59" ht="15.75" customHeight="1">
      <c r="A181" s="449"/>
      <c r="B181" s="447"/>
      <c r="C181" s="446"/>
      <c r="D181" s="448"/>
      <c r="E181" s="448"/>
      <c r="F181" s="448"/>
      <c r="G181" s="455">
        <v>50</v>
      </c>
      <c r="H181" s="1239"/>
      <c r="I181" s="448"/>
      <c r="J181" s="171"/>
      <c r="K181" s="638"/>
      <c r="L181" s="1239"/>
      <c r="M181" s="1239"/>
      <c r="N181" s="1239"/>
      <c r="O181" s="1239"/>
      <c r="P181" s="1239"/>
      <c r="Q181" s="1239"/>
      <c r="R181" s="1239"/>
      <c r="S181" s="455">
        <f t="shared" ref="S181" si="85">AG182-AG180</f>
        <v>51</v>
      </c>
      <c r="T181" s="1285"/>
      <c r="U181" s="1285"/>
      <c r="V181" s="1285"/>
      <c r="W181" s="1285"/>
      <c r="X181" s="1285"/>
      <c r="Y181" s="1285"/>
      <c r="Z181" s="1285"/>
      <c r="AA181" s="1285"/>
      <c r="AB181" s="1285"/>
      <c r="AC181" s="1285"/>
      <c r="AD181" s="1285"/>
      <c r="AE181" s="1285"/>
      <c r="AF181" s="1285"/>
      <c r="AG181" s="1350"/>
      <c r="AH181" s="1285"/>
      <c r="AI181" s="1285"/>
      <c r="AJ181" s="1239"/>
      <c r="AK181" s="1239"/>
      <c r="AL181" s="1239"/>
      <c r="AM181" s="1239"/>
      <c r="AN181" s="455"/>
      <c r="AO181" s="1239"/>
      <c r="AP181" s="1239"/>
      <c r="AQ181" s="484">
        <f>+FL_1($V$182,$U$180,$G$181,1200,9.28,-1*$F$182)</f>
        <v>0.33477011200000001</v>
      </c>
      <c r="AR181" s="484"/>
      <c r="AS181" s="484"/>
      <c r="AT181" s="484"/>
      <c r="AU181" s="638"/>
      <c r="AV181" s="638"/>
      <c r="AW181" s="638"/>
      <c r="AX181" s="638"/>
      <c r="AY181" s="484"/>
      <c r="AZ181" s="484"/>
      <c r="BA181" s="671"/>
      <c r="BB181" s="449"/>
      <c r="BC181" s="169"/>
      <c r="BD181" s="1330"/>
      <c r="BE181" s="1330"/>
      <c r="BF181" s="1330"/>
      <c r="BG181" s="1330"/>
    </row>
    <row r="182" spans="1:59" ht="15.75" customHeight="1">
      <c r="A182" s="1239"/>
      <c r="B182" s="582" t="s">
        <v>3255</v>
      </c>
      <c r="C182" s="446">
        <f>+$C$180+$G$181</f>
        <v>89409.05</v>
      </c>
      <c r="D182" s="448"/>
      <c r="E182" s="448"/>
      <c r="F182" s="448">
        <v>0</v>
      </c>
      <c r="G182" s="455"/>
      <c r="H182" s="1239" t="s">
        <v>3134</v>
      </c>
      <c r="I182" s="448"/>
      <c r="J182" s="171"/>
      <c r="K182" s="638"/>
      <c r="L182" s="1239"/>
      <c r="M182" s="1239"/>
      <c r="N182" s="1239" t="s">
        <v>140</v>
      </c>
      <c r="O182" s="1239" t="s">
        <v>143</v>
      </c>
      <c r="P182" s="1239" t="s">
        <v>144</v>
      </c>
      <c r="Q182" s="1239">
        <v>0</v>
      </c>
      <c r="R182" s="1239">
        <v>0</v>
      </c>
      <c r="S182" s="455"/>
      <c r="T182" s="1285">
        <v>-15</v>
      </c>
      <c r="U182" s="1285">
        <v>15</v>
      </c>
      <c r="V182" s="1285">
        <v>30</v>
      </c>
      <c r="W182" s="1285">
        <v>1.4</v>
      </c>
      <c r="X182" s="1285">
        <v>1.2</v>
      </c>
      <c r="Y182" s="1285">
        <v>1</v>
      </c>
      <c r="Z182" s="1285">
        <v>0.6</v>
      </c>
      <c r="AA182" s="1285"/>
      <c r="AB182" s="1285"/>
      <c r="AC182" s="1285"/>
      <c r="AD182" s="1285" t="s">
        <v>4207</v>
      </c>
      <c r="AE182" s="1285" t="s">
        <v>1427</v>
      </c>
      <c r="AF182" s="1285">
        <v>5400</v>
      </c>
      <c r="AG182" s="1350">
        <v>89409</v>
      </c>
      <c r="AH182" s="1285">
        <v>2073</v>
      </c>
      <c r="AI182" s="1285">
        <v>-180</v>
      </c>
      <c r="AJ182" s="1239"/>
      <c r="AK182" s="1239" t="s">
        <v>3133</v>
      </c>
      <c r="AL182" s="638"/>
      <c r="AM182" s="1239"/>
      <c r="AN182" s="455">
        <v>5.5</v>
      </c>
      <c r="AO182" s="1239"/>
      <c r="AP182" s="1239"/>
      <c r="AQ182" s="484"/>
      <c r="AR182" s="484"/>
      <c r="AS182" s="484"/>
      <c r="AT182" s="484">
        <f>+ab($V$182,$U$180,$U$184,$G$181,$G$183,-1*$F$182,1200)</f>
        <v>12.039169306374568</v>
      </c>
      <c r="AU182" s="638"/>
      <c r="AV182" s="638"/>
      <c r="AW182" s="638"/>
      <c r="AX182" s="572"/>
      <c r="AY182" s="484"/>
      <c r="AZ182" s="1301"/>
      <c r="BA182" s="671"/>
      <c r="BB182" s="1239"/>
      <c r="BC182" s="169"/>
      <c r="BD182" s="1330"/>
      <c r="BE182" s="1329"/>
      <c r="BF182" s="1330"/>
      <c r="BG182" s="1329"/>
    </row>
    <row r="183" spans="1:59" ht="15.75" customHeight="1">
      <c r="A183" s="1239"/>
      <c r="B183" s="447"/>
      <c r="C183" s="446"/>
      <c r="D183" s="448"/>
      <c r="E183" s="448"/>
      <c r="F183" s="448"/>
      <c r="G183" s="455">
        <v>54</v>
      </c>
      <c r="H183" s="1239"/>
      <c r="I183" s="448"/>
      <c r="J183" s="171"/>
      <c r="K183" s="638"/>
      <c r="L183" s="1239"/>
      <c r="M183" s="1239"/>
      <c r="N183" s="1239"/>
      <c r="O183" s="1239"/>
      <c r="P183" s="1239"/>
      <c r="Q183" s="1239"/>
      <c r="R183" s="1239"/>
      <c r="S183" s="455">
        <f t="shared" ref="S183" si="86">AG184-AG182</f>
        <v>54</v>
      </c>
      <c r="T183" s="1239"/>
      <c r="U183" s="1239"/>
      <c r="V183" s="1239"/>
      <c r="W183" s="1239"/>
      <c r="X183" s="1239"/>
      <c r="Y183" s="1239"/>
      <c r="Z183" s="1239"/>
      <c r="AA183" s="1239"/>
      <c r="AB183" s="1239"/>
      <c r="AC183" s="1239"/>
      <c r="AD183" s="1239"/>
      <c r="AE183" s="1239"/>
      <c r="AF183" s="1239"/>
      <c r="AG183" s="171"/>
      <c r="AH183" s="1239"/>
      <c r="AI183" s="1239"/>
      <c r="AJ183" s="1239"/>
      <c r="AK183" s="1239"/>
      <c r="AL183" s="1239"/>
      <c r="AM183" s="1239"/>
      <c r="AN183" s="455"/>
      <c r="AO183" s="1239"/>
      <c r="AP183" s="1239"/>
      <c r="AQ183" s="484">
        <f>+FL_1($U$184,-$V$182,$G$183,1200,9.28,-1*$F$184)</f>
        <v>0.24501281379162274</v>
      </c>
      <c r="AR183" s="484"/>
      <c r="AS183" s="484"/>
      <c r="AT183" s="484"/>
      <c r="AU183" s="638"/>
      <c r="AV183" s="638"/>
      <c r="AW183" s="638"/>
      <c r="AX183" s="638"/>
      <c r="AY183" s="484"/>
      <c r="AZ183" s="484"/>
      <c r="BA183" s="671"/>
      <c r="BB183" s="1239"/>
      <c r="BC183" s="169"/>
      <c r="BD183" s="1330"/>
      <c r="BE183" s="1330"/>
      <c r="BF183" s="1330"/>
      <c r="BG183" s="1330"/>
    </row>
    <row r="184" spans="1:59" ht="15.75" customHeight="1">
      <c r="A184" s="1239"/>
      <c r="B184" s="582" t="s">
        <v>3256</v>
      </c>
      <c r="C184" s="446">
        <f>+$C$182+$G$183</f>
        <v>89463.05</v>
      </c>
      <c r="D184" s="448"/>
      <c r="E184" s="448"/>
      <c r="F184" s="448">
        <v>11686</v>
      </c>
      <c r="G184" s="455"/>
      <c r="H184" s="1239" t="s">
        <v>619</v>
      </c>
      <c r="I184" s="448"/>
      <c r="J184" s="171"/>
      <c r="K184" s="638"/>
      <c r="L184" s="1239"/>
      <c r="M184" s="1239"/>
      <c r="N184" s="1239" t="s">
        <v>140</v>
      </c>
      <c r="O184" s="1239" t="s">
        <v>144</v>
      </c>
      <c r="P184" s="1239"/>
      <c r="Q184" s="1239">
        <v>0</v>
      </c>
      <c r="R184" s="1239">
        <v>0</v>
      </c>
      <c r="S184" s="455"/>
      <c r="T184" s="1285">
        <v>55</v>
      </c>
      <c r="U184" s="1285">
        <v>10</v>
      </c>
      <c r="V184" s="1285"/>
      <c r="W184" s="1285">
        <v>1.4</v>
      </c>
      <c r="X184" s="1285">
        <v>1.8</v>
      </c>
      <c r="Y184" s="1285"/>
      <c r="Z184" s="1285">
        <v>0.45</v>
      </c>
      <c r="AA184" s="1285"/>
      <c r="AB184" s="1285"/>
      <c r="AC184" s="1285" t="s">
        <v>1421</v>
      </c>
      <c r="AD184" s="1285"/>
      <c r="AE184" s="1285"/>
      <c r="AF184" s="1285">
        <v>5800</v>
      </c>
      <c r="AG184" s="1350">
        <v>89463</v>
      </c>
      <c r="AH184" s="1285">
        <v>1893</v>
      </c>
      <c r="AI184" s="1285">
        <v>10</v>
      </c>
      <c r="AJ184" s="1239"/>
      <c r="AK184" s="1239" t="s">
        <v>228</v>
      </c>
      <c r="AL184" s="638"/>
      <c r="AM184" s="1239"/>
      <c r="AN184" s="455">
        <v>5.5</v>
      </c>
      <c r="AO184" s="1239"/>
      <c r="AP184" s="1239"/>
      <c r="AQ184" s="484"/>
      <c r="AR184" s="484"/>
      <c r="AS184" s="484"/>
      <c r="AT184" s="484">
        <f>+ab($U$184,-$V$182,$U$186,$G$183,$G$185,-1*$F$184,1200)</f>
        <v>11.853088803643649</v>
      </c>
      <c r="AU184" s="638"/>
      <c r="AV184" s="638"/>
      <c r="AW184" s="638"/>
      <c r="AX184" s="572"/>
      <c r="AY184" s="484"/>
      <c r="AZ184" s="1301"/>
      <c r="BA184" s="671"/>
      <c r="BB184" s="1239"/>
      <c r="BC184" s="169"/>
      <c r="BD184" s="1330"/>
      <c r="BE184" s="1329"/>
      <c r="BF184" s="1330"/>
      <c r="BG184" s="1329"/>
    </row>
    <row r="185" spans="1:59" ht="15.75" customHeight="1">
      <c r="A185" s="1239"/>
      <c r="B185" s="447"/>
      <c r="C185" s="446"/>
      <c r="D185" s="448"/>
      <c r="E185" s="448"/>
      <c r="F185" s="448"/>
      <c r="G185" s="455">
        <v>50</v>
      </c>
      <c r="H185" s="1239"/>
      <c r="I185" s="448"/>
      <c r="J185" s="171"/>
      <c r="K185" s="638"/>
      <c r="L185" s="1239"/>
      <c r="M185" s="1239"/>
      <c r="N185" s="1239"/>
      <c r="O185" s="1239"/>
      <c r="P185" s="1239"/>
      <c r="Q185" s="1239"/>
      <c r="R185" s="1239"/>
      <c r="S185" s="455">
        <f t="shared" ref="S185" si="87">AG186-AG184</f>
        <v>50</v>
      </c>
      <c r="T185" s="1239"/>
      <c r="U185" s="1239"/>
      <c r="V185" s="1239"/>
      <c r="W185" s="1239"/>
      <c r="X185" s="1239"/>
      <c r="Y185" s="1239"/>
      <c r="Z185" s="1239"/>
      <c r="AA185" s="1239"/>
      <c r="AB185" s="1239"/>
      <c r="AC185" s="1239"/>
      <c r="AD185" s="1239"/>
      <c r="AE185" s="1239"/>
      <c r="AF185" s="1239"/>
      <c r="AG185" s="171"/>
      <c r="AH185" s="1239"/>
      <c r="AI185" s="1239"/>
      <c r="AJ185" s="1239"/>
      <c r="AK185" s="1239"/>
      <c r="AL185" s="1239"/>
      <c r="AM185" s="1239"/>
      <c r="AN185" s="455"/>
      <c r="AO185" s="1239"/>
      <c r="AP185" s="1239"/>
      <c r="AQ185" s="484">
        <f>+FL_1($U$186,$U$184,$G$185,1200,9.28,-1*$F$186)</f>
        <v>0.20728956942630691</v>
      </c>
      <c r="AR185" s="484"/>
      <c r="AS185" s="484"/>
      <c r="AT185" s="484"/>
      <c r="AU185" s="638"/>
      <c r="AV185" s="638"/>
      <c r="AW185" s="638"/>
      <c r="AX185" s="638"/>
      <c r="AY185" s="484"/>
      <c r="AZ185" s="484"/>
      <c r="BA185" s="671"/>
      <c r="BB185" s="1239"/>
      <c r="BC185" s="169"/>
      <c r="BD185" s="1330"/>
      <c r="BE185" s="1330"/>
      <c r="BF185" s="1330"/>
      <c r="BG185" s="1330"/>
    </row>
    <row r="186" spans="1:59" ht="15.75" customHeight="1">
      <c r="A186" s="1239" t="s">
        <v>3272</v>
      </c>
      <c r="B186" s="582" t="s">
        <v>3257</v>
      </c>
      <c r="C186" s="446">
        <f>+$C$184+$G$185</f>
        <v>89513.05</v>
      </c>
      <c r="D186" s="448"/>
      <c r="E186" s="448"/>
      <c r="F186" s="448">
        <v>2671</v>
      </c>
      <c r="G186" s="455"/>
      <c r="H186" s="1239" t="s">
        <v>619</v>
      </c>
      <c r="I186" s="448" t="s">
        <v>1429</v>
      </c>
      <c r="J186" s="171"/>
      <c r="K186" s="638"/>
      <c r="L186" s="1239"/>
      <c r="M186" s="1239"/>
      <c r="N186" s="1239" t="s">
        <v>143</v>
      </c>
      <c r="O186" s="1239" t="s">
        <v>140</v>
      </c>
      <c r="P186" s="1239"/>
      <c r="Q186" s="1239">
        <v>0</v>
      </c>
      <c r="R186" s="1239">
        <v>0</v>
      </c>
      <c r="S186" s="455"/>
      <c r="T186" s="1347">
        <v>-10</v>
      </c>
      <c r="U186" s="1347">
        <v>-55</v>
      </c>
      <c r="V186" s="1239"/>
      <c r="W186" s="1239">
        <v>1.4</v>
      </c>
      <c r="X186" s="1239"/>
      <c r="Y186" s="1239"/>
      <c r="Z186" s="1239"/>
      <c r="AA186" s="1239">
        <v>0.45</v>
      </c>
      <c r="AB186" s="1239"/>
      <c r="AC186" s="1239" t="str">
        <f>IF(OR(AT186&gt;8,AT186&lt;-8),"PH",IF(OR(AT186&gt;5,AT186&lt;-5),"PH-Q",IF(OR(AT186&gt;1,AT186&lt;-1),"PH-C")))</f>
        <v>PH-Q</v>
      </c>
      <c r="AD186" s="1239"/>
      <c r="AE186" s="1239"/>
      <c r="AF186" s="1239"/>
      <c r="AG186" s="1415">
        <v>89513</v>
      </c>
      <c r="AH186" s="1347">
        <v>4633</v>
      </c>
      <c r="AI186" s="1347">
        <v>170</v>
      </c>
      <c r="AJ186" s="1239" t="s">
        <v>2755</v>
      </c>
      <c r="AK186" s="1239" t="s">
        <v>228</v>
      </c>
      <c r="AL186" s="638"/>
      <c r="AM186" s="1239" t="s">
        <v>1042</v>
      </c>
      <c r="AN186" s="455">
        <v>5.5</v>
      </c>
      <c r="AO186" s="1239"/>
      <c r="AP186" s="1239"/>
      <c r="AQ186" s="484"/>
      <c r="AR186" s="484"/>
      <c r="AS186" s="484"/>
      <c r="AT186" s="484">
        <f>+ab($T$186,$T$184,$T$188,$G$185,$G$187,-1*$F$186,1200)</f>
        <v>-6.9321374315015278</v>
      </c>
      <c r="AU186" s="638"/>
      <c r="AV186" s="638"/>
      <c r="AW186" s="638"/>
      <c r="AX186" s="572"/>
      <c r="AY186" s="484"/>
      <c r="AZ186" s="1301"/>
      <c r="BA186" s="671"/>
      <c r="BB186" s="1239"/>
      <c r="BC186" s="169"/>
      <c r="BD186" s="1330"/>
      <c r="BE186" s="1329"/>
      <c r="BF186" s="1330"/>
      <c r="BG186" s="1329"/>
    </row>
    <row r="187" spans="1:59" ht="15.75" customHeight="1">
      <c r="A187" s="1239"/>
      <c r="B187" s="447"/>
      <c r="C187" s="446"/>
      <c r="D187" s="448"/>
      <c r="E187" s="448"/>
      <c r="F187" s="448"/>
      <c r="G187" s="455">
        <v>40.799999999999997</v>
      </c>
      <c r="H187" s="1239"/>
      <c r="I187" s="448" t="s">
        <v>1039</v>
      </c>
      <c r="J187" s="171"/>
      <c r="K187" s="638"/>
      <c r="L187" s="1239"/>
      <c r="M187" s="1239"/>
      <c r="N187" s="1239"/>
      <c r="O187" s="1239"/>
      <c r="P187" s="1239"/>
      <c r="Q187" s="1239"/>
      <c r="R187" s="1239"/>
      <c r="S187" s="455">
        <f t="shared" ref="S187" si="88">AG188-AG186</f>
        <v>40</v>
      </c>
      <c r="T187" s="1239"/>
      <c r="U187" s="1239"/>
      <c r="V187" s="1239"/>
      <c r="W187" s="1239"/>
      <c r="X187" s="1239"/>
      <c r="Y187" s="1239"/>
      <c r="Z187" s="1239"/>
      <c r="AA187" s="1239"/>
      <c r="AB187" s="1239"/>
      <c r="AC187" s="1239"/>
      <c r="AD187" s="1239"/>
      <c r="AE187" s="1239"/>
      <c r="AF187" s="1239"/>
      <c r="AG187" s="171"/>
      <c r="AH187" s="1239"/>
      <c r="AI187" s="1239"/>
      <c r="AJ187" s="1239"/>
      <c r="AK187" s="1239"/>
      <c r="AL187" s="1239"/>
      <c r="AM187" s="1239"/>
      <c r="AN187" s="455"/>
      <c r="AO187" s="1239"/>
      <c r="AP187" s="1239"/>
      <c r="AQ187" s="484">
        <f>+FL_2($T$188,$T$186,$G$187,1200,9.28,-1*$F$188)</f>
        <v>-0.20225711399322543</v>
      </c>
      <c r="AR187" s="484"/>
      <c r="AS187" s="484"/>
      <c r="AT187" s="484"/>
      <c r="AU187" s="638"/>
      <c r="AV187" s="638"/>
      <c r="AW187" s="638"/>
      <c r="AX187" s="638"/>
      <c r="AY187" s="484"/>
      <c r="AZ187" s="484"/>
      <c r="BA187" s="671"/>
      <c r="BB187" s="1239"/>
      <c r="BC187" s="169"/>
      <c r="BD187" s="1330"/>
      <c r="BE187" s="1330"/>
      <c r="BF187" s="1330"/>
      <c r="BG187" s="1330"/>
    </row>
    <row r="188" spans="1:59" ht="15.75" customHeight="1">
      <c r="A188" s="1239"/>
      <c r="B188" s="582" t="s">
        <v>3258</v>
      </c>
      <c r="C188" s="446">
        <f>+$C$186+$G$187</f>
        <v>89553.85</v>
      </c>
      <c r="D188" s="448"/>
      <c r="E188" s="448"/>
      <c r="F188" s="448">
        <v>1636</v>
      </c>
      <c r="G188" s="455"/>
      <c r="H188" s="1239" t="s">
        <v>138</v>
      </c>
      <c r="I188" s="448" t="s">
        <v>623</v>
      </c>
      <c r="J188" s="171"/>
      <c r="K188" s="638"/>
      <c r="L188" s="1239" t="s">
        <v>4393</v>
      </c>
      <c r="M188" s="1239" t="s">
        <v>4441</v>
      </c>
      <c r="N188" s="1239" t="s">
        <v>143</v>
      </c>
      <c r="O188" s="638"/>
      <c r="P188" s="638"/>
      <c r="Q188" s="1239">
        <v>60</v>
      </c>
      <c r="R188" s="1239">
        <v>1633</v>
      </c>
      <c r="S188" s="455"/>
      <c r="T188" s="1285">
        <v>-20</v>
      </c>
      <c r="U188" s="1285"/>
      <c r="V188" s="1285"/>
      <c r="W188" s="1285">
        <v>1.4</v>
      </c>
      <c r="X188" s="1285"/>
      <c r="Y188" s="1285"/>
      <c r="Z188" s="1285"/>
      <c r="AA188" s="1285"/>
      <c r="AB188" s="1285"/>
      <c r="AC188" s="1285" t="s">
        <v>4090</v>
      </c>
      <c r="AD188" s="1285"/>
      <c r="AE188" s="1285"/>
      <c r="AF188" s="1285">
        <v>4800</v>
      </c>
      <c r="AG188" s="1350">
        <v>89553</v>
      </c>
      <c r="AH188" s="1285">
        <v>1943</v>
      </c>
      <c r="AI188" s="1285">
        <v>-1020</v>
      </c>
      <c r="AJ188" s="638"/>
      <c r="AK188" s="638"/>
      <c r="AL188" s="1239" t="s">
        <v>2135</v>
      </c>
      <c r="AM188" s="1239" t="s">
        <v>1042</v>
      </c>
      <c r="AN188" s="455">
        <v>5.5</v>
      </c>
      <c r="AO188" s="1239"/>
      <c r="AP188" s="1239"/>
      <c r="AQ188" s="484"/>
      <c r="AR188" s="484"/>
      <c r="AS188" s="484"/>
      <c r="AT188" s="484">
        <f>+ab($T$188,$T$186,$T$190,$G$187,$G$189,-1*$F$188,1200)</f>
        <v>-7.738753349594103</v>
      </c>
      <c r="AU188" s="638"/>
      <c r="AV188" s="638"/>
      <c r="AW188" s="638" t="str">
        <f>VLOOKUP(C188,'Foundation Calculation'!$A$2:$C$33,3,1)</f>
        <v>Soil B</v>
      </c>
      <c r="AX188" s="572" t="str">
        <f>VLOOKUP(C188,'Foundation Calculation'!$E$2:$G$33,3,1)</f>
        <v>PT</v>
      </c>
      <c r="AY188" s="484">
        <f>IF(AX188="PT",VLOOKUP(L188,'Foundation Calculation'!$K$2:$R$40,VLOOKUP(AW188,'Foundation Calculation'!$I$2:$J$8,2,FALSE),0),IF(AX188="K",VLOOKUP(L188,'Foundation Calculation'!$K$42:$R$80,VLOOKUP(AW188,'Foundation Calculation'!$I$2:$J$8,2,FALSE),0),""))</f>
        <v>5.3</v>
      </c>
      <c r="AZ188" s="484"/>
      <c r="BA188" s="671" t="s">
        <v>2809</v>
      </c>
      <c r="BB188" s="1239" t="str">
        <f>Pole_Calculations!A178</f>
        <v>App.8-V08F-P10.3</v>
      </c>
      <c r="BC188" s="169"/>
      <c r="BD188" s="1329">
        <v>43783</v>
      </c>
      <c r="BE188" s="1329"/>
      <c r="BF188" s="1329"/>
      <c r="BG188" s="1329"/>
    </row>
    <row r="189" spans="1:59" ht="15.75" customHeight="1">
      <c r="A189" s="1239"/>
      <c r="B189" s="447"/>
      <c r="C189" s="446"/>
      <c r="D189" s="448"/>
      <c r="E189" s="448"/>
      <c r="F189" s="448"/>
      <c r="G189" s="455">
        <v>40</v>
      </c>
      <c r="H189" s="1239"/>
      <c r="I189" s="448"/>
      <c r="J189" s="171">
        <f>C188+7.5</f>
        <v>89561.35</v>
      </c>
      <c r="K189" s="638" t="s">
        <v>2882</v>
      </c>
      <c r="L189" s="1239"/>
      <c r="M189" s="1239"/>
      <c r="N189" s="1239"/>
      <c r="O189" s="1239"/>
      <c r="P189" s="1239"/>
      <c r="Q189" s="1239"/>
      <c r="R189" s="1239"/>
      <c r="S189" s="455">
        <f t="shared" ref="S189" si="89">AG190-AG188</f>
        <v>40</v>
      </c>
      <c r="T189" s="1239"/>
      <c r="U189" s="1239"/>
      <c r="V189" s="1239"/>
      <c r="W189" s="1239"/>
      <c r="X189" s="1239"/>
      <c r="Y189" s="1239"/>
      <c r="Z189" s="1239"/>
      <c r="AA189" s="1239"/>
      <c r="AB189" s="1239"/>
      <c r="AC189" s="1239"/>
      <c r="AD189" s="1239"/>
      <c r="AE189" s="1239"/>
      <c r="AF189" s="1239"/>
      <c r="AG189" s="171"/>
      <c r="AH189" s="1239"/>
      <c r="AI189" s="1239"/>
      <c r="AJ189" s="1239"/>
      <c r="AK189" s="1239"/>
      <c r="AL189" s="1239"/>
      <c r="AM189" s="1239"/>
      <c r="AN189" s="455"/>
      <c r="AO189" s="1239"/>
      <c r="AP189" s="1239"/>
      <c r="AQ189" s="484">
        <f>+FL_2($T$190,$T$188,$G$189,1200,9.28,-1*$F$190)</f>
        <v>-0.3</v>
      </c>
      <c r="AR189" s="484"/>
      <c r="AS189" s="484"/>
      <c r="AT189" s="484"/>
      <c r="AU189" s="638"/>
      <c r="AV189" s="638"/>
      <c r="AW189" s="638" t="str">
        <f>VLOOKUP(J189,'Foundation Calculation'!$A$2:$C$33,3,1)</f>
        <v>Soil B</v>
      </c>
      <c r="AX189" s="572" t="str">
        <f>VLOOKUP(J189,'Foundation Calculation'!$E$2:$G$33,3,1)</f>
        <v>PT</v>
      </c>
      <c r="AY189" s="484"/>
      <c r="AZ189" s="484">
        <v>3.9</v>
      </c>
      <c r="BA189" s="671" t="s">
        <v>2809</v>
      </c>
      <c r="BB189" s="1239"/>
      <c r="BC189" s="169"/>
      <c r="BD189" s="1329">
        <v>43783</v>
      </c>
      <c r="BE189" s="1330"/>
      <c r="BF189" s="1330"/>
      <c r="BG189" s="1330"/>
    </row>
    <row r="190" spans="1:59" ht="15.75" customHeight="1">
      <c r="A190" s="1239"/>
      <c r="B190" s="582" t="s">
        <v>3259</v>
      </c>
      <c r="C190" s="446">
        <f>+$C$188+$G$189</f>
        <v>89593.85</v>
      </c>
      <c r="D190" s="448"/>
      <c r="E190" s="448"/>
      <c r="F190" s="448">
        <v>1180</v>
      </c>
      <c r="G190" s="455"/>
      <c r="H190" s="1239" t="s">
        <v>873</v>
      </c>
      <c r="I190" s="448"/>
      <c r="J190" s="171"/>
      <c r="K190" s="638"/>
      <c r="L190" s="1239" t="s">
        <v>4393</v>
      </c>
      <c r="M190" s="1239" t="str">
        <f>IF(AX190="PT",VLOOKUP(L190,'Foundation Calculation'!$V$2:$X$40,VLOOKUP(AX190,'Foundation Calculation'!$I$10:$J$13,2,FALSE),0),IF(AX190="K",VLOOKUP(L190,'Foundation Calculation'!$V$42:$X$80,VLOOKUP(AX190,'Foundation Calculation'!$I$10:$J$13,2,FALSE),0),""))</f>
        <v>2C4R</v>
      </c>
      <c r="N190" s="1239" t="s">
        <v>143</v>
      </c>
      <c r="O190" s="638"/>
      <c r="P190" s="638"/>
      <c r="Q190" s="638">
        <v>100</v>
      </c>
      <c r="R190" s="638">
        <v>1183.07</v>
      </c>
      <c r="S190" s="484"/>
      <c r="T190" s="1353">
        <v>-30</v>
      </c>
      <c r="U190" s="1353"/>
      <c r="V190" s="1353"/>
      <c r="W190" s="1285">
        <v>1.4</v>
      </c>
      <c r="X190" s="1353"/>
      <c r="Y190" s="1353"/>
      <c r="Z190" s="1353"/>
      <c r="AA190" s="1353"/>
      <c r="AB190" s="1353"/>
      <c r="AC190" s="1353" t="s">
        <v>4090</v>
      </c>
      <c r="AD190" s="1353"/>
      <c r="AE190" s="1353"/>
      <c r="AF190" s="1353">
        <v>6000</v>
      </c>
      <c r="AG190" s="1360">
        <v>89593</v>
      </c>
      <c r="AH190" s="1353">
        <v>3123</v>
      </c>
      <c r="AI190" s="1353">
        <v>120</v>
      </c>
      <c r="AJ190" s="638"/>
      <c r="AK190" s="638"/>
      <c r="AL190" s="1239" t="s">
        <v>2135</v>
      </c>
      <c r="AM190" s="1239" t="s">
        <v>1042</v>
      </c>
      <c r="AN190" s="455">
        <v>5.5</v>
      </c>
      <c r="AO190" s="1239"/>
      <c r="AP190" s="1239"/>
      <c r="AQ190" s="484"/>
      <c r="AR190" s="484"/>
      <c r="AS190" s="484"/>
      <c r="AT190" s="484">
        <f>+ab($T$190,$T$188,$T$192,$G$189,$G$191,-1*$F$190,1200)</f>
        <v>-5.4463433639891576</v>
      </c>
      <c r="AU190" s="638"/>
      <c r="AV190" s="638"/>
      <c r="AW190" s="638" t="str">
        <f>VLOOKUP(C190,'Foundation Calculation'!$A$2:$C$33,3,1)</f>
        <v>Soil B</v>
      </c>
      <c r="AX190" s="572" t="str">
        <f>VLOOKUP(C190,'Foundation Calculation'!$E$2:$G$33,3,1)</f>
        <v>PT</v>
      </c>
      <c r="AY190" s="484">
        <f>IF(AX190="PT",VLOOKUP(L190,'Foundation Calculation'!$K$2:$R$40,VLOOKUP(AW190,'Foundation Calculation'!$I$2:$J$8,2,FALSE),0),IF(AX190="K",VLOOKUP(L190,'Foundation Calculation'!$K$42:$R$80,VLOOKUP(AW190,'Foundation Calculation'!$I$2:$J$8,2,FALSE),0),""))</f>
        <v>5.3</v>
      </c>
      <c r="AZ190" s="484"/>
      <c r="BA190" s="671" t="s">
        <v>2809</v>
      </c>
      <c r="BB190" s="1239" t="str">
        <f>Pole_Calculations!A178</f>
        <v>App.8-V08F-P10.3</v>
      </c>
      <c r="BC190" s="169"/>
      <c r="BD190" s="1329">
        <v>43783</v>
      </c>
      <c r="BE190" s="1329"/>
      <c r="BF190" s="1329"/>
      <c r="BG190" s="1329"/>
    </row>
    <row r="191" spans="1:59" ht="15.75" customHeight="1">
      <c r="A191" s="1239"/>
      <c r="B191" s="447"/>
      <c r="C191" s="446"/>
      <c r="D191" s="448"/>
      <c r="E191" s="448"/>
      <c r="F191" s="448"/>
      <c r="G191" s="455">
        <v>37</v>
      </c>
      <c r="H191" s="1239"/>
      <c r="I191" s="448"/>
      <c r="J191" s="171">
        <f>C190+7.5</f>
        <v>89601.35</v>
      </c>
      <c r="K191" s="638" t="s">
        <v>2788</v>
      </c>
      <c r="L191" s="1239"/>
      <c r="M191" s="1239"/>
      <c r="N191" s="1239"/>
      <c r="O191" s="1239"/>
      <c r="P191" s="1239"/>
      <c r="Q191" s="1239"/>
      <c r="R191" s="1239"/>
      <c r="S191" s="455">
        <f t="shared" ref="S191" si="90">AG192-AG190</f>
        <v>37</v>
      </c>
      <c r="T191" s="1239"/>
      <c r="U191" s="1239"/>
      <c r="V191" s="1239"/>
      <c r="W191" s="1239"/>
      <c r="X191" s="1239"/>
      <c r="Y191" s="1239"/>
      <c r="Z191" s="1239"/>
      <c r="AA191" s="1239"/>
      <c r="AB191" s="1239"/>
      <c r="AC191" s="1239"/>
      <c r="AD191" s="1239"/>
      <c r="AE191" s="1239"/>
      <c r="AF191" s="1239"/>
      <c r="AG191" s="1350"/>
      <c r="AH191" s="1285"/>
      <c r="AI191" s="1285"/>
      <c r="AJ191" s="1239"/>
      <c r="AK191" s="1239"/>
      <c r="AL191" s="1239"/>
      <c r="AM191" s="1239"/>
      <c r="AN191" s="455"/>
      <c r="AO191" s="1239"/>
      <c r="AP191" s="1239"/>
      <c r="AQ191" s="484">
        <f>+FL_2($T$192,$T$190,$G$191,1200,9.28,-1*$F$192)</f>
        <v>-0.3</v>
      </c>
      <c r="AR191" s="484"/>
      <c r="AS191" s="484"/>
      <c r="AT191" s="484"/>
      <c r="AU191" s="638"/>
      <c r="AV191" s="638"/>
      <c r="AW191" s="638" t="str">
        <f>VLOOKUP(J191,'Foundation Calculation'!$A$2:$C$33,3,1)</f>
        <v>Soil B</v>
      </c>
      <c r="AX191" s="572" t="str">
        <f>VLOOKUP(J191,'Foundation Calculation'!$E$2:$G$33,3,1)</f>
        <v>PT</v>
      </c>
      <c r="AY191" s="484"/>
      <c r="AZ191" s="484">
        <f>IF(AX191="PT",VLOOKUP(K191,'Foundation Calculation'!$K$2:$R$40,VLOOKUP(AW191,'Foundation Calculation'!$I$2:$J$8,2,FALSE),0),IF(AX191="K",VLOOKUP(K191,'Foundation Calculation'!$K$42:$R$80,VLOOKUP(AW191,'Foundation Calculation'!$I$2:$J$8,2,FALSE),0),""))</f>
        <v>2.8</v>
      </c>
      <c r="BA191" s="671" t="s">
        <v>2809</v>
      </c>
      <c r="BB191" s="1239"/>
      <c r="BC191" s="169"/>
      <c r="BD191" s="1329"/>
      <c r="BE191" s="1330"/>
      <c r="BF191" s="1330"/>
      <c r="BG191" s="1330"/>
    </row>
    <row r="192" spans="1:59" ht="15.75" customHeight="1">
      <c r="A192" s="449"/>
      <c r="B192" s="435" t="s">
        <v>3260</v>
      </c>
      <c r="C192" s="446">
        <f>+$C$190+$G$191</f>
        <v>89630.85</v>
      </c>
      <c r="D192" s="173"/>
      <c r="E192" s="447"/>
      <c r="F192" s="447">
        <v>964</v>
      </c>
      <c r="G192" s="484"/>
      <c r="H192" s="1239"/>
      <c r="I192" s="1239" t="s">
        <v>1039</v>
      </c>
      <c r="J192" s="171">
        <f>C192-7.5</f>
        <v>89623.35</v>
      </c>
      <c r="K192" s="638" t="s">
        <v>2788</v>
      </c>
      <c r="L192" s="638" t="s">
        <v>4664</v>
      </c>
      <c r="M192" s="638" t="str">
        <f>IF(AX192="PT",VLOOKUP(L192,'Foundation Calculation'!$V$2:$X$40,VLOOKUP(AX192,'Foundation Calculation'!$I$10:$J$13,2,FALSE),0),IF(AX192="K",VLOOKUP(L192,'Foundation Calculation'!$V$42:$X$80,VLOOKUP(AX192,'Foundation Calculation'!$I$10:$J$13,2,FALSE),0),""))</f>
        <v>C11R</v>
      </c>
      <c r="N192" s="1239" t="s">
        <v>143</v>
      </c>
      <c r="O192" s="1239"/>
      <c r="P192" s="1239"/>
      <c r="Q192" s="638">
        <v>120</v>
      </c>
      <c r="R192" s="638">
        <v>964.1</v>
      </c>
      <c r="S192" s="484"/>
      <c r="T192" s="1353">
        <v>-30</v>
      </c>
      <c r="U192" s="1353"/>
      <c r="V192" s="1353"/>
      <c r="W192" s="1353">
        <v>1.4</v>
      </c>
      <c r="X192" s="1353"/>
      <c r="Y192" s="1353"/>
      <c r="Z192" s="1353"/>
      <c r="AA192" s="1353"/>
      <c r="AB192" s="1353"/>
      <c r="AC192" s="1353" t="s">
        <v>4090</v>
      </c>
      <c r="AD192" s="1353"/>
      <c r="AE192" s="1353"/>
      <c r="AF192" s="1353">
        <v>6000</v>
      </c>
      <c r="AG192" s="1360">
        <v>89630</v>
      </c>
      <c r="AH192" s="1353">
        <v>2573</v>
      </c>
      <c r="AI192" s="1353">
        <v>630</v>
      </c>
      <c r="AJ192" s="638"/>
      <c r="AK192" s="638"/>
      <c r="AL192" s="638" t="s">
        <v>2143</v>
      </c>
      <c r="AM192" s="638" t="s">
        <v>1042</v>
      </c>
      <c r="AN192" s="455">
        <v>5.5</v>
      </c>
      <c r="AO192" s="1239"/>
      <c r="AP192" s="1239"/>
      <c r="AQ192" s="484"/>
      <c r="AR192" s="484"/>
      <c r="AS192" s="484"/>
      <c r="AT192" s="484">
        <f>+ab($T$192,$T$190,$T$194,$G$191,$G$193,-1*$F$192,1200)</f>
        <v>-4.986950286300079</v>
      </c>
      <c r="AU192" s="638"/>
      <c r="AV192" s="638"/>
      <c r="AW192" s="638" t="str">
        <f>VLOOKUP(C192,'Foundation Calculation'!$A$2:$C$33,3,1)</f>
        <v>Soil B</v>
      </c>
      <c r="AX192" s="638" t="str">
        <f>VLOOKUP(C192,'Foundation Calculation'!$E$2:$G$33,3,1)</f>
        <v>PT</v>
      </c>
      <c r="AY192" s="484">
        <f>IF(AX192="PT",VLOOKUP(L192,'Foundation Calculation'!$K$2:$R$40,VLOOKUP(AW192,'Foundation Calculation'!$I$2:$J$8,2,FALSE),0),IF(AX192="K",VLOOKUP(L192,'Foundation Calculation'!$K$42:$R$80,VLOOKUP(AW192,'Foundation Calculation'!$I$2:$J$8,2,FALSE),0),""))</f>
        <v>4.4000000000000004</v>
      </c>
      <c r="AZ192" s="1302">
        <f>IF(AX192="PT",VLOOKUP(K192,'Foundation Calculation'!$K$2:$R$40,VLOOKUP(AW192,'Foundation Calculation'!$I$2:$J$8,2,FALSE),0),IF(AX192="K",VLOOKUP(K192,'Foundation Calculation'!$K$42:$R$80,VLOOKUP(AW192,'Foundation Calculation'!$I$2:$J$8,2,FALSE),0),""))</f>
        <v>2.8</v>
      </c>
      <c r="BA192" s="671" t="s">
        <v>2809</v>
      </c>
      <c r="BB192" s="449" t="str">
        <f>Pole_Calculations!A178</f>
        <v>App.8-V08F-P10.3</v>
      </c>
      <c r="BC192" s="169"/>
      <c r="BD192" s="1329"/>
      <c r="BE192" s="1329"/>
      <c r="BF192" s="1329"/>
      <c r="BG192" s="1329"/>
    </row>
    <row r="193" spans="1:59" ht="15.75" customHeight="1">
      <c r="A193" s="1239"/>
      <c r="B193" s="447"/>
      <c r="C193" s="446"/>
      <c r="D193" s="448"/>
      <c r="E193" s="448"/>
      <c r="F193" s="448"/>
      <c r="G193" s="455">
        <v>37</v>
      </c>
      <c r="H193" s="1239"/>
      <c r="I193" s="448"/>
      <c r="J193" s="171"/>
      <c r="K193" s="638"/>
      <c r="L193" s="1239"/>
      <c r="M193" s="1239"/>
      <c r="N193" s="1239"/>
      <c r="O193" s="1239"/>
      <c r="P193" s="1239"/>
      <c r="Q193" s="1239"/>
      <c r="R193" s="1239"/>
      <c r="S193" s="455">
        <f t="shared" ref="S193" si="91">AG194-AG192</f>
        <v>37</v>
      </c>
      <c r="T193" s="1285"/>
      <c r="U193" s="1285"/>
      <c r="V193" s="1285"/>
      <c r="W193" s="1285"/>
      <c r="X193" s="1285"/>
      <c r="Y193" s="1285"/>
      <c r="Z193" s="1285"/>
      <c r="AA193" s="1285"/>
      <c r="AB193" s="1285"/>
      <c r="AC193" s="1285"/>
      <c r="AD193" s="1285"/>
      <c r="AE193" s="1285"/>
      <c r="AF193" s="1285"/>
      <c r="AG193" s="1350"/>
      <c r="AH193" s="1285"/>
      <c r="AI193" s="1285"/>
      <c r="AJ193" s="1239"/>
      <c r="AK193" s="1239"/>
      <c r="AL193" s="1239"/>
      <c r="AM193" s="1239"/>
      <c r="AN193" s="455"/>
      <c r="AO193" s="1239"/>
      <c r="AP193" s="1239"/>
      <c r="AQ193" s="484">
        <f>+FL_2($T$194,$T$192,$G$193,1200,9.28,-1*$F$194)</f>
        <v>-0.3</v>
      </c>
      <c r="AR193" s="484"/>
      <c r="AS193" s="484"/>
      <c r="AT193" s="484"/>
      <c r="AU193" s="638"/>
      <c r="AV193" s="638"/>
      <c r="AW193" s="638"/>
      <c r="AX193" s="638"/>
      <c r="AY193" s="484"/>
      <c r="AZ193" s="484"/>
      <c r="BA193" s="671"/>
      <c r="BB193" s="1239"/>
      <c r="BC193" s="169"/>
      <c r="BD193" s="1330"/>
      <c r="BE193" s="1330"/>
      <c r="BF193" s="1330"/>
      <c r="BG193" s="1330"/>
    </row>
    <row r="194" spans="1:59" ht="15.75" customHeight="1">
      <c r="A194" s="449"/>
      <c r="B194" s="435" t="s">
        <v>3261</v>
      </c>
      <c r="C194" s="446">
        <f>+$C$192+$G$193</f>
        <v>89667.85</v>
      </c>
      <c r="D194" s="173"/>
      <c r="E194" s="447"/>
      <c r="F194" s="447">
        <v>964</v>
      </c>
      <c r="G194" s="484"/>
      <c r="H194" s="1239"/>
      <c r="I194" s="1239"/>
      <c r="J194" s="171"/>
      <c r="K194" s="638"/>
      <c r="L194" s="638" t="s">
        <v>4664</v>
      </c>
      <c r="M194" s="638" t="str">
        <f>IF(AX194="PT",VLOOKUP(L194,'Foundation Calculation'!$V$2:$X$40,VLOOKUP(AX194,'Foundation Calculation'!$I$10:$J$13,2,FALSE),0),IF(AX194="K",VLOOKUP(L194,'Foundation Calculation'!$V$42:$X$80,VLOOKUP(AX194,'Foundation Calculation'!$I$10:$J$13,2,FALSE),0),""))</f>
        <v>C11R</v>
      </c>
      <c r="N194" s="1239" t="s">
        <v>143</v>
      </c>
      <c r="O194" s="1239"/>
      <c r="P194" s="1239"/>
      <c r="Q194" s="638">
        <v>150</v>
      </c>
      <c r="R194" s="638">
        <v>964.1</v>
      </c>
      <c r="S194" s="484"/>
      <c r="T194" s="1353">
        <v>-30</v>
      </c>
      <c r="U194" s="1353"/>
      <c r="V194" s="1353"/>
      <c r="W194" s="1353">
        <v>1.4</v>
      </c>
      <c r="X194" s="1353"/>
      <c r="Y194" s="1353"/>
      <c r="Z194" s="1353"/>
      <c r="AA194" s="1353"/>
      <c r="AB194" s="1353"/>
      <c r="AC194" s="1353" t="s">
        <v>4090</v>
      </c>
      <c r="AD194" s="1353"/>
      <c r="AE194" s="1353"/>
      <c r="AF194" s="1353">
        <v>6000</v>
      </c>
      <c r="AG194" s="1360">
        <v>89667</v>
      </c>
      <c r="AH194" s="1353">
        <v>2633</v>
      </c>
      <c r="AI194" s="1353">
        <v>560</v>
      </c>
      <c r="AJ194" s="638"/>
      <c r="AK194" s="638"/>
      <c r="AL194" s="638" t="s">
        <v>2143</v>
      </c>
      <c r="AM194" s="638" t="s">
        <v>1042</v>
      </c>
      <c r="AN194" s="455">
        <v>5.5</v>
      </c>
      <c r="AO194" s="1239"/>
      <c r="AP194" s="1239"/>
      <c r="AQ194" s="484"/>
      <c r="AR194" s="484"/>
      <c r="AS194" s="484"/>
      <c r="AT194" s="484">
        <f>+ab($T$194,$T$192,$T$196,$G$193,$G$195,-1*$F$194,1200)</f>
        <v>-4.986950286300079</v>
      </c>
      <c r="AU194" s="638"/>
      <c r="AV194" s="638"/>
      <c r="AW194" s="638" t="str">
        <f>VLOOKUP(C194,'Foundation Calculation'!$A$2:$C$33,3,1)</f>
        <v>Soil B</v>
      </c>
      <c r="AX194" s="638" t="str">
        <f>VLOOKUP(C194,'Foundation Calculation'!$E$2:$G$33,3,1)</f>
        <v>PT</v>
      </c>
      <c r="AY194" s="484">
        <f>IF(AX194="PT",VLOOKUP(L194,'Foundation Calculation'!$K$2:$R$40,VLOOKUP(AW194,'Foundation Calculation'!$I$2:$J$8,2,FALSE),0),IF(AX194="K",VLOOKUP(L194,'Foundation Calculation'!$K$42:$R$80,VLOOKUP(AW194,'Foundation Calculation'!$I$2:$J$8,2,FALSE),0),""))</f>
        <v>4.4000000000000004</v>
      </c>
      <c r="AZ194" s="484"/>
      <c r="BA194" s="671" t="s">
        <v>2809</v>
      </c>
      <c r="BB194" s="449" t="str">
        <f>Pole_Calculations!A178</f>
        <v>App.8-V08F-P10.3</v>
      </c>
      <c r="BC194" s="169"/>
      <c r="BD194" s="1329"/>
      <c r="BE194" s="1329"/>
      <c r="BF194" s="1329"/>
      <c r="BG194" s="1329"/>
    </row>
    <row r="195" spans="1:59" ht="15.75" customHeight="1">
      <c r="A195" s="1239"/>
      <c r="B195" s="447"/>
      <c r="C195" s="446"/>
      <c r="D195" s="448"/>
      <c r="E195" s="448"/>
      <c r="F195" s="448"/>
      <c r="G195" s="455">
        <v>37</v>
      </c>
      <c r="H195" s="1239"/>
      <c r="I195" s="448"/>
      <c r="J195" s="171"/>
      <c r="K195" s="638"/>
      <c r="L195" s="1239"/>
      <c r="M195" s="1239"/>
      <c r="N195" s="1239"/>
      <c r="O195" s="1239"/>
      <c r="P195" s="1239"/>
      <c r="Q195" s="1239"/>
      <c r="R195" s="1239"/>
      <c r="S195" s="455">
        <f t="shared" ref="S195" si="92">AG196-AG194</f>
        <v>37</v>
      </c>
      <c r="T195" s="1239"/>
      <c r="U195" s="1239"/>
      <c r="V195" s="1239"/>
      <c r="W195" s="1239"/>
      <c r="X195" s="1239"/>
      <c r="Y195" s="1239"/>
      <c r="Z195" s="1239"/>
      <c r="AA195" s="1239"/>
      <c r="AB195" s="1239"/>
      <c r="AC195" s="1239"/>
      <c r="AD195" s="1239"/>
      <c r="AE195" s="1239"/>
      <c r="AF195" s="1239"/>
      <c r="AG195" s="1350"/>
      <c r="AH195" s="1285"/>
      <c r="AI195" s="1285"/>
      <c r="AJ195" s="1239"/>
      <c r="AK195" s="1239"/>
      <c r="AL195" s="1239"/>
      <c r="AM195" s="1239"/>
      <c r="AN195" s="455"/>
      <c r="AO195" s="1239"/>
      <c r="AP195" s="1239"/>
      <c r="AQ195" s="484">
        <f>+FL_2($T$196,$T$194,$G$195,1200,9.28,-1*$F$196)</f>
        <v>-0.3</v>
      </c>
      <c r="AR195" s="484"/>
      <c r="AS195" s="484"/>
      <c r="AT195" s="484"/>
      <c r="AU195" s="638"/>
      <c r="AV195" s="638"/>
      <c r="AW195" s="638"/>
      <c r="AX195" s="638"/>
      <c r="AY195" s="484"/>
      <c r="AZ195" s="484"/>
      <c r="BA195" s="671"/>
      <c r="BB195" s="1239"/>
      <c r="BC195" s="169"/>
      <c r="BD195" s="1330"/>
      <c r="BE195" s="1330"/>
      <c r="BF195" s="1330"/>
      <c r="BG195" s="1330"/>
    </row>
    <row r="196" spans="1:59" ht="15.75" customHeight="1">
      <c r="A196" s="449"/>
      <c r="B196" s="435" t="s">
        <v>3262</v>
      </c>
      <c r="C196" s="446">
        <f>+$C$194+$G$195</f>
        <v>89704.85</v>
      </c>
      <c r="D196" s="173"/>
      <c r="E196" s="447"/>
      <c r="F196" s="447">
        <v>964</v>
      </c>
      <c r="G196" s="484"/>
      <c r="H196" s="1239"/>
      <c r="I196" s="1239"/>
      <c r="J196" s="171"/>
      <c r="K196" s="638"/>
      <c r="L196" s="638" t="s">
        <v>4664</v>
      </c>
      <c r="M196" s="638" t="str">
        <f>IF(AX196="PT",VLOOKUP(L196,'Foundation Calculation'!$V$2:$X$40,VLOOKUP(AX196,'Foundation Calculation'!$I$10:$J$13,2,FALSE),0),IF(AX196="K",VLOOKUP(L196,'Foundation Calculation'!$V$42:$X$80,VLOOKUP(AX196,'Foundation Calculation'!$I$10:$J$13,2,FALSE),0),""))</f>
        <v>C11R</v>
      </c>
      <c r="N196" s="1239" t="s">
        <v>143</v>
      </c>
      <c r="O196" s="1239"/>
      <c r="P196" s="1239"/>
      <c r="Q196" s="638">
        <v>120</v>
      </c>
      <c r="R196" s="638">
        <v>964.1</v>
      </c>
      <c r="S196" s="484"/>
      <c r="T196" s="1353">
        <v>-30</v>
      </c>
      <c r="U196" s="1353"/>
      <c r="V196" s="1353"/>
      <c r="W196" s="1353">
        <v>1.4</v>
      </c>
      <c r="X196" s="1353"/>
      <c r="Y196" s="1353"/>
      <c r="Z196" s="1353"/>
      <c r="AA196" s="1353"/>
      <c r="AB196" s="1353"/>
      <c r="AC196" s="1353" t="s">
        <v>4090</v>
      </c>
      <c r="AD196" s="1353"/>
      <c r="AE196" s="1353"/>
      <c r="AF196" s="1353">
        <v>6000</v>
      </c>
      <c r="AG196" s="1360">
        <v>89704</v>
      </c>
      <c r="AH196" s="1353">
        <v>2633</v>
      </c>
      <c r="AI196" s="1353">
        <v>540</v>
      </c>
      <c r="AJ196" s="638"/>
      <c r="AK196" s="638"/>
      <c r="AL196" s="638" t="s">
        <v>2143</v>
      </c>
      <c r="AM196" s="638" t="s">
        <v>1042</v>
      </c>
      <c r="AN196" s="455">
        <v>5.5</v>
      </c>
      <c r="AO196" s="1239"/>
      <c r="AP196" s="1239"/>
      <c r="AQ196" s="484"/>
      <c r="AR196" s="484"/>
      <c r="AS196" s="484"/>
      <c r="AT196" s="484">
        <f>+ab($T$196,$T$194,$T$198,$G$195,$G$197,-1*$F$196,1200)</f>
        <v>-4.986950286300079</v>
      </c>
      <c r="AU196" s="638"/>
      <c r="AV196" s="638"/>
      <c r="AW196" s="638" t="str">
        <f>VLOOKUP(C196,'Foundation Calculation'!$A$2:$C$33,3,1)</f>
        <v>Soil B</v>
      </c>
      <c r="AX196" s="638" t="str">
        <f>VLOOKUP(C196,'Foundation Calculation'!$E$2:$G$33,3,1)</f>
        <v>PT</v>
      </c>
      <c r="AY196" s="484">
        <f>IF(AX196="PT",VLOOKUP(L196,'Foundation Calculation'!$K$2:$R$40,VLOOKUP(AW196,'Foundation Calculation'!$I$2:$J$8,2,FALSE),0),IF(AX196="K",VLOOKUP(L196,'Foundation Calculation'!$K$42:$R$80,VLOOKUP(AW196,'Foundation Calculation'!$I$2:$J$8,2,FALSE),0),""))</f>
        <v>4.4000000000000004</v>
      </c>
      <c r="AZ196" s="484"/>
      <c r="BA196" s="671" t="s">
        <v>2809</v>
      </c>
      <c r="BB196" s="449" t="str">
        <f>Pole_Calculations!A178</f>
        <v>App.8-V08F-P10.3</v>
      </c>
      <c r="BC196" s="169"/>
      <c r="BD196" s="1329"/>
      <c r="BE196" s="1329"/>
      <c r="BF196" s="1329"/>
      <c r="BG196" s="1329"/>
    </row>
    <row r="197" spans="1:59" ht="15.75" customHeight="1">
      <c r="A197" s="1239"/>
      <c r="B197" s="447"/>
      <c r="C197" s="446"/>
      <c r="D197" s="448"/>
      <c r="E197" s="448"/>
      <c r="F197" s="448"/>
      <c r="G197" s="455">
        <v>37</v>
      </c>
      <c r="H197" s="1239"/>
      <c r="I197" s="448"/>
      <c r="J197" s="171"/>
      <c r="K197" s="638"/>
      <c r="L197" s="1239"/>
      <c r="M197" s="1239"/>
      <c r="N197" s="1239"/>
      <c r="O197" s="1239"/>
      <c r="P197" s="1239"/>
      <c r="Q197" s="1239"/>
      <c r="R197" s="1239"/>
      <c r="S197" s="455">
        <f t="shared" ref="S197" si="93">AG198-AG196</f>
        <v>37</v>
      </c>
      <c r="T197" s="1239"/>
      <c r="U197" s="1239"/>
      <c r="V197" s="1239"/>
      <c r="W197" s="1239"/>
      <c r="X197" s="1239"/>
      <c r="Y197" s="1239"/>
      <c r="Z197" s="1239"/>
      <c r="AA197" s="1239"/>
      <c r="AB197" s="1239"/>
      <c r="AC197" s="1239"/>
      <c r="AD197" s="1239"/>
      <c r="AE197" s="1239"/>
      <c r="AF197" s="1239"/>
      <c r="AG197" s="1350"/>
      <c r="AH197" s="1285"/>
      <c r="AI197" s="1285"/>
      <c r="AJ197" s="1239"/>
      <c r="AK197" s="1239"/>
      <c r="AL197" s="1239"/>
      <c r="AM197" s="1239"/>
      <c r="AN197" s="455"/>
      <c r="AO197" s="1239"/>
      <c r="AP197" s="1239"/>
      <c r="AQ197" s="484">
        <f>+FL_2($T$198,$T$196,$G$197,1200,9.28,-1*$F$198)</f>
        <v>-0.3</v>
      </c>
      <c r="AR197" s="484"/>
      <c r="AS197" s="484"/>
      <c r="AT197" s="484"/>
      <c r="AU197" s="638"/>
      <c r="AV197" s="638"/>
      <c r="AW197" s="638"/>
      <c r="AX197" s="638"/>
      <c r="AY197" s="484"/>
      <c r="AZ197" s="484"/>
      <c r="BA197" s="671"/>
      <c r="BB197" s="1239"/>
      <c r="BC197" s="169"/>
      <c r="BD197" s="1330"/>
      <c r="BE197" s="1330"/>
      <c r="BF197" s="1330"/>
      <c r="BG197" s="1330"/>
    </row>
    <row r="198" spans="1:59" ht="15.75" customHeight="1">
      <c r="A198" s="449"/>
      <c r="B198" s="435" t="s">
        <v>3263</v>
      </c>
      <c r="C198" s="446">
        <f>+$C$196+$G$197</f>
        <v>89741.85</v>
      </c>
      <c r="D198" s="173"/>
      <c r="E198" s="447"/>
      <c r="F198" s="447">
        <v>964</v>
      </c>
      <c r="G198" s="484"/>
      <c r="H198" s="1239"/>
      <c r="I198" s="1239"/>
      <c r="J198" s="171"/>
      <c r="K198" s="638"/>
      <c r="L198" s="638" t="s">
        <v>4664</v>
      </c>
      <c r="M198" s="638" t="str">
        <f>IF(AX198="PT",VLOOKUP(L198,'Foundation Calculation'!$V$2:$X$40,VLOOKUP(AX198,'Foundation Calculation'!$I$10:$J$13,2,FALSE),0),IF(AX198="K",VLOOKUP(L198,'Foundation Calculation'!$V$42:$X$80,VLOOKUP(AX198,'Foundation Calculation'!$I$10:$J$13,2,FALSE),0),""))</f>
        <v>C11R</v>
      </c>
      <c r="N198" s="1239" t="s">
        <v>143</v>
      </c>
      <c r="O198" s="1239"/>
      <c r="P198" s="1239"/>
      <c r="Q198" s="638">
        <v>130</v>
      </c>
      <c r="R198" s="638">
        <v>964.1</v>
      </c>
      <c r="S198" s="484"/>
      <c r="T198" s="1353">
        <v>-30</v>
      </c>
      <c r="U198" s="1353"/>
      <c r="V198" s="1353"/>
      <c r="W198" s="1353">
        <v>1.4</v>
      </c>
      <c r="X198" s="1353"/>
      <c r="Y198" s="1353"/>
      <c r="Z198" s="1353"/>
      <c r="AA198" s="1353"/>
      <c r="AB198" s="1353"/>
      <c r="AC198" s="1353" t="s">
        <v>4090</v>
      </c>
      <c r="AD198" s="1353"/>
      <c r="AE198" s="1353"/>
      <c r="AF198" s="1353">
        <v>6000</v>
      </c>
      <c r="AG198" s="1360">
        <v>89741</v>
      </c>
      <c r="AH198" s="1353">
        <v>2773</v>
      </c>
      <c r="AI198" s="1353">
        <v>610</v>
      </c>
      <c r="AJ198" s="638"/>
      <c r="AK198" s="638"/>
      <c r="AL198" s="638" t="s">
        <v>2143</v>
      </c>
      <c r="AM198" s="638" t="s">
        <v>1042</v>
      </c>
      <c r="AN198" s="455">
        <v>5.5</v>
      </c>
      <c r="AO198" s="1239"/>
      <c r="AP198" s="1239"/>
      <c r="AQ198" s="484"/>
      <c r="AR198" s="484"/>
      <c r="AS198" s="484"/>
      <c r="AT198" s="484">
        <f>+ab($T$198,$T$196,$T$200,$G$197,$G$199,-1*$F$198,1200)</f>
        <v>-4.793577136681586</v>
      </c>
      <c r="AU198" s="638"/>
      <c r="AV198" s="638"/>
      <c r="AW198" s="638" t="str">
        <f>VLOOKUP(C198,'Foundation Calculation'!$A$2:$C$33,3,1)</f>
        <v>Soil B</v>
      </c>
      <c r="AX198" s="638" t="str">
        <f>VLOOKUP(C198,'Foundation Calculation'!$E$2:$G$33,3,1)</f>
        <v>PT</v>
      </c>
      <c r="AY198" s="484">
        <f>IF(AX198="PT",VLOOKUP(L198,'Foundation Calculation'!$K$2:$R$40,VLOOKUP(AW198,'Foundation Calculation'!$I$2:$J$8,2,FALSE),0),IF(AX198="K",VLOOKUP(L198,'Foundation Calculation'!$K$42:$R$80,VLOOKUP(AW198,'Foundation Calculation'!$I$2:$J$8,2,FALSE),0),""))</f>
        <v>4.4000000000000004</v>
      </c>
      <c r="AZ198" s="484"/>
      <c r="BA198" s="671" t="s">
        <v>2809</v>
      </c>
      <c r="BB198" s="449" t="str">
        <f>Pole_Calculations!A178</f>
        <v>App.8-V08F-P10.3</v>
      </c>
      <c r="BC198" s="169"/>
      <c r="BD198" s="1329"/>
      <c r="BE198" s="1329"/>
      <c r="BF198" s="1329"/>
      <c r="BG198" s="1329"/>
    </row>
    <row r="199" spans="1:59" ht="15.75" customHeight="1">
      <c r="A199" s="1239"/>
      <c r="B199" s="447"/>
      <c r="C199" s="446"/>
      <c r="D199" s="448"/>
      <c r="E199" s="448"/>
      <c r="F199" s="448"/>
      <c r="G199" s="455">
        <v>40</v>
      </c>
      <c r="H199" s="1239"/>
      <c r="I199" s="448"/>
      <c r="J199" s="171"/>
      <c r="K199" s="638"/>
      <c r="L199" s="1239"/>
      <c r="M199" s="1239"/>
      <c r="N199" s="1239"/>
      <c r="O199" s="1239"/>
      <c r="P199" s="1239"/>
      <c r="Q199" s="1239"/>
      <c r="R199" s="1239"/>
      <c r="S199" s="455">
        <f t="shared" ref="S199" si="94">AG200-AG198</f>
        <v>41</v>
      </c>
      <c r="T199" s="1285"/>
      <c r="U199" s="1285"/>
      <c r="V199" s="1285"/>
      <c r="W199" s="1285"/>
      <c r="X199" s="1285"/>
      <c r="Y199" s="1285"/>
      <c r="Z199" s="1285"/>
      <c r="AA199" s="1285"/>
      <c r="AB199" s="1285"/>
      <c r="AC199" s="1285"/>
      <c r="AD199" s="1285"/>
      <c r="AE199" s="1285"/>
      <c r="AF199" s="1285"/>
      <c r="AG199" s="1350"/>
      <c r="AH199" s="1285"/>
      <c r="AI199" s="1285"/>
      <c r="AJ199" s="1239"/>
      <c r="AK199" s="1239"/>
      <c r="AL199" s="1239"/>
      <c r="AM199" s="1239"/>
      <c r="AN199" s="455"/>
      <c r="AO199" s="1239"/>
      <c r="AP199" s="1239"/>
      <c r="AQ199" s="484">
        <f>+FL_2($T$200,$T$198,$G$199,1200,9.28,-1*$F$200)</f>
        <v>-0.3</v>
      </c>
      <c r="AR199" s="484"/>
      <c r="AS199" s="484"/>
      <c r="AT199" s="484"/>
      <c r="AU199" s="638"/>
      <c r="AV199" s="638"/>
      <c r="AW199" s="638"/>
      <c r="AX199" s="638"/>
      <c r="AY199" s="484"/>
      <c r="AZ199" s="484"/>
      <c r="BA199" s="671"/>
      <c r="BB199" s="1239"/>
      <c r="BC199" s="169"/>
      <c r="BD199" s="1330"/>
      <c r="BE199" s="1330"/>
      <c r="BF199" s="1330"/>
      <c r="BG199" s="1330"/>
    </row>
    <row r="200" spans="1:59" ht="15.75" customHeight="1">
      <c r="A200" s="449"/>
      <c r="B200" s="435" t="s">
        <v>3264</v>
      </c>
      <c r="C200" s="446">
        <f>+$C$198+$G$199</f>
        <v>89781.85</v>
      </c>
      <c r="D200" s="173"/>
      <c r="E200" s="447"/>
      <c r="F200" s="447">
        <v>964</v>
      </c>
      <c r="G200" s="484"/>
      <c r="H200" s="1239"/>
      <c r="I200" s="1239"/>
      <c r="J200" s="171"/>
      <c r="K200" s="638"/>
      <c r="L200" s="638" t="s">
        <v>4664</v>
      </c>
      <c r="M200" s="638" t="str">
        <f>IF(AX200="PT",VLOOKUP(L200,'Foundation Calculation'!$V$2:$X$40,VLOOKUP(AX200,'Foundation Calculation'!$I$10:$J$13,2,FALSE),0),IF(AX200="K",VLOOKUP(L200,'Foundation Calculation'!$V$42:$X$80,VLOOKUP(AX200,'Foundation Calculation'!$I$10:$J$13,2,FALSE),0),""))</f>
        <v>C11R</v>
      </c>
      <c r="N200" s="1239" t="s">
        <v>143</v>
      </c>
      <c r="O200" s="1239"/>
      <c r="P200" s="1239"/>
      <c r="Q200" s="638">
        <v>100</v>
      </c>
      <c r="R200" s="638">
        <v>964.1</v>
      </c>
      <c r="S200" s="484"/>
      <c r="T200" s="1353">
        <v>-30</v>
      </c>
      <c r="U200" s="1353"/>
      <c r="V200" s="1353"/>
      <c r="W200" s="1353">
        <v>1.4</v>
      </c>
      <c r="X200" s="1353"/>
      <c r="Y200" s="1353"/>
      <c r="Z200" s="1353"/>
      <c r="AA200" s="1353"/>
      <c r="AB200" s="1353"/>
      <c r="AC200" s="1353" t="s">
        <v>4090</v>
      </c>
      <c r="AD200" s="1353"/>
      <c r="AE200" s="1353"/>
      <c r="AF200" s="1353">
        <v>6000</v>
      </c>
      <c r="AG200" s="1360">
        <v>89782</v>
      </c>
      <c r="AH200" s="1353">
        <v>2883</v>
      </c>
      <c r="AI200" s="1353">
        <v>570</v>
      </c>
      <c r="AJ200" s="638"/>
      <c r="AK200" s="638"/>
      <c r="AL200" s="638" t="s">
        <v>2143</v>
      </c>
      <c r="AM200" s="638" t="s">
        <v>1042</v>
      </c>
      <c r="AN200" s="455">
        <v>5.5</v>
      </c>
      <c r="AO200" s="1239"/>
      <c r="AP200" s="1239"/>
      <c r="AQ200" s="484"/>
      <c r="AR200" s="484"/>
      <c r="AS200" s="484"/>
      <c r="AT200" s="484">
        <f>+ab($T$200,$T$198,$T$202,$G$199,$G$201,-1*$F$200,1200)</f>
        <v>-4.3957487183175177</v>
      </c>
      <c r="AU200" s="638"/>
      <c r="AV200" s="638"/>
      <c r="AW200" s="638" t="str">
        <f>VLOOKUP(C200,'Foundation Calculation'!$A$2:$C$33,3,1)</f>
        <v>Soil B</v>
      </c>
      <c r="AX200" s="638" t="str">
        <f>VLOOKUP(C200,'Foundation Calculation'!$E$2:$G$33,3,1)</f>
        <v>PT</v>
      </c>
      <c r="AY200" s="484">
        <f>IF(AX200="PT",VLOOKUP(L200,'Foundation Calculation'!$K$2:$R$40,VLOOKUP(AW200,'Foundation Calculation'!$I$2:$J$8,2,FALSE),0),IF(AX200="K",VLOOKUP(L200,'Foundation Calculation'!$K$42:$R$80,VLOOKUP(AW200,'Foundation Calculation'!$I$2:$J$8,2,FALSE),0),""))</f>
        <v>4.4000000000000004</v>
      </c>
      <c r="AZ200" s="484"/>
      <c r="BA200" s="671" t="s">
        <v>2809</v>
      </c>
      <c r="BB200" s="449" t="str">
        <f>Pole_Calculations!A178</f>
        <v>App.8-V08F-P10.3</v>
      </c>
      <c r="BC200" s="169"/>
      <c r="BD200" s="1329"/>
      <c r="BE200" s="1329"/>
      <c r="BF200" s="1329"/>
      <c r="BG200" s="1329"/>
    </row>
    <row r="201" spans="1:59" ht="15.75" customHeight="1">
      <c r="A201" s="1239"/>
      <c r="B201" s="447"/>
      <c r="C201" s="446"/>
      <c r="D201" s="448"/>
      <c r="E201" s="448"/>
      <c r="F201" s="448"/>
      <c r="G201" s="455">
        <v>44</v>
      </c>
      <c r="H201" s="1239"/>
      <c r="I201" s="448"/>
      <c r="J201" s="171"/>
      <c r="K201" s="638"/>
      <c r="L201" s="1239"/>
      <c r="M201" s="1239"/>
      <c r="N201" s="1239"/>
      <c r="O201" s="1239"/>
      <c r="P201" s="1239"/>
      <c r="Q201" s="1239"/>
      <c r="R201" s="1239"/>
      <c r="S201" s="455">
        <f t="shared" ref="S201" si="95">AG202-AG200</f>
        <v>43.94999999999709</v>
      </c>
      <c r="T201" s="1239"/>
      <c r="U201" s="1239"/>
      <c r="V201" s="1239"/>
      <c r="W201" s="1239"/>
      <c r="X201" s="1239"/>
      <c r="Y201" s="1239"/>
      <c r="Z201" s="1239"/>
      <c r="AA201" s="1239"/>
      <c r="AB201" s="1239"/>
      <c r="AC201" s="1239"/>
      <c r="AD201" s="1239"/>
      <c r="AE201" s="1239"/>
      <c r="AF201" s="1239"/>
      <c r="AG201" s="171"/>
      <c r="AH201" s="1239"/>
      <c r="AI201" s="1239"/>
      <c r="AJ201" s="1239"/>
      <c r="AK201" s="1239"/>
      <c r="AL201" s="1239"/>
      <c r="AM201" s="1239"/>
      <c r="AN201" s="455"/>
      <c r="AO201" s="1239"/>
      <c r="AP201" s="1239"/>
      <c r="AQ201" s="484">
        <f>+FL_2($T$202,$T$200,$G$201,1200,9.28,-1*$F$202)</f>
        <v>-0.30005809560778429</v>
      </c>
      <c r="AR201" s="484"/>
      <c r="AS201" s="484"/>
      <c r="AT201" s="484"/>
      <c r="AU201" s="638"/>
      <c r="AV201" s="638"/>
      <c r="AW201" s="638"/>
      <c r="AX201" s="638"/>
      <c r="AY201" s="484"/>
      <c r="AZ201" s="484"/>
      <c r="BA201" s="671"/>
      <c r="BB201" s="1239"/>
      <c r="BC201" s="169"/>
      <c r="BD201" s="1330"/>
      <c r="BE201" s="1330"/>
      <c r="BF201" s="1330"/>
      <c r="BG201" s="1330"/>
    </row>
    <row r="202" spans="1:59" ht="15.75" customHeight="1">
      <c r="A202" s="449"/>
      <c r="B202" s="435" t="s">
        <v>3265</v>
      </c>
      <c r="C202" s="446">
        <f>+$C$200+$G$201</f>
        <v>89825.85</v>
      </c>
      <c r="D202" s="173"/>
      <c r="E202" s="447"/>
      <c r="F202" s="447">
        <v>964</v>
      </c>
      <c r="G202" s="484"/>
      <c r="H202" s="1239"/>
      <c r="I202" s="1239"/>
      <c r="J202" s="171"/>
      <c r="K202" s="638"/>
      <c r="L202" s="638" t="s">
        <v>4664</v>
      </c>
      <c r="M202" s="638" t="str">
        <f>IF(AX202="PT",VLOOKUP(L202,'Foundation Calculation'!$V$2:$X$40,VLOOKUP(AX202,'Foundation Calculation'!$I$10:$J$13,2,FALSE),0),IF(AX202="K",VLOOKUP(L202,'Foundation Calculation'!$V$42:$X$80,VLOOKUP(AX202,'Foundation Calculation'!$I$10:$J$13,2,FALSE),0),""))</f>
        <v>C11R</v>
      </c>
      <c r="N202" s="1239" t="s">
        <v>143</v>
      </c>
      <c r="O202" s="1239"/>
      <c r="P202" s="1239"/>
      <c r="Q202" s="638">
        <v>100</v>
      </c>
      <c r="R202" s="638">
        <v>964.1</v>
      </c>
      <c r="S202" s="484"/>
      <c r="T202" s="638">
        <v>-30</v>
      </c>
      <c r="U202" s="638"/>
      <c r="V202" s="638"/>
      <c r="W202" s="638">
        <v>1.4</v>
      </c>
      <c r="X202" s="638"/>
      <c r="Y202" s="638"/>
      <c r="Z202" s="638"/>
      <c r="AA202" s="638"/>
      <c r="AB202" s="638"/>
      <c r="AC202" s="638" t="s">
        <v>4090</v>
      </c>
      <c r="AD202" s="638"/>
      <c r="AE202" s="638"/>
      <c r="AF202" s="638">
        <v>6000</v>
      </c>
      <c r="AG202" s="446">
        <v>89825.95</v>
      </c>
      <c r="AH202" s="638">
        <v>2643</v>
      </c>
      <c r="AI202" s="638">
        <v>310</v>
      </c>
      <c r="AJ202" s="638"/>
      <c r="AK202" s="638"/>
      <c r="AL202" s="638" t="s">
        <v>2143</v>
      </c>
      <c r="AM202" s="638" t="s">
        <v>1042</v>
      </c>
      <c r="AN202" s="455">
        <v>5.5</v>
      </c>
      <c r="AO202" s="1239"/>
      <c r="AP202" s="1239"/>
      <c r="AQ202" s="484"/>
      <c r="AR202" s="484"/>
      <c r="AS202" s="484"/>
      <c r="AT202" s="484">
        <f>+ab($T$202,$T$200,$T$204,$G$201,$G$203,-1*$F$202,1200)</f>
        <v>-4.1966727248392521</v>
      </c>
      <c r="AU202" s="638"/>
      <c r="AV202" s="638"/>
      <c r="AW202" s="638" t="str">
        <f>VLOOKUP(C202,'Foundation Calculation'!$A$2:$C$33,3,1)</f>
        <v>Soil B</v>
      </c>
      <c r="AX202" s="638" t="str">
        <f>VLOOKUP(C202,'Foundation Calculation'!$E$2:$G$33,3,1)</f>
        <v>PT</v>
      </c>
      <c r="AY202" s="484">
        <f>IF(AX202="PT",VLOOKUP(L202,'Foundation Calculation'!$K$2:$R$40,VLOOKUP(AW202,'Foundation Calculation'!$I$2:$J$8,2,FALSE),0),IF(AX202="K",VLOOKUP(L202,'Foundation Calculation'!$K$42:$R$80,VLOOKUP(AW202,'Foundation Calculation'!$I$2:$J$8,2,FALSE),0),""))</f>
        <v>4.4000000000000004</v>
      </c>
      <c r="AZ202" s="484"/>
      <c r="BA202" s="671" t="s">
        <v>2809</v>
      </c>
      <c r="BB202" s="449" t="str">
        <f>Pole_Calculations!A178</f>
        <v>App.8-V08F-P10.3</v>
      </c>
      <c r="BC202" s="169"/>
      <c r="BD202" s="1371"/>
      <c r="BE202" s="1371"/>
      <c r="BF202" s="1371"/>
      <c r="BG202" s="1371"/>
    </row>
    <row r="203" spans="1:59" ht="15.75" customHeight="1">
      <c r="A203" s="1239"/>
      <c r="B203" s="447"/>
      <c r="C203" s="446"/>
      <c r="D203" s="448"/>
      <c r="E203" s="448"/>
      <c r="F203" s="448"/>
      <c r="G203" s="455">
        <v>44</v>
      </c>
      <c r="H203" s="1239"/>
      <c r="I203" s="448"/>
      <c r="J203" s="171">
        <f>C204-7.5</f>
        <v>89862.35</v>
      </c>
      <c r="K203" s="638" t="s">
        <v>2788</v>
      </c>
      <c r="L203" s="1239"/>
      <c r="M203" s="1239"/>
      <c r="N203" s="1239"/>
      <c r="O203" s="1239"/>
      <c r="P203" s="1239"/>
      <c r="Q203" s="1239"/>
      <c r="R203" s="1239"/>
      <c r="S203" s="455">
        <f t="shared" ref="S203" si="96">AG204-AG202</f>
        <v>43.979999999995925</v>
      </c>
      <c r="T203" s="1239"/>
      <c r="U203" s="1239"/>
      <c r="V203" s="1239"/>
      <c r="W203" s="1239"/>
      <c r="X203" s="1239"/>
      <c r="Y203" s="1239"/>
      <c r="Z203" s="1239"/>
      <c r="AA203" s="1239"/>
      <c r="AB203" s="1239"/>
      <c r="AC203" s="1239"/>
      <c r="AD203" s="1239"/>
      <c r="AE203" s="1239"/>
      <c r="AF203" s="1239"/>
      <c r="AG203" s="171"/>
      <c r="AH203" s="1239"/>
      <c r="AI203" s="1239"/>
      <c r="AJ203" s="1239"/>
      <c r="AK203" s="1239"/>
      <c r="AL203" s="1239"/>
      <c r="AM203" s="1239"/>
      <c r="AN203" s="455"/>
      <c r="AO203" s="1239"/>
      <c r="AP203" s="1239"/>
      <c r="AQ203" s="484">
        <f>+FL_2($T$204,$T$202,$G$203,1200,9.28,-1*$F$204)</f>
        <v>-0.30005809560778429</v>
      </c>
      <c r="AR203" s="484"/>
      <c r="AS203" s="484"/>
      <c r="AT203" s="484"/>
      <c r="AU203" s="638"/>
      <c r="AV203" s="638"/>
      <c r="AW203" s="638" t="str">
        <f>VLOOKUP(J203,'Foundation Calculation'!$A$2:$C$33,3,1)</f>
        <v>Soil B</v>
      </c>
      <c r="AX203" s="572" t="str">
        <f>VLOOKUP(J203,'Foundation Calculation'!$E$2:$G$33,3,1)</f>
        <v>PT</v>
      </c>
      <c r="AY203" s="484"/>
      <c r="AZ203" s="484">
        <f>IF(AX203="PT",VLOOKUP(K203,'Foundation Calculation'!$K$2:$R$40,VLOOKUP(AW203,'Foundation Calculation'!$I$2:$J$8,2,FALSE),0),IF(AX203="K",VLOOKUP(K203,'Foundation Calculation'!$K$42:$R$80,VLOOKUP(AW203,'Foundation Calculation'!$I$2:$J$8,2,FALSE),0),""))</f>
        <v>2.8</v>
      </c>
      <c r="BA203" s="671" t="s">
        <v>2809</v>
      </c>
      <c r="BB203" s="1239"/>
      <c r="BC203" s="169"/>
      <c r="BD203" s="1329"/>
      <c r="BE203" s="1330"/>
      <c r="BF203" s="1330"/>
      <c r="BG203" s="1330"/>
    </row>
    <row r="204" spans="1:59" ht="15.75" customHeight="1">
      <c r="A204" s="449"/>
      <c r="B204" s="435" t="s">
        <v>3266</v>
      </c>
      <c r="C204" s="446">
        <f>+$C$202+$G$203</f>
        <v>89869.85</v>
      </c>
      <c r="D204" s="173"/>
      <c r="E204" s="447"/>
      <c r="F204" s="447">
        <v>964</v>
      </c>
      <c r="G204" s="484"/>
      <c r="H204" s="1239" t="s">
        <v>873</v>
      </c>
      <c r="I204" s="1239"/>
      <c r="J204" s="171"/>
      <c r="K204" s="638"/>
      <c r="L204" s="638" t="s">
        <v>4664</v>
      </c>
      <c r="M204" s="638" t="str">
        <f>IF(AX204="PT",VLOOKUP(L204,'Foundation Calculation'!$V$2:$X$40,VLOOKUP(AX204,'Foundation Calculation'!$I$10:$J$13,2,FALSE),0),IF(AX204="K",VLOOKUP(L204,'Foundation Calculation'!$V$42:$X$80,VLOOKUP(AX204,'Foundation Calculation'!$I$10:$J$13,2,FALSE),0),""))</f>
        <v>C11R</v>
      </c>
      <c r="N204" s="1239" t="s">
        <v>143</v>
      </c>
      <c r="O204" s="1239"/>
      <c r="P204" s="1239"/>
      <c r="Q204" s="638">
        <v>110</v>
      </c>
      <c r="R204" s="638">
        <v>964.1</v>
      </c>
      <c r="S204" s="484"/>
      <c r="T204" s="638">
        <v>-30</v>
      </c>
      <c r="U204" s="638"/>
      <c r="V204" s="638"/>
      <c r="W204" s="638">
        <v>1.4</v>
      </c>
      <c r="X204" s="638"/>
      <c r="Y204" s="638"/>
      <c r="Z204" s="638"/>
      <c r="AA204" s="638"/>
      <c r="AB204" s="638"/>
      <c r="AC204" s="638" t="s">
        <v>4090</v>
      </c>
      <c r="AD204" s="638"/>
      <c r="AE204" s="638"/>
      <c r="AF204" s="638">
        <v>6000</v>
      </c>
      <c r="AG204" s="446">
        <v>89869.93</v>
      </c>
      <c r="AH204" s="638">
        <v>3073</v>
      </c>
      <c r="AI204" s="638">
        <v>220</v>
      </c>
      <c r="AJ204" s="638"/>
      <c r="AK204" s="638"/>
      <c r="AL204" s="638" t="s">
        <v>2143</v>
      </c>
      <c r="AM204" s="638" t="s">
        <v>1042</v>
      </c>
      <c r="AN204" s="455">
        <v>5.5</v>
      </c>
      <c r="AO204" s="1239"/>
      <c r="AP204" s="1239"/>
      <c r="AQ204" s="484"/>
      <c r="AR204" s="484"/>
      <c r="AS204" s="484"/>
      <c r="AT204" s="484">
        <f>+ab($T$204,$T$202,$T$206,$G$203,$G$205,-1*$F$204,1200)</f>
        <v>-4.1966727248392521</v>
      </c>
      <c r="AU204" s="638"/>
      <c r="AV204" s="638"/>
      <c r="AW204" s="638" t="str">
        <f>VLOOKUP(C204,'Foundation Calculation'!$A$2:$C$33,3,1)</f>
        <v>Soil B</v>
      </c>
      <c r="AX204" s="638" t="str">
        <f>VLOOKUP(C204,'Foundation Calculation'!$E$2:$G$33,3,1)</f>
        <v>PT</v>
      </c>
      <c r="AY204" s="484">
        <f>IF(AX204="PT",VLOOKUP(L204,'Foundation Calculation'!$K$2:$R$40,VLOOKUP(AW204,'Foundation Calculation'!$I$2:$J$8,2,FALSE),0),IF(AX204="K",VLOOKUP(L204,'Foundation Calculation'!$K$42:$R$80,VLOOKUP(AW204,'Foundation Calculation'!$I$2:$J$8,2,FALSE),0),""))</f>
        <v>4.4000000000000004</v>
      </c>
      <c r="AZ204" s="484"/>
      <c r="BA204" s="671" t="s">
        <v>2809</v>
      </c>
      <c r="BB204" s="449" t="str">
        <f>Pole_Calculations!A178</f>
        <v>App.8-V08F-P10.3</v>
      </c>
      <c r="BC204" s="169"/>
      <c r="BD204" s="1371"/>
      <c r="BE204" s="1371"/>
      <c r="BF204" s="1371"/>
      <c r="BG204" s="1371"/>
    </row>
    <row r="205" spans="1:59" ht="15.75" customHeight="1">
      <c r="A205" s="1239"/>
      <c r="B205" s="447"/>
      <c r="C205" s="446"/>
      <c r="D205" s="448"/>
      <c r="E205" s="448"/>
      <c r="F205" s="448"/>
      <c r="G205" s="455">
        <v>44</v>
      </c>
      <c r="H205" s="1239"/>
      <c r="I205" s="448">
        <v>611</v>
      </c>
      <c r="J205" s="171">
        <f>C206-7.5</f>
        <v>89906.35</v>
      </c>
      <c r="K205" s="638" t="s">
        <v>2787</v>
      </c>
      <c r="L205" s="1239"/>
      <c r="M205" s="1239"/>
      <c r="N205" s="1239"/>
      <c r="O205" s="1239"/>
      <c r="P205" s="1239"/>
      <c r="Q205" s="1239"/>
      <c r="R205" s="1239"/>
      <c r="S205" s="455">
        <f t="shared" ref="S205" si="97">AG206-AG204</f>
        <v>43.950000000011642</v>
      </c>
      <c r="T205" s="1239"/>
      <c r="U205" s="1239"/>
      <c r="V205" s="1239"/>
      <c r="W205" s="1239"/>
      <c r="X205" s="1239"/>
      <c r="Y205" s="1239"/>
      <c r="Z205" s="1239"/>
      <c r="AA205" s="1239"/>
      <c r="AB205" s="1239"/>
      <c r="AC205" s="1239"/>
      <c r="AD205" s="1239"/>
      <c r="AE205" s="1239"/>
      <c r="AF205" s="1239"/>
      <c r="AG205" s="171"/>
      <c r="AH205" s="1239"/>
      <c r="AI205" s="1239"/>
      <c r="AJ205" s="1239"/>
      <c r="AK205" s="1239"/>
      <c r="AL205" s="1239"/>
      <c r="AM205" s="1239"/>
      <c r="AN205" s="455"/>
      <c r="AO205" s="1239"/>
      <c r="AP205" s="1239"/>
      <c r="AQ205" s="484">
        <f>+FL_1($T$206,$T$204,$G$207,1200,9.28,-1*$F$208)</f>
        <v>0.13821670617116447</v>
      </c>
      <c r="AR205" s="484"/>
      <c r="AS205" s="484"/>
      <c r="AT205" s="484"/>
      <c r="AU205" s="638"/>
      <c r="AV205" s="638"/>
      <c r="AW205" s="638" t="str">
        <f>VLOOKUP(J205,'Foundation Calculation'!$A$2:$C$33,3,1)</f>
        <v>Soil B</v>
      </c>
      <c r="AX205" s="572" t="str">
        <f>VLOOKUP(J205,'Foundation Calculation'!$E$2:$G$33,3,1)</f>
        <v>PT</v>
      </c>
      <c r="AY205" s="484"/>
      <c r="AZ205" s="484">
        <f>IF(AX205="PT",VLOOKUP(K205,'Foundation Calculation'!$K$2:$R$40,VLOOKUP(AW205,'Foundation Calculation'!$I$2:$J$8,2,FALSE),0),IF(AX205="K",VLOOKUP(K205,'Foundation Calculation'!$K$42:$R$80,VLOOKUP(AW205,'Foundation Calculation'!$I$2:$J$8,2,FALSE),0),""))</f>
        <v>3.9</v>
      </c>
      <c r="BA205" s="671" t="s">
        <v>2809</v>
      </c>
      <c r="BB205" s="1239"/>
      <c r="BC205" s="169"/>
      <c r="BD205" s="1329"/>
      <c r="BE205" s="1330"/>
      <c r="BF205" s="1330"/>
      <c r="BG205" s="1330"/>
    </row>
    <row r="206" spans="1:59" ht="15.75" customHeight="1">
      <c r="A206" s="449"/>
      <c r="B206" s="435" t="s">
        <v>2912</v>
      </c>
      <c r="C206" s="446">
        <v>89913.85</v>
      </c>
      <c r="D206" s="173"/>
      <c r="E206" s="447"/>
      <c r="F206" s="447">
        <v>964</v>
      </c>
      <c r="G206" s="484"/>
      <c r="H206" s="1239" t="s">
        <v>2920</v>
      </c>
      <c r="I206" s="1239" t="s">
        <v>623</v>
      </c>
      <c r="J206" s="171"/>
      <c r="K206" s="638"/>
      <c r="L206" s="638" t="s">
        <v>4664</v>
      </c>
      <c r="M206" s="638" t="str">
        <f>IF(AX206="PT",VLOOKUP(L206,'Foundation Calculation'!$V$2:$X$40,VLOOKUP(AX206,'Foundation Calculation'!$I$10:$J$13,2,FALSE),0),IF(AX206="K",VLOOKUP(L206,'Foundation Calculation'!$V$42:$X$80,VLOOKUP(AX206,'Foundation Calculation'!$I$10:$J$13,2,FALSE),0),""))</f>
        <v>C11R</v>
      </c>
      <c r="N206" s="1239" t="s">
        <v>143</v>
      </c>
      <c r="O206" s="1239"/>
      <c r="P206" s="1239"/>
      <c r="Q206" s="638">
        <v>110</v>
      </c>
      <c r="R206" s="638">
        <v>964.1</v>
      </c>
      <c r="S206" s="484"/>
      <c r="T206" s="638">
        <v>-30</v>
      </c>
      <c r="U206" s="638"/>
      <c r="V206" s="638"/>
      <c r="W206" s="638">
        <v>1.4</v>
      </c>
      <c r="X206" s="638"/>
      <c r="Y206" s="638"/>
      <c r="Z206" s="638"/>
      <c r="AA206" s="638"/>
      <c r="AB206" s="638"/>
      <c r="AC206" s="638" t="s">
        <v>4090</v>
      </c>
      <c r="AD206" s="638"/>
      <c r="AE206" s="638"/>
      <c r="AF206" s="638">
        <v>5800</v>
      </c>
      <c r="AG206" s="446">
        <v>89913.88</v>
      </c>
      <c r="AH206" s="638">
        <v>2783</v>
      </c>
      <c r="AI206" s="638">
        <v>340</v>
      </c>
      <c r="AJ206" s="638"/>
      <c r="AK206" s="638"/>
      <c r="AL206" s="638" t="s">
        <v>2143</v>
      </c>
      <c r="AM206" s="638" t="s">
        <v>1042</v>
      </c>
      <c r="AN206" s="455">
        <v>5.5</v>
      </c>
      <c r="AO206" s="1239"/>
      <c r="AP206" s="1239"/>
      <c r="AQ206" s="484"/>
      <c r="AR206" s="484"/>
      <c r="AS206" s="484"/>
      <c r="AT206" s="484">
        <f>+ab($T$206,$T$204,$U$208,$G$207,$G$209,-1*$F$208,1200)</f>
        <v>-4.1496847527164267</v>
      </c>
      <c r="AU206" s="638"/>
      <c r="AV206" s="638"/>
      <c r="AW206" s="638" t="str">
        <f>VLOOKUP(C206,'Foundation Calculation'!$A$2:$C$33,3,1)</f>
        <v>Soil B</v>
      </c>
      <c r="AX206" s="638" t="str">
        <f>VLOOKUP(C206,'Foundation Calculation'!$E$2:$G$33,3,1)</f>
        <v>PT</v>
      </c>
      <c r="AY206" s="484">
        <f>IF(AX206="PT",VLOOKUP(L206,'Foundation Calculation'!$K$2:$R$40,VLOOKUP(AW206,'Foundation Calculation'!$I$2:$J$8,2,FALSE),0),IF(AX206="K",VLOOKUP(L206,'Foundation Calculation'!$K$42:$R$80,VLOOKUP(AW206,'Foundation Calculation'!$I$2:$J$8,2,FALSE),0),""))</f>
        <v>4.4000000000000004</v>
      </c>
      <c r="AZ206" s="484"/>
      <c r="BA206" s="671" t="s">
        <v>2809</v>
      </c>
      <c r="BB206" s="449" t="str">
        <f>Pole_Calculations!A178</f>
        <v>App.8-V08F-P10.3</v>
      </c>
      <c r="BC206" s="169"/>
      <c r="BD206" s="1371"/>
      <c r="BE206" s="1371"/>
      <c r="BF206" s="1371"/>
      <c r="BG206" s="1371"/>
    </row>
    <row r="207" spans="1:59" ht="15.75" customHeight="1">
      <c r="A207" s="647" t="s">
        <v>2924</v>
      </c>
      <c r="B207" s="648"/>
      <c r="C207" s="649"/>
      <c r="D207" s="650"/>
      <c r="E207" s="650"/>
      <c r="F207" s="650"/>
      <c r="G207" s="651">
        <v>44</v>
      </c>
      <c r="H207" s="647"/>
      <c r="I207" s="650">
        <v>607</v>
      </c>
      <c r="J207" s="652"/>
      <c r="K207" s="653"/>
      <c r="L207" s="647"/>
      <c r="M207" s="647"/>
      <c r="N207" s="647"/>
      <c r="O207" s="647"/>
      <c r="P207" s="647"/>
      <c r="Q207" s="647"/>
      <c r="R207" s="647"/>
      <c r="S207" s="651">
        <f t="shared" ref="S207" si="98">AG208-AG206</f>
        <v>43.119999999995343</v>
      </c>
      <c r="T207" s="647"/>
      <c r="U207" s="647"/>
      <c r="V207" s="647"/>
      <c r="W207" s="647"/>
      <c r="X207" s="647"/>
      <c r="Y207" s="647"/>
      <c r="Z207" s="647"/>
      <c r="AA207" s="647"/>
      <c r="AB207" s="647"/>
      <c r="AC207" s="647"/>
      <c r="AD207" s="647"/>
      <c r="AE207" s="647"/>
      <c r="AF207" s="647"/>
      <c r="AG207" s="652"/>
      <c r="AH207" s="647"/>
      <c r="AI207" s="647"/>
      <c r="AJ207" s="647"/>
      <c r="AK207" s="647"/>
      <c r="AL207" s="647"/>
      <c r="AM207" s="647"/>
      <c r="AN207" s="651"/>
      <c r="AO207" s="647"/>
      <c r="AP207" s="647"/>
      <c r="AQ207" s="654">
        <f>+FL_1($U$208,$T$206,$G$207,1200,9.28,-1*$F$208)</f>
        <v>0.13821670617116447</v>
      </c>
      <c r="AR207" s="654"/>
      <c r="AS207" s="654"/>
      <c r="AT207" s="654"/>
      <c r="AU207" s="653"/>
      <c r="AV207" s="653"/>
      <c r="AW207" s="653"/>
      <c r="AX207" s="653"/>
      <c r="AY207" s="654"/>
      <c r="AZ207" s="654"/>
      <c r="BA207" s="701"/>
      <c r="BB207" s="647"/>
      <c r="BC207" s="169"/>
      <c r="BD207" s="1330"/>
      <c r="BE207" s="1330"/>
      <c r="BF207" s="1330"/>
      <c r="BG207" s="1330"/>
    </row>
    <row r="208" spans="1:59" ht="15.75" customHeight="1">
      <c r="A208" s="449"/>
      <c r="B208" s="435" t="s">
        <v>2913</v>
      </c>
      <c r="C208" s="446">
        <f>C206+G207</f>
        <v>89957.85</v>
      </c>
      <c r="D208" s="173"/>
      <c r="E208" s="447"/>
      <c r="F208" s="447">
        <v>964</v>
      </c>
      <c r="G208" s="484"/>
      <c r="H208" s="1239" t="s">
        <v>2921</v>
      </c>
      <c r="I208" s="1239"/>
      <c r="J208" s="171"/>
      <c r="K208" s="638"/>
      <c r="L208" s="638" t="s">
        <v>4664</v>
      </c>
      <c r="M208" s="638" t="str">
        <f>IF(AX208="PT",VLOOKUP(L208,'Foundation Calculation'!$V$2:$X$40,VLOOKUP(AX208,'Foundation Calculation'!$I$10:$J$13,2,FALSE),0),IF(AX208="K",VLOOKUP(L208,'Foundation Calculation'!$V$42:$X$80,VLOOKUP(AX208,'Foundation Calculation'!$I$10:$J$13,2,FALSE),0),""))</f>
        <v>C11R</v>
      </c>
      <c r="N208" s="1239" t="s">
        <v>140</v>
      </c>
      <c r="O208" s="1239" t="s">
        <v>143</v>
      </c>
      <c r="P208" s="1239"/>
      <c r="Q208" s="638">
        <v>100</v>
      </c>
      <c r="R208" s="638">
        <v>964.1</v>
      </c>
      <c r="S208" s="484"/>
      <c r="T208" s="638">
        <v>25</v>
      </c>
      <c r="U208" s="638">
        <v>-30</v>
      </c>
      <c r="V208" s="638"/>
      <c r="W208" s="638">
        <v>1.4</v>
      </c>
      <c r="X208" s="638">
        <v>1.8</v>
      </c>
      <c r="Y208" s="638"/>
      <c r="Z208" s="638">
        <v>0.6</v>
      </c>
      <c r="AA208" s="638"/>
      <c r="AB208" s="638"/>
      <c r="AC208" s="638" t="s">
        <v>4090</v>
      </c>
      <c r="AD208" s="638"/>
      <c r="AE208" s="638"/>
      <c r="AF208" s="638">
        <v>6000</v>
      </c>
      <c r="AG208" s="446">
        <v>89957</v>
      </c>
      <c r="AH208" s="638">
        <v>2813</v>
      </c>
      <c r="AI208" s="638">
        <v>380</v>
      </c>
      <c r="AJ208" s="638"/>
      <c r="AK208" s="638"/>
      <c r="AL208" s="638" t="s">
        <v>2143</v>
      </c>
      <c r="AM208" s="638" t="s">
        <v>1042</v>
      </c>
      <c r="AN208" s="455">
        <v>5.5</v>
      </c>
      <c r="AO208" s="1239"/>
      <c r="AP208" s="1239"/>
      <c r="AQ208" s="484"/>
      <c r="AR208" s="484"/>
      <c r="AS208" s="484"/>
      <c r="AT208" s="484">
        <f>+ab($T$208,$T$206,$T$210,$G$207,$G$209,-1*$F$208,1200)</f>
        <v>-8.8786260474517977</v>
      </c>
      <c r="AU208" s="638"/>
      <c r="AV208" s="638"/>
      <c r="AW208" s="638" t="str">
        <f>VLOOKUP(C208,'Foundation Calculation'!$A$2:$C$33,3,1)</f>
        <v>Soil B</v>
      </c>
      <c r="AX208" s="638" t="str">
        <f>VLOOKUP(C208,'Foundation Calculation'!$E$2:$G$33,3,1)</f>
        <v>PT</v>
      </c>
      <c r="AY208" s="484">
        <f>IF(AX208="PT",VLOOKUP(L208,'Foundation Calculation'!$K$2:$R$40,VLOOKUP(AW208,'Foundation Calculation'!$I$2:$J$8,2,FALSE),0),IF(AX208="K",VLOOKUP(L208,'Foundation Calculation'!$K$42:$R$80,VLOOKUP(AW208,'Foundation Calculation'!$I$2:$J$8,2,FALSE),0),""))</f>
        <v>4.4000000000000004</v>
      </c>
      <c r="AZ208" s="484"/>
      <c r="BA208" s="671" t="s">
        <v>2809</v>
      </c>
      <c r="BB208" s="449" t="str">
        <f>Pole_Calculations!A178</f>
        <v>App.8-V08F-P10.3</v>
      </c>
      <c r="BC208" s="169"/>
      <c r="BD208" s="1371"/>
      <c r="BE208" s="1371"/>
      <c r="BF208" s="1371"/>
      <c r="BG208" s="1371"/>
    </row>
    <row r="209" spans="1:59" ht="15.75" customHeight="1">
      <c r="A209" s="1239"/>
      <c r="B209" s="447"/>
      <c r="C209" s="446"/>
      <c r="D209" s="448"/>
      <c r="E209" s="448"/>
      <c r="F209" s="448"/>
      <c r="G209" s="455">
        <v>45</v>
      </c>
      <c r="H209" s="1239"/>
      <c r="I209" s="448"/>
      <c r="J209" s="171">
        <f>C208+7.5</f>
        <v>89965.35</v>
      </c>
      <c r="K209" s="638" t="s">
        <v>2788</v>
      </c>
      <c r="L209" s="1239"/>
      <c r="M209" s="1239"/>
      <c r="N209" s="1239"/>
      <c r="O209" s="1239"/>
      <c r="P209" s="1239"/>
      <c r="Q209" s="1239"/>
      <c r="R209" s="1239"/>
      <c r="S209" s="455">
        <f t="shared" ref="S209" si="99">AG210-AG208</f>
        <v>45</v>
      </c>
      <c r="T209" s="1239"/>
      <c r="U209" s="1239"/>
      <c r="V209" s="1239"/>
      <c r="W209" s="1239"/>
      <c r="X209" s="1239"/>
      <c r="Y209" s="1239"/>
      <c r="Z209" s="1239"/>
      <c r="AA209" s="1239"/>
      <c r="AB209" s="1239"/>
      <c r="AC209" s="1239"/>
      <c r="AD209" s="1239"/>
      <c r="AE209" s="1239"/>
      <c r="AF209" s="1239"/>
      <c r="AG209" s="171"/>
      <c r="AH209" s="1239"/>
      <c r="AI209" s="1239"/>
      <c r="AJ209" s="1239"/>
      <c r="AK209" s="1239"/>
      <c r="AL209" s="1239"/>
      <c r="AM209" s="1239"/>
      <c r="AN209" s="455"/>
      <c r="AO209" s="1239"/>
      <c r="AP209" s="1239"/>
      <c r="AQ209" s="484">
        <f>+FL_1($T$210,$T$208,$G$209,1200,9.28,-1*$F$210)</f>
        <v>0.44016802803562471</v>
      </c>
      <c r="AR209" s="484"/>
      <c r="AS209" s="484"/>
      <c r="AT209" s="484"/>
      <c r="AU209" s="638"/>
      <c r="AV209" s="638"/>
      <c r="AW209" s="638" t="str">
        <f>VLOOKUP(J209,'Foundation Calculation'!$A$2:$C$33,3,1)</f>
        <v>Soil B</v>
      </c>
      <c r="AX209" s="572" t="str">
        <f>VLOOKUP(J209,'Foundation Calculation'!$E$2:$G$33,3,1)</f>
        <v>PT</v>
      </c>
      <c r="AY209" s="484"/>
      <c r="AZ209" s="484">
        <f>IF(AX209="PT",VLOOKUP(K209,'Foundation Calculation'!$K$2:$R$40,VLOOKUP(AW209,'Foundation Calculation'!$I$2:$J$8,2,FALSE),0),IF(AX209="K",VLOOKUP(K209,'Foundation Calculation'!$K$42:$R$80,VLOOKUP(AW209,'Foundation Calculation'!$I$2:$J$8,2,FALSE),0),""))</f>
        <v>2.8</v>
      </c>
      <c r="BA209" s="671" t="s">
        <v>2809</v>
      </c>
      <c r="BB209" s="1239"/>
      <c r="BC209" s="169"/>
      <c r="BD209" s="1329"/>
      <c r="BE209" s="1330"/>
      <c r="BF209" s="1330"/>
      <c r="BG209" s="1330"/>
    </row>
    <row r="210" spans="1:59" ht="15.75" customHeight="1">
      <c r="A210" s="449"/>
      <c r="B210" s="439" t="s">
        <v>3306</v>
      </c>
      <c r="C210" s="446">
        <f>C208+G209</f>
        <v>90002.85</v>
      </c>
      <c r="D210" s="173"/>
      <c r="E210" s="447"/>
      <c r="F210" s="447">
        <v>1128</v>
      </c>
      <c r="G210" s="484"/>
      <c r="H210" s="1239"/>
      <c r="I210" s="1239"/>
      <c r="J210" s="171"/>
      <c r="K210" s="638"/>
      <c r="L210" s="638" t="s">
        <v>4664</v>
      </c>
      <c r="M210" s="638" t="str">
        <f>IF(AX210="PT",VLOOKUP(L210,'Foundation Calculation'!$V$2:$X$40,VLOOKUP(AX210,'Foundation Calculation'!$I$10:$J$13,2,FALSE),0),IF(AX210="K",VLOOKUP(L210,'Foundation Calculation'!$V$42:$X$80,VLOOKUP(AX210,'Foundation Calculation'!$I$10:$J$13,2,FALSE),0),""))</f>
        <v>C11R</v>
      </c>
      <c r="N210" s="1239" t="s">
        <v>143</v>
      </c>
      <c r="O210" s="1239"/>
      <c r="P210" s="1239"/>
      <c r="Q210" s="638">
        <v>100</v>
      </c>
      <c r="R210" s="638">
        <v>1129.8599999999999</v>
      </c>
      <c r="S210" s="484"/>
      <c r="T210" s="1417">
        <v>-30</v>
      </c>
      <c r="U210" s="638"/>
      <c r="V210" s="638"/>
      <c r="W210" s="638">
        <v>1.4</v>
      </c>
      <c r="X210" s="638"/>
      <c r="Y210" s="638"/>
      <c r="Z210" s="638"/>
      <c r="AA210" s="638"/>
      <c r="AB210" s="638"/>
      <c r="AC210" s="638" t="s">
        <v>4090</v>
      </c>
      <c r="AD210" s="638"/>
      <c r="AE210" s="638"/>
      <c r="AF210" s="638">
        <v>5800</v>
      </c>
      <c r="AG210" s="1416">
        <v>90002</v>
      </c>
      <c r="AH210" s="1417">
        <v>2863</v>
      </c>
      <c r="AI210" s="1417">
        <v>1290</v>
      </c>
      <c r="AJ210" s="638"/>
      <c r="AK210" s="638"/>
      <c r="AL210" s="638" t="s">
        <v>2143</v>
      </c>
      <c r="AM210" s="638" t="s">
        <v>1042</v>
      </c>
      <c r="AN210" s="455">
        <v>5.5</v>
      </c>
      <c r="AO210" s="1239"/>
      <c r="AP210" s="1239"/>
      <c r="AQ210" s="484"/>
      <c r="AR210" s="484"/>
      <c r="AS210" s="484"/>
      <c r="AT210" s="484">
        <f>+ab($T$210,$T$208,$T$212,$G$209,$G$211,-1*$F$210,1200)</f>
        <v>-3.5273804463268825</v>
      </c>
      <c r="AU210" s="638"/>
      <c r="AV210" s="638"/>
      <c r="AW210" s="638" t="str">
        <f>VLOOKUP(C210,'Foundation Calculation'!$A$2:$C$33,3,1)</f>
        <v>Soil B</v>
      </c>
      <c r="AX210" s="638" t="str">
        <f>VLOOKUP(C210,'Foundation Calculation'!$E$2:$G$33,3,1)</f>
        <v>PT</v>
      </c>
      <c r="AY210" s="484">
        <f>IF(AX210="PT",VLOOKUP(L210,'Foundation Calculation'!$K$2:$R$40,VLOOKUP(AW210,'Foundation Calculation'!$I$2:$J$8,2,FALSE),0),IF(AX210="K",VLOOKUP(L210,'Foundation Calculation'!$K$42:$R$80,VLOOKUP(AW210,'Foundation Calculation'!$I$2:$J$8,2,FALSE),0),""))</f>
        <v>4.4000000000000004</v>
      </c>
      <c r="AZ210" s="484"/>
      <c r="BA210" s="671" t="s">
        <v>2809</v>
      </c>
      <c r="BB210" s="449" t="str">
        <f>Pole_Calculations!A178</f>
        <v>App.8-V08F-P10.3</v>
      </c>
      <c r="BC210" s="169"/>
      <c r="BD210" s="1329"/>
      <c r="BE210" s="1329"/>
      <c r="BF210" s="1329"/>
      <c r="BG210" s="1329"/>
    </row>
    <row r="211" spans="1:59" ht="15.75" customHeight="1">
      <c r="A211" s="1239"/>
      <c r="B211" s="447"/>
      <c r="C211" s="446"/>
      <c r="D211" s="448"/>
      <c r="E211" s="448"/>
      <c r="F211" s="448"/>
      <c r="G211" s="455">
        <v>50</v>
      </c>
      <c r="H211" s="1239"/>
      <c r="I211" s="448"/>
      <c r="J211" s="171"/>
      <c r="K211" s="638"/>
      <c r="L211" s="1239"/>
      <c r="M211" s="1239"/>
      <c r="N211" s="1239"/>
      <c r="O211" s="1239"/>
      <c r="P211" s="1239"/>
      <c r="Q211" s="1239"/>
      <c r="R211" s="1239"/>
      <c r="S211" s="455">
        <f t="shared" ref="S211" si="100">AG212-AG210</f>
        <v>50</v>
      </c>
      <c r="T211" s="1239"/>
      <c r="U211" s="1239"/>
      <c r="V211" s="1239"/>
      <c r="W211" s="1239"/>
      <c r="X211" s="1239"/>
      <c r="Y211" s="1239"/>
      <c r="Z211" s="1239"/>
      <c r="AA211" s="1239"/>
      <c r="AB211" s="1239"/>
      <c r="AC211" s="1239"/>
      <c r="AD211" s="1239"/>
      <c r="AE211" s="1239"/>
      <c r="AF211" s="1239"/>
      <c r="AG211" s="1350"/>
      <c r="AH211" s="1285"/>
      <c r="AI211" s="1285"/>
      <c r="AJ211" s="1239"/>
      <c r="AK211" s="1239"/>
      <c r="AL211" s="1239"/>
      <c r="AM211" s="1239"/>
      <c r="AN211" s="455"/>
      <c r="AO211" s="1239"/>
      <c r="AP211" s="1239"/>
      <c r="AQ211" s="484">
        <f>+FL_2($T$212,$T$210,$G$211,1200,9.28,-1*$F$212)</f>
        <v>-0.35553365728689335</v>
      </c>
      <c r="AR211" s="484"/>
      <c r="AS211" s="484"/>
      <c r="AT211" s="484"/>
      <c r="AU211" s="638"/>
      <c r="AV211" s="638"/>
      <c r="AW211" s="638"/>
      <c r="AX211" s="638"/>
      <c r="AY211" s="484"/>
      <c r="AZ211" s="484"/>
      <c r="BA211" s="671"/>
      <c r="BB211" s="1239"/>
      <c r="BC211" s="169"/>
      <c r="BD211" s="1330"/>
      <c r="BE211" s="1330"/>
      <c r="BF211" s="1330"/>
      <c r="BG211" s="1330"/>
    </row>
    <row r="212" spans="1:59" ht="15.75" customHeight="1">
      <c r="A212" s="1239"/>
      <c r="B212" s="646" t="s">
        <v>3307</v>
      </c>
      <c r="C212" s="171">
        <f>C210+G211</f>
        <v>90052.85</v>
      </c>
      <c r="D212" s="448"/>
      <c r="E212" s="448"/>
      <c r="F212" s="448">
        <v>1679</v>
      </c>
      <c r="G212" s="455"/>
      <c r="H212" s="1239"/>
      <c r="I212" s="448"/>
      <c r="J212" s="171"/>
      <c r="K212" s="638"/>
      <c r="L212" s="1239" t="s">
        <v>4393</v>
      </c>
      <c r="M212" s="1239" t="str">
        <f>IF(AX212="PT",VLOOKUP(L212,'Foundation Calculation'!$V$2:$X$40,VLOOKUP(AX212,'Foundation Calculation'!$I$10:$J$13,2,FALSE),0),IF(AX212="K",VLOOKUP(L212,'Foundation Calculation'!$V$42:$X$80,VLOOKUP(AX212,'Foundation Calculation'!$I$10:$J$13,2,FALSE),0),""))</f>
        <v>2C4R</v>
      </c>
      <c r="N212" s="1239" t="s">
        <v>143</v>
      </c>
      <c r="O212" s="1239"/>
      <c r="P212" s="1239"/>
      <c r="Q212" s="1239">
        <v>50</v>
      </c>
      <c r="R212" s="1239">
        <v>1675.1</v>
      </c>
      <c r="S212" s="455"/>
      <c r="T212" s="1285">
        <v>-30</v>
      </c>
      <c r="U212" s="1285"/>
      <c r="V212" s="1285"/>
      <c r="W212" s="1285">
        <v>1.4</v>
      </c>
      <c r="X212" s="1285"/>
      <c r="Y212" s="1285"/>
      <c r="Z212" s="1285"/>
      <c r="AA212" s="1285"/>
      <c r="AB212" s="1285"/>
      <c r="AC212" s="1353" t="s">
        <v>4090</v>
      </c>
      <c r="AD212" s="1285"/>
      <c r="AE212" s="1285"/>
      <c r="AF212" s="1353">
        <v>5800</v>
      </c>
      <c r="AG212" s="1350">
        <v>90052</v>
      </c>
      <c r="AH212" s="1285">
        <v>2803</v>
      </c>
      <c r="AI212" s="1285">
        <v>90</v>
      </c>
      <c r="AJ212" s="1239"/>
      <c r="AK212" s="1239"/>
      <c r="AL212" s="1239" t="s">
        <v>2135</v>
      </c>
      <c r="AM212" s="1239" t="s">
        <v>1042</v>
      </c>
      <c r="AN212" s="484">
        <v>5.5</v>
      </c>
      <c r="AO212" s="1239"/>
      <c r="AP212" s="1239"/>
      <c r="AQ212" s="484"/>
      <c r="AR212" s="484"/>
      <c r="AS212" s="484"/>
      <c r="AT212" s="484">
        <f>+ab($T$212,$T$210,$T$214,$G$211,$G$213,-1*$F$212,1200)</f>
        <v>-6.0160216557266555</v>
      </c>
      <c r="AU212" s="638"/>
      <c r="AV212" s="638"/>
      <c r="AW212" s="638" t="str">
        <f>VLOOKUP(C212,'Foundation Calculation'!$A$2:$C$33,3,1)</f>
        <v>Soil B</v>
      </c>
      <c r="AX212" s="572" t="str">
        <f>VLOOKUP(C212,'Foundation Calculation'!$E$2:$G$33,3,1)</f>
        <v>PT</v>
      </c>
      <c r="AY212" s="484">
        <f>IF(AX212="PT",VLOOKUP(L212,'Foundation Calculation'!$K$2:$R$40,VLOOKUP(AW212,'Foundation Calculation'!$I$2:$J$8,2,FALSE),0),IF(AX212="K",VLOOKUP(L212,'Foundation Calculation'!$K$42:$R$80,VLOOKUP(AW212,'Foundation Calculation'!$I$2:$J$8,2,FALSE),0),""))</f>
        <v>5.3</v>
      </c>
      <c r="AZ212" s="484"/>
      <c r="BA212" s="671" t="s">
        <v>2809</v>
      </c>
      <c r="BB212" s="1239" t="str">
        <f>Pole_Calculations!A178</f>
        <v>App.8-V08F-P10.3</v>
      </c>
      <c r="BC212" s="169"/>
      <c r="BD212" s="1329">
        <v>43783</v>
      </c>
      <c r="BE212" s="1329"/>
      <c r="BF212" s="1329"/>
      <c r="BG212" s="1329"/>
    </row>
    <row r="213" spans="1:59" ht="15.75" customHeight="1">
      <c r="A213" s="1239"/>
      <c r="B213" s="447"/>
      <c r="C213" s="446"/>
      <c r="D213" s="448"/>
      <c r="E213" s="448"/>
      <c r="F213" s="448"/>
      <c r="G213" s="455">
        <v>50</v>
      </c>
      <c r="H213" s="1239"/>
      <c r="I213" s="448"/>
      <c r="J213" s="171"/>
      <c r="K213" s="638"/>
      <c r="L213" s="1239"/>
      <c r="M213" s="1239"/>
      <c r="N213" s="1239"/>
      <c r="O213" s="1239"/>
      <c r="P213" s="1239"/>
      <c r="Q213" s="1239"/>
      <c r="R213" s="1239"/>
      <c r="S213" s="455">
        <f t="shared" ref="S213" si="101">AG214-AG212</f>
        <v>50</v>
      </c>
      <c r="T213" s="1239"/>
      <c r="U213" s="1239"/>
      <c r="V213" s="1239"/>
      <c r="W213" s="1239"/>
      <c r="X213" s="1239"/>
      <c r="Y213" s="1239"/>
      <c r="Z213" s="1239"/>
      <c r="AA213" s="1239"/>
      <c r="AB213" s="1239"/>
      <c r="AC213" s="1239"/>
      <c r="AD213" s="1239"/>
      <c r="AE213" s="1239"/>
      <c r="AF213" s="1239"/>
      <c r="AG213" s="1350"/>
      <c r="AH213" s="1285"/>
      <c r="AI213" s="1285"/>
      <c r="AJ213" s="1239"/>
      <c r="AK213" s="1239"/>
      <c r="AL213" s="1239"/>
      <c r="AM213" s="1239"/>
      <c r="AN213" s="455"/>
      <c r="AO213" s="1239"/>
      <c r="AP213" s="1239"/>
      <c r="AQ213" s="484">
        <f>+FL_2($T$214,$T$212,$G$213,1200,9.28,-1*$F$214)</f>
        <v>-0.40037746552503073</v>
      </c>
      <c r="AR213" s="484"/>
      <c r="AS213" s="484"/>
      <c r="AT213" s="484"/>
      <c r="AU213" s="638"/>
      <c r="AV213" s="638"/>
      <c r="AW213" s="638"/>
      <c r="AX213" s="638"/>
      <c r="AY213" s="484"/>
      <c r="AZ213" s="484"/>
      <c r="BA213" s="671"/>
      <c r="BB213" s="1239"/>
      <c r="BC213" s="169"/>
      <c r="BD213" s="1330"/>
      <c r="BE213" s="1330"/>
      <c r="BF213" s="1330"/>
      <c r="BG213" s="1330"/>
    </row>
    <row r="214" spans="1:59" ht="15.75" customHeight="1">
      <c r="A214" s="1239"/>
      <c r="B214" s="646" t="s">
        <v>3308</v>
      </c>
      <c r="C214" s="171">
        <f>C212+G213</f>
        <v>90102.85</v>
      </c>
      <c r="D214" s="448"/>
      <c r="E214" s="448"/>
      <c r="F214" s="448">
        <v>3270</v>
      </c>
      <c r="G214" s="455"/>
      <c r="H214" s="1239" t="s">
        <v>619</v>
      </c>
      <c r="I214" s="448"/>
      <c r="J214" s="171"/>
      <c r="K214" s="638"/>
      <c r="L214" s="1239" t="s">
        <v>4393</v>
      </c>
      <c r="M214" s="1239" t="str">
        <f>IF(AX214="PT",VLOOKUP(L214,'Foundation Calculation'!$V$2:$X$40,VLOOKUP(AX214,'Foundation Calculation'!$I$10:$J$13,2,FALSE),0),IF(AX214="K",VLOOKUP(L214,'Foundation Calculation'!$V$42:$X$80,VLOOKUP(AX214,'Foundation Calculation'!$I$10:$J$13,2,FALSE),0),""))</f>
        <v>2C4R</v>
      </c>
      <c r="N214" s="1239" t="s">
        <v>143</v>
      </c>
      <c r="O214" s="1239" t="s">
        <v>140</v>
      </c>
      <c r="P214" s="1239"/>
      <c r="Q214" s="1239">
        <v>50</v>
      </c>
      <c r="R214" s="1239">
        <v>3236.71</v>
      </c>
      <c r="S214" s="455"/>
      <c r="T214" s="1285">
        <v>-20</v>
      </c>
      <c r="U214" s="1285">
        <v>30</v>
      </c>
      <c r="V214" s="1285"/>
      <c r="W214" s="1285">
        <v>1.8</v>
      </c>
      <c r="X214" s="1285">
        <v>1.4</v>
      </c>
      <c r="Y214" s="1285"/>
      <c r="Z214" s="1285"/>
      <c r="AA214" s="1285">
        <v>0.6</v>
      </c>
      <c r="AB214" s="1285"/>
      <c r="AC214" s="1285" t="s">
        <v>1421</v>
      </c>
      <c r="AD214" s="1285"/>
      <c r="AE214" s="1285"/>
      <c r="AF214" s="1353">
        <v>5800</v>
      </c>
      <c r="AG214" s="1350">
        <v>90102</v>
      </c>
      <c r="AH214" s="1285">
        <v>2813</v>
      </c>
      <c r="AI214" s="1285">
        <v>80</v>
      </c>
      <c r="AJ214" s="1239"/>
      <c r="AK214" s="1239"/>
      <c r="AL214" s="1239" t="s">
        <v>2135</v>
      </c>
      <c r="AM214" s="1239" t="s">
        <v>1042</v>
      </c>
      <c r="AN214" s="484">
        <v>5.5</v>
      </c>
      <c r="AO214" s="1239"/>
      <c r="AP214" s="1239"/>
      <c r="AQ214" s="484"/>
      <c r="AR214" s="484"/>
      <c r="AS214" s="484"/>
      <c r="AT214" s="484">
        <f>+ab($T$214,$T$212,$T$216,$G$213,$G$215,-1*$F$214,1200)</f>
        <v>-14.143830668700421</v>
      </c>
      <c r="AU214" s="638"/>
      <c r="AV214" s="638"/>
      <c r="AW214" s="638" t="str">
        <f>VLOOKUP(C214,'Foundation Calculation'!$A$2:$C$33,3,1)</f>
        <v>Soil B</v>
      </c>
      <c r="AX214" s="572" t="str">
        <f>VLOOKUP(C214,'Foundation Calculation'!$E$2:$G$33,3,1)</f>
        <v>PT</v>
      </c>
      <c r="AY214" s="484">
        <f>IF(AX214="PT",VLOOKUP(L214,'Foundation Calculation'!$K$2:$R$40,VLOOKUP(AW214,'Foundation Calculation'!$I$2:$J$8,2,FALSE),0),IF(AX214="K",VLOOKUP(L214,'Foundation Calculation'!$K$42:$R$80,VLOOKUP(AW214,'Foundation Calculation'!$I$2:$J$8,2,FALSE),0),""))</f>
        <v>5.3</v>
      </c>
      <c r="AZ214" s="484"/>
      <c r="BA214" s="671" t="s">
        <v>2809</v>
      </c>
      <c r="BB214" s="1239" t="str">
        <f>Pole_Calculations!A178</f>
        <v>App.8-V08F-P10.3</v>
      </c>
      <c r="BC214" s="169"/>
      <c r="BD214" s="1329">
        <v>43783</v>
      </c>
      <c r="BE214" s="1329"/>
      <c r="BF214" s="1329"/>
      <c r="BG214" s="1329"/>
    </row>
    <row r="215" spans="1:59" ht="15.75" customHeight="1">
      <c r="A215" s="1239"/>
      <c r="B215" s="447"/>
      <c r="C215" s="446"/>
      <c r="D215" s="448"/>
      <c r="E215" s="448"/>
      <c r="F215" s="448"/>
      <c r="G215" s="455">
        <v>50</v>
      </c>
      <c r="H215" s="1239"/>
      <c r="I215" s="448"/>
      <c r="J215" s="171"/>
      <c r="K215" s="638"/>
      <c r="L215" s="1239"/>
      <c r="M215" s="1239"/>
      <c r="N215" s="1239"/>
      <c r="O215" s="1239"/>
      <c r="P215" s="1239"/>
      <c r="Q215" s="1239"/>
      <c r="R215" s="1239"/>
      <c r="S215" s="455">
        <f t="shared" ref="S215" si="102">AG216-AG214</f>
        <v>50</v>
      </c>
      <c r="T215" s="1239"/>
      <c r="U215" s="1239"/>
      <c r="V215" s="1239"/>
      <c r="W215" s="1239"/>
      <c r="X215" s="1239"/>
      <c r="Y215" s="1239"/>
      <c r="Z215" s="1239"/>
      <c r="AA215" s="1239"/>
      <c r="AB215" s="1239"/>
      <c r="AC215" s="1239"/>
      <c r="AD215" s="1239"/>
      <c r="AE215" s="1239"/>
      <c r="AF215" s="1239"/>
      <c r="AG215" s="1350"/>
      <c r="AH215" s="1285"/>
      <c r="AI215" s="1285"/>
      <c r="AJ215" s="1239"/>
      <c r="AK215" s="1239"/>
      <c r="AL215" s="1239"/>
      <c r="AM215" s="1239"/>
      <c r="AN215" s="455"/>
      <c r="AO215" s="1239"/>
      <c r="AP215" s="1239"/>
      <c r="AQ215" s="484">
        <f>+FL_2($T$216,$T$214,$G$215,1200,9.28,-1*$F$216)</f>
        <v>-0.43622137201697719</v>
      </c>
      <c r="AR215" s="484"/>
      <c r="AS215" s="484"/>
      <c r="AT215" s="484"/>
      <c r="AU215" s="638"/>
      <c r="AV215" s="638"/>
      <c r="AW215" s="638"/>
      <c r="AX215" s="638"/>
      <c r="AY215" s="484"/>
      <c r="AZ215" s="484"/>
      <c r="BA215" s="671"/>
      <c r="BB215" s="1239"/>
      <c r="BC215" s="169"/>
      <c r="BD215" s="1330"/>
      <c r="BE215" s="1330"/>
      <c r="BF215" s="1330"/>
      <c r="BG215" s="1330"/>
    </row>
    <row r="216" spans="1:59" ht="15.75" customHeight="1">
      <c r="A216" s="1239"/>
      <c r="B216" s="447" t="s">
        <v>3309</v>
      </c>
      <c r="C216" s="171">
        <f>C214+G215</f>
        <v>90152.85</v>
      </c>
      <c r="D216" s="1239"/>
      <c r="E216" s="1239"/>
      <c r="F216" s="448">
        <v>57389</v>
      </c>
      <c r="G216" s="455"/>
      <c r="H216" s="1239" t="s">
        <v>138</v>
      </c>
      <c r="I216" s="448" t="s">
        <v>623</v>
      </c>
      <c r="J216" s="171"/>
      <c r="K216" s="1239"/>
      <c r="L216" s="1239" t="s">
        <v>4393</v>
      </c>
      <c r="M216" s="1239" t="str">
        <f>IF(AX216="PT",VLOOKUP(L216,'Foundation Calculation'!$V$2:$X$40,VLOOKUP(AX216,'Foundation Calculation'!$I$10:$J$13,2,FALSE),0),IF(AX216="K",VLOOKUP(L216,'Foundation Calculation'!$V$42:$X$80,VLOOKUP(AX216,'Foundation Calculation'!$I$10:$J$13,2,FALSE),0),""))</f>
        <v>2C4R</v>
      </c>
      <c r="N216" s="1239" t="s">
        <v>143</v>
      </c>
      <c r="O216" s="1239"/>
      <c r="P216" s="1239"/>
      <c r="Q216" s="1239">
        <v>0</v>
      </c>
      <c r="R216" s="1239">
        <v>0</v>
      </c>
      <c r="S216" s="455"/>
      <c r="T216" s="1285">
        <v>-20</v>
      </c>
      <c r="U216" s="1285"/>
      <c r="V216" s="1285"/>
      <c r="W216" s="1285">
        <v>1.4</v>
      </c>
      <c r="X216" s="1285"/>
      <c r="Y216" s="1285"/>
      <c r="Z216" s="1285"/>
      <c r="AA216" s="1285"/>
      <c r="AB216" s="1285"/>
      <c r="AC216" s="1285" t="s">
        <v>1421</v>
      </c>
      <c r="AD216" s="1285"/>
      <c r="AE216" s="1285"/>
      <c r="AF216" s="1353">
        <v>5800</v>
      </c>
      <c r="AG216" s="1350">
        <v>90152</v>
      </c>
      <c r="AH216" s="1285">
        <v>3203</v>
      </c>
      <c r="AI216" s="1285">
        <v>80</v>
      </c>
      <c r="AJ216" s="1239"/>
      <c r="AK216" s="1239"/>
      <c r="AL216" s="1239" t="s">
        <v>2135</v>
      </c>
      <c r="AM216" s="1239" t="s">
        <v>1042</v>
      </c>
      <c r="AN216" s="484">
        <v>5.5</v>
      </c>
      <c r="AO216" s="638"/>
      <c r="AP216" s="638"/>
      <c r="AQ216" s="484"/>
      <c r="AR216" s="484"/>
      <c r="AS216" s="484"/>
      <c r="AT216" s="484">
        <f>+ab($T$216,$T$214,$T$218,$G$215,$G$217,-1*$F$216,1200)</f>
        <v>-19.821496432734545</v>
      </c>
      <c r="AU216" s="638"/>
      <c r="AV216" s="638"/>
      <c r="AW216" s="638" t="str">
        <f>VLOOKUP(C216,'Foundation Calculation'!$A$2:$C$33,3,1)</f>
        <v>Soil B</v>
      </c>
      <c r="AX216" s="572" t="str">
        <f>VLOOKUP(C216,'Foundation Calculation'!$E$2:$G$33,3,1)</f>
        <v>PT</v>
      </c>
      <c r="AY216" s="484">
        <f>IF(AX216="PT",VLOOKUP(L216,'Foundation Calculation'!$K$2:$R$40,VLOOKUP(AW216,'Foundation Calculation'!$I$2:$J$8,2,FALSE),0),IF(AX216="K",VLOOKUP(L216,'Foundation Calculation'!$K$42:$R$80,VLOOKUP(AW216,'Foundation Calculation'!$I$2:$J$8,2,FALSE),0),""))</f>
        <v>5.3</v>
      </c>
      <c r="AZ216" s="484"/>
      <c r="BA216" s="671" t="s">
        <v>2809</v>
      </c>
      <c r="BB216" s="1239" t="str">
        <f>Pole_Calculations!A178</f>
        <v>App.8-V08F-P10.3</v>
      </c>
      <c r="BC216" s="169"/>
      <c r="BD216" s="1329">
        <v>43783</v>
      </c>
      <c r="BE216" s="1329"/>
      <c r="BF216" s="1329"/>
      <c r="BG216" s="1329"/>
    </row>
    <row r="217" spans="1:59" ht="15.75" customHeight="1">
      <c r="A217" s="1239"/>
      <c r="B217" s="447"/>
      <c r="C217" s="446"/>
      <c r="D217" s="1239"/>
      <c r="E217" s="1239"/>
      <c r="F217" s="448"/>
      <c r="G217" s="455">
        <v>60</v>
      </c>
      <c r="H217" s="1239"/>
      <c r="I217" s="448"/>
      <c r="J217" s="171">
        <f>C216+7.5</f>
        <v>90160.35</v>
      </c>
      <c r="K217" s="638" t="s">
        <v>2787</v>
      </c>
      <c r="L217" s="1239"/>
      <c r="M217" s="1239"/>
      <c r="N217" s="1239"/>
      <c r="O217" s="1239"/>
      <c r="P217" s="1239"/>
      <c r="Q217" s="1239"/>
      <c r="R217" s="1239"/>
      <c r="S217" s="455">
        <f t="shared" ref="S217" si="103">AG218-AG216</f>
        <v>58</v>
      </c>
      <c r="T217" s="1239"/>
      <c r="U217" s="1239"/>
      <c r="V217" s="1239"/>
      <c r="W217" s="1239"/>
      <c r="X217" s="1239"/>
      <c r="Y217" s="1239"/>
      <c r="Z217" s="1239"/>
      <c r="AA217" s="1239"/>
      <c r="AB217" s="1239"/>
      <c r="AC217" s="1239"/>
      <c r="AD217" s="1239"/>
      <c r="AE217" s="1239"/>
      <c r="AF217" s="1239"/>
      <c r="AG217" s="1350"/>
      <c r="AH217" s="1285"/>
      <c r="AI217" s="1285"/>
      <c r="AJ217" s="1239"/>
      <c r="AK217" s="1239"/>
      <c r="AL217" s="1239"/>
      <c r="AM217" s="1239"/>
      <c r="AN217" s="484"/>
      <c r="AO217" s="638"/>
      <c r="AP217" s="638"/>
      <c r="AQ217" s="484">
        <f>+FL_1($T$218,$T$216,$G$217,1200,9.28,-1*$F$218)</f>
        <v>0.4428994186666666</v>
      </c>
      <c r="AR217" s="484"/>
      <c r="AS217" s="484"/>
      <c r="AT217" s="484"/>
      <c r="AU217" s="638"/>
      <c r="AV217" s="638"/>
      <c r="AW217" s="638" t="str">
        <f>VLOOKUP(J217,'Foundation Calculation'!$A$2:$C$33,3,1)</f>
        <v>Soil B</v>
      </c>
      <c r="AX217" s="572" t="str">
        <f>VLOOKUP(J217,'Foundation Calculation'!$E$2:$G$33,3,1)</f>
        <v>PT</v>
      </c>
      <c r="AY217" s="484"/>
      <c r="AZ217" s="484">
        <f>IF(AX217="PT",VLOOKUP(K217,'Foundation Calculation'!$K$2:$R$40,VLOOKUP(AW217,'Foundation Calculation'!$I$2:$J$8,2,FALSE),0),IF(AX217="K",VLOOKUP(K217,'Foundation Calculation'!$K$42:$R$80,VLOOKUP(AW217,'Foundation Calculation'!$I$2:$J$8,2,FALSE),0),""))</f>
        <v>3.9</v>
      </c>
      <c r="BA217" s="671" t="s">
        <v>2809</v>
      </c>
      <c r="BB217" s="1239"/>
      <c r="BC217" s="169"/>
      <c r="BD217" s="1329">
        <v>43783</v>
      </c>
      <c r="BE217" s="1330"/>
      <c r="BF217" s="1330"/>
      <c r="BG217" s="1330"/>
    </row>
    <row r="218" spans="1:59" ht="15.75" customHeight="1">
      <c r="A218" s="1239"/>
      <c r="B218" s="439" t="s">
        <v>3310</v>
      </c>
      <c r="C218" s="446">
        <f>C216+G217</f>
        <v>90212.85</v>
      </c>
      <c r="D218" s="173"/>
      <c r="E218" s="447"/>
      <c r="F218" s="447">
        <v>0</v>
      </c>
      <c r="G218" s="484"/>
      <c r="H218" s="1239"/>
      <c r="I218" s="1239"/>
      <c r="J218" s="171"/>
      <c r="K218" s="638"/>
      <c r="L218" s="638" t="s">
        <v>4393</v>
      </c>
      <c r="M218" s="1239" t="str">
        <f>IF(AX218="PT",VLOOKUP(L218,'Foundation Calculation'!$V$2:$X$40,VLOOKUP(AX218,'Foundation Calculation'!$I$10:$J$13,2,FALSE),0),IF(AX218="K",VLOOKUP(L218,'Foundation Calculation'!$V$42:$X$80,VLOOKUP(AX218,'Foundation Calculation'!$I$10:$J$13,2,FALSE),0),""))</f>
        <v>2C4R</v>
      </c>
      <c r="N218" s="1239" t="s">
        <v>144</v>
      </c>
      <c r="O218" s="1239"/>
      <c r="P218" s="1239"/>
      <c r="Q218" s="638">
        <v>0</v>
      </c>
      <c r="R218" s="638">
        <v>0</v>
      </c>
      <c r="S218" s="484"/>
      <c r="T218" s="1353">
        <v>30</v>
      </c>
      <c r="U218" s="1353"/>
      <c r="V218" s="1353"/>
      <c r="W218" s="1353">
        <v>1.4</v>
      </c>
      <c r="X218" s="1353"/>
      <c r="Y218" s="1353"/>
      <c r="Z218" s="1353"/>
      <c r="AA218" s="1353"/>
      <c r="AB218" s="1353"/>
      <c r="AC218" s="1353" t="s">
        <v>1421</v>
      </c>
      <c r="AD218" s="1353"/>
      <c r="AE218" s="1353"/>
      <c r="AF218" s="1353">
        <v>6000</v>
      </c>
      <c r="AG218" s="1360">
        <v>90210</v>
      </c>
      <c r="AH218" s="1353">
        <v>4483</v>
      </c>
      <c r="AI218" s="1353">
        <v>530</v>
      </c>
      <c r="AJ218" s="638"/>
      <c r="AK218" s="638"/>
      <c r="AL218" s="638" t="s">
        <v>2135</v>
      </c>
      <c r="AM218" s="638" t="s">
        <v>1042</v>
      </c>
      <c r="AN218" s="455">
        <v>5.5</v>
      </c>
      <c r="AO218" s="1239"/>
      <c r="AP218" s="1239"/>
      <c r="AQ218" s="484"/>
      <c r="AR218" s="484"/>
      <c r="AS218" s="484"/>
      <c r="AT218" s="484">
        <f>+ab($T$218,$T$216,$T$220,$G$217,$G$219,-1*$F$218,1200)</f>
        <v>10.165577824377994</v>
      </c>
      <c r="AU218" s="638"/>
      <c r="AV218" s="638"/>
      <c r="AW218" s="638" t="str">
        <f>VLOOKUP(C218,'Foundation Calculation'!$A$2:$C$33,3,1)</f>
        <v>Soil B</v>
      </c>
      <c r="AX218" s="638" t="str">
        <f>VLOOKUP(C218,'Foundation Calculation'!$E$2:$G$33,3,1)</f>
        <v>PT</v>
      </c>
      <c r="AY218" s="484">
        <f>IF(AX218="PT",VLOOKUP(L218,'Foundation Calculation'!$K$2:$R$40,VLOOKUP(AW218,'Foundation Calculation'!$I$2:$J$8,2,FALSE),0),IF(AX218="K",VLOOKUP(L218,'Foundation Calculation'!$K$42:$R$80,VLOOKUP(AW218,'Foundation Calculation'!$I$2:$J$8,2,FALSE),0),""))</f>
        <v>5.3</v>
      </c>
      <c r="AZ218" s="484"/>
      <c r="BA218" s="671" t="s">
        <v>2809</v>
      </c>
      <c r="BB218" s="1239" t="str">
        <f>Pole_Calculations!A178</f>
        <v>App.8-V08F-P10.3</v>
      </c>
      <c r="BC218" s="169"/>
      <c r="BD218" s="1329"/>
      <c r="BE218" s="1329"/>
      <c r="BF218" s="1329"/>
      <c r="BG218" s="1329"/>
    </row>
    <row r="219" spans="1:59" ht="15.75" customHeight="1">
      <c r="A219" s="1239"/>
      <c r="B219" s="447"/>
      <c r="C219" s="446"/>
      <c r="D219" s="1239"/>
      <c r="E219" s="1239"/>
      <c r="F219" s="448"/>
      <c r="G219" s="455">
        <v>58</v>
      </c>
      <c r="H219" s="1239"/>
      <c r="I219" s="448"/>
      <c r="J219" s="171"/>
      <c r="K219" s="1239"/>
      <c r="L219" s="1239"/>
      <c r="M219" s="1239"/>
      <c r="N219" s="1239"/>
      <c r="O219" s="1239"/>
      <c r="P219" s="1239"/>
      <c r="Q219" s="1239"/>
      <c r="R219" s="1239"/>
      <c r="S219" s="455">
        <f t="shared" ref="S219" si="104">AG220-AG218</f>
        <v>60</v>
      </c>
      <c r="T219" s="1285"/>
      <c r="U219" s="1285"/>
      <c r="V219" s="1285"/>
      <c r="W219" s="1285"/>
      <c r="X219" s="1285"/>
      <c r="Y219" s="1285"/>
      <c r="Z219" s="1285"/>
      <c r="AA219" s="1285"/>
      <c r="AB219" s="1285"/>
      <c r="AC219" s="1285"/>
      <c r="AD219" s="1285"/>
      <c r="AE219" s="1285"/>
      <c r="AF219" s="1285"/>
      <c r="AG219" s="1350"/>
      <c r="AH219" s="1285"/>
      <c r="AI219" s="1285"/>
      <c r="AJ219" s="1239"/>
      <c r="AK219" s="1239"/>
      <c r="AL219" s="1239"/>
      <c r="AM219" s="1239"/>
      <c r="AN219" s="484"/>
      <c r="AO219" s="638"/>
      <c r="AP219" s="638"/>
      <c r="AQ219" s="484">
        <f>+FL_1($T$220,$T$218,$G$219,1200,9.28,-1*$F$220)</f>
        <v>0.39437769177011484</v>
      </c>
      <c r="AR219" s="484"/>
      <c r="AS219" s="484"/>
      <c r="AT219" s="484"/>
      <c r="AU219" s="638"/>
      <c r="AV219" s="638"/>
      <c r="AW219" s="638"/>
      <c r="AX219" s="638"/>
      <c r="AY219" s="484"/>
      <c r="AZ219" s="484"/>
      <c r="BA219" s="671"/>
      <c r="BB219" s="1239"/>
      <c r="BC219" s="169"/>
      <c r="BD219" s="1330"/>
      <c r="BE219" s="1330"/>
      <c r="BF219" s="1330"/>
      <c r="BG219" s="1330"/>
    </row>
    <row r="220" spans="1:59" ht="15.75" customHeight="1">
      <c r="A220" s="1239"/>
      <c r="B220" s="435" t="s">
        <v>3311</v>
      </c>
      <c r="C220" s="446">
        <f>C218+G219</f>
        <v>90270.85</v>
      </c>
      <c r="D220" s="173"/>
      <c r="E220" s="447"/>
      <c r="F220" s="447">
        <v>0</v>
      </c>
      <c r="G220" s="484"/>
      <c r="H220" s="1239"/>
      <c r="I220" s="1239"/>
      <c r="J220" s="171"/>
      <c r="K220" s="638"/>
      <c r="L220" s="638" t="s">
        <v>4393</v>
      </c>
      <c r="M220" s="1239" t="str">
        <f>IF(AX220="PT",VLOOKUP(L220,'Foundation Calculation'!$V$2:$X$40,VLOOKUP(AX220,'Foundation Calculation'!$I$10:$J$13,2,FALSE),0),IF(AX220="K",VLOOKUP(L220,'Foundation Calculation'!$V$42:$X$80,VLOOKUP(AX220,'Foundation Calculation'!$I$10:$J$13,2,FALSE),0),""))</f>
        <v>2C4R</v>
      </c>
      <c r="N220" s="1239" t="s">
        <v>143</v>
      </c>
      <c r="O220" s="1239"/>
      <c r="P220" s="1239"/>
      <c r="Q220" s="638">
        <v>0</v>
      </c>
      <c r="R220" s="638">
        <v>0</v>
      </c>
      <c r="S220" s="484"/>
      <c r="T220" s="638">
        <v>-30</v>
      </c>
      <c r="U220" s="638"/>
      <c r="V220" s="638"/>
      <c r="W220" s="638">
        <v>1.4</v>
      </c>
      <c r="X220" s="638"/>
      <c r="Y220" s="638"/>
      <c r="Z220" s="638"/>
      <c r="AA220" s="638"/>
      <c r="AB220" s="638"/>
      <c r="AC220" s="638" t="str">
        <f t="shared" ref="AC220:AC226" si="105">IF(OR(AT220&gt;8,AT220&lt;-8),"PH",IF(OR(AT220&gt;5,AT220&lt;-5),"PH-Q",IF(OR(AT220&gt;1,AT220&lt;-1),"PH-C")))</f>
        <v>PH</v>
      </c>
      <c r="AD220" s="638"/>
      <c r="AE220" s="638"/>
      <c r="AF220" s="638"/>
      <c r="AG220" s="446">
        <v>90270</v>
      </c>
      <c r="AH220" s="638">
        <v>5333</v>
      </c>
      <c r="AI220" s="638">
        <v>-550</v>
      </c>
      <c r="AJ220" s="638"/>
      <c r="AK220" s="638"/>
      <c r="AL220" s="638" t="s">
        <v>2135</v>
      </c>
      <c r="AM220" s="638" t="s">
        <v>1042</v>
      </c>
      <c r="AN220" s="455">
        <v>5.41</v>
      </c>
      <c r="AO220" s="1239"/>
      <c r="AP220" s="1239"/>
      <c r="AQ220" s="484"/>
      <c r="AR220" s="484"/>
      <c r="AS220" s="484"/>
      <c r="AT220" s="484">
        <f>+ab($T$220,$T$218,$T$222,$G$219,$G$221,-1*$F$220,1200)</f>
        <v>-9.739962214118183</v>
      </c>
      <c r="AU220" s="638"/>
      <c r="AV220" s="638"/>
      <c r="AW220" s="638" t="s">
        <v>4426</v>
      </c>
      <c r="AX220" s="638" t="s">
        <v>1371</v>
      </c>
      <c r="AY220" s="484">
        <f>IF(AX220="PT",VLOOKUP(L220,'Foundation Calculation'!$K$2:$R$40,VLOOKUP(AW220,'Foundation Calculation'!$I$2:$J$8,2,FALSE),0),IF(AX220="K",VLOOKUP(L220,'Foundation Calculation'!$K$42:$R$80,VLOOKUP(AW220,'Foundation Calculation'!$I$2:$J$8,2,FALSE),0),""))</f>
        <v>5.3</v>
      </c>
      <c r="AZ220" s="484"/>
      <c r="BA220" s="671" t="s">
        <v>2809</v>
      </c>
      <c r="BB220" s="1239" t="str">
        <f>Pole_Calculations!A178</f>
        <v>App.8-V08F-P10.3</v>
      </c>
      <c r="BC220" s="169"/>
      <c r="BD220" s="1371"/>
      <c r="BE220" s="1371"/>
      <c r="BF220" s="1371"/>
      <c r="BG220" s="1371"/>
    </row>
    <row r="221" spans="1:59" ht="15.75" customHeight="1">
      <c r="A221" s="1239"/>
      <c r="B221" s="1239"/>
      <c r="C221" s="171"/>
      <c r="D221" s="1239"/>
      <c r="E221" s="1239"/>
      <c r="F221" s="448"/>
      <c r="G221" s="455">
        <v>60</v>
      </c>
      <c r="H221" s="1239"/>
      <c r="I221" s="448"/>
      <c r="J221" s="171">
        <f>C222-7.5</f>
        <v>90323.35</v>
      </c>
      <c r="K221" s="1239" t="s">
        <v>2787</v>
      </c>
      <c r="L221" s="1239"/>
      <c r="M221" s="1239"/>
      <c r="N221" s="1239"/>
      <c r="O221" s="1239"/>
      <c r="P221" s="1239"/>
      <c r="Q221" s="1239"/>
      <c r="R221" s="1239"/>
      <c r="S221" s="455">
        <f t="shared" ref="S221" si="106">AG222-AG220</f>
        <v>60</v>
      </c>
      <c r="T221" s="1239"/>
      <c r="U221" s="1239"/>
      <c r="V221" s="1239"/>
      <c r="W221" s="1239"/>
      <c r="X221" s="1239"/>
      <c r="Y221" s="1239"/>
      <c r="Z221" s="1239"/>
      <c r="AA221" s="1239"/>
      <c r="AB221" s="1239"/>
      <c r="AC221" s="1239"/>
      <c r="AD221" s="1239"/>
      <c r="AE221" s="1239"/>
      <c r="AF221" s="1239"/>
      <c r="AG221" s="171"/>
      <c r="AH221" s="1239"/>
      <c r="AI221" s="1239"/>
      <c r="AJ221" s="1239"/>
      <c r="AK221" s="1239"/>
      <c r="AL221" s="1239"/>
      <c r="AM221" s="1239"/>
      <c r="AN221" s="484"/>
      <c r="AO221" s="638"/>
      <c r="AP221" s="638"/>
      <c r="AQ221" s="484">
        <f>+FL_1($T$222,$T$220,$G$221,1200,9.28,-1*$F$222)</f>
        <v>0.37732829999999995</v>
      </c>
      <c r="AR221" s="484"/>
      <c r="AS221" s="484"/>
      <c r="AT221" s="484"/>
      <c r="AU221" s="638"/>
      <c r="AV221" s="638"/>
      <c r="AW221" s="638" t="str">
        <f>VLOOKUP(J221,'Foundation Calculation'!$A$2:$C$33,3,1)</f>
        <v>Soil B</v>
      </c>
      <c r="AX221" s="572" t="str">
        <f>VLOOKUP(J221,'Foundation Calculation'!$E$2:$G$33,3,1)</f>
        <v>PT</v>
      </c>
      <c r="AY221" s="484"/>
      <c r="AZ221" s="484">
        <f>IF(AX221="PT",VLOOKUP(K221,'Foundation Calculation'!$K$2:$R$40,VLOOKUP(AW221,'Foundation Calculation'!$I$2:$J$8,2,FALSE),0),IF(AX221="K",VLOOKUP(K221,'Foundation Calculation'!$K$42:$R$80,VLOOKUP(AW221,'Foundation Calculation'!$I$2:$J$8,2,FALSE),0),""))</f>
        <v>3.9</v>
      </c>
      <c r="BA221" s="671" t="s">
        <v>2809</v>
      </c>
      <c r="BB221" s="1239"/>
      <c r="BC221" s="169"/>
      <c r="BD221" s="1329"/>
      <c r="BE221" s="1330"/>
      <c r="BF221" s="1330"/>
      <c r="BG221" s="1330"/>
    </row>
    <row r="222" spans="1:59" ht="15.75" customHeight="1">
      <c r="A222" s="1239"/>
      <c r="B222" s="439" t="s">
        <v>2577</v>
      </c>
      <c r="C222" s="446">
        <f>C220+G221</f>
        <v>90330.85</v>
      </c>
      <c r="D222" s="173"/>
      <c r="E222" s="447"/>
      <c r="F222" s="447">
        <v>0</v>
      </c>
      <c r="G222" s="484"/>
      <c r="H222" s="1239" t="s">
        <v>138</v>
      </c>
      <c r="I222" s="1239" t="s">
        <v>623</v>
      </c>
      <c r="J222" s="171"/>
      <c r="K222" s="638"/>
      <c r="L222" s="638" t="s">
        <v>4393</v>
      </c>
      <c r="M222" s="1239" t="str">
        <f>IF(AX222="PT",VLOOKUP(L222,'Foundation Calculation'!$V$2:$X$40,VLOOKUP(AX222,'Foundation Calculation'!$I$10:$J$13,2,FALSE),0),IF(AX222="K",VLOOKUP(L222,'Foundation Calculation'!$V$42:$X$80,VLOOKUP(AX222,'Foundation Calculation'!$I$10:$J$13,2,FALSE),0),""))</f>
        <v>2C4R</v>
      </c>
      <c r="N222" s="1239" t="s">
        <v>144</v>
      </c>
      <c r="O222" s="1239"/>
      <c r="P222" s="1239"/>
      <c r="Q222" s="638">
        <v>0</v>
      </c>
      <c r="R222" s="638">
        <v>0</v>
      </c>
      <c r="S222" s="484"/>
      <c r="T222" s="638">
        <v>25</v>
      </c>
      <c r="U222" s="638"/>
      <c r="V222" s="638"/>
      <c r="W222" s="638">
        <v>1.4</v>
      </c>
      <c r="X222" s="638"/>
      <c r="Y222" s="638"/>
      <c r="Z222" s="638"/>
      <c r="AA222" s="638"/>
      <c r="AB222" s="638"/>
      <c r="AC222" s="638" t="str">
        <f t="shared" si="105"/>
        <v>PH</v>
      </c>
      <c r="AD222" s="638"/>
      <c r="AE222" s="638"/>
      <c r="AF222" s="638"/>
      <c r="AG222" s="446">
        <v>90330</v>
      </c>
      <c r="AH222" s="638">
        <v>5293</v>
      </c>
      <c r="AI222" s="638">
        <v>-720</v>
      </c>
      <c r="AJ222" s="638"/>
      <c r="AK222" s="638"/>
      <c r="AL222" s="638" t="s">
        <v>2135</v>
      </c>
      <c r="AM222" s="638" t="s">
        <v>1042</v>
      </c>
      <c r="AN222" s="455">
        <v>5.31</v>
      </c>
      <c r="AO222" s="1239"/>
      <c r="AP222" s="1239"/>
      <c r="AQ222" s="484"/>
      <c r="AR222" s="484"/>
      <c r="AS222" s="484"/>
      <c r="AT222" s="484">
        <f>+ab($T$222,$T$220,$U$224,$G$221,$G$223,-1*$F$222,1200)</f>
        <v>10.394704986430957</v>
      </c>
      <c r="AU222" s="638"/>
      <c r="AV222" s="638"/>
      <c r="AW222" s="638" t="str">
        <f>VLOOKUP(C222,'Foundation Calculation'!$A$2:$C$33,3,1)</f>
        <v>Soil B</v>
      </c>
      <c r="AX222" s="638" t="str">
        <f>VLOOKUP(C222,'Foundation Calculation'!$E$2:$G$33,3,1)</f>
        <v>PT</v>
      </c>
      <c r="AY222" s="484">
        <f>IF(AX222="PT",VLOOKUP(L222,'Foundation Calculation'!$K$2:$R$40,VLOOKUP(AW222,'Foundation Calculation'!$I$2:$J$8,2,FALSE),0),IF(AX222="K",VLOOKUP(L222,'Foundation Calculation'!$K$42:$R$80,VLOOKUP(AW222,'Foundation Calculation'!$I$2:$J$8,2,FALSE),0),""))</f>
        <v>5.3</v>
      </c>
      <c r="AZ222" s="484"/>
      <c r="BA222" s="671" t="s">
        <v>2809</v>
      </c>
      <c r="BB222" s="1239" t="str">
        <f>Pole_Calculations!A178</f>
        <v>App.8-V08F-P10.3</v>
      </c>
      <c r="BC222" s="169"/>
      <c r="BD222" s="1329"/>
      <c r="BE222" s="1329"/>
      <c r="BF222" s="1329"/>
      <c r="BG222" s="1329"/>
    </row>
    <row r="223" spans="1:59" ht="15.75" customHeight="1">
      <c r="A223" s="1239"/>
      <c r="B223" s="1239"/>
      <c r="C223" s="446"/>
      <c r="D223" s="638"/>
      <c r="E223" s="638"/>
      <c r="F223" s="447"/>
      <c r="G223" s="455">
        <v>55</v>
      </c>
      <c r="H223" s="1239"/>
      <c r="I223" s="448"/>
      <c r="J223" s="171">
        <f>C224-7.5</f>
        <v>90378.35</v>
      </c>
      <c r="K223" s="1239" t="s">
        <v>2787</v>
      </c>
      <c r="L223" s="1239"/>
      <c r="M223" s="1239"/>
      <c r="N223" s="1239"/>
      <c r="O223" s="1239"/>
      <c r="P223" s="1239"/>
      <c r="Q223" s="1239"/>
      <c r="R223" s="1239"/>
      <c r="S223" s="455">
        <f t="shared" ref="S223" si="107">AG224-AG222</f>
        <v>56</v>
      </c>
      <c r="T223" s="1239"/>
      <c r="U223" s="1239"/>
      <c r="V223" s="1239"/>
      <c r="W223" s="1239"/>
      <c r="X223" s="1239"/>
      <c r="Y223" s="1239"/>
      <c r="Z223" s="1239"/>
      <c r="AA223" s="1239"/>
      <c r="AB223" s="1239"/>
      <c r="AC223" s="1239"/>
      <c r="AD223" s="1239"/>
      <c r="AE223" s="1239"/>
      <c r="AF223" s="1239"/>
      <c r="AG223" s="171"/>
      <c r="AH223" s="1239"/>
      <c r="AI223" s="1239"/>
      <c r="AJ223" s="1239"/>
      <c r="AK223" s="1239"/>
      <c r="AL223" s="1239"/>
      <c r="AM223" s="1239"/>
      <c r="AN223" s="484"/>
      <c r="AO223" s="638"/>
      <c r="AP223" s="638"/>
      <c r="AQ223" s="484">
        <f>+FL_1($U$224,$T$222,$G$223,1200,9.28,-1*$F$224)</f>
        <v>0.37754484577198055</v>
      </c>
      <c r="AR223" s="484"/>
      <c r="AS223" s="484"/>
      <c r="AT223" s="484"/>
      <c r="AU223" s="638"/>
      <c r="AV223" s="638"/>
      <c r="AW223" s="638" t="str">
        <f>VLOOKUP(J223,'Foundation Calculation'!$A$2:$C$33,3,1)</f>
        <v>Soil B</v>
      </c>
      <c r="AX223" s="572" t="str">
        <f>VLOOKUP(J223,'Foundation Calculation'!$E$2:$G$33,3,1)</f>
        <v>PT</v>
      </c>
      <c r="AY223" s="484"/>
      <c r="AZ223" s="484">
        <f>IF(AX223="PT",VLOOKUP(K223,'Foundation Calculation'!$K$2:$R$40,VLOOKUP(AW223,'Foundation Calculation'!$I$2:$J$8,2,FALSE),0),IF(AX223="K",VLOOKUP(K223,'Foundation Calculation'!$K$42:$R$80,VLOOKUP(AW223,'Foundation Calculation'!$I$2:$J$8,2,FALSE),0),""))</f>
        <v>3.9</v>
      </c>
      <c r="BA223" s="671" t="s">
        <v>2809</v>
      </c>
      <c r="BB223" s="1239"/>
      <c r="BC223" s="169"/>
      <c r="BD223" s="1329"/>
      <c r="BE223" s="1330"/>
      <c r="BF223" s="1330"/>
      <c r="BG223" s="1330"/>
    </row>
    <row r="224" spans="1:59" ht="15.75" customHeight="1">
      <c r="A224" s="1239"/>
      <c r="B224" s="439" t="s">
        <v>2673</v>
      </c>
      <c r="C224" s="446">
        <f>+$C$222+$G$223</f>
        <v>90385.85</v>
      </c>
      <c r="D224" s="173"/>
      <c r="E224" s="447"/>
      <c r="F224" s="447">
        <v>10000</v>
      </c>
      <c r="G224" s="484"/>
      <c r="H224" s="1239" t="s">
        <v>2128</v>
      </c>
      <c r="I224" s="1239" t="s">
        <v>623</v>
      </c>
      <c r="J224" s="171"/>
      <c r="K224" s="638"/>
      <c r="L224" s="638" t="s">
        <v>4393</v>
      </c>
      <c r="M224" s="1239" t="str">
        <f>IF(AX224="PT",VLOOKUP(L224,'Foundation Calculation'!$V$2:$X$40,VLOOKUP(AX224,'Foundation Calculation'!$I$10:$J$13,2,FALSE),0),IF(AX224="K",VLOOKUP(L224,'Foundation Calculation'!$V$42:$X$80,VLOOKUP(AX224,'Foundation Calculation'!$I$10:$J$13,2,FALSE),0),""))</f>
        <v>2C4R</v>
      </c>
      <c r="N224" s="1239" t="s">
        <v>140</v>
      </c>
      <c r="O224" s="1239" t="s">
        <v>143</v>
      </c>
      <c r="P224" s="1239"/>
      <c r="Q224" s="638">
        <v>20</v>
      </c>
      <c r="R224" s="638">
        <v>10000</v>
      </c>
      <c r="S224" s="484"/>
      <c r="T224" s="1417">
        <v>35</v>
      </c>
      <c r="U224" s="1417">
        <v>-25</v>
      </c>
      <c r="V224" s="638"/>
      <c r="W224" s="638">
        <v>1.4</v>
      </c>
      <c r="X224" s="638">
        <v>1.8</v>
      </c>
      <c r="Y224" s="638"/>
      <c r="Z224" s="638">
        <v>0.45</v>
      </c>
      <c r="AA224" s="638"/>
      <c r="AB224" s="638"/>
      <c r="AC224" s="638" t="str">
        <f t="shared" si="105"/>
        <v>PH</v>
      </c>
      <c r="AD224" s="638"/>
      <c r="AE224" s="638"/>
      <c r="AF224" s="638"/>
      <c r="AG224" s="1416">
        <v>90386</v>
      </c>
      <c r="AH224" s="1417">
        <v>5343</v>
      </c>
      <c r="AI224" s="1417">
        <v>-710</v>
      </c>
      <c r="AJ224" s="638"/>
      <c r="AK224" s="638"/>
      <c r="AL224" s="638" t="s">
        <v>2135</v>
      </c>
      <c r="AM224" s="638" t="s">
        <v>1042</v>
      </c>
      <c r="AN224" s="455">
        <v>5.22</v>
      </c>
      <c r="AO224" s="1239"/>
      <c r="AP224" s="1239"/>
      <c r="AQ224" s="484"/>
      <c r="AR224" s="484"/>
      <c r="AS224" s="484"/>
      <c r="AT224" s="484">
        <f>+ab($U$224,$T$222,$U$226,$G$223,$G$225,-1*$F$224,1200)</f>
        <v>-8.7898845566543109</v>
      </c>
      <c r="AU224" s="638"/>
      <c r="AV224" s="638"/>
      <c r="AW224" s="638" t="str">
        <f>VLOOKUP(C224,'Foundation Calculation'!$A$2:$C$33,3,1)</f>
        <v>Soil B</v>
      </c>
      <c r="AX224" s="638" t="str">
        <f>VLOOKUP(C224,'Foundation Calculation'!$E$2:$G$33,3,1)</f>
        <v>PT</v>
      </c>
      <c r="AY224" s="484">
        <f>IF(AX224="PT",VLOOKUP(L224,'Foundation Calculation'!$K$2:$R$40,VLOOKUP(AW224,'Foundation Calculation'!$I$2:$J$8,2,FALSE),0),IF(AX224="K",VLOOKUP(L224,'Foundation Calculation'!$K$42:$R$80,VLOOKUP(AW224,'Foundation Calculation'!$I$2:$J$8,2,FALSE),0),""))</f>
        <v>5.3</v>
      </c>
      <c r="AZ224" s="484"/>
      <c r="BA224" s="671" t="s">
        <v>2809</v>
      </c>
      <c r="BB224" s="1239" t="str">
        <f>Pole_Calculations!A178</f>
        <v>App.8-V08F-P10.3</v>
      </c>
      <c r="BC224" s="169"/>
      <c r="BD224" s="1329"/>
      <c r="BE224" s="1329"/>
      <c r="BF224" s="1329"/>
      <c r="BG224" s="1329"/>
    </row>
    <row r="225" spans="1:59" ht="15.75" customHeight="1">
      <c r="A225" s="1239"/>
      <c r="B225" s="1239"/>
      <c r="C225" s="446"/>
      <c r="D225" s="638"/>
      <c r="E225" s="638"/>
      <c r="F225" s="447"/>
      <c r="G225" s="455">
        <v>46.8</v>
      </c>
      <c r="H225" s="1239"/>
      <c r="I225" s="448"/>
      <c r="J225" s="171"/>
      <c r="K225" s="1239"/>
      <c r="L225" s="1239"/>
      <c r="M225" s="1239"/>
      <c r="N225" s="1239"/>
      <c r="O225" s="1239"/>
      <c r="P225" s="1239"/>
      <c r="Q225" s="1239"/>
      <c r="R225" s="1239"/>
      <c r="S225" s="455">
        <f t="shared" ref="S225" si="108">AG226-AG224</f>
        <v>46</v>
      </c>
      <c r="T225" s="1239"/>
      <c r="U225" s="1239"/>
      <c r="V225" s="1239"/>
      <c r="W225" s="1239"/>
      <c r="X225" s="1239"/>
      <c r="Y225" s="1239"/>
      <c r="Z225" s="1239"/>
      <c r="AA225" s="1239"/>
      <c r="AB225" s="1239"/>
      <c r="AC225" s="1239"/>
      <c r="AD225" s="1239"/>
      <c r="AE225" s="1239"/>
      <c r="AF225" s="1239"/>
      <c r="AG225" s="171"/>
      <c r="AH225" s="1239"/>
      <c r="AI225" s="1239"/>
      <c r="AJ225" s="1239"/>
      <c r="AK225" s="1239"/>
      <c r="AL225" s="1239"/>
      <c r="AM225" s="1239"/>
      <c r="AN225" s="484"/>
      <c r="AO225" s="638"/>
      <c r="AP225" s="638"/>
      <c r="AQ225" s="484">
        <f>+FL_1($U$226,$U$224,$G$225,1200,9.28,-1*$F$226)</f>
        <v>0.19612218346945626</v>
      </c>
      <c r="AR225" s="484"/>
      <c r="AS225" s="484"/>
      <c r="AT225" s="484"/>
      <c r="AU225" s="638"/>
      <c r="AV225" s="638"/>
      <c r="AW225" s="638"/>
      <c r="AX225" s="638"/>
      <c r="AY225" s="484"/>
      <c r="AZ225" s="484"/>
      <c r="BA225" s="671"/>
      <c r="BB225" s="1239"/>
      <c r="BC225" s="169"/>
      <c r="BD225" s="1330"/>
      <c r="BE225" s="1330"/>
      <c r="BF225" s="1330"/>
      <c r="BG225" s="1330"/>
    </row>
    <row r="226" spans="1:59" ht="15.75" customHeight="1">
      <c r="A226" s="1239"/>
      <c r="B226" s="439" t="s">
        <v>2674</v>
      </c>
      <c r="C226" s="446">
        <f>+$C$224+$G$225</f>
        <v>90432.650000000009</v>
      </c>
      <c r="D226" s="173"/>
      <c r="E226" s="447"/>
      <c r="F226" s="447">
        <v>10000</v>
      </c>
      <c r="G226" s="484"/>
      <c r="H226" s="1239" t="s">
        <v>619</v>
      </c>
      <c r="I226" s="1239"/>
      <c r="J226" s="171"/>
      <c r="K226" s="638"/>
      <c r="L226" s="638" t="s">
        <v>4393</v>
      </c>
      <c r="M226" s="1239" t="str">
        <f>IF(AX226="PT",VLOOKUP(L226,'Foundation Calculation'!$V$2:$X$40,VLOOKUP(AX226,'Foundation Calculation'!$I$10:$J$13,2,FALSE),0),IF(AX226="K",VLOOKUP(L226,'Foundation Calculation'!$V$42:$X$80,VLOOKUP(AX226,'Foundation Calculation'!$I$10:$J$13,2,FALSE),0),""))</f>
        <v>2C4R</v>
      </c>
      <c r="N226" s="1239" t="s">
        <v>140</v>
      </c>
      <c r="O226" s="1239" t="s">
        <v>144</v>
      </c>
      <c r="P226" s="1239"/>
      <c r="Q226" s="638">
        <v>20</v>
      </c>
      <c r="R226" s="638">
        <v>10000</v>
      </c>
      <c r="S226" s="484"/>
      <c r="T226" s="1417">
        <v>55</v>
      </c>
      <c r="U226" s="1417">
        <v>10</v>
      </c>
      <c r="V226" s="638"/>
      <c r="W226" s="638">
        <v>1.4</v>
      </c>
      <c r="X226" s="638">
        <v>1.8</v>
      </c>
      <c r="Y226" s="638"/>
      <c r="Z226" s="638">
        <v>0.45</v>
      </c>
      <c r="AA226" s="638"/>
      <c r="AB226" s="638"/>
      <c r="AC226" s="638" t="str">
        <f t="shared" si="105"/>
        <v>PH</v>
      </c>
      <c r="AD226" s="638"/>
      <c r="AE226" s="638"/>
      <c r="AF226" s="638"/>
      <c r="AG226" s="1416">
        <v>90432</v>
      </c>
      <c r="AH226" s="1417">
        <v>5263</v>
      </c>
      <c r="AI226" s="1417">
        <v>-970</v>
      </c>
      <c r="AJ226" s="638"/>
      <c r="AK226" s="638"/>
      <c r="AL226" s="638" t="s">
        <v>2135</v>
      </c>
      <c r="AM226" s="638" t="s">
        <v>1042</v>
      </c>
      <c r="AN226" s="455">
        <v>5.15</v>
      </c>
      <c r="AO226" s="1239"/>
      <c r="AP226" s="1239"/>
      <c r="AQ226" s="484"/>
      <c r="AR226" s="484"/>
      <c r="AS226" s="484"/>
      <c r="AT226" s="484">
        <f>+ab($U$226,$U$224,$U$228,$G$225,$G$227,-1*$F$226,1200)</f>
        <v>12.087831923714379</v>
      </c>
      <c r="AU226" s="638"/>
      <c r="AV226" s="638"/>
      <c r="AW226" s="638" t="str">
        <f>VLOOKUP(C226,'Foundation Calculation'!$A$2:$C$33,3,1)</f>
        <v>Soil B</v>
      </c>
      <c r="AX226" s="638" t="str">
        <f>VLOOKUP(C226,'Foundation Calculation'!$E$2:$G$33,3,1)</f>
        <v>PT</v>
      </c>
      <c r="AY226" s="484">
        <f>IF(AX226="PT",VLOOKUP(L226,'Foundation Calculation'!$K$2:$R$40,VLOOKUP(AW226,'Foundation Calculation'!$I$2:$J$8,2,FALSE),0),IF(AX226="K",VLOOKUP(L226,'Foundation Calculation'!$K$42:$R$80,VLOOKUP(AW226,'Foundation Calculation'!$I$2:$J$8,2,FALSE),0),""))</f>
        <v>5.3</v>
      </c>
      <c r="AZ226" s="484"/>
      <c r="BA226" s="671" t="s">
        <v>2809</v>
      </c>
      <c r="BB226" s="1239" t="str">
        <f>Pole_Calculations!A178</f>
        <v>App.8-V08F-P10.3</v>
      </c>
      <c r="BC226" s="169"/>
      <c r="BD226" s="1329"/>
      <c r="BE226" s="1329"/>
      <c r="BF226" s="1329"/>
      <c r="BG226" s="1329"/>
    </row>
    <row r="227" spans="1:59" ht="15.75" customHeight="1">
      <c r="A227" s="1239"/>
      <c r="B227" s="1239"/>
      <c r="C227" s="447"/>
      <c r="D227" s="447"/>
      <c r="E227" s="447"/>
      <c r="F227" s="447"/>
      <c r="G227" s="455">
        <v>50</v>
      </c>
      <c r="H227" s="1239"/>
      <c r="I227" s="448"/>
      <c r="J227" s="171"/>
      <c r="K227" s="1239"/>
      <c r="L227" s="1239"/>
      <c r="M227" s="1239"/>
      <c r="N227" s="1239"/>
      <c r="O227" s="1239"/>
      <c r="P227" s="1239"/>
      <c r="Q227" s="1239"/>
      <c r="R227" s="1239"/>
      <c r="S227" s="455">
        <f t="shared" ref="S227" si="109">AG228-AG226</f>
        <v>50.710000000006403</v>
      </c>
      <c r="T227" s="1239"/>
      <c r="U227" s="1239"/>
      <c r="V227" s="1239"/>
      <c r="W227" s="1239"/>
      <c r="X227" s="1239"/>
      <c r="Y227" s="1239"/>
      <c r="Z227" s="1239"/>
      <c r="AA227" s="1239"/>
      <c r="AB227" s="1239"/>
      <c r="AC227" s="1239"/>
      <c r="AD227" s="1239"/>
      <c r="AE227" s="1239"/>
      <c r="AF227" s="1239"/>
      <c r="AG227" s="171"/>
      <c r="AH227" s="1239"/>
      <c r="AI227" s="1239"/>
      <c r="AJ227" s="1239"/>
      <c r="AK227" s="1239"/>
      <c r="AL227" s="1239"/>
      <c r="AM227" s="1239"/>
      <c r="AN227" s="484"/>
      <c r="AO227" s="638"/>
      <c r="AP227" s="638"/>
      <c r="AQ227" s="484">
        <f>+FL_1($T$228,$U$226,$G$227,1200,9.28,-1*$F$228)</f>
        <v>0.28207701760519749</v>
      </c>
      <c r="AR227" s="484"/>
      <c r="AS227" s="484"/>
      <c r="AT227" s="484"/>
      <c r="AU227" s="638"/>
      <c r="AV227" s="638"/>
      <c r="AW227" s="638"/>
      <c r="AX227" s="638"/>
      <c r="AY227" s="484"/>
      <c r="AZ227" s="484"/>
      <c r="BA227" s="671"/>
      <c r="BB227" s="1239"/>
      <c r="BC227" s="169"/>
      <c r="BD227" s="1330"/>
      <c r="BE227" s="1330"/>
      <c r="BF227" s="1330"/>
      <c r="BG227" s="1330"/>
    </row>
    <row r="228" spans="1:59" ht="15.75" customHeight="1">
      <c r="A228" s="1239" t="s">
        <v>2683</v>
      </c>
      <c r="B228" s="439" t="s">
        <v>2675</v>
      </c>
      <c r="C228" s="446">
        <f>+$C$226+$G$227</f>
        <v>90482.650000000009</v>
      </c>
      <c r="D228" s="173"/>
      <c r="E228" s="447"/>
      <c r="F228" s="447">
        <v>10000</v>
      </c>
      <c r="G228" s="484"/>
      <c r="H228" s="1239" t="s">
        <v>619</v>
      </c>
      <c r="I228" s="1239" t="s">
        <v>2685</v>
      </c>
      <c r="J228" s="171"/>
      <c r="K228" s="638"/>
      <c r="L228" s="638" t="s">
        <v>819</v>
      </c>
      <c r="M228" s="1239" t="str">
        <f>IF(AX228="PT",VLOOKUP(L228,'Foundation Calculation'!$V$2:$X$40,VLOOKUP(AX228,'Foundation Calculation'!$I$10:$J$13,2,FALSE),0),IF(AX228="K",VLOOKUP(L228,'Foundation Calculation'!$V$42:$X$80,VLOOKUP(AX228,'Foundation Calculation'!$I$10:$J$13,2,FALSE),0),""))</f>
        <v>C5R</v>
      </c>
      <c r="N228" s="1239" t="s">
        <v>143</v>
      </c>
      <c r="O228" s="1239" t="s">
        <v>140</v>
      </c>
      <c r="P228" s="1239"/>
      <c r="Q228" s="638">
        <v>0</v>
      </c>
      <c r="R228" s="638">
        <v>10000</v>
      </c>
      <c r="S228" s="484"/>
      <c r="T228" s="1417">
        <v>-10</v>
      </c>
      <c r="U228" s="1417">
        <v>-55</v>
      </c>
      <c r="V228" s="638"/>
      <c r="W228" s="638">
        <v>1.4</v>
      </c>
      <c r="X228" s="638">
        <v>1.8</v>
      </c>
      <c r="Y228" s="638"/>
      <c r="Z228" s="638"/>
      <c r="AA228" s="638">
        <v>0.45</v>
      </c>
      <c r="AB228" s="638"/>
      <c r="AC228" s="638" t="str">
        <f>IF(OR(AT228&gt;8,AT228&lt;-8),"PH",IF(OR(AT228&gt;5,AT228&lt;-5),"PH-Q",IF(OR(AT228&gt;1,AT228&lt;-1),"PH-C")))</f>
        <v>PH-Q</v>
      </c>
      <c r="AD228" s="638"/>
      <c r="AE228" s="638"/>
      <c r="AF228" s="638"/>
      <c r="AG228" s="1416">
        <v>90482.71</v>
      </c>
      <c r="AH228" s="1417">
        <v>5213</v>
      </c>
      <c r="AI228" s="1417">
        <v>-560</v>
      </c>
      <c r="AJ228" s="638" t="s">
        <v>2154</v>
      </c>
      <c r="AK228" s="638"/>
      <c r="AL228" s="638" t="s">
        <v>2684</v>
      </c>
      <c r="AM228" s="638" t="s">
        <v>1042</v>
      </c>
      <c r="AN228" s="455">
        <v>5.15</v>
      </c>
      <c r="AO228" s="1239"/>
      <c r="AP228" s="1239"/>
      <c r="AQ228" s="484"/>
      <c r="AR228" s="484"/>
      <c r="AS228" s="484"/>
      <c r="AT228" s="484">
        <f>+ab($T$228,$T$226,$T$230,$G$227,$G$229,-1*$F$228,1200)</f>
        <v>-7.2709133897629012</v>
      </c>
      <c r="AU228" s="638"/>
      <c r="AV228" s="638"/>
      <c r="AW228" s="638" t="str">
        <f>VLOOKUP(C228,'Foundation Calculation'!$A$2:$C$33,3,1)</f>
        <v>Soil B</v>
      </c>
      <c r="AX228" s="638" t="str">
        <f>VLOOKUP(C228,'Foundation Calculation'!$E$2:$G$33,3,1)</f>
        <v>PT</v>
      </c>
      <c r="AY228" s="484">
        <f>IF(AX228="PT",VLOOKUP(L228,'Foundation Calculation'!$K$2:$R$40,VLOOKUP(AW228,'Foundation Calculation'!$I$2:$J$8,2,FALSE),0),IF(AX228="K",VLOOKUP(L228,'Foundation Calculation'!$K$42:$R$80,VLOOKUP(AW228,'Foundation Calculation'!$I$2:$J$8,2,FALSE),0),""))</f>
        <v>3.5</v>
      </c>
      <c r="AZ228" s="484"/>
      <c r="BA228" s="671" t="s">
        <v>2809</v>
      </c>
      <c r="BB228" s="1239" t="str">
        <f>Pole_Calculations!A178</f>
        <v>App.8-V08F-P10.3</v>
      </c>
      <c r="BC228" s="169"/>
      <c r="BD228" s="1329"/>
      <c r="BE228" s="1329"/>
      <c r="BF228" s="1329"/>
      <c r="BG228" s="1329"/>
    </row>
    <row r="229" spans="1:59" ht="15.75" customHeight="1">
      <c r="A229" s="1239"/>
      <c r="B229" s="1239"/>
      <c r="C229" s="446"/>
      <c r="D229" s="447"/>
      <c r="E229" s="447"/>
      <c r="F229" s="447"/>
      <c r="G229" s="455">
        <v>40</v>
      </c>
      <c r="H229" s="1239"/>
      <c r="I229" s="448"/>
      <c r="J229" s="171">
        <f>C228+7.5</f>
        <v>90490.150000000009</v>
      </c>
      <c r="K229" s="1239" t="s">
        <v>2788</v>
      </c>
      <c r="L229" s="1239"/>
      <c r="M229" s="1239"/>
      <c r="N229" s="1239"/>
      <c r="O229" s="1239"/>
      <c r="P229" s="1239"/>
      <c r="Q229" s="1239"/>
      <c r="R229" s="1239"/>
      <c r="S229" s="455">
        <f t="shared" ref="S229" si="110">AG230-AG228</f>
        <v>39.899999999994179</v>
      </c>
      <c r="T229" s="1239"/>
      <c r="U229" s="1239"/>
      <c r="V229" s="1239"/>
      <c r="W229" s="1239"/>
      <c r="X229" s="1239"/>
      <c r="Y229" s="1239"/>
      <c r="Z229" s="1239"/>
      <c r="AA229" s="1239"/>
      <c r="AB229" s="1239"/>
      <c r="AC229" s="1239"/>
      <c r="AD229" s="1239"/>
      <c r="AE229" s="1239"/>
      <c r="AF229" s="1239"/>
      <c r="AG229" s="171"/>
      <c r="AH229" s="1239"/>
      <c r="AI229" s="1239"/>
      <c r="AJ229" s="1239"/>
      <c r="AK229" s="1239"/>
      <c r="AL229" s="1239"/>
      <c r="AM229" s="1239"/>
      <c r="AN229" s="484"/>
      <c r="AO229" s="638"/>
      <c r="AP229" s="638"/>
      <c r="AQ229" s="484">
        <f>+FL_1($T$230,$T$228,$G$229,1200,9.28,-1*$F$230)</f>
        <v>0.29350016988632815</v>
      </c>
      <c r="AR229" s="484"/>
      <c r="AS229" s="484"/>
      <c r="AT229" s="484"/>
      <c r="AU229" s="638"/>
      <c r="AV229" s="638"/>
      <c r="AW229" s="638" t="str">
        <f>VLOOKUP(J229,'Foundation Calculation'!$A$2:$C$33,3,1)</f>
        <v>Soil B</v>
      </c>
      <c r="AX229" s="572" t="str">
        <f>VLOOKUP(J229,'Foundation Calculation'!$E$2:$G$33,3,1)</f>
        <v>PT</v>
      </c>
      <c r="AY229" s="484"/>
      <c r="AZ229" s="484">
        <f>IF(AX229="PT",VLOOKUP(K229,'Foundation Calculation'!$K$2:$R$40,VLOOKUP(AW229,'Foundation Calculation'!$I$2:$J$8,2,FALSE),0),IF(AX229="K",VLOOKUP(K229,'Foundation Calculation'!$K$42:$R$80,VLOOKUP(AW229,'Foundation Calculation'!$I$2:$J$8,2,FALSE),0),""))</f>
        <v>2.8</v>
      </c>
      <c r="BA229" s="671" t="s">
        <v>2809</v>
      </c>
      <c r="BB229" s="1239"/>
      <c r="BC229" s="169"/>
      <c r="BD229" s="1329"/>
      <c r="BE229" s="1330"/>
      <c r="BF229" s="1330"/>
      <c r="BG229" s="1330"/>
    </row>
    <row r="230" spans="1:59" ht="15.75" customHeight="1">
      <c r="A230" s="1239"/>
      <c r="B230" s="1239" t="s">
        <v>2676</v>
      </c>
      <c r="C230" s="446">
        <f>+$C$228+$G$229</f>
        <v>90522.650000000009</v>
      </c>
      <c r="D230" s="447"/>
      <c r="E230" s="447"/>
      <c r="F230" s="447">
        <v>10000</v>
      </c>
      <c r="G230" s="455"/>
      <c r="H230" s="1239" t="s">
        <v>138</v>
      </c>
      <c r="I230" s="448" t="s">
        <v>623</v>
      </c>
      <c r="J230" s="171"/>
      <c r="K230" s="1239"/>
      <c r="L230" s="1239" t="s">
        <v>819</v>
      </c>
      <c r="M230" s="1239" t="str">
        <f>IF(AX230="PT",VLOOKUP(L230,'Foundation Calculation'!$V$2:$X$40,VLOOKUP(AX230,'Foundation Calculation'!$I$10:$J$13,2,FALSE),0),IF(AX230="K",VLOOKUP(L230,'Foundation Calculation'!$V$42:$X$80,VLOOKUP(AX230,'Foundation Calculation'!$I$10:$J$13,2,FALSE),0),""))</f>
        <v>C5R</v>
      </c>
      <c r="N230" s="1239" t="s">
        <v>144</v>
      </c>
      <c r="O230" s="1239"/>
      <c r="P230" s="1239"/>
      <c r="Q230" s="1239">
        <v>0</v>
      </c>
      <c r="R230" s="1239">
        <v>0</v>
      </c>
      <c r="S230" s="455"/>
      <c r="T230" s="1285">
        <v>25</v>
      </c>
      <c r="U230" s="1285"/>
      <c r="V230" s="1285"/>
      <c r="W230" s="1285">
        <v>1.4</v>
      </c>
      <c r="X230" s="1285"/>
      <c r="Y230" s="1285"/>
      <c r="Z230" s="1285"/>
      <c r="AA230" s="1285"/>
      <c r="AB230" s="1285"/>
      <c r="AC230" s="1285" t="s">
        <v>1421</v>
      </c>
      <c r="AD230" s="1285"/>
      <c r="AE230" s="1285"/>
      <c r="AF230" s="1285">
        <v>6000</v>
      </c>
      <c r="AG230" s="1350">
        <v>90522.61</v>
      </c>
      <c r="AH230" s="1285">
        <v>2583</v>
      </c>
      <c r="AI230" s="1285">
        <v>290</v>
      </c>
      <c r="AJ230" s="1239"/>
      <c r="AK230" s="1239"/>
      <c r="AL230" s="1239" t="s">
        <v>2684</v>
      </c>
      <c r="AM230" s="1239" t="s">
        <v>1042</v>
      </c>
      <c r="AN230" s="484">
        <v>5.15</v>
      </c>
      <c r="AO230" s="638"/>
      <c r="AP230" s="638"/>
      <c r="AQ230" s="484"/>
      <c r="AR230" s="484"/>
      <c r="AS230" s="484"/>
      <c r="AT230" s="484">
        <f>+ab($T$230,$T$228,$T$232,$G$229,$G$231,-1*$F$230,1200)</f>
        <v>15.566110087409385</v>
      </c>
      <c r="AU230" s="638"/>
      <c r="AV230" s="638"/>
      <c r="AW230" s="638" t="str">
        <f>VLOOKUP(C230,'Foundation Calculation'!$A$2:$C$33,3,1)</f>
        <v>Soil B</v>
      </c>
      <c r="AX230" s="572" t="str">
        <f>VLOOKUP(C230,'Foundation Calculation'!$E$2:$G$33,3,1)</f>
        <v>PT</v>
      </c>
      <c r="AY230" s="484">
        <f>IF(AX230="PT",VLOOKUP(L230,'Foundation Calculation'!$K$2:$R$40,VLOOKUP(AW230,'Foundation Calculation'!$I$2:$J$8,2,FALSE),0),IF(AX230="K",VLOOKUP(L230,'Foundation Calculation'!$K$42:$R$80,VLOOKUP(AW230,'Foundation Calculation'!$I$2:$J$8,2,FALSE),0),""))</f>
        <v>3.5</v>
      </c>
      <c r="AZ230" s="484"/>
      <c r="BA230" s="671" t="s">
        <v>2809</v>
      </c>
      <c r="BB230" s="1239" t="str">
        <f>Pole_Calculations!A178</f>
        <v>App.8-V08F-P10.3</v>
      </c>
      <c r="BC230" s="169"/>
      <c r="BD230" s="1329">
        <v>43783</v>
      </c>
      <c r="BE230" s="1329"/>
      <c r="BF230" s="1329"/>
      <c r="BG230" s="1329"/>
    </row>
    <row r="231" spans="1:59" ht="15.75" customHeight="1">
      <c r="A231" s="1239"/>
      <c r="B231" s="1239"/>
      <c r="C231" s="447"/>
      <c r="D231" s="447"/>
      <c r="E231" s="447"/>
      <c r="F231" s="447"/>
      <c r="G231" s="455">
        <v>51.1</v>
      </c>
      <c r="H231" s="1239"/>
      <c r="I231" s="448" t="s">
        <v>1039</v>
      </c>
      <c r="J231" s="171">
        <f>C230+7.5</f>
        <v>90530.150000000009</v>
      </c>
      <c r="K231" s="1239" t="s">
        <v>2787</v>
      </c>
      <c r="L231" s="1239"/>
      <c r="M231" s="1239"/>
      <c r="N231" s="1239"/>
      <c r="O231" s="1239"/>
      <c r="P231" s="1239"/>
      <c r="Q231" s="1239"/>
      <c r="R231" s="1239"/>
      <c r="S231" s="455">
        <f t="shared" ref="S231" si="111">AG232-AG230</f>
        <v>51.389999999999418</v>
      </c>
      <c r="T231" s="1239"/>
      <c r="U231" s="1239"/>
      <c r="V231" s="1239"/>
      <c r="W231" s="1239"/>
      <c r="X231" s="1239"/>
      <c r="Y231" s="1239"/>
      <c r="Z231" s="1239"/>
      <c r="AA231" s="1239"/>
      <c r="AB231" s="1239"/>
      <c r="AC231" s="1239"/>
      <c r="AD231" s="1239"/>
      <c r="AE231" s="1239"/>
      <c r="AF231" s="1239"/>
      <c r="AG231" s="171"/>
      <c r="AH231" s="1239"/>
      <c r="AI231" s="1239"/>
      <c r="AJ231" s="1239"/>
      <c r="AK231" s="1239"/>
      <c r="AL231" s="1239"/>
      <c r="AM231" s="1239"/>
      <c r="AN231" s="484"/>
      <c r="AO231" s="638"/>
      <c r="AP231" s="638"/>
      <c r="AQ231" s="484">
        <f>+FL_2($T$232,$T$230,$G$231,1200,9.28,-1*$F$232)</f>
        <v>-0.21527750051505318</v>
      </c>
      <c r="AR231" s="484"/>
      <c r="AS231" s="484"/>
      <c r="AT231" s="484"/>
      <c r="AU231" s="638"/>
      <c r="AV231" s="638"/>
      <c r="AW231" s="638" t="str">
        <f>VLOOKUP(J231,'Foundation Calculation'!$A$2:$C$33,3,1)</f>
        <v>Soil B</v>
      </c>
      <c r="AX231" s="572" t="str">
        <f>VLOOKUP(J231,'Foundation Calculation'!$E$2:$G$33,3,1)</f>
        <v>PT</v>
      </c>
      <c r="AY231" s="484"/>
      <c r="AZ231" s="484">
        <f>IF(AX231="PT",VLOOKUP(K231,'Foundation Calculation'!$K$2:$R$40,VLOOKUP(AW231,'Foundation Calculation'!$I$2:$J$8,2,FALSE),0),IF(AX231="K",VLOOKUP(K231,'Foundation Calculation'!$K$42:$R$80,VLOOKUP(AW231,'Foundation Calculation'!$I$2:$J$8,2,FALSE),0),""))</f>
        <v>3.9</v>
      </c>
      <c r="BA231" s="671" t="s">
        <v>2809</v>
      </c>
      <c r="BB231" s="1239"/>
      <c r="BC231" s="169"/>
      <c r="BD231" s="1329">
        <v>43783</v>
      </c>
      <c r="BE231" s="1330"/>
      <c r="BF231" s="1330"/>
      <c r="BG231" s="1330"/>
    </row>
    <row r="232" spans="1:59" ht="15.75" customHeight="1">
      <c r="A232" s="1239"/>
      <c r="B232" s="435" t="s">
        <v>2677</v>
      </c>
      <c r="C232" s="446">
        <f>+$C$230+$G$231</f>
        <v>90573.750000000015</v>
      </c>
      <c r="D232" s="173"/>
      <c r="E232" s="447"/>
      <c r="F232" s="447">
        <v>10000</v>
      </c>
      <c r="G232" s="484"/>
      <c r="H232" s="1239" t="s">
        <v>5050</v>
      </c>
      <c r="I232" s="1239" t="s">
        <v>623</v>
      </c>
      <c r="J232" s="171"/>
      <c r="K232" s="638"/>
      <c r="L232" s="638" t="s">
        <v>4395</v>
      </c>
      <c r="M232" s="1239" t="str">
        <f>IF(AX232="PT",VLOOKUP(L232,'Foundation Calculation'!$V$2:$X$40,VLOOKUP(AX232,'Foundation Calculation'!$I$10:$J$13,2,FALSE),0),IF(AX232="K",VLOOKUP(L232,'Foundation Calculation'!$V$42:$X$80,VLOOKUP(AX232,'Foundation Calculation'!$I$10:$J$13,2,FALSE),0),""))</f>
        <v>C9R</v>
      </c>
      <c r="N232" s="1239" t="s">
        <v>143</v>
      </c>
      <c r="O232" s="1239" t="s">
        <v>143</v>
      </c>
      <c r="P232" s="1239"/>
      <c r="Q232" s="638">
        <v>0</v>
      </c>
      <c r="R232" s="638">
        <v>0</v>
      </c>
      <c r="S232" s="484"/>
      <c r="T232" s="1353">
        <v>-15</v>
      </c>
      <c r="U232" s="1353">
        <v>-10</v>
      </c>
      <c r="V232" s="1353"/>
      <c r="W232" s="1353">
        <v>1.2</v>
      </c>
      <c r="X232" s="1353">
        <v>1.6</v>
      </c>
      <c r="Y232" s="1353"/>
      <c r="Z232" s="1353"/>
      <c r="AA232" s="1353"/>
      <c r="AB232" s="1353"/>
      <c r="AC232" s="1353" t="s">
        <v>5051</v>
      </c>
      <c r="AD232" s="1353" t="s">
        <v>5052</v>
      </c>
      <c r="AE232" s="1353"/>
      <c r="AF232" s="1353">
        <v>5000</v>
      </c>
      <c r="AG232" s="1360">
        <v>90574</v>
      </c>
      <c r="AH232" s="1353">
        <v>1823</v>
      </c>
      <c r="AI232" s="1353">
        <v>-110</v>
      </c>
      <c r="AJ232" s="638"/>
      <c r="AK232" s="638"/>
      <c r="AL232" s="638" t="s">
        <v>2142</v>
      </c>
      <c r="AM232" s="638" t="s">
        <v>1042</v>
      </c>
      <c r="AN232" s="455">
        <v>5.15</v>
      </c>
      <c r="AO232" s="1239"/>
      <c r="AP232" s="1239"/>
      <c r="AQ232" s="484"/>
      <c r="AR232" s="484"/>
      <c r="AS232" s="484"/>
      <c r="AT232" s="484">
        <f>+ab($T$232,$T$230,$U$236,$G$231,$G$233,-1*$F$232,1200)</f>
        <v>-8.7912320727969036</v>
      </c>
      <c r="AU232" s="638"/>
      <c r="AV232" s="638"/>
      <c r="AW232" s="638" t="str">
        <f>VLOOKUP(C232,'Foundation Calculation'!$A$2:$C$33,3,1)</f>
        <v>Soil B</v>
      </c>
      <c r="AX232" s="572" t="str">
        <f>VLOOKUP(C232,'Foundation Calculation'!$E$2:$G$33,3,1)</f>
        <v>PT</v>
      </c>
      <c r="AY232" s="484">
        <f>IF(AX232="PT",VLOOKUP(L232,'Foundation Calculation'!$K$2:$R$40,VLOOKUP(AW232,'Foundation Calculation'!$I$2:$J$8,2,FALSE),0),IF(AX232="K",VLOOKUP(L232,'Foundation Calculation'!$K$42:$R$80,VLOOKUP(AW232,'Foundation Calculation'!$I$2:$J$8,2,FALSE),0),""))</f>
        <v>4.5</v>
      </c>
      <c r="AZ232" s="484"/>
      <c r="BA232" s="671" t="s">
        <v>2809</v>
      </c>
      <c r="BB232" s="1239" t="str">
        <f>Pole_Calculations!A178</f>
        <v>App.8-V08F-P10.3</v>
      </c>
      <c r="BC232" s="169"/>
      <c r="BD232" s="1329"/>
      <c r="BE232" s="1329"/>
      <c r="BF232" s="1329"/>
      <c r="BG232" s="1329"/>
    </row>
    <row r="233" spans="1:59" ht="15.75" customHeight="1">
      <c r="A233" s="1239"/>
      <c r="B233" s="435"/>
      <c r="C233" s="446"/>
      <c r="D233" s="173"/>
      <c r="E233" s="447"/>
      <c r="F233" s="447"/>
      <c r="G233" s="484">
        <v>14.2</v>
      </c>
      <c r="H233" s="1239"/>
      <c r="I233" s="1239"/>
      <c r="J233" s="171">
        <f>C232+7.5</f>
        <v>90581.250000000015</v>
      </c>
      <c r="K233" s="638" t="s">
        <v>2787</v>
      </c>
      <c r="L233" s="638"/>
      <c r="M233" s="638"/>
      <c r="N233" s="1239"/>
      <c r="O233" s="1239"/>
      <c r="P233" s="1239"/>
      <c r="Q233" s="638"/>
      <c r="R233" s="638"/>
      <c r="S233" s="484">
        <f t="shared" ref="S233" si="112">AG236-AG232</f>
        <v>44</v>
      </c>
      <c r="T233" s="638"/>
      <c r="U233" s="638"/>
      <c r="V233" s="638"/>
      <c r="W233" s="638"/>
      <c r="X233" s="638"/>
      <c r="Y233" s="638"/>
      <c r="Z233" s="638"/>
      <c r="AA233" s="638"/>
      <c r="AB233" s="638"/>
      <c r="AC233" s="638"/>
      <c r="AD233" s="638"/>
      <c r="AE233" s="638"/>
      <c r="AF233" s="638"/>
      <c r="AG233" s="446"/>
      <c r="AH233" s="638"/>
      <c r="AI233" s="638"/>
      <c r="AJ233" s="638"/>
      <c r="AK233" s="638"/>
      <c r="AL233" s="638"/>
      <c r="AM233" s="638"/>
      <c r="AN233" s="455"/>
      <c r="AO233" s="1239"/>
      <c r="AP233" s="1239"/>
      <c r="AQ233" s="484">
        <f>+FL_2($U$236,$T$232,$G$233,1200,9.28,-1*$F$236)</f>
        <v>-0.15015218846212058</v>
      </c>
      <c r="AR233" s="484"/>
      <c r="AS233" s="484"/>
      <c r="AT233" s="484"/>
      <c r="AU233" s="638"/>
      <c r="AV233" s="638"/>
      <c r="AW233" s="638" t="str">
        <f>VLOOKUP(J233,'Foundation Calculation'!$A$2:$C$33,3,1)</f>
        <v>Soil B</v>
      </c>
      <c r="AX233" s="572" t="str">
        <f>VLOOKUP(J233,'Foundation Calculation'!$E$2:$G$33,3,1)</f>
        <v>PT</v>
      </c>
      <c r="AY233" s="484"/>
      <c r="AZ233" s="484">
        <f>IF(AX233="PT",VLOOKUP(K233,'Foundation Calculation'!$K$2:$R$40,VLOOKUP(AW233,'Foundation Calculation'!$I$2:$J$8,2,FALSE),0),IF(AX233="K",VLOOKUP(K233,'Foundation Calculation'!$K$42:$R$80,VLOOKUP(AW233,'Foundation Calculation'!$I$2:$J$8,2,FALSE),0),""))</f>
        <v>3.9</v>
      </c>
      <c r="BA233" s="671" t="s">
        <v>2809</v>
      </c>
      <c r="BB233" s="1239"/>
      <c r="BC233" s="169"/>
      <c r="BD233" s="1329"/>
      <c r="BE233" s="1330"/>
      <c r="BF233" s="1330"/>
      <c r="BG233" s="1330"/>
    </row>
    <row r="234" spans="1:59" ht="15.75" customHeight="1">
      <c r="A234" s="1239"/>
      <c r="B234" s="435" t="s">
        <v>5053</v>
      </c>
      <c r="C234" s="446">
        <f>C232+G233</f>
        <v>90587.950000000012</v>
      </c>
      <c r="D234" s="173"/>
      <c r="E234" s="447"/>
      <c r="F234" s="447">
        <v>0</v>
      </c>
      <c r="G234" s="484"/>
      <c r="H234" s="1239"/>
      <c r="I234" s="1239"/>
      <c r="J234" s="171"/>
      <c r="K234" s="638"/>
      <c r="L234" s="638"/>
      <c r="M234" s="638"/>
      <c r="N234" s="1239" t="s">
        <v>844</v>
      </c>
      <c r="O234" s="1239" t="s">
        <v>844</v>
      </c>
      <c r="P234" s="1239"/>
      <c r="Q234" s="638"/>
      <c r="R234" s="638"/>
      <c r="S234" s="484"/>
      <c r="T234" s="638">
        <v>10</v>
      </c>
      <c r="U234" s="638">
        <v>15</v>
      </c>
      <c r="V234" s="638"/>
      <c r="W234" s="638">
        <v>1.2</v>
      </c>
      <c r="X234" s="638">
        <v>1.6</v>
      </c>
      <c r="Y234" s="638"/>
      <c r="Z234" s="638"/>
      <c r="AA234" s="638"/>
      <c r="AB234" s="638"/>
      <c r="AC234" s="1353" t="s">
        <v>5052</v>
      </c>
      <c r="AD234" s="1353" t="s">
        <v>5051</v>
      </c>
      <c r="AE234" s="638"/>
      <c r="AF234" s="638"/>
      <c r="AG234" s="446"/>
      <c r="AH234" s="638"/>
      <c r="AI234" s="638"/>
      <c r="AJ234" s="638"/>
      <c r="AK234" s="638" t="s">
        <v>228</v>
      </c>
      <c r="AL234" s="638"/>
      <c r="AM234" s="638"/>
      <c r="AN234" s="455">
        <v>5.15</v>
      </c>
      <c r="AO234" s="1239"/>
      <c r="AP234" s="1239"/>
      <c r="AQ234" s="484"/>
      <c r="AR234" s="484"/>
      <c r="AS234" s="484"/>
      <c r="AT234" s="484"/>
      <c r="AU234" s="638"/>
      <c r="AV234" s="638"/>
      <c r="AW234" s="638"/>
      <c r="AX234" s="572"/>
      <c r="AY234" s="484"/>
      <c r="AZ234" s="484"/>
      <c r="BA234" s="671"/>
      <c r="BB234" s="1239"/>
      <c r="BC234" s="169"/>
      <c r="BD234" s="1329"/>
      <c r="BE234" s="1330"/>
      <c r="BF234" s="1330"/>
      <c r="BG234" s="1330"/>
    </row>
    <row r="235" spans="1:59" ht="15.75" customHeight="1">
      <c r="A235" s="1239"/>
      <c r="B235" s="435"/>
      <c r="C235" s="446"/>
      <c r="D235" s="173"/>
      <c r="E235" s="447"/>
      <c r="F235" s="447"/>
      <c r="G235" s="484">
        <v>30.4</v>
      </c>
      <c r="H235" s="1239"/>
      <c r="I235" s="1239"/>
      <c r="J235" s="171"/>
      <c r="K235" s="638"/>
      <c r="L235" s="638"/>
      <c r="M235" s="638"/>
      <c r="N235" s="1239"/>
      <c r="O235" s="1239"/>
      <c r="P235" s="1239"/>
      <c r="Q235" s="638"/>
      <c r="R235" s="638"/>
      <c r="S235" s="484"/>
      <c r="T235" s="638"/>
      <c r="U235" s="638"/>
      <c r="V235" s="638"/>
      <c r="W235" s="638"/>
      <c r="X235" s="638"/>
      <c r="Y235" s="638"/>
      <c r="Z235" s="638"/>
      <c r="AA235" s="638"/>
      <c r="AB235" s="638"/>
      <c r="AC235" s="638"/>
      <c r="AD235" s="638"/>
      <c r="AE235" s="638"/>
      <c r="AF235" s="638"/>
      <c r="AG235" s="446"/>
      <c r="AH235" s="638"/>
      <c r="AI235" s="638"/>
      <c r="AJ235" s="638"/>
      <c r="AK235" s="638"/>
      <c r="AL235" s="638"/>
      <c r="AM235" s="638"/>
      <c r="AN235" s="455"/>
      <c r="AO235" s="1239"/>
      <c r="AP235" s="1239"/>
      <c r="AQ235" s="484"/>
      <c r="AR235" s="484"/>
      <c r="AS235" s="484"/>
      <c r="AT235" s="484"/>
      <c r="AU235" s="638"/>
      <c r="AV235" s="638"/>
      <c r="AW235" s="638"/>
      <c r="AX235" s="572"/>
      <c r="AY235" s="484"/>
      <c r="AZ235" s="484"/>
      <c r="BA235" s="671"/>
      <c r="BB235" s="1239"/>
      <c r="BC235" s="169"/>
      <c r="BD235" s="1329"/>
      <c r="BE235" s="1330"/>
      <c r="BF235" s="1330"/>
      <c r="BG235" s="1330"/>
    </row>
    <row r="236" spans="1:59" ht="15.75" customHeight="1">
      <c r="A236" s="1239"/>
      <c r="B236" s="1239" t="s">
        <v>2678</v>
      </c>
      <c r="C236" s="446">
        <f>+$C$234+$G$235</f>
        <v>90618.35</v>
      </c>
      <c r="D236" s="638"/>
      <c r="E236" s="638"/>
      <c r="F236" s="447">
        <v>700</v>
      </c>
      <c r="G236" s="455"/>
      <c r="H236" s="1239"/>
      <c r="I236" s="448"/>
      <c r="J236" s="171"/>
      <c r="K236" s="1239"/>
      <c r="L236" s="1239"/>
      <c r="M236" s="1239"/>
      <c r="N236" s="1239" t="s">
        <v>844</v>
      </c>
      <c r="O236" s="1239"/>
      <c r="P236" s="1239"/>
      <c r="Q236" s="1239">
        <v>10</v>
      </c>
      <c r="R236" s="1239">
        <v>0</v>
      </c>
      <c r="S236" s="455"/>
      <c r="T236" s="1239">
        <v>30</v>
      </c>
      <c r="U236" s="1239"/>
      <c r="V236" s="1239"/>
      <c r="W236" s="1239">
        <v>1.4</v>
      </c>
      <c r="X236" s="1239"/>
      <c r="Y236" s="1239"/>
      <c r="Z236" s="1239"/>
      <c r="AA236" s="1239"/>
      <c r="AB236" s="1239"/>
      <c r="AC236" s="1239" t="s">
        <v>1428</v>
      </c>
      <c r="AD236" s="1239"/>
      <c r="AE236" s="1239"/>
      <c r="AF236" s="1239"/>
      <c r="AG236" s="1415">
        <v>90618</v>
      </c>
      <c r="AH236" s="1347">
        <v>3473</v>
      </c>
      <c r="AI236" s="1347">
        <v>330</v>
      </c>
      <c r="AJ236" s="1239"/>
      <c r="AK236" s="1239" t="s">
        <v>139</v>
      </c>
      <c r="AL236" s="1239"/>
      <c r="AM236" s="1239"/>
      <c r="AN236" s="484">
        <v>5.15</v>
      </c>
      <c r="AO236" s="638"/>
      <c r="AP236" s="638"/>
      <c r="AQ236" s="484"/>
      <c r="AR236" s="484"/>
      <c r="AS236" s="484"/>
      <c r="AT236" s="484">
        <f>+ab($U$236,$T$232,$T$238,$G$233,$G$237,-1*$F$236,1200)</f>
        <v>-8.6945019919518902</v>
      </c>
      <c r="AU236" s="638"/>
      <c r="AV236" s="638"/>
      <c r="AW236" s="638"/>
      <c r="AX236" s="638"/>
      <c r="AY236" s="484"/>
      <c r="AZ236" s="484"/>
      <c r="BA236" s="671"/>
      <c r="BB236" s="1239"/>
      <c r="BC236" s="169"/>
      <c r="BD236" s="1330"/>
      <c r="BE236" s="1329"/>
      <c r="BF236" s="1330"/>
      <c r="BG236" s="1329"/>
    </row>
    <row r="237" spans="1:59" ht="15.75" customHeight="1">
      <c r="A237" s="1239"/>
      <c r="B237" s="1547"/>
      <c r="C237" s="446"/>
      <c r="D237" s="638"/>
      <c r="E237" s="638"/>
      <c r="F237" s="447"/>
      <c r="G237" s="455">
        <v>40</v>
      </c>
      <c r="H237" s="1239"/>
      <c r="I237" s="448"/>
      <c r="J237" s="171"/>
      <c r="K237" s="1239"/>
      <c r="L237" s="1239"/>
      <c r="M237" s="1239"/>
      <c r="N237" s="1239"/>
      <c r="O237" s="1239"/>
      <c r="P237" s="1239"/>
      <c r="Q237" s="1239"/>
      <c r="R237" s="1239"/>
      <c r="S237" s="455">
        <f t="shared" ref="S237" si="113">AG238-AG236</f>
        <v>40</v>
      </c>
      <c r="T237" s="1239"/>
      <c r="U237" s="1239"/>
      <c r="V237" s="1239"/>
      <c r="W237" s="1239"/>
      <c r="X237" s="1239"/>
      <c r="Y237" s="1239"/>
      <c r="Z237" s="1239"/>
      <c r="AA237" s="1239"/>
      <c r="AB237" s="1239"/>
      <c r="AC237" s="1239"/>
      <c r="AD237" s="1239"/>
      <c r="AE237" s="1239"/>
      <c r="AF237" s="1239"/>
      <c r="AG237" s="171"/>
      <c r="AH237" s="1239"/>
      <c r="AI237" s="1239"/>
      <c r="AJ237" s="1239"/>
      <c r="AK237" s="1239"/>
      <c r="AL237" s="1239"/>
      <c r="AM237" s="1239"/>
      <c r="AN237" s="484"/>
      <c r="AO237" s="638"/>
      <c r="AP237" s="638"/>
      <c r="AQ237" s="484">
        <f>+FL_2($T$238,$U$236,$G$237,1200,9.28,-1*$F$238)</f>
        <v>-0.30492259199999999</v>
      </c>
      <c r="AR237" s="484"/>
      <c r="AS237" s="484"/>
      <c r="AT237" s="484"/>
      <c r="AU237" s="638"/>
      <c r="AV237" s="638"/>
      <c r="AW237" s="638"/>
      <c r="AX237" s="638"/>
      <c r="AY237" s="484"/>
      <c r="AZ237" s="484"/>
      <c r="BA237" s="671"/>
      <c r="BB237" s="1239"/>
      <c r="BC237" s="169"/>
      <c r="BD237" s="1330"/>
      <c r="BE237" s="1330"/>
      <c r="BF237" s="1330"/>
      <c r="BG237" s="1330"/>
    </row>
    <row r="238" spans="1:59" ht="15.75" customHeight="1">
      <c r="A238" s="1239"/>
      <c r="B238" s="1239" t="s">
        <v>2679</v>
      </c>
      <c r="C238" s="446">
        <f>+$C$236+$G$237</f>
        <v>90658.35</v>
      </c>
      <c r="D238" s="638"/>
      <c r="E238" s="638"/>
      <c r="F238" s="447">
        <v>0</v>
      </c>
      <c r="G238" s="455"/>
      <c r="H238" s="1239" t="s">
        <v>5054</v>
      </c>
      <c r="I238" s="448"/>
      <c r="J238" s="171"/>
      <c r="K238" s="1239"/>
      <c r="L238" s="1239"/>
      <c r="M238" s="1239"/>
      <c r="N238" s="1239" t="s">
        <v>843</v>
      </c>
      <c r="O238" s="1239" t="s">
        <v>844</v>
      </c>
      <c r="P238" s="1239"/>
      <c r="Q238" s="1239">
        <v>20</v>
      </c>
      <c r="R238" s="1239">
        <v>0</v>
      </c>
      <c r="S238" s="455"/>
      <c r="T238" s="1239">
        <v>-25</v>
      </c>
      <c r="U238" s="1239">
        <v>5</v>
      </c>
      <c r="V238" s="1239"/>
      <c r="W238" s="1239">
        <v>1.4</v>
      </c>
      <c r="X238" s="1239">
        <v>1.8</v>
      </c>
      <c r="Y238" s="1239"/>
      <c r="Z238" s="1239"/>
      <c r="AA238" s="1239"/>
      <c r="AB238" s="1239"/>
      <c r="AC238" s="1239" t="s">
        <v>1428</v>
      </c>
      <c r="AD238" s="1239" t="s">
        <v>2773</v>
      </c>
      <c r="AE238" s="1239"/>
      <c r="AF238" s="1239"/>
      <c r="AG238" s="1415">
        <v>90658</v>
      </c>
      <c r="AH238" s="1347">
        <v>2453</v>
      </c>
      <c r="AI238" s="1347">
        <v>230</v>
      </c>
      <c r="AJ238" s="1239"/>
      <c r="AK238" s="1239" t="s">
        <v>228</v>
      </c>
      <c r="AL238" s="1239"/>
      <c r="AM238" s="1239"/>
      <c r="AN238" s="484">
        <v>5.15</v>
      </c>
      <c r="AO238" s="638"/>
      <c r="AP238" s="638"/>
      <c r="AQ238" s="484"/>
      <c r="AR238" s="484"/>
      <c r="AS238" s="484"/>
      <c r="AT238" s="484">
        <f>+ab($T$238,$U$236,$U$240,$G$237,$G$239,-1*$F$238,1200)</f>
        <v>-7.7270512850666035</v>
      </c>
      <c r="AU238" s="638"/>
      <c r="AV238" s="638"/>
      <c r="AW238" s="638"/>
      <c r="AX238" s="638"/>
      <c r="AY238" s="484"/>
      <c r="AZ238" s="484"/>
      <c r="BA238" s="671"/>
      <c r="BB238" s="1239"/>
      <c r="BC238" s="169"/>
      <c r="BD238" s="1330"/>
      <c r="BE238" s="1329"/>
      <c r="BF238" s="1330"/>
      <c r="BG238" s="1329"/>
    </row>
    <row r="239" spans="1:59" ht="15.75" customHeight="1">
      <c r="A239" s="1239"/>
      <c r="B239" s="1547"/>
      <c r="C239" s="446"/>
      <c r="D239" s="448"/>
      <c r="E239" s="448"/>
      <c r="F239" s="448"/>
      <c r="G239" s="455">
        <v>43.4</v>
      </c>
      <c r="H239" s="1239"/>
      <c r="I239" s="448"/>
      <c r="J239" s="171"/>
      <c r="K239" s="1239"/>
      <c r="L239" s="1239"/>
      <c r="M239" s="1239"/>
      <c r="N239" s="1239"/>
      <c r="O239" s="1239"/>
      <c r="P239" s="1239"/>
      <c r="Q239" s="1239"/>
      <c r="R239" s="1239"/>
      <c r="S239" s="455">
        <f t="shared" ref="S239" si="114">AG240-AG238</f>
        <v>45</v>
      </c>
      <c r="T239" s="1239"/>
      <c r="U239" s="1239"/>
      <c r="V239" s="1239"/>
      <c r="W239" s="1239"/>
      <c r="X239" s="1239"/>
      <c r="Y239" s="1239"/>
      <c r="Z239" s="1239"/>
      <c r="AA239" s="1239"/>
      <c r="AB239" s="1239"/>
      <c r="AC239" s="1239"/>
      <c r="AD239" s="1239"/>
      <c r="AE239" s="1239"/>
      <c r="AF239" s="1239"/>
      <c r="AG239" s="171"/>
      <c r="AH239" s="1239"/>
      <c r="AI239" s="1239"/>
      <c r="AJ239" s="1239"/>
      <c r="AK239" s="1239"/>
      <c r="AL239" s="1239"/>
      <c r="AM239" s="1239"/>
      <c r="AN239" s="484"/>
      <c r="AO239" s="638"/>
      <c r="AP239" s="638"/>
      <c r="AQ239" s="484">
        <f>+FL_2(U240,T238,G239,1200,9.28,-1*F240)</f>
        <v>-0.2500164797972349</v>
      </c>
      <c r="AR239" s="484"/>
      <c r="AS239" s="484"/>
      <c r="AT239" s="484"/>
      <c r="AU239" s="638"/>
      <c r="AV239" s="638"/>
      <c r="AW239" s="638"/>
      <c r="AX239" s="572"/>
      <c r="AY239" s="484"/>
      <c r="AZ239" s="484" t="str">
        <f>IF(AX239="PT",VLOOKUP(K239,'Foundation Calculation'!$K$2:$R$40,VLOOKUP(AW239,'Foundation Calculation'!$I$2:$J$8,2,FALSE),0),IF(AX239="K",VLOOKUP(K239,'Foundation Calculation'!$K$42:$R$80,VLOOKUP(AW239,'Foundation Calculation'!$I$2:$J$8,2,FALSE),0),""))</f>
        <v/>
      </c>
      <c r="BA239" s="671"/>
      <c r="BB239" s="1239"/>
      <c r="BC239" s="169" t="s">
        <v>4955</v>
      </c>
      <c r="BD239" s="1330"/>
      <c r="BE239" s="1330"/>
      <c r="BF239" s="1330"/>
      <c r="BG239" s="1330"/>
    </row>
    <row r="240" spans="1:59" ht="15.75" customHeight="1">
      <c r="A240" s="1239"/>
      <c r="B240" s="1239" t="s">
        <v>2680</v>
      </c>
      <c r="C240" s="171">
        <f>+$C$238+$G$239</f>
        <v>90701.75</v>
      </c>
      <c r="D240" s="1239"/>
      <c r="E240" s="1239"/>
      <c r="F240" s="448">
        <v>0</v>
      </c>
      <c r="G240" s="455"/>
      <c r="H240" s="1239" t="s">
        <v>5055</v>
      </c>
      <c r="I240" s="448" t="s">
        <v>623</v>
      </c>
      <c r="J240" s="171" t="s">
        <v>1039</v>
      </c>
      <c r="K240" s="1239"/>
      <c r="L240" s="1239" t="s">
        <v>4666</v>
      </c>
      <c r="M240" s="1239" t="str">
        <f>IF(AX240="PT",VLOOKUP(L240,'Foundation Calculation'!$V$2:$X$40,VLOOKUP(AX240,'Foundation Calculation'!$I$10:$J$13,2,FALSE),0),IF(AX240="K",VLOOKUP(L240,'Foundation Calculation'!$V$42:$X$80,VLOOKUP(AX240,'Foundation Calculation'!$I$10:$J$13,2,FALSE),0),""))</f>
        <v>C12R</v>
      </c>
      <c r="N240" s="1239" t="s">
        <v>144</v>
      </c>
      <c r="O240" s="1239" t="s">
        <v>140</v>
      </c>
      <c r="P240" s="1239"/>
      <c r="Q240" s="1239">
        <v>20</v>
      </c>
      <c r="R240" s="1239">
        <v>0</v>
      </c>
      <c r="S240" s="455"/>
      <c r="T240" s="1239">
        <v>20</v>
      </c>
      <c r="U240" s="1239">
        <v>55</v>
      </c>
      <c r="V240" s="1239"/>
      <c r="W240" s="1239">
        <v>1.8</v>
      </c>
      <c r="X240" s="1239">
        <v>1.4</v>
      </c>
      <c r="Y240" s="1239"/>
      <c r="Z240" s="1239"/>
      <c r="AA240" s="1239">
        <v>0.3</v>
      </c>
      <c r="AB240" s="1239"/>
      <c r="AC240" s="1239" t="s">
        <v>1428</v>
      </c>
      <c r="AD240" s="1239"/>
      <c r="AE240" s="1239"/>
      <c r="AF240" s="1239"/>
      <c r="AG240" s="171">
        <v>90703</v>
      </c>
      <c r="AH240" s="1239">
        <v>3603</v>
      </c>
      <c r="AI240" s="1239">
        <v>250</v>
      </c>
      <c r="AJ240" s="1239"/>
      <c r="AK240" s="1239"/>
      <c r="AL240" s="1239" t="s">
        <v>2143</v>
      </c>
      <c r="AM240" s="1239" t="s">
        <v>1042</v>
      </c>
      <c r="AN240" s="484">
        <v>5.15</v>
      </c>
      <c r="AO240" s="638"/>
      <c r="AP240" s="638"/>
      <c r="AQ240" s="484"/>
      <c r="AR240" s="484"/>
      <c r="AS240" s="484"/>
      <c r="AT240" s="484">
        <f>+ab(U240,T238,T244,G239,G243,-1*F240,1200)</f>
        <v>3.6727890951337527</v>
      </c>
      <c r="AU240" s="638"/>
      <c r="AV240" s="638"/>
      <c r="AW240" s="638" t="str">
        <f>VLOOKUP(C240,'Foundation Calculation'!$A$2:$C$33,3,1)</f>
        <v>Soil B</v>
      </c>
      <c r="AX240" s="572" t="str">
        <f>VLOOKUP(C240,'Foundation Calculation'!$E$2:$G$33,3,1)</f>
        <v>PT</v>
      </c>
      <c r="AY240" s="484">
        <f>IF(AX240="PT",VLOOKUP(L240,'Foundation Calculation'!$K$2:$R$40,VLOOKUP(AW240,'Foundation Calculation'!$I$2:$J$8,2,FALSE),0),IF(AX240="K",VLOOKUP(L240,'Foundation Calculation'!$K$42:$R$80,VLOOKUP(AW240,'Foundation Calculation'!$I$2:$J$8,2,FALSE),0),""))</f>
        <v>5.6</v>
      </c>
      <c r="AZ240" s="484"/>
      <c r="BA240" s="671" t="s">
        <v>2809</v>
      </c>
      <c r="BB240" s="1239" t="str">
        <f>Pole_Calculations!A178</f>
        <v>App.8-V08F-P10.3</v>
      </c>
      <c r="BC240" s="169" t="s">
        <v>4955</v>
      </c>
      <c r="BD240" s="1330"/>
      <c r="BE240" s="1329"/>
      <c r="BF240" s="1330"/>
      <c r="BG240" s="1329"/>
    </row>
    <row r="241" spans="1:59" ht="15.75" customHeight="1">
      <c r="A241" s="1239"/>
      <c r="B241" s="1239"/>
      <c r="C241" s="171"/>
      <c r="D241" s="1239"/>
      <c r="E241" s="1239"/>
      <c r="F241" s="448"/>
      <c r="G241" s="455">
        <v>43.6</v>
      </c>
      <c r="H241" s="1239"/>
      <c r="I241" s="448"/>
      <c r="J241" s="171"/>
      <c r="K241" s="1239"/>
      <c r="L241" s="1239"/>
      <c r="M241" s="1239"/>
      <c r="N241" s="1239"/>
      <c r="O241" s="1239"/>
      <c r="P241" s="1239"/>
      <c r="Q241" s="1239"/>
      <c r="R241" s="1239"/>
      <c r="S241" s="455"/>
      <c r="T241" s="1239"/>
      <c r="U241" s="1239"/>
      <c r="V241" s="1239"/>
      <c r="W241" s="1239"/>
      <c r="X241" s="1239"/>
      <c r="Y241" s="1239"/>
      <c r="Z241" s="1239"/>
      <c r="AA241" s="1239"/>
      <c r="AB241" s="1239"/>
      <c r="AC241" s="1239"/>
      <c r="AD241" s="1239"/>
      <c r="AE241" s="1239"/>
      <c r="AF241" s="1239"/>
      <c r="AG241" s="171"/>
      <c r="AH241" s="1239"/>
      <c r="AI241" s="1239"/>
      <c r="AJ241" s="1239"/>
      <c r="AK241" s="1239"/>
      <c r="AL241" s="1239"/>
      <c r="AM241" s="1239"/>
      <c r="AN241" s="484"/>
      <c r="AO241" s="638"/>
      <c r="AP241" s="638"/>
      <c r="AQ241" s="484">
        <f>+FL_2(T242,T240,G241,1200,9.28,-1*F242)</f>
        <v>-0.23817842744954129</v>
      </c>
      <c r="AR241" s="484"/>
      <c r="AS241" s="484"/>
      <c r="AT241" s="484"/>
      <c r="AU241" s="638"/>
      <c r="AV241" s="638"/>
      <c r="AW241" s="638"/>
      <c r="AX241" s="572"/>
      <c r="AY241" s="484"/>
      <c r="AZ241" s="484"/>
      <c r="BA241" s="671"/>
      <c r="BB241" s="1239"/>
      <c r="BC241" s="169"/>
      <c r="BD241" s="1330"/>
      <c r="BE241" s="1329"/>
      <c r="BF241" s="1330"/>
      <c r="BG241" s="1329"/>
    </row>
    <row r="242" spans="1:59" ht="15.75" customHeight="1">
      <c r="A242" s="420"/>
      <c r="B242" s="420" t="s">
        <v>5056</v>
      </c>
      <c r="C242" s="432">
        <f>C240+G241</f>
        <v>90745.35</v>
      </c>
      <c r="D242" s="420"/>
      <c r="E242" s="420"/>
      <c r="F242" s="421">
        <v>0</v>
      </c>
      <c r="G242" s="444"/>
      <c r="H242" s="420" t="s">
        <v>890</v>
      </c>
      <c r="I242" s="421" t="s">
        <v>623</v>
      </c>
      <c r="J242" s="432"/>
      <c r="K242" s="420"/>
      <c r="L242" s="420" t="s">
        <v>2141</v>
      </c>
      <c r="M242" s="420" t="str">
        <f>IF(AX242="PT",VLOOKUP(L242,'Foundation Calculation'!$V$2:$X$40,VLOOKUP(AX242,'Foundation Calculation'!$I$10:$J$13,2,FALSE),0),IF(AX242="K",VLOOKUP(L242,'Foundation Calculation'!$V$42:$X$80,VLOOKUP(AX242,'Foundation Calculation'!$I$10:$J$13,2,FALSE),0),""))</f>
        <v>C9R</v>
      </c>
      <c r="N242" s="420" t="s">
        <v>143</v>
      </c>
      <c r="O242" s="420"/>
      <c r="P242" s="420"/>
      <c r="Q242" s="420"/>
      <c r="R242" s="420"/>
      <c r="S242" s="444"/>
      <c r="T242" s="420">
        <v>-20</v>
      </c>
      <c r="U242" s="420"/>
      <c r="V242" s="420"/>
      <c r="W242" s="420">
        <v>1.4</v>
      </c>
      <c r="X242" s="420"/>
      <c r="Y242" s="420"/>
      <c r="Z242" s="420"/>
      <c r="AA242" s="420"/>
      <c r="AB242" s="420"/>
      <c r="AC242" s="420" t="s">
        <v>3050</v>
      </c>
      <c r="AD242" s="420"/>
      <c r="AE242" s="420"/>
      <c r="AF242" s="420"/>
      <c r="AG242" s="432"/>
      <c r="AH242" s="420"/>
      <c r="AI242" s="420"/>
      <c r="AJ242" s="420"/>
      <c r="AK242" s="420"/>
      <c r="AL242" s="420"/>
      <c r="AM242" s="420"/>
      <c r="AN242" s="422">
        <v>5.15</v>
      </c>
      <c r="AO242" s="417"/>
      <c r="AP242" s="417"/>
      <c r="AQ242" s="422"/>
      <c r="AR242" s="422"/>
      <c r="AS242" s="422"/>
      <c r="AT242" s="422">
        <f>+ab(T242,T240,T246,G241,G245,-1*F242,1200)</f>
        <v>-15.221056420630289</v>
      </c>
      <c r="AU242" s="417"/>
      <c r="AV242" s="417"/>
      <c r="AW242" s="417" t="str">
        <f>VLOOKUP(C242,'Foundation Calculation'!$A$2:$C$33,3,1)</f>
        <v>Soil B</v>
      </c>
      <c r="AX242" s="578" t="str">
        <f>VLOOKUP(C242,'Foundation Calculation'!$E$2:$G$33,3,1)</f>
        <v>PT</v>
      </c>
      <c r="AY242" s="422">
        <f>IF(AX242="PT",VLOOKUP(L242,'Foundation Calculation'!$K$2:$R$40,VLOOKUP(AW242,'Foundation Calculation'!$I$2:$J$8,2,FALSE),0),IF(AX242="K",VLOOKUP(L242,'Foundation Calculation'!$K$42:$R$80,VLOOKUP(AW242,'Foundation Calculation'!$I$2:$J$8,2,FALSE),0),""))</f>
        <v>4.5999999999999996</v>
      </c>
      <c r="AZ242" s="422"/>
      <c r="BA242" s="604" t="s">
        <v>2809</v>
      </c>
      <c r="BB242" s="420" t="str">
        <f>Pole_Calculations!A157</f>
        <v>App.7.1-V01-P9.5.1.6</v>
      </c>
      <c r="BC242" s="169"/>
      <c r="BD242" s="1330"/>
      <c r="BE242" s="1329"/>
      <c r="BF242" s="1330"/>
      <c r="BG242" s="1329"/>
    </row>
    <row r="243" spans="1:59" ht="15.75" customHeight="1">
      <c r="A243" s="420"/>
      <c r="B243" s="1549"/>
      <c r="C243" s="432"/>
      <c r="D243" s="420"/>
      <c r="E243" s="420"/>
      <c r="F243" s="421"/>
      <c r="G243" s="444">
        <v>16.3</v>
      </c>
      <c r="H243" s="420"/>
      <c r="I243" s="421"/>
      <c r="J243" s="432">
        <f>C242+7.5</f>
        <v>90752.85</v>
      </c>
      <c r="K243" s="420" t="s">
        <v>2787</v>
      </c>
      <c r="L243" s="420"/>
      <c r="M243" s="420"/>
      <c r="N243" s="420"/>
      <c r="O243" s="420"/>
      <c r="P243" s="420"/>
      <c r="Q243" s="420"/>
      <c r="R243" s="420"/>
      <c r="S243" s="444">
        <f t="shared" ref="S243" si="115">AG244-AG240</f>
        <v>40.229999999995925</v>
      </c>
      <c r="T243" s="420"/>
      <c r="U243" s="420"/>
      <c r="V243" s="420"/>
      <c r="W243" s="420"/>
      <c r="X243" s="420"/>
      <c r="Y243" s="420"/>
      <c r="Z243" s="420"/>
      <c r="AA243" s="420"/>
      <c r="AB243" s="420"/>
      <c r="AC243" s="420"/>
      <c r="AD243" s="420"/>
      <c r="AE243" s="420"/>
      <c r="AF243" s="420"/>
      <c r="AG243" s="432"/>
      <c r="AH243" s="420"/>
      <c r="AI243" s="420"/>
      <c r="AJ243" s="420"/>
      <c r="AK243" s="420"/>
      <c r="AL243" s="420"/>
      <c r="AM243" s="420"/>
      <c r="AN243" s="422"/>
      <c r="AO243" s="417"/>
      <c r="AP243" s="417"/>
      <c r="AQ243" s="422">
        <f>+FL_2(T244,T242,G243,1200,9.28,-1*F244)</f>
        <v>-0.20005963405316823</v>
      </c>
      <c r="AR243" s="422"/>
      <c r="AS243" s="422"/>
      <c r="AT243" s="422"/>
      <c r="AU243" s="417"/>
      <c r="AV243" s="417"/>
      <c r="AW243" s="417" t="str">
        <f>VLOOKUP(J243,'Foundation Calculation'!$A$2:$C$33,3,1)</f>
        <v>Soil B</v>
      </c>
      <c r="AX243" s="578" t="str">
        <f>VLOOKUP(J243,'Foundation Calculation'!$E$2:$G$33,3,1)</f>
        <v>PT</v>
      </c>
      <c r="AY243" s="422"/>
      <c r="AZ243" s="422">
        <f>IF(AX243="PT",VLOOKUP(K243,'Foundation Calculation'!$K$2:$R$40,VLOOKUP(AW243,'Foundation Calculation'!$I$2:$J$8,2,FALSE),0),IF(AX243="K",VLOOKUP(K243,'Foundation Calculation'!$K$42:$R$80,VLOOKUP(AW243,'Foundation Calculation'!$I$2:$J$8,2,FALSE),0),""))</f>
        <v>3.9</v>
      </c>
      <c r="BA243" s="604" t="s">
        <v>2809</v>
      </c>
      <c r="BB243" s="414"/>
      <c r="BC243" s="169"/>
      <c r="BD243" s="1329"/>
      <c r="BE243" s="1330"/>
      <c r="BF243" s="1330"/>
      <c r="BG243" s="1330"/>
    </row>
    <row r="244" spans="1:59" ht="15.75" customHeight="1">
      <c r="A244" s="420"/>
      <c r="B244" s="420" t="s">
        <v>5057</v>
      </c>
      <c r="C244" s="432">
        <f>+$C$242+$G$243</f>
        <v>90761.650000000009</v>
      </c>
      <c r="D244" s="420"/>
      <c r="E244" s="420"/>
      <c r="F244" s="421">
        <v>0</v>
      </c>
      <c r="G244" s="444"/>
      <c r="H244" s="420"/>
      <c r="I244" s="421"/>
      <c r="J244" s="432"/>
      <c r="K244" s="420"/>
      <c r="L244" s="420" t="s">
        <v>4666</v>
      </c>
      <c r="M244" s="420" t="str">
        <f>IF(AX244="PT",VLOOKUP(L244,'Foundation Calculation'!$V$2:$X$40,VLOOKUP(AX244,'Foundation Calculation'!$I$10:$J$13,2,FALSE),0),IF(AX244="K",VLOOKUP(L244,'Foundation Calculation'!$V$42:$X$80,VLOOKUP(AX244,'Foundation Calculation'!$I$10:$J$13,2,FALSE),0),""))</f>
        <v>C12R</v>
      </c>
      <c r="N244" s="420" t="s">
        <v>642</v>
      </c>
      <c r="O244" s="420"/>
      <c r="P244" s="420"/>
      <c r="Q244" s="420">
        <v>20</v>
      </c>
      <c r="R244" s="420">
        <v>-800</v>
      </c>
      <c r="S244" s="444"/>
      <c r="T244" s="420"/>
      <c r="U244" s="420"/>
      <c r="V244" s="420"/>
      <c r="W244" s="420"/>
      <c r="X244" s="420"/>
      <c r="Y244" s="420"/>
      <c r="Z244" s="420"/>
      <c r="AA244" s="420"/>
      <c r="AB244" s="420"/>
      <c r="AC244" s="420"/>
      <c r="AD244" s="420"/>
      <c r="AE244" s="420"/>
      <c r="AF244" s="420">
        <v>5500</v>
      </c>
      <c r="AG244" s="432">
        <v>90743.23</v>
      </c>
      <c r="AH244" s="420">
        <v>2643</v>
      </c>
      <c r="AI244" s="420">
        <v>190</v>
      </c>
      <c r="AJ244" s="420"/>
      <c r="AK244" s="420" t="s">
        <v>4188</v>
      </c>
      <c r="AL244" s="420" t="s">
        <v>2143</v>
      </c>
      <c r="AM244" s="420" t="s">
        <v>1042</v>
      </c>
      <c r="AN244" s="422"/>
      <c r="AO244" s="417"/>
      <c r="AP244" s="417"/>
      <c r="AQ244" s="422"/>
      <c r="AR244" s="422"/>
      <c r="AS244" s="422"/>
      <c r="AT244" s="422"/>
      <c r="AU244" s="417"/>
      <c r="AV244" s="417"/>
      <c r="AW244" s="417" t="str">
        <f>VLOOKUP(C244,'Foundation Calculation'!$A$2:$C$33,3,1)</f>
        <v>Soil B</v>
      </c>
      <c r="AX244" s="578" t="str">
        <f>VLOOKUP(C244,'Foundation Calculation'!$E$2:$G$33,3,1)</f>
        <v>PT</v>
      </c>
      <c r="AY244" s="422">
        <f>IF(AX244="PT",VLOOKUP(L244,'Foundation Calculation'!$K$2:$R$40,VLOOKUP(AW244,'Foundation Calculation'!$I$2:$J$8,2,FALSE),0),IF(AX244="K",VLOOKUP(L244,'Foundation Calculation'!$K$42:$R$80,VLOOKUP(AW244,'Foundation Calculation'!$I$2:$J$8,2,FALSE),0),""))</f>
        <v>5.6</v>
      </c>
      <c r="AZ244" s="422"/>
      <c r="BA244" s="604" t="s">
        <v>2809</v>
      </c>
      <c r="BB244" s="420" t="str">
        <f>Pole_Calculations!A178</f>
        <v>App.8-V08F-P10.3</v>
      </c>
      <c r="BC244" s="169"/>
      <c r="BD244" s="1371">
        <v>43789</v>
      </c>
      <c r="BE244" s="1371"/>
      <c r="BF244" s="1371"/>
      <c r="BG244" s="1371"/>
    </row>
    <row r="245" spans="1:59" ht="15.75" customHeight="1">
      <c r="A245" s="420"/>
      <c r="B245" s="1549"/>
      <c r="C245" s="432"/>
      <c r="D245" s="420"/>
      <c r="E245" s="420"/>
      <c r="F245" s="421"/>
      <c r="G245" s="444">
        <v>31.9</v>
      </c>
      <c r="H245" s="420"/>
      <c r="I245" s="421"/>
      <c r="J245" s="432"/>
      <c r="K245" s="420"/>
      <c r="L245" s="420"/>
      <c r="M245" s="420"/>
      <c r="N245" s="420"/>
      <c r="O245" s="420"/>
      <c r="P245" s="420"/>
      <c r="Q245" s="420"/>
      <c r="R245" s="420"/>
      <c r="S245" s="444">
        <f t="shared" ref="S245" si="116">AG246-AG244</f>
        <v>36.770000000004075</v>
      </c>
      <c r="T245" s="420"/>
      <c r="U245" s="420"/>
      <c r="V245" s="420"/>
      <c r="W245" s="420"/>
      <c r="X245" s="420"/>
      <c r="Y245" s="420"/>
      <c r="Z245" s="420"/>
      <c r="AA245" s="420"/>
      <c r="AB245" s="420"/>
      <c r="AC245" s="420"/>
      <c r="AD245" s="420"/>
      <c r="AE245" s="420"/>
      <c r="AF245" s="420"/>
      <c r="AG245" s="432"/>
      <c r="AH245" s="420"/>
      <c r="AI245" s="420"/>
      <c r="AJ245" s="420"/>
      <c r="AK245" s="420"/>
      <c r="AL245" s="420"/>
      <c r="AM245" s="420"/>
      <c r="AN245" s="422"/>
      <c r="AO245" s="417"/>
      <c r="AP245" s="417"/>
      <c r="AQ245" s="422">
        <f>+FL_2(T246,T242,G245,1200,9.28,-1*F246)</f>
        <v>-0.19999999999997989</v>
      </c>
      <c r="AR245" s="422"/>
      <c r="AS245" s="422"/>
      <c r="AT245" s="422"/>
      <c r="AU245" s="417"/>
      <c r="AV245" s="417"/>
      <c r="AW245" s="417"/>
      <c r="AX245" s="417"/>
      <c r="AY245" s="422"/>
      <c r="AZ245" s="422"/>
      <c r="BA245" s="604"/>
      <c r="BB245" s="420"/>
      <c r="BC245" s="169"/>
      <c r="BD245" s="1330"/>
      <c r="BE245" s="1330"/>
      <c r="BF245" s="1330"/>
      <c r="BG245" s="1330"/>
    </row>
    <row r="246" spans="1:59" ht="15.75" customHeight="1">
      <c r="A246" s="420"/>
      <c r="B246" s="420" t="s">
        <v>2240</v>
      </c>
      <c r="C246" s="432">
        <f>+$C$242+$G$245</f>
        <v>90777.25</v>
      </c>
      <c r="D246" s="420"/>
      <c r="E246" s="420"/>
      <c r="F246" s="421">
        <v>700</v>
      </c>
      <c r="G246" s="444"/>
      <c r="H246" s="420" t="s">
        <v>2608</v>
      </c>
      <c r="I246" s="421" t="s">
        <v>623</v>
      </c>
      <c r="J246" s="432"/>
      <c r="K246" s="420"/>
      <c r="L246" s="420" t="s">
        <v>4666</v>
      </c>
      <c r="M246" s="420" t="str">
        <f>IF(AX246="PT",VLOOKUP(L246,'Foundation Calculation'!$V$2:$X$40,VLOOKUP(AX246,'Foundation Calculation'!$I$10:$J$13,2,FALSE),0),IF(AX246="K",VLOOKUP(L246,'Foundation Calculation'!$V$42:$X$80,VLOOKUP(AX246,'Foundation Calculation'!$I$10:$J$13,2,FALSE),0),""))</f>
        <v>C12R</v>
      </c>
      <c r="N246" s="420" t="s">
        <v>143</v>
      </c>
      <c r="O246" s="420"/>
      <c r="P246" s="420"/>
      <c r="Q246" s="420">
        <v>10</v>
      </c>
      <c r="R246" s="420">
        <v>-800</v>
      </c>
      <c r="S246" s="444"/>
      <c r="T246" s="420">
        <v>-10</v>
      </c>
      <c r="U246" s="420"/>
      <c r="V246" s="420"/>
      <c r="W246" s="420">
        <v>1.4</v>
      </c>
      <c r="X246" s="420"/>
      <c r="Y246" s="420"/>
      <c r="Z246" s="420"/>
      <c r="AA246" s="420"/>
      <c r="AB246" s="420"/>
      <c r="AC246" s="420" t="s">
        <v>3050</v>
      </c>
      <c r="AD246" s="420"/>
      <c r="AE246" s="420"/>
      <c r="AF246" s="420">
        <v>5600</v>
      </c>
      <c r="AG246" s="432">
        <v>90780</v>
      </c>
      <c r="AH246" s="420">
        <v>3513</v>
      </c>
      <c r="AI246" s="420">
        <v>160</v>
      </c>
      <c r="AJ246" s="420"/>
      <c r="AK246" s="420"/>
      <c r="AL246" s="420"/>
      <c r="AM246" s="420" t="s">
        <v>1042</v>
      </c>
      <c r="AN246" s="422">
        <v>5.15</v>
      </c>
      <c r="AO246" s="417"/>
      <c r="AP246" s="417"/>
      <c r="AQ246" s="422"/>
      <c r="AR246" s="422"/>
      <c r="AS246" s="422"/>
      <c r="AT246" s="422">
        <f>+ab($T$246,$T$244,$T$248,$G$245,$G$247,-1*$F$246,1200)</f>
        <v>-3.7058843022970835</v>
      </c>
      <c r="AU246" s="417"/>
      <c r="AV246" s="417"/>
      <c r="AW246" s="417" t="str">
        <f>VLOOKUP(C246,'Foundation Calculation'!$A$2:$C$33,3,1)</f>
        <v>Soil B</v>
      </c>
      <c r="AX246" s="578" t="str">
        <f>VLOOKUP(C246,'Foundation Calculation'!$E$2:$G$33,3,1)</f>
        <v>PT</v>
      </c>
      <c r="AY246" s="422">
        <f>IF(AX246="PT",VLOOKUP(L246,'Foundation Calculation'!$K$2:$R$40,VLOOKUP(AW246,'Foundation Calculation'!$I$2:$J$8,2,FALSE),0),IF(AX246="K",VLOOKUP(L246,'Foundation Calculation'!$K$42:$R$80,VLOOKUP(AW246,'Foundation Calculation'!$I$2:$J$8,2,FALSE),0),""))</f>
        <v>5.6</v>
      </c>
      <c r="AZ246" s="422"/>
      <c r="BA246" s="604" t="s">
        <v>2809</v>
      </c>
      <c r="BB246" s="420" t="str">
        <f>Pole_Calculations!A157</f>
        <v>App.7.1-V01-P9.5.1.6</v>
      </c>
      <c r="BC246" s="169"/>
      <c r="BD246" s="1329"/>
      <c r="BE246" s="1329"/>
      <c r="BF246" s="1329"/>
      <c r="BG246" s="1329"/>
    </row>
    <row r="247" spans="1:59" ht="15.75" customHeight="1">
      <c r="A247" s="488" t="s">
        <v>3721</v>
      </c>
      <c r="B247" s="1574"/>
      <c r="C247" s="431"/>
      <c r="D247" s="495"/>
      <c r="E247" s="495"/>
      <c r="F247" s="492"/>
      <c r="G247" s="457">
        <v>41.2</v>
      </c>
      <c r="H247" s="495"/>
      <c r="I247" s="492"/>
      <c r="J247" s="431"/>
      <c r="K247" s="495"/>
      <c r="L247" s="495"/>
      <c r="M247" s="495"/>
      <c r="N247" s="495"/>
      <c r="O247" s="495"/>
      <c r="P247" s="495"/>
      <c r="Q247" s="495"/>
      <c r="R247" s="495"/>
      <c r="S247" s="457">
        <f t="shared" ref="S247" si="117">AG248-AG246</f>
        <v>40</v>
      </c>
      <c r="T247" s="495"/>
      <c r="U247" s="495"/>
      <c r="V247" s="495"/>
      <c r="W247" s="495"/>
      <c r="X247" s="495"/>
      <c r="Y247" s="495"/>
      <c r="Z247" s="495"/>
      <c r="AA247" s="495"/>
      <c r="AB247" s="495"/>
      <c r="AC247" s="495"/>
      <c r="AD247" s="495"/>
      <c r="AE247" s="495"/>
      <c r="AF247" s="495"/>
      <c r="AG247" s="431"/>
      <c r="AH247" s="495"/>
      <c r="AI247" s="495"/>
      <c r="AJ247" s="495"/>
      <c r="AK247" s="495"/>
      <c r="AL247" s="495"/>
      <c r="AM247" s="495"/>
      <c r="AN247" s="493"/>
      <c r="AO247" s="490"/>
      <c r="AP247" s="490"/>
      <c r="AQ247" s="493">
        <f>+FL_1($T$248,$T$246,$G$247,1200,9.28,-1*$F$248)</f>
        <v>-2.3439270809061719E-3</v>
      </c>
      <c r="AR247" s="493"/>
      <c r="AS247" s="493"/>
      <c r="AT247" s="493"/>
      <c r="AU247" s="490"/>
      <c r="AV247" s="490"/>
      <c r="AW247" s="490"/>
      <c r="AX247" s="490"/>
      <c r="AY247" s="493"/>
      <c r="AZ247" s="493"/>
      <c r="BA247" s="602"/>
      <c r="BB247" s="488"/>
      <c r="BC247" s="169"/>
      <c r="BD247" s="1330"/>
      <c r="BE247" s="1330"/>
      <c r="BF247" s="1330"/>
      <c r="BG247" s="1330"/>
    </row>
    <row r="248" spans="1:59" ht="15.75" customHeight="1">
      <c r="A248" s="414"/>
      <c r="B248" s="420" t="s">
        <v>2241</v>
      </c>
      <c r="C248" s="432">
        <f>+$C$246+$G$247</f>
        <v>90818.45</v>
      </c>
      <c r="D248" s="420"/>
      <c r="E248" s="420"/>
      <c r="F248" s="421">
        <v>0</v>
      </c>
      <c r="G248" s="444"/>
      <c r="H248" s="420" t="s">
        <v>2688</v>
      </c>
      <c r="I248" s="421"/>
      <c r="J248" s="432"/>
      <c r="K248" s="420"/>
      <c r="L248" s="420" t="s">
        <v>4666</v>
      </c>
      <c r="M248" s="420" t="str">
        <f>IF(AX248="PT",VLOOKUP(L248,'Foundation Calculation'!$V$2:$X$40,VLOOKUP(AX248,'Foundation Calculation'!$I$10:$J$13,2,FALSE),0),IF(AX248="K",VLOOKUP(L248,'Foundation Calculation'!$V$42:$X$80,VLOOKUP(AX248,'Foundation Calculation'!$I$10:$J$13,2,FALSE),0),""))</f>
        <v>C12R</v>
      </c>
      <c r="N248" s="420" t="s">
        <v>143</v>
      </c>
      <c r="O248" s="420"/>
      <c r="P248" s="420"/>
      <c r="Q248" s="420">
        <v>20</v>
      </c>
      <c r="R248" s="420">
        <v>-800</v>
      </c>
      <c r="S248" s="444"/>
      <c r="T248" s="420">
        <v>-25</v>
      </c>
      <c r="U248" s="420"/>
      <c r="V248" s="420"/>
      <c r="W248" s="420">
        <v>1.4</v>
      </c>
      <c r="X248" s="420"/>
      <c r="Y248" s="420"/>
      <c r="Z248" s="420"/>
      <c r="AA248" s="420"/>
      <c r="AB248" s="420"/>
      <c r="AC248" s="420" t="s">
        <v>3050</v>
      </c>
      <c r="AD248" s="420"/>
      <c r="AE248" s="420"/>
      <c r="AF248" s="420">
        <v>6000</v>
      </c>
      <c r="AG248" s="432">
        <v>90820</v>
      </c>
      <c r="AH248" s="420">
        <v>3543</v>
      </c>
      <c r="AI248" s="420">
        <v>480</v>
      </c>
      <c r="AJ248" s="420"/>
      <c r="AK248" s="420"/>
      <c r="AL248" s="420" t="s">
        <v>2143</v>
      </c>
      <c r="AM248" s="420" t="s">
        <v>1042</v>
      </c>
      <c r="AN248" s="422">
        <v>5.2</v>
      </c>
      <c r="AO248" s="417"/>
      <c r="AP248" s="417"/>
      <c r="AQ248" s="422"/>
      <c r="AR248" s="422"/>
      <c r="AS248" s="422"/>
      <c r="AT248" s="422">
        <f>+ab($T$248,$T$246,$T$250,$G$247,$G$249,-1*$F$248,1200)</f>
        <v>-10.017026202483061</v>
      </c>
      <c r="AU248" s="417"/>
      <c r="AV248" s="417"/>
      <c r="AW248" s="417" t="str">
        <f>VLOOKUP(C248,'Foundation Calculation'!$A$2:$C$33,3,1)</f>
        <v>Soil B</v>
      </c>
      <c r="AX248" s="578" t="str">
        <f>VLOOKUP(C248,'Foundation Calculation'!$E$2:$G$33,3,1)</f>
        <v>PT</v>
      </c>
      <c r="AY248" s="422">
        <f>IF(AX248="PT",VLOOKUP(L248,'Foundation Calculation'!$K$2:$R$40,VLOOKUP(AW248,'Foundation Calculation'!$I$2:$J$8,2,FALSE),0),IF(AX248="K",VLOOKUP(L248,'Foundation Calculation'!$K$42:$R$80,VLOOKUP(AW248,'Foundation Calculation'!$I$2:$J$8,2,FALSE),0),""))</f>
        <v>5.6</v>
      </c>
      <c r="AZ248" s="422"/>
      <c r="BA248" s="604" t="s">
        <v>2809</v>
      </c>
      <c r="BB248" s="414" t="str">
        <f>Pole_Calculations!A178</f>
        <v>App.8-V08F-P10.3</v>
      </c>
      <c r="BC248" s="169"/>
      <c r="BD248" s="1371"/>
      <c r="BE248" s="1371"/>
      <c r="BF248" s="1371"/>
      <c r="BG248" s="1371"/>
    </row>
    <row r="249" spans="1:59" ht="15.75" customHeight="1">
      <c r="A249" s="414"/>
      <c r="B249" s="1549"/>
      <c r="C249" s="432"/>
      <c r="D249" s="420"/>
      <c r="E249" s="420"/>
      <c r="F249" s="421"/>
      <c r="G249" s="444">
        <v>35.9</v>
      </c>
      <c r="H249" s="420"/>
      <c r="I249" s="421">
        <f>SUM(G225:G249)-G243</f>
        <v>468.49999999999994</v>
      </c>
      <c r="J249" s="432"/>
      <c r="K249" s="420"/>
      <c r="L249" s="420"/>
      <c r="M249" s="420"/>
      <c r="N249" s="420"/>
      <c r="O249" s="420"/>
      <c r="P249" s="420"/>
      <c r="Q249" s="420"/>
      <c r="R249" s="420"/>
      <c r="S249" s="444">
        <f t="shared" ref="S249" si="118">AG250-AG248</f>
        <v>40</v>
      </c>
      <c r="T249" s="420"/>
      <c r="U249" s="420"/>
      <c r="V249" s="420"/>
      <c r="W249" s="420"/>
      <c r="X249" s="420"/>
      <c r="Y249" s="420"/>
      <c r="Z249" s="420"/>
      <c r="AA249" s="420"/>
      <c r="AB249" s="420"/>
      <c r="AC249" s="420"/>
      <c r="AD249" s="420"/>
      <c r="AE249" s="420"/>
      <c r="AF249" s="420"/>
      <c r="AG249" s="432"/>
      <c r="AH249" s="420"/>
      <c r="AI249" s="420"/>
      <c r="AJ249" s="420"/>
      <c r="AK249" s="420"/>
      <c r="AL249" s="420"/>
      <c r="AM249" s="420"/>
      <c r="AN249" s="422"/>
      <c r="AO249" s="417"/>
      <c r="AP249" s="417"/>
      <c r="AQ249" s="422">
        <f>+FL_1($T$250,$T$248,$G$249,1200,9.28,-1*$F$250)</f>
        <v>0.3</v>
      </c>
      <c r="AR249" s="422"/>
      <c r="AS249" s="422"/>
      <c r="AT249" s="422"/>
      <c r="AU249" s="417"/>
      <c r="AV249" s="417"/>
      <c r="AW249" s="417"/>
      <c r="AX249" s="578"/>
      <c r="AY249" s="422"/>
      <c r="AZ249" s="422"/>
      <c r="BA249" s="604"/>
      <c r="BB249" s="414"/>
      <c r="BC249" s="169"/>
      <c r="BD249" s="1329"/>
      <c r="BE249" s="1330"/>
      <c r="BF249" s="1330"/>
      <c r="BG249" s="1330"/>
    </row>
    <row r="250" spans="1:59" ht="15.75" customHeight="1">
      <c r="A250" s="414"/>
      <c r="B250" s="420" t="s">
        <v>2242</v>
      </c>
      <c r="C250" s="432">
        <f>+$C$248+$G$249</f>
        <v>90854.349999999991</v>
      </c>
      <c r="D250" s="420"/>
      <c r="E250" s="420"/>
      <c r="F250" s="421">
        <v>0</v>
      </c>
      <c r="G250" s="444"/>
      <c r="H250" s="420" t="s">
        <v>874</v>
      </c>
      <c r="I250" s="421"/>
      <c r="J250" s="432"/>
      <c r="K250" s="420"/>
      <c r="L250" s="420" t="s">
        <v>4664</v>
      </c>
      <c r="M250" s="420" t="str">
        <f>IF(AX250="PT",VLOOKUP(L250,'Foundation Calculation'!$V$2:$X$40,VLOOKUP(AX250,'Foundation Calculation'!$I$10:$J$13,2,FALSE),0),IF(AX250="K",VLOOKUP(L250,'Foundation Calculation'!$V$42:$X$80,VLOOKUP(AX250,'Foundation Calculation'!$I$10:$J$13,2,FALSE),0),""))</f>
        <v>C11R</v>
      </c>
      <c r="N250" s="420" t="s">
        <v>144</v>
      </c>
      <c r="O250" s="420"/>
      <c r="P250" s="420"/>
      <c r="Q250" s="420">
        <v>0</v>
      </c>
      <c r="R250" s="420">
        <v>680</v>
      </c>
      <c r="S250" s="444"/>
      <c r="T250" s="420">
        <v>30</v>
      </c>
      <c r="U250" s="420"/>
      <c r="V250" s="420"/>
      <c r="W250" s="420">
        <v>1.4</v>
      </c>
      <c r="X250" s="420"/>
      <c r="Y250" s="420"/>
      <c r="Z250" s="420"/>
      <c r="AA250" s="420"/>
      <c r="AB250" s="420"/>
      <c r="AC250" s="420" t="s">
        <v>3050</v>
      </c>
      <c r="AD250" s="420"/>
      <c r="AE250" s="420"/>
      <c r="AF250" s="420">
        <v>5800</v>
      </c>
      <c r="AG250" s="432">
        <v>90860</v>
      </c>
      <c r="AH250" s="420">
        <v>3063</v>
      </c>
      <c r="AI250" s="420">
        <v>480</v>
      </c>
      <c r="AJ250" s="420"/>
      <c r="AK250" s="420"/>
      <c r="AL250" s="420" t="s">
        <v>2143</v>
      </c>
      <c r="AM250" s="420" t="s">
        <v>1042</v>
      </c>
      <c r="AN250" s="422">
        <v>5.31</v>
      </c>
      <c r="AO250" s="417"/>
      <c r="AP250" s="417"/>
      <c r="AQ250" s="422"/>
      <c r="AR250" s="422"/>
      <c r="AS250" s="422"/>
      <c r="AT250" s="422">
        <f>+ab($T$250,$T$248,$T$252,$G$249,$G$251,-1*$F$250,1200)</f>
        <v>6.3032829946672546</v>
      </c>
      <c r="AU250" s="417"/>
      <c r="AV250" s="417"/>
      <c r="AW250" s="417" t="str">
        <f>VLOOKUP(C250,'Foundation Calculation'!$A$2:$C$33,3,1)</f>
        <v>Soil B</v>
      </c>
      <c r="AX250" s="578" t="str">
        <f>VLOOKUP(C250,'Foundation Calculation'!$E$2:$G$33,3,1)</f>
        <v>PT</v>
      </c>
      <c r="AY250" s="422">
        <f>IF(AX250="PT",VLOOKUP(L250,'Foundation Calculation'!$K$2:$R$40,VLOOKUP(AW250,'Foundation Calculation'!$I$2:$J$8,2,FALSE),0),IF(AX250="K",VLOOKUP(L250,'Foundation Calculation'!$K$42:$R$80,VLOOKUP(AW250,'Foundation Calculation'!$I$2:$J$8,2,FALSE),0),""))</f>
        <v>4.4000000000000004</v>
      </c>
      <c r="AZ250" s="422"/>
      <c r="BA250" s="604" t="s">
        <v>2809</v>
      </c>
      <c r="BB250" s="414" t="str">
        <f>Pole_Calculations!A178</f>
        <v>App.8-V08F-P10.3</v>
      </c>
      <c r="BC250" s="169"/>
      <c r="BD250" s="1371"/>
      <c r="BE250" s="1371"/>
      <c r="BF250" s="1371"/>
      <c r="BG250" s="1371"/>
    </row>
    <row r="251" spans="1:59" ht="15.75" customHeight="1">
      <c r="A251" s="414"/>
      <c r="B251" s="1549"/>
      <c r="C251" s="432"/>
      <c r="D251" s="420"/>
      <c r="E251" s="420"/>
      <c r="F251" s="421"/>
      <c r="G251" s="444">
        <v>40</v>
      </c>
      <c r="H251" s="420"/>
      <c r="I251" s="421">
        <f>SUM(G251:G265)</f>
        <v>356.59999999999997</v>
      </c>
      <c r="J251" s="432"/>
      <c r="K251" s="420"/>
      <c r="L251" s="420"/>
      <c r="M251" s="420"/>
      <c r="N251" s="420"/>
      <c r="O251" s="420"/>
      <c r="P251" s="420"/>
      <c r="Q251" s="420"/>
      <c r="R251" s="420"/>
      <c r="S251" s="444">
        <f t="shared" ref="S251" si="119">AG252-AG250</f>
        <v>38.899999999994179</v>
      </c>
      <c r="T251" s="420"/>
      <c r="U251" s="420"/>
      <c r="V251" s="420"/>
      <c r="W251" s="420"/>
      <c r="X251" s="420"/>
      <c r="Y251" s="420"/>
      <c r="Z251" s="420"/>
      <c r="AA251" s="420"/>
      <c r="AB251" s="420"/>
      <c r="AC251" s="420"/>
      <c r="AD251" s="420"/>
      <c r="AE251" s="420"/>
      <c r="AF251" s="420"/>
      <c r="AG251" s="432"/>
      <c r="AH251" s="420"/>
      <c r="AI251" s="420"/>
      <c r="AJ251" s="420"/>
      <c r="AK251" s="420"/>
      <c r="AL251" s="420"/>
      <c r="AM251" s="420"/>
      <c r="AN251" s="422"/>
      <c r="AO251" s="417"/>
      <c r="AP251" s="417"/>
      <c r="AQ251" s="422">
        <f>+FL_2($T$252,$T$250,$G$251,1200,9.28,-1*$F$252)</f>
        <v>-0.30014079999999999</v>
      </c>
      <c r="AR251" s="422"/>
      <c r="AS251" s="422"/>
      <c r="AT251" s="422"/>
      <c r="AU251" s="417"/>
      <c r="AV251" s="417"/>
      <c r="AW251" s="417"/>
      <c r="AX251" s="578"/>
      <c r="AY251" s="422"/>
      <c r="AZ251" s="422"/>
      <c r="BA251" s="604"/>
      <c r="BB251" s="414"/>
      <c r="BC251" s="169"/>
      <c r="BD251" s="1329"/>
      <c r="BE251" s="1330"/>
      <c r="BF251" s="1330"/>
      <c r="BG251" s="1330"/>
    </row>
    <row r="252" spans="1:59" ht="15.75" customHeight="1">
      <c r="A252" s="414"/>
      <c r="B252" s="420" t="s">
        <v>2243</v>
      </c>
      <c r="C252" s="432">
        <f>+$C$250+$G$251</f>
        <v>90894.349999999991</v>
      </c>
      <c r="D252" s="420"/>
      <c r="E252" s="420"/>
      <c r="F252" s="421">
        <v>0</v>
      </c>
      <c r="G252" s="444"/>
      <c r="H252" s="420" t="s">
        <v>873</v>
      </c>
      <c r="I252" s="421"/>
      <c r="J252" s="432"/>
      <c r="K252" s="420"/>
      <c r="L252" s="420" t="s">
        <v>4664</v>
      </c>
      <c r="M252" s="420" t="str">
        <f>IF(AX252="PT",VLOOKUP(L252,'Foundation Calculation'!$V$2:$X$40,VLOOKUP(AX252,'Foundation Calculation'!$I$10:$J$13,2,FALSE),0),IF(AX252="K",VLOOKUP(L252,'Foundation Calculation'!$V$42:$X$80,VLOOKUP(AX252,'Foundation Calculation'!$I$10:$J$13,2,FALSE),0),""))</f>
        <v>C11R</v>
      </c>
      <c r="N252" s="420" t="s">
        <v>143</v>
      </c>
      <c r="O252" s="420"/>
      <c r="P252" s="420"/>
      <c r="Q252" s="420">
        <v>0</v>
      </c>
      <c r="R252" s="420">
        <v>0</v>
      </c>
      <c r="S252" s="444"/>
      <c r="T252" s="420">
        <v>-30</v>
      </c>
      <c r="U252" s="420"/>
      <c r="V252" s="420"/>
      <c r="W252" s="420">
        <v>1.4</v>
      </c>
      <c r="X252" s="420"/>
      <c r="Y252" s="420"/>
      <c r="Z252" s="420"/>
      <c r="AA252" s="420"/>
      <c r="AB252" s="420"/>
      <c r="AC252" s="420" t="s">
        <v>1417</v>
      </c>
      <c r="AD252" s="420"/>
      <c r="AE252" s="420"/>
      <c r="AF252" s="420">
        <v>6000</v>
      </c>
      <c r="AG252" s="432">
        <v>90898.9</v>
      </c>
      <c r="AH252" s="420">
        <v>3153</v>
      </c>
      <c r="AI252" s="420">
        <v>480</v>
      </c>
      <c r="AJ252" s="420"/>
      <c r="AK252" s="420"/>
      <c r="AL252" s="420" t="s">
        <v>2143</v>
      </c>
      <c r="AM252" s="420" t="s">
        <v>1042</v>
      </c>
      <c r="AN252" s="422">
        <v>5.42</v>
      </c>
      <c r="AO252" s="417"/>
      <c r="AP252" s="417"/>
      <c r="AQ252" s="422"/>
      <c r="AR252" s="422"/>
      <c r="AS252" s="422"/>
      <c r="AT252" s="422">
        <f>+ab($T$252,$T$250,$T$254,$G$251,$G$253,-1*$F$252,1200)</f>
        <v>-8.3075617941562925</v>
      </c>
      <c r="AU252" s="417"/>
      <c r="AV252" s="417"/>
      <c r="AW252" s="417" t="str">
        <f>VLOOKUP(C252,'Foundation Calculation'!$A$2:$C$33,3,1)</f>
        <v>Soil B</v>
      </c>
      <c r="AX252" s="578" t="str">
        <f>VLOOKUP(C252,'Foundation Calculation'!$E$2:$G$33,3,1)</f>
        <v>PT</v>
      </c>
      <c r="AY252" s="422">
        <f>IF(AX252="PT",VLOOKUP(L252,'Foundation Calculation'!$K$2:$R$40,VLOOKUP(AW252,'Foundation Calculation'!$I$2:$J$8,2,FALSE),0),IF(AX252="K",VLOOKUP(L252,'Foundation Calculation'!$K$42:$R$80,VLOOKUP(AW252,'Foundation Calculation'!$I$2:$J$8,2,FALSE),0),""))</f>
        <v>4.4000000000000004</v>
      </c>
      <c r="AZ252" s="422"/>
      <c r="BA252" s="604" t="s">
        <v>2809</v>
      </c>
      <c r="BB252" s="414" t="str">
        <f>Pole_Calculations!A178</f>
        <v>App.8-V08F-P10.3</v>
      </c>
      <c r="BC252" s="169" t="s">
        <v>4955</v>
      </c>
      <c r="BD252" s="1371"/>
      <c r="BE252" s="1371"/>
      <c r="BF252" s="1371"/>
      <c r="BG252" s="1371"/>
    </row>
    <row r="253" spans="1:59" ht="15.75" customHeight="1">
      <c r="A253" s="414" t="s">
        <v>2161</v>
      </c>
      <c r="B253" s="420"/>
      <c r="C253" s="432"/>
      <c r="D253" s="420"/>
      <c r="E253" s="420"/>
      <c r="F253" s="421"/>
      <c r="G253" s="444">
        <v>63</v>
      </c>
      <c r="H253" s="420"/>
      <c r="I253" s="421"/>
      <c r="J253" s="432">
        <f>C252+7.5</f>
        <v>90901.849999999991</v>
      </c>
      <c r="K253" s="420" t="s">
        <v>2788</v>
      </c>
      <c r="L253" s="420"/>
      <c r="M253" s="420"/>
      <c r="N253" s="420"/>
      <c r="O253" s="420"/>
      <c r="P253" s="420"/>
      <c r="Q253" s="420"/>
      <c r="R253" s="420"/>
      <c r="S253" s="444">
        <f t="shared" ref="S253" si="120">AG254-AG252</f>
        <v>53.820000000006985</v>
      </c>
      <c r="T253" s="420"/>
      <c r="U253" s="420"/>
      <c r="V253" s="420"/>
      <c r="W253" s="420"/>
      <c r="X253" s="420"/>
      <c r="Y253" s="420"/>
      <c r="Z253" s="420"/>
      <c r="AA253" s="420"/>
      <c r="AB253" s="420"/>
      <c r="AC253" s="420"/>
      <c r="AD253" s="420"/>
      <c r="AE253" s="420"/>
      <c r="AF253" s="420"/>
      <c r="AG253" s="432"/>
      <c r="AH253" s="420"/>
      <c r="AI253" s="420"/>
      <c r="AJ253" s="420"/>
      <c r="AK253" s="420"/>
      <c r="AL253" s="420"/>
      <c r="AM253" s="420"/>
      <c r="AN253" s="422"/>
      <c r="AO253" s="417"/>
      <c r="AP253" s="417"/>
      <c r="AQ253" s="422">
        <f>+FL_1($T$254,$T$252,$G$253,1200,9.28,-1*$F$254)</f>
        <v>0.37439509942857147</v>
      </c>
      <c r="AR253" s="422"/>
      <c r="AS253" s="422"/>
      <c r="AT253" s="422"/>
      <c r="AU253" s="417"/>
      <c r="AV253" s="417"/>
      <c r="AW253" s="417" t="str">
        <f>VLOOKUP(J253,'Foundation Calculation'!$A$2:$C$33,3,1)</f>
        <v>Soil B</v>
      </c>
      <c r="AX253" s="578" t="str">
        <f>VLOOKUP(J253,'Foundation Calculation'!$E$2:$G$33,3,1)</f>
        <v>PT</v>
      </c>
      <c r="AY253" s="422"/>
      <c r="AZ253" s="422">
        <f>IF(AX253="PT",VLOOKUP(K253,'Foundation Calculation'!$K$2:$R$40,VLOOKUP(AW253,'Foundation Calculation'!$I$2:$J$8,2,FALSE),0),IF(AX253="K",VLOOKUP(K253,'Foundation Calculation'!$K$42:$R$80,VLOOKUP(AW253,'Foundation Calculation'!$I$2:$J$8,2,FALSE),0),""))</f>
        <v>2.8</v>
      </c>
      <c r="BA253" s="604" t="s">
        <v>2809</v>
      </c>
      <c r="BB253" s="414"/>
      <c r="BC253" s="169"/>
      <c r="BD253" s="1329"/>
      <c r="BE253" s="1330"/>
      <c r="BF253" s="1330"/>
      <c r="BG253" s="1330"/>
    </row>
    <row r="254" spans="1:59" ht="15.75" customHeight="1">
      <c r="A254" s="414" t="s">
        <v>1854</v>
      </c>
      <c r="B254" s="420" t="s">
        <v>2244</v>
      </c>
      <c r="C254" s="432">
        <f>+$C$252+$G$253</f>
        <v>90957.349999999991</v>
      </c>
      <c r="D254" s="420"/>
      <c r="E254" s="420"/>
      <c r="F254" s="421">
        <v>0</v>
      </c>
      <c r="G254" s="444"/>
      <c r="H254" s="420"/>
      <c r="I254" s="421"/>
      <c r="J254" s="432"/>
      <c r="K254" s="420"/>
      <c r="L254" s="420" t="s">
        <v>229</v>
      </c>
      <c r="M254" s="420" t="str">
        <f>IF(AX254="PT",VLOOKUP(L254,'Foundation Calculation'!$V$2:$X$40,VLOOKUP(AX254,'Foundation Calculation'!$I$10:$J$13,2,FALSE),0),IF(AX254="K",VLOOKUP(L254,'Foundation Calculation'!$V$42:$X$80,VLOOKUP(AX254,'Foundation Calculation'!$I$10:$J$13,2,FALSE),0),""))</f>
        <v>C3R</v>
      </c>
      <c r="N254" s="420" t="s">
        <v>144</v>
      </c>
      <c r="O254" s="420"/>
      <c r="P254" s="420"/>
      <c r="Q254" s="420">
        <v>0</v>
      </c>
      <c r="R254" s="420">
        <v>0</v>
      </c>
      <c r="S254" s="444"/>
      <c r="T254" s="420">
        <v>20</v>
      </c>
      <c r="U254" s="420"/>
      <c r="V254" s="420"/>
      <c r="W254" s="420">
        <v>1.4</v>
      </c>
      <c r="X254" s="420"/>
      <c r="Y254" s="420"/>
      <c r="Z254" s="420"/>
      <c r="AA254" s="420"/>
      <c r="AB254" s="420"/>
      <c r="AC254" s="420" t="s">
        <v>1421</v>
      </c>
      <c r="AD254" s="420"/>
      <c r="AE254" s="420"/>
      <c r="AF254" s="420">
        <v>6000</v>
      </c>
      <c r="AG254" s="432">
        <v>90952.72</v>
      </c>
      <c r="AH254" s="420">
        <v>3223</v>
      </c>
      <c r="AI254" s="420">
        <v>410</v>
      </c>
      <c r="AJ254" s="420"/>
      <c r="AK254" s="420"/>
      <c r="AL254" s="420" t="s">
        <v>2143</v>
      </c>
      <c r="AM254" s="420" t="s">
        <v>1042</v>
      </c>
      <c r="AN254" s="422">
        <v>5.5</v>
      </c>
      <c r="AO254" s="417"/>
      <c r="AP254" s="417"/>
      <c r="AQ254" s="422"/>
      <c r="AR254" s="422"/>
      <c r="AS254" s="422"/>
      <c r="AT254" s="422">
        <f>+ab($T$254,$T$252,$T$256,$G$253,$G$255,-1*$F$254,1200)</f>
        <v>11.061353166804523</v>
      </c>
      <c r="AU254" s="417"/>
      <c r="AV254" s="417"/>
      <c r="AW254" s="417" t="str">
        <f>VLOOKUP(C254,'Foundation Calculation'!$A$2:$C$33,3,1)</f>
        <v>Soil B</v>
      </c>
      <c r="AX254" s="578" t="str">
        <f>VLOOKUP(C254,'Foundation Calculation'!$E$2:$G$33,3,1)</f>
        <v>PT</v>
      </c>
      <c r="AY254" s="422">
        <f>IF(AX254="PT",VLOOKUP(L254,'Foundation Calculation'!$K$2:$R$40,VLOOKUP(AW254,'Foundation Calculation'!$I$2:$J$8,2,FALSE),0),IF(AX254="K",VLOOKUP(L254,'Foundation Calculation'!$K$42:$R$80,VLOOKUP(AW254,'Foundation Calculation'!$I$2:$J$8,2,FALSE),0),""))</f>
        <v>3.5</v>
      </c>
      <c r="AZ254" s="422"/>
      <c r="BA254" s="604" t="s">
        <v>2809</v>
      </c>
      <c r="BB254" s="414" t="str">
        <f>Pole_Calculations!A15</f>
        <v>App.7-V11A-P9.5.1.1</v>
      </c>
      <c r="BC254" s="169" t="s">
        <v>4955</v>
      </c>
      <c r="BD254" s="1371"/>
      <c r="BE254" s="1371"/>
      <c r="BF254" s="1371"/>
      <c r="BG254" s="1371"/>
    </row>
    <row r="255" spans="1:59" ht="15.75" customHeight="1">
      <c r="A255" s="414"/>
      <c r="B255" s="420"/>
      <c r="C255" s="432"/>
      <c r="D255" s="420"/>
      <c r="E255" s="420"/>
      <c r="F255" s="421"/>
      <c r="G255" s="444">
        <v>43.5</v>
      </c>
      <c r="H255" s="420"/>
      <c r="I255" s="421"/>
      <c r="J255" s="432"/>
      <c r="K255" s="420"/>
      <c r="L255" s="420"/>
      <c r="M255" s="420"/>
      <c r="N255" s="420"/>
      <c r="O255" s="420"/>
      <c r="P255" s="420"/>
      <c r="Q255" s="420"/>
      <c r="R255" s="420"/>
      <c r="S255" s="444">
        <f t="shared" ref="S255" si="121">AG256-AG254</f>
        <v>39.94999999999709</v>
      </c>
      <c r="T255" s="420"/>
      <c r="U255" s="420"/>
      <c r="V255" s="420"/>
      <c r="W255" s="420"/>
      <c r="X255" s="420"/>
      <c r="Y255" s="420"/>
      <c r="Z255" s="420"/>
      <c r="AA255" s="420"/>
      <c r="AB255" s="420"/>
      <c r="AC255" s="420"/>
      <c r="AD255" s="420"/>
      <c r="AE255" s="420"/>
      <c r="AF255" s="420"/>
      <c r="AG255" s="432"/>
      <c r="AH255" s="420"/>
      <c r="AI255" s="420"/>
      <c r="AJ255" s="420"/>
      <c r="AK255" s="420"/>
      <c r="AL255" s="420"/>
      <c r="AM255" s="420"/>
      <c r="AN255" s="422"/>
      <c r="AO255" s="417"/>
      <c r="AP255" s="417"/>
      <c r="AQ255" s="422">
        <f>+FL_1($T$256,$T$254,$G$255,1200,9.28,-1*$F$256)</f>
        <v>0.23758695466666666</v>
      </c>
      <c r="AR255" s="422"/>
      <c r="AS255" s="422"/>
      <c r="AT255" s="422"/>
      <c r="AU255" s="417"/>
      <c r="AV255" s="417"/>
      <c r="AW255" s="417"/>
      <c r="AX255" s="417"/>
      <c r="AY255" s="422"/>
      <c r="AZ255" s="422"/>
      <c r="BA255" s="604"/>
      <c r="BB255" s="414"/>
      <c r="BC255" s="169"/>
      <c r="BD255" s="1330"/>
      <c r="BE255" s="1330"/>
      <c r="BF255" s="1330"/>
      <c r="BG255" s="1330"/>
    </row>
    <row r="256" spans="1:59" ht="15.75" customHeight="1">
      <c r="A256" s="414"/>
      <c r="B256" s="420" t="s">
        <v>2245</v>
      </c>
      <c r="C256" s="432">
        <f>+$C$254+$G$255</f>
        <v>91000.849999999991</v>
      </c>
      <c r="D256" s="420"/>
      <c r="E256" s="420"/>
      <c r="F256" s="421">
        <v>0</v>
      </c>
      <c r="G256" s="444"/>
      <c r="H256" s="420"/>
      <c r="I256" s="421"/>
      <c r="J256" s="432"/>
      <c r="K256" s="420"/>
      <c r="L256" s="420" t="s">
        <v>4664</v>
      </c>
      <c r="M256" s="420" t="str">
        <f>IF(AX256="PT",VLOOKUP(L256,'Foundation Calculation'!$V$2:$X$40,VLOOKUP(AX256,'Foundation Calculation'!$I$10:$J$13,2,FALSE),0),IF(AX256="K",VLOOKUP(L256,'Foundation Calculation'!$V$42:$X$80,VLOOKUP(AX256,'Foundation Calculation'!$I$10:$J$13,2,FALSE),0),""))</f>
        <v>C11R</v>
      </c>
      <c r="N256" s="420" t="s">
        <v>143</v>
      </c>
      <c r="O256" s="420"/>
      <c r="P256" s="420"/>
      <c r="Q256" s="420">
        <v>0</v>
      </c>
      <c r="R256" s="420">
        <v>0</v>
      </c>
      <c r="S256" s="444"/>
      <c r="T256" s="420">
        <v>-20</v>
      </c>
      <c r="U256" s="420"/>
      <c r="V256" s="420"/>
      <c r="W256" s="420">
        <v>1.4</v>
      </c>
      <c r="X256" s="420"/>
      <c r="Y256" s="420"/>
      <c r="Z256" s="420"/>
      <c r="AA256" s="420"/>
      <c r="AB256" s="420"/>
      <c r="AC256" s="420" t="s">
        <v>1421</v>
      </c>
      <c r="AD256" s="420"/>
      <c r="AE256" s="420"/>
      <c r="AF256" s="420">
        <v>6000</v>
      </c>
      <c r="AG256" s="432">
        <v>90992.67</v>
      </c>
      <c r="AH256" s="420">
        <v>3353</v>
      </c>
      <c r="AI256" s="420">
        <v>360</v>
      </c>
      <c r="AJ256" s="420"/>
      <c r="AK256" s="420"/>
      <c r="AL256" s="420" t="s">
        <v>2143</v>
      </c>
      <c r="AM256" s="420" t="s">
        <v>1042</v>
      </c>
      <c r="AN256" s="422">
        <v>5.5</v>
      </c>
      <c r="AO256" s="417"/>
      <c r="AP256" s="417"/>
      <c r="AQ256" s="422"/>
      <c r="AR256" s="422"/>
      <c r="AS256" s="422"/>
      <c r="AT256" s="422">
        <f>+ab($T$256,$T$254,$T$258,$G$255,$G$257,-1*$F$256,1200)</f>
        <v>-8.803183257585605</v>
      </c>
      <c r="AU256" s="417"/>
      <c r="AV256" s="417"/>
      <c r="AW256" s="417" t="str">
        <f>VLOOKUP(C256,'Foundation Calculation'!$A$2:$C$33,3,1)</f>
        <v>Soil A</v>
      </c>
      <c r="AX256" s="578" t="str">
        <f>VLOOKUP(C256,'Foundation Calculation'!$E$2:$G$33,3,1)</f>
        <v>PT</v>
      </c>
      <c r="AY256" s="422">
        <f>IF(AX256="PT",VLOOKUP(L256,'Foundation Calculation'!$K$2:$R$40,VLOOKUP(AW256,'Foundation Calculation'!$I$2:$J$8,2,FALSE),0),IF(AX256="K",VLOOKUP(L256,'Foundation Calculation'!$K$42:$R$80,VLOOKUP(AW256,'Foundation Calculation'!$I$2:$J$8,2,FALSE),0),""))</f>
        <v>4.4000000000000004</v>
      </c>
      <c r="AZ256" s="422"/>
      <c r="BA256" s="604" t="s">
        <v>2809</v>
      </c>
      <c r="BB256" s="414" t="str">
        <f>Pole_Calculations!A15</f>
        <v>App.7-V11A-P9.5.1.1</v>
      </c>
      <c r="BC256" s="169"/>
      <c r="BD256" s="1371"/>
      <c r="BE256" s="1371"/>
      <c r="BF256" s="1371"/>
      <c r="BG256" s="1371"/>
    </row>
    <row r="257" spans="1:59" ht="15.75" customHeight="1">
      <c r="A257" s="414"/>
      <c r="B257" s="420"/>
      <c r="C257" s="432"/>
      <c r="D257" s="420"/>
      <c r="E257" s="420"/>
      <c r="F257" s="421"/>
      <c r="G257" s="444">
        <v>36.200000000000003</v>
      </c>
      <c r="H257" s="420"/>
      <c r="I257" s="421"/>
      <c r="J257" s="432"/>
      <c r="K257" s="420"/>
      <c r="L257" s="420"/>
      <c r="M257" s="420"/>
      <c r="N257" s="420"/>
      <c r="O257" s="420"/>
      <c r="P257" s="420"/>
      <c r="Q257" s="420"/>
      <c r="R257" s="420"/>
      <c r="S257" s="444">
        <f t="shared" ref="S257" si="122">AG258-AG256</f>
        <v>43.94999999999709</v>
      </c>
      <c r="T257" s="420"/>
      <c r="U257" s="420"/>
      <c r="V257" s="420"/>
      <c r="W257" s="420"/>
      <c r="X257" s="420"/>
      <c r="Y257" s="420"/>
      <c r="Z257" s="420"/>
      <c r="AA257" s="420"/>
      <c r="AB257" s="420"/>
      <c r="AC257" s="420"/>
      <c r="AD257" s="420"/>
      <c r="AE257" s="420"/>
      <c r="AF257" s="420"/>
      <c r="AG257" s="432"/>
      <c r="AH257" s="420"/>
      <c r="AI257" s="420"/>
      <c r="AJ257" s="420"/>
      <c r="AK257" s="420"/>
      <c r="AL257" s="420"/>
      <c r="AM257" s="420"/>
      <c r="AN257" s="422"/>
      <c r="AO257" s="417"/>
      <c r="AP257" s="417"/>
      <c r="AQ257" s="422">
        <f>+FL_2($T$258,$T$256,$G$257,1200,9.28,-1*$F$258)</f>
        <v>-0.20507805708809582</v>
      </c>
      <c r="AR257" s="422"/>
      <c r="AS257" s="422"/>
      <c r="AT257" s="422"/>
      <c r="AU257" s="417"/>
      <c r="AV257" s="417"/>
      <c r="AW257" s="417"/>
      <c r="AX257" s="417"/>
      <c r="AY257" s="422"/>
      <c r="AZ257" s="422"/>
      <c r="BA257" s="604"/>
      <c r="BB257" s="414"/>
      <c r="BC257" s="169"/>
      <c r="BD257" s="1330"/>
      <c r="BE257" s="1330"/>
      <c r="BF257" s="1330"/>
      <c r="BG257" s="1330"/>
    </row>
    <row r="258" spans="1:59" ht="15.75" customHeight="1">
      <c r="A258" s="449"/>
      <c r="B258" s="1239" t="s">
        <v>2246</v>
      </c>
      <c r="C258" s="171">
        <f>+$C$256+$G$257</f>
        <v>91037.049999999988</v>
      </c>
      <c r="D258" s="1239"/>
      <c r="E258" s="1239"/>
      <c r="F258" s="448">
        <v>-13211</v>
      </c>
      <c r="G258" s="455"/>
      <c r="H258" s="1239"/>
      <c r="I258" s="448"/>
      <c r="J258" s="171"/>
      <c r="K258" s="1239"/>
      <c r="L258" s="1239" t="s">
        <v>4664</v>
      </c>
      <c r="M258" s="1239" t="str">
        <f>IF(AX258="PT",VLOOKUP(L258,'Foundation Calculation'!$V$2:$X$40,VLOOKUP(AX258,'Foundation Calculation'!$I$10:$J$13,2,FALSE),0),IF(AX258="K",VLOOKUP(L258,'Foundation Calculation'!$V$42:$X$80,VLOOKUP(AX258,'Foundation Calculation'!$I$10:$J$13,2,FALSE),0),""))</f>
        <v>C11R</v>
      </c>
      <c r="N258" s="1239" t="s">
        <v>144</v>
      </c>
      <c r="O258" s="1239"/>
      <c r="P258" s="1239"/>
      <c r="Q258" s="1239">
        <v>10</v>
      </c>
      <c r="R258" s="1239">
        <v>-13211.04</v>
      </c>
      <c r="S258" s="455"/>
      <c r="T258" s="1239">
        <v>25</v>
      </c>
      <c r="U258" s="1239"/>
      <c r="V258" s="1239"/>
      <c r="W258" s="1239">
        <v>1.4</v>
      </c>
      <c r="X258" s="1239"/>
      <c r="Y258" s="1239"/>
      <c r="Z258" s="1239"/>
      <c r="AA258" s="1239"/>
      <c r="AB258" s="1239"/>
      <c r="AC258" s="1239" t="s">
        <v>1421</v>
      </c>
      <c r="AD258" s="1239"/>
      <c r="AE258" s="1239"/>
      <c r="AF258" s="1239">
        <v>6000</v>
      </c>
      <c r="AG258" s="171">
        <v>91036.62</v>
      </c>
      <c r="AH258" s="1239">
        <v>3133</v>
      </c>
      <c r="AI258" s="1239">
        <v>500</v>
      </c>
      <c r="AJ258" s="1239"/>
      <c r="AK258" s="1239"/>
      <c r="AL258" s="1239" t="s">
        <v>2143</v>
      </c>
      <c r="AM258" s="1239" t="s">
        <v>1042</v>
      </c>
      <c r="AN258" s="484">
        <v>5.5</v>
      </c>
      <c r="AO258" s="638"/>
      <c r="AP258" s="638"/>
      <c r="AQ258" s="484"/>
      <c r="AR258" s="484"/>
      <c r="AS258" s="484"/>
      <c r="AT258" s="484">
        <f>+ab($T$258,$T$256,$T$260,$G$257,$G$259,-1*$F$258,1200)</f>
        <v>13.362470369834718</v>
      </c>
      <c r="AU258" s="638"/>
      <c r="AV258" s="638"/>
      <c r="AW258" s="638" t="str">
        <f>VLOOKUP(C258,'Foundation Calculation'!$A$2:$C$33,3,1)</f>
        <v>Soil A</v>
      </c>
      <c r="AX258" s="572" t="str">
        <f>VLOOKUP(C258,'Foundation Calculation'!$E$2:$G$33,3,1)</f>
        <v>PT</v>
      </c>
      <c r="AY258" s="484">
        <f>IF(AX258="PT",VLOOKUP(L258,'Foundation Calculation'!$K$2:$R$40,VLOOKUP(AW258,'Foundation Calculation'!$I$2:$J$8,2,FALSE),0),IF(AX258="K",VLOOKUP(L258,'Foundation Calculation'!$K$42:$R$80,VLOOKUP(AW258,'Foundation Calculation'!$I$2:$J$8,2,FALSE),0),""))</f>
        <v>4.4000000000000004</v>
      </c>
      <c r="AZ258" s="484"/>
      <c r="BA258" s="671" t="s">
        <v>2809</v>
      </c>
      <c r="BB258" s="449" t="str">
        <f>Pole_Calculations!A178</f>
        <v>App.8-V08F-P10.3</v>
      </c>
      <c r="BC258" s="169"/>
      <c r="BD258" s="1371"/>
      <c r="BE258" s="1371"/>
      <c r="BF258" s="1371"/>
      <c r="BG258" s="1371"/>
    </row>
    <row r="259" spans="1:59" ht="15.75" customHeight="1">
      <c r="A259" s="462"/>
      <c r="B259" s="467"/>
      <c r="C259" s="473"/>
      <c r="D259" s="467"/>
      <c r="E259" s="467"/>
      <c r="F259" s="469"/>
      <c r="G259" s="474">
        <v>40.5</v>
      </c>
      <c r="H259" s="467"/>
      <c r="I259" s="469"/>
      <c r="J259" s="473">
        <f>C260-7.5</f>
        <v>91070.049999999988</v>
      </c>
      <c r="K259" s="467" t="s">
        <v>4913</v>
      </c>
      <c r="L259" s="467"/>
      <c r="M259" s="467"/>
      <c r="N259" s="467"/>
      <c r="O259" s="467"/>
      <c r="P259" s="467"/>
      <c r="Q259" s="467"/>
      <c r="R259" s="467"/>
      <c r="S259" s="474">
        <f t="shared" ref="S259" si="123">AG260-AG258</f>
        <v>40.380000000004657</v>
      </c>
      <c r="T259" s="467"/>
      <c r="U259" s="467"/>
      <c r="V259" s="467"/>
      <c r="W259" s="467"/>
      <c r="X259" s="467"/>
      <c r="Y259" s="467"/>
      <c r="Z259" s="467"/>
      <c r="AA259" s="467"/>
      <c r="AB259" s="467"/>
      <c r="AC259" s="467"/>
      <c r="AD259" s="467"/>
      <c r="AE259" s="467"/>
      <c r="AF259" s="467"/>
      <c r="AG259" s="473"/>
      <c r="AH259" s="467"/>
      <c r="AI259" s="467"/>
      <c r="AJ259" s="467"/>
      <c r="AK259" s="467"/>
      <c r="AL259" s="467"/>
      <c r="AM259" s="467"/>
      <c r="AN259" s="466"/>
      <c r="AO259" s="464"/>
      <c r="AP259" s="464"/>
      <c r="AQ259" s="466">
        <f>+FL_1($T$260,$T$258,$G$259,1200,9.28,-1*$F$260)</f>
        <v>0.3</v>
      </c>
      <c r="AR259" s="466"/>
      <c r="AS259" s="466"/>
      <c r="AT259" s="466"/>
      <c r="AU259" s="464"/>
      <c r="AV259" s="464"/>
      <c r="AW259" s="464"/>
      <c r="AX259" s="464"/>
      <c r="AY259" s="466"/>
      <c r="AZ259" s="466"/>
      <c r="BA259" s="674"/>
      <c r="BB259" s="462"/>
      <c r="BC259" s="169"/>
      <c r="BD259" s="1330"/>
      <c r="BE259" s="1330"/>
      <c r="BF259" s="1330"/>
      <c r="BG259" s="1330"/>
    </row>
    <row r="260" spans="1:59" ht="15.75" customHeight="1">
      <c r="A260" s="467"/>
      <c r="B260" s="467" t="s">
        <v>2247</v>
      </c>
      <c r="C260" s="473">
        <f>+$C$258+$G$259</f>
        <v>91077.549999999988</v>
      </c>
      <c r="D260" s="467"/>
      <c r="E260" s="467"/>
      <c r="F260" s="469">
        <v>-1308</v>
      </c>
      <c r="G260" s="474"/>
      <c r="H260" s="467" t="s">
        <v>138</v>
      </c>
      <c r="I260" s="469" t="s">
        <v>4231</v>
      </c>
      <c r="J260" s="473"/>
      <c r="K260" s="467"/>
      <c r="L260" s="467" t="s">
        <v>899</v>
      </c>
      <c r="M260" s="467" t="s">
        <v>2811</v>
      </c>
      <c r="N260" s="467" t="s">
        <v>144</v>
      </c>
      <c r="O260" s="467"/>
      <c r="P260" s="467"/>
      <c r="Q260" s="467">
        <v>30</v>
      </c>
      <c r="R260" s="467">
        <v>-1308.01</v>
      </c>
      <c r="S260" s="474"/>
      <c r="T260" s="467">
        <v>30</v>
      </c>
      <c r="U260" s="467"/>
      <c r="V260" s="467"/>
      <c r="W260" s="467">
        <v>1.4</v>
      </c>
      <c r="X260" s="467"/>
      <c r="Y260" s="467"/>
      <c r="Z260" s="467"/>
      <c r="AA260" s="467"/>
      <c r="AB260" s="467"/>
      <c r="AC260" s="467" t="s">
        <v>4090</v>
      </c>
      <c r="AD260" s="467"/>
      <c r="AE260" s="467"/>
      <c r="AF260" s="467">
        <v>5600</v>
      </c>
      <c r="AG260" s="473">
        <v>91077</v>
      </c>
      <c r="AH260" s="467">
        <v>1913</v>
      </c>
      <c r="AI260" s="467">
        <v>-50</v>
      </c>
      <c r="AJ260" s="467"/>
      <c r="AK260" s="467"/>
      <c r="AL260" s="467"/>
      <c r="AM260" s="467" t="s">
        <v>1042</v>
      </c>
      <c r="AN260" s="466">
        <v>5.5</v>
      </c>
      <c r="AO260" s="464"/>
      <c r="AP260" s="464"/>
      <c r="AQ260" s="466"/>
      <c r="AR260" s="466"/>
      <c r="AS260" s="466"/>
      <c r="AT260" s="466">
        <f>+ab($T$260,$T$258,$U$262,$G$259,$G$261,-1*$F$260,1200)</f>
        <v>4.5208384059340512</v>
      </c>
      <c r="AU260" s="464"/>
      <c r="AV260" s="464"/>
      <c r="AW260" s="464" t="s">
        <v>5029</v>
      </c>
      <c r="AX260" s="464"/>
      <c r="AY260" s="466"/>
      <c r="AZ260" s="466"/>
      <c r="BA260" s="674" t="s">
        <v>2809</v>
      </c>
      <c r="BB260" s="467" t="str">
        <f>Pole_Calculations!A157</f>
        <v>App.7.1-V01-P9.5.1.6</v>
      </c>
      <c r="BC260" s="169" t="s">
        <v>4954</v>
      </c>
      <c r="BD260" s="1330"/>
      <c r="BE260" s="1329"/>
      <c r="BF260" s="1330"/>
      <c r="BG260" s="1329"/>
    </row>
    <row r="261" spans="1:59" ht="15.75" customHeight="1">
      <c r="A261" s="467" t="s">
        <v>2199</v>
      </c>
      <c r="B261" s="467"/>
      <c r="C261" s="473"/>
      <c r="D261" s="467"/>
      <c r="E261" s="467"/>
      <c r="F261" s="469"/>
      <c r="G261" s="474">
        <v>42.4</v>
      </c>
      <c r="H261" s="467"/>
      <c r="I261" s="469"/>
      <c r="J261" s="473"/>
      <c r="K261" s="467"/>
      <c r="L261" s="467"/>
      <c r="M261" s="467"/>
      <c r="N261" s="467"/>
      <c r="O261" s="467"/>
      <c r="P261" s="467"/>
      <c r="Q261" s="467"/>
      <c r="R261" s="467"/>
      <c r="S261" s="474">
        <f t="shared" ref="S261" si="124">AG262-AG260</f>
        <v>-91077</v>
      </c>
      <c r="T261" s="467"/>
      <c r="U261" s="467"/>
      <c r="V261" s="467"/>
      <c r="W261" s="467"/>
      <c r="X261" s="467"/>
      <c r="Y261" s="467"/>
      <c r="Z261" s="467"/>
      <c r="AA261" s="467"/>
      <c r="AB261" s="467"/>
      <c r="AC261" s="467"/>
      <c r="AD261" s="467"/>
      <c r="AE261" s="467"/>
      <c r="AF261" s="467"/>
      <c r="AG261" s="467"/>
      <c r="AH261" s="467"/>
      <c r="AI261" s="467"/>
      <c r="AJ261" s="467"/>
      <c r="AK261" s="467"/>
      <c r="AL261" s="467"/>
      <c r="AM261" s="467"/>
      <c r="AN261" s="466"/>
      <c r="AO261" s="464"/>
      <c r="AP261" s="464"/>
      <c r="AQ261" s="466">
        <f>+FL_2($U$262,$T$260,$G$261,1200,9.28,-1*$F$262)</f>
        <v>-0.30770439300410823</v>
      </c>
      <c r="AR261" s="466"/>
      <c r="AS261" s="466"/>
      <c r="AT261" s="466"/>
      <c r="AU261" s="464"/>
      <c r="AV261" s="464"/>
      <c r="AW261" s="464"/>
      <c r="AX261" s="464"/>
      <c r="AY261" s="466"/>
      <c r="AZ261" s="466"/>
      <c r="BA261" s="674"/>
      <c r="BB261" s="467"/>
      <c r="BC261" s="169"/>
      <c r="BD261" s="1330"/>
      <c r="BE261" s="1330"/>
      <c r="BF261" s="1330"/>
      <c r="BG261" s="1330"/>
    </row>
    <row r="262" spans="1:59" ht="15.75" customHeight="1">
      <c r="A262" s="467"/>
      <c r="B262" s="467" t="s">
        <v>2248</v>
      </c>
      <c r="C262" s="473">
        <f>+$C$260+$G$261</f>
        <v>91119.949999999983</v>
      </c>
      <c r="D262" s="467"/>
      <c r="E262" s="467"/>
      <c r="F262" s="469">
        <v>-1082</v>
      </c>
      <c r="G262" s="474"/>
      <c r="H262" s="467" t="s">
        <v>619</v>
      </c>
      <c r="I262" s="469"/>
      <c r="J262" s="473"/>
      <c r="K262" s="467"/>
      <c r="L262" s="467" t="s">
        <v>895</v>
      </c>
      <c r="M262" s="467" t="s">
        <v>2811</v>
      </c>
      <c r="N262" s="467" t="s">
        <v>140</v>
      </c>
      <c r="O262" s="467" t="s">
        <v>144</v>
      </c>
      <c r="P262" s="467"/>
      <c r="Q262" s="467"/>
      <c r="R262" s="467"/>
      <c r="S262" s="474"/>
      <c r="T262" s="467">
        <v>35</v>
      </c>
      <c r="U262" s="467">
        <v>-10</v>
      </c>
      <c r="V262" s="467"/>
      <c r="W262" s="467">
        <v>1.4</v>
      </c>
      <c r="X262" s="467">
        <v>1.8</v>
      </c>
      <c r="Y262" s="467"/>
      <c r="Z262" s="467">
        <v>0.4</v>
      </c>
      <c r="AA262" s="467"/>
      <c r="AB262" s="467"/>
      <c r="AC262" s="467"/>
      <c r="AD262" s="467"/>
      <c r="AE262" s="467"/>
      <c r="AF262" s="467"/>
      <c r="AG262" s="473"/>
      <c r="AH262" s="467"/>
      <c r="AI262" s="467"/>
      <c r="AJ262" s="467"/>
      <c r="AK262" s="467"/>
      <c r="AL262" s="467"/>
      <c r="AM262" s="467" t="s">
        <v>1042</v>
      </c>
      <c r="AN262" s="466">
        <v>5.5</v>
      </c>
      <c r="AO262" s="464"/>
      <c r="AP262" s="464"/>
      <c r="AQ262" s="466"/>
      <c r="AR262" s="466"/>
      <c r="AS262" s="466"/>
      <c r="AT262" s="466">
        <f>+ab($U$262,$T$260,$U$264,$G$261,$G$263,-1*$F$262,1200)</f>
        <v>5.9067619019988147</v>
      </c>
      <c r="AU262" s="464"/>
      <c r="AV262" s="464"/>
      <c r="AW262" s="464"/>
      <c r="AX262" s="464"/>
      <c r="AY262" s="466"/>
      <c r="AZ262" s="466"/>
      <c r="BA262" s="674" t="s">
        <v>2809</v>
      </c>
      <c r="BB262" s="467" t="str">
        <f>Pole_Calculations!A156</f>
        <v>App.7.1-V01-P9.5.1.5</v>
      </c>
      <c r="BC262" s="169" t="s">
        <v>4954</v>
      </c>
      <c r="BD262" s="1330"/>
      <c r="BE262" s="1329"/>
      <c r="BF262" s="1330"/>
      <c r="BG262" s="1329"/>
    </row>
    <row r="263" spans="1:59" ht="15.75" customHeight="1">
      <c r="A263" s="467"/>
      <c r="B263" s="467"/>
      <c r="C263" s="473"/>
      <c r="D263" s="467"/>
      <c r="E263" s="467"/>
      <c r="F263" s="469"/>
      <c r="G263" s="474">
        <v>45.7</v>
      </c>
      <c r="H263" s="467"/>
      <c r="I263" s="469"/>
      <c r="J263" s="473"/>
      <c r="K263" s="467"/>
      <c r="L263" s="467"/>
      <c r="M263" s="467"/>
      <c r="N263" s="467"/>
      <c r="O263" s="467"/>
      <c r="P263" s="467"/>
      <c r="Q263" s="467"/>
      <c r="R263" s="467"/>
      <c r="S263" s="474">
        <f t="shared" ref="S263" si="125">AG264-AG262</f>
        <v>91165</v>
      </c>
      <c r="T263" s="467"/>
      <c r="U263" s="467"/>
      <c r="V263" s="467"/>
      <c r="W263" s="467"/>
      <c r="X263" s="467"/>
      <c r="Y263" s="467"/>
      <c r="Z263" s="467"/>
      <c r="AA263" s="467"/>
      <c r="AB263" s="467"/>
      <c r="AC263" s="467"/>
      <c r="AD263" s="467"/>
      <c r="AE263" s="467"/>
      <c r="AF263" s="467"/>
      <c r="AG263" s="473"/>
      <c r="AH263" s="467"/>
      <c r="AI263" s="467"/>
      <c r="AJ263" s="467"/>
      <c r="AK263" s="467"/>
      <c r="AL263" s="467"/>
      <c r="AM263" s="467"/>
      <c r="AN263" s="466"/>
      <c r="AO263" s="464"/>
      <c r="AP263" s="464"/>
      <c r="AQ263" s="466">
        <f>+FL_2($T$264,$U$262,$G$263,1200,9.28,-1*$F$264)</f>
        <v>-0.38458024325640128</v>
      </c>
      <c r="AR263" s="466"/>
      <c r="AS263" s="466"/>
      <c r="AT263" s="466"/>
      <c r="AU263" s="464"/>
      <c r="AV263" s="464"/>
      <c r="AW263" s="464"/>
      <c r="AX263" s="464"/>
      <c r="AY263" s="466"/>
      <c r="AZ263" s="466"/>
      <c r="BA263" s="674"/>
      <c r="BB263" s="467"/>
      <c r="BC263" s="169"/>
      <c r="BD263" s="1330"/>
      <c r="BE263" s="1330"/>
      <c r="BF263" s="1330"/>
      <c r="BG263" s="1330"/>
    </row>
    <row r="264" spans="1:59" ht="15.75" customHeight="1">
      <c r="A264" s="1239" t="s">
        <v>2687</v>
      </c>
      <c r="B264" s="1239" t="s">
        <v>2249</v>
      </c>
      <c r="C264" s="171">
        <f>+$C$262+$G$263</f>
        <v>91165.64999999998</v>
      </c>
      <c r="D264" s="1239"/>
      <c r="E264" s="1239"/>
      <c r="F264" s="448">
        <v>-1000</v>
      </c>
      <c r="G264" s="455"/>
      <c r="H264" s="1239" t="s">
        <v>619</v>
      </c>
      <c r="I264" s="448" t="s">
        <v>1429</v>
      </c>
      <c r="J264" s="171"/>
      <c r="K264" s="1239"/>
      <c r="L264" s="1239" t="s">
        <v>1697</v>
      </c>
      <c r="M264" s="1239" t="s">
        <v>1686</v>
      </c>
      <c r="N264" s="1239" t="s">
        <v>144</v>
      </c>
      <c r="O264" s="1239" t="s">
        <v>140</v>
      </c>
      <c r="P264" s="1239"/>
      <c r="Q264" s="1239">
        <v>70</v>
      </c>
      <c r="R264" s="1239">
        <v>-1000</v>
      </c>
      <c r="S264" s="455"/>
      <c r="T264" s="1239">
        <v>30</v>
      </c>
      <c r="U264" s="1239">
        <v>-15</v>
      </c>
      <c r="V264" s="1239"/>
      <c r="W264" s="1239">
        <v>1.4</v>
      </c>
      <c r="X264" s="1239">
        <v>1.8</v>
      </c>
      <c r="Y264" s="1239"/>
      <c r="Z264" s="1239"/>
      <c r="AA264" s="1239">
        <v>0.4</v>
      </c>
      <c r="AB264" s="1239"/>
      <c r="AC264" s="1239" t="s">
        <v>4090</v>
      </c>
      <c r="AD264" s="1239"/>
      <c r="AE264" s="1239"/>
      <c r="AF264" s="1239">
        <v>5100</v>
      </c>
      <c r="AG264" s="171">
        <v>91165</v>
      </c>
      <c r="AH264" s="1239">
        <v>2303</v>
      </c>
      <c r="AI264" s="1239">
        <v>-450</v>
      </c>
      <c r="AJ264" s="1239" t="s">
        <v>877</v>
      </c>
      <c r="AK264" s="1239"/>
      <c r="AL264" s="1239"/>
      <c r="AM264" s="1239" t="s">
        <v>1042</v>
      </c>
      <c r="AN264" s="484">
        <v>5.5</v>
      </c>
      <c r="AO264" s="638"/>
      <c r="AP264" s="638"/>
      <c r="AQ264" s="484"/>
      <c r="AR264" s="484"/>
      <c r="AS264" s="484"/>
      <c r="AT264" s="484">
        <f>+ab($T$264,$T$262,$T$266,$G$263,$G$265,-1*$F$264,1200)</f>
        <v>4.3131658724576374</v>
      </c>
      <c r="AU264" s="638"/>
      <c r="AV264" s="638"/>
      <c r="AW264" s="638"/>
      <c r="AX264" s="638"/>
      <c r="AY264" s="484"/>
      <c r="AZ264" s="484"/>
      <c r="BA264" s="671" t="s">
        <v>2809</v>
      </c>
      <c r="BB264" s="1239" t="str">
        <f>Pole_Calculations!A156</f>
        <v>App.7.1-V01-P9.5.1.5</v>
      </c>
      <c r="BC264" s="169" t="s">
        <v>4954</v>
      </c>
      <c r="BD264" s="1330"/>
      <c r="BE264" s="1329"/>
      <c r="BF264" s="1330"/>
      <c r="BG264" s="1329"/>
    </row>
    <row r="265" spans="1:59" ht="15.75" customHeight="1">
      <c r="A265" s="1239"/>
      <c r="B265" s="1239"/>
      <c r="C265" s="171"/>
      <c r="D265" s="1239"/>
      <c r="E265" s="1239"/>
      <c r="F265" s="448"/>
      <c r="G265" s="455">
        <v>45.3</v>
      </c>
      <c r="H265" s="1239"/>
      <c r="I265" s="448"/>
      <c r="J265" s="171"/>
      <c r="K265" s="1239"/>
      <c r="L265" s="1239"/>
      <c r="M265" s="1239"/>
      <c r="N265" s="1239"/>
      <c r="O265" s="1239"/>
      <c r="P265" s="1239"/>
      <c r="Q265" s="1239"/>
      <c r="R265" s="1239"/>
      <c r="S265" s="455">
        <f t="shared" ref="S265" si="126">AG266-AG264</f>
        <v>45</v>
      </c>
      <c r="T265" s="1239"/>
      <c r="U265" s="1239"/>
      <c r="V265" s="1239"/>
      <c r="W265" s="1239"/>
      <c r="X265" s="1239"/>
      <c r="Y265" s="1239"/>
      <c r="Z265" s="1239"/>
      <c r="AA265" s="1239"/>
      <c r="AB265" s="1239"/>
      <c r="AC265" s="1239"/>
      <c r="AD265" s="1239"/>
      <c r="AE265" s="1239"/>
      <c r="AF265" s="1239"/>
      <c r="AG265" s="1350"/>
      <c r="AH265" s="1285"/>
      <c r="AI265" s="1285"/>
      <c r="AJ265" s="1239"/>
      <c r="AK265" s="1239"/>
      <c r="AL265" s="1239"/>
      <c r="AM265" s="1239"/>
      <c r="AN265" s="484"/>
      <c r="AO265" s="638"/>
      <c r="AP265" s="638"/>
      <c r="AQ265" s="484">
        <f>+FL_1($T$266,$T$264,$G$265,1200,9.28,-1*$F$266)</f>
        <v>0.30005135130762722</v>
      </c>
      <c r="AR265" s="484"/>
      <c r="AS265" s="484"/>
      <c r="AT265" s="484"/>
      <c r="AU265" s="638"/>
      <c r="AV265" s="638"/>
      <c r="AW265" s="638"/>
      <c r="AX265" s="638"/>
      <c r="AY265" s="484"/>
      <c r="AZ265" s="484"/>
      <c r="BA265" s="671"/>
      <c r="BB265" s="1239"/>
      <c r="BC265" s="169"/>
      <c r="BD265" s="1330"/>
      <c r="BE265" s="1330"/>
      <c r="BF265" s="1330"/>
      <c r="BG265" s="1330"/>
    </row>
    <row r="266" spans="1:59" ht="15.75" customHeight="1">
      <c r="A266" s="1239"/>
      <c r="B266" s="435" t="s">
        <v>2250</v>
      </c>
      <c r="C266" s="446">
        <f>+$C$264+$G$265</f>
        <v>91210.949999999983</v>
      </c>
      <c r="D266" s="173"/>
      <c r="E266" s="447"/>
      <c r="F266" s="447">
        <v>-1000</v>
      </c>
      <c r="G266" s="484"/>
      <c r="H266" s="1239" t="s">
        <v>138</v>
      </c>
      <c r="I266" s="1239" t="s">
        <v>623</v>
      </c>
      <c r="J266" s="171"/>
      <c r="K266" s="638"/>
      <c r="L266" s="638" t="s">
        <v>4395</v>
      </c>
      <c r="M266" s="638" t="s">
        <v>2871</v>
      </c>
      <c r="N266" s="1239" t="s">
        <v>144</v>
      </c>
      <c r="O266" s="1239"/>
      <c r="P266" s="1239"/>
      <c r="Q266" s="638">
        <v>110</v>
      </c>
      <c r="R266" s="638">
        <v>-1000</v>
      </c>
      <c r="S266" s="484"/>
      <c r="T266" s="638">
        <v>30</v>
      </c>
      <c r="U266" s="638"/>
      <c r="V266" s="638"/>
      <c r="W266" s="638">
        <v>1.2</v>
      </c>
      <c r="X266" s="638"/>
      <c r="Y266" s="638"/>
      <c r="Z266" s="638"/>
      <c r="AA266" s="638"/>
      <c r="AB266" s="638"/>
      <c r="AC266" s="638" t="s">
        <v>3050</v>
      </c>
      <c r="AD266" s="638"/>
      <c r="AE266" s="638"/>
      <c r="AF266" s="638">
        <v>6000</v>
      </c>
      <c r="AG266" s="446">
        <v>91210</v>
      </c>
      <c r="AH266" s="638">
        <v>1773</v>
      </c>
      <c r="AI266" s="638">
        <v>590</v>
      </c>
      <c r="AJ266" s="638"/>
      <c r="AK266" s="638"/>
      <c r="AL266" s="638" t="s">
        <v>2142</v>
      </c>
      <c r="AM266" s="638" t="s">
        <v>1042</v>
      </c>
      <c r="AN266" s="455">
        <v>5.5</v>
      </c>
      <c r="AO266" s="1239"/>
      <c r="AP266" s="1239"/>
      <c r="AQ266" s="484"/>
      <c r="AR266" s="484"/>
      <c r="AS266" s="484"/>
      <c r="AT266" s="484">
        <f>+ab($T$266,$T$264,$T$268,$G$265,$G$267,-1*$F$266,1200)</f>
        <v>3.9912951206966776</v>
      </c>
      <c r="AU266" s="638"/>
      <c r="AV266" s="638"/>
      <c r="AW266" s="638" t="str">
        <f>VLOOKUP(C266,'Foundation Calculation'!$A$2:$C$33,3,1)</f>
        <v>Soil A</v>
      </c>
      <c r="AX266" s="638" t="str">
        <f>VLOOKUP(C266,'Foundation Calculation'!$E$2:$G$33,3,1)</f>
        <v>PT</v>
      </c>
      <c r="AY266" s="484">
        <f>IF(AX266="PT",VLOOKUP(L266,'Foundation Calculation'!$K$2:$R$40,VLOOKUP(AW266,'Foundation Calculation'!$I$2:$J$8,2,FALSE),0),IF(AX266="K",VLOOKUP(L266,'Foundation Calculation'!$K$42:$R$80,VLOOKUP(AW266,'Foundation Calculation'!$I$2:$J$8,2,FALSE),0),""))</f>
        <v>3.9</v>
      </c>
      <c r="AZ266" s="484"/>
      <c r="BA266" s="671" t="s">
        <v>2809</v>
      </c>
      <c r="BB266" s="1239" t="str">
        <f>Pole_Calculations!A178</f>
        <v>App.8-V08F-P10.3</v>
      </c>
      <c r="BC266" s="169"/>
      <c r="BD266" s="1330"/>
      <c r="BE266" s="1329"/>
      <c r="BF266" s="1329"/>
      <c r="BG266" s="1329"/>
    </row>
    <row r="267" spans="1:59" ht="15.75" customHeight="1">
      <c r="A267" s="424" t="s">
        <v>1663</v>
      </c>
      <c r="B267" s="428"/>
      <c r="C267" s="430"/>
      <c r="D267" s="428"/>
      <c r="E267" s="428"/>
      <c r="F267" s="429"/>
      <c r="G267" s="456">
        <v>50.7</v>
      </c>
      <c r="H267" s="428"/>
      <c r="I267" s="429"/>
      <c r="J267" s="430">
        <f>C266+7.5</f>
        <v>91218.449999999983</v>
      </c>
      <c r="K267" s="428" t="s">
        <v>2787</v>
      </c>
      <c r="L267" s="428"/>
      <c r="M267" s="428"/>
      <c r="N267" s="428"/>
      <c r="O267" s="428"/>
      <c r="P267" s="428"/>
      <c r="Q267" s="428"/>
      <c r="R267" s="428"/>
      <c r="S267" s="456">
        <f t="shared" ref="S267" si="127">AG268-AG266</f>
        <v>51.669999999998254</v>
      </c>
      <c r="T267" s="428"/>
      <c r="U267" s="428"/>
      <c r="V267" s="428"/>
      <c r="W267" s="428"/>
      <c r="X267" s="428"/>
      <c r="Y267" s="428"/>
      <c r="Z267" s="428"/>
      <c r="AA267" s="428"/>
      <c r="AB267" s="428"/>
      <c r="AC267" s="428"/>
      <c r="AD267" s="428"/>
      <c r="AE267" s="428"/>
      <c r="AF267" s="428"/>
      <c r="AG267" s="430"/>
      <c r="AH267" s="428"/>
      <c r="AI267" s="428"/>
      <c r="AJ267" s="428"/>
      <c r="AK267" s="428"/>
      <c r="AL267" s="428"/>
      <c r="AM267" s="428"/>
      <c r="AN267" s="486"/>
      <c r="AO267" s="487"/>
      <c r="AP267" s="487"/>
      <c r="AQ267" s="486">
        <f>+FL_1($T$268,$T$266,$G$267,1200,9.28,-1*$F$268)</f>
        <v>0.30005747130121474</v>
      </c>
      <c r="AR267" s="486"/>
      <c r="AS267" s="486"/>
      <c r="AT267" s="486"/>
      <c r="AU267" s="487"/>
      <c r="AV267" s="487"/>
      <c r="AW267" s="487" t="str">
        <f>VLOOKUP(J267,'Foundation Calculation'!$A$2:$C$33,3,1)</f>
        <v>Soil A</v>
      </c>
      <c r="AX267" s="487" t="str">
        <f>VLOOKUP(J267,'Foundation Calculation'!$E$2:$G$33,3,1)</f>
        <v>PT</v>
      </c>
      <c r="AY267" s="486"/>
      <c r="AZ267" s="486">
        <f>IF(AX267="PT",VLOOKUP(K267,'Foundation Calculation'!$K$2:$R$40,VLOOKUP(AW267,'Foundation Calculation'!$I$2:$J$8,2,FALSE),0),IF(AX267="K",VLOOKUP(K267,'Foundation Calculation'!$K$42:$R$80,VLOOKUP(AW267,'Foundation Calculation'!$I$2:$J$8,2,FALSE),0),""))</f>
        <v>3.3</v>
      </c>
      <c r="BA267" s="672" t="s">
        <v>2809</v>
      </c>
      <c r="BB267" s="424"/>
      <c r="BC267" s="169"/>
      <c r="BD267" s="1329"/>
      <c r="BE267" s="1330"/>
      <c r="BF267" s="1330"/>
      <c r="BG267" s="1330"/>
    </row>
    <row r="268" spans="1:59" ht="15.75" customHeight="1">
      <c r="A268" s="1239"/>
      <c r="B268" s="1239" t="s">
        <v>2251</v>
      </c>
      <c r="C268" s="171">
        <f>+$C$266+$G$267</f>
        <v>91261.64999999998</v>
      </c>
      <c r="D268" s="1239"/>
      <c r="E268" s="1239"/>
      <c r="F268" s="448">
        <v>-1000</v>
      </c>
      <c r="G268" s="455"/>
      <c r="H268" s="1239" t="s">
        <v>619</v>
      </c>
      <c r="I268" s="448"/>
      <c r="J268" s="171"/>
      <c r="K268" s="1239"/>
      <c r="L268" s="1239" t="s">
        <v>4664</v>
      </c>
      <c r="M268" s="1239" t="str">
        <f>IF(AX268="PT",VLOOKUP(L268,'Foundation Calculation'!$V$2:$X$40,VLOOKUP(AX268,'Foundation Calculation'!$I$10:$J$13,2,FALSE),0),IF(AX268="K",VLOOKUP(L268,'Foundation Calculation'!$V$42:$X$80,VLOOKUP(AX268,'Foundation Calculation'!$I$10:$J$13,2,FALSE),0),""))</f>
        <v>C11R</v>
      </c>
      <c r="N268" s="1239" t="s">
        <v>144</v>
      </c>
      <c r="O268" s="1239" t="s">
        <v>140</v>
      </c>
      <c r="P268" s="1239"/>
      <c r="Q268" s="1239">
        <v>110</v>
      </c>
      <c r="R268" s="1239">
        <v>-1000</v>
      </c>
      <c r="S268" s="455"/>
      <c r="T268" s="1239">
        <v>30</v>
      </c>
      <c r="U268" s="1239">
        <v>55</v>
      </c>
      <c r="V268" s="1239"/>
      <c r="W268" s="1239">
        <v>1.8</v>
      </c>
      <c r="X268" s="1239">
        <v>1.2</v>
      </c>
      <c r="Y268" s="1239"/>
      <c r="Z268" s="1239"/>
      <c r="AA268" s="1239">
        <v>0.45</v>
      </c>
      <c r="AB268" s="1239"/>
      <c r="AC268" s="1239" t="s">
        <v>3050</v>
      </c>
      <c r="AD268" s="1239"/>
      <c r="AE268" s="1239"/>
      <c r="AF268" s="1239">
        <v>6000</v>
      </c>
      <c r="AG268" s="171">
        <v>91261.67</v>
      </c>
      <c r="AH268" s="1239">
        <v>2403</v>
      </c>
      <c r="AI268" s="1239">
        <v>490</v>
      </c>
      <c r="AJ268" s="1239"/>
      <c r="AK268" s="1239"/>
      <c r="AL268" s="638" t="s">
        <v>2143</v>
      </c>
      <c r="AM268" s="1239" t="s">
        <v>1042</v>
      </c>
      <c r="AN268" s="484">
        <v>5.5</v>
      </c>
      <c r="AO268" s="638"/>
      <c r="AP268" s="638"/>
      <c r="AQ268" s="484"/>
      <c r="AR268" s="484"/>
      <c r="AS268" s="484"/>
      <c r="AT268" s="484">
        <f>+ab($T$268,$T$266,$T$270,$G$267,$G$269,-1*$F$268,1200)</f>
        <v>3.9061219256761035</v>
      </c>
      <c r="AU268" s="638"/>
      <c r="AV268" s="638"/>
      <c r="AW268" s="638" t="str">
        <f>VLOOKUP(C268,'Foundation Calculation'!$A$2:$C$33,3,1)</f>
        <v>Soil A</v>
      </c>
      <c r="AX268" s="572" t="str">
        <f>VLOOKUP(C268,'Foundation Calculation'!$E$2:$G$33,3,1)</f>
        <v>PT</v>
      </c>
      <c r="AY268" s="484">
        <f>IF(AX268="PT",VLOOKUP(L268,'Foundation Calculation'!$K$2:$R$40,VLOOKUP(AW268,'Foundation Calculation'!$I$2:$J$8,2,FALSE),0),IF(AX268="K",VLOOKUP(L268,'Foundation Calculation'!$K$42:$R$80,VLOOKUP(AW268,'Foundation Calculation'!$I$2:$J$8,2,FALSE),0),""))</f>
        <v>4.4000000000000004</v>
      </c>
      <c r="AZ268" s="484"/>
      <c r="BA268" s="671" t="s">
        <v>2809</v>
      </c>
      <c r="BB268" s="1239" t="str">
        <f>Pole_Calculations!A178</f>
        <v>App.8-V08F-P10.3</v>
      </c>
      <c r="BC268" s="169"/>
      <c r="BD268" s="1371"/>
      <c r="BE268" s="1371"/>
      <c r="BF268" s="1371"/>
      <c r="BG268" s="1371"/>
    </row>
    <row r="269" spans="1:59" ht="15.75" customHeight="1">
      <c r="A269" s="1239"/>
      <c r="B269" s="1239"/>
      <c r="C269" s="171"/>
      <c r="D269" s="1239"/>
      <c r="E269" s="1239"/>
      <c r="F269" s="448"/>
      <c r="G269" s="455">
        <v>47.4</v>
      </c>
      <c r="H269" s="1239"/>
      <c r="I269" s="448"/>
      <c r="J269" s="171"/>
      <c r="K269" s="1239"/>
      <c r="L269" s="638"/>
      <c r="M269" s="638"/>
      <c r="N269" s="1239"/>
      <c r="O269" s="1239"/>
      <c r="P269" s="1239"/>
      <c r="Q269" s="1239"/>
      <c r="R269" s="1239"/>
      <c r="S269" s="455">
        <f t="shared" ref="S269" si="128">AG270-AG268</f>
        <v>47.130000000004657</v>
      </c>
      <c r="T269" s="1239"/>
      <c r="U269" s="1239"/>
      <c r="V269" s="1239"/>
      <c r="W269" s="1239"/>
      <c r="X269" s="1239"/>
      <c r="Y269" s="1239"/>
      <c r="Z269" s="1239"/>
      <c r="AA269" s="1239"/>
      <c r="AB269" s="1239"/>
      <c r="AC269" s="1239"/>
      <c r="AD269" s="1239"/>
      <c r="AE269" s="1239"/>
      <c r="AF269" s="1239"/>
      <c r="AG269" s="171"/>
      <c r="AH269" s="1239"/>
      <c r="AI269" s="1239"/>
      <c r="AJ269" s="1239"/>
      <c r="AK269" s="1239"/>
      <c r="AL269" s="638"/>
      <c r="AM269" s="1239"/>
      <c r="AN269" s="484"/>
      <c r="AO269" s="638"/>
      <c r="AP269" s="638"/>
      <c r="AQ269" s="484">
        <f>+FL_1($T$270,$T$268,$G$269,1200,9.28,-1*$F$270)</f>
        <v>0.30005373130527818</v>
      </c>
      <c r="AR269" s="484"/>
      <c r="AS269" s="484"/>
      <c r="AT269" s="484"/>
      <c r="AU269" s="638"/>
      <c r="AV269" s="638"/>
      <c r="AW269" s="638"/>
      <c r="AX269" s="638"/>
      <c r="AY269" s="484"/>
      <c r="AZ269" s="484"/>
      <c r="BA269" s="671"/>
      <c r="BB269" s="1239"/>
      <c r="BC269" s="169"/>
      <c r="BD269" s="1330"/>
      <c r="BE269" s="1330"/>
      <c r="BF269" s="1330"/>
      <c r="BG269" s="1330"/>
    </row>
    <row r="270" spans="1:59" ht="15.75" customHeight="1">
      <c r="A270" s="449"/>
      <c r="B270" s="435" t="s">
        <v>2252</v>
      </c>
      <c r="C270" s="446">
        <f>+$C$268+$G$269</f>
        <v>91309.049999999974</v>
      </c>
      <c r="D270" s="173"/>
      <c r="E270" s="447"/>
      <c r="F270" s="447">
        <v>-1000</v>
      </c>
      <c r="G270" s="484"/>
      <c r="H270" s="1239" t="s">
        <v>138</v>
      </c>
      <c r="I270" s="1239" t="s">
        <v>623</v>
      </c>
      <c r="J270" s="171"/>
      <c r="K270" s="638"/>
      <c r="L270" s="638" t="s">
        <v>4664</v>
      </c>
      <c r="M270" s="638" t="str">
        <f>IF(AX270="PT",VLOOKUP(L270,'Foundation Calculation'!$V$2:$X$40,VLOOKUP(AX270,'Foundation Calculation'!$I$10:$J$13,2,FALSE),0),IF(AX270="K",VLOOKUP(L270,'Foundation Calculation'!$V$42:$X$80,VLOOKUP(AX270,'Foundation Calculation'!$I$10:$J$13,2,FALSE),0),""))</f>
        <v>C11R</v>
      </c>
      <c r="N270" s="1239" t="s">
        <v>144</v>
      </c>
      <c r="O270" s="1239"/>
      <c r="P270" s="1239"/>
      <c r="Q270" s="638">
        <v>110</v>
      </c>
      <c r="R270" s="638">
        <v>-1000</v>
      </c>
      <c r="S270" s="484"/>
      <c r="T270" s="638">
        <v>30</v>
      </c>
      <c r="U270" s="638"/>
      <c r="V270" s="638"/>
      <c r="W270" s="638">
        <v>1.4</v>
      </c>
      <c r="X270" s="638"/>
      <c r="Y270" s="638"/>
      <c r="Z270" s="638"/>
      <c r="AA270" s="638"/>
      <c r="AB270" s="638"/>
      <c r="AC270" s="638" t="s">
        <v>3050</v>
      </c>
      <c r="AD270" s="638"/>
      <c r="AE270" s="638"/>
      <c r="AF270" s="638">
        <v>6000</v>
      </c>
      <c r="AG270" s="446">
        <v>91308.800000000003</v>
      </c>
      <c r="AH270" s="638">
        <v>2893</v>
      </c>
      <c r="AI270" s="638">
        <v>690</v>
      </c>
      <c r="AJ270" s="638"/>
      <c r="AK270" s="638"/>
      <c r="AL270" s="638" t="s">
        <v>2143</v>
      </c>
      <c r="AM270" s="638" t="s">
        <v>1042</v>
      </c>
      <c r="AN270" s="455">
        <v>5.5</v>
      </c>
      <c r="AO270" s="1239"/>
      <c r="AP270" s="1239"/>
      <c r="AQ270" s="484"/>
      <c r="AR270" s="484"/>
      <c r="AS270" s="484"/>
      <c r="AT270" s="484">
        <f>+ab($T$270,$T$268,$T$272,$G$269,$G$271,-1*$F$270,1200)</f>
        <v>4.0289438172549605</v>
      </c>
      <c r="AU270" s="638"/>
      <c r="AV270" s="638"/>
      <c r="AW270" s="638" t="str">
        <f>VLOOKUP(C270,'Foundation Calculation'!$A$2:$C$33,3,1)</f>
        <v>Soil A</v>
      </c>
      <c r="AX270" s="638" t="str">
        <f>VLOOKUP(C270,'Foundation Calculation'!$E$2:$G$33,3,1)</f>
        <v>PT</v>
      </c>
      <c r="AY270" s="484">
        <f>IF(AX270="PT",VLOOKUP(L270,'Foundation Calculation'!$K$2:$R$40,VLOOKUP(AW270,'Foundation Calculation'!$I$2:$J$8,2,FALSE),0),IF(AX270="K",VLOOKUP(L270,'Foundation Calculation'!$K$42:$R$80,VLOOKUP(AW270,'Foundation Calculation'!$I$2:$J$8,2,FALSE),0),""))</f>
        <v>4.4000000000000004</v>
      </c>
      <c r="AZ270" s="484"/>
      <c r="BA270" s="671" t="s">
        <v>2809</v>
      </c>
      <c r="BB270" s="449" t="str">
        <f>Pole_Calculations!A178</f>
        <v>App.8-V08F-P10.3</v>
      </c>
      <c r="BC270" s="169"/>
      <c r="BD270" s="1371">
        <v>43804</v>
      </c>
      <c r="BE270" s="1371"/>
      <c r="BF270" s="1371"/>
      <c r="BG270" s="1371"/>
    </row>
    <row r="271" spans="1:59" ht="15.75" customHeight="1">
      <c r="A271" s="467"/>
      <c r="B271" s="467"/>
      <c r="C271" s="473"/>
      <c r="D271" s="467"/>
      <c r="E271" s="467"/>
      <c r="F271" s="469"/>
      <c r="G271" s="474">
        <v>47.7</v>
      </c>
      <c r="H271" s="467"/>
      <c r="I271" s="469"/>
      <c r="J271" s="473">
        <f>C270+9.5</f>
        <v>91318.549999999974</v>
      </c>
      <c r="K271" s="467" t="s">
        <v>2787</v>
      </c>
      <c r="L271" s="464"/>
      <c r="M271" s="467"/>
      <c r="N271" s="467"/>
      <c r="O271" s="467"/>
      <c r="P271" s="467"/>
      <c r="Q271" s="467"/>
      <c r="R271" s="467"/>
      <c r="S271" s="474">
        <f t="shared" ref="S271" si="129">AG272-AG270</f>
        <v>47.19999999999709</v>
      </c>
      <c r="T271" s="467"/>
      <c r="U271" s="467"/>
      <c r="V271" s="467"/>
      <c r="W271" s="467"/>
      <c r="X271" s="467"/>
      <c r="Y271" s="467"/>
      <c r="Z271" s="467"/>
      <c r="AA271" s="467"/>
      <c r="AB271" s="467"/>
      <c r="AC271" s="467"/>
      <c r="AD271" s="467"/>
      <c r="AE271" s="467"/>
      <c r="AF271" s="467"/>
      <c r="AG271" s="473"/>
      <c r="AH271" s="467"/>
      <c r="AI271" s="467"/>
      <c r="AJ271" s="467"/>
      <c r="AK271" s="467"/>
      <c r="AL271" s="464"/>
      <c r="AM271" s="467"/>
      <c r="AN271" s="466"/>
      <c r="AO271" s="464"/>
      <c r="AP271" s="464"/>
      <c r="AQ271" s="466">
        <f>+FL_1($T$272,$T$270,$G$271,1200,9.28,-1*$F$272)</f>
        <v>0.300067955162028</v>
      </c>
      <c r="AR271" s="466"/>
      <c r="AS271" s="466"/>
      <c r="AT271" s="466"/>
      <c r="AU271" s="464"/>
      <c r="AV271" s="464"/>
      <c r="AW271" s="464" t="str">
        <f>VLOOKUP(J271,'Foundation Calculation'!$A$2:$C$33,3,1)</f>
        <v>Soil A</v>
      </c>
      <c r="AX271" s="685" t="str">
        <f>VLOOKUP(J271,'Foundation Calculation'!$E$2:$G$33,3,1)</f>
        <v>PT</v>
      </c>
      <c r="AY271" s="466"/>
      <c r="AZ271" s="466">
        <f>IF(AX271="PT",VLOOKUP(K271,'Foundation Calculation'!$K$2:$R$40,VLOOKUP(AW271,'Foundation Calculation'!$I$2:$J$8,2,FALSE),0),IF(AX271="K",VLOOKUP(K271,'Foundation Calculation'!$K$42:$R$80,VLOOKUP(AW271,'Foundation Calculation'!$I$2:$J$8,2,FALSE),0),""))</f>
        <v>3.3</v>
      </c>
      <c r="BA271" s="674" t="s">
        <v>2809</v>
      </c>
      <c r="BB271" s="467"/>
      <c r="BC271" s="169"/>
      <c r="BD271" s="1329"/>
      <c r="BE271" s="1330"/>
      <c r="BF271" s="1330"/>
      <c r="BG271" s="1330"/>
    </row>
    <row r="272" spans="1:59" ht="15.75" customHeight="1">
      <c r="A272" s="467"/>
      <c r="B272" s="438" t="s">
        <v>2253</v>
      </c>
      <c r="C272" s="473">
        <f>+$C$270+$G$271</f>
        <v>91356.749999999971</v>
      </c>
      <c r="D272" s="467"/>
      <c r="E272" s="467"/>
      <c r="F272" s="469">
        <v>-945</v>
      </c>
      <c r="G272" s="474"/>
      <c r="H272" s="467"/>
      <c r="I272" s="469"/>
      <c r="J272" s="473"/>
      <c r="K272" s="467"/>
      <c r="L272" s="464" t="s">
        <v>4393</v>
      </c>
      <c r="M272" s="467" t="s">
        <v>2811</v>
      </c>
      <c r="N272" s="467" t="s">
        <v>144</v>
      </c>
      <c r="O272" s="467"/>
      <c r="P272" s="467"/>
      <c r="Q272" s="467"/>
      <c r="R272" s="467"/>
      <c r="S272" s="474"/>
      <c r="T272" s="467">
        <v>30</v>
      </c>
      <c r="U272" s="467"/>
      <c r="V272" s="467"/>
      <c r="W272" s="467">
        <v>1.4</v>
      </c>
      <c r="X272" s="467"/>
      <c r="Y272" s="467"/>
      <c r="Z272" s="467"/>
      <c r="AA272" s="467"/>
      <c r="AB272" s="467"/>
      <c r="AC272" s="467" t="str">
        <f t="shared" ref="AC272:AC292" si="130">IF(OR(AT272&gt;8,AT272&lt;-8),"PH",IF(OR(AT272&gt;5,AT272&lt;-5),"PH-Q",IF(OR(AT272&gt;1,AT272&lt;-1),"PH-C")))</f>
        <v>PH-C</v>
      </c>
      <c r="AD272" s="467"/>
      <c r="AE272" s="467"/>
      <c r="AF272" s="467"/>
      <c r="AG272" s="473">
        <v>91356</v>
      </c>
      <c r="AH272" s="467">
        <v>2283</v>
      </c>
      <c r="AI272" s="467">
        <v>10</v>
      </c>
      <c r="AJ272" s="467"/>
      <c r="AK272" s="467"/>
      <c r="AL272" s="464" t="s">
        <v>2135</v>
      </c>
      <c r="AM272" s="467" t="s">
        <v>1042</v>
      </c>
      <c r="AN272" s="466">
        <v>5.5</v>
      </c>
      <c r="AO272" s="464"/>
      <c r="AP272" s="464"/>
      <c r="AQ272" s="466"/>
      <c r="AR272" s="466"/>
      <c r="AS272" s="466"/>
      <c r="AT272" s="466">
        <f>+ab($T$272,$T$270,$T$274,$G$271,$G$273,-1*$F$272,1200)</f>
        <v>3.566013251302238</v>
      </c>
      <c r="AU272" s="464"/>
      <c r="AV272" s="464"/>
      <c r="AW272" s="464" t="s">
        <v>5032</v>
      </c>
      <c r="AX272" s="464"/>
      <c r="AY272" s="466"/>
      <c r="AZ272" s="466"/>
      <c r="BA272" s="674" t="s">
        <v>2809</v>
      </c>
      <c r="BB272" s="467" t="str">
        <f>Pole_Calculations!A178</f>
        <v>App.8-V08F-P10.3</v>
      </c>
      <c r="BC272" s="169" t="s">
        <v>4954</v>
      </c>
      <c r="BD272" s="1330"/>
      <c r="BE272" s="1329"/>
      <c r="BF272" s="1329"/>
      <c r="BG272" s="1329"/>
    </row>
    <row r="273" spans="1:59" ht="15.75" customHeight="1">
      <c r="A273" s="467"/>
      <c r="B273" s="467"/>
      <c r="C273" s="473"/>
      <c r="D273" s="467"/>
      <c r="E273" s="467"/>
      <c r="F273" s="469"/>
      <c r="G273" s="474">
        <v>50.1</v>
      </c>
      <c r="H273" s="467"/>
      <c r="I273" s="469"/>
      <c r="J273" s="473"/>
      <c r="K273" s="467"/>
      <c r="L273" s="464"/>
      <c r="M273" s="464"/>
      <c r="N273" s="467"/>
      <c r="O273" s="467"/>
      <c r="P273" s="467"/>
      <c r="Q273" s="467"/>
      <c r="R273" s="467"/>
      <c r="S273" s="474">
        <f t="shared" ref="S273" si="131">AG274-AG272</f>
        <v>50</v>
      </c>
      <c r="T273" s="467"/>
      <c r="U273" s="467"/>
      <c r="V273" s="467"/>
      <c r="W273" s="467"/>
      <c r="X273" s="467"/>
      <c r="Y273" s="467"/>
      <c r="Z273" s="467"/>
      <c r="AA273" s="467"/>
      <c r="AB273" s="467"/>
      <c r="AC273" s="467"/>
      <c r="AD273" s="467"/>
      <c r="AE273" s="467"/>
      <c r="AF273" s="467"/>
      <c r="AG273" s="473"/>
      <c r="AH273" s="467"/>
      <c r="AI273" s="467"/>
      <c r="AJ273" s="467"/>
      <c r="AK273" s="467"/>
      <c r="AL273" s="464"/>
      <c r="AM273" s="467"/>
      <c r="AN273" s="466"/>
      <c r="AO273" s="464"/>
      <c r="AP273" s="464"/>
      <c r="AQ273" s="466">
        <f>+FL_1($T$274,$T$272,$G$273,1200,9.28,-1*$F$274)</f>
        <v>0.42123294133994016</v>
      </c>
      <c r="AR273" s="466"/>
      <c r="AS273" s="466"/>
      <c r="AT273" s="466"/>
      <c r="AU273" s="464"/>
      <c r="AV273" s="464"/>
      <c r="AW273" s="464"/>
      <c r="AX273" s="464"/>
      <c r="AY273" s="466"/>
      <c r="AZ273" s="466"/>
      <c r="BA273" s="674"/>
      <c r="BB273" s="467"/>
      <c r="BC273" s="169"/>
      <c r="BD273" s="1330"/>
      <c r="BE273" s="1330"/>
      <c r="BF273" s="1330"/>
      <c r="BG273" s="1330"/>
    </row>
    <row r="274" spans="1:59" ht="15.75" customHeight="1">
      <c r="A274" s="467" t="s">
        <v>2199</v>
      </c>
      <c r="B274" s="438" t="s">
        <v>2254</v>
      </c>
      <c r="C274" s="473">
        <f>+$C$272+$G$273</f>
        <v>91406.849999999977</v>
      </c>
      <c r="D274" s="467"/>
      <c r="E274" s="467"/>
      <c r="F274" s="469">
        <v>-4176</v>
      </c>
      <c r="G274" s="474"/>
      <c r="H274" s="467"/>
      <c r="I274" s="469"/>
      <c r="J274" s="473"/>
      <c r="K274" s="467"/>
      <c r="L274" s="464" t="s">
        <v>4393</v>
      </c>
      <c r="M274" s="467" t="s">
        <v>2811</v>
      </c>
      <c r="N274" s="467" t="s">
        <v>144</v>
      </c>
      <c r="O274" s="467"/>
      <c r="P274" s="467"/>
      <c r="Q274" s="467">
        <v>50</v>
      </c>
      <c r="R274" s="467">
        <v>-4176.3</v>
      </c>
      <c r="S274" s="474"/>
      <c r="T274" s="467">
        <v>20</v>
      </c>
      <c r="U274" s="467"/>
      <c r="V274" s="467"/>
      <c r="W274" s="467">
        <v>1.4</v>
      </c>
      <c r="X274" s="467"/>
      <c r="Y274" s="467"/>
      <c r="Z274" s="467"/>
      <c r="AA274" s="467"/>
      <c r="AB274" s="467"/>
      <c r="AC274" s="467" t="s">
        <v>1421</v>
      </c>
      <c r="AD274" s="467"/>
      <c r="AE274" s="467"/>
      <c r="AF274" s="467">
        <v>5900</v>
      </c>
      <c r="AG274" s="473">
        <v>91406</v>
      </c>
      <c r="AH274" s="467">
        <v>2093</v>
      </c>
      <c r="AI274" s="467">
        <v>80</v>
      </c>
      <c r="AJ274" s="467"/>
      <c r="AK274" s="467"/>
      <c r="AL274" s="464" t="s">
        <v>2135</v>
      </c>
      <c r="AM274" s="467" t="s">
        <v>1042</v>
      </c>
      <c r="AN274" s="466">
        <v>5.5</v>
      </c>
      <c r="AO274" s="464"/>
      <c r="AP274" s="464"/>
      <c r="AQ274" s="466"/>
      <c r="AR274" s="466"/>
      <c r="AS274" s="466"/>
      <c r="AT274" s="466">
        <f>+ab($T$274,$T$272,$T$276,$G$273,$G$275,-1*$F$274,1200)</f>
        <v>9.4112564356726285</v>
      </c>
      <c r="AU274" s="464"/>
      <c r="AV274" s="464"/>
      <c r="AW274" s="464" t="s">
        <v>5032</v>
      </c>
      <c r="AX274" s="464"/>
      <c r="AY274" s="466"/>
      <c r="AZ274" s="466"/>
      <c r="BA274" s="674" t="s">
        <v>2809</v>
      </c>
      <c r="BB274" s="467" t="str">
        <f>Pole_Calculations!A178</f>
        <v>App.8-V08F-P10.3</v>
      </c>
      <c r="BC274" s="169" t="s">
        <v>4954</v>
      </c>
      <c r="BD274" s="1330"/>
      <c r="BE274" s="1329"/>
      <c r="BF274" s="1329"/>
      <c r="BG274" s="1329"/>
    </row>
    <row r="275" spans="1:59" ht="15.75" customHeight="1">
      <c r="A275" s="467"/>
      <c r="B275" s="467"/>
      <c r="C275" s="473"/>
      <c r="D275" s="467"/>
      <c r="E275" s="467"/>
      <c r="F275" s="469"/>
      <c r="G275" s="474">
        <v>47.6</v>
      </c>
      <c r="H275" s="467"/>
      <c r="I275" s="469"/>
      <c r="J275" s="473"/>
      <c r="K275" s="467"/>
      <c r="L275" s="464"/>
      <c r="M275" s="464"/>
      <c r="N275" s="467"/>
      <c r="O275" s="467"/>
      <c r="P275" s="467"/>
      <c r="Q275" s="467"/>
      <c r="R275" s="467"/>
      <c r="S275" s="474">
        <f t="shared" ref="S275" si="132">AG276-AG274</f>
        <v>48</v>
      </c>
      <c r="T275" s="467"/>
      <c r="U275" s="467"/>
      <c r="V275" s="467"/>
      <c r="W275" s="467"/>
      <c r="X275" s="467"/>
      <c r="Y275" s="467"/>
      <c r="Z275" s="467"/>
      <c r="AA275" s="467"/>
      <c r="AB275" s="467"/>
      <c r="AC275" s="467"/>
      <c r="AD275" s="467"/>
      <c r="AE275" s="467"/>
      <c r="AF275" s="467"/>
      <c r="AG275" s="467"/>
      <c r="AH275" s="467"/>
      <c r="AI275" s="467"/>
      <c r="AJ275" s="467"/>
      <c r="AK275" s="467"/>
      <c r="AL275" s="464"/>
      <c r="AM275" s="467"/>
      <c r="AN275" s="466"/>
      <c r="AO275" s="464"/>
      <c r="AP275" s="464"/>
      <c r="AQ275" s="466">
        <f>+FL_2($T$276,$T$274,$G$275,1200,9.28,-1*$F$276)</f>
        <v>-0.34036285082352941</v>
      </c>
      <c r="AR275" s="466"/>
      <c r="AS275" s="466"/>
      <c r="AT275" s="466"/>
      <c r="AU275" s="464"/>
      <c r="AV275" s="464"/>
      <c r="AW275" s="464"/>
      <c r="AX275" s="464"/>
      <c r="AY275" s="466"/>
      <c r="AZ275" s="466"/>
      <c r="BA275" s="674"/>
      <c r="BB275" s="467"/>
      <c r="BC275" s="169"/>
      <c r="BD275" s="1330"/>
      <c r="BE275" s="1330"/>
      <c r="BF275" s="1330"/>
      <c r="BG275" s="1330"/>
    </row>
    <row r="276" spans="1:59" ht="15.75" customHeight="1">
      <c r="A276" s="467"/>
      <c r="B276" s="438" t="s">
        <v>2255</v>
      </c>
      <c r="C276" s="473">
        <f>+$C$274+$G$275</f>
        <v>91454.449999999983</v>
      </c>
      <c r="D276" s="467"/>
      <c r="E276" s="467"/>
      <c r="F276" s="469">
        <v>0</v>
      </c>
      <c r="G276" s="474"/>
      <c r="H276" s="467"/>
      <c r="I276" s="469"/>
      <c r="J276" s="473"/>
      <c r="K276" s="467"/>
      <c r="L276" s="464" t="s">
        <v>4393</v>
      </c>
      <c r="M276" s="467" t="s">
        <v>2811</v>
      </c>
      <c r="N276" s="467" t="s">
        <v>143</v>
      </c>
      <c r="O276" s="467"/>
      <c r="P276" s="467"/>
      <c r="Q276" s="467">
        <v>20</v>
      </c>
      <c r="R276" s="467">
        <v>0</v>
      </c>
      <c r="S276" s="474"/>
      <c r="T276" s="467">
        <v>-30</v>
      </c>
      <c r="U276" s="467"/>
      <c r="V276" s="467"/>
      <c r="W276" s="467">
        <v>1.4</v>
      </c>
      <c r="X276" s="467"/>
      <c r="Y276" s="467"/>
      <c r="Z276" s="467"/>
      <c r="AA276" s="467"/>
      <c r="AB276" s="467"/>
      <c r="AC276" s="467" t="s">
        <v>4115</v>
      </c>
      <c r="AD276" s="467"/>
      <c r="AE276" s="467"/>
      <c r="AF276" s="467">
        <v>5600</v>
      </c>
      <c r="AG276" s="473">
        <v>91454</v>
      </c>
      <c r="AH276" s="467">
        <v>1813</v>
      </c>
      <c r="AI276" s="467">
        <v>60</v>
      </c>
      <c r="AJ276" s="467"/>
      <c r="AK276" s="467"/>
      <c r="AL276" s="464" t="s">
        <v>2135</v>
      </c>
      <c r="AM276" s="467" t="s">
        <v>1042</v>
      </c>
      <c r="AN276" s="466">
        <v>5.5</v>
      </c>
      <c r="AO276" s="464"/>
      <c r="AP276" s="464"/>
      <c r="AQ276" s="466"/>
      <c r="AR276" s="466"/>
      <c r="AS276" s="466"/>
      <c r="AT276" s="466">
        <f>+ab($T$276,$T$274,$T$278,$G$275,$G$277,-1*$F$276,1200)</f>
        <v>-7.8365676786725205</v>
      </c>
      <c r="AU276" s="464"/>
      <c r="AV276" s="464"/>
      <c r="AW276" s="464" t="s">
        <v>5032</v>
      </c>
      <c r="AX276" s="464"/>
      <c r="AY276" s="466"/>
      <c r="AZ276" s="466"/>
      <c r="BA276" s="674" t="s">
        <v>2809</v>
      </c>
      <c r="BB276" s="467" t="str">
        <f>Pole_Calculations!A178</f>
        <v>App.8-V08F-P10.3</v>
      </c>
      <c r="BC276" s="169" t="s">
        <v>4954</v>
      </c>
      <c r="BD276" s="1330"/>
      <c r="BE276" s="1329"/>
      <c r="BF276" s="1329"/>
      <c r="BG276" s="1329"/>
    </row>
    <row r="277" spans="1:59" ht="15.75" customHeight="1">
      <c r="A277" s="467"/>
      <c r="B277" s="467"/>
      <c r="C277" s="473"/>
      <c r="D277" s="467"/>
      <c r="E277" s="467"/>
      <c r="F277" s="469"/>
      <c r="G277" s="474">
        <v>47</v>
      </c>
      <c r="H277" s="467"/>
      <c r="I277" s="469"/>
      <c r="J277" s="473"/>
      <c r="K277" s="467"/>
      <c r="L277" s="464"/>
      <c r="M277" s="464"/>
      <c r="N277" s="467"/>
      <c r="O277" s="467"/>
      <c r="P277" s="467"/>
      <c r="Q277" s="467"/>
      <c r="R277" s="467"/>
      <c r="S277" s="474">
        <f t="shared" ref="S277" si="133">AG278-AG276</f>
        <v>48.220000000001164</v>
      </c>
      <c r="T277" s="467"/>
      <c r="U277" s="467"/>
      <c r="V277" s="467"/>
      <c r="W277" s="467"/>
      <c r="X277" s="467"/>
      <c r="Y277" s="467"/>
      <c r="Z277" s="467"/>
      <c r="AA277" s="467"/>
      <c r="AB277" s="467"/>
      <c r="AC277" s="467"/>
      <c r="AD277" s="467"/>
      <c r="AE277" s="467"/>
      <c r="AF277" s="467"/>
      <c r="AG277" s="473"/>
      <c r="AH277" s="467"/>
      <c r="AI277" s="467"/>
      <c r="AJ277" s="467"/>
      <c r="AK277" s="467"/>
      <c r="AL277" s="464"/>
      <c r="AM277" s="467"/>
      <c r="AN277" s="466"/>
      <c r="AO277" s="464"/>
      <c r="AP277" s="464"/>
      <c r="AQ277" s="466">
        <f>+FL_1($T$278,$T$276,$G$277,1200,9.28,-1*$F$278)</f>
        <v>0.36219809441134748</v>
      </c>
      <c r="AR277" s="466"/>
      <c r="AS277" s="466"/>
      <c r="AT277" s="466"/>
      <c r="AU277" s="464"/>
      <c r="AV277" s="464"/>
      <c r="AW277" s="464"/>
      <c r="AX277" s="464"/>
      <c r="AY277" s="466"/>
      <c r="AZ277" s="466"/>
      <c r="BA277" s="674"/>
      <c r="BB277" s="467"/>
      <c r="BC277" s="169"/>
      <c r="BD277" s="1330"/>
      <c r="BE277" s="1330"/>
      <c r="BF277" s="1330"/>
      <c r="BG277" s="1330"/>
    </row>
    <row r="278" spans="1:59" ht="15.75" customHeight="1">
      <c r="A278" s="1239"/>
      <c r="B278" s="1239" t="s">
        <v>2256</v>
      </c>
      <c r="C278" s="171">
        <f>+$C$276+$G$277</f>
        <v>91501.449999999983</v>
      </c>
      <c r="D278" s="1239"/>
      <c r="E278" s="1239"/>
      <c r="F278" s="448">
        <v>0</v>
      </c>
      <c r="G278" s="455"/>
      <c r="H278" s="1239"/>
      <c r="I278" s="448"/>
      <c r="J278" s="171"/>
      <c r="K278" s="1239"/>
      <c r="L278" s="638" t="s">
        <v>4393</v>
      </c>
      <c r="M278" s="1239" t="str">
        <f>IF(AX278="PT",VLOOKUP(L278,'Foundation Calculation'!$V$2:$X$40,VLOOKUP(AX278,'Foundation Calculation'!$I$10:$J$13,2,FALSE),0),IF(AX278="K",VLOOKUP(L278,'Foundation Calculation'!$V$42:$X$80,VLOOKUP(AX278,'Foundation Calculation'!$I$10:$J$13,2,FALSE),0),""))</f>
        <v>2C4R</v>
      </c>
      <c r="N278" s="1239" t="s">
        <v>144</v>
      </c>
      <c r="O278" s="1239"/>
      <c r="P278" s="1239"/>
      <c r="Q278" s="1239">
        <v>40</v>
      </c>
      <c r="R278" s="1239">
        <v>0</v>
      </c>
      <c r="S278" s="455"/>
      <c r="T278" s="1239">
        <v>35</v>
      </c>
      <c r="U278" s="1239"/>
      <c r="V278" s="1239"/>
      <c r="W278" s="1239">
        <v>1.4</v>
      </c>
      <c r="X278" s="1239"/>
      <c r="Y278" s="1239"/>
      <c r="Z278" s="1239"/>
      <c r="AA278" s="1239"/>
      <c r="AB278" s="1239"/>
      <c r="AC278" s="1239" t="s">
        <v>4090</v>
      </c>
      <c r="AD278" s="1239"/>
      <c r="AE278" s="1239"/>
      <c r="AF278" s="1239">
        <v>5800</v>
      </c>
      <c r="AG278" s="171">
        <v>91502.22</v>
      </c>
      <c r="AH278" s="1239">
        <v>3423</v>
      </c>
      <c r="AI278" s="1239">
        <v>360</v>
      </c>
      <c r="AJ278" s="1239"/>
      <c r="AK278" s="1239"/>
      <c r="AL278" s="638" t="s">
        <v>2135</v>
      </c>
      <c r="AM278" s="1239" t="s">
        <v>1042</v>
      </c>
      <c r="AN278" s="484">
        <v>5.5</v>
      </c>
      <c r="AO278" s="638"/>
      <c r="AP278" s="638"/>
      <c r="AQ278" s="484"/>
      <c r="AR278" s="484"/>
      <c r="AS278" s="484"/>
      <c r="AT278" s="484">
        <f>+ab($T$278,$T$276,$T$280,$G$277,$G$279,-1*$F$278,1200)</f>
        <v>6.1017462101300239</v>
      </c>
      <c r="AU278" s="638"/>
      <c r="AV278" s="638"/>
      <c r="AW278" s="638" t="str">
        <f>VLOOKUP(C278,'Foundation Calculation'!$A$2:$C$33,3,1)</f>
        <v>Soil A</v>
      </c>
      <c r="AX278" s="572" t="str">
        <f>VLOOKUP(C278,'Foundation Calculation'!$E$2:$G$33,3,1)</f>
        <v>PT</v>
      </c>
      <c r="AY278" s="484">
        <f>IF(AX278="PT",VLOOKUP(L278,'Foundation Calculation'!$K$2:$R$40,VLOOKUP(AW278,'Foundation Calculation'!$I$2:$J$8,2,FALSE),0),IF(AX278="K",VLOOKUP(L278,'Foundation Calculation'!$K$42:$R$80,VLOOKUP(AW278,'Foundation Calculation'!$I$2:$J$8,2,FALSE),0),""))</f>
        <v>5.6</v>
      </c>
      <c r="AZ278" s="484"/>
      <c r="BA278" s="671" t="s">
        <v>2809</v>
      </c>
      <c r="BB278" s="1239" t="str">
        <f>Pole_Calculations!A178</f>
        <v>App.8-V08F-P10.3</v>
      </c>
      <c r="BC278" s="169"/>
      <c r="BD278" s="1329"/>
      <c r="BE278" s="1329"/>
      <c r="BF278" s="1329"/>
      <c r="BG278" s="1329">
        <v>43898</v>
      </c>
    </row>
    <row r="279" spans="1:59" ht="15.75" customHeight="1">
      <c r="A279" s="1239"/>
      <c r="B279" s="1239"/>
      <c r="C279" s="171"/>
      <c r="D279" s="1239"/>
      <c r="E279" s="1239"/>
      <c r="F279" s="448"/>
      <c r="G279" s="455">
        <v>40</v>
      </c>
      <c r="H279" s="1239"/>
      <c r="I279" s="448"/>
      <c r="J279" s="171">
        <f>C280-7.5</f>
        <v>91533.949999999983</v>
      </c>
      <c r="K279" s="1239" t="s">
        <v>2788</v>
      </c>
      <c r="L279" s="638"/>
      <c r="M279" s="638"/>
      <c r="N279" s="1239"/>
      <c r="O279" s="1239"/>
      <c r="P279" s="1239"/>
      <c r="Q279" s="1239"/>
      <c r="R279" s="1239"/>
      <c r="S279" s="455">
        <f t="shared" ref="S279" si="134">AG280-AG278</f>
        <v>39.459999999991851</v>
      </c>
      <c r="T279" s="1239"/>
      <c r="U279" s="1239"/>
      <c r="V279" s="1239"/>
      <c r="W279" s="1239"/>
      <c r="X279" s="1239"/>
      <c r="Y279" s="1239"/>
      <c r="Z279" s="1239"/>
      <c r="AA279" s="1239"/>
      <c r="AB279" s="1239"/>
      <c r="AC279" s="1239"/>
      <c r="AD279" s="1239"/>
      <c r="AE279" s="1239"/>
      <c r="AF279" s="1239"/>
      <c r="AG279" s="171"/>
      <c r="AH279" s="1239"/>
      <c r="AI279" s="1239"/>
      <c r="AJ279" s="1239"/>
      <c r="AK279" s="1239"/>
      <c r="AL279" s="638"/>
      <c r="AM279" s="1239"/>
      <c r="AN279" s="484"/>
      <c r="AO279" s="638"/>
      <c r="AP279" s="638"/>
      <c r="AQ279" s="484">
        <f>+FL_1($T$280,$T$278,$G$279,1200,9.28,-1*$F$280)</f>
        <v>0.35000000000000125</v>
      </c>
      <c r="AR279" s="484"/>
      <c r="AS279" s="484"/>
      <c r="AT279" s="484"/>
      <c r="AU279" s="638"/>
      <c r="AV279" s="638"/>
      <c r="AW279" s="638" t="str">
        <f>VLOOKUP(J279,'Foundation Calculation'!$A$2:$C$33,3,1)</f>
        <v>Soil A</v>
      </c>
      <c r="AX279" s="572" t="str">
        <f>VLOOKUP(J279,'Foundation Calculation'!$E$2:$G$33,3,1)</f>
        <v>PT</v>
      </c>
      <c r="AY279" s="484"/>
      <c r="AZ279" s="484">
        <f>IF(AX279="PT",VLOOKUP(K279,'Foundation Calculation'!$K$2:$R$40,VLOOKUP(AW279,'Foundation Calculation'!$I$2:$J$8,2,FALSE),0),IF(AX279="K",VLOOKUP(K279,'Foundation Calculation'!$K$42:$R$80,VLOOKUP(AW279,'Foundation Calculation'!$I$2:$J$8,2,FALSE),0),""))</f>
        <v>2.8</v>
      </c>
      <c r="BA279" s="671" t="s">
        <v>2809</v>
      </c>
      <c r="BB279" s="1239"/>
      <c r="BC279" s="169"/>
      <c r="BD279" s="1329">
        <v>43804</v>
      </c>
      <c r="BE279" s="1330"/>
      <c r="BF279" s="1330"/>
      <c r="BG279" s="1330"/>
    </row>
    <row r="280" spans="1:59" ht="15.75" customHeight="1">
      <c r="A280" s="449"/>
      <c r="B280" s="435" t="s">
        <v>2257</v>
      </c>
      <c r="C280" s="446">
        <f>+$C$278+$G$279</f>
        <v>91541.449999999983</v>
      </c>
      <c r="D280" s="173"/>
      <c r="E280" s="447"/>
      <c r="F280" s="447">
        <v>0</v>
      </c>
      <c r="G280" s="484"/>
      <c r="H280" s="1239" t="s">
        <v>2688</v>
      </c>
      <c r="I280" s="1239"/>
      <c r="J280" s="171"/>
      <c r="K280" s="638"/>
      <c r="L280" s="638" t="s">
        <v>4664</v>
      </c>
      <c r="M280" s="638" t="str">
        <f>IF(AX280="PT",VLOOKUP(L280,'Foundation Calculation'!$V$2:$X$40,VLOOKUP(AX280,'Foundation Calculation'!$I$10:$J$13,2,FALSE),0),IF(AX280="K",VLOOKUP(L280,'Foundation Calculation'!$V$42:$X$80,VLOOKUP(AX280,'Foundation Calculation'!$I$10:$J$13,2,FALSE),0),""))</f>
        <v>C11R</v>
      </c>
      <c r="N280" s="1239" t="s">
        <v>143</v>
      </c>
      <c r="O280" s="1239"/>
      <c r="P280" s="1239"/>
      <c r="Q280" s="638">
        <v>0</v>
      </c>
      <c r="R280" s="638">
        <v>0</v>
      </c>
      <c r="S280" s="484"/>
      <c r="T280" s="638">
        <v>-35</v>
      </c>
      <c r="U280" s="638"/>
      <c r="V280" s="638"/>
      <c r="W280" s="638">
        <v>1.4</v>
      </c>
      <c r="X280" s="638"/>
      <c r="Y280" s="638"/>
      <c r="Z280" s="638"/>
      <c r="AA280" s="638"/>
      <c r="AB280" s="638"/>
      <c r="AC280" s="638" t="s">
        <v>4090</v>
      </c>
      <c r="AD280" s="638"/>
      <c r="AE280" s="638"/>
      <c r="AF280" s="638">
        <v>5800</v>
      </c>
      <c r="AG280" s="446">
        <v>91541.68</v>
      </c>
      <c r="AH280" s="638">
        <v>4193</v>
      </c>
      <c r="AI280" s="638">
        <v>150</v>
      </c>
      <c r="AJ280" s="638"/>
      <c r="AK280" s="638"/>
      <c r="AL280" s="638" t="s">
        <v>2143</v>
      </c>
      <c r="AM280" s="638" t="s">
        <v>1042</v>
      </c>
      <c r="AN280" s="455">
        <v>5.5</v>
      </c>
      <c r="AO280" s="1239"/>
      <c r="AP280" s="1239"/>
      <c r="AQ280" s="484"/>
      <c r="AR280" s="484"/>
      <c r="AS280" s="484"/>
      <c r="AT280" s="484">
        <f>+ab($T$280,$T$278,$U$282,$G$279,$G$281,-1*$F$280,1200)</f>
        <v>-4.688920373877222</v>
      </c>
      <c r="AU280" s="638"/>
      <c r="AV280" s="638"/>
      <c r="AW280" s="638" t="str">
        <f>VLOOKUP(C280,'Foundation Calculation'!$A$2:$C$33,3,1)</f>
        <v>Soil A</v>
      </c>
      <c r="AX280" s="638" t="str">
        <f>VLOOKUP(C280,'Foundation Calculation'!$E$2:$G$33,3,1)</f>
        <v>PT</v>
      </c>
      <c r="AY280" s="484">
        <f>IF(AX280="PT",VLOOKUP(L280,'Foundation Calculation'!$K$2:$R$40,VLOOKUP(AW280,'Foundation Calculation'!$I$2:$J$8,2,FALSE),0),IF(AX280="K",VLOOKUP(L280,'Foundation Calculation'!$K$42:$R$80,VLOOKUP(AW280,'Foundation Calculation'!$I$2:$J$8,2,FALSE),0),""))</f>
        <v>4.4000000000000004</v>
      </c>
      <c r="AZ280" s="484"/>
      <c r="BA280" s="671" t="s">
        <v>2809</v>
      </c>
      <c r="BB280" s="449" t="str">
        <f>Pole_Calculations!A178</f>
        <v>App.8-V08F-P10.3</v>
      </c>
      <c r="BC280" s="169"/>
      <c r="BD280" s="1371">
        <v>43804</v>
      </c>
      <c r="BE280" s="1371"/>
      <c r="BF280" s="1371"/>
      <c r="BG280" s="1371">
        <v>43898</v>
      </c>
    </row>
    <row r="281" spans="1:59" ht="15.75" customHeight="1">
      <c r="A281" s="1239"/>
      <c r="B281" s="1239"/>
      <c r="C281" s="171"/>
      <c r="D281" s="1239"/>
      <c r="E281" s="1239"/>
      <c r="F281" s="448"/>
      <c r="G281" s="455">
        <v>30</v>
      </c>
      <c r="H281" s="1239"/>
      <c r="I281" s="448"/>
      <c r="J281" s="171"/>
      <c r="K281" s="1239"/>
      <c r="L281" s="638"/>
      <c r="M281" s="638"/>
      <c r="N281" s="1239"/>
      <c r="O281" s="1239"/>
      <c r="P281" s="1239"/>
      <c r="Q281" s="1239"/>
      <c r="R281" s="1239"/>
      <c r="S281" s="455">
        <f t="shared" ref="S281" si="135">AG282-AG280</f>
        <v>29.900000000008731</v>
      </c>
      <c r="T281" s="1239"/>
      <c r="U281" s="1239"/>
      <c r="V281" s="1239"/>
      <c r="W281" s="1239"/>
      <c r="X281" s="1239"/>
      <c r="Y281" s="1239"/>
      <c r="Z281" s="1239"/>
      <c r="AA281" s="1239"/>
      <c r="AB281" s="1239"/>
      <c r="AC281" s="1239"/>
      <c r="AD281" s="1239"/>
      <c r="AE281" s="1239"/>
      <c r="AF281" s="1239"/>
      <c r="AG281" s="171"/>
      <c r="AH281" s="1239"/>
      <c r="AI281" s="1239"/>
      <c r="AJ281" s="1239"/>
      <c r="AK281" s="1239"/>
      <c r="AL281" s="638"/>
      <c r="AM281" s="1239"/>
      <c r="AN281" s="484"/>
      <c r="AO281" s="638"/>
      <c r="AP281" s="638"/>
      <c r="AQ281" s="484">
        <f>+FL_2($U$282,$T$280,$G$281,1200,9.28,-1*$F$282)</f>
        <v>-0.35000000000002224</v>
      </c>
      <c r="AR281" s="484"/>
      <c r="AS281" s="484"/>
      <c r="AT281" s="484"/>
      <c r="AU281" s="638"/>
      <c r="AV281" s="638"/>
      <c r="AW281" s="638"/>
      <c r="AX281" s="638"/>
      <c r="AY281" s="484"/>
      <c r="AZ281" s="484"/>
      <c r="BA281" s="671"/>
      <c r="BB281" s="1239"/>
      <c r="BC281" s="169"/>
      <c r="BD281" s="1330"/>
      <c r="BE281" s="1330"/>
      <c r="BF281" s="1330"/>
      <c r="BG281" s="1330"/>
    </row>
    <row r="282" spans="1:59" ht="15.75" customHeight="1">
      <c r="A282" s="449"/>
      <c r="B282" s="485" t="s">
        <v>2258</v>
      </c>
      <c r="C282" s="446">
        <f>+$C$280+$G$281</f>
        <v>91571.449999999983</v>
      </c>
      <c r="D282" s="638"/>
      <c r="E282" s="638"/>
      <c r="F282" s="447">
        <v>0</v>
      </c>
      <c r="G282" s="484"/>
      <c r="H282" s="1239"/>
      <c r="I282" s="448"/>
      <c r="J282" s="446"/>
      <c r="K282" s="638"/>
      <c r="L282" s="1239"/>
      <c r="M282" s="1239"/>
      <c r="N282" s="638" t="s">
        <v>140</v>
      </c>
      <c r="O282" s="638" t="s">
        <v>144</v>
      </c>
      <c r="P282" s="638"/>
      <c r="Q282" s="638">
        <v>70</v>
      </c>
      <c r="R282" s="638">
        <v>0</v>
      </c>
      <c r="S282" s="484"/>
      <c r="T282" s="638" t="s">
        <v>642</v>
      </c>
      <c r="U282" s="638">
        <v>35</v>
      </c>
      <c r="V282" s="638"/>
      <c r="W282" s="638">
        <v>1.6</v>
      </c>
      <c r="X282" s="638">
        <v>1.4</v>
      </c>
      <c r="Y282" s="638"/>
      <c r="Z282" s="638"/>
      <c r="AA282" s="638"/>
      <c r="AB282" s="638"/>
      <c r="AC282" s="1239"/>
      <c r="AD282" s="638"/>
      <c r="AE282" s="638"/>
      <c r="AF282" s="638"/>
      <c r="AG282" s="446">
        <v>91571.58</v>
      </c>
      <c r="AH282" s="638">
        <v>4643</v>
      </c>
      <c r="AI282" s="638">
        <v>-250</v>
      </c>
      <c r="AJ282" s="638"/>
      <c r="AK282" s="638" t="s">
        <v>228</v>
      </c>
      <c r="AL282" s="1239"/>
      <c r="AM282" s="1239" t="s">
        <v>1042</v>
      </c>
      <c r="AN282" s="455">
        <v>5.5</v>
      </c>
      <c r="AO282" s="1239"/>
      <c r="AP282" s="1239"/>
      <c r="AQ282" s="484"/>
      <c r="AR282" s="484"/>
      <c r="AS282" s="484"/>
      <c r="AT282" s="484">
        <f>+ab($U$282,$T$280,$T$284,$G$281,$G$283,-1*$F$282,1200)</f>
        <v>4.4597015880513418</v>
      </c>
      <c r="AU282" s="638"/>
      <c r="AV282" s="638"/>
      <c r="AW282" s="638"/>
      <c r="AX282" s="572"/>
      <c r="AY282" s="484"/>
      <c r="AZ282" s="484"/>
      <c r="BA282" s="671"/>
      <c r="BB282" s="449"/>
      <c r="BC282" s="169"/>
      <c r="BD282" s="1371"/>
      <c r="BE282" s="1371"/>
      <c r="BF282" s="1371"/>
      <c r="BG282" s="1371">
        <v>43898</v>
      </c>
    </row>
    <row r="283" spans="1:59" ht="15.75" customHeight="1">
      <c r="A283" s="1239"/>
      <c r="B283" s="1239"/>
      <c r="C283" s="171"/>
      <c r="D283" s="1239"/>
      <c r="E283" s="1239"/>
      <c r="F283" s="448"/>
      <c r="G283" s="455">
        <v>35.700000000000003</v>
      </c>
      <c r="H283" s="1239"/>
      <c r="I283" s="448">
        <f>SUM(G261:G283)</f>
        <v>529.6</v>
      </c>
      <c r="J283" s="171">
        <f>C284-7.5</f>
        <v>91599.64999999998</v>
      </c>
      <c r="K283" s="1239" t="s">
        <v>2884</v>
      </c>
      <c r="L283" s="638"/>
      <c r="M283" s="638"/>
      <c r="N283" s="1239"/>
      <c r="O283" s="1239"/>
      <c r="P283" s="1239"/>
      <c r="Q283" s="1239"/>
      <c r="R283" s="1239"/>
      <c r="S283" s="455">
        <f t="shared" ref="S283" si="136">AG284-AG282</f>
        <v>35.619999999995343</v>
      </c>
      <c r="T283" s="1239"/>
      <c r="U283" s="1239"/>
      <c r="V283" s="1239"/>
      <c r="W283" s="1239"/>
      <c r="X283" s="1239"/>
      <c r="Y283" s="1239"/>
      <c r="Z283" s="1239"/>
      <c r="AA283" s="1239"/>
      <c r="AB283" s="1239"/>
      <c r="AC283" s="1239"/>
      <c r="AD283" s="1239"/>
      <c r="AE283" s="1239"/>
      <c r="AF283" s="1239"/>
      <c r="AG283" s="171"/>
      <c r="AH283" s="1239"/>
      <c r="AI283" s="1239"/>
      <c r="AJ283" s="1239"/>
      <c r="AK283" s="1239" t="s">
        <v>2760</v>
      </c>
      <c r="AL283" s="638"/>
      <c r="AM283" s="1239"/>
      <c r="AN283" s="484"/>
      <c r="AO283" s="638"/>
      <c r="AP283" s="638"/>
      <c r="AQ283" s="484">
        <f>+FL_1($T$284,$U$282,$G$283,1200,9.28,-1*$F$284)</f>
        <v>0.35000000000000847</v>
      </c>
      <c r="AR283" s="484"/>
      <c r="AS283" s="484"/>
      <c r="AT283" s="484"/>
      <c r="AU283" s="638"/>
      <c r="AV283" s="638"/>
      <c r="AW283" s="638"/>
      <c r="AX283" s="638"/>
      <c r="AY283" s="484"/>
      <c r="AZ283" s="484"/>
      <c r="BA283" s="671"/>
      <c r="BB283" s="1239"/>
      <c r="BC283" s="169"/>
      <c r="BD283" s="1330"/>
      <c r="BE283" s="1330"/>
      <c r="BF283" s="1330"/>
      <c r="BG283" s="1330"/>
    </row>
    <row r="284" spans="1:59" ht="15.75" customHeight="1">
      <c r="A284" s="1239"/>
      <c r="B284" s="1239" t="s">
        <v>2259</v>
      </c>
      <c r="C284" s="171">
        <f>+$C$282+$G$283</f>
        <v>91607.14999999998</v>
      </c>
      <c r="D284" s="1239"/>
      <c r="E284" s="1239"/>
      <c r="F284" s="448">
        <v>0</v>
      </c>
      <c r="G284" s="455"/>
      <c r="H284" s="1239" t="s">
        <v>2681</v>
      </c>
      <c r="I284" s="448" t="s">
        <v>1039</v>
      </c>
      <c r="J284" s="171"/>
      <c r="K284" s="1239"/>
      <c r="L284" s="638" t="s">
        <v>4393</v>
      </c>
      <c r="M284" s="638" t="s">
        <v>4451</v>
      </c>
      <c r="N284" s="1239" t="s">
        <v>143</v>
      </c>
      <c r="O284" s="1239"/>
      <c r="P284" s="1239"/>
      <c r="Q284" s="1239">
        <v>0</v>
      </c>
      <c r="R284" s="1239">
        <v>0</v>
      </c>
      <c r="S284" s="455"/>
      <c r="T284" s="1239">
        <v>-35</v>
      </c>
      <c r="U284" s="1239"/>
      <c r="V284" s="1239"/>
      <c r="W284" s="1239">
        <v>1.4</v>
      </c>
      <c r="X284" s="1239"/>
      <c r="Y284" s="1239"/>
      <c r="Z284" s="1239"/>
      <c r="AA284" s="1239"/>
      <c r="AB284" s="1239"/>
      <c r="AC284" s="1239" t="s">
        <v>4115</v>
      </c>
      <c r="AD284" s="1239"/>
      <c r="AE284" s="1239"/>
      <c r="AF284" s="1239">
        <v>6500</v>
      </c>
      <c r="AG284" s="171">
        <v>91607.2</v>
      </c>
      <c r="AH284" s="1239">
        <v>2303</v>
      </c>
      <c r="AI284" s="1239">
        <v>1180</v>
      </c>
      <c r="AJ284" s="1239"/>
      <c r="AK284" s="1239"/>
      <c r="AL284" s="638" t="s">
        <v>2135</v>
      </c>
      <c r="AM284" s="1239" t="s">
        <v>1042</v>
      </c>
      <c r="AN284" s="484">
        <v>5.5</v>
      </c>
      <c r="AO284" s="638"/>
      <c r="AP284" s="638"/>
      <c r="AQ284" s="484"/>
      <c r="AR284" s="484"/>
      <c r="AS284" s="484"/>
      <c r="AT284" s="484">
        <f>+ab($T$284,$U$282,$T$286,$G$283,$G$285,-1*$F$284,1200)</f>
        <v>-4.690449122659591</v>
      </c>
      <c r="AU284" s="638"/>
      <c r="AV284" s="638"/>
      <c r="AW284" s="638" t="str">
        <f>VLOOKUP(C284,'Foundation Calculation'!$A$2:$C$33,3,1)</f>
        <v>Soil A</v>
      </c>
      <c r="AX284" s="572" t="str">
        <f>VLOOKUP(C284,'Foundation Calculation'!$E$2:$G$33,3,1)</f>
        <v>PT</v>
      </c>
      <c r="AY284" s="484">
        <f>IF(AX284="PT",VLOOKUP(L284,'Foundation Calculation'!$K$2:$R$40,VLOOKUP(AW284,'Foundation Calculation'!$I$2:$J$8,2,FALSE),0),IF(AX284="K",VLOOKUP(L284,'Foundation Calculation'!$K$42:$R$80,VLOOKUP(AW284,'Foundation Calculation'!$I$2:$J$8,2,FALSE),0),""))</f>
        <v>5.6</v>
      </c>
      <c r="AZ284" s="484"/>
      <c r="BA284" s="671" t="s">
        <v>2809</v>
      </c>
      <c r="BB284" s="1239" t="str">
        <f>Pole_Calculations!A178</f>
        <v>App.8-V08F-P10.3</v>
      </c>
      <c r="BC284" s="169" t="s">
        <v>4954</v>
      </c>
      <c r="BD284" s="1371"/>
      <c r="BE284" s="1371"/>
      <c r="BF284" s="1371"/>
      <c r="BG284" s="1371"/>
    </row>
    <row r="285" spans="1:59" ht="15.75" customHeight="1">
      <c r="A285" s="1239"/>
      <c r="B285" s="1239"/>
      <c r="C285" s="171"/>
      <c r="D285" s="1239"/>
      <c r="E285" s="1239"/>
      <c r="F285" s="448"/>
      <c r="G285" s="455">
        <v>33</v>
      </c>
      <c r="H285" s="1239"/>
      <c r="I285" s="448">
        <f>SUM(G285:G309)</f>
        <v>492.7</v>
      </c>
      <c r="J285" s="171"/>
      <c r="K285" s="1239"/>
      <c r="L285" s="638"/>
      <c r="M285" s="638"/>
      <c r="N285" s="1239"/>
      <c r="O285" s="1239"/>
      <c r="P285" s="1239"/>
      <c r="Q285" s="1239"/>
      <c r="R285" s="1239"/>
      <c r="S285" s="455">
        <f t="shared" ref="S285" si="137">AG286-AG284</f>
        <v>32.80000000000291</v>
      </c>
      <c r="T285" s="1239"/>
      <c r="U285" s="1239"/>
      <c r="V285" s="1239"/>
      <c r="W285" s="1239"/>
      <c r="X285" s="1239"/>
      <c r="Y285" s="1239"/>
      <c r="Z285" s="1239"/>
      <c r="AA285" s="1239"/>
      <c r="AB285" s="1239"/>
      <c r="AC285" s="1239"/>
      <c r="AD285" s="1239"/>
      <c r="AE285" s="1239"/>
      <c r="AF285" s="1239"/>
      <c r="AG285" s="1239"/>
      <c r="AH285" s="1239"/>
      <c r="AI285" s="1239"/>
      <c r="AJ285" s="1239"/>
      <c r="AK285" s="1239"/>
      <c r="AL285" s="638"/>
      <c r="AM285" s="1239"/>
      <c r="AN285" s="484"/>
      <c r="AO285" s="638"/>
      <c r="AP285" s="638"/>
      <c r="AQ285" s="484">
        <f>+FL_2($T$286,$T$284,$G$285,1200,9.28,-1*$F$286)</f>
        <v>-0.35000000000001691</v>
      </c>
      <c r="AR285" s="484"/>
      <c r="AS285" s="484"/>
      <c r="AT285" s="484"/>
      <c r="AU285" s="638"/>
      <c r="AV285" s="638"/>
      <c r="AW285" s="638"/>
      <c r="AX285" s="638"/>
      <c r="AY285" s="484"/>
      <c r="AZ285" s="484"/>
      <c r="BA285" s="671"/>
      <c r="BB285" s="1239"/>
      <c r="BC285" s="169"/>
      <c r="BD285" s="1330"/>
      <c r="BE285" s="1330"/>
      <c r="BF285" s="1330"/>
      <c r="BG285" s="1330"/>
    </row>
    <row r="286" spans="1:59" ht="15.75" customHeight="1">
      <c r="A286" s="1239"/>
      <c r="B286" s="438" t="s">
        <v>2260</v>
      </c>
      <c r="C286" s="171">
        <f>+$C$284+$G$285</f>
        <v>91640.14999999998</v>
      </c>
      <c r="D286" s="1239"/>
      <c r="E286" s="1239"/>
      <c r="F286" s="448">
        <v>0</v>
      </c>
      <c r="G286" s="455"/>
      <c r="H286" s="1239" t="s">
        <v>873</v>
      </c>
      <c r="I286" s="448"/>
      <c r="J286" s="171"/>
      <c r="K286" s="1239"/>
      <c r="L286" s="638" t="s">
        <v>4393</v>
      </c>
      <c r="M286" s="638" t="s">
        <v>4451</v>
      </c>
      <c r="N286" s="1239" t="s">
        <v>144</v>
      </c>
      <c r="O286" s="1239"/>
      <c r="P286" s="1239"/>
      <c r="Q286" s="1239">
        <v>0</v>
      </c>
      <c r="R286" s="1239">
        <v>0</v>
      </c>
      <c r="S286" s="455"/>
      <c r="T286" s="1239">
        <v>35</v>
      </c>
      <c r="U286" s="1239"/>
      <c r="V286" s="1239"/>
      <c r="W286" s="1239">
        <v>1.4</v>
      </c>
      <c r="X286" s="1239"/>
      <c r="Y286" s="1239"/>
      <c r="Z286" s="1239"/>
      <c r="AA286" s="1239"/>
      <c r="AB286" s="1239"/>
      <c r="AC286" s="1239" t="s">
        <v>4090</v>
      </c>
      <c r="AD286" s="1239"/>
      <c r="AE286" s="1239"/>
      <c r="AF286" s="1239">
        <v>6200</v>
      </c>
      <c r="AG286" s="171">
        <v>91640</v>
      </c>
      <c r="AH286" s="1239">
        <v>2283</v>
      </c>
      <c r="AI286" s="1239">
        <v>950</v>
      </c>
      <c r="AJ286" s="1239"/>
      <c r="AK286" s="1239"/>
      <c r="AL286" s="638" t="s">
        <v>2135</v>
      </c>
      <c r="AM286" s="1239" t="s">
        <v>1042</v>
      </c>
      <c r="AN286" s="484">
        <v>5.5</v>
      </c>
      <c r="AO286" s="638"/>
      <c r="AP286" s="638"/>
      <c r="AQ286" s="484"/>
      <c r="AR286" s="484"/>
      <c r="AS286" s="484"/>
      <c r="AT286" s="484">
        <f>+ab($T$286,$T$284,$T$288,$G$285,$G$287,-1*$F$286,1200)</f>
        <v>4.5138192100696939</v>
      </c>
      <c r="AU286" s="638"/>
      <c r="AV286" s="638"/>
      <c r="AW286" s="638" t="str">
        <f>VLOOKUP(C286,'Foundation Calculation'!$A$2:$C$33,3,1)</f>
        <v>Soil A</v>
      </c>
      <c r="AX286" s="572" t="str">
        <f>VLOOKUP(C286,'Foundation Calculation'!$E$2:$G$33,3,1)</f>
        <v>PT</v>
      </c>
      <c r="AY286" s="484">
        <f>IF(AX286="PT",VLOOKUP(L286,'Foundation Calculation'!$K$2:$R$40,VLOOKUP(AW286,'Foundation Calculation'!$I$2:$J$8,2,FALSE),0),IF(AX286="K",VLOOKUP(L286,'Foundation Calculation'!$K$42:$R$80,VLOOKUP(AW286,'Foundation Calculation'!$I$2:$J$8,2,FALSE),0),""))</f>
        <v>5.6</v>
      </c>
      <c r="AZ286" s="484"/>
      <c r="BA286" s="671" t="s">
        <v>2809</v>
      </c>
      <c r="BB286" s="1239" t="str">
        <f>Pole_Calculations!A178</f>
        <v>App.8-V08F-P10.3</v>
      </c>
      <c r="BC286" s="169" t="s">
        <v>4955</v>
      </c>
      <c r="BD286" s="1330"/>
      <c r="BE286" s="1329"/>
      <c r="BF286" s="1329"/>
      <c r="BG286" s="1329"/>
    </row>
    <row r="287" spans="1:59" ht="15.75" customHeight="1">
      <c r="A287" s="1239"/>
      <c r="B287" s="1239"/>
      <c r="C287" s="171"/>
      <c r="D287" s="1239"/>
      <c r="E287" s="1239"/>
      <c r="F287" s="448"/>
      <c r="G287" s="455">
        <v>33</v>
      </c>
      <c r="H287" s="1239"/>
      <c r="I287" s="448"/>
      <c r="J287" s="171">
        <f>C286+7.5</f>
        <v>91647.64999999998</v>
      </c>
      <c r="K287" s="1239" t="s">
        <v>2884</v>
      </c>
      <c r="L287" s="638"/>
      <c r="M287" s="638"/>
      <c r="N287" s="1239"/>
      <c r="O287" s="1239"/>
      <c r="P287" s="1239"/>
      <c r="Q287" s="1239"/>
      <c r="R287" s="1239"/>
      <c r="S287" s="455">
        <f t="shared" ref="S287" si="138">AG288-AG286</f>
        <v>33</v>
      </c>
      <c r="T287" s="1239"/>
      <c r="U287" s="1239"/>
      <c r="V287" s="1239"/>
      <c r="W287" s="1239"/>
      <c r="X287" s="1239"/>
      <c r="Y287" s="1239"/>
      <c r="Z287" s="1239"/>
      <c r="AA287" s="1239"/>
      <c r="AB287" s="1239"/>
      <c r="AC287" s="1239"/>
      <c r="AD287" s="1239"/>
      <c r="AE287" s="1239"/>
      <c r="AF287" s="1239"/>
      <c r="AG287" s="171"/>
      <c r="AH287" s="1239"/>
      <c r="AI287" s="1239"/>
      <c r="AJ287" s="1239"/>
      <c r="AK287" s="1239"/>
      <c r="AL287" s="638"/>
      <c r="AM287" s="1239"/>
      <c r="AN287" s="484"/>
      <c r="AO287" s="638"/>
      <c r="AP287" s="638"/>
      <c r="AQ287" s="484">
        <f>+FL_1($T$288,$T$286,$G$287,1200,9.28,-1*$F$288)</f>
        <v>0.35000000000001691</v>
      </c>
      <c r="AR287" s="484"/>
      <c r="AS287" s="484"/>
      <c r="AT287" s="484"/>
      <c r="AU287" s="638"/>
      <c r="AV287" s="638"/>
      <c r="AW287" s="638"/>
      <c r="AX287" s="638"/>
      <c r="AY287" s="484"/>
      <c r="AZ287" s="484"/>
      <c r="BA287" s="671"/>
      <c r="BB287" s="1239"/>
      <c r="BC287" s="169"/>
      <c r="BD287" s="1330"/>
      <c r="BE287" s="1330"/>
      <c r="BF287" s="1330"/>
      <c r="BG287" s="1330"/>
    </row>
    <row r="288" spans="1:59" ht="15.75" customHeight="1">
      <c r="A288" s="1239"/>
      <c r="B288" s="438" t="s">
        <v>2261</v>
      </c>
      <c r="C288" s="171">
        <f>+$C$286+$G$287</f>
        <v>91673.14999999998</v>
      </c>
      <c r="D288" s="1239"/>
      <c r="E288" s="1239"/>
      <c r="F288" s="448">
        <v>0</v>
      </c>
      <c r="G288" s="455"/>
      <c r="H288" s="1239" t="s">
        <v>873</v>
      </c>
      <c r="I288" s="448"/>
      <c r="J288" s="171"/>
      <c r="K288" s="1239"/>
      <c r="L288" s="638" t="s">
        <v>4393</v>
      </c>
      <c r="M288" s="638" t="s">
        <v>4451</v>
      </c>
      <c r="N288" s="1239" t="s">
        <v>143</v>
      </c>
      <c r="O288" s="1239"/>
      <c r="P288" s="1239"/>
      <c r="Q288" s="1239">
        <v>0</v>
      </c>
      <c r="R288" s="1239">
        <v>0</v>
      </c>
      <c r="S288" s="455"/>
      <c r="T288" s="1239">
        <v>-35</v>
      </c>
      <c r="U288" s="1239"/>
      <c r="V288" s="1239"/>
      <c r="W288" s="1239">
        <v>1.4</v>
      </c>
      <c r="X288" s="1239"/>
      <c r="Y288" s="1239"/>
      <c r="Z288" s="1239"/>
      <c r="AA288" s="1239"/>
      <c r="AB288" s="1239"/>
      <c r="AC288" s="1239" t="s">
        <v>4090</v>
      </c>
      <c r="AD288" s="1239"/>
      <c r="AE288" s="1239"/>
      <c r="AF288" s="1239">
        <v>6400</v>
      </c>
      <c r="AG288" s="171">
        <v>91673</v>
      </c>
      <c r="AH288" s="1239">
        <v>2283</v>
      </c>
      <c r="AI288" s="1239">
        <v>990</v>
      </c>
      <c r="AJ288" s="1239"/>
      <c r="AK288" s="1239"/>
      <c r="AL288" s="638" t="s">
        <v>2135</v>
      </c>
      <c r="AM288" s="1239" t="s">
        <v>1042</v>
      </c>
      <c r="AN288" s="484">
        <v>5.5</v>
      </c>
      <c r="AO288" s="638"/>
      <c r="AP288" s="638"/>
      <c r="AQ288" s="484"/>
      <c r="AR288" s="484"/>
      <c r="AS288" s="484"/>
      <c r="AT288" s="484">
        <f>+ab($T$288,$T$286,$T$290,$G$287,$G$289,-1*$F$288,1200)</f>
        <v>-4.5138262032686756</v>
      </c>
      <c r="AU288" s="638"/>
      <c r="AV288" s="638"/>
      <c r="AW288" s="638" t="str">
        <f>VLOOKUP(C288,'Foundation Calculation'!$A$2:$C$33,3,1)</f>
        <v>Soil A</v>
      </c>
      <c r="AX288" s="572" t="str">
        <f>VLOOKUP(C288,'Foundation Calculation'!$E$2:$G$33,3,1)</f>
        <v>PT</v>
      </c>
      <c r="AY288" s="484">
        <f>IF(AX288="PT",VLOOKUP(L288,'Foundation Calculation'!$K$2:$R$40,VLOOKUP(AW288,'Foundation Calculation'!$I$2:$J$8,2,FALSE),0),IF(AX288="K",VLOOKUP(L288,'Foundation Calculation'!$K$42:$R$80,VLOOKUP(AW288,'Foundation Calculation'!$I$2:$J$8,2,FALSE),0),""))</f>
        <v>5.6</v>
      </c>
      <c r="AZ288" s="484"/>
      <c r="BA288" s="671" t="s">
        <v>2809</v>
      </c>
      <c r="BB288" s="1239" t="str">
        <f>Pole_Calculations!A178</f>
        <v>App.8-V08F-P10.3</v>
      </c>
      <c r="BC288" s="169" t="s">
        <v>4955</v>
      </c>
      <c r="BD288" s="1330"/>
      <c r="BE288" s="1329"/>
      <c r="BF288" s="1329"/>
      <c r="BG288" s="1329"/>
    </row>
    <row r="289" spans="1:59" ht="15.75" customHeight="1">
      <c r="A289" s="1239"/>
      <c r="B289" s="1239"/>
      <c r="C289" s="171"/>
      <c r="D289" s="1239"/>
      <c r="E289" s="1239"/>
      <c r="F289" s="448"/>
      <c r="G289" s="455">
        <v>33</v>
      </c>
      <c r="H289" s="1239"/>
      <c r="I289" s="448"/>
      <c r="J289" s="171">
        <f>C288+7.5</f>
        <v>91680.64999999998</v>
      </c>
      <c r="K289" s="1239" t="s">
        <v>2884</v>
      </c>
      <c r="L289" s="638"/>
      <c r="M289" s="638"/>
      <c r="N289" s="1239"/>
      <c r="O289" s="1239"/>
      <c r="P289" s="1239"/>
      <c r="Q289" s="1239"/>
      <c r="R289" s="1239"/>
      <c r="S289" s="455">
        <f t="shared" ref="S289" si="139">AG290-AG288</f>
        <v>33</v>
      </c>
      <c r="T289" s="1239"/>
      <c r="U289" s="1239"/>
      <c r="V289" s="1239"/>
      <c r="W289" s="1239"/>
      <c r="X289" s="1239"/>
      <c r="Y289" s="1239"/>
      <c r="Z289" s="1239"/>
      <c r="AA289" s="1239"/>
      <c r="AB289" s="1239"/>
      <c r="AC289" s="1239"/>
      <c r="AD289" s="1239"/>
      <c r="AE289" s="1239"/>
      <c r="AF289" s="1239"/>
      <c r="AG289" s="171"/>
      <c r="AH289" s="1239"/>
      <c r="AI289" s="1239"/>
      <c r="AJ289" s="1239"/>
      <c r="AK289" s="1239"/>
      <c r="AL289" s="638"/>
      <c r="AM289" s="1239"/>
      <c r="AN289" s="484"/>
      <c r="AO289" s="638"/>
      <c r="AP289" s="638"/>
      <c r="AQ289" s="484">
        <f>+FL_2($T$290,$T$288,$G$289,1200,9.28,-1*$F$290)</f>
        <v>-0.35000000000001691</v>
      </c>
      <c r="AR289" s="484"/>
      <c r="AS289" s="484"/>
      <c r="AT289" s="484"/>
      <c r="AU289" s="638"/>
      <c r="AV289" s="638"/>
      <c r="AW289" s="638"/>
      <c r="AX289" s="638"/>
      <c r="AY289" s="484"/>
      <c r="AZ289" s="484"/>
      <c r="BA289" s="671"/>
      <c r="BB289" s="1239"/>
      <c r="BC289" s="169"/>
      <c r="BD289" s="1330"/>
      <c r="BE289" s="1330"/>
      <c r="BF289" s="1330"/>
      <c r="BG289" s="1330"/>
    </row>
    <row r="290" spans="1:59" ht="15.75" customHeight="1">
      <c r="A290" s="1239"/>
      <c r="B290" s="438" t="s">
        <v>2262</v>
      </c>
      <c r="C290" s="171">
        <f>+$C$288+$G$289</f>
        <v>91706.14999999998</v>
      </c>
      <c r="D290" s="1239"/>
      <c r="E290" s="1239"/>
      <c r="F290" s="448">
        <v>0</v>
      </c>
      <c r="G290" s="455"/>
      <c r="H290" s="1239"/>
      <c r="I290" s="448"/>
      <c r="J290" s="171"/>
      <c r="K290" s="1239"/>
      <c r="L290" s="638" t="s">
        <v>4393</v>
      </c>
      <c r="M290" s="638" t="s">
        <v>4451</v>
      </c>
      <c r="N290" s="1239" t="s">
        <v>144</v>
      </c>
      <c r="O290" s="1239"/>
      <c r="P290" s="1239"/>
      <c r="Q290" s="1239">
        <v>0</v>
      </c>
      <c r="R290" s="1239">
        <v>0</v>
      </c>
      <c r="S290" s="455"/>
      <c r="T290" s="1239">
        <v>35</v>
      </c>
      <c r="U290" s="1239"/>
      <c r="V290" s="1239"/>
      <c r="W290" s="1239">
        <v>1.4</v>
      </c>
      <c r="X290" s="1239"/>
      <c r="Y290" s="1239"/>
      <c r="Z290" s="1239"/>
      <c r="AA290" s="1239"/>
      <c r="AB290" s="1239"/>
      <c r="AC290" s="1239" t="s">
        <v>4090</v>
      </c>
      <c r="AD290" s="1239"/>
      <c r="AE290" s="1239"/>
      <c r="AF290" s="1239">
        <v>6100</v>
      </c>
      <c r="AG290" s="171">
        <v>91706</v>
      </c>
      <c r="AH290" s="1239">
        <v>2153</v>
      </c>
      <c r="AI290" s="1239">
        <v>780</v>
      </c>
      <c r="AJ290" s="1239"/>
      <c r="AK290" s="1239"/>
      <c r="AL290" s="638" t="s">
        <v>2135</v>
      </c>
      <c r="AM290" s="1239" t="s">
        <v>1042</v>
      </c>
      <c r="AN290" s="484">
        <v>5.5</v>
      </c>
      <c r="AO290" s="638"/>
      <c r="AP290" s="638"/>
      <c r="AQ290" s="484"/>
      <c r="AR290" s="484"/>
      <c r="AS290" s="484"/>
      <c r="AT290" s="484">
        <f>+ab($T$290,$T$288,$T$292,$G$289,$G$291,-1*$F$290,1200)</f>
        <v>4.4376221202531516</v>
      </c>
      <c r="AU290" s="638"/>
      <c r="AV290" s="638"/>
      <c r="AW290" s="638" t="str">
        <f>VLOOKUP(C290,'Foundation Calculation'!$A$2:$C$33,3,1)</f>
        <v>Soil A</v>
      </c>
      <c r="AX290" s="572" t="str">
        <f>VLOOKUP(C290,'Foundation Calculation'!$E$2:$G$33,3,1)</f>
        <v>PT</v>
      </c>
      <c r="AY290" s="484">
        <f>IF(AX290="PT",VLOOKUP(L290,'Foundation Calculation'!$K$2:$R$40,VLOOKUP(AW290,'Foundation Calculation'!$I$2:$J$8,2,FALSE),0),IF(AX290="K",VLOOKUP(L290,'Foundation Calculation'!$K$42:$R$80,VLOOKUP(AW290,'Foundation Calculation'!$I$2:$J$8,2,FALSE),0),""))</f>
        <v>5.6</v>
      </c>
      <c r="AZ290" s="484"/>
      <c r="BA290" s="671" t="s">
        <v>2809</v>
      </c>
      <c r="BB290" s="1239" t="str">
        <f>Pole_Calculations!A178</f>
        <v>App.8-V08F-P10.3</v>
      </c>
      <c r="BC290" s="169" t="s">
        <v>4955</v>
      </c>
      <c r="BD290" s="1330"/>
      <c r="BE290" s="1329"/>
      <c r="BF290" s="1329"/>
      <c r="BG290" s="1329"/>
    </row>
    <row r="291" spans="1:59" ht="15.75" customHeight="1">
      <c r="A291" s="1239"/>
      <c r="B291" s="1239"/>
      <c r="C291" s="171"/>
      <c r="D291" s="1239"/>
      <c r="E291" s="1239"/>
      <c r="F291" s="448"/>
      <c r="G291" s="455">
        <v>31.9</v>
      </c>
      <c r="H291" s="1239"/>
      <c r="I291" s="448"/>
      <c r="J291" s="171"/>
      <c r="K291" s="1239"/>
      <c r="L291" s="638"/>
      <c r="M291" s="638"/>
      <c r="N291" s="1239"/>
      <c r="O291" s="1239"/>
      <c r="P291" s="1239"/>
      <c r="Q291" s="1239"/>
      <c r="R291" s="1239"/>
      <c r="S291" s="455">
        <f t="shared" ref="S291" si="140">AG292-AG290</f>
        <v>32</v>
      </c>
      <c r="T291" s="1239"/>
      <c r="U291" s="1239"/>
      <c r="V291" s="1239"/>
      <c r="W291" s="1239"/>
      <c r="X291" s="1239"/>
      <c r="Y291" s="1239"/>
      <c r="Z291" s="1239"/>
      <c r="AA291" s="1239"/>
      <c r="AB291" s="1239"/>
      <c r="AC291" s="1239"/>
      <c r="AD291" s="1239"/>
      <c r="AE291" s="1239"/>
      <c r="AF291" s="1239"/>
      <c r="AG291" s="1350"/>
      <c r="AH291" s="1285"/>
      <c r="AI291" s="1285"/>
      <c r="AJ291" s="1239"/>
      <c r="AK291" s="1239"/>
      <c r="AL291" s="638"/>
      <c r="AM291" s="1239"/>
      <c r="AN291" s="484"/>
      <c r="AO291" s="638"/>
      <c r="AP291" s="638"/>
      <c r="AQ291" s="484">
        <f>+FL_1($T$292,$T$290,$G$291,1200,9.28,-1*$F$292)</f>
        <v>0.35000000000002102</v>
      </c>
      <c r="AR291" s="484"/>
      <c r="AS291" s="484"/>
      <c r="AT291" s="484"/>
      <c r="AU291" s="638"/>
      <c r="AV291" s="638"/>
      <c r="AW291" s="638"/>
      <c r="AX291" s="638"/>
      <c r="AY291" s="484"/>
      <c r="AZ291" s="484"/>
      <c r="BA291" s="671"/>
      <c r="BB291" s="1239"/>
      <c r="BC291" s="169"/>
      <c r="BD291" s="1330"/>
      <c r="BE291" s="1330"/>
      <c r="BF291" s="1330"/>
      <c r="BG291" s="1330"/>
    </row>
    <row r="292" spans="1:59" ht="15.75" customHeight="1">
      <c r="A292" s="1239"/>
      <c r="B292" s="438" t="s">
        <v>2263</v>
      </c>
      <c r="C292" s="171">
        <f>+$C$290+$G$291</f>
        <v>91738.049999999974</v>
      </c>
      <c r="D292" s="1239"/>
      <c r="E292" s="1239"/>
      <c r="F292" s="448">
        <v>0</v>
      </c>
      <c r="G292" s="455"/>
      <c r="H292" s="1239"/>
      <c r="I292" s="448"/>
      <c r="J292" s="171"/>
      <c r="K292" s="1239"/>
      <c r="L292" s="638" t="s">
        <v>4393</v>
      </c>
      <c r="M292" s="638" t="s">
        <v>4451</v>
      </c>
      <c r="N292" s="1239" t="s">
        <v>143</v>
      </c>
      <c r="O292" s="1239"/>
      <c r="P292" s="1239"/>
      <c r="Q292" s="1239">
        <v>0</v>
      </c>
      <c r="R292" s="1239">
        <v>0</v>
      </c>
      <c r="S292" s="455"/>
      <c r="T292" s="1239">
        <v>-35</v>
      </c>
      <c r="U292" s="1239"/>
      <c r="V292" s="1239"/>
      <c r="W292" s="1239">
        <v>1.4</v>
      </c>
      <c r="X292" s="1239"/>
      <c r="Y292" s="1239"/>
      <c r="Z292" s="1239"/>
      <c r="AA292" s="1239"/>
      <c r="AB292" s="1239"/>
      <c r="AC292" s="1239" t="str">
        <f t="shared" si="130"/>
        <v>PH-C</v>
      </c>
      <c r="AD292" s="1239"/>
      <c r="AE292" s="1239"/>
      <c r="AF292" s="1239"/>
      <c r="AG292" s="1350">
        <v>91738</v>
      </c>
      <c r="AH292" s="1285">
        <v>3223</v>
      </c>
      <c r="AI292" s="1285">
        <v>720</v>
      </c>
      <c r="AJ292" s="1239"/>
      <c r="AK292" s="1239"/>
      <c r="AL292" s="638" t="s">
        <v>2135</v>
      </c>
      <c r="AM292" s="1239" t="s">
        <v>1042</v>
      </c>
      <c r="AN292" s="484">
        <v>5.5</v>
      </c>
      <c r="AO292" s="638"/>
      <c r="AP292" s="638"/>
      <c r="AQ292" s="484"/>
      <c r="AR292" s="484"/>
      <c r="AS292" s="484"/>
      <c r="AT292" s="484">
        <f>+ab($T$292,$T$290,$T$294,$G$291,$G$293,-1*$F$292,1200)</f>
        <v>-4.3843010047193944</v>
      </c>
      <c r="AU292" s="638"/>
      <c r="AV292" s="638"/>
      <c r="AW292" s="638" t="str">
        <f>VLOOKUP(C292,'Foundation Calculation'!$A$2:$C$33,3,1)</f>
        <v>Soil A</v>
      </c>
      <c r="AX292" s="572" t="str">
        <f>VLOOKUP(C292,'Foundation Calculation'!$E$2:$G$33,3,1)</f>
        <v>PT</v>
      </c>
      <c r="AY292" s="484">
        <f>IF(AX292="PT",VLOOKUP(L292,'Foundation Calculation'!$K$2:$R$40,VLOOKUP(AW292,'Foundation Calculation'!$I$2:$J$8,2,FALSE),0),IF(AX292="K",VLOOKUP(L292,'Foundation Calculation'!$K$42:$R$80,VLOOKUP(AW292,'Foundation Calculation'!$I$2:$J$8,2,FALSE),0),""))</f>
        <v>5.6</v>
      </c>
      <c r="AZ292" s="484"/>
      <c r="BA292" s="671" t="s">
        <v>2809</v>
      </c>
      <c r="BB292" s="1239" t="str">
        <f>Pole_Calculations!A178</f>
        <v>App.8-V08F-P10.3</v>
      </c>
      <c r="BC292" s="169" t="s">
        <v>4955</v>
      </c>
      <c r="BD292" s="1330"/>
      <c r="BE292" s="1329"/>
      <c r="BF292" s="1329"/>
      <c r="BG292" s="1329"/>
    </row>
    <row r="293" spans="1:59" ht="15.75" customHeight="1">
      <c r="A293" s="1239"/>
      <c r="B293" s="1239"/>
      <c r="C293" s="171"/>
      <c r="D293" s="1239"/>
      <c r="E293" s="1239"/>
      <c r="F293" s="448"/>
      <c r="G293" s="455">
        <v>32.200000000000003</v>
      </c>
      <c r="H293" s="1239"/>
      <c r="I293" s="448"/>
      <c r="J293" s="171"/>
      <c r="K293" s="1239"/>
      <c r="L293" s="638"/>
      <c r="M293" s="638"/>
      <c r="N293" s="1239"/>
      <c r="O293" s="1239"/>
      <c r="P293" s="1239"/>
      <c r="Q293" s="1239"/>
      <c r="R293" s="1239"/>
      <c r="S293" s="455">
        <f t="shared" ref="S293" si="141">AG294-AG292</f>
        <v>32.470000000001164</v>
      </c>
      <c r="T293" s="1239"/>
      <c r="U293" s="1239"/>
      <c r="V293" s="1239"/>
      <c r="W293" s="1239"/>
      <c r="X293" s="1239"/>
      <c r="Y293" s="1239"/>
      <c r="Z293" s="1239"/>
      <c r="AA293" s="1239"/>
      <c r="AB293" s="1239"/>
      <c r="AC293" s="1239"/>
      <c r="AD293" s="1239"/>
      <c r="AE293" s="1239"/>
      <c r="AF293" s="1239"/>
      <c r="AG293" s="171"/>
      <c r="AH293" s="1239"/>
      <c r="AI293" s="1239"/>
      <c r="AJ293" s="1239"/>
      <c r="AK293" s="1239"/>
      <c r="AL293" s="638"/>
      <c r="AM293" s="1239"/>
      <c r="AN293" s="484"/>
      <c r="AO293" s="638"/>
      <c r="AP293" s="638"/>
      <c r="AQ293" s="484">
        <f>+FL_2($T$294,$T$292,$G$293,1200,9.28,-1*$F$294)</f>
        <v>-0.35000000000002007</v>
      </c>
      <c r="AR293" s="484"/>
      <c r="AS293" s="484"/>
      <c r="AT293" s="484"/>
      <c r="AU293" s="638"/>
      <c r="AV293" s="638"/>
      <c r="AW293" s="638"/>
      <c r="AX293" s="638"/>
      <c r="AY293" s="484"/>
      <c r="AZ293" s="484"/>
      <c r="BA293" s="671"/>
      <c r="BB293" s="1239"/>
      <c r="BC293" s="169"/>
      <c r="BD293" s="1330"/>
      <c r="BE293" s="1330"/>
      <c r="BF293" s="1330"/>
      <c r="BG293" s="1330"/>
    </row>
    <row r="294" spans="1:59" ht="15.75" customHeight="1">
      <c r="A294" s="1239"/>
      <c r="B294" s="438" t="s">
        <v>2264</v>
      </c>
      <c r="C294" s="171">
        <f>+$C$292+$G$293</f>
        <v>91770.249999999971</v>
      </c>
      <c r="D294" s="1239"/>
      <c r="E294" s="1239"/>
      <c r="F294" s="448">
        <v>0</v>
      </c>
      <c r="G294" s="455"/>
      <c r="H294" s="1239"/>
      <c r="I294" s="448"/>
      <c r="J294" s="171"/>
      <c r="K294" s="1239"/>
      <c r="L294" s="638" t="s">
        <v>4488</v>
      </c>
      <c r="M294" s="638" t="s">
        <v>4679</v>
      </c>
      <c r="N294" s="1239" t="s">
        <v>144</v>
      </c>
      <c r="O294" s="1239"/>
      <c r="P294" s="1239"/>
      <c r="Q294" s="1239">
        <v>0</v>
      </c>
      <c r="R294" s="1239">
        <v>0</v>
      </c>
      <c r="S294" s="455"/>
      <c r="T294" s="1239">
        <v>35</v>
      </c>
      <c r="U294" s="1239"/>
      <c r="V294" s="1239"/>
      <c r="W294" s="1239">
        <v>1.4</v>
      </c>
      <c r="X294" s="1239"/>
      <c r="Y294" s="1239"/>
      <c r="Z294" s="1239"/>
      <c r="AA294" s="1239"/>
      <c r="AB294" s="1239"/>
      <c r="AC294" s="1239" t="s">
        <v>3050</v>
      </c>
      <c r="AD294" s="1239"/>
      <c r="AE294" s="1239"/>
      <c r="AF294" s="1239">
        <v>5800</v>
      </c>
      <c r="AG294" s="171">
        <v>91770.47</v>
      </c>
      <c r="AH294" s="1239">
        <v>2143</v>
      </c>
      <c r="AI294" s="1239">
        <v>550</v>
      </c>
      <c r="AJ294" s="1239"/>
      <c r="AK294" s="1239"/>
      <c r="AL294" s="638" t="s">
        <v>4490</v>
      </c>
      <c r="AM294" s="1239" t="s">
        <v>1042</v>
      </c>
      <c r="AN294" s="484">
        <v>5.5</v>
      </c>
      <c r="AO294" s="638"/>
      <c r="AP294" s="638"/>
      <c r="AQ294" s="484"/>
      <c r="AR294" s="484"/>
      <c r="AS294" s="484"/>
      <c r="AT294" s="484">
        <f>+ab($T$294,$T$292,$T$296,$G$293,$G$295,-1*$F$294,1200)</f>
        <v>4.0192479698777355</v>
      </c>
      <c r="AU294" s="638"/>
      <c r="AV294" s="638"/>
      <c r="AW294" s="638" t="str">
        <f>VLOOKUP(C294,'Foundation Calculation'!$A$2:$C$33,3,1)</f>
        <v>Soil A</v>
      </c>
      <c r="AX294" s="572" t="str">
        <f>VLOOKUP(C294,'Foundation Calculation'!$E$2:$G$33,3,1)</f>
        <v>PT</v>
      </c>
      <c r="AY294" s="484">
        <f>IF(AX294="PT",VLOOKUP(L294,'Foundation Calculation'!$K$2:$R$40,VLOOKUP(AW294,'Foundation Calculation'!$I$2:$J$8,2,FALSE),0),IF(AX294="K",VLOOKUP(L294,'Foundation Calculation'!$K$42:$R$80,VLOOKUP(AW294,'Foundation Calculation'!$I$2:$J$8,2,FALSE),0),""))</f>
        <v>4.5999999999999996</v>
      </c>
      <c r="AZ294" s="484"/>
      <c r="BA294" s="671" t="s">
        <v>2809</v>
      </c>
      <c r="BB294" s="1239" t="str">
        <f>Pole_Calculations!A178</f>
        <v>App.8-V08F-P10.3</v>
      </c>
      <c r="BC294" s="169" t="s">
        <v>4955</v>
      </c>
      <c r="BD294" s="1371"/>
      <c r="BE294" s="1371"/>
      <c r="BF294" s="1371"/>
      <c r="BG294" s="1371"/>
    </row>
    <row r="295" spans="1:59" ht="15.75" customHeight="1">
      <c r="A295" s="1239"/>
      <c r="B295" s="1239"/>
      <c r="C295" s="171"/>
      <c r="D295" s="1239"/>
      <c r="E295" s="1239"/>
      <c r="F295" s="448"/>
      <c r="G295" s="455">
        <v>27</v>
      </c>
      <c r="H295" s="1239"/>
      <c r="I295" s="448"/>
      <c r="J295" s="171"/>
      <c r="K295" s="1239"/>
      <c r="L295" s="638"/>
      <c r="M295" s="638"/>
      <c r="N295" s="1239"/>
      <c r="O295" s="1239"/>
      <c r="P295" s="1239"/>
      <c r="Q295" s="1239"/>
      <c r="R295" s="1239"/>
      <c r="S295" s="455">
        <f t="shared" ref="S295" si="142">AG296-AG294</f>
        <v>27.029999999998836</v>
      </c>
      <c r="T295" s="1239"/>
      <c r="U295" s="1239"/>
      <c r="V295" s="1239"/>
      <c r="W295" s="1239"/>
      <c r="X295" s="1239"/>
      <c r="Y295" s="1239"/>
      <c r="Z295" s="1239"/>
      <c r="AA295" s="1239"/>
      <c r="AB295" s="1239"/>
      <c r="AC295" s="1239"/>
      <c r="AD295" s="1239"/>
      <c r="AE295" s="1239"/>
      <c r="AF295" s="1239"/>
      <c r="AG295" s="171"/>
      <c r="AH295" s="1239"/>
      <c r="AI295" s="1239"/>
      <c r="AJ295" s="1239"/>
      <c r="AK295" s="1239"/>
      <c r="AL295" s="638"/>
      <c r="AM295" s="1239"/>
      <c r="AN295" s="484"/>
      <c r="AO295" s="638"/>
      <c r="AP295" s="638"/>
      <c r="AQ295" s="484">
        <f>+FL_1($T$296,$T$294,$G$295,1200,9.28,-1*$F$296)</f>
        <v>0.3500000000000219</v>
      </c>
      <c r="AR295" s="484"/>
      <c r="AS295" s="484"/>
      <c r="AT295" s="484"/>
      <c r="AU295" s="638"/>
      <c r="AV295" s="638"/>
      <c r="AW295" s="638"/>
      <c r="AX295" s="638"/>
      <c r="AY295" s="484"/>
      <c r="AZ295" s="484"/>
      <c r="BA295" s="671"/>
      <c r="BB295" s="1239"/>
      <c r="BC295" s="169"/>
      <c r="BD295" s="1371"/>
      <c r="BE295" s="1371"/>
      <c r="BF295" s="1371"/>
      <c r="BG295" s="1371"/>
    </row>
    <row r="296" spans="1:59" ht="15.75" customHeight="1">
      <c r="A296" s="1239"/>
      <c r="B296" s="438" t="s">
        <v>2265</v>
      </c>
      <c r="C296" s="171">
        <f>+$C$294+$G$295</f>
        <v>91797.249999999971</v>
      </c>
      <c r="D296" s="1239"/>
      <c r="E296" s="1239"/>
      <c r="F296" s="448">
        <v>0</v>
      </c>
      <c r="G296" s="455"/>
      <c r="H296" s="1239"/>
      <c r="I296" s="448"/>
      <c r="J296" s="171"/>
      <c r="K296" s="1239"/>
      <c r="L296" s="638" t="s">
        <v>4488</v>
      </c>
      <c r="M296" s="638" t="s">
        <v>4679</v>
      </c>
      <c r="N296" s="1239" t="s">
        <v>143</v>
      </c>
      <c r="O296" s="1239"/>
      <c r="P296" s="1239"/>
      <c r="Q296" s="1239">
        <v>0</v>
      </c>
      <c r="R296" s="1239">
        <v>0</v>
      </c>
      <c r="S296" s="455"/>
      <c r="T296" s="1239">
        <v>-35</v>
      </c>
      <c r="U296" s="1239"/>
      <c r="V296" s="1239"/>
      <c r="W296" s="1239">
        <v>1.4</v>
      </c>
      <c r="X296" s="1239"/>
      <c r="Y296" s="1239"/>
      <c r="Z296" s="1239"/>
      <c r="AA296" s="1239"/>
      <c r="AB296" s="1239"/>
      <c r="AC296" s="1239" t="s">
        <v>4090</v>
      </c>
      <c r="AD296" s="1239"/>
      <c r="AE296" s="1239"/>
      <c r="AF296" s="1239">
        <v>5900</v>
      </c>
      <c r="AG296" s="171">
        <v>91797.5</v>
      </c>
      <c r="AH296" s="1239">
        <v>2213</v>
      </c>
      <c r="AI296" s="1239">
        <v>400</v>
      </c>
      <c r="AJ296" s="1239"/>
      <c r="AK296" s="1239"/>
      <c r="AL296" s="638" t="s">
        <v>4490</v>
      </c>
      <c r="AM296" s="1239" t="s">
        <v>1042</v>
      </c>
      <c r="AN296" s="484">
        <v>5.5</v>
      </c>
      <c r="AO296" s="638"/>
      <c r="AP296" s="638"/>
      <c r="AQ296" s="484"/>
      <c r="AR296" s="484"/>
      <c r="AS296" s="484"/>
      <c r="AT296" s="484">
        <f>+ab($T$296,$T$294,$T$298,$G$295,$G$297,-1*$F$296,1200)</f>
        <v>-4.2711090750800391</v>
      </c>
      <c r="AU296" s="638"/>
      <c r="AV296" s="638"/>
      <c r="AW296" s="638" t="str">
        <f>VLOOKUP(C296,'Foundation Calculation'!$A$2:$C$33,3,1)</f>
        <v>Soil A</v>
      </c>
      <c r="AX296" s="572" t="str">
        <f>VLOOKUP(C296,'Foundation Calculation'!$E$2:$G$33,3,1)</f>
        <v>PT</v>
      </c>
      <c r="AY296" s="484">
        <f>IF(AX296="PT",VLOOKUP(L296,'Foundation Calculation'!$K$2:$R$40,VLOOKUP(AW296,'Foundation Calculation'!$I$2:$J$8,2,FALSE),0),IF(AX296="K",VLOOKUP(L296,'Foundation Calculation'!$K$42:$R$80,VLOOKUP(AW296,'Foundation Calculation'!$I$2:$J$8,2,FALSE),0),""))</f>
        <v>4.5999999999999996</v>
      </c>
      <c r="AZ296" s="484"/>
      <c r="BA296" s="671" t="s">
        <v>2809</v>
      </c>
      <c r="BB296" s="1239" t="str">
        <f>Pole_Calculations!A178</f>
        <v>App.8-V08F-P10.3</v>
      </c>
      <c r="BC296" s="169" t="s">
        <v>4955</v>
      </c>
      <c r="BD296" s="1371"/>
      <c r="BE296" s="1371"/>
      <c r="BF296" s="1371"/>
      <c r="BG296" s="1371"/>
    </row>
    <row r="297" spans="1:59" ht="15.75" customHeight="1">
      <c r="A297" s="1239"/>
      <c r="B297" s="1239"/>
      <c r="C297" s="171"/>
      <c r="D297" s="1239"/>
      <c r="E297" s="1239"/>
      <c r="F297" s="448"/>
      <c r="G297" s="455">
        <v>37</v>
      </c>
      <c r="H297" s="1239"/>
      <c r="I297" s="448"/>
      <c r="J297" s="171"/>
      <c r="K297" s="1239"/>
      <c r="L297" s="638"/>
      <c r="M297" s="638"/>
      <c r="N297" s="1239"/>
      <c r="O297" s="1239"/>
      <c r="P297" s="1239"/>
      <c r="Q297" s="1239"/>
      <c r="R297" s="1239"/>
      <c r="S297" s="455">
        <f t="shared" ref="S297" si="143">AG298-AG296</f>
        <v>36.869999999995343</v>
      </c>
      <c r="T297" s="1239"/>
      <c r="U297" s="1239"/>
      <c r="V297" s="1239"/>
      <c r="W297" s="1239"/>
      <c r="X297" s="1239"/>
      <c r="Y297" s="1239"/>
      <c r="Z297" s="1239"/>
      <c r="AA297" s="1239"/>
      <c r="AB297" s="1239"/>
      <c r="AC297" s="1239"/>
      <c r="AD297" s="1239"/>
      <c r="AE297" s="1239"/>
      <c r="AF297" s="1239"/>
      <c r="AG297" s="171"/>
      <c r="AH297" s="1239"/>
      <c r="AI297" s="1239"/>
      <c r="AJ297" s="1239"/>
      <c r="AK297" s="1239"/>
      <c r="AL297" s="638"/>
      <c r="AM297" s="1239"/>
      <c r="AN297" s="484"/>
      <c r="AO297" s="638"/>
      <c r="AP297" s="638"/>
      <c r="AQ297" s="484">
        <f>+FL_2($T$298,$T$296,$G$297,1200,9.28,-1*$F$298)</f>
        <v>-0.35000000000000558</v>
      </c>
      <c r="AR297" s="484"/>
      <c r="AS297" s="484"/>
      <c r="AT297" s="484"/>
      <c r="AU297" s="638"/>
      <c r="AV297" s="638"/>
      <c r="AW297" s="638"/>
      <c r="AX297" s="638"/>
      <c r="AY297" s="484"/>
      <c r="AZ297" s="484"/>
      <c r="BA297" s="671"/>
      <c r="BB297" s="1239"/>
      <c r="BC297" s="169"/>
      <c r="BD297" s="1371"/>
      <c r="BE297" s="1371"/>
      <c r="BF297" s="1371"/>
      <c r="BG297" s="1371"/>
    </row>
    <row r="298" spans="1:59" ht="15.75" customHeight="1">
      <c r="A298" s="1239"/>
      <c r="B298" s="438" t="s">
        <v>2266</v>
      </c>
      <c r="C298" s="171">
        <f>+$C$296+$G$297</f>
        <v>91834.249999999971</v>
      </c>
      <c r="D298" s="1239"/>
      <c r="E298" s="1239"/>
      <c r="F298" s="448">
        <v>0</v>
      </c>
      <c r="G298" s="455"/>
      <c r="H298" s="1239"/>
      <c r="I298" s="448"/>
      <c r="J298" s="171"/>
      <c r="K298" s="1239"/>
      <c r="L298" s="638" t="s">
        <v>4488</v>
      </c>
      <c r="M298" s="638" t="s">
        <v>4679</v>
      </c>
      <c r="N298" s="1239" t="s">
        <v>144</v>
      </c>
      <c r="O298" s="1239"/>
      <c r="P298" s="1239"/>
      <c r="Q298" s="1239">
        <v>0</v>
      </c>
      <c r="R298" s="1239">
        <v>0</v>
      </c>
      <c r="S298" s="455"/>
      <c r="T298" s="1239">
        <v>35</v>
      </c>
      <c r="U298" s="1239"/>
      <c r="V298" s="1239"/>
      <c r="W298" s="1239">
        <v>1.4</v>
      </c>
      <c r="X298" s="1239"/>
      <c r="Y298" s="1239"/>
      <c r="Z298" s="1239"/>
      <c r="AA298" s="1239"/>
      <c r="AB298" s="1239"/>
      <c r="AC298" s="1239" t="s">
        <v>4090</v>
      </c>
      <c r="AD298" s="1239"/>
      <c r="AE298" s="1239"/>
      <c r="AF298" s="1239">
        <v>5800</v>
      </c>
      <c r="AG298" s="171">
        <v>91834.37</v>
      </c>
      <c r="AH298" s="1239">
        <v>2173</v>
      </c>
      <c r="AI298" s="1239">
        <v>310</v>
      </c>
      <c r="AJ298" s="1239"/>
      <c r="AK298" s="1239"/>
      <c r="AL298" s="638" t="s">
        <v>4490</v>
      </c>
      <c r="AM298" s="1239" t="s">
        <v>1042</v>
      </c>
      <c r="AN298" s="484">
        <v>5.5</v>
      </c>
      <c r="AO298" s="638"/>
      <c r="AP298" s="638"/>
      <c r="AQ298" s="484"/>
      <c r="AR298" s="484"/>
      <c r="AS298" s="484"/>
      <c r="AT298" s="484">
        <f>+ab($T$298,$T$296,$T$300,$G$297,$G$299,-1*$F$298,1200)</f>
        <v>5.1516806182912349</v>
      </c>
      <c r="AU298" s="638"/>
      <c r="AV298" s="638"/>
      <c r="AW298" s="638" t="str">
        <f>VLOOKUP(C298,'Foundation Calculation'!$A$2:$C$33,3,1)</f>
        <v>Soil A</v>
      </c>
      <c r="AX298" s="572" t="str">
        <f>VLOOKUP(C298,'Foundation Calculation'!$E$2:$G$33,3,1)</f>
        <v>PT</v>
      </c>
      <c r="AY298" s="484">
        <f>IF(AX298="PT",VLOOKUP(L298,'Foundation Calculation'!$K$2:$R$40,VLOOKUP(AW298,'Foundation Calculation'!$I$2:$J$8,2,FALSE),0),IF(AX298="K",VLOOKUP(L298,'Foundation Calculation'!$K$42:$R$80,VLOOKUP(AW298,'Foundation Calculation'!$I$2:$J$8,2,FALSE),0),""))</f>
        <v>4.5999999999999996</v>
      </c>
      <c r="AZ298" s="484"/>
      <c r="BA298" s="671" t="s">
        <v>2809</v>
      </c>
      <c r="BB298" s="1239" t="str">
        <f>Pole_Calculations!A178</f>
        <v>App.8-V08F-P10.3</v>
      </c>
      <c r="BC298" s="169" t="s">
        <v>4955</v>
      </c>
      <c r="BD298" s="1371"/>
      <c r="BE298" s="1371"/>
      <c r="BF298" s="1371"/>
      <c r="BG298" s="1371"/>
    </row>
    <row r="299" spans="1:59" ht="15.75" customHeight="1">
      <c r="A299" s="1239"/>
      <c r="B299" s="1239"/>
      <c r="C299" s="171"/>
      <c r="D299" s="1239"/>
      <c r="E299" s="1239"/>
      <c r="F299" s="448"/>
      <c r="G299" s="455">
        <v>38.4</v>
      </c>
      <c r="H299" s="1239"/>
      <c r="I299" s="448"/>
      <c r="J299" s="171"/>
      <c r="K299" s="1239"/>
      <c r="L299" s="638"/>
      <c r="M299" s="638"/>
      <c r="N299" s="1239"/>
      <c r="O299" s="1239"/>
      <c r="P299" s="1239"/>
      <c r="Q299" s="1239"/>
      <c r="R299" s="1239"/>
      <c r="S299" s="455">
        <f t="shared" ref="S299" si="144">AG300-AG298</f>
        <v>38.419999999998254</v>
      </c>
      <c r="T299" s="1239"/>
      <c r="U299" s="1239"/>
      <c r="V299" s="1239"/>
      <c r="W299" s="1239"/>
      <c r="X299" s="1239"/>
      <c r="Y299" s="1239"/>
      <c r="Z299" s="1239"/>
      <c r="AA299" s="1239"/>
      <c r="AB299" s="1239"/>
      <c r="AC299" s="1239"/>
      <c r="AD299" s="1239"/>
      <c r="AE299" s="1239"/>
      <c r="AF299" s="1239"/>
      <c r="AG299" s="171"/>
      <c r="AH299" s="1239"/>
      <c r="AI299" s="1239"/>
      <c r="AJ299" s="1239"/>
      <c r="AK299" s="1239"/>
      <c r="AL299" s="638"/>
      <c r="AM299" s="1239"/>
      <c r="AN299" s="484"/>
      <c r="AO299" s="638"/>
      <c r="AP299" s="638"/>
      <c r="AQ299" s="484">
        <f>+FL_1($T$300,$T$298,$G$299,1200,9.28,-1*$F$300)</f>
        <v>0.35000000000000309</v>
      </c>
      <c r="AR299" s="484"/>
      <c r="AS299" s="484"/>
      <c r="AT299" s="484"/>
      <c r="AU299" s="638"/>
      <c r="AV299" s="638"/>
      <c r="AW299" s="638"/>
      <c r="AX299" s="638"/>
      <c r="AY299" s="484"/>
      <c r="AZ299" s="484"/>
      <c r="BA299" s="671"/>
      <c r="BB299" s="1239"/>
      <c r="BC299" s="169"/>
      <c r="BD299" s="1371"/>
      <c r="BE299" s="1371"/>
      <c r="BF299" s="1371"/>
      <c r="BG299" s="1371"/>
    </row>
    <row r="300" spans="1:59" ht="15.75" customHeight="1">
      <c r="A300" s="1239"/>
      <c r="B300" s="438" t="s">
        <v>2267</v>
      </c>
      <c r="C300" s="171">
        <f>+$C$298+$G$299</f>
        <v>91872.649999999965</v>
      </c>
      <c r="D300" s="1239"/>
      <c r="E300" s="1239"/>
      <c r="F300" s="448">
        <v>0</v>
      </c>
      <c r="G300" s="455"/>
      <c r="H300" s="1239"/>
      <c r="I300" s="448"/>
      <c r="J300" s="171"/>
      <c r="K300" s="1239"/>
      <c r="L300" s="638" t="s">
        <v>4488</v>
      </c>
      <c r="M300" s="638" t="s">
        <v>4679</v>
      </c>
      <c r="N300" s="1239" t="s">
        <v>143</v>
      </c>
      <c r="O300" s="1239"/>
      <c r="P300" s="1239"/>
      <c r="Q300" s="1239">
        <v>0</v>
      </c>
      <c r="R300" s="1239">
        <v>0</v>
      </c>
      <c r="S300" s="455"/>
      <c r="T300" s="1239">
        <v>-35</v>
      </c>
      <c r="U300" s="1239"/>
      <c r="V300" s="1239"/>
      <c r="W300" s="1239">
        <v>1.4</v>
      </c>
      <c r="X300" s="1239"/>
      <c r="Y300" s="1239"/>
      <c r="Z300" s="1239"/>
      <c r="AA300" s="1239"/>
      <c r="AB300" s="1239"/>
      <c r="AC300" s="1239" t="s">
        <v>4115</v>
      </c>
      <c r="AD300" s="1239"/>
      <c r="AE300" s="1239"/>
      <c r="AF300" s="1239">
        <v>5800</v>
      </c>
      <c r="AG300" s="171">
        <v>91872.79</v>
      </c>
      <c r="AH300" s="1239">
        <v>1763</v>
      </c>
      <c r="AI300" s="1239">
        <v>150</v>
      </c>
      <c r="AJ300" s="1239"/>
      <c r="AK300" s="1239"/>
      <c r="AL300" s="638" t="s">
        <v>4490</v>
      </c>
      <c r="AM300" s="1239" t="s">
        <v>1042</v>
      </c>
      <c r="AN300" s="484">
        <v>5.5</v>
      </c>
      <c r="AO300" s="638"/>
      <c r="AP300" s="638"/>
      <c r="AQ300" s="484"/>
      <c r="AR300" s="484"/>
      <c r="AS300" s="484"/>
      <c r="AT300" s="484">
        <f>+ab($T$300,$T$298,$T$302,$G$299,$G$301,-1*$F$300,1200)</f>
        <v>-5.7847046708000764</v>
      </c>
      <c r="AU300" s="638"/>
      <c r="AV300" s="638"/>
      <c r="AW300" s="638" t="str">
        <f>VLOOKUP(C300,'Foundation Calculation'!$A$2:$C$33,3,1)</f>
        <v>Soil A</v>
      </c>
      <c r="AX300" s="572" t="str">
        <f>VLOOKUP(C300,'Foundation Calculation'!$E$2:$G$33,3,1)</f>
        <v>PT</v>
      </c>
      <c r="AY300" s="484">
        <f>IF(AX300="PT",VLOOKUP(L300,'Foundation Calculation'!$K$2:$R$40,VLOOKUP(AW300,'Foundation Calculation'!$I$2:$J$8,2,FALSE),0),IF(AX300="K",VLOOKUP(L300,'Foundation Calculation'!$K$42:$R$80,VLOOKUP(AW300,'Foundation Calculation'!$I$2:$J$8,2,FALSE),0),""))</f>
        <v>4.5999999999999996</v>
      </c>
      <c r="AZ300" s="484"/>
      <c r="BA300" s="671" t="s">
        <v>2809</v>
      </c>
      <c r="BB300" s="1239" t="str">
        <f>Pole_Calculations!A178</f>
        <v>App.8-V08F-P10.3</v>
      </c>
      <c r="BC300" s="169" t="s">
        <v>4955</v>
      </c>
      <c r="BD300" s="1371"/>
      <c r="BE300" s="1371"/>
      <c r="BF300" s="1371"/>
      <c r="BG300" s="1371"/>
    </row>
    <row r="301" spans="1:59" ht="15.75" customHeight="1">
      <c r="A301" s="1239"/>
      <c r="B301" s="1239"/>
      <c r="C301" s="171"/>
      <c r="D301" s="1239"/>
      <c r="E301" s="1239"/>
      <c r="F301" s="448"/>
      <c r="G301" s="455">
        <v>47.2</v>
      </c>
      <c r="H301" s="1239"/>
      <c r="I301" s="448"/>
      <c r="J301" s="446"/>
      <c r="K301" s="638"/>
      <c r="L301" s="638"/>
      <c r="M301" s="638"/>
      <c r="N301" s="1239"/>
      <c r="O301" s="1239"/>
      <c r="P301" s="1239"/>
      <c r="Q301" s="1239"/>
      <c r="R301" s="1239"/>
      <c r="S301" s="455">
        <f t="shared" ref="S301" si="145">AG302-AG300</f>
        <v>47.210000000006403</v>
      </c>
      <c r="T301" s="1239"/>
      <c r="U301" s="1239"/>
      <c r="V301" s="1239"/>
      <c r="W301" s="1239"/>
      <c r="X301" s="1239"/>
      <c r="Y301" s="1239"/>
      <c r="Z301" s="1239"/>
      <c r="AA301" s="1239"/>
      <c r="AB301" s="1239"/>
      <c r="AC301" s="1239"/>
      <c r="AD301" s="1239"/>
      <c r="AE301" s="1239"/>
      <c r="AF301" s="1239"/>
      <c r="AG301" s="171"/>
      <c r="AH301" s="1239"/>
      <c r="AI301" s="1239"/>
      <c r="AJ301" s="1239"/>
      <c r="AK301" s="1239"/>
      <c r="AL301" s="638"/>
      <c r="AM301" s="1239"/>
      <c r="AN301" s="484"/>
      <c r="AO301" s="638"/>
      <c r="AP301" s="638"/>
      <c r="AQ301" s="484">
        <f>+FL_1($T$302,$T$300,$G$301,1200,9.28,-1*$F$302)</f>
        <v>0.35756302454237288</v>
      </c>
      <c r="AR301" s="484"/>
      <c r="AS301" s="484"/>
      <c r="AT301" s="484"/>
      <c r="AU301" s="638"/>
      <c r="AV301" s="638"/>
      <c r="AW301" s="638"/>
      <c r="AX301" s="572"/>
      <c r="AY301" s="484"/>
      <c r="AZ301" s="484"/>
      <c r="BA301" s="671"/>
      <c r="BB301" s="1239"/>
      <c r="BC301" s="169"/>
      <c r="BD301" s="1329"/>
      <c r="BE301" s="1330"/>
      <c r="BF301" s="1330"/>
      <c r="BG301" s="1330"/>
    </row>
    <row r="302" spans="1:59" s="1288" customFormat="1" ht="15.75" customHeight="1">
      <c r="A302" s="1285"/>
      <c r="B302" s="438" t="s">
        <v>2268</v>
      </c>
      <c r="C302" s="1350">
        <f>+$C$300+$G$301+0.15</f>
        <v>91919.999999999956</v>
      </c>
      <c r="D302" s="1285"/>
      <c r="E302" s="1285"/>
      <c r="F302" s="1351">
        <v>0</v>
      </c>
      <c r="G302" s="1352"/>
      <c r="H302" s="1285" t="s">
        <v>138</v>
      </c>
      <c r="I302" s="1351" t="s">
        <v>623</v>
      </c>
      <c r="J302" s="1350"/>
      <c r="K302" s="1285"/>
      <c r="L302" s="1353" t="s">
        <v>4666</v>
      </c>
      <c r="M302" s="1353" t="str">
        <f>IF(AX302="PT",VLOOKUP(L302,'Foundation Calculation'!$V$2:$X$40,VLOOKUP(AX302,'Foundation Calculation'!$I$10:$J$13,2,FALSE),0),IF(AX302="K",VLOOKUP(L302,'Foundation Calculation'!$V$42:$X$80,VLOOKUP(AX302,'Foundation Calculation'!$I$10:$J$13,2,FALSE),0),""))</f>
        <v>C12R</v>
      </c>
      <c r="N302" s="1285" t="s">
        <v>144</v>
      </c>
      <c r="O302" s="1285"/>
      <c r="P302" s="1285"/>
      <c r="Q302" s="1285">
        <v>0</v>
      </c>
      <c r="R302" s="1285">
        <v>0</v>
      </c>
      <c r="S302" s="1352"/>
      <c r="T302" s="1285">
        <v>35</v>
      </c>
      <c r="U302" s="1285"/>
      <c r="V302" s="1285"/>
      <c r="W302" s="1285">
        <v>1.4</v>
      </c>
      <c r="X302" s="1285"/>
      <c r="Y302" s="1285"/>
      <c r="Z302" s="1285"/>
      <c r="AA302" s="1285"/>
      <c r="AB302" s="1285"/>
      <c r="AC302" s="1285" t="s">
        <v>4090</v>
      </c>
      <c r="AD302" s="1285"/>
      <c r="AE302" s="1285"/>
      <c r="AF302" s="1285">
        <v>5800</v>
      </c>
      <c r="AG302" s="1350">
        <v>91920</v>
      </c>
      <c r="AH302" s="1285">
        <v>2043</v>
      </c>
      <c r="AI302" s="1285">
        <v>240</v>
      </c>
      <c r="AJ302" s="1285"/>
      <c r="AK302" s="1285"/>
      <c r="AL302" s="1353" t="s">
        <v>4490</v>
      </c>
      <c r="AM302" s="1285" t="s">
        <v>1042</v>
      </c>
      <c r="AN302" s="1354">
        <v>5.5</v>
      </c>
      <c r="AO302" s="1353"/>
      <c r="AP302" s="1353"/>
      <c r="AQ302" s="1354"/>
      <c r="AR302" s="1354"/>
      <c r="AS302" s="1354"/>
      <c r="AT302" s="1354">
        <f>+ab($T$302,$T$300,$U$304,$G$301,$G$303,-1*$F$302,1200)</f>
        <v>6.9863449625970562</v>
      </c>
      <c r="AU302" s="1353"/>
      <c r="AV302" s="1353"/>
      <c r="AW302" s="1353" t="str">
        <f>VLOOKUP(C302,'Foundation Calculation'!$A$2:$C$33,3,1)</f>
        <v>Soil A</v>
      </c>
      <c r="AX302" s="1353" t="str">
        <f>VLOOKUP(C302,'Foundation Calculation'!$E$2:$G$33,3,1)</f>
        <v>PT</v>
      </c>
      <c r="AY302" s="1354">
        <f>IF(AX302="PT",VLOOKUP(L302,'Foundation Calculation'!$K$2:$R$40,VLOOKUP(AW302,'Foundation Calculation'!$I$2:$J$8,2,FALSE),0),IF(AX302="K",VLOOKUP(L302,'Foundation Calculation'!$K$42:$R$80,VLOOKUP(AW302,'Foundation Calculation'!$I$2:$J$8,2,FALSE),0),""))</f>
        <v>6</v>
      </c>
      <c r="AZ302" s="1354"/>
      <c r="BA302" s="1355" t="s">
        <v>2809</v>
      </c>
      <c r="BB302" s="1285" t="str">
        <f>Pole_Calculations!A178</f>
        <v>App.8-V08F-P10.3</v>
      </c>
      <c r="BC302" s="823"/>
      <c r="BD302" s="1356"/>
      <c r="BE302" s="1356"/>
      <c r="BF302" s="1356"/>
      <c r="BG302" s="1356"/>
    </row>
    <row r="303" spans="1:59" ht="15.75" customHeight="1">
      <c r="A303" s="1239"/>
      <c r="B303" s="1239"/>
      <c r="C303" s="171"/>
      <c r="D303" s="1239"/>
      <c r="E303" s="1239"/>
      <c r="F303" s="448"/>
      <c r="G303" s="455">
        <v>48</v>
      </c>
      <c r="H303" s="1239"/>
      <c r="I303" s="448"/>
      <c r="J303" s="446"/>
      <c r="K303" s="638"/>
      <c r="L303" s="638"/>
      <c r="M303" s="638"/>
      <c r="N303" s="1239"/>
      <c r="O303" s="1239"/>
      <c r="P303" s="1239"/>
      <c r="Q303" s="1239"/>
      <c r="R303" s="1239"/>
      <c r="S303" s="455">
        <f t="shared" ref="S303" si="146">AG304-AG302</f>
        <v>48</v>
      </c>
      <c r="T303" s="1239"/>
      <c r="U303" s="1239"/>
      <c r="V303" s="1239"/>
      <c r="W303" s="1239"/>
      <c r="X303" s="1239"/>
      <c r="Y303" s="1239"/>
      <c r="Z303" s="1239"/>
      <c r="AA303" s="1239"/>
      <c r="AB303" s="1239"/>
      <c r="AC303" s="1239"/>
      <c r="AD303" s="1239"/>
      <c r="AE303" s="1239"/>
      <c r="AF303" s="1239"/>
      <c r="AG303" s="171"/>
      <c r="AH303" s="1239"/>
      <c r="AI303" s="1239"/>
      <c r="AJ303" s="1239"/>
      <c r="AK303" s="1239"/>
      <c r="AL303" s="638"/>
      <c r="AM303" s="1239"/>
      <c r="AN303" s="484"/>
      <c r="AO303" s="638"/>
      <c r="AP303" s="638"/>
      <c r="AQ303" s="484">
        <f>+FL_1($U$304,$T$302,$G$303,1200,9.28,-1*$F$304)</f>
        <v>0.37374370133333334</v>
      </c>
      <c r="AR303" s="484"/>
      <c r="AS303" s="484"/>
      <c r="AT303" s="484"/>
      <c r="AU303" s="638"/>
      <c r="AV303" s="638"/>
      <c r="AW303" s="638"/>
      <c r="AX303" s="572"/>
      <c r="AY303" s="484"/>
      <c r="AZ303" s="484"/>
      <c r="BA303" s="671"/>
      <c r="BB303" s="1239"/>
      <c r="BC303" s="169"/>
      <c r="BD303" s="1329"/>
      <c r="BE303" s="1330"/>
      <c r="BF303" s="1330"/>
      <c r="BG303" s="1330"/>
    </row>
    <row r="304" spans="1:59" s="1288" customFormat="1" ht="15.75" customHeight="1">
      <c r="A304" s="1285"/>
      <c r="B304" s="438" t="s">
        <v>2269</v>
      </c>
      <c r="C304" s="1350">
        <f>+$C$302+$G$303</f>
        <v>91967.999999999956</v>
      </c>
      <c r="D304" s="1285"/>
      <c r="E304" s="1285"/>
      <c r="F304" s="1351">
        <v>0</v>
      </c>
      <c r="G304" s="1352"/>
      <c r="H304" s="1285" t="s">
        <v>2128</v>
      </c>
      <c r="I304" s="1351" t="s">
        <v>623</v>
      </c>
      <c r="J304" s="1350"/>
      <c r="K304" s="1285"/>
      <c r="L304" s="1353" t="s">
        <v>4666</v>
      </c>
      <c r="M304" s="1353" t="str">
        <f>IF(AX304="PT",VLOOKUP(L304,'Foundation Calculation'!$V$2:$X$40,VLOOKUP(AX304,'Foundation Calculation'!$I$10:$J$13,2,FALSE),0),IF(AX304="K",VLOOKUP(L304,'Foundation Calculation'!$V$42:$X$80,VLOOKUP(AX304,'Foundation Calculation'!$I$10:$J$13,2,FALSE),0),""))</f>
        <v>C12R</v>
      </c>
      <c r="N304" s="1285" t="s">
        <v>140</v>
      </c>
      <c r="O304" s="1285" t="s">
        <v>143</v>
      </c>
      <c r="P304" s="1285"/>
      <c r="Q304" s="1285">
        <v>0</v>
      </c>
      <c r="R304" s="1285">
        <v>0</v>
      </c>
      <c r="S304" s="1352"/>
      <c r="T304" s="1285">
        <v>50</v>
      </c>
      <c r="U304" s="1285">
        <v>-25</v>
      </c>
      <c r="V304" s="1285"/>
      <c r="W304" s="1285">
        <v>1.4</v>
      </c>
      <c r="X304" s="1285">
        <v>1.8</v>
      </c>
      <c r="Y304" s="1285"/>
      <c r="Z304" s="1285">
        <v>0.45</v>
      </c>
      <c r="AA304" s="1285"/>
      <c r="AB304" s="1285"/>
      <c r="AC304" s="1285" t="s">
        <v>4090</v>
      </c>
      <c r="AD304" s="1285"/>
      <c r="AE304" s="1285"/>
      <c r="AF304" s="1285">
        <v>5800</v>
      </c>
      <c r="AG304" s="1350">
        <v>91968</v>
      </c>
      <c r="AH304" s="1285">
        <v>2023</v>
      </c>
      <c r="AI304" s="1285">
        <v>150</v>
      </c>
      <c r="AJ304" s="1285"/>
      <c r="AK304" s="1285"/>
      <c r="AL304" s="1353" t="s">
        <v>4490</v>
      </c>
      <c r="AM304" s="1285" t="s">
        <v>1042</v>
      </c>
      <c r="AN304" s="1354">
        <v>5.5</v>
      </c>
      <c r="AO304" s="1353"/>
      <c r="AP304" s="1353"/>
      <c r="AQ304" s="1354"/>
      <c r="AR304" s="1354"/>
      <c r="AS304" s="1354"/>
      <c r="AT304" s="1354">
        <f>+ab($U$304,$T$302,$U$306,$G$303,$G$305,-1*$F$304,1200)</f>
        <v>-9.2582618686487095</v>
      </c>
      <c r="AU304" s="1353"/>
      <c r="AV304" s="1353"/>
      <c r="AW304" s="1353" t="str">
        <f>VLOOKUP(C304,'Foundation Calculation'!$A$2:$C$33,3,1)</f>
        <v>Soil A</v>
      </c>
      <c r="AX304" s="1353" t="str">
        <f>VLOOKUP(C304,'Foundation Calculation'!$E$2:$G$33,3,1)</f>
        <v>PT</v>
      </c>
      <c r="AY304" s="1354">
        <f>IF(AX304="PT",VLOOKUP(L304,'Foundation Calculation'!$K$2:$R$40,VLOOKUP(AW304,'Foundation Calculation'!$I$2:$J$8,2,FALSE),0),IF(AX304="K",VLOOKUP(L304,'Foundation Calculation'!$K$42:$R$80,VLOOKUP(AW304,'Foundation Calculation'!$I$2:$J$8,2,FALSE),0),""))</f>
        <v>6</v>
      </c>
      <c r="AZ304" s="1354"/>
      <c r="BA304" s="1355" t="s">
        <v>2809</v>
      </c>
      <c r="BB304" s="1285" t="str">
        <f>Pole_Calculations!A178</f>
        <v>App.8-V08F-P10.3</v>
      </c>
      <c r="BC304" s="823"/>
      <c r="BD304" s="1356"/>
      <c r="BE304" s="1356"/>
      <c r="BF304" s="1356"/>
      <c r="BG304" s="1356"/>
    </row>
    <row r="305" spans="1:59" ht="15.75" customHeight="1">
      <c r="A305" s="1239"/>
      <c r="B305" s="1239"/>
      <c r="C305" s="171"/>
      <c r="D305" s="1239"/>
      <c r="E305" s="1239"/>
      <c r="F305" s="448"/>
      <c r="G305" s="455">
        <v>43.5</v>
      </c>
      <c r="H305" s="1239"/>
      <c r="I305" s="448"/>
      <c r="J305" s="171"/>
      <c r="K305" s="1239"/>
      <c r="L305" s="638"/>
      <c r="M305" s="638"/>
      <c r="N305" s="1239"/>
      <c r="O305" s="1239"/>
      <c r="P305" s="1239"/>
      <c r="Q305" s="1239"/>
      <c r="R305" s="1239"/>
      <c r="S305" s="455">
        <f t="shared" ref="S305" si="147">AG306-AG304</f>
        <v>43</v>
      </c>
      <c r="T305" s="1239"/>
      <c r="U305" s="1239"/>
      <c r="V305" s="1239"/>
      <c r="W305" s="1239"/>
      <c r="X305" s="1239"/>
      <c r="Y305" s="1239"/>
      <c r="Z305" s="1239"/>
      <c r="AA305" s="1239"/>
      <c r="AB305" s="1239"/>
      <c r="AC305" s="1239"/>
      <c r="AD305" s="1239"/>
      <c r="AE305" s="1239"/>
      <c r="AF305" s="1239"/>
      <c r="AG305" s="171"/>
      <c r="AH305" s="1239"/>
      <c r="AI305" s="1239"/>
      <c r="AJ305" s="1239"/>
      <c r="AK305" s="1239"/>
      <c r="AL305" s="638"/>
      <c r="AM305" s="1239"/>
      <c r="AN305" s="484"/>
      <c r="AO305" s="638"/>
      <c r="AP305" s="638"/>
      <c r="AQ305" s="484">
        <f>+FL_1($U$306,$U$304,$G$305,1200,9.28,-1*$F$306)</f>
        <v>0.14977379425287354</v>
      </c>
      <c r="AR305" s="484"/>
      <c r="AS305" s="484"/>
      <c r="AT305" s="484"/>
      <c r="AU305" s="638"/>
      <c r="AV305" s="638"/>
      <c r="AW305" s="638"/>
      <c r="AX305" s="638"/>
      <c r="AY305" s="484"/>
      <c r="AZ305" s="484"/>
      <c r="BA305" s="671"/>
      <c r="BB305" s="1239"/>
      <c r="BC305" s="169"/>
      <c r="BD305" s="1330"/>
      <c r="BE305" s="1330"/>
      <c r="BF305" s="1330"/>
      <c r="BG305" s="1330"/>
    </row>
    <row r="306" spans="1:59" s="1288" customFormat="1" ht="15.75" customHeight="1">
      <c r="A306" s="1285"/>
      <c r="B306" s="438" t="s">
        <v>2298</v>
      </c>
      <c r="C306" s="1350">
        <f>+$C$304+$G$305</f>
        <v>92011.499999999956</v>
      </c>
      <c r="D306" s="1285"/>
      <c r="E306" s="1285"/>
      <c r="F306" s="1351">
        <v>0</v>
      </c>
      <c r="G306" s="1352"/>
      <c r="H306" s="1285" t="s">
        <v>619</v>
      </c>
      <c r="I306" s="1351"/>
      <c r="J306" s="1350"/>
      <c r="K306" s="1285"/>
      <c r="L306" s="1353" t="s">
        <v>4488</v>
      </c>
      <c r="M306" s="1353" t="s">
        <v>4679</v>
      </c>
      <c r="N306" s="1285" t="s">
        <v>140</v>
      </c>
      <c r="O306" s="1285" t="s">
        <v>144</v>
      </c>
      <c r="P306" s="1285"/>
      <c r="Q306" s="1285">
        <v>0</v>
      </c>
      <c r="R306" s="1285">
        <v>0</v>
      </c>
      <c r="S306" s="1352"/>
      <c r="T306" s="1285">
        <v>55</v>
      </c>
      <c r="U306" s="1285">
        <v>10</v>
      </c>
      <c r="V306" s="1285"/>
      <c r="W306" s="1285">
        <v>1.4</v>
      </c>
      <c r="X306" s="1285">
        <v>1.8</v>
      </c>
      <c r="Y306" s="1285"/>
      <c r="Z306" s="1285">
        <v>0.45</v>
      </c>
      <c r="AA306" s="1285"/>
      <c r="AB306" s="1285"/>
      <c r="AC306" s="1285" t="s">
        <v>4090</v>
      </c>
      <c r="AD306" s="1285"/>
      <c r="AE306" s="1285"/>
      <c r="AF306" s="1285">
        <v>5700</v>
      </c>
      <c r="AG306" s="1350">
        <v>92011</v>
      </c>
      <c r="AH306" s="1285">
        <v>2133</v>
      </c>
      <c r="AI306" s="1285">
        <v>-20</v>
      </c>
      <c r="AJ306" s="1285"/>
      <c r="AK306" s="1285"/>
      <c r="AL306" s="1353" t="s">
        <v>4490</v>
      </c>
      <c r="AM306" s="1285" t="s">
        <v>1042</v>
      </c>
      <c r="AN306" s="1354">
        <v>5.5</v>
      </c>
      <c r="AO306" s="1353"/>
      <c r="AP306" s="1353"/>
      <c r="AQ306" s="1354"/>
      <c r="AR306" s="1354"/>
      <c r="AS306" s="1354"/>
      <c r="AT306" s="1354">
        <f>+ab($U$306,$U$304,$U$308,$G$305,$G$307,-1*$F$306,1200)</f>
        <v>8.6464441757924906</v>
      </c>
      <c r="AU306" s="1353"/>
      <c r="AV306" s="1353"/>
      <c r="AW306" s="1353" t="str">
        <f>VLOOKUP(C306,'Foundation Calculation'!$A$2:$C$33,3,1)</f>
        <v>Soil B</v>
      </c>
      <c r="AX306" s="1353" t="str">
        <f>VLOOKUP(C306,'Foundation Calculation'!$E$2:$G$33,3,1)</f>
        <v>PT</v>
      </c>
      <c r="AY306" s="1354">
        <f>IF(AX306="PT",VLOOKUP(L306,'Foundation Calculation'!$K$2:$R$40,VLOOKUP(AW306,'Foundation Calculation'!$I$2:$J$8,2,FALSE),0),IF(AX306="K",VLOOKUP(L306,'Foundation Calculation'!$K$42:$R$80,VLOOKUP(AW306,'Foundation Calculation'!$I$2:$J$8,2,FALSE),0),""))</f>
        <v>4.5999999999999996</v>
      </c>
      <c r="AZ306" s="1354"/>
      <c r="BA306" s="1355" t="s">
        <v>2809</v>
      </c>
      <c r="BB306" s="1285" t="str">
        <f>Pole_Calculations!A178</f>
        <v>App.8-V08F-P10.3</v>
      </c>
      <c r="BC306" s="823" t="s">
        <v>4954</v>
      </c>
      <c r="BD306" s="1356"/>
      <c r="BE306" s="1356"/>
      <c r="BF306" s="1356"/>
      <c r="BG306" s="1356"/>
    </row>
    <row r="307" spans="1:59" ht="15.75" customHeight="1">
      <c r="A307" s="1239"/>
      <c r="B307" s="1239"/>
      <c r="C307" s="171"/>
      <c r="D307" s="1239"/>
      <c r="E307" s="1239"/>
      <c r="F307" s="448"/>
      <c r="G307" s="455">
        <v>46.5</v>
      </c>
      <c r="H307" s="1239"/>
      <c r="I307" s="448"/>
      <c r="J307" s="171"/>
      <c r="K307" s="1239"/>
      <c r="L307" s="638"/>
      <c r="M307" s="638"/>
      <c r="N307" s="1239"/>
      <c r="O307" s="1239"/>
      <c r="P307" s="1239"/>
      <c r="Q307" s="1239"/>
      <c r="R307" s="1239"/>
      <c r="S307" s="455">
        <f t="shared" ref="S307" si="148">AG308-AG306</f>
        <v>47</v>
      </c>
      <c r="T307" s="1239"/>
      <c r="U307" s="1239"/>
      <c r="V307" s="1239"/>
      <c r="W307" s="1239"/>
      <c r="X307" s="1239"/>
      <c r="Y307" s="1239"/>
      <c r="Z307" s="1239"/>
      <c r="AA307" s="1239"/>
      <c r="AB307" s="1239"/>
      <c r="AC307" s="1239"/>
      <c r="AD307" s="1239"/>
      <c r="AE307" s="1239"/>
      <c r="AF307" s="1239"/>
      <c r="AG307" s="171"/>
      <c r="AH307" s="1239"/>
      <c r="AI307" s="1239"/>
      <c r="AJ307" s="1239"/>
      <c r="AK307" s="1239"/>
      <c r="AL307" s="638"/>
      <c r="AM307" s="1239"/>
      <c r="AN307" s="484"/>
      <c r="AO307" s="638"/>
      <c r="AP307" s="638"/>
      <c r="AQ307" s="484">
        <f>+FL_2($T$308,$U$306,$G$307,1200,9.28,-1*$F$308)</f>
        <v>-0.22097821982795696</v>
      </c>
      <c r="AR307" s="484"/>
      <c r="AS307" s="484"/>
      <c r="AT307" s="484"/>
      <c r="AU307" s="638"/>
      <c r="AV307" s="638"/>
      <c r="AW307" s="638"/>
      <c r="AX307" s="638"/>
      <c r="AY307" s="484"/>
      <c r="AZ307" s="484"/>
      <c r="BA307" s="671"/>
      <c r="BB307" s="1239"/>
      <c r="BC307" s="169"/>
      <c r="BD307" s="1330"/>
      <c r="BE307" s="1330"/>
      <c r="BF307" s="1330"/>
      <c r="BG307" s="1330"/>
    </row>
    <row r="308" spans="1:59" s="1288" customFormat="1" ht="15.75" customHeight="1">
      <c r="A308" s="1285" t="s">
        <v>2929</v>
      </c>
      <c r="B308" s="438" t="s">
        <v>2299</v>
      </c>
      <c r="C308" s="1350">
        <f>+$C$306+$G$307</f>
        <v>92057.999999999956</v>
      </c>
      <c r="D308" s="1285"/>
      <c r="E308" s="1285"/>
      <c r="F308" s="1351">
        <v>0</v>
      </c>
      <c r="G308" s="1352"/>
      <c r="H308" s="1285" t="s">
        <v>619</v>
      </c>
      <c r="I308" s="1351" t="s">
        <v>1429</v>
      </c>
      <c r="J308" s="1350"/>
      <c r="K308" s="1285"/>
      <c r="L308" s="1353" t="s">
        <v>4488</v>
      </c>
      <c r="M308" s="1353" t="s">
        <v>4679</v>
      </c>
      <c r="N308" s="1285" t="s">
        <v>143</v>
      </c>
      <c r="O308" s="1285" t="s">
        <v>140</v>
      </c>
      <c r="P308" s="1285"/>
      <c r="Q308" s="1285">
        <v>0</v>
      </c>
      <c r="R308" s="1285">
        <v>0</v>
      </c>
      <c r="S308" s="1352"/>
      <c r="T308" s="1285">
        <v>-10</v>
      </c>
      <c r="U308" s="1285">
        <v>-55</v>
      </c>
      <c r="V308" s="1285"/>
      <c r="W308" s="1285">
        <v>1.4</v>
      </c>
      <c r="X308" s="1285">
        <v>1.8</v>
      </c>
      <c r="Y308" s="1285"/>
      <c r="Z308" s="1285"/>
      <c r="AA308" s="1285">
        <v>0.45</v>
      </c>
      <c r="AB308" s="1285"/>
      <c r="AC308" s="1285" t="s">
        <v>1419</v>
      </c>
      <c r="AD308" s="1285"/>
      <c r="AE308" s="1285"/>
      <c r="AF308" s="1285">
        <v>5400</v>
      </c>
      <c r="AG308" s="1350">
        <v>92058</v>
      </c>
      <c r="AH308" s="1285">
        <v>2053</v>
      </c>
      <c r="AI308" s="1285">
        <v>-60</v>
      </c>
      <c r="AJ308" s="1285" t="s">
        <v>2755</v>
      </c>
      <c r="AK308" s="1285"/>
      <c r="AL308" s="1353" t="s">
        <v>4490</v>
      </c>
      <c r="AM308" s="1285" t="s">
        <v>1042</v>
      </c>
      <c r="AN308" s="1354">
        <v>5.5</v>
      </c>
      <c r="AO308" s="1353"/>
      <c r="AP308" s="1353"/>
      <c r="AQ308" s="1354"/>
      <c r="AR308" s="1354"/>
      <c r="AS308" s="1354"/>
      <c r="AT308" s="1354">
        <f>+ab($T$308,$T$306,$T$310,$G$307,$G$309,-1*$F$308,1200)</f>
        <v>-8.5367708053372411</v>
      </c>
      <c r="AU308" s="1353"/>
      <c r="AV308" s="1353"/>
      <c r="AW308" s="1353" t="str">
        <f>VLOOKUP(C308,'Foundation Calculation'!$A$2:$C$33,3,1)</f>
        <v>Soil B</v>
      </c>
      <c r="AX308" s="1353" t="str">
        <f>VLOOKUP(C308,'Foundation Calculation'!$E$2:$G$33,3,1)</f>
        <v>PT</v>
      </c>
      <c r="AY308" s="1354">
        <f>IF(AX308="PT",VLOOKUP(L308,'Foundation Calculation'!$K$2:$R$40,VLOOKUP(AW308,'Foundation Calculation'!$I$2:$J$8,2,FALSE),0),IF(AX308="K",VLOOKUP(L308,'Foundation Calculation'!$K$42:$R$80,VLOOKUP(AW308,'Foundation Calculation'!$I$2:$J$8,2,FALSE),0),""))</f>
        <v>4.5999999999999996</v>
      </c>
      <c r="AZ308" s="1354"/>
      <c r="BA308" s="1355" t="s">
        <v>2809</v>
      </c>
      <c r="BB308" s="1285" t="str">
        <f>Pole_Calculations!A178</f>
        <v>App.8-V08F-P10.3</v>
      </c>
      <c r="BC308" s="823"/>
      <c r="BD308" s="1356">
        <v>43865</v>
      </c>
      <c r="BE308" s="1356"/>
      <c r="BF308" s="1356"/>
      <c r="BG308" s="1356"/>
    </row>
    <row r="309" spans="1:59" ht="15.75" customHeight="1">
      <c r="A309" s="1239"/>
      <c r="B309" s="1239"/>
      <c r="C309" s="171"/>
      <c r="D309" s="1239"/>
      <c r="E309" s="1239"/>
      <c r="F309" s="448"/>
      <c r="G309" s="455">
        <v>42</v>
      </c>
      <c r="H309" s="1239"/>
      <c r="I309" s="448"/>
      <c r="J309" s="171"/>
      <c r="K309" s="1239"/>
      <c r="L309" s="638"/>
      <c r="M309" s="638"/>
      <c r="N309" s="1239"/>
      <c r="O309" s="1239"/>
      <c r="P309" s="1239"/>
      <c r="Q309" s="1239"/>
      <c r="R309" s="1239"/>
      <c r="S309" s="455">
        <f t="shared" ref="S309" si="149">AG310-AG308</f>
        <v>42.080000000001746</v>
      </c>
      <c r="T309" s="1239"/>
      <c r="U309" s="1239"/>
      <c r="V309" s="1239"/>
      <c r="W309" s="1239"/>
      <c r="X309" s="1239"/>
      <c r="Y309" s="1239"/>
      <c r="Z309" s="1239"/>
      <c r="AA309" s="1239"/>
      <c r="AB309" s="1239"/>
      <c r="AC309" s="1239"/>
      <c r="AD309" s="1239"/>
      <c r="AE309" s="1239"/>
      <c r="AF309" s="1239"/>
      <c r="AG309" s="171"/>
      <c r="AH309" s="1239"/>
      <c r="AI309" s="1239"/>
      <c r="AJ309" s="1239"/>
      <c r="AK309" s="1239"/>
      <c r="AL309" s="638"/>
      <c r="AM309" s="1239"/>
      <c r="AN309" s="484"/>
      <c r="AO309" s="638"/>
      <c r="AP309" s="638"/>
      <c r="AQ309" s="484">
        <f>+FL_1($T$310,$T$308,$G$309,1200,9.28,-1*$F$310)</f>
        <v>0.29041941866666665</v>
      </c>
      <c r="AR309" s="484"/>
      <c r="AS309" s="484"/>
      <c r="AT309" s="484"/>
      <c r="AU309" s="638"/>
      <c r="AV309" s="638"/>
      <c r="AW309" s="638"/>
      <c r="AX309" s="638"/>
      <c r="AY309" s="484"/>
      <c r="AZ309" s="484"/>
      <c r="BA309" s="671"/>
      <c r="BB309" s="1239"/>
      <c r="BC309" s="169"/>
      <c r="BD309" s="1330"/>
      <c r="BE309" s="1330"/>
      <c r="BF309" s="1330"/>
      <c r="BG309" s="1330"/>
    </row>
    <row r="310" spans="1:59" s="1288" customFormat="1" ht="15.75" customHeight="1">
      <c r="A310" s="1285"/>
      <c r="B310" s="438" t="s">
        <v>2300</v>
      </c>
      <c r="C310" s="1350">
        <f>+$C$308+$G$309</f>
        <v>92099.999999999956</v>
      </c>
      <c r="D310" s="1285"/>
      <c r="E310" s="1285"/>
      <c r="F310" s="1351">
        <v>0</v>
      </c>
      <c r="G310" s="1352"/>
      <c r="H310" s="1285" t="s">
        <v>2128</v>
      </c>
      <c r="I310" s="1351" t="s">
        <v>4231</v>
      </c>
      <c r="J310" s="1350"/>
      <c r="K310" s="1285"/>
      <c r="L310" s="1353" t="s">
        <v>4666</v>
      </c>
      <c r="M310" s="638" t="s">
        <v>4680</v>
      </c>
      <c r="N310" s="1285" t="s">
        <v>144</v>
      </c>
      <c r="O310" s="1285" t="s">
        <v>140</v>
      </c>
      <c r="P310" s="1285"/>
      <c r="Q310" s="1285">
        <v>0</v>
      </c>
      <c r="R310" s="1285">
        <v>0</v>
      </c>
      <c r="S310" s="1352"/>
      <c r="T310" s="1285">
        <v>25</v>
      </c>
      <c r="U310" s="1285">
        <v>55</v>
      </c>
      <c r="V310" s="1285"/>
      <c r="W310" s="1285">
        <v>1.8</v>
      </c>
      <c r="X310" s="1285">
        <v>1.4</v>
      </c>
      <c r="Y310" s="1285"/>
      <c r="Z310" s="1285"/>
      <c r="AA310" s="1285">
        <v>0.45</v>
      </c>
      <c r="AB310" s="1285"/>
      <c r="AC310" s="1285" t="s">
        <v>4090</v>
      </c>
      <c r="AD310" s="1285"/>
      <c r="AE310" s="1285"/>
      <c r="AF310" s="1285">
        <v>5400</v>
      </c>
      <c r="AG310" s="1350">
        <v>92100.08</v>
      </c>
      <c r="AH310" s="1285">
        <v>2213</v>
      </c>
      <c r="AI310" s="1285">
        <v>-260</v>
      </c>
      <c r="AJ310" s="1285"/>
      <c r="AK310" s="1285"/>
      <c r="AL310" s="1353" t="s">
        <v>2142</v>
      </c>
      <c r="AM310" s="1285" t="s">
        <v>1042</v>
      </c>
      <c r="AN310" s="1354">
        <v>5.5</v>
      </c>
      <c r="AO310" s="1353"/>
      <c r="AP310" s="1353"/>
      <c r="AQ310" s="1354"/>
      <c r="AR310" s="1354"/>
      <c r="AS310" s="1354"/>
      <c r="AT310" s="1354">
        <f>+ab($T$310,$T$308,$T$312,$G$309,$G$311,-1*$F$310,1200)</f>
        <v>7.0946281802505</v>
      </c>
      <c r="AU310" s="1353"/>
      <c r="AV310" s="1353"/>
      <c r="AW310" s="1353" t="str">
        <f>VLOOKUP(C310,'Foundation Calculation'!$A$2:$C$33,3,1)</f>
        <v>Soil B</v>
      </c>
      <c r="AX310" s="1353" t="str">
        <f>VLOOKUP(C310,'Foundation Calculation'!$E$2:$G$33,3,1)</f>
        <v>PT</v>
      </c>
      <c r="AY310" s="1354">
        <f>IF(AX310="PT",VLOOKUP(L310,'Foundation Calculation'!$K$2:$R$40,VLOOKUP(AW310,'Foundation Calculation'!$I$2:$J$8,2,FALSE),0),IF(AX310="K",VLOOKUP(L310,'Foundation Calculation'!$K$42:$R$80,VLOOKUP(AW310,'Foundation Calculation'!$I$2:$J$8,2,FALSE),0),""))</f>
        <v>5.6</v>
      </c>
      <c r="AZ310" s="1354"/>
      <c r="BA310" s="1355" t="s">
        <v>2809</v>
      </c>
      <c r="BB310" s="1285" t="str">
        <f>Pole_Calculations!A178</f>
        <v>App.8-V08F-P10.3</v>
      </c>
      <c r="BC310" s="823" t="s">
        <v>4955</v>
      </c>
      <c r="BD310" s="1356"/>
      <c r="BE310" s="1356"/>
      <c r="BF310" s="1356"/>
      <c r="BG310" s="1356"/>
    </row>
    <row r="311" spans="1:59" ht="15.75" customHeight="1">
      <c r="A311" s="1239"/>
      <c r="B311" s="1239"/>
      <c r="C311" s="171"/>
      <c r="D311" s="1239"/>
      <c r="E311" s="1239"/>
      <c r="F311" s="448"/>
      <c r="G311" s="455">
        <v>32.299999999999997</v>
      </c>
      <c r="H311" s="1239"/>
      <c r="I311" s="448"/>
      <c r="J311" s="171"/>
      <c r="K311" s="1239"/>
      <c r="L311" s="638"/>
      <c r="M311" s="638"/>
      <c r="N311" s="1239"/>
      <c r="O311" s="1239"/>
      <c r="P311" s="1239"/>
      <c r="Q311" s="1239"/>
      <c r="R311" s="1239"/>
      <c r="S311" s="455">
        <f t="shared" ref="S311" si="150">AG312-AG310</f>
        <v>30.520000000004075</v>
      </c>
      <c r="T311" s="1239"/>
      <c r="U311" s="1239"/>
      <c r="V311" s="1239"/>
      <c r="W311" s="1239"/>
      <c r="X311" s="1239"/>
      <c r="Y311" s="1239"/>
      <c r="Z311" s="1239"/>
      <c r="AA311" s="1239"/>
      <c r="AB311" s="1239"/>
      <c r="AC311" s="1239"/>
      <c r="AD311" s="1239"/>
      <c r="AE311" s="1239"/>
      <c r="AF311" s="1239"/>
      <c r="AG311" s="171"/>
      <c r="AH311" s="1239"/>
      <c r="AI311" s="1239"/>
      <c r="AJ311" s="1239"/>
      <c r="AK311" s="1239"/>
      <c r="AL311" s="638"/>
      <c r="AM311" s="1239"/>
      <c r="AN311" s="484"/>
      <c r="AO311" s="638"/>
      <c r="AP311" s="638"/>
      <c r="AQ311" s="484">
        <f>+FL_2($T$312,$T$310,$G$311,1200,9.28,-1*$F$312)</f>
        <v>-0.35</v>
      </c>
      <c r="AR311" s="484"/>
      <c r="AS311" s="484"/>
      <c r="AT311" s="484"/>
      <c r="AU311" s="638"/>
      <c r="AV311" s="638"/>
      <c r="AW311" s="638"/>
      <c r="AX311" s="638"/>
      <c r="AY311" s="484"/>
      <c r="AZ311" s="484"/>
      <c r="BA311" s="671"/>
      <c r="BB311" s="1239"/>
      <c r="BC311" s="169"/>
      <c r="BD311" s="1330"/>
      <c r="BE311" s="1330"/>
      <c r="BF311" s="1330"/>
      <c r="BG311" s="1330"/>
    </row>
    <row r="312" spans="1:59" s="1288" customFormat="1" ht="15.75" customHeight="1">
      <c r="A312" s="1285"/>
      <c r="B312" s="438" t="s">
        <v>2301</v>
      </c>
      <c r="C312" s="1350">
        <f>+$C$310+$G$311</f>
        <v>92132.299999999959</v>
      </c>
      <c r="D312" s="1285"/>
      <c r="E312" s="1285"/>
      <c r="F312" s="1351">
        <v>0</v>
      </c>
      <c r="G312" s="1352"/>
      <c r="H312" s="1285" t="s">
        <v>138</v>
      </c>
      <c r="I312" s="1351" t="s">
        <v>4231</v>
      </c>
      <c r="J312" s="1350"/>
      <c r="K312" s="1285"/>
      <c r="L312" s="1353" t="s">
        <v>4666</v>
      </c>
      <c r="M312" s="638" t="s">
        <v>4680</v>
      </c>
      <c r="N312" s="1285" t="s">
        <v>143</v>
      </c>
      <c r="O312" s="1285"/>
      <c r="P312" s="1285"/>
      <c r="Q312" s="1285">
        <v>0</v>
      </c>
      <c r="R312" s="1285">
        <v>0</v>
      </c>
      <c r="S312" s="1352"/>
      <c r="T312" s="1285">
        <v>-35</v>
      </c>
      <c r="U312" s="1285"/>
      <c r="V312" s="1285"/>
      <c r="W312" s="1285">
        <v>1.4</v>
      </c>
      <c r="X312" s="1285"/>
      <c r="Y312" s="1285"/>
      <c r="Z312" s="1285"/>
      <c r="AA312" s="1285"/>
      <c r="AB312" s="1285"/>
      <c r="AC312" s="1285" t="s">
        <v>4090</v>
      </c>
      <c r="AD312" s="1285"/>
      <c r="AE312" s="1285"/>
      <c r="AF312" s="1285">
        <v>5400</v>
      </c>
      <c r="AG312" s="1350">
        <v>92130.6</v>
      </c>
      <c r="AH312" s="1285">
        <v>2203</v>
      </c>
      <c r="AI312" s="1285">
        <v>-250</v>
      </c>
      <c r="AJ312" s="1285"/>
      <c r="AK312" s="1285"/>
      <c r="AL312" s="1353" t="s">
        <v>2142</v>
      </c>
      <c r="AM312" s="1285" t="s">
        <v>1042</v>
      </c>
      <c r="AN312" s="1354">
        <v>5.5</v>
      </c>
      <c r="AO312" s="1353"/>
      <c r="AP312" s="1353"/>
      <c r="AQ312" s="1354"/>
      <c r="AR312" s="1354"/>
      <c r="AS312" s="1354"/>
      <c r="AT312" s="1354">
        <f>+ab($T$312,$T$310,$T$314,$G$311,$G$313,-1*$F$312,1200)</f>
        <v>-5.1249981419374757</v>
      </c>
      <c r="AU312" s="1353"/>
      <c r="AV312" s="1353"/>
      <c r="AW312" s="1353" t="str">
        <f>VLOOKUP(C312,'Foundation Calculation'!$A$2:$C$33,3,1)</f>
        <v>Soil B</v>
      </c>
      <c r="AX312" s="1353" t="str">
        <f>VLOOKUP(C312,'Foundation Calculation'!$E$2:$G$33,3,1)</f>
        <v>PT</v>
      </c>
      <c r="AY312" s="1354">
        <f>IF(AX312="PT",VLOOKUP(L312,'Foundation Calculation'!$K$2:$R$40,VLOOKUP(AW312,'Foundation Calculation'!$I$2:$J$8,2,FALSE),0),IF(AX312="K",VLOOKUP(L312,'Foundation Calculation'!$K$42:$R$80,VLOOKUP(AW312,'Foundation Calculation'!$I$2:$J$8,2,FALSE),0),""))</f>
        <v>5.6</v>
      </c>
      <c r="AZ312" s="1354"/>
      <c r="BA312" s="1355" t="s">
        <v>2809</v>
      </c>
      <c r="BB312" s="1285" t="str">
        <f>Pole_Calculations!A178</f>
        <v>App.8-V08F-P10.3</v>
      </c>
      <c r="BC312" s="823" t="s">
        <v>4954</v>
      </c>
      <c r="BD312" s="1356"/>
      <c r="BE312" s="1356"/>
      <c r="BF312" s="1356"/>
      <c r="BG312" s="1356"/>
    </row>
    <row r="313" spans="1:59" ht="15.75" customHeight="1">
      <c r="A313" s="1239"/>
      <c r="B313" s="1239"/>
      <c r="C313" s="171"/>
      <c r="D313" s="1239"/>
      <c r="E313" s="1239"/>
      <c r="F313" s="448"/>
      <c r="G313" s="455">
        <v>37.299999999999997</v>
      </c>
      <c r="H313" s="1239"/>
      <c r="I313" s="448" t="s">
        <v>1039</v>
      </c>
      <c r="J313" s="171"/>
      <c r="K313" s="1239"/>
      <c r="L313" s="638"/>
      <c r="M313" s="1239"/>
      <c r="N313" s="1239"/>
      <c r="O313" s="1239"/>
      <c r="P313" s="1239"/>
      <c r="Q313" s="1239"/>
      <c r="R313" s="1239"/>
      <c r="S313" s="455">
        <f t="shared" ref="S313" si="151">AG314-AG312</f>
        <v>39.059999999997672</v>
      </c>
      <c r="T313" s="1239"/>
      <c r="U313" s="1239"/>
      <c r="V313" s="1239"/>
      <c r="W313" s="1239"/>
      <c r="X313" s="1239"/>
      <c r="Y313" s="1239"/>
      <c r="Z313" s="1239"/>
      <c r="AA313" s="1239"/>
      <c r="AB313" s="1239"/>
      <c r="AC313" s="1239"/>
      <c r="AD313" s="1239"/>
      <c r="AE313" s="1239"/>
      <c r="AF313" s="1239"/>
      <c r="AG313" s="171"/>
      <c r="AH313" s="1239"/>
      <c r="AI313" s="1239"/>
      <c r="AJ313" s="1239"/>
      <c r="AK313" s="1239"/>
      <c r="AL313" s="1239"/>
      <c r="AM313" s="1239"/>
      <c r="AN313" s="484"/>
      <c r="AO313" s="638"/>
      <c r="AP313" s="638"/>
      <c r="AQ313" s="484">
        <f>+FL_2($T$314,$T$312,$G$313,1200,9.28,-1*$F$314)</f>
        <v>-0.35000000000000492</v>
      </c>
      <c r="AR313" s="484"/>
      <c r="AS313" s="484"/>
      <c r="AT313" s="484"/>
      <c r="AU313" s="638"/>
      <c r="AV313" s="638"/>
      <c r="AW313" s="638"/>
      <c r="AX313" s="638"/>
      <c r="AY313" s="484"/>
      <c r="AZ313" s="484"/>
      <c r="BA313" s="671"/>
      <c r="BB313" s="1239"/>
      <c r="BC313" s="169"/>
      <c r="BD313" s="1330"/>
      <c r="BE313" s="1330"/>
      <c r="BF313" s="1330"/>
      <c r="BG313" s="1330"/>
    </row>
    <row r="314" spans="1:59" s="1288" customFormat="1" ht="15.75" customHeight="1">
      <c r="A314" s="1285"/>
      <c r="B314" s="1285" t="s">
        <v>2374</v>
      </c>
      <c r="C314" s="1350">
        <f>+$C$312+$G$313</f>
        <v>92169.599999999962</v>
      </c>
      <c r="D314" s="1285"/>
      <c r="E314" s="1285"/>
      <c r="F314" s="1351">
        <v>0</v>
      </c>
      <c r="G314" s="1354"/>
      <c r="H314" s="1285"/>
      <c r="I314" s="1351"/>
      <c r="J314" s="1350"/>
      <c r="K314" s="1285"/>
      <c r="L314" s="1285"/>
      <c r="M314" s="1285"/>
      <c r="N314" s="1285" t="s">
        <v>844</v>
      </c>
      <c r="O314" s="1285"/>
      <c r="P314" s="1285"/>
      <c r="Q314" s="1285">
        <v>0</v>
      </c>
      <c r="R314" s="1285">
        <v>0</v>
      </c>
      <c r="S314" s="1352"/>
      <c r="T314" s="1285">
        <v>35</v>
      </c>
      <c r="U314" s="1285"/>
      <c r="V314" s="1285"/>
      <c r="W314" s="1285">
        <v>1.4</v>
      </c>
      <c r="X314" s="1285"/>
      <c r="Y314" s="1285"/>
      <c r="Z314" s="1285"/>
      <c r="AA314" s="1285"/>
      <c r="AB314" s="1285"/>
      <c r="AC314" s="1285" t="s">
        <v>4115</v>
      </c>
      <c r="AD314" s="1285"/>
      <c r="AE314" s="1285"/>
      <c r="AF314" s="1285">
        <v>100</v>
      </c>
      <c r="AG314" s="1350">
        <v>92169.66</v>
      </c>
      <c r="AH314" s="1285">
        <v>1153</v>
      </c>
      <c r="AI314" s="1285">
        <v>-5580</v>
      </c>
      <c r="AJ314" s="1285"/>
      <c r="AK314" s="1285" t="s">
        <v>139</v>
      </c>
      <c r="AL314" s="1285"/>
      <c r="AM314" s="1285"/>
      <c r="AN314" s="1354">
        <v>5.5</v>
      </c>
      <c r="AO314" s="1353"/>
      <c r="AP314" s="1353"/>
      <c r="AQ314" s="1354"/>
      <c r="AR314" s="1354"/>
      <c r="AS314" s="1354"/>
      <c r="AT314" s="1354">
        <f>+ab($T$314,$T$312,$T$316,$G$313,$G$315,-1*$F$314,1200)</f>
        <v>5.0743571105836232</v>
      </c>
      <c r="AU314" s="1353"/>
      <c r="AV314" s="1353"/>
      <c r="AW314" s="1353"/>
      <c r="AX314" s="1353"/>
      <c r="AY314" s="1354"/>
      <c r="AZ314" s="1354"/>
      <c r="BA314" s="1355"/>
      <c r="BB314" s="1285"/>
      <c r="BC314" s="823"/>
      <c r="BD314" s="1356"/>
      <c r="BE314" s="1356"/>
      <c r="BF314" s="1356"/>
      <c r="BG314" s="1356"/>
    </row>
    <row r="315" spans="1:59" ht="15.75" customHeight="1">
      <c r="A315" s="1239"/>
      <c r="B315" s="1239"/>
      <c r="C315" s="171"/>
      <c r="D315" s="1239"/>
      <c r="E315" s="1239"/>
      <c r="F315" s="448"/>
      <c r="G315" s="455">
        <v>34.299999999999997</v>
      </c>
      <c r="H315" s="1239"/>
      <c r="I315" s="448"/>
      <c r="J315" s="171"/>
      <c r="K315" s="1239"/>
      <c r="L315" s="1239"/>
      <c r="M315" s="1239"/>
      <c r="N315" s="1239"/>
      <c r="O315" s="1239"/>
      <c r="P315" s="1239"/>
      <c r="Q315" s="1239"/>
      <c r="R315" s="1239"/>
      <c r="S315" s="455">
        <f t="shared" ref="S315" si="152">AG316-AG314</f>
        <v>34.339999999996508</v>
      </c>
      <c r="T315" s="1239"/>
      <c r="U315" s="1239"/>
      <c r="V315" s="1239"/>
      <c r="W315" s="1239"/>
      <c r="X315" s="1239"/>
      <c r="Y315" s="1239"/>
      <c r="Z315" s="1239"/>
      <c r="AA315" s="1239"/>
      <c r="AB315" s="1239"/>
      <c r="AC315" s="1239"/>
      <c r="AD315" s="1239"/>
      <c r="AE315" s="1239"/>
      <c r="AF315" s="1239"/>
      <c r="AG315" s="171"/>
      <c r="AH315" s="1239"/>
      <c r="AI315" s="1239"/>
      <c r="AJ315" s="1239"/>
      <c r="AK315" s="1239"/>
      <c r="AL315" s="1239"/>
      <c r="AM315" s="1239"/>
      <c r="AN315" s="484"/>
      <c r="AO315" s="638"/>
      <c r="AP315" s="638"/>
      <c r="AQ315" s="484">
        <f>+FL_1($T$316,$T$314,$G$315,1200,9.28,-1*$F$316)</f>
        <v>0.35000000000000986</v>
      </c>
      <c r="AR315" s="484"/>
      <c r="AS315" s="484"/>
      <c r="AT315" s="484"/>
      <c r="AU315" s="638"/>
      <c r="AV315" s="638"/>
      <c r="AW315" s="638"/>
      <c r="AX315" s="638"/>
      <c r="AY315" s="484"/>
      <c r="AZ315" s="484"/>
      <c r="BA315" s="671"/>
      <c r="BB315" s="1239"/>
      <c r="BC315" s="169"/>
      <c r="BD315" s="1330"/>
      <c r="BE315" s="1330"/>
      <c r="BF315" s="1330"/>
      <c r="BG315" s="1330"/>
    </row>
    <row r="316" spans="1:59" s="1288" customFormat="1" ht="15.75" customHeight="1">
      <c r="A316" s="1285"/>
      <c r="B316" s="1285" t="s">
        <v>2375</v>
      </c>
      <c r="C316" s="1350">
        <f>+$C$314+$G$315</f>
        <v>92203.899999999965</v>
      </c>
      <c r="D316" s="1285"/>
      <c r="E316" s="1285"/>
      <c r="F316" s="1351">
        <v>0</v>
      </c>
      <c r="G316" s="1352"/>
      <c r="H316" s="1285" t="s">
        <v>2505</v>
      </c>
      <c r="I316" s="1351"/>
      <c r="J316" s="1350"/>
      <c r="K316" s="1285"/>
      <c r="L316" s="1285"/>
      <c r="M316" s="1285"/>
      <c r="N316" s="1285" t="s">
        <v>843</v>
      </c>
      <c r="O316" s="1285" t="s">
        <v>844</v>
      </c>
      <c r="P316" s="1285"/>
      <c r="Q316" s="1285">
        <v>0</v>
      </c>
      <c r="R316" s="1285">
        <v>0</v>
      </c>
      <c r="S316" s="1352"/>
      <c r="T316" s="1285">
        <v>-30</v>
      </c>
      <c r="U316" s="1285">
        <v>-15</v>
      </c>
      <c r="V316" s="1285"/>
      <c r="W316" s="1285">
        <v>1.8</v>
      </c>
      <c r="X316" s="1285">
        <v>1.4</v>
      </c>
      <c r="Y316" s="1285"/>
      <c r="Z316" s="1285"/>
      <c r="AA316" s="1285"/>
      <c r="AB316" s="1285"/>
      <c r="AC316" s="1285" t="s">
        <v>4090</v>
      </c>
      <c r="AD316" s="1285" t="s">
        <v>4207</v>
      </c>
      <c r="AE316" s="1285"/>
      <c r="AF316" s="1285">
        <v>200</v>
      </c>
      <c r="AG316" s="1350">
        <v>92204</v>
      </c>
      <c r="AH316" s="1285">
        <v>2143</v>
      </c>
      <c r="AI316" s="1285">
        <v>-5200</v>
      </c>
      <c r="AJ316" s="1285"/>
      <c r="AK316" s="1285" t="s">
        <v>228</v>
      </c>
      <c r="AL316" s="1285"/>
      <c r="AM316" s="1285"/>
      <c r="AN316" s="1354">
        <v>5.5</v>
      </c>
      <c r="AO316" s="1353"/>
      <c r="AP316" s="1353"/>
      <c r="AQ316" s="1354"/>
      <c r="AR316" s="1354"/>
      <c r="AS316" s="1354"/>
      <c r="AT316" s="1354">
        <f>+ab($T$316,$T$314,$T$318,$G$315,$G$317,-1*$F$316,1200)</f>
        <v>-4.3576960087773804</v>
      </c>
      <c r="AU316" s="1353"/>
      <c r="AV316" s="1353"/>
      <c r="AW316" s="1353"/>
      <c r="AX316" s="1353"/>
      <c r="AY316" s="1354"/>
      <c r="AZ316" s="1354"/>
      <c r="BA316" s="1355"/>
      <c r="BB316" s="1285"/>
      <c r="BC316" s="823"/>
      <c r="BD316" s="1356"/>
      <c r="BE316" s="1356"/>
      <c r="BF316" s="1356"/>
      <c r="BG316" s="1356"/>
    </row>
    <row r="317" spans="1:59" ht="15.75" customHeight="1">
      <c r="A317" s="1239"/>
      <c r="B317" s="1239"/>
      <c r="C317" s="171"/>
      <c r="D317" s="1239"/>
      <c r="E317" s="1239"/>
      <c r="F317" s="448"/>
      <c r="G317" s="455">
        <v>24</v>
      </c>
      <c r="H317" s="1239"/>
      <c r="I317" s="448"/>
      <c r="J317" s="171"/>
      <c r="K317" s="638"/>
      <c r="L317" s="1239"/>
      <c r="M317" s="1239"/>
      <c r="N317" s="1239"/>
      <c r="O317" s="1239"/>
      <c r="P317" s="1239"/>
      <c r="Q317" s="1239"/>
      <c r="R317" s="1239"/>
      <c r="S317" s="455">
        <f t="shared" ref="S317" si="153">AG318-AG316</f>
        <v>23.589999999996508</v>
      </c>
      <c r="T317" s="1239"/>
      <c r="U317" s="1239"/>
      <c r="V317" s="1239"/>
      <c r="W317" s="1239"/>
      <c r="X317" s="1239"/>
      <c r="Y317" s="1239"/>
      <c r="Z317" s="1239"/>
      <c r="AA317" s="1239"/>
      <c r="AB317" s="1239"/>
      <c r="AC317" s="1239"/>
      <c r="AD317" s="1239"/>
      <c r="AE317" s="1239"/>
      <c r="AF317" s="1239"/>
      <c r="AG317" s="171"/>
      <c r="AH317" s="1239"/>
      <c r="AI317" s="1239"/>
      <c r="AJ317" s="1239"/>
      <c r="AK317" s="1239"/>
      <c r="AL317" s="1239"/>
      <c r="AM317" s="1239"/>
      <c r="AN317" s="484"/>
      <c r="AO317" s="638"/>
      <c r="AP317" s="638"/>
      <c r="AQ317" s="484">
        <f>+FL_2($T$318,$T$316,$G$317,1200,9.28,-1*$F$318)</f>
        <v>-0.30000000000001503</v>
      </c>
      <c r="AR317" s="484"/>
      <c r="AS317" s="484"/>
      <c r="AT317" s="484"/>
      <c r="AU317" s="638"/>
      <c r="AV317" s="638"/>
      <c r="AW317" s="638"/>
      <c r="AX317" s="638"/>
      <c r="AY317" s="484"/>
      <c r="AZ317" s="484"/>
      <c r="BA317" s="671"/>
      <c r="BB317" s="1239"/>
      <c r="BC317" s="169"/>
      <c r="BD317" s="1330"/>
      <c r="BE317" s="1330"/>
      <c r="BF317" s="1330"/>
      <c r="BG317" s="1330"/>
    </row>
    <row r="318" spans="1:59" s="1288" customFormat="1" ht="15.75" customHeight="1">
      <c r="A318" s="1285"/>
      <c r="B318" s="1285" t="s">
        <v>2376</v>
      </c>
      <c r="C318" s="1350">
        <f>+$C$316+$G$317</f>
        <v>92227.899999999965</v>
      </c>
      <c r="D318" s="1285"/>
      <c r="E318" s="1285"/>
      <c r="F318" s="1351">
        <v>0</v>
      </c>
      <c r="G318" s="1352"/>
      <c r="H318" s="1285" t="s">
        <v>619</v>
      </c>
      <c r="I318" s="1366"/>
      <c r="J318" s="1350"/>
      <c r="K318" s="1285"/>
      <c r="L318" s="1353"/>
      <c r="M318" s="1285"/>
      <c r="N318" s="1285" t="s">
        <v>844</v>
      </c>
      <c r="O318" s="1285" t="s">
        <v>845</v>
      </c>
      <c r="P318" s="1285"/>
      <c r="Q318" s="1285">
        <v>0</v>
      </c>
      <c r="R318" s="1285">
        <v>0</v>
      </c>
      <c r="S318" s="1352"/>
      <c r="T318" s="1285">
        <v>30</v>
      </c>
      <c r="U318" s="1285">
        <v>45</v>
      </c>
      <c r="V318" s="1285"/>
      <c r="W318" s="1285">
        <v>1.8</v>
      </c>
      <c r="X318" s="1285">
        <v>1.4</v>
      </c>
      <c r="Y318" s="1285"/>
      <c r="Z318" s="1285"/>
      <c r="AA318" s="1285">
        <v>0.2</v>
      </c>
      <c r="AB318" s="1285"/>
      <c r="AC318" s="1285" t="s">
        <v>4483</v>
      </c>
      <c r="AD318" s="1285"/>
      <c r="AE318" s="1285"/>
      <c r="AF318" s="1285">
        <v>200</v>
      </c>
      <c r="AG318" s="1350">
        <v>92227.59</v>
      </c>
      <c r="AH318" s="1285">
        <v>1843</v>
      </c>
      <c r="AI318" s="1285">
        <v>-5630</v>
      </c>
      <c r="AJ318" s="1285"/>
      <c r="AK318" s="1285" t="s">
        <v>228</v>
      </c>
      <c r="AL318" s="1285"/>
      <c r="AM318" s="1285"/>
      <c r="AN318" s="1354">
        <v>5.5</v>
      </c>
      <c r="AO318" s="1353"/>
      <c r="AP318" s="1353"/>
      <c r="AQ318" s="1354"/>
      <c r="AR318" s="1354"/>
      <c r="AS318" s="1354"/>
      <c r="AT318" s="1354">
        <f>+ab($T$318,$T$316,$T$320,$G$317,$G$319,-1*$F$318,1200)</f>
        <v>3.955357381138374</v>
      </c>
      <c r="AU318" s="1353"/>
      <c r="AV318" s="1353"/>
      <c r="AW318" s="1353"/>
      <c r="AX318" s="1353"/>
      <c r="AY318" s="1354"/>
      <c r="AZ318" s="1354"/>
      <c r="BA318" s="1355"/>
      <c r="BB318" s="1285"/>
      <c r="BC318" s="823"/>
      <c r="BD318" s="1356"/>
      <c r="BE318" s="1356"/>
      <c r="BF318" s="1356"/>
      <c r="BG318" s="1356"/>
    </row>
    <row r="319" spans="1:59" ht="15.75" customHeight="1">
      <c r="A319" s="1239"/>
      <c r="B319" s="1239"/>
      <c r="C319" s="171"/>
      <c r="D319" s="1239"/>
      <c r="E319" s="1239"/>
      <c r="F319" s="448"/>
      <c r="G319" s="455">
        <v>32</v>
      </c>
      <c r="H319" s="1239"/>
      <c r="I319" s="448"/>
      <c r="J319" s="171"/>
      <c r="K319" s="1239"/>
      <c r="L319" s="1239"/>
      <c r="M319" s="1239"/>
      <c r="N319" s="1239"/>
      <c r="O319" s="1239"/>
      <c r="P319" s="1239"/>
      <c r="Q319" s="1239"/>
      <c r="R319" s="1239"/>
      <c r="S319" s="455">
        <f t="shared" ref="S319" si="154">AG320-AG318</f>
        <v>32.380000000004657</v>
      </c>
      <c r="T319" s="1239"/>
      <c r="U319" s="1239"/>
      <c r="V319" s="1239"/>
      <c r="W319" s="1239"/>
      <c r="X319" s="1239"/>
      <c r="Y319" s="1239"/>
      <c r="Z319" s="1239"/>
      <c r="AA319" s="1239"/>
      <c r="AB319" s="1239"/>
      <c r="AC319" s="1239"/>
      <c r="AD319" s="1239"/>
      <c r="AE319" s="1239"/>
      <c r="AF319" s="1239"/>
      <c r="AG319" s="171"/>
      <c r="AH319" s="1239"/>
      <c r="AI319" s="1239"/>
      <c r="AJ319" s="1239"/>
      <c r="AK319" s="1239"/>
      <c r="AL319" s="1239"/>
      <c r="AM319" s="1239"/>
      <c r="AN319" s="484"/>
      <c r="AO319" s="638"/>
      <c r="AP319" s="638"/>
      <c r="AQ319" s="484">
        <f>+FL_2($U$320,$T$318,$G$319,1200,9.28,-1*$F$320)</f>
        <v>-0.3</v>
      </c>
      <c r="AR319" s="484"/>
      <c r="AS319" s="484"/>
      <c r="AT319" s="484"/>
      <c r="AU319" s="638"/>
      <c r="AV319" s="638"/>
      <c r="AW319" s="638"/>
      <c r="AX319" s="638"/>
      <c r="AY319" s="484"/>
      <c r="AZ319" s="484"/>
      <c r="BA319" s="671"/>
      <c r="BB319" s="1239"/>
      <c r="BC319" s="169"/>
      <c r="BD319" s="1330"/>
      <c r="BE319" s="1330"/>
      <c r="BF319" s="1330"/>
      <c r="BG319" s="1330"/>
    </row>
    <row r="320" spans="1:59" ht="15.75" customHeight="1">
      <c r="A320" s="424" t="s">
        <v>1663</v>
      </c>
      <c r="B320" s="428" t="s">
        <v>2377</v>
      </c>
      <c r="C320" s="430">
        <f>+$C$318+$G$319</f>
        <v>92259.899999999965</v>
      </c>
      <c r="D320" s="428"/>
      <c r="E320" s="428"/>
      <c r="F320" s="429">
        <v>0</v>
      </c>
      <c r="G320" s="456"/>
      <c r="H320" s="487" t="s">
        <v>2146</v>
      </c>
      <c r="I320" s="427" t="s">
        <v>624</v>
      </c>
      <c r="J320" s="426"/>
      <c r="K320" s="487"/>
      <c r="L320" s="487" t="s">
        <v>821</v>
      </c>
      <c r="M320" s="487" t="str">
        <f>IF(AX320="PT",VLOOKUP(L320,'Foundation Calculation'!$V$2:$X$40,VLOOKUP(AX320,'Foundation Calculation'!$I$10:$J$13,2,FALSE),0),IF(AX320="K",VLOOKUP(L320,'Foundation Calculation'!$V$42:$X$80,VLOOKUP(AX320,'Foundation Calculation'!$I$10:$J$13,2,FALSE),0),""))</f>
        <v>C7R</v>
      </c>
      <c r="N320" s="428" t="s">
        <v>140</v>
      </c>
      <c r="O320" s="428" t="s">
        <v>143</v>
      </c>
      <c r="P320" s="428" t="s">
        <v>140</v>
      </c>
      <c r="Q320" s="428">
        <v>10</v>
      </c>
      <c r="R320" s="428">
        <v>0</v>
      </c>
      <c r="S320" s="456"/>
      <c r="T320" s="428">
        <v>-45</v>
      </c>
      <c r="U320" s="428">
        <v>-30</v>
      </c>
      <c r="V320" s="428">
        <v>-15</v>
      </c>
      <c r="W320" s="428">
        <v>2.2999999999999998</v>
      </c>
      <c r="X320" s="428">
        <v>1.8</v>
      </c>
      <c r="Y320" s="428">
        <v>1.4</v>
      </c>
      <c r="Z320" s="428">
        <v>0.37</v>
      </c>
      <c r="AA320" s="428"/>
      <c r="AB320" s="428">
        <v>0.37</v>
      </c>
      <c r="AC320" s="428" t="s">
        <v>4090</v>
      </c>
      <c r="AD320" s="428"/>
      <c r="AE320" s="428"/>
      <c r="AF320" s="428">
        <v>5600</v>
      </c>
      <c r="AG320" s="430">
        <v>92259.97</v>
      </c>
      <c r="AH320" s="428">
        <v>2413</v>
      </c>
      <c r="AI320" s="428">
        <v>170</v>
      </c>
      <c r="AJ320" s="428"/>
      <c r="AK320" s="428"/>
      <c r="AL320" s="428" t="s">
        <v>2135</v>
      </c>
      <c r="AM320" s="428" t="s">
        <v>1042</v>
      </c>
      <c r="AN320" s="486">
        <v>5.5</v>
      </c>
      <c r="AO320" s="487"/>
      <c r="AP320" s="487"/>
      <c r="AQ320" s="486"/>
      <c r="AR320" s="486"/>
      <c r="AS320" s="486"/>
      <c r="AT320" s="486">
        <f>+ab($T$320,$T$318,$T$322,$G$319,$G$321,-1*$F$320,1200)</f>
        <v>-4.3585068656503028</v>
      </c>
      <c r="AU320" s="487"/>
      <c r="AV320" s="487"/>
      <c r="AW320" s="487" t="str">
        <f>VLOOKUP(C320,'Foundation Calculation'!$A$2:$C$33,3,1)</f>
        <v>Soil B</v>
      </c>
      <c r="AX320" s="688" t="str">
        <f>VLOOKUP(C320,'Foundation Calculation'!$E$2:$G$33,3,1)</f>
        <v>PT</v>
      </c>
      <c r="AY320" s="486">
        <f>IF(AX320="PT",VLOOKUP(L320,'Foundation Calculation'!$K$2:$R$40,VLOOKUP(AW320,'Foundation Calculation'!$I$2:$J$8,2,FALSE),0),IF(AX320="K",VLOOKUP(L320,'Foundation Calculation'!$K$42:$R$80,VLOOKUP(AW320,'Foundation Calculation'!$I$2:$J$8,2,FALSE),0),""))</f>
        <v>3.5</v>
      </c>
      <c r="AZ320" s="486"/>
      <c r="BA320" s="672" t="s">
        <v>2809</v>
      </c>
      <c r="BB320" s="424" t="str">
        <f>Pole_Calculations!A178</f>
        <v>App.8-V08F-P10.3</v>
      </c>
      <c r="BC320" s="169"/>
      <c r="BD320" s="1329">
        <v>43744</v>
      </c>
      <c r="BE320" s="1329" t="s">
        <v>4946</v>
      </c>
      <c r="BF320" s="1329"/>
      <c r="BG320" s="1329">
        <v>43808</v>
      </c>
    </row>
    <row r="321" spans="1:59" ht="15.75" customHeight="1">
      <c r="A321" s="1239"/>
      <c r="B321" s="1239"/>
      <c r="C321" s="171"/>
      <c r="D321" s="1239"/>
      <c r="E321" s="1239"/>
      <c r="F321" s="448"/>
      <c r="G321" s="455">
        <v>31.7</v>
      </c>
      <c r="H321" s="1239"/>
      <c r="I321" s="448"/>
      <c r="J321" s="446">
        <f>C320+7.5</f>
        <v>92267.399999999965</v>
      </c>
      <c r="K321" s="638" t="s">
        <v>2787</v>
      </c>
      <c r="L321" s="638"/>
      <c r="M321" s="1239"/>
      <c r="N321" s="1239"/>
      <c r="O321" s="1239"/>
      <c r="P321" s="1239"/>
      <c r="Q321" s="1239"/>
      <c r="R321" s="1239"/>
      <c r="S321" s="455">
        <f t="shared" ref="S321" si="155">AG322-AG320</f>
        <v>31.55000000000291</v>
      </c>
      <c r="T321" s="1239"/>
      <c r="U321" s="1239"/>
      <c r="V321" s="1239"/>
      <c r="W321" s="1239"/>
      <c r="X321" s="1239"/>
      <c r="Y321" s="1239"/>
      <c r="Z321" s="1239"/>
      <c r="AA321" s="1239"/>
      <c r="AB321" s="1239"/>
      <c r="AC321" s="1239"/>
      <c r="AD321" s="1239"/>
      <c r="AE321" s="1239"/>
      <c r="AF321" s="1239"/>
      <c r="AG321" s="171"/>
      <c r="AH321" s="1239"/>
      <c r="AI321" s="1239"/>
      <c r="AJ321" s="1239"/>
      <c r="AK321" s="1239"/>
      <c r="AL321" s="1239"/>
      <c r="AM321" s="1239"/>
      <c r="AN321" s="484"/>
      <c r="AO321" s="638"/>
      <c r="AP321" s="638"/>
      <c r="AQ321" s="484">
        <f>+FL_2($U$322,$U$320,$G$321,1200,9.28,-1*$F$322)</f>
        <v>-0.30000000000001781</v>
      </c>
      <c r="AR321" s="484"/>
      <c r="AS321" s="484"/>
      <c r="AT321" s="484"/>
      <c r="AU321" s="638"/>
      <c r="AV321" s="638"/>
      <c r="AW321" s="638" t="str">
        <f>VLOOKUP(J321,'Foundation Calculation'!$A$2:$C$33,3,1)</f>
        <v>Soil B</v>
      </c>
      <c r="AX321" s="572" t="str">
        <f>VLOOKUP(J321,'Foundation Calculation'!$E$2:$G$33,3,1)</f>
        <v>PT</v>
      </c>
      <c r="AY321" s="484"/>
      <c r="AZ321" s="484">
        <f>IF(AX321="PT",VLOOKUP(K321,'Foundation Calculation'!$K$2:$R$40,VLOOKUP(AW321,'Foundation Calculation'!$I$2:$J$8,2,FALSE),0),IF(AX321="K",VLOOKUP(K321,'Foundation Calculation'!$K$42:$R$80,VLOOKUP(AW321,'Foundation Calculation'!$I$2:$J$8,2,FALSE),0),""))</f>
        <v>3.9</v>
      </c>
      <c r="BA321" s="671" t="s">
        <v>2809</v>
      </c>
      <c r="BB321" s="1239"/>
      <c r="BC321" s="169"/>
      <c r="BD321" s="1329">
        <v>43741</v>
      </c>
      <c r="BE321" s="1330"/>
      <c r="BF321" s="1330"/>
      <c r="BG321" s="1330"/>
    </row>
    <row r="322" spans="1:59" ht="15.75" customHeight="1">
      <c r="A322" s="1239"/>
      <c r="B322" s="1239" t="s">
        <v>2378</v>
      </c>
      <c r="C322" s="171">
        <f>+$C$320+$G$321</f>
        <v>92291.599999999962</v>
      </c>
      <c r="D322" s="1239"/>
      <c r="E322" s="1239"/>
      <c r="F322" s="448">
        <v>0</v>
      </c>
      <c r="G322" s="455"/>
      <c r="H322" s="1239" t="s">
        <v>2774</v>
      </c>
      <c r="I322" s="447" t="s">
        <v>624</v>
      </c>
      <c r="J322" s="171">
        <f>C322+7.5</f>
        <v>92299.099999999962</v>
      </c>
      <c r="K322" s="638" t="s">
        <v>2787</v>
      </c>
      <c r="L322" s="638" t="s">
        <v>821</v>
      </c>
      <c r="M322" s="638" t="str">
        <f>IF(AX322="PT",VLOOKUP(L322,'Foundation Calculation'!$V$2:$X$40,VLOOKUP(AX322,'Foundation Calculation'!$I$10:$J$13,2,FALSE),0),IF(AX322="K",VLOOKUP(L322,'Foundation Calculation'!$V$42:$X$80,VLOOKUP(AX322,'Foundation Calculation'!$I$10:$J$13,2,FALSE),0),""))</f>
        <v>C7R</v>
      </c>
      <c r="N322" s="1239" t="s">
        <v>143</v>
      </c>
      <c r="O322" s="1239" t="s">
        <v>144</v>
      </c>
      <c r="P322" s="1239"/>
      <c r="Q322" s="1239">
        <v>10</v>
      </c>
      <c r="R322" s="1239">
        <v>0</v>
      </c>
      <c r="S322" s="455"/>
      <c r="T322" s="1239">
        <v>20</v>
      </c>
      <c r="U322" s="1239">
        <v>35</v>
      </c>
      <c r="V322" s="1239"/>
      <c r="W322" s="1239">
        <v>2.2999999999999998</v>
      </c>
      <c r="X322" s="1239">
        <v>1.4</v>
      </c>
      <c r="Y322" s="1239"/>
      <c r="Z322" s="1239"/>
      <c r="AA322" s="1239"/>
      <c r="AB322" s="1239"/>
      <c r="AC322" s="1239" t="s">
        <v>4207</v>
      </c>
      <c r="AD322" s="1239" t="s">
        <v>4124</v>
      </c>
      <c r="AE322" s="1239"/>
      <c r="AF322" s="1239">
        <v>5500</v>
      </c>
      <c r="AG322" s="171">
        <v>92291.520000000004</v>
      </c>
      <c r="AH322" s="1239">
        <v>2973</v>
      </c>
      <c r="AI322" s="1239">
        <v>70</v>
      </c>
      <c r="AJ322" s="1239"/>
      <c r="AK322" s="1239"/>
      <c r="AL322" s="1239" t="s">
        <v>2135</v>
      </c>
      <c r="AM322" s="1239" t="s">
        <v>1042</v>
      </c>
      <c r="AN322" s="484">
        <v>5.5</v>
      </c>
      <c r="AO322" s="638"/>
      <c r="AP322" s="638"/>
      <c r="AQ322" s="484"/>
      <c r="AR322" s="484"/>
      <c r="AS322" s="484"/>
      <c r="AT322" s="484">
        <f>+ab($T$322,$T$320,$T$324,$G$321,$G$323,-1*$F$322,1200)</f>
        <v>4.6927341824099891</v>
      </c>
      <c r="AU322" s="638"/>
      <c r="AV322" s="638"/>
      <c r="AW322" s="638" t="str">
        <f>VLOOKUP(C322,'Foundation Calculation'!$A$2:$C$33,3,1)</f>
        <v>Soil B</v>
      </c>
      <c r="AX322" s="572" t="str">
        <f>VLOOKUP(C322,'Foundation Calculation'!$E$2:$G$33,3,1)</f>
        <v>PT</v>
      </c>
      <c r="AY322" s="484">
        <f>IF(AX322="PT",VLOOKUP(L322,'Foundation Calculation'!$K$2:$R$40,VLOOKUP(AW322,'Foundation Calculation'!$I$2:$J$8,2,FALSE),0),IF(AX322="K",VLOOKUP(L322,'Foundation Calculation'!$K$42:$R$80,VLOOKUP(AW322,'Foundation Calculation'!$I$2:$J$8,2,FALSE),0),""))</f>
        <v>3.5</v>
      </c>
      <c r="AZ322" s="484">
        <f>IF(AX322="PT",VLOOKUP(K322,'Foundation Calculation'!$K$2:$R$40,VLOOKUP(AW322,'Foundation Calculation'!$I$2:$J$8,2,FALSE),0),IF(AX322="K",VLOOKUP(K322,'Foundation Calculation'!$K$42:$R$80,VLOOKUP(AW322,'Foundation Calculation'!$I$2:$J$8,2,FALSE),0),""))</f>
        <v>3.9</v>
      </c>
      <c r="BA322" s="671" t="s">
        <v>2809</v>
      </c>
      <c r="BB322" s="1239" t="str">
        <f>Pole_Calculations!A178</f>
        <v>App.8-V08F-P10.3</v>
      </c>
      <c r="BC322" s="169"/>
      <c r="BD322" s="1329">
        <v>43740</v>
      </c>
      <c r="BE322" s="1329" t="s">
        <v>4946</v>
      </c>
      <c r="BF322" s="1329"/>
      <c r="BG322" s="1329">
        <v>43808</v>
      </c>
    </row>
    <row r="323" spans="1:59" ht="15.75" customHeight="1">
      <c r="A323" s="1239"/>
      <c r="B323" s="1239"/>
      <c r="C323" s="171"/>
      <c r="D323" s="1239"/>
      <c r="E323" s="1239"/>
      <c r="F323" s="448"/>
      <c r="G323" s="455">
        <v>27.1</v>
      </c>
      <c r="H323" s="1239"/>
      <c r="I323" s="448"/>
      <c r="J323" s="171">
        <f>C324-7.5</f>
        <v>92311.199999999968</v>
      </c>
      <c r="K323" s="1239" t="s">
        <v>2788</v>
      </c>
      <c r="L323" s="1239"/>
      <c r="M323" s="1239"/>
      <c r="N323" s="1239"/>
      <c r="O323" s="1239"/>
      <c r="P323" s="1239"/>
      <c r="Q323" s="1239"/>
      <c r="R323" s="1239" t="s">
        <v>4988</v>
      </c>
      <c r="S323" s="455">
        <f t="shared" ref="S323" si="156">AG324-AG322</f>
        <v>27.069999999992433</v>
      </c>
      <c r="T323" s="1239"/>
      <c r="U323" s="1239"/>
      <c r="V323" s="1239"/>
      <c r="W323" s="1239"/>
      <c r="X323" s="1239"/>
      <c r="Y323" s="1239"/>
      <c r="Z323" s="1239"/>
      <c r="AA323" s="1239"/>
      <c r="AB323" s="1239"/>
      <c r="AC323" s="1239"/>
      <c r="AD323" s="1239"/>
      <c r="AE323" s="1239"/>
      <c r="AF323" s="1239"/>
      <c r="AG323" s="171"/>
      <c r="AH323" s="1239"/>
      <c r="AI323" s="1239"/>
      <c r="AJ323" s="1239"/>
      <c r="AK323" s="1239"/>
      <c r="AL323" s="1239"/>
      <c r="AM323" s="1239"/>
      <c r="AN323" s="484"/>
      <c r="AO323" s="638"/>
      <c r="AP323" s="638"/>
      <c r="AQ323" s="484">
        <f>+FL_2($T$324,$U$322,$G$323,1200,9.28,-1*$F$324)</f>
        <v>-0.34999999999999992</v>
      </c>
      <c r="AR323" s="484"/>
      <c r="AS323" s="484"/>
      <c r="AT323" s="484"/>
      <c r="AU323" s="638"/>
      <c r="AV323" s="638"/>
      <c r="AW323" s="638" t="str">
        <f>VLOOKUP(J323,'Foundation Calculation'!$A$2:$C$33,3,1)</f>
        <v>Soil B</v>
      </c>
      <c r="AX323" s="572" t="str">
        <f>VLOOKUP(J323,'Foundation Calculation'!$E$2:$G$33,3,1)</f>
        <v>PT</v>
      </c>
      <c r="AY323" s="484"/>
      <c r="AZ323" s="484">
        <f>IF(AX323="PT",VLOOKUP(K323,'Foundation Calculation'!$K$2:$R$40,VLOOKUP(AW323,'Foundation Calculation'!$I$2:$J$8,2,FALSE),0),IF(AX323="K",VLOOKUP(K323,'Foundation Calculation'!$K$42:$R$80,VLOOKUP(AW323,'Foundation Calculation'!$I$2:$J$8,2,FALSE),0),""))</f>
        <v>2.8</v>
      </c>
      <c r="BA323" s="671" t="s">
        <v>2809</v>
      </c>
      <c r="BB323" s="1239"/>
      <c r="BC323" s="169"/>
      <c r="BD323" s="1329">
        <v>43741</v>
      </c>
      <c r="BE323" s="1330"/>
      <c r="BF323" s="1330"/>
      <c r="BG323" s="1330"/>
    </row>
    <row r="324" spans="1:59" ht="15.75" customHeight="1">
      <c r="A324" s="1239"/>
      <c r="B324" s="1239" t="s">
        <v>2379</v>
      </c>
      <c r="C324" s="171">
        <f>+$C$322+$G$323</f>
        <v>92318.699999999968</v>
      </c>
      <c r="D324" s="1239"/>
      <c r="E324" s="1239"/>
      <c r="F324" s="448">
        <v>0</v>
      </c>
      <c r="G324" s="455"/>
      <c r="H324" s="1239" t="s">
        <v>873</v>
      </c>
      <c r="I324" s="448"/>
      <c r="J324" s="171"/>
      <c r="K324" s="1239"/>
      <c r="L324" s="1239" t="s">
        <v>821</v>
      </c>
      <c r="M324" s="638" t="str">
        <f>IF(AX324="PT",VLOOKUP(L324,'Foundation Calculation'!$V$2:$X$40,VLOOKUP(AX324,'Foundation Calculation'!$I$10:$J$13,2,FALSE),0),IF(AX324="K",VLOOKUP(L324,'Foundation Calculation'!$V$42:$X$80,VLOOKUP(AX324,'Foundation Calculation'!$I$10:$J$13,2,FALSE),0),""))</f>
        <v>C7R</v>
      </c>
      <c r="N324" s="1239" t="s">
        <v>143</v>
      </c>
      <c r="O324" s="1239"/>
      <c r="P324" s="1239"/>
      <c r="Q324" s="1239">
        <v>0</v>
      </c>
      <c r="R324" s="1239">
        <v>0</v>
      </c>
      <c r="S324" s="455"/>
      <c r="T324" s="1239">
        <v>-35</v>
      </c>
      <c r="U324" s="1239"/>
      <c r="V324" s="1239"/>
      <c r="W324" s="1239">
        <v>1.4</v>
      </c>
      <c r="X324" s="1239"/>
      <c r="Y324" s="1239"/>
      <c r="Z324" s="1239"/>
      <c r="AA324" s="1239"/>
      <c r="AB324" s="1239"/>
      <c r="AC324" s="1239" t="s">
        <v>3050</v>
      </c>
      <c r="AD324" s="1239"/>
      <c r="AE324" s="1239"/>
      <c r="AF324" s="1239">
        <v>5600</v>
      </c>
      <c r="AG324" s="171">
        <v>92318.59</v>
      </c>
      <c r="AH324" s="1239">
        <v>2823</v>
      </c>
      <c r="AI324" s="1239">
        <v>80</v>
      </c>
      <c r="AJ324" s="638" t="s">
        <v>864</v>
      </c>
      <c r="AK324" s="638" t="s">
        <v>2762</v>
      </c>
      <c r="AL324" s="1239" t="s">
        <v>2135</v>
      </c>
      <c r="AM324" s="1239" t="s">
        <v>1042</v>
      </c>
      <c r="AN324" s="484">
        <v>5.5</v>
      </c>
      <c r="AO324" s="638"/>
      <c r="AP324" s="638"/>
      <c r="AQ324" s="484"/>
      <c r="AR324" s="484"/>
      <c r="AS324" s="484"/>
      <c r="AT324" s="484">
        <f>+ab($T$324,$T$322,$T$326,$G$323,$G$325,-1*$F$324,1200)</f>
        <v>-4.15294727782116</v>
      </c>
      <c r="AU324" s="638"/>
      <c r="AV324" s="638"/>
      <c r="AW324" s="638" t="str">
        <f>VLOOKUP(C324,'Foundation Calculation'!$A$2:$C$33,3,1)</f>
        <v>Soil B</v>
      </c>
      <c r="AX324" s="572" t="str">
        <f>VLOOKUP(C324,'Foundation Calculation'!$E$2:$G$33,3,1)</f>
        <v>PT</v>
      </c>
      <c r="AY324" s="484">
        <f>IF(AX324="PT",VLOOKUP(L324,'Foundation Calculation'!$K$2:$R$40,VLOOKUP(AW324,'Foundation Calculation'!$I$2:$J$8,2,FALSE),0),IF(AX324="K",VLOOKUP(L324,'Foundation Calculation'!$K$42:$R$80,VLOOKUP(AW324,'Foundation Calculation'!$I$2:$J$8,2,FALSE),0),""))</f>
        <v>3.5</v>
      </c>
      <c r="AZ324" s="484"/>
      <c r="BA324" s="671" t="s">
        <v>2809</v>
      </c>
      <c r="BB324" s="1239" t="str">
        <f>Pole_Calculations!A178</f>
        <v>App.8-V08F-P10.3</v>
      </c>
      <c r="BC324" s="169"/>
      <c r="BD324" s="1329">
        <v>43741</v>
      </c>
      <c r="BE324" s="1329" t="s">
        <v>4946</v>
      </c>
      <c r="BF324" s="1329"/>
      <c r="BG324" s="1329">
        <v>43808</v>
      </c>
    </row>
    <row r="325" spans="1:59" ht="15.75" customHeight="1">
      <c r="A325" s="1239"/>
      <c r="B325" s="1239"/>
      <c r="C325" s="171"/>
      <c r="D325" s="1239"/>
      <c r="E325" s="1239"/>
      <c r="F325" s="448"/>
      <c r="G325" s="455">
        <v>27.1</v>
      </c>
      <c r="H325" s="1239"/>
      <c r="I325" s="448"/>
      <c r="J325" s="171">
        <f>C326-7.5</f>
        <v>92338.299999999974</v>
      </c>
      <c r="K325" s="1239" t="s">
        <v>2788</v>
      </c>
      <c r="L325" s="1239"/>
      <c r="M325" s="1239"/>
      <c r="N325" s="1239"/>
      <c r="O325" s="1239"/>
      <c r="P325" s="1239"/>
      <c r="Q325" s="1239"/>
      <c r="R325" s="1239"/>
      <c r="S325" s="455">
        <f t="shared" ref="S325" si="157">AG326-AG324</f>
        <v>27.169999999998254</v>
      </c>
      <c r="T325" s="1239"/>
      <c r="U325" s="1239"/>
      <c r="V325" s="1239"/>
      <c r="W325" s="1239"/>
      <c r="X325" s="1239"/>
      <c r="Y325" s="1239"/>
      <c r="Z325" s="1239"/>
      <c r="AA325" s="1239"/>
      <c r="AB325" s="1239"/>
      <c r="AC325" s="1239"/>
      <c r="AD325" s="1239"/>
      <c r="AE325" s="1239"/>
      <c r="AF325" s="1239"/>
      <c r="AG325" s="171"/>
      <c r="AH325" s="1239"/>
      <c r="AI325" s="1239"/>
      <c r="AJ325" s="1239"/>
      <c r="AK325" s="1239"/>
      <c r="AL325" s="1239"/>
      <c r="AM325" s="1239"/>
      <c r="AN325" s="484"/>
      <c r="AO325" s="638"/>
      <c r="AP325" s="638"/>
      <c r="AQ325" s="484">
        <f>+FL_2($T$326,$T$324,$G$325,1200,9.28,-1*$F$326)</f>
        <v>-0.3500000000000219</v>
      </c>
      <c r="AR325" s="484"/>
      <c r="AS325" s="484"/>
      <c r="AT325" s="484"/>
      <c r="AU325" s="638"/>
      <c r="AV325" s="638"/>
      <c r="AW325" s="638" t="str">
        <f>VLOOKUP(J325,'Foundation Calculation'!$A$2:$C$33,3,1)</f>
        <v>Soil B</v>
      </c>
      <c r="AX325" s="572" t="str">
        <f>VLOOKUP(J325,'Foundation Calculation'!$E$2:$G$33,3,1)</f>
        <v>PT</v>
      </c>
      <c r="AY325" s="484"/>
      <c r="AZ325" s="484">
        <f>IF(AX325="PT",VLOOKUP(K325,'Foundation Calculation'!$K$2:$R$40,VLOOKUP(AW325,'Foundation Calculation'!$I$2:$J$8,2,FALSE),0),IF(AX325="K",VLOOKUP(K325,'Foundation Calculation'!$K$42:$R$80,VLOOKUP(AW325,'Foundation Calculation'!$I$2:$J$8,2,FALSE),0),""))</f>
        <v>2.8</v>
      </c>
      <c r="BA325" s="671" t="s">
        <v>2809</v>
      </c>
      <c r="BB325" s="1239"/>
      <c r="BC325" s="169"/>
      <c r="BD325" s="1329">
        <v>43734</v>
      </c>
      <c r="BE325" s="1330"/>
      <c r="BF325" s="1330"/>
      <c r="BG325" s="1330"/>
    </row>
    <row r="326" spans="1:59" ht="15.75" customHeight="1">
      <c r="A326" s="1239"/>
      <c r="B326" s="1239" t="s">
        <v>2380</v>
      </c>
      <c r="C326" s="171">
        <f>+$C$324+$G$325</f>
        <v>92345.799999999974</v>
      </c>
      <c r="D326" s="1239"/>
      <c r="E326" s="1239"/>
      <c r="F326" s="448">
        <v>0</v>
      </c>
      <c r="G326" s="455"/>
      <c r="H326" s="1239" t="s">
        <v>873</v>
      </c>
      <c r="I326" s="448"/>
      <c r="J326" s="171"/>
      <c r="K326" s="1239"/>
      <c r="L326" s="1239" t="s">
        <v>821</v>
      </c>
      <c r="M326" s="638" t="str">
        <f>IF(AX326="PT",VLOOKUP(L326,'Foundation Calculation'!$V$2:$X$40,VLOOKUP(AX326,'Foundation Calculation'!$I$10:$J$13,2,FALSE),0),IF(AX326="K",VLOOKUP(L326,'Foundation Calculation'!$V$42:$X$80,VLOOKUP(AX326,'Foundation Calculation'!$I$10:$J$13,2,FALSE),0),""))</f>
        <v>C7R</v>
      </c>
      <c r="N326" s="1239" t="s">
        <v>144</v>
      </c>
      <c r="O326" s="1239"/>
      <c r="P326" s="1239"/>
      <c r="Q326" s="1239">
        <v>0</v>
      </c>
      <c r="R326" s="1239">
        <v>0</v>
      </c>
      <c r="S326" s="455"/>
      <c r="T326" s="1239">
        <v>35</v>
      </c>
      <c r="U326" s="1239"/>
      <c r="V326" s="1239"/>
      <c r="W326" s="1239">
        <v>1.4</v>
      </c>
      <c r="X326" s="1239"/>
      <c r="Y326" s="1239"/>
      <c r="Z326" s="1239"/>
      <c r="AA326" s="1239"/>
      <c r="AB326" s="1239"/>
      <c r="AC326" s="1239" t="s">
        <v>3050</v>
      </c>
      <c r="AD326" s="1239"/>
      <c r="AE326" s="1239"/>
      <c r="AF326" s="1239">
        <v>5800</v>
      </c>
      <c r="AG326" s="171">
        <v>92345.76</v>
      </c>
      <c r="AH326" s="1239">
        <v>2713</v>
      </c>
      <c r="AI326" s="1239">
        <v>-20</v>
      </c>
      <c r="AJ326" s="1239"/>
      <c r="AK326" s="1239"/>
      <c r="AL326" s="1239" t="s">
        <v>2135</v>
      </c>
      <c r="AM326" s="1239" t="s">
        <v>1042</v>
      </c>
      <c r="AN326" s="484">
        <v>5.46</v>
      </c>
      <c r="AO326" s="638"/>
      <c r="AP326" s="638"/>
      <c r="AQ326" s="484"/>
      <c r="AR326" s="484"/>
      <c r="AS326" s="484"/>
      <c r="AT326" s="484">
        <f>+ab($T$326,$T$324,$T$328,$G$325,$G$327,-1*$F$326,1200)</f>
        <v>3.7024636473351671</v>
      </c>
      <c r="AU326" s="638"/>
      <c r="AV326" s="638"/>
      <c r="AW326" s="638" t="str">
        <f>VLOOKUP(C326,'Foundation Calculation'!$A$2:$C$33,3,1)</f>
        <v>Soil B</v>
      </c>
      <c r="AX326" s="572" t="str">
        <f>VLOOKUP(C326,'Foundation Calculation'!$E$2:$G$33,3,1)</f>
        <v>PT</v>
      </c>
      <c r="AY326" s="484">
        <f>IF(AX326="PT",VLOOKUP(L326,'Foundation Calculation'!$K$2:$R$40,VLOOKUP(AW326,'Foundation Calculation'!$I$2:$J$8,2,FALSE),0),IF(AX326="K",VLOOKUP(L326,'Foundation Calculation'!$K$42:$R$80,VLOOKUP(AW326,'Foundation Calculation'!$I$2:$J$8,2,FALSE),0),""))</f>
        <v>3.5</v>
      </c>
      <c r="AZ326" s="484"/>
      <c r="BA326" s="671" t="s">
        <v>2809</v>
      </c>
      <c r="BB326" s="1239" t="str">
        <f>Pole_Calculations!A178</f>
        <v>App.8-V08F-P10.3</v>
      </c>
      <c r="BC326" s="169"/>
      <c r="BD326" s="1329">
        <v>43734</v>
      </c>
      <c r="BE326" s="1329" t="s">
        <v>4946</v>
      </c>
      <c r="BF326" s="1329"/>
      <c r="BG326" s="1329">
        <v>43808</v>
      </c>
    </row>
    <row r="327" spans="1:59" ht="15.75" customHeight="1">
      <c r="A327" s="1239"/>
      <c r="B327" s="1239"/>
      <c r="C327" s="171"/>
      <c r="D327" s="1239"/>
      <c r="E327" s="1239"/>
      <c r="F327" s="448"/>
      <c r="G327" s="455">
        <v>27</v>
      </c>
      <c r="H327" s="1239"/>
      <c r="I327" s="448">
        <f>SUM(G305:G327)</f>
        <v>404.80000000000007</v>
      </c>
      <c r="J327" s="171"/>
      <c r="K327" s="1239"/>
      <c r="L327" s="1239"/>
      <c r="M327" s="1239"/>
      <c r="N327" s="1239"/>
      <c r="O327" s="1239"/>
      <c r="P327" s="1239"/>
      <c r="Q327" s="1239"/>
      <c r="R327" s="1239"/>
      <c r="S327" s="455">
        <f t="shared" ref="S327" si="158">AG328-AG326</f>
        <v>26.900000000008731</v>
      </c>
      <c r="T327" s="1239"/>
      <c r="U327" s="1239"/>
      <c r="V327" s="1239"/>
      <c r="W327" s="1239"/>
      <c r="X327" s="1239"/>
      <c r="Y327" s="1239"/>
      <c r="Z327" s="1239"/>
      <c r="AA327" s="1239"/>
      <c r="AB327" s="1239"/>
      <c r="AC327" s="1239"/>
      <c r="AD327" s="1239"/>
      <c r="AE327" s="1239"/>
      <c r="AF327" s="1239"/>
      <c r="AG327" s="171"/>
      <c r="AH327" s="1239"/>
      <c r="AI327" s="1239"/>
      <c r="AJ327" s="1239"/>
      <c r="AK327" s="1239"/>
      <c r="AL327" s="1239"/>
      <c r="AM327" s="1239"/>
      <c r="AN327" s="484"/>
      <c r="AO327" s="638"/>
      <c r="AP327" s="638"/>
      <c r="AQ327" s="484">
        <f>+FL_1($T$328,$T$326,$G$327,1200,9.28,-1*$F$328)</f>
        <v>0.3500000000000219</v>
      </c>
      <c r="AR327" s="484"/>
      <c r="AS327" s="484"/>
      <c r="AT327" s="484"/>
      <c r="AU327" s="638"/>
      <c r="AV327" s="638"/>
      <c r="AW327" s="638"/>
      <c r="AX327" s="638"/>
      <c r="AY327" s="484"/>
      <c r="AZ327" s="484"/>
      <c r="BA327" s="671"/>
      <c r="BB327" s="1239"/>
      <c r="BC327" s="169"/>
      <c r="BD327" s="1330"/>
      <c r="BE327" s="1330"/>
      <c r="BF327" s="1330"/>
      <c r="BG327" s="1330"/>
    </row>
    <row r="328" spans="1:59" ht="15.75" customHeight="1">
      <c r="A328" s="1239"/>
      <c r="B328" s="1239" t="s">
        <v>2381</v>
      </c>
      <c r="C328" s="171">
        <f>+$C$326+$G$327</f>
        <v>92372.799999999974</v>
      </c>
      <c r="D328" s="1239"/>
      <c r="E328" s="1239"/>
      <c r="F328" s="448">
        <v>0</v>
      </c>
      <c r="G328" s="455"/>
      <c r="H328" s="1239" t="s">
        <v>874</v>
      </c>
      <c r="I328" s="448"/>
      <c r="J328" s="171"/>
      <c r="K328" s="1239"/>
      <c r="L328" s="1239" t="s">
        <v>821</v>
      </c>
      <c r="M328" s="638" t="str">
        <f>IF(AX328="PT",VLOOKUP(L328,'Foundation Calculation'!$V$2:$X$40,VLOOKUP(AX328,'Foundation Calculation'!$I$10:$J$13,2,FALSE),0),IF(AX328="K",VLOOKUP(L328,'Foundation Calculation'!$V$42:$X$80,VLOOKUP(AX328,'Foundation Calculation'!$I$10:$J$13,2,FALSE),0),""))</f>
        <v>C7R</v>
      </c>
      <c r="N328" s="1239" t="s">
        <v>143</v>
      </c>
      <c r="O328" s="1239"/>
      <c r="P328" s="1239"/>
      <c r="Q328" s="1239">
        <v>10</v>
      </c>
      <c r="R328" s="1239">
        <v>0</v>
      </c>
      <c r="S328" s="455"/>
      <c r="T328" s="1239">
        <v>-35</v>
      </c>
      <c r="U328" s="1239"/>
      <c r="V328" s="1239"/>
      <c r="W328" s="1239">
        <v>1.4</v>
      </c>
      <c r="X328" s="1239"/>
      <c r="Y328" s="1239"/>
      <c r="Z328" s="1239"/>
      <c r="AA328" s="1239"/>
      <c r="AB328" s="1239"/>
      <c r="AC328" s="1239" t="s">
        <v>3050</v>
      </c>
      <c r="AD328" s="1239"/>
      <c r="AE328" s="1239"/>
      <c r="AF328" s="1239">
        <v>5400</v>
      </c>
      <c r="AG328" s="171">
        <v>92372.66</v>
      </c>
      <c r="AH328" s="1239">
        <v>2863</v>
      </c>
      <c r="AI328" s="1239">
        <v>30</v>
      </c>
      <c r="AJ328" s="1239"/>
      <c r="AK328" s="1239"/>
      <c r="AL328" s="1239" t="s">
        <v>2135</v>
      </c>
      <c r="AM328" s="1239" t="s">
        <v>1042</v>
      </c>
      <c r="AN328" s="484">
        <v>5.39</v>
      </c>
      <c r="AO328" s="638"/>
      <c r="AP328" s="638"/>
      <c r="AQ328" s="484"/>
      <c r="AR328" s="484"/>
      <c r="AS328" s="484"/>
      <c r="AT328" s="484">
        <f>+ab($T$328,$T$326,$T$330,$G$327,$G$329,-1*$F$328,1200)</f>
        <v>-3.6956553273930099</v>
      </c>
      <c r="AU328" s="638"/>
      <c r="AV328" s="638"/>
      <c r="AW328" s="638" t="str">
        <f>VLOOKUP(C328,'Foundation Calculation'!$A$2:$C$33,3,1)</f>
        <v>Soil B</v>
      </c>
      <c r="AX328" s="572" t="str">
        <f>VLOOKUP(C328,'Foundation Calculation'!$E$2:$G$33,3,1)</f>
        <v>PT</v>
      </c>
      <c r="AY328" s="484">
        <f>IF(AX328="PT",VLOOKUP(L328,'Foundation Calculation'!$K$2:$R$40,VLOOKUP(AW328,'Foundation Calculation'!$I$2:$J$8,2,FALSE),0),IF(AX328="K",VLOOKUP(L328,'Foundation Calculation'!$K$42:$R$80,VLOOKUP(AW328,'Foundation Calculation'!$I$2:$J$8,2,FALSE),0),""))</f>
        <v>3.5</v>
      </c>
      <c r="AZ328" s="484"/>
      <c r="BA328" s="671" t="s">
        <v>2809</v>
      </c>
      <c r="BB328" s="1239" t="str">
        <f>Pole_Calculations!A178</f>
        <v>App.8-V08F-P10.3</v>
      </c>
      <c r="BC328" s="169"/>
      <c r="BD328" s="1329">
        <v>43734</v>
      </c>
      <c r="BE328" s="1329" t="s">
        <v>4946</v>
      </c>
      <c r="BF328" s="1329"/>
      <c r="BG328" s="1329">
        <v>43808</v>
      </c>
    </row>
    <row r="329" spans="1:59" ht="15.75" customHeight="1">
      <c r="A329" s="1239"/>
      <c r="B329" s="1239"/>
      <c r="C329" s="171"/>
      <c r="D329" s="1239"/>
      <c r="E329" s="1239"/>
      <c r="F329" s="448"/>
      <c r="G329" s="455">
        <v>27</v>
      </c>
      <c r="H329" s="1239"/>
      <c r="I329" s="448">
        <f>SUM(G329:G349)</f>
        <v>396.7</v>
      </c>
      <c r="J329" s="171"/>
      <c r="K329" s="1239"/>
      <c r="L329" s="1239"/>
      <c r="M329" s="1239"/>
      <c r="N329" s="1239"/>
      <c r="O329" s="1239"/>
      <c r="P329" s="1239"/>
      <c r="Q329" s="1239"/>
      <c r="R329" s="1239"/>
      <c r="S329" s="455">
        <f t="shared" ref="S329" si="159">AG330-AG328</f>
        <v>27.05000000000291</v>
      </c>
      <c r="T329" s="1239"/>
      <c r="U329" s="1239"/>
      <c r="V329" s="1239"/>
      <c r="W329" s="1239"/>
      <c r="X329" s="1239"/>
      <c r="Y329" s="1239"/>
      <c r="Z329" s="1239"/>
      <c r="AA329" s="1239"/>
      <c r="AB329" s="1239"/>
      <c r="AC329" s="1239"/>
      <c r="AD329" s="1239"/>
      <c r="AE329" s="1239"/>
      <c r="AF329" s="1239"/>
      <c r="AG329" s="171"/>
      <c r="AH329" s="1239"/>
      <c r="AI329" s="1239"/>
      <c r="AJ329" s="1239"/>
      <c r="AK329" s="1239"/>
      <c r="AL329" s="1239"/>
      <c r="AM329" s="1239"/>
      <c r="AN329" s="484"/>
      <c r="AO329" s="638"/>
      <c r="AP329" s="638"/>
      <c r="AQ329" s="484">
        <f>+FL_2($T$330,$T$328,$G$329,1200,9.28,-1*$F$330)</f>
        <v>-0.3500000000000219</v>
      </c>
      <c r="AR329" s="484"/>
      <c r="AS329" s="484"/>
      <c r="AT329" s="484"/>
      <c r="AU329" s="638"/>
      <c r="AV329" s="638"/>
      <c r="AW329" s="638"/>
      <c r="AX329" s="638"/>
      <c r="AY329" s="484"/>
      <c r="AZ329" s="484"/>
      <c r="BA329" s="671"/>
      <c r="BB329" s="1239"/>
      <c r="BC329" s="169"/>
      <c r="BD329" s="1330"/>
      <c r="BE329" s="1330"/>
      <c r="BF329" s="1330"/>
      <c r="BG329" s="1330"/>
    </row>
    <row r="330" spans="1:59" ht="15.75" customHeight="1">
      <c r="A330" s="1239"/>
      <c r="B330" s="1239" t="s">
        <v>2382</v>
      </c>
      <c r="C330" s="171">
        <f>+$C$328+$G$329-0.25</f>
        <v>92399.549999999974</v>
      </c>
      <c r="D330" s="1239"/>
      <c r="E330" s="1239"/>
      <c r="F330" s="448">
        <v>0</v>
      </c>
      <c r="G330" s="455"/>
      <c r="H330" s="1239" t="s">
        <v>873</v>
      </c>
      <c r="I330" s="448"/>
      <c r="J330" s="171"/>
      <c r="K330" s="1239"/>
      <c r="L330" s="1239" t="s">
        <v>821</v>
      </c>
      <c r="M330" s="638" t="str">
        <f>IF(AX330="PT",VLOOKUP(L330,'Foundation Calculation'!$V$2:$X$40,VLOOKUP(AX330,'Foundation Calculation'!$I$10:$J$13,2,FALSE),0),IF(AX330="K",VLOOKUP(L330,'Foundation Calculation'!$V$42:$X$80,VLOOKUP(AX330,'Foundation Calculation'!$I$10:$J$13,2,FALSE),0),""))</f>
        <v>C7R</v>
      </c>
      <c r="N330" s="1239" t="s">
        <v>144</v>
      </c>
      <c r="O330" s="1239"/>
      <c r="P330" s="1239"/>
      <c r="Q330" s="1239">
        <v>0</v>
      </c>
      <c r="R330" s="1239">
        <v>0</v>
      </c>
      <c r="S330" s="455"/>
      <c r="T330" s="1239">
        <v>35</v>
      </c>
      <c r="U330" s="1239"/>
      <c r="V330" s="1239"/>
      <c r="W330" s="1239">
        <v>1.4</v>
      </c>
      <c r="X330" s="1239"/>
      <c r="Y330" s="1239"/>
      <c r="Z330" s="1239"/>
      <c r="AA330" s="1239"/>
      <c r="AB330" s="1239"/>
      <c r="AC330" s="1239" t="s">
        <v>3050</v>
      </c>
      <c r="AD330" s="1239"/>
      <c r="AE330" s="1239"/>
      <c r="AF330" s="1239">
        <v>5200</v>
      </c>
      <c r="AG330" s="171">
        <v>92399.71</v>
      </c>
      <c r="AH330" s="1239">
        <v>3383</v>
      </c>
      <c r="AI330" s="1239">
        <v>-180</v>
      </c>
      <c r="AJ330" s="1239"/>
      <c r="AK330" s="1239"/>
      <c r="AL330" s="1239" t="s">
        <v>2135</v>
      </c>
      <c r="AM330" s="1239" t="s">
        <v>1042</v>
      </c>
      <c r="AN330" s="484">
        <v>5.32</v>
      </c>
      <c r="AO330" s="638"/>
      <c r="AP330" s="638"/>
      <c r="AQ330" s="484"/>
      <c r="AR330" s="484"/>
      <c r="AS330" s="484"/>
      <c r="AT330" s="484">
        <f>+ab($T$330,$T$328,$T$332,$G$329,$G$331,-1*$F$330,1200)</f>
        <v>3.6472476561170395</v>
      </c>
      <c r="AU330" s="638"/>
      <c r="AV330" s="638"/>
      <c r="AW330" s="638" t="str">
        <f>VLOOKUP(C330,'Foundation Calculation'!$A$2:$C$33,3,1)</f>
        <v>Soil B</v>
      </c>
      <c r="AX330" s="572" t="str">
        <f>VLOOKUP(C330,'Foundation Calculation'!$E$2:$G$33,3,1)</f>
        <v>PT</v>
      </c>
      <c r="AY330" s="484">
        <f>IF(AX330="PT",VLOOKUP(L330,'Foundation Calculation'!$K$2:$R$40,VLOOKUP(AW330,'Foundation Calculation'!$I$2:$J$8,2,FALSE),0),IF(AX330="K",VLOOKUP(L330,'Foundation Calculation'!$K$42:$R$80,VLOOKUP(AW330,'Foundation Calculation'!$I$2:$J$8,2,FALSE),0),""))</f>
        <v>3.5</v>
      </c>
      <c r="AZ330" s="484"/>
      <c r="BA330" s="671" t="s">
        <v>2809</v>
      </c>
      <c r="BB330" s="1239" t="str">
        <f>Pole_Calculations!A178</f>
        <v>App.8-V08F-P10.3</v>
      </c>
      <c r="BC330" s="169"/>
      <c r="BD330" s="1329">
        <v>43734</v>
      </c>
      <c r="BE330" s="1329" t="s">
        <v>4946</v>
      </c>
      <c r="BF330" s="1329"/>
      <c r="BG330" s="1329">
        <v>43808</v>
      </c>
    </row>
    <row r="331" spans="1:59" ht="15.75" customHeight="1">
      <c r="A331" s="1239"/>
      <c r="B331" s="1239"/>
      <c r="C331" s="171"/>
      <c r="D331" s="1239"/>
      <c r="E331" s="1239"/>
      <c r="F331" s="448"/>
      <c r="G331" s="455">
        <v>26.3</v>
      </c>
      <c r="H331" s="1239"/>
      <c r="I331" s="448"/>
      <c r="J331" s="171">
        <f>C330+7.5</f>
        <v>92407.049999999974</v>
      </c>
      <c r="K331" s="1239" t="s">
        <v>2788</v>
      </c>
      <c r="L331" s="1239"/>
      <c r="M331" s="1239"/>
      <c r="N331" s="1239"/>
      <c r="O331" s="1239"/>
      <c r="P331" s="1239"/>
      <c r="Q331" s="1239"/>
      <c r="R331" s="1239"/>
      <c r="S331" s="455">
        <f t="shared" ref="S331" si="160">AG332-AG330</f>
        <v>26.25</v>
      </c>
      <c r="T331" s="1239"/>
      <c r="U331" s="1239"/>
      <c r="V331" s="1239"/>
      <c r="W331" s="1239"/>
      <c r="X331" s="1239"/>
      <c r="Y331" s="1239"/>
      <c r="Z331" s="1239"/>
      <c r="AA331" s="1239"/>
      <c r="AB331" s="1239"/>
      <c r="AC331" s="1239"/>
      <c r="AD331" s="1239"/>
      <c r="AE331" s="1239"/>
      <c r="AF331" s="1239"/>
      <c r="AG331" s="171"/>
      <c r="AH331" s="1239"/>
      <c r="AI331" s="1239"/>
      <c r="AJ331" s="1239"/>
      <c r="AK331" s="1239"/>
      <c r="AL331" s="1239"/>
      <c r="AM331" s="1239"/>
      <c r="AN331" s="484"/>
      <c r="AO331" s="638"/>
      <c r="AP331" s="638"/>
      <c r="AQ331" s="484">
        <f>+FL_1($T$332,$T$330,$G$331,1200,9.28,-1*$F$332)</f>
        <v>0.35000000000002157</v>
      </c>
      <c r="AR331" s="484"/>
      <c r="AS331" s="484"/>
      <c r="AT331" s="484"/>
      <c r="AU331" s="638"/>
      <c r="AV331" s="638"/>
      <c r="AW331" s="638" t="str">
        <f>VLOOKUP(J331,'Foundation Calculation'!$A$2:$C$33,3,1)</f>
        <v>Soil B</v>
      </c>
      <c r="AX331" s="572" t="str">
        <f>VLOOKUP(J331,'Foundation Calculation'!$E$2:$G$33,3,1)</f>
        <v>PT</v>
      </c>
      <c r="AY331" s="484"/>
      <c r="AZ331" s="484">
        <f>IF(AX331="PT",VLOOKUP(K331,'Foundation Calculation'!$K$2:$R$40,VLOOKUP(AW331,'Foundation Calculation'!$I$2:$J$8,2,FALSE),0),IF(AX331="K",VLOOKUP(K331,'Foundation Calculation'!$K$42:$R$80,VLOOKUP(AW331,'Foundation Calculation'!$I$2:$J$8,2,FALSE),0),""))</f>
        <v>2.8</v>
      </c>
      <c r="BA331" s="671" t="s">
        <v>2809</v>
      </c>
      <c r="BB331" s="1239"/>
      <c r="BC331" s="169"/>
      <c r="BD331" s="1329">
        <v>43733</v>
      </c>
      <c r="BE331" s="1330"/>
      <c r="BF331" s="1330"/>
      <c r="BG331" s="1330"/>
    </row>
    <row r="332" spans="1:59" ht="15.75" customHeight="1">
      <c r="A332" s="1239"/>
      <c r="B332" s="1239" t="s">
        <v>2383</v>
      </c>
      <c r="C332" s="171">
        <f>+$C$330+$G$331</f>
        <v>92425.849999999977</v>
      </c>
      <c r="D332" s="1239"/>
      <c r="E332" s="1239"/>
      <c r="F332" s="448">
        <v>0</v>
      </c>
      <c r="G332" s="455"/>
      <c r="H332" s="1239" t="s">
        <v>873</v>
      </c>
      <c r="I332" s="448"/>
      <c r="J332" s="171"/>
      <c r="K332" s="1239"/>
      <c r="L332" s="1239" t="s">
        <v>821</v>
      </c>
      <c r="M332" s="638" t="str">
        <f>IF(AX332="PT",VLOOKUP(L332,'Foundation Calculation'!$V$2:$X$40,VLOOKUP(AX332,'Foundation Calculation'!$I$10:$J$13,2,FALSE),0),IF(AX332="K",VLOOKUP(L332,'Foundation Calculation'!$V$42:$X$80,VLOOKUP(AX332,'Foundation Calculation'!$I$10:$J$13,2,FALSE),0),""))</f>
        <v>C7R</v>
      </c>
      <c r="N332" s="1239" t="s">
        <v>2789</v>
      </c>
      <c r="O332" s="1239"/>
      <c r="P332" s="1239"/>
      <c r="Q332" s="1239">
        <v>0</v>
      </c>
      <c r="R332" s="1239">
        <v>0</v>
      </c>
      <c r="S332" s="455"/>
      <c r="T332" s="1239">
        <v>-35</v>
      </c>
      <c r="U332" s="1239"/>
      <c r="V332" s="1239"/>
      <c r="W332" s="1239">
        <v>1</v>
      </c>
      <c r="X332" s="1239"/>
      <c r="Y332" s="1239"/>
      <c r="Z332" s="1239"/>
      <c r="AA332" s="1239"/>
      <c r="AB332" s="1239"/>
      <c r="AC332" s="1239" t="s">
        <v>3050</v>
      </c>
      <c r="AD332" s="1239"/>
      <c r="AE332" s="1239"/>
      <c r="AF332" s="1239">
        <v>5200</v>
      </c>
      <c r="AG332" s="171">
        <v>92425.96</v>
      </c>
      <c r="AH332" s="1239">
        <v>2833</v>
      </c>
      <c r="AI332" s="1239">
        <v>160</v>
      </c>
      <c r="AJ332" s="1239"/>
      <c r="AK332" s="1239"/>
      <c r="AL332" s="1239" t="s">
        <v>2135</v>
      </c>
      <c r="AM332" s="1239" t="s">
        <v>1042</v>
      </c>
      <c r="AN332" s="484">
        <v>5.26</v>
      </c>
      <c r="AO332" s="638"/>
      <c r="AP332" s="638"/>
      <c r="AQ332" s="484"/>
      <c r="AR332" s="484"/>
      <c r="AS332" s="484"/>
      <c r="AT332" s="484">
        <f>+ab($T$332,$T$330,$T$334,$G$331,$G$333,-1*$F$332,1200)</f>
        <v>-3.6000972706156706</v>
      </c>
      <c r="AU332" s="638"/>
      <c r="AV332" s="638"/>
      <c r="AW332" s="638" t="str">
        <f>VLOOKUP(C332,'Foundation Calculation'!$A$2:$C$33,3,1)</f>
        <v>Soil B</v>
      </c>
      <c r="AX332" s="572" t="str">
        <f>VLOOKUP(C332,'Foundation Calculation'!$E$2:$G$33,3,1)</f>
        <v>PT</v>
      </c>
      <c r="AY332" s="484">
        <f>IF(AX332="PT",VLOOKUP(L332,'Foundation Calculation'!$K$2:$R$40,VLOOKUP(AW332,'Foundation Calculation'!$I$2:$J$8,2,FALSE),0),IF(AX332="K",VLOOKUP(L332,'Foundation Calculation'!$K$42:$R$80,VLOOKUP(AW332,'Foundation Calculation'!$I$2:$J$8,2,FALSE),0),""))</f>
        <v>3.5</v>
      </c>
      <c r="AZ332" s="484"/>
      <c r="BA332" s="671" t="s">
        <v>2809</v>
      </c>
      <c r="BB332" s="1239" t="str">
        <f>Pole_Calculations!A178</f>
        <v>App.8-V08F-P10.3</v>
      </c>
      <c r="BC332" s="169"/>
      <c r="BD332" s="1329">
        <v>43733</v>
      </c>
      <c r="BE332" s="1329" t="s">
        <v>4946</v>
      </c>
      <c r="BF332" s="1329"/>
      <c r="BG332" s="1329">
        <v>43808</v>
      </c>
    </row>
    <row r="333" spans="1:59" ht="15.75" customHeight="1">
      <c r="A333" s="1239"/>
      <c r="B333" s="1239"/>
      <c r="C333" s="171"/>
      <c r="D333" s="1239"/>
      <c r="E333" s="1239"/>
      <c r="F333" s="448"/>
      <c r="G333" s="455">
        <v>26.3</v>
      </c>
      <c r="H333" s="1239"/>
      <c r="I333" s="448"/>
      <c r="J333" s="171">
        <f>C332+7.5</f>
        <v>92433.349999999977</v>
      </c>
      <c r="K333" s="1239" t="s">
        <v>2788</v>
      </c>
      <c r="L333" s="1239"/>
      <c r="M333" s="1239"/>
      <c r="N333" s="1239"/>
      <c r="O333" s="1239"/>
      <c r="P333" s="1239"/>
      <c r="Q333" s="1239"/>
      <c r="R333" s="1239"/>
      <c r="S333" s="455">
        <f t="shared" ref="S333" si="161">AG334-AG332</f>
        <v>23.539999999993597</v>
      </c>
      <c r="T333" s="1239"/>
      <c r="U333" s="1239"/>
      <c r="V333" s="1239"/>
      <c r="W333" s="1239"/>
      <c r="X333" s="1239"/>
      <c r="Y333" s="1239"/>
      <c r="Z333" s="1239"/>
      <c r="AA333" s="1239"/>
      <c r="AB333" s="1239"/>
      <c r="AC333" s="1239"/>
      <c r="AD333" s="1239"/>
      <c r="AE333" s="1239"/>
      <c r="AF333" s="1239"/>
      <c r="AG333" s="171"/>
      <c r="AH333" s="1239"/>
      <c r="AI333" s="1239"/>
      <c r="AJ333" s="1239"/>
      <c r="AK333" s="1239"/>
      <c r="AL333" s="1239"/>
      <c r="AM333" s="1239"/>
      <c r="AN333" s="484"/>
      <c r="AO333" s="638"/>
      <c r="AP333" s="638"/>
      <c r="AQ333" s="484">
        <f>+FL_2($T$334,$T$332,$G$333,1200,9.28,-1*$F$334)</f>
        <v>-0.35000000000002157</v>
      </c>
      <c r="AR333" s="484"/>
      <c r="AS333" s="484"/>
      <c r="AT333" s="484"/>
      <c r="AU333" s="638"/>
      <c r="AV333" s="638"/>
      <c r="AW333" s="638" t="str">
        <f>VLOOKUP(J333,'Foundation Calculation'!$A$2:$C$33,3,1)</f>
        <v>Soil B</v>
      </c>
      <c r="AX333" s="572" t="str">
        <f>VLOOKUP(J333,'Foundation Calculation'!$E$2:$G$33,3,1)</f>
        <v>PT</v>
      </c>
      <c r="AY333" s="484"/>
      <c r="AZ333" s="484">
        <f>IF(AX333="PT",VLOOKUP(K333,'Foundation Calculation'!$K$2:$R$40,VLOOKUP(AW333,'Foundation Calculation'!$I$2:$J$8,2,FALSE),0),IF(AX333="K",VLOOKUP(K333,'Foundation Calculation'!$K$42:$R$80,VLOOKUP(AW333,'Foundation Calculation'!$I$2:$J$8,2,FALSE),0),""))</f>
        <v>2.8</v>
      </c>
      <c r="BA333" s="671" t="s">
        <v>2809</v>
      </c>
      <c r="BB333" s="1239"/>
      <c r="BC333" s="169"/>
      <c r="BD333" s="1329">
        <v>43733</v>
      </c>
      <c r="BE333" s="1330"/>
      <c r="BF333" s="1330"/>
      <c r="BG333" s="1330"/>
    </row>
    <row r="334" spans="1:59" ht="15.75" customHeight="1">
      <c r="A334" s="1239"/>
      <c r="B334" s="1239" t="s">
        <v>2384</v>
      </c>
      <c r="C334" s="171">
        <f>+$C$332+$G$333</f>
        <v>92452.14999999998</v>
      </c>
      <c r="D334" s="1239"/>
      <c r="E334" s="1239"/>
      <c r="F334" s="448">
        <v>0</v>
      </c>
      <c r="G334" s="455"/>
      <c r="H334" s="1239"/>
      <c r="I334" s="448"/>
      <c r="J334" s="171"/>
      <c r="K334" s="1239"/>
      <c r="L334" s="1239" t="s">
        <v>821</v>
      </c>
      <c r="M334" s="638" t="str">
        <f>IF(AX334="PT",VLOOKUP(L334,'Foundation Calculation'!$V$2:$X$40,VLOOKUP(AX334,'Foundation Calculation'!$I$10:$J$13,2,FALSE),0),IF(AX334="K",VLOOKUP(L334,'Foundation Calculation'!$V$42:$X$80,VLOOKUP(AX334,'Foundation Calculation'!$I$10:$J$13,2,FALSE),0),""))</f>
        <v>C7R</v>
      </c>
      <c r="N334" s="1239" t="s">
        <v>2797</v>
      </c>
      <c r="O334" s="1239"/>
      <c r="P334" s="1239"/>
      <c r="Q334" s="1239">
        <v>0</v>
      </c>
      <c r="R334" s="1239">
        <v>0</v>
      </c>
      <c r="S334" s="455"/>
      <c r="T334" s="1239">
        <v>35</v>
      </c>
      <c r="U334" s="1239"/>
      <c r="V334" s="1239"/>
      <c r="W334" s="1239">
        <v>0.8</v>
      </c>
      <c r="X334" s="1239"/>
      <c r="Y334" s="1239"/>
      <c r="Z334" s="1239"/>
      <c r="AA334" s="1239"/>
      <c r="AB334" s="1239"/>
      <c r="AC334" s="1239" t="s">
        <v>3050</v>
      </c>
      <c r="AD334" s="1239"/>
      <c r="AE334" s="1239"/>
      <c r="AF334" s="1239">
        <v>5300</v>
      </c>
      <c r="AG334" s="171">
        <v>92449.5</v>
      </c>
      <c r="AH334" s="1239">
        <v>2693</v>
      </c>
      <c r="AI334" s="1239">
        <v>100</v>
      </c>
      <c r="AJ334" s="1239"/>
      <c r="AK334" s="1239"/>
      <c r="AL334" s="1239" t="s">
        <v>2135</v>
      </c>
      <c r="AM334" s="1239" t="s">
        <v>1042</v>
      </c>
      <c r="AN334" s="484">
        <v>5.19</v>
      </c>
      <c r="AO334" s="638"/>
      <c r="AP334" s="638"/>
      <c r="AQ334" s="484"/>
      <c r="AR334" s="484"/>
      <c r="AS334" s="484"/>
      <c r="AT334" s="484">
        <f>+ab($T$334,$T$332,$T$336,$G$333,$G$335,-1*$F$334,1200)</f>
        <v>3.7442196532888734</v>
      </c>
      <c r="AU334" s="638"/>
      <c r="AV334" s="638"/>
      <c r="AW334" s="638" t="str">
        <f>VLOOKUP(C334,'Foundation Calculation'!$A$2:$C$33,3,1)</f>
        <v>Soil B</v>
      </c>
      <c r="AX334" s="572" t="str">
        <f>VLOOKUP(C334,'Foundation Calculation'!$E$2:$G$33,3,1)</f>
        <v>PT</v>
      </c>
      <c r="AY334" s="484">
        <f>IF(AX334="PT",VLOOKUP(L334,'Foundation Calculation'!$K$2:$R$40,VLOOKUP(AW334,'Foundation Calculation'!$I$2:$J$8,2,FALSE),0),IF(AX334="K",VLOOKUP(L334,'Foundation Calculation'!$K$42:$R$80,VLOOKUP(AW334,'Foundation Calculation'!$I$2:$J$8,2,FALSE),0),""))</f>
        <v>3.5</v>
      </c>
      <c r="AZ334" s="484"/>
      <c r="BA334" s="671" t="s">
        <v>2809</v>
      </c>
      <c r="BB334" s="1239" t="str">
        <f>Pole_Calculations!A178</f>
        <v>App.8-V08F-P10.3</v>
      </c>
      <c r="BC334" s="169"/>
      <c r="BD334" s="1329">
        <v>43733</v>
      </c>
      <c r="BE334" s="1329" t="s">
        <v>4946</v>
      </c>
      <c r="BF334" s="1329"/>
      <c r="BG334" s="1329">
        <v>43808</v>
      </c>
    </row>
    <row r="335" spans="1:59" ht="15.75" customHeight="1">
      <c r="A335" s="1239"/>
      <c r="B335" s="1239"/>
      <c r="C335" s="171"/>
      <c r="D335" s="1239"/>
      <c r="E335" s="1239"/>
      <c r="F335" s="448"/>
      <c r="G335" s="455">
        <v>28.5</v>
      </c>
      <c r="H335" s="1239"/>
      <c r="I335" s="448"/>
      <c r="J335" s="171"/>
      <c r="K335" s="1239"/>
      <c r="L335" s="1239"/>
      <c r="M335" s="1239"/>
      <c r="N335" s="1239"/>
      <c r="O335" s="1239"/>
      <c r="P335" s="1239"/>
      <c r="Q335" s="1239"/>
      <c r="R335" s="1239"/>
      <c r="S335" s="455">
        <f t="shared" ref="S335" si="162">AG336-AG334</f>
        <v>31.19999999999709</v>
      </c>
      <c r="T335" s="1239"/>
      <c r="U335" s="1239"/>
      <c r="V335" s="1239"/>
      <c r="W335" s="1239"/>
      <c r="X335" s="1239"/>
      <c r="Y335" s="1239"/>
      <c r="Z335" s="1239"/>
      <c r="AA335" s="1239"/>
      <c r="AB335" s="1239"/>
      <c r="AC335" s="1239"/>
      <c r="AD335" s="1239"/>
      <c r="AE335" s="1239"/>
      <c r="AF335" s="1239"/>
      <c r="AG335" s="171"/>
      <c r="AH335" s="1239"/>
      <c r="AI335" s="1239"/>
      <c r="AJ335" s="1239"/>
      <c r="AK335" s="1239"/>
      <c r="AL335" s="1239"/>
      <c r="AM335" s="1239"/>
      <c r="AN335" s="484"/>
      <c r="AO335" s="638"/>
      <c r="AP335" s="638"/>
      <c r="AQ335" s="484">
        <f>+FL_1($T$336,$T$334,$G$335,1200,9.28,-1*$F$336)</f>
        <v>0.35000000000002246</v>
      </c>
      <c r="AR335" s="484"/>
      <c r="AS335" s="484"/>
      <c r="AT335" s="484"/>
      <c r="AU335" s="638"/>
      <c r="AV335" s="638"/>
      <c r="AW335" s="638"/>
      <c r="AX335" s="638"/>
      <c r="AY335" s="484"/>
      <c r="AZ335" s="484"/>
      <c r="BA335" s="671"/>
      <c r="BB335" s="1239"/>
      <c r="BC335" s="169"/>
      <c r="BD335" s="1330"/>
      <c r="BE335" s="1330"/>
      <c r="BF335" s="1330"/>
      <c r="BG335" s="1330"/>
    </row>
    <row r="336" spans="1:59" ht="15.75" customHeight="1">
      <c r="A336" s="1239"/>
      <c r="B336" s="1239" t="s">
        <v>2385</v>
      </c>
      <c r="C336" s="171">
        <f>+$C$334+$G$335</f>
        <v>92480.64999999998</v>
      </c>
      <c r="D336" s="1239"/>
      <c r="E336" s="1239"/>
      <c r="F336" s="448">
        <v>0</v>
      </c>
      <c r="G336" s="455"/>
      <c r="H336" s="1239"/>
      <c r="I336" s="448"/>
      <c r="J336" s="171"/>
      <c r="K336" s="1239"/>
      <c r="L336" s="1239" t="s">
        <v>821</v>
      </c>
      <c r="M336" s="638" t="str">
        <f>IF(AX336="PT",VLOOKUP(L336,'Foundation Calculation'!$V$2:$X$40,VLOOKUP(AX336,'Foundation Calculation'!$I$10:$J$13,2,FALSE),0),IF(AX336="K",VLOOKUP(L336,'Foundation Calculation'!$V$42:$X$80,VLOOKUP(AX336,'Foundation Calculation'!$I$10:$J$13,2,FALSE),0),""))</f>
        <v>C7R</v>
      </c>
      <c r="N336" s="1239" t="s">
        <v>2796</v>
      </c>
      <c r="O336" s="1239"/>
      <c r="P336" s="1239"/>
      <c r="Q336" s="1239">
        <v>0</v>
      </c>
      <c r="R336" s="1239">
        <v>0</v>
      </c>
      <c r="S336" s="455"/>
      <c r="T336" s="1239">
        <v>-35</v>
      </c>
      <c r="U336" s="1239"/>
      <c r="V336" s="1239"/>
      <c r="W336" s="1239">
        <v>0.5</v>
      </c>
      <c r="X336" s="1239"/>
      <c r="Y336" s="1239"/>
      <c r="Z336" s="1239"/>
      <c r="AA336" s="1239"/>
      <c r="AB336" s="1239"/>
      <c r="AC336" s="1239" t="s">
        <v>4090</v>
      </c>
      <c r="AD336" s="1239"/>
      <c r="AE336" s="1239"/>
      <c r="AF336" s="1239">
        <v>5200</v>
      </c>
      <c r="AG336" s="171">
        <v>92480.7</v>
      </c>
      <c r="AH336" s="1239">
        <v>2723</v>
      </c>
      <c r="AI336" s="1239">
        <v>100</v>
      </c>
      <c r="AJ336" s="1239"/>
      <c r="AK336" s="1239"/>
      <c r="AL336" s="1239" t="s">
        <v>2135</v>
      </c>
      <c r="AM336" s="1239" t="s">
        <v>1042</v>
      </c>
      <c r="AN336" s="484">
        <v>5.15</v>
      </c>
      <c r="AO336" s="638"/>
      <c r="AP336" s="638"/>
      <c r="AQ336" s="484"/>
      <c r="AR336" s="484"/>
      <c r="AS336" s="484"/>
      <c r="AT336" s="484">
        <f>+ab($T$336,$T$334,$T$338,$G$335,$G$337,-1*$F$336,1200)</f>
        <v>-7.4000666568202931</v>
      </c>
      <c r="AU336" s="638"/>
      <c r="AV336" s="638"/>
      <c r="AW336" s="638" t="str">
        <f>VLOOKUP(C336,'Foundation Calculation'!$A$2:$C$33,3,1)</f>
        <v>Soil B</v>
      </c>
      <c r="AX336" s="572" t="str">
        <f>VLOOKUP(C336,'Foundation Calculation'!$E$2:$G$33,3,1)</f>
        <v>PT</v>
      </c>
      <c r="AY336" s="484">
        <f>IF(AX336="PT",VLOOKUP(L336,'Foundation Calculation'!$K$2:$R$40,VLOOKUP(AW336,'Foundation Calculation'!$I$2:$J$8,2,FALSE),0),IF(AX336="K",VLOOKUP(L336,'Foundation Calculation'!$K$42:$R$80,VLOOKUP(AW336,'Foundation Calculation'!$I$2:$J$8,2,FALSE),0),""))</f>
        <v>3.5</v>
      </c>
      <c r="AZ336" s="484"/>
      <c r="BA336" s="671" t="s">
        <v>2809</v>
      </c>
      <c r="BB336" s="1239" t="str">
        <f>Pole_Calculations!A178</f>
        <v>App.8-V08F-P10.3</v>
      </c>
      <c r="BC336" s="169"/>
      <c r="BD336" s="1329">
        <v>43733</v>
      </c>
      <c r="BE336" s="1329">
        <v>43801</v>
      </c>
      <c r="BF336" s="1329"/>
      <c r="BG336" s="1329">
        <v>43808</v>
      </c>
    </row>
    <row r="337" spans="1:59" ht="15.75" customHeight="1">
      <c r="A337" s="495" t="s">
        <v>1851</v>
      </c>
      <c r="B337" s="495"/>
      <c r="C337" s="431"/>
      <c r="D337" s="495"/>
      <c r="E337" s="495"/>
      <c r="F337" s="492"/>
      <c r="G337" s="457">
        <v>40.799999999999997</v>
      </c>
      <c r="H337" s="495"/>
      <c r="I337" s="492"/>
      <c r="J337" s="431">
        <f>C338-7.5</f>
        <v>92513.949999999983</v>
      </c>
      <c r="K337" s="495" t="s">
        <v>2787</v>
      </c>
      <c r="L337" s="495"/>
      <c r="M337" s="495"/>
      <c r="N337" s="495"/>
      <c r="O337" s="495"/>
      <c r="P337" s="495"/>
      <c r="Q337" s="495"/>
      <c r="R337" s="495"/>
      <c r="S337" s="457">
        <f t="shared" ref="S337" si="163">AG338-AG336</f>
        <v>40.760000000009313</v>
      </c>
      <c r="T337" s="495"/>
      <c r="U337" s="495"/>
      <c r="V337" s="495"/>
      <c r="W337" s="495"/>
      <c r="X337" s="495"/>
      <c r="Y337" s="495"/>
      <c r="Z337" s="495"/>
      <c r="AA337" s="495"/>
      <c r="AB337" s="495"/>
      <c r="AC337" s="495"/>
      <c r="AD337" s="495"/>
      <c r="AE337" s="495"/>
      <c r="AF337" s="495"/>
      <c r="AG337" s="431"/>
      <c r="AH337" s="495"/>
      <c r="AI337" s="495"/>
      <c r="AJ337" s="495"/>
      <c r="AK337" s="495"/>
      <c r="AL337" s="495"/>
      <c r="AM337" s="495"/>
      <c r="AN337" s="493"/>
      <c r="AO337" s="490"/>
      <c r="AP337" s="490"/>
      <c r="AQ337" s="493">
        <f>+FL_2($T$338,$T$336,$G$337,1200,9.28,-1*$F$338)</f>
        <v>-0.48688619984313714</v>
      </c>
      <c r="AR337" s="493"/>
      <c r="AS337" s="493"/>
      <c r="AT337" s="493"/>
      <c r="AU337" s="490"/>
      <c r="AV337" s="490"/>
      <c r="AW337" s="490" t="str">
        <f>VLOOKUP(J337,'Foundation Calculation'!$A$2:$C$33,3,1)</f>
        <v>Soil B</v>
      </c>
      <c r="AX337" s="579" t="str">
        <f>VLOOKUP(J337,'Foundation Calculation'!$E$2:$G$33,3,1)</f>
        <v>PT</v>
      </c>
      <c r="AY337" s="493"/>
      <c r="AZ337" s="493">
        <f>IF(AX337="PT",VLOOKUP(K337,'Foundation Calculation'!$K$2:$R$40,VLOOKUP(AW337,'Foundation Calculation'!$I$2:$J$8,2,FALSE),0),IF(AX337="K",VLOOKUP(K337,'Foundation Calculation'!$K$42:$R$80,VLOOKUP(AW337,'Foundation Calculation'!$I$2:$J$8,2,FALSE),0),""))</f>
        <v>3.9</v>
      </c>
      <c r="BA337" s="602" t="s">
        <v>2809</v>
      </c>
      <c r="BB337" s="495"/>
      <c r="BC337" s="169"/>
      <c r="BD337" s="1329">
        <v>43741</v>
      </c>
      <c r="BE337" s="1330"/>
      <c r="BF337" s="1330"/>
      <c r="BG337" s="1330"/>
    </row>
    <row r="338" spans="1:59" s="1288" customFormat="1" ht="15.75" customHeight="1">
      <c r="A338" s="1285"/>
      <c r="B338" s="1285" t="s">
        <v>2386</v>
      </c>
      <c r="C338" s="1350">
        <f>+$C$336+$G$337</f>
        <v>92521.449999999983</v>
      </c>
      <c r="D338" s="1285"/>
      <c r="E338" s="1285"/>
      <c r="F338" s="1351">
        <v>0</v>
      </c>
      <c r="G338" s="1352"/>
      <c r="H338" s="1285" t="s">
        <v>2139</v>
      </c>
      <c r="I338" s="1351" t="s">
        <v>624</v>
      </c>
      <c r="J338" s="1350"/>
      <c r="K338" s="1285"/>
      <c r="L338" s="1285" t="s">
        <v>821</v>
      </c>
      <c r="M338" s="1353" t="str">
        <f>IF(AX338="PT",VLOOKUP(L338,'Foundation Calculation'!$V$2:$X$40,VLOOKUP(AX338,'Foundation Calculation'!$I$10:$J$13,2,FALSE),0),IF(AX338="K",VLOOKUP(L338,'Foundation Calculation'!$V$42:$X$80,VLOOKUP(AX338,'Foundation Calculation'!$I$10:$J$13,2,FALSE),0),""))</f>
        <v>C7R</v>
      </c>
      <c r="N338" s="1285" t="s">
        <v>2796</v>
      </c>
      <c r="O338" s="1285" t="s">
        <v>4982</v>
      </c>
      <c r="P338" s="1285"/>
      <c r="Q338" s="1285">
        <v>30</v>
      </c>
      <c r="R338" s="1285">
        <v>1300</v>
      </c>
      <c r="S338" s="1352"/>
      <c r="T338" s="1285">
        <v>-30</v>
      </c>
      <c r="U338" s="1285">
        <v>-55</v>
      </c>
      <c r="V338" s="1285"/>
      <c r="W338" s="1285">
        <v>0.5</v>
      </c>
      <c r="X338" s="1285">
        <v>0.5</v>
      </c>
      <c r="Y338" s="1285"/>
      <c r="Z338" s="1285"/>
      <c r="AA338" s="1285">
        <v>0.3</v>
      </c>
      <c r="AB338" s="1285"/>
      <c r="AC338" s="1285" t="s">
        <v>4115</v>
      </c>
      <c r="AD338" s="1285"/>
      <c r="AE338" s="1285"/>
      <c r="AF338" s="1285">
        <v>400</v>
      </c>
      <c r="AG338" s="1350">
        <v>92521.46</v>
      </c>
      <c r="AH338" s="1285">
        <v>1700</v>
      </c>
      <c r="AI338" s="1285">
        <v>-5180</v>
      </c>
      <c r="AJ338" s="1285"/>
      <c r="AK338" s="1285"/>
      <c r="AL338" s="1285" t="s">
        <v>2135</v>
      </c>
      <c r="AM338" s="1285" t="s">
        <v>1042</v>
      </c>
      <c r="AN338" s="1354">
        <v>5.15</v>
      </c>
      <c r="AO338" s="1353"/>
      <c r="AP338" s="1353"/>
      <c r="AQ338" s="1354"/>
      <c r="AR338" s="1354"/>
      <c r="AS338" s="1354"/>
      <c r="AT338" s="1354">
        <f>+ab($T$338,$T$336,$U$340,$G$337,$G$339,-1*$F$338,1200)</f>
        <v>69.901148500129764</v>
      </c>
      <c r="AU338" s="1353"/>
      <c r="AV338" s="1353"/>
      <c r="AW338" s="1353" t="str">
        <f>VLOOKUP(C338,'Foundation Calculation'!$A$2:$C$33,3,1)</f>
        <v>Soil B</v>
      </c>
      <c r="AX338" s="1349" t="str">
        <f>VLOOKUP(C338,'Foundation Calculation'!$E$2:$G$33,3,1)</f>
        <v>PT</v>
      </c>
      <c r="AY338" s="1354">
        <f>IF(AX338="PT",VLOOKUP(L338,'Foundation Calculation'!$K$2:$R$40,VLOOKUP(AW338,'Foundation Calculation'!$I$2:$J$8,2,FALSE),0),IF(AX338="K",VLOOKUP(L338,'Foundation Calculation'!$K$42:$R$80,VLOOKUP(AW338,'Foundation Calculation'!$I$2:$J$8,2,FALSE),0),""))</f>
        <v>3.5</v>
      </c>
      <c r="AZ338" s="1354"/>
      <c r="BA338" s="1355" t="s">
        <v>2809</v>
      </c>
      <c r="BB338" s="1285" t="str">
        <f>Pole_Calculations!A178</f>
        <v>App.8-V08F-P10.3</v>
      </c>
      <c r="BC338" s="823"/>
      <c r="BD338" s="1356">
        <v>43741</v>
      </c>
      <c r="BE338" s="1356">
        <v>43801</v>
      </c>
      <c r="BF338" s="1356"/>
      <c r="BG338" s="1356">
        <v>43808</v>
      </c>
    </row>
    <row r="339" spans="1:59" ht="15.75" customHeight="1">
      <c r="A339" s="1239"/>
      <c r="B339" s="1239"/>
      <c r="C339" s="171"/>
      <c r="D339" s="1239"/>
      <c r="E339" s="1239"/>
      <c r="F339" s="448"/>
      <c r="G339" s="455">
        <v>46.8</v>
      </c>
      <c r="H339" s="1239"/>
      <c r="I339" s="448">
        <v>342.49</v>
      </c>
      <c r="J339" s="171"/>
      <c r="K339" s="1239"/>
      <c r="L339" s="1239"/>
      <c r="M339" s="1239"/>
      <c r="N339" s="1239"/>
      <c r="O339" s="1239"/>
      <c r="P339" s="1239"/>
      <c r="Q339" s="1239"/>
      <c r="R339" s="1239"/>
      <c r="S339" s="455">
        <f t="shared" ref="S339" si="164">AG340-AG338</f>
        <v>46.929999999993015</v>
      </c>
      <c r="T339" s="1239"/>
      <c r="U339" s="1239"/>
      <c r="V339" s="1239"/>
      <c r="W339" s="1239"/>
      <c r="X339" s="1239"/>
      <c r="Y339" s="1239"/>
      <c r="Z339" s="1239"/>
      <c r="AA339" s="1239"/>
      <c r="AB339" s="1239"/>
      <c r="AC339" s="1239"/>
      <c r="AD339" s="1239"/>
      <c r="AE339" s="1239"/>
      <c r="AF339" s="1239"/>
      <c r="AG339" s="171"/>
      <c r="AH339" s="1239"/>
      <c r="AI339" s="1239"/>
      <c r="AJ339" s="1239"/>
      <c r="AK339" s="1239"/>
      <c r="AL339" s="1239"/>
      <c r="AM339" s="1239"/>
      <c r="AN339" s="484"/>
      <c r="AO339" s="638"/>
      <c r="AP339" s="638"/>
      <c r="AQ339" s="484">
        <f>+FL_1($U$340,$T$338,-$G$339,1200,9.28,-1*$F$340)</f>
        <v>-0.3</v>
      </c>
      <c r="AR339" s="484"/>
      <c r="AS339" s="484"/>
      <c r="AT339" s="484"/>
      <c r="AU339" s="638"/>
      <c r="AV339" s="638"/>
      <c r="AW339" s="638"/>
      <c r="AX339" s="638"/>
      <c r="AY339" s="484"/>
      <c r="AZ339" s="484"/>
      <c r="BA339" s="671"/>
      <c r="BB339" s="1239"/>
      <c r="BC339" s="169"/>
      <c r="BD339" s="1330"/>
      <c r="BE339" s="1330"/>
      <c r="BF339" s="1330"/>
      <c r="BG339" s="1330"/>
    </row>
    <row r="340" spans="1:59" ht="15.75" customHeight="1">
      <c r="A340" s="1239"/>
      <c r="B340" s="1239" t="s">
        <v>2387</v>
      </c>
      <c r="C340" s="171">
        <f>+$C$338+$G$339</f>
        <v>92568.249999999985</v>
      </c>
      <c r="D340" s="1239"/>
      <c r="E340" s="1239"/>
      <c r="F340" s="448">
        <v>1000</v>
      </c>
      <c r="G340" s="455"/>
      <c r="H340" s="1239" t="s">
        <v>2130</v>
      </c>
      <c r="I340" s="448" t="s">
        <v>623</v>
      </c>
      <c r="J340" s="171"/>
      <c r="K340" s="1239"/>
      <c r="L340" s="1239" t="s">
        <v>821</v>
      </c>
      <c r="M340" s="638" t="str">
        <f>IF(AX340="PT",VLOOKUP(L340,'Foundation Calculation'!$V$2:$X$40,VLOOKUP(AX340,'Foundation Calculation'!$I$10:$J$13,2,FALSE),0),IF(AX340="K",VLOOKUP(L340,'Foundation Calculation'!$V$42:$X$80,VLOOKUP(AX340,'Foundation Calculation'!$I$10:$J$13,2,FALSE),0),""))</f>
        <v>C7R</v>
      </c>
      <c r="N340" s="1239" t="s">
        <v>140</v>
      </c>
      <c r="O340" s="1239" t="s">
        <v>2789</v>
      </c>
      <c r="P340" s="1239"/>
      <c r="Q340" s="1239">
        <v>40</v>
      </c>
      <c r="R340" s="1239">
        <v>1300</v>
      </c>
      <c r="S340" s="455"/>
      <c r="T340" s="1239">
        <v>35</v>
      </c>
      <c r="U340" s="1239">
        <v>-30</v>
      </c>
      <c r="V340" s="1239"/>
      <c r="W340" s="1239">
        <v>0.8</v>
      </c>
      <c r="X340" s="1239">
        <v>1.2</v>
      </c>
      <c r="Y340" s="1239"/>
      <c r="Z340" s="1239">
        <v>0.42</v>
      </c>
      <c r="AA340" s="1239"/>
      <c r="AB340" s="1239"/>
      <c r="AC340" s="1239" t="s">
        <v>3050</v>
      </c>
      <c r="AD340" s="1239"/>
      <c r="AE340" s="1239"/>
      <c r="AF340" s="1239">
        <v>5000</v>
      </c>
      <c r="AG340" s="171">
        <v>92568.39</v>
      </c>
      <c r="AH340" s="1239">
        <v>2733</v>
      </c>
      <c r="AI340" s="1239">
        <v>-120</v>
      </c>
      <c r="AJ340" s="1239"/>
      <c r="AK340" s="1239"/>
      <c r="AL340" s="1239" t="s">
        <v>2135</v>
      </c>
      <c r="AM340" s="1239" t="s">
        <v>1042</v>
      </c>
      <c r="AN340" s="484">
        <v>5.21</v>
      </c>
      <c r="AO340" s="638"/>
      <c r="AP340" s="638"/>
      <c r="AQ340" s="484"/>
      <c r="AR340" s="484"/>
      <c r="AS340" s="484"/>
      <c r="AT340" s="484">
        <f>+ab($U$340,$T$338,$U$342,$G$339,$G$341,-1*$F$340,1200)</f>
        <v>-4.0022343896753325</v>
      </c>
      <c r="AU340" s="638"/>
      <c r="AV340" s="638"/>
      <c r="AW340" s="638" t="str">
        <f>VLOOKUP(C340,'Foundation Calculation'!$A$2:$C$33,3,1)</f>
        <v>Soil B</v>
      </c>
      <c r="AX340" s="572" t="str">
        <f>VLOOKUP(C340,'Foundation Calculation'!$E$2:$G$33,3,1)</f>
        <v>PT</v>
      </c>
      <c r="AY340" s="484">
        <f>IF(AX340="PT",VLOOKUP(L340,'Foundation Calculation'!$K$2:$R$40,VLOOKUP(AW340,'Foundation Calculation'!$I$2:$J$8,2,FALSE),0),IF(AX340="K",VLOOKUP(L340,'Foundation Calculation'!$K$42:$R$80,VLOOKUP(AW340,'Foundation Calculation'!$I$2:$J$8,2,FALSE),0),""))</f>
        <v>3.5</v>
      </c>
      <c r="AZ340" s="484"/>
      <c r="BA340" s="671" t="s">
        <v>2809</v>
      </c>
      <c r="BB340" s="1239" t="str">
        <f>Pole_Calculations!A178</f>
        <v>App.8-V08F-P10.3</v>
      </c>
      <c r="BC340" s="169"/>
      <c r="BD340" s="1329">
        <v>43732</v>
      </c>
      <c r="BE340" s="1329">
        <v>43801</v>
      </c>
      <c r="BF340" s="1329"/>
      <c r="BG340" s="1329">
        <v>43808</v>
      </c>
    </row>
    <row r="341" spans="1:59" ht="15.75" customHeight="1">
      <c r="A341" s="1239"/>
      <c r="B341" s="1239"/>
      <c r="C341" s="171"/>
      <c r="D341" s="1239"/>
      <c r="E341" s="1239"/>
      <c r="F341" s="448"/>
      <c r="G341" s="455">
        <v>46.8</v>
      </c>
      <c r="H341" s="1239"/>
      <c r="I341" s="448"/>
      <c r="J341" s="171">
        <f>C342-7.5</f>
        <v>92607.549999999988</v>
      </c>
      <c r="K341" s="1239" t="s">
        <v>2787</v>
      </c>
      <c r="L341" s="1239"/>
      <c r="M341" s="1239"/>
      <c r="N341" s="1239"/>
      <c r="O341" s="1239"/>
      <c r="P341" s="1239"/>
      <c r="Q341" s="1239"/>
      <c r="R341" s="1239"/>
      <c r="S341" s="455">
        <f t="shared" ref="S341" si="165">AG342-AG340</f>
        <v>46.55000000000291</v>
      </c>
      <c r="T341" s="1239"/>
      <c r="U341" s="1239"/>
      <c r="V341" s="1239"/>
      <c r="W341" s="1239"/>
      <c r="X341" s="1239"/>
      <c r="Y341" s="1239"/>
      <c r="Z341" s="1239"/>
      <c r="AA341" s="1239"/>
      <c r="AB341" s="1239"/>
      <c r="AC341" s="1239"/>
      <c r="AD341" s="1239"/>
      <c r="AE341" s="1239"/>
      <c r="AF341" s="1239"/>
      <c r="AG341" s="171"/>
      <c r="AH341" s="1239"/>
      <c r="AI341" s="1239"/>
      <c r="AJ341" s="1239"/>
      <c r="AK341" s="1239"/>
      <c r="AL341" s="1239"/>
      <c r="AM341" s="1239"/>
      <c r="AN341" s="484"/>
      <c r="AO341" s="638"/>
      <c r="AP341" s="638"/>
      <c r="AQ341" s="484">
        <f>+FL_1($U$342,$U$340,$G$341,1200,9.28,-1*$F$342)</f>
        <v>-6.2538809025641073E-2</v>
      </c>
      <c r="AR341" s="484"/>
      <c r="AS341" s="484"/>
      <c r="AT341" s="484"/>
      <c r="AU341" s="638"/>
      <c r="AV341" s="638"/>
      <c r="AW341" s="638" t="str">
        <f>VLOOKUP(J341,'Foundation Calculation'!$A$2:$C$33,3,1)</f>
        <v>Soil B</v>
      </c>
      <c r="AX341" s="572" t="str">
        <f>VLOOKUP(J341,'Foundation Calculation'!$E$2:$G$33,3,1)</f>
        <v>PT</v>
      </c>
      <c r="AY341" s="484"/>
      <c r="AZ341" s="484">
        <f>IF(AX341="PT",VLOOKUP(K341,'Foundation Calculation'!$K$2:$R$40,VLOOKUP(AW341,'Foundation Calculation'!$I$2:$J$8,2,FALSE),0),IF(AX341="K",VLOOKUP(K341,'Foundation Calculation'!$K$42:$R$80,VLOOKUP(AW341,'Foundation Calculation'!$I$2:$J$8,2,FALSE),0),""))</f>
        <v>3.9</v>
      </c>
      <c r="BA341" s="671" t="s">
        <v>2809</v>
      </c>
      <c r="BB341" s="1239"/>
      <c r="BC341" s="169"/>
      <c r="BD341" s="1329">
        <v>43732</v>
      </c>
      <c r="BE341" s="1330"/>
      <c r="BF341" s="1330"/>
      <c r="BG341" s="1330"/>
    </row>
    <row r="342" spans="1:59" s="1288" customFormat="1" ht="15.75" customHeight="1">
      <c r="A342" s="1285"/>
      <c r="B342" s="1364" t="s">
        <v>2388</v>
      </c>
      <c r="C342" s="1360">
        <f>+$C$340+$G$341</f>
        <v>92615.049999999988</v>
      </c>
      <c r="D342" s="1365"/>
      <c r="E342" s="1366"/>
      <c r="F342" s="1366">
        <v>0</v>
      </c>
      <c r="G342" s="1354"/>
      <c r="H342" s="1285" t="s">
        <v>2128</v>
      </c>
      <c r="I342" s="1285" t="s">
        <v>4231</v>
      </c>
      <c r="J342" s="1350"/>
      <c r="K342" s="1353"/>
      <c r="L342" s="1353" t="s">
        <v>821</v>
      </c>
      <c r="M342" s="1353" t="str">
        <f>IF(AX342="PT",VLOOKUP(L342,'Foundation Calculation'!$V$2:$X$40,VLOOKUP(AX342,'Foundation Calculation'!$I$10:$J$13,2,FALSE),0),IF(AX342="K",VLOOKUP(L342,'Foundation Calculation'!$V$42:$X$80,VLOOKUP(AX342,'Foundation Calculation'!$I$10:$J$13,2,FALSE),0),""))</f>
        <v>C7R</v>
      </c>
      <c r="N342" s="1285" t="s">
        <v>140</v>
      </c>
      <c r="O342" s="1285" t="s">
        <v>2789</v>
      </c>
      <c r="P342" s="1285"/>
      <c r="Q342" s="1353">
        <v>0</v>
      </c>
      <c r="R342" s="1353">
        <v>0</v>
      </c>
      <c r="S342" s="1354"/>
      <c r="T342" s="1353">
        <v>35</v>
      </c>
      <c r="U342" s="1353">
        <v>-25</v>
      </c>
      <c r="V342" s="1353"/>
      <c r="W342" s="1353">
        <v>1</v>
      </c>
      <c r="X342" s="1353">
        <v>1.9</v>
      </c>
      <c r="Y342" s="1353"/>
      <c r="Z342" s="1353">
        <v>0.45</v>
      </c>
      <c r="AA342" s="1353"/>
      <c r="AB342" s="1353"/>
      <c r="AC342" s="1353" t="s">
        <v>4090</v>
      </c>
      <c r="AD342" s="1353"/>
      <c r="AE342" s="1353"/>
      <c r="AF342" s="1353">
        <v>400</v>
      </c>
      <c r="AG342" s="1360">
        <v>92614.94</v>
      </c>
      <c r="AH342" s="1353">
        <v>1700</v>
      </c>
      <c r="AI342" s="1353">
        <v>-4730</v>
      </c>
      <c r="AJ342" s="1353"/>
      <c r="AK342" s="1353"/>
      <c r="AL342" s="1353" t="s">
        <v>2135</v>
      </c>
      <c r="AM342" s="1353" t="s">
        <v>1042</v>
      </c>
      <c r="AN342" s="1352">
        <v>5.32</v>
      </c>
      <c r="AO342" s="1285"/>
      <c r="AP342" s="1285"/>
      <c r="AQ342" s="1354"/>
      <c r="AR342" s="1354"/>
      <c r="AS342" s="1354"/>
      <c r="AT342" s="1354">
        <f>+ab($U$342,$T$340,$U$344,$G$341,$G$343,-1*$F$342,1200)</f>
        <v>-9.590945010693634</v>
      </c>
      <c r="AU342" s="1353"/>
      <c r="AV342" s="1353"/>
      <c r="AW342" s="1353" t="str">
        <f>VLOOKUP(C342,'Foundation Calculation'!$A$2:$C$33,3,1)</f>
        <v>Soil B</v>
      </c>
      <c r="AX342" s="1349" t="str">
        <f>VLOOKUP(C342,'Foundation Calculation'!$E$2:$G$33,3,1)</f>
        <v>PT</v>
      </c>
      <c r="AY342" s="1354">
        <f>IF(AX342="PT",VLOOKUP(L342,'Foundation Calculation'!$K$2:$R$40,VLOOKUP(AW342,'Foundation Calculation'!$I$2:$J$8,2,FALSE),0),IF(AX342="K",VLOOKUP(L342,'Foundation Calculation'!$K$42:$R$80,VLOOKUP(AW342,'Foundation Calculation'!$I$2:$J$8,2,FALSE),0),""))</f>
        <v>3.5</v>
      </c>
      <c r="AZ342" s="1354"/>
      <c r="BA342" s="1355" t="s">
        <v>2809</v>
      </c>
      <c r="BB342" s="1285" t="str">
        <f>Pole_Calculations!A178</f>
        <v>App.8-V08F-P10.3</v>
      </c>
      <c r="BC342" s="823"/>
      <c r="BD342" s="1356">
        <v>43732</v>
      </c>
      <c r="BE342" s="1356">
        <v>43841</v>
      </c>
      <c r="BF342" s="1356"/>
      <c r="BG342" s="1356">
        <v>43870</v>
      </c>
    </row>
    <row r="343" spans="1:59" ht="15.75" customHeight="1">
      <c r="A343" s="1239"/>
      <c r="B343" s="1239"/>
      <c r="C343" s="171"/>
      <c r="D343" s="1239"/>
      <c r="E343" s="1239"/>
      <c r="F343" s="448"/>
      <c r="G343" s="455">
        <v>50</v>
      </c>
      <c r="H343" s="1239"/>
      <c r="I343" s="448"/>
      <c r="J343" s="171">
        <f>C344-7.5</f>
        <v>92657.549999999988</v>
      </c>
      <c r="K343" s="1239" t="s">
        <v>2788</v>
      </c>
      <c r="L343" s="1239"/>
      <c r="M343" s="1239"/>
      <c r="N343" s="1239"/>
      <c r="O343" s="1239"/>
      <c r="P343" s="1239"/>
      <c r="Q343" s="1239"/>
      <c r="R343" s="1239"/>
      <c r="S343" s="455">
        <f t="shared" ref="S343" si="166">AG344-AG342</f>
        <v>50.059999999997672</v>
      </c>
      <c r="T343" s="1239"/>
      <c r="U343" s="1239"/>
      <c r="V343" s="1239"/>
      <c r="W343" s="1239"/>
      <c r="X343" s="1239"/>
      <c r="Y343" s="1239"/>
      <c r="Z343" s="1239"/>
      <c r="AA343" s="1239"/>
      <c r="AB343" s="1239"/>
      <c r="AC343" s="1239"/>
      <c r="AD343" s="1239"/>
      <c r="AE343" s="1239"/>
      <c r="AF343" s="1239"/>
      <c r="AG343" s="171"/>
      <c r="AH343" s="1239"/>
      <c r="AI343" s="1239"/>
      <c r="AJ343" s="1239"/>
      <c r="AK343" s="1239"/>
      <c r="AL343" s="1239"/>
      <c r="AM343" s="1239"/>
      <c r="AN343" s="484"/>
      <c r="AO343" s="638"/>
      <c r="AP343" s="638"/>
      <c r="AQ343" s="484">
        <f>+FL_1($U$344,$T$342,$G$343,1200,9.28,-1*$F$344)</f>
        <v>0.48283045199999997</v>
      </c>
      <c r="AR343" s="484"/>
      <c r="AS343" s="484"/>
      <c r="AT343" s="484"/>
      <c r="AU343" s="638"/>
      <c r="AV343" s="638"/>
      <c r="AW343" s="638" t="str">
        <f>VLOOKUP(J343,'Foundation Calculation'!$A$2:$C$33,3,1)</f>
        <v>Soil B</v>
      </c>
      <c r="AX343" s="572" t="str">
        <f>VLOOKUP(J343,'Foundation Calculation'!$E$2:$G$33,3,1)</f>
        <v>PT</v>
      </c>
      <c r="AY343" s="484"/>
      <c r="AZ343" s="484">
        <f>IF(AX343="PT",VLOOKUP(K343,'Foundation Calculation'!$K$2:$R$40,VLOOKUP(AW343,'Foundation Calculation'!$I$2:$J$8,2,FALSE),0),IF(AX343="K",VLOOKUP(K343,'Foundation Calculation'!$K$42:$R$80,VLOOKUP(AW343,'Foundation Calculation'!$I$2:$J$8,2,FALSE),0),""))</f>
        <v>2.8</v>
      </c>
      <c r="BA343" s="671" t="s">
        <v>2809</v>
      </c>
      <c r="BB343" s="1239"/>
      <c r="BC343" s="169"/>
      <c r="BD343" s="1329">
        <v>43732</v>
      </c>
      <c r="BE343" s="1330"/>
      <c r="BF343" s="1330"/>
      <c r="BG343" s="1330"/>
    </row>
    <row r="344" spans="1:59" ht="15.75" customHeight="1">
      <c r="A344" s="1239" t="s">
        <v>4225</v>
      </c>
      <c r="B344" s="435" t="s">
        <v>2389</v>
      </c>
      <c r="C344" s="446">
        <f>+$C$342+$G$343</f>
        <v>92665.049999999988</v>
      </c>
      <c r="D344" s="173"/>
      <c r="E344" s="447"/>
      <c r="F344" s="447">
        <v>0</v>
      </c>
      <c r="G344" s="484"/>
      <c r="H344" s="1239" t="s">
        <v>619</v>
      </c>
      <c r="I344" s="1239" t="s">
        <v>3280</v>
      </c>
      <c r="J344" s="171"/>
      <c r="K344" s="638"/>
      <c r="L344" s="638" t="s">
        <v>821</v>
      </c>
      <c r="M344" s="638" t="str">
        <f>IF(AX344="PT",VLOOKUP(L344,'Foundation Calculation'!$V$2:$X$40,VLOOKUP(AX344,'Foundation Calculation'!$I$10:$J$13,2,FALSE),0),IF(AX344="K",VLOOKUP(L344,'Foundation Calculation'!$V$42:$X$80,VLOOKUP(AX344,'Foundation Calculation'!$I$10:$J$13,2,FALSE),0),""))</f>
        <v>C7R</v>
      </c>
      <c r="N344" s="1239" t="s">
        <v>140</v>
      </c>
      <c r="O344" s="1239" t="s">
        <v>144</v>
      </c>
      <c r="P344" s="1239"/>
      <c r="Q344" s="638">
        <v>0</v>
      </c>
      <c r="R344" s="638">
        <v>0</v>
      </c>
      <c r="S344" s="484"/>
      <c r="T344" s="638">
        <v>55</v>
      </c>
      <c r="U344" s="638">
        <v>10</v>
      </c>
      <c r="V344" s="638"/>
      <c r="W344" s="638">
        <v>1.4</v>
      </c>
      <c r="X344" s="638">
        <v>2.2999999999999998</v>
      </c>
      <c r="Y344" s="638"/>
      <c r="Z344" s="638">
        <v>0.51</v>
      </c>
      <c r="AA344" s="638"/>
      <c r="AB344" s="638"/>
      <c r="AC344" s="638" t="s">
        <v>1421</v>
      </c>
      <c r="AD344" s="638"/>
      <c r="AE344" s="638"/>
      <c r="AF344" s="638">
        <v>5900</v>
      </c>
      <c r="AG344" s="446">
        <v>92665</v>
      </c>
      <c r="AH344" s="638">
        <v>2663</v>
      </c>
      <c r="AI344" s="638">
        <v>650</v>
      </c>
      <c r="AJ344" s="638" t="s">
        <v>884</v>
      </c>
      <c r="AK344" s="638"/>
      <c r="AL344" s="638" t="s">
        <v>2135</v>
      </c>
      <c r="AM344" s="638" t="s">
        <v>1042</v>
      </c>
      <c r="AN344" s="455">
        <v>5.44</v>
      </c>
      <c r="AO344" s="1239"/>
      <c r="AP344" s="1239"/>
      <c r="AQ344" s="484"/>
      <c r="AR344" s="484"/>
      <c r="AS344" s="484"/>
      <c r="AT344" s="484">
        <f>+ab($U$344,$U$342,$U$348,$G$343,$G$345,-1*$F$344,1200)</f>
        <v>9.134216045109401</v>
      </c>
      <c r="AU344" s="638"/>
      <c r="AV344" s="638"/>
      <c r="AW344" s="638" t="str">
        <f>VLOOKUP(C344,'Foundation Calculation'!$A$2:$C$33,3,1)</f>
        <v>Soil B</v>
      </c>
      <c r="AX344" s="572" t="str">
        <f>VLOOKUP(C344,'Foundation Calculation'!$E$2:$G$33,3,1)</f>
        <v>PT</v>
      </c>
      <c r="AY344" s="484">
        <f>IF(AX344="PT",VLOOKUP(L344,'Foundation Calculation'!$K$2:$R$40,VLOOKUP(AW344,'Foundation Calculation'!$I$2:$J$8,2,FALSE),0),IF(AX344="K",VLOOKUP(L344,'Foundation Calculation'!$K$42:$R$80,VLOOKUP(AW344,'Foundation Calculation'!$I$2:$J$8,2,FALSE),0),""))</f>
        <v>3.5</v>
      </c>
      <c r="AZ344" s="484"/>
      <c r="BA344" s="671" t="s">
        <v>2809</v>
      </c>
      <c r="BB344" s="1239" t="str">
        <f>Pole_Calculations!A178</f>
        <v>App.8-V08F-P10.3</v>
      </c>
      <c r="BC344" s="169"/>
      <c r="BD344" s="1329">
        <v>43731</v>
      </c>
      <c r="BE344" s="1329">
        <v>43801</v>
      </c>
      <c r="BF344" s="1329"/>
      <c r="BG344" s="1329">
        <v>43808</v>
      </c>
    </row>
    <row r="345" spans="1:59" ht="15.75" customHeight="1">
      <c r="A345" s="1239"/>
      <c r="B345" s="1239"/>
      <c r="C345" s="171"/>
      <c r="D345" s="1239"/>
      <c r="E345" s="1239"/>
      <c r="F345" s="448"/>
      <c r="G345" s="455">
        <v>47</v>
      </c>
      <c r="H345" s="1239"/>
      <c r="I345" s="448"/>
      <c r="J345" s="171">
        <f>C344+7.5</f>
        <v>92672.549999999988</v>
      </c>
      <c r="K345" s="1239" t="s">
        <v>2788</v>
      </c>
      <c r="L345" s="1239"/>
      <c r="M345" s="1239"/>
      <c r="N345" s="1239"/>
      <c r="O345" s="1239"/>
      <c r="P345" s="1239"/>
      <c r="Q345" s="1239"/>
      <c r="R345" s="1239"/>
      <c r="S345" s="455">
        <f t="shared" ref="S345:S347" si="167">AG346-AG344</f>
        <v>-92665</v>
      </c>
      <c r="T345" s="1239"/>
      <c r="U345" s="1239"/>
      <c r="V345" s="1239"/>
      <c r="W345" s="1239"/>
      <c r="X345" s="1239"/>
      <c r="Y345" s="1239"/>
      <c r="Z345" s="1239"/>
      <c r="AA345" s="1239"/>
      <c r="AB345" s="1239"/>
      <c r="AC345" s="1239"/>
      <c r="AD345" s="1239"/>
      <c r="AE345" s="1239"/>
      <c r="AF345" s="1239"/>
      <c r="AG345" s="171"/>
      <c r="AH345" s="1239"/>
      <c r="AI345" s="1239"/>
      <c r="AJ345" s="1239" t="s">
        <v>884</v>
      </c>
      <c r="AK345" s="1239"/>
      <c r="AL345" s="1239"/>
      <c r="AM345" s="1239"/>
      <c r="AN345" s="484"/>
      <c r="AO345" s="638"/>
      <c r="AP345" s="638"/>
      <c r="AQ345" s="484">
        <f>+FL_1($T$348,$U$344,$G$345,1200,9.28,-1*$F$348)</f>
        <v>0.22524425531914893</v>
      </c>
      <c r="AR345" s="484"/>
      <c r="AS345" s="484"/>
      <c r="AT345" s="484"/>
      <c r="AU345" s="638"/>
      <c r="AV345" s="638"/>
      <c r="AW345" s="638" t="str">
        <f>VLOOKUP(J345,'Foundation Calculation'!$A$2:$C$33,3,1)</f>
        <v>Soil B</v>
      </c>
      <c r="AX345" s="572" t="str">
        <f>VLOOKUP(J345,'Foundation Calculation'!$E$2:$G$33,3,1)</f>
        <v>PT</v>
      </c>
      <c r="AY345" s="484"/>
      <c r="AZ345" s="484">
        <f>IF(AX345="PT",VLOOKUP(K345,'Foundation Calculation'!$K$2:$R$40,VLOOKUP(AW345,'Foundation Calculation'!$I$2:$J$8,2,FALSE),0),IF(AX345="K",VLOOKUP(K345,'Foundation Calculation'!$K$42:$R$80,VLOOKUP(AW345,'Foundation Calculation'!$I$2:$J$8,2,FALSE),0),""))</f>
        <v>2.8</v>
      </c>
      <c r="BA345" s="671" t="s">
        <v>2809</v>
      </c>
      <c r="BB345" s="1239"/>
      <c r="BC345" s="169"/>
      <c r="BD345" s="1329">
        <v>43732</v>
      </c>
      <c r="BE345" s="1330"/>
      <c r="BF345" s="1330"/>
      <c r="BG345" s="1330"/>
    </row>
    <row r="346" spans="1:59" ht="15.75" customHeight="1">
      <c r="A346" s="1239"/>
      <c r="B346" s="1239" t="s">
        <v>4908</v>
      </c>
      <c r="C346" s="171">
        <f>C344</f>
        <v>92665.049999999988</v>
      </c>
      <c r="D346" s="1239"/>
      <c r="E346" s="1239"/>
      <c r="F346" s="448">
        <v>0</v>
      </c>
      <c r="G346" s="455"/>
      <c r="H346" s="1239"/>
      <c r="I346" s="448"/>
      <c r="J346" s="171"/>
      <c r="K346" s="1239"/>
      <c r="L346" s="1239" t="s">
        <v>821</v>
      </c>
      <c r="M346" s="1239" t="s">
        <v>1725</v>
      </c>
      <c r="N346" s="1239"/>
      <c r="O346" s="1239"/>
      <c r="P346" s="1239"/>
      <c r="Q346" s="1239"/>
      <c r="R346" s="1239"/>
      <c r="S346" s="455"/>
      <c r="T346" s="1239"/>
      <c r="U346" s="1239"/>
      <c r="V346" s="1239"/>
      <c r="W346" s="1239"/>
      <c r="X346" s="1239"/>
      <c r="Y346" s="1239"/>
      <c r="Z346" s="1239"/>
      <c r="AA346" s="1239"/>
      <c r="AB346" s="1239"/>
      <c r="AC346" s="1239"/>
      <c r="AD346" s="1239"/>
      <c r="AE346" s="1239"/>
      <c r="AF346" s="1239"/>
      <c r="AG346" s="171"/>
      <c r="AH346" s="1239"/>
      <c r="AI346" s="1239"/>
      <c r="AJ346" s="1239"/>
      <c r="AK346" s="1239"/>
      <c r="AL346" s="1239"/>
      <c r="AM346" s="1239" t="s">
        <v>1042</v>
      </c>
      <c r="AN346" s="484"/>
      <c r="AO346" s="638"/>
      <c r="AP346" s="638"/>
      <c r="AQ346" s="484"/>
      <c r="AR346" s="484"/>
      <c r="AS346" s="484"/>
      <c r="AT346" s="484"/>
      <c r="AU346" s="638"/>
      <c r="AV346" s="638"/>
      <c r="AW346" s="638" t="s">
        <v>4498</v>
      </c>
      <c r="AX346" s="572"/>
      <c r="AY346" s="484"/>
      <c r="AZ346" s="484"/>
      <c r="BA346" s="671" t="s">
        <v>2809</v>
      </c>
      <c r="BB346" s="1239" t="str">
        <f>Pole_Calculations!A178</f>
        <v>App.8-V08F-P10.3</v>
      </c>
      <c r="BC346" s="169"/>
      <c r="BD346" s="1329"/>
      <c r="BE346" s="1329"/>
      <c r="BF346" s="1330"/>
      <c r="BG346" s="1330"/>
    </row>
    <row r="347" spans="1:59" ht="15.75" customHeight="1">
      <c r="A347" s="1239"/>
      <c r="B347" s="1239"/>
      <c r="C347" s="171"/>
      <c r="D347" s="1239"/>
      <c r="E347" s="1239"/>
      <c r="F347" s="448"/>
      <c r="G347" s="455"/>
      <c r="H347" s="1239"/>
      <c r="I347" s="448"/>
      <c r="J347" s="171"/>
      <c r="K347" s="1239"/>
      <c r="L347" s="1239"/>
      <c r="M347" s="1239"/>
      <c r="N347" s="1239"/>
      <c r="O347" s="1239"/>
      <c r="P347" s="1239"/>
      <c r="Q347" s="1239"/>
      <c r="R347" s="1239"/>
      <c r="S347" s="455">
        <f t="shared" si="167"/>
        <v>92711</v>
      </c>
      <c r="T347" s="1239"/>
      <c r="U347" s="1239"/>
      <c r="V347" s="1239"/>
      <c r="W347" s="1239"/>
      <c r="X347" s="1239"/>
      <c r="Y347" s="1239"/>
      <c r="Z347" s="1239"/>
      <c r="AA347" s="1239"/>
      <c r="AB347" s="1239"/>
      <c r="AC347" s="1239"/>
      <c r="AD347" s="1239"/>
      <c r="AE347" s="1239"/>
      <c r="AF347" s="1239"/>
      <c r="AG347" s="171"/>
      <c r="AH347" s="1239"/>
      <c r="AI347" s="1239"/>
      <c r="AJ347" s="1239"/>
      <c r="AK347" s="1239"/>
      <c r="AL347" s="1239"/>
      <c r="AM347" s="1239"/>
      <c r="AN347" s="484"/>
      <c r="AO347" s="638"/>
      <c r="AP347" s="638"/>
      <c r="AQ347" s="484"/>
      <c r="AR347" s="484"/>
      <c r="AS347" s="484"/>
      <c r="AT347" s="484"/>
      <c r="AU347" s="638"/>
      <c r="AV347" s="638"/>
      <c r="AW347" s="638"/>
      <c r="AX347" s="572"/>
      <c r="AY347" s="484"/>
      <c r="AZ347" s="484"/>
      <c r="BA347" s="671"/>
      <c r="BB347" s="1239"/>
      <c r="BC347" s="169"/>
      <c r="BD347" s="1330"/>
      <c r="BE347" s="1330"/>
      <c r="BF347" s="1330"/>
      <c r="BG347" s="1330"/>
    </row>
    <row r="348" spans="1:59" ht="15.75" customHeight="1">
      <c r="A348" s="501" t="str">
        <f>'HR Track 6 TSA'!A9</f>
        <v>TSA-08</v>
      </c>
      <c r="B348" s="716" t="str">
        <f>'HR Track 6 TSA'!B9</f>
        <v>92-6.21</v>
      </c>
      <c r="C348" s="451">
        <f>'HR Track 6 TSA'!C9</f>
        <v>92712.049999999988</v>
      </c>
      <c r="D348" s="453">
        <f>'HR Track 6 TSA'!D9</f>
        <v>0</v>
      </c>
      <c r="E348" s="452">
        <f>'HR Track 6 TSA'!E9</f>
        <v>0</v>
      </c>
      <c r="F348" s="453">
        <f>'HR Track 6 TSA'!F9</f>
        <v>0</v>
      </c>
      <c r="G348" s="500">
        <f>'HR Track 6 TSA'!G9</f>
        <v>0</v>
      </c>
      <c r="H348" s="453" t="str">
        <f>'HR Track 6 TSA'!H9</f>
        <v>S/A</v>
      </c>
      <c r="I348" s="501" t="str">
        <f>'HR Track 6 TSA'!I9</f>
        <v>IO</v>
      </c>
      <c r="J348" s="583">
        <f>'HR Track 6 TSA'!J9</f>
        <v>0</v>
      </c>
      <c r="K348" s="452">
        <f>'HR Track 6 TSA'!K9</f>
        <v>0</v>
      </c>
      <c r="L348" s="452" t="str">
        <f>'HR Track 6 TSA'!L9</f>
        <v>2HEB-260L</v>
      </c>
      <c r="M348" s="452" t="str">
        <f>'HR Track 6 TSA'!M9</f>
        <v>2C4R</v>
      </c>
      <c r="N348" s="501" t="str">
        <f>'HR Track 6 TSA'!N9</f>
        <v>EMT-1</v>
      </c>
      <c r="O348" s="501" t="str">
        <f>'HR Track 6 TSA'!O9</f>
        <v>EMT-T</v>
      </c>
      <c r="P348" s="501">
        <f>'HR Track 6 TSA'!P9</f>
        <v>0</v>
      </c>
      <c r="Q348" s="452">
        <f>'HR Track 6 TSA'!Q9</f>
        <v>0</v>
      </c>
      <c r="R348" s="452">
        <f>'HR Track 6 TSA'!R9</f>
        <v>0</v>
      </c>
      <c r="S348" s="500">
        <f>'HR Track 6 TSA'!S9</f>
        <v>0</v>
      </c>
      <c r="T348" s="452">
        <f>'HR Track 6 TSA'!T9</f>
        <v>-10</v>
      </c>
      <c r="U348" s="452">
        <f>'HR Track 6 TSA'!U9</f>
        <v>-55</v>
      </c>
      <c r="V348" s="452">
        <f>'HR Track 6 TSA'!V9</f>
        <v>0</v>
      </c>
      <c r="W348" s="452">
        <f>'HR Track 6 TSA'!W9</f>
        <v>1.4</v>
      </c>
      <c r="X348" s="452">
        <f>'HR Track 6 TSA'!X9</f>
        <v>2.2999999999999998</v>
      </c>
      <c r="Y348" s="452">
        <f>'HR Track 6 TSA'!Y9</f>
        <v>0</v>
      </c>
      <c r="Z348" s="452">
        <f>'HR Track 6 TSA'!Z9</f>
        <v>0</v>
      </c>
      <c r="AA348" s="452">
        <f>'HR Track 6 TSA'!AA9</f>
        <v>0.39</v>
      </c>
      <c r="AB348" s="452">
        <f>'HR Track 6 TSA'!AB9</f>
        <v>0</v>
      </c>
      <c r="AC348" s="452" t="str">
        <f>'HR Track 6 TSA'!AC9</f>
        <v>PH-1150</v>
      </c>
      <c r="AD348" s="452">
        <f>'HR Track 6 TSA'!AD9</f>
        <v>0</v>
      </c>
      <c r="AE348" s="452">
        <f>'HR Track 6 TSA'!AE9</f>
        <v>0</v>
      </c>
      <c r="AF348" s="452">
        <f>'HR Track 6 TSA'!AF9</f>
        <v>5900</v>
      </c>
      <c r="AG348" s="451">
        <f>'HR Track 6 TSA'!AG9</f>
        <v>92711</v>
      </c>
      <c r="AH348" s="452">
        <f>'HR Track 6 TSA'!AH9</f>
        <v>2603</v>
      </c>
      <c r="AI348" s="452">
        <f>'HR Track 6 TSA'!AI9</f>
        <v>280</v>
      </c>
      <c r="AJ348" s="452" t="str">
        <f>'HR Track 6 TSA'!AJ9</f>
        <v>Disc/IO</v>
      </c>
      <c r="AK348" s="452">
        <f>'HR Track 6 TSA'!AK9</f>
        <v>0</v>
      </c>
      <c r="AL348" s="452">
        <f>'HR Track 6 TSA'!AL9</f>
        <v>0</v>
      </c>
      <c r="AM348" s="452" t="str">
        <f>'HR Track 6 TSA'!AM9</f>
        <v>RW1</v>
      </c>
      <c r="AN348" s="500">
        <f>'HR Track 6 TSA'!AN9</f>
        <v>5.5</v>
      </c>
      <c r="AO348" s="452">
        <f>'HR Track 6 TSA'!AO9</f>
        <v>0</v>
      </c>
      <c r="AP348" s="452">
        <f>'HR Track 6 TSA'!AP9</f>
        <v>0</v>
      </c>
      <c r="AQ348" s="452">
        <f>'HR Track 6 TSA'!AQ9</f>
        <v>0</v>
      </c>
      <c r="AR348" s="452">
        <f>'HR Track 6 TSA'!AR9</f>
        <v>0</v>
      </c>
      <c r="AS348" s="452">
        <f>'HR Track 6 TSA'!AS9</f>
        <v>0</v>
      </c>
      <c r="AT348" s="452">
        <f>'HR Track 6 TSA'!AT9</f>
        <v>-9.1372752819653869</v>
      </c>
      <c r="AU348" s="452">
        <f>'HR Track 6 TSA'!AU9</f>
        <v>0</v>
      </c>
      <c r="AV348" s="452">
        <f>'HR Track 6 TSA'!AV9</f>
        <v>0</v>
      </c>
      <c r="AW348" s="452" t="str">
        <f>'HR Track 6 TSA'!AW9</f>
        <v>Soil B</v>
      </c>
      <c r="AX348" s="452" t="str">
        <f>'HR Track 6 TSA'!AX9</f>
        <v>PT</v>
      </c>
      <c r="AY348" s="500">
        <f>'HR Track 6 TSA'!AY9</f>
        <v>5.3</v>
      </c>
      <c r="AZ348" s="500">
        <f>'HR Track 6 TSA'!AZ9</f>
        <v>0</v>
      </c>
      <c r="BA348" s="1333" t="str">
        <f>'HR Track 6 TSA'!BA9</f>
        <v>ü</v>
      </c>
      <c r="BB348" s="452" t="str">
        <f>'HR Track 6 TSA'!BB9</f>
        <v>App.7-V11A-P9.5.1.5</v>
      </c>
      <c r="BC348" s="1334">
        <f>'HR Track 6 TSA'!BC9</f>
        <v>0</v>
      </c>
      <c r="BD348" s="1335">
        <f>'HR Track 6 TSA'!BD9</f>
        <v>43724</v>
      </c>
      <c r="BE348" s="1335">
        <f>'HR Track 6 TSA'!BE9</f>
        <v>43803</v>
      </c>
      <c r="BF348" s="1335">
        <f>'HR Track 6 TSA'!BF9</f>
        <v>0</v>
      </c>
      <c r="BG348" s="1335">
        <f>'HR Track 6 TSA'!BG9</f>
        <v>43893</v>
      </c>
    </row>
    <row r="349" spans="1:59" ht="15.75" customHeight="1">
      <c r="A349" s="501">
        <f>'HR Track 6 TSA'!A10</f>
        <v>0</v>
      </c>
      <c r="B349" s="716">
        <f>'HR Track 6 TSA'!B10</f>
        <v>0</v>
      </c>
      <c r="C349" s="451">
        <f>'HR Track 6 TSA'!C10</f>
        <v>0</v>
      </c>
      <c r="D349" s="453">
        <f>'HR Track 6 TSA'!D10</f>
        <v>0</v>
      </c>
      <c r="E349" s="452">
        <f>'HR Track 6 TSA'!E10</f>
        <v>0</v>
      </c>
      <c r="F349" s="453">
        <f>'HR Track 6 TSA'!F10</f>
        <v>0</v>
      </c>
      <c r="G349" s="500">
        <f>'HR Track 6 TSA'!G10</f>
        <v>57.2</v>
      </c>
      <c r="H349" s="453">
        <f>'HR Track 6 TSA'!H10</f>
        <v>0</v>
      </c>
      <c r="I349" s="501">
        <f>'HR Track 6 TSA'!I10</f>
        <v>0</v>
      </c>
      <c r="J349" s="583">
        <f>'HR Track 6 TSA'!J10</f>
        <v>0</v>
      </c>
      <c r="K349" s="452">
        <f>'HR Track 6 TSA'!K10</f>
        <v>0</v>
      </c>
      <c r="L349" s="452">
        <f>'HR Track 6 TSA'!L10</f>
        <v>0</v>
      </c>
      <c r="M349" s="452">
        <f>'HR Track 6 TSA'!M10</f>
        <v>0</v>
      </c>
      <c r="N349" s="501">
        <f>'HR Track 6 TSA'!N10</f>
        <v>0</v>
      </c>
      <c r="O349" s="501">
        <f>'HR Track 6 TSA'!O10</f>
        <v>0</v>
      </c>
      <c r="P349" s="501">
        <f>'HR Track 6 TSA'!P10</f>
        <v>0</v>
      </c>
      <c r="Q349" s="452">
        <f>'HR Track 6 TSA'!Q10</f>
        <v>0</v>
      </c>
      <c r="R349" s="452">
        <f>'HR Track 6 TSA'!R10</f>
        <v>0</v>
      </c>
      <c r="S349" s="500">
        <f>'HR Track 6 TSA'!S10</f>
        <v>59.350000000005821</v>
      </c>
      <c r="T349" s="452">
        <f>'HR Track 6 TSA'!T10</f>
        <v>0</v>
      </c>
      <c r="U349" s="452">
        <f>'HR Track 6 TSA'!U10</f>
        <v>0</v>
      </c>
      <c r="V349" s="452">
        <f>'HR Track 6 TSA'!V10</f>
        <v>0</v>
      </c>
      <c r="W349" s="452">
        <f>'HR Track 6 TSA'!W10</f>
        <v>0</v>
      </c>
      <c r="X349" s="452">
        <f>'HR Track 6 TSA'!X10</f>
        <v>0</v>
      </c>
      <c r="Y349" s="452">
        <f>'HR Track 6 TSA'!Y10</f>
        <v>0</v>
      </c>
      <c r="Z349" s="452">
        <f>'HR Track 6 TSA'!Z10</f>
        <v>0</v>
      </c>
      <c r="AA349" s="452">
        <f>'HR Track 6 TSA'!AA10</f>
        <v>0</v>
      </c>
      <c r="AB349" s="452">
        <f>'HR Track 6 TSA'!AB10</f>
        <v>0</v>
      </c>
      <c r="AC349" s="452">
        <f>'HR Track 6 TSA'!AC10</f>
        <v>0</v>
      </c>
      <c r="AD349" s="452">
        <f>'HR Track 6 TSA'!AD10</f>
        <v>0</v>
      </c>
      <c r="AE349" s="452">
        <f>'HR Track 6 TSA'!AE10</f>
        <v>0</v>
      </c>
      <c r="AF349" s="452">
        <f>'HR Track 6 TSA'!AF10</f>
        <v>0</v>
      </c>
      <c r="AG349" s="451">
        <f>'HR Track 6 TSA'!AG10</f>
        <v>0</v>
      </c>
      <c r="AH349" s="452">
        <f>'HR Track 6 TSA'!AH10</f>
        <v>0</v>
      </c>
      <c r="AI349" s="452">
        <f>'HR Track 6 TSA'!AI10</f>
        <v>0</v>
      </c>
      <c r="AJ349" s="452" t="str">
        <f>'HR Track 6 TSA'!AJ10</f>
        <v>SECT-I</v>
      </c>
      <c r="AK349" s="452">
        <f>'HR Track 6 TSA'!AK10</f>
        <v>0</v>
      </c>
      <c r="AL349" s="452">
        <f>'HR Track 6 TSA'!AL10</f>
        <v>0</v>
      </c>
      <c r="AM349" s="452">
        <f>'HR Track 6 TSA'!AM10</f>
        <v>0</v>
      </c>
      <c r="AN349" s="500">
        <f>'HR Track 6 TSA'!AN10</f>
        <v>0</v>
      </c>
      <c r="AO349" s="452">
        <f>'HR Track 6 TSA'!AO10</f>
        <v>0</v>
      </c>
      <c r="AP349" s="452">
        <f>'HR Track 6 TSA'!AP10</f>
        <v>0</v>
      </c>
      <c r="AQ349" s="452">
        <f>'HR Track 6 TSA'!AQ10</f>
        <v>0.44789563121678322</v>
      </c>
      <c r="AR349" s="452">
        <f>'HR Track 6 TSA'!AR10</f>
        <v>0</v>
      </c>
      <c r="AS349" s="452">
        <f>'HR Track 6 TSA'!AS10</f>
        <v>0</v>
      </c>
      <c r="AT349" s="452">
        <f>'HR Track 6 TSA'!AT10</f>
        <v>0</v>
      </c>
      <c r="AU349" s="452">
        <f>'HR Track 6 TSA'!AU10</f>
        <v>0</v>
      </c>
      <c r="AV349" s="452">
        <f>'HR Track 6 TSA'!AV10</f>
        <v>0</v>
      </c>
      <c r="AW349" s="452">
        <f>'HR Track 6 TSA'!AW10</f>
        <v>0</v>
      </c>
      <c r="AX349" s="452">
        <f>'HR Track 6 TSA'!AX10</f>
        <v>0</v>
      </c>
      <c r="AY349" s="500" t="str">
        <f>'HR Track 6 TSA'!AY10</f>
        <v/>
      </c>
      <c r="AZ349" s="500" t="str">
        <f>'HR Track 6 TSA'!AZ10</f>
        <v/>
      </c>
      <c r="BA349" s="1333">
        <f>'HR Track 6 TSA'!BA10</f>
        <v>0</v>
      </c>
      <c r="BB349" s="452">
        <f>'HR Track 6 TSA'!BB10</f>
        <v>0</v>
      </c>
      <c r="BC349" s="1334">
        <f>'HR Track 6 TSA'!BC10</f>
        <v>0</v>
      </c>
      <c r="BD349" s="1335">
        <f>'HR Track 6 TSA'!BD10</f>
        <v>0</v>
      </c>
      <c r="BE349" s="1335">
        <f>'HR Track 6 TSA'!BE10</f>
        <v>0</v>
      </c>
      <c r="BF349" s="1335">
        <f>'HR Track 6 TSA'!BF10</f>
        <v>0</v>
      </c>
      <c r="BG349" s="1335">
        <f>'HR Track 6 TSA'!BG10</f>
        <v>0</v>
      </c>
    </row>
    <row r="350" spans="1:59" ht="15.75" customHeight="1">
      <c r="A350" s="501">
        <f>'HR Track 6 TSA'!A11</f>
        <v>0</v>
      </c>
      <c r="B350" s="716" t="str">
        <f>'HR Track 6 TSA'!B11</f>
        <v>92-6.22</v>
      </c>
      <c r="C350" s="451">
        <f>'HR Track 6 TSA'!C11</f>
        <v>92769.249999999985</v>
      </c>
      <c r="D350" s="453">
        <f>'HR Track 6 TSA'!D11</f>
        <v>0</v>
      </c>
      <c r="E350" s="452">
        <f>'HR Track 6 TSA'!E11</f>
        <v>0</v>
      </c>
      <c r="F350" s="453">
        <f>'HR Track 6 TSA'!F11</f>
        <v>0</v>
      </c>
      <c r="G350" s="500">
        <f>'HR Track 6 TSA'!G11</f>
        <v>0</v>
      </c>
      <c r="H350" s="453" t="str">
        <f>'HR Track 6 TSA'!H11</f>
        <v>A/S P50(CS)</v>
      </c>
      <c r="I350" s="501" t="str">
        <f>'HR Track 6 TSA'!I11</f>
        <v>CP+AnMC</v>
      </c>
      <c r="J350" s="583">
        <f>'HR Track 6 TSA'!J11</f>
        <v>0</v>
      </c>
      <c r="K350" s="452">
        <f>'HR Track 6 TSA'!K11</f>
        <v>0</v>
      </c>
      <c r="L350" s="452" t="str">
        <f>'HR Track 6 TSA'!L11</f>
        <v>2HEB-240</v>
      </c>
      <c r="M350" s="452" t="str">
        <f>'HR Track 6 TSA'!M11</f>
        <v>2C3R</v>
      </c>
      <c r="N350" s="501" t="str">
        <f>'HR Track 6 TSA'!N11</f>
        <v>EMT-2</v>
      </c>
      <c r="O350" s="501" t="str">
        <f>'HR Track 6 TSA'!O11</f>
        <v>EMT-1</v>
      </c>
      <c r="P350" s="501">
        <f>'HR Track 6 TSA'!P11</f>
        <v>0</v>
      </c>
      <c r="Q350" s="452">
        <f>'HR Track 6 TSA'!Q11</f>
        <v>20</v>
      </c>
      <c r="R350" s="452">
        <f>'HR Track 6 TSA'!R11</f>
        <v>0</v>
      </c>
      <c r="S350" s="500">
        <f>'HR Track 6 TSA'!S11</f>
        <v>0</v>
      </c>
      <c r="T350" s="452">
        <f>'HR Track 6 TSA'!T11</f>
        <v>30</v>
      </c>
      <c r="U350" s="452">
        <f>'HR Track 6 TSA'!U11</f>
        <v>15</v>
      </c>
      <c r="V350" s="452">
        <f>'HR Track 6 TSA'!V11</f>
        <v>0</v>
      </c>
      <c r="W350" s="452">
        <f>'HR Track 6 TSA'!W11</f>
        <v>1.4</v>
      </c>
      <c r="X350" s="452">
        <f>'HR Track 6 TSA'!X11</f>
        <v>2.2999999999999998</v>
      </c>
      <c r="Y350" s="452">
        <f>'HR Track 6 TSA'!Y11</f>
        <v>0</v>
      </c>
      <c r="Z350" s="452">
        <f>'HR Track 6 TSA'!Z11</f>
        <v>0</v>
      </c>
      <c r="AA350" s="452">
        <f>'HR Track 6 TSA'!AA11</f>
        <v>0</v>
      </c>
      <c r="AB350" s="452">
        <f>'HR Track 6 TSA'!AB11</f>
        <v>0</v>
      </c>
      <c r="AC350" s="452" t="str">
        <f>'HR Track 6 TSA'!AC11</f>
        <v>PH-1450</v>
      </c>
      <c r="AD350" s="452" t="str">
        <f>'HR Track 6 TSA'!AD11</f>
        <v>BTC-1651</v>
      </c>
      <c r="AE350" s="452">
        <f>'HR Track 6 TSA'!AE11</f>
        <v>0</v>
      </c>
      <c r="AF350" s="452">
        <f>'HR Track 6 TSA'!AF11</f>
        <v>6000</v>
      </c>
      <c r="AG350" s="451">
        <f>'HR Track 6 TSA'!AG11</f>
        <v>92770.35</v>
      </c>
      <c r="AH350" s="452">
        <f>'HR Track 6 TSA'!AH11</f>
        <v>3673</v>
      </c>
      <c r="AI350" s="452">
        <f>'HR Track 6 TSA'!AI11</f>
        <v>700</v>
      </c>
      <c r="AJ350" s="452">
        <f>'HR Track 6 TSA'!AJ11</f>
        <v>0</v>
      </c>
      <c r="AK350" s="452">
        <f>'HR Track 6 TSA'!AK11</f>
        <v>0</v>
      </c>
      <c r="AL350" s="452">
        <f>'HR Track 6 TSA'!AL11</f>
        <v>0</v>
      </c>
      <c r="AM350" s="452" t="str">
        <f>'HR Track 6 TSA'!AM11</f>
        <v>RW1</v>
      </c>
      <c r="AN350" s="500">
        <f>'HR Track 6 TSA'!AN11</f>
        <v>5.5</v>
      </c>
      <c r="AO350" s="452">
        <f>'HR Track 6 TSA'!AO11</f>
        <v>0</v>
      </c>
      <c r="AP350" s="452">
        <f>'HR Track 6 TSA'!AP11</f>
        <v>0</v>
      </c>
      <c r="AQ350" s="452">
        <f>'HR Track 6 TSA'!AQ11</f>
        <v>0</v>
      </c>
      <c r="AR350" s="452">
        <f>'HR Track 6 TSA'!AR11</f>
        <v>0</v>
      </c>
      <c r="AS350" s="452">
        <f>'HR Track 6 TSA'!AS11</f>
        <v>0</v>
      </c>
      <c r="AT350" s="452">
        <f>'HR Track 6 TSA'!AT11</f>
        <v>10.244351578136957</v>
      </c>
      <c r="AU350" s="452">
        <f>'HR Track 6 TSA'!AU11</f>
        <v>0</v>
      </c>
      <c r="AV350" s="452">
        <f>'HR Track 6 TSA'!AV11</f>
        <v>0</v>
      </c>
      <c r="AW350" s="452" t="str">
        <f>'HR Track 6 TSA'!AW11</f>
        <v>Soil B</v>
      </c>
      <c r="AX350" s="452" t="str">
        <f>'HR Track 6 TSA'!AX11</f>
        <v>PT</v>
      </c>
      <c r="AY350" s="500">
        <f>'HR Track 6 TSA'!AY11</f>
        <v>3.5</v>
      </c>
      <c r="AZ350" s="500">
        <f>'HR Track 6 TSA'!AZ11</f>
        <v>0</v>
      </c>
      <c r="BA350" s="1333" t="str">
        <f>'HR Track 6 TSA'!BA11</f>
        <v>ü</v>
      </c>
      <c r="BB350" s="452" t="str">
        <f>'HR Track 6 TSA'!BB11</f>
        <v>App.7-V11A-P9.5.1.8</v>
      </c>
      <c r="BC350" s="1334">
        <f>'HR Track 6 TSA'!BC11</f>
        <v>0</v>
      </c>
      <c r="BD350" s="1335">
        <f>'HR Track 6 TSA'!BD11</f>
        <v>43724</v>
      </c>
      <c r="BE350" s="1335">
        <f>'HR Track 6 TSA'!BE11</f>
        <v>43802</v>
      </c>
      <c r="BF350" s="1335">
        <f>'HR Track 6 TSA'!BF11</f>
        <v>0</v>
      </c>
      <c r="BG350" s="1335">
        <f>'HR Track 6 TSA'!BG11</f>
        <v>43808</v>
      </c>
    </row>
    <row r="351" spans="1:59" ht="15.75" customHeight="1">
      <c r="S351" s="454"/>
      <c r="BA351" s="1305"/>
      <c r="BC351" s="169"/>
    </row>
    <row r="352" spans="1:59" ht="15.75" customHeight="1">
      <c r="S352" s="454"/>
      <c r="BA352" s="1305"/>
      <c r="BC352" s="169"/>
    </row>
    <row r="353" spans="19:55" ht="15.75" customHeight="1">
      <c r="S353" s="454"/>
      <c r="BA353" s="1305"/>
      <c r="BC353" s="169"/>
    </row>
    <row r="354" spans="19:55" ht="15.75" customHeight="1">
      <c r="S354" s="454"/>
      <c r="BA354" s="1305"/>
      <c r="BC354" s="169"/>
    </row>
    <row r="355" spans="19:55" ht="15.75" customHeight="1">
      <c r="S355" s="454"/>
      <c r="BA355" s="1305"/>
      <c r="BC355" s="169"/>
    </row>
    <row r="356" spans="19:55" ht="15.75" customHeight="1">
      <c r="S356" s="454"/>
      <c r="BA356" s="1305"/>
      <c r="BC356" s="169"/>
    </row>
    <row r="357" spans="19:55" ht="15.75" customHeight="1">
      <c r="S357" s="454"/>
      <c r="BA357" s="1305"/>
      <c r="BC357" s="169"/>
    </row>
    <row r="358" spans="19:55" ht="15.75" customHeight="1">
      <c r="S358" s="454"/>
      <c r="BA358" s="1305"/>
      <c r="BC358" s="169"/>
    </row>
    <row r="359" spans="19:55" ht="15.75" customHeight="1">
      <c r="S359" s="454"/>
      <c r="BA359" s="1305"/>
      <c r="BC359" s="169"/>
    </row>
    <row r="360" spans="19:55" ht="15.75" customHeight="1">
      <c r="S360" s="454"/>
      <c r="BA360" s="1305"/>
      <c r="BC360" s="169"/>
    </row>
    <row r="361" spans="19:55" ht="15.75" customHeight="1">
      <c r="S361" s="454"/>
      <c r="BA361" s="1305"/>
      <c r="BC361" s="169"/>
    </row>
    <row r="362" spans="19:55" ht="15.75" customHeight="1">
      <c r="S362" s="454"/>
      <c r="BA362" s="1305"/>
      <c r="BC362" s="169"/>
    </row>
    <row r="363" spans="19:55" ht="15.75" customHeight="1">
      <c r="S363" s="454"/>
      <c r="BA363" s="1305"/>
      <c r="BC363" s="169"/>
    </row>
    <row r="364" spans="19:55" ht="15.75" customHeight="1">
      <c r="S364" s="454"/>
      <c r="BA364" s="1305"/>
      <c r="BC364" s="169"/>
    </row>
    <row r="365" spans="19:55" ht="15.75" customHeight="1">
      <c r="S365" s="454"/>
      <c r="BA365" s="1305"/>
      <c r="BC365" s="169"/>
    </row>
    <row r="366" spans="19:55" ht="15.75" customHeight="1">
      <c r="S366" s="454"/>
      <c r="BA366" s="1305"/>
      <c r="BC366" s="169"/>
    </row>
    <row r="367" spans="19:55" ht="15.75" customHeight="1">
      <c r="S367" s="454"/>
      <c r="BA367" s="1305"/>
      <c r="BC367" s="169"/>
    </row>
    <row r="368" spans="19:55" ht="15.75" customHeight="1">
      <c r="S368" s="454"/>
      <c r="BA368" s="1305"/>
      <c r="BC368" s="169"/>
    </row>
    <row r="369" spans="19:55" ht="15.75" customHeight="1">
      <c r="S369" s="454"/>
      <c r="BA369" s="1305"/>
      <c r="BC369" s="169"/>
    </row>
    <row r="370" spans="19:55" ht="15.75" customHeight="1">
      <c r="S370" s="454"/>
      <c r="BA370" s="1305"/>
      <c r="BC370" s="169"/>
    </row>
    <row r="371" spans="19:55" ht="15.75" customHeight="1">
      <c r="S371" s="454"/>
      <c r="BA371" s="1305"/>
      <c r="BC371" s="169"/>
    </row>
    <row r="372" spans="19:55" ht="15.75" customHeight="1">
      <c r="S372" s="454"/>
      <c r="BA372" s="1305"/>
      <c r="BC372" s="169"/>
    </row>
    <row r="373" spans="19:55" ht="15.75" customHeight="1">
      <c r="S373" s="454"/>
      <c r="BA373" s="1305"/>
      <c r="BC373" s="169"/>
    </row>
    <row r="374" spans="19:55" ht="15.75" customHeight="1">
      <c r="S374" s="454"/>
      <c r="BA374" s="1305"/>
      <c r="BC374" s="169"/>
    </row>
    <row r="375" spans="19:55" ht="15.75" customHeight="1">
      <c r="S375" s="454"/>
      <c r="BA375" s="1305"/>
      <c r="BC375" s="169"/>
    </row>
    <row r="376" spans="19:55" ht="15.75" customHeight="1">
      <c r="S376" s="454"/>
      <c r="BA376" s="1305"/>
      <c r="BC376" s="169"/>
    </row>
    <row r="377" spans="19:55" ht="15.75" customHeight="1">
      <c r="S377" s="454"/>
      <c r="BA377" s="1305"/>
      <c r="BC377" s="169"/>
    </row>
    <row r="378" spans="19:55" ht="15.75" customHeight="1">
      <c r="S378" s="454"/>
      <c r="BA378" s="1305"/>
      <c r="BC378" s="169"/>
    </row>
    <row r="379" spans="19:55" ht="15.75" customHeight="1">
      <c r="S379" s="454"/>
      <c r="BA379" s="1305"/>
      <c r="BC379" s="169"/>
    </row>
    <row r="380" spans="19:55" ht="15.75" customHeight="1">
      <c r="S380" s="454"/>
      <c r="BA380" s="1305"/>
      <c r="BC380" s="169"/>
    </row>
    <row r="381" spans="19:55" ht="15.75" customHeight="1">
      <c r="S381" s="454"/>
      <c r="BA381" s="1305"/>
      <c r="BC381" s="169"/>
    </row>
    <row r="382" spans="19:55" ht="15.75" customHeight="1">
      <c r="S382" s="454"/>
      <c r="BA382" s="1305"/>
      <c r="BC382" s="169"/>
    </row>
    <row r="383" spans="19:55" ht="15.75" customHeight="1">
      <c r="S383" s="454"/>
      <c r="BA383" s="1305"/>
      <c r="BC383" s="169"/>
    </row>
    <row r="384" spans="19:55" ht="15.75" customHeight="1">
      <c r="S384" s="454"/>
      <c r="BA384" s="1305"/>
      <c r="BC384" s="169"/>
    </row>
    <row r="385" spans="19:55" ht="15.75" customHeight="1">
      <c r="S385" s="454"/>
      <c r="BA385" s="1305"/>
      <c r="BC385" s="169"/>
    </row>
    <row r="386" spans="19:55" ht="15.75" customHeight="1">
      <c r="S386" s="454"/>
      <c r="BA386" s="1305"/>
      <c r="BC386" s="169"/>
    </row>
    <row r="387" spans="19:55" ht="15.75" customHeight="1">
      <c r="S387" s="454"/>
      <c r="BA387" s="1305"/>
      <c r="BC387" s="169"/>
    </row>
    <row r="388" spans="19:55" ht="15.75" customHeight="1">
      <c r="S388" s="454"/>
      <c r="BA388" s="1305"/>
      <c r="BC388" s="169"/>
    </row>
    <row r="389" spans="19:55" ht="15.75" customHeight="1">
      <c r="S389" s="454"/>
      <c r="BA389" s="1305"/>
      <c r="BC389" s="169"/>
    </row>
    <row r="390" spans="19:55" ht="15.75" customHeight="1">
      <c r="S390" s="454"/>
      <c r="BA390" s="1305"/>
      <c r="BC390" s="169"/>
    </row>
    <row r="391" spans="19:55" ht="15.75" customHeight="1">
      <c r="S391" s="454"/>
      <c r="BA391" s="1305"/>
      <c r="BC391" s="169"/>
    </row>
    <row r="392" spans="19:55" ht="15.75" customHeight="1">
      <c r="S392" s="454"/>
      <c r="BA392" s="1305"/>
      <c r="BC392" s="169"/>
    </row>
    <row r="393" spans="19:55" ht="15.75" customHeight="1">
      <c r="S393" s="454"/>
      <c r="BA393" s="1305"/>
      <c r="BC393" s="169"/>
    </row>
    <row r="394" spans="19:55" ht="15.75" customHeight="1">
      <c r="S394" s="454"/>
      <c r="BA394" s="1305"/>
      <c r="BC394" s="169"/>
    </row>
    <row r="395" spans="19:55" ht="15.75" customHeight="1">
      <c r="S395" s="454"/>
      <c r="BA395" s="1305"/>
      <c r="BC395" s="169"/>
    </row>
    <row r="396" spans="19:55" ht="15.75" customHeight="1">
      <c r="S396" s="454"/>
      <c r="BA396" s="1305"/>
      <c r="BC396" s="169"/>
    </row>
    <row r="397" spans="19:55" ht="15.75" customHeight="1">
      <c r="S397" s="454"/>
      <c r="BA397" s="1305"/>
      <c r="BC397" s="169"/>
    </row>
    <row r="398" spans="19:55" ht="15.75" customHeight="1">
      <c r="S398" s="454"/>
      <c r="BA398" s="1305"/>
      <c r="BC398" s="169"/>
    </row>
    <row r="399" spans="19:55" ht="15.75" customHeight="1">
      <c r="S399" s="454"/>
      <c r="BA399" s="1305"/>
      <c r="BC399" s="169"/>
    </row>
    <row r="400" spans="19:55" ht="15.75" customHeight="1">
      <c r="S400" s="454"/>
      <c r="BA400" s="1305"/>
      <c r="BC400" s="169"/>
    </row>
    <row r="401" spans="19:55" ht="15.75" customHeight="1">
      <c r="S401" s="454"/>
      <c r="BA401" s="1305"/>
      <c r="BC401" s="169"/>
    </row>
    <row r="402" spans="19:55" ht="15.75" customHeight="1">
      <c r="S402" s="454"/>
      <c r="BA402" s="1305"/>
      <c r="BC402" s="169"/>
    </row>
    <row r="403" spans="19:55" ht="15.75" customHeight="1">
      <c r="S403" s="454"/>
      <c r="BA403" s="1305"/>
      <c r="BC403" s="169"/>
    </row>
    <row r="404" spans="19:55" ht="15.75" customHeight="1">
      <c r="S404" s="454"/>
      <c r="BA404" s="1305"/>
      <c r="BC404" s="169"/>
    </row>
    <row r="405" spans="19:55" ht="15.75" customHeight="1">
      <c r="S405" s="454"/>
      <c r="BA405" s="1305"/>
      <c r="BC405" s="169"/>
    </row>
    <row r="406" spans="19:55" ht="15.75" customHeight="1">
      <c r="S406" s="454"/>
      <c r="BA406" s="1305"/>
      <c r="BC406" s="169"/>
    </row>
    <row r="407" spans="19:55" ht="15.75" customHeight="1">
      <c r="S407" s="454"/>
      <c r="BA407" s="1305"/>
      <c r="BC407" s="169"/>
    </row>
    <row r="408" spans="19:55" ht="15.75" customHeight="1">
      <c r="S408" s="454"/>
      <c r="BA408" s="1305"/>
      <c r="BC408" s="169"/>
    </row>
    <row r="409" spans="19:55" ht="15.75" customHeight="1">
      <c r="S409" s="454"/>
      <c r="BA409" s="1305"/>
      <c r="BC409" s="169"/>
    </row>
    <row r="410" spans="19:55" ht="15.75" customHeight="1">
      <c r="S410" s="454"/>
      <c r="BA410" s="1305"/>
      <c r="BC410" s="169"/>
    </row>
    <row r="411" spans="19:55" ht="15.75" customHeight="1">
      <c r="S411" s="454"/>
      <c r="BA411" s="1305"/>
      <c r="BC411" s="169"/>
    </row>
    <row r="412" spans="19:55" ht="15.75" customHeight="1">
      <c r="S412" s="454"/>
      <c r="BA412" s="1305"/>
      <c r="BC412" s="169"/>
    </row>
    <row r="413" spans="19:55" ht="15.75" customHeight="1">
      <c r="S413" s="454"/>
      <c r="BA413" s="1305"/>
      <c r="BC413" s="169"/>
    </row>
    <row r="414" spans="19:55" ht="15.75" customHeight="1">
      <c r="S414" s="454"/>
      <c r="BA414" s="1305"/>
      <c r="BC414" s="169"/>
    </row>
    <row r="415" spans="19:55" ht="15.75" customHeight="1">
      <c r="S415" s="454"/>
      <c r="BA415" s="1305"/>
      <c r="BC415" s="169"/>
    </row>
    <row r="416" spans="19:55" ht="15.75" customHeight="1">
      <c r="S416" s="454"/>
      <c r="BA416" s="1305"/>
      <c r="BC416" s="169"/>
    </row>
    <row r="417" spans="19:55" ht="15.75" customHeight="1">
      <c r="S417" s="454"/>
      <c r="BA417" s="1305"/>
      <c r="BC417" s="169"/>
    </row>
    <row r="418" spans="19:55" ht="15.75" customHeight="1">
      <c r="S418" s="454"/>
      <c r="BA418" s="1305"/>
      <c r="BC418" s="169"/>
    </row>
    <row r="419" spans="19:55" ht="15.75" customHeight="1">
      <c r="S419" s="454"/>
      <c r="BA419" s="1305"/>
      <c r="BC419" s="169"/>
    </row>
    <row r="420" spans="19:55" ht="15.75" customHeight="1">
      <c r="S420" s="454"/>
      <c r="BA420" s="1305"/>
      <c r="BC420" s="169"/>
    </row>
    <row r="421" spans="19:55" ht="15.75" customHeight="1">
      <c r="S421" s="454"/>
      <c r="BA421" s="1305"/>
      <c r="BC421" s="169"/>
    </row>
    <row r="422" spans="19:55" ht="15.75" customHeight="1">
      <c r="S422" s="454"/>
      <c r="BA422" s="1305"/>
      <c r="BC422" s="169"/>
    </row>
    <row r="423" spans="19:55" ht="15.75" customHeight="1">
      <c r="S423" s="454"/>
      <c r="BA423" s="1305"/>
      <c r="BC423" s="169"/>
    </row>
    <row r="424" spans="19:55" ht="15.75" customHeight="1">
      <c r="S424" s="454"/>
      <c r="BA424" s="1305"/>
      <c r="BC424" s="169"/>
    </row>
    <row r="425" spans="19:55" ht="15.75" customHeight="1">
      <c r="S425" s="454"/>
      <c r="BA425" s="1305"/>
      <c r="BC425" s="169"/>
    </row>
    <row r="426" spans="19:55" ht="15.75" customHeight="1">
      <c r="S426" s="454"/>
      <c r="BA426" s="1305"/>
      <c r="BC426" s="169"/>
    </row>
    <row r="427" spans="19:55" ht="15.75" customHeight="1">
      <c r="S427" s="454"/>
      <c r="BA427" s="1305"/>
      <c r="BC427" s="169"/>
    </row>
    <row r="428" spans="19:55" ht="15.75" customHeight="1">
      <c r="S428" s="454"/>
      <c r="BA428" s="1305"/>
      <c r="BC428" s="169"/>
    </row>
    <row r="429" spans="19:55" ht="15.75" customHeight="1">
      <c r="S429" s="454"/>
      <c r="BA429" s="1305"/>
      <c r="BC429" s="169"/>
    </row>
    <row r="430" spans="19:55" ht="15.75" customHeight="1">
      <c r="S430" s="454"/>
      <c r="BA430" s="1305"/>
      <c r="BC430" s="169"/>
    </row>
    <row r="431" spans="19:55" ht="15.75" customHeight="1">
      <c r="S431" s="454"/>
      <c r="BA431" s="1305"/>
      <c r="BC431" s="169"/>
    </row>
    <row r="432" spans="19:55" ht="15.75" customHeight="1">
      <c r="S432" s="454"/>
      <c r="BA432" s="1305"/>
      <c r="BC432" s="169"/>
    </row>
    <row r="433" spans="19:55" ht="15.75" customHeight="1">
      <c r="S433" s="454"/>
      <c r="BA433" s="1305"/>
      <c r="BC433" s="169"/>
    </row>
    <row r="434" spans="19:55" ht="15.75" customHeight="1">
      <c r="S434" s="454"/>
      <c r="BA434" s="1305"/>
      <c r="BC434" s="169"/>
    </row>
    <row r="435" spans="19:55" ht="15.75" customHeight="1">
      <c r="S435" s="454"/>
      <c r="BA435" s="1305"/>
      <c r="BC435" s="169"/>
    </row>
    <row r="436" spans="19:55" ht="15.75" customHeight="1">
      <c r="S436" s="454"/>
      <c r="BA436" s="1305"/>
      <c r="BC436" s="169"/>
    </row>
    <row r="437" spans="19:55" ht="15.75" customHeight="1">
      <c r="S437" s="454"/>
      <c r="BA437" s="1305"/>
      <c r="BC437" s="169"/>
    </row>
    <row r="438" spans="19:55" ht="15.75" customHeight="1">
      <c r="S438" s="454"/>
      <c r="BA438" s="1305"/>
      <c r="BC438" s="169"/>
    </row>
    <row r="439" spans="19:55" ht="15.75" customHeight="1">
      <c r="S439" s="454"/>
      <c r="BA439" s="1305"/>
      <c r="BC439" s="169"/>
    </row>
    <row r="440" spans="19:55" ht="15.75" customHeight="1">
      <c r="S440" s="454"/>
      <c r="BA440" s="1305"/>
      <c r="BC440" s="169"/>
    </row>
    <row r="441" spans="19:55" ht="15.75" customHeight="1">
      <c r="S441" s="454"/>
      <c r="BA441" s="1305"/>
      <c r="BC441" s="169"/>
    </row>
    <row r="442" spans="19:55" ht="15.75" customHeight="1">
      <c r="S442" s="454"/>
      <c r="BA442" s="1305"/>
      <c r="BC442" s="169"/>
    </row>
    <row r="443" spans="19:55" ht="15.75" customHeight="1">
      <c r="S443" s="454"/>
      <c r="BA443" s="1305"/>
      <c r="BC443" s="169"/>
    </row>
    <row r="444" spans="19:55" ht="15.75" customHeight="1">
      <c r="S444" s="454"/>
      <c r="BA444" s="1305"/>
      <c r="BC444" s="169"/>
    </row>
    <row r="445" spans="19:55" ht="15.75" customHeight="1">
      <c r="S445" s="454"/>
      <c r="BA445" s="1305"/>
      <c r="BC445" s="169"/>
    </row>
    <row r="446" spans="19:55" ht="15.75" customHeight="1">
      <c r="S446" s="454"/>
      <c r="BA446" s="1305"/>
      <c r="BC446" s="169"/>
    </row>
    <row r="447" spans="19:55" ht="15.75" customHeight="1">
      <c r="S447" s="454"/>
      <c r="BA447" s="1305"/>
      <c r="BC447" s="169"/>
    </row>
    <row r="448" spans="19:55" ht="15.75" customHeight="1">
      <c r="S448" s="454"/>
      <c r="BA448" s="1305"/>
      <c r="BC448" s="169"/>
    </row>
    <row r="449" spans="19:55" ht="15.75" customHeight="1">
      <c r="S449" s="454"/>
      <c r="BA449" s="1305"/>
      <c r="BC449" s="169"/>
    </row>
    <row r="450" spans="19:55" ht="15.75" customHeight="1">
      <c r="S450" s="454"/>
      <c r="BA450" s="1305"/>
      <c r="BC450" s="169"/>
    </row>
    <row r="451" spans="19:55" ht="15.75" customHeight="1">
      <c r="S451" s="454"/>
      <c r="BA451" s="1305"/>
      <c r="BC451" s="169"/>
    </row>
    <row r="452" spans="19:55" ht="15.75" customHeight="1">
      <c r="S452" s="454"/>
      <c r="BA452" s="1305"/>
      <c r="BC452" s="169"/>
    </row>
    <row r="453" spans="19:55" ht="15.75" customHeight="1">
      <c r="S453" s="454"/>
      <c r="BA453" s="1305"/>
      <c r="BC453" s="169"/>
    </row>
    <row r="454" spans="19:55" ht="15.75" customHeight="1">
      <c r="S454" s="454"/>
      <c r="BA454" s="1305"/>
      <c r="BC454" s="169"/>
    </row>
    <row r="455" spans="19:55" ht="15.75" customHeight="1">
      <c r="S455" s="454"/>
      <c r="BA455" s="1305"/>
      <c r="BC455" s="169"/>
    </row>
    <row r="456" spans="19:55" ht="15.75" customHeight="1">
      <c r="S456" s="454"/>
      <c r="BA456" s="1305"/>
      <c r="BC456" s="169"/>
    </row>
    <row r="457" spans="19:55" ht="15.75" customHeight="1">
      <c r="S457" s="454"/>
      <c r="BA457" s="1305"/>
      <c r="BC457" s="169"/>
    </row>
    <row r="458" spans="19:55" ht="15.75" customHeight="1">
      <c r="S458" s="454"/>
      <c r="BA458" s="1305"/>
      <c r="BC458" s="169"/>
    </row>
    <row r="459" spans="19:55" ht="15.75" customHeight="1">
      <c r="S459" s="454"/>
      <c r="BA459" s="1305"/>
      <c r="BC459" s="169"/>
    </row>
    <row r="460" spans="19:55" ht="15.75" customHeight="1">
      <c r="S460" s="454"/>
      <c r="BA460" s="1305"/>
      <c r="BC460" s="169"/>
    </row>
    <row r="461" spans="19:55" ht="15.75" customHeight="1">
      <c r="S461" s="454"/>
      <c r="BA461" s="1305"/>
      <c r="BC461" s="169"/>
    </row>
    <row r="462" spans="19:55" ht="15.75" customHeight="1">
      <c r="S462" s="454"/>
      <c r="BA462" s="1305"/>
      <c r="BC462" s="169"/>
    </row>
    <row r="463" spans="19:55" ht="15.75" customHeight="1">
      <c r="S463" s="454"/>
      <c r="BA463" s="1305"/>
      <c r="BC463" s="169"/>
    </row>
    <row r="464" spans="19:55" ht="15.75" customHeight="1">
      <c r="S464" s="454"/>
      <c r="BA464" s="1305"/>
      <c r="BC464" s="169"/>
    </row>
    <row r="465" spans="19:55" ht="15.75" customHeight="1">
      <c r="S465" s="454"/>
      <c r="BA465" s="1305"/>
      <c r="BC465" s="169"/>
    </row>
    <row r="466" spans="19:55" ht="15.75" customHeight="1">
      <c r="S466" s="454"/>
      <c r="BA466" s="1305"/>
      <c r="BC466" s="169"/>
    </row>
    <row r="467" spans="19:55" ht="15.75" customHeight="1">
      <c r="S467" s="454"/>
      <c r="BA467" s="1305"/>
      <c r="BC467" s="169"/>
    </row>
    <row r="468" spans="19:55" ht="15.75" customHeight="1">
      <c r="S468" s="454"/>
      <c r="BA468" s="1305"/>
      <c r="BC468" s="169"/>
    </row>
    <row r="469" spans="19:55" ht="15.75" customHeight="1">
      <c r="S469" s="454"/>
      <c r="BA469" s="1305"/>
      <c r="BC469" s="169"/>
    </row>
    <row r="470" spans="19:55" ht="15.75" customHeight="1">
      <c r="S470" s="454"/>
      <c r="BA470" s="1305"/>
      <c r="BC470" s="169"/>
    </row>
    <row r="471" spans="19:55" ht="15.75" customHeight="1">
      <c r="S471" s="454"/>
      <c r="BA471" s="1305"/>
      <c r="BC471" s="169"/>
    </row>
    <row r="472" spans="19:55" ht="15.75" customHeight="1">
      <c r="S472" s="454"/>
      <c r="BA472" s="1305"/>
      <c r="BC472" s="169"/>
    </row>
    <row r="473" spans="19:55" ht="15.75" customHeight="1">
      <c r="S473" s="454"/>
      <c r="BA473" s="1305"/>
      <c r="BC473" s="169"/>
    </row>
    <row r="474" spans="19:55" ht="15.75" customHeight="1">
      <c r="S474" s="454"/>
      <c r="BA474" s="1305"/>
      <c r="BC474" s="169"/>
    </row>
    <row r="475" spans="19:55" ht="15.75" customHeight="1">
      <c r="S475" s="454"/>
      <c r="BA475" s="1305"/>
      <c r="BC475" s="169"/>
    </row>
    <row r="476" spans="19:55" ht="15.75" customHeight="1">
      <c r="S476" s="454"/>
      <c r="BA476" s="1305"/>
      <c r="BC476" s="169"/>
    </row>
    <row r="477" spans="19:55" ht="15.75" customHeight="1">
      <c r="S477" s="454"/>
      <c r="BA477" s="1305"/>
      <c r="BC477" s="169"/>
    </row>
    <row r="478" spans="19:55" ht="15.75" customHeight="1">
      <c r="S478" s="454"/>
      <c r="BA478" s="1305"/>
      <c r="BC478" s="169"/>
    </row>
    <row r="479" spans="19:55" ht="15.75" customHeight="1">
      <c r="S479" s="454"/>
      <c r="BA479" s="1305"/>
      <c r="BC479" s="169"/>
    </row>
    <row r="480" spans="19:55" ht="15.75" customHeight="1">
      <c r="S480" s="454"/>
      <c r="BA480" s="1305"/>
      <c r="BC480" s="169"/>
    </row>
    <row r="481" spans="19:55" ht="15.75" customHeight="1">
      <c r="S481" s="454"/>
      <c r="BA481" s="1305"/>
      <c r="BC481" s="169"/>
    </row>
    <row r="482" spans="19:55" ht="15.75" customHeight="1">
      <c r="S482" s="454"/>
      <c r="BA482" s="1305"/>
      <c r="BC482" s="169"/>
    </row>
    <row r="483" spans="19:55" ht="15.75" customHeight="1">
      <c r="S483" s="454"/>
      <c r="BA483" s="1305"/>
      <c r="BC483" s="169"/>
    </row>
    <row r="484" spans="19:55" ht="15.75" customHeight="1">
      <c r="S484" s="454"/>
      <c r="BA484" s="1305"/>
      <c r="BC484" s="169"/>
    </row>
    <row r="485" spans="19:55" ht="15.75" customHeight="1">
      <c r="S485" s="454"/>
      <c r="BA485" s="1305"/>
      <c r="BC485" s="169"/>
    </row>
    <row r="486" spans="19:55" ht="15.75" customHeight="1">
      <c r="S486" s="454"/>
      <c r="BA486" s="1305"/>
      <c r="BC486" s="169"/>
    </row>
    <row r="487" spans="19:55" ht="15.75" customHeight="1">
      <c r="S487" s="454"/>
      <c r="BA487" s="1305"/>
      <c r="BC487" s="169"/>
    </row>
    <row r="488" spans="19:55" ht="15.75" customHeight="1">
      <c r="S488" s="454"/>
      <c r="BA488" s="1305"/>
      <c r="BC488" s="169"/>
    </row>
    <row r="489" spans="19:55" ht="15.75" customHeight="1">
      <c r="S489" s="454"/>
      <c r="BA489" s="1305"/>
      <c r="BC489" s="169"/>
    </row>
    <row r="490" spans="19:55" ht="15.75" customHeight="1">
      <c r="S490" s="454"/>
      <c r="BA490" s="1305"/>
      <c r="BC490" s="169"/>
    </row>
    <row r="491" spans="19:55" ht="15.75" customHeight="1">
      <c r="S491" s="454"/>
      <c r="BA491" s="1305"/>
      <c r="BC491" s="169"/>
    </row>
    <row r="492" spans="19:55" ht="15.75" customHeight="1">
      <c r="S492" s="454"/>
      <c r="BA492" s="1305"/>
      <c r="BC492" s="169"/>
    </row>
    <row r="493" spans="19:55" ht="15.75" customHeight="1">
      <c r="S493" s="454"/>
      <c r="BA493" s="1305"/>
      <c r="BC493" s="169"/>
    </row>
    <row r="494" spans="19:55" ht="15.75" customHeight="1">
      <c r="S494" s="454"/>
      <c r="BA494" s="1305"/>
      <c r="BC494" s="169"/>
    </row>
    <row r="495" spans="19:55" ht="15.75" customHeight="1">
      <c r="S495" s="454"/>
      <c r="BA495" s="1305"/>
      <c r="BC495" s="169"/>
    </row>
    <row r="496" spans="19:55" ht="15.75" customHeight="1">
      <c r="S496" s="454"/>
      <c r="BA496" s="1305"/>
      <c r="BC496" s="169"/>
    </row>
    <row r="497" spans="19:55" ht="15.75" customHeight="1">
      <c r="S497" s="454"/>
      <c r="BA497" s="1305"/>
      <c r="BC497" s="169"/>
    </row>
    <row r="498" spans="19:55" ht="15.75" customHeight="1">
      <c r="S498" s="454"/>
      <c r="BA498" s="1305"/>
      <c r="BC498" s="169"/>
    </row>
    <row r="499" spans="19:55" ht="15.75" customHeight="1">
      <c r="S499" s="454"/>
      <c r="BA499" s="1305"/>
      <c r="BC499" s="169"/>
    </row>
    <row r="500" spans="19:55" ht="15.75" customHeight="1">
      <c r="S500" s="454"/>
      <c r="BA500" s="1305"/>
      <c r="BC500" s="169"/>
    </row>
    <row r="501" spans="19:55" ht="15.75" customHeight="1">
      <c r="S501" s="454"/>
      <c r="BA501" s="1305"/>
      <c r="BC501" s="169"/>
    </row>
    <row r="502" spans="19:55" ht="15.75" customHeight="1">
      <c r="S502" s="454"/>
      <c r="BA502" s="1305"/>
      <c r="BC502" s="169"/>
    </row>
    <row r="503" spans="19:55" ht="15.75" customHeight="1">
      <c r="S503" s="454"/>
      <c r="BA503" s="1305"/>
      <c r="BC503" s="169"/>
    </row>
    <row r="504" spans="19:55" ht="15.75" customHeight="1">
      <c r="S504" s="454"/>
      <c r="BA504" s="1305"/>
      <c r="BC504" s="169"/>
    </row>
    <row r="505" spans="19:55" ht="15.75" customHeight="1">
      <c r="S505" s="454"/>
      <c r="BA505" s="1305"/>
      <c r="BC505" s="169"/>
    </row>
    <row r="506" spans="19:55" ht="15.75" customHeight="1">
      <c r="S506" s="454"/>
      <c r="BA506" s="1305"/>
      <c r="BC506" s="169"/>
    </row>
    <row r="507" spans="19:55" ht="15.75" customHeight="1">
      <c r="S507" s="454"/>
      <c r="BA507" s="1305"/>
      <c r="BC507" s="169"/>
    </row>
    <row r="508" spans="19:55" ht="15.75" customHeight="1">
      <c r="S508" s="454"/>
      <c r="BA508" s="1305"/>
      <c r="BC508" s="169"/>
    </row>
    <row r="509" spans="19:55" ht="15.75" customHeight="1">
      <c r="S509" s="454"/>
      <c r="BA509" s="1305"/>
      <c r="BC509" s="169"/>
    </row>
    <row r="510" spans="19:55" ht="15.75" customHeight="1">
      <c r="S510" s="454"/>
      <c r="BA510" s="1305"/>
      <c r="BC510" s="169"/>
    </row>
    <row r="511" spans="19:55" ht="15.75" customHeight="1">
      <c r="S511" s="454"/>
      <c r="BA511" s="1305"/>
      <c r="BC511" s="169"/>
    </row>
    <row r="512" spans="19:55" ht="15.75" customHeight="1">
      <c r="S512" s="454"/>
      <c r="BA512" s="1305"/>
      <c r="BC512" s="169"/>
    </row>
    <row r="513" spans="19:55" ht="15.75" customHeight="1">
      <c r="S513" s="454"/>
      <c r="BA513" s="1305"/>
      <c r="BC513" s="169"/>
    </row>
    <row r="514" spans="19:55" ht="15.75" customHeight="1">
      <c r="S514" s="454"/>
      <c r="BA514" s="1305"/>
      <c r="BC514" s="169"/>
    </row>
    <row r="515" spans="19:55" ht="15.75" customHeight="1">
      <c r="S515" s="454"/>
      <c r="BA515" s="1305"/>
      <c r="BC515" s="169"/>
    </row>
    <row r="516" spans="19:55" ht="15.75" customHeight="1">
      <c r="S516" s="454"/>
      <c r="BA516" s="1305"/>
      <c r="BC516" s="169"/>
    </row>
    <row r="517" spans="19:55" ht="15.75" customHeight="1">
      <c r="S517" s="454"/>
      <c r="BA517" s="1305"/>
      <c r="BC517" s="169"/>
    </row>
    <row r="518" spans="19:55" ht="15.75" customHeight="1">
      <c r="S518" s="454"/>
      <c r="BA518" s="1305"/>
      <c r="BC518" s="169"/>
    </row>
    <row r="519" spans="19:55" ht="15.75" customHeight="1">
      <c r="S519" s="454"/>
      <c r="BA519" s="1305"/>
      <c r="BC519" s="169"/>
    </row>
    <row r="520" spans="19:55" ht="15.75" customHeight="1">
      <c r="S520" s="454"/>
      <c r="BA520" s="1305"/>
      <c r="BC520" s="169"/>
    </row>
    <row r="521" spans="19:55" ht="15.75" customHeight="1">
      <c r="S521" s="454"/>
      <c r="BA521" s="1305"/>
      <c r="BC521" s="169"/>
    </row>
    <row r="522" spans="19:55" ht="15.75" customHeight="1">
      <c r="S522" s="454"/>
      <c r="BA522" s="1305"/>
      <c r="BC522" s="169"/>
    </row>
    <row r="523" spans="19:55" ht="15.75" customHeight="1">
      <c r="S523" s="454"/>
      <c r="BA523" s="1305"/>
      <c r="BC523" s="169"/>
    </row>
    <row r="524" spans="19:55" ht="15.75" customHeight="1">
      <c r="S524" s="454"/>
      <c r="BA524" s="1305"/>
      <c r="BC524" s="169"/>
    </row>
    <row r="525" spans="19:55" ht="15.75" customHeight="1">
      <c r="S525" s="454"/>
      <c r="BA525" s="1305"/>
      <c r="BC525" s="169"/>
    </row>
    <row r="526" spans="19:55" ht="15.75" customHeight="1">
      <c r="S526" s="454"/>
      <c r="BA526" s="1305"/>
      <c r="BC526" s="169"/>
    </row>
    <row r="527" spans="19:55" ht="15.75" customHeight="1">
      <c r="S527" s="454"/>
      <c r="BA527" s="1305"/>
      <c r="BC527" s="169"/>
    </row>
    <row r="528" spans="19:55" ht="15.75" customHeight="1">
      <c r="S528" s="454"/>
      <c r="BA528" s="1305"/>
      <c r="BC528" s="169"/>
    </row>
    <row r="529" spans="19:55" ht="15.75" customHeight="1">
      <c r="S529" s="454"/>
      <c r="BA529" s="1305"/>
      <c r="BC529" s="169"/>
    </row>
    <row r="530" spans="19:55" ht="15.75" customHeight="1">
      <c r="S530" s="454"/>
      <c r="BA530" s="1305"/>
      <c r="BC530" s="169"/>
    </row>
    <row r="531" spans="19:55" ht="15.75" customHeight="1">
      <c r="S531" s="454"/>
      <c r="BA531" s="1305"/>
      <c r="BC531" s="169"/>
    </row>
    <row r="532" spans="19:55" ht="15.75" customHeight="1">
      <c r="S532" s="454"/>
      <c r="BA532" s="1305"/>
      <c r="BC532" s="169"/>
    </row>
    <row r="533" spans="19:55" ht="15.75" customHeight="1">
      <c r="S533" s="454"/>
      <c r="BA533" s="1305"/>
      <c r="BC533" s="169"/>
    </row>
    <row r="534" spans="19:55" ht="15.75" customHeight="1">
      <c r="S534" s="454"/>
      <c r="BA534" s="1305"/>
      <c r="BC534" s="169"/>
    </row>
    <row r="535" spans="19:55" ht="15.75" customHeight="1">
      <c r="S535" s="454"/>
      <c r="BA535" s="1305"/>
      <c r="BC535" s="169"/>
    </row>
    <row r="536" spans="19:55" ht="15.75" customHeight="1">
      <c r="S536" s="454"/>
      <c r="BA536" s="1305"/>
      <c r="BC536" s="169"/>
    </row>
    <row r="537" spans="19:55" ht="15.75" customHeight="1">
      <c r="S537" s="454"/>
      <c r="BA537" s="1305"/>
      <c r="BC537" s="169"/>
    </row>
    <row r="538" spans="19:55" ht="15.75" customHeight="1">
      <c r="S538" s="454"/>
      <c r="BA538" s="1305"/>
      <c r="BC538" s="169"/>
    </row>
    <row r="539" spans="19:55" ht="15.75" customHeight="1">
      <c r="S539" s="454"/>
      <c r="BA539" s="1305"/>
      <c r="BC539" s="169"/>
    </row>
    <row r="540" spans="19:55" ht="15.75" customHeight="1">
      <c r="S540" s="454"/>
      <c r="BA540" s="1305"/>
      <c r="BC540" s="169"/>
    </row>
    <row r="541" spans="19:55" ht="15.75" customHeight="1">
      <c r="S541" s="454"/>
      <c r="BA541" s="1305"/>
      <c r="BC541" s="169"/>
    </row>
    <row r="542" spans="19:55" ht="15.75" customHeight="1">
      <c r="S542" s="454"/>
      <c r="BA542" s="1305"/>
      <c r="BC542" s="169"/>
    </row>
    <row r="543" spans="19:55" ht="15.75" customHeight="1">
      <c r="S543" s="454"/>
      <c r="BA543" s="1305"/>
      <c r="BC543" s="169"/>
    </row>
    <row r="544" spans="19:55" ht="15.75" customHeight="1">
      <c r="S544" s="454"/>
      <c r="BA544" s="1305"/>
      <c r="BC544" s="169"/>
    </row>
    <row r="545" spans="19:55" ht="15.75" customHeight="1">
      <c r="S545" s="454"/>
      <c r="BA545" s="1305"/>
      <c r="BC545" s="169"/>
    </row>
    <row r="546" spans="19:55" ht="15.75" customHeight="1">
      <c r="S546" s="454"/>
      <c r="BA546" s="1305"/>
      <c r="BC546" s="169"/>
    </row>
    <row r="547" spans="19:55" ht="15.75" customHeight="1">
      <c r="S547" s="454"/>
      <c r="BA547" s="1305"/>
      <c r="BC547" s="169"/>
    </row>
    <row r="548" spans="19:55" ht="15.75" customHeight="1">
      <c r="S548" s="454"/>
      <c r="BA548" s="1305"/>
      <c r="BC548" s="169"/>
    </row>
    <row r="549" spans="19:55" ht="15.75" customHeight="1">
      <c r="S549" s="454"/>
      <c r="BA549" s="1305"/>
      <c r="BC549" s="169"/>
    </row>
    <row r="550" spans="19:55" ht="15.75" customHeight="1">
      <c r="S550" s="454"/>
      <c r="BA550" s="1305"/>
      <c r="BC550" s="169"/>
    </row>
    <row r="551" spans="19:55" ht="15.75" customHeight="1">
      <c r="S551" s="454"/>
      <c r="BA551" s="1305"/>
      <c r="BC551" s="169"/>
    </row>
    <row r="552" spans="19:55" ht="15.75" customHeight="1">
      <c r="S552" s="454"/>
      <c r="BA552" s="1305"/>
      <c r="BC552" s="169"/>
    </row>
    <row r="553" spans="19:55" ht="15.75" customHeight="1">
      <c r="S553" s="454"/>
      <c r="BA553" s="1305"/>
      <c r="BC553" s="169"/>
    </row>
    <row r="554" spans="19:55" ht="15.75" customHeight="1">
      <c r="S554" s="454"/>
      <c r="BA554" s="1305"/>
      <c r="BC554" s="169"/>
    </row>
    <row r="555" spans="19:55" ht="15.75" customHeight="1">
      <c r="S555" s="454"/>
      <c r="BA555" s="1305"/>
      <c r="BC555" s="169"/>
    </row>
    <row r="556" spans="19:55" ht="15.75" customHeight="1">
      <c r="S556" s="454"/>
      <c r="BA556" s="1305"/>
      <c r="BC556" s="169"/>
    </row>
    <row r="557" spans="19:55" ht="15.75" customHeight="1">
      <c r="S557" s="454"/>
      <c r="BA557" s="1305"/>
      <c r="BC557" s="169"/>
    </row>
    <row r="558" spans="19:55" ht="15.75" customHeight="1">
      <c r="S558" s="454"/>
      <c r="BA558" s="1305"/>
      <c r="BC558" s="169"/>
    </row>
    <row r="559" spans="19:55" ht="15.75" customHeight="1">
      <c r="S559" s="454"/>
      <c r="BA559" s="1305"/>
      <c r="BC559" s="169"/>
    </row>
    <row r="560" spans="19:55" ht="15.75" customHeight="1">
      <c r="S560" s="454"/>
      <c r="BA560" s="1305"/>
      <c r="BC560" s="169"/>
    </row>
    <row r="561" spans="19:55" ht="15.75" customHeight="1">
      <c r="S561" s="454"/>
      <c r="BA561" s="1305"/>
      <c r="BC561" s="169"/>
    </row>
    <row r="562" spans="19:55" ht="15.75" customHeight="1">
      <c r="S562" s="454"/>
      <c r="BA562" s="1305"/>
      <c r="BC562" s="169"/>
    </row>
    <row r="563" spans="19:55" ht="15.75" customHeight="1">
      <c r="S563" s="454"/>
      <c r="BA563" s="1305"/>
      <c r="BC563" s="169"/>
    </row>
    <row r="564" spans="19:55" ht="15.75" customHeight="1">
      <c r="S564" s="454"/>
      <c r="BA564" s="1305"/>
      <c r="BC564" s="169"/>
    </row>
    <row r="565" spans="19:55" ht="15.75" customHeight="1">
      <c r="S565" s="454"/>
      <c r="BA565" s="1305"/>
      <c r="BC565" s="169"/>
    </row>
    <row r="566" spans="19:55" ht="15.75" customHeight="1">
      <c r="S566" s="454"/>
      <c r="BA566" s="1305"/>
      <c r="BC566" s="169"/>
    </row>
    <row r="567" spans="19:55" ht="15.75" customHeight="1">
      <c r="S567" s="454"/>
      <c r="BA567" s="1305"/>
      <c r="BC567" s="169"/>
    </row>
    <row r="568" spans="19:55" ht="15.75" customHeight="1">
      <c r="S568" s="454"/>
      <c r="BA568" s="1305"/>
      <c r="BC568" s="169"/>
    </row>
    <row r="569" spans="19:55" ht="15.75" customHeight="1">
      <c r="S569" s="454"/>
      <c r="BA569" s="1305"/>
      <c r="BC569" s="169"/>
    </row>
    <row r="570" spans="19:55" ht="15.75" customHeight="1">
      <c r="S570" s="454"/>
      <c r="BA570" s="1305"/>
      <c r="BC570" s="169"/>
    </row>
    <row r="571" spans="19:55" ht="15.75" customHeight="1">
      <c r="S571" s="454"/>
      <c r="BA571" s="1305"/>
      <c r="BC571" s="169"/>
    </row>
    <row r="572" spans="19:55" ht="15.75" customHeight="1">
      <c r="S572" s="454"/>
      <c r="BA572" s="1305"/>
      <c r="BC572" s="169"/>
    </row>
    <row r="573" spans="19:55" ht="15.75" customHeight="1">
      <c r="S573" s="454"/>
      <c r="BA573" s="1305"/>
      <c r="BC573" s="169"/>
    </row>
    <row r="574" spans="19:55" ht="15.75" customHeight="1">
      <c r="S574" s="454"/>
      <c r="BA574" s="1305"/>
      <c r="BC574" s="169"/>
    </row>
    <row r="575" spans="19:55" ht="15.75" customHeight="1">
      <c r="S575" s="454"/>
      <c r="BA575" s="1305"/>
      <c r="BC575" s="169"/>
    </row>
    <row r="576" spans="19:55" ht="15.75" customHeight="1">
      <c r="S576" s="454"/>
      <c r="BA576" s="1305"/>
      <c r="BC576" s="169"/>
    </row>
    <row r="577" spans="19:55" ht="15.75" customHeight="1">
      <c r="S577" s="454"/>
      <c r="BA577" s="1305"/>
      <c r="BC577" s="169"/>
    </row>
    <row r="578" spans="19:55" ht="15.75" customHeight="1">
      <c r="S578" s="454"/>
      <c r="BA578" s="1305"/>
      <c r="BC578" s="169"/>
    </row>
    <row r="579" spans="19:55" ht="15.75" customHeight="1">
      <c r="S579" s="454"/>
      <c r="BA579" s="1305"/>
      <c r="BC579" s="169"/>
    </row>
    <row r="580" spans="19:55" ht="15.75" customHeight="1">
      <c r="S580" s="454"/>
      <c r="BA580" s="1305"/>
      <c r="BC580" s="169"/>
    </row>
    <row r="581" spans="19:55" ht="15.75" customHeight="1">
      <c r="S581" s="454"/>
      <c r="BA581" s="1305"/>
      <c r="BC581" s="169"/>
    </row>
    <row r="582" spans="19:55" ht="15.75" customHeight="1">
      <c r="S582" s="454"/>
      <c r="BA582" s="1305"/>
      <c r="BC582" s="169"/>
    </row>
    <row r="583" spans="19:55" ht="15.75" customHeight="1">
      <c r="S583" s="454"/>
      <c r="BA583" s="1305"/>
      <c r="BC583" s="169"/>
    </row>
    <row r="584" spans="19:55" ht="15.75" customHeight="1">
      <c r="S584" s="454"/>
      <c r="BA584" s="1305"/>
      <c r="BC584" s="169"/>
    </row>
    <row r="585" spans="19:55" ht="15.75" customHeight="1">
      <c r="S585" s="454"/>
      <c r="BA585" s="1305"/>
      <c r="BC585" s="169"/>
    </row>
    <row r="586" spans="19:55" ht="15.75" customHeight="1">
      <c r="S586" s="454"/>
      <c r="BA586" s="1305"/>
      <c r="BC586" s="169"/>
    </row>
    <row r="587" spans="19:55" ht="15.75" customHeight="1">
      <c r="S587" s="454"/>
      <c r="BA587" s="1305"/>
      <c r="BC587" s="169"/>
    </row>
    <row r="588" spans="19:55" ht="15.75" customHeight="1">
      <c r="S588" s="454"/>
      <c r="BA588" s="1305"/>
      <c r="BC588" s="169"/>
    </row>
    <row r="589" spans="19:55" ht="15.75" customHeight="1">
      <c r="S589" s="454"/>
      <c r="BA589" s="1305"/>
      <c r="BC589" s="169"/>
    </row>
    <row r="590" spans="19:55" ht="15.75" customHeight="1">
      <c r="S590" s="454"/>
      <c r="BA590" s="1305"/>
      <c r="BC590" s="169"/>
    </row>
    <row r="591" spans="19:55" ht="15.75" customHeight="1">
      <c r="S591" s="454"/>
      <c r="BA591" s="1305"/>
      <c r="BC591" s="169"/>
    </row>
    <row r="592" spans="19:55" ht="15.75" customHeight="1">
      <c r="S592" s="454"/>
      <c r="BA592" s="1305"/>
      <c r="BC592" s="169"/>
    </row>
    <row r="593" spans="19:55" ht="15.75" customHeight="1">
      <c r="S593" s="454"/>
      <c r="BA593" s="1305"/>
      <c r="BC593" s="169"/>
    </row>
    <row r="594" spans="19:55" ht="15.75" customHeight="1">
      <c r="S594" s="454"/>
      <c r="BA594" s="1305"/>
      <c r="BC594" s="169"/>
    </row>
    <row r="595" spans="19:55" ht="15.75" customHeight="1">
      <c r="S595" s="454"/>
      <c r="BA595" s="1305"/>
      <c r="BC595" s="169"/>
    </row>
    <row r="596" spans="19:55" ht="15.75" customHeight="1">
      <c r="S596" s="454"/>
      <c r="BA596" s="1305"/>
      <c r="BC596" s="169"/>
    </row>
    <row r="597" spans="19:55" ht="15.75" customHeight="1">
      <c r="S597" s="454"/>
      <c r="BA597" s="1305"/>
      <c r="BC597" s="169"/>
    </row>
    <row r="598" spans="19:55" ht="15.75" customHeight="1">
      <c r="S598" s="454"/>
      <c r="BA598" s="1305"/>
      <c r="BC598" s="169"/>
    </row>
    <row r="599" spans="19:55" ht="15.75" customHeight="1">
      <c r="S599" s="454"/>
      <c r="BA599" s="1305"/>
      <c r="BC599" s="169"/>
    </row>
    <row r="600" spans="19:55" ht="15.75" customHeight="1">
      <c r="S600" s="454"/>
      <c r="BA600" s="1305"/>
      <c r="BC600" s="169"/>
    </row>
    <row r="601" spans="19:55" ht="15.75" customHeight="1">
      <c r="S601" s="454"/>
      <c r="BA601" s="1305"/>
      <c r="BC601" s="169"/>
    </row>
    <row r="602" spans="19:55" ht="15.75" customHeight="1">
      <c r="S602" s="454"/>
      <c r="BA602" s="1305"/>
      <c r="BC602" s="169"/>
    </row>
    <row r="603" spans="19:55" ht="15.75" customHeight="1">
      <c r="S603" s="454"/>
      <c r="BA603" s="1305"/>
      <c r="BC603" s="169"/>
    </row>
    <row r="604" spans="19:55" ht="15.75" customHeight="1">
      <c r="S604" s="454"/>
      <c r="BA604" s="1305"/>
      <c r="BC604" s="169"/>
    </row>
    <row r="605" spans="19:55" ht="15.75" customHeight="1">
      <c r="S605" s="454"/>
      <c r="BA605" s="1305"/>
      <c r="BC605" s="169"/>
    </row>
    <row r="606" spans="19:55" ht="15.75" customHeight="1">
      <c r="S606" s="454"/>
      <c r="BA606" s="1305"/>
      <c r="BC606" s="169"/>
    </row>
    <row r="607" spans="19:55" ht="15.75" customHeight="1">
      <c r="S607" s="454"/>
      <c r="BA607" s="1305"/>
      <c r="BC607" s="169"/>
    </row>
    <row r="608" spans="19:55" ht="15.75" customHeight="1">
      <c r="S608" s="454"/>
      <c r="BA608" s="1305"/>
      <c r="BC608" s="169"/>
    </row>
    <row r="609" spans="19:55" ht="15.75" customHeight="1">
      <c r="S609" s="454"/>
      <c r="BA609" s="1305"/>
      <c r="BC609" s="169"/>
    </row>
    <row r="610" spans="19:55" ht="15.75" customHeight="1">
      <c r="S610" s="454"/>
      <c r="BA610" s="1305"/>
      <c r="BC610" s="169"/>
    </row>
    <row r="611" spans="19:55" ht="15.75" customHeight="1">
      <c r="S611" s="454"/>
      <c r="BA611" s="1305"/>
      <c r="BC611" s="169"/>
    </row>
    <row r="612" spans="19:55" ht="15.75" customHeight="1">
      <c r="S612" s="454"/>
      <c r="BA612" s="1305"/>
      <c r="BC612" s="169"/>
    </row>
    <row r="613" spans="19:55" ht="15.75" customHeight="1">
      <c r="S613" s="454"/>
      <c r="BA613" s="1305"/>
      <c r="BC613" s="169"/>
    </row>
    <row r="614" spans="19:55" ht="15.75" customHeight="1">
      <c r="S614" s="454"/>
      <c r="BA614" s="1305"/>
      <c r="BC614" s="169"/>
    </row>
    <row r="615" spans="19:55" ht="15.75" customHeight="1">
      <c r="S615" s="454"/>
      <c r="BA615" s="1305"/>
      <c r="BC615" s="169"/>
    </row>
    <row r="616" spans="19:55" ht="15.75" customHeight="1">
      <c r="S616" s="454"/>
      <c r="BA616" s="1305"/>
      <c r="BC616" s="169"/>
    </row>
    <row r="617" spans="19:55" ht="15.75" customHeight="1">
      <c r="S617" s="454"/>
      <c r="BA617" s="1305"/>
      <c r="BC617" s="169"/>
    </row>
    <row r="618" spans="19:55" ht="15.75" customHeight="1">
      <c r="S618" s="454"/>
      <c r="BA618" s="1305"/>
      <c r="BC618" s="169"/>
    </row>
    <row r="619" spans="19:55" ht="15.75" customHeight="1">
      <c r="S619" s="454"/>
      <c r="BA619" s="1305"/>
      <c r="BC619" s="169"/>
    </row>
    <row r="620" spans="19:55" ht="15.75" customHeight="1">
      <c r="S620" s="454"/>
      <c r="BA620" s="1305"/>
      <c r="BC620" s="169"/>
    </row>
    <row r="621" spans="19:55" ht="15.75" customHeight="1">
      <c r="S621" s="454"/>
      <c r="BA621" s="1305"/>
      <c r="BC621" s="169"/>
    </row>
    <row r="622" spans="19:55" ht="15.75" customHeight="1">
      <c r="S622" s="454"/>
      <c r="BA622" s="1305"/>
      <c r="BC622" s="169"/>
    </row>
    <row r="623" spans="19:55" ht="15.75" customHeight="1">
      <c r="S623" s="454"/>
      <c r="BA623" s="1305"/>
      <c r="BC623" s="169"/>
    </row>
    <row r="624" spans="19:55" ht="15.75" customHeight="1">
      <c r="S624" s="454"/>
      <c r="BA624" s="1305"/>
      <c r="BC624" s="169"/>
    </row>
    <row r="625" spans="19:55" ht="15.75" customHeight="1">
      <c r="S625" s="454"/>
      <c r="BA625" s="1305"/>
      <c r="BC625" s="169"/>
    </row>
    <row r="626" spans="19:55" ht="15.75" customHeight="1">
      <c r="S626" s="454"/>
      <c r="BA626" s="1305"/>
      <c r="BC626" s="169"/>
    </row>
    <row r="627" spans="19:55" ht="15.75" customHeight="1">
      <c r="S627" s="454"/>
      <c r="BA627" s="1305"/>
      <c r="BC627" s="169"/>
    </row>
    <row r="628" spans="19:55" ht="15.75" customHeight="1">
      <c r="S628" s="454"/>
      <c r="BA628" s="1305"/>
      <c r="BC628" s="169"/>
    </row>
    <row r="629" spans="19:55" ht="15.75" customHeight="1">
      <c r="S629" s="454"/>
      <c r="BA629" s="1305"/>
      <c r="BC629" s="169"/>
    </row>
    <row r="630" spans="19:55" ht="15.75" customHeight="1">
      <c r="S630" s="454"/>
      <c r="BA630" s="1305"/>
      <c r="BC630" s="169"/>
    </row>
    <row r="631" spans="19:55" ht="15.75" customHeight="1">
      <c r="S631" s="454"/>
      <c r="BA631" s="1305"/>
      <c r="BC631" s="169"/>
    </row>
    <row r="632" spans="19:55" ht="15.75" customHeight="1">
      <c r="S632" s="454"/>
      <c r="BA632" s="1305"/>
      <c r="BC632" s="169"/>
    </row>
    <row r="633" spans="19:55" ht="15.75" customHeight="1">
      <c r="S633" s="454"/>
      <c r="BA633" s="1305"/>
      <c r="BC633" s="169"/>
    </row>
    <row r="634" spans="19:55" ht="15.75" customHeight="1">
      <c r="S634" s="454"/>
      <c r="BA634" s="1305"/>
      <c r="BC634" s="169"/>
    </row>
    <row r="635" spans="19:55" ht="15.75" customHeight="1">
      <c r="S635" s="454"/>
      <c r="BA635" s="1305"/>
      <c r="BC635" s="169"/>
    </row>
    <row r="636" spans="19:55" ht="15.75" customHeight="1">
      <c r="S636" s="454"/>
      <c r="BA636" s="1305"/>
      <c r="BC636" s="169"/>
    </row>
    <row r="637" spans="19:55" ht="15.75" customHeight="1">
      <c r="S637" s="454"/>
      <c r="BA637" s="1305"/>
      <c r="BC637" s="169"/>
    </row>
    <row r="638" spans="19:55" ht="15.75" customHeight="1">
      <c r="S638" s="454"/>
      <c r="BA638" s="1305"/>
      <c r="BC638" s="169"/>
    </row>
    <row r="639" spans="19:55" ht="15.75" customHeight="1">
      <c r="S639" s="454"/>
      <c r="BA639" s="1305"/>
      <c r="BC639" s="169"/>
    </row>
    <row r="640" spans="19:55" ht="15.75" customHeight="1">
      <c r="S640" s="454"/>
      <c r="BA640" s="1305"/>
      <c r="BC640" s="169"/>
    </row>
    <row r="641" spans="19:55" ht="15.75" customHeight="1">
      <c r="S641" s="454"/>
      <c r="BA641" s="1305"/>
      <c r="BC641" s="169"/>
    </row>
    <row r="642" spans="19:55" ht="15.75" customHeight="1">
      <c r="S642" s="454"/>
      <c r="BA642" s="1305"/>
      <c r="BC642" s="169"/>
    </row>
    <row r="643" spans="19:55" ht="15.75" customHeight="1">
      <c r="S643" s="454"/>
      <c r="BA643" s="1305"/>
      <c r="BC643" s="169"/>
    </row>
    <row r="644" spans="19:55" ht="15.75" customHeight="1">
      <c r="S644" s="454"/>
      <c r="BA644" s="1305"/>
      <c r="BC644" s="169"/>
    </row>
    <row r="645" spans="19:55" ht="15.75" customHeight="1">
      <c r="S645" s="454"/>
      <c r="BA645" s="1305"/>
      <c r="BC645" s="169"/>
    </row>
    <row r="646" spans="19:55" ht="15.75" customHeight="1">
      <c r="S646" s="454"/>
      <c r="BA646" s="1305"/>
      <c r="BC646" s="169"/>
    </row>
    <row r="647" spans="19:55" ht="15.75" customHeight="1">
      <c r="S647" s="454"/>
      <c r="BA647" s="1305"/>
      <c r="BC647" s="169"/>
    </row>
    <row r="648" spans="19:55" ht="15.75" customHeight="1">
      <c r="S648" s="454"/>
      <c r="BA648" s="1305"/>
      <c r="BC648" s="169"/>
    </row>
    <row r="649" spans="19:55" ht="15.75" customHeight="1">
      <c r="S649" s="454"/>
      <c r="BA649" s="1305"/>
      <c r="BC649" s="169"/>
    </row>
    <row r="650" spans="19:55" ht="15.75" customHeight="1">
      <c r="S650" s="454"/>
      <c r="BA650" s="1305"/>
      <c r="BC650" s="169"/>
    </row>
    <row r="651" spans="19:55" ht="15.75" customHeight="1">
      <c r="S651" s="454"/>
      <c r="BA651" s="1305"/>
      <c r="BC651" s="169"/>
    </row>
    <row r="652" spans="19:55" ht="15.75" customHeight="1">
      <c r="S652" s="454"/>
      <c r="BA652" s="1305"/>
      <c r="BC652" s="169"/>
    </row>
    <row r="653" spans="19:55" ht="15.75" customHeight="1">
      <c r="S653" s="454"/>
      <c r="BA653" s="1305"/>
      <c r="BC653" s="169"/>
    </row>
    <row r="654" spans="19:55" ht="15.75" customHeight="1">
      <c r="S654" s="454"/>
      <c r="BA654" s="1305"/>
      <c r="BC654" s="169"/>
    </row>
    <row r="655" spans="19:55" ht="15.75" customHeight="1">
      <c r="S655" s="454"/>
      <c r="BA655" s="1305"/>
      <c r="BC655" s="169"/>
    </row>
    <row r="656" spans="19:55" ht="15.75" customHeight="1">
      <c r="S656" s="454"/>
      <c r="BA656" s="1305"/>
      <c r="BC656" s="169"/>
    </row>
    <row r="657" spans="19:55" ht="15.75" customHeight="1">
      <c r="S657" s="454"/>
      <c r="BA657" s="1305"/>
      <c r="BC657" s="169"/>
    </row>
    <row r="658" spans="19:55" ht="15.75" customHeight="1">
      <c r="S658" s="454"/>
      <c r="BA658" s="1305"/>
      <c r="BC658" s="169"/>
    </row>
    <row r="659" spans="19:55" ht="15.75" customHeight="1">
      <c r="S659" s="454"/>
      <c r="BA659" s="1305"/>
      <c r="BC659" s="169"/>
    </row>
    <row r="660" spans="19:55" ht="15.75" customHeight="1">
      <c r="S660" s="454"/>
      <c r="BA660" s="1305"/>
      <c r="BC660" s="169"/>
    </row>
    <row r="661" spans="19:55" ht="15.75" customHeight="1">
      <c r="S661" s="454"/>
      <c r="BA661" s="1305"/>
      <c r="BC661" s="169"/>
    </row>
    <row r="662" spans="19:55" ht="15.75" customHeight="1">
      <c r="S662" s="454"/>
      <c r="BA662" s="1305"/>
      <c r="BC662" s="169"/>
    </row>
    <row r="663" spans="19:55" ht="15.75" customHeight="1">
      <c r="S663" s="454"/>
      <c r="BA663" s="1305"/>
      <c r="BC663" s="169"/>
    </row>
    <row r="664" spans="19:55" ht="15.75" customHeight="1">
      <c r="S664" s="454"/>
      <c r="BA664" s="1305"/>
      <c r="BC664" s="169"/>
    </row>
    <row r="665" spans="19:55" ht="15.75" customHeight="1">
      <c r="S665" s="454"/>
      <c r="BA665" s="1305"/>
      <c r="BC665" s="169"/>
    </row>
    <row r="666" spans="19:55" ht="15.75" customHeight="1">
      <c r="S666" s="454"/>
      <c r="BA666" s="1305"/>
      <c r="BC666" s="169"/>
    </row>
    <row r="667" spans="19:55" ht="15.75" customHeight="1">
      <c r="S667" s="454"/>
      <c r="BA667" s="1305"/>
      <c r="BC667" s="169"/>
    </row>
    <row r="668" spans="19:55" ht="15.75" customHeight="1">
      <c r="S668" s="454"/>
      <c r="BA668" s="1305"/>
      <c r="BC668" s="169"/>
    </row>
    <row r="669" spans="19:55" ht="15.75" customHeight="1">
      <c r="S669" s="454"/>
      <c r="BA669" s="1305"/>
      <c r="BC669" s="169"/>
    </row>
    <row r="670" spans="19:55" ht="15.75" customHeight="1">
      <c r="S670" s="454"/>
      <c r="BA670" s="1305"/>
      <c r="BC670" s="169"/>
    </row>
    <row r="671" spans="19:55" ht="15.75" customHeight="1">
      <c r="S671" s="454"/>
      <c r="BA671" s="1305"/>
      <c r="BC671" s="169"/>
    </row>
    <row r="672" spans="19:55" ht="15.75" customHeight="1">
      <c r="S672" s="454"/>
      <c r="BA672" s="1305"/>
      <c r="BC672" s="169"/>
    </row>
    <row r="673" spans="19:55" ht="15.75" customHeight="1">
      <c r="S673" s="454"/>
      <c r="BA673" s="1305"/>
      <c r="BC673" s="169"/>
    </row>
    <row r="674" spans="19:55" ht="15.75" customHeight="1">
      <c r="S674" s="454"/>
      <c r="BA674" s="1305"/>
      <c r="BC674" s="169"/>
    </row>
    <row r="675" spans="19:55" ht="15.75" customHeight="1">
      <c r="S675" s="454"/>
      <c r="BA675" s="1305"/>
      <c r="BC675" s="169"/>
    </row>
    <row r="676" spans="19:55" ht="15.75" customHeight="1">
      <c r="S676" s="454"/>
      <c r="BA676" s="1305"/>
      <c r="BC676" s="169"/>
    </row>
    <row r="677" spans="19:55" ht="15.75" customHeight="1">
      <c r="S677" s="454"/>
      <c r="BA677" s="1305"/>
      <c r="BC677" s="169"/>
    </row>
    <row r="678" spans="19:55" ht="15.75" customHeight="1">
      <c r="S678" s="454"/>
      <c r="BA678" s="1305"/>
      <c r="BC678" s="169"/>
    </row>
    <row r="679" spans="19:55" ht="15.75" customHeight="1">
      <c r="S679" s="454"/>
      <c r="BA679" s="1305"/>
      <c r="BC679" s="169"/>
    </row>
    <row r="680" spans="19:55" ht="15.75" customHeight="1">
      <c r="S680" s="454"/>
      <c r="BA680" s="1305"/>
      <c r="BC680" s="169"/>
    </row>
    <row r="681" spans="19:55" ht="15.75" customHeight="1">
      <c r="S681" s="454"/>
      <c r="BA681" s="1305"/>
      <c r="BC681" s="169"/>
    </row>
    <row r="682" spans="19:55" ht="15.75" customHeight="1">
      <c r="S682" s="454"/>
      <c r="BA682" s="1305"/>
      <c r="BC682" s="169"/>
    </row>
    <row r="683" spans="19:55" ht="15.75" customHeight="1">
      <c r="S683" s="454"/>
      <c r="BA683" s="1305"/>
      <c r="BC683" s="169"/>
    </row>
    <row r="684" spans="19:55" ht="15.75" customHeight="1">
      <c r="S684" s="454"/>
      <c r="BA684" s="1305"/>
      <c r="BC684" s="169"/>
    </row>
    <row r="685" spans="19:55" ht="15.75" customHeight="1">
      <c r="S685" s="454"/>
      <c r="BA685" s="1305"/>
      <c r="BC685" s="169"/>
    </row>
    <row r="686" spans="19:55" ht="15.75" customHeight="1">
      <c r="S686" s="454"/>
      <c r="BA686" s="1305"/>
      <c r="BC686" s="169"/>
    </row>
    <row r="687" spans="19:55" ht="15.75" customHeight="1">
      <c r="S687" s="454"/>
      <c r="BA687" s="1305"/>
      <c r="BC687" s="169"/>
    </row>
    <row r="688" spans="19:55" ht="15.75" customHeight="1">
      <c r="S688" s="454"/>
      <c r="BA688" s="1305"/>
      <c r="BC688" s="169"/>
    </row>
    <row r="689" spans="19:55" ht="15.75" customHeight="1">
      <c r="S689" s="454"/>
      <c r="BA689" s="1305"/>
      <c r="BC689" s="169"/>
    </row>
    <row r="690" spans="19:55" ht="15.75" customHeight="1">
      <c r="S690" s="454"/>
      <c r="BA690" s="1305"/>
      <c r="BC690" s="169"/>
    </row>
    <row r="691" spans="19:55" ht="15.75" customHeight="1">
      <c r="S691" s="454"/>
      <c r="BA691" s="1305"/>
      <c r="BC691" s="169"/>
    </row>
    <row r="692" spans="19:55" ht="15.75" customHeight="1">
      <c r="S692" s="454"/>
      <c r="BA692" s="1305"/>
      <c r="BC692" s="169"/>
    </row>
    <row r="693" spans="19:55" ht="15.75" customHeight="1">
      <c r="S693" s="454"/>
      <c r="BA693" s="1305"/>
      <c r="BC693" s="169"/>
    </row>
    <row r="694" spans="19:55" ht="15.75" customHeight="1">
      <c r="S694" s="454"/>
      <c r="BA694" s="1305"/>
      <c r="BC694" s="169"/>
    </row>
    <row r="695" spans="19:55" ht="15.75" customHeight="1">
      <c r="S695" s="454"/>
      <c r="BA695" s="1305"/>
      <c r="BC695" s="169"/>
    </row>
    <row r="696" spans="19:55" ht="15.75" customHeight="1">
      <c r="S696" s="454"/>
      <c r="BA696" s="1305"/>
      <c r="BC696" s="169"/>
    </row>
    <row r="697" spans="19:55" ht="15.75" customHeight="1">
      <c r="S697" s="454"/>
      <c r="BA697" s="1305"/>
      <c r="BC697" s="169"/>
    </row>
    <row r="698" spans="19:55" ht="15.75" customHeight="1">
      <c r="S698" s="454"/>
      <c r="BA698" s="1305"/>
      <c r="BC698" s="169"/>
    </row>
    <row r="699" spans="19:55" ht="15.75" customHeight="1">
      <c r="S699" s="454"/>
      <c r="BA699" s="1305"/>
      <c r="BC699" s="169"/>
    </row>
    <row r="700" spans="19:55" ht="15.75" customHeight="1">
      <c r="S700" s="454"/>
      <c r="BA700" s="1305"/>
      <c r="BC700" s="169"/>
    </row>
    <row r="701" spans="19:55" ht="15.75" customHeight="1">
      <c r="S701" s="454"/>
      <c r="BA701" s="1305"/>
      <c r="BC701" s="169"/>
    </row>
    <row r="702" spans="19:55" ht="15.75" customHeight="1">
      <c r="S702" s="454"/>
      <c r="BA702" s="1305"/>
      <c r="BC702" s="169"/>
    </row>
    <row r="703" spans="19:55" ht="15.75" customHeight="1">
      <c r="S703" s="454"/>
      <c r="BA703" s="1305"/>
      <c r="BC703" s="169"/>
    </row>
    <row r="704" spans="19:55" ht="15.75" customHeight="1">
      <c r="S704" s="454"/>
      <c r="BA704" s="1305"/>
      <c r="BC704" s="169"/>
    </row>
    <row r="705" spans="19:55" ht="15.75" customHeight="1">
      <c r="S705" s="454"/>
      <c r="BA705" s="1305"/>
      <c r="BC705" s="169"/>
    </row>
    <row r="706" spans="19:55" ht="15.75" customHeight="1">
      <c r="S706" s="454"/>
      <c r="BA706" s="1305"/>
      <c r="BC706" s="169"/>
    </row>
    <row r="707" spans="19:55" ht="15.75" customHeight="1">
      <c r="S707" s="454"/>
      <c r="BA707" s="1305"/>
      <c r="BC707" s="169"/>
    </row>
    <row r="708" spans="19:55" ht="15.75" customHeight="1">
      <c r="S708" s="454"/>
      <c r="BA708" s="1305"/>
      <c r="BC708" s="169"/>
    </row>
    <row r="709" spans="19:55" ht="15.75" customHeight="1">
      <c r="S709" s="454"/>
      <c r="BA709" s="1305"/>
      <c r="BC709" s="169"/>
    </row>
    <row r="710" spans="19:55" ht="15.75" customHeight="1">
      <c r="S710" s="454"/>
      <c r="BA710" s="1305"/>
      <c r="BC710" s="169"/>
    </row>
    <row r="711" spans="19:55" ht="15.75" customHeight="1">
      <c r="S711" s="454"/>
      <c r="BA711" s="1305"/>
      <c r="BC711" s="169"/>
    </row>
    <row r="712" spans="19:55" ht="15.75" customHeight="1">
      <c r="S712" s="454"/>
      <c r="BA712" s="1305"/>
      <c r="BC712" s="169"/>
    </row>
    <row r="713" spans="19:55" ht="15.75" customHeight="1">
      <c r="S713" s="454"/>
      <c r="BA713" s="1305"/>
      <c r="BC713" s="169"/>
    </row>
    <row r="714" spans="19:55" ht="15.75" customHeight="1">
      <c r="S714" s="454"/>
      <c r="BA714" s="1305"/>
      <c r="BC714" s="169"/>
    </row>
    <row r="715" spans="19:55" ht="15.75" customHeight="1">
      <c r="S715" s="454"/>
      <c r="BA715" s="1305"/>
      <c r="BC715" s="169"/>
    </row>
    <row r="716" spans="19:55" ht="15.75" customHeight="1">
      <c r="S716" s="454"/>
      <c r="BA716" s="1305"/>
      <c r="BC716" s="169"/>
    </row>
    <row r="717" spans="19:55" ht="15.75" customHeight="1">
      <c r="S717" s="454"/>
      <c r="BA717" s="1305"/>
      <c r="BC717" s="169"/>
    </row>
    <row r="718" spans="19:55" ht="15.75" customHeight="1">
      <c r="S718" s="454"/>
      <c r="BA718" s="1305"/>
      <c r="BC718" s="169"/>
    </row>
    <row r="719" spans="19:55" ht="15.75" customHeight="1">
      <c r="S719" s="454"/>
      <c r="BA719" s="1305"/>
      <c r="BC719" s="169"/>
    </row>
    <row r="720" spans="19:55" ht="15.75" customHeight="1">
      <c r="S720" s="454"/>
      <c r="BA720" s="1305"/>
      <c r="BC720" s="169"/>
    </row>
    <row r="721" spans="19:55" ht="15.75" customHeight="1">
      <c r="S721" s="454"/>
      <c r="BA721" s="1305"/>
      <c r="BC721" s="169"/>
    </row>
    <row r="722" spans="19:55" ht="15.75" customHeight="1">
      <c r="S722" s="454"/>
      <c r="BA722" s="1305"/>
      <c r="BC722" s="169"/>
    </row>
    <row r="723" spans="19:55" ht="15.75" customHeight="1">
      <c r="S723" s="454"/>
      <c r="BA723" s="1305"/>
      <c r="BC723" s="169"/>
    </row>
    <row r="724" spans="19:55" ht="15.75" customHeight="1">
      <c r="S724" s="454"/>
      <c r="BA724" s="1305"/>
      <c r="BC724" s="169"/>
    </row>
    <row r="725" spans="19:55" ht="15.75" customHeight="1">
      <c r="S725" s="454"/>
      <c r="BA725" s="1305"/>
      <c r="BC725" s="169"/>
    </row>
    <row r="726" spans="19:55" ht="15.75" customHeight="1">
      <c r="S726" s="454"/>
      <c r="BA726" s="1305"/>
      <c r="BC726" s="169"/>
    </row>
    <row r="727" spans="19:55" ht="15.75" customHeight="1">
      <c r="S727" s="454"/>
      <c r="BA727" s="1305"/>
      <c r="BC727" s="169"/>
    </row>
    <row r="728" spans="19:55" ht="15.75" customHeight="1">
      <c r="S728" s="454"/>
      <c r="BA728" s="1305"/>
      <c r="BC728" s="169"/>
    </row>
    <row r="729" spans="19:55" ht="15.75" customHeight="1">
      <c r="S729" s="454"/>
      <c r="BA729" s="1305"/>
      <c r="BC729" s="169"/>
    </row>
    <row r="730" spans="19:55" ht="15.75" customHeight="1">
      <c r="S730" s="454"/>
      <c r="BA730" s="1305"/>
      <c r="BC730" s="169"/>
    </row>
    <row r="731" spans="19:55" ht="15.75" customHeight="1">
      <c r="S731" s="454"/>
      <c r="BA731" s="1305"/>
      <c r="BC731" s="169"/>
    </row>
    <row r="732" spans="19:55" ht="15.75" customHeight="1">
      <c r="S732" s="454"/>
      <c r="BA732" s="1305"/>
      <c r="BC732" s="169"/>
    </row>
    <row r="733" spans="19:55" ht="15.75" customHeight="1">
      <c r="S733" s="454"/>
      <c r="BA733" s="1305"/>
      <c r="BC733" s="169"/>
    </row>
    <row r="734" spans="19:55" ht="15.75" customHeight="1">
      <c r="S734" s="454"/>
      <c r="BA734" s="1305"/>
      <c r="BC734" s="169"/>
    </row>
    <row r="735" spans="19:55" ht="15.75" customHeight="1">
      <c r="S735" s="454"/>
      <c r="BA735" s="1305"/>
      <c r="BC735" s="169"/>
    </row>
    <row r="736" spans="19:55" ht="15.75" customHeight="1">
      <c r="S736" s="454"/>
      <c r="BA736" s="1305"/>
      <c r="BC736" s="169"/>
    </row>
    <row r="737" spans="19:55" ht="15.75" customHeight="1">
      <c r="S737" s="454"/>
      <c r="BA737" s="1305"/>
      <c r="BC737" s="169"/>
    </row>
    <row r="738" spans="19:55" ht="15.75" customHeight="1">
      <c r="S738" s="454"/>
      <c r="BA738" s="1305"/>
      <c r="BC738" s="169"/>
    </row>
    <row r="739" spans="19:55" ht="15.75" customHeight="1">
      <c r="S739" s="454"/>
      <c r="BA739" s="1305"/>
      <c r="BC739" s="169"/>
    </row>
    <row r="740" spans="19:55" ht="15.75" customHeight="1">
      <c r="S740" s="454"/>
      <c r="BA740" s="1305"/>
      <c r="BC740" s="169"/>
    </row>
    <row r="741" spans="19:55" ht="15.75" customHeight="1">
      <c r="S741" s="454"/>
      <c r="BA741" s="1305"/>
      <c r="BC741" s="169"/>
    </row>
    <row r="742" spans="19:55" ht="15.75" customHeight="1">
      <c r="S742" s="454"/>
      <c r="BA742" s="1305"/>
      <c r="BC742" s="169"/>
    </row>
    <row r="743" spans="19:55" ht="15.75" customHeight="1">
      <c r="S743" s="454"/>
      <c r="BA743" s="1305"/>
      <c r="BC743" s="169"/>
    </row>
    <row r="744" spans="19:55" ht="15.75" customHeight="1">
      <c r="S744" s="454"/>
      <c r="BA744" s="1305"/>
      <c r="BC744" s="169"/>
    </row>
    <row r="745" spans="19:55" ht="15.75" customHeight="1">
      <c r="S745" s="454"/>
      <c r="BA745" s="1305"/>
      <c r="BC745" s="169"/>
    </row>
    <row r="746" spans="19:55" ht="15.75" customHeight="1">
      <c r="S746" s="454"/>
      <c r="BA746" s="1305"/>
      <c r="BC746" s="169"/>
    </row>
    <row r="747" spans="19:55" ht="15.75" customHeight="1">
      <c r="S747" s="454"/>
      <c r="BA747" s="1305"/>
      <c r="BC747" s="169"/>
    </row>
    <row r="748" spans="19:55" ht="15.75" customHeight="1">
      <c r="S748" s="454"/>
      <c r="BA748" s="1305"/>
      <c r="BC748" s="169"/>
    </row>
    <row r="749" spans="19:55" ht="15.75" customHeight="1">
      <c r="S749" s="454"/>
      <c r="BA749" s="1305"/>
      <c r="BC749" s="169"/>
    </row>
    <row r="750" spans="19:55" ht="15.75" customHeight="1">
      <c r="S750" s="454"/>
      <c r="BA750" s="1305"/>
      <c r="BC750" s="169"/>
    </row>
    <row r="751" spans="19:55" ht="15.75" customHeight="1">
      <c r="S751" s="454"/>
      <c r="BA751" s="1305"/>
      <c r="BC751" s="169"/>
    </row>
    <row r="752" spans="19:55" ht="15.75" customHeight="1">
      <c r="S752" s="454"/>
      <c r="BA752" s="1305"/>
      <c r="BC752" s="169"/>
    </row>
    <row r="753" spans="19:55" ht="15.75" customHeight="1">
      <c r="S753" s="454"/>
      <c r="BA753" s="1305"/>
      <c r="BC753" s="169"/>
    </row>
    <row r="754" spans="19:55" ht="15.75" customHeight="1">
      <c r="S754" s="454"/>
      <c r="BA754" s="1305"/>
      <c r="BC754" s="169"/>
    </row>
    <row r="755" spans="19:55" ht="15.75" customHeight="1">
      <c r="S755" s="454"/>
      <c r="BA755" s="1305"/>
      <c r="BC755" s="169"/>
    </row>
    <row r="756" spans="19:55" ht="15.75" customHeight="1">
      <c r="S756" s="454"/>
      <c r="BA756" s="1305"/>
      <c r="BC756" s="169"/>
    </row>
    <row r="757" spans="19:55" ht="15.75" customHeight="1">
      <c r="S757" s="454"/>
      <c r="BA757" s="1305"/>
      <c r="BC757" s="169"/>
    </row>
    <row r="758" spans="19:55" ht="15.75" customHeight="1">
      <c r="S758" s="454"/>
      <c r="BA758" s="1305"/>
      <c r="BC758" s="169"/>
    </row>
    <row r="759" spans="19:55" ht="15.75" customHeight="1">
      <c r="S759" s="454"/>
      <c r="BA759" s="1305"/>
      <c r="BC759" s="169"/>
    </row>
    <row r="760" spans="19:55" ht="15.75" customHeight="1">
      <c r="S760" s="454"/>
      <c r="BA760" s="1305"/>
      <c r="BC760" s="169"/>
    </row>
    <row r="761" spans="19:55" ht="15.75" customHeight="1">
      <c r="S761" s="454"/>
      <c r="BA761" s="1305"/>
      <c r="BC761" s="169"/>
    </row>
    <row r="762" spans="19:55" ht="15.75" customHeight="1">
      <c r="S762" s="454"/>
      <c r="BA762" s="1305"/>
      <c r="BC762" s="169"/>
    </row>
    <row r="763" spans="19:55" ht="15.75" customHeight="1">
      <c r="S763" s="454"/>
      <c r="BA763" s="1305"/>
      <c r="BC763" s="169"/>
    </row>
    <row r="764" spans="19:55" ht="15.75" customHeight="1">
      <c r="S764" s="454"/>
      <c r="BA764" s="1305"/>
      <c r="BC764" s="169"/>
    </row>
    <row r="765" spans="19:55" ht="15.75" customHeight="1">
      <c r="S765" s="454"/>
      <c r="BA765" s="1305"/>
      <c r="BC765" s="169"/>
    </row>
    <row r="766" spans="19:55" ht="15.75" customHeight="1">
      <c r="S766" s="454"/>
      <c r="BA766" s="1305"/>
      <c r="BC766" s="169"/>
    </row>
    <row r="767" spans="19:55" ht="15.75" customHeight="1">
      <c r="S767" s="454"/>
      <c r="BA767" s="1305"/>
      <c r="BC767" s="169"/>
    </row>
    <row r="768" spans="19:55" ht="15.75" customHeight="1">
      <c r="S768" s="454"/>
      <c r="BA768" s="1305"/>
      <c r="BC768" s="169"/>
    </row>
    <row r="769" spans="19:55" ht="15.75" customHeight="1">
      <c r="S769" s="454"/>
      <c r="BA769" s="1305"/>
      <c r="BC769" s="169"/>
    </row>
    <row r="770" spans="19:55" ht="15.75" customHeight="1">
      <c r="S770" s="454"/>
      <c r="BA770" s="1305"/>
      <c r="BC770" s="169"/>
    </row>
    <row r="771" spans="19:55" ht="15.75" customHeight="1">
      <c r="S771" s="454"/>
      <c r="BA771" s="1305"/>
      <c r="BC771" s="169"/>
    </row>
    <row r="772" spans="19:55" ht="15.75" customHeight="1">
      <c r="S772" s="454"/>
      <c r="BA772" s="1305"/>
      <c r="BC772" s="169"/>
    </row>
    <row r="773" spans="19:55" ht="15.75" customHeight="1">
      <c r="S773" s="454"/>
      <c r="BA773" s="1305"/>
      <c r="BC773" s="169"/>
    </row>
    <row r="774" spans="19:55" ht="15.75" customHeight="1">
      <c r="S774" s="454"/>
      <c r="BA774" s="1305"/>
      <c r="BC774" s="169"/>
    </row>
    <row r="775" spans="19:55" ht="15.75" customHeight="1">
      <c r="S775" s="454"/>
      <c r="BA775" s="1305"/>
      <c r="BC775" s="169"/>
    </row>
    <row r="776" spans="19:55" ht="15.75" customHeight="1">
      <c r="S776" s="454"/>
      <c r="BA776" s="1305"/>
      <c r="BC776" s="169"/>
    </row>
    <row r="777" spans="19:55" ht="15.75" customHeight="1">
      <c r="S777" s="454"/>
      <c r="BA777" s="1305"/>
      <c r="BC777" s="169"/>
    </row>
    <row r="778" spans="19:55" ht="15.75" customHeight="1">
      <c r="S778" s="454"/>
      <c r="BA778" s="1305"/>
      <c r="BC778" s="169"/>
    </row>
    <row r="779" spans="19:55" ht="15.75" customHeight="1">
      <c r="S779" s="454"/>
      <c r="BA779" s="1305"/>
      <c r="BC779" s="169"/>
    </row>
    <row r="780" spans="19:55" ht="15.75" customHeight="1">
      <c r="S780" s="454"/>
      <c r="BA780" s="1305"/>
      <c r="BC780" s="169"/>
    </row>
    <row r="781" spans="19:55" ht="15.75" customHeight="1">
      <c r="S781" s="454"/>
      <c r="BA781" s="1305"/>
      <c r="BC781" s="169"/>
    </row>
    <row r="782" spans="19:55" ht="15.75" customHeight="1">
      <c r="S782" s="454"/>
      <c r="BA782" s="1305"/>
      <c r="BC782" s="169"/>
    </row>
    <row r="783" spans="19:55" ht="15.75" customHeight="1">
      <c r="S783" s="454"/>
      <c r="BA783" s="1305"/>
      <c r="BC783" s="169"/>
    </row>
    <row r="784" spans="19:55" ht="15.75" customHeight="1">
      <c r="S784" s="454"/>
      <c r="BA784" s="1305"/>
      <c r="BC784" s="169"/>
    </row>
    <row r="785" spans="19:55" ht="15.75" customHeight="1">
      <c r="S785" s="454"/>
      <c r="BA785" s="1305"/>
      <c r="BC785" s="169"/>
    </row>
    <row r="786" spans="19:55" ht="15.75" customHeight="1">
      <c r="S786" s="454"/>
      <c r="BA786" s="1305"/>
      <c r="BC786" s="169"/>
    </row>
    <row r="787" spans="19:55" ht="15.75" customHeight="1">
      <c r="S787" s="454"/>
      <c r="BA787" s="1305"/>
      <c r="BC787" s="169"/>
    </row>
    <row r="788" spans="19:55" ht="15.75" customHeight="1">
      <c r="S788" s="454"/>
      <c r="BA788" s="1305"/>
      <c r="BC788" s="169"/>
    </row>
    <row r="789" spans="19:55" ht="15.75" customHeight="1">
      <c r="S789" s="454"/>
      <c r="BA789" s="1305"/>
      <c r="BC789" s="169"/>
    </row>
    <row r="790" spans="19:55" ht="15.75" customHeight="1">
      <c r="S790" s="454"/>
      <c r="BA790" s="1305"/>
      <c r="BC790" s="169"/>
    </row>
    <row r="791" spans="19:55" ht="15.75" customHeight="1">
      <c r="S791" s="454"/>
      <c r="BA791" s="1305"/>
      <c r="BC791" s="169"/>
    </row>
    <row r="792" spans="19:55" ht="15.75" customHeight="1">
      <c r="S792" s="454"/>
      <c r="BA792" s="1305"/>
      <c r="BC792" s="169"/>
    </row>
    <row r="793" spans="19:55" ht="15.75" customHeight="1">
      <c r="S793" s="454"/>
      <c r="BA793" s="1305"/>
      <c r="BC793" s="169"/>
    </row>
    <row r="794" spans="19:55" ht="15.75" customHeight="1">
      <c r="S794" s="454"/>
      <c r="BA794" s="1305"/>
      <c r="BC794" s="169"/>
    </row>
    <row r="795" spans="19:55" ht="15.75" customHeight="1">
      <c r="S795" s="454"/>
      <c r="BA795" s="1305"/>
      <c r="BC795" s="169"/>
    </row>
    <row r="796" spans="19:55" ht="15.75" customHeight="1">
      <c r="S796" s="454"/>
      <c r="BA796" s="1305"/>
      <c r="BC796" s="169"/>
    </row>
    <row r="797" spans="19:55" ht="15.75" customHeight="1">
      <c r="S797" s="454"/>
      <c r="BA797" s="1305"/>
      <c r="BC797" s="169"/>
    </row>
    <row r="798" spans="19:55" ht="15.75" customHeight="1">
      <c r="S798" s="454"/>
      <c r="BA798" s="1305"/>
      <c r="BC798" s="169"/>
    </row>
    <row r="799" spans="19:55" ht="15.75" customHeight="1">
      <c r="S799" s="454"/>
      <c r="BA799" s="1305"/>
      <c r="BC799" s="169"/>
    </row>
    <row r="800" spans="19:55" ht="15.75" customHeight="1">
      <c r="S800" s="454"/>
      <c r="BA800" s="1305"/>
      <c r="BC800" s="169"/>
    </row>
    <row r="801" spans="19:55" ht="15.75" customHeight="1">
      <c r="S801" s="454"/>
      <c r="BA801" s="1305"/>
      <c r="BC801" s="169"/>
    </row>
    <row r="802" spans="19:55" ht="15.75" customHeight="1">
      <c r="S802" s="454"/>
      <c r="BA802" s="1305"/>
      <c r="BC802" s="169"/>
    </row>
    <row r="803" spans="19:55" ht="15.75" customHeight="1">
      <c r="S803" s="454"/>
      <c r="BA803" s="1305"/>
      <c r="BC803" s="169"/>
    </row>
    <row r="804" spans="19:55" ht="15.75" customHeight="1">
      <c r="S804" s="454"/>
      <c r="BA804" s="1305"/>
      <c r="BC804" s="169"/>
    </row>
    <row r="805" spans="19:55" ht="15.75" customHeight="1">
      <c r="S805" s="454"/>
      <c r="BA805" s="1305"/>
      <c r="BC805" s="169"/>
    </row>
    <row r="806" spans="19:55" ht="15.75" customHeight="1">
      <c r="S806" s="454"/>
      <c r="BA806" s="1305"/>
      <c r="BC806" s="169"/>
    </row>
    <row r="807" spans="19:55" ht="15.75" customHeight="1">
      <c r="S807" s="454"/>
      <c r="BA807" s="1305"/>
      <c r="BC807" s="169"/>
    </row>
    <row r="808" spans="19:55" ht="15.75" customHeight="1">
      <c r="S808" s="454"/>
      <c r="BA808" s="1305"/>
      <c r="BC808" s="169"/>
    </row>
    <row r="809" spans="19:55" ht="15.75" customHeight="1">
      <c r="S809" s="454"/>
      <c r="BA809" s="1305"/>
      <c r="BC809" s="169"/>
    </row>
    <row r="810" spans="19:55" ht="15.75" customHeight="1">
      <c r="S810" s="454"/>
      <c r="BA810" s="1305"/>
      <c r="BC810" s="169"/>
    </row>
    <row r="811" spans="19:55" ht="15.75" customHeight="1">
      <c r="S811" s="454"/>
      <c r="BA811" s="1305"/>
      <c r="BC811" s="169"/>
    </row>
    <row r="812" spans="19:55" ht="15.75" customHeight="1">
      <c r="S812" s="454"/>
      <c r="BA812" s="1305"/>
      <c r="BC812" s="169"/>
    </row>
    <row r="813" spans="19:55" ht="15.75" customHeight="1">
      <c r="S813" s="454"/>
      <c r="BA813" s="1305"/>
      <c r="BC813" s="169"/>
    </row>
    <row r="814" spans="19:55" ht="15.75" customHeight="1">
      <c r="S814" s="454"/>
      <c r="BA814" s="1305"/>
      <c r="BC814" s="169"/>
    </row>
    <row r="815" spans="19:55" ht="15.75" customHeight="1">
      <c r="S815" s="454"/>
      <c r="BA815" s="1305"/>
      <c r="BC815" s="169"/>
    </row>
    <row r="816" spans="19:55" ht="15.75" customHeight="1">
      <c r="S816" s="454"/>
      <c r="BA816" s="1305"/>
      <c r="BC816" s="169"/>
    </row>
    <row r="817" spans="19:55" ht="15.75" customHeight="1">
      <c r="S817" s="454"/>
      <c r="BA817" s="1305"/>
      <c r="BC817" s="169"/>
    </row>
    <row r="818" spans="19:55" ht="15.75" customHeight="1">
      <c r="S818" s="454"/>
      <c r="BA818" s="1305"/>
      <c r="BC818" s="169"/>
    </row>
    <row r="819" spans="19:55" ht="15.75" customHeight="1">
      <c r="S819" s="454"/>
      <c r="BA819" s="1305"/>
      <c r="BC819" s="169"/>
    </row>
    <row r="820" spans="19:55" ht="15.75" customHeight="1">
      <c r="S820" s="454"/>
      <c r="BA820" s="1305"/>
      <c r="BC820" s="169"/>
    </row>
    <row r="821" spans="19:55" ht="15.75" customHeight="1">
      <c r="S821" s="454"/>
      <c r="BA821" s="1305"/>
      <c r="BC821" s="169"/>
    </row>
    <row r="822" spans="19:55" ht="15.75" customHeight="1">
      <c r="S822" s="454"/>
      <c r="BA822" s="1305"/>
      <c r="BC822" s="169"/>
    </row>
    <row r="823" spans="19:55" ht="15.75" customHeight="1">
      <c r="S823" s="454"/>
      <c r="BA823" s="1305"/>
      <c r="BC823" s="169"/>
    </row>
    <row r="824" spans="19:55" ht="15.75" customHeight="1">
      <c r="S824" s="454"/>
      <c r="BA824" s="1305"/>
      <c r="BC824" s="169"/>
    </row>
    <row r="825" spans="19:55" ht="15.75" customHeight="1">
      <c r="S825" s="454"/>
      <c r="BA825" s="1305"/>
      <c r="BC825" s="169"/>
    </row>
    <row r="826" spans="19:55" ht="15.75" customHeight="1">
      <c r="S826" s="454"/>
      <c r="BA826" s="1305"/>
      <c r="BC826" s="169"/>
    </row>
    <row r="827" spans="19:55" ht="15.75" customHeight="1">
      <c r="S827" s="454"/>
      <c r="BA827" s="1305"/>
      <c r="BC827" s="169"/>
    </row>
    <row r="828" spans="19:55" ht="15.75" customHeight="1">
      <c r="S828" s="454"/>
      <c r="BA828" s="1305"/>
      <c r="BC828" s="169"/>
    </row>
    <row r="829" spans="19:55" ht="15.75" customHeight="1">
      <c r="S829" s="454"/>
      <c r="BA829" s="1305"/>
      <c r="BC829" s="169"/>
    </row>
    <row r="830" spans="19:55" ht="15.75" customHeight="1">
      <c r="S830" s="454"/>
      <c r="BA830" s="1305"/>
      <c r="BC830" s="169"/>
    </row>
    <row r="831" spans="19:55" ht="15.75" customHeight="1">
      <c r="S831" s="454"/>
      <c r="BA831" s="1305"/>
      <c r="BC831" s="169"/>
    </row>
    <row r="832" spans="19:55" ht="15.75" customHeight="1">
      <c r="S832" s="454"/>
      <c r="BA832" s="1305"/>
      <c r="BC832" s="169"/>
    </row>
    <row r="833" spans="19:55" ht="15.75" customHeight="1">
      <c r="S833" s="454"/>
      <c r="BA833" s="1305"/>
      <c r="BC833" s="169"/>
    </row>
    <row r="834" spans="19:55" ht="15.75" customHeight="1">
      <c r="S834" s="454"/>
      <c r="BA834" s="1305"/>
      <c r="BC834" s="169"/>
    </row>
    <row r="835" spans="19:55" ht="15.75" customHeight="1">
      <c r="S835" s="454"/>
      <c r="BA835" s="1305"/>
      <c r="BC835" s="169"/>
    </row>
    <row r="836" spans="19:55" ht="15.75" customHeight="1">
      <c r="S836" s="454"/>
      <c r="BA836" s="1305"/>
      <c r="BC836" s="169"/>
    </row>
    <row r="837" spans="19:55" ht="15.75" customHeight="1">
      <c r="S837" s="454"/>
      <c r="BA837" s="1305"/>
      <c r="BC837" s="169"/>
    </row>
    <row r="838" spans="19:55" ht="15.75" customHeight="1">
      <c r="S838" s="454"/>
      <c r="BA838" s="1305"/>
      <c r="BC838" s="169"/>
    </row>
    <row r="839" spans="19:55" ht="15.75" customHeight="1">
      <c r="S839" s="454"/>
      <c r="BA839" s="1305"/>
      <c r="BC839" s="169"/>
    </row>
    <row r="840" spans="19:55" ht="15.75" customHeight="1">
      <c r="S840" s="454"/>
      <c r="BA840" s="1305"/>
      <c r="BC840" s="169"/>
    </row>
    <row r="841" spans="19:55" ht="15.75" customHeight="1">
      <c r="S841" s="454"/>
      <c r="BA841" s="1305"/>
      <c r="BC841" s="169"/>
    </row>
    <row r="842" spans="19:55" ht="15.75" customHeight="1">
      <c r="S842" s="454"/>
      <c r="BA842" s="1305"/>
      <c r="BC842" s="169"/>
    </row>
    <row r="843" spans="19:55" ht="15.75" customHeight="1">
      <c r="S843" s="454"/>
      <c r="BA843" s="1305"/>
      <c r="BC843" s="169"/>
    </row>
    <row r="844" spans="19:55" ht="15.75" customHeight="1">
      <c r="S844" s="454"/>
      <c r="BA844" s="1305"/>
      <c r="BC844" s="169"/>
    </row>
    <row r="845" spans="19:55" ht="15.75" customHeight="1">
      <c r="S845" s="454"/>
      <c r="BA845" s="1305"/>
      <c r="BC845" s="169"/>
    </row>
    <row r="846" spans="19:55" ht="15.75" customHeight="1">
      <c r="S846" s="454"/>
      <c r="BA846" s="1305"/>
      <c r="BC846" s="169"/>
    </row>
    <row r="847" spans="19:55" ht="15.75" customHeight="1">
      <c r="S847" s="454"/>
      <c r="BA847" s="1305"/>
      <c r="BC847" s="169"/>
    </row>
    <row r="848" spans="19:55" ht="15.75" customHeight="1">
      <c r="S848" s="454"/>
      <c r="BA848" s="1305"/>
      <c r="BC848" s="169"/>
    </row>
    <row r="849" spans="19:55" ht="15.75" customHeight="1">
      <c r="S849" s="454"/>
      <c r="BA849" s="1305"/>
      <c r="BC849" s="169"/>
    </row>
    <row r="850" spans="19:55" ht="15.75" customHeight="1">
      <c r="S850" s="454"/>
      <c r="BA850" s="1305"/>
      <c r="BC850" s="169"/>
    </row>
    <row r="851" spans="19:55" ht="15.75" customHeight="1">
      <c r="S851" s="454"/>
      <c r="BA851" s="1305"/>
      <c r="BC851" s="169"/>
    </row>
    <row r="852" spans="19:55" ht="15.75" customHeight="1">
      <c r="S852" s="454"/>
      <c r="BA852" s="1305"/>
      <c r="BC852" s="169"/>
    </row>
    <row r="853" spans="19:55" ht="15.75" customHeight="1">
      <c r="S853" s="454"/>
      <c r="BA853" s="1305"/>
      <c r="BC853" s="169"/>
    </row>
    <row r="854" spans="19:55" ht="15.75" customHeight="1">
      <c r="S854" s="454"/>
      <c r="BA854" s="1305"/>
      <c r="BC854" s="169"/>
    </row>
    <row r="855" spans="19:55" ht="15.75" customHeight="1">
      <c r="S855" s="454"/>
      <c r="BA855" s="1305"/>
      <c r="BC855" s="169"/>
    </row>
    <row r="856" spans="19:55" ht="15.75" customHeight="1">
      <c r="S856" s="454"/>
      <c r="BA856" s="1305"/>
      <c r="BC856" s="169"/>
    </row>
    <row r="857" spans="19:55" ht="15.75" customHeight="1">
      <c r="S857" s="454"/>
      <c r="BA857" s="1305"/>
      <c r="BC857" s="169"/>
    </row>
    <row r="858" spans="19:55" ht="15.75" customHeight="1">
      <c r="S858" s="454"/>
      <c r="BA858" s="1305"/>
      <c r="BC858" s="169"/>
    </row>
    <row r="859" spans="19:55" ht="15.75" customHeight="1">
      <c r="S859" s="454"/>
      <c r="BA859" s="1305"/>
      <c r="BC859" s="169"/>
    </row>
    <row r="860" spans="19:55" ht="15.75" customHeight="1">
      <c r="S860" s="454"/>
      <c r="BA860" s="1305"/>
      <c r="BC860" s="169"/>
    </row>
    <row r="861" spans="19:55" ht="15.75" customHeight="1">
      <c r="S861" s="454"/>
      <c r="BA861" s="1305"/>
      <c r="BC861" s="169"/>
    </row>
    <row r="862" spans="19:55" ht="15.75" customHeight="1">
      <c r="S862" s="454"/>
      <c r="BA862" s="1305"/>
      <c r="BC862" s="169"/>
    </row>
    <row r="863" spans="19:55" ht="15.75" customHeight="1">
      <c r="S863" s="454"/>
      <c r="BA863" s="1305"/>
      <c r="BC863" s="169"/>
    </row>
    <row r="864" spans="19:55" ht="15.75" customHeight="1">
      <c r="S864" s="454"/>
      <c r="BA864" s="1305"/>
      <c r="BC864" s="169"/>
    </row>
    <row r="865" spans="19:55" ht="15.75" customHeight="1">
      <c r="S865" s="454"/>
      <c r="BA865" s="1305"/>
      <c r="BC865" s="169"/>
    </row>
    <row r="866" spans="19:55" ht="15.75" customHeight="1">
      <c r="S866" s="454"/>
      <c r="BA866" s="1305"/>
      <c r="BC866" s="169"/>
    </row>
    <row r="867" spans="19:55" ht="15.75" customHeight="1">
      <c r="S867" s="454"/>
      <c r="BA867" s="1305"/>
      <c r="BC867" s="169"/>
    </row>
    <row r="868" spans="19:55" ht="15.75" customHeight="1">
      <c r="S868" s="454"/>
      <c r="BA868" s="1305"/>
      <c r="BC868" s="169"/>
    </row>
    <row r="869" spans="19:55" ht="15.75" customHeight="1">
      <c r="S869" s="454"/>
      <c r="BA869" s="1305"/>
      <c r="BC869" s="169"/>
    </row>
    <row r="870" spans="19:55" ht="15.75" customHeight="1">
      <c r="S870" s="454"/>
      <c r="BA870" s="1305"/>
      <c r="BC870" s="169"/>
    </row>
    <row r="871" spans="19:55" ht="15.75" customHeight="1">
      <c r="S871" s="454"/>
      <c r="BA871" s="1305"/>
      <c r="BC871" s="169"/>
    </row>
    <row r="872" spans="19:55" ht="15.75" customHeight="1">
      <c r="S872" s="454"/>
      <c r="BA872" s="1305"/>
      <c r="BC872" s="169"/>
    </row>
    <row r="873" spans="19:55" ht="15.75" customHeight="1">
      <c r="S873" s="454"/>
      <c r="BA873" s="1305"/>
      <c r="BC873" s="169"/>
    </row>
    <row r="874" spans="19:55" ht="15.75" customHeight="1">
      <c r="S874" s="454"/>
      <c r="BA874" s="1305"/>
      <c r="BC874" s="169"/>
    </row>
    <row r="875" spans="19:55" ht="15.75" customHeight="1">
      <c r="S875" s="454"/>
      <c r="BA875" s="1305"/>
      <c r="BC875" s="169"/>
    </row>
    <row r="876" spans="19:55" ht="15.75" customHeight="1">
      <c r="S876" s="454"/>
      <c r="BA876" s="1305"/>
      <c r="BC876" s="169"/>
    </row>
    <row r="877" spans="19:55" ht="15.75" customHeight="1">
      <c r="S877" s="454"/>
      <c r="BA877" s="1305"/>
      <c r="BC877" s="169"/>
    </row>
    <row r="878" spans="19:55" ht="15.75" customHeight="1">
      <c r="S878" s="454"/>
      <c r="BA878" s="1305"/>
      <c r="BC878" s="169"/>
    </row>
    <row r="879" spans="19:55" ht="15.75" customHeight="1">
      <c r="S879" s="454"/>
      <c r="BA879" s="1305"/>
      <c r="BC879" s="169"/>
    </row>
    <row r="880" spans="19:55" ht="15.75" customHeight="1">
      <c r="S880" s="454"/>
      <c r="BA880" s="1305"/>
      <c r="BC880" s="169"/>
    </row>
    <row r="881" spans="19:55" ht="15.75" customHeight="1">
      <c r="S881" s="454"/>
      <c r="BA881" s="1305"/>
      <c r="BC881" s="169"/>
    </row>
    <row r="882" spans="19:55" ht="15.75" customHeight="1">
      <c r="S882" s="454"/>
      <c r="BA882" s="1305"/>
      <c r="BC882" s="169"/>
    </row>
    <row r="883" spans="19:55" ht="15.75" customHeight="1">
      <c r="S883" s="454"/>
      <c r="BA883" s="1305"/>
      <c r="BC883" s="169"/>
    </row>
    <row r="884" spans="19:55" ht="15.75" customHeight="1">
      <c r="S884" s="454"/>
      <c r="BA884" s="1305"/>
      <c r="BC884" s="169"/>
    </row>
    <row r="885" spans="19:55" ht="15.75" customHeight="1">
      <c r="S885" s="454"/>
      <c r="BA885" s="1305"/>
      <c r="BC885" s="169"/>
    </row>
    <row r="886" spans="19:55" ht="15.75" customHeight="1">
      <c r="S886" s="454"/>
      <c r="BA886" s="1305"/>
      <c r="BC886" s="169"/>
    </row>
    <row r="887" spans="19:55" ht="15.75" customHeight="1">
      <c r="S887" s="454"/>
      <c r="BA887" s="1305"/>
      <c r="BC887" s="169"/>
    </row>
    <row r="888" spans="19:55" ht="15.75" customHeight="1">
      <c r="S888" s="454"/>
      <c r="BA888" s="1305"/>
      <c r="BC888" s="169"/>
    </row>
    <row r="889" spans="19:55" ht="15.75" customHeight="1">
      <c r="S889" s="454"/>
      <c r="BA889" s="1305"/>
      <c r="BC889" s="169"/>
    </row>
    <row r="890" spans="19:55" ht="15.75" customHeight="1">
      <c r="S890" s="454"/>
      <c r="BA890" s="1305"/>
      <c r="BC890" s="169"/>
    </row>
    <row r="891" spans="19:55" ht="15.75" customHeight="1">
      <c r="S891" s="454"/>
      <c r="BA891" s="1305"/>
      <c r="BC891" s="169"/>
    </row>
    <row r="892" spans="19:55" ht="15.75" customHeight="1">
      <c r="S892" s="454"/>
      <c r="BA892" s="1305"/>
      <c r="BC892" s="169"/>
    </row>
    <row r="893" spans="19:55" ht="15.75" customHeight="1">
      <c r="S893" s="454"/>
      <c r="BA893" s="1305"/>
      <c r="BC893" s="169"/>
    </row>
    <row r="894" spans="19:55" ht="15.75" customHeight="1">
      <c r="S894" s="454"/>
      <c r="BA894" s="1305"/>
      <c r="BC894" s="169"/>
    </row>
    <row r="895" spans="19:55" ht="15.75" customHeight="1">
      <c r="S895" s="454"/>
      <c r="BA895" s="1305"/>
      <c r="BC895" s="169"/>
    </row>
    <row r="896" spans="19:55" ht="15.75" customHeight="1">
      <c r="S896" s="454"/>
      <c r="BA896" s="1305"/>
      <c r="BC896" s="169"/>
    </row>
    <row r="897" spans="19:55" ht="15.75" customHeight="1">
      <c r="S897" s="454"/>
      <c r="BA897" s="1305"/>
      <c r="BC897" s="169"/>
    </row>
    <row r="898" spans="19:55" ht="15.75" customHeight="1">
      <c r="S898" s="454"/>
      <c r="BA898" s="1305"/>
      <c r="BC898" s="169"/>
    </row>
    <row r="899" spans="19:55" ht="15.75" customHeight="1">
      <c r="S899" s="454"/>
      <c r="BA899" s="1305"/>
      <c r="BC899" s="169"/>
    </row>
    <row r="900" spans="19:55" ht="15.75" customHeight="1">
      <c r="S900" s="454"/>
      <c r="BA900" s="1305"/>
      <c r="BC900" s="169"/>
    </row>
    <row r="901" spans="19:55" ht="15.75" customHeight="1">
      <c r="S901" s="454"/>
      <c r="BA901" s="1305"/>
      <c r="BC901" s="169"/>
    </row>
    <row r="902" spans="19:55" ht="15.75" customHeight="1">
      <c r="S902" s="454"/>
      <c r="BA902" s="1305"/>
      <c r="BC902" s="169"/>
    </row>
    <row r="903" spans="19:55" ht="15.75" customHeight="1">
      <c r="S903" s="454"/>
      <c r="BA903" s="1305"/>
      <c r="BC903" s="169"/>
    </row>
    <row r="904" spans="19:55" ht="15.75" customHeight="1">
      <c r="S904" s="454"/>
      <c r="BA904" s="1305"/>
      <c r="BC904" s="169"/>
    </row>
    <row r="905" spans="19:55" ht="15.75" customHeight="1">
      <c r="S905" s="454"/>
      <c r="BA905" s="1305"/>
      <c r="BC905" s="169"/>
    </row>
    <row r="906" spans="19:55" ht="15.75" customHeight="1">
      <c r="S906" s="454"/>
      <c r="BA906" s="1305"/>
      <c r="BC906" s="169"/>
    </row>
    <row r="907" spans="19:55" ht="15.75" customHeight="1">
      <c r="S907" s="454"/>
      <c r="BA907" s="1305"/>
      <c r="BC907" s="169"/>
    </row>
    <row r="908" spans="19:55" ht="15.75" customHeight="1">
      <c r="S908" s="454"/>
      <c r="BA908" s="1305"/>
      <c r="BC908" s="169"/>
    </row>
    <row r="909" spans="19:55" ht="15.75" customHeight="1">
      <c r="S909" s="454"/>
      <c r="BA909" s="1305"/>
      <c r="BC909" s="169"/>
    </row>
    <row r="910" spans="19:55" ht="15.75" customHeight="1">
      <c r="S910" s="454"/>
      <c r="BA910" s="1305"/>
      <c r="BC910" s="169"/>
    </row>
    <row r="911" spans="19:55" ht="15.75" customHeight="1">
      <c r="S911" s="454"/>
      <c r="BA911" s="1305"/>
      <c r="BC911" s="169"/>
    </row>
    <row r="912" spans="19:55" ht="15.75" customHeight="1">
      <c r="S912" s="454"/>
      <c r="BA912" s="1305"/>
      <c r="BC912" s="169"/>
    </row>
    <row r="913" spans="19:55" ht="15.75" customHeight="1">
      <c r="S913" s="454"/>
      <c r="BA913" s="1305"/>
      <c r="BC913" s="169"/>
    </row>
    <row r="914" spans="19:55" ht="15.75" customHeight="1">
      <c r="S914" s="454"/>
      <c r="BA914" s="1305"/>
      <c r="BC914" s="169"/>
    </row>
    <row r="915" spans="19:55" ht="15.75" customHeight="1">
      <c r="S915" s="454"/>
      <c r="BA915" s="1305"/>
      <c r="BC915" s="169"/>
    </row>
    <row r="916" spans="19:55" ht="15.75" customHeight="1">
      <c r="S916" s="454"/>
      <c r="BA916" s="1305"/>
      <c r="BC916" s="169"/>
    </row>
    <row r="917" spans="19:55" ht="15.75" customHeight="1">
      <c r="S917" s="454"/>
      <c r="BA917" s="1305"/>
      <c r="BC917" s="169"/>
    </row>
    <row r="918" spans="19:55" ht="15.75" customHeight="1">
      <c r="S918" s="454"/>
      <c r="BA918" s="1305"/>
      <c r="BC918" s="169"/>
    </row>
    <row r="919" spans="19:55" ht="15.75" customHeight="1">
      <c r="S919" s="454"/>
      <c r="BA919" s="1305"/>
      <c r="BC919" s="169"/>
    </row>
    <row r="920" spans="19:55" ht="15.75" customHeight="1">
      <c r="S920" s="454"/>
      <c r="BA920" s="1305"/>
      <c r="BC920" s="169"/>
    </row>
    <row r="921" spans="19:55" ht="15.75" customHeight="1">
      <c r="S921" s="454"/>
      <c r="BA921" s="1305"/>
      <c r="BC921" s="169"/>
    </row>
    <row r="922" spans="19:55" ht="15.75" customHeight="1">
      <c r="S922" s="454"/>
      <c r="BA922" s="1305"/>
      <c r="BC922" s="169"/>
    </row>
    <row r="923" spans="19:55" ht="15.75" customHeight="1">
      <c r="S923" s="454"/>
      <c r="BA923" s="1305"/>
      <c r="BC923" s="169"/>
    </row>
    <row r="924" spans="19:55" ht="15.75" customHeight="1">
      <c r="S924" s="454"/>
      <c r="BA924" s="1305"/>
      <c r="BC924" s="169"/>
    </row>
    <row r="925" spans="19:55" ht="15.75" customHeight="1">
      <c r="S925" s="454"/>
      <c r="BA925" s="1305"/>
      <c r="BC925" s="169"/>
    </row>
    <row r="926" spans="19:55" ht="15.75" customHeight="1">
      <c r="S926" s="454"/>
      <c r="BA926" s="1305"/>
      <c r="BC926" s="169"/>
    </row>
    <row r="927" spans="19:55" ht="15.75" customHeight="1">
      <c r="S927" s="454"/>
      <c r="BA927" s="1305"/>
      <c r="BC927" s="169"/>
    </row>
    <row r="928" spans="19:55" ht="15.75" customHeight="1">
      <c r="S928" s="454"/>
      <c r="BA928" s="1305"/>
      <c r="BC928" s="169"/>
    </row>
    <row r="929" spans="19:55" ht="15.75" customHeight="1">
      <c r="S929" s="454"/>
      <c r="BA929" s="1305"/>
      <c r="BC929" s="169"/>
    </row>
    <row r="930" spans="19:55" ht="15.75" customHeight="1">
      <c r="S930" s="454"/>
      <c r="BA930" s="1305"/>
      <c r="BC930" s="169"/>
    </row>
    <row r="931" spans="19:55" ht="15.75" customHeight="1">
      <c r="S931" s="454"/>
      <c r="BA931" s="1305"/>
      <c r="BC931" s="169"/>
    </row>
    <row r="932" spans="19:55" ht="15.75" customHeight="1">
      <c r="S932" s="454"/>
      <c r="BA932" s="1305"/>
      <c r="BC932" s="169"/>
    </row>
    <row r="933" spans="19:55" ht="15.75" customHeight="1">
      <c r="S933" s="454"/>
      <c r="BA933" s="1305"/>
      <c r="BC933" s="169"/>
    </row>
    <row r="934" spans="19:55" ht="15.75" customHeight="1">
      <c r="S934" s="454"/>
      <c r="BA934" s="1305"/>
      <c r="BC934" s="169"/>
    </row>
    <row r="935" spans="19:55" ht="15.75" customHeight="1">
      <c r="S935" s="454"/>
      <c r="BA935" s="1305"/>
      <c r="BC935" s="169"/>
    </row>
    <row r="936" spans="19:55" ht="15.75" customHeight="1">
      <c r="S936" s="454"/>
      <c r="BA936" s="1305"/>
      <c r="BC936" s="169"/>
    </row>
    <row r="937" spans="19:55" ht="15.75" customHeight="1">
      <c r="S937" s="454"/>
      <c r="BA937" s="1305"/>
      <c r="BC937" s="169"/>
    </row>
    <row r="938" spans="19:55" ht="15.75" customHeight="1">
      <c r="S938" s="454"/>
      <c r="BA938" s="1305"/>
      <c r="BC938" s="169"/>
    </row>
    <row r="939" spans="19:55" ht="15.75" customHeight="1">
      <c r="S939" s="454"/>
      <c r="BA939" s="1305"/>
      <c r="BC939" s="169"/>
    </row>
    <row r="940" spans="19:55" ht="15.75" customHeight="1">
      <c r="S940" s="454"/>
      <c r="BA940" s="1305"/>
      <c r="BC940" s="169"/>
    </row>
    <row r="941" spans="19:55" ht="15.75" customHeight="1">
      <c r="S941" s="454"/>
      <c r="BA941" s="1305"/>
      <c r="BC941" s="169"/>
    </row>
    <row r="942" spans="19:55" ht="15.75" customHeight="1">
      <c r="S942" s="454"/>
      <c r="BA942" s="1305"/>
      <c r="BC942" s="169"/>
    </row>
    <row r="943" spans="19:55" ht="15.75" customHeight="1">
      <c r="S943" s="454"/>
      <c r="BA943" s="1305"/>
      <c r="BC943" s="169"/>
    </row>
    <row r="944" spans="19:55" ht="15.75" customHeight="1">
      <c r="S944" s="454"/>
      <c r="BA944" s="1305"/>
      <c r="BC944" s="169"/>
    </row>
    <row r="945" spans="19:55" ht="15.75" customHeight="1">
      <c r="S945" s="454"/>
      <c r="BA945" s="1305"/>
      <c r="BC945" s="169"/>
    </row>
    <row r="946" spans="19:55" ht="15.75" customHeight="1">
      <c r="S946" s="454"/>
      <c r="BA946" s="1305"/>
      <c r="BC946" s="169"/>
    </row>
    <row r="947" spans="19:55" ht="15.75" customHeight="1">
      <c r="S947" s="454"/>
      <c r="BA947" s="1305"/>
      <c r="BC947" s="169"/>
    </row>
    <row r="948" spans="19:55" ht="15.75" customHeight="1">
      <c r="S948" s="454"/>
      <c r="BA948" s="1305"/>
      <c r="BC948" s="169"/>
    </row>
    <row r="949" spans="19:55" ht="15.75" customHeight="1">
      <c r="S949" s="454"/>
      <c r="BA949" s="1305"/>
      <c r="BC949" s="169"/>
    </row>
    <row r="950" spans="19:55" ht="15.75" customHeight="1">
      <c r="S950" s="454"/>
      <c r="BA950" s="1305"/>
      <c r="BC950" s="169"/>
    </row>
    <row r="951" spans="19:55" ht="15.75" customHeight="1">
      <c r="S951" s="454"/>
      <c r="BA951" s="1305"/>
      <c r="BC951" s="169"/>
    </row>
    <row r="952" spans="19:55" ht="15.75" customHeight="1">
      <c r="S952" s="454"/>
      <c r="BA952" s="1305"/>
      <c r="BC952" s="169"/>
    </row>
    <row r="953" spans="19:55" ht="15.75" customHeight="1">
      <c r="S953" s="454"/>
      <c r="BA953" s="1305"/>
      <c r="BC953" s="169"/>
    </row>
    <row r="954" spans="19:55" ht="15.75" customHeight="1">
      <c r="S954" s="454"/>
      <c r="BA954" s="1305"/>
      <c r="BC954" s="169"/>
    </row>
    <row r="955" spans="19:55" ht="15.75" customHeight="1">
      <c r="S955" s="454"/>
      <c r="BA955" s="1305"/>
      <c r="BC955" s="169"/>
    </row>
    <row r="956" spans="19:55" ht="15.75" customHeight="1">
      <c r="S956" s="454"/>
      <c r="BA956" s="1305"/>
      <c r="BC956" s="169"/>
    </row>
    <row r="957" spans="19:55" ht="15.75" customHeight="1">
      <c r="S957" s="454"/>
      <c r="BA957" s="1305"/>
      <c r="BC957" s="169"/>
    </row>
    <row r="958" spans="19:55" ht="15.75" customHeight="1">
      <c r="S958" s="454"/>
      <c r="BA958" s="1305"/>
      <c r="BC958" s="169"/>
    </row>
    <row r="959" spans="19:55" ht="15.75" customHeight="1">
      <c r="S959" s="454"/>
      <c r="BA959" s="1305"/>
      <c r="BC959" s="169"/>
    </row>
    <row r="960" spans="19:55" ht="15.75" customHeight="1">
      <c r="S960" s="454"/>
      <c r="BA960" s="1305"/>
      <c r="BC960" s="169"/>
    </row>
    <row r="961" spans="19:55" ht="15.75" customHeight="1">
      <c r="S961" s="454"/>
      <c r="BA961" s="1305"/>
      <c r="BC961" s="169"/>
    </row>
    <row r="962" spans="19:55" ht="15.75" customHeight="1">
      <c r="S962" s="454"/>
      <c r="BA962" s="1305"/>
      <c r="BC962" s="169"/>
    </row>
    <row r="963" spans="19:55" ht="15.75" customHeight="1">
      <c r="S963" s="454"/>
      <c r="BA963" s="1305"/>
      <c r="BC963" s="169"/>
    </row>
    <row r="964" spans="19:55" ht="15.75" customHeight="1">
      <c r="S964" s="454"/>
      <c r="BA964" s="1305"/>
      <c r="BC964" s="169"/>
    </row>
    <row r="965" spans="19:55" ht="15.75" customHeight="1">
      <c r="S965" s="454"/>
      <c r="BA965" s="1305"/>
      <c r="BC965" s="169"/>
    </row>
    <row r="966" spans="19:55" ht="15.75" customHeight="1">
      <c r="S966" s="454"/>
      <c r="BA966" s="1305"/>
      <c r="BC966" s="169"/>
    </row>
    <row r="967" spans="19:55" ht="15.75" customHeight="1">
      <c r="S967" s="454"/>
      <c r="BA967" s="1305"/>
      <c r="BC967" s="169"/>
    </row>
    <row r="968" spans="19:55" ht="15.75" customHeight="1">
      <c r="S968" s="454"/>
      <c r="BA968" s="1305"/>
      <c r="BC968" s="169"/>
    </row>
    <row r="969" spans="19:55" ht="15.75" customHeight="1">
      <c r="S969" s="454"/>
      <c r="BA969" s="1305"/>
      <c r="BC969" s="169"/>
    </row>
    <row r="970" spans="19:55" ht="15.75" customHeight="1">
      <c r="S970" s="454"/>
      <c r="BA970" s="1305"/>
      <c r="BC970" s="169"/>
    </row>
    <row r="971" spans="19:55" ht="15.75" customHeight="1">
      <c r="S971" s="454"/>
      <c r="BA971" s="1305"/>
      <c r="BC971" s="169"/>
    </row>
    <row r="972" spans="19:55" ht="15.75" customHeight="1">
      <c r="S972" s="454"/>
      <c r="BA972" s="1305"/>
      <c r="BC972" s="169"/>
    </row>
    <row r="973" spans="19:55" ht="15.75" customHeight="1">
      <c r="S973" s="454"/>
      <c r="BA973" s="1305"/>
      <c r="BC973" s="169"/>
    </row>
    <row r="974" spans="19:55" ht="15.75" customHeight="1">
      <c r="S974" s="454"/>
      <c r="BA974" s="1305"/>
      <c r="BC974" s="169"/>
    </row>
    <row r="975" spans="19:55" ht="15.75" customHeight="1">
      <c r="S975" s="454"/>
      <c r="BA975" s="1305"/>
      <c r="BC975" s="169"/>
    </row>
    <row r="976" spans="19:55" ht="15.75" customHeight="1">
      <c r="S976" s="454"/>
      <c r="BA976" s="1305"/>
      <c r="BC976" s="169"/>
    </row>
    <row r="977" spans="19:55" ht="15.75" customHeight="1">
      <c r="S977" s="454"/>
      <c r="BA977" s="1305"/>
      <c r="BC977" s="169"/>
    </row>
    <row r="978" spans="19:55" ht="15.75" customHeight="1">
      <c r="S978" s="454"/>
      <c r="BA978" s="1305"/>
      <c r="BC978" s="169"/>
    </row>
    <row r="979" spans="19:55" ht="15.75" customHeight="1">
      <c r="S979" s="454"/>
      <c r="BA979" s="1305"/>
      <c r="BC979" s="169"/>
    </row>
    <row r="980" spans="19:55" ht="15.75" customHeight="1">
      <c r="S980" s="454"/>
      <c r="BA980" s="1305"/>
      <c r="BC980" s="169"/>
    </row>
    <row r="981" spans="19:55" ht="15.75" customHeight="1">
      <c r="S981" s="454"/>
      <c r="BA981" s="1305"/>
      <c r="BC981" s="169"/>
    </row>
    <row r="982" spans="19:55" ht="15.75" customHeight="1">
      <c r="S982" s="454"/>
      <c r="BA982" s="1305"/>
      <c r="BC982" s="169"/>
    </row>
    <row r="983" spans="19:55" ht="15.75" customHeight="1">
      <c r="S983" s="454"/>
      <c r="BA983" s="1305"/>
      <c r="BC983" s="169"/>
    </row>
    <row r="984" spans="19:55" ht="15.75" customHeight="1">
      <c r="S984" s="454"/>
      <c r="BA984" s="1305"/>
      <c r="BC984" s="169"/>
    </row>
    <row r="985" spans="19:55" ht="15.75" customHeight="1">
      <c r="S985" s="454"/>
      <c r="BA985" s="1305"/>
      <c r="BC985" s="169"/>
    </row>
    <row r="986" spans="19:55" ht="15.75" customHeight="1">
      <c r="S986" s="454"/>
      <c r="BA986" s="1305"/>
      <c r="BC986" s="169"/>
    </row>
    <row r="987" spans="19:55" ht="15.75" customHeight="1">
      <c r="S987" s="454"/>
      <c r="BA987" s="1305"/>
      <c r="BC987" s="169"/>
    </row>
    <row r="988" spans="19:55" ht="15.75" customHeight="1">
      <c r="S988" s="454"/>
      <c r="BA988" s="1305"/>
      <c r="BC988" s="169"/>
    </row>
    <row r="989" spans="19:55" ht="15.75" customHeight="1">
      <c r="S989" s="454"/>
      <c r="BA989" s="1305"/>
      <c r="BC989" s="169"/>
    </row>
    <row r="990" spans="19:55" ht="15.75" customHeight="1">
      <c r="S990" s="454"/>
      <c r="BA990" s="1305"/>
      <c r="BC990" s="169"/>
    </row>
    <row r="991" spans="19:55" ht="15.75" customHeight="1">
      <c r="S991" s="454"/>
      <c r="BA991" s="1305"/>
      <c r="BC991" s="169"/>
    </row>
    <row r="992" spans="19:55" ht="15.75" customHeight="1">
      <c r="S992" s="454"/>
      <c r="BA992" s="1305"/>
      <c r="BC992" s="169"/>
    </row>
    <row r="993" spans="19:55" ht="15.75" customHeight="1">
      <c r="S993" s="454"/>
      <c r="BA993" s="1305"/>
      <c r="BC993" s="169"/>
    </row>
    <row r="994" spans="19:55" ht="15.75" customHeight="1">
      <c r="S994" s="454"/>
      <c r="BA994" s="1305"/>
      <c r="BC994" s="169"/>
    </row>
    <row r="995" spans="19:55" ht="15.75" customHeight="1">
      <c r="S995" s="454"/>
      <c r="BA995" s="1305"/>
      <c r="BC995" s="169"/>
    </row>
    <row r="996" spans="19:55" ht="15.75" customHeight="1">
      <c r="S996" s="454"/>
      <c r="BA996" s="1305"/>
      <c r="BC996" s="169"/>
    </row>
    <row r="997" spans="19:55" ht="15.75" customHeight="1">
      <c r="S997" s="454"/>
      <c r="BA997" s="1305"/>
      <c r="BC997" s="169"/>
    </row>
    <row r="998" spans="19:55" ht="15.75" customHeight="1">
      <c r="S998" s="454"/>
      <c r="BA998" s="1305"/>
      <c r="BC998" s="169"/>
    </row>
    <row r="999" spans="19:55" ht="15.75" customHeight="1">
      <c r="S999" s="454"/>
      <c r="BA999" s="1305"/>
      <c r="BC999" s="169"/>
    </row>
    <row r="1000" spans="19:55" ht="15.75" customHeight="1">
      <c r="S1000" s="454"/>
      <c r="BA1000" s="1305"/>
      <c r="BC1000" s="169"/>
    </row>
    <row r="1001" spans="19:55" ht="15.75" customHeight="1">
      <c r="S1001" s="454"/>
      <c r="BA1001" s="1305"/>
      <c r="BC1001" s="169"/>
    </row>
    <row r="1002" spans="19:55" ht="15.75" customHeight="1">
      <c r="S1002" s="454"/>
      <c r="BA1002" s="1305"/>
      <c r="BC1002" s="169"/>
    </row>
    <row r="1003" spans="19:55" ht="15.75" customHeight="1">
      <c r="S1003" s="454"/>
      <c r="BA1003" s="1305"/>
      <c r="BC1003" s="169"/>
    </row>
    <row r="1004" spans="19:55" ht="15.75" customHeight="1">
      <c r="S1004" s="454"/>
      <c r="BA1004" s="1305"/>
      <c r="BC1004" s="169"/>
    </row>
    <row r="1005" spans="19:55" ht="15.75" customHeight="1">
      <c r="S1005" s="454"/>
      <c r="BA1005" s="1305"/>
      <c r="BC1005" s="169"/>
    </row>
    <row r="1006" spans="19:55" ht="15.75" customHeight="1">
      <c r="S1006" s="454"/>
      <c r="BA1006" s="1305"/>
      <c r="BC1006" s="169"/>
    </row>
    <row r="1007" spans="19:55" ht="15.75" customHeight="1">
      <c r="S1007" s="454"/>
      <c r="BA1007" s="1305"/>
      <c r="BC1007" s="169"/>
    </row>
    <row r="1008" spans="19:55" ht="15.75" customHeight="1">
      <c r="S1008" s="454"/>
      <c r="BA1008" s="1305"/>
      <c r="BC1008" s="169"/>
    </row>
    <row r="1009" spans="19:55" ht="15.75" customHeight="1">
      <c r="S1009" s="454"/>
      <c r="BA1009" s="1305"/>
      <c r="BC1009" s="169"/>
    </row>
    <row r="1010" spans="19:55" ht="15.75" customHeight="1">
      <c r="S1010" s="454"/>
      <c r="BA1010" s="1305"/>
      <c r="BC1010" s="169"/>
    </row>
    <row r="1011" spans="19:55" ht="15.75" customHeight="1">
      <c r="S1011" s="454"/>
      <c r="BA1011" s="1305"/>
      <c r="BC1011" s="169"/>
    </row>
    <row r="1012" spans="19:55" ht="15.75" customHeight="1">
      <c r="S1012" s="454"/>
      <c r="BA1012" s="1305"/>
      <c r="BC1012" s="169"/>
    </row>
    <row r="1013" spans="19:55" ht="15.75" customHeight="1">
      <c r="S1013" s="454"/>
      <c r="BA1013" s="1305"/>
      <c r="BC1013" s="169"/>
    </row>
    <row r="1014" spans="19:55" ht="15.75" customHeight="1">
      <c r="S1014" s="454"/>
      <c r="BA1014" s="1305"/>
      <c r="BC1014" s="169"/>
    </row>
    <row r="1015" spans="19:55" ht="15.75" customHeight="1">
      <c r="S1015" s="454"/>
      <c r="BA1015" s="1305"/>
      <c r="BC1015" s="169"/>
    </row>
    <row r="1016" spans="19:55" ht="15.75" customHeight="1">
      <c r="S1016" s="454"/>
      <c r="BA1016" s="1305"/>
      <c r="BC1016" s="169"/>
    </row>
    <row r="1017" spans="19:55" ht="15.75" customHeight="1">
      <c r="S1017" s="454"/>
      <c r="BA1017" s="1305"/>
      <c r="BC1017" s="169"/>
    </row>
    <row r="1018" spans="19:55" ht="15.75" customHeight="1">
      <c r="S1018" s="454"/>
      <c r="BA1018" s="1305"/>
      <c r="BC1018" s="169"/>
    </row>
    <row r="1019" spans="19:55" ht="15.75" customHeight="1">
      <c r="S1019" s="454"/>
      <c r="BA1019" s="1305"/>
      <c r="BC1019" s="169"/>
    </row>
    <row r="1020" spans="19:55" ht="15.75" customHeight="1">
      <c r="S1020" s="454"/>
      <c r="BA1020" s="1305"/>
      <c r="BC1020" s="169"/>
    </row>
    <row r="1021" spans="19:55" ht="15.75" customHeight="1">
      <c r="S1021" s="454"/>
      <c r="BA1021" s="1305"/>
      <c r="BC1021" s="169"/>
    </row>
    <row r="1022" spans="19:55" ht="15.75" customHeight="1">
      <c r="S1022" s="454"/>
      <c r="BA1022" s="1305"/>
      <c r="BC1022" s="169"/>
    </row>
    <row r="1023" spans="19:55" ht="15.75" customHeight="1">
      <c r="S1023" s="454"/>
      <c r="BA1023" s="1305"/>
      <c r="BC1023" s="169"/>
    </row>
    <row r="1024" spans="19:55" ht="15.75" customHeight="1">
      <c r="S1024" s="454"/>
      <c r="BA1024" s="1305"/>
      <c r="BC1024" s="169"/>
    </row>
    <row r="1025" spans="19:55" ht="15.75" customHeight="1">
      <c r="S1025" s="454"/>
      <c r="BA1025" s="1305"/>
      <c r="BC1025" s="169"/>
    </row>
    <row r="1026" spans="19:55" ht="15.75" customHeight="1">
      <c r="S1026" s="454"/>
      <c r="BA1026" s="1305"/>
      <c r="BC1026" s="169"/>
    </row>
    <row r="1027" spans="19:55" ht="15.75" customHeight="1">
      <c r="S1027" s="454"/>
      <c r="BA1027" s="1305"/>
      <c r="BC1027" s="169"/>
    </row>
    <row r="1028" spans="19:55" ht="15.75" customHeight="1">
      <c r="S1028" s="454"/>
      <c r="BA1028" s="1305"/>
      <c r="BC1028" s="169"/>
    </row>
    <row r="1029" spans="19:55" ht="15.75" customHeight="1">
      <c r="S1029" s="454"/>
      <c r="BA1029" s="1305"/>
      <c r="BC1029" s="169"/>
    </row>
    <row r="1030" spans="19:55" ht="15.75" customHeight="1">
      <c r="S1030" s="454"/>
      <c r="BA1030" s="1305"/>
      <c r="BC1030" s="169"/>
    </row>
    <row r="1031" spans="19:55" ht="15.75" customHeight="1">
      <c r="S1031" s="454"/>
      <c r="BA1031" s="1305"/>
      <c r="BC1031" s="169"/>
    </row>
    <row r="1032" spans="19:55" ht="15.75" customHeight="1">
      <c r="S1032" s="454"/>
      <c r="BA1032" s="1305"/>
      <c r="BC1032" s="169"/>
    </row>
    <row r="1033" spans="19:55" ht="15.75" customHeight="1">
      <c r="S1033" s="454"/>
      <c r="BA1033" s="1305"/>
      <c r="BC1033" s="169"/>
    </row>
    <row r="1034" spans="19:55" ht="15.75" customHeight="1">
      <c r="S1034" s="454"/>
      <c r="BA1034" s="1305"/>
      <c r="BC1034" s="169"/>
    </row>
    <row r="1035" spans="19:55" ht="15.75" customHeight="1">
      <c r="S1035" s="454"/>
      <c r="BA1035" s="1305"/>
      <c r="BC1035" s="169"/>
    </row>
    <row r="1036" spans="19:55" ht="15.75" customHeight="1">
      <c r="S1036" s="454"/>
      <c r="BA1036" s="1305"/>
      <c r="BC1036" s="169"/>
    </row>
    <row r="1037" spans="19:55" ht="15.75" customHeight="1">
      <c r="S1037" s="454"/>
      <c r="BA1037" s="1305"/>
      <c r="BC1037" s="169"/>
    </row>
    <row r="1038" spans="19:55" ht="15.75" customHeight="1">
      <c r="S1038" s="454"/>
      <c r="BA1038" s="1305"/>
      <c r="BC1038" s="169"/>
    </row>
    <row r="1039" spans="19:55" ht="15.75" customHeight="1">
      <c r="S1039" s="454"/>
      <c r="BA1039" s="1305"/>
      <c r="BC1039" s="169"/>
    </row>
    <row r="1040" spans="19:55" ht="15.75" customHeight="1">
      <c r="S1040" s="454"/>
      <c r="BA1040" s="1305"/>
      <c r="BC1040" s="169"/>
    </row>
    <row r="1041" spans="19:55" ht="15.75" customHeight="1">
      <c r="S1041" s="454"/>
      <c r="BA1041" s="1305"/>
      <c r="BC1041" s="169"/>
    </row>
    <row r="1042" spans="19:55" ht="15.75" customHeight="1">
      <c r="S1042" s="454"/>
      <c r="BA1042" s="1305"/>
      <c r="BC1042" s="169"/>
    </row>
    <row r="1043" spans="19:55" ht="15.75" customHeight="1">
      <c r="S1043" s="454"/>
      <c r="BA1043" s="1305"/>
      <c r="BC1043" s="169"/>
    </row>
    <row r="1044" spans="19:55" ht="15.75" customHeight="1">
      <c r="S1044" s="454"/>
      <c r="BA1044" s="1305"/>
      <c r="BC1044" s="169"/>
    </row>
    <row r="1045" spans="19:55" ht="15.75" customHeight="1">
      <c r="S1045" s="454"/>
      <c r="BA1045" s="1305"/>
      <c r="BC1045" s="169"/>
    </row>
    <row r="1046" spans="19:55" ht="15.75" customHeight="1">
      <c r="S1046" s="454"/>
      <c r="BA1046" s="1305"/>
      <c r="BC1046" s="169"/>
    </row>
    <row r="1047" spans="19:55" ht="15.75" customHeight="1">
      <c r="S1047" s="454"/>
      <c r="BA1047" s="1305"/>
      <c r="BC1047" s="169"/>
    </row>
    <row r="1048" spans="19:55" ht="15.75" customHeight="1">
      <c r="S1048" s="454"/>
      <c r="BA1048" s="1305"/>
      <c r="BC1048" s="169"/>
    </row>
    <row r="1049" spans="19:55" ht="15.75" customHeight="1">
      <c r="S1049" s="454"/>
      <c r="BA1049" s="1305"/>
      <c r="BC1049" s="169"/>
    </row>
    <row r="1050" spans="19:55" ht="15.75" customHeight="1">
      <c r="S1050" s="454"/>
      <c r="BA1050" s="1305"/>
      <c r="BC1050" s="169"/>
    </row>
    <row r="1051" spans="19:55" ht="15.75" customHeight="1">
      <c r="S1051" s="454"/>
      <c r="BA1051" s="1305"/>
      <c r="BC1051" s="169"/>
    </row>
    <row r="1052" spans="19:55" ht="15.75" customHeight="1">
      <c r="S1052" s="454"/>
      <c r="BA1052" s="1305"/>
      <c r="BC1052" s="169"/>
    </row>
    <row r="1053" spans="19:55" ht="15.75" customHeight="1">
      <c r="S1053" s="454"/>
      <c r="BA1053" s="1305"/>
      <c r="BC1053" s="169"/>
    </row>
    <row r="1054" spans="19:55" ht="15.75" customHeight="1">
      <c r="S1054" s="454"/>
      <c r="BA1054" s="1305"/>
      <c r="BC1054" s="169"/>
    </row>
    <row r="1055" spans="19:55" ht="15.75" customHeight="1">
      <c r="S1055" s="454"/>
      <c r="BA1055" s="1305"/>
      <c r="BC1055" s="169"/>
    </row>
    <row r="1056" spans="19:55" ht="15.75" customHeight="1">
      <c r="S1056" s="454"/>
      <c r="BA1056" s="1305"/>
      <c r="BC1056" s="169"/>
    </row>
    <row r="1057" spans="19:55" ht="15.75" customHeight="1">
      <c r="S1057" s="454"/>
      <c r="BA1057" s="1305"/>
      <c r="BC1057" s="169"/>
    </row>
    <row r="1058" spans="19:55" ht="15.75" customHeight="1">
      <c r="S1058" s="454"/>
      <c r="BA1058" s="1305"/>
      <c r="BC1058" s="169"/>
    </row>
    <row r="1059" spans="19:55" ht="15.75" customHeight="1">
      <c r="S1059" s="454"/>
      <c r="BA1059" s="1305"/>
      <c r="BC1059" s="169"/>
    </row>
    <row r="1060" spans="19:55" ht="15.75" customHeight="1">
      <c r="S1060" s="454"/>
      <c r="BA1060" s="1305"/>
      <c r="BC1060" s="169"/>
    </row>
    <row r="1061" spans="19:55" ht="15.75" customHeight="1">
      <c r="S1061" s="454"/>
      <c r="BA1061" s="1305"/>
      <c r="BC1061" s="169"/>
    </row>
    <row r="1062" spans="19:55" ht="15.75" customHeight="1">
      <c r="S1062" s="454"/>
      <c r="BA1062" s="1305"/>
      <c r="BC1062" s="169"/>
    </row>
    <row r="1063" spans="19:55" ht="15.75" customHeight="1">
      <c r="S1063" s="454"/>
      <c r="BA1063" s="1305"/>
      <c r="BC1063" s="169"/>
    </row>
    <row r="1064" spans="19:55" ht="15.75" customHeight="1">
      <c r="S1064" s="454"/>
      <c r="BA1064" s="1305"/>
      <c r="BC1064" s="169"/>
    </row>
    <row r="1065" spans="19:55" ht="15.75" customHeight="1">
      <c r="S1065" s="454"/>
      <c r="BA1065" s="1305"/>
      <c r="BC1065" s="169"/>
    </row>
    <row r="1066" spans="19:55" ht="15.75" customHeight="1">
      <c r="S1066" s="454"/>
      <c r="BA1066" s="1305"/>
      <c r="BC1066" s="169"/>
    </row>
    <row r="1067" spans="19:55" ht="15.75" customHeight="1">
      <c r="S1067" s="454"/>
      <c r="BA1067" s="1305"/>
      <c r="BC1067" s="169"/>
    </row>
    <row r="1068" spans="19:55" ht="15.75" customHeight="1">
      <c r="S1068" s="454"/>
      <c r="BA1068" s="1305"/>
      <c r="BC1068" s="169"/>
    </row>
    <row r="1069" spans="19:55" ht="15.75" customHeight="1">
      <c r="S1069" s="454"/>
      <c r="BA1069" s="1305"/>
      <c r="BC1069" s="169"/>
    </row>
    <row r="1070" spans="19:55" ht="15.75" customHeight="1">
      <c r="S1070" s="454"/>
      <c r="BA1070" s="1305"/>
      <c r="BC1070" s="169"/>
    </row>
    <row r="1071" spans="19:55" ht="15.75" customHeight="1">
      <c r="S1071" s="454"/>
      <c r="BA1071" s="1305"/>
      <c r="BC1071" s="169"/>
    </row>
    <row r="1072" spans="19:55" ht="15.75" customHeight="1">
      <c r="S1072" s="454"/>
      <c r="BA1072" s="1305"/>
      <c r="BC1072" s="169"/>
    </row>
    <row r="1073" spans="19:55" ht="15.75" customHeight="1">
      <c r="S1073" s="454"/>
      <c r="BA1073" s="1305"/>
      <c r="BC1073" s="169"/>
    </row>
    <row r="1074" spans="19:55" ht="15.75" customHeight="1">
      <c r="S1074" s="454"/>
      <c r="BA1074" s="1305"/>
      <c r="BC1074" s="169"/>
    </row>
    <row r="1075" spans="19:55" ht="15.75" customHeight="1">
      <c r="S1075" s="454"/>
      <c r="BA1075" s="1305"/>
      <c r="BC1075" s="169"/>
    </row>
    <row r="1076" spans="19:55" ht="15.75" customHeight="1">
      <c r="S1076" s="454"/>
      <c r="BA1076" s="1305"/>
      <c r="BC1076" s="169"/>
    </row>
    <row r="1077" spans="19:55" ht="15.75" customHeight="1">
      <c r="S1077" s="454"/>
      <c r="BA1077" s="1305"/>
      <c r="BC1077" s="169"/>
    </row>
    <row r="1078" spans="19:55" ht="15.75" customHeight="1">
      <c r="S1078" s="454"/>
      <c r="BA1078" s="1305"/>
      <c r="BC1078" s="169"/>
    </row>
    <row r="1079" spans="19:55" ht="15.75" customHeight="1">
      <c r="S1079" s="454"/>
      <c r="BA1079" s="1305"/>
      <c r="BC1079" s="169"/>
    </row>
    <row r="1080" spans="19:55" ht="15.75" customHeight="1">
      <c r="S1080" s="454"/>
      <c r="BA1080" s="1305"/>
      <c r="BC1080" s="169"/>
    </row>
    <row r="1081" spans="19:55" ht="15.75" customHeight="1">
      <c r="S1081" s="454"/>
      <c r="BA1081" s="1305"/>
      <c r="BC1081" s="169"/>
    </row>
    <row r="1082" spans="19:55" ht="15.75" customHeight="1">
      <c r="S1082" s="454"/>
      <c r="BA1082" s="1305"/>
      <c r="BC1082" s="169"/>
    </row>
    <row r="1083" spans="19:55" ht="15.75" customHeight="1">
      <c r="S1083" s="454"/>
      <c r="BA1083" s="1305"/>
      <c r="BC1083" s="169"/>
    </row>
    <row r="1084" spans="19:55" ht="15.75" customHeight="1">
      <c r="S1084" s="454"/>
      <c r="BA1084" s="1305"/>
      <c r="BC1084" s="169"/>
    </row>
    <row r="1085" spans="19:55" ht="15.75" customHeight="1">
      <c r="S1085" s="454"/>
      <c r="BA1085" s="1305"/>
      <c r="BC1085" s="169"/>
    </row>
    <row r="1086" spans="19:55" ht="15.75" customHeight="1">
      <c r="S1086" s="454"/>
      <c r="BA1086" s="1305"/>
      <c r="BC1086" s="169"/>
    </row>
    <row r="1087" spans="19:55" ht="15.75" customHeight="1">
      <c r="S1087" s="454"/>
      <c r="BA1087" s="1305"/>
      <c r="BC1087" s="169"/>
    </row>
    <row r="1088" spans="19:55" ht="15.75" customHeight="1">
      <c r="S1088" s="454"/>
      <c r="BA1088" s="1305"/>
      <c r="BC1088" s="169"/>
    </row>
    <row r="1089" spans="19:55" ht="15.75" customHeight="1">
      <c r="S1089" s="454"/>
      <c r="BA1089" s="1305"/>
      <c r="BC1089" s="169"/>
    </row>
    <row r="1090" spans="19:55" ht="15.75" customHeight="1">
      <c r="S1090" s="454"/>
      <c r="BA1090" s="1305"/>
      <c r="BC1090" s="169"/>
    </row>
    <row r="1091" spans="19:55" ht="15.75" customHeight="1">
      <c r="S1091" s="454"/>
      <c r="BA1091" s="1305"/>
      <c r="BC1091" s="169"/>
    </row>
    <row r="1092" spans="19:55" ht="15.75" customHeight="1">
      <c r="S1092" s="454"/>
      <c r="BA1092" s="1305"/>
      <c r="BC1092" s="169"/>
    </row>
    <row r="1093" spans="19:55" ht="15.75" customHeight="1">
      <c r="S1093" s="454"/>
      <c r="BA1093" s="1305"/>
      <c r="BC1093" s="169"/>
    </row>
    <row r="1094" spans="19:55" ht="15.75" customHeight="1">
      <c r="S1094" s="454"/>
      <c r="BA1094" s="1305"/>
      <c r="BC1094" s="169"/>
    </row>
    <row r="1095" spans="19:55" ht="15.75" customHeight="1">
      <c r="S1095" s="454"/>
      <c r="BA1095" s="1305"/>
      <c r="BC1095" s="169"/>
    </row>
    <row r="1096" spans="19:55" ht="15.75" customHeight="1">
      <c r="S1096" s="454"/>
      <c r="BA1096" s="1305"/>
      <c r="BC1096" s="169"/>
    </row>
    <row r="1097" spans="19:55" ht="15.75" customHeight="1">
      <c r="S1097" s="454"/>
      <c r="BA1097" s="1305"/>
      <c r="BC1097" s="169"/>
    </row>
    <row r="1098" spans="19:55" ht="15.75" customHeight="1">
      <c r="S1098" s="454"/>
      <c r="BA1098" s="1305"/>
      <c r="BC1098" s="169"/>
    </row>
    <row r="1099" spans="19:55" ht="15.75" customHeight="1">
      <c r="S1099" s="454"/>
      <c r="BA1099" s="1305"/>
      <c r="BC1099" s="169"/>
    </row>
    <row r="1100" spans="19:55" ht="15.75" customHeight="1">
      <c r="S1100" s="454"/>
      <c r="BA1100" s="1266"/>
      <c r="BC1100" s="169"/>
    </row>
    <row r="1101" spans="19:55" ht="15.75" customHeight="1">
      <c r="S1101" s="454"/>
      <c r="BA1101" s="1266"/>
      <c r="BC1101" s="169"/>
    </row>
    <row r="1102" spans="19:55" ht="15.75" customHeight="1">
      <c r="S1102" s="454"/>
      <c r="BA1102" s="1266"/>
      <c r="BC1102" s="169"/>
    </row>
    <row r="1103" spans="19:55" ht="15.75" customHeight="1">
      <c r="S1103" s="454"/>
      <c r="BA1103" s="1266"/>
      <c r="BC1103" s="169"/>
    </row>
    <row r="1104" spans="19:55" ht="15.75" customHeight="1">
      <c r="S1104" s="454"/>
      <c r="BA1104" s="1266"/>
      <c r="BC1104" s="169"/>
    </row>
    <row r="1105" spans="19:55" ht="15.75" customHeight="1">
      <c r="S1105" s="454"/>
      <c r="BA1105" s="1266"/>
      <c r="BC1105" s="169"/>
    </row>
    <row r="1106" spans="19:55" ht="15.75" customHeight="1">
      <c r="S1106" s="454"/>
      <c r="BA1106" s="1266"/>
      <c r="BC1106" s="169"/>
    </row>
    <row r="1107" spans="19:55" ht="15.75" customHeight="1">
      <c r="S1107" s="454"/>
      <c r="BA1107" s="1266"/>
      <c r="BC1107" s="169"/>
    </row>
    <row r="1108" spans="19:55" ht="15.75" customHeight="1">
      <c r="S1108" s="454"/>
      <c r="BA1108" s="1266"/>
      <c r="BC1108" s="169"/>
    </row>
    <row r="1109" spans="19:55" ht="15.75" customHeight="1">
      <c r="S1109" s="454"/>
      <c r="BA1109" s="1266"/>
      <c r="BC1109" s="169"/>
    </row>
    <row r="1110" spans="19:55" ht="15.75" customHeight="1">
      <c r="S1110" s="454"/>
      <c r="BA1110" s="1266"/>
      <c r="BC1110" s="169"/>
    </row>
    <row r="1111" spans="19:55" ht="15.75" customHeight="1">
      <c r="S1111" s="454"/>
      <c r="BA1111" s="1266"/>
      <c r="BC1111" s="169"/>
    </row>
    <row r="1112" spans="19:55" ht="15.75" customHeight="1">
      <c r="S1112" s="454"/>
      <c r="BA1112" s="1266"/>
      <c r="BC1112" s="169"/>
    </row>
    <row r="1113" spans="19:55" ht="15.75" customHeight="1">
      <c r="S1113" s="454"/>
      <c r="BA1113" s="1266"/>
      <c r="BC1113" s="169"/>
    </row>
    <row r="1114" spans="19:55" ht="15.75" customHeight="1">
      <c r="S1114" s="454"/>
      <c r="BA1114" s="1266"/>
      <c r="BC1114" s="169"/>
    </row>
    <row r="1115" spans="19:55" ht="15.75" customHeight="1">
      <c r="S1115" s="454"/>
      <c r="BA1115" s="1266"/>
      <c r="BC1115" s="169"/>
    </row>
    <row r="1116" spans="19:55" ht="15.75" customHeight="1">
      <c r="S1116" s="454"/>
      <c r="BA1116" s="1266"/>
      <c r="BC1116" s="169"/>
    </row>
    <row r="1117" spans="19:55" ht="15.75" customHeight="1">
      <c r="S1117" s="454"/>
      <c r="BA1117" s="1266"/>
      <c r="BC1117" s="169"/>
    </row>
    <row r="1118" spans="19:55" ht="15.75" customHeight="1">
      <c r="S1118" s="454"/>
      <c r="BA1118" s="1266"/>
      <c r="BC1118" s="169"/>
    </row>
    <row r="1119" spans="19:55" ht="15.75" customHeight="1">
      <c r="S1119" s="454"/>
      <c r="BA1119" s="1266"/>
      <c r="BC1119" s="169"/>
    </row>
    <row r="1120" spans="19:55" ht="15.75" customHeight="1">
      <c r="S1120" s="454"/>
      <c r="BA1120" s="1266"/>
      <c r="BC1120" s="169"/>
    </row>
    <row r="1121" spans="19:55" ht="15.75" customHeight="1">
      <c r="S1121" s="454"/>
      <c r="BA1121" s="1266"/>
      <c r="BC1121" s="169"/>
    </row>
    <row r="1122" spans="19:55" ht="15.75" customHeight="1">
      <c r="S1122" s="454"/>
      <c r="BA1122" s="1266"/>
      <c r="BC1122" s="169"/>
    </row>
    <row r="1123" spans="19:55" ht="15.75" customHeight="1">
      <c r="S1123" s="454"/>
      <c r="BA1123" s="1266"/>
      <c r="BC1123" s="169"/>
    </row>
    <row r="1124" spans="19:55" ht="15.75" customHeight="1">
      <c r="S1124" s="454"/>
      <c r="BA1124" s="1266"/>
      <c r="BC1124" s="169"/>
    </row>
    <row r="1125" spans="19:55" ht="15.75" customHeight="1">
      <c r="S1125" s="454"/>
      <c r="BA1125" s="1266"/>
      <c r="BC1125" s="169"/>
    </row>
    <row r="1126" spans="19:55" ht="15.75" customHeight="1">
      <c r="S1126" s="454"/>
      <c r="BA1126" s="1266"/>
      <c r="BC1126" s="169"/>
    </row>
    <row r="1127" spans="19:55" ht="15.75" customHeight="1">
      <c r="S1127" s="454"/>
      <c r="BA1127" s="1266"/>
      <c r="BC1127" s="169"/>
    </row>
    <row r="1128" spans="19:55" ht="15.75" customHeight="1">
      <c r="S1128" s="454"/>
      <c r="BA1128" s="1266"/>
      <c r="BC1128" s="169"/>
    </row>
    <row r="1129" spans="19:55" ht="15.75" customHeight="1">
      <c r="S1129" s="454"/>
      <c r="BA1129" s="1266"/>
      <c r="BC1129" s="169"/>
    </row>
    <row r="1130" spans="19:55" ht="15.75" customHeight="1">
      <c r="S1130" s="454"/>
      <c r="BA1130" s="1266"/>
      <c r="BC1130" s="169"/>
    </row>
    <row r="1131" spans="19:55" ht="15.75" customHeight="1">
      <c r="S1131" s="454"/>
      <c r="BA1131" s="1266"/>
      <c r="BC1131" s="169"/>
    </row>
    <row r="1132" spans="19:55" ht="15.75" customHeight="1">
      <c r="S1132" s="454"/>
      <c r="BA1132" s="1266"/>
      <c r="BC1132" s="169"/>
    </row>
    <row r="1133" spans="19:55" ht="15.75" customHeight="1">
      <c r="S1133" s="454"/>
      <c r="BA1133" s="1266"/>
      <c r="BC1133" s="169"/>
    </row>
    <row r="1134" spans="19:55" ht="15.75" customHeight="1">
      <c r="S1134" s="454"/>
      <c r="BA1134" s="1266"/>
      <c r="BC1134" s="169"/>
    </row>
    <row r="1135" spans="19:55" ht="15.75" customHeight="1">
      <c r="S1135" s="454"/>
      <c r="BA1135" s="1266"/>
      <c r="BC1135" s="169"/>
    </row>
    <row r="1136" spans="19:55" ht="15.75" customHeight="1">
      <c r="S1136" s="454"/>
      <c r="BA1136" s="1266"/>
      <c r="BC1136" s="169"/>
    </row>
    <row r="1137" spans="19:55" ht="15.75" customHeight="1">
      <c r="S1137" s="454"/>
      <c r="BA1137" s="1266"/>
      <c r="BC1137" s="169"/>
    </row>
    <row r="1138" spans="19:55" ht="15.75" customHeight="1">
      <c r="S1138" s="454"/>
      <c r="BA1138" s="1266"/>
      <c r="BC1138" s="169"/>
    </row>
    <row r="1139" spans="19:55" ht="15.75" customHeight="1">
      <c r="S1139" s="454"/>
      <c r="BA1139" s="1266"/>
      <c r="BC1139" s="169"/>
    </row>
    <row r="1140" spans="19:55" ht="15.75" customHeight="1">
      <c r="S1140" s="454"/>
      <c r="BA1140" s="1266"/>
      <c r="BC1140" s="169"/>
    </row>
    <row r="1141" spans="19:55" ht="15.75" customHeight="1">
      <c r="S1141" s="454"/>
      <c r="BA1141" s="1266"/>
      <c r="BC1141" s="169"/>
    </row>
    <row r="1142" spans="19:55" ht="15.75" customHeight="1">
      <c r="S1142" s="454"/>
      <c r="BA1142" s="1266"/>
      <c r="BC1142" s="169"/>
    </row>
    <row r="1143" spans="19:55" ht="15.75" customHeight="1">
      <c r="S1143" s="454"/>
      <c r="BA1143" s="1266"/>
      <c r="BC1143" s="169"/>
    </row>
    <row r="1144" spans="19:55" ht="15.75" customHeight="1">
      <c r="S1144" s="454"/>
      <c r="BA1144" s="1266"/>
      <c r="BC1144" s="169"/>
    </row>
    <row r="1145" spans="19:55" ht="15.75" customHeight="1">
      <c r="S1145" s="454"/>
      <c r="BA1145" s="1266"/>
      <c r="BC1145" s="169"/>
    </row>
    <row r="1146" spans="19:55" ht="15.75" customHeight="1">
      <c r="S1146" s="454"/>
      <c r="BA1146" s="1266"/>
      <c r="BC1146" s="169"/>
    </row>
    <row r="1147" spans="19:55" ht="15.75" customHeight="1">
      <c r="S1147" s="454"/>
      <c r="BA1147" s="1266"/>
      <c r="BC1147" s="169"/>
    </row>
    <row r="1148" spans="19:55" ht="15.75" customHeight="1">
      <c r="S1148" s="454"/>
      <c r="BA1148" s="1266"/>
      <c r="BC1148" s="169"/>
    </row>
    <row r="1149" spans="19:55" ht="15.75" customHeight="1">
      <c r="S1149" s="454"/>
      <c r="BA1149" s="1266"/>
      <c r="BC1149" s="169"/>
    </row>
    <row r="1150" spans="19:55" ht="15.75" customHeight="1">
      <c r="S1150" s="454"/>
      <c r="BA1150" s="1266"/>
      <c r="BC1150" s="169"/>
    </row>
    <row r="1151" spans="19:55" ht="15.75" customHeight="1">
      <c r="S1151" s="454"/>
      <c r="BA1151" s="1266"/>
      <c r="BC1151" s="169"/>
    </row>
    <row r="1152" spans="19:55" ht="15.75" customHeight="1">
      <c r="S1152" s="454"/>
      <c r="BA1152" s="1266"/>
      <c r="BC1152" s="169"/>
    </row>
    <row r="1153" spans="19:55" ht="15.75" customHeight="1">
      <c r="S1153" s="454"/>
      <c r="BA1153" s="1266"/>
      <c r="BC1153" s="169"/>
    </row>
    <row r="1154" spans="19:55" ht="15.75" customHeight="1">
      <c r="S1154" s="454"/>
      <c r="BA1154" s="1266"/>
      <c r="BC1154" s="169"/>
    </row>
    <row r="1155" spans="19:55" ht="15.75" customHeight="1">
      <c r="S1155" s="454"/>
      <c r="BA1155" s="1266"/>
      <c r="BC1155" s="169"/>
    </row>
    <row r="1156" spans="19:55" ht="15.75" customHeight="1">
      <c r="S1156" s="454"/>
      <c r="BA1156" s="1266"/>
      <c r="BC1156" s="169"/>
    </row>
    <row r="1157" spans="19:55" ht="15.75" customHeight="1">
      <c r="S1157" s="454"/>
      <c r="BA1157" s="1266"/>
      <c r="BC1157" s="169"/>
    </row>
    <row r="1158" spans="19:55" ht="15.75" customHeight="1">
      <c r="S1158" s="454"/>
      <c r="BA1158" s="1266"/>
      <c r="BC1158" s="169"/>
    </row>
    <row r="1159" spans="19:55" ht="15.75" customHeight="1">
      <c r="S1159" s="454"/>
      <c r="BA1159" s="1266"/>
      <c r="BC1159" s="169"/>
    </row>
    <row r="1160" spans="19:55" ht="15.75" customHeight="1">
      <c r="S1160" s="454"/>
      <c r="BA1160" s="1266"/>
      <c r="BC1160" s="169"/>
    </row>
    <row r="1161" spans="19:55" ht="15.75" customHeight="1">
      <c r="S1161" s="454"/>
      <c r="BA1161" s="1266"/>
      <c r="BC1161" s="169"/>
    </row>
    <row r="1162" spans="19:55" ht="15.75" customHeight="1">
      <c r="S1162" s="454"/>
      <c r="BA1162" s="1266"/>
      <c r="BC1162" s="169"/>
    </row>
    <row r="1163" spans="19:55" ht="15.75" customHeight="1">
      <c r="S1163" s="454"/>
      <c r="BA1163" s="1266"/>
      <c r="BC1163" s="169"/>
    </row>
    <row r="1164" spans="19:55" ht="15.75" customHeight="1">
      <c r="S1164" s="454"/>
      <c r="BA1164" s="1266"/>
      <c r="BC1164" s="169"/>
    </row>
    <row r="1165" spans="19:55" ht="15.75" customHeight="1">
      <c r="S1165" s="454"/>
      <c r="BA1165" s="1266"/>
      <c r="BC1165" s="169"/>
    </row>
    <row r="1166" spans="19:55" ht="15.75" customHeight="1">
      <c r="S1166" s="454"/>
      <c r="BA1166" s="1266"/>
      <c r="BC1166" s="169"/>
    </row>
    <row r="1167" spans="19:55" ht="15.75" customHeight="1">
      <c r="S1167" s="454"/>
      <c r="BA1167" s="1266"/>
      <c r="BC1167" s="169"/>
    </row>
    <row r="1168" spans="19:55" ht="15.75" customHeight="1">
      <c r="S1168" s="454"/>
      <c r="BA1168" s="1266"/>
      <c r="BC1168" s="169"/>
    </row>
    <row r="1169" spans="19:55" ht="15.75" customHeight="1">
      <c r="S1169" s="454"/>
      <c r="BA1169" s="1266"/>
      <c r="BC1169" s="169"/>
    </row>
    <row r="1170" spans="19:55" ht="15.75" customHeight="1">
      <c r="S1170" s="454"/>
      <c r="BA1170" s="1266"/>
      <c r="BC1170" s="169"/>
    </row>
    <row r="1171" spans="19:55" ht="15.75" customHeight="1">
      <c r="S1171" s="454"/>
      <c r="BA1171" s="1266"/>
      <c r="BC1171" s="169"/>
    </row>
    <row r="1172" spans="19:55" ht="15.75" customHeight="1">
      <c r="S1172" s="454"/>
      <c r="BA1172" s="1266"/>
      <c r="BC1172" s="169"/>
    </row>
    <row r="1173" spans="19:55" ht="15.75" customHeight="1">
      <c r="S1173" s="454"/>
      <c r="BA1173" s="1266"/>
      <c r="BC1173" s="169"/>
    </row>
    <row r="1174" spans="19:55" ht="15.75" customHeight="1">
      <c r="S1174" s="454"/>
      <c r="BA1174" s="1266"/>
      <c r="BC1174" s="169"/>
    </row>
    <row r="1175" spans="19:55" ht="15.75" customHeight="1">
      <c r="S1175" s="454"/>
      <c r="BA1175" s="1266"/>
      <c r="BC1175" s="169"/>
    </row>
    <row r="1176" spans="19:55" ht="15.75" customHeight="1">
      <c r="S1176" s="454"/>
      <c r="BA1176" s="1266"/>
      <c r="BC1176" s="169"/>
    </row>
    <row r="1177" spans="19:55" ht="15.75" customHeight="1">
      <c r="S1177" s="454"/>
      <c r="BA1177" s="1266"/>
      <c r="BC1177" s="169"/>
    </row>
    <row r="1178" spans="19:55" ht="15.75" customHeight="1">
      <c r="S1178" s="454"/>
      <c r="BA1178" s="1266"/>
      <c r="BC1178" s="169"/>
    </row>
    <row r="1179" spans="19:55" ht="15.75" customHeight="1">
      <c r="S1179" s="454"/>
      <c r="BA1179" s="1266"/>
      <c r="BC1179" s="169"/>
    </row>
    <row r="1180" spans="19:55" ht="15.75" customHeight="1">
      <c r="S1180" s="454"/>
      <c r="BA1180" s="1266"/>
      <c r="BC1180" s="169"/>
    </row>
    <row r="1181" spans="19:55" ht="15.75" customHeight="1">
      <c r="S1181" s="454"/>
      <c r="BA1181" s="1266"/>
      <c r="BC1181" s="169"/>
    </row>
    <row r="1182" spans="19:55" ht="15.75" customHeight="1">
      <c r="S1182" s="454"/>
      <c r="BA1182" s="1266"/>
      <c r="BC1182" s="169"/>
    </row>
    <row r="1183" spans="19:55" ht="15.75" customHeight="1">
      <c r="S1183" s="454"/>
      <c r="BA1183" s="1266"/>
      <c r="BC1183" s="169"/>
    </row>
    <row r="1184" spans="19:55" ht="15.75" customHeight="1">
      <c r="S1184" s="454"/>
      <c r="BA1184" s="1266"/>
      <c r="BC1184" s="169"/>
    </row>
    <row r="1185" spans="19:55" ht="15.75" customHeight="1">
      <c r="S1185" s="454"/>
      <c r="BA1185" s="1266"/>
      <c r="BC1185" s="169"/>
    </row>
    <row r="1186" spans="19:55" ht="15.75" customHeight="1">
      <c r="S1186" s="454"/>
      <c r="BA1186" s="1266"/>
      <c r="BC1186" s="169"/>
    </row>
    <row r="1187" spans="19:55" ht="15.75" customHeight="1">
      <c r="S1187" s="454"/>
      <c r="BA1187" s="1266"/>
      <c r="BC1187" s="169"/>
    </row>
    <row r="1188" spans="19:55" ht="15.75" customHeight="1">
      <c r="S1188" s="454"/>
      <c r="BA1188" s="1266"/>
      <c r="BC1188" s="169"/>
    </row>
    <row r="1189" spans="19:55" ht="15.75" customHeight="1">
      <c r="S1189" s="454"/>
      <c r="BA1189" s="1266"/>
      <c r="BC1189" s="169"/>
    </row>
    <row r="1190" spans="19:55" ht="15.75" customHeight="1">
      <c r="S1190" s="454"/>
      <c r="BA1190" s="1266"/>
      <c r="BC1190" s="169"/>
    </row>
    <row r="1191" spans="19:55" ht="15.75" customHeight="1">
      <c r="S1191" s="454"/>
      <c r="BA1191" s="1266"/>
      <c r="BC1191" s="169"/>
    </row>
    <row r="1192" spans="19:55" ht="15.75" customHeight="1">
      <c r="S1192" s="454"/>
      <c r="BA1192" s="1266"/>
      <c r="BC1192" s="169"/>
    </row>
    <row r="1193" spans="19:55" ht="15.75" customHeight="1">
      <c r="S1193" s="454"/>
      <c r="BA1193" s="1266"/>
      <c r="BC1193" s="169"/>
    </row>
    <row r="1194" spans="19:55" ht="15.75" customHeight="1">
      <c r="S1194" s="454"/>
      <c r="BA1194" s="1266"/>
      <c r="BC1194" s="169"/>
    </row>
    <row r="1195" spans="19:55" ht="15.75" customHeight="1">
      <c r="S1195" s="454"/>
      <c r="BA1195" s="1266"/>
      <c r="BC1195" s="169"/>
    </row>
    <row r="1196" spans="19:55" ht="15.75" customHeight="1">
      <c r="S1196" s="454"/>
      <c r="BA1196" s="1266"/>
      <c r="BC1196" s="169"/>
    </row>
    <row r="1197" spans="19:55" ht="15.75" customHeight="1">
      <c r="S1197" s="454"/>
      <c r="BA1197" s="1266"/>
      <c r="BC1197" s="169"/>
    </row>
    <row r="1198" spans="19:55" ht="15.75" customHeight="1">
      <c r="S1198" s="454"/>
      <c r="BA1198" s="1266"/>
      <c r="BC1198" s="169"/>
    </row>
    <row r="1199" spans="19:55" ht="15.75" customHeight="1">
      <c r="S1199" s="454"/>
      <c r="BA1199" s="1266"/>
      <c r="BC1199" s="169"/>
    </row>
    <row r="1200" spans="19:55" ht="15.75" customHeight="1">
      <c r="S1200" s="454"/>
      <c r="BA1200" s="1266"/>
      <c r="BC1200" s="169"/>
    </row>
    <row r="1201" spans="19:55" ht="15.75" customHeight="1">
      <c r="S1201" s="454"/>
      <c r="BA1201" s="1266"/>
      <c r="BC1201" s="169"/>
    </row>
    <row r="1202" spans="19:55" ht="15.75" customHeight="1">
      <c r="S1202" s="454"/>
      <c r="BA1202" s="1266"/>
      <c r="BC1202" s="169"/>
    </row>
    <row r="1203" spans="19:55" ht="15.75" customHeight="1">
      <c r="S1203" s="454"/>
      <c r="BA1203" s="1266"/>
      <c r="BC1203" s="169"/>
    </row>
    <row r="1204" spans="19:55" ht="15.75" customHeight="1">
      <c r="S1204" s="454"/>
      <c r="BA1204" s="1266"/>
      <c r="BC1204" s="169"/>
    </row>
    <row r="1205" spans="19:55" ht="15.75" customHeight="1">
      <c r="S1205" s="454"/>
      <c r="BA1205" s="1266"/>
      <c r="BC1205" s="169"/>
    </row>
    <row r="1206" spans="19:55" ht="15.75" customHeight="1">
      <c r="S1206" s="454"/>
      <c r="BA1206" s="1266"/>
      <c r="BC1206" s="169"/>
    </row>
    <row r="1207" spans="19:55" ht="15.75" customHeight="1">
      <c r="S1207" s="454"/>
      <c r="BA1207" s="1266"/>
      <c r="BC1207" s="169"/>
    </row>
    <row r="1208" spans="19:55" ht="15.75" customHeight="1">
      <c r="S1208" s="454"/>
      <c r="BA1208" s="1266"/>
      <c r="BC1208" s="169"/>
    </row>
    <row r="1209" spans="19:55" ht="15.75" customHeight="1">
      <c r="S1209" s="454"/>
      <c r="BA1209" s="1266"/>
      <c r="BC1209" s="169"/>
    </row>
    <row r="1210" spans="19:55" ht="15.75" customHeight="1">
      <c r="S1210" s="454"/>
      <c r="BA1210" s="1266"/>
      <c r="BC1210" s="169"/>
    </row>
    <row r="1211" spans="19:55" ht="15.75" customHeight="1">
      <c r="S1211" s="454"/>
      <c r="BA1211" s="1266"/>
      <c r="BC1211" s="169"/>
    </row>
    <row r="1212" spans="19:55" ht="15.75" customHeight="1">
      <c r="S1212" s="454"/>
      <c r="BA1212" s="1266"/>
      <c r="BC1212" s="169"/>
    </row>
    <row r="1213" spans="19:55" ht="15.75" customHeight="1">
      <c r="S1213" s="454"/>
      <c r="BA1213" s="1266"/>
      <c r="BC1213" s="169"/>
    </row>
    <row r="1214" spans="19:55" ht="15.75" customHeight="1">
      <c r="S1214" s="454"/>
      <c r="BA1214" s="1266"/>
      <c r="BC1214" s="169"/>
    </row>
    <row r="1215" spans="19:55" ht="15.75" customHeight="1">
      <c r="S1215" s="454"/>
      <c r="BA1215" s="1266"/>
      <c r="BC1215" s="169"/>
    </row>
    <row r="1216" spans="19:55" ht="15.75" customHeight="1">
      <c r="S1216" s="454"/>
      <c r="BA1216" s="1266"/>
      <c r="BC1216" s="169"/>
    </row>
    <row r="1217" spans="19:55" ht="15.75" customHeight="1">
      <c r="S1217" s="454"/>
      <c r="BA1217" s="1266"/>
      <c r="BC1217" s="169"/>
    </row>
    <row r="1218" spans="19:55" ht="15.75" customHeight="1">
      <c r="S1218" s="454"/>
      <c r="BA1218" s="1266"/>
      <c r="BC1218" s="169"/>
    </row>
    <row r="1219" spans="19:55" ht="15.75" customHeight="1">
      <c r="S1219" s="454"/>
      <c r="BA1219" s="1266"/>
      <c r="BC1219" s="169"/>
    </row>
    <row r="1220" spans="19:55" ht="15.75" customHeight="1">
      <c r="S1220" s="454"/>
      <c r="BA1220" s="1266"/>
      <c r="BC1220" s="169"/>
    </row>
    <row r="1221" spans="19:55" ht="15.75" customHeight="1">
      <c r="S1221" s="454"/>
      <c r="BA1221" s="1266"/>
      <c r="BC1221" s="169"/>
    </row>
    <row r="1222" spans="19:55" ht="15.75" customHeight="1">
      <c r="S1222" s="454"/>
      <c r="BA1222" s="1266"/>
      <c r="BC1222" s="169"/>
    </row>
    <row r="1223" spans="19:55" ht="15.75" customHeight="1">
      <c r="S1223" s="454"/>
      <c r="BA1223" s="1266"/>
      <c r="BC1223" s="169"/>
    </row>
    <row r="1224" spans="19:55" ht="15.75" customHeight="1">
      <c r="S1224" s="454"/>
      <c r="BA1224" s="1266"/>
      <c r="BC1224" s="169"/>
    </row>
    <row r="1225" spans="19:55" ht="15.75" customHeight="1">
      <c r="S1225" s="454"/>
      <c r="BA1225" s="1266"/>
      <c r="BC1225" s="169"/>
    </row>
    <row r="1226" spans="19:55" ht="15.75" customHeight="1">
      <c r="S1226" s="454"/>
      <c r="BA1226" s="1266"/>
      <c r="BC1226" s="169"/>
    </row>
    <row r="1227" spans="19:55" ht="15.75" customHeight="1">
      <c r="S1227" s="454"/>
      <c r="BA1227" s="1266"/>
      <c r="BC1227" s="169"/>
    </row>
    <row r="1228" spans="19:55" ht="15.75" customHeight="1">
      <c r="S1228" s="454"/>
      <c r="BA1228" s="1266"/>
      <c r="BC1228" s="169"/>
    </row>
    <row r="1229" spans="19:55" ht="15.75" customHeight="1">
      <c r="S1229" s="454"/>
      <c r="BA1229" s="1266"/>
      <c r="BC1229" s="169"/>
    </row>
    <row r="1230" spans="19:55" ht="15.75" customHeight="1">
      <c r="S1230" s="454"/>
      <c r="BA1230" s="1266"/>
      <c r="BC1230" s="169"/>
    </row>
    <row r="1231" spans="19:55" ht="15.75" customHeight="1">
      <c r="S1231" s="454"/>
      <c r="BA1231" s="1266"/>
      <c r="BC1231" s="169"/>
    </row>
    <row r="1232" spans="19:55" ht="15.75" customHeight="1">
      <c r="S1232" s="454"/>
      <c r="BA1232" s="1266"/>
      <c r="BC1232" s="169"/>
    </row>
    <row r="1233" spans="19:55" ht="15.75" customHeight="1">
      <c r="S1233" s="454"/>
      <c r="BA1233" s="1266"/>
      <c r="BC1233" s="169"/>
    </row>
    <row r="1234" spans="19:55" ht="15.75" customHeight="1">
      <c r="S1234" s="454"/>
      <c r="BA1234" s="1266"/>
      <c r="BC1234" s="169"/>
    </row>
    <row r="1235" spans="19:55" ht="15.75" customHeight="1">
      <c r="S1235" s="454"/>
      <c r="BA1235" s="1266"/>
      <c r="BC1235" s="169"/>
    </row>
    <row r="1236" spans="19:55" ht="15.75" customHeight="1">
      <c r="S1236" s="454"/>
      <c r="BA1236" s="1266"/>
      <c r="BC1236" s="169"/>
    </row>
    <row r="1237" spans="19:55" ht="15.75" customHeight="1">
      <c r="S1237" s="454"/>
      <c r="BA1237" s="1266"/>
      <c r="BC1237" s="169"/>
    </row>
    <row r="1238" spans="19:55" ht="15.75" customHeight="1">
      <c r="S1238" s="454"/>
      <c r="BA1238" s="1266"/>
      <c r="BC1238" s="169"/>
    </row>
    <row r="1239" spans="19:55" ht="15.75" customHeight="1">
      <c r="S1239" s="454"/>
      <c r="BA1239" s="1266"/>
      <c r="BC1239" s="169"/>
    </row>
    <row r="1240" spans="19:55" ht="15.75" customHeight="1">
      <c r="S1240" s="454"/>
      <c r="BA1240" s="1266"/>
      <c r="BC1240" s="169"/>
    </row>
    <row r="1241" spans="19:55" ht="15.75" customHeight="1">
      <c r="S1241" s="454"/>
      <c r="BA1241" s="1266"/>
      <c r="BC1241" s="169"/>
    </row>
    <row r="1242" spans="19:55" ht="15.75" customHeight="1">
      <c r="S1242" s="454"/>
      <c r="BA1242" s="1266"/>
      <c r="BC1242" s="169"/>
    </row>
    <row r="1243" spans="19:55" ht="15.75" customHeight="1">
      <c r="S1243" s="454"/>
      <c r="BA1243" s="1266"/>
      <c r="BC1243" s="169"/>
    </row>
    <row r="1244" spans="19:55" ht="15.75" customHeight="1">
      <c r="S1244" s="454"/>
      <c r="BA1244" s="1266"/>
      <c r="BC1244" s="169"/>
    </row>
    <row r="1245" spans="19:55" ht="15.75" customHeight="1">
      <c r="S1245" s="454"/>
      <c r="BA1245" s="1266"/>
      <c r="BC1245" s="169"/>
    </row>
    <row r="1246" spans="19:55" ht="15.75" customHeight="1">
      <c r="S1246" s="454"/>
      <c r="BA1246" s="1266"/>
      <c r="BC1246" s="169"/>
    </row>
    <row r="1247" spans="19:55" ht="15.75" customHeight="1">
      <c r="S1247" s="454"/>
      <c r="BA1247" s="1266"/>
      <c r="BC1247" s="169"/>
    </row>
    <row r="1248" spans="19:55" ht="15.75" customHeight="1">
      <c r="S1248" s="454"/>
      <c r="BA1248" s="1266"/>
      <c r="BC1248" s="169"/>
    </row>
    <row r="1249" spans="19:55" ht="15.75" customHeight="1">
      <c r="S1249" s="454"/>
      <c r="BA1249" s="1266"/>
      <c r="BC1249" s="169"/>
    </row>
    <row r="1250" spans="19:55" ht="15.75" customHeight="1">
      <c r="S1250" s="454"/>
      <c r="BA1250" s="1266"/>
      <c r="BC1250" s="169"/>
    </row>
    <row r="1251" spans="19:55" ht="15.75" customHeight="1">
      <c r="S1251" s="454"/>
      <c r="BA1251" s="1266"/>
      <c r="BC1251" s="169"/>
    </row>
    <row r="1252" spans="19:55" ht="15.75" customHeight="1">
      <c r="S1252" s="454"/>
      <c r="BA1252" s="1266"/>
      <c r="BC1252" s="169"/>
    </row>
    <row r="1253" spans="19:55" ht="15.75" customHeight="1">
      <c r="S1253" s="454"/>
      <c r="BA1253" s="1266"/>
      <c r="BC1253" s="169"/>
    </row>
    <row r="1254" spans="19:55" ht="15.75" customHeight="1">
      <c r="S1254" s="454"/>
      <c r="BA1254" s="1266"/>
      <c r="BC1254" s="169"/>
    </row>
    <row r="1255" spans="19:55" ht="15.75" customHeight="1">
      <c r="S1255" s="454"/>
      <c r="BA1255" s="1266"/>
      <c r="BC1255" s="169"/>
    </row>
    <row r="1256" spans="19:55" ht="15.75" customHeight="1">
      <c r="S1256" s="454"/>
      <c r="BA1256" s="1266"/>
      <c r="BC1256" s="169"/>
    </row>
    <row r="1257" spans="19:55" ht="15.75" customHeight="1">
      <c r="S1257" s="454"/>
      <c r="BA1257" s="1266"/>
      <c r="BC1257" s="169"/>
    </row>
    <row r="1258" spans="19:55" ht="15.75" customHeight="1">
      <c r="S1258" s="454"/>
      <c r="BA1258" s="1266"/>
      <c r="BC1258" s="169"/>
    </row>
    <row r="1259" spans="19:55" ht="15.75" customHeight="1">
      <c r="S1259" s="454"/>
      <c r="BA1259" s="1266"/>
      <c r="BC1259" s="169"/>
    </row>
    <row r="1260" spans="19:55" ht="15.75" customHeight="1">
      <c r="S1260" s="454"/>
      <c r="BA1260" s="1266"/>
      <c r="BC1260" s="169"/>
    </row>
    <row r="1261" spans="19:55" ht="15.75" customHeight="1">
      <c r="S1261" s="454"/>
      <c r="BA1261" s="1266"/>
      <c r="BC1261" s="169"/>
    </row>
    <row r="1262" spans="19:55" ht="15.75" customHeight="1">
      <c r="S1262" s="454"/>
      <c r="BA1262" s="1266"/>
      <c r="BC1262" s="169"/>
    </row>
    <row r="1263" spans="19:55" ht="15.75" customHeight="1">
      <c r="S1263" s="454"/>
      <c r="BA1263" s="1266"/>
      <c r="BC1263" s="169"/>
    </row>
    <row r="1264" spans="19:55" ht="15.75" customHeight="1">
      <c r="S1264" s="454"/>
      <c r="BA1264" s="1266"/>
      <c r="BC1264" s="169"/>
    </row>
    <row r="1265" spans="19:55" ht="15.75" customHeight="1">
      <c r="S1265" s="454"/>
      <c r="BA1265" s="1266"/>
      <c r="BC1265" s="169"/>
    </row>
    <row r="1266" spans="19:55" ht="15.75" customHeight="1">
      <c r="S1266" s="454"/>
      <c r="BA1266" s="1266"/>
      <c r="BC1266" s="169"/>
    </row>
    <row r="1267" spans="19:55" ht="15.75" customHeight="1">
      <c r="S1267" s="454"/>
      <c r="BA1267" s="1266"/>
      <c r="BC1267" s="169"/>
    </row>
    <row r="1268" spans="19:55" ht="15.75" customHeight="1">
      <c r="S1268" s="454"/>
      <c r="BA1268" s="1266"/>
      <c r="BC1268" s="169"/>
    </row>
    <row r="1269" spans="19:55" ht="15.75" customHeight="1">
      <c r="S1269" s="454"/>
      <c r="BA1269" s="1266"/>
      <c r="BC1269" s="169"/>
    </row>
    <row r="1270" spans="19:55" ht="15.75" customHeight="1">
      <c r="S1270" s="454"/>
      <c r="BA1270" s="1266"/>
      <c r="BC1270" s="169"/>
    </row>
    <row r="1271" spans="19:55" ht="15.75" customHeight="1">
      <c r="S1271" s="454"/>
      <c r="BA1271" s="1266"/>
      <c r="BC1271" s="169"/>
    </row>
    <row r="1272" spans="19:55" ht="15.75" customHeight="1">
      <c r="S1272" s="454"/>
      <c r="BA1272" s="1266"/>
      <c r="BC1272" s="169"/>
    </row>
    <row r="1273" spans="19:55" ht="15.75" customHeight="1">
      <c r="S1273" s="454"/>
      <c r="BA1273" s="1266"/>
      <c r="BC1273" s="169"/>
    </row>
    <row r="1274" spans="19:55" ht="15.75" customHeight="1">
      <c r="S1274" s="454"/>
      <c r="BA1274" s="1266"/>
      <c r="BC1274" s="169"/>
    </row>
    <row r="1275" spans="19:55" ht="15.75" customHeight="1">
      <c r="S1275" s="454"/>
      <c r="BA1275" s="1266"/>
      <c r="BC1275" s="169"/>
    </row>
    <row r="1276" spans="19:55" ht="15.75" customHeight="1">
      <c r="S1276" s="454"/>
      <c r="BA1276" s="1266"/>
      <c r="BC1276" s="169"/>
    </row>
    <row r="1277" spans="19:55" ht="15.75" customHeight="1">
      <c r="S1277" s="454"/>
      <c r="BA1277" s="1266"/>
      <c r="BC1277" s="169"/>
    </row>
    <row r="1278" spans="19:55" ht="15.75" customHeight="1">
      <c r="S1278" s="454"/>
      <c r="BA1278" s="1266"/>
      <c r="BC1278" s="169"/>
    </row>
    <row r="1279" spans="19:55" ht="15.75" customHeight="1">
      <c r="S1279" s="454"/>
      <c r="BA1279" s="1266"/>
      <c r="BC1279" s="169"/>
    </row>
    <row r="1280" spans="19:55" ht="15.75" customHeight="1">
      <c r="S1280" s="454"/>
      <c r="BA1280" s="1266"/>
      <c r="BC1280" s="169"/>
    </row>
    <row r="1281" spans="19:55" ht="15.75" customHeight="1">
      <c r="S1281" s="454"/>
      <c r="BA1281" s="1266"/>
      <c r="BC1281" s="169"/>
    </row>
    <row r="1282" spans="19:55" ht="15.75" customHeight="1">
      <c r="S1282" s="454"/>
      <c r="BA1282" s="1266"/>
      <c r="BC1282" s="169"/>
    </row>
    <row r="1283" spans="19:55" ht="15.75" customHeight="1">
      <c r="S1283" s="454"/>
      <c r="BA1283" s="1266"/>
      <c r="BC1283" s="169"/>
    </row>
    <row r="1284" spans="19:55" ht="15.75" customHeight="1">
      <c r="S1284" s="454"/>
      <c r="BA1284" s="1266"/>
      <c r="BC1284" s="169"/>
    </row>
    <row r="1285" spans="19:55" ht="15.75" customHeight="1">
      <c r="S1285" s="454"/>
      <c r="BA1285" s="1266"/>
      <c r="BC1285" s="169"/>
    </row>
    <row r="1286" spans="19:55" ht="15.75" customHeight="1">
      <c r="S1286" s="454"/>
      <c r="BA1286" s="1266"/>
      <c r="BC1286" s="169"/>
    </row>
    <row r="1287" spans="19:55" ht="15.75" customHeight="1">
      <c r="S1287" s="454"/>
      <c r="BA1287" s="1266"/>
      <c r="BC1287" s="169"/>
    </row>
    <row r="1288" spans="19:55" ht="15.75" customHeight="1">
      <c r="S1288" s="454"/>
      <c r="BA1288" s="1266"/>
      <c r="BC1288" s="169"/>
    </row>
    <row r="1289" spans="19:55" ht="15.75" customHeight="1">
      <c r="S1289" s="454"/>
      <c r="BA1289" s="1266"/>
      <c r="BC1289" s="169"/>
    </row>
    <row r="1290" spans="19:55" ht="15.75" customHeight="1">
      <c r="S1290" s="454"/>
      <c r="BA1290" s="1266"/>
      <c r="BC1290" s="169"/>
    </row>
    <row r="1291" spans="19:55" ht="15.75" customHeight="1">
      <c r="S1291" s="454"/>
      <c r="BA1291" s="1266"/>
      <c r="BC1291" s="169"/>
    </row>
    <row r="1292" spans="19:55" ht="15.75" customHeight="1">
      <c r="S1292" s="454"/>
      <c r="BA1292" s="1266"/>
      <c r="BC1292" s="169"/>
    </row>
    <row r="1293" spans="19:55" ht="15.75" customHeight="1">
      <c r="S1293" s="454"/>
      <c r="BA1293" s="1266"/>
      <c r="BC1293" s="169"/>
    </row>
    <row r="1294" spans="19:55" ht="15.75" customHeight="1">
      <c r="S1294" s="454"/>
      <c r="BA1294" s="1266"/>
      <c r="BC1294" s="169"/>
    </row>
    <row r="1295" spans="19:55" ht="15.75" customHeight="1">
      <c r="S1295" s="454"/>
      <c r="BA1295" s="1266"/>
      <c r="BC1295" s="169"/>
    </row>
    <row r="1296" spans="19:55" ht="15.75" customHeight="1">
      <c r="S1296" s="454"/>
      <c r="BA1296" s="1266"/>
      <c r="BC1296" s="169"/>
    </row>
    <row r="1297" spans="19:55" ht="15.75" customHeight="1">
      <c r="S1297" s="454"/>
      <c r="BA1297" s="1266"/>
      <c r="BC1297" s="169"/>
    </row>
    <row r="1298" spans="19:55" ht="15.75" customHeight="1">
      <c r="S1298" s="454"/>
      <c r="BA1298" s="1266"/>
      <c r="BC1298" s="169"/>
    </row>
    <row r="1299" spans="19:55" ht="15.75" customHeight="1">
      <c r="S1299" s="454"/>
      <c r="BA1299" s="1266"/>
      <c r="BC1299" s="169"/>
    </row>
    <row r="1300" spans="19:55" ht="15.75" customHeight="1">
      <c r="S1300" s="454"/>
      <c r="BA1300" s="1266"/>
      <c r="BC1300" s="169"/>
    </row>
    <row r="1301" spans="19:55" ht="15.75" customHeight="1">
      <c r="S1301" s="454"/>
      <c r="BA1301" s="1266"/>
      <c r="BC1301" s="169"/>
    </row>
    <row r="1302" spans="19:55" ht="15.75" customHeight="1">
      <c r="S1302" s="454"/>
      <c r="BA1302" s="1266"/>
      <c r="BC1302" s="169"/>
    </row>
    <row r="1303" spans="19:55" ht="15.75" customHeight="1">
      <c r="S1303" s="454"/>
      <c r="BA1303" s="1266"/>
      <c r="BC1303" s="169"/>
    </row>
    <row r="1304" spans="19:55" ht="15.75" customHeight="1">
      <c r="S1304" s="454"/>
      <c r="BA1304" s="1266"/>
      <c r="BC1304" s="169"/>
    </row>
    <row r="1305" spans="19:55" ht="15.75" customHeight="1">
      <c r="S1305" s="454"/>
      <c r="BC1305" s="169"/>
    </row>
    <row r="1306" spans="19:55" ht="15.75" customHeight="1">
      <c r="S1306" s="454"/>
      <c r="BC1306" s="169"/>
    </row>
    <row r="1307" spans="19:55" ht="15.75" customHeight="1">
      <c r="S1307" s="454"/>
      <c r="BC1307" s="169"/>
    </row>
    <row r="1308" spans="19:55" ht="15.75" customHeight="1">
      <c r="S1308" s="454"/>
      <c r="BC1308" s="169"/>
    </row>
    <row r="1309" spans="19:55" ht="15.75" customHeight="1">
      <c r="S1309" s="454"/>
      <c r="BC1309" s="169"/>
    </row>
    <row r="1310" spans="19:55" ht="15.75" customHeight="1">
      <c r="S1310" s="454"/>
      <c r="BC1310" s="169"/>
    </row>
    <row r="1311" spans="19:55" ht="15.75" customHeight="1">
      <c r="S1311" s="454"/>
      <c r="BC1311" s="169"/>
    </row>
    <row r="1312" spans="19:55" ht="15.75" customHeight="1">
      <c r="S1312" s="454"/>
      <c r="BC1312" s="169"/>
    </row>
    <row r="1313" spans="19:55" ht="15.75" customHeight="1">
      <c r="S1313" s="454"/>
      <c r="BC1313" s="169"/>
    </row>
    <row r="1314" spans="19:55" ht="15.75" customHeight="1">
      <c r="S1314" s="454"/>
      <c r="BC1314" s="169"/>
    </row>
    <row r="1315" spans="19:55" ht="15.75" customHeight="1">
      <c r="S1315" s="454"/>
      <c r="BC1315" s="169"/>
    </row>
    <row r="1316" spans="19:55" ht="15.75" customHeight="1">
      <c r="S1316" s="454"/>
      <c r="BC1316" s="169"/>
    </row>
    <row r="1317" spans="19:55" ht="15.75" customHeight="1">
      <c r="S1317" s="454"/>
      <c r="BC1317" s="169"/>
    </row>
    <row r="1318" spans="19:55" ht="15.75" customHeight="1">
      <c r="S1318" s="454"/>
      <c r="BC1318" s="169"/>
    </row>
    <row r="1319" spans="19:55" ht="15.75" customHeight="1">
      <c r="S1319" s="454"/>
      <c r="BC1319" s="169"/>
    </row>
    <row r="1320" spans="19:55" ht="15.75" customHeight="1">
      <c r="S1320" s="454"/>
      <c r="BC1320" s="169"/>
    </row>
    <row r="1321" spans="19:55" ht="15.75" customHeight="1">
      <c r="S1321" s="454"/>
      <c r="BC1321" s="169"/>
    </row>
    <row r="1322" spans="19:55" ht="15.75" customHeight="1">
      <c r="S1322" s="454"/>
      <c r="BC1322" s="169"/>
    </row>
    <row r="1323" spans="19:55" ht="15.75" customHeight="1">
      <c r="S1323" s="454"/>
      <c r="BC1323" s="169"/>
    </row>
    <row r="1324" spans="19:55" ht="15.75" customHeight="1">
      <c r="S1324" s="454"/>
      <c r="BC1324" s="169"/>
    </row>
    <row r="1325" spans="19:55" ht="15.75" customHeight="1">
      <c r="S1325" s="454"/>
      <c r="BC1325" s="169"/>
    </row>
    <row r="1326" spans="19:55" ht="15.75" customHeight="1">
      <c r="S1326" s="454"/>
      <c r="BC1326" s="169"/>
    </row>
    <row r="1327" spans="19:55" ht="15.75" customHeight="1">
      <c r="S1327" s="454"/>
      <c r="BC1327" s="169"/>
    </row>
    <row r="1328" spans="19:55" ht="15.75" customHeight="1">
      <c r="S1328" s="454"/>
      <c r="BC1328" s="169"/>
    </row>
    <row r="1329" spans="19:55" ht="15.75" customHeight="1">
      <c r="S1329" s="454"/>
      <c r="BC1329" s="169"/>
    </row>
    <row r="1330" spans="19:55" ht="15.75" customHeight="1">
      <c r="S1330" s="454"/>
      <c r="BC1330" s="169"/>
    </row>
    <row r="1331" spans="19:55" ht="15.75" customHeight="1">
      <c r="S1331" s="454"/>
      <c r="BC1331" s="169"/>
    </row>
    <row r="1332" spans="19:55" ht="15.75" customHeight="1">
      <c r="S1332" s="454"/>
      <c r="BC1332" s="169"/>
    </row>
    <row r="1333" spans="19:55" ht="15.75" customHeight="1">
      <c r="S1333" s="454"/>
      <c r="BC1333" s="169"/>
    </row>
    <row r="1334" spans="19:55" ht="15.75" customHeight="1">
      <c r="S1334" s="454"/>
      <c r="BC1334" s="169"/>
    </row>
    <row r="1335" spans="19:55" ht="15.75" customHeight="1">
      <c r="S1335" s="454"/>
      <c r="BC1335" s="169"/>
    </row>
    <row r="1336" spans="19:55" ht="15.75" customHeight="1">
      <c r="S1336" s="454"/>
      <c r="BC1336" s="169"/>
    </row>
    <row r="1337" spans="19:55" ht="15.75" customHeight="1">
      <c r="S1337" s="454"/>
      <c r="BC1337" s="169"/>
    </row>
    <row r="1338" spans="19:55" ht="15.75" customHeight="1">
      <c r="S1338" s="454"/>
      <c r="BC1338" s="169"/>
    </row>
    <row r="1339" spans="19:55" ht="15.75" customHeight="1">
      <c r="S1339" s="454"/>
      <c r="BC1339" s="169"/>
    </row>
    <row r="1340" spans="19:55" ht="15.75" customHeight="1">
      <c r="S1340" s="454"/>
      <c r="BC1340" s="169"/>
    </row>
    <row r="1341" spans="19:55" ht="15.75" customHeight="1">
      <c r="S1341" s="454"/>
      <c r="BC1341" s="169"/>
    </row>
    <row r="1342" spans="19:55" ht="15.75" customHeight="1">
      <c r="S1342" s="454"/>
      <c r="BC1342" s="169"/>
    </row>
    <row r="1343" spans="19:55" ht="15.75" customHeight="1">
      <c r="S1343" s="454"/>
      <c r="BC1343" s="169"/>
    </row>
    <row r="1344" spans="19:55" ht="15.75" customHeight="1">
      <c r="S1344" s="454"/>
      <c r="BC1344" s="169"/>
    </row>
    <row r="1345" spans="19:55" ht="15.75" customHeight="1">
      <c r="S1345" s="454"/>
      <c r="BC1345" s="169"/>
    </row>
    <row r="1346" spans="19:55" ht="15.75" customHeight="1">
      <c r="S1346" s="454"/>
      <c r="BC1346" s="169"/>
    </row>
    <row r="1347" spans="19:55" ht="15.75" customHeight="1">
      <c r="S1347" s="454"/>
      <c r="BC1347" s="169"/>
    </row>
    <row r="1348" spans="19:55" ht="15.75" customHeight="1">
      <c r="S1348" s="454"/>
      <c r="BC1348" s="169"/>
    </row>
    <row r="1349" spans="19:55" ht="15.75" customHeight="1">
      <c r="S1349" s="454"/>
      <c r="BC1349" s="169"/>
    </row>
    <row r="1350" spans="19:55" ht="15.75" customHeight="1">
      <c r="S1350" s="454"/>
      <c r="BC1350" s="169"/>
    </row>
    <row r="1351" spans="19:55" ht="15.75" customHeight="1">
      <c r="S1351" s="454"/>
      <c r="BC1351" s="169"/>
    </row>
    <row r="1352" spans="19:55" ht="15.75" customHeight="1">
      <c r="S1352" s="454"/>
      <c r="BC1352" s="169"/>
    </row>
    <row r="1353" spans="19:55" ht="15.75" customHeight="1">
      <c r="S1353" s="454"/>
      <c r="BC1353" s="169"/>
    </row>
    <row r="1354" spans="19:55" ht="15.75" customHeight="1">
      <c r="S1354" s="454"/>
      <c r="BC1354" s="169"/>
    </row>
    <row r="1355" spans="19:55" ht="15.75" customHeight="1">
      <c r="S1355" s="454"/>
      <c r="BC1355" s="169"/>
    </row>
    <row r="1356" spans="19:55" ht="15.75" customHeight="1">
      <c r="S1356" s="454"/>
      <c r="BC1356" s="169"/>
    </row>
    <row r="1357" spans="19:55" ht="15.75" customHeight="1">
      <c r="S1357" s="454"/>
      <c r="BC1357" s="169"/>
    </row>
    <row r="1358" spans="19:55" ht="15.75" customHeight="1">
      <c r="S1358" s="454"/>
      <c r="BC1358" s="169"/>
    </row>
    <row r="1359" spans="19:55" ht="15.75" customHeight="1">
      <c r="S1359" s="454"/>
      <c r="BC1359" s="169"/>
    </row>
    <row r="1360" spans="19:55" ht="15.75" customHeight="1">
      <c r="S1360" s="454"/>
      <c r="BC1360" s="169"/>
    </row>
    <row r="1361" spans="19:55" ht="15.75" customHeight="1">
      <c r="S1361" s="454"/>
      <c r="BC1361" s="169"/>
    </row>
    <row r="1362" spans="19:55" ht="15.75" customHeight="1">
      <c r="S1362" s="454"/>
      <c r="BC1362" s="169"/>
    </row>
    <row r="1363" spans="19:55" ht="15.75" customHeight="1">
      <c r="S1363" s="454"/>
      <c r="BC1363" s="169"/>
    </row>
    <row r="1364" spans="19:55" ht="15.75" customHeight="1">
      <c r="S1364" s="454"/>
      <c r="BC1364" s="169"/>
    </row>
    <row r="1365" spans="19:55" ht="15.75" customHeight="1">
      <c r="S1365" s="454"/>
      <c r="BC1365" s="169"/>
    </row>
    <row r="1366" spans="19:55" ht="15.75" customHeight="1">
      <c r="S1366" s="454"/>
      <c r="BC1366" s="169"/>
    </row>
    <row r="1367" spans="19:55" ht="15.75" customHeight="1">
      <c r="S1367" s="454"/>
      <c r="BC1367" s="169"/>
    </row>
    <row r="1368" spans="19:55" ht="15.75" customHeight="1">
      <c r="S1368" s="454"/>
      <c r="BC1368" s="169"/>
    </row>
    <row r="1369" spans="19:55" ht="15.75" customHeight="1">
      <c r="S1369" s="454"/>
      <c r="BC1369" s="169"/>
    </row>
    <row r="1370" spans="19:55" ht="15.75" customHeight="1">
      <c r="S1370" s="454"/>
      <c r="BC1370" s="169"/>
    </row>
    <row r="1371" spans="19:55" ht="15.75" customHeight="1">
      <c r="S1371" s="454"/>
      <c r="BC1371" s="169"/>
    </row>
    <row r="1372" spans="19:55" ht="15.75" customHeight="1">
      <c r="S1372" s="454"/>
      <c r="BC1372" s="169"/>
    </row>
    <row r="1373" spans="19:55" ht="15.75" customHeight="1">
      <c r="S1373" s="454"/>
      <c r="BC1373" s="169"/>
    </row>
    <row r="1374" spans="19:55" ht="15.75" customHeight="1">
      <c r="S1374" s="454"/>
      <c r="BC1374" s="169"/>
    </row>
    <row r="1375" spans="19:55" ht="15.75" customHeight="1">
      <c r="S1375" s="454"/>
      <c r="BC1375" s="169"/>
    </row>
    <row r="1376" spans="19:55" ht="15.75" customHeight="1">
      <c r="S1376" s="454"/>
      <c r="BC1376" s="169"/>
    </row>
    <row r="1377" spans="19:55" ht="15.75" customHeight="1">
      <c r="S1377" s="454"/>
      <c r="BC1377" s="169"/>
    </row>
    <row r="1378" spans="19:55" ht="15.75" customHeight="1">
      <c r="S1378" s="454"/>
      <c r="BC1378" s="169"/>
    </row>
    <row r="1379" spans="19:55" ht="15.75" customHeight="1">
      <c r="S1379" s="454"/>
      <c r="BC1379" s="169"/>
    </row>
    <row r="1380" spans="19:55" ht="15.75" customHeight="1">
      <c r="S1380" s="454"/>
      <c r="BC1380" s="169"/>
    </row>
    <row r="1381" spans="19:55" ht="15.75" customHeight="1">
      <c r="S1381" s="454"/>
      <c r="BC1381" s="169"/>
    </row>
    <row r="1382" spans="19:55" ht="15.75" customHeight="1">
      <c r="S1382" s="454"/>
      <c r="BC1382" s="169"/>
    </row>
    <row r="1383" spans="19:55" ht="15.75" customHeight="1">
      <c r="S1383" s="454"/>
      <c r="BC1383" s="169"/>
    </row>
    <row r="1384" spans="19:55" ht="15.75" customHeight="1">
      <c r="S1384" s="454"/>
      <c r="BC1384" s="169"/>
    </row>
    <row r="1385" spans="19:55" ht="15.75" customHeight="1">
      <c r="S1385" s="454"/>
      <c r="BC1385" s="169"/>
    </row>
    <row r="1386" spans="19:55" ht="15.75" customHeight="1">
      <c r="S1386" s="454"/>
      <c r="BC1386" s="169"/>
    </row>
    <row r="1387" spans="19:55" ht="15.75" customHeight="1">
      <c r="S1387" s="454"/>
      <c r="BC1387" s="169"/>
    </row>
    <row r="1388" spans="19:55" ht="15.75" customHeight="1">
      <c r="S1388" s="454"/>
      <c r="BC1388" s="169"/>
    </row>
    <row r="1389" spans="19:55" ht="15.75" customHeight="1">
      <c r="S1389" s="454"/>
      <c r="BC1389" s="169"/>
    </row>
    <row r="1390" spans="19:55" ht="15.75" customHeight="1">
      <c r="S1390" s="454"/>
      <c r="BC1390" s="169"/>
    </row>
    <row r="1391" spans="19:55" ht="15.75" customHeight="1">
      <c r="S1391" s="454"/>
      <c r="BC1391" s="169"/>
    </row>
    <row r="1392" spans="19:55" ht="15.75" customHeight="1">
      <c r="S1392" s="454"/>
      <c r="BC1392" s="169"/>
    </row>
    <row r="1393" spans="19:55" ht="15.75" customHeight="1">
      <c r="S1393" s="454"/>
      <c r="BC1393" s="169"/>
    </row>
    <row r="1394" spans="19:55" ht="15.75" customHeight="1">
      <c r="S1394" s="454"/>
      <c r="BC1394" s="169"/>
    </row>
    <row r="1395" spans="19:55" ht="15.75" customHeight="1">
      <c r="S1395" s="454"/>
      <c r="BC1395" s="169"/>
    </row>
    <row r="1396" spans="19:55" ht="15.75" customHeight="1">
      <c r="S1396" s="454"/>
      <c r="BC1396" s="169"/>
    </row>
    <row r="1397" spans="19:55" ht="15.75" customHeight="1">
      <c r="S1397" s="454"/>
      <c r="BC1397" s="169"/>
    </row>
    <row r="1398" spans="19:55" ht="15.75" customHeight="1">
      <c r="S1398" s="454"/>
      <c r="BC1398" s="169"/>
    </row>
    <row r="1399" spans="19:55" ht="15.75" customHeight="1">
      <c r="S1399" s="454"/>
      <c r="BC1399" s="169"/>
    </row>
    <row r="1400" spans="19:55" ht="15.75" customHeight="1">
      <c r="S1400" s="454"/>
      <c r="BC1400" s="169"/>
    </row>
    <row r="1401" spans="19:55" ht="15.75" customHeight="1">
      <c r="S1401" s="454"/>
      <c r="BC1401" s="169"/>
    </row>
    <row r="1402" spans="19:55" ht="15.75" customHeight="1">
      <c r="S1402" s="454"/>
      <c r="BC1402" s="169"/>
    </row>
    <row r="1403" spans="19:55" ht="15.75" customHeight="1">
      <c r="S1403" s="454"/>
      <c r="BC1403" s="169"/>
    </row>
    <row r="1404" spans="19:55" ht="15.75" customHeight="1">
      <c r="S1404" s="454"/>
      <c r="BC1404" s="169"/>
    </row>
    <row r="1405" spans="19:55" ht="15.75" customHeight="1">
      <c r="S1405" s="454"/>
      <c r="BC1405" s="169"/>
    </row>
    <row r="1406" spans="19:55" ht="15.75" customHeight="1">
      <c r="S1406" s="454"/>
      <c r="BC1406" s="169"/>
    </row>
    <row r="1407" spans="19:55" ht="15.75" customHeight="1">
      <c r="S1407" s="454"/>
      <c r="BC1407" s="169"/>
    </row>
    <row r="1408" spans="19:55" ht="15.75" customHeight="1">
      <c r="S1408" s="454"/>
      <c r="BC1408" s="169"/>
    </row>
    <row r="1409" spans="19:55" ht="15.75" customHeight="1">
      <c r="S1409" s="454"/>
      <c r="BC1409" s="169"/>
    </row>
    <row r="1410" spans="19:55" ht="15.75" customHeight="1">
      <c r="S1410" s="454"/>
      <c r="BC1410" s="169"/>
    </row>
    <row r="1411" spans="19:55" ht="15.75" customHeight="1">
      <c r="S1411" s="454"/>
      <c r="BC1411" s="169"/>
    </row>
    <row r="1412" spans="19:55" ht="15.75" customHeight="1">
      <c r="S1412" s="454"/>
      <c r="BC1412" s="169"/>
    </row>
    <row r="1413" spans="19:55" ht="15.75" customHeight="1">
      <c r="S1413" s="454"/>
      <c r="BC1413" s="169"/>
    </row>
    <row r="1414" spans="19:55" ht="15.75" customHeight="1">
      <c r="S1414" s="454"/>
      <c r="BC1414" s="169"/>
    </row>
    <row r="1415" spans="19:55" ht="15.75" customHeight="1">
      <c r="S1415" s="454"/>
      <c r="BC1415" s="169"/>
    </row>
    <row r="1416" spans="19:55" ht="15.75" customHeight="1">
      <c r="S1416" s="454"/>
      <c r="BC1416" s="169"/>
    </row>
    <row r="1417" spans="19:55" ht="15.75" customHeight="1">
      <c r="S1417" s="454"/>
      <c r="BC1417" s="169"/>
    </row>
    <row r="1418" spans="19:55" ht="15.75" customHeight="1">
      <c r="S1418" s="454"/>
      <c r="BC1418" s="169"/>
    </row>
    <row r="1419" spans="19:55" ht="15.75" customHeight="1">
      <c r="S1419" s="454"/>
      <c r="BC1419" s="169"/>
    </row>
    <row r="1420" spans="19:55" ht="15.75" customHeight="1">
      <c r="S1420" s="454"/>
      <c r="BC1420" s="169"/>
    </row>
    <row r="1421" spans="19:55" ht="15.75" customHeight="1">
      <c r="S1421" s="454"/>
      <c r="BC1421" s="169"/>
    </row>
    <row r="1422" spans="19:55" ht="15.75" customHeight="1">
      <c r="S1422" s="454"/>
      <c r="BC1422" s="169"/>
    </row>
    <row r="1423" spans="19:55" ht="15.75" customHeight="1">
      <c r="S1423" s="454"/>
      <c r="BC1423" s="169"/>
    </row>
    <row r="1424" spans="19:55" ht="15.75" customHeight="1">
      <c r="S1424" s="454"/>
      <c r="BC1424" s="169"/>
    </row>
    <row r="1425" spans="19:55" ht="15.75" customHeight="1">
      <c r="S1425" s="454"/>
      <c r="BC1425" s="169"/>
    </row>
    <row r="1426" spans="19:55" ht="15.75" customHeight="1">
      <c r="S1426" s="454"/>
      <c r="BC1426" s="169"/>
    </row>
    <row r="1427" spans="19:55" ht="15.75" customHeight="1">
      <c r="S1427" s="454"/>
      <c r="BC1427" s="169"/>
    </row>
    <row r="1428" spans="19:55" ht="15.75" customHeight="1">
      <c r="S1428" s="454"/>
      <c r="BC1428" s="169"/>
    </row>
    <row r="1429" spans="19:55" ht="15.75" customHeight="1">
      <c r="S1429" s="454"/>
      <c r="BC1429" s="169"/>
    </row>
    <row r="1430" spans="19:55" ht="15.75" customHeight="1">
      <c r="S1430" s="454"/>
      <c r="BC1430" s="169"/>
    </row>
    <row r="1431" spans="19:55" ht="15.75" customHeight="1">
      <c r="S1431" s="454"/>
      <c r="BC1431" s="169"/>
    </row>
    <row r="1432" spans="19:55" ht="15.75" customHeight="1">
      <c r="S1432" s="454"/>
      <c r="BC1432" s="169"/>
    </row>
    <row r="1433" spans="19:55" ht="15.75" customHeight="1">
      <c r="S1433" s="454"/>
      <c r="BC1433" s="169"/>
    </row>
    <row r="1434" spans="19:55" ht="15.75" customHeight="1">
      <c r="S1434" s="454"/>
      <c r="BC1434" s="169"/>
    </row>
    <row r="1435" spans="19:55" ht="15.75" customHeight="1">
      <c r="S1435" s="454"/>
      <c r="BC1435" s="169"/>
    </row>
    <row r="1436" spans="19:55" ht="15.75" customHeight="1">
      <c r="S1436" s="454"/>
      <c r="BC1436" s="169"/>
    </row>
    <row r="1437" spans="19:55" ht="15.75" customHeight="1">
      <c r="S1437" s="454"/>
      <c r="BC1437" s="169"/>
    </row>
    <row r="1438" spans="19:55" ht="15.75" customHeight="1">
      <c r="S1438" s="454"/>
      <c r="BC1438" s="169"/>
    </row>
    <row r="1439" spans="19:55" ht="15.75" customHeight="1">
      <c r="S1439" s="454"/>
      <c r="BC1439" s="169"/>
    </row>
    <row r="1440" spans="19:55" ht="15.75" customHeight="1">
      <c r="S1440" s="454"/>
      <c r="BC1440" s="169"/>
    </row>
    <row r="1441" spans="19:55" ht="15.75" customHeight="1">
      <c r="S1441" s="454"/>
      <c r="BC1441" s="169"/>
    </row>
    <row r="1442" spans="19:55" ht="15.75" customHeight="1">
      <c r="S1442" s="454"/>
      <c r="BC1442" s="169"/>
    </row>
    <row r="1443" spans="19:55" ht="15.75" customHeight="1">
      <c r="S1443" s="454"/>
      <c r="BC1443" s="169"/>
    </row>
    <row r="1444" spans="19:55" ht="15.75" customHeight="1">
      <c r="S1444" s="454"/>
      <c r="BC1444" s="169"/>
    </row>
    <row r="1445" spans="19:55" ht="15.75" customHeight="1">
      <c r="S1445" s="454"/>
      <c r="BC1445" s="169"/>
    </row>
    <row r="1446" spans="19:55" ht="15.75" customHeight="1">
      <c r="S1446" s="454"/>
      <c r="BC1446" s="169"/>
    </row>
    <row r="1447" spans="19:55" ht="15.75" customHeight="1">
      <c r="S1447" s="454"/>
      <c r="BC1447" s="169"/>
    </row>
    <row r="1448" spans="19:55" ht="15.75" customHeight="1">
      <c r="S1448" s="454"/>
      <c r="BC1448" s="169"/>
    </row>
    <row r="1449" spans="19:55" ht="15.75" customHeight="1">
      <c r="S1449" s="454"/>
      <c r="BC1449" s="169"/>
    </row>
    <row r="1450" spans="19:55" ht="15.75" customHeight="1">
      <c r="S1450" s="454"/>
      <c r="BC1450" s="169"/>
    </row>
    <row r="1451" spans="19:55" ht="15.75" customHeight="1">
      <c r="S1451" s="454"/>
      <c r="BC1451" s="169"/>
    </row>
    <row r="1452" spans="19:55" ht="15.75" customHeight="1">
      <c r="S1452" s="454"/>
      <c r="BC1452" s="169"/>
    </row>
    <row r="1453" spans="19:55" ht="15.75" customHeight="1">
      <c r="S1453" s="454"/>
      <c r="BC1453" s="169"/>
    </row>
    <row r="1454" spans="19:55" ht="15.75" customHeight="1">
      <c r="S1454" s="454"/>
      <c r="BC1454" s="169"/>
    </row>
    <row r="1455" spans="19:55" ht="15.75" customHeight="1">
      <c r="S1455" s="454"/>
      <c r="BC1455" s="169"/>
    </row>
    <row r="1456" spans="19:55" ht="15.75" customHeight="1">
      <c r="S1456" s="454"/>
      <c r="BC1456" s="169"/>
    </row>
    <row r="1457" spans="19:55" ht="15.75" customHeight="1">
      <c r="S1457" s="454"/>
      <c r="BC1457" s="169"/>
    </row>
    <row r="1458" spans="19:55" ht="15.75" customHeight="1">
      <c r="S1458" s="454"/>
      <c r="BC1458" s="169"/>
    </row>
    <row r="1459" spans="19:55" ht="15.75" customHeight="1">
      <c r="S1459" s="454"/>
      <c r="BC1459" s="169"/>
    </row>
    <row r="1460" spans="19:55" ht="15.75" customHeight="1">
      <c r="S1460" s="454"/>
      <c r="BC1460" s="169"/>
    </row>
    <row r="1461" spans="19:55" ht="15.75" customHeight="1">
      <c r="S1461" s="454"/>
      <c r="BC1461" s="169"/>
    </row>
    <row r="1462" spans="19:55" ht="15.75" customHeight="1">
      <c r="S1462" s="454"/>
      <c r="BC1462" s="169"/>
    </row>
    <row r="1463" spans="19:55" ht="15.75" customHeight="1">
      <c r="S1463" s="454"/>
      <c r="BC1463" s="169"/>
    </row>
    <row r="1464" spans="19:55" ht="15.75" customHeight="1">
      <c r="S1464" s="454"/>
      <c r="BC1464" s="169"/>
    </row>
    <row r="1465" spans="19:55" ht="15.75" customHeight="1">
      <c r="S1465" s="454"/>
      <c r="BC1465" s="169"/>
    </row>
    <row r="1466" spans="19:55" ht="15.75" customHeight="1">
      <c r="S1466" s="454"/>
      <c r="BC1466" s="169"/>
    </row>
    <row r="1467" spans="19:55" ht="15.75" customHeight="1">
      <c r="S1467" s="454"/>
      <c r="BC1467" s="169"/>
    </row>
    <row r="1468" spans="19:55" ht="15.75" customHeight="1">
      <c r="S1468" s="454"/>
      <c r="BC1468" s="169"/>
    </row>
    <row r="1469" spans="19:55" ht="15.75" customHeight="1">
      <c r="S1469" s="454"/>
      <c r="BC1469" s="169"/>
    </row>
    <row r="1470" spans="19:55" ht="15.75" customHeight="1">
      <c r="S1470" s="454"/>
      <c r="BC1470" s="169"/>
    </row>
    <row r="1471" spans="19:55" ht="15.75" customHeight="1">
      <c r="S1471" s="454"/>
      <c r="BC1471" s="169"/>
    </row>
    <row r="1472" spans="19:55" ht="15.75" customHeight="1">
      <c r="S1472" s="454"/>
      <c r="BC1472" s="169"/>
    </row>
    <row r="1473" spans="19:55" ht="15.75" customHeight="1">
      <c r="S1473" s="454"/>
      <c r="BC1473" s="169"/>
    </row>
    <row r="1474" spans="19:55" ht="15.75" customHeight="1">
      <c r="S1474" s="454"/>
      <c r="BC1474" s="169"/>
    </row>
    <row r="1475" spans="19:55" ht="15.75" customHeight="1">
      <c r="S1475" s="454"/>
      <c r="BC1475" s="169"/>
    </row>
    <row r="1476" spans="19:55" ht="15.75" customHeight="1">
      <c r="S1476" s="454"/>
      <c r="BC1476" s="169"/>
    </row>
    <row r="1477" spans="19:55" ht="15.75" customHeight="1">
      <c r="S1477" s="454"/>
      <c r="BC1477" s="169"/>
    </row>
    <row r="1478" spans="19:55" ht="15.75" customHeight="1">
      <c r="S1478" s="454"/>
      <c r="BC1478" s="169"/>
    </row>
    <row r="1479" spans="19:55" ht="15.75" customHeight="1">
      <c r="S1479" s="454"/>
      <c r="BC1479" s="169"/>
    </row>
    <row r="1480" spans="19:55" ht="15.75" customHeight="1">
      <c r="S1480" s="454"/>
      <c r="BC1480" s="169"/>
    </row>
    <row r="1481" spans="19:55" ht="15.75" customHeight="1">
      <c r="S1481" s="454"/>
      <c r="BC1481" s="169"/>
    </row>
    <row r="1482" spans="19:55" ht="15.75" customHeight="1">
      <c r="S1482" s="454"/>
      <c r="BC1482" s="169"/>
    </row>
    <row r="1483" spans="19:55" ht="15.75" customHeight="1">
      <c r="S1483" s="454"/>
      <c r="BC1483" s="169"/>
    </row>
    <row r="1484" spans="19:55" ht="15.75" customHeight="1">
      <c r="S1484" s="454"/>
      <c r="BC1484" s="169"/>
    </row>
    <row r="1485" spans="19:55" ht="15.75" customHeight="1">
      <c r="S1485" s="454"/>
      <c r="BC1485" s="169"/>
    </row>
    <row r="1486" spans="19:55" ht="15.75" customHeight="1">
      <c r="S1486" s="454"/>
      <c r="BC1486" s="169"/>
    </row>
    <row r="1487" spans="19:55" ht="15.75" customHeight="1">
      <c r="S1487" s="454"/>
      <c r="BC1487" s="169"/>
    </row>
    <row r="1488" spans="19:55" ht="15.75" customHeight="1">
      <c r="S1488" s="454"/>
      <c r="BC1488" s="169"/>
    </row>
    <row r="1489" spans="19:55" ht="15.75" customHeight="1">
      <c r="S1489" s="454"/>
      <c r="BC1489" s="169"/>
    </row>
    <row r="1490" spans="19:55" ht="15.75" customHeight="1">
      <c r="S1490" s="454"/>
      <c r="BC1490" s="169"/>
    </row>
    <row r="1491" spans="19:55" ht="15.75" customHeight="1">
      <c r="S1491" s="454"/>
      <c r="BC1491" s="169"/>
    </row>
    <row r="1492" spans="19:55" ht="15.75" customHeight="1">
      <c r="S1492" s="454"/>
      <c r="BC1492" s="169"/>
    </row>
    <row r="1493" spans="19:55" ht="15.75" customHeight="1">
      <c r="S1493" s="454"/>
      <c r="BC1493" s="169"/>
    </row>
    <row r="1494" spans="19:55" ht="15.75" customHeight="1">
      <c r="S1494" s="454"/>
      <c r="BC1494" s="169"/>
    </row>
    <row r="1495" spans="19:55" ht="15.75" customHeight="1">
      <c r="S1495" s="454"/>
      <c r="BC1495" s="169"/>
    </row>
    <row r="1496" spans="19:55" ht="15.75" customHeight="1">
      <c r="S1496" s="454"/>
      <c r="BC1496" s="169"/>
    </row>
    <row r="1497" spans="19:55" ht="15.75" customHeight="1">
      <c r="S1497" s="454"/>
      <c r="BC1497" s="169"/>
    </row>
    <row r="1498" spans="19:55" ht="15.75" customHeight="1">
      <c r="S1498" s="454"/>
      <c r="BC1498" s="169"/>
    </row>
    <row r="1499" spans="19:55" ht="15.75" customHeight="1">
      <c r="S1499" s="454"/>
      <c r="BC1499" s="169"/>
    </row>
    <row r="1500" spans="19:55" ht="15.75" customHeight="1">
      <c r="BC1500" s="169"/>
    </row>
    <row r="1501" spans="19:55" ht="15.75" customHeight="1">
      <c r="BC1501" s="169"/>
    </row>
    <row r="1502" spans="19:55" ht="15.75" customHeight="1">
      <c r="BC1502" s="169"/>
    </row>
    <row r="1503" spans="19:55" ht="15.75" customHeight="1">
      <c r="BC1503" s="169"/>
    </row>
    <row r="1504" spans="19:55" ht="15.75" customHeight="1">
      <c r="BC1504" s="169"/>
    </row>
    <row r="1505" spans="55:55" ht="15.75" customHeight="1">
      <c r="BC1505" s="169"/>
    </row>
    <row r="1506" spans="55:55" ht="15.75" customHeight="1">
      <c r="BC1506" s="169"/>
    </row>
    <row r="1507" spans="55:55" ht="15.75" customHeight="1">
      <c r="BC1507" s="169"/>
    </row>
    <row r="1508" spans="55:55" ht="15.75" customHeight="1">
      <c r="BC1508" s="169"/>
    </row>
    <row r="1509" spans="55:55" ht="15.75" customHeight="1">
      <c r="BC1509" s="169"/>
    </row>
    <row r="1510" spans="55:55" ht="15.75" customHeight="1">
      <c r="BC1510" s="169"/>
    </row>
    <row r="1511" spans="55:55" ht="15.75" customHeight="1">
      <c r="BC1511" s="169"/>
    </row>
    <row r="1512" spans="55:55" ht="15.75" customHeight="1">
      <c r="BC1512" s="169"/>
    </row>
    <row r="1513" spans="55:55" ht="15.75" customHeight="1">
      <c r="BC1513" s="169"/>
    </row>
    <row r="1514" spans="55:55" ht="15.75" customHeight="1">
      <c r="BC1514" s="169"/>
    </row>
    <row r="1515" spans="55:55" ht="15.75" customHeight="1">
      <c r="BC1515" s="169"/>
    </row>
    <row r="1516" spans="55:55" ht="15.75" customHeight="1">
      <c r="BC1516" s="169"/>
    </row>
    <row r="1517" spans="55:55" ht="15.75" customHeight="1">
      <c r="BC1517" s="169"/>
    </row>
    <row r="1518" spans="55:55" ht="15.75" customHeight="1">
      <c r="BC1518" s="169"/>
    </row>
    <row r="1519" spans="55:55" ht="15.75" customHeight="1">
      <c r="BC1519" s="169"/>
    </row>
    <row r="1520" spans="55:55" ht="15.75" customHeight="1">
      <c r="BC1520" s="169"/>
    </row>
    <row r="1521" spans="55:55" ht="15.75" customHeight="1">
      <c r="BC1521" s="169"/>
    </row>
    <row r="1522" spans="55:55" ht="15.75" customHeight="1">
      <c r="BC1522" s="169"/>
    </row>
    <row r="1523" spans="55:55" ht="15.75" customHeight="1">
      <c r="BC1523" s="169"/>
    </row>
    <row r="1524" spans="55:55" ht="15.75" customHeight="1">
      <c r="BC1524" s="169"/>
    </row>
    <row r="1525" spans="55:55" ht="15.75" customHeight="1">
      <c r="BC1525" s="169"/>
    </row>
    <row r="1526" spans="55:55" ht="15.75" customHeight="1">
      <c r="BC1526" s="169"/>
    </row>
    <row r="1527" spans="55:55" ht="15.75" customHeight="1">
      <c r="BC1527" s="169"/>
    </row>
    <row r="1528" spans="55:55" ht="15.75" customHeight="1">
      <c r="BC1528" s="169"/>
    </row>
    <row r="1529" spans="55:55" ht="15.75" customHeight="1">
      <c r="BC1529" s="169"/>
    </row>
    <row r="1530" spans="55:55" ht="15.75" customHeight="1">
      <c r="BC1530" s="169"/>
    </row>
    <row r="1531" spans="55:55" ht="15.75" customHeight="1">
      <c r="BC1531" s="169"/>
    </row>
    <row r="1532" spans="55:55" ht="15.75" customHeight="1">
      <c r="BC1532" s="169"/>
    </row>
    <row r="1533" spans="55:55" ht="15.75" customHeight="1">
      <c r="BC1533" s="169"/>
    </row>
    <row r="1534" spans="55:55" ht="15.75" customHeight="1">
      <c r="BC1534" s="169"/>
    </row>
    <row r="1535" spans="55:55" ht="15.75" customHeight="1">
      <c r="BC1535" s="169"/>
    </row>
    <row r="1536" spans="55:55" ht="15.75" customHeight="1">
      <c r="BC1536" s="169"/>
    </row>
    <row r="1537" spans="55:55" ht="15.75" customHeight="1">
      <c r="BC1537" s="169"/>
    </row>
    <row r="1538" spans="55:55" ht="15.75" customHeight="1">
      <c r="BC1538" s="169"/>
    </row>
    <row r="1539" spans="55:55" ht="15.75" customHeight="1">
      <c r="BC1539" s="169"/>
    </row>
    <row r="1540" spans="55:55" ht="15.75" customHeight="1">
      <c r="BC1540" s="169"/>
    </row>
    <row r="1541" spans="55:55" ht="15.75" customHeight="1">
      <c r="BC1541" s="169"/>
    </row>
    <row r="1542" spans="55:55" ht="15.75" customHeight="1">
      <c r="BC1542" s="169"/>
    </row>
    <row r="1543" spans="55:55" ht="15.75" customHeight="1">
      <c r="BC1543" s="169"/>
    </row>
    <row r="1544" spans="55:55" ht="15.75" customHeight="1">
      <c r="BC1544" s="169"/>
    </row>
    <row r="1545" spans="55:55" ht="15.75" customHeight="1">
      <c r="BC1545" s="169"/>
    </row>
    <row r="1546" spans="55:55" ht="15.75" customHeight="1">
      <c r="BC1546" s="169"/>
    </row>
    <row r="1547" spans="55:55" ht="15.75" customHeight="1">
      <c r="BC1547" s="169"/>
    </row>
    <row r="1548" spans="55:55" ht="15.75" customHeight="1">
      <c r="BC1548" s="169"/>
    </row>
    <row r="1549" spans="55:55" ht="15.75" customHeight="1">
      <c r="BC1549" s="169"/>
    </row>
    <row r="1550" spans="55:55" ht="15.75" customHeight="1">
      <c r="BC1550" s="169"/>
    </row>
    <row r="1551" spans="55:55" ht="15.75" customHeight="1">
      <c r="BC1551" s="169"/>
    </row>
    <row r="1552" spans="55:55" ht="15.75" customHeight="1">
      <c r="BC1552" s="169"/>
    </row>
    <row r="1553" spans="55:55" ht="15.75" customHeight="1">
      <c r="BC1553" s="169"/>
    </row>
    <row r="1554" spans="55:55" ht="15.75" customHeight="1">
      <c r="BC1554" s="169"/>
    </row>
    <row r="1555" spans="55:55" ht="15.75" customHeight="1">
      <c r="BC1555" s="169"/>
    </row>
    <row r="1556" spans="55:55" ht="15.75" customHeight="1">
      <c r="BC1556" s="169"/>
    </row>
    <row r="1557" spans="55:55" ht="15.75" customHeight="1">
      <c r="BC1557" s="169"/>
    </row>
    <row r="1558" spans="55:55" ht="15.75" customHeight="1">
      <c r="BC1558" s="169"/>
    </row>
    <row r="1559" spans="55:55" ht="15.75" customHeight="1">
      <c r="BC1559" s="169"/>
    </row>
    <row r="1560" spans="55:55" ht="15.75" customHeight="1">
      <c r="BC1560" s="169"/>
    </row>
    <row r="1561" spans="55:55" ht="15.75" customHeight="1">
      <c r="BC1561" s="169"/>
    </row>
    <row r="1562" spans="55:55" ht="15.75" customHeight="1">
      <c r="BC1562" s="169"/>
    </row>
    <row r="1563" spans="55:55" ht="15.75" customHeight="1">
      <c r="BC1563" s="169"/>
    </row>
    <row r="1564" spans="55:55" ht="15.75" customHeight="1">
      <c r="BC1564" s="169"/>
    </row>
    <row r="1565" spans="55:55" ht="15.75" customHeight="1">
      <c r="BC1565" s="169"/>
    </row>
    <row r="1566" spans="55:55" ht="15.75" customHeight="1">
      <c r="BC1566" s="169"/>
    </row>
    <row r="1567" spans="55:55" ht="15.75" customHeight="1">
      <c r="BC1567" s="169"/>
    </row>
    <row r="1568" spans="55:55" ht="15.75" customHeight="1">
      <c r="BC1568" s="169"/>
    </row>
    <row r="1569" spans="55:55" ht="15.75" customHeight="1">
      <c r="BC1569" s="169"/>
    </row>
    <row r="1570" spans="55:55" ht="15.75" customHeight="1">
      <c r="BC1570" s="169"/>
    </row>
    <row r="1571" spans="55:55" ht="15.75" customHeight="1">
      <c r="BC1571" s="169"/>
    </row>
    <row r="1572" spans="55:55" ht="15.75" customHeight="1">
      <c r="BC1572" s="169"/>
    </row>
    <row r="1573" spans="55:55" ht="15.75" customHeight="1">
      <c r="BC1573" s="169"/>
    </row>
    <row r="1574" spans="55:55" ht="15.75" customHeight="1">
      <c r="BC1574" s="169"/>
    </row>
    <row r="1575" spans="55:55" ht="15.75" customHeight="1">
      <c r="BC1575" s="169"/>
    </row>
    <row r="1576" spans="55:55" ht="15.75" customHeight="1">
      <c r="BC1576" s="169"/>
    </row>
    <row r="1577" spans="55:55" ht="15.75" customHeight="1">
      <c r="BC1577" s="169"/>
    </row>
    <row r="1578" spans="55:55" ht="15.75" customHeight="1">
      <c r="BC1578" s="169"/>
    </row>
    <row r="1579" spans="55:55" ht="15.75" customHeight="1">
      <c r="BC1579" s="169"/>
    </row>
    <row r="1580" spans="55:55" ht="15.75" customHeight="1">
      <c r="BC1580" s="169"/>
    </row>
    <row r="1581" spans="55:55" ht="15.75" customHeight="1">
      <c r="BC1581" s="169"/>
    </row>
    <row r="1582" spans="55:55" ht="15.75" customHeight="1">
      <c r="BC1582" s="169"/>
    </row>
    <row r="1583" spans="55:55" ht="15.75" customHeight="1">
      <c r="BC1583" s="169"/>
    </row>
    <row r="1584" spans="55:55" ht="15.75" customHeight="1">
      <c r="BC1584" s="169"/>
    </row>
    <row r="1585" spans="55:55" ht="15.75" customHeight="1">
      <c r="BC1585" s="169"/>
    </row>
    <row r="1586" spans="55:55" ht="15.75" customHeight="1">
      <c r="BC1586" s="169"/>
    </row>
    <row r="1587" spans="55:55" ht="15.75" customHeight="1">
      <c r="BC1587" s="169"/>
    </row>
    <row r="1588" spans="55:55" ht="15.75" customHeight="1">
      <c r="BC1588" s="169"/>
    </row>
    <row r="1589" spans="55:55" ht="15.75" customHeight="1">
      <c r="BC1589" s="169"/>
    </row>
    <row r="1590" spans="55:55" ht="15.75" customHeight="1">
      <c r="BC1590" s="169"/>
    </row>
    <row r="1591" spans="55:55" ht="15.75" customHeight="1">
      <c r="BC1591" s="169"/>
    </row>
    <row r="1592" spans="55:55" ht="15.75" customHeight="1">
      <c r="BC1592" s="169"/>
    </row>
    <row r="1593" spans="55:55" ht="15.75" customHeight="1">
      <c r="BC1593" s="169"/>
    </row>
    <row r="1594" spans="55:55" ht="15.75" customHeight="1">
      <c r="BC1594" s="169"/>
    </row>
    <row r="1595" spans="55:55" ht="15.75" customHeight="1">
      <c r="BC1595" s="169"/>
    </row>
    <row r="1596" spans="55:55" ht="15.75" customHeight="1">
      <c r="BC1596" s="169"/>
    </row>
    <row r="1597" spans="55:55" ht="15.75" customHeight="1">
      <c r="BC1597" s="169"/>
    </row>
    <row r="1598" spans="55:55" ht="15.75" customHeight="1">
      <c r="BC1598" s="169"/>
    </row>
    <row r="1599" spans="55:55" ht="15.75" customHeight="1">
      <c r="BC1599" s="169"/>
    </row>
    <row r="1600" spans="55:55" ht="15.75" customHeight="1">
      <c r="BC1600" s="169"/>
    </row>
    <row r="1601" spans="55:55" ht="15.75" customHeight="1">
      <c r="BC1601" s="169"/>
    </row>
    <row r="1602" spans="55:55" ht="15.75" customHeight="1">
      <c r="BC1602" s="169"/>
    </row>
    <row r="1603" spans="55:55" ht="15.75" customHeight="1">
      <c r="BC1603" s="169"/>
    </row>
    <row r="1604" spans="55:55" ht="15.75" customHeight="1">
      <c r="BC1604" s="169"/>
    </row>
    <row r="1605" spans="55:55" ht="15.75" customHeight="1">
      <c r="BC1605" s="169"/>
    </row>
    <row r="1606" spans="55:55" ht="15.75" customHeight="1">
      <c r="BC1606" s="169"/>
    </row>
    <row r="1607" spans="55:55" ht="15.75" customHeight="1">
      <c r="BC1607" s="169"/>
    </row>
    <row r="1608" spans="55:55" ht="15.75" customHeight="1">
      <c r="BC1608" s="169"/>
    </row>
    <row r="1609" spans="55:55" ht="15.75" customHeight="1">
      <c r="BC1609" s="169"/>
    </row>
    <row r="1610" spans="55:55" ht="15.75" customHeight="1">
      <c r="BC1610" s="169"/>
    </row>
    <row r="1611" spans="55:55" ht="15.75" customHeight="1">
      <c r="BC1611" s="169"/>
    </row>
    <row r="1612" spans="55:55" ht="15.75" customHeight="1">
      <c r="BC1612" s="169"/>
    </row>
    <row r="1613" spans="55:55" ht="15.75" customHeight="1">
      <c r="BC1613" s="169"/>
    </row>
    <row r="1614" spans="55:55" ht="15.75" customHeight="1">
      <c r="BC1614" s="169"/>
    </row>
    <row r="1615" spans="55:55" ht="15.75" customHeight="1">
      <c r="BC1615" s="169"/>
    </row>
    <row r="1616" spans="55:55" ht="15.75" customHeight="1">
      <c r="BC1616" s="169"/>
    </row>
    <row r="1617" spans="55:55" ht="15.75" customHeight="1">
      <c r="BC1617" s="169"/>
    </row>
    <row r="1618" spans="55:55" ht="15.75" customHeight="1">
      <c r="BC1618" s="169"/>
    </row>
    <row r="1619" spans="55:55" ht="15.75" customHeight="1">
      <c r="BC1619" s="169"/>
    </row>
    <row r="1620" spans="55:55" ht="15.75" customHeight="1">
      <c r="BC1620" s="169"/>
    </row>
    <row r="1621" spans="55:55" ht="15.75" customHeight="1">
      <c r="BC1621" s="169"/>
    </row>
    <row r="1622" spans="55:55" ht="15.75" customHeight="1">
      <c r="BC1622" s="169"/>
    </row>
    <row r="1623" spans="55:55" ht="15.75" customHeight="1">
      <c r="BC1623" s="169"/>
    </row>
    <row r="1624" spans="55:55" ht="15.75" customHeight="1">
      <c r="BC1624" s="169"/>
    </row>
    <row r="1625" spans="55:55" ht="15.75" customHeight="1">
      <c r="BC1625" s="169"/>
    </row>
    <row r="1626" spans="55:55" ht="15.75" customHeight="1">
      <c r="BC1626" s="169"/>
    </row>
    <row r="1627" spans="55:55" ht="15.75" customHeight="1">
      <c r="BC1627" s="169"/>
    </row>
    <row r="1628" spans="55:55" ht="15.75" customHeight="1">
      <c r="BC1628" s="169"/>
    </row>
    <row r="1629" spans="55:55" ht="15.75" customHeight="1">
      <c r="BC1629" s="169"/>
    </row>
    <row r="1630" spans="55:55" ht="15.75" customHeight="1">
      <c r="BC1630" s="169"/>
    </row>
    <row r="1631" spans="55:55" ht="15.75" customHeight="1">
      <c r="BC1631" s="169"/>
    </row>
    <row r="1632" spans="55:55" ht="15.75" customHeight="1">
      <c r="BC1632" s="169"/>
    </row>
    <row r="1633" spans="55:55" ht="15.75" customHeight="1">
      <c r="BC1633" s="169"/>
    </row>
    <row r="1634" spans="55:55" ht="15.75" customHeight="1">
      <c r="BC1634" s="169"/>
    </row>
    <row r="1635" spans="55:55" ht="15.75" customHeight="1">
      <c r="BC1635" s="169"/>
    </row>
    <row r="1636" spans="55:55" ht="15.75" customHeight="1">
      <c r="BC1636" s="169"/>
    </row>
    <row r="1637" spans="55:55" ht="15.75" customHeight="1">
      <c r="BC1637" s="169"/>
    </row>
    <row r="1638" spans="55:55" ht="15.75" customHeight="1">
      <c r="BC1638" s="169"/>
    </row>
    <row r="1639" spans="55:55" ht="15.75" customHeight="1">
      <c r="BC1639" s="169"/>
    </row>
    <row r="1640" spans="55:55" ht="15.75" customHeight="1">
      <c r="BC1640" s="169"/>
    </row>
    <row r="1641" spans="55:55" ht="15.75" customHeight="1">
      <c r="BC1641" s="169"/>
    </row>
    <row r="1642" spans="55:55" ht="15.75" customHeight="1">
      <c r="BC1642" s="169"/>
    </row>
    <row r="1643" spans="55:55" ht="15.75" customHeight="1">
      <c r="BC1643" s="169"/>
    </row>
    <row r="1644" spans="55:55" ht="15.75" customHeight="1">
      <c r="BC1644" s="169"/>
    </row>
    <row r="1645" spans="55:55" ht="15.75" customHeight="1">
      <c r="BC1645" s="169"/>
    </row>
    <row r="1646" spans="55:55" ht="15.75" customHeight="1">
      <c r="BC1646" s="169"/>
    </row>
    <row r="1647" spans="55:55" ht="15.75" customHeight="1">
      <c r="BC1647" s="169"/>
    </row>
    <row r="1648" spans="55:55" ht="15.75" customHeight="1">
      <c r="BC1648" s="169"/>
    </row>
    <row r="1649" spans="55:55" ht="15.75" customHeight="1">
      <c r="BC1649" s="169"/>
    </row>
    <row r="1650" spans="55:55" ht="15.75" customHeight="1">
      <c r="BC1650" s="169"/>
    </row>
    <row r="1651" spans="55:55" ht="15.75" customHeight="1">
      <c r="BC1651" s="169"/>
    </row>
    <row r="1652" spans="55:55" ht="15.75" customHeight="1">
      <c r="BC1652" s="169"/>
    </row>
    <row r="1653" spans="55:55" ht="15.75" customHeight="1">
      <c r="BC1653" s="169"/>
    </row>
    <row r="1654" spans="55:55" ht="15.75" customHeight="1">
      <c r="BC1654" s="169"/>
    </row>
    <row r="1655" spans="55:55" ht="15.75" customHeight="1">
      <c r="BC1655" s="169"/>
    </row>
    <row r="1656" spans="55:55" ht="15.75" customHeight="1">
      <c r="BC1656" s="169"/>
    </row>
    <row r="1657" spans="55:55" ht="15.75" customHeight="1">
      <c r="BC1657" s="169"/>
    </row>
    <row r="1658" spans="55:55" ht="15.75" customHeight="1">
      <c r="BC1658" s="169"/>
    </row>
    <row r="1659" spans="55:55" ht="15.75" customHeight="1">
      <c r="BC1659" s="169"/>
    </row>
    <row r="1660" spans="55:55" ht="15.75" customHeight="1">
      <c r="BC1660" s="169"/>
    </row>
    <row r="1661" spans="55:55" ht="15.75" customHeight="1">
      <c r="BC1661" s="169"/>
    </row>
    <row r="1662" spans="55:55" ht="15.75" customHeight="1">
      <c r="BC1662" s="169"/>
    </row>
    <row r="1663" spans="55:55" ht="15.75" customHeight="1">
      <c r="BC1663" s="169"/>
    </row>
    <row r="1664" spans="55:55" ht="15.75" customHeight="1">
      <c r="BC1664" s="169"/>
    </row>
    <row r="1665" spans="55:55" ht="15.75" customHeight="1">
      <c r="BC1665" s="169"/>
    </row>
    <row r="1666" spans="55:55" ht="15.75" customHeight="1">
      <c r="BC1666" s="169"/>
    </row>
    <row r="1667" spans="55:55" ht="15.75" customHeight="1">
      <c r="BC1667" s="169"/>
    </row>
    <row r="1668" spans="55:55" ht="15.75" customHeight="1">
      <c r="BC1668" s="169"/>
    </row>
    <row r="1669" spans="55:55" ht="15.75" customHeight="1">
      <c r="BC1669" s="169"/>
    </row>
    <row r="1670" spans="55:55" ht="15.75" customHeight="1">
      <c r="BC1670" s="169"/>
    </row>
    <row r="1671" spans="55:55" ht="15.75" customHeight="1">
      <c r="BC1671" s="169"/>
    </row>
    <row r="1672" spans="55:55" ht="15.75" customHeight="1">
      <c r="BC1672" s="169"/>
    </row>
    <row r="1673" spans="55:55" ht="15.75" customHeight="1">
      <c r="BC1673" s="169"/>
    </row>
    <row r="1674" spans="55:55" ht="15.75" customHeight="1">
      <c r="BC1674" s="169"/>
    </row>
    <row r="1675" spans="55:55" ht="15.75" customHeight="1">
      <c r="BC1675" s="169"/>
    </row>
    <row r="1676" spans="55:55" ht="15.75" customHeight="1">
      <c r="BC1676" s="169"/>
    </row>
    <row r="1677" spans="55:55" ht="15.75" customHeight="1">
      <c r="BC1677" s="169"/>
    </row>
    <row r="1678" spans="55:55" ht="15.75" customHeight="1">
      <c r="BC1678" s="169"/>
    </row>
    <row r="1679" spans="55:55" ht="15.75" customHeight="1">
      <c r="BC1679" s="169"/>
    </row>
    <row r="1680" spans="55:55" ht="15.75" customHeight="1">
      <c r="BC1680" s="169"/>
    </row>
    <row r="1681" spans="55:55" ht="15.75" customHeight="1">
      <c r="BC1681" s="169"/>
    </row>
    <row r="1682" spans="55:55" ht="15.75" customHeight="1">
      <c r="BC1682" s="169"/>
    </row>
    <row r="1683" spans="55:55" ht="15.75" customHeight="1">
      <c r="BC1683" s="169"/>
    </row>
    <row r="1684" spans="55:55" ht="15.75" customHeight="1">
      <c r="BC1684" s="169"/>
    </row>
    <row r="1685" spans="55:55" ht="15.75" customHeight="1">
      <c r="BC1685" s="169"/>
    </row>
    <row r="1686" spans="55:55" ht="15.75" customHeight="1">
      <c r="BC1686" s="169"/>
    </row>
    <row r="1687" spans="55:55" ht="15.75" customHeight="1">
      <c r="BC1687" s="169"/>
    </row>
    <row r="1688" spans="55:55" ht="15.75" customHeight="1">
      <c r="BC1688" s="169"/>
    </row>
    <row r="1689" spans="55:55" ht="15.75" customHeight="1">
      <c r="BC1689" s="169"/>
    </row>
    <row r="1690" spans="55:55" ht="15.75" customHeight="1">
      <c r="BC1690" s="169"/>
    </row>
    <row r="1691" spans="55:55" ht="15.75" customHeight="1">
      <c r="BC1691" s="169"/>
    </row>
    <row r="1692" spans="55:55" ht="15.75" customHeight="1">
      <c r="BC1692" s="169"/>
    </row>
    <row r="1693" spans="55:55" ht="15.75" customHeight="1">
      <c r="BC1693" s="169"/>
    </row>
    <row r="1694" spans="55:55" ht="15.75" customHeight="1">
      <c r="BC1694" s="169"/>
    </row>
    <row r="1695" spans="55:55" ht="15.75" customHeight="1">
      <c r="BC1695" s="169"/>
    </row>
    <row r="1696" spans="55:55" ht="15.75" customHeight="1">
      <c r="BC1696" s="169"/>
    </row>
    <row r="1697" spans="55:55" ht="15.75" customHeight="1">
      <c r="BC1697" s="169"/>
    </row>
    <row r="1698" spans="55:55" ht="15.75" customHeight="1">
      <c r="BC1698" s="169"/>
    </row>
    <row r="1699" spans="55:55" ht="15.75" customHeight="1">
      <c r="BC1699" s="169"/>
    </row>
    <row r="1700" spans="55:55" ht="15.75" customHeight="1">
      <c r="BC1700" s="169"/>
    </row>
    <row r="1701" spans="55:55" ht="15.75" customHeight="1">
      <c r="BC1701" s="169"/>
    </row>
    <row r="1702" spans="55:55" ht="15.75" customHeight="1">
      <c r="BC1702" s="169"/>
    </row>
    <row r="1703" spans="55:55" ht="15.75" customHeight="1">
      <c r="BC1703" s="169"/>
    </row>
    <row r="1704" spans="55:55" ht="15.75" customHeight="1">
      <c r="BC1704" s="169"/>
    </row>
    <row r="1705" spans="55:55" ht="15.75" customHeight="1">
      <c r="BC1705" s="169"/>
    </row>
    <row r="1706" spans="55:55" ht="15.75" customHeight="1">
      <c r="BC1706" s="169"/>
    </row>
    <row r="1707" spans="55:55" ht="15.75" customHeight="1">
      <c r="BC1707" s="169"/>
    </row>
    <row r="1708" spans="55:55" ht="15.75" customHeight="1">
      <c r="BC1708" s="169"/>
    </row>
    <row r="1709" spans="55:55" ht="15.75" customHeight="1">
      <c r="BC1709" s="169"/>
    </row>
    <row r="1710" spans="55:55" ht="15.75" customHeight="1">
      <c r="BC1710" s="169"/>
    </row>
    <row r="1711" spans="55:55" ht="15.75" customHeight="1">
      <c r="BC1711" s="169"/>
    </row>
    <row r="1712" spans="55:55" ht="15.75" customHeight="1">
      <c r="BC1712" s="169"/>
    </row>
    <row r="1713" spans="55:55" ht="15.75" customHeight="1">
      <c r="BC1713" s="169"/>
    </row>
    <row r="1714" spans="55:55" ht="15.75" customHeight="1">
      <c r="BC1714" s="169"/>
    </row>
    <row r="1715" spans="55:55" ht="15.75" customHeight="1">
      <c r="BC1715" s="169"/>
    </row>
    <row r="1716" spans="55:55" ht="15.75" customHeight="1">
      <c r="BC1716" s="169"/>
    </row>
    <row r="1717" spans="55:55" ht="15.75" customHeight="1">
      <c r="BC1717" s="169"/>
    </row>
    <row r="1718" spans="55:55" ht="15.75" customHeight="1">
      <c r="BC1718" s="169"/>
    </row>
    <row r="1719" spans="55:55" ht="15.75" customHeight="1">
      <c r="BC1719" s="169"/>
    </row>
    <row r="1720" spans="55:55" ht="15.75" customHeight="1">
      <c r="BC1720" s="169"/>
    </row>
    <row r="1721" spans="55:55" ht="15.75" customHeight="1">
      <c r="BC1721" s="169"/>
    </row>
    <row r="1722" spans="55:55" ht="15.75" customHeight="1">
      <c r="BC1722" s="169"/>
    </row>
    <row r="1723" spans="55:55" ht="15.75" customHeight="1">
      <c r="BC1723" s="169"/>
    </row>
    <row r="1724" spans="55:55" ht="15.75" customHeight="1">
      <c r="BC1724" s="169"/>
    </row>
    <row r="1725" spans="55:55" ht="15.75" customHeight="1">
      <c r="BC1725" s="169"/>
    </row>
    <row r="1726" spans="55:55" ht="15.75" customHeight="1">
      <c r="BC1726" s="169"/>
    </row>
    <row r="1727" spans="55:55" ht="15.75" customHeight="1">
      <c r="BC1727" s="169"/>
    </row>
    <row r="1728" spans="55:55" ht="15.75" customHeight="1">
      <c r="BC1728" s="169"/>
    </row>
    <row r="1729" spans="55:55" ht="15.75" customHeight="1">
      <c r="BC1729" s="169"/>
    </row>
    <row r="1730" spans="55:55" ht="15.75" customHeight="1">
      <c r="BC1730" s="169"/>
    </row>
    <row r="1731" spans="55:55" ht="15.75" customHeight="1">
      <c r="BC1731" s="169"/>
    </row>
    <row r="1732" spans="55:55" ht="15.75" customHeight="1">
      <c r="BC1732" s="169"/>
    </row>
    <row r="1733" spans="55:55" ht="15.75" customHeight="1">
      <c r="BC1733" s="169"/>
    </row>
    <row r="1734" spans="55:55" ht="15.75" customHeight="1">
      <c r="BC1734" s="169"/>
    </row>
    <row r="1735" spans="55:55" ht="15.75" customHeight="1">
      <c r="BC1735" s="169"/>
    </row>
    <row r="1736" spans="55:55" ht="15.75" customHeight="1">
      <c r="BC1736" s="169"/>
    </row>
    <row r="1737" spans="55:55" ht="15.75" customHeight="1">
      <c r="BC1737" s="169"/>
    </row>
    <row r="1738" spans="55:55" ht="15.75" customHeight="1">
      <c r="BC1738" s="169"/>
    </row>
    <row r="1739" spans="55:55" ht="15.75" customHeight="1">
      <c r="BC1739" s="169"/>
    </row>
    <row r="1740" spans="55:55" ht="15.75" customHeight="1">
      <c r="BC1740" s="169"/>
    </row>
    <row r="1741" spans="55:55" ht="15.75" customHeight="1">
      <c r="BC1741" s="169"/>
    </row>
    <row r="1742" spans="55:55" ht="15.75" customHeight="1">
      <c r="BC1742" s="169"/>
    </row>
    <row r="1743" spans="55:55" ht="15.75" customHeight="1">
      <c r="BC1743" s="169"/>
    </row>
    <row r="1744" spans="55:55" ht="15.75" customHeight="1">
      <c r="BC1744" s="169"/>
    </row>
    <row r="1745" spans="55:55" ht="15.75" customHeight="1">
      <c r="BC1745" s="169"/>
    </row>
    <row r="1746" spans="55:55" ht="15.75" customHeight="1">
      <c r="BC1746" s="169"/>
    </row>
    <row r="1747" spans="55:55" ht="15.75" customHeight="1">
      <c r="BC1747" s="169"/>
    </row>
    <row r="1748" spans="55:55" ht="15.75" customHeight="1">
      <c r="BC1748" s="169"/>
    </row>
    <row r="1749" spans="55:55" ht="15.75" customHeight="1">
      <c r="BC1749" s="169"/>
    </row>
    <row r="1750" spans="55:55" ht="15.75" customHeight="1">
      <c r="BC1750" s="169"/>
    </row>
    <row r="1751" spans="55:55" ht="15.75" customHeight="1">
      <c r="BC1751" s="169"/>
    </row>
    <row r="1752" spans="55:55" ht="15.75" customHeight="1">
      <c r="BC1752" s="169"/>
    </row>
    <row r="1753" spans="55:55" ht="15.75" customHeight="1">
      <c r="BC1753" s="169"/>
    </row>
    <row r="1754" spans="55:55" ht="15.75" customHeight="1">
      <c r="BC1754" s="169"/>
    </row>
    <row r="1755" spans="55:55" ht="15.75" customHeight="1">
      <c r="BC1755" s="169"/>
    </row>
    <row r="1756" spans="55:55" ht="15.75" customHeight="1">
      <c r="BC1756" s="169"/>
    </row>
    <row r="1757" spans="55:55" ht="15.75" customHeight="1">
      <c r="BC1757" s="169"/>
    </row>
    <row r="1758" spans="55:55" ht="15.75" customHeight="1">
      <c r="BC1758" s="169"/>
    </row>
    <row r="1759" spans="55:55" ht="15.75" customHeight="1">
      <c r="BC1759" s="169"/>
    </row>
    <row r="1760" spans="55:55" ht="15.75" customHeight="1">
      <c r="BC1760" s="169"/>
    </row>
    <row r="1761" spans="55:55" ht="15.75" customHeight="1">
      <c r="BC1761" s="169"/>
    </row>
    <row r="1762" spans="55:55" ht="15.75" customHeight="1">
      <c r="BC1762" s="169"/>
    </row>
    <row r="1763" spans="55:55" ht="15.75" customHeight="1">
      <c r="BC1763" s="169"/>
    </row>
    <row r="1764" spans="55:55" ht="15.75" customHeight="1">
      <c r="BC1764" s="169"/>
    </row>
    <row r="1765" spans="55:55" ht="15.75" customHeight="1">
      <c r="BC1765" s="169"/>
    </row>
    <row r="1766" spans="55:55" ht="15.75" customHeight="1">
      <c r="BC1766" s="169"/>
    </row>
    <row r="1767" spans="55:55" ht="15.75" customHeight="1">
      <c r="BC1767" s="169"/>
    </row>
    <row r="1768" spans="55:55" ht="15.75" customHeight="1">
      <c r="BC1768" s="169"/>
    </row>
    <row r="1769" spans="55:55" ht="15.75" customHeight="1">
      <c r="BC1769" s="169"/>
    </row>
    <row r="1770" spans="55:55" ht="15.75" customHeight="1">
      <c r="BC1770" s="169"/>
    </row>
    <row r="1771" spans="55:55" ht="15.75" customHeight="1">
      <c r="BC1771" s="169"/>
    </row>
    <row r="1772" spans="55:55" ht="15.75" customHeight="1">
      <c r="BC1772" s="169"/>
    </row>
    <row r="1773" spans="55:55" ht="15.75" customHeight="1">
      <c r="BC1773" s="169"/>
    </row>
    <row r="1774" spans="55:55" ht="15.75" customHeight="1">
      <c r="BC1774" s="169"/>
    </row>
    <row r="1775" spans="55:55" ht="15.75" customHeight="1">
      <c r="BC1775" s="169"/>
    </row>
    <row r="1776" spans="55:55" ht="15.75" customHeight="1">
      <c r="BC1776" s="169"/>
    </row>
    <row r="1777" spans="55:55" ht="15.75" customHeight="1">
      <c r="BC1777" s="169"/>
    </row>
    <row r="1778" spans="55:55" ht="15.75" customHeight="1">
      <c r="BC1778" s="169"/>
    </row>
    <row r="1779" spans="55:55" ht="15.75" customHeight="1">
      <c r="BC1779" s="169"/>
    </row>
    <row r="1780" spans="55:55" ht="15.75" customHeight="1">
      <c r="BC1780" s="169"/>
    </row>
    <row r="1781" spans="55:55" ht="15.75" customHeight="1">
      <c r="BC1781" s="169"/>
    </row>
    <row r="1782" spans="55:55" ht="15.75" customHeight="1">
      <c r="BC1782" s="169"/>
    </row>
    <row r="1783" spans="55:55" ht="15.75" customHeight="1">
      <c r="BC1783" s="169"/>
    </row>
    <row r="1784" spans="55:55" ht="15.75" customHeight="1">
      <c r="BC1784" s="169"/>
    </row>
    <row r="1785" spans="55:55" ht="15.75" customHeight="1">
      <c r="BC1785" s="169"/>
    </row>
    <row r="1786" spans="55:55" ht="15.75" customHeight="1">
      <c r="BC1786" s="169"/>
    </row>
    <row r="1787" spans="55:55" ht="15.75" customHeight="1">
      <c r="BC1787" s="169"/>
    </row>
    <row r="1788" spans="55:55" ht="15.75" customHeight="1">
      <c r="BC1788" s="169"/>
    </row>
    <row r="1789" spans="55:55" ht="15.75" customHeight="1">
      <c r="BC1789" s="169"/>
    </row>
    <row r="1790" spans="55:55" ht="15.75" customHeight="1">
      <c r="BC1790" s="169"/>
    </row>
    <row r="1791" spans="55:55" ht="15.75" customHeight="1">
      <c r="BC1791" s="169"/>
    </row>
    <row r="1792" spans="55:55" ht="15.75" customHeight="1">
      <c r="BC1792" s="169"/>
    </row>
    <row r="1793" spans="55:55" ht="15.75" customHeight="1">
      <c r="BC1793" s="169"/>
    </row>
    <row r="1794" spans="55:55" ht="15.75" customHeight="1">
      <c r="BC1794" s="169"/>
    </row>
    <row r="1795" spans="55:55" ht="15.75" customHeight="1">
      <c r="BC1795" s="169"/>
    </row>
    <row r="1796" spans="55:55" ht="15.75" customHeight="1">
      <c r="BC1796" s="169"/>
    </row>
    <row r="1797" spans="55:55" ht="15.75" customHeight="1">
      <c r="BC1797" s="169"/>
    </row>
    <row r="1798" spans="55:55" ht="15.75" customHeight="1">
      <c r="BC1798" s="169"/>
    </row>
    <row r="1799" spans="55:55" ht="15.75" customHeight="1">
      <c r="BC1799" s="169"/>
    </row>
    <row r="1800" spans="55:55" ht="15.75" customHeight="1">
      <c r="BC1800" s="169"/>
    </row>
    <row r="1801" spans="55:55" ht="15.75" customHeight="1">
      <c r="BC1801" s="169"/>
    </row>
    <row r="1802" spans="55:55" ht="15.75" customHeight="1">
      <c r="BC1802" s="169"/>
    </row>
    <row r="1803" spans="55:55" ht="15.75" customHeight="1">
      <c r="BC1803" s="169"/>
    </row>
    <row r="1804" spans="55:55" ht="15.75" customHeight="1">
      <c r="BC1804" s="169"/>
    </row>
    <row r="1805" spans="55:55" ht="15.75" customHeight="1">
      <c r="BC1805" s="169"/>
    </row>
    <row r="1806" spans="55:55" ht="15.75" customHeight="1">
      <c r="BC1806" s="169"/>
    </row>
    <row r="1807" spans="55:55" ht="15.75" customHeight="1">
      <c r="BC1807" s="169"/>
    </row>
    <row r="1808" spans="55:55" ht="15.75" customHeight="1">
      <c r="BC1808" s="169"/>
    </row>
    <row r="1809" spans="55:55" ht="15.75" customHeight="1">
      <c r="BC1809" s="169"/>
    </row>
    <row r="1810" spans="55:55" ht="15.75" customHeight="1">
      <c r="BC1810" s="169"/>
    </row>
    <row r="1811" spans="55:55" ht="15.75" customHeight="1">
      <c r="BC1811" s="169"/>
    </row>
    <row r="1812" spans="55:55" ht="15.75" customHeight="1">
      <c r="BC1812" s="169"/>
    </row>
    <row r="1813" spans="55:55" ht="15.75" customHeight="1">
      <c r="BC1813" s="169"/>
    </row>
    <row r="1814" spans="55:55" ht="15.75" customHeight="1">
      <c r="BC1814" s="169"/>
    </row>
    <row r="1815" spans="55:55" ht="15.75" customHeight="1">
      <c r="BC1815" s="169"/>
    </row>
    <row r="1816" spans="55:55" ht="15.75" customHeight="1">
      <c r="BC1816" s="169"/>
    </row>
    <row r="1817" spans="55:55" ht="15.75" customHeight="1">
      <c r="BC1817" s="169"/>
    </row>
    <row r="1818" spans="55:55" ht="15.75" customHeight="1">
      <c r="BC1818" s="169"/>
    </row>
    <row r="1819" spans="55:55" ht="15.75" customHeight="1">
      <c r="BC1819" s="169"/>
    </row>
    <row r="1820" spans="55:55" ht="15.75" customHeight="1">
      <c r="BC1820" s="169"/>
    </row>
    <row r="1821" spans="55:55" ht="15.75" customHeight="1">
      <c r="BC1821" s="169"/>
    </row>
    <row r="1822" spans="55:55" ht="15.75" customHeight="1">
      <c r="BC1822" s="169"/>
    </row>
    <row r="1823" spans="55:55" ht="15.75" customHeight="1">
      <c r="BC1823" s="169"/>
    </row>
    <row r="1824" spans="55:55" ht="15.75" customHeight="1">
      <c r="BC1824" s="169"/>
    </row>
    <row r="1825" spans="55:55" ht="15.75" customHeight="1">
      <c r="BC1825" s="169"/>
    </row>
    <row r="1826" spans="55:55" ht="15.75" customHeight="1">
      <c r="BC1826" s="169"/>
    </row>
    <row r="1827" spans="55:55" ht="15.75" customHeight="1">
      <c r="BC1827" s="169"/>
    </row>
    <row r="1828" spans="55:55" ht="15.75" customHeight="1">
      <c r="BC1828" s="169"/>
    </row>
    <row r="1829" spans="55:55" ht="15.75" customHeight="1">
      <c r="BC1829" s="169"/>
    </row>
    <row r="1830" spans="55:55" ht="15.75" customHeight="1">
      <c r="BC1830" s="169"/>
    </row>
    <row r="1831" spans="55:55" ht="15.75" customHeight="1">
      <c r="BC1831" s="169"/>
    </row>
    <row r="1832" spans="55:55" ht="15.75" customHeight="1">
      <c r="BC1832" s="169"/>
    </row>
    <row r="1833" spans="55:55" ht="15.75" customHeight="1">
      <c r="BC1833" s="169"/>
    </row>
    <row r="1834" spans="55:55" ht="15.75" customHeight="1">
      <c r="BC1834" s="169"/>
    </row>
    <row r="1835" spans="55:55" ht="15.75" customHeight="1">
      <c r="BC1835" s="169"/>
    </row>
    <row r="1836" spans="55:55" ht="15.75" customHeight="1">
      <c r="BC1836" s="169"/>
    </row>
    <row r="1837" spans="55:55" ht="15.75" customHeight="1">
      <c r="BC1837" s="169"/>
    </row>
    <row r="1838" spans="55:55" ht="15.75" customHeight="1">
      <c r="BC1838" s="169"/>
    </row>
    <row r="1839" spans="55:55" ht="15.75" customHeight="1">
      <c r="BC1839" s="169"/>
    </row>
    <row r="1840" spans="55:55" ht="15.75" customHeight="1">
      <c r="BC1840" s="169"/>
    </row>
    <row r="1841" spans="55:55" ht="15.75" customHeight="1">
      <c r="BC1841" s="169"/>
    </row>
    <row r="1842" spans="55:55" ht="15.75" customHeight="1">
      <c r="BC1842" s="169"/>
    </row>
    <row r="1843" spans="55:55" ht="15.75" customHeight="1">
      <c r="BC1843" s="169"/>
    </row>
    <row r="1844" spans="55:55" ht="15.75" customHeight="1">
      <c r="BC1844" s="169"/>
    </row>
    <row r="1845" spans="55:55" ht="15.75" customHeight="1">
      <c r="BC1845" s="169"/>
    </row>
    <row r="1846" spans="55:55" ht="15.75" customHeight="1">
      <c r="BC1846" s="169"/>
    </row>
    <row r="1847" spans="55:55" ht="15.75" customHeight="1">
      <c r="BC1847" s="169"/>
    </row>
    <row r="1848" spans="55:55" ht="15.75" customHeight="1">
      <c r="BC1848" s="169"/>
    </row>
    <row r="1849" spans="55:55" ht="15.75" customHeight="1">
      <c r="BC1849" s="169"/>
    </row>
    <row r="1850" spans="55:55" ht="15.75" customHeight="1">
      <c r="BC1850" s="169"/>
    </row>
    <row r="1851" spans="55:55" ht="15.75" customHeight="1">
      <c r="BC1851" s="169"/>
    </row>
    <row r="1852" spans="55:55" ht="15.75" customHeight="1">
      <c r="BC1852" s="169"/>
    </row>
    <row r="1853" spans="55:55" ht="15.75" customHeight="1">
      <c r="BC1853" s="169"/>
    </row>
    <row r="1854" spans="55:55" ht="15.75" customHeight="1">
      <c r="BC1854" s="169"/>
    </row>
    <row r="1855" spans="55:55" ht="15.75" customHeight="1">
      <c r="BC1855" s="169"/>
    </row>
    <row r="1856" spans="55:55" ht="15.75" customHeight="1">
      <c r="BC1856" s="169"/>
    </row>
    <row r="1857" spans="55:55" ht="15.75" customHeight="1">
      <c r="BC1857" s="169"/>
    </row>
    <row r="1858" spans="55:55" ht="15.75" customHeight="1">
      <c r="BC1858" s="169"/>
    </row>
    <row r="1859" spans="55:55" ht="15.75" customHeight="1">
      <c r="BC1859" s="169"/>
    </row>
    <row r="1860" spans="55:55" ht="15.75" customHeight="1">
      <c r="BC1860" s="169"/>
    </row>
    <row r="1861" spans="55:55" ht="15.75" customHeight="1">
      <c r="BC1861" s="169"/>
    </row>
    <row r="1862" spans="55:55" ht="15.75" customHeight="1">
      <c r="BC1862" s="169"/>
    </row>
    <row r="1863" spans="55:55" ht="15.75" customHeight="1">
      <c r="BC1863" s="169"/>
    </row>
    <row r="1864" spans="55:55" ht="15.75" customHeight="1">
      <c r="BC1864" s="169"/>
    </row>
    <row r="1865" spans="55:55" ht="15.75" customHeight="1">
      <c r="BC1865" s="169"/>
    </row>
    <row r="1866" spans="55:55" ht="15.75" customHeight="1">
      <c r="BC1866" s="169"/>
    </row>
    <row r="1867" spans="55:55" ht="15.75" customHeight="1">
      <c r="BC1867" s="169"/>
    </row>
    <row r="1868" spans="55:55" ht="15.75" customHeight="1">
      <c r="BC1868" s="169"/>
    </row>
    <row r="1869" spans="55:55" ht="15.75" customHeight="1">
      <c r="BC1869" s="169"/>
    </row>
    <row r="1870" spans="55:55" ht="15.75" customHeight="1">
      <c r="BC1870" s="169"/>
    </row>
    <row r="1871" spans="55:55" ht="15.75" customHeight="1">
      <c r="BC1871" s="169"/>
    </row>
    <row r="1872" spans="55:55" ht="15.75" customHeight="1">
      <c r="BC1872" s="169"/>
    </row>
    <row r="1873" spans="55:55" ht="15.75" customHeight="1">
      <c r="BC1873" s="169"/>
    </row>
    <row r="1874" spans="55:55" ht="15.75" customHeight="1">
      <c r="BC1874" s="169"/>
    </row>
    <row r="1875" spans="55:55" ht="15.75" customHeight="1">
      <c r="BC1875" s="169"/>
    </row>
    <row r="1876" spans="55:55" ht="15.75" customHeight="1">
      <c r="BC1876" s="169"/>
    </row>
    <row r="1877" spans="55:55" ht="15.75" customHeight="1">
      <c r="BC1877" s="169"/>
    </row>
    <row r="1878" spans="55:55" ht="15.75" customHeight="1">
      <c r="BC1878" s="169"/>
    </row>
    <row r="1879" spans="55:55" ht="15.75" customHeight="1">
      <c r="BC1879" s="169"/>
    </row>
    <row r="1880" spans="55:55" ht="15.75" customHeight="1">
      <c r="BC1880" s="169"/>
    </row>
    <row r="1881" spans="55:55" ht="15.75" customHeight="1">
      <c r="BC1881" s="169"/>
    </row>
    <row r="1882" spans="55:55" ht="15.75" customHeight="1">
      <c r="BC1882" s="169"/>
    </row>
    <row r="1883" spans="55:55" ht="15.75" customHeight="1">
      <c r="BC1883" s="169"/>
    </row>
    <row r="1884" spans="55:55" ht="15.75" customHeight="1">
      <c r="BC1884" s="169"/>
    </row>
    <row r="1885" spans="55:55" ht="15.75" customHeight="1">
      <c r="BC1885" s="169"/>
    </row>
    <row r="1886" spans="55:55" ht="15.75" customHeight="1">
      <c r="BC1886" s="169"/>
    </row>
    <row r="1887" spans="55:55" ht="15.75" customHeight="1">
      <c r="BC1887" s="169"/>
    </row>
    <row r="1888" spans="55:55" ht="15.75" customHeight="1">
      <c r="BC1888" s="169"/>
    </row>
    <row r="1889" spans="55:55" ht="15.75" customHeight="1">
      <c r="BC1889" s="169"/>
    </row>
    <row r="1890" spans="55:55" ht="15.75" customHeight="1">
      <c r="BC1890" s="169"/>
    </row>
    <row r="1891" spans="55:55" ht="15.75" customHeight="1">
      <c r="BC1891" s="169"/>
    </row>
    <row r="1892" spans="55:55" ht="15.75" customHeight="1">
      <c r="BC1892" s="169"/>
    </row>
    <row r="1893" spans="55:55" ht="15.75" customHeight="1">
      <c r="BC1893" s="169"/>
    </row>
    <row r="1894" spans="55:55" ht="15.75" customHeight="1">
      <c r="BC1894" s="169"/>
    </row>
    <row r="1895" spans="55:55" ht="15.75" customHeight="1">
      <c r="BC1895" s="169"/>
    </row>
    <row r="1896" spans="55:55" ht="15.75" customHeight="1">
      <c r="BC1896" s="169"/>
    </row>
    <row r="1897" spans="55:55" ht="15.75" customHeight="1">
      <c r="BC1897" s="169"/>
    </row>
    <row r="1898" spans="55:55" ht="15.75" customHeight="1">
      <c r="BC1898" s="169"/>
    </row>
    <row r="1899" spans="55:55" ht="15.75" customHeight="1">
      <c r="BC1899" s="169"/>
    </row>
    <row r="1900" spans="55:55" ht="15.75" customHeight="1">
      <c r="BC1900" s="169"/>
    </row>
    <row r="1901" spans="55:55" ht="15.75" customHeight="1">
      <c r="BC1901" s="169"/>
    </row>
    <row r="1902" spans="55:55" ht="15.75" customHeight="1">
      <c r="BC1902" s="169"/>
    </row>
    <row r="1903" spans="55:55" ht="15.75" customHeight="1">
      <c r="BC1903" s="169"/>
    </row>
    <row r="1904" spans="55:55" ht="15.75" customHeight="1">
      <c r="BC1904" s="169"/>
    </row>
    <row r="1905" spans="55:55" ht="15.75" customHeight="1">
      <c r="BC1905" s="169"/>
    </row>
    <row r="1906" spans="55:55" ht="15.75" customHeight="1">
      <c r="BC1906" s="169"/>
    </row>
    <row r="1907" spans="55:55" ht="15.75" customHeight="1">
      <c r="BC1907" s="169"/>
    </row>
    <row r="1908" spans="55:55" ht="15.75" customHeight="1">
      <c r="BC1908" s="169"/>
    </row>
    <row r="1909" spans="55:55" ht="15.75" customHeight="1">
      <c r="BC1909" s="169"/>
    </row>
    <row r="1910" spans="55:55" ht="15.75" customHeight="1">
      <c r="BC1910" s="169"/>
    </row>
    <row r="1911" spans="55:55" ht="15.75" customHeight="1">
      <c r="BC1911" s="169"/>
    </row>
    <row r="1912" spans="55:55" ht="15.75" customHeight="1">
      <c r="BC1912" s="169"/>
    </row>
    <row r="1913" spans="55:55" ht="15.75" customHeight="1">
      <c r="BC1913" s="169"/>
    </row>
    <row r="1914" spans="55:55" ht="15.75" customHeight="1">
      <c r="BC1914" s="169"/>
    </row>
    <row r="1915" spans="55:55" ht="15.75" customHeight="1">
      <c r="BC1915" s="169"/>
    </row>
    <row r="1916" spans="55:55" ht="15.75" customHeight="1">
      <c r="BC1916" s="169"/>
    </row>
    <row r="1917" spans="55:55" ht="15.75" customHeight="1">
      <c r="BC1917" s="169"/>
    </row>
    <row r="1918" spans="55:55" ht="15.75" customHeight="1">
      <c r="BC1918" s="169"/>
    </row>
    <row r="1919" spans="55:55" ht="15.75" customHeight="1">
      <c r="BC1919" s="169"/>
    </row>
    <row r="1920" spans="55:55" ht="15.75" customHeight="1">
      <c r="BC1920" s="169"/>
    </row>
    <row r="1921" spans="55:55" ht="15.75" customHeight="1">
      <c r="BC1921" s="169"/>
    </row>
    <row r="1922" spans="55:55" ht="15.75" customHeight="1">
      <c r="BC1922" s="169"/>
    </row>
    <row r="1923" spans="55:55" ht="15.75" customHeight="1">
      <c r="BC1923" s="169"/>
    </row>
    <row r="1924" spans="55:55" ht="15.75" customHeight="1">
      <c r="BC1924" s="169"/>
    </row>
    <row r="1925" spans="55:55" ht="15.75" customHeight="1">
      <c r="BC1925" s="169"/>
    </row>
    <row r="1926" spans="55:55" ht="15.75" customHeight="1">
      <c r="BC1926" s="169"/>
    </row>
    <row r="1927" spans="55:55" ht="15.75" customHeight="1">
      <c r="BC1927" s="169"/>
    </row>
    <row r="1928" spans="55:55" ht="15.75" customHeight="1">
      <c r="BC1928" s="169"/>
    </row>
    <row r="1929" spans="55:55" ht="15.75" customHeight="1">
      <c r="BC1929" s="169"/>
    </row>
    <row r="1930" spans="55:55" ht="15.75" customHeight="1">
      <c r="BC1930" s="169"/>
    </row>
    <row r="1931" spans="55:55" ht="15.75" customHeight="1">
      <c r="BC1931" s="169"/>
    </row>
    <row r="1932" spans="55:55" ht="15.75" customHeight="1">
      <c r="BC1932" s="169"/>
    </row>
    <row r="1933" spans="55:55" ht="15.75" customHeight="1">
      <c r="BC1933" s="169"/>
    </row>
    <row r="1934" spans="55:55" ht="15.75" customHeight="1">
      <c r="BC1934" s="169"/>
    </row>
    <row r="1935" spans="55:55" ht="15.75" customHeight="1">
      <c r="BC1935" s="169"/>
    </row>
    <row r="1936" spans="55:55" ht="15.75" customHeight="1">
      <c r="BC1936" s="169"/>
    </row>
    <row r="1937" spans="55:55" ht="15.75" customHeight="1">
      <c r="BC1937" s="169"/>
    </row>
    <row r="1938" spans="55:55" ht="15.75" customHeight="1">
      <c r="BC1938" s="169"/>
    </row>
    <row r="1939" spans="55:55" ht="15.75" customHeight="1">
      <c r="BC1939" s="169"/>
    </row>
    <row r="1940" spans="55:55" ht="15.75" customHeight="1">
      <c r="BC1940" s="169"/>
    </row>
    <row r="1941" spans="55:55" ht="15.75" customHeight="1">
      <c r="BC1941" s="169"/>
    </row>
    <row r="1942" spans="55:55" ht="15.75" customHeight="1">
      <c r="BC1942" s="169"/>
    </row>
    <row r="1943" spans="55:55" ht="15.75" customHeight="1">
      <c r="BC1943" s="169"/>
    </row>
    <row r="1944" spans="55:55" ht="15.75" customHeight="1">
      <c r="BC1944" s="169"/>
    </row>
    <row r="1945" spans="55:55" ht="15.75" customHeight="1">
      <c r="BC1945" s="169"/>
    </row>
    <row r="1946" spans="55:55" ht="15.75" customHeight="1">
      <c r="BC1946" s="169"/>
    </row>
    <row r="1947" spans="55:55" ht="15.75" customHeight="1">
      <c r="BC1947" s="169"/>
    </row>
    <row r="1948" spans="55:55" ht="15.75" customHeight="1">
      <c r="BC1948" s="169"/>
    </row>
    <row r="1949" spans="55:55" ht="15.75" customHeight="1">
      <c r="BC1949" s="169"/>
    </row>
    <row r="1950" spans="55:55" ht="15.75" customHeight="1">
      <c r="BC1950" s="169"/>
    </row>
    <row r="1951" spans="55:55" ht="15.75" customHeight="1">
      <c r="BC1951" s="169"/>
    </row>
    <row r="1952" spans="55:55" ht="15.75" customHeight="1">
      <c r="BC1952" s="169"/>
    </row>
    <row r="1953" spans="55:55" ht="15.75" customHeight="1">
      <c r="BC1953" s="169"/>
    </row>
    <row r="1954" spans="55:55" ht="15.75" customHeight="1">
      <c r="BC1954" s="169"/>
    </row>
    <row r="1955" spans="55:55" ht="15.75" customHeight="1">
      <c r="BC1955" s="169"/>
    </row>
    <row r="1956" spans="55:55" ht="15.75" customHeight="1">
      <c r="BC1956" s="169"/>
    </row>
    <row r="1957" spans="55:55" ht="15.75" customHeight="1">
      <c r="BC1957" s="169"/>
    </row>
    <row r="1958" spans="55:55" ht="15.75" customHeight="1">
      <c r="BC1958" s="169"/>
    </row>
    <row r="1959" spans="55:55" ht="15.75" customHeight="1">
      <c r="BC1959" s="169"/>
    </row>
    <row r="1960" spans="55:55" ht="15.75" customHeight="1">
      <c r="BC1960" s="169"/>
    </row>
    <row r="1961" spans="55:55" ht="15.75" customHeight="1">
      <c r="BC1961" s="169"/>
    </row>
    <row r="1962" spans="55:55" ht="15.75" customHeight="1">
      <c r="BC1962" s="169"/>
    </row>
    <row r="1963" spans="55:55" ht="15.75" customHeight="1">
      <c r="BC1963" s="169"/>
    </row>
    <row r="1964" spans="55:55" ht="15.75" customHeight="1">
      <c r="BC1964" s="169"/>
    </row>
    <row r="1965" spans="55:55" ht="15.75" customHeight="1">
      <c r="BC1965" s="169"/>
    </row>
    <row r="1966" spans="55:55" ht="15.75" customHeight="1">
      <c r="BC1966" s="169"/>
    </row>
    <row r="1967" spans="55:55" ht="15.75" customHeight="1">
      <c r="BC1967" s="169"/>
    </row>
    <row r="1968" spans="55:55" ht="15.75" customHeight="1">
      <c r="BC1968" s="169"/>
    </row>
    <row r="1969" spans="55:55" ht="15.75" customHeight="1">
      <c r="BC1969" s="169"/>
    </row>
    <row r="1970" spans="55:55" ht="15.75" customHeight="1">
      <c r="BC1970" s="169"/>
    </row>
    <row r="1971" spans="55:55" ht="15.75" customHeight="1">
      <c r="BC1971" s="169"/>
    </row>
    <row r="1972" spans="55:55" ht="15.75" customHeight="1">
      <c r="BC1972" s="169"/>
    </row>
    <row r="1973" spans="55:55" ht="15.75" customHeight="1">
      <c r="BC1973" s="169"/>
    </row>
    <row r="1974" spans="55:55" ht="15.75" customHeight="1">
      <c r="BC1974" s="169"/>
    </row>
    <row r="1975" spans="55:55" ht="15.75" customHeight="1">
      <c r="BC1975" s="169"/>
    </row>
    <row r="1976" spans="55:55" ht="15.75" customHeight="1">
      <c r="BC1976" s="169"/>
    </row>
    <row r="1977" spans="55:55" ht="15.75" customHeight="1">
      <c r="BC1977" s="169"/>
    </row>
    <row r="1978" spans="55:55" ht="15.75" customHeight="1">
      <c r="BC1978" s="169"/>
    </row>
    <row r="1979" spans="55:55" ht="15.75" customHeight="1">
      <c r="BC1979" s="169"/>
    </row>
    <row r="1980" spans="55:55" ht="15.75" customHeight="1">
      <c r="BC1980" s="169"/>
    </row>
    <row r="1981" spans="55:55" ht="15.75" customHeight="1">
      <c r="BC1981" s="169"/>
    </row>
    <row r="1982" spans="55:55" ht="15.75" customHeight="1">
      <c r="BC1982" s="169"/>
    </row>
    <row r="1983" spans="55:55" ht="15.75" customHeight="1">
      <c r="BC1983" s="169"/>
    </row>
    <row r="1984" spans="55:55" ht="15.75" customHeight="1">
      <c r="BC1984" s="169"/>
    </row>
    <row r="1985" spans="55:55" ht="15.75" customHeight="1">
      <c r="BC1985" s="169"/>
    </row>
    <row r="1986" spans="55:55" ht="15.75" customHeight="1">
      <c r="BC1986" s="169"/>
    </row>
    <row r="1987" spans="55:55" ht="15.75" customHeight="1">
      <c r="BC1987" s="169"/>
    </row>
    <row r="1988" spans="55:55" ht="15.75" customHeight="1">
      <c r="BC1988" s="169"/>
    </row>
    <row r="1989" spans="55:55" ht="15.75" customHeight="1">
      <c r="BC1989" s="169"/>
    </row>
    <row r="1990" spans="55:55" ht="15.75" customHeight="1">
      <c r="BC1990" s="169"/>
    </row>
    <row r="1991" spans="55:55" ht="15.75" customHeight="1">
      <c r="BC1991" s="169"/>
    </row>
    <row r="1992" spans="55:55" ht="15.75" customHeight="1">
      <c r="BC1992" s="169"/>
    </row>
    <row r="1993" spans="55:55" ht="15.75" customHeight="1">
      <c r="BC1993" s="169"/>
    </row>
    <row r="1994" spans="55:55" ht="15.75" customHeight="1">
      <c r="BC1994" s="169"/>
    </row>
    <row r="1995" spans="55:55" ht="15.75" customHeight="1">
      <c r="BC1995" s="169"/>
    </row>
    <row r="1996" spans="55:55" ht="15.75" customHeight="1">
      <c r="BC1996" s="169"/>
    </row>
    <row r="1997" spans="55:55" ht="15.75" customHeight="1">
      <c r="BC1997" s="169"/>
    </row>
    <row r="1998" spans="55:55" ht="15.75" customHeight="1">
      <c r="BC1998" s="169"/>
    </row>
    <row r="1999" spans="55:55" ht="15.75" customHeight="1">
      <c r="BC1999" s="169"/>
    </row>
    <row r="2000" spans="55:55" ht="15.75" customHeight="1">
      <c r="BC2000" s="169"/>
    </row>
    <row r="2001" spans="55:55" ht="15.75" customHeight="1">
      <c r="BC2001" s="169"/>
    </row>
    <row r="2002" spans="55:55" ht="15.75" customHeight="1">
      <c r="BC2002" s="169"/>
    </row>
    <row r="2003" spans="55:55" ht="15.75" customHeight="1">
      <c r="BC2003" s="169"/>
    </row>
    <row r="2004" spans="55:55" ht="15.75" customHeight="1">
      <c r="BC2004" s="169"/>
    </row>
    <row r="2005" spans="55:55" ht="15.75" customHeight="1">
      <c r="BC2005" s="169"/>
    </row>
  </sheetData>
  <autoFilter ref="A2:BG350" xr:uid="{00000000-0009-0000-0000-00000E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autoFilter>
  <mergeCells count="10">
    <mergeCell ref="BD1:BG1"/>
    <mergeCell ref="A1:BB1"/>
    <mergeCell ref="W2:Y2"/>
    <mergeCell ref="Z2:AB2"/>
    <mergeCell ref="N2:P2"/>
    <mergeCell ref="AT2:AV2"/>
    <mergeCell ref="T2:V2"/>
    <mergeCell ref="AC2:AE2"/>
    <mergeCell ref="AN2:AP2"/>
    <mergeCell ref="AQ2:AS2"/>
  </mergeCells>
  <phoneticPr fontId="0" type="noConversion"/>
  <conditionalFormatting sqref="BH342:XFD345">
    <cfRule type="cellIs" dxfId="754" priority="34" operator="equal">
      <formula>0</formula>
    </cfRule>
  </conditionalFormatting>
  <conditionalFormatting sqref="B6:BA347">
    <cfRule type="expression" dxfId="753" priority="28">
      <formula>$M6="NON DEFINED"</formula>
    </cfRule>
    <cfRule type="expression" dxfId="752" priority="29">
      <formula>$AY6="N.D."</formula>
    </cfRule>
  </conditionalFormatting>
  <conditionalFormatting sqref="BD6:BE6 BD8:BE8 BD10:BE10 BD12:BG12 BD11 BD14:BG14 BD13 BD16:BE16 BD18:BE18 BD20:BE20 BD19 BD22:BE22 BD24:BE24 BD26:BE26 BD25 BD28:BE28 BD30:BE30 BD32:BE32 BD31 BD34:BE34 BD36:BE36 BD38:BE38 BD40:BE40 BD39 BD42:BE42 BD44:BE44 BD46:BE46 BD48:BE48 BD50:BE50 BD49 BD52:BE52 BD54:BE54 BD56:BE56 BD55 BD58:BE58 BD57 BD60:BE60 BD62:BE62 BD61 BD64:BE64 BD66:BE66 BD68:BE68 BD70:BE70 BD72:BE72 BD74:BE74 BD76:BE76 BD78:BE78 BD80:BE80 BE82 BD81 BD84:BE84 BD86:BE86 BD88:BE88 BD90:BE90 BD89 BD92:BE92 BD94:BE94 BD96:BE96 BD106:BE106 BD140 BD142:BG142 BD144:BG144 BD143 BD146:BG146 BD145 BD148:BG148 BD147 BD150:BG150 BD151 BD156:BG156 BD158:BG158 BD160:BG160 BD159 BD162:BG162 BD161 BD164:BG164 BD166:BG166 BD168:BG168 BD167 BD170:BG170 BD169 BD172:BG172 BD171 BE174:BG174 BE176:BG176 BE178:BG178 BE180 BE182 BE184 BE186 BD188:BG188 BD190:BG190 BD189 BD192:BG192 BD191 BD194:BG194 BD196:BG196 BD198:BG198 BD200:BG200 BD202:BG202 BD204:BG204 BD203 BD206:BG206 BD205 BD208:BG208 BD210:BG210 BD209 BD212:BG212 BD214:BG214 BD216:BG216 BD218:BG218 BD217 BD220:BG220 BD222:BG222 BD221 BD224:BG224 BD223 BD226:BG226 BD228:BG228 BD230:BG230 BD229 BD232:BG232 BD231 BE236 BD233:BD235 BE238 BE240:BE242 BD244:BG244 BD243 BD246:BG246 BD248:BG248 BD250:BG250 BD249 BD252:BG252 BD251 BD254:BG254 BD253 BD256:BG256 BD258:BG258 BE260 BE262 BE264 BE266:BG266 BD268:BG268 BD267 BD270:BG270 BE272:BG272 BE274:BG274 BE276:BG276 BD278:BG278 BD280:BF280 BD279 BE282 BE284:BG284 BE286:BG286 BE288:BG288 BE290:BG290 BE292:BG292 BE294:BG294 BE296:BG296 BE298:BG298 BE300:BG300 BD302:BG302 BD301 BD304:BG304 BD303 BE306:BG306 BE308:BG308 BE310:BG310 BE312:BG312 BE314 BE316 BE318 BD320:BG320 BD322:BF322 BD321 BD324:BF324 BD323 BD326:BF326 BD325 BD328:BF328 BD330:BF330 BD332:BF332 BD331 BD334:BF334 BD333 BD336:BF336 BD338:BF338 BD337 BD340:BF340 BD342:BF342 BD341 BD344:BF344 BD343 BD346:BE346 BD345 BG10 BG8 BG6 BG92 BG90 BG88 BG86 BG84 BG82 BG80 BG76 BG72 BG70 BG66 BG62 BG60 BG58 BG56 BG54 BG52 BG50 BG48 BG46 BG44 BG42 BG40 BG38 BG36 BG34 BG32 BG30 BG28 BG26 BG24 BG22 BG20 BG18 BG16 BG186 BG184 BG182 BG180 BG240:BG242 BG238 BG236 BG264 BG262 BG260 BG318 BG316 BG314 BD270:BD271 BD138 BD134:BD136 BD116 BD114 BD112 BD109:BD110 BD104:BD107 BD100:BD102 BD98:BE98 BD124:BD126 BD122 BD118:BD120 BD132 BD130 BD128 BD108:BE108 BD110:BE110 BD94:BD95 BD100:BE100 BD102:BE102 BD104:BE104 BD152:BG154">
    <cfRule type="containsBlanks" dxfId="751" priority="23">
      <formula>LEN(TRIM(BD6))=0</formula>
    </cfRule>
  </conditionalFormatting>
  <conditionalFormatting sqref="BC351:BC2005 BC6:BC347">
    <cfRule type="containsText" dxfId="750" priority="21" operator="containsText" text="a">
      <formula>NOT(ISERROR(SEARCH("a",BC6)))</formula>
    </cfRule>
    <cfRule type="containsText" dxfId="749" priority="22" operator="containsText" text="R">
      <formula>NOT(ISERROR(SEARCH("R",BC6)))</formula>
    </cfRule>
  </conditionalFormatting>
  <conditionalFormatting sqref="BA6:BA347">
    <cfRule type="expression" dxfId="748" priority="20">
      <formula>$BC6="R"</formula>
    </cfRule>
  </conditionalFormatting>
  <conditionalFormatting sqref="BC4:BG5">
    <cfRule type="cellIs" dxfId="747" priority="15" operator="equal">
      <formula>0</formula>
    </cfRule>
  </conditionalFormatting>
  <conditionalFormatting sqref="A4:BB5">
    <cfRule type="cellIs" dxfId="746" priority="19" operator="equal">
      <formula>0</formula>
    </cfRule>
  </conditionalFormatting>
  <conditionalFormatting sqref="B4:BA5 BC4:BG5">
    <cfRule type="expression" dxfId="745" priority="17">
      <formula>$M4="NON DEFINED"</formula>
    </cfRule>
    <cfRule type="expression" dxfId="744" priority="18">
      <formula>$AY4="N.D."</formula>
    </cfRule>
  </conditionalFormatting>
  <conditionalFormatting sqref="BA4:BA5">
    <cfRule type="expression" dxfId="743" priority="16">
      <formula>$BC4="R"</formula>
    </cfRule>
  </conditionalFormatting>
  <conditionalFormatting sqref="BC348:BG350">
    <cfRule type="cellIs" dxfId="742" priority="10" operator="equal">
      <formula>0</formula>
    </cfRule>
  </conditionalFormatting>
  <conditionalFormatting sqref="A348:BB350">
    <cfRule type="cellIs" dxfId="741" priority="14" operator="equal">
      <formula>0</formula>
    </cfRule>
  </conditionalFormatting>
  <conditionalFormatting sqref="B348:BA350 BC348:BG350">
    <cfRule type="expression" dxfId="740" priority="12">
      <formula>$M348="NON DEFINED"</formula>
    </cfRule>
    <cfRule type="expression" dxfId="739" priority="13">
      <formula>$AY348="N.D."</formula>
    </cfRule>
  </conditionalFormatting>
  <conditionalFormatting sqref="BA348:BA350">
    <cfRule type="expression" dxfId="738" priority="11">
      <formula>$BC348="R"</formula>
    </cfRule>
  </conditionalFormatting>
  <conditionalFormatting sqref="AN4:AN350">
    <cfRule type="cellIs" dxfId="737" priority="9" operator="notEqual">
      <formula>5.5</formula>
    </cfRule>
  </conditionalFormatting>
  <conditionalFormatting sqref="BG322 BG324 BG326 BG328 BG330 BG332 BG334 BG336 BG338 BG340">
    <cfRule type="containsBlanks" dxfId="736" priority="8">
      <formula>LEN(TRIM(BG322))=0</formula>
    </cfRule>
  </conditionalFormatting>
  <conditionalFormatting sqref="BG344">
    <cfRule type="containsBlanks" dxfId="735" priority="7">
      <formula>LEN(TRIM(BG344))=0</formula>
    </cfRule>
  </conditionalFormatting>
  <conditionalFormatting sqref="BD174:BD178">
    <cfRule type="containsBlanks" dxfId="734" priority="6">
      <formula>LEN(TRIM(BD174))=0</formula>
    </cfRule>
  </conditionalFormatting>
  <conditionalFormatting sqref="BE112 BE114 BE116 BE118 BE120 BE122 BE124 BE126 BE128 BE130 BE132 BE134 BE136 BE138 BE140">
    <cfRule type="containsBlanks" dxfId="733" priority="5">
      <formula>LEN(TRIM(BE112))=0</formula>
    </cfRule>
  </conditionalFormatting>
  <conditionalFormatting sqref="BD308">
    <cfRule type="containsBlanks" dxfId="732" priority="4">
      <formula>LEN(TRIM(BD308))=0</formula>
    </cfRule>
  </conditionalFormatting>
  <conditionalFormatting sqref="BG94 BG96 BG98 BG100 BG102 BG104 BG106 BG108 BG110 BG112 BG114 BG116 BG118 BG120 BG122 BG124 BG126 BG128 BG130 BG132 BG134 BG136 BG138 BG140">
    <cfRule type="containsBlanks" dxfId="731" priority="3">
      <formula>LEN(TRIM(BG94))=0</formula>
    </cfRule>
  </conditionalFormatting>
  <conditionalFormatting sqref="BG342">
    <cfRule type="containsBlanks" dxfId="730" priority="2">
      <formula>LEN(TRIM(BG342))=0</formula>
    </cfRule>
  </conditionalFormatting>
  <conditionalFormatting sqref="BG280 BG282">
    <cfRule type="containsBlanks" dxfId="729" priority="1">
      <formula>LEN(TRIM(BG280))=0</formula>
    </cfRule>
  </conditionalFormatting>
  <printOptions horizontalCentered="1" gridLines="1"/>
  <pageMargins left="0.39370078740157483" right="0.39370078740157483" top="0.78740157480314965" bottom="0.78740157480314965" header="0.31496062992125984" footer="0.31496062992125984"/>
  <pageSetup paperSize="8" scale="76" fitToHeight="0" orientation="landscape" r:id="rId1"/>
  <headerFooter alignWithMargins="0">
    <oddHeader>&amp;L&amp;G&amp;C
LAYOUT AND EQUIPMENT
EP06 TRACK 4 HER-TSA
KP85+000 - 92+700&amp;R&amp;G</oddHeader>
    <oddFooter>&amp;L&amp;G
&amp;F&amp;C&amp;D&amp;RPag &amp;P of &amp;N</oddFooter>
  </headerFooter>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FF7C80"/>
    <pageSetUpPr fitToPage="1"/>
  </sheetPr>
  <dimension ref="A1:BG2169"/>
  <sheetViews>
    <sheetView view="pageBreakPreview" zoomScale="80" zoomScaleNormal="85" zoomScaleSheetLayoutView="80" workbookViewId="0">
      <pane xSplit="3" ySplit="3" topLeftCell="F4" activePane="bottomRight" state="frozen"/>
      <selection activeCell="G124" sqref="G124"/>
      <selection pane="topRight" activeCell="G124" sqref="G124"/>
      <selection pane="bottomLeft" activeCell="G124" sqref="G124"/>
      <selection pane="bottomRight" activeCell="G124" sqref="G124"/>
    </sheetView>
  </sheetViews>
  <sheetFormatPr baseColWidth="10" defaultColWidth="11.453125" defaultRowHeight="12.5"/>
  <cols>
    <col min="1" max="1" width="20.6328125" style="178" customWidth="1"/>
    <col min="2" max="3" width="12.6328125" style="178" customWidth="1"/>
    <col min="4" max="5" width="12.6328125" style="178" hidden="1" customWidth="1"/>
    <col min="6" max="6" width="12.6328125" style="178" customWidth="1"/>
    <col min="7" max="7" width="12.6328125" style="454" customWidth="1"/>
    <col min="8" max="8" width="18.6328125" style="178" customWidth="1"/>
    <col min="9" max="9" width="12.6328125" style="178" customWidth="1"/>
    <col min="10" max="10" width="12.6328125" style="184" customWidth="1"/>
    <col min="11" max="11" width="12.6328125" style="178" customWidth="1"/>
    <col min="12" max="13" width="14.6328125" style="178" customWidth="1"/>
    <col min="14" max="16" width="8.6328125" style="178" hidden="1" customWidth="1"/>
    <col min="17" max="19" width="12.6328125" style="178" hidden="1" customWidth="1"/>
    <col min="20" max="28" width="8.6328125" style="178" hidden="1" customWidth="1"/>
    <col min="29" max="31" width="10.6328125" style="178" hidden="1" customWidth="1"/>
    <col min="32" max="32" width="13.54296875" style="178" hidden="1" customWidth="1"/>
    <col min="33" max="33" width="12.6328125" style="184" hidden="1" customWidth="1"/>
    <col min="34" max="36" width="12.6328125" style="178" hidden="1" customWidth="1"/>
    <col min="37" max="39" width="12.6328125" style="178" customWidth="1"/>
    <col min="40" max="48" width="8.6328125" style="178" hidden="1" customWidth="1"/>
    <col min="49" max="53" width="12.6328125" style="178" customWidth="1"/>
    <col min="54" max="54" width="21.6328125" style="178" customWidth="1"/>
    <col min="55" max="55" width="18" style="178" customWidth="1"/>
    <col min="56" max="59" width="14.54296875" style="1323" customWidth="1"/>
    <col min="60" max="60" width="11.453125" style="178" customWidth="1"/>
    <col min="61" max="16384" width="11.453125" style="178"/>
  </cols>
  <sheetData>
    <row r="1" spans="1:59" ht="35.25" customHeight="1">
      <c r="A1" s="1607" t="s">
        <v>4199</v>
      </c>
      <c r="B1" s="1607"/>
      <c r="C1" s="1607"/>
      <c r="D1" s="1607"/>
      <c r="E1" s="1607"/>
      <c r="F1" s="1607"/>
      <c r="G1" s="1607"/>
      <c r="H1" s="1607"/>
      <c r="I1" s="1607"/>
      <c r="J1" s="1607"/>
      <c r="K1" s="1607"/>
      <c r="L1" s="1607"/>
      <c r="M1" s="1607"/>
      <c r="N1" s="1607"/>
      <c r="O1" s="1607"/>
      <c r="P1" s="1607"/>
      <c r="Q1" s="1607"/>
      <c r="R1" s="1607"/>
      <c r="S1" s="1607"/>
      <c r="T1" s="1607"/>
      <c r="U1" s="1607"/>
      <c r="V1" s="1607"/>
      <c r="W1" s="1607"/>
      <c r="X1" s="1607"/>
      <c r="Y1" s="1607"/>
      <c r="Z1" s="1607"/>
      <c r="AA1" s="1607"/>
      <c r="AB1" s="1607"/>
      <c r="AC1" s="1607"/>
      <c r="AD1" s="1607"/>
      <c r="AE1" s="1607"/>
      <c r="AF1" s="1607"/>
      <c r="AG1" s="1607"/>
      <c r="AH1" s="1607"/>
      <c r="AI1" s="1607"/>
      <c r="AJ1" s="1607"/>
      <c r="AK1" s="1607"/>
      <c r="AL1" s="1607"/>
      <c r="AM1" s="1607"/>
      <c r="AN1" s="1607"/>
      <c r="AO1" s="1607"/>
      <c r="AP1" s="1607"/>
      <c r="AQ1" s="1607"/>
      <c r="AR1" s="1607"/>
      <c r="AS1" s="1607"/>
      <c r="AT1" s="1607"/>
      <c r="AU1" s="1607"/>
      <c r="AV1" s="1607"/>
      <c r="AW1" s="1607"/>
      <c r="AX1" s="1607"/>
      <c r="AY1" s="1607"/>
      <c r="AZ1" s="1607"/>
      <c r="BA1" s="1607"/>
      <c r="BB1" s="1607"/>
      <c r="BC1" s="693" t="s">
        <v>4947</v>
      </c>
      <c r="BD1" s="1599" t="s">
        <v>4916</v>
      </c>
      <c r="BE1" s="1599"/>
      <c r="BF1" s="1599"/>
      <c r="BG1" s="1599"/>
    </row>
    <row r="2" spans="1:59" s="699" customFormat="1" ht="42" customHeight="1">
      <c r="A2" s="1257" t="s">
        <v>4417</v>
      </c>
      <c r="B2" s="1257" t="s">
        <v>4418</v>
      </c>
      <c r="C2" s="947" t="s">
        <v>2315</v>
      </c>
      <c r="D2" s="1257" t="s">
        <v>4419</v>
      </c>
      <c r="E2" s="1257" t="s">
        <v>4855</v>
      </c>
      <c r="F2" s="948" t="s">
        <v>4856</v>
      </c>
      <c r="G2" s="1258" t="s">
        <v>4857</v>
      </c>
      <c r="H2" s="1257" t="s">
        <v>455</v>
      </c>
      <c r="I2" s="948" t="s">
        <v>454</v>
      </c>
      <c r="J2" s="948" t="s">
        <v>4423</v>
      </c>
      <c r="K2" s="1257" t="s">
        <v>1362</v>
      </c>
      <c r="L2" s="1257" t="s">
        <v>456</v>
      </c>
      <c r="M2" s="1257" t="s">
        <v>453</v>
      </c>
      <c r="N2" s="1606" t="s">
        <v>457</v>
      </c>
      <c r="O2" s="1606"/>
      <c r="P2" s="1606"/>
      <c r="Q2" s="1257" t="s">
        <v>4858</v>
      </c>
      <c r="R2" s="1257" t="s">
        <v>4859</v>
      </c>
      <c r="S2" s="1257" t="s">
        <v>4860</v>
      </c>
      <c r="T2" s="1606" t="s">
        <v>4861</v>
      </c>
      <c r="U2" s="1606"/>
      <c r="V2" s="1606"/>
      <c r="W2" s="1606" t="s">
        <v>4862</v>
      </c>
      <c r="X2" s="1606"/>
      <c r="Y2" s="1606"/>
      <c r="Z2" s="1606" t="s">
        <v>4863</v>
      </c>
      <c r="AA2" s="1606"/>
      <c r="AB2" s="1606"/>
      <c r="AC2" s="1606" t="s">
        <v>628</v>
      </c>
      <c r="AD2" s="1606"/>
      <c r="AE2" s="1606"/>
      <c r="AF2" s="1257" t="s">
        <v>4872</v>
      </c>
      <c r="AG2" s="947" t="s">
        <v>4864</v>
      </c>
      <c r="AH2" s="1257" t="s">
        <v>4865</v>
      </c>
      <c r="AI2" s="1257" t="s">
        <v>4866</v>
      </c>
      <c r="AJ2" s="1257" t="s">
        <v>629</v>
      </c>
      <c r="AK2" s="1257" t="s">
        <v>458</v>
      </c>
      <c r="AL2" s="1257" t="s">
        <v>459</v>
      </c>
      <c r="AM2" s="1257" t="s">
        <v>631</v>
      </c>
      <c r="AN2" s="1606" t="s">
        <v>4867</v>
      </c>
      <c r="AO2" s="1606"/>
      <c r="AP2" s="1606"/>
      <c r="AQ2" s="1608" t="s">
        <v>460</v>
      </c>
      <c r="AR2" s="1608"/>
      <c r="AS2" s="1608"/>
      <c r="AT2" s="1606" t="s">
        <v>630</v>
      </c>
      <c r="AU2" s="1606"/>
      <c r="AV2" s="1606"/>
      <c r="AW2" s="1257" t="s">
        <v>4868</v>
      </c>
      <c r="AX2" s="1257" t="s">
        <v>4904</v>
      </c>
      <c r="AY2" s="1258" t="s">
        <v>4869</v>
      </c>
      <c r="AZ2" s="1258" t="s">
        <v>4870</v>
      </c>
      <c r="BA2" s="1257" t="s">
        <v>1670</v>
      </c>
      <c r="BB2" s="1257" t="s">
        <v>4871</v>
      </c>
      <c r="BC2" s="693" t="s">
        <v>4948</v>
      </c>
      <c r="BD2" s="1320" t="s">
        <v>453</v>
      </c>
      <c r="BE2" s="1320" t="s">
        <v>4922</v>
      </c>
      <c r="BF2" s="1320" t="s">
        <v>4915</v>
      </c>
      <c r="BG2" s="1320" t="s">
        <v>457</v>
      </c>
    </row>
    <row r="3" spans="1:59" ht="15.75" customHeight="1">
      <c r="A3" s="1239"/>
      <c r="B3" s="1239"/>
      <c r="C3" s="171"/>
      <c r="D3" s="1239"/>
      <c r="E3" s="1239"/>
      <c r="F3" s="448"/>
      <c r="G3" s="455"/>
      <c r="H3" s="1239"/>
      <c r="I3" s="448"/>
      <c r="J3" s="171"/>
      <c r="K3" s="1239"/>
      <c r="L3" s="1239"/>
      <c r="M3" s="1239"/>
      <c r="N3" s="949" t="s">
        <v>123</v>
      </c>
      <c r="O3" s="949" t="s">
        <v>124</v>
      </c>
      <c r="P3" s="949" t="s">
        <v>125</v>
      </c>
      <c r="Q3" s="1239"/>
      <c r="R3" s="1239"/>
      <c r="S3" s="1239"/>
      <c r="T3" s="949" t="s">
        <v>126</v>
      </c>
      <c r="U3" s="949" t="s">
        <v>127</v>
      </c>
      <c r="V3" s="949" t="s">
        <v>128</v>
      </c>
      <c r="W3" s="949" t="s">
        <v>129</v>
      </c>
      <c r="X3" s="949" t="s">
        <v>130</v>
      </c>
      <c r="Y3" s="949" t="s">
        <v>131</v>
      </c>
      <c r="Z3" s="949" t="s">
        <v>132</v>
      </c>
      <c r="AA3" s="949" t="s">
        <v>133</v>
      </c>
      <c r="AB3" s="949" t="s">
        <v>134</v>
      </c>
      <c r="AC3" s="949" t="s">
        <v>135</v>
      </c>
      <c r="AD3" s="949" t="s">
        <v>136</v>
      </c>
      <c r="AE3" s="949" t="s">
        <v>137</v>
      </c>
      <c r="AF3" s="1239"/>
      <c r="AG3" s="171"/>
      <c r="AH3" s="1239"/>
      <c r="AI3" s="1239"/>
      <c r="AJ3" s="1239"/>
      <c r="AK3" s="1239"/>
      <c r="AL3" s="1239"/>
      <c r="AM3" s="1239"/>
      <c r="AN3" s="1341" t="s">
        <v>129</v>
      </c>
      <c r="AO3" s="949" t="s">
        <v>130</v>
      </c>
      <c r="AP3" s="949" t="s">
        <v>131</v>
      </c>
      <c r="AQ3" s="950" t="s">
        <v>613</v>
      </c>
      <c r="AR3" s="950" t="s">
        <v>614</v>
      </c>
      <c r="AS3" s="950" t="s">
        <v>615</v>
      </c>
      <c r="AT3" s="950" t="s">
        <v>616</v>
      </c>
      <c r="AU3" s="949" t="s">
        <v>617</v>
      </c>
      <c r="AV3" s="949" t="s">
        <v>618</v>
      </c>
      <c r="AW3" s="1239"/>
      <c r="AX3" s="1239"/>
      <c r="AY3" s="455"/>
      <c r="AZ3" s="455"/>
      <c r="BA3" s="1239"/>
      <c r="BB3" s="1239"/>
      <c r="BD3" s="1239"/>
      <c r="BE3" s="1239"/>
      <c r="BF3" s="1239"/>
      <c r="BG3" s="1239"/>
    </row>
    <row r="4" spans="1:59" ht="15.75" customHeight="1">
      <c r="A4" s="501">
        <f>'HR Track 2 BBR-TUN'!A98</f>
        <v>0</v>
      </c>
      <c r="B4" s="716">
        <f>'HR Track 2 BBR-TUN'!B98</f>
        <v>0</v>
      </c>
      <c r="C4" s="451">
        <f>'HR Track 2 BBR-TUN'!C98</f>
        <v>0</v>
      </c>
      <c r="D4" s="453">
        <f>'HR Track 2 BBR-TUN'!D98</f>
        <v>0</v>
      </c>
      <c r="E4" s="452">
        <f>'HR Track 2 BBR-TUN'!E98</f>
        <v>0</v>
      </c>
      <c r="F4" s="453">
        <f>'HR Track 2 BBR-TUN'!F98</f>
        <v>0</v>
      </c>
      <c r="G4" s="500">
        <f>'HR Track 2 BBR-TUN'!G98</f>
        <v>33</v>
      </c>
      <c r="H4" s="453">
        <f>'HR Track 2 BBR-TUN'!H98</f>
        <v>0</v>
      </c>
      <c r="I4" s="501" t="str">
        <f>'HR Track 2 BBR-TUN'!I98</f>
        <v>AnRW</v>
      </c>
      <c r="J4" s="583">
        <f>'HR Track 2 BBR-TUN'!J98</f>
        <v>90544.150000000009</v>
      </c>
      <c r="K4" s="452" t="str">
        <f>'HR Track 2 BBR-TUN'!K98</f>
        <v>AnMC-R</v>
      </c>
      <c r="L4" s="452">
        <f>'HR Track 2 BBR-TUN'!L98</f>
        <v>0</v>
      </c>
      <c r="M4" s="452">
        <f>'HR Track 2 BBR-TUN'!M98</f>
        <v>0</v>
      </c>
      <c r="N4" s="501">
        <f>'HR Track 2 BBR-TUN'!N98</f>
        <v>0</v>
      </c>
      <c r="O4" s="501">
        <f>'HR Track 2 BBR-TUN'!O98</f>
        <v>0</v>
      </c>
      <c r="P4" s="501">
        <f>'HR Track 2 BBR-TUN'!P98</f>
        <v>0</v>
      </c>
      <c r="Q4" s="452">
        <f>'HR Track 2 BBR-TUN'!Q98</f>
        <v>0</v>
      </c>
      <c r="R4" s="452">
        <f>'HR Track 2 BBR-TUN'!R98</f>
        <v>0</v>
      </c>
      <c r="S4" s="500">
        <f>'HR Track 2 BBR-TUN'!S98</f>
        <v>0</v>
      </c>
      <c r="T4" s="452">
        <f>'HR Track 2 BBR-TUN'!T98</f>
        <v>0</v>
      </c>
      <c r="U4" s="452">
        <f>'HR Track 2 BBR-TUN'!U98</f>
        <v>0</v>
      </c>
      <c r="V4" s="452">
        <f>'HR Track 2 BBR-TUN'!V98</f>
        <v>0</v>
      </c>
      <c r="W4" s="452">
        <f>'HR Track 2 BBR-TUN'!W98</f>
        <v>0</v>
      </c>
      <c r="X4" s="452">
        <f>'HR Track 2 BBR-TUN'!X98</f>
        <v>0</v>
      </c>
      <c r="Y4" s="452">
        <f>'HR Track 2 BBR-TUN'!Y98</f>
        <v>0</v>
      </c>
      <c r="Z4" s="452">
        <f>'HR Track 2 BBR-TUN'!Z98</f>
        <v>0</v>
      </c>
      <c r="AA4" s="452">
        <f>'HR Track 2 BBR-TUN'!AA98</f>
        <v>0</v>
      </c>
      <c r="AB4" s="452">
        <f>'HR Track 2 BBR-TUN'!AB98</f>
        <v>0</v>
      </c>
      <c r="AC4" s="452">
        <f>'HR Track 2 BBR-TUN'!AC98</f>
        <v>0</v>
      </c>
      <c r="AD4" s="452">
        <f>'HR Track 2 BBR-TUN'!AD98</f>
        <v>0</v>
      </c>
      <c r="AE4" s="452">
        <f>'HR Track 2 BBR-TUN'!AE98</f>
        <v>0</v>
      </c>
      <c r="AF4" s="452">
        <f>'HR Track 2 BBR-TUN'!AF98</f>
        <v>0</v>
      </c>
      <c r="AG4" s="451">
        <f>'HR Track 2 BBR-TUN'!AG98</f>
        <v>0</v>
      </c>
      <c r="AH4" s="452">
        <f>'HR Track 2 BBR-TUN'!AH98</f>
        <v>0</v>
      </c>
      <c r="AI4" s="452">
        <f>'HR Track 2 BBR-TUN'!AI98</f>
        <v>0</v>
      </c>
      <c r="AJ4" s="452" t="str">
        <f>'HR Track 2 BBR-TUN'!AJ98</f>
        <v>CurrentT</v>
      </c>
      <c r="AK4" s="452">
        <f>'HR Track 2 BBR-TUN'!AK98</f>
        <v>0</v>
      </c>
      <c r="AL4" s="452">
        <f>'HR Track 2 BBR-TUN'!AL98</f>
        <v>0</v>
      </c>
      <c r="AM4" s="452">
        <f>'HR Track 2 BBR-TUN'!AM98</f>
        <v>0</v>
      </c>
      <c r="AN4" s="500">
        <f>'HR Track 2 BBR-TUN'!AN98</f>
        <v>0</v>
      </c>
      <c r="AO4" s="452">
        <f>'HR Track 2 BBR-TUN'!AO98</f>
        <v>0</v>
      </c>
      <c r="AP4" s="452">
        <f>'HR Track 2 BBR-TUN'!AP98</f>
        <v>0</v>
      </c>
      <c r="AQ4" s="452">
        <f>'HR Track 2 BBR-TUN'!AQ98</f>
        <v>-0.30000000000012145</v>
      </c>
      <c r="AR4" s="452">
        <f>'HR Track 2 BBR-TUN'!AR98</f>
        <v>0</v>
      </c>
      <c r="AS4" s="452">
        <f>'HR Track 2 BBR-TUN'!AS98</f>
        <v>0</v>
      </c>
      <c r="AT4" s="452">
        <f>'HR Track 2 BBR-TUN'!AT98</f>
        <v>0</v>
      </c>
      <c r="AU4" s="452">
        <f>'HR Track 2 BBR-TUN'!AU98</f>
        <v>0</v>
      </c>
      <c r="AV4" s="452">
        <f>'HR Track 2 BBR-TUN'!AV98</f>
        <v>0</v>
      </c>
      <c r="AW4" s="452" t="str">
        <f>'HR Track 2 BBR-TUN'!AW98</f>
        <v>Soil B</v>
      </c>
      <c r="AX4" s="452" t="str">
        <f>'HR Track 2 BBR-TUN'!AX98</f>
        <v>PT</v>
      </c>
      <c r="AY4" s="500">
        <f>'HR Track 2 BBR-TUN'!AY98</f>
        <v>0</v>
      </c>
      <c r="AZ4" s="500">
        <f>'HR Track 2 BBR-TUN'!AZ98</f>
        <v>3.9</v>
      </c>
      <c r="BA4" s="1333" t="str">
        <f>'HR Track 2 BBR-TUN'!BA98</f>
        <v>ü</v>
      </c>
      <c r="BB4" s="452">
        <f>'HR Track 2 BBR-TUN'!BB98</f>
        <v>0</v>
      </c>
      <c r="BC4" s="1334">
        <f>'HR Track 2 BBR-TUN'!BC98</f>
        <v>0</v>
      </c>
      <c r="BD4" s="1335">
        <f>'HR Track 2 BBR-TUN'!BD98</f>
        <v>0</v>
      </c>
      <c r="BE4" s="1335">
        <f>'HR Track 2 BBR-TUN'!BE98</f>
        <v>0</v>
      </c>
      <c r="BF4" s="1335">
        <f>'HR Track 2 BBR-TUN'!BF98</f>
        <v>0</v>
      </c>
      <c r="BG4" s="1335">
        <f>'HR Track 2 BBR-TUN'!BG98</f>
        <v>0</v>
      </c>
    </row>
    <row r="5" spans="1:59" ht="15.75" customHeight="1">
      <c r="A5" s="501">
        <f>'HR Track 2 BBR-TUN'!A99</f>
        <v>0</v>
      </c>
      <c r="B5" s="716" t="str">
        <f>'HR Track 2 BBR-TUN'!B99</f>
        <v>90-2.19</v>
      </c>
      <c r="C5" s="451">
        <f>'HR Track 2 BBR-TUN'!C99</f>
        <v>90551.650000000009</v>
      </c>
      <c r="D5" s="453">
        <f>'HR Track 2 BBR-TUN'!D99</f>
        <v>0</v>
      </c>
      <c r="E5" s="452">
        <f>'HR Track 2 BBR-TUN'!E99</f>
        <v>0</v>
      </c>
      <c r="F5" s="453">
        <f>'HR Track 2 BBR-TUN'!F99</f>
        <v>-373.57271095144796</v>
      </c>
      <c r="G5" s="500">
        <f>'HR Track 2 BBR-TUN'!G99</f>
        <v>0</v>
      </c>
      <c r="H5" s="453" t="str">
        <f>'HR Track 2 BBR-TUN'!H99</f>
        <v>S/A A/S</v>
      </c>
      <c r="I5" s="501" t="str">
        <f>'HR Track 2 BBR-TUN'!I99</f>
        <v>FP+AnMC</v>
      </c>
      <c r="J5" s="583">
        <f>'HR Track 2 BBR-TUN'!J99</f>
        <v>0</v>
      </c>
      <c r="K5" s="452">
        <f>'HR Track 2 BBR-TUN'!K99</f>
        <v>0</v>
      </c>
      <c r="L5" s="452" t="str">
        <f>'HR Track 2 BBR-TUN'!L99</f>
        <v>2HEB-260</v>
      </c>
      <c r="M5" s="452" t="str">
        <f>'HR Track 2 BBR-TUN'!M99</f>
        <v>2C4R_L</v>
      </c>
      <c r="N5" s="501" t="str">
        <f>'HR Track 2 BBR-TUN'!N99</f>
        <v>EMT-2</v>
      </c>
      <c r="O5" s="501" t="str">
        <f>'HR Track 2 BBR-TUN'!O99</f>
        <v>EMT-T</v>
      </c>
      <c r="P5" s="501">
        <f>'HR Track 2 BBR-TUN'!P99</f>
        <v>0</v>
      </c>
      <c r="Q5" s="452">
        <f>'HR Track 2 BBR-TUN'!Q99</f>
        <v>0</v>
      </c>
      <c r="R5" s="452">
        <f>'HR Track 2 BBR-TUN'!R99</f>
        <v>0</v>
      </c>
      <c r="S5" s="500">
        <f>'HR Track 2 BBR-TUN'!S99</f>
        <v>0</v>
      </c>
      <c r="T5" s="452">
        <f>'HR Track 2 BBR-TUN'!T99</f>
        <v>20</v>
      </c>
      <c r="U5" s="452">
        <f>'HR Track 2 BBR-TUN'!U99</f>
        <v>-25</v>
      </c>
      <c r="V5" s="452">
        <f>'HR Track 2 BBR-TUN'!V99</f>
        <v>0</v>
      </c>
      <c r="W5" s="452">
        <f>'HR Track 2 BBR-TUN'!W99</f>
        <v>1</v>
      </c>
      <c r="X5" s="452">
        <f>'HR Track 2 BBR-TUN'!X99</f>
        <v>1.2</v>
      </c>
      <c r="Y5" s="452">
        <f>'HR Track 2 BBR-TUN'!Y99</f>
        <v>0</v>
      </c>
      <c r="Z5" s="452">
        <f>'HR Track 2 BBR-TUN'!Z99</f>
        <v>0</v>
      </c>
      <c r="AA5" s="452">
        <f>'HR Track 2 BBR-TUN'!AA99</f>
        <v>0.25</v>
      </c>
      <c r="AB5" s="452">
        <f>'HR Track 2 BBR-TUN'!AB99</f>
        <v>0</v>
      </c>
      <c r="AC5" s="452" t="str">
        <f>'HR Track 2 BBR-TUN'!AC99</f>
        <v>PH-C</v>
      </c>
      <c r="AD5" s="452">
        <f>'HR Track 2 BBR-TUN'!AD99</f>
        <v>0</v>
      </c>
      <c r="AE5" s="452">
        <f>'HR Track 2 BBR-TUN'!AE99</f>
        <v>0</v>
      </c>
      <c r="AF5" s="452">
        <f>'HR Track 2 BBR-TUN'!AF99</f>
        <v>0</v>
      </c>
      <c r="AG5" s="451">
        <f>'HR Track 2 BBR-TUN'!AG99</f>
        <v>0</v>
      </c>
      <c r="AH5" s="452">
        <f>'HR Track 2 BBR-TUN'!AH99</f>
        <v>0</v>
      </c>
      <c r="AI5" s="452">
        <f>'HR Track 2 BBR-TUN'!AI99</f>
        <v>0</v>
      </c>
      <c r="AJ5" s="452">
        <f>'HR Track 2 BBR-TUN'!AJ99</f>
        <v>0</v>
      </c>
      <c r="AK5" s="452">
        <f>'HR Track 2 BBR-TUN'!AK99</f>
        <v>0</v>
      </c>
      <c r="AL5" s="452">
        <f>'HR Track 2 BBR-TUN'!AL99</f>
        <v>0</v>
      </c>
      <c r="AM5" s="452" t="str">
        <f>'HR Track 2 BBR-TUN'!AM99</f>
        <v>RW1</v>
      </c>
      <c r="AN5" s="500">
        <f>'HR Track 2 BBR-TUN'!AN99</f>
        <v>5.15</v>
      </c>
      <c r="AO5" s="452">
        <f>'HR Track 2 BBR-TUN'!AO99</f>
        <v>0</v>
      </c>
      <c r="AP5" s="452">
        <f>'HR Track 2 BBR-TUN'!AP99</f>
        <v>0</v>
      </c>
      <c r="AQ5" s="452">
        <f>'HR Track 2 BBR-TUN'!AQ99</f>
        <v>0</v>
      </c>
      <c r="AR5" s="452">
        <f>'HR Track 2 BBR-TUN'!AR99</f>
        <v>0</v>
      </c>
      <c r="AS5" s="452">
        <f>'HR Track 2 BBR-TUN'!AS99</f>
        <v>0</v>
      </c>
      <c r="AT5" s="500">
        <f>'HR Track 2 BBR-TUN'!AT99</f>
        <v>-2.1473444454723056</v>
      </c>
      <c r="AU5" s="452">
        <f>'HR Track 2 BBR-TUN'!AU99</f>
        <v>0</v>
      </c>
      <c r="AV5" s="452">
        <f>'HR Track 2 BBR-TUN'!AV99</f>
        <v>0</v>
      </c>
      <c r="AW5" s="452" t="str">
        <f>'HR Track 2 BBR-TUN'!AW99</f>
        <v>Soil B</v>
      </c>
      <c r="AX5" s="452" t="str">
        <f>'HR Track 2 BBR-TUN'!AX99</f>
        <v>PT</v>
      </c>
      <c r="AY5" s="500">
        <f>'HR Track 2 BBR-TUN'!AY99</f>
        <v>4</v>
      </c>
      <c r="AZ5" s="500">
        <f>'HR Track 2 BBR-TUN'!AZ99</f>
        <v>0</v>
      </c>
      <c r="BA5" s="1333" t="str">
        <f>'HR Track 2 BBR-TUN'!BA99</f>
        <v>ü</v>
      </c>
      <c r="BB5" s="452" t="str">
        <f>'HR Track 2 BBR-TUN'!BB99</f>
        <v>App.7.1-V01-P9.5.1.8</v>
      </c>
      <c r="BC5" s="1334">
        <f>'HR Track 2 BBR-TUN'!BC99</f>
        <v>0</v>
      </c>
      <c r="BD5" s="1335">
        <f>'HR Track 2 BBR-TUN'!BD99</f>
        <v>0</v>
      </c>
      <c r="BE5" s="1335">
        <f>'HR Track 2 BBR-TUN'!BE99</f>
        <v>0</v>
      </c>
      <c r="BF5" s="1335">
        <f>'HR Track 2 BBR-TUN'!BF99</f>
        <v>0</v>
      </c>
      <c r="BG5" s="1335">
        <f>'HR Track 2 BBR-TUN'!BG99</f>
        <v>0</v>
      </c>
    </row>
    <row r="6" spans="1:59" ht="15.75" customHeight="1">
      <c r="A6" s="501">
        <f>'HR Track 1 BBR-TUN'!A100</f>
        <v>0</v>
      </c>
      <c r="B6" s="716">
        <f>'HR Track 1 BBR-TUN'!B100</f>
        <v>0</v>
      </c>
      <c r="C6" s="451">
        <f>'HR Track 1 BBR-TUN'!C100</f>
        <v>0</v>
      </c>
      <c r="D6" s="453">
        <f>'HR Track 1 BBR-TUN'!D100</f>
        <v>0</v>
      </c>
      <c r="E6" s="452">
        <f>'HR Track 1 BBR-TUN'!E100</f>
        <v>0</v>
      </c>
      <c r="F6" s="453">
        <f>'HR Track 1 BBR-TUN'!F100</f>
        <v>0</v>
      </c>
      <c r="G6" s="500">
        <f>'HR Track 1 BBR-TUN'!G100</f>
        <v>38</v>
      </c>
      <c r="H6" s="453">
        <f>'HR Track 1 BBR-TUN'!H100</f>
        <v>0</v>
      </c>
      <c r="I6" s="501" t="str">
        <f>'HR Track 1 BBR-TUN'!I100</f>
        <v>AnRW</v>
      </c>
      <c r="J6" s="583">
        <f>'HR Track 1 BBR-TUN'!J100</f>
        <v>0</v>
      </c>
      <c r="K6" s="452">
        <f>'HR Track 1 BBR-TUN'!K100</f>
        <v>0</v>
      </c>
      <c r="L6" s="452">
        <f>'HR Track 1 BBR-TUN'!L100</f>
        <v>0</v>
      </c>
      <c r="M6" s="452">
        <f>'HR Track 1 BBR-TUN'!M100</f>
        <v>0</v>
      </c>
      <c r="N6" s="501">
        <f>'HR Track 1 BBR-TUN'!N100</f>
        <v>0</v>
      </c>
      <c r="O6" s="501">
        <f>'HR Track 1 BBR-TUN'!O100</f>
        <v>0</v>
      </c>
      <c r="P6" s="501">
        <f>'HR Track 1 BBR-TUN'!P100</f>
        <v>0</v>
      </c>
      <c r="Q6" s="452">
        <f>'HR Track 1 BBR-TUN'!Q100</f>
        <v>0</v>
      </c>
      <c r="R6" s="452">
        <f>'HR Track 1 BBR-TUN'!R100</f>
        <v>0</v>
      </c>
      <c r="S6" s="500">
        <f>'HR Track 1 BBR-TUN'!S100</f>
        <v>0</v>
      </c>
      <c r="T6" s="452">
        <f>'HR Track 1 BBR-TUN'!T100</f>
        <v>0</v>
      </c>
      <c r="U6" s="452">
        <f>'HR Track 1 BBR-TUN'!U100</f>
        <v>0</v>
      </c>
      <c r="V6" s="452">
        <f>'HR Track 1 BBR-TUN'!V100</f>
        <v>0</v>
      </c>
      <c r="W6" s="452">
        <f>'HR Track 1 BBR-TUN'!W100</f>
        <v>0</v>
      </c>
      <c r="X6" s="452">
        <f>'HR Track 1 BBR-TUN'!X100</f>
        <v>0</v>
      </c>
      <c r="Y6" s="452">
        <f>'HR Track 1 BBR-TUN'!Y100</f>
        <v>0</v>
      </c>
      <c r="Z6" s="452">
        <f>'HR Track 1 BBR-TUN'!Z100</f>
        <v>0</v>
      </c>
      <c r="AA6" s="452">
        <f>'HR Track 1 BBR-TUN'!AA100</f>
        <v>0</v>
      </c>
      <c r="AB6" s="452">
        <f>'HR Track 1 BBR-TUN'!AB100</f>
        <v>0</v>
      </c>
      <c r="AC6" s="452">
        <f>'HR Track 1 BBR-TUN'!AC100</f>
        <v>0</v>
      </c>
      <c r="AD6" s="452">
        <f>'HR Track 1 BBR-TUN'!AD100</f>
        <v>0</v>
      </c>
      <c r="AE6" s="452">
        <f>'HR Track 1 BBR-TUN'!AE100</f>
        <v>0</v>
      </c>
      <c r="AF6" s="452">
        <f>'HR Track 1 BBR-TUN'!AF100</f>
        <v>0</v>
      </c>
      <c r="AG6" s="451">
        <f>'HR Track 1 BBR-TUN'!AG100</f>
        <v>0</v>
      </c>
      <c r="AH6" s="452">
        <f>'HR Track 1 BBR-TUN'!AH100</f>
        <v>0</v>
      </c>
      <c r="AI6" s="452">
        <f>'HR Track 1 BBR-TUN'!AI100</f>
        <v>0</v>
      </c>
      <c r="AJ6" s="452">
        <f>'HR Track 1 BBR-TUN'!AJ100</f>
        <v>0</v>
      </c>
      <c r="AK6" s="452">
        <f>'HR Track 1 BBR-TUN'!AK100</f>
        <v>0</v>
      </c>
      <c r="AL6" s="452">
        <f>'HR Track 1 BBR-TUN'!AL100</f>
        <v>0</v>
      </c>
      <c r="AM6" s="452">
        <f>'HR Track 1 BBR-TUN'!AM100</f>
        <v>0</v>
      </c>
      <c r="AN6" s="500">
        <f>'HR Track 1 BBR-TUN'!AN100</f>
        <v>0</v>
      </c>
      <c r="AO6" s="452">
        <f>'HR Track 1 BBR-TUN'!AO100</f>
        <v>0</v>
      </c>
      <c r="AP6" s="452">
        <f>'HR Track 1 BBR-TUN'!AP100</f>
        <v>0</v>
      </c>
      <c r="AQ6" s="452">
        <f>'HR Track 1 BBR-TUN'!AQ100</f>
        <v>0.3</v>
      </c>
      <c r="AR6" s="452">
        <f>'HR Track 1 BBR-TUN'!AR100</f>
        <v>0</v>
      </c>
      <c r="AS6" s="452">
        <f>'HR Track 1 BBR-TUN'!AS100</f>
        <v>0</v>
      </c>
      <c r="AT6" s="500">
        <f>'HR Track 1 BBR-TUN'!AT100</f>
        <v>0</v>
      </c>
      <c r="AU6" s="452">
        <f>'HR Track 1 BBR-TUN'!AU100</f>
        <v>0</v>
      </c>
      <c r="AV6" s="452">
        <f>'HR Track 1 BBR-TUN'!AV100</f>
        <v>0</v>
      </c>
      <c r="AW6" s="452">
        <f>'HR Track 1 BBR-TUN'!AW100</f>
        <v>0</v>
      </c>
      <c r="AX6" s="452">
        <f>'HR Track 1 BBR-TUN'!AX100</f>
        <v>0</v>
      </c>
      <c r="AY6" s="500">
        <f>'HR Track 1 BBR-TUN'!AY100</f>
        <v>0</v>
      </c>
      <c r="AZ6" s="500">
        <f>'HR Track 1 BBR-TUN'!AZ100</f>
        <v>0</v>
      </c>
      <c r="BA6" s="1333">
        <f>'HR Track 1 BBR-TUN'!BA100</f>
        <v>0</v>
      </c>
      <c r="BB6" s="452">
        <f>'HR Track 1 BBR-TUN'!BB100</f>
        <v>0</v>
      </c>
      <c r="BC6" s="1575"/>
      <c r="BD6" s="1335"/>
      <c r="BE6" s="1335"/>
      <c r="BF6" s="1335"/>
      <c r="BG6" s="1335"/>
    </row>
    <row r="7" spans="1:59" ht="15.75" customHeight="1">
      <c r="A7" s="501"/>
      <c r="B7" s="716" t="str">
        <f>'HR Track 1 BBR-TUN'!B101</f>
        <v>90-1.20</v>
      </c>
      <c r="C7" s="451">
        <f>'HR Track 1 BBR-TUN'!C101</f>
        <v>90588.25</v>
      </c>
      <c r="D7" s="453">
        <f>'HR Track 1 BBR-TUN'!D101</f>
        <v>0</v>
      </c>
      <c r="E7" s="452">
        <f>'HR Track 1 BBR-TUN'!E101</f>
        <v>0</v>
      </c>
      <c r="F7" s="453">
        <f>'HR Track 1 BBR-TUN'!F101</f>
        <v>-3232.6621923928942</v>
      </c>
      <c r="G7" s="500">
        <f>'HR Track 1 BBR-TUN'!G101</f>
        <v>0</v>
      </c>
      <c r="H7" s="453" t="str">
        <f>'HR Track 1 BBR-TUN'!H101</f>
        <v>S/A S/A</v>
      </c>
      <c r="I7" s="501" t="str">
        <f>'HR Track 1 BBR-TUN'!I101</f>
        <v xml:space="preserve">IO </v>
      </c>
      <c r="J7" s="583">
        <f>'HR Track 1 BBR-TUN'!J101</f>
        <v>0</v>
      </c>
      <c r="K7" s="452">
        <f>'HR Track 1 BBR-TUN'!K101</f>
        <v>0</v>
      </c>
      <c r="L7" s="452" t="str">
        <f>'HR Track 1 BBR-TUN'!L101</f>
        <v>2HEB-260</v>
      </c>
      <c r="M7" s="452" t="str">
        <f>'HR Track 1 BBR-TUN'!M101</f>
        <v>2C4R</v>
      </c>
      <c r="N7" s="501" t="str">
        <f>'HR Track 1 BBR-TUN'!N101</f>
        <v>EMT-TT</v>
      </c>
      <c r="O7" s="501" t="str">
        <f>'HR Track 1 BBR-TUN'!O101</f>
        <v>EMT-2T</v>
      </c>
      <c r="P7" s="501" t="str">
        <f>'HR Track 1 BBR-TUN'!P101</f>
        <v>EMT-TT</v>
      </c>
      <c r="Q7" s="452">
        <f>'HR Track 1 BBR-TUN'!Q101</f>
        <v>0</v>
      </c>
      <c r="R7" s="452">
        <f>'HR Track 1 BBR-TUN'!R101</f>
        <v>0</v>
      </c>
      <c r="S7" s="500">
        <f>'HR Track 1 BBR-TUN'!S101</f>
        <v>0</v>
      </c>
      <c r="T7" s="452">
        <f>'HR Track 1 BBR-TUN'!T101</f>
        <v>50</v>
      </c>
      <c r="U7" s="452">
        <f>'HR Track 1 BBR-TUN'!U101</f>
        <v>30</v>
      </c>
      <c r="V7" s="452">
        <f>'HR Track 1 BBR-TUN'!V101</f>
        <v>-15</v>
      </c>
      <c r="W7" s="452">
        <f>'HR Track 1 BBR-TUN'!W101</f>
        <v>0.75</v>
      </c>
      <c r="X7" s="452">
        <f>'HR Track 1 BBR-TUN'!X101</f>
        <v>0.9</v>
      </c>
      <c r="Y7" s="452">
        <f>'HR Track 1 BBR-TUN'!Y101</f>
        <v>1.2</v>
      </c>
      <c r="Z7" s="452">
        <f>'HR Track 1 BBR-TUN'!Z101</f>
        <v>0.36</v>
      </c>
      <c r="AA7" s="452">
        <f>'HR Track 1 BBR-TUN'!AA101</f>
        <v>0</v>
      </c>
      <c r="AB7" s="452">
        <f>'HR Track 1 BBR-TUN'!AB101</f>
        <v>0.25</v>
      </c>
      <c r="AC7" s="452">
        <f>'HR Track 1 BBR-TUN'!AC101</f>
        <v>0</v>
      </c>
      <c r="AD7" s="452">
        <f>'HR Track 1 BBR-TUN'!AD101</f>
        <v>0</v>
      </c>
      <c r="AE7" s="452">
        <f>'HR Track 1 BBR-TUN'!AE101</f>
        <v>0</v>
      </c>
      <c r="AF7" s="452">
        <f>'HR Track 1 BBR-TUN'!AF101</f>
        <v>0</v>
      </c>
      <c r="AG7" s="451">
        <f>'HR Track 1 BBR-TUN'!AG101</f>
        <v>0</v>
      </c>
      <c r="AH7" s="452">
        <f>'HR Track 1 BBR-TUN'!AH101</f>
        <v>0</v>
      </c>
      <c r="AI7" s="452">
        <f>'HR Track 1 BBR-TUN'!AI101</f>
        <v>0</v>
      </c>
      <c r="AJ7" s="452" t="str">
        <f>'HR Track 1 BBR-TUN'!AJ101</f>
        <v>LoadB/IO</v>
      </c>
      <c r="AK7" s="452">
        <f>'HR Track 1 BBR-TUN'!AK101</f>
        <v>0</v>
      </c>
      <c r="AL7" s="452">
        <f>'HR Track 1 BBR-TUN'!AL101</f>
        <v>0</v>
      </c>
      <c r="AM7" s="452" t="str">
        <f>'HR Track 1 BBR-TUN'!AM101</f>
        <v>RW1</v>
      </c>
      <c r="AN7" s="500">
        <f>'HR Track 1 BBR-TUN'!AN101</f>
        <v>5.15</v>
      </c>
      <c r="AO7" s="452">
        <f>'HR Track 1 BBR-TUN'!AO101</f>
        <v>0</v>
      </c>
      <c r="AP7" s="452">
        <f>'HR Track 1 BBR-TUN'!AP101</f>
        <v>0</v>
      </c>
      <c r="AQ7" s="452">
        <f>'HR Track 1 BBR-TUN'!AQ101</f>
        <v>0</v>
      </c>
      <c r="AR7" s="452">
        <f>'HR Track 1 BBR-TUN'!AR101</f>
        <v>0</v>
      </c>
      <c r="AS7" s="452">
        <f>'HR Track 1 BBR-TUN'!AS101</f>
        <v>0</v>
      </c>
      <c r="AT7" s="500">
        <f>'HR Track 1 BBR-TUN'!AT101</f>
        <v>1.4877589653472965</v>
      </c>
      <c r="AU7" s="452">
        <f>'HR Track 1 BBR-TUN'!AU101</f>
        <v>0</v>
      </c>
      <c r="AV7" s="452">
        <f>'HR Track 1 BBR-TUN'!AV101</f>
        <v>0</v>
      </c>
      <c r="AW7" s="452" t="str">
        <f>'HR Track 1 BBR-TUN'!AW101</f>
        <v>Soil B</v>
      </c>
      <c r="AX7" s="452" t="str">
        <f>'HR Track 1 BBR-TUN'!AX101</f>
        <v>PT</v>
      </c>
      <c r="AY7" s="500">
        <f>'HR Track 1 BBR-TUN'!AY101</f>
        <v>4</v>
      </c>
      <c r="AZ7" s="500">
        <f>'HR Track 1 BBR-TUN'!AZ101</f>
        <v>0</v>
      </c>
      <c r="BA7" s="1333" t="str">
        <f>'HR Track 1 BBR-TUN'!BA101</f>
        <v>ü</v>
      </c>
      <c r="BB7" s="452" t="str">
        <f>'HR Track 1 BBR-TUN'!BB101</f>
        <v>App.7-V11A-P9.5.1.9</v>
      </c>
      <c r="BC7" s="1575"/>
      <c r="BD7" s="1335"/>
      <c r="BE7" s="1335"/>
      <c r="BF7" s="1335"/>
      <c r="BG7" s="1335"/>
    </row>
    <row r="8" spans="1:59" ht="15.75" customHeight="1">
      <c r="A8" s="501"/>
      <c r="B8" s="716">
        <f>'HR Track 1 BBR-TUN'!B102</f>
        <v>0</v>
      </c>
      <c r="C8" s="451">
        <f>'HR Track 1 BBR-TUN'!C102</f>
        <v>0</v>
      </c>
      <c r="D8" s="453">
        <f>'HR Track 1 BBR-TUN'!D102</f>
        <v>0</v>
      </c>
      <c r="E8" s="452">
        <f>'HR Track 1 BBR-TUN'!E102</f>
        <v>0</v>
      </c>
      <c r="F8" s="453">
        <f>'HR Track 1 BBR-TUN'!F102</f>
        <v>0</v>
      </c>
      <c r="G8" s="500">
        <f>'HR Track 1 BBR-TUN'!G102</f>
        <v>4.47</v>
      </c>
      <c r="H8" s="453">
        <f>'HR Track 1 BBR-TUN'!H102</f>
        <v>0</v>
      </c>
      <c r="I8" s="501">
        <f>'HR Track 1 BBR-TUN'!I102</f>
        <v>0</v>
      </c>
      <c r="J8" s="583">
        <f>'HR Track 1 BBR-TUN'!J102</f>
        <v>0</v>
      </c>
      <c r="K8" s="452">
        <f>'HR Track 1 BBR-TUN'!K102</f>
        <v>0</v>
      </c>
      <c r="L8" s="452">
        <f>'HR Track 1 BBR-TUN'!L102</f>
        <v>0</v>
      </c>
      <c r="M8" s="452">
        <f>'HR Track 1 BBR-TUN'!M102</f>
        <v>0</v>
      </c>
      <c r="N8" s="501">
        <f>'HR Track 1 BBR-TUN'!N102</f>
        <v>0</v>
      </c>
      <c r="O8" s="501">
        <f>'HR Track 1 BBR-TUN'!O102</f>
        <v>0</v>
      </c>
      <c r="P8" s="501">
        <f>'HR Track 1 BBR-TUN'!P102</f>
        <v>0</v>
      </c>
      <c r="Q8" s="452">
        <f>'HR Track 1 BBR-TUN'!Q102</f>
        <v>0</v>
      </c>
      <c r="R8" s="452">
        <f>'HR Track 1 BBR-TUN'!R102</f>
        <v>0</v>
      </c>
      <c r="S8" s="500">
        <f>'HR Track 1 BBR-TUN'!S102</f>
        <v>0</v>
      </c>
      <c r="T8" s="452">
        <f>'HR Track 1 BBR-TUN'!T102</f>
        <v>0</v>
      </c>
      <c r="U8" s="452">
        <f>'HR Track 1 BBR-TUN'!U102</f>
        <v>0</v>
      </c>
      <c r="V8" s="452">
        <f>'HR Track 1 BBR-TUN'!V102</f>
        <v>0</v>
      </c>
      <c r="W8" s="452">
        <f>'HR Track 1 BBR-TUN'!W102</f>
        <v>0</v>
      </c>
      <c r="X8" s="452">
        <f>'HR Track 1 BBR-TUN'!X102</f>
        <v>0</v>
      </c>
      <c r="Y8" s="452">
        <f>'HR Track 1 BBR-TUN'!Y102</f>
        <v>0</v>
      </c>
      <c r="Z8" s="452">
        <f>'HR Track 1 BBR-TUN'!Z102</f>
        <v>0</v>
      </c>
      <c r="AA8" s="452">
        <f>'HR Track 1 BBR-TUN'!AA102</f>
        <v>0</v>
      </c>
      <c r="AB8" s="452">
        <f>'HR Track 1 BBR-TUN'!AB102</f>
        <v>0</v>
      </c>
      <c r="AC8" s="452">
        <f>'HR Track 1 BBR-TUN'!AC102</f>
        <v>0</v>
      </c>
      <c r="AD8" s="452">
        <f>'HR Track 1 BBR-TUN'!AD102</f>
        <v>0</v>
      </c>
      <c r="AE8" s="452">
        <f>'HR Track 1 BBR-TUN'!AE102</f>
        <v>0</v>
      </c>
      <c r="AF8" s="452">
        <f>'HR Track 1 BBR-TUN'!AF102</f>
        <v>0</v>
      </c>
      <c r="AG8" s="451">
        <f>'HR Track 1 BBR-TUN'!AG102</f>
        <v>0</v>
      </c>
      <c r="AH8" s="452">
        <f>'HR Track 1 BBR-TUN'!AH102</f>
        <v>0</v>
      </c>
      <c r="AI8" s="452">
        <f>'HR Track 1 BBR-TUN'!AI102</f>
        <v>0</v>
      </c>
      <c r="AJ8" s="452" t="str">
        <f>'HR Track 1 BBR-TUN'!AJ102</f>
        <v>CurrentT</v>
      </c>
      <c r="AK8" s="452">
        <f>'HR Track 1 BBR-TUN'!AK102</f>
        <v>0</v>
      </c>
      <c r="AL8" s="452">
        <f>'HR Track 1 BBR-TUN'!AL102</f>
        <v>0</v>
      </c>
      <c r="AM8" s="452">
        <f>'HR Track 1 BBR-TUN'!AM102</f>
        <v>0</v>
      </c>
      <c r="AN8" s="500">
        <f>'HR Track 1 BBR-TUN'!AN102</f>
        <v>0</v>
      </c>
      <c r="AO8" s="452">
        <f>'HR Track 1 BBR-TUN'!AO102</f>
        <v>0</v>
      </c>
      <c r="AP8" s="452">
        <f>'HR Track 1 BBR-TUN'!AP102</f>
        <v>0</v>
      </c>
      <c r="AQ8" s="500">
        <f>'HR Track 1 BBR-TUN'!AQ102</f>
        <v>0.30110124556599105</v>
      </c>
      <c r="AR8" s="452">
        <f>'HR Track 1 BBR-TUN'!AR102</f>
        <v>0</v>
      </c>
      <c r="AS8" s="452">
        <f>'HR Track 1 BBR-TUN'!AS102</f>
        <v>0</v>
      </c>
      <c r="AT8" s="452">
        <f>'HR Track 1 BBR-TUN'!AT102</f>
        <v>0</v>
      </c>
      <c r="AU8" s="452">
        <f>'HR Track 1 BBR-TUN'!AU102</f>
        <v>0</v>
      </c>
      <c r="AV8" s="452">
        <f>'HR Track 1 BBR-TUN'!AV102</f>
        <v>0</v>
      </c>
      <c r="AW8" s="452">
        <f>'HR Track 1 BBR-TUN'!AW102</f>
        <v>0</v>
      </c>
      <c r="AX8" s="452">
        <f>'HR Track 1 BBR-TUN'!AX102</f>
        <v>0</v>
      </c>
      <c r="AY8" s="500">
        <f>'HR Track 1 BBR-TUN'!AY102</f>
        <v>0</v>
      </c>
      <c r="AZ8" s="500">
        <f>'HR Track 1 BBR-TUN'!AZ102</f>
        <v>0</v>
      </c>
      <c r="BA8" s="1333">
        <f>'HR Track 1 BBR-TUN'!BA102</f>
        <v>0</v>
      </c>
      <c r="BB8" s="452">
        <f>'HR Track 1 BBR-TUN'!BB102</f>
        <v>0</v>
      </c>
      <c r="BC8" s="1575"/>
      <c r="BD8" s="1335"/>
      <c r="BE8" s="1335"/>
      <c r="BF8" s="1335"/>
      <c r="BG8" s="1335"/>
    </row>
    <row r="9" spans="1:59" ht="15.75" customHeight="1">
      <c r="A9" s="501"/>
      <c r="B9" s="716" t="str">
        <f>'HR Track 1 BBR-TUN'!B103</f>
        <v>90-1.21</v>
      </c>
      <c r="C9" s="451">
        <f>'HR Track 1 BBR-TUN'!C103</f>
        <v>90592.72</v>
      </c>
      <c r="D9" s="453">
        <f>'HR Track 1 BBR-TUN'!D103</f>
        <v>0</v>
      </c>
      <c r="E9" s="452">
        <f>'HR Track 1 BBR-TUN'!E103</f>
        <v>0</v>
      </c>
      <c r="F9" s="453">
        <f>'HR Track 1 BBR-TUN'!F103</f>
        <v>0</v>
      </c>
      <c r="G9" s="500">
        <f>'HR Track 1 BBR-TUN'!G103</f>
        <v>0</v>
      </c>
      <c r="H9" s="453">
        <f>'HR Track 1 BBR-TUN'!H103</f>
        <v>0</v>
      </c>
      <c r="I9" s="501">
        <f>'HR Track 1 BBR-TUN'!I103</f>
        <v>0</v>
      </c>
      <c r="J9" s="583">
        <f>'HR Track 1 BBR-TUN'!J103</f>
        <v>0</v>
      </c>
      <c r="K9" s="452">
        <f>'HR Track 1 BBR-TUN'!K103</f>
        <v>0</v>
      </c>
      <c r="L9" s="452" t="str">
        <f>'HR Track 1 BBR-TUN'!L103</f>
        <v>HEB-360LL</v>
      </c>
      <c r="M9" s="452" t="str">
        <f>'HR Track 1 BBR-TUN'!M103</f>
        <v>C9R</v>
      </c>
      <c r="N9" s="501" t="str">
        <f>'HR Track 1 BBR-TUN'!N103</f>
        <v>-</v>
      </c>
      <c r="O9" s="501">
        <f>'HR Track 1 BBR-TUN'!O103</f>
        <v>0</v>
      </c>
      <c r="P9" s="501">
        <f>'HR Track 1 BBR-TUN'!P103</f>
        <v>0</v>
      </c>
      <c r="Q9" s="452">
        <f>'HR Track 1 BBR-TUN'!Q103</f>
        <v>0</v>
      </c>
      <c r="R9" s="452">
        <f>'HR Track 1 BBR-TUN'!R103</f>
        <v>0</v>
      </c>
      <c r="S9" s="500">
        <f>'HR Track 1 BBR-TUN'!S103</f>
        <v>0</v>
      </c>
      <c r="T9" s="452">
        <f>'HR Track 1 BBR-TUN'!T103</f>
        <v>0</v>
      </c>
      <c r="U9" s="452">
        <f>'HR Track 1 BBR-TUN'!U103</f>
        <v>0</v>
      </c>
      <c r="V9" s="452">
        <f>'HR Track 1 BBR-TUN'!V103</f>
        <v>0</v>
      </c>
      <c r="W9" s="452">
        <f>'HR Track 1 BBR-TUN'!W103</f>
        <v>0</v>
      </c>
      <c r="X9" s="452">
        <f>'HR Track 1 BBR-TUN'!X103</f>
        <v>0</v>
      </c>
      <c r="Y9" s="452">
        <f>'HR Track 1 BBR-TUN'!Y103</f>
        <v>0</v>
      </c>
      <c r="Z9" s="452">
        <f>'HR Track 1 BBR-TUN'!Z103</f>
        <v>0</v>
      </c>
      <c r="AA9" s="452">
        <f>'HR Track 1 BBR-TUN'!AA103</f>
        <v>0</v>
      </c>
      <c r="AB9" s="452">
        <f>'HR Track 1 BBR-TUN'!AB103</f>
        <v>0</v>
      </c>
      <c r="AC9" s="452">
        <f>'HR Track 1 BBR-TUN'!AC103</f>
        <v>0</v>
      </c>
      <c r="AD9" s="452">
        <f>'HR Track 1 BBR-TUN'!AD103</f>
        <v>0</v>
      </c>
      <c r="AE9" s="452">
        <f>'HR Track 1 BBR-TUN'!AE103</f>
        <v>0</v>
      </c>
      <c r="AF9" s="452">
        <f>'HR Track 1 BBR-TUN'!AF103</f>
        <v>0</v>
      </c>
      <c r="AG9" s="451">
        <f>'HR Track 1 BBR-TUN'!AG103</f>
        <v>0</v>
      </c>
      <c r="AH9" s="452">
        <f>'HR Track 1 BBR-TUN'!AH103</f>
        <v>0</v>
      </c>
      <c r="AI9" s="452">
        <f>'HR Track 1 BBR-TUN'!AI103</f>
        <v>0</v>
      </c>
      <c r="AJ9" s="452">
        <f>'HR Track 1 BBR-TUN'!AJ103</f>
        <v>0</v>
      </c>
      <c r="AK9" s="452">
        <f>'HR Track 1 BBR-TUN'!AK103</f>
        <v>0</v>
      </c>
      <c r="AL9" s="452" t="str">
        <f>'HR Track 1 BBR-TUN'!AL103</f>
        <v>B7</v>
      </c>
      <c r="AM9" s="452" t="str">
        <f>'HR Track 1 BBR-TUN'!AM103</f>
        <v>RW1</v>
      </c>
      <c r="AN9" s="500">
        <v>5.15</v>
      </c>
      <c r="AO9" s="452">
        <f>'HR Track 1 BBR-TUN'!AO103</f>
        <v>0</v>
      </c>
      <c r="AP9" s="452">
        <f>'HR Track 1 BBR-TUN'!AP103</f>
        <v>0</v>
      </c>
      <c r="AQ9" s="452">
        <f>'HR Track 1 BBR-TUN'!AQ103</f>
        <v>0</v>
      </c>
      <c r="AR9" s="452">
        <f>'HR Track 1 BBR-TUN'!AR103</f>
        <v>0</v>
      </c>
      <c r="AS9" s="452">
        <f>'HR Track 1 BBR-TUN'!AS103</f>
        <v>0</v>
      </c>
      <c r="AT9" s="484">
        <f>+ab(T9,U$11,T$15,G8,G10,-1*F9,1200)</f>
        <v>5.0127468622157938</v>
      </c>
      <c r="AU9" s="452">
        <f>'HR Track 1 BBR-TUN'!AU103</f>
        <v>0</v>
      </c>
      <c r="AV9" s="452">
        <f>'HR Track 1 BBR-TUN'!AV103</f>
        <v>0</v>
      </c>
      <c r="AW9" s="452" t="str">
        <f>'HR Track 1 BBR-TUN'!AW103</f>
        <v>Soil B</v>
      </c>
      <c r="AX9" s="452" t="str">
        <f>'HR Track 1 BBR-TUN'!AX103</f>
        <v>PT</v>
      </c>
      <c r="AY9" s="500">
        <f>'HR Track 1 BBR-TUN'!AY103</f>
        <v>4.5999999999999996</v>
      </c>
      <c r="AZ9" s="500">
        <f>'HR Track 1 BBR-TUN'!AZ103</f>
        <v>0</v>
      </c>
      <c r="BA9" s="1333" t="str">
        <f>'HR Track 1 BBR-TUN'!BA103</f>
        <v>ü</v>
      </c>
      <c r="BB9" s="452">
        <f>'HR Track 1 BBR-TUN'!BB103</f>
        <v>0</v>
      </c>
      <c r="BC9" s="1575"/>
      <c r="BD9" s="1335"/>
      <c r="BE9" s="1335"/>
      <c r="BF9" s="1335"/>
      <c r="BG9" s="1335"/>
    </row>
    <row r="10" spans="1:59" ht="15.75" customHeight="1">
      <c r="A10" s="501"/>
      <c r="B10" s="716">
        <f>'HR Track 1 BBR-TUN'!B104</f>
        <v>0</v>
      </c>
      <c r="C10" s="451">
        <f>'HR Track 1 BBR-TUN'!C104</f>
        <v>0</v>
      </c>
      <c r="D10" s="453">
        <f>'HR Track 1 BBR-TUN'!D104</f>
        <v>0</v>
      </c>
      <c r="E10" s="452">
        <f>'HR Track 1 BBR-TUN'!E104</f>
        <v>0</v>
      </c>
      <c r="F10" s="453">
        <f>'HR Track 1 BBR-TUN'!F104</f>
        <v>0</v>
      </c>
      <c r="G10" s="500">
        <f>'HR Track 1 BBR-TUN'!G104</f>
        <v>30.49</v>
      </c>
      <c r="H10" s="453">
        <f>'HR Track 1 BBR-TUN'!H104</f>
        <v>0</v>
      </c>
      <c r="I10" s="501">
        <f>'HR Track 1 BBR-TUN'!I104</f>
        <v>0</v>
      </c>
      <c r="J10" s="583">
        <f>'HR Track 1 BBR-TUN'!J104</f>
        <v>0</v>
      </c>
      <c r="K10" s="452">
        <f>'HR Track 1 BBR-TUN'!K104</f>
        <v>0</v>
      </c>
      <c r="L10" s="452">
        <f>'HR Track 1 BBR-TUN'!L104</f>
        <v>0</v>
      </c>
      <c r="M10" s="452">
        <f>'HR Track 1 BBR-TUN'!M104</f>
        <v>0</v>
      </c>
      <c r="N10" s="501">
        <f>'HR Track 1 BBR-TUN'!N104</f>
        <v>0</v>
      </c>
      <c r="O10" s="501">
        <f>'HR Track 1 BBR-TUN'!O104</f>
        <v>0</v>
      </c>
      <c r="P10" s="501">
        <f>'HR Track 1 BBR-TUN'!P104</f>
        <v>0</v>
      </c>
      <c r="Q10" s="452">
        <f>'HR Track 1 BBR-TUN'!Q104</f>
        <v>0</v>
      </c>
      <c r="R10" s="452">
        <f>'HR Track 1 BBR-TUN'!R104</f>
        <v>0</v>
      </c>
      <c r="S10" s="500">
        <f>'HR Track 1 BBR-TUN'!S104</f>
        <v>0</v>
      </c>
      <c r="T10" s="452">
        <f>'HR Track 1 BBR-TUN'!T104</f>
        <v>0</v>
      </c>
      <c r="U10" s="452">
        <f>'HR Track 1 BBR-TUN'!U104</f>
        <v>0</v>
      </c>
      <c r="V10" s="452">
        <f>'HR Track 1 BBR-TUN'!V104</f>
        <v>0</v>
      </c>
      <c r="W10" s="452">
        <f>'HR Track 1 BBR-TUN'!W104</f>
        <v>0</v>
      </c>
      <c r="X10" s="452">
        <f>'HR Track 1 BBR-TUN'!X104</f>
        <v>0</v>
      </c>
      <c r="Y10" s="452">
        <f>'HR Track 1 BBR-TUN'!Y104</f>
        <v>0</v>
      </c>
      <c r="Z10" s="452">
        <f>'HR Track 1 BBR-TUN'!Z104</f>
        <v>0</v>
      </c>
      <c r="AA10" s="452">
        <f>'HR Track 1 BBR-TUN'!AA104</f>
        <v>0</v>
      </c>
      <c r="AB10" s="452">
        <f>'HR Track 1 BBR-TUN'!AB104</f>
        <v>0</v>
      </c>
      <c r="AC10" s="452">
        <f>'HR Track 1 BBR-TUN'!AC104</f>
        <v>0</v>
      </c>
      <c r="AD10" s="452">
        <f>'HR Track 1 BBR-TUN'!AD104</f>
        <v>0</v>
      </c>
      <c r="AE10" s="452">
        <f>'HR Track 1 BBR-TUN'!AE104</f>
        <v>0</v>
      </c>
      <c r="AF10" s="452">
        <f>'HR Track 1 BBR-TUN'!AF104</f>
        <v>0</v>
      </c>
      <c r="AG10" s="451">
        <f>'HR Track 1 BBR-TUN'!AG104</f>
        <v>0</v>
      </c>
      <c r="AH10" s="452">
        <f>'HR Track 1 BBR-TUN'!AH104</f>
        <v>0</v>
      </c>
      <c r="AI10" s="452">
        <f>'HR Track 1 BBR-TUN'!AI104</f>
        <v>0</v>
      </c>
      <c r="AJ10" s="452">
        <f>'HR Track 1 BBR-TUN'!AJ104</f>
        <v>0</v>
      </c>
      <c r="AK10" s="452">
        <f>'HR Track 1 BBR-TUN'!AK104</f>
        <v>0</v>
      </c>
      <c r="AL10" s="452">
        <f>'HR Track 1 BBR-TUN'!AL104</f>
        <v>0</v>
      </c>
      <c r="AM10" s="452">
        <f>'HR Track 1 BBR-TUN'!AM104</f>
        <v>0</v>
      </c>
      <c r="AN10" s="500">
        <f>'HR Track 1 BBR-TUN'!AN104</f>
        <v>0</v>
      </c>
      <c r="AO10" s="452">
        <f>'HR Track 1 BBR-TUN'!AO104</f>
        <v>0</v>
      </c>
      <c r="AP10" s="452">
        <f>'HR Track 1 BBR-TUN'!AP104</f>
        <v>0</v>
      </c>
      <c r="AQ10" s="455">
        <f>+FL_2(T11,U$11,G10,1200,9.28,-1*F11)</f>
        <v>-0.23051364142472941</v>
      </c>
      <c r="AR10" s="452">
        <f>'HR Track 1 BBR-TUN'!AR104</f>
        <v>0</v>
      </c>
      <c r="AS10" s="452">
        <f>'HR Track 1 BBR-TUN'!AS104</f>
        <v>0</v>
      </c>
      <c r="AT10" s="452">
        <f>'HR Track 1 BBR-TUN'!AT104</f>
        <v>0</v>
      </c>
      <c r="AU10" s="452">
        <f>'HR Track 1 BBR-TUN'!AU104</f>
        <v>0</v>
      </c>
      <c r="AV10" s="452">
        <f>'HR Track 1 BBR-TUN'!AV104</f>
        <v>0</v>
      </c>
      <c r="AW10" s="452">
        <f>'HR Track 1 BBR-TUN'!AW104</f>
        <v>0</v>
      </c>
      <c r="AX10" s="452">
        <f>'HR Track 1 BBR-TUN'!AX104</f>
        <v>0</v>
      </c>
      <c r="AY10" s="500">
        <f>'HR Track 1 BBR-TUN'!AY104</f>
        <v>0</v>
      </c>
      <c r="AZ10" s="500">
        <f>'HR Track 1 BBR-TUN'!AZ104</f>
        <v>0</v>
      </c>
      <c r="BA10" s="1333">
        <f>'HR Track 1 BBR-TUN'!BA104</f>
        <v>0</v>
      </c>
      <c r="BB10" s="452">
        <f>'HR Track 1 BBR-TUN'!BB104</f>
        <v>0</v>
      </c>
      <c r="BC10" s="1575"/>
      <c r="BD10" s="1335"/>
      <c r="BE10" s="1335"/>
      <c r="BF10" s="1335"/>
      <c r="BG10" s="1335"/>
    </row>
    <row r="11" spans="1:59" ht="15.65" customHeight="1">
      <c r="A11" s="1239"/>
      <c r="B11" s="435" t="s">
        <v>3444</v>
      </c>
      <c r="C11" s="446">
        <v>90618</v>
      </c>
      <c r="D11" s="173"/>
      <c r="E11" s="447"/>
      <c r="F11" s="447">
        <v>0</v>
      </c>
      <c r="G11" s="484"/>
      <c r="H11" s="1239" t="s">
        <v>5058</v>
      </c>
      <c r="I11" s="1239" t="s">
        <v>623</v>
      </c>
      <c r="J11" s="171"/>
      <c r="K11" s="638"/>
      <c r="L11" s="638" t="s">
        <v>4664</v>
      </c>
      <c r="M11" s="638" t="str">
        <f>IF(AX11="PT",VLOOKUP(L11,'Foundation Calculation'!$V$2:$X$40,VLOOKUP(AX11,'Foundation Calculation'!$I$10:$J$13,2,FALSE),0),IF(AX11="K",VLOOKUP(L11,'Foundation Calculation'!$V$42:$X$80,VLOOKUP(AX11,'Foundation Calculation'!$I$10:$J$13,2,FALSE),0),""))</f>
        <v>C11R</v>
      </c>
      <c r="N11" s="1239" t="s">
        <v>844</v>
      </c>
      <c r="O11" s="1239" t="s">
        <v>843</v>
      </c>
      <c r="P11" s="1239"/>
      <c r="Q11" s="638"/>
      <c r="R11" s="638"/>
      <c r="S11" s="484"/>
      <c r="T11" s="638">
        <v>-5</v>
      </c>
      <c r="U11" s="638">
        <v>-20</v>
      </c>
      <c r="V11" s="638"/>
      <c r="W11" s="638">
        <v>0.7</v>
      </c>
      <c r="X11" s="638">
        <v>1.2</v>
      </c>
      <c r="Y11" s="638"/>
      <c r="Z11" s="638"/>
      <c r="AA11" s="638"/>
      <c r="AB11" s="638"/>
      <c r="AC11" s="638" t="s">
        <v>2773</v>
      </c>
      <c r="AD11" s="638" t="s">
        <v>1428</v>
      </c>
      <c r="AE11" s="638"/>
      <c r="AF11" s="638"/>
      <c r="AG11" s="446"/>
      <c r="AH11" s="638"/>
      <c r="AI11" s="638"/>
      <c r="AJ11" s="638"/>
      <c r="AK11" s="638" t="s">
        <v>228</v>
      </c>
      <c r="AL11" s="638" t="s">
        <v>2143</v>
      </c>
      <c r="AM11" s="638" t="s">
        <v>1042</v>
      </c>
      <c r="AN11" s="500">
        <v>5.15</v>
      </c>
      <c r="AO11" s="1239"/>
      <c r="AP11" s="1239"/>
      <c r="AQ11" s="484"/>
      <c r="AR11" s="484"/>
      <c r="AS11" s="484"/>
      <c r="AT11" s="484">
        <f>+ab(T13,U$11,T$15,G10,G12,-1*F11,1200)</f>
        <v>-18.516574001809794</v>
      </c>
      <c r="AU11" s="638"/>
      <c r="AV11" s="638"/>
      <c r="AW11" s="638" t="str">
        <f>VLOOKUP(C11,'Foundation Calculation'!$A$2:$C$33,3,1)</f>
        <v>Soil B</v>
      </c>
      <c r="AX11" s="638" t="str">
        <f>VLOOKUP(C11,'Foundation Calculation'!$E$2:$G$33,3,1)</f>
        <v>PT</v>
      </c>
      <c r="AY11" s="484">
        <f>IF(AX11="PT",VLOOKUP(L11,'Foundation Calculation'!$K$2:$R$40,VLOOKUP(AW11,'Foundation Calculation'!$I$2:$J$8,2,FALSE),0),IF(AX11="K",VLOOKUP(L11,'Foundation Calculation'!$K$42:$R$80,VLOOKUP(AW11,'Foundation Calculation'!$I$2:$J$8,2,FALSE),0),""))</f>
        <v>4.4000000000000004</v>
      </c>
      <c r="AZ11" s="484"/>
      <c r="BA11" s="671" t="s">
        <v>2809</v>
      </c>
      <c r="BB11" s="1239" t="str">
        <f>Pole_Calculations!A178</f>
        <v>App.8-V08F-P10.3</v>
      </c>
      <c r="BC11" s="169"/>
      <c r="BD11" s="1329"/>
      <c r="BE11" s="1329"/>
      <c r="BF11" s="1329"/>
      <c r="BG11" s="1329"/>
    </row>
    <row r="12" spans="1:59" ht="15.65" customHeight="1">
      <c r="A12" s="1239"/>
      <c r="B12" s="1239"/>
      <c r="C12" s="171"/>
      <c r="D12" s="1239"/>
      <c r="E12" s="1239"/>
      <c r="F12" s="448"/>
      <c r="G12" s="455">
        <v>40</v>
      </c>
      <c r="H12" s="1239"/>
      <c r="I12" s="448"/>
      <c r="J12" s="171">
        <f>C11+7.5</f>
        <v>90625.5</v>
      </c>
      <c r="K12" s="1239" t="s">
        <v>2787</v>
      </c>
      <c r="L12" s="1239"/>
      <c r="M12" s="1239"/>
      <c r="N12" s="1239"/>
      <c r="O12" s="1239"/>
      <c r="P12" s="1239"/>
      <c r="Q12" s="1239"/>
      <c r="R12" s="1239"/>
      <c r="S12" s="455"/>
      <c r="T12" s="1239"/>
      <c r="U12" s="1239"/>
      <c r="V12" s="1239"/>
      <c r="W12" s="1239"/>
      <c r="X12" s="1239"/>
      <c r="Y12" s="1239"/>
      <c r="Z12" s="1239"/>
      <c r="AA12" s="1239"/>
      <c r="AB12" s="1239"/>
      <c r="AC12" s="1239"/>
      <c r="AD12" s="1239"/>
      <c r="AE12" s="1239"/>
      <c r="AF12" s="1239"/>
      <c r="AG12" s="171"/>
      <c r="AH12" s="1239"/>
      <c r="AI12" s="1239"/>
      <c r="AJ12" s="1239"/>
      <c r="AK12" s="1239"/>
      <c r="AL12" s="1239"/>
      <c r="AM12" s="1239"/>
      <c r="AN12" s="455"/>
      <c r="AO12" s="1239"/>
      <c r="AP12" s="1239"/>
      <c r="AQ12" s="455">
        <f>+FL_2(T13,U$11,G12,1200,9.28,-1*F13)</f>
        <v>-0.20000000000000004</v>
      </c>
      <c r="AR12" s="1239"/>
      <c r="AS12" s="1239"/>
      <c r="AT12" s="455"/>
      <c r="AU12" s="1239"/>
      <c r="AV12" s="1239"/>
      <c r="AW12" s="638" t="str">
        <f>VLOOKUP(J12,'Foundation Calculation'!$A$2:$C$33,3,1)</f>
        <v>Soil B</v>
      </c>
      <c r="AX12" s="572" t="str">
        <f>VLOOKUP(J12,'Foundation Calculation'!$E$2:$G$33,3,1)</f>
        <v>PT</v>
      </c>
      <c r="AY12" s="484"/>
      <c r="AZ12" s="484">
        <f>IF(AX12="PT",VLOOKUP(K12,'Foundation Calculation'!$K$2:$R$40,VLOOKUP(AW12,'Foundation Calculation'!$I$2:$J$8,2,FALSE),0),IF(AX12="K",VLOOKUP(K12,'Foundation Calculation'!$K$42:$R$80,VLOOKUP(AW12,'Foundation Calculation'!$I$2:$J$8,2,FALSE),0),""))</f>
        <v>3.9</v>
      </c>
      <c r="BA12" s="671" t="s">
        <v>2809</v>
      </c>
      <c r="BB12" s="1239"/>
      <c r="BC12" s="169"/>
      <c r="BD12" s="1329"/>
      <c r="BE12" s="1330"/>
      <c r="BF12" s="1330"/>
      <c r="BG12" s="1330"/>
    </row>
    <row r="13" spans="1:59" ht="15.65" customHeight="1">
      <c r="A13" s="1239"/>
      <c r="B13" s="435" t="s">
        <v>3445</v>
      </c>
      <c r="C13" s="446">
        <v>90658</v>
      </c>
      <c r="D13" s="173"/>
      <c r="E13" s="447"/>
      <c r="F13" s="447">
        <v>700</v>
      </c>
      <c r="G13" s="484"/>
      <c r="H13" s="1239"/>
      <c r="I13" s="1239"/>
      <c r="J13" s="171"/>
      <c r="K13" s="638"/>
      <c r="L13" s="638" t="s">
        <v>4664</v>
      </c>
      <c r="M13" s="638" t="s">
        <v>4679</v>
      </c>
      <c r="N13" s="1239" t="s">
        <v>143</v>
      </c>
      <c r="O13" s="1239"/>
      <c r="P13" s="1239"/>
      <c r="Q13" s="638"/>
      <c r="R13" s="638"/>
      <c r="S13" s="484"/>
      <c r="T13" s="638">
        <v>-20</v>
      </c>
      <c r="U13" s="638"/>
      <c r="V13" s="638"/>
      <c r="W13" s="638">
        <v>0.9</v>
      </c>
      <c r="X13" s="638"/>
      <c r="Y13" s="638"/>
      <c r="Z13" s="638"/>
      <c r="AA13" s="638"/>
      <c r="AB13" s="638"/>
      <c r="AC13" s="638" t="str">
        <f>IF(OR(AT13&gt;8,AT13&lt;-8),"PH",IF(OR(AT13&gt;5,AT13&lt;-5),"PH-Q",IF(OR(AT13&gt;1,AT13&lt;-1),"PH-C")))</f>
        <v>PH-C</v>
      </c>
      <c r="AD13" s="638"/>
      <c r="AE13" s="638"/>
      <c r="AF13" s="638"/>
      <c r="AG13" s="446"/>
      <c r="AH13" s="638"/>
      <c r="AI13" s="638"/>
      <c r="AJ13" s="638"/>
      <c r="AK13" s="638"/>
      <c r="AL13" s="638" t="s">
        <v>2143</v>
      </c>
      <c r="AM13" s="638" t="s">
        <v>1042</v>
      </c>
      <c r="AN13" s="455">
        <v>5.15</v>
      </c>
      <c r="AO13" s="1239"/>
      <c r="AP13" s="1239"/>
      <c r="AQ13" s="484"/>
      <c r="AR13" s="484"/>
      <c r="AS13" s="484"/>
      <c r="AT13" s="484">
        <f>+ab(T13,U$11,T$15,G12,G14,-1*F13,1200)</f>
        <v>-2.787422226414745</v>
      </c>
      <c r="AU13" s="638"/>
      <c r="AV13" s="638"/>
      <c r="AW13" s="638" t="str">
        <f>VLOOKUP(C13,'Foundation Calculation'!$A$2:$C$33,3,1)</f>
        <v>Soil B</v>
      </c>
      <c r="AX13" s="638" t="str">
        <f>VLOOKUP(C13,'Foundation Calculation'!$E$2:$G$33,3,1)</f>
        <v>PT</v>
      </c>
      <c r="AY13" s="484">
        <v>4.4000000000000004</v>
      </c>
      <c r="AZ13" s="484"/>
      <c r="BA13" s="671" t="s">
        <v>2809</v>
      </c>
      <c r="BB13" s="1239" t="str">
        <f>Pole_Calculations!A178</f>
        <v>App.8-V08F-P10.3</v>
      </c>
      <c r="BC13" s="169"/>
      <c r="BD13" s="1329"/>
      <c r="BE13" s="1329"/>
      <c r="BF13" s="1329"/>
      <c r="BG13" s="1329"/>
    </row>
    <row r="14" spans="1:59" ht="15.65" customHeight="1">
      <c r="A14" s="1239"/>
      <c r="B14" s="1239"/>
      <c r="C14" s="171"/>
      <c r="D14" s="1239"/>
      <c r="E14" s="1239"/>
      <c r="F14" s="448"/>
      <c r="G14" s="455">
        <v>43.4</v>
      </c>
      <c r="H14" s="1239"/>
      <c r="I14" s="448"/>
      <c r="J14" s="171"/>
      <c r="K14" s="1239"/>
      <c r="L14" s="1239"/>
      <c r="M14" s="1239"/>
      <c r="N14" s="1239"/>
      <c r="O14" s="1239"/>
      <c r="P14" s="1239"/>
      <c r="Q14" s="1239"/>
      <c r="R14" s="1239"/>
      <c r="S14" s="455"/>
      <c r="T14" s="1239"/>
      <c r="U14" s="1239"/>
      <c r="V14" s="1239"/>
      <c r="W14" s="1239"/>
      <c r="X14" s="1239"/>
      <c r="Y14" s="1239"/>
      <c r="Z14" s="1239"/>
      <c r="AA14" s="1239"/>
      <c r="AB14" s="1239"/>
      <c r="AC14" s="1239"/>
      <c r="AD14" s="1239"/>
      <c r="AE14" s="1239"/>
      <c r="AF14" s="1239"/>
      <c r="AG14" s="171"/>
      <c r="AH14" s="1239"/>
      <c r="AI14" s="1239"/>
      <c r="AJ14" s="1239"/>
      <c r="AK14" s="1239"/>
      <c r="AL14" s="1239"/>
      <c r="AM14" s="1239"/>
      <c r="AN14" s="455"/>
      <c r="AO14" s="1239"/>
      <c r="AP14" s="1239"/>
      <c r="AQ14" s="455">
        <f>+FL_2($T$15,$T$13,$G$14,1200,9.28,-1*$F$15)</f>
        <v>-0.23699914315207365</v>
      </c>
      <c r="AR14" s="1239"/>
      <c r="AS14" s="1239"/>
      <c r="AT14" s="455"/>
      <c r="AU14" s="1239"/>
      <c r="AV14" s="1239"/>
      <c r="AW14" s="638"/>
      <c r="AX14" s="638"/>
      <c r="AY14" s="484"/>
      <c r="AZ14" s="484"/>
      <c r="BA14" s="671"/>
      <c r="BB14" s="1239"/>
      <c r="BC14" s="169"/>
      <c r="BD14" s="1330"/>
      <c r="BE14" s="1330"/>
      <c r="BF14" s="1330"/>
      <c r="BG14" s="1330"/>
    </row>
    <row r="15" spans="1:59" ht="15.65" customHeight="1">
      <c r="A15" s="501">
        <f>'HR Track 4 HER-TSA'!A240</f>
        <v>0</v>
      </c>
      <c r="B15" s="716" t="str">
        <f>'HR Track 4 HER-TSA'!B240</f>
        <v>90-4.15</v>
      </c>
      <c r="C15" s="451">
        <f>'HR Track 4 HER-TSA'!C240</f>
        <v>90701.75</v>
      </c>
      <c r="D15" s="453">
        <f>'HR Track 4 HER-TSA'!D240</f>
        <v>0</v>
      </c>
      <c r="E15" s="452">
        <f>'HR Track 4 HER-TSA'!E240</f>
        <v>0</v>
      </c>
      <c r="F15" s="453">
        <f>'HR Track 4 HER-TSA'!F240</f>
        <v>0</v>
      </c>
      <c r="G15" s="500">
        <f>'HR Track 4 HER-TSA'!G240</f>
        <v>0</v>
      </c>
      <c r="H15" s="453" t="str">
        <f>'HR Track 4 HER-TSA'!H240</f>
        <v>A/S AnMP S/A</v>
      </c>
      <c r="I15" s="501" t="str">
        <f>'HR Track 4 HER-TSA'!I240</f>
        <v>CP+AnMC</v>
      </c>
      <c r="J15" s="583" t="str">
        <f>'HR Track 4 HER-TSA'!J240</f>
        <v>AnRW</v>
      </c>
      <c r="K15" s="452">
        <f>'HR Track 4 HER-TSA'!K240</f>
        <v>0</v>
      </c>
      <c r="L15" s="452" t="str">
        <f>'HR Track 4 HER-TSA'!L240</f>
        <v>HEB-450PL</v>
      </c>
      <c r="M15" s="452" t="str">
        <f>'HR Track 4 HER-TSA'!M240</f>
        <v>C12R</v>
      </c>
      <c r="N15" s="501" t="str">
        <f>'HR Track 4 HER-TSA'!N240</f>
        <v>EMT-2</v>
      </c>
      <c r="O15" s="501" t="str">
        <f>'HR Track 4 HER-TSA'!O240</f>
        <v>EMT-T</v>
      </c>
      <c r="P15" s="501">
        <f>'HR Track 4 HER-TSA'!P240</f>
        <v>0</v>
      </c>
      <c r="Q15" s="452">
        <f>'HR Track 4 HER-TSA'!Q240</f>
        <v>20</v>
      </c>
      <c r="R15" s="452">
        <f>'HR Track 4 HER-TSA'!R240</f>
        <v>0</v>
      </c>
      <c r="S15" s="500">
        <f>'HR Track 4 HER-TSA'!S240</f>
        <v>0</v>
      </c>
      <c r="T15" s="452">
        <f>'HR Track 4 HER-TSA'!T240</f>
        <v>20</v>
      </c>
      <c r="U15" s="452">
        <f>'HR Track 4 HER-TSA'!U240</f>
        <v>55</v>
      </c>
      <c r="V15" s="452">
        <f>'HR Track 4 HER-TSA'!V240</f>
        <v>0</v>
      </c>
      <c r="W15" s="452">
        <f>'HR Track 4 HER-TSA'!W240</f>
        <v>1.8</v>
      </c>
      <c r="X15" s="452">
        <f>'HR Track 4 HER-TSA'!X240</f>
        <v>1.4</v>
      </c>
      <c r="Y15" s="452">
        <f>'HR Track 4 HER-TSA'!Y240</f>
        <v>0</v>
      </c>
      <c r="Z15" s="452">
        <f>'HR Track 4 HER-TSA'!Z240</f>
        <v>0</v>
      </c>
      <c r="AA15" s="452">
        <f>'HR Track 4 HER-TSA'!AA240</f>
        <v>0.3</v>
      </c>
      <c r="AB15" s="452">
        <f>'HR Track 4 HER-TSA'!AB240</f>
        <v>0</v>
      </c>
      <c r="AC15" s="452" t="str">
        <f>'HR Track 4 HER-TSA'!AC240</f>
        <v>PH-1500</v>
      </c>
      <c r="AD15" s="452">
        <f>'HR Track 4 HER-TSA'!AD240</f>
        <v>0</v>
      </c>
      <c r="AE15" s="452">
        <f>'HR Track 4 HER-TSA'!AE240</f>
        <v>0</v>
      </c>
      <c r="AF15" s="452">
        <f>'HR Track 4 HER-TSA'!AF240</f>
        <v>0</v>
      </c>
      <c r="AG15" s="451">
        <f>'HR Track 4 HER-TSA'!AG240</f>
        <v>90703</v>
      </c>
      <c r="AH15" s="452">
        <f>'HR Track 4 HER-TSA'!AH240</f>
        <v>3603</v>
      </c>
      <c r="AI15" s="452">
        <f>'HR Track 4 HER-TSA'!AI240</f>
        <v>250</v>
      </c>
      <c r="AJ15" s="452">
        <f>'HR Track 4 HER-TSA'!AJ240</f>
        <v>0</v>
      </c>
      <c r="AK15" s="452">
        <f>'HR Track 4 HER-TSA'!AK240</f>
        <v>0</v>
      </c>
      <c r="AL15" s="452" t="str">
        <f>'HR Track 4 HER-TSA'!AL240</f>
        <v>PR1E</v>
      </c>
      <c r="AM15" s="452" t="str">
        <f>'HR Track 4 HER-TSA'!AM240</f>
        <v>RW1</v>
      </c>
      <c r="AN15" s="500">
        <f>'HR Track 4 HER-TSA'!AN240</f>
        <v>5.15</v>
      </c>
      <c r="AO15" s="452">
        <f>'HR Track 4 HER-TSA'!AO240</f>
        <v>0</v>
      </c>
      <c r="AP15" s="452">
        <f>'HR Track 4 HER-TSA'!AP240</f>
        <v>0</v>
      </c>
      <c r="AQ15" s="452">
        <f>'HR Track 4 HER-TSA'!AQ240</f>
        <v>0</v>
      </c>
      <c r="AR15" s="452">
        <f>'HR Track 4 HER-TSA'!AR240</f>
        <v>0</v>
      </c>
      <c r="AS15" s="452">
        <f>'HR Track 4 HER-TSA'!AS240</f>
        <v>0</v>
      </c>
      <c r="AT15" s="500">
        <f>'HR Track 4 HER-TSA'!AT240</f>
        <v>3.6727890951337527</v>
      </c>
      <c r="AU15" s="452">
        <f>'HR Track 4 HER-TSA'!AU240</f>
        <v>0</v>
      </c>
      <c r="AV15" s="452">
        <f>'HR Track 4 HER-TSA'!AV240</f>
        <v>0</v>
      </c>
      <c r="AW15" s="452" t="str">
        <f>'HR Track 4 HER-TSA'!AW240</f>
        <v>Soil B</v>
      </c>
      <c r="AX15" s="452" t="str">
        <f>'HR Track 4 HER-TSA'!AX240</f>
        <v>PT</v>
      </c>
      <c r="AY15" s="500">
        <f>'HR Track 4 HER-TSA'!AY240</f>
        <v>5.6</v>
      </c>
      <c r="AZ15" s="500">
        <f>'HR Track 4 HER-TSA'!AZ240</f>
        <v>0</v>
      </c>
      <c r="BA15" s="1333" t="str">
        <f>'HR Track 4 HER-TSA'!BA240</f>
        <v>ü</v>
      </c>
      <c r="BB15" s="452" t="str">
        <f>'HR Track 4 HER-TSA'!BB240</f>
        <v>App.8-V08F-P10.3</v>
      </c>
      <c r="BC15" s="169"/>
      <c r="BD15" s="1329"/>
      <c r="BE15" s="1329"/>
      <c r="BF15" s="1330"/>
      <c r="BG15" s="1329"/>
    </row>
    <row r="16" spans="1:59" ht="15.65" customHeight="1">
      <c r="A16" s="501"/>
      <c r="B16" s="716">
        <f>'HR Track 4 HER-TSA'!B241</f>
        <v>0</v>
      </c>
      <c r="C16" s="451">
        <f>'HR Track 4 HER-TSA'!C241</f>
        <v>0</v>
      </c>
      <c r="D16" s="453">
        <f>'HR Track 4 HER-TSA'!D241</f>
        <v>0</v>
      </c>
      <c r="E16" s="452">
        <f>'HR Track 4 HER-TSA'!E241</f>
        <v>0</v>
      </c>
      <c r="F16" s="453">
        <f>'HR Track 4 HER-TSA'!F241</f>
        <v>0</v>
      </c>
      <c r="G16" s="500">
        <f>'HR Track 4 HER-TSA'!G241</f>
        <v>43.6</v>
      </c>
      <c r="H16" s="453">
        <f>'HR Track 4 HER-TSA'!H241</f>
        <v>0</v>
      </c>
      <c r="I16" s="501">
        <f>'HR Track 4 HER-TSA'!I241</f>
        <v>0</v>
      </c>
      <c r="J16" s="583">
        <f>'HR Track 4 HER-TSA'!J241</f>
        <v>0</v>
      </c>
      <c r="K16" s="452">
        <f>'HR Track 4 HER-TSA'!K241</f>
        <v>0</v>
      </c>
      <c r="L16" s="452">
        <f>'HR Track 4 HER-TSA'!L241</f>
        <v>0</v>
      </c>
      <c r="M16" s="452">
        <f>'HR Track 4 HER-TSA'!M241</f>
        <v>0</v>
      </c>
      <c r="N16" s="501">
        <f>'HR Track 4 HER-TSA'!N241</f>
        <v>0</v>
      </c>
      <c r="O16" s="501">
        <f>'HR Track 4 HER-TSA'!O241</f>
        <v>0</v>
      </c>
      <c r="P16" s="501">
        <f>'HR Track 4 HER-TSA'!P241</f>
        <v>0</v>
      </c>
      <c r="Q16" s="452">
        <f>'HR Track 4 HER-TSA'!Q241</f>
        <v>0</v>
      </c>
      <c r="R16" s="452">
        <f>'HR Track 4 HER-TSA'!R241</f>
        <v>0</v>
      </c>
      <c r="S16" s="500">
        <f>'HR Track 4 HER-TSA'!S241</f>
        <v>0</v>
      </c>
      <c r="T16" s="452">
        <f>'HR Track 4 HER-TSA'!T241</f>
        <v>0</v>
      </c>
      <c r="U16" s="452">
        <f>'HR Track 4 HER-TSA'!U241</f>
        <v>0</v>
      </c>
      <c r="V16" s="452">
        <f>'HR Track 4 HER-TSA'!V241</f>
        <v>0</v>
      </c>
      <c r="W16" s="452">
        <f>'HR Track 4 HER-TSA'!W241</f>
        <v>0</v>
      </c>
      <c r="X16" s="452">
        <f>'HR Track 4 HER-TSA'!X241</f>
        <v>0</v>
      </c>
      <c r="Y16" s="452">
        <f>'HR Track 4 HER-TSA'!Y241</f>
        <v>0</v>
      </c>
      <c r="Z16" s="452">
        <f>'HR Track 4 HER-TSA'!Z241</f>
        <v>0</v>
      </c>
      <c r="AA16" s="452">
        <f>'HR Track 4 HER-TSA'!AA241</f>
        <v>0</v>
      </c>
      <c r="AB16" s="452">
        <f>'HR Track 4 HER-TSA'!AB241</f>
        <v>0</v>
      </c>
      <c r="AC16" s="452">
        <f>'HR Track 4 HER-TSA'!AC241</f>
        <v>0</v>
      </c>
      <c r="AD16" s="452">
        <f>'HR Track 4 HER-TSA'!AD241</f>
        <v>0</v>
      </c>
      <c r="AE16" s="452">
        <f>'HR Track 4 HER-TSA'!AE241</f>
        <v>0</v>
      </c>
      <c r="AF16" s="452">
        <f>'HR Track 4 HER-TSA'!AF241</f>
        <v>0</v>
      </c>
      <c r="AG16" s="451">
        <f>'HR Track 4 HER-TSA'!AG241</f>
        <v>0</v>
      </c>
      <c r="AH16" s="452">
        <f>'HR Track 4 HER-TSA'!AH241</f>
        <v>0</v>
      </c>
      <c r="AI16" s="452">
        <f>'HR Track 4 HER-TSA'!AI241</f>
        <v>0</v>
      </c>
      <c r="AJ16" s="452">
        <f>'HR Track 4 HER-TSA'!AJ241</f>
        <v>0</v>
      </c>
      <c r="AK16" s="452">
        <f>'HR Track 4 HER-TSA'!AK241</f>
        <v>0</v>
      </c>
      <c r="AL16" s="452">
        <f>'HR Track 4 HER-TSA'!AL241</f>
        <v>0</v>
      </c>
      <c r="AM16" s="452">
        <f>'HR Track 4 HER-TSA'!AM241</f>
        <v>0</v>
      </c>
      <c r="AN16" s="500">
        <f>'HR Track 4 HER-TSA'!AN241</f>
        <v>0</v>
      </c>
      <c r="AO16" s="452">
        <f>'HR Track 4 HER-TSA'!AO241</f>
        <v>0</v>
      </c>
      <c r="AP16" s="452">
        <f>'HR Track 4 HER-TSA'!AP241</f>
        <v>0</v>
      </c>
      <c r="AQ16" s="500">
        <f>'HR Track 4 HER-TSA'!AQ241</f>
        <v>-0.23817842744954129</v>
      </c>
      <c r="AR16" s="452">
        <f>'HR Track 4 HER-TSA'!AR241</f>
        <v>0</v>
      </c>
      <c r="AS16" s="452">
        <f>'HR Track 4 HER-TSA'!AS241</f>
        <v>0</v>
      </c>
      <c r="AT16" s="452">
        <f>'HR Track 4 HER-TSA'!AT241</f>
        <v>0</v>
      </c>
      <c r="AU16" s="452">
        <f>'HR Track 4 HER-TSA'!AU241</f>
        <v>0</v>
      </c>
      <c r="AV16" s="452">
        <f>'HR Track 4 HER-TSA'!AV241</f>
        <v>0</v>
      </c>
      <c r="AW16" s="452">
        <f>'HR Track 4 HER-TSA'!AW241</f>
        <v>0</v>
      </c>
      <c r="AX16" s="452">
        <f>'HR Track 4 HER-TSA'!AX241</f>
        <v>0</v>
      </c>
      <c r="AY16" s="500">
        <f>'HR Track 4 HER-TSA'!AY241</f>
        <v>0</v>
      </c>
      <c r="AZ16" s="500">
        <f>'HR Track 4 HER-TSA'!AZ241</f>
        <v>0</v>
      </c>
      <c r="BA16" s="1333">
        <f>'HR Track 4 HER-TSA'!BA241</f>
        <v>0</v>
      </c>
      <c r="BB16" s="452">
        <f>'HR Track 4 HER-TSA'!BB241</f>
        <v>0</v>
      </c>
      <c r="BC16" s="169"/>
      <c r="BD16" s="1330"/>
      <c r="BE16" s="1330"/>
      <c r="BF16" s="1330"/>
      <c r="BG16" s="1330"/>
    </row>
    <row r="17" spans="1:59" ht="15.65" customHeight="1">
      <c r="A17" s="1239"/>
      <c r="B17" s="435"/>
      <c r="C17" s="446"/>
      <c r="D17" s="173"/>
      <c r="E17" s="447"/>
      <c r="F17" s="447"/>
      <c r="G17" s="484"/>
      <c r="H17" s="1239"/>
      <c r="I17" s="1239"/>
      <c r="J17" s="171"/>
      <c r="K17" s="638"/>
      <c r="L17" s="638"/>
      <c r="M17" s="638"/>
      <c r="N17" s="1239"/>
      <c r="O17" s="1239"/>
      <c r="P17" s="1239"/>
      <c r="Q17" s="638"/>
      <c r="R17" s="638"/>
      <c r="S17" s="484"/>
      <c r="T17" s="638"/>
      <c r="U17" s="638"/>
      <c r="V17" s="638"/>
      <c r="W17" s="638"/>
      <c r="X17" s="638"/>
      <c r="Y17" s="638"/>
      <c r="Z17" s="638"/>
      <c r="AA17" s="638"/>
      <c r="AB17" s="638"/>
      <c r="AC17" s="638"/>
      <c r="AD17" s="638"/>
      <c r="AE17" s="638"/>
      <c r="AF17" s="638"/>
      <c r="AG17" s="446"/>
      <c r="AH17" s="638"/>
      <c r="AI17" s="638"/>
      <c r="AJ17" s="638"/>
      <c r="AK17" s="638"/>
      <c r="AL17" s="638"/>
      <c r="AM17" s="638"/>
      <c r="AN17" s="455"/>
      <c r="AO17" s="1239"/>
      <c r="AP17" s="1239"/>
      <c r="AQ17" s="484"/>
      <c r="AR17" s="484"/>
      <c r="AS17" s="484"/>
      <c r="AT17" s="484"/>
      <c r="AU17" s="638"/>
      <c r="AV17" s="638"/>
      <c r="AW17" s="638"/>
      <c r="AX17" s="638"/>
      <c r="AY17" s="484"/>
      <c r="AZ17" s="484"/>
      <c r="BA17" s="671"/>
      <c r="BB17" s="1239"/>
      <c r="BC17" s="169" t="s">
        <v>4955</v>
      </c>
      <c r="BD17" s="1329"/>
      <c r="BE17" s="1329"/>
      <c r="BF17" s="1329"/>
      <c r="BG17" s="1329"/>
    </row>
    <row r="18" spans="1:59" ht="15.65" customHeight="1">
      <c r="A18" s="1239"/>
      <c r="B18" s="1239"/>
      <c r="C18" s="171"/>
      <c r="D18" s="1239"/>
      <c r="E18" s="1239"/>
      <c r="F18" s="448"/>
      <c r="G18" s="455"/>
      <c r="H18" s="1239"/>
      <c r="I18" s="448"/>
      <c r="J18" s="171"/>
      <c r="K18" s="1239"/>
      <c r="L18" s="1239"/>
      <c r="M18" s="1239"/>
      <c r="N18" s="1239"/>
      <c r="O18" s="1239"/>
      <c r="P18" s="1239"/>
      <c r="Q18" s="1239"/>
      <c r="R18" s="1239"/>
      <c r="S18" s="455"/>
      <c r="T18" s="1239"/>
      <c r="U18" s="1239"/>
      <c r="V18" s="1239"/>
      <c r="W18" s="1239"/>
      <c r="X18" s="1239"/>
      <c r="Y18" s="1239"/>
      <c r="Z18" s="1239"/>
      <c r="AA18" s="1239"/>
      <c r="AB18" s="1239"/>
      <c r="AC18" s="1239"/>
      <c r="AD18" s="1239"/>
      <c r="AE18" s="1239"/>
      <c r="AF18" s="1239"/>
      <c r="AG18" s="171"/>
      <c r="AH18" s="1239"/>
      <c r="AI18" s="1239"/>
      <c r="AJ18" s="1239"/>
      <c r="AK18" s="1239"/>
      <c r="AL18" s="1239"/>
      <c r="AM18" s="1239"/>
      <c r="AN18" s="455"/>
      <c r="AO18" s="1239"/>
      <c r="AP18" s="1239"/>
      <c r="AQ18" s="455"/>
      <c r="AR18" s="1239"/>
      <c r="AS18" s="1239"/>
      <c r="AT18" s="455"/>
      <c r="AU18" s="1239"/>
      <c r="AV18" s="1239"/>
      <c r="AW18" s="638"/>
      <c r="AX18" s="638"/>
      <c r="AY18" s="484"/>
      <c r="AZ18" s="484"/>
      <c r="BA18" s="671"/>
      <c r="BB18" s="1239"/>
      <c r="BC18" s="169"/>
      <c r="BD18" s="1330"/>
      <c r="BE18" s="1330"/>
      <c r="BF18" s="1330"/>
      <c r="BG18" s="1330"/>
    </row>
    <row r="19" spans="1:59" ht="15.65" customHeight="1">
      <c r="A19" s="1239"/>
      <c r="B19" s="572"/>
      <c r="C19" s="171"/>
      <c r="D19" s="1239"/>
      <c r="E19" s="1239"/>
      <c r="F19" s="448"/>
      <c r="G19" s="455"/>
      <c r="H19" s="1239"/>
      <c r="I19" s="448"/>
      <c r="J19" s="171"/>
      <c r="K19" s="1239"/>
      <c r="L19" s="1239"/>
      <c r="M19" s="1239"/>
      <c r="N19" s="1239"/>
      <c r="O19" s="1239"/>
      <c r="P19" s="1239"/>
      <c r="Q19" s="1239"/>
      <c r="R19" s="1239"/>
      <c r="S19" s="455"/>
      <c r="T19" s="1239"/>
      <c r="U19" s="1239"/>
      <c r="V19" s="1239"/>
      <c r="W19" s="1239"/>
      <c r="X19" s="1239"/>
      <c r="Y19" s="1239"/>
      <c r="Z19" s="1239"/>
      <c r="AA19" s="1239"/>
      <c r="AB19" s="1239"/>
      <c r="AC19" s="1239"/>
      <c r="AD19" s="1239"/>
      <c r="AE19" s="1239"/>
      <c r="AF19" s="1239"/>
      <c r="AG19" s="171"/>
      <c r="AH19" s="1239"/>
      <c r="AI19" s="1239"/>
      <c r="AJ19" s="1239"/>
      <c r="AK19" s="1239"/>
      <c r="AL19" s="1239"/>
      <c r="AM19" s="1239"/>
      <c r="AN19" s="455"/>
      <c r="AO19" s="1239"/>
      <c r="AP19" s="1239"/>
      <c r="AQ19" s="455"/>
      <c r="AR19" s="1239"/>
      <c r="AS19" s="1239"/>
      <c r="AT19" s="455"/>
      <c r="AU19" s="1239"/>
      <c r="AV19" s="1239"/>
      <c r="AW19" s="638"/>
      <c r="AX19" s="572"/>
      <c r="AY19" s="484"/>
      <c r="AZ19" s="484"/>
      <c r="BA19" s="671"/>
      <c r="BB19" s="1239"/>
      <c r="BC19" s="169"/>
      <c r="BD19" s="1329">
        <v>43789</v>
      </c>
      <c r="BE19" s="1329"/>
      <c r="BF19" s="1330"/>
      <c r="BG19" s="1330"/>
    </row>
    <row r="20" spans="1:59" ht="15.65" customHeight="1">
      <c r="B20" s="741"/>
      <c r="C20" s="184"/>
      <c r="F20" s="179"/>
      <c r="I20" s="179"/>
      <c r="S20" s="454"/>
      <c r="AN20" s="454"/>
      <c r="AQ20" s="454"/>
      <c r="AT20" s="454"/>
      <c r="AY20" s="454"/>
      <c r="AZ20" s="454"/>
      <c r="BA20" s="1305"/>
      <c r="BC20" s="169"/>
    </row>
    <row r="21" spans="1:59" ht="15.65" customHeight="1">
      <c r="C21" s="184"/>
      <c r="F21" s="179"/>
      <c r="I21" s="179"/>
      <c r="S21" s="454"/>
      <c r="AN21" s="454"/>
      <c r="AQ21" s="454"/>
      <c r="AT21" s="454"/>
      <c r="AY21" s="454"/>
      <c r="AZ21" s="454"/>
      <c r="BA21" s="1306"/>
      <c r="BC21" s="169"/>
    </row>
    <row r="22" spans="1:59" ht="15.65" customHeight="1">
      <c r="B22" s="741"/>
      <c r="C22" s="184"/>
      <c r="F22" s="179"/>
      <c r="I22" s="179"/>
      <c r="S22" s="454"/>
      <c r="AN22" s="454"/>
      <c r="AQ22" s="454"/>
      <c r="AT22" s="454"/>
      <c r="AY22" s="454"/>
      <c r="AZ22" s="454"/>
      <c r="BA22" s="1305"/>
      <c r="BC22" s="169"/>
    </row>
    <row r="23" spans="1:59" ht="15.65" customHeight="1">
      <c r="C23" s="184"/>
      <c r="F23" s="179"/>
      <c r="I23" s="179"/>
      <c r="S23" s="454"/>
      <c r="AN23" s="454"/>
      <c r="AQ23" s="454"/>
      <c r="AT23" s="454"/>
      <c r="AW23" s="169"/>
      <c r="AX23" s="169"/>
      <c r="AY23" s="458"/>
      <c r="AZ23" s="458"/>
      <c r="BA23" s="1305"/>
      <c r="BC23" s="169"/>
    </row>
    <row r="24" spans="1:59" ht="15.65" customHeight="1">
      <c r="B24" s="741"/>
      <c r="C24" s="184"/>
      <c r="F24" s="179"/>
      <c r="I24" s="179"/>
      <c r="S24" s="454"/>
      <c r="AN24" s="454"/>
      <c r="AQ24" s="454"/>
      <c r="AT24" s="454"/>
      <c r="AY24" s="454"/>
      <c r="AZ24" s="454"/>
      <c r="BA24" s="1305"/>
      <c r="BC24" s="169"/>
    </row>
    <row r="25" spans="1:59" ht="15.65" customHeight="1">
      <c r="C25" s="184"/>
      <c r="F25" s="179"/>
      <c r="I25" s="179"/>
      <c r="S25" s="454"/>
      <c r="AN25" s="454"/>
      <c r="AQ25" s="454"/>
      <c r="AT25" s="454"/>
      <c r="AY25" s="454"/>
      <c r="AZ25" s="454"/>
      <c r="BA25" s="1306"/>
      <c r="BC25" s="169"/>
    </row>
    <row r="26" spans="1:59" ht="15.65" customHeight="1">
      <c r="B26" s="741"/>
      <c r="C26" s="184"/>
      <c r="F26" s="179"/>
      <c r="I26" s="179"/>
      <c r="S26" s="454"/>
      <c r="AN26" s="454"/>
      <c r="AQ26" s="454"/>
      <c r="AT26" s="454"/>
      <c r="AY26" s="454"/>
      <c r="AZ26" s="454"/>
      <c r="BA26" s="1305"/>
      <c r="BC26" s="169"/>
    </row>
    <row r="27" spans="1:59" ht="15.65" customHeight="1">
      <c r="C27" s="184"/>
      <c r="F27" s="179"/>
      <c r="I27" s="179"/>
      <c r="S27" s="454"/>
      <c r="AN27" s="454"/>
      <c r="AQ27" s="454"/>
      <c r="AT27" s="454"/>
      <c r="AY27" s="454"/>
      <c r="AZ27" s="454"/>
      <c r="BA27" s="1306"/>
      <c r="BC27" s="169"/>
    </row>
    <row r="28" spans="1:59" ht="15.65" customHeight="1">
      <c r="B28" s="741"/>
      <c r="C28" s="184"/>
      <c r="F28" s="179"/>
      <c r="I28" s="179"/>
      <c r="S28" s="454"/>
      <c r="AN28" s="454"/>
      <c r="AQ28" s="454"/>
      <c r="AT28" s="454"/>
      <c r="AY28" s="454"/>
      <c r="AZ28" s="454"/>
      <c r="BA28" s="1305"/>
      <c r="BC28" s="169"/>
    </row>
    <row r="29" spans="1:59" ht="15.65" customHeight="1">
      <c r="C29" s="184"/>
      <c r="F29" s="179"/>
      <c r="I29" s="179"/>
      <c r="S29" s="454"/>
      <c r="AN29" s="454"/>
      <c r="AQ29" s="454"/>
      <c r="AT29" s="454"/>
      <c r="AW29" s="169"/>
      <c r="AX29" s="169"/>
      <c r="AY29" s="458"/>
      <c r="AZ29" s="458"/>
      <c r="BA29" s="1305"/>
      <c r="BC29" s="169"/>
    </row>
    <row r="30" spans="1:59" ht="15.65" customHeight="1">
      <c r="B30" s="741"/>
      <c r="C30" s="184"/>
      <c r="F30" s="179"/>
      <c r="I30" s="179"/>
      <c r="S30" s="454"/>
      <c r="AN30" s="454"/>
      <c r="AQ30" s="454"/>
      <c r="AT30" s="454"/>
      <c r="AY30" s="454"/>
      <c r="AZ30" s="454"/>
      <c r="BA30" s="1305"/>
      <c r="BC30" s="169"/>
    </row>
    <row r="31" spans="1:59" ht="15.65" customHeight="1">
      <c r="C31" s="184"/>
      <c r="F31" s="179"/>
      <c r="I31" s="179"/>
      <c r="S31" s="454"/>
      <c r="AN31" s="454"/>
      <c r="AQ31" s="454"/>
      <c r="AT31" s="454"/>
      <c r="AY31" s="454"/>
      <c r="AZ31" s="454"/>
      <c r="BA31" s="1306"/>
      <c r="BC31" s="169"/>
    </row>
    <row r="32" spans="1:59" ht="15.65" customHeight="1">
      <c r="B32" s="741"/>
      <c r="C32" s="184"/>
      <c r="F32" s="179"/>
      <c r="I32" s="179"/>
      <c r="S32" s="454"/>
      <c r="AN32" s="454"/>
      <c r="AQ32" s="454"/>
      <c r="AT32" s="454"/>
      <c r="AY32" s="454"/>
      <c r="AZ32" s="454"/>
      <c r="BA32" s="1305"/>
      <c r="BC32" s="169"/>
    </row>
    <row r="33" spans="2:55" ht="15.65" customHeight="1">
      <c r="C33" s="184"/>
      <c r="F33" s="179"/>
      <c r="I33" s="179"/>
      <c r="S33" s="454"/>
      <c r="AN33" s="454"/>
      <c r="AQ33" s="454"/>
      <c r="AT33" s="454"/>
      <c r="AY33" s="454"/>
      <c r="AZ33" s="454"/>
      <c r="BA33" s="1306"/>
      <c r="BC33" s="169"/>
    </row>
    <row r="34" spans="2:55" ht="15.65" customHeight="1">
      <c r="B34" s="741"/>
      <c r="C34" s="184"/>
      <c r="F34" s="179"/>
      <c r="I34" s="179"/>
      <c r="S34" s="454"/>
      <c r="AN34" s="454"/>
      <c r="AQ34" s="454"/>
      <c r="AT34" s="454"/>
      <c r="AY34" s="454"/>
      <c r="AZ34" s="454"/>
      <c r="BA34" s="1305"/>
      <c r="BC34" s="169"/>
    </row>
    <row r="35" spans="2:55" ht="15.65" customHeight="1">
      <c r="C35" s="184"/>
      <c r="F35" s="179"/>
      <c r="I35" s="179"/>
      <c r="S35" s="454"/>
      <c r="AN35" s="454"/>
      <c r="AQ35" s="454"/>
      <c r="AT35" s="454"/>
      <c r="AY35" s="454"/>
      <c r="AZ35" s="454"/>
      <c r="BA35" s="1306"/>
      <c r="BC35" s="169"/>
    </row>
    <row r="36" spans="2:55" ht="15.65" customHeight="1">
      <c r="C36" s="184"/>
      <c r="F36" s="179"/>
      <c r="G36" s="742"/>
      <c r="I36" s="179"/>
      <c r="S36" s="454"/>
      <c r="AN36" s="454"/>
      <c r="AQ36" s="454"/>
      <c r="AT36" s="454"/>
      <c r="AW36" s="169"/>
      <c r="AX36" s="169"/>
      <c r="AY36" s="458"/>
      <c r="AZ36" s="458"/>
      <c r="BA36" s="1305"/>
      <c r="BC36" s="169"/>
    </row>
    <row r="37" spans="2:55" ht="15.65" customHeight="1">
      <c r="C37" s="184"/>
      <c r="F37" s="179"/>
      <c r="I37" s="179"/>
      <c r="S37" s="454"/>
      <c r="AN37" s="454"/>
      <c r="AQ37" s="454"/>
      <c r="AT37" s="454"/>
      <c r="AY37" s="454"/>
      <c r="AZ37" s="454"/>
      <c r="BA37" s="1305"/>
      <c r="BC37" s="169"/>
    </row>
    <row r="38" spans="2:55" ht="15.65" customHeight="1">
      <c r="C38" s="184"/>
      <c r="F38" s="179"/>
      <c r="I38" s="179"/>
      <c r="S38" s="454"/>
      <c r="AN38" s="454"/>
      <c r="AQ38" s="454"/>
      <c r="AT38" s="454"/>
      <c r="AY38" s="454"/>
      <c r="AZ38" s="454"/>
      <c r="BA38" s="1306"/>
      <c r="BC38" s="169"/>
    </row>
    <row r="39" spans="2:55" ht="15.65" customHeight="1">
      <c r="B39" s="741"/>
      <c r="C39" s="184"/>
      <c r="F39" s="179"/>
      <c r="I39" s="179"/>
      <c r="S39" s="454"/>
      <c r="AN39" s="454"/>
      <c r="AQ39" s="454"/>
      <c r="AT39" s="454"/>
      <c r="AY39" s="454"/>
      <c r="AZ39" s="454"/>
      <c r="BA39" s="1305"/>
      <c r="BC39" s="169"/>
    </row>
    <row r="40" spans="2:55" ht="15.65" customHeight="1">
      <c r="C40" s="184"/>
      <c r="F40" s="179"/>
      <c r="I40" s="179"/>
      <c r="S40" s="454"/>
      <c r="AN40" s="454"/>
      <c r="AQ40" s="454"/>
      <c r="AT40" s="454"/>
      <c r="AW40" s="169"/>
      <c r="AX40" s="169"/>
      <c r="AY40" s="458"/>
      <c r="AZ40" s="458"/>
      <c r="BA40" s="1305"/>
      <c r="BC40" s="169"/>
    </row>
    <row r="41" spans="2:55" ht="15.65" customHeight="1">
      <c r="B41" s="741"/>
      <c r="C41" s="184"/>
      <c r="F41" s="179"/>
      <c r="I41" s="179"/>
      <c r="S41" s="454"/>
      <c r="AN41" s="454"/>
      <c r="AQ41" s="454"/>
      <c r="AT41" s="454"/>
      <c r="AY41" s="454"/>
      <c r="AZ41" s="454"/>
      <c r="BA41" s="1305"/>
      <c r="BC41" s="169"/>
    </row>
    <row r="42" spans="2:55" ht="15.65" customHeight="1">
      <c r="C42" s="184"/>
      <c r="F42" s="179"/>
      <c r="I42" s="179"/>
      <c r="S42" s="454"/>
      <c r="AN42" s="454"/>
      <c r="AQ42" s="454"/>
      <c r="AT42" s="454"/>
      <c r="AY42" s="454"/>
      <c r="AZ42" s="454"/>
      <c r="BA42" s="1306"/>
      <c r="BC42" s="169"/>
    </row>
    <row r="43" spans="2:55" ht="15.65" customHeight="1">
      <c r="B43" s="741"/>
      <c r="C43" s="184"/>
      <c r="F43" s="179"/>
      <c r="I43" s="179"/>
      <c r="S43" s="454"/>
      <c r="AN43" s="454"/>
      <c r="AQ43" s="454"/>
      <c r="AT43" s="454"/>
      <c r="AY43" s="454"/>
      <c r="AZ43" s="454"/>
      <c r="BA43" s="1305"/>
      <c r="BC43" s="169"/>
    </row>
    <row r="44" spans="2:55" ht="15.65" customHeight="1">
      <c r="C44" s="184"/>
      <c r="F44" s="179"/>
      <c r="I44" s="179"/>
      <c r="S44" s="454"/>
      <c r="AN44" s="454"/>
      <c r="AQ44" s="454"/>
      <c r="AT44" s="454"/>
      <c r="AW44" s="169"/>
      <c r="AX44" s="169"/>
      <c r="AY44" s="458"/>
      <c r="AZ44" s="458"/>
      <c r="BA44" s="1305"/>
      <c r="BC44" s="169"/>
    </row>
    <row r="45" spans="2:55" ht="15.65" customHeight="1">
      <c r="B45" s="741"/>
      <c r="C45" s="184"/>
      <c r="F45" s="179"/>
      <c r="I45" s="179"/>
      <c r="S45" s="454"/>
      <c r="AN45" s="454"/>
      <c r="AQ45" s="454"/>
      <c r="AT45" s="454"/>
      <c r="AY45" s="454"/>
      <c r="AZ45" s="454"/>
      <c r="BA45" s="1305"/>
      <c r="BC45" s="169"/>
    </row>
    <row r="46" spans="2:55" ht="15.65" customHeight="1">
      <c r="C46" s="184"/>
      <c r="F46" s="179"/>
      <c r="I46" s="179"/>
      <c r="S46" s="454"/>
      <c r="AN46" s="454"/>
      <c r="AQ46" s="454"/>
      <c r="AT46" s="454"/>
      <c r="AY46" s="454"/>
      <c r="AZ46" s="454"/>
      <c r="BA46" s="1306"/>
      <c r="BC46" s="169"/>
    </row>
    <row r="47" spans="2:55" ht="15.65" customHeight="1">
      <c r="B47" s="741"/>
      <c r="C47" s="184"/>
      <c r="F47" s="179"/>
      <c r="I47" s="179"/>
      <c r="S47" s="454"/>
      <c r="AN47" s="454"/>
      <c r="AQ47" s="454"/>
      <c r="AT47" s="454"/>
      <c r="AY47" s="454"/>
      <c r="AZ47" s="454"/>
      <c r="BA47" s="1305"/>
      <c r="BC47" s="169"/>
    </row>
    <row r="48" spans="2:55" ht="15.65" customHeight="1">
      <c r="C48" s="184"/>
      <c r="F48" s="179"/>
      <c r="I48" s="179"/>
      <c r="S48" s="454"/>
      <c r="AN48" s="454"/>
      <c r="AQ48" s="454"/>
      <c r="AT48" s="454"/>
      <c r="AY48" s="454"/>
      <c r="AZ48" s="454"/>
      <c r="BA48" s="1306"/>
      <c r="BC48" s="169"/>
    </row>
    <row r="49" spans="2:55" ht="15.65" customHeight="1">
      <c r="B49" s="741"/>
      <c r="C49" s="184"/>
      <c r="F49" s="179"/>
      <c r="I49" s="179"/>
      <c r="S49" s="454"/>
      <c r="AN49" s="454"/>
      <c r="AQ49" s="454"/>
      <c r="AT49" s="454"/>
      <c r="AY49" s="454"/>
      <c r="AZ49" s="454"/>
      <c r="BA49" s="1305"/>
      <c r="BC49" s="169"/>
    </row>
    <row r="50" spans="2:55" ht="15.65" customHeight="1">
      <c r="C50" s="184"/>
      <c r="F50" s="179"/>
      <c r="I50" s="179"/>
      <c r="S50" s="454"/>
      <c r="AN50" s="454"/>
      <c r="AQ50" s="454"/>
      <c r="AT50" s="454"/>
      <c r="AW50" s="169"/>
      <c r="AX50" s="169"/>
      <c r="AY50" s="458"/>
      <c r="AZ50" s="458"/>
      <c r="BA50" s="1305"/>
      <c r="BC50" s="169"/>
    </row>
    <row r="51" spans="2:55" ht="15.65" customHeight="1">
      <c r="B51" s="741"/>
      <c r="C51" s="184"/>
      <c r="F51" s="179"/>
      <c r="I51" s="179"/>
      <c r="S51" s="454"/>
      <c r="AN51" s="454"/>
      <c r="AQ51" s="454"/>
      <c r="AT51" s="454"/>
      <c r="AY51" s="454"/>
      <c r="AZ51" s="454"/>
      <c r="BA51" s="1305"/>
      <c r="BC51" s="169"/>
    </row>
    <row r="52" spans="2:55" ht="15.65" customHeight="1">
      <c r="C52" s="184"/>
      <c r="F52" s="179"/>
      <c r="I52" s="179"/>
      <c r="S52" s="454"/>
      <c r="AN52" s="454"/>
      <c r="AQ52" s="454"/>
      <c r="AT52" s="454"/>
      <c r="AY52" s="454"/>
      <c r="AZ52" s="454"/>
      <c r="BA52" s="1306"/>
      <c r="BC52" s="169"/>
    </row>
    <row r="53" spans="2:55">
      <c r="B53" s="741"/>
      <c r="C53" s="184"/>
      <c r="F53" s="179"/>
      <c r="I53" s="179"/>
      <c r="S53" s="454"/>
      <c r="AN53" s="454"/>
      <c r="AQ53" s="454"/>
      <c r="AT53" s="454"/>
      <c r="AY53" s="454"/>
      <c r="AZ53" s="454"/>
      <c r="BA53" s="1305"/>
      <c r="BC53" s="169"/>
    </row>
    <row r="54" spans="2:55">
      <c r="S54" s="454"/>
      <c r="AN54" s="454"/>
      <c r="AY54" s="454"/>
      <c r="AZ54" s="454"/>
      <c r="BA54" s="1306"/>
      <c r="BC54" s="169"/>
    </row>
    <row r="55" spans="2:55">
      <c r="S55" s="454"/>
      <c r="AN55" s="454"/>
      <c r="AY55" s="454"/>
      <c r="AZ55" s="454"/>
      <c r="BA55" s="1306"/>
      <c r="BC55" s="169"/>
    </row>
    <row r="56" spans="2:55">
      <c r="S56" s="454"/>
      <c r="AN56" s="454"/>
      <c r="AY56" s="454"/>
      <c r="AZ56" s="454"/>
      <c r="BA56" s="1306"/>
      <c r="BC56" s="169"/>
    </row>
    <row r="57" spans="2:55">
      <c r="S57" s="454"/>
      <c r="AN57" s="454"/>
      <c r="AY57" s="454"/>
      <c r="AZ57" s="454"/>
      <c r="BA57" s="1306"/>
      <c r="BC57" s="169"/>
    </row>
    <row r="58" spans="2:55">
      <c r="S58" s="454"/>
      <c r="AN58" s="454"/>
      <c r="AY58" s="454"/>
      <c r="AZ58" s="454"/>
      <c r="BA58" s="1306"/>
      <c r="BC58" s="169"/>
    </row>
    <row r="59" spans="2:55">
      <c r="S59" s="454"/>
      <c r="AN59" s="454"/>
      <c r="AY59" s="454"/>
      <c r="AZ59" s="454"/>
      <c r="BA59" s="1306"/>
      <c r="BC59" s="169"/>
    </row>
    <row r="60" spans="2:55">
      <c r="S60" s="454"/>
      <c r="AN60" s="454"/>
      <c r="AY60" s="454"/>
      <c r="AZ60" s="454"/>
      <c r="BA60" s="1306"/>
      <c r="BC60" s="169"/>
    </row>
    <row r="61" spans="2:55">
      <c r="S61" s="454"/>
      <c r="AN61" s="454"/>
      <c r="AY61" s="454"/>
      <c r="AZ61" s="454"/>
      <c r="BA61" s="1306"/>
      <c r="BC61" s="169"/>
    </row>
    <row r="62" spans="2:55">
      <c r="S62" s="454"/>
      <c r="AN62" s="454"/>
      <c r="AY62" s="454"/>
      <c r="AZ62" s="454"/>
      <c r="BA62" s="1306"/>
      <c r="BC62" s="169"/>
    </row>
    <row r="63" spans="2:55">
      <c r="S63" s="454"/>
      <c r="AN63" s="454"/>
      <c r="AY63" s="454"/>
      <c r="AZ63" s="454"/>
      <c r="BA63" s="1306"/>
      <c r="BC63" s="169"/>
    </row>
    <row r="64" spans="2:55">
      <c r="S64" s="454"/>
      <c r="AN64" s="454"/>
      <c r="AY64" s="454"/>
      <c r="AZ64" s="454"/>
      <c r="BA64" s="1306"/>
      <c r="BC64" s="169"/>
    </row>
    <row r="65" spans="19:55">
      <c r="S65" s="454"/>
      <c r="AN65" s="454"/>
      <c r="AY65" s="454"/>
      <c r="AZ65" s="454"/>
      <c r="BA65" s="1306"/>
      <c r="BC65" s="169"/>
    </row>
    <row r="66" spans="19:55">
      <c r="S66" s="454"/>
      <c r="AN66" s="454"/>
      <c r="AY66" s="454"/>
      <c r="AZ66" s="454"/>
      <c r="BA66" s="1306"/>
      <c r="BC66" s="169"/>
    </row>
    <row r="67" spans="19:55">
      <c r="S67" s="454"/>
      <c r="AN67" s="454"/>
      <c r="AY67" s="454"/>
      <c r="AZ67" s="454"/>
      <c r="BA67" s="1306"/>
      <c r="BC67" s="169"/>
    </row>
    <row r="68" spans="19:55">
      <c r="S68" s="454"/>
      <c r="AN68" s="454"/>
      <c r="AY68" s="454"/>
      <c r="AZ68" s="454"/>
      <c r="BA68" s="1306"/>
      <c r="BC68" s="169"/>
    </row>
    <row r="69" spans="19:55">
      <c r="S69" s="454"/>
      <c r="AN69" s="454"/>
      <c r="AY69" s="454"/>
      <c r="AZ69" s="454"/>
      <c r="BA69" s="1306"/>
      <c r="BC69" s="169"/>
    </row>
    <row r="70" spans="19:55">
      <c r="S70" s="454"/>
      <c r="AN70" s="454"/>
      <c r="AY70" s="454"/>
      <c r="AZ70" s="454"/>
      <c r="BA70" s="1306"/>
      <c r="BC70" s="169"/>
    </row>
    <row r="71" spans="19:55">
      <c r="S71" s="454"/>
      <c r="AN71" s="454"/>
      <c r="AY71" s="454"/>
      <c r="AZ71" s="454"/>
      <c r="BA71" s="1306"/>
      <c r="BC71" s="169"/>
    </row>
    <row r="72" spans="19:55">
      <c r="S72" s="454"/>
      <c r="AN72" s="454"/>
      <c r="AY72" s="454"/>
      <c r="AZ72" s="454"/>
      <c r="BA72" s="1306"/>
      <c r="BC72" s="169"/>
    </row>
    <row r="73" spans="19:55">
      <c r="S73" s="454"/>
      <c r="AN73" s="454"/>
      <c r="AY73" s="454"/>
      <c r="AZ73" s="454"/>
      <c r="BA73" s="1306"/>
      <c r="BC73" s="169"/>
    </row>
    <row r="74" spans="19:55">
      <c r="S74" s="454"/>
      <c r="AN74" s="454"/>
      <c r="AY74" s="454"/>
      <c r="AZ74" s="454"/>
      <c r="BA74" s="1306"/>
      <c r="BC74" s="169"/>
    </row>
    <row r="75" spans="19:55">
      <c r="S75" s="454"/>
      <c r="AN75" s="454"/>
      <c r="AY75" s="454"/>
      <c r="AZ75" s="454"/>
      <c r="BA75" s="1306"/>
      <c r="BC75" s="169"/>
    </row>
    <row r="76" spans="19:55">
      <c r="S76" s="454"/>
      <c r="AN76" s="454"/>
      <c r="AY76" s="454"/>
      <c r="AZ76" s="454"/>
      <c r="BA76" s="1306"/>
      <c r="BC76" s="169"/>
    </row>
    <row r="77" spans="19:55">
      <c r="S77" s="454"/>
      <c r="AN77" s="454"/>
      <c r="AY77" s="454"/>
      <c r="AZ77" s="454"/>
      <c r="BA77" s="1306"/>
      <c r="BC77" s="169"/>
    </row>
    <row r="78" spans="19:55">
      <c r="S78" s="454"/>
      <c r="AN78" s="454"/>
      <c r="AY78" s="454"/>
      <c r="AZ78" s="454"/>
      <c r="BA78" s="1306"/>
      <c r="BC78" s="169"/>
    </row>
    <row r="79" spans="19:55">
      <c r="S79" s="454"/>
      <c r="AN79" s="454"/>
      <c r="AY79" s="454"/>
      <c r="AZ79" s="454"/>
      <c r="BA79" s="1306"/>
      <c r="BC79" s="169"/>
    </row>
    <row r="80" spans="19:55">
      <c r="S80" s="454"/>
      <c r="AN80" s="454"/>
      <c r="AY80" s="454"/>
      <c r="AZ80" s="454"/>
      <c r="BA80" s="1306"/>
      <c r="BC80" s="169"/>
    </row>
    <row r="81" spans="19:55">
      <c r="S81" s="454"/>
      <c r="AN81" s="454"/>
      <c r="AY81" s="454"/>
      <c r="AZ81" s="454"/>
      <c r="BA81" s="1306"/>
      <c r="BC81" s="169"/>
    </row>
    <row r="82" spans="19:55">
      <c r="S82" s="454"/>
      <c r="AN82" s="454"/>
      <c r="AY82" s="454"/>
      <c r="AZ82" s="454"/>
      <c r="BA82" s="1306"/>
      <c r="BC82" s="169"/>
    </row>
    <row r="83" spans="19:55">
      <c r="S83" s="454"/>
      <c r="AN83" s="454"/>
      <c r="AY83" s="454"/>
      <c r="AZ83" s="454"/>
      <c r="BA83" s="1306"/>
      <c r="BC83" s="169"/>
    </row>
    <row r="84" spans="19:55">
      <c r="S84" s="454"/>
      <c r="AN84" s="454"/>
      <c r="AY84" s="454"/>
      <c r="AZ84" s="454"/>
      <c r="BA84" s="1306"/>
      <c r="BC84" s="169"/>
    </row>
    <row r="85" spans="19:55">
      <c r="S85" s="454"/>
      <c r="AN85" s="454"/>
      <c r="AY85" s="454"/>
      <c r="AZ85" s="454"/>
      <c r="BA85" s="1306"/>
      <c r="BC85" s="169"/>
    </row>
    <row r="86" spans="19:55">
      <c r="S86" s="454"/>
      <c r="AN86" s="454"/>
      <c r="AY86" s="454"/>
      <c r="AZ86" s="454"/>
      <c r="BA86" s="1306"/>
      <c r="BC86" s="169"/>
    </row>
    <row r="87" spans="19:55">
      <c r="S87" s="454"/>
      <c r="AN87" s="454"/>
      <c r="AY87" s="454"/>
      <c r="AZ87" s="454"/>
      <c r="BA87" s="1306"/>
      <c r="BC87" s="169"/>
    </row>
    <row r="88" spans="19:55">
      <c r="S88" s="454"/>
      <c r="AN88" s="454"/>
      <c r="AY88" s="454"/>
      <c r="AZ88" s="454"/>
      <c r="BA88" s="1306"/>
      <c r="BC88" s="169"/>
    </row>
    <row r="89" spans="19:55">
      <c r="S89" s="454"/>
      <c r="AN89" s="454"/>
      <c r="AY89" s="454"/>
      <c r="AZ89" s="454"/>
      <c r="BA89" s="1306"/>
      <c r="BC89" s="169"/>
    </row>
    <row r="90" spans="19:55">
      <c r="S90" s="454"/>
      <c r="AN90" s="454"/>
      <c r="AY90" s="454"/>
      <c r="AZ90" s="454"/>
      <c r="BA90" s="1306"/>
      <c r="BC90" s="169"/>
    </row>
    <row r="91" spans="19:55">
      <c r="S91" s="454"/>
      <c r="AN91" s="454"/>
      <c r="AY91" s="454"/>
      <c r="AZ91" s="454"/>
      <c r="BA91" s="1306"/>
      <c r="BC91" s="169"/>
    </row>
    <row r="92" spans="19:55">
      <c r="S92" s="454"/>
      <c r="AN92" s="454"/>
      <c r="AY92" s="454"/>
      <c r="AZ92" s="454"/>
      <c r="BA92" s="1306"/>
      <c r="BC92" s="169"/>
    </row>
    <row r="93" spans="19:55">
      <c r="S93" s="454"/>
      <c r="AN93" s="454"/>
      <c r="AY93" s="454"/>
      <c r="AZ93" s="454"/>
      <c r="BA93" s="1306"/>
      <c r="BC93" s="169"/>
    </row>
    <row r="94" spans="19:55">
      <c r="S94" s="454"/>
      <c r="AN94" s="454"/>
      <c r="AY94" s="454"/>
      <c r="AZ94" s="454"/>
      <c r="BA94" s="1306"/>
      <c r="BC94" s="169"/>
    </row>
    <row r="95" spans="19:55">
      <c r="S95" s="454"/>
      <c r="AN95" s="454"/>
      <c r="AY95" s="454"/>
      <c r="AZ95" s="454"/>
      <c r="BA95" s="1306"/>
      <c r="BC95" s="169"/>
    </row>
    <row r="96" spans="19:55">
      <c r="S96" s="454"/>
      <c r="AN96" s="454"/>
      <c r="AY96" s="454"/>
      <c r="AZ96" s="454"/>
      <c r="BA96" s="1306"/>
      <c r="BC96" s="169"/>
    </row>
    <row r="97" spans="19:55">
      <c r="S97" s="454"/>
      <c r="AN97" s="454"/>
      <c r="AY97" s="454"/>
      <c r="AZ97" s="454"/>
      <c r="BA97" s="1306"/>
      <c r="BC97" s="169"/>
    </row>
    <row r="98" spans="19:55">
      <c r="S98" s="454"/>
      <c r="AN98" s="454"/>
      <c r="AY98" s="454"/>
      <c r="AZ98" s="454"/>
      <c r="BA98" s="1306"/>
      <c r="BC98" s="169"/>
    </row>
    <row r="99" spans="19:55">
      <c r="S99" s="454"/>
      <c r="AN99" s="454"/>
      <c r="AY99" s="454"/>
      <c r="AZ99" s="454"/>
      <c r="BA99" s="1306"/>
      <c r="BC99" s="169"/>
    </row>
    <row r="100" spans="19:55">
      <c r="S100" s="454"/>
      <c r="AN100" s="454"/>
      <c r="AY100" s="454"/>
      <c r="AZ100" s="454"/>
      <c r="BA100" s="1306"/>
      <c r="BC100" s="169"/>
    </row>
    <row r="101" spans="19:55">
      <c r="S101" s="454"/>
      <c r="AN101" s="454"/>
      <c r="AY101" s="454"/>
      <c r="AZ101" s="454"/>
      <c r="BA101" s="1306"/>
      <c r="BC101" s="169"/>
    </row>
    <row r="102" spans="19:55">
      <c r="S102" s="454"/>
      <c r="AN102" s="454"/>
      <c r="AY102" s="454"/>
      <c r="AZ102" s="454"/>
      <c r="BA102" s="1306"/>
      <c r="BC102" s="169"/>
    </row>
    <row r="103" spans="19:55">
      <c r="S103" s="454"/>
      <c r="AN103" s="454"/>
      <c r="AY103" s="454"/>
      <c r="AZ103" s="454"/>
      <c r="BA103" s="1306"/>
      <c r="BC103" s="169"/>
    </row>
    <row r="104" spans="19:55">
      <c r="S104" s="454"/>
      <c r="AN104" s="454"/>
      <c r="AY104" s="454"/>
      <c r="AZ104" s="454"/>
      <c r="BA104" s="1306"/>
      <c r="BC104" s="169"/>
    </row>
    <row r="105" spans="19:55">
      <c r="S105" s="454"/>
      <c r="AN105" s="454"/>
      <c r="AY105" s="454"/>
      <c r="AZ105" s="454"/>
      <c r="BA105" s="1306"/>
      <c r="BC105" s="169"/>
    </row>
    <row r="106" spans="19:55">
      <c r="S106" s="454"/>
      <c r="AN106" s="454"/>
      <c r="AY106" s="454"/>
      <c r="AZ106" s="454"/>
      <c r="BA106" s="1306"/>
      <c r="BC106" s="169"/>
    </row>
    <row r="107" spans="19:55">
      <c r="S107" s="454"/>
      <c r="AN107" s="454"/>
      <c r="AY107" s="454"/>
      <c r="AZ107" s="454"/>
      <c r="BA107" s="1306"/>
      <c r="BC107" s="169"/>
    </row>
    <row r="108" spans="19:55">
      <c r="S108" s="454"/>
      <c r="AN108" s="454"/>
      <c r="AY108" s="454"/>
      <c r="AZ108" s="454"/>
      <c r="BA108" s="1306"/>
      <c r="BC108" s="169"/>
    </row>
    <row r="109" spans="19:55">
      <c r="S109" s="454"/>
      <c r="AN109" s="454"/>
      <c r="AY109" s="454"/>
      <c r="AZ109" s="454"/>
      <c r="BA109" s="1306"/>
      <c r="BC109" s="169"/>
    </row>
    <row r="110" spans="19:55">
      <c r="S110" s="454"/>
      <c r="AN110" s="454"/>
      <c r="AY110" s="454"/>
      <c r="AZ110" s="454"/>
      <c r="BA110" s="1306"/>
      <c r="BC110" s="169"/>
    </row>
    <row r="111" spans="19:55">
      <c r="S111" s="454"/>
      <c r="AN111" s="454"/>
      <c r="AY111" s="454"/>
      <c r="AZ111" s="454"/>
      <c r="BA111" s="1306"/>
      <c r="BC111" s="169"/>
    </row>
    <row r="112" spans="19:55">
      <c r="S112" s="454"/>
      <c r="AN112" s="454"/>
      <c r="AY112" s="454"/>
      <c r="AZ112" s="454"/>
      <c r="BA112" s="1306"/>
      <c r="BC112" s="169"/>
    </row>
    <row r="113" spans="19:55">
      <c r="S113" s="454"/>
      <c r="AN113" s="454"/>
      <c r="AY113" s="454"/>
      <c r="AZ113" s="454"/>
      <c r="BA113" s="1306"/>
      <c r="BC113" s="169"/>
    </row>
    <row r="114" spans="19:55">
      <c r="S114" s="454"/>
      <c r="AN114" s="454"/>
      <c r="AY114" s="454"/>
      <c r="AZ114" s="454"/>
      <c r="BA114" s="1306"/>
      <c r="BC114" s="169"/>
    </row>
    <row r="115" spans="19:55">
      <c r="S115" s="454"/>
      <c r="AN115" s="454"/>
      <c r="AY115" s="454"/>
      <c r="AZ115" s="454"/>
      <c r="BA115" s="1306"/>
      <c r="BC115" s="169"/>
    </row>
    <row r="116" spans="19:55">
      <c r="S116" s="454"/>
      <c r="AN116" s="454"/>
      <c r="AY116" s="454"/>
      <c r="AZ116" s="454"/>
      <c r="BA116" s="1306"/>
      <c r="BC116" s="169"/>
    </row>
    <row r="117" spans="19:55">
      <c r="S117" s="454"/>
      <c r="AN117" s="454"/>
      <c r="AY117" s="454"/>
      <c r="AZ117" s="454"/>
      <c r="BA117" s="1306"/>
      <c r="BC117" s="169"/>
    </row>
    <row r="118" spans="19:55">
      <c r="S118" s="454"/>
      <c r="AN118" s="454"/>
      <c r="AY118" s="454"/>
      <c r="AZ118" s="454"/>
      <c r="BA118" s="1306"/>
      <c r="BC118" s="169"/>
    </row>
    <row r="119" spans="19:55">
      <c r="S119" s="454"/>
      <c r="AN119" s="454"/>
      <c r="AY119" s="454"/>
      <c r="AZ119" s="454"/>
      <c r="BA119" s="1306"/>
      <c r="BC119" s="169"/>
    </row>
    <row r="120" spans="19:55">
      <c r="S120" s="454"/>
      <c r="AN120" s="454"/>
      <c r="AY120" s="454"/>
      <c r="AZ120" s="454"/>
      <c r="BA120" s="1306"/>
      <c r="BC120" s="169"/>
    </row>
    <row r="121" spans="19:55">
      <c r="S121" s="454"/>
      <c r="AN121" s="454"/>
      <c r="AY121" s="454"/>
      <c r="AZ121" s="454"/>
      <c r="BA121" s="1306"/>
      <c r="BC121" s="169"/>
    </row>
    <row r="122" spans="19:55">
      <c r="S122" s="454"/>
      <c r="AN122" s="454"/>
      <c r="AY122" s="454"/>
      <c r="AZ122" s="454"/>
      <c r="BA122" s="1306"/>
      <c r="BC122" s="169"/>
    </row>
    <row r="123" spans="19:55">
      <c r="S123" s="454"/>
      <c r="AN123" s="454"/>
      <c r="AY123" s="454"/>
      <c r="AZ123" s="454"/>
      <c r="BA123" s="1306"/>
      <c r="BC123" s="169"/>
    </row>
    <row r="124" spans="19:55">
      <c r="S124" s="454"/>
      <c r="AN124" s="454"/>
      <c r="AY124" s="454"/>
      <c r="AZ124" s="454"/>
      <c r="BA124" s="1306"/>
      <c r="BC124" s="169"/>
    </row>
    <row r="125" spans="19:55">
      <c r="S125" s="454"/>
      <c r="AN125" s="454"/>
      <c r="AY125" s="454"/>
      <c r="AZ125" s="454"/>
      <c r="BA125" s="1306"/>
      <c r="BC125" s="169"/>
    </row>
    <row r="126" spans="19:55">
      <c r="S126" s="454"/>
      <c r="AN126" s="454"/>
      <c r="AY126" s="454"/>
      <c r="AZ126" s="454"/>
      <c r="BA126" s="1306"/>
      <c r="BC126" s="169"/>
    </row>
    <row r="127" spans="19:55">
      <c r="S127" s="454"/>
      <c r="AN127" s="454"/>
      <c r="AY127" s="454"/>
      <c r="AZ127" s="454"/>
      <c r="BA127" s="1306"/>
      <c r="BC127" s="169"/>
    </row>
    <row r="128" spans="19:55">
      <c r="S128" s="454"/>
      <c r="AN128" s="454"/>
      <c r="AY128" s="454"/>
      <c r="AZ128" s="454"/>
      <c r="BA128" s="1306"/>
      <c r="BC128" s="169"/>
    </row>
    <row r="129" spans="19:55">
      <c r="S129" s="454"/>
      <c r="AN129" s="454"/>
      <c r="AY129" s="454"/>
      <c r="AZ129" s="454"/>
      <c r="BA129" s="1306"/>
      <c r="BC129" s="169"/>
    </row>
    <row r="130" spans="19:55">
      <c r="S130" s="454"/>
      <c r="AN130" s="454"/>
      <c r="AY130" s="454"/>
      <c r="AZ130" s="454"/>
      <c r="BA130" s="1306"/>
      <c r="BC130" s="169"/>
    </row>
    <row r="131" spans="19:55">
      <c r="S131" s="454"/>
      <c r="AN131" s="454"/>
      <c r="AY131" s="454"/>
      <c r="AZ131" s="454"/>
      <c r="BA131" s="1306"/>
      <c r="BC131" s="169"/>
    </row>
    <row r="132" spans="19:55">
      <c r="S132" s="454"/>
      <c r="AN132" s="454"/>
      <c r="AY132" s="454"/>
      <c r="AZ132" s="454"/>
      <c r="BA132" s="1306"/>
      <c r="BC132" s="169"/>
    </row>
    <row r="133" spans="19:55">
      <c r="S133" s="454"/>
      <c r="AN133" s="454"/>
      <c r="AY133" s="454"/>
      <c r="AZ133" s="454"/>
      <c r="BA133" s="1306"/>
      <c r="BC133" s="169"/>
    </row>
    <row r="134" spans="19:55">
      <c r="S134" s="454"/>
      <c r="AN134" s="454"/>
      <c r="AY134" s="454"/>
      <c r="AZ134" s="454"/>
      <c r="BA134" s="1306"/>
      <c r="BC134" s="169"/>
    </row>
    <row r="135" spans="19:55">
      <c r="S135" s="454"/>
      <c r="AN135" s="454"/>
      <c r="AY135" s="454"/>
      <c r="AZ135" s="454"/>
      <c r="BA135" s="1306"/>
      <c r="BC135" s="169"/>
    </row>
    <row r="136" spans="19:55">
      <c r="S136" s="454"/>
      <c r="AN136" s="454"/>
      <c r="AY136" s="454"/>
      <c r="AZ136" s="454"/>
      <c r="BA136" s="1306"/>
      <c r="BC136" s="169"/>
    </row>
    <row r="137" spans="19:55">
      <c r="S137" s="454"/>
      <c r="AN137" s="454"/>
      <c r="AY137" s="454"/>
      <c r="AZ137" s="454"/>
      <c r="BA137" s="1306"/>
      <c r="BC137" s="169"/>
    </row>
    <row r="138" spans="19:55">
      <c r="S138" s="454"/>
      <c r="AN138" s="454"/>
      <c r="AY138" s="454"/>
      <c r="AZ138" s="454"/>
      <c r="BA138" s="1306"/>
      <c r="BC138" s="169"/>
    </row>
    <row r="139" spans="19:55">
      <c r="S139" s="454"/>
      <c r="AN139" s="454"/>
      <c r="AY139" s="454"/>
      <c r="AZ139" s="454"/>
      <c r="BA139" s="1306"/>
      <c r="BC139" s="169"/>
    </row>
    <row r="140" spans="19:55">
      <c r="S140" s="454"/>
      <c r="AN140" s="454"/>
      <c r="AY140" s="454"/>
      <c r="AZ140" s="454"/>
      <c r="BA140" s="1306"/>
      <c r="BC140" s="169"/>
    </row>
    <row r="141" spans="19:55">
      <c r="S141" s="454"/>
      <c r="AN141" s="454"/>
      <c r="AY141" s="454"/>
      <c r="AZ141" s="454"/>
      <c r="BA141" s="1306"/>
      <c r="BC141" s="169"/>
    </row>
    <row r="142" spans="19:55">
      <c r="S142" s="454"/>
      <c r="AN142" s="454"/>
      <c r="AY142" s="454"/>
      <c r="AZ142" s="454"/>
      <c r="BA142" s="1306"/>
      <c r="BC142" s="169"/>
    </row>
    <row r="143" spans="19:55">
      <c r="S143" s="454"/>
      <c r="AN143" s="454"/>
      <c r="AY143" s="454"/>
      <c r="AZ143" s="454"/>
      <c r="BA143" s="1306"/>
      <c r="BC143" s="169"/>
    </row>
    <row r="144" spans="19:55">
      <c r="S144" s="454"/>
      <c r="AN144" s="454"/>
      <c r="AY144" s="454"/>
      <c r="AZ144" s="454"/>
      <c r="BA144" s="1306"/>
      <c r="BC144" s="169"/>
    </row>
    <row r="145" spans="19:55">
      <c r="S145" s="454"/>
      <c r="AN145" s="454"/>
      <c r="AY145" s="454"/>
      <c r="AZ145" s="454"/>
      <c r="BA145" s="1306"/>
      <c r="BC145" s="169"/>
    </row>
    <row r="146" spans="19:55">
      <c r="S146" s="454"/>
      <c r="AN146" s="454"/>
      <c r="AY146" s="454"/>
      <c r="AZ146" s="454"/>
      <c r="BA146" s="1306"/>
      <c r="BC146" s="169"/>
    </row>
    <row r="147" spans="19:55">
      <c r="S147" s="454"/>
      <c r="AN147" s="454"/>
      <c r="AY147" s="454"/>
      <c r="AZ147" s="454"/>
      <c r="BA147" s="1306"/>
      <c r="BC147" s="169"/>
    </row>
    <row r="148" spans="19:55">
      <c r="S148" s="454"/>
      <c r="AN148" s="454"/>
      <c r="AY148" s="454"/>
      <c r="AZ148" s="454"/>
      <c r="BA148" s="1306"/>
      <c r="BC148" s="169"/>
    </row>
    <row r="149" spans="19:55">
      <c r="S149" s="454"/>
      <c r="AN149" s="454"/>
      <c r="AY149" s="454"/>
      <c r="AZ149" s="454"/>
      <c r="BA149" s="1306"/>
      <c r="BC149" s="169"/>
    </row>
    <row r="150" spans="19:55">
      <c r="S150" s="454"/>
      <c r="AN150" s="454"/>
      <c r="AY150" s="454"/>
      <c r="AZ150" s="454"/>
      <c r="BA150" s="1306"/>
      <c r="BC150" s="169"/>
    </row>
    <row r="151" spans="19:55">
      <c r="S151" s="454"/>
      <c r="AN151" s="454"/>
      <c r="AY151" s="454"/>
      <c r="AZ151" s="454"/>
      <c r="BA151" s="1306"/>
      <c r="BC151" s="169"/>
    </row>
    <row r="152" spans="19:55">
      <c r="S152" s="454"/>
      <c r="AN152" s="454"/>
      <c r="AY152" s="454"/>
      <c r="AZ152" s="454"/>
      <c r="BA152" s="1306"/>
      <c r="BC152" s="169"/>
    </row>
    <row r="153" spans="19:55">
      <c r="S153" s="454"/>
      <c r="AN153" s="454"/>
      <c r="AY153" s="454"/>
      <c r="AZ153" s="454"/>
      <c r="BA153" s="1306"/>
      <c r="BC153" s="169"/>
    </row>
    <row r="154" spans="19:55">
      <c r="S154" s="454"/>
      <c r="AN154" s="454"/>
      <c r="AY154" s="454"/>
      <c r="AZ154" s="454"/>
      <c r="BA154" s="1306"/>
      <c r="BC154" s="169"/>
    </row>
    <row r="155" spans="19:55">
      <c r="S155" s="454"/>
      <c r="AN155" s="454"/>
      <c r="AY155" s="454"/>
      <c r="AZ155" s="454"/>
      <c r="BA155" s="1306"/>
      <c r="BC155" s="169"/>
    </row>
    <row r="156" spans="19:55">
      <c r="S156" s="454"/>
      <c r="AN156" s="454"/>
      <c r="AY156" s="454"/>
      <c r="AZ156" s="454"/>
      <c r="BA156" s="1306"/>
      <c r="BC156" s="169"/>
    </row>
    <row r="157" spans="19:55">
      <c r="S157" s="454"/>
      <c r="AN157" s="454"/>
      <c r="AY157" s="454"/>
      <c r="AZ157" s="454"/>
      <c r="BA157" s="1306"/>
      <c r="BC157" s="169"/>
    </row>
    <row r="158" spans="19:55">
      <c r="S158" s="454"/>
      <c r="AN158" s="454"/>
      <c r="AY158" s="454"/>
      <c r="AZ158" s="454"/>
      <c r="BA158" s="1306"/>
      <c r="BC158" s="169"/>
    </row>
    <row r="159" spans="19:55">
      <c r="S159" s="454"/>
      <c r="AN159" s="454"/>
      <c r="AY159" s="454"/>
      <c r="AZ159" s="454"/>
      <c r="BA159" s="1306"/>
      <c r="BC159" s="169"/>
    </row>
    <row r="160" spans="19:55">
      <c r="S160" s="454"/>
      <c r="AN160" s="454"/>
      <c r="AY160" s="454"/>
      <c r="AZ160" s="454"/>
      <c r="BA160" s="1306"/>
      <c r="BC160" s="169"/>
    </row>
    <row r="161" spans="19:55">
      <c r="S161" s="454"/>
      <c r="AN161" s="454"/>
      <c r="AY161" s="454"/>
      <c r="AZ161" s="454"/>
      <c r="BA161" s="1306"/>
      <c r="BC161" s="169"/>
    </row>
    <row r="162" spans="19:55">
      <c r="S162" s="454"/>
      <c r="AN162" s="454"/>
      <c r="AY162" s="454"/>
      <c r="AZ162" s="454"/>
      <c r="BA162" s="1306"/>
      <c r="BC162" s="169"/>
    </row>
    <row r="163" spans="19:55">
      <c r="S163" s="454"/>
      <c r="AN163" s="454"/>
      <c r="AY163" s="454"/>
      <c r="AZ163" s="454"/>
      <c r="BA163" s="1306"/>
      <c r="BC163" s="169"/>
    </row>
    <row r="164" spans="19:55">
      <c r="S164" s="454"/>
      <c r="AN164" s="454"/>
      <c r="AY164" s="454"/>
      <c r="AZ164" s="454"/>
      <c r="BA164" s="1306"/>
      <c r="BC164" s="169"/>
    </row>
    <row r="165" spans="19:55">
      <c r="S165" s="454"/>
      <c r="AN165" s="454"/>
      <c r="AY165" s="454"/>
      <c r="AZ165" s="454"/>
      <c r="BA165" s="1306"/>
      <c r="BC165" s="169"/>
    </row>
    <row r="166" spans="19:55">
      <c r="S166" s="454"/>
      <c r="AN166" s="454"/>
      <c r="AY166" s="454"/>
      <c r="AZ166" s="454"/>
      <c r="BA166" s="1306"/>
      <c r="BC166" s="169"/>
    </row>
    <row r="167" spans="19:55">
      <c r="S167" s="454"/>
      <c r="AN167" s="454"/>
      <c r="AY167" s="454"/>
      <c r="AZ167" s="454"/>
      <c r="BA167" s="1306"/>
      <c r="BC167" s="169"/>
    </row>
    <row r="168" spans="19:55">
      <c r="S168" s="454"/>
      <c r="AN168" s="454"/>
      <c r="AY168" s="454"/>
      <c r="AZ168" s="454"/>
      <c r="BA168" s="1306"/>
      <c r="BC168" s="169"/>
    </row>
    <row r="169" spans="19:55">
      <c r="S169" s="454"/>
      <c r="AN169" s="454"/>
      <c r="AY169" s="454"/>
      <c r="AZ169" s="454"/>
      <c r="BA169" s="1306"/>
      <c r="BC169" s="169"/>
    </row>
    <row r="170" spans="19:55">
      <c r="S170" s="454"/>
      <c r="AN170" s="454"/>
      <c r="AY170" s="454"/>
      <c r="AZ170" s="454"/>
      <c r="BA170" s="1306"/>
      <c r="BC170" s="169"/>
    </row>
    <row r="171" spans="19:55">
      <c r="S171" s="454"/>
      <c r="AN171" s="454"/>
      <c r="AY171" s="454"/>
      <c r="AZ171" s="454"/>
      <c r="BA171" s="1306"/>
      <c r="BC171" s="169"/>
    </row>
    <row r="172" spans="19:55">
      <c r="S172" s="454"/>
      <c r="AN172" s="454"/>
      <c r="AY172" s="454"/>
      <c r="AZ172" s="454"/>
      <c r="BA172" s="1306"/>
      <c r="BC172" s="169"/>
    </row>
    <row r="173" spans="19:55">
      <c r="S173" s="454"/>
      <c r="AN173" s="454"/>
      <c r="AY173" s="454"/>
      <c r="AZ173" s="454"/>
      <c r="BA173" s="1306"/>
      <c r="BC173" s="169"/>
    </row>
    <row r="174" spans="19:55">
      <c r="S174" s="454"/>
      <c r="AN174" s="454"/>
      <c r="AY174" s="454"/>
      <c r="AZ174" s="454"/>
      <c r="BA174" s="1306"/>
      <c r="BC174" s="169"/>
    </row>
    <row r="175" spans="19:55">
      <c r="S175" s="454"/>
      <c r="AN175" s="454"/>
      <c r="AY175" s="454"/>
      <c r="AZ175" s="454"/>
      <c r="BA175" s="1306"/>
      <c r="BC175" s="169"/>
    </row>
    <row r="176" spans="19:55">
      <c r="S176" s="454"/>
      <c r="AN176" s="454"/>
      <c r="AY176" s="454"/>
      <c r="AZ176" s="454"/>
      <c r="BA176" s="1306"/>
      <c r="BC176" s="169"/>
    </row>
    <row r="177" spans="19:55">
      <c r="S177" s="454"/>
      <c r="AN177" s="454"/>
      <c r="AY177" s="454"/>
      <c r="AZ177" s="454"/>
      <c r="BA177" s="1306"/>
      <c r="BC177" s="169"/>
    </row>
    <row r="178" spans="19:55">
      <c r="S178" s="454"/>
      <c r="AN178" s="454"/>
      <c r="AY178" s="454"/>
      <c r="AZ178" s="454"/>
      <c r="BA178" s="1306"/>
      <c r="BC178" s="169"/>
    </row>
    <row r="179" spans="19:55">
      <c r="S179" s="454"/>
      <c r="AN179" s="454"/>
      <c r="AY179" s="454"/>
      <c r="AZ179" s="454"/>
      <c r="BA179" s="1306"/>
      <c r="BC179" s="169"/>
    </row>
    <row r="180" spans="19:55">
      <c r="S180" s="454"/>
      <c r="AN180" s="454"/>
      <c r="AY180" s="454"/>
      <c r="AZ180" s="454"/>
      <c r="BA180" s="1306"/>
      <c r="BC180" s="169"/>
    </row>
    <row r="181" spans="19:55">
      <c r="S181" s="454"/>
      <c r="AN181" s="454"/>
      <c r="AY181" s="454"/>
      <c r="AZ181" s="454"/>
      <c r="BA181" s="1306"/>
      <c r="BC181" s="169"/>
    </row>
    <row r="182" spans="19:55">
      <c r="S182" s="454"/>
      <c r="AN182" s="454"/>
      <c r="AY182" s="454"/>
      <c r="AZ182" s="454"/>
      <c r="BA182" s="1306"/>
      <c r="BC182" s="169"/>
    </row>
    <row r="183" spans="19:55">
      <c r="S183" s="454"/>
      <c r="AN183" s="454"/>
      <c r="AY183" s="454"/>
      <c r="AZ183" s="454"/>
      <c r="BA183" s="1306"/>
      <c r="BC183" s="169"/>
    </row>
    <row r="184" spans="19:55">
      <c r="S184" s="454"/>
      <c r="AN184" s="454"/>
      <c r="AY184" s="454"/>
      <c r="AZ184" s="454"/>
      <c r="BA184" s="1306"/>
      <c r="BC184" s="169"/>
    </row>
    <row r="185" spans="19:55">
      <c r="S185" s="454"/>
      <c r="AN185" s="454"/>
      <c r="AY185" s="454"/>
      <c r="AZ185" s="454"/>
      <c r="BA185" s="1306"/>
      <c r="BC185" s="169"/>
    </row>
    <row r="186" spans="19:55">
      <c r="S186" s="454"/>
      <c r="AN186" s="454"/>
      <c r="AY186" s="454"/>
      <c r="AZ186" s="454"/>
      <c r="BA186" s="1306"/>
      <c r="BC186" s="169"/>
    </row>
    <row r="187" spans="19:55">
      <c r="S187" s="454"/>
      <c r="AN187" s="454"/>
      <c r="AY187" s="454"/>
      <c r="AZ187" s="454"/>
      <c r="BA187" s="1306"/>
      <c r="BC187" s="169"/>
    </row>
    <row r="188" spans="19:55">
      <c r="S188" s="454"/>
      <c r="AN188" s="454"/>
      <c r="AY188" s="454"/>
      <c r="AZ188" s="454"/>
      <c r="BA188" s="1306"/>
      <c r="BC188" s="169"/>
    </row>
    <row r="189" spans="19:55">
      <c r="S189" s="454"/>
      <c r="AN189" s="454"/>
      <c r="AY189" s="454"/>
      <c r="AZ189" s="454"/>
      <c r="BA189" s="1306"/>
      <c r="BC189" s="169"/>
    </row>
    <row r="190" spans="19:55">
      <c r="S190" s="454"/>
      <c r="AN190" s="454"/>
      <c r="AY190" s="454"/>
      <c r="AZ190" s="454"/>
      <c r="BA190" s="1306"/>
      <c r="BC190" s="169"/>
    </row>
    <row r="191" spans="19:55">
      <c r="S191" s="454"/>
      <c r="AN191" s="454"/>
      <c r="AY191" s="454"/>
      <c r="AZ191" s="454"/>
      <c r="BA191" s="1306"/>
      <c r="BC191" s="169"/>
    </row>
    <row r="192" spans="19:55">
      <c r="S192" s="454"/>
      <c r="AN192" s="454"/>
      <c r="AY192" s="454"/>
      <c r="AZ192" s="454"/>
      <c r="BA192" s="1306"/>
      <c r="BC192" s="169"/>
    </row>
    <row r="193" spans="19:55">
      <c r="S193" s="454"/>
      <c r="AN193" s="454"/>
      <c r="AY193" s="454"/>
      <c r="AZ193" s="454"/>
      <c r="BA193" s="1306"/>
      <c r="BC193" s="169"/>
    </row>
    <row r="194" spans="19:55">
      <c r="S194" s="454"/>
      <c r="AN194" s="454"/>
      <c r="AY194" s="454"/>
      <c r="AZ194" s="454"/>
      <c r="BA194" s="1306"/>
      <c r="BC194" s="169"/>
    </row>
    <row r="195" spans="19:55">
      <c r="S195" s="454"/>
      <c r="AN195" s="454"/>
      <c r="AY195" s="454"/>
      <c r="AZ195" s="454"/>
      <c r="BA195" s="1306"/>
      <c r="BC195" s="169"/>
    </row>
    <row r="196" spans="19:55">
      <c r="S196" s="454"/>
      <c r="AN196" s="454"/>
      <c r="AY196" s="454"/>
      <c r="AZ196" s="454"/>
      <c r="BA196" s="1306"/>
      <c r="BC196" s="169"/>
    </row>
    <row r="197" spans="19:55">
      <c r="S197" s="454"/>
      <c r="AN197" s="454"/>
      <c r="AY197" s="454"/>
      <c r="AZ197" s="454"/>
      <c r="BA197" s="1306"/>
      <c r="BC197" s="169"/>
    </row>
    <row r="198" spans="19:55">
      <c r="S198" s="454"/>
      <c r="AN198" s="454"/>
      <c r="AY198" s="454"/>
      <c r="AZ198" s="454"/>
      <c r="BA198" s="1306"/>
      <c r="BC198" s="169"/>
    </row>
    <row r="199" spans="19:55">
      <c r="S199" s="454"/>
      <c r="AN199" s="454"/>
      <c r="AY199" s="454"/>
      <c r="AZ199" s="454"/>
      <c r="BA199" s="1306"/>
      <c r="BC199" s="169"/>
    </row>
    <row r="200" spans="19:55">
      <c r="S200" s="454"/>
      <c r="AN200" s="454"/>
      <c r="AY200" s="454"/>
      <c r="AZ200" s="454"/>
      <c r="BA200" s="1306"/>
      <c r="BC200" s="169"/>
    </row>
    <row r="201" spans="19:55">
      <c r="S201" s="454"/>
      <c r="AN201" s="454"/>
      <c r="AY201" s="454"/>
      <c r="AZ201" s="454"/>
      <c r="BA201" s="1306"/>
      <c r="BC201" s="169"/>
    </row>
    <row r="202" spans="19:55">
      <c r="S202" s="454"/>
      <c r="AN202" s="454"/>
      <c r="AY202" s="454"/>
      <c r="AZ202" s="454"/>
      <c r="BA202" s="1306"/>
      <c r="BC202" s="169"/>
    </row>
    <row r="203" spans="19:55">
      <c r="S203" s="454"/>
      <c r="AN203" s="454"/>
      <c r="AY203" s="454"/>
      <c r="AZ203" s="454"/>
      <c r="BA203" s="1306"/>
      <c r="BC203" s="169"/>
    </row>
    <row r="204" spans="19:55">
      <c r="S204" s="454"/>
      <c r="AN204" s="454"/>
      <c r="AY204" s="454"/>
      <c r="AZ204" s="454"/>
      <c r="BA204" s="1306"/>
      <c r="BC204" s="169"/>
    </row>
    <row r="205" spans="19:55">
      <c r="S205" s="454"/>
      <c r="AN205" s="454"/>
      <c r="AY205" s="454"/>
      <c r="AZ205" s="454"/>
      <c r="BA205" s="1306"/>
      <c r="BC205" s="169"/>
    </row>
    <row r="206" spans="19:55">
      <c r="S206" s="454"/>
      <c r="AN206" s="454"/>
      <c r="AY206" s="454"/>
      <c r="AZ206" s="454"/>
      <c r="BA206" s="1306"/>
      <c r="BC206" s="169"/>
    </row>
    <row r="207" spans="19:55">
      <c r="S207" s="454"/>
      <c r="AN207" s="454"/>
      <c r="AY207" s="454"/>
      <c r="AZ207" s="454"/>
      <c r="BA207" s="1306"/>
      <c r="BC207" s="169"/>
    </row>
    <row r="208" spans="19:55">
      <c r="S208" s="454"/>
      <c r="AN208" s="454"/>
      <c r="AY208" s="454"/>
      <c r="AZ208" s="454"/>
      <c r="BA208" s="1306"/>
      <c r="BC208" s="169"/>
    </row>
    <row r="209" spans="19:55">
      <c r="S209" s="454"/>
      <c r="AN209" s="454"/>
      <c r="AY209" s="454"/>
      <c r="AZ209" s="454"/>
      <c r="BA209" s="1306"/>
      <c r="BC209" s="169"/>
    </row>
    <row r="210" spans="19:55">
      <c r="S210" s="454"/>
      <c r="AN210" s="454"/>
      <c r="AY210" s="454"/>
      <c r="AZ210" s="454"/>
      <c r="BA210" s="1306"/>
      <c r="BC210" s="169"/>
    </row>
    <row r="211" spans="19:55">
      <c r="S211" s="454"/>
      <c r="AN211" s="454"/>
      <c r="AY211" s="454"/>
      <c r="AZ211" s="454"/>
      <c r="BA211" s="1306"/>
      <c r="BC211" s="169"/>
    </row>
    <row r="212" spans="19:55">
      <c r="S212" s="454"/>
      <c r="AN212" s="454"/>
      <c r="AY212" s="454"/>
      <c r="AZ212" s="454"/>
      <c r="BA212" s="1306"/>
      <c r="BC212" s="169"/>
    </row>
    <row r="213" spans="19:55">
      <c r="S213" s="454"/>
      <c r="AN213" s="454"/>
      <c r="AY213" s="454"/>
      <c r="AZ213" s="454"/>
      <c r="BA213" s="1306"/>
      <c r="BC213" s="169"/>
    </row>
    <row r="214" spans="19:55">
      <c r="S214" s="454"/>
      <c r="AN214" s="454"/>
      <c r="AY214" s="454"/>
      <c r="AZ214" s="454"/>
      <c r="BA214" s="1306"/>
      <c r="BC214" s="169"/>
    </row>
    <row r="215" spans="19:55">
      <c r="S215" s="454"/>
      <c r="AN215" s="454"/>
      <c r="AY215" s="454"/>
      <c r="AZ215" s="454"/>
      <c r="BA215" s="1306"/>
      <c r="BC215" s="169"/>
    </row>
    <row r="216" spans="19:55">
      <c r="S216" s="454"/>
      <c r="AN216" s="454"/>
      <c r="AY216" s="454"/>
      <c r="AZ216" s="454"/>
      <c r="BA216" s="1306"/>
      <c r="BC216" s="169"/>
    </row>
    <row r="217" spans="19:55">
      <c r="S217" s="454"/>
      <c r="AN217" s="454"/>
      <c r="AY217" s="454"/>
      <c r="AZ217" s="454"/>
      <c r="BA217" s="1306"/>
      <c r="BC217" s="169"/>
    </row>
    <row r="218" spans="19:55">
      <c r="S218" s="454"/>
      <c r="AN218" s="454"/>
      <c r="AY218" s="454"/>
      <c r="AZ218" s="454"/>
      <c r="BA218" s="1306"/>
      <c r="BC218" s="169"/>
    </row>
    <row r="219" spans="19:55">
      <c r="S219" s="454"/>
      <c r="AN219" s="454"/>
      <c r="AY219" s="454"/>
      <c r="AZ219" s="454"/>
      <c r="BA219" s="1306"/>
      <c r="BC219" s="169"/>
    </row>
    <row r="220" spans="19:55">
      <c r="S220" s="454"/>
      <c r="AN220" s="454"/>
      <c r="AY220" s="454"/>
      <c r="AZ220" s="454"/>
      <c r="BA220" s="1306"/>
      <c r="BC220" s="169"/>
    </row>
    <row r="221" spans="19:55">
      <c r="S221" s="454"/>
      <c r="AN221" s="454"/>
      <c r="AY221" s="454"/>
      <c r="AZ221" s="454"/>
      <c r="BA221" s="1306"/>
      <c r="BC221" s="169"/>
    </row>
    <row r="222" spans="19:55">
      <c r="S222" s="454"/>
      <c r="AN222" s="454"/>
      <c r="AY222" s="454"/>
      <c r="AZ222" s="454"/>
      <c r="BA222" s="1306"/>
      <c r="BC222" s="169"/>
    </row>
    <row r="223" spans="19:55">
      <c r="S223" s="454"/>
      <c r="AN223" s="454"/>
      <c r="AY223" s="454"/>
      <c r="AZ223" s="454"/>
      <c r="BA223" s="1306"/>
      <c r="BC223" s="169"/>
    </row>
    <row r="224" spans="19:55">
      <c r="S224" s="454"/>
      <c r="AN224" s="454"/>
      <c r="AY224" s="454"/>
      <c r="AZ224" s="454"/>
      <c r="BA224" s="1306"/>
      <c r="BC224" s="169"/>
    </row>
    <row r="225" spans="19:55">
      <c r="S225" s="454"/>
      <c r="AN225" s="454"/>
      <c r="AY225" s="454"/>
      <c r="AZ225" s="454"/>
      <c r="BA225" s="1306"/>
      <c r="BC225" s="169"/>
    </row>
    <row r="226" spans="19:55">
      <c r="S226" s="454"/>
      <c r="AN226" s="454"/>
      <c r="AY226" s="454"/>
      <c r="AZ226" s="454"/>
      <c r="BA226" s="1306"/>
      <c r="BC226" s="169"/>
    </row>
    <row r="227" spans="19:55">
      <c r="S227" s="454"/>
      <c r="AN227" s="454"/>
      <c r="AY227" s="454"/>
      <c r="AZ227" s="454"/>
      <c r="BA227" s="1306"/>
      <c r="BC227" s="169"/>
    </row>
    <row r="228" spans="19:55">
      <c r="S228" s="454"/>
      <c r="AN228" s="454"/>
      <c r="AY228" s="454"/>
      <c r="AZ228" s="454"/>
      <c r="BA228" s="1306"/>
      <c r="BC228" s="169"/>
    </row>
    <row r="229" spans="19:55">
      <c r="S229" s="454"/>
      <c r="AN229" s="454"/>
      <c r="AY229" s="454"/>
      <c r="AZ229" s="454"/>
      <c r="BA229" s="1306"/>
      <c r="BC229" s="169"/>
    </row>
    <row r="230" spans="19:55">
      <c r="S230" s="454"/>
      <c r="AN230" s="454"/>
      <c r="AY230" s="454"/>
      <c r="AZ230" s="454"/>
      <c r="BA230" s="1306"/>
      <c r="BC230" s="169"/>
    </row>
    <row r="231" spans="19:55">
      <c r="S231" s="454"/>
      <c r="AN231" s="454"/>
      <c r="AY231" s="454"/>
      <c r="AZ231" s="454"/>
      <c r="BA231" s="1306"/>
      <c r="BC231" s="169"/>
    </row>
    <row r="232" spans="19:55">
      <c r="S232" s="454"/>
      <c r="AN232" s="454"/>
      <c r="AY232" s="454"/>
      <c r="AZ232" s="454"/>
      <c r="BA232" s="1306"/>
      <c r="BC232" s="169"/>
    </row>
    <row r="233" spans="19:55">
      <c r="S233" s="454"/>
      <c r="AN233" s="454"/>
      <c r="AY233" s="454"/>
      <c r="AZ233" s="454"/>
      <c r="BA233" s="1306"/>
      <c r="BC233" s="169"/>
    </row>
    <row r="234" spans="19:55">
      <c r="S234" s="454"/>
      <c r="AN234" s="454"/>
      <c r="AY234" s="454"/>
      <c r="AZ234" s="454"/>
      <c r="BA234" s="1306"/>
      <c r="BC234" s="169"/>
    </row>
    <row r="235" spans="19:55">
      <c r="S235" s="454"/>
      <c r="AN235" s="454"/>
      <c r="AY235" s="454"/>
      <c r="AZ235" s="454"/>
      <c r="BA235" s="1306"/>
      <c r="BC235" s="169"/>
    </row>
    <row r="236" spans="19:55">
      <c r="S236" s="454"/>
      <c r="AN236" s="454"/>
      <c r="AY236" s="454"/>
      <c r="AZ236" s="454"/>
      <c r="BA236" s="1306"/>
      <c r="BC236" s="169"/>
    </row>
    <row r="237" spans="19:55">
      <c r="S237" s="454"/>
      <c r="AN237" s="454"/>
      <c r="AY237" s="454"/>
      <c r="AZ237" s="454"/>
      <c r="BA237" s="1306"/>
      <c r="BC237" s="169"/>
    </row>
    <row r="238" spans="19:55">
      <c r="S238" s="454"/>
      <c r="AN238" s="454"/>
      <c r="AY238" s="454"/>
      <c r="AZ238" s="454"/>
      <c r="BA238" s="1306"/>
      <c r="BC238" s="169"/>
    </row>
    <row r="239" spans="19:55">
      <c r="S239" s="454"/>
      <c r="AN239" s="454"/>
      <c r="AY239" s="454"/>
      <c r="AZ239" s="454"/>
      <c r="BA239" s="1306"/>
      <c r="BC239" s="169"/>
    </row>
    <row r="240" spans="19:55">
      <c r="S240" s="454"/>
      <c r="AN240" s="454"/>
      <c r="AY240" s="454"/>
      <c r="AZ240" s="454"/>
      <c r="BA240" s="1306"/>
      <c r="BC240" s="169"/>
    </row>
    <row r="241" spans="19:55">
      <c r="S241" s="454"/>
      <c r="AN241" s="454"/>
      <c r="AY241" s="454"/>
      <c r="AZ241" s="454"/>
      <c r="BA241" s="1306"/>
      <c r="BC241" s="169"/>
    </row>
    <row r="242" spans="19:55">
      <c r="S242" s="454"/>
      <c r="AN242" s="454"/>
      <c r="AY242" s="454"/>
      <c r="AZ242" s="454"/>
      <c r="BA242" s="1306"/>
      <c r="BC242" s="169"/>
    </row>
    <row r="243" spans="19:55">
      <c r="S243" s="454"/>
      <c r="AN243" s="454"/>
      <c r="AY243" s="454"/>
      <c r="AZ243" s="454"/>
      <c r="BA243" s="1306"/>
      <c r="BC243" s="169"/>
    </row>
    <row r="244" spans="19:55">
      <c r="S244" s="454"/>
      <c r="AN244" s="454"/>
      <c r="AY244" s="454"/>
      <c r="AZ244" s="454"/>
      <c r="BA244" s="1306"/>
      <c r="BC244" s="169"/>
    </row>
    <row r="245" spans="19:55">
      <c r="S245" s="454"/>
      <c r="AN245" s="454"/>
      <c r="AY245" s="454"/>
      <c r="AZ245" s="454"/>
      <c r="BA245" s="1306"/>
      <c r="BC245" s="169"/>
    </row>
    <row r="246" spans="19:55">
      <c r="S246" s="454"/>
      <c r="AN246" s="454"/>
      <c r="AY246" s="454"/>
      <c r="AZ246" s="454"/>
      <c r="BA246" s="1306"/>
      <c r="BC246" s="169"/>
    </row>
    <row r="247" spans="19:55">
      <c r="S247" s="454"/>
      <c r="AN247" s="454"/>
      <c r="AY247" s="454"/>
      <c r="AZ247" s="454"/>
      <c r="BA247" s="1306"/>
      <c r="BC247" s="169"/>
    </row>
    <row r="248" spans="19:55">
      <c r="S248" s="454"/>
      <c r="AN248" s="454"/>
      <c r="AY248" s="454"/>
      <c r="AZ248" s="454"/>
      <c r="BA248" s="1306"/>
      <c r="BC248" s="169"/>
    </row>
    <row r="249" spans="19:55">
      <c r="S249" s="454"/>
      <c r="AN249" s="454"/>
      <c r="AY249" s="454"/>
      <c r="AZ249" s="454"/>
      <c r="BA249" s="1306"/>
      <c r="BC249" s="169"/>
    </row>
    <row r="250" spans="19:55">
      <c r="S250" s="454"/>
      <c r="AN250" s="454"/>
      <c r="AY250" s="454"/>
      <c r="AZ250" s="454"/>
      <c r="BA250" s="1306"/>
      <c r="BC250" s="169"/>
    </row>
    <row r="251" spans="19:55">
      <c r="S251" s="454"/>
      <c r="AN251" s="454"/>
      <c r="AY251" s="454"/>
      <c r="AZ251" s="454"/>
      <c r="BA251" s="1306"/>
      <c r="BC251" s="169"/>
    </row>
    <row r="252" spans="19:55">
      <c r="S252" s="454"/>
      <c r="AN252" s="454"/>
      <c r="AY252" s="454"/>
      <c r="AZ252" s="454"/>
      <c r="BA252" s="1306"/>
      <c r="BC252" s="169"/>
    </row>
    <row r="253" spans="19:55">
      <c r="S253" s="454"/>
      <c r="AN253" s="454"/>
      <c r="AY253" s="454"/>
      <c r="AZ253" s="454"/>
      <c r="BA253" s="1306"/>
      <c r="BC253" s="169"/>
    </row>
    <row r="254" spans="19:55">
      <c r="S254" s="454"/>
      <c r="AN254" s="454"/>
      <c r="AY254" s="454"/>
      <c r="AZ254" s="454"/>
      <c r="BA254" s="1306"/>
      <c r="BC254" s="169"/>
    </row>
    <row r="255" spans="19:55">
      <c r="S255" s="454"/>
      <c r="AN255" s="454"/>
      <c r="AY255" s="454"/>
      <c r="AZ255" s="454"/>
      <c r="BA255" s="1306"/>
      <c r="BC255" s="169"/>
    </row>
    <row r="256" spans="19:55">
      <c r="S256" s="454"/>
      <c r="AN256" s="454"/>
      <c r="AY256" s="454"/>
      <c r="AZ256" s="454"/>
      <c r="BA256" s="1306"/>
      <c r="BC256" s="169"/>
    </row>
    <row r="257" spans="19:55">
      <c r="S257" s="454"/>
      <c r="AN257" s="454"/>
      <c r="AY257" s="454"/>
      <c r="AZ257" s="454"/>
      <c r="BA257" s="1306"/>
      <c r="BC257" s="169"/>
    </row>
    <row r="258" spans="19:55">
      <c r="S258" s="454"/>
      <c r="AN258" s="454"/>
      <c r="AY258" s="454"/>
      <c r="AZ258" s="454"/>
      <c r="BA258" s="1306"/>
      <c r="BC258" s="169"/>
    </row>
    <row r="259" spans="19:55">
      <c r="S259" s="454"/>
      <c r="AN259" s="454"/>
      <c r="AY259" s="454"/>
      <c r="AZ259" s="454"/>
      <c r="BA259" s="1306"/>
      <c r="BC259" s="169"/>
    </row>
    <row r="260" spans="19:55">
      <c r="S260" s="454"/>
      <c r="AN260" s="454"/>
      <c r="AY260" s="454"/>
      <c r="AZ260" s="454"/>
      <c r="BA260" s="1306"/>
      <c r="BC260" s="169"/>
    </row>
    <row r="261" spans="19:55">
      <c r="S261" s="454"/>
      <c r="AN261" s="454"/>
      <c r="AY261" s="454"/>
      <c r="AZ261" s="454"/>
      <c r="BA261" s="1306"/>
      <c r="BC261" s="169"/>
    </row>
    <row r="262" spans="19:55">
      <c r="S262" s="454"/>
      <c r="AN262" s="454"/>
      <c r="AY262" s="454"/>
      <c r="AZ262" s="454"/>
      <c r="BA262" s="1306"/>
      <c r="BC262" s="169"/>
    </row>
    <row r="263" spans="19:55">
      <c r="S263" s="454"/>
      <c r="AN263" s="454"/>
      <c r="AY263" s="454"/>
      <c r="AZ263" s="454"/>
      <c r="BA263" s="1306"/>
      <c r="BC263" s="169"/>
    </row>
    <row r="264" spans="19:55">
      <c r="S264" s="454"/>
      <c r="AN264" s="454"/>
      <c r="AY264" s="454"/>
      <c r="AZ264" s="454"/>
      <c r="BA264" s="1306"/>
      <c r="BC264" s="169"/>
    </row>
    <row r="265" spans="19:55">
      <c r="S265" s="454"/>
      <c r="AN265" s="454"/>
      <c r="AY265" s="454"/>
      <c r="AZ265" s="454"/>
      <c r="BA265" s="1306"/>
      <c r="BC265" s="169"/>
    </row>
    <row r="266" spans="19:55">
      <c r="S266" s="454"/>
      <c r="AN266" s="454"/>
      <c r="AY266" s="454"/>
      <c r="AZ266" s="454"/>
      <c r="BA266" s="1306"/>
      <c r="BC266" s="169"/>
    </row>
    <row r="267" spans="19:55">
      <c r="S267" s="454"/>
      <c r="AN267" s="454"/>
      <c r="AY267" s="454"/>
      <c r="AZ267" s="454"/>
      <c r="BA267" s="1306"/>
      <c r="BC267" s="169"/>
    </row>
    <row r="268" spans="19:55">
      <c r="S268" s="454"/>
      <c r="AN268" s="454"/>
      <c r="AY268" s="454"/>
      <c r="AZ268" s="454"/>
      <c r="BA268" s="1306"/>
      <c r="BC268" s="169"/>
    </row>
    <row r="269" spans="19:55">
      <c r="S269" s="454"/>
      <c r="AN269" s="454"/>
      <c r="AY269" s="454"/>
      <c r="AZ269" s="454"/>
      <c r="BA269" s="1306"/>
      <c r="BC269" s="169"/>
    </row>
    <row r="270" spans="19:55">
      <c r="S270" s="454"/>
      <c r="AN270" s="454"/>
      <c r="AY270" s="454"/>
      <c r="AZ270" s="454"/>
      <c r="BA270" s="1306"/>
      <c r="BC270" s="169"/>
    </row>
    <row r="271" spans="19:55">
      <c r="S271" s="454"/>
      <c r="AN271" s="454"/>
      <c r="AY271" s="454"/>
      <c r="AZ271" s="454"/>
      <c r="BA271" s="1306"/>
      <c r="BC271" s="169"/>
    </row>
    <row r="272" spans="19:55">
      <c r="S272" s="454"/>
      <c r="AN272" s="454"/>
      <c r="AY272" s="454"/>
      <c r="AZ272" s="454"/>
      <c r="BA272" s="1306"/>
      <c r="BC272" s="169"/>
    </row>
    <row r="273" spans="19:55">
      <c r="S273" s="454"/>
      <c r="AN273" s="454"/>
      <c r="AY273" s="454"/>
      <c r="AZ273" s="454"/>
      <c r="BA273" s="1306"/>
      <c r="BC273" s="169"/>
    </row>
    <row r="274" spans="19:55">
      <c r="S274" s="454"/>
      <c r="AN274" s="454"/>
      <c r="AY274" s="454"/>
      <c r="AZ274" s="454"/>
      <c r="BA274" s="1306"/>
      <c r="BC274" s="169"/>
    </row>
    <row r="275" spans="19:55">
      <c r="S275" s="454"/>
      <c r="AN275" s="454"/>
      <c r="AY275" s="454"/>
      <c r="AZ275" s="454"/>
      <c r="BA275" s="1306"/>
      <c r="BC275" s="169"/>
    </row>
    <row r="276" spans="19:55">
      <c r="S276" s="454"/>
      <c r="AN276" s="454"/>
      <c r="AY276" s="454"/>
      <c r="AZ276" s="454"/>
      <c r="BA276" s="1306"/>
      <c r="BC276" s="169"/>
    </row>
    <row r="277" spans="19:55">
      <c r="S277" s="454"/>
      <c r="AN277" s="454"/>
      <c r="AY277" s="454"/>
      <c r="AZ277" s="454"/>
      <c r="BA277" s="1306"/>
      <c r="BC277" s="169"/>
    </row>
    <row r="278" spans="19:55">
      <c r="S278" s="454"/>
      <c r="AN278" s="454"/>
      <c r="AY278" s="454"/>
      <c r="AZ278" s="454"/>
      <c r="BA278" s="1306"/>
      <c r="BC278" s="169"/>
    </row>
    <row r="279" spans="19:55">
      <c r="S279" s="454"/>
      <c r="AN279" s="454"/>
      <c r="AY279" s="454"/>
      <c r="AZ279" s="454"/>
      <c r="BA279" s="1306"/>
      <c r="BC279" s="169"/>
    </row>
    <row r="280" spans="19:55">
      <c r="S280" s="454"/>
      <c r="AN280" s="454"/>
      <c r="AY280" s="454"/>
      <c r="AZ280" s="454"/>
      <c r="BA280" s="1306"/>
      <c r="BC280" s="169"/>
    </row>
    <row r="281" spans="19:55">
      <c r="S281" s="454"/>
      <c r="AN281" s="454"/>
      <c r="AY281" s="454"/>
      <c r="AZ281" s="454"/>
      <c r="BA281" s="1306"/>
      <c r="BC281" s="169"/>
    </row>
    <row r="282" spans="19:55">
      <c r="S282" s="454"/>
      <c r="AN282" s="454"/>
      <c r="AY282" s="454"/>
      <c r="AZ282" s="454"/>
      <c r="BA282" s="1306"/>
      <c r="BC282" s="169"/>
    </row>
    <row r="283" spans="19:55">
      <c r="S283" s="454"/>
      <c r="AN283" s="454"/>
      <c r="AY283" s="454"/>
      <c r="AZ283" s="454"/>
      <c r="BA283" s="1306"/>
      <c r="BC283" s="169"/>
    </row>
    <row r="284" spans="19:55">
      <c r="S284" s="454"/>
      <c r="AN284" s="454"/>
      <c r="AY284" s="454"/>
      <c r="AZ284" s="454"/>
      <c r="BA284" s="1306"/>
      <c r="BC284" s="169"/>
    </row>
    <row r="285" spans="19:55">
      <c r="S285" s="454"/>
      <c r="AN285" s="454"/>
      <c r="AY285" s="454"/>
      <c r="AZ285" s="454"/>
      <c r="BA285" s="1306"/>
      <c r="BC285" s="169"/>
    </row>
    <row r="286" spans="19:55">
      <c r="S286" s="454"/>
      <c r="AN286" s="454"/>
      <c r="AY286" s="454"/>
      <c r="AZ286" s="454"/>
      <c r="BA286" s="1306"/>
      <c r="BC286" s="169"/>
    </row>
    <row r="287" spans="19:55">
      <c r="S287" s="454"/>
      <c r="AN287" s="454"/>
      <c r="AY287" s="454"/>
      <c r="AZ287" s="454"/>
      <c r="BA287" s="1306"/>
      <c r="BC287" s="169"/>
    </row>
    <row r="288" spans="19:55">
      <c r="S288" s="454"/>
      <c r="AN288" s="454"/>
      <c r="AY288" s="454"/>
      <c r="AZ288" s="454"/>
      <c r="BA288" s="1306"/>
      <c r="BC288" s="169"/>
    </row>
    <row r="289" spans="19:55">
      <c r="S289" s="454"/>
      <c r="AN289" s="454"/>
      <c r="AY289" s="454"/>
      <c r="AZ289" s="454"/>
      <c r="BA289" s="1306"/>
      <c r="BC289" s="169"/>
    </row>
    <row r="290" spans="19:55">
      <c r="S290" s="454"/>
      <c r="AN290" s="454"/>
      <c r="AY290" s="454"/>
      <c r="AZ290" s="454"/>
      <c r="BA290" s="1306"/>
      <c r="BC290" s="169"/>
    </row>
    <row r="291" spans="19:55">
      <c r="S291" s="454"/>
      <c r="AN291" s="454"/>
      <c r="AY291" s="454"/>
      <c r="AZ291" s="454"/>
      <c r="BA291" s="1306"/>
      <c r="BC291" s="169"/>
    </row>
    <row r="292" spans="19:55">
      <c r="S292" s="454"/>
      <c r="AN292" s="454"/>
      <c r="AY292" s="454"/>
      <c r="AZ292" s="454"/>
      <c r="BA292" s="1306"/>
      <c r="BC292" s="169"/>
    </row>
    <row r="293" spans="19:55">
      <c r="S293" s="454"/>
      <c r="AN293" s="454"/>
      <c r="AY293" s="454"/>
      <c r="AZ293" s="454"/>
      <c r="BA293" s="1306"/>
      <c r="BC293" s="169"/>
    </row>
    <row r="294" spans="19:55">
      <c r="S294" s="454"/>
      <c r="AN294" s="454"/>
      <c r="AY294" s="454"/>
      <c r="AZ294" s="454"/>
      <c r="BA294" s="1306"/>
      <c r="BC294" s="169"/>
    </row>
    <row r="295" spans="19:55">
      <c r="S295" s="454"/>
      <c r="AN295" s="454"/>
      <c r="AY295" s="454"/>
      <c r="AZ295" s="454"/>
      <c r="BA295" s="1306"/>
      <c r="BC295" s="169"/>
    </row>
    <row r="296" spans="19:55">
      <c r="S296" s="454"/>
      <c r="AN296" s="454"/>
      <c r="AY296" s="454"/>
      <c r="AZ296" s="454"/>
      <c r="BA296" s="1306"/>
      <c r="BC296" s="169"/>
    </row>
    <row r="297" spans="19:55">
      <c r="S297" s="454"/>
      <c r="AN297" s="454"/>
      <c r="AY297" s="454"/>
      <c r="AZ297" s="454"/>
      <c r="BA297" s="1306"/>
      <c r="BC297" s="169"/>
    </row>
    <row r="298" spans="19:55">
      <c r="S298" s="454"/>
      <c r="AN298" s="454"/>
      <c r="AY298" s="454"/>
      <c r="AZ298" s="454"/>
      <c r="BA298" s="1306"/>
      <c r="BC298" s="169"/>
    </row>
    <row r="299" spans="19:55">
      <c r="S299" s="454"/>
      <c r="AN299" s="454"/>
      <c r="AY299" s="454"/>
      <c r="AZ299" s="454"/>
      <c r="BA299" s="1306"/>
      <c r="BC299" s="169"/>
    </row>
    <row r="300" spans="19:55">
      <c r="S300" s="454"/>
      <c r="AN300" s="454"/>
      <c r="AY300" s="454"/>
      <c r="AZ300" s="454"/>
      <c r="BA300" s="1306"/>
      <c r="BC300" s="169"/>
    </row>
    <row r="301" spans="19:55">
      <c r="S301" s="454"/>
      <c r="AN301" s="454"/>
      <c r="AY301" s="454"/>
      <c r="AZ301" s="454"/>
      <c r="BA301" s="1306"/>
      <c r="BC301" s="169"/>
    </row>
    <row r="302" spans="19:55">
      <c r="S302" s="454"/>
      <c r="AN302" s="454"/>
      <c r="AY302" s="454"/>
      <c r="AZ302" s="454"/>
      <c r="BA302" s="1306"/>
      <c r="BC302" s="169"/>
    </row>
    <row r="303" spans="19:55">
      <c r="S303" s="454"/>
      <c r="AN303" s="454"/>
      <c r="AY303" s="454"/>
      <c r="AZ303" s="454"/>
      <c r="BA303" s="1306"/>
      <c r="BC303" s="169"/>
    </row>
    <row r="304" spans="19:55">
      <c r="S304" s="454"/>
      <c r="AN304" s="454"/>
      <c r="AY304" s="454"/>
      <c r="AZ304" s="454"/>
      <c r="BA304" s="1306"/>
      <c r="BC304" s="169"/>
    </row>
    <row r="305" spans="19:55">
      <c r="S305" s="454"/>
      <c r="AN305" s="454"/>
      <c r="AY305" s="454"/>
      <c r="AZ305" s="454"/>
      <c r="BA305" s="1306"/>
      <c r="BC305" s="169"/>
    </row>
    <row r="306" spans="19:55">
      <c r="S306" s="454"/>
      <c r="AN306" s="454"/>
      <c r="AY306" s="454"/>
      <c r="AZ306" s="454"/>
      <c r="BA306" s="1306"/>
      <c r="BC306" s="169"/>
    </row>
    <row r="307" spans="19:55">
      <c r="S307" s="454"/>
      <c r="AN307" s="454"/>
      <c r="AY307" s="454"/>
      <c r="AZ307" s="454"/>
      <c r="BA307" s="1306"/>
      <c r="BC307" s="169"/>
    </row>
    <row r="308" spans="19:55">
      <c r="S308" s="454"/>
      <c r="AN308" s="454"/>
      <c r="AY308" s="454"/>
      <c r="AZ308" s="454"/>
      <c r="BA308" s="1306"/>
      <c r="BC308" s="169"/>
    </row>
    <row r="309" spans="19:55">
      <c r="S309" s="454"/>
      <c r="AN309" s="454"/>
      <c r="AY309" s="454"/>
      <c r="AZ309" s="454"/>
      <c r="BA309" s="1306"/>
      <c r="BC309" s="169"/>
    </row>
    <row r="310" spans="19:55">
      <c r="S310" s="454"/>
      <c r="AN310" s="454"/>
      <c r="AY310" s="454"/>
      <c r="AZ310" s="454"/>
      <c r="BA310" s="1306"/>
      <c r="BC310" s="169"/>
    </row>
    <row r="311" spans="19:55">
      <c r="S311" s="454"/>
      <c r="AN311" s="454"/>
      <c r="AY311" s="454"/>
      <c r="AZ311" s="454"/>
      <c r="BA311" s="1306"/>
      <c r="BC311" s="169"/>
    </row>
    <row r="312" spans="19:55">
      <c r="S312" s="454"/>
      <c r="AN312" s="454"/>
      <c r="AY312" s="454"/>
      <c r="AZ312" s="454"/>
      <c r="BA312" s="1306"/>
      <c r="BC312" s="169"/>
    </row>
    <row r="313" spans="19:55">
      <c r="S313" s="454"/>
      <c r="AN313" s="454"/>
      <c r="AY313" s="454"/>
      <c r="AZ313" s="454"/>
      <c r="BA313" s="1306"/>
      <c r="BC313" s="169"/>
    </row>
    <row r="314" spans="19:55">
      <c r="S314" s="454"/>
      <c r="AN314" s="454"/>
      <c r="AY314" s="454"/>
      <c r="AZ314" s="454"/>
      <c r="BA314" s="1306"/>
      <c r="BC314" s="169"/>
    </row>
    <row r="315" spans="19:55">
      <c r="S315" s="454"/>
      <c r="AN315" s="454"/>
      <c r="AY315" s="454"/>
      <c r="AZ315" s="454"/>
      <c r="BA315" s="1306"/>
      <c r="BC315" s="169"/>
    </row>
    <row r="316" spans="19:55">
      <c r="S316" s="454"/>
      <c r="AN316" s="454"/>
      <c r="AY316" s="454"/>
      <c r="AZ316" s="454"/>
      <c r="BA316" s="1306"/>
      <c r="BC316" s="169"/>
    </row>
    <row r="317" spans="19:55">
      <c r="S317" s="454"/>
      <c r="AN317" s="454"/>
      <c r="AY317" s="454"/>
      <c r="AZ317" s="454"/>
      <c r="BA317" s="1306"/>
      <c r="BC317" s="169"/>
    </row>
    <row r="318" spans="19:55">
      <c r="S318" s="454"/>
      <c r="AN318" s="454"/>
      <c r="AY318" s="454"/>
      <c r="AZ318" s="454"/>
      <c r="BA318" s="1306"/>
      <c r="BC318" s="169"/>
    </row>
    <row r="319" spans="19:55">
      <c r="S319" s="454"/>
      <c r="AN319" s="454"/>
      <c r="AY319" s="454"/>
      <c r="AZ319" s="454"/>
      <c r="BA319" s="1306"/>
      <c r="BC319" s="169"/>
    </row>
    <row r="320" spans="19:55">
      <c r="S320" s="454"/>
      <c r="AN320" s="454"/>
      <c r="AY320" s="454"/>
      <c r="AZ320" s="454"/>
      <c r="BA320" s="1306"/>
      <c r="BC320" s="169"/>
    </row>
    <row r="321" spans="19:55">
      <c r="S321" s="454"/>
      <c r="AN321" s="454"/>
      <c r="AY321" s="454"/>
      <c r="AZ321" s="454"/>
      <c r="BA321" s="1306"/>
      <c r="BC321" s="169"/>
    </row>
    <row r="322" spans="19:55">
      <c r="S322" s="454"/>
      <c r="AN322" s="454"/>
      <c r="AY322" s="454"/>
      <c r="AZ322" s="454"/>
      <c r="BA322" s="1306"/>
      <c r="BC322" s="169"/>
    </row>
    <row r="323" spans="19:55">
      <c r="S323" s="454"/>
      <c r="AN323" s="454"/>
      <c r="AY323" s="454"/>
      <c r="AZ323" s="454"/>
      <c r="BA323" s="1306"/>
      <c r="BC323" s="169"/>
    </row>
    <row r="324" spans="19:55">
      <c r="S324" s="454"/>
      <c r="AN324" s="454"/>
      <c r="AY324" s="454"/>
      <c r="AZ324" s="454"/>
      <c r="BA324" s="1306"/>
      <c r="BC324" s="169"/>
    </row>
    <row r="325" spans="19:55">
      <c r="S325" s="454"/>
      <c r="AN325" s="454"/>
      <c r="AY325" s="454"/>
      <c r="AZ325" s="454"/>
      <c r="BA325" s="1306"/>
      <c r="BC325" s="169"/>
    </row>
    <row r="326" spans="19:55">
      <c r="S326" s="454"/>
      <c r="AN326" s="454"/>
      <c r="AY326" s="454"/>
      <c r="AZ326" s="454"/>
      <c r="BA326" s="1306"/>
      <c r="BC326" s="169"/>
    </row>
    <row r="327" spans="19:55">
      <c r="S327" s="454"/>
      <c r="AN327" s="454"/>
      <c r="AY327" s="454"/>
      <c r="AZ327" s="454"/>
      <c r="BA327" s="1306"/>
      <c r="BC327" s="169"/>
    </row>
    <row r="328" spans="19:55">
      <c r="S328" s="454"/>
      <c r="AN328" s="454"/>
      <c r="AY328" s="454"/>
      <c r="AZ328" s="454"/>
      <c r="BA328" s="1306"/>
      <c r="BC328" s="169"/>
    </row>
    <row r="329" spans="19:55">
      <c r="S329" s="454"/>
      <c r="AN329" s="454"/>
      <c r="AY329" s="454"/>
      <c r="AZ329" s="454"/>
      <c r="BA329" s="1306"/>
      <c r="BC329" s="169"/>
    </row>
    <row r="330" spans="19:55">
      <c r="S330" s="454"/>
      <c r="AN330" s="454"/>
      <c r="AY330" s="454"/>
      <c r="AZ330" s="454"/>
      <c r="BA330" s="1306"/>
      <c r="BC330" s="169"/>
    </row>
    <row r="331" spans="19:55">
      <c r="S331" s="454"/>
      <c r="AN331" s="454"/>
      <c r="AY331" s="454"/>
      <c r="AZ331" s="454"/>
      <c r="BA331" s="1306"/>
      <c r="BC331" s="169"/>
    </row>
    <row r="332" spans="19:55">
      <c r="S332" s="454"/>
      <c r="AN332" s="454"/>
      <c r="AY332" s="454"/>
      <c r="AZ332" s="454"/>
      <c r="BA332" s="1306"/>
      <c r="BC332" s="169"/>
    </row>
    <row r="333" spans="19:55">
      <c r="S333" s="454"/>
      <c r="AN333" s="454"/>
      <c r="AY333" s="454"/>
      <c r="AZ333" s="454"/>
      <c r="BA333" s="1306"/>
      <c r="BC333" s="169"/>
    </row>
    <row r="334" spans="19:55">
      <c r="S334" s="454"/>
      <c r="AN334" s="454"/>
      <c r="AY334" s="454"/>
      <c r="AZ334" s="454"/>
      <c r="BA334" s="1306"/>
      <c r="BC334" s="169"/>
    </row>
    <row r="335" spans="19:55">
      <c r="S335" s="454"/>
      <c r="AN335" s="454"/>
      <c r="AY335" s="454"/>
      <c r="AZ335" s="454"/>
      <c r="BA335" s="1306"/>
      <c r="BC335" s="169"/>
    </row>
    <row r="336" spans="19:55">
      <c r="S336" s="454"/>
      <c r="AN336" s="454"/>
      <c r="AY336" s="454"/>
      <c r="AZ336" s="454"/>
      <c r="BA336" s="1306"/>
      <c r="BC336" s="169"/>
    </row>
    <row r="337" spans="19:55">
      <c r="S337" s="454"/>
      <c r="AN337" s="454"/>
      <c r="AY337" s="454"/>
      <c r="AZ337" s="454"/>
      <c r="BA337" s="1306"/>
      <c r="BC337" s="169"/>
    </row>
    <row r="338" spans="19:55">
      <c r="S338" s="454"/>
      <c r="AN338" s="454"/>
      <c r="AY338" s="454"/>
      <c r="AZ338" s="454"/>
      <c r="BA338" s="1306"/>
      <c r="BC338" s="169"/>
    </row>
    <row r="339" spans="19:55">
      <c r="S339" s="454"/>
      <c r="AN339" s="454"/>
      <c r="AY339" s="454"/>
      <c r="AZ339" s="454"/>
      <c r="BA339" s="1306"/>
      <c r="BC339" s="169"/>
    </row>
    <row r="340" spans="19:55">
      <c r="S340" s="454"/>
      <c r="AN340" s="454"/>
      <c r="AY340" s="454"/>
      <c r="AZ340" s="454"/>
      <c r="BA340" s="1306"/>
      <c r="BC340" s="169"/>
    </row>
    <row r="341" spans="19:55">
      <c r="S341" s="454"/>
      <c r="AN341" s="454"/>
      <c r="AY341" s="454"/>
      <c r="AZ341" s="454"/>
      <c r="BA341" s="1306"/>
      <c r="BC341" s="169"/>
    </row>
    <row r="342" spans="19:55">
      <c r="S342" s="454"/>
      <c r="AN342" s="454"/>
      <c r="AY342" s="454"/>
      <c r="AZ342" s="454"/>
      <c r="BA342" s="1306"/>
      <c r="BC342" s="169"/>
    </row>
    <row r="343" spans="19:55">
      <c r="S343" s="454"/>
      <c r="AN343" s="454"/>
      <c r="AY343" s="454"/>
      <c r="AZ343" s="454"/>
      <c r="BA343" s="1306"/>
      <c r="BC343" s="169"/>
    </row>
    <row r="344" spans="19:55">
      <c r="S344" s="454"/>
      <c r="AN344" s="454"/>
      <c r="AY344" s="454"/>
      <c r="AZ344" s="454"/>
      <c r="BA344" s="1306"/>
      <c r="BC344" s="169"/>
    </row>
    <row r="345" spans="19:55">
      <c r="S345" s="454"/>
      <c r="AN345" s="454"/>
      <c r="AY345" s="454"/>
      <c r="AZ345" s="454"/>
      <c r="BA345" s="1306"/>
      <c r="BC345" s="169"/>
    </row>
    <row r="346" spans="19:55">
      <c r="S346" s="454"/>
      <c r="AN346" s="454"/>
      <c r="AY346" s="454"/>
      <c r="AZ346" s="454"/>
      <c r="BA346" s="1306"/>
      <c r="BC346" s="169"/>
    </row>
    <row r="347" spans="19:55">
      <c r="S347" s="454"/>
      <c r="AN347" s="454"/>
      <c r="AY347" s="454"/>
      <c r="AZ347" s="454"/>
      <c r="BA347" s="1306"/>
      <c r="BC347" s="169"/>
    </row>
    <row r="348" spans="19:55">
      <c r="S348" s="454"/>
      <c r="AN348" s="454"/>
      <c r="AY348" s="454"/>
      <c r="AZ348" s="454"/>
      <c r="BA348" s="1306"/>
      <c r="BC348" s="169"/>
    </row>
    <row r="349" spans="19:55">
      <c r="S349" s="454"/>
      <c r="AN349" s="454"/>
      <c r="AY349" s="454"/>
      <c r="AZ349" s="454"/>
      <c r="BA349" s="1306"/>
      <c r="BC349" s="169"/>
    </row>
    <row r="350" spans="19:55">
      <c r="S350" s="454"/>
      <c r="AN350" s="454"/>
      <c r="AY350" s="454"/>
      <c r="AZ350" s="454"/>
      <c r="BA350" s="1306"/>
      <c r="BC350" s="169"/>
    </row>
    <row r="351" spans="19:55">
      <c r="S351" s="454"/>
      <c r="AN351" s="454"/>
      <c r="AY351" s="454"/>
      <c r="AZ351" s="454"/>
      <c r="BA351" s="1306"/>
      <c r="BC351" s="169"/>
    </row>
    <row r="352" spans="19:55">
      <c r="S352" s="454"/>
      <c r="AN352" s="454"/>
      <c r="AY352" s="454"/>
      <c r="AZ352" s="454"/>
      <c r="BA352" s="1306"/>
      <c r="BC352" s="169"/>
    </row>
    <row r="353" spans="19:55">
      <c r="S353" s="454"/>
      <c r="AN353" s="454"/>
      <c r="AY353" s="454"/>
      <c r="AZ353" s="454"/>
      <c r="BA353" s="1306"/>
      <c r="BC353" s="169"/>
    </row>
    <row r="354" spans="19:55">
      <c r="S354" s="454"/>
      <c r="AN354" s="454"/>
      <c r="AY354" s="454"/>
      <c r="AZ354" s="454"/>
      <c r="BA354" s="1306"/>
      <c r="BC354" s="169"/>
    </row>
    <row r="355" spans="19:55">
      <c r="S355" s="454"/>
      <c r="AN355" s="454"/>
      <c r="AY355" s="454"/>
      <c r="AZ355" s="454"/>
      <c r="BA355" s="1306"/>
      <c r="BC355" s="169"/>
    </row>
    <row r="356" spans="19:55">
      <c r="S356" s="454"/>
      <c r="AN356" s="454"/>
      <c r="AY356" s="454"/>
      <c r="AZ356" s="454"/>
      <c r="BA356" s="1306"/>
      <c r="BC356" s="169"/>
    </row>
    <row r="357" spans="19:55">
      <c r="S357" s="454"/>
      <c r="AN357" s="454"/>
      <c r="AY357" s="454"/>
      <c r="AZ357" s="454"/>
      <c r="BA357" s="1306"/>
      <c r="BC357" s="169"/>
    </row>
    <row r="358" spans="19:55">
      <c r="S358" s="454"/>
      <c r="AN358" s="454"/>
      <c r="AY358" s="454"/>
      <c r="AZ358" s="454"/>
      <c r="BA358" s="1306"/>
      <c r="BC358" s="169"/>
    </row>
    <row r="359" spans="19:55">
      <c r="S359" s="454"/>
      <c r="AN359" s="454"/>
      <c r="AY359" s="454"/>
      <c r="AZ359" s="454"/>
      <c r="BA359" s="1306"/>
      <c r="BC359" s="169"/>
    </row>
    <row r="360" spans="19:55">
      <c r="S360" s="454"/>
      <c r="AN360" s="454"/>
      <c r="AY360" s="454"/>
      <c r="AZ360" s="454"/>
      <c r="BA360" s="1306"/>
      <c r="BC360" s="169"/>
    </row>
    <row r="361" spans="19:55">
      <c r="S361" s="454"/>
      <c r="AN361" s="454"/>
      <c r="AY361" s="454"/>
      <c r="AZ361" s="454"/>
      <c r="BA361" s="1306"/>
      <c r="BC361" s="169"/>
    </row>
    <row r="362" spans="19:55">
      <c r="S362" s="454"/>
      <c r="AN362" s="454"/>
      <c r="AY362" s="454"/>
      <c r="AZ362" s="454"/>
      <c r="BA362" s="1306"/>
      <c r="BC362" s="169"/>
    </row>
    <row r="363" spans="19:55">
      <c r="S363" s="454"/>
      <c r="AN363" s="454"/>
      <c r="AY363" s="454"/>
      <c r="AZ363" s="454"/>
      <c r="BA363" s="1306"/>
      <c r="BC363" s="169"/>
    </row>
    <row r="364" spans="19:55">
      <c r="S364" s="454"/>
      <c r="AN364" s="454"/>
      <c r="AY364" s="454"/>
      <c r="AZ364" s="454"/>
      <c r="BA364" s="1306"/>
      <c r="BC364" s="169"/>
    </row>
    <row r="365" spans="19:55">
      <c r="S365" s="454"/>
      <c r="AN365" s="454"/>
      <c r="AY365" s="454"/>
      <c r="AZ365" s="454"/>
      <c r="BA365" s="1306"/>
      <c r="BC365" s="169"/>
    </row>
    <row r="366" spans="19:55">
      <c r="S366" s="454"/>
      <c r="AN366" s="454"/>
      <c r="AY366" s="454"/>
      <c r="AZ366" s="454"/>
      <c r="BA366" s="1306"/>
      <c r="BC366" s="169"/>
    </row>
    <row r="367" spans="19:55">
      <c r="S367" s="454"/>
      <c r="AN367" s="454"/>
      <c r="AY367" s="454"/>
      <c r="AZ367" s="454"/>
      <c r="BA367" s="1306"/>
      <c r="BC367" s="169"/>
    </row>
    <row r="368" spans="19:55">
      <c r="S368" s="454"/>
      <c r="AN368" s="454"/>
      <c r="AY368" s="454"/>
      <c r="AZ368" s="454"/>
      <c r="BA368" s="1306"/>
      <c r="BC368" s="169"/>
    </row>
    <row r="369" spans="19:55">
      <c r="S369" s="454"/>
      <c r="AN369" s="454"/>
      <c r="AY369" s="454"/>
      <c r="AZ369" s="454"/>
      <c r="BA369" s="1306"/>
      <c r="BC369" s="169"/>
    </row>
    <row r="370" spans="19:55">
      <c r="S370" s="454"/>
      <c r="AN370" s="454"/>
      <c r="AY370" s="454"/>
      <c r="AZ370" s="454"/>
      <c r="BA370" s="1306"/>
      <c r="BC370" s="169"/>
    </row>
    <row r="371" spans="19:55">
      <c r="S371" s="454"/>
      <c r="AN371" s="454"/>
      <c r="AY371" s="454"/>
      <c r="AZ371" s="454"/>
      <c r="BA371" s="1306"/>
      <c r="BC371" s="169"/>
    </row>
    <row r="372" spans="19:55">
      <c r="S372" s="454"/>
      <c r="AN372" s="454"/>
      <c r="AY372" s="454"/>
      <c r="AZ372" s="454"/>
      <c r="BA372" s="1306"/>
      <c r="BC372" s="169"/>
    </row>
    <row r="373" spans="19:55">
      <c r="S373" s="454"/>
      <c r="AN373" s="454"/>
      <c r="AY373" s="454"/>
      <c r="AZ373" s="454"/>
      <c r="BA373" s="1306"/>
      <c r="BC373" s="169"/>
    </row>
    <row r="374" spans="19:55">
      <c r="S374" s="454"/>
      <c r="AN374" s="454"/>
      <c r="AY374" s="454"/>
      <c r="AZ374" s="454"/>
      <c r="BA374" s="1306"/>
      <c r="BC374" s="169"/>
    </row>
    <row r="375" spans="19:55">
      <c r="S375" s="454"/>
      <c r="AN375" s="454"/>
      <c r="AY375" s="454"/>
      <c r="AZ375" s="454"/>
      <c r="BA375" s="1306"/>
      <c r="BC375" s="169"/>
    </row>
    <row r="376" spans="19:55">
      <c r="S376" s="454"/>
      <c r="AN376" s="454"/>
      <c r="AY376" s="454"/>
      <c r="AZ376" s="454"/>
      <c r="BA376" s="1306"/>
      <c r="BC376" s="169"/>
    </row>
    <row r="377" spans="19:55">
      <c r="S377" s="454"/>
      <c r="AN377" s="454"/>
      <c r="AY377" s="454"/>
      <c r="AZ377" s="454"/>
      <c r="BA377" s="1306"/>
      <c r="BC377" s="169"/>
    </row>
    <row r="378" spans="19:55">
      <c r="S378" s="454"/>
      <c r="AN378" s="454"/>
      <c r="AY378" s="454"/>
      <c r="AZ378" s="454"/>
      <c r="BA378" s="1306"/>
      <c r="BC378" s="169"/>
    </row>
    <row r="379" spans="19:55">
      <c r="S379" s="454"/>
      <c r="AN379" s="454"/>
      <c r="AY379" s="454"/>
      <c r="AZ379" s="454"/>
      <c r="BA379" s="1306"/>
      <c r="BC379" s="169"/>
    </row>
    <row r="380" spans="19:55">
      <c r="S380" s="454"/>
      <c r="AN380" s="454"/>
      <c r="AY380" s="454"/>
      <c r="AZ380" s="454"/>
      <c r="BA380" s="1306"/>
      <c r="BC380" s="169"/>
    </row>
    <row r="381" spans="19:55">
      <c r="S381" s="454"/>
      <c r="AN381" s="454"/>
      <c r="AY381" s="454"/>
      <c r="AZ381" s="454"/>
      <c r="BA381" s="1306"/>
      <c r="BC381" s="169"/>
    </row>
    <row r="382" spans="19:55">
      <c r="S382" s="454"/>
      <c r="AN382" s="454"/>
      <c r="AY382" s="454"/>
      <c r="AZ382" s="454"/>
      <c r="BA382" s="1306"/>
      <c r="BC382" s="169"/>
    </row>
    <row r="383" spans="19:55">
      <c r="S383" s="454"/>
      <c r="AN383" s="454"/>
      <c r="AY383" s="454"/>
      <c r="AZ383" s="454"/>
      <c r="BA383" s="1306"/>
      <c r="BC383" s="169"/>
    </row>
    <row r="384" spans="19:55">
      <c r="S384" s="454"/>
      <c r="AN384" s="454"/>
      <c r="AY384" s="454"/>
      <c r="AZ384" s="454"/>
      <c r="BA384" s="1306"/>
      <c r="BC384" s="169"/>
    </row>
    <row r="385" spans="19:55">
      <c r="S385" s="454"/>
      <c r="AN385" s="454"/>
      <c r="AY385" s="454"/>
      <c r="AZ385" s="454"/>
      <c r="BA385" s="1306"/>
      <c r="BC385" s="169"/>
    </row>
    <row r="386" spans="19:55">
      <c r="S386" s="454"/>
      <c r="AN386" s="454"/>
      <c r="AY386" s="454"/>
      <c r="AZ386" s="454"/>
      <c r="BA386" s="1306"/>
      <c r="BC386" s="169"/>
    </row>
    <row r="387" spans="19:55">
      <c r="S387" s="454"/>
      <c r="AN387" s="454"/>
      <c r="AY387" s="454"/>
      <c r="AZ387" s="454"/>
      <c r="BA387" s="1306"/>
      <c r="BC387" s="169"/>
    </row>
    <row r="388" spans="19:55">
      <c r="S388" s="454"/>
      <c r="AN388" s="454"/>
      <c r="AY388" s="454"/>
      <c r="AZ388" s="454"/>
      <c r="BA388" s="1306"/>
      <c r="BC388" s="169"/>
    </row>
    <row r="389" spans="19:55">
      <c r="S389" s="454"/>
      <c r="AN389" s="454"/>
      <c r="AY389" s="454"/>
      <c r="AZ389" s="454"/>
      <c r="BA389" s="1306"/>
      <c r="BC389" s="169"/>
    </row>
    <row r="390" spans="19:55">
      <c r="S390" s="454"/>
      <c r="AN390" s="454"/>
      <c r="AY390" s="454"/>
      <c r="AZ390" s="454"/>
      <c r="BA390" s="1306"/>
      <c r="BC390" s="169"/>
    </row>
    <row r="391" spans="19:55">
      <c r="S391" s="454"/>
      <c r="AN391" s="454"/>
      <c r="AY391" s="454"/>
      <c r="AZ391" s="454"/>
      <c r="BA391" s="1306"/>
      <c r="BC391" s="169"/>
    </row>
    <row r="392" spans="19:55">
      <c r="S392" s="454"/>
      <c r="AN392" s="454"/>
      <c r="AY392" s="454"/>
      <c r="AZ392" s="454"/>
      <c r="BA392" s="1306"/>
      <c r="BC392" s="169"/>
    </row>
    <row r="393" spans="19:55">
      <c r="S393" s="454"/>
      <c r="AN393" s="454"/>
      <c r="AY393" s="454"/>
      <c r="AZ393" s="454"/>
      <c r="BA393" s="1306"/>
      <c r="BC393" s="169"/>
    </row>
    <row r="394" spans="19:55">
      <c r="S394" s="454"/>
      <c r="AN394" s="454"/>
      <c r="AY394" s="454"/>
      <c r="AZ394" s="454"/>
      <c r="BA394" s="1306"/>
      <c r="BC394" s="169"/>
    </row>
    <row r="395" spans="19:55">
      <c r="S395" s="454"/>
      <c r="AN395" s="454"/>
      <c r="AY395" s="454"/>
      <c r="AZ395" s="454"/>
      <c r="BA395" s="1306"/>
      <c r="BC395" s="169"/>
    </row>
    <row r="396" spans="19:55">
      <c r="S396" s="454"/>
      <c r="AN396" s="454"/>
      <c r="AY396" s="454"/>
      <c r="AZ396" s="454"/>
      <c r="BA396" s="1306"/>
      <c r="BC396" s="169"/>
    </row>
    <row r="397" spans="19:55">
      <c r="S397" s="454"/>
      <c r="AN397" s="454"/>
      <c r="AY397" s="454"/>
      <c r="AZ397" s="454"/>
      <c r="BA397" s="1306"/>
      <c r="BC397" s="169"/>
    </row>
    <row r="398" spans="19:55">
      <c r="S398" s="454"/>
      <c r="AN398" s="454"/>
      <c r="AY398" s="454"/>
      <c r="AZ398" s="454"/>
      <c r="BA398" s="1306"/>
      <c r="BC398" s="169"/>
    </row>
    <row r="399" spans="19:55">
      <c r="S399" s="454"/>
      <c r="AN399" s="454"/>
      <c r="AY399" s="454"/>
      <c r="AZ399" s="454"/>
      <c r="BA399" s="1306"/>
      <c r="BC399" s="169"/>
    </row>
    <row r="400" spans="19:55">
      <c r="S400" s="454"/>
      <c r="AN400" s="454"/>
      <c r="AY400" s="454"/>
      <c r="AZ400" s="454"/>
      <c r="BA400" s="1306"/>
      <c r="BC400" s="169"/>
    </row>
    <row r="401" spans="19:55">
      <c r="S401" s="454"/>
      <c r="AN401" s="454"/>
      <c r="AY401" s="454"/>
      <c r="AZ401" s="454"/>
      <c r="BA401" s="1306"/>
      <c r="BC401" s="169"/>
    </row>
    <row r="402" spans="19:55">
      <c r="S402" s="454"/>
      <c r="AN402" s="454"/>
      <c r="AY402" s="454"/>
      <c r="AZ402" s="454"/>
      <c r="BA402" s="1306"/>
      <c r="BC402" s="169"/>
    </row>
    <row r="403" spans="19:55">
      <c r="S403" s="454"/>
      <c r="AN403" s="454"/>
      <c r="AY403" s="454"/>
      <c r="AZ403" s="454"/>
      <c r="BA403" s="1306"/>
      <c r="BC403" s="169"/>
    </row>
    <row r="404" spans="19:55">
      <c r="S404" s="454"/>
      <c r="AN404" s="454"/>
      <c r="AY404" s="454"/>
      <c r="AZ404" s="454"/>
      <c r="BA404" s="1306"/>
      <c r="BC404" s="169"/>
    </row>
    <row r="405" spans="19:55">
      <c r="S405" s="454"/>
      <c r="AN405" s="454"/>
      <c r="AY405" s="454"/>
      <c r="AZ405" s="454"/>
      <c r="BA405" s="1306"/>
      <c r="BC405" s="169"/>
    </row>
    <row r="406" spans="19:55">
      <c r="S406" s="454"/>
      <c r="AN406" s="454"/>
      <c r="AY406" s="454"/>
      <c r="AZ406" s="454"/>
      <c r="BA406" s="1306"/>
      <c r="BC406" s="169"/>
    </row>
    <row r="407" spans="19:55">
      <c r="S407" s="454"/>
      <c r="AN407" s="454"/>
      <c r="AY407" s="454"/>
      <c r="AZ407" s="454"/>
      <c r="BA407" s="1306"/>
      <c r="BC407" s="169"/>
    </row>
    <row r="408" spans="19:55">
      <c r="S408" s="454"/>
      <c r="AN408" s="454"/>
      <c r="AY408" s="454"/>
      <c r="AZ408" s="454"/>
      <c r="BA408" s="1306"/>
      <c r="BC408" s="169"/>
    </row>
    <row r="409" spans="19:55">
      <c r="S409" s="454"/>
      <c r="AN409" s="454"/>
      <c r="AY409" s="454"/>
      <c r="AZ409" s="454"/>
      <c r="BA409" s="1306"/>
      <c r="BC409" s="169"/>
    </row>
    <row r="410" spans="19:55">
      <c r="S410" s="454"/>
      <c r="AN410" s="454"/>
      <c r="AY410" s="454"/>
      <c r="AZ410" s="454"/>
      <c r="BA410" s="1306"/>
      <c r="BC410" s="169"/>
    </row>
    <row r="411" spans="19:55">
      <c r="S411" s="454"/>
      <c r="AN411" s="454"/>
      <c r="AY411" s="454"/>
      <c r="AZ411" s="454"/>
      <c r="BA411" s="1306"/>
      <c r="BC411" s="169"/>
    </row>
    <row r="412" spans="19:55">
      <c r="S412" s="454"/>
      <c r="AN412" s="454"/>
      <c r="AY412" s="454"/>
      <c r="AZ412" s="454"/>
      <c r="BA412" s="1306"/>
      <c r="BC412" s="169"/>
    </row>
    <row r="413" spans="19:55">
      <c r="S413" s="454"/>
      <c r="AN413" s="454"/>
      <c r="AY413" s="454"/>
      <c r="AZ413" s="454"/>
      <c r="BA413" s="1306"/>
      <c r="BC413" s="169"/>
    </row>
    <row r="414" spans="19:55">
      <c r="S414" s="454"/>
      <c r="AN414" s="454"/>
      <c r="AY414" s="454"/>
      <c r="AZ414" s="454"/>
      <c r="BA414" s="1306"/>
      <c r="BC414" s="169"/>
    </row>
    <row r="415" spans="19:55">
      <c r="S415" s="454"/>
      <c r="AN415" s="454"/>
      <c r="AY415" s="454"/>
      <c r="AZ415" s="454"/>
      <c r="BA415" s="1306"/>
      <c r="BC415" s="169"/>
    </row>
    <row r="416" spans="19:55">
      <c r="S416" s="454"/>
      <c r="AN416" s="454"/>
      <c r="AY416" s="454"/>
      <c r="AZ416" s="454"/>
      <c r="BA416" s="1306"/>
      <c r="BC416" s="169"/>
    </row>
    <row r="417" spans="19:55">
      <c r="S417" s="454"/>
      <c r="AN417" s="454"/>
      <c r="AY417" s="454"/>
      <c r="AZ417" s="454"/>
      <c r="BA417" s="1306"/>
      <c r="BC417" s="169"/>
    </row>
    <row r="418" spans="19:55">
      <c r="S418" s="454"/>
      <c r="AN418" s="454"/>
      <c r="AY418" s="454"/>
      <c r="AZ418" s="454"/>
      <c r="BA418" s="1306"/>
      <c r="BC418" s="169"/>
    </row>
    <row r="419" spans="19:55">
      <c r="S419" s="454"/>
      <c r="AN419" s="454"/>
      <c r="AY419" s="454"/>
      <c r="AZ419" s="454"/>
      <c r="BA419" s="1306"/>
      <c r="BC419" s="169"/>
    </row>
    <row r="420" spans="19:55">
      <c r="S420" s="454"/>
      <c r="AN420" s="454"/>
      <c r="AY420" s="454"/>
      <c r="AZ420" s="454"/>
      <c r="BA420" s="1306"/>
      <c r="BC420" s="169"/>
    </row>
    <row r="421" spans="19:55">
      <c r="S421" s="454"/>
      <c r="AN421" s="454"/>
      <c r="AY421" s="454"/>
      <c r="AZ421" s="454"/>
      <c r="BA421" s="1306"/>
      <c r="BC421" s="169"/>
    </row>
    <row r="422" spans="19:55">
      <c r="S422" s="454"/>
      <c r="AN422" s="454"/>
      <c r="AY422" s="454"/>
      <c r="AZ422" s="454"/>
      <c r="BA422" s="1306"/>
      <c r="BC422" s="169"/>
    </row>
    <row r="423" spans="19:55">
      <c r="S423" s="454"/>
      <c r="AN423" s="454"/>
      <c r="AY423" s="454"/>
      <c r="AZ423" s="454"/>
      <c r="BA423" s="1306"/>
      <c r="BC423" s="169"/>
    </row>
    <row r="424" spans="19:55">
      <c r="S424" s="454"/>
      <c r="AN424" s="454"/>
      <c r="AY424" s="454"/>
      <c r="AZ424" s="454"/>
      <c r="BA424" s="1306"/>
      <c r="BC424" s="169"/>
    </row>
    <row r="425" spans="19:55">
      <c r="S425" s="454"/>
      <c r="AN425" s="454"/>
      <c r="AY425" s="454"/>
      <c r="AZ425" s="454"/>
      <c r="BA425" s="1306"/>
      <c r="BC425" s="169"/>
    </row>
    <row r="426" spans="19:55">
      <c r="S426" s="454"/>
      <c r="AN426" s="454"/>
      <c r="AY426" s="454"/>
      <c r="AZ426" s="454"/>
      <c r="BA426" s="1306"/>
      <c r="BC426" s="169"/>
    </row>
    <row r="427" spans="19:55">
      <c r="S427" s="454"/>
      <c r="AN427" s="454"/>
      <c r="AY427" s="454"/>
      <c r="AZ427" s="454"/>
      <c r="BA427" s="1306"/>
      <c r="BC427" s="169"/>
    </row>
    <row r="428" spans="19:55">
      <c r="S428" s="454"/>
      <c r="AN428" s="454"/>
      <c r="AY428" s="454"/>
      <c r="AZ428" s="454"/>
      <c r="BA428" s="1306"/>
      <c r="BC428" s="169"/>
    </row>
    <row r="429" spans="19:55">
      <c r="S429" s="454"/>
      <c r="AN429" s="454"/>
      <c r="AY429" s="454"/>
      <c r="AZ429" s="454"/>
      <c r="BA429" s="1306"/>
      <c r="BC429" s="169"/>
    </row>
    <row r="430" spans="19:55">
      <c r="S430" s="454"/>
      <c r="AN430" s="454"/>
      <c r="AY430" s="454"/>
      <c r="AZ430" s="454"/>
      <c r="BA430" s="1306"/>
      <c r="BC430" s="169"/>
    </row>
    <row r="431" spans="19:55">
      <c r="S431" s="454"/>
      <c r="AN431" s="454"/>
      <c r="AY431" s="454"/>
      <c r="AZ431" s="454"/>
      <c r="BA431" s="1306"/>
      <c r="BC431" s="169"/>
    </row>
    <row r="432" spans="19:55">
      <c r="S432" s="454"/>
      <c r="AN432" s="454"/>
      <c r="AY432" s="454"/>
      <c r="AZ432" s="454"/>
      <c r="BA432" s="1306"/>
      <c r="BC432" s="169"/>
    </row>
    <row r="433" spans="19:55">
      <c r="S433" s="454"/>
      <c r="AN433" s="454"/>
      <c r="AY433" s="454"/>
      <c r="AZ433" s="454"/>
      <c r="BA433" s="1306"/>
      <c r="BC433" s="169"/>
    </row>
    <row r="434" spans="19:55">
      <c r="S434" s="454"/>
      <c r="AN434" s="454"/>
      <c r="AY434" s="454"/>
      <c r="AZ434" s="454"/>
      <c r="BA434" s="1306"/>
      <c r="BC434" s="169"/>
    </row>
    <row r="435" spans="19:55">
      <c r="S435" s="454"/>
      <c r="AN435" s="454"/>
      <c r="AY435" s="454"/>
      <c r="AZ435" s="454"/>
      <c r="BA435" s="1306"/>
      <c r="BC435" s="169"/>
    </row>
    <row r="436" spans="19:55">
      <c r="S436" s="454"/>
      <c r="AN436" s="454"/>
      <c r="AY436" s="454"/>
      <c r="AZ436" s="454"/>
      <c r="BA436" s="1306"/>
      <c r="BC436" s="169"/>
    </row>
    <row r="437" spans="19:55">
      <c r="S437" s="454"/>
      <c r="AN437" s="454"/>
      <c r="AY437" s="454"/>
      <c r="AZ437" s="454"/>
      <c r="BA437" s="1306"/>
      <c r="BC437" s="169"/>
    </row>
    <row r="438" spans="19:55">
      <c r="S438" s="454"/>
      <c r="AN438" s="454"/>
      <c r="AY438" s="454"/>
      <c r="AZ438" s="454"/>
      <c r="BA438" s="1306"/>
      <c r="BC438" s="169"/>
    </row>
    <row r="439" spans="19:55">
      <c r="S439" s="454"/>
      <c r="AN439" s="454"/>
      <c r="AY439" s="454"/>
      <c r="AZ439" s="454"/>
      <c r="BA439" s="1306"/>
      <c r="BC439" s="169"/>
    </row>
    <row r="440" spans="19:55">
      <c r="S440" s="454"/>
      <c r="AN440" s="454"/>
      <c r="AY440" s="454"/>
      <c r="AZ440" s="454"/>
      <c r="BA440" s="1306"/>
      <c r="BC440" s="169"/>
    </row>
    <row r="441" spans="19:55">
      <c r="S441" s="454"/>
      <c r="AN441" s="454"/>
      <c r="AY441" s="454"/>
      <c r="AZ441" s="454"/>
      <c r="BA441" s="1306"/>
      <c r="BC441" s="169"/>
    </row>
    <row r="442" spans="19:55">
      <c r="S442" s="454"/>
      <c r="AN442" s="454"/>
      <c r="AY442" s="454"/>
      <c r="AZ442" s="454"/>
      <c r="BA442" s="1306"/>
      <c r="BC442" s="169"/>
    </row>
    <row r="443" spans="19:55">
      <c r="S443" s="454"/>
      <c r="AN443" s="454"/>
      <c r="AY443" s="454"/>
      <c r="AZ443" s="454"/>
      <c r="BA443" s="1306"/>
      <c r="BC443" s="169"/>
    </row>
    <row r="444" spans="19:55">
      <c r="S444" s="454"/>
      <c r="AN444" s="454"/>
      <c r="AY444" s="454"/>
      <c r="AZ444" s="454"/>
      <c r="BA444" s="1306"/>
      <c r="BC444" s="169"/>
    </row>
    <row r="445" spans="19:55">
      <c r="S445" s="454"/>
      <c r="AN445" s="454"/>
      <c r="AY445" s="454"/>
      <c r="AZ445" s="454"/>
      <c r="BA445" s="1306"/>
      <c r="BC445" s="169"/>
    </row>
    <row r="446" spans="19:55">
      <c r="S446" s="454"/>
      <c r="AN446" s="454"/>
      <c r="AY446" s="454"/>
      <c r="AZ446" s="454"/>
      <c r="BA446" s="1306"/>
      <c r="BC446" s="169"/>
    </row>
    <row r="447" spans="19:55">
      <c r="S447" s="454"/>
      <c r="AN447" s="454"/>
      <c r="AY447" s="454"/>
      <c r="AZ447" s="454"/>
      <c r="BA447" s="1306"/>
      <c r="BC447" s="169"/>
    </row>
    <row r="448" spans="19:55">
      <c r="S448" s="454"/>
      <c r="AN448" s="454"/>
      <c r="AY448" s="454"/>
      <c r="AZ448" s="454"/>
      <c r="BA448" s="1306"/>
      <c r="BC448" s="169"/>
    </row>
    <row r="449" spans="19:55">
      <c r="S449" s="454"/>
      <c r="AN449" s="454"/>
      <c r="AY449" s="454"/>
      <c r="AZ449" s="454"/>
      <c r="BA449" s="1306"/>
      <c r="BC449" s="169"/>
    </row>
    <row r="450" spans="19:55">
      <c r="S450" s="454"/>
      <c r="AN450" s="454"/>
      <c r="AY450" s="454"/>
      <c r="AZ450" s="454"/>
      <c r="BA450" s="1306"/>
      <c r="BC450" s="169"/>
    </row>
    <row r="451" spans="19:55">
      <c r="S451" s="454"/>
      <c r="AN451" s="454"/>
      <c r="AY451" s="454"/>
      <c r="AZ451" s="454"/>
      <c r="BA451" s="1306"/>
      <c r="BC451" s="169"/>
    </row>
    <row r="452" spans="19:55">
      <c r="S452" s="454"/>
      <c r="AN452" s="454"/>
      <c r="AY452" s="454"/>
      <c r="AZ452" s="454"/>
      <c r="BA452" s="1306"/>
      <c r="BC452" s="169"/>
    </row>
    <row r="453" spans="19:55">
      <c r="S453" s="454"/>
      <c r="AN453" s="454"/>
      <c r="AY453" s="454"/>
      <c r="AZ453" s="454"/>
      <c r="BA453" s="1306"/>
      <c r="BC453" s="169"/>
    </row>
    <row r="454" spans="19:55">
      <c r="S454" s="454"/>
      <c r="AN454" s="454"/>
      <c r="AY454" s="454"/>
      <c r="AZ454" s="454"/>
      <c r="BA454" s="1306"/>
      <c r="BC454" s="169"/>
    </row>
    <row r="455" spans="19:55">
      <c r="S455" s="454"/>
      <c r="AN455" s="454"/>
      <c r="AY455" s="454"/>
      <c r="AZ455" s="454"/>
      <c r="BA455" s="1306"/>
      <c r="BC455" s="169"/>
    </row>
    <row r="456" spans="19:55">
      <c r="S456" s="454"/>
      <c r="AN456" s="454"/>
      <c r="AY456" s="454"/>
      <c r="AZ456" s="454"/>
      <c r="BA456" s="1306"/>
      <c r="BC456" s="169"/>
    </row>
    <row r="457" spans="19:55">
      <c r="S457" s="454"/>
      <c r="AN457" s="454"/>
      <c r="AY457" s="454"/>
      <c r="AZ457" s="454"/>
      <c r="BA457" s="1306"/>
      <c r="BC457" s="169"/>
    </row>
    <row r="458" spans="19:55">
      <c r="S458" s="454"/>
      <c r="AN458" s="454"/>
      <c r="AY458" s="454"/>
      <c r="AZ458" s="454"/>
      <c r="BA458" s="1306"/>
      <c r="BC458" s="169"/>
    </row>
    <row r="459" spans="19:55">
      <c r="S459" s="454"/>
      <c r="AN459" s="454"/>
      <c r="AY459" s="454"/>
      <c r="AZ459" s="454"/>
      <c r="BA459" s="1306"/>
      <c r="BC459" s="169"/>
    </row>
    <row r="460" spans="19:55">
      <c r="S460" s="454"/>
      <c r="AN460" s="454"/>
      <c r="AY460" s="454"/>
      <c r="AZ460" s="454"/>
      <c r="BA460" s="1306"/>
      <c r="BC460" s="169"/>
    </row>
    <row r="461" spans="19:55">
      <c r="S461" s="454"/>
      <c r="AN461" s="454"/>
      <c r="AY461" s="454"/>
      <c r="AZ461" s="454"/>
      <c r="BA461" s="1306"/>
      <c r="BC461" s="169"/>
    </row>
    <row r="462" spans="19:55">
      <c r="S462" s="454"/>
      <c r="AN462" s="454"/>
      <c r="AY462" s="454"/>
      <c r="AZ462" s="454"/>
      <c r="BA462" s="1306"/>
      <c r="BC462" s="169"/>
    </row>
    <row r="463" spans="19:55">
      <c r="S463" s="454"/>
      <c r="AN463" s="454"/>
      <c r="AY463" s="454"/>
      <c r="AZ463" s="454"/>
      <c r="BA463" s="1306"/>
      <c r="BC463" s="169"/>
    </row>
    <row r="464" spans="19:55">
      <c r="S464" s="454"/>
      <c r="AN464" s="454"/>
      <c r="AY464" s="454"/>
      <c r="AZ464" s="454"/>
      <c r="BA464" s="1306"/>
      <c r="BC464" s="169"/>
    </row>
    <row r="465" spans="19:55">
      <c r="S465" s="454"/>
      <c r="AN465" s="454"/>
      <c r="AY465" s="454"/>
      <c r="AZ465" s="454"/>
      <c r="BA465" s="1306"/>
      <c r="BC465" s="169"/>
    </row>
    <row r="466" spans="19:55">
      <c r="S466" s="454"/>
      <c r="AN466" s="454"/>
      <c r="AY466" s="454"/>
      <c r="AZ466" s="454"/>
      <c r="BA466" s="1306"/>
      <c r="BC466" s="169"/>
    </row>
    <row r="467" spans="19:55">
      <c r="S467" s="454"/>
      <c r="AN467" s="454"/>
      <c r="AY467" s="454"/>
      <c r="AZ467" s="454"/>
      <c r="BA467" s="1306"/>
      <c r="BC467" s="169"/>
    </row>
    <row r="468" spans="19:55">
      <c r="S468" s="454"/>
      <c r="AN468" s="454"/>
      <c r="AY468" s="454"/>
      <c r="AZ468" s="454"/>
      <c r="BA468" s="1306"/>
      <c r="BC468" s="169"/>
    </row>
    <row r="469" spans="19:55">
      <c r="S469" s="454"/>
      <c r="AN469" s="454"/>
      <c r="AY469" s="454"/>
      <c r="AZ469" s="454"/>
      <c r="BA469" s="1306"/>
      <c r="BC469" s="169"/>
    </row>
    <row r="470" spans="19:55">
      <c r="S470" s="454"/>
      <c r="AN470" s="454"/>
      <c r="AY470" s="454"/>
      <c r="AZ470" s="454"/>
      <c r="BA470" s="1306"/>
      <c r="BC470" s="169"/>
    </row>
    <row r="471" spans="19:55">
      <c r="S471" s="454"/>
      <c r="AN471" s="454"/>
      <c r="AY471" s="454"/>
      <c r="AZ471" s="454"/>
      <c r="BA471" s="1306"/>
      <c r="BC471" s="169"/>
    </row>
    <row r="472" spans="19:55">
      <c r="S472" s="454"/>
      <c r="AN472" s="454"/>
      <c r="AY472" s="454"/>
      <c r="AZ472" s="454"/>
      <c r="BA472" s="1306"/>
      <c r="BC472" s="169"/>
    </row>
    <row r="473" spans="19:55">
      <c r="S473" s="454"/>
      <c r="AN473" s="454"/>
      <c r="AY473" s="454"/>
      <c r="AZ473" s="454"/>
      <c r="BA473" s="1306"/>
      <c r="BC473" s="169"/>
    </row>
    <row r="474" spans="19:55">
      <c r="S474" s="454"/>
      <c r="AN474" s="454"/>
      <c r="AY474" s="454"/>
      <c r="AZ474" s="454"/>
      <c r="BA474" s="1306"/>
      <c r="BC474" s="169"/>
    </row>
    <row r="475" spans="19:55">
      <c r="S475" s="454"/>
      <c r="AN475" s="454"/>
      <c r="AY475" s="454"/>
      <c r="AZ475" s="454"/>
      <c r="BA475" s="1306"/>
      <c r="BC475" s="169"/>
    </row>
    <row r="476" spans="19:55">
      <c r="S476" s="454"/>
      <c r="AN476" s="454"/>
      <c r="AY476" s="454"/>
      <c r="AZ476" s="454"/>
      <c r="BA476" s="1306"/>
      <c r="BC476" s="169"/>
    </row>
    <row r="477" spans="19:55">
      <c r="S477" s="454"/>
      <c r="AN477" s="454"/>
      <c r="AY477" s="454"/>
      <c r="AZ477" s="454"/>
      <c r="BA477" s="1306"/>
      <c r="BC477" s="169"/>
    </row>
    <row r="478" spans="19:55">
      <c r="S478" s="454"/>
      <c r="AN478" s="454"/>
      <c r="AY478" s="454"/>
      <c r="AZ478" s="454"/>
      <c r="BA478" s="1306"/>
      <c r="BC478" s="169"/>
    </row>
    <row r="479" spans="19:55">
      <c r="S479" s="454"/>
      <c r="AN479" s="454"/>
      <c r="AY479" s="454"/>
      <c r="AZ479" s="454"/>
      <c r="BA479" s="1306"/>
      <c r="BC479" s="169"/>
    </row>
    <row r="480" spans="19:55">
      <c r="S480" s="454"/>
      <c r="AN480" s="454"/>
      <c r="AY480" s="454"/>
      <c r="AZ480" s="454"/>
      <c r="BA480" s="1306"/>
      <c r="BC480" s="169"/>
    </row>
    <row r="481" spans="19:55">
      <c r="S481" s="454"/>
      <c r="AN481" s="454"/>
      <c r="AY481" s="454"/>
      <c r="AZ481" s="454"/>
      <c r="BA481" s="1306"/>
      <c r="BC481" s="169"/>
    </row>
    <row r="482" spans="19:55">
      <c r="S482" s="454"/>
      <c r="AN482" s="454"/>
      <c r="AY482" s="454"/>
      <c r="AZ482" s="454"/>
      <c r="BA482" s="1306"/>
      <c r="BC482" s="169"/>
    </row>
    <row r="483" spans="19:55">
      <c r="S483" s="454"/>
      <c r="AN483" s="454"/>
      <c r="AY483" s="454"/>
      <c r="AZ483" s="454"/>
      <c r="BA483" s="1306"/>
      <c r="BC483" s="169"/>
    </row>
    <row r="484" spans="19:55">
      <c r="S484" s="454"/>
      <c r="AN484" s="454"/>
      <c r="AY484" s="454"/>
      <c r="AZ484" s="454"/>
      <c r="BA484" s="1306"/>
      <c r="BC484" s="169"/>
    </row>
    <row r="485" spans="19:55">
      <c r="S485" s="454"/>
      <c r="AN485" s="454"/>
      <c r="AY485" s="454"/>
      <c r="AZ485" s="454"/>
      <c r="BA485" s="1306"/>
      <c r="BC485" s="169"/>
    </row>
    <row r="486" spans="19:55">
      <c r="S486" s="454"/>
      <c r="AN486" s="454"/>
      <c r="AY486" s="454"/>
      <c r="AZ486" s="454"/>
      <c r="BA486" s="1306"/>
      <c r="BC486" s="169"/>
    </row>
    <row r="487" spans="19:55">
      <c r="S487" s="454"/>
      <c r="AN487" s="454"/>
      <c r="AY487" s="454"/>
      <c r="AZ487" s="454"/>
      <c r="BA487" s="1306"/>
      <c r="BC487" s="169"/>
    </row>
    <row r="488" spans="19:55">
      <c r="S488" s="454"/>
      <c r="AN488" s="454"/>
      <c r="AY488" s="454"/>
      <c r="AZ488" s="454"/>
      <c r="BA488" s="1306"/>
      <c r="BC488" s="169"/>
    </row>
    <row r="489" spans="19:55">
      <c r="S489" s="454"/>
      <c r="AN489" s="454"/>
      <c r="AY489" s="454"/>
      <c r="AZ489" s="454"/>
      <c r="BA489" s="1306"/>
      <c r="BC489" s="169"/>
    </row>
    <row r="490" spans="19:55">
      <c r="S490" s="454"/>
      <c r="AN490" s="454"/>
      <c r="AY490" s="454"/>
      <c r="AZ490" s="454"/>
      <c r="BA490" s="1306"/>
      <c r="BC490" s="169"/>
    </row>
    <row r="491" spans="19:55">
      <c r="S491" s="454"/>
      <c r="AN491" s="454"/>
      <c r="AY491" s="454"/>
      <c r="AZ491" s="454"/>
      <c r="BA491" s="1306"/>
      <c r="BC491" s="169"/>
    </row>
    <row r="492" spans="19:55">
      <c r="S492" s="454"/>
      <c r="AN492" s="454"/>
      <c r="AY492" s="454"/>
      <c r="AZ492" s="454"/>
      <c r="BA492" s="1306"/>
      <c r="BC492" s="169"/>
    </row>
    <row r="493" spans="19:55">
      <c r="S493" s="454"/>
      <c r="AN493" s="454"/>
      <c r="AY493" s="454"/>
      <c r="AZ493" s="454"/>
      <c r="BA493" s="1306"/>
      <c r="BC493" s="169"/>
    </row>
    <row r="494" spans="19:55">
      <c r="S494" s="454"/>
      <c r="AN494" s="454"/>
      <c r="AY494" s="454"/>
      <c r="AZ494" s="454"/>
      <c r="BA494" s="1306"/>
      <c r="BC494" s="169"/>
    </row>
    <row r="495" spans="19:55">
      <c r="S495" s="454"/>
      <c r="AN495" s="454"/>
      <c r="AY495" s="454"/>
      <c r="AZ495" s="454"/>
      <c r="BA495" s="1306"/>
      <c r="BC495" s="169"/>
    </row>
    <row r="496" spans="19:55">
      <c r="S496" s="454"/>
      <c r="AN496" s="454"/>
      <c r="AY496" s="454"/>
      <c r="AZ496" s="454"/>
      <c r="BA496" s="1306"/>
      <c r="BC496" s="169"/>
    </row>
    <row r="497" spans="19:55">
      <c r="S497" s="454"/>
      <c r="AN497" s="454"/>
      <c r="AY497" s="454"/>
      <c r="AZ497" s="454"/>
      <c r="BA497" s="1306"/>
      <c r="BC497" s="169"/>
    </row>
    <row r="498" spans="19:55">
      <c r="S498" s="454"/>
      <c r="AN498" s="454"/>
      <c r="AY498" s="454"/>
      <c r="AZ498" s="454"/>
      <c r="BA498" s="1306"/>
      <c r="BC498" s="169"/>
    </row>
    <row r="499" spans="19:55">
      <c r="S499" s="454"/>
      <c r="AN499" s="454"/>
      <c r="AY499" s="454"/>
      <c r="AZ499" s="454"/>
      <c r="BA499" s="1306"/>
      <c r="BC499" s="169"/>
    </row>
    <row r="500" spans="19:55">
      <c r="S500" s="454"/>
      <c r="AN500" s="454"/>
      <c r="AY500" s="454"/>
      <c r="AZ500" s="454"/>
      <c r="BA500" s="1306"/>
      <c r="BC500" s="169"/>
    </row>
    <row r="501" spans="19:55">
      <c r="S501" s="454"/>
      <c r="AN501" s="454"/>
      <c r="AY501" s="454"/>
      <c r="AZ501" s="454"/>
      <c r="BA501" s="1306"/>
      <c r="BC501" s="169"/>
    </row>
    <row r="502" spans="19:55">
      <c r="S502" s="454"/>
      <c r="AN502" s="454"/>
      <c r="AY502" s="454"/>
      <c r="AZ502" s="454"/>
      <c r="BA502" s="1306"/>
      <c r="BC502" s="169"/>
    </row>
    <row r="503" spans="19:55">
      <c r="S503" s="454"/>
      <c r="AN503" s="454"/>
      <c r="AY503" s="454"/>
      <c r="AZ503" s="454"/>
      <c r="BA503" s="1306"/>
      <c r="BC503" s="169"/>
    </row>
    <row r="504" spans="19:55">
      <c r="S504" s="454"/>
      <c r="AN504" s="454"/>
      <c r="AY504" s="454"/>
      <c r="AZ504" s="454"/>
      <c r="BA504" s="1306"/>
      <c r="BC504" s="169"/>
    </row>
    <row r="505" spans="19:55">
      <c r="S505" s="454"/>
      <c r="AN505" s="454"/>
      <c r="AY505" s="454"/>
      <c r="AZ505" s="454"/>
      <c r="BA505" s="1306"/>
      <c r="BC505" s="169"/>
    </row>
    <row r="506" spans="19:55">
      <c r="S506" s="454"/>
      <c r="AN506" s="454"/>
      <c r="AY506" s="454"/>
      <c r="AZ506" s="454"/>
      <c r="BA506" s="1306"/>
      <c r="BC506" s="169"/>
    </row>
    <row r="507" spans="19:55">
      <c r="S507" s="454"/>
      <c r="AN507" s="454"/>
      <c r="AY507" s="454"/>
      <c r="AZ507" s="454"/>
      <c r="BA507" s="1306"/>
      <c r="BC507" s="169"/>
    </row>
    <row r="508" spans="19:55">
      <c r="S508" s="454"/>
      <c r="AN508" s="454"/>
      <c r="AY508" s="454"/>
      <c r="AZ508" s="454"/>
      <c r="BA508" s="1306"/>
      <c r="BC508" s="169"/>
    </row>
    <row r="509" spans="19:55">
      <c r="S509" s="454"/>
      <c r="AN509" s="454"/>
      <c r="AY509" s="454"/>
      <c r="AZ509" s="454"/>
      <c r="BA509" s="1306"/>
      <c r="BC509" s="169"/>
    </row>
    <row r="510" spans="19:55">
      <c r="S510" s="454"/>
      <c r="AN510" s="454"/>
      <c r="AY510" s="454"/>
      <c r="AZ510" s="454"/>
      <c r="BA510" s="1306"/>
      <c r="BC510" s="169"/>
    </row>
    <row r="511" spans="19:55">
      <c r="S511" s="454"/>
      <c r="AN511" s="454"/>
      <c r="AY511" s="454"/>
      <c r="AZ511" s="454"/>
      <c r="BA511" s="1306"/>
      <c r="BC511" s="169"/>
    </row>
    <row r="512" spans="19:55">
      <c r="S512" s="454"/>
      <c r="AN512" s="454"/>
      <c r="AY512" s="454"/>
      <c r="AZ512" s="454"/>
      <c r="BA512" s="1306"/>
      <c r="BC512" s="169"/>
    </row>
    <row r="513" spans="19:55">
      <c r="S513" s="454"/>
      <c r="AN513" s="454"/>
      <c r="AY513" s="454"/>
      <c r="AZ513" s="454"/>
      <c r="BA513" s="1306"/>
      <c r="BC513" s="169"/>
    </row>
    <row r="514" spans="19:55">
      <c r="S514" s="454"/>
      <c r="AN514" s="454"/>
      <c r="AY514" s="454"/>
      <c r="AZ514" s="454"/>
      <c r="BA514" s="1306"/>
      <c r="BC514" s="169"/>
    </row>
    <row r="515" spans="19:55">
      <c r="S515" s="454"/>
      <c r="AN515" s="454"/>
      <c r="AY515" s="454"/>
      <c r="AZ515" s="454"/>
      <c r="BA515" s="1306"/>
      <c r="BC515" s="169"/>
    </row>
    <row r="516" spans="19:55">
      <c r="S516" s="454"/>
      <c r="AN516" s="454"/>
      <c r="AY516" s="454"/>
      <c r="AZ516" s="454"/>
      <c r="BA516" s="1306"/>
      <c r="BC516" s="169"/>
    </row>
    <row r="517" spans="19:55">
      <c r="S517" s="454"/>
      <c r="AN517" s="454"/>
      <c r="AY517" s="454"/>
      <c r="AZ517" s="454"/>
      <c r="BA517" s="1306"/>
      <c r="BC517" s="169"/>
    </row>
    <row r="518" spans="19:55">
      <c r="S518" s="454"/>
      <c r="AN518" s="454"/>
      <c r="AY518" s="454"/>
      <c r="AZ518" s="454"/>
      <c r="BA518" s="1306"/>
      <c r="BC518" s="169"/>
    </row>
    <row r="519" spans="19:55">
      <c r="S519" s="454"/>
      <c r="AN519" s="454"/>
      <c r="AY519" s="454"/>
      <c r="AZ519" s="454"/>
      <c r="BA519" s="1306"/>
      <c r="BC519" s="169"/>
    </row>
    <row r="520" spans="19:55">
      <c r="S520" s="454"/>
      <c r="AN520" s="454"/>
      <c r="AY520" s="454"/>
      <c r="AZ520" s="454"/>
      <c r="BA520" s="1306"/>
      <c r="BC520" s="169"/>
    </row>
    <row r="521" spans="19:55">
      <c r="S521" s="454"/>
      <c r="AN521" s="454"/>
      <c r="AY521" s="454"/>
      <c r="AZ521" s="454"/>
      <c r="BA521" s="1306"/>
      <c r="BC521" s="169"/>
    </row>
    <row r="522" spans="19:55">
      <c r="S522" s="454"/>
      <c r="AN522" s="454"/>
      <c r="AY522" s="454"/>
      <c r="AZ522" s="454"/>
      <c r="BA522" s="1306"/>
      <c r="BC522" s="169"/>
    </row>
    <row r="523" spans="19:55">
      <c r="S523" s="454"/>
      <c r="AN523" s="454"/>
      <c r="AY523" s="454"/>
      <c r="AZ523" s="454"/>
      <c r="BA523" s="1306"/>
      <c r="BC523" s="169"/>
    </row>
    <row r="524" spans="19:55">
      <c r="S524" s="454"/>
      <c r="AN524" s="454"/>
      <c r="AY524" s="454"/>
      <c r="AZ524" s="454"/>
      <c r="BA524" s="1306"/>
      <c r="BC524" s="169"/>
    </row>
    <row r="525" spans="19:55">
      <c r="S525" s="454"/>
      <c r="AN525" s="454"/>
      <c r="AY525" s="454"/>
      <c r="AZ525" s="454"/>
      <c r="BA525" s="1306"/>
      <c r="BC525" s="169"/>
    </row>
    <row r="526" spans="19:55">
      <c r="S526" s="454"/>
      <c r="AN526" s="454"/>
      <c r="AY526" s="454"/>
      <c r="AZ526" s="454"/>
      <c r="BA526" s="1306"/>
      <c r="BC526" s="169"/>
    </row>
    <row r="527" spans="19:55">
      <c r="S527" s="454"/>
      <c r="AN527" s="454"/>
      <c r="AY527" s="454"/>
      <c r="AZ527" s="454"/>
      <c r="BA527" s="1306"/>
      <c r="BC527" s="169"/>
    </row>
    <row r="528" spans="19:55">
      <c r="S528" s="454"/>
      <c r="AN528" s="454"/>
      <c r="AY528" s="454"/>
      <c r="AZ528" s="454"/>
      <c r="BA528" s="1306"/>
      <c r="BC528" s="169"/>
    </row>
    <row r="529" spans="19:55">
      <c r="S529" s="454"/>
      <c r="AN529" s="454"/>
      <c r="AY529" s="454"/>
      <c r="AZ529" s="454"/>
      <c r="BA529" s="1306"/>
      <c r="BC529" s="169"/>
    </row>
    <row r="530" spans="19:55">
      <c r="S530" s="454"/>
      <c r="AN530" s="454"/>
      <c r="AY530" s="454"/>
      <c r="AZ530" s="454"/>
      <c r="BA530" s="1306"/>
      <c r="BC530" s="169"/>
    </row>
    <row r="531" spans="19:55">
      <c r="S531" s="454"/>
      <c r="AN531" s="454"/>
      <c r="AY531" s="454"/>
      <c r="AZ531" s="454"/>
      <c r="BA531" s="1306"/>
      <c r="BC531" s="169"/>
    </row>
    <row r="532" spans="19:55">
      <c r="S532" s="454"/>
      <c r="AN532" s="454"/>
      <c r="AY532" s="454"/>
      <c r="AZ532" s="454"/>
      <c r="BA532" s="1306"/>
      <c r="BC532" s="169"/>
    </row>
    <row r="533" spans="19:55">
      <c r="S533" s="454"/>
      <c r="AN533" s="454"/>
      <c r="AY533" s="454"/>
      <c r="AZ533" s="454"/>
      <c r="BA533" s="1306"/>
      <c r="BC533" s="169"/>
    </row>
    <row r="534" spans="19:55">
      <c r="S534" s="454"/>
      <c r="AN534" s="454"/>
      <c r="AY534" s="454"/>
      <c r="AZ534" s="454"/>
      <c r="BA534" s="1306"/>
      <c r="BC534" s="169"/>
    </row>
    <row r="535" spans="19:55">
      <c r="S535" s="454"/>
      <c r="AN535" s="454"/>
      <c r="AY535" s="454"/>
      <c r="AZ535" s="454"/>
      <c r="BA535" s="1306"/>
      <c r="BC535" s="169"/>
    </row>
    <row r="536" spans="19:55">
      <c r="S536" s="454"/>
      <c r="AN536" s="454"/>
      <c r="AY536" s="454"/>
      <c r="AZ536" s="454"/>
      <c r="BA536" s="1306"/>
      <c r="BC536" s="169"/>
    </row>
    <row r="537" spans="19:55">
      <c r="S537" s="454"/>
      <c r="AN537" s="454"/>
      <c r="AY537" s="454"/>
      <c r="AZ537" s="454"/>
      <c r="BA537" s="1306"/>
      <c r="BC537" s="169"/>
    </row>
    <row r="538" spans="19:55">
      <c r="S538" s="454"/>
      <c r="AN538" s="454"/>
      <c r="AY538" s="454"/>
      <c r="AZ538" s="454"/>
      <c r="BA538" s="1306"/>
      <c r="BC538" s="169"/>
    </row>
    <row r="539" spans="19:55">
      <c r="S539" s="454"/>
      <c r="AN539" s="454"/>
      <c r="AY539" s="454"/>
      <c r="AZ539" s="454"/>
      <c r="BA539" s="1306"/>
      <c r="BC539" s="169"/>
    </row>
    <row r="540" spans="19:55">
      <c r="S540" s="454"/>
      <c r="AN540" s="454"/>
      <c r="AY540" s="454"/>
      <c r="AZ540" s="454"/>
      <c r="BA540" s="1306"/>
      <c r="BC540" s="169"/>
    </row>
    <row r="541" spans="19:55">
      <c r="S541" s="454"/>
      <c r="AN541" s="454"/>
      <c r="AY541" s="454"/>
      <c r="AZ541" s="454"/>
      <c r="BA541" s="1306"/>
      <c r="BC541" s="169"/>
    </row>
    <row r="542" spans="19:55">
      <c r="S542" s="454"/>
      <c r="AN542" s="454"/>
      <c r="AY542" s="454"/>
      <c r="AZ542" s="454"/>
      <c r="BA542" s="1306"/>
      <c r="BC542" s="169"/>
    </row>
    <row r="543" spans="19:55">
      <c r="S543" s="454"/>
      <c r="AN543" s="454"/>
      <c r="AY543" s="454"/>
      <c r="AZ543" s="454"/>
      <c r="BA543" s="1306"/>
      <c r="BC543" s="169"/>
    </row>
    <row r="544" spans="19:55">
      <c r="S544" s="454"/>
      <c r="AN544" s="454"/>
      <c r="AY544" s="454"/>
      <c r="AZ544" s="454"/>
      <c r="BA544" s="1306"/>
      <c r="BC544" s="169"/>
    </row>
    <row r="545" spans="19:55">
      <c r="S545" s="454"/>
      <c r="AN545" s="454"/>
      <c r="AY545" s="454"/>
      <c r="AZ545" s="454"/>
      <c r="BA545" s="1306"/>
      <c r="BC545" s="169"/>
    </row>
    <row r="546" spans="19:55">
      <c r="S546" s="454"/>
      <c r="AN546" s="454"/>
      <c r="AY546" s="454"/>
      <c r="AZ546" s="454"/>
      <c r="BA546" s="1306"/>
      <c r="BC546" s="169"/>
    </row>
    <row r="547" spans="19:55">
      <c r="S547" s="454"/>
      <c r="AN547" s="454"/>
      <c r="AY547" s="454"/>
      <c r="AZ547" s="454"/>
      <c r="BA547" s="1306"/>
      <c r="BC547" s="169"/>
    </row>
    <row r="548" spans="19:55">
      <c r="S548" s="454"/>
      <c r="AN548" s="454"/>
      <c r="AY548" s="454"/>
      <c r="AZ548" s="454"/>
      <c r="BA548" s="1306"/>
      <c r="BC548" s="169"/>
    </row>
    <row r="549" spans="19:55">
      <c r="S549" s="454"/>
      <c r="AN549" s="454"/>
      <c r="AY549" s="454"/>
      <c r="AZ549" s="454"/>
      <c r="BA549" s="1306"/>
      <c r="BC549" s="169"/>
    </row>
    <row r="550" spans="19:55">
      <c r="S550" s="454"/>
      <c r="AN550" s="454"/>
      <c r="AY550" s="454"/>
      <c r="AZ550" s="454"/>
      <c r="BA550" s="1306"/>
      <c r="BC550" s="169"/>
    </row>
    <row r="551" spans="19:55">
      <c r="S551" s="454"/>
      <c r="AN551" s="454"/>
      <c r="AY551" s="454"/>
      <c r="AZ551" s="454"/>
      <c r="BA551" s="1306"/>
      <c r="BC551" s="169"/>
    </row>
    <row r="552" spans="19:55">
      <c r="S552" s="454"/>
      <c r="AN552" s="454"/>
      <c r="AY552" s="454"/>
      <c r="AZ552" s="454"/>
      <c r="BA552" s="1306"/>
      <c r="BC552" s="169"/>
    </row>
    <row r="553" spans="19:55">
      <c r="S553" s="454"/>
      <c r="AN553" s="454"/>
      <c r="AY553" s="454"/>
      <c r="AZ553" s="454"/>
      <c r="BA553" s="1306"/>
      <c r="BC553" s="169"/>
    </row>
    <row r="554" spans="19:55">
      <c r="S554" s="454"/>
      <c r="AN554" s="454"/>
      <c r="AY554" s="454"/>
      <c r="AZ554" s="454"/>
      <c r="BA554" s="1306"/>
      <c r="BC554" s="169"/>
    </row>
    <row r="555" spans="19:55">
      <c r="S555" s="454"/>
      <c r="AN555" s="454"/>
      <c r="AY555" s="454"/>
      <c r="AZ555" s="454"/>
      <c r="BA555" s="1306"/>
      <c r="BC555" s="169"/>
    </row>
    <row r="556" spans="19:55">
      <c r="S556" s="454"/>
      <c r="AN556" s="454"/>
      <c r="AY556" s="454"/>
      <c r="AZ556" s="454"/>
      <c r="BA556" s="1306"/>
      <c r="BC556" s="169"/>
    </row>
    <row r="557" spans="19:55">
      <c r="S557" s="454"/>
      <c r="AN557" s="454"/>
      <c r="AY557" s="454"/>
      <c r="AZ557" s="454"/>
      <c r="BA557" s="1306"/>
      <c r="BC557" s="169"/>
    </row>
    <row r="558" spans="19:55">
      <c r="S558" s="454"/>
      <c r="AN558" s="454"/>
      <c r="AY558" s="454"/>
      <c r="AZ558" s="454"/>
      <c r="BA558" s="1306"/>
      <c r="BC558" s="169"/>
    </row>
    <row r="559" spans="19:55">
      <c r="S559" s="454"/>
      <c r="AN559" s="454"/>
      <c r="AY559" s="454"/>
      <c r="AZ559" s="454"/>
      <c r="BA559" s="1306"/>
      <c r="BC559" s="169"/>
    </row>
    <row r="560" spans="19:55">
      <c r="S560" s="454"/>
      <c r="AN560" s="454"/>
      <c r="AY560" s="454"/>
      <c r="AZ560" s="454"/>
      <c r="BA560" s="1306"/>
      <c r="BC560" s="169"/>
    </row>
    <row r="561" spans="19:55">
      <c r="S561" s="454"/>
      <c r="AN561" s="454"/>
      <c r="AY561" s="454"/>
      <c r="AZ561" s="454"/>
      <c r="BA561" s="1306"/>
      <c r="BC561" s="169"/>
    </row>
    <row r="562" spans="19:55">
      <c r="S562" s="454"/>
      <c r="AN562" s="454"/>
      <c r="AY562" s="454"/>
      <c r="AZ562" s="454"/>
      <c r="BA562" s="1306"/>
      <c r="BC562" s="169"/>
    </row>
    <row r="563" spans="19:55">
      <c r="S563" s="454"/>
      <c r="AN563" s="454"/>
      <c r="AY563" s="454"/>
      <c r="AZ563" s="454"/>
      <c r="BA563" s="1306"/>
      <c r="BC563" s="169"/>
    </row>
    <row r="564" spans="19:55">
      <c r="S564" s="454"/>
      <c r="AN564" s="454"/>
      <c r="AY564" s="454"/>
      <c r="AZ564" s="454"/>
      <c r="BA564" s="1306"/>
      <c r="BC564" s="169"/>
    </row>
    <row r="565" spans="19:55">
      <c r="S565" s="454"/>
      <c r="AN565" s="454"/>
      <c r="AY565" s="454"/>
      <c r="AZ565" s="454"/>
      <c r="BA565" s="1306"/>
      <c r="BC565" s="169"/>
    </row>
    <row r="566" spans="19:55">
      <c r="S566" s="454"/>
      <c r="AN566" s="454"/>
      <c r="AY566" s="454"/>
      <c r="AZ566" s="454"/>
      <c r="BA566" s="1306"/>
      <c r="BC566" s="169"/>
    </row>
    <row r="567" spans="19:55">
      <c r="S567" s="454"/>
      <c r="AN567" s="454"/>
      <c r="AY567" s="454"/>
      <c r="AZ567" s="454"/>
      <c r="BA567" s="1306"/>
      <c r="BC567" s="169"/>
    </row>
    <row r="568" spans="19:55">
      <c r="S568" s="454"/>
      <c r="AN568" s="454"/>
      <c r="AY568" s="454"/>
      <c r="AZ568" s="454"/>
      <c r="BA568" s="1306"/>
      <c r="BC568" s="169"/>
    </row>
    <row r="569" spans="19:55">
      <c r="S569" s="454"/>
      <c r="AN569" s="454"/>
      <c r="AY569" s="454"/>
      <c r="AZ569" s="454"/>
      <c r="BA569" s="1306"/>
      <c r="BC569" s="169"/>
    </row>
    <row r="570" spans="19:55">
      <c r="S570" s="454"/>
      <c r="AN570" s="454"/>
      <c r="AY570" s="454"/>
      <c r="AZ570" s="454"/>
      <c r="BA570" s="1306"/>
      <c r="BC570" s="169"/>
    </row>
    <row r="571" spans="19:55">
      <c r="S571" s="454"/>
      <c r="AN571" s="454"/>
      <c r="AY571" s="454"/>
      <c r="AZ571" s="454"/>
      <c r="BA571" s="1306"/>
      <c r="BC571" s="169"/>
    </row>
    <row r="572" spans="19:55">
      <c r="S572" s="454"/>
      <c r="AN572" s="454"/>
      <c r="AY572" s="454"/>
      <c r="AZ572" s="454"/>
      <c r="BA572" s="1306"/>
      <c r="BC572" s="169"/>
    </row>
    <row r="573" spans="19:55">
      <c r="S573" s="454"/>
      <c r="AN573" s="454"/>
      <c r="AY573" s="454"/>
      <c r="AZ573" s="454"/>
      <c r="BA573" s="1306"/>
      <c r="BC573" s="169"/>
    </row>
    <row r="574" spans="19:55">
      <c r="S574" s="454"/>
      <c r="AN574" s="454"/>
      <c r="AY574" s="454"/>
      <c r="AZ574" s="454"/>
      <c r="BA574" s="1306"/>
      <c r="BC574" s="169"/>
    </row>
    <row r="575" spans="19:55">
      <c r="S575" s="454"/>
      <c r="AN575" s="454"/>
      <c r="AY575" s="454"/>
      <c r="AZ575" s="454"/>
      <c r="BA575" s="1306"/>
      <c r="BC575" s="169"/>
    </row>
    <row r="576" spans="19:55">
      <c r="S576" s="454"/>
      <c r="AN576" s="454"/>
      <c r="AY576" s="454"/>
      <c r="AZ576" s="454"/>
      <c r="BA576" s="1306"/>
      <c r="BC576" s="169"/>
    </row>
    <row r="577" spans="19:55">
      <c r="S577" s="454"/>
      <c r="AN577" s="454"/>
      <c r="AY577" s="454"/>
      <c r="AZ577" s="454"/>
      <c r="BA577" s="1306"/>
      <c r="BC577" s="169"/>
    </row>
    <row r="578" spans="19:55">
      <c r="S578" s="454"/>
      <c r="AN578" s="454"/>
      <c r="AY578" s="454"/>
      <c r="AZ578" s="454"/>
      <c r="BA578" s="1306"/>
      <c r="BC578" s="169"/>
    </row>
    <row r="579" spans="19:55">
      <c r="S579" s="454"/>
      <c r="AN579" s="454"/>
      <c r="AY579" s="454"/>
      <c r="AZ579" s="454"/>
      <c r="BA579" s="1306"/>
      <c r="BC579" s="169"/>
    </row>
    <row r="580" spans="19:55">
      <c r="S580" s="454"/>
      <c r="AN580" s="454"/>
      <c r="AY580" s="454"/>
      <c r="AZ580" s="454"/>
      <c r="BA580" s="1306"/>
      <c r="BC580" s="169"/>
    </row>
    <row r="581" spans="19:55">
      <c r="S581" s="454"/>
      <c r="AN581" s="454"/>
      <c r="AY581" s="454"/>
      <c r="AZ581" s="454"/>
      <c r="BA581" s="1306"/>
      <c r="BC581" s="169"/>
    </row>
    <row r="582" spans="19:55">
      <c r="S582" s="454"/>
      <c r="AN582" s="454"/>
      <c r="AY582" s="454"/>
      <c r="AZ582" s="454"/>
      <c r="BA582" s="1306"/>
      <c r="BC582" s="169"/>
    </row>
    <row r="583" spans="19:55">
      <c r="S583" s="454"/>
      <c r="AN583" s="454"/>
      <c r="AY583" s="454"/>
      <c r="AZ583" s="454"/>
      <c r="BA583" s="1306"/>
      <c r="BC583" s="169"/>
    </row>
    <row r="584" spans="19:55">
      <c r="S584" s="454"/>
      <c r="AN584" s="454"/>
      <c r="AY584" s="454"/>
      <c r="AZ584" s="454"/>
      <c r="BA584" s="1306"/>
      <c r="BC584" s="169"/>
    </row>
    <row r="585" spans="19:55">
      <c r="S585" s="454"/>
      <c r="AN585" s="454"/>
      <c r="AY585" s="454"/>
      <c r="AZ585" s="454"/>
      <c r="BA585" s="1306"/>
      <c r="BC585" s="169"/>
    </row>
    <row r="586" spans="19:55">
      <c r="S586" s="454"/>
      <c r="AN586" s="454"/>
      <c r="AY586" s="454"/>
      <c r="AZ586" s="454"/>
      <c r="BA586" s="1306"/>
      <c r="BC586" s="169"/>
    </row>
    <row r="587" spans="19:55">
      <c r="S587" s="454"/>
      <c r="AN587" s="454"/>
      <c r="AY587" s="454"/>
      <c r="AZ587" s="454"/>
      <c r="BA587" s="1306"/>
      <c r="BC587" s="169"/>
    </row>
    <row r="588" spans="19:55">
      <c r="S588" s="454"/>
      <c r="AN588" s="454"/>
      <c r="AY588" s="454"/>
      <c r="AZ588" s="454"/>
      <c r="BA588" s="1306"/>
      <c r="BC588" s="169"/>
    </row>
    <row r="589" spans="19:55">
      <c r="S589" s="454"/>
      <c r="AN589" s="454"/>
      <c r="AY589" s="454"/>
      <c r="AZ589" s="454"/>
      <c r="BA589" s="1306"/>
      <c r="BC589" s="169"/>
    </row>
    <row r="590" spans="19:55">
      <c r="S590" s="454"/>
      <c r="AN590" s="454"/>
      <c r="AY590" s="454"/>
      <c r="AZ590" s="454"/>
      <c r="BA590" s="1306"/>
      <c r="BC590" s="169"/>
    </row>
    <row r="591" spans="19:55">
      <c r="S591" s="454"/>
      <c r="AN591" s="454"/>
      <c r="AY591" s="454"/>
      <c r="AZ591" s="454"/>
      <c r="BA591" s="1306"/>
      <c r="BC591" s="169"/>
    </row>
    <row r="592" spans="19:55">
      <c r="S592" s="454"/>
      <c r="AN592" s="454"/>
      <c r="AY592" s="454"/>
      <c r="AZ592" s="454"/>
      <c r="BA592" s="1306"/>
      <c r="BC592" s="169"/>
    </row>
    <row r="593" spans="19:55">
      <c r="S593" s="454"/>
      <c r="AN593" s="454"/>
      <c r="AY593" s="454"/>
      <c r="AZ593" s="454"/>
      <c r="BA593" s="1306"/>
      <c r="BC593" s="169"/>
    </row>
    <row r="594" spans="19:55">
      <c r="S594" s="454"/>
      <c r="AN594" s="454"/>
      <c r="AY594" s="454"/>
      <c r="AZ594" s="454"/>
      <c r="BA594" s="1306"/>
      <c r="BC594" s="169"/>
    </row>
    <row r="595" spans="19:55">
      <c r="S595" s="454"/>
      <c r="AN595" s="454"/>
      <c r="AY595" s="454"/>
      <c r="AZ595" s="454"/>
      <c r="BA595" s="1306"/>
      <c r="BC595" s="169"/>
    </row>
    <row r="596" spans="19:55">
      <c r="S596" s="454"/>
      <c r="AN596" s="454"/>
      <c r="AY596" s="454"/>
      <c r="AZ596" s="454"/>
      <c r="BA596" s="1306"/>
      <c r="BC596" s="169"/>
    </row>
    <row r="597" spans="19:55">
      <c r="S597" s="454"/>
      <c r="AN597" s="454"/>
      <c r="AY597" s="454"/>
      <c r="AZ597" s="454"/>
      <c r="BA597" s="1306"/>
      <c r="BC597" s="169"/>
    </row>
    <row r="598" spans="19:55">
      <c r="S598" s="454"/>
      <c r="AN598" s="454"/>
      <c r="AY598" s="454"/>
      <c r="AZ598" s="454"/>
      <c r="BA598" s="1306"/>
      <c r="BC598" s="169"/>
    </row>
    <row r="599" spans="19:55">
      <c r="S599" s="454"/>
      <c r="AN599" s="454"/>
      <c r="AY599" s="454"/>
      <c r="AZ599" s="454"/>
      <c r="BA599" s="1306"/>
      <c r="BC599" s="169"/>
    </row>
    <row r="600" spans="19:55">
      <c r="S600" s="454"/>
      <c r="AN600" s="454"/>
      <c r="AY600" s="454"/>
      <c r="AZ600" s="454"/>
      <c r="BA600" s="1306"/>
      <c r="BC600" s="169"/>
    </row>
    <row r="601" spans="19:55">
      <c r="S601" s="454"/>
      <c r="AN601" s="454"/>
      <c r="AY601" s="454"/>
      <c r="AZ601" s="454"/>
      <c r="BA601" s="1306"/>
      <c r="BC601" s="169"/>
    </row>
    <row r="602" spans="19:55">
      <c r="S602" s="454"/>
      <c r="AN602" s="454"/>
      <c r="AY602" s="454"/>
      <c r="AZ602" s="454"/>
      <c r="BA602" s="1306"/>
      <c r="BC602" s="169"/>
    </row>
    <row r="603" spans="19:55">
      <c r="S603" s="454"/>
      <c r="AN603" s="454"/>
      <c r="AY603" s="454"/>
      <c r="AZ603" s="454"/>
      <c r="BA603" s="1306"/>
      <c r="BC603" s="169"/>
    </row>
    <row r="604" spans="19:55">
      <c r="S604" s="454"/>
      <c r="AN604" s="454"/>
      <c r="AY604" s="454"/>
      <c r="AZ604" s="454"/>
      <c r="BA604" s="1306"/>
      <c r="BC604" s="169"/>
    </row>
    <row r="605" spans="19:55">
      <c r="S605" s="454"/>
      <c r="AN605" s="454"/>
      <c r="AY605" s="454"/>
      <c r="AZ605" s="454"/>
      <c r="BA605" s="1306"/>
      <c r="BC605" s="169"/>
    </row>
    <row r="606" spans="19:55">
      <c r="S606" s="454"/>
      <c r="AN606" s="454"/>
      <c r="AY606" s="454"/>
      <c r="AZ606" s="454"/>
      <c r="BA606" s="1306"/>
      <c r="BC606" s="169"/>
    </row>
    <row r="607" spans="19:55">
      <c r="S607" s="454"/>
      <c r="AN607" s="454"/>
      <c r="AY607" s="454"/>
      <c r="AZ607" s="454"/>
      <c r="BA607" s="1306"/>
      <c r="BC607" s="169"/>
    </row>
    <row r="608" spans="19:55">
      <c r="S608" s="454"/>
      <c r="AN608" s="454"/>
      <c r="AY608" s="454"/>
      <c r="AZ608" s="454"/>
      <c r="BA608" s="1306"/>
      <c r="BC608" s="169"/>
    </row>
    <row r="609" spans="19:55">
      <c r="S609" s="454"/>
      <c r="AN609" s="454"/>
      <c r="AY609" s="454"/>
      <c r="AZ609" s="454"/>
      <c r="BA609" s="1306"/>
      <c r="BC609" s="169"/>
    </row>
    <row r="610" spans="19:55">
      <c r="S610" s="454"/>
      <c r="AN610" s="454"/>
      <c r="AY610" s="454"/>
      <c r="AZ610" s="454"/>
      <c r="BA610" s="1306"/>
      <c r="BC610" s="169"/>
    </row>
    <row r="611" spans="19:55">
      <c r="S611" s="454"/>
      <c r="AN611" s="454"/>
      <c r="AY611" s="454"/>
      <c r="AZ611" s="454"/>
      <c r="BA611" s="1306"/>
      <c r="BC611" s="169"/>
    </row>
    <row r="612" spans="19:55">
      <c r="S612" s="454"/>
      <c r="AN612" s="454"/>
      <c r="AY612" s="454"/>
      <c r="AZ612" s="454"/>
      <c r="BA612" s="1306"/>
      <c r="BC612" s="169"/>
    </row>
    <row r="613" spans="19:55">
      <c r="S613" s="454"/>
      <c r="AN613" s="454"/>
      <c r="AY613" s="454"/>
      <c r="AZ613" s="454"/>
      <c r="BA613" s="1306"/>
      <c r="BC613" s="169"/>
    </row>
    <row r="614" spans="19:55">
      <c r="S614" s="454"/>
      <c r="AN614" s="454"/>
      <c r="AY614" s="454"/>
      <c r="AZ614" s="454"/>
      <c r="BA614" s="1306"/>
      <c r="BC614" s="169"/>
    </row>
    <row r="615" spans="19:55">
      <c r="S615" s="454"/>
      <c r="AN615" s="454"/>
      <c r="AY615" s="454"/>
      <c r="AZ615" s="454"/>
      <c r="BA615" s="1306"/>
      <c r="BC615" s="169"/>
    </row>
    <row r="616" spans="19:55">
      <c r="S616" s="454"/>
      <c r="AN616" s="454"/>
      <c r="AY616" s="454"/>
      <c r="AZ616" s="454"/>
      <c r="BA616" s="1306"/>
      <c r="BC616" s="169"/>
    </row>
    <row r="617" spans="19:55">
      <c r="S617" s="454"/>
      <c r="AN617" s="454"/>
      <c r="AY617" s="454"/>
      <c r="AZ617" s="454"/>
      <c r="BA617" s="1306"/>
      <c r="BC617" s="169"/>
    </row>
    <row r="618" spans="19:55">
      <c r="S618" s="454"/>
      <c r="AN618" s="454"/>
      <c r="AY618" s="454"/>
      <c r="AZ618" s="454"/>
      <c r="BA618" s="1306"/>
      <c r="BC618" s="169"/>
    </row>
    <row r="619" spans="19:55">
      <c r="S619" s="454"/>
      <c r="AN619" s="454"/>
      <c r="AY619" s="454"/>
      <c r="AZ619" s="454"/>
      <c r="BA619" s="1306"/>
      <c r="BC619" s="169"/>
    </row>
    <row r="620" spans="19:55">
      <c r="S620" s="454"/>
      <c r="AN620" s="454"/>
      <c r="AY620" s="454"/>
      <c r="AZ620" s="454"/>
      <c r="BA620" s="1306"/>
      <c r="BC620" s="169"/>
    </row>
    <row r="621" spans="19:55">
      <c r="S621" s="454"/>
      <c r="AN621" s="454"/>
      <c r="AY621" s="454"/>
      <c r="AZ621" s="454"/>
      <c r="BA621" s="1306"/>
      <c r="BC621" s="169"/>
    </row>
    <row r="622" spans="19:55">
      <c r="S622" s="454"/>
      <c r="AN622" s="454"/>
      <c r="AY622" s="454"/>
      <c r="AZ622" s="454"/>
      <c r="BA622" s="1306"/>
      <c r="BC622" s="169"/>
    </row>
    <row r="623" spans="19:55">
      <c r="S623" s="454"/>
      <c r="AN623" s="454"/>
      <c r="AY623" s="454"/>
      <c r="AZ623" s="454"/>
      <c r="BA623" s="1306"/>
      <c r="BC623" s="169"/>
    </row>
    <row r="624" spans="19:55">
      <c r="S624" s="454"/>
      <c r="AN624" s="454"/>
      <c r="AY624" s="454"/>
      <c r="AZ624" s="454"/>
      <c r="BA624" s="1306"/>
      <c r="BC624" s="169"/>
    </row>
    <row r="625" spans="19:55">
      <c r="S625" s="454"/>
      <c r="AN625" s="454"/>
      <c r="AY625" s="454"/>
      <c r="AZ625" s="454"/>
      <c r="BA625" s="1306"/>
      <c r="BC625" s="169"/>
    </row>
    <row r="626" spans="19:55">
      <c r="S626" s="454"/>
      <c r="AN626" s="454"/>
      <c r="AY626" s="454"/>
      <c r="AZ626" s="454"/>
      <c r="BA626" s="1306"/>
      <c r="BC626" s="169"/>
    </row>
    <row r="627" spans="19:55">
      <c r="S627" s="454"/>
      <c r="AN627" s="454"/>
      <c r="AY627" s="454"/>
      <c r="AZ627" s="454"/>
      <c r="BA627" s="1306"/>
      <c r="BC627" s="169"/>
    </row>
    <row r="628" spans="19:55">
      <c r="S628" s="454"/>
      <c r="AN628" s="454"/>
      <c r="AY628" s="454"/>
      <c r="AZ628" s="454"/>
      <c r="BA628" s="1306"/>
      <c r="BC628" s="169"/>
    </row>
    <row r="629" spans="19:55">
      <c r="S629" s="454"/>
      <c r="AN629" s="454"/>
      <c r="AY629" s="454"/>
      <c r="AZ629" s="454"/>
      <c r="BA629" s="1306"/>
      <c r="BC629" s="169"/>
    </row>
    <row r="630" spans="19:55">
      <c r="S630" s="454"/>
      <c r="AN630" s="454"/>
      <c r="AY630" s="454"/>
      <c r="AZ630" s="454"/>
      <c r="BA630" s="1306"/>
      <c r="BC630" s="169"/>
    </row>
    <row r="631" spans="19:55">
      <c r="S631" s="454"/>
      <c r="AN631" s="454"/>
      <c r="AY631" s="454"/>
      <c r="AZ631" s="454"/>
      <c r="BA631" s="1306"/>
      <c r="BC631" s="169"/>
    </row>
    <row r="632" spans="19:55">
      <c r="S632" s="454"/>
      <c r="AN632" s="454"/>
      <c r="AY632" s="454"/>
      <c r="AZ632" s="454"/>
      <c r="BA632" s="1306"/>
      <c r="BC632" s="169"/>
    </row>
    <row r="633" spans="19:55">
      <c r="S633" s="454"/>
      <c r="AN633" s="454"/>
      <c r="AY633" s="454"/>
      <c r="AZ633" s="454"/>
      <c r="BA633" s="1306"/>
      <c r="BC633" s="169"/>
    </row>
    <row r="634" spans="19:55">
      <c r="S634" s="454"/>
      <c r="AN634" s="454"/>
      <c r="AY634" s="454"/>
      <c r="AZ634" s="454"/>
      <c r="BA634" s="1306"/>
      <c r="BC634" s="169"/>
    </row>
    <row r="635" spans="19:55">
      <c r="S635" s="454"/>
      <c r="AN635" s="454"/>
      <c r="AY635" s="454"/>
      <c r="AZ635" s="454"/>
      <c r="BA635" s="1306"/>
      <c r="BC635" s="169"/>
    </row>
    <row r="636" spans="19:55">
      <c r="S636" s="454"/>
      <c r="AN636" s="454"/>
      <c r="AY636" s="454"/>
      <c r="AZ636" s="454"/>
      <c r="BA636" s="1306"/>
      <c r="BC636" s="169"/>
    </row>
    <row r="637" spans="19:55">
      <c r="S637" s="454"/>
      <c r="AN637" s="454"/>
      <c r="AY637" s="454"/>
      <c r="AZ637" s="454"/>
      <c r="BA637" s="1306"/>
      <c r="BC637" s="169"/>
    </row>
    <row r="638" spans="19:55">
      <c r="S638" s="454"/>
      <c r="AN638" s="454"/>
      <c r="AY638" s="454"/>
      <c r="AZ638" s="454"/>
      <c r="BA638" s="1306"/>
      <c r="BC638" s="169"/>
    </row>
    <row r="639" spans="19:55">
      <c r="S639" s="454"/>
      <c r="AN639" s="454"/>
      <c r="AY639" s="454"/>
      <c r="AZ639" s="454"/>
      <c r="BA639" s="1306"/>
      <c r="BC639" s="169"/>
    </row>
    <row r="640" spans="19:55">
      <c r="S640" s="454"/>
      <c r="AN640" s="454"/>
      <c r="AY640" s="454"/>
      <c r="AZ640" s="454"/>
      <c r="BA640" s="1306"/>
      <c r="BC640" s="169"/>
    </row>
    <row r="641" spans="19:55">
      <c r="S641" s="454"/>
      <c r="AN641" s="454"/>
      <c r="AY641" s="454"/>
      <c r="AZ641" s="454"/>
      <c r="BA641" s="1306"/>
      <c r="BC641" s="169"/>
    </row>
    <row r="642" spans="19:55">
      <c r="S642" s="454"/>
      <c r="AN642" s="454"/>
      <c r="AY642" s="454"/>
      <c r="AZ642" s="454"/>
      <c r="BA642" s="1306"/>
      <c r="BC642" s="169"/>
    </row>
    <row r="643" spans="19:55">
      <c r="S643" s="454"/>
      <c r="AN643" s="454"/>
      <c r="AY643" s="454"/>
      <c r="AZ643" s="454"/>
      <c r="BA643" s="1306"/>
      <c r="BC643" s="169"/>
    </row>
    <row r="644" spans="19:55">
      <c r="S644" s="454"/>
      <c r="AN644" s="454"/>
      <c r="AY644" s="454"/>
      <c r="AZ644" s="454"/>
      <c r="BA644" s="1306"/>
      <c r="BC644" s="169"/>
    </row>
    <row r="645" spans="19:55">
      <c r="S645" s="454"/>
      <c r="AN645" s="454"/>
      <c r="AY645" s="454"/>
      <c r="AZ645" s="454"/>
      <c r="BA645" s="1306"/>
      <c r="BC645" s="169"/>
    </row>
    <row r="646" spans="19:55">
      <c r="S646" s="454"/>
      <c r="AN646" s="454"/>
      <c r="AY646" s="454"/>
      <c r="AZ646" s="454"/>
      <c r="BA646" s="1306"/>
      <c r="BC646" s="169"/>
    </row>
    <row r="647" spans="19:55">
      <c r="S647" s="454"/>
      <c r="AN647" s="454"/>
      <c r="AY647" s="454"/>
      <c r="AZ647" s="454"/>
      <c r="BA647" s="1306"/>
      <c r="BC647" s="169"/>
    </row>
    <row r="648" spans="19:55">
      <c r="S648" s="454"/>
      <c r="AN648" s="454"/>
      <c r="AY648" s="454"/>
      <c r="AZ648" s="454"/>
      <c r="BA648" s="1306"/>
      <c r="BC648" s="169"/>
    </row>
    <row r="649" spans="19:55">
      <c r="S649" s="454"/>
      <c r="AN649" s="454"/>
      <c r="AY649" s="454"/>
      <c r="AZ649" s="454"/>
      <c r="BA649" s="1306"/>
      <c r="BC649" s="169"/>
    </row>
    <row r="650" spans="19:55">
      <c r="S650" s="454"/>
      <c r="AN650" s="454"/>
      <c r="AY650" s="454"/>
      <c r="AZ650" s="454"/>
      <c r="BA650" s="1306"/>
      <c r="BC650" s="169"/>
    </row>
    <row r="651" spans="19:55">
      <c r="S651" s="454"/>
      <c r="AN651" s="454"/>
      <c r="AY651" s="454"/>
      <c r="AZ651" s="454"/>
      <c r="BA651" s="1306"/>
      <c r="BC651" s="169"/>
    </row>
    <row r="652" spans="19:55">
      <c r="S652" s="454"/>
      <c r="AN652" s="454"/>
      <c r="AY652" s="454"/>
      <c r="AZ652" s="454"/>
      <c r="BA652" s="1306"/>
      <c r="BC652" s="169"/>
    </row>
    <row r="653" spans="19:55">
      <c r="S653" s="454"/>
      <c r="AN653" s="454"/>
      <c r="AY653" s="454"/>
      <c r="AZ653" s="454"/>
      <c r="BA653" s="1306"/>
      <c r="BC653" s="169"/>
    </row>
    <row r="654" spans="19:55">
      <c r="S654" s="454"/>
      <c r="AN654" s="454"/>
      <c r="AY654" s="454"/>
      <c r="AZ654" s="454"/>
      <c r="BA654" s="1306"/>
      <c r="BC654" s="169"/>
    </row>
    <row r="655" spans="19:55">
      <c r="S655" s="454"/>
      <c r="AN655" s="454"/>
      <c r="AY655" s="454"/>
      <c r="AZ655" s="454"/>
      <c r="BA655" s="1306"/>
      <c r="BC655" s="169"/>
    </row>
    <row r="656" spans="19:55">
      <c r="S656" s="454"/>
      <c r="AN656" s="454"/>
      <c r="AY656" s="454"/>
      <c r="AZ656" s="454"/>
      <c r="BA656" s="1306"/>
      <c r="BC656" s="169"/>
    </row>
    <row r="657" spans="19:55">
      <c r="S657" s="454"/>
      <c r="AN657" s="454"/>
      <c r="AY657" s="454"/>
      <c r="AZ657" s="454"/>
      <c r="BA657" s="1306"/>
      <c r="BC657" s="169"/>
    </row>
    <row r="658" spans="19:55">
      <c r="S658" s="454"/>
      <c r="AN658" s="454"/>
      <c r="AY658" s="454"/>
      <c r="AZ658" s="454"/>
      <c r="BA658" s="1306"/>
      <c r="BC658" s="169"/>
    </row>
    <row r="659" spans="19:55">
      <c r="S659" s="454"/>
      <c r="AN659" s="454"/>
      <c r="AY659" s="454"/>
      <c r="AZ659" s="454"/>
      <c r="BA659" s="1306"/>
      <c r="BC659" s="169"/>
    </row>
    <row r="660" spans="19:55">
      <c r="S660" s="454"/>
      <c r="AN660" s="454"/>
      <c r="AY660" s="454"/>
      <c r="AZ660" s="454"/>
      <c r="BA660" s="1306"/>
      <c r="BC660" s="169"/>
    </row>
    <row r="661" spans="19:55">
      <c r="S661" s="454"/>
      <c r="AN661" s="454"/>
      <c r="AY661" s="454"/>
      <c r="AZ661" s="454"/>
      <c r="BA661" s="1306"/>
      <c r="BC661" s="169"/>
    </row>
    <row r="662" spans="19:55">
      <c r="S662" s="454"/>
      <c r="AN662" s="454"/>
      <c r="AY662" s="454"/>
      <c r="AZ662" s="454"/>
      <c r="BA662" s="1306"/>
      <c r="BC662" s="169"/>
    </row>
    <row r="663" spans="19:55">
      <c r="S663" s="454"/>
      <c r="AN663" s="454"/>
      <c r="AY663" s="454"/>
      <c r="AZ663" s="454"/>
      <c r="BA663" s="1306"/>
      <c r="BC663" s="169"/>
    </row>
    <row r="664" spans="19:55">
      <c r="S664" s="454"/>
      <c r="AN664" s="454"/>
      <c r="AY664" s="454"/>
      <c r="AZ664" s="454"/>
      <c r="BA664" s="1306"/>
      <c r="BC664" s="169"/>
    </row>
    <row r="665" spans="19:55">
      <c r="S665" s="454"/>
      <c r="AN665" s="454"/>
      <c r="AY665" s="454"/>
      <c r="AZ665" s="454"/>
      <c r="BA665" s="1306"/>
      <c r="BC665" s="169"/>
    </row>
    <row r="666" spans="19:55">
      <c r="S666" s="454"/>
      <c r="AN666" s="454"/>
      <c r="AY666" s="454"/>
      <c r="AZ666" s="454"/>
      <c r="BA666" s="1306"/>
      <c r="BC666" s="169"/>
    </row>
    <row r="667" spans="19:55">
      <c r="S667" s="454"/>
      <c r="AN667" s="454"/>
      <c r="AY667" s="454"/>
      <c r="AZ667" s="454"/>
      <c r="BA667" s="1306"/>
      <c r="BC667" s="169"/>
    </row>
    <row r="668" spans="19:55">
      <c r="S668" s="454"/>
      <c r="AN668" s="454"/>
      <c r="AY668" s="454"/>
      <c r="AZ668" s="454"/>
      <c r="BA668" s="1306"/>
      <c r="BC668" s="169"/>
    </row>
    <row r="669" spans="19:55">
      <c r="S669" s="454"/>
      <c r="AN669" s="454"/>
      <c r="AY669" s="454"/>
      <c r="AZ669" s="454"/>
      <c r="BA669" s="1306"/>
      <c r="BC669" s="169"/>
    </row>
    <row r="670" spans="19:55">
      <c r="S670" s="454"/>
      <c r="AN670" s="454"/>
      <c r="AY670" s="454"/>
      <c r="AZ670" s="454"/>
      <c r="BA670" s="1306"/>
      <c r="BC670" s="169"/>
    </row>
    <row r="671" spans="19:55">
      <c r="S671" s="454"/>
      <c r="AN671" s="454"/>
      <c r="AY671" s="454"/>
      <c r="AZ671" s="454"/>
      <c r="BA671" s="1306"/>
      <c r="BC671" s="169"/>
    </row>
    <row r="672" spans="19:55">
      <c r="S672" s="454"/>
      <c r="AN672" s="454"/>
      <c r="AY672" s="454"/>
      <c r="AZ672" s="454"/>
      <c r="BA672" s="1306"/>
      <c r="BC672" s="169"/>
    </row>
    <row r="673" spans="19:55">
      <c r="S673" s="454"/>
      <c r="AN673" s="454"/>
      <c r="AY673" s="454"/>
      <c r="AZ673" s="454"/>
      <c r="BA673" s="1306"/>
      <c r="BC673" s="169"/>
    </row>
    <row r="674" spans="19:55">
      <c r="S674" s="454"/>
      <c r="AN674" s="454"/>
      <c r="AY674" s="454"/>
      <c r="AZ674" s="454"/>
      <c r="BA674" s="1306"/>
      <c r="BC674" s="169"/>
    </row>
    <row r="675" spans="19:55">
      <c r="S675" s="454"/>
      <c r="AN675" s="454"/>
      <c r="AY675" s="454"/>
      <c r="AZ675" s="454"/>
      <c r="BA675" s="1306"/>
      <c r="BC675" s="169"/>
    </row>
    <row r="676" spans="19:55">
      <c r="S676" s="454"/>
      <c r="AN676" s="454"/>
      <c r="AY676" s="454"/>
      <c r="AZ676" s="454"/>
      <c r="BA676" s="1306"/>
      <c r="BC676" s="169"/>
    </row>
    <row r="677" spans="19:55">
      <c r="S677" s="454"/>
      <c r="AN677" s="454"/>
      <c r="AY677" s="454"/>
      <c r="AZ677" s="454"/>
      <c r="BA677" s="1306"/>
      <c r="BC677" s="169"/>
    </row>
    <row r="678" spans="19:55">
      <c r="S678" s="454"/>
      <c r="AN678" s="454"/>
      <c r="AY678" s="454"/>
      <c r="AZ678" s="454"/>
      <c r="BA678" s="1306"/>
      <c r="BC678" s="169"/>
    </row>
    <row r="679" spans="19:55">
      <c r="S679" s="454"/>
      <c r="AN679" s="454"/>
      <c r="AY679" s="454"/>
      <c r="AZ679" s="454"/>
      <c r="BA679" s="1306"/>
      <c r="BC679" s="169"/>
    </row>
    <row r="680" spans="19:55">
      <c r="S680" s="454"/>
      <c r="AN680" s="454"/>
      <c r="AY680" s="454"/>
      <c r="AZ680" s="454"/>
      <c r="BA680" s="1306"/>
      <c r="BC680" s="169"/>
    </row>
    <row r="681" spans="19:55">
      <c r="S681" s="454"/>
      <c r="AN681" s="454"/>
      <c r="AY681" s="454"/>
      <c r="AZ681" s="454"/>
      <c r="BA681" s="1306"/>
      <c r="BC681" s="169"/>
    </row>
    <row r="682" spans="19:55">
      <c r="S682" s="454"/>
      <c r="AN682" s="454"/>
      <c r="AY682" s="454"/>
      <c r="AZ682" s="454"/>
      <c r="BA682" s="1306"/>
      <c r="BC682" s="169"/>
    </row>
    <row r="683" spans="19:55">
      <c r="S683" s="454"/>
      <c r="AN683" s="454"/>
      <c r="AY683" s="454"/>
      <c r="AZ683" s="454"/>
      <c r="BA683" s="1306"/>
      <c r="BC683" s="169"/>
    </row>
    <row r="684" spans="19:55">
      <c r="S684" s="454"/>
      <c r="AN684" s="454"/>
      <c r="AY684" s="454"/>
      <c r="AZ684" s="454"/>
      <c r="BA684" s="1306"/>
      <c r="BC684" s="169"/>
    </row>
    <row r="685" spans="19:55">
      <c r="S685" s="454"/>
      <c r="AN685" s="454"/>
      <c r="AY685" s="454"/>
      <c r="AZ685" s="454"/>
      <c r="BA685" s="1306"/>
      <c r="BC685" s="169"/>
    </row>
    <row r="686" spans="19:55">
      <c r="S686" s="454"/>
      <c r="AN686" s="454"/>
      <c r="AY686" s="454"/>
      <c r="AZ686" s="454"/>
      <c r="BA686" s="1306"/>
      <c r="BC686" s="169"/>
    </row>
    <row r="687" spans="19:55">
      <c r="S687" s="454"/>
      <c r="AN687" s="454"/>
      <c r="AY687" s="454"/>
      <c r="AZ687" s="454"/>
      <c r="BA687" s="1306"/>
      <c r="BC687" s="169"/>
    </row>
    <row r="688" spans="19:55">
      <c r="S688" s="454"/>
      <c r="AN688" s="454"/>
      <c r="AY688" s="454"/>
      <c r="AZ688" s="454"/>
      <c r="BA688" s="1306"/>
      <c r="BC688" s="169"/>
    </row>
    <row r="689" spans="19:55">
      <c r="S689" s="454"/>
      <c r="AN689" s="454"/>
      <c r="AY689" s="454"/>
      <c r="AZ689" s="454"/>
      <c r="BA689" s="1306"/>
      <c r="BC689" s="169"/>
    </row>
    <row r="690" spans="19:55">
      <c r="S690" s="454"/>
      <c r="AN690" s="454"/>
      <c r="AY690" s="454"/>
      <c r="AZ690" s="454"/>
      <c r="BA690" s="1306"/>
      <c r="BC690" s="169"/>
    </row>
    <row r="691" spans="19:55">
      <c r="S691" s="454"/>
      <c r="AN691" s="454"/>
      <c r="AY691" s="454"/>
      <c r="AZ691" s="454"/>
      <c r="BA691" s="1306"/>
      <c r="BC691" s="169"/>
    </row>
    <row r="692" spans="19:55">
      <c r="S692" s="454"/>
      <c r="AN692" s="454"/>
      <c r="AY692" s="454"/>
      <c r="AZ692" s="454"/>
      <c r="BA692" s="1306"/>
      <c r="BC692" s="169"/>
    </row>
    <row r="693" spans="19:55">
      <c r="S693" s="454"/>
      <c r="AN693" s="454"/>
      <c r="AY693" s="454"/>
      <c r="AZ693" s="454"/>
      <c r="BA693" s="1306"/>
      <c r="BC693" s="169"/>
    </row>
    <row r="694" spans="19:55">
      <c r="S694" s="454"/>
      <c r="AN694" s="454"/>
      <c r="AY694" s="454"/>
      <c r="AZ694" s="454"/>
      <c r="BA694" s="1306"/>
      <c r="BC694" s="169"/>
    </row>
    <row r="695" spans="19:55">
      <c r="S695" s="454"/>
      <c r="AN695" s="454"/>
      <c r="AY695" s="454"/>
      <c r="AZ695" s="454"/>
      <c r="BA695" s="1306"/>
      <c r="BC695" s="169"/>
    </row>
    <row r="696" spans="19:55">
      <c r="S696" s="454"/>
      <c r="AN696" s="454"/>
      <c r="AY696" s="454"/>
      <c r="AZ696" s="454"/>
      <c r="BA696" s="1306"/>
      <c r="BC696" s="169"/>
    </row>
    <row r="697" spans="19:55">
      <c r="S697" s="454"/>
      <c r="AN697" s="454"/>
      <c r="AY697" s="454"/>
      <c r="AZ697" s="454"/>
      <c r="BA697" s="1306"/>
      <c r="BC697" s="169"/>
    </row>
    <row r="698" spans="19:55">
      <c r="S698" s="454"/>
      <c r="AN698" s="454"/>
      <c r="AY698" s="454"/>
      <c r="AZ698" s="454"/>
      <c r="BA698" s="1306"/>
      <c r="BC698" s="169"/>
    </row>
    <row r="699" spans="19:55">
      <c r="S699" s="454"/>
      <c r="AN699" s="454"/>
      <c r="AY699" s="454"/>
      <c r="AZ699" s="454"/>
      <c r="BA699" s="1306"/>
      <c r="BC699" s="169"/>
    </row>
    <row r="700" spans="19:55">
      <c r="S700" s="454"/>
      <c r="AN700" s="454"/>
      <c r="AY700" s="454"/>
      <c r="AZ700" s="454"/>
      <c r="BA700" s="1306"/>
      <c r="BC700" s="169"/>
    </row>
    <row r="701" spans="19:55">
      <c r="S701" s="454"/>
      <c r="AN701" s="454"/>
      <c r="AY701" s="454"/>
      <c r="AZ701" s="454"/>
      <c r="BA701" s="1306"/>
      <c r="BC701" s="169"/>
    </row>
    <row r="702" spans="19:55">
      <c r="S702" s="454"/>
      <c r="AN702" s="454"/>
      <c r="AY702" s="454"/>
      <c r="AZ702" s="454"/>
      <c r="BA702" s="1306"/>
      <c r="BC702" s="169"/>
    </row>
    <row r="703" spans="19:55">
      <c r="S703" s="454"/>
      <c r="AN703" s="454"/>
      <c r="AY703" s="454"/>
      <c r="AZ703" s="454"/>
      <c r="BA703" s="1306"/>
      <c r="BC703" s="169"/>
    </row>
    <row r="704" spans="19:55">
      <c r="S704" s="454"/>
      <c r="AN704" s="454"/>
      <c r="AY704" s="454"/>
      <c r="AZ704" s="454"/>
      <c r="BA704" s="1306"/>
      <c r="BC704" s="169"/>
    </row>
    <row r="705" spans="19:55">
      <c r="S705" s="454"/>
      <c r="AN705" s="454"/>
      <c r="AY705" s="454"/>
      <c r="AZ705" s="454"/>
      <c r="BA705" s="1306"/>
      <c r="BC705" s="169"/>
    </row>
    <row r="706" spans="19:55">
      <c r="S706" s="454"/>
      <c r="AN706" s="454"/>
      <c r="AY706" s="454"/>
      <c r="AZ706" s="454"/>
      <c r="BA706" s="1306"/>
      <c r="BC706" s="169"/>
    </row>
    <row r="707" spans="19:55">
      <c r="S707" s="454"/>
      <c r="AN707" s="454"/>
      <c r="AY707" s="454"/>
      <c r="AZ707" s="454"/>
      <c r="BA707" s="1306"/>
      <c r="BC707" s="169"/>
    </row>
    <row r="708" spans="19:55">
      <c r="S708" s="454"/>
      <c r="AN708" s="454"/>
      <c r="AY708" s="454"/>
      <c r="AZ708" s="454"/>
      <c r="BA708" s="1306"/>
      <c r="BC708" s="169"/>
    </row>
    <row r="709" spans="19:55">
      <c r="S709" s="454"/>
      <c r="AN709" s="454"/>
      <c r="AY709" s="454"/>
      <c r="AZ709" s="454"/>
      <c r="BA709" s="1306"/>
      <c r="BC709" s="169"/>
    </row>
    <row r="710" spans="19:55">
      <c r="S710" s="454"/>
      <c r="AN710" s="454"/>
      <c r="AY710" s="454"/>
      <c r="AZ710" s="454"/>
      <c r="BA710" s="1306"/>
      <c r="BC710" s="169"/>
    </row>
    <row r="711" spans="19:55">
      <c r="S711" s="454"/>
      <c r="AN711" s="454"/>
      <c r="AY711" s="454"/>
      <c r="AZ711" s="454"/>
      <c r="BA711" s="1306"/>
      <c r="BC711" s="169"/>
    </row>
    <row r="712" spans="19:55">
      <c r="S712" s="454"/>
      <c r="AN712" s="454"/>
      <c r="AY712" s="454"/>
      <c r="AZ712" s="454"/>
      <c r="BA712" s="1306"/>
      <c r="BC712" s="169"/>
    </row>
    <row r="713" spans="19:55">
      <c r="S713" s="454"/>
      <c r="AN713" s="454"/>
      <c r="AY713" s="454"/>
      <c r="AZ713" s="454"/>
      <c r="BA713" s="1306"/>
      <c r="BC713" s="169"/>
    </row>
    <row r="714" spans="19:55">
      <c r="S714" s="454"/>
      <c r="AN714" s="454"/>
      <c r="AY714" s="454"/>
      <c r="AZ714" s="454"/>
      <c r="BA714" s="1306"/>
      <c r="BC714" s="169"/>
    </row>
    <row r="715" spans="19:55">
      <c r="S715" s="454"/>
      <c r="AN715" s="454"/>
      <c r="AY715" s="454"/>
      <c r="AZ715" s="454"/>
      <c r="BA715" s="1306"/>
      <c r="BC715" s="169"/>
    </row>
    <row r="716" spans="19:55">
      <c r="S716" s="454"/>
      <c r="AN716" s="454"/>
      <c r="AY716" s="454"/>
      <c r="AZ716" s="454"/>
      <c r="BA716" s="1306"/>
      <c r="BC716" s="169"/>
    </row>
    <row r="717" spans="19:55">
      <c r="S717" s="454"/>
      <c r="AN717" s="454"/>
      <c r="AY717" s="454"/>
      <c r="AZ717" s="454"/>
      <c r="BA717" s="1306"/>
      <c r="BC717" s="169"/>
    </row>
    <row r="718" spans="19:55">
      <c r="S718" s="454"/>
      <c r="AN718" s="454"/>
      <c r="AY718" s="454"/>
      <c r="AZ718" s="454"/>
      <c r="BA718" s="1306"/>
      <c r="BC718" s="169"/>
    </row>
    <row r="719" spans="19:55">
      <c r="S719" s="454"/>
      <c r="AN719" s="454"/>
      <c r="AY719" s="454"/>
      <c r="AZ719" s="454"/>
      <c r="BA719" s="1306"/>
      <c r="BC719" s="169"/>
    </row>
    <row r="720" spans="19:55">
      <c r="S720" s="454"/>
      <c r="AN720" s="454"/>
      <c r="AY720" s="454"/>
      <c r="AZ720" s="454"/>
      <c r="BA720" s="1306"/>
      <c r="BC720" s="169"/>
    </row>
    <row r="721" spans="19:55">
      <c r="S721" s="454"/>
      <c r="AN721" s="454"/>
      <c r="AY721" s="454"/>
      <c r="AZ721" s="454"/>
      <c r="BA721" s="1306"/>
      <c r="BC721" s="169"/>
    </row>
    <row r="722" spans="19:55">
      <c r="S722" s="454"/>
      <c r="AN722" s="454"/>
      <c r="AY722" s="454"/>
      <c r="AZ722" s="454"/>
      <c r="BA722" s="1306"/>
      <c r="BC722" s="169"/>
    </row>
    <row r="723" spans="19:55">
      <c r="S723" s="454"/>
      <c r="AN723" s="454"/>
      <c r="AY723" s="454"/>
      <c r="AZ723" s="454"/>
      <c r="BA723" s="1306"/>
      <c r="BC723" s="169"/>
    </row>
    <row r="724" spans="19:55">
      <c r="S724" s="454"/>
      <c r="AN724" s="454"/>
      <c r="AY724" s="454"/>
      <c r="AZ724" s="454"/>
      <c r="BA724" s="1306"/>
      <c r="BC724" s="169"/>
    </row>
    <row r="725" spans="19:55">
      <c r="S725" s="454"/>
      <c r="AN725" s="454"/>
      <c r="AY725" s="454"/>
      <c r="AZ725" s="454"/>
      <c r="BA725" s="1306"/>
      <c r="BC725" s="169"/>
    </row>
    <row r="726" spans="19:55">
      <c r="S726" s="454"/>
      <c r="AN726" s="454"/>
      <c r="AY726" s="454"/>
      <c r="AZ726" s="454"/>
      <c r="BA726" s="1306"/>
      <c r="BC726" s="169"/>
    </row>
    <row r="727" spans="19:55">
      <c r="S727" s="454"/>
      <c r="AN727" s="454"/>
      <c r="AY727" s="454"/>
      <c r="AZ727" s="454"/>
      <c r="BA727" s="1306"/>
      <c r="BC727" s="169"/>
    </row>
    <row r="728" spans="19:55">
      <c r="S728" s="454"/>
      <c r="AN728" s="454"/>
      <c r="AY728" s="454"/>
      <c r="AZ728" s="454"/>
      <c r="BA728" s="1306"/>
      <c r="BC728" s="169"/>
    </row>
    <row r="729" spans="19:55">
      <c r="S729" s="454"/>
      <c r="AN729" s="454"/>
      <c r="AY729" s="454"/>
      <c r="AZ729" s="454"/>
      <c r="BA729" s="1306"/>
      <c r="BC729" s="169"/>
    </row>
    <row r="730" spans="19:55">
      <c r="S730" s="454"/>
      <c r="AN730" s="454"/>
      <c r="AY730" s="454"/>
      <c r="AZ730" s="454"/>
      <c r="BA730" s="1306"/>
      <c r="BC730" s="169"/>
    </row>
    <row r="731" spans="19:55">
      <c r="S731" s="454"/>
      <c r="AN731" s="454"/>
      <c r="AY731" s="454"/>
      <c r="AZ731" s="454"/>
      <c r="BA731" s="1306"/>
      <c r="BC731" s="169"/>
    </row>
    <row r="732" spans="19:55">
      <c r="S732" s="454"/>
      <c r="AN732" s="454"/>
      <c r="AY732" s="454"/>
      <c r="AZ732" s="454"/>
      <c r="BA732" s="1306"/>
      <c r="BC732" s="169"/>
    </row>
    <row r="733" spans="19:55">
      <c r="S733" s="454"/>
      <c r="AN733" s="454"/>
      <c r="AY733" s="454"/>
      <c r="AZ733" s="454"/>
      <c r="BA733" s="1306"/>
      <c r="BC733" s="169"/>
    </row>
    <row r="734" spans="19:55">
      <c r="S734" s="454"/>
      <c r="AN734" s="454"/>
      <c r="AY734" s="454"/>
      <c r="AZ734" s="454"/>
      <c r="BA734" s="1306"/>
      <c r="BC734" s="169"/>
    </row>
    <row r="735" spans="19:55">
      <c r="S735" s="454"/>
      <c r="AN735" s="454"/>
      <c r="AY735" s="454"/>
      <c r="AZ735" s="454"/>
      <c r="BA735" s="1306"/>
      <c r="BC735" s="169"/>
    </row>
    <row r="736" spans="19:55">
      <c r="S736" s="454"/>
      <c r="AN736" s="454"/>
      <c r="AY736" s="454"/>
      <c r="AZ736" s="454"/>
      <c r="BA736" s="1306"/>
      <c r="BC736" s="169"/>
    </row>
    <row r="737" spans="19:55">
      <c r="S737" s="454"/>
      <c r="AN737" s="454"/>
      <c r="AY737" s="454"/>
      <c r="AZ737" s="454"/>
      <c r="BA737" s="1306"/>
      <c r="BC737" s="169"/>
    </row>
    <row r="738" spans="19:55">
      <c r="S738" s="454"/>
      <c r="AN738" s="454"/>
      <c r="AY738" s="454"/>
      <c r="AZ738" s="454"/>
      <c r="BA738" s="1306"/>
      <c r="BC738" s="169"/>
    </row>
    <row r="739" spans="19:55">
      <c r="S739" s="454"/>
      <c r="AN739" s="454"/>
      <c r="AY739" s="454"/>
      <c r="AZ739" s="454"/>
      <c r="BA739" s="1306"/>
      <c r="BC739" s="169"/>
    </row>
    <row r="740" spans="19:55">
      <c r="S740" s="454"/>
      <c r="AN740" s="454"/>
      <c r="AY740" s="454"/>
      <c r="AZ740" s="454"/>
      <c r="BA740" s="1306"/>
      <c r="BC740" s="169"/>
    </row>
    <row r="741" spans="19:55">
      <c r="S741" s="454"/>
      <c r="AN741" s="454"/>
      <c r="AY741" s="454"/>
      <c r="AZ741" s="454"/>
      <c r="BA741" s="1306"/>
      <c r="BC741" s="169"/>
    </row>
    <row r="742" spans="19:55">
      <c r="S742" s="454"/>
      <c r="AN742" s="454"/>
      <c r="AY742" s="454"/>
      <c r="AZ742" s="454"/>
      <c r="BA742" s="1306"/>
      <c r="BC742" s="169"/>
    </row>
    <row r="743" spans="19:55">
      <c r="S743" s="454"/>
      <c r="AN743" s="454"/>
      <c r="AY743" s="454"/>
      <c r="AZ743" s="454"/>
      <c r="BA743" s="1306"/>
      <c r="BC743" s="169"/>
    </row>
    <row r="744" spans="19:55">
      <c r="S744" s="454"/>
      <c r="AN744" s="454"/>
      <c r="AY744" s="454"/>
      <c r="AZ744" s="454"/>
      <c r="BA744" s="1306"/>
      <c r="BC744" s="169"/>
    </row>
    <row r="745" spans="19:55">
      <c r="S745" s="454"/>
      <c r="AN745" s="454"/>
      <c r="AY745" s="454"/>
      <c r="AZ745" s="454"/>
      <c r="BA745" s="1306"/>
      <c r="BC745" s="169"/>
    </row>
    <row r="746" spans="19:55">
      <c r="S746" s="454"/>
      <c r="AN746" s="454"/>
      <c r="AY746" s="454"/>
      <c r="AZ746" s="454"/>
      <c r="BA746" s="1306"/>
      <c r="BC746" s="169"/>
    </row>
    <row r="747" spans="19:55">
      <c r="S747" s="454"/>
      <c r="AN747" s="454"/>
      <c r="AY747" s="454"/>
      <c r="AZ747" s="454"/>
      <c r="BA747" s="1306"/>
      <c r="BC747" s="169"/>
    </row>
    <row r="748" spans="19:55">
      <c r="S748" s="454"/>
      <c r="AN748" s="454"/>
      <c r="AY748" s="454"/>
      <c r="AZ748" s="454"/>
      <c r="BA748" s="1306"/>
      <c r="BC748" s="169"/>
    </row>
    <row r="749" spans="19:55">
      <c r="S749" s="454"/>
      <c r="AN749" s="454"/>
      <c r="AY749" s="454"/>
      <c r="AZ749" s="454"/>
      <c r="BA749" s="1306"/>
      <c r="BC749" s="169"/>
    </row>
    <row r="750" spans="19:55">
      <c r="S750" s="454"/>
      <c r="AN750" s="454"/>
      <c r="AY750" s="454"/>
      <c r="AZ750" s="454"/>
      <c r="BA750" s="1306"/>
      <c r="BC750" s="169"/>
    </row>
    <row r="751" spans="19:55">
      <c r="S751" s="454"/>
      <c r="AN751" s="454"/>
      <c r="AY751" s="454"/>
      <c r="AZ751" s="454"/>
      <c r="BA751" s="1306"/>
      <c r="BC751" s="169"/>
    </row>
    <row r="752" spans="19:55">
      <c r="S752" s="454"/>
      <c r="AN752" s="454"/>
      <c r="AY752" s="454"/>
      <c r="AZ752" s="454"/>
      <c r="BA752" s="1306"/>
      <c r="BC752" s="169"/>
    </row>
    <row r="753" spans="19:55">
      <c r="S753" s="454"/>
      <c r="AN753" s="454"/>
      <c r="AY753" s="454"/>
      <c r="AZ753" s="454"/>
      <c r="BA753" s="1306"/>
      <c r="BC753" s="169"/>
    </row>
    <row r="754" spans="19:55">
      <c r="S754" s="454"/>
      <c r="AN754" s="454"/>
      <c r="AY754" s="454"/>
      <c r="AZ754" s="454"/>
      <c r="BA754" s="1306"/>
      <c r="BC754" s="169"/>
    </row>
    <row r="755" spans="19:55">
      <c r="S755" s="454"/>
      <c r="AN755" s="454"/>
      <c r="AY755" s="454"/>
      <c r="AZ755" s="454"/>
      <c r="BA755" s="1306"/>
      <c r="BC755" s="169"/>
    </row>
    <row r="756" spans="19:55">
      <c r="S756" s="454"/>
      <c r="AN756" s="454"/>
      <c r="AY756" s="454"/>
      <c r="AZ756" s="454"/>
      <c r="BA756" s="1306"/>
      <c r="BC756" s="169"/>
    </row>
    <row r="757" spans="19:55">
      <c r="S757" s="454"/>
      <c r="AN757" s="454"/>
      <c r="AY757" s="454"/>
      <c r="AZ757" s="454"/>
      <c r="BA757" s="1306"/>
      <c r="BC757" s="169"/>
    </row>
    <row r="758" spans="19:55">
      <c r="S758" s="454"/>
      <c r="AN758" s="454"/>
      <c r="AY758" s="454"/>
      <c r="AZ758" s="454"/>
      <c r="BA758" s="1306"/>
      <c r="BC758" s="169"/>
    </row>
    <row r="759" spans="19:55">
      <c r="S759" s="454"/>
      <c r="AN759" s="454"/>
      <c r="AY759" s="454"/>
      <c r="AZ759" s="454"/>
      <c r="BA759" s="1306"/>
      <c r="BC759" s="169"/>
    </row>
    <row r="760" spans="19:55">
      <c r="S760" s="454"/>
      <c r="AN760" s="454"/>
      <c r="AY760" s="454"/>
      <c r="AZ760" s="454"/>
      <c r="BA760" s="1306"/>
      <c r="BC760" s="169"/>
    </row>
    <row r="761" spans="19:55">
      <c r="S761" s="454"/>
      <c r="AN761" s="454"/>
      <c r="AY761" s="454"/>
      <c r="AZ761" s="454"/>
      <c r="BA761" s="1306"/>
      <c r="BC761" s="169"/>
    </row>
    <row r="762" spans="19:55">
      <c r="S762" s="454"/>
      <c r="AN762" s="454"/>
      <c r="AY762" s="454"/>
      <c r="AZ762" s="454"/>
      <c r="BA762" s="1306"/>
      <c r="BC762" s="169"/>
    </row>
    <row r="763" spans="19:55">
      <c r="S763" s="454"/>
      <c r="AN763" s="454"/>
      <c r="AY763" s="454"/>
      <c r="AZ763" s="454"/>
      <c r="BA763" s="1306"/>
      <c r="BC763" s="169"/>
    </row>
    <row r="764" spans="19:55">
      <c r="S764" s="454"/>
      <c r="AN764" s="454"/>
      <c r="AY764" s="454"/>
      <c r="AZ764" s="454"/>
      <c r="BA764" s="1306"/>
      <c r="BC764" s="169"/>
    </row>
    <row r="765" spans="19:55">
      <c r="S765" s="454"/>
      <c r="AN765" s="454"/>
      <c r="AY765" s="454"/>
      <c r="AZ765" s="454"/>
      <c r="BA765" s="1306"/>
      <c r="BC765" s="169"/>
    </row>
    <row r="766" spans="19:55">
      <c r="S766" s="454"/>
      <c r="AN766" s="454"/>
      <c r="AY766" s="454"/>
      <c r="AZ766" s="454"/>
      <c r="BA766" s="1306"/>
      <c r="BC766" s="169"/>
    </row>
    <row r="767" spans="19:55">
      <c r="S767" s="454"/>
      <c r="AN767" s="454"/>
      <c r="AY767" s="454"/>
      <c r="AZ767" s="454"/>
      <c r="BA767" s="1306"/>
      <c r="BC767" s="169"/>
    </row>
    <row r="768" spans="19:55">
      <c r="S768" s="454"/>
      <c r="AN768" s="454"/>
      <c r="AY768" s="454"/>
      <c r="AZ768" s="454"/>
      <c r="BA768" s="1306"/>
      <c r="BC768" s="169"/>
    </row>
    <row r="769" spans="19:55">
      <c r="S769" s="454"/>
      <c r="AN769" s="454"/>
      <c r="AY769" s="454"/>
      <c r="AZ769" s="454"/>
      <c r="BA769" s="1306"/>
      <c r="BC769" s="169"/>
    </row>
    <row r="770" spans="19:55">
      <c r="S770" s="454"/>
      <c r="AN770" s="454"/>
      <c r="AY770" s="454"/>
      <c r="AZ770" s="454"/>
      <c r="BA770" s="1306"/>
      <c r="BC770" s="169"/>
    </row>
    <row r="771" spans="19:55">
      <c r="S771" s="454"/>
      <c r="AN771" s="454"/>
      <c r="AY771" s="454"/>
      <c r="AZ771" s="454"/>
      <c r="BA771" s="1306"/>
      <c r="BC771" s="169"/>
    </row>
    <row r="772" spans="19:55">
      <c r="S772" s="454"/>
      <c r="AN772" s="454"/>
      <c r="AY772" s="454"/>
      <c r="AZ772" s="454"/>
      <c r="BA772" s="1306"/>
      <c r="BC772" s="169"/>
    </row>
    <row r="773" spans="19:55">
      <c r="S773" s="454"/>
      <c r="AN773" s="454"/>
      <c r="AY773" s="454"/>
      <c r="AZ773" s="454"/>
      <c r="BA773" s="1306"/>
      <c r="BC773" s="169"/>
    </row>
    <row r="774" spans="19:55">
      <c r="S774" s="454"/>
      <c r="AN774" s="454"/>
      <c r="AY774" s="454"/>
      <c r="AZ774" s="454"/>
      <c r="BA774" s="1306"/>
      <c r="BC774" s="169"/>
    </row>
    <row r="775" spans="19:55">
      <c r="S775" s="454"/>
      <c r="AN775" s="454"/>
      <c r="AY775" s="454"/>
      <c r="AZ775" s="454"/>
      <c r="BA775" s="1306"/>
      <c r="BC775" s="169"/>
    </row>
    <row r="776" spans="19:55">
      <c r="S776" s="454"/>
      <c r="AN776" s="454"/>
      <c r="AY776" s="454"/>
      <c r="AZ776" s="454"/>
      <c r="BA776" s="1306"/>
      <c r="BC776" s="169"/>
    </row>
    <row r="777" spans="19:55">
      <c r="S777" s="454"/>
      <c r="AN777" s="454"/>
      <c r="AY777" s="454"/>
      <c r="AZ777" s="454"/>
      <c r="BA777" s="1306"/>
      <c r="BC777" s="169"/>
    </row>
    <row r="778" spans="19:55">
      <c r="S778" s="454"/>
      <c r="AN778" s="454"/>
      <c r="AY778" s="454"/>
      <c r="AZ778" s="454"/>
      <c r="BA778" s="1306"/>
      <c r="BC778" s="169"/>
    </row>
    <row r="779" spans="19:55">
      <c r="S779" s="454"/>
      <c r="AN779" s="454"/>
      <c r="AY779" s="454"/>
      <c r="AZ779" s="454"/>
      <c r="BA779" s="1306"/>
      <c r="BC779" s="169"/>
    </row>
    <row r="780" spans="19:55">
      <c r="S780" s="454"/>
      <c r="AN780" s="454"/>
      <c r="AY780" s="454"/>
      <c r="AZ780" s="454"/>
      <c r="BA780" s="1306"/>
      <c r="BC780" s="169"/>
    </row>
    <row r="781" spans="19:55">
      <c r="S781" s="454"/>
      <c r="AN781" s="454"/>
      <c r="AY781" s="454"/>
      <c r="AZ781" s="454"/>
      <c r="BA781" s="1306"/>
      <c r="BC781" s="169"/>
    </row>
    <row r="782" spans="19:55">
      <c r="S782" s="454"/>
      <c r="AN782" s="454"/>
      <c r="AY782" s="454"/>
      <c r="AZ782" s="454"/>
      <c r="BA782" s="1306"/>
      <c r="BC782" s="169"/>
    </row>
    <row r="783" spans="19:55">
      <c r="S783" s="454"/>
      <c r="AN783" s="454"/>
      <c r="AY783" s="454"/>
      <c r="AZ783" s="454"/>
      <c r="BA783" s="1306"/>
      <c r="BC783" s="169"/>
    </row>
    <row r="784" spans="19:55">
      <c r="S784" s="454"/>
      <c r="AN784" s="454"/>
      <c r="AY784" s="454"/>
      <c r="AZ784" s="454"/>
      <c r="BA784" s="1306"/>
      <c r="BC784" s="169"/>
    </row>
    <row r="785" spans="19:55">
      <c r="S785" s="454"/>
      <c r="AN785" s="454"/>
      <c r="AY785" s="454"/>
      <c r="AZ785" s="454"/>
      <c r="BA785" s="1306"/>
      <c r="BC785" s="169"/>
    </row>
    <row r="786" spans="19:55">
      <c r="S786" s="454"/>
      <c r="AN786" s="454"/>
      <c r="AY786" s="454"/>
      <c r="AZ786" s="454"/>
      <c r="BA786" s="1306"/>
      <c r="BC786" s="169"/>
    </row>
    <row r="787" spans="19:55">
      <c r="S787" s="454"/>
      <c r="AN787" s="454"/>
      <c r="AY787" s="454"/>
      <c r="AZ787" s="454"/>
      <c r="BA787" s="1306"/>
      <c r="BC787" s="169"/>
    </row>
    <row r="788" spans="19:55">
      <c r="S788" s="454"/>
      <c r="AN788" s="454"/>
      <c r="AY788" s="454"/>
      <c r="AZ788" s="454"/>
      <c r="BA788" s="1306"/>
      <c r="BC788" s="169"/>
    </row>
    <row r="789" spans="19:55">
      <c r="S789" s="454"/>
      <c r="AN789" s="454"/>
      <c r="AY789" s="454"/>
      <c r="AZ789" s="454"/>
      <c r="BA789" s="1306"/>
      <c r="BC789" s="169"/>
    </row>
    <row r="790" spans="19:55">
      <c r="S790" s="454"/>
      <c r="AN790" s="454"/>
      <c r="AY790" s="454"/>
      <c r="AZ790" s="454"/>
      <c r="BA790" s="1306"/>
      <c r="BC790" s="169"/>
    </row>
    <row r="791" spans="19:55">
      <c r="S791" s="454"/>
      <c r="AN791" s="454"/>
      <c r="AY791" s="454"/>
      <c r="AZ791" s="454"/>
      <c r="BA791" s="1306"/>
      <c r="BC791" s="169"/>
    </row>
    <row r="792" spans="19:55">
      <c r="S792" s="454"/>
      <c r="AN792" s="454"/>
      <c r="AY792" s="454"/>
      <c r="AZ792" s="454"/>
      <c r="BA792" s="1306"/>
      <c r="BC792" s="169"/>
    </row>
    <row r="793" spans="19:55">
      <c r="S793" s="454"/>
      <c r="AN793" s="454"/>
      <c r="AY793" s="454"/>
      <c r="AZ793" s="454"/>
      <c r="BA793" s="1306"/>
      <c r="BC793" s="169"/>
    </row>
    <row r="794" spans="19:55">
      <c r="S794" s="454"/>
      <c r="AN794" s="454"/>
      <c r="AY794" s="454"/>
      <c r="AZ794" s="454"/>
      <c r="BA794" s="1306"/>
      <c r="BC794" s="169"/>
    </row>
    <row r="795" spans="19:55">
      <c r="S795" s="454"/>
      <c r="AN795" s="454"/>
      <c r="AY795" s="454"/>
      <c r="AZ795" s="454"/>
      <c r="BA795" s="1306"/>
      <c r="BC795" s="169"/>
    </row>
    <row r="796" spans="19:55">
      <c r="S796" s="454"/>
      <c r="AN796" s="454"/>
      <c r="AY796" s="454"/>
      <c r="AZ796" s="454"/>
      <c r="BA796" s="1306"/>
      <c r="BC796" s="169"/>
    </row>
    <row r="797" spans="19:55">
      <c r="S797" s="454"/>
      <c r="AN797" s="454"/>
      <c r="AY797" s="454"/>
      <c r="AZ797" s="454"/>
      <c r="BA797" s="1306"/>
      <c r="BC797" s="169"/>
    </row>
    <row r="798" spans="19:55">
      <c r="S798" s="454"/>
      <c r="AN798" s="454"/>
      <c r="AY798" s="454"/>
      <c r="AZ798" s="454"/>
      <c r="BA798" s="1306"/>
      <c r="BC798" s="169"/>
    </row>
    <row r="799" spans="19:55">
      <c r="S799" s="454"/>
      <c r="AN799" s="454"/>
      <c r="AY799" s="454"/>
      <c r="AZ799" s="454"/>
      <c r="BA799" s="1306"/>
      <c r="BC799" s="169"/>
    </row>
    <row r="800" spans="19:55">
      <c r="S800" s="454"/>
      <c r="AN800" s="454"/>
      <c r="AY800" s="454"/>
      <c r="AZ800" s="454"/>
      <c r="BA800" s="1306"/>
      <c r="BC800" s="169"/>
    </row>
    <row r="801" spans="19:55">
      <c r="S801" s="454"/>
      <c r="AN801" s="454"/>
      <c r="AY801" s="454"/>
      <c r="AZ801" s="454"/>
      <c r="BA801" s="1306"/>
      <c r="BC801" s="169"/>
    </row>
    <row r="802" spans="19:55">
      <c r="S802" s="454"/>
      <c r="AN802" s="454"/>
      <c r="AY802" s="454"/>
      <c r="AZ802" s="454"/>
      <c r="BA802" s="1306"/>
      <c r="BC802" s="169"/>
    </row>
    <row r="803" spans="19:55">
      <c r="S803" s="454"/>
      <c r="AN803" s="454"/>
      <c r="AY803" s="454"/>
      <c r="AZ803" s="454"/>
      <c r="BA803" s="1306"/>
      <c r="BC803" s="169"/>
    </row>
    <row r="804" spans="19:55">
      <c r="S804" s="454"/>
      <c r="AN804" s="454"/>
      <c r="AY804" s="454"/>
      <c r="AZ804" s="454"/>
      <c r="BA804" s="1306"/>
      <c r="BC804" s="169"/>
    </row>
    <row r="805" spans="19:55">
      <c r="S805" s="454"/>
      <c r="AN805" s="454"/>
      <c r="AY805" s="454"/>
      <c r="AZ805" s="454"/>
      <c r="BA805" s="1306"/>
      <c r="BC805" s="169"/>
    </row>
    <row r="806" spans="19:55">
      <c r="S806" s="454"/>
      <c r="AN806" s="454"/>
      <c r="AY806" s="454"/>
      <c r="AZ806" s="454"/>
      <c r="BA806" s="1306"/>
      <c r="BC806" s="169"/>
    </row>
    <row r="807" spans="19:55">
      <c r="S807" s="454"/>
      <c r="AN807" s="454"/>
      <c r="AY807" s="454"/>
      <c r="AZ807" s="454"/>
      <c r="BA807" s="1306"/>
      <c r="BC807" s="169"/>
    </row>
    <row r="808" spans="19:55">
      <c r="S808" s="454"/>
      <c r="AN808" s="454"/>
      <c r="AY808" s="454"/>
      <c r="AZ808" s="454"/>
      <c r="BA808" s="1306"/>
      <c r="BC808" s="169"/>
    </row>
    <row r="809" spans="19:55">
      <c r="S809" s="454"/>
      <c r="AN809" s="454"/>
      <c r="AY809" s="454"/>
      <c r="AZ809" s="454"/>
      <c r="BA809" s="1306"/>
      <c r="BC809" s="169"/>
    </row>
    <row r="810" spans="19:55">
      <c r="S810" s="454"/>
      <c r="AN810" s="454"/>
      <c r="AY810" s="454"/>
      <c r="AZ810" s="454"/>
      <c r="BA810" s="1306"/>
      <c r="BC810" s="169"/>
    </row>
    <row r="811" spans="19:55">
      <c r="S811" s="454"/>
      <c r="AN811" s="454"/>
      <c r="AY811" s="454"/>
      <c r="AZ811" s="454"/>
      <c r="BA811" s="1306"/>
      <c r="BC811" s="169"/>
    </row>
    <row r="812" spans="19:55">
      <c r="S812" s="454"/>
      <c r="AN812" s="454"/>
      <c r="AY812" s="454"/>
      <c r="AZ812" s="454"/>
      <c r="BA812" s="1306"/>
      <c r="BC812" s="169"/>
    </row>
    <row r="813" spans="19:55">
      <c r="S813" s="454"/>
      <c r="AN813" s="454"/>
      <c r="AY813" s="454"/>
      <c r="AZ813" s="454"/>
      <c r="BA813" s="1306"/>
      <c r="BC813" s="169"/>
    </row>
    <row r="814" spans="19:55">
      <c r="S814" s="454"/>
      <c r="AN814" s="454"/>
      <c r="AY814" s="454"/>
      <c r="AZ814" s="454"/>
      <c r="BA814" s="1306"/>
      <c r="BC814" s="169"/>
    </row>
    <row r="815" spans="19:55">
      <c r="S815" s="454"/>
      <c r="AN815" s="454"/>
      <c r="AY815" s="454"/>
      <c r="AZ815" s="454"/>
      <c r="BA815" s="1306"/>
      <c r="BC815" s="169"/>
    </row>
    <row r="816" spans="19:55">
      <c r="S816" s="454"/>
      <c r="AN816" s="454"/>
      <c r="AY816" s="454"/>
      <c r="AZ816" s="454"/>
      <c r="BA816" s="1306"/>
      <c r="BC816" s="169"/>
    </row>
    <row r="817" spans="19:55">
      <c r="S817" s="454"/>
      <c r="AN817" s="454"/>
      <c r="AY817" s="454"/>
      <c r="AZ817" s="454"/>
      <c r="BA817" s="1306"/>
      <c r="BC817" s="169"/>
    </row>
    <row r="818" spans="19:55">
      <c r="S818" s="454"/>
      <c r="AN818" s="454"/>
      <c r="AY818" s="454"/>
      <c r="AZ818" s="454"/>
      <c r="BA818" s="1306"/>
      <c r="BC818" s="169"/>
    </row>
    <row r="819" spans="19:55">
      <c r="S819" s="454"/>
      <c r="AN819" s="454"/>
      <c r="AY819" s="454"/>
      <c r="AZ819" s="454"/>
      <c r="BA819" s="1306"/>
      <c r="BC819" s="169"/>
    </row>
    <row r="820" spans="19:55">
      <c r="S820" s="454"/>
      <c r="AN820" s="454"/>
      <c r="AY820" s="454"/>
      <c r="AZ820" s="454"/>
      <c r="BA820" s="1306"/>
      <c r="BC820" s="169"/>
    </row>
    <row r="821" spans="19:55">
      <c r="S821" s="454"/>
      <c r="AN821" s="454"/>
      <c r="AY821" s="454"/>
      <c r="AZ821" s="454"/>
      <c r="BA821" s="1306"/>
      <c r="BC821" s="169"/>
    </row>
    <row r="822" spans="19:55">
      <c r="S822" s="454"/>
      <c r="AN822" s="454"/>
      <c r="AY822" s="454"/>
      <c r="AZ822" s="454"/>
      <c r="BA822" s="1306"/>
      <c r="BC822" s="169"/>
    </row>
    <row r="823" spans="19:55">
      <c r="S823" s="454"/>
      <c r="AN823" s="454"/>
      <c r="AY823" s="454"/>
      <c r="AZ823" s="454"/>
      <c r="BA823" s="1306"/>
      <c r="BC823" s="169"/>
    </row>
    <row r="824" spans="19:55">
      <c r="S824" s="454"/>
      <c r="AN824" s="454"/>
      <c r="AY824" s="454"/>
      <c r="AZ824" s="454"/>
      <c r="BA824" s="1306"/>
      <c r="BC824" s="169"/>
    </row>
    <row r="825" spans="19:55">
      <c r="S825" s="454"/>
      <c r="AN825" s="454"/>
      <c r="AY825" s="454"/>
      <c r="AZ825" s="454"/>
      <c r="BA825" s="1306"/>
      <c r="BC825" s="169"/>
    </row>
    <row r="826" spans="19:55">
      <c r="S826" s="454"/>
      <c r="AN826" s="454"/>
      <c r="AY826" s="454"/>
      <c r="AZ826" s="454"/>
      <c r="BA826" s="1306"/>
      <c r="BC826" s="169"/>
    </row>
    <row r="827" spans="19:55">
      <c r="S827" s="454"/>
      <c r="AN827" s="454"/>
      <c r="AY827" s="454"/>
      <c r="AZ827" s="454"/>
      <c r="BA827" s="1306"/>
      <c r="BC827" s="169"/>
    </row>
    <row r="828" spans="19:55">
      <c r="S828" s="454"/>
      <c r="AN828" s="454"/>
      <c r="AY828" s="454"/>
      <c r="AZ828" s="454"/>
      <c r="BA828" s="1306"/>
      <c r="BC828" s="169"/>
    </row>
    <row r="829" spans="19:55">
      <c r="S829" s="454"/>
      <c r="AN829" s="454"/>
      <c r="AY829" s="454"/>
      <c r="AZ829" s="454"/>
      <c r="BA829" s="1306"/>
      <c r="BC829" s="169"/>
    </row>
    <row r="830" spans="19:55">
      <c r="S830" s="454"/>
      <c r="AN830" s="454"/>
      <c r="AY830" s="454"/>
      <c r="AZ830" s="454"/>
      <c r="BA830" s="1306"/>
      <c r="BC830" s="169"/>
    </row>
    <row r="831" spans="19:55">
      <c r="S831" s="454"/>
      <c r="AN831" s="454"/>
      <c r="AY831" s="454"/>
      <c r="AZ831" s="454"/>
      <c r="BA831" s="1306"/>
      <c r="BC831" s="169"/>
    </row>
    <row r="832" spans="19:55">
      <c r="S832" s="454"/>
      <c r="AN832" s="454"/>
      <c r="AY832" s="454"/>
      <c r="AZ832" s="454"/>
      <c r="BA832" s="1306"/>
      <c r="BC832" s="169"/>
    </row>
    <row r="833" spans="19:55">
      <c r="S833" s="454"/>
      <c r="AN833" s="454"/>
      <c r="AY833" s="454"/>
      <c r="AZ833" s="454"/>
      <c r="BA833" s="1306"/>
      <c r="BC833" s="169"/>
    </row>
    <row r="834" spans="19:55">
      <c r="S834" s="454"/>
      <c r="AN834" s="454"/>
      <c r="AY834" s="454"/>
      <c r="AZ834" s="454"/>
      <c r="BA834" s="1306"/>
      <c r="BC834" s="169"/>
    </row>
    <row r="835" spans="19:55">
      <c r="S835" s="454"/>
      <c r="AN835" s="454"/>
      <c r="AY835" s="454"/>
      <c r="AZ835" s="454"/>
      <c r="BA835" s="1306"/>
      <c r="BC835" s="169"/>
    </row>
    <row r="836" spans="19:55">
      <c r="S836" s="454"/>
      <c r="AN836" s="454"/>
      <c r="AY836" s="454"/>
      <c r="AZ836" s="454"/>
      <c r="BA836" s="1306"/>
      <c r="BC836" s="169"/>
    </row>
    <row r="837" spans="19:55">
      <c r="S837" s="454"/>
      <c r="AN837" s="454"/>
      <c r="AY837" s="454"/>
      <c r="AZ837" s="454"/>
      <c r="BA837" s="1306"/>
      <c r="BC837" s="169"/>
    </row>
    <row r="838" spans="19:55">
      <c r="S838" s="454"/>
      <c r="AN838" s="454"/>
      <c r="AY838" s="454"/>
      <c r="AZ838" s="454"/>
      <c r="BA838" s="1306"/>
      <c r="BC838" s="169"/>
    </row>
    <row r="839" spans="19:55">
      <c r="S839" s="454"/>
      <c r="AN839" s="454"/>
      <c r="AY839" s="454"/>
      <c r="AZ839" s="454"/>
      <c r="BA839" s="1306"/>
      <c r="BC839" s="169"/>
    </row>
    <row r="840" spans="19:55">
      <c r="S840" s="454"/>
      <c r="AN840" s="454"/>
      <c r="AY840" s="454"/>
      <c r="AZ840" s="454"/>
      <c r="BA840" s="1306"/>
      <c r="BC840" s="169"/>
    </row>
    <row r="841" spans="19:55">
      <c r="S841" s="454"/>
      <c r="AN841" s="454"/>
      <c r="AY841" s="454"/>
      <c r="AZ841" s="454"/>
      <c r="BA841" s="1306"/>
      <c r="BC841" s="169"/>
    </row>
    <row r="842" spans="19:55">
      <c r="S842" s="454"/>
      <c r="AN842" s="454"/>
      <c r="AY842" s="454"/>
      <c r="AZ842" s="454"/>
      <c r="BA842" s="1306"/>
      <c r="BC842" s="169"/>
    </row>
    <row r="843" spans="19:55">
      <c r="S843" s="454"/>
      <c r="AN843" s="454"/>
      <c r="AY843" s="454"/>
      <c r="AZ843" s="454"/>
      <c r="BA843" s="1306"/>
      <c r="BC843" s="169"/>
    </row>
    <row r="844" spans="19:55">
      <c r="S844" s="454"/>
      <c r="AN844" s="454"/>
      <c r="AY844" s="454"/>
      <c r="AZ844" s="454"/>
      <c r="BA844" s="1306"/>
      <c r="BC844" s="169"/>
    </row>
    <row r="845" spans="19:55">
      <c r="S845" s="454"/>
      <c r="AN845" s="454"/>
      <c r="AY845" s="454"/>
      <c r="AZ845" s="454"/>
      <c r="BA845" s="1306"/>
      <c r="BC845" s="169"/>
    </row>
    <row r="846" spans="19:55">
      <c r="S846" s="454"/>
      <c r="AN846" s="454"/>
      <c r="AY846" s="454"/>
      <c r="AZ846" s="454"/>
      <c r="BA846" s="1306"/>
      <c r="BC846" s="169"/>
    </row>
    <row r="847" spans="19:55">
      <c r="S847" s="454"/>
      <c r="AN847" s="454"/>
      <c r="AY847" s="454"/>
      <c r="AZ847" s="454"/>
      <c r="BA847" s="1306"/>
      <c r="BC847" s="169"/>
    </row>
    <row r="848" spans="19:55">
      <c r="S848" s="454"/>
      <c r="AN848" s="454"/>
      <c r="AY848" s="454"/>
      <c r="AZ848" s="454"/>
      <c r="BA848" s="1306"/>
      <c r="BC848" s="169"/>
    </row>
    <row r="849" spans="19:55">
      <c r="S849" s="454"/>
      <c r="AN849" s="454"/>
      <c r="AY849" s="454"/>
      <c r="AZ849" s="454"/>
      <c r="BA849" s="1306"/>
      <c r="BC849" s="169"/>
    </row>
    <row r="850" spans="19:55">
      <c r="S850" s="454"/>
      <c r="AN850" s="454"/>
      <c r="AY850" s="454"/>
      <c r="AZ850" s="454"/>
      <c r="BA850" s="1306"/>
      <c r="BC850" s="169"/>
    </row>
    <row r="851" spans="19:55">
      <c r="S851" s="454"/>
      <c r="AN851" s="454"/>
      <c r="AY851" s="454"/>
      <c r="AZ851" s="454"/>
      <c r="BA851" s="1306"/>
      <c r="BC851" s="169"/>
    </row>
    <row r="852" spans="19:55">
      <c r="S852" s="454"/>
      <c r="AN852" s="454"/>
      <c r="AY852" s="454"/>
      <c r="AZ852" s="454"/>
      <c r="BA852" s="1306"/>
      <c r="BC852" s="169"/>
    </row>
    <row r="853" spans="19:55">
      <c r="S853" s="454"/>
      <c r="AN853" s="454"/>
      <c r="AY853" s="454"/>
      <c r="AZ853" s="454"/>
      <c r="BA853" s="1306"/>
      <c r="BC853" s="169"/>
    </row>
    <row r="854" spans="19:55">
      <c r="S854" s="454"/>
      <c r="AN854" s="454"/>
      <c r="AY854" s="454"/>
      <c r="AZ854" s="454"/>
      <c r="BA854" s="1306"/>
      <c r="BC854" s="169"/>
    </row>
    <row r="855" spans="19:55">
      <c r="S855" s="454"/>
      <c r="AN855" s="454"/>
      <c r="AY855" s="454"/>
      <c r="AZ855" s="454"/>
      <c r="BA855" s="1306"/>
      <c r="BC855" s="169"/>
    </row>
    <row r="856" spans="19:55">
      <c r="S856" s="454"/>
      <c r="AN856" s="454"/>
      <c r="AY856" s="454"/>
      <c r="AZ856" s="454"/>
      <c r="BA856" s="1306"/>
      <c r="BC856" s="169"/>
    </row>
    <row r="857" spans="19:55">
      <c r="S857" s="454"/>
      <c r="AN857" s="454"/>
      <c r="AY857" s="454"/>
      <c r="AZ857" s="454"/>
      <c r="BA857" s="1306"/>
      <c r="BC857" s="169"/>
    </row>
    <row r="858" spans="19:55">
      <c r="S858" s="454"/>
      <c r="AN858" s="454"/>
      <c r="AY858" s="454"/>
      <c r="AZ858" s="454"/>
      <c r="BA858" s="1306"/>
      <c r="BC858" s="169"/>
    </row>
    <row r="859" spans="19:55">
      <c r="S859" s="454"/>
      <c r="AN859" s="454"/>
      <c r="AY859" s="454"/>
      <c r="AZ859" s="454"/>
      <c r="BA859" s="1306"/>
      <c r="BC859" s="169"/>
    </row>
    <row r="860" spans="19:55">
      <c r="S860" s="454"/>
      <c r="AN860" s="454"/>
      <c r="AY860" s="454"/>
      <c r="AZ860" s="454"/>
      <c r="BA860" s="1306"/>
      <c r="BC860" s="169"/>
    </row>
    <row r="861" spans="19:55">
      <c r="S861" s="454"/>
      <c r="AN861" s="454"/>
      <c r="AY861" s="454"/>
      <c r="AZ861" s="454"/>
      <c r="BA861" s="1306"/>
      <c r="BC861" s="169"/>
    </row>
    <row r="862" spans="19:55">
      <c r="S862" s="454"/>
      <c r="AN862" s="454"/>
      <c r="AY862" s="454"/>
      <c r="AZ862" s="454"/>
      <c r="BA862" s="1306"/>
      <c r="BC862" s="169"/>
    </row>
    <row r="863" spans="19:55">
      <c r="S863" s="454"/>
      <c r="AN863" s="454"/>
      <c r="AY863" s="454"/>
      <c r="AZ863" s="454"/>
      <c r="BA863" s="1306"/>
      <c r="BC863" s="169"/>
    </row>
    <row r="864" spans="19:55">
      <c r="S864" s="454"/>
      <c r="AN864" s="454"/>
      <c r="AY864" s="454"/>
      <c r="AZ864" s="454"/>
      <c r="BA864" s="1306"/>
      <c r="BC864" s="169"/>
    </row>
    <row r="865" spans="19:55">
      <c r="S865" s="454"/>
      <c r="AN865" s="454"/>
      <c r="AY865" s="454"/>
      <c r="AZ865" s="454"/>
      <c r="BA865" s="1306"/>
      <c r="BC865" s="169"/>
    </row>
    <row r="866" spans="19:55">
      <c r="S866" s="454"/>
      <c r="AN866" s="454"/>
      <c r="AY866" s="454"/>
      <c r="AZ866" s="454"/>
      <c r="BA866" s="1306"/>
      <c r="BC866" s="169"/>
    </row>
    <row r="867" spans="19:55">
      <c r="S867" s="454"/>
      <c r="AN867" s="454"/>
      <c r="AY867" s="454"/>
      <c r="AZ867" s="454"/>
      <c r="BA867" s="1306"/>
      <c r="BC867" s="169"/>
    </row>
    <row r="868" spans="19:55">
      <c r="S868" s="454"/>
      <c r="AN868" s="454"/>
      <c r="AY868" s="454"/>
      <c r="AZ868" s="454"/>
      <c r="BA868" s="1306"/>
      <c r="BC868" s="169"/>
    </row>
    <row r="869" spans="19:55">
      <c r="S869" s="454"/>
      <c r="AN869" s="454"/>
      <c r="AY869" s="454"/>
      <c r="AZ869" s="454"/>
      <c r="BA869" s="1306"/>
      <c r="BC869" s="169"/>
    </row>
    <row r="870" spans="19:55">
      <c r="S870" s="454"/>
      <c r="AN870" s="454"/>
      <c r="AY870" s="454"/>
      <c r="AZ870" s="454"/>
      <c r="BA870" s="1306"/>
      <c r="BC870" s="169"/>
    </row>
    <row r="871" spans="19:55">
      <c r="S871" s="454"/>
      <c r="AN871" s="454"/>
      <c r="AY871" s="454"/>
      <c r="AZ871" s="454"/>
      <c r="BA871" s="1306"/>
      <c r="BC871" s="169"/>
    </row>
    <row r="872" spans="19:55">
      <c r="S872" s="454"/>
      <c r="AN872" s="454"/>
      <c r="AY872" s="454"/>
      <c r="AZ872" s="454"/>
      <c r="BA872" s="1306"/>
      <c r="BC872" s="169"/>
    </row>
    <row r="873" spans="19:55">
      <c r="S873" s="454"/>
      <c r="AN873" s="454"/>
      <c r="AY873" s="454"/>
      <c r="AZ873" s="454"/>
      <c r="BA873" s="1306"/>
      <c r="BC873" s="169"/>
    </row>
    <row r="874" spans="19:55">
      <c r="S874" s="454"/>
      <c r="AN874" s="454"/>
      <c r="AY874" s="454"/>
      <c r="AZ874" s="454"/>
      <c r="BA874" s="1306"/>
      <c r="BC874" s="169"/>
    </row>
    <row r="875" spans="19:55">
      <c r="S875" s="454"/>
      <c r="AN875" s="454"/>
      <c r="AY875" s="454"/>
      <c r="AZ875" s="454"/>
      <c r="BA875" s="1306"/>
      <c r="BC875" s="169"/>
    </row>
    <row r="876" spans="19:55">
      <c r="S876" s="454"/>
      <c r="AN876" s="454"/>
      <c r="AY876" s="454"/>
      <c r="AZ876" s="454"/>
      <c r="BA876" s="1306"/>
      <c r="BC876" s="169"/>
    </row>
    <row r="877" spans="19:55">
      <c r="S877" s="454"/>
      <c r="AN877" s="454"/>
      <c r="AY877" s="454"/>
      <c r="AZ877" s="454"/>
      <c r="BA877" s="1306"/>
      <c r="BC877" s="169"/>
    </row>
    <row r="878" spans="19:55">
      <c r="S878" s="454"/>
      <c r="AN878" s="454"/>
      <c r="AY878" s="454"/>
      <c r="AZ878" s="454"/>
      <c r="BA878" s="1306"/>
      <c r="BC878" s="169"/>
    </row>
    <row r="879" spans="19:55">
      <c r="S879" s="454"/>
      <c r="AN879" s="454"/>
      <c r="AY879" s="454"/>
      <c r="AZ879" s="454"/>
      <c r="BA879" s="1306"/>
      <c r="BC879" s="169"/>
    </row>
    <row r="880" spans="19:55">
      <c r="S880" s="454"/>
      <c r="AN880" s="454"/>
      <c r="AY880" s="454"/>
      <c r="AZ880" s="454"/>
      <c r="BA880" s="1306"/>
      <c r="BC880" s="169"/>
    </row>
    <row r="881" spans="19:55">
      <c r="S881" s="454"/>
      <c r="AN881" s="454"/>
      <c r="AY881" s="454"/>
      <c r="AZ881" s="454"/>
      <c r="BA881" s="1306"/>
      <c r="BC881" s="169"/>
    </row>
    <row r="882" spans="19:55">
      <c r="S882" s="454"/>
      <c r="AN882" s="454"/>
      <c r="AY882" s="454"/>
      <c r="AZ882" s="454"/>
      <c r="BA882" s="1306"/>
      <c r="BC882" s="169"/>
    </row>
    <row r="883" spans="19:55">
      <c r="S883" s="454"/>
      <c r="AN883" s="454"/>
      <c r="AY883" s="454"/>
      <c r="AZ883" s="454"/>
      <c r="BA883" s="1306"/>
      <c r="BC883" s="169"/>
    </row>
    <row r="884" spans="19:55">
      <c r="S884" s="454"/>
      <c r="AN884" s="454"/>
      <c r="AY884" s="454"/>
      <c r="AZ884" s="454"/>
      <c r="BA884" s="1306"/>
      <c r="BC884" s="169"/>
    </row>
    <row r="885" spans="19:55">
      <c r="S885" s="454"/>
      <c r="AN885" s="454"/>
      <c r="AY885" s="454"/>
      <c r="AZ885" s="454"/>
      <c r="BA885" s="1306"/>
      <c r="BC885" s="169"/>
    </row>
    <row r="886" spans="19:55">
      <c r="S886" s="454"/>
      <c r="AN886" s="454"/>
      <c r="AY886" s="454"/>
      <c r="AZ886" s="454"/>
      <c r="BA886" s="1306"/>
      <c r="BC886" s="169"/>
    </row>
    <row r="887" spans="19:55">
      <c r="S887" s="454"/>
      <c r="AN887" s="454"/>
      <c r="AY887" s="454"/>
      <c r="AZ887" s="454"/>
      <c r="BA887" s="1306"/>
      <c r="BC887" s="169"/>
    </row>
    <row r="888" spans="19:55">
      <c r="S888" s="454"/>
      <c r="AN888" s="454"/>
      <c r="AY888" s="454"/>
      <c r="AZ888" s="454"/>
      <c r="BA888" s="1306"/>
      <c r="BC888" s="169"/>
    </row>
    <row r="889" spans="19:55">
      <c r="S889" s="454"/>
      <c r="AN889" s="454"/>
      <c r="AY889" s="454"/>
      <c r="AZ889" s="454"/>
      <c r="BA889" s="1306"/>
      <c r="BC889" s="169"/>
    </row>
    <row r="890" spans="19:55">
      <c r="S890" s="454"/>
      <c r="AN890" s="454"/>
      <c r="AY890" s="454"/>
      <c r="AZ890" s="454"/>
      <c r="BA890" s="1306"/>
      <c r="BC890" s="169"/>
    </row>
    <row r="891" spans="19:55">
      <c r="S891" s="454"/>
      <c r="AN891" s="454"/>
      <c r="AY891" s="454"/>
      <c r="AZ891" s="454"/>
      <c r="BA891" s="1306"/>
      <c r="BC891" s="169"/>
    </row>
    <row r="892" spans="19:55">
      <c r="S892" s="454"/>
      <c r="AN892" s="454"/>
      <c r="AY892" s="454"/>
      <c r="AZ892" s="454"/>
      <c r="BA892" s="1306"/>
      <c r="BC892" s="169"/>
    </row>
    <row r="893" spans="19:55">
      <c r="S893" s="454"/>
      <c r="AN893" s="454"/>
      <c r="AY893" s="454"/>
      <c r="AZ893" s="454"/>
      <c r="BA893" s="1306"/>
      <c r="BC893" s="169"/>
    </row>
    <row r="894" spans="19:55">
      <c r="S894" s="454"/>
      <c r="AN894" s="454"/>
      <c r="AY894" s="454"/>
      <c r="AZ894" s="454"/>
      <c r="BA894" s="1306"/>
      <c r="BC894" s="169"/>
    </row>
    <row r="895" spans="19:55">
      <c r="S895" s="454"/>
      <c r="AN895" s="454"/>
      <c r="AY895" s="454"/>
      <c r="AZ895" s="454"/>
      <c r="BA895" s="1306"/>
      <c r="BC895" s="169"/>
    </row>
    <row r="896" spans="19:55">
      <c r="S896" s="454"/>
      <c r="AN896" s="454"/>
      <c r="AY896" s="454"/>
      <c r="AZ896" s="454"/>
      <c r="BA896" s="1306"/>
      <c r="BC896" s="169"/>
    </row>
    <row r="897" spans="19:55">
      <c r="S897" s="454"/>
      <c r="AN897" s="454"/>
      <c r="AY897" s="454"/>
      <c r="AZ897" s="454"/>
      <c r="BA897" s="1306"/>
      <c r="BC897" s="169"/>
    </row>
    <row r="898" spans="19:55">
      <c r="S898" s="454"/>
      <c r="AN898" s="454"/>
      <c r="AY898" s="454"/>
      <c r="AZ898" s="454"/>
      <c r="BA898" s="1306"/>
      <c r="BC898" s="169"/>
    </row>
    <row r="899" spans="19:55">
      <c r="S899" s="454"/>
      <c r="AN899" s="454"/>
      <c r="AY899" s="454"/>
      <c r="AZ899" s="454"/>
      <c r="BA899" s="1306"/>
      <c r="BC899" s="169"/>
    </row>
    <row r="900" spans="19:55">
      <c r="S900" s="454"/>
      <c r="AN900" s="454"/>
      <c r="AY900" s="454"/>
      <c r="AZ900" s="454"/>
      <c r="BA900" s="1306"/>
      <c r="BC900" s="169"/>
    </row>
    <row r="901" spans="19:55">
      <c r="S901" s="454"/>
      <c r="AN901" s="454"/>
      <c r="AY901" s="454"/>
      <c r="AZ901" s="454"/>
      <c r="BA901" s="1306"/>
      <c r="BC901" s="169"/>
    </row>
    <row r="902" spans="19:55">
      <c r="S902" s="454"/>
      <c r="AN902" s="454"/>
      <c r="AY902" s="454"/>
      <c r="AZ902" s="454"/>
      <c r="BA902" s="1306"/>
      <c r="BC902" s="169"/>
    </row>
    <row r="903" spans="19:55">
      <c r="S903" s="454"/>
      <c r="AN903" s="454"/>
      <c r="AY903" s="454"/>
      <c r="AZ903" s="454"/>
      <c r="BA903" s="1306"/>
      <c r="BC903" s="169"/>
    </row>
    <row r="904" spans="19:55">
      <c r="S904" s="454"/>
      <c r="AN904" s="454"/>
      <c r="AY904" s="454"/>
      <c r="AZ904" s="454"/>
      <c r="BA904" s="1306"/>
      <c r="BC904" s="169"/>
    </row>
    <row r="905" spans="19:55">
      <c r="S905" s="454"/>
      <c r="AN905" s="454"/>
      <c r="AY905" s="454"/>
      <c r="AZ905" s="454"/>
      <c r="BA905" s="1306"/>
      <c r="BC905" s="169"/>
    </row>
    <row r="906" spans="19:55">
      <c r="S906" s="454"/>
      <c r="AN906" s="454"/>
      <c r="AY906" s="454"/>
      <c r="AZ906" s="454"/>
      <c r="BA906" s="1306"/>
      <c r="BC906" s="169"/>
    </row>
    <row r="907" spans="19:55">
      <c r="S907" s="454"/>
      <c r="AN907" s="454"/>
      <c r="AY907" s="454"/>
      <c r="AZ907" s="454"/>
      <c r="BA907" s="1306"/>
      <c r="BC907" s="169"/>
    </row>
    <row r="908" spans="19:55">
      <c r="S908" s="454"/>
      <c r="AN908" s="454"/>
      <c r="AY908" s="454"/>
      <c r="AZ908" s="454"/>
      <c r="BA908" s="1306"/>
      <c r="BC908" s="169"/>
    </row>
    <row r="909" spans="19:55">
      <c r="S909" s="454"/>
      <c r="AN909" s="454"/>
      <c r="AY909" s="454"/>
      <c r="AZ909" s="454"/>
      <c r="BA909" s="1306"/>
      <c r="BC909" s="169"/>
    </row>
    <row r="910" spans="19:55">
      <c r="S910" s="454"/>
      <c r="AN910" s="454"/>
      <c r="AY910" s="454"/>
      <c r="AZ910" s="454"/>
      <c r="BA910" s="1306"/>
      <c r="BC910" s="169"/>
    </row>
    <row r="911" spans="19:55">
      <c r="S911" s="454"/>
      <c r="AN911" s="454"/>
      <c r="AY911" s="454"/>
      <c r="AZ911" s="454"/>
      <c r="BA911" s="1306"/>
      <c r="BC911" s="169"/>
    </row>
    <row r="912" spans="19:55">
      <c r="S912" s="454"/>
      <c r="AN912" s="454"/>
      <c r="AY912" s="454"/>
      <c r="AZ912" s="454"/>
      <c r="BA912" s="1306"/>
      <c r="BC912" s="169"/>
    </row>
    <row r="913" spans="19:55">
      <c r="S913" s="454"/>
      <c r="AN913" s="454"/>
      <c r="AY913" s="454"/>
      <c r="AZ913" s="454"/>
      <c r="BA913" s="1306"/>
      <c r="BC913" s="169"/>
    </row>
    <row r="914" spans="19:55">
      <c r="S914" s="454"/>
      <c r="AN914" s="454"/>
      <c r="AY914" s="454"/>
      <c r="AZ914" s="454"/>
      <c r="BA914" s="1306"/>
      <c r="BC914" s="169"/>
    </row>
    <row r="915" spans="19:55">
      <c r="S915" s="454"/>
      <c r="AN915" s="454"/>
      <c r="AY915" s="454"/>
      <c r="AZ915" s="454"/>
      <c r="BA915" s="1306"/>
      <c r="BC915" s="169"/>
    </row>
    <row r="916" spans="19:55">
      <c r="S916" s="454"/>
      <c r="AN916" s="454"/>
      <c r="AY916" s="454"/>
      <c r="AZ916" s="454"/>
      <c r="BA916" s="1306"/>
      <c r="BC916" s="169"/>
    </row>
    <row r="917" spans="19:55">
      <c r="S917" s="454"/>
      <c r="AN917" s="454"/>
      <c r="AY917" s="454"/>
      <c r="AZ917" s="454"/>
      <c r="BA917" s="1306"/>
      <c r="BC917" s="169"/>
    </row>
    <row r="918" spans="19:55">
      <c r="S918" s="454"/>
      <c r="AN918" s="454"/>
      <c r="AY918" s="454"/>
      <c r="AZ918" s="454"/>
      <c r="BA918" s="1306"/>
      <c r="BC918" s="169"/>
    </row>
    <row r="919" spans="19:55">
      <c r="S919" s="454"/>
      <c r="AN919" s="454"/>
      <c r="AY919" s="454"/>
      <c r="AZ919" s="454"/>
      <c r="BA919" s="1306"/>
      <c r="BC919" s="169"/>
    </row>
    <row r="920" spans="19:55">
      <c r="S920" s="454"/>
      <c r="AN920" s="454"/>
      <c r="AY920" s="454"/>
      <c r="AZ920" s="454"/>
      <c r="BA920" s="1306"/>
      <c r="BC920" s="169"/>
    </row>
    <row r="921" spans="19:55">
      <c r="S921" s="454"/>
      <c r="AN921" s="454"/>
      <c r="AY921" s="454"/>
      <c r="AZ921" s="454"/>
      <c r="BA921" s="1306"/>
      <c r="BC921" s="169"/>
    </row>
    <row r="922" spans="19:55">
      <c r="S922" s="454"/>
      <c r="AN922" s="454"/>
      <c r="AY922" s="454"/>
      <c r="AZ922" s="454"/>
      <c r="BA922" s="1306"/>
      <c r="BC922" s="169"/>
    </row>
    <row r="923" spans="19:55">
      <c r="S923" s="454"/>
      <c r="AN923" s="454"/>
      <c r="AY923" s="454"/>
      <c r="AZ923" s="454"/>
      <c r="BA923" s="1306"/>
      <c r="BC923" s="169"/>
    </row>
    <row r="924" spans="19:55">
      <c r="S924" s="454"/>
      <c r="AN924" s="454"/>
      <c r="AY924" s="454"/>
      <c r="AZ924" s="454"/>
      <c r="BA924" s="1306"/>
      <c r="BC924" s="169"/>
    </row>
    <row r="925" spans="19:55">
      <c r="S925" s="454"/>
      <c r="AN925" s="454"/>
      <c r="AY925" s="454"/>
      <c r="AZ925" s="454"/>
      <c r="BA925" s="1306"/>
      <c r="BC925" s="169"/>
    </row>
    <row r="926" spans="19:55">
      <c r="S926" s="454"/>
      <c r="AN926" s="454"/>
      <c r="AY926" s="454"/>
      <c r="AZ926" s="454"/>
      <c r="BA926" s="1306"/>
      <c r="BC926" s="169"/>
    </row>
    <row r="927" spans="19:55">
      <c r="S927" s="454"/>
      <c r="AN927" s="454"/>
      <c r="AY927" s="454"/>
      <c r="AZ927" s="454"/>
      <c r="BA927" s="1306"/>
      <c r="BC927" s="169"/>
    </row>
    <row r="928" spans="19:55">
      <c r="S928" s="454"/>
      <c r="AN928" s="454"/>
      <c r="AY928" s="454"/>
      <c r="AZ928" s="454"/>
      <c r="BA928" s="1306"/>
      <c r="BC928" s="169"/>
    </row>
    <row r="929" spans="19:55">
      <c r="S929" s="454"/>
      <c r="AN929" s="454"/>
      <c r="AY929" s="454"/>
      <c r="AZ929" s="454"/>
      <c r="BA929" s="1306"/>
      <c r="BC929" s="169"/>
    </row>
    <row r="930" spans="19:55">
      <c r="S930" s="454"/>
      <c r="AN930" s="454"/>
      <c r="AY930" s="454"/>
      <c r="AZ930" s="454"/>
      <c r="BA930" s="1306"/>
      <c r="BC930" s="169"/>
    </row>
    <row r="931" spans="19:55">
      <c r="S931" s="454"/>
      <c r="AN931" s="454"/>
      <c r="AY931" s="454"/>
      <c r="AZ931" s="454"/>
      <c r="BA931" s="1306"/>
      <c r="BC931" s="169"/>
    </row>
    <row r="932" spans="19:55">
      <c r="S932" s="454"/>
      <c r="AN932" s="454"/>
      <c r="AY932" s="454"/>
      <c r="AZ932" s="454"/>
      <c r="BA932" s="1306"/>
      <c r="BC932" s="169"/>
    </row>
    <row r="933" spans="19:55">
      <c r="S933" s="454"/>
      <c r="AN933" s="454"/>
      <c r="AY933" s="454"/>
      <c r="AZ933" s="454"/>
      <c r="BA933" s="1306"/>
      <c r="BC933" s="169"/>
    </row>
    <row r="934" spans="19:55">
      <c r="S934" s="454"/>
      <c r="AN934" s="454"/>
      <c r="AY934" s="454"/>
      <c r="AZ934" s="454"/>
      <c r="BA934" s="1306"/>
      <c r="BC934" s="169"/>
    </row>
    <row r="935" spans="19:55">
      <c r="S935" s="454"/>
      <c r="AN935" s="454"/>
      <c r="AY935" s="454"/>
      <c r="AZ935" s="454"/>
      <c r="BA935" s="1306"/>
      <c r="BC935" s="169"/>
    </row>
    <row r="936" spans="19:55">
      <c r="S936" s="454"/>
      <c r="AN936" s="454"/>
      <c r="AY936" s="454"/>
      <c r="AZ936" s="454"/>
      <c r="BA936" s="1306"/>
      <c r="BC936" s="169"/>
    </row>
    <row r="937" spans="19:55">
      <c r="S937" s="454"/>
      <c r="AN937" s="454"/>
      <c r="AY937" s="454"/>
      <c r="AZ937" s="454"/>
      <c r="BA937" s="1306"/>
      <c r="BC937" s="169"/>
    </row>
    <row r="938" spans="19:55">
      <c r="S938" s="454"/>
      <c r="AN938" s="454"/>
      <c r="AY938" s="454"/>
      <c r="AZ938" s="454"/>
      <c r="BA938" s="1306"/>
      <c r="BC938" s="169"/>
    </row>
    <row r="939" spans="19:55">
      <c r="S939" s="454"/>
      <c r="AN939" s="454"/>
      <c r="AY939" s="454"/>
      <c r="AZ939" s="454"/>
      <c r="BA939" s="1306"/>
      <c r="BC939" s="169"/>
    </row>
    <row r="940" spans="19:55">
      <c r="S940" s="454"/>
      <c r="AN940" s="454"/>
      <c r="AY940" s="454"/>
      <c r="AZ940" s="454"/>
      <c r="BA940" s="1306"/>
      <c r="BC940" s="169"/>
    </row>
    <row r="941" spans="19:55">
      <c r="S941" s="454"/>
      <c r="AN941" s="454"/>
      <c r="AY941" s="454"/>
      <c r="AZ941" s="454"/>
      <c r="BA941" s="1306"/>
      <c r="BC941" s="169"/>
    </row>
    <row r="942" spans="19:55">
      <c r="S942" s="454"/>
      <c r="AN942" s="454"/>
      <c r="AY942" s="454"/>
      <c r="AZ942" s="454"/>
      <c r="BA942" s="1306"/>
      <c r="BC942" s="169"/>
    </row>
    <row r="943" spans="19:55">
      <c r="S943" s="454"/>
      <c r="AN943" s="454"/>
      <c r="AY943" s="454"/>
      <c r="AZ943" s="454"/>
      <c r="BA943" s="1306"/>
      <c r="BC943" s="169"/>
    </row>
    <row r="944" spans="19:55">
      <c r="S944" s="454"/>
      <c r="AN944" s="454"/>
      <c r="AY944" s="454"/>
      <c r="AZ944" s="454"/>
      <c r="BA944" s="1306"/>
      <c r="BC944" s="169"/>
    </row>
    <row r="945" spans="19:55">
      <c r="S945" s="454"/>
      <c r="AN945" s="454"/>
      <c r="AY945" s="454"/>
      <c r="AZ945" s="454"/>
      <c r="BA945" s="1306"/>
      <c r="BC945" s="169"/>
    </row>
    <row r="946" spans="19:55">
      <c r="S946" s="454"/>
      <c r="AN946" s="454"/>
      <c r="AY946" s="454"/>
      <c r="AZ946" s="454"/>
      <c r="BA946" s="1306"/>
      <c r="BC946" s="169"/>
    </row>
    <row r="947" spans="19:55">
      <c r="S947" s="454"/>
      <c r="AN947" s="454"/>
      <c r="AY947" s="454"/>
      <c r="AZ947" s="454"/>
      <c r="BA947" s="1306"/>
      <c r="BC947" s="169"/>
    </row>
    <row r="948" spans="19:55">
      <c r="S948" s="454"/>
      <c r="AN948" s="454"/>
      <c r="AY948" s="454"/>
      <c r="AZ948" s="454"/>
      <c r="BA948" s="1306"/>
      <c r="BC948" s="169"/>
    </row>
    <row r="949" spans="19:55">
      <c r="S949" s="454"/>
      <c r="AN949" s="454"/>
      <c r="AY949" s="454"/>
      <c r="AZ949" s="454"/>
      <c r="BA949" s="1306"/>
      <c r="BC949" s="169"/>
    </row>
    <row r="950" spans="19:55">
      <c r="S950" s="454"/>
      <c r="AN950" s="454"/>
      <c r="AY950" s="454"/>
      <c r="AZ950" s="454"/>
      <c r="BA950" s="1306"/>
      <c r="BC950" s="169"/>
    </row>
    <row r="951" spans="19:55">
      <c r="S951" s="454"/>
      <c r="AN951" s="454"/>
      <c r="AY951" s="454"/>
      <c r="AZ951" s="454"/>
      <c r="BA951" s="1306"/>
      <c r="BC951" s="169"/>
    </row>
    <row r="952" spans="19:55">
      <c r="S952" s="454"/>
      <c r="AN952" s="454"/>
      <c r="AY952" s="454"/>
      <c r="AZ952" s="454"/>
      <c r="BA952" s="1306"/>
      <c r="BC952" s="169"/>
    </row>
    <row r="953" spans="19:55">
      <c r="S953" s="454"/>
      <c r="AN953" s="454"/>
      <c r="AY953" s="454"/>
      <c r="AZ953" s="454"/>
      <c r="BA953" s="1306"/>
      <c r="BC953" s="169"/>
    </row>
    <row r="954" spans="19:55">
      <c r="S954" s="454"/>
      <c r="AN954" s="454"/>
      <c r="AY954" s="454"/>
      <c r="AZ954" s="454"/>
      <c r="BA954" s="1306"/>
      <c r="BC954" s="169"/>
    </row>
    <row r="955" spans="19:55">
      <c r="S955" s="454"/>
      <c r="AN955" s="454"/>
      <c r="AY955" s="454"/>
      <c r="AZ955" s="454"/>
      <c r="BA955" s="1306"/>
      <c r="BC955" s="169"/>
    </row>
    <row r="956" spans="19:55">
      <c r="S956" s="454"/>
      <c r="AN956" s="454"/>
      <c r="AY956" s="454"/>
      <c r="AZ956" s="454"/>
      <c r="BA956" s="1306"/>
      <c r="BC956" s="169"/>
    </row>
    <row r="957" spans="19:55">
      <c r="S957" s="454"/>
      <c r="AN957" s="454"/>
      <c r="AY957" s="454"/>
      <c r="AZ957" s="454"/>
      <c r="BA957" s="1306"/>
      <c r="BC957" s="169"/>
    </row>
    <row r="958" spans="19:55">
      <c r="S958" s="454"/>
      <c r="AN958" s="454"/>
      <c r="AY958" s="454"/>
      <c r="AZ958" s="454"/>
      <c r="BA958" s="1306"/>
      <c r="BC958" s="169"/>
    </row>
    <row r="959" spans="19:55">
      <c r="S959" s="454"/>
      <c r="AN959" s="454"/>
      <c r="AY959" s="454"/>
      <c r="AZ959" s="454"/>
      <c r="BA959" s="1306"/>
      <c r="BC959" s="169"/>
    </row>
    <row r="960" spans="19:55">
      <c r="S960" s="454"/>
      <c r="AN960" s="454"/>
      <c r="AY960" s="454"/>
      <c r="AZ960" s="454"/>
      <c r="BA960" s="1306"/>
      <c r="BC960" s="169"/>
    </row>
    <row r="961" spans="19:55">
      <c r="S961" s="454"/>
      <c r="AN961" s="454"/>
      <c r="AY961" s="454"/>
      <c r="AZ961" s="454"/>
      <c r="BA961" s="1306"/>
      <c r="BC961" s="169"/>
    </row>
    <row r="962" spans="19:55">
      <c r="S962" s="454"/>
      <c r="AN962" s="454"/>
      <c r="AY962" s="454"/>
      <c r="AZ962" s="454"/>
      <c r="BA962" s="1306"/>
      <c r="BC962" s="169"/>
    </row>
    <row r="963" spans="19:55">
      <c r="S963" s="454"/>
      <c r="AN963" s="454"/>
      <c r="AY963" s="454"/>
      <c r="AZ963" s="454"/>
      <c r="BA963" s="1306"/>
      <c r="BC963" s="169"/>
    </row>
    <row r="964" spans="19:55">
      <c r="S964" s="454"/>
      <c r="AN964" s="454"/>
      <c r="AY964" s="454"/>
      <c r="AZ964" s="454"/>
      <c r="BA964" s="1306"/>
      <c r="BC964" s="169"/>
    </row>
    <row r="965" spans="19:55">
      <c r="S965" s="454"/>
      <c r="AN965" s="454"/>
      <c r="AY965" s="454"/>
      <c r="AZ965" s="454"/>
      <c r="BA965" s="1306"/>
      <c r="BC965" s="169"/>
    </row>
    <row r="966" spans="19:55">
      <c r="S966" s="454"/>
      <c r="AN966" s="454"/>
      <c r="AY966" s="454"/>
      <c r="AZ966" s="454"/>
      <c r="BA966" s="1306"/>
      <c r="BC966" s="169"/>
    </row>
    <row r="967" spans="19:55">
      <c r="S967" s="454"/>
      <c r="AN967" s="454"/>
      <c r="AY967" s="454"/>
      <c r="AZ967" s="454"/>
      <c r="BA967" s="1306"/>
      <c r="BC967" s="169"/>
    </row>
    <row r="968" spans="19:55">
      <c r="S968" s="454"/>
      <c r="AN968" s="454"/>
      <c r="AY968" s="454"/>
      <c r="AZ968" s="454"/>
      <c r="BA968" s="1306"/>
      <c r="BC968" s="169"/>
    </row>
    <row r="969" spans="19:55">
      <c r="S969" s="454"/>
      <c r="AN969" s="454"/>
      <c r="AY969" s="454"/>
      <c r="AZ969" s="454"/>
      <c r="BA969" s="1306"/>
      <c r="BC969" s="169"/>
    </row>
    <row r="970" spans="19:55">
      <c r="S970" s="454"/>
      <c r="AN970" s="454"/>
      <c r="AY970" s="454"/>
      <c r="AZ970" s="454"/>
      <c r="BA970" s="1306"/>
      <c r="BC970" s="169"/>
    </row>
    <row r="971" spans="19:55">
      <c r="S971" s="454"/>
      <c r="AN971" s="454"/>
      <c r="AY971" s="454"/>
      <c r="AZ971" s="454"/>
      <c r="BA971" s="1306"/>
      <c r="BC971" s="169"/>
    </row>
    <row r="972" spans="19:55">
      <c r="S972" s="454"/>
      <c r="AN972" s="454"/>
      <c r="AY972" s="454"/>
      <c r="AZ972" s="454"/>
      <c r="BA972" s="1306"/>
      <c r="BC972" s="169"/>
    </row>
    <row r="973" spans="19:55">
      <c r="S973" s="454"/>
      <c r="AN973" s="454"/>
      <c r="AY973" s="454"/>
      <c r="AZ973" s="454"/>
      <c r="BA973" s="1306"/>
      <c r="BC973" s="169"/>
    </row>
    <row r="974" spans="19:55">
      <c r="S974" s="454"/>
      <c r="AN974" s="454"/>
      <c r="AY974" s="454"/>
      <c r="AZ974" s="454"/>
      <c r="BA974" s="1306"/>
      <c r="BC974" s="169"/>
    </row>
    <row r="975" spans="19:55">
      <c r="S975" s="454"/>
      <c r="AN975" s="454"/>
      <c r="AY975" s="454"/>
      <c r="AZ975" s="454"/>
      <c r="BA975" s="1306"/>
      <c r="BC975" s="169"/>
    </row>
    <row r="976" spans="19:55">
      <c r="S976" s="454"/>
      <c r="AN976" s="454"/>
      <c r="AY976" s="454"/>
      <c r="AZ976" s="454"/>
      <c r="BA976" s="1306"/>
      <c r="BC976" s="169"/>
    </row>
    <row r="977" spans="19:55">
      <c r="S977" s="454"/>
      <c r="AN977" s="454"/>
      <c r="AY977" s="454"/>
      <c r="AZ977" s="454"/>
      <c r="BA977" s="1306"/>
      <c r="BC977" s="169"/>
    </row>
    <row r="978" spans="19:55">
      <c r="S978" s="454"/>
      <c r="AN978" s="454"/>
      <c r="AY978" s="454"/>
      <c r="AZ978" s="454"/>
      <c r="BA978" s="1306"/>
      <c r="BC978" s="169"/>
    </row>
    <row r="979" spans="19:55">
      <c r="S979" s="454"/>
      <c r="AN979" s="454"/>
      <c r="AY979" s="454"/>
      <c r="AZ979" s="454"/>
      <c r="BA979" s="1306"/>
      <c r="BC979" s="169"/>
    </row>
    <row r="980" spans="19:55">
      <c r="S980" s="454"/>
      <c r="AN980" s="454"/>
      <c r="AY980" s="454"/>
      <c r="AZ980" s="454"/>
      <c r="BA980" s="1306"/>
      <c r="BC980" s="169"/>
    </row>
    <row r="981" spans="19:55">
      <c r="S981" s="454"/>
      <c r="AN981" s="454"/>
      <c r="AY981" s="454"/>
      <c r="AZ981" s="454"/>
      <c r="BA981" s="1306"/>
      <c r="BC981" s="169"/>
    </row>
    <row r="982" spans="19:55">
      <c r="S982" s="454"/>
      <c r="AN982" s="454"/>
      <c r="AY982" s="454"/>
      <c r="AZ982" s="454"/>
      <c r="BA982" s="1306"/>
      <c r="BC982" s="169"/>
    </row>
    <row r="983" spans="19:55">
      <c r="S983" s="454"/>
      <c r="AN983" s="454"/>
      <c r="AY983" s="454"/>
      <c r="AZ983" s="454"/>
      <c r="BA983" s="1306"/>
      <c r="BC983" s="169"/>
    </row>
    <row r="984" spans="19:55">
      <c r="S984" s="454"/>
      <c r="AN984" s="454"/>
      <c r="AY984" s="454"/>
      <c r="AZ984" s="454"/>
      <c r="BA984" s="1306"/>
      <c r="BC984" s="169"/>
    </row>
    <row r="985" spans="19:55">
      <c r="S985" s="454"/>
      <c r="AN985" s="454"/>
      <c r="AY985" s="454"/>
      <c r="AZ985" s="454"/>
      <c r="BA985" s="1306"/>
      <c r="BC985" s="169"/>
    </row>
    <row r="986" spans="19:55">
      <c r="S986" s="454"/>
      <c r="AN986" s="454"/>
      <c r="AY986" s="454"/>
      <c r="AZ986" s="454"/>
      <c r="BA986" s="1306"/>
      <c r="BC986" s="169"/>
    </row>
    <row r="987" spans="19:55">
      <c r="S987" s="454"/>
      <c r="AN987" s="454"/>
      <c r="AY987" s="454"/>
      <c r="AZ987" s="454"/>
      <c r="BA987" s="1306"/>
      <c r="BC987" s="169"/>
    </row>
    <row r="988" spans="19:55">
      <c r="S988" s="454"/>
      <c r="AN988" s="454"/>
      <c r="AY988" s="454"/>
      <c r="AZ988" s="454"/>
      <c r="BA988" s="1306"/>
      <c r="BC988" s="169"/>
    </row>
    <row r="989" spans="19:55">
      <c r="S989" s="454"/>
      <c r="AN989" s="454"/>
      <c r="AY989" s="454"/>
      <c r="AZ989" s="454"/>
      <c r="BA989" s="1306"/>
      <c r="BC989" s="169"/>
    </row>
    <row r="990" spans="19:55">
      <c r="S990" s="454"/>
      <c r="AN990" s="454"/>
      <c r="AY990" s="454"/>
      <c r="AZ990" s="454"/>
      <c r="BA990" s="1306"/>
      <c r="BC990" s="169"/>
    </row>
    <row r="991" spans="19:55">
      <c r="S991" s="454"/>
      <c r="AN991" s="454"/>
      <c r="AY991" s="454"/>
      <c r="AZ991" s="454"/>
      <c r="BA991" s="1306"/>
      <c r="BC991" s="169"/>
    </row>
    <row r="992" spans="19:55">
      <c r="S992" s="454"/>
      <c r="AN992" s="454"/>
      <c r="AY992" s="454"/>
      <c r="AZ992" s="454"/>
      <c r="BA992" s="1306"/>
      <c r="BC992" s="169"/>
    </row>
    <row r="993" spans="19:55">
      <c r="S993" s="454"/>
      <c r="AN993" s="454"/>
      <c r="AY993" s="454"/>
      <c r="AZ993" s="454"/>
      <c r="BA993" s="1306"/>
      <c r="BC993" s="169"/>
    </row>
    <row r="994" spans="19:55">
      <c r="S994" s="454"/>
      <c r="AN994" s="454"/>
      <c r="AY994" s="454"/>
      <c r="AZ994" s="454"/>
      <c r="BA994" s="1306"/>
      <c r="BC994" s="169"/>
    </row>
    <row r="995" spans="19:55">
      <c r="S995" s="454"/>
      <c r="AN995" s="454"/>
      <c r="AY995" s="454"/>
      <c r="AZ995" s="454"/>
      <c r="BA995" s="1306"/>
      <c r="BC995" s="169"/>
    </row>
    <row r="996" spans="19:55">
      <c r="S996" s="454"/>
      <c r="AN996" s="454"/>
      <c r="AY996" s="454"/>
      <c r="AZ996" s="454"/>
      <c r="BA996" s="1306"/>
      <c r="BC996" s="169"/>
    </row>
    <row r="997" spans="19:55">
      <c r="S997" s="454"/>
      <c r="AN997" s="454"/>
      <c r="AY997" s="454"/>
      <c r="AZ997" s="454"/>
      <c r="BA997" s="1306"/>
      <c r="BC997" s="169"/>
    </row>
    <row r="998" spans="19:55">
      <c r="S998" s="454"/>
      <c r="AN998" s="454"/>
      <c r="AY998" s="454"/>
      <c r="AZ998" s="454"/>
      <c r="BA998" s="1306"/>
      <c r="BC998" s="169"/>
    </row>
    <row r="999" spans="19:55">
      <c r="S999" s="454"/>
      <c r="AN999" s="454"/>
      <c r="AY999" s="454"/>
      <c r="AZ999" s="454"/>
      <c r="BA999" s="1306"/>
      <c r="BC999" s="169"/>
    </row>
    <row r="1000" spans="19:55">
      <c r="S1000" s="454"/>
      <c r="AN1000" s="454"/>
      <c r="AY1000" s="454"/>
      <c r="AZ1000" s="454"/>
      <c r="BA1000" s="1306"/>
      <c r="BC1000" s="169"/>
    </row>
    <row r="1001" spans="19:55">
      <c r="S1001" s="454"/>
      <c r="AN1001" s="454"/>
      <c r="AY1001" s="454"/>
      <c r="AZ1001" s="454"/>
      <c r="BA1001" s="1306"/>
      <c r="BC1001" s="169"/>
    </row>
    <row r="1002" spans="19:55">
      <c r="S1002" s="454"/>
      <c r="AN1002" s="454"/>
      <c r="AY1002" s="454"/>
      <c r="AZ1002" s="454"/>
      <c r="BA1002" s="1306"/>
      <c r="BC1002" s="169"/>
    </row>
    <row r="1003" spans="19:55">
      <c r="S1003" s="454"/>
      <c r="AN1003" s="454"/>
      <c r="AY1003" s="454"/>
      <c r="AZ1003" s="454"/>
      <c r="BA1003" s="1306"/>
      <c r="BC1003" s="169"/>
    </row>
    <row r="1004" spans="19:55">
      <c r="S1004" s="454"/>
      <c r="AN1004" s="454"/>
      <c r="AY1004" s="454"/>
      <c r="AZ1004" s="454"/>
      <c r="BA1004" s="1306"/>
      <c r="BC1004" s="169"/>
    </row>
    <row r="1005" spans="19:55">
      <c r="S1005" s="454"/>
      <c r="AN1005" s="454"/>
      <c r="AY1005" s="454"/>
      <c r="AZ1005" s="454"/>
      <c r="BA1005" s="1306"/>
      <c r="BC1005" s="169"/>
    </row>
    <row r="1006" spans="19:55">
      <c r="S1006" s="454"/>
      <c r="AN1006" s="454"/>
      <c r="AY1006" s="454"/>
      <c r="AZ1006" s="454"/>
      <c r="BA1006" s="1306"/>
      <c r="BC1006" s="169"/>
    </row>
    <row r="1007" spans="19:55">
      <c r="S1007" s="454"/>
      <c r="AN1007" s="454"/>
      <c r="AY1007" s="454"/>
      <c r="AZ1007" s="454"/>
      <c r="BA1007" s="1306"/>
      <c r="BC1007" s="169"/>
    </row>
    <row r="1008" spans="19:55">
      <c r="S1008" s="454"/>
      <c r="AN1008" s="454"/>
      <c r="AY1008" s="454"/>
      <c r="AZ1008" s="454"/>
      <c r="BA1008" s="1306"/>
      <c r="BC1008" s="169"/>
    </row>
    <row r="1009" spans="19:55">
      <c r="S1009" s="454"/>
      <c r="AN1009" s="454"/>
      <c r="AY1009" s="454"/>
      <c r="AZ1009" s="454"/>
      <c r="BA1009" s="1306"/>
      <c r="BC1009" s="169"/>
    </row>
    <row r="1010" spans="19:55">
      <c r="S1010" s="454"/>
      <c r="AN1010" s="454"/>
      <c r="AY1010" s="454"/>
      <c r="AZ1010" s="454"/>
      <c r="BA1010" s="1306"/>
      <c r="BC1010" s="169"/>
    </row>
    <row r="1011" spans="19:55">
      <c r="S1011" s="454"/>
      <c r="AN1011" s="454"/>
      <c r="AY1011" s="454"/>
      <c r="AZ1011" s="454"/>
      <c r="BA1011" s="1306"/>
      <c r="BC1011" s="169"/>
    </row>
    <row r="1012" spans="19:55">
      <c r="S1012" s="454"/>
      <c r="AN1012" s="454"/>
      <c r="AY1012" s="454"/>
      <c r="AZ1012" s="454"/>
      <c r="BA1012" s="1306"/>
      <c r="BC1012" s="169"/>
    </row>
    <row r="1013" spans="19:55">
      <c r="S1013" s="454"/>
      <c r="AN1013" s="454"/>
      <c r="AY1013" s="454"/>
      <c r="AZ1013" s="454"/>
      <c r="BA1013" s="1306"/>
      <c r="BC1013" s="169"/>
    </row>
    <row r="1014" spans="19:55">
      <c r="S1014" s="454"/>
      <c r="AN1014" s="454"/>
      <c r="AY1014" s="454"/>
      <c r="AZ1014" s="454"/>
      <c r="BA1014" s="1306"/>
      <c r="BC1014" s="169"/>
    </row>
    <row r="1015" spans="19:55">
      <c r="S1015" s="454"/>
      <c r="AN1015" s="454"/>
      <c r="AY1015" s="454"/>
      <c r="AZ1015" s="454"/>
      <c r="BA1015" s="1306"/>
      <c r="BC1015" s="169"/>
    </row>
    <row r="1016" spans="19:55">
      <c r="S1016" s="454"/>
      <c r="AN1016" s="454"/>
      <c r="AY1016" s="454"/>
      <c r="AZ1016" s="454"/>
      <c r="BA1016" s="1306"/>
      <c r="BC1016" s="169"/>
    </row>
    <row r="1017" spans="19:55">
      <c r="S1017" s="454"/>
      <c r="AN1017" s="454"/>
      <c r="AY1017" s="454"/>
      <c r="AZ1017" s="454"/>
      <c r="BA1017" s="1306"/>
      <c r="BC1017" s="169"/>
    </row>
    <row r="1018" spans="19:55">
      <c r="S1018" s="454"/>
      <c r="AN1018" s="454"/>
      <c r="AY1018" s="454"/>
      <c r="AZ1018" s="454"/>
      <c r="BA1018" s="1306"/>
      <c r="BC1018" s="169"/>
    </row>
    <row r="1019" spans="19:55">
      <c r="S1019" s="454"/>
      <c r="AN1019" s="454"/>
      <c r="AY1019" s="454"/>
      <c r="AZ1019" s="454"/>
      <c r="BA1019" s="1306"/>
      <c r="BC1019" s="169"/>
    </row>
    <row r="1020" spans="19:55">
      <c r="S1020" s="454"/>
      <c r="AN1020" s="454"/>
      <c r="AY1020" s="454"/>
      <c r="AZ1020" s="454"/>
      <c r="BA1020" s="1306"/>
      <c r="BC1020" s="169"/>
    </row>
    <row r="1021" spans="19:55">
      <c r="S1021" s="454"/>
      <c r="AN1021" s="454"/>
      <c r="AY1021" s="454"/>
      <c r="AZ1021" s="454"/>
      <c r="BA1021" s="1306"/>
      <c r="BC1021" s="169"/>
    </row>
    <row r="1022" spans="19:55">
      <c r="S1022" s="454"/>
      <c r="AN1022" s="454"/>
      <c r="AY1022" s="454"/>
      <c r="AZ1022" s="454"/>
      <c r="BA1022" s="1306"/>
      <c r="BC1022" s="169"/>
    </row>
    <row r="1023" spans="19:55">
      <c r="S1023" s="454"/>
      <c r="AN1023" s="454"/>
      <c r="AY1023" s="454"/>
      <c r="AZ1023" s="454"/>
      <c r="BA1023" s="1306"/>
      <c r="BC1023" s="169"/>
    </row>
    <row r="1024" spans="19:55">
      <c r="S1024" s="454"/>
      <c r="AN1024" s="454"/>
      <c r="AY1024" s="454"/>
      <c r="AZ1024" s="454"/>
      <c r="BA1024" s="1306"/>
      <c r="BC1024" s="169"/>
    </row>
    <row r="1025" spans="19:55">
      <c r="S1025" s="454"/>
      <c r="AN1025" s="454"/>
      <c r="AY1025" s="454"/>
      <c r="AZ1025" s="454"/>
      <c r="BA1025" s="1306"/>
      <c r="BC1025" s="169"/>
    </row>
    <row r="1026" spans="19:55">
      <c r="S1026" s="454"/>
      <c r="AN1026" s="454"/>
      <c r="AY1026" s="454"/>
      <c r="AZ1026" s="454"/>
      <c r="BA1026" s="1306"/>
      <c r="BC1026" s="169"/>
    </row>
    <row r="1027" spans="19:55">
      <c r="S1027" s="454"/>
      <c r="AN1027" s="454"/>
      <c r="AY1027" s="454"/>
      <c r="AZ1027" s="454"/>
      <c r="BA1027" s="1306"/>
      <c r="BC1027" s="169"/>
    </row>
    <row r="1028" spans="19:55">
      <c r="S1028" s="454"/>
      <c r="AN1028" s="454"/>
      <c r="AY1028" s="454"/>
      <c r="AZ1028" s="454"/>
      <c r="BA1028" s="1306"/>
      <c r="BC1028" s="169"/>
    </row>
    <row r="1029" spans="19:55">
      <c r="S1029" s="454"/>
      <c r="AN1029" s="454"/>
      <c r="AY1029" s="454"/>
      <c r="AZ1029" s="454"/>
      <c r="BA1029" s="1306"/>
      <c r="BC1029" s="169"/>
    </row>
    <row r="1030" spans="19:55">
      <c r="S1030" s="454"/>
      <c r="AN1030" s="454"/>
      <c r="AY1030" s="454"/>
      <c r="AZ1030" s="454"/>
      <c r="BA1030" s="1306"/>
      <c r="BC1030" s="169"/>
    </row>
    <row r="1031" spans="19:55">
      <c r="S1031" s="454"/>
      <c r="AN1031" s="454"/>
      <c r="AY1031" s="454"/>
      <c r="AZ1031" s="454"/>
      <c r="BA1031" s="1306"/>
      <c r="BC1031" s="169"/>
    </row>
    <row r="1032" spans="19:55">
      <c r="S1032" s="454"/>
      <c r="AN1032" s="454"/>
      <c r="AY1032" s="454"/>
      <c r="AZ1032" s="454"/>
      <c r="BA1032" s="1306"/>
      <c r="BC1032" s="169"/>
    </row>
    <row r="1033" spans="19:55">
      <c r="S1033" s="454"/>
      <c r="AN1033" s="454"/>
      <c r="AY1033" s="454"/>
      <c r="AZ1033" s="454"/>
      <c r="BA1033" s="1306"/>
      <c r="BC1033" s="169"/>
    </row>
    <row r="1034" spans="19:55">
      <c r="S1034" s="454"/>
      <c r="AN1034" s="454"/>
      <c r="AY1034" s="454"/>
      <c r="AZ1034" s="454"/>
      <c r="BA1034" s="1306"/>
      <c r="BC1034" s="169"/>
    </row>
    <row r="1035" spans="19:55">
      <c r="S1035" s="454"/>
      <c r="AN1035" s="454"/>
      <c r="AY1035" s="454"/>
      <c r="AZ1035" s="454"/>
      <c r="BA1035" s="1306"/>
      <c r="BC1035" s="169"/>
    </row>
    <row r="1036" spans="19:55">
      <c r="S1036" s="454"/>
      <c r="AN1036" s="454"/>
      <c r="AY1036" s="454"/>
      <c r="AZ1036" s="454"/>
      <c r="BA1036" s="1306"/>
      <c r="BC1036" s="169"/>
    </row>
    <row r="1037" spans="19:55">
      <c r="S1037" s="454"/>
      <c r="AN1037" s="454"/>
      <c r="AY1037" s="454"/>
      <c r="AZ1037" s="454"/>
      <c r="BA1037" s="1306"/>
      <c r="BC1037" s="169"/>
    </row>
    <row r="1038" spans="19:55">
      <c r="S1038" s="454"/>
      <c r="AN1038" s="454"/>
      <c r="AY1038" s="454"/>
      <c r="AZ1038" s="454"/>
      <c r="BA1038" s="1306"/>
      <c r="BC1038" s="169"/>
    </row>
    <row r="1039" spans="19:55">
      <c r="S1039" s="454"/>
      <c r="AN1039" s="454"/>
      <c r="AY1039" s="454"/>
      <c r="AZ1039" s="454"/>
      <c r="BA1039" s="1306"/>
      <c r="BC1039" s="169"/>
    </row>
    <row r="1040" spans="19:55">
      <c r="S1040" s="454"/>
      <c r="AN1040" s="454"/>
      <c r="AY1040" s="454"/>
      <c r="AZ1040" s="454"/>
      <c r="BA1040" s="1306"/>
      <c r="BC1040" s="169"/>
    </row>
    <row r="1041" spans="19:55">
      <c r="S1041" s="454"/>
      <c r="AN1041" s="454"/>
      <c r="AY1041" s="454"/>
      <c r="AZ1041" s="454"/>
      <c r="BA1041" s="1306"/>
      <c r="BC1041" s="169"/>
    </row>
    <row r="1042" spans="19:55">
      <c r="S1042" s="454"/>
      <c r="AN1042" s="454"/>
      <c r="AY1042" s="454"/>
      <c r="AZ1042" s="454"/>
      <c r="BA1042" s="1306"/>
      <c r="BC1042" s="169"/>
    </row>
    <row r="1043" spans="19:55">
      <c r="S1043" s="454"/>
      <c r="AN1043" s="454"/>
      <c r="AY1043" s="454"/>
      <c r="AZ1043" s="454"/>
      <c r="BA1043" s="1306"/>
      <c r="BC1043" s="169"/>
    </row>
    <row r="1044" spans="19:55">
      <c r="S1044" s="454"/>
      <c r="AN1044" s="454"/>
      <c r="AY1044" s="454"/>
      <c r="AZ1044" s="454"/>
      <c r="BA1044" s="1306"/>
      <c r="BC1044" s="169"/>
    </row>
    <row r="1045" spans="19:55">
      <c r="S1045" s="454"/>
      <c r="AN1045" s="454"/>
      <c r="AY1045" s="454"/>
      <c r="AZ1045" s="454"/>
      <c r="BA1045" s="1306"/>
      <c r="BC1045" s="169"/>
    </row>
    <row r="1046" spans="19:55">
      <c r="S1046" s="454"/>
      <c r="AN1046" s="454"/>
      <c r="AY1046" s="454"/>
      <c r="AZ1046" s="454"/>
      <c r="BA1046" s="1306"/>
      <c r="BC1046" s="169"/>
    </row>
    <row r="1047" spans="19:55">
      <c r="S1047" s="454"/>
      <c r="AN1047" s="454"/>
      <c r="AY1047" s="454"/>
      <c r="AZ1047" s="454"/>
      <c r="BA1047" s="1306"/>
      <c r="BC1047" s="169"/>
    </row>
    <row r="1048" spans="19:55">
      <c r="S1048" s="454"/>
      <c r="AN1048" s="454"/>
      <c r="AY1048" s="454"/>
      <c r="AZ1048" s="454"/>
      <c r="BA1048" s="1306"/>
      <c r="BC1048" s="169"/>
    </row>
    <row r="1049" spans="19:55">
      <c r="S1049" s="454"/>
      <c r="AN1049" s="454"/>
      <c r="AY1049" s="454"/>
      <c r="AZ1049" s="454"/>
      <c r="BA1049" s="1306"/>
      <c r="BC1049" s="169"/>
    </row>
    <row r="1050" spans="19:55">
      <c r="S1050" s="454"/>
      <c r="AN1050" s="454"/>
      <c r="AY1050" s="454"/>
      <c r="AZ1050" s="454"/>
      <c r="BA1050" s="1306"/>
      <c r="BC1050" s="169"/>
    </row>
    <row r="1051" spans="19:55">
      <c r="S1051" s="454"/>
      <c r="AN1051" s="454"/>
      <c r="AY1051" s="454"/>
      <c r="AZ1051" s="454"/>
      <c r="BA1051" s="1306"/>
      <c r="BC1051" s="169"/>
    </row>
    <row r="1052" spans="19:55">
      <c r="S1052" s="454"/>
      <c r="AN1052" s="454"/>
      <c r="AY1052" s="454"/>
      <c r="AZ1052" s="454"/>
      <c r="BA1052" s="1306"/>
      <c r="BC1052" s="169"/>
    </row>
    <row r="1053" spans="19:55">
      <c r="S1053" s="454"/>
      <c r="AN1053" s="454"/>
      <c r="AY1053" s="454"/>
      <c r="AZ1053" s="454"/>
      <c r="BA1053" s="1306"/>
      <c r="BC1053" s="169"/>
    </row>
    <row r="1054" spans="19:55">
      <c r="S1054" s="454"/>
      <c r="AN1054" s="454"/>
      <c r="AY1054" s="454"/>
      <c r="AZ1054" s="454"/>
      <c r="BA1054" s="1306"/>
      <c r="BC1054" s="169"/>
    </row>
    <row r="1055" spans="19:55">
      <c r="S1055" s="454"/>
      <c r="AN1055" s="454"/>
      <c r="AY1055" s="454"/>
      <c r="AZ1055" s="454"/>
      <c r="BA1055" s="1306"/>
      <c r="BC1055" s="169"/>
    </row>
    <row r="1056" spans="19:55">
      <c r="S1056" s="454"/>
      <c r="AN1056" s="454"/>
      <c r="AY1056" s="454"/>
      <c r="AZ1056" s="454"/>
      <c r="BA1056" s="1306"/>
      <c r="BC1056" s="169"/>
    </row>
    <row r="1057" spans="19:55">
      <c r="S1057" s="454"/>
      <c r="AN1057" s="454"/>
      <c r="AY1057" s="454"/>
      <c r="AZ1057" s="454"/>
      <c r="BA1057" s="1306"/>
      <c r="BC1057" s="169"/>
    </row>
    <row r="1058" spans="19:55">
      <c r="S1058" s="454"/>
      <c r="AN1058" s="454"/>
      <c r="AY1058" s="454"/>
      <c r="AZ1058" s="454"/>
      <c r="BA1058" s="1306"/>
      <c r="BC1058" s="169"/>
    </row>
    <row r="1059" spans="19:55">
      <c r="S1059" s="454"/>
      <c r="AN1059" s="454"/>
      <c r="AY1059" s="454"/>
      <c r="AZ1059" s="454"/>
      <c r="BA1059" s="1306"/>
      <c r="BC1059" s="169"/>
    </row>
    <row r="1060" spans="19:55">
      <c r="S1060" s="454"/>
      <c r="AN1060" s="454"/>
      <c r="AY1060" s="454"/>
      <c r="AZ1060" s="454"/>
      <c r="BA1060" s="1306"/>
      <c r="BC1060" s="169"/>
    </row>
    <row r="1061" spans="19:55">
      <c r="S1061" s="454"/>
      <c r="AN1061" s="454"/>
      <c r="AY1061" s="454"/>
      <c r="AZ1061" s="454"/>
      <c r="BA1061" s="1306"/>
      <c r="BC1061" s="169"/>
    </row>
    <row r="1062" spans="19:55">
      <c r="S1062" s="454"/>
      <c r="AN1062" s="454"/>
      <c r="AY1062" s="454"/>
      <c r="AZ1062" s="454"/>
      <c r="BA1062" s="1306"/>
      <c r="BC1062" s="169"/>
    </row>
    <row r="1063" spans="19:55">
      <c r="S1063" s="454"/>
      <c r="AN1063" s="454"/>
      <c r="AY1063" s="454"/>
      <c r="AZ1063" s="454"/>
      <c r="BA1063" s="1306"/>
      <c r="BC1063" s="169"/>
    </row>
    <row r="1064" spans="19:55">
      <c r="S1064" s="454"/>
      <c r="AN1064" s="454"/>
      <c r="AY1064" s="454"/>
      <c r="AZ1064" s="454"/>
      <c r="BA1064" s="1306"/>
      <c r="BC1064" s="169"/>
    </row>
    <row r="1065" spans="19:55">
      <c r="S1065" s="454"/>
      <c r="AN1065" s="454"/>
      <c r="AY1065" s="454"/>
      <c r="AZ1065" s="454"/>
      <c r="BA1065" s="1306"/>
      <c r="BC1065" s="169"/>
    </row>
    <row r="1066" spans="19:55">
      <c r="S1066" s="454"/>
      <c r="AN1066" s="454"/>
      <c r="AY1066" s="454"/>
      <c r="AZ1066" s="454"/>
      <c r="BA1066" s="1306"/>
      <c r="BC1066" s="169"/>
    </row>
    <row r="1067" spans="19:55">
      <c r="S1067" s="454"/>
      <c r="AN1067" s="454"/>
      <c r="AY1067" s="454"/>
      <c r="AZ1067" s="454"/>
      <c r="BA1067" s="1306"/>
      <c r="BC1067" s="169"/>
    </row>
    <row r="1068" spans="19:55">
      <c r="S1068" s="454"/>
      <c r="AN1068" s="454"/>
      <c r="AY1068" s="454"/>
      <c r="AZ1068" s="454"/>
      <c r="BA1068" s="1306"/>
      <c r="BC1068" s="169"/>
    </row>
    <row r="1069" spans="19:55">
      <c r="S1069" s="454"/>
      <c r="AN1069" s="454"/>
      <c r="AY1069" s="454"/>
      <c r="AZ1069" s="454"/>
      <c r="BA1069" s="1306"/>
      <c r="BC1069" s="169"/>
    </row>
    <row r="1070" spans="19:55">
      <c r="S1070" s="454"/>
      <c r="AN1070" s="454"/>
      <c r="AY1070" s="454"/>
      <c r="AZ1070" s="454"/>
      <c r="BA1070" s="1306"/>
      <c r="BC1070" s="169"/>
    </row>
    <row r="1071" spans="19:55">
      <c r="S1071" s="454"/>
      <c r="AN1071" s="454"/>
      <c r="AY1071" s="454"/>
      <c r="AZ1071" s="454"/>
      <c r="BA1071" s="1306"/>
      <c r="BC1071" s="169"/>
    </row>
    <row r="1072" spans="19:55">
      <c r="S1072" s="454"/>
      <c r="AN1072" s="454"/>
      <c r="AY1072" s="454"/>
      <c r="AZ1072" s="454"/>
      <c r="BA1072" s="1306"/>
      <c r="BC1072" s="169"/>
    </row>
    <row r="1073" spans="19:55">
      <c r="S1073" s="454"/>
      <c r="AN1073" s="454"/>
      <c r="AY1073" s="454"/>
      <c r="AZ1073" s="454"/>
      <c r="BA1073" s="1306"/>
      <c r="BC1073" s="169"/>
    </row>
    <row r="1074" spans="19:55">
      <c r="S1074" s="454"/>
      <c r="AN1074" s="454"/>
      <c r="AY1074" s="454"/>
      <c r="AZ1074" s="454"/>
      <c r="BA1074" s="1306"/>
      <c r="BC1074" s="169"/>
    </row>
    <row r="1075" spans="19:55">
      <c r="S1075" s="454"/>
      <c r="AN1075" s="454"/>
      <c r="AY1075" s="454"/>
      <c r="AZ1075" s="454"/>
      <c r="BA1075" s="1306"/>
      <c r="BC1075" s="169"/>
    </row>
    <row r="1076" spans="19:55">
      <c r="S1076" s="454"/>
      <c r="AN1076" s="454"/>
      <c r="AY1076" s="454"/>
      <c r="AZ1076" s="454"/>
      <c r="BA1076" s="1306"/>
      <c r="BC1076" s="169"/>
    </row>
    <row r="1077" spans="19:55">
      <c r="S1077" s="454"/>
      <c r="AN1077" s="454"/>
      <c r="AY1077" s="454"/>
      <c r="AZ1077" s="454"/>
      <c r="BA1077" s="1306"/>
      <c r="BC1077" s="169"/>
    </row>
    <row r="1078" spans="19:55">
      <c r="S1078" s="454"/>
      <c r="AN1078" s="454"/>
      <c r="AY1078" s="454"/>
      <c r="AZ1078" s="454"/>
      <c r="BA1078" s="1306"/>
      <c r="BC1078" s="169"/>
    </row>
    <row r="1079" spans="19:55">
      <c r="S1079" s="454"/>
      <c r="AN1079" s="454"/>
      <c r="AY1079" s="454"/>
      <c r="AZ1079" s="454"/>
      <c r="BA1079" s="1306"/>
      <c r="BC1079" s="169"/>
    </row>
    <row r="1080" spans="19:55">
      <c r="S1080" s="454"/>
      <c r="AN1080" s="454"/>
      <c r="AY1080" s="454"/>
      <c r="AZ1080" s="454"/>
      <c r="BA1080" s="1306"/>
      <c r="BC1080" s="169"/>
    </row>
    <row r="1081" spans="19:55">
      <c r="S1081" s="454"/>
      <c r="AN1081" s="454"/>
      <c r="AY1081" s="454"/>
      <c r="AZ1081" s="454"/>
      <c r="BA1081" s="1306"/>
      <c r="BC1081" s="169"/>
    </row>
    <row r="1082" spans="19:55">
      <c r="S1082" s="454"/>
      <c r="AN1082" s="454"/>
      <c r="AY1082" s="454"/>
      <c r="AZ1082" s="454"/>
      <c r="BA1082" s="1306"/>
      <c r="BC1082" s="169"/>
    </row>
    <row r="1083" spans="19:55">
      <c r="S1083" s="454"/>
      <c r="AN1083" s="454"/>
      <c r="AY1083" s="454"/>
      <c r="AZ1083" s="454"/>
      <c r="BA1083" s="1306"/>
      <c r="BC1083" s="169"/>
    </row>
    <row r="1084" spans="19:55">
      <c r="S1084" s="454"/>
      <c r="AN1084" s="454"/>
      <c r="AY1084" s="454"/>
      <c r="AZ1084" s="454"/>
      <c r="BA1084" s="1306"/>
      <c r="BC1084" s="169"/>
    </row>
    <row r="1085" spans="19:55">
      <c r="S1085" s="454"/>
      <c r="AN1085" s="454"/>
      <c r="AY1085" s="454"/>
      <c r="AZ1085" s="454"/>
      <c r="BA1085" s="1306"/>
      <c r="BC1085" s="169"/>
    </row>
    <row r="1086" spans="19:55">
      <c r="S1086" s="454"/>
      <c r="AN1086" s="454"/>
      <c r="AY1086" s="454"/>
      <c r="AZ1086" s="454"/>
      <c r="BA1086" s="1306"/>
      <c r="BC1086" s="169"/>
    </row>
    <row r="1087" spans="19:55">
      <c r="S1087" s="454"/>
      <c r="AN1087" s="454"/>
      <c r="AY1087" s="454"/>
      <c r="AZ1087" s="454"/>
      <c r="BA1087" s="1306"/>
      <c r="BC1087" s="169"/>
    </row>
    <row r="1088" spans="19:55">
      <c r="S1088" s="454"/>
      <c r="AN1088" s="454"/>
      <c r="AY1088" s="454"/>
      <c r="AZ1088" s="454"/>
      <c r="BA1088" s="1306"/>
      <c r="BC1088" s="169"/>
    </row>
    <row r="1089" spans="19:55">
      <c r="S1089" s="454"/>
      <c r="AN1089" s="454"/>
      <c r="AY1089" s="454"/>
      <c r="AZ1089" s="454"/>
      <c r="BA1089" s="1306"/>
      <c r="BC1089" s="169"/>
    </row>
    <row r="1090" spans="19:55">
      <c r="S1090" s="454"/>
      <c r="AN1090" s="454"/>
      <c r="AY1090" s="454"/>
      <c r="AZ1090" s="454"/>
      <c r="BA1090" s="1306"/>
      <c r="BC1090" s="169"/>
    </row>
    <row r="1091" spans="19:55">
      <c r="S1091" s="454"/>
      <c r="AN1091" s="454"/>
      <c r="AY1091" s="454"/>
      <c r="AZ1091" s="454"/>
      <c r="BA1091" s="1306"/>
      <c r="BC1091" s="169"/>
    </row>
    <row r="1092" spans="19:55">
      <c r="S1092" s="454"/>
      <c r="AN1092" s="454"/>
      <c r="AY1092" s="454"/>
      <c r="AZ1092" s="454"/>
      <c r="BA1092" s="1306"/>
      <c r="BC1092" s="169"/>
    </row>
    <row r="1093" spans="19:55">
      <c r="S1093" s="454"/>
      <c r="AN1093" s="454"/>
      <c r="AY1093" s="454"/>
      <c r="AZ1093" s="454"/>
      <c r="BA1093" s="1306"/>
      <c r="BC1093" s="169"/>
    </row>
    <row r="1094" spans="19:55">
      <c r="S1094" s="454"/>
      <c r="AN1094" s="454"/>
      <c r="AY1094" s="454"/>
      <c r="AZ1094" s="454"/>
      <c r="BA1094" s="1306"/>
      <c r="BC1094" s="169"/>
    </row>
    <row r="1095" spans="19:55">
      <c r="S1095" s="454"/>
      <c r="AN1095" s="454"/>
      <c r="AY1095" s="454"/>
      <c r="AZ1095" s="454"/>
      <c r="BA1095" s="1306"/>
      <c r="BC1095" s="169"/>
    </row>
    <row r="1096" spans="19:55">
      <c r="S1096" s="454"/>
      <c r="AN1096" s="454"/>
      <c r="AY1096" s="454"/>
      <c r="AZ1096" s="454"/>
      <c r="BA1096" s="1306"/>
      <c r="BC1096" s="169"/>
    </row>
    <row r="1097" spans="19:55">
      <c r="S1097" s="454"/>
      <c r="AN1097" s="454"/>
      <c r="AY1097" s="454"/>
      <c r="AZ1097" s="454"/>
      <c r="BA1097" s="1306"/>
      <c r="BC1097" s="169"/>
    </row>
    <row r="1098" spans="19:55">
      <c r="S1098" s="454"/>
      <c r="AN1098" s="454"/>
      <c r="AY1098" s="454"/>
      <c r="AZ1098" s="454"/>
      <c r="BA1098" s="1267"/>
      <c r="BC1098" s="169"/>
    </row>
    <row r="1099" spans="19:55">
      <c r="S1099" s="454"/>
      <c r="AN1099" s="454"/>
      <c r="AY1099" s="454"/>
      <c r="AZ1099" s="454"/>
      <c r="BA1099" s="1267"/>
      <c r="BC1099" s="169"/>
    </row>
    <row r="1100" spans="19:55">
      <c r="S1100" s="454"/>
      <c r="AN1100" s="454"/>
      <c r="AY1100" s="454"/>
      <c r="AZ1100" s="454"/>
      <c r="BA1100" s="1267"/>
      <c r="BC1100" s="169"/>
    </row>
    <row r="1101" spans="19:55">
      <c r="S1101" s="454"/>
      <c r="AN1101" s="454"/>
      <c r="AY1101" s="454"/>
      <c r="AZ1101" s="454"/>
      <c r="BA1101" s="1267"/>
      <c r="BC1101" s="169"/>
    </row>
    <row r="1102" spans="19:55">
      <c r="S1102" s="454"/>
      <c r="AN1102" s="454"/>
      <c r="AY1102" s="454"/>
      <c r="AZ1102" s="454"/>
      <c r="BA1102" s="1267"/>
      <c r="BC1102" s="169"/>
    </row>
    <row r="1103" spans="19:55">
      <c r="S1103" s="454"/>
      <c r="AN1103" s="454"/>
      <c r="AY1103" s="454"/>
      <c r="AZ1103" s="454"/>
      <c r="BA1103" s="1267"/>
      <c r="BC1103" s="169"/>
    </row>
    <row r="1104" spans="19:55">
      <c r="S1104" s="454"/>
      <c r="AN1104" s="454"/>
      <c r="AY1104" s="454"/>
      <c r="AZ1104" s="454"/>
      <c r="BA1104" s="1267"/>
      <c r="BC1104" s="169"/>
    </row>
    <row r="1105" spans="19:55">
      <c r="S1105" s="454"/>
      <c r="AN1105" s="454"/>
      <c r="AY1105" s="454"/>
      <c r="AZ1105" s="454"/>
      <c r="BA1105" s="1267"/>
      <c r="BC1105" s="169"/>
    </row>
    <row r="1106" spans="19:55">
      <c r="S1106" s="454"/>
      <c r="AN1106" s="454"/>
      <c r="AY1106" s="454"/>
      <c r="AZ1106" s="454"/>
      <c r="BA1106" s="1267"/>
      <c r="BC1106" s="169"/>
    </row>
    <row r="1107" spans="19:55">
      <c r="S1107" s="454"/>
      <c r="AN1107" s="454"/>
      <c r="AY1107" s="454"/>
      <c r="AZ1107" s="454"/>
      <c r="BA1107" s="1267"/>
      <c r="BC1107" s="169"/>
    </row>
    <row r="1108" spans="19:55">
      <c r="S1108" s="454"/>
      <c r="AN1108" s="454"/>
      <c r="AY1108" s="454"/>
      <c r="AZ1108" s="454"/>
      <c r="BA1108" s="1267"/>
      <c r="BC1108" s="169"/>
    </row>
    <row r="1109" spans="19:55">
      <c r="S1109" s="454"/>
      <c r="AN1109" s="454"/>
      <c r="AY1109" s="454"/>
      <c r="AZ1109" s="454"/>
      <c r="BA1109" s="1267"/>
      <c r="BC1109" s="169"/>
    </row>
    <row r="1110" spans="19:55">
      <c r="S1110" s="454"/>
      <c r="AN1110" s="454"/>
      <c r="AY1110" s="454"/>
      <c r="AZ1110" s="454"/>
      <c r="BA1110" s="1267"/>
      <c r="BC1110" s="169"/>
    </row>
    <row r="1111" spans="19:55">
      <c r="S1111" s="454"/>
      <c r="AN1111" s="454"/>
      <c r="AY1111" s="454"/>
      <c r="AZ1111" s="454"/>
      <c r="BA1111" s="1267"/>
      <c r="BC1111" s="169"/>
    </row>
    <row r="1112" spans="19:55">
      <c r="S1112" s="454"/>
      <c r="AN1112" s="454"/>
      <c r="AY1112" s="454"/>
      <c r="AZ1112" s="454"/>
      <c r="BA1112" s="1267"/>
      <c r="BC1112" s="169"/>
    </row>
    <row r="1113" spans="19:55">
      <c r="S1113" s="454"/>
      <c r="AN1113" s="454"/>
      <c r="AY1113" s="454"/>
      <c r="AZ1113" s="454"/>
      <c r="BA1113" s="1267"/>
      <c r="BC1113" s="169"/>
    </row>
    <row r="1114" spans="19:55">
      <c r="S1114" s="454"/>
      <c r="AN1114" s="454"/>
      <c r="AY1114" s="454"/>
      <c r="AZ1114" s="454"/>
      <c r="BA1114" s="1267"/>
      <c r="BC1114" s="169"/>
    </row>
    <row r="1115" spans="19:55">
      <c r="S1115" s="454"/>
      <c r="AN1115" s="454"/>
      <c r="AY1115" s="454"/>
      <c r="AZ1115" s="454"/>
      <c r="BA1115" s="1267"/>
      <c r="BC1115" s="169"/>
    </row>
    <row r="1116" spans="19:55">
      <c r="S1116" s="454"/>
      <c r="AN1116" s="454"/>
      <c r="AY1116" s="454"/>
      <c r="AZ1116" s="454"/>
      <c r="BA1116" s="1267"/>
      <c r="BC1116" s="169"/>
    </row>
    <row r="1117" spans="19:55">
      <c r="S1117" s="454"/>
      <c r="AN1117" s="454"/>
      <c r="AY1117" s="454"/>
      <c r="AZ1117" s="454"/>
      <c r="BA1117" s="1267"/>
      <c r="BC1117" s="169"/>
    </row>
    <row r="1118" spans="19:55">
      <c r="S1118" s="454"/>
      <c r="AN1118" s="454"/>
      <c r="AY1118" s="454"/>
      <c r="AZ1118" s="454"/>
      <c r="BA1118" s="1267"/>
      <c r="BC1118" s="169"/>
    </row>
    <row r="1119" spans="19:55">
      <c r="S1119" s="454"/>
      <c r="AN1119" s="454"/>
      <c r="AY1119" s="454"/>
      <c r="AZ1119" s="454"/>
      <c r="BA1119" s="1267"/>
      <c r="BC1119" s="169"/>
    </row>
    <row r="1120" spans="19:55">
      <c r="S1120" s="454"/>
      <c r="AN1120" s="454"/>
      <c r="AY1120" s="454"/>
      <c r="AZ1120" s="454"/>
      <c r="BA1120" s="1267"/>
      <c r="BC1120" s="169"/>
    </row>
    <row r="1121" spans="19:55">
      <c r="S1121" s="454"/>
      <c r="AN1121" s="454"/>
      <c r="AY1121" s="454"/>
      <c r="AZ1121" s="454"/>
      <c r="BA1121" s="1267"/>
      <c r="BC1121" s="169"/>
    </row>
    <row r="1122" spans="19:55">
      <c r="S1122" s="454"/>
      <c r="AN1122" s="454"/>
      <c r="AY1122" s="454"/>
      <c r="AZ1122" s="454"/>
      <c r="BA1122" s="1267"/>
      <c r="BC1122" s="169"/>
    </row>
    <row r="1123" spans="19:55">
      <c r="S1123" s="454"/>
      <c r="AN1123" s="454"/>
      <c r="AY1123" s="454"/>
      <c r="AZ1123" s="454"/>
      <c r="BA1123" s="1267"/>
      <c r="BC1123" s="169"/>
    </row>
    <row r="1124" spans="19:55">
      <c r="S1124" s="454"/>
      <c r="AN1124" s="454"/>
      <c r="AY1124" s="454"/>
      <c r="AZ1124" s="454"/>
      <c r="BA1124" s="1267"/>
      <c r="BC1124" s="169"/>
    </row>
    <row r="1125" spans="19:55">
      <c r="S1125" s="454"/>
      <c r="AN1125" s="454"/>
      <c r="AY1125" s="454"/>
      <c r="AZ1125" s="454"/>
      <c r="BA1125" s="1267"/>
      <c r="BC1125" s="169"/>
    </row>
    <row r="1126" spans="19:55">
      <c r="S1126" s="454"/>
      <c r="AN1126" s="454"/>
      <c r="AY1126" s="454"/>
      <c r="AZ1126" s="454"/>
      <c r="BA1126" s="1267"/>
      <c r="BC1126" s="169"/>
    </row>
    <row r="1127" spans="19:55">
      <c r="S1127" s="454"/>
      <c r="AN1127" s="454"/>
      <c r="AY1127" s="454"/>
      <c r="AZ1127" s="454"/>
      <c r="BA1127" s="1267"/>
      <c r="BC1127" s="169"/>
    </row>
    <row r="1128" spans="19:55">
      <c r="S1128" s="454"/>
      <c r="AN1128" s="454"/>
      <c r="AY1128" s="454"/>
      <c r="AZ1128" s="454"/>
      <c r="BA1128" s="1267"/>
      <c r="BC1128" s="169"/>
    </row>
    <row r="1129" spans="19:55">
      <c r="S1129" s="454"/>
      <c r="AN1129" s="454"/>
      <c r="AY1129" s="454"/>
      <c r="AZ1129" s="454"/>
      <c r="BA1129" s="1267"/>
      <c r="BC1129" s="169"/>
    </row>
    <row r="1130" spans="19:55">
      <c r="S1130" s="454"/>
      <c r="AN1130" s="454"/>
      <c r="AY1130" s="454"/>
      <c r="AZ1130" s="454"/>
      <c r="BA1130" s="1267"/>
      <c r="BC1130" s="169"/>
    </row>
    <row r="1131" spans="19:55">
      <c r="S1131" s="454"/>
      <c r="AN1131" s="454"/>
      <c r="AY1131" s="454"/>
      <c r="AZ1131" s="454"/>
      <c r="BA1131" s="1267"/>
      <c r="BC1131" s="169"/>
    </row>
    <row r="1132" spans="19:55">
      <c r="S1132" s="454"/>
      <c r="AN1132" s="454"/>
      <c r="AY1132" s="454"/>
      <c r="AZ1132" s="454"/>
      <c r="BA1132" s="1267"/>
      <c r="BC1132" s="169"/>
    </row>
    <row r="1133" spans="19:55">
      <c r="S1133" s="454"/>
      <c r="AN1133" s="454"/>
      <c r="AY1133" s="454"/>
      <c r="AZ1133" s="454"/>
      <c r="BA1133" s="1267"/>
      <c r="BC1133" s="169"/>
    </row>
    <row r="1134" spans="19:55">
      <c r="S1134" s="454"/>
      <c r="AN1134" s="454"/>
      <c r="AY1134" s="454"/>
      <c r="AZ1134" s="454"/>
      <c r="BA1134" s="1267"/>
      <c r="BC1134" s="169"/>
    </row>
    <row r="1135" spans="19:55">
      <c r="S1135" s="454"/>
      <c r="AN1135" s="454"/>
      <c r="AY1135" s="454"/>
      <c r="AZ1135" s="454"/>
      <c r="BA1135" s="1267"/>
      <c r="BC1135" s="169"/>
    </row>
    <row r="1136" spans="19:55">
      <c r="S1136" s="454"/>
      <c r="AN1136" s="454"/>
      <c r="AY1136" s="454"/>
      <c r="AZ1136" s="454"/>
      <c r="BA1136" s="1267"/>
      <c r="BC1136" s="169"/>
    </row>
    <row r="1137" spans="19:55">
      <c r="S1137" s="454"/>
      <c r="AN1137" s="454"/>
      <c r="AY1137" s="454"/>
      <c r="AZ1137" s="454"/>
      <c r="BA1137" s="1267"/>
      <c r="BC1137" s="169"/>
    </row>
    <row r="1138" spans="19:55">
      <c r="S1138" s="454"/>
      <c r="AN1138" s="454"/>
      <c r="AY1138" s="454"/>
      <c r="AZ1138" s="454"/>
      <c r="BA1138" s="1267"/>
      <c r="BC1138" s="169"/>
    </row>
    <row r="1139" spans="19:55">
      <c r="S1139" s="454"/>
      <c r="AN1139" s="454"/>
      <c r="AY1139" s="454"/>
      <c r="AZ1139" s="454"/>
      <c r="BA1139" s="1267"/>
      <c r="BC1139" s="169"/>
    </row>
    <row r="1140" spans="19:55">
      <c r="S1140" s="454"/>
      <c r="AN1140" s="454"/>
      <c r="AY1140" s="454"/>
      <c r="AZ1140" s="454"/>
      <c r="BA1140" s="1267"/>
      <c r="BC1140" s="169"/>
    </row>
    <row r="1141" spans="19:55">
      <c r="S1141" s="454"/>
      <c r="AN1141" s="454"/>
      <c r="AY1141" s="454"/>
      <c r="AZ1141" s="454"/>
      <c r="BA1141" s="1267"/>
      <c r="BC1141" s="169"/>
    </row>
    <row r="1142" spans="19:55">
      <c r="S1142" s="454"/>
      <c r="AN1142" s="454"/>
      <c r="AY1142" s="454"/>
      <c r="AZ1142" s="454"/>
      <c r="BA1142" s="1267"/>
      <c r="BC1142" s="169"/>
    </row>
    <row r="1143" spans="19:55">
      <c r="S1143" s="454"/>
      <c r="AN1143" s="454"/>
      <c r="AY1143" s="454"/>
      <c r="AZ1143" s="454"/>
      <c r="BA1143" s="1267"/>
      <c r="BC1143" s="169"/>
    </row>
    <row r="1144" spans="19:55">
      <c r="S1144" s="454"/>
      <c r="AN1144" s="454"/>
      <c r="AY1144" s="454"/>
      <c r="AZ1144" s="454"/>
      <c r="BA1144" s="1267"/>
      <c r="BC1144" s="169"/>
    </row>
    <row r="1145" spans="19:55">
      <c r="S1145" s="454"/>
      <c r="AN1145" s="454"/>
      <c r="AY1145" s="454"/>
      <c r="AZ1145" s="454"/>
      <c r="BA1145" s="1267"/>
      <c r="BC1145" s="169"/>
    </row>
    <row r="1146" spans="19:55">
      <c r="S1146" s="454"/>
      <c r="AN1146" s="454"/>
      <c r="AY1146" s="454"/>
      <c r="AZ1146" s="454"/>
      <c r="BA1146" s="1267"/>
      <c r="BC1146" s="169"/>
    </row>
    <row r="1147" spans="19:55">
      <c r="S1147" s="454"/>
      <c r="AN1147" s="454"/>
      <c r="AY1147" s="454"/>
      <c r="AZ1147" s="454"/>
      <c r="BA1147" s="1267"/>
      <c r="BC1147" s="169"/>
    </row>
    <row r="1148" spans="19:55">
      <c r="S1148" s="454"/>
      <c r="AN1148" s="454"/>
      <c r="AY1148" s="454"/>
      <c r="AZ1148" s="454"/>
      <c r="BA1148" s="1267"/>
      <c r="BC1148" s="169"/>
    </row>
    <row r="1149" spans="19:55">
      <c r="S1149" s="454"/>
      <c r="AN1149" s="454"/>
      <c r="AY1149" s="454"/>
      <c r="AZ1149" s="454"/>
      <c r="BA1149" s="1267"/>
      <c r="BC1149" s="169"/>
    </row>
    <row r="1150" spans="19:55">
      <c r="S1150" s="454"/>
      <c r="AN1150" s="454"/>
      <c r="AY1150" s="454"/>
      <c r="AZ1150" s="454"/>
      <c r="BA1150" s="1267"/>
      <c r="BC1150" s="169"/>
    </row>
    <row r="1151" spans="19:55">
      <c r="S1151" s="454"/>
      <c r="AN1151" s="454"/>
      <c r="AY1151" s="454"/>
      <c r="AZ1151" s="454"/>
      <c r="BA1151" s="1267"/>
      <c r="BC1151" s="169"/>
    </row>
    <row r="1152" spans="19:55">
      <c r="S1152" s="454"/>
      <c r="AN1152" s="454"/>
      <c r="AY1152" s="454"/>
      <c r="AZ1152" s="454"/>
      <c r="BA1152" s="1267"/>
      <c r="BC1152" s="169"/>
    </row>
    <row r="1153" spans="19:55">
      <c r="S1153" s="454"/>
      <c r="AN1153" s="454"/>
      <c r="AY1153" s="454"/>
      <c r="AZ1153" s="454"/>
      <c r="BA1153" s="1267"/>
      <c r="BC1153" s="169"/>
    </row>
    <row r="1154" spans="19:55">
      <c r="S1154" s="454"/>
      <c r="AN1154" s="454"/>
      <c r="AY1154" s="454"/>
      <c r="AZ1154" s="454"/>
      <c r="BA1154" s="1267"/>
      <c r="BC1154" s="169"/>
    </row>
    <row r="1155" spans="19:55">
      <c r="S1155" s="454"/>
      <c r="AN1155" s="454"/>
      <c r="AY1155" s="454"/>
      <c r="AZ1155" s="454"/>
      <c r="BA1155" s="1267"/>
      <c r="BC1155" s="169"/>
    </row>
    <row r="1156" spans="19:55">
      <c r="S1156" s="454"/>
      <c r="AN1156" s="454"/>
      <c r="AY1156" s="454"/>
      <c r="AZ1156" s="454"/>
      <c r="BA1156" s="1267"/>
      <c r="BC1156" s="169"/>
    </row>
    <row r="1157" spans="19:55">
      <c r="S1157" s="454"/>
      <c r="AN1157" s="454"/>
      <c r="AY1157" s="454"/>
      <c r="AZ1157" s="454"/>
      <c r="BA1157" s="1267"/>
      <c r="BC1157" s="169"/>
    </row>
    <row r="1158" spans="19:55">
      <c r="S1158" s="454"/>
      <c r="AN1158" s="454"/>
      <c r="AY1158" s="454"/>
      <c r="AZ1158" s="454"/>
      <c r="BA1158" s="1267"/>
      <c r="BC1158" s="169"/>
    </row>
    <row r="1159" spans="19:55">
      <c r="S1159" s="454"/>
      <c r="AN1159" s="454"/>
      <c r="AY1159" s="454"/>
      <c r="AZ1159" s="454"/>
      <c r="BA1159" s="1267"/>
      <c r="BC1159" s="169"/>
    </row>
    <row r="1160" spans="19:55">
      <c r="S1160" s="454"/>
      <c r="AN1160" s="454"/>
      <c r="AY1160" s="454"/>
      <c r="AZ1160" s="454"/>
      <c r="BA1160" s="1267"/>
      <c r="BC1160" s="169"/>
    </row>
    <row r="1161" spans="19:55">
      <c r="S1161" s="454"/>
      <c r="AN1161" s="454"/>
      <c r="AY1161" s="454"/>
      <c r="AZ1161" s="454"/>
      <c r="BA1161" s="1267"/>
      <c r="BC1161" s="169"/>
    </row>
    <row r="1162" spans="19:55">
      <c r="S1162" s="454"/>
      <c r="AN1162" s="454"/>
      <c r="AY1162" s="454"/>
      <c r="AZ1162" s="454"/>
      <c r="BA1162" s="1267"/>
      <c r="BC1162" s="169"/>
    </row>
    <row r="1163" spans="19:55">
      <c r="S1163" s="454"/>
      <c r="AN1163" s="454"/>
      <c r="AY1163" s="454"/>
      <c r="AZ1163" s="454"/>
      <c r="BA1163" s="1267"/>
      <c r="BC1163" s="169"/>
    </row>
    <row r="1164" spans="19:55">
      <c r="S1164" s="454"/>
      <c r="AN1164" s="454"/>
      <c r="AY1164" s="454"/>
      <c r="AZ1164" s="454"/>
      <c r="BA1164" s="1267"/>
      <c r="BC1164" s="169"/>
    </row>
    <row r="1165" spans="19:55">
      <c r="S1165" s="454"/>
      <c r="AN1165" s="454"/>
      <c r="AY1165" s="454"/>
      <c r="AZ1165" s="454"/>
      <c r="BA1165" s="1267"/>
      <c r="BC1165" s="169"/>
    </row>
    <row r="1166" spans="19:55">
      <c r="S1166" s="454"/>
      <c r="AN1166" s="454"/>
      <c r="AY1166" s="454"/>
      <c r="AZ1166" s="454"/>
      <c r="BA1166" s="1267"/>
      <c r="BC1166" s="169"/>
    </row>
    <row r="1167" spans="19:55">
      <c r="S1167" s="454"/>
      <c r="AN1167" s="454"/>
      <c r="AY1167" s="454"/>
      <c r="AZ1167" s="454"/>
      <c r="BA1167" s="1267"/>
      <c r="BC1167" s="169"/>
    </row>
    <row r="1168" spans="19:55">
      <c r="S1168" s="454"/>
      <c r="AN1168" s="454"/>
      <c r="AY1168" s="454"/>
      <c r="AZ1168" s="454"/>
      <c r="BA1168" s="1267"/>
      <c r="BC1168" s="169"/>
    </row>
    <row r="1169" spans="19:55">
      <c r="S1169" s="454"/>
      <c r="AN1169" s="454"/>
      <c r="AY1169" s="454"/>
      <c r="AZ1169" s="454"/>
      <c r="BA1169" s="1267"/>
      <c r="BC1169" s="169"/>
    </row>
    <row r="1170" spans="19:55">
      <c r="S1170" s="454"/>
      <c r="AN1170" s="454"/>
      <c r="AY1170" s="454"/>
      <c r="AZ1170" s="454"/>
      <c r="BA1170" s="1267"/>
      <c r="BC1170" s="169"/>
    </row>
    <row r="1171" spans="19:55">
      <c r="S1171" s="454"/>
      <c r="AN1171" s="454"/>
      <c r="AY1171" s="454"/>
      <c r="AZ1171" s="454"/>
      <c r="BA1171" s="1267"/>
      <c r="BC1171" s="169"/>
    </row>
    <row r="1172" spans="19:55">
      <c r="S1172" s="454"/>
      <c r="AN1172" s="454"/>
      <c r="AY1172" s="454"/>
      <c r="AZ1172" s="454"/>
      <c r="BA1172" s="1267"/>
      <c r="BC1172" s="169"/>
    </row>
    <row r="1173" spans="19:55">
      <c r="S1173" s="454"/>
      <c r="AN1173" s="454"/>
      <c r="AY1173" s="454"/>
      <c r="AZ1173" s="454"/>
      <c r="BA1173" s="1267"/>
      <c r="BC1173" s="169"/>
    </row>
    <row r="1174" spans="19:55">
      <c r="S1174" s="454"/>
      <c r="AN1174" s="454"/>
      <c r="AY1174" s="454"/>
      <c r="AZ1174" s="454"/>
      <c r="BA1174" s="1267"/>
      <c r="BC1174" s="169"/>
    </row>
    <row r="1175" spans="19:55">
      <c r="S1175" s="454"/>
      <c r="AN1175" s="454"/>
      <c r="AY1175" s="454"/>
      <c r="AZ1175" s="454"/>
      <c r="BA1175" s="1267"/>
      <c r="BC1175" s="169"/>
    </row>
    <row r="1176" spans="19:55">
      <c r="S1176" s="454"/>
      <c r="AN1176" s="454"/>
      <c r="AY1176" s="454"/>
      <c r="AZ1176" s="454"/>
      <c r="BA1176" s="1267"/>
      <c r="BC1176" s="169"/>
    </row>
    <row r="1177" spans="19:55">
      <c r="S1177" s="454"/>
      <c r="AN1177" s="454"/>
      <c r="AY1177" s="454"/>
      <c r="AZ1177" s="454"/>
      <c r="BA1177" s="1267"/>
      <c r="BC1177" s="169"/>
    </row>
    <row r="1178" spans="19:55">
      <c r="S1178" s="454"/>
      <c r="AN1178" s="454"/>
      <c r="AY1178" s="454"/>
      <c r="AZ1178" s="454"/>
      <c r="BA1178" s="1267"/>
      <c r="BC1178" s="169"/>
    </row>
    <row r="1179" spans="19:55">
      <c r="S1179" s="454"/>
      <c r="AN1179" s="454"/>
      <c r="AY1179" s="454"/>
      <c r="AZ1179" s="454"/>
      <c r="BA1179" s="1267"/>
      <c r="BC1179" s="169"/>
    </row>
    <row r="1180" spans="19:55">
      <c r="S1180" s="454"/>
      <c r="AN1180" s="454"/>
      <c r="AY1180" s="454"/>
      <c r="AZ1180" s="454"/>
      <c r="BA1180" s="1267"/>
      <c r="BC1180" s="169"/>
    </row>
    <row r="1181" spans="19:55">
      <c r="S1181" s="454"/>
      <c r="AN1181" s="454"/>
      <c r="AY1181" s="454"/>
      <c r="AZ1181" s="454"/>
      <c r="BA1181" s="1267"/>
      <c r="BC1181" s="169"/>
    </row>
    <row r="1182" spans="19:55">
      <c r="S1182" s="454"/>
      <c r="AN1182" s="454"/>
      <c r="AY1182" s="454"/>
      <c r="AZ1182" s="454"/>
      <c r="BA1182" s="1267"/>
      <c r="BC1182" s="169"/>
    </row>
    <row r="1183" spans="19:55">
      <c r="S1183" s="454"/>
      <c r="AN1183" s="454"/>
      <c r="AY1183" s="454"/>
      <c r="AZ1183" s="454"/>
      <c r="BA1183" s="1267"/>
      <c r="BC1183" s="169"/>
    </row>
    <row r="1184" spans="19:55">
      <c r="S1184" s="454"/>
      <c r="AN1184" s="454"/>
      <c r="AY1184" s="454"/>
      <c r="AZ1184" s="454"/>
      <c r="BA1184" s="1267"/>
      <c r="BC1184" s="169"/>
    </row>
    <row r="1185" spans="19:55">
      <c r="S1185" s="454"/>
      <c r="AN1185" s="454"/>
      <c r="AY1185" s="454"/>
      <c r="AZ1185" s="454"/>
      <c r="BA1185" s="1267"/>
      <c r="BC1185" s="169"/>
    </row>
    <row r="1186" spans="19:55">
      <c r="S1186" s="454"/>
      <c r="AN1186" s="454"/>
      <c r="AY1186" s="454"/>
      <c r="AZ1186" s="454"/>
      <c r="BA1186" s="1267"/>
      <c r="BC1186" s="169"/>
    </row>
    <row r="1187" spans="19:55">
      <c r="S1187" s="454"/>
      <c r="AN1187" s="454"/>
      <c r="AY1187" s="454"/>
      <c r="AZ1187" s="454"/>
      <c r="BA1187" s="1267"/>
      <c r="BC1187" s="169"/>
    </row>
    <row r="1188" spans="19:55">
      <c r="S1188" s="454"/>
      <c r="AN1188" s="454"/>
      <c r="AY1188" s="454"/>
      <c r="AZ1188" s="454"/>
      <c r="BA1188" s="1267"/>
      <c r="BC1188" s="169"/>
    </row>
    <row r="1189" spans="19:55">
      <c r="S1189" s="454"/>
      <c r="AN1189" s="454"/>
      <c r="AY1189" s="454"/>
      <c r="AZ1189" s="454"/>
      <c r="BA1189" s="1267"/>
      <c r="BC1189" s="169"/>
    </row>
    <row r="1190" spans="19:55">
      <c r="S1190" s="454"/>
      <c r="AN1190" s="454"/>
      <c r="AY1190" s="454"/>
      <c r="AZ1190" s="454"/>
      <c r="BA1190" s="1267"/>
      <c r="BC1190" s="169"/>
    </row>
    <row r="1191" spans="19:55">
      <c r="S1191" s="454"/>
      <c r="AN1191" s="454"/>
      <c r="AY1191" s="454"/>
      <c r="AZ1191" s="454"/>
      <c r="BA1191" s="1267"/>
      <c r="BC1191" s="169"/>
    </row>
    <row r="1192" spans="19:55">
      <c r="S1192" s="454"/>
      <c r="AN1192" s="454"/>
      <c r="AY1192" s="454"/>
      <c r="AZ1192" s="454"/>
      <c r="BA1192" s="1267"/>
      <c r="BC1192" s="169"/>
    </row>
    <row r="1193" spans="19:55">
      <c r="S1193" s="454"/>
      <c r="AN1193" s="454"/>
      <c r="AY1193" s="454"/>
      <c r="AZ1193" s="454"/>
      <c r="BA1193" s="1267"/>
      <c r="BC1193" s="169"/>
    </row>
    <row r="1194" spans="19:55">
      <c r="S1194" s="454"/>
      <c r="AN1194" s="454"/>
      <c r="AY1194" s="454"/>
      <c r="AZ1194" s="454"/>
      <c r="BA1194" s="1267"/>
      <c r="BC1194" s="169"/>
    </row>
    <row r="1195" spans="19:55">
      <c r="S1195" s="454"/>
      <c r="AN1195" s="454"/>
      <c r="AY1195" s="454"/>
      <c r="AZ1195" s="454"/>
      <c r="BA1195" s="1267"/>
      <c r="BC1195" s="169"/>
    </row>
    <row r="1196" spans="19:55">
      <c r="S1196" s="454"/>
      <c r="AN1196" s="454"/>
      <c r="AY1196" s="454"/>
      <c r="AZ1196" s="454"/>
      <c r="BA1196" s="1267"/>
      <c r="BC1196" s="169"/>
    </row>
    <row r="1197" spans="19:55">
      <c r="S1197" s="454"/>
      <c r="AN1197" s="454"/>
      <c r="AY1197" s="454"/>
      <c r="AZ1197" s="454"/>
      <c r="BA1197" s="1267"/>
      <c r="BC1197" s="169"/>
    </row>
    <row r="1198" spans="19:55">
      <c r="S1198" s="454"/>
      <c r="AN1198" s="454"/>
      <c r="AY1198" s="454"/>
      <c r="AZ1198" s="454"/>
      <c r="BA1198" s="1267"/>
      <c r="BC1198" s="169"/>
    </row>
    <row r="1199" spans="19:55">
      <c r="S1199" s="454"/>
      <c r="AN1199" s="454"/>
      <c r="AY1199" s="454"/>
      <c r="AZ1199" s="454"/>
      <c r="BA1199" s="1267"/>
      <c r="BC1199" s="169"/>
    </row>
    <row r="1200" spans="19:55">
      <c r="S1200" s="454"/>
      <c r="AN1200" s="454"/>
      <c r="AY1200" s="454"/>
      <c r="AZ1200" s="454"/>
      <c r="BA1200" s="1267"/>
      <c r="BC1200" s="169"/>
    </row>
    <row r="1201" spans="19:55">
      <c r="S1201" s="454"/>
      <c r="AN1201" s="454"/>
      <c r="AY1201" s="454"/>
      <c r="AZ1201" s="454"/>
      <c r="BA1201" s="1267"/>
      <c r="BC1201" s="169"/>
    </row>
    <row r="1202" spans="19:55">
      <c r="S1202" s="454"/>
      <c r="AN1202" s="454"/>
      <c r="AY1202" s="454"/>
      <c r="AZ1202" s="454"/>
      <c r="BA1202" s="1267"/>
      <c r="BC1202" s="169"/>
    </row>
    <row r="1203" spans="19:55">
      <c r="S1203" s="454"/>
      <c r="AN1203" s="454"/>
      <c r="AY1203" s="454"/>
      <c r="AZ1203" s="454"/>
      <c r="BA1203" s="1267"/>
      <c r="BC1203" s="169"/>
    </row>
    <row r="1204" spans="19:55">
      <c r="S1204" s="454"/>
      <c r="AN1204" s="454"/>
      <c r="AY1204" s="454"/>
      <c r="AZ1204" s="454"/>
      <c r="BA1204" s="1267"/>
      <c r="BC1204" s="169"/>
    </row>
    <row r="1205" spans="19:55">
      <c r="S1205" s="454"/>
      <c r="AN1205" s="454"/>
      <c r="AY1205" s="454"/>
      <c r="AZ1205" s="454"/>
      <c r="BA1205" s="1267"/>
      <c r="BC1205" s="169"/>
    </row>
    <row r="1206" spans="19:55">
      <c r="S1206" s="454"/>
      <c r="AN1206" s="454"/>
      <c r="AY1206" s="454"/>
      <c r="AZ1206" s="454"/>
      <c r="BA1206" s="1267"/>
      <c r="BC1206" s="169"/>
    </row>
    <row r="1207" spans="19:55">
      <c r="S1207" s="454"/>
      <c r="AN1207" s="454"/>
      <c r="AY1207" s="454"/>
      <c r="AZ1207" s="454"/>
      <c r="BA1207" s="1267"/>
      <c r="BC1207" s="169"/>
    </row>
    <row r="1208" spans="19:55">
      <c r="S1208" s="454"/>
      <c r="AN1208" s="454"/>
      <c r="AY1208" s="454"/>
      <c r="AZ1208" s="454"/>
      <c r="BA1208" s="1267"/>
      <c r="BC1208" s="169"/>
    </row>
    <row r="1209" spans="19:55">
      <c r="S1209" s="454"/>
      <c r="AN1209" s="454"/>
      <c r="AY1209" s="454"/>
      <c r="AZ1209" s="454"/>
      <c r="BA1209" s="1267"/>
      <c r="BC1209" s="169"/>
    </row>
    <row r="1210" spans="19:55">
      <c r="S1210" s="454"/>
      <c r="AN1210" s="454"/>
      <c r="AY1210" s="454"/>
      <c r="AZ1210" s="454"/>
      <c r="BA1210" s="1267"/>
      <c r="BC1210" s="169"/>
    </row>
    <row r="1211" spans="19:55">
      <c r="S1211" s="454"/>
      <c r="AN1211" s="454"/>
      <c r="AY1211" s="454"/>
      <c r="AZ1211" s="454"/>
      <c r="BA1211" s="1267"/>
      <c r="BC1211" s="169"/>
    </row>
    <row r="1212" spans="19:55">
      <c r="S1212" s="454"/>
      <c r="AN1212" s="454"/>
      <c r="AY1212" s="454"/>
      <c r="AZ1212" s="454"/>
      <c r="BA1212" s="1267"/>
      <c r="BC1212" s="169"/>
    </row>
    <row r="1213" spans="19:55">
      <c r="S1213" s="454"/>
      <c r="AN1213" s="454"/>
      <c r="AY1213" s="454"/>
      <c r="AZ1213" s="454"/>
      <c r="BA1213" s="1267"/>
      <c r="BC1213" s="169"/>
    </row>
    <row r="1214" spans="19:55">
      <c r="S1214" s="454"/>
      <c r="AN1214" s="454"/>
      <c r="AY1214" s="454"/>
      <c r="AZ1214" s="454"/>
      <c r="BA1214" s="1267"/>
      <c r="BC1214" s="169"/>
    </row>
    <row r="1215" spans="19:55">
      <c r="S1215" s="454"/>
      <c r="AN1215" s="454"/>
      <c r="AY1215" s="454"/>
      <c r="AZ1215" s="454"/>
      <c r="BA1215" s="1267"/>
      <c r="BC1215" s="169"/>
    </row>
    <row r="1216" spans="19:55">
      <c r="S1216" s="454"/>
      <c r="AN1216" s="454"/>
      <c r="AY1216" s="454"/>
      <c r="AZ1216" s="454"/>
      <c r="BA1216" s="1267"/>
      <c r="BC1216" s="169"/>
    </row>
    <row r="1217" spans="19:55">
      <c r="S1217" s="454"/>
      <c r="AN1217" s="454"/>
      <c r="AY1217" s="454"/>
      <c r="AZ1217" s="454"/>
      <c r="BA1217" s="1267"/>
      <c r="BC1217" s="169"/>
    </row>
    <row r="1218" spans="19:55">
      <c r="S1218" s="454"/>
      <c r="AN1218" s="454"/>
      <c r="AY1218" s="454"/>
      <c r="AZ1218" s="454"/>
      <c r="BA1218" s="1267"/>
      <c r="BC1218" s="169"/>
    </row>
    <row r="1219" spans="19:55">
      <c r="S1219" s="454"/>
      <c r="AN1219" s="454"/>
      <c r="AY1219" s="454"/>
      <c r="AZ1219" s="454"/>
      <c r="BA1219" s="1267"/>
      <c r="BC1219" s="169"/>
    </row>
    <row r="1220" spans="19:55">
      <c r="S1220" s="454"/>
      <c r="AN1220" s="454"/>
      <c r="AY1220" s="454"/>
      <c r="AZ1220" s="454"/>
      <c r="BA1220" s="1267"/>
      <c r="BC1220" s="169"/>
    </row>
    <row r="1221" spans="19:55">
      <c r="S1221" s="454"/>
      <c r="AN1221" s="454"/>
      <c r="AY1221" s="454"/>
      <c r="AZ1221" s="454"/>
      <c r="BA1221" s="1267"/>
      <c r="BC1221" s="169"/>
    </row>
    <row r="1222" spans="19:55">
      <c r="S1222" s="454"/>
      <c r="AN1222" s="454"/>
      <c r="AY1222" s="454"/>
      <c r="AZ1222" s="454"/>
      <c r="BA1222" s="1267"/>
      <c r="BC1222" s="169"/>
    </row>
    <row r="1223" spans="19:55">
      <c r="S1223" s="454"/>
      <c r="AN1223" s="454"/>
      <c r="AY1223" s="454"/>
      <c r="AZ1223" s="454"/>
      <c r="BA1223" s="1267"/>
      <c r="BC1223" s="169"/>
    </row>
    <row r="1224" spans="19:55">
      <c r="S1224" s="454"/>
      <c r="AN1224" s="454"/>
      <c r="AY1224" s="454"/>
      <c r="AZ1224" s="454"/>
      <c r="BA1224" s="1267"/>
      <c r="BC1224" s="169"/>
    </row>
    <row r="1225" spans="19:55">
      <c r="S1225" s="454"/>
      <c r="AN1225" s="454"/>
      <c r="AY1225" s="454"/>
      <c r="AZ1225" s="454"/>
      <c r="BA1225" s="1267"/>
      <c r="BC1225" s="169"/>
    </row>
    <row r="1226" spans="19:55">
      <c r="S1226" s="454"/>
      <c r="AN1226" s="454"/>
      <c r="AY1226" s="454"/>
      <c r="AZ1226" s="454"/>
      <c r="BA1226" s="1267"/>
      <c r="BC1226" s="169"/>
    </row>
    <row r="1227" spans="19:55">
      <c r="S1227" s="454"/>
      <c r="AN1227" s="454"/>
      <c r="AY1227" s="454"/>
      <c r="AZ1227" s="454"/>
      <c r="BA1227" s="1267"/>
      <c r="BC1227" s="169"/>
    </row>
    <row r="1228" spans="19:55">
      <c r="S1228" s="454"/>
      <c r="AN1228" s="454"/>
      <c r="AY1228" s="454"/>
      <c r="AZ1228" s="454"/>
      <c r="BA1228" s="1267"/>
      <c r="BC1228" s="169"/>
    </row>
    <row r="1229" spans="19:55">
      <c r="S1229" s="454"/>
      <c r="AN1229" s="454"/>
      <c r="AY1229" s="454"/>
      <c r="AZ1229" s="454"/>
      <c r="BA1229" s="1267"/>
      <c r="BC1229" s="169"/>
    </row>
    <row r="1230" spans="19:55">
      <c r="S1230" s="454"/>
      <c r="AN1230" s="454"/>
      <c r="AY1230" s="454"/>
      <c r="AZ1230" s="454"/>
      <c r="BA1230" s="1267"/>
      <c r="BC1230" s="169"/>
    </row>
    <row r="1231" spans="19:55">
      <c r="S1231" s="454"/>
      <c r="AN1231" s="454"/>
      <c r="AY1231" s="454"/>
      <c r="AZ1231" s="454"/>
      <c r="BA1231" s="1267"/>
      <c r="BC1231" s="169"/>
    </row>
    <row r="1232" spans="19:55">
      <c r="S1232" s="454"/>
      <c r="AN1232" s="454"/>
      <c r="AY1232" s="454"/>
      <c r="AZ1232" s="454"/>
      <c r="BA1232" s="1267"/>
      <c r="BC1232" s="169"/>
    </row>
    <row r="1233" spans="19:55">
      <c r="S1233" s="454"/>
      <c r="AN1233" s="454"/>
      <c r="AY1233" s="454"/>
      <c r="AZ1233" s="454"/>
      <c r="BA1233" s="1267"/>
      <c r="BC1233" s="169"/>
    </row>
    <row r="1234" spans="19:55">
      <c r="S1234" s="454"/>
      <c r="AN1234" s="454"/>
      <c r="AY1234" s="454"/>
      <c r="AZ1234" s="454"/>
      <c r="BA1234" s="1267"/>
      <c r="BC1234" s="169"/>
    </row>
    <row r="1235" spans="19:55">
      <c r="S1235" s="454"/>
      <c r="AN1235" s="454"/>
      <c r="AY1235" s="454"/>
      <c r="AZ1235" s="454"/>
      <c r="BA1235" s="1267"/>
      <c r="BC1235" s="169"/>
    </row>
    <row r="1236" spans="19:55">
      <c r="S1236" s="454"/>
      <c r="AN1236" s="454"/>
      <c r="AY1236" s="454"/>
      <c r="AZ1236" s="454"/>
      <c r="BA1236" s="1267"/>
      <c r="BC1236" s="169"/>
    </row>
    <row r="1237" spans="19:55">
      <c r="S1237" s="454"/>
      <c r="AN1237" s="454"/>
      <c r="AY1237" s="454"/>
      <c r="AZ1237" s="454"/>
      <c r="BA1237" s="1267"/>
      <c r="BC1237" s="169"/>
    </row>
    <row r="1238" spans="19:55">
      <c r="S1238" s="454"/>
      <c r="AN1238" s="454"/>
      <c r="AY1238" s="454"/>
      <c r="AZ1238" s="454"/>
      <c r="BA1238" s="1267"/>
      <c r="BC1238" s="169"/>
    </row>
    <row r="1239" spans="19:55">
      <c r="S1239" s="454"/>
      <c r="AN1239" s="454"/>
      <c r="AY1239" s="454"/>
      <c r="AZ1239" s="454"/>
      <c r="BA1239" s="1267"/>
      <c r="BC1239" s="169"/>
    </row>
    <row r="1240" spans="19:55">
      <c r="S1240" s="454"/>
      <c r="AN1240" s="454"/>
      <c r="AY1240" s="454"/>
      <c r="AZ1240" s="454"/>
      <c r="BA1240" s="1267"/>
      <c r="BC1240" s="169"/>
    </row>
    <row r="1241" spans="19:55">
      <c r="S1241" s="454"/>
      <c r="AN1241" s="454"/>
      <c r="AY1241" s="454"/>
      <c r="AZ1241" s="454"/>
      <c r="BA1241" s="1267"/>
      <c r="BC1241" s="169"/>
    </row>
    <row r="1242" spans="19:55">
      <c r="S1242" s="454"/>
      <c r="AN1242" s="454"/>
      <c r="AY1242" s="454"/>
      <c r="AZ1242" s="454"/>
      <c r="BA1242" s="1267"/>
      <c r="BC1242" s="169"/>
    </row>
    <row r="1243" spans="19:55">
      <c r="S1243" s="454"/>
      <c r="AN1243" s="454"/>
      <c r="AY1243" s="454"/>
      <c r="AZ1243" s="454"/>
      <c r="BA1243" s="1267"/>
      <c r="BC1243" s="169"/>
    </row>
    <row r="1244" spans="19:55">
      <c r="S1244" s="454"/>
      <c r="AN1244" s="454"/>
      <c r="AY1244" s="454"/>
      <c r="AZ1244" s="454"/>
      <c r="BA1244" s="1267"/>
      <c r="BC1244" s="169"/>
    </row>
    <row r="1245" spans="19:55">
      <c r="S1245" s="454"/>
      <c r="AN1245" s="454"/>
      <c r="AY1245" s="454"/>
      <c r="AZ1245" s="454"/>
      <c r="BA1245" s="1267"/>
      <c r="BC1245" s="169"/>
    </row>
    <row r="1246" spans="19:55">
      <c r="S1246" s="454"/>
      <c r="AN1246" s="454"/>
      <c r="AY1246" s="454"/>
      <c r="AZ1246" s="454"/>
      <c r="BA1246" s="1267"/>
      <c r="BC1246" s="169"/>
    </row>
    <row r="1247" spans="19:55">
      <c r="S1247" s="454"/>
      <c r="AN1247" s="454"/>
      <c r="AY1247" s="454"/>
      <c r="AZ1247" s="454"/>
      <c r="BA1247" s="1267"/>
      <c r="BC1247" s="169"/>
    </row>
    <row r="1248" spans="19:55">
      <c r="S1248" s="454"/>
      <c r="AN1248" s="454"/>
      <c r="AY1248" s="454"/>
      <c r="AZ1248" s="454"/>
      <c r="BA1248" s="1267"/>
      <c r="BC1248" s="169"/>
    </row>
    <row r="1249" spans="19:55">
      <c r="S1249" s="454"/>
      <c r="AN1249" s="454"/>
      <c r="AY1249" s="454"/>
      <c r="AZ1249" s="454"/>
      <c r="BA1249" s="1267"/>
      <c r="BC1249" s="169"/>
    </row>
    <row r="1250" spans="19:55">
      <c r="S1250" s="454"/>
      <c r="AN1250" s="454"/>
      <c r="AY1250" s="454"/>
      <c r="AZ1250" s="454"/>
      <c r="BA1250" s="1267"/>
      <c r="BC1250" s="169"/>
    </row>
    <row r="1251" spans="19:55">
      <c r="S1251" s="454"/>
      <c r="AN1251" s="454"/>
      <c r="AY1251" s="454"/>
      <c r="AZ1251" s="454"/>
      <c r="BA1251" s="1267"/>
      <c r="BC1251" s="169"/>
    </row>
    <row r="1252" spans="19:55">
      <c r="S1252" s="454"/>
      <c r="AN1252" s="454"/>
      <c r="AY1252" s="454"/>
      <c r="AZ1252" s="454"/>
      <c r="BA1252" s="1267"/>
      <c r="BC1252" s="169"/>
    </row>
    <row r="1253" spans="19:55">
      <c r="S1253" s="454"/>
      <c r="AN1253" s="454"/>
      <c r="AY1253" s="454"/>
      <c r="AZ1253" s="454"/>
      <c r="BA1253" s="1267"/>
      <c r="BC1253" s="169"/>
    </row>
    <row r="1254" spans="19:55">
      <c r="S1254" s="454"/>
      <c r="AN1254" s="454"/>
      <c r="AY1254" s="454"/>
      <c r="AZ1254" s="454"/>
      <c r="BA1254" s="1267"/>
      <c r="BC1254" s="169"/>
    </row>
    <row r="1255" spans="19:55">
      <c r="S1255" s="454"/>
      <c r="AN1255" s="454"/>
      <c r="AY1255" s="454"/>
      <c r="AZ1255" s="454"/>
      <c r="BA1255" s="1267"/>
      <c r="BC1255" s="169"/>
    </row>
    <row r="1256" spans="19:55">
      <c r="S1256" s="454"/>
      <c r="AN1256" s="454"/>
      <c r="AY1256" s="454"/>
      <c r="AZ1256" s="454"/>
      <c r="BA1256" s="1267"/>
      <c r="BC1256" s="169"/>
    </row>
    <row r="1257" spans="19:55">
      <c r="S1257" s="454"/>
      <c r="AN1257" s="454"/>
      <c r="AY1257" s="454"/>
      <c r="AZ1257" s="454"/>
      <c r="BA1257" s="1267"/>
      <c r="BC1257" s="169"/>
    </row>
    <row r="1258" spans="19:55">
      <c r="S1258" s="454"/>
      <c r="AN1258" s="454"/>
      <c r="AY1258" s="454"/>
      <c r="AZ1258" s="454"/>
      <c r="BA1258" s="1267"/>
      <c r="BC1258" s="169"/>
    </row>
    <row r="1259" spans="19:55">
      <c r="S1259" s="454"/>
      <c r="AN1259" s="454"/>
      <c r="AY1259" s="454"/>
      <c r="AZ1259" s="454"/>
      <c r="BA1259" s="1267"/>
      <c r="BC1259" s="169"/>
    </row>
    <row r="1260" spans="19:55">
      <c r="S1260" s="454"/>
      <c r="AN1260" s="454"/>
      <c r="AY1260" s="454"/>
      <c r="AZ1260" s="454"/>
      <c r="BA1260" s="1267"/>
      <c r="BC1260" s="169"/>
    </row>
    <row r="1261" spans="19:55">
      <c r="S1261" s="454"/>
      <c r="AN1261" s="454"/>
      <c r="AY1261" s="454"/>
      <c r="AZ1261" s="454"/>
      <c r="BA1261" s="1267"/>
      <c r="BC1261" s="169"/>
    </row>
    <row r="1262" spans="19:55">
      <c r="S1262" s="454"/>
      <c r="AN1262" s="454"/>
      <c r="AY1262" s="454"/>
      <c r="AZ1262" s="454"/>
      <c r="BA1262" s="1267"/>
      <c r="BC1262" s="169"/>
    </row>
    <row r="1263" spans="19:55">
      <c r="S1263" s="454"/>
      <c r="AN1263" s="454"/>
      <c r="AY1263" s="454"/>
      <c r="AZ1263" s="454"/>
      <c r="BA1263" s="1267"/>
      <c r="BC1263" s="169"/>
    </row>
    <row r="1264" spans="19:55">
      <c r="S1264" s="454"/>
      <c r="AN1264" s="454"/>
      <c r="AY1264" s="454"/>
      <c r="AZ1264" s="454"/>
      <c r="BA1264" s="1267"/>
      <c r="BC1264" s="169"/>
    </row>
    <row r="1265" spans="19:55">
      <c r="S1265" s="454"/>
      <c r="AN1265" s="454"/>
      <c r="AY1265" s="454"/>
      <c r="AZ1265" s="454"/>
      <c r="BA1265" s="1267"/>
      <c r="BC1265" s="169"/>
    </row>
    <row r="1266" spans="19:55">
      <c r="S1266" s="454"/>
      <c r="AN1266" s="454"/>
      <c r="AY1266" s="454"/>
      <c r="AZ1266" s="454"/>
      <c r="BA1266" s="1267"/>
      <c r="BC1266" s="169"/>
    </row>
    <row r="1267" spans="19:55">
      <c r="S1267" s="454"/>
      <c r="AN1267" s="454"/>
      <c r="AY1267" s="454"/>
      <c r="AZ1267" s="454"/>
      <c r="BA1267" s="1267"/>
      <c r="BC1267" s="169"/>
    </row>
    <row r="1268" spans="19:55">
      <c r="S1268" s="454"/>
      <c r="AN1268" s="454"/>
      <c r="AY1268" s="454"/>
      <c r="AZ1268" s="454"/>
      <c r="BA1268" s="1267"/>
      <c r="BC1268" s="169"/>
    </row>
    <row r="1269" spans="19:55">
      <c r="S1269" s="454"/>
      <c r="AN1269" s="454"/>
      <c r="AY1269" s="454"/>
      <c r="AZ1269" s="454"/>
      <c r="BA1269" s="1267"/>
      <c r="BC1269" s="169"/>
    </row>
    <row r="1270" spans="19:55">
      <c r="S1270" s="454"/>
      <c r="AN1270" s="454"/>
      <c r="AY1270" s="454"/>
      <c r="AZ1270" s="454"/>
      <c r="BA1270" s="1267"/>
      <c r="BC1270" s="169"/>
    </row>
    <row r="1271" spans="19:55">
      <c r="S1271" s="454"/>
      <c r="AN1271" s="454"/>
      <c r="AY1271" s="454"/>
      <c r="AZ1271" s="454"/>
      <c r="BA1271" s="1267"/>
      <c r="BC1271" s="169"/>
    </row>
    <row r="1272" spans="19:55">
      <c r="S1272" s="454"/>
      <c r="AN1272" s="454"/>
      <c r="AY1272" s="454"/>
      <c r="AZ1272" s="454"/>
      <c r="BA1272" s="1267"/>
      <c r="BC1272" s="169"/>
    </row>
    <row r="1273" spans="19:55">
      <c r="S1273" s="454"/>
      <c r="AN1273" s="454"/>
      <c r="AY1273" s="454"/>
      <c r="AZ1273" s="454"/>
      <c r="BA1273" s="1267"/>
      <c r="BC1273" s="169"/>
    </row>
    <row r="1274" spans="19:55">
      <c r="S1274" s="454"/>
      <c r="AN1274" s="454"/>
      <c r="AY1274" s="454"/>
      <c r="AZ1274" s="454"/>
      <c r="BA1274" s="1267"/>
      <c r="BC1274" s="169"/>
    </row>
    <row r="1275" spans="19:55">
      <c r="S1275" s="454"/>
      <c r="AN1275" s="454"/>
      <c r="AY1275" s="454"/>
      <c r="AZ1275" s="454"/>
      <c r="BA1275" s="1267"/>
      <c r="BC1275" s="169"/>
    </row>
    <row r="1276" spans="19:55">
      <c r="S1276" s="454"/>
      <c r="AN1276" s="454"/>
      <c r="AY1276" s="454"/>
      <c r="AZ1276" s="454"/>
      <c r="BA1276" s="1267"/>
      <c r="BC1276" s="169"/>
    </row>
    <row r="1277" spans="19:55">
      <c r="S1277" s="454"/>
      <c r="AN1277" s="454"/>
      <c r="AY1277" s="454"/>
      <c r="AZ1277" s="454"/>
      <c r="BA1277" s="1267"/>
      <c r="BC1277" s="169"/>
    </row>
    <row r="1278" spans="19:55">
      <c r="S1278" s="454"/>
      <c r="AN1278" s="454"/>
      <c r="AY1278" s="454"/>
      <c r="AZ1278" s="454"/>
      <c r="BA1278" s="1267"/>
      <c r="BC1278" s="169"/>
    </row>
    <row r="1279" spans="19:55">
      <c r="S1279" s="454"/>
      <c r="AN1279" s="454"/>
      <c r="AY1279" s="454"/>
      <c r="AZ1279" s="454"/>
      <c r="BA1279" s="1267"/>
      <c r="BC1279" s="169"/>
    </row>
    <row r="1280" spans="19:55">
      <c r="S1280" s="454"/>
      <c r="AN1280" s="454"/>
      <c r="AY1280" s="454"/>
      <c r="AZ1280" s="454"/>
      <c r="BA1280" s="1267"/>
      <c r="BC1280" s="169"/>
    </row>
    <row r="1281" spans="19:55">
      <c r="S1281" s="454"/>
      <c r="AN1281" s="454"/>
      <c r="AY1281" s="454"/>
      <c r="AZ1281" s="454"/>
      <c r="BA1281" s="1267"/>
      <c r="BC1281" s="169"/>
    </row>
    <row r="1282" spans="19:55">
      <c r="S1282" s="454"/>
      <c r="AN1282" s="454"/>
      <c r="AY1282" s="454"/>
      <c r="AZ1282" s="454"/>
      <c r="BA1282" s="1267"/>
      <c r="BC1282" s="169"/>
    </row>
    <row r="1283" spans="19:55">
      <c r="S1283" s="454"/>
      <c r="AN1283" s="454"/>
      <c r="AY1283" s="454"/>
      <c r="AZ1283" s="454"/>
      <c r="BA1283" s="1267"/>
      <c r="BC1283" s="169"/>
    </row>
    <row r="1284" spans="19:55">
      <c r="S1284" s="454"/>
      <c r="AN1284" s="454"/>
      <c r="AY1284" s="454"/>
      <c r="AZ1284" s="454"/>
      <c r="BA1284" s="1267"/>
      <c r="BC1284" s="169"/>
    </row>
    <row r="1285" spans="19:55">
      <c r="S1285" s="454"/>
      <c r="AN1285" s="454"/>
      <c r="AY1285" s="454"/>
      <c r="AZ1285" s="454"/>
      <c r="BA1285" s="1267"/>
      <c r="BC1285" s="169"/>
    </row>
    <row r="1286" spans="19:55">
      <c r="S1286" s="454"/>
      <c r="AN1286" s="454"/>
      <c r="AY1286" s="454"/>
      <c r="AZ1286" s="454"/>
      <c r="BA1286" s="1267"/>
      <c r="BC1286" s="169"/>
    </row>
    <row r="1287" spans="19:55">
      <c r="S1287" s="454"/>
      <c r="AN1287" s="454"/>
      <c r="AY1287" s="454"/>
      <c r="AZ1287" s="454"/>
      <c r="BA1287" s="1267"/>
      <c r="BC1287" s="169"/>
    </row>
    <row r="1288" spans="19:55">
      <c r="S1288" s="454"/>
      <c r="AN1288" s="454"/>
      <c r="AY1288" s="454"/>
      <c r="AZ1288" s="454"/>
      <c r="BA1288" s="1267"/>
      <c r="BC1288" s="169"/>
    </row>
    <row r="1289" spans="19:55">
      <c r="S1289" s="454"/>
      <c r="AN1289" s="454"/>
      <c r="AY1289" s="454"/>
      <c r="AZ1289" s="454"/>
      <c r="BA1289" s="1267"/>
      <c r="BC1289" s="169"/>
    </row>
    <row r="1290" spans="19:55">
      <c r="S1290" s="454"/>
      <c r="AN1290" s="454"/>
      <c r="AY1290" s="454"/>
      <c r="AZ1290" s="454"/>
      <c r="BA1290" s="1267"/>
      <c r="BC1290" s="169"/>
    </row>
    <row r="1291" spans="19:55">
      <c r="S1291" s="454"/>
      <c r="AN1291" s="454"/>
      <c r="AY1291" s="454"/>
      <c r="AZ1291" s="454"/>
      <c r="BA1291" s="1267"/>
      <c r="BC1291" s="169"/>
    </row>
    <row r="1292" spans="19:55">
      <c r="S1292" s="454"/>
      <c r="AN1292" s="454"/>
      <c r="AY1292" s="454"/>
      <c r="AZ1292" s="454"/>
      <c r="BA1292" s="1267"/>
      <c r="BC1292" s="169"/>
    </row>
    <row r="1293" spans="19:55">
      <c r="S1293" s="454"/>
      <c r="AN1293" s="454"/>
      <c r="AY1293" s="454"/>
      <c r="AZ1293" s="454"/>
      <c r="BA1293" s="1267"/>
      <c r="BC1293" s="169"/>
    </row>
    <row r="1294" spans="19:55">
      <c r="S1294" s="454"/>
      <c r="AN1294" s="454"/>
      <c r="AY1294" s="454"/>
      <c r="AZ1294" s="454"/>
      <c r="BA1294" s="1267"/>
      <c r="BC1294" s="169"/>
    </row>
    <row r="1295" spans="19:55">
      <c r="S1295" s="454"/>
      <c r="AN1295" s="454"/>
      <c r="AY1295" s="454"/>
      <c r="AZ1295" s="454"/>
      <c r="BA1295" s="1267"/>
      <c r="BC1295" s="169"/>
    </row>
    <row r="1296" spans="19:55">
      <c r="S1296" s="454"/>
      <c r="AN1296" s="454"/>
      <c r="AY1296" s="454"/>
      <c r="AZ1296" s="454"/>
      <c r="BA1296" s="1267"/>
      <c r="BC1296" s="169"/>
    </row>
    <row r="1297" spans="19:55">
      <c r="S1297" s="454"/>
      <c r="AN1297" s="454"/>
      <c r="AY1297" s="454"/>
      <c r="AZ1297" s="454"/>
      <c r="BA1297" s="1267"/>
      <c r="BC1297" s="169"/>
    </row>
    <row r="1298" spans="19:55">
      <c r="S1298" s="454"/>
      <c r="AN1298" s="454"/>
      <c r="AY1298" s="454"/>
      <c r="AZ1298" s="454"/>
      <c r="BA1298" s="1267"/>
      <c r="BC1298" s="169"/>
    </row>
    <row r="1299" spans="19:55">
      <c r="S1299" s="454"/>
      <c r="AN1299" s="454"/>
      <c r="AY1299" s="454"/>
      <c r="AZ1299" s="454"/>
      <c r="BA1299" s="1267"/>
      <c r="BC1299" s="169"/>
    </row>
    <row r="1300" spans="19:55">
      <c r="S1300" s="454"/>
      <c r="AN1300" s="454"/>
      <c r="AY1300" s="454"/>
      <c r="AZ1300" s="454"/>
      <c r="BA1300" s="1267"/>
      <c r="BC1300" s="169"/>
    </row>
    <row r="1301" spans="19:55">
      <c r="S1301" s="454"/>
      <c r="AN1301" s="454"/>
      <c r="AY1301" s="454"/>
      <c r="AZ1301" s="454"/>
      <c r="BC1301" s="169"/>
    </row>
    <row r="1302" spans="19:55">
      <c r="S1302" s="454"/>
      <c r="AN1302" s="454"/>
      <c r="AY1302" s="454"/>
      <c r="AZ1302" s="454"/>
      <c r="BC1302" s="169"/>
    </row>
    <row r="1303" spans="19:55">
      <c r="S1303" s="454"/>
      <c r="AN1303" s="454"/>
      <c r="AY1303" s="454"/>
      <c r="AZ1303" s="454"/>
      <c r="BC1303" s="169"/>
    </row>
    <row r="1304" spans="19:55">
      <c r="S1304" s="454"/>
      <c r="AN1304" s="454"/>
      <c r="AY1304" s="454"/>
      <c r="AZ1304" s="454"/>
      <c r="BC1304" s="169"/>
    </row>
    <row r="1305" spans="19:55">
      <c r="S1305" s="454"/>
      <c r="AN1305" s="454"/>
      <c r="AY1305" s="454"/>
      <c r="AZ1305" s="454"/>
      <c r="BC1305" s="169"/>
    </row>
    <row r="1306" spans="19:55">
      <c r="S1306" s="454"/>
      <c r="AN1306" s="454"/>
      <c r="AY1306" s="454"/>
      <c r="AZ1306" s="454"/>
      <c r="BC1306" s="169"/>
    </row>
    <row r="1307" spans="19:55">
      <c r="S1307" s="454"/>
      <c r="AN1307" s="454"/>
      <c r="AY1307" s="454"/>
      <c r="AZ1307" s="454"/>
      <c r="BC1307" s="169"/>
    </row>
    <row r="1308" spans="19:55">
      <c r="S1308" s="454"/>
      <c r="AN1308" s="454"/>
      <c r="AY1308" s="454"/>
      <c r="AZ1308" s="454"/>
      <c r="BC1308" s="169"/>
    </row>
    <row r="1309" spans="19:55">
      <c r="S1309" s="454"/>
      <c r="AN1309" s="454"/>
      <c r="AY1309" s="454"/>
      <c r="AZ1309" s="454"/>
      <c r="BC1309" s="169"/>
    </row>
    <row r="1310" spans="19:55">
      <c r="S1310" s="454"/>
      <c r="AN1310" s="454"/>
      <c r="AY1310" s="454"/>
      <c r="AZ1310" s="454"/>
      <c r="BC1310" s="169"/>
    </row>
    <row r="1311" spans="19:55">
      <c r="S1311" s="454"/>
      <c r="AN1311" s="454"/>
      <c r="AY1311" s="454"/>
      <c r="AZ1311" s="454"/>
      <c r="BC1311" s="169"/>
    </row>
    <row r="1312" spans="19:55">
      <c r="S1312" s="454"/>
      <c r="AN1312" s="454"/>
      <c r="AY1312" s="454"/>
      <c r="AZ1312" s="454"/>
      <c r="BC1312" s="169"/>
    </row>
    <row r="1313" spans="19:55">
      <c r="S1313" s="454"/>
      <c r="AN1313" s="454"/>
      <c r="BC1313" s="169"/>
    </row>
    <row r="1314" spans="19:55">
      <c r="S1314" s="454"/>
      <c r="AN1314" s="454"/>
      <c r="BC1314" s="169"/>
    </row>
    <row r="1315" spans="19:55">
      <c r="S1315" s="454"/>
      <c r="AN1315" s="454"/>
      <c r="BC1315" s="169"/>
    </row>
    <row r="1316" spans="19:55">
      <c r="S1316" s="454"/>
      <c r="AN1316" s="454"/>
      <c r="BC1316" s="169"/>
    </row>
    <row r="1317" spans="19:55">
      <c r="S1317" s="454"/>
      <c r="AN1317" s="454"/>
      <c r="BC1317" s="169"/>
    </row>
    <row r="1318" spans="19:55">
      <c r="S1318" s="454"/>
      <c r="AN1318" s="454"/>
      <c r="BC1318" s="169"/>
    </row>
    <row r="1319" spans="19:55">
      <c r="S1319" s="454"/>
      <c r="AN1319" s="454"/>
      <c r="BC1319" s="169"/>
    </row>
    <row r="1320" spans="19:55">
      <c r="S1320" s="454"/>
      <c r="AN1320" s="454"/>
      <c r="BC1320" s="169"/>
    </row>
    <row r="1321" spans="19:55">
      <c r="S1321" s="454"/>
      <c r="AN1321" s="454"/>
      <c r="BC1321" s="169"/>
    </row>
    <row r="1322" spans="19:55">
      <c r="S1322" s="454"/>
      <c r="AN1322" s="454"/>
      <c r="BC1322" s="169"/>
    </row>
    <row r="1323" spans="19:55">
      <c r="S1323" s="454"/>
      <c r="AN1323" s="454"/>
      <c r="BC1323" s="169"/>
    </row>
    <row r="1324" spans="19:55">
      <c r="S1324" s="454"/>
      <c r="AN1324" s="454"/>
      <c r="BC1324" s="169"/>
    </row>
    <row r="1325" spans="19:55">
      <c r="S1325" s="454"/>
      <c r="AN1325" s="454"/>
      <c r="BC1325" s="169"/>
    </row>
    <row r="1326" spans="19:55">
      <c r="S1326" s="454"/>
      <c r="AN1326" s="454"/>
      <c r="BC1326" s="169"/>
    </row>
    <row r="1327" spans="19:55">
      <c r="S1327" s="454"/>
      <c r="AN1327" s="454"/>
      <c r="BC1327" s="169"/>
    </row>
    <row r="1328" spans="19:55">
      <c r="S1328" s="454"/>
      <c r="AN1328" s="454"/>
      <c r="BC1328" s="169"/>
    </row>
    <row r="1329" spans="19:55">
      <c r="S1329" s="454"/>
      <c r="AN1329" s="454"/>
      <c r="BC1329" s="169"/>
    </row>
    <row r="1330" spans="19:55">
      <c r="S1330" s="454"/>
      <c r="AN1330" s="454"/>
      <c r="BC1330" s="169"/>
    </row>
    <row r="1331" spans="19:55">
      <c r="S1331" s="454"/>
      <c r="AN1331" s="454"/>
      <c r="BC1331" s="169"/>
    </row>
    <row r="1332" spans="19:55">
      <c r="S1332" s="454"/>
      <c r="AN1332" s="454"/>
      <c r="BC1332" s="169"/>
    </row>
    <row r="1333" spans="19:55">
      <c r="S1333" s="454"/>
      <c r="AN1333" s="454"/>
      <c r="BC1333" s="169"/>
    </row>
    <row r="1334" spans="19:55">
      <c r="S1334" s="454"/>
      <c r="AN1334" s="454"/>
      <c r="BC1334" s="169"/>
    </row>
    <row r="1335" spans="19:55">
      <c r="S1335" s="454"/>
      <c r="AN1335" s="454"/>
      <c r="BC1335" s="169"/>
    </row>
    <row r="1336" spans="19:55">
      <c r="S1336" s="454"/>
      <c r="AN1336" s="454"/>
      <c r="BC1336" s="169"/>
    </row>
    <row r="1337" spans="19:55">
      <c r="S1337" s="454"/>
      <c r="AN1337" s="454"/>
      <c r="BC1337" s="169"/>
    </row>
    <row r="1338" spans="19:55">
      <c r="S1338" s="454"/>
      <c r="AN1338" s="454"/>
      <c r="BC1338" s="169"/>
    </row>
    <row r="1339" spans="19:55">
      <c r="S1339" s="454"/>
      <c r="AN1339" s="454"/>
      <c r="BC1339" s="169"/>
    </row>
    <row r="1340" spans="19:55">
      <c r="S1340" s="454"/>
      <c r="AN1340" s="454"/>
      <c r="BC1340" s="169"/>
    </row>
    <row r="1341" spans="19:55">
      <c r="S1341" s="454"/>
      <c r="AN1341" s="454"/>
      <c r="BC1341" s="169"/>
    </row>
    <row r="1342" spans="19:55">
      <c r="S1342" s="454"/>
      <c r="AN1342" s="454"/>
      <c r="BC1342" s="169"/>
    </row>
    <row r="1343" spans="19:55">
      <c r="S1343" s="454"/>
      <c r="AN1343" s="454"/>
      <c r="BC1343" s="169"/>
    </row>
    <row r="1344" spans="19:55">
      <c r="S1344" s="454"/>
      <c r="AN1344" s="454"/>
      <c r="BC1344" s="169"/>
    </row>
    <row r="1345" spans="19:55">
      <c r="S1345" s="454"/>
      <c r="AN1345" s="454"/>
      <c r="BC1345" s="169"/>
    </row>
    <row r="1346" spans="19:55">
      <c r="S1346" s="454"/>
      <c r="AN1346" s="454"/>
      <c r="BC1346" s="169"/>
    </row>
    <row r="1347" spans="19:55">
      <c r="S1347" s="454"/>
      <c r="AN1347" s="454"/>
      <c r="BC1347" s="169"/>
    </row>
    <row r="1348" spans="19:55">
      <c r="S1348" s="454"/>
      <c r="AN1348" s="454"/>
      <c r="BC1348" s="169"/>
    </row>
    <row r="1349" spans="19:55">
      <c r="S1349" s="454"/>
      <c r="AN1349" s="454"/>
      <c r="BC1349" s="169"/>
    </row>
    <row r="1350" spans="19:55">
      <c r="S1350" s="454"/>
      <c r="AN1350" s="454"/>
      <c r="BC1350" s="169"/>
    </row>
    <row r="1351" spans="19:55">
      <c r="S1351" s="454"/>
      <c r="AN1351" s="454"/>
      <c r="BC1351" s="169"/>
    </row>
    <row r="1352" spans="19:55">
      <c r="S1352" s="454"/>
      <c r="AN1352" s="454"/>
      <c r="BC1352" s="169"/>
    </row>
    <row r="1353" spans="19:55">
      <c r="S1353" s="454"/>
      <c r="AN1353" s="454"/>
      <c r="BC1353" s="169"/>
    </row>
    <row r="1354" spans="19:55">
      <c r="S1354" s="454"/>
      <c r="AN1354" s="454"/>
      <c r="BC1354" s="169"/>
    </row>
    <row r="1355" spans="19:55">
      <c r="S1355" s="454"/>
      <c r="AN1355" s="454"/>
      <c r="BC1355" s="169"/>
    </row>
    <row r="1356" spans="19:55">
      <c r="S1356" s="454"/>
      <c r="AN1356" s="454"/>
      <c r="BC1356" s="169"/>
    </row>
    <row r="1357" spans="19:55">
      <c r="S1357" s="454"/>
      <c r="AN1357" s="454"/>
      <c r="BC1357" s="169"/>
    </row>
    <row r="1358" spans="19:55">
      <c r="S1358" s="454"/>
      <c r="AN1358" s="454"/>
      <c r="BC1358" s="169"/>
    </row>
    <row r="1359" spans="19:55">
      <c r="S1359" s="454"/>
      <c r="AN1359" s="454"/>
      <c r="BC1359" s="169"/>
    </row>
    <row r="1360" spans="19:55">
      <c r="S1360" s="454"/>
      <c r="AN1360" s="454"/>
      <c r="BC1360" s="169"/>
    </row>
    <row r="1361" spans="19:55">
      <c r="S1361" s="454"/>
      <c r="AN1361" s="454"/>
      <c r="BC1361" s="169"/>
    </row>
    <row r="1362" spans="19:55">
      <c r="S1362" s="454"/>
      <c r="AN1362" s="454"/>
      <c r="BC1362" s="169"/>
    </row>
    <row r="1363" spans="19:55">
      <c r="S1363" s="454"/>
      <c r="AN1363" s="454"/>
      <c r="BC1363" s="169"/>
    </row>
    <row r="1364" spans="19:55">
      <c r="S1364" s="454"/>
      <c r="AN1364" s="454"/>
      <c r="BC1364" s="169"/>
    </row>
    <row r="1365" spans="19:55">
      <c r="S1365" s="454"/>
      <c r="AN1365" s="454"/>
      <c r="BC1365" s="169"/>
    </row>
    <row r="1366" spans="19:55">
      <c r="S1366" s="454"/>
      <c r="AN1366" s="454"/>
      <c r="BC1366" s="169"/>
    </row>
    <row r="1367" spans="19:55">
      <c r="S1367" s="454"/>
      <c r="AN1367" s="454"/>
      <c r="BC1367" s="169"/>
    </row>
    <row r="1368" spans="19:55">
      <c r="S1368" s="454"/>
      <c r="AN1368" s="454"/>
      <c r="BC1368" s="169"/>
    </row>
    <row r="1369" spans="19:55">
      <c r="S1369" s="454"/>
      <c r="AN1369" s="454"/>
      <c r="BC1369" s="169"/>
    </row>
    <row r="1370" spans="19:55">
      <c r="S1370" s="454"/>
      <c r="AN1370" s="454"/>
      <c r="BC1370" s="169"/>
    </row>
    <row r="1371" spans="19:55">
      <c r="S1371" s="454"/>
      <c r="AN1371" s="454"/>
      <c r="BC1371" s="169"/>
    </row>
    <row r="1372" spans="19:55">
      <c r="S1372" s="454"/>
      <c r="AN1372" s="454"/>
      <c r="BC1372" s="169"/>
    </row>
    <row r="1373" spans="19:55">
      <c r="S1373" s="454"/>
      <c r="AN1373" s="454"/>
      <c r="BC1373" s="169"/>
    </row>
    <row r="1374" spans="19:55">
      <c r="S1374" s="454"/>
      <c r="AN1374" s="454"/>
      <c r="BC1374" s="169"/>
    </row>
    <row r="1375" spans="19:55">
      <c r="S1375" s="454"/>
      <c r="AN1375" s="454"/>
      <c r="BC1375" s="169"/>
    </row>
    <row r="1376" spans="19:55">
      <c r="S1376" s="454"/>
      <c r="AN1376" s="454"/>
      <c r="BC1376" s="169"/>
    </row>
    <row r="1377" spans="19:55">
      <c r="S1377" s="454"/>
      <c r="AN1377" s="454"/>
      <c r="BC1377" s="169"/>
    </row>
    <row r="1378" spans="19:55">
      <c r="S1378" s="454"/>
      <c r="AN1378" s="454"/>
      <c r="BC1378" s="169"/>
    </row>
    <row r="1379" spans="19:55">
      <c r="S1379" s="454"/>
      <c r="AN1379" s="454"/>
      <c r="BC1379" s="169"/>
    </row>
    <row r="1380" spans="19:55">
      <c r="S1380" s="454"/>
      <c r="AN1380" s="454"/>
      <c r="BC1380" s="169"/>
    </row>
    <row r="1381" spans="19:55">
      <c r="S1381" s="454"/>
      <c r="AN1381" s="454"/>
      <c r="BC1381" s="169"/>
    </row>
    <row r="1382" spans="19:55">
      <c r="S1382" s="454"/>
      <c r="AN1382" s="454"/>
      <c r="BC1382" s="169"/>
    </row>
    <row r="1383" spans="19:55">
      <c r="S1383" s="454"/>
      <c r="AN1383" s="454"/>
      <c r="BC1383" s="169"/>
    </row>
    <row r="1384" spans="19:55">
      <c r="S1384" s="454"/>
      <c r="AN1384" s="454"/>
      <c r="BC1384" s="169"/>
    </row>
    <row r="1385" spans="19:55">
      <c r="S1385" s="454"/>
      <c r="AN1385" s="454"/>
      <c r="BC1385" s="169"/>
    </row>
    <row r="1386" spans="19:55">
      <c r="S1386" s="454"/>
      <c r="AN1386" s="454"/>
      <c r="BC1386" s="169"/>
    </row>
    <row r="1387" spans="19:55">
      <c r="S1387" s="454"/>
      <c r="AN1387" s="454"/>
      <c r="BC1387" s="169"/>
    </row>
    <row r="1388" spans="19:55">
      <c r="S1388" s="454"/>
      <c r="AN1388" s="454"/>
      <c r="BC1388" s="169"/>
    </row>
    <row r="1389" spans="19:55">
      <c r="S1389" s="454"/>
      <c r="AN1389" s="454"/>
      <c r="BC1389" s="169"/>
    </row>
    <row r="1390" spans="19:55">
      <c r="S1390" s="454"/>
      <c r="AN1390" s="454"/>
      <c r="BC1390" s="169"/>
    </row>
    <row r="1391" spans="19:55">
      <c r="S1391" s="454"/>
      <c r="AN1391" s="454"/>
      <c r="BC1391" s="169"/>
    </row>
    <row r="1392" spans="19:55">
      <c r="S1392" s="454"/>
      <c r="AN1392" s="454"/>
      <c r="BC1392" s="169"/>
    </row>
    <row r="1393" spans="19:55">
      <c r="S1393" s="454"/>
      <c r="AN1393" s="454"/>
      <c r="BC1393" s="169"/>
    </row>
    <row r="1394" spans="19:55">
      <c r="S1394" s="454"/>
      <c r="AN1394" s="454"/>
      <c r="BC1394" s="169"/>
    </row>
    <row r="1395" spans="19:55">
      <c r="S1395" s="454"/>
      <c r="AN1395" s="454"/>
      <c r="BC1395" s="169"/>
    </row>
    <row r="1396" spans="19:55">
      <c r="S1396" s="454"/>
      <c r="AN1396" s="454"/>
      <c r="BC1396" s="169"/>
    </row>
    <row r="1397" spans="19:55">
      <c r="S1397" s="454"/>
      <c r="AN1397" s="454"/>
      <c r="BC1397" s="169"/>
    </row>
    <row r="1398" spans="19:55">
      <c r="S1398" s="454"/>
      <c r="AN1398" s="454"/>
      <c r="BC1398" s="169"/>
    </row>
    <row r="1399" spans="19:55">
      <c r="S1399" s="454"/>
      <c r="AN1399" s="454"/>
      <c r="BC1399" s="169"/>
    </row>
    <row r="1400" spans="19:55">
      <c r="S1400" s="454"/>
      <c r="AN1400" s="454"/>
      <c r="BC1400" s="169"/>
    </row>
    <row r="1401" spans="19:55">
      <c r="S1401" s="454"/>
      <c r="AN1401" s="454"/>
      <c r="BC1401" s="169"/>
    </row>
    <row r="1402" spans="19:55">
      <c r="S1402" s="454"/>
      <c r="AN1402" s="454"/>
      <c r="BC1402" s="169"/>
    </row>
    <row r="1403" spans="19:55">
      <c r="S1403" s="454"/>
      <c r="AN1403" s="454"/>
      <c r="BC1403" s="169"/>
    </row>
    <row r="1404" spans="19:55">
      <c r="S1404" s="454"/>
      <c r="AN1404" s="454"/>
      <c r="BC1404" s="169"/>
    </row>
    <row r="1405" spans="19:55">
      <c r="S1405" s="454"/>
      <c r="AN1405" s="454"/>
      <c r="BC1405" s="169"/>
    </row>
    <row r="1406" spans="19:55">
      <c r="S1406" s="454"/>
      <c r="AN1406" s="454"/>
      <c r="BC1406" s="169"/>
    </row>
    <row r="1407" spans="19:55">
      <c r="S1407" s="454"/>
      <c r="AN1407" s="454"/>
      <c r="BC1407" s="169"/>
    </row>
    <row r="1408" spans="19:55">
      <c r="S1408" s="454"/>
      <c r="AN1408" s="454"/>
      <c r="BC1408" s="169"/>
    </row>
    <row r="1409" spans="19:55">
      <c r="S1409" s="454"/>
      <c r="AN1409" s="454"/>
      <c r="BC1409" s="169"/>
    </row>
    <row r="1410" spans="19:55">
      <c r="S1410" s="454"/>
      <c r="AN1410" s="454"/>
      <c r="BC1410" s="169"/>
    </row>
    <row r="1411" spans="19:55">
      <c r="S1411" s="454"/>
      <c r="AN1411" s="454"/>
      <c r="BC1411" s="169"/>
    </row>
    <row r="1412" spans="19:55">
      <c r="S1412" s="454"/>
      <c r="AN1412" s="454"/>
      <c r="BC1412" s="169"/>
    </row>
    <row r="1413" spans="19:55">
      <c r="S1413" s="454"/>
      <c r="AN1413" s="454"/>
      <c r="BC1413" s="169"/>
    </row>
    <row r="1414" spans="19:55">
      <c r="S1414" s="454"/>
      <c r="AN1414" s="454"/>
      <c r="BC1414" s="169"/>
    </row>
    <row r="1415" spans="19:55">
      <c r="S1415" s="454"/>
      <c r="AN1415" s="454"/>
      <c r="BC1415" s="169"/>
    </row>
    <row r="1416" spans="19:55">
      <c r="S1416" s="454"/>
      <c r="AN1416" s="454"/>
      <c r="BC1416" s="169"/>
    </row>
    <row r="1417" spans="19:55">
      <c r="S1417" s="454"/>
      <c r="AN1417" s="454"/>
      <c r="BC1417" s="169"/>
    </row>
    <row r="1418" spans="19:55">
      <c r="S1418" s="454"/>
      <c r="AN1418" s="454"/>
      <c r="BC1418" s="169"/>
    </row>
    <row r="1419" spans="19:55">
      <c r="S1419" s="454"/>
      <c r="AN1419" s="454"/>
      <c r="BC1419" s="169"/>
    </row>
    <row r="1420" spans="19:55">
      <c r="S1420" s="454"/>
      <c r="AN1420" s="454"/>
      <c r="BC1420" s="169"/>
    </row>
    <row r="1421" spans="19:55">
      <c r="S1421" s="454"/>
      <c r="AN1421" s="454"/>
      <c r="BC1421" s="169"/>
    </row>
    <row r="1422" spans="19:55">
      <c r="S1422" s="454"/>
      <c r="AN1422" s="454"/>
      <c r="BC1422" s="169"/>
    </row>
    <row r="1423" spans="19:55">
      <c r="S1423" s="454"/>
      <c r="AN1423" s="454"/>
      <c r="BC1423" s="169"/>
    </row>
    <row r="1424" spans="19:55">
      <c r="S1424" s="454"/>
      <c r="AN1424" s="454"/>
      <c r="BC1424" s="169"/>
    </row>
    <row r="1425" spans="19:55">
      <c r="S1425" s="454"/>
      <c r="AN1425" s="454"/>
      <c r="BC1425" s="169"/>
    </row>
    <row r="1426" spans="19:55">
      <c r="S1426" s="454"/>
      <c r="AN1426" s="454"/>
      <c r="BC1426" s="169"/>
    </row>
    <row r="1427" spans="19:55">
      <c r="S1427" s="454"/>
      <c r="AN1427" s="454"/>
      <c r="BC1427" s="169"/>
    </row>
    <row r="1428" spans="19:55">
      <c r="S1428" s="454"/>
      <c r="AN1428" s="454"/>
      <c r="BC1428" s="169"/>
    </row>
    <row r="1429" spans="19:55">
      <c r="S1429" s="454"/>
      <c r="AN1429" s="454"/>
      <c r="BC1429" s="169"/>
    </row>
    <row r="1430" spans="19:55">
      <c r="S1430" s="454"/>
      <c r="AN1430" s="454"/>
      <c r="BC1430" s="169"/>
    </row>
    <row r="1431" spans="19:55">
      <c r="S1431" s="454"/>
      <c r="AN1431" s="454"/>
      <c r="BC1431" s="169"/>
    </row>
    <row r="1432" spans="19:55">
      <c r="S1432" s="454"/>
      <c r="AN1432" s="454"/>
      <c r="BC1432" s="169"/>
    </row>
    <row r="1433" spans="19:55">
      <c r="S1433" s="454"/>
      <c r="AN1433" s="454"/>
      <c r="BC1433" s="169"/>
    </row>
    <row r="1434" spans="19:55">
      <c r="S1434" s="454"/>
      <c r="AN1434" s="454"/>
      <c r="BC1434" s="169"/>
    </row>
    <row r="1435" spans="19:55">
      <c r="S1435" s="454"/>
      <c r="AN1435" s="454"/>
      <c r="BC1435" s="169"/>
    </row>
    <row r="1436" spans="19:55">
      <c r="S1436" s="454"/>
      <c r="AN1436" s="454"/>
      <c r="BC1436" s="169"/>
    </row>
    <row r="1437" spans="19:55">
      <c r="S1437" s="454"/>
      <c r="AN1437" s="454"/>
      <c r="BC1437" s="169"/>
    </row>
    <row r="1438" spans="19:55">
      <c r="S1438" s="454"/>
      <c r="AN1438" s="454"/>
      <c r="BC1438" s="169"/>
    </row>
    <row r="1439" spans="19:55">
      <c r="S1439" s="454"/>
      <c r="AN1439" s="454"/>
      <c r="BC1439" s="169"/>
    </row>
    <row r="1440" spans="19:55">
      <c r="S1440" s="454"/>
      <c r="AN1440" s="454"/>
      <c r="BC1440" s="169"/>
    </row>
    <row r="1441" spans="19:55">
      <c r="S1441" s="454"/>
      <c r="AN1441" s="454"/>
      <c r="BC1441" s="169"/>
    </row>
    <row r="1442" spans="19:55">
      <c r="S1442" s="454"/>
      <c r="AN1442" s="454"/>
      <c r="BC1442" s="169"/>
    </row>
    <row r="1443" spans="19:55">
      <c r="S1443" s="454"/>
      <c r="AN1443" s="454"/>
      <c r="BC1443" s="169"/>
    </row>
    <row r="1444" spans="19:55">
      <c r="S1444" s="454"/>
      <c r="AN1444" s="454"/>
      <c r="BC1444" s="169"/>
    </row>
    <row r="1445" spans="19:55">
      <c r="S1445" s="454"/>
      <c r="AN1445" s="454"/>
      <c r="BC1445" s="169"/>
    </row>
    <row r="1446" spans="19:55">
      <c r="S1446" s="454"/>
      <c r="AN1446" s="454"/>
      <c r="BC1446" s="169"/>
    </row>
    <row r="1447" spans="19:55">
      <c r="S1447" s="454"/>
      <c r="AN1447" s="454"/>
      <c r="BC1447" s="169"/>
    </row>
    <row r="1448" spans="19:55">
      <c r="S1448" s="454"/>
      <c r="AN1448" s="454"/>
      <c r="BC1448" s="169"/>
    </row>
    <row r="1449" spans="19:55">
      <c r="S1449" s="454"/>
      <c r="AN1449" s="454"/>
      <c r="BC1449" s="169"/>
    </row>
    <row r="1450" spans="19:55">
      <c r="S1450" s="454"/>
      <c r="AN1450" s="454"/>
      <c r="BC1450" s="169"/>
    </row>
    <row r="1451" spans="19:55">
      <c r="S1451" s="454"/>
      <c r="AN1451" s="454"/>
      <c r="BC1451" s="169"/>
    </row>
    <row r="1452" spans="19:55">
      <c r="S1452" s="454"/>
      <c r="AN1452" s="454"/>
      <c r="BC1452" s="169"/>
    </row>
    <row r="1453" spans="19:55">
      <c r="S1453" s="454"/>
      <c r="AN1453" s="454"/>
      <c r="BC1453" s="169"/>
    </row>
    <row r="1454" spans="19:55">
      <c r="S1454" s="454"/>
      <c r="AN1454" s="454"/>
      <c r="BC1454" s="169"/>
    </row>
    <row r="1455" spans="19:55">
      <c r="S1455" s="454"/>
      <c r="AN1455" s="454"/>
      <c r="BC1455" s="169"/>
    </row>
    <row r="1456" spans="19:55">
      <c r="S1456" s="454"/>
      <c r="AN1456" s="454"/>
      <c r="BC1456" s="169"/>
    </row>
    <row r="1457" spans="19:55">
      <c r="S1457" s="454"/>
      <c r="AN1457" s="454"/>
      <c r="BC1457" s="169"/>
    </row>
    <row r="1458" spans="19:55">
      <c r="S1458" s="454"/>
      <c r="AN1458" s="454"/>
      <c r="BC1458" s="169"/>
    </row>
    <row r="1459" spans="19:55">
      <c r="S1459" s="454"/>
      <c r="AN1459" s="454"/>
      <c r="BC1459" s="169"/>
    </row>
    <row r="1460" spans="19:55">
      <c r="S1460" s="454"/>
      <c r="AN1460" s="454"/>
      <c r="BC1460" s="169"/>
    </row>
    <row r="1461" spans="19:55">
      <c r="S1461" s="454"/>
      <c r="AN1461" s="454"/>
      <c r="BC1461" s="169"/>
    </row>
    <row r="1462" spans="19:55">
      <c r="S1462" s="454"/>
      <c r="AN1462" s="454"/>
      <c r="BC1462" s="169"/>
    </row>
    <row r="1463" spans="19:55">
      <c r="S1463" s="454"/>
      <c r="AN1463" s="454"/>
      <c r="BC1463" s="169"/>
    </row>
    <row r="1464" spans="19:55">
      <c r="S1464" s="454"/>
      <c r="AN1464" s="454"/>
      <c r="BC1464" s="169"/>
    </row>
    <row r="1465" spans="19:55">
      <c r="S1465" s="454"/>
      <c r="AN1465" s="454"/>
      <c r="BC1465" s="169"/>
    </row>
    <row r="1466" spans="19:55">
      <c r="S1466" s="454"/>
      <c r="AN1466" s="454"/>
      <c r="BC1466" s="169"/>
    </row>
    <row r="1467" spans="19:55">
      <c r="S1467" s="454"/>
      <c r="AN1467" s="454"/>
      <c r="BC1467" s="169"/>
    </row>
    <row r="1468" spans="19:55">
      <c r="S1468" s="454"/>
      <c r="AN1468" s="454"/>
      <c r="BC1468" s="169"/>
    </row>
    <row r="1469" spans="19:55">
      <c r="S1469" s="454"/>
      <c r="AN1469" s="454"/>
      <c r="BC1469" s="169"/>
    </row>
    <row r="1470" spans="19:55">
      <c r="S1470" s="454"/>
      <c r="AN1470" s="454"/>
      <c r="BC1470" s="169"/>
    </row>
    <row r="1471" spans="19:55">
      <c r="S1471" s="454"/>
      <c r="AN1471" s="454"/>
      <c r="BC1471" s="169"/>
    </row>
    <row r="1472" spans="19:55">
      <c r="S1472" s="454"/>
      <c r="AN1472" s="454"/>
      <c r="BC1472" s="169"/>
    </row>
    <row r="1473" spans="19:55">
      <c r="S1473" s="454"/>
      <c r="AN1473" s="454"/>
      <c r="BC1473" s="169"/>
    </row>
    <row r="1474" spans="19:55">
      <c r="S1474" s="454"/>
      <c r="AN1474" s="454"/>
      <c r="BC1474" s="169"/>
    </row>
    <row r="1475" spans="19:55">
      <c r="S1475" s="454"/>
      <c r="AN1475" s="454"/>
      <c r="BC1475" s="169"/>
    </row>
    <row r="1476" spans="19:55">
      <c r="S1476" s="454"/>
      <c r="AN1476" s="454"/>
      <c r="BC1476" s="169"/>
    </row>
    <row r="1477" spans="19:55">
      <c r="S1477" s="454"/>
      <c r="AN1477" s="454"/>
      <c r="BC1477" s="169"/>
    </row>
    <row r="1478" spans="19:55">
      <c r="S1478" s="454"/>
      <c r="AN1478" s="454"/>
      <c r="BC1478" s="169"/>
    </row>
    <row r="1479" spans="19:55">
      <c r="S1479" s="454"/>
      <c r="AN1479" s="454"/>
      <c r="BC1479" s="169"/>
    </row>
    <row r="1480" spans="19:55">
      <c r="S1480" s="454"/>
      <c r="AN1480" s="454"/>
      <c r="BC1480" s="169"/>
    </row>
    <row r="1481" spans="19:55">
      <c r="S1481" s="454"/>
      <c r="AN1481" s="454"/>
      <c r="BC1481" s="169"/>
    </row>
    <row r="1482" spans="19:55">
      <c r="S1482" s="454"/>
      <c r="AN1482" s="454"/>
      <c r="BC1482" s="169"/>
    </row>
    <row r="1483" spans="19:55">
      <c r="S1483" s="454"/>
      <c r="AN1483" s="454"/>
      <c r="BC1483" s="169"/>
    </row>
    <row r="1484" spans="19:55">
      <c r="S1484" s="454"/>
      <c r="AN1484" s="454"/>
      <c r="BC1484" s="169"/>
    </row>
    <row r="1485" spans="19:55">
      <c r="S1485" s="454"/>
      <c r="AN1485" s="454"/>
      <c r="BC1485" s="169"/>
    </row>
    <row r="1486" spans="19:55">
      <c r="S1486" s="454"/>
      <c r="AN1486" s="454"/>
      <c r="BC1486" s="169"/>
    </row>
    <row r="1487" spans="19:55">
      <c r="S1487" s="454"/>
      <c r="AN1487" s="454"/>
      <c r="BC1487" s="169"/>
    </row>
    <row r="1488" spans="19:55">
      <c r="S1488" s="454"/>
      <c r="AN1488" s="454"/>
      <c r="BC1488" s="169"/>
    </row>
    <row r="1489" spans="19:55">
      <c r="S1489" s="454"/>
      <c r="AN1489" s="454"/>
      <c r="BC1489" s="169"/>
    </row>
    <row r="1490" spans="19:55">
      <c r="S1490" s="454"/>
      <c r="AN1490" s="454"/>
      <c r="BC1490" s="169"/>
    </row>
    <row r="1491" spans="19:55">
      <c r="S1491" s="454"/>
      <c r="AN1491" s="454"/>
      <c r="BC1491" s="169"/>
    </row>
    <row r="1492" spans="19:55">
      <c r="S1492" s="454"/>
      <c r="AN1492" s="454"/>
      <c r="BC1492" s="169"/>
    </row>
    <row r="1493" spans="19:55">
      <c r="S1493" s="454"/>
      <c r="AN1493" s="454"/>
      <c r="BC1493" s="169"/>
    </row>
    <row r="1494" spans="19:55">
      <c r="S1494" s="454"/>
      <c r="AN1494" s="454"/>
      <c r="BC1494" s="169"/>
    </row>
    <row r="1495" spans="19:55">
      <c r="S1495" s="454"/>
      <c r="AN1495" s="454"/>
      <c r="BC1495" s="169"/>
    </row>
    <row r="1496" spans="19:55">
      <c r="S1496" s="454"/>
      <c r="AN1496" s="454"/>
      <c r="BC1496" s="169"/>
    </row>
    <row r="1497" spans="19:55">
      <c r="S1497" s="454"/>
      <c r="AN1497" s="454"/>
      <c r="BC1497" s="169"/>
    </row>
    <row r="1498" spans="19:55">
      <c r="AN1498" s="454"/>
      <c r="BC1498" s="169"/>
    </row>
    <row r="1499" spans="19:55">
      <c r="AN1499" s="454"/>
      <c r="BC1499" s="169"/>
    </row>
    <row r="1500" spans="19:55">
      <c r="AN1500" s="454"/>
      <c r="BC1500" s="169"/>
    </row>
    <row r="1501" spans="19:55">
      <c r="AN1501" s="454"/>
      <c r="BC1501" s="169"/>
    </row>
    <row r="1502" spans="19:55">
      <c r="AN1502" s="454"/>
      <c r="BC1502" s="169"/>
    </row>
    <row r="1503" spans="19:55">
      <c r="AN1503" s="454"/>
      <c r="BC1503" s="169"/>
    </row>
    <row r="1504" spans="19:55">
      <c r="AN1504" s="454"/>
      <c r="BC1504" s="169"/>
    </row>
    <row r="1505" spans="40:55">
      <c r="AN1505" s="454"/>
      <c r="BC1505" s="169"/>
    </row>
    <row r="1506" spans="40:55">
      <c r="AN1506" s="454"/>
      <c r="BC1506" s="169"/>
    </row>
    <row r="1507" spans="40:55">
      <c r="AN1507" s="454"/>
      <c r="BC1507" s="169"/>
    </row>
    <row r="1508" spans="40:55">
      <c r="AN1508" s="454"/>
      <c r="BC1508" s="169"/>
    </row>
    <row r="1509" spans="40:55">
      <c r="AN1509" s="454"/>
      <c r="BC1509" s="169"/>
    </row>
    <row r="1510" spans="40:55">
      <c r="AN1510" s="454"/>
      <c r="BC1510" s="169"/>
    </row>
    <row r="1511" spans="40:55">
      <c r="AN1511" s="454"/>
      <c r="BC1511" s="169"/>
    </row>
    <row r="1512" spans="40:55">
      <c r="AN1512" s="454"/>
      <c r="BC1512" s="169"/>
    </row>
    <row r="1513" spans="40:55">
      <c r="AN1513" s="454"/>
      <c r="BC1513" s="169"/>
    </row>
    <row r="1514" spans="40:55">
      <c r="AN1514" s="454"/>
      <c r="BC1514" s="169"/>
    </row>
    <row r="1515" spans="40:55">
      <c r="AN1515" s="454"/>
      <c r="BC1515" s="169"/>
    </row>
    <row r="1516" spans="40:55">
      <c r="AN1516" s="454"/>
      <c r="BC1516" s="169"/>
    </row>
    <row r="1517" spans="40:55">
      <c r="AN1517" s="454"/>
      <c r="BC1517" s="169"/>
    </row>
    <row r="1518" spans="40:55">
      <c r="AN1518" s="454"/>
      <c r="BC1518" s="169"/>
    </row>
    <row r="1519" spans="40:55">
      <c r="AN1519" s="454"/>
      <c r="BC1519" s="169"/>
    </row>
    <row r="1520" spans="40:55">
      <c r="AN1520" s="454"/>
      <c r="BC1520" s="169"/>
    </row>
    <row r="1521" spans="40:55">
      <c r="AN1521" s="454"/>
      <c r="BC1521" s="169"/>
    </row>
    <row r="1522" spans="40:55">
      <c r="AN1522" s="454"/>
      <c r="BC1522" s="169"/>
    </row>
    <row r="1523" spans="40:55">
      <c r="AN1523" s="454"/>
      <c r="BC1523" s="169"/>
    </row>
    <row r="1524" spans="40:55">
      <c r="AN1524" s="454"/>
      <c r="BC1524" s="169"/>
    </row>
    <row r="1525" spans="40:55">
      <c r="AN1525" s="454"/>
      <c r="BC1525" s="169"/>
    </row>
    <row r="1526" spans="40:55">
      <c r="AN1526" s="454"/>
      <c r="BC1526" s="169"/>
    </row>
    <row r="1527" spans="40:55">
      <c r="AN1527" s="454"/>
      <c r="BC1527" s="169"/>
    </row>
    <row r="1528" spans="40:55">
      <c r="AN1528" s="454"/>
      <c r="BC1528" s="169"/>
    </row>
    <row r="1529" spans="40:55">
      <c r="AN1529" s="454"/>
      <c r="BC1529" s="169"/>
    </row>
    <row r="1530" spans="40:55">
      <c r="AN1530" s="454"/>
      <c r="BC1530" s="169"/>
    </row>
    <row r="1531" spans="40:55">
      <c r="AN1531" s="454"/>
      <c r="BC1531" s="169"/>
    </row>
    <row r="1532" spans="40:55">
      <c r="AN1532" s="454"/>
      <c r="BC1532" s="169"/>
    </row>
    <row r="1533" spans="40:55">
      <c r="AN1533" s="454"/>
      <c r="BC1533" s="169"/>
    </row>
    <row r="1534" spans="40:55">
      <c r="AN1534" s="454"/>
      <c r="BC1534" s="169"/>
    </row>
    <row r="1535" spans="40:55">
      <c r="AN1535" s="454"/>
      <c r="BC1535" s="169"/>
    </row>
    <row r="1536" spans="40:55">
      <c r="AN1536" s="454"/>
      <c r="BC1536" s="169"/>
    </row>
    <row r="1537" spans="40:55">
      <c r="AN1537" s="454"/>
      <c r="BC1537" s="169"/>
    </row>
    <row r="1538" spans="40:55">
      <c r="AN1538" s="454"/>
      <c r="BC1538" s="169"/>
    </row>
    <row r="1539" spans="40:55">
      <c r="AN1539" s="454"/>
      <c r="BC1539" s="169"/>
    </row>
    <row r="1540" spans="40:55">
      <c r="AN1540" s="454"/>
      <c r="BC1540" s="169"/>
    </row>
    <row r="1541" spans="40:55">
      <c r="AN1541" s="454"/>
      <c r="BC1541" s="169"/>
    </row>
    <row r="1542" spans="40:55">
      <c r="AN1542" s="454"/>
      <c r="BC1542" s="169"/>
    </row>
    <row r="1543" spans="40:55">
      <c r="AN1543" s="454"/>
      <c r="BC1543" s="169"/>
    </row>
    <row r="1544" spans="40:55">
      <c r="AN1544" s="454"/>
      <c r="BC1544" s="169"/>
    </row>
    <row r="1545" spans="40:55">
      <c r="AN1545" s="454"/>
      <c r="BC1545" s="169"/>
    </row>
    <row r="1546" spans="40:55">
      <c r="AN1546" s="454"/>
      <c r="BC1546" s="169"/>
    </row>
    <row r="1547" spans="40:55">
      <c r="AN1547" s="454"/>
      <c r="BC1547" s="169"/>
    </row>
    <row r="1548" spans="40:55">
      <c r="AN1548" s="454"/>
      <c r="BC1548" s="169"/>
    </row>
    <row r="1549" spans="40:55">
      <c r="AN1549" s="454"/>
      <c r="BC1549" s="169"/>
    </row>
    <row r="1550" spans="40:55">
      <c r="AN1550" s="454"/>
      <c r="BC1550" s="169"/>
    </row>
    <row r="1551" spans="40:55">
      <c r="AN1551" s="454"/>
      <c r="BC1551" s="169"/>
    </row>
    <row r="1552" spans="40:55">
      <c r="AN1552" s="454"/>
      <c r="BC1552" s="169"/>
    </row>
    <row r="1553" spans="40:55">
      <c r="AN1553" s="454"/>
      <c r="BC1553" s="169"/>
    </row>
    <row r="1554" spans="40:55">
      <c r="AN1554" s="454"/>
      <c r="BC1554" s="169"/>
    </row>
    <row r="1555" spans="40:55">
      <c r="AN1555" s="454"/>
      <c r="BC1555" s="169"/>
    </row>
    <row r="1556" spans="40:55">
      <c r="AN1556" s="454"/>
      <c r="BC1556" s="169"/>
    </row>
    <row r="1557" spans="40:55">
      <c r="AN1557" s="454"/>
      <c r="BC1557" s="169"/>
    </row>
    <row r="1558" spans="40:55">
      <c r="AN1558" s="454"/>
      <c r="BC1558" s="169"/>
    </row>
    <row r="1559" spans="40:55">
      <c r="AN1559" s="454"/>
      <c r="BC1559" s="169"/>
    </row>
    <row r="1560" spans="40:55">
      <c r="AN1560" s="454"/>
      <c r="BC1560" s="169"/>
    </row>
    <row r="1561" spans="40:55">
      <c r="AN1561" s="454"/>
      <c r="BC1561" s="169"/>
    </row>
    <row r="1562" spans="40:55">
      <c r="AN1562" s="454"/>
      <c r="BC1562" s="169"/>
    </row>
    <row r="1563" spans="40:55">
      <c r="AN1563" s="454"/>
      <c r="BC1563" s="169"/>
    </row>
    <row r="1564" spans="40:55">
      <c r="AN1564" s="454"/>
      <c r="BC1564" s="169"/>
    </row>
    <row r="1565" spans="40:55">
      <c r="AN1565" s="454"/>
      <c r="BC1565" s="169"/>
    </row>
    <row r="1566" spans="40:55">
      <c r="AN1566" s="454"/>
      <c r="BC1566" s="169"/>
    </row>
    <row r="1567" spans="40:55">
      <c r="AN1567" s="454"/>
      <c r="BC1567" s="169"/>
    </row>
    <row r="1568" spans="40:55">
      <c r="AN1568" s="454"/>
      <c r="BC1568" s="169"/>
    </row>
    <row r="1569" spans="40:55">
      <c r="AN1569" s="454"/>
      <c r="BC1569" s="169"/>
    </row>
    <row r="1570" spans="40:55">
      <c r="AN1570" s="454"/>
      <c r="BC1570" s="169"/>
    </row>
    <row r="1571" spans="40:55">
      <c r="AN1571" s="454"/>
      <c r="BC1571" s="169"/>
    </row>
    <row r="1572" spans="40:55">
      <c r="AN1572" s="454"/>
      <c r="BC1572" s="169"/>
    </row>
    <row r="1573" spans="40:55">
      <c r="AN1573" s="454"/>
      <c r="BC1573" s="169"/>
    </row>
    <row r="1574" spans="40:55">
      <c r="AN1574" s="454"/>
      <c r="BC1574" s="169"/>
    </row>
    <row r="1575" spans="40:55">
      <c r="AN1575" s="454"/>
      <c r="BC1575" s="169"/>
    </row>
    <row r="1576" spans="40:55">
      <c r="AN1576" s="454"/>
      <c r="BC1576" s="169"/>
    </row>
    <row r="1577" spans="40:55">
      <c r="AN1577" s="454"/>
      <c r="BC1577" s="169"/>
    </row>
    <row r="1578" spans="40:55">
      <c r="AN1578" s="454"/>
      <c r="BC1578" s="169"/>
    </row>
    <row r="1579" spans="40:55">
      <c r="AN1579" s="454"/>
      <c r="BC1579" s="169"/>
    </row>
    <row r="1580" spans="40:55">
      <c r="AN1580" s="454"/>
      <c r="BC1580" s="169"/>
    </row>
    <row r="1581" spans="40:55">
      <c r="AN1581" s="454"/>
      <c r="BC1581" s="169"/>
    </row>
    <row r="1582" spans="40:55">
      <c r="AN1582" s="454"/>
      <c r="BC1582" s="169"/>
    </row>
    <row r="1583" spans="40:55">
      <c r="AN1583" s="454"/>
      <c r="BC1583" s="169"/>
    </row>
    <row r="1584" spans="40:55">
      <c r="AN1584" s="454"/>
      <c r="BC1584" s="169"/>
    </row>
    <row r="1585" spans="40:55">
      <c r="AN1585" s="454"/>
      <c r="BC1585" s="169"/>
    </row>
    <row r="1586" spans="40:55">
      <c r="AN1586" s="454"/>
      <c r="BC1586" s="169"/>
    </row>
    <row r="1587" spans="40:55">
      <c r="AN1587" s="454"/>
      <c r="BC1587" s="169"/>
    </row>
    <row r="1588" spans="40:55">
      <c r="AN1588" s="454"/>
      <c r="BC1588" s="169"/>
    </row>
    <row r="1589" spans="40:55">
      <c r="AN1589" s="454"/>
      <c r="BC1589" s="169"/>
    </row>
    <row r="1590" spans="40:55">
      <c r="AN1590" s="454"/>
      <c r="BC1590" s="169"/>
    </row>
    <row r="1591" spans="40:55">
      <c r="AN1591" s="454"/>
      <c r="BC1591" s="169"/>
    </row>
    <row r="1592" spans="40:55">
      <c r="AN1592" s="454"/>
      <c r="BC1592" s="169"/>
    </row>
    <row r="1593" spans="40:55">
      <c r="AN1593" s="454"/>
      <c r="BC1593" s="169"/>
    </row>
    <row r="1594" spans="40:55">
      <c r="AN1594" s="454"/>
      <c r="BC1594" s="169"/>
    </row>
    <row r="1595" spans="40:55">
      <c r="AN1595" s="454"/>
      <c r="BC1595" s="169"/>
    </row>
    <row r="1596" spans="40:55">
      <c r="AN1596" s="454"/>
      <c r="BC1596" s="169"/>
    </row>
    <row r="1597" spans="40:55">
      <c r="AN1597" s="454"/>
      <c r="BC1597" s="169"/>
    </row>
    <row r="1598" spans="40:55">
      <c r="AN1598" s="454"/>
      <c r="BC1598" s="169"/>
    </row>
    <row r="1599" spans="40:55">
      <c r="AN1599" s="454"/>
      <c r="BC1599" s="169"/>
    </row>
    <row r="1600" spans="40:55">
      <c r="AN1600" s="454"/>
      <c r="BC1600" s="169"/>
    </row>
    <row r="1601" spans="40:55">
      <c r="AN1601" s="454"/>
      <c r="BC1601" s="169"/>
    </row>
    <row r="1602" spans="40:55">
      <c r="AN1602" s="454"/>
      <c r="BC1602" s="169"/>
    </row>
    <row r="1603" spans="40:55">
      <c r="AN1603" s="454"/>
      <c r="BC1603" s="169"/>
    </row>
    <row r="1604" spans="40:55">
      <c r="AN1604" s="454"/>
      <c r="BC1604" s="169"/>
    </row>
    <row r="1605" spans="40:55">
      <c r="AN1605" s="454"/>
      <c r="BC1605" s="169"/>
    </row>
    <row r="1606" spans="40:55">
      <c r="AN1606" s="454"/>
      <c r="BC1606" s="169"/>
    </row>
    <row r="1607" spans="40:55">
      <c r="AN1607" s="454"/>
      <c r="BC1607" s="169"/>
    </row>
    <row r="1608" spans="40:55">
      <c r="AN1608" s="454"/>
      <c r="BC1608" s="169"/>
    </row>
    <row r="1609" spans="40:55">
      <c r="AN1609" s="454"/>
      <c r="BC1609" s="169"/>
    </row>
    <row r="1610" spans="40:55">
      <c r="AN1610" s="454"/>
      <c r="BC1610" s="169"/>
    </row>
    <row r="1611" spans="40:55">
      <c r="AN1611" s="454"/>
      <c r="BC1611" s="169"/>
    </row>
    <row r="1612" spans="40:55">
      <c r="AN1612" s="454"/>
      <c r="BC1612" s="169"/>
    </row>
    <row r="1613" spans="40:55">
      <c r="AN1613" s="454"/>
      <c r="BC1613" s="169"/>
    </row>
    <row r="1614" spans="40:55">
      <c r="AN1614" s="454"/>
      <c r="BC1614" s="169"/>
    </row>
    <row r="1615" spans="40:55">
      <c r="AN1615" s="454"/>
      <c r="BC1615" s="169"/>
    </row>
    <row r="1616" spans="40:55">
      <c r="AN1616" s="454"/>
      <c r="BC1616" s="169"/>
    </row>
    <row r="1617" spans="40:55">
      <c r="AN1617" s="454"/>
      <c r="BC1617" s="169"/>
    </row>
    <row r="1618" spans="40:55">
      <c r="AN1618" s="454"/>
      <c r="BC1618" s="169"/>
    </row>
    <row r="1619" spans="40:55">
      <c r="AN1619" s="454"/>
      <c r="BC1619" s="169"/>
    </row>
    <row r="1620" spans="40:55">
      <c r="AN1620" s="454"/>
      <c r="BC1620" s="169"/>
    </row>
    <row r="1621" spans="40:55">
      <c r="AN1621" s="454"/>
      <c r="BC1621" s="169"/>
    </row>
    <row r="1622" spans="40:55">
      <c r="AN1622" s="454"/>
      <c r="BC1622" s="169"/>
    </row>
    <row r="1623" spans="40:55">
      <c r="AN1623" s="454"/>
      <c r="BC1623" s="169"/>
    </row>
    <row r="1624" spans="40:55">
      <c r="AN1624" s="454"/>
      <c r="BC1624" s="169"/>
    </row>
    <row r="1625" spans="40:55">
      <c r="AN1625" s="454"/>
      <c r="BC1625" s="169"/>
    </row>
    <row r="1626" spans="40:55">
      <c r="AN1626" s="454"/>
      <c r="BC1626" s="169"/>
    </row>
    <row r="1627" spans="40:55">
      <c r="AN1627" s="454"/>
      <c r="BC1627" s="169"/>
    </row>
    <row r="1628" spans="40:55">
      <c r="AN1628" s="454"/>
      <c r="BC1628" s="169"/>
    </row>
    <row r="1629" spans="40:55">
      <c r="AN1629" s="454"/>
      <c r="BC1629" s="169"/>
    </row>
    <row r="1630" spans="40:55">
      <c r="AN1630" s="454"/>
      <c r="BC1630" s="169"/>
    </row>
    <row r="1631" spans="40:55">
      <c r="AN1631" s="454"/>
      <c r="BC1631" s="169"/>
    </row>
    <row r="1632" spans="40:55">
      <c r="AN1632" s="454"/>
      <c r="BC1632" s="169"/>
    </row>
    <row r="1633" spans="40:55">
      <c r="AN1633" s="454"/>
      <c r="BC1633" s="169"/>
    </row>
    <row r="1634" spans="40:55">
      <c r="AN1634" s="454"/>
      <c r="BC1634" s="169"/>
    </row>
    <row r="1635" spans="40:55">
      <c r="AN1635" s="454"/>
      <c r="BC1635" s="169"/>
    </row>
    <row r="1636" spans="40:55">
      <c r="AN1636" s="454"/>
      <c r="BC1636" s="169"/>
    </row>
    <row r="1637" spans="40:55">
      <c r="AN1637" s="454"/>
      <c r="BC1637" s="169"/>
    </row>
    <row r="1638" spans="40:55">
      <c r="AN1638" s="454"/>
      <c r="BC1638" s="169"/>
    </row>
    <row r="1639" spans="40:55">
      <c r="AN1639" s="454"/>
      <c r="BC1639" s="169"/>
    </row>
    <row r="1640" spans="40:55">
      <c r="AN1640" s="454"/>
      <c r="BC1640" s="169"/>
    </row>
    <row r="1641" spans="40:55">
      <c r="AN1641" s="454"/>
      <c r="BC1641" s="169"/>
    </row>
    <row r="1642" spans="40:55">
      <c r="AN1642" s="454"/>
      <c r="BC1642" s="169"/>
    </row>
    <row r="1643" spans="40:55">
      <c r="AN1643" s="454"/>
      <c r="BC1643" s="169"/>
    </row>
    <row r="1644" spans="40:55">
      <c r="AN1644" s="454"/>
      <c r="BC1644" s="169"/>
    </row>
    <row r="1645" spans="40:55">
      <c r="AN1645" s="454"/>
      <c r="BC1645" s="169"/>
    </row>
    <row r="1646" spans="40:55">
      <c r="AN1646" s="454"/>
      <c r="BC1646" s="169"/>
    </row>
    <row r="1647" spans="40:55">
      <c r="AN1647" s="454"/>
      <c r="BC1647" s="169"/>
    </row>
    <row r="1648" spans="40:55">
      <c r="AN1648" s="454"/>
      <c r="BC1648" s="169"/>
    </row>
    <row r="1649" spans="40:55">
      <c r="AN1649" s="454"/>
      <c r="BC1649" s="169"/>
    </row>
    <row r="1650" spans="40:55">
      <c r="AN1650" s="454"/>
      <c r="BC1650" s="169"/>
    </row>
    <row r="1651" spans="40:55">
      <c r="AN1651" s="454"/>
      <c r="BC1651" s="169"/>
    </row>
    <row r="1652" spans="40:55">
      <c r="AN1652" s="454"/>
      <c r="BC1652" s="169"/>
    </row>
    <row r="1653" spans="40:55">
      <c r="AN1653" s="454"/>
      <c r="BC1653" s="169"/>
    </row>
    <row r="1654" spans="40:55">
      <c r="AN1654" s="454"/>
      <c r="BC1654" s="169"/>
    </row>
    <row r="1655" spans="40:55">
      <c r="AN1655" s="454"/>
      <c r="BC1655" s="169"/>
    </row>
    <row r="1656" spans="40:55">
      <c r="AN1656" s="454"/>
      <c r="BC1656" s="169"/>
    </row>
    <row r="1657" spans="40:55">
      <c r="AN1657" s="454"/>
      <c r="BC1657" s="169"/>
    </row>
    <row r="1658" spans="40:55">
      <c r="AN1658" s="454"/>
      <c r="BC1658" s="169"/>
    </row>
    <row r="1659" spans="40:55">
      <c r="AN1659" s="454"/>
      <c r="BC1659" s="169"/>
    </row>
    <row r="1660" spans="40:55">
      <c r="AN1660" s="454"/>
      <c r="BC1660" s="169"/>
    </row>
    <row r="1661" spans="40:55">
      <c r="AN1661" s="454"/>
      <c r="BC1661" s="169"/>
    </row>
    <row r="1662" spans="40:55">
      <c r="AN1662" s="454"/>
      <c r="BC1662" s="169"/>
    </row>
    <row r="1663" spans="40:55">
      <c r="AN1663" s="454"/>
      <c r="BC1663" s="169"/>
    </row>
    <row r="1664" spans="40:55">
      <c r="AN1664" s="454"/>
      <c r="BC1664" s="169"/>
    </row>
    <row r="1665" spans="40:55">
      <c r="AN1665" s="454"/>
      <c r="BC1665" s="169"/>
    </row>
    <row r="1666" spans="40:55">
      <c r="AN1666" s="454"/>
      <c r="BC1666" s="169"/>
    </row>
    <row r="1667" spans="40:55">
      <c r="AN1667" s="454"/>
      <c r="BC1667" s="169"/>
    </row>
    <row r="1668" spans="40:55">
      <c r="AN1668" s="454"/>
      <c r="BC1668" s="169"/>
    </row>
    <row r="1669" spans="40:55">
      <c r="AN1669" s="454"/>
      <c r="BC1669" s="169"/>
    </row>
    <row r="1670" spans="40:55">
      <c r="AN1670" s="454"/>
      <c r="BC1670" s="169"/>
    </row>
    <row r="1671" spans="40:55">
      <c r="AN1671" s="454"/>
      <c r="BC1671" s="169"/>
    </row>
    <row r="1672" spans="40:55">
      <c r="AN1672" s="454"/>
      <c r="BC1672" s="169"/>
    </row>
    <row r="1673" spans="40:55">
      <c r="AN1673" s="454"/>
      <c r="BC1673" s="169"/>
    </row>
    <row r="1674" spans="40:55">
      <c r="AN1674" s="454"/>
      <c r="BC1674" s="169"/>
    </row>
    <row r="1675" spans="40:55">
      <c r="AN1675" s="454"/>
      <c r="BC1675" s="169"/>
    </row>
    <row r="1676" spans="40:55">
      <c r="AN1676" s="454"/>
      <c r="BC1676" s="169"/>
    </row>
    <row r="1677" spans="40:55">
      <c r="AN1677" s="454"/>
      <c r="BC1677" s="169"/>
    </row>
    <row r="1678" spans="40:55">
      <c r="AN1678" s="454"/>
      <c r="BC1678" s="169"/>
    </row>
    <row r="1679" spans="40:55">
      <c r="AN1679" s="454"/>
      <c r="BC1679" s="169"/>
    </row>
    <row r="1680" spans="40:55">
      <c r="AN1680" s="454"/>
      <c r="BC1680" s="169"/>
    </row>
    <row r="1681" spans="40:55">
      <c r="AN1681" s="454"/>
      <c r="BC1681" s="169"/>
    </row>
    <row r="1682" spans="40:55">
      <c r="AN1682" s="454"/>
      <c r="BC1682" s="169"/>
    </row>
    <row r="1683" spans="40:55">
      <c r="AN1683" s="454"/>
      <c r="BC1683" s="169"/>
    </row>
    <row r="1684" spans="40:55">
      <c r="AN1684" s="454"/>
      <c r="BC1684" s="169"/>
    </row>
    <row r="1685" spans="40:55">
      <c r="AN1685" s="454"/>
      <c r="BC1685" s="169"/>
    </row>
    <row r="1686" spans="40:55">
      <c r="AN1686" s="454"/>
      <c r="BC1686" s="169"/>
    </row>
    <row r="1687" spans="40:55">
      <c r="AN1687" s="454"/>
      <c r="BC1687" s="169"/>
    </row>
    <row r="1688" spans="40:55">
      <c r="AN1688" s="454"/>
      <c r="BC1688" s="169"/>
    </row>
    <row r="1689" spans="40:55">
      <c r="AN1689" s="454"/>
      <c r="BC1689" s="169"/>
    </row>
    <row r="1690" spans="40:55">
      <c r="AN1690" s="454"/>
      <c r="BC1690" s="169"/>
    </row>
    <row r="1691" spans="40:55">
      <c r="AN1691" s="454"/>
      <c r="BC1691" s="169"/>
    </row>
    <row r="1692" spans="40:55">
      <c r="AN1692" s="454"/>
      <c r="BC1692" s="169"/>
    </row>
    <row r="1693" spans="40:55">
      <c r="AN1693" s="454"/>
      <c r="BC1693" s="169"/>
    </row>
    <row r="1694" spans="40:55">
      <c r="AN1694" s="454"/>
      <c r="BC1694" s="169"/>
    </row>
    <row r="1695" spans="40:55">
      <c r="AN1695" s="454"/>
      <c r="BC1695" s="169"/>
    </row>
    <row r="1696" spans="40:55">
      <c r="AN1696" s="454"/>
      <c r="BC1696" s="169"/>
    </row>
    <row r="1697" spans="40:55">
      <c r="AN1697" s="454"/>
      <c r="BC1697" s="169"/>
    </row>
    <row r="1698" spans="40:55">
      <c r="AN1698" s="454"/>
      <c r="BC1698" s="169"/>
    </row>
    <row r="1699" spans="40:55">
      <c r="AN1699" s="454"/>
      <c r="BC1699" s="169"/>
    </row>
    <row r="1700" spans="40:55">
      <c r="AN1700" s="454"/>
      <c r="BC1700" s="169"/>
    </row>
    <row r="1701" spans="40:55">
      <c r="AN1701" s="454"/>
      <c r="BC1701" s="169"/>
    </row>
    <row r="1702" spans="40:55">
      <c r="AN1702" s="454"/>
      <c r="BC1702" s="169"/>
    </row>
    <row r="1703" spans="40:55">
      <c r="AN1703" s="454"/>
      <c r="BC1703" s="169"/>
    </row>
    <row r="1704" spans="40:55">
      <c r="AN1704" s="454"/>
      <c r="BC1704" s="169"/>
    </row>
    <row r="1705" spans="40:55">
      <c r="AN1705" s="454"/>
      <c r="BC1705" s="169"/>
    </row>
    <row r="1706" spans="40:55">
      <c r="AN1706" s="454"/>
      <c r="BC1706" s="169"/>
    </row>
    <row r="1707" spans="40:55">
      <c r="AN1707" s="454"/>
      <c r="BC1707" s="169"/>
    </row>
    <row r="1708" spans="40:55">
      <c r="AN1708" s="454"/>
      <c r="BC1708" s="169"/>
    </row>
    <row r="1709" spans="40:55">
      <c r="AN1709" s="454"/>
      <c r="BC1709" s="169"/>
    </row>
    <row r="1710" spans="40:55">
      <c r="AN1710" s="454"/>
      <c r="BC1710" s="169"/>
    </row>
    <row r="1711" spans="40:55">
      <c r="AN1711" s="454"/>
      <c r="BC1711" s="169"/>
    </row>
    <row r="1712" spans="40:55">
      <c r="AN1712" s="454"/>
      <c r="BC1712" s="169"/>
    </row>
    <row r="1713" spans="40:55">
      <c r="AN1713" s="454"/>
      <c r="BC1713" s="169"/>
    </row>
    <row r="1714" spans="40:55">
      <c r="AN1714" s="454"/>
      <c r="BC1714" s="169"/>
    </row>
    <row r="1715" spans="40:55">
      <c r="AN1715" s="454"/>
      <c r="BC1715" s="169"/>
    </row>
    <row r="1716" spans="40:55">
      <c r="AN1716" s="454"/>
      <c r="BC1716" s="169"/>
    </row>
    <row r="1717" spans="40:55">
      <c r="AN1717" s="454"/>
      <c r="BC1717" s="169"/>
    </row>
    <row r="1718" spans="40:55">
      <c r="AN1718" s="454"/>
      <c r="BC1718" s="169"/>
    </row>
    <row r="1719" spans="40:55">
      <c r="AN1719" s="454"/>
      <c r="BC1719" s="169"/>
    </row>
    <row r="1720" spans="40:55">
      <c r="AN1720" s="454"/>
      <c r="BC1720" s="169"/>
    </row>
    <row r="1721" spans="40:55">
      <c r="AN1721" s="454"/>
      <c r="BC1721" s="169"/>
    </row>
    <row r="1722" spans="40:55">
      <c r="AN1722" s="454"/>
      <c r="BC1722" s="169"/>
    </row>
    <row r="1723" spans="40:55">
      <c r="AN1723" s="454"/>
      <c r="BC1723" s="169"/>
    </row>
    <row r="1724" spans="40:55">
      <c r="AN1724" s="454"/>
      <c r="BC1724" s="169"/>
    </row>
    <row r="1725" spans="40:55">
      <c r="AN1725" s="454"/>
      <c r="BC1725" s="169"/>
    </row>
    <row r="1726" spans="40:55">
      <c r="AN1726" s="454"/>
      <c r="BC1726" s="169"/>
    </row>
    <row r="1727" spans="40:55">
      <c r="AN1727" s="454"/>
      <c r="BC1727" s="169"/>
    </row>
    <row r="1728" spans="40:55">
      <c r="AN1728" s="454"/>
      <c r="BC1728" s="169"/>
    </row>
    <row r="1729" spans="40:55">
      <c r="AN1729" s="454"/>
      <c r="BC1729" s="169"/>
    </row>
    <row r="1730" spans="40:55">
      <c r="AN1730" s="454"/>
      <c r="BC1730" s="169"/>
    </row>
    <row r="1731" spans="40:55">
      <c r="AN1731" s="454"/>
      <c r="BC1731" s="169"/>
    </row>
    <row r="1732" spans="40:55">
      <c r="AN1732" s="454"/>
      <c r="BC1732" s="169"/>
    </row>
    <row r="1733" spans="40:55">
      <c r="AN1733" s="454"/>
      <c r="BC1733" s="169"/>
    </row>
    <row r="1734" spans="40:55">
      <c r="AN1734" s="454"/>
      <c r="BC1734" s="169"/>
    </row>
    <row r="1735" spans="40:55">
      <c r="AN1735" s="454"/>
      <c r="BC1735" s="169"/>
    </row>
    <row r="1736" spans="40:55">
      <c r="AN1736" s="454"/>
      <c r="BC1736" s="169"/>
    </row>
    <row r="1737" spans="40:55">
      <c r="AN1737" s="454"/>
      <c r="BC1737" s="169"/>
    </row>
    <row r="1738" spans="40:55">
      <c r="AN1738" s="454"/>
      <c r="BC1738" s="169"/>
    </row>
    <row r="1739" spans="40:55">
      <c r="AN1739" s="454"/>
      <c r="BC1739" s="169"/>
    </row>
    <row r="1740" spans="40:55">
      <c r="AN1740" s="454"/>
      <c r="BC1740" s="169"/>
    </row>
    <row r="1741" spans="40:55">
      <c r="AN1741" s="454"/>
      <c r="BC1741" s="169"/>
    </row>
    <row r="1742" spans="40:55">
      <c r="AN1742" s="454"/>
      <c r="BC1742" s="169"/>
    </row>
    <row r="1743" spans="40:55">
      <c r="AN1743" s="454"/>
      <c r="BC1743" s="169"/>
    </row>
    <row r="1744" spans="40:55">
      <c r="AN1744" s="454"/>
      <c r="BC1744" s="169"/>
    </row>
    <row r="1745" spans="40:55">
      <c r="AN1745" s="454"/>
      <c r="BC1745" s="169"/>
    </row>
    <row r="1746" spans="40:55">
      <c r="AN1746" s="454"/>
      <c r="BC1746" s="169"/>
    </row>
    <row r="1747" spans="40:55">
      <c r="AN1747" s="454"/>
      <c r="BC1747" s="169"/>
    </row>
    <row r="1748" spans="40:55">
      <c r="AN1748" s="454"/>
      <c r="BC1748" s="169"/>
    </row>
    <row r="1749" spans="40:55">
      <c r="AN1749" s="454"/>
      <c r="BC1749" s="169"/>
    </row>
    <row r="1750" spans="40:55">
      <c r="AN1750" s="454"/>
      <c r="BC1750" s="169"/>
    </row>
    <row r="1751" spans="40:55">
      <c r="AN1751" s="454"/>
      <c r="BC1751" s="169"/>
    </row>
    <row r="1752" spans="40:55">
      <c r="AN1752" s="454"/>
      <c r="BC1752" s="169"/>
    </row>
    <row r="1753" spans="40:55">
      <c r="AN1753" s="454"/>
      <c r="BC1753" s="169"/>
    </row>
    <row r="1754" spans="40:55">
      <c r="AN1754" s="454"/>
      <c r="BC1754" s="169"/>
    </row>
    <row r="1755" spans="40:55">
      <c r="AN1755" s="454"/>
      <c r="BC1755" s="169"/>
    </row>
    <row r="1756" spans="40:55">
      <c r="AN1756" s="454"/>
      <c r="BC1756" s="169"/>
    </row>
    <row r="1757" spans="40:55">
      <c r="AN1757" s="454"/>
      <c r="BC1757" s="169"/>
    </row>
    <row r="1758" spans="40:55">
      <c r="AN1758" s="454"/>
      <c r="BC1758" s="169"/>
    </row>
    <row r="1759" spans="40:55">
      <c r="AN1759" s="454"/>
      <c r="BC1759" s="169"/>
    </row>
    <row r="1760" spans="40:55">
      <c r="AN1760" s="454"/>
      <c r="BC1760" s="169"/>
    </row>
    <row r="1761" spans="40:55">
      <c r="AN1761" s="454"/>
      <c r="BC1761" s="169"/>
    </row>
    <row r="1762" spans="40:55">
      <c r="AN1762" s="454"/>
      <c r="BC1762" s="169"/>
    </row>
    <row r="1763" spans="40:55">
      <c r="AN1763" s="454"/>
      <c r="BC1763" s="169"/>
    </row>
    <row r="1764" spans="40:55">
      <c r="AN1764" s="454"/>
      <c r="BC1764" s="169"/>
    </row>
    <row r="1765" spans="40:55">
      <c r="AN1765" s="454"/>
      <c r="BC1765" s="169"/>
    </row>
    <row r="1766" spans="40:55">
      <c r="AN1766" s="454"/>
      <c r="BC1766" s="169"/>
    </row>
    <row r="1767" spans="40:55">
      <c r="AN1767" s="454"/>
      <c r="BC1767" s="169"/>
    </row>
    <row r="1768" spans="40:55">
      <c r="AN1768" s="454"/>
      <c r="BC1768" s="169"/>
    </row>
    <row r="1769" spans="40:55">
      <c r="AN1769" s="454"/>
      <c r="BC1769" s="169"/>
    </row>
    <row r="1770" spans="40:55">
      <c r="AN1770" s="454"/>
      <c r="BC1770" s="169"/>
    </row>
    <row r="1771" spans="40:55">
      <c r="AN1771" s="454"/>
      <c r="BC1771" s="169"/>
    </row>
    <row r="1772" spans="40:55">
      <c r="AN1772" s="454"/>
      <c r="BC1772" s="169"/>
    </row>
    <row r="1773" spans="40:55">
      <c r="AN1773" s="454"/>
      <c r="BC1773" s="169"/>
    </row>
    <row r="1774" spans="40:55">
      <c r="AN1774" s="454"/>
      <c r="BC1774" s="169"/>
    </row>
    <row r="1775" spans="40:55">
      <c r="AN1775" s="454"/>
      <c r="BC1775" s="169"/>
    </row>
    <row r="1776" spans="40:55">
      <c r="AN1776" s="454"/>
      <c r="BC1776" s="169"/>
    </row>
    <row r="1777" spans="40:55">
      <c r="AN1777" s="454"/>
      <c r="BC1777" s="169"/>
    </row>
    <row r="1778" spans="40:55">
      <c r="AN1778" s="454"/>
      <c r="BC1778" s="169"/>
    </row>
    <row r="1779" spans="40:55">
      <c r="AN1779" s="454"/>
      <c r="BC1779" s="169"/>
    </row>
    <row r="1780" spans="40:55">
      <c r="AN1780" s="454"/>
      <c r="BC1780" s="169"/>
    </row>
    <row r="1781" spans="40:55">
      <c r="AN1781" s="454"/>
      <c r="BC1781" s="169"/>
    </row>
    <row r="1782" spans="40:55">
      <c r="AN1782" s="454"/>
      <c r="BC1782" s="169"/>
    </row>
    <row r="1783" spans="40:55">
      <c r="AN1783" s="454"/>
      <c r="BC1783" s="169"/>
    </row>
    <row r="1784" spans="40:55">
      <c r="AN1784" s="454"/>
      <c r="BC1784" s="169"/>
    </row>
    <row r="1785" spans="40:55">
      <c r="AN1785" s="454"/>
      <c r="BC1785" s="169"/>
    </row>
    <row r="1786" spans="40:55">
      <c r="AN1786" s="454"/>
      <c r="BC1786" s="169"/>
    </row>
    <row r="1787" spans="40:55">
      <c r="AN1787" s="454"/>
      <c r="BC1787" s="169"/>
    </row>
    <row r="1788" spans="40:55">
      <c r="AN1788" s="454"/>
      <c r="BC1788" s="169"/>
    </row>
    <row r="1789" spans="40:55">
      <c r="AN1789" s="454"/>
      <c r="BC1789" s="169"/>
    </row>
    <row r="1790" spans="40:55">
      <c r="AN1790" s="454"/>
      <c r="BC1790" s="169"/>
    </row>
    <row r="1791" spans="40:55">
      <c r="AN1791" s="454"/>
      <c r="BC1791" s="169"/>
    </row>
    <row r="1792" spans="40:55">
      <c r="AN1792" s="454"/>
      <c r="BC1792" s="169"/>
    </row>
    <row r="1793" spans="40:55">
      <c r="AN1793" s="454"/>
      <c r="BC1793" s="169"/>
    </row>
    <row r="1794" spans="40:55">
      <c r="AN1794" s="454"/>
      <c r="BC1794" s="169"/>
    </row>
    <row r="1795" spans="40:55">
      <c r="AN1795" s="454"/>
      <c r="BC1795" s="169"/>
    </row>
    <row r="1796" spans="40:55">
      <c r="AN1796" s="454"/>
      <c r="BC1796" s="169"/>
    </row>
    <row r="1797" spans="40:55">
      <c r="AN1797" s="454"/>
      <c r="BC1797" s="169"/>
    </row>
    <row r="1798" spans="40:55">
      <c r="AN1798" s="454"/>
      <c r="BC1798" s="169"/>
    </row>
    <row r="1799" spans="40:55">
      <c r="AN1799" s="454"/>
      <c r="BC1799" s="169"/>
    </row>
    <row r="1800" spans="40:55">
      <c r="AN1800" s="454"/>
      <c r="BC1800" s="169"/>
    </row>
    <row r="1801" spans="40:55">
      <c r="AN1801" s="454"/>
      <c r="BC1801" s="169"/>
    </row>
    <row r="1802" spans="40:55">
      <c r="AN1802" s="454"/>
      <c r="BC1802" s="169"/>
    </row>
    <row r="1803" spans="40:55">
      <c r="AN1803" s="454"/>
      <c r="BC1803" s="169"/>
    </row>
    <row r="1804" spans="40:55">
      <c r="AN1804" s="454"/>
      <c r="BC1804" s="169"/>
    </row>
    <row r="1805" spans="40:55">
      <c r="AN1805" s="454"/>
      <c r="BC1805" s="169"/>
    </row>
    <row r="1806" spans="40:55">
      <c r="AN1806" s="454"/>
      <c r="BC1806" s="169"/>
    </row>
    <row r="1807" spans="40:55">
      <c r="AN1807" s="454"/>
      <c r="BC1807" s="169"/>
    </row>
    <row r="1808" spans="40:55">
      <c r="AN1808" s="454"/>
      <c r="BC1808" s="169"/>
    </row>
    <row r="1809" spans="40:55">
      <c r="AN1809" s="454"/>
      <c r="BC1809" s="169"/>
    </row>
    <row r="1810" spans="40:55">
      <c r="AN1810" s="454"/>
      <c r="BC1810" s="169"/>
    </row>
    <row r="1811" spans="40:55">
      <c r="AN1811" s="454"/>
      <c r="BC1811" s="169"/>
    </row>
    <row r="1812" spans="40:55">
      <c r="AN1812" s="454"/>
      <c r="BC1812" s="169"/>
    </row>
    <row r="1813" spans="40:55">
      <c r="AN1813" s="454"/>
      <c r="BC1813" s="169"/>
    </row>
    <row r="1814" spans="40:55">
      <c r="AN1814" s="454"/>
      <c r="BC1814" s="169"/>
    </row>
    <row r="1815" spans="40:55">
      <c r="AN1815" s="454"/>
      <c r="BC1815" s="169"/>
    </row>
    <row r="1816" spans="40:55">
      <c r="AN1816" s="454"/>
      <c r="BC1816" s="169"/>
    </row>
    <row r="1817" spans="40:55">
      <c r="AN1817" s="454"/>
      <c r="BC1817" s="169"/>
    </row>
    <row r="1818" spans="40:55">
      <c r="AN1818" s="454"/>
      <c r="BC1818" s="169"/>
    </row>
    <row r="1819" spans="40:55">
      <c r="AN1819" s="454"/>
      <c r="BC1819" s="169"/>
    </row>
    <row r="1820" spans="40:55">
      <c r="AN1820" s="454"/>
      <c r="BC1820" s="169"/>
    </row>
    <row r="1821" spans="40:55">
      <c r="AN1821" s="454"/>
      <c r="BC1821" s="169"/>
    </row>
    <row r="1822" spans="40:55">
      <c r="AN1822" s="454"/>
      <c r="BC1822" s="169"/>
    </row>
    <row r="1823" spans="40:55">
      <c r="AN1823" s="454"/>
      <c r="BC1823" s="169"/>
    </row>
    <row r="1824" spans="40:55">
      <c r="AN1824" s="454"/>
      <c r="BC1824" s="169"/>
    </row>
    <row r="1825" spans="40:55">
      <c r="AN1825" s="454"/>
      <c r="BC1825" s="169"/>
    </row>
    <row r="1826" spans="40:55">
      <c r="AN1826" s="454"/>
      <c r="BC1826" s="169"/>
    </row>
    <row r="1827" spans="40:55">
      <c r="AN1827" s="454"/>
      <c r="BC1827" s="169"/>
    </row>
    <row r="1828" spans="40:55">
      <c r="AN1828" s="454"/>
      <c r="BC1828" s="169"/>
    </row>
    <row r="1829" spans="40:55">
      <c r="AN1829" s="454"/>
      <c r="BC1829" s="169"/>
    </row>
    <row r="1830" spans="40:55">
      <c r="AN1830" s="454"/>
      <c r="BC1830" s="169"/>
    </row>
    <row r="1831" spans="40:55">
      <c r="AN1831" s="454"/>
      <c r="BC1831" s="169"/>
    </row>
    <row r="1832" spans="40:55">
      <c r="AN1832" s="454"/>
      <c r="BC1832" s="169"/>
    </row>
    <row r="1833" spans="40:55">
      <c r="AN1833" s="454"/>
      <c r="BC1833" s="169"/>
    </row>
    <row r="1834" spans="40:55">
      <c r="AN1834" s="454"/>
      <c r="BC1834" s="169"/>
    </row>
    <row r="1835" spans="40:55">
      <c r="AN1835" s="454"/>
      <c r="BC1835" s="169"/>
    </row>
    <row r="1836" spans="40:55">
      <c r="AN1836" s="454"/>
      <c r="BC1836" s="169"/>
    </row>
    <row r="1837" spans="40:55">
      <c r="AN1837" s="454"/>
      <c r="BC1837" s="169"/>
    </row>
    <row r="1838" spans="40:55">
      <c r="AN1838" s="454"/>
      <c r="BC1838" s="169"/>
    </row>
    <row r="1839" spans="40:55">
      <c r="AN1839" s="454"/>
      <c r="BC1839" s="169"/>
    </row>
    <row r="1840" spans="40:55">
      <c r="AN1840" s="454"/>
      <c r="BC1840" s="169"/>
    </row>
    <row r="1841" spans="40:55">
      <c r="AN1841" s="454"/>
      <c r="BC1841" s="169"/>
    </row>
    <row r="1842" spans="40:55">
      <c r="AN1842" s="454"/>
      <c r="BC1842" s="169"/>
    </row>
    <row r="1843" spans="40:55">
      <c r="AN1843" s="454"/>
      <c r="BC1843" s="169"/>
    </row>
    <row r="1844" spans="40:55">
      <c r="AN1844" s="454"/>
      <c r="BC1844" s="169"/>
    </row>
    <row r="1845" spans="40:55">
      <c r="AN1845" s="454"/>
      <c r="BC1845" s="169"/>
    </row>
    <row r="1846" spans="40:55">
      <c r="AN1846" s="454"/>
      <c r="BC1846" s="169"/>
    </row>
    <row r="1847" spans="40:55">
      <c r="AN1847" s="454"/>
      <c r="BC1847" s="169"/>
    </row>
    <row r="1848" spans="40:55">
      <c r="AN1848" s="454"/>
      <c r="BC1848" s="169"/>
    </row>
    <row r="1849" spans="40:55">
      <c r="AN1849" s="454"/>
      <c r="BC1849" s="169"/>
    </row>
    <row r="1850" spans="40:55">
      <c r="AN1850" s="454"/>
      <c r="BC1850" s="169"/>
    </row>
    <row r="1851" spans="40:55">
      <c r="AN1851" s="454"/>
      <c r="BC1851" s="169"/>
    </row>
    <row r="1852" spans="40:55">
      <c r="AN1852" s="454"/>
      <c r="BC1852" s="169"/>
    </row>
    <row r="1853" spans="40:55">
      <c r="AN1853" s="454"/>
      <c r="BC1853" s="169"/>
    </row>
    <row r="1854" spans="40:55">
      <c r="AN1854" s="454"/>
      <c r="BC1854" s="169"/>
    </row>
    <row r="1855" spans="40:55">
      <c r="AN1855" s="454"/>
      <c r="BC1855" s="169"/>
    </row>
    <row r="1856" spans="40:55">
      <c r="AN1856" s="454"/>
      <c r="BC1856" s="169"/>
    </row>
    <row r="1857" spans="40:55">
      <c r="AN1857" s="454"/>
      <c r="BC1857" s="169"/>
    </row>
    <row r="1858" spans="40:55">
      <c r="AN1858" s="454"/>
      <c r="BC1858" s="169"/>
    </row>
    <row r="1859" spans="40:55">
      <c r="AN1859" s="454"/>
      <c r="BC1859" s="169"/>
    </row>
    <row r="1860" spans="40:55">
      <c r="AN1860" s="454"/>
      <c r="BC1860" s="169"/>
    </row>
    <row r="1861" spans="40:55">
      <c r="AN1861" s="454"/>
      <c r="BC1861" s="169"/>
    </row>
    <row r="1862" spans="40:55">
      <c r="AN1862" s="454"/>
      <c r="BC1862" s="169"/>
    </row>
    <row r="1863" spans="40:55">
      <c r="AN1863" s="454"/>
      <c r="BC1863" s="169"/>
    </row>
    <row r="1864" spans="40:55">
      <c r="AN1864" s="454"/>
      <c r="BC1864" s="169"/>
    </row>
    <row r="1865" spans="40:55">
      <c r="AN1865" s="454"/>
      <c r="BC1865" s="169"/>
    </row>
    <row r="1866" spans="40:55">
      <c r="AN1866" s="454"/>
      <c r="BC1866" s="169"/>
    </row>
    <row r="1867" spans="40:55">
      <c r="AN1867" s="454"/>
      <c r="BC1867" s="169"/>
    </row>
    <row r="1868" spans="40:55">
      <c r="AN1868" s="454"/>
      <c r="BC1868" s="169"/>
    </row>
    <row r="1869" spans="40:55">
      <c r="AN1869" s="454"/>
      <c r="BC1869" s="169"/>
    </row>
    <row r="1870" spans="40:55">
      <c r="AN1870" s="454"/>
      <c r="BC1870" s="169"/>
    </row>
    <row r="1871" spans="40:55">
      <c r="AN1871" s="454"/>
      <c r="BC1871" s="169"/>
    </row>
    <row r="1872" spans="40:55">
      <c r="AN1872" s="454"/>
      <c r="BC1872" s="169"/>
    </row>
    <row r="1873" spans="40:55">
      <c r="AN1873" s="454"/>
      <c r="BC1873" s="169"/>
    </row>
    <row r="1874" spans="40:55">
      <c r="AN1874" s="454"/>
      <c r="BC1874" s="169"/>
    </row>
    <row r="1875" spans="40:55">
      <c r="AN1875" s="454"/>
      <c r="BC1875" s="169"/>
    </row>
    <row r="1876" spans="40:55">
      <c r="AN1876" s="454"/>
      <c r="BC1876" s="169"/>
    </row>
    <row r="1877" spans="40:55">
      <c r="AN1877" s="454"/>
      <c r="BC1877" s="169"/>
    </row>
    <row r="1878" spans="40:55">
      <c r="AN1878" s="454"/>
      <c r="BC1878" s="169"/>
    </row>
    <row r="1879" spans="40:55">
      <c r="AN1879" s="454"/>
      <c r="BC1879" s="169"/>
    </row>
    <row r="1880" spans="40:55">
      <c r="AN1880" s="454"/>
      <c r="BC1880" s="169"/>
    </row>
    <row r="1881" spans="40:55">
      <c r="AN1881" s="454"/>
      <c r="BC1881" s="169"/>
    </row>
    <row r="1882" spans="40:55">
      <c r="AN1882" s="454"/>
      <c r="BC1882" s="169"/>
    </row>
    <row r="1883" spans="40:55">
      <c r="AN1883" s="454"/>
      <c r="BC1883" s="169"/>
    </row>
    <row r="1884" spans="40:55">
      <c r="AN1884" s="454"/>
      <c r="BC1884" s="169"/>
    </row>
    <row r="1885" spans="40:55">
      <c r="AN1885" s="454"/>
      <c r="BC1885" s="169"/>
    </row>
    <row r="1886" spans="40:55">
      <c r="AN1886" s="454"/>
      <c r="BC1886" s="169"/>
    </row>
    <row r="1887" spans="40:55">
      <c r="AN1887" s="454"/>
      <c r="BC1887" s="169"/>
    </row>
    <row r="1888" spans="40:55">
      <c r="AN1888" s="454"/>
      <c r="BC1888" s="169"/>
    </row>
    <row r="1889" spans="40:55">
      <c r="AN1889" s="454"/>
      <c r="BC1889" s="169"/>
    </row>
    <row r="1890" spans="40:55">
      <c r="AN1890" s="454"/>
      <c r="BC1890" s="169"/>
    </row>
    <row r="1891" spans="40:55">
      <c r="AN1891" s="454"/>
      <c r="BC1891" s="169"/>
    </row>
    <row r="1892" spans="40:55">
      <c r="AN1892" s="454"/>
      <c r="BC1892" s="169"/>
    </row>
    <row r="1893" spans="40:55">
      <c r="AN1893" s="454"/>
      <c r="BC1893" s="169"/>
    </row>
    <row r="1894" spans="40:55">
      <c r="AN1894" s="454"/>
      <c r="BC1894" s="169"/>
    </row>
    <row r="1895" spans="40:55">
      <c r="AN1895" s="454"/>
      <c r="BC1895" s="169"/>
    </row>
    <row r="1896" spans="40:55">
      <c r="AN1896" s="454"/>
      <c r="BC1896" s="169"/>
    </row>
    <row r="1897" spans="40:55">
      <c r="AN1897" s="454"/>
      <c r="BC1897" s="169"/>
    </row>
    <row r="1898" spans="40:55">
      <c r="AN1898" s="454"/>
      <c r="BC1898" s="169"/>
    </row>
    <row r="1899" spans="40:55">
      <c r="AN1899" s="454"/>
      <c r="BC1899" s="169"/>
    </row>
    <row r="1900" spans="40:55">
      <c r="AN1900" s="454"/>
      <c r="BC1900" s="169"/>
    </row>
    <row r="1901" spans="40:55">
      <c r="AN1901" s="454"/>
      <c r="BC1901" s="169"/>
    </row>
    <row r="1902" spans="40:55">
      <c r="AN1902" s="454"/>
      <c r="BC1902" s="169"/>
    </row>
    <row r="1903" spans="40:55">
      <c r="AN1903" s="454"/>
      <c r="BC1903" s="169"/>
    </row>
    <row r="1904" spans="40:55">
      <c r="AN1904" s="454"/>
      <c r="BC1904" s="169"/>
    </row>
    <row r="1905" spans="40:55">
      <c r="AN1905" s="454"/>
      <c r="BC1905" s="169"/>
    </row>
    <row r="1906" spans="40:55">
      <c r="AN1906" s="454"/>
      <c r="BC1906" s="169"/>
    </row>
    <row r="1907" spans="40:55">
      <c r="AN1907" s="454"/>
      <c r="BC1907" s="169"/>
    </row>
    <row r="1908" spans="40:55">
      <c r="AN1908" s="454"/>
      <c r="BC1908" s="169"/>
    </row>
    <row r="1909" spans="40:55">
      <c r="AN1909" s="454"/>
      <c r="BC1909" s="169"/>
    </row>
    <row r="1910" spans="40:55">
      <c r="AN1910" s="454"/>
      <c r="BC1910" s="169"/>
    </row>
    <row r="1911" spans="40:55">
      <c r="AN1911" s="454"/>
      <c r="BC1911" s="169"/>
    </row>
    <row r="1912" spans="40:55">
      <c r="AN1912" s="454"/>
      <c r="BC1912" s="169"/>
    </row>
    <row r="1913" spans="40:55">
      <c r="AN1913" s="454"/>
      <c r="BC1913" s="169"/>
    </row>
    <row r="1914" spans="40:55">
      <c r="AN1914" s="454"/>
      <c r="BC1914" s="169"/>
    </row>
    <row r="1915" spans="40:55">
      <c r="AN1915" s="454"/>
      <c r="BC1915" s="169"/>
    </row>
    <row r="1916" spans="40:55">
      <c r="AN1916" s="454"/>
      <c r="BC1916" s="169"/>
    </row>
    <row r="1917" spans="40:55">
      <c r="AN1917" s="454"/>
      <c r="BC1917" s="169"/>
    </row>
    <row r="1918" spans="40:55">
      <c r="AN1918" s="454"/>
      <c r="BC1918" s="169"/>
    </row>
    <row r="1919" spans="40:55">
      <c r="AN1919" s="454"/>
      <c r="BC1919" s="169"/>
    </row>
    <row r="1920" spans="40:55">
      <c r="AN1920" s="454"/>
      <c r="BC1920" s="169"/>
    </row>
    <row r="1921" spans="40:55">
      <c r="AN1921" s="454"/>
      <c r="BC1921" s="169"/>
    </row>
    <row r="1922" spans="40:55">
      <c r="AN1922" s="454"/>
      <c r="BC1922" s="169"/>
    </row>
    <row r="1923" spans="40:55">
      <c r="AN1923" s="454"/>
      <c r="BC1923" s="169"/>
    </row>
    <row r="1924" spans="40:55">
      <c r="AN1924" s="454"/>
      <c r="BC1924" s="169"/>
    </row>
    <row r="1925" spans="40:55">
      <c r="AN1925" s="454"/>
      <c r="BC1925" s="169"/>
    </row>
    <row r="1926" spans="40:55">
      <c r="AN1926" s="454"/>
      <c r="BC1926" s="169"/>
    </row>
    <row r="1927" spans="40:55">
      <c r="AN1927" s="454"/>
      <c r="BC1927" s="169"/>
    </row>
    <row r="1928" spans="40:55">
      <c r="AN1928" s="454"/>
      <c r="BC1928" s="169"/>
    </row>
    <row r="1929" spans="40:55">
      <c r="AN1929" s="454"/>
      <c r="BC1929" s="169"/>
    </row>
    <row r="1930" spans="40:55">
      <c r="AN1930" s="454"/>
      <c r="BC1930" s="169"/>
    </row>
    <row r="1931" spans="40:55">
      <c r="AN1931" s="454"/>
      <c r="BC1931" s="169"/>
    </row>
    <row r="1932" spans="40:55">
      <c r="AN1932" s="454"/>
      <c r="BC1932" s="169"/>
    </row>
    <row r="1933" spans="40:55">
      <c r="AN1933" s="454"/>
      <c r="BC1933" s="169"/>
    </row>
    <row r="1934" spans="40:55">
      <c r="AN1934" s="454"/>
      <c r="BC1934" s="169"/>
    </row>
    <row r="1935" spans="40:55">
      <c r="AN1935" s="454"/>
      <c r="BC1935" s="169"/>
    </row>
    <row r="1936" spans="40:55">
      <c r="AN1936" s="454"/>
      <c r="BC1936" s="169"/>
    </row>
    <row r="1937" spans="40:55">
      <c r="AN1937" s="454"/>
      <c r="BC1937" s="169"/>
    </row>
    <row r="1938" spans="40:55">
      <c r="AN1938" s="454"/>
      <c r="BC1938" s="169"/>
    </row>
    <row r="1939" spans="40:55">
      <c r="AN1939" s="454"/>
      <c r="BC1939" s="169"/>
    </row>
    <row r="1940" spans="40:55">
      <c r="AN1940" s="454"/>
      <c r="BC1940" s="169"/>
    </row>
    <row r="1941" spans="40:55">
      <c r="AN1941" s="454"/>
      <c r="BC1941" s="169"/>
    </row>
    <row r="1942" spans="40:55">
      <c r="AN1942" s="454"/>
      <c r="BC1942" s="169"/>
    </row>
    <row r="1943" spans="40:55">
      <c r="AN1943" s="454"/>
      <c r="BC1943" s="169"/>
    </row>
    <row r="1944" spans="40:55">
      <c r="AN1944" s="454"/>
      <c r="BC1944" s="169"/>
    </row>
    <row r="1945" spans="40:55">
      <c r="AN1945" s="454"/>
      <c r="BC1945" s="169"/>
    </row>
    <row r="1946" spans="40:55">
      <c r="AN1946" s="454"/>
      <c r="BC1946" s="169"/>
    </row>
    <row r="1947" spans="40:55">
      <c r="AN1947" s="454"/>
      <c r="BC1947" s="169"/>
    </row>
    <row r="1948" spans="40:55">
      <c r="AN1948" s="454"/>
      <c r="BC1948" s="169"/>
    </row>
    <row r="1949" spans="40:55">
      <c r="AN1949" s="454"/>
      <c r="BC1949" s="169"/>
    </row>
    <row r="1950" spans="40:55">
      <c r="AN1950" s="454"/>
      <c r="BC1950" s="169"/>
    </row>
    <row r="1951" spans="40:55">
      <c r="AN1951" s="454"/>
      <c r="BC1951" s="169"/>
    </row>
    <row r="1952" spans="40:55">
      <c r="AN1952" s="454"/>
      <c r="BC1952" s="169"/>
    </row>
    <row r="1953" spans="40:55">
      <c r="AN1953" s="454"/>
      <c r="BC1953" s="169"/>
    </row>
    <row r="1954" spans="40:55">
      <c r="AN1954" s="454"/>
      <c r="BC1954" s="169"/>
    </row>
    <row r="1955" spans="40:55">
      <c r="AN1955" s="454"/>
      <c r="BC1955" s="169"/>
    </row>
    <row r="1956" spans="40:55">
      <c r="AN1956" s="454"/>
      <c r="BC1956" s="169"/>
    </row>
    <row r="1957" spans="40:55">
      <c r="AN1957" s="454"/>
      <c r="BC1957" s="169"/>
    </row>
    <row r="1958" spans="40:55">
      <c r="AN1958" s="454"/>
      <c r="BC1958" s="169"/>
    </row>
    <row r="1959" spans="40:55">
      <c r="AN1959" s="454"/>
      <c r="BC1959" s="169"/>
    </row>
    <row r="1960" spans="40:55">
      <c r="AN1960" s="454"/>
      <c r="BC1960" s="169"/>
    </row>
    <row r="1961" spans="40:55">
      <c r="AN1961" s="454"/>
      <c r="BC1961" s="169"/>
    </row>
    <row r="1962" spans="40:55">
      <c r="AN1962" s="454"/>
      <c r="BC1962" s="169"/>
    </row>
    <row r="1963" spans="40:55">
      <c r="AN1963" s="454"/>
      <c r="BC1963" s="169"/>
    </row>
    <row r="1964" spans="40:55">
      <c r="AN1964" s="454"/>
      <c r="BC1964" s="169"/>
    </row>
    <row r="1965" spans="40:55">
      <c r="AN1965" s="454"/>
      <c r="BC1965" s="169"/>
    </row>
    <row r="1966" spans="40:55">
      <c r="AN1966" s="454"/>
      <c r="BC1966" s="169"/>
    </row>
    <row r="1967" spans="40:55">
      <c r="AN1967" s="454"/>
      <c r="BC1967" s="169"/>
    </row>
    <row r="1968" spans="40:55">
      <c r="AN1968" s="454"/>
      <c r="BC1968" s="169"/>
    </row>
    <row r="1969" spans="40:55">
      <c r="AN1969" s="454"/>
      <c r="BC1969" s="169"/>
    </row>
    <row r="1970" spans="40:55">
      <c r="AN1970" s="454"/>
      <c r="BC1970" s="169"/>
    </row>
    <row r="1971" spans="40:55">
      <c r="AN1971" s="454"/>
      <c r="BC1971" s="169"/>
    </row>
    <row r="1972" spans="40:55">
      <c r="AN1972" s="454"/>
      <c r="BC1972" s="169"/>
    </row>
    <row r="1973" spans="40:55">
      <c r="AN1973" s="454"/>
      <c r="BC1973" s="169"/>
    </row>
    <row r="1974" spans="40:55">
      <c r="AN1974" s="454"/>
      <c r="BC1974" s="169"/>
    </row>
    <row r="1975" spans="40:55">
      <c r="AN1975" s="454"/>
      <c r="BC1975" s="169"/>
    </row>
    <row r="1976" spans="40:55">
      <c r="AN1976" s="454"/>
      <c r="BC1976" s="169"/>
    </row>
    <row r="1977" spans="40:55">
      <c r="AN1977" s="454"/>
      <c r="BC1977" s="169"/>
    </row>
    <row r="1978" spans="40:55">
      <c r="AN1978" s="454"/>
      <c r="BC1978" s="169"/>
    </row>
    <row r="1979" spans="40:55">
      <c r="AN1979" s="454"/>
      <c r="BC1979" s="169"/>
    </row>
    <row r="1980" spans="40:55">
      <c r="AN1980" s="454"/>
      <c r="BC1980" s="169"/>
    </row>
    <row r="1981" spans="40:55">
      <c r="AN1981" s="454"/>
      <c r="BC1981" s="169"/>
    </row>
    <row r="1982" spans="40:55">
      <c r="AN1982" s="454"/>
      <c r="BC1982" s="169"/>
    </row>
    <row r="1983" spans="40:55">
      <c r="AN1983" s="454"/>
      <c r="BC1983" s="169"/>
    </row>
    <row r="1984" spans="40:55">
      <c r="AN1984" s="454"/>
      <c r="BC1984" s="169"/>
    </row>
    <row r="1985" spans="40:55">
      <c r="AN1985" s="454"/>
      <c r="BC1985" s="169"/>
    </row>
    <row r="1986" spans="40:55">
      <c r="AN1986" s="454"/>
      <c r="BC1986" s="169"/>
    </row>
    <row r="1987" spans="40:55">
      <c r="AN1987" s="454"/>
      <c r="BC1987" s="169"/>
    </row>
    <row r="1988" spans="40:55">
      <c r="AN1988" s="454"/>
      <c r="BC1988" s="169"/>
    </row>
    <row r="1989" spans="40:55">
      <c r="AN1989" s="454"/>
      <c r="BC1989" s="169"/>
    </row>
    <row r="1990" spans="40:55">
      <c r="AN1990" s="454"/>
      <c r="BC1990" s="169"/>
    </row>
    <row r="1991" spans="40:55">
      <c r="AN1991" s="454"/>
      <c r="BC1991" s="169"/>
    </row>
    <row r="1992" spans="40:55">
      <c r="AN1992" s="454"/>
      <c r="BC1992" s="169"/>
    </row>
    <row r="1993" spans="40:55">
      <c r="AN1993" s="454"/>
      <c r="BC1993" s="169"/>
    </row>
    <row r="1994" spans="40:55">
      <c r="AN1994" s="454"/>
      <c r="BC1994" s="169"/>
    </row>
    <row r="1995" spans="40:55">
      <c r="AN1995" s="454"/>
      <c r="BC1995" s="169"/>
    </row>
    <row r="1996" spans="40:55">
      <c r="AN1996" s="454"/>
      <c r="BC1996" s="169"/>
    </row>
    <row r="1997" spans="40:55">
      <c r="AN1997" s="454"/>
      <c r="BC1997" s="169"/>
    </row>
    <row r="1998" spans="40:55">
      <c r="AN1998" s="454"/>
      <c r="BC1998" s="169"/>
    </row>
    <row r="1999" spans="40:55">
      <c r="AN1999" s="454"/>
      <c r="BC1999" s="169"/>
    </row>
    <row r="2000" spans="40:55">
      <c r="AN2000" s="454"/>
      <c r="BC2000" s="169"/>
    </row>
    <row r="2001" spans="40:55">
      <c r="AN2001" s="454"/>
      <c r="BC2001" s="169"/>
    </row>
    <row r="2002" spans="40:55">
      <c r="AN2002" s="454"/>
      <c r="BC2002" s="169"/>
    </row>
    <row r="2003" spans="40:55">
      <c r="AN2003" s="454"/>
      <c r="BC2003" s="169"/>
    </row>
    <row r="2004" spans="40:55">
      <c r="AN2004" s="454"/>
    </row>
    <row r="2005" spans="40:55">
      <c r="AN2005" s="454"/>
    </row>
    <row r="2006" spans="40:55">
      <c r="AN2006" s="454"/>
    </row>
    <row r="2007" spans="40:55">
      <c r="AN2007" s="454"/>
    </row>
    <row r="2008" spans="40:55">
      <c r="AN2008" s="454"/>
    </row>
    <row r="2009" spans="40:55">
      <c r="AN2009" s="454"/>
    </row>
    <row r="2010" spans="40:55">
      <c r="AN2010" s="454"/>
    </row>
    <row r="2011" spans="40:55">
      <c r="AN2011" s="454"/>
    </row>
    <row r="2012" spans="40:55">
      <c r="AN2012" s="454"/>
    </row>
    <row r="2013" spans="40:55">
      <c r="AN2013" s="454"/>
    </row>
    <row r="2014" spans="40:55">
      <c r="AN2014" s="454"/>
    </row>
    <row r="2015" spans="40:55">
      <c r="AN2015" s="454"/>
    </row>
    <row r="2016" spans="40:55">
      <c r="AN2016" s="454"/>
    </row>
    <row r="2017" spans="40:40">
      <c r="AN2017" s="454"/>
    </row>
    <row r="2018" spans="40:40">
      <c r="AN2018" s="454"/>
    </row>
    <row r="2019" spans="40:40">
      <c r="AN2019" s="454"/>
    </row>
    <row r="2020" spans="40:40">
      <c r="AN2020" s="454"/>
    </row>
    <row r="2021" spans="40:40">
      <c r="AN2021" s="454"/>
    </row>
    <row r="2022" spans="40:40">
      <c r="AN2022" s="454"/>
    </row>
    <row r="2023" spans="40:40">
      <c r="AN2023" s="454"/>
    </row>
    <row r="2024" spans="40:40">
      <c r="AN2024" s="454"/>
    </row>
    <row r="2025" spans="40:40">
      <c r="AN2025" s="454"/>
    </row>
    <row r="2026" spans="40:40">
      <c r="AN2026" s="454"/>
    </row>
    <row r="2027" spans="40:40">
      <c r="AN2027" s="454"/>
    </row>
    <row r="2028" spans="40:40">
      <c r="AN2028" s="454"/>
    </row>
    <row r="2029" spans="40:40">
      <c r="AN2029" s="454"/>
    </row>
    <row r="2030" spans="40:40">
      <c r="AN2030" s="454"/>
    </row>
    <row r="2031" spans="40:40">
      <c r="AN2031" s="454"/>
    </row>
    <row r="2032" spans="40:40">
      <c r="AN2032" s="454"/>
    </row>
    <row r="2033" spans="40:40">
      <c r="AN2033" s="454"/>
    </row>
    <row r="2034" spans="40:40">
      <c r="AN2034" s="454"/>
    </row>
    <row r="2035" spans="40:40">
      <c r="AN2035" s="454"/>
    </row>
    <row r="2036" spans="40:40">
      <c r="AN2036" s="454"/>
    </row>
    <row r="2037" spans="40:40">
      <c r="AN2037" s="454"/>
    </row>
    <row r="2038" spans="40:40">
      <c r="AN2038" s="454"/>
    </row>
    <row r="2039" spans="40:40">
      <c r="AN2039" s="454"/>
    </row>
    <row r="2040" spans="40:40">
      <c r="AN2040" s="454"/>
    </row>
    <row r="2041" spans="40:40">
      <c r="AN2041" s="454"/>
    </row>
    <row r="2042" spans="40:40">
      <c r="AN2042" s="454"/>
    </row>
    <row r="2043" spans="40:40">
      <c r="AN2043" s="454"/>
    </row>
    <row r="2044" spans="40:40">
      <c r="AN2044" s="454"/>
    </row>
    <row r="2045" spans="40:40">
      <c r="AN2045" s="454"/>
    </row>
    <row r="2046" spans="40:40">
      <c r="AN2046" s="454"/>
    </row>
    <row r="2047" spans="40:40">
      <c r="AN2047" s="454"/>
    </row>
    <row r="2048" spans="40:40">
      <c r="AN2048" s="454"/>
    </row>
    <row r="2049" spans="40:40">
      <c r="AN2049" s="454"/>
    </row>
    <row r="2050" spans="40:40">
      <c r="AN2050" s="454"/>
    </row>
    <row r="2051" spans="40:40">
      <c r="AN2051" s="454"/>
    </row>
    <row r="2052" spans="40:40">
      <c r="AN2052" s="454"/>
    </row>
    <row r="2053" spans="40:40">
      <c r="AN2053" s="454"/>
    </row>
    <row r="2054" spans="40:40">
      <c r="AN2054" s="454"/>
    </row>
    <row r="2055" spans="40:40">
      <c r="AN2055" s="454"/>
    </row>
    <row r="2056" spans="40:40">
      <c r="AN2056" s="454"/>
    </row>
    <row r="2057" spans="40:40">
      <c r="AN2057" s="454"/>
    </row>
    <row r="2058" spans="40:40">
      <c r="AN2058" s="454"/>
    </row>
    <row r="2059" spans="40:40">
      <c r="AN2059" s="454"/>
    </row>
    <row r="2060" spans="40:40">
      <c r="AN2060" s="454"/>
    </row>
    <row r="2061" spans="40:40">
      <c r="AN2061" s="454"/>
    </row>
    <row r="2062" spans="40:40">
      <c r="AN2062" s="454"/>
    </row>
    <row r="2063" spans="40:40">
      <c r="AN2063" s="454"/>
    </row>
    <row r="2064" spans="40:40">
      <c r="AN2064" s="454"/>
    </row>
    <row r="2065" spans="40:40">
      <c r="AN2065" s="454"/>
    </row>
    <row r="2066" spans="40:40">
      <c r="AN2066" s="454"/>
    </row>
    <row r="2067" spans="40:40">
      <c r="AN2067" s="454"/>
    </row>
    <row r="2068" spans="40:40">
      <c r="AN2068" s="454"/>
    </row>
    <row r="2069" spans="40:40">
      <c r="AN2069" s="454"/>
    </row>
    <row r="2070" spans="40:40">
      <c r="AN2070" s="454"/>
    </row>
    <row r="2071" spans="40:40">
      <c r="AN2071" s="454"/>
    </row>
    <row r="2072" spans="40:40">
      <c r="AN2072" s="454"/>
    </row>
    <row r="2073" spans="40:40">
      <c r="AN2073" s="454"/>
    </row>
    <row r="2074" spans="40:40">
      <c r="AN2074" s="454"/>
    </row>
    <row r="2075" spans="40:40">
      <c r="AN2075" s="454"/>
    </row>
    <row r="2076" spans="40:40">
      <c r="AN2076" s="454"/>
    </row>
    <row r="2077" spans="40:40">
      <c r="AN2077" s="454"/>
    </row>
    <row r="2078" spans="40:40">
      <c r="AN2078" s="454"/>
    </row>
    <row r="2079" spans="40:40">
      <c r="AN2079" s="454"/>
    </row>
    <row r="2080" spans="40:40">
      <c r="AN2080" s="454"/>
    </row>
    <row r="2081" spans="40:40">
      <c r="AN2081" s="454"/>
    </row>
    <row r="2082" spans="40:40">
      <c r="AN2082" s="454"/>
    </row>
    <row r="2083" spans="40:40">
      <c r="AN2083" s="454"/>
    </row>
    <row r="2084" spans="40:40">
      <c r="AN2084" s="454"/>
    </row>
    <row r="2085" spans="40:40">
      <c r="AN2085" s="454"/>
    </row>
    <row r="2086" spans="40:40">
      <c r="AN2086" s="454"/>
    </row>
    <row r="2087" spans="40:40">
      <c r="AN2087" s="454"/>
    </row>
    <row r="2088" spans="40:40">
      <c r="AN2088" s="454"/>
    </row>
    <row r="2089" spans="40:40">
      <c r="AN2089" s="454"/>
    </row>
    <row r="2090" spans="40:40">
      <c r="AN2090" s="454"/>
    </row>
    <row r="2091" spans="40:40">
      <c r="AN2091" s="454"/>
    </row>
    <row r="2092" spans="40:40">
      <c r="AN2092" s="454"/>
    </row>
    <row r="2093" spans="40:40">
      <c r="AN2093" s="454"/>
    </row>
    <row r="2094" spans="40:40">
      <c r="AN2094" s="454"/>
    </row>
    <row r="2095" spans="40:40">
      <c r="AN2095" s="454"/>
    </row>
    <row r="2096" spans="40:40">
      <c r="AN2096" s="454"/>
    </row>
    <row r="2097" spans="40:40">
      <c r="AN2097" s="454"/>
    </row>
    <row r="2098" spans="40:40">
      <c r="AN2098" s="454"/>
    </row>
    <row r="2099" spans="40:40">
      <c r="AN2099" s="454"/>
    </row>
    <row r="2100" spans="40:40">
      <c r="AN2100" s="454"/>
    </row>
    <row r="2101" spans="40:40">
      <c r="AN2101" s="454"/>
    </row>
    <row r="2102" spans="40:40">
      <c r="AN2102" s="454"/>
    </row>
    <row r="2103" spans="40:40">
      <c r="AN2103" s="454"/>
    </row>
    <row r="2104" spans="40:40">
      <c r="AN2104" s="454"/>
    </row>
    <row r="2105" spans="40:40">
      <c r="AN2105" s="454"/>
    </row>
    <row r="2106" spans="40:40">
      <c r="AN2106" s="454"/>
    </row>
    <row r="2107" spans="40:40">
      <c r="AN2107" s="454"/>
    </row>
    <row r="2108" spans="40:40">
      <c r="AN2108" s="454"/>
    </row>
    <row r="2109" spans="40:40">
      <c r="AN2109" s="454"/>
    </row>
    <row r="2110" spans="40:40">
      <c r="AN2110" s="454"/>
    </row>
    <row r="2111" spans="40:40">
      <c r="AN2111" s="454"/>
    </row>
    <row r="2112" spans="40:40">
      <c r="AN2112" s="454"/>
    </row>
    <row r="2113" spans="40:40">
      <c r="AN2113" s="454"/>
    </row>
    <row r="2114" spans="40:40">
      <c r="AN2114" s="454"/>
    </row>
    <row r="2115" spans="40:40">
      <c r="AN2115" s="454"/>
    </row>
    <row r="2116" spans="40:40">
      <c r="AN2116" s="454"/>
    </row>
    <row r="2117" spans="40:40">
      <c r="AN2117" s="454"/>
    </row>
    <row r="2118" spans="40:40">
      <c r="AN2118" s="454"/>
    </row>
    <row r="2119" spans="40:40">
      <c r="AN2119" s="454"/>
    </row>
    <row r="2120" spans="40:40">
      <c r="AN2120" s="454"/>
    </row>
    <row r="2121" spans="40:40">
      <c r="AN2121" s="454"/>
    </row>
    <row r="2122" spans="40:40">
      <c r="AN2122" s="454"/>
    </row>
    <row r="2123" spans="40:40">
      <c r="AN2123" s="454"/>
    </row>
    <row r="2124" spans="40:40">
      <c r="AN2124" s="454"/>
    </row>
    <row r="2125" spans="40:40">
      <c r="AN2125" s="454"/>
    </row>
    <row r="2126" spans="40:40">
      <c r="AN2126" s="454"/>
    </row>
    <row r="2127" spans="40:40">
      <c r="AN2127" s="454"/>
    </row>
    <row r="2128" spans="40:40">
      <c r="AN2128" s="454"/>
    </row>
    <row r="2129" spans="40:40">
      <c r="AN2129" s="454"/>
    </row>
    <row r="2130" spans="40:40">
      <c r="AN2130" s="454"/>
    </row>
    <row r="2131" spans="40:40">
      <c r="AN2131" s="454"/>
    </row>
    <row r="2132" spans="40:40">
      <c r="AN2132" s="454"/>
    </row>
    <row r="2133" spans="40:40">
      <c r="AN2133" s="454"/>
    </row>
    <row r="2134" spans="40:40">
      <c r="AN2134" s="454"/>
    </row>
    <row r="2135" spans="40:40">
      <c r="AN2135" s="454"/>
    </row>
    <row r="2136" spans="40:40">
      <c r="AN2136" s="454"/>
    </row>
    <row r="2137" spans="40:40">
      <c r="AN2137" s="454"/>
    </row>
    <row r="2138" spans="40:40">
      <c r="AN2138" s="454"/>
    </row>
    <row r="2139" spans="40:40">
      <c r="AN2139" s="454"/>
    </row>
    <row r="2140" spans="40:40">
      <c r="AN2140" s="454"/>
    </row>
    <row r="2141" spans="40:40">
      <c r="AN2141" s="454"/>
    </row>
    <row r="2142" spans="40:40">
      <c r="AN2142" s="454"/>
    </row>
    <row r="2143" spans="40:40">
      <c r="AN2143" s="454"/>
    </row>
    <row r="2144" spans="40:40">
      <c r="AN2144" s="454"/>
    </row>
    <row r="2145" spans="40:40">
      <c r="AN2145" s="454"/>
    </row>
    <row r="2146" spans="40:40">
      <c r="AN2146" s="454"/>
    </row>
    <row r="2147" spans="40:40">
      <c r="AN2147" s="454"/>
    </row>
    <row r="2148" spans="40:40">
      <c r="AN2148" s="454"/>
    </row>
    <row r="2149" spans="40:40">
      <c r="AN2149" s="454"/>
    </row>
    <row r="2150" spans="40:40">
      <c r="AN2150" s="454"/>
    </row>
    <row r="2151" spans="40:40">
      <c r="AN2151" s="454"/>
    </row>
    <row r="2152" spans="40:40">
      <c r="AN2152" s="454"/>
    </row>
    <row r="2153" spans="40:40">
      <c r="AN2153" s="454"/>
    </row>
    <row r="2154" spans="40:40">
      <c r="AN2154" s="454"/>
    </row>
    <row r="2155" spans="40:40">
      <c r="AN2155" s="454"/>
    </row>
    <row r="2156" spans="40:40">
      <c r="AN2156" s="454"/>
    </row>
    <row r="2157" spans="40:40">
      <c r="AN2157" s="454"/>
    </row>
    <row r="2158" spans="40:40">
      <c r="AN2158" s="454"/>
    </row>
    <row r="2159" spans="40:40">
      <c r="AN2159" s="454"/>
    </row>
    <row r="2160" spans="40:40">
      <c r="AN2160" s="454"/>
    </row>
    <row r="2161" spans="40:40">
      <c r="AN2161" s="454"/>
    </row>
    <row r="2162" spans="40:40">
      <c r="AN2162" s="454"/>
    </row>
    <row r="2163" spans="40:40">
      <c r="AN2163" s="454"/>
    </row>
    <row r="2164" spans="40:40">
      <c r="AN2164" s="454"/>
    </row>
    <row r="2165" spans="40:40">
      <c r="AN2165" s="454"/>
    </row>
    <row r="2166" spans="40:40">
      <c r="AN2166" s="454"/>
    </row>
    <row r="2167" spans="40:40">
      <c r="AN2167" s="454"/>
    </row>
    <row r="2168" spans="40:40">
      <c r="AN2168" s="454"/>
    </row>
    <row r="2169" spans="40:40">
      <c r="AN2169" s="454"/>
    </row>
  </sheetData>
  <autoFilter ref="A2:BG19" xr:uid="{00000000-0009-0000-0000-00000F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autoFilter>
  <mergeCells count="10">
    <mergeCell ref="BD1:BG1"/>
    <mergeCell ref="AN2:AP2"/>
    <mergeCell ref="AQ2:AS2"/>
    <mergeCell ref="AT2:AV2"/>
    <mergeCell ref="A1:BB1"/>
    <mergeCell ref="N2:P2"/>
    <mergeCell ref="T2:V2"/>
    <mergeCell ref="W2:Y2"/>
    <mergeCell ref="Z2:AB2"/>
    <mergeCell ref="AC2:AE2"/>
  </mergeCells>
  <conditionalFormatting sqref="B17:AZ19 B11:AZ14">
    <cfRule type="expression" dxfId="728" priority="24">
      <formula>$M11="NON DEFINED"</formula>
    </cfRule>
    <cfRule type="expression" dxfId="727" priority="25">
      <formula>$AY11="N.D."</formula>
    </cfRule>
  </conditionalFormatting>
  <conditionalFormatting sqref="BD11:BG11 BD15:BE15 BD17:BG17 BD19:BE19 BD13:BG13 BD12 BG15">
    <cfRule type="containsBlanks" dxfId="726" priority="21">
      <formula>LEN(TRIM(BD11))=0</formula>
    </cfRule>
  </conditionalFormatting>
  <conditionalFormatting sqref="BC11:BC2003">
    <cfRule type="containsText" dxfId="725" priority="19" operator="containsText" text="a">
      <formula>NOT(ISERROR(SEARCH("a",BC11)))</formula>
    </cfRule>
    <cfRule type="containsText" dxfId="724" priority="20" operator="containsText" text="R">
      <formula>NOT(ISERROR(SEARCH("R",BC11)))</formula>
    </cfRule>
  </conditionalFormatting>
  <conditionalFormatting sqref="BC4:BG10">
    <cfRule type="cellIs" dxfId="723" priority="13" operator="equal">
      <formula>0</formula>
    </cfRule>
  </conditionalFormatting>
  <conditionalFormatting sqref="A4:BB8 A10:AP10 AR10:BB10 A9:AS9 AU9:BB9 AN8:AN11">
    <cfRule type="cellIs" dxfId="722" priority="17" operator="equal">
      <formula>0</formula>
    </cfRule>
  </conditionalFormatting>
  <conditionalFormatting sqref="B4:BA8 BC4:BG10 B10:AP10 AR10:BA10 B9:AS9 AU9:BA9 AN8:AN11">
    <cfRule type="expression" dxfId="721" priority="15">
      <formula>$M4="NON DEFINED"</formula>
    </cfRule>
    <cfRule type="expression" dxfId="720" priority="16">
      <formula>$AY4="N.D."</formula>
    </cfRule>
  </conditionalFormatting>
  <conditionalFormatting sqref="BA4:BA10">
    <cfRule type="expression" dxfId="719" priority="14">
      <formula>$BC4="R"</formula>
    </cfRule>
  </conditionalFormatting>
  <conditionalFormatting sqref="AN4:AN19">
    <cfRule type="cellIs" dxfId="718" priority="12" operator="notEqual">
      <formula>5.5</formula>
    </cfRule>
  </conditionalFormatting>
  <conditionalFormatting sqref="BA11:BA14 BA17:BA19">
    <cfRule type="expression" dxfId="717" priority="10">
      <formula>$M11="NON DEFINED"</formula>
    </cfRule>
    <cfRule type="expression" dxfId="716" priority="11">
      <formula>$AY11="N.D."</formula>
    </cfRule>
  </conditionalFormatting>
  <conditionalFormatting sqref="BA11:BA14 BA17:BA19">
    <cfRule type="expression" dxfId="715" priority="9">
      <formula>$BC11="R"</formula>
    </cfRule>
  </conditionalFormatting>
  <conditionalFormatting sqref="A15:BB16">
    <cfRule type="cellIs" dxfId="714" priority="8" operator="equal">
      <formula>0</formula>
    </cfRule>
  </conditionalFormatting>
  <conditionalFormatting sqref="B15:BA16">
    <cfRule type="expression" dxfId="713" priority="6">
      <formula>$M15="NON DEFINED"</formula>
    </cfRule>
    <cfRule type="expression" dxfId="712" priority="7">
      <formula>$AY15="N.D."</formula>
    </cfRule>
  </conditionalFormatting>
  <conditionalFormatting sqref="BA15:BA16">
    <cfRule type="expression" dxfId="711" priority="5">
      <formula>$BC15="R"</formula>
    </cfRule>
  </conditionalFormatting>
  <conditionalFormatting sqref="AQ10">
    <cfRule type="expression" dxfId="710" priority="3">
      <formula>$M10="NON DEFINED"</formula>
    </cfRule>
    <cfRule type="expression" dxfId="709" priority="4">
      <formula>$AY10="N.D."</formula>
    </cfRule>
  </conditionalFormatting>
  <conditionalFormatting sqref="AT9">
    <cfRule type="expression" dxfId="708" priority="1">
      <formula>$M9="NON DEFINED"</formula>
    </cfRule>
    <cfRule type="expression" dxfId="707" priority="2">
      <formula>$AY9="N.D."</formula>
    </cfRule>
  </conditionalFormatting>
  <printOptions horizontalCentered="1"/>
  <pageMargins left="0.39370078740157483" right="0.39370078740157483" top="0.78740157480314965" bottom="0.78740157480314965" header="0.31496062992125984" footer="0.31496062992125984"/>
  <pageSetup paperSize="9" scale="50" orientation="landscape" r:id="rId1"/>
  <headerFooter alignWithMargins="0">
    <oddHeader>&amp;L&amp;G&amp;C
LAYOUT AND EQUIPMENT
EP06 TRACK 5 HER-TSA
KP90+600 - 92+730&amp;R&amp;G</oddHeader>
    <oddFooter>&amp;L&amp;G
&amp;F&amp;C&amp;D&amp;RPag &amp;P of &amp;N</oddFoot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C00000"/>
    <pageSetUpPr fitToPage="1"/>
  </sheetPr>
  <dimension ref="A1:BG2169"/>
  <sheetViews>
    <sheetView view="pageBreakPreview" zoomScale="80" zoomScaleNormal="85" zoomScaleSheetLayoutView="80" workbookViewId="0">
      <pane xSplit="2" ySplit="3" topLeftCell="C4" activePane="bottomRight" state="frozen"/>
      <selection activeCell="G124" sqref="G124"/>
      <selection pane="topRight" activeCell="G124" sqref="G124"/>
      <selection pane="bottomLeft" activeCell="G124" sqref="G124"/>
      <selection pane="bottomRight" activeCell="G124" sqref="G124"/>
    </sheetView>
  </sheetViews>
  <sheetFormatPr baseColWidth="10" defaultColWidth="11.453125" defaultRowHeight="12.5"/>
  <cols>
    <col min="1" max="1" width="20.6328125" style="178" customWidth="1"/>
    <col min="2" max="3" width="12.6328125" style="178" customWidth="1"/>
    <col min="4" max="5" width="12.6328125" style="178" hidden="1" customWidth="1"/>
    <col min="6" max="6" width="12.6328125" style="178" customWidth="1"/>
    <col min="7" max="7" width="12.6328125" style="454" customWidth="1"/>
    <col min="8" max="8" width="18.6328125" style="178" customWidth="1"/>
    <col min="9" max="9" width="12.6328125" style="178" customWidth="1"/>
    <col min="10" max="10" width="12.6328125" style="184" customWidth="1"/>
    <col min="11" max="11" width="12.6328125" style="178" customWidth="1"/>
    <col min="12" max="13" width="14.6328125" style="178" customWidth="1"/>
    <col min="14" max="16" width="8.6328125" style="178" hidden="1" customWidth="1"/>
    <col min="17" max="19" width="12.6328125" style="178" hidden="1" customWidth="1"/>
    <col min="20" max="28" width="8.6328125" style="178" hidden="1" customWidth="1"/>
    <col min="29" max="31" width="10.6328125" style="178" hidden="1" customWidth="1"/>
    <col min="32" max="32" width="13.54296875" style="178" hidden="1" customWidth="1"/>
    <col min="33" max="33" width="12.6328125" style="184" hidden="1" customWidth="1"/>
    <col min="34" max="36" width="12.6328125" style="178" hidden="1" customWidth="1"/>
    <col min="37" max="38" width="12.6328125" style="178" customWidth="1"/>
    <col min="39" max="39" width="12.6328125" style="178" hidden="1" customWidth="1"/>
    <col min="40" max="48" width="8.6328125" style="178" hidden="1" customWidth="1"/>
    <col min="49" max="53" width="12.6328125" style="178" customWidth="1"/>
    <col min="54" max="54" width="21.6328125" style="178" customWidth="1"/>
    <col min="55" max="55" width="18" style="178" customWidth="1"/>
    <col min="56" max="59" width="14.54296875" style="1323" customWidth="1"/>
    <col min="60" max="60" width="11.453125" style="178" customWidth="1"/>
    <col min="61" max="16384" width="11.453125" style="178"/>
  </cols>
  <sheetData>
    <row r="1" spans="1:59" ht="35" customHeight="1">
      <c r="A1" s="1612" t="s">
        <v>4089</v>
      </c>
      <c r="B1" s="1612"/>
      <c r="C1" s="1612"/>
      <c r="D1" s="1612"/>
      <c r="E1" s="1612"/>
      <c r="F1" s="1612"/>
      <c r="G1" s="1612"/>
      <c r="H1" s="1612"/>
      <c r="I1" s="1612"/>
      <c r="J1" s="1612"/>
      <c r="K1" s="1612"/>
      <c r="L1" s="1612"/>
      <c r="M1" s="1612"/>
      <c r="N1" s="1612"/>
      <c r="O1" s="1612"/>
      <c r="P1" s="1612"/>
      <c r="Q1" s="1612"/>
      <c r="R1" s="1612"/>
      <c r="S1" s="1612"/>
      <c r="T1" s="1612"/>
      <c r="U1" s="1612"/>
      <c r="V1" s="1612"/>
      <c r="W1" s="1612"/>
      <c r="X1" s="1612"/>
      <c r="Y1" s="1612"/>
      <c r="Z1" s="1612"/>
      <c r="AA1" s="1612"/>
      <c r="AB1" s="1612"/>
      <c r="AC1" s="1612"/>
      <c r="AD1" s="1612"/>
      <c r="AE1" s="1612"/>
      <c r="AF1" s="1612"/>
      <c r="AG1" s="1612"/>
      <c r="AH1" s="1612"/>
      <c r="AI1" s="1612"/>
      <c r="AJ1" s="1612"/>
      <c r="AK1" s="1612"/>
      <c r="AL1" s="1612"/>
      <c r="AM1" s="1612"/>
      <c r="AN1" s="1612"/>
      <c r="AO1" s="1612"/>
      <c r="AP1" s="1612"/>
      <c r="AQ1" s="1612"/>
      <c r="AR1" s="1612"/>
      <c r="AS1" s="1612"/>
      <c r="AT1" s="1612"/>
      <c r="AU1" s="1612"/>
      <c r="AV1" s="1612"/>
      <c r="AW1" s="1612"/>
      <c r="AX1" s="1612"/>
      <c r="AY1" s="1612"/>
      <c r="AZ1" s="1612"/>
      <c r="BA1" s="1612"/>
      <c r="BB1" s="1612"/>
      <c r="BC1" s="693" t="s">
        <v>4947</v>
      </c>
      <c r="BD1" s="1609" t="s">
        <v>4916</v>
      </c>
      <c r="BE1" s="1609"/>
      <c r="BF1" s="1609"/>
      <c r="BG1" s="1609"/>
    </row>
    <row r="2" spans="1:59" s="699" customFormat="1" ht="39">
      <c r="A2" s="1369" t="s">
        <v>4417</v>
      </c>
      <c r="B2" s="1369" t="s">
        <v>4418</v>
      </c>
      <c r="C2" s="952" t="s">
        <v>2315</v>
      </c>
      <c r="D2" s="1369" t="s">
        <v>4419</v>
      </c>
      <c r="E2" s="1369" t="s">
        <v>4855</v>
      </c>
      <c r="F2" s="953" t="s">
        <v>4856</v>
      </c>
      <c r="G2" s="1370" t="s">
        <v>4857</v>
      </c>
      <c r="H2" s="1369" t="s">
        <v>455</v>
      </c>
      <c r="I2" s="953" t="s">
        <v>454</v>
      </c>
      <c r="J2" s="953" t="s">
        <v>4423</v>
      </c>
      <c r="K2" s="1369" t="s">
        <v>1362</v>
      </c>
      <c r="L2" s="1369" t="s">
        <v>456</v>
      </c>
      <c r="M2" s="1369" t="s">
        <v>453</v>
      </c>
      <c r="N2" s="1610" t="s">
        <v>457</v>
      </c>
      <c r="O2" s="1610"/>
      <c r="P2" s="1610"/>
      <c r="Q2" s="1369" t="s">
        <v>4858</v>
      </c>
      <c r="R2" s="1369" t="s">
        <v>4859</v>
      </c>
      <c r="S2" s="1369" t="s">
        <v>4860</v>
      </c>
      <c r="T2" s="1610" t="s">
        <v>4861</v>
      </c>
      <c r="U2" s="1610"/>
      <c r="V2" s="1610"/>
      <c r="W2" s="1610" t="s">
        <v>4862</v>
      </c>
      <c r="X2" s="1610"/>
      <c r="Y2" s="1610"/>
      <c r="Z2" s="1610" t="s">
        <v>4863</v>
      </c>
      <c r="AA2" s="1610"/>
      <c r="AB2" s="1610"/>
      <c r="AC2" s="1610" t="s">
        <v>628</v>
      </c>
      <c r="AD2" s="1610"/>
      <c r="AE2" s="1610"/>
      <c r="AF2" s="1369" t="s">
        <v>4872</v>
      </c>
      <c r="AG2" s="1369" t="s">
        <v>4864</v>
      </c>
      <c r="AH2" s="1369" t="s">
        <v>4865</v>
      </c>
      <c r="AI2" s="1369" t="s">
        <v>4866</v>
      </c>
      <c r="AJ2" s="1369" t="s">
        <v>629</v>
      </c>
      <c r="AK2" s="1369" t="s">
        <v>458</v>
      </c>
      <c r="AL2" s="1369" t="s">
        <v>459</v>
      </c>
      <c r="AM2" s="1369" t="s">
        <v>631</v>
      </c>
      <c r="AN2" s="1610" t="s">
        <v>4867</v>
      </c>
      <c r="AO2" s="1610"/>
      <c r="AP2" s="1610"/>
      <c r="AQ2" s="1611" t="s">
        <v>460</v>
      </c>
      <c r="AR2" s="1611"/>
      <c r="AS2" s="1611"/>
      <c r="AT2" s="1610" t="s">
        <v>630</v>
      </c>
      <c r="AU2" s="1610"/>
      <c r="AV2" s="1610"/>
      <c r="AW2" s="1369" t="s">
        <v>4868</v>
      </c>
      <c r="AX2" s="1369" t="s">
        <v>4904</v>
      </c>
      <c r="AY2" s="1370" t="s">
        <v>4869</v>
      </c>
      <c r="AZ2" s="1370" t="s">
        <v>4870</v>
      </c>
      <c r="BA2" s="1369" t="s">
        <v>1670</v>
      </c>
      <c r="BB2" s="1369" t="s">
        <v>4871</v>
      </c>
      <c r="BC2" s="693" t="s">
        <v>4948</v>
      </c>
      <c r="BD2" s="1320" t="s">
        <v>453</v>
      </c>
      <c r="BE2" s="1320" t="s">
        <v>4922</v>
      </c>
      <c r="BF2" s="1320" t="s">
        <v>4915</v>
      </c>
      <c r="BG2" s="1320" t="s">
        <v>457</v>
      </c>
    </row>
    <row r="3" spans="1:59" ht="13">
      <c r="A3" s="1239"/>
      <c r="B3" s="1239"/>
      <c r="C3" s="171"/>
      <c r="D3" s="1239"/>
      <c r="E3" s="1239"/>
      <c r="F3" s="448"/>
      <c r="G3" s="455"/>
      <c r="H3" s="1239"/>
      <c r="I3" s="448"/>
      <c r="J3" s="171"/>
      <c r="K3" s="1239"/>
      <c r="L3" s="1239"/>
      <c r="M3" s="1239"/>
      <c r="N3" s="496" t="s">
        <v>123</v>
      </c>
      <c r="O3" s="496" t="s">
        <v>124</v>
      </c>
      <c r="P3" s="496" t="s">
        <v>125</v>
      </c>
      <c r="Q3" s="1239"/>
      <c r="R3" s="1239"/>
      <c r="S3" s="1239"/>
      <c r="T3" s="496" t="s">
        <v>126</v>
      </c>
      <c r="U3" s="496" t="s">
        <v>127</v>
      </c>
      <c r="V3" s="496" t="s">
        <v>128</v>
      </c>
      <c r="W3" s="496" t="s">
        <v>129</v>
      </c>
      <c r="X3" s="496" t="s">
        <v>130</v>
      </c>
      <c r="Y3" s="496" t="s">
        <v>131</v>
      </c>
      <c r="Z3" s="496" t="s">
        <v>132</v>
      </c>
      <c r="AA3" s="496" t="s">
        <v>133</v>
      </c>
      <c r="AB3" s="496" t="s">
        <v>134</v>
      </c>
      <c r="AC3" s="496" t="s">
        <v>135</v>
      </c>
      <c r="AD3" s="496" t="s">
        <v>136</v>
      </c>
      <c r="AE3" s="496" t="s">
        <v>137</v>
      </c>
      <c r="AF3" s="1239"/>
      <c r="AG3" s="1239"/>
      <c r="AH3" s="1239"/>
      <c r="AI3" s="1239"/>
      <c r="AJ3" s="1239"/>
      <c r="AK3" s="1239"/>
      <c r="AL3" s="1239"/>
      <c r="AM3" s="1239"/>
      <c r="AN3" s="1340" t="s">
        <v>129</v>
      </c>
      <c r="AO3" s="496" t="s">
        <v>130</v>
      </c>
      <c r="AP3" s="496" t="s">
        <v>131</v>
      </c>
      <c r="AQ3" s="546" t="s">
        <v>613</v>
      </c>
      <c r="AR3" s="546" t="s">
        <v>614</v>
      </c>
      <c r="AS3" s="546" t="s">
        <v>615</v>
      </c>
      <c r="AT3" s="546" t="s">
        <v>616</v>
      </c>
      <c r="AU3" s="496" t="s">
        <v>617</v>
      </c>
      <c r="AV3" s="496" t="s">
        <v>618</v>
      </c>
      <c r="AW3" s="1239"/>
      <c r="AX3" s="1239"/>
      <c r="AY3" s="455"/>
      <c r="AZ3" s="455"/>
      <c r="BA3" s="1239"/>
      <c r="BB3" s="1239"/>
      <c r="BD3" s="1239"/>
      <c r="BE3" s="1239"/>
      <c r="BF3" s="1239"/>
      <c r="BG3" s="1239"/>
    </row>
    <row r="4" spans="1:59" ht="15.65" customHeight="1">
      <c r="A4" s="658" t="s">
        <v>4008</v>
      </c>
      <c r="B4" s="658"/>
      <c r="C4" s="739"/>
      <c r="D4" s="658"/>
      <c r="E4" s="658"/>
      <c r="F4" s="661"/>
      <c r="G4" s="662"/>
      <c r="H4" s="658"/>
      <c r="I4" s="661"/>
      <c r="J4" s="739">
        <f>C5+7.5</f>
        <v>2159.7800000000002</v>
      </c>
      <c r="K4" s="658" t="s">
        <v>1662</v>
      </c>
      <c r="L4" s="658"/>
      <c r="M4" s="658"/>
      <c r="N4" s="658"/>
      <c r="O4" s="658"/>
      <c r="P4" s="658"/>
      <c r="Q4" s="658"/>
      <c r="R4" s="658"/>
      <c r="S4" s="662"/>
      <c r="T4" s="658"/>
      <c r="U4" s="658"/>
      <c r="V4" s="658"/>
      <c r="W4" s="658"/>
      <c r="X4" s="658"/>
      <c r="Y4" s="658"/>
      <c r="Z4" s="658"/>
      <c r="AA4" s="658"/>
      <c r="AB4" s="658"/>
      <c r="AC4" s="658"/>
      <c r="AD4" s="658"/>
      <c r="AE4" s="658"/>
      <c r="AF4" s="658"/>
      <c r="AG4" s="739"/>
      <c r="AH4" s="658"/>
      <c r="AI4" s="658"/>
      <c r="AJ4" s="658"/>
      <c r="AK4" s="658"/>
      <c r="AL4" s="658"/>
      <c r="AM4" s="658"/>
      <c r="AN4" s="662"/>
      <c r="AO4" s="658"/>
      <c r="AP4" s="658"/>
      <c r="AQ4" s="662"/>
      <c r="AR4" s="658"/>
      <c r="AS4" s="658"/>
      <c r="AT4" s="662"/>
      <c r="AU4" s="658"/>
      <c r="AV4" s="658"/>
      <c r="AW4" s="658" t="s">
        <v>4427</v>
      </c>
      <c r="AX4" s="658" t="s">
        <v>4434</v>
      </c>
      <c r="AY4" s="662"/>
      <c r="AZ4" s="662">
        <v>3.3</v>
      </c>
      <c r="BA4" s="670" t="s">
        <v>2809</v>
      </c>
      <c r="BB4" s="658"/>
      <c r="BC4" s="169" t="s">
        <v>4955</v>
      </c>
      <c r="BD4" s="1329"/>
      <c r="BE4" s="1330"/>
      <c r="BF4" s="1330"/>
      <c r="BG4" s="1330"/>
    </row>
    <row r="5" spans="1:59" ht="15.65" customHeight="1">
      <c r="A5" s="658"/>
      <c r="B5" s="658" t="s">
        <v>4023</v>
      </c>
      <c r="C5" s="739">
        <v>2152.2800000000002</v>
      </c>
      <c r="D5" s="658"/>
      <c r="E5" s="658"/>
      <c r="F5" s="661">
        <v>1159.7</v>
      </c>
      <c r="G5" s="662"/>
      <c r="H5" s="658" t="s">
        <v>138</v>
      </c>
      <c r="I5" s="661" t="s">
        <v>623</v>
      </c>
      <c r="J5" s="739"/>
      <c r="K5" s="658"/>
      <c r="L5" s="658" t="s">
        <v>899</v>
      </c>
      <c r="M5" s="658" t="s">
        <v>4993</v>
      </c>
      <c r="N5" s="658" t="s">
        <v>143</v>
      </c>
      <c r="O5" s="658"/>
      <c r="P5" s="658"/>
      <c r="Q5" s="658"/>
      <c r="R5" s="658"/>
      <c r="S5" s="662"/>
      <c r="T5" s="658">
        <v>-30</v>
      </c>
      <c r="U5" s="658"/>
      <c r="V5" s="658"/>
      <c r="W5" s="658">
        <v>1.4</v>
      </c>
      <c r="X5" s="658"/>
      <c r="Y5" s="658"/>
      <c r="Z5" s="658"/>
      <c r="AA5" s="658"/>
      <c r="AB5" s="658"/>
      <c r="AC5" s="658" t="str">
        <f>IF(OR(AT5&gt;8,AT5&lt;-8),"PH",IF(OR(AT5&gt;5,AT5&lt;-5),"PH-Q",IF(OR(AT5&gt;1,AT5&lt;-1),"PH-C")))</f>
        <v>PH-C</v>
      </c>
      <c r="AD5" s="658"/>
      <c r="AE5" s="658"/>
      <c r="AF5" s="658"/>
      <c r="AG5" s="739"/>
      <c r="AH5" s="658"/>
      <c r="AI5" s="658"/>
      <c r="AJ5" s="658"/>
      <c r="AK5" s="658"/>
      <c r="AL5" s="658"/>
      <c r="AM5" s="658" t="s">
        <v>1042</v>
      </c>
      <c r="AN5" s="662">
        <v>5.5</v>
      </c>
      <c r="AO5" s="658"/>
      <c r="AP5" s="658"/>
      <c r="AQ5" s="662"/>
      <c r="AR5" s="658"/>
      <c r="AS5" s="658"/>
      <c r="AT5" s="662">
        <f>+ab($U$9,$T$5,$U$13,$G$6,47,-1*$F$9,1200)</f>
        <v>-4.7241150235472213</v>
      </c>
      <c r="AU5" s="658"/>
      <c r="AV5" s="658"/>
      <c r="AW5" s="658" t="s">
        <v>4427</v>
      </c>
      <c r="AX5" s="658" t="s">
        <v>4434</v>
      </c>
      <c r="AY5" s="662">
        <v>4.5</v>
      </c>
      <c r="AZ5" s="662"/>
      <c r="BA5" s="1313" t="s">
        <v>2809</v>
      </c>
      <c r="BB5" s="658" t="s">
        <v>4994</v>
      </c>
      <c r="BC5" s="169" t="s">
        <v>4955</v>
      </c>
      <c r="BD5" s="1329"/>
      <c r="BE5" s="1329"/>
      <c r="BF5" s="1329"/>
      <c r="BG5" s="1329"/>
    </row>
    <row r="6" spans="1:59" ht="15.65" customHeight="1">
      <c r="A6" s="647" t="s">
        <v>4010</v>
      </c>
      <c r="B6" s="740"/>
      <c r="C6" s="652"/>
      <c r="D6" s="647"/>
      <c r="E6" s="647"/>
      <c r="F6" s="650"/>
      <c r="G6" s="651">
        <v>47</v>
      </c>
      <c r="H6" s="647"/>
      <c r="I6" s="650"/>
      <c r="J6" s="652"/>
      <c r="K6" s="647"/>
      <c r="L6" s="647"/>
      <c r="M6" s="647"/>
      <c r="N6" s="647"/>
      <c r="O6" s="647"/>
      <c r="P6" s="647"/>
      <c r="Q6" s="647"/>
      <c r="R6" s="647"/>
      <c r="S6" s="651"/>
      <c r="T6" s="647"/>
      <c r="U6" s="647"/>
      <c r="V6" s="647"/>
      <c r="W6" s="647"/>
      <c r="X6" s="647"/>
      <c r="Y6" s="647"/>
      <c r="Z6" s="647"/>
      <c r="AA6" s="647"/>
      <c r="AB6" s="647"/>
      <c r="AC6" s="647"/>
      <c r="AD6" s="647"/>
      <c r="AE6" s="647"/>
      <c r="AF6" s="647"/>
      <c r="AG6" s="652"/>
      <c r="AH6" s="647"/>
      <c r="AI6" s="647"/>
      <c r="AJ6" s="647"/>
      <c r="AK6" s="647"/>
      <c r="AL6" s="647"/>
      <c r="AM6" s="647"/>
      <c r="AN6" s="651"/>
      <c r="AO6" s="647"/>
      <c r="AP6" s="647"/>
      <c r="AQ6" s="651">
        <f>+FL_2($U$9,$T$5,$G$6,1200,9.28,-1*$F$9)</f>
        <v>-0.30002090971034845</v>
      </c>
      <c r="AR6" s="647"/>
      <c r="AS6" s="647"/>
      <c r="AT6" s="651"/>
      <c r="AU6" s="647"/>
      <c r="AV6" s="647"/>
      <c r="AW6" s="647"/>
      <c r="AX6" s="647"/>
      <c r="AY6" s="651"/>
      <c r="AZ6" s="651"/>
      <c r="BA6" s="701"/>
      <c r="BB6" s="647"/>
      <c r="BC6" s="169"/>
      <c r="BD6" s="1330"/>
      <c r="BE6" s="1330"/>
      <c r="BF6" s="1330"/>
      <c r="BG6" s="1330"/>
    </row>
    <row r="7" spans="1:59" ht="15.65" customHeight="1">
      <c r="A7" s="647"/>
      <c r="B7" s="740" t="s">
        <v>4942</v>
      </c>
      <c r="C7" s="652">
        <f>C9+25</f>
        <v>2130.2800000000002</v>
      </c>
      <c r="D7" s="647"/>
      <c r="E7" s="647"/>
      <c r="F7" s="650"/>
      <c r="G7" s="651"/>
      <c r="H7" s="647"/>
      <c r="I7" s="650"/>
      <c r="J7" s="652"/>
      <c r="K7" s="647"/>
      <c r="L7" s="653" t="s">
        <v>4420</v>
      </c>
      <c r="M7" s="653" t="s">
        <v>2402</v>
      </c>
      <c r="N7" s="647"/>
      <c r="O7" s="647"/>
      <c r="P7" s="647"/>
      <c r="Q7" s="647"/>
      <c r="R7" s="647"/>
      <c r="S7" s="651"/>
      <c r="T7" s="647"/>
      <c r="U7" s="647"/>
      <c r="V7" s="647"/>
      <c r="W7" s="647"/>
      <c r="X7" s="647"/>
      <c r="Y7" s="647"/>
      <c r="Z7" s="647"/>
      <c r="AA7" s="647"/>
      <c r="AB7" s="647"/>
      <c r="AC7" s="647"/>
      <c r="AD7" s="647"/>
      <c r="AE7" s="647"/>
      <c r="AF7" s="647"/>
      <c r="AG7" s="652"/>
      <c r="AH7" s="647"/>
      <c r="AI7" s="647"/>
      <c r="AJ7" s="647"/>
      <c r="AK7" s="647"/>
      <c r="AL7" s="647"/>
      <c r="AM7" s="647"/>
      <c r="AN7" s="651"/>
      <c r="AO7" s="647"/>
      <c r="AP7" s="647"/>
      <c r="AQ7" s="651"/>
      <c r="AR7" s="647"/>
      <c r="AS7" s="647"/>
      <c r="AT7" s="651"/>
      <c r="AU7" s="647"/>
      <c r="AV7" s="647"/>
      <c r="AW7" s="647"/>
      <c r="AX7" s="647"/>
      <c r="AY7" s="651"/>
      <c r="AZ7" s="651"/>
      <c r="BA7" s="701"/>
      <c r="BB7" s="647"/>
      <c r="BC7" s="169"/>
      <c r="BD7" s="1329"/>
      <c r="BE7" s="1329"/>
      <c r="BF7" s="1329"/>
      <c r="BG7" s="1330"/>
    </row>
    <row r="8" spans="1:59" ht="15.65" customHeight="1">
      <c r="A8" s="658"/>
      <c r="B8" s="684"/>
      <c r="C8" s="739"/>
      <c r="D8" s="658"/>
      <c r="E8" s="658"/>
      <c r="F8" s="661"/>
      <c r="G8" s="662"/>
      <c r="H8" s="658"/>
      <c r="I8" s="661"/>
      <c r="J8" s="739"/>
      <c r="K8" s="658"/>
      <c r="L8" s="658"/>
      <c r="M8" s="658"/>
      <c r="N8" s="658"/>
      <c r="O8" s="658"/>
      <c r="P8" s="658"/>
      <c r="Q8" s="658"/>
      <c r="R8" s="658"/>
      <c r="S8" s="662"/>
      <c r="T8" s="658"/>
      <c r="U8" s="658"/>
      <c r="V8" s="658"/>
      <c r="W8" s="658"/>
      <c r="X8" s="658"/>
      <c r="Y8" s="658"/>
      <c r="Z8" s="658"/>
      <c r="AA8" s="658"/>
      <c r="AB8" s="658"/>
      <c r="AC8" s="658"/>
      <c r="AD8" s="658"/>
      <c r="AE8" s="658"/>
      <c r="AF8" s="658"/>
      <c r="AG8" s="739"/>
      <c r="AH8" s="658"/>
      <c r="AI8" s="658"/>
      <c r="AJ8" s="658"/>
      <c r="AK8" s="658"/>
      <c r="AL8" s="658"/>
      <c r="AM8" s="658"/>
      <c r="AN8" s="662"/>
      <c r="AO8" s="658"/>
      <c r="AP8" s="658"/>
      <c r="AQ8" s="662"/>
      <c r="AR8" s="658"/>
      <c r="AS8" s="658"/>
      <c r="AT8" s="662"/>
      <c r="AU8" s="658"/>
      <c r="AV8" s="658"/>
      <c r="AW8" s="658"/>
      <c r="AX8" s="658"/>
      <c r="AY8" s="662"/>
      <c r="AZ8" s="662"/>
      <c r="BA8" s="670"/>
      <c r="BB8" s="658"/>
      <c r="BC8" s="169"/>
      <c r="BD8" s="1330"/>
      <c r="BE8" s="1330"/>
      <c r="BF8" s="1330"/>
      <c r="BG8" s="1330"/>
    </row>
    <row r="9" spans="1:59" ht="15.65" customHeight="1">
      <c r="A9" s="658" t="s">
        <v>4013</v>
      </c>
      <c r="B9" s="658" t="s">
        <v>4024</v>
      </c>
      <c r="C9" s="739">
        <f>C5-G6</f>
        <v>2105.2800000000002</v>
      </c>
      <c r="D9" s="658"/>
      <c r="E9" s="658"/>
      <c r="F9" s="661">
        <v>1159.7</v>
      </c>
      <c r="G9" s="662"/>
      <c r="H9" s="658" t="s">
        <v>619</v>
      </c>
      <c r="I9" s="661" t="s">
        <v>1429</v>
      </c>
      <c r="J9" s="739"/>
      <c r="K9" s="658"/>
      <c r="L9" s="658" t="s">
        <v>895</v>
      </c>
      <c r="M9" s="658" t="s">
        <v>4995</v>
      </c>
      <c r="N9" s="658" t="s">
        <v>140</v>
      </c>
      <c r="O9" s="658" t="s">
        <v>143</v>
      </c>
      <c r="P9" s="658"/>
      <c r="Q9" s="658"/>
      <c r="R9" s="658"/>
      <c r="S9" s="662"/>
      <c r="T9" s="658">
        <v>15</v>
      </c>
      <c r="U9" s="658">
        <v>-30</v>
      </c>
      <c r="V9" s="658"/>
      <c r="W9" s="658">
        <v>1.4</v>
      </c>
      <c r="X9" s="658">
        <v>2.2999999999999998</v>
      </c>
      <c r="Y9" s="658"/>
      <c r="Z9" s="658">
        <v>0.45</v>
      </c>
      <c r="AA9" s="658"/>
      <c r="AB9" s="658"/>
      <c r="AC9" s="658"/>
      <c r="AD9" s="658"/>
      <c r="AE9" s="658"/>
      <c r="AF9" s="658"/>
      <c r="AG9" s="739"/>
      <c r="AH9" s="658"/>
      <c r="AI9" s="658"/>
      <c r="AJ9" s="658" t="s">
        <v>3048</v>
      </c>
      <c r="AK9" s="658"/>
      <c r="AL9" s="658"/>
      <c r="AM9" s="658" t="s">
        <v>1042</v>
      </c>
      <c r="AN9" s="662">
        <v>5.5</v>
      </c>
      <c r="AO9" s="658"/>
      <c r="AP9" s="658"/>
      <c r="AQ9" s="662"/>
      <c r="AR9" s="658"/>
      <c r="AS9" s="658"/>
      <c r="AT9" s="662">
        <f>+ab($U$9,$T$5,$U$13,$G$6,47,-1*$F$9,1200)</f>
        <v>-4.7241150235472213</v>
      </c>
      <c r="AU9" s="658"/>
      <c r="AV9" s="658"/>
      <c r="AW9" s="663" t="s">
        <v>4427</v>
      </c>
      <c r="AX9" s="663" t="s">
        <v>4434</v>
      </c>
      <c r="AY9" s="665">
        <v>4.5</v>
      </c>
      <c r="AZ9" s="665"/>
      <c r="BA9" s="670" t="s">
        <v>2809</v>
      </c>
      <c r="BB9" s="658" t="s">
        <v>4996</v>
      </c>
      <c r="BC9" s="169" t="s">
        <v>4955</v>
      </c>
      <c r="BD9" s="1329"/>
      <c r="BE9" s="1329"/>
      <c r="BF9" s="1329"/>
      <c r="BG9" s="1329"/>
    </row>
    <row r="10" spans="1:59" ht="15.65" customHeight="1">
      <c r="A10" s="658"/>
      <c r="B10" s="684"/>
      <c r="C10" s="739"/>
      <c r="D10" s="658"/>
      <c r="E10" s="658"/>
      <c r="F10" s="661"/>
      <c r="G10" s="662">
        <v>42</v>
      </c>
      <c r="H10" s="658"/>
      <c r="I10" s="661"/>
      <c r="J10" s="739"/>
      <c r="K10" s="658"/>
      <c r="L10" s="658"/>
      <c r="M10" s="658"/>
      <c r="N10" s="658"/>
      <c r="O10" s="658"/>
      <c r="P10" s="658"/>
      <c r="Q10" s="658"/>
      <c r="R10" s="658"/>
      <c r="S10" s="662"/>
      <c r="T10" s="658"/>
      <c r="U10" s="658"/>
      <c r="V10" s="658"/>
      <c r="W10" s="658"/>
      <c r="X10" s="658"/>
      <c r="Y10" s="658"/>
      <c r="Z10" s="658"/>
      <c r="AA10" s="658"/>
      <c r="AB10" s="658"/>
      <c r="AC10" s="658"/>
      <c r="AD10" s="658"/>
      <c r="AE10" s="658"/>
      <c r="AF10" s="658"/>
      <c r="AG10" s="739"/>
      <c r="AH10" s="658"/>
      <c r="AI10" s="658"/>
      <c r="AJ10" s="658" t="s">
        <v>1360</v>
      </c>
      <c r="AK10" s="658"/>
      <c r="AL10" s="658"/>
      <c r="AM10" s="658"/>
      <c r="AN10" s="662"/>
      <c r="AO10" s="658"/>
      <c r="AP10" s="658"/>
      <c r="AQ10" s="662"/>
      <c r="AR10" s="658"/>
      <c r="AS10" s="658"/>
      <c r="AT10" s="662"/>
      <c r="AU10" s="658"/>
      <c r="AV10" s="658"/>
      <c r="AW10" s="658"/>
      <c r="AX10" s="658"/>
      <c r="AY10" s="662"/>
      <c r="AZ10" s="662"/>
      <c r="BA10" s="670"/>
      <c r="BB10" s="658"/>
      <c r="BC10" s="169"/>
      <c r="BD10" s="1330"/>
      <c r="BE10" s="1330"/>
      <c r="BF10" s="1330"/>
      <c r="BG10" s="1330"/>
    </row>
    <row r="11" spans="1:59" ht="15.65" customHeight="1">
      <c r="A11" s="658" t="s">
        <v>4016</v>
      </c>
      <c r="B11" s="658" t="s">
        <v>4025</v>
      </c>
      <c r="C11" s="739">
        <f>C9-G10</f>
        <v>2063.2800000000002</v>
      </c>
      <c r="D11" s="658"/>
      <c r="E11" s="658"/>
      <c r="F11" s="661">
        <v>1159.7</v>
      </c>
      <c r="G11" s="662"/>
      <c r="H11" s="658"/>
      <c r="I11" s="661"/>
      <c r="J11" s="739"/>
      <c r="K11" s="658"/>
      <c r="L11" s="658" t="s">
        <v>1699</v>
      </c>
      <c r="M11" s="658" t="s">
        <v>4997</v>
      </c>
      <c r="N11" s="658"/>
      <c r="O11" s="658"/>
      <c r="P11" s="658"/>
      <c r="Q11" s="658"/>
      <c r="R11" s="658"/>
      <c r="S11" s="662"/>
      <c r="T11" s="658"/>
      <c r="U11" s="658"/>
      <c r="V11" s="658"/>
      <c r="W11" s="658"/>
      <c r="X11" s="658"/>
      <c r="Y11" s="658"/>
      <c r="Z11" s="658"/>
      <c r="AA11" s="658"/>
      <c r="AB11" s="658"/>
      <c r="AC11" s="658"/>
      <c r="AD11" s="658"/>
      <c r="AE11" s="658"/>
      <c r="AF11" s="658"/>
      <c r="AG11" s="739"/>
      <c r="AH11" s="658"/>
      <c r="AI11" s="658"/>
      <c r="AJ11" s="658" t="s">
        <v>883</v>
      </c>
      <c r="AK11" s="658"/>
      <c r="AL11" s="658"/>
      <c r="AM11" s="658" t="s">
        <v>1042</v>
      </c>
      <c r="AN11" s="662"/>
      <c r="AO11" s="658"/>
      <c r="AP11" s="658"/>
      <c r="AQ11" s="662"/>
      <c r="AR11" s="658"/>
      <c r="AS11" s="658"/>
      <c r="AT11" s="662"/>
      <c r="AU11" s="658"/>
      <c r="AV11" s="658"/>
      <c r="AW11" s="663" t="s">
        <v>4427</v>
      </c>
      <c r="AX11" s="663" t="s">
        <v>4434</v>
      </c>
      <c r="AY11" s="665" t="s">
        <v>4437</v>
      </c>
      <c r="AZ11" s="665"/>
      <c r="BA11" s="670"/>
      <c r="BB11" s="658" t="s">
        <v>4998</v>
      </c>
      <c r="BC11" s="169" t="s">
        <v>4955</v>
      </c>
      <c r="BD11" s="1329"/>
      <c r="BE11" s="1329"/>
      <c r="BF11" s="1329"/>
      <c r="BG11" s="1330"/>
    </row>
    <row r="12" spans="1:59" ht="15.65" customHeight="1">
      <c r="A12" s="658"/>
      <c r="B12" s="684"/>
      <c r="C12" s="739"/>
      <c r="D12" s="658"/>
      <c r="E12" s="658"/>
      <c r="F12" s="661"/>
      <c r="G12" s="662">
        <v>5</v>
      </c>
      <c r="H12" s="658"/>
      <c r="I12" s="661"/>
      <c r="J12" s="739"/>
      <c r="K12" s="658"/>
      <c r="L12" s="658"/>
      <c r="M12" s="658"/>
      <c r="N12" s="658"/>
      <c r="O12" s="658"/>
      <c r="P12" s="658"/>
      <c r="Q12" s="658"/>
      <c r="R12" s="658"/>
      <c r="S12" s="662"/>
      <c r="T12" s="658"/>
      <c r="U12" s="658"/>
      <c r="V12" s="658"/>
      <c r="W12" s="658"/>
      <c r="X12" s="658"/>
      <c r="Y12" s="658"/>
      <c r="Z12" s="658"/>
      <c r="AA12" s="658"/>
      <c r="AB12" s="658"/>
      <c r="AC12" s="658"/>
      <c r="AD12" s="658"/>
      <c r="AE12" s="658"/>
      <c r="AF12" s="658"/>
      <c r="AG12" s="739"/>
      <c r="AH12" s="658"/>
      <c r="AI12" s="658"/>
      <c r="AJ12" s="658"/>
      <c r="AK12" s="658"/>
      <c r="AL12" s="658"/>
      <c r="AM12" s="658"/>
      <c r="AN12" s="662"/>
      <c r="AO12" s="658"/>
      <c r="AP12" s="658"/>
      <c r="AQ12" s="662">
        <f>+FL_1($T$13,$T$9,47,1200,9.28,-1*$F$13)</f>
        <v>0.60166148490809768</v>
      </c>
      <c r="AR12" s="658"/>
      <c r="AS12" s="658"/>
      <c r="AT12" s="662"/>
      <c r="AU12" s="658"/>
      <c r="AV12" s="658"/>
      <c r="AW12" s="658"/>
      <c r="AX12" s="658"/>
      <c r="AY12" s="662"/>
      <c r="AZ12" s="662"/>
      <c r="BA12" s="670"/>
      <c r="BB12" s="658"/>
      <c r="BC12" s="169"/>
      <c r="BD12" s="1330"/>
      <c r="BE12" s="1330"/>
      <c r="BF12" s="1330"/>
      <c r="BG12" s="1330"/>
    </row>
    <row r="13" spans="1:59" ht="15.65" customHeight="1">
      <c r="A13" s="658" t="s">
        <v>4014</v>
      </c>
      <c r="B13" s="658" t="s">
        <v>4026</v>
      </c>
      <c r="C13" s="739">
        <f>C11-G12</f>
        <v>2058.2800000000002</v>
      </c>
      <c r="D13" s="658"/>
      <c r="E13" s="658"/>
      <c r="F13" s="661">
        <v>1159.7</v>
      </c>
      <c r="G13" s="662"/>
      <c r="H13" s="658" t="s">
        <v>619</v>
      </c>
      <c r="I13" s="661" t="s">
        <v>1429</v>
      </c>
      <c r="J13" s="739"/>
      <c r="K13" s="658"/>
      <c r="L13" s="658" t="s">
        <v>895</v>
      </c>
      <c r="M13" s="658" t="s">
        <v>4995</v>
      </c>
      <c r="N13" s="658" t="s">
        <v>143</v>
      </c>
      <c r="O13" s="658" t="s">
        <v>140</v>
      </c>
      <c r="P13" s="658"/>
      <c r="Q13" s="658"/>
      <c r="R13" s="658"/>
      <c r="S13" s="662"/>
      <c r="T13" s="658">
        <v>15</v>
      </c>
      <c r="U13" s="658">
        <v>-30</v>
      </c>
      <c r="V13" s="658"/>
      <c r="W13" s="658">
        <v>1.4</v>
      </c>
      <c r="X13" s="658">
        <v>2.2999999999999998</v>
      </c>
      <c r="Y13" s="658"/>
      <c r="Z13" s="658"/>
      <c r="AA13" s="658">
        <v>0.45</v>
      </c>
      <c r="AB13" s="658"/>
      <c r="AC13" s="658" t="str">
        <f>IF(OR(AT13&gt;8,AT13&lt;-8),"PH",IF(OR(AT13&gt;5,AT13&lt;-5),"PH-Q",IF(OR(AT13&gt;1,AT13&lt;-1),"PH-C")))</f>
        <v>PH-C</v>
      </c>
      <c r="AD13" s="658"/>
      <c r="AE13" s="658"/>
      <c r="AF13" s="658"/>
      <c r="AG13" s="739"/>
      <c r="AH13" s="658"/>
      <c r="AI13" s="658"/>
      <c r="AJ13" s="658" t="s">
        <v>3048</v>
      </c>
      <c r="AK13" s="658"/>
      <c r="AL13" s="658"/>
      <c r="AM13" s="658" t="s">
        <v>1042</v>
      </c>
      <c r="AN13" s="662">
        <v>5.5</v>
      </c>
      <c r="AO13" s="658"/>
      <c r="AP13" s="658"/>
      <c r="AQ13" s="662"/>
      <c r="AR13" s="658"/>
      <c r="AS13" s="658"/>
      <c r="AT13" s="662">
        <f>+ab($T$13,$T$9,$T$15,47,$G$14,-1*$F$13,1200)</f>
        <v>-4.8508634250688631</v>
      </c>
      <c r="AU13" s="658"/>
      <c r="AV13" s="658"/>
      <c r="AW13" s="663" t="s">
        <v>4427</v>
      </c>
      <c r="AX13" s="663" t="s">
        <v>4434</v>
      </c>
      <c r="AY13" s="665">
        <v>4.5</v>
      </c>
      <c r="AZ13" s="665"/>
      <c r="BA13" s="670" t="s">
        <v>2809</v>
      </c>
      <c r="BB13" s="658" t="s">
        <v>4996</v>
      </c>
      <c r="BC13" s="169" t="s">
        <v>4955</v>
      </c>
      <c r="BD13" s="1329"/>
      <c r="BE13" s="1329"/>
      <c r="BF13" s="1329"/>
      <c r="BG13" s="1329"/>
    </row>
    <row r="14" spans="1:59" ht="15.65" customHeight="1">
      <c r="A14" s="658"/>
      <c r="B14" s="684"/>
      <c r="C14" s="739"/>
      <c r="D14" s="658"/>
      <c r="E14" s="658"/>
      <c r="F14" s="661"/>
      <c r="G14" s="662">
        <v>47</v>
      </c>
      <c r="H14" s="658"/>
      <c r="I14" s="661"/>
      <c r="J14" s="739"/>
      <c r="K14" s="658"/>
      <c r="L14" s="658"/>
      <c r="M14" s="658"/>
      <c r="N14" s="658"/>
      <c r="O14" s="658"/>
      <c r="P14" s="658"/>
      <c r="Q14" s="658"/>
      <c r="R14" s="658"/>
      <c r="S14" s="662"/>
      <c r="T14" s="658"/>
      <c r="U14" s="658"/>
      <c r="V14" s="658"/>
      <c r="W14" s="658"/>
      <c r="X14" s="658"/>
      <c r="Y14" s="658"/>
      <c r="Z14" s="658"/>
      <c r="AA14" s="658"/>
      <c r="AB14" s="658"/>
      <c r="AC14" s="658"/>
      <c r="AD14" s="658"/>
      <c r="AE14" s="658"/>
      <c r="AF14" s="658"/>
      <c r="AG14" s="739"/>
      <c r="AH14" s="658"/>
      <c r="AI14" s="658"/>
      <c r="AJ14" s="658"/>
      <c r="AK14" s="658"/>
      <c r="AL14" s="658"/>
      <c r="AM14" s="658"/>
      <c r="AN14" s="662"/>
      <c r="AO14" s="658"/>
      <c r="AP14" s="658"/>
      <c r="AQ14" s="662">
        <f>+FL_1($U$15,$U$13,$G$14,1200,9.28,-1*$F$15)</f>
        <v>0.1270074110272274</v>
      </c>
      <c r="AR14" s="658"/>
      <c r="AS14" s="658"/>
      <c r="AT14" s="662"/>
      <c r="AU14" s="658"/>
      <c r="AV14" s="658"/>
      <c r="AW14" s="658"/>
      <c r="AX14" s="658"/>
      <c r="AY14" s="662"/>
      <c r="AZ14" s="662"/>
      <c r="BA14" s="670"/>
      <c r="BB14" s="658"/>
      <c r="BC14" s="169"/>
      <c r="BD14" s="1330"/>
      <c r="BE14" s="1330"/>
      <c r="BF14" s="1330"/>
      <c r="BG14" s="1330"/>
    </row>
    <row r="15" spans="1:59" ht="15.65" customHeight="1">
      <c r="A15" s="658"/>
      <c r="B15" s="658" t="s">
        <v>4027</v>
      </c>
      <c r="C15" s="739">
        <f>C13-G14</f>
        <v>2011.2800000000002</v>
      </c>
      <c r="D15" s="658"/>
      <c r="E15" s="658"/>
      <c r="F15" s="661">
        <v>1159.7</v>
      </c>
      <c r="G15" s="662"/>
      <c r="H15" s="658" t="s">
        <v>619</v>
      </c>
      <c r="I15" s="661"/>
      <c r="J15" s="739"/>
      <c r="K15" s="658"/>
      <c r="L15" s="658" t="s">
        <v>895</v>
      </c>
      <c r="M15" s="658" t="s">
        <v>4995</v>
      </c>
      <c r="N15" s="658" t="s">
        <v>140</v>
      </c>
      <c r="O15" s="658" t="s">
        <v>143</v>
      </c>
      <c r="P15" s="658"/>
      <c r="Q15" s="658"/>
      <c r="R15" s="658"/>
      <c r="S15" s="662"/>
      <c r="T15" s="658">
        <v>10</v>
      </c>
      <c r="U15" s="658">
        <v>-35</v>
      </c>
      <c r="V15" s="658"/>
      <c r="W15" s="658">
        <v>1.4</v>
      </c>
      <c r="X15" s="658">
        <v>2.2999999999999998</v>
      </c>
      <c r="Y15" s="658"/>
      <c r="Z15" s="658">
        <v>0.45</v>
      </c>
      <c r="AA15" s="658"/>
      <c r="AB15" s="658"/>
      <c r="AC15" s="658"/>
      <c r="AD15" s="658"/>
      <c r="AE15" s="658"/>
      <c r="AF15" s="658"/>
      <c r="AG15" s="739"/>
      <c r="AH15" s="658"/>
      <c r="AI15" s="658"/>
      <c r="AJ15" s="658"/>
      <c r="AK15" s="658"/>
      <c r="AL15" s="658"/>
      <c r="AM15" s="658" t="s">
        <v>1042</v>
      </c>
      <c r="AN15" s="662">
        <v>5.5</v>
      </c>
      <c r="AO15" s="658"/>
      <c r="AP15" s="658"/>
      <c r="AQ15" s="662"/>
      <c r="AR15" s="658"/>
      <c r="AS15" s="658"/>
      <c r="AT15" s="662">
        <f>+ab($T$15,$T$13,$T$19,$G$14,47,-1*$F$15,1200)</f>
        <v>-4.6038076879855527</v>
      </c>
      <c r="AU15" s="658"/>
      <c r="AV15" s="658"/>
      <c r="AW15" s="663" t="s">
        <v>4427</v>
      </c>
      <c r="AX15" s="663" t="s">
        <v>4434</v>
      </c>
      <c r="AY15" s="665">
        <v>4.5</v>
      </c>
      <c r="AZ15" s="665"/>
      <c r="BA15" s="670" t="s">
        <v>2809</v>
      </c>
      <c r="BB15" s="658" t="s">
        <v>4996</v>
      </c>
      <c r="BC15" s="169" t="s">
        <v>4955</v>
      </c>
      <c r="BD15" s="1329"/>
      <c r="BE15" s="1329"/>
      <c r="BF15" s="1329"/>
      <c r="BG15" s="1329"/>
    </row>
    <row r="16" spans="1:59" ht="15.65" customHeight="1">
      <c r="A16" s="658"/>
      <c r="B16" s="684"/>
      <c r="C16" s="739"/>
      <c r="D16" s="658"/>
      <c r="E16" s="658"/>
      <c r="F16" s="661"/>
      <c r="G16" s="662">
        <v>5</v>
      </c>
      <c r="H16" s="658"/>
      <c r="I16" s="661"/>
      <c r="J16" s="739"/>
      <c r="K16" s="658"/>
      <c r="L16" s="658"/>
      <c r="M16" s="658"/>
      <c r="N16" s="658"/>
      <c r="O16" s="658"/>
      <c r="P16" s="658"/>
      <c r="Q16" s="658"/>
      <c r="R16" s="658"/>
      <c r="S16" s="662"/>
      <c r="T16" s="658"/>
      <c r="U16" s="658"/>
      <c r="V16" s="658"/>
      <c r="W16" s="658"/>
      <c r="X16" s="658"/>
      <c r="Y16" s="658"/>
      <c r="Z16" s="658"/>
      <c r="AA16" s="658"/>
      <c r="AB16" s="658"/>
      <c r="AC16" s="658"/>
      <c r="AD16" s="658"/>
      <c r="AE16" s="658"/>
      <c r="AF16" s="658"/>
      <c r="AG16" s="739"/>
      <c r="AH16" s="658"/>
      <c r="AI16" s="658"/>
      <c r="AJ16" s="658"/>
      <c r="AK16" s="658"/>
      <c r="AL16" s="658"/>
      <c r="AM16" s="658"/>
      <c r="AN16" s="662"/>
      <c r="AO16" s="658"/>
      <c r="AP16" s="658"/>
      <c r="AQ16" s="662"/>
      <c r="AR16" s="658"/>
      <c r="AS16" s="658"/>
      <c r="AT16" s="662"/>
      <c r="AU16" s="658"/>
      <c r="AV16" s="658"/>
      <c r="AW16" s="658"/>
      <c r="AX16" s="658"/>
      <c r="AY16" s="662"/>
      <c r="AZ16" s="662"/>
      <c r="BA16" s="670"/>
      <c r="BB16" s="658"/>
      <c r="BC16" s="169"/>
      <c r="BD16" s="1330"/>
      <c r="BE16" s="1330"/>
      <c r="BF16" s="1330"/>
      <c r="BG16" s="1330"/>
    </row>
    <row r="17" spans="1:59" ht="15.65" customHeight="1">
      <c r="A17" s="658" t="s">
        <v>4017</v>
      </c>
      <c r="B17" s="658" t="s">
        <v>4028</v>
      </c>
      <c r="C17" s="739">
        <f>C15-G16</f>
        <v>2006.2800000000002</v>
      </c>
      <c r="D17" s="658"/>
      <c r="E17" s="658"/>
      <c r="F17" s="661">
        <v>1159.7</v>
      </c>
      <c r="G17" s="662"/>
      <c r="H17" s="658"/>
      <c r="I17" s="661"/>
      <c r="J17" s="739"/>
      <c r="K17" s="658"/>
      <c r="L17" s="658" t="s">
        <v>1699</v>
      </c>
      <c r="M17" s="658" t="s">
        <v>4997</v>
      </c>
      <c r="N17" s="658"/>
      <c r="O17" s="658"/>
      <c r="P17" s="658"/>
      <c r="Q17" s="658"/>
      <c r="R17" s="658"/>
      <c r="S17" s="662"/>
      <c r="T17" s="658"/>
      <c r="U17" s="658"/>
      <c r="V17" s="658"/>
      <c r="W17" s="658"/>
      <c r="X17" s="658"/>
      <c r="Y17" s="658"/>
      <c r="Z17" s="658"/>
      <c r="AA17" s="658"/>
      <c r="AB17" s="658"/>
      <c r="AC17" s="658"/>
      <c r="AD17" s="658"/>
      <c r="AE17" s="658"/>
      <c r="AF17" s="658"/>
      <c r="AG17" s="739"/>
      <c r="AH17" s="658"/>
      <c r="AI17" s="658"/>
      <c r="AJ17" s="658" t="s">
        <v>883</v>
      </c>
      <c r="AK17" s="658"/>
      <c r="AL17" s="658"/>
      <c r="AM17" s="658" t="s">
        <v>1042</v>
      </c>
      <c r="AN17" s="662"/>
      <c r="AO17" s="658"/>
      <c r="AP17" s="658"/>
      <c r="AQ17" s="662"/>
      <c r="AR17" s="658"/>
      <c r="AS17" s="658"/>
      <c r="AT17" s="662"/>
      <c r="AU17" s="658"/>
      <c r="AV17" s="658"/>
      <c r="AW17" s="663" t="s">
        <v>4427</v>
      </c>
      <c r="AX17" s="663" t="s">
        <v>4434</v>
      </c>
      <c r="AY17" s="665" t="s">
        <v>4437</v>
      </c>
      <c r="AZ17" s="665"/>
      <c r="BA17" s="670"/>
      <c r="BB17" s="658" t="s">
        <v>4998</v>
      </c>
      <c r="BC17" s="169" t="s">
        <v>4955</v>
      </c>
      <c r="BD17" s="1329"/>
      <c r="BE17" s="1329"/>
      <c r="BF17" s="1329"/>
      <c r="BG17" s="1330"/>
    </row>
    <row r="18" spans="1:59" ht="15.65" customHeight="1">
      <c r="A18" s="658"/>
      <c r="B18" s="684"/>
      <c r="C18" s="739"/>
      <c r="D18" s="658"/>
      <c r="E18" s="658"/>
      <c r="F18" s="661"/>
      <c r="G18" s="662">
        <v>42</v>
      </c>
      <c r="H18" s="658"/>
      <c r="I18" s="661"/>
      <c r="J18" s="739"/>
      <c r="K18" s="658"/>
      <c r="L18" s="658"/>
      <c r="M18" s="658"/>
      <c r="N18" s="658"/>
      <c r="O18" s="658"/>
      <c r="P18" s="658"/>
      <c r="Q18" s="658"/>
      <c r="R18" s="658"/>
      <c r="S18" s="662"/>
      <c r="T18" s="658"/>
      <c r="U18" s="658"/>
      <c r="V18" s="658"/>
      <c r="W18" s="658"/>
      <c r="X18" s="658"/>
      <c r="Y18" s="658"/>
      <c r="Z18" s="658"/>
      <c r="AA18" s="658"/>
      <c r="AB18" s="658"/>
      <c r="AC18" s="658"/>
      <c r="AD18" s="658"/>
      <c r="AE18" s="658"/>
      <c r="AF18" s="658"/>
      <c r="AG18" s="739"/>
      <c r="AH18" s="658"/>
      <c r="AI18" s="658"/>
      <c r="AJ18" s="658"/>
      <c r="AK18" s="658"/>
      <c r="AL18" s="658"/>
      <c r="AM18" s="658"/>
      <c r="AN18" s="662"/>
      <c r="AO18" s="658"/>
      <c r="AP18" s="658"/>
      <c r="AQ18" s="662">
        <f>+FL_1($T$19,$T$15,47,1200,9.28,-1*$F$19)</f>
        <v>0.55166148490809763</v>
      </c>
      <c r="AR18" s="658"/>
      <c r="AS18" s="658"/>
      <c r="AT18" s="662"/>
      <c r="AU18" s="658"/>
      <c r="AV18" s="658"/>
      <c r="AW18" s="658"/>
      <c r="AX18" s="658"/>
      <c r="AY18" s="662"/>
      <c r="AZ18" s="662"/>
      <c r="BA18" s="670"/>
      <c r="BB18" s="658"/>
      <c r="BC18" s="169"/>
      <c r="BD18" s="1330"/>
      <c r="BE18" s="1330"/>
      <c r="BF18" s="1330"/>
      <c r="BG18" s="1330"/>
    </row>
    <row r="19" spans="1:59" ht="15.65" customHeight="1">
      <c r="A19" s="658" t="s">
        <v>4015</v>
      </c>
      <c r="B19" s="684" t="s">
        <v>3991</v>
      </c>
      <c r="C19" s="739">
        <f>C17-G18</f>
        <v>1964.2800000000002</v>
      </c>
      <c r="D19" s="658"/>
      <c r="E19" s="658"/>
      <c r="F19" s="661">
        <v>1159.7</v>
      </c>
      <c r="G19" s="662"/>
      <c r="H19" s="658" t="s">
        <v>619</v>
      </c>
      <c r="I19" s="661" t="s">
        <v>1429</v>
      </c>
      <c r="J19" s="739"/>
      <c r="K19" s="658"/>
      <c r="L19" s="658" t="s">
        <v>895</v>
      </c>
      <c r="M19" s="658" t="s">
        <v>4995</v>
      </c>
      <c r="N19" s="658" t="s">
        <v>143</v>
      </c>
      <c r="O19" s="658" t="s">
        <v>140</v>
      </c>
      <c r="P19" s="658"/>
      <c r="Q19" s="658"/>
      <c r="R19" s="658"/>
      <c r="S19" s="662"/>
      <c r="T19" s="658">
        <v>10</v>
      </c>
      <c r="U19" s="658">
        <v>-35</v>
      </c>
      <c r="V19" s="658"/>
      <c r="W19" s="658">
        <v>1.4</v>
      </c>
      <c r="X19" s="658">
        <v>2.2999999999999998</v>
      </c>
      <c r="Y19" s="658"/>
      <c r="Z19" s="658"/>
      <c r="AA19" s="658">
        <v>0.45</v>
      </c>
      <c r="AB19" s="658"/>
      <c r="AC19" s="658" t="str">
        <f>IF(OR(AT19&gt;8,AT19&lt;-8),"PH",IF(OR(AT19&gt;5,AT19&lt;-5),"PH-Q",IF(OR(AT19&gt;1,AT19&lt;-1),"PH-C")))</f>
        <v>PH-Q</v>
      </c>
      <c r="AD19" s="658"/>
      <c r="AE19" s="658"/>
      <c r="AF19" s="658"/>
      <c r="AG19" s="739"/>
      <c r="AH19" s="658"/>
      <c r="AI19" s="658"/>
      <c r="AJ19" s="658" t="s">
        <v>3048</v>
      </c>
      <c r="AK19" s="658"/>
      <c r="AL19" s="658"/>
      <c r="AM19" s="658" t="s">
        <v>1042</v>
      </c>
      <c r="AN19" s="662">
        <v>5.5</v>
      </c>
      <c r="AO19" s="658"/>
      <c r="AP19" s="658"/>
      <c r="AQ19" s="662"/>
      <c r="AR19" s="658"/>
      <c r="AS19" s="658"/>
      <c r="AT19" s="662">
        <f>+ab($T$19,$T$15,$T$23,47,$G$22,-1*$F$19,1200)</f>
        <v>-5.9717276436879239</v>
      </c>
      <c r="AU19" s="658"/>
      <c r="AV19" s="658"/>
      <c r="AW19" s="663" t="s">
        <v>4427</v>
      </c>
      <c r="AX19" s="663" t="s">
        <v>4434</v>
      </c>
      <c r="AY19" s="665">
        <v>4.5</v>
      </c>
      <c r="AZ19" s="665"/>
      <c r="BA19" s="670" t="s">
        <v>2809</v>
      </c>
      <c r="BB19" s="658" t="s">
        <v>4996</v>
      </c>
      <c r="BC19" s="169" t="s">
        <v>4955</v>
      </c>
      <c r="BD19" s="1329"/>
      <c r="BE19" s="1329"/>
      <c r="BF19" s="1329"/>
      <c r="BG19" s="1329"/>
    </row>
    <row r="20" spans="1:59" ht="15.65" customHeight="1">
      <c r="A20" s="658"/>
      <c r="B20" s="684"/>
      <c r="C20" s="739"/>
      <c r="D20" s="658"/>
      <c r="E20" s="658"/>
      <c r="F20" s="661"/>
      <c r="G20" s="662"/>
      <c r="H20" s="658"/>
      <c r="I20" s="661"/>
      <c r="J20" s="739"/>
      <c r="K20" s="658"/>
      <c r="L20" s="658"/>
      <c r="M20" s="658"/>
      <c r="N20" s="658"/>
      <c r="O20" s="658"/>
      <c r="P20" s="658"/>
      <c r="Q20" s="658"/>
      <c r="R20" s="658"/>
      <c r="S20" s="662"/>
      <c r="T20" s="658"/>
      <c r="U20" s="658"/>
      <c r="V20" s="658"/>
      <c r="W20" s="658"/>
      <c r="X20" s="658"/>
      <c r="Y20" s="658"/>
      <c r="Z20" s="658"/>
      <c r="AA20" s="658"/>
      <c r="AB20" s="658"/>
      <c r="AC20" s="658"/>
      <c r="AD20" s="658"/>
      <c r="AE20" s="658"/>
      <c r="AF20" s="658"/>
      <c r="AG20" s="739"/>
      <c r="AH20" s="658"/>
      <c r="AI20" s="658"/>
      <c r="AJ20" s="658" t="s">
        <v>1360</v>
      </c>
      <c r="AK20" s="658"/>
      <c r="AL20" s="658"/>
      <c r="AM20" s="658"/>
      <c r="AN20" s="662"/>
      <c r="AO20" s="658"/>
      <c r="AP20" s="658"/>
      <c r="AQ20" s="662"/>
      <c r="AR20" s="658"/>
      <c r="AS20" s="658"/>
      <c r="AT20" s="662"/>
      <c r="AU20" s="658"/>
      <c r="AV20" s="658"/>
      <c r="AW20" s="658"/>
      <c r="AX20" s="658"/>
      <c r="AY20" s="662"/>
      <c r="AZ20" s="662"/>
      <c r="BA20" s="670"/>
      <c r="BB20" s="658"/>
      <c r="BC20" s="169"/>
      <c r="BD20" s="1330"/>
      <c r="BE20" s="1330"/>
      <c r="BF20" s="1330"/>
      <c r="BG20" s="1330"/>
    </row>
    <row r="21" spans="1:59" ht="15.65" customHeight="1">
      <c r="A21" s="658"/>
      <c r="B21" s="684" t="s">
        <v>4943</v>
      </c>
      <c r="C21" s="739">
        <f>C19-25</f>
        <v>1939.2800000000002</v>
      </c>
      <c r="D21" s="658"/>
      <c r="E21" s="658"/>
      <c r="F21" s="661"/>
      <c r="G21" s="662"/>
      <c r="H21" s="658"/>
      <c r="I21" s="661"/>
      <c r="J21" s="739"/>
      <c r="K21" s="658"/>
      <c r="L21" s="663" t="s">
        <v>4420</v>
      </c>
      <c r="M21" s="663" t="s">
        <v>4399</v>
      </c>
      <c r="N21" s="658"/>
      <c r="O21" s="658"/>
      <c r="P21" s="658"/>
      <c r="Q21" s="658"/>
      <c r="R21" s="658"/>
      <c r="S21" s="662"/>
      <c r="T21" s="658"/>
      <c r="U21" s="658"/>
      <c r="V21" s="658"/>
      <c r="W21" s="658"/>
      <c r="X21" s="658"/>
      <c r="Y21" s="658"/>
      <c r="Z21" s="658"/>
      <c r="AA21" s="658"/>
      <c r="AB21" s="658"/>
      <c r="AC21" s="658"/>
      <c r="AD21" s="658"/>
      <c r="AE21" s="658"/>
      <c r="AF21" s="658"/>
      <c r="AG21" s="739"/>
      <c r="AH21" s="658"/>
      <c r="AI21" s="658"/>
      <c r="AJ21" s="658"/>
      <c r="AK21" s="658"/>
      <c r="AL21" s="658"/>
      <c r="AM21" s="658"/>
      <c r="AN21" s="662"/>
      <c r="AO21" s="658"/>
      <c r="AP21" s="658"/>
      <c r="AQ21" s="662"/>
      <c r="AR21" s="658"/>
      <c r="AS21" s="658"/>
      <c r="AT21" s="662"/>
      <c r="AU21" s="658"/>
      <c r="AV21" s="658"/>
      <c r="AW21" s="663" t="s">
        <v>4427</v>
      </c>
      <c r="AX21" s="663" t="s">
        <v>4434</v>
      </c>
      <c r="AY21" s="665"/>
      <c r="AZ21" s="665"/>
      <c r="BA21" s="670"/>
      <c r="BB21" s="658"/>
      <c r="BC21" s="169"/>
      <c r="BD21" s="1329"/>
      <c r="BE21" s="1329"/>
      <c r="BF21" s="1329"/>
      <c r="BG21" s="1330"/>
    </row>
    <row r="22" spans="1:59" ht="15.65" customHeight="1">
      <c r="A22" s="658"/>
      <c r="B22" s="658"/>
      <c r="C22" s="739"/>
      <c r="D22" s="658"/>
      <c r="E22" s="658"/>
      <c r="F22" s="661"/>
      <c r="G22" s="662">
        <v>47</v>
      </c>
      <c r="H22" s="658"/>
      <c r="I22" s="661"/>
      <c r="J22" s="739"/>
      <c r="K22" s="658"/>
      <c r="L22" s="658"/>
      <c r="M22" s="658"/>
      <c r="N22" s="658"/>
      <c r="O22" s="658"/>
      <c r="P22" s="658"/>
      <c r="Q22" s="658"/>
      <c r="R22" s="658"/>
      <c r="S22" s="662"/>
      <c r="T22" s="658"/>
      <c r="U22" s="658"/>
      <c r="V22" s="658"/>
      <c r="W22" s="658"/>
      <c r="X22" s="658"/>
      <c r="Y22" s="658"/>
      <c r="Z22" s="658"/>
      <c r="AA22" s="658"/>
      <c r="AB22" s="658"/>
      <c r="AC22" s="658"/>
      <c r="AD22" s="658"/>
      <c r="AE22" s="658"/>
      <c r="AF22" s="658"/>
      <c r="AG22" s="739"/>
      <c r="AH22" s="658"/>
      <c r="AI22" s="658"/>
      <c r="AJ22" s="658"/>
      <c r="AK22" s="658"/>
      <c r="AL22" s="658"/>
      <c r="AM22" s="658"/>
      <c r="AN22" s="662"/>
      <c r="AO22" s="658"/>
      <c r="AP22" s="658"/>
      <c r="AQ22" s="662">
        <f>+FL_1($T$23,$T$19,$G$22,1200,9.28,-1*$F$23)</f>
        <v>0.37380081425845213</v>
      </c>
      <c r="AR22" s="658"/>
      <c r="AS22" s="658"/>
      <c r="AT22" s="662"/>
      <c r="AU22" s="658"/>
      <c r="AV22" s="658"/>
      <c r="AW22" s="658"/>
      <c r="AX22" s="658"/>
      <c r="AY22" s="662"/>
      <c r="AZ22" s="662"/>
      <c r="BA22" s="670"/>
      <c r="BB22" s="658"/>
      <c r="BC22" s="169"/>
      <c r="BD22" s="1330"/>
      <c r="BE22" s="1330"/>
      <c r="BF22" s="1330"/>
      <c r="BG22" s="1330"/>
    </row>
    <row r="23" spans="1:59" ht="15.65" customHeight="1">
      <c r="A23" s="658"/>
      <c r="B23" s="684" t="s">
        <v>3992</v>
      </c>
      <c r="C23" s="739">
        <f>C19-G22</f>
        <v>1917.2800000000002</v>
      </c>
      <c r="D23" s="658"/>
      <c r="E23" s="658"/>
      <c r="F23" s="661">
        <v>1159.7</v>
      </c>
      <c r="G23" s="662"/>
      <c r="H23" s="658" t="s">
        <v>138</v>
      </c>
      <c r="I23" s="661" t="s">
        <v>623</v>
      </c>
      <c r="J23" s="739"/>
      <c r="K23" s="658"/>
      <c r="L23" s="658" t="s">
        <v>899</v>
      </c>
      <c r="M23" s="658" t="s">
        <v>4993</v>
      </c>
      <c r="N23" s="658" t="s">
        <v>143</v>
      </c>
      <c r="O23" s="658"/>
      <c r="P23" s="658"/>
      <c r="Q23" s="658"/>
      <c r="R23" s="658"/>
      <c r="S23" s="662"/>
      <c r="T23" s="658">
        <v>-30</v>
      </c>
      <c r="U23" s="658"/>
      <c r="V23" s="658"/>
      <c r="W23" s="658">
        <v>1.4</v>
      </c>
      <c r="X23" s="658"/>
      <c r="Y23" s="658"/>
      <c r="Z23" s="658"/>
      <c r="AA23" s="658"/>
      <c r="AB23" s="658"/>
      <c r="AC23" s="658" t="str">
        <f>IF(OR(AT23&gt;8,AT23&lt;-8),"PH",IF(OR(AT23&gt;5,AT23&lt;-5),"PH-Q",IF(OR(AT23&gt;1,AT23&lt;-1),"PH-C")))</f>
        <v>PH-C</v>
      </c>
      <c r="AD23" s="658"/>
      <c r="AE23" s="658"/>
      <c r="AF23" s="658"/>
      <c r="AG23" s="739"/>
      <c r="AH23" s="658"/>
      <c r="AI23" s="658"/>
      <c r="AJ23" s="658"/>
      <c r="AK23" s="658"/>
      <c r="AL23" s="658"/>
      <c r="AM23" s="658" t="s">
        <v>1042</v>
      </c>
      <c r="AN23" s="662">
        <v>5.5</v>
      </c>
      <c r="AO23" s="658"/>
      <c r="AP23" s="658"/>
      <c r="AQ23" s="662"/>
      <c r="AR23" s="658"/>
      <c r="AS23" s="658"/>
      <c r="AT23" s="662">
        <f>+ab($T$23,$T$19,$T$25,$G$22,$G$24,-1*$F$23,1200)</f>
        <v>-3.8730988192473994</v>
      </c>
      <c r="AU23" s="658"/>
      <c r="AV23" s="658"/>
      <c r="AW23" s="663" t="s">
        <v>4427</v>
      </c>
      <c r="AX23" s="663" t="s">
        <v>4434</v>
      </c>
      <c r="AY23" s="665">
        <v>4.5</v>
      </c>
      <c r="AZ23" s="665"/>
      <c r="BA23" s="670" t="s">
        <v>2809</v>
      </c>
      <c r="BB23" s="658" t="s">
        <v>4994</v>
      </c>
      <c r="BC23" s="169" t="s">
        <v>4955</v>
      </c>
      <c r="BD23" s="1329"/>
      <c r="BE23" s="1329"/>
      <c r="BF23" s="1329"/>
      <c r="BG23" s="1329"/>
    </row>
    <row r="24" spans="1:59" ht="15.65" customHeight="1">
      <c r="A24" s="658" t="s">
        <v>4008</v>
      </c>
      <c r="B24" s="658"/>
      <c r="C24" s="739"/>
      <c r="D24" s="658"/>
      <c r="E24" s="658"/>
      <c r="F24" s="661"/>
      <c r="G24" s="662">
        <v>48</v>
      </c>
      <c r="H24" s="658"/>
      <c r="I24" s="661"/>
      <c r="J24" s="739">
        <f>C23-7.5</f>
        <v>1909.7800000000002</v>
      </c>
      <c r="K24" s="658" t="s">
        <v>1662</v>
      </c>
      <c r="L24" s="658"/>
      <c r="M24" s="658"/>
      <c r="N24" s="658"/>
      <c r="O24" s="658"/>
      <c r="P24" s="658"/>
      <c r="Q24" s="658"/>
      <c r="R24" s="658"/>
      <c r="S24" s="662"/>
      <c r="T24" s="658"/>
      <c r="U24" s="658"/>
      <c r="V24" s="658"/>
      <c r="W24" s="658"/>
      <c r="X24" s="658"/>
      <c r="Y24" s="658"/>
      <c r="Z24" s="658"/>
      <c r="AA24" s="658"/>
      <c r="AB24" s="658"/>
      <c r="AC24" s="658"/>
      <c r="AD24" s="658"/>
      <c r="AE24" s="658"/>
      <c r="AF24" s="658"/>
      <c r="AG24" s="739"/>
      <c r="AH24" s="658"/>
      <c r="AI24" s="658"/>
      <c r="AJ24" s="658"/>
      <c r="AK24" s="658"/>
      <c r="AL24" s="658"/>
      <c r="AM24" s="658"/>
      <c r="AN24" s="662"/>
      <c r="AO24" s="658"/>
      <c r="AP24" s="658"/>
      <c r="AQ24" s="662">
        <f>+FL_2($T$25,$T$23,$G$24,1200,9.28,-1*$F$25)</f>
        <v>-0.30002135450286477</v>
      </c>
      <c r="AR24" s="658"/>
      <c r="AS24" s="658"/>
      <c r="AT24" s="662"/>
      <c r="AU24" s="658"/>
      <c r="AV24" s="658"/>
      <c r="AW24" s="658" t="s">
        <v>4427</v>
      </c>
      <c r="AX24" s="658" t="s">
        <v>4434</v>
      </c>
      <c r="AY24" s="662"/>
      <c r="AZ24" s="662">
        <v>3.3</v>
      </c>
      <c r="BA24" s="670" t="s">
        <v>2809</v>
      </c>
      <c r="BB24" s="658"/>
      <c r="BC24" s="169" t="s">
        <v>4955</v>
      </c>
      <c r="BD24" s="1329"/>
      <c r="BE24" s="1330"/>
      <c r="BF24" s="1330"/>
      <c r="BG24" s="1330"/>
    </row>
    <row r="25" spans="1:59" ht="15.65" customHeight="1">
      <c r="A25" s="1239"/>
      <c r="B25" s="572" t="s">
        <v>3993</v>
      </c>
      <c r="C25" s="171">
        <f>C23-G24</f>
        <v>1869.2800000000002</v>
      </c>
      <c r="D25" s="1239"/>
      <c r="E25" s="1239"/>
      <c r="F25" s="448">
        <v>1159.7</v>
      </c>
      <c r="G25" s="455"/>
      <c r="H25" s="1239"/>
      <c r="I25" s="448"/>
      <c r="J25" s="171"/>
      <c r="K25" s="1239"/>
      <c r="L25" s="1239" t="s">
        <v>232</v>
      </c>
      <c r="M25" s="1239" t="s">
        <v>4993</v>
      </c>
      <c r="N25" s="1239" t="s">
        <v>143</v>
      </c>
      <c r="O25" s="1239"/>
      <c r="P25" s="1239"/>
      <c r="Q25" s="1239"/>
      <c r="R25" s="1239"/>
      <c r="S25" s="455"/>
      <c r="T25" s="1239">
        <v>-30</v>
      </c>
      <c r="U25" s="1239"/>
      <c r="V25" s="1239"/>
      <c r="W25" s="1239">
        <v>1.4</v>
      </c>
      <c r="X25" s="1239"/>
      <c r="Y25" s="1239"/>
      <c r="Z25" s="1239"/>
      <c r="AA25" s="1239"/>
      <c r="AB25" s="1239"/>
      <c r="AC25" s="1239" t="str">
        <f>IF(OR(AT25&gt;8,AT25&lt;-8),"PH",IF(OR(AT25&gt;5,AT25&lt;-5),"PH-Q",IF(OR(AT25&gt;1,AT25&lt;-1),"PH-C")))</f>
        <v>PH-C</v>
      </c>
      <c r="AD25" s="1239"/>
      <c r="AE25" s="1239"/>
      <c r="AF25" s="1239"/>
      <c r="AG25" s="171"/>
      <c r="AH25" s="1239"/>
      <c r="AI25" s="1239"/>
      <c r="AJ25" s="1239"/>
      <c r="AK25" s="1239"/>
      <c r="AL25" s="1239"/>
      <c r="AM25" s="1239" t="s">
        <v>1042</v>
      </c>
      <c r="AN25" s="455">
        <v>5.5</v>
      </c>
      <c r="AO25" s="1239"/>
      <c r="AP25" s="1239"/>
      <c r="AQ25" s="455"/>
      <c r="AR25" s="1239"/>
      <c r="AS25" s="1239"/>
      <c r="AT25" s="455">
        <f>+ab($T$25,$T$23,$T$27,$G$24,$G$26,-1*$F$25,1200)</f>
        <v>-4.6261276555959316</v>
      </c>
      <c r="AU25" s="1239"/>
      <c r="AV25" s="1239"/>
      <c r="AW25" s="1239" t="s">
        <v>4427</v>
      </c>
      <c r="AX25" s="1239" t="s">
        <v>4434</v>
      </c>
      <c r="AY25" s="455">
        <v>4.5</v>
      </c>
      <c r="AZ25" s="455"/>
      <c r="BA25" s="671" t="s">
        <v>2809</v>
      </c>
      <c r="BB25" s="1239" t="s">
        <v>4999</v>
      </c>
      <c r="BC25" s="169" t="s">
        <v>4955</v>
      </c>
      <c r="BD25" s="1329"/>
      <c r="BE25" s="1329"/>
      <c r="BF25" s="1329"/>
      <c r="BG25" s="1329"/>
    </row>
    <row r="26" spans="1:59" ht="15.65" customHeight="1">
      <c r="A26" s="1239"/>
      <c r="B26" s="1239"/>
      <c r="C26" s="171"/>
      <c r="D26" s="1239"/>
      <c r="E26" s="1239"/>
      <c r="F26" s="448"/>
      <c r="G26" s="455">
        <v>48</v>
      </c>
      <c r="H26" s="1239"/>
      <c r="I26" s="448"/>
      <c r="J26" s="171"/>
      <c r="K26" s="1239"/>
      <c r="L26" s="1239"/>
      <c r="M26" s="1239"/>
      <c r="N26" s="1239"/>
      <c r="O26" s="1239"/>
      <c r="P26" s="1239"/>
      <c r="Q26" s="1239"/>
      <c r="R26" s="1239"/>
      <c r="S26" s="455"/>
      <c r="T26" s="1239"/>
      <c r="U26" s="1239"/>
      <c r="V26" s="1239"/>
      <c r="W26" s="1239"/>
      <c r="X26" s="1239"/>
      <c r="Y26" s="1239"/>
      <c r="Z26" s="1239"/>
      <c r="AA26" s="1239"/>
      <c r="AB26" s="1239"/>
      <c r="AC26" s="1239"/>
      <c r="AD26" s="1239"/>
      <c r="AE26" s="1239"/>
      <c r="AF26" s="1239"/>
      <c r="AG26" s="171"/>
      <c r="AH26" s="1239"/>
      <c r="AI26" s="1239"/>
      <c r="AJ26" s="1239"/>
      <c r="AK26" s="1239"/>
      <c r="AL26" s="1239"/>
      <c r="AM26" s="1239"/>
      <c r="AN26" s="455"/>
      <c r="AO26" s="1239"/>
      <c r="AP26" s="1239"/>
      <c r="AQ26" s="455">
        <f>+FL_2($T$27,$T$25,$G$26,1200,9.28,-1*$F$27)</f>
        <v>-0.30002135450286477</v>
      </c>
      <c r="AR26" s="1239"/>
      <c r="AS26" s="1239"/>
      <c r="AT26" s="455"/>
      <c r="AU26" s="1239"/>
      <c r="AV26" s="1239"/>
      <c r="AW26" s="1239"/>
      <c r="AX26" s="1239"/>
      <c r="AY26" s="455"/>
      <c r="AZ26" s="455"/>
      <c r="BA26" s="671"/>
      <c r="BB26" s="1239"/>
      <c r="BC26" s="169"/>
      <c r="BD26" s="1330"/>
      <c r="BE26" s="1330"/>
      <c r="BF26" s="1330"/>
      <c r="BG26" s="1330"/>
    </row>
    <row r="27" spans="1:59" ht="15.65" customHeight="1">
      <c r="A27" s="1239"/>
      <c r="B27" s="572" t="s">
        <v>3994</v>
      </c>
      <c r="C27" s="171">
        <f>C25-G26</f>
        <v>1821.2800000000002</v>
      </c>
      <c r="D27" s="1239"/>
      <c r="E27" s="1239"/>
      <c r="F27" s="448">
        <v>1159.7</v>
      </c>
      <c r="G27" s="455"/>
      <c r="H27" s="1239"/>
      <c r="I27" s="448"/>
      <c r="J27" s="171"/>
      <c r="K27" s="1239"/>
      <c r="L27" s="1239" t="s">
        <v>232</v>
      </c>
      <c r="M27" s="1239" t="s">
        <v>4993</v>
      </c>
      <c r="N27" s="1239" t="s">
        <v>143</v>
      </c>
      <c r="O27" s="1239"/>
      <c r="P27" s="1239"/>
      <c r="Q27" s="1239"/>
      <c r="R27" s="1239"/>
      <c r="S27" s="455"/>
      <c r="T27" s="1239">
        <v>-30</v>
      </c>
      <c r="U27" s="1239"/>
      <c r="V27" s="1239"/>
      <c r="W27" s="1239">
        <v>1.4</v>
      </c>
      <c r="X27" s="1239"/>
      <c r="Y27" s="1239"/>
      <c r="Z27" s="1239"/>
      <c r="AA27" s="1239"/>
      <c r="AB27" s="1239"/>
      <c r="AC27" s="1239" t="str">
        <f>IF(OR(AT27&gt;8,AT27&lt;-8),"PH",IF(OR(AT27&gt;5,AT27&lt;-5),"PH-Q",IF(OR(AT27&gt;1,AT27&lt;-1),"PH-C")))</f>
        <v>PH-C</v>
      </c>
      <c r="AD27" s="1239"/>
      <c r="AE27" s="1239"/>
      <c r="AF27" s="1239"/>
      <c r="AG27" s="171"/>
      <c r="AH27" s="1239"/>
      <c r="AI27" s="1239"/>
      <c r="AJ27" s="1239"/>
      <c r="AK27" s="1239"/>
      <c r="AL27" s="1239"/>
      <c r="AM27" s="1239" t="s">
        <v>1042</v>
      </c>
      <c r="AN27" s="455">
        <v>5.5</v>
      </c>
      <c r="AO27" s="1239"/>
      <c r="AP27" s="1239"/>
      <c r="AQ27" s="455"/>
      <c r="AR27" s="1239"/>
      <c r="AS27" s="1239"/>
      <c r="AT27" s="455">
        <f>+ab($T$27,$T$25,$T$29,$G$26,$G$28,-1*$F$27,1200)</f>
        <v>-4.6261276555959316</v>
      </c>
      <c r="AU27" s="1239"/>
      <c r="AV27" s="1239"/>
      <c r="AW27" s="1239" t="s">
        <v>4427</v>
      </c>
      <c r="AX27" s="1239" t="s">
        <v>4434</v>
      </c>
      <c r="AY27" s="455">
        <v>4.5</v>
      </c>
      <c r="AZ27" s="455"/>
      <c r="BA27" s="671" t="s">
        <v>2809</v>
      </c>
      <c r="BB27" s="1239" t="s">
        <v>4999</v>
      </c>
      <c r="BC27" s="169" t="s">
        <v>4955</v>
      </c>
      <c r="BD27" s="1329"/>
      <c r="BE27" s="1329"/>
      <c r="BF27" s="1329"/>
      <c r="BG27" s="1329"/>
    </row>
    <row r="28" spans="1:59" ht="15.65" customHeight="1">
      <c r="A28" s="1239"/>
      <c r="B28" s="1239"/>
      <c r="C28" s="171"/>
      <c r="D28" s="1239"/>
      <c r="E28" s="1239"/>
      <c r="F28" s="448"/>
      <c r="G28" s="455">
        <v>48</v>
      </c>
      <c r="H28" s="1239"/>
      <c r="I28" s="448"/>
      <c r="J28" s="171"/>
      <c r="K28" s="1239"/>
      <c r="L28" s="1239"/>
      <c r="M28" s="1239"/>
      <c r="N28" s="1239"/>
      <c r="O28" s="1239"/>
      <c r="P28" s="1239"/>
      <c r="Q28" s="1239"/>
      <c r="R28" s="1239"/>
      <c r="S28" s="455"/>
      <c r="T28" s="1239"/>
      <c r="U28" s="1239"/>
      <c r="V28" s="1239"/>
      <c r="W28" s="1239"/>
      <c r="X28" s="1239"/>
      <c r="Y28" s="1239"/>
      <c r="Z28" s="1239"/>
      <c r="AA28" s="1239"/>
      <c r="AB28" s="1239"/>
      <c r="AC28" s="1239"/>
      <c r="AD28" s="1239"/>
      <c r="AE28" s="1239"/>
      <c r="AF28" s="1239"/>
      <c r="AG28" s="171"/>
      <c r="AH28" s="1239"/>
      <c r="AI28" s="1239"/>
      <c r="AJ28" s="1239"/>
      <c r="AK28" s="1239"/>
      <c r="AL28" s="1239"/>
      <c r="AM28" s="1239"/>
      <c r="AN28" s="455"/>
      <c r="AO28" s="1239"/>
      <c r="AP28" s="1239"/>
      <c r="AQ28" s="455">
        <f>+FL_2($T$29,$T$27,$G$28,1200,9.28,-1*$F$29)</f>
        <v>-0.30002135450286477</v>
      </c>
      <c r="AR28" s="1239"/>
      <c r="AS28" s="1239"/>
      <c r="AT28" s="455"/>
      <c r="AU28" s="1239"/>
      <c r="AV28" s="1239"/>
      <c r="AW28" s="1239"/>
      <c r="AX28" s="1239"/>
      <c r="AY28" s="455"/>
      <c r="AZ28" s="455"/>
      <c r="BA28" s="671"/>
      <c r="BB28" s="1239"/>
      <c r="BC28" s="169"/>
      <c r="BD28" s="1330"/>
      <c r="BE28" s="1330"/>
      <c r="BF28" s="1330"/>
      <c r="BG28" s="1330"/>
    </row>
    <row r="29" spans="1:59" ht="15.65" customHeight="1">
      <c r="A29" s="1239"/>
      <c r="B29" s="572" t="s">
        <v>3995</v>
      </c>
      <c r="C29" s="171">
        <f>C27-G28</f>
        <v>1773.2800000000002</v>
      </c>
      <c r="D29" s="1239"/>
      <c r="E29" s="1239"/>
      <c r="F29" s="448">
        <v>1159.7</v>
      </c>
      <c r="G29" s="455"/>
      <c r="H29" s="1239"/>
      <c r="I29" s="448"/>
      <c r="J29" s="171"/>
      <c r="K29" s="1239"/>
      <c r="L29" s="1239" t="s">
        <v>232</v>
      </c>
      <c r="M29" s="1239" t="s">
        <v>4993</v>
      </c>
      <c r="N29" s="1239" t="s">
        <v>143</v>
      </c>
      <c r="O29" s="1239"/>
      <c r="P29" s="1239"/>
      <c r="Q29" s="1239"/>
      <c r="R29" s="1239"/>
      <c r="S29" s="455"/>
      <c r="T29" s="1239">
        <v>-30</v>
      </c>
      <c r="U29" s="1239"/>
      <c r="V29" s="1239"/>
      <c r="W29" s="1239">
        <v>1.4</v>
      </c>
      <c r="X29" s="1239"/>
      <c r="Y29" s="1239"/>
      <c r="Z29" s="1239"/>
      <c r="AA29" s="1239"/>
      <c r="AB29" s="1239"/>
      <c r="AC29" s="1239" t="str">
        <f>IF(OR(AT29&gt;8,AT29&lt;-8),"PH",IF(OR(AT29&gt;5,AT29&lt;-5),"PH-Q",IF(OR(AT29&gt;1,AT29&lt;-1),"PH-C")))</f>
        <v>PH-C</v>
      </c>
      <c r="AD29" s="1239"/>
      <c r="AE29" s="1239"/>
      <c r="AF29" s="1239"/>
      <c r="AG29" s="171"/>
      <c r="AH29" s="1239"/>
      <c r="AI29" s="1239"/>
      <c r="AJ29" s="1239"/>
      <c r="AK29" s="1239"/>
      <c r="AL29" s="1239"/>
      <c r="AM29" s="1239" t="s">
        <v>1042</v>
      </c>
      <c r="AN29" s="455">
        <v>5.5</v>
      </c>
      <c r="AO29" s="1239"/>
      <c r="AP29" s="1239"/>
      <c r="AQ29" s="455"/>
      <c r="AR29" s="1239"/>
      <c r="AS29" s="1239"/>
      <c r="AT29" s="455">
        <f>+ab($T$29,$T$27,$T$31,$G$28,$G$30,-1*$F$29,1200)</f>
        <v>-4.8684668296579146</v>
      </c>
      <c r="AU29" s="1239"/>
      <c r="AV29" s="1239"/>
      <c r="AW29" s="1239" t="s">
        <v>4427</v>
      </c>
      <c r="AX29" s="1239" t="s">
        <v>4434</v>
      </c>
      <c r="AY29" s="455">
        <v>4.5</v>
      </c>
      <c r="AZ29" s="455"/>
      <c r="BA29" s="671" t="s">
        <v>2809</v>
      </c>
      <c r="BB29" s="1239" t="s">
        <v>4999</v>
      </c>
      <c r="BC29" s="169" t="s">
        <v>4955</v>
      </c>
      <c r="BD29" s="1329"/>
      <c r="BE29" s="1329"/>
      <c r="BF29" s="1329"/>
      <c r="BG29" s="1329"/>
    </row>
    <row r="30" spans="1:59" ht="15.65" customHeight="1">
      <c r="A30" s="1239"/>
      <c r="B30" s="1239"/>
      <c r="C30" s="171"/>
      <c r="D30" s="1239"/>
      <c r="E30" s="1239"/>
      <c r="F30" s="448"/>
      <c r="G30" s="455">
        <v>43.2</v>
      </c>
      <c r="H30" s="1239"/>
      <c r="I30" s="448"/>
      <c r="J30" s="171">
        <f>C31+7.5</f>
        <v>1737.5800000000002</v>
      </c>
      <c r="K30" s="1239" t="s">
        <v>1666</v>
      </c>
      <c r="L30" s="1239"/>
      <c r="M30" s="1239"/>
      <c r="N30" s="1239"/>
      <c r="O30" s="1239"/>
      <c r="P30" s="1239"/>
      <c r="Q30" s="1239"/>
      <c r="R30" s="1239"/>
      <c r="S30" s="455"/>
      <c r="T30" s="1239"/>
      <c r="U30" s="1239"/>
      <c r="V30" s="1239"/>
      <c r="W30" s="1239"/>
      <c r="X30" s="1239"/>
      <c r="Y30" s="1239"/>
      <c r="Z30" s="1239"/>
      <c r="AA30" s="1239"/>
      <c r="AB30" s="1239"/>
      <c r="AC30" s="1239"/>
      <c r="AD30" s="1239"/>
      <c r="AE30" s="1239"/>
      <c r="AF30" s="1239"/>
      <c r="AG30" s="171"/>
      <c r="AH30" s="1239"/>
      <c r="AI30" s="1239"/>
      <c r="AJ30" s="1239"/>
      <c r="AK30" s="1239"/>
      <c r="AL30" s="1239"/>
      <c r="AM30" s="1239"/>
      <c r="AN30" s="455"/>
      <c r="AO30" s="1239"/>
      <c r="AP30" s="1239"/>
      <c r="AQ30" s="455">
        <f>+FL_2($T$31,$T$29,$G$30,1200,9.28,-1*$F$31)</f>
        <v>-0.30001921949887872</v>
      </c>
      <c r="AR30" s="1239"/>
      <c r="AS30" s="1239"/>
      <c r="AT30" s="455"/>
      <c r="AU30" s="1239"/>
      <c r="AV30" s="1239"/>
      <c r="AW30" s="1239" t="s">
        <v>4427</v>
      </c>
      <c r="AX30" s="1239" t="s">
        <v>4434</v>
      </c>
      <c r="AY30" s="455"/>
      <c r="AZ30" s="455">
        <v>2.8</v>
      </c>
      <c r="BA30" s="671" t="s">
        <v>2809</v>
      </c>
      <c r="BB30" s="1239"/>
      <c r="BC30" s="169" t="s">
        <v>4955</v>
      </c>
      <c r="BD30" s="1329"/>
      <c r="BE30" s="1330"/>
      <c r="BF30" s="1330"/>
      <c r="BG30" s="1330"/>
    </row>
    <row r="31" spans="1:59" ht="15.65" customHeight="1">
      <c r="A31" s="1239"/>
      <c r="B31" s="572" t="s">
        <v>3996</v>
      </c>
      <c r="C31" s="171">
        <f>C29-G30</f>
        <v>1730.0800000000002</v>
      </c>
      <c r="D31" s="1239"/>
      <c r="E31" s="1239"/>
      <c r="F31" s="448">
        <v>1159.7</v>
      </c>
      <c r="G31" s="455"/>
      <c r="H31" s="1239" t="s">
        <v>873</v>
      </c>
      <c r="I31" s="448"/>
      <c r="J31" s="171"/>
      <c r="K31" s="1239"/>
      <c r="L31" s="1239" t="s">
        <v>232</v>
      </c>
      <c r="M31" s="1239" t="s">
        <v>4993</v>
      </c>
      <c r="N31" s="1239" t="s">
        <v>143</v>
      </c>
      <c r="O31" s="1239"/>
      <c r="P31" s="1239"/>
      <c r="Q31" s="1239"/>
      <c r="R31" s="1239"/>
      <c r="S31" s="455"/>
      <c r="T31" s="1239">
        <v>-30</v>
      </c>
      <c r="U31" s="1239"/>
      <c r="V31" s="1239"/>
      <c r="W31" s="1239">
        <v>1.4</v>
      </c>
      <c r="X31" s="1239"/>
      <c r="Y31" s="1239"/>
      <c r="Z31" s="1239"/>
      <c r="AA31" s="1239"/>
      <c r="AB31" s="1239"/>
      <c r="AC31" s="1239" t="str">
        <f>IF(OR(AT31&gt;8,AT31&lt;-8),"PH",IF(OR(AT31&gt;5,AT31&lt;-5),"PH-Q",IF(OR(AT31&gt;1,AT31&lt;-1),"PH-C")))</f>
        <v>PH-C</v>
      </c>
      <c r="AD31" s="1239"/>
      <c r="AE31" s="1239"/>
      <c r="AF31" s="1239"/>
      <c r="AG31" s="171"/>
      <c r="AH31" s="1239"/>
      <c r="AI31" s="1239"/>
      <c r="AJ31" s="1239"/>
      <c r="AK31" s="1239"/>
      <c r="AL31" s="1239"/>
      <c r="AM31" s="1239" t="s">
        <v>1042</v>
      </c>
      <c r="AN31" s="455">
        <v>5.5</v>
      </c>
      <c r="AO31" s="1239"/>
      <c r="AP31" s="1239"/>
      <c r="AQ31" s="455"/>
      <c r="AR31" s="1239"/>
      <c r="AS31" s="1239"/>
      <c r="AT31" s="455">
        <f>+ab($T$31,$T$29,$T$33,$G$30,$G$32,-1*$F$31,1200)</f>
        <v>-4.9882946817436791</v>
      </c>
      <c r="AU31" s="1239"/>
      <c r="AV31" s="1239"/>
      <c r="AW31" s="1239" t="s">
        <v>4427</v>
      </c>
      <c r="AX31" s="1239" t="s">
        <v>4434</v>
      </c>
      <c r="AY31" s="455">
        <v>4.5</v>
      </c>
      <c r="AZ31" s="455"/>
      <c r="BA31" s="1387" t="s">
        <v>2809</v>
      </c>
      <c r="BB31" s="1239" t="s">
        <v>5000</v>
      </c>
      <c r="BC31" s="169"/>
      <c r="BD31" s="1329"/>
      <c r="BE31" s="1329"/>
      <c r="BF31" s="1329"/>
      <c r="BG31" s="1329"/>
    </row>
    <row r="32" spans="1:59" ht="15.65" customHeight="1">
      <c r="A32" s="1239"/>
      <c r="B32" s="1239"/>
      <c r="C32" s="171"/>
      <c r="D32" s="1239"/>
      <c r="E32" s="1239"/>
      <c r="F32" s="448"/>
      <c r="G32" s="455">
        <v>40</v>
      </c>
      <c r="H32" s="1239"/>
      <c r="I32" s="448">
        <f>SUM(G6:G32)</f>
        <v>462.2</v>
      </c>
      <c r="J32" s="171"/>
      <c r="K32" s="1239"/>
      <c r="L32" s="1239"/>
      <c r="M32" s="1239"/>
      <c r="N32" s="1239"/>
      <c r="O32" s="1239"/>
      <c r="P32" s="1239"/>
      <c r="Q32" s="1239"/>
      <c r="R32" s="1239"/>
      <c r="S32" s="455"/>
      <c r="T32" s="1239"/>
      <c r="U32" s="1239"/>
      <c r="V32" s="1239"/>
      <c r="W32" s="1239"/>
      <c r="X32" s="1239"/>
      <c r="Y32" s="1239"/>
      <c r="Z32" s="1239"/>
      <c r="AA32" s="1239"/>
      <c r="AB32" s="1239"/>
      <c r="AC32" s="1239"/>
      <c r="AD32" s="1239"/>
      <c r="AE32" s="1239"/>
      <c r="AF32" s="1239"/>
      <c r="AG32" s="171"/>
      <c r="AH32" s="1239"/>
      <c r="AI32" s="1239"/>
      <c r="AJ32" s="1239"/>
      <c r="AK32" s="1239"/>
      <c r="AL32" s="1239"/>
      <c r="AM32" s="1239"/>
      <c r="AN32" s="455"/>
      <c r="AO32" s="1239"/>
      <c r="AP32" s="1239"/>
      <c r="AQ32" s="455">
        <f>+FL_2($T$33,$T$31,$G$32,1200,9.28,-1*$F$33)</f>
        <v>-0.32471470269224406</v>
      </c>
      <c r="AR32" s="1239"/>
      <c r="AS32" s="1239"/>
      <c r="AT32" s="455"/>
      <c r="AU32" s="1239"/>
      <c r="AV32" s="1239"/>
      <c r="AW32" s="1239"/>
      <c r="AX32" s="1239"/>
      <c r="AY32" s="455"/>
      <c r="AZ32" s="455"/>
      <c r="BA32" s="1387"/>
      <c r="BB32" s="1239"/>
      <c r="BC32" s="169" t="s">
        <v>4955</v>
      </c>
      <c r="BD32" s="1330"/>
      <c r="BE32" s="1330"/>
      <c r="BF32" s="1330"/>
      <c r="BG32" s="1330"/>
    </row>
    <row r="33" spans="1:59" ht="15.65" customHeight="1">
      <c r="A33" s="1239"/>
      <c r="B33" s="572" t="s">
        <v>3997</v>
      </c>
      <c r="C33" s="171">
        <f>C31-G32</f>
        <v>1690.0800000000002</v>
      </c>
      <c r="D33" s="1239"/>
      <c r="E33" s="1239"/>
      <c r="F33" s="448">
        <f>-(240^2)/(1664.29-C33)</f>
        <v>2233.4238076773777</v>
      </c>
      <c r="G33" s="455"/>
      <c r="H33" s="1239" t="s">
        <v>874</v>
      </c>
      <c r="I33" s="448"/>
      <c r="J33" s="171"/>
      <c r="K33" s="1239"/>
      <c r="L33" s="1239" t="s">
        <v>230</v>
      </c>
      <c r="M33" s="1239" t="s">
        <v>5001</v>
      </c>
      <c r="N33" s="1239" t="s">
        <v>143</v>
      </c>
      <c r="O33" s="1239"/>
      <c r="P33" s="1239"/>
      <c r="Q33" s="1239"/>
      <c r="R33" s="1239"/>
      <c r="S33" s="455"/>
      <c r="T33" s="1239">
        <v>-20</v>
      </c>
      <c r="U33" s="1239"/>
      <c r="V33" s="1239"/>
      <c r="W33" s="1239">
        <v>1.4</v>
      </c>
      <c r="X33" s="1239"/>
      <c r="Y33" s="1239"/>
      <c r="Z33" s="1239"/>
      <c r="AA33" s="1239"/>
      <c r="AB33" s="1239"/>
      <c r="AC33" s="1239" t="str">
        <f>IF(OR(AT33&gt;8,AT33&lt;-8),"PH",IF(OR(AT33&gt;5,AT33&lt;-5),"PH-Q",IF(OR(AT33&gt;1,AT33&lt;-1),"PH-C")))</f>
        <v>PH-Q</v>
      </c>
      <c r="AD33" s="1239"/>
      <c r="AE33" s="1239"/>
      <c r="AF33" s="1239"/>
      <c r="AG33" s="171"/>
      <c r="AH33" s="1239"/>
      <c r="AI33" s="1239"/>
      <c r="AJ33" s="1239"/>
      <c r="AK33" s="1239"/>
      <c r="AL33" s="1239"/>
      <c r="AM33" s="1239" t="s">
        <v>1042</v>
      </c>
      <c r="AN33" s="455">
        <v>5.5</v>
      </c>
      <c r="AO33" s="1239"/>
      <c r="AP33" s="1239"/>
      <c r="AQ33" s="455"/>
      <c r="AR33" s="1239"/>
      <c r="AS33" s="1239"/>
      <c r="AT33" s="455">
        <f>+ab($T$33,$T$31,$T$35,$G$32,$G$34,-1*$F$33,1200)</f>
        <v>-6.8427574112875007</v>
      </c>
      <c r="AU33" s="1239"/>
      <c r="AV33" s="1239"/>
      <c r="AW33" s="1239" t="s">
        <v>4427</v>
      </c>
      <c r="AX33" s="1239" t="s">
        <v>4434</v>
      </c>
      <c r="AY33" s="455">
        <v>4.5</v>
      </c>
      <c r="AZ33" s="455"/>
      <c r="BA33" s="1387" t="s">
        <v>2809</v>
      </c>
      <c r="BB33" s="1239" t="s">
        <v>5002</v>
      </c>
      <c r="BC33" s="169"/>
      <c r="BD33" s="1329"/>
      <c r="BE33" s="1329"/>
      <c r="BF33" s="1329"/>
      <c r="BG33" s="1329"/>
    </row>
    <row r="34" spans="1:59" ht="15.65" customHeight="1">
      <c r="A34" s="1239"/>
      <c r="B34" s="1239"/>
      <c r="C34" s="171"/>
      <c r="D34" s="1239"/>
      <c r="E34" s="1239"/>
      <c r="F34" s="448"/>
      <c r="G34" s="455">
        <v>40</v>
      </c>
      <c r="H34" s="1239"/>
      <c r="I34" s="448">
        <f>SUM(G34:G60)</f>
        <v>479</v>
      </c>
      <c r="J34" s="171"/>
      <c r="K34" s="1239"/>
      <c r="L34" s="1239"/>
      <c r="M34" s="1239"/>
      <c r="N34" s="1239"/>
      <c r="O34" s="1239"/>
      <c r="P34" s="1239"/>
      <c r="Q34" s="1239"/>
      <c r="R34" s="1239"/>
      <c r="S34" s="455"/>
      <c r="T34" s="1239"/>
      <c r="U34" s="1239"/>
      <c r="V34" s="1239"/>
      <c r="W34" s="1239"/>
      <c r="X34" s="1239"/>
      <c r="Y34" s="1239"/>
      <c r="Z34" s="1239"/>
      <c r="AA34" s="1239"/>
      <c r="AB34" s="1239"/>
      <c r="AC34" s="1239"/>
      <c r="AD34" s="1239"/>
      <c r="AE34" s="1239"/>
      <c r="AF34" s="1239"/>
      <c r="AG34" s="171"/>
      <c r="AH34" s="1239"/>
      <c r="AI34" s="1239"/>
      <c r="AJ34" s="1239"/>
      <c r="AK34" s="1239"/>
      <c r="AL34" s="1239"/>
      <c r="AM34" s="1239"/>
      <c r="AN34" s="455"/>
      <c r="AO34" s="1239"/>
      <c r="AP34" s="1239"/>
      <c r="AQ34" s="455">
        <f>+FL_1($T$35,$T$33,$G$34,1200,9.28,-1*$F$35)</f>
        <v>0.30569036799999999</v>
      </c>
      <c r="AR34" s="1239"/>
      <c r="AS34" s="1239"/>
      <c r="AT34" s="455"/>
      <c r="AU34" s="1239"/>
      <c r="AV34" s="1239"/>
      <c r="AW34" s="1239"/>
      <c r="AX34" s="1239"/>
      <c r="AY34" s="455"/>
      <c r="AZ34" s="455"/>
      <c r="BA34" s="1387"/>
      <c r="BB34" s="1239"/>
      <c r="BC34" s="169" t="s">
        <v>4955</v>
      </c>
      <c r="BD34" s="1330"/>
      <c r="BE34" s="1330"/>
      <c r="BF34" s="1330"/>
      <c r="BG34" s="1330"/>
    </row>
    <row r="35" spans="1:59" ht="15.65" customHeight="1">
      <c r="A35" s="1239"/>
      <c r="B35" s="572" t="s">
        <v>3998</v>
      </c>
      <c r="C35" s="171">
        <f>C33-G34</f>
        <v>1650.0800000000002</v>
      </c>
      <c r="D35" s="1239"/>
      <c r="E35" s="1239"/>
      <c r="F35" s="448">
        <v>0</v>
      </c>
      <c r="G35" s="455"/>
      <c r="H35" s="1239" t="s">
        <v>873</v>
      </c>
      <c r="I35" s="448"/>
      <c r="J35" s="171"/>
      <c r="K35" s="1239"/>
      <c r="L35" s="1239" t="s">
        <v>230</v>
      </c>
      <c r="M35" s="1239" t="s">
        <v>5001</v>
      </c>
      <c r="N35" s="1239" t="s">
        <v>144</v>
      </c>
      <c r="O35" s="1239"/>
      <c r="P35" s="1239"/>
      <c r="Q35" s="1239"/>
      <c r="R35" s="1239"/>
      <c r="S35" s="455"/>
      <c r="T35" s="1239">
        <v>30</v>
      </c>
      <c r="U35" s="1239"/>
      <c r="V35" s="1239"/>
      <c r="W35" s="1239">
        <v>1.4</v>
      </c>
      <c r="X35" s="1239"/>
      <c r="Y35" s="1239"/>
      <c r="Z35" s="1239"/>
      <c r="AA35" s="1239"/>
      <c r="AB35" s="1239"/>
      <c r="AC35" s="1239" t="str">
        <f>IF(OR(AT35&gt;8,AT35&lt;-8),"PH",IF(OR(AT35&gt;5,AT35&lt;-5),"PH-Q",IF(OR(AT35&gt;1,AT35&lt;-1),"PH-C")))</f>
        <v>PH-Q</v>
      </c>
      <c r="AD35" s="1239"/>
      <c r="AE35" s="1239"/>
      <c r="AF35" s="1239"/>
      <c r="AG35" s="171"/>
      <c r="AH35" s="1239"/>
      <c r="AI35" s="1239"/>
      <c r="AJ35" s="1239"/>
      <c r="AK35" s="1239"/>
      <c r="AL35" s="1239"/>
      <c r="AM35" s="1239" t="s">
        <v>1042</v>
      </c>
      <c r="AN35" s="455">
        <v>5.5</v>
      </c>
      <c r="AO35" s="1239"/>
      <c r="AP35" s="1239"/>
      <c r="AQ35" s="455"/>
      <c r="AR35" s="1239"/>
      <c r="AS35" s="1239"/>
      <c r="AT35" s="455">
        <f>+ab($T$35,$T$33,$T$37,$G$34,$G$36,-1*$F$35,1200)</f>
        <v>7.6302639858461596</v>
      </c>
      <c r="AU35" s="1239"/>
      <c r="AV35" s="1239"/>
      <c r="AW35" s="1239" t="s">
        <v>4427</v>
      </c>
      <c r="AX35" s="1239" t="s">
        <v>4434</v>
      </c>
      <c r="AY35" s="455">
        <v>4.5</v>
      </c>
      <c r="AZ35" s="455"/>
      <c r="BA35" s="1387" t="s">
        <v>2809</v>
      </c>
      <c r="BB35" s="1239" t="s">
        <v>5000</v>
      </c>
      <c r="BC35" s="169"/>
      <c r="BD35" s="1329"/>
      <c r="BE35" s="1329"/>
      <c r="BF35" s="1329"/>
      <c r="BG35" s="1329"/>
    </row>
    <row r="36" spans="1:59" ht="15.65" customHeight="1">
      <c r="A36" s="1239"/>
      <c r="B36" s="1239"/>
      <c r="C36" s="171"/>
      <c r="D36" s="1239"/>
      <c r="E36" s="1239"/>
      <c r="F36" s="448"/>
      <c r="G36" s="455">
        <v>40</v>
      </c>
      <c r="H36" s="1239"/>
      <c r="I36" s="448"/>
      <c r="J36" s="171">
        <f>C35-7.5</f>
        <v>1642.5800000000002</v>
      </c>
      <c r="K36" s="1239" t="s">
        <v>1666</v>
      </c>
      <c r="L36" s="1239"/>
      <c r="M36" s="1239"/>
      <c r="N36" s="1239"/>
      <c r="O36" s="1239"/>
      <c r="P36" s="1239"/>
      <c r="Q36" s="1239"/>
      <c r="R36" s="1239"/>
      <c r="S36" s="455"/>
      <c r="T36" s="1239"/>
      <c r="U36" s="1239"/>
      <c r="V36" s="1239"/>
      <c r="W36" s="1239"/>
      <c r="X36" s="1239"/>
      <c r="Y36" s="1239"/>
      <c r="Z36" s="1239"/>
      <c r="AA36" s="1239"/>
      <c r="AB36" s="1239"/>
      <c r="AC36" s="1239"/>
      <c r="AD36" s="1239"/>
      <c r="AE36" s="1239"/>
      <c r="AF36" s="1239"/>
      <c r="AG36" s="171"/>
      <c r="AH36" s="1239"/>
      <c r="AI36" s="1239"/>
      <c r="AJ36" s="1239"/>
      <c r="AK36" s="1239"/>
      <c r="AL36" s="1239"/>
      <c r="AM36" s="1239"/>
      <c r="AN36" s="455"/>
      <c r="AO36" s="1239"/>
      <c r="AP36" s="1239"/>
      <c r="AQ36" s="455">
        <f>+FL_1($T$37,$T$35,$G$36,1200,9.28,-1*$F$39)</f>
        <v>0.44871268721473206</v>
      </c>
      <c r="AR36" s="1239"/>
      <c r="AS36" s="1239"/>
      <c r="AT36" s="455"/>
      <c r="AU36" s="1239"/>
      <c r="AV36" s="1239"/>
      <c r="AW36" s="1239" t="s">
        <v>4427</v>
      </c>
      <c r="AX36" s="1239" t="s">
        <v>4434</v>
      </c>
      <c r="AY36" s="455"/>
      <c r="AZ36" s="455">
        <v>2.8</v>
      </c>
      <c r="BA36" s="1387" t="s">
        <v>2809</v>
      </c>
      <c r="BB36" s="1239"/>
      <c r="BC36" s="169" t="s">
        <v>4955</v>
      </c>
      <c r="BD36" s="1330"/>
      <c r="BE36" s="1330"/>
      <c r="BF36" s="1330"/>
      <c r="BG36" s="1330"/>
    </row>
    <row r="37" spans="1:59" ht="15.65" customHeight="1">
      <c r="A37" s="1239"/>
      <c r="B37" s="438" t="s">
        <v>5026</v>
      </c>
      <c r="C37" s="171">
        <f>C35-G36</f>
        <v>1610.0800000000002</v>
      </c>
      <c r="D37" s="1239"/>
      <c r="E37" s="1239"/>
      <c r="F37" s="448">
        <f>(206^2)/(1615.01-C37)</f>
        <v>8607.7079107507925</v>
      </c>
      <c r="G37" s="455"/>
      <c r="H37" s="1239"/>
      <c r="I37" s="448"/>
      <c r="J37" s="171"/>
      <c r="K37" s="1239"/>
      <c r="L37" s="1239" t="s">
        <v>230</v>
      </c>
      <c r="M37" s="1239" t="s">
        <v>5001</v>
      </c>
      <c r="N37" s="1239" t="s">
        <v>143</v>
      </c>
      <c r="O37" s="1239"/>
      <c r="P37" s="1239"/>
      <c r="Q37" s="1239"/>
      <c r="R37" s="1239"/>
      <c r="S37" s="455"/>
      <c r="T37" s="1239">
        <v>-20</v>
      </c>
      <c r="U37" s="1239"/>
      <c r="V37" s="1239"/>
      <c r="W37" s="1239">
        <v>1.4</v>
      </c>
      <c r="X37" s="1239"/>
      <c r="Y37" s="1239"/>
      <c r="Z37" s="1239"/>
      <c r="AA37" s="1239"/>
      <c r="AB37" s="1239"/>
      <c r="AC37" s="1239" t="str">
        <f>IF(OR(AT37&gt;8,AT37&lt;-8),"PH",IF(OR(AT37&gt;5,AT37&lt;-5),"PH-Q",IF(OR(AT37&gt;1,AT37&lt;-1),"PH-C")))</f>
        <v>PH</v>
      </c>
      <c r="AD37" s="1239"/>
      <c r="AE37" s="1239"/>
      <c r="AF37" s="1239"/>
      <c r="AG37" s="171"/>
      <c r="AH37" s="1239"/>
      <c r="AI37" s="1239"/>
      <c r="AJ37" s="1239"/>
      <c r="AK37" s="1239"/>
      <c r="AL37" s="1239"/>
      <c r="AM37" s="1239" t="s">
        <v>1042</v>
      </c>
      <c r="AN37" s="455">
        <v>5.5</v>
      </c>
      <c r="AO37" s="1239"/>
      <c r="AP37" s="1239"/>
      <c r="AQ37" s="455"/>
      <c r="AR37" s="1239"/>
      <c r="AS37" s="1239"/>
      <c r="AT37" s="455">
        <f>+ab($T$37,$T$35,$T$39,$G$36,$G$38,-1*$F$37,1200)</f>
        <v>-13.15031653345844</v>
      </c>
      <c r="AU37" s="1239"/>
      <c r="AV37" s="1239"/>
      <c r="AW37" s="1239" t="s">
        <v>4427</v>
      </c>
      <c r="AX37" s="1239" t="s">
        <v>4434</v>
      </c>
      <c r="AY37" s="455">
        <v>4.5</v>
      </c>
      <c r="AZ37" s="455"/>
      <c r="BA37" s="1387" t="s">
        <v>2809</v>
      </c>
      <c r="BB37" s="1239" t="s">
        <v>4999</v>
      </c>
      <c r="BC37" s="169" t="s">
        <v>4955</v>
      </c>
      <c r="BD37" s="1329"/>
      <c r="BE37" s="1329"/>
      <c r="BF37" s="1329"/>
      <c r="BG37" s="1329"/>
    </row>
    <row r="38" spans="1:59" ht="15.65" customHeight="1">
      <c r="A38" s="1239"/>
      <c r="B38" s="1239"/>
      <c r="C38" s="171"/>
      <c r="D38" s="1239"/>
      <c r="E38" s="1239"/>
      <c r="F38" s="448"/>
      <c r="G38" s="455">
        <v>37.5</v>
      </c>
      <c r="H38" s="1239"/>
      <c r="I38" s="448"/>
      <c r="J38" s="171"/>
      <c r="K38" s="1239"/>
      <c r="L38" s="1239"/>
      <c r="M38" s="1239"/>
      <c r="N38" s="1239"/>
      <c r="O38" s="1239"/>
      <c r="P38" s="1239"/>
      <c r="Q38" s="1239"/>
      <c r="R38" s="1239"/>
      <c r="S38" s="455"/>
      <c r="T38" s="1239"/>
      <c r="U38" s="1239"/>
      <c r="V38" s="1239"/>
      <c r="W38" s="1239"/>
      <c r="X38" s="1239"/>
      <c r="Y38" s="1239"/>
      <c r="Z38" s="1239"/>
      <c r="AA38" s="1239"/>
      <c r="AB38" s="1239"/>
      <c r="AC38" s="1239"/>
      <c r="AD38" s="1239"/>
      <c r="AE38" s="1239"/>
      <c r="AF38" s="1239"/>
      <c r="AG38" s="171"/>
      <c r="AH38" s="1239"/>
      <c r="AI38" s="1239"/>
      <c r="AJ38" s="1239"/>
      <c r="AK38" s="1239"/>
      <c r="AL38" s="1239"/>
      <c r="AM38" s="1239"/>
      <c r="AN38" s="455"/>
      <c r="AO38" s="1239"/>
      <c r="AP38" s="1239"/>
      <c r="AQ38" s="455">
        <f>+FL_1($T$39,$T$37,$G$38,1200,9.28,-1*$F$39)</f>
        <v>6.3714304056806628E-2</v>
      </c>
      <c r="AR38" s="1239"/>
      <c r="AS38" s="1239"/>
      <c r="AT38" s="455"/>
      <c r="AU38" s="1239"/>
      <c r="AV38" s="1239"/>
      <c r="AW38" s="1239"/>
      <c r="AX38" s="1239"/>
      <c r="AY38" s="455"/>
      <c r="AZ38" s="455"/>
      <c r="BA38" s="1387"/>
      <c r="BB38" s="1239"/>
      <c r="BC38" s="169"/>
      <c r="BD38" s="1330"/>
      <c r="BE38" s="1330"/>
      <c r="BF38" s="1330"/>
      <c r="BG38" s="1330"/>
    </row>
    <row r="39" spans="1:59" ht="15.65" customHeight="1">
      <c r="A39" s="1239"/>
      <c r="B39" s="714" t="s">
        <v>3999</v>
      </c>
      <c r="C39" s="171">
        <f>C37-G38</f>
        <v>1572.5800000000002</v>
      </c>
      <c r="D39" s="1239"/>
      <c r="E39" s="1239"/>
      <c r="F39" s="448">
        <f>(206^2)/(1615.01-C39)</f>
        <v>1000.1414093801594</v>
      </c>
      <c r="G39" s="455"/>
      <c r="H39" s="1239"/>
      <c r="I39" s="448"/>
      <c r="J39" s="171"/>
      <c r="K39" s="1239"/>
      <c r="L39" s="1239" t="s">
        <v>232</v>
      </c>
      <c r="M39" s="1239" t="s">
        <v>4993</v>
      </c>
      <c r="N39" s="1239" t="s">
        <v>143</v>
      </c>
      <c r="O39" s="1239"/>
      <c r="P39" s="1239"/>
      <c r="Q39" s="1239"/>
      <c r="R39" s="1239"/>
      <c r="S39" s="455"/>
      <c r="T39" s="1239">
        <v>-30</v>
      </c>
      <c r="U39" s="1239"/>
      <c r="V39" s="1239"/>
      <c r="W39" s="1239">
        <v>1.4</v>
      </c>
      <c r="X39" s="1239"/>
      <c r="Y39" s="1239"/>
      <c r="Z39" s="1239"/>
      <c r="AA39" s="1239"/>
      <c r="AB39" s="1239"/>
      <c r="AC39" s="1239" t="str">
        <f>IF(OR(AT39&gt;8,AT39&lt;-8),"PH",IF(OR(AT39&gt;5,AT39&lt;-5),"PH-Q",IF(OR(AT39&gt;1,AT39&lt;-1),"PH-C")))</f>
        <v>PH-C</v>
      </c>
      <c r="AD39" s="1239"/>
      <c r="AE39" s="1239"/>
      <c r="AF39" s="1239"/>
      <c r="AG39" s="171"/>
      <c r="AH39" s="1239"/>
      <c r="AI39" s="1239"/>
      <c r="AJ39" s="1239"/>
      <c r="AK39" s="1239"/>
      <c r="AL39" s="1239"/>
      <c r="AM39" s="1239" t="s">
        <v>1042</v>
      </c>
      <c r="AN39" s="455">
        <v>5.5</v>
      </c>
      <c r="AO39" s="1239"/>
      <c r="AP39" s="1239"/>
      <c r="AQ39" s="455"/>
      <c r="AR39" s="1239"/>
      <c r="AS39" s="1239"/>
      <c r="AT39" s="455">
        <f>+ab($T$39,$T$37,$T$41,$G$38,$G$40,-1*$F$39,1200)</f>
        <v>-4.1275288793310683</v>
      </c>
      <c r="AU39" s="1239"/>
      <c r="AV39" s="1239"/>
      <c r="AW39" s="1239" t="s">
        <v>4427</v>
      </c>
      <c r="AX39" s="1239" t="s">
        <v>4434</v>
      </c>
      <c r="AY39" s="455">
        <v>4.5</v>
      </c>
      <c r="AZ39" s="455"/>
      <c r="BA39" s="1387" t="s">
        <v>2809</v>
      </c>
      <c r="BB39" s="1239" t="s">
        <v>4999</v>
      </c>
      <c r="BC39" s="169"/>
      <c r="BD39" s="1329"/>
      <c r="BE39" s="1329"/>
      <c r="BF39" s="1329"/>
      <c r="BG39" s="1329"/>
    </row>
    <row r="40" spans="1:59" ht="15.65" customHeight="1">
      <c r="A40" s="1419" t="s">
        <v>4010</v>
      </c>
      <c r="B40" s="1419"/>
      <c r="C40" s="1420"/>
      <c r="D40" s="1419"/>
      <c r="E40" s="1419"/>
      <c r="F40" s="1421"/>
      <c r="G40" s="1422">
        <v>50</v>
      </c>
      <c r="H40" s="1419"/>
      <c r="I40" s="1421"/>
      <c r="J40" s="1420"/>
      <c r="K40" s="1419"/>
      <c r="L40" s="1419"/>
      <c r="M40" s="1419"/>
      <c r="N40" s="1419"/>
      <c r="O40" s="1419"/>
      <c r="P40" s="1419"/>
      <c r="Q40" s="1419"/>
      <c r="R40" s="1419"/>
      <c r="S40" s="1422"/>
      <c r="T40" s="1419"/>
      <c r="U40" s="1419"/>
      <c r="V40" s="1419"/>
      <c r="W40" s="1419"/>
      <c r="X40" s="1419"/>
      <c r="Y40" s="1419"/>
      <c r="Z40" s="1419"/>
      <c r="AA40" s="1419"/>
      <c r="AB40" s="1419"/>
      <c r="AC40" s="1419"/>
      <c r="AD40" s="1419"/>
      <c r="AE40" s="1419"/>
      <c r="AF40" s="1419"/>
      <c r="AG40" s="1420"/>
      <c r="AH40" s="1419"/>
      <c r="AI40" s="1419"/>
      <c r="AJ40" s="1419"/>
      <c r="AK40" s="1419"/>
      <c r="AL40" s="1419"/>
      <c r="AM40" s="1419"/>
      <c r="AN40" s="1422"/>
      <c r="AO40" s="1419"/>
      <c r="AP40" s="1419"/>
      <c r="AQ40" s="1422">
        <f>+FL_2($T$41,$T$39,$G$40,1200,9.28,-1*$F$41)</f>
        <v>-0.30008301792130898</v>
      </c>
      <c r="AR40" s="1419"/>
      <c r="AS40" s="1419"/>
      <c r="AT40" s="1422"/>
      <c r="AU40" s="1419"/>
      <c r="AV40" s="1419"/>
      <c r="AW40" s="1419"/>
      <c r="AX40" s="1419"/>
      <c r="AY40" s="1422"/>
      <c r="AZ40" s="1422"/>
      <c r="BA40" s="1423"/>
      <c r="BB40" s="1419"/>
      <c r="BC40" s="169" t="s">
        <v>4955</v>
      </c>
      <c r="BD40" s="1330"/>
      <c r="BE40" s="1330"/>
      <c r="BF40" s="1330"/>
      <c r="BG40" s="1330"/>
    </row>
    <row r="41" spans="1:59" ht="15.65" customHeight="1">
      <c r="A41" s="1239"/>
      <c r="B41" s="714" t="s">
        <v>4000</v>
      </c>
      <c r="C41" s="171">
        <f>C39-G40</f>
        <v>1522.5800000000002</v>
      </c>
      <c r="D41" s="1239"/>
      <c r="E41" s="1239"/>
      <c r="F41" s="448">
        <v>904.7</v>
      </c>
      <c r="G41" s="455"/>
      <c r="H41" s="1239"/>
      <c r="I41" s="448"/>
      <c r="J41" s="171"/>
      <c r="K41" s="1239"/>
      <c r="L41" s="1239" t="s">
        <v>232</v>
      </c>
      <c r="M41" s="1239" t="s">
        <v>4993</v>
      </c>
      <c r="N41" s="1239" t="s">
        <v>143</v>
      </c>
      <c r="O41" s="1239"/>
      <c r="P41" s="1239"/>
      <c r="Q41" s="1239"/>
      <c r="R41" s="1239"/>
      <c r="S41" s="455"/>
      <c r="T41" s="1239">
        <v>-30</v>
      </c>
      <c r="U41" s="1239"/>
      <c r="V41" s="1239"/>
      <c r="W41" s="1239">
        <v>1.4</v>
      </c>
      <c r="X41" s="1239"/>
      <c r="Y41" s="1239"/>
      <c r="Z41" s="1239"/>
      <c r="AA41" s="1239"/>
      <c r="AB41" s="1239"/>
      <c r="AC41" s="1239" t="str">
        <f>IF(OR(AT41&gt;8,AT41&lt;-8),"PH",IF(OR(AT41&gt;5,AT41&lt;-5),"PH-Q",IF(OR(AT41&gt;1,AT41&lt;-1),"PH-C")))</f>
        <v>PH-C</v>
      </c>
      <c r="AD41" s="1239"/>
      <c r="AE41" s="1239"/>
      <c r="AF41" s="1239"/>
      <c r="AG41" s="171"/>
      <c r="AH41" s="1239"/>
      <c r="AI41" s="1239"/>
      <c r="AJ41" s="1239"/>
      <c r="AK41" s="1239"/>
      <c r="AL41" s="1239"/>
      <c r="AM41" s="1239" t="s">
        <v>1042</v>
      </c>
      <c r="AN41" s="455">
        <v>5.5</v>
      </c>
      <c r="AO41" s="1239"/>
      <c r="AP41" s="1239"/>
      <c r="AQ41" s="455"/>
      <c r="AR41" s="1239"/>
      <c r="AS41" s="1239"/>
      <c r="AT41" s="455">
        <f>+ab($T$41,$T$39,$T$43,$G$40,$G$42,-1*$F$41,1200)</f>
        <v>-4.175850533247619</v>
      </c>
      <c r="AU41" s="1239"/>
      <c r="AV41" s="1239"/>
      <c r="AW41" s="1239" t="s">
        <v>4427</v>
      </c>
      <c r="AX41" s="1239" t="s">
        <v>4434</v>
      </c>
      <c r="AY41" s="455">
        <v>4.5</v>
      </c>
      <c r="AZ41" s="455"/>
      <c r="BA41" s="1387" t="s">
        <v>2809</v>
      </c>
      <c r="BB41" s="1239" t="s">
        <v>4999</v>
      </c>
      <c r="BC41" s="169"/>
      <c r="BD41" s="1329"/>
      <c r="BE41" s="1329"/>
      <c r="BF41" s="1329"/>
      <c r="BG41" s="1329"/>
    </row>
    <row r="42" spans="1:59" ht="15.65" customHeight="1">
      <c r="A42" s="1239"/>
      <c r="B42" s="1239"/>
      <c r="C42" s="171"/>
      <c r="D42" s="1239"/>
      <c r="E42" s="1239"/>
      <c r="F42" s="448"/>
      <c r="G42" s="455">
        <v>33</v>
      </c>
      <c r="H42" s="1239" t="s">
        <v>1039</v>
      </c>
      <c r="I42" s="448"/>
      <c r="J42" s="171">
        <f>C43+7.5</f>
        <v>1497.0800000000002</v>
      </c>
      <c r="K42" s="1239" t="s">
        <v>1666</v>
      </c>
      <c r="L42" s="1239"/>
      <c r="M42" s="1239"/>
      <c r="N42" s="1239"/>
      <c r="O42" s="1239"/>
      <c r="P42" s="1239"/>
      <c r="Q42" s="1239"/>
      <c r="R42" s="1239"/>
      <c r="S42" s="455"/>
      <c r="T42" s="1239"/>
      <c r="U42" s="1239"/>
      <c r="V42" s="1239"/>
      <c r="W42" s="1239"/>
      <c r="X42" s="1239"/>
      <c r="Y42" s="1239"/>
      <c r="Z42" s="1239"/>
      <c r="AA42" s="1239"/>
      <c r="AB42" s="1239"/>
      <c r="AC42" s="1239"/>
      <c r="AD42" s="1239"/>
      <c r="AE42" s="1239"/>
      <c r="AF42" s="1239"/>
      <c r="AG42" s="171"/>
      <c r="AH42" s="1239"/>
      <c r="AI42" s="1239"/>
      <c r="AJ42" s="1239"/>
      <c r="AK42" s="1239"/>
      <c r="AL42" s="1239"/>
      <c r="AM42" s="1239"/>
      <c r="AN42" s="455"/>
      <c r="AO42" s="1239"/>
      <c r="AP42" s="1239"/>
      <c r="AQ42" s="455">
        <f>+FL_2($T$43,$T$41,$G$42,1200,9.28,-1*$F$43)</f>
        <v>-0.30000000000008809</v>
      </c>
      <c r="AR42" s="1239"/>
      <c r="AS42" s="1239"/>
      <c r="AT42" s="455"/>
      <c r="AU42" s="1239"/>
      <c r="AV42" s="1239"/>
      <c r="AW42" s="1239" t="s">
        <v>4427</v>
      </c>
      <c r="AX42" s="1239" t="s">
        <v>4434</v>
      </c>
      <c r="AY42" s="455"/>
      <c r="AZ42" s="455">
        <v>2.8</v>
      </c>
      <c r="BA42" s="1387" t="s">
        <v>2809</v>
      </c>
      <c r="BB42" s="1239"/>
      <c r="BC42" s="169" t="s">
        <v>4955</v>
      </c>
      <c r="BD42" s="1330"/>
      <c r="BE42" s="1330"/>
      <c r="BF42" s="1330"/>
      <c r="BG42" s="1330"/>
    </row>
    <row r="43" spans="1:59" ht="15.65" customHeight="1">
      <c r="A43" s="1239"/>
      <c r="B43" s="572" t="s">
        <v>4001</v>
      </c>
      <c r="C43" s="171">
        <f>C41-G42</f>
        <v>1489.5800000000002</v>
      </c>
      <c r="D43" s="1239"/>
      <c r="E43" s="1239"/>
      <c r="F43" s="448">
        <v>904.7</v>
      </c>
      <c r="G43" s="455"/>
      <c r="H43" s="1239"/>
      <c r="I43" s="448"/>
      <c r="J43" s="171"/>
      <c r="K43" s="1239"/>
      <c r="L43" s="1239" t="s">
        <v>232</v>
      </c>
      <c r="M43" s="1239" t="s">
        <v>4993</v>
      </c>
      <c r="N43" s="1239" t="s">
        <v>143</v>
      </c>
      <c r="O43" s="1239"/>
      <c r="P43" s="1239"/>
      <c r="Q43" s="1239"/>
      <c r="R43" s="1239"/>
      <c r="S43" s="455"/>
      <c r="T43" s="1239">
        <v>-30</v>
      </c>
      <c r="U43" s="1239"/>
      <c r="V43" s="1239"/>
      <c r="W43" s="1239">
        <v>1.4</v>
      </c>
      <c r="X43" s="1239"/>
      <c r="Y43" s="1239"/>
      <c r="Z43" s="1239"/>
      <c r="AA43" s="1239"/>
      <c r="AB43" s="1239"/>
      <c r="AC43" s="1239" t="str">
        <f>IF(OR(AT43&gt;8,AT43&lt;-8),"PH",IF(OR(AT43&gt;5,AT43&lt;-5),"PH-Q",IF(OR(AT43&gt;1,AT43&lt;-1),"PH-C")))</f>
        <v>PH-Q</v>
      </c>
      <c r="AD43" s="1239"/>
      <c r="AE43" s="1239"/>
      <c r="AF43" s="1239"/>
      <c r="AG43" s="171"/>
      <c r="AH43" s="1239"/>
      <c r="AI43" s="1239"/>
      <c r="AJ43" s="1239"/>
      <c r="AK43" s="1239"/>
      <c r="AL43" s="1239"/>
      <c r="AM43" s="1239" t="s">
        <v>1042</v>
      </c>
      <c r="AN43" s="455">
        <v>5.5</v>
      </c>
      <c r="AO43" s="1239"/>
      <c r="AP43" s="1239"/>
      <c r="AQ43" s="455"/>
      <c r="AR43" s="1239"/>
      <c r="AS43" s="1239"/>
      <c r="AT43" s="455">
        <f>+ab($T$43,$T$41,$T$45,$G$42,$G$44,-1*$F$43,1200)</f>
        <v>-5.4943751518415702</v>
      </c>
      <c r="AU43" s="1239"/>
      <c r="AV43" s="1239"/>
      <c r="AW43" s="1239" t="s">
        <v>4427</v>
      </c>
      <c r="AX43" s="1239" t="s">
        <v>4434</v>
      </c>
      <c r="AY43" s="455">
        <v>4.5</v>
      </c>
      <c r="AZ43" s="455"/>
      <c r="BA43" s="1387" t="s">
        <v>2809</v>
      </c>
      <c r="BB43" s="1239" t="s">
        <v>4999</v>
      </c>
      <c r="BC43" s="169" t="s">
        <v>4955</v>
      </c>
      <c r="BD43" s="1329"/>
      <c r="BE43" s="1329"/>
      <c r="BF43" s="1329"/>
      <c r="BG43" s="1329"/>
    </row>
    <row r="44" spans="1:59" ht="13">
      <c r="A44" s="1239"/>
      <c r="B44" s="1239"/>
      <c r="C44" s="171"/>
      <c r="D44" s="1239"/>
      <c r="E44" s="1239"/>
      <c r="F44" s="448"/>
      <c r="G44" s="455">
        <v>30</v>
      </c>
      <c r="H44" s="1239" t="s">
        <v>5003</v>
      </c>
      <c r="I44" s="448"/>
      <c r="J44" s="171">
        <f>C43-7.5</f>
        <v>1482.0800000000002</v>
      </c>
      <c r="K44" s="1239" t="s">
        <v>1666</v>
      </c>
      <c r="L44" s="1239"/>
      <c r="M44" s="1239"/>
      <c r="N44" s="1239"/>
      <c r="O44" s="1239"/>
      <c r="P44" s="1239"/>
      <c r="Q44" s="1239"/>
      <c r="R44" s="1239"/>
      <c r="S44" s="455"/>
      <c r="T44" s="1239"/>
      <c r="U44" s="1239"/>
      <c r="V44" s="1239"/>
      <c r="W44" s="1239"/>
      <c r="X44" s="1239"/>
      <c r="Y44" s="1239"/>
      <c r="Z44" s="1239"/>
      <c r="AA44" s="1239"/>
      <c r="AB44" s="1239"/>
      <c r="AC44" s="1239"/>
      <c r="AD44" s="1239"/>
      <c r="AE44" s="1239"/>
      <c r="AF44" s="1239"/>
      <c r="AG44" s="171"/>
      <c r="AH44" s="1239"/>
      <c r="AI44" s="1239"/>
      <c r="AJ44" s="1239"/>
      <c r="AK44" s="1239"/>
      <c r="AL44" s="1239"/>
      <c r="AM44" s="1239"/>
      <c r="AN44" s="455"/>
      <c r="AO44" s="1239"/>
      <c r="AP44" s="1239"/>
      <c r="AQ44" s="455">
        <f>+FL_2($T$45,$T$43,$G$44,1200,9.28,-1*$F$45)</f>
        <v>-0.3513292550217666</v>
      </c>
      <c r="AR44" s="1239"/>
      <c r="AS44" s="1239"/>
      <c r="AT44" s="455"/>
      <c r="AU44" s="1239"/>
      <c r="AV44" s="1239"/>
      <c r="AW44" s="1239" t="s">
        <v>4427</v>
      </c>
      <c r="AX44" s="1239" t="s">
        <v>4434</v>
      </c>
      <c r="AY44" s="455"/>
      <c r="AZ44" s="455">
        <v>2.8</v>
      </c>
      <c r="BA44" s="1387" t="s">
        <v>2809</v>
      </c>
      <c r="BB44" s="1239"/>
      <c r="BC44" s="169" t="s">
        <v>4955</v>
      </c>
      <c r="BD44" s="1330"/>
      <c r="BE44" s="1330"/>
      <c r="BF44" s="1330"/>
      <c r="BG44" s="1330"/>
    </row>
    <row r="45" spans="1:59" ht="15.65" customHeight="1">
      <c r="A45" s="467"/>
      <c r="B45" s="590" t="s">
        <v>3990</v>
      </c>
      <c r="C45" s="473">
        <f>C43-G44+0.1</f>
        <v>1459.68</v>
      </c>
      <c r="D45" s="467"/>
      <c r="E45" s="467"/>
      <c r="F45" s="469">
        <f>-(209^2)/(1445.83-C45)</f>
        <v>3153.8628158844454</v>
      </c>
      <c r="G45" s="474"/>
      <c r="H45" s="467"/>
      <c r="I45" s="469"/>
      <c r="J45" s="473"/>
      <c r="K45" s="467"/>
      <c r="L45" s="467" t="s">
        <v>230</v>
      </c>
      <c r="M45" s="467" t="s">
        <v>2811</v>
      </c>
      <c r="N45" s="467" t="s">
        <v>143</v>
      </c>
      <c r="O45" s="467"/>
      <c r="P45" s="467"/>
      <c r="Q45" s="467"/>
      <c r="R45" s="467"/>
      <c r="S45" s="474"/>
      <c r="T45" s="467">
        <v>-30</v>
      </c>
      <c r="U45" s="467"/>
      <c r="V45" s="467"/>
      <c r="W45" s="467">
        <v>1.4</v>
      </c>
      <c r="X45" s="467"/>
      <c r="Y45" s="467"/>
      <c r="Z45" s="467"/>
      <c r="AA45" s="467"/>
      <c r="AB45" s="467"/>
      <c r="AC45" s="467" t="str">
        <f>IF(OR(AT45&gt;8,AT45&lt;-8),"PH",IF(OR(AT45&gt;5,AT45&lt;-5),"PH-Q",IF(OR(AT45&gt;1,AT45&lt;-1),"PH-C")))</f>
        <v>PH-Q</v>
      </c>
      <c r="AD45" s="467"/>
      <c r="AE45" s="467"/>
      <c r="AF45" s="467"/>
      <c r="AG45" s="473"/>
      <c r="AH45" s="467"/>
      <c r="AI45" s="467"/>
      <c r="AJ45" s="467"/>
      <c r="AK45" s="467"/>
      <c r="AL45" s="467"/>
      <c r="AM45" s="467" t="s">
        <v>1042</v>
      </c>
      <c r="AN45" s="474">
        <v>5.5</v>
      </c>
      <c r="AO45" s="467"/>
      <c r="AP45" s="467"/>
      <c r="AQ45" s="474"/>
      <c r="AR45" s="467"/>
      <c r="AS45" s="467"/>
      <c r="AT45" s="474">
        <f>+ab($T$45,$T$43,$T$47,$G$44,$G$46,-1*$F$45,1200)</f>
        <v>-6.7754871560153118</v>
      </c>
      <c r="AU45" s="467"/>
      <c r="AV45" s="467"/>
      <c r="AW45" s="467" t="s">
        <v>5033</v>
      </c>
      <c r="AX45" s="467"/>
      <c r="AY45" s="474"/>
      <c r="AZ45" s="474"/>
      <c r="BA45" s="1535" t="s">
        <v>2809</v>
      </c>
      <c r="BB45" s="467" t="s">
        <v>4999</v>
      </c>
      <c r="BC45" s="169" t="s">
        <v>4955</v>
      </c>
      <c r="BD45" s="1329"/>
      <c r="BE45" s="1329"/>
      <c r="BF45" s="1329"/>
      <c r="BG45" s="1329"/>
    </row>
    <row r="46" spans="1:59" ht="15.65" customHeight="1">
      <c r="A46" s="467" t="s">
        <v>4009</v>
      </c>
      <c r="B46" s="467"/>
      <c r="C46" s="473"/>
      <c r="D46" s="467"/>
      <c r="E46" s="467"/>
      <c r="F46" s="469"/>
      <c r="G46" s="474">
        <v>37</v>
      </c>
      <c r="H46" s="467"/>
      <c r="I46" s="469"/>
      <c r="J46" s="473"/>
      <c r="K46" s="467"/>
      <c r="L46" s="467"/>
      <c r="M46" s="467"/>
      <c r="N46" s="467"/>
      <c r="O46" s="467"/>
      <c r="P46" s="467"/>
      <c r="Q46" s="467"/>
      <c r="R46" s="467"/>
      <c r="S46" s="474"/>
      <c r="T46" s="467"/>
      <c r="U46" s="467"/>
      <c r="V46" s="467"/>
      <c r="W46" s="467"/>
      <c r="X46" s="467"/>
      <c r="Y46" s="467"/>
      <c r="Z46" s="467"/>
      <c r="AA46" s="467"/>
      <c r="AB46" s="467"/>
      <c r="AC46" s="467"/>
      <c r="AD46" s="467"/>
      <c r="AE46" s="467"/>
      <c r="AF46" s="467"/>
      <c r="AG46" s="473"/>
      <c r="AH46" s="467"/>
      <c r="AI46" s="467"/>
      <c r="AJ46" s="467"/>
      <c r="AK46" s="467"/>
      <c r="AL46" s="467"/>
      <c r="AM46" s="467"/>
      <c r="AN46" s="474"/>
      <c r="AO46" s="467"/>
      <c r="AP46" s="467"/>
      <c r="AQ46" s="474">
        <f>+FL_1($T$47,$T$45,$G$46,1200,9.28,-1*$F$47)</f>
        <v>0.35</v>
      </c>
      <c r="AR46" s="467"/>
      <c r="AS46" s="467"/>
      <c r="AT46" s="474"/>
      <c r="AU46" s="467"/>
      <c r="AV46" s="467"/>
      <c r="AW46" s="464"/>
      <c r="AX46" s="464"/>
      <c r="AY46" s="466"/>
      <c r="AZ46" s="466"/>
      <c r="BA46" s="674"/>
      <c r="BB46" s="467"/>
      <c r="BC46" s="169"/>
      <c r="BD46" s="1330"/>
      <c r="BE46" s="1330"/>
      <c r="BF46" s="1330"/>
      <c r="BG46" s="1330"/>
    </row>
    <row r="47" spans="1:59" ht="15.65" customHeight="1">
      <c r="A47" s="467"/>
      <c r="B47" s="685" t="s">
        <v>3989</v>
      </c>
      <c r="C47" s="473">
        <f>C45-G46</f>
        <v>1422.68</v>
      </c>
      <c r="D47" s="467"/>
      <c r="E47" s="467"/>
      <c r="F47" s="469">
        <v>0</v>
      </c>
      <c r="G47" s="474"/>
      <c r="H47" s="467"/>
      <c r="I47" s="469"/>
      <c r="J47" s="473"/>
      <c r="K47" s="467"/>
      <c r="L47" s="467" t="s">
        <v>230</v>
      </c>
      <c r="M47" s="467" t="s">
        <v>2811</v>
      </c>
      <c r="N47" s="467" t="s">
        <v>144</v>
      </c>
      <c r="O47" s="467"/>
      <c r="P47" s="467"/>
      <c r="Q47" s="467"/>
      <c r="R47" s="467"/>
      <c r="S47" s="474"/>
      <c r="T47" s="467">
        <v>35</v>
      </c>
      <c r="U47" s="467"/>
      <c r="V47" s="467"/>
      <c r="W47" s="467">
        <v>1.4</v>
      </c>
      <c r="X47" s="467"/>
      <c r="Y47" s="467"/>
      <c r="Z47" s="467"/>
      <c r="AA47" s="467"/>
      <c r="AB47" s="467"/>
      <c r="AC47" s="467" t="str">
        <f>IF(OR(AT47&gt;8,AT47&lt;-8),"PH",IF(OR(AT47&gt;5,AT47&lt;-5),"PH-Q",IF(OR(AT47&gt;1,AT47&lt;-1),"PH-C")))</f>
        <v>PH-Q</v>
      </c>
      <c r="AD47" s="467"/>
      <c r="AE47" s="467"/>
      <c r="AF47" s="467"/>
      <c r="AG47" s="473"/>
      <c r="AH47" s="467"/>
      <c r="AI47" s="467"/>
      <c r="AJ47" s="467"/>
      <c r="AK47" s="467"/>
      <c r="AL47" s="467"/>
      <c r="AM47" s="467" t="s">
        <v>1042</v>
      </c>
      <c r="AN47" s="474">
        <v>5.5</v>
      </c>
      <c r="AO47" s="467"/>
      <c r="AP47" s="467"/>
      <c r="AQ47" s="474"/>
      <c r="AR47" s="467"/>
      <c r="AS47" s="467"/>
      <c r="AT47" s="474">
        <f>+ab($T$47,$T$45,$T$49,$G$46,$G$48,-1*$F$47,1200)</f>
        <v>5.2445782627973614</v>
      </c>
      <c r="AU47" s="467"/>
      <c r="AV47" s="467"/>
      <c r="AW47" s="467" t="s">
        <v>5033</v>
      </c>
      <c r="AX47" s="467"/>
      <c r="AY47" s="474"/>
      <c r="AZ47" s="474"/>
      <c r="BA47" s="674" t="s">
        <v>2809</v>
      </c>
      <c r="BB47" s="467" t="s">
        <v>4999</v>
      </c>
      <c r="BC47" s="169" t="s">
        <v>4955</v>
      </c>
      <c r="BD47" s="1329"/>
      <c r="BE47" s="1329"/>
      <c r="BF47" s="1329"/>
      <c r="BG47" s="1329"/>
    </row>
    <row r="48" spans="1:59" ht="26">
      <c r="A48" s="580" t="s">
        <v>4007</v>
      </c>
      <c r="B48" s="580"/>
      <c r="C48" s="738" t="s">
        <v>3988</v>
      </c>
      <c r="D48" s="1239"/>
      <c r="E48" s="1239"/>
      <c r="F48" s="448"/>
      <c r="G48" s="455">
        <v>37</v>
      </c>
      <c r="H48" s="1239"/>
      <c r="I48" s="448"/>
      <c r="J48" s="171"/>
      <c r="K48" s="1239"/>
      <c r="L48" s="1239"/>
      <c r="M48" s="1239"/>
      <c r="N48" s="1239"/>
      <c r="O48" s="1239"/>
      <c r="P48" s="1239"/>
      <c r="Q48" s="1239"/>
      <c r="R48" s="1239"/>
      <c r="S48" s="455"/>
      <c r="T48" s="1239"/>
      <c r="U48" s="1239"/>
      <c r="V48" s="1239"/>
      <c r="W48" s="1239"/>
      <c r="X48" s="1239"/>
      <c r="Y48" s="1239"/>
      <c r="Z48" s="1239"/>
      <c r="AA48" s="1239"/>
      <c r="AB48" s="1239"/>
      <c r="AC48" s="1239"/>
      <c r="AD48" s="1239"/>
      <c r="AE48" s="1239"/>
      <c r="AF48" s="1239"/>
      <c r="AG48" s="171"/>
      <c r="AH48" s="1239"/>
      <c r="AI48" s="1239"/>
      <c r="AJ48" s="1239"/>
      <c r="AK48" s="1239"/>
      <c r="AL48" s="1239"/>
      <c r="AM48" s="1239"/>
      <c r="AN48" s="455"/>
      <c r="AO48" s="1239"/>
      <c r="AP48" s="1239"/>
      <c r="AQ48" s="455">
        <f>+FL_1($T$49,$T$47,$G$48,1200,9.28,-1*$F$49)</f>
        <v>0.35000000000000558</v>
      </c>
      <c r="AR48" s="1239"/>
      <c r="AS48" s="1239"/>
      <c r="AT48" s="455"/>
      <c r="AU48" s="1239"/>
      <c r="AV48" s="1239"/>
      <c r="AW48" s="1239"/>
      <c r="AX48" s="1239"/>
      <c r="AY48" s="455"/>
      <c r="AZ48" s="455"/>
      <c r="BA48" s="1314"/>
      <c r="BB48" s="580"/>
      <c r="BC48" s="169"/>
      <c r="BD48" s="1330"/>
      <c r="BE48" s="1330"/>
      <c r="BF48" s="1330"/>
      <c r="BG48" s="1330"/>
    </row>
    <row r="49" spans="1:59" ht="15.65" customHeight="1">
      <c r="A49" s="1239"/>
      <c r="B49" s="572" t="s">
        <v>3023</v>
      </c>
      <c r="C49" s="171">
        <v>89822.35</v>
      </c>
      <c r="D49" s="1239"/>
      <c r="E49" s="1239"/>
      <c r="F49" s="448">
        <v>0</v>
      </c>
      <c r="G49" s="455"/>
      <c r="H49" s="1239"/>
      <c r="I49" s="448"/>
      <c r="J49" s="171"/>
      <c r="K49" s="1239"/>
      <c r="L49" s="1239" t="s">
        <v>819</v>
      </c>
      <c r="M49" s="1239" t="s">
        <v>4993</v>
      </c>
      <c r="N49" s="1239" t="s">
        <v>143</v>
      </c>
      <c r="O49" s="1239"/>
      <c r="P49" s="1239"/>
      <c r="Q49" s="1239"/>
      <c r="R49" s="1239"/>
      <c r="S49" s="455"/>
      <c r="T49" s="1239">
        <v>-35</v>
      </c>
      <c r="U49" s="1239"/>
      <c r="V49" s="1239"/>
      <c r="W49" s="1239">
        <v>1.4</v>
      </c>
      <c r="X49" s="1239"/>
      <c r="Y49" s="1239"/>
      <c r="Z49" s="1239"/>
      <c r="AA49" s="1239"/>
      <c r="AB49" s="1239"/>
      <c r="AC49" s="1239" t="str">
        <f>IF(OR(AT49&gt;8,AT49&lt;-8),"PH",IF(OR(AT49&gt;5,AT49&lt;-5),"PH-Q",IF(OR(AT49&gt;1,AT49&lt;-1),"PH-C")))</f>
        <v>PH-Q</v>
      </c>
      <c r="AD49" s="1239"/>
      <c r="AE49" s="1239"/>
      <c r="AF49" s="1239"/>
      <c r="AG49" s="171"/>
      <c r="AH49" s="1239"/>
      <c r="AI49" s="1239"/>
      <c r="AJ49" s="1239"/>
      <c r="AK49" s="1239"/>
      <c r="AL49" s="1239" t="s">
        <v>2127</v>
      </c>
      <c r="AM49" s="1239" t="s">
        <v>1042</v>
      </c>
      <c r="AN49" s="455">
        <v>5.5</v>
      </c>
      <c r="AO49" s="1239"/>
      <c r="AP49" s="1239"/>
      <c r="AQ49" s="455"/>
      <c r="AR49" s="1239"/>
      <c r="AS49" s="1239"/>
      <c r="AT49" s="455">
        <f>+ab($T$49,$T$47,$T$51,$G$48,$G$50,-1*$F$49,1200)</f>
        <v>-5.0319795506121858</v>
      </c>
      <c r="AU49" s="1239"/>
      <c r="AV49" s="1239"/>
      <c r="AW49" s="1239" t="str">
        <f>VLOOKUP(C49,'Foundation Calculation'!$A$2:$C$33,3,1)</f>
        <v>Soil B</v>
      </c>
      <c r="AX49" s="1239" t="s">
        <v>4434</v>
      </c>
      <c r="AY49" s="455">
        <v>4.5</v>
      </c>
      <c r="AZ49" s="455"/>
      <c r="BA49" s="1387" t="s">
        <v>2809</v>
      </c>
      <c r="BB49" s="1239" t="s">
        <v>5004</v>
      </c>
      <c r="BC49" s="169" t="s">
        <v>4955</v>
      </c>
      <c r="BD49" s="1329"/>
      <c r="BE49" s="1329"/>
      <c r="BF49" s="1329"/>
      <c r="BG49" s="1329"/>
    </row>
    <row r="50" spans="1:59" ht="15.65" customHeight="1">
      <c r="A50" s="1239"/>
      <c r="B50" s="1239"/>
      <c r="C50" s="171"/>
      <c r="D50" s="1239"/>
      <c r="E50" s="1239"/>
      <c r="F50" s="448"/>
      <c r="G50" s="455">
        <v>34</v>
      </c>
      <c r="H50" s="1239"/>
      <c r="I50" s="448"/>
      <c r="J50" s="171">
        <f>C51-7.5</f>
        <v>89848.85</v>
      </c>
      <c r="K50" s="1239" t="s">
        <v>2787</v>
      </c>
      <c r="L50" s="1239"/>
      <c r="M50" s="1239"/>
      <c r="N50" s="1239"/>
      <c r="O50" s="1239"/>
      <c r="P50" s="1239"/>
      <c r="Q50" s="1239"/>
      <c r="R50" s="1239"/>
      <c r="S50" s="455"/>
      <c r="T50" s="1239"/>
      <c r="U50" s="1239"/>
      <c r="V50" s="1239"/>
      <c r="W50" s="1239"/>
      <c r="X50" s="1239"/>
      <c r="Y50" s="1239"/>
      <c r="Z50" s="1239"/>
      <c r="AA50" s="1239"/>
      <c r="AB50" s="1239"/>
      <c r="AC50" s="1239"/>
      <c r="AD50" s="1239"/>
      <c r="AE50" s="1239"/>
      <c r="AF50" s="1239"/>
      <c r="AG50" s="171"/>
      <c r="AH50" s="1239"/>
      <c r="AI50" s="1239"/>
      <c r="AJ50" s="1239"/>
      <c r="AK50" s="1239"/>
      <c r="AL50" s="1239"/>
      <c r="AM50" s="1239"/>
      <c r="AN50" s="455"/>
      <c r="AO50" s="1239"/>
      <c r="AP50" s="1239"/>
      <c r="AQ50" s="455">
        <f>+FL_2($T$51,$T$49,$G$50,1200,9.28,-1*$F$51)</f>
        <v>-0.35815319797122114</v>
      </c>
      <c r="AR50" s="1239"/>
      <c r="AS50" s="1239"/>
      <c r="AT50" s="455"/>
      <c r="AU50" s="1239"/>
      <c r="AV50" s="1239"/>
      <c r="AW50" s="638" t="str">
        <f>VLOOKUP(J50,'Foundation Calculation'!$A$2:$C$33,3,1)</f>
        <v>Soil B</v>
      </c>
      <c r="AX50" s="638" t="s">
        <v>4434</v>
      </c>
      <c r="AY50" s="484"/>
      <c r="AZ50" s="484">
        <v>3.3</v>
      </c>
      <c r="BA50" s="1387" t="s">
        <v>2809</v>
      </c>
      <c r="BB50" s="1239"/>
      <c r="BC50" s="169" t="s">
        <v>4955</v>
      </c>
      <c r="BD50" s="1329"/>
      <c r="BE50" s="1330"/>
      <c r="BF50" s="1330"/>
      <c r="BG50" s="1330"/>
    </row>
    <row r="51" spans="1:59" ht="15.65" customHeight="1">
      <c r="A51" s="1239"/>
      <c r="B51" s="572" t="s">
        <v>3024</v>
      </c>
      <c r="C51" s="171">
        <f>+$C$49+$G$50</f>
        <v>89856.35</v>
      </c>
      <c r="D51" s="1239"/>
      <c r="E51" s="1239"/>
      <c r="F51" s="448">
        <v>-1580</v>
      </c>
      <c r="G51" s="455"/>
      <c r="H51" s="1239" t="s">
        <v>138</v>
      </c>
      <c r="I51" s="448" t="s">
        <v>623</v>
      </c>
      <c r="J51" s="171"/>
      <c r="K51" s="1239"/>
      <c r="L51" s="1239" t="s">
        <v>899</v>
      </c>
      <c r="M51" s="1239" t="s">
        <v>4993</v>
      </c>
      <c r="N51" s="1239" t="s">
        <v>144</v>
      </c>
      <c r="O51" s="1239"/>
      <c r="P51" s="1239"/>
      <c r="Q51" s="1239"/>
      <c r="R51" s="1239"/>
      <c r="S51" s="455"/>
      <c r="T51" s="1239">
        <v>30</v>
      </c>
      <c r="U51" s="1239"/>
      <c r="V51" s="1239"/>
      <c r="W51" s="1239">
        <v>1.4</v>
      </c>
      <c r="X51" s="1239"/>
      <c r="Y51" s="1239"/>
      <c r="Z51" s="1239"/>
      <c r="AA51" s="1239"/>
      <c r="AB51" s="1239"/>
      <c r="AC51" s="1239" t="str">
        <f>IF(OR(AT51&gt;8,AT51&lt;-8),"PH",IF(OR(AT51&gt;5,AT51&lt;-5),"PH-Q",IF(OR(AT51&gt;1,AT51&lt;-1),"PH-C")))</f>
        <v>PH-C</v>
      </c>
      <c r="AD51" s="1239"/>
      <c r="AE51" s="1239"/>
      <c r="AF51" s="1239"/>
      <c r="AG51" s="171"/>
      <c r="AH51" s="1239"/>
      <c r="AI51" s="1239"/>
      <c r="AJ51" s="1239"/>
      <c r="AK51" s="1239"/>
      <c r="AL51" s="1239"/>
      <c r="AM51" s="1239" t="s">
        <v>1042</v>
      </c>
      <c r="AN51" s="455">
        <v>5.5</v>
      </c>
      <c r="AO51" s="1239"/>
      <c r="AP51" s="1239"/>
      <c r="AQ51" s="455"/>
      <c r="AR51" s="1239"/>
      <c r="AS51" s="1239"/>
      <c r="AT51" s="455">
        <f>+ab($T$51,$T$49,$U$53,$G$50,$G$52,-1*$F$51,1200)</f>
        <v>3.5827987388043216</v>
      </c>
      <c r="AU51" s="1239"/>
      <c r="AV51" s="1239"/>
      <c r="AW51" s="1239" t="str">
        <f>VLOOKUP(C51,'Foundation Calculation'!$A$2:$C$33,3,1)</f>
        <v>Soil B</v>
      </c>
      <c r="AX51" s="1239" t="s">
        <v>4434</v>
      </c>
      <c r="AY51" s="455">
        <v>4.5</v>
      </c>
      <c r="AZ51" s="455"/>
      <c r="BA51" s="1387" t="s">
        <v>2809</v>
      </c>
      <c r="BB51" s="1239" t="s">
        <v>4996</v>
      </c>
      <c r="BC51" s="169" t="s">
        <v>4955</v>
      </c>
      <c r="BD51" s="1329"/>
      <c r="BE51" s="1329"/>
      <c r="BF51" s="1329"/>
      <c r="BG51" s="1329"/>
    </row>
    <row r="52" spans="1:59" ht="15.65" customHeight="1">
      <c r="A52" s="1239"/>
      <c r="B52" s="1239"/>
      <c r="C52" s="171"/>
      <c r="D52" s="1239"/>
      <c r="E52" s="1239"/>
      <c r="F52" s="448"/>
      <c r="G52" s="455">
        <v>26</v>
      </c>
      <c r="H52" s="1239"/>
      <c r="I52" s="448"/>
      <c r="J52" s="171"/>
      <c r="K52" s="1239"/>
      <c r="L52" s="1239"/>
      <c r="M52" s="1239"/>
      <c r="N52" s="1239"/>
      <c r="O52" s="1239"/>
      <c r="P52" s="1239"/>
      <c r="Q52" s="1239"/>
      <c r="R52" s="1239"/>
      <c r="S52" s="455"/>
      <c r="T52" s="1239"/>
      <c r="U52" s="1239"/>
      <c r="V52" s="1239"/>
      <c r="W52" s="1239"/>
      <c r="X52" s="1239"/>
      <c r="Y52" s="1239"/>
      <c r="Z52" s="1239"/>
      <c r="AA52" s="1239"/>
      <c r="AB52" s="1239"/>
      <c r="AC52" s="1239"/>
      <c r="AD52" s="1239"/>
      <c r="AE52" s="1239"/>
      <c r="AF52" s="1239"/>
      <c r="AG52" s="171"/>
      <c r="AH52" s="1239"/>
      <c r="AI52" s="1239"/>
      <c r="AJ52" s="1239"/>
      <c r="AK52" s="1239"/>
      <c r="AL52" s="1239"/>
      <c r="AM52" s="1239"/>
      <c r="AN52" s="455"/>
      <c r="AO52" s="1239"/>
      <c r="AP52" s="1239"/>
      <c r="AQ52" s="455">
        <f>+FL_1($U$53,$T$51,$G$52,1200,9.28,-1*$F$53)</f>
        <v>0.30000000000006366</v>
      </c>
      <c r="AR52" s="1239"/>
      <c r="AS52" s="1239"/>
      <c r="AT52" s="455"/>
      <c r="AU52" s="1239"/>
      <c r="AV52" s="1239"/>
      <c r="AW52" s="1239"/>
      <c r="AX52" s="1239"/>
      <c r="AY52" s="455"/>
      <c r="AZ52" s="455"/>
      <c r="BA52" s="1387"/>
      <c r="BB52" s="1239"/>
      <c r="BC52" s="169"/>
      <c r="BD52" s="1330"/>
      <c r="BE52" s="1330"/>
      <c r="BF52" s="1330"/>
      <c r="BG52" s="1330"/>
    </row>
    <row r="53" spans="1:59" ht="15.65" customHeight="1">
      <c r="A53" s="1239" t="s">
        <v>4018</v>
      </c>
      <c r="B53" s="572" t="s">
        <v>3025</v>
      </c>
      <c r="C53" s="171">
        <f>+$C$51+$G$52</f>
        <v>89882.35</v>
      </c>
      <c r="D53" s="1239"/>
      <c r="E53" s="1239"/>
      <c r="F53" s="448">
        <v>-500</v>
      </c>
      <c r="G53" s="455"/>
      <c r="H53" s="1239" t="s">
        <v>619</v>
      </c>
      <c r="I53" s="448" t="s">
        <v>1429</v>
      </c>
      <c r="J53" s="171"/>
      <c r="K53" s="1239"/>
      <c r="L53" s="1239" t="s">
        <v>895</v>
      </c>
      <c r="M53" s="1239" t="s">
        <v>4995</v>
      </c>
      <c r="N53" s="1239" t="s">
        <v>140</v>
      </c>
      <c r="O53" s="1239" t="s">
        <v>144</v>
      </c>
      <c r="P53" s="1239"/>
      <c r="Q53" s="1239"/>
      <c r="R53" s="1239"/>
      <c r="S53" s="455"/>
      <c r="T53" s="1239">
        <v>35</v>
      </c>
      <c r="U53" s="1239">
        <v>-10</v>
      </c>
      <c r="V53" s="1239"/>
      <c r="W53" s="1239">
        <v>1.4</v>
      </c>
      <c r="X53" s="1239">
        <v>1.8</v>
      </c>
      <c r="Y53" s="1239"/>
      <c r="Z53" s="1239">
        <v>40</v>
      </c>
      <c r="AA53" s="1239"/>
      <c r="AB53" s="1239"/>
      <c r="AC53" s="1239"/>
      <c r="AD53" s="1239"/>
      <c r="AE53" s="1239"/>
      <c r="AF53" s="1239"/>
      <c r="AG53" s="171"/>
      <c r="AH53" s="1239"/>
      <c r="AI53" s="1239"/>
      <c r="AJ53" s="1239" t="s">
        <v>877</v>
      </c>
      <c r="AK53" s="1239"/>
      <c r="AL53" s="1239"/>
      <c r="AM53" s="1239" t="s">
        <v>1042</v>
      </c>
      <c r="AN53" s="455">
        <v>5.5</v>
      </c>
      <c r="AO53" s="1239"/>
      <c r="AP53" s="1239"/>
      <c r="AQ53" s="455"/>
      <c r="AR53" s="1239"/>
      <c r="AS53" s="1239"/>
      <c r="AT53" s="455">
        <f>+ab($U$53,$T$51,$U$55,$G$52,$G$54,-1*$F$53,1200)</f>
        <v>5.2262233192715781</v>
      </c>
      <c r="AU53" s="1239"/>
      <c r="AV53" s="1239"/>
      <c r="AW53" s="1239" t="str">
        <f>VLOOKUP(C53,'Foundation Calculation'!$A$2:$C$33,3,1)</f>
        <v>Soil B</v>
      </c>
      <c r="AX53" s="1239" t="s">
        <v>4434</v>
      </c>
      <c r="AY53" s="455">
        <v>4.5</v>
      </c>
      <c r="AZ53" s="455"/>
      <c r="BA53" s="1387" t="s">
        <v>2809</v>
      </c>
      <c r="BB53" s="1239" t="s">
        <v>4996</v>
      </c>
      <c r="BC53" s="169" t="s">
        <v>4955</v>
      </c>
      <c r="BD53" s="1329"/>
      <c r="BE53" s="1329"/>
      <c r="BF53" s="1329"/>
      <c r="BG53" s="1329"/>
    </row>
    <row r="54" spans="1:59" ht="15.65" customHeight="1">
      <c r="A54" s="1239" t="s">
        <v>5006</v>
      </c>
      <c r="B54" s="572"/>
      <c r="C54" s="171"/>
      <c r="D54" s="1239"/>
      <c r="E54" s="1239"/>
      <c r="F54" s="448"/>
      <c r="G54" s="455">
        <v>26</v>
      </c>
      <c r="H54" s="1239"/>
      <c r="I54" s="448"/>
      <c r="J54" s="171"/>
      <c r="K54" s="1239"/>
      <c r="L54" s="1239"/>
      <c r="M54" s="1239"/>
      <c r="N54" s="1239"/>
      <c r="O54" s="1239"/>
      <c r="P54" s="1239"/>
      <c r="Q54" s="1239"/>
      <c r="R54" s="1239"/>
      <c r="S54" s="455"/>
      <c r="T54" s="1239"/>
      <c r="U54" s="1239"/>
      <c r="V54" s="1239"/>
      <c r="W54" s="1239"/>
      <c r="X54" s="1239"/>
      <c r="Y54" s="1239"/>
      <c r="Z54" s="1239"/>
      <c r="AA54" s="1239"/>
      <c r="AB54" s="1239"/>
      <c r="AC54" s="1239"/>
      <c r="AD54" s="1239"/>
      <c r="AE54" s="1239"/>
      <c r="AF54" s="1239"/>
      <c r="AG54" s="171"/>
      <c r="AH54" s="1239"/>
      <c r="AI54" s="1239"/>
      <c r="AJ54" s="1239"/>
      <c r="AK54" s="1239"/>
      <c r="AL54" s="1239"/>
      <c r="AM54" s="1239"/>
      <c r="AN54" s="455"/>
      <c r="AO54" s="1239"/>
      <c r="AP54" s="1239"/>
      <c r="AQ54" s="455">
        <f>+FL_1($U$55,$U$53,$G$54,1200,9.28,-1*$F$55)</f>
        <v>-9.9999999999955874E-2</v>
      </c>
      <c r="AR54" s="1239"/>
      <c r="AS54" s="1239"/>
      <c r="AT54" s="455"/>
      <c r="AU54" s="1239"/>
      <c r="AV54" s="1239"/>
      <c r="AW54" s="1239"/>
      <c r="AX54" s="1239"/>
      <c r="AY54" s="455"/>
      <c r="AZ54" s="455"/>
      <c r="BA54" s="1387"/>
      <c r="BB54" s="1239"/>
      <c r="BC54" s="169"/>
      <c r="BD54" s="1330"/>
      <c r="BE54" s="1330"/>
      <c r="BF54" s="1330"/>
      <c r="BG54" s="1330"/>
    </row>
    <row r="55" spans="1:59" ht="15.65" customHeight="1">
      <c r="A55" s="1239"/>
      <c r="B55" s="572" t="s">
        <v>3026</v>
      </c>
      <c r="C55" s="171">
        <f>+$C$53+$G$54</f>
        <v>89908.35</v>
      </c>
      <c r="D55" s="1239"/>
      <c r="E55" s="1239"/>
      <c r="F55" s="448">
        <v>-395</v>
      </c>
      <c r="G55" s="455"/>
      <c r="H55" s="1239" t="s">
        <v>620</v>
      </c>
      <c r="I55" s="448"/>
      <c r="J55" s="171"/>
      <c r="K55" s="1239"/>
      <c r="L55" s="1239" t="s">
        <v>895</v>
      </c>
      <c r="M55" s="1239" t="s">
        <v>4995</v>
      </c>
      <c r="N55" s="1239" t="s">
        <v>144</v>
      </c>
      <c r="O55" s="1239" t="s">
        <v>144</v>
      </c>
      <c r="P55" s="1239"/>
      <c r="Q55" s="1239"/>
      <c r="R55" s="1239"/>
      <c r="S55" s="455"/>
      <c r="T55" s="1239">
        <v>35</v>
      </c>
      <c r="U55" s="1239">
        <v>-10</v>
      </c>
      <c r="V55" s="1239"/>
      <c r="W55" s="1239">
        <v>1.4</v>
      </c>
      <c r="X55" s="1239">
        <v>1.8</v>
      </c>
      <c r="Y55" s="1239"/>
      <c r="Z55" s="1239">
        <v>20</v>
      </c>
      <c r="AA55" s="1239"/>
      <c r="AB55" s="1239"/>
      <c r="AC55" s="1239" t="s">
        <v>4090</v>
      </c>
      <c r="AD55" s="1239" t="s">
        <v>2482</v>
      </c>
      <c r="AE55" s="1239"/>
      <c r="AF55" s="1239"/>
      <c r="AG55" s="171"/>
      <c r="AH55" s="1239"/>
      <c r="AI55" s="1239"/>
      <c r="AJ55" s="1239"/>
      <c r="AK55" s="1239"/>
      <c r="AL55" s="1239"/>
      <c r="AM55" s="1239" t="s">
        <v>1042</v>
      </c>
      <c r="AN55" s="455">
        <v>5.5</v>
      </c>
      <c r="AO55" s="1239"/>
      <c r="AP55" s="1239"/>
      <c r="AQ55" s="455"/>
      <c r="AR55" s="1239"/>
      <c r="AS55" s="1239"/>
      <c r="AT55" s="455">
        <f>+ab($T$55,$T$53,$T$57,$G$54,$G$56,-1*$F$55,1200)</f>
        <v>2.8552778940983967</v>
      </c>
      <c r="AU55" s="1239"/>
      <c r="AV55" s="1239"/>
      <c r="AW55" s="1239" t="str">
        <f>VLOOKUP(C55,'Foundation Calculation'!$A$2:$C$33,3,1)</f>
        <v>Soil B</v>
      </c>
      <c r="AX55" s="1239" t="s">
        <v>4434</v>
      </c>
      <c r="AY55" s="455">
        <v>4.5</v>
      </c>
      <c r="AZ55" s="455"/>
      <c r="BA55" s="1387" t="s">
        <v>2809</v>
      </c>
      <c r="BB55" s="1239" t="s">
        <v>5005</v>
      </c>
      <c r="BC55" s="169" t="s">
        <v>4955</v>
      </c>
      <c r="BD55" s="1329"/>
      <c r="BE55" s="1329"/>
      <c r="BF55" s="1329"/>
      <c r="BG55" s="1329"/>
    </row>
    <row r="56" spans="1:59" ht="15.65" customHeight="1">
      <c r="A56" s="1239"/>
      <c r="B56" s="572"/>
      <c r="C56" s="171"/>
      <c r="D56" s="1239"/>
      <c r="E56" s="1239"/>
      <c r="F56" s="448"/>
      <c r="G56" s="455">
        <v>25.5</v>
      </c>
      <c r="H56" s="1239"/>
      <c r="I56" s="448"/>
      <c r="J56" s="171"/>
      <c r="K56" s="1239"/>
      <c r="L56" s="1239"/>
      <c r="M56" s="1239"/>
      <c r="N56" s="1239"/>
      <c r="O56" s="1239"/>
      <c r="P56" s="1239"/>
      <c r="Q56" s="1239"/>
      <c r="R56" s="1239"/>
      <c r="S56" s="455"/>
      <c r="T56" s="1239"/>
      <c r="U56" s="1239"/>
      <c r="V56" s="1239"/>
      <c r="W56" s="1239"/>
      <c r="X56" s="1239"/>
      <c r="Y56" s="1239"/>
      <c r="Z56" s="1239"/>
      <c r="AA56" s="1239"/>
      <c r="AB56" s="1239"/>
      <c r="AC56" s="1239"/>
      <c r="AD56" s="1239"/>
      <c r="AE56" s="1239"/>
      <c r="AF56" s="1239"/>
      <c r="AG56" s="171"/>
      <c r="AH56" s="1239"/>
      <c r="AI56" s="1239"/>
      <c r="AJ56" s="1239"/>
      <c r="AK56" s="1239"/>
      <c r="AL56" s="1239"/>
      <c r="AM56" s="1239"/>
      <c r="AN56" s="455"/>
      <c r="AO56" s="1239"/>
      <c r="AP56" s="1239"/>
      <c r="AQ56" s="455">
        <f>+FL_1($U$57,$U$55,$G$56,1200,9.28,-1*$F$57)</f>
        <v>-9.9999999999952557E-2</v>
      </c>
      <c r="AR56" s="1239"/>
      <c r="AS56" s="1239"/>
      <c r="AT56" s="455"/>
      <c r="AU56" s="1239"/>
      <c r="AV56" s="1239"/>
      <c r="AW56" s="1239"/>
      <c r="AX56" s="1239"/>
      <c r="AY56" s="455"/>
      <c r="AZ56" s="455"/>
      <c r="BA56" s="1387"/>
      <c r="BB56" s="1239"/>
      <c r="BC56" s="169"/>
      <c r="BD56" s="1330"/>
      <c r="BE56" s="1330"/>
      <c r="BF56" s="1330"/>
      <c r="BG56" s="1330"/>
    </row>
    <row r="57" spans="1:59" ht="15.65" customHeight="1">
      <c r="A57" s="1239"/>
      <c r="B57" s="572" t="s">
        <v>3027</v>
      </c>
      <c r="C57" s="171">
        <f>+$C$55+$G$56</f>
        <v>89933.85</v>
      </c>
      <c r="D57" s="1239"/>
      <c r="E57" s="1239"/>
      <c r="F57" s="448">
        <v>-395</v>
      </c>
      <c r="G57" s="455"/>
      <c r="H57" s="1239" t="s">
        <v>620</v>
      </c>
      <c r="I57" s="448"/>
      <c r="J57" s="171"/>
      <c r="K57" s="1239"/>
      <c r="L57" s="1239" t="s">
        <v>232</v>
      </c>
      <c r="M57" s="1239" t="s">
        <v>2811</v>
      </c>
      <c r="N57" s="1239" t="s">
        <v>144</v>
      </c>
      <c r="O57" s="1239" t="s">
        <v>144</v>
      </c>
      <c r="P57" s="1239"/>
      <c r="Q57" s="1239"/>
      <c r="R57" s="1239"/>
      <c r="S57" s="455"/>
      <c r="T57" s="1239">
        <v>30</v>
      </c>
      <c r="U57" s="1239">
        <v>-15</v>
      </c>
      <c r="V57" s="1239"/>
      <c r="W57" s="1239">
        <v>1.4</v>
      </c>
      <c r="X57" s="1239">
        <v>1.8</v>
      </c>
      <c r="Y57" s="1239"/>
      <c r="Z57" s="1239"/>
      <c r="AA57" s="1239">
        <v>20</v>
      </c>
      <c r="AB57" s="1239"/>
      <c r="AC57" s="1239" t="s">
        <v>4090</v>
      </c>
      <c r="AD57" s="1239" t="s">
        <v>2482</v>
      </c>
      <c r="AE57" s="1239"/>
      <c r="AF57" s="1239"/>
      <c r="AG57" s="171"/>
      <c r="AH57" s="1239"/>
      <c r="AI57" s="1239"/>
      <c r="AJ57" s="1239"/>
      <c r="AK57" s="1239"/>
      <c r="AL57" s="1239"/>
      <c r="AM57" s="1239" t="s">
        <v>1042</v>
      </c>
      <c r="AN57" s="455">
        <v>5.5</v>
      </c>
      <c r="AO57" s="1239"/>
      <c r="AP57" s="1239"/>
      <c r="AQ57" s="455"/>
      <c r="AR57" s="1239"/>
      <c r="AS57" s="1239"/>
      <c r="AT57" s="455">
        <f>+ab($T$57,$T$55,$T$59,$G$56,$G$58,-1*$F$57,1200)</f>
        <v>2.7566063100456675</v>
      </c>
      <c r="AU57" s="1239"/>
      <c r="AV57" s="1239"/>
      <c r="AW57" s="1239" t="s">
        <v>4877</v>
      </c>
      <c r="AX57" s="1239"/>
      <c r="AY57" s="455"/>
      <c r="AZ57" s="455"/>
      <c r="BA57" s="1387" t="s">
        <v>2809</v>
      </c>
      <c r="BB57" s="1239" t="s">
        <v>5005</v>
      </c>
      <c r="BC57" s="169" t="s">
        <v>4955</v>
      </c>
      <c r="BD57" s="1329"/>
      <c r="BE57" s="1329"/>
      <c r="BF57" s="1329"/>
      <c r="BG57" s="1329"/>
    </row>
    <row r="58" spans="1:59" ht="15.65" customHeight="1">
      <c r="A58" s="647" t="s">
        <v>4010</v>
      </c>
      <c r="B58" s="740"/>
      <c r="C58" s="652"/>
      <c r="D58" s="647"/>
      <c r="E58" s="647"/>
      <c r="F58" s="650"/>
      <c r="G58" s="651">
        <v>31</v>
      </c>
      <c r="H58" s="647"/>
      <c r="I58" s="650"/>
      <c r="J58" s="652"/>
      <c r="K58" s="647"/>
      <c r="L58" s="647"/>
      <c r="M58" s="647"/>
      <c r="N58" s="647"/>
      <c r="O58" s="647"/>
      <c r="P58" s="647"/>
      <c r="Q58" s="647"/>
      <c r="R58" s="647"/>
      <c r="S58" s="651"/>
      <c r="T58" s="647"/>
      <c r="U58" s="647"/>
      <c r="V58" s="647"/>
      <c r="W58" s="647"/>
      <c r="X58" s="647"/>
      <c r="Y58" s="647"/>
      <c r="Z58" s="647"/>
      <c r="AA58" s="647"/>
      <c r="AB58" s="647"/>
      <c r="AC58" s="647"/>
      <c r="AD58" s="647"/>
      <c r="AE58" s="647"/>
      <c r="AF58" s="647"/>
      <c r="AG58" s="652"/>
      <c r="AH58" s="647"/>
      <c r="AI58" s="647"/>
      <c r="AJ58" s="647"/>
      <c r="AK58" s="647"/>
      <c r="AL58" s="647"/>
      <c r="AM58" s="647"/>
      <c r="AN58" s="651"/>
      <c r="AO58" s="647"/>
      <c r="AP58" s="647"/>
      <c r="AQ58" s="651">
        <f>+FL_2($U$59,$U$57,$G$58,1200,9.28,-1*$F$59)</f>
        <v>-0.54712775091050492</v>
      </c>
      <c r="AR58" s="647"/>
      <c r="AS58" s="647"/>
      <c r="AT58" s="651"/>
      <c r="AU58" s="647"/>
      <c r="AV58" s="647"/>
      <c r="AW58" s="647"/>
      <c r="AX58" s="647"/>
      <c r="AY58" s="651"/>
      <c r="AZ58" s="651"/>
      <c r="BA58" s="1388"/>
      <c r="BB58" s="647"/>
      <c r="BC58" s="169"/>
      <c r="BD58" s="1330"/>
      <c r="BE58" s="1330"/>
      <c r="BF58" s="1330"/>
      <c r="BG58" s="1330"/>
    </row>
    <row r="59" spans="1:59" ht="15.65" customHeight="1">
      <c r="A59" s="1239"/>
      <c r="B59" s="572" t="s">
        <v>3028</v>
      </c>
      <c r="C59" s="171">
        <f>+$C$57+$G$58</f>
        <v>89964.85</v>
      </c>
      <c r="D59" s="1239"/>
      <c r="E59" s="1239"/>
      <c r="F59" s="448">
        <v>-395</v>
      </c>
      <c r="G59" s="455"/>
      <c r="H59" s="1239" t="s">
        <v>619</v>
      </c>
      <c r="I59" s="448"/>
      <c r="J59" s="171"/>
      <c r="K59" s="1239"/>
      <c r="L59" s="1239" t="s">
        <v>819</v>
      </c>
      <c r="M59" s="1239" t="s">
        <v>2811</v>
      </c>
      <c r="N59" s="1239" t="s">
        <v>144</v>
      </c>
      <c r="O59" s="1239" t="s">
        <v>140</v>
      </c>
      <c r="P59" s="1239"/>
      <c r="Q59" s="1239"/>
      <c r="R59" s="1239"/>
      <c r="S59" s="455"/>
      <c r="T59" s="1239">
        <v>30</v>
      </c>
      <c r="U59" s="1239">
        <v>-15</v>
      </c>
      <c r="V59" s="1239"/>
      <c r="W59" s="1239">
        <v>1.4</v>
      </c>
      <c r="X59" s="1239">
        <v>1.8</v>
      </c>
      <c r="Y59" s="1239"/>
      <c r="Z59" s="1239"/>
      <c r="AA59" s="1239">
        <v>40</v>
      </c>
      <c r="AB59" s="1239"/>
      <c r="AC59" s="1239" t="str">
        <f>IF(OR(AT59&gt;8,AT59&lt;-8),"PH",IF(OR(AT59&gt;5,AT59&lt;-5),"PH-Q",IF(OR(AT59&gt;1,AT59&lt;-1),"PH-C")))</f>
        <v>PH-C</v>
      </c>
      <c r="AD59" s="1239"/>
      <c r="AE59" s="1239"/>
      <c r="AF59" s="1239"/>
      <c r="AG59" s="171"/>
      <c r="AH59" s="1239"/>
      <c r="AI59" s="1239"/>
      <c r="AJ59" s="1239"/>
      <c r="AK59" s="1239"/>
      <c r="AL59" s="1239"/>
      <c r="AM59" s="1239" t="s">
        <v>1042</v>
      </c>
      <c r="AN59" s="455">
        <v>5.5</v>
      </c>
      <c r="AO59" s="1239"/>
      <c r="AP59" s="1239"/>
      <c r="AQ59" s="455"/>
      <c r="AR59" s="1239"/>
      <c r="AS59" s="1239"/>
      <c r="AT59" s="455">
        <f>+ab($T$59,$T$57,$T$61,$G$58,$G$60,-1*$F$59,1200)</f>
        <v>2.4048598913162595</v>
      </c>
      <c r="AU59" s="1239"/>
      <c r="AV59" s="1239"/>
      <c r="AW59" s="1239" t="s">
        <v>4877</v>
      </c>
      <c r="AX59" s="1239"/>
      <c r="AY59" s="455"/>
      <c r="AZ59" s="455"/>
      <c r="BA59" s="1387" t="s">
        <v>2809</v>
      </c>
      <c r="BB59" s="1239" t="s">
        <v>4996</v>
      </c>
      <c r="BC59" s="169" t="s">
        <v>4955</v>
      </c>
      <c r="BD59" s="1329"/>
      <c r="BE59" s="1329"/>
      <c r="BF59" s="1329"/>
      <c r="BG59" s="1329"/>
    </row>
    <row r="60" spans="1:59" ht="15.65" customHeight="1" thickBot="1">
      <c r="A60" s="1389"/>
      <c r="B60" s="1390"/>
      <c r="C60" s="1391"/>
      <c r="D60" s="1389"/>
      <c r="E60" s="1389"/>
      <c r="F60" s="1392"/>
      <c r="G60" s="1393">
        <v>32</v>
      </c>
      <c r="H60" s="1389"/>
      <c r="I60" s="1392"/>
      <c r="J60" s="1391"/>
      <c r="K60" s="1389"/>
      <c r="L60" s="1389"/>
      <c r="M60" s="1389"/>
      <c r="N60" s="1389"/>
      <c r="O60" s="1389"/>
      <c r="P60" s="1389"/>
      <c r="Q60" s="1389"/>
      <c r="R60" s="1389"/>
      <c r="S60" s="1393"/>
      <c r="T60" s="1389"/>
      <c r="U60" s="1389"/>
      <c r="V60" s="1389"/>
      <c r="W60" s="1389"/>
      <c r="X60" s="1389"/>
      <c r="Y60" s="1389"/>
      <c r="Z60" s="1389"/>
      <c r="AA60" s="1389"/>
      <c r="AB60" s="1389"/>
      <c r="AC60" s="1389"/>
      <c r="AD60" s="1389"/>
      <c r="AE60" s="1389"/>
      <c r="AF60" s="1389"/>
      <c r="AG60" s="1391"/>
      <c r="AH60" s="1389"/>
      <c r="AI60" s="1389"/>
      <c r="AJ60" s="1389"/>
      <c r="AK60" s="1389"/>
      <c r="AL60" s="1389"/>
      <c r="AM60" s="1389"/>
      <c r="AN60" s="1393"/>
      <c r="AO60" s="1389"/>
      <c r="AP60" s="1389"/>
      <c r="AQ60" s="1393">
        <f>+FL_1($T$61,$T$59,$G$60,1200,9.28,-1*$F$61)</f>
        <v>0.30000000000002958</v>
      </c>
      <c r="AR60" s="1389"/>
      <c r="AS60" s="1389"/>
      <c r="AT60" s="1393"/>
      <c r="AU60" s="1389"/>
      <c r="AV60" s="1389"/>
      <c r="AW60" s="1389"/>
      <c r="AX60" s="1389"/>
      <c r="AY60" s="1393"/>
      <c r="AZ60" s="1393"/>
      <c r="BA60" s="1394"/>
      <c r="BB60" s="1389"/>
      <c r="BC60" s="169"/>
      <c r="BD60" s="1330"/>
      <c r="BE60" s="1330"/>
      <c r="BF60" s="1330"/>
      <c r="BG60" s="1330"/>
    </row>
    <row r="61" spans="1:59" ht="15.65" customHeight="1" thickTop="1">
      <c r="A61" s="1395"/>
      <c r="B61" s="1396" t="s">
        <v>3029</v>
      </c>
      <c r="C61" s="1397">
        <f>+$C$59+$G$60</f>
        <v>89996.85</v>
      </c>
      <c r="D61" s="1395"/>
      <c r="E61" s="1395"/>
      <c r="F61" s="1398">
        <v>-395</v>
      </c>
      <c r="G61" s="1399"/>
      <c r="H61" s="1395" t="s">
        <v>138</v>
      </c>
      <c r="I61" s="1398" t="s">
        <v>623</v>
      </c>
      <c r="J61" s="1397"/>
      <c r="K61" s="1395"/>
      <c r="L61" s="1395" t="s">
        <v>899</v>
      </c>
      <c r="M61" s="1395" t="str">
        <f>IF(AX61="PT",VLOOKUP(L61,'Foundation Calculation'!$V$2:$X$40,VLOOKUP(AX61,'Foundation Calculation'!$I$10:$J$13,2,FALSE),0),IF(AX61="K",VLOOKUP(L61,'Foundation Calculation'!$V$42:$X$80,VLOOKUP(AX61,'Foundation Calculation'!$I$10:$J$13,2,FALSE),0),""))</f>
        <v>C5RT</v>
      </c>
      <c r="N61" s="1395" t="s">
        <v>144</v>
      </c>
      <c r="O61" s="1395"/>
      <c r="P61" s="1395"/>
      <c r="Q61" s="1395"/>
      <c r="R61" s="1395"/>
      <c r="S61" s="1399"/>
      <c r="T61" s="1395">
        <v>30</v>
      </c>
      <c r="U61" s="1395"/>
      <c r="V61" s="1395"/>
      <c r="W61" s="1395">
        <v>1.4</v>
      </c>
      <c r="X61" s="1395"/>
      <c r="Y61" s="1395"/>
      <c r="Z61" s="1395"/>
      <c r="AA61" s="1395"/>
      <c r="AB61" s="1395"/>
      <c r="AC61" s="1395" t="str">
        <f>IF(OR(AT61&gt;8,AT61&lt;-8),"PH",IF(OR(AT61&gt;5,AT61&lt;-5),"PH-Q",IF(OR(AT61&gt;1,AT61&lt;-1),"PH-C")))</f>
        <v>PH-C</v>
      </c>
      <c r="AD61" s="1395"/>
      <c r="AE61" s="1395"/>
      <c r="AF61" s="1395"/>
      <c r="AG61" s="1397"/>
      <c r="AH61" s="1395"/>
      <c r="AI61" s="1395"/>
      <c r="AJ61" s="1395"/>
      <c r="AK61" s="1395"/>
      <c r="AL61" s="1395"/>
      <c r="AM61" s="1395" t="s">
        <v>1042</v>
      </c>
      <c r="AN61" s="1399">
        <v>5.5</v>
      </c>
      <c r="AO61" s="1395"/>
      <c r="AP61" s="1395"/>
      <c r="AQ61" s="1399"/>
      <c r="AR61" s="1395"/>
      <c r="AS61" s="1395"/>
      <c r="AT61" s="1399">
        <f>+ab($T$61,$T$59,$T$63,$G$60,$G$62,-1*$F$61,1200)</f>
        <v>2.3673270449100454</v>
      </c>
      <c r="AU61" s="1395"/>
      <c r="AV61" s="1395"/>
      <c r="AW61" s="1239" t="str">
        <f>VLOOKUP(C61,'Foundation Calculation'!$A$2:$C$33,3,1)</f>
        <v>Soil B</v>
      </c>
      <c r="AX61" s="1395" t="s">
        <v>4434</v>
      </c>
      <c r="AY61" s="1399">
        <f>IF(AX61="PT",VLOOKUP(L61,'Foundation Calculation'!$K$2:$R$40,VLOOKUP(AW61,'Foundation Calculation'!$I$2:$J$8,2,FALSE),0),IF(AX61="K",VLOOKUP(L61,'Foundation Calculation'!$K$42:$R$80,VLOOKUP(AW61,'Foundation Calculation'!$I$2:$J$8,2,FALSE),0),""))</f>
        <v>4</v>
      </c>
      <c r="AZ61" s="1399"/>
      <c r="BA61" s="1538" t="s">
        <v>2809</v>
      </c>
      <c r="BB61" s="1395" t="str">
        <f>Pole_Calculations!A20</f>
        <v>App.7-V11A-P9.5.1.6</v>
      </c>
      <c r="BC61" s="169"/>
      <c r="BD61" s="1329"/>
      <c r="BE61" s="1329"/>
      <c r="BF61" s="1329"/>
      <c r="BG61" s="1329"/>
    </row>
    <row r="62" spans="1:59" ht="15.65" customHeight="1">
      <c r="A62" s="1239"/>
      <c r="B62" s="572"/>
      <c r="C62" s="171"/>
      <c r="D62" s="1239"/>
      <c r="E62" s="1239"/>
      <c r="F62" s="448"/>
      <c r="G62" s="455">
        <v>32</v>
      </c>
      <c r="H62" s="1239"/>
      <c r="I62" s="448"/>
      <c r="J62" s="171">
        <f>C61+7.5</f>
        <v>90004.35</v>
      </c>
      <c r="K62" s="1239" t="s">
        <v>1662</v>
      </c>
      <c r="L62" s="1239"/>
      <c r="M62" s="1239"/>
      <c r="N62" s="1239"/>
      <c r="O62" s="1239"/>
      <c r="P62" s="1239"/>
      <c r="Q62" s="1239"/>
      <c r="R62" s="1239"/>
      <c r="S62" s="455"/>
      <c r="T62" s="1239"/>
      <c r="U62" s="1239"/>
      <c r="V62" s="1239"/>
      <c r="W62" s="1239"/>
      <c r="X62" s="1239"/>
      <c r="Y62" s="1239"/>
      <c r="Z62" s="1239"/>
      <c r="AA62" s="1239"/>
      <c r="AB62" s="1239"/>
      <c r="AC62" s="1239"/>
      <c r="AD62" s="1239"/>
      <c r="AE62" s="1239"/>
      <c r="AF62" s="1239"/>
      <c r="AG62" s="171"/>
      <c r="AH62" s="1239"/>
      <c r="AI62" s="1239"/>
      <c r="AJ62" s="1239"/>
      <c r="AK62" s="1239"/>
      <c r="AL62" s="1239"/>
      <c r="AM62" s="1239"/>
      <c r="AN62" s="455"/>
      <c r="AO62" s="1239"/>
      <c r="AP62" s="1239"/>
      <c r="AQ62" s="455">
        <f>+FL_1($T$63,$T$61,$G$62,1200,9.28,-1*$F$63)</f>
        <v>0.30000000000002958</v>
      </c>
      <c r="AR62" s="1239"/>
      <c r="AS62" s="1239"/>
      <c r="AT62" s="455"/>
      <c r="AU62" s="1239"/>
      <c r="AV62" s="1239"/>
      <c r="AW62" s="638" t="str">
        <f>VLOOKUP(J62,'Foundation Calculation'!$A$2:$C$33,3,1)</f>
        <v>Soil B</v>
      </c>
      <c r="AX62" s="638" t="s">
        <v>4434</v>
      </c>
      <c r="AY62" s="484"/>
      <c r="AZ62" s="484">
        <f>IF(AX62="PT",VLOOKUP(K62,'Foundation Calculation'!$K$2:$R$40,VLOOKUP(AW62,'Foundation Calculation'!$I$2:$J$8,2,FALSE),0),IF(AX62="K",VLOOKUP(K62,'Foundation Calculation'!$K$42:$R$80,VLOOKUP(AW62,'Foundation Calculation'!$I$2:$J$8,2,FALSE),0),""))</f>
        <v>3.9</v>
      </c>
      <c r="BA62" s="1536" t="s">
        <v>2809</v>
      </c>
      <c r="BB62" s="1239"/>
      <c r="BC62" s="169"/>
      <c r="BD62" s="1329"/>
      <c r="BE62" s="1330"/>
      <c r="BF62" s="1330"/>
      <c r="BG62" s="1330"/>
    </row>
    <row r="63" spans="1:59" ht="15.65" customHeight="1">
      <c r="A63" s="467"/>
      <c r="B63" s="590" t="s">
        <v>2891</v>
      </c>
      <c r="C63" s="473">
        <f>+$C$61+$G$62</f>
        <v>90028.85</v>
      </c>
      <c r="D63" s="467"/>
      <c r="E63" s="467"/>
      <c r="F63" s="469">
        <v>-395</v>
      </c>
      <c r="G63" s="474"/>
      <c r="H63" s="467"/>
      <c r="I63" s="469"/>
      <c r="J63" s="473"/>
      <c r="K63" s="467"/>
      <c r="L63" s="467" t="s">
        <v>230</v>
      </c>
      <c r="M63" s="467" t="s">
        <v>2811</v>
      </c>
      <c r="N63" s="467" t="s">
        <v>144</v>
      </c>
      <c r="O63" s="467"/>
      <c r="P63" s="467"/>
      <c r="Q63" s="467"/>
      <c r="R63" s="467"/>
      <c r="S63" s="474"/>
      <c r="T63" s="467">
        <v>30</v>
      </c>
      <c r="U63" s="467"/>
      <c r="V63" s="467"/>
      <c r="W63" s="467">
        <v>1.4</v>
      </c>
      <c r="X63" s="467"/>
      <c r="Y63" s="467"/>
      <c r="Z63" s="467"/>
      <c r="AA63" s="467"/>
      <c r="AB63" s="467"/>
      <c r="AC63" s="467" t="str">
        <f>IF(OR(AT63&gt;8,AT63&lt;-8),"PH",IF(OR(AT63&gt;5,AT63&lt;-5),"PH-Q",IF(OR(AT63&gt;1,AT63&lt;-1),"PH-C")))</f>
        <v>PH-C</v>
      </c>
      <c r="AD63" s="467"/>
      <c r="AE63" s="467"/>
      <c r="AF63" s="467"/>
      <c r="AG63" s="473"/>
      <c r="AH63" s="467"/>
      <c r="AI63" s="467"/>
      <c r="AJ63" s="467"/>
      <c r="AK63" s="467"/>
      <c r="AL63" s="467"/>
      <c r="AM63" s="467" t="s">
        <v>1042</v>
      </c>
      <c r="AN63" s="474">
        <v>5.5</v>
      </c>
      <c r="AO63" s="467"/>
      <c r="AP63" s="467"/>
      <c r="AQ63" s="474"/>
      <c r="AR63" s="467"/>
      <c r="AS63" s="467"/>
      <c r="AT63" s="474">
        <f>+ab($T$63,$T$61,$T$65,$G$62,$G$64,-1*$F$63,1200)</f>
        <v>2.3673270449100454</v>
      </c>
      <c r="AU63" s="467"/>
      <c r="AV63" s="467"/>
      <c r="AW63" s="467" t="s">
        <v>4433</v>
      </c>
      <c r="AX63" s="467"/>
      <c r="AY63" s="474"/>
      <c r="AZ63" s="474"/>
      <c r="BA63" s="1534" t="s">
        <v>2809</v>
      </c>
      <c r="BB63" s="467" t="str">
        <f>Pole_Calculations!A15</f>
        <v>App.7-V11A-P9.5.1.1</v>
      </c>
      <c r="BC63" s="169"/>
      <c r="BD63" s="1329"/>
      <c r="BE63" s="1329"/>
      <c r="BF63" s="1329"/>
      <c r="BG63" s="1329"/>
    </row>
    <row r="64" spans="1:59" ht="15.65" customHeight="1">
      <c r="A64" s="467"/>
      <c r="B64" s="685"/>
      <c r="C64" s="473"/>
      <c r="D64" s="467"/>
      <c r="E64" s="467"/>
      <c r="F64" s="469"/>
      <c r="G64" s="474">
        <v>32</v>
      </c>
      <c r="H64" s="467"/>
      <c r="I64" s="469"/>
      <c r="J64" s="473"/>
      <c r="K64" s="467"/>
      <c r="L64" s="467"/>
      <c r="M64" s="467"/>
      <c r="N64" s="467"/>
      <c r="O64" s="467"/>
      <c r="P64" s="467"/>
      <c r="Q64" s="467"/>
      <c r="R64" s="467"/>
      <c r="S64" s="474"/>
      <c r="T64" s="467"/>
      <c r="U64" s="467"/>
      <c r="V64" s="467"/>
      <c r="W64" s="467"/>
      <c r="X64" s="467"/>
      <c r="Y64" s="467"/>
      <c r="Z64" s="467"/>
      <c r="AA64" s="467"/>
      <c r="AB64" s="467"/>
      <c r="AC64" s="467"/>
      <c r="AD64" s="467"/>
      <c r="AE64" s="467"/>
      <c r="AF64" s="467"/>
      <c r="AG64" s="473"/>
      <c r="AH64" s="467"/>
      <c r="AI64" s="467"/>
      <c r="AJ64" s="467"/>
      <c r="AK64" s="467"/>
      <c r="AL64" s="467"/>
      <c r="AM64" s="467"/>
      <c r="AN64" s="474"/>
      <c r="AO64" s="467"/>
      <c r="AP64" s="467"/>
      <c r="AQ64" s="474">
        <f>+FL_1($T$65,$T$63,$G$64,1200,9.28,-1*$F$65)</f>
        <v>0.30000000000002958</v>
      </c>
      <c r="AR64" s="467"/>
      <c r="AS64" s="467"/>
      <c r="AT64" s="474"/>
      <c r="AU64" s="467"/>
      <c r="AV64" s="467"/>
      <c r="AW64" s="467"/>
      <c r="AX64" s="467"/>
      <c r="AY64" s="474"/>
      <c r="AZ64" s="474"/>
      <c r="BA64" s="674"/>
      <c r="BB64" s="467"/>
      <c r="BC64" s="169"/>
      <c r="BD64" s="1330"/>
      <c r="BE64" s="1330"/>
      <c r="BF64" s="1330"/>
      <c r="BG64" s="1330"/>
    </row>
    <row r="65" spans="1:59" ht="15.65" customHeight="1">
      <c r="A65" s="467"/>
      <c r="B65" s="590" t="s">
        <v>2892</v>
      </c>
      <c r="C65" s="473">
        <f>+$C$63+$G$64</f>
        <v>90060.85</v>
      </c>
      <c r="D65" s="467"/>
      <c r="E65" s="467"/>
      <c r="F65" s="469">
        <v>-395</v>
      </c>
      <c r="G65" s="474"/>
      <c r="H65" s="467"/>
      <c r="I65" s="469"/>
      <c r="J65" s="473"/>
      <c r="K65" s="467"/>
      <c r="L65" s="467" t="s">
        <v>230</v>
      </c>
      <c r="M65" s="467" t="s">
        <v>2811</v>
      </c>
      <c r="N65" s="467" t="s">
        <v>144</v>
      </c>
      <c r="O65" s="467"/>
      <c r="P65" s="467"/>
      <c r="Q65" s="467"/>
      <c r="R65" s="467"/>
      <c r="S65" s="474"/>
      <c r="T65" s="467">
        <v>30</v>
      </c>
      <c r="U65" s="467"/>
      <c r="V65" s="467"/>
      <c r="W65" s="467">
        <v>1.4</v>
      </c>
      <c r="X65" s="467"/>
      <c r="Y65" s="467"/>
      <c r="Z65" s="467"/>
      <c r="AA65" s="467"/>
      <c r="AB65" s="467"/>
      <c r="AC65" s="467" t="str">
        <f>IF(OR(AT65&gt;8,AT65&lt;-8),"PH",IF(OR(AT65&gt;5,AT65&lt;-5),"PH-Q",IF(OR(AT65&gt;1,AT65&lt;-1),"PH-C")))</f>
        <v>PH-C</v>
      </c>
      <c r="AD65" s="467"/>
      <c r="AE65" s="467"/>
      <c r="AF65" s="467"/>
      <c r="AG65" s="473"/>
      <c r="AH65" s="467"/>
      <c r="AI65" s="467"/>
      <c r="AJ65" s="467"/>
      <c r="AK65" s="467"/>
      <c r="AL65" s="467"/>
      <c r="AM65" s="467" t="s">
        <v>1042</v>
      </c>
      <c r="AN65" s="474">
        <v>5.5</v>
      </c>
      <c r="AO65" s="467"/>
      <c r="AP65" s="467"/>
      <c r="AQ65" s="474"/>
      <c r="AR65" s="467"/>
      <c r="AS65" s="467"/>
      <c r="AT65" s="474">
        <f>+ab($T$65,$T$63,$T$67,$G$64,$G$66,-1*$F$65,1200)</f>
        <v>2.4436013082950199</v>
      </c>
      <c r="AU65" s="467"/>
      <c r="AV65" s="467"/>
      <c r="AW65" s="467" t="s">
        <v>5035</v>
      </c>
      <c r="AX65" s="464"/>
      <c r="AY65" s="466"/>
      <c r="AZ65" s="466"/>
      <c r="BA65" s="1534" t="s">
        <v>2809</v>
      </c>
      <c r="BB65" s="467" t="str">
        <f>Pole_Calculations!A15</f>
        <v>App.7-V11A-P9.5.1.1</v>
      </c>
      <c r="BC65" s="169"/>
      <c r="BD65" s="1329"/>
      <c r="BE65" s="1329"/>
      <c r="BF65" s="1329"/>
      <c r="BG65" s="1329"/>
    </row>
    <row r="66" spans="1:59" ht="15.65" customHeight="1">
      <c r="A66" s="467"/>
      <c r="B66" s="685"/>
      <c r="C66" s="473"/>
      <c r="D66" s="467"/>
      <c r="E66" s="467"/>
      <c r="F66" s="469"/>
      <c r="G66" s="474">
        <v>30</v>
      </c>
      <c r="H66" s="467"/>
      <c r="I66" s="469"/>
      <c r="J66" s="473"/>
      <c r="K66" s="467"/>
      <c r="L66" s="467"/>
      <c r="M66" s="467"/>
      <c r="N66" s="467"/>
      <c r="O66" s="467"/>
      <c r="P66" s="467"/>
      <c r="Q66" s="467"/>
      <c r="R66" s="467"/>
      <c r="S66" s="474"/>
      <c r="T66" s="467"/>
      <c r="U66" s="467"/>
      <c r="V66" s="467"/>
      <c r="W66" s="467"/>
      <c r="X66" s="467"/>
      <c r="Y66" s="467"/>
      <c r="Z66" s="467"/>
      <c r="AA66" s="467"/>
      <c r="AB66" s="467"/>
      <c r="AC66" s="467"/>
      <c r="AD66" s="467"/>
      <c r="AE66" s="467"/>
      <c r="AF66" s="467"/>
      <c r="AG66" s="473"/>
      <c r="AH66" s="467"/>
      <c r="AI66" s="467"/>
      <c r="AJ66" s="467"/>
      <c r="AK66" s="467"/>
      <c r="AL66" s="467"/>
      <c r="AM66" s="467"/>
      <c r="AN66" s="474"/>
      <c r="AO66" s="467"/>
      <c r="AP66" s="467"/>
      <c r="AQ66" s="474">
        <f>+FL_1($T$67,$T$65,$G$66,1200,9.28,-1*$F$67)</f>
        <v>0.30000000000003496</v>
      </c>
      <c r="AR66" s="467"/>
      <c r="AS66" s="467"/>
      <c r="AT66" s="474"/>
      <c r="AU66" s="467"/>
      <c r="AV66" s="467"/>
      <c r="AW66" s="467"/>
      <c r="AX66" s="467"/>
      <c r="AY66" s="474"/>
      <c r="AZ66" s="474"/>
      <c r="BA66" s="674"/>
      <c r="BB66" s="467"/>
      <c r="BC66" s="169"/>
      <c r="BD66" s="1330"/>
      <c r="BE66" s="1330"/>
      <c r="BF66" s="1330"/>
      <c r="BG66" s="1330"/>
    </row>
    <row r="67" spans="1:59" ht="15.65" customHeight="1">
      <c r="A67" s="467"/>
      <c r="B67" s="685" t="s">
        <v>2893</v>
      </c>
      <c r="C67" s="473">
        <f>+$C$65+$G$66</f>
        <v>90090.85</v>
      </c>
      <c r="D67" s="467"/>
      <c r="E67" s="467"/>
      <c r="F67" s="469">
        <v>-395</v>
      </c>
      <c r="G67" s="474"/>
      <c r="H67" s="467"/>
      <c r="I67" s="469"/>
      <c r="J67" s="473"/>
      <c r="K67" s="467"/>
      <c r="L67" s="467" t="s">
        <v>230</v>
      </c>
      <c r="M67" s="467" t="s">
        <v>2811</v>
      </c>
      <c r="N67" s="467" t="s">
        <v>144</v>
      </c>
      <c r="O67" s="467"/>
      <c r="P67" s="467"/>
      <c r="Q67" s="467"/>
      <c r="R67" s="467"/>
      <c r="S67" s="474"/>
      <c r="T67" s="467">
        <v>30</v>
      </c>
      <c r="U67" s="467"/>
      <c r="V67" s="467"/>
      <c r="W67" s="467">
        <v>1.4</v>
      </c>
      <c r="X67" s="467"/>
      <c r="Y67" s="467"/>
      <c r="Z67" s="467"/>
      <c r="AA67" s="467"/>
      <c r="AB67" s="467"/>
      <c r="AC67" s="467" t="str">
        <f>IF(OR(AT67&gt;8,AT67&lt;-8),"PH",IF(OR(AT67&gt;5,AT67&lt;-5),"PH-Q",IF(OR(AT67&gt;1,AT67&lt;-1),"PH-C")))</f>
        <v>PH-C</v>
      </c>
      <c r="AD67" s="467"/>
      <c r="AE67" s="467"/>
      <c r="AF67" s="467"/>
      <c r="AG67" s="473"/>
      <c r="AH67" s="467"/>
      <c r="AI67" s="467"/>
      <c r="AJ67" s="467"/>
      <c r="AK67" s="467"/>
      <c r="AL67" s="467"/>
      <c r="AM67" s="467" t="s">
        <v>1042</v>
      </c>
      <c r="AN67" s="474">
        <v>5.5</v>
      </c>
      <c r="AO67" s="467"/>
      <c r="AP67" s="467"/>
      <c r="AQ67" s="474"/>
      <c r="AR67" s="467"/>
      <c r="AS67" s="467"/>
      <c r="AT67" s="474">
        <f>+ab($T$67,$T$65,$T$69,$G$66,$G$68,-1*$F$67,1200)</f>
        <v>2.5249509648283768</v>
      </c>
      <c r="AU67" s="467"/>
      <c r="AV67" s="467"/>
      <c r="AW67" s="467" t="s">
        <v>5035</v>
      </c>
      <c r="AX67" s="467"/>
      <c r="AY67" s="474"/>
      <c r="AZ67" s="474"/>
      <c r="BA67" s="1534" t="s">
        <v>2809</v>
      </c>
      <c r="BB67" s="467" t="str">
        <f>Pole_Calculations!A15</f>
        <v>App.7-V11A-P9.5.1.1</v>
      </c>
      <c r="BC67" s="169"/>
      <c r="BD67" s="1329"/>
      <c r="BE67" s="1329"/>
      <c r="BF67" s="1329"/>
      <c r="BG67" s="1329"/>
    </row>
    <row r="68" spans="1:59" ht="15.65" customHeight="1">
      <c r="A68" s="467"/>
      <c r="B68" s="685"/>
      <c r="C68" s="473"/>
      <c r="D68" s="467"/>
      <c r="E68" s="467"/>
      <c r="F68" s="469"/>
      <c r="G68" s="474">
        <v>30</v>
      </c>
      <c r="H68" s="467"/>
      <c r="I68" s="469"/>
      <c r="J68" s="473"/>
      <c r="K68" s="467"/>
      <c r="L68" s="467"/>
      <c r="M68" s="467"/>
      <c r="N68" s="467"/>
      <c r="O68" s="467"/>
      <c r="P68" s="467"/>
      <c r="Q68" s="467"/>
      <c r="R68" s="467"/>
      <c r="S68" s="474"/>
      <c r="T68" s="467"/>
      <c r="U68" s="467"/>
      <c r="V68" s="467"/>
      <c r="W68" s="467"/>
      <c r="X68" s="467"/>
      <c r="Y68" s="467"/>
      <c r="Z68" s="467"/>
      <c r="AA68" s="467"/>
      <c r="AB68" s="467"/>
      <c r="AC68" s="467"/>
      <c r="AD68" s="467"/>
      <c r="AE68" s="467"/>
      <c r="AF68" s="467"/>
      <c r="AG68" s="473"/>
      <c r="AH68" s="467"/>
      <c r="AI68" s="467"/>
      <c r="AJ68" s="467"/>
      <c r="AK68" s="467"/>
      <c r="AL68" s="467"/>
      <c r="AM68" s="467"/>
      <c r="AN68" s="474"/>
      <c r="AO68" s="467"/>
      <c r="AP68" s="467"/>
      <c r="AQ68" s="474">
        <f>+FL_1($T$69,$T$67,$G$68,1200,9.28,-1*$F$69)</f>
        <v>0.30000000000003496</v>
      </c>
      <c r="AR68" s="467"/>
      <c r="AS68" s="467"/>
      <c r="AT68" s="474"/>
      <c r="AU68" s="467"/>
      <c r="AV68" s="467"/>
      <c r="AW68" s="467"/>
      <c r="AX68" s="467"/>
      <c r="AY68" s="474"/>
      <c r="AZ68" s="474"/>
      <c r="BA68" s="674"/>
      <c r="BB68" s="467"/>
      <c r="BC68" s="169"/>
      <c r="BD68" s="1330"/>
      <c r="BE68" s="1330"/>
      <c r="BF68" s="1330"/>
      <c r="BG68" s="1330"/>
    </row>
    <row r="69" spans="1:59" ht="15.65" customHeight="1">
      <c r="A69" s="467"/>
      <c r="B69" s="685" t="s">
        <v>2889</v>
      </c>
      <c r="C69" s="473">
        <f>+$C$67+$G$68</f>
        <v>90120.85</v>
      </c>
      <c r="D69" s="467"/>
      <c r="E69" s="467"/>
      <c r="F69" s="469">
        <v>-395</v>
      </c>
      <c r="G69" s="474"/>
      <c r="H69" s="467"/>
      <c r="I69" s="469"/>
      <c r="J69" s="473"/>
      <c r="K69" s="467"/>
      <c r="L69" s="467" t="s">
        <v>230</v>
      </c>
      <c r="M69" s="467" t="s">
        <v>2811</v>
      </c>
      <c r="N69" s="467" t="s">
        <v>144</v>
      </c>
      <c r="O69" s="467"/>
      <c r="P69" s="467"/>
      <c r="Q69" s="467"/>
      <c r="R69" s="467"/>
      <c r="S69" s="474"/>
      <c r="T69" s="467">
        <v>30</v>
      </c>
      <c r="U69" s="467"/>
      <c r="V69" s="467"/>
      <c r="W69" s="467">
        <v>1.4</v>
      </c>
      <c r="X69" s="467"/>
      <c r="Y69" s="467"/>
      <c r="Z69" s="467"/>
      <c r="AA69" s="467"/>
      <c r="AB69" s="467"/>
      <c r="AC69" s="467" t="str">
        <f>IF(OR(AT69&gt;8,AT69&lt;-8),"PH",IF(OR(AT69&gt;5,AT69&lt;-5),"PH-Q",IF(OR(AT69&gt;1,AT69&lt;-1),"PH-C")))</f>
        <v>PH-C</v>
      </c>
      <c r="AD69" s="467"/>
      <c r="AE69" s="467"/>
      <c r="AF69" s="467"/>
      <c r="AG69" s="473"/>
      <c r="AH69" s="467"/>
      <c r="AI69" s="467"/>
      <c r="AJ69" s="467"/>
      <c r="AK69" s="467"/>
      <c r="AL69" s="467"/>
      <c r="AM69" s="467" t="s">
        <v>1042</v>
      </c>
      <c r="AN69" s="474">
        <v>5.5</v>
      </c>
      <c r="AO69" s="467"/>
      <c r="AP69" s="467"/>
      <c r="AQ69" s="474"/>
      <c r="AR69" s="467"/>
      <c r="AS69" s="467"/>
      <c r="AT69" s="474">
        <f>+ab($T$69,$T$67,$T$71,$G$68,$G$70,-1*$F$69,1200)</f>
        <v>2.5249509648283768</v>
      </c>
      <c r="AU69" s="467"/>
      <c r="AV69" s="467"/>
      <c r="AW69" s="467" t="s">
        <v>5035</v>
      </c>
      <c r="AX69" s="467"/>
      <c r="AY69" s="474"/>
      <c r="AZ69" s="474"/>
      <c r="BA69" s="1534" t="s">
        <v>2809</v>
      </c>
      <c r="BB69" s="467" t="str">
        <f>Pole_Calculations!A15</f>
        <v>App.7-V11A-P9.5.1.1</v>
      </c>
      <c r="BC69" s="169"/>
      <c r="BD69" s="1329"/>
      <c r="BE69" s="1329"/>
      <c r="BF69" s="1329"/>
      <c r="BG69" s="1329"/>
    </row>
    <row r="70" spans="1:59" ht="15.65" customHeight="1">
      <c r="A70" s="467" t="s">
        <v>4009</v>
      </c>
      <c r="B70" s="685"/>
      <c r="C70" s="473"/>
      <c r="D70" s="467"/>
      <c r="E70" s="467"/>
      <c r="F70" s="469"/>
      <c r="G70" s="474">
        <v>30</v>
      </c>
      <c r="H70" s="467"/>
      <c r="I70" s="469"/>
      <c r="J70" s="473"/>
      <c r="K70" s="467"/>
      <c r="L70" s="467"/>
      <c r="M70" s="467"/>
      <c r="N70" s="467"/>
      <c r="O70" s="467"/>
      <c r="P70" s="467"/>
      <c r="Q70" s="467"/>
      <c r="R70" s="467"/>
      <c r="S70" s="474"/>
      <c r="T70" s="467"/>
      <c r="U70" s="467"/>
      <c r="V70" s="467"/>
      <c r="W70" s="467"/>
      <c r="X70" s="467"/>
      <c r="Y70" s="467"/>
      <c r="Z70" s="467"/>
      <c r="AA70" s="467"/>
      <c r="AB70" s="467"/>
      <c r="AC70" s="467"/>
      <c r="AD70" s="467"/>
      <c r="AE70" s="467"/>
      <c r="AF70" s="467"/>
      <c r="AG70" s="473"/>
      <c r="AH70" s="467"/>
      <c r="AI70" s="467"/>
      <c r="AJ70" s="467"/>
      <c r="AK70" s="467"/>
      <c r="AL70" s="467"/>
      <c r="AM70" s="467"/>
      <c r="AN70" s="474"/>
      <c r="AO70" s="467"/>
      <c r="AP70" s="467"/>
      <c r="AQ70" s="474">
        <f>+FL_1($T$71,$T$69,$G$70,1200,9.28,-1*$F$71)</f>
        <v>0.30000000000003496</v>
      </c>
      <c r="AR70" s="467"/>
      <c r="AS70" s="467"/>
      <c r="AT70" s="474"/>
      <c r="AU70" s="467"/>
      <c r="AV70" s="467"/>
      <c r="AW70" s="467"/>
      <c r="AX70" s="467"/>
      <c r="AY70" s="474"/>
      <c r="AZ70" s="474"/>
      <c r="BA70" s="674"/>
      <c r="BB70" s="467"/>
      <c r="BC70" s="169"/>
      <c r="BD70" s="1330"/>
      <c r="BE70" s="1330"/>
      <c r="BF70" s="1330"/>
      <c r="BG70" s="1330"/>
    </row>
    <row r="71" spans="1:59" ht="15.65" customHeight="1">
      <c r="A71" s="467"/>
      <c r="B71" s="685" t="s">
        <v>2890</v>
      </c>
      <c r="C71" s="473">
        <f>+$C$69+$G$70</f>
        <v>90150.85</v>
      </c>
      <c r="D71" s="467"/>
      <c r="E71" s="467"/>
      <c r="F71" s="469">
        <v>-395</v>
      </c>
      <c r="G71" s="474"/>
      <c r="H71" s="467"/>
      <c r="I71" s="469"/>
      <c r="J71" s="473"/>
      <c r="K71" s="467"/>
      <c r="L71" s="467" t="s">
        <v>230</v>
      </c>
      <c r="M71" s="467" t="s">
        <v>2811</v>
      </c>
      <c r="N71" s="467" t="s">
        <v>144</v>
      </c>
      <c r="O71" s="467"/>
      <c r="P71" s="467"/>
      <c r="Q71" s="467"/>
      <c r="R71" s="467"/>
      <c r="S71" s="474"/>
      <c r="T71" s="467">
        <v>30</v>
      </c>
      <c r="U71" s="467"/>
      <c r="V71" s="467"/>
      <c r="W71" s="467">
        <v>1.4</v>
      </c>
      <c r="X71" s="467"/>
      <c r="Y71" s="467"/>
      <c r="Z71" s="467"/>
      <c r="AA71" s="467"/>
      <c r="AB71" s="467"/>
      <c r="AC71" s="467" t="str">
        <f>IF(OR(AT71&gt;8,AT71&lt;-8),"PH",IF(OR(AT71&gt;5,AT71&lt;-5),"PH-Q",IF(OR(AT71&gt;1,AT71&lt;-1),"PH-C")))</f>
        <v>PH-C</v>
      </c>
      <c r="AD71" s="467"/>
      <c r="AE71" s="467"/>
      <c r="AF71" s="467"/>
      <c r="AG71" s="473"/>
      <c r="AH71" s="467"/>
      <c r="AI71" s="467"/>
      <c r="AJ71" s="467"/>
      <c r="AK71" s="467"/>
      <c r="AL71" s="467"/>
      <c r="AM71" s="467" t="s">
        <v>1042</v>
      </c>
      <c r="AN71" s="474">
        <v>5.5</v>
      </c>
      <c r="AO71" s="467"/>
      <c r="AP71" s="467"/>
      <c r="AQ71" s="474"/>
      <c r="AR71" s="467"/>
      <c r="AS71" s="467"/>
      <c r="AT71" s="474">
        <f>+ab($T$71,$T$69,$T$73,$G$70,$G$72,-1*$F$71,1200)</f>
        <v>2.5249509648283768</v>
      </c>
      <c r="AU71" s="467"/>
      <c r="AV71" s="467"/>
      <c r="AW71" s="467" t="s">
        <v>5035</v>
      </c>
      <c r="AX71" s="464"/>
      <c r="AY71" s="466"/>
      <c r="AZ71" s="466"/>
      <c r="BA71" s="1534" t="s">
        <v>2809</v>
      </c>
      <c r="BB71" s="467" t="str">
        <f>Pole_Calculations!A15</f>
        <v>App.7-V11A-P9.5.1.1</v>
      </c>
      <c r="BC71" s="169"/>
      <c r="BD71" s="1329"/>
      <c r="BE71" s="1329"/>
      <c r="BF71" s="1329"/>
      <c r="BG71" s="1329"/>
    </row>
    <row r="72" spans="1:59" ht="15.65" customHeight="1">
      <c r="A72" s="467"/>
      <c r="B72" s="685"/>
      <c r="C72" s="473"/>
      <c r="D72" s="467"/>
      <c r="E72" s="467"/>
      <c r="F72" s="469"/>
      <c r="G72" s="474">
        <v>30</v>
      </c>
      <c r="H72" s="467"/>
      <c r="I72" s="469"/>
      <c r="J72" s="473"/>
      <c r="K72" s="467"/>
      <c r="L72" s="467"/>
      <c r="M72" s="467"/>
      <c r="N72" s="467"/>
      <c r="O72" s="467"/>
      <c r="P72" s="467"/>
      <c r="Q72" s="467"/>
      <c r="R72" s="467"/>
      <c r="S72" s="474"/>
      <c r="T72" s="467"/>
      <c r="U72" s="467"/>
      <c r="V72" s="467"/>
      <c r="W72" s="467"/>
      <c r="X72" s="467"/>
      <c r="Y72" s="467"/>
      <c r="Z72" s="467"/>
      <c r="AA72" s="467"/>
      <c r="AB72" s="467"/>
      <c r="AC72" s="467"/>
      <c r="AD72" s="467"/>
      <c r="AE72" s="467"/>
      <c r="AF72" s="467"/>
      <c r="AG72" s="473"/>
      <c r="AH72" s="467"/>
      <c r="AI72" s="467"/>
      <c r="AJ72" s="467"/>
      <c r="AK72" s="467"/>
      <c r="AL72" s="467"/>
      <c r="AM72" s="467"/>
      <c r="AN72" s="474"/>
      <c r="AO72" s="467"/>
      <c r="AP72" s="467"/>
      <c r="AQ72" s="474">
        <f>+FL_1($T$73,$T$71,$G$72,1200,9.28,-1*$F$73)</f>
        <v>0.30000000000003496</v>
      </c>
      <c r="AR72" s="467"/>
      <c r="AS72" s="467"/>
      <c r="AT72" s="474"/>
      <c r="AU72" s="467"/>
      <c r="AV72" s="467"/>
      <c r="AW72" s="467"/>
      <c r="AX72" s="467"/>
      <c r="AY72" s="474"/>
      <c r="AZ72" s="474"/>
      <c r="BA72" s="674"/>
      <c r="BB72" s="467"/>
      <c r="BC72" s="169"/>
      <c r="BD72" s="1330"/>
      <c r="BE72" s="1330"/>
      <c r="BF72" s="1330"/>
      <c r="BG72" s="1330"/>
    </row>
    <row r="73" spans="1:59" ht="15.65" customHeight="1">
      <c r="A73" s="467"/>
      <c r="B73" s="685" t="s">
        <v>2888</v>
      </c>
      <c r="C73" s="473">
        <f>+$C$71+$G$72</f>
        <v>90180.85</v>
      </c>
      <c r="D73" s="467"/>
      <c r="E73" s="467"/>
      <c r="F73" s="469">
        <v>-395</v>
      </c>
      <c r="G73" s="474"/>
      <c r="H73" s="467"/>
      <c r="I73" s="469"/>
      <c r="J73" s="473"/>
      <c r="K73" s="467"/>
      <c r="L73" s="467" t="s">
        <v>230</v>
      </c>
      <c r="M73" s="467" t="s">
        <v>2811</v>
      </c>
      <c r="N73" s="467" t="s">
        <v>144</v>
      </c>
      <c r="O73" s="467"/>
      <c r="P73" s="467"/>
      <c r="Q73" s="467"/>
      <c r="R73" s="467"/>
      <c r="S73" s="474"/>
      <c r="T73" s="467">
        <v>30</v>
      </c>
      <c r="U73" s="467"/>
      <c r="V73" s="467"/>
      <c r="W73" s="467">
        <v>1.4</v>
      </c>
      <c r="X73" s="467"/>
      <c r="Y73" s="467"/>
      <c r="Z73" s="467"/>
      <c r="AA73" s="467"/>
      <c r="AB73" s="467"/>
      <c r="AC73" s="467" t="str">
        <f>IF(OR(AT73&gt;8,AT73&lt;-8),"PH",IF(OR(AT73&gt;5,AT73&lt;-5),"PH-Q",IF(OR(AT73&gt;1,AT73&lt;-1),"PH-C")))</f>
        <v>PH-C</v>
      </c>
      <c r="AD73" s="467"/>
      <c r="AE73" s="467"/>
      <c r="AF73" s="467"/>
      <c r="AG73" s="473"/>
      <c r="AH73" s="467"/>
      <c r="AI73" s="467"/>
      <c r="AJ73" s="467"/>
      <c r="AK73" s="467"/>
      <c r="AL73" s="467"/>
      <c r="AM73" s="467" t="s">
        <v>1042</v>
      </c>
      <c r="AN73" s="474">
        <v>5.5</v>
      </c>
      <c r="AO73" s="467"/>
      <c r="AP73" s="467"/>
      <c r="AQ73" s="474"/>
      <c r="AR73" s="467"/>
      <c r="AS73" s="467"/>
      <c r="AT73" s="474">
        <f>+ab($T$73,$T$71,$T$75,$G$72,$G$74,-1*$F$73,1200)</f>
        <v>2.7541532262426052</v>
      </c>
      <c r="AU73" s="467"/>
      <c r="AV73" s="467"/>
      <c r="AW73" s="467" t="s">
        <v>5035</v>
      </c>
      <c r="AX73" s="467"/>
      <c r="AY73" s="474"/>
      <c r="AZ73" s="474"/>
      <c r="BA73" s="1534" t="s">
        <v>2809</v>
      </c>
      <c r="BB73" s="467" t="str">
        <f>Pole_Calculations!A15</f>
        <v>App.7-V11A-P9.5.1.1</v>
      </c>
      <c r="BC73" s="169"/>
      <c r="BD73" s="1329"/>
      <c r="BE73" s="1329"/>
      <c r="BF73" s="1329"/>
      <c r="BG73" s="1329"/>
    </row>
    <row r="74" spans="1:59" ht="15.65" customHeight="1">
      <c r="A74" s="467"/>
      <c r="B74" s="685"/>
      <c r="C74" s="473"/>
      <c r="D74" s="467"/>
      <c r="E74" s="467"/>
      <c r="F74" s="469"/>
      <c r="G74" s="474">
        <v>25</v>
      </c>
      <c r="H74" s="467"/>
      <c r="I74" s="469"/>
      <c r="J74" s="473">
        <f>C75-7.5</f>
        <v>90198.35</v>
      </c>
      <c r="K74" s="467" t="s">
        <v>625</v>
      </c>
      <c r="L74" s="467"/>
      <c r="M74" s="467"/>
      <c r="N74" s="467"/>
      <c r="O74" s="467"/>
      <c r="P74" s="467"/>
      <c r="Q74" s="467"/>
      <c r="R74" s="467"/>
      <c r="S74" s="474"/>
      <c r="T74" s="467"/>
      <c r="U74" s="467"/>
      <c r="V74" s="467"/>
      <c r="W74" s="467"/>
      <c r="X74" s="467"/>
      <c r="Y74" s="467"/>
      <c r="Z74" s="467"/>
      <c r="AA74" s="467"/>
      <c r="AB74" s="467"/>
      <c r="AC74" s="467"/>
      <c r="AD74" s="467"/>
      <c r="AE74" s="467"/>
      <c r="AF74" s="467"/>
      <c r="AG74" s="473"/>
      <c r="AH74" s="467"/>
      <c r="AI74" s="467"/>
      <c r="AJ74" s="467"/>
      <c r="AK74" s="467"/>
      <c r="AL74" s="467"/>
      <c r="AM74" s="467"/>
      <c r="AN74" s="474"/>
      <c r="AO74" s="467"/>
      <c r="AP74" s="467"/>
      <c r="AQ74" s="474">
        <f>+FL_1($T$75,$T$73,$G$74,1200,9.28,-1*$F$75)</f>
        <v>0.30000000000004612</v>
      </c>
      <c r="AR74" s="467"/>
      <c r="AS74" s="467"/>
      <c r="AT74" s="474"/>
      <c r="AU74" s="467"/>
      <c r="AV74" s="467"/>
      <c r="AW74" s="467"/>
      <c r="AX74" s="467"/>
      <c r="AY74" s="474"/>
      <c r="AZ74" s="474"/>
      <c r="BA74" s="674"/>
      <c r="BB74" s="467"/>
      <c r="BC74" s="169"/>
      <c r="BD74" s="1329"/>
      <c r="BE74" s="1330"/>
      <c r="BF74" s="1330"/>
      <c r="BG74" s="1330"/>
    </row>
    <row r="75" spans="1:59" ht="15.65" customHeight="1">
      <c r="A75" s="467"/>
      <c r="B75" s="685" t="s">
        <v>2574</v>
      </c>
      <c r="C75" s="473">
        <f>+$C$73+$G$74</f>
        <v>90205.85</v>
      </c>
      <c r="D75" s="467"/>
      <c r="E75" s="467"/>
      <c r="F75" s="469">
        <v>-395</v>
      </c>
      <c r="G75" s="474"/>
      <c r="H75" s="467" t="s">
        <v>873</v>
      </c>
      <c r="I75" s="469"/>
      <c r="J75" s="473"/>
      <c r="K75" s="467"/>
      <c r="L75" s="467" t="s">
        <v>232</v>
      </c>
      <c r="M75" s="467" t="s">
        <v>2811</v>
      </c>
      <c r="N75" s="467" t="s">
        <v>144</v>
      </c>
      <c r="O75" s="467"/>
      <c r="P75" s="467"/>
      <c r="Q75" s="467"/>
      <c r="R75" s="467"/>
      <c r="S75" s="474"/>
      <c r="T75" s="467">
        <v>30</v>
      </c>
      <c r="U75" s="467"/>
      <c r="V75" s="467"/>
      <c r="W75" s="467">
        <v>1.4</v>
      </c>
      <c r="X75" s="467"/>
      <c r="Y75" s="467"/>
      <c r="Z75" s="467"/>
      <c r="AA75" s="467"/>
      <c r="AB75" s="467"/>
      <c r="AC75" s="467" t="str">
        <f>IF(OR(AT75&gt;8,AT75&lt;-8),"PH",IF(OR(AT75&gt;5,AT75&lt;-5),"PH-Q",IF(OR(AT75&gt;1,AT75&lt;-1),"PH-C")))</f>
        <v>PH-C</v>
      </c>
      <c r="AD75" s="467"/>
      <c r="AE75" s="467"/>
      <c r="AF75" s="467"/>
      <c r="AG75" s="473"/>
      <c r="AH75" s="467"/>
      <c r="AI75" s="467"/>
      <c r="AJ75" s="467"/>
      <c r="AK75" s="467"/>
      <c r="AL75" s="467"/>
      <c r="AM75" s="467" t="s">
        <v>1042</v>
      </c>
      <c r="AN75" s="474">
        <v>5.5</v>
      </c>
      <c r="AO75" s="467"/>
      <c r="AP75" s="467"/>
      <c r="AQ75" s="474"/>
      <c r="AR75" s="467"/>
      <c r="AS75" s="467"/>
      <c r="AT75" s="474">
        <f>+ab($T$75,$T$73,$T$77,$G$74,$G$76,-1*$F$75,1200)</f>
        <v>3.0290789000047504</v>
      </c>
      <c r="AU75" s="467"/>
      <c r="AV75" s="467"/>
      <c r="AW75" s="467" t="s">
        <v>5036</v>
      </c>
      <c r="AX75" s="467"/>
      <c r="AY75" s="474"/>
      <c r="AZ75" s="474"/>
      <c r="BA75" s="1534" t="s">
        <v>2809</v>
      </c>
      <c r="BB75" s="467" t="str">
        <f>Pole_Calculations!A17</f>
        <v>App.7-V11A-P9.5.1.3</v>
      </c>
      <c r="BC75" s="169"/>
      <c r="BD75" s="1329"/>
      <c r="BE75" s="1329"/>
      <c r="BF75" s="1329"/>
      <c r="BG75" s="1329"/>
    </row>
    <row r="76" spans="1:59" ht="15.65" customHeight="1">
      <c r="A76" s="467"/>
      <c r="B76" s="685"/>
      <c r="C76" s="473"/>
      <c r="D76" s="467"/>
      <c r="E76" s="467"/>
      <c r="F76" s="469"/>
      <c r="G76" s="474">
        <v>25</v>
      </c>
      <c r="H76" s="467"/>
      <c r="I76" s="469">
        <f>SUM(G52:G76)</f>
        <v>374.5</v>
      </c>
      <c r="J76" s="473"/>
      <c r="K76" s="467"/>
      <c r="L76" s="467"/>
      <c r="M76" s="467"/>
      <c r="N76" s="467"/>
      <c r="O76" s="467"/>
      <c r="P76" s="467"/>
      <c r="Q76" s="467"/>
      <c r="R76" s="467"/>
      <c r="S76" s="474"/>
      <c r="T76" s="467"/>
      <c r="U76" s="467"/>
      <c r="V76" s="467"/>
      <c r="W76" s="467"/>
      <c r="X76" s="467"/>
      <c r="Y76" s="467"/>
      <c r="Z76" s="467"/>
      <c r="AA76" s="467"/>
      <c r="AB76" s="467"/>
      <c r="AC76" s="467"/>
      <c r="AD76" s="467"/>
      <c r="AE76" s="467"/>
      <c r="AF76" s="467"/>
      <c r="AG76" s="473"/>
      <c r="AH76" s="467"/>
      <c r="AI76" s="467"/>
      <c r="AJ76" s="467"/>
      <c r="AK76" s="467"/>
      <c r="AL76" s="467"/>
      <c r="AM76" s="467"/>
      <c r="AN76" s="474"/>
      <c r="AO76" s="467"/>
      <c r="AP76" s="467"/>
      <c r="AQ76" s="474">
        <f>+FL_1($T$77,$T$75,$G$76,1200,9.28,-1*$F$77)</f>
        <v>0.30000000000004612</v>
      </c>
      <c r="AR76" s="467"/>
      <c r="AS76" s="467"/>
      <c r="AT76" s="474"/>
      <c r="AU76" s="467"/>
      <c r="AV76" s="467"/>
      <c r="AW76" s="467"/>
      <c r="AX76" s="467"/>
      <c r="AY76" s="474"/>
      <c r="AZ76" s="474"/>
      <c r="BA76" s="674"/>
      <c r="BB76" s="467"/>
      <c r="BC76" s="169"/>
      <c r="BD76" s="1330"/>
      <c r="BE76" s="1330"/>
      <c r="BF76" s="1330"/>
      <c r="BG76" s="1330"/>
    </row>
    <row r="77" spans="1:59" ht="15.65" customHeight="1">
      <c r="A77" s="467"/>
      <c r="B77" s="685" t="s">
        <v>2578</v>
      </c>
      <c r="C77" s="473">
        <f>+$C$75+$G$76</f>
        <v>90230.85</v>
      </c>
      <c r="D77" s="467"/>
      <c r="E77" s="467"/>
      <c r="F77" s="469">
        <v>-395</v>
      </c>
      <c r="G77" s="474"/>
      <c r="H77" s="467" t="s">
        <v>874</v>
      </c>
      <c r="I77" s="469"/>
      <c r="J77" s="473"/>
      <c r="K77" s="467"/>
      <c r="L77" s="467" t="s">
        <v>230</v>
      </c>
      <c r="M77" s="467" t="s">
        <v>2811</v>
      </c>
      <c r="N77" s="467" t="s">
        <v>144</v>
      </c>
      <c r="O77" s="467"/>
      <c r="P77" s="467"/>
      <c r="Q77" s="467"/>
      <c r="R77" s="467"/>
      <c r="S77" s="474"/>
      <c r="T77" s="467">
        <v>30</v>
      </c>
      <c r="U77" s="467"/>
      <c r="V77" s="467"/>
      <c r="W77" s="467">
        <v>1.4</v>
      </c>
      <c r="X77" s="467"/>
      <c r="Y77" s="467"/>
      <c r="Z77" s="467"/>
      <c r="AA77" s="467"/>
      <c r="AB77" s="467"/>
      <c r="AC77" s="467" t="str">
        <f>IF(OR(AT77&gt;8,AT77&lt;-8),"PH",IF(OR(AT77&gt;5,AT77&lt;-5),"PH-Q",IF(OR(AT77&gt;1,AT77&lt;-1),"PH-C")))</f>
        <v>PH-C</v>
      </c>
      <c r="AD77" s="467"/>
      <c r="AE77" s="467"/>
      <c r="AF77" s="467"/>
      <c r="AG77" s="473"/>
      <c r="AH77" s="467"/>
      <c r="AI77" s="467"/>
      <c r="AJ77" s="467"/>
      <c r="AK77" s="467"/>
      <c r="AL77" s="467"/>
      <c r="AM77" s="467" t="s">
        <v>1042</v>
      </c>
      <c r="AN77" s="474">
        <v>5.5</v>
      </c>
      <c r="AO77" s="467"/>
      <c r="AP77" s="467"/>
      <c r="AQ77" s="474"/>
      <c r="AR77" s="467"/>
      <c r="AS77" s="467"/>
      <c r="AT77" s="474">
        <f>+ab($T$77,$T$75,$T$79,$G$76,$G$78,-1*$F$77,1200)</f>
        <v>2.180695598878275</v>
      </c>
      <c r="AU77" s="467"/>
      <c r="AV77" s="467"/>
      <c r="AW77" s="467" t="s">
        <v>4433</v>
      </c>
      <c r="AX77" s="464"/>
      <c r="AY77" s="466"/>
      <c r="AZ77" s="466"/>
      <c r="BA77" s="1534" t="s">
        <v>2809</v>
      </c>
      <c r="BB77" s="467" t="str">
        <f>Pole_Calculations!A16</f>
        <v>App.7-V11A-P9.5.1.2</v>
      </c>
      <c r="BC77" s="169"/>
      <c r="BD77" s="1329"/>
      <c r="BE77" s="1329"/>
      <c r="BF77" s="1329"/>
      <c r="BG77" s="1329"/>
    </row>
    <row r="78" spans="1:59" ht="15.65" customHeight="1">
      <c r="A78" s="1239"/>
      <c r="B78" s="572"/>
      <c r="C78" s="171"/>
      <c r="D78" s="1239"/>
      <c r="E78" s="1239"/>
      <c r="F78" s="448"/>
      <c r="G78" s="455">
        <v>30</v>
      </c>
      <c r="H78" s="1239"/>
      <c r="I78" s="448">
        <f>SUM(G78:G102)</f>
        <v>361.87</v>
      </c>
      <c r="J78" s="171"/>
      <c r="K78" s="1239"/>
      <c r="L78" s="1239"/>
      <c r="M78" s="1239"/>
      <c r="N78" s="1239"/>
      <c r="O78" s="1239"/>
      <c r="P78" s="1239"/>
      <c r="Q78" s="1239"/>
      <c r="R78" s="1239"/>
      <c r="S78" s="455"/>
      <c r="T78" s="1239"/>
      <c r="U78" s="1239"/>
      <c r="V78" s="1239"/>
      <c r="W78" s="1239"/>
      <c r="X78" s="1239"/>
      <c r="Y78" s="1239"/>
      <c r="Z78" s="1239"/>
      <c r="AA78" s="1239"/>
      <c r="AB78" s="1239"/>
      <c r="AC78" s="1239"/>
      <c r="AD78" s="1239"/>
      <c r="AE78" s="1239"/>
      <c r="AF78" s="1239"/>
      <c r="AG78" s="171"/>
      <c r="AH78" s="1239"/>
      <c r="AI78" s="1239"/>
      <c r="AJ78" s="1239"/>
      <c r="AK78" s="1239"/>
      <c r="AL78" s="1239"/>
      <c r="AM78" s="1239"/>
      <c r="AN78" s="455"/>
      <c r="AO78" s="1239"/>
      <c r="AP78" s="1239"/>
      <c r="AQ78" s="455">
        <f>+FL_1($T$79,$T$77,$G$78,1200,9.28,-1*$F$79)</f>
        <v>0.30000000000001276</v>
      </c>
      <c r="AR78" s="1239"/>
      <c r="AS78" s="1239"/>
      <c r="AT78" s="455"/>
      <c r="AU78" s="1239"/>
      <c r="AV78" s="1239"/>
      <c r="AW78" s="1239"/>
      <c r="AX78" s="1239"/>
      <c r="AY78" s="455"/>
      <c r="AZ78" s="455"/>
      <c r="BA78" s="671"/>
      <c r="BB78" s="1239"/>
      <c r="BC78" s="169"/>
      <c r="BD78" s="1330"/>
      <c r="BE78" s="1330"/>
      <c r="BF78" s="1330"/>
      <c r="BG78" s="1330"/>
    </row>
    <row r="79" spans="1:59" ht="15.65" customHeight="1">
      <c r="A79" s="1239"/>
      <c r="B79" s="572" t="s">
        <v>2579</v>
      </c>
      <c r="C79" s="171">
        <f>+$C$77+$G$78</f>
        <v>90260.85</v>
      </c>
      <c r="D79" s="1239"/>
      <c r="E79" s="1239"/>
      <c r="F79" s="448">
        <f>-(395^2)/(90272.11-C79)</f>
        <v>-13856.571936063285</v>
      </c>
      <c r="G79" s="455"/>
      <c r="H79" s="1239" t="s">
        <v>873</v>
      </c>
      <c r="I79" s="448"/>
      <c r="J79" s="171"/>
      <c r="K79" s="1239"/>
      <c r="L79" s="1239" t="s">
        <v>230</v>
      </c>
      <c r="M79" s="1395" t="str">
        <f>IF(AX79="PT",VLOOKUP(L79,'Foundation Calculation'!$V$2:$X$40,VLOOKUP(AX79,'Foundation Calculation'!$I$10:$J$13,2,FALSE),0),IF(AX79="K",VLOOKUP(L79,'Foundation Calculation'!$V$42:$X$80,VLOOKUP(AX79,'Foundation Calculation'!$I$10:$J$13,2,FALSE),0),""))</f>
        <v>C4R</v>
      </c>
      <c r="N79" s="1239" t="s">
        <v>143</v>
      </c>
      <c r="O79" s="1239"/>
      <c r="P79" s="1239"/>
      <c r="Q79" s="1239"/>
      <c r="R79" s="1239"/>
      <c r="S79" s="455"/>
      <c r="T79" s="1239">
        <v>-25</v>
      </c>
      <c r="U79" s="1239"/>
      <c r="V79" s="1239"/>
      <c r="W79" s="1239">
        <v>1.4</v>
      </c>
      <c r="X79" s="1239"/>
      <c r="Y79" s="1239"/>
      <c r="Z79" s="1239"/>
      <c r="AA79" s="1239"/>
      <c r="AB79" s="1239"/>
      <c r="AC79" s="1239" t="str">
        <f>IF(OR(AT79&gt;8,AT79&lt;-8),"PH",IF(OR(AT79&gt;5,AT79&lt;-5),"PH-Q",IF(OR(AT79&gt;1,AT79&lt;-1),"PH-C")))</f>
        <v>PH-Q</v>
      </c>
      <c r="AD79" s="1239"/>
      <c r="AE79" s="1239"/>
      <c r="AF79" s="1239"/>
      <c r="AG79" s="171"/>
      <c r="AH79" s="1239"/>
      <c r="AI79" s="1239"/>
      <c r="AJ79" s="1239"/>
      <c r="AK79" s="1239"/>
      <c r="AL79" s="1239"/>
      <c r="AM79" s="1239" t="s">
        <v>1042</v>
      </c>
      <c r="AN79" s="455">
        <v>5.45</v>
      </c>
      <c r="AO79" s="1239"/>
      <c r="AP79" s="1239"/>
      <c r="AQ79" s="455"/>
      <c r="AR79" s="1239"/>
      <c r="AS79" s="1239"/>
      <c r="AT79" s="455">
        <f>+ab($T$79,$T$77,$T$81,$G$78,$G$80,-1*$F$79,1200)</f>
        <v>-5.5576199898425953</v>
      </c>
      <c r="AU79" s="1239"/>
      <c r="AV79" s="1239"/>
      <c r="AW79" s="1239" t="str">
        <f>VLOOKUP(C79,'Foundation Calculation'!$A$2:$C$33,3,1)</f>
        <v>Soil B</v>
      </c>
      <c r="AX79" s="1239" t="str">
        <f>VLOOKUP(C79,'Foundation Calculation'!$E$2:$G$33,3,1)</f>
        <v>PT</v>
      </c>
      <c r="AY79" s="455">
        <f>IF(AX79="PT",VLOOKUP(L79,'Foundation Calculation'!$K$2:$R$40,VLOOKUP(AW79,'Foundation Calculation'!$I$2:$J$8,2,FALSE),0),IF(AX79="K",VLOOKUP(L79,'Foundation Calculation'!$K$42:$R$80,VLOOKUP(AW79,'Foundation Calculation'!$I$2:$J$8,2,FALSE),0),""))</f>
        <v>3.5</v>
      </c>
      <c r="AZ79" s="455"/>
      <c r="BA79" s="1536" t="s">
        <v>2809</v>
      </c>
      <c r="BB79" s="1239" t="str">
        <f>Pole_Calculations!A17</f>
        <v>App.7-V11A-P9.5.1.3</v>
      </c>
      <c r="BC79" s="169"/>
      <c r="BD79" s="1329"/>
      <c r="BE79" s="1329"/>
      <c r="BF79" s="1329"/>
      <c r="BG79" s="1329"/>
    </row>
    <row r="80" spans="1:59" ht="15.65" customHeight="1">
      <c r="A80" s="1239"/>
      <c r="B80" s="572"/>
      <c r="C80" s="171"/>
      <c r="D80" s="1239"/>
      <c r="E80" s="1239"/>
      <c r="F80" s="448"/>
      <c r="G80" s="455">
        <v>32.700000000000003</v>
      </c>
      <c r="H80" s="1239"/>
      <c r="I80" s="448"/>
      <c r="J80" s="171">
        <f>C79+7.5</f>
        <v>90268.35</v>
      </c>
      <c r="K80" s="1239" t="s">
        <v>2788</v>
      </c>
      <c r="L80" s="1239"/>
      <c r="M80" s="1239"/>
      <c r="N80" s="1239"/>
      <c r="O80" s="1239"/>
      <c r="P80" s="1239"/>
      <c r="Q80" s="1239"/>
      <c r="R80" s="1239"/>
      <c r="S80" s="455"/>
      <c r="T80" s="1239"/>
      <c r="U80" s="1239"/>
      <c r="V80" s="1239"/>
      <c r="W80" s="1239"/>
      <c r="X80" s="1239"/>
      <c r="Y80" s="1239"/>
      <c r="Z80" s="1239"/>
      <c r="AA80" s="1239"/>
      <c r="AB80" s="1239"/>
      <c r="AC80" s="1239"/>
      <c r="AD80" s="1239"/>
      <c r="AE80" s="1239"/>
      <c r="AF80" s="1239"/>
      <c r="AG80" s="171"/>
      <c r="AH80" s="1239"/>
      <c r="AI80" s="1239"/>
      <c r="AJ80" s="1239"/>
      <c r="AK80" s="1239"/>
      <c r="AL80" s="1239"/>
      <c r="AM80" s="1239"/>
      <c r="AN80" s="455"/>
      <c r="AO80" s="1239"/>
      <c r="AP80" s="1239"/>
      <c r="AQ80" s="455">
        <f>+FL_1($T$81,$T$79,$G$80,1200,9.28,-1*$F$81)</f>
        <v>0.35</v>
      </c>
      <c r="AR80" s="1239"/>
      <c r="AS80" s="1239"/>
      <c r="AT80" s="455"/>
      <c r="AU80" s="1239"/>
      <c r="AV80" s="1239"/>
      <c r="AW80" s="638" t="str">
        <f>VLOOKUP(J80,'Foundation Calculation'!$A$2:$C$33,3,1)</f>
        <v>Soil B</v>
      </c>
      <c r="AX80" s="638" t="str">
        <f>VLOOKUP(J80,'Foundation Calculation'!$E$2:$G$33,3,1)</f>
        <v>PT</v>
      </c>
      <c r="AY80" s="484"/>
      <c r="AZ80" s="484">
        <f>IF(AX80="PT",VLOOKUP(K80,'Foundation Calculation'!$K$2:$R$40,VLOOKUP(AW80,'Foundation Calculation'!$I$2:$J$8,2,FALSE),0),IF(AX80="K",VLOOKUP(K80,'Foundation Calculation'!$K$42:$R$80,VLOOKUP(AW80,'Foundation Calculation'!$I$2:$J$8,2,FALSE),0),""))</f>
        <v>2.8</v>
      </c>
      <c r="BA80" s="1536" t="s">
        <v>2809</v>
      </c>
      <c r="BB80" s="1239"/>
      <c r="BC80" s="169"/>
      <c r="BD80" s="1329"/>
      <c r="BE80" s="1330"/>
      <c r="BF80" s="1330"/>
      <c r="BG80" s="1330"/>
    </row>
    <row r="81" spans="1:59" ht="15.65" customHeight="1">
      <c r="A81" s="1239"/>
      <c r="B81" s="572" t="s">
        <v>2580</v>
      </c>
      <c r="C81" s="171">
        <f>+$C$79+$G$80</f>
        <v>90293.55</v>
      </c>
      <c r="D81" s="1239"/>
      <c r="E81" s="1239"/>
      <c r="F81" s="448">
        <f>(660^2)/(90276.3-C81)</f>
        <v>-25252.17391304348</v>
      </c>
      <c r="G81" s="455"/>
      <c r="H81" s="1239"/>
      <c r="I81" s="448"/>
      <c r="J81" s="171"/>
      <c r="K81" s="1239"/>
      <c r="L81" s="1239" t="s">
        <v>229</v>
      </c>
      <c r="M81" s="1395" t="str">
        <f>IF(AX81="PT",VLOOKUP(L81,'Foundation Calculation'!$V$2:$X$40,VLOOKUP(AX81,'Foundation Calculation'!$I$10:$J$13,2,FALSE),0),IF(AX81="K",VLOOKUP(L81,'Foundation Calculation'!$V$42:$X$80,VLOOKUP(AX81,'Foundation Calculation'!$I$10:$J$13,2,FALSE),0),""))</f>
        <v>C3R</v>
      </c>
      <c r="N81" s="1239" t="s">
        <v>144</v>
      </c>
      <c r="O81" s="1239"/>
      <c r="P81" s="1239"/>
      <c r="Q81" s="1239"/>
      <c r="R81" s="1239"/>
      <c r="S81" s="455"/>
      <c r="T81" s="1239">
        <v>35</v>
      </c>
      <c r="U81" s="1239"/>
      <c r="V81" s="1239"/>
      <c r="W81" s="1239">
        <v>1.4</v>
      </c>
      <c r="X81" s="1239"/>
      <c r="Y81" s="1239"/>
      <c r="Z81" s="1239"/>
      <c r="AA81" s="1239"/>
      <c r="AB81" s="1239"/>
      <c r="AC81" s="1239" t="str">
        <f>IF(OR(AT81&gt;8,AT81&lt;-8),"PH",IF(OR(AT81&gt;5,AT81&lt;-5),"PH-Q",IF(OR(AT81&gt;1,AT81&lt;-1),"PH-C")))</f>
        <v>PH</v>
      </c>
      <c r="AD81" s="1239"/>
      <c r="AE81" s="1239"/>
      <c r="AF81" s="1239"/>
      <c r="AG81" s="171"/>
      <c r="AH81" s="1239"/>
      <c r="AI81" s="1239"/>
      <c r="AJ81" s="1239"/>
      <c r="AK81" s="1239"/>
      <c r="AL81" s="1239"/>
      <c r="AM81" s="1239" t="s">
        <v>1042</v>
      </c>
      <c r="AN81" s="455">
        <v>5.38</v>
      </c>
      <c r="AO81" s="1239"/>
      <c r="AP81" s="1239"/>
      <c r="AQ81" s="455"/>
      <c r="AR81" s="1239"/>
      <c r="AS81" s="1239"/>
      <c r="AT81" s="455">
        <f>+ab($T$81,$T$79,$T$83,$G$80,$G$82,-1*$F$81,1200)</f>
        <v>8.9805969982171785</v>
      </c>
      <c r="AU81" s="1239"/>
      <c r="AV81" s="1239"/>
      <c r="AW81" s="1239" t="str">
        <f>VLOOKUP(C81,'Foundation Calculation'!$A$2:$C$33,3,1)</f>
        <v>Soil B</v>
      </c>
      <c r="AX81" s="1239" t="str">
        <f>VLOOKUP(C81,'Foundation Calculation'!$E$2:$G$33,3,1)</f>
        <v>PT</v>
      </c>
      <c r="AY81" s="455">
        <f>IF(AX81="PT",VLOOKUP(L81,'Foundation Calculation'!$K$2:$R$40,VLOOKUP(AW81,'Foundation Calculation'!$I$2:$J$8,2,FALSE),0),IF(AX81="K",VLOOKUP(L81,'Foundation Calculation'!$K$42:$R$80,VLOOKUP(AW81,'Foundation Calculation'!$I$2:$J$8,2,FALSE),0),""))</f>
        <v>3.5</v>
      </c>
      <c r="AZ81" s="455"/>
      <c r="BA81" s="1536" t="s">
        <v>2809</v>
      </c>
      <c r="BB81" s="1239" t="str">
        <f>Pole_Calculations!A15</f>
        <v>App.7-V11A-P9.5.1.1</v>
      </c>
      <c r="BC81" s="169"/>
      <c r="BD81" s="1329"/>
      <c r="BE81" s="1329"/>
      <c r="BF81" s="1329"/>
      <c r="BG81" s="1329"/>
    </row>
    <row r="82" spans="1:59" ht="15.65" customHeight="1">
      <c r="A82" s="1239"/>
      <c r="B82" s="572"/>
      <c r="C82" s="171"/>
      <c r="D82" s="1239"/>
      <c r="E82" s="1239"/>
      <c r="F82" s="448"/>
      <c r="G82" s="455">
        <v>32</v>
      </c>
      <c r="H82" s="1239"/>
      <c r="I82" s="448"/>
      <c r="J82" s="171"/>
      <c r="K82" s="1239"/>
      <c r="L82" s="1239"/>
      <c r="M82" s="1239"/>
      <c r="N82" s="1239"/>
      <c r="O82" s="1239"/>
      <c r="P82" s="1239"/>
      <c r="Q82" s="1239"/>
      <c r="R82" s="1239"/>
      <c r="S82" s="455"/>
      <c r="T82" s="1239"/>
      <c r="U82" s="1239"/>
      <c r="V82" s="1239"/>
      <c r="W82" s="1239"/>
      <c r="X82" s="1239"/>
      <c r="Y82" s="1239"/>
      <c r="Z82" s="1239"/>
      <c r="AA82" s="1239"/>
      <c r="AB82" s="1239"/>
      <c r="AC82" s="1239"/>
      <c r="AD82" s="1239"/>
      <c r="AE82" s="1239"/>
      <c r="AF82" s="1239"/>
      <c r="AG82" s="171"/>
      <c r="AH82" s="1239"/>
      <c r="AI82" s="1239"/>
      <c r="AJ82" s="1239"/>
      <c r="AK82" s="1239"/>
      <c r="AL82" s="1239"/>
      <c r="AM82" s="1239"/>
      <c r="AN82" s="455"/>
      <c r="AO82" s="1239"/>
      <c r="AP82" s="1239"/>
      <c r="AQ82" s="455">
        <f>+FL_1($T$83,$T$81,$G$82,1200,9.28,-1*$F$83)</f>
        <v>0.35000000000003306</v>
      </c>
      <c r="AR82" s="1239"/>
      <c r="AS82" s="1239"/>
      <c r="AT82" s="455"/>
      <c r="AU82" s="1239"/>
      <c r="AV82" s="1239"/>
      <c r="AW82" s="1239"/>
      <c r="AX82" s="1239"/>
      <c r="AY82" s="455"/>
      <c r="AZ82" s="455"/>
      <c r="BA82" s="1536"/>
      <c r="BB82" s="1239"/>
      <c r="BC82" s="169"/>
      <c r="BD82" s="1330"/>
      <c r="BE82" s="1330"/>
      <c r="BF82" s="1330"/>
      <c r="BG82" s="1330"/>
    </row>
    <row r="83" spans="1:59" ht="15.65" customHeight="1">
      <c r="A83" s="1239"/>
      <c r="B83" s="572" t="s">
        <v>2581</v>
      </c>
      <c r="C83" s="171">
        <f>+$C$81+$G$82</f>
        <v>90325.55</v>
      </c>
      <c r="D83" s="1239"/>
      <c r="E83" s="1239"/>
      <c r="F83" s="448">
        <v>-430</v>
      </c>
      <c r="G83" s="455"/>
      <c r="H83" s="1239"/>
      <c r="I83" s="448"/>
      <c r="J83" s="171"/>
      <c r="K83" s="1239"/>
      <c r="L83" s="1239" t="s">
        <v>230</v>
      </c>
      <c r="M83" s="1395" t="str">
        <f>IF(AX83="PT",VLOOKUP(L83,'Foundation Calculation'!$V$2:$X$40,VLOOKUP(AX83,'Foundation Calculation'!$I$10:$J$13,2,FALSE),0),IF(AX83="K",VLOOKUP(L83,'Foundation Calculation'!$V$42:$X$80,VLOOKUP(AX83,'Foundation Calculation'!$I$10:$J$13,2,FALSE),0),""))</f>
        <v>C4R</v>
      </c>
      <c r="N83" s="1239" t="s">
        <v>144</v>
      </c>
      <c r="O83" s="1239"/>
      <c r="P83" s="1239"/>
      <c r="Q83" s="1239"/>
      <c r="R83" s="1239"/>
      <c r="S83" s="455"/>
      <c r="T83" s="1239">
        <v>30</v>
      </c>
      <c r="U83" s="1239"/>
      <c r="V83" s="1239"/>
      <c r="W83" s="1239">
        <v>1.2</v>
      </c>
      <c r="X83" s="1239"/>
      <c r="Y83" s="1239"/>
      <c r="Z83" s="1239"/>
      <c r="AA83" s="1239"/>
      <c r="AB83" s="1239"/>
      <c r="AC83" s="1239" t="str">
        <f>IF(OR(AT83&gt;8,AT83&lt;-8),"PH",IF(OR(AT83&gt;5,AT83&lt;-5),"PH-Q",IF(OR(AT83&gt;1,AT83&lt;-1),"PH-C")))</f>
        <v>PH-C</v>
      </c>
      <c r="AD83" s="1239"/>
      <c r="AE83" s="1239"/>
      <c r="AF83" s="1239"/>
      <c r="AG83" s="171"/>
      <c r="AH83" s="1239"/>
      <c r="AI83" s="1239"/>
      <c r="AJ83" s="1239"/>
      <c r="AK83" s="1239"/>
      <c r="AL83" s="1239"/>
      <c r="AM83" s="1239" t="s">
        <v>1042</v>
      </c>
      <c r="AN83" s="455">
        <v>5.31</v>
      </c>
      <c r="AO83" s="1239"/>
      <c r="AP83" s="1239"/>
      <c r="AQ83" s="455"/>
      <c r="AR83" s="1239"/>
      <c r="AS83" s="1239"/>
      <c r="AT83" s="455">
        <f>+ab($T$83,$T$81,$T$85,$G$82,$G$84,-1*$F$83,1200)</f>
        <v>2.7186616779336004</v>
      </c>
      <c r="AU83" s="1239"/>
      <c r="AV83" s="1239"/>
      <c r="AW83" s="1239" t="str">
        <f>VLOOKUP(C83,'Foundation Calculation'!$A$2:$C$33,3,1)</f>
        <v>Soil B</v>
      </c>
      <c r="AX83" s="1239" t="str">
        <f>VLOOKUP(C83,'Foundation Calculation'!$E$2:$G$33,3,1)</f>
        <v>PT</v>
      </c>
      <c r="AY83" s="455">
        <f>IF(AX83="PT",VLOOKUP(L83,'Foundation Calculation'!$K$2:$R$40,VLOOKUP(AW83,'Foundation Calculation'!$I$2:$J$8,2,FALSE),0),IF(AX83="K",VLOOKUP(L83,'Foundation Calculation'!$K$42:$R$80,VLOOKUP(AW83,'Foundation Calculation'!$I$2:$J$8,2,FALSE),0),""))</f>
        <v>3.5</v>
      </c>
      <c r="AZ83" s="455"/>
      <c r="BA83" s="1536" t="s">
        <v>2809</v>
      </c>
      <c r="BB83" s="1239" t="str">
        <f>Pole_Calculations!A15</f>
        <v>App.7-V11A-P9.5.1.1</v>
      </c>
      <c r="BC83" s="169"/>
      <c r="BD83" s="1329"/>
      <c r="BE83" s="1329"/>
      <c r="BF83" s="1329"/>
      <c r="BG83" s="1329"/>
    </row>
    <row r="84" spans="1:59" ht="15.65" customHeight="1">
      <c r="A84" s="647" t="s">
        <v>4010</v>
      </c>
      <c r="B84" s="740"/>
      <c r="C84" s="652"/>
      <c r="D84" s="647"/>
      <c r="E84" s="647"/>
      <c r="F84" s="650"/>
      <c r="G84" s="651">
        <v>30</v>
      </c>
      <c r="H84" s="647"/>
      <c r="I84" s="650"/>
      <c r="J84" s="652"/>
      <c r="K84" s="647"/>
      <c r="L84" s="647"/>
      <c r="M84" s="647"/>
      <c r="N84" s="647"/>
      <c r="O84" s="647"/>
      <c r="P84" s="647"/>
      <c r="Q84" s="647"/>
      <c r="R84" s="647"/>
      <c r="S84" s="651"/>
      <c r="T84" s="647"/>
      <c r="U84" s="647"/>
      <c r="V84" s="647"/>
      <c r="W84" s="647"/>
      <c r="X84" s="647"/>
      <c r="Y84" s="647"/>
      <c r="Z84" s="647"/>
      <c r="AA84" s="647"/>
      <c r="AB84" s="647"/>
      <c r="AC84" s="647"/>
      <c r="AD84" s="647"/>
      <c r="AE84" s="647"/>
      <c r="AF84" s="647"/>
      <c r="AG84" s="652"/>
      <c r="AH84" s="647"/>
      <c r="AI84" s="647"/>
      <c r="AJ84" s="647"/>
      <c r="AK84" s="647"/>
      <c r="AL84" s="647"/>
      <c r="AM84" s="647"/>
      <c r="AN84" s="651"/>
      <c r="AO84" s="647"/>
      <c r="AP84" s="647"/>
      <c r="AQ84" s="651">
        <f>+FL_1($T$85,$T$83,$G$84,1200,9.28,-1*$F$85)</f>
        <v>0.30000000000003496</v>
      </c>
      <c r="AR84" s="647"/>
      <c r="AS84" s="647"/>
      <c r="AT84" s="651"/>
      <c r="AU84" s="647"/>
      <c r="AV84" s="647"/>
      <c r="AW84" s="647"/>
      <c r="AX84" s="647"/>
      <c r="AY84" s="651"/>
      <c r="AZ84" s="651"/>
      <c r="BA84" s="701"/>
      <c r="BB84" s="647"/>
      <c r="BC84" s="169"/>
      <c r="BD84" s="1330"/>
      <c r="BE84" s="1330"/>
      <c r="BF84" s="1330"/>
      <c r="BG84" s="1330"/>
    </row>
    <row r="85" spans="1:59" ht="15.65" customHeight="1">
      <c r="A85" s="1239"/>
      <c r="B85" s="572" t="s">
        <v>2582</v>
      </c>
      <c r="C85" s="171">
        <f>+$C$83+$G$84</f>
        <v>90355.55</v>
      </c>
      <c r="D85" s="1239"/>
      <c r="E85" s="1239"/>
      <c r="F85" s="448">
        <v>-430</v>
      </c>
      <c r="G85" s="455"/>
      <c r="H85" s="1239"/>
      <c r="I85" s="448"/>
      <c r="J85" s="171"/>
      <c r="K85" s="1239"/>
      <c r="L85" s="1239" t="s">
        <v>230</v>
      </c>
      <c r="M85" s="1395" t="str">
        <f>IF(AX85="PT",VLOOKUP(L85,'Foundation Calculation'!$V$2:$X$40,VLOOKUP(AX85,'Foundation Calculation'!$I$10:$J$13,2,FALSE),0),IF(AX85="K",VLOOKUP(L85,'Foundation Calculation'!$V$42:$X$80,VLOOKUP(AX85,'Foundation Calculation'!$I$10:$J$13,2,FALSE),0),""))</f>
        <v>C4R</v>
      </c>
      <c r="N85" s="1239" t="s">
        <v>144</v>
      </c>
      <c r="O85" s="1239"/>
      <c r="P85" s="1239"/>
      <c r="Q85" s="1239"/>
      <c r="R85" s="1239"/>
      <c r="S85" s="455"/>
      <c r="T85" s="1239">
        <v>30</v>
      </c>
      <c r="U85" s="1239"/>
      <c r="V85" s="1239"/>
      <c r="W85" s="1239">
        <v>1</v>
      </c>
      <c r="X85" s="1239"/>
      <c r="Y85" s="1239"/>
      <c r="Z85" s="1239"/>
      <c r="AA85" s="1239"/>
      <c r="AB85" s="1239"/>
      <c r="AC85" s="1239" t="str">
        <f>IF(OR(AT85&gt;8,AT85&lt;-8),"PH",IF(OR(AT85&gt;5,AT85&lt;-5),"PH-Q",IF(OR(AT85&gt;1,AT85&lt;-1),"PH-C")))</f>
        <v>PH-C</v>
      </c>
      <c r="AD85" s="1239"/>
      <c r="AE85" s="1239"/>
      <c r="AF85" s="1239"/>
      <c r="AG85" s="171"/>
      <c r="AH85" s="1239"/>
      <c r="AI85" s="1239"/>
      <c r="AJ85" s="1239"/>
      <c r="AK85" s="1239"/>
      <c r="AL85" s="1239"/>
      <c r="AM85" s="1239" t="s">
        <v>1042</v>
      </c>
      <c r="AN85" s="455">
        <v>5.24</v>
      </c>
      <c r="AO85" s="1239"/>
      <c r="AP85" s="1239"/>
      <c r="AQ85" s="455"/>
      <c r="AR85" s="1239"/>
      <c r="AS85" s="1239"/>
      <c r="AT85" s="455">
        <f>+ab($T$85,$T$83,$T$87,$G$84,$G$86,-1*$F$85,1200)</f>
        <v>3.1106701369233138</v>
      </c>
      <c r="AU85" s="1239"/>
      <c r="AV85" s="1239"/>
      <c r="AW85" s="1239" t="str">
        <f>VLOOKUP(C85,'Foundation Calculation'!$A$2:$C$33,3,1)</f>
        <v>Soil B</v>
      </c>
      <c r="AX85" s="1239" t="str">
        <f>VLOOKUP(C85,'Foundation Calculation'!$E$2:$G$33,3,1)</f>
        <v>PT</v>
      </c>
      <c r="AY85" s="455">
        <f>IF(AX85="PT",VLOOKUP(L85,'Foundation Calculation'!$K$2:$R$40,VLOOKUP(AW85,'Foundation Calculation'!$I$2:$J$8,2,FALSE),0),IF(AX85="K",VLOOKUP(L85,'Foundation Calculation'!$K$42:$R$80,VLOOKUP(AW85,'Foundation Calculation'!$I$2:$J$8,2,FALSE),0),""))</f>
        <v>3.5</v>
      </c>
      <c r="AZ85" s="455"/>
      <c r="BA85" s="1536" t="s">
        <v>2809</v>
      </c>
      <c r="BB85" s="1239" t="str">
        <f>Pole_Calculations!A15</f>
        <v>App.7-V11A-P9.5.1.1</v>
      </c>
      <c r="BC85" s="169"/>
      <c r="BD85" s="1329"/>
      <c r="BE85" s="1329"/>
      <c r="BF85" s="1329"/>
      <c r="BG85" s="1329"/>
    </row>
    <row r="86" spans="1:59" ht="15.65" customHeight="1">
      <c r="A86" s="647" t="s">
        <v>4012</v>
      </c>
      <c r="B86" s="647"/>
      <c r="C86" s="652"/>
      <c r="D86" s="647"/>
      <c r="E86" s="647"/>
      <c r="F86" s="650"/>
      <c r="G86" s="651">
        <v>23</v>
      </c>
      <c r="H86" s="647"/>
      <c r="I86" s="650"/>
      <c r="J86" s="652"/>
      <c r="K86" s="647"/>
      <c r="L86" s="647"/>
      <c r="M86" s="647"/>
      <c r="N86" s="647"/>
      <c r="O86" s="647"/>
      <c r="P86" s="647"/>
      <c r="Q86" s="647"/>
      <c r="R86" s="647"/>
      <c r="S86" s="651"/>
      <c r="T86" s="647"/>
      <c r="U86" s="647"/>
      <c r="V86" s="647"/>
      <c r="W86" s="647"/>
      <c r="X86" s="647"/>
      <c r="Y86" s="647"/>
      <c r="Z86" s="647"/>
      <c r="AA86" s="647"/>
      <c r="AB86" s="647"/>
      <c r="AC86" s="647"/>
      <c r="AD86" s="647"/>
      <c r="AE86" s="647"/>
      <c r="AF86" s="647"/>
      <c r="AG86" s="652"/>
      <c r="AH86" s="647"/>
      <c r="AI86" s="647"/>
      <c r="AJ86" s="647"/>
      <c r="AK86" s="647"/>
      <c r="AL86" s="647"/>
      <c r="AM86" s="647"/>
      <c r="AN86" s="651"/>
      <c r="AO86" s="647"/>
      <c r="AP86" s="647"/>
      <c r="AQ86" s="651">
        <f>+FL_1($T$87,$T$85,$G$86,1200,9.28,-1*$F$87)</f>
        <v>0.30000000000004978</v>
      </c>
      <c r="AR86" s="647"/>
      <c r="AS86" s="647"/>
      <c r="AT86" s="651"/>
      <c r="AU86" s="647"/>
      <c r="AV86" s="647"/>
      <c r="AW86" s="647"/>
      <c r="AX86" s="647"/>
      <c r="AY86" s="651"/>
      <c r="AZ86" s="651"/>
      <c r="BA86" s="1315"/>
      <c r="BB86" s="647"/>
      <c r="BC86" s="169"/>
      <c r="BD86" s="1330"/>
      <c r="BE86" s="1330"/>
      <c r="BF86" s="1330"/>
      <c r="BG86" s="1330"/>
    </row>
    <row r="87" spans="1:59" ht="15.65" customHeight="1">
      <c r="A87" s="1239"/>
      <c r="B87" s="572" t="s">
        <v>2583</v>
      </c>
      <c r="C87" s="171">
        <f>+$C$85+$G$86</f>
        <v>90378.55</v>
      </c>
      <c r="D87" s="1239"/>
      <c r="E87" s="1239"/>
      <c r="F87" s="448">
        <v>-430</v>
      </c>
      <c r="G87" s="455"/>
      <c r="H87" s="1239"/>
      <c r="I87" s="448"/>
      <c r="J87" s="171"/>
      <c r="K87" s="1239"/>
      <c r="L87" s="1239" t="s">
        <v>230</v>
      </c>
      <c r="M87" s="1395" t="str">
        <f>IF(AX87="PT",VLOOKUP(L87,'Foundation Calculation'!$V$2:$X$40,VLOOKUP(AX87,'Foundation Calculation'!$I$10:$J$13,2,FALSE),0),IF(AX87="K",VLOOKUP(L87,'Foundation Calculation'!$V$42:$X$80,VLOOKUP(AX87,'Foundation Calculation'!$I$10:$J$13,2,FALSE),0),""))</f>
        <v>C4R</v>
      </c>
      <c r="N87" s="1239" t="s">
        <v>144</v>
      </c>
      <c r="O87" s="1239"/>
      <c r="P87" s="1239"/>
      <c r="Q87" s="1239"/>
      <c r="R87" s="1239"/>
      <c r="S87" s="455"/>
      <c r="T87" s="1239">
        <v>30</v>
      </c>
      <c r="U87" s="1239"/>
      <c r="V87" s="1239"/>
      <c r="W87" s="1239">
        <v>0.8</v>
      </c>
      <c r="X87" s="1239"/>
      <c r="Y87" s="1239"/>
      <c r="Z87" s="1239"/>
      <c r="AA87" s="1239"/>
      <c r="AB87" s="1239"/>
      <c r="AC87" s="1239" t="str">
        <f>IF(OR(AT87&gt;8,AT87&lt;-8),"PH",IF(OR(AT87&gt;5,AT87&lt;-5),"PH-Q",IF(OR(AT87&gt;1,AT87&lt;-1),"PH-C")))</f>
        <v>PH-C</v>
      </c>
      <c r="AD87" s="1239"/>
      <c r="AE87" s="1239"/>
      <c r="AF87" s="1239"/>
      <c r="AG87" s="171"/>
      <c r="AH87" s="1239"/>
      <c r="AI87" s="1239"/>
      <c r="AJ87" s="1239"/>
      <c r="AK87" s="1239"/>
      <c r="AL87" s="1239"/>
      <c r="AM87" s="1239" t="s">
        <v>1042</v>
      </c>
      <c r="AN87" s="455">
        <v>5.18</v>
      </c>
      <c r="AO87" s="1239"/>
      <c r="AP87" s="1239"/>
      <c r="AQ87" s="455"/>
      <c r="AR87" s="1239"/>
      <c r="AS87" s="1239"/>
      <c r="AT87" s="455">
        <f>+ab($T$87,$T$85,$T$89,$G$86,$G$88,-1*$F$87,1200)</f>
        <v>3.5828810547911161</v>
      </c>
      <c r="AU87" s="1239"/>
      <c r="AV87" s="1239"/>
      <c r="AW87" s="1239" t="str">
        <f>VLOOKUP(C87,'Foundation Calculation'!$A$2:$C$33,3,1)</f>
        <v>Soil B</v>
      </c>
      <c r="AX87" s="1239" t="str">
        <f>VLOOKUP(C87,'Foundation Calculation'!$E$2:$G$33,3,1)</f>
        <v>PT</v>
      </c>
      <c r="AY87" s="455">
        <f>IF(AX87="PT",VLOOKUP(L87,'Foundation Calculation'!$K$2:$R$40,VLOOKUP(AW87,'Foundation Calculation'!$I$2:$J$8,2,FALSE),0),IF(AX87="K",VLOOKUP(L87,'Foundation Calculation'!$K$42:$R$80,VLOOKUP(AW87,'Foundation Calculation'!$I$2:$J$8,2,FALSE),0),""))</f>
        <v>3.5</v>
      </c>
      <c r="AZ87" s="455"/>
      <c r="BA87" s="1536" t="s">
        <v>2809</v>
      </c>
      <c r="BB87" s="1239" t="str">
        <f>Pole_Calculations!A15</f>
        <v>App.7-V11A-P9.5.1.1</v>
      </c>
      <c r="BC87" s="169"/>
      <c r="BD87" s="1329"/>
      <c r="BE87" s="1329"/>
      <c r="BF87" s="1329"/>
      <c r="BG87" s="1329"/>
    </row>
    <row r="88" spans="1:59" ht="15.65" customHeight="1">
      <c r="A88" s="1239"/>
      <c r="B88" s="1239"/>
      <c r="C88" s="171"/>
      <c r="D88" s="1239"/>
      <c r="E88" s="1239"/>
      <c r="F88" s="448"/>
      <c r="G88" s="455">
        <v>23</v>
      </c>
      <c r="H88" s="1239"/>
      <c r="I88" s="448"/>
      <c r="J88" s="171"/>
      <c r="K88" s="1239"/>
      <c r="L88" s="1239"/>
      <c r="M88" s="1239"/>
      <c r="N88" s="1239"/>
      <c r="O88" s="1239"/>
      <c r="P88" s="1239"/>
      <c r="Q88" s="1239"/>
      <c r="R88" s="1239"/>
      <c r="S88" s="455"/>
      <c r="T88" s="1239"/>
      <c r="U88" s="1239"/>
      <c r="V88" s="1239"/>
      <c r="W88" s="1239"/>
      <c r="X88" s="1239"/>
      <c r="Y88" s="1239"/>
      <c r="Z88" s="1239"/>
      <c r="AA88" s="1239"/>
      <c r="AB88" s="1239"/>
      <c r="AC88" s="1239"/>
      <c r="AD88" s="1239"/>
      <c r="AE88" s="1239"/>
      <c r="AF88" s="1239"/>
      <c r="AG88" s="171"/>
      <c r="AH88" s="1239"/>
      <c r="AI88" s="1239"/>
      <c r="AJ88" s="1239"/>
      <c r="AK88" s="1239"/>
      <c r="AL88" s="1239"/>
      <c r="AM88" s="1239"/>
      <c r="AN88" s="455"/>
      <c r="AO88" s="1239"/>
      <c r="AP88" s="1239"/>
      <c r="AQ88" s="455">
        <f>+FL_1($T$89,$T$87,$G$88,1200,9.28,-1*$F$89)</f>
        <v>0.30000000000004978</v>
      </c>
      <c r="AR88" s="1239"/>
      <c r="AS88" s="1239"/>
      <c r="AT88" s="455"/>
      <c r="AU88" s="1239"/>
      <c r="AV88" s="1239"/>
      <c r="AW88" s="638"/>
      <c r="AX88" s="638"/>
      <c r="AY88" s="484"/>
      <c r="AZ88" s="484"/>
      <c r="BA88" s="1536"/>
      <c r="BB88" s="1239"/>
      <c r="BC88" s="169"/>
      <c r="BD88" s="1330"/>
      <c r="BE88" s="1330"/>
      <c r="BF88" s="1330"/>
      <c r="BG88" s="1330"/>
    </row>
    <row r="89" spans="1:59" ht="15.65" customHeight="1">
      <c r="A89" s="1239"/>
      <c r="B89" s="572" t="s">
        <v>2584</v>
      </c>
      <c r="C89" s="171">
        <f>+$C$87+$G$88</f>
        <v>90401.55</v>
      </c>
      <c r="D89" s="1239"/>
      <c r="E89" s="1239"/>
      <c r="F89" s="448">
        <v>-430</v>
      </c>
      <c r="G89" s="455"/>
      <c r="H89" s="1239"/>
      <c r="I89" s="448"/>
      <c r="J89" s="171"/>
      <c r="K89" s="1239"/>
      <c r="L89" s="1239" t="s">
        <v>230</v>
      </c>
      <c r="M89" s="1395" t="str">
        <f>IF(AX89="PT",VLOOKUP(L89,'Foundation Calculation'!$V$2:$X$40,VLOOKUP(AX89,'Foundation Calculation'!$I$10:$J$13,2,FALSE),0),IF(AX89="K",VLOOKUP(L89,'Foundation Calculation'!$V$42:$X$80,VLOOKUP(AX89,'Foundation Calculation'!$I$10:$J$13,2,FALSE),0),""))</f>
        <v>C4R</v>
      </c>
      <c r="N89" s="1239" t="s">
        <v>144</v>
      </c>
      <c r="O89" s="1239"/>
      <c r="P89" s="1239"/>
      <c r="Q89" s="1239"/>
      <c r="R89" s="1239"/>
      <c r="S89" s="455"/>
      <c r="T89" s="1239">
        <v>30</v>
      </c>
      <c r="U89" s="1239"/>
      <c r="V89" s="1239"/>
      <c r="W89" s="1239">
        <v>0.65</v>
      </c>
      <c r="X89" s="1239"/>
      <c r="Y89" s="1239"/>
      <c r="Z89" s="1239"/>
      <c r="AA89" s="580"/>
      <c r="AB89" s="580"/>
      <c r="AC89" s="1239" t="str">
        <f>IF(OR(AT89&gt;8,AT89&lt;-8),"PH",IF(OR(AT89&gt;5,AT89&lt;-5),"PH-Q",IF(OR(AT89&gt;1,AT89&lt;-1),"PH-C")))</f>
        <v>PH-C</v>
      </c>
      <c r="AD89" s="580"/>
      <c r="AE89" s="580"/>
      <c r="AF89" s="580"/>
      <c r="AG89" s="1327"/>
      <c r="AH89" s="580"/>
      <c r="AI89" s="580"/>
      <c r="AJ89" s="580"/>
      <c r="AK89" s="580"/>
      <c r="AL89" s="580"/>
      <c r="AM89" s="1239" t="s">
        <v>1042</v>
      </c>
      <c r="AN89" s="455">
        <v>5.15</v>
      </c>
      <c r="AO89" s="1239"/>
      <c r="AP89" s="1239"/>
      <c r="AQ89" s="455"/>
      <c r="AR89" s="1239"/>
      <c r="AS89" s="1239"/>
      <c r="AT89" s="455">
        <f>+ab($T$89,$T$87,$T$91,$G$88,$G$90,-1*$F$89,1200)</f>
        <v>3.2969102430128321</v>
      </c>
      <c r="AU89" s="1239"/>
      <c r="AV89" s="1239"/>
      <c r="AW89" s="1239" t="str">
        <f>VLOOKUP(C89,'Foundation Calculation'!$A$2:$C$33,3,1)</f>
        <v>Soil B</v>
      </c>
      <c r="AX89" s="1239" t="str">
        <f>VLOOKUP(C89,'Foundation Calculation'!$E$2:$G$33,3,1)</f>
        <v>PT</v>
      </c>
      <c r="AY89" s="455">
        <f>IF(AX89="PT",VLOOKUP(L89,'Foundation Calculation'!$K$2:$R$40,VLOOKUP(AW89,'Foundation Calculation'!$I$2:$J$8,2,FALSE),0),IF(AX89="K",VLOOKUP(L89,'Foundation Calculation'!$K$42:$R$80,VLOOKUP(AW89,'Foundation Calculation'!$I$2:$J$8,2,FALSE),0),""))</f>
        <v>3.5</v>
      </c>
      <c r="AZ89" s="455"/>
      <c r="BA89" s="1536" t="s">
        <v>2809</v>
      </c>
      <c r="BB89" s="1239" t="str">
        <f>Pole_Calculations!A41</f>
        <v>App.7-V11A-P9.5.4.1</v>
      </c>
      <c r="BC89" s="169"/>
      <c r="BD89" s="1329"/>
      <c r="BE89" s="1329"/>
      <c r="BF89" s="1329"/>
      <c r="BG89" s="1329"/>
    </row>
    <row r="90" spans="1:59" ht="15.65" customHeight="1">
      <c r="A90" s="1239"/>
      <c r="B90" s="1239"/>
      <c r="C90" s="171"/>
      <c r="D90" s="1239"/>
      <c r="E90" s="1239"/>
      <c r="F90" s="448"/>
      <c r="G90" s="455">
        <v>27</v>
      </c>
      <c r="H90" s="1239"/>
      <c r="I90" s="448"/>
      <c r="J90" s="171"/>
      <c r="K90" s="1239"/>
      <c r="L90" s="1239"/>
      <c r="M90" s="1239"/>
      <c r="N90" s="1239"/>
      <c r="O90" s="1239"/>
      <c r="P90" s="1239"/>
      <c r="Q90" s="1239"/>
      <c r="R90" s="1239"/>
      <c r="S90" s="455"/>
      <c r="T90" s="1239"/>
      <c r="U90" s="1239"/>
      <c r="V90" s="1239"/>
      <c r="W90" s="1239"/>
      <c r="X90" s="1239"/>
      <c r="Y90" s="1239"/>
      <c r="Z90" s="1239"/>
      <c r="AA90" s="1239"/>
      <c r="AB90" s="1239"/>
      <c r="AC90" s="1239"/>
      <c r="AD90" s="1239"/>
      <c r="AE90" s="1239"/>
      <c r="AF90" s="1239"/>
      <c r="AG90" s="171"/>
      <c r="AH90" s="1239"/>
      <c r="AI90" s="1239"/>
      <c r="AJ90" s="1239"/>
      <c r="AK90" s="1239"/>
      <c r="AL90" s="1239"/>
      <c r="AM90" s="1239"/>
      <c r="AN90" s="455"/>
      <c r="AO90" s="1239"/>
      <c r="AP90" s="1239"/>
      <c r="AQ90" s="455">
        <f>+FL_1($T$91,$T$89,$G$90,1200,9.28,-1*$F$91)</f>
        <v>0.30000000000004196</v>
      </c>
      <c r="AR90" s="1239"/>
      <c r="AS90" s="1239"/>
      <c r="AT90" s="455"/>
      <c r="AU90" s="1239"/>
      <c r="AV90" s="1239"/>
      <c r="AW90" s="1239"/>
      <c r="AX90" s="1239"/>
      <c r="AY90" s="455"/>
      <c r="AZ90" s="455"/>
      <c r="BA90" s="1537"/>
      <c r="BB90" s="1239"/>
      <c r="BC90" s="169"/>
      <c r="BD90" s="1330"/>
      <c r="BE90" s="1330"/>
      <c r="BF90" s="1330"/>
      <c r="BG90" s="1330"/>
    </row>
    <row r="91" spans="1:59" ht="15.65" customHeight="1">
      <c r="A91" s="1239"/>
      <c r="B91" s="572" t="s">
        <v>2585</v>
      </c>
      <c r="C91" s="171">
        <f>+$C$89+$G$90</f>
        <v>90428.55</v>
      </c>
      <c r="D91" s="1239"/>
      <c r="E91" s="1239"/>
      <c r="F91" s="448">
        <v>-430</v>
      </c>
      <c r="G91" s="455"/>
      <c r="H91" s="1239"/>
      <c r="I91" s="448"/>
      <c r="J91" s="171"/>
      <c r="K91" s="1239"/>
      <c r="L91" s="1239" t="s">
        <v>230</v>
      </c>
      <c r="M91" s="1395" t="str">
        <f>IF(AX91="PT",VLOOKUP(L91,'Foundation Calculation'!$V$2:$X$40,VLOOKUP(AX91,'Foundation Calculation'!$I$10:$J$13,2,FALSE),0),IF(AX91="K",VLOOKUP(L91,'Foundation Calculation'!$V$42:$X$80,VLOOKUP(AX91,'Foundation Calculation'!$I$10:$J$13,2,FALSE),0),""))</f>
        <v>C4R</v>
      </c>
      <c r="N91" s="1239" t="s">
        <v>144</v>
      </c>
      <c r="O91" s="1239"/>
      <c r="P91" s="1239"/>
      <c r="Q91" s="1239"/>
      <c r="R91" s="1239"/>
      <c r="S91" s="455"/>
      <c r="T91" s="1239">
        <v>30</v>
      </c>
      <c r="U91" s="1239"/>
      <c r="V91" s="1239"/>
      <c r="W91" s="1239">
        <v>0.65</v>
      </c>
      <c r="X91" s="1239"/>
      <c r="Y91" s="1239"/>
      <c r="Z91" s="1239"/>
      <c r="AA91" s="580"/>
      <c r="AB91" s="580"/>
      <c r="AC91" s="1239" t="str">
        <f>IF(OR(AT91&gt;8,AT91&lt;-8),"PH",IF(OR(AT91&gt;5,AT91&lt;-5),"PH-Q",IF(OR(AT91&gt;1,AT91&lt;-1),"PH-C")))</f>
        <v>PH-C</v>
      </c>
      <c r="AD91" s="580"/>
      <c r="AE91" s="580"/>
      <c r="AF91" s="580"/>
      <c r="AG91" s="1327"/>
      <c r="AH91" s="580"/>
      <c r="AI91" s="580"/>
      <c r="AJ91" s="580"/>
      <c r="AK91" s="580"/>
      <c r="AL91" s="580"/>
      <c r="AM91" s="1239" t="s">
        <v>1042</v>
      </c>
      <c r="AN91" s="455">
        <v>5.15</v>
      </c>
      <c r="AO91" s="1239"/>
      <c r="AP91" s="1239"/>
      <c r="AQ91" s="455"/>
      <c r="AR91" s="1239"/>
      <c r="AS91" s="1239"/>
      <c r="AT91" s="455">
        <f>+ab($T$91,$T$89,$T$93,$G$90,$G$92,-1*$F$91,1200)</f>
        <v>2.8927622197477225</v>
      </c>
      <c r="AU91" s="1239"/>
      <c r="AV91" s="1239"/>
      <c r="AW91" s="1239" t="str">
        <f>VLOOKUP(C91,'Foundation Calculation'!$A$2:$C$33,3,1)</f>
        <v>Soil B</v>
      </c>
      <c r="AX91" s="1239" t="str">
        <f>VLOOKUP(C91,'Foundation Calculation'!$E$2:$G$33,3,1)</f>
        <v>PT</v>
      </c>
      <c r="AY91" s="455">
        <f>IF(AX91="PT",VLOOKUP(L91,'Foundation Calculation'!$K$2:$R$40,VLOOKUP(AW91,'Foundation Calculation'!$I$2:$J$8,2,FALSE),0),IF(AX91="K",VLOOKUP(L91,'Foundation Calculation'!$K$42:$R$80,VLOOKUP(AW91,'Foundation Calculation'!$I$2:$J$8,2,FALSE),0),""))</f>
        <v>3.5</v>
      </c>
      <c r="AZ91" s="455"/>
      <c r="BA91" s="1536" t="s">
        <v>2809</v>
      </c>
      <c r="BB91" s="1239" t="str">
        <f>Pole_Calculations!A15</f>
        <v>App.7-V11A-P9.5.1.1</v>
      </c>
      <c r="BC91" s="169"/>
      <c r="BD91" s="1329"/>
      <c r="BE91" s="1329"/>
      <c r="BF91" s="1329"/>
      <c r="BG91" s="1329"/>
    </row>
    <row r="92" spans="1:59" ht="15.65" customHeight="1">
      <c r="A92" s="1239"/>
      <c r="B92" s="1239"/>
      <c r="C92" s="171"/>
      <c r="D92" s="1239"/>
      <c r="E92" s="1239"/>
      <c r="F92" s="448"/>
      <c r="G92" s="455">
        <v>30</v>
      </c>
      <c r="H92" s="1239"/>
      <c r="I92" s="448"/>
      <c r="J92" s="171"/>
      <c r="K92" s="1239"/>
      <c r="L92" s="1239"/>
      <c r="M92" s="1239"/>
      <c r="N92" s="1239"/>
      <c r="O92" s="1239"/>
      <c r="P92" s="1239"/>
      <c r="Q92" s="1239"/>
      <c r="R92" s="1239"/>
      <c r="S92" s="455"/>
      <c r="T92" s="1239"/>
      <c r="U92" s="1239"/>
      <c r="V92" s="1239"/>
      <c r="W92" s="1239"/>
      <c r="X92" s="1239"/>
      <c r="Y92" s="1239"/>
      <c r="Z92" s="1239"/>
      <c r="AA92" s="1239"/>
      <c r="AB92" s="1239"/>
      <c r="AC92" s="1239"/>
      <c r="AD92" s="1239"/>
      <c r="AE92" s="1239"/>
      <c r="AF92" s="1239"/>
      <c r="AG92" s="171"/>
      <c r="AH92" s="1239"/>
      <c r="AI92" s="1239"/>
      <c r="AJ92" s="1239"/>
      <c r="AK92" s="1239"/>
      <c r="AL92" s="1239"/>
      <c r="AM92" s="1239"/>
      <c r="AN92" s="455"/>
      <c r="AO92" s="1239"/>
      <c r="AP92" s="1239"/>
      <c r="AQ92" s="455">
        <f>+FL_1($T$93,$T$91,$G$92,1200,9.28,-1*$F$93)</f>
        <v>0.30000000000003496</v>
      </c>
      <c r="AR92" s="1239"/>
      <c r="AS92" s="1239"/>
      <c r="AT92" s="455"/>
      <c r="AU92" s="1239"/>
      <c r="AV92" s="1239"/>
      <c r="AW92" s="638"/>
      <c r="AX92" s="638"/>
      <c r="AY92" s="484"/>
      <c r="AZ92" s="484"/>
      <c r="BA92" s="671"/>
      <c r="BB92" s="1239"/>
      <c r="BC92" s="169"/>
      <c r="BD92" s="1330"/>
      <c r="BE92" s="1330"/>
      <c r="BF92" s="1330"/>
      <c r="BG92" s="1330"/>
    </row>
    <row r="93" spans="1:59" ht="15.65" customHeight="1">
      <c r="A93" s="647"/>
      <c r="B93" s="740" t="s">
        <v>2162</v>
      </c>
      <c r="C93" s="652">
        <f>+$C$91+$G$92</f>
        <v>90458.55</v>
      </c>
      <c r="D93" s="647"/>
      <c r="E93" s="647"/>
      <c r="F93" s="650">
        <v>-430</v>
      </c>
      <c r="G93" s="651"/>
      <c r="H93" s="647"/>
      <c r="I93" s="650"/>
      <c r="J93" s="652"/>
      <c r="K93" s="647"/>
      <c r="L93" s="647" t="s">
        <v>1680</v>
      </c>
      <c r="M93" s="647"/>
      <c r="N93" s="647" t="s">
        <v>634</v>
      </c>
      <c r="O93" s="647"/>
      <c r="P93" s="647"/>
      <c r="Q93" s="647"/>
      <c r="R93" s="647"/>
      <c r="S93" s="651"/>
      <c r="T93" s="647">
        <v>30</v>
      </c>
      <c r="U93" s="647"/>
      <c r="V93" s="647"/>
      <c r="W93" s="647">
        <v>0.65</v>
      </c>
      <c r="X93" s="647"/>
      <c r="Y93" s="647"/>
      <c r="Z93" s="647"/>
      <c r="AA93" s="647"/>
      <c r="AB93" s="647"/>
      <c r="AC93" s="647" t="str">
        <f>IF(OR(AT93&gt;8,AT93&lt;-8),"PH",IF(OR(AT93&gt;5,AT93&lt;-5),"PH-Q",IF(OR(AT93&gt;1,AT93&lt;-1),"PH-C")))</f>
        <v>PH-C</v>
      </c>
      <c r="AD93" s="647"/>
      <c r="AE93" s="647"/>
      <c r="AF93" s="647"/>
      <c r="AG93" s="652"/>
      <c r="AH93" s="647"/>
      <c r="AI93" s="647"/>
      <c r="AJ93" s="647"/>
      <c r="AK93" s="647"/>
      <c r="AL93" s="647"/>
      <c r="AM93" s="647" t="s">
        <v>2879</v>
      </c>
      <c r="AN93" s="651">
        <v>5.15</v>
      </c>
      <c r="AO93" s="647"/>
      <c r="AP93" s="647"/>
      <c r="AQ93" s="651"/>
      <c r="AR93" s="647"/>
      <c r="AS93" s="647"/>
      <c r="AT93" s="651">
        <f>+ab($T$93,$T$91,$T$95,$G$92,$G$94,-1*$F$93,1200)</f>
        <v>2.7483516946090525</v>
      </c>
      <c r="AU93" s="647"/>
      <c r="AV93" s="647"/>
      <c r="AW93" s="647" t="s">
        <v>2846</v>
      </c>
      <c r="AX93" s="647"/>
      <c r="AY93" s="651"/>
      <c r="AZ93" s="651"/>
      <c r="BA93" s="701" t="s">
        <v>2809</v>
      </c>
      <c r="BB93" s="647"/>
      <c r="BC93" s="169" t="s">
        <v>4954</v>
      </c>
      <c r="BD93" s="1330"/>
      <c r="BE93" s="1329"/>
      <c r="BF93" s="1329"/>
      <c r="BG93" s="1329"/>
    </row>
    <row r="94" spans="1:59" ht="15.65" customHeight="1">
      <c r="A94" s="647"/>
      <c r="B94" s="647"/>
      <c r="C94" s="652"/>
      <c r="D94" s="647"/>
      <c r="E94" s="647"/>
      <c r="F94" s="650"/>
      <c r="G94" s="651">
        <v>30</v>
      </c>
      <c r="H94" s="647"/>
      <c r="I94" s="650"/>
      <c r="J94" s="652"/>
      <c r="K94" s="647"/>
      <c r="L94" s="647"/>
      <c r="M94" s="647"/>
      <c r="N94" s="647"/>
      <c r="O94" s="647"/>
      <c r="P94" s="647"/>
      <c r="Q94" s="647"/>
      <c r="R94" s="647"/>
      <c r="S94" s="651"/>
      <c r="T94" s="647"/>
      <c r="U94" s="647"/>
      <c r="V94" s="647"/>
      <c r="W94" s="647"/>
      <c r="X94" s="647"/>
      <c r="Y94" s="647"/>
      <c r="Z94" s="647"/>
      <c r="AA94" s="647"/>
      <c r="AB94" s="647"/>
      <c r="AC94" s="647"/>
      <c r="AD94" s="647"/>
      <c r="AE94" s="647"/>
      <c r="AF94" s="647"/>
      <c r="AG94" s="652"/>
      <c r="AH94" s="647"/>
      <c r="AI94" s="647"/>
      <c r="AJ94" s="647"/>
      <c r="AK94" s="647"/>
      <c r="AL94" s="647"/>
      <c r="AM94" s="647"/>
      <c r="AN94" s="651"/>
      <c r="AO94" s="647"/>
      <c r="AP94" s="647"/>
      <c r="AQ94" s="651">
        <f>+FL_1($T$95,$T$93,$G$94,1200,9.28,-1*$F$95)</f>
        <v>0.30000000000003496</v>
      </c>
      <c r="AR94" s="647"/>
      <c r="AS94" s="647"/>
      <c r="AT94" s="651"/>
      <c r="AU94" s="647"/>
      <c r="AV94" s="647"/>
      <c r="AW94" s="647"/>
      <c r="AX94" s="647"/>
      <c r="AY94" s="651"/>
      <c r="AZ94" s="651"/>
      <c r="BA94" s="701"/>
      <c r="BB94" s="647"/>
      <c r="BC94" s="169"/>
      <c r="BD94" s="1330"/>
      <c r="BE94" s="1330"/>
      <c r="BF94" s="1330"/>
      <c r="BG94" s="1330"/>
    </row>
    <row r="95" spans="1:59" ht="15.65" customHeight="1">
      <c r="A95" s="647"/>
      <c r="B95" s="740" t="s">
        <v>2164</v>
      </c>
      <c r="C95" s="652">
        <f>+$C$93+$G$94</f>
        <v>90488.55</v>
      </c>
      <c r="D95" s="647"/>
      <c r="E95" s="647"/>
      <c r="F95" s="650">
        <v>-430</v>
      </c>
      <c r="G95" s="651"/>
      <c r="H95" s="647"/>
      <c r="I95" s="650"/>
      <c r="J95" s="652"/>
      <c r="K95" s="647"/>
      <c r="L95" s="647" t="s">
        <v>1680</v>
      </c>
      <c r="M95" s="647"/>
      <c r="N95" s="647" t="s">
        <v>634</v>
      </c>
      <c r="O95" s="647"/>
      <c r="P95" s="647"/>
      <c r="Q95" s="647"/>
      <c r="R95" s="647"/>
      <c r="S95" s="651"/>
      <c r="T95" s="647">
        <v>30</v>
      </c>
      <c r="U95" s="647"/>
      <c r="V95" s="647"/>
      <c r="W95" s="647">
        <v>0.65</v>
      </c>
      <c r="X95" s="647"/>
      <c r="Y95" s="647"/>
      <c r="Z95" s="647"/>
      <c r="AA95" s="647"/>
      <c r="AB95" s="647"/>
      <c r="AC95" s="647" t="str">
        <f>IF(OR(AT95&gt;8,AT95&lt;-8),"PH",IF(OR(AT95&gt;5,AT95&lt;-5),"PH-Q",IF(OR(AT95&gt;1,AT95&lt;-1),"PH-C")))</f>
        <v>PH-C</v>
      </c>
      <c r="AD95" s="647"/>
      <c r="AE95" s="647"/>
      <c r="AF95" s="647"/>
      <c r="AG95" s="652"/>
      <c r="AH95" s="647"/>
      <c r="AI95" s="647"/>
      <c r="AJ95" s="647"/>
      <c r="AK95" s="647"/>
      <c r="AL95" s="647"/>
      <c r="AM95" s="647" t="s">
        <v>2879</v>
      </c>
      <c r="AN95" s="651">
        <v>5.15</v>
      </c>
      <c r="AO95" s="647"/>
      <c r="AP95" s="647"/>
      <c r="AQ95" s="651"/>
      <c r="AR95" s="647"/>
      <c r="AS95" s="647"/>
      <c r="AT95" s="651">
        <f>+ab($T$95,$T$93,$T$97,$G$94,$G$96,-1*$F$95,1200)</f>
        <v>2.7483516946090525</v>
      </c>
      <c r="AU95" s="647"/>
      <c r="AV95" s="647"/>
      <c r="AW95" s="647" t="s">
        <v>2846</v>
      </c>
      <c r="AX95" s="647"/>
      <c r="AY95" s="651"/>
      <c r="AZ95" s="651"/>
      <c r="BA95" s="1315" t="s">
        <v>2809</v>
      </c>
      <c r="BB95" s="647"/>
      <c r="BC95" s="169" t="s">
        <v>4954</v>
      </c>
      <c r="BD95" s="1330"/>
      <c r="BE95" s="1329"/>
      <c r="BF95" s="1329"/>
      <c r="BG95" s="1329"/>
    </row>
    <row r="96" spans="1:59" ht="15.65" customHeight="1">
      <c r="A96" s="647" t="s">
        <v>4010</v>
      </c>
      <c r="B96" s="740"/>
      <c r="C96" s="652"/>
      <c r="D96" s="647"/>
      <c r="E96" s="647"/>
      <c r="F96" s="650"/>
      <c r="G96" s="651">
        <v>30</v>
      </c>
      <c r="H96" s="647"/>
      <c r="I96" s="650"/>
      <c r="J96" s="652"/>
      <c r="K96" s="647"/>
      <c r="L96" s="647"/>
      <c r="M96" s="647"/>
      <c r="N96" s="647"/>
      <c r="O96" s="647"/>
      <c r="P96" s="647"/>
      <c r="Q96" s="647"/>
      <c r="R96" s="647"/>
      <c r="S96" s="651"/>
      <c r="T96" s="647"/>
      <c r="U96" s="647"/>
      <c r="V96" s="647"/>
      <c r="W96" s="647"/>
      <c r="X96" s="647"/>
      <c r="Y96" s="647"/>
      <c r="Z96" s="647"/>
      <c r="AA96" s="647"/>
      <c r="AB96" s="647"/>
      <c r="AC96" s="647"/>
      <c r="AD96" s="647"/>
      <c r="AE96" s="647"/>
      <c r="AF96" s="647"/>
      <c r="AG96" s="652"/>
      <c r="AH96" s="647"/>
      <c r="AI96" s="647"/>
      <c r="AJ96" s="647"/>
      <c r="AK96" s="647"/>
      <c r="AL96" s="647"/>
      <c r="AM96" s="647"/>
      <c r="AN96" s="651"/>
      <c r="AO96" s="647"/>
      <c r="AP96" s="647"/>
      <c r="AQ96" s="651">
        <f>+FL_1($T$97,$T$95,$G$96,1200,9.28,-1*$F$97)</f>
        <v>0.30000000000003496</v>
      </c>
      <c r="AR96" s="647"/>
      <c r="AS96" s="647"/>
      <c r="AT96" s="651"/>
      <c r="AU96" s="647"/>
      <c r="AV96" s="647"/>
      <c r="AW96" s="647"/>
      <c r="AX96" s="647"/>
      <c r="AY96" s="651"/>
      <c r="AZ96" s="651"/>
      <c r="BA96" s="701"/>
      <c r="BB96" s="647"/>
      <c r="BC96" s="169"/>
      <c r="BD96" s="1330"/>
      <c r="BE96" s="1330"/>
      <c r="BF96" s="1330"/>
      <c r="BG96" s="1330"/>
    </row>
    <row r="97" spans="1:59" ht="15.65" customHeight="1">
      <c r="A97" s="647" t="s">
        <v>4011</v>
      </c>
      <c r="B97" s="740" t="s">
        <v>2165</v>
      </c>
      <c r="C97" s="652">
        <f>+$C$95+$G$96</f>
        <v>90518.55</v>
      </c>
      <c r="D97" s="647"/>
      <c r="E97" s="647"/>
      <c r="F97" s="650">
        <v>-430</v>
      </c>
      <c r="G97" s="651"/>
      <c r="H97" s="647" t="s">
        <v>138</v>
      </c>
      <c r="I97" s="650" t="s">
        <v>840</v>
      </c>
      <c r="J97" s="652"/>
      <c r="K97" s="647"/>
      <c r="L97" s="647" t="s">
        <v>1680</v>
      </c>
      <c r="M97" s="647"/>
      <c r="N97" s="647" t="s">
        <v>634</v>
      </c>
      <c r="O97" s="647"/>
      <c r="P97" s="647"/>
      <c r="Q97" s="647"/>
      <c r="R97" s="647"/>
      <c r="S97" s="651"/>
      <c r="T97" s="647">
        <v>30</v>
      </c>
      <c r="U97" s="647"/>
      <c r="V97" s="647"/>
      <c r="W97" s="647">
        <v>0.65</v>
      </c>
      <c r="X97" s="647"/>
      <c r="Y97" s="647"/>
      <c r="Z97" s="647"/>
      <c r="AA97" s="647"/>
      <c r="AB97" s="647"/>
      <c r="AC97" s="647" t="str">
        <f>IF(OR(AT97&gt;8,AT97&lt;-8),"PH",IF(OR(AT97&gt;5,AT97&lt;-5),"PH-Q",IF(OR(AT97&gt;1,AT97&lt;-1),"PH-C")))</f>
        <v>PH-C</v>
      </c>
      <c r="AD97" s="647"/>
      <c r="AE97" s="647"/>
      <c r="AF97" s="647"/>
      <c r="AG97" s="652"/>
      <c r="AH97" s="647"/>
      <c r="AI97" s="647"/>
      <c r="AJ97" s="647"/>
      <c r="AK97" s="647"/>
      <c r="AL97" s="647"/>
      <c r="AM97" s="647" t="s">
        <v>2879</v>
      </c>
      <c r="AN97" s="651">
        <v>5.15</v>
      </c>
      <c r="AO97" s="647"/>
      <c r="AP97" s="647"/>
      <c r="AQ97" s="651"/>
      <c r="AR97" s="647"/>
      <c r="AS97" s="647"/>
      <c r="AT97" s="651">
        <f>+ab($T$97,$T$95,$U$99,$G$96,$G$98,-1*$F$97,1200)</f>
        <v>2.2734270447260987</v>
      </c>
      <c r="AU97" s="647"/>
      <c r="AV97" s="647"/>
      <c r="AW97" s="647" t="s">
        <v>2846</v>
      </c>
      <c r="AX97" s="647"/>
      <c r="AY97" s="651"/>
      <c r="AZ97" s="651"/>
      <c r="BA97" s="701" t="s">
        <v>2809</v>
      </c>
      <c r="BB97" s="647"/>
      <c r="BC97" s="169" t="s">
        <v>4954</v>
      </c>
      <c r="BD97" s="1330"/>
      <c r="BE97" s="1329"/>
      <c r="BF97" s="1329"/>
      <c r="BG97" s="1329"/>
    </row>
    <row r="98" spans="1:59" ht="15.65" customHeight="1">
      <c r="A98" s="647"/>
      <c r="B98" s="740"/>
      <c r="C98" s="652"/>
      <c r="D98" s="647"/>
      <c r="E98" s="647"/>
      <c r="F98" s="650"/>
      <c r="G98" s="651">
        <v>31.7</v>
      </c>
      <c r="H98" s="647"/>
      <c r="I98" s="650"/>
      <c r="J98" s="652">
        <f>C97+5</f>
        <v>90523.55</v>
      </c>
      <c r="K98" s="647" t="s">
        <v>894</v>
      </c>
      <c r="L98" s="647"/>
      <c r="M98" s="647"/>
      <c r="N98" s="647"/>
      <c r="O98" s="647"/>
      <c r="P98" s="647"/>
      <c r="Q98" s="647"/>
      <c r="R98" s="647"/>
      <c r="S98" s="651"/>
      <c r="T98" s="647"/>
      <c r="U98" s="647"/>
      <c r="V98" s="647"/>
      <c r="W98" s="647"/>
      <c r="X98" s="647"/>
      <c r="Y98" s="647"/>
      <c r="Z98" s="647"/>
      <c r="AA98" s="647"/>
      <c r="AB98" s="647"/>
      <c r="AC98" s="647"/>
      <c r="AD98" s="647"/>
      <c r="AE98" s="647"/>
      <c r="AF98" s="647"/>
      <c r="AG98" s="652"/>
      <c r="AH98" s="647"/>
      <c r="AI98" s="647"/>
      <c r="AJ98" s="647"/>
      <c r="AK98" s="647"/>
      <c r="AL98" s="647"/>
      <c r="AM98" s="647"/>
      <c r="AN98" s="651"/>
      <c r="AO98" s="647"/>
      <c r="AP98" s="647"/>
      <c r="AQ98" s="651">
        <f>+FL_1($U$99,$T$97,$G$98,1200,9.28,-1*$F$99)</f>
        <v>0.30000000000000082</v>
      </c>
      <c r="AR98" s="647"/>
      <c r="AS98" s="647"/>
      <c r="AT98" s="651"/>
      <c r="AU98" s="647"/>
      <c r="AV98" s="647"/>
      <c r="AW98" s="647"/>
      <c r="AX98" s="647"/>
      <c r="AY98" s="651"/>
      <c r="AZ98" s="651"/>
      <c r="BA98" s="701"/>
      <c r="BB98" s="647"/>
      <c r="BC98" s="169"/>
      <c r="BD98" s="1329"/>
      <c r="BE98" s="1330"/>
      <c r="BF98" s="1330"/>
      <c r="BG98" s="1330"/>
    </row>
    <row r="99" spans="1:59" ht="15.65" customHeight="1">
      <c r="A99" s="647"/>
      <c r="B99" s="740" t="s">
        <v>2166</v>
      </c>
      <c r="C99" s="652">
        <f>+$C$97+$G$98</f>
        <v>90550.25</v>
      </c>
      <c r="D99" s="647"/>
      <c r="E99" s="647"/>
      <c r="F99" s="650">
        <f>-(170^2)/(90597.19-C99)</f>
        <v>-615.67959096716163</v>
      </c>
      <c r="G99" s="651"/>
      <c r="H99" s="647" t="s">
        <v>619</v>
      </c>
      <c r="I99" s="650" t="s">
        <v>1041</v>
      </c>
      <c r="J99" s="652">
        <f>C99+10</f>
        <v>90560.25</v>
      </c>
      <c r="K99" s="647" t="s">
        <v>897</v>
      </c>
      <c r="L99" s="647" t="s">
        <v>1681</v>
      </c>
      <c r="M99" s="647"/>
      <c r="N99" s="647" t="s">
        <v>635</v>
      </c>
      <c r="O99" s="647" t="s">
        <v>634</v>
      </c>
      <c r="P99" s="647"/>
      <c r="Q99" s="647"/>
      <c r="R99" s="647"/>
      <c r="S99" s="651"/>
      <c r="T99" s="647">
        <v>35</v>
      </c>
      <c r="U99" s="647">
        <v>-10</v>
      </c>
      <c r="V99" s="647"/>
      <c r="W99" s="647">
        <v>0.55000000000000004</v>
      </c>
      <c r="X99" s="647">
        <v>0.65</v>
      </c>
      <c r="Y99" s="647"/>
      <c r="Z99" s="647">
        <v>0.25</v>
      </c>
      <c r="AA99" s="647"/>
      <c r="AB99" s="647"/>
      <c r="AC99" s="647"/>
      <c r="AD99" s="647"/>
      <c r="AE99" s="647"/>
      <c r="AF99" s="647"/>
      <c r="AG99" s="652"/>
      <c r="AH99" s="647"/>
      <c r="AI99" s="647"/>
      <c r="AJ99" s="647"/>
      <c r="AK99" s="647"/>
      <c r="AL99" s="647"/>
      <c r="AM99" s="647" t="s">
        <v>2879</v>
      </c>
      <c r="AN99" s="651">
        <v>5.15</v>
      </c>
      <c r="AO99" s="647"/>
      <c r="AP99" s="647"/>
      <c r="AQ99" s="651"/>
      <c r="AR99" s="647"/>
      <c r="AS99" s="647"/>
      <c r="AT99" s="651">
        <f>+ab($U$99,$T$97,$U$101,$G$98,$G$100,-1*$F$99,1200)</f>
        <v>5.7160324725190153</v>
      </c>
      <c r="AU99" s="647"/>
      <c r="AV99" s="647"/>
      <c r="AW99" s="647" t="s">
        <v>2846</v>
      </c>
      <c r="AX99" s="647"/>
      <c r="AY99" s="651"/>
      <c r="AZ99" s="651"/>
      <c r="BA99" s="1315" t="s">
        <v>2809</v>
      </c>
      <c r="BB99" s="647"/>
      <c r="BC99" s="169" t="s">
        <v>4954</v>
      </c>
      <c r="BD99" s="1329"/>
      <c r="BE99" s="1329"/>
      <c r="BF99" s="1329"/>
      <c r="BG99" s="1329"/>
    </row>
    <row r="100" spans="1:59" ht="15.65" customHeight="1">
      <c r="A100" s="1239"/>
      <c r="B100" s="572"/>
      <c r="C100" s="171"/>
      <c r="D100" s="1239"/>
      <c r="E100" s="1239"/>
      <c r="F100" s="448"/>
      <c r="G100" s="455">
        <v>38</v>
      </c>
      <c r="H100" s="1239"/>
      <c r="I100" s="448" t="s">
        <v>1039</v>
      </c>
      <c r="J100" s="171"/>
      <c r="K100" s="638"/>
      <c r="L100" s="1239"/>
      <c r="M100" s="1239"/>
      <c r="N100" s="1239"/>
      <c r="O100" s="1239"/>
      <c r="P100" s="1239"/>
      <c r="Q100" s="1239"/>
      <c r="R100" s="1239"/>
      <c r="S100" s="455"/>
      <c r="T100" s="1239"/>
      <c r="U100" s="1239"/>
      <c r="V100" s="1239"/>
      <c r="W100" s="1239"/>
      <c r="X100" s="1239"/>
      <c r="Y100" s="1239"/>
      <c r="Z100" s="1239"/>
      <c r="AA100" s="1239"/>
      <c r="AB100" s="1239"/>
      <c r="AC100" s="1239"/>
      <c r="AD100" s="1239"/>
      <c r="AE100" s="1239"/>
      <c r="AF100" s="1239"/>
      <c r="AG100" s="171"/>
      <c r="AH100" s="1239"/>
      <c r="AI100" s="1239"/>
      <c r="AJ100" s="1239"/>
      <c r="AK100" s="1239"/>
      <c r="AL100" s="1239"/>
      <c r="AM100" s="1239"/>
      <c r="AN100" s="455"/>
      <c r="AO100" s="1239"/>
      <c r="AP100" s="1239"/>
      <c r="AQ100" s="455">
        <f>+FL_1($U$101,$U$99,$G$100,1200,9.28,-1*$F$101)</f>
        <v>0.3</v>
      </c>
      <c r="AR100" s="1239"/>
      <c r="AS100" s="1239"/>
      <c r="AT100" s="455"/>
      <c r="AU100" s="1239"/>
      <c r="AV100" s="1239"/>
      <c r="AW100" s="1239"/>
      <c r="AX100" s="1239"/>
      <c r="AY100" s="455"/>
      <c r="AZ100" s="455"/>
      <c r="BA100" s="671"/>
      <c r="BB100" s="1239"/>
      <c r="BC100" s="169"/>
      <c r="BD100" s="1329"/>
      <c r="BE100" s="1330"/>
      <c r="BF100" s="1330"/>
      <c r="BG100" s="1330"/>
    </row>
    <row r="101" spans="1:59" ht="15.65" customHeight="1">
      <c r="A101" s="1239" t="s">
        <v>4019</v>
      </c>
      <c r="B101" s="435" t="s">
        <v>2167</v>
      </c>
      <c r="C101" s="446">
        <f>+$C$99+$G$100</f>
        <v>90588.25</v>
      </c>
      <c r="D101" s="173"/>
      <c r="E101" s="447"/>
      <c r="F101" s="447">
        <f>-(170^2)/(90597.19-C101)</f>
        <v>-3232.6621923928942</v>
      </c>
      <c r="G101" s="484"/>
      <c r="H101" s="1239" t="s">
        <v>2551</v>
      </c>
      <c r="I101" s="1239" t="s">
        <v>3858</v>
      </c>
      <c r="J101" s="171"/>
      <c r="K101" s="638"/>
      <c r="L101" s="638" t="s">
        <v>896</v>
      </c>
      <c r="M101" s="1395" t="str">
        <f>IF(AX101="PT",VLOOKUP(L101,'Foundation Calculation'!$V$2:$X$40,VLOOKUP(AX101,'Foundation Calculation'!$I$10:$J$13,2,FALSE),0),IF(AX101="K",VLOOKUP(L101,'Foundation Calculation'!$V$42:$X$80,VLOOKUP(AX101,'Foundation Calculation'!$I$10:$J$13,2,FALSE),0),""))</f>
        <v>2C4R</v>
      </c>
      <c r="N101" s="1239" t="s">
        <v>635</v>
      </c>
      <c r="O101" s="1239" t="s">
        <v>634</v>
      </c>
      <c r="P101" s="1239" t="s">
        <v>635</v>
      </c>
      <c r="Q101" s="638"/>
      <c r="R101" s="638"/>
      <c r="S101" s="484"/>
      <c r="T101" s="638">
        <v>50</v>
      </c>
      <c r="U101" s="638">
        <v>30</v>
      </c>
      <c r="V101" s="638">
        <v>-15</v>
      </c>
      <c r="W101" s="638">
        <v>0.75</v>
      </c>
      <c r="X101" s="638">
        <v>0.9</v>
      </c>
      <c r="Y101" s="638">
        <v>1.2</v>
      </c>
      <c r="Z101" s="638">
        <v>0.36</v>
      </c>
      <c r="AA101" s="638"/>
      <c r="AB101" s="638">
        <v>0.25</v>
      </c>
      <c r="AC101" s="638"/>
      <c r="AD101" s="638"/>
      <c r="AE101" s="638"/>
      <c r="AF101" s="638"/>
      <c r="AG101" s="446"/>
      <c r="AH101" s="638"/>
      <c r="AI101" s="638"/>
      <c r="AJ101" s="638" t="s">
        <v>2756</v>
      </c>
      <c r="AK101" s="638"/>
      <c r="AL101" s="638"/>
      <c r="AM101" s="638" t="s">
        <v>1042</v>
      </c>
      <c r="AN101" s="455">
        <v>5.15</v>
      </c>
      <c r="AO101" s="1239"/>
      <c r="AP101" s="1239"/>
      <c r="AQ101" s="484"/>
      <c r="AR101" s="484"/>
      <c r="AS101" s="484"/>
      <c r="AT101" s="484">
        <f>+ab($U$101,$U$99,$U$105,$G$100,$G$102,-1*$F$101,1200)</f>
        <v>1.4877589653472965</v>
      </c>
      <c r="AU101" s="638"/>
      <c r="AV101" s="638"/>
      <c r="AW101" s="1239" t="str">
        <f>VLOOKUP(C101,'Foundation Calculation'!$A$2:$C$33,3,1)</f>
        <v>Soil B</v>
      </c>
      <c r="AX101" s="1239" t="str">
        <f>VLOOKUP(C101,'Foundation Calculation'!$E$2:$G$33,3,1)</f>
        <v>PT</v>
      </c>
      <c r="AY101" s="484">
        <f>IF(AX101="PT",VLOOKUP(L101,'Foundation Calculation'!$K$2:$R$40,VLOOKUP(AW101,'Foundation Calculation'!$I$2:$J$8,2,FALSE),0),IF(AX101="K",VLOOKUP(L101,'Foundation Calculation'!$K$42:$R$80,VLOOKUP(AW101,'Foundation Calculation'!$I$2:$J$8,2,FALSE),0),""))</f>
        <v>4</v>
      </c>
      <c r="AZ101" s="484"/>
      <c r="BA101" s="671" t="s">
        <v>2809</v>
      </c>
      <c r="BB101" s="1239" t="str">
        <f>Pole_Calculations!A23</f>
        <v>App.7-V11A-P9.5.1.9</v>
      </c>
      <c r="BC101" s="169" t="s">
        <v>4954</v>
      </c>
      <c r="BD101" s="1329"/>
      <c r="BE101" s="1329"/>
      <c r="BF101" s="1329"/>
      <c r="BG101" s="1329"/>
    </row>
    <row r="102" spans="1:59" ht="15.65" customHeight="1">
      <c r="A102" s="1239"/>
      <c r="B102" s="435"/>
      <c r="C102" s="446"/>
      <c r="D102" s="173"/>
      <c r="E102" s="447"/>
      <c r="F102" s="447"/>
      <c r="G102" s="484">
        <v>4.47</v>
      </c>
      <c r="H102" s="1239"/>
      <c r="I102" s="1239"/>
      <c r="J102" s="171"/>
      <c r="K102" s="638"/>
      <c r="L102" s="638"/>
      <c r="M102" s="638"/>
      <c r="N102" s="1239"/>
      <c r="O102" s="1239"/>
      <c r="P102" s="1239"/>
      <c r="Q102" s="638"/>
      <c r="R102" s="638"/>
      <c r="S102" s="484"/>
      <c r="T102" s="638"/>
      <c r="U102" s="638"/>
      <c r="V102" s="638"/>
      <c r="W102" s="638"/>
      <c r="X102" s="638"/>
      <c r="Y102" s="638"/>
      <c r="Z102" s="638"/>
      <c r="AA102" s="638"/>
      <c r="AB102" s="638"/>
      <c r="AC102" s="638"/>
      <c r="AD102" s="638"/>
      <c r="AE102" s="638"/>
      <c r="AF102" s="638"/>
      <c r="AG102" s="446"/>
      <c r="AH102" s="638"/>
      <c r="AI102" s="638"/>
      <c r="AJ102" s="638" t="s">
        <v>1665</v>
      </c>
      <c r="AK102" s="638"/>
      <c r="AL102" s="638"/>
      <c r="AM102" s="638"/>
      <c r="AN102" s="455"/>
      <c r="AO102" s="1239"/>
      <c r="AP102" s="1239"/>
      <c r="AQ102" s="484">
        <f>+FL_1($U$105,$U$101,$G$102,1200,9.28,-1*$F$105)</f>
        <v>0.30110124556599105</v>
      </c>
      <c r="AR102" s="484"/>
      <c r="AS102" s="484"/>
      <c r="AT102" s="484"/>
      <c r="AU102" s="638"/>
      <c r="AV102" s="638"/>
      <c r="AW102" s="638"/>
      <c r="AX102" s="638"/>
      <c r="AY102" s="484"/>
      <c r="AZ102" s="484"/>
      <c r="BA102" s="671"/>
      <c r="BB102" s="1239"/>
      <c r="BC102" s="169"/>
      <c r="BD102" s="1329"/>
      <c r="BE102" s="1330"/>
      <c r="BF102" s="1330"/>
      <c r="BG102" s="1330"/>
    </row>
    <row r="103" spans="1:59" ht="15.65" customHeight="1">
      <c r="A103" s="1239"/>
      <c r="B103" s="435" t="s">
        <v>2168</v>
      </c>
      <c r="C103" s="446">
        <f>C101+G102</f>
        <v>90592.72</v>
      </c>
      <c r="D103" s="173"/>
      <c r="E103" s="447"/>
      <c r="F103" s="447">
        <v>0</v>
      </c>
      <c r="G103" s="484"/>
      <c r="H103" s="1239"/>
      <c r="I103" s="1239"/>
      <c r="J103" s="171"/>
      <c r="K103" s="638"/>
      <c r="L103" s="638" t="s">
        <v>2141</v>
      </c>
      <c r="M103" s="1395" t="str">
        <f>IF(AX103="PT",VLOOKUP(L103,'Foundation Calculation'!$V$2:$X$40,VLOOKUP(AX103,'Foundation Calculation'!$I$10:$J$13,2,FALSE),0),IF(AX103="K",VLOOKUP(L103,'Foundation Calculation'!$V$42:$X$80,VLOOKUP(AX103,'Foundation Calculation'!$I$10:$J$13,2,FALSE),0),""))</f>
        <v>C9R</v>
      </c>
      <c r="N103" s="1239" t="s">
        <v>642</v>
      </c>
      <c r="O103" s="1239"/>
      <c r="P103" s="1239"/>
      <c r="Q103" s="638"/>
      <c r="R103" s="638"/>
      <c r="S103" s="484"/>
      <c r="T103" s="638"/>
      <c r="U103" s="638"/>
      <c r="V103" s="638"/>
      <c r="W103" s="638"/>
      <c r="X103" s="638"/>
      <c r="Y103" s="638"/>
      <c r="Z103" s="638"/>
      <c r="AA103" s="638"/>
      <c r="AB103" s="638"/>
      <c r="AC103" s="638"/>
      <c r="AD103" s="638"/>
      <c r="AE103" s="638"/>
      <c r="AF103" s="638"/>
      <c r="AG103" s="446"/>
      <c r="AH103" s="638"/>
      <c r="AI103" s="638"/>
      <c r="AJ103" s="638"/>
      <c r="AK103" s="638"/>
      <c r="AL103" s="638" t="s">
        <v>828</v>
      </c>
      <c r="AM103" s="638" t="s">
        <v>1042</v>
      </c>
      <c r="AN103" s="455"/>
      <c r="AO103" s="1239"/>
      <c r="AP103" s="1239"/>
      <c r="AQ103" s="484"/>
      <c r="AR103" s="484"/>
      <c r="AS103" s="484"/>
      <c r="AT103" s="484"/>
      <c r="AU103" s="638"/>
      <c r="AV103" s="638"/>
      <c r="AW103" s="1239" t="str">
        <f>VLOOKUP(C103,'Foundation Calculation'!$A$2:$C$33,3,1)</f>
        <v>Soil B</v>
      </c>
      <c r="AX103" s="1239" t="str">
        <f>VLOOKUP(C103,'Foundation Calculation'!$E$2:$G$33,3,1)</f>
        <v>PT</v>
      </c>
      <c r="AY103" s="484">
        <f>IF(AX103="PT",VLOOKUP(L103,'Foundation Calculation'!$K$2:$R$40,VLOOKUP(AW103,'Foundation Calculation'!$I$2:$J$8,2,FALSE),0),IF(AX103="K",VLOOKUP(L103,'Foundation Calculation'!$K$42:$R$80,VLOOKUP(AW103,'Foundation Calculation'!$I$2:$J$8,2,FALSE),0),""))</f>
        <v>4.5999999999999996</v>
      </c>
      <c r="AZ103" s="484"/>
      <c r="BA103" s="671" t="s">
        <v>2809</v>
      </c>
      <c r="BB103" s="1239"/>
      <c r="BC103" s="169"/>
      <c r="BD103" s="1329"/>
      <c r="BE103" s="1330"/>
      <c r="BF103" s="1330"/>
      <c r="BG103" s="1330"/>
    </row>
    <row r="104" spans="1:59" ht="15.65" customHeight="1">
      <c r="A104" s="1239"/>
      <c r="B104" s="435"/>
      <c r="C104" s="446"/>
      <c r="D104" s="173"/>
      <c r="E104" s="447"/>
      <c r="F104" s="447"/>
      <c r="G104" s="484">
        <v>30.49</v>
      </c>
      <c r="H104" s="1239"/>
      <c r="I104" s="1239"/>
      <c r="J104" s="171"/>
      <c r="K104" s="638"/>
      <c r="L104" s="638"/>
      <c r="M104" s="638"/>
      <c r="N104" s="1239"/>
      <c r="O104" s="1239"/>
      <c r="P104" s="1239"/>
      <c r="Q104" s="638"/>
      <c r="R104" s="638"/>
      <c r="S104" s="484"/>
      <c r="T104" s="638"/>
      <c r="U104" s="638"/>
      <c r="V104" s="638"/>
      <c r="W104" s="638"/>
      <c r="X104" s="638"/>
      <c r="Y104" s="638"/>
      <c r="Z104" s="638"/>
      <c r="AA104" s="638"/>
      <c r="AB104" s="638"/>
      <c r="AC104" s="638"/>
      <c r="AD104" s="638"/>
      <c r="AE104" s="638"/>
      <c r="AF104" s="638"/>
      <c r="AG104" s="446"/>
      <c r="AH104" s="638"/>
      <c r="AI104" s="638"/>
      <c r="AJ104" s="638"/>
      <c r="AK104" s="638"/>
      <c r="AL104" s="638"/>
      <c r="AM104" s="638"/>
      <c r="AN104" s="455"/>
      <c r="AO104" s="1239"/>
      <c r="AP104" s="1239"/>
      <c r="AQ104" s="484"/>
      <c r="AR104" s="484"/>
      <c r="AS104" s="484"/>
      <c r="AT104" s="484"/>
      <c r="AU104" s="638"/>
      <c r="AV104" s="638"/>
      <c r="AW104" s="638"/>
      <c r="AX104" s="638"/>
      <c r="AY104" s="484"/>
      <c r="AZ104" s="484"/>
      <c r="BA104" s="671"/>
      <c r="BB104" s="1239"/>
      <c r="BC104" s="169"/>
      <c r="BD104" s="1329"/>
      <c r="BE104" s="1330"/>
      <c r="BF104" s="1330"/>
      <c r="BG104" s="1330"/>
    </row>
    <row r="105" spans="1:59" ht="15.75" customHeight="1">
      <c r="A105" s="501">
        <f>'HR Track 5 HER-TSA'!A11</f>
        <v>0</v>
      </c>
      <c r="B105" s="716" t="str">
        <f>'HR Track 5 HER-TSA'!B11</f>
        <v>90-5.13</v>
      </c>
      <c r="C105" s="451">
        <f>'HR Track 5 HER-TSA'!C11</f>
        <v>90618</v>
      </c>
      <c r="D105" s="453">
        <f>'HR Track 5 HER-TSA'!D11</f>
        <v>0</v>
      </c>
      <c r="E105" s="453">
        <f>'HR Track 5 HER-TSA'!E11</f>
        <v>0</v>
      </c>
      <c r="F105" s="453">
        <f>'HR Track 5 HER-TSA'!F11</f>
        <v>0</v>
      </c>
      <c r="G105" s="500">
        <f>'HR Track 5 HER-TSA'!G11</f>
        <v>0</v>
      </c>
      <c r="H105" s="453" t="str">
        <f>'HR Track 5 HER-TSA'!H11</f>
        <v>P39(CS) A/S</v>
      </c>
      <c r="I105" s="501" t="str">
        <f>'HR Track 5 HER-TSA'!I11</f>
        <v>CP+AnMC</v>
      </c>
      <c r="J105" s="583">
        <f>'HR Track 5 HER-TSA'!J11</f>
        <v>0</v>
      </c>
      <c r="K105" s="452">
        <f>'HR Track 5 HER-TSA'!K11</f>
        <v>0</v>
      </c>
      <c r="L105" s="452" t="str">
        <f>'HR Track 5 HER-TSA'!L11</f>
        <v>HEB-400PL</v>
      </c>
      <c r="M105" s="452" t="str">
        <f>IF(AX105="PT",VLOOKUP(L105,'Foundation Calculation'!$V$2:$X$40,VLOOKUP(AX105,'Foundation Calculation'!$I$10:$J$13,2,FALSE),0),IF(AX105="K",VLOOKUP(L105,'Foundation Calculation'!$V$42:$X$80,VLOOKUP(AX105,'Foundation Calculation'!$I$10:$J$13,2,FALSE),0),""))</f>
        <v>C11R</v>
      </c>
      <c r="N105" s="501" t="str">
        <f>'HR Track 5 HER-TSA'!N11</f>
        <v>EMT-2P</v>
      </c>
      <c r="O105" s="501" t="str">
        <f>'HR Track 5 HER-TSA'!O11</f>
        <v>EMT-1P</v>
      </c>
      <c r="P105" s="501">
        <f>'HR Track 5 HER-TSA'!P11</f>
        <v>0</v>
      </c>
      <c r="Q105" s="452">
        <f>'HR Track 5 HER-TSA'!Q11</f>
        <v>0</v>
      </c>
      <c r="R105" s="452">
        <f>'HR Track 5 HER-TSA'!R11</f>
        <v>0</v>
      </c>
      <c r="S105" s="500">
        <f>'HR Track 5 HER-TSA'!S11</f>
        <v>0</v>
      </c>
      <c r="T105" s="452">
        <f>'HR Track 5 HER-TSA'!T11</f>
        <v>-5</v>
      </c>
      <c r="U105" s="452">
        <f>'HR Track 5 HER-TSA'!U11</f>
        <v>-20</v>
      </c>
      <c r="V105" s="452">
        <f>'HR Track 5 HER-TSA'!V11</f>
        <v>0</v>
      </c>
      <c r="W105" s="452">
        <f>'HR Track 5 HER-TSA'!W11</f>
        <v>0.7</v>
      </c>
      <c r="X105" s="452">
        <f>'HR Track 5 HER-TSA'!X11</f>
        <v>1.2</v>
      </c>
      <c r="Y105" s="452">
        <f>'HR Track 5 HER-TSA'!Y11</f>
        <v>0</v>
      </c>
      <c r="Z105" s="452">
        <f>'HR Track 5 HER-TSA'!Z11</f>
        <v>0</v>
      </c>
      <c r="AA105" s="452">
        <f>'HR Track 5 HER-TSA'!AA11</f>
        <v>0</v>
      </c>
      <c r="AB105" s="452">
        <f>'HR Track 5 HER-TSA'!AB11</f>
        <v>0</v>
      </c>
      <c r="AC105" s="452" t="str">
        <f>'HR Track 5 HER-TSA'!AC11</f>
        <v>PHC-1500</v>
      </c>
      <c r="AD105" s="452" t="str">
        <f>'HR Track 5 HER-TSA'!AD11</f>
        <v>PH-1500</v>
      </c>
      <c r="AE105" s="452">
        <f>'HR Track 5 HER-TSA'!AE11</f>
        <v>0</v>
      </c>
      <c r="AF105" s="452">
        <f>'HR Track 5 HER-TSA'!AF11</f>
        <v>0</v>
      </c>
      <c r="AG105" s="451">
        <f>'HR Track 5 HER-TSA'!AG11</f>
        <v>0</v>
      </c>
      <c r="AH105" s="452">
        <f>'HR Track 5 HER-TSA'!AH11</f>
        <v>0</v>
      </c>
      <c r="AI105" s="452">
        <f>'HR Track 5 HER-TSA'!AI11</f>
        <v>0</v>
      </c>
      <c r="AJ105" s="452">
        <f>'HR Track 5 HER-TSA'!AJ11</f>
        <v>0</v>
      </c>
      <c r="AK105" s="452" t="str">
        <f>'HR Track 5 HER-TSA'!AK11</f>
        <v>S2</v>
      </c>
      <c r="AL105" s="452" t="str">
        <f>'HR Track 5 HER-TSA'!AL11</f>
        <v>PR1E</v>
      </c>
      <c r="AM105" s="452" t="str">
        <f>'HR Track 5 HER-TSA'!AM11</f>
        <v>RW1</v>
      </c>
      <c r="AN105" s="500">
        <f>'HR Track 5 HER-TSA'!AN11</f>
        <v>5.15</v>
      </c>
      <c r="AO105" s="452">
        <f>'HR Track 5 HER-TSA'!AO11</f>
        <v>0</v>
      </c>
      <c r="AP105" s="452">
        <f>'HR Track 5 HER-TSA'!AP11</f>
        <v>0</v>
      </c>
      <c r="AQ105" s="500">
        <f>'HR Track 5 HER-TSA'!AQ11</f>
        <v>0</v>
      </c>
      <c r="AR105" s="500">
        <f>'HR Track 5 HER-TSA'!AR11</f>
        <v>0</v>
      </c>
      <c r="AS105" s="500">
        <f>'HR Track 5 HER-TSA'!AS11</f>
        <v>0</v>
      </c>
      <c r="AT105" s="500">
        <f>'HR Track 5 HER-TSA'!AT11</f>
        <v>-18.516574001809794</v>
      </c>
      <c r="AU105" s="452">
        <f>'HR Track 5 HER-TSA'!AU11</f>
        <v>0</v>
      </c>
      <c r="AV105" s="452">
        <f>'HR Track 5 HER-TSA'!AV11</f>
        <v>0</v>
      </c>
      <c r="AW105" s="452" t="str">
        <f>'HR Track 5 HER-TSA'!AW11</f>
        <v>Soil B</v>
      </c>
      <c r="AX105" s="452" t="str">
        <f>VLOOKUP(C105,'Foundation Calculation'!$E$2:$G$33,3,1)</f>
        <v>PT</v>
      </c>
      <c r="AY105" s="500">
        <f>'HR Track 5 HER-TSA'!AY11</f>
        <v>4.4000000000000004</v>
      </c>
      <c r="AZ105" s="500">
        <f>'HR Track 5 HER-TSA'!AZ11</f>
        <v>0</v>
      </c>
      <c r="BA105" s="1333" t="str">
        <f>'HR Track 5 HER-TSA'!BA11</f>
        <v>ü</v>
      </c>
      <c r="BB105" s="452" t="str">
        <f>'HR Track 5 HER-TSA'!BB11</f>
        <v>App.8-V08F-P10.3</v>
      </c>
      <c r="BC105" s="1334">
        <f>'HR Track 5 HER-TSA'!BC11</f>
        <v>0</v>
      </c>
      <c r="BD105" s="1335">
        <f>'HR Track 5 HER-TSA'!BD11</f>
        <v>0</v>
      </c>
      <c r="BE105" s="1335">
        <f>'HR Track 5 HER-TSA'!BE11</f>
        <v>0</v>
      </c>
      <c r="BF105" s="1335">
        <f>'HR Track 5 HER-TSA'!BF11</f>
        <v>0</v>
      </c>
      <c r="BG105" s="1335">
        <f>'HR Track 5 HER-TSA'!BG11</f>
        <v>0</v>
      </c>
    </row>
    <row r="106" spans="1:59" ht="15.75" customHeight="1">
      <c r="A106" s="501">
        <f>'HR Track 5 HER-TSA'!A12</f>
        <v>0</v>
      </c>
      <c r="B106" s="716">
        <f>'HR Track 5 HER-TSA'!B12</f>
        <v>0</v>
      </c>
      <c r="C106" s="451">
        <f>'HR Track 5 HER-TSA'!C12</f>
        <v>0</v>
      </c>
      <c r="D106" s="453">
        <f>'HR Track 5 HER-TSA'!D12</f>
        <v>0</v>
      </c>
      <c r="E106" s="452">
        <f>'HR Track 5 HER-TSA'!E12</f>
        <v>0</v>
      </c>
      <c r="F106" s="453">
        <f>'HR Track 5 HER-TSA'!F12</f>
        <v>0</v>
      </c>
      <c r="G106" s="500">
        <f>'HR Track 5 HER-TSA'!G12</f>
        <v>40</v>
      </c>
      <c r="H106" s="453">
        <f>'HR Track 5 HER-TSA'!H12</f>
        <v>0</v>
      </c>
      <c r="I106" s="1424">
        <f>'HR Track 5 HER-TSA'!I12</f>
        <v>0</v>
      </c>
      <c r="J106" s="583">
        <f>'HR Track 5 HER-TSA'!J12</f>
        <v>90625.5</v>
      </c>
      <c r="K106" s="452" t="str">
        <f>'HR Track 5 HER-TSA'!K12</f>
        <v>AnMC-R</v>
      </c>
      <c r="L106" s="452">
        <f>'HR Track 5 HER-TSA'!L12</f>
        <v>0</v>
      </c>
      <c r="M106" s="452">
        <f>'HR Track 5 HER-TSA'!M12</f>
        <v>0</v>
      </c>
      <c r="N106" s="501">
        <f>'HR Track 5 HER-TSA'!N12</f>
        <v>0</v>
      </c>
      <c r="O106" s="501">
        <f>'HR Track 5 HER-TSA'!O12</f>
        <v>0</v>
      </c>
      <c r="P106" s="501">
        <f>'HR Track 5 HER-TSA'!P12</f>
        <v>0</v>
      </c>
      <c r="Q106" s="452">
        <f>'HR Track 5 HER-TSA'!Q12</f>
        <v>0</v>
      </c>
      <c r="R106" s="452">
        <f>'HR Track 5 HER-TSA'!R12</f>
        <v>0</v>
      </c>
      <c r="S106" s="500">
        <f>'HR Track 5 HER-TSA'!S12</f>
        <v>0</v>
      </c>
      <c r="T106" s="452">
        <f>'HR Track 5 HER-TSA'!T12</f>
        <v>0</v>
      </c>
      <c r="U106" s="452">
        <f>'HR Track 5 HER-TSA'!U12</f>
        <v>0</v>
      </c>
      <c r="V106" s="452">
        <f>'HR Track 5 HER-TSA'!V12</f>
        <v>0</v>
      </c>
      <c r="W106" s="452">
        <f>'HR Track 5 HER-TSA'!W12</f>
        <v>0</v>
      </c>
      <c r="X106" s="452">
        <f>'HR Track 5 HER-TSA'!X12</f>
        <v>0</v>
      </c>
      <c r="Y106" s="452">
        <f>'HR Track 5 HER-TSA'!Y12</f>
        <v>0</v>
      </c>
      <c r="Z106" s="452">
        <f>'HR Track 5 HER-TSA'!Z12</f>
        <v>0</v>
      </c>
      <c r="AA106" s="452">
        <f>'HR Track 5 HER-TSA'!AA12</f>
        <v>0</v>
      </c>
      <c r="AB106" s="452">
        <f>'HR Track 5 HER-TSA'!AB12</f>
        <v>0</v>
      </c>
      <c r="AC106" s="452">
        <f>'HR Track 5 HER-TSA'!AC12</f>
        <v>0</v>
      </c>
      <c r="AD106" s="452">
        <f>'HR Track 5 HER-TSA'!AD12</f>
        <v>0</v>
      </c>
      <c r="AE106" s="452">
        <f>'HR Track 5 HER-TSA'!AE12</f>
        <v>0</v>
      </c>
      <c r="AF106" s="452">
        <f>'HR Track 5 HER-TSA'!AF12</f>
        <v>0</v>
      </c>
      <c r="AG106" s="451">
        <f>'HR Track 5 HER-TSA'!AG12</f>
        <v>0</v>
      </c>
      <c r="AH106" s="452">
        <f>'HR Track 5 HER-TSA'!AH12</f>
        <v>0</v>
      </c>
      <c r="AI106" s="452">
        <f>'HR Track 5 HER-TSA'!AI12</f>
        <v>0</v>
      </c>
      <c r="AJ106" s="452">
        <f>'HR Track 5 HER-TSA'!AJ12</f>
        <v>0</v>
      </c>
      <c r="AK106" s="452">
        <f>'HR Track 5 HER-TSA'!AK12</f>
        <v>0</v>
      </c>
      <c r="AL106" s="452">
        <f>'HR Track 5 HER-TSA'!AL12</f>
        <v>0</v>
      </c>
      <c r="AM106" s="452">
        <f>'HR Track 5 HER-TSA'!AM12</f>
        <v>0</v>
      </c>
      <c r="AN106" s="500">
        <f>'HR Track 5 HER-TSA'!AN12</f>
        <v>0</v>
      </c>
      <c r="AO106" s="452">
        <f>'HR Track 5 HER-TSA'!AO12</f>
        <v>0</v>
      </c>
      <c r="AP106" s="452">
        <f>'HR Track 5 HER-TSA'!AP12</f>
        <v>0</v>
      </c>
      <c r="AQ106" s="500">
        <f>'HR Track 5 HER-TSA'!AQ12</f>
        <v>-0.20000000000000004</v>
      </c>
      <c r="AR106" s="452">
        <f>'HR Track 5 HER-TSA'!AR12</f>
        <v>0</v>
      </c>
      <c r="AS106" s="452">
        <f>'HR Track 5 HER-TSA'!AS12</f>
        <v>0</v>
      </c>
      <c r="AT106" s="500">
        <f>'HR Track 5 HER-TSA'!AT12</f>
        <v>0</v>
      </c>
      <c r="AU106" s="452">
        <f>'HR Track 5 HER-TSA'!AU12</f>
        <v>0</v>
      </c>
      <c r="AV106" s="452">
        <f>'HR Track 5 HER-TSA'!AV12</f>
        <v>0</v>
      </c>
      <c r="AW106" s="452" t="str">
        <f>'HR Track 5 HER-TSA'!AW12</f>
        <v>Soil B</v>
      </c>
      <c r="AX106" s="452" t="str">
        <f>'HR Track 5 HER-TSA'!AX12</f>
        <v>PT</v>
      </c>
      <c r="AY106" s="500">
        <f>'HR Track 5 HER-TSA'!AY12</f>
        <v>0</v>
      </c>
      <c r="AZ106" s="500">
        <f>'HR Track 5 HER-TSA'!AZ12</f>
        <v>3.9</v>
      </c>
      <c r="BA106" s="1333" t="str">
        <f>'HR Track 5 HER-TSA'!BA12</f>
        <v>ü</v>
      </c>
      <c r="BB106" s="452">
        <f>'HR Track 5 HER-TSA'!BB12</f>
        <v>0</v>
      </c>
      <c r="BC106" s="1334">
        <f>'HR Track 5 HER-TSA'!BC12</f>
        <v>0</v>
      </c>
      <c r="BD106" s="1335">
        <f>'HR Track 5 HER-TSA'!BD12</f>
        <v>0</v>
      </c>
      <c r="BE106" s="1335">
        <f>'HR Track 5 HER-TSA'!BE12</f>
        <v>0</v>
      </c>
      <c r="BF106" s="1335">
        <f>'HR Track 5 HER-TSA'!BF12</f>
        <v>0</v>
      </c>
      <c r="BG106" s="1335">
        <f>'HR Track 5 HER-TSA'!BG12</f>
        <v>0</v>
      </c>
    </row>
    <row r="107" spans="1:59" ht="15.65" customHeight="1">
      <c r="B107" s="741"/>
      <c r="S107" s="454"/>
      <c r="AN107" s="454"/>
      <c r="AY107" s="454"/>
      <c r="AZ107" s="454"/>
      <c r="BA107" s="1306"/>
      <c r="BC107" s="169"/>
    </row>
    <row r="108" spans="1:59" ht="15.65" customHeight="1">
      <c r="S108" s="454"/>
      <c r="AN108" s="454"/>
      <c r="AY108" s="454"/>
      <c r="AZ108" s="454"/>
      <c r="BA108" s="1306"/>
      <c r="BC108" s="169"/>
    </row>
    <row r="109" spans="1:59" ht="15.65" customHeight="1">
      <c r="S109" s="454"/>
      <c r="AN109" s="454"/>
      <c r="AY109" s="454"/>
      <c r="AZ109" s="454"/>
      <c r="BA109" s="1306"/>
      <c r="BC109" s="169"/>
    </row>
    <row r="110" spans="1:59" ht="15.65" customHeight="1">
      <c r="S110" s="454"/>
      <c r="AN110" s="454"/>
      <c r="AY110" s="454"/>
      <c r="AZ110" s="454"/>
      <c r="BA110" s="1306"/>
      <c r="BC110" s="169"/>
    </row>
    <row r="111" spans="1:59" ht="15.65" customHeight="1">
      <c r="S111" s="454"/>
      <c r="AN111" s="454"/>
      <c r="AY111" s="454"/>
      <c r="AZ111" s="454"/>
      <c r="BA111" s="1306"/>
      <c r="BC111" s="169"/>
    </row>
    <row r="112" spans="1:59" ht="15.65" customHeight="1">
      <c r="S112" s="454"/>
      <c r="AN112" s="454"/>
      <c r="AY112" s="454"/>
      <c r="AZ112" s="454"/>
      <c r="BA112" s="1306"/>
      <c r="BC112" s="169"/>
    </row>
    <row r="113" spans="19:55" ht="15.65" customHeight="1">
      <c r="S113" s="454"/>
      <c r="AN113" s="454"/>
      <c r="AY113" s="454"/>
      <c r="AZ113" s="454"/>
      <c r="BA113" s="1306"/>
      <c r="BC113" s="169"/>
    </row>
    <row r="114" spans="19:55" ht="15.65" customHeight="1">
      <c r="S114" s="454"/>
      <c r="AN114" s="454"/>
      <c r="AY114" s="454"/>
      <c r="AZ114" s="454"/>
      <c r="BA114" s="1306"/>
      <c r="BC114" s="169"/>
    </row>
    <row r="115" spans="19:55" ht="15.65" customHeight="1">
      <c r="S115" s="454"/>
      <c r="AN115" s="454"/>
      <c r="AY115" s="454"/>
      <c r="AZ115" s="454"/>
      <c r="BA115" s="1306"/>
      <c r="BC115" s="169"/>
    </row>
    <row r="116" spans="19:55" ht="15.65" customHeight="1">
      <c r="S116" s="454"/>
      <c r="AN116" s="454"/>
      <c r="AY116" s="454"/>
      <c r="AZ116" s="454"/>
      <c r="BA116" s="1306"/>
      <c r="BC116" s="169"/>
    </row>
    <row r="117" spans="19:55">
      <c r="S117" s="454"/>
      <c r="AN117" s="454"/>
      <c r="AY117" s="454"/>
      <c r="AZ117" s="454"/>
      <c r="BA117" s="1306"/>
      <c r="BC117" s="169"/>
    </row>
    <row r="118" spans="19:55">
      <c r="S118" s="454"/>
      <c r="AN118" s="454"/>
      <c r="AY118" s="454"/>
      <c r="AZ118" s="454"/>
      <c r="BA118" s="1306"/>
      <c r="BC118" s="169"/>
    </row>
    <row r="119" spans="19:55">
      <c r="S119" s="454"/>
      <c r="AN119" s="454"/>
      <c r="AY119" s="454"/>
      <c r="AZ119" s="454"/>
      <c r="BA119" s="1306"/>
      <c r="BC119" s="169"/>
    </row>
    <row r="120" spans="19:55">
      <c r="S120" s="454"/>
      <c r="AN120" s="454"/>
      <c r="AY120" s="454"/>
      <c r="AZ120" s="454"/>
      <c r="BA120" s="1306"/>
      <c r="BC120" s="169"/>
    </row>
    <row r="121" spans="19:55">
      <c r="S121" s="454"/>
      <c r="AN121" s="454"/>
      <c r="AY121" s="454"/>
      <c r="AZ121" s="454"/>
      <c r="BA121" s="1306"/>
      <c r="BC121" s="169"/>
    </row>
    <row r="122" spans="19:55">
      <c r="S122" s="454"/>
      <c r="AN122" s="454"/>
      <c r="AY122" s="454"/>
      <c r="AZ122" s="454"/>
      <c r="BA122" s="1306"/>
      <c r="BC122" s="169"/>
    </row>
    <row r="123" spans="19:55">
      <c r="S123" s="454"/>
      <c r="AN123" s="454"/>
      <c r="AY123" s="454"/>
      <c r="AZ123" s="454"/>
      <c r="BA123" s="1306"/>
      <c r="BC123" s="169"/>
    </row>
    <row r="124" spans="19:55">
      <c r="S124" s="454"/>
      <c r="AN124" s="454"/>
      <c r="AY124" s="454"/>
      <c r="AZ124" s="454"/>
      <c r="BA124" s="1306"/>
      <c r="BC124" s="169"/>
    </row>
    <row r="125" spans="19:55">
      <c r="S125" s="454"/>
      <c r="AN125" s="454"/>
      <c r="AY125" s="454"/>
      <c r="AZ125" s="454"/>
      <c r="BA125" s="1306"/>
      <c r="BC125" s="169"/>
    </row>
    <row r="126" spans="19:55">
      <c r="S126" s="454"/>
      <c r="AN126" s="454"/>
      <c r="AY126" s="454"/>
      <c r="AZ126" s="454"/>
      <c r="BA126" s="1306"/>
      <c r="BC126" s="169"/>
    </row>
    <row r="127" spans="19:55">
      <c r="S127" s="454"/>
      <c r="AN127" s="454"/>
      <c r="AY127" s="454"/>
      <c r="AZ127" s="454"/>
      <c r="BA127" s="1306"/>
      <c r="BC127" s="169"/>
    </row>
    <row r="128" spans="19:55">
      <c r="S128" s="454"/>
      <c r="AN128" s="454"/>
      <c r="AY128" s="454"/>
      <c r="AZ128" s="454"/>
      <c r="BA128" s="1306"/>
      <c r="BC128" s="169"/>
    </row>
    <row r="129" spans="19:55">
      <c r="S129" s="454"/>
      <c r="AN129" s="454"/>
      <c r="AY129" s="454"/>
      <c r="AZ129" s="454"/>
      <c r="BA129" s="1306"/>
      <c r="BC129" s="169"/>
    </row>
    <row r="130" spans="19:55">
      <c r="S130" s="454"/>
      <c r="AN130" s="454"/>
      <c r="AY130" s="454"/>
      <c r="AZ130" s="454"/>
      <c r="BA130" s="1306"/>
      <c r="BC130" s="169"/>
    </row>
    <row r="131" spans="19:55">
      <c r="S131" s="454"/>
      <c r="AN131" s="454"/>
      <c r="AY131" s="454"/>
      <c r="AZ131" s="454"/>
      <c r="BA131" s="1306"/>
      <c r="BC131" s="169"/>
    </row>
    <row r="132" spans="19:55">
      <c r="S132" s="454"/>
      <c r="AN132" s="454"/>
      <c r="AY132" s="454"/>
      <c r="AZ132" s="454"/>
      <c r="BA132" s="1306"/>
      <c r="BC132" s="169"/>
    </row>
    <row r="133" spans="19:55">
      <c r="S133" s="454"/>
      <c r="AN133" s="454"/>
      <c r="AY133" s="454"/>
      <c r="AZ133" s="454"/>
      <c r="BA133" s="1306"/>
      <c r="BC133" s="169"/>
    </row>
    <row r="134" spans="19:55">
      <c r="S134" s="454"/>
      <c r="AN134" s="454"/>
      <c r="AY134" s="454"/>
      <c r="AZ134" s="454"/>
      <c r="BA134" s="1306"/>
      <c r="BC134" s="169"/>
    </row>
    <row r="135" spans="19:55">
      <c r="S135" s="454"/>
      <c r="AN135" s="454"/>
      <c r="AY135" s="454"/>
      <c r="AZ135" s="454"/>
      <c r="BA135" s="1306"/>
      <c r="BC135" s="169"/>
    </row>
    <row r="136" spans="19:55">
      <c r="S136" s="454"/>
      <c r="AN136" s="454"/>
      <c r="AY136" s="454"/>
      <c r="AZ136" s="454"/>
      <c r="BA136" s="1306"/>
      <c r="BC136" s="169"/>
    </row>
    <row r="137" spans="19:55">
      <c r="S137" s="454"/>
      <c r="AN137" s="454"/>
      <c r="AY137" s="454"/>
      <c r="AZ137" s="454"/>
      <c r="BA137" s="1306"/>
      <c r="BC137" s="169"/>
    </row>
    <row r="138" spans="19:55">
      <c r="S138" s="454"/>
      <c r="AN138" s="454"/>
      <c r="AY138" s="454"/>
      <c r="AZ138" s="454"/>
      <c r="BA138" s="1306"/>
      <c r="BC138" s="169"/>
    </row>
    <row r="139" spans="19:55">
      <c r="S139" s="454"/>
      <c r="AN139" s="454"/>
      <c r="AY139" s="454"/>
      <c r="AZ139" s="454"/>
      <c r="BA139" s="1306"/>
      <c r="BC139" s="169"/>
    </row>
    <row r="140" spans="19:55">
      <c r="S140" s="454"/>
      <c r="AN140" s="454"/>
      <c r="AY140" s="454"/>
      <c r="AZ140" s="454"/>
      <c r="BA140" s="1306"/>
      <c r="BC140" s="169"/>
    </row>
    <row r="141" spans="19:55">
      <c r="S141" s="454"/>
      <c r="AN141" s="454"/>
      <c r="AY141" s="454"/>
      <c r="AZ141" s="454"/>
      <c r="BA141" s="1306"/>
      <c r="BC141" s="169"/>
    </row>
    <row r="142" spans="19:55">
      <c r="S142" s="454"/>
      <c r="AN142" s="454"/>
      <c r="AY142" s="454"/>
      <c r="AZ142" s="454"/>
      <c r="BA142" s="1306"/>
      <c r="BC142" s="169"/>
    </row>
    <row r="143" spans="19:55">
      <c r="S143" s="454"/>
      <c r="AN143" s="454"/>
      <c r="AY143" s="454"/>
      <c r="AZ143" s="454"/>
      <c r="BA143" s="1306"/>
      <c r="BC143" s="169"/>
    </row>
    <row r="144" spans="19:55">
      <c r="S144" s="454"/>
      <c r="AN144" s="454"/>
      <c r="AY144" s="454"/>
      <c r="AZ144" s="454"/>
      <c r="BA144" s="1306"/>
      <c r="BC144" s="169"/>
    </row>
    <row r="145" spans="19:55">
      <c r="S145" s="454"/>
      <c r="AN145" s="454"/>
      <c r="AY145" s="454"/>
      <c r="AZ145" s="454"/>
      <c r="BA145" s="1306"/>
      <c r="BC145" s="169"/>
    </row>
    <row r="146" spans="19:55">
      <c r="S146" s="454"/>
      <c r="AN146" s="454"/>
      <c r="AY146" s="454"/>
      <c r="AZ146" s="454"/>
      <c r="BA146" s="1306"/>
      <c r="BC146" s="169"/>
    </row>
    <row r="147" spans="19:55">
      <c r="S147" s="454"/>
      <c r="AN147" s="454"/>
      <c r="AY147" s="454"/>
      <c r="AZ147" s="454"/>
      <c r="BA147" s="1306"/>
      <c r="BC147" s="169"/>
    </row>
    <row r="148" spans="19:55">
      <c r="S148" s="454"/>
      <c r="AN148" s="454"/>
      <c r="AY148" s="454"/>
      <c r="AZ148" s="454"/>
      <c r="BA148" s="1306"/>
      <c r="BC148" s="169"/>
    </row>
    <row r="149" spans="19:55">
      <c r="S149" s="454"/>
      <c r="AN149" s="454"/>
      <c r="AY149" s="454"/>
      <c r="AZ149" s="454"/>
      <c r="BA149" s="1306"/>
      <c r="BC149" s="169"/>
    </row>
    <row r="150" spans="19:55">
      <c r="S150" s="454"/>
      <c r="AN150" s="454"/>
      <c r="AY150" s="454"/>
      <c r="AZ150" s="454"/>
      <c r="BA150" s="1306"/>
      <c r="BC150" s="169"/>
    </row>
    <row r="151" spans="19:55">
      <c r="S151" s="454"/>
      <c r="AN151" s="454"/>
      <c r="AY151" s="454"/>
      <c r="AZ151" s="454"/>
      <c r="BA151" s="1306"/>
      <c r="BC151" s="169"/>
    </row>
    <row r="152" spans="19:55">
      <c r="S152" s="454"/>
      <c r="AN152" s="454"/>
      <c r="AY152" s="454"/>
      <c r="AZ152" s="454"/>
      <c r="BA152" s="1306"/>
      <c r="BC152" s="169"/>
    </row>
    <row r="153" spans="19:55">
      <c r="S153" s="454"/>
      <c r="AN153" s="454"/>
      <c r="AY153" s="454"/>
      <c r="AZ153" s="454"/>
      <c r="BA153" s="1306"/>
      <c r="BC153" s="169"/>
    </row>
    <row r="154" spans="19:55">
      <c r="S154" s="454"/>
      <c r="AN154" s="454"/>
      <c r="AY154" s="454"/>
      <c r="AZ154" s="454"/>
      <c r="BA154" s="1306"/>
      <c r="BC154" s="169"/>
    </row>
    <row r="155" spans="19:55">
      <c r="S155" s="454"/>
      <c r="AN155" s="454"/>
      <c r="AY155" s="454"/>
      <c r="AZ155" s="454"/>
      <c r="BA155" s="1306"/>
      <c r="BC155" s="169"/>
    </row>
    <row r="156" spans="19:55">
      <c r="S156" s="454"/>
      <c r="AN156" s="454"/>
      <c r="AY156" s="454"/>
      <c r="AZ156" s="454"/>
      <c r="BA156" s="1306"/>
      <c r="BC156" s="169"/>
    </row>
    <row r="157" spans="19:55">
      <c r="S157" s="454"/>
      <c r="AN157" s="454"/>
      <c r="AY157" s="454"/>
      <c r="AZ157" s="454"/>
      <c r="BA157" s="1306"/>
      <c r="BC157" s="169"/>
    </row>
    <row r="158" spans="19:55">
      <c r="S158" s="454"/>
      <c r="AN158" s="454"/>
      <c r="AY158" s="454"/>
      <c r="AZ158" s="454"/>
      <c r="BA158" s="1306"/>
      <c r="BC158" s="169"/>
    </row>
    <row r="159" spans="19:55">
      <c r="S159" s="454"/>
      <c r="AN159" s="454"/>
      <c r="AY159" s="454"/>
      <c r="AZ159" s="454"/>
      <c r="BA159" s="1306"/>
      <c r="BC159" s="169"/>
    </row>
    <row r="160" spans="19:55">
      <c r="S160" s="454"/>
      <c r="AN160" s="454"/>
      <c r="AY160" s="454"/>
      <c r="AZ160" s="454"/>
      <c r="BA160" s="1306"/>
      <c r="BC160" s="169"/>
    </row>
    <row r="161" spans="19:55">
      <c r="S161" s="454"/>
      <c r="AN161" s="454"/>
      <c r="AY161" s="454"/>
      <c r="AZ161" s="454"/>
      <c r="BA161" s="1306"/>
      <c r="BC161" s="169"/>
    </row>
    <row r="162" spans="19:55">
      <c r="S162" s="454"/>
      <c r="AN162" s="454"/>
      <c r="AY162" s="454"/>
      <c r="AZ162" s="454"/>
      <c r="BA162" s="1306"/>
      <c r="BC162" s="169"/>
    </row>
    <row r="163" spans="19:55">
      <c r="S163" s="454"/>
      <c r="AN163" s="454"/>
      <c r="AY163" s="454"/>
      <c r="AZ163" s="454"/>
      <c r="BA163" s="1306"/>
      <c r="BC163" s="169"/>
    </row>
    <row r="164" spans="19:55">
      <c r="S164" s="454"/>
      <c r="AN164" s="454"/>
      <c r="AY164" s="454"/>
      <c r="AZ164" s="454"/>
      <c r="BA164" s="1306"/>
      <c r="BC164" s="169"/>
    </row>
    <row r="165" spans="19:55">
      <c r="S165" s="454"/>
      <c r="AN165" s="454"/>
      <c r="AY165" s="454"/>
      <c r="AZ165" s="454"/>
      <c r="BA165" s="1306"/>
      <c r="BC165" s="169"/>
    </row>
    <row r="166" spans="19:55">
      <c r="S166" s="454"/>
      <c r="AN166" s="454"/>
      <c r="AY166" s="454"/>
      <c r="AZ166" s="454"/>
      <c r="BA166" s="1306"/>
      <c r="BC166" s="169"/>
    </row>
    <row r="167" spans="19:55">
      <c r="S167" s="454"/>
      <c r="AN167" s="454"/>
      <c r="AY167" s="454"/>
      <c r="AZ167" s="454"/>
      <c r="BA167" s="1306"/>
      <c r="BC167" s="169"/>
    </row>
    <row r="168" spans="19:55">
      <c r="S168" s="454"/>
      <c r="AN168" s="454"/>
      <c r="AY168" s="454"/>
      <c r="AZ168" s="454"/>
      <c r="BA168" s="1306"/>
      <c r="BC168" s="169"/>
    </row>
    <row r="169" spans="19:55">
      <c r="S169" s="454"/>
      <c r="AN169" s="454"/>
      <c r="AY169" s="454"/>
      <c r="AZ169" s="454"/>
      <c r="BA169" s="1306"/>
      <c r="BC169" s="169"/>
    </row>
    <row r="170" spans="19:55">
      <c r="S170" s="454"/>
      <c r="AN170" s="454"/>
      <c r="AY170" s="454"/>
      <c r="AZ170" s="454"/>
      <c r="BA170" s="1306"/>
      <c r="BC170" s="169"/>
    </row>
    <row r="171" spans="19:55">
      <c r="S171" s="454"/>
      <c r="AN171" s="454"/>
      <c r="AY171" s="454"/>
      <c r="AZ171" s="454"/>
      <c r="BA171" s="1306"/>
      <c r="BC171" s="169"/>
    </row>
    <row r="172" spans="19:55">
      <c r="S172" s="454"/>
      <c r="AN172" s="454"/>
      <c r="AY172" s="454"/>
      <c r="AZ172" s="454"/>
      <c r="BA172" s="1306"/>
      <c r="BC172" s="169"/>
    </row>
    <row r="173" spans="19:55">
      <c r="S173" s="454"/>
      <c r="AN173" s="454"/>
      <c r="AY173" s="454"/>
      <c r="AZ173" s="454"/>
      <c r="BA173" s="1306"/>
      <c r="BC173" s="169"/>
    </row>
    <row r="174" spans="19:55">
      <c r="S174" s="454"/>
      <c r="AN174" s="454"/>
      <c r="AY174" s="454"/>
      <c r="AZ174" s="454"/>
      <c r="BA174" s="1306"/>
      <c r="BC174" s="169"/>
    </row>
    <row r="175" spans="19:55">
      <c r="S175" s="454"/>
      <c r="AN175" s="454"/>
      <c r="AY175" s="454"/>
      <c r="AZ175" s="454"/>
      <c r="BA175" s="1306"/>
      <c r="BC175" s="169"/>
    </row>
    <row r="176" spans="19:55">
      <c r="S176" s="454"/>
      <c r="AN176" s="454"/>
      <c r="AY176" s="454"/>
      <c r="AZ176" s="454"/>
      <c r="BA176" s="1306"/>
      <c r="BC176" s="169"/>
    </row>
    <row r="177" spans="19:55">
      <c r="S177" s="454"/>
      <c r="AN177" s="454"/>
      <c r="AY177" s="454"/>
      <c r="AZ177" s="454"/>
      <c r="BA177" s="1306"/>
      <c r="BC177" s="169"/>
    </row>
    <row r="178" spans="19:55">
      <c r="S178" s="454"/>
      <c r="AN178" s="454"/>
      <c r="AY178" s="454"/>
      <c r="AZ178" s="454"/>
      <c r="BA178" s="1306"/>
      <c r="BC178" s="169"/>
    </row>
    <row r="179" spans="19:55">
      <c r="S179" s="454"/>
      <c r="AN179" s="454"/>
      <c r="AY179" s="454"/>
      <c r="AZ179" s="454"/>
      <c r="BA179" s="1306"/>
      <c r="BC179" s="169"/>
    </row>
    <row r="180" spans="19:55">
      <c r="S180" s="454"/>
      <c r="AN180" s="454"/>
      <c r="AY180" s="454"/>
      <c r="AZ180" s="454"/>
      <c r="BA180" s="1306"/>
      <c r="BC180" s="169"/>
    </row>
    <row r="181" spans="19:55">
      <c r="S181" s="454"/>
      <c r="AN181" s="454"/>
      <c r="AY181" s="454"/>
      <c r="AZ181" s="454"/>
      <c r="BA181" s="1306"/>
      <c r="BC181" s="169"/>
    </row>
    <row r="182" spans="19:55">
      <c r="S182" s="454"/>
      <c r="AN182" s="454"/>
      <c r="AY182" s="454"/>
      <c r="AZ182" s="454"/>
      <c r="BA182" s="1306"/>
      <c r="BC182" s="169"/>
    </row>
    <row r="183" spans="19:55">
      <c r="S183" s="454"/>
      <c r="AN183" s="454"/>
      <c r="AY183" s="454"/>
      <c r="AZ183" s="454"/>
      <c r="BA183" s="1306"/>
      <c r="BC183" s="169"/>
    </row>
    <row r="184" spans="19:55">
      <c r="S184" s="454"/>
      <c r="AN184" s="454"/>
      <c r="AY184" s="454"/>
      <c r="AZ184" s="454"/>
      <c r="BA184" s="1306"/>
      <c r="BC184" s="169"/>
    </row>
    <row r="185" spans="19:55">
      <c r="S185" s="454"/>
      <c r="AN185" s="454"/>
      <c r="AY185" s="454"/>
      <c r="AZ185" s="454"/>
      <c r="BA185" s="1306"/>
      <c r="BC185" s="169"/>
    </row>
    <row r="186" spans="19:55">
      <c r="S186" s="454"/>
      <c r="AN186" s="454"/>
      <c r="AY186" s="454"/>
      <c r="AZ186" s="454"/>
      <c r="BA186" s="1306"/>
      <c r="BC186" s="169"/>
    </row>
    <row r="187" spans="19:55">
      <c r="S187" s="454"/>
      <c r="AN187" s="454"/>
      <c r="AY187" s="454"/>
      <c r="AZ187" s="454"/>
      <c r="BA187" s="1306"/>
      <c r="BC187" s="169"/>
    </row>
    <row r="188" spans="19:55">
      <c r="S188" s="454"/>
      <c r="AN188" s="454"/>
      <c r="AY188" s="454"/>
      <c r="AZ188" s="454"/>
      <c r="BA188" s="1306"/>
      <c r="BC188" s="169"/>
    </row>
    <row r="189" spans="19:55">
      <c r="S189" s="454"/>
      <c r="AN189" s="454"/>
      <c r="AY189" s="454"/>
      <c r="AZ189" s="454"/>
      <c r="BA189" s="1306"/>
      <c r="BC189" s="169"/>
    </row>
    <row r="190" spans="19:55">
      <c r="S190" s="454"/>
      <c r="AN190" s="454"/>
      <c r="AY190" s="454"/>
      <c r="AZ190" s="454"/>
      <c r="BA190" s="1306"/>
      <c r="BC190" s="169"/>
    </row>
    <row r="191" spans="19:55">
      <c r="S191" s="454"/>
      <c r="AN191" s="454"/>
      <c r="AY191" s="454"/>
      <c r="AZ191" s="454"/>
      <c r="BA191" s="1306"/>
      <c r="BC191" s="169"/>
    </row>
    <row r="192" spans="19:55">
      <c r="S192" s="454"/>
      <c r="AN192" s="454"/>
      <c r="AY192" s="454"/>
      <c r="AZ192" s="454"/>
      <c r="BA192" s="1306"/>
      <c r="BC192" s="169"/>
    </row>
    <row r="193" spans="19:55">
      <c r="S193" s="454"/>
      <c r="AN193" s="454"/>
      <c r="AY193" s="454"/>
      <c r="AZ193" s="454"/>
      <c r="BA193" s="1306"/>
      <c r="BC193" s="169"/>
    </row>
    <row r="194" spans="19:55">
      <c r="S194" s="454"/>
      <c r="AN194" s="454"/>
      <c r="AY194" s="454"/>
      <c r="AZ194" s="454"/>
      <c r="BA194" s="1306"/>
      <c r="BC194" s="169"/>
    </row>
    <row r="195" spans="19:55">
      <c r="S195" s="454"/>
      <c r="AN195" s="454"/>
      <c r="AY195" s="454"/>
      <c r="AZ195" s="454"/>
      <c r="BA195" s="1306"/>
      <c r="BC195" s="169"/>
    </row>
    <row r="196" spans="19:55">
      <c r="S196" s="454"/>
      <c r="AN196" s="454"/>
      <c r="AY196" s="454"/>
      <c r="AZ196" s="454"/>
      <c r="BA196" s="1306"/>
      <c r="BC196" s="169"/>
    </row>
    <row r="197" spans="19:55">
      <c r="S197" s="454"/>
      <c r="AN197" s="454"/>
      <c r="AY197" s="454"/>
      <c r="AZ197" s="454"/>
      <c r="BA197" s="1306"/>
      <c r="BC197" s="169"/>
    </row>
    <row r="198" spans="19:55">
      <c r="S198" s="454"/>
      <c r="AN198" s="454"/>
      <c r="AY198" s="454"/>
      <c r="AZ198" s="454"/>
      <c r="BA198" s="1306"/>
      <c r="BC198" s="169"/>
    </row>
    <row r="199" spans="19:55">
      <c r="S199" s="454"/>
      <c r="AN199" s="454"/>
      <c r="AY199" s="454"/>
      <c r="AZ199" s="454"/>
      <c r="BA199" s="1306"/>
      <c r="BC199" s="169"/>
    </row>
    <row r="200" spans="19:55">
      <c r="S200" s="454"/>
      <c r="AN200" s="454"/>
      <c r="AY200" s="454"/>
      <c r="AZ200" s="454"/>
      <c r="BA200" s="1306"/>
      <c r="BC200" s="169"/>
    </row>
    <row r="201" spans="19:55">
      <c r="S201" s="454"/>
      <c r="AN201" s="454"/>
      <c r="AY201" s="454"/>
      <c r="AZ201" s="454"/>
      <c r="BA201" s="1306"/>
      <c r="BC201" s="169"/>
    </row>
    <row r="202" spans="19:55">
      <c r="S202" s="454"/>
      <c r="AN202" s="454"/>
      <c r="AY202" s="454"/>
      <c r="AZ202" s="454"/>
      <c r="BA202" s="1306"/>
      <c r="BC202" s="169"/>
    </row>
    <row r="203" spans="19:55">
      <c r="S203" s="454"/>
      <c r="AN203" s="454"/>
      <c r="AY203" s="454"/>
      <c r="AZ203" s="454"/>
      <c r="BA203" s="1306"/>
      <c r="BC203" s="169"/>
    </row>
    <row r="204" spans="19:55">
      <c r="S204" s="454"/>
      <c r="AN204" s="454"/>
      <c r="AY204" s="454"/>
      <c r="AZ204" s="454"/>
      <c r="BA204" s="1306"/>
      <c r="BC204" s="169"/>
    </row>
    <row r="205" spans="19:55">
      <c r="S205" s="454"/>
      <c r="AN205" s="454"/>
      <c r="AY205" s="454"/>
      <c r="AZ205" s="454"/>
      <c r="BA205" s="1306"/>
      <c r="BC205" s="169"/>
    </row>
    <row r="206" spans="19:55">
      <c r="S206" s="454"/>
      <c r="AN206" s="454"/>
      <c r="AY206" s="454"/>
      <c r="AZ206" s="454"/>
      <c r="BA206" s="1306"/>
      <c r="BC206" s="169"/>
    </row>
    <row r="207" spans="19:55">
      <c r="S207" s="454"/>
      <c r="AN207" s="454"/>
      <c r="AY207" s="454"/>
      <c r="AZ207" s="454"/>
      <c r="BA207" s="1306"/>
      <c r="BC207" s="169"/>
    </row>
    <row r="208" spans="19:55">
      <c r="S208" s="454"/>
      <c r="AN208" s="454"/>
      <c r="AY208" s="454"/>
      <c r="AZ208" s="454"/>
      <c r="BA208" s="1306"/>
      <c r="BC208" s="169"/>
    </row>
    <row r="209" spans="19:55">
      <c r="S209" s="454"/>
      <c r="AN209" s="454"/>
      <c r="AY209" s="454"/>
      <c r="AZ209" s="454"/>
      <c r="BA209" s="1306"/>
      <c r="BC209" s="169"/>
    </row>
    <row r="210" spans="19:55">
      <c r="S210" s="454"/>
      <c r="AN210" s="454"/>
      <c r="AY210" s="454"/>
      <c r="AZ210" s="454"/>
      <c r="BA210" s="1306"/>
      <c r="BC210" s="169"/>
    </row>
    <row r="211" spans="19:55">
      <c r="S211" s="454"/>
      <c r="AN211" s="454"/>
      <c r="AY211" s="454"/>
      <c r="AZ211" s="454"/>
      <c r="BA211" s="1306"/>
      <c r="BC211" s="169"/>
    </row>
    <row r="212" spans="19:55">
      <c r="S212" s="454"/>
      <c r="AN212" s="454"/>
      <c r="AY212" s="454"/>
      <c r="AZ212" s="454"/>
      <c r="BA212" s="1306"/>
      <c r="BC212" s="169"/>
    </row>
    <row r="213" spans="19:55">
      <c r="S213" s="454"/>
      <c r="AN213" s="454"/>
      <c r="AY213" s="454"/>
      <c r="AZ213" s="454"/>
      <c r="BA213" s="1306"/>
      <c r="BC213" s="169"/>
    </row>
    <row r="214" spans="19:55">
      <c r="S214" s="454"/>
      <c r="AN214" s="454"/>
      <c r="AY214" s="454"/>
      <c r="AZ214" s="454"/>
      <c r="BA214" s="1306"/>
      <c r="BC214" s="169"/>
    </row>
    <row r="215" spans="19:55">
      <c r="S215" s="454"/>
      <c r="AN215" s="454"/>
      <c r="AY215" s="454"/>
      <c r="AZ215" s="454"/>
      <c r="BA215" s="1306"/>
      <c r="BC215" s="169"/>
    </row>
    <row r="216" spans="19:55">
      <c r="S216" s="454"/>
      <c r="AN216" s="454"/>
      <c r="AY216" s="454"/>
      <c r="AZ216" s="454"/>
      <c r="BA216" s="1306"/>
      <c r="BC216" s="169"/>
    </row>
    <row r="217" spans="19:55">
      <c r="S217" s="454"/>
      <c r="AN217" s="454"/>
      <c r="AY217" s="454"/>
      <c r="AZ217" s="454"/>
      <c r="BA217" s="1306"/>
      <c r="BC217" s="169"/>
    </row>
    <row r="218" spans="19:55">
      <c r="S218" s="454"/>
      <c r="AN218" s="454"/>
      <c r="AY218" s="454"/>
      <c r="AZ218" s="454"/>
      <c r="BA218" s="1306"/>
      <c r="BC218" s="169"/>
    </row>
    <row r="219" spans="19:55">
      <c r="S219" s="454"/>
      <c r="AN219" s="454"/>
      <c r="AY219" s="454"/>
      <c r="AZ219" s="454"/>
      <c r="BA219" s="1306"/>
      <c r="BC219" s="169"/>
    </row>
    <row r="220" spans="19:55">
      <c r="S220" s="454"/>
      <c r="AN220" s="454"/>
      <c r="AY220" s="454"/>
      <c r="AZ220" s="454"/>
      <c r="BA220" s="1306"/>
      <c r="BC220" s="169"/>
    </row>
    <row r="221" spans="19:55">
      <c r="S221" s="454"/>
      <c r="AN221" s="454"/>
      <c r="AY221" s="454"/>
      <c r="AZ221" s="454"/>
      <c r="BA221" s="1306"/>
      <c r="BC221" s="169"/>
    </row>
    <row r="222" spans="19:55">
      <c r="S222" s="454"/>
      <c r="AN222" s="454"/>
      <c r="AY222" s="454"/>
      <c r="AZ222" s="454"/>
      <c r="BA222" s="1306"/>
      <c r="BC222" s="169"/>
    </row>
    <row r="223" spans="19:55">
      <c r="S223" s="454"/>
      <c r="AN223" s="454"/>
      <c r="AY223" s="454"/>
      <c r="AZ223" s="454"/>
      <c r="BA223" s="1306"/>
      <c r="BC223" s="169"/>
    </row>
    <row r="224" spans="19:55">
      <c r="S224" s="454"/>
      <c r="AN224" s="454"/>
      <c r="AY224" s="454"/>
      <c r="AZ224" s="454"/>
      <c r="BA224" s="1306"/>
      <c r="BC224" s="169"/>
    </row>
    <row r="225" spans="19:55">
      <c r="S225" s="454"/>
      <c r="AN225" s="454"/>
      <c r="AY225" s="454"/>
      <c r="AZ225" s="454"/>
      <c r="BA225" s="1306"/>
      <c r="BC225" s="169"/>
    </row>
    <row r="226" spans="19:55">
      <c r="S226" s="454"/>
      <c r="AN226" s="454"/>
      <c r="AY226" s="454"/>
      <c r="AZ226" s="454"/>
      <c r="BA226" s="1306"/>
      <c r="BC226" s="169"/>
    </row>
    <row r="227" spans="19:55">
      <c r="S227" s="454"/>
      <c r="AN227" s="454"/>
      <c r="AY227" s="454"/>
      <c r="AZ227" s="454"/>
      <c r="BA227" s="1306"/>
      <c r="BC227" s="169"/>
    </row>
    <row r="228" spans="19:55">
      <c r="S228" s="454"/>
      <c r="AN228" s="454"/>
      <c r="AY228" s="454"/>
      <c r="AZ228" s="454"/>
      <c r="BA228" s="1306"/>
      <c r="BC228" s="169"/>
    </row>
    <row r="229" spans="19:55">
      <c r="S229" s="454"/>
      <c r="AN229" s="454"/>
      <c r="AY229" s="454"/>
      <c r="AZ229" s="454"/>
      <c r="BA229" s="1306"/>
      <c r="BC229" s="169"/>
    </row>
    <row r="230" spans="19:55">
      <c r="S230" s="454"/>
      <c r="AN230" s="454"/>
      <c r="AY230" s="454"/>
      <c r="AZ230" s="454"/>
      <c r="BA230" s="1306"/>
      <c r="BC230" s="169"/>
    </row>
    <row r="231" spans="19:55">
      <c r="S231" s="454"/>
      <c r="AN231" s="454"/>
      <c r="AY231" s="454"/>
      <c r="AZ231" s="454"/>
      <c r="BA231" s="1306"/>
      <c r="BC231" s="169"/>
    </row>
    <row r="232" spans="19:55">
      <c r="S232" s="454"/>
      <c r="AN232" s="454"/>
      <c r="AY232" s="454"/>
      <c r="AZ232" s="454"/>
      <c r="BA232" s="1306"/>
      <c r="BC232" s="169"/>
    </row>
    <row r="233" spans="19:55">
      <c r="S233" s="454"/>
      <c r="AN233" s="454"/>
      <c r="AY233" s="454"/>
      <c r="AZ233" s="454"/>
      <c r="BA233" s="1306"/>
      <c r="BC233" s="169"/>
    </row>
    <row r="234" spans="19:55">
      <c r="S234" s="454"/>
      <c r="AN234" s="454"/>
      <c r="AY234" s="454"/>
      <c r="AZ234" s="454"/>
      <c r="BA234" s="1306"/>
      <c r="BC234" s="169"/>
    </row>
    <row r="235" spans="19:55">
      <c r="S235" s="454"/>
      <c r="AN235" s="454"/>
      <c r="AY235" s="454"/>
      <c r="AZ235" s="454"/>
      <c r="BA235" s="1306"/>
      <c r="BC235" s="169"/>
    </row>
    <row r="236" spans="19:55">
      <c r="S236" s="454"/>
      <c r="AN236" s="454"/>
      <c r="AY236" s="454"/>
      <c r="AZ236" s="454"/>
      <c r="BA236" s="1306"/>
      <c r="BC236" s="169"/>
    </row>
    <row r="237" spans="19:55">
      <c r="S237" s="454"/>
      <c r="AN237" s="454"/>
      <c r="AY237" s="454"/>
      <c r="AZ237" s="454"/>
      <c r="BA237" s="1306"/>
      <c r="BC237" s="169"/>
    </row>
    <row r="238" spans="19:55">
      <c r="S238" s="454"/>
      <c r="AN238" s="454"/>
      <c r="AY238" s="454"/>
      <c r="AZ238" s="454"/>
      <c r="BA238" s="1306"/>
      <c r="BC238" s="169"/>
    </row>
    <row r="239" spans="19:55">
      <c r="S239" s="454"/>
      <c r="AN239" s="454"/>
      <c r="AY239" s="454"/>
      <c r="AZ239" s="454"/>
      <c r="BA239" s="1306"/>
      <c r="BC239" s="169"/>
    </row>
    <row r="240" spans="19:55">
      <c r="S240" s="454"/>
      <c r="AN240" s="454"/>
      <c r="AY240" s="454"/>
      <c r="AZ240" s="454"/>
      <c r="BA240" s="1306"/>
      <c r="BC240" s="169"/>
    </row>
    <row r="241" spans="19:55">
      <c r="S241" s="454"/>
      <c r="AN241" s="454"/>
      <c r="AY241" s="454"/>
      <c r="AZ241" s="454"/>
      <c r="BA241" s="1306"/>
      <c r="BC241" s="169"/>
    </row>
    <row r="242" spans="19:55">
      <c r="S242" s="454"/>
      <c r="AN242" s="454"/>
      <c r="AY242" s="454"/>
      <c r="AZ242" s="454"/>
      <c r="BA242" s="1306"/>
      <c r="BC242" s="169"/>
    </row>
    <row r="243" spans="19:55">
      <c r="S243" s="454"/>
      <c r="AN243" s="454"/>
      <c r="AY243" s="454"/>
      <c r="AZ243" s="454"/>
      <c r="BA243" s="1306"/>
      <c r="BC243" s="169"/>
    </row>
    <row r="244" spans="19:55">
      <c r="S244" s="454"/>
      <c r="AN244" s="454"/>
      <c r="AY244" s="454"/>
      <c r="AZ244" s="454"/>
      <c r="BA244" s="1306"/>
      <c r="BC244" s="169"/>
    </row>
    <row r="245" spans="19:55">
      <c r="S245" s="454"/>
      <c r="AN245" s="454"/>
      <c r="AY245" s="454"/>
      <c r="AZ245" s="454"/>
      <c r="BA245" s="1306"/>
      <c r="BC245" s="169"/>
    </row>
    <row r="246" spans="19:55">
      <c r="S246" s="454"/>
      <c r="AN246" s="454"/>
      <c r="AY246" s="454"/>
      <c r="AZ246" s="454"/>
      <c r="BA246" s="1306"/>
      <c r="BC246" s="169"/>
    </row>
    <row r="247" spans="19:55">
      <c r="S247" s="454"/>
      <c r="AN247" s="454"/>
      <c r="AY247" s="454"/>
      <c r="AZ247" s="454"/>
      <c r="BA247" s="1306"/>
      <c r="BC247" s="169"/>
    </row>
    <row r="248" spans="19:55">
      <c r="S248" s="454"/>
      <c r="AN248" s="454"/>
      <c r="AY248" s="454"/>
      <c r="AZ248" s="454"/>
      <c r="BA248" s="1306"/>
      <c r="BC248" s="169"/>
    </row>
    <row r="249" spans="19:55">
      <c r="S249" s="454"/>
      <c r="AN249" s="454"/>
      <c r="AY249" s="454"/>
      <c r="AZ249" s="454"/>
      <c r="BA249" s="1306"/>
      <c r="BC249" s="169"/>
    </row>
    <row r="250" spans="19:55">
      <c r="S250" s="454"/>
      <c r="AN250" s="454"/>
      <c r="AY250" s="454"/>
      <c r="AZ250" s="454"/>
      <c r="BA250" s="1306"/>
      <c r="BC250" s="169"/>
    </row>
    <row r="251" spans="19:55">
      <c r="S251" s="454"/>
      <c r="AN251" s="454"/>
      <c r="AY251" s="454"/>
      <c r="AZ251" s="454"/>
      <c r="BA251" s="1306"/>
      <c r="BC251" s="169"/>
    </row>
    <row r="252" spans="19:55">
      <c r="S252" s="454"/>
      <c r="AN252" s="454"/>
      <c r="AY252" s="454"/>
      <c r="AZ252" s="454"/>
      <c r="BA252" s="1306"/>
      <c r="BC252" s="169"/>
    </row>
    <row r="253" spans="19:55">
      <c r="S253" s="454"/>
      <c r="AN253" s="454"/>
      <c r="AY253" s="454"/>
      <c r="AZ253" s="454"/>
      <c r="BA253" s="1306"/>
      <c r="BC253" s="169"/>
    </row>
    <row r="254" spans="19:55">
      <c r="S254" s="454"/>
      <c r="AN254" s="454"/>
      <c r="AY254" s="454"/>
      <c r="AZ254" s="454"/>
      <c r="BA254" s="1306"/>
      <c r="BC254" s="169"/>
    </row>
    <row r="255" spans="19:55">
      <c r="S255" s="454"/>
      <c r="AN255" s="454"/>
      <c r="AY255" s="454"/>
      <c r="AZ255" s="454"/>
      <c r="BA255" s="1306"/>
      <c r="BC255" s="169"/>
    </row>
    <row r="256" spans="19:55">
      <c r="S256" s="454"/>
      <c r="AN256" s="454"/>
      <c r="AY256" s="454"/>
      <c r="AZ256" s="454"/>
      <c r="BA256" s="1306"/>
      <c r="BC256" s="169"/>
    </row>
    <row r="257" spans="19:55">
      <c r="S257" s="454"/>
      <c r="AN257" s="454"/>
      <c r="AY257" s="454"/>
      <c r="AZ257" s="454"/>
      <c r="BA257" s="1306"/>
      <c r="BC257" s="169"/>
    </row>
    <row r="258" spans="19:55">
      <c r="S258" s="454"/>
      <c r="AN258" s="454"/>
      <c r="AY258" s="454"/>
      <c r="AZ258" s="454"/>
      <c r="BA258" s="1306"/>
      <c r="BC258" s="169"/>
    </row>
    <row r="259" spans="19:55">
      <c r="S259" s="454"/>
      <c r="AN259" s="454"/>
      <c r="AY259" s="454"/>
      <c r="AZ259" s="454"/>
      <c r="BA259" s="1306"/>
      <c r="BC259" s="169"/>
    </row>
    <row r="260" spans="19:55">
      <c r="S260" s="454"/>
      <c r="AN260" s="454"/>
      <c r="AY260" s="454"/>
      <c r="AZ260" s="454"/>
      <c r="BA260" s="1306"/>
      <c r="BC260" s="169"/>
    </row>
    <row r="261" spans="19:55">
      <c r="S261" s="454"/>
      <c r="AN261" s="454"/>
      <c r="AY261" s="454"/>
      <c r="AZ261" s="454"/>
      <c r="BA261" s="1306"/>
      <c r="BC261" s="169"/>
    </row>
    <row r="262" spans="19:55">
      <c r="S262" s="454"/>
      <c r="AN262" s="454"/>
      <c r="AY262" s="454"/>
      <c r="AZ262" s="454"/>
      <c r="BA262" s="1306"/>
      <c r="BC262" s="169"/>
    </row>
    <row r="263" spans="19:55">
      <c r="S263" s="454"/>
      <c r="AN263" s="454"/>
      <c r="AY263" s="454"/>
      <c r="AZ263" s="454"/>
      <c r="BA263" s="1306"/>
      <c r="BC263" s="169"/>
    </row>
    <row r="264" spans="19:55">
      <c r="S264" s="454"/>
      <c r="AN264" s="454"/>
      <c r="AY264" s="454"/>
      <c r="AZ264" s="454"/>
      <c r="BA264" s="1306"/>
      <c r="BC264" s="169"/>
    </row>
    <row r="265" spans="19:55">
      <c r="S265" s="454"/>
      <c r="AN265" s="454"/>
      <c r="AY265" s="454"/>
      <c r="AZ265" s="454"/>
      <c r="BA265" s="1306"/>
      <c r="BC265" s="169"/>
    </row>
    <row r="266" spans="19:55">
      <c r="S266" s="454"/>
      <c r="AN266" s="454"/>
      <c r="AY266" s="454"/>
      <c r="AZ266" s="454"/>
      <c r="BA266" s="1306"/>
      <c r="BC266" s="169"/>
    </row>
    <row r="267" spans="19:55">
      <c r="S267" s="454"/>
      <c r="AN267" s="454"/>
      <c r="AY267" s="454"/>
      <c r="AZ267" s="454"/>
      <c r="BA267" s="1306"/>
      <c r="BC267" s="169"/>
    </row>
    <row r="268" spans="19:55">
      <c r="S268" s="454"/>
      <c r="AN268" s="454"/>
      <c r="AY268" s="454"/>
      <c r="AZ268" s="454"/>
      <c r="BA268" s="1306"/>
      <c r="BC268" s="169"/>
    </row>
    <row r="269" spans="19:55">
      <c r="S269" s="454"/>
      <c r="AN269" s="454"/>
      <c r="AY269" s="454"/>
      <c r="AZ269" s="454"/>
      <c r="BA269" s="1306"/>
      <c r="BC269" s="169"/>
    </row>
    <row r="270" spans="19:55">
      <c r="S270" s="454"/>
      <c r="AN270" s="454"/>
      <c r="AY270" s="454"/>
      <c r="AZ270" s="454"/>
      <c r="BA270" s="1306"/>
      <c r="BC270" s="169"/>
    </row>
    <row r="271" spans="19:55">
      <c r="S271" s="454"/>
      <c r="AN271" s="454"/>
      <c r="AY271" s="454"/>
      <c r="AZ271" s="454"/>
      <c r="BA271" s="1306"/>
      <c r="BC271" s="169"/>
    </row>
    <row r="272" spans="19:55">
      <c r="S272" s="454"/>
      <c r="AN272" s="454"/>
      <c r="AY272" s="454"/>
      <c r="AZ272" s="454"/>
      <c r="BA272" s="1306"/>
      <c r="BC272" s="169"/>
    </row>
    <row r="273" spans="19:55">
      <c r="S273" s="454"/>
      <c r="AN273" s="454"/>
      <c r="AY273" s="454"/>
      <c r="AZ273" s="454"/>
      <c r="BA273" s="1306"/>
      <c r="BC273" s="169"/>
    </row>
    <row r="274" spans="19:55">
      <c r="S274" s="454"/>
      <c r="AN274" s="454"/>
      <c r="AY274" s="454"/>
      <c r="AZ274" s="454"/>
      <c r="BA274" s="1306"/>
      <c r="BC274" s="169"/>
    </row>
    <row r="275" spans="19:55">
      <c r="S275" s="454"/>
      <c r="AN275" s="454"/>
      <c r="AY275" s="454"/>
      <c r="AZ275" s="454"/>
      <c r="BA275" s="1306"/>
      <c r="BC275" s="169"/>
    </row>
    <row r="276" spans="19:55">
      <c r="S276" s="454"/>
      <c r="AN276" s="454"/>
      <c r="AY276" s="454"/>
      <c r="AZ276" s="454"/>
      <c r="BA276" s="1306"/>
      <c r="BC276" s="169"/>
    </row>
    <row r="277" spans="19:55">
      <c r="S277" s="454"/>
      <c r="AN277" s="454"/>
      <c r="AY277" s="454"/>
      <c r="AZ277" s="454"/>
      <c r="BA277" s="1306"/>
      <c r="BC277" s="169"/>
    </row>
    <row r="278" spans="19:55">
      <c r="S278" s="454"/>
      <c r="AN278" s="454"/>
      <c r="AY278" s="454"/>
      <c r="AZ278" s="454"/>
      <c r="BA278" s="1306"/>
      <c r="BC278" s="169"/>
    </row>
    <row r="279" spans="19:55">
      <c r="S279" s="454"/>
      <c r="AN279" s="454"/>
      <c r="AY279" s="454"/>
      <c r="AZ279" s="454"/>
      <c r="BA279" s="1306"/>
      <c r="BC279" s="169"/>
    </row>
    <row r="280" spans="19:55">
      <c r="S280" s="454"/>
      <c r="AN280" s="454"/>
      <c r="AY280" s="454"/>
      <c r="AZ280" s="454"/>
      <c r="BA280" s="1306"/>
      <c r="BC280" s="169"/>
    </row>
    <row r="281" spans="19:55">
      <c r="S281" s="454"/>
      <c r="AN281" s="454"/>
      <c r="AY281" s="454"/>
      <c r="AZ281" s="454"/>
      <c r="BA281" s="1306"/>
      <c r="BC281" s="169"/>
    </row>
    <row r="282" spans="19:55">
      <c r="S282" s="454"/>
      <c r="AN282" s="454"/>
      <c r="AY282" s="454"/>
      <c r="AZ282" s="454"/>
      <c r="BA282" s="1306"/>
      <c r="BC282" s="169"/>
    </row>
    <row r="283" spans="19:55">
      <c r="S283" s="454"/>
      <c r="AN283" s="454"/>
      <c r="AY283" s="454"/>
      <c r="AZ283" s="454"/>
      <c r="BA283" s="1306"/>
      <c r="BC283" s="169"/>
    </row>
    <row r="284" spans="19:55">
      <c r="S284" s="454"/>
      <c r="AN284" s="454"/>
      <c r="AY284" s="454"/>
      <c r="AZ284" s="454"/>
      <c r="BA284" s="1306"/>
      <c r="BC284" s="169"/>
    </row>
    <row r="285" spans="19:55">
      <c r="S285" s="454"/>
      <c r="AN285" s="454"/>
      <c r="AY285" s="454"/>
      <c r="AZ285" s="454"/>
      <c r="BA285" s="1306"/>
      <c r="BC285" s="169"/>
    </row>
    <row r="286" spans="19:55">
      <c r="S286" s="454"/>
      <c r="AN286" s="454"/>
      <c r="AY286" s="454"/>
      <c r="AZ286" s="454"/>
      <c r="BA286" s="1306"/>
      <c r="BC286" s="169"/>
    </row>
    <row r="287" spans="19:55">
      <c r="S287" s="454"/>
      <c r="AN287" s="454"/>
      <c r="AY287" s="454"/>
      <c r="AZ287" s="454"/>
      <c r="BA287" s="1306"/>
      <c r="BC287" s="169"/>
    </row>
    <row r="288" spans="19:55">
      <c r="S288" s="454"/>
      <c r="AN288" s="454"/>
      <c r="AY288" s="454"/>
      <c r="AZ288" s="454"/>
      <c r="BA288" s="1306"/>
      <c r="BC288" s="169"/>
    </row>
    <row r="289" spans="19:55">
      <c r="S289" s="454"/>
      <c r="AN289" s="454"/>
      <c r="AY289" s="454"/>
      <c r="AZ289" s="454"/>
      <c r="BA289" s="1306"/>
      <c r="BC289" s="169"/>
    </row>
    <row r="290" spans="19:55">
      <c r="S290" s="454"/>
      <c r="AN290" s="454"/>
      <c r="AY290" s="454"/>
      <c r="AZ290" s="454"/>
      <c r="BA290" s="1306"/>
      <c r="BC290" s="169"/>
    </row>
    <row r="291" spans="19:55">
      <c r="S291" s="454"/>
      <c r="AN291" s="454"/>
      <c r="AY291" s="454"/>
      <c r="AZ291" s="454"/>
      <c r="BA291" s="1306"/>
      <c r="BC291" s="169"/>
    </row>
    <row r="292" spans="19:55">
      <c r="S292" s="454"/>
      <c r="AN292" s="454"/>
      <c r="AY292" s="454"/>
      <c r="AZ292" s="454"/>
      <c r="BA292" s="1306"/>
      <c r="BC292" s="169"/>
    </row>
    <row r="293" spans="19:55">
      <c r="S293" s="454"/>
      <c r="AN293" s="454"/>
      <c r="AY293" s="454"/>
      <c r="AZ293" s="454"/>
      <c r="BA293" s="1306"/>
      <c r="BC293" s="169"/>
    </row>
    <row r="294" spans="19:55">
      <c r="S294" s="454"/>
      <c r="AN294" s="454"/>
      <c r="AY294" s="454"/>
      <c r="AZ294" s="454"/>
      <c r="BA294" s="1306"/>
      <c r="BC294" s="169"/>
    </row>
    <row r="295" spans="19:55">
      <c r="S295" s="454"/>
      <c r="AN295" s="454"/>
      <c r="AY295" s="454"/>
      <c r="AZ295" s="454"/>
      <c r="BA295" s="1306"/>
      <c r="BC295" s="169"/>
    </row>
    <row r="296" spans="19:55">
      <c r="S296" s="454"/>
      <c r="AN296" s="454"/>
      <c r="AY296" s="454"/>
      <c r="AZ296" s="454"/>
      <c r="BA296" s="1306"/>
      <c r="BC296" s="169"/>
    </row>
    <row r="297" spans="19:55">
      <c r="S297" s="454"/>
      <c r="AN297" s="454"/>
      <c r="AY297" s="454"/>
      <c r="AZ297" s="454"/>
      <c r="BA297" s="1306"/>
      <c r="BC297" s="169"/>
    </row>
    <row r="298" spans="19:55">
      <c r="S298" s="454"/>
      <c r="AN298" s="454"/>
      <c r="AY298" s="454"/>
      <c r="AZ298" s="454"/>
      <c r="BA298" s="1306"/>
      <c r="BC298" s="169"/>
    </row>
    <row r="299" spans="19:55">
      <c r="S299" s="454"/>
      <c r="AN299" s="454"/>
      <c r="AY299" s="454"/>
      <c r="AZ299" s="454"/>
      <c r="BA299" s="1306"/>
      <c r="BC299" s="169"/>
    </row>
    <row r="300" spans="19:55">
      <c r="S300" s="454"/>
      <c r="AN300" s="454"/>
      <c r="AY300" s="454"/>
      <c r="AZ300" s="454"/>
      <c r="BA300" s="1306"/>
      <c r="BC300" s="169"/>
    </row>
    <row r="301" spans="19:55">
      <c r="S301" s="454"/>
      <c r="AN301" s="454"/>
      <c r="AY301" s="454"/>
      <c r="AZ301" s="454"/>
      <c r="BA301" s="1306"/>
      <c r="BC301" s="169"/>
    </row>
    <row r="302" spans="19:55">
      <c r="S302" s="454"/>
      <c r="AN302" s="454"/>
      <c r="AY302" s="454"/>
      <c r="AZ302" s="454"/>
      <c r="BA302" s="1306"/>
      <c r="BC302" s="169"/>
    </row>
    <row r="303" spans="19:55">
      <c r="S303" s="454"/>
      <c r="AN303" s="454"/>
      <c r="AY303" s="454"/>
      <c r="AZ303" s="454"/>
      <c r="BA303" s="1306"/>
      <c r="BC303" s="169"/>
    </row>
    <row r="304" spans="19:55">
      <c r="S304" s="454"/>
      <c r="AN304" s="454"/>
      <c r="AY304" s="454"/>
      <c r="AZ304" s="454"/>
      <c r="BA304" s="1306"/>
      <c r="BC304" s="169"/>
    </row>
    <row r="305" spans="19:55">
      <c r="S305" s="454"/>
      <c r="AN305" s="454"/>
      <c r="AY305" s="454"/>
      <c r="AZ305" s="454"/>
      <c r="BA305" s="1306"/>
      <c r="BC305" s="169"/>
    </row>
    <row r="306" spans="19:55">
      <c r="S306" s="454"/>
      <c r="AN306" s="454"/>
      <c r="AY306" s="454"/>
      <c r="AZ306" s="454"/>
      <c r="BA306" s="1306"/>
      <c r="BC306" s="169"/>
    </row>
    <row r="307" spans="19:55">
      <c r="S307" s="454"/>
      <c r="AN307" s="454"/>
      <c r="AY307" s="454"/>
      <c r="AZ307" s="454"/>
      <c r="BA307" s="1306"/>
      <c r="BC307" s="169"/>
    </row>
    <row r="308" spans="19:55">
      <c r="S308" s="454"/>
      <c r="AN308" s="454"/>
      <c r="AY308" s="454"/>
      <c r="AZ308" s="454"/>
      <c r="BA308" s="1306"/>
      <c r="BC308" s="169"/>
    </row>
    <row r="309" spans="19:55">
      <c r="S309" s="454"/>
      <c r="AN309" s="454"/>
      <c r="AY309" s="454"/>
      <c r="AZ309" s="454"/>
      <c r="BA309" s="1306"/>
      <c r="BC309" s="169"/>
    </row>
    <row r="310" spans="19:55">
      <c r="S310" s="454"/>
      <c r="AN310" s="454"/>
      <c r="AY310" s="454"/>
      <c r="AZ310" s="454"/>
      <c r="BA310" s="1306"/>
      <c r="BC310" s="169"/>
    </row>
    <row r="311" spans="19:55">
      <c r="S311" s="454"/>
      <c r="AN311" s="454"/>
      <c r="AY311" s="454"/>
      <c r="AZ311" s="454"/>
      <c r="BA311" s="1306"/>
      <c r="BC311" s="169"/>
    </row>
    <row r="312" spans="19:55">
      <c r="S312" s="454"/>
      <c r="AN312" s="454"/>
      <c r="AY312" s="454"/>
      <c r="AZ312" s="454"/>
      <c r="BA312" s="1306"/>
      <c r="BC312" s="169"/>
    </row>
    <row r="313" spans="19:55">
      <c r="S313" s="454"/>
      <c r="AN313" s="454"/>
      <c r="AY313" s="454"/>
      <c r="AZ313" s="454"/>
      <c r="BA313" s="1306"/>
      <c r="BC313" s="169"/>
    </row>
    <row r="314" spans="19:55">
      <c r="S314" s="454"/>
      <c r="AN314" s="454"/>
      <c r="AY314" s="454"/>
      <c r="AZ314" s="454"/>
      <c r="BA314" s="1306"/>
      <c r="BC314" s="169"/>
    </row>
    <row r="315" spans="19:55">
      <c r="S315" s="454"/>
      <c r="AN315" s="454"/>
      <c r="AY315" s="454"/>
      <c r="AZ315" s="454"/>
      <c r="BA315" s="1306"/>
      <c r="BC315" s="169"/>
    </row>
    <row r="316" spans="19:55">
      <c r="S316" s="454"/>
      <c r="AN316" s="454"/>
      <c r="AY316" s="454"/>
      <c r="AZ316" s="454"/>
      <c r="BA316" s="1306"/>
      <c r="BC316" s="169"/>
    </row>
    <row r="317" spans="19:55">
      <c r="S317" s="454"/>
      <c r="AN317" s="454"/>
      <c r="AY317" s="454"/>
      <c r="AZ317" s="454"/>
      <c r="BA317" s="1306"/>
      <c r="BC317" s="169"/>
    </row>
    <row r="318" spans="19:55">
      <c r="S318" s="454"/>
      <c r="AN318" s="454"/>
      <c r="AY318" s="454"/>
      <c r="AZ318" s="454"/>
      <c r="BA318" s="1306"/>
      <c r="BC318" s="169"/>
    </row>
    <row r="319" spans="19:55">
      <c r="S319" s="454"/>
      <c r="AN319" s="454"/>
      <c r="AY319" s="454"/>
      <c r="AZ319" s="454"/>
      <c r="BA319" s="1306"/>
      <c r="BC319" s="169"/>
    </row>
    <row r="320" spans="19:55">
      <c r="S320" s="454"/>
      <c r="AN320" s="454"/>
      <c r="AY320" s="454"/>
      <c r="AZ320" s="454"/>
      <c r="BA320" s="1306"/>
      <c r="BC320" s="169"/>
    </row>
    <row r="321" spans="19:55">
      <c r="S321" s="454"/>
      <c r="AN321" s="454"/>
      <c r="AY321" s="454"/>
      <c r="AZ321" s="454"/>
      <c r="BA321" s="1306"/>
      <c r="BC321" s="169"/>
    </row>
    <row r="322" spans="19:55">
      <c r="S322" s="454"/>
      <c r="AN322" s="454"/>
      <c r="AY322" s="454"/>
      <c r="AZ322" s="454"/>
      <c r="BA322" s="1306"/>
      <c r="BC322" s="169"/>
    </row>
    <row r="323" spans="19:55">
      <c r="S323" s="454"/>
      <c r="AN323" s="454"/>
      <c r="AY323" s="454"/>
      <c r="AZ323" s="454"/>
      <c r="BA323" s="1306"/>
      <c r="BC323" s="169"/>
    </row>
    <row r="324" spans="19:55">
      <c r="S324" s="454"/>
      <c r="AN324" s="454"/>
      <c r="AY324" s="454"/>
      <c r="AZ324" s="454"/>
      <c r="BA324" s="1306"/>
      <c r="BC324" s="169"/>
    </row>
    <row r="325" spans="19:55">
      <c r="S325" s="454"/>
      <c r="AN325" s="454"/>
      <c r="AY325" s="454"/>
      <c r="AZ325" s="454"/>
      <c r="BA325" s="1306"/>
      <c r="BC325" s="169"/>
    </row>
    <row r="326" spans="19:55">
      <c r="S326" s="454"/>
      <c r="AN326" s="454"/>
      <c r="AY326" s="454"/>
      <c r="AZ326" s="454"/>
      <c r="BA326" s="1306"/>
      <c r="BC326" s="169"/>
    </row>
    <row r="327" spans="19:55">
      <c r="S327" s="454"/>
      <c r="AN327" s="454"/>
      <c r="AY327" s="454"/>
      <c r="AZ327" s="454"/>
      <c r="BA327" s="1306"/>
      <c r="BC327" s="169"/>
    </row>
    <row r="328" spans="19:55">
      <c r="S328" s="454"/>
      <c r="AN328" s="454"/>
      <c r="AY328" s="454"/>
      <c r="AZ328" s="454"/>
      <c r="BA328" s="1306"/>
      <c r="BC328" s="169"/>
    </row>
    <row r="329" spans="19:55">
      <c r="S329" s="454"/>
      <c r="AN329" s="454"/>
      <c r="AY329" s="454"/>
      <c r="AZ329" s="454"/>
      <c r="BA329" s="1306"/>
      <c r="BC329" s="169"/>
    </row>
    <row r="330" spans="19:55">
      <c r="S330" s="454"/>
      <c r="AN330" s="454"/>
      <c r="AY330" s="454"/>
      <c r="AZ330" s="454"/>
      <c r="BA330" s="1306"/>
      <c r="BC330" s="169"/>
    </row>
    <row r="331" spans="19:55">
      <c r="S331" s="454"/>
      <c r="AN331" s="454"/>
      <c r="AY331" s="454"/>
      <c r="AZ331" s="454"/>
      <c r="BA331" s="1306"/>
      <c r="BC331" s="169"/>
    </row>
    <row r="332" spans="19:55">
      <c r="S332" s="454"/>
      <c r="AN332" s="454"/>
      <c r="AY332" s="454"/>
      <c r="AZ332" s="454"/>
      <c r="BA332" s="1306"/>
      <c r="BC332" s="169"/>
    </row>
    <row r="333" spans="19:55">
      <c r="S333" s="454"/>
      <c r="AN333" s="454"/>
      <c r="AY333" s="454"/>
      <c r="AZ333" s="454"/>
      <c r="BA333" s="1306"/>
      <c r="BC333" s="169"/>
    </row>
    <row r="334" spans="19:55">
      <c r="S334" s="454"/>
      <c r="AN334" s="454"/>
      <c r="AY334" s="454"/>
      <c r="AZ334" s="454"/>
      <c r="BA334" s="1306"/>
      <c r="BC334" s="169"/>
    </row>
    <row r="335" spans="19:55">
      <c r="S335" s="454"/>
      <c r="AN335" s="454"/>
      <c r="AY335" s="454"/>
      <c r="AZ335" s="454"/>
      <c r="BA335" s="1306"/>
      <c r="BC335" s="169"/>
    </row>
    <row r="336" spans="19:55">
      <c r="S336" s="454"/>
      <c r="AN336" s="454"/>
      <c r="AY336" s="454"/>
      <c r="AZ336" s="454"/>
      <c r="BA336" s="1306"/>
      <c r="BC336" s="169"/>
    </row>
    <row r="337" spans="19:55">
      <c r="S337" s="454"/>
      <c r="AN337" s="454"/>
      <c r="AY337" s="454"/>
      <c r="AZ337" s="454"/>
      <c r="BA337" s="1306"/>
      <c r="BC337" s="169"/>
    </row>
    <row r="338" spans="19:55">
      <c r="S338" s="454"/>
      <c r="AN338" s="454"/>
      <c r="AY338" s="454"/>
      <c r="AZ338" s="454"/>
      <c r="BA338" s="1306"/>
      <c r="BC338" s="169"/>
    </row>
    <row r="339" spans="19:55">
      <c r="S339" s="454"/>
      <c r="AN339" s="454"/>
      <c r="AY339" s="454"/>
      <c r="AZ339" s="454"/>
      <c r="BA339" s="1306"/>
      <c r="BC339" s="169"/>
    </row>
    <row r="340" spans="19:55">
      <c r="S340" s="454"/>
      <c r="AN340" s="454"/>
      <c r="AY340" s="454"/>
      <c r="AZ340" s="454"/>
      <c r="BA340" s="1306"/>
      <c r="BC340" s="169"/>
    </row>
    <row r="341" spans="19:55">
      <c r="S341" s="454"/>
      <c r="AN341" s="454"/>
      <c r="AY341" s="454"/>
      <c r="AZ341" s="454"/>
      <c r="BA341" s="1306"/>
      <c r="BC341" s="169"/>
    </row>
    <row r="342" spans="19:55">
      <c r="S342" s="454"/>
      <c r="AN342" s="454"/>
      <c r="AY342" s="454"/>
      <c r="AZ342" s="454"/>
      <c r="BA342" s="1306"/>
      <c r="BC342" s="169"/>
    </row>
    <row r="343" spans="19:55">
      <c r="S343" s="454"/>
      <c r="AN343" s="454"/>
      <c r="AY343" s="454"/>
      <c r="AZ343" s="454"/>
      <c r="BA343" s="1306"/>
      <c r="BC343" s="169"/>
    </row>
    <row r="344" spans="19:55">
      <c r="S344" s="454"/>
      <c r="AN344" s="454"/>
      <c r="AY344" s="454"/>
      <c r="AZ344" s="454"/>
      <c r="BA344" s="1306"/>
      <c r="BC344" s="169"/>
    </row>
    <row r="345" spans="19:55">
      <c r="S345" s="454"/>
      <c r="AN345" s="454"/>
      <c r="AY345" s="454"/>
      <c r="AZ345" s="454"/>
      <c r="BA345" s="1306"/>
      <c r="BC345" s="169"/>
    </row>
    <row r="346" spans="19:55">
      <c r="S346" s="454"/>
      <c r="AN346" s="454"/>
      <c r="AY346" s="454"/>
      <c r="AZ346" s="454"/>
      <c r="BA346" s="1306"/>
      <c r="BC346" s="169"/>
    </row>
    <row r="347" spans="19:55">
      <c r="S347" s="454"/>
      <c r="AN347" s="454"/>
      <c r="AY347" s="454"/>
      <c r="AZ347" s="454"/>
      <c r="BA347" s="1306"/>
      <c r="BC347" s="169"/>
    </row>
    <row r="348" spans="19:55">
      <c r="S348" s="454"/>
      <c r="AN348" s="454"/>
      <c r="AY348" s="454"/>
      <c r="AZ348" s="454"/>
      <c r="BA348" s="1306"/>
      <c r="BC348" s="169"/>
    </row>
    <row r="349" spans="19:55">
      <c r="S349" s="454"/>
      <c r="AN349" s="454"/>
      <c r="AY349" s="454"/>
      <c r="AZ349" s="454"/>
      <c r="BA349" s="1306"/>
      <c r="BC349" s="169"/>
    </row>
    <row r="350" spans="19:55">
      <c r="S350" s="454"/>
      <c r="AN350" s="454"/>
      <c r="AY350" s="454"/>
      <c r="AZ350" s="454"/>
      <c r="BA350" s="1306"/>
      <c r="BC350" s="169"/>
    </row>
    <row r="351" spans="19:55">
      <c r="S351" s="454"/>
      <c r="AN351" s="454"/>
      <c r="AY351" s="454"/>
      <c r="AZ351" s="454"/>
      <c r="BA351" s="1306"/>
      <c r="BC351" s="169"/>
    </row>
    <row r="352" spans="19:55">
      <c r="S352" s="454"/>
      <c r="AN352" s="454"/>
      <c r="AY352" s="454"/>
      <c r="AZ352" s="454"/>
      <c r="BA352" s="1306"/>
      <c r="BC352" s="169"/>
    </row>
    <row r="353" spans="19:55">
      <c r="S353" s="454"/>
      <c r="AN353" s="454"/>
      <c r="AY353" s="454"/>
      <c r="AZ353" s="454"/>
      <c r="BA353" s="1306"/>
      <c r="BC353" s="169"/>
    </row>
    <row r="354" spans="19:55">
      <c r="S354" s="454"/>
      <c r="AN354" s="454"/>
      <c r="AY354" s="454"/>
      <c r="AZ354" s="454"/>
      <c r="BA354" s="1306"/>
      <c r="BC354" s="169"/>
    </row>
    <row r="355" spans="19:55">
      <c r="S355" s="454"/>
      <c r="AN355" s="454"/>
      <c r="AY355" s="454"/>
      <c r="AZ355" s="454"/>
      <c r="BA355" s="1306"/>
      <c r="BC355" s="169"/>
    </row>
    <row r="356" spans="19:55">
      <c r="S356" s="454"/>
      <c r="AN356" s="454"/>
      <c r="AY356" s="454"/>
      <c r="AZ356" s="454"/>
      <c r="BA356" s="1306"/>
      <c r="BC356" s="169"/>
    </row>
    <row r="357" spans="19:55">
      <c r="S357" s="454"/>
      <c r="AN357" s="454"/>
      <c r="AY357" s="454"/>
      <c r="AZ357" s="454"/>
      <c r="BA357" s="1306"/>
      <c r="BC357" s="169"/>
    </row>
    <row r="358" spans="19:55">
      <c r="S358" s="454"/>
      <c r="AN358" s="454"/>
      <c r="AY358" s="454"/>
      <c r="AZ358" s="454"/>
      <c r="BA358" s="1306"/>
      <c r="BC358" s="169"/>
    </row>
    <row r="359" spans="19:55">
      <c r="S359" s="454"/>
      <c r="AN359" s="454"/>
      <c r="AY359" s="454"/>
      <c r="AZ359" s="454"/>
      <c r="BA359" s="1306"/>
      <c r="BC359" s="169"/>
    </row>
    <row r="360" spans="19:55">
      <c r="S360" s="454"/>
      <c r="AN360" s="454"/>
      <c r="AY360" s="454"/>
      <c r="AZ360" s="454"/>
      <c r="BA360" s="1306"/>
      <c r="BC360" s="169"/>
    </row>
    <row r="361" spans="19:55">
      <c r="S361" s="454"/>
      <c r="AN361" s="454"/>
      <c r="AY361" s="454"/>
      <c r="AZ361" s="454"/>
      <c r="BA361" s="1306"/>
      <c r="BC361" s="169"/>
    </row>
    <row r="362" spans="19:55">
      <c r="S362" s="454"/>
      <c r="AN362" s="454"/>
      <c r="AY362" s="454"/>
      <c r="AZ362" s="454"/>
      <c r="BA362" s="1306"/>
      <c r="BC362" s="169"/>
    </row>
    <row r="363" spans="19:55">
      <c r="S363" s="454"/>
      <c r="AN363" s="454"/>
      <c r="AY363" s="454"/>
      <c r="AZ363" s="454"/>
      <c r="BA363" s="1306"/>
      <c r="BC363" s="169"/>
    </row>
    <row r="364" spans="19:55">
      <c r="S364" s="454"/>
      <c r="AN364" s="454"/>
      <c r="AY364" s="454"/>
      <c r="AZ364" s="454"/>
      <c r="BA364" s="1306"/>
      <c r="BC364" s="169"/>
    </row>
    <row r="365" spans="19:55">
      <c r="S365" s="454"/>
      <c r="AN365" s="454"/>
      <c r="AY365" s="454"/>
      <c r="AZ365" s="454"/>
      <c r="BA365" s="1306"/>
      <c r="BC365" s="169"/>
    </row>
    <row r="366" spans="19:55">
      <c r="S366" s="454"/>
      <c r="AN366" s="454"/>
      <c r="AY366" s="454"/>
      <c r="AZ366" s="454"/>
      <c r="BA366" s="1306"/>
      <c r="BC366" s="169"/>
    </row>
    <row r="367" spans="19:55">
      <c r="S367" s="454"/>
      <c r="AN367" s="454"/>
      <c r="AY367" s="454"/>
      <c r="AZ367" s="454"/>
      <c r="BA367" s="1306"/>
      <c r="BC367" s="169"/>
    </row>
    <row r="368" spans="19:55">
      <c r="S368" s="454"/>
      <c r="AN368" s="454"/>
      <c r="AY368" s="454"/>
      <c r="AZ368" s="454"/>
      <c r="BA368" s="1306"/>
      <c r="BC368" s="169"/>
    </row>
    <row r="369" spans="19:55">
      <c r="S369" s="454"/>
      <c r="AN369" s="454"/>
      <c r="AY369" s="454"/>
      <c r="AZ369" s="454"/>
      <c r="BA369" s="1306"/>
      <c r="BC369" s="169"/>
    </row>
    <row r="370" spans="19:55">
      <c r="S370" s="454"/>
      <c r="AN370" s="454"/>
      <c r="AY370" s="454"/>
      <c r="AZ370" s="454"/>
      <c r="BA370" s="1306"/>
      <c r="BC370" s="169"/>
    </row>
    <row r="371" spans="19:55">
      <c r="S371" s="454"/>
      <c r="AN371" s="454"/>
      <c r="AY371" s="454"/>
      <c r="AZ371" s="454"/>
      <c r="BA371" s="1306"/>
      <c r="BC371" s="169"/>
    </row>
    <row r="372" spans="19:55">
      <c r="S372" s="454"/>
      <c r="AN372" s="454"/>
      <c r="AY372" s="454"/>
      <c r="AZ372" s="454"/>
      <c r="BA372" s="1306"/>
      <c r="BC372" s="169"/>
    </row>
    <row r="373" spans="19:55">
      <c r="S373" s="454"/>
      <c r="AN373" s="454"/>
      <c r="AY373" s="454"/>
      <c r="AZ373" s="454"/>
      <c r="BA373" s="1306"/>
      <c r="BC373" s="169"/>
    </row>
    <row r="374" spans="19:55">
      <c r="S374" s="454"/>
      <c r="AN374" s="454"/>
      <c r="AY374" s="454"/>
      <c r="AZ374" s="454"/>
      <c r="BA374" s="1306"/>
      <c r="BC374" s="169"/>
    </row>
    <row r="375" spans="19:55">
      <c r="S375" s="454"/>
      <c r="AN375" s="454"/>
      <c r="AY375" s="454"/>
      <c r="AZ375" s="454"/>
      <c r="BA375" s="1306"/>
      <c r="BC375" s="169"/>
    </row>
    <row r="376" spans="19:55">
      <c r="S376" s="454"/>
      <c r="AN376" s="454"/>
      <c r="AY376" s="454"/>
      <c r="AZ376" s="454"/>
      <c r="BA376" s="1306"/>
      <c r="BC376" s="169"/>
    </row>
    <row r="377" spans="19:55">
      <c r="S377" s="454"/>
      <c r="AN377" s="454"/>
      <c r="AY377" s="454"/>
      <c r="AZ377" s="454"/>
      <c r="BA377" s="1306"/>
      <c r="BC377" s="169"/>
    </row>
    <row r="378" spans="19:55">
      <c r="S378" s="454"/>
      <c r="AN378" s="454"/>
      <c r="AY378" s="454"/>
      <c r="AZ378" s="454"/>
      <c r="BA378" s="1306"/>
      <c r="BC378" s="169"/>
    </row>
    <row r="379" spans="19:55">
      <c r="S379" s="454"/>
      <c r="AN379" s="454"/>
      <c r="AY379" s="454"/>
      <c r="AZ379" s="454"/>
      <c r="BA379" s="1306"/>
      <c r="BC379" s="169"/>
    </row>
    <row r="380" spans="19:55">
      <c r="S380" s="454"/>
      <c r="AN380" s="454"/>
      <c r="AY380" s="454"/>
      <c r="AZ380" s="454"/>
      <c r="BA380" s="1306"/>
      <c r="BC380" s="169"/>
    </row>
    <row r="381" spans="19:55">
      <c r="S381" s="454"/>
      <c r="AN381" s="454"/>
      <c r="AY381" s="454"/>
      <c r="AZ381" s="454"/>
      <c r="BA381" s="1306"/>
      <c r="BC381" s="169"/>
    </row>
    <row r="382" spans="19:55">
      <c r="S382" s="454"/>
      <c r="AN382" s="454"/>
      <c r="AY382" s="454"/>
      <c r="AZ382" s="454"/>
      <c r="BA382" s="1306"/>
      <c r="BC382" s="169"/>
    </row>
    <row r="383" spans="19:55">
      <c r="S383" s="454"/>
      <c r="AN383" s="454"/>
      <c r="AY383" s="454"/>
      <c r="AZ383" s="454"/>
      <c r="BA383" s="1306"/>
      <c r="BC383" s="169"/>
    </row>
    <row r="384" spans="19:55">
      <c r="S384" s="454"/>
      <c r="AN384" s="454"/>
      <c r="AY384" s="454"/>
      <c r="AZ384" s="454"/>
      <c r="BA384" s="1306"/>
      <c r="BC384" s="169"/>
    </row>
    <row r="385" spans="19:55">
      <c r="S385" s="454"/>
      <c r="AN385" s="454"/>
      <c r="AY385" s="454"/>
      <c r="AZ385" s="454"/>
      <c r="BA385" s="1306"/>
      <c r="BC385" s="169"/>
    </row>
    <row r="386" spans="19:55">
      <c r="S386" s="454"/>
      <c r="AN386" s="454"/>
      <c r="AY386" s="454"/>
      <c r="AZ386" s="454"/>
      <c r="BA386" s="1306"/>
      <c r="BC386" s="169"/>
    </row>
    <row r="387" spans="19:55">
      <c r="S387" s="454"/>
      <c r="AN387" s="454"/>
      <c r="AY387" s="454"/>
      <c r="AZ387" s="454"/>
      <c r="BA387" s="1306"/>
      <c r="BC387" s="169"/>
    </row>
    <row r="388" spans="19:55">
      <c r="S388" s="454"/>
      <c r="AN388" s="454"/>
      <c r="AY388" s="454"/>
      <c r="AZ388" s="454"/>
      <c r="BA388" s="1306"/>
      <c r="BC388" s="169"/>
    </row>
    <row r="389" spans="19:55">
      <c r="S389" s="454"/>
      <c r="AN389" s="454"/>
      <c r="AY389" s="454"/>
      <c r="AZ389" s="454"/>
      <c r="BA389" s="1306"/>
      <c r="BC389" s="169"/>
    </row>
    <row r="390" spans="19:55">
      <c r="S390" s="454"/>
      <c r="AN390" s="454"/>
      <c r="AY390" s="454"/>
      <c r="AZ390" s="454"/>
      <c r="BA390" s="1306"/>
      <c r="BC390" s="169"/>
    </row>
    <row r="391" spans="19:55">
      <c r="S391" s="454"/>
      <c r="AN391" s="454"/>
      <c r="AY391" s="454"/>
      <c r="AZ391" s="454"/>
      <c r="BA391" s="1306"/>
      <c r="BC391" s="169"/>
    </row>
    <row r="392" spans="19:55">
      <c r="S392" s="454"/>
      <c r="AN392" s="454"/>
      <c r="AY392" s="454"/>
      <c r="AZ392" s="454"/>
      <c r="BA392" s="1306"/>
      <c r="BC392" s="169"/>
    </row>
    <row r="393" spans="19:55">
      <c r="S393" s="454"/>
      <c r="AN393" s="454"/>
      <c r="AY393" s="454"/>
      <c r="AZ393" s="454"/>
      <c r="BA393" s="1306"/>
      <c r="BC393" s="169"/>
    </row>
    <row r="394" spans="19:55">
      <c r="S394" s="454"/>
      <c r="AN394" s="454"/>
      <c r="AY394" s="454"/>
      <c r="AZ394" s="454"/>
      <c r="BA394" s="1306"/>
      <c r="BC394" s="169"/>
    </row>
    <row r="395" spans="19:55">
      <c r="S395" s="454"/>
      <c r="AN395" s="454"/>
      <c r="AY395" s="454"/>
      <c r="AZ395" s="454"/>
      <c r="BA395" s="1306"/>
      <c r="BC395" s="169"/>
    </row>
    <row r="396" spans="19:55">
      <c r="S396" s="454"/>
      <c r="AN396" s="454"/>
      <c r="AY396" s="454"/>
      <c r="AZ396" s="454"/>
      <c r="BA396" s="1306"/>
      <c r="BC396" s="169"/>
    </row>
    <row r="397" spans="19:55">
      <c r="S397" s="454"/>
      <c r="AN397" s="454"/>
      <c r="AY397" s="454"/>
      <c r="AZ397" s="454"/>
      <c r="BA397" s="1306"/>
      <c r="BC397" s="169"/>
    </row>
    <row r="398" spans="19:55">
      <c r="S398" s="454"/>
      <c r="AN398" s="454"/>
      <c r="AY398" s="454"/>
      <c r="AZ398" s="454"/>
      <c r="BA398" s="1306"/>
      <c r="BC398" s="169"/>
    </row>
    <row r="399" spans="19:55">
      <c r="S399" s="454"/>
      <c r="AN399" s="454"/>
      <c r="AY399" s="454"/>
      <c r="AZ399" s="454"/>
      <c r="BA399" s="1306"/>
      <c r="BC399" s="169"/>
    </row>
    <row r="400" spans="19:55">
      <c r="S400" s="454"/>
      <c r="AN400" s="454"/>
      <c r="AY400" s="454"/>
      <c r="AZ400" s="454"/>
      <c r="BA400" s="1306"/>
      <c r="BC400" s="169"/>
    </row>
    <row r="401" spans="19:55">
      <c r="S401" s="454"/>
      <c r="AN401" s="454"/>
      <c r="AY401" s="454"/>
      <c r="AZ401" s="454"/>
      <c r="BA401" s="1306"/>
      <c r="BC401" s="169"/>
    </row>
    <row r="402" spans="19:55">
      <c r="S402" s="454"/>
      <c r="AN402" s="454"/>
      <c r="AY402" s="454"/>
      <c r="AZ402" s="454"/>
      <c r="BA402" s="1306"/>
      <c r="BC402" s="169"/>
    </row>
    <row r="403" spans="19:55">
      <c r="S403" s="454"/>
      <c r="AN403" s="454"/>
      <c r="AY403" s="454"/>
      <c r="AZ403" s="454"/>
      <c r="BA403" s="1306"/>
      <c r="BC403" s="169"/>
    </row>
    <row r="404" spans="19:55">
      <c r="S404" s="454"/>
      <c r="AN404" s="454"/>
      <c r="AY404" s="454"/>
      <c r="AZ404" s="454"/>
      <c r="BA404" s="1306"/>
      <c r="BC404" s="169"/>
    </row>
    <row r="405" spans="19:55">
      <c r="S405" s="454"/>
      <c r="AN405" s="454"/>
      <c r="AY405" s="454"/>
      <c r="AZ405" s="454"/>
      <c r="BA405" s="1306"/>
      <c r="BC405" s="169"/>
    </row>
    <row r="406" spans="19:55">
      <c r="S406" s="454"/>
      <c r="AN406" s="454"/>
      <c r="AY406" s="454"/>
      <c r="AZ406" s="454"/>
      <c r="BA406" s="1306"/>
      <c r="BC406" s="169"/>
    </row>
    <row r="407" spans="19:55">
      <c r="S407" s="454"/>
      <c r="AN407" s="454"/>
      <c r="AY407" s="454"/>
      <c r="AZ407" s="454"/>
      <c r="BA407" s="1306"/>
      <c r="BC407" s="169"/>
    </row>
    <row r="408" spans="19:55">
      <c r="S408" s="454"/>
      <c r="AN408" s="454"/>
      <c r="AY408" s="454"/>
      <c r="AZ408" s="454"/>
      <c r="BA408" s="1306"/>
      <c r="BC408" s="169"/>
    </row>
    <row r="409" spans="19:55">
      <c r="S409" s="454"/>
      <c r="AN409" s="454"/>
      <c r="AY409" s="454"/>
      <c r="AZ409" s="454"/>
      <c r="BA409" s="1306"/>
      <c r="BC409" s="169"/>
    </row>
    <row r="410" spans="19:55">
      <c r="S410" s="454"/>
      <c r="AN410" s="454"/>
      <c r="AY410" s="454"/>
      <c r="AZ410" s="454"/>
      <c r="BA410" s="1306"/>
      <c r="BC410" s="169"/>
    </row>
    <row r="411" spans="19:55">
      <c r="S411" s="454"/>
      <c r="AN411" s="454"/>
      <c r="AY411" s="454"/>
      <c r="AZ411" s="454"/>
      <c r="BA411" s="1306"/>
      <c r="BC411" s="169"/>
    </row>
    <row r="412" spans="19:55">
      <c r="S412" s="454"/>
      <c r="AN412" s="454"/>
      <c r="AY412" s="454"/>
      <c r="AZ412" s="454"/>
      <c r="BA412" s="1306"/>
      <c r="BC412" s="169"/>
    </row>
    <row r="413" spans="19:55">
      <c r="S413" s="454"/>
      <c r="AN413" s="454"/>
      <c r="AY413" s="454"/>
      <c r="AZ413" s="454"/>
      <c r="BA413" s="1306"/>
      <c r="BC413" s="169"/>
    </row>
    <row r="414" spans="19:55">
      <c r="S414" s="454"/>
      <c r="AN414" s="454"/>
      <c r="AY414" s="454"/>
      <c r="AZ414" s="454"/>
      <c r="BA414" s="1306"/>
      <c r="BC414" s="169"/>
    </row>
    <row r="415" spans="19:55">
      <c r="S415" s="454"/>
      <c r="AN415" s="454"/>
      <c r="AY415" s="454"/>
      <c r="AZ415" s="454"/>
      <c r="BA415" s="1306"/>
      <c r="BC415" s="169"/>
    </row>
    <row r="416" spans="19:55">
      <c r="S416" s="454"/>
      <c r="AN416" s="454"/>
      <c r="AY416" s="454"/>
      <c r="AZ416" s="454"/>
      <c r="BA416" s="1306"/>
      <c r="BC416" s="169"/>
    </row>
    <row r="417" spans="19:55">
      <c r="S417" s="454"/>
      <c r="AN417" s="454"/>
      <c r="AY417" s="454"/>
      <c r="AZ417" s="454"/>
      <c r="BA417" s="1306"/>
      <c r="BC417" s="169"/>
    </row>
    <row r="418" spans="19:55">
      <c r="S418" s="454"/>
      <c r="AN418" s="454"/>
      <c r="AY418" s="454"/>
      <c r="AZ418" s="454"/>
      <c r="BA418" s="1306"/>
      <c r="BC418" s="169"/>
    </row>
    <row r="419" spans="19:55">
      <c r="S419" s="454"/>
      <c r="AN419" s="454"/>
      <c r="AY419" s="454"/>
      <c r="AZ419" s="454"/>
      <c r="BA419" s="1306"/>
      <c r="BC419" s="169"/>
    </row>
    <row r="420" spans="19:55">
      <c r="S420" s="454"/>
      <c r="AN420" s="454"/>
      <c r="AY420" s="454"/>
      <c r="AZ420" s="454"/>
      <c r="BA420" s="1306"/>
      <c r="BC420" s="169"/>
    </row>
    <row r="421" spans="19:55">
      <c r="S421" s="454"/>
      <c r="AN421" s="454"/>
      <c r="AY421" s="454"/>
      <c r="AZ421" s="454"/>
      <c r="BA421" s="1306"/>
      <c r="BC421" s="169"/>
    </row>
    <row r="422" spans="19:55">
      <c r="S422" s="454"/>
      <c r="AN422" s="454"/>
      <c r="AY422" s="454"/>
      <c r="AZ422" s="454"/>
      <c r="BA422" s="1306"/>
      <c r="BC422" s="169"/>
    </row>
    <row r="423" spans="19:55">
      <c r="S423" s="454"/>
      <c r="AN423" s="454"/>
      <c r="AY423" s="454"/>
      <c r="AZ423" s="454"/>
      <c r="BA423" s="1306"/>
      <c r="BC423" s="169"/>
    </row>
    <row r="424" spans="19:55">
      <c r="S424" s="454"/>
      <c r="AN424" s="454"/>
      <c r="AY424" s="454"/>
      <c r="AZ424" s="454"/>
      <c r="BA424" s="1306"/>
      <c r="BC424" s="169"/>
    </row>
    <row r="425" spans="19:55">
      <c r="S425" s="454"/>
      <c r="AN425" s="454"/>
      <c r="AY425" s="454"/>
      <c r="AZ425" s="454"/>
      <c r="BA425" s="1306"/>
      <c r="BC425" s="169"/>
    </row>
    <row r="426" spans="19:55">
      <c r="S426" s="454"/>
      <c r="AN426" s="454"/>
      <c r="AY426" s="454"/>
      <c r="AZ426" s="454"/>
      <c r="BA426" s="1306"/>
      <c r="BC426" s="169"/>
    </row>
    <row r="427" spans="19:55">
      <c r="S427" s="454"/>
      <c r="AN427" s="454"/>
      <c r="AY427" s="454"/>
      <c r="AZ427" s="454"/>
      <c r="BA427" s="1306"/>
      <c r="BC427" s="169"/>
    </row>
    <row r="428" spans="19:55">
      <c r="S428" s="454"/>
      <c r="AN428" s="454"/>
      <c r="AY428" s="454"/>
      <c r="AZ428" s="454"/>
      <c r="BA428" s="1306"/>
      <c r="BC428" s="169"/>
    </row>
    <row r="429" spans="19:55">
      <c r="S429" s="454"/>
      <c r="AN429" s="454"/>
      <c r="AY429" s="454"/>
      <c r="AZ429" s="454"/>
      <c r="BA429" s="1306"/>
      <c r="BC429" s="169"/>
    </row>
    <row r="430" spans="19:55">
      <c r="S430" s="454"/>
      <c r="AN430" s="454"/>
      <c r="AY430" s="454"/>
      <c r="AZ430" s="454"/>
      <c r="BA430" s="1306"/>
      <c r="BC430" s="169"/>
    </row>
    <row r="431" spans="19:55">
      <c r="S431" s="454"/>
      <c r="AN431" s="454"/>
      <c r="AY431" s="454"/>
      <c r="AZ431" s="454"/>
      <c r="BA431" s="1306"/>
      <c r="BC431" s="169"/>
    </row>
    <row r="432" spans="19:55">
      <c r="S432" s="454"/>
      <c r="AN432" s="454"/>
      <c r="AY432" s="454"/>
      <c r="AZ432" s="454"/>
      <c r="BA432" s="1306"/>
      <c r="BC432" s="169"/>
    </row>
    <row r="433" spans="19:55">
      <c r="S433" s="454"/>
      <c r="AN433" s="454"/>
      <c r="AY433" s="454"/>
      <c r="AZ433" s="454"/>
      <c r="BA433" s="1306"/>
      <c r="BC433" s="169"/>
    </row>
    <row r="434" spans="19:55">
      <c r="S434" s="454"/>
      <c r="AN434" s="454"/>
      <c r="AY434" s="454"/>
      <c r="AZ434" s="454"/>
      <c r="BA434" s="1306"/>
      <c r="BC434" s="169"/>
    </row>
    <row r="435" spans="19:55">
      <c r="S435" s="454"/>
      <c r="AN435" s="454"/>
      <c r="AY435" s="454"/>
      <c r="AZ435" s="454"/>
      <c r="BA435" s="1306"/>
      <c r="BC435" s="169"/>
    </row>
    <row r="436" spans="19:55">
      <c r="S436" s="454"/>
      <c r="AN436" s="454"/>
      <c r="AY436" s="454"/>
      <c r="AZ436" s="454"/>
      <c r="BA436" s="1306"/>
      <c r="BC436" s="169"/>
    </row>
    <row r="437" spans="19:55">
      <c r="S437" s="454"/>
      <c r="AN437" s="454"/>
      <c r="AY437" s="454"/>
      <c r="AZ437" s="454"/>
      <c r="BA437" s="1306"/>
      <c r="BC437" s="169"/>
    </row>
    <row r="438" spans="19:55">
      <c r="S438" s="454"/>
      <c r="AN438" s="454"/>
      <c r="AY438" s="454"/>
      <c r="AZ438" s="454"/>
      <c r="BA438" s="1306"/>
      <c r="BC438" s="169"/>
    </row>
    <row r="439" spans="19:55">
      <c r="S439" s="454"/>
      <c r="AN439" s="454"/>
      <c r="AY439" s="454"/>
      <c r="AZ439" s="454"/>
      <c r="BA439" s="1306"/>
      <c r="BC439" s="169"/>
    </row>
    <row r="440" spans="19:55">
      <c r="S440" s="454"/>
      <c r="AN440" s="454"/>
      <c r="AY440" s="454"/>
      <c r="AZ440" s="454"/>
      <c r="BA440" s="1306"/>
      <c r="BC440" s="169"/>
    </row>
    <row r="441" spans="19:55">
      <c r="S441" s="454"/>
      <c r="AN441" s="454"/>
      <c r="AY441" s="454"/>
      <c r="AZ441" s="454"/>
      <c r="BA441" s="1306"/>
      <c r="BC441" s="169"/>
    </row>
    <row r="442" spans="19:55">
      <c r="S442" s="454"/>
      <c r="AN442" s="454"/>
      <c r="AY442" s="454"/>
      <c r="AZ442" s="454"/>
      <c r="BA442" s="1306"/>
      <c r="BC442" s="169"/>
    </row>
    <row r="443" spans="19:55">
      <c r="S443" s="454"/>
      <c r="AN443" s="454"/>
      <c r="AY443" s="454"/>
      <c r="AZ443" s="454"/>
      <c r="BA443" s="1306"/>
      <c r="BC443" s="169"/>
    </row>
    <row r="444" spans="19:55">
      <c r="S444" s="454"/>
      <c r="AN444" s="454"/>
      <c r="AY444" s="454"/>
      <c r="AZ444" s="454"/>
      <c r="BA444" s="1306"/>
      <c r="BC444" s="169"/>
    </row>
    <row r="445" spans="19:55">
      <c r="S445" s="454"/>
      <c r="AN445" s="454"/>
      <c r="AY445" s="454"/>
      <c r="AZ445" s="454"/>
      <c r="BA445" s="1306"/>
      <c r="BC445" s="169"/>
    </row>
    <row r="446" spans="19:55">
      <c r="S446" s="454"/>
      <c r="AN446" s="454"/>
      <c r="AY446" s="454"/>
      <c r="AZ446" s="454"/>
      <c r="BA446" s="1306"/>
      <c r="BC446" s="169"/>
    </row>
    <row r="447" spans="19:55">
      <c r="S447" s="454"/>
      <c r="AN447" s="454"/>
      <c r="AY447" s="454"/>
      <c r="AZ447" s="454"/>
      <c r="BA447" s="1306"/>
      <c r="BC447" s="169"/>
    </row>
    <row r="448" spans="19:55">
      <c r="S448" s="454"/>
      <c r="AN448" s="454"/>
      <c r="AY448" s="454"/>
      <c r="AZ448" s="454"/>
      <c r="BA448" s="1306"/>
      <c r="BC448" s="169"/>
    </row>
    <row r="449" spans="19:55">
      <c r="S449" s="454"/>
      <c r="AN449" s="454"/>
      <c r="AY449" s="454"/>
      <c r="AZ449" s="454"/>
      <c r="BA449" s="1306"/>
      <c r="BC449" s="169"/>
    </row>
    <row r="450" spans="19:55">
      <c r="S450" s="454"/>
      <c r="AN450" s="454"/>
      <c r="AY450" s="454"/>
      <c r="AZ450" s="454"/>
      <c r="BA450" s="1306"/>
      <c r="BC450" s="169"/>
    </row>
    <row r="451" spans="19:55">
      <c r="S451" s="454"/>
      <c r="AN451" s="454"/>
      <c r="AY451" s="454"/>
      <c r="AZ451" s="454"/>
      <c r="BA451" s="1306"/>
      <c r="BC451" s="169"/>
    </row>
    <row r="452" spans="19:55">
      <c r="S452" s="454"/>
      <c r="AN452" s="454"/>
      <c r="AY452" s="454"/>
      <c r="AZ452" s="454"/>
      <c r="BA452" s="1306"/>
      <c r="BC452" s="169"/>
    </row>
    <row r="453" spans="19:55">
      <c r="S453" s="454"/>
      <c r="AN453" s="454"/>
      <c r="AY453" s="454"/>
      <c r="AZ453" s="454"/>
      <c r="BA453" s="1306"/>
      <c r="BC453" s="169"/>
    </row>
    <row r="454" spans="19:55">
      <c r="S454" s="454"/>
      <c r="AN454" s="454"/>
      <c r="AY454" s="454"/>
      <c r="AZ454" s="454"/>
      <c r="BA454" s="1306"/>
      <c r="BC454" s="169"/>
    </row>
    <row r="455" spans="19:55">
      <c r="S455" s="454"/>
      <c r="AN455" s="454"/>
      <c r="AY455" s="454"/>
      <c r="AZ455" s="454"/>
      <c r="BA455" s="1306"/>
      <c r="BC455" s="169"/>
    </row>
    <row r="456" spans="19:55">
      <c r="S456" s="454"/>
      <c r="AN456" s="454"/>
      <c r="AY456" s="454"/>
      <c r="AZ456" s="454"/>
      <c r="BA456" s="1306"/>
      <c r="BC456" s="169"/>
    </row>
    <row r="457" spans="19:55">
      <c r="S457" s="454"/>
      <c r="AN457" s="454"/>
      <c r="AY457" s="454"/>
      <c r="AZ457" s="454"/>
      <c r="BA457" s="1306"/>
      <c r="BC457" s="169"/>
    </row>
    <row r="458" spans="19:55">
      <c r="S458" s="454"/>
      <c r="AN458" s="454"/>
      <c r="AY458" s="454"/>
      <c r="AZ458" s="454"/>
      <c r="BA458" s="1306"/>
      <c r="BC458" s="169"/>
    </row>
    <row r="459" spans="19:55">
      <c r="S459" s="454"/>
      <c r="AN459" s="454"/>
      <c r="AY459" s="454"/>
      <c r="AZ459" s="454"/>
      <c r="BA459" s="1306"/>
      <c r="BC459" s="169"/>
    </row>
    <row r="460" spans="19:55">
      <c r="S460" s="454"/>
      <c r="AN460" s="454"/>
      <c r="AY460" s="454"/>
      <c r="AZ460" s="454"/>
      <c r="BA460" s="1306"/>
      <c r="BC460" s="169"/>
    </row>
    <row r="461" spans="19:55">
      <c r="S461" s="454"/>
      <c r="AN461" s="454"/>
      <c r="AY461" s="454"/>
      <c r="AZ461" s="454"/>
      <c r="BA461" s="1306"/>
      <c r="BC461" s="169"/>
    </row>
    <row r="462" spans="19:55">
      <c r="S462" s="454"/>
      <c r="AN462" s="454"/>
      <c r="AY462" s="454"/>
      <c r="AZ462" s="454"/>
      <c r="BA462" s="1306"/>
      <c r="BC462" s="169"/>
    </row>
    <row r="463" spans="19:55">
      <c r="S463" s="454"/>
      <c r="AN463" s="454"/>
      <c r="AY463" s="454"/>
      <c r="AZ463" s="454"/>
      <c r="BA463" s="1306"/>
      <c r="BC463" s="169"/>
    </row>
    <row r="464" spans="19:55">
      <c r="S464" s="454"/>
      <c r="AN464" s="454"/>
      <c r="AY464" s="454"/>
      <c r="AZ464" s="454"/>
      <c r="BA464" s="1306"/>
      <c r="BC464" s="169"/>
    </row>
    <row r="465" spans="19:55">
      <c r="S465" s="454"/>
      <c r="AN465" s="454"/>
      <c r="AY465" s="454"/>
      <c r="AZ465" s="454"/>
      <c r="BA465" s="1306"/>
      <c r="BC465" s="169"/>
    </row>
    <row r="466" spans="19:55">
      <c r="S466" s="454"/>
      <c r="AN466" s="454"/>
      <c r="AY466" s="454"/>
      <c r="AZ466" s="454"/>
      <c r="BA466" s="1306"/>
      <c r="BC466" s="169"/>
    </row>
    <row r="467" spans="19:55">
      <c r="S467" s="454"/>
      <c r="AN467" s="454"/>
      <c r="AY467" s="454"/>
      <c r="AZ467" s="454"/>
      <c r="BA467" s="1306"/>
      <c r="BC467" s="169"/>
    </row>
    <row r="468" spans="19:55">
      <c r="S468" s="454"/>
      <c r="AN468" s="454"/>
      <c r="AY468" s="454"/>
      <c r="AZ468" s="454"/>
      <c r="BA468" s="1306"/>
      <c r="BC468" s="169"/>
    </row>
    <row r="469" spans="19:55">
      <c r="S469" s="454"/>
      <c r="AN469" s="454"/>
      <c r="AY469" s="454"/>
      <c r="AZ469" s="454"/>
      <c r="BA469" s="1306"/>
      <c r="BC469" s="169"/>
    </row>
    <row r="470" spans="19:55">
      <c r="S470" s="454"/>
      <c r="AN470" s="454"/>
      <c r="AY470" s="454"/>
      <c r="AZ470" s="454"/>
      <c r="BA470" s="1306"/>
      <c r="BC470" s="169"/>
    </row>
    <row r="471" spans="19:55">
      <c r="S471" s="454"/>
      <c r="AN471" s="454"/>
      <c r="AY471" s="454"/>
      <c r="AZ471" s="454"/>
      <c r="BA471" s="1306"/>
      <c r="BC471" s="169"/>
    </row>
    <row r="472" spans="19:55">
      <c r="S472" s="454"/>
      <c r="AN472" s="454"/>
      <c r="AY472" s="454"/>
      <c r="AZ472" s="454"/>
      <c r="BA472" s="1306"/>
      <c r="BC472" s="169"/>
    </row>
    <row r="473" spans="19:55">
      <c r="S473" s="454"/>
      <c r="AN473" s="454"/>
      <c r="AY473" s="454"/>
      <c r="AZ473" s="454"/>
      <c r="BA473" s="1306"/>
      <c r="BC473" s="169"/>
    </row>
    <row r="474" spans="19:55">
      <c r="S474" s="454"/>
      <c r="AN474" s="454"/>
      <c r="AY474" s="454"/>
      <c r="AZ474" s="454"/>
      <c r="BA474" s="1306"/>
      <c r="BC474" s="169"/>
    </row>
    <row r="475" spans="19:55">
      <c r="S475" s="454"/>
      <c r="AN475" s="454"/>
      <c r="AY475" s="454"/>
      <c r="AZ475" s="454"/>
      <c r="BA475" s="1306"/>
      <c r="BC475" s="169"/>
    </row>
    <row r="476" spans="19:55">
      <c r="S476" s="454"/>
      <c r="AN476" s="454"/>
      <c r="AY476" s="454"/>
      <c r="AZ476" s="454"/>
      <c r="BA476" s="1306"/>
      <c r="BC476" s="169"/>
    </row>
    <row r="477" spans="19:55">
      <c r="S477" s="454"/>
      <c r="AN477" s="454"/>
      <c r="AY477" s="454"/>
      <c r="AZ477" s="454"/>
      <c r="BA477" s="1306"/>
      <c r="BC477" s="169"/>
    </row>
    <row r="478" spans="19:55">
      <c r="S478" s="454"/>
      <c r="AN478" s="454"/>
      <c r="AY478" s="454"/>
      <c r="AZ478" s="454"/>
      <c r="BA478" s="1306"/>
      <c r="BC478" s="169"/>
    </row>
    <row r="479" spans="19:55">
      <c r="S479" s="454"/>
      <c r="AN479" s="454"/>
      <c r="AY479" s="454"/>
      <c r="AZ479" s="454"/>
      <c r="BA479" s="1306"/>
      <c r="BC479" s="169"/>
    </row>
    <row r="480" spans="19:55">
      <c r="S480" s="454"/>
      <c r="AN480" s="454"/>
      <c r="AY480" s="454"/>
      <c r="AZ480" s="454"/>
      <c r="BA480" s="1306"/>
      <c r="BC480" s="169"/>
    </row>
    <row r="481" spans="19:55">
      <c r="S481" s="454"/>
      <c r="AN481" s="454"/>
      <c r="AY481" s="454"/>
      <c r="AZ481" s="454"/>
      <c r="BA481" s="1306"/>
      <c r="BC481" s="169"/>
    </row>
    <row r="482" spans="19:55">
      <c r="S482" s="454"/>
      <c r="AN482" s="454"/>
      <c r="AY482" s="454"/>
      <c r="AZ482" s="454"/>
      <c r="BA482" s="1306"/>
      <c r="BC482" s="169"/>
    </row>
    <row r="483" spans="19:55">
      <c r="S483" s="454"/>
      <c r="AN483" s="454"/>
      <c r="AY483" s="454"/>
      <c r="AZ483" s="454"/>
      <c r="BA483" s="1306"/>
      <c r="BC483" s="169"/>
    </row>
    <row r="484" spans="19:55">
      <c r="S484" s="454"/>
      <c r="AN484" s="454"/>
      <c r="AY484" s="454"/>
      <c r="AZ484" s="454"/>
      <c r="BA484" s="1306"/>
      <c r="BC484" s="169"/>
    </row>
    <row r="485" spans="19:55">
      <c r="S485" s="454"/>
      <c r="AN485" s="454"/>
      <c r="AY485" s="454"/>
      <c r="AZ485" s="454"/>
      <c r="BA485" s="1306"/>
      <c r="BC485" s="169"/>
    </row>
    <row r="486" spans="19:55">
      <c r="S486" s="454"/>
      <c r="AN486" s="454"/>
      <c r="AY486" s="454"/>
      <c r="AZ486" s="454"/>
      <c r="BA486" s="1306"/>
      <c r="BC486" s="169"/>
    </row>
    <row r="487" spans="19:55">
      <c r="S487" s="454"/>
      <c r="AN487" s="454"/>
      <c r="AY487" s="454"/>
      <c r="AZ487" s="454"/>
      <c r="BA487" s="1306"/>
      <c r="BC487" s="169"/>
    </row>
    <row r="488" spans="19:55">
      <c r="S488" s="454"/>
      <c r="AN488" s="454"/>
      <c r="AY488" s="454"/>
      <c r="AZ488" s="454"/>
      <c r="BA488" s="1306"/>
      <c r="BC488" s="169"/>
    </row>
    <row r="489" spans="19:55">
      <c r="S489" s="454"/>
      <c r="AN489" s="454"/>
      <c r="AY489" s="454"/>
      <c r="AZ489" s="454"/>
      <c r="BA489" s="1306"/>
      <c r="BC489" s="169"/>
    </row>
    <row r="490" spans="19:55">
      <c r="S490" s="454"/>
      <c r="AN490" s="454"/>
      <c r="AY490" s="454"/>
      <c r="AZ490" s="454"/>
      <c r="BA490" s="1306"/>
      <c r="BC490" s="169"/>
    </row>
    <row r="491" spans="19:55">
      <c r="S491" s="454"/>
      <c r="AN491" s="454"/>
      <c r="AY491" s="454"/>
      <c r="AZ491" s="454"/>
      <c r="BA491" s="1306"/>
      <c r="BC491" s="169"/>
    </row>
    <row r="492" spans="19:55">
      <c r="S492" s="454"/>
      <c r="AN492" s="454"/>
      <c r="AY492" s="454"/>
      <c r="AZ492" s="454"/>
      <c r="BA492" s="1306"/>
      <c r="BC492" s="169"/>
    </row>
    <row r="493" spans="19:55">
      <c r="S493" s="454"/>
      <c r="AN493" s="454"/>
      <c r="AY493" s="454"/>
      <c r="AZ493" s="454"/>
      <c r="BA493" s="1306"/>
      <c r="BC493" s="169"/>
    </row>
    <row r="494" spans="19:55">
      <c r="S494" s="454"/>
      <c r="AN494" s="454"/>
      <c r="AY494" s="454"/>
      <c r="AZ494" s="454"/>
      <c r="BA494" s="1306"/>
      <c r="BC494" s="169"/>
    </row>
    <row r="495" spans="19:55">
      <c r="S495" s="454"/>
      <c r="AN495" s="454"/>
      <c r="AY495" s="454"/>
      <c r="AZ495" s="454"/>
      <c r="BA495" s="1306"/>
      <c r="BC495" s="169"/>
    </row>
    <row r="496" spans="19:55">
      <c r="S496" s="454"/>
      <c r="AN496" s="454"/>
      <c r="AY496" s="454"/>
      <c r="AZ496" s="454"/>
      <c r="BA496" s="1306"/>
      <c r="BC496" s="169"/>
    </row>
    <row r="497" spans="19:55">
      <c r="S497" s="454"/>
      <c r="AN497" s="454"/>
      <c r="AY497" s="454"/>
      <c r="AZ497" s="454"/>
      <c r="BA497" s="1306"/>
      <c r="BC497" s="169"/>
    </row>
    <row r="498" spans="19:55">
      <c r="S498" s="454"/>
      <c r="AN498" s="454"/>
      <c r="AY498" s="454"/>
      <c r="AZ498" s="454"/>
      <c r="BA498" s="1306"/>
      <c r="BC498" s="169"/>
    </row>
    <row r="499" spans="19:55">
      <c r="S499" s="454"/>
      <c r="AN499" s="454"/>
      <c r="AY499" s="454"/>
      <c r="AZ499" s="454"/>
      <c r="BA499" s="1306"/>
      <c r="BC499" s="169"/>
    </row>
    <row r="500" spans="19:55">
      <c r="S500" s="454"/>
      <c r="AN500" s="454"/>
      <c r="AY500" s="454"/>
      <c r="AZ500" s="454"/>
      <c r="BA500" s="1306"/>
      <c r="BC500" s="169"/>
    </row>
    <row r="501" spans="19:55">
      <c r="S501" s="454"/>
      <c r="AN501" s="454"/>
      <c r="AY501" s="454"/>
      <c r="AZ501" s="454"/>
      <c r="BA501" s="1306"/>
      <c r="BC501" s="169"/>
    </row>
    <row r="502" spans="19:55">
      <c r="S502" s="454"/>
      <c r="AN502" s="454"/>
      <c r="AY502" s="454"/>
      <c r="AZ502" s="454"/>
      <c r="BA502" s="1306"/>
      <c r="BC502" s="169"/>
    </row>
    <row r="503" spans="19:55">
      <c r="S503" s="454"/>
      <c r="AN503" s="454"/>
      <c r="AY503" s="454"/>
      <c r="AZ503" s="454"/>
      <c r="BA503" s="1306"/>
      <c r="BC503" s="169"/>
    </row>
    <row r="504" spans="19:55">
      <c r="S504" s="454"/>
      <c r="AN504" s="454"/>
      <c r="AY504" s="454"/>
      <c r="AZ504" s="454"/>
      <c r="BA504" s="1306"/>
      <c r="BC504" s="169"/>
    </row>
    <row r="505" spans="19:55">
      <c r="S505" s="454"/>
      <c r="AN505" s="454"/>
      <c r="AY505" s="454"/>
      <c r="AZ505" s="454"/>
      <c r="BA505" s="1306"/>
      <c r="BC505" s="169"/>
    </row>
    <row r="506" spans="19:55">
      <c r="S506" s="454"/>
      <c r="AN506" s="454"/>
      <c r="AY506" s="454"/>
      <c r="AZ506" s="454"/>
      <c r="BA506" s="1306"/>
      <c r="BC506" s="169"/>
    </row>
    <row r="507" spans="19:55">
      <c r="S507" s="454"/>
      <c r="AN507" s="454"/>
      <c r="AY507" s="454"/>
      <c r="AZ507" s="454"/>
      <c r="BA507" s="1306"/>
      <c r="BC507" s="169"/>
    </row>
    <row r="508" spans="19:55">
      <c r="S508" s="454"/>
      <c r="AN508" s="454"/>
      <c r="AY508" s="454"/>
      <c r="AZ508" s="454"/>
      <c r="BA508" s="1306"/>
      <c r="BC508" s="169"/>
    </row>
    <row r="509" spans="19:55">
      <c r="S509" s="454"/>
      <c r="AN509" s="454"/>
      <c r="AY509" s="454"/>
      <c r="AZ509" s="454"/>
      <c r="BA509" s="1306"/>
      <c r="BC509" s="169"/>
    </row>
    <row r="510" spans="19:55">
      <c r="S510" s="454"/>
      <c r="AN510" s="454"/>
      <c r="AY510" s="454"/>
      <c r="AZ510" s="454"/>
      <c r="BA510" s="1306"/>
      <c r="BC510" s="169"/>
    </row>
    <row r="511" spans="19:55">
      <c r="S511" s="454"/>
      <c r="AN511" s="454"/>
      <c r="AY511" s="454"/>
      <c r="AZ511" s="454"/>
      <c r="BA511" s="1306"/>
      <c r="BC511" s="169"/>
    </row>
    <row r="512" spans="19:55">
      <c r="S512" s="454"/>
      <c r="AN512" s="454"/>
      <c r="AY512" s="454"/>
      <c r="AZ512" s="454"/>
      <c r="BA512" s="1306"/>
      <c r="BC512" s="169"/>
    </row>
    <row r="513" spans="19:55">
      <c r="S513" s="454"/>
      <c r="AN513" s="454"/>
      <c r="AY513" s="454"/>
      <c r="AZ513" s="454"/>
      <c r="BA513" s="1306"/>
      <c r="BC513" s="169"/>
    </row>
    <row r="514" spans="19:55">
      <c r="S514" s="454"/>
      <c r="AN514" s="454"/>
      <c r="AY514" s="454"/>
      <c r="AZ514" s="454"/>
      <c r="BA514" s="1306"/>
      <c r="BC514" s="169"/>
    </row>
    <row r="515" spans="19:55">
      <c r="S515" s="454"/>
      <c r="AN515" s="454"/>
      <c r="AY515" s="454"/>
      <c r="AZ515" s="454"/>
      <c r="BA515" s="1306"/>
      <c r="BC515" s="169"/>
    </row>
    <row r="516" spans="19:55">
      <c r="S516" s="454"/>
      <c r="AN516" s="454"/>
      <c r="AY516" s="454"/>
      <c r="AZ516" s="454"/>
      <c r="BA516" s="1306"/>
      <c r="BC516" s="169"/>
    </row>
    <row r="517" spans="19:55">
      <c r="S517" s="454"/>
      <c r="AN517" s="454"/>
      <c r="AY517" s="454"/>
      <c r="AZ517" s="454"/>
      <c r="BA517" s="1306"/>
      <c r="BC517" s="169"/>
    </row>
    <row r="518" spans="19:55">
      <c r="S518" s="454"/>
      <c r="AN518" s="454"/>
      <c r="AY518" s="454"/>
      <c r="AZ518" s="454"/>
      <c r="BA518" s="1306"/>
      <c r="BC518" s="169"/>
    </row>
    <row r="519" spans="19:55">
      <c r="S519" s="454"/>
      <c r="AN519" s="454"/>
      <c r="AY519" s="454"/>
      <c r="AZ519" s="454"/>
      <c r="BA519" s="1306"/>
      <c r="BC519" s="169"/>
    </row>
    <row r="520" spans="19:55">
      <c r="S520" s="454"/>
      <c r="AN520" s="454"/>
      <c r="AY520" s="454"/>
      <c r="AZ520" s="454"/>
      <c r="BA520" s="1306"/>
      <c r="BC520" s="169"/>
    </row>
    <row r="521" spans="19:55">
      <c r="S521" s="454"/>
      <c r="AN521" s="454"/>
      <c r="AY521" s="454"/>
      <c r="AZ521" s="454"/>
      <c r="BA521" s="1306"/>
      <c r="BC521" s="169"/>
    </row>
    <row r="522" spans="19:55">
      <c r="S522" s="454"/>
      <c r="AN522" s="454"/>
      <c r="AY522" s="454"/>
      <c r="AZ522" s="454"/>
      <c r="BA522" s="1306"/>
      <c r="BC522" s="169"/>
    </row>
    <row r="523" spans="19:55">
      <c r="S523" s="454"/>
      <c r="AN523" s="454"/>
      <c r="AY523" s="454"/>
      <c r="AZ523" s="454"/>
      <c r="BA523" s="1306"/>
      <c r="BC523" s="169"/>
    </row>
    <row r="524" spans="19:55">
      <c r="S524" s="454"/>
      <c r="AN524" s="454"/>
      <c r="AY524" s="454"/>
      <c r="AZ524" s="454"/>
      <c r="BA524" s="1306"/>
      <c r="BC524" s="169"/>
    </row>
    <row r="525" spans="19:55">
      <c r="S525" s="454"/>
      <c r="AN525" s="454"/>
      <c r="AY525" s="454"/>
      <c r="AZ525" s="454"/>
      <c r="BA525" s="1306"/>
      <c r="BC525" s="169"/>
    </row>
    <row r="526" spans="19:55">
      <c r="S526" s="454"/>
      <c r="AN526" s="454"/>
      <c r="AY526" s="454"/>
      <c r="AZ526" s="454"/>
      <c r="BA526" s="1306"/>
      <c r="BC526" s="169"/>
    </row>
    <row r="527" spans="19:55">
      <c r="S527" s="454"/>
      <c r="AN527" s="454"/>
      <c r="AY527" s="454"/>
      <c r="AZ527" s="454"/>
      <c r="BA527" s="1306"/>
      <c r="BC527" s="169"/>
    </row>
    <row r="528" spans="19:55">
      <c r="S528" s="454"/>
      <c r="AN528" s="454"/>
      <c r="AY528" s="454"/>
      <c r="AZ528" s="454"/>
      <c r="BA528" s="1306"/>
      <c r="BC528" s="169"/>
    </row>
    <row r="529" spans="19:55">
      <c r="S529" s="454"/>
      <c r="AN529" s="454"/>
      <c r="AY529" s="454"/>
      <c r="AZ529" s="454"/>
      <c r="BA529" s="1306"/>
      <c r="BC529" s="169"/>
    </row>
    <row r="530" spans="19:55">
      <c r="S530" s="454"/>
      <c r="AN530" s="454"/>
      <c r="AY530" s="454"/>
      <c r="AZ530" s="454"/>
      <c r="BA530" s="1306"/>
      <c r="BC530" s="169"/>
    </row>
    <row r="531" spans="19:55">
      <c r="S531" s="454"/>
      <c r="AN531" s="454"/>
      <c r="AY531" s="454"/>
      <c r="AZ531" s="454"/>
      <c r="BA531" s="1306"/>
      <c r="BC531" s="169"/>
    </row>
    <row r="532" spans="19:55">
      <c r="S532" s="454"/>
      <c r="AN532" s="454"/>
      <c r="AY532" s="454"/>
      <c r="AZ532" s="454"/>
      <c r="BA532" s="1306"/>
      <c r="BC532" s="169"/>
    </row>
    <row r="533" spans="19:55">
      <c r="S533" s="454"/>
      <c r="AN533" s="454"/>
      <c r="AY533" s="454"/>
      <c r="AZ533" s="454"/>
      <c r="BA533" s="1306"/>
      <c r="BC533" s="169"/>
    </row>
    <row r="534" spans="19:55">
      <c r="S534" s="454"/>
      <c r="AN534" s="454"/>
      <c r="AY534" s="454"/>
      <c r="AZ534" s="454"/>
      <c r="BA534" s="1306"/>
      <c r="BC534" s="169"/>
    </row>
    <row r="535" spans="19:55">
      <c r="S535" s="454"/>
      <c r="AN535" s="454"/>
      <c r="AY535" s="454"/>
      <c r="AZ535" s="454"/>
      <c r="BA535" s="1306"/>
      <c r="BC535" s="169"/>
    </row>
    <row r="536" spans="19:55">
      <c r="S536" s="454"/>
      <c r="AN536" s="454"/>
      <c r="AY536" s="454"/>
      <c r="AZ536" s="454"/>
      <c r="BA536" s="1306"/>
      <c r="BC536" s="169"/>
    </row>
    <row r="537" spans="19:55">
      <c r="S537" s="454"/>
      <c r="AN537" s="454"/>
      <c r="AY537" s="454"/>
      <c r="AZ537" s="454"/>
      <c r="BA537" s="1306"/>
      <c r="BC537" s="169"/>
    </row>
    <row r="538" spans="19:55">
      <c r="S538" s="454"/>
      <c r="AN538" s="454"/>
      <c r="AY538" s="454"/>
      <c r="AZ538" s="454"/>
      <c r="BA538" s="1306"/>
      <c r="BC538" s="169"/>
    </row>
    <row r="539" spans="19:55">
      <c r="S539" s="454"/>
      <c r="AN539" s="454"/>
      <c r="AY539" s="454"/>
      <c r="AZ539" s="454"/>
      <c r="BA539" s="1306"/>
      <c r="BC539" s="169"/>
    </row>
    <row r="540" spans="19:55">
      <c r="S540" s="454"/>
      <c r="AN540" s="454"/>
      <c r="AY540" s="454"/>
      <c r="AZ540" s="454"/>
      <c r="BA540" s="1306"/>
      <c r="BC540" s="169"/>
    </row>
    <row r="541" spans="19:55">
      <c r="S541" s="454"/>
      <c r="AN541" s="454"/>
      <c r="AY541" s="454"/>
      <c r="AZ541" s="454"/>
      <c r="BA541" s="1306"/>
      <c r="BC541" s="169"/>
    </row>
    <row r="542" spans="19:55">
      <c r="S542" s="454"/>
      <c r="AN542" s="454"/>
      <c r="AY542" s="454"/>
      <c r="AZ542" s="454"/>
      <c r="BA542" s="1306"/>
      <c r="BC542" s="169"/>
    </row>
    <row r="543" spans="19:55">
      <c r="S543" s="454"/>
      <c r="AN543" s="454"/>
      <c r="AY543" s="454"/>
      <c r="AZ543" s="454"/>
      <c r="BA543" s="1306"/>
      <c r="BC543" s="169"/>
    </row>
    <row r="544" spans="19:55">
      <c r="S544" s="454"/>
      <c r="AN544" s="454"/>
      <c r="AY544" s="454"/>
      <c r="AZ544" s="454"/>
      <c r="BA544" s="1306"/>
      <c r="BC544" s="169"/>
    </row>
    <row r="545" spans="19:55">
      <c r="S545" s="454"/>
      <c r="AN545" s="454"/>
      <c r="AY545" s="454"/>
      <c r="AZ545" s="454"/>
      <c r="BA545" s="1306"/>
      <c r="BC545" s="169"/>
    </row>
    <row r="546" spans="19:55">
      <c r="S546" s="454"/>
      <c r="AN546" s="454"/>
      <c r="AY546" s="454"/>
      <c r="AZ546" s="454"/>
      <c r="BA546" s="1306"/>
      <c r="BC546" s="169"/>
    </row>
    <row r="547" spans="19:55">
      <c r="S547" s="454"/>
      <c r="AN547" s="454"/>
      <c r="AY547" s="454"/>
      <c r="AZ547" s="454"/>
      <c r="BA547" s="1306"/>
      <c r="BC547" s="169"/>
    </row>
    <row r="548" spans="19:55">
      <c r="S548" s="454"/>
      <c r="AN548" s="454"/>
      <c r="AY548" s="454"/>
      <c r="AZ548" s="454"/>
      <c r="BA548" s="1306"/>
      <c r="BC548" s="169"/>
    </row>
    <row r="549" spans="19:55">
      <c r="S549" s="454"/>
      <c r="AN549" s="454"/>
      <c r="AY549" s="454"/>
      <c r="AZ549" s="454"/>
      <c r="BA549" s="1306"/>
      <c r="BC549" s="169"/>
    </row>
    <row r="550" spans="19:55">
      <c r="S550" s="454"/>
      <c r="AN550" s="454"/>
      <c r="AY550" s="454"/>
      <c r="AZ550" s="454"/>
      <c r="BA550" s="1306"/>
      <c r="BC550" s="169"/>
    </row>
    <row r="551" spans="19:55">
      <c r="S551" s="454"/>
      <c r="AN551" s="454"/>
      <c r="AY551" s="454"/>
      <c r="AZ551" s="454"/>
      <c r="BA551" s="1306"/>
      <c r="BC551" s="169"/>
    </row>
    <row r="552" spans="19:55">
      <c r="S552" s="454"/>
      <c r="AN552" s="454"/>
      <c r="AY552" s="454"/>
      <c r="AZ552" s="454"/>
      <c r="BA552" s="1306"/>
      <c r="BC552" s="169"/>
    </row>
    <row r="553" spans="19:55">
      <c r="S553" s="454"/>
      <c r="AN553" s="454"/>
      <c r="AY553" s="454"/>
      <c r="AZ553" s="454"/>
      <c r="BA553" s="1306"/>
      <c r="BC553" s="169"/>
    </row>
    <row r="554" spans="19:55">
      <c r="S554" s="454"/>
      <c r="AN554" s="454"/>
      <c r="AY554" s="454"/>
      <c r="AZ554" s="454"/>
      <c r="BA554" s="1306"/>
      <c r="BC554" s="169"/>
    </row>
    <row r="555" spans="19:55">
      <c r="S555" s="454"/>
      <c r="AN555" s="454"/>
      <c r="AY555" s="454"/>
      <c r="AZ555" s="454"/>
      <c r="BA555" s="1306"/>
      <c r="BC555" s="169"/>
    </row>
    <row r="556" spans="19:55">
      <c r="S556" s="454"/>
      <c r="AN556" s="454"/>
      <c r="AY556" s="454"/>
      <c r="AZ556" s="454"/>
      <c r="BA556" s="1306"/>
      <c r="BC556" s="169"/>
    </row>
    <row r="557" spans="19:55">
      <c r="S557" s="454"/>
      <c r="AN557" s="454"/>
      <c r="AY557" s="454"/>
      <c r="AZ557" s="454"/>
      <c r="BA557" s="1306"/>
      <c r="BC557" s="169"/>
    </row>
    <row r="558" spans="19:55">
      <c r="S558" s="454"/>
      <c r="AN558" s="454"/>
      <c r="AY558" s="454"/>
      <c r="AZ558" s="454"/>
      <c r="BA558" s="1306"/>
      <c r="BC558" s="169"/>
    </row>
    <row r="559" spans="19:55">
      <c r="S559" s="454"/>
      <c r="AN559" s="454"/>
      <c r="AY559" s="454"/>
      <c r="AZ559" s="454"/>
      <c r="BA559" s="1306"/>
      <c r="BC559" s="169"/>
    </row>
    <row r="560" spans="19:55">
      <c r="S560" s="454"/>
      <c r="AN560" s="454"/>
      <c r="AY560" s="454"/>
      <c r="AZ560" s="454"/>
      <c r="BA560" s="1306"/>
      <c r="BC560" s="169"/>
    </row>
    <row r="561" spans="19:55">
      <c r="S561" s="454"/>
      <c r="AN561" s="454"/>
      <c r="AY561" s="454"/>
      <c r="AZ561" s="454"/>
      <c r="BA561" s="1306"/>
      <c r="BC561" s="169"/>
    </row>
    <row r="562" spans="19:55">
      <c r="S562" s="454"/>
      <c r="AN562" s="454"/>
      <c r="AY562" s="454"/>
      <c r="AZ562" s="454"/>
      <c r="BA562" s="1306"/>
      <c r="BC562" s="169"/>
    </row>
    <row r="563" spans="19:55">
      <c r="S563" s="454"/>
      <c r="AN563" s="454"/>
      <c r="AY563" s="454"/>
      <c r="AZ563" s="454"/>
      <c r="BA563" s="1306"/>
      <c r="BC563" s="169"/>
    </row>
    <row r="564" spans="19:55">
      <c r="S564" s="454"/>
      <c r="AN564" s="454"/>
      <c r="AY564" s="454"/>
      <c r="AZ564" s="454"/>
      <c r="BA564" s="1306"/>
      <c r="BC564" s="169"/>
    </row>
    <row r="565" spans="19:55">
      <c r="S565" s="454"/>
      <c r="AN565" s="454"/>
      <c r="AY565" s="454"/>
      <c r="AZ565" s="454"/>
      <c r="BA565" s="1306"/>
      <c r="BC565" s="169"/>
    </row>
    <row r="566" spans="19:55">
      <c r="S566" s="454"/>
      <c r="AN566" s="454"/>
      <c r="AY566" s="454"/>
      <c r="AZ566" s="454"/>
      <c r="BA566" s="1306"/>
      <c r="BC566" s="169"/>
    </row>
    <row r="567" spans="19:55">
      <c r="S567" s="454"/>
      <c r="AN567" s="454"/>
      <c r="AY567" s="454"/>
      <c r="AZ567" s="454"/>
      <c r="BA567" s="1306"/>
      <c r="BC567" s="169"/>
    </row>
    <row r="568" spans="19:55">
      <c r="S568" s="454"/>
      <c r="AN568" s="454"/>
      <c r="AY568" s="454"/>
      <c r="AZ568" s="454"/>
      <c r="BA568" s="1306"/>
      <c r="BC568" s="169"/>
    </row>
    <row r="569" spans="19:55">
      <c r="S569" s="454"/>
      <c r="AN569" s="454"/>
      <c r="AY569" s="454"/>
      <c r="AZ569" s="454"/>
      <c r="BA569" s="1306"/>
      <c r="BC569" s="169"/>
    </row>
    <row r="570" spans="19:55">
      <c r="S570" s="454"/>
      <c r="AN570" s="454"/>
      <c r="AY570" s="454"/>
      <c r="AZ570" s="454"/>
      <c r="BA570" s="1306"/>
      <c r="BC570" s="169"/>
    </row>
    <row r="571" spans="19:55">
      <c r="S571" s="454"/>
      <c r="AN571" s="454"/>
      <c r="AY571" s="454"/>
      <c r="AZ571" s="454"/>
      <c r="BA571" s="1306"/>
      <c r="BC571" s="169"/>
    </row>
    <row r="572" spans="19:55">
      <c r="S572" s="454"/>
      <c r="AN572" s="454"/>
      <c r="AY572" s="454"/>
      <c r="AZ572" s="454"/>
      <c r="BA572" s="1306"/>
      <c r="BC572" s="169"/>
    </row>
    <row r="573" spans="19:55">
      <c r="S573" s="454"/>
      <c r="AN573" s="454"/>
      <c r="AY573" s="454"/>
      <c r="AZ573" s="454"/>
      <c r="BA573" s="1306"/>
      <c r="BC573" s="169"/>
    </row>
    <row r="574" spans="19:55">
      <c r="S574" s="454"/>
      <c r="AN574" s="454"/>
      <c r="AY574" s="454"/>
      <c r="AZ574" s="454"/>
      <c r="BA574" s="1306"/>
      <c r="BC574" s="169"/>
    </row>
    <row r="575" spans="19:55">
      <c r="S575" s="454"/>
      <c r="AN575" s="454"/>
      <c r="AY575" s="454"/>
      <c r="AZ575" s="454"/>
      <c r="BA575" s="1306"/>
      <c r="BC575" s="169"/>
    </row>
    <row r="576" spans="19:55">
      <c r="S576" s="454"/>
      <c r="AN576" s="454"/>
      <c r="AY576" s="454"/>
      <c r="AZ576" s="454"/>
      <c r="BA576" s="1306"/>
      <c r="BC576" s="169"/>
    </row>
    <row r="577" spans="19:55">
      <c r="S577" s="454"/>
      <c r="AN577" s="454"/>
      <c r="AY577" s="454"/>
      <c r="AZ577" s="454"/>
      <c r="BA577" s="1306"/>
      <c r="BC577" s="169"/>
    </row>
    <row r="578" spans="19:55">
      <c r="S578" s="454"/>
      <c r="AN578" s="454"/>
      <c r="AY578" s="454"/>
      <c r="AZ578" s="454"/>
      <c r="BA578" s="1306"/>
      <c r="BC578" s="169"/>
    </row>
    <row r="579" spans="19:55">
      <c r="S579" s="454"/>
      <c r="AN579" s="454"/>
      <c r="AY579" s="454"/>
      <c r="AZ579" s="454"/>
      <c r="BA579" s="1306"/>
      <c r="BC579" s="169"/>
    </row>
    <row r="580" spans="19:55">
      <c r="S580" s="454"/>
      <c r="AN580" s="454"/>
      <c r="AY580" s="454"/>
      <c r="AZ580" s="454"/>
      <c r="BA580" s="1306"/>
      <c r="BC580" s="169"/>
    </row>
    <row r="581" spans="19:55">
      <c r="S581" s="454"/>
      <c r="AN581" s="454"/>
      <c r="AY581" s="454"/>
      <c r="AZ581" s="454"/>
      <c r="BA581" s="1306"/>
      <c r="BC581" s="169"/>
    </row>
    <row r="582" spans="19:55">
      <c r="S582" s="454"/>
      <c r="AN582" s="454"/>
      <c r="AY582" s="454"/>
      <c r="AZ582" s="454"/>
      <c r="BA582" s="1306"/>
      <c r="BC582" s="169"/>
    </row>
    <row r="583" spans="19:55">
      <c r="S583" s="454"/>
      <c r="AN583" s="454"/>
      <c r="AY583" s="454"/>
      <c r="AZ583" s="454"/>
      <c r="BA583" s="1306"/>
      <c r="BC583" s="169"/>
    </row>
    <row r="584" spans="19:55">
      <c r="S584" s="454"/>
      <c r="AN584" s="454"/>
      <c r="AY584" s="454"/>
      <c r="AZ584" s="454"/>
      <c r="BA584" s="1306"/>
      <c r="BC584" s="169"/>
    </row>
    <row r="585" spans="19:55">
      <c r="S585" s="454"/>
      <c r="AN585" s="454"/>
      <c r="AY585" s="454"/>
      <c r="AZ585" s="454"/>
      <c r="BA585" s="1306"/>
      <c r="BC585" s="169"/>
    </row>
    <row r="586" spans="19:55">
      <c r="S586" s="454"/>
      <c r="AN586" s="454"/>
      <c r="AY586" s="454"/>
      <c r="AZ586" s="454"/>
      <c r="BA586" s="1306"/>
      <c r="BC586" s="169"/>
    </row>
    <row r="587" spans="19:55">
      <c r="S587" s="454"/>
      <c r="AN587" s="454"/>
      <c r="AY587" s="454"/>
      <c r="AZ587" s="454"/>
      <c r="BA587" s="1306"/>
      <c r="BC587" s="169"/>
    </row>
    <row r="588" spans="19:55">
      <c r="S588" s="454"/>
      <c r="AN588" s="454"/>
      <c r="AY588" s="454"/>
      <c r="AZ588" s="454"/>
      <c r="BA588" s="1306"/>
      <c r="BC588" s="169"/>
    </row>
    <row r="589" spans="19:55">
      <c r="S589" s="454"/>
      <c r="AN589" s="454"/>
      <c r="AY589" s="454"/>
      <c r="AZ589" s="454"/>
      <c r="BA589" s="1306"/>
      <c r="BC589" s="169"/>
    </row>
    <row r="590" spans="19:55">
      <c r="S590" s="454"/>
      <c r="AN590" s="454"/>
      <c r="AY590" s="454"/>
      <c r="AZ590" s="454"/>
      <c r="BA590" s="1306"/>
      <c r="BC590" s="169"/>
    </row>
    <row r="591" spans="19:55">
      <c r="S591" s="454"/>
      <c r="AN591" s="454"/>
      <c r="AY591" s="454"/>
      <c r="AZ591" s="454"/>
      <c r="BA591" s="1306"/>
      <c r="BC591" s="169"/>
    </row>
    <row r="592" spans="19:55">
      <c r="S592" s="454"/>
      <c r="AN592" s="454"/>
      <c r="AY592" s="454"/>
      <c r="AZ592" s="454"/>
      <c r="BA592" s="1306"/>
      <c r="BC592" s="169"/>
    </row>
    <row r="593" spans="19:55">
      <c r="S593" s="454"/>
      <c r="AN593" s="454"/>
      <c r="AY593" s="454"/>
      <c r="AZ593" s="454"/>
      <c r="BA593" s="1306"/>
      <c r="BC593" s="169"/>
    </row>
    <row r="594" spans="19:55">
      <c r="S594" s="454"/>
      <c r="AN594" s="454"/>
      <c r="AY594" s="454"/>
      <c r="AZ594" s="454"/>
      <c r="BA594" s="1306"/>
      <c r="BC594" s="169"/>
    </row>
    <row r="595" spans="19:55">
      <c r="S595" s="454"/>
      <c r="AN595" s="454"/>
      <c r="AY595" s="454"/>
      <c r="AZ595" s="454"/>
      <c r="BA595" s="1306"/>
      <c r="BC595" s="169"/>
    </row>
    <row r="596" spans="19:55">
      <c r="S596" s="454"/>
      <c r="AN596" s="454"/>
      <c r="AY596" s="454"/>
      <c r="AZ596" s="454"/>
      <c r="BA596" s="1306"/>
      <c r="BC596" s="169"/>
    </row>
    <row r="597" spans="19:55">
      <c r="S597" s="454"/>
      <c r="AN597" s="454"/>
      <c r="AY597" s="454"/>
      <c r="AZ597" s="454"/>
      <c r="BA597" s="1306"/>
      <c r="BC597" s="169"/>
    </row>
    <row r="598" spans="19:55">
      <c r="S598" s="454"/>
      <c r="AN598" s="454"/>
      <c r="AY598" s="454"/>
      <c r="AZ598" s="454"/>
      <c r="BA598" s="1306"/>
      <c r="BC598" s="169"/>
    </row>
    <row r="599" spans="19:55">
      <c r="S599" s="454"/>
      <c r="AN599" s="454"/>
      <c r="AY599" s="454"/>
      <c r="AZ599" s="454"/>
      <c r="BA599" s="1306"/>
      <c r="BC599" s="169"/>
    </row>
    <row r="600" spans="19:55">
      <c r="S600" s="454"/>
      <c r="AN600" s="454"/>
      <c r="AY600" s="454"/>
      <c r="AZ600" s="454"/>
      <c r="BA600" s="1306"/>
      <c r="BC600" s="169"/>
    </row>
    <row r="601" spans="19:55">
      <c r="S601" s="454"/>
      <c r="AN601" s="454"/>
      <c r="AY601" s="454"/>
      <c r="AZ601" s="454"/>
      <c r="BA601" s="1306"/>
      <c r="BC601" s="169"/>
    </row>
    <row r="602" spans="19:55">
      <c r="S602" s="454"/>
      <c r="AN602" s="454"/>
      <c r="AY602" s="454"/>
      <c r="AZ602" s="454"/>
      <c r="BA602" s="1306"/>
      <c r="BC602" s="169"/>
    </row>
    <row r="603" spans="19:55">
      <c r="S603" s="454"/>
      <c r="AN603" s="454"/>
      <c r="AY603" s="454"/>
      <c r="AZ603" s="454"/>
      <c r="BA603" s="1306"/>
      <c r="BC603" s="169"/>
    </row>
    <row r="604" spans="19:55">
      <c r="S604" s="454"/>
      <c r="AN604" s="454"/>
      <c r="AY604" s="454"/>
      <c r="AZ604" s="454"/>
      <c r="BA604" s="1306"/>
      <c r="BC604" s="169"/>
    </row>
    <row r="605" spans="19:55">
      <c r="S605" s="454"/>
      <c r="AN605" s="454"/>
      <c r="AY605" s="454"/>
      <c r="AZ605" s="454"/>
      <c r="BA605" s="1306"/>
      <c r="BC605" s="169"/>
    </row>
    <row r="606" spans="19:55">
      <c r="S606" s="454"/>
      <c r="AN606" s="454"/>
      <c r="AY606" s="454"/>
      <c r="AZ606" s="454"/>
      <c r="BA606" s="1306"/>
      <c r="BC606" s="169"/>
    </row>
    <row r="607" spans="19:55">
      <c r="S607" s="454"/>
      <c r="AN607" s="454"/>
      <c r="AY607" s="454"/>
      <c r="AZ607" s="454"/>
      <c r="BA607" s="1306"/>
      <c r="BC607" s="169"/>
    </row>
    <row r="608" spans="19:55">
      <c r="S608" s="454"/>
      <c r="AN608" s="454"/>
      <c r="AY608" s="454"/>
      <c r="AZ608" s="454"/>
      <c r="BA608" s="1306"/>
      <c r="BC608" s="169"/>
    </row>
    <row r="609" spans="19:55">
      <c r="S609" s="454"/>
      <c r="AN609" s="454"/>
      <c r="AY609" s="454"/>
      <c r="AZ609" s="454"/>
      <c r="BA609" s="1306"/>
      <c r="BC609" s="169"/>
    </row>
    <row r="610" spans="19:55">
      <c r="S610" s="454"/>
      <c r="AN610" s="454"/>
      <c r="AY610" s="454"/>
      <c r="AZ610" s="454"/>
      <c r="BA610" s="1306"/>
      <c r="BC610" s="169"/>
    </row>
    <row r="611" spans="19:55">
      <c r="S611" s="454"/>
      <c r="AN611" s="454"/>
      <c r="AY611" s="454"/>
      <c r="AZ611" s="454"/>
      <c r="BA611" s="1306"/>
      <c r="BC611" s="169"/>
    </row>
    <row r="612" spans="19:55">
      <c r="S612" s="454"/>
      <c r="AN612" s="454"/>
      <c r="AY612" s="454"/>
      <c r="AZ612" s="454"/>
      <c r="BA612" s="1306"/>
      <c r="BC612" s="169"/>
    </row>
    <row r="613" spans="19:55">
      <c r="S613" s="454"/>
      <c r="AN613" s="454"/>
      <c r="AY613" s="454"/>
      <c r="AZ613" s="454"/>
      <c r="BA613" s="1306"/>
      <c r="BC613" s="169"/>
    </row>
    <row r="614" spans="19:55">
      <c r="S614" s="454"/>
      <c r="AN614" s="454"/>
      <c r="AY614" s="454"/>
      <c r="AZ614" s="454"/>
      <c r="BA614" s="1306"/>
      <c r="BC614" s="169"/>
    </row>
    <row r="615" spans="19:55">
      <c r="S615" s="454"/>
      <c r="AN615" s="454"/>
      <c r="AY615" s="454"/>
      <c r="AZ615" s="454"/>
      <c r="BA615" s="1306"/>
      <c r="BC615" s="169"/>
    </row>
    <row r="616" spans="19:55">
      <c r="S616" s="454"/>
      <c r="AN616" s="454"/>
      <c r="AY616" s="454"/>
      <c r="AZ616" s="454"/>
      <c r="BA616" s="1306"/>
      <c r="BC616" s="169"/>
    </row>
    <row r="617" spans="19:55">
      <c r="S617" s="454"/>
      <c r="AN617" s="454"/>
      <c r="AY617" s="454"/>
      <c r="AZ617" s="454"/>
      <c r="BA617" s="1306"/>
      <c r="BC617" s="169"/>
    </row>
    <row r="618" spans="19:55">
      <c r="S618" s="454"/>
      <c r="AN618" s="454"/>
      <c r="AY618" s="454"/>
      <c r="AZ618" s="454"/>
      <c r="BA618" s="1306"/>
      <c r="BC618" s="169"/>
    </row>
    <row r="619" spans="19:55">
      <c r="S619" s="454"/>
      <c r="AN619" s="454"/>
      <c r="AY619" s="454"/>
      <c r="AZ619" s="454"/>
      <c r="BA619" s="1306"/>
      <c r="BC619" s="169"/>
    </row>
    <row r="620" spans="19:55">
      <c r="S620" s="454"/>
      <c r="AN620" s="454"/>
      <c r="AY620" s="454"/>
      <c r="AZ620" s="454"/>
      <c r="BA620" s="1306"/>
      <c r="BC620" s="169"/>
    </row>
    <row r="621" spans="19:55">
      <c r="S621" s="454"/>
      <c r="AN621" s="454"/>
      <c r="AY621" s="454"/>
      <c r="AZ621" s="454"/>
      <c r="BA621" s="1306"/>
      <c r="BC621" s="169"/>
    </row>
    <row r="622" spans="19:55">
      <c r="S622" s="454"/>
      <c r="AN622" s="454"/>
      <c r="AY622" s="454"/>
      <c r="AZ622" s="454"/>
      <c r="BA622" s="1306"/>
      <c r="BC622" s="169"/>
    </row>
    <row r="623" spans="19:55">
      <c r="S623" s="454"/>
      <c r="AN623" s="454"/>
      <c r="AY623" s="454"/>
      <c r="AZ623" s="454"/>
      <c r="BA623" s="1306"/>
      <c r="BC623" s="169"/>
    </row>
    <row r="624" spans="19:55">
      <c r="S624" s="454"/>
      <c r="AN624" s="454"/>
      <c r="AY624" s="454"/>
      <c r="AZ624" s="454"/>
      <c r="BA624" s="1306"/>
      <c r="BC624" s="169"/>
    </row>
    <row r="625" spans="19:55">
      <c r="S625" s="454"/>
      <c r="AN625" s="454"/>
      <c r="AY625" s="454"/>
      <c r="AZ625" s="454"/>
      <c r="BA625" s="1306"/>
      <c r="BC625" s="169"/>
    </row>
    <row r="626" spans="19:55">
      <c r="S626" s="454"/>
      <c r="AN626" s="454"/>
      <c r="AY626" s="454"/>
      <c r="AZ626" s="454"/>
      <c r="BA626" s="1306"/>
      <c r="BC626" s="169"/>
    </row>
    <row r="627" spans="19:55">
      <c r="S627" s="454"/>
      <c r="AN627" s="454"/>
      <c r="AY627" s="454"/>
      <c r="AZ627" s="454"/>
      <c r="BA627" s="1306"/>
      <c r="BC627" s="169"/>
    </row>
    <row r="628" spans="19:55">
      <c r="S628" s="454"/>
      <c r="AN628" s="454"/>
      <c r="AY628" s="454"/>
      <c r="AZ628" s="454"/>
      <c r="BA628" s="1306"/>
      <c r="BC628" s="169"/>
    </row>
    <row r="629" spans="19:55">
      <c r="S629" s="454"/>
      <c r="AN629" s="454"/>
      <c r="AY629" s="454"/>
      <c r="AZ629" s="454"/>
      <c r="BA629" s="1306"/>
      <c r="BC629" s="169"/>
    </row>
    <row r="630" spans="19:55">
      <c r="S630" s="454"/>
      <c r="AN630" s="454"/>
      <c r="AY630" s="454"/>
      <c r="AZ630" s="454"/>
      <c r="BA630" s="1306"/>
      <c r="BC630" s="169"/>
    </row>
    <row r="631" spans="19:55">
      <c r="S631" s="454"/>
      <c r="AN631" s="454"/>
      <c r="AY631" s="454"/>
      <c r="AZ631" s="454"/>
      <c r="BA631" s="1306"/>
      <c r="BC631" s="169"/>
    </row>
    <row r="632" spans="19:55">
      <c r="S632" s="454"/>
      <c r="AN632" s="454"/>
      <c r="AY632" s="454"/>
      <c r="AZ632" s="454"/>
      <c r="BA632" s="1306"/>
      <c r="BC632" s="169"/>
    </row>
    <row r="633" spans="19:55">
      <c r="S633" s="454"/>
      <c r="AN633" s="454"/>
      <c r="AY633" s="454"/>
      <c r="AZ633" s="454"/>
      <c r="BA633" s="1306"/>
      <c r="BC633" s="169"/>
    </row>
    <row r="634" spans="19:55">
      <c r="S634" s="454"/>
      <c r="AN634" s="454"/>
      <c r="AY634" s="454"/>
      <c r="AZ634" s="454"/>
      <c r="BA634" s="1306"/>
      <c r="BC634" s="169"/>
    </row>
    <row r="635" spans="19:55">
      <c r="S635" s="454"/>
      <c r="AN635" s="454"/>
      <c r="AY635" s="454"/>
      <c r="AZ635" s="454"/>
      <c r="BA635" s="1306"/>
      <c r="BC635" s="169"/>
    </row>
    <row r="636" spans="19:55">
      <c r="S636" s="454"/>
      <c r="AN636" s="454"/>
      <c r="AY636" s="454"/>
      <c r="AZ636" s="454"/>
      <c r="BA636" s="1306"/>
      <c r="BC636" s="169"/>
    </row>
    <row r="637" spans="19:55">
      <c r="S637" s="454"/>
      <c r="AN637" s="454"/>
      <c r="AY637" s="454"/>
      <c r="AZ637" s="454"/>
      <c r="BA637" s="1306"/>
      <c r="BC637" s="169"/>
    </row>
    <row r="638" spans="19:55">
      <c r="S638" s="454"/>
      <c r="AN638" s="454"/>
      <c r="AY638" s="454"/>
      <c r="AZ638" s="454"/>
      <c r="BA638" s="1306"/>
      <c r="BC638" s="169"/>
    </row>
    <row r="639" spans="19:55">
      <c r="S639" s="454"/>
      <c r="AN639" s="454"/>
      <c r="AY639" s="454"/>
      <c r="AZ639" s="454"/>
      <c r="BA639" s="1306"/>
      <c r="BC639" s="169"/>
    </row>
    <row r="640" spans="19:55">
      <c r="S640" s="454"/>
      <c r="AN640" s="454"/>
      <c r="AY640" s="454"/>
      <c r="AZ640" s="454"/>
      <c r="BA640" s="1306"/>
      <c r="BC640" s="169"/>
    </row>
    <row r="641" spans="19:55">
      <c r="S641" s="454"/>
      <c r="AN641" s="454"/>
      <c r="AY641" s="454"/>
      <c r="AZ641" s="454"/>
      <c r="BA641" s="1306"/>
      <c r="BC641" s="169"/>
    </row>
    <row r="642" spans="19:55">
      <c r="S642" s="454"/>
      <c r="AN642" s="454"/>
      <c r="AY642" s="454"/>
      <c r="AZ642" s="454"/>
      <c r="BA642" s="1306"/>
      <c r="BC642" s="169"/>
    </row>
    <row r="643" spans="19:55">
      <c r="S643" s="454"/>
      <c r="AN643" s="454"/>
      <c r="AY643" s="454"/>
      <c r="AZ643" s="454"/>
      <c r="BA643" s="1306"/>
      <c r="BC643" s="169"/>
    </row>
    <row r="644" spans="19:55">
      <c r="S644" s="454"/>
      <c r="AN644" s="454"/>
      <c r="AY644" s="454"/>
      <c r="AZ644" s="454"/>
      <c r="BA644" s="1306"/>
      <c r="BC644" s="169"/>
    </row>
    <row r="645" spans="19:55">
      <c r="S645" s="454"/>
      <c r="AN645" s="454"/>
      <c r="AY645" s="454"/>
      <c r="AZ645" s="454"/>
      <c r="BA645" s="1306"/>
      <c r="BC645" s="169"/>
    </row>
    <row r="646" spans="19:55">
      <c r="S646" s="454"/>
      <c r="AN646" s="454"/>
      <c r="AY646" s="454"/>
      <c r="AZ646" s="454"/>
      <c r="BA646" s="1306"/>
      <c r="BC646" s="169"/>
    </row>
    <row r="647" spans="19:55">
      <c r="S647" s="454"/>
      <c r="AN647" s="454"/>
      <c r="AY647" s="454"/>
      <c r="AZ647" s="454"/>
      <c r="BA647" s="1306"/>
      <c r="BC647" s="169"/>
    </row>
    <row r="648" spans="19:55">
      <c r="S648" s="454"/>
      <c r="AN648" s="454"/>
      <c r="AY648" s="454"/>
      <c r="AZ648" s="454"/>
      <c r="BA648" s="1306"/>
      <c r="BC648" s="169"/>
    </row>
    <row r="649" spans="19:55">
      <c r="S649" s="454"/>
      <c r="AN649" s="454"/>
      <c r="AY649" s="454"/>
      <c r="AZ649" s="454"/>
      <c r="BA649" s="1306"/>
      <c r="BC649" s="169"/>
    </row>
    <row r="650" spans="19:55">
      <c r="S650" s="454"/>
      <c r="AN650" s="454"/>
      <c r="AY650" s="454"/>
      <c r="AZ650" s="454"/>
      <c r="BA650" s="1306"/>
      <c r="BC650" s="169"/>
    </row>
    <row r="651" spans="19:55">
      <c r="S651" s="454"/>
      <c r="AN651" s="454"/>
      <c r="AY651" s="454"/>
      <c r="AZ651" s="454"/>
      <c r="BA651" s="1306"/>
      <c r="BC651" s="169"/>
    </row>
    <row r="652" spans="19:55">
      <c r="S652" s="454"/>
      <c r="AN652" s="454"/>
      <c r="AY652" s="454"/>
      <c r="AZ652" s="454"/>
      <c r="BA652" s="1306"/>
      <c r="BC652" s="169"/>
    </row>
    <row r="653" spans="19:55">
      <c r="S653" s="454"/>
      <c r="AN653" s="454"/>
      <c r="AY653" s="454"/>
      <c r="AZ653" s="454"/>
      <c r="BA653" s="1306"/>
      <c r="BC653" s="169"/>
    </row>
    <row r="654" spans="19:55">
      <c r="S654" s="454"/>
      <c r="AN654" s="454"/>
      <c r="AY654" s="454"/>
      <c r="AZ654" s="454"/>
      <c r="BA654" s="1306"/>
      <c r="BC654" s="169"/>
    </row>
    <row r="655" spans="19:55">
      <c r="S655" s="454"/>
      <c r="AN655" s="454"/>
      <c r="AY655" s="454"/>
      <c r="AZ655" s="454"/>
      <c r="BA655" s="1306"/>
      <c r="BC655" s="169"/>
    </row>
    <row r="656" spans="19:55">
      <c r="S656" s="454"/>
      <c r="AN656" s="454"/>
      <c r="AY656" s="454"/>
      <c r="AZ656" s="454"/>
      <c r="BA656" s="1306"/>
      <c r="BC656" s="169"/>
    </row>
    <row r="657" spans="19:55">
      <c r="S657" s="454"/>
      <c r="AN657" s="454"/>
      <c r="AY657" s="454"/>
      <c r="AZ657" s="454"/>
      <c r="BA657" s="1306"/>
      <c r="BC657" s="169"/>
    </row>
    <row r="658" spans="19:55">
      <c r="S658" s="454"/>
      <c r="AN658" s="454"/>
      <c r="AY658" s="454"/>
      <c r="AZ658" s="454"/>
      <c r="BA658" s="1306"/>
      <c r="BC658" s="169"/>
    </row>
    <row r="659" spans="19:55">
      <c r="S659" s="454"/>
      <c r="AN659" s="454"/>
      <c r="AY659" s="454"/>
      <c r="AZ659" s="454"/>
      <c r="BA659" s="1306"/>
      <c r="BC659" s="169"/>
    </row>
    <row r="660" spans="19:55">
      <c r="S660" s="454"/>
      <c r="AN660" s="454"/>
      <c r="AY660" s="454"/>
      <c r="AZ660" s="454"/>
      <c r="BA660" s="1306"/>
      <c r="BC660" s="169"/>
    </row>
    <row r="661" spans="19:55">
      <c r="S661" s="454"/>
      <c r="AN661" s="454"/>
      <c r="AY661" s="454"/>
      <c r="AZ661" s="454"/>
      <c r="BA661" s="1306"/>
      <c r="BC661" s="169"/>
    </row>
    <row r="662" spans="19:55">
      <c r="S662" s="454"/>
      <c r="AN662" s="454"/>
      <c r="AY662" s="454"/>
      <c r="AZ662" s="454"/>
      <c r="BA662" s="1306"/>
      <c r="BC662" s="169"/>
    </row>
    <row r="663" spans="19:55">
      <c r="S663" s="454"/>
      <c r="AN663" s="454"/>
      <c r="AY663" s="454"/>
      <c r="AZ663" s="454"/>
      <c r="BA663" s="1306"/>
      <c r="BC663" s="169"/>
    </row>
    <row r="664" spans="19:55">
      <c r="S664" s="454"/>
      <c r="AN664" s="454"/>
      <c r="AY664" s="454"/>
      <c r="AZ664" s="454"/>
      <c r="BA664" s="1306"/>
      <c r="BC664" s="169"/>
    </row>
    <row r="665" spans="19:55">
      <c r="S665" s="454"/>
      <c r="AN665" s="454"/>
      <c r="AY665" s="454"/>
      <c r="AZ665" s="454"/>
      <c r="BA665" s="1306"/>
      <c r="BC665" s="169"/>
    </row>
    <row r="666" spans="19:55">
      <c r="S666" s="454"/>
      <c r="AN666" s="454"/>
      <c r="AY666" s="454"/>
      <c r="AZ666" s="454"/>
      <c r="BA666" s="1306"/>
      <c r="BC666" s="169"/>
    </row>
    <row r="667" spans="19:55">
      <c r="S667" s="454"/>
      <c r="AN667" s="454"/>
      <c r="AY667" s="454"/>
      <c r="AZ667" s="454"/>
      <c r="BA667" s="1306"/>
      <c r="BC667" s="169"/>
    </row>
    <row r="668" spans="19:55">
      <c r="S668" s="454"/>
      <c r="AN668" s="454"/>
      <c r="AY668" s="454"/>
      <c r="AZ668" s="454"/>
      <c r="BA668" s="1306"/>
      <c r="BC668" s="169"/>
    </row>
    <row r="669" spans="19:55">
      <c r="S669" s="454"/>
      <c r="AN669" s="454"/>
      <c r="AY669" s="454"/>
      <c r="AZ669" s="454"/>
      <c r="BA669" s="1306"/>
      <c r="BC669" s="169"/>
    </row>
    <row r="670" spans="19:55">
      <c r="S670" s="454"/>
      <c r="AN670" s="454"/>
      <c r="AY670" s="454"/>
      <c r="AZ670" s="454"/>
      <c r="BA670" s="1306"/>
      <c r="BC670" s="169"/>
    </row>
    <row r="671" spans="19:55">
      <c r="S671" s="454"/>
      <c r="AN671" s="454"/>
      <c r="AY671" s="454"/>
      <c r="AZ671" s="454"/>
      <c r="BA671" s="1306"/>
      <c r="BC671" s="169"/>
    </row>
    <row r="672" spans="19:55">
      <c r="S672" s="454"/>
      <c r="AN672" s="454"/>
      <c r="AY672" s="454"/>
      <c r="AZ672" s="454"/>
      <c r="BA672" s="1306"/>
      <c r="BC672" s="169"/>
    </row>
    <row r="673" spans="19:55">
      <c r="S673" s="454"/>
      <c r="AN673" s="454"/>
      <c r="AY673" s="454"/>
      <c r="AZ673" s="454"/>
      <c r="BA673" s="1306"/>
      <c r="BC673" s="169"/>
    </row>
    <row r="674" spans="19:55">
      <c r="S674" s="454"/>
      <c r="AN674" s="454"/>
      <c r="AY674" s="454"/>
      <c r="AZ674" s="454"/>
      <c r="BA674" s="1306"/>
      <c r="BC674" s="169"/>
    </row>
    <row r="675" spans="19:55">
      <c r="S675" s="454"/>
      <c r="AN675" s="454"/>
      <c r="AY675" s="454"/>
      <c r="AZ675" s="454"/>
      <c r="BA675" s="1306"/>
      <c r="BC675" s="169"/>
    </row>
    <row r="676" spans="19:55">
      <c r="S676" s="454"/>
      <c r="AN676" s="454"/>
      <c r="AY676" s="454"/>
      <c r="AZ676" s="454"/>
      <c r="BA676" s="1306"/>
      <c r="BC676" s="169"/>
    </row>
    <row r="677" spans="19:55">
      <c r="S677" s="454"/>
      <c r="AN677" s="454"/>
      <c r="AY677" s="454"/>
      <c r="AZ677" s="454"/>
      <c r="BA677" s="1306"/>
      <c r="BC677" s="169"/>
    </row>
    <row r="678" spans="19:55">
      <c r="S678" s="454"/>
      <c r="AN678" s="454"/>
      <c r="AY678" s="454"/>
      <c r="AZ678" s="454"/>
      <c r="BA678" s="1306"/>
      <c r="BC678" s="169"/>
    </row>
    <row r="679" spans="19:55">
      <c r="S679" s="454"/>
      <c r="AN679" s="454"/>
      <c r="AY679" s="454"/>
      <c r="AZ679" s="454"/>
      <c r="BA679" s="1306"/>
      <c r="BC679" s="169"/>
    </row>
    <row r="680" spans="19:55">
      <c r="S680" s="454"/>
      <c r="AN680" s="454"/>
      <c r="AY680" s="454"/>
      <c r="AZ680" s="454"/>
      <c r="BA680" s="1306"/>
      <c r="BC680" s="169"/>
    </row>
    <row r="681" spans="19:55">
      <c r="S681" s="454"/>
      <c r="AN681" s="454"/>
      <c r="AY681" s="454"/>
      <c r="AZ681" s="454"/>
      <c r="BA681" s="1306"/>
      <c r="BC681" s="169"/>
    </row>
    <row r="682" spans="19:55">
      <c r="S682" s="454"/>
      <c r="AN682" s="454"/>
      <c r="AY682" s="454"/>
      <c r="AZ682" s="454"/>
      <c r="BA682" s="1306"/>
      <c r="BC682" s="169"/>
    </row>
    <row r="683" spans="19:55">
      <c r="S683" s="454"/>
      <c r="AN683" s="454"/>
      <c r="AY683" s="454"/>
      <c r="AZ683" s="454"/>
      <c r="BA683" s="1306"/>
      <c r="BC683" s="169"/>
    </row>
    <row r="684" spans="19:55">
      <c r="S684" s="454"/>
      <c r="AN684" s="454"/>
      <c r="AY684" s="454"/>
      <c r="AZ684" s="454"/>
      <c r="BA684" s="1306"/>
      <c r="BC684" s="169"/>
    </row>
    <row r="685" spans="19:55">
      <c r="S685" s="454"/>
      <c r="AN685" s="454"/>
      <c r="AY685" s="454"/>
      <c r="AZ685" s="454"/>
      <c r="BA685" s="1306"/>
      <c r="BC685" s="169"/>
    </row>
    <row r="686" spans="19:55">
      <c r="S686" s="454"/>
      <c r="AN686" s="454"/>
      <c r="AY686" s="454"/>
      <c r="AZ686" s="454"/>
      <c r="BA686" s="1306"/>
      <c r="BC686" s="169"/>
    </row>
    <row r="687" spans="19:55">
      <c r="S687" s="454"/>
      <c r="AN687" s="454"/>
      <c r="AY687" s="454"/>
      <c r="AZ687" s="454"/>
      <c r="BA687" s="1306"/>
      <c r="BC687" s="169"/>
    </row>
    <row r="688" spans="19:55">
      <c r="S688" s="454"/>
      <c r="AN688" s="454"/>
      <c r="AY688" s="454"/>
      <c r="AZ688" s="454"/>
      <c r="BA688" s="1306"/>
      <c r="BC688" s="169"/>
    </row>
    <row r="689" spans="19:55">
      <c r="S689" s="454"/>
      <c r="AN689" s="454"/>
      <c r="AY689" s="454"/>
      <c r="AZ689" s="454"/>
      <c r="BA689" s="1306"/>
      <c r="BC689" s="169"/>
    </row>
    <row r="690" spans="19:55">
      <c r="S690" s="454"/>
      <c r="AN690" s="454"/>
      <c r="AY690" s="454"/>
      <c r="AZ690" s="454"/>
      <c r="BA690" s="1306"/>
      <c r="BC690" s="169"/>
    </row>
    <row r="691" spans="19:55">
      <c r="S691" s="454"/>
      <c r="AN691" s="454"/>
      <c r="AY691" s="454"/>
      <c r="AZ691" s="454"/>
      <c r="BA691" s="1306"/>
      <c r="BC691" s="169"/>
    </row>
    <row r="692" spans="19:55">
      <c r="S692" s="454"/>
      <c r="AN692" s="454"/>
      <c r="AY692" s="454"/>
      <c r="AZ692" s="454"/>
      <c r="BA692" s="1306"/>
      <c r="BC692" s="169"/>
    </row>
    <row r="693" spans="19:55">
      <c r="S693" s="454"/>
      <c r="AN693" s="454"/>
      <c r="AY693" s="454"/>
      <c r="AZ693" s="454"/>
      <c r="BA693" s="1306"/>
      <c r="BC693" s="169"/>
    </row>
    <row r="694" spans="19:55">
      <c r="S694" s="454"/>
      <c r="AN694" s="454"/>
      <c r="AY694" s="454"/>
      <c r="AZ694" s="454"/>
      <c r="BA694" s="1306"/>
      <c r="BC694" s="169"/>
    </row>
    <row r="695" spans="19:55">
      <c r="S695" s="454"/>
      <c r="AN695" s="454"/>
      <c r="AY695" s="454"/>
      <c r="AZ695" s="454"/>
      <c r="BA695" s="1306"/>
      <c r="BC695" s="169"/>
    </row>
    <row r="696" spans="19:55">
      <c r="S696" s="454"/>
      <c r="AN696" s="454"/>
      <c r="AY696" s="454"/>
      <c r="AZ696" s="454"/>
      <c r="BA696" s="1306"/>
      <c r="BC696" s="169"/>
    </row>
    <row r="697" spans="19:55">
      <c r="S697" s="454"/>
      <c r="AN697" s="454"/>
      <c r="AY697" s="454"/>
      <c r="AZ697" s="454"/>
      <c r="BA697" s="1306"/>
      <c r="BC697" s="169"/>
    </row>
    <row r="698" spans="19:55">
      <c r="S698" s="454"/>
      <c r="AN698" s="454"/>
      <c r="AY698" s="454"/>
      <c r="AZ698" s="454"/>
      <c r="BA698" s="1306"/>
      <c r="BC698" s="169"/>
    </row>
    <row r="699" spans="19:55">
      <c r="S699" s="454"/>
      <c r="AN699" s="454"/>
      <c r="AY699" s="454"/>
      <c r="AZ699" s="454"/>
      <c r="BA699" s="1306"/>
      <c r="BC699" s="169"/>
    </row>
    <row r="700" spans="19:55">
      <c r="S700" s="454"/>
      <c r="AN700" s="454"/>
      <c r="AY700" s="454"/>
      <c r="AZ700" s="454"/>
      <c r="BA700" s="1306"/>
      <c r="BC700" s="169"/>
    </row>
    <row r="701" spans="19:55">
      <c r="S701" s="454"/>
      <c r="AN701" s="454"/>
      <c r="AY701" s="454"/>
      <c r="AZ701" s="454"/>
      <c r="BA701" s="1306"/>
      <c r="BC701" s="169"/>
    </row>
    <row r="702" spans="19:55">
      <c r="S702" s="454"/>
      <c r="AN702" s="454"/>
      <c r="AY702" s="454"/>
      <c r="AZ702" s="454"/>
      <c r="BA702" s="1306"/>
      <c r="BC702" s="169"/>
    </row>
    <row r="703" spans="19:55">
      <c r="S703" s="454"/>
      <c r="AN703" s="454"/>
      <c r="AY703" s="454"/>
      <c r="AZ703" s="454"/>
      <c r="BA703" s="1306"/>
      <c r="BC703" s="169"/>
    </row>
    <row r="704" spans="19:55">
      <c r="S704" s="454"/>
      <c r="AN704" s="454"/>
      <c r="AY704" s="454"/>
      <c r="AZ704" s="454"/>
      <c r="BA704" s="1306"/>
      <c r="BC704" s="169"/>
    </row>
    <row r="705" spans="19:55">
      <c r="S705" s="454"/>
      <c r="AN705" s="454"/>
      <c r="AY705" s="454"/>
      <c r="AZ705" s="454"/>
      <c r="BA705" s="1306"/>
      <c r="BC705" s="169"/>
    </row>
    <row r="706" spans="19:55">
      <c r="S706" s="454"/>
      <c r="AN706" s="454"/>
      <c r="AY706" s="454"/>
      <c r="AZ706" s="454"/>
      <c r="BA706" s="1306"/>
      <c r="BC706" s="169"/>
    </row>
    <row r="707" spans="19:55">
      <c r="S707" s="454"/>
      <c r="AN707" s="454"/>
      <c r="AY707" s="454"/>
      <c r="AZ707" s="454"/>
      <c r="BA707" s="1306"/>
      <c r="BC707" s="169"/>
    </row>
    <row r="708" spans="19:55">
      <c r="S708" s="454"/>
      <c r="AN708" s="454"/>
      <c r="AY708" s="454"/>
      <c r="AZ708" s="454"/>
      <c r="BA708" s="1306"/>
      <c r="BC708" s="169"/>
    </row>
    <row r="709" spans="19:55">
      <c r="S709" s="454"/>
      <c r="AN709" s="454"/>
      <c r="AY709" s="454"/>
      <c r="AZ709" s="454"/>
      <c r="BA709" s="1306"/>
      <c r="BC709" s="169"/>
    </row>
    <row r="710" spans="19:55">
      <c r="S710" s="454"/>
      <c r="AN710" s="454"/>
      <c r="AY710" s="454"/>
      <c r="AZ710" s="454"/>
      <c r="BA710" s="1306"/>
      <c r="BC710" s="169"/>
    </row>
    <row r="711" spans="19:55">
      <c r="S711" s="454"/>
      <c r="AN711" s="454"/>
      <c r="AY711" s="454"/>
      <c r="AZ711" s="454"/>
      <c r="BA711" s="1306"/>
      <c r="BC711" s="169"/>
    </row>
    <row r="712" spans="19:55">
      <c r="S712" s="454"/>
      <c r="AN712" s="454"/>
      <c r="AY712" s="454"/>
      <c r="AZ712" s="454"/>
      <c r="BA712" s="1306"/>
      <c r="BC712" s="169"/>
    </row>
    <row r="713" spans="19:55">
      <c r="S713" s="454"/>
      <c r="AN713" s="454"/>
      <c r="AY713" s="454"/>
      <c r="AZ713" s="454"/>
      <c r="BA713" s="1306"/>
      <c r="BC713" s="169"/>
    </row>
    <row r="714" spans="19:55">
      <c r="S714" s="454"/>
      <c r="AN714" s="454"/>
      <c r="AY714" s="454"/>
      <c r="AZ714" s="454"/>
      <c r="BA714" s="1306"/>
      <c r="BC714" s="169"/>
    </row>
    <row r="715" spans="19:55">
      <c r="S715" s="454"/>
      <c r="AN715" s="454"/>
      <c r="AY715" s="454"/>
      <c r="AZ715" s="454"/>
      <c r="BA715" s="1306"/>
      <c r="BC715" s="169"/>
    </row>
    <row r="716" spans="19:55">
      <c r="S716" s="454"/>
      <c r="AN716" s="454"/>
      <c r="AY716" s="454"/>
      <c r="AZ716" s="454"/>
      <c r="BA716" s="1306"/>
      <c r="BC716" s="169"/>
    </row>
    <row r="717" spans="19:55">
      <c r="S717" s="454"/>
      <c r="AN717" s="454"/>
      <c r="AY717" s="454"/>
      <c r="AZ717" s="454"/>
      <c r="BA717" s="1306"/>
      <c r="BC717" s="169"/>
    </row>
    <row r="718" spans="19:55">
      <c r="S718" s="454"/>
      <c r="AN718" s="454"/>
      <c r="AY718" s="454"/>
      <c r="AZ718" s="454"/>
      <c r="BA718" s="1306"/>
      <c r="BC718" s="169"/>
    </row>
    <row r="719" spans="19:55">
      <c r="S719" s="454"/>
      <c r="AN719" s="454"/>
      <c r="AY719" s="454"/>
      <c r="AZ719" s="454"/>
      <c r="BA719" s="1306"/>
      <c r="BC719" s="169"/>
    </row>
    <row r="720" spans="19:55">
      <c r="S720" s="454"/>
      <c r="AN720" s="454"/>
      <c r="AY720" s="454"/>
      <c r="AZ720" s="454"/>
      <c r="BA720" s="1306"/>
      <c r="BC720" s="169"/>
    </row>
    <row r="721" spans="19:55">
      <c r="S721" s="454"/>
      <c r="AN721" s="454"/>
      <c r="AY721" s="454"/>
      <c r="AZ721" s="454"/>
      <c r="BA721" s="1306"/>
      <c r="BC721" s="169"/>
    </row>
    <row r="722" spans="19:55">
      <c r="S722" s="454"/>
      <c r="AN722" s="454"/>
      <c r="AY722" s="454"/>
      <c r="AZ722" s="454"/>
      <c r="BA722" s="1306"/>
      <c r="BC722" s="169"/>
    </row>
    <row r="723" spans="19:55">
      <c r="S723" s="454"/>
      <c r="AN723" s="454"/>
      <c r="AY723" s="454"/>
      <c r="AZ723" s="454"/>
      <c r="BA723" s="1306"/>
      <c r="BC723" s="169"/>
    </row>
    <row r="724" spans="19:55">
      <c r="S724" s="454"/>
      <c r="AN724" s="454"/>
      <c r="AY724" s="454"/>
      <c r="AZ724" s="454"/>
      <c r="BA724" s="1306"/>
      <c r="BC724" s="169"/>
    </row>
    <row r="725" spans="19:55">
      <c r="S725" s="454"/>
      <c r="AN725" s="454"/>
      <c r="AY725" s="454"/>
      <c r="AZ725" s="454"/>
      <c r="BA725" s="1306"/>
      <c r="BC725" s="169"/>
    </row>
    <row r="726" spans="19:55">
      <c r="S726" s="454"/>
      <c r="AN726" s="454"/>
      <c r="AY726" s="454"/>
      <c r="AZ726" s="454"/>
      <c r="BA726" s="1306"/>
      <c r="BC726" s="169"/>
    </row>
    <row r="727" spans="19:55">
      <c r="S727" s="454"/>
      <c r="AN727" s="454"/>
      <c r="AY727" s="454"/>
      <c r="AZ727" s="454"/>
      <c r="BA727" s="1306"/>
      <c r="BC727" s="169"/>
    </row>
    <row r="728" spans="19:55">
      <c r="S728" s="454"/>
      <c r="AN728" s="454"/>
      <c r="AY728" s="454"/>
      <c r="AZ728" s="454"/>
      <c r="BA728" s="1306"/>
      <c r="BC728" s="169"/>
    </row>
    <row r="729" spans="19:55">
      <c r="S729" s="454"/>
      <c r="AN729" s="454"/>
      <c r="AY729" s="454"/>
      <c r="AZ729" s="454"/>
      <c r="BA729" s="1306"/>
      <c r="BC729" s="169"/>
    </row>
    <row r="730" spans="19:55">
      <c r="S730" s="454"/>
      <c r="AN730" s="454"/>
      <c r="AY730" s="454"/>
      <c r="AZ730" s="454"/>
      <c r="BA730" s="1306"/>
      <c r="BC730" s="169"/>
    </row>
    <row r="731" spans="19:55">
      <c r="S731" s="454"/>
      <c r="AN731" s="454"/>
      <c r="AY731" s="454"/>
      <c r="AZ731" s="454"/>
      <c r="BA731" s="1306"/>
      <c r="BC731" s="169"/>
    </row>
    <row r="732" spans="19:55">
      <c r="S732" s="454"/>
      <c r="AN732" s="454"/>
      <c r="AY732" s="454"/>
      <c r="AZ732" s="454"/>
      <c r="BA732" s="1306"/>
      <c r="BC732" s="169"/>
    </row>
    <row r="733" spans="19:55">
      <c r="S733" s="454"/>
      <c r="AN733" s="454"/>
      <c r="AY733" s="454"/>
      <c r="AZ733" s="454"/>
      <c r="BA733" s="1306"/>
      <c r="BC733" s="169"/>
    </row>
    <row r="734" spans="19:55">
      <c r="S734" s="454"/>
      <c r="AN734" s="454"/>
      <c r="AY734" s="454"/>
      <c r="AZ734" s="454"/>
      <c r="BA734" s="1306"/>
      <c r="BC734" s="169"/>
    </row>
    <row r="735" spans="19:55">
      <c r="S735" s="454"/>
      <c r="AN735" s="454"/>
      <c r="AY735" s="454"/>
      <c r="AZ735" s="454"/>
      <c r="BA735" s="1306"/>
      <c r="BC735" s="169"/>
    </row>
    <row r="736" spans="19:55">
      <c r="S736" s="454"/>
      <c r="AN736" s="454"/>
      <c r="AY736" s="454"/>
      <c r="AZ736" s="454"/>
      <c r="BA736" s="1306"/>
      <c r="BC736" s="169"/>
    </row>
    <row r="737" spans="19:55">
      <c r="S737" s="454"/>
      <c r="AN737" s="454"/>
      <c r="AY737" s="454"/>
      <c r="AZ737" s="454"/>
      <c r="BA737" s="1306"/>
      <c r="BC737" s="169"/>
    </row>
    <row r="738" spans="19:55">
      <c r="S738" s="454"/>
      <c r="AN738" s="454"/>
      <c r="AY738" s="454"/>
      <c r="AZ738" s="454"/>
      <c r="BA738" s="1306"/>
      <c r="BC738" s="169"/>
    </row>
    <row r="739" spans="19:55">
      <c r="S739" s="454"/>
      <c r="AN739" s="454"/>
      <c r="AY739" s="454"/>
      <c r="AZ739" s="454"/>
      <c r="BA739" s="1306"/>
      <c r="BC739" s="169"/>
    </row>
    <row r="740" spans="19:55">
      <c r="S740" s="454"/>
      <c r="AN740" s="454"/>
      <c r="AY740" s="454"/>
      <c r="AZ740" s="454"/>
      <c r="BA740" s="1306"/>
      <c r="BC740" s="169"/>
    </row>
    <row r="741" spans="19:55">
      <c r="S741" s="454"/>
      <c r="AN741" s="454"/>
      <c r="AY741" s="454"/>
      <c r="AZ741" s="454"/>
      <c r="BA741" s="1306"/>
      <c r="BC741" s="169"/>
    </row>
    <row r="742" spans="19:55">
      <c r="S742" s="454"/>
      <c r="AN742" s="454"/>
      <c r="AY742" s="454"/>
      <c r="AZ742" s="454"/>
      <c r="BA742" s="1306"/>
      <c r="BC742" s="169"/>
    </row>
    <row r="743" spans="19:55">
      <c r="S743" s="454"/>
      <c r="AN743" s="454"/>
      <c r="AY743" s="454"/>
      <c r="AZ743" s="454"/>
      <c r="BA743" s="1306"/>
      <c r="BC743" s="169"/>
    </row>
    <row r="744" spans="19:55">
      <c r="S744" s="454"/>
      <c r="AN744" s="454"/>
      <c r="AY744" s="454"/>
      <c r="AZ744" s="454"/>
      <c r="BA744" s="1306"/>
      <c r="BC744" s="169"/>
    </row>
    <row r="745" spans="19:55">
      <c r="S745" s="454"/>
      <c r="AN745" s="454"/>
      <c r="AY745" s="454"/>
      <c r="AZ745" s="454"/>
      <c r="BA745" s="1306"/>
      <c r="BC745" s="169"/>
    </row>
    <row r="746" spans="19:55">
      <c r="S746" s="454"/>
      <c r="AN746" s="454"/>
      <c r="AY746" s="454"/>
      <c r="AZ746" s="454"/>
      <c r="BA746" s="1306"/>
      <c r="BC746" s="169"/>
    </row>
    <row r="747" spans="19:55">
      <c r="S747" s="454"/>
      <c r="AN747" s="454"/>
      <c r="AY747" s="454"/>
      <c r="AZ747" s="454"/>
      <c r="BA747" s="1306"/>
      <c r="BC747" s="169"/>
    </row>
    <row r="748" spans="19:55">
      <c r="S748" s="454"/>
      <c r="AN748" s="454"/>
      <c r="AY748" s="454"/>
      <c r="AZ748" s="454"/>
      <c r="BA748" s="1306"/>
      <c r="BC748" s="169"/>
    </row>
    <row r="749" spans="19:55">
      <c r="S749" s="454"/>
      <c r="AN749" s="454"/>
      <c r="AY749" s="454"/>
      <c r="AZ749" s="454"/>
      <c r="BA749" s="1306"/>
      <c r="BC749" s="169"/>
    </row>
    <row r="750" spans="19:55">
      <c r="S750" s="454"/>
      <c r="AN750" s="454"/>
      <c r="AY750" s="454"/>
      <c r="AZ750" s="454"/>
      <c r="BA750" s="1306"/>
      <c r="BC750" s="169"/>
    </row>
    <row r="751" spans="19:55">
      <c r="S751" s="454"/>
      <c r="AN751" s="454"/>
      <c r="AY751" s="454"/>
      <c r="AZ751" s="454"/>
      <c r="BA751" s="1306"/>
      <c r="BC751" s="169"/>
    </row>
    <row r="752" spans="19:55">
      <c r="S752" s="454"/>
      <c r="AN752" s="454"/>
      <c r="AY752" s="454"/>
      <c r="AZ752" s="454"/>
      <c r="BA752" s="1306"/>
      <c r="BC752" s="169"/>
    </row>
    <row r="753" spans="19:55">
      <c r="S753" s="454"/>
      <c r="AN753" s="454"/>
      <c r="AY753" s="454"/>
      <c r="AZ753" s="454"/>
      <c r="BA753" s="1306"/>
      <c r="BC753" s="169"/>
    </row>
    <row r="754" spans="19:55">
      <c r="S754" s="454"/>
      <c r="AN754" s="454"/>
      <c r="AY754" s="454"/>
      <c r="AZ754" s="454"/>
      <c r="BA754" s="1306"/>
      <c r="BC754" s="169"/>
    </row>
    <row r="755" spans="19:55">
      <c r="S755" s="454"/>
      <c r="AN755" s="454"/>
      <c r="AY755" s="454"/>
      <c r="AZ755" s="454"/>
      <c r="BA755" s="1306"/>
      <c r="BC755" s="169"/>
    </row>
    <row r="756" spans="19:55">
      <c r="S756" s="454"/>
      <c r="AN756" s="454"/>
      <c r="AY756" s="454"/>
      <c r="AZ756" s="454"/>
      <c r="BA756" s="1306"/>
      <c r="BC756" s="169"/>
    </row>
    <row r="757" spans="19:55">
      <c r="S757" s="454"/>
      <c r="AN757" s="454"/>
      <c r="AY757" s="454"/>
      <c r="AZ757" s="454"/>
      <c r="BA757" s="1306"/>
      <c r="BC757" s="169"/>
    </row>
    <row r="758" spans="19:55">
      <c r="S758" s="454"/>
      <c r="AN758" s="454"/>
      <c r="AY758" s="454"/>
      <c r="AZ758" s="454"/>
      <c r="BA758" s="1306"/>
      <c r="BC758" s="169"/>
    </row>
    <row r="759" spans="19:55">
      <c r="S759" s="454"/>
      <c r="AN759" s="454"/>
      <c r="AY759" s="454"/>
      <c r="AZ759" s="454"/>
      <c r="BA759" s="1306"/>
      <c r="BC759" s="169"/>
    </row>
    <row r="760" spans="19:55">
      <c r="S760" s="454"/>
      <c r="AN760" s="454"/>
      <c r="AY760" s="454"/>
      <c r="AZ760" s="454"/>
      <c r="BA760" s="1306"/>
      <c r="BC760" s="169"/>
    </row>
    <row r="761" spans="19:55">
      <c r="S761" s="454"/>
      <c r="AN761" s="454"/>
      <c r="AY761" s="454"/>
      <c r="AZ761" s="454"/>
      <c r="BA761" s="1306"/>
      <c r="BC761" s="169"/>
    </row>
    <row r="762" spans="19:55">
      <c r="S762" s="454"/>
      <c r="AN762" s="454"/>
      <c r="AY762" s="454"/>
      <c r="AZ762" s="454"/>
      <c r="BA762" s="1306"/>
      <c r="BC762" s="169"/>
    </row>
    <row r="763" spans="19:55">
      <c r="S763" s="454"/>
      <c r="AN763" s="454"/>
      <c r="AY763" s="454"/>
      <c r="AZ763" s="454"/>
      <c r="BA763" s="1306"/>
      <c r="BC763" s="169"/>
    </row>
    <row r="764" spans="19:55">
      <c r="S764" s="454"/>
      <c r="AN764" s="454"/>
      <c r="AY764" s="454"/>
      <c r="AZ764" s="454"/>
      <c r="BA764" s="1306"/>
      <c r="BC764" s="169"/>
    </row>
    <row r="765" spans="19:55">
      <c r="S765" s="454"/>
      <c r="AN765" s="454"/>
      <c r="AY765" s="454"/>
      <c r="AZ765" s="454"/>
      <c r="BA765" s="1306"/>
      <c r="BC765" s="169"/>
    </row>
    <row r="766" spans="19:55">
      <c r="S766" s="454"/>
      <c r="AN766" s="454"/>
      <c r="AY766" s="454"/>
      <c r="AZ766" s="454"/>
      <c r="BA766" s="1306"/>
      <c r="BC766" s="169"/>
    </row>
    <row r="767" spans="19:55">
      <c r="S767" s="454"/>
      <c r="AN767" s="454"/>
      <c r="AY767" s="454"/>
      <c r="AZ767" s="454"/>
      <c r="BA767" s="1306"/>
      <c r="BC767" s="169"/>
    </row>
    <row r="768" spans="19:55">
      <c r="S768" s="454"/>
      <c r="AN768" s="454"/>
      <c r="AY768" s="454"/>
      <c r="AZ768" s="454"/>
      <c r="BA768" s="1306"/>
      <c r="BC768" s="169"/>
    </row>
    <row r="769" spans="19:55">
      <c r="S769" s="454"/>
      <c r="AN769" s="454"/>
      <c r="AY769" s="454"/>
      <c r="AZ769" s="454"/>
      <c r="BA769" s="1306"/>
      <c r="BC769" s="169"/>
    </row>
    <row r="770" spans="19:55">
      <c r="S770" s="454"/>
      <c r="AN770" s="454"/>
      <c r="AY770" s="454"/>
      <c r="AZ770" s="454"/>
      <c r="BA770" s="1306"/>
      <c r="BC770" s="169"/>
    </row>
    <row r="771" spans="19:55">
      <c r="S771" s="454"/>
      <c r="AN771" s="454"/>
      <c r="AY771" s="454"/>
      <c r="AZ771" s="454"/>
      <c r="BA771" s="1306"/>
      <c r="BC771" s="169"/>
    </row>
    <row r="772" spans="19:55">
      <c r="S772" s="454"/>
      <c r="AN772" s="454"/>
      <c r="AY772" s="454"/>
      <c r="AZ772" s="454"/>
      <c r="BA772" s="1306"/>
      <c r="BC772" s="169"/>
    </row>
    <row r="773" spans="19:55">
      <c r="S773" s="454"/>
      <c r="AN773" s="454"/>
      <c r="AY773" s="454"/>
      <c r="AZ773" s="454"/>
      <c r="BA773" s="1306"/>
      <c r="BC773" s="169"/>
    </row>
    <row r="774" spans="19:55">
      <c r="S774" s="454"/>
      <c r="AN774" s="454"/>
      <c r="AY774" s="454"/>
      <c r="AZ774" s="454"/>
      <c r="BA774" s="1306"/>
      <c r="BC774" s="169"/>
    </row>
    <row r="775" spans="19:55">
      <c r="S775" s="454"/>
      <c r="AN775" s="454"/>
      <c r="AY775" s="454"/>
      <c r="AZ775" s="454"/>
      <c r="BA775" s="1306"/>
      <c r="BC775" s="169"/>
    </row>
    <row r="776" spans="19:55">
      <c r="S776" s="454"/>
      <c r="AN776" s="454"/>
      <c r="AY776" s="454"/>
      <c r="AZ776" s="454"/>
      <c r="BA776" s="1306"/>
      <c r="BC776" s="169"/>
    </row>
    <row r="777" spans="19:55">
      <c r="S777" s="454"/>
      <c r="AN777" s="454"/>
      <c r="AY777" s="454"/>
      <c r="AZ777" s="454"/>
      <c r="BA777" s="1306"/>
      <c r="BC777" s="169"/>
    </row>
    <row r="778" spans="19:55">
      <c r="S778" s="454"/>
      <c r="AN778" s="454"/>
      <c r="AY778" s="454"/>
      <c r="AZ778" s="454"/>
      <c r="BA778" s="1306"/>
      <c r="BC778" s="169"/>
    </row>
    <row r="779" spans="19:55">
      <c r="S779" s="454"/>
      <c r="AN779" s="454"/>
      <c r="AY779" s="454"/>
      <c r="AZ779" s="454"/>
      <c r="BA779" s="1306"/>
      <c r="BC779" s="169"/>
    </row>
    <row r="780" spans="19:55">
      <c r="S780" s="454"/>
      <c r="AN780" s="454"/>
      <c r="AY780" s="454"/>
      <c r="AZ780" s="454"/>
      <c r="BA780" s="1306"/>
      <c r="BC780" s="169"/>
    </row>
    <row r="781" spans="19:55">
      <c r="S781" s="454"/>
      <c r="AN781" s="454"/>
      <c r="AY781" s="454"/>
      <c r="AZ781" s="454"/>
      <c r="BA781" s="1306"/>
      <c r="BC781" s="169"/>
    </row>
    <row r="782" spans="19:55">
      <c r="S782" s="454"/>
      <c r="AN782" s="454"/>
      <c r="AY782" s="454"/>
      <c r="AZ782" s="454"/>
      <c r="BA782" s="1306"/>
      <c r="BC782" s="169"/>
    </row>
    <row r="783" spans="19:55">
      <c r="S783" s="454"/>
      <c r="AN783" s="454"/>
      <c r="AY783" s="454"/>
      <c r="AZ783" s="454"/>
      <c r="BA783" s="1306"/>
      <c r="BC783" s="169"/>
    </row>
    <row r="784" spans="19:55">
      <c r="S784" s="454"/>
      <c r="AN784" s="454"/>
      <c r="AY784" s="454"/>
      <c r="AZ784" s="454"/>
      <c r="BA784" s="1306"/>
      <c r="BC784" s="169"/>
    </row>
    <row r="785" spans="19:55">
      <c r="S785" s="454"/>
      <c r="AN785" s="454"/>
      <c r="AY785" s="454"/>
      <c r="AZ785" s="454"/>
      <c r="BA785" s="1306"/>
      <c r="BC785" s="169"/>
    </row>
    <row r="786" spans="19:55">
      <c r="S786" s="454"/>
      <c r="AN786" s="454"/>
      <c r="AY786" s="454"/>
      <c r="AZ786" s="454"/>
      <c r="BA786" s="1306"/>
      <c r="BC786" s="169"/>
    </row>
    <row r="787" spans="19:55">
      <c r="S787" s="454"/>
      <c r="AN787" s="454"/>
      <c r="AY787" s="454"/>
      <c r="AZ787" s="454"/>
      <c r="BA787" s="1306"/>
      <c r="BC787" s="169"/>
    </row>
    <row r="788" spans="19:55">
      <c r="S788" s="454"/>
      <c r="AN788" s="454"/>
      <c r="AY788" s="454"/>
      <c r="AZ788" s="454"/>
      <c r="BA788" s="1306"/>
      <c r="BC788" s="169"/>
    </row>
    <row r="789" spans="19:55">
      <c r="S789" s="454"/>
      <c r="AN789" s="454"/>
      <c r="AY789" s="454"/>
      <c r="AZ789" s="454"/>
      <c r="BA789" s="1306"/>
      <c r="BC789" s="169"/>
    </row>
    <row r="790" spans="19:55">
      <c r="S790" s="454"/>
      <c r="AN790" s="454"/>
      <c r="AY790" s="454"/>
      <c r="AZ790" s="454"/>
      <c r="BA790" s="1306"/>
      <c r="BC790" s="169"/>
    </row>
    <row r="791" spans="19:55">
      <c r="S791" s="454"/>
      <c r="AN791" s="454"/>
      <c r="AY791" s="454"/>
      <c r="AZ791" s="454"/>
      <c r="BA791" s="1306"/>
      <c r="BC791" s="169"/>
    </row>
    <row r="792" spans="19:55">
      <c r="S792" s="454"/>
      <c r="AN792" s="454"/>
      <c r="AY792" s="454"/>
      <c r="AZ792" s="454"/>
      <c r="BA792" s="1306"/>
      <c r="BC792" s="169"/>
    </row>
    <row r="793" spans="19:55">
      <c r="S793" s="454"/>
      <c r="AN793" s="454"/>
      <c r="AY793" s="454"/>
      <c r="AZ793" s="454"/>
      <c r="BA793" s="1306"/>
      <c r="BC793" s="169"/>
    </row>
    <row r="794" spans="19:55">
      <c r="S794" s="454"/>
      <c r="AN794" s="454"/>
      <c r="AY794" s="454"/>
      <c r="AZ794" s="454"/>
      <c r="BA794" s="1306"/>
      <c r="BC794" s="169"/>
    </row>
    <row r="795" spans="19:55">
      <c r="S795" s="454"/>
      <c r="AN795" s="454"/>
      <c r="AY795" s="454"/>
      <c r="AZ795" s="454"/>
      <c r="BA795" s="1306"/>
      <c r="BC795" s="169"/>
    </row>
    <row r="796" spans="19:55">
      <c r="S796" s="454"/>
      <c r="AN796" s="454"/>
      <c r="AY796" s="454"/>
      <c r="AZ796" s="454"/>
      <c r="BA796" s="1306"/>
      <c r="BC796" s="169"/>
    </row>
    <row r="797" spans="19:55">
      <c r="S797" s="454"/>
      <c r="AN797" s="454"/>
      <c r="AY797" s="454"/>
      <c r="AZ797" s="454"/>
      <c r="BA797" s="1306"/>
      <c r="BC797" s="169"/>
    </row>
    <row r="798" spans="19:55">
      <c r="S798" s="454"/>
      <c r="AN798" s="454"/>
      <c r="AY798" s="454"/>
      <c r="AZ798" s="454"/>
      <c r="BA798" s="1306"/>
      <c r="BC798" s="169"/>
    </row>
    <row r="799" spans="19:55">
      <c r="S799" s="454"/>
      <c r="AN799" s="454"/>
      <c r="AY799" s="454"/>
      <c r="AZ799" s="454"/>
      <c r="BA799" s="1306"/>
      <c r="BC799" s="169"/>
    </row>
    <row r="800" spans="19:55">
      <c r="S800" s="454"/>
      <c r="AN800" s="454"/>
      <c r="AY800" s="454"/>
      <c r="AZ800" s="454"/>
      <c r="BA800" s="1306"/>
      <c r="BC800" s="169"/>
    </row>
    <row r="801" spans="19:55">
      <c r="S801" s="454"/>
      <c r="AN801" s="454"/>
      <c r="AY801" s="454"/>
      <c r="AZ801" s="454"/>
      <c r="BA801" s="1306"/>
      <c r="BC801" s="169"/>
    </row>
    <row r="802" spans="19:55">
      <c r="S802" s="454"/>
      <c r="AN802" s="454"/>
      <c r="AY802" s="454"/>
      <c r="AZ802" s="454"/>
      <c r="BA802" s="1306"/>
      <c r="BC802" s="169"/>
    </row>
    <row r="803" spans="19:55">
      <c r="S803" s="454"/>
      <c r="AN803" s="454"/>
      <c r="AY803" s="454"/>
      <c r="AZ803" s="454"/>
      <c r="BA803" s="1306"/>
      <c r="BC803" s="169"/>
    </row>
    <row r="804" spans="19:55">
      <c r="S804" s="454"/>
      <c r="AN804" s="454"/>
      <c r="AY804" s="454"/>
      <c r="AZ804" s="454"/>
      <c r="BA804" s="1306"/>
      <c r="BC804" s="169"/>
    </row>
    <row r="805" spans="19:55">
      <c r="S805" s="454"/>
      <c r="AN805" s="454"/>
      <c r="AY805" s="454"/>
      <c r="AZ805" s="454"/>
      <c r="BA805" s="1306"/>
      <c r="BC805" s="169"/>
    </row>
    <row r="806" spans="19:55">
      <c r="S806" s="454"/>
      <c r="AN806" s="454"/>
      <c r="AY806" s="454"/>
      <c r="AZ806" s="454"/>
      <c r="BA806" s="1306"/>
      <c r="BC806" s="169"/>
    </row>
    <row r="807" spans="19:55">
      <c r="S807" s="454"/>
      <c r="AN807" s="454"/>
      <c r="AY807" s="454"/>
      <c r="AZ807" s="454"/>
      <c r="BA807" s="1306"/>
      <c r="BC807" s="169"/>
    </row>
    <row r="808" spans="19:55">
      <c r="S808" s="454"/>
      <c r="AN808" s="454"/>
      <c r="AY808" s="454"/>
      <c r="AZ808" s="454"/>
      <c r="BA808" s="1306"/>
      <c r="BC808" s="169"/>
    </row>
    <row r="809" spans="19:55">
      <c r="S809" s="454"/>
      <c r="AN809" s="454"/>
      <c r="AY809" s="454"/>
      <c r="AZ809" s="454"/>
      <c r="BA809" s="1306"/>
      <c r="BC809" s="169"/>
    </row>
    <row r="810" spans="19:55">
      <c r="S810" s="454"/>
      <c r="AN810" s="454"/>
      <c r="AY810" s="454"/>
      <c r="AZ810" s="454"/>
      <c r="BA810" s="1306"/>
      <c r="BC810" s="169"/>
    </row>
    <row r="811" spans="19:55">
      <c r="S811" s="454"/>
      <c r="AN811" s="454"/>
      <c r="AY811" s="454"/>
      <c r="AZ811" s="454"/>
      <c r="BA811" s="1306"/>
      <c r="BC811" s="169"/>
    </row>
    <row r="812" spans="19:55">
      <c r="S812" s="454"/>
      <c r="AN812" s="454"/>
      <c r="AY812" s="454"/>
      <c r="AZ812" s="454"/>
      <c r="BA812" s="1306"/>
      <c r="BC812" s="169"/>
    </row>
    <row r="813" spans="19:55">
      <c r="S813" s="454"/>
      <c r="AN813" s="454"/>
      <c r="AY813" s="454"/>
      <c r="AZ813" s="454"/>
      <c r="BA813" s="1306"/>
      <c r="BC813" s="169"/>
    </row>
    <row r="814" spans="19:55">
      <c r="S814" s="454"/>
      <c r="AN814" s="454"/>
      <c r="AY814" s="454"/>
      <c r="AZ814" s="454"/>
      <c r="BA814" s="1306"/>
      <c r="BC814" s="169"/>
    </row>
    <row r="815" spans="19:55">
      <c r="S815" s="454"/>
      <c r="AN815" s="454"/>
      <c r="AY815" s="454"/>
      <c r="AZ815" s="454"/>
      <c r="BA815" s="1306"/>
      <c r="BC815" s="169"/>
    </row>
    <row r="816" spans="19:55">
      <c r="S816" s="454"/>
      <c r="AN816" s="454"/>
      <c r="AY816" s="454"/>
      <c r="AZ816" s="454"/>
      <c r="BA816" s="1306"/>
      <c r="BC816" s="169"/>
    </row>
    <row r="817" spans="19:55">
      <c r="S817" s="454"/>
      <c r="AN817" s="454"/>
      <c r="AY817" s="454"/>
      <c r="AZ817" s="454"/>
      <c r="BA817" s="1306"/>
      <c r="BC817" s="169"/>
    </row>
    <row r="818" spans="19:55">
      <c r="S818" s="454"/>
      <c r="AN818" s="454"/>
      <c r="AY818" s="454"/>
      <c r="AZ818" s="454"/>
      <c r="BA818" s="1306"/>
      <c r="BC818" s="169"/>
    </row>
    <row r="819" spans="19:55">
      <c r="S819" s="454"/>
      <c r="AN819" s="454"/>
      <c r="AY819" s="454"/>
      <c r="AZ819" s="454"/>
      <c r="BA819" s="1306"/>
      <c r="BC819" s="169"/>
    </row>
    <row r="820" spans="19:55">
      <c r="S820" s="454"/>
      <c r="AN820" s="454"/>
      <c r="AY820" s="454"/>
      <c r="AZ820" s="454"/>
      <c r="BA820" s="1306"/>
      <c r="BC820" s="169"/>
    </row>
    <row r="821" spans="19:55">
      <c r="S821" s="454"/>
      <c r="AN821" s="454"/>
      <c r="AY821" s="454"/>
      <c r="AZ821" s="454"/>
      <c r="BA821" s="1306"/>
      <c r="BC821" s="169"/>
    </row>
    <row r="822" spans="19:55">
      <c r="S822" s="454"/>
      <c r="AN822" s="454"/>
      <c r="AY822" s="454"/>
      <c r="AZ822" s="454"/>
      <c r="BA822" s="1306"/>
      <c r="BC822" s="169"/>
    </row>
    <row r="823" spans="19:55">
      <c r="S823" s="454"/>
      <c r="AN823" s="454"/>
      <c r="AY823" s="454"/>
      <c r="AZ823" s="454"/>
      <c r="BA823" s="1306"/>
      <c r="BC823" s="169"/>
    </row>
    <row r="824" spans="19:55">
      <c r="S824" s="454"/>
      <c r="AN824" s="454"/>
      <c r="AY824" s="454"/>
      <c r="AZ824" s="454"/>
      <c r="BA824" s="1306"/>
      <c r="BC824" s="169"/>
    </row>
    <row r="825" spans="19:55">
      <c r="S825" s="454"/>
      <c r="AN825" s="454"/>
      <c r="AY825" s="454"/>
      <c r="AZ825" s="454"/>
      <c r="BA825" s="1306"/>
      <c r="BC825" s="169"/>
    </row>
    <row r="826" spans="19:55">
      <c r="S826" s="454"/>
      <c r="AN826" s="454"/>
      <c r="AY826" s="454"/>
      <c r="AZ826" s="454"/>
      <c r="BA826" s="1306"/>
      <c r="BC826" s="169"/>
    </row>
    <row r="827" spans="19:55">
      <c r="S827" s="454"/>
      <c r="AN827" s="454"/>
      <c r="AY827" s="454"/>
      <c r="AZ827" s="454"/>
      <c r="BA827" s="1306"/>
      <c r="BC827" s="169"/>
    </row>
    <row r="828" spans="19:55">
      <c r="S828" s="454"/>
      <c r="AN828" s="454"/>
      <c r="AY828" s="454"/>
      <c r="AZ828" s="454"/>
      <c r="BA828" s="1306"/>
      <c r="BC828" s="169"/>
    </row>
    <row r="829" spans="19:55">
      <c r="S829" s="454"/>
      <c r="AN829" s="454"/>
      <c r="AY829" s="454"/>
      <c r="AZ829" s="454"/>
      <c r="BA829" s="1306"/>
      <c r="BC829" s="169"/>
    </row>
    <row r="830" spans="19:55">
      <c r="S830" s="454"/>
      <c r="AN830" s="454"/>
      <c r="AY830" s="454"/>
      <c r="AZ830" s="454"/>
      <c r="BA830" s="1306"/>
      <c r="BC830" s="169"/>
    </row>
    <row r="831" spans="19:55">
      <c r="S831" s="454"/>
      <c r="AN831" s="454"/>
      <c r="AY831" s="454"/>
      <c r="AZ831" s="454"/>
      <c r="BA831" s="1306"/>
      <c r="BC831" s="169"/>
    </row>
    <row r="832" spans="19:55">
      <c r="S832" s="454"/>
      <c r="AN832" s="454"/>
      <c r="AY832" s="454"/>
      <c r="AZ832" s="454"/>
      <c r="BA832" s="1306"/>
      <c r="BC832" s="169"/>
    </row>
    <row r="833" spans="19:55">
      <c r="S833" s="454"/>
      <c r="AN833" s="454"/>
      <c r="AY833" s="454"/>
      <c r="AZ833" s="454"/>
      <c r="BA833" s="1306"/>
      <c r="BC833" s="169"/>
    </row>
    <row r="834" spans="19:55">
      <c r="S834" s="454"/>
      <c r="AN834" s="454"/>
      <c r="AY834" s="454"/>
      <c r="AZ834" s="454"/>
      <c r="BA834" s="1306"/>
      <c r="BC834" s="169"/>
    </row>
    <row r="835" spans="19:55">
      <c r="S835" s="454"/>
      <c r="AN835" s="454"/>
      <c r="AY835" s="454"/>
      <c r="AZ835" s="454"/>
      <c r="BA835" s="1306"/>
      <c r="BC835" s="169"/>
    </row>
    <row r="836" spans="19:55">
      <c r="S836" s="454"/>
      <c r="AN836" s="454"/>
      <c r="AY836" s="454"/>
      <c r="AZ836" s="454"/>
      <c r="BA836" s="1306"/>
      <c r="BC836" s="169"/>
    </row>
    <row r="837" spans="19:55">
      <c r="S837" s="454"/>
      <c r="AN837" s="454"/>
      <c r="AY837" s="454"/>
      <c r="AZ837" s="454"/>
      <c r="BA837" s="1306"/>
      <c r="BC837" s="169"/>
    </row>
    <row r="838" spans="19:55">
      <c r="S838" s="454"/>
      <c r="AN838" s="454"/>
      <c r="AY838" s="454"/>
      <c r="AZ838" s="454"/>
      <c r="BA838" s="1306"/>
      <c r="BC838" s="169"/>
    </row>
    <row r="839" spans="19:55">
      <c r="S839" s="454"/>
      <c r="AN839" s="454"/>
      <c r="AY839" s="454"/>
      <c r="AZ839" s="454"/>
      <c r="BA839" s="1306"/>
      <c r="BC839" s="169"/>
    </row>
    <row r="840" spans="19:55">
      <c r="S840" s="454"/>
      <c r="AN840" s="454"/>
      <c r="AY840" s="454"/>
      <c r="AZ840" s="454"/>
      <c r="BA840" s="1306"/>
      <c r="BC840" s="169"/>
    </row>
    <row r="841" spans="19:55">
      <c r="S841" s="454"/>
      <c r="AN841" s="454"/>
      <c r="AY841" s="454"/>
      <c r="AZ841" s="454"/>
      <c r="BA841" s="1306"/>
      <c r="BC841" s="169"/>
    </row>
    <row r="842" spans="19:55">
      <c r="S842" s="454"/>
      <c r="AN842" s="454"/>
      <c r="AY842" s="454"/>
      <c r="AZ842" s="454"/>
      <c r="BA842" s="1306"/>
      <c r="BC842" s="169"/>
    </row>
    <row r="843" spans="19:55">
      <c r="S843" s="454"/>
      <c r="AN843" s="454"/>
      <c r="AY843" s="454"/>
      <c r="AZ843" s="454"/>
      <c r="BA843" s="1306"/>
      <c r="BC843" s="169"/>
    </row>
    <row r="844" spans="19:55">
      <c r="S844" s="454"/>
      <c r="AN844" s="454"/>
      <c r="AY844" s="454"/>
      <c r="AZ844" s="454"/>
      <c r="BA844" s="1306"/>
      <c r="BC844" s="169"/>
    </row>
    <row r="845" spans="19:55">
      <c r="S845" s="454"/>
      <c r="AN845" s="454"/>
      <c r="AY845" s="454"/>
      <c r="AZ845" s="454"/>
      <c r="BA845" s="1306"/>
      <c r="BC845" s="169"/>
    </row>
    <row r="846" spans="19:55">
      <c r="S846" s="454"/>
      <c r="AN846" s="454"/>
      <c r="AY846" s="454"/>
      <c r="AZ846" s="454"/>
      <c r="BA846" s="1306"/>
      <c r="BC846" s="169"/>
    </row>
    <row r="847" spans="19:55">
      <c r="S847" s="454"/>
      <c r="AN847" s="454"/>
      <c r="AY847" s="454"/>
      <c r="AZ847" s="454"/>
      <c r="BA847" s="1306"/>
      <c r="BC847" s="169"/>
    </row>
    <row r="848" spans="19:55">
      <c r="S848" s="454"/>
      <c r="AN848" s="454"/>
      <c r="AY848" s="454"/>
      <c r="AZ848" s="454"/>
      <c r="BA848" s="1306"/>
      <c r="BC848" s="169"/>
    </row>
    <row r="849" spans="19:55">
      <c r="S849" s="454"/>
      <c r="AN849" s="454"/>
      <c r="AY849" s="454"/>
      <c r="AZ849" s="454"/>
      <c r="BA849" s="1306"/>
      <c r="BC849" s="169"/>
    </row>
    <row r="850" spans="19:55">
      <c r="S850" s="454"/>
      <c r="AN850" s="454"/>
      <c r="AY850" s="454"/>
      <c r="AZ850" s="454"/>
      <c r="BA850" s="1306"/>
      <c r="BC850" s="169"/>
    </row>
    <row r="851" spans="19:55">
      <c r="S851" s="454"/>
      <c r="AN851" s="454"/>
      <c r="AY851" s="454"/>
      <c r="AZ851" s="454"/>
      <c r="BA851" s="1306"/>
      <c r="BC851" s="169"/>
    </row>
    <row r="852" spans="19:55">
      <c r="S852" s="454"/>
      <c r="AN852" s="454"/>
      <c r="AY852" s="454"/>
      <c r="AZ852" s="454"/>
      <c r="BA852" s="1306"/>
      <c r="BC852" s="169"/>
    </row>
    <row r="853" spans="19:55">
      <c r="S853" s="454"/>
      <c r="AN853" s="454"/>
      <c r="AY853" s="454"/>
      <c r="AZ853" s="454"/>
      <c r="BA853" s="1306"/>
      <c r="BC853" s="169"/>
    </row>
    <row r="854" spans="19:55">
      <c r="S854" s="454"/>
      <c r="AN854" s="454"/>
      <c r="AY854" s="454"/>
      <c r="AZ854" s="454"/>
      <c r="BA854" s="1306"/>
      <c r="BC854" s="169"/>
    </row>
    <row r="855" spans="19:55">
      <c r="S855" s="454"/>
      <c r="AN855" s="454"/>
      <c r="AY855" s="454"/>
      <c r="AZ855" s="454"/>
      <c r="BA855" s="1306"/>
      <c r="BC855" s="169"/>
    </row>
    <row r="856" spans="19:55">
      <c r="S856" s="454"/>
      <c r="AN856" s="454"/>
      <c r="AY856" s="454"/>
      <c r="AZ856" s="454"/>
      <c r="BA856" s="1306"/>
      <c r="BC856" s="169"/>
    </row>
    <row r="857" spans="19:55">
      <c r="S857" s="454"/>
      <c r="AN857" s="454"/>
      <c r="AY857" s="454"/>
      <c r="AZ857" s="454"/>
      <c r="BA857" s="1306"/>
      <c r="BC857" s="169"/>
    </row>
    <row r="858" spans="19:55">
      <c r="S858" s="454"/>
      <c r="AN858" s="454"/>
      <c r="AY858" s="454"/>
      <c r="AZ858" s="454"/>
      <c r="BA858" s="1306"/>
      <c r="BC858" s="169"/>
    </row>
    <row r="859" spans="19:55">
      <c r="S859" s="454"/>
      <c r="AN859" s="454"/>
      <c r="AY859" s="454"/>
      <c r="AZ859" s="454"/>
      <c r="BA859" s="1306"/>
      <c r="BC859" s="169"/>
    </row>
    <row r="860" spans="19:55">
      <c r="S860" s="454"/>
      <c r="AN860" s="454"/>
      <c r="AY860" s="454"/>
      <c r="AZ860" s="454"/>
      <c r="BA860" s="1306"/>
      <c r="BC860" s="169"/>
    </row>
    <row r="861" spans="19:55">
      <c r="S861" s="454"/>
      <c r="AN861" s="454"/>
      <c r="AY861" s="454"/>
      <c r="AZ861" s="454"/>
      <c r="BA861" s="1306"/>
      <c r="BC861" s="169"/>
    </row>
    <row r="862" spans="19:55">
      <c r="S862" s="454"/>
      <c r="AN862" s="454"/>
      <c r="AY862" s="454"/>
      <c r="AZ862" s="454"/>
      <c r="BA862" s="1306"/>
      <c r="BC862" s="169"/>
    </row>
    <row r="863" spans="19:55">
      <c r="S863" s="454"/>
      <c r="AN863" s="454"/>
      <c r="AY863" s="454"/>
      <c r="AZ863" s="454"/>
      <c r="BA863" s="1306"/>
      <c r="BC863" s="169"/>
    </row>
    <row r="864" spans="19:55">
      <c r="S864" s="454"/>
      <c r="AN864" s="454"/>
      <c r="AY864" s="454"/>
      <c r="AZ864" s="454"/>
      <c r="BA864" s="1306"/>
      <c r="BC864" s="169"/>
    </row>
    <row r="865" spans="19:55">
      <c r="S865" s="454"/>
      <c r="AN865" s="454"/>
      <c r="AY865" s="454"/>
      <c r="AZ865" s="454"/>
      <c r="BA865" s="1306"/>
      <c r="BC865" s="169"/>
    </row>
    <row r="866" spans="19:55">
      <c r="S866" s="454"/>
      <c r="AN866" s="454"/>
      <c r="AY866" s="454"/>
      <c r="AZ866" s="454"/>
      <c r="BA866" s="1306"/>
      <c r="BC866" s="169"/>
    </row>
    <row r="867" spans="19:55">
      <c r="S867" s="454"/>
      <c r="AN867" s="454"/>
      <c r="AY867" s="454"/>
      <c r="AZ867" s="454"/>
      <c r="BA867" s="1306"/>
      <c r="BC867" s="169"/>
    </row>
    <row r="868" spans="19:55">
      <c r="S868" s="454"/>
      <c r="AN868" s="454"/>
      <c r="AY868" s="454"/>
      <c r="AZ868" s="454"/>
      <c r="BA868" s="1306"/>
      <c r="BC868" s="169"/>
    </row>
    <row r="869" spans="19:55">
      <c r="S869" s="454"/>
      <c r="AN869" s="454"/>
      <c r="AY869" s="454"/>
      <c r="AZ869" s="454"/>
      <c r="BA869" s="1306"/>
      <c r="BC869" s="169"/>
    </row>
    <row r="870" spans="19:55">
      <c r="S870" s="454"/>
      <c r="AN870" s="454"/>
      <c r="AY870" s="454"/>
      <c r="AZ870" s="454"/>
      <c r="BA870" s="1306"/>
      <c r="BC870" s="169"/>
    </row>
    <row r="871" spans="19:55">
      <c r="S871" s="454"/>
      <c r="AN871" s="454"/>
      <c r="AY871" s="454"/>
      <c r="AZ871" s="454"/>
      <c r="BA871" s="1306"/>
      <c r="BC871" s="169"/>
    </row>
    <row r="872" spans="19:55">
      <c r="S872" s="454"/>
      <c r="AN872" s="454"/>
      <c r="AY872" s="454"/>
      <c r="AZ872" s="454"/>
      <c r="BA872" s="1306"/>
      <c r="BC872" s="169"/>
    </row>
    <row r="873" spans="19:55">
      <c r="S873" s="454"/>
      <c r="AN873" s="454"/>
      <c r="AY873" s="454"/>
      <c r="AZ873" s="454"/>
      <c r="BA873" s="1306"/>
      <c r="BC873" s="169"/>
    </row>
    <row r="874" spans="19:55">
      <c r="S874" s="454"/>
      <c r="AN874" s="454"/>
      <c r="AY874" s="454"/>
      <c r="AZ874" s="454"/>
      <c r="BA874" s="1306"/>
      <c r="BC874" s="169"/>
    </row>
    <row r="875" spans="19:55">
      <c r="S875" s="454"/>
      <c r="AN875" s="454"/>
      <c r="AY875" s="454"/>
      <c r="AZ875" s="454"/>
      <c r="BA875" s="1306"/>
      <c r="BC875" s="169"/>
    </row>
    <row r="876" spans="19:55">
      <c r="S876" s="454"/>
      <c r="AN876" s="454"/>
      <c r="AY876" s="454"/>
      <c r="AZ876" s="454"/>
      <c r="BA876" s="1306"/>
      <c r="BC876" s="169"/>
    </row>
    <row r="877" spans="19:55">
      <c r="S877" s="454"/>
      <c r="AN877" s="454"/>
      <c r="AY877" s="454"/>
      <c r="AZ877" s="454"/>
      <c r="BA877" s="1306"/>
      <c r="BC877" s="169"/>
    </row>
    <row r="878" spans="19:55">
      <c r="S878" s="454"/>
      <c r="AN878" s="454"/>
      <c r="AY878" s="454"/>
      <c r="AZ878" s="454"/>
      <c r="BA878" s="1306"/>
      <c r="BC878" s="169"/>
    </row>
    <row r="879" spans="19:55">
      <c r="S879" s="454"/>
      <c r="AN879" s="454"/>
      <c r="AY879" s="454"/>
      <c r="AZ879" s="454"/>
      <c r="BA879" s="1306"/>
      <c r="BC879" s="169"/>
    </row>
    <row r="880" spans="19:55">
      <c r="S880" s="454"/>
      <c r="AN880" s="454"/>
      <c r="AY880" s="454"/>
      <c r="AZ880" s="454"/>
      <c r="BA880" s="1306"/>
      <c r="BC880" s="169"/>
    </row>
    <row r="881" spans="19:55">
      <c r="S881" s="454"/>
      <c r="AN881" s="454"/>
      <c r="AY881" s="454"/>
      <c r="AZ881" s="454"/>
      <c r="BA881" s="1306"/>
      <c r="BC881" s="169"/>
    </row>
    <row r="882" spans="19:55">
      <c r="S882" s="454"/>
      <c r="AN882" s="454"/>
      <c r="AY882" s="454"/>
      <c r="AZ882" s="454"/>
      <c r="BA882" s="1306"/>
      <c r="BC882" s="169"/>
    </row>
    <row r="883" spans="19:55">
      <c r="S883" s="454"/>
      <c r="AN883" s="454"/>
      <c r="AY883" s="454"/>
      <c r="AZ883" s="454"/>
      <c r="BA883" s="1306"/>
      <c r="BC883" s="169"/>
    </row>
    <row r="884" spans="19:55">
      <c r="S884" s="454"/>
      <c r="AN884" s="454"/>
      <c r="AY884" s="454"/>
      <c r="AZ884" s="454"/>
      <c r="BA884" s="1306"/>
      <c r="BC884" s="169"/>
    </row>
    <row r="885" spans="19:55">
      <c r="S885" s="454"/>
      <c r="AN885" s="454"/>
      <c r="AY885" s="454"/>
      <c r="AZ885" s="454"/>
      <c r="BA885" s="1306"/>
      <c r="BC885" s="169"/>
    </row>
    <row r="886" spans="19:55">
      <c r="S886" s="454"/>
      <c r="AN886" s="454"/>
      <c r="AY886" s="454"/>
      <c r="AZ886" s="454"/>
      <c r="BA886" s="1306"/>
      <c r="BC886" s="169"/>
    </row>
    <row r="887" spans="19:55">
      <c r="S887" s="454"/>
      <c r="AN887" s="454"/>
      <c r="AY887" s="454"/>
      <c r="AZ887" s="454"/>
      <c r="BA887" s="1306"/>
      <c r="BC887" s="169"/>
    </row>
    <row r="888" spans="19:55">
      <c r="S888" s="454"/>
      <c r="AN888" s="454"/>
      <c r="AY888" s="454"/>
      <c r="AZ888" s="454"/>
      <c r="BA888" s="1306"/>
      <c r="BC888" s="169"/>
    </row>
    <row r="889" spans="19:55">
      <c r="S889" s="454"/>
      <c r="AN889" s="454"/>
      <c r="AY889" s="454"/>
      <c r="AZ889" s="454"/>
      <c r="BA889" s="1306"/>
      <c r="BC889" s="169"/>
    </row>
    <row r="890" spans="19:55">
      <c r="S890" s="454"/>
      <c r="AN890" s="454"/>
      <c r="AY890" s="454"/>
      <c r="AZ890" s="454"/>
      <c r="BA890" s="1306"/>
      <c r="BC890" s="169"/>
    </row>
    <row r="891" spans="19:55">
      <c r="S891" s="454"/>
      <c r="AN891" s="454"/>
      <c r="AY891" s="454"/>
      <c r="AZ891" s="454"/>
      <c r="BA891" s="1306"/>
      <c r="BC891" s="169"/>
    </row>
    <row r="892" spans="19:55">
      <c r="S892" s="454"/>
      <c r="AN892" s="454"/>
      <c r="AY892" s="454"/>
      <c r="AZ892" s="454"/>
      <c r="BA892" s="1306"/>
      <c r="BC892" s="169"/>
    </row>
    <row r="893" spans="19:55">
      <c r="S893" s="454"/>
      <c r="AN893" s="454"/>
      <c r="AY893" s="454"/>
      <c r="AZ893" s="454"/>
      <c r="BA893" s="1306"/>
      <c r="BC893" s="169"/>
    </row>
    <row r="894" spans="19:55">
      <c r="S894" s="454"/>
      <c r="AN894" s="454"/>
      <c r="AY894" s="454"/>
      <c r="AZ894" s="454"/>
      <c r="BA894" s="1306"/>
      <c r="BC894" s="169"/>
    </row>
    <row r="895" spans="19:55">
      <c r="S895" s="454"/>
      <c r="AN895" s="454"/>
      <c r="AY895" s="454"/>
      <c r="AZ895" s="454"/>
      <c r="BA895" s="1306"/>
      <c r="BC895" s="169"/>
    </row>
    <row r="896" spans="19:55">
      <c r="S896" s="454"/>
      <c r="AN896" s="454"/>
      <c r="AY896" s="454"/>
      <c r="AZ896" s="454"/>
      <c r="BA896" s="1306"/>
      <c r="BC896" s="169"/>
    </row>
    <row r="897" spans="19:55">
      <c r="S897" s="454"/>
      <c r="AN897" s="454"/>
      <c r="AY897" s="454"/>
      <c r="AZ897" s="454"/>
      <c r="BA897" s="1306"/>
      <c r="BC897" s="169"/>
    </row>
    <row r="898" spans="19:55">
      <c r="S898" s="454"/>
      <c r="AN898" s="454"/>
      <c r="AY898" s="454"/>
      <c r="AZ898" s="454"/>
      <c r="BA898" s="1306"/>
      <c r="BC898" s="169"/>
    </row>
    <row r="899" spans="19:55">
      <c r="S899" s="454"/>
      <c r="AN899" s="454"/>
      <c r="AY899" s="454"/>
      <c r="AZ899" s="454"/>
      <c r="BA899" s="1306"/>
      <c r="BC899" s="169"/>
    </row>
    <row r="900" spans="19:55">
      <c r="S900" s="454"/>
      <c r="AN900" s="454"/>
      <c r="AY900" s="454"/>
      <c r="AZ900" s="454"/>
      <c r="BA900" s="1306"/>
      <c r="BC900" s="169"/>
    </row>
    <row r="901" spans="19:55">
      <c r="S901" s="454"/>
      <c r="AN901" s="454"/>
      <c r="AY901" s="454"/>
      <c r="AZ901" s="454"/>
      <c r="BA901" s="1306"/>
      <c r="BC901" s="169"/>
    </row>
    <row r="902" spans="19:55">
      <c r="S902" s="454"/>
      <c r="AN902" s="454"/>
      <c r="AY902" s="454"/>
      <c r="AZ902" s="454"/>
      <c r="BA902" s="1306"/>
      <c r="BC902" s="169"/>
    </row>
    <row r="903" spans="19:55">
      <c r="S903" s="454"/>
      <c r="AN903" s="454"/>
      <c r="AY903" s="454"/>
      <c r="AZ903" s="454"/>
      <c r="BA903" s="1306"/>
      <c r="BC903" s="169"/>
    </row>
    <row r="904" spans="19:55">
      <c r="S904" s="454"/>
      <c r="AN904" s="454"/>
      <c r="AY904" s="454"/>
      <c r="AZ904" s="454"/>
      <c r="BA904" s="1306"/>
      <c r="BC904" s="169"/>
    </row>
    <row r="905" spans="19:55">
      <c r="S905" s="454"/>
      <c r="AN905" s="454"/>
      <c r="AY905" s="454"/>
      <c r="AZ905" s="454"/>
      <c r="BA905" s="1306"/>
      <c r="BC905" s="169"/>
    </row>
    <row r="906" spans="19:55">
      <c r="S906" s="454"/>
      <c r="AN906" s="454"/>
      <c r="AY906" s="454"/>
      <c r="AZ906" s="454"/>
      <c r="BA906" s="1306"/>
      <c r="BC906" s="169"/>
    </row>
    <row r="907" spans="19:55">
      <c r="S907" s="454"/>
      <c r="AN907" s="454"/>
      <c r="AY907" s="454"/>
      <c r="AZ907" s="454"/>
      <c r="BA907" s="1306"/>
      <c r="BC907" s="169"/>
    </row>
    <row r="908" spans="19:55">
      <c r="S908" s="454"/>
      <c r="AN908" s="454"/>
      <c r="AY908" s="454"/>
      <c r="AZ908" s="454"/>
      <c r="BA908" s="1306"/>
      <c r="BC908" s="169"/>
    </row>
    <row r="909" spans="19:55">
      <c r="S909" s="454"/>
      <c r="AN909" s="454"/>
      <c r="AY909" s="454"/>
      <c r="AZ909" s="454"/>
      <c r="BA909" s="1306"/>
      <c r="BC909" s="169"/>
    </row>
    <row r="910" spans="19:55">
      <c r="S910" s="454"/>
      <c r="AN910" s="454"/>
      <c r="AY910" s="454"/>
      <c r="AZ910" s="454"/>
      <c r="BA910" s="1306"/>
      <c r="BC910" s="169"/>
    </row>
    <row r="911" spans="19:55">
      <c r="S911" s="454"/>
      <c r="AN911" s="454"/>
      <c r="AY911" s="454"/>
      <c r="AZ911" s="454"/>
      <c r="BA911" s="1306"/>
      <c r="BC911" s="169"/>
    </row>
    <row r="912" spans="19:55">
      <c r="S912" s="454"/>
      <c r="AN912" s="454"/>
      <c r="AY912" s="454"/>
      <c r="AZ912" s="454"/>
      <c r="BA912" s="1306"/>
      <c r="BC912" s="169"/>
    </row>
    <row r="913" spans="19:55">
      <c r="S913" s="454"/>
      <c r="AN913" s="454"/>
      <c r="AY913" s="454"/>
      <c r="AZ913" s="454"/>
      <c r="BA913" s="1306"/>
      <c r="BC913" s="169"/>
    </row>
    <row r="914" spans="19:55">
      <c r="S914" s="454"/>
      <c r="AN914" s="454"/>
      <c r="AY914" s="454"/>
      <c r="AZ914" s="454"/>
      <c r="BA914" s="1306"/>
      <c r="BC914" s="169"/>
    </row>
    <row r="915" spans="19:55">
      <c r="S915" s="454"/>
      <c r="AN915" s="454"/>
      <c r="AY915" s="454"/>
      <c r="AZ915" s="454"/>
      <c r="BA915" s="1306"/>
      <c r="BC915" s="169"/>
    </row>
    <row r="916" spans="19:55">
      <c r="S916" s="454"/>
      <c r="AN916" s="454"/>
      <c r="AY916" s="454"/>
      <c r="AZ916" s="454"/>
      <c r="BA916" s="1306"/>
      <c r="BC916" s="169"/>
    </row>
    <row r="917" spans="19:55">
      <c r="S917" s="454"/>
      <c r="AN917" s="454"/>
      <c r="AY917" s="454"/>
      <c r="AZ917" s="454"/>
      <c r="BA917" s="1306"/>
      <c r="BC917" s="169"/>
    </row>
    <row r="918" spans="19:55">
      <c r="S918" s="454"/>
      <c r="AN918" s="454"/>
      <c r="AY918" s="454"/>
      <c r="AZ918" s="454"/>
      <c r="BA918" s="1306"/>
      <c r="BC918" s="169"/>
    </row>
    <row r="919" spans="19:55">
      <c r="S919" s="454"/>
      <c r="AN919" s="454"/>
      <c r="AY919" s="454"/>
      <c r="AZ919" s="454"/>
      <c r="BA919" s="1306"/>
      <c r="BC919" s="169"/>
    </row>
    <row r="920" spans="19:55">
      <c r="S920" s="454"/>
      <c r="AN920" s="454"/>
      <c r="AY920" s="454"/>
      <c r="AZ920" s="454"/>
      <c r="BA920" s="1306"/>
      <c r="BC920" s="169"/>
    </row>
    <row r="921" spans="19:55">
      <c r="S921" s="454"/>
      <c r="AN921" s="454"/>
      <c r="AY921" s="454"/>
      <c r="AZ921" s="454"/>
      <c r="BA921" s="1306"/>
      <c r="BC921" s="169"/>
    </row>
    <row r="922" spans="19:55">
      <c r="S922" s="454"/>
      <c r="AN922" s="454"/>
      <c r="AY922" s="454"/>
      <c r="AZ922" s="454"/>
      <c r="BA922" s="1306"/>
      <c r="BC922" s="169"/>
    </row>
    <row r="923" spans="19:55">
      <c r="S923" s="454"/>
      <c r="AN923" s="454"/>
      <c r="AY923" s="454"/>
      <c r="AZ923" s="454"/>
      <c r="BA923" s="1306"/>
      <c r="BC923" s="169"/>
    </row>
    <row r="924" spans="19:55">
      <c r="S924" s="454"/>
      <c r="AN924" s="454"/>
      <c r="AY924" s="454"/>
      <c r="AZ924" s="454"/>
      <c r="BA924" s="1306"/>
      <c r="BC924" s="169"/>
    </row>
    <row r="925" spans="19:55">
      <c r="S925" s="454"/>
      <c r="AN925" s="454"/>
      <c r="AY925" s="454"/>
      <c r="AZ925" s="454"/>
      <c r="BA925" s="1306"/>
      <c r="BC925" s="169"/>
    </row>
    <row r="926" spans="19:55">
      <c r="S926" s="454"/>
      <c r="AN926" s="454"/>
      <c r="AY926" s="454"/>
      <c r="AZ926" s="454"/>
      <c r="BA926" s="1306"/>
      <c r="BC926" s="169"/>
    </row>
    <row r="927" spans="19:55">
      <c r="S927" s="454"/>
      <c r="AN927" s="454"/>
      <c r="AY927" s="454"/>
      <c r="AZ927" s="454"/>
      <c r="BA927" s="1306"/>
      <c r="BC927" s="169"/>
    </row>
    <row r="928" spans="19:55">
      <c r="S928" s="454"/>
      <c r="AN928" s="454"/>
      <c r="AY928" s="454"/>
      <c r="AZ928" s="454"/>
      <c r="BA928" s="1306"/>
      <c r="BC928" s="169"/>
    </row>
    <row r="929" spans="19:55">
      <c r="S929" s="454"/>
      <c r="AN929" s="454"/>
      <c r="AY929" s="454"/>
      <c r="AZ929" s="454"/>
      <c r="BA929" s="1306"/>
      <c r="BC929" s="169"/>
    </row>
    <row r="930" spans="19:55">
      <c r="S930" s="454"/>
      <c r="AN930" s="454"/>
      <c r="AY930" s="454"/>
      <c r="AZ930" s="454"/>
      <c r="BA930" s="1306"/>
      <c r="BC930" s="169"/>
    </row>
    <row r="931" spans="19:55">
      <c r="S931" s="454"/>
      <c r="AN931" s="454"/>
      <c r="AY931" s="454"/>
      <c r="AZ931" s="454"/>
      <c r="BA931" s="1306"/>
      <c r="BC931" s="169"/>
    </row>
    <row r="932" spans="19:55">
      <c r="S932" s="454"/>
      <c r="AN932" s="454"/>
      <c r="AY932" s="454"/>
      <c r="AZ932" s="454"/>
      <c r="BA932" s="1306"/>
      <c r="BC932" s="169"/>
    </row>
    <row r="933" spans="19:55">
      <c r="S933" s="454"/>
      <c r="AN933" s="454"/>
      <c r="AY933" s="454"/>
      <c r="AZ933" s="454"/>
      <c r="BA933" s="1306"/>
      <c r="BC933" s="169"/>
    </row>
    <row r="934" spans="19:55">
      <c r="S934" s="454"/>
      <c r="AN934" s="454"/>
      <c r="AY934" s="454"/>
      <c r="AZ934" s="454"/>
      <c r="BA934" s="1306"/>
      <c r="BC934" s="169"/>
    </row>
    <row r="935" spans="19:55">
      <c r="S935" s="454"/>
      <c r="AN935" s="454"/>
      <c r="AY935" s="454"/>
      <c r="AZ935" s="454"/>
      <c r="BA935" s="1306"/>
      <c r="BC935" s="169"/>
    </row>
    <row r="936" spans="19:55">
      <c r="S936" s="454"/>
      <c r="AN936" s="454"/>
      <c r="AY936" s="454"/>
      <c r="AZ936" s="454"/>
      <c r="BA936" s="1306"/>
      <c r="BC936" s="169"/>
    </row>
    <row r="937" spans="19:55">
      <c r="S937" s="454"/>
      <c r="AN937" s="454"/>
      <c r="AY937" s="454"/>
      <c r="AZ937" s="454"/>
      <c r="BA937" s="1306"/>
      <c r="BC937" s="169"/>
    </row>
    <row r="938" spans="19:55">
      <c r="S938" s="454"/>
      <c r="AN938" s="454"/>
      <c r="AY938" s="454"/>
      <c r="AZ938" s="454"/>
      <c r="BA938" s="1306"/>
      <c r="BC938" s="169"/>
    </row>
    <row r="939" spans="19:55">
      <c r="S939" s="454"/>
      <c r="AN939" s="454"/>
      <c r="AY939" s="454"/>
      <c r="AZ939" s="454"/>
      <c r="BA939" s="1306"/>
      <c r="BC939" s="169"/>
    </row>
    <row r="940" spans="19:55">
      <c r="S940" s="454"/>
      <c r="AN940" s="454"/>
      <c r="AY940" s="454"/>
      <c r="AZ940" s="454"/>
      <c r="BA940" s="1306"/>
      <c r="BC940" s="169"/>
    </row>
    <row r="941" spans="19:55">
      <c r="S941" s="454"/>
      <c r="AN941" s="454"/>
      <c r="AY941" s="454"/>
      <c r="AZ941" s="454"/>
      <c r="BA941" s="1306"/>
      <c r="BC941" s="169"/>
    </row>
    <row r="942" spans="19:55">
      <c r="S942" s="454"/>
      <c r="AN942" s="454"/>
      <c r="AY942" s="454"/>
      <c r="AZ942" s="454"/>
      <c r="BA942" s="1306"/>
      <c r="BC942" s="169"/>
    </row>
    <row r="943" spans="19:55">
      <c r="S943" s="454"/>
      <c r="AN943" s="454"/>
      <c r="AY943" s="454"/>
      <c r="AZ943" s="454"/>
      <c r="BA943" s="1306"/>
      <c r="BC943" s="169"/>
    </row>
    <row r="944" spans="19:55">
      <c r="S944" s="454"/>
      <c r="AN944" s="454"/>
      <c r="AY944" s="454"/>
      <c r="AZ944" s="454"/>
      <c r="BA944" s="1306"/>
      <c r="BC944" s="169"/>
    </row>
    <row r="945" spans="19:55">
      <c r="S945" s="454"/>
      <c r="AN945" s="454"/>
      <c r="AY945" s="454"/>
      <c r="AZ945" s="454"/>
      <c r="BA945" s="1306"/>
      <c r="BC945" s="169"/>
    </row>
    <row r="946" spans="19:55">
      <c r="S946" s="454"/>
      <c r="AN946" s="454"/>
      <c r="AY946" s="454"/>
      <c r="AZ946" s="454"/>
      <c r="BA946" s="1306"/>
      <c r="BC946" s="169"/>
    </row>
    <row r="947" spans="19:55">
      <c r="S947" s="454"/>
      <c r="AN947" s="454"/>
      <c r="AY947" s="454"/>
      <c r="AZ947" s="454"/>
      <c r="BA947" s="1306"/>
      <c r="BC947" s="169"/>
    </row>
    <row r="948" spans="19:55">
      <c r="S948" s="454"/>
      <c r="AN948" s="454"/>
      <c r="AY948" s="454"/>
      <c r="AZ948" s="454"/>
      <c r="BA948" s="1306"/>
      <c r="BC948" s="169"/>
    </row>
    <row r="949" spans="19:55">
      <c r="S949" s="454"/>
      <c r="AN949" s="454"/>
      <c r="AY949" s="454"/>
      <c r="AZ949" s="454"/>
      <c r="BA949" s="1306"/>
      <c r="BC949" s="169"/>
    </row>
    <row r="950" spans="19:55">
      <c r="S950" s="454"/>
      <c r="AN950" s="454"/>
      <c r="AY950" s="454"/>
      <c r="AZ950" s="454"/>
      <c r="BA950" s="1306"/>
      <c r="BC950" s="169"/>
    </row>
    <row r="951" spans="19:55">
      <c r="S951" s="454"/>
      <c r="AN951" s="454"/>
      <c r="AY951" s="454"/>
      <c r="AZ951" s="454"/>
      <c r="BA951" s="1306"/>
      <c r="BC951" s="169"/>
    </row>
    <row r="952" spans="19:55">
      <c r="S952" s="454"/>
      <c r="AN952" s="454"/>
      <c r="AY952" s="454"/>
      <c r="AZ952" s="454"/>
      <c r="BA952" s="1306"/>
      <c r="BC952" s="169"/>
    </row>
    <row r="953" spans="19:55">
      <c r="S953" s="454"/>
      <c r="AN953" s="454"/>
      <c r="AY953" s="454"/>
      <c r="AZ953" s="454"/>
      <c r="BA953" s="1306"/>
      <c r="BC953" s="169"/>
    </row>
    <row r="954" spans="19:55">
      <c r="S954" s="454"/>
      <c r="AN954" s="454"/>
      <c r="AY954" s="454"/>
      <c r="AZ954" s="454"/>
      <c r="BA954" s="1306"/>
      <c r="BC954" s="169"/>
    </row>
    <row r="955" spans="19:55">
      <c r="S955" s="454"/>
      <c r="AN955" s="454"/>
      <c r="AY955" s="454"/>
      <c r="AZ955" s="454"/>
      <c r="BA955" s="1306"/>
      <c r="BC955" s="169"/>
    </row>
    <row r="956" spans="19:55">
      <c r="S956" s="454"/>
      <c r="AN956" s="454"/>
      <c r="AY956" s="454"/>
      <c r="AZ956" s="454"/>
      <c r="BA956" s="1306"/>
      <c r="BC956" s="169"/>
    </row>
    <row r="957" spans="19:55">
      <c r="S957" s="454"/>
      <c r="AN957" s="454"/>
      <c r="AY957" s="454"/>
      <c r="AZ957" s="454"/>
      <c r="BA957" s="1306"/>
      <c r="BC957" s="169"/>
    </row>
    <row r="958" spans="19:55">
      <c r="S958" s="454"/>
      <c r="AN958" s="454"/>
      <c r="AY958" s="454"/>
      <c r="AZ958" s="454"/>
      <c r="BA958" s="1306"/>
      <c r="BC958" s="169"/>
    </row>
    <row r="959" spans="19:55">
      <c r="S959" s="454"/>
      <c r="AN959" s="454"/>
      <c r="AY959" s="454"/>
      <c r="AZ959" s="454"/>
      <c r="BA959" s="1306"/>
      <c r="BC959" s="169"/>
    </row>
    <row r="960" spans="19:55">
      <c r="S960" s="454"/>
      <c r="AN960" s="454"/>
      <c r="AY960" s="454"/>
      <c r="AZ960" s="454"/>
      <c r="BA960" s="1306"/>
      <c r="BC960" s="169"/>
    </row>
    <row r="961" spans="19:55">
      <c r="S961" s="454"/>
      <c r="AN961" s="454"/>
      <c r="AY961" s="454"/>
      <c r="AZ961" s="454"/>
      <c r="BA961" s="1306"/>
      <c r="BC961" s="169"/>
    </row>
    <row r="962" spans="19:55">
      <c r="S962" s="454"/>
      <c r="AN962" s="454"/>
      <c r="AY962" s="454"/>
      <c r="AZ962" s="454"/>
      <c r="BA962" s="1306"/>
      <c r="BC962" s="169"/>
    </row>
    <row r="963" spans="19:55">
      <c r="S963" s="454"/>
      <c r="AN963" s="454"/>
      <c r="AY963" s="454"/>
      <c r="AZ963" s="454"/>
      <c r="BA963" s="1306"/>
      <c r="BC963" s="169"/>
    </row>
    <row r="964" spans="19:55">
      <c r="S964" s="454"/>
      <c r="AN964" s="454"/>
      <c r="AY964" s="454"/>
      <c r="AZ964" s="454"/>
      <c r="BA964" s="1306"/>
      <c r="BC964" s="169"/>
    </row>
    <row r="965" spans="19:55">
      <c r="S965" s="454"/>
      <c r="AN965" s="454"/>
      <c r="AY965" s="454"/>
      <c r="AZ965" s="454"/>
      <c r="BA965" s="1306"/>
      <c r="BC965" s="169"/>
    </row>
    <row r="966" spans="19:55">
      <c r="S966" s="454"/>
      <c r="AN966" s="454"/>
      <c r="AY966" s="454"/>
      <c r="AZ966" s="454"/>
      <c r="BA966" s="1306"/>
      <c r="BC966" s="169"/>
    </row>
    <row r="967" spans="19:55">
      <c r="S967" s="454"/>
      <c r="AN967" s="454"/>
      <c r="AY967" s="454"/>
      <c r="AZ967" s="454"/>
      <c r="BA967" s="1306"/>
      <c r="BC967" s="169"/>
    </row>
    <row r="968" spans="19:55">
      <c r="S968" s="454"/>
      <c r="AN968" s="454"/>
      <c r="AY968" s="454"/>
      <c r="AZ968" s="454"/>
      <c r="BA968" s="1306"/>
      <c r="BC968" s="169"/>
    </row>
    <row r="969" spans="19:55">
      <c r="S969" s="454"/>
      <c r="AN969" s="454"/>
      <c r="AY969" s="454"/>
      <c r="AZ969" s="454"/>
      <c r="BA969" s="1306"/>
      <c r="BC969" s="169"/>
    </row>
    <row r="970" spans="19:55">
      <c r="S970" s="454"/>
      <c r="AN970" s="454"/>
      <c r="AY970" s="454"/>
      <c r="AZ970" s="454"/>
      <c r="BA970" s="1306"/>
      <c r="BC970" s="169"/>
    </row>
    <row r="971" spans="19:55">
      <c r="S971" s="454"/>
      <c r="AN971" s="454"/>
      <c r="AY971" s="454"/>
      <c r="AZ971" s="454"/>
      <c r="BA971" s="1306"/>
      <c r="BC971" s="169"/>
    </row>
    <row r="972" spans="19:55">
      <c r="S972" s="454"/>
      <c r="AN972" s="454"/>
      <c r="AY972" s="454"/>
      <c r="AZ972" s="454"/>
      <c r="BA972" s="1306"/>
      <c r="BC972" s="169"/>
    </row>
    <row r="973" spans="19:55">
      <c r="S973" s="454"/>
      <c r="AN973" s="454"/>
      <c r="AY973" s="454"/>
      <c r="AZ973" s="454"/>
      <c r="BA973" s="1306"/>
      <c r="BC973" s="169"/>
    </row>
    <row r="974" spans="19:55">
      <c r="S974" s="454"/>
      <c r="AN974" s="454"/>
      <c r="AY974" s="454"/>
      <c r="AZ974" s="454"/>
      <c r="BA974" s="1306"/>
      <c r="BC974" s="169"/>
    </row>
    <row r="975" spans="19:55">
      <c r="S975" s="454"/>
      <c r="AN975" s="454"/>
      <c r="AY975" s="454"/>
      <c r="AZ975" s="454"/>
      <c r="BA975" s="1306"/>
      <c r="BC975" s="169"/>
    </row>
    <row r="976" spans="19:55">
      <c r="S976" s="454"/>
      <c r="AN976" s="454"/>
      <c r="AY976" s="454"/>
      <c r="AZ976" s="454"/>
      <c r="BA976" s="1306"/>
      <c r="BC976" s="169"/>
    </row>
    <row r="977" spans="19:55">
      <c r="S977" s="454"/>
      <c r="AN977" s="454"/>
      <c r="AY977" s="454"/>
      <c r="AZ977" s="454"/>
      <c r="BA977" s="1306"/>
      <c r="BC977" s="169"/>
    </row>
    <row r="978" spans="19:55">
      <c r="S978" s="454"/>
      <c r="AN978" s="454"/>
      <c r="AY978" s="454"/>
      <c r="AZ978" s="454"/>
      <c r="BA978" s="1306"/>
      <c r="BC978" s="169"/>
    </row>
    <row r="979" spans="19:55">
      <c r="S979" s="454"/>
      <c r="AN979" s="454"/>
      <c r="AY979" s="454"/>
      <c r="AZ979" s="454"/>
      <c r="BA979" s="1306"/>
      <c r="BC979" s="169"/>
    </row>
    <row r="980" spans="19:55">
      <c r="S980" s="454"/>
      <c r="AN980" s="454"/>
      <c r="AY980" s="454"/>
      <c r="AZ980" s="454"/>
      <c r="BA980" s="1306"/>
      <c r="BC980" s="169"/>
    </row>
    <row r="981" spans="19:55">
      <c r="S981" s="454"/>
      <c r="AN981" s="454"/>
      <c r="AY981" s="454"/>
      <c r="AZ981" s="454"/>
      <c r="BA981" s="1306"/>
      <c r="BC981" s="169"/>
    </row>
    <row r="982" spans="19:55">
      <c r="S982" s="454"/>
      <c r="AN982" s="454"/>
      <c r="AY982" s="454"/>
      <c r="AZ982" s="454"/>
      <c r="BA982" s="1306"/>
      <c r="BC982" s="169"/>
    </row>
    <row r="983" spans="19:55">
      <c r="S983" s="454"/>
      <c r="AN983" s="454"/>
      <c r="AY983" s="454"/>
      <c r="AZ983" s="454"/>
      <c r="BA983" s="1306"/>
      <c r="BC983" s="169"/>
    </row>
    <row r="984" spans="19:55">
      <c r="S984" s="454"/>
      <c r="AN984" s="454"/>
      <c r="AY984" s="454"/>
      <c r="AZ984" s="454"/>
      <c r="BA984" s="1306"/>
      <c r="BC984" s="169"/>
    </row>
    <row r="985" spans="19:55">
      <c r="S985" s="454"/>
      <c r="AN985" s="454"/>
      <c r="AY985" s="454"/>
      <c r="AZ985" s="454"/>
      <c r="BA985" s="1306"/>
      <c r="BC985" s="169"/>
    </row>
    <row r="986" spans="19:55">
      <c r="S986" s="454"/>
      <c r="AN986" s="454"/>
      <c r="AY986" s="454"/>
      <c r="AZ986" s="454"/>
      <c r="BA986" s="1306"/>
      <c r="BC986" s="169"/>
    </row>
    <row r="987" spans="19:55">
      <c r="S987" s="454"/>
      <c r="AN987" s="454"/>
      <c r="AY987" s="454"/>
      <c r="AZ987" s="454"/>
      <c r="BA987" s="1306"/>
      <c r="BC987" s="169"/>
    </row>
    <row r="988" spans="19:55">
      <c r="S988" s="454"/>
      <c r="AN988" s="454"/>
      <c r="AY988" s="454"/>
      <c r="AZ988" s="454"/>
      <c r="BA988" s="1306"/>
      <c r="BC988" s="169"/>
    </row>
    <row r="989" spans="19:55">
      <c r="S989" s="454"/>
      <c r="AN989" s="454"/>
      <c r="AY989" s="454"/>
      <c r="AZ989" s="454"/>
      <c r="BA989" s="1306"/>
      <c r="BC989" s="169"/>
    </row>
    <row r="990" spans="19:55">
      <c r="S990" s="454"/>
      <c r="AN990" s="454"/>
      <c r="AY990" s="454"/>
      <c r="AZ990" s="454"/>
      <c r="BA990" s="1306"/>
      <c r="BC990" s="169"/>
    </row>
    <row r="991" spans="19:55">
      <c r="S991" s="454"/>
      <c r="AN991" s="454"/>
      <c r="AY991" s="454"/>
      <c r="AZ991" s="454"/>
      <c r="BA991" s="1306"/>
      <c r="BC991" s="169"/>
    </row>
    <row r="992" spans="19:55">
      <c r="S992" s="454"/>
      <c r="AN992" s="454"/>
      <c r="AY992" s="454"/>
      <c r="AZ992" s="454"/>
      <c r="BA992" s="1306"/>
      <c r="BC992" s="169"/>
    </row>
    <row r="993" spans="19:55">
      <c r="S993" s="454"/>
      <c r="AN993" s="454"/>
      <c r="AY993" s="454"/>
      <c r="AZ993" s="454"/>
      <c r="BA993" s="1306"/>
      <c r="BC993" s="169"/>
    </row>
    <row r="994" spans="19:55">
      <c r="S994" s="454"/>
      <c r="AN994" s="454"/>
      <c r="AY994" s="454"/>
      <c r="AZ994" s="454"/>
      <c r="BA994" s="1306"/>
      <c r="BC994" s="169"/>
    </row>
    <row r="995" spans="19:55">
      <c r="S995" s="454"/>
      <c r="AN995" s="454"/>
      <c r="AY995" s="454"/>
      <c r="AZ995" s="454"/>
      <c r="BA995" s="1306"/>
      <c r="BC995" s="169"/>
    </row>
    <row r="996" spans="19:55">
      <c r="S996" s="454"/>
      <c r="AN996" s="454"/>
      <c r="AY996" s="454"/>
      <c r="AZ996" s="454"/>
      <c r="BA996" s="1306"/>
      <c r="BC996" s="169"/>
    </row>
    <row r="997" spans="19:55">
      <c r="S997" s="454"/>
      <c r="AN997" s="454"/>
      <c r="AY997" s="454"/>
      <c r="AZ997" s="454"/>
      <c r="BA997" s="1306"/>
      <c r="BC997" s="169"/>
    </row>
    <row r="998" spans="19:55">
      <c r="S998" s="454"/>
      <c r="AN998" s="454"/>
      <c r="AY998" s="454"/>
      <c r="AZ998" s="454"/>
      <c r="BA998" s="1306"/>
      <c r="BC998" s="169"/>
    </row>
    <row r="999" spans="19:55">
      <c r="S999" s="454"/>
      <c r="AN999" s="454"/>
      <c r="AY999" s="454"/>
      <c r="AZ999" s="454"/>
      <c r="BA999" s="1306"/>
      <c r="BC999" s="169"/>
    </row>
    <row r="1000" spans="19:55">
      <c r="S1000" s="454"/>
      <c r="AN1000" s="454"/>
      <c r="AY1000" s="454"/>
      <c r="AZ1000" s="454"/>
      <c r="BA1000" s="1306"/>
      <c r="BC1000" s="169"/>
    </row>
    <row r="1001" spans="19:55">
      <c r="S1001" s="454"/>
      <c r="AN1001" s="454"/>
      <c r="AY1001" s="454"/>
      <c r="AZ1001" s="454"/>
      <c r="BA1001" s="1306"/>
      <c r="BC1001" s="169"/>
    </row>
    <row r="1002" spans="19:55">
      <c r="S1002" s="454"/>
      <c r="AN1002" s="454"/>
      <c r="AY1002" s="454"/>
      <c r="AZ1002" s="454"/>
      <c r="BA1002" s="1306"/>
      <c r="BC1002" s="169"/>
    </row>
    <row r="1003" spans="19:55">
      <c r="S1003" s="454"/>
      <c r="AN1003" s="454"/>
      <c r="AY1003" s="454"/>
      <c r="AZ1003" s="454"/>
      <c r="BA1003" s="1306"/>
      <c r="BC1003" s="169"/>
    </row>
    <row r="1004" spans="19:55">
      <c r="S1004" s="454"/>
      <c r="AN1004" s="454"/>
      <c r="AY1004" s="454"/>
      <c r="AZ1004" s="454"/>
      <c r="BA1004" s="1306"/>
      <c r="BC1004" s="169"/>
    </row>
    <row r="1005" spans="19:55">
      <c r="S1005" s="454"/>
      <c r="AN1005" s="454"/>
      <c r="AY1005" s="454"/>
      <c r="AZ1005" s="454"/>
      <c r="BA1005" s="1306"/>
      <c r="BC1005" s="169"/>
    </row>
    <row r="1006" spans="19:55">
      <c r="S1006" s="454"/>
      <c r="AN1006" s="454"/>
      <c r="AY1006" s="454"/>
      <c r="AZ1006" s="454"/>
      <c r="BA1006" s="1306"/>
      <c r="BC1006" s="169"/>
    </row>
    <row r="1007" spans="19:55">
      <c r="S1007" s="454"/>
      <c r="AN1007" s="454"/>
      <c r="AY1007" s="454"/>
      <c r="AZ1007" s="454"/>
      <c r="BA1007" s="1306"/>
      <c r="BC1007" s="169"/>
    </row>
    <row r="1008" spans="19:55">
      <c r="S1008" s="454"/>
      <c r="AN1008" s="454"/>
      <c r="AY1008" s="454"/>
      <c r="AZ1008" s="454"/>
      <c r="BA1008" s="1306"/>
      <c r="BC1008" s="169"/>
    </row>
    <row r="1009" spans="19:55">
      <c r="S1009" s="454"/>
      <c r="AN1009" s="454"/>
      <c r="AY1009" s="454"/>
      <c r="AZ1009" s="454"/>
      <c r="BA1009" s="1306"/>
      <c r="BC1009" s="169"/>
    </row>
    <row r="1010" spans="19:55">
      <c r="S1010" s="454"/>
      <c r="AN1010" s="454"/>
      <c r="AY1010" s="454"/>
      <c r="AZ1010" s="454"/>
      <c r="BA1010" s="1306"/>
      <c r="BC1010" s="169"/>
    </row>
    <row r="1011" spans="19:55">
      <c r="S1011" s="454"/>
      <c r="AN1011" s="454"/>
      <c r="AY1011" s="454"/>
      <c r="AZ1011" s="454"/>
      <c r="BA1011" s="1306"/>
      <c r="BC1011" s="169"/>
    </row>
    <row r="1012" spans="19:55">
      <c r="S1012" s="454"/>
      <c r="AN1012" s="454"/>
      <c r="AY1012" s="454"/>
      <c r="AZ1012" s="454"/>
      <c r="BA1012" s="1306"/>
      <c r="BC1012" s="169"/>
    </row>
    <row r="1013" spans="19:55">
      <c r="S1013" s="454"/>
      <c r="AN1013" s="454"/>
      <c r="AY1013" s="454"/>
      <c r="AZ1013" s="454"/>
      <c r="BA1013" s="1306"/>
      <c r="BC1013" s="169"/>
    </row>
    <row r="1014" spans="19:55">
      <c r="S1014" s="454"/>
      <c r="AN1014" s="454"/>
      <c r="AY1014" s="454"/>
      <c r="AZ1014" s="454"/>
      <c r="BA1014" s="1306"/>
      <c r="BC1014" s="169"/>
    </row>
    <row r="1015" spans="19:55">
      <c r="S1015" s="454"/>
      <c r="AN1015" s="454"/>
      <c r="AY1015" s="454"/>
      <c r="AZ1015" s="454"/>
      <c r="BA1015" s="1306"/>
      <c r="BC1015" s="169"/>
    </row>
    <row r="1016" spans="19:55">
      <c r="S1016" s="454"/>
      <c r="AN1016" s="454"/>
      <c r="AY1016" s="454"/>
      <c r="AZ1016" s="454"/>
      <c r="BA1016" s="1306"/>
      <c r="BC1016" s="169"/>
    </row>
    <row r="1017" spans="19:55">
      <c r="S1017" s="454"/>
      <c r="AN1017" s="454"/>
      <c r="AY1017" s="454"/>
      <c r="AZ1017" s="454"/>
      <c r="BA1017" s="1306"/>
      <c r="BC1017" s="169"/>
    </row>
    <row r="1018" spans="19:55">
      <c r="S1018" s="454"/>
      <c r="AN1018" s="454"/>
      <c r="AY1018" s="454"/>
      <c r="AZ1018" s="454"/>
      <c r="BA1018" s="1306"/>
      <c r="BC1018" s="169"/>
    </row>
    <row r="1019" spans="19:55">
      <c r="S1019" s="454"/>
      <c r="AN1019" s="454"/>
      <c r="AY1019" s="454"/>
      <c r="AZ1019" s="454"/>
      <c r="BA1019" s="1306"/>
      <c r="BC1019" s="169"/>
    </row>
    <row r="1020" spans="19:55">
      <c r="S1020" s="454"/>
      <c r="AN1020" s="454"/>
      <c r="AY1020" s="454"/>
      <c r="AZ1020" s="454"/>
      <c r="BA1020" s="1306"/>
      <c r="BC1020" s="169"/>
    </row>
    <row r="1021" spans="19:55">
      <c r="S1021" s="454"/>
      <c r="AN1021" s="454"/>
      <c r="AY1021" s="454"/>
      <c r="AZ1021" s="454"/>
      <c r="BA1021" s="1306"/>
      <c r="BC1021" s="169"/>
    </row>
    <row r="1022" spans="19:55">
      <c r="S1022" s="454"/>
      <c r="AN1022" s="454"/>
      <c r="AY1022" s="454"/>
      <c r="AZ1022" s="454"/>
      <c r="BA1022" s="1306"/>
      <c r="BC1022" s="169"/>
    </row>
    <row r="1023" spans="19:55">
      <c r="S1023" s="454"/>
      <c r="AN1023" s="454"/>
      <c r="AY1023" s="454"/>
      <c r="AZ1023" s="454"/>
      <c r="BA1023" s="1306"/>
      <c r="BC1023" s="169"/>
    </row>
    <row r="1024" spans="19:55">
      <c r="S1024" s="454"/>
      <c r="AN1024" s="454"/>
      <c r="AY1024" s="454"/>
      <c r="AZ1024" s="454"/>
      <c r="BA1024" s="1306"/>
      <c r="BC1024" s="169"/>
    </row>
    <row r="1025" spans="19:55">
      <c r="S1025" s="454"/>
      <c r="AN1025" s="454"/>
      <c r="AY1025" s="454"/>
      <c r="AZ1025" s="454"/>
      <c r="BA1025" s="1306"/>
      <c r="BC1025" s="169"/>
    </row>
    <row r="1026" spans="19:55">
      <c r="S1026" s="454"/>
      <c r="AN1026" s="454"/>
      <c r="AY1026" s="454"/>
      <c r="AZ1026" s="454"/>
      <c r="BA1026" s="1306"/>
      <c r="BC1026" s="169"/>
    </row>
    <row r="1027" spans="19:55">
      <c r="S1027" s="454"/>
      <c r="AN1027" s="454"/>
      <c r="AY1027" s="454"/>
      <c r="AZ1027" s="454"/>
      <c r="BA1027" s="1306"/>
      <c r="BC1027" s="169"/>
    </row>
    <row r="1028" spans="19:55">
      <c r="S1028" s="454"/>
      <c r="AN1028" s="454"/>
      <c r="AY1028" s="454"/>
      <c r="AZ1028" s="454"/>
      <c r="BA1028" s="1306"/>
      <c r="BC1028" s="169"/>
    </row>
    <row r="1029" spans="19:55">
      <c r="S1029" s="454"/>
      <c r="AN1029" s="454"/>
      <c r="AY1029" s="454"/>
      <c r="AZ1029" s="454"/>
      <c r="BA1029" s="1306"/>
      <c r="BC1029" s="169"/>
    </row>
    <row r="1030" spans="19:55">
      <c r="S1030" s="454"/>
      <c r="AN1030" s="454"/>
      <c r="AY1030" s="454"/>
      <c r="AZ1030" s="454"/>
      <c r="BA1030" s="1306"/>
      <c r="BC1030" s="169"/>
    </row>
    <row r="1031" spans="19:55">
      <c r="S1031" s="454"/>
      <c r="AN1031" s="454"/>
      <c r="AY1031" s="454"/>
      <c r="AZ1031" s="454"/>
      <c r="BA1031" s="1306"/>
      <c r="BC1031" s="169"/>
    </row>
    <row r="1032" spans="19:55">
      <c r="S1032" s="454"/>
      <c r="AN1032" s="454"/>
      <c r="AY1032" s="454"/>
      <c r="AZ1032" s="454"/>
      <c r="BA1032" s="1306"/>
      <c r="BC1032" s="169"/>
    </row>
    <row r="1033" spans="19:55">
      <c r="S1033" s="454"/>
      <c r="AN1033" s="454"/>
      <c r="AY1033" s="454"/>
      <c r="AZ1033" s="454"/>
      <c r="BA1033" s="1306"/>
      <c r="BC1033" s="169"/>
    </row>
    <row r="1034" spans="19:55">
      <c r="S1034" s="454"/>
      <c r="AN1034" s="454"/>
      <c r="AY1034" s="454"/>
      <c r="AZ1034" s="454"/>
      <c r="BA1034" s="1306"/>
      <c r="BC1034" s="169"/>
    </row>
    <row r="1035" spans="19:55">
      <c r="S1035" s="454"/>
      <c r="AN1035" s="454"/>
      <c r="AY1035" s="454"/>
      <c r="AZ1035" s="454"/>
      <c r="BA1035" s="1306"/>
      <c r="BC1035" s="169"/>
    </row>
    <row r="1036" spans="19:55">
      <c r="S1036" s="454"/>
      <c r="AN1036" s="454"/>
      <c r="AY1036" s="454"/>
      <c r="AZ1036" s="454"/>
      <c r="BA1036" s="1306"/>
      <c r="BC1036" s="169"/>
    </row>
    <row r="1037" spans="19:55">
      <c r="S1037" s="454"/>
      <c r="AN1037" s="454"/>
      <c r="AY1037" s="454"/>
      <c r="AZ1037" s="454"/>
      <c r="BA1037" s="1306"/>
      <c r="BC1037" s="169"/>
    </row>
    <row r="1038" spans="19:55">
      <c r="S1038" s="454"/>
      <c r="AN1038" s="454"/>
      <c r="AY1038" s="454"/>
      <c r="AZ1038" s="454"/>
      <c r="BA1038" s="1306"/>
      <c r="BC1038" s="169"/>
    </row>
    <row r="1039" spans="19:55">
      <c r="S1039" s="454"/>
      <c r="AN1039" s="454"/>
      <c r="AY1039" s="454"/>
      <c r="AZ1039" s="454"/>
      <c r="BA1039" s="1306"/>
      <c r="BC1039" s="169"/>
    </row>
    <row r="1040" spans="19:55">
      <c r="S1040" s="454"/>
      <c r="AN1040" s="454"/>
      <c r="AY1040" s="454"/>
      <c r="AZ1040" s="454"/>
      <c r="BA1040" s="1306"/>
      <c r="BC1040" s="169"/>
    </row>
    <row r="1041" spans="19:55">
      <c r="S1041" s="454"/>
      <c r="AN1041" s="454"/>
      <c r="AY1041" s="454"/>
      <c r="AZ1041" s="454"/>
      <c r="BA1041" s="1306"/>
      <c r="BC1041" s="169"/>
    </row>
    <row r="1042" spans="19:55">
      <c r="S1042" s="454"/>
      <c r="AN1042" s="454"/>
      <c r="AY1042" s="454"/>
      <c r="AZ1042" s="454"/>
      <c r="BA1042" s="1306"/>
      <c r="BC1042" s="169"/>
    </row>
    <row r="1043" spans="19:55">
      <c r="S1043" s="454"/>
      <c r="AN1043" s="454"/>
      <c r="AY1043" s="454"/>
      <c r="AZ1043" s="454"/>
      <c r="BA1043" s="1306"/>
      <c r="BC1043" s="169"/>
    </row>
    <row r="1044" spans="19:55">
      <c r="S1044" s="454"/>
      <c r="AN1044" s="454"/>
      <c r="AY1044" s="454"/>
      <c r="AZ1044" s="454"/>
      <c r="BA1044" s="1306"/>
      <c r="BC1044" s="169"/>
    </row>
    <row r="1045" spans="19:55">
      <c r="S1045" s="454"/>
      <c r="AN1045" s="454"/>
      <c r="AY1045" s="454"/>
      <c r="AZ1045" s="454"/>
      <c r="BA1045" s="1306"/>
      <c r="BC1045" s="169"/>
    </row>
    <row r="1046" spans="19:55">
      <c r="S1046" s="454"/>
      <c r="AN1046" s="454"/>
      <c r="AY1046" s="454"/>
      <c r="AZ1046" s="454"/>
      <c r="BA1046" s="1306"/>
      <c r="BC1046" s="169"/>
    </row>
    <row r="1047" spans="19:55">
      <c r="S1047" s="454"/>
      <c r="AN1047" s="454"/>
      <c r="AY1047" s="454"/>
      <c r="AZ1047" s="454"/>
      <c r="BA1047" s="1306"/>
      <c r="BC1047" s="169"/>
    </row>
    <row r="1048" spans="19:55">
      <c r="S1048" s="454"/>
      <c r="AN1048" s="454"/>
      <c r="AY1048" s="454"/>
      <c r="AZ1048" s="454"/>
      <c r="BA1048" s="1306"/>
      <c r="BC1048" s="169"/>
    </row>
    <row r="1049" spans="19:55">
      <c r="S1049" s="454"/>
      <c r="AN1049" s="454"/>
      <c r="AY1049" s="454"/>
      <c r="AZ1049" s="454"/>
      <c r="BA1049" s="1306"/>
      <c r="BC1049" s="169"/>
    </row>
    <row r="1050" spans="19:55">
      <c r="S1050" s="454"/>
      <c r="AN1050" s="454"/>
      <c r="AY1050" s="454"/>
      <c r="AZ1050" s="454"/>
      <c r="BA1050" s="1306"/>
      <c r="BC1050" s="169"/>
    </row>
    <row r="1051" spans="19:55">
      <c r="S1051" s="454"/>
      <c r="AN1051" s="454"/>
      <c r="AY1051" s="454"/>
      <c r="AZ1051" s="454"/>
      <c r="BA1051" s="1306"/>
      <c r="BC1051" s="169"/>
    </row>
    <row r="1052" spans="19:55">
      <c r="S1052" s="454"/>
      <c r="AN1052" s="454"/>
      <c r="AY1052" s="454"/>
      <c r="AZ1052" s="454"/>
      <c r="BA1052" s="1306"/>
      <c r="BC1052" s="169"/>
    </row>
    <row r="1053" spans="19:55">
      <c r="S1053" s="454"/>
      <c r="AN1053" s="454"/>
      <c r="AY1053" s="454"/>
      <c r="AZ1053" s="454"/>
      <c r="BA1053" s="1306"/>
      <c r="BC1053" s="169"/>
    </row>
    <row r="1054" spans="19:55">
      <c r="S1054" s="454"/>
      <c r="AN1054" s="454"/>
      <c r="AY1054" s="454"/>
      <c r="AZ1054" s="454"/>
      <c r="BA1054" s="1306"/>
      <c r="BC1054" s="169"/>
    </row>
    <row r="1055" spans="19:55">
      <c r="S1055" s="454"/>
      <c r="AN1055" s="454"/>
      <c r="AY1055" s="454"/>
      <c r="AZ1055" s="454"/>
      <c r="BA1055" s="1306"/>
      <c r="BC1055" s="169"/>
    </row>
    <row r="1056" spans="19:55">
      <c r="S1056" s="454"/>
      <c r="AN1056" s="454"/>
      <c r="AY1056" s="454"/>
      <c r="AZ1056" s="454"/>
      <c r="BA1056" s="1306"/>
      <c r="BC1056" s="169"/>
    </row>
    <row r="1057" spans="19:55">
      <c r="S1057" s="454"/>
      <c r="AN1057" s="454"/>
      <c r="AY1057" s="454"/>
      <c r="AZ1057" s="454"/>
      <c r="BA1057" s="1306"/>
      <c r="BC1057" s="169"/>
    </row>
    <row r="1058" spans="19:55">
      <c r="S1058" s="454"/>
      <c r="AN1058" s="454"/>
      <c r="AY1058" s="454"/>
      <c r="AZ1058" s="454"/>
      <c r="BA1058" s="1306"/>
      <c r="BC1058" s="169"/>
    </row>
    <row r="1059" spans="19:55">
      <c r="S1059" s="454"/>
      <c r="AN1059" s="454"/>
      <c r="AY1059" s="454"/>
      <c r="AZ1059" s="454"/>
      <c r="BA1059" s="1306"/>
      <c r="BC1059" s="169"/>
    </row>
    <row r="1060" spans="19:55">
      <c r="S1060" s="454"/>
      <c r="AN1060" s="454"/>
      <c r="AY1060" s="454"/>
      <c r="AZ1060" s="454"/>
      <c r="BA1060" s="1306"/>
      <c r="BC1060" s="169"/>
    </row>
    <row r="1061" spans="19:55">
      <c r="S1061" s="454"/>
      <c r="AN1061" s="454"/>
      <c r="AY1061" s="454"/>
      <c r="AZ1061" s="454"/>
      <c r="BA1061" s="1306"/>
      <c r="BC1061" s="169"/>
    </row>
    <row r="1062" spans="19:55">
      <c r="S1062" s="454"/>
      <c r="AN1062" s="454"/>
      <c r="AY1062" s="454"/>
      <c r="AZ1062" s="454"/>
      <c r="BA1062" s="1306"/>
      <c r="BC1062" s="169"/>
    </row>
    <row r="1063" spans="19:55">
      <c r="S1063" s="454"/>
      <c r="AN1063" s="454"/>
      <c r="AY1063" s="454"/>
      <c r="AZ1063" s="454"/>
      <c r="BA1063" s="1306"/>
      <c r="BC1063" s="169"/>
    </row>
    <row r="1064" spans="19:55">
      <c r="S1064" s="454"/>
      <c r="AN1064" s="454"/>
      <c r="AY1064" s="454"/>
      <c r="AZ1064" s="454"/>
      <c r="BA1064" s="1306"/>
      <c r="BC1064" s="169"/>
    </row>
    <row r="1065" spans="19:55">
      <c r="S1065" s="454"/>
      <c r="AN1065" s="454"/>
      <c r="AY1065" s="454"/>
      <c r="AZ1065" s="454"/>
      <c r="BA1065" s="1306"/>
      <c r="BC1065" s="169"/>
    </row>
    <row r="1066" spans="19:55">
      <c r="S1066" s="454"/>
      <c r="AN1066" s="454"/>
      <c r="AY1066" s="454"/>
      <c r="AZ1066" s="454"/>
      <c r="BA1066" s="1306"/>
      <c r="BC1066" s="169"/>
    </row>
    <row r="1067" spans="19:55">
      <c r="S1067" s="454"/>
      <c r="AN1067" s="454"/>
      <c r="AY1067" s="454"/>
      <c r="AZ1067" s="454"/>
      <c r="BA1067" s="1306"/>
      <c r="BC1067" s="169"/>
    </row>
    <row r="1068" spans="19:55">
      <c r="S1068" s="454"/>
      <c r="AN1068" s="454"/>
      <c r="AY1068" s="454"/>
      <c r="AZ1068" s="454"/>
      <c r="BA1068" s="1306"/>
      <c r="BC1068" s="169"/>
    </row>
    <row r="1069" spans="19:55">
      <c r="S1069" s="454"/>
      <c r="AN1069" s="454"/>
      <c r="AY1069" s="454"/>
      <c r="AZ1069" s="454"/>
      <c r="BA1069" s="1306"/>
      <c r="BC1069" s="169"/>
    </row>
    <row r="1070" spans="19:55">
      <c r="S1070" s="454"/>
      <c r="AN1070" s="454"/>
      <c r="AY1070" s="454"/>
      <c r="AZ1070" s="454"/>
      <c r="BA1070" s="1306"/>
      <c r="BC1070" s="169"/>
    </row>
    <row r="1071" spans="19:55">
      <c r="S1071" s="454"/>
      <c r="AN1071" s="454"/>
      <c r="AY1071" s="454"/>
      <c r="AZ1071" s="454"/>
      <c r="BA1071" s="1306"/>
      <c r="BC1071" s="169"/>
    </row>
    <row r="1072" spans="19:55">
      <c r="S1072" s="454"/>
      <c r="AN1072" s="454"/>
      <c r="AY1072" s="454"/>
      <c r="AZ1072" s="454"/>
      <c r="BA1072" s="1306"/>
      <c r="BC1072" s="169"/>
    </row>
    <row r="1073" spans="19:55">
      <c r="S1073" s="454"/>
      <c r="AN1073" s="454"/>
      <c r="AY1073" s="454"/>
      <c r="AZ1073" s="454"/>
      <c r="BA1073" s="1306"/>
      <c r="BC1073" s="169"/>
    </row>
    <row r="1074" spans="19:55">
      <c r="S1074" s="454"/>
      <c r="AN1074" s="454"/>
      <c r="AY1074" s="454"/>
      <c r="AZ1074" s="454"/>
      <c r="BA1074" s="1306"/>
      <c r="BC1074" s="169"/>
    </row>
    <row r="1075" spans="19:55">
      <c r="S1075" s="454"/>
      <c r="AN1075" s="454"/>
      <c r="AY1075" s="454"/>
      <c r="AZ1075" s="454"/>
      <c r="BA1075" s="1306"/>
      <c r="BC1075" s="169"/>
    </row>
    <row r="1076" spans="19:55">
      <c r="S1076" s="454"/>
      <c r="AN1076" s="454"/>
      <c r="AY1076" s="454"/>
      <c r="AZ1076" s="454"/>
      <c r="BA1076" s="1306"/>
      <c r="BC1076" s="169"/>
    </row>
    <row r="1077" spans="19:55">
      <c r="S1077" s="454"/>
      <c r="AN1077" s="454"/>
      <c r="AY1077" s="454"/>
      <c r="AZ1077" s="454"/>
      <c r="BA1077" s="1306"/>
      <c r="BC1077" s="169"/>
    </row>
    <row r="1078" spans="19:55">
      <c r="S1078" s="454"/>
      <c r="AN1078" s="454"/>
      <c r="AY1078" s="454"/>
      <c r="AZ1078" s="454"/>
      <c r="BA1078" s="1306"/>
      <c r="BC1078" s="169"/>
    </row>
    <row r="1079" spans="19:55">
      <c r="S1079" s="454"/>
      <c r="AN1079" s="454"/>
      <c r="AY1079" s="454"/>
      <c r="AZ1079" s="454"/>
      <c r="BA1079" s="1306"/>
      <c r="BC1079" s="169"/>
    </row>
    <row r="1080" spans="19:55">
      <c r="S1080" s="454"/>
      <c r="AN1080" s="454"/>
      <c r="AY1080" s="454"/>
      <c r="AZ1080" s="454"/>
      <c r="BA1080" s="1306"/>
      <c r="BC1080" s="169"/>
    </row>
    <row r="1081" spans="19:55">
      <c r="S1081" s="454"/>
      <c r="AN1081" s="454"/>
      <c r="AY1081" s="454"/>
      <c r="AZ1081" s="454"/>
      <c r="BA1081" s="1306"/>
      <c r="BC1081" s="169"/>
    </row>
    <row r="1082" spans="19:55">
      <c r="S1082" s="454"/>
      <c r="AN1082" s="454"/>
      <c r="AY1082" s="454"/>
      <c r="AZ1082" s="454"/>
      <c r="BA1082" s="1306"/>
      <c r="BC1082" s="169"/>
    </row>
    <row r="1083" spans="19:55">
      <c r="S1083" s="454"/>
      <c r="AN1083" s="454"/>
      <c r="AY1083" s="454"/>
      <c r="AZ1083" s="454"/>
      <c r="BA1083" s="1306"/>
      <c r="BC1083" s="169"/>
    </row>
    <row r="1084" spans="19:55">
      <c r="S1084" s="454"/>
      <c r="AN1084" s="454"/>
      <c r="AY1084" s="454"/>
      <c r="AZ1084" s="454"/>
      <c r="BA1084" s="1306"/>
      <c r="BC1084" s="169"/>
    </row>
    <row r="1085" spans="19:55">
      <c r="S1085" s="454"/>
      <c r="AN1085" s="454"/>
      <c r="AY1085" s="454"/>
      <c r="AZ1085" s="454"/>
      <c r="BA1085" s="1306"/>
      <c r="BC1085" s="169"/>
    </row>
    <row r="1086" spans="19:55">
      <c r="S1086" s="454"/>
      <c r="AN1086" s="454"/>
      <c r="AY1086" s="454"/>
      <c r="AZ1086" s="454"/>
      <c r="BA1086" s="1306"/>
      <c r="BC1086" s="169"/>
    </row>
    <row r="1087" spans="19:55">
      <c r="S1087" s="454"/>
      <c r="AN1087" s="454"/>
      <c r="AY1087" s="454"/>
      <c r="AZ1087" s="454"/>
      <c r="BA1087" s="1306"/>
      <c r="BC1087" s="169"/>
    </row>
    <row r="1088" spans="19:55">
      <c r="S1088" s="454"/>
      <c r="AN1088" s="454"/>
      <c r="AY1088" s="454"/>
      <c r="AZ1088" s="454"/>
      <c r="BA1088" s="1306"/>
      <c r="BC1088" s="169"/>
    </row>
    <row r="1089" spans="19:55">
      <c r="S1089" s="454"/>
      <c r="AN1089" s="454"/>
      <c r="AY1089" s="454"/>
      <c r="AZ1089" s="454"/>
      <c r="BA1089" s="1306"/>
      <c r="BC1089" s="169"/>
    </row>
    <row r="1090" spans="19:55">
      <c r="S1090" s="454"/>
      <c r="AN1090" s="454"/>
      <c r="AY1090" s="454"/>
      <c r="AZ1090" s="454"/>
      <c r="BA1090" s="1306"/>
      <c r="BC1090" s="169"/>
    </row>
    <row r="1091" spans="19:55">
      <c r="S1091" s="454"/>
      <c r="AN1091" s="454"/>
      <c r="AY1091" s="454"/>
      <c r="AZ1091" s="454"/>
      <c r="BA1091" s="1306"/>
      <c r="BC1091" s="169"/>
    </row>
    <row r="1092" spans="19:55">
      <c r="S1092" s="454"/>
      <c r="AN1092" s="454"/>
      <c r="AY1092" s="454"/>
      <c r="AZ1092" s="454"/>
      <c r="BA1092" s="1306"/>
      <c r="BC1092" s="169"/>
    </row>
    <row r="1093" spans="19:55">
      <c r="S1093" s="454"/>
      <c r="AN1093" s="454"/>
      <c r="AY1093" s="454"/>
      <c r="AZ1093" s="454"/>
      <c r="BA1093" s="1306"/>
      <c r="BC1093" s="169"/>
    </row>
    <row r="1094" spans="19:55">
      <c r="S1094" s="454"/>
      <c r="AN1094" s="454"/>
      <c r="AY1094" s="454"/>
      <c r="AZ1094" s="454"/>
      <c r="BA1094" s="1306"/>
      <c r="BC1094" s="169"/>
    </row>
    <row r="1095" spans="19:55">
      <c r="S1095" s="454"/>
      <c r="AN1095" s="454"/>
      <c r="AY1095" s="454"/>
      <c r="AZ1095" s="454"/>
      <c r="BA1095" s="1306"/>
      <c r="BC1095" s="169"/>
    </row>
    <row r="1096" spans="19:55">
      <c r="S1096" s="454"/>
      <c r="AN1096" s="454"/>
      <c r="AY1096" s="454"/>
      <c r="AZ1096" s="454"/>
      <c r="BA1096" s="1306"/>
      <c r="BC1096" s="169"/>
    </row>
    <row r="1097" spans="19:55">
      <c r="S1097" s="454"/>
      <c r="AN1097" s="454"/>
      <c r="AY1097" s="454"/>
      <c r="AZ1097" s="454"/>
      <c r="BA1097" s="1306"/>
      <c r="BC1097" s="169"/>
    </row>
    <row r="1098" spans="19:55">
      <c r="S1098" s="454"/>
      <c r="AN1098" s="454"/>
      <c r="AY1098" s="454"/>
      <c r="AZ1098" s="454"/>
      <c r="BA1098" s="1306"/>
      <c r="BC1098" s="169"/>
    </row>
    <row r="1099" spans="19:55">
      <c r="S1099" s="454"/>
      <c r="AN1099" s="454"/>
      <c r="AY1099" s="454"/>
      <c r="AZ1099" s="454"/>
      <c r="BA1099" s="1267"/>
      <c r="BC1099" s="169"/>
    </row>
    <row r="1100" spans="19:55">
      <c r="S1100" s="454"/>
      <c r="AN1100" s="454"/>
      <c r="AY1100" s="454"/>
      <c r="AZ1100" s="454"/>
      <c r="BA1100" s="1267"/>
      <c r="BC1100" s="169"/>
    </row>
    <row r="1101" spans="19:55">
      <c r="S1101" s="454"/>
      <c r="AN1101" s="454"/>
      <c r="AY1101" s="454"/>
      <c r="AZ1101" s="454"/>
      <c r="BA1101" s="1267"/>
      <c r="BC1101" s="169"/>
    </row>
    <row r="1102" spans="19:55">
      <c r="S1102" s="454"/>
      <c r="AN1102" s="454"/>
      <c r="AY1102" s="454"/>
      <c r="AZ1102" s="454"/>
      <c r="BA1102" s="1267"/>
      <c r="BC1102" s="169"/>
    </row>
    <row r="1103" spans="19:55">
      <c r="S1103" s="454"/>
      <c r="AN1103" s="454"/>
      <c r="AY1103" s="454"/>
      <c r="AZ1103" s="454"/>
      <c r="BA1103" s="1267"/>
      <c r="BC1103" s="169"/>
    </row>
    <row r="1104" spans="19:55">
      <c r="S1104" s="454"/>
      <c r="AN1104" s="454"/>
      <c r="AY1104" s="454"/>
      <c r="AZ1104" s="454"/>
      <c r="BA1104" s="1267"/>
      <c r="BC1104" s="169"/>
    </row>
    <row r="1105" spans="19:55">
      <c r="S1105" s="454"/>
      <c r="AN1105" s="454"/>
      <c r="AY1105" s="454"/>
      <c r="AZ1105" s="454"/>
      <c r="BA1105" s="1267"/>
      <c r="BC1105" s="169"/>
    </row>
    <row r="1106" spans="19:55">
      <c r="S1106" s="454"/>
      <c r="AN1106" s="454"/>
      <c r="AY1106" s="454"/>
      <c r="AZ1106" s="454"/>
      <c r="BA1106" s="1267"/>
      <c r="BC1106" s="169"/>
    </row>
    <row r="1107" spans="19:55">
      <c r="S1107" s="454"/>
      <c r="AN1107" s="454"/>
      <c r="AY1107" s="454"/>
      <c r="AZ1107" s="454"/>
      <c r="BA1107" s="1267"/>
      <c r="BC1107" s="169"/>
    </row>
    <row r="1108" spans="19:55">
      <c r="S1108" s="454"/>
      <c r="AN1108" s="454"/>
      <c r="AY1108" s="454"/>
      <c r="AZ1108" s="454"/>
      <c r="BA1108" s="1267"/>
      <c r="BC1108" s="169"/>
    </row>
    <row r="1109" spans="19:55">
      <c r="S1109" s="454"/>
      <c r="AN1109" s="454"/>
      <c r="AY1109" s="454"/>
      <c r="AZ1109" s="454"/>
      <c r="BA1109" s="1267"/>
      <c r="BC1109" s="169"/>
    </row>
    <row r="1110" spans="19:55">
      <c r="S1110" s="454"/>
      <c r="AN1110" s="454"/>
      <c r="AY1110" s="454"/>
      <c r="AZ1110" s="454"/>
      <c r="BA1110" s="1267"/>
      <c r="BC1110" s="169"/>
    </row>
    <row r="1111" spans="19:55">
      <c r="S1111" s="454"/>
      <c r="AN1111" s="454"/>
      <c r="AY1111" s="454"/>
      <c r="AZ1111" s="454"/>
      <c r="BA1111" s="1267"/>
      <c r="BC1111" s="169"/>
    </row>
    <row r="1112" spans="19:55">
      <c r="S1112" s="454"/>
      <c r="AN1112" s="454"/>
      <c r="AY1112" s="454"/>
      <c r="AZ1112" s="454"/>
      <c r="BA1112" s="1267"/>
      <c r="BC1112" s="169"/>
    </row>
    <row r="1113" spans="19:55">
      <c r="S1113" s="454"/>
      <c r="AN1113" s="454"/>
      <c r="AY1113" s="454"/>
      <c r="AZ1113" s="454"/>
      <c r="BA1113" s="1267"/>
      <c r="BC1113" s="169"/>
    </row>
    <row r="1114" spans="19:55">
      <c r="S1114" s="454"/>
      <c r="AN1114" s="454"/>
      <c r="AY1114" s="454"/>
      <c r="AZ1114" s="454"/>
      <c r="BA1114" s="1267"/>
      <c r="BC1114" s="169"/>
    </row>
    <row r="1115" spans="19:55">
      <c r="S1115" s="454"/>
      <c r="AN1115" s="454"/>
      <c r="AY1115" s="454"/>
      <c r="AZ1115" s="454"/>
      <c r="BA1115" s="1267"/>
      <c r="BC1115" s="169"/>
    </row>
    <row r="1116" spans="19:55">
      <c r="S1116" s="454"/>
      <c r="AN1116" s="454"/>
      <c r="AY1116" s="454"/>
      <c r="AZ1116" s="454"/>
      <c r="BA1116" s="1267"/>
      <c r="BC1116" s="169"/>
    </row>
    <row r="1117" spans="19:55">
      <c r="S1117" s="454"/>
      <c r="AN1117" s="454"/>
      <c r="AY1117" s="454"/>
      <c r="AZ1117" s="454"/>
      <c r="BA1117" s="1267"/>
      <c r="BC1117" s="169"/>
    </row>
    <row r="1118" spans="19:55">
      <c r="S1118" s="454"/>
      <c r="AN1118" s="454"/>
      <c r="AY1118" s="454"/>
      <c r="AZ1118" s="454"/>
      <c r="BA1118" s="1267"/>
      <c r="BC1118" s="169"/>
    </row>
    <row r="1119" spans="19:55">
      <c r="S1119" s="454"/>
      <c r="AN1119" s="454"/>
      <c r="AY1119" s="454"/>
      <c r="AZ1119" s="454"/>
      <c r="BA1119" s="1267"/>
      <c r="BC1119" s="169"/>
    </row>
    <row r="1120" spans="19:55">
      <c r="S1120" s="454"/>
      <c r="AN1120" s="454"/>
      <c r="AY1120" s="454"/>
      <c r="AZ1120" s="454"/>
      <c r="BA1120" s="1267"/>
      <c r="BC1120" s="169"/>
    </row>
    <row r="1121" spans="19:55">
      <c r="S1121" s="454"/>
      <c r="AN1121" s="454"/>
      <c r="AY1121" s="454"/>
      <c r="AZ1121" s="454"/>
      <c r="BA1121" s="1267"/>
      <c r="BC1121" s="169"/>
    </row>
    <row r="1122" spans="19:55">
      <c r="S1122" s="454"/>
      <c r="AN1122" s="454"/>
      <c r="AY1122" s="454"/>
      <c r="AZ1122" s="454"/>
      <c r="BA1122" s="1267"/>
      <c r="BC1122" s="169"/>
    </row>
    <row r="1123" spans="19:55">
      <c r="S1123" s="454"/>
      <c r="AN1123" s="454"/>
      <c r="AY1123" s="454"/>
      <c r="AZ1123" s="454"/>
      <c r="BA1123" s="1267"/>
      <c r="BC1123" s="169"/>
    </row>
    <row r="1124" spans="19:55">
      <c r="S1124" s="454"/>
      <c r="AN1124" s="454"/>
      <c r="AY1124" s="454"/>
      <c r="AZ1124" s="454"/>
      <c r="BA1124" s="1267"/>
      <c r="BC1124" s="169"/>
    </row>
    <row r="1125" spans="19:55">
      <c r="S1125" s="454"/>
      <c r="AN1125" s="454"/>
      <c r="AY1125" s="454"/>
      <c r="AZ1125" s="454"/>
      <c r="BA1125" s="1267"/>
      <c r="BC1125" s="169"/>
    </row>
    <row r="1126" spans="19:55">
      <c r="S1126" s="454"/>
      <c r="AN1126" s="454"/>
      <c r="AY1126" s="454"/>
      <c r="AZ1126" s="454"/>
      <c r="BA1126" s="1267"/>
      <c r="BC1126" s="169"/>
    </row>
    <row r="1127" spans="19:55">
      <c r="S1127" s="454"/>
      <c r="AN1127" s="454"/>
      <c r="AY1127" s="454"/>
      <c r="AZ1127" s="454"/>
      <c r="BA1127" s="1267"/>
      <c r="BC1127" s="169"/>
    </row>
    <row r="1128" spans="19:55">
      <c r="S1128" s="454"/>
      <c r="AN1128" s="454"/>
      <c r="AY1128" s="454"/>
      <c r="AZ1128" s="454"/>
      <c r="BA1128" s="1267"/>
      <c r="BC1128" s="169"/>
    </row>
    <row r="1129" spans="19:55">
      <c r="S1129" s="454"/>
      <c r="AN1129" s="454"/>
      <c r="AY1129" s="454"/>
      <c r="AZ1129" s="454"/>
      <c r="BA1129" s="1267"/>
      <c r="BC1129" s="169"/>
    </row>
    <row r="1130" spans="19:55">
      <c r="S1130" s="454"/>
      <c r="AN1130" s="454"/>
      <c r="AY1130" s="454"/>
      <c r="AZ1130" s="454"/>
      <c r="BA1130" s="1267"/>
      <c r="BC1130" s="169"/>
    </row>
    <row r="1131" spans="19:55">
      <c r="S1131" s="454"/>
      <c r="AN1131" s="454"/>
      <c r="AY1131" s="454"/>
      <c r="AZ1131" s="454"/>
      <c r="BA1131" s="1267"/>
      <c r="BC1131" s="169"/>
    </row>
    <row r="1132" spans="19:55">
      <c r="S1132" s="454"/>
      <c r="AN1132" s="454"/>
      <c r="AY1132" s="454"/>
      <c r="AZ1132" s="454"/>
      <c r="BA1132" s="1267"/>
      <c r="BC1132" s="169"/>
    </row>
    <row r="1133" spans="19:55">
      <c r="S1133" s="454"/>
      <c r="AN1133" s="454"/>
      <c r="AY1133" s="454"/>
      <c r="AZ1133" s="454"/>
      <c r="BA1133" s="1267"/>
      <c r="BC1133" s="169"/>
    </row>
    <row r="1134" spans="19:55">
      <c r="S1134" s="454"/>
      <c r="AN1134" s="454"/>
      <c r="AY1134" s="454"/>
      <c r="AZ1134" s="454"/>
      <c r="BA1134" s="1267"/>
      <c r="BC1134" s="169"/>
    </row>
    <row r="1135" spans="19:55">
      <c r="S1135" s="454"/>
      <c r="AN1135" s="454"/>
      <c r="AY1135" s="454"/>
      <c r="AZ1135" s="454"/>
      <c r="BA1135" s="1267"/>
      <c r="BC1135" s="169"/>
    </row>
    <row r="1136" spans="19:55">
      <c r="S1136" s="454"/>
      <c r="AN1136" s="454"/>
      <c r="AY1136" s="454"/>
      <c r="AZ1136" s="454"/>
      <c r="BA1136" s="1267"/>
      <c r="BC1136" s="169"/>
    </row>
    <row r="1137" spans="19:55">
      <c r="S1137" s="454"/>
      <c r="AN1137" s="454"/>
      <c r="AY1137" s="454"/>
      <c r="AZ1137" s="454"/>
      <c r="BA1137" s="1267"/>
      <c r="BC1137" s="169"/>
    </row>
    <row r="1138" spans="19:55">
      <c r="S1138" s="454"/>
      <c r="AN1138" s="454"/>
      <c r="AY1138" s="454"/>
      <c r="AZ1138" s="454"/>
      <c r="BA1138" s="1267"/>
      <c r="BC1138" s="169"/>
    </row>
    <row r="1139" spans="19:55">
      <c r="S1139" s="454"/>
      <c r="AN1139" s="454"/>
      <c r="AY1139" s="454"/>
      <c r="AZ1139" s="454"/>
      <c r="BA1139" s="1267"/>
      <c r="BC1139" s="169"/>
    </row>
    <row r="1140" spans="19:55">
      <c r="S1140" s="454"/>
      <c r="AN1140" s="454"/>
      <c r="AY1140" s="454"/>
      <c r="AZ1140" s="454"/>
      <c r="BA1140" s="1267"/>
      <c r="BC1140" s="169"/>
    </row>
    <row r="1141" spans="19:55">
      <c r="S1141" s="454"/>
      <c r="AN1141" s="454"/>
      <c r="AY1141" s="454"/>
      <c r="AZ1141" s="454"/>
      <c r="BA1141" s="1267"/>
      <c r="BC1141" s="169"/>
    </row>
    <row r="1142" spans="19:55">
      <c r="S1142" s="454"/>
      <c r="AN1142" s="454"/>
      <c r="AY1142" s="454"/>
      <c r="AZ1142" s="454"/>
      <c r="BA1142" s="1267"/>
      <c r="BC1142" s="169"/>
    </row>
    <row r="1143" spans="19:55">
      <c r="S1143" s="454"/>
      <c r="AN1143" s="454"/>
      <c r="AY1143" s="454"/>
      <c r="AZ1143" s="454"/>
      <c r="BA1143" s="1267"/>
      <c r="BC1143" s="169"/>
    </row>
    <row r="1144" spans="19:55">
      <c r="S1144" s="454"/>
      <c r="AN1144" s="454"/>
      <c r="AY1144" s="454"/>
      <c r="AZ1144" s="454"/>
      <c r="BA1144" s="1267"/>
      <c r="BC1144" s="169"/>
    </row>
    <row r="1145" spans="19:55">
      <c r="S1145" s="454"/>
      <c r="AN1145" s="454"/>
      <c r="AY1145" s="454"/>
      <c r="AZ1145" s="454"/>
      <c r="BA1145" s="1267"/>
      <c r="BC1145" s="169"/>
    </row>
    <row r="1146" spans="19:55">
      <c r="S1146" s="454"/>
      <c r="AN1146" s="454"/>
      <c r="AY1146" s="454"/>
      <c r="AZ1146" s="454"/>
      <c r="BA1146" s="1267"/>
      <c r="BC1146" s="169"/>
    </row>
    <row r="1147" spans="19:55">
      <c r="S1147" s="454"/>
      <c r="AN1147" s="454"/>
      <c r="AY1147" s="454"/>
      <c r="AZ1147" s="454"/>
      <c r="BA1147" s="1267"/>
      <c r="BC1147" s="169"/>
    </row>
    <row r="1148" spans="19:55">
      <c r="S1148" s="454"/>
      <c r="AN1148" s="454"/>
      <c r="AY1148" s="454"/>
      <c r="AZ1148" s="454"/>
      <c r="BA1148" s="1267"/>
      <c r="BC1148" s="169"/>
    </row>
    <row r="1149" spans="19:55">
      <c r="S1149" s="454"/>
      <c r="AN1149" s="454"/>
      <c r="AY1149" s="454"/>
      <c r="AZ1149" s="454"/>
      <c r="BA1149" s="1267"/>
      <c r="BC1149" s="169"/>
    </row>
    <row r="1150" spans="19:55">
      <c r="S1150" s="454"/>
      <c r="AN1150" s="454"/>
      <c r="AY1150" s="454"/>
      <c r="AZ1150" s="454"/>
      <c r="BA1150" s="1267"/>
      <c r="BC1150" s="169"/>
    </row>
    <row r="1151" spans="19:55">
      <c r="S1151" s="454"/>
      <c r="AN1151" s="454"/>
      <c r="AY1151" s="454"/>
      <c r="AZ1151" s="454"/>
      <c r="BA1151" s="1267"/>
      <c r="BC1151" s="169"/>
    </row>
    <row r="1152" spans="19:55">
      <c r="S1152" s="454"/>
      <c r="AN1152" s="454"/>
      <c r="AY1152" s="454"/>
      <c r="AZ1152" s="454"/>
      <c r="BA1152" s="1267"/>
      <c r="BC1152" s="169"/>
    </row>
    <row r="1153" spans="19:55">
      <c r="S1153" s="454"/>
      <c r="AN1153" s="454"/>
      <c r="AY1153" s="454"/>
      <c r="AZ1153" s="454"/>
      <c r="BA1153" s="1267"/>
      <c r="BC1153" s="169"/>
    </row>
    <row r="1154" spans="19:55">
      <c r="S1154" s="454"/>
      <c r="AN1154" s="454"/>
      <c r="AY1154" s="454"/>
      <c r="AZ1154" s="454"/>
      <c r="BA1154" s="1267"/>
      <c r="BC1154" s="169"/>
    </row>
    <row r="1155" spans="19:55">
      <c r="S1155" s="454"/>
      <c r="AN1155" s="454"/>
      <c r="AY1155" s="454"/>
      <c r="AZ1155" s="454"/>
      <c r="BA1155" s="1267"/>
      <c r="BC1155" s="169"/>
    </row>
    <row r="1156" spans="19:55">
      <c r="S1156" s="454"/>
      <c r="AN1156" s="454"/>
      <c r="AY1156" s="454"/>
      <c r="AZ1156" s="454"/>
      <c r="BA1156" s="1267"/>
      <c r="BC1156" s="169"/>
    </row>
    <row r="1157" spans="19:55">
      <c r="S1157" s="454"/>
      <c r="AN1157" s="454"/>
      <c r="AY1157" s="454"/>
      <c r="AZ1157" s="454"/>
      <c r="BA1157" s="1267"/>
      <c r="BC1157" s="169"/>
    </row>
    <row r="1158" spans="19:55">
      <c r="S1158" s="454"/>
      <c r="AN1158" s="454"/>
      <c r="AY1158" s="454"/>
      <c r="AZ1158" s="454"/>
      <c r="BA1158" s="1267"/>
      <c r="BC1158" s="169"/>
    </row>
    <row r="1159" spans="19:55">
      <c r="S1159" s="454"/>
      <c r="AN1159" s="454"/>
      <c r="AY1159" s="454"/>
      <c r="AZ1159" s="454"/>
      <c r="BA1159" s="1267"/>
      <c r="BC1159" s="169"/>
    </row>
    <row r="1160" spans="19:55">
      <c r="S1160" s="454"/>
      <c r="AN1160" s="454"/>
      <c r="AY1160" s="454"/>
      <c r="AZ1160" s="454"/>
      <c r="BA1160" s="1267"/>
      <c r="BC1160" s="169"/>
    </row>
    <row r="1161" spans="19:55">
      <c r="S1161" s="454"/>
      <c r="AN1161" s="454"/>
      <c r="AY1161" s="454"/>
      <c r="AZ1161" s="454"/>
      <c r="BA1161" s="1267"/>
      <c r="BC1161" s="169"/>
    </row>
    <row r="1162" spans="19:55">
      <c r="S1162" s="454"/>
      <c r="AN1162" s="454"/>
      <c r="AY1162" s="454"/>
      <c r="AZ1162" s="454"/>
      <c r="BA1162" s="1267"/>
      <c r="BC1162" s="169"/>
    </row>
    <row r="1163" spans="19:55">
      <c r="S1163" s="454"/>
      <c r="AN1163" s="454"/>
      <c r="AY1163" s="454"/>
      <c r="AZ1163" s="454"/>
      <c r="BA1163" s="1267"/>
      <c r="BC1163" s="169"/>
    </row>
    <row r="1164" spans="19:55">
      <c r="S1164" s="454"/>
      <c r="AN1164" s="454"/>
      <c r="AY1164" s="454"/>
      <c r="AZ1164" s="454"/>
      <c r="BA1164" s="1267"/>
      <c r="BC1164" s="169"/>
    </row>
    <row r="1165" spans="19:55">
      <c r="S1165" s="454"/>
      <c r="AN1165" s="454"/>
      <c r="AY1165" s="454"/>
      <c r="AZ1165" s="454"/>
      <c r="BA1165" s="1267"/>
      <c r="BC1165" s="169"/>
    </row>
    <row r="1166" spans="19:55">
      <c r="S1166" s="454"/>
      <c r="AN1166" s="454"/>
      <c r="AY1166" s="454"/>
      <c r="AZ1166" s="454"/>
      <c r="BA1166" s="1267"/>
      <c r="BC1166" s="169"/>
    </row>
    <row r="1167" spans="19:55">
      <c r="S1167" s="454"/>
      <c r="AN1167" s="454"/>
      <c r="AY1167" s="454"/>
      <c r="AZ1167" s="454"/>
      <c r="BA1167" s="1267"/>
      <c r="BC1167" s="169"/>
    </row>
    <row r="1168" spans="19:55">
      <c r="S1168" s="454"/>
      <c r="AN1168" s="454"/>
      <c r="AY1168" s="454"/>
      <c r="AZ1168" s="454"/>
      <c r="BA1168" s="1267"/>
      <c r="BC1168" s="169"/>
    </row>
    <row r="1169" spans="19:55">
      <c r="S1169" s="454"/>
      <c r="AN1169" s="454"/>
      <c r="AY1169" s="454"/>
      <c r="AZ1169" s="454"/>
      <c r="BA1169" s="1267"/>
      <c r="BC1169" s="169"/>
    </row>
    <row r="1170" spans="19:55">
      <c r="S1170" s="454"/>
      <c r="AN1170" s="454"/>
      <c r="AY1170" s="454"/>
      <c r="AZ1170" s="454"/>
      <c r="BA1170" s="1267"/>
      <c r="BC1170" s="169"/>
    </row>
    <row r="1171" spans="19:55">
      <c r="S1171" s="454"/>
      <c r="AN1171" s="454"/>
      <c r="AY1171" s="454"/>
      <c r="AZ1171" s="454"/>
      <c r="BA1171" s="1267"/>
      <c r="BC1171" s="169"/>
    </row>
    <row r="1172" spans="19:55">
      <c r="S1172" s="454"/>
      <c r="AN1172" s="454"/>
      <c r="AY1172" s="454"/>
      <c r="AZ1172" s="454"/>
      <c r="BA1172" s="1267"/>
      <c r="BC1172" s="169"/>
    </row>
    <row r="1173" spans="19:55">
      <c r="S1173" s="454"/>
      <c r="AN1173" s="454"/>
      <c r="AY1173" s="454"/>
      <c r="AZ1173" s="454"/>
      <c r="BA1173" s="1267"/>
      <c r="BC1173" s="169"/>
    </row>
    <row r="1174" spans="19:55">
      <c r="S1174" s="454"/>
      <c r="AN1174" s="454"/>
      <c r="AY1174" s="454"/>
      <c r="AZ1174" s="454"/>
      <c r="BA1174" s="1267"/>
      <c r="BC1174" s="169"/>
    </row>
    <row r="1175" spans="19:55">
      <c r="S1175" s="454"/>
      <c r="AN1175" s="454"/>
      <c r="AY1175" s="454"/>
      <c r="AZ1175" s="454"/>
      <c r="BA1175" s="1267"/>
      <c r="BC1175" s="169"/>
    </row>
    <row r="1176" spans="19:55">
      <c r="S1176" s="454"/>
      <c r="AN1176" s="454"/>
      <c r="AY1176" s="454"/>
      <c r="AZ1176" s="454"/>
      <c r="BA1176" s="1267"/>
      <c r="BC1176" s="169"/>
    </row>
    <row r="1177" spans="19:55">
      <c r="S1177" s="454"/>
      <c r="AN1177" s="454"/>
      <c r="AY1177" s="454"/>
      <c r="AZ1177" s="454"/>
      <c r="BA1177" s="1267"/>
      <c r="BC1177" s="169"/>
    </row>
    <row r="1178" spans="19:55">
      <c r="S1178" s="454"/>
      <c r="AN1178" s="454"/>
      <c r="AY1178" s="454"/>
      <c r="AZ1178" s="454"/>
      <c r="BA1178" s="1267"/>
      <c r="BC1178" s="169"/>
    </row>
    <row r="1179" spans="19:55">
      <c r="S1179" s="454"/>
      <c r="AN1179" s="454"/>
      <c r="AY1179" s="454"/>
      <c r="AZ1179" s="454"/>
      <c r="BA1179" s="1267"/>
      <c r="BC1179" s="169"/>
    </row>
    <row r="1180" spans="19:55">
      <c r="S1180" s="454"/>
      <c r="AN1180" s="454"/>
      <c r="AY1180" s="454"/>
      <c r="AZ1180" s="454"/>
      <c r="BA1180" s="1267"/>
      <c r="BC1180" s="169"/>
    </row>
    <row r="1181" spans="19:55">
      <c r="S1181" s="454"/>
      <c r="AN1181" s="454"/>
      <c r="AY1181" s="454"/>
      <c r="AZ1181" s="454"/>
      <c r="BA1181" s="1267"/>
      <c r="BC1181" s="169"/>
    </row>
    <row r="1182" spans="19:55">
      <c r="S1182" s="454"/>
      <c r="AN1182" s="454"/>
      <c r="AY1182" s="454"/>
      <c r="AZ1182" s="454"/>
      <c r="BA1182" s="1267"/>
      <c r="BC1182" s="169"/>
    </row>
    <row r="1183" spans="19:55">
      <c r="S1183" s="454"/>
      <c r="AN1183" s="454"/>
      <c r="AY1183" s="454"/>
      <c r="AZ1183" s="454"/>
      <c r="BA1183" s="1267"/>
      <c r="BC1183" s="169"/>
    </row>
    <row r="1184" spans="19:55">
      <c r="S1184" s="454"/>
      <c r="AN1184" s="454"/>
      <c r="AY1184" s="454"/>
      <c r="AZ1184" s="454"/>
      <c r="BA1184" s="1267"/>
      <c r="BC1184" s="169"/>
    </row>
    <row r="1185" spans="19:55">
      <c r="S1185" s="454"/>
      <c r="AN1185" s="454"/>
      <c r="AY1185" s="454"/>
      <c r="AZ1185" s="454"/>
      <c r="BA1185" s="1267"/>
      <c r="BC1185" s="169"/>
    </row>
    <row r="1186" spans="19:55">
      <c r="S1186" s="454"/>
      <c r="AN1186" s="454"/>
      <c r="AY1186" s="454"/>
      <c r="AZ1186" s="454"/>
      <c r="BA1186" s="1267"/>
      <c r="BC1186" s="169"/>
    </row>
    <row r="1187" spans="19:55">
      <c r="S1187" s="454"/>
      <c r="AN1187" s="454"/>
      <c r="AY1187" s="454"/>
      <c r="AZ1187" s="454"/>
      <c r="BA1187" s="1267"/>
      <c r="BC1187" s="169"/>
    </row>
    <row r="1188" spans="19:55">
      <c r="S1188" s="454"/>
      <c r="AN1188" s="454"/>
      <c r="AY1188" s="454"/>
      <c r="AZ1188" s="454"/>
      <c r="BA1188" s="1267"/>
      <c r="BC1188" s="169"/>
    </row>
    <row r="1189" spans="19:55">
      <c r="S1189" s="454"/>
      <c r="AN1189" s="454"/>
      <c r="AY1189" s="454"/>
      <c r="AZ1189" s="454"/>
      <c r="BA1189" s="1267"/>
      <c r="BC1189" s="169"/>
    </row>
    <row r="1190" spans="19:55">
      <c r="S1190" s="454"/>
      <c r="AN1190" s="454"/>
      <c r="AY1190" s="454"/>
      <c r="AZ1190" s="454"/>
      <c r="BA1190" s="1267"/>
      <c r="BC1190" s="169"/>
    </row>
    <row r="1191" spans="19:55">
      <c r="S1191" s="454"/>
      <c r="AN1191" s="454"/>
      <c r="AY1191" s="454"/>
      <c r="AZ1191" s="454"/>
      <c r="BA1191" s="1267"/>
      <c r="BC1191" s="169"/>
    </row>
    <row r="1192" spans="19:55">
      <c r="S1192" s="454"/>
      <c r="AN1192" s="454"/>
      <c r="AY1192" s="454"/>
      <c r="AZ1192" s="454"/>
      <c r="BA1192" s="1267"/>
      <c r="BC1192" s="169"/>
    </row>
    <row r="1193" spans="19:55">
      <c r="S1193" s="454"/>
      <c r="AN1193" s="454"/>
      <c r="AY1193" s="454"/>
      <c r="AZ1193" s="454"/>
      <c r="BA1193" s="1267"/>
      <c r="BC1193" s="169"/>
    </row>
    <row r="1194" spans="19:55">
      <c r="S1194" s="454"/>
      <c r="AN1194" s="454"/>
      <c r="AY1194" s="454"/>
      <c r="AZ1194" s="454"/>
      <c r="BA1194" s="1267"/>
      <c r="BC1194" s="169"/>
    </row>
    <row r="1195" spans="19:55">
      <c r="S1195" s="454"/>
      <c r="AN1195" s="454"/>
      <c r="AY1195" s="454"/>
      <c r="AZ1195" s="454"/>
      <c r="BA1195" s="1267"/>
      <c r="BC1195" s="169"/>
    </row>
    <row r="1196" spans="19:55">
      <c r="S1196" s="454"/>
      <c r="AN1196" s="454"/>
      <c r="AY1196" s="454"/>
      <c r="AZ1196" s="454"/>
      <c r="BA1196" s="1267"/>
      <c r="BC1196" s="169"/>
    </row>
    <row r="1197" spans="19:55">
      <c r="S1197" s="454"/>
      <c r="AN1197" s="454"/>
      <c r="AY1197" s="454"/>
      <c r="AZ1197" s="454"/>
      <c r="BA1197" s="1267"/>
      <c r="BC1197" s="169"/>
    </row>
    <row r="1198" spans="19:55">
      <c r="S1198" s="454"/>
      <c r="AN1198" s="454"/>
      <c r="AY1198" s="454"/>
      <c r="AZ1198" s="454"/>
      <c r="BA1198" s="1267"/>
      <c r="BC1198" s="169"/>
    </row>
    <row r="1199" spans="19:55">
      <c r="S1199" s="454"/>
      <c r="AN1199" s="454"/>
      <c r="AY1199" s="454"/>
      <c r="AZ1199" s="454"/>
      <c r="BA1199" s="1267"/>
      <c r="BC1199" s="169"/>
    </row>
    <row r="1200" spans="19:55">
      <c r="S1200" s="454"/>
      <c r="AN1200" s="454"/>
      <c r="AY1200" s="454"/>
      <c r="AZ1200" s="454"/>
      <c r="BA1200" s="1267"/>
      <c r="BC1200" s="169"/>
    </row>
    <row r="1201" spans="19:55">
      <c r="S1201" s="454"/>
      <c r="AN1201" s="454"/>
      <c r="AY1201" s="454"/>
      <c r="AZ1201" s="454"/>
      <c r="BA1201" s="1267"/>
      <c r="BC1201" s="169"/>
    </row>
    <row r="1202" spans="19:55">
      <c r="S1202" s="454"/>
      <c r="AN1202" s="454"/>
      <c r="AY1202" s="454"/>
      <c r="AZ1202" s="454"/>
      <c r="BA1202" s="1267"/>
      <c r="BC1202" s="169"/>
    </row>
    <row r="1203" spans="19:55">
      <c r="S1203" s="454"/>
      <c r="AN1203" s="454"/>
      <c r="AY1203" s="454"/>
      <c r="AZ1203" s="454"/>
      <c r="BA1203" s="1267"/>
      <c r="BC1203" s="169"/>
    </row>
    <row r="1204" spans="19:55">
      <c r="S1204" s="454"/>
      <c r="AN1204" s="454"/>
      <c r="AY1204" s="454"/>
      <c r="AZ1204" s="454"/>
      <c r="BA1204" s="1267"/>
      <c r="BC1204" s="169"/>
    </row>
    <row r="1205" spans="19:55">
      <c r="S1205" s="454"/>
      <c r="AN1205" s="454"/>
      <c r="AY1205" s="454"/>
      <c r="AZ1205" s="454"/>
      <c r="BA1205" s="1267"/>
      <c r="BC1205" s="169"/>
    </row>
    <row r="1206" spans="19:55">
      <c r="S1206" s="454"/>
      <c r="AN1206" s="454"/>
      <c r="AY1206" s="454"/>
      <c r="AZ1206" s="454"/>
      <c r="BA1206" s="1267"/>
      <c r="BC1206" s="169"/>
    </row>
    <row r="1207" spans="19:55">
      <c r="S1207" s="454"/>
      <c r="AN1207" s="454"/>
      <c r="AY1207" s="454"/>
      <c r="AZ1207" s="454"/>
      <c r="BA1207" s="1267"/>
      <c r="BC1207" s="169"/>
    </row>
    <row r="1208" spans="19:55">
      <c r="S1208" s="454"/>
      <c r="AN1208" s="454"/>
      <c r="AY1208" s="454"/>
      <c r="AZ1208" s="454"/>
      <c r="BA1208" s="1267"/>
      <c r="BC1208" s="169"/>
    </row>
    <row r="1209" spans="19:55">
      <c r="S1209" s="454"/>
      <c r="AN1209" s="454"/>
      <c r="AY1209" s="454"/>
      <c r="AZ1209" s="454"/>
      <c r="BA1209" s="1267"/>
      <c r="BC1209" s="169"/>
    </row>
    <row r="1210" spans="19:55">
      <c r="S1210" s="454"/>
      <c r="AN1210" s="454"/>
      <c r="AY1210" s="454"/>
      <c r="AZ1210" s="454"/>
      <c r="BA1210" s="1267"/>
      <c r="BC1210" s="169"/>
    </row>
    <row r="1211" spans="19:55">
      <c r="S1211" s="454"/>
      <c r="AN1211" s="454"/>
      <c r="AY1211" s="454"/>
      <c r="AZ1211" s="454"/>
      <c r="BA1211" s="1267"/>
      <c r="BC1211" s="169"/>
    </row>
    <row r="1212" spans="19:55">
      <c r="S1212" s="454"/>
      <c r="AN1212" s="454"/>
      <c r="AY1212" s="454"/>
      <c r="AZ1212" s="454"/>
      <c r="BA1212" s="1267"/>
      <c r="BC1212" s="169"/>
    </row>
    <row r="1213" spans="19:55">
      <c r="S1213" s="454"/>
      <c r="AN1213" s="454"/>
      <c r="AY1213" s="454"/>
      <c r="AZ1213" s="454"/>
      <c r="BA1213" s="1267"/>
      <c r="BC1213" s="169"/>
    </row>
    <row r="1214" spans="19:55">
      <c r="S1214" s="454"/>
      <c r="AN1214" s="454"/>
      <c r="AY1214" s="454"/>
      <c r="AZ1214" s="454"/>
      <c r="BA1214" s="1267"/>
      <c r="BC1214" s="169"/>
    </row>
    <row r="1215" spans="19:55">
      <c r="S1215" s="454"/>
      <c r="AN1215" s="454"/>
      <c r="AY1215" s="454"/>
      <c r="AZ1215" s="454"/>
      <c r="BA1215" s="1267"/>
      <c r="BC1215" s="169"/>
    </row>
    <row r="1216" spans="19:55">
      <c r="S1216" s="454"/>
      <c r="AN1216" s="454"/>
      <c r="AY1216" s="454"/>
      <c r="AZ1216" s="454"/>
      <c r="BA1216" s="1267"/>
      <c r="BC1216" s="169"/>
    </row>
    <row r="1217" spans="19:55">
      <c r="S1217" s="454"/>
      <c r="AN1217" s="454"/>
      <c r="AY1217" s="454"/>
      <c r="AZ1217" s="454"/>
      <c r="BA1217" s="1267"/>
      <c r="BC1217" s="169"/>
    </row>
    <row r="1218" spans="19:55">
      <c r="S1218" s="454"/>
      <c r="AN1218" s="454"/>
      <c r="AY1218" s="454"/>
      <c r="AZ1218" s="454"/>
      <c r="BA1218" s="1267"/>
      <c r="BC1218" s="169"/>
    </row>
    <row r="1219" spans="19:55">
      <c r="S1219" s="454"/>
      <c r="AN1219" s="454"/>
      <c r="AY1219" s="454"/>
      <c r="AZ1219" s="454"/>
      <c r="BA1219" s="1267"/>
      <c r="BC1219" s="169"/>
    </row>
    <row r="1220" spans="19:55">
      <c r="S1220" s="454"/>
      <c r="AN1220" s="454"/>
      <c r="AY1220" s="454"/>
      <c r="AZ1220" s="454"/>
      <c r="BA1220" s="1267"/>
      <c r="BC1220" s="169"/>
    </row>
    <row r="1221" spans="19:55">
      <c r="S1221" s="454"/>
      <c r="AN1221" s="454"/>
      <c r="AY1221" s="454"/>
      <c r="AZ1221" s="454"/>
      <c r="BA1221" s="1267"/>
      <c r="BC1221" s="169"/>
    </row>
    <row r="1222" spans="19:55">
      <c r="S1222" s="454"/>
      <c r="AN1222" s="454"/>
      <c r="AY1222" s="454"/>
      <c r="AZ1222" s="454"/>
      <c r="BA1222" s="1267"/>
      <c r="BC1222" s="169"/>
    </row>
    <row r="1223" spans="19:55">
      <c r="S1223" s="454"/>
      <c r="AN1223" s="454"/>
      <c r="AY1223" s="454"/>
      <c r="AZ1223" s="454"/>
      <c r="BA1223" s="1267"/>
      <c r="BC1223" s="169"/>
    </row>
    <row r="1224" spans="19:55">
      <c r="S1224" s="454"/>
      <c r="AN1224" s="454"/>
      <c r="AY1224" s="454"/>
      <c r="AZ1224" s="454"/>
      <c r="BA1224" s="1267"/>
      <c r="BC1224" s="169"/>
    </row>
    <row r="1225" spans="19:55">
      <c r="S1225" s="454"/>
      <c r="AN1225" s="454"/>
      <c r="AY1225" s="454"/>
      <c r="AZ1225" s="454"/>
      <c r="BA1225" s="1267"/>
      <c r="BC1225" s="169"/>
    </row>
    <row r="1226" spans="19:55">
      <c r="S1226" s="454"/>
      <c r="AN1226" s="454"/>
      <c r="AY1226" s="454"/>
      <c r="AZ1226" s="454"/>
      <c r="BA1226" s="1267"/>
      <c r="BC1226" s="169"/>
    </row>
    <row r="1227" spans="19:55">
      <c r="S1227" s="454"/>
      <c r="AN1227" s="454"/>
      <c r="AY1227" s="454"/>
      <c r="AZ1227" s="454"/>
      <c r="BA1227" s="1267"/>
      <c r="BC1227" s="169"/>
    </row>
    <row r="1228" spans="19:55">
      <c r="S1228" s="454"/>
      <c r="AN1228" s="454"/>
      <c r="AY1228" s="454"/>
      <c r="AZ1228" s="454"/>
      <c r="BA1228" s="1267"/>
      <c r="BC1228" s="169"/>
    </row>
    <row r="1229" spans="19:55">
      <c r="S1229" s="454"/>
      <c r="AN1229" s="454"/>
      <c r="AY1229" s="454"/>
      <c r="AZ1229" s="454"/>
      <c r="BA1229" s="1267"/>
      <c r="BC1229" s="169"/>
    </row>
    <row r="1230" spans="19:55">
      <c r="S1230" s="454"/>
      <c r="AN1230" s="454"/>
      <c r="AY1230" s="454"/>
      <c r="AZ1230" s="454"/>
      <c r="BA1230" s="1267"/>
      <c r="BC1230" s="169"/>
    </row>
    <row r="1231" spans="19:55">
      <c r="S1231" s="454"/>
      <c r="AN1231" s="454"/>
      <c r="AY1231" s="454"/>
      <c r="AZ1231" s="454"/>
      <c r="BA1231" s="1267"/>
      <c r="BC1231" s="169"/>
    </row>
    <row r="1232" spans="19:55">
      <c r="S1232" s="454"/>
      <c r="AN1232" s="454"/>
      <c r="AY1232" s="454"/>
      <c r="AZ1232" s="454"/>
      <c r="BA1232" s="1267"/>
      <c r="BC1232" s="169"/>
    </row>
    <row r="1233" spans="19:55">
      <c r="S1233" s="454"/>
      <c r="AN1233" s="454"/>
      <c r="AY1233" s="454"/>
      <c r="AZ1233" s="454"/>
      <c r="BA1233" s="1267"/>
      <c r="BC1233" s="169"/>
    </row>
    <row r="1234" spans="19:55">
      <c r="S1234" s="454"/>
      <c r="AN1234" s="454"/>
      <c r="AY1234" s="454"/>
      <c r="AZ1234" s="454"/>
      <c r="BA1234" s="1267"/>
      <c r="BC1234" s="169"/>
    </row>
    <row r="1235" spans="19:55">
      <c r="S1235" s="454"/>
      <c r="AN1235" s="454"/>
      <c r="AY1235" s="454"/>
      <c r="AZ1235" s="454"/>
      <c r="BA1235" s="1267"/>
      <c r="BC1235" s="169"/>
    </row>
    <row r="1236" spans="19:55">
      <c r="S1236" s="454"/>
      <c r="AN1236" s="454"/>
      <c r="AY1236" s="454"/>
      <c r="AZ1236" s="454"/>
      <c r="BA1236" s="1267"/>
      <c r="BC1236" s="169"/>
    </row>
    <row r="1237" spans="19:55">
      <c r="S1237" s="454"/>
      <c r="AN1237" s="454"/>
      <c r="AY1237" s="454"/>
      <c r="AZ1237" s="454"/>
      <c r="BA1237" s="1267"/>
      <c r="BC1237" s="169"/>
    </row>
    <row r="1238" spans="19:55">
      <c r="S1238" s="454"/>
      <c r="AN1238" s="454"/>
      <c r="AY1238" s="454"/>
      <c r="AZ1238" s="454"/>
      <c r="BA1238" s="1267"/>
      <c r="BC1238" s="169"/>
    </row>
    <row r="1239" spans="19:55">
      <c r="S1239" s="454"/>
      <c r="AN1239" s="454"/>
      <c r="AY1239" s="454"/>
      <c r="AZ1239" s="454"/>
      <c r="BA1239" s="1267"/>
      <c r="BC1239" s="169"/>
    </row>
    <row r="1240" spans="19:55">
      <c r="S1240" s="454"/>
      <c r="AN1240" s="454"/>
      <c r="AY1240" s="454"/>
      <c r="AZ1240" s="454"/>
      <c r="BA1240" s="1267"/>
      <c r="BC1240" s="169"/>
    </row>
    <row r="1241" spans="19:55">
      <c r="S1241" s="454"/>
      <c r="AN1241" s="454"/>
      <c r="AY1241" s="454"/>
      <c r="AZ1241" s="454"/>
      <c r="BA1241" s="1267"/>
      <c r="BC1241" s="169"/>
    </row>
    <row r="1242" spans="19:55">
      <c r="S1242" s="454"/>
      <c r="AN1242" s="454"/>
      <c r="AY1242" s="454"/>
      <c r="AZ1242" s="454"/>
      <c r="BA1242" s="1267"/>
      <c r="BC1242" s="169"/>
    </row>
    <row r="1243" spans="19:55">
      <c r="S1243" s="454"/>
      <c r="AN1243" s="454"/>
      <c r="AY1243" s="454"/>
      <c r="AZ1243" s="454"/>
      <c r="BA1243" s="1267"/>
      <c r="BC1243" s="169"/>
    </row>
    <row r="1244" spans="19:55">
      <c r="S1244" s="454"/>
      <c r="AN1244" s="454"/>
      <c r="AY1244" s="454"/>
      <c r="AZ1244" s="454"/>
      <c r="BA1244" s="1267"/>
      <c r="BC1244" s="169"/>
    </row>
    <row r="1245" spans="19:55">
      <c r="S1245" s="454"/>
      <c r="AN1245" s="454"/>
      <c r="AY1245" s="454"/>
      <c r="AZ1245" s="454"/>
      <c r="BA1245" s="1267"/>
      <c r="BC1245" s="169"/>
    </row>
    <row r="1246" spans="19:55">
      <c r="S1246" s="454"/>
      <c r="AN1246" s="454"/>
      <c r="AY1246" s="454"/>
      <c r="AZ1246" s="454"/>
      <c r="BA1246" s="1267"/>
      <c r="BC1246" s="169"/>
    </row>
    <row r="1247" spans="19:55">
      <c r="S1247" s="454"/>
      <c r="AN1247" s="454"/>
      <c r="AY1247" s="454"/>
      <c r="AZ1247" s="454"/>
      <c r="BA1247" s="1267"/>
      <c r="BC1247" s="169"/>
    </row>
    <row r="1248" spans="19:55">
      <c r="S1248" s="454"/>
      <c r="AN1248" s="454"/>
      <c r="AY1248" s="454"/>
      <c r="AZ1248" s="454"/>
      <c r="BA1248" s="1267"/>
      <c r="BC1248" s="169"/>
    </row>
    <row r="1249" spans="19:55">
      <c r="S1249" s="454"/>
      <c r="AN1249" s="454"/>
      <c r="AY1249" s="454"/>
      <c r="AZ1249" s="454"/>
      <c r="BA1249" s="1267"/>
      <c r="BC1249" s="169"/>
    </row>
    <row r="1250" spans="19:55">
      <c r="S1250" s="454"/>
      <c r="AN1250" s="454"/>
      <c r="AY1250" s="454"/>
      <c r="AZ1250" s="454"/>
      <c r="BA1250" s="1267"/>
      <c r="BC1250" s="169"/>
    </row>
    <row r="1251" spans="19:55">
      <c r="S1251" s="454"/>
      <c r="AN1251" s="454"/>
      <c r="AY1251" s="454"/>
      <c r="AZ1251" s="454"/>
      <c r="BA1251" s="1267"/>
      <c r="BC1251" s="169"/>
    </row>
    <row r="1252" spans="19:55">
      <c r="S1252" s="454"/>
      <c r="AN1252" s="454"/>
      <c r="AY1252" s="454"/>
      <c r="AZ1252" s="454"/>
      <c r="BA1252" s="1267"/>
      <c r="BC1252" s="169"/>
    </row>
    <row r="1253" spans="19:55">
      <c r="S1253" s="454"/>
      <c r="AN1253" s="454"/>
      <c r="AY1253" s="454"/>
      <c r="AZ1253" s="454"/>
      <c r="BA1253" s="1267"/>
      <c r="BC1253" s="169"/>
    </row>
    <row r="1254" spans="19:55">
      <c r="S1254" s="454"/>
      <c r="AN1254" s="454"/>
      <c r="AY1254" s="454"/>
      <c r="AZ1254" s="454"/>
      <c r="BA1254" s="1267"/>
      <c r="BC1254" s="169"/>
    </row>
    <row r="1255" spans="19:55">
      <c r="S1255" s="454"/>
      <c r="AN1255" s="454"/>
      <c r="AY1255" s="454"/>
      <c r="AZ1255" s="454"/>
      <c r="BA1255" s="1267"/>
      <c r="BC1255" s="169"/>
    </row>
    <row r="1256" spans="19:55">
      <c r="S1256" s="454"/>
      <c r="AN1256" s="454"/>
      <c r="AY1256" s="454"/>
      <c r="AZ1256" s="454"/>
      <c r="BA1256" s="1267"/>
      <c r="BC1256" s="169"/>
    </row>
    <row r="1257" spans="19:55">
      <c r="S1257" s="454"/>
      <c r="AN1257" s="454"/>
      <c r="AY1257" s="454"/>
      <c r="AZ1257" s="454"/>
      <c r="BA1257" s="1267"/>
      <c r="BC1257" s="169"/>
    </row>
    <row r="1258" spans="19:55">
      <c r="S1258" s="454"/>
      <c r="AN1258" s="454"/>
      <c r="AY1258" s="454"/>
      <c r="AZ1258" s="454"/>
      <c r="BA1258" s="1267"/>
      <c r="BC1258" s="169"/>
    </row>
    <row r="1259" spans="19:55">
      <c r="S1259" s="454"/>
      <c r="AN1259" s="454"/>
      <c r="AY1259" s="454"/>
      <c r="AZ1259" s="454"/>
      <c r="BA1259" s="1267"/>
      <c r="BC1259" s="169"/>
    </row>
    <row r="1260" spans="19:55">
      <c r="S1260" s="454"/>
      <c r="AN1260" s="454"/>
      <c r="AY1260" s="454"/>
      <c r="AZ1260" s="454"/>
      <c r="BA1260" s="1267"/>
      <c r="BC1260" s="169"/>
    </row>
    <row r="1261" spans="19:55">
      <c r="S1261" s="454"/>
      <c r="AN1261" s="454"/>
      <c r="AY1261" s="454"/>
      <c r="AZ1261" s="454"/>
      <c r="BA1261" s="1267"/>
      <c r="BC1261" s="169"/>
    </row>
    <row r="1262" spans="19:55">
      <c r="S1262" s="454"/>
      <c r="AN1262" s="454"/>
      <c r="AY1262" s="454"/>
      <c r="AZ1262" s="454"/>
      <c r="BA1262" s="1267"/>
      <c r="BC1262" s="169"/>
    </row>
    <row r="1263" spans="19:55">
      <c r="S1263" s="454"/>
      <c r="AN1263" s="454"/>
      <c r="AY1263" s="454"/>
      <c r="AZ1263" s="454"/>
      <c r="BA1263" s="1267"/>
      <c r="BC1263" s="169"/>
    </row>
    <row r="1264" spans="19:55">
      <c r="S1264" s="454"/>
      <c r="AN1264" s="454"/>
      <c r="AY1264" s="454"/>
      <c r="AZ1264" s="454"/>
      <c r="BA1264" s="1267"/>
      <c r="BC1264" s="169"/>
    </row>
    <row r="1265" spans="19:55">
      <c r="S1265" s="454"/>
      <c r="AN1265" s="454"/>
      <c r="AY1265" s="454"/>
      <c r="AZ1265" s="454"/>
      <c r="BA1265" s="1267"/>
      <c r="BC1265" s="169"/>
    </row>
    <row r="1266" spans="19:55">
      <c r="S1266" s="454"/>
      <c r="AN1266" s="454"/>
      <c r="AY1266" s="454"/>
      <c r="AZ1266" s="454"/>
      <c r="BA1266" s="1267"/>
      <c r="BC1266" s="169"/>
    </row>
    <row r="1267" spans="19:55">
      <c r="S1267" s="454"/>
      <c r="AN1267" s="454"/>
      <c r="AY1267" s="454"/>
      <c r="AZ1267" s="454"/>
      <c r="BA1267" s="1267"/>
      <c r="BC1267" s="169"/>
    </row>
    <row r="1268" spans="19:55">
      <c r="S1268" s="454"/>
      <c r="AN1268" s="454"/>
      <c r="AY1268" s="454"/>
      <c r="AZ1268" s="454"/>
      <c r="BA1268" s="1267"/>
      <c r="BC1268" s="169"/>
    </row>
    <row r="1269" spans="19:55">
      <c r="S1269" s="454"/>
      <c r="AN1269" s="454"/>
      <c r="AY1269" s="454"/>
      <c r="AZ1269" s="454"/>
      <c r="BA1269" s="1267"/>
      <c r="BC1269" s="169"/>
    </row>
    <row r="1270" spans="19:55">
      <c r="S1270" s="454"/>
      <c r="AN1270" s="454"/>
      <c r="AY1270" s="454"/>
      <c r="AZ1270" s="454"/>
      <c r="BA1270" s="1267"/>
      <c r="BC1270" s="169"/>
    </row>
    <row r="1271" spans="19:55">
      <c r="S1271" s="454"/>
      <c r="AN1271" s="454"/>
      <c r="AY1271" s="454"/>
      <c r="AZ1271" s="454"/>
      <c r="BA1271" s="1267"/>
      <c r="BC1271" s="169"/>
    </row>
    <row r="1272" spans="19:55">
      <c r="S1272" s="454"/>
      <c r="AN1272" s="454"/>
      <c r="AY1272" s="454"/>
      <c r="AZ1272" s="454"/>
      <c r="BA1272" s="1267"/>
      <c r="BC1272" s="169"/>
    </row>
    <row r="1273" spans="19:55">
      <c r="S1273" s="454"/>
      <c r="AN1273" s="454"/>
      <c r="AY1273" s="454"/>
      <c r="AZ1273" s="454"/>
      <c r="BA1273" s="1267"/>
      <c r="BC1273" s="169"/>
    </row>
    <row r="1274" spans="19:55">
      <c r="S1274" s="454"/>
      <c r="AN1274" s="454"/>
      <c r="AY1274" s="454"/>
      <c r="AZ1274" s="454"/>
      <c r="BA1274" s="1267"/>
      <c r="BC1274" s="169"/>
    </row>
    <row r="1275" spans="19:55">
      <c r="S1275" s="454"/>
      <c r="AN1275" s="454"/>
      <c r="AY1275" s="454"/>
      <c r="AZ1275" s="454"/>
      <c r="BA1275" s="1267"/>
      <c r="BC1275" s="169"/>
    </row>
    <row r="1276" spans="19:55">
      <c r="S1276" s="454"/>
      <c r="AN1276" s="454"/>
      <c r="AY1276" s="454"/>
      <c r="AZ1276" s="454"/>
      <c r="BA1276" s="1267"/>
      <c r="BC1276" s="169"/>
    </row>
    <row r="1277" spans="19:55">
      <c r="S1277" s="454"/>
      <c r="AN1277" s="454"/>
      <c r="AY1277" s="454"/>
      <c r="AZ1277" s="454"/>
      <c r="BA1277" s="1267"/>
      <c r="BC1277" s="169"/>
    </row>
    <row r="1278" spans="19:55">
      <c r="S1278" s="454"/>
      <c r="AN1278" s="454"/>
      <c r="AY1278" s="454"/>
      <c r="AZ1278" s="454"/>
      <c r="BA1278" s="1267"/>
      <c r="BC1278" s="169"/>
    </row>
    <row r="1279" spans="19:55">
      <c r="S1279" s="454"/>
      <c r="AN1279" s="454"/>
      <c r="AY1279" s="454"/>
      <c r="AZ1279" s="454"/>
      <c r="BA1279" s="1267"/>
      <c r="BC1279" s="169"/>
    </row>
    <row r="1280" spans="19:55">
      <c r="S1280" s="454"/>
      <c r="AN1280" s="454"/>
      <c r="AY1280" s="454"/>
      <c r="AZ1280" s="454"/>
      <c r="BA1280" s="1267"/>
      <c r="BC1280" s="169"/>
    </row>
    <row r="1281" spans="19:55">
      <c r="S1281" s="454"/>
      <c r="AN1281" s="454"/>
      <c r="AY1281" s="454"/>
      <c r="AZ1281" s="454"/>
      <c r="BA1281" s="1267"/>
      <c r="BC1281" s="169"/>
    </row>
    <row r="1282" spans="19:55">
      <c r="S1282" s="454"/>
      <c r="AN1282" s="454"/>
      <c r="AY1282" s="454"/>
      <c r="AZ1282" s="454"/>
      <c r="BA1282" s="1267"/>
      <c r="BC1282" s="169"/>
    </row>
    <row r="1283" spans="19:55">
      <c r="S1283" s="454"/>
      <c r="AN1283" s="454"/>
      <c r="AY1283" s="454"/>
      <c r="AZ1283" s="454"/>
      <c r="BA1283" s="1267"/>
      <c r="BC1283" s="169"/>
    </row>
    <row r="1284" spans="19:55">
      <c r="S1284" s="454"/>
      <c r="AN1284" s="454"/>
      <c r="AY1284" s="454"/>
      <c r="AZ1284" s="454"/>
      <c r="BA1284" s="1267"/>
      <c r="BC1284" s="169"/>
    </row>
    <row r="1285" spans="19:55">
      <c r="S1285" s="454"/>
      <c r="AN1285" s="454"/>
      <c r="AY1285" s="454"/>
      <c r="AZ1285" s="454"/>
      <c r="BA1285" s="1267"/>
      <c r="BC1285" s="169"/>
    </row>
    <row r="1286" spans="19:55">
      <c r="S1286" s="454"/>
      <c r="AN1286" s="454"/>
      <c r="AY1286" s="454"/>
      <c r="AZ1286" s="454"/>
      <c r="BA1286" s="1267"/>
      <c r="BC1286" s="169"/>
    </row>
    <row r="1287" spans="19:55">
      <c r="S1287" s="454"/>
      <c r="AN1287" s="454"/>
      <c r="AY1287" s="454"/>
      <c r="AZ1287" s="454"/>
      <c r="BA1287" s="1267"/>
      <c r="BC1287" s="169"/>
    </row>
    <row r="1288" spans="19:55">
      <c r="S1288" s="454"/>
      <c r="AN1288" s="454"/>
      <c r="AY1288" s="454"/>
      <c r="AZ1288" s="454"/>
      <c r="BA1288" s="1267"/>
      <c r="BC1288" s="169"/>
    </row>
    <row r="1289" spans="19:55">
      <c r="S1289" s="454"/>
      <c r="AN1289" s="454"/>
      <c r="AY1289" s="454"/>
      <c r="AZ1289" s="454"/>
      <c r="BA1289" s="1267"/>
      <c r="BC1289" s="169"/>
    </row>
    <row r="1290" spans="19:55">
      <c r="S1290" s="454"/>
      <c r="AN1290" s="454"/>
      <c r="AY1290" s="454"/>
      <c r="AZ1290" s="454"/>
      <c r="BA1290" s="1267"/>
      <c r="BC1290" s="169"/>
    </row>
    <row r="1291" spans="19:55">
      <c r="S1291" s="454"/>
      <c r="AN1291" s="454"/>
      <c r="AY1291" s="454"/>
      <c r="AZ1291" s="454"/>
      <c r="BA1291" s="1267"/>
      <c r="BC1291" s="169"/>
    </row>
    <row r="1292" spans="19:55">
      <c r="S1292" s="454"/>
      <c r="AN1292" s="454"/>
      <c r="AY1292" s="454"/>
      <c r="AZ1292" s="454"/>
      <c r="BA1292" s="1267"/>
      <c r="BC1292" s="169"/>
    </row>
    <row r="1293" spans="19:55">
      <c r="S1293" s="454"/>
      <c r="AN1293" s="454"/>
      <c r="AY1293" s="454"/>
      <c r="AZ1293" s="454"/>
      <c r="BA1293" s="1267"/>
      <c r="BC1293" s="169"/>
    </row>
    <row r="1294" spans="19:55">
      <c r="S1294" s="454"/>
      <c r="AN1294" s="454"/>
      <c r="AY1294" s="454"/>
      <c r="AZ1294" s="454"/>
      <c r="BA1294" s="1267"/>
      <c r="BC1294" s="169"/>
    </row>
    <row r="1295" spans="19:55">
      <c r="S1295" s="454"/>
      <c r="AN1295" s="454"/>
      <c r="AY1295" s="454"/>
      <c r="AZ1295" s="454"/>
      <c r="BA1295" s="1267"/>
      <c r="BC1295" s="169"/>
    </row>
    <row r="1296" spans="19:55">
      <c r="S1296" s="454"/>
      <c r="AN1296" s="454"/>
      <c r="AY1296" s="454"/>
      <c r="AZ1296" s="454"/>
      <c r="BA1296" s="1267"/>
      <c r="BC1296" s="169"/>
    </row>
    <row r="1297" spans="19:55">
      <c r="S1297" s="454"/>
      <c r="AN1297" s="454"/>
      <c r="AY1297" s="454"/>
      <c r="AZ1297" s="454"/>
      <c r="BA1297" s="1267"/>
      <c r="BC1297" s="169"/>
    </row>
    <row r="1298" spans="19:55">
      <c r="S1298" s="454"/>
      <c r="AN1298" s="454"/>
      <c r="AY1298" s="454"/>
      <c r="AZ1298" s="454"/>
      <c r="BA1298" s="1267"/>
      <c r="BC1298" s="169"/>
    </row>
    <row r="1299" spans="19:55">
      <c r="S1299" s="454"/>
      <c r="AN1299" s="454"/>
      <c r="AY1299" s="454"/>
      <c r="AZ1299" s="454"/>
      <c r="BA1299" s="1267"/>
      <c r="BC1299" s="169"/>
    </row>
    <row r="1300" spans="19:55">
      <c r="S1300" s="454"/>
      <c r="AN1300" s="454"/>
      <c r="AY1300" s="454"/>
      <c r="AZ1300" s="454"/>
      <c r="BA1300" s="1267"/>
      <c r="BC1300" s="169"/>
    </row>
    <row r="1301" spans="19:55">
      <c r="S1301" s="454"/>
      <c r="AN1301" s="454"/>
      <c r="AY1301" s="454"/>
      <c r="AZ1301" s="454"/>
      <c r="BA1301" s="1267"/>
      <c r="BC1301" s="169"/>
    </row>
    <row r="1302" spans="19:55">
      <c r="S1302" s="454"/>
      <c r="AN1302" s="454"/>
      <c r="AY1302" s="454"/>
      <c r="AZ1302" s="454"/>
      <c r="BC1302" s="169"/>
    </row>
    <row r="1303" spans="19:55">
      <c r="S1303" s="454"/>
      <c r="AN1303" s="454"/>
      <c r="AY1303" s="454"/>
      <c r="AZ1303" s="454"/>
      <c r="BC1303" s="169"/>
    </row>
    <row r="1304" spans="19:55">
      <c r="S1304" s="454"/>
      <c r="AN1304" s="454"/>
      <c r="AY1304" s="454"/>
      <c r="AZ1304" s="454"/>
      <c r="BC1304" s="169"/>
    </row>
    <row r="1305" spans="19:55">
      <c r="S1305" s="454"/>
      <c r="AN1305" s="454"/>
      <c r="AY1305" s="454"/>
      <c r="AZ1305" s="454"/>
      <c r="BC1305" s="169"/>
    </row>
    <row r="1306" spans="19:55">
      <c r="S1306" s="454"/>
      <c r="AN1306" s="454"/>
      <c r="AY1306" s="454"/>
      <c r="AZ1306" s="454"/>
      <c r="BC1306" s="169"/>
    </row>
    <row r="1307" spans="19:55">
      <c r="S1307" s="454"/>
      <c r="AN1307" s="454"/>
      <c r="AY1307" s="454"/>
      <c r="AZ1307" s="454"/>
      <c r="BC1307" s="169"/>
    </row>
    <row r="1308" spans="19:55">
      <c r="S1308" s="454"/>
      <c r="AN1308" s="454"/>
      <c r="AY1308" s="454"/>
      <c r="AZ1308" s="454"/>
      <c r="BC1308" s="169"/>
    </row>
    <row r="1309" spans="19:55">
      <c r="S1309" s="454"/>
      <c r="AN1309" s="454"/>
      <c r="AY1309" s="454"/>
      <c r="AZ1309" s="454"/>
      <c r="BC1309" s="169"/>
    </row>
    <row r="1310" spans="19:55">
      <c r="S1310" s="454"/>
      <c r="AN1310" s="454"/>
      <c r="AY1310" s="454"/>
      <c r="AZ1310" s="454"/>
      <c r="BC1310" s="169"/>
    </row>
    <row r="1311" spans="19:55">
      <c r="S1311" s="454"/>
      <c r="AN1311" s="454"/>
      <c r="AY1311" s="454"/>
      <c r="AZ1311" s="454"/>
      <c r="BC1311" s="169"/>
    </row>
    <row r="1312" spans="19:55">
      <c r="S1312" s="454"/>
      <c r="AN1312" s="454"/>
      <c r="AY1312" s="454"/>
      <c r="AZ1312" s="454"/>
      <c r="BC1312" s="169"/>
    </row>
    <row r="1313" spans="19:55">
      <c r="S1313" s="454"/>
      <c r="AN1313" s="454"/>
      <c r="AY1313" s="454"/>
      <c r="AZ1313" s="454"/>
      <c r="BC1313" s="169"/>
    </row>
    <row r="1314" spans="19:55">
      <c r="S1314" s="454"/>
      <c r="AN1314" s="454"/>
      <c r="BC1314" s="169"/>
    </row>
    <row r="1315" spans="19:55">
      <c r="S1315" s="454"/>
      <c r="AN1315" s="454"/>
      <c r="BC1315" s="169"/>
    </row>
    <row r="1316" spans="19:55">
      <c r="S1316" s="454"/>
      <c r="AN1316" s="454"/>
      <c r="BC1316" s="169"/>
    </row>
    <row r="1317" spans="19:55">
      <c r="S1317" s="454"/>
      <c r="AN1317" s="454"/>
      <c r="BC1317" s="169"/>
    </row>
    <row r="1318" spans="19:55">
      <c r="S1318" s="454"/>
      <c r="AN1318" s="454"/>
      <c r="BC1318" s="169"/>
    </row>
    <row r="1319" spans="19:55">
      <c r="S1319" s="454"/>
      <c r="AN1319" s="454"/>
      <c r="BC1319" s="169"/>
    </row>
    <row r="1320" spans="19:55">
      <c r="S1320" s="454"/>
      <c r="AN1320" s="454"/>
      <c r="BC1320" s="169"/>
    </row>
    <row r="1321" spans="19:55">
      <c r="S1321" s="454"/>
      <c r="AN1321" s="454"/>
      <c r="BC1321" s="169"/>
    </row>
    <row r="1322" spans="19:55">
      <c r="S1322" s="454"/>
      <c r="AN1322" s="454"/>
      <c r="BC1322" s="169"/>
    </row>
    <row r="1323" spans="19:55">
      <c r="S1323" s="454"/>
      <c r="AN1323" s="454"/>
      <c r="BC1323" s="169"/>
    </row>
    <row r="1324" spans="19:55">
      <c r="S1324" s="454"/>
      <c r="AN1324" s="454"/>
      <c r="BC1324" s="169"/>
    </row>
    <row r="1325" spans="19:55">
      <c r="S1325" s="454"/>
      <c r="AN1325" s="454"/>
      <c r="BC1325" s="169"/>
    </row>
    <row r="1326" spans="19:55">
      <c r="S1326" s="454"/>
      <c r="AN1326" s="454"/>
      <c r="BC1326" s="169"/>
    </row>
    <row r="1327" spans="19:55">
      <c r="S1327" s="454"/>
      <c r="AN1327" s="454"/>
      <c r="BC1327" s="169"/>
    </row>
    <row r="1328" spans="19:55">
      <c r="S1328" s="454"/>
      <c r="AN1328" s="454"/>
      <c r="BC1328" s="169"/>
    </row>
    <row r="1329" spans="19:55">
      <c r="S1329" s="454"/>
      <c r="AN1329" s="454"/>
      <c r="BC1329" s="169"/>
    </row>
    <row r="1330" spans="19:55">
      <c r="S1330" s="454"/>
      <c r="AN1330" s="454"/>
      <c r="BC1330" s="169"/>
    </row>
    <row r="1331" spans="19:55">
      <c r="S1331" s="454"/>
      <c r="AN1331" s="454"/>
      <c r="BC1331" s="169"/>
    </row>
    <row r="1332" spans="19:55">
      <c r="S1332" s="454"/>
      <c r="AN1332" s="454"/>
      <c r="BC1332" s="169"/>
    </row>
    <row r="1333" spans="19:55">
      <c r="S1333" s="454"/>
      <c r="AN1333" s="454"/>
      <c r="BC1333" s="169"/>
    </row>
    <row r="1334" spans="19:55">
      <c r="S1334" s="454"/>
      <c r="AN1334" s="454"/>
      <c r="BC1334" s="169"/>
    </row>
    <row r="1335" spans="19:55">
      <c r="S1335" s="454"/>
      <c r="AN1335" s="454"/>
      <c r="BC1335" s="169"/>
    </row>
    <row r="1336" spans="19:55">
      <c r="S1336" s="454"/>
      <c r="AN1336" s="454"/>
      <c r="BC1336" s="169"/>
    </row>
    <row r="1337" spans="19:55">
      <c r="S1337" s="454"/>
      <c r="AN1337" s="454"/>
      <c r="BC1337" s="169"/>
    </row>
    <row r="1338" spans="19:55">
      <c r="S1338" s="454"/>
      <c r="AN1338" s="454"/>
      <c r="BC1338" s="169"/>
    </row>
    <row r="1339" spans="19:55">
      <c r="S1339" s="454"/>
      <c r="AN1339" s="454"/>
      <c r="BC1339" s="169"/>
    </row>
    <row r="1340" spans="19:55">
      <c r="S1340" s="454"/>
      <c r="AN1340" s="454"/>
      <c r="BC1340" s="169"/>
    </row>
    <row r="1341" spans="19:55">
      <c r="S1341" s="454"/>
      <c r="AN1341" s="454"/>
      <c r="BC1341" s="169"/>
    </row>
    <row r="1342" spans="19:55">
      <c r="S1342" s="454"/>
      <c r="AN1342" s="454"/>
      <c r="BC1342" s="169"/>
    </row>
    <row r="1343" spans="19:55">
      <c r="S1343" s="454"/>
      <c r="AN1343" s="454"/>
      <c r="BC1343" s="169"/>
    </row>
    <row r="1344" spans="19:55">
      <c r="S1344" s="454"/>
      <c r="AN1344" s="454"/>
      <c r="BC1344" s="169"/>
    </row>
    <row r="1345" spans="19:55">
      <c r="S1345" s="454"/>
      <c r="AN1345" s="454"/>
      <c r="BC1345" s="169"/>
    </row>
    <row r="1346" spans="19:55">
      <c r="S1346" s="454"/>
      <c r="AN1346" s="454"/>
      <c r="BC1346" s="169"/>
    </row>
    <row r="1347" spans="19:55">
      <c r="S1347" s="454"/>
      <c r="AN1347" s="454"/>
      <c r="BC1347" s="169"/>
    </row>
    <row r="1348" spans="19:55">
      <c r="S1348" s="454"/>
      <c r="AN1348" s="454"/>
      <c r="BC1348" s="169"/>
    </row>
    <row r="1349" spans="19:55">
      <c r="S1349" s="454"/>
      <c r="AN1349" s="454"/>
      <c r="BC1349" s="169"/>
    </row>
    <row r="1350" spans="19:55">
      <c r="S1350" s="454"/>
      <c r="AN1350" s="454"/>
      <c r="BC1350" s="169"/>
    </row>
    <row r="1351" spans="19:55">
      <c r="S1351" s="454"/>
      <c r="AN1351" s="454"/>
      <c r="BC1351" s="169"/>
    </row>
    <row r="1352" spans="19:55">
      <c r="S1352" s="454"/>
      <c r="AN1352" s="454"/>
      <c r="BC1352" s="169"/>
    </row>
    <row r="1353" spans="19:55">
      <c r="S1353" s="454"/>
      <c r="AN1353" s="454"/>
      <c r="BC1353" s="169"/>
    </row>
    <row r="1354" spans="19:55">
      <c r="S1354" s="454"/>
      <c r="AN1354" s="454"/>
      <c r="BC1354" s="169"/>
    </row>
    <row r="1355" spans="19:55">
      <c r="S1355" s="454"/>
      <c r="AN1355" s="454"/>
      <c r="BC1355" s="169"/>
    </row>
    <row r="1356" spans="19:55">
      <c r="S1356" s="454"/>
      <c r="AN1356" s="454"/>
      <c r="BC1356" s="169"/>
    </row>
    <row r="1357" spans="19:55">
      <c r="S1357" s="454"/>
      <c r="AN1357" s="454"/>
      <c r="BC1357" s="169"/>
    </row>
    <row r="1358" spans="19:55">
      <c r="S1358" s="454"/>
      <c r="AN1358" s="454"/>
      <c r="BC1358" s="169"/>
    </row>
    <row r="1359" spans="19:55">
      <c r="S1359" s="454"/>
      <c r="AN1359" s="454"/>
      <c r="BC1359" s="169"/>
    </row>
    <row r="1360" spans="19:55">
      <c r="S1360" s="454"/>
      <c r="AN1360" s="454"/>
      <c r="BC1360" s="169"/>
    </row>
    <row r="1361" spans="19:55">
      <c r="S1361" s="454"/>
      <c r="AN1361" s="454"/>
      <c r="BC1361" s="169"/>
    </row>
    <row r="1362" spans="19:55">
      <c r="S1362" s="454"/>
      <c r="AN1362" s="454"/>
      <c r="BC1362" s="169"/>
    </row>
    <row r="1363" spans="19:55">
      <c r="S1363" s="454"/>
      <c r="AN1363" s="454"/>
      <c r="BC1363" s="169"/>
    </row>
    <row r="1364" spans="19:55">
      <c r="S1364" s="454"/>
      <c r="AN1364" s="454"/>
      <c r="BC1364" s="169"/>
    </row>
    <row r="1365" spans="19:55">
      <c r="S1365" s="454"/>
      <c r="AN1365" s="454"/>
      <c r="BC1365" s="169"/>
    </row>
    <row r="1366" spans="19:55">
      <c r="S1366" s="454"/>
      <c r="AN1366" s="454"/>
      <c r="BC1366" s="169"/>
    </row>
    <row r="1367" spans="19:55">
      <c r="S1367" s="454"/>
      <c r="AN1367" s="454"/>
      <c r="BC1367" s="169"/>
    </row>
    <row r="1368" spans="19:55">
      <c r="S1368" s="454"/>
      <c r="AN1368" s="454"/>
      <c r="BC1368" s="169"/>
    </row>
    <row r="1369" spans="19:55">
      <c r="S1369" s="454"/>
      <c r="AN1369" s="454"/>
      <c r="BC1369" s="169"/>
    </row>
    <row r="1370" spans="19:55">
      <c r="S1370" s="454"/>
      <c r="AN1370" s="454"/>
      <c r="BC1370" s="169"/>
    </row>
    <row r="1371" spans="19:55">
      <c r="S1371" s="454"/>
      <c r="AN1371" s="454"/>
      <c r="BC1371" s="169"/>
    </row>
    <row r="1372" spans="19:55">
      <c r="S1372" s="454"/>
      <c r="AN1372" s="454"/>
      <c r="BC1372" s="169"/>
    </row>
    <row r="1373" spans="19:55">
      <c r="S1373" s="454"/>
      <c r="AN1373" s="454"/>
      <c r="BC1373" s="169"/>
    </row>
    <row r="1374" spans="19:55">
      <c r="S1374" s="454"/>
      <c r="AN1374" s="454"/>
      <c r="BC1374" s="169"/>
    </row>
    <row r="1375" spans="19:55">
      <c r="S1375" s="454"/>
      <c r="AN1375" s="454"/>
      <c r="BC1375" s="169"/>
    </row>
    <row r="1376" spans="19:55">
      <c r="S1376" s="454"/>
      <c r="AN1376" s="454"/>
      <c r="BC1376" s="169"/>
    </row>
    <row r="1377" spans="19:55">
      <c r="S1377" s="454"/>
      <c r="AN1377" s="454"/>
      <c r="BC1377" s="169"/>
    </row>
    <row r="1378" spans="19:55">
      <c r="S1378" s="454"/>
      <c r="AN1378" s="454"/>
      <c r="BC1378" s="169"/>
    </row>
    <row r="1379" spans="19:55">
      <c r="S1379" s="454"/>
      <c r="AN1379" s="454"/>
      <c r="BC1379" s="169"/>
    </row>
    <row r="1380" spans="19:55">
      <c r="S1380" s="454"/>
      <c r="AN1380" s="454"/>
      <c r="BC1380" s="169"/>
    </row>
    <row r="1381" spans="19:55">
      <c r="S1381" s="454"/>
      <c r="AN1381" s="454"/>
      <c r="BC1381" s="169"/>
    </row>
    <row r="1382" spans="19:55">
      <c r="S1382" s="454"/>
      <c r="AN1382" s="454"/>
      <c r="BC1382" s="169"/>
    </row>
    <row r="1383" spans="19:55">
      <c r="S1383" s="454"/>
      <c r="AN1383" s="454"/>
      <c r="BC1383" s="169"/>
    </row>
    <row r="1384" spans="19:55">
      <c r="S1384" s="454"/>
      <c r="AN1384" s="454"/>
      <c r="BC1384" s="169"/>
    </row>
    <row r="1385" spans="19:55">
      <c r="S1385" s="454"/>
      <c r="AN1385" s="454"/>
      <c r="BC1385" s="169"/>
    </row>
    <row r="1386" spans="19:55">
      <c r="S1386" s="454"/>
      <c r="AN1386" s="454"/>
      <c r="BC1386" s="169"/>
    </row>
    <row r="1387" spans="19:55">
      <c r="S1387" s="454"/>
      <c r="AN1387" s="454"/>
      <c r="BC1387" s="169"/>
    </row>
    <row r="1388" spans="19:55">
      <c r="S1388" s="454"/>
      <c r="AN1388" s="454"/>
      <c r="BC1388" s="169"/>
    </row>
    <row r="1389" spans="19:55">
      <c r="S1389" s="454"/>
      <c r="AN1389" s="454"/>
      <c r="BC1389" s="169"/>
    </row>
    <row r="1390" spans="19:55">
      <c r="S1390" s="454"/>
      <c r="AN1390" s="454"/>
      <c r="BC1390" s="169"/>
    </row>
    <row r="1391" spans="19:55">
      <c r="S1391" s="454"/>
      <c r="AN1391" s="454"/>
      <c r="BC1391" s="169"/>
    </row>
    <row r="1392" spans="19:55">
      <c r="S1392" s="454"/>
      <c r="AN1392" s="454"/>
      <c r="BC1392" s="169"/>
    </row>
    <row r="1393" spans="19:55">
      <c r="S1393" s="454"/>
      <c r="AN1393" s="454"/>
      <c r="BC1393" s="169"/>
    </row>
    <row r="1394" spans="19:55">
      <c r="S1394" s="454"/>
      <c r="AN1394" s="454"/>
      <c r="BC1394" s="169"/>
    </row>
    <row r="1395" spans="19:55">
      <c r="S1395" s="454"/>
      <c r="AN1395" s="454"/>
      <c r="BC1395" s="169"/>
    </row>
    <row r="1396" spans="19:55">
      <c r="S1396" s="454"/>
      <c r="AN1396" s="454"/>
      <c r="BC1396" s="169"/>
    </row>
    <row r="1397" spans="19:55">
      <c r="S1397" s="454"/>
      <c r="AN1397" s="454"/>
      <c r="BC1397" s="169"/>
    </row>
    <row r="1398" spans="19:55">
      <c r="S1398" s="454"/>
      <c r="AN1398" s="454"/>
      <c r="BC1398" s="169"/>
    </row>
    <row r="1399" spans="19:55">
      <c r="S1399" s="454"/>
      <c r="AN1399" s="454"/>
      <c r="BC1399" s="169"/>
    </row>
    <row r="1400" spans="19:55">
      <c r="S1400" s="454"/>
      <c r="AN1400" s="454"/>
      <c r="BC1400" s="169"/>
    </row>
    <row r="1401" spans="19:55">
      <c r="S1401" s="454"/>
      <c r="AN1401" s="454"/>
      <c r="BC1401" s="169"/>
    </row>
    <row r="1402" spans="19:55">
      <c r="S1402" s="454"/>
      <c r="AN1402" s="454"/>
      <c r="BC1402" s="169"/>
    </row>
    <row r="1403" spans="19:55">
      <c r="S1403" s="454"/>
      <c r="AN1403" s="454"/>
      <c r="BC1403" s="169"/>
    </row>
    <row r="1404" spans="19:55">
      <c r="S1404" s="454"/>
      <c r="AN1404" s="454"/>
      <c r="BC1404" s="169"/>
    </row>
    <row r="1405" spans="19:55">
      <c r="S1405" s="454"/>
      <c r="AN1405" s="454"/>
      <c r="BC1405" s="169"/>
    </row>
    <row r="1406" spans="19:55">
      <c r="S1406" s="454"/>
      <c r="AN1406" s="454"/>
      <c r="BC1406" s="169"/>
    </row>
    <row r="1407" spans="19:55">
      <c r="S1407" s="454"/>
      <c r="AN1407" s="454"/>
      <c r="BC1407" s="169"/>
    </row>
    <row r="1408" spans="19:55">
      <c r="S1408" s="454"/>
      <c r="AN1408" s="454"/>
      <c r="BC1408" s="169"/>
    </row>
    <row r="1409" spans="19:55">
      <c r="S1409" s="454"/>
      <c r="AN1409" s="454"/>
      <c r="BC1409" s="169"/>
    </row>
    <row r="1410" spans="19:55">
      <c r="S1410" s="454"/>
      <c r="AN1410" s="454"/>
      <c r="BC1410" s="169"/>
    </row>
    <row r="1411" spans="19:55">
      <c r="S1411" s="454"/>
      <c r="AN1411" s="454"/>
      <c r="BC1411" s="169"/>
    </row>
    <row r="1412" spans="19:55">
      <c r="S1412" s="454"/>
      <c r="AN1412" s="454"/>
      <c r="BC1412" s="169"/>
    </row>
    <row r="1413" spans="19:55">
      <c r="S1413" s="454"/>
      <c r="AN1413" s="454"/>
      <c r="BC1413" s="169"/>
    </row>
    <row r="1414" spans="19:55">
      <c r="S1414" s="454"/>
      <c r="AN1414" s="454"/>
      <c r="BC1414" s="169"/>
    </row>
    <row r="1415" spans="19:55">
      <c r="S1415" s="454"/>
      <c r="AN1415" s="454"/>
      <c r="BC1415" s="169"/>
    </row>
    <row r="1416" spans="19:55">
      <c r="S1416" s="454"/>
      <c r="AN1416" s="454"/>
      <c r="BC1416" s="169"/>
    </row>
    <row r="1417" spans="19:55">
      <c r="S1417" s="454"/>
      <c r="AN1417" s="454"/>
      <c r="BC1417" s="169"/>
    </row>
    <row r="1418" spans="19:55">
      <c r="S1418" s="454"/>
      <c r="AN1418" s="454"/>
      <c r="BC1418" s="169"/>
    </row>
    <row r="1419" spans="19:55">
      <c r="S1419" s="454"/>
      <c r="AN1419" s="454"/>
      <c r="BC1419" s="169"/>
    </row>
    <row r="1420" spans="19:55">
      <c r="S1420" s="454"/>
      <c r="AN1420" s="454"/>
      <c r="BC1420" s="169"/>
    </row>
    <row r="1421" spans="19:55">
      <c r="S1421" s="454"/>
      <c r="AN1421" s="454"/>
      <c r="BC1421" s="169"/>
    </row>
    <row r="1422" spans="19:55">
      <c r="S1422" s="454"/>
      <c r="AN1422" s="454"/>
      <c r="BC1422" s="169"/>
    </row>
    <row r="1423" spans="19:55">
      <c r="S1423" s="454"/>
      <c r="AN1423" s="454"/>
      <c r="BC1423" s="169"/>
    </row>
    <row r="1424" spans="19:55">
      <c r="S1424" s="454"/>
      <c r="AN1424" s="454"/>
      <c r="BC1424" s="169"/>
    </row>
    <row r="1425" spans="19:55">
      <c r="S1425" s="454"/>
      <c r="AN1425" s="454"/>
      <c r="BC1425" s="169"/>
    </row>
    <row r="1426" spans="19:55">
      <c r="S1426" s="454"/>
      <c r="AN1426" s="454"/>
      <c r="BC1426" s="169"/>
    </row>
    <row r="1427" spans="19:55">
      <c r="S1427" s="454"/>
      <c r="AN1427" s="454"/>
      <c r="BC1427" s="169"/>
    </row>
    <row r="1428" spans="19:55">
      <c r="S1428" s="454"/>
      <c r="AN1428" s="454"/>
      <c r="BC1428" s="169"/>
    </row>
    <row r="1429" spans="19:55">
      <c r="S1429" s="454"/>
      <c r="AN1429" s="454"/>
      <c r="BC1429" s="169"/>
    </row>
    <row r="1430" spans="19:55">
      <c r="S1430" s="454"/>
      <c r="AN1430" s="454"/>
      <c r="BC1430" s="169"/>
    </row>
    <row r="1431" spans="19:55">
      <c r="S1431" s="454"/>
      <c r="AN1431" s="454"/>
      <c r="BC1431" s="169"/>
    </row>
    <row r="1432" spans="19:55">
      <c r="S1432" s="454"/>
      <c r="AN1432" s="454"/>
      <c r="BC1432" s="169"/>
    </row>
    <row r="1433" spans="19:55">
      <c r="S1433" s="454"/>
      <c r="AN1433" s="454"/>
      <c r="BC1433" s="169"/>
    </row>
    <row r="1434" spans="19:55">
      <c r="S1434" s="454"/>
      <c r="AN1434" s="454"/>
      <c r="BC1434" s="169"/>
    </row>
    <row r="1435" spans="19:55">
      <c r="S1435" s="454"/>
      <c r="AN1435" s="454"/>
      <c r="BC1435" s="169"/>
    </row>
    <row r="1436" spans="19:55">
      <c r="S1436" s="454"/>
      <c r="AN1436" s="454"/>
      <c r="BC1436" s="169"/>
    </row>
    <row r="1437" spans="19:55">
      <c r="S1437" s="454"/>
      <c r="AN1437" s="454"/>
      <c r="BC1437" s="169"/>
    </row>
    <row r="1438" spans="19:55">
      <c r="S1438" s="454"/>
      <c r="AN1438" s="454"/>
      <c r="BC1438" s="169"/>
    </row>
    <row r="1439" spans="19:55">
      <c r="S1439" s="454"/>
      <c r="AN1439" s="454"/>
      <c r="BC1439" s="169"/>
    </row>
    <row r="1440" spans="19:55">
      <c r="S1440" s="454"/>
      <c r="AN1440" s="454"/>
      <c r="BC1440" s="169"/>
    </row>
    <row r="1441" spans="19:55">
      <c r="S1441" s="454"/>
      <c r="AN1441" s="454"/>
      <c r="BC1441" s="169"/>
    </row>
    <row r="1442" spans="19:55">
      <c r="S1442" s="454"/>
      <c r="AN1442" s="454"/>
      <c r="BC1442" s="169"/>
    </row>
    <row r="1443" spans="19:55">
      <c r="S1443" s="454"/>
      <c r="AN1443" s="454"/>
      <c r="BC1443" s="169"/>
    </row>
    <row r="1444" spans="19:55">
      <c r="S1444" s="454"/>
      <c r="AN1444" s="454"/>
      <c r="BC1444" s="169"/>
    </row>
    <row r="1445" spans="19:55">
      <c r="S1445" s="454"/>
      <c r="AN1445" s="454"/>
      <c r="BC1445" s="169"/>
    </row>
    <row r="1446" spans="19:55">
      <c r="S1446" s="454"/>
      <c r="AN1446" s="454"/>
      <c r="BC1446" s="169"/>
    </row>
    <row r="1447" spans="19:55">
      <c r="S1447" s="454"/>
      <c r="AN1447" s="454"/>
      <c r="BC1447" s="169"/>
    </row>
    <row r="1448" spans="19:55">
      <c r="S1448" s="454"/>
      <c r="AN1448" s="454"/>
      <c r="BC1448" s="169"/>
    </row>
    <row r="1449" spans="19:55">
      <c r="S1449" s="454"/>
      <c r="AN1449" s="454"/>
      <c r="BC1449" s="169"/>
    </row>
    <row r="1450" spans="19:55">
      <c r="S1450" s="454"/>
      <c r="AN1450" s="454"/>
      <c r="BC1450" s="169"/>
    </row>
    <row r="1451" spans="19:55">
      <c r="S1451" s="454"/>
      <c r="AN1451" s="454"/>
      <c r="BC1451" s="169"/>
    </row>
    <row r="1452" spans="19:55">
      <c r="S1452" s="454"/>
      <c r="AN1452" s="454"/>
      <c r="BC1452" s="169"/>
    </row>
    <row r="1453" spans="19:55">
      <c r="S1453" s="454"/>
      <c r="AN1453" s="454"/>
      <c r="BC1453" s="169"/>
    </row>
    <row r="1454" spans="19:55">
      <c r="S1454" s="454"/>
      <c r="AN1454" s="454"/>
      <c r="BC1454" s="169"/>
    </row>
    <row r="1455" spans="19:55">
      <c r="S1455" s="454"/>
      <c r="AN1455" s="454"/>
      <c r="BC1455" s="169"/>
    </row>
    <row r="1456" spans="19:55">
      <c r="S1456" s="454"/>
      <c r="AN1456" s="454"/>
      <c r="BC1456" s="169"/>
    </row>
    <row r="1457" spans="19:55">
      <c r="S1457" s="454"/>
      <c r="AN1457" s="454"/>
      <c r="BC1457" s="169"/>
    </row>
    <row r="1458" spans="19:55">
      <c r="S1458" s="454"/>
      <c r="AN1458" s="454"/>
      <c r="BC1458" s="169"/>
    </row>
    <row r="1459" spans="19:55">
      <c r="S1459" s="454"/>
      <c r="AN1459" s="454"/>
      <c r="BC1459" s="169"/>
    </row>
    <row r="1460" spans="19:55">
      <c r="S1460" s="454"/>
      <c r="AN1460" s="454"/>
      <c r="BC1460" s="169"/>
    </row>
    <row r="1461" spans="19:55">
      <c r="S1461" s="454"/>
      <c r="AN1461" s="454"/>
      <c r="BC1461" s="169"/>
    </row>
    <row r="1462" spans="19:55">
      <c r="S1462" s="454"/>
      <c r="AN1462" s="454"/>
      <c r="BC1462" s="169"/>
    </row>
    <row r="1463" spans="19:55">
      <c r="S1463" s="454"/>
      <c r="AN1463" s="454"/>
      <c r="BC1463" s="169"/>
    </row>
    <row r="1464" spans="19:55">
      <c r="S1464" s="454"/>
      <c r="AN1464" s="454"/>
      <c r="BC1464" s="169"/>
    </row>
    <row r="1465" spans="19:55">
      <c r="S1465" s="454"/>
      <c r="AN1465" s="454"/>
      <c r="BC1465" s="169"/>
    </row>
    <row r="1466" spans="19:55">
      <c r="S1466" s="454"/>
      <c r="AN1466" s="454"/>
      <c r="BC1466" s="169"/>
    </row>
    <row r="1467" spans="19:55">
      <c r="S1467" s="454"/>
      <c r="AN1467" s="454"/>
      <c r="BC1467" s="169"/>
    </row>
    <row r="1468" spans="19:55">
      <c r="S1468" s="454"/>
      <c r="AN1468" s="454"/>
      <c r="BC1468" s="169"/>
    </row>
    <row r="1469" spans="19:55">
      <c r="S1469" s="454"/>
      <c r="AN1469" s="454"/>
      <c r="BC1469" s="169"/>
    </row>
    <row r="1470" spans="19:55">
      <c r="S1470" s="454"/>
      <c r="AN1470" s="454"/>
      <c r="BC1470" s="169"/>
    </row>
    <row r="1471" spans="19:55">
      <c r="S1471" s="454"/>
      <c r="AN1471" s="454"/>
      <c r="BC1471" s="169"/>
    </row>
    <row r="1472" spans="19:55">
      <c r="S1472" s="454"/>
      <c r="AN1472" s="454"/>
      <c r="BC1472" s="169"/>
    </row>
    <row r="1473" spans="19:55">
      <c r="S1473" s="454"/>
      <c r="AN1473" s="454"/>
      <c r="BC1473" s="169"/>
    </row>
    <row r="1474" spans="19:55">
      <c r="S1474" s="454"/>
      <c r="AN1474" s="454"/>
      <c r="BC1474" s="169"/>
    </row>
    <row r="1475" spans="19:55">
      <c r="S1475" s="454"/>
      <c r="AN1475" s="454"/>
      <c r="BC1475" s="169"/>
    </row>
    <row r="1476" spans="19:55">
      <c r="S1476" s="454"/>
      <c r="AN1476" s="454"/>
      <c r="BC1476" s="169"/>
    </row>
    <row r="1477" spans="19:55">
      <c r="S1477" s="454"/>
      <c r="AN1477" s="454"/>
      <c r="BC1477" s="169"/>
    </row>
    <row r="1478" spans="19:55">
      <c r="S1478" s="454"/>
      <c r="AN1478" s="454"/>
      <c r="BC1478" s="169"/>
    </row>
    <row r="1479" spans="19:55">
      <c r="S1479" s="454"/>
      <c r="AN1479" s="454"/>
      <c r="BC1479" s="169"/>
    </row>
    <row r="1480" spans="19:55">
      <c r="S1480" s="454"/>
      <c r="AN1480" s="454"/>
      <c r="BC1480" s="169"/>
    </row>
    <row r="1481" spans="19:55">
      <c r="S1481" s="454"/>
      <c r="AN1481" s="454"/>
      <c r="BC1481" s="169"/>
    </row>
    <row r="1482" spans="19:55">
      <c r="S1482" s="454"/>
      <c r="AN1482" s="454"/>
      <c r="BC1482" s="169"/>
    </row>
    <row r="1483" spans="19:55">
      <c r="S1483" s="454"/>
      <c r="AN1483" s="454"/>
      <c r="BC1483" s="169"/>
    </row>
    <row r="1484" spans="19:55">
      <c r="S1484" s="454"/>
      <c r="AN1484" s="454"/>
      <c r="BC1484" s="169"/>
    </row>
    <row r="1485" spans="19:55">
      <c r="S1485" s="454"/>
      <c r="AN1485" s="454"/>
      <c r="BC1485" s="169"/>
    </row>
    <row r="1486" spans="19:55">
      <c r="S1486" s="454"/>
      <c r="AN1486" s="454"/>
      <c r="BC1486" s="169"/>
    </row>
    <row r="1487" spans="19:55">
      <c r="S1487" s="454"/>
      <c r="AN1487" s="454"/>
      <c r="BC1487" s="169"/>
    </row>
    <row r="1488" spans="19:55">
      <c r="S1488" s="454"/>
      <c r="AN1488" s="454"/>
      <c r="BC1488" s="169"/>
    </row>
    <row r="1489" spans="19:55">
      <c r="S1489" s="454"/>
      <c r="AN1489" s="454"/>
      <c r="BC1489" s="169"/>
    </row>
    <row r="1490" spans="19:55">
      <c r="S1490" s="454"/>
      <c r="AN1490" s="454"/>
      <c r="BC1490" s="169"/>
    </row>
    <row r="1491" spans="19:55">
      <c r="S1491" s="454"/>
      <c r="AN1491" s="454"/>
      <c r="BC1491" s="169"/>
    </row>
    <row r="1492" spans="19:55">
      <c r="S1492" s="454"/>
      <c r="AN1492" s="454"/>
      <c r="BC1492" s="169"/>
    </row>
    <row r="1493" spans="19:55">
      <c r="S1493" s="454"/>
      <c r="AN1493" s="454"/>
      <c r="BC1493" s="169"/>
    </row>
    <row r="1494" spans="19:55">
      <c r="S1494" s="454"/>
      <c r="AN1494" s="454"/>
      <c r="BC1494" s="169"/>
    </row>
    <row r="1495" spans="19:55">
      <c r="S1495" s="454"/>
      <c r="AN1495" s="454"/>
      <c r="BC1495" s="169"/>
    </row>
    <row r="1496" spans="19:55">
      <c r="S1496" s="454"/>
      <c r="AN1496" s="454"/>
      <c r="BC1496" s="169"/>
    </row>
    <row r="1497" spans="19:55">
      <c r="S1497" s="454"/>
      <c r="AN1497" s="454"/>
      <c r="BC1497" s="169"/>
    </row>
    <row r="1498" spans="19:55">
      <c r="AN1498" s="454"/>
      <c r="BC1498" s="169"/>
    </row>
    <row r="1499" spans="19:55">
      <c r="AN1499" s="454"/>
      <c r="BC1499" s="169"/>
    </row>
    <row r="1500" spans="19:55">
      <c r="AN1500" s="454"/>
      <c r="BC1500" s="169"/>
    </row>
    <row r="1501" spans="19:55">
      <c r="AN1501" s="454"/>
      <c r="BC1501" s="169"/>
    </row>
    <row r="1502" spans="19:55">
      <c r="AN1502" s="454"/>
      <c r="BC1502" s="169"/>
    </row>
    <row r="1503" spans="19:55">
      <c r="AN1503" s="454"/>
      <c r="BC1503" s="169"/>
    </row>
    <row r="1504" spans="19:55">
      <c r="AN1504" s="454"/>
      <c r="BC1504" s="169"/>
    </row>
    <row r="1505" spans="40:55">
      <c r="AN1505" s="454"/>
      <c r="BC1505" s="169"/>
    </row>
    <row r="1506" spans="40:55">
      <c r="AN1506" s="454"/>
      <c r="BC1506" s="169"/>
    </row>
    <row r="1507" spans="40:55">
      <c r="AN1507" s="454"/>
      <c r="BC1507" s="169"/>
    </row>
    <row r="1508" spans="40:55">
      <c r="AN1508" s="454"/>
      <c r="BC1508" s="169"/>
    </row>
    <row r="1509" spans="40:55">
      <c r="AN1509" s="454"/>
      <c r="BC1509" s="169"/>
    </row>
    <row r="1510" spans="40:55">
      <c r="AN1510" s="454"/>
      <c r="BC1510" s="169"/>
    </row>
    <row r="1511" spans="40:55">
      <c r="AN1511" s="454"/>
      <c r="BC1511" s="169"/>
    </row>
    <row r="1512" spans="40:55">
      <c r="AN1512" s="454"/>
      <c r="BC1512" s="169"/>
    </row>
    <row r="1513" spans="40:55">
      <c r="AN1513" s="454"/>
      <c r="BC1513" s="169"/>
    </row>
    <row r="1514" spans="40:55">
      <c r="AN1514" s="454"/>
      <c r="BC1514" s="169"/>
    </row>
    <row r="1515" spans="40:55">
      <c r="AN1515" s="454"/>
      <c r="BC1515" s="169"/>
    </row>
    <row r="1516" spans="40:55">
      <c r="AN1516" s="454"/>
      <c r="BC1516" s="169"/>
    </row>
    <row r="1517" spans="40:55">
      <c r="AN1517" s="454"/>
      <c r="BC1517" s="169"/>
    </row>
    <row r="1518" spans="40:55">
      <c r="AN1518" s="454"/>
      <c r="BC1518" s="169"/>
    </row>
    <row r="1519" spans="40:55">
      <c r="AN1519" s="454"/>
      <c r="BC1519" s="169"/>
    </row>
    <row r="1520" spans="40:55">
      <c r="AN1520" s="454"/>
      <c r="BC1520" s="169"/>
    </row>
    <row r="1521" spans="40:55">
      <c r="AN1521" s="454"/>
      <c r="BC1521" s="169"/>
    </row>
    <row r="1522" spans="40:55">
      <c r="AN1522" s="454"/>
      <c r="BC1522" s="169"/>
    </row>
    <row r="1523" spans="40:55">
      <c r="AN1523" s="454"/>
      <c r="BC1523" s="169"/>
    </row>
    <row r="1524" spans="40:55">
      <c r="AN1524" s="454"/>
      <c r="BC1524" s="169"/>
    </row>
    <row r="1525" spans="40:55">
      <c r="AN1525" s="454"/>
      <c r="BC1525" s="169"/>
    </row>
    <row r="1526" spans="40:55">
      <c r="AN1526" s="454"/>
      <c r="BC1526" s="169"/>
    </row>
    <row r="1527" spans="40:55">
      <c r="AN1527" s="454"/>
      <c r="BC1527" s="169"/>
    </row>
    <row r="1528" spans="40:55">
      <c r="AN1528" s="454"/>
      <c r="BC1528" s="169"/>
    </row>
    <row r="1529" spans="40:55">
      <c r="AN1529" s="454"/>
      <c r="BC1529" s="169"/>
    </row>
    <row r="1530" spans="40:55">
      <c r="AN1530" s="454"/>
      <c r="BC1530" s="169"/>
    </row>
    <row r="1531" spans="40:55">
      <c r="AN1531" s="454"/>
      <c r="BC1531" s="169"/>
    </row>
    <row r="1532" spans="40:55">
      <c r="AN1532" s="454"/>
      <c r="BC1532" s="169"/>
    </row>
    <row r="1533" spans="40:55">
      <c r="AN1533" s="454"/>
      <c r="BC1533" s="169"/>
    </row>
    <row r="1534" spans="40:55">
      <c r="AN1534" s="454"/>
      <c r="BC1534" s="169"/>
    </row>
    <row r="1535" spans="40:55">
      <c r="AN1535" s="454"/>
      <c r="BC1535" s="169"/>
    </row>
    <row r="1536" spans="40:55">
      <c r="AN1536" s="454"/>
      <c r="BC1536" s="169"/>
    </row>
    <row r="1537" spans="40:55">
      <c r="AN1537" s="454"/>
      <c r="BC1537" s="169"/>
    </row>
    <row r="1538" spans="40:55">
      <c r="AN1538" s="454"/>
      <c r="BC1538" s="169"/>
    </row>
    <row r="1539" spans="40:55">
      <c r="AN1539" s="454"/>
      <c r="BC1539" s="169"/>
    </row>
    <row r="1540" spans="40:55">
      <c r="AN1540" s="454"/>
      <c r="BC1540" s="169"/>
    </row>
    <row r="1541" spans="40:55">
      <c r="AN1541" s="454"/>
      <c r="BC1541" s="169"/>
    </row>
    <row r="1542" spans="40:55">
      <c r="AN1542" s="454"/>
      <c r="BC1542" s="169"/>
    </row>
    <row r="1543" spans="40:55">
      <c r="AN1543" s="454"/>
      <c r="BC1543" s="169"/>
    </row>
    <row r="1544" spans="40:55">
      <c r="AN1544" s="454"/>
      <c r="BC1544" s="169"/>
    </row>
    <row r="1545" spans="40:55">
      <c r="AN1545" s="454"/>
      <c r="BC1545" s="169"/>
    </row>
    <row r="1546" spans="40:55">
      <c r="AN1546" s="454"/>
      <c r="BC1546" s="169"/>
    </row>
    <row r="1547" spans="40:55">
      <c r="AN1547" s="454"/>
      <c r="BC1547" s="169"/>
    </row>
    <row r="1548" spans="40:55">
      <c r="AN1548" s="454"/>
      <c r="BC1548" s="169"/>
    </row>
    <row r="1549" spans="40:55">
      <c r="AN1549" s="454"/>
      <c r="BC1549" s="169"/>
    </row>
    <row r="1550" spans="40:55">
      <c r="AN1550" s="454"/>
      <c r="BC1550" s="169"/>
    </row>
    <row r="1551" spans="40:55">
      <c r="AN1551" s="454"/>
      <c r="BC1551" s="169"/>
    </row>
    <row r="1552" spans="40:55">
      <c r="AN1552" s="454"/>
      <c r="BC1552" s="169"/>
    </row>
    <row r="1553" spans="40:55">
      <c r="AN1553" s="454"/>
      <c r="BC1553" s="169"/>
    </row>
    <row r="1554" spans="40:55">
      <c r="AN1554" s="454"/>
      <c r="BC1554" s="169"/>
    </row>
    <row r="1555" spans="40:55">
      <c r="AN1555" s="454"/>
      <c r="BC1555" s="169"/>
    </row>
    <row r="1556" spans="40:55">
      <c r="AN1556" s="454"/>
      <c r="BC1556" s="169"/>
    </row>
    <row r="1557" spans="40:55">
      <c r="AN1557" s="454"/>
      <c r="BC1557" s="169"/>
    </row>
    <row r="1558" spans="40:55">
      <c r="AN1558" s="454"/>
      <c r="BC1558" s="169"/>
    </row>
    <row r="1559" spans="40:55">
      <c r="AN1559" s="454"/>
      <c r="BC1559" s="169"/>
    </row>
    <row r="1560" spans="40:55">
      <c r="AN1560" s="454"/>
      <c r="BC1560" s="169"/>
    </row>
    <row r="1561" spans="40:55">
      <c r="AN1561" s="454"/>
      <c r="BC1561" s="169"/>
    </row>
    <row r="1562" spans="40:55">
      <c r="AN1562" s="454"/>
      <c r="BC1562" s="169"/>
    </row>
    <row r="1563" spans="40:55">
      <c r="AN1563" s="454"/>
      <c r="BC1563" s="169"/>
    </row>
    <row r="1564" spans="40:55">
      <c r="AN1564" s="454"/>
      <c r="BC1564" s="169"/>
    </row>
    <row r="1565" spans="40:55">
      <c r="AN1565" s="454"/>
      <c r="BC1565" s="169"/>
    </row>
    <row r="1566" spans="40:55">
      <c r="AN1566" s="454"/>
      <c r="BC1566" s="169"/>
    </row>
    <row r="1567" spans="40:55">
      <c r="AN1567" s="454"/>
      <c r="BC1567" s="169"/>
    </row>
    <row r="1568" spans="40:55">
      <c r="AN1568" s="454"/>
      <c r="BC1568" s="169"/>
    </row>
    <row r="1569" spans="40:55">
      <c r="AN1569" s="454"/>
      <c r="BC1569" s="169"/>
    </row>
    <row r="1570" spans="40:55">
      <c r="AN1570" s="454"/>
      <c r="BC1570" s="169"/>
    </row>
    <row r="1571" spans="40:55">
      <c r="AN1571" s="454"/>
      <c r="BC1571" s="169"/>
    </row>
    <row r="1572" spans="40:55">
      <c r="AN1572" s="454"/>
      <c r="BC1572" s="169"/>
    </row>
    <row r="1573" spans="40:55">
      <c r="AN1573" s="454"/>
      <c r="BC1573" s="169"/>
    </row>
    <row r="1574" spans="40:55">
      <c r="AN1574" s="454"/>
      <c r="BC1574" s="169"/>
    </row>
    <row r="1575" spans="40:55">
      <c r="AN1575" s="454"/>
      <c r="BC1575" s="169"/>
    </row>
    <row r="1576" spans="40:55">
      <c r="AN1576" s="454"/>
      <c r="BC1576" s="169"/>
    </row>
    <row r="1577" spans="40:55">
      <c r="AN1577" s="454"/>
      <c r="BC1577" s="169"/>
    </row>
    <row r="1578" spans="40:55">
      <c r="AN1578" s="454"/>
      <c r="BC1578" s="169"/>
    </row>
    <row r="1579" spans="40:55">
      <c r="AN1579" s="454"/>
      <c r="BC1579" s="169"/>
    </row>
    <row r="1580" spans="40:55">
      <c r="AN1580" s="454"/>
      <c r="BC1580" s="169"/>
    </row>
    <row r="1581" spans="40:55">
      <c r="AN1581" s="454"/>
      <c r="BC1581" s="169"/>
    </row>
    <row r="1582" spans="40:55">
      <c r="AN1582" s="454"/>
      <c r="BC1582" s="169"/>
    </row>
    <row r="1583" spans="40:55">
      <c r="AN1583" s="454"/>
      <c r="BC1583" s="169"/>
    </row>
    <row r="1584" spans="40:55">
      <c r="AN1584" s="454"/>
      <c r="BC1584" s="169"/>
    </row>
    <row r="1585" spans="40:55">
      <c r="AN1585" s="454"/>
      <c r="BC1585" s="169"/>
    </row>
    <row r="1586" spans="40:55">
      <c r="AN1586" s="454"/>
      <c r="BC1586" s="169"/>
    </row>
    <row r="1587" spans="40:55">
      <c r="AN1587" s="454"/>
      <c r="BC1587" s="169"/>
    </row>
    <row r="1588" spans="40:55">
      <c r="AN1588" s="454"/>
      <c r="BC1588" s="169"/>
    </row>
    <row r="1589" spans="40:55">
      <c r="AN1589" s="454"/>
      <c r="BC1589" s="169"/>
    </row>
    <row r="1590" spans="40:55">
      <c r="AN1590" s="454"/>
      <c r="BC1590" s="169"/>
    </row>
    <row r="1591" spans="40:55">
      <c r="AN1591" s="454"/>
      <c r="BC1591" s="169"/>
    </row>
    <row r="1592" spans="40:55">
      <c r="AN1592" s="454"/>
      <c r="BC1592" s="169"/>
    </row>
    <row r="1593" spans="40:55">
      <c r="AN1593" s="454"/>
      <c r="BC1593" s="169"/>
    </row>
    <row r="1594" spans="40:55">
      <c r="AN1594" s="454"/>
      <c r="BC1594" s="169"/>
    </row>
    <row r="1595" spans="40:55">
      <c r="AN1595" s="454"/>
      <c r="BC1595" s="169"/>
    </row>
    <row r="1596" spans="40:55">
      <c r="AN1596" s="454"/>
      <c r="BC1596" s="169"/>
    </row>
    <row r="1597" spans="40:55">
      <c r="AN1597" s="454"/>
      <c r="BC1597" s="169"/>
    </row>
    <row r="1598" spans="40:55">
      <c r="AN1598" s="454"/>
      <c r="BC1598" s="169"/>
    </row>
    <row r="1599" spans="40:55">
      <c r="AN1599" s="454"/>
      <c r="BC1599" s="169"/>
    </row>
    <row r="1600" spans="40:55">
      <c r="AN1600" s="454"/>
      <c r="BC1600" s="169"/>
    </row>
    <row r="1601" spans="40:55">
      <c r="AN1601" s="454"/>
      <c r="BC1601" s="169"/>
    </row>
    <row r="1602" spans="40:55">
      <c r="AN1602" s="454"/>
      <c r="BC1602" s="169"/>
    </row>
    <row r="1603" spans="40:55">
      <c r="AN1603" s="454"/>
      <c r="BC1603" s="169"/>
    </row>
    <row r="1604" spans="40:55">
      <c r="AN1604" s="454"/>
      <c r="BC1604" s="169"/>
    </row>
    <row r="1605" spans="40:55">
      <c r="AN1605" s="454"/>
      <c r="BC1605" s="169"/>
    </row>
    <row r="1606" spans="40:55">
      <c r="AN1606" s="454"/>
      <c r="BC1606" s="169"/>
    </row>
    <row r="1607" spans="40:55">
      <c r="AN1607" s="454"/>
      <c r="BC1607" s="169"/>
    </row>
    <row r="1608" spans="40:55">
      <c r="AN1608" s="454"/>
      <c r="BC1608" s="169"/>
    </row>
    <row r="1609" spans="40:55">
      <c r="AN1609" s="454"/>
      <c r="BC1609" s="169"/>
    </row>
    <row r="1610" spans="40:55">
      <c r="AN1610" s="454"/>
      <c r="BC1610" s="169"/>
    </row>
    <row r="1611" spans="40:55">
      <c r="AN1611" s="454"/>
      <c r="BC1611" s="169"/>
    </row>
    <row r="1612" spans="40:55">
      <c r="AN1612" s="454"/>
      <c r="BC1612" s="169"/>
    </row>
    <row r="1613" spans="40:55">
      <c r="AN1613" s="454"/>
      <c r="BC1613" s="169"/>
    </row>
    <row r="1614" spans="40:55">
      <c r="AN1614" s="454"/>
      <c r="BC1614" s="169"/>
    </row>
    <row r="1615" spans="40:55">
      <c r="AN1615" s="454"/>
      <c r="BC1615" s="169"/>
    </row>
    <row r="1616" spans="40:55">
      <c r="AN1616" s="454"/>
      <c r="BC1616" s="169"/>
    </row>
    <row r="1617" spans="40:55">
      <c r="AN1617" s="454"/>
      <c r="BC1617" s="169"/>
    </row>
    <row r="1618" spans="40:55">
      <c r="AN1618" s="454"/>
      <c r="BC1618" s="169"/>
    </row>
    <row r="1619" spans="40:55">
      <c r="AN1619" s="454"/>
      <c r="BC1619" s="169"/>
    </row>
    <row r="1620" spans="40:55">
      <c r="AN1620" s="454"/>
      <c r="BC1620" s="169"/>
    </row>
    <row r="1621" spans="40:55">
      <c r="AN1621" s="454"/>
      <c r="BC1621" s="169"/>
    </row>
    <row r="1622" spans="40:55">
      <c r="AN1622" s="454"/>
      <c r="BC1622" s="169"/>
    </row>
    <row r="1623" spans="40:55">
      <c r="AN1623" s="454"/>
      <c r="BC1623" s="169"/>
    </row>
    <row r="1624" spans="40:55">
      <c r="AN1624" s="454"/>
      <c r="BC1624" s="169"/>
    </row>
    <row r="1625" spans="40:55">
      <c r="AN1625" s="454"/>
      <c r="BC1625" s="169"/>
    </row>
    <row r="1626" spans="40:55">
      <c r="AN1626" s="454"/>
      <c r="BC1626" s="169"/>
    </row>
    <row r="1627" spans="40:55">
      <c r="AN1627" s="454"/>
      <c r="BC1627" s="169"/>
    </row>
    <row r="1628" spans="40:55">
      <c r="AN1628" s="454"/>
      <c r="BC1628" s="169"/>
    </row>
    <row r="1629" spans="40:55">
      <c r="AN1629" s="454"/>
      <c r="BC1629" s="169"/>
    </row>
    <row r="1630" spans="40:55">
      <c r="AN1630" s="454"/>
      <c r="BC1630" s="169"/>
    </row>
    <row r="1631" spans="40:55">
      <c r="AN1631" s="454"/>
      <c r="BC1631" s="169"/>
    </row>
    <row r="1632" spans="40:55">
      <c r="AN1632" s="454"/>
      <c r="BC1632" s="169"/>
    </row>
    <row r="1633" spans="40:55">
      <c r="AN1633" s="454"/>
      <c r="BC1633" s="169"/>
    </row>
    <row r="1634" spans="40:55">
      <c r="AN1634" s="454"/>
      <c r="BC1634" s="169"/>
    </row>
    <row r="1635" spans="40:55">
      <c r="AN1635" s="454"/>
      <c r="BC1635" s="169"/>
    </row>
    <row r="1636" spans="40:55">
      <c r="AN1636" s="454"/>
      <c r="BC1636" s="169"/>
    </row>
    <row r="1637" spans="40:55">
      <c r="AN1637" s="454"/>
      <c r="BC1637" s="169"/>
    </row>
    <row r="1638" spans="40:55">
      <c r="AN1638" s="454"/>
      <c r="BC1638" s="169"/>
    </row>
    <row r="1639" spans="40:55">
      <c r="AN1639" s="454"/>
      <c r="BC1639" s="169"/>
    </row>
    <row r="1640" spans="40:55">
      <c r="AN1640" s="454"/>
      <c r="BC1640" s="169"/>
    </row>
    <row r="1641" spans="40:55">
      <c r="AN1641" s="454"/>
      <c r="BC1641" s="169"/>
    </row>
    <row r="1642" spans="40:55">
      <c r="AN1642" s="454"/>
      <c r="BC1642" s="169"/>
    </row>
    <row r="1643" spans="40:55">
      <c r="AN1643" s="454"/>
      <c r="BC1643" s="169"/>
    </row>
    <row r="1644" spans="40:55">
      <c r="AN1644" s="454"/>
      <c r="BC1644" s="169"/>
    </row>
    <row r="1645" spans="40:55">
      <c r="AN1645" s="454"/>
      <c r="BC1645" s="169"/>
    </row>
    <row r="1646" spans="40:55">
      <c r="AN1646" s="454"/>
      <c r="BC1646" s="169"/>
    </row>
    <row r="1647" spans="40:55">
      <c r="AN1647" s="454"/>
      <c r="BC1647" s="169"/>
    </row>
    <row r="1648" spans="40:55">
      <c r="AN1648" s="454"/>
      <c r="BC1648" s="169"/>
    </row>
    <row r="1649" spans="40:55">
      <c r="AN1649" s="454"/>
      <c r="BC1649" s="169"/>
    </row>
    <row r="1650" spans="40:55">
      <c r="AN1650" s="454"/>
      <c r="BC1650" s="169"/>
    </row>
    <row r="1651" spans="40:55">
      <c r="AN1651" s="454"/>
      <c r="BC1651" s="169"/>
    </row>
    <row r="1652" spans="40:55">
      <c r="AN1652" s="454"/>
      <c r="BC1652" s="169"/>
    </row>
    <row r="1653" spans="40:55">
      <c r="AN1653" s="454"/>
      <c r="BC1653" s="169"/>
    </row>
    <row r="1654" spans="40:55">
      <c r="AN1654" s="454"/>
      <c r="BC1654" s="169"/>
    </row>
    <row r="1655" spans="40:55">
      <c r="AN1655" s="454"/>
      <c r="BC1655" s="169"/>
    </row>
    <row r="1656" spans="40:55">
      <c r="AN1656" s="454"/>
      <c r="BC1656" s="169"/>
    </row>
    <row r="1657" spans="40:55">
      <c r="AN1657" s="454"/>
      <c r="BC1657" s="169"/>
    </row>
    <row r="1658" spans="40:55">
      <c r="AN1658" s="454"/>
      <c r="BC1658" s="169"/>
    </row>
    <row r="1659" spans="40:55">
      <c r="AN1659" s="454"/>
      <c r="BC1659" s="169"/>
    </row>
    <row r="1660" spans="40:55">
      <c r="AN1660" s="454"/>
      <c r="BC1660" s="169"/>
    </row>
    <row r="1661" spans="40:55">
      <c r="AN1661" s="454"/>
      <c r="BC1661" s="169"/>
    </row>
    <row r="1662" spans="40:55">
      <c r="AN1662" s="454"/>
      <c r="BC1662" s="169"/>
    </row>
    <row r="1663" spans="40:55">
      <c r="AN1663" s="454"/>
      <c r="BC1663" s="169"/>
    </row>
    <row r="1664" spans="40:55">
      <c r="AN1664" s="454"/>
      <c r="BC1664" s="169"/>
    </row>
    <row r="1665" spans="40:55">
      <c r="AN1665" s="454"/>
      <c r="BC1665" s="169"/>
    </row>
    <row r="1666" spans="40:55">
      <c r="AN1666" s="454"/>
      <c r="BC1666" s="169"/>
    </row>
    <row r="1667" spans="40:55">
      <c r="AN1667" s="454"/>
      <c r="BC1667" s="169"/>
    </row>
    <row r="1668" spans="40:55">
      <c r="AN1668" s="454"/>
      <c r="BC1668" s="169"/>
    </row>
    <row r="1669" spans="40:55">
      <c r="AN1669" s="454"/>
      <c r="BC1669" s="169"/>
    </row>
    <row r="1670" spans="40:55">
      <c r="AN1670" s="454"/>
      <c r="BC1670" s="169"/>
    </row>
    <row r="1671" spans="40:55">
      <c r="AN1671" s="454"/>
      <c r="BC1671" s="169"/>
    </row>
    <row r="1672" spans="40:55">
      <c r="AN1672" s="454"/>
      <c r="BC1672" s="169"/>
    </row>
    <row r="1673" spans="40:55">
      <c r="AN1673" s="454"/>
      <c r="BC1673" s="169"/>
    </row>
    <row r="1674" spans="40:55">
      <c r="AN1674" s="454"/>
      <c r="BC1674" s="169"/>
    </row>
    <row r="1675" spans="40:55">
      <c r="AN1675" s="454"/>
      <c r="BC1675" s="169"/>
    </row>
    <row r="1676" spans="40:55">
      <c r="AN1676" s="454"/>
      <c r="BC1676" s="169"/>
    </row>
    <row r="1677" spans="40:55">
      <c r="AN1677" s="454"/>
      <c r="BC1677" s="169"/>
    </row>
    <row r="1678" spans="40:55">
      <c r="AN1678" s="454"/>
      <c r="BC1678" s="169"/>
    </row>
    <row r="1679" spans="40:55">
      <c r="AN1679" s="454"/>
      <c r="BC1679" s="169"/>
    </row>
    <row r="1680" spans="40:55">
      <c r="AN1680" s="454"/>
      <c r="BC1680" s="169"/>
    </row>
    <row r="1681" spans="40:55">
      <c r="AN1681" s="454"/>
      <c r="BC1681" s="169"/>
    </row>
    <row r="1682" spans="40:55">
      <c r="AN1682" s="454"/>
      <c r="BC1682" s="169"/>
    </row>
    <row r="1683" spans="40:55">
      <c r="AN1683" s="454"/>
      <c r="BC1683" s="169"/>
    </row>
    <row r="1684" spans="40:55">
      <c r="AN1684" s="454"/>
      <c r="BC1684" s="169"/>
    </row>
    <row r="1685" spans="40:55">
      <c r="AN1685" s="454"/>
      <c r="BC1685" s="169"/>
    </row>
    <row r="1686" spans="40:55">
      <c r="AN1686" s="454"/>
      <c r="BC1686" s="169"/>
    </row>
    <row r="1687" spans="40:55">
      <c r="AN1687" s="454"/>
      <c r="BC1687" s="169"/>
    </row>
    <row r="1688" spans="40:55">
      <c r="AN1688" s="454"/>
      <c r="BC1688" s="169"/>
    </row>
    <row r="1689" spans="40:55">
      <c r="AN1689" s="454"/>
      <c r="BC1689" s="169"/>
    </row>
    <row r="1690" spans="40:55">
      <c r="AN1690" s="454"/>
      <c r="BC1690" s="169"/>
    </row>
    <row r="1691" spans="40:55">
      <c r="AN1691" s="454"/>
      <c r="BC1691" s="169"/>
    </row>
    <row r="1692" spans="40:55">
      <c r="AN1692" s="454"/>
      <c r="BC1692" s="169"/>
    </row>
    <row r="1693" spans="40:55">
      <c r="AN1693" s="454"/>
      <c r="BC1693" s="169"/>
    </row>
    <row r="1694" spans="40:55">
      <c r="AN1694" s="454"/>
      <c r="BC1694" s="169"/>
    </row>
    <row r="1695" spans="40:55">
      <c r="AN1695" s="454"/>
      <c r="BC1695" s="169"/>
    </row>
    <row r="1696" spans="40:55">
      <c r="AN1696" s="454"/>
      <c r="BC1696" s="169"/>
    </row>
    <row r="1697" spans="40:55">
      <c r="AN1697" s="454"/>
      <c r="BC1697" s="169"/>
    </row>
    <row r="1698" spans="40:55">
      <c r="AN1698" s="454"/>
      <c r="BC1698" s="169"/>
    </row>
    <row r="1699" spans="40:55">
      <c r="AN1699" s="454"/>
      <c r="BC1699" s="169"/>
    </row>
    <row r="1700" spans="40:55">
      <c r="AN1700" s="454"/>
      <c r="BC1700" s="169"/>
    </row>
    <row r="1701" spans="40:55">
      <c r="AN1701" s="454"/>
      <c r="BC1701" s="169"/>
    </row>
    <row r="1702" spans="40:55">
      <c r="AN1702" s="454"/>
      <c r="BC1702" s="169"/>
    </row>
    <row r="1703" spans="40:55">
      <c r="AN1703" s="454"/>
      <c r="BC1703" s="169"/>
    </row>
    <row r="1704" spans="40:55">
      <c r="AN1704" s="454"/>
      <c r="BC1704" s="169"/>
    </row>
    <row r="1705" spans="40:55">
      <c r="AN1705" s="454"/>
      <c r="BC1705" s="169"/>
    </row>
    <row r="1706" spans="40:55">
      <c r="AN1706" s="454"/>
      <c r="BC1706" s="169"/>
    </row>
    <row r="1707" spans="40:55">
      <c r="AN1707" s="454"/>
      <c r="BC1707" s="169"/>
    </row>
    <row r="1708" spans="40:55">
      <c r="AN1708" s="454"/>
      <c r="BC1708" s="169"/>
    </row>
    <row r="1709" spans="40:55">
      <c r="AN1709" s="454"/>
      <c r="BC1709" s="169"/>
    </row>
    <row r="1710" spans="40:55">
      <c r="AN1710" s="454"/>
      <c r="BC1710" s="169"/>
    </row>
    <row r="1711" spans="40:55">
      <c r="AN1711" s="454"/>
      <c r="BC1711" s="169"/>
    </row>
    <row r="1712" spans="40:55">
      <c r="AN1712" s="454"/>
      <c r="BC1712" s="169"/>
    </row>
    <row r="1713" spans="40:55">
      <c r="AN1713" s="454"/>
      <c r="BC1713" s="169"/>
    </row>
    <row r="1714" spans="40:55">
      <c r="AN1714" s="454"/>
      <c r="BC1714" s="169"/>
    </row>
    <row r="1715" spans="40:55">
      <c r="AN1715" s="454"/>
      <c r="BC1715" s="169"/>
    </row>
    <row r="1716" spans="40:55">
      <c r="AN1716" s="454"/>
      <c r="BC1716" s="169"/>
    </row>
    <row r="1717" spans="40:55">
      <c r="AN1717" s="454"/>
      <c r="BC1717" s="169"/>
    </row>
    <row r="1718" spans="40:55">
      <c r="AN1718" s="454"/>
      <c r="BC1718" s="169"/>
    </row>
    <row r="1719" spans="40:55">
      <c r="AN1719" s="454"/>
      <c r="BC1719" s="169"/>
    </row>
    <row r="1720" spans="40:55">
      <c r="AN1720" s="454"/>
      <c r="BC1720" s="169"/>
    </row>
    <row r="1721" spans="40:55">
      <c r="AN1721" s="454"/>
      <c r="BC1721" s="169"/>
    </row>
    <row r="1722" spans="40:55">
      <c r="AN1722" s="454"/>
      <c r="BC1722" s="169"/>
    </row>
    <row r="1723" spans="40:55">
      <c r="AN1723" s="454"/>
      <c r="BC1723" s="169"/>
    </row>
    <row r="1724" spans="40:55">
      <c r="AN1724" s="454"/>
      <c r="BC1724" s="169"/>
    </row>
    <row r="1725" spans="40:55">
      <c r="AN1725" s="454"/>
      <c r="BC1725" s="169"/>
    </row>
    <row r="1726" spans="40:55">
      <c r="AN1726" s="454"/>
      <c r="BC1726" s="169"/>
    </row>
    <row r="1727" spans="40:55">
      <c r="AN1727" s="454"/>
      <c r="BC1727" s="169"/>
    </row>
    <row r="1728" spans="40:55">
      <c r="AN1728" s="454"/>
      <c r="BC1728" s="169"/>
    </row>
    <row r="1729" spans="40:55">
      <c r="AN1729" s="454"/>
      <c r="BC1729" s="169"/>
    </row>
    <row r="1730" spans="40:55">
      <c r="AN1730" s="454"/>
      <c r="BC1730" s="169"/>
    </row>
    <row r="1731" spans="40:55">
      <c r="AN1731" s="454"/>
      <c r="BC1731" s="169"/>
    </row>
    <row r="1732" spans="40:55">
      <c r="AN1732" s="454"/>
      <c r="BC1732" s="169"/>
    </row>
    <row r="1733" spans="40:55">
      <c r="AN1733" s="454"/>
      <c r="BC1733" s="169"/>
    </row>
    <row r="1734" spans="40:55">
      <c r="AN1734" s="454"/>
      <c r="BC1734" s="169"/>
    </row>
    <row r="1735" spans="40:55">
      <c r="AN1735" s="454"/>
      <c r="BC1735" s="169"/>
    </row>
    <row r="1736" spans="40:55">
      <c r="AN1736" s="454"/>
      <c r="BC1736" s="169"/>
    </row>
    <row r="1737" spans="40:55">
      <c r="AN1737" s="454"/>
      <c r="BC1737" s="169"/>
    </row>
    <row r="1738" spans="40:55">
      <c r="AN1738" s="454"/>
      <c r="BC1738" s="169"/>
    </row>
    <row r="1739" spans="40:55">
      <c r="AN1739" s="454"/>
      <c r="BC1739" s="169"/>
    </row>
    <row r="1740" spans="40:55">
      <c r="AN1740" s="454"/>
      <c r="BC1740" s="169"/>
    </row>
    <row r="1741" spans="40:55">
      <c r="AN1741" s="454"/>
      <c r="BC1741" s="169"/>
    </row>
    <row r="1742" spans="40:55">
      <c r="AN1742" s="454"/>
      <c r="BC1742" s="169"/>
    </row>
    <row r="1743" spans="40:55">
      <c r="AN1743" s="454"/>
      <c r="BC1743" s="169"/>
    </row>
    <row r="1744" spans="40:55">
      <c r="AN1744" s="454"/>
      <c r="BC1744" s="169"/>
    </row>
    <row r="1745" spans="40:55">
      <c r="AN1745" s="454"/>
      <c r="BC1745" s="169"/>
    </row>
    <row r="1746" spans="40:55">
      <c r="AN1746" s="454"/>
      <c r="BC1746" s="169"/>
    </row>
    <row r="1747" spans="40:55">
      <c r="AN1747" s="454"/>
      <c r="BC1747" s="169"/>
    </row>
    <row r="1748" spans="40:55">
      <c r="AN1748" s="454"/>
      <c r="BC1748" s="169"/>
    </row>
    <row r="1749" spans="40:55">
      <c r="AN1749" s="454"/>
      <c r="BC1749" s="169"/>
    </row>
    <row r="1750" spans="40:55">
      <c r="AN1750" s="454"/>
      <c r="BC1750" s="169"/>
    </row>
    <row r="1751" spans="40:55">
      <c r="AN1751" s="454"/>
      <c r="BC1751" s="169"/>
    </row>
    <row r="1752" spans="40:55">
      <c r="AN1752" s="454"/>
      <c r="BC1752" s="169"/>
    </row>
    <row r="1753" spans="40:55">
      <c r="AN1753" s="454"/>
      <c r="BC1753" s="169"/>
    </row>
    <row r="1754" spans="40:55">
      <c r="AN1754" s="454"/>
      <c r="BC1754" s="169"/>
    </row>
    <row r="1755" spans="40:55">
      <c r="AN1755" s="454"/>
      <c r="BC1755" s="169"/>
    </row>
    <row r="1756" spans="40:55">
      <c r="AN1756" s="454"/>
      <c r="BC1756" s="169"/>
    </row>
    <row r="1757" spans="40:55">
      <c r="AN1757" s="454"/>
      <c r="BC1757" s="169"/>
    </row>
    <row r="1758" spans="40:55">
      <c r="AN1758" s="454"/>
      <c r="BC1758" s="169"/>
    </row>
    <row r="1759" spans="40:55">
      <c r="AN1759" s="454"/>
      <c r="BC1759" s="169"/>
    </row>
    <row r="1760" spans="40:55">
      <c r="AN1760" s="454"/>
      <c r="BC1760" s="169"/>
    </row>
    <row r="1761" spans="40:55">
      <c r="AN1761" s="454"/>
      <c r="BC1761" s="169"/>
    </row>
    <row r="1762" spans="40:55">
      <c r="AN1762" s="454"/>
      <c r="BC1762" s="169"/>
    </row>
    <row r="1763" spans="40:55">
      <c r="AN1763" s="454"/>
      <c r="BC1763" s="169"/>
    </row>
    <row r="1764" spans="40:55">
      <c r="AN1764" s="454"/>
      <c r="BC1764" s="169"/>
    </row>
    <row r="1765" spans="40:55">
      <c r="AN1765" s="454"/>
      <c r="BC1765" s="169"/>
    </row>
    <row r="1766" spans="40:55">
      <c r="AN1766" s="454"/>
      <c r="BC1766" s="169"/>
    </row>
    <row r="1767" spans="40:55">
      <c r="AN1767" s="454"/>
      <c r="BC1767" s="169"/>
    </row>
    <row r="1768" spans="40:55">
      <c r="AN1768" s="454"/>
      <c r="BC1768" s="169"/>
    </row>
    <row r="1769" spans="40:55">
      <c r="AN1769" s="454"/>
      <c r="BC1769" s="169"/>
    </row>
    <row r="1770" spans="40:55">
      <c r="AN1770" s="454"/>
      <c r="BC1770" s="169"/>
    </row>
    <row r="1771" spans="40:55">
      <c r="AN1771" s="454"/>
      <c r="BC1771" s="169"/>
    </row>
    <row r="1772" spans="40:55">
      <c r="AN1772" s="454"/>
      <c r="BC1772" s="169"/>
    </row>
    <row r="1773" spans="40:55">
      <c r="AN1773" s="454"/>
      <c r="BC1773" s="169"/>
    </row>
    <row r="1774" spans="40:55">
      <c r="AN1774" s="454"/>
      <c r="BC1774" s="169"/>
    </row>
    <row r="1775" spans="40:55">
      <c r="AN1775" s="454"/>
      <c r="BC1775" s="169"/>
    </row>
    <row r="1776" spans="40:55">
      <c r="AN1776" s="454"/>
      <c r="BC1776" s="169"/>
    </row>
    <row r="1777" spans="40:55">
      <c r="AN1777" s="454"/>
      <c r="BC1777" s="169"/>
    </row>
    <row r="1778" spans="40:55">
      <c r="AN1778" s="454"/>
      <c r="BC1778" s="169"/>
    </row>
    <row r="1779" spans="40:55">
      <c r="AN1779" s="454"/>
      <c r="BC1779" s="169"/>
    </row>
    <row r="1780" spans="40:55">
      <c r="AN1780" s="454"/>
      <c r="BC1780" s="169"/>
    </row>
    <row r="1781" spans="40:55">
      <c r="AN1781" s="454"/>
      <c r="BC1781" s="169"/>
    </row>
    <row r="1782" spans="40:55">
      <c r="AN1782" s="454"/>
      <c r="BC1782" s="169"/>
    </row>
    <row r="1783" spans="40:55">
      <c r="AN1783" s="454"/>
      <c r="BC1783" s="169"/>
    </row>
    <row r="1784" spans="40:55">
      <c r="AN1784" s="454"/>
      <c r="BC1784" s="169"/>
    </row>
    <row r="1785" spans="40:55">
      <c r="AN1785" s="454"/>
      <c r="BC1785" s="169"/>
    </row>
    <row r="1786" spans="40:55">
      <c r="AN1786" s="454"/>
      <c r="BC1786" s="169"/>
    </row>
    <row r="1787" spans="40:55">
      <c r="AN1787" s="454"/>
      <c r="BC1787" s="169"/>
    </row>
    <row r="1788" spans="40:55">
      <c r="AN1788" s="454"/>
      <c r="BC1788" s="169"/>
    </row>
    <row r="1789" spans="40:55">
      <c r="AN1789" s="454"/>
      <c r="BC1789" s="169"/>
    </row>
    <row r="1790" spans="40:55">
      <c r="AN1790" s="454"/>
      <c r="BC1790" s="169"/>
    </row>
    <row r="1791" spans="40:55">
      <c r="AN1791" s="454"/>
      <c r="BC1791" s="169"/>
    </row>
    <row r="1792" spans="40:55">
      <c r="AN1792" s="454"/>
      <c r="BC1792" s="169"/>
    </row>
    <row r="1793" spans="40:55">
      <c r="AN1793" s="454"/>
      <c r="BC1793" s="169"/>
    </row>
    <row r="1794" spans="40:55">
      <c r="AN1794" s="454"/>
      <c r="BC1794" s="169"/>
    </row>
    <row r="1795" spans="40:55">
      <c r="AN1795" s="454"/>
      <c r="BC1795" s="169"/>
    </row>
    <row r="1796" spans="40:55">
      <c r="AN1796" s="454"/>
      <c r="BC1796" s="169"/>
    </row>
    <row r="1797" spans="40:55">
      <c r="AN1797" s="454"/>
      <c r="BC1797" s="169"/>
    </row>
    <row r="1798" spans="40:55">
      <c r="AN1798" s="454"/>
      <c r="BC1798" s="169"/>
    </row>
    <row r="1799" spans="40:55">
      <c r="AN1799" s="454"/>
      <c r="BC1799" s="169"/>
    </row>
    <row r="1800" spans="40:55">
      <c r="AN1800" s="454"/>
      <c r="BC1800" s="169"/>
    </row>
    <row r="1801" spans="40:55">
      <c r="AN1801" s="454"/>
      <c r="BC1801" s="169"/>
    </row>
    <row r="1802" spans="40:55">
      <c r="AN1802" s="454"/>
      <c r="BC1802" s="169"/>
    </row>
    <row r="1803" spans="40:55">
      <c r="AN1803" s="454"/>
      <c r="BC1803" s="169"/>
    </row>
    <row r="1804" spans="40:55">
      <c r="AN1804" s="454"/>
      <c r="BC1804" s="169"/>
    </row>
    <row r="1805" spans="40:55">
      <c r="AN1805" s="454"/>
      <c r="BC1805" s="169"/>
    </row>
    <row r="1806" spans="40:55">
      <c r="AN1806" s="454"/>
      <c r="BC1806" s="169"/>
    </row>
    <row r="1807" spans="40:55">
      <c r="AN1807" s="454"/>
      <c r="BC1807" s="169"/>
    </row>
    <row r="1808" spans="40:55">
      <c r="AN1808" s="454"/>
      <c r="BC1808" s="169"/>
    </row>
    <row r="1809" spans="40:55">
      <c r="AN1809" s="454"/>
      <c r="BC1809" s="169"/>
    </row>
    <row r="1810" spans="40:55">
      <c r="AN1810" s="454"/>
      <c r="BC1810" s="169"/>
    </row>
    <row r="1811" spans="40:55">
      <c r="AN1811" s="454"/>
      <c r="BC1811" s="169"/>
    </row>
    <row r="1812" spans="40:55">
      <c r="AN1812" s="454"/>
      <c r="BC1812" s="169"/>
    </row>
    <row r="1813" spans="40:55">
      <c r="AN1813" s="454"/>
      <c r="BC1813" s="169"/>
    </row>
    <row r="1814" spans="40:55">
      <c r="AN1814" s="454"/>
      <c r="BC1814" s="169"/>
    </row>
    <row r="1815" spans="40:55">
      <c r="AN1815" s="454"/>
      <c r="BC1815" s="169"/>
    </row>
    <row r="1816" spans="40:55">
      <c r="AN1816" s="454"/>
      <c r="BC1816" s="169"/>
    </row>
    <row r="1817" spans="40:55">
      <c r="AN1817" s="454"/>
      <c r="BC1817" s="169"/>
    </row>
    <row r="1818" spans="40:55">
      <c r="AN1818" s="454"/>
      <c r="BC1818" s="169"/>
    </row>
    <row r="1819" spans="40:55">
      <c r="AN1819" s="454"/>
      <c r="BC1819" s="169"/>
    </row>
    <row r="1820" spans="40:55">
      <c r="AN1820" s="454"/>
      <c r="BC1820" s="169"/>
    </row>
    <row r="1821" spans="40:55">
      <c r="AN1821" s="454"/>
      <c r="BC1821" s="169"/>
    </row>
    <row r="1822" spans="40:55">
      <c r="AN1822" s="454"/>
      <c r="BC1822" s="169"/>
    </row>
    <row r="1823" spans="40:55">
      <c r="AN1823" s="454"/>
      <c r="BC1823" s="169"/>
    </row>
    <row r="1824" spans="40:55">
      <c r="AN1824" s="454"/>
      <c r="BC1824" s="169"/>
    </row>
    <row r="1825" spans="40:55">
      <c r="AN1825" s="454"/>
      <c r="BC1825" s="169"/>
    </row>
    <row r="1826" spans="40:55">
      <c r="AN1826" s="454"/>
      <c r="BC1826" s="169"/>
    </row>
    <row r="1827" spans="40:55">
      <c r="AN1827" s="454"/>
      <c r="BC1827" s="169"/>
    </row>
    <row r="1828" spans="40:55">
      <c r="AN1828" s="454"/>
      <c r="BC1828" s="169"/>
    </row>
    <row r="1829" spans="40:55">
      <c r="AN1829" s="454"/>
      <c r="BC1829" s="169"/>
    </row>
    <row r="1830" spans="40:55">
      <c r="AN1830" s="454"/>
      <c r="BC1830" s="169"/>
    </row>
    <row r="1831" spans="40:55">
      <c r="AN1831" s="454"/>
      <c r="BC1831" s="169"/>
    </row>
    <row r="1832" spans="40:55">
      <c r="AN1832" s="454"/>
      <c r="BC1832" s="169"/>
    </row>
    <row r="1833" spans="40:55">
      <c r="AN1833" s="454"/>
      <c r="BC1833" s="169"/>
    </row>
    <row r="1834" spans="40:55">
      <c r="AN1834" s="454"/>
      <c r="BC1834" s="169"/>
    </row>
    <row r="1835" spans="40:55">
      <c r="AN1835" s="454"/>
      <c r="BC1835" s="169"/>
    </row>
    <row r="1836" spans="40:55">
      <c r="AN1836" s="454"/>
      <c r="BC1836" s="169"/>
    </row>
    <row r="1837" spans="40:55">
      <c r="AN1837" s="454"/>
      <c r="BC1837" s="169"/>
    </row>
    <row r="1838" spans="40:55">
      <c r="AN1838" s="454"/>
      <c r="BC1838" s="169"/>
    </row>
    <row r="1839" spans="40:55">
      <c r="AN1839" s="454"/>
      <c r="BC1839" s="169"/>
    </row>
    <row r="1840" spans="40:55">
      <c r="AN1840" s="454"/>
      <c r="BC1840" s="169"/>
    </row>
    <row r="1841" spans="40:55">
      <c r="AN1841" s="454"/>
      <c r="BC1841" s="169"/>
    </row>
    <row r="1842" spans="40:55">
      <c r="AN1842" s="454"/>
      <c r="BC1842" s="169"/>
    </row>
    <row r="1843" spans="40:55">
      <c r="AN1843" s="454"/>
      <c r="BC1843" s="169"/>
    </row>
    <row r="1844" spans="40:55">
      <c r="AN1844" s="454"/>
      <c r="BC1844" s="169"/>
    </row>
    <row r="1845" spans="40:55">
      <c r="AN1845" s="454"/>
      <c r="BC1845" s="169"/>
    </row>
    <row r="1846" spans="40:55">
      <c r="AN1846" s="454"/>
      <c r="BC1846" s="169"/>
    </row>
    <row r="1847" spans="40:55">
      <c r="AN1847" s="454"/>
      <c r="BC1847" s="169"/>
    </row>
    <row r="1848" spans="40:55">
      <c r="AN1848" s="454"/>
      <c r="BC1848" s="169"/>
    </row>
    <row r="1849" spans="40:55">
      <c r="AN1849" s="454"/>
      <c r="BC1849" s="169"/>
    </row>
    <row r="1850" spans="40:55">
      <c r="AN1850" s="454"/>
      <c r="BC1850" s="169"/>
    </row>
    <row r="1851" spans="40:55">
      <c r="AN1851" s="454"/>
      <c r="BC1851" s="169"/>
    </row>
    <row r="1852" spans="40:55">
      <c r="AN1852" s="454"/>
      <c r="BC1852" s="169"/>
    </row>
    <row r="1853" spans="40:55">
      <c r="AN1853" s="454"/>
      <c r="BC1853" s="169"/>
    </row>
    <row r="1854" spans="40:55">
      <c r="AN1854" s="454"/>
      <c r="BC1854" s="169"/>
    </row>
    <row r="1855" spans="40:55">
      <c r="AN1855" s="454"/>
      <c r="BC1855" s="169"/>
    </row>
    <row r="1856" spans="40:55">
      <c r="AN1856" s="454"/>
      <c r="BC1856" s="169"/>
    </row>
    <row r="1857" spans="40:55">
      <c r="AN1857" s="454"/>
      <c r="BC1857" s="169"/>
    </row>
    <row r="1858" spans="40:55">
      <c r="AN1858" s="454"/>
      <c r="BC1858" s="169"/>
    </row>
    <row r="1859" spans="40:55">
      <c r="AN1859" s="454"/>
      <c r="BC1859" s="169"/>
    </row>
    <row r="1860" spans="40:55">
      <c r="AN1860" s="454"/>
      <c r="BC1860" s="169"/>
    </row>
    <row r="1861" spans="40:55">
      <c r="AN1861" s="454"/>
      <c r="BC1861" s="169"/>
    </row>
    <row r="1862" spans="40:55">
      <c r="AN1862" s="454"/>
      <c r="BC1862" s="169"/>
    </row>
    <row r="1863" spans="40:55">
      <c r="AN1863" s="454"/>
      <c r="BC1863" s="169"/>
    </row>
    <row r="1864" spans="40:55">
      <c r="AN1864" s="454"/>
      <c r="BC1864" s="169"/>
    </row>
    <row r="1865" spans="40:55">
      <c r="AN1865" s="454"/>
      <c r="BC1865" s="169"/>
    </row>
    <row r="1866" spans="40:55">
      <c r="AN1866" s="454"/>
      <c r="BC1866" s="169"/>
    </row>
    <row r="1867" spans="40:55">
      <c r="AN1867" s="454"/>
      <c r="BC1867" s="169"/>
    </row>
    <row r="1868" spans="40:55">
      <c r="AN1868" s="454"/>
      <c r="BC1868" s="169"/>
    </row>
    <row r="1869" spans="40:55">
      <c r="AN1869" s="454"/>
      <c r="BC1869" s="169"/>
    </row>
    <row r="1870" spans="40:55">
      <c r="AN1870" s="454"/>
      <c r="BC1870" s="169"/>
    </row>
    <row r="1871" spans="40:55">
      <c r="AN1871" s="454"/>
      <c r="BC1871" s="169"/>
    </row>
    <row r="1872" spans="40:55">
      <c r="AN1872" s="454"/>
      <c r="BC1872" s="169"/>
    </row>
    <row r="1873" spans="40:55">
      <c r="AN1873" s="454"/>
      <c r="BC1873" s="169"/>
    </row>
    <row r="1874" spans="40:55">
      <c r="AN1874" s="454"/>
      <c r="BC1874" s="169"/>
    </row>
    <row r="1875" spans="40:55">
      <c r="AN1875" s="454"/>
      <c r="BC1875" s="169"/>
    </row>
    <row r="1876" spans="40:55">
      <c r="AN1876" s="454"/>
      <c r="BC1876" s="169"/>
    </row>
    <row r="1877" spans="40:55">
      <c r="AN1877" s="454"/>
      <c r="BC1877" s="169"/>
    </row>
    <row r="1878" spans="40:55">
      <c r="AN1878" s="454"/>
      <c r="BC1878" s="169"/>
    </row>
    <row r="1879" spans="40:55">
      <c r="AN1879" s="454"/>
      <c r="BC1879" s="169"/>
    </row>
    <row r="1880" spans="40:55">
      <c r="AN1880" s="454"/>
      <c r="BC1880" s="169"/>
    </row>
    <row r="1881" spans="40:55">
      <c r="AN1881" s="454"/>
      <c r="BC1881" s="169"/>
    </row>
    <row r="1882" spans="40:55">
      <c r="AN1882" s="454"/>
      <c r="BC1882" s="169"/>
    </row>
    <row r="1883" spans="40:55">
      <c r="AN1883" s="454"/>
      <c r="BC1883" s="169"/>
    </row>
    <row r="1884" spans="40:55">
      <c r="AN1884" s="454"/>
      <c r="BC1884" s="169"/>
    </row>
    <row r="1885" spans="40:55">
      <c r="AN1885" s="454"/>
      <c r="BC1885" s="169"/>
    </row>
    <row r="1886" spans="40:55">
      <c r="AN1886" s="454"/>
      <c r="BC1886" s="169"/>
    </row>
    <row r="1887" spans="40:55">
      <c r="AN1887" s="454"/>
      <c r="BC1887" s="169"/>
    </row>
    <row r="1888" spans="40:55">
      <c r="AN1888" s="454"/>
      <c r="BC1888" s="169"/>
    </row>
    <row r="1889" spans="40:55">
      <c r="AN1889" s="454"/>
      <c r="BC1889" s="169"/>
    </row>
    <row r="1890" spans="40:55">
      <c r="AN1890" s="454"/>
      <c r="BC1890" s="169"/>
    </row>
    <row r="1891" spans="40:55">
      <c r="AN1891" s="454"/>
      <c r="BC1891" s="169"/>
    </row>
    <row r="1892" spans="40:55">
      <c r="AN1892" s="454"/>
      <c r="BC1892" s="169"/>
    </row>
    <row r="1893" spans="40:55">
      <c r="AN1893" s="454"/>
      <c r="BC1893" s="169"/>
    </row>
    <row r="1894" spans="40:55">
      <c r="AN1894" s="454"/>
      <c r="BC1894" s="169"/>
    </row>
    <row r="1895" spans="40:55">
      <c r="AN1895" s="454"/>
      <c r="BC1895" s="169"/>
    </row>
    <row r="1896" spans="40:55">
      <c r="AN1896" s="454"/>
      <c r="BC1896" s="169"/>
    </row>
    <row r="1897" spans="40:55">
      <c r="AN1897" s="454"/>
      <c r="BC1897" s="169"/>
    </row>
    <row r="1898" spans="40:55">
      <c r="AN1898" s="454"/>
      <c r="BC1898" s="169"/>
    </row>
    <row r="1899" spans="40:55">
      <c r="AN1899" s="454"/>
      <c r="BC1899" s="169"/>
    </row>
    <row r="1900" spans="40:55">
      <c r="AN1900" s="454"/>
      <c r="BC1900" s="169"/>
    </row>
    <row r="1901" spans="40:55">
      <c r="AN1901" s="454"/>
      <c r="BC1901" s="169"/>
    </row>
    <row r="1902" spans="40:55">
      <c r="AN1902" s="454"/>
      <c r="BC1902" s="169"/>
    </row>
    <row r="1903" spans="40:55">
      <c r="AN1903" s="454"/>
      <c r="BC1903" s="169"/>
    </row>
    <row r="1904" spans="40:55">
      <c r="AN1904" s="454"/>
      <c r="BC1904" s="169"/>
    </row>
    <row r="1905" spans="40:55">
      <c r="AN1905" s="454"/>
      <c r="BC1905" s="169"/>
    </row>
    <row r="1906" spans="40:55">
      <c r="AN1906" s="454"/>
      <c r="BC1906" s="169"/>
    </row>
    <row r="1907" spans="40:55">
      <c r="AN1907" s="454"/>
      <c r="BC1907" s="169"/>
    </row>
    <row r="1908" spans="40:55">
      <c r="AN1908" s="454"/>
      <c r="BC1908" s="169"/>
    </row>
    <row r="1909" spans="40:55">
      <c r="AN1909" s="454"/>
      <c r="BC1909" s="169"/>
    </row>
    <row r="1910" spans="40:55">
      <c r="AN1910" s="454"/>
      <c r="BC1910" s="169"/>
    </row>
    <row r="1911" spans="40:55">
      <c r="AN1911" s="454"/>
      <c r="BC1911" s="169"/>
    </row>
    <row r="1912" spans="40:55">
      <c r="AN1912" s="454"/>
      <c r="BC1912" s="169"/>
    </row>
    <row r="1913" spans="40:55">
      <c r="AN1913" s="454"/>
      <c r="BC1913" s="169"/>
    </row>
    <row r="1914" spans="40:55">
      <c r="AN1914" s="454"/>
      <c r="BC1914" s="169"/>
    </row>
    <row r="1915" spans="40:55">
      <c r="AN1915" s="454"/>
      <c r="BC1915" s="169"/>
    </row>
    <row r="1916" spans="40:55">
      <c r="AN1916" s="454"/>
      <c r="BC1916" s="169"/>
    </row>
    <row r="1917" spans="40:55">
      <c r="AN1917" s="454"/>
      <c r="BC1917" s="169"/>
    </row>
    <row r="1918" spans="40:55">
      <c r="AN1918" s="454"/>
      <c r="BC1918" s="169"/>
    </row>
    <row r="1919" spans="40:55">
      <c r="AN1919" s="454"/>
      <c r="BC1919" s="169"/>
    </row>
    <row r="1920" spans="40:55">
      <c r="AN1920" s="454"/>
      <c r="BC1920" s="169"/>
    </row>
    <row r="1921" spans="40:55">
      <c r="AN1921" s="454"/>
      <c r="BC1921" s="169"/>
    </row>
    <row r="1922" spans="40:55">
      <c r="AN1922" s="454"/>
      <c r="BC1922" s="169"/>
    </row>
    <row r="1923" spans="40:55">
      <c r="AN1923" s="454"/>
      <c r="BC1923" s="169"/>
    </row>
    <row r="1924" spans="40:55">
      <c r="AN1924" s="454"/>
      <c r="BC1924" s="169"/>
    </row>
    <row r="1925" spans="40:55">
      <c r="AN1925" s="454"/>
      <c r="BC1925" s="169"/>
    </row>
    <row r="1926" spans="40:55">
      <c r="AN1926" s="454"/>
      <c r="BC1926" s="169"/>
    </row>
    <row r="1927" spans="40:55">
      <c r="AN1927" s="454"/>
      <c r="BC1927" s="169"/>
    </row>
    <row r="1928" spans="40:55">
      <c r="AN1928" s="454"/>
      <c r="BC1928" s="169"/>
    </row>
    <row r="1929" spans="40:55">
      <c r="AN1929" s="454"/>
      <c r="BC1929" s="169"/>
    </row>
    <row r="1930" spans="40:55">
      <c r="AN1930" s="454"/>
      <c r="BC1930" s="169"/>
    </row>
    <row r="1931" spans="40:55">
      <c r="AN1931" s="454"/>
      <c r="BC1931" s="169"/>
    </row>
    <row r="1932" spans="40:55">
      <c r="AN1932" s="454"/>
      <c r="BC1932" s="169"/>
    </row>
    <row r="1933" spans="40:55">
      <c r="AN1933" s="454"/>
      <c r="BC1933" s="169"/>
    </row>
    <row r="1934" spans="40:55">
      <c r="AN1934" s="454"/>
      <c r="BC1934" s="169"/>
    </row>
    <row r="1935" spans="40:55">
      <c r="AN1935" s="454"/>
      <c r="BC1935" s="169"/>
    </row>
    <row r="1936" spans="40:55">
      <c r="AN1936" s="454"/>
      <c r="BC1936" s="169"/>
    </row>
    <row r="1937" spans="40:55">
      <c r="AN1937" s="454"/>
      <c r="BC1937" s="169"/>
    </row>
    <row r="1938" spans="40:55">
      <c r="AN1938" s="454"/>
      <c r="BC1938" s="169"/>
    </row>
    <row r="1939" spans="40:55">
      <c r="AN1939" s="454"/>
      <c r="BC1939" s="169"/>
    </row>
    <row r="1940" spans="40:55">
      <c r="AN1940" s="454"/>
      <c r="BC1940" s="169"/>
    </row>
    <row r="1941" spans="40:55">
      <c r="AN1941" s="454"/>
      <c r="BC1941" s="169"/>
    </row>
    <row r="1942" spans="40:55">
      <c r="AN1942" s="454"/>
      <c r="BC1942" s="169"/>
    </row>
    <row r="1943" spans="40:55">
      <c r="AN1943" s="454"/>
      <c r="BC1943" s="169"/>
    </row>
    <row r="1944" spans="40:55">
      <c r="AN1944" s="454"/>
      <c r="BC1944" s="169"/>
    </row>
    <row r="1945" spans="40:55">
      <c r="AN1945" s="454"/>
      <c r="BC1945" s="169"/>
    </row>
    <row r="1946" spans="40:55">
      <c r="AN1946" s="454"/>
      <c r="BC1946" s="169"/>
    </row>
    <row r="1947" spans="40:55">
      <c r="AN1947" s="454"/>
      <c r="BC1947" s="169"/>
    </row>
    <row r="1948" spans="40:55">
      <c r="AN1948" s="454"/>
      <c r="BC1948" s="169"/>
    </row>
    <row r="1949" spans="40:55">
      <c r="AN1949" s="454"/>
      <c r="BC1949" s="169"/>
    </row>
    <row r="1950" spans="40:55">
      <c r="AN1950" s="454"/>
      <c r="BC1950" s="169"/>
    </row>
    <row r="1951" spans="40:55">
      <c r="AN1951" s="454"/>
      <c r="BC1951" s="169"/>
    </row>
    <row r="1952" spans="40:55">
      <c r="AN1952" s="454"/>
      <c r="BC1952" s="169"/>
    </row>
    <row r="1953" spans="40:55">
      <c r="AN1953" s="454"/>
      <c r="BC1953" s="169"/>
    </row>
    <row r="1954" spans="40:55">
      <c r="AN1954" s="454"/>
      <c r="BC1954" s="169"/>
    </row>
    <row r="1955" spans="40:55">
      <c r="AN1955" s="454"/>
      <c r="BC1955" s="169"/>
    </row>
    <row r="1956" spans="40:55">
      <c r="AN1956" s="454"/>
      <c r="BC1956" s="169"/>
    </row>
    <row r="1957" spans="40:55">
      <c r="AN1957" s="454"/>
      <c r="BC1957" s="169"/>
    </row>
    <row r="1958" spans="40:55">
      <c r="AN1958" s="454"/>
      <c r="BC1958" s="169"/>
    </row>
    <row r="1959" spans="40:55">
      <c r="AN1959" s="454"/>
      <c r="BC1959" s="169"/>
    </row>
    <row r="1960" spans="40:55">
      <c r="AN1960" s="454"/>
      <c r="BC1960" s="169"/>
    </row>
    <row r="1961" spans="40:55">
      <c r="AN1961" s="454"/>
      <c r="BC1961" s="169"/>
    </row>
    <row r="1962" spans="40:55">
      <c r="AN1962" s="454"/>
      <c r="BC1962" s="169"/>
    </row>
    <row r="1963" spans="40:55">
      <c r="AN1963" s="454"/>
      <c r="BC1963" s="169"/>
    </row>
    <row r="1964" spans="40:55">
      <c r="AN1964" s="454"/>
      <c r="BC1964" s="169"/>
    </row>
    <row r="1965" spans="40:55">
      <c r="AN1965" s="454"/>
      <c r="BC1965" s="169"/>
    </row>
    <row r="1966" spans="40:55">
      <c r="AN1966" s="454"/>
      <c r="BC1966" s="169"/>
    </row>
    <row r="1967" spans="40:55">
      <c r="AN1967" s="454"/>
      <c r="BC1967" s="169"/>
    </row>
    <row r="1968" spans="40:55">
      <c r="AN1968" s="454"/>
      <c r="BC1968" s="169"/>
    </row>
    <row r="1969" spans="40:55">
      <c r="AN1969" s="454"/>
      <c r="BC1969" s="169"/>
    </row>
    <row r="1970" spans="40:55">
      <c r="AN1970" s="454"/>
      <c r="BC1970" s="169"/>
    </row>
    <row r="1971" spans="40:55">
      <c r="AN1971" s="454"/>
      <c r="BC1971" s="169"/>
    </row>
    <row r="1972" spans="40:55">
      <c r="AN1972" s="454"/>
      <c r="BC1972" s="169"/>
    </row>
    <row r="1973" spans="40:55">
      <c r="AN1973" s="454"/>
      <c r="BC1973" s="169"/>
    </row>
    <row r="1974" spans="40:55">
      <c r="AN1974" s="454"/>
      <c r="BC1974" s="169"/>
    </row>
    <row r="1975" spans="40:55">
      <c r="AN1975" s="454"/>
      <c r="BC1975" s="169"/>
    </row>
    <row r="1976" spans="40:55">
      <c r="AN1976" s="454"/>
      <c r="BC1976" s="169"/>
    </row>
    <row r="1977" spans="40:55">
      <c r="AN1977" s="454"/>
      <c r="BC1977" s="169"/>
    </row>
    <row r="1978" spans="40:55">
      <c r="AN1978" s="454"/>
      <c r="BC1978" s="169"/>
    </row>
    <row r="1979" spans="40:55">
      <c r="AN1979" s="454"/>
      <c r="BC1979" s="169"/>
    </row>
    <row r="1980" spans="40:55">
      <c r="AN1980" s="454"/>
      <c r="BC1980" s="169"/>
    </row>
    <row r="1981" spans="40:55">
      <c r="AN1981" s="454"/>
      <c r="BC1981" s="169"/>
    </row>
    <row r="1982" spans="40:55">
      <c r="AN1982" s="454"/>
      <c r="BC1982" s="169"/>
    </row>
    <row r="1983" spans="40:55">
      <c r="AN1983" s="454"/>
      <c r="BC1983" s="169"/>
    </row>
    <row r="1984" spans="40:55">
      <c r="AN1984" s="454"/>
      <c r="BC1984" s="169"/>
    </row>
    <row r="1985" spans="40:55">
      <c r="AN1985" s="454"/>
      <c r="BC1985" s="169"/>
    </row>
    <row r="1986" spans="40:55">
      <c r="AN1986" s="454"/>
      <c r="BC1986" s="169"/>
    </row>
    <row r="1987" spans="40:55">
      <c r="AN1987" s="454"/>
      <c r="BC1987" s="169"/>
    </row>
    <row r="1988" spans="40:55">
      <c r="AN1988" s="454"/>
      <c r="BC1988" s="169"/>
    </row>
    <row r="1989" spans="40:55">
      <c r="AN1989" s="454"/>
      <c r="BC1989" s="169"/>
    </row>
    <row r="1990" spans="40:55">
      <c r="AN1990" s="454"/>
      <c r="BC1990" s="169"/>
    </row>
    <row r="1991" spans="40:55">
      <c r="AN1991" s="454"/>
      <c r="BC1991" s="169"/>
    </row>
    <row r="1992" spans="40:55">
      <c r="AN1992" s="454"/>
      <c r="BC1992" s="169"/>
    </row>
    <row r="1993" spans="40:55">
      <c r="AN1993" s="454"/>
      <c r="BC1993" s="169"/>
    </row>
    <row r="1994" spans="40:55">
      <c r="AN1994" s="454"/>
      <c r="BC1994" s="169"/>
    </row>
    <row r="1995" spans="40:55">
      <c r="AN1995" s="454"/>
      <c r="BC1995" s="169"/>
    </row>
    <row r="1996" spans="40:55">
      <c r="AN1996" s="454"/>
      <c r="BC1996" s="169"/>
    </row>
    <row r="1997" spans="40:55">
      <c r="AN1997" s="454"/>
      <c r="BC1997" s="169"/>
    </row>
    <row r="1998" spans="40:55">
      <c r="AN1998" s="454"/>
      <c r="BC1998" s="169"/>
    </row>
    <row r="1999" spans="40:55">
      <c r="AN1999" s="454"/>
      <c r="BC1999" s="169"/>
    </row>
    <row r="2000" spans="40:55">
      <c r="AN2000" s="454"/>
      <c r="BC2000" s="169"/>
    </row>
    <row r="2001" spans="40:55">
      <c r="AN2001" s="454"/>
      <c r="BC2001" s="169"/>
    </row>
    <row r="2002" spans="40:55">
      <c r="AN2002" s="454"/>
      <c r="BC2002" s="169"/>
    </row>
    <row r="2003" spans="40:55">
      <c r="AN2003" s="454"/>
      <c r="BC2003" s="169"/>
    </row>
    <row r="2004" spans="40:55">
      <c r="AN2004" s="454"/>
      <c r="BC2004" s="169"/>
    </row>
    <row r="2005" spans="40:55">
      <c r="AN2005" s="454"/>
    </row>
    <row r="2006" spans="40:55">
      <c r="AN2006" s="454"/>
    </row>
    <row r="2007" spans="40:55">
      <c r="AN2007" s="454"/>
    </row>
    <row r="2008" spans="40:55">
      <c r="AN2008" s="454"/>
    </row>
    <row r="2009" spans="40:55">
      <c r="AN2009" s="454"/>
    </row>
    <row r="2010" spans="40:55">
      <c r="AN2010" s="454"/>
    </row>
    <row r="2011" spans="40:55">
      <c r="AN2011" s="454"/>
    </row>
    <row r="2012" spans="40:55">
      <c r="AN2012" s="454"/>
    </row>
    <row r="2013" spans="40:55">
      <c r="AN2013" s="454"/>
    </row>
    <row r="2014" spans="40:55">
      <c r="AN2014" s="454"/>
    </row>
    <row r="2015" spans="40:55">
      <c r="AN2015" s="454"/>
    </row>
    <row r="2016" spans="40:55">
      <c r="AN2016" s="454"/>
    </row>
    <row r="2017" spans="40:40">
      <c r="AN2017" s="454"/>
    </row>
    <row r="2018" spans="40:40">
      <c r="AN2018" s="454"/>
    </row>
    <row r="2019" spans="40:40">
      <c r="AN2019" s="454"/>
    </row>
    <row r="2020" spans="40:40">
      <c r="AN2020" s="454"/>
    </row>
    <row r="2021" spans="40:40">
      <c r="AN2021" s="454"/>
    </row>
    <row r="2022" spans="40:40">
      <c r="AN2022" s="454"/>
    </row>
    <row r="2023" spans="40:40">
      <c r="AN2023" s="454"/>
    </row>
    <row r="2024" spans="40:40">
      <c r="AN2024" s="454"/>
    </row>
    <row r="2025" spans="40:40">
      <c r="AN2025" s="454"/>
    </row>
    <row r="2026" spans="40:40">
      <c r="AN2026" s="454"/>
    </row>
    <row r="2027" spans="40:40">
      <c r="AN2027" s="454"/>
    </row>
    <row r="2028" spans="40:40">
      <c r="AN2028" s="454"/>
    </row>
    <row r="2029" spans="40:40">
      <c r="AN2029" s="454"/>
    </row>
    <row r="2030" spans="40:40">
      <c r="AN2030" s="454"/>
    </row>
    <row r="2031" spans="40:40">
      <c r="AN2031" s="454"/>
    </row>
    <row r="2032" spans="40:40">
      <c r="AN2032" s="454"/>
    </row>
    <row r="2033" spans="40:40">
      <c r="AN2033" s="454"/>
    </row>
    <row r="2034" spans="40:40">
      <c r="AN2034" s="454"/>
    </row>
    <row r="2035" spans="40:40">
      <c r="AN2035" s="454"/>
    </row>
    <row r="2036" spans="40:40">
      <c r="AN2036" s="454"/>
    </row>
    <row r="2037" spans="40:40">
      <c r="AN2037" s="454"/>
    </row>
    <row r="2038" spans="40:40">
      <c r="AN2038" s="454"/>
    </row>
    <row r="2039" spans="40:40">
      <c r="AN2039" s="454"/>
    </row>
    <row r="2040" spans="40:40">
      <c r="AN2040" s="454"/>
    </row>
    <row r="2041" spans="40:40">
      <c r="AN2041" s="454"/>
    </row>
    <row r="2042" spans="40:40">
      <c r="AN2042" s="454"/>
    </row>
    <row r="2043" spans="40:40">
      <c r="AN2043" s="454"/>
    </row>
    <row r="2044" spans="40:40">
      <c r="AN2044" s="454"/>
    </row>
    <row r="2045" spans="40:40">
      <c r="AN2045" s="454"/>
    </row>
    <row r="2046" spans="40:40">
      <c r="AN2046" s="454"/>
    </row>
    <row r="2047" spans="40:40">
      <c r="AN2047" s="454"/>
    </row>
    <row r="2048" spans="40:40">
      <c r="AN2048" s="454"/>
    </row>
    <row r="2049" spans="40:40">
      <c r="AN2049" s="454"/>
    </row>
    <row r="2050" spans="40:40">
      <c r="AN2050" s="454"/>
    </row>
    <row r="2051" spans="40:40">
      <c r="AN2051" s="454"/>
    </row>
    <row r="2052" spans="40:40">
      <c r="AN2052" s="454"/>
    </row>
    <row r="2053" spans="40:40">
      <c r="AN2053" s="454"/>
    </row>
    <row r="2054" spans="40:40">
      <c r="AN2054" s="454"/>
    </row>
    <row r="2055" spans="40:40">
      <c r="AN2055" s="454"/>
    </row>
    <row r="2056" spans="40:40">
      <c r="AN2056" s="454"/>
    </row>
    <row r="2057" spans="40:40">
      <c r="AN2057" s="454"/>
    </row>
    <row r="2058" spans="40:40">
      <c r="AN2058" s="454"/>
    </row>
    <row r="2059" spans="40:40">
      <c r="AN2059" s="454"/>
    </row>
    <row r="2060" spans="40:40">
      <c r="AN2060" s="454"/>
    </row>
    <row r="2061" spans="40:40">
      <c r="AN2061" s="454"/>
    </row>
    <row r="2062" spans="40:40">
      <c r="AN2062" s="454"/>
    </row>
    <row r="2063" spans="40:40">
      <c r="AN2063" s="454"/>
    </row>
    <row r="2064" spans="40:40">
      <c r="AN2064" s="454"/>
    </row>
    <row r="2065" spans="40:40">
      <c r="AN2065" s="454"/>
    </row>
    <row r="2066" spans="40:40">
      <c r="AN2066" s="454"/>
    </row>
    <row r="2067" spans="40:40">
      <c r="AN2067" s="454"/>
    </row>
    <row r="2068" spans="40:40">
      <c r="AN2068" s="454"/>
    </row>
    <row r="2069" spans="40:40">
      <c r="AN2069" s="454"/>
    </row>
    <row r="2070" spans="40:40">
      <c r="AN2070" s="454"/>
    </row>
    <row r="2071" spans="40:40">
      <c r="AN2071" s="454"/>
    </row>
    <row r="2072" spans="40:40">
      <c r="AN2072" s="454"/>
    </row>
    <row r="2073" spans="40:40">
      <c r="AN2073" s="454"/>
    </row>
    <row r="2074" spans="40:40">
      <c r="AN2074" s="454"/>
    </row>
    <row r="2075" spans="40:40">
      <c r="AN2075" s="454"/>
    </row>
    <row r="2076" spans="40:40">
      <c r="AN2076" s="454"/>
    </row>
    <row r="2077" spans="40:40">
      <c r="AN2077" s="454"/>
    </row>
    <row r="2078" spans="40:40">
      <c r="AN2078" s="454"/>
    </row>
    <row r="2079" spans="40:40">
      <c r="AN2079" s="454"/>
    </row>
    <row r="2080" spans="40:40">
      <c r="AN2080" s="454"/>
    </row>
    <row r="2081" spans="40:40">
      <c r="AN2081" s="454"/>
    </row>
    <row r="2082" spans="40:40">
      <c r="AN2082" s="454"/>
    </row>
    <row r="2083" spans="40:40">
      <c r="AN2083" s="454"/>
    </row>
    <row r="2084" spans="40:40">
      <c r="AN2084" s="454"/>
    </row>
    <row r="2085" spans="40:40">
      <c r="AN2085" s="454"/>
    </row>
    <row r="2086" spans="40:40">
      <c r="AN2086" s="454"/>
    </row>
    <row r="2087" spans="40:40">
      <c r="AN2087" s="454"/>
    </row>
    <row r="2088" spans="40:40">
      <c r="AN2088" s="454"/>
    </row>
    <row r="2089" spans="40:40">
      <c r="AN2089" s="454"/>
    </row>
    <row r="2090" spans="40:40">
      <c r="AN2090" s="454"/>
    </row>
    <row r="2091" spans="40:40">
      <c r="AN2091" s="454"/>
    </row>
    <row r="2092" spans="40:40">
      <c r="AN2092" s="454"/>
    </row>
    <row r="2093" spans="40:40">
      <c r="AN2093" s="454"/>
    </row>
    <row r="2094" spans="40:40">
      <c r="AN2094" s="454"/>
    </row>
    <row r="2095" spans="40:40">
      <c r="AN2095" s="454"/>
    </row>
    <row r="2096" spans="40:40">
      <c r="AN2096" s="454"/>
    </row>
    <row r="2097" spans="40:40">
      <c r="AN2097" s="454"/>
    </row>
    <row r="2098" spans="40:40">
      <c r="AN2098" s="454"/>
    </row>
    <row r="2099" spans="40:40">
      <c r="AN2099" s="454"/>
    </row>
    <row r="2100" spans="40:40">
      <c r="AN2100" s="454"/>
    </row>
    <row r="2101" spans="40:40">
      <c r="AN2101" s="454"/>
    </row>
    <row r="2102" spans="40:40">
      <c r="AN2102" s="454"/>
    </row>
    <row r="2103" spans="40:40">
      <c r="AN2103" s="454"/>
    </row>
    <row r="2104" spans="40:40">
      <c r="AN2104" s="454"/>
    </row>
    <row r="2105" spans="40:40">
      <c r="AN2105" s="454"/>
    </row>
    <row r="2106" spans="40:40">
      <c r="AN2106" s="454"/>
    </row>
    <row r="2107" spans="40:40">
      <c r="AN2107" s="454"/>
    </row>
    <row r="2108" spans="40:40">
      <c r="AN2108" s="454"/>
    </row>
    <row r="2109" spans="40:40">
      <c r="AN2109" s="454"/>
    </row>
    <row r="2110" spans="40:40">
      <c r="AN2110" s="454"/>
    </row>
    <row r="2111" spans="40:40">
      <c r="AN2111" s="454"/>
    </row>
    <row r="2112" spans="40:40">
      <c r="AN2112" s="454"/>
    </row>
    <row r="2113" spans="40:40">
      <c r="AN2113" s="454"/>
    </row>
    <row r="2114" spans="40:40">
      <c r="AN2114" s="454"/>
    </row>
    <row r="2115" spans="40:40">
      <c r="AN2115" s="454"/>
    </row>
    <row r="2116" spans="40:40">
      <c r="AN2116" s="454"/>
    </row>
    <row r="2117" spans="40:40">
      <c r="AN2117" s="454"/>
    </row>
    <row r="2118" spans="40:40">
      <c r="AN2118" s="454"/>
    </row>
    <row r="2119" spans="40:40">
      <c r="AN2119" s="454"/>
    </row>
    <row r="2120" spans="40:40">
      <c r="AN2120" s="454"/>
    </row>
    <row r="2121" spans="40:40">
      <c r="AN2121" s="454"/>
    </row>
    <row r="2122" spans="40:40">
      <c r="AN2122" s="454"/>
    </row>
    <row r="2123" spans="40:40">
      <c r="AN2123" s="454"/>
    </row>
    <row r="2124" spans="40:40">
      <c r="AN2124" s="454"/>
    </row>
    <row r="2125" spans="40:40">
      <c r="AN2125" s="454"/>
    </row>
    <row r="2126" spans="40:40">
      <c r="AN2126" s="454"/>
    </row>
    <row r="2127" spans="40:40">
      <c r="AN2127" s="454"/>
    </row>
    <row r="2128" spans="40:40">
      <c r="AN2128" s="454"/>
    </row>
    <row r="2129" spans="40:40">
      <c r="AN2129" s="454"/>
    </row>
    <row r="2130" spans="40:40">
      <c r="AN2130" s="454"/>
    </row>
    <row r="2131" spans="40:40">
      <c r="AN2131" s="454"/>
    </row>
    <row r="2132" spans="40:40">
      <c r="AN2132" s="454"/>
    </row>
    <row r="2133" spans="40:40">
      <c r="AN2133" s="454"/>
    </row>
    <row r="2134" spans="40:40">
      <c r="AN2134" s="454"/>
    </row>
    <row r="2135" spans="40:40">
      <c r="AN2135" s="454"/>
    </row>
    <row r="2136" spans="40:40">
      <c r="AN2136" s="454"/>
    </row>
    <row r="2137" spans="40:40">
      <c r="AN2137" s="454"/>
    </row>
    <row r="2138" spans="40:40">
      <c r="AN2138" s="454"/>
    </row>
    <row r="2139" spans="40:40">
      <c r="AN2139" s="454"/>
    </row>
    <row r="2140" spans="40:40">
      <c r="AN2140" s="454"/>
    </row>
    <row r="2141" spans="40:40">
      <c r="AN2141" s="454"/>
    </row>
    <row r="2142" spans="40:40">
      <c r="AN2142" s="454"/>
    </row>
    <row r="2143" spans="40:40">
      <c r="AN2143" s="454"/>
    </row>
    <row r="2144" spans="40:40">
      <c r="AN2144" s="454"/>
    </row>
    <row r="2145" spans="40:40">
      <c r="AN2145" s="454"/>
    </row>
    <row r="2146" spans="40:40">
      <c r="AN2146" s="454"/>
    </row>
    <row r="2147" spans="40:40">
      <c r="AN2147" s="454"/>
    </row>
    <row r="2148" spans="40:40">
      <c r="AN2148" s="454"/>
    </row>
    <row r="2149" spans="40:40">
      <c r="AN2149" s="454"/>
    </row>
    <row r="2150" spans="40:40">
      <c r="AN2150" s="454"/>
    </row>
    <row r="2151" spans="40:40">
      <c r="AN2151" s="454"/>
    </row>
    <row r="2152" spans="40:40">
      <c r="AN2152" s="454"/>
    </row>
    <row r="2153" spans="40:40">
      <c r="AN2153" s="454"/>
    </row>
    <row r="2154" spans="40:40">
      <c r="AN2154" s="454"/>
    </row>
    <row r="2155" spans="40:40">
      <c r="AN2155" s="454"/>
    </row>
    <row r="2156" spans="40:40">
      <c r="AN2156" s="454"/>
    </row>
    <row r="2157" spans="40:40">
      <c r="AN2157" s="454"/>
    </row>
    <row r="2158" spans="40:40">
      <c r="AN2158" s="454"/>
    </row>
    <row r="2159" spans="40:40">
      <c r="AN2159" s="454"/>
    </row>
    <row r="2160" spans="40:40">
      <c r="AN2160" s="454"/>
    </row>
    <row r="2161" spans="40:40">
      <c r="AN2161" s="454"/>
    </row>
    <row r="2162" spans="40:40">
      <c r="AN2162" s="454"/>
    </row>
    <row r="2163" spans="40:40">
      <c r="AN2163" s="454"/>
    </row>
    <row r="2164" spans="40:40">
      <c r="AN2164" s="454"/>
    </row>
    <row r="2165" spans="40:40">
      <c r="AN2165" s="454"/>
    </row>
    <row r="2166" spans="40:40">
      <c r="AN2166" s="454"/>
    </row>
    <row r="2167" spans="40:40">
      <c r="AN2167" s="454"/>
    </row>
    <row r="2168" spans="40:40">
      <c r="AN2168" s="454"/>
    </row>
    <row r="2169" spans="40:40">
      <c r="AN2169" s="454"/>
    </row>
  </sheetData>
  <autoFilter ref="A2:BG106" xr:uid="{00000000-0009-0000-0000-000010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autoFilter>
  <mergeCells count="10">
    <mergeCell ref="BD1:BG1"/>
    <mergeCell ref="AN2:AP2"/>
    <mergeCell ref="AQ2:AS2"/>
    <mergeCell ref="AT2:AV2"/>
    <mergeCell ref="A1:BB1"/>
    <mergeCell ref="N2:P2"/>
    <mergeCell ref="T2:V2"/>
    <mergeCell ref="W2:Y2"/>
    <mergeCell ref="Z2:AB2"/>
    <mergeCell ref="AC2:AE2"/>
  </mergeCells>
  <conditionalFormatting sqref="BH99:XFD100">
    <cfRule type="cellIs" dxfId="706" priority="25" operator="equal">
      <formula>0</formula>
    </cfRule>
  </conditionalFormatting>
  <conditionalFormatting sqref="B4:BA104">
    <cfRule type="expression" dxfId="705" priority="23">
      <formula>$M4="NON DEFINED"</formula>
    </cfRule>
    <cfRule type="expression" dxfId="704" priority="24">
      <formula>$AY4="N.D."</formula>
    </cfRule>
  </conditionalFormatting>
  <conditionalFormatting sqref="B5:BA43">
    <cfRule type="expression" dxfId="703" priority="22">
      <formula>$AW5="N.D."</formula>
    </cfRule>
  </conditionalFormatting>
  <conditionalFormatting sqref="BD5:BG5 BD4 BD9:BG9 BD7:BF7 BD13:BG13 BD11:BF11 BD15:BG15 BD19:BG19 BD17:BF17 BD23:BG23 BD21:BF21 BD25:BG25 BD24 BD27:BG27 BD29:BG29 BD31:BG31 BD30 BD33:BG33 BD35:BG35 BD39:BG39 BD41:BG41 BD43:BG43 BD45:BG45 BD47:BG47 BD49:BG49 BD51:BG51 BD50 BD53:BG53 BD55:BG55 BD57:BG57 BD59:BG59 BD61:BG61 BD63:BG63 BD62 BD65:BG65 BD67:BG67 BD69:BG69 BD71:BG71 BD73:BG73 BD75:BG75 BD74 BD77:BG77 BD79:BG79 BD81:BG81 BD80 BD83:BG83 BD85:BG85 BD87:BG87 BD89:BG89 BD91:BG91 BE93:BG93 BE95:BG95 BE97:BG97 BD99:BG99 BD98 BD101:BG101 BD100 BD102:BD104">
    <cfRule type="containsBlanks" dxfId="702" priority="21">
      <formula>LEN(TRIM(BD4))=0</formula>
    </cfRule>
  </conditionalFormatting>
  <conditionalFormatting sqref="BC107:BC2004 BC4:BC104">
    <cfRule type="containsText" dxfId="701" priority="19" operator="containsText" text="a">
      <formula>NOT(ISERROR(SEARCH("a",BC4)))</formula>
    </cfRule>
    <cfRule type="containsText" dxfId="700" priority="20" operator="containsText" text="R">
      <formula>NOT(ISERROR(SEARCH("R",BC4)))</formula>
    </cfRule>
  </conditionalFormatting>
  <conditionalFormatting sqref="BA4:BA104">
    <cfRule type="expression" dxfId="699" priority="18">
      <formula>$BC4="R"</formula>
    </cfRule>
  </conditionalFormatting>
  <conditionalFormatting sqref="BC105:BG106">
    <cfRule type="cellIs" dxfId="698" priority="13" operator="equal">
      <formula>0</formula>
    </cfRule>
  </conditionalFormatting>
  <conditionalFormatting sqref="A105:L105 N105:AW105 A106:BB106 AY105:BB105">
    <cfRule type="cellIs" dxfId="697" priority="17" operator="equal">
      <formula>0</formula>
    </cfRule>
  </conditionalFormatting>
  <conditionalFormatting sqref="BC105:BG106 B105:L105 N105:AW105 B106:BA106 AY105:BA105">
    <cfRule type="expression" dxfId="696" priority="15">
      <formula>$M105="NON DEFINED"</formula>
    </cfRule>
    <cfRule type="expression" dxfId="695" priority="16">
      <formula>$AY105="N.D."</formula>
    </cfRule>
  </conditionalFormatting>
  <conditionalFormatting sqref="BA105:BA106">
    <cfRule type="expression" dxfId="694" priority="14">
      <formula>$BC105="R"</formula>
    </cfRule>
  </conditionalFormatting>
  <conditionalFormatting sqref="AN4:AN106">
    <cfRule type="cellIs" dxfId="693" priority="12" operator="notEqual">
      <formula>5.5</formula>
    </cfRule>
  </conditionalFormatting>
  <conditionalFormatting sqref="M105">
    <cfRule type="cellIs" dxfId="692" priority="9" operator="equal">
      <formula>0</formula>
    </cfRule>
  </conditionalFormatting>
  <conditionalFormatting sqref="M105">
    <cfRule type="expression" dxfId="691" priority="7">
      <formula>$M105="NON DEFINED"</formula>
    </cfRule>
    <cfRule type="expression" dxfId="690" priority="8">
      <formula>$AY105="N.D."</formula>
    </cfRule>
  </conditionalFormatting>
  <conditionalFormatting sqref="AX105">
    <cfRule type="cellIs" dxfId="689" priority="4" operator="equal">
      <formula>0</formula>
    </cfRule>
  </conditionalFormatting>
  <conditionalFormatting sqref="AX105">
    <cfRule type="expression" dxfId="688" priority="2">
      <formula>$M105="NON DEFINED"</formula>
    </cfRule>
    <cfRule type="expression" dxfId="687" priority="3">
      <formula>$AY105="N.D."</formula>
    </cfRule>
  </conditionalFormatting>
  <conditionalFormatting sqref="BD37:BG37">
    <cfRule type="containsBlanks" dxfId="686" priority="1">
      <formula>LEN(TRIM(BD37))=0</formula>
    </cfRule>
  </conditionalFormatting>
  <printOptions horizontalCentered="1"/>
  <pageMargins left="0.39370078740157483" right="0.39370078740157483" top="0.78740157480314965" bottom="0.78740157480314965" header="0.31496062992125984" footer="0.31496062992125984"/>
  <pageSetup paperSize="9" scale="53" fitToHeight="0" orientation="landscape" r:id="rId1"/>
  <headerFooter alignWithMargins="0">
    <oddHeader>&amp;L&amp;G&amp;C
LAYOUT AND EQUIPMENT
EP06 TRACK 1 BBR-HER
KP2+122 - 1+422/89+222 - 90+618&amp;R&amp;G</oddHeader>
    <oddFooter>&amp;L&amp;G
&amp;F&amp;C&amp;D&amp;RPag &amp;P of &amp;N</oddFooter>
  </headerFooter>
  <legacyDrawingHF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C00000"/>
    <pageSetUpPr fitToPage="1"/>
  </sheetPr>
  <dimension ref="A1:BG2167"/>
  <sheetViews>
    <sheetView view="pageBreakPreview" zoomScale="80" zoomScaleNormal="85" zoomScaleSheetLayoutView="80" workbookViewId="0">
      <pane xSplit="5" ySplit="3" topLeftCell="F4" activePane="bottomRight" state="frozen"/>
      <selection activeCell="G124" sqref="G124"/>
      <selection pane="topRight" activeCell="G124" sqref="G124"/>
      <selection pane="bottomLeft" activeCell="G124" sqref="G124"/>
      <selection pane="bottomRight" activeCell="G124" sqref="G124"/>
    </sheetView>
  </sheetViews>
  <sheetFormatPr baseColWidth="10" defaultColWidth="11.453125" defaultRowHeight="12.5"/>
  <cols>
    <col min="1" max="1" width="20.6328125" style="178" customWidth="1"/>
    <col min="2" max="3" width="12.6328125" style="178" customWidth="1"/>
    <col min="4" max="5" width="12.6328125" style="178" hidden="1" customWidth="1"/>
    <col min="6" max="6" width="12.6328125" style="178" customWidth="1"/>
    <col min="7" max="7" width="12.6328125" style="454" customWidth="1"/>
    <col min="8" max="8" width="18.6328125" style="178" customWidth="1"/>
    <col min="9" max="9" width="12.6328125" style="178" customWidth="1"/>
    <col min="10" max="10" width="12.6328125" style="184" customWidth="1"/>
    <col min="11" max="11" width="12.6328125" style="178" customWidth="1"/>
    <col min="12" max="13" width="14.6328125" style="178" customWidth="1"/>
    <col min="14" max="16" width="8.6328125" style="178" hidden="1" customWidth="1"/>
    <col min="17" max="19" width="12.6328125" style="178" hidden="1" customWidth="1"/>
    <col min="20" max="28" width="8.6328125" style="178" hidden="1" customWidth="1"/>
    <col min="29" max="31" width="10.6328125" style="178" hidden="1" customWidth="1"/>
    <col min="32" max="32" width="13.54296875" style="178" hidden="1" customWidth="1"/>
    <col min="33" max="33" width="12.6328125" style="184" hidden="1" customWidth="1"/>
    <col min="34" max="36" width="12.6328125" style="178" hidden="1" customWidth="1"/>
    <col min="37" max="38" width="12.6328125" style="178" customWidth="1"/>
    <col min="39" max="39" width="12.6328125" style="178" hidden="1" customWidth="1"/>
    <col min="40" max="48" width="8.6328125" style="178" hidden="1" customWidth="1"/>
    <col min="49" max="53" width="12.6328125" style="178" customWidth="1"/>
    <col min="54" max="54" width="21.6328125" style="178" customWidth="1"/>
    <col min="55" max="55" width="18" style="178" customWidth="1"/>
    <col min="56" max="59" width="14.54296875" style="1323" customWidth="1"/>
    <col min="60" max="60" width="11.453125" style="178" customWidth="1"/>
    <col min="61" max="16384" width="11.453125" style="178"/>
  </cols>
  <sheetData>
    <row r="1" spans="1:59" ht="35" customHeight="1">
      <c r="A1" s="1612" t="s">
        <v>4200</v>
      </c>
      <c r="B1" s="1612"/>
      <c r="C1" s="1612"/>
      <c r="D1" s="1612"/>
      <c r="E1" s="1612"/>
      <c r="F1" s="1612"/>
      <c r="G1" s="1612"/>
      <c r="H1" s="1612"/>
      <c r="I1" s="1612"/>
      <c r="J1" s="1612"/>
      <c r="K1" s="1612"/>
      <c r="L1" s="1612"/>
      <c r="M1" s="1612"/>
      <c r="N1" s="1612"/>
      <c r="O1" s="1612"/>
      <c r="P1" s="1612"/>
      <c r="Q1" s="1612"/>
      <c r="R1" s="1612"/>
      <c r="S1" s="1612"/>
      <c r="T1" s="1612"/>
      <c r="U1" s="1612"/>
      <c r="V1" s="1612"/>
      <c r="W1" s="1612"/>
      <c r="X1" s="1612"/>
      <c r="Y1" s="1612"/>
      <c r="Z1" s="1612"/>
      <c r="AA1" s="1612"/>
      <c r="AB1" s="1612"/>
      <c r="AC1" s="1612"/>
      <c r="AD1" s="1612"/>
      <c r="AE1" s="1612"/>
      <c r="AF1" s="1612"/>
      <c r="AG1" s="1612"/>
      <c r="AH1" s="1612"/>
      <c r="AI1" s="1612"/>
      <c r="AJ1" s="1612"/>
      <c r="AK1" s="1612"/>
      <c r="AL1" s="1612"/>
      <c r="AM1" s="1612"/>
      <c r="AN1" s="1612"/>
      <c r="AO1" s="1612"/>
      <c r="AP1" s="1612"/>
      <c r="AQ1" s="1612"/>
      <c r="AR1" s="1612"/>
      <c r="AS1" s="1612"/>
      <c r="AT1" s="1612"/>
      <c r="AU1" s="1612"/>
      <c r="AV1" s="1612"/>
      <c r="AW1" s="1612"/>
      <c r="AX1" s="1612"/>
      <c r="AY1" s="1612"/>
      <c r="AZ1" s="1612"/>
      <c r="BA1" s="1612"/>
      <c r="BB1" s="1612"/>
      <c r="BC1" s="693" t="s">
        <v>4947</v>
      </c>
      <c r="BD1" s="1609" t="s">
        <v>4916</v>
      </c>
      <c r="BE1" s="1609"/>
      <c r="BF1" s="1609"/>
      <c r="BG1" s="1609"/>
    </row>
    <row r="2" spans="1:59" s="699" customFormat="1" ht="39">
      <c r="A2" s="1369" t="s">
        <v>4417</v>
      </c>
      <c r="B2" s="1369" t="s">
        <v>4418</v>
      </c>
      <c r="C2" s="952" t="s">
        <v>2315</v>
      </c>
      <c r="D2" s="1369" t="s">
        <v>4419</v>
      </c>
      <c r="E2" s="1369" t="s">
        <v>4855</v>
      </c>
      <c r="F2" s="953" t="s">
        <v>4856</v>
      </c>
      <c r="G2" s="1370" t="s">
        <v>4857</v>
      </c>
      <c r="H2" s="1369" t="s">
        <v>455</v>
      </c>
      <c r="I2" s="953" t="s">
        <v>454</v>
      </c>
      <c r="J2" s="953" t="s">
        <v>4423</v>
      </c>
      <c r="K2" s="1369" t="s">
        <v>1362</v>
      </c>
      <c r="L2" s="1369" t="s">
        <v>456</v>
      </c>
      <c r="M2" s="1369" t="s">
        <v>453</v>
      </c>
      <c r="N2" s="1610" t="s">
        <v>457</v>
      </c>
      <c r="O2" s="1610"/>
      <c r="P2" s="1610"/>
      <c r="Q2" s="1369" t="s">
        <v>4858</v>
      </c>
      <c r="R2" s="1369" t="s">
        <v>4859</v>
      </c>
      <c r="S2" s="1369" t="s">
        <v>4860</v>
      </c>
      <c r="T2" s="1610" t="s">
        <v>4861</v>
      </c>
      <c r="U2" s="1610"/>
      <c r="V2" s="1610"/>
      <c r="W2" s="1610" t="s">
        <v>4862</v>
      </c>
      <c r="X2" s="1610"/>
      <c r="Y2" s="1610"/>
      <c r="Z2" s="1610" t="s">
        <v>4863</v>
      </c>
      <c r="AA2" s="1610"/>
      <c r="AB2" s="1610"/>
      <c r="AC2" s="1610" t="s">
        <v>628</v>
      </c>
      <c r="AD2" s="1610"/>
      <c r="AE2" s="1610"/>
      <c r="AF2" s="1369" t="s">
        <v>4872</v>
      </c>
      <c r="AG2" s="1369" t="s">
        <v>4864</v>
      </c>
      <c r="AH2" s="1369" t="s">
        <v>4865</v>
      </c>
      <c r="AI2" s="1369" t="s">
        <v>4866</v>
      </c>
      <c r="AJ2" s="1369" t="s">
        <v>629</v>
      </c>
      <c r="AK2" s="1369" t="s">
        <v>458</v>
      </c>
      <c r="AL2" s="1369" t="s">
        <v>459</v>
      </c>
      <c r="AM2" s="1369" t="s">
        <v>631</v>
      </c>
      <c r="AN2" s="1610" t="s">
        <v>4867</v>
      </c>
      <c r="AO2" s="1610"/>
      <c r="AP2" s="1610"/>
      <c r="AQ2" s="1611" t="s">
        <v>460</v>
      </c>
      <c r="AR2" s="1611"/>
      <c r="AS2" s="1611"/>
      <c r="AT2" s="1610" t="s">
        <v>630</v>
      </c>
      <c r="AU2" s="1610"/>
      <c r="AV2" s="1610"/>
      <c r="AW2" s="1369" t="s">
        <v>4868</v>
      </c>
      <c r="AX2" s="1369" t="s">
        <v>4904</v>
      </c>
      <c r="AY2" s="1370" t="s">
        <v>4869</v>
      </c>
      <c r="AZ2" s="1370" t="s">
        <v>4870</v>
      </c>
      <c r="BA2" s="1369" t="s">
        <v>1670</v>
      </c>
      <c r="BB2" s="1369" t="s">
        <v>4871</v>
      </c>
      <c r="BC2" s="693" t="s">
        <v>4948</v>
      </c>
      <c r="BD2" s="1320" t="s">
        <v>453</v>
      </c>
      <c r="BE2" s="1320" t="s">
        <v>4922</v>
      </c>
      <c r="BF2" s="1320" t="s">
        <v>4915</v>
      </c>
      <c r="BG2" s="1320" t="s">
        <v>457</v>
      </c>
    </row>
    <row r="3" spans="1:59" ht="13">
      <c r="A3" s="1239"/>
      <c r="B3" s="1239"/>
      <c r="C3" s="171"/>
      <c r="D3" s="1239"/>
      <c r="E3" s="1239"/>
      <c r="F3" s="448"/>
      <c r="G3" s="455"/>
      <c r="H3" s="1239"/>
      <c r="I3" s="448"/>
      <c r="J3" s="171"/>
      <c r="K3" s="1239"/>
      <c r="L3" s="1239"/>
      <c r="M3" s="1239"/>
      <c r="N3" s="496" t="s">
        <v>123</v>
      </c>
      <c r="O3" s="496" t="s">
        <v>124</v>
      </c>
      <c r="P3" s="496" t="s">
        <v>125</v>
      </c>
      <c r="Q3" s="1239"/>
      <c r="R3" s="1239"/>
      <c r="S3" s="1239"/>
      <c r="T3" s="496" t="s">
        <v>126</v>
      </c>
      <c r="U3" s="496" t="s">
        <v>127</v>
      </c>
      <c r="V3" s="496" t="s">
        <v>128</v>
      </c>
      <c r="W3" s="496" t="s">
        <v>129</v>
      </c>
      <c r="X3" s="496" t="s">
        <v>130</v>
      </c>
      <c r="Y3" s="496" t="s">
        <v>131</v>
      </c>
      <c r="Z3" s="496" t="s">
        <v>132</v>
      </c>
      <c r="AA3" s="496" t="s">
        <v>133</v>
      </c>
      <c r="AB3" s="496" t="s">
        <v>134</v>
      </c>
      <c r="AC3" s="496" t="s">
        <v>135</v>
      </c>
      <c r="AD3" s="496" t="s">
        <v>136</v>
      </c>
      <c r="AE3" s="496" t="s">
        <v>137</v>
      </c>
      <c r="AF3" s="1239"/>
      <c r="AG3" s="1239"/>
      <c r="AH3" s="1239"/>
      <c r="AI3" s="1239"/>
      <c r="AJ3" s="1239"/>
      <c r="AK3" s="1239"/>
      <c r="AL3" s="1239"/>
      <c r="AM3" s="1239"/>
      <c r="AN3" s="1340" t="s">
        <v>129</v>
      </c>
      <c r="AO3" s="496" t="s">
        <v>130</v>
      </c>
      <c r="AP3" s="496" t="s">
        <v>131</v>
      </c>
      <c r="AQ3" s="546" t="s">
        <v>613</v>
      </c>
      <c r="AR3" s="546" t="s">
        <v>614</v>
      </c>
      <c r="AS3" s="546" t="s">
        <v>615</v>
      </c>
      <c r="AT3" s="546" t="s">
        <v>616</v>
      </c>
      <c r="AU3" s="496" t="s">
        <v>617</v>
      </c>
      <c r="AV3" s="496" t="s">
        <v>618</v>
      </c>
      <c r="AW3" s="1239"/>
      <c r="AX3" s="1239"/>
      <c r="AY3" s="455"/>
      <c r="AZ3" s="455"/>
      <c r="BA3" s="1239"/>
      <c r="BB3" s="1239"/>
      <c r="BD3" s="1239"/>
      <c r="BE3" s="1239"/>
      <c r="BF3" s="1239"/>
      <c r="BG3" s="1239"/>
    </row>
    <row r="4" spans="1:59" ht="15.65" customHeight="1">
      <c r="A4" s="658" t="s">
        <v>4008</v>
      </c>
      <c r="B4" s="658"/>
      <c r="C4" s="739"/>
      <c r="D4" s="658"/>
      <c r="E4" s="658"/>
      <c r="F4" s="661"/>
      <c r="G4" s="662"/>
      <c r="H4" s="658"/>
      <c r="I4" s="661"/>
      <c r="J4" s="739">
        <f>C5+7.5</f>
        <v>2159.7800000000002</v>
      </c>
      <c r="K4" s="658" t="s">
        <v>1662</v>
      </c>
      <c r="L4" s="658"/>
      <c r="M4" s="658"/>
      <c r="N4" s="658"/>
      <c r="O4" s="658"/>
      <c r="P4" s="658"/>
      <c r="Q4" s="658"/>
      <c r="R4" s="658"/>
      <c r="S4" s="662"/>
      <c r="T4" s="658"/>
      <c r="U4" s="658"/>
      <c r="V4" s="658"/>
      <c r="W4" s="658"/>
      <c r="X4" s="658"/>
      <c r="Y4" s="658"/>
      <c r="Z4" s="658"/>
      <c r="AA4" s="658"/>
      <c r="AB4" s="658"/>
      <c r="AC4" s="658"/>
      <c r="AD4" s="658"/>
      <c r="AE4" s="658"/>
      <c r="AF4" s="658"/>
      <c r="AG4" s="739"/>
      <c r="AH4" s="658"/>
      <c r="AI4" s="658"/>
      <c r="AJ4" s="658"/>
      <c r="AK4" s="658"/>
      <c r="AL4" s="658"/>
      <c r="AM4" s="658"/>
      <c r="AN4" s="662"/>
      <c r="AO4" s="658"/>
      <c r="AP4" s="658"/>
      <c r="AQ4" s="662"/>
      <c r="AR4" s="658"/>
      <c r="AS4" s="658"/>
      <c r="AT4" s="662"/>
      <c r="AU4" s="658"/>
      <c r="AV4" s="658"/>
      <c r="AW4" s="658" t="s">
        <v>4427</v>
      </c>
      <c r="AX4" s="658" t="s">
        <v>4434</v>
      </c>
      <c r="AY4" s="662"/>
      <c r="AZ4" s="662">
        <v>3.3</v>
      </c>
      <c r="BA4" s="670" t="s">
        <v>2809</v>
      </c>
      <c r="BB4" s="658"/>
      <c r="BC4" s="169" t="s">
        <v>4955</v>
      </c>
      <c r="BD4" s="1329"/>
      <c r="BE4" s="1330"/>
      <c r="BF4" s="1330"/>
      <c r="BG4" s="1330"/>
    </row>
    <row r="5" spans="1:59" ht="15.65" customHeight="1">
      <c r="A5" s="658"/>
      <c r="B5" s="658" t="s">
        <v>3987</v>
      </c>
      <c r="C5" s="739">
        <v>2152.2800000000002</v>
      </c>
      <c r="D5" s="658"/>
      <c r="E5" s="658"/>
      <c r="F5" s="661">
        <v>1156.7</v>
      </c>
      <c r="G5" s="662"/>
      <c r="H5" s="658" t="s">
        <v>138</v>
      </c>
      <c r="I5" s="661" t="s">
        <v>623</v>
      </c>
      <c r="J5" s="739"/>
      <c r="K5" s="658"/>
      <c r="L5" s="658" t="s">
        <v>899</v>
      </c>
      <c r="M5" s="658" t="s">
        <v>4993</v>
      </c>
      <c r="N5" s="658" t="s">
        <v>144</v>
      </c>
      <c r="O5" s="658"/>
      <c r="P5" s="658"/>
      <c r="Q5" s="658"/>
      <c r="R5" s="658"/>
      <c r="S5" s="662"/>
      <c r="T5" s="658">
        <v>30</v>
      </c>
      <c r="U5" s="658"/>
      <c r="V5" s="658"/>
      <c r="W5" s="658">
        <v>1.4</v>
      </c>
      <c r="X5" s="658"/>
      <c r="Y5" s="658"/>
      <c r="Z5" s="658"/>
      <c r="AA5" s="658"/>
      <c r="AB5" s="658"/>
      <c r="AC5" s="658" t="str">
        <f>IF(OR(AT5&gt;8,AT5&lt;-8),"PH",IF(OR(AT5&gt;5,AT5&lt;-5),"PH-Q",IF(OR(AT5&gt;1,AT5&lt;-1),"PH-C")))</f>
        <v>PH-Q</v>
      </c>
      <c r="AD5" s="658"/>
      <c r="AE5" s="658"/>
      <c r="AF5" s="658"/>
      <c r="AG5" s="739"/>
      <c r="AH5" s="658"/>
      <c r="AI5" s="658"/>
      <c r="AJ5" s="658"/>
      <c r="AK5" s="658"/>
      <c r="AL5" s="658"/>
      <c r="AM5" s="658" t="s">
        <v>1042</v>
      </c>
      <c r="AN5" s="662">
        <v>5.5</v>
      </c>
      <c r="AO5" s="658"/>
      <c r="AP5" s="658"/>
      <c r="AQ5" s="662"/>
      <c r="AR5" s="658"/>
      <c r="AS5" s="658"/>
      <c r="AT5" s="662">
        <f>+ab($U$9,$T$5,$U$13,$G$6,47, 1*$F$9,1200)</f>
        <v>5.9523271373702142</v>
      </c>
      <c r="AU5" s="658"/>
      <c r="AV5" s="658"/>
      <c r="AW5" s="658" t="s">
        <v>4427</v>
      </c>
      <c r="AX5" s="658" t="s">
        <v>4434</v>
      </c>
      <c r="AY5" s="662">
        <v>4.5</v>
      </c>
      <c r="AZ5" s="662"/>
      <c r="BA5" s="1313" t="s">
        <v>2809</v>
      </c>
      <c r="BB5" s="658" t="s">
        <v>4994</v>
      </c>
      <c r="BC5" s="169" t="s">
        <v>4955</v>
      </c>
      <c r="BD5" s="1329"/>
      <c r="BE5" s="1329"/>
      <c r="BF5" s="1330"/>
      <c r="BG5" s="1329"/>
    </row>
    <row r="6" spans="1:59" ht="15.65" customHeight="1">
      <c r="A6" s="647" t="s">
        <v>4010</v>
      </c>
      <c r="B6" s="740"/>
      <c r="C6" s="652"/>
      <c r="D6" s="647"/>
      <c r="E6" s="647"/>
      <c r="F6" s="650"/>
      <c r="G6" s="651">
        <v>47</v>
      </c>
      <c r="H6" s="647"/>
      <c r="I6" s="650"/>
      <c r="J6" s="652"/>
      <c r="K6" s="647"/>
      <c r="L6" s="647"/>
      <c r="M6" s="647"/>
      <c r="N6" s="647"/>
      <c r="O6" s="647"/>
      <c r="P6" s="647"/>
      <c r="Q6" s="647"/>
      <c r="R6" s="647"/>
      <c r="S6" s="651"/>
      <c r="T6" s="647"/>
      <c r="U6" s="647"/>
      <c r="V6" s="647"/>
      <c r="W6" s="647"/>
      <c r="X6" s="647"/>
      <c r="Y6" s="647"/>
      <c r="Z6" s="647"/>
      <c r="AA6" s="647"/>
      <c r="AB6" s="647"/>
      <c r="AC6" s="647"/>
      <c r="AD6" s="647"/>
      <c r="AE6" s="647"/>
      <c r="AF6" s="647"/>
      <c r="AG6" s="652"/>
      <c r="AH6" s="647"/>
      <c r="AI6" s="647"/>
      <c r="AJ6" s="647"/>
      <c r="AK6" s="647"/>
      <c r="AL6" s="647"/>
      <c r="AM6" s="647"/>
      <c r="AN6" s="651"/>
      <c r="AO6" s="647"/>
      <c r="AP6" s="647"/>
      <c r="AQ6" s="651">
        <f>+FL_2($U$9,$T$5,$G$6,1200,9.28, 1*$F$9)</f>
        <v>-0.37438828386920819</v>
      </c>
      <c r="AR6" s="647"/>
      <c r="AS6" s="647"/>
      <c r="AT6" s="651"/>
      <c r="AU6" s="647"/>
      <c r="AV6" s="647"/>
      <c r="AW6" s="647"/>
      <c r="AX6" s="647"/>
      <c r="AY6" s="651"/>
      <c r="AZ6" s="651"/>
      <c r="BA6" s="701"/>
      <c r="BB6" s="647"/>
      <c r="BC6" s="169"/>
      <c r="BD6" s="1330"/>
      <c r="BE6" s="1330"/>
      <c r="BF6" s="1330"/>
      <c r="BG6" s="1330"/>
    </row>
    <row r="7" spans="1:59" ht="15.65" customHeight="1">
      <c r="A7" s="647"/>
      <c r="B7" s="740" t="s">
        <v>4944</v>
      </c>
      <c r="C7" s="652">
        <f>C9+25</f>
        <v>2130.2800000000002</v>
      </c>
      <c r="D7" s="647"/>
      <c r="E7" s="647"/>
      <c r="F7" s="650"/>
      <c r="G7" s="651"/>
      <c r="H7" s="647"/>
      <c r="I7" s="650"/>
      <c r="J7" s="652"/>
      <c r="K7" s="647"/>
      <c r="L7" s="653" t="s">
        <v>4420</v>
      </c>
      <c r="M7" s="653" t="s">
        <v>2402</v>
      </c>
      <c r="N7" s="647"/>
      <c r="O7" s="647"/>
      <c r="P7" s="647"/>
      <c r="Q7" s="647"/>
      <c r="R7" s="647"/>
      <c r="S7" s="651"/>
      <c r="T7" s="647"/>
      <c r="U7" s="647"/>
      <c r="V7" s="647"/>
      <c r="W7" s="647"/>
      <c r="X7" s="647"/>
      <c r="Y7" s="647"/>
      <c r="Z7" s="647"/>
      <c r="AA7" s="647"/>
      <c r="AB7" s="647"/>
      <c r="AC7" s="647"/>
      <c r="AD7" s="647"/>
      <c r="AE7" s="647"/>
      <c r="AF7" s="647"/>
      <c r="AG7" s="652"/>
      <c r="AH7" s="647"/>
      <c r="AI7" s="647"/>
      <c r="AJ7" s="647"/>
      <c r="AK7" s="647"/>
      <c r="AL7" s="647"/>
      <c r="AM7" s="647"/>
      <c r="AN7" s="651"/>
      <c r="AO7" s="647"/>
      <c r="AP7" s="647"/>
      <c r="AQ7" s="651"/>
      <c r="AR7" s="647"/>
      <c r="AS7" s="647"/>
      <c r="AT7" s="651"/>
      <c r="AU7" s="647"/>
      <c r="AV7" s="647"/>
      <c r="AW7" s="647"/>
      <c r="AX7" s="647"/>
      <c r="AY7" s="651"/>
      <c r="AZ7" s="651"/>
      <c r="BA7" s="701"/>
      <c r="BB7" s="647"/>
      <c r="BC7" s="169"/>
      <c r="BD7" s="1329"/>
      <c r="BE7" s="1329"/>
      <c r="BF7" s="1330"/>
      <c r="BG7" s="1330"/>
    </row>
    <row r="8" spans="1:59" ht="15.65" customHeight="1">
      <c r="A8" s="658"/>
      <c r="B8" s="684"/>
      <c r="C8" s="739"/>
      <c r="D8" s="658"/>
      <c r="E8" s="658"/>
      <c r="F8" s="661"/>
      <c r="G8" s="662"/>
      <c r="H8" s="658"/>
      <c r="I8" s="661"/>
      <c r="J8" s="739"/>
      <c r="K8" s="658"/>
      <c r="L8" s="658"/>
      <c r="M8" s="658"/>
      <c r="N8" s="658"/>
      <c r="O8" s="658"/>
      <c r="P8" s="658"/>
      <c r="Q8" s="658"/>
      <c r="R8" s="658"/>
      <c r="S8" s="662"/>
      <c r="T8" s="658"/>
      <c r="U8" s="658"/>
      <c r="V8" s="658"/>
      <c r="W8" s="658"/>
      <c r="X8" s="658"/>
      <c r="Y8" s="658"/>
      <c r="Z8" s="658"/>
      <c r="AA8" s="658"/>
      <c r="AB8" s="658"/>
      <c r="AC8" s="658"/>
      <c r="AD8" s="658"/>
      <c r="AE8" s="658"/>
      <c r="AF8" s="658"/>
      <c r="AG8" s="739"/>
      <c r="AH8" s="658"/>
      <c r="AI8" s="658"/>
      <c r="AJ8" s="658"/>
      <c r="AK8" s="658"/>
      <c r="AL8" s="658"/>
      <c r="AM8" s="658"/>
      <c r="AN8" s="662"/>
      <c r="AO8" s="658"/>
      <c r="AP8" s="658"/>
      <c r="AQ8" s="662"/>
      <c r="AR8" s="658"/>
      <c r="AS8" s="658"/>
      <c r="AT8" s="662"/>
      <c r="AU8" s="658"/>
      <c r="AV8" s="658"/>
      <c r="AW8" s="658"/>
      <c r="AX8" s="658"/>
      <c r="AY8" s="662"/>
      <c r="AZ8" s="662"/>
      <c r="BA8" s="670"/>
      <c r="BB8" s="658"/>
      <c r="BC8" s="169"/>
      <c r="BD8" s="1330"/>
      <c r="BE8" s="1330"/>
      <c r="BF8" s="1330"/>
      <c r="BG8" s="1330"/>
    </row>
    <row r="9" spans="1:59" ht="15.65" customHeight="1">
      <c r="A9" s="658" t="s">
        <v>4020</v>
      </c>
      <c r="B9" s="658" t="s">
        <v>4004</v>
      </c>
      <c r="C9" s="739">
        <f>C5-G6</f>
        <v>2105.2800000000002</v>
      </c>
      <c r="D9" s="658"/>
      <c r="E9" s="658"/>
      <c r="F9" s="661">
        <v>1156.7</v>
      </c>
      <c r="G9" s="662"/>
      <c r="H9" s="658" t="s">
        <v>619</v>
      </c>
      <c r="I9" s="661" t="s">
        <v>1429</v>
      </c>
      <c r="J9" s="739"/>
      <c r="K9" s="658"/>
      <c r="L9" s="658" t="s">
        <v>895</v>
      </c>
      <c r="M9" s="658" t="s">
        <v>4995</v>
      </c>
      <c r="N9" s="658" t="s">
        <v>140</v>
      </c>
      <c r="O9" s="658" t="s">
        <v>144</v>
      </c>
      <c r="P9" s="658"/>
      <c r="Q9" s="658"/>
      <c r="R9" s="658"/>
      <c r="S9" s="662"/>
      <c r="T9" s="658">
        <v>35</v>
      </c>
      <c r="U9" s="658">
        <v>-10</v>
      </c>
      <c r="V9" s="658"/>
      <c r="W9" s="658">
        <v>1.4</v>
      </c>
      <c r="X9" s="658">
        <v>2.2999999999999998</v>
      </c>
      <c r="Y9" s="658"/>
      <c r="Z9" s="658">
        <v>0.45</v>
      </c>
      <c r="AA9" s="658"/>
      <c r="AB9" s="658"/>
      <c r="AC9" s="658"/>
      <c r="AD9" s="658"/>
      <c r="AE9" s="658"/>
      <c r="AF9" s="658"/>
      <c r="AG9" s="739"/>
      <c r="AH9" s="658"/>
      <c r="AI9" s="658"/>
      <c r="AJ9" s="658" t="s">
        <v>3048</v>
      </c>
      <c r="AK9" s="658"/>
      <c r="AL9" s="658"/>
      <c r="AM9" s="658" t="s">
        <v>1042</v>
      </c>
      <c r="AN9" s="662">
        <v>5.5</v>
      </c>
      <c r="AO9" s="658"/>
      <c r="AP9" s="658"/>
      <c r="AQ9" s="662"/>
      <c r="AR9" s="658"/>
      <c r="AS9" s="658"/>
      <c r="AT9" s="662">
        <f>+ab($U$9,$T$5,$U$13,$G$6,47, 1*$F$9,1200)</f>
        <v>5.9523271373702142</v>
      </c>
      <c r="AU9" s="658"/>
      <c r="AV9" s="658"/>
      <c r="AW9" s="663" t="s">
        <v>4427</v>
      </c>
      <c r="AX9" s="663" t="s">
        <v>4434</v>
      </c>
      <c r="AY9" s="665">
        <v>4.5</v>
      </c>
      <c r="AZ9" s="665"/>
      <c r="BA9" s="670" t="s">
        <v>2809</v>
      </c>
      <c r="BB9" s="658" t="s">
        <v>4996</v>
      </c>
      <c r="BC9" s="169" t="s">
        <v>4955</v>
      </c>
      <c r="BD9" s="1329"/>
      <c r="BE9" s="1329"/>
      <c r="BF9" s="1330"/>
      <c r="BG9" s="1329"/>
    </row>
    <row r="10" spans="1:59" ht="15.65" customHeight="1">
      <c r="A10" s="658"/>
      <c r="B10" s="684"/>
      <c r="C10" s="739"/>
      <c r="D10" s="658"/>
      <c r="E10" s="658"/>
      <c r="F10" s="661"/>
      <c r="G10" s="662">
        <v>42</v>
      </c>
      <c r="H10" s="658"/>
      <c r="I10" s="661"/>
      <c r="J10" s="739"/>
      <c r="K10" s="658"/>
      <c r="L10" s="658"/>
      <c r="M10" s="658"/>
      <c r="N10" s="658"/>
      <c r="O10" s="658"/>
      <c r="P10" s="658"/>
      <c r="Q10" s="658"/>
      <c r="R10" s="658"/>
      <c r="S10" s="662"/>
      <c r="T10" s="658"/>
      <c r="U10" s="658"/>
      <c r="V10" s="658"/>
      <c r="W10" s="658"/>
      <c r="X10" s="658"/>
      <c r="Y10" s="658"/>
      <c r="Z10" s="658"/>
      <c r="AA10" s="658"/>
      <c r="AB10" s="658"/>
      <c r="AC10" s="658"/>
      <c r="AD10" s="658"/>
      <c r="AE10" s="658"/>
      <c r="AF10" s="658"/>
      <c r="AG10" s="739"/>
      <c r="AH10" s="658"/>
      <c r="AI10" s="658"/>
      <c r="AJ10" s="658" t="s">
        <v>1360</v>
      </c>
      <c r="AK10" s="658"/>
      <c r="AL10" s="658"/>
      <c r="AM10" s="658"/>
      <c r="AN10" s="662"/>
      <c r="AO10" s="658"/>
      <c r="AP10" s="658"/>
      <c r="AQ10" s="662"/>
      <c r="AR10" s="658"/>
      <c r="AS10" s="658"/>
      <c r="AT10" s="662"/>
      <c r="AU10" s="658"/>
      <c r="AV10" s="658"/>
      <c r="AW10" s="658"/>
      <c r="AX10" s="658"/>
      <c r="AY10" s="662"/>
      <c r="AZ10" s="662"/>
      <c r="BA10" s="670"/>
      <c r="BB10" s="658"/>
      <c r="BC10" s="169"/>
      <c r="BD10" s="1330"/>
      <c r="BE10" s="1330"/>
      <c r="BF10" s="1330"/>
      <c r="BG10" s="1330"/>
    </row>
    <row r="11" spans="1:59" ht="15.65" customHeight="1">
      <c r="A11" s="658"/>
      <c r="B11" s="658" t="s">
        <v>4005</v>
      </c>
      <c r="C11" s="739">
        <f>C9-G10</f>
        <v>2063.2800000000002</v>
      </c>
      <c r="D11" s="658"/>
      <c r="E11" s="658"/>
      <c r="F11" s="661">
        <v>1156.7</v>
      </c>
      <c r="G11" s="662"/>
      <c r="H11" s="658"/>
      <c r="I11" s="661"/>
      <c r="J11" s="739"/>
      <c r="K11" s="658"/>
      <c r="L11" s="658" t="s">
        <v>1699</v>
      </c>
      <c r="M11" s="658" t="s">
        <v>4997</v>
      </c>
      <c r="N11" s="658"/>
      <c r="O11" s="658"/>
      <c r="P11" s="658"/>
      <c r="Q11" s="658"/>
      <c r="R11" s="658"/>
      <c r="S11" s="662"/>
      <c r="T11" s="658"/>
      <c r="U11" s="658"/>
      <c r="V11" s="658"/>
      <c r="W11" s="658"/>
      <c r="X11" s="658"/>
      <c r="Y11" s="658"/>
      <c r="Z11" s="658"/>
      <c r="AA11" s="658"/>
      <c r="AB11" s="658"/>
      <c r="AC11" s="658"/>
      <c r="AD11" s="658"/>
      <c r="AE11" s="658"/>
      <c r="AF11" s="658"/>
      <c r="AG11" s="739"/>
      <c r="AH11" s="658"/>
      <c r="AI11" s="658"/>
      <c r="AJ11" s="658"/>
      <c r="AK11" s="658"/>
      <c r="AL11" s="658"/>
      <c r="AM11" s="658" t="s">
        <v>1042</v>
      </c>
      <c r="AN11" s="662"/>
      <c r="AO11" s="658"/>
      <c r="AP11" s="658"/>
      <c r="AQ11" s="662"/>
      <c r="AR11" s="658"/>
      <c r="AS11" s="658"/>
      <c r="AT11" s="662"/>
      <c r="AU11" s="658"/>
      <c r="AV11" s="658"/>
      <c r="AW11" s="663" t="s">
        <v>4427</v>
      </c>
      <c r="AX11" s="663" t="s">
        <v>4434</v>
      </c>
      <c r="AY11" s="665" t="s">
        <v>4437</v>
      </c>
      <c r="AZ11" s="665"/>
      <c r="BA11" s="670"/>
      <c r="BB11" s="658" t="s">
        <v>4998</v>
      </c>
      <c r="BC11" s="169" t="s">
        <v>4955</v>
      </c>
      <c r="BD11" s="1329"/>
      <c r="BE11" s="1329"/>
      <c r="BF11" s="1330"/>
      <c r="BG11" s="1330"/>
    </row>
    <row r="12" spans="1:59" ht="15.65" customHeight="1">
      <c r="A12" s="658"/>
      <c r="B12" s="684"/>
      <c r="C12" s="739"/>
      <c r="D12" s="658"/>
      <c r="E12" s="658"/>
      <c r="F12" s="661"/>
      <c r="G12" s="662">
        <v>5</v>
      </c>
      <c r="H12" s="658"/>
      <c r="I12" s="661"/>
      <c r="J12" s="739"/>
      <c r="K12" s="658"/>
      <c r="L12" s="658"/>
      <c r="M12" s="658"/>
      <c r="N12" s="658"/>
      <c r="O12" s="658"/>
      <c r="P12" s="658"/>
      <c r="Q12" s="658"/>
      <c r="R12" s="658"/>
      <c r="S12" s="662"/>
      <c r="T12" s="658"/>
      <c r="U12" s="658"/>
      <c r="V12" s="658"/>
      <c r="W12" s="658"/>
      <c r="X12" s="658"/>
      <c r="Y12" s="658"/>
      <c r="Z12" s="658"/>
      <c r="AA12" s="658"/>
      <c r="AB12" s="658"/>
      <c r="AC12" s="658"/>
      <c r="AD12" s="658"/>
      <c r="AE12" s="658"/>
      <c r="AF12" s="658"/>
      <c r="AG12" s="739"/>
      <c r="AH12" s="658"/>
      <c r="AI12" s="658"/>
      <c r="AJ12" s="658"/>
      <c r="AK12" s="658"/>
      <c r="AL12" s="658"/>
      <c r="AM12" s="658"/>
      <c r="AN12" s="662"/>
      <c r="AO12" s="658"/>
      <c r="AP12" s="658"/>
      <c r="AQ12" s="662">
        <f>+FL_1($T$13,$T$9,47,1200,9.28, 1*$F$13)</f>
        <v>0.35002143538259722</v>
      </c>
      <c r="AR12" s="658"/>
      <c r="AS12" s="658"/>
      <c r="AT12" s="662"/>
      <c r="AU12" s="658"/>
      <c r="AV12" s="658"/>
      <c r="AW12" s="658"/>
      <c r="AX12" s="658"/>
      <c r="AY12" s="662"/>
      <c r="AZ12" s="662"/>
      <c r="BA12" s="670"/>
      <c r="BB12" s="658"/>
      <c r="BC12" s="169"/>
      <c r="BD12" s="1330"/>
      <c r="BE12" s="1330"/>
      <c r="BF12" s="1330"/>
      <c r="BG12" s="1330"/>
    </row>
    <row r="13" spans="1:59" ht="15.65" customHeight="1">
      <c r="A13" s="658" t="s">
        <v>4021</v>
      </c>
      <c r="B13" s="658" t="s">
        <v>4006</v>
      </c>
      <c r="C13" s="739">
        <f>C11-G12</f>
        <v>2058.2800000000002</v>
      </c>
      <c r="D13" s="658"/>
      <c r="E13" s="658"/>
      <c r="F13" s="661">
        <v>1156.7</v>
      </c>
      <c r="G13" s="662"/>
      <c r="H13" s="658" t="s">
        <v>619</v>
      </c>
      <c r="I13" s="661" t="s">
        <v>1429</v>
      </c>
      <c r="J13" s="739"/>
      <c r="K13" s="658"/>
      <c r="L13" s="658" t="s">
        <v>895</v>
      </c>
      <c r="M13" s="658" t="s">
        <v>4995</v>
      </c>
      <c r="N13" s="658" t="s">
        <v>144</v>
      </c>
      <c r="O13" s="658" t="s">
        <v>140</v>
      </c>
      <c r="P13" s="658"/>
      <c r="Q13" s="658"/>
      <c r="R13" s="658"/>
      <c r="S13" s="662"/>
      <c r="T13" s="658">
        <v>35</v>
      </c>
      <c r="U13" s="658">
        <v>-10</v>
      </c>
      <c r="V13" s="658"/>
      <c r="W13" s="658">
        <v>1.4</v>
      </c>
      <c r="X13" s="658">
        <v>2.2999999999999998</v>
      </c>
      <c r="Y13" s="658"/>
      <c r="Z13" s="658"/>
      <c r="AA13" s="658">
        <v>0.45</v>
      </c>
      <c r="AB13" s="658"/>
      <c r="AC13" s="658" t="str">
        <f>IF(OR(AT13&gt;8,AT13&lt;-8),"PH",IF(OR(AT13&gt;5,AT13&lt;-5),"PH-Q",IF(OR(AT13&gt;1,AT13&lt;-1),"PH-C")))</f>
        <v>PH-C</v>
      </c>
      <c r="AD13" s="658"/>
      <c r="AE13" s="658"/>
      <c r="AF13" s="658"/>
      <c r="AG13" s="739"/>
      <c r="AH13" s="658"/>
      <c r="AI13" s="658"/>
      <c r="AJ13" s="658" t="s">
        <v>3048</v>
      </c>
      <c r="AK13" s="658"/>
      <c r="AL13" s="658"/>
      <c r="AM13" s="658" t="s">
        <v>1042</v>
      </c>
      <c r="AN13" s="662">
        <v>5.5</v>
      </c>
      <c r="AO13" s="658"/>
      <c r="AP13" s="658"/>
      <c r="AQ13" s="662"/>
      <c r="AR13" s="658"/>
      <c r="AS13" s="658"/>
      <c r="AT13" s="662">
        <f>+ab($T$13,$T$9,$T$15,47,$G$14, 1*$F$13,1200)</f>
        <v>4.592251763609017</v>
      </c>
      <c r="AU13" s="658"/>
      <c r="AV13" s="658"/>
      <c r="AW13" s="663" t="s">
        <v>4427</v>
      </c>
      <c r="AX13" s="663" t="s">
        <v>4434</v>
      </c>
      <c r="AY13" s="665">
        <v>4.5</v>
      </c>
      <c r="AZ13" s="665"/>
      <c r="BA13" s="670" t="s">
        <v>2809</v>
      </c>
      <c r="BB13" s="658" t="s">
        <v>4996</v>
      </c>
      <c r="BC13" s="169" t="s">
        <v>4955</v>
      </c>
      <c r="BD13" s="1329"/>
      <c r="BE13" s="1329"/>
      <c r="BF13" s="1330"/>
      <c r="BG13" s="1329"/>
    </row>
    <row r="14" spans="1:59" ht="15.65" customHeight="1">
      <c r="A14" s="658"/>
      <c r="B14" s="684"/>
      <c r="C14" s="739"/>
      <c r="D14" s="658"/>
      <c r="E14" s="658"/>
      <c r="F14" s="661"/>
      <c r="G14" s="662">
        <v>47</v>
      </c>
      <c r="H14" s="658"/>
      <c r="I14" s="661"/>
      <c r="J14" s="739"/>
      <c r="K14" s="658"/>
      <c r="L14" s="658"/>
      <c r="M14" s="658"/>
      <c r="N14" s="658"/>
      <c r="O14" s="658"/>
      <c r="P14" s="658"/>
      <c r="Q14" s="658"/>
      <c r="R14" s="658"/>
      <c r="S14" s="662"/>
      <c r="T14" s="658"/>
      <c r="U14" s="658"/>
      <c r="V14" s="658"/>
      <c r="W14" s="658"/>
      <c r="X14" s="658"/>
      <c r="Y14" s="658"/>
      <c r="Z14" s="658"/>
      <c r="AA14" s="658"/>
      <c r="AB14" s="658"/>
      <c r="AC14" s="658"/>
      <c r="AD14" s="658"/>
      <c r="AE14" s="658"/>
      <c r="AF14" s="658"/>
      <c r="AG14" s="739"/>
      <c r="AH14" s="658"/>
      <c r="AI14" s="658"/>
      <c r="AJ14" s="658"/>
      <c r="AK14" s="658"/>
      <c r="AL14" s="658"/>
      <c r="AM14" s="658"/>
      <c r="AN14" s="662"/>
      <c r="AO14" s="658"/>
      <c r="AP14" s="658"/>
      <c r="AQ14" s="662">
        <f>+FL_2($U$15,$U$13,$G$14,1200,9.28, 1*$F$15)</f>
        <v>-0.57762466262748713</v>
      </c>
      <c r="AR14" s="658"/>
      <c r="AS14" s="658"/>
      <c r="AT14" s="662"/>
      <c r="AU14" s="658"/>
      <c r="AV14" s="658"/>
      <c r="AW14" s="658"/>
      <c r="AX14" s="658"/>
      <c r="AY14" s="662"/>
      <c r="AZ14" s="662"/>
      <c r="BA14" s="670"/>
      <c r="BB14" s="658"/>
      <c r="BC14" s="169"/>
      <c r="BD14" s="1330"/>
      <c r="BE14" s="1330"/>
      <c r="BF14" s="1330"/>
      <c r="BG14" s="1330"/>
    </row>
    <row r="15" spans="1:59" ht="15.65" customHeight="1">
      <c r="A15" s="658"/>
      <c r="B15" s="658" t="s">
        <v>4003</v>
      </c>
      <c r="C15" s="739">
        <f>C13-G14</f>
        <v>2011.2800000000002</v>
      </c>
      <c r="D15" s="658"/>
      <c r="E15" s="658"/>
      <c r="F15" s="661">
        <v>1156.7</v>
      </c>
      <c r="G15" s="662"/>
      <c r="H15" s="658" t="s">
        <v>619</v>
      </c>
      <c r="I15" s="661"/>
      <c r="J15" s="739"/>
      <c r="K15" s="658"/>
      <c r="L15" s="658" t="s">
        <v>895</v>
      </c>
      <c r="M15" s="658" t="s">
        <v>4995</v>
      </c>
      <c r="N15" s="658" t="s">
        <v>140</v>
      </c>
      <c r="O15" s="658" t="s">
        <v>144</v>
      </c>
      <c r="P15" s="658"/>
      <c r="Q15" s="658"/>
      <c r="R15" s="658"/>
      <c r="S15" s="662"/>
      <c r="T15" s="658">
        <v>30</v>
      </c>
      <c r="U15" s="658">
        <v>-15</v>
      </c>
      <c r="V15" s="658"/>
      <c r="W15" s="658">
        <v>1.4</v>
      </c>
      <c r="X15" s="658">
        <v>2.2999999999999998</v>
      </c>
      <c r="Y15" s="658"/>
      <c r="Z15" s="658">
        <v>0.45</v>
      </c>
      <c r="AA15" s="658"/>
      <c r="AB15" s="658"/>
      <c r="AC15" s="658"/>
      <c r="AD15" s="658"/>
      <c r="AE15" s="658"/>
      <c r="AF15" s="658"/>
      <c r="AG15" s="739"/>
      <c r="AH15" s="658"/>
      <c r="AI15" s="658"/>
      <c r="AJ15" s="658"/>
      <c r="AK15" s="658"/>
      <c r="AL15" s="658"/>
      <c r="AM15" s="658" t="s">
        <v>1042</v>
      </c>
      <c r="AN15" s="662">
        <v>5.5</v>
      </c>
      <c r="AO15" s="658"/>
      <c r="AP15" s="658"/>
      <c r="AQ15" s="662"/>
      <c r="AR15" s="658"/>
      <c r="AS15" s="658"/>
      <c r="AT15" s="662">
        <f>+ab($T$15,$T$13,$T$19,$G$14,47, 1*$F$15,1200)</f>
        <v>4.838038714888854</v>
      </c>
      <c r="AU15" s="658"/>
      <c r="AV15" s="658"/>
      <c r="AW15" s="663" t="s">
        <v>4427</v>
      </c>
      <c r="AX15" s="663" t="s">
        <v>4434</v>
      </c>
      <c r="AY15" s="665">
        <v>4.5</v>
      </c>
      <c r="AZ15" s="665"/>
      <c r="BA15" s="670" t="s">
        <v>2809</v>
      </c>
      <c r="BB15" s="658" t="s">
        <v>4996</v>
      </c>
      <c r="BC15" s="169" t="s">
        <v>4955</v>
      </c>
      <c r="BD15" s="1329"/>
      <c r="BE15" s="1329"/>
      <c r="BF15" s="1330"/>
      <c r="BG15" s="1329"/>
    </row>
    <row r="16" spans="1:59" ht="15.65" customHeight="1">
      <c r="A16" s="658"/>
      <c r="B16" s="684"/>
      <c r="C16" s="739"/>
      <c r="D16" s="658"/>
      <c r="E16" s="658"/>
      <c r="F16" s="661"/>
      <c r="G16" s="662">
        <v>5</v>
      </c>
      <c r="H16" s="658"/>
      <c r="I16" s="661"/>
      <c r="J16" s="739"/>
      <c r="K16" s="658"/>
      <c r="L16" s="658"/>
      <c r="M16" s="658"/>
      <c r="N16" s="658"/>
      <c r="O16" s="658"/>
      <c r="P16" s="658"/>
      <c r="Q16" s="658"/>
      <c r="R16" s="658"/>
      <c r="S16" s="662"/>
      <c r="T16" s="658"/>
      <c r="U16" s="658"/>
      <c r="V16" s="658"/>
      <c r="W16" s="658"/>
      <c r="X16" s="658"/>
      <c r="Y16" s="658"/>
      <c r="Z16" s="658"/>
      <c r="AA16" s="658"/>
      <c r="AB16" s="658"/>
      <c r="AC16" s="658"/>
      <c r="AD16" s="658"/>
      <c r="AE16" s="658"/>
      <c r="AF16" s="658"/>
      <c r="AG16" s="739"/>
      <c r="AH16" s="658"/>
      <c r="AI16" s="658"/>
      <c r="AJ16" s="658"/>
      <c r="AK16" s="658"/>
      <c r="AL16" s="658"/>
      <c r="AM16" s="658"/>
      <c r="AN16" s="662"/>
      <c r="AO16" s="658"/>
      <c r="AP16" s="658"/>
      <c r="AQ16" s="662"/>
      <c r="AR16" s="658"/>
      <c r="AS16" s="658"/>
      <c r="AT16" s="662"/>
      <c r="AU16" s="658"/>
      <c r="AV16" s="658"/>
      <c r="AW16" s="658"/>
      <c r="AX16" s="658"/>
      <c r="AY16" s="662"/>
      <c r="AZ16" s="662"/>
      <c r="BA16" s="670"/>
      <c r="BB16" s="658"/>
      <c r="BC16" s="169"/>
      <c r="BD16" s="1330"/>
      <c r="BE16" s="1330"/>
      <c r="BF16" s="1330"/>
      <c r="BG16" s="1330"/>
    </row>
    <row r="17" spans="1:59" ht="15.65" customHeight="1">
      <c r="A17" s="658"/>
      <c r="B17" s="658" t="s">
        <v>4002</v>
      </c>
      <c r="C17" s="739">
        <f>C15-G16</f>
        <v>2006.2800000000002</v>
      </c>
      <c r="D17" s="658"/>
      <c r="E17" s="658"/>
      <c r="F17" s="661">
        <v>1156.7</v>
      </c>
      <c r="G17" s="662"/>
      <c r="H17" s="658"/>
      <c r="I17" s="661"/>
      <c r="J17" s="739"/>
      <c r="K17" s="658"/>
      <c r="L17" s="658" t="s">
        <v>1699</v>
      </c>
      <c r="M17" s="658" t="s">
        <v>4997</v>
      </c>
      <c r="N17" s="658"/>
      <c r="O17" s="658"/>
      <c r="P17" s="658"/>
      <c r="Q17" s="658"/>
      <c r="R17" s="658"/>
      <c r="S17" s="662"/>
      <c r="T17" s="658"/>
      <c r="U17" s="658"/>
      <c r="V17" s="658"/>
      <c r="W17" s="658"/>
      <c r="X17" s="658"/>
      <c r="Y17" s="658"/>
      <c r="Z17" s="658"/>
      <c r="AA17" s="658"/>
      <c r="AB17" s="658"/>
      <c r="AC17" s="658"/>
      <c r="AD17" s="658"/>
      <c r="AE17" s="658"/>
      <c r="AF17" s="658"/>
      <c r="AG17" s="739"/>
      <c r="AH17" s="658"/>
      <c r="AI17" s="658"/>
      <c r="AJ17" s="658"/>
      <c r="AK17" s="658"/>
      <c r="AL17" s="658"/>
      <c r="AM17" s="658" t="s">
        <v>1042</v>
      </c>
      <c r="AN17" s="662"/>
      <c r="AO17" s="658"/>
      <c r="AP17" s="658"/>
      <c r="AQ17" s="662"/>
      <c r="AR17" s="658"/>
      <c r="AS17" s="658"/>
      <c r="AT17" s="662"/>
      <c r="AU17" s="658"/>
      <c r="AV17" s="658"/>
      <c r="AW17" s="663" t="s">
        <v>4427</v>
      </c>
      <c r="AX17" s="663" t="s">
        <v>4434</v>
      </c>
      <c r="AY17" s="665" t="s">
        <v>4437</v>
      </c>
      <c r="AZ17" s="665"/>
      <c r="BA17" s="670"/>
      <c r="BB17" s="658" t="s">
        <v>4998</v>
      </c>
      <c r="BC17" s="169" t="s">
        <v>4955</v>
      </c>
      <c r="BD17" s="1329"/>
      <c r="BE17" s="1329"/>
      <c r="BF17" s="1330"/>
      <c r="BG17" s="1330"/>
    </row>
    <row r="18" spans="1:59" ht="15.65" customHeight="1">
      <c r="A18" s="658"/>
      <c r="B18" s="684"/>
      <c r="C18" s="739"/>
      <c r="D18" s="658"/>
      <c r="E18" s="658"/>
      <c r="F18" s="661"/>
      <c r="G18" s="662">
        <v>42</v>
      </c>
      <c r="H18" s="658"/>
      <c r="I18" s="661"/>
      <c r="J18" s="739"/>
      <c r="K18" s="658"/>
      <c r="L18" s="658"/>
      <c r="M18" s="658"/>
      <c r="N18" s="658"/>
      <c r="O18" s="658"/>
      <c r="P18" s="658"/>
      <c r="Q18" s="658"/>
      <c r="R18" s="658"/>
      <c r="S18" s="662"/>
      <c r="T18" s="658"/>
      <c r="U18" s="658"/>
      <c r="V18" s="658"/>
      <c r="W18" s="658"/>
      <c r="X18" s="658"/>
      <c r="Y18" s="658"/>
      <c r="Z18" s="658"/>
      <c r="AA18" s="658"/>
      <c r="AB18" s="658"/>
      <c r="AC18" s="658"/>
      <c r="AD18" s="658"/>
      <c r="AE18" s="658"/>
      <c r="AF18" s="658"/>
      <c r="AG18" s="739"/>
      <c r="AH18" s="658"/>
      <c r="AI18" s="658"/>
      <c r="AJ18" s="658"/>
      <c r="AK18" s="658"/>
      <c r="AL18" s="658"/>
      <c r="AM18" s="658"/>
      <c r="AN18" s="662"/>
      <c r="AO18" s="658"/>
      <c r="AP18" s="658"/>
      <c r="AQ18" s="662">
        <f>+FL_1($T$19,$T$15,47,1200,9.28, 1*$F$19)</f>
        <v>0.30002143538259729</v>
      </c>
      <c r="AR18" s="658"/>
      <c r="AS18" s="658"/>
      <c r="AT18" s="662"/>
      <c r="AU18" s="658"/>
      <c r="AV18" s="658"/>
      <c r="AW18" s="658"/>
      <c r="AX18" s="658"/>
      <c r="AY18" s="662"/>
      <c r="AZ18" s="662"/>
      <c r="BA18" s="670"/>
      <c r="BB18" s="658"/>
      <c r="BC18" s="169"/>
      <c r="BD18" s="1330"/>
      <c r="BE18" s="1330"/>
      <c r="BF18" s="1330"/>
      <c r="BG18" s="1330"/>
    </row>
    <row r="19" spans="1:59" ht="15.65" customHeight="1">
      <c r="A19" s="658" t="s">
        <v>4022</v>
      </c>
      <c r="B19" s="684" t="s">
        <v>4029</v>
      </c>
      <c r="C19" s="739">
        <f>C17-G18</f>
        <v>1964.2800000000002</v>
      </c>
      <c r="D19" s="658"/>
      <c r="E19" s="658"/>
      <c r="F19" s="661">
        <v>1156.7</v>
      </c>
      <c r="G19" s="662"/>
      <c r="H19" s="658" t="s">
        <v>619</v>
      </c>
      <c r="I19" s="661" t="s">
        <v>1429</v>
      </c>
      <c r="J19" s="739"/>
      <c r="K19" s="658"/>
      <c r="L19" s="658" t="s">
        <v>895</v>
      </c>
      <c r="M19" s="658" t="s">
        <v>4995</v>
      </c>
      <c r="N19" s="658" t="s">
        <v>144</v>
      </c>
      <c r="O19" s="658" t="s">
        <v>140</v>
      </c>
      <c r="P19" s="658"/>
      <c r="Q19" s="658"/>
      <c r="R19" s="658"/>
      <c r="S19" s="662"/>
      <c r="T19" s="658">
        <v>30</v>
      </c>
      <c r="U19" s="658">
        <v>-15</v>
      </c>
      <c r="V19" s="658"/>
      <c r="W19" s="658">
        <v>1.4</v>
      </c>
      <c r="X19" s="658">
        <v>2.2999999999999998</v>
      </c>
      <c r="Y19" s="658"/>
      <c r="Z19" s="658"/>
      <c r="AA19" s="658">
        <v>0.45</v>
      </c>
      <c r="AB19" s="658"/>
      <c r="AC19" s="658" t="str">
        <f>IF(OR(AT19&gt;8,AT19&lt;-8),"PH",IF(OR(AT19&gt;5,AT19&lt;-5),"PH-Q",IF(OR(AT19&gt;1,AT19&lt;-1),"PH-C")))</f>
        <v>PH-C</v>
      </c>
      <c r="AD19" s="658"/>
      <c r="AE19" s="658"/>
      <c r="AF19" s="658"/>
      <c r="AG19" s="739"/>
      <c r="AH19" s="658"/>
      <c r="AI19" s="658"/>
      <c r="AJ19" s="658" t="s">
        <v>3048</v>
      </c>
      <c r="AK19" s="658"/>
      <c r="AL19" s="658"/>
      <c r="AM19" s="658" t="s">
        <v>1042</v>
      </c>
      <c r="AN19" s="662">
        <v>5.5</v>
      </c>
      <c r="AO19" s="658"/>
      <c r="AP19" s="658"/>
      <c r="AQ19" s="662"/>
      <c r="AR19" s="658"/>
      <c r="AS19" s="658"/>
      <c r="AT19" s="662">
        <f>+ab($T$19,$T$15,$T$23,47,$G$22, 1*$F$19,1200)</f>
        <v>4.7119494219480238</v>
      </c>
      <c r="AU19" s="658"/>
      <c r="AV19" s="658"/>
      <c r="AW19" s="663" t="s">
        <v>4427</v>
      </c>
      <c r="AX19" s="663" t="s">
        <v>4434</v>
      </c>
      <c r="AY19" s="665">
        <v>4.5</v>
      </c>
      <c r="AZ19" s="665"/>
      <c r="BA19" s="670" t="s">
        <v>2809</v>
      </c>
      <c r="BB19" s="658" t="s">
        <v>4996</v>
      </c>
      <c r="BC19" s="169" t="s">
        <v>4955</v>
      </c>
      <c r="BD19" s="1329"/>
      <c r="BE19" s="1329"/>
      <c r="BF19" s="1330"/>
      <c r="BG19" s="1329"/>
    </row>
    <row r="20" spans="1:59" ht="15.65" customHeight="1">
      <c r="A20" s="658"/>
      <c r="B20" s="684"/>
      <c r="C20" s="739"/>
      <c r="D20" s="658"/>
      <c r="E20" s="658"/>
      <c r="F20" s="661"/>
      <c r="G20" s="662"/>
      <c r="H20" s="658"/>
      <c r="I20" s="661"/>
      <c r="J20" s="739"/>
      <c r="K20" s="658"/>
      <c r="L20" s="658"/>
      <c r="M20" s="658"/>
      <c r="N20" s="658"/>
      <c r="O20" s="658"/>
      <c r="P20" s="658"/>
      <c r="Q20" s="658"/>
      <c r="R20" s="658"/>
      <c r="S20" s="662"/>
      <c r="T20" s="658"/>
      <c r="U20" s="658"/>
      <c r="V20" s="658"/>
      <c r="W20" s="658"/>
      <c r="X20" s="658"/>
      <c r="Y20" s="658"/>
      <c r="Z20" s="658"/>
      <c r="AA20" s="658"/>
      <c r="AB20" s="658"/>
      <c r="AC20" s="658"/>
      <c r="AD20" s="658"/>
      <c r="AE20" s="658"/>
      <c r="AF20" s="658"/>
      <c r="AG20" s="739"/>
      <c r="AH20" s="658"/>
      <c r="AI20" s="658"/>
      <c r="AJ20" s="658" t="s">
        <v>1360</v>
      </c>
      <c r="AK20" s="658"/>
      <c r="AL20" s="658"/>
      <c r="AM20" s="658"/>
      <c r="AN20" s="662"/>
      <c r="AO20" s="658"/>
      <c r="AP20" s="658"/>
      <c r="AQ20" s="662"/>
      <c r="AR20" s="658"/>
      <c r="AS20" s="658"/>
      <c r="AT20" s="662"/>
      <c r="AU20" s="658"/>
      <c r="AV20" s="658"/>
      <c r="AW20" s="658"/>
      <c r="AX20" s="658"/>
      <c r="AY20" s="662"/>
      <c r="AZ20" s="662"/>
      <c r="BA20" s="670"/>
      <c r="BB20" s="658"/>
      <c r="BC20" s="169"/>
      <c r="BD20" s="1330"/>
      <c r="BE20" s="1330"/>
      <c r="BF20" s="1330"/>
      <c r="BG20" s="1330"/>
    </row>
    <row r="21" spans="1:59" ht="15.65" customHeight="1">
      <c r="A21" s="658"/>
      <c r="B21" s="684" t="s">
        <v>4945</v>
      </c>
      <c r="C21" s="739">
        <f>C19-25</f>
        <v>1939.2800000000002</v>
      </c>
      <c r="D21" s="658"/>
      <c r="E21" s="658"/>
      <c r="F21" s="661"/>
      <c r="G21" s="662"/>
      <c r="H21" s="658"/>
      <c r="I21" s="661"/>
      <c r="J21" s="739"/>
      <c r="K21" s="658"/>
      <c r="L21" s="663" t="s">
        <v>4420</v>
      </c>
      <c r="M21" s="663" t="s">
        <v>4399</v>
      </c>
      <c r="N21" s="658"/>
      <c r="O21" s="658"/>
      <c r="P21" s="658"/>
      <c r="Q21" s="658"/>
      <c r="R21" s="658"/>
      <c r="S21" s="662"/>
      <c r="T21" s="658"/>
      <c r="U21" s="658"/>
      <c r="V21" s="658"/>
      <c r="W21" s="658"/>
      <c r="X21" s="658"/>
      <c r="Y21" s="658"/>
      <c r="Z21" s="658"/>
      <c r="AA21" s="658"/>
      <c r="AB21" s="658"/>
      <c r="AC21" s="658"/>
      <c r="AD21" s="658"/>
      <c r="AE21" s="658"/>
      <c r="AF21" s="658"/>
      <c r="AG21" s="739"/>
      <c r="AH21" s="658"/>
      <c r="AI21" s="658"/>
      <c r="AJ21" s="658"/>
      <c r="AK21" s="658"/>
      <c r="AL21" s="658"/>
      <c r="AM21" s="658"/>
      <c r="AN21" s="662"/>
      <c r="AO21" s="658"/>
      <c r="AP21" s="658"/>
      <c r="AQ21" s="662"/>
      <c r="AR21" s="658"/>
      <c r="AS21" s="658"/>
      <c r="AT21" s="662"/>
      <c r="AU21" s="658"/>
      <c r="AV21" s="658"/>
      <c r="AW21" s="663" t="s">
        <v>4427</v>
      </c>
      <c r="AX21" s="663" t="s">
        <v>4434</v>
      </c>
      <c r="AY21" s="665"/>
      <c r="AZ21" s="665"/>
      <c r="BA21" s="1400" t="s">
        <v>2809</v>
      </c>
      <c r="BB21" s="658"/>
      <c r="BC21" s="169"/>
      <c r="BD21" s="1329"/>
      <c r="BE21" s="1329"/>
      <c r="BF21" s="1330"/>
      <c r="BG21" s="1330"/>
    </row>
    <row r="22" spans="1:59" ht="15.65" customHeight="1">
      <c r="A22" s="658"/>
      <c r="B22" s="658"/>
      <c r="C22" s="739"/>
      <c r="D22" s="658"/>
      <c r="E22" s="658"/>
      <c r="F22" s="661"/>
      <c r="G22" s="662">
        <v>47</v>
      </c>
      <c r="H22" s="658"/>
      <c r="I22" s="661"/>
      <c r="J22" s="739"/>
      <c r="K22" s="658"/>
      <c r="L22" s="658"/>
      <c r="M22" s="658"/>
      <c r="N22" s="658"/>
      <c r="O22" s="658"/>
      <c r="P22" s="658"/>
      <c r="Q22" s="658"/>
      <c r="R22" s="658"/>
      <c r="S22" s="662"/>
      <c r="T22" s="658"/>
      <c r="U22" s="658"/>
      <c r="V22" s="658"/>
      <c r="W22" s="658"/>
      <c r="X22" s="658"/>
      <c r="Y22" s="658"/>
      <c r="Z22" s="658"/>
      <c r="AA22" s="658"/>
      <c r="AB22" s="658"/>
      <c r="AC22" s="658"/>
      <c r="AD22" s="658"/>
      <c r="AE22" s="658"/>
      <c r="AF22" s="658"/>
      <c r="AG22" s="739"/>
      <c r="AH22" s="658"/>
      <c r="AI22" s="658"/>
      <c r="AJ22" s="658"/>
      <c r="AK22" s="658"/>
      <c r="AL22" s="658"/>
      <c r="AM22" s="658"/>
      <c r="AN22" s="662"/>
      <c r="AO22" s="658"/>
      <c r="AP22" s="658"/>
      <c r="AQ22" s="662">
        <f>+FL_1($T$23,$T$19,$G$22,1200,9.28, 1*$F$23)</f>
        <v>0.30002143538259729</v>
      </c>
      <c r="AR22" s="658"/>
      <c r="AS22" s="658"/>
      <c r="AT22" s="662"/>
      <c r="AU22" s="658"/>
      <c r="AV22" s="658"/>
      <c r="AW22" s="658"/>
      <c r="AX22" s="658"/>
      <c r="AY22" s="662"/>
      <c r="AZ22" s="662"/>
      <c r="BA22" s="670"/>
      <c r="BB22" s="658"/>
      <c r="BC22" s="169"/>
      <c r="BD22" s="1330"/>
      <c r="BE22" s="1330"/>
      <c r="BF22" s="1330"/>
      <c r="BG22" s="1330"/>
    </row>
    <row r="23" spans="1:59" ht="15.65" customHeight="1">
      <c r="A23" s="658"/>
      <c r="B23" s="684" t="s">
        <v>4030</v>
      </c>
      <c r="C23" s="739">
        <f>C19-G22</f>
        <v>1917.2800000000002</v>
      </c>
      <c r="D23" s="658"/>
      <c r="E23" s="658"/>
      <c r="F23" s="661">
        <v>1156.7</v>
      </c>
      <c r="G23" s="662"/>
      <c r="H23" s="658" t="s">
        <v>138</v>
      </c>
      <c r="I23" s="661" t="s">
        <v>623</v>
      </c>
      <c r="J23" s="739"/>
      <c r="K23" s="658"/>
      <c r="L23" s="658" t="s">
        <v>899</v>
      </c>
      <c r="M23" s="658" t="s">
        <v>4993</v>
      </c>
      <c r="N23" s="658" t="s">
        <v>144</v>
      </c>
      <c r="O23" s="658"/>
      <c r="P23" s="658"/>
      <c r="Q23" s="658"/>
      <c r="R23" s="658"/>
      <c r="S23" s="662"/>
      <c r="T23" s="658">
        <v>30</v>
      </c>
      <c r="U23" s="658"/>
      <c r="V23" s="658"/>
      <c r="W23" s="658">
        <v>1.4</v>
      </c>
      <c r="X23" s="658"/>
      <c r="Y23" s="658"/>
      <c r="Z23" s="658"/>
      <c r="AA23" s="658"/>
      <c r="AB23" s="658"/>
      <c r="AC23" s="658" t="str">
        <f>IF(OR(AT23&gt;8,AT23&lt;-8),"PH",IF(OR(AT23&gt;5,AT23&lt;-5),"PH-Q",IF(OR(AT23&gt;1,AT23&lt;-1),"PH-C")))</f>
        <v>PH-C</v>
      </c>
      <c r="AD23" s="658"/>
      <c r="AE23" s="658"/>
      <c r="AF23" s="658"/>
      <c r="AG23" s="739"/>
      <c r="AH23" s="658"/>
      <c r="AI23" s="658"/>
      <c r="AJ23" s="658"/>
      <c r="AK23" s="658"/>
      <c r="AL23" s="658"/>
      <c r="AM23" s="658" t="s">
        <v>1042</v>
      </c>
      <c r="AN23" s="662">
        <v>5.5</v>
      </c>
      <c r="AO23" s="658"/>
      <c r="AP23" s="658"/>
      <c r="AQ23" s="662"/>
      <c r="AR23" s="658"/>
      <c r="AS23" s="658"/>
      <c r="AT23" s="662">
        <f>+ab($T$23,$T$19,$T$25,$G$22,$G$24, 1*$F$23,1200)</f>
        <v>4.6625697937754573</v>
      </c>
      <c r="AU23" s="658"/>
      <c r="AV23" s="658"/>
      <c r="AW23" s="663" t="s">
        <v>4427</v>
      </c>
      <c r="AX23" s="663" t="s">
        <v>4434</v>
      </c>
      <c r="AY23" s="665">
        <v>4.5</v>
      </c>
      <c r="AZ23" s="665"/>
      <c r="BA23" s="670" t="s">
        <v>2809</v>
      </c>
      <c r="BB23" s="658" t="s">
        <v>4994</v>
      </c>
      <c r="BC23" s="169" t="s">
        <v>4955</v>
      </c>
      <c r="BD23" s="1329"/>
      <c r="BE23" s="1329"/>
      <c r="BF23" s="1330"/>
      <c r="BG23" s="1329"/>
    </row>
    <row r="24" spans="1:59" ht="15.65" customHeight="1">
      <c r="A24" s="658" t="s">
        <v>4008</v>
      </c>
      <c r="B24" s="658"/>
      <c r="C24" s="739"/>
      <c r="D24" s="658"/>
      <c r="E24" s="658"/>
      <c r="F24" s="661"/>
      <c r="G24" s="662">
        <v>48</v>
      </c>
      <c r="H24" s="658"/>
      <c r="I24" s="661"/>
      <c r="J24" s="739">
        <f>C23-7.5</f>
        <v>1909.7800000000002</v>
      </c>
      <c r="K24" s="658" t="s">
        <v>1662</v>
      </c>
      <c r="L24" s="658"/>
      <c r="M24" s="658"/>
      <c r="N24" s="658"/>
      <c r="O24" s="658"/>
      <c r="P24" s="658"/>
      <c r="Q24" s="658"/>
      <c r="R24" s="658"/>
      <c r="S24" s="662"/>
      <c r="T24" s="658"/>
      <c r="U24" s="658"/>
      <c r="V24" s="658"/>
      <c r="W24" s="658"/>
      <c r="X24" s="658"/>
      <c r="Y24" s="658"/>
      <c r="Z24" s="658"/>
      <c r="AA24" s="658"/>
      <c r="AB24" s="658"/>
      <c r="AC24" s="658"/>
      <c r="AD24" s="658"/>
      <c r="AE24" s="658"/>
      <c r="AF24" s="658"/>
      <c r="AG24" s="739"/>
      <c r="AH24" s="658"/>
      <c r="AI24" s="658"/>
      <c r="AJ24" s="658"/>
      <c r="AK24" s="658"/>
      <c r="AL24" s="658"/>
      <c r="AM24" s="658"/>
      <c r="AN24" s="662"/>
      <c r="AO24" s="658"/>
      <c r="AP24" s="658"/>
      <c r="AQ24" s="662">
        <f>+FL_1($T$25,$T$23,$G$24,1200,9.28, 1*$F$25)</f>
        <v>0.30002189135712359</v>
      </c>
      <c r="AR24" s="658"/>
      <c r="AS24" s="658"/>
      <c r="AT24" s="662"/>
      <c r="AU24" s="658"/>
      <c r="AV24" s="658"/>
      <c r="AW24" s="658" t="s">
        <v>4427</v>
      </c>
      <c r="AX24" s="658" t="s">
        <v>4434</v>
      </c>
      <c r="AY24" s="662"/>
      <c r="AZ24" s="662">
        <v>3.3</v>
      </c>
      <c r="BA24" s="670" t="s">
        <v>2809</v>
      </c>
      <c r="BB24" s="658"/>
      <c r="BC24" s="169" t="s">
        <v>4955</v>
      </c>
      <c r="BD24" s="1329"/>
      <c r="BE24" s="1330"/>
      <c r="BF24" s="1330"/>
      <c r="BG24" s="1330"/>
    </row>
    <row r="25" spans="1:59" ht="15.65" customHeight="1">
      <c r="A25" s="1239"/>
      <c r="B25" s="572" t="s">
        <v>4031</v>
      </c>
      <c r="C25" s="171">
        <f>C23-G24</f>
        <v>1869.2800000000002</v>
      </c>
      <c r="D25" s="1239"/>
      <c r="E25" s="1239"/>
      <c r="F25" s="448">
        <v>1156.7</v>
      </c>
      <c r="G25" s="455"/>
      <c r="H25" s="1239"/>
      <c r="I25" s="448"/>
      <c r="J25" s="171"/>
      <c r="K25" s="1239"/>
      <c r="L25" s="1239" t="s">
        <v>232</v>
      </c>
      <c r="M25" s="1239" t="s">
        <v>4993</v>
      </c>
      <c r="N25" s="1239" t="s">
        <v>144</v>
      </c>
      <c r="O25" s="1239"/>
      <c r="P25" s="1239"/>
      <c r="Q25" s="1239"/>
      <c r="R25" s="1239"/>
      <c r="S25" s="455"/>
      <c r="T25" s="1239">
        <v>30</v>
      </c>
      <c r="U25" s="1239"/>
      <c r="V25" s="1239"/>
      <c r="W25" s="1239">
        <v>1.4</v>
      </c>
      <c r="X25" s="1239"/>
      <c r="Y25" s="1239"/>
      <c r="Z25" s="1239"/>
      <c r="AA25" s="1239"/>
      <c r="AB25" s="1239"/>
      <c r="AC25" s="1239" t="str">
        <f>IF(OR(AT25&gt;8,AT25&lt;-8),"PH",IF(OR(AT25&gt;5,AT25&lt;-5),"PH-Q",IF(OR(AT25&gt;1,AT25&lt;-1),"PH-C")))</f>
        <v>PH-C</v>
      </c>
      <c r="AD25" s="1239"/>
      <c r="AE25" s="1239"/>
      <c r="AF25" s="1239"/>
      <c r="AG25" s="171"/>
      <c r="AH25" s="1239"/>
      <c r="AI25" s="1239"/>
      <c r="AJ25" s="1239"/>
      <c r="AK25" s="1239"/>
      <c r="AL25" s="1239"/>
      <c r="AM25" s="1239" t="s">
        <v>1042</v>
      </c>
      <c r="AN25" s="455">
        <v>5.5</v>
      </c>
      <c r="AO25" s="1239"/>
      <c r="AP25" s="1239"/>
      <c r="AQ25" s="455"/>
      <c r="AR25" s="1239"/>
      <c r="AS25" s="1239"/>
      <c r="AT25" s="455">
        <f>+ab($T$25,$T$23,$T$27,$G$24,$G$26, 1*$F$25,1200)</f>
        <v>4.61421218011834</v>
      </c>
      <c r="AU25" s="1239"/>
      <c r="AV25" s="1239"/>
      <c r="AW25" s="1239" t="s">
        <v>4427</v>
      </c>
      <c r="AX25" s="1239" t="s">
        <v>4434</v>
      </c>
      <c r="AY25" s="455">
        <v>4.5</v>
      </c>
      <c r="AZ25" s="455"/>
      <c r="BA25" s="671" t="s">
        <v>2809</v>
      </c>
      <c r="BB25" s="1239" t="s">
        <v>4999</v>
      </c>
      <c r="BC25" s="169" t="s">
        <v>4955</v>
      </c>
      <c r="BD25" s="1329"/>
      <c r="BE25" s="1329"/>
      <c r="BF25" s="1330"/>
      <c r="BG25" s="1329"/>
    </row>
    <row r="26" spans="1:59" ht="15.65" customHeight="1">
      <c r="A26" s="1239"/>
      <c r="B26" s="1239"/>
      <c r="C26" s="171"/>
      <c r="D26" s="1239"/>
      <c r="E26" s="1239"/>
      <c r="F26" s="448"/>
      <c r="G26" s="455">
        <v>48</v>
      </c>
      <c r="H26" s="1239"/>
      <c r="I26" s="448"/>
      <c r="J26" s="171"/>
      <c r="K26" s="1239"/>
      <c r="L26" s="1239"/>
      <c r="M26" s="1239"/>
      <c r="N26" s="1239"/>
      <c r="O26" s="1239"/>
      <c r="P26" s="1239"/>
      <c r="Q26" s="1239"/>
      <c r="R26" s="1239"/>
      <c r="S26" s="455"/>
      <c r="T26" s="1239"/>
      <c r="U26" s="1239"/>
      <c r="V26" s="1239"/>
      <c r="W26" s="1239"/>
      <c r="X26" s="1239"/>
      <c r="Y26" s="1239"/>
      <c r="Z26" s="1239"/>
      <c r="AA26" s="1239"/>
      <c r="AB26" s="1239"/>
      <c r="AC26" s="1239"/>
      <c r="AD26" s="1239"/>
      <c r="AE26" s="1239"/>
      <c r="AF26" s="1239"/>
      <c r="AG26" s="171"/>
      <c r="AH26" s="1239"/>
      <c r="AI26" s="1239"/>
      <c r="AJ26" s="1239"/>
      <c r="AK26" s="1239"/>
      <c r="AL26" s="1239"/>
      <c r="AM26" s="1239"/>
      <c r="AN26" s="455"/>
      <c r="AO26" s="1239"/>
      <c r="AP26" s="1239"/>
      <c r="AQ26" s="455">
        <f>+FL_1($T$27,$T$25,$G$26,1200,9.28, 1*$F$27)</f>
        <v>0.30002189135712359</v>
      </c>
      <c r="AR26" s="1239"/>
      <c r="AS26" s="1239"/>
      <c r="AT26" s="455"/>
      <c r="AU26" s="1239"/>
      <c r="AV26" s="1239"/>
      <c r="AW26" s="1239"/>
      <c r="AX26" s="1239"/>
      <c r="AY26" s="455"/>
      <c r="AZ26" s="455"/>
      <c r="BA26" s="671"/>
      <c r="BB26" s="1239"/>
      <c r="BC26" s="169"/>
      <c r="BD26" s="1330"/>
      <c r="BE26" s="1330"/>
      <c r="BF26" s="1330"/>
      <c r="BG26" s="1330"/>
    </row>
    <row r="27" spans="1:59" ht="15.65" customHeight="1">
      <c r="A27" s="1239"/>
      <c r="B27" s="572" t="s">
        <v>4032</v>
      </c>
      <c r="C27" s="171">
        <f>C25-G26</f>
        <v>1821.2800000000002</v>
      </c>
      <c r="D27" s="1239"/>
      <c r="E27" s="1239"/>
      <c r="F27" s="448">
        <v>1156.7</v>
      </c>
      <c r="G27" s="455"/>
      <c r="H27" s="1239"/>
      <c r="I27" s="448"/>
      <c r="J27" s="171"/>
      <c r="K27" s="1239"/>
      <c r="L27" s="1239" t="s">
        <v>232</v>
      </c>
      <c r="M27" s="1239" t="s">
        <v>4993</v>
      </c>
      <c r="N27" s="1239" t="s">
        <v>144</v>
      </c>
      <c r="O27" s="1239"/>
      <c r="P27" s="1239"/>
      <c r="Q27" s="1239"/>
      <c r="R27" s="1239"/>
      <c r="S27" s="455"/>
      <c r="T27" s="1239">
        <v>30</v>
      </c>
      <c r="U27" s="1239"/>
      <c r="V27" s="1239"/>
      <c r="W27" s="1239">
        <v>1.4</v>
      </c>
      <c r="X27" s="1239"/>
      <c r="Y27" s="1239"/>
      <c r="Z27" s="1239"/>
      <c r="AA27" s="1239"/>
      <c r="AB27" s="1239"/>
      <c r="AC27" s="1239" t="str">
        <f>IF(OR(AT27&gt;8,AT27&lt;-8),"PH",IF(OR(AT27&gt;5,AT27&lt;-5),"PH-Q",IF(OR(AT27&gt;1,AT27&lt;-1),"PH-C")))</f>
        <v>PH-C</v>
      </c>
      <c r="AD27" s="1239"/>
      <c r="AE27" s="1239"/>
      <c r="AF27" s="1239"/>
      <c r="AG27" s="171"/>
      <c r="AH27" s="1239"/>
      <c r="AI27" s="1239"/>
      <c r="AJ27" s="1239"/>
      <c r="AK27" s="1239"/>
      <c r="AL27" s="1239"/>
      <c r="AM27" s="1239" t="s">
        <v>1042</v>
      </c>
      <c r="AN27" s="455">
        <v>5.5</v>
      </c>
      <c r="AO27" s="1239"/>
      <c r="AP27" s="1239"/>
      <c r="AQ27" s="455"/>
      <c r="AR27" s="1239"/>
      <c r="AS27" s="1239"/>
      <c r="AT27" s="455">
        <f>+ab($T$27,$T$25,$T$29,$G$26,$G$28, 1*$F$27,1200)</f>
        <v>4.61421218011834</v>
      </c>
      <c r="AU27" s="1239"/>
      <c r="AV27" s="1239"/>
      <c r="AW27" s="1239" t="s">
        <v>4427</v>
      </c>
      <c r="AX27" s="1239" t="s">
        <v>4434</v>
      </c>
      <c r="AY27" s="455">
        <v>4.5</v>
      </c>
      <c r="AZ27" s="455"/>
      <c r="BA27" s="671" t="s">
        <v>2809</v>
      </c>
      <c r="BB27" s="1239" t="s">
        <v>4999</v>
      </c>
      <c r="BC27" s="169" t="s">
        <v>4955</v>
      </c>
      <c r="BD27" s="1329"/>
      <c r="BE27" s="1329"/>
      <c r="BF27" s="1330"/>
      <c r="BG27" s="1329"/>
    </row>
    <row r="28" spans="1:59" ht="15.65" customHeight="1">
      <c r="A28" s="1239"/>
      <c r="B28" s="1239"/>
      <c r="C28" s="171"/>
      <c r="D28" s="1239"/>
      <c r="E28" s="1239"/>
      <c r="F28" s="448"/>
      <c r="G28" s="455">
        <v>48</v>
      </c>
      <c r="H28" s="1239"/>
      <c r="I28" s="448"/>
      <c r="J28" s="171"/>
      <c r="K28" s="1239"/>
      <c r="L28" s="1239"/>
      <c r="M28" s="1239"/>
      <c r="N28" s="1239"/>
      <c r="O28" s="1239"/>
      <c r="P28" s="1239"/>
      <c r="Q28" s="1239"/>
      <c r="R28" s="1239"/>
      <c r="S28" s="455"/>
      <c r="T28" s="1239"/>
      <c r="U28" s="1239"/>
      <c r="V28" s="1239"/>
      <c r="W28" s="1239"/>
      <c r="X28" s="1239"/>
      <c r="Y28" s="1239"/>
      <c r="Z28" s="1239"/>
      <c r="AA28" s="1239"/>
      <c r="AB28" s="1239"/>
      <c r="AC28" s="1239"/>
      <c r="AD28" s="1239"/>
      <c r="AE28" s="1239"/>
      <c r="AF28" s="1239"/>
      <c r="AG28" s="171"/>
      <c r="AH28" s="1239"/>
      <c r="AI28" s="1239"/>
      <c r="AJ28" s="1239"/>
      <c r="AK28" s="1239"/>
      <c r="AL28" s="1239"/>
      <c r="AM28" s="1239"/>
      <c r="AN28" s="455"/>
      <c r="AO28" s="1239"/>
      <c r="AP28" s="1239"/>
      <c r="AQ28" s="455">
        <f>+FL_1($T$29,$T$27,$G$28,1200,9.28, 1*$F$29)</f>
        <v>0.30002189135712359</v>
      </c>
      <c r="AR28" s="1239"/>
      <c r="AS28" s="1239"/>
      <c r="AT28" s="455"/>
      <c r="AU28" s="1239"/>
      <c r="AV28" s="1239"/>
      <c r="AW28" s="1239"/>
      <c r="AX28" s="1239"/>
      <c r="AY28" s="455"/>
      <c r="AZ28" s="455"/>
      <c r="BA28" s="671"/>
      <c r="BB28" s="1239"/>
      <c r="BC28" s="169"/>
      <c r="BD28" s="1330"/>
      <c r="BE28" s="1330"/>
      <c r="BF28" s="1330"/>
      <c r="BG28" s="1330"/>
    </row>
    <row r="29" spans="1:59" ht="15.65" customHeight="1">
      <c r="A29" s="1239"/>
      <c r="B29" s="572" t="s">
        <v>4033</v>
      </c>
      <c r="C29" s="171">
        <f>C27-G28</f>
        <v>1773.2800000000002</v>
      </c>
      <c r="D29" s="1239"/>
      <c r="E29" s="1239"/>
      <c r="F29" s="448">
        <v>1156.7</v>
      </c>
      <c r="G29" s="455"/>
      <c r="H29" s="1239"/>
      <c r="I29" s="448"/>
      <c r="J29" s="171"/>
      <c r="K29" s="1239"/>
      <c r="L29" s="1239" t="s">
        <v>232</v>
      </c>
      <c r="M29" s="1239" t="s">
        <v>4993</v>
      </c>
      <c r="N29" s="1239" t="s">
        <v>144</v>
      </c>
      <c r="O29" s="1239"/>
      <c r="P29" s="1239"/>
      <c r="Q29" s="1239"/>
      <c r="R29" s="1239"/>
      <c r="S29" s="455"/>
      <c r="T29" s="1239">
        <v>30</v>
      </c>
      <c r="U29" s="1239"/>
      <c r="V29" s="1239"/>
      <c r="W29" s="1239">
        <v>1.4</v>
      </c>
      <c r="X29" s="1239"/>
      <c r="Y29" s="1239"/>
      <c r="Z29" s="1239"/>
      <c r="AA29" s="1239"/>
      <c r="AB29" s="1239"/>
      <c r="AC29" s="1239" t="str">
        <f>IF(OR(AT29&gt;8,AT29&lt;-8),"PH",IF(OR(AT29&gt;5,AT29&lt;-5),"PH-Q",IF(OR(AT29&gt;1,AT29&lt;-1),"PH-C")))</f>
        <v>PH-C</v>
      </c>
      <c r="AD29" s="1239"/>
      <c r="AE29" s="1239"/>
      <c r="AF29" s="1239"/>
      <c r="AG29" s="171"/>
      <c r="AH29" s="1239"/>
      <c r="AI29" s="1239"/>
      <c r="AJ29" s="1239"/>
      <c r="AK29" s="1239"/>
      <c r="AL29" s="1239"/>
      <c r="AM29" s="1239" t="s">
        <v>1042</v>
      </c>
      <c r="AN29" s="455">
        <v>5.5</v>
      </c>
      <c r="AO29" s="1239"/>
      <c r="AP29" s="1239"/>
      <c r="AQ29" s="455"/>
      <c r="AR29" s="1239"/>
      <c r="AS29" s="1239"/>
      <c r="AT29" s="455">
        <f>+ab($T$29,$T$27,$T$31,$G$28,$G$30, 1*$F$29,1200)</f>
        <v>4.8665541896906035</v>
      </c>
      <c r="AU29" s="1239"/>
      <c r="AV29" s="1239"/>
      <c r="AW29" s="1239" t="s">
        <v>4427</v>
      </c>
      <c r="AX29" s="1239" t="s">
        <v>4434</v>
      </c>
      <c r="AY29" s="455">
        <v>4.5</v>
      </c>
      <c r="AZ29" s="455"/>
      <c r="BA29" s="671" t="s">
        <v>2809</v>
      </c>
      <c r="BB29" s="1239" t="s">
        <v>5007</v>
      </c>
      <c r="BC29" s="169" t="s">
        <v>4955</v>
      </c>
      <c r="BD29" s="1329"/>
      <c r="BE29" s="1329"/>
      <c r="BF29" s="1330"/>
      <c r="BG29" s="1329"/>
    </row>
    <row r="30" spans="1:59" ht="15.65" customHeight="1">
      <c r="A30" s="1239"/>
      <c r="B30" s="1239"/>
      <c r="C30" s="171"/>
      <c r="D30" s="1239"/>
      <c r="E30" s="1239"/>
      <c r="F30" s="448"/>
      <c r="G30" s="455">
        <v>43</v>
      </c>
      <c r="H30" s="1239"/>
      <c r="I30" s="448"/>
      <c r="J30" s="171">
        <f>C31+7.5</f>
        <v>1737.7800000000002</v>
      </c>
      <c r="K30" s="1239" t="s">
        <v>1666</v>
      </c>
      <c r="L30" s="1239"/>
      <c r="M30" s="1239"/>
      <c r="N30" s="1239"/>
      <c r="O30" s="1239"/>
      <c r="P30" s="1239"/>
      <c r="Q30" s="1239"/>
      <c r="R30" s="1239"/>
      <c r="S30" s="455"/>
      <c r="T30" s="1239"/>
      <c r="U30" s="1239"/>
      <c r="V30" s="1239"/>
      <c r="W30" s="1239"/>
      <c r="X30" s="1239"/>
      <c r="Y30" s="1239"/>
      <c r="Z30" s="1239"/>
      <c r="AA30" s="1239"/>
      <c r="AB30" s="1239"/>
      <c r="AC30" s="1239"/>
      <c r="AD30" s="1239"/>
      <c r="AE30" s="1239"/>
      <c r="AF30" s="1239"/>
      <c r="AG30" s="171"/>
      <c r="AH30" s="1239"/>
      <c r="AI30" s="1239"/>
      <c r="AJ30" s="1239"/>
      <c r="AK30" s="1239"/>
      <c r="AL30" s="1239"/>
      <c r="AM30" s="1239"/>
      <c r="AN30" s="455"/>
      <c r="AO30" s="1239"/>
      <c r="AP30" s="1239"/>
      <c r="AQ30" s="455">
        <f>+FL_1($T$31,$T$29,$G$30,1200,9.28, 1*$F$31)</f>
        <v>0.3</v>
      </c>
      <c r="AR30" s="1239"/>
      <c r="AS30" s="1239"/>
      <c r="AT30" s="455"/>
      <c r="AU30" s="1239"/>
      <c r="AV30" s="1239"/>
      <c r="AW30" s="1239" t="s">
        <v>4427</v>
      </c>
      <c r="AX30" s="1239" t="s">
        <v>4434</v>
      </c>
      <c r="AY30" s="455"/>
      <c r="AZ30" s="455">
        <v>2.8</v>
      </c>
      <c r="BA30" s="1387" t="s">
        <v>2809</v>
      </c>
      <c r="BB30" s="1239"/>
      <c r="BC30" s="169" t="s">
        <v>4955</v>
      </c>
      <c r="BD30" s="1329"/>
      <c r="BE30" s="1330"/>
      <c r="BF30" s="1330"/>
      <c r="BG30" s="1330"/>
    </row>
    <row r="31" spans="1:59" ht="15.65" customHeight="1">
      <c r="A31" s="1239"/>
      <c r="B31" s="572" t="s">
        <v>4034</v>
      </c>
      <c r="C31" s="171">
        <f>C29-G30</f>
        <v>1730.2800000000002</v>
      </c>
      <c r="D31" s="1239"/>
      <c r="E31" s="1239"/>
      <c r="F31" s="448">
        <v>1156.7</v>
      </c>
      <c r="G31" s="455"/>
      <c r="H31" s="1239" t="s">
        <v>873</v>
      </c>
      <c r="I31" s="448"/>
      <c r="J31" s="171"/>
      <c r="K31" s="1239"/>
      <c r="L31" s="1239" t="s">
        <v>232</v>
      </c>
      <c r="M31" s="1239" t="s">
        <v>4993</v>
      </c>
      <c r="N31" s="1239" t="s">
        <v>144</v>
      </c>
      <c r="O31" s="1239"/>
      <c r="P31" s="1239"/>
      <c r="Q31" s="1239"/>
      <c r="R31" s="1239"/>
      <c r="S31" s="455"/>
      <c r="T31" s="1239">
        <v>30</v>
      </c>
      <c r="U31" s="1239"/>
      <c r="V31" s="1239"/>
      <c r="W31" s="1239">
        <v>1.4</v>
      </c>
      <c r="X31" s="1239"/>
      <c r="Y31" s="1239"/>
      <c r="Z31" s="1239"/>
      <c r="AA31" s="1239"/>
      <c r="AB31" s="1239"/>
      <c r="AC31" s="1239" t="str">
        <f>IF(OR(AT31&gt;8,AT31&lt;-8),"PH",IF(OR(AT31&gt;5,AT31&lt;-5),"PH-Q",IF(OR(AT31&gt;1,AT31&lt;-1),"PH-C")))</f>
        <v>PH-C</v>
      </c>
      <c r="AD31" s="1239"/>
      <c r="AE31" s="1239"/>
      <c r="AF31" s="1239"/>
      <c r="AG31" s="171"/>
      <c r="AH31" s="1239"/>
      <c r="AI31" s="1239"/>
      <c r="AJ31" s="1239"/>
      <c r="AK31" s="1239"/>
      <c r="AL31" s="1239"/>
      <c r="AM31" s="1239" t="s">
        <v>1042</v>
      </c>
      <c r="AN31" s="455">
        <v>5.5</v>
      </c>
      <c r="AO31" s="1239"/>
      <c r="AP31" s="1239"/>
      <c r="AQ31" s="455"/>
      <c r="AR31" s="1239"/>
      <c r="AS31" s="1239"/>
      <c r="AT31" s="455">
        <f>+ab($T$31,$T$29,$T$33,$G$30,$G$32, 1*$F$31,1200)</f>
        <v>4.9874434091934745</v>
      </c>
      <c r="AU31" s="1239"/>
      <c r="AV31" s="1239"/>
      <c r="AW31" s="1239" t="s">
        <v>4427</v>
      </c>
      <c r="AX31" s="1239" t="s">
        <v>4434</v>
      </c>
      <c r="AY31" s="455">
        <v>4.5</v>
      </c>
      <c r="AZ31" s="455"/>
      <c r="BA31" s="671" t="s">
        <v>2809</v>
      </c>
      <c r="BB31" s="1239" t="s">
        <v>5000</v>
      </c>
      <c r="BC31" s="169" t="s">
        <v>4955</v>
      </c>
      <c r="BD31" s="1329"/>
      <c r="BE31" s="1329"/>
      <c r="BF31" s="1330"/>
      <c r="BG31" s="1329"/>
    </row>
    <row r="32" spans="1:59" ht="15.65" customHeight="1">
      <c r="A32" s="1239"/>
      <c r="B32" s="1239"/>
      <c r="C32" s="171"/>
      <c r="D32" s="1239"/>
      <c r="E32" s="1239"/>
      <c r="F32" s="448"/>
      <c r="G32" s="455">
        <v>40</v>
      </c>
      <c r="H32" s="1239"/>
      <c r="I32" s="448">
        <f>SUM(G6:G32)</f>
        <v>462</v>
      </c>
      <c r="J32" s="171"/>
      <c r="K32" s="1239"/>
      <c r="L32" s="1239"/>
      <c r="M32" s="1239"/>
      <c r="N32" s="1239"/>
      <c r="O32" s="1239"/>
      <c r="P32" s="1239"/>
      <c r="Q32" s="1239"/>
      <c r="R32" s="1239"/>
      <c r="S32" s="455"/>
      <c r="T32" s="1239"/>
      <c r="U32" s="1239"/>
      <c r="V32" s="1239"/>
      <c r="W32" s="1239"/>
      <c r="X32" s="1239"/>
      <c r="Y32" s="1239"/>
      <c r="Z32" s="1239"/>
      <c r="AA32" s="1239"/>
      <c r="AB32" s="1239"/>
      <c r="AC32" s="1239"/>
      <c r="AD32" s="1239"/>
      <c r="AE32" s="1239"/>
      <c r="AF32" s="1239"/>
      <c r="AG32" s="171"/>
      <c r="AH32" s="1239"/>
      <c r="AI32" s="1239"/>
      <c r="AJ32" s="1239"/>
      <c r="AK32" s="1239"/>
      <c r="AL32" s="1239"/>
      <c r="AM32" s="1239"/>
      <c r="AN32" s="455"/>
      <c r="AO32" s="1239"/>
      <c r="AP32" s="1239"/>
      <c r="AQ32" s="455">
        <f>+FL_1($T$33,$T$31,$G$32,1200,9.28, 1*$F$33)</f>
        <v>0.33605896915546374</v>
      </c>
      <c r="AR32" s="1239"/>
      <c r="AS32" s="1239"/>
      <c r="AT32" s="455"/>
      <c r="AU32" s="1239"/>
      <c r="AV32" s="1239"/>
      <c r="AW32" s="1239"/>
      <c r="AX32" s="1239"/>
      <c r="AY32" s="455"/>
      <c r="AZ32" s="455"/>
      <c r="BA32" s="671"/>
      <c r="BB32" s="1239"/>
      <c r="BC32" s="169"/>
      <c r="BD32" s="1330"/>
      <c r="BE32" s="1330"/>
      <c r="BF32" s="1330"/>
      <c r="BG32" s="1330"/>
    </row>
    <row r="33" spans="1:59" ht="15.65" customHeight="1">
      <c r="A33" s="1239"/>
      <c r="B33" s="572" t="s">
        <v>4035</v>
      </c>
      <c r="C33" s="171">
        <f>C31-G32</f>
        <v>1690.2800000000002</v>
      </c>
      <c r="D33" s="1239"/>
      <c r="E33" s="1239"/>
      <c r="F33" s="448">
        <f>-(253^2)/(1665.76-C33)</f>
        <v>2610.4812398042191</v>
      </c>
      <c r="G33" s="455"/>
      <c r="H33" s="1239" t="s">
        <v>874</v>
      </c>
      <c r="I33" s="448"/>
      <c r="J33" s="171"/>
      <c r="K33" s="1239"/>
      <c r="L33" s="1239" t="s">
        <v>230</v>
      </c>
      <c r="M33" s="1239" t="s">
        <v>5001</v>
      </c>
      <c r="N33" s="1239" t="s">
        <v>144</v>
      </c>
      <c r="O33" s="1239"/>
      <c r="P33" s="1239"/>
      <c r="Q33" s="1239"/>
      <c r="R33" s="1239"/>
      <c r="S33" s="455"/>
      <c r="T33" s="1239">
        <v>20</v>
      </c>
      <c r="U33" s="1239"/>
      <c r="V33" s="1239"/>
      <c r="W33" s="1239">
        <v>1.4</v>
      </c>
      <c r="X33" s="1239"/>
      <c r="Y33" s="1239"/>
      <c r="Z33" s="1239"/>
      <c r="AA33" s="1239"/>
      <c r="AB33" s="1239"/>
      <c r="AC33" s="1239" t="str">
        <f>IF(OR(AT33&gt;8,AT33&lt;-8),"PH",IF(OR(AT33&gt;5,AT33&lt;-5),"PH-Q",IF(OR(AT33&gt;1,AT33&lt;-1),"PH-C")))</f>
        <v>PH-Q</v>
      </c>
      <c r="AD33" s="1239"/>
      <c r="AE33" s="1239"/>
      <c r="AF33" s="1239"/>
      <c r="AG33" s="171"/>
      <c r="AH33" s="1239"/>
      <c r="AI33" s="1239"/>
      <c r="AJ33" s="1239"/>
      <c r="AK33" s="1239"/>
      <c r="AL33" s="1239"/>
      <c r="AM33" s="1239" t="s">
        <v>1042</v>
      </c>
      <c r="AN33" s="455">
        <v>5.5</v>
      </c>
      <c r="AO33" s="1239"/>
      <c r="AP33" s="1239"/>
      <c r="AQ33" s="455"/>
      <c r="AR33" s="1239"/>
      <c r="AS33" s="1239"/>
      <c r="AT33" s="455">
        <f>+ab($T$33,$T$31,$T$35,$G$32,$G$34, 1*$F$33,1200)</f>
        <v>7.5341209642214348</v>
      </c>
      <c r="AU33" s="1239"/>
      <c r="AV33" s="1239"/>
      <c r="AW33" s="1239" t="s">
        <v>4427</v>
      </c>
      <c r="AX33" s="1239" t="s">
        <v>4434</v>
      </c>
      <c r="AY33" s="455">
        <v>4.5</v>
      </c>
      <c r="AZ33" s="455"/>
      <c r="BA33" s="671" t="s">
        <v>2809</v>
      </c>
      <c r="BB33" s="1239" t="s">
        <v>5002</v>
      </c>
      <c r="BC33" s="169" t="s">
        <v>4955</v>
      </c>
      <c r="BD33" s="1329"/>
      <c r="BE33" s="1329"/>
      <c r="BF33" s="1330"/>
      <c r="BG33" s="1329"/>
    </row>
    <row r="34" spans="1:59" ht="15.65" customHeight="1">
      <c r="A34" s="1239"/>
      <c r="B34" s="1239"/>
      <c r="C34" s="171"/>
      <c r="D34" s="1239"/>
      <c r="E34" s="1239"/>
      <c r="F34" s="448"/>
      <c r="G34" s="455">
        <v>40</v>
      </c>
      <c r="H34" s="1239"/>
      <c r="I34" s="448">
        <f>SUM(G34:G60)</f>
        <v>478.4</v>
      </c>
      <c r="J34" s="171"/>
      <c r="K34" s="1239"/>
      <c r="L34" s="1239"/>
      <c r="M34" s="1239"/>
      <c r="N34" s="1239"/>
      <c r="O34" s="1239"/>
      <c r="P34" s="1239"/>
      <c r="Q34" s="1239"/>
      <c r="R34" s="1239"/>
      <c r="S34" s="455"/>
      <c r="T34" s="1239"/>
      <c r="U34" s="1239"/>
      <c r="V34" s="1239"/>
      <c r="W34" s="1239"/>
      <c r="X34" s="1239"/>
      <c r="Y34" s="1239"/>
      <c r="Z34" s="1239"/>
      <c r="AA34" s="1239"/>
      <c r="AB34" s="1239"/>
      <c r="AC34" s="1239"/>
      <c r="AD34" s="1239"/>
      <c r="AE34" s="1239"/>
      <c r="AF34" s="1239"/>
      <c r="AG34" s="171"/>
      <c r="AH34" s="1239"/>
      <c r="AI34" s="1239"/>
      <c r="AJ34" s="1239"/>
      <c r="AK34" s="1239"/>
      <c r="AL34" s="1239"/>
      <c r="AM34" s="1239"/>
      <c r="AN34" s="455"/>
      <c r="AO34" s="1239"/>
      <c r="AP34" s="1239"/>
      <c r="AQ34" s="455">
        <f>+FL_2($T$35,$T$33,$G$34,1200,9.28, 1*$F$35)</f>
        <v>-0.30569036799999999</v>
      </c>
      <c r="AR34" s="1239"/>
      <c r="AS34" s="1239"/>
      <c r="AT34" s="455"/>
      <c r="AU34" s="1239"/>
      <c r="AV34" s="1239"/>
      <c r="AW34" s="1239"/>
      <c r="AX34" s="1239"/>
      <c r="AY34" s="455"/>
      <c r="AZ34" s="455"/>
      <c r="BA34" s="671"/>
      <c r="BB34" s="1239"/>
      <c r="BC34" s="169"/>
      <c r="BD34" s="1330"/>
      <c r="BE34" s="1330"/>
      <c r="BF34" s="1330"/>
      <c r="BG34" s="1330"/>
    </row>
    <row r="35" spans="1:59" ht="15.65" customHeight="1">
      <c r="A35" s="1239"/>
      <c r="B35" s="572" t="s">
        <v>4036</v>
      </c>
      <c r="C35" s="171">
        <f>C33-G34</f>
        <v>1650.2800000000002</v>
      </c>
      <c r="D35" s="1239"/>
      <c r="E35" s="1239"/>
      <c r="F35" s="448">
        <v>0</v>
      </c>
      <c r="G35" s="455"/>
      <c r="H35" s="1239" t="s">
        <v>873</v>
      </c>
      <c r="I35" s="448"/>
      <c r="J35" s="171"/>
      <c r="K35" s="1239"/>
      <c r="L35" s="1239" t="s">
        <v>230</v>
      </c>
      <c r="M35" s="1239" t="s">
        <v>5001</v>
      </c>
      <c r="N35" s="1239" t="s">
        <v>143</v>
      </c>
      <c r="O35" s="1239"/>
      <c r="P35" s="1239"/>
      <c r="Q35" s="1239"/>
      <c r="R35" s="1239"/>
      <c r="S35" s="455"/>
      <c r="T35" s="1239">
        <v>-30</v>
      </c>
      <c r="U35" s="1239"/>
      <c r="V35" s="1239"/>
      <c r="W35" s="1239">
        <v>1.4</v>
      </c>
      <c r="X35" s="1239"/>
      <c r="Y35" s="1239"/>
      <c r="Z35" s="1239"/>
      <c r="AA35" s="1239"/>
      <c r="AB35" s="1239"/>
      <c r="AC35" s="1239" t="str">
        <f>IF(OR(AT35&gt;8,AT35&lt;-8),"PH",IF(OR(AT35&gt;5,AT35&lt;-5),"PH-Q",IF(OR(AT35&gt;1,AT35&lt;-1),"PH-C")))</f>
        <v>PH-Q</v>
      </c>
      <c r="AD35" s="1239"/>
      <c r="AE35" s="1239"/>
      <c r="AF35" s="1239"/>
      <c r="AG35" s="171"/>
      <c r="AH35" s="1239"/>
      <c r="AI35" s="1239"/>
      <c r="AJ35" s="1239"/>
      <c r="AK35" s="1239"/>
      <c r="AL35" s="1239"/>
      <c r="AM35" s="1239" t="s">
        <v>1042</v>
      </c>
      <c r="AN35" s="455">
        <v>5.5</v>
      </c>
      <c r="AO35" s="1239"/>
      <c r="AP35" s="1239"/>
      <c r="AQ35" s="455"/>
      <c r="AR35" s="1239"/>
      <c r="AS35" s="1239"/>
      <c r="AT35" s="455">
        <f>+ab($T$35,$T$33,$T$37,$G$34,$G$36, 1*$F$35,1200)</f>
        <v>-7.6302881150588124</v>
      </c>
      <c r="AU35" s="1239"/>
      <c r="AV35" s="1239"/>
      <c r="AW35" s="1239" t="s">
        <v>4427</v>
      </c>
      <c r="AX35" s="1239" t="s">
        <v>4434</v>
      </c>
      <c r="AY35" s="455">
        <v>4.5</v>
      </c>
      <c r="AZ35" s="455"/>
      <c r="BA35" s="671" t="s">
        <v>2809</v>
      </c>
      <c r="BB35" s="1239" t="s">
        <v>5000</v>
      </c>
      <c r="BC35" s="169" t="s">
        <v>4955</v>
      </c>
      <c r="BD35" s="1329"/>
      <c r="BE35" s="1329"/>
      <c r="BF35" s="1330"/>
      <c r="BG35" s="1329"/>
    </row>
    <row r="36" spans="1:59" ht="15.65" customHeight="1">
      <c r="A36" s="1239"/>
      <c r="B36" s="1239"/>
      <c r="C36" s="171"/>
      <c r="D36" s="1239"/>
      <c r="E36" s="1239"/>
      <c r="F36" s="448"/>
      <c r="G36" s="455">
        <v>40</v>
      </c>
      <c r="H36" s="1239"/>
      <c r="I36" s="448"/>
      <c r="J36" s="171">
        <f>C35-7.5</f>
        <v>1642.7800000000002</v>
      </c>
      <c r="K36" s="1239" t="s">
        <v>1666</v>
      </c>
      <c r="L36" s="1239"/>
      <c r="M36" s="1239"/>
      <c r="N36" s="1239"/>
      <c r="O36" s="1239"/>
      <c r="P36" s="1239"/>
      <c r="Q36" s="1239"/>
      <c r="R36" s="1239"/>
      <c r="S36" s="455"/>
      <c r="T36" s="1239"/>
      <c r="U36" s="1239"/>
      <c r="V36" s="1239"/>
      <c r="W36" s="1239"/>
      <c r="X36" s="1239"/>
      <c r="Y36" s="1239"/>
      <c r="Z36" s="1239"/>
      <c r="AA36" s="1239"/>
      <c r="AB36" s="1239"/>
      <c r="AC36" s="1239"/>
      <c r="AD36" s="1239"/>
      <c r="AE36" s="1239"/>
      <c r="AF36" s="1239"/>
      <c r="AG36" s="171"/>
      <c r="AH36" s="1239"/>
      <c r="AI36" s="1239"/>
      <c r="AJ36" s="1239"/>
      <c r="AK36" s="1239"/>
      <c r="AL36" s="1239"/>
      <c r="AM36" s="1239"/>
      <c r="AN36" s="455"/>
      <c r="AO36" s="1239"/>
      <c r="AP36" s="1239"/>
      <c r="AQ36" s="455">
        <f>+FL_2($T$37,$T$35,$G$36,1200,9.28, 1*$F$37)</f>
        <v>-0.31398320737049001</v>
      </c>
      <c r="AR36" s="1239"/>
      <c r="AS36" s="1239"/>
      <c r="AT36" s="455"/>
      <c r="AU36" s="1239"/>
      <c r="AV36" s="1239"/>
      <c r="AW36" s="1239" t="s">
        <v>4427</v>
      </c>
      <c r="AX36" s="1239" t="s">
        <v>4434</v>
      </c>
      <c r="AY36" s="455"/>
      <c r="AZ36" s="455">
        <v>2.8</v>
      </c>
      <c r="BA36" s="1387" t="s">
        <v>2809</v>
      </c>
      <c r="BB36" s="1239"/>
      <c r="BC36" s="169" t="s">
        <v>4955</v>
      </c>
      <c r="BD36" s="1330"/>
      <c r="BE36" s="1330"/>
      <c r="BF36" s="1330"/>
      <c r="BG36" s="1330"/>
    </row>
    <row r="37" spans="1:59" ht="15.65" customHeight="1">
      <c r="A37" s="1239"/>
      <c r="B37" s="1239" t="s">
        <v>5027</v>
      </c>
      <c r="C37" s="171">
        <f>C35-G36</f>
        <v>1610.2800000000002</v>
      </c>
      <c r="D37" s="1239"/>
      <c r="E37" s="1239"/>
      <c r="F37" s="448">
        <f>(212^2)/(1614.71-C37)</f>
        <v>10145.372460496988</v>
      </c>
      <c r="G37" s="455"/>
      <c r="H37" s="1239"/>
      <c r="I37" s="448"/>
      <c r="J37" s="171"/>
      <c r="K37" s="1239"/>
      <c r="L37" s="1239" t="s">
        <v>230</v>
      </c>
      <c r="M37" s="1239" t="s">
        <v>5001</v>
      </c>
      <c r="N37" s="1239" t="s">
        <v>144</v>
      </c>
      <c r="O37" s="1239"/>
      <c r="P37" s="1239"/>
      <c r="Q37" s="1239"/>
      <c r="R37" s="1239"/>
      <c r="S37" s="455"/>
      <c r="T37" s="1239">
        <v>20</v>
      </c>
      <c r="U37" s="1239"/>
      <c r="V37" s="1239"/>
      <c r="W37" s="1239">
        <v>1.4</v>
      </c>
      <c r="X37" s="1239"/>
      <c r="Y37" s="1239"/>
      <c r="Z37" s="1239"/>
      <c r="AA37" s="1239"/>
      <c r="AB37" s="1239"/>
      <c r="AC37" s="1239" t="str">
        <f>IF(OR(AT37&gt;8,AT37&lt;-8),"PH",IF(OR(AT37&gt;5,AT37&lt;-5),"PH-Q",IF(OR(AT37&gt;1,AT37&lt;-1),"PH-C")))</f>
        <v>PH</v>
      </c>
      <c r="AD37" s="1239"/>
      <c r="AE37" s="1239"/>
      <c r="AF37" s="1239"/>
      <c r="AG37" s="171"/>
      <c r="AH37" s="1239"/>
      <c r="AI37" s="1239"/>
      <c r="AJ37" s="1239"/>
      <c r="AK37" s="1239"/>
      <c r="AL37" s="1239"/>
      <c r="AM37" s="1239" t="s">
        <v>1042</v>
      </c>
      <c r="AN37" s="455">
        <v>5.5</v>
      </c>
      <c r="AO37" s="1239"/>
      <c r="AP37" s="1239"/>
      <c r="AQ37" s="455"/>
      <c r="AR37" s="1239"/>
      <c r="AS37" s="1239"/>
      <c r="AT37" s="455">
        <f>+ab($T$37,$T$35,$T$39,$G$36,$G$38, 1*$F$37,1200)</f>
        <v>13.818335962276839</v>
      </c>
      <c r="AU37" s="1239"/>
      <c r="AV37" s="1239"/>
      <c r="AW37" s="1239" t="s">
        <v>4427</v>
      </c>
      <c r="AX37" s="1239" t="s">
        <v>4434</v>
      </c>
      <c r="AY37" s="455">
        <v>4.5</v>
      </c>
      <c r="AZ37" s="455"/>
      <c r="BA37" s="1387" t="s">
        <v>2809</v>
      </c>
      <c r="BB37" s="1239" t="s">
        <v>4999</v>
      </c>
      <c r="BC37" s="169" t="s">
        <v>4955</v>
      </c>
      <c r="BD37" s="1329"/>
      <c r="BE37" s="1329"/>
      <c r="BF37" s="1330"/>
      <c r="BG37" s="1329"/>
    </row>
    <row r="38" spans="1:59" ht="15.65" customHeight="1">
      <c r="A38" s="1239"/>
      <c r="B38" s="1239"/>
      <c r="C38" s="171"/>
      <c r="D38" s="1239"/>
      <c r="E38" s="1239"/>
      <c r="F38" s="448"/>
      <c r="G38" s="455">
        <v>37.200000000000003</v>
      </c>
      <c r="H38" s="1239"/>
      <c r="I38" s="448"/>
      <c r="J38" s="171"/>
      <c r="K38" s="1239"/>
      <c r="L38" s="1239"/>
      <c r="M38" s="1239"/>
      <c r="N38" s="1239"/>
      <c r="O38" s="1239"/>
      <c r="P38" s="1239"/>
      <c r="Q38" s="1239"/>
      <c r="R38" s="1239"/>
      <c r="S38" s="455"/>
      <c r="T38" s="1239"/>
      <c r="U38" s="1239"/>
      <c r="V38" s="1239"/>
      <c r="W38" s="1239"/>
      <c r="X38" s="1239"/>
      <c r="Y38" s="1239"/>
      <c r="Z38" s="1239"/>
      <c r="AA38" s="1239"/>
      <c r="AB38" s="1239"/>
      <c r="AC38" s="1239"/>
      <c r="AD38" s="1239"/>
      <c r="AE38" s="1239"/>
      <c r="AF38" s="1239"/>
      <c r="AG38" s="171"/>
      <c r="AH38" s="1239"/>
      <c r="AI38" s="1239"/>
      <c r="AJ38" s="1239"/>
      <c r="AK38" s="1239"/>
      <c r="AL38" s="1239"/>
      <c r="AM38" s="1239"/>
      <c r="AN38" s="455"/>
      <c r="AO38" s="1239"/>
      <c r="AP38" s="1239"/>
      <c r="AQ38" s="455">
        <f>+FL_2($T$39,$T$37,$G$38,1200,9.28, 1*$F$39)</f>
        <v>-4.6133906263031405E-2</v>
      </c>
      <c r="AR38" s="1239"/>
      <c r="AS38" s="1239"/>
      <c r="AT38" s="455"/>
      <c r="AU38" s="1239"/>
      <c r="AV38" s="1239"/>
      <c r="AW38" s="1239"/>
      <c r="AX38" s="1239"/>
      <c r="AY38" s="455"/>
      <c r="AZ38" s="455"/>
      <c r="BA38" s="1387"/>
      <c r="BB38" s="1239"/>
      <c r="BC38" s="169"/>
      <c r="BD38" s="1330"/>
      <c r="BE38" s="1330"/>
      <c r="BF38" s="1330"/>
      <c r="BG38" s="1330"/>
    </row>
    <row r="39" spans="1:59" ht="15.65" customHeight="1">
      <c r="A39" s="1239"/>
      <c r="B39" s="714" t="s">
        <v>4037</v>
      </c>
      <c r="C39" s="171">
        <f>C37-G38</f>
        <v>1573.0800000000002</v>
      </c>
      <c r="D39" s="1239"/>
      <c r="E39" s="1239"/>
      <c r="F39" s="448">
        <f>(212^2)/(1614.71-C39)</f>
        <v>1079.6060533269308</v>
      </c>
      <c r="G39" s="455"/>
      <c r="H39" s="1239"/>
      <c r="I39" s="448"/>
      <c r="J39" s="171"/>
      <c r="K39" s="1239"/>
      <c r="L39" s="1239" t="s">
        <v>232</v>
      </c>
      <c r="M39" s="1239" t="s">
        <v>4993</v>
      </c>
      <c r="N39" s="1239" t="s">
        <v>144</v>
      </c>
      <c r="O39" s="1239"/>
      <c r="P39" s="1239"/>
      <c r="Q39" s="1239"/>
      <c r="R39" s="1239"/>
      <c r="S39" s="455"/>
      <c r="T39" s="1239">
        <v>30</v>
      </c>
      <c r="U39" s="1239"/>
      <c r="V39" s="1239"/>
      <c r="W39" s="1239">
        <v>1.4</v>
      </c>
      <c r="X39" s="1239"/>
      <c r="Y39" s="1239"/>
      <c r="Z39" s="1239"/>
      <c r="AA39" s="1239"/>
      <c r="AB39" s="1239"/>
      <c r="AC39" s="1239" t="str">
        <f>IF(OR(AT39&gt;8,AT39&lt;-8),"PH",IF(OR(AT39&gt;5,AT39&lt;-5),"PH-Q",IF(OR(AT39&gt;1,AT39&lt;-1),"PH-C")))</f>
        <v>PH-C</v>
      </c>
      <c r="AD39" s="1239"/>
      <c r="AE39" s="1239"/>
      <c r="AF39" s="1239"/>
      <c r="AG39" s="171"/>
      <c r="AH39" s="1239"/>
      <c r="AI39" s="1239"/>
      <c r="AJ39" s="1239"/>
      <c r="AK39" s="1239"/>
      <c r="AL39" s="1239"/>
      <c r="AM39" s="1239" t="s">
        <v>1042</v>
      </c>
      <c r="AN39" s="455">
        <v>5.5</v>
      </c>
      <c r="AO39" s="1239"/>
      <c r="AP39" s="1239"/>
      <c r="AQ39" s="455"/>
      <c r="AR39" s="1239"/>
      <c r="AS39" s="1239"/>
      <c r="AT39" s="455">
        <f>+ab($T$39,$T$37,$T$41,$G$38,$G$40, 1*$F$39,1200)</f>
        <v>4.4460828940447179</v>
      </c>
      <c r="AU39" s="1239"/>
      <c r="AV39" s="1239"/>
      <c r="AW39" s="1239" t="s">
        <v>4427</v>
      </c>
      <c r="AX39" s="1239" t="s">
        <v>4434</v>
      </c>
      <c r="AY39" s="455">
        <v>4.5</v>
      </c>
      <c r="AZ39" s="455"/>
      <c r="BA39" s="1387" t="s">
        <v>2809</v>
      </c>
      <c r="BB39" s="1239" t="s">
        <v>4999</v>
      </c>
      <c r="BC39" s="169" t="s">
        <v>4955</v>
      </c>
      <c r="BD39" s="1329"/>
      <c r="BE39" s="1329"/>
      <c r="BF39" s="1330"/>
      <c r="BG39" s="1329"/>
    </row>
    <row r="40" spans="1:59" ht="15.65" customHeight="1">
      <c r="A40" s="1419" t="s">
        <v>5020</v>
      </c>
      <c r="B40" s="1419"/>
      <c r="C40" s="1420"/>
      <c r="D40" s="1419"/>
      <c r="E40" s="1419"/>
      <c r="F40" s="1421"/>
      <c r="G40" s="1422">
        <v>50</v>
      </c>
      <c r="H40" s="1419"/>
      <c r="I40" s="1421"/>
      <c r="J40" s="1420"/>
      <c r="K40" s="1419"/>
      <c r="L40" s="1419"/>
      <c r="M40" s="1419"/>
      <c r="N40" s="1419"/>
      <c r="O40" s="1419"/>
      <c r="P40" s="1419"/>
      <c r="Q40" s="1419"/>
      <c r="R40" s="1419"/>
      <c r="S40" s="1422"/>
      <c r="T40" s="1419"/>
      <c r="U40" s="1419"/>
      <c r="V40" s="1419"/>
      <c r="W40" s="1419"/>
      <c r="X40" s="1419"/>
      <c r="Y40" s="1419"/>
      <c r="Z40" s="1419"/>
      <c r="AA40" s="1419"/>
      <c r="AB40" s="1419"/>
      <c r="AC40" s="1419"/>
      <c r="AD40" s="1419"/>
      <c r="AE40" s="1419"/>
      <c r="AF40" s="1419"/>
      <c r="AG40" s="1420"/>
      <c r="AH40" s="1419"/>
      <c r="AI40" s="1419"/>
      <c r="AJ40" s="1419"/>
      <c r="AK40" s="1419"/>
      <c r="AL40" s="1419"/>
      <c r="AM40" s="1419"/>
      <c r="AN40" s="1422"/>
      <c r="AO40" s="1419"/>
      <c r="AP40" s="1419"/>
      <c r="AQ40" s="1422">
        <f>+FL_1($T$41,$T$39,$G$40,1200,9.28, 1*$F$41)</f>
        <v>0.30008446129042388</v>
      </c>
      <c r="AR40" s="1419"/>
      <c r="AS40" s="1419"/>
      <c r="AT40" s="1422"/>
      <c r="AU40" s="1419"/>
      <c r="AV40" s="1419"/>
      <c r="AW40" s="1419" t="s">
        <v>4427</v>
      </c>
      <c r="AX40" s="1419" t="s">
        <v>1371</v>
      </c>
      <c r="AY40" s="1422"/>
      <c r="AZ40" s="1422"/>
      <c r="BA40" s="1423" t="s">
        <v>2809</v>
      </c>
      <c r="BB40" s="1419"/>
      <c r="BC40" s="169" t="s">
        <v>4955</v>
      </c>
      <c r="BD40" s="1330"/>
      <c r="BE40" s="1330"/>
      <c r="BF40" s="1330"/>
      <c r="BG40" s="1330"/>
    </row>
    <row r="41" spans="1:59" ht="15.65" customHeight="1">
      <c r="A41" s="1239"/>
      <c r="B41" s="714" t="s">
        <v>4038</v>
      </c>
      <c r="C41" s="171">
        <f>C39-G40</f>
        <v>1523.0800000000002</v>
      </c>
      <c r="D41" s="1239"/>
      <c r="E41" s="1239"/>
      <c r="F41" s="448">
        <v>900</v>
      </c>
      <c r="G41" s="455"/>
      <c r="H41" s="1239"/>
      <c r="I41" s="448" t="s">
        <v>1039</v>
      </c>
      <c r="J41" s="171">
        <f>C41-7.5</f>
        <v>1515.5800000000002</v>
      </c>
      <c r="K41" s="1239" t="s">
        <v>2788</v>
      </c>
      <c r="L41" s="1239" t="s">
        <v>232</v>
      </c>
      <c r="M41" s="1239" t="s">
        <v>5010</v>
      </c>
      <c r="N41" s="1239" t="s">
        <v>144</v>
      </c>
      <c r="O41" s="1239"/>
      <c r="P41" s="1239"/>
      <c r="Q41" s="1239"/>
      <c r="R41" s="1239"/>
      <c r="S41" s="455"/>
      <c r="T41" s="1239">
        <v>30</v>
      </c>
      <c r="U41" s="1239"/>
      <c r="V41" s="1239"/>
      <c r="W41" s="1239">
        <v>1.4</v>
      </c>
      <c r="X41" s="1239"/>
      <c r="Y41" s="1239"/>
      <c r="Z41" s="1239"/>
      <c r="AA41" s="1239"/>
      <c r="AB41" s="1239"/>
      <c r="AC41" s="1239" t="str">
        <f>IF(OR(AT41&gt;8,AT41&lt;-8),"PH",IF(OR(AT41&gt;5,AT41&lt;-5),"PH-Q",IF(OR(AT41&gt;1,AT41&lt;-1),"PH-C")))</f>
        <v>PH-C</v>
      </c>
      <c r="AD41" s="1239"/>
      <c r="AE41" s="1239"/>
      <c r="AF41" s="1239"/>
      <c r="AG41" s="171"/>
      <c r="AH41" s="1239"/>
      <c r="AI41" s="1239"/>
      <c r="AJ41" s="1239"/>
      <c r="AK41" s="1239"/>
      <c r="AL41" s="1239"/>
      <c r="AM41" s="1239" t="s">
        <v>1042</v>
      </c>
      <c r="AN41" s="455">
        <v>5.5</v>
      </c>
      <c r="AO41" s="1239"/>
      <c r="AP41" s="1239"/>
      <c r="AQ41" s="455"/>
      <c r="AR41" s="1239"/>
      <c r="AS41" s="1239"/>
      <c r="AT41" s="455">
        <f>+ab($T$41,$T$39,$U$43,$G$40,$G$42, 1*$F$41,1200)</f>
        <v>3.4771652624788616</v>
      </c>
      <c r="AU41" s="1239"/>
      <c r="AV41" s="1239"/>
      <c r="AW41" s="1239" t="s">
        <v>4427</v>
      </c>
      <c r="AX41" s="1239" t="s">
        <v>1371</v>
      </c>
      <c r="AY41" s="455">
        <v>3.7</v>
      </c>
      <c r="AZ41" s="455">
        <v>2.8</v>
      </c>
      <c r="BA41" s="671" t="s">
        <v>2809</v>
      </c>
      <c r="BB41" s="1239" t="s">
        <v>4994</v>
      </c>
      <c r="BC41" s="169" t="s">
        <v>4955</v>
      </c>
      <c r="BD41" s="1329"/>
      <c r="BE41" s="1329"/>
      <c r="BF41" s="1330"/>
      <c r="BG41" s="1329"/>
    </row>
    <row r="42" spans="1:59" ht="15.65" customHeight="1">
      <c r="A42" s="1239"/>
      <c r="B42" s="1239"/>
      <c r="C42" s="171"/>
      <c r="D42" s="1239"/>
      <c r="E42" s="1239"/>
      <c r="F42" s="448"/>
      <c r="G42" s="455">
        <v>32.700000000000003</v>
      </c>
      <c r="H42" s="1239"/>
      <c r="I42" s="448"/>
      <c r="J42" s="171">
        <f>C43+7.5</f>
        <v>1497.88</v>
      </c>
      <c r="K42" s="1239" t="s">
        <v>2787</v>
      </c>
      <c r="L42" s="1239"/>
      <c r="M42" s="1239"/>
      <c r="N42" s="1239"/>
      <c r="O42" s="1239"/>
      <c r="P42" s="1239"/>
      <c r="Q42" s="1239"/>
      <c r="R42" s="1239"/>
      <c r="S42" s="455"/>
      <c r="T42" s="1239"/>
      <c r="U42" s="1239"/>
      <c r="V42" s="1239"/>
      <c r="W42" s="1239"/>
      <c r="X42" s="1239"/>
      <c r="Y42" s="1239"/>
      <c r="Z42" s="1239"/>
      <c r="AA42" s="1239"/>
      <c r="AB42" s="1239"/>
      <c r="AC42" s="1239"/>
      <c r="AD42" s="1239"/>
      <c r="AE42" s="1239"/>
      <c r="AF42" s="1239"/>
      <c r="AG42" s="171"/>
      <c r="AH42" s="1239"/>
      <c r="AI42" s="1239"/>
      <c r="AJ42" s="1239"/>
      <c r="AK42" s="1239"/>
      <c r="AL42" s="1239"/>
      <c r="AM42" s="1239"/>
      <c r="AN42" s="455"/>
      <c r="AO42" s="1239"/>
      <c r="AP42" s="1239"/>
      <c r="AQ42" s="455">
        <f>+FL_1($U$43,$T$41,$G$42,1200,9.28, 1*$F$43)</f>
        <v>0.30000000000010657</v>
      </c>
      <c r="AR42" s="1239"/>
      <c r="AS42" s="1239"/>
      <c r="AT42" s="455"/>
      <c r="AU42" s="1239"/>
      <c r="AV42" s="1239"/>
      <c r="AW42" s="1239"/>
      <c r="AX42" s="1239"/>
      <c r="AY42" s="455"/>
      <c r="AZ42" s="455">
        <v>3.3</v>
      </c>
      <c r="BA42" s="1418" t="s">
        <v>2809</v>
      </c>
      <c r="BB42" s="1239"/>
      <c r="BC42" s="169"/>
      <c r="BD42" s="1330"/>
      <c r="BE42" s="1330"/>
      <c r="BF42" s="1330"/>
      <c r="BG42" s="1330"/>
    </row>
    <row r="43" spans="1:59" ht="15.65" customHeight="1">
      <c r="A43" s="1239"/>
      <c r="B43" s="572" t="s">
        <v>4039</v>
      </c>
      <c r="C43" s="171">
        <f>C41-G42</f>
        <v>1490.38</v>
      </c>
      <c r="D43" s="1239"/>
      <c r="E43" s="1239"/>
      <c r="F43" s="448">
        <v>900</v>
      </c>
      <c r="G43" s="455"/>
      <c r="H43" s="1239" t="s">
        <v>890</v>
      </c>
      <c r="I43" s="448" t="s">
        <v>624</v>
      </c>
      <c r="J43" s="171"/>
      <c r="K43" s="1239"/>
      <c r="L43" s="1239" t="s">
        <v>900</v>
      </c>
      <c r="M43" s="1239" t="s">
        <v>5008</v>
      </c>
      <c r="N43" s="1239" t="s">
        <v>144</v>
      </c>
      <c r="O43" s="1239"/>
      <c r="P43" s="1239"/>
      <c r="Q43" s="1239"/>
      <c r="R43" s="1239"/>
      <c r="S43" s="455"/>
      <c r="T43" s="1239">
        <v>30</v>
      </c>
      <c r="U43" s="1239"/>
      <c r="V43" s="1239"/>
      <c r="W43" s="1239">
        <v>1.4</v>
      </c>
      <c r="X43" s="1239"/>
      <c r="Y43" s="1239"/>
      <c r="Z43" s="1239"/>
      <c r="AA43" s="1239"/>
      <c r="AB43" s="1239"/>
      <c r="AC43" s="1239" t="str">
        <f>IF(OR(AT43&gt;8,AT43&lt;-8),"PH",IF(OR(AT43&gt;5,AT43&lt;-5),"PH-Q",IF(OR(AT43&gt;1,AT43&lt;-1),"PH-C")))</f>
        <v>PH-Q</v>
      </c>
      <c r="AD43" s="1239"/>
      <c r="AE43" s="1239"/>
      <c r="AF43" s="1239"/>
      <c r="AG43" s="171"/>
      <c r="AH43" s="1239"/>
      <c r="AI43" s="1239"/>
      <c r="AJ43" s="1239"/>
      <c r="AK43" s="1239"/>
      <c r="AL43" s="1239"/>
      <c r="AM43" s="1239" t="s">
        <v>1042</v>
      </c>
      <c r="AN43" s="455">
        <v>5.5</v>
      </c>
      <c r="AO43" s="1239"/>
      <c r="AP43" s="1239"/>
      <c r="AQ43" s="455"/>
      <c r="AR43" s="1239"/>
      <c r="AS43" s="1239"/>
      <c r="AT43" s="455">
        <f>+ab($T$43,$T$41,$U$45,$G$42,$G$44, 1*$F$43,1200)</f>
        <v>5.0149097440924351</v>
      </c>
      <c r="AU43" s="1239"/>
      <c r="AV43" s="1239"/>
      <c r="AW43" s="1239" t="s">
        <v>4427</v>
      </c>
      <c r="AX43" s="1239" t="s">
        <v>1371</v>
      </c>
      <c r="AY43" s="455">
        <v>3.9</v>
      </c>
      <c r="AZ43" s="455"/>
      <c r="BA43" s="671" t="s">
        <v>2809</v>
      </c>
      <c r="BB43" s="1239" t="s">
        <v>4996</v>
      </c>
      <c r="BC43" s="169" t="s">
        <v>4955</v>
      </c>
      <c r="BD43" s="1329"/>
      <c r="BE43" s="1329"/>
      <c r="BF43" s="1330"/>
      <c r="BG43" s="1329"/>
    </row>
    <row r="44" spans="1:59">
      <c r="A44" s="1239"/>
      <c r="B44" s="1239"/>
      <c r="C44" s="171"/>
      <c r="D44" s="1239"/>
      <c r="E44" s="1239"/>
      <c r="F44" s="448"/>
      <c r="G44" s="455">
        <v>30</v>
      </c>
      <c r="H44" s="1239"/>
      <c r="I44" s="448">
        <v>284</v>
      </c>
      <c r="J44" s="171">
        <f>C43-7.5</f>
        <v>1482.88</v>
      </c>
      <c r="K44" s="1239" t="s">
        <v>2788</v>
      </c>
      <c r="L44" s="1239"/>
      <c r="M44" s="1239"/>
      <c r="N44" s="1239"/>
      <c r="O44" s="1239"/>
      <c r="P44" s="1239"/>
      <c r="Q44" s="1239"/>
      <c r="R44" s="1239"/>
      <c r="S44" s="455"/>
      <c r="T44" s="1239"/>
      <c r="U44" s="1239"/>
      <c r="V44" s="1239"/>
      <c r="W44" s="1239"/>
      <c r="X44" s="1239"/>
      <c r="Y44" s="1239"/>
      <c r="Z44" s="1239"/>
      <c r="AA44" s="1239"/>
      <c r="AB44" s="1239"/>
      <c r="AC44" s="1239"/>
      <c r="AD44" s="1239"/>
      <c r="AE44" s="1239"/>
      <c r="AF44" s="1239"/>
      <c r="AG44" s="171"/>
      <c r="AH44" s="1239"/>
      <c r="AI44" s="1239"/>
      <c r="AJ44" s="1239"/>
      <c r="AK44" s="1239"/>
      <c r="AL44" s="1239"/>
      <c r="AM44" s="1239"/>
      <c r="AN44" s="455"/>
      <c r="AO44" s="1239"/>
      <c r="AP44" s="1239"/>
      <c r="AQ44" s="455">
        <f>+FL_1($U$45,$T$43,$G$44,1200,9.28, 1*$F$45)</f>
        <v>0.32212315079000337</v>
      </c>
      <c r="AR44" s="1239"/>
      <c r="AS44" s="1239"/>
      <c r="AT44" s="455"/>
      <c r="AU44" s="1239"/>
      <c r="AV44" s="1239"/>
      <c r="AW44" s="1239"/>
      <c r="AX44" s="1239"/>
      <c r="AY44" s="455"/>
      <c r="AZ44" s="455">
        <v>2.8</v>
      </c>
      <c r="BA44" s="671" t="s">
        <v>2809</v>
      </c>
      <c r="BB44" s="1239"/>
      <c r="BC44" s="169" t="s">
        <v>4955</v>
      </c>
      <c r="BD44" s="1330"/>
      <c r="BE44" s="1330"/>
      <c r="BF44" s="1330"/>
      <c r="BG44" s="1330"/>
    </row>
    <row r="45" spans="1:59" ht="15.65" customHeight="1">
      <c r="A45" s="467"/>
      <c r="B45" s="590" t="s">
        <v>4040</v>
      </c>
      <c r="C45" s="473">
        <f>C43-G44-0.7</f>
        <v>1459.68</v>
      </c>
      <c r="D45" s="467"/>
      <c r="E45" s="467"/>
      <c r="F45" s="469">
        <f>-(247^2)/(1446.15-C45)</f>
        <v>4509.1648189209254</v>
      </c>
      <c r="G45" s="474"/>
      <c r="H45" s="467" t="s">
        <v>619</v>
      </c>
      <c r="I45" s="469"/>
      <c r="J45" s="473"/>
      <c r="K45" s="467"/>
      <c r="L45" s="467" t="s">
        <v>895</v>
      </c>
      <c r="M45" s="467" t="s">
        <v>2811</v>
      </c>
      <c r="N45" s="467" t="s">
        <v>144</v>
      </c>
      <c r="O45" s="467" t="s">
        <v>144</v>
      </c>
      <c r="P45" s="467"/>
      <c r="Q45" s="467"/>
      <c r="R45" s="467"/>
      <c r="S45" s="474"/>
      <c r="T45" s="467">
        <v>55</v>
      </c>
      <c r="U45" s="467">
        <v>20</v>
      </c>
      <c r="V45" s="467"/>
      <c r="W45" s="467">
        <v>1.4</v>
      </c>
      <c r="X45" s="467">
        <v>1.8</v>
      </c>
      <c r="Y45" s="467"/>
      <c r="Z45" s="467">
        <v>0.3</v>
      </c>
      <c r="AA45" s="467"/>
      <c r="AB45" s="467"/>
      <c r="AC45" s="467" t="str">
        <f>IF(OR(AT45&gt;8,AT45&lt;-8),"PH",IF(OR(AT45&gt;5,AT45&lt;-5),"PH-Q",IF(OR(AT45&gt;1,AT45&lt;-1),"PH-C")))</f>
        <v>PH</v>
      </c>
      <c r="AD45" s="467"/>
      <c r="AE45" s="467"/>
      <c r="AF45" s="467"/>
      <c r="AG45" s="473"/>
      <c r="AH45" s="467"/>
      <c r="AI45" s="467"/>
      <c r="AJ45" s="467"/>
      <c r="AK45" s="467"/>
      <c r="AL45" s="467"/>
      <c r="AM45" s="467" t="s">
        <v>1042</v>
      </c>
      <c r="AN45" s="474">
        <v>5.5</v>
      </c>
      <c r="AO45" s="467"/>
      <c r="AP45" s="467"/>
      <c r="AQ45" s="474"/>
      <c r="AR45" s="467"/>
      <c r="AS45" s="467"/>
      <c r="AT45" s="474">
        <f>+ab($U$45,$T$43,$U$47,$G$44,$G$46, 1*$F$45,1200)</f>
        <v>10.017143786643148</v>
      </c>
      <c r="AU45" s="467"/>
      <c r="AV45" s="467"/>
      <c r="AW45" s="467" t="s">
        <v>5034</v>
      </c>
      <c r="AX45" s="467"/>
      <c r="AY45" s="474"/>
      <c r="AZ45" s="474"/>
      <c r="BA45" s="1534" t="s">
        <v>2809</v>
      </c>
      <c r="BB45" s="467" t="s">
        <v>4996</v>
      </c>
      <c r="BC45" s="169"/>
      <c r="BD45" s="1329"/>
      <c r="BE45" s="1329"/>
      <c r="BF45" s="1330"/>
      <c r="BG45" s="1329"/>
    </row>
    <row r="46" spans="1:59" ht="15.65" customHeight="1">
      <c r="A46" s="467" t="s">
        <v>4009</v>
      </c>
      <c r="B46" s="467"/>
      <c r="C46" s="473"/>
      <c r="D46" s="467"/>
      <c r="E46" s="467"/>
      <c r="F46" s="469"/>
      <c r="G46" s="474">
        <v>37</v>
      </c>
      <c r="H46" s="467"/>
      <c r="I46" s="469"/>
      <c r="J46" s="473"/>
      <c r="K46" s="467"/>
      <c r="L46" s="467"/>
      <c r="M46" s="467"/>
      <c r="N46" s="467"/>
      <c r="O46" s="467"/>
      <c r="P46" s="467"/>
      <c r="Q46" s="467"/>
      <c r="R46" s="467"/>
      <c r="S46" s="474"/>
      <c r="T46" s="467"/>
      <c r="U46" s="467"/>
      <c r="V46" s="467"/>
      <c r="W46" s="467"/>
      <c r="X46" s="467"/>
      <c r="Y46" s="467"/>
      <c r="Z46" s="467"/>
      <c r="AA46" s="467"/>
      <c r="AB46" s="467"/>
      <c r="AC46" s="467"/>
      <c r="AD46" s="467"/>
      <c r="AE46" s="467"/>
      <c r="AF46" s="467"/>
      <c r="AG46" s="473"/>
      <c r="AH46" s="467"/>
      <c r="AI46" s="467"/>
      <c r="AJ46" s="467"/>
      <c r="AK46" s="467"/>
      <c r="AL46" s="467"/>
      <c r="AM46" s="467"/>
      <c r="AN46" s="474"/>
      <c r="AO46" s="467"/>
      <c r="AP46" s="467"/>
      <c r="AQ46" s="474">
        <f>+FL_1($U$47,$U$45,$G$46,1200,9.28, 1*$F$47)</f>
        <v>0.20000000000000076</v>
      </c>
      <c r="AR46" s="467"/>
      <c r="AS46" s="467"/>
      <c r="AT46" s="474"/>
      <c r="AU46" s="467"/>
      <c r="AV46" s="467"/>
      <c r="AW46" s="464"/>
      <c r="AX46" s="464"/>
      <c r="AY46" s="466"/>
      <c r="AZ46" s="466"/>
      <c r="BA46" s="674"/>
      <c r="BB46" s="467"/>
      <c r="BC46" s="169"/>
      <c r="BD46" s="1330"/>
      <c r="BE46" s="1330"/>
      <c r="BF46" s="1330"/>
      <c r="BG46" s="1330"/>
    </row>
    <row r="47" spans="1:59" ht="15.65" customHeight="1">
      <c r="A47" s="467"/>
      <c r="B47" s="685" t="s">
        <v>4041</v>
      </c>
      <c r="C47" s="473">
        <f>C45-G46</f>
        <v>1422.68</v>
      </c>
      <c r="D47" s="467"/>
      <c r="E47" s="467"/>
      <c r="F47" s="469">
        <v>0</v>
      </c>
      <c r="G47" s="474"/>
      <c r="H47" s="467" t="s">
        <v>2776</v>
      </c>
      <c r="I47" s="469"/>
      <c r="J47" s="473"/>
      <c r="K47" s="467"/>
      <c r="L47" s="467" t="s">
        <v>895</v>
      </c>
      <c r="M47" s="467" t="s">
        <v>2811</v>
      </c>
      <c r="N47" s="467" t="s">
        <v>144</v>
      </c>
      <c r="O47" s="467" t="s">
        <v>143</v>
      </c>
      <c r="P47" s="467"/>
      <c r="Q47" s="467"/>
      <c r="R47" s="467"/>
      <c r="S47" s="474"/>
      <c r="T47" s="467">
        <v>-20</v>
      </c>
      <c r="U47" s="467">
        <v>-35</v>
      </c>
      <c r="V47" s="467"/>
      <c r="W47" s="467">
        <v>1.4</v>
      </c>
      <c r="X47" s="467">
        <v>1.8</v>
      </c>
      <c r="Y47" s="467"/>
      <c r="Z47" s="467"/>
      <c r="AA47" s="467"/>
      <c r="AB47" s="467"/>
      <c r="AC47" s="467" t="s">
        <v>2773</v>
      </c>
      <c r="AD47" s="467" t="s">
        <v>1428</v>
      </c>
      <c r="AE47" s="467"/>
      <c r="AF47" s="467"/>
      <c r="AG47" s="473"/>
      <c r="AH47" s="467"/>
      <c r="AI47" s="467"/>
      <c r="AJ47" s="467"/>
      <c r="AK47" s="467"/>
      <c r="AL47" s="467"/>
      <c r="AM47" s="467" t="s">
        <v>1042</v>
      </c>
      <c r="AN47" s="474">
        <v>5.5</v>
      </c>
      <c r="AO47" s="467"/>
      <c r="AP47" s="467"/>
      <c r="AQ47" s="474"/>
      <c r="AR47" s="467"/>
      <c r="AS47" s="467"/>
      <c r="AT47" s="474">
        <f>+ab($U$47,$U$45,-$T$49,$G$46,$G$48, 1*$F$47,1200)</f>
        <v>-6.4274807545702375</v>
      </c>
      <c r="AU47" s="467"/>
      <c r="AV47" s="467"/>
      <c r="AW47" s="467" t="s">
        <v>5034</v>
      </c>
      <c r="AX47" s="467"/>
      <c r="AY47" s="474"/>
      <c r="AZ47" s="474"/>
      <c r="BA47" s="1534" t="s">
        <v>2809</v>
      </c>
      <c r="BB47" s="467" t="s">
        <v>4996</v>
      </c>
      <c r="BC47" s="169"/>
      <c r="BD47" s="1329"/>
      <c r="BE47" s="1329"/>
      <c r="BF47" s="1330"/>
      <c r="BG47" s="1329"/>
    </row>
    <row r="48" spans="1:59" ht="26">
      <c r="A48" s="580" t="s">
        <v>4007</v>
      </c>
      <c r="B48" s="580"/>
      <c r="C48" s="738" t="s">
        <v>3988</v>
      </c>
      <c r="D48" s="1239"/>
      <c r="E48" s="1239"/>
      <c r="F48" s="448"/>
      <c r="G48" s="455">
        <v>37</v>
      </c>
      <c r="H48" s="1239"/>
      <c r="I48" s="448"/>
      <c r="J48" s="171"/>
      <c r="K48" s="455"/>
      <c r="L48" s="1239"/>
      <c r="M48" s="1239"/>
      <c r="N48" s="1239"/>
      <c r="O48" s="1239"/>
      <c r="P48" s="1239"/>
      <c r="Q48" s="1239"/>
      <c r="R48" s="1239"/>
      <c r="S48" s="455"/>
      <c r="T48" s="1239"/>
      <c r="U48" s="1239"/>
      <c r="V48" s="1239"/>
      <c r="W48" s="1239"/>
      <c r="X48" s="1239"/>
      <c r="Y48" s="1239"/>
      <c r="Z48" s="1239"/>
      <c r="AA48" s="1239"/>
      <c r="AB48" s="1239"/>
      <c r="AC48" s="1239"/>
      <c r="AD48" s="1239"/>
      <c r="AE48" s="1239"/>
      <c r="AF48" s="1239"/>
      <c r="AG48" s="171"/>
      <c r="AH48" s="1239"/>
      <c r="AI48" s="1239"/>
      <c r="AJ48" s="1239"/>
      <c r="AK48" s="1239"/>
      <c r="AL48" s="1239"/>
      <c r="AM48" s="1239"/>
      <c r="AN48" s="455"/>
      <c r="AO48" s="1239"/>
      <c r="AP48" s="1239"/>
      <c r="AQ48" s="455">
        <f>+FL_2(-$T$49,$U$47,$G$48,1200,9.28, 1*$F$49)</f>
        <v>-0.3500000000000007</v>
      </c>
      <c r="AR48" s="1239"/>
      <c r="AS48" s="1239"/>
      <c r="AT48" s="455"/>
      <c r="AU48" s="1239"/>
      <c r="AV48" s="1239"/>
      <c r="AW48" s="1239"/>
      <c r="AX48" s="1239"/>
      <c r="AY48" s="455"/>
      <c r="AZ48" s="455"/>
      <c r="BA48" s="1314"/>
      <c r="BB48" s="580"/>
      <c r="BC48" s="169"/>
      <c r="BD48" s="1329"/>
      <c r="BE48" s="1330"/>
      <c r="BF48" s="1330"/>
      <c r="BG48" s="1330"/>
    </row>
    <row r="49" spans="1:59" ht="15.65" customHeight="1">
      <c r="A49" s="1239"/>
      <c r="B49" s="572" t="s">
        <v>3112</v>
      </c>
      <c r="C49" s="171">
        <v>89822.35</v>
      </c>
      <c r="D49" s="1239"/>
      <c r="E49" s="1239"/>
      <c r="F49" s="448">
        <v>-3606</v>
      </c>
      <c r="G49" s="455"/>
      <c r="H49" s="1239"/>
      <c r="I49" s="448"/>
      <c r="J49" s="171"/>
      <c r="K49" s="1239"/>
      <c r="L49" s="1239" t="s">
        <v>642</v>
      </c>
      <c r="M49" s="1239" t="s">
        <v>642</v>
      </c>
      <c r="N49" s="1239" t="s">
        <v>843</v>
      </c>
      <c r="O49" s="1239"/>
      <c r="P49" s="1239"/>
      <c r="Q49" s="1239"/>
      <c r="R49" s="1239"/>
      <c r="S49" s="455"/>
      <c r="T49" s="1239">
        <v>-20</v>
      </c>
      <c r="U49" s="1239"/>
      <c r="V49" s="1239"/>
      <c r="W49" s="1239">
        <v>1.4</v>
      </c>
      <c r="X49" s="1239"/>
      <c r="Y49" s="1239"/>
      <c r="Z49" s="1239"/>
      <c r="AA49" s="1239"/>
      <c r="AB49" s="1239"/>
      <c r="AC49" s="1239" t="str">
        <f>IF(OR(AT49&gt;8,AT49&lt;-8),"PH",IF(OR(AT49&gt;5,AT49&lt;-5),"PH-Q",IF(OR(AT49&gt;1,AT49&lt;-1),"PH-C")))</f>
        <v>PH</v>
      </c>
      <c r="AD49" s="1239"/>
      <c r="AE49" s="1239"/>
      <c r="AF49" s="1239"/>
      <c r="AG49" s="171"/>
      <c r="AH49" s="1239"/>
      <c r="AI49" s="1239"/>
      <c r="AJ49" s="1239"/>
      <c r="AK49" s="1239" t="s">
        <v>139</v>
      </c>
      <c r="AL49" s="1239"/>
      <c r="AM49" s="1239"/>
      <c r="AN49" s="455">
        <v>5.5</v>
      </c>
      <c r="AO49" s="1239"/>
      <c r="AP49" s="1239"/>
      <c r="AQ49" s="455"/>
      <c r="AR49" s="1239"/>
      <c r="AS49" s="1239"/>
      <c r="AT49" s="455">
        <f>+ab(-$T$49,$U$47,$T$51,$G$48,$G$50, 1*$F$49,1200)</f>
        <v>9.6359941430005076</v>
      </c>
      <c r="AU49" s="1239"/>
      <c r="AV49" s="1239"/>
      <c r="AW49" s="1239"/>
      <c r="AX49" s="1239"/>
      <c r="AY49" s="455"/>
      <c r="AZ49" s="455"/>
      <c r="BA49" s="671"/>
      <c r="BB49" s="1239"/>
      <c r="BC49" s="169"/>
      <c r="BD49" s="1330"/>
      <c r="BE49" s="1329"/>
      <c r="BF49" s="1330"/>
      <c r="BG49" s="1329"/>
    </row>
    <row r="50" spans="1:59" ht="15.65" customHeight="1">
      <c r="A50" s="1239"/>
      <c r="B50" s="1239"/>
      <c r="C50" s="171"/>
      <c r="D50" s="1239"/>
      <c r="E50" s="1239"/>
      <c r="F50" s="448"/>
      <c r="G50" s="455">
        <v>34</v>
      </c>
      <c r="H50" s="1239"/>
      <c r="I50" s="448"/>
      <c r="J50" s="171">
        <f>C51-7.5</f>
        <v>89848.85</v>
      </c>
      <c r="K50" s="1239" t="s">
        <v>2787</v>
      </c>
      <c r="L50" s="1239"/>
      <c r="M50" s="1239"/>
      <c r="N50" s="1239"/>
      <c r="O50" s="1239"/>
      <c r="P50" s="1239"/>
      <c r="Q50" s="1239"/>
      <c r="R50" s="1239"/>
      <c r="S50" s="455"/>
      <c r="T50" s="1239"/>
      <c r="U50" s="1239"/>
      <c r="V50" s="1239"/>
      <c r="W50" s="1239"/>
      <c r="X50" s="1239"/>
      <c r="Y50" s="1239"/>
      <c r="Z50" s="1239"/>
      <c r="AA50" s="1239"/>
      <c r="AB50" s="1239"/>
      <c r="AC50" s="1239"/>
      <c r="AD50" s="1239"/>
      <c r="AE50" s="1239"/>
      <c r="AF50" s="1239"/>
      <c r="AG50" s="171"/>
      <c r="AH50" s="1239"/>
      <c r="AI50" s="1239"/>
      <c r="AJ50" s="1239"/>
      <c r="AK50" s="1239"/>
      <c r="AL50" s="1239"/>
      <c r="AM50" s="1239"/>
      <c r="AN50" s="455"/>
      <c r="AO50" s="1239"/>
      <c r="AP50" s="1239"/>
      <c r="AQ50" s="455">
        <f>+FL_2($T$51,-$T$49,$G$50,1200,9.28, 1*$F$51)</f>
        <v>-0.3</v>
      </c>
      <c r="AR50" s="1239"/>
      <c r="AS50" s="1239"/>
      <c r="AT50" s="455"/>
      <c r="AU50" s="1239"/>
      <c r="AV50" s="1239"/>
      <c r="AW50" s="638" t="str">
        <f>VLOOKUP(J50,'Foundation Calculation'!$A$2:$C$33,3,1)</f>
        <v>Soil B</v>
      </c>
      <c r="AX50" s="638" t="str">
        <f>VLOOKUP(J50,'Foundation Calculation'!$E$2:$G$33,3,1)</f>
        <v>PT</v>
      </c>
      <c r="AY50" s="484"/>
      <c r="AZ50" s="484">
        <v>3.3</v>
      </c>
      <c r="BA50" s="1387" t="s">
        <v>2809</v>
      </c>
      <c r="BB50" s="1239"/>
      <c r="BC50" s="169" t="s">
        <v>4955</v>
      </c>
      <c r="BD50" s="1329"/>
      <c r="BE50" s="1330"/>
      <c r="BF50" s="1330"/>
      <c r="BG50" s="1330"/>
    </row>
    <row r="51" spans="1:59" ht="15.65" customHeight="1">
      <c r="A51" s="1239"/>
      <c r="B51" s="572" t="s">
        <v>3113</v>
      </c>
      <c r="C51" s="171">
        <f>+$C$49+$G$50</f>
        <v>89856.35</v>
      </c>
      <c r="D51" s="1239"/>
      <c r="E51" s="1239"/>
      <c r="F51" s="448">
        <v>-2038</v>
      </c>
      <c r="G51" s="455"/>
      <c r="H51" s="1239" t="s">
        <v>138</v>
      </c>
      <c r="I51" s="448" t="s">
        <v>623</v>
      </c>
      <c r="J51" s="171"/>
      <c r="K51" s="1239"/>
      <c r="L51" s="1239" t="s">
        <v>899</v>
      </c>
      <c r="M51" s="1239" t="s">
        <v>5010</v>
      </c>
      <c r="N51" s="1239" t="s">
        <v>143</v>
      </c>
      <c r="O51" s="1239"/>
      <c r="P51" s="1239"/>
      <c r="Q51" s="1239"/>
      <c r="R51" s="1239"/>
      <c r="S51" s="455"/>
      <c r="T51" s="1239">
        <v>-30</v>
      </c>
      <c r="U51" s="1239"/>
      <c r="V51" s="1239"/>
      <c r="W51" s="1239">
        <v>1.4</v>
      </c>
      <c r="X51" s="1239"/>
      <c r="Y51" s="1239"/>
      <c r="Z51" s="1239"/>
      <c r="AA51" s="1239"/>
      <c r="AB51" s="1239"/>
      <c r="AC51" s="1239" t="str">
        <f>IF(OR(AT51&gt;8,AT51&lt;-8),"PH",IF(OR(AT51&gt;5,AT51&lt;-5),"PH-Q",IF(OR(AT51&gt;1,AT51&lt;-1),"PH-C")))</f>
        <v>PH-C</v>
      </c>
      <c r="AD51" s="1239"/>
      <c r="AE51" s="1239"/>
      <c r="AF51" s="1239"/>
      <c r="AG51" s="171"/>
      <c r="AH51" s="1239"/>
      <c r="AI51" s="1239"/>
      <c r="AJ51" s="1239"/>
      <c r="AK51" s="1239"/>
      <c r="AL51" s="1239"/>
      <c r="AM51" s="1239" t="s">
        <v>1042</v>
      </c>
      <c r="AN51" s="455">
        <v>5.5</v>
      </c>
      <c r="AO51" s="1239"/>
      <c r="AP51" s="1239"/>
      <c r="AQ51" s="455"/>
      <c r="AR51" s="1239"/>
      <c r="AS51" s="1239"/>
      <c r="AT51" s="455">
        <f>+ab($T$51,-$T$49,$T$53,$G$50,$G$52, 1*$F$51,1200)</f>
        <v>-4.099063259307612</v>
      </c>
      <c r="AU51" s="1239"/>
      <c r="AV51" s="1239"/>
      <c r="AW51" s="1239" t="str">
        <f>VLOOKUP(C51,'Foundation Calculation'!$A$2:$C$33,3,1)</f>
        <v>Soil B</v>
      </c>
      <c r="AX51" s="1239" t="str">
        <f>VLOOKUP(C51,'Foundation Calculation'!$E$2:$G$33,3,1)</f>
        <v>PT</v>
      </c>
      <c r="AY51" s="455">
        <v>3.7</v>
      </c>
      <c r="AZ51" s="455"/>
      <c r="BA51" s="1387" t="s">
        <v>2809</v>
      </c>
      <c r="BB51" s="1239" t="s">
        <v>4994</v>
      </c>
      <c r="BC51" s="169" t="s">
        <v>4955</v>
      </c>
      <c r="BD51" s="1329"/>
      <c r="BE51" s="1329"/>
      <c r="BF51" s="1330"/>
      <c r="BG51" s="1329"/>
    </row>
    <row r="52" spans="1:59" ht="15.65" customHeight="1">
      <c r="A52" s="1239"/>
      <c r="B52" s="1239"/>
      <c r="C52" s="171"/>
      <c r="D52" s="1239"/>
      <c r="E52" s="1239"/>
      <c r="F52" s="448"/>
      <c r="G52" s="455">
        <v>26</v>
      </c>
      <c r="H52" s="1239"/>
      <c r="I52" s="448" t="s">
        <v>1039</v>
      </c>
      <c r="J52" s="171">
        <f>C53-7.5</f>
        <v>89874.85</v>
      </c>
      <c r="K52" s="1239" t="s">
        <v>2788</v>
      </c>
      <c r="L52" s="1239"/>
      <c r="M52" s="1239"/>
      <c r="N52" s="1239"/>
      <c r="O52" s="1239"/>
      <c r="P52" s="1239"/>
      <c r="Q52" s="1239"/>
      <c r="R52" s="1239"/>
      <c r="S52" s="455"/>
      <c r="T52" s="1239"/>
      <c r="U52" s="1239"/>
      <c r="V52" s="1239"/>
      <c r="W52" s="1239"/>
      <c r="X52" s="1239"/>
      <c r="Y52" s="1239"/>
      <c r="Z52" s="1239"/>
      <c r="AA52" s="1239"/>
      <c r="AB52" s="1239"/>
      <c r="AC52" s="1239"/>
      <c r="AD52" s="1239"/>
      <c r="AE52" s="1239"/>
      <c r="AF52" s="1239"/>
      <c r="AG52" s="171"/>
      <c r="AH52" s="1239"/>
      <c r="AI52" s="1239"/>
      <c r="AJ52" s="1239"/>
      <c r="AK52" s="1239"/>
      <c r="AL52" s="1239"/>
      <c r="AM52" s="1239"/>
      <c r="AN52" s="455"/>
      <c r="AO52" s="1239"/>
      <c r="AP52" s="1239"/>
      <c r="AQ52" s="455">
        <f>+FL_2($U$53,$T$51,$G$52,1200,9.28, 1*$F$53)</f>
        <v>-0.3</v>
      </c>
      <c r="AR52" s="1239"/>
      <c r="AS52" s="1239"/>
      <c r="AT52" s="455"/>
      <c r="AU52" s="1239"/>
      <c r="AV52" s="1239"/>
      <c r="AW52" s="638" t="str">
        <f>VLOOKUP(J52,'Foundation Calculation'!$A$2:$C$33,3,1)</f>
        <v>Soil B</v>
      </c>
      <c r="AX52" s="638" t="str">
        <f>VLOOKUP(J52,'Foundation Calculation'!$E$2:$G$33,3,1)</f>
        <v>PT</v>
      </c>
      <c r="AY52" s="484"/>
      <c r="AZ52" s="484">
        <v>2.8</v>
      </c>
      <c r="BA52" s="1387" t="s">
        <v>2809</v>
      </c>
      <c r="BB52" s="1239"/>
      <c r="BC52" s="169" t="s">
        <v>4955</v>
      </c>
      <c r="BD52" s="1329"/>
      <c r="BE52" s="1330"/>
      <c r="BF52" s="1330"/>
      <c r="BG52" s="1330"/>
    </row>
    <row r="53" spans="1:59" ht="15.65" customHeight="1">
      <c r="A53" s="1239" t="s">
        <v>4042</v>
      </c>
      <c r="B53" s="572" t="s">
        <v>3114</v>
      </c>
      <c r="C53" s="171">
        <f>+$C$51+$G$52</f>
        <v>89882.35</v>
      </c>
      <c r="D53" s="1239"/>
      <c r="E53" s="1239"/>
      <c r="F53" s="448">
        <v>-669</v>
      </c>
      <c r="G53" s="455"/>
      <c r="H53" s="1239" t="s">
        <v>619</v>
      </c>
      <c r="I53" s="448" t="s">
        <v>2685</v>
      </c>
      <c r="J53" s="171"/>
      <c r="K53" s="1239"/>
      <c r="L53" s="1239" t="s">
        <v>895</v>
      </c>
      <c r="M53" s="1239" t="s">
        <v>5009</v>
      </c>
      <c r="N53" s="1239" t="s">
        <v>140</v>
      </c>
      <c r="O53" s="1239" t="s">
        <v>143</v>
      </c>
      <c r="P53" s="1239"/>
      <c r="Q53" s="1239"/>
      <c r="R53" s="1239"/>
      <c r="S53" s="455"/>
      <c r="T53" s="1239">
        <v>15</v>
      </c>
      <c r="U53" s="1239">
        <v>-30</v>
      </c>
      <c r="V53" s="1239"/>
      <c r="W53" s="1239">
        <v>1.4</v>
      </c>
      <c r="X53" s="1239">
        <v>1.8</v>
      </c>
      <c r="Y53" s="1239"/>
      <c r="Z53" s="1239">
        <v>40</v>
      </c>
      <c r="AA53" s="1239"/>
      <c r="AB53" s="1239"/>
      <c r="AC53" s="1239"/>
      <c r="AD53" s="1239"/>
      <c r="AE53" s="1239"/>
      <c r="AF53" s="1239"/>
      <c r="AG53" s="171"/>
      <c r="AH53" s="1239"/>
      <c r="AI53" s="1239"/>
      <c r="AJ53" s="1239" t="s">
        <v>877</v>
      </c>
      <c r="AK53" s="1239"/>
      <c r="AL53" s="1239"/>
      <c r="AM53" s="1239" t="s">
        <v>1042</v>
      </c>
      <c r="AN53" s="455">
        <v>5.5</v>
      </c>
      <c r="AO53" s="1239"/>
      <c r="AP53" s="1239"/>
      <c r="AQ53" s="455"/>
      <c r="AR53" s="1239"/>
      <c r="AS53" s="1239"/>
      <c r="AT53" s="455">
        <f>+ab($U$53,$T$51,$U$55,$G$52,$G$54, 1*$F$53,1200)</f>
        <v>-4.9253773347935619</v>
      </c>
      <c r="AU53" s="1239"/>
      <c r="AV53" s="1239"/>
      <c r="AW53" s="1239" t="str">
        <f>VLOOKUP(C53,'Foundation Calculation'!$A$2:$C$33,3,1)</f>
        <v>Soil B</v>
      </c>
      <c r="AX53" s="1239" t="str">
        <f>VLOOKUP(C53,'Foundation Calculation'!$E$2:$G$33,3,1)</f>
        <v>PT</v>
      </c>
      <c r="AY53" s="455">
        <v>3.9</v>
      </c>
      <c r="AZ53" s="455"/>
      <c r="BA53" s="1387" t="s">
        <v>2809</v>
      </c>
      <c r="BB53" s="1239" t="s">
        <v>4996</v>
      </c>
      <c r="BC53" s="169" t="s">
        <v>4955</v>
      </c>
      <c r="BD53" s="1329"/>
      <c r="BE53" s="1329"/>
      <c r="BF53" s="1330"/>
      <c r="BG53" s="1329"/>
    </row>
    <row r="54" spans="1:59" ht="15.65" customHeight="1">
      <c r="A54" s="1239" t="s">
        <v>5006</v>
      </c>
      <c r="B54" s="572"/>
      <c r="C54" s="171"/>
      <c r="D54" s="1239"/>
      <c r="E54" s="1239"/>
      <c r="F54" s="448"/>
      <c r="G54" s="455">
        <v>26</v>
      </c>
      <c r="H54" s="1239"/>
      <c r="I54" s="448"/>
      <c r="J54" s="171"/>
      <c r="K54" s="1239"/>
      <c r="L54" s="1239"/>
      <c r="M54" s="1239"/>
      <c r="N54" s="1239"/>
      <c r="O54" s="1239"/>
      <c r="P54" s="1239"/>
      <c r="Q54" s="1239"/>
      <c r="R54" s="1239"/>
      <c r="S54" s="455"/>
      <c r="T54" s="1239"/>
      <c r="U54" s="1239"/>
      <c r="V54" s="1239"/>
      <c r="W54" s="1239"/>
      <c r="X54" s="1239"/>
      <c r="Y54" s="1239"/>
      <c r="Z54" s="1239"/>
      <c r="AA54" s="1239"/>
      <c r="AB54" s="1239"/>
      <c r="AC54" s="1239"/>
      <c r="AD54" s="1239"/>
      <c r="AE54" s="1239"/>
      <c r="AF54" s="1239"/>
      <c r="AG54" s="171"/>
      <c r="AH54" s="1239"/>
      <c r="AI54" s="1239"/>
      <c r="AJ54" s="1239"/>
      <c r="AK54" s="1239"/>
      <c r="AL54" s="1239"/>
      <c r="AM54" s="1239"/>
      <c r="AN54" s="455"/>
      <c r="AO54" s="1239"/>
      <c r="AP54" s="1239"/>
      <c r="AQ54" s="455">
        <f>+FL_2($U$55,$U$53,$G$54,1200,9.28, 1*$F$55)</f>
        <v>-0.30000000000004412</v>
      </c>
      <c r="AR54" s="1239"/>
      <c r="AS54" s="1239"/>
      <c r="AT54" s="455"/>
      <c r="AU54" s="1239"/>
      <c r="AV54" s="1239"/>
      <c r="AW54" s="1239"/>
      <c r="AX54" s="1239"/>
      <c r="AY54" s="455"/>
      <c r="AZ54" s="455"/>
      <c r="BA54" s="1387"/>
      <c r="BB54" s="1239"/>
      <c r="BC54" s="169"/>
      <c r="BD54" s="1330"/>
      <c r="BE54" s="1330"/>
      <c r="BF54" s="1330"/>
      <c r="BG54" s="1330"/>
    </row>
    <row r="55" spans="1:59" ht="15.65" customHeight="1">
      <c r="A55" s="1239"/>
      <c r="B55" s="572" t="s">
        <v>3115</v>
      </c>
      <c r="C55" s="171">
        <f>+$C$53+$G$54</f>
        <v>89908.35</v>
      </c>
      <c r="D55" s="1239"/>
      <c r="E55" s="1239"/>
      <c r="F55" s="448">
        <v>-400</v>
      </c>
      <c r="G55" s="455"/>
      <c r="H55" s="1239" t="s">
        <v>620</v>
      </c>
      <c r="I55" s="448"/>
      <c r="J55" s="171"/>
      <c r="K55" s="1239"/>
      <c r="L55" s="1239" t="s">
        <v>895</v>
      </c>
      <c r="M55" s="1239" t="s">
        <v>5009</v>
      </c>
      <c r="N55" s="1239" t="s">
        <v>143</v>
      </c>
      <c r="O55" s="1239" t="s">
        <v>143</v>
      </c>
      <c r="P55" s="1239"/>
      <c r="Q55" s="1239"/>
      <c r="R55" s="1239"/>
      <c r="S55" s="455"/>
      <c r="T55" s="1239">
        <v>15</v>
      </c>
      <c r="U55" s="1239">
        <v>-30</v>
      </c>
      <c r="V55" s="1239"/>
      <c r="W55" s="1239">
        <v>1.4</v>
      </c>
      <c r="X55" s="1239">
        <v>1.8</v>
      </c>
      <c r="Y55" s="1239"/>
      <c r="Z55" s="1239">
        <v>20</v>
      </c>
      <c r="AA55" s="1239"/>
      <c r="AB55" s="1239"/>
      <c r="AC55" s="1239" t="s">
        <v>3050</v>
      </c>
      <c r="AD55" s="1239" t="s">
        <v>4090</v>
      </c>
      <c r="AE55" s="1239"/>
      <c r="AF55" s="1239"/>
      <c r="AG55" s="171"/>
      <c r="AH55" s="1239"/>
      <c r="AI55" s="1239"/>
      <c r="AJ55" s="1239"/>
      <c r="AK55" s="1239"/>
      <c r="AL55" s="1239"/>
      <c r="AM55" s="1239" t="s">
        <v>1042</v>
      </c>
      <c r="AN55" s="455">
        <v>5.5</v>
      </c>
      <c r="AO55" s="1239"/>
      <c r="AP55" s="1239"/>
      <c r="AQ55" s="455"/>
      <c r="AR55" s="1239"/>
      <c r="AS55" s="1239"/>
      <c r="AT55" s="455">
        <f>+ab($T$55,$T$53,$T$57,$G$54,$G$56, 1*$F$55,1200)</f>
        <v>-3.0715567137106912</v>
      </c>
      <c r="AU55" s="1239"/>
      <c r="AV55" s="1239"/>
      <c r="AW55" s="1239" t="str">
        <f>VLOOKUP(C55,'Foundation Calculation'!$A$2:$C$33,3,1)</f>
        <v>Soil B</v>
      </c>
      <c r="AX55" s="1239" t="str">
        <f>VLOOKUP(C55,'Foundation Calculation'!$E$2:$G$33,3,1)</f>
        <v>PT</v>
      </c>
      <c r="AY55" s="455">
        <v>3.9</v>
      </c>
      <c r="AZ55" s="455"/>
      <c r="BA55" s="1387" t="s">
        <v>2809</v>
      </c>
      <c r="BB55" s="1239" t="s">
        <v>5005</v>
      </c>
      <c r="BC55" s="169" t="s">
        <v>4955</v>
      </c>
      <c r="BD55" s="1329"/>
      <c r="BE55" s="1329"/>
      <c r="BF55" s="1330"/>
      <c r="BG55" s="1329"/>
    </row>
    <row r="56" spans="1:59" ht="15.65" customHeight="1">
      <c r="A56" s="1239"/>
      <c r="B56" s="572"/>
      <c r="C56" s="171"/>
      <c r="D56" s="1239"/>
      <c r="E56" s="1239"/>
      <c r="F56" s="448"/>
      <c r="G56" s="455">
        <v>25.5</v>
      </c>
      <c r="H56" s="1239"/>
      <c r="I56" s="448"/>
      <c r="J56" s="171"/>
      <c r="K56" s="1239"/>
      <c r="L56" s="1239"/>
      <c r="M56" s="1239"/>
      <c r="N56" s="1239"/>
      <c r="O56" s="1239"/>
      <c r="P56" s="1239"/>
      <c r="Q56" s="1239"/>
      <c r="R56" s="1239"/>
      <c r="S56" s="455"/>
      <c r="T56" s="1239"/>
      <c r="U56" s="1239"/>
      <c r="V56" s="1239"/>
      <c r="W56" s="1239"/>
      <c r="X56" s="1239"/>
      <c r="Y56" s="1239"/>
      <c r="Z56" s="1239"/>
      <c r="AA56" s="1239"/>
      <c r="AB56" s="1239"/>
      <c r="AC56" s="1239"/>
      <c r="AD56" s="1239"/>
      <c r="AE56" s="1239"/>
      <c r="AF56" s="1239"/>
      <c r="AG56" s="171"/>
      <c r="AH56" s="1239"/>
      <c r="AI56" s="1239"/>
      <c r="AJ56" s="1239"/>
      <c r="AK56" s="1239"/>
      <c r="AL56" s="1239"/>
      <c r="AM56" s="1239"/>
      <c r="AN56" s="455"/>
      <c r="AO56" s="1239"/>
      <c r="AP56" s="1239"/>
      <c r="AQ56" s="455">
        <f>+FL_2($U$57,$U$55,$G$56,1200,9.28, 1*$F$57)</f>
        <v>-0.35</v>
      </c>
      <c r="AR56" s="1239"/>
      <c r="AS56" s="1239"/>
      <c r="AT56" s="455"/>
      <c r="AU56" s="1239"/>
      <c r="AV56" s="1239"/>
      <c r="AW56" s="1239"/>
      <c r="AX56" s="1239"/>
      <c r="AY56" s="455"/>
      <c r="AZ56" s="455"/>
      <c r="BA56" s="1387"/>
      <c r="BB56" s="1239"/>
      <c r="BC56" s="169"/>
      <c r="BD56" s="1330"/>
      <c r="BE56" s="1330"/>
      <c r="BF56" s="1330"/>
      <c r="BG56" s="1330"/>
    </row>
    <row r="57" spans="1:59" ht="15.65" customHeight="1">
      <c r="A57" s="1239"/>
      <c r="B57" s="572" t="s">
        <v>3116</v>
      </c>
      <c r="C57" s="171">
        <f>+$C$55+$G$56</f>
        <v>89933.85</v>
      </c>
      <c r="D57" s="1239"/>
      <c r="E57" s="1239"/>
      <c r="F57" s="448">
        <v>-400</v>
      </c>
      <c r="G57" s="455"/>
      <c r="H57" s="1239" t="s">
        <v>620</v>
      </c>
      <c r="I57" s="448"/>
      <c r="J57" s="171"/>
      <c r="K57" s="1239"/>
      <c r="L57" s="1239" t="s">
        <v>232</v>
      </c>
      <c r="M57" s="1239" t="s">
        <v>2811</v>
      </c>
      <c r="N57" s="1239" t="s">
        <v>143</v>
      </c>
      <c r="O57" s="1239" t="s">
        <v>143</v>
      </c>
      <c r="P57" s="1239"/>
      <c r="Q57" s="1239"/>
      <c r="R57" s="1239"/>
      <c r="S57" s="455"/>
      <c r="T57" s="1239">
        <v>10</v>
      </c>
      <c r="U57" s="1239">
        <v>-35</v>
      </c>
      <c r="V57" s="1239"/>
      <c r="W57" s="1239">
        <v>1.4</v>
      </c>
      <c r="X57" s="1239">
        <v>1.8</v>
      </c>
      <c r="Y57" s="1239"/>
      <c r="Z57" s="1239"/>
      <c r="AA57" s="1239">
        <v>20</v>
      </c>
      <c r="AB57" s="1239"/>
      <c r="AC57" s="1239" t="s">
        <v>3050</v>
      </c>
      <c r="AD57" s="1239" t="s">
        <v>4090</v>
      </c>
      <c r="AE57" s="1239"/>
      <c r="AF57" s="1239"/>
      <c r="AG57" s="171"/>
      <c r="AH57" s="1239"/>
      <c r="AI57" s="1239"/>
      <c r="AJ57" s="1239"/>
      <c r="AK57" s="1239"/>
      <c r="AL57" s="1239"/>
      <c r="AM57" s="1239" t="s">
        <v>1042</v>
      </c>
      <c r="AN57" s="455">
        <v>5.5</v>
      </c>
      <c r="AO57" s="1239"/>
      <c r="AP57" s="1239"/>
      <c r="AQ57" s="455"/>
      <c r="AR57" s="1239"/>
      <c r="AS57" s="1239"/>
      <c r="AT57" s="455">
        <f>+ab($T$57,$T$55,$T$59,$G$56,$G$58, 1*$F$57,1200)</f>
        <v>-2.6417936168606344</v>
      </c>
      <c r="AU57" s="1239"/>
      <c r="AV57" s="1239"/>
      <c r="AW57" s="1239" t="s">
        <v>4877</v>
      </c>
      <c r="AX57" s="1239"/>
      <c r="AY57" s="455"/>
      <c r="AZ57" s="455"/>
      <c r="BA57" s="1387" t="s">
        <v>2809</v>
      </c>
      <c r="BB57" s="1239" t="s">
        <v>5005</v>
      </c>
      <c r="BC57" s="169" t="s">
        <v>4955</v>
      </c>
      <c r="BD57" s="1329"/>
      <c r="BE57" s="1329"/>
      <c r="BF57" s="1330"/>
      <c r="BG57" s="1329"/>
    </row>
    <row r="58" spans="1:59" ht="15.65" customHeight="1">
      <c r="A58" s="647" t="s">
        <v>4010</v>
      </c>
      <c r="B58" s="740"/>
      <c r="C58" s="652"/>
      <c r="D58" s="647"/>
      <c r="E58" s="647"/>
      <c r="F58" s="650"/>
      <c r="G58" s="651">
        <v>31</v>
      </c>
      <c r="H58" s="647"/>
      <c r="I58" s="650"/>
      <c r="J58" s="652"/>
      <c r="K58" s="647"/>
      <c r="L58" s="647"/>
      <c r="M58" s="647"/>
      <c r="N58" s="647"/>
      <c r="O58" s="647"/>
      <c r="P58" s="647"/>
      <c r="Q58" s="647"/>
      <c r="R58" s="647"/>
      <c r="S58" s="651"/>
      <c r="T58" s="647"/>
      <c r="U58" s="647"/>
      <c r="V58" s="647"/>
      <c r="W58" s="647"/>
      <c r="X58" s="647"/>
      <c r="Y58" s="647"/>
      <c r="Z58" s="647"/>
      <c r="AA58" s="647"/>
      <c r="AB58" s="647"/>
      <c r="AC58" s="647"/>
      <c r="AD58" s="647"/>
      <c r="AE58" s="647"/>
      <c r="AF58" s="647"/>
      <c r="AG58" s="652"/>
      <c r="AH58" s="647"/>
      <c r="AI58" s="647"/>
      <c r="AJ58" s="647"/>
      <c r="AK58" s="647"/>
      <c r="AL58" s="647"/>
      <c r="AM58" s="647"/>
      <c r="AN58" s="651"/>
      <c r="AO58" s="647"/>
      <c r="AP58" s="647"/>
      <c r="AQ58" s="651">
        <f>+FL_2($U$59,$U$57,$G$58,1200,9.28, 1*$F$59)</f>
        <v>-0.35000000000003234</v>
      </c>
      <c r="AR58" s="647"/>
      <c r="AS58" s="647"/>
      <c r="AT58" s="651"/>
      <c r="AU58" s="647"/>
      <c r="AV58" s="647"/>
      <c r="AW58" s="647"/>
      <c r="AX58" s="647"/>
      <c r="AY58" s="651"/>
      <c r="AZ58" s="651"/>
      <c r="BA58" s="1388"/>
      <c r="BB58" s="647"/>
      <c r="BC58" s="169"/>
      <c r="BD58" s="1330"/>
      <c r="BE58" s="1330"/>
      <c r="BF58" s="1330"/>
      <c r="BG58" s="1330"/>
    </row>
    <row r="59" spans="1:59" ht="15.65" customHeight="1">
      <c r="A59" s="1239"/>
      <c r="B59" s="572" t="s">
        <v>3117</v>
      </c>
      <c r="C59" s="171">
        <f>+$C$57+$G$58</f>
        <v>89964.85</v>
      </c>
      <c r="D59" s="1239"/>
      <c r="E59" s="1239"/>
      <c r="F59" s="448">
        <v>-400</v>
      </c>
      <c r="G59" s="455"/>
      <c r="H59" s="1239" t="s">
        <v>619</v>
      </c>
      <c r="I59" s="448"/>
      <c r="J59" s="171"/>
      <c r="K59" s="1239"/>
      <c r="L59" s="1239" t="s">
        <v>819</v>
      </c>
      <c r="M59" s="1239" t="s">
        <v>2811</v>
      </c>
      <c r="N59" s="1239" t="s">
        <v>143</v>
      </c>
      <c r="O59" s="1239" t="s">
        <v>140</v>
      </c>
      <c r="P59" s="1239"/>
      <c r="Q59" s="1239"/>
      <c r="R59" s="1239"/>
      <c r="S59" s="455"/>
      <c r="T59" s="1239">
        <v>10</v>
      </c>
      <c r="U59" s="1239">
        <v>-35</v>
      </c>
      <c r="V59" s="1239"/>
      <c r="W59" s="1239">
        <v>1.4</v>
      </c>
      <c r="X59" s="1239">
        <v>1.8</v>
      </c>
      <c r="Y59" s="1239"/>
      <c r="Z59" s="1239"/>
      <c r="AA59" s="1239">
        <v>40</v>
      </c>
      <c r="AB59" s="1239"/>
      <c r="AC59" s="1239" t="str">
        <f>IF(OR(AT59&gt;8,AT59&lt;-8),"PH",IF(OR(AT59&gt;5,AT59&lt;-5),"PH-Q",IF(OR(AT59&gt;1,AT59&lt;-1),"PH-C")))</f>
        <v>PH-C</v>
      </c>
      <c r="AD59" s="1239"/>
      <c r="AE59" s="1239"/>
      <c r="AF59" s="1239"/>
      <c r="AG59" s="171"/>
      <c r="AH59" s="1239"/>
      <c r="AI59" s="1239"/>
      <c r="AJ59" s="1239"/>
      <c r="AK59" s="1239"/>
      <c r="AL59" s="1239"/>
      <c r="AM59" s="1239" t="s">
        <v>1042</v>
      </c>
      <c r="AN59" s="455">
        <v>5.5</v>
      </c>
      <c r="AO59" s="1239"/>
      <c r="AP59" s="1239"/>
      <c r="AQ59" s="455"/>
      <c r="AR59" s="1239"/>
      <c r="AS59" s="1239"/>
      <c r="AT59" s="455">
        <f>+ab($T$59,$T$57,$T$61,$G$58,$G$60, 1*$F$59,1200)</f>
        <v>-2.8940293744602581</v>
      </c>
      <c r="AU59" s="1239"/>
      <c r="AV59" s="1239"/>
      <c r="AW59" s="1239" t="s">
        <v>4877</v>
      </c>
      <c r="AX59" s="1239"/>
      <c r="AY59" s="455"/>
      <c r="AZ59" s="455"/>
      <c r="BA59" s="1387" t="s">
        <v>2809</v>
      </c>
      <c r="BB59" s="1239" t="s">
        <v>5005</v>
      </c>
      <c r="BC59" s="169" t="s">
        <v>4955</v>
      </c>
      <c r="BD59" s="1329"/>
      <c r="BE59" s="1329"/>
      <c r="BF59" s="1330"/>
      <c r="BG59" s="1329"/>
    </row>
    <row r="60" spans="1:59" ht="15.65" customHeight="1" thickBot="1">
      <c r="A60" s="1389"/>
      <c r="B60" s="1390"/>
      <c r="C60" s="1391"/>
      <c r="D60" s="1389"/>
      <c r="E60" s="1389"/>
      <c r="F60" s="1392"/>
      <c r="G60" s="1393">
        <v>32</v>
      </c>
      <c r="H60" s="1389"/>
      <c r="I60" s="1392"/>
      <c r="J60" s="1391"/>
      <c r="K60" s="1389"/>
      <c r="L60" s="1389"/>
      <c r="M60" s="1389"/>
      <c r="N60" s="1389"/>
      <c r="O60" s="1389"/>
      <c r="P60" s="1389"/>
      <c r="Q60" s="1389"/>
      <c r="R60" s="1389"/>
      <c r="S60" s="1393"/>
      <c r="T60" s="1389"/>
      <c r="U60" s="1389"/>
      <c r="V60" s="1389"/>
      <c r="W60" s="1389"/>
      <c r="X60" s="1389"/>
      <c r="Y60" s="1389"/>
      <c r="Z60" s="1389"/>
      <c r="AA60" s="1389"/>
      <c r="AB60" s="1389"/>
      <c r="AC60" s="1389"/>
      <c r="AD60" s="1389"/>
      <c r="AE60" s="1389"/>
      <c r="AF60" s="1389"/>
      <c r="AG60" s="1391"/>
      <c r="AH60" s="1389"/>
      <c r="AI60" s="1389"/>
      <c r="AJ60" s="1389"/>
      <c r="AK60" s="1389"/>
      <c r="AL60" s="1389"/>
      <c r="AM60" s="1389"/>
      <c r="AN60" s="1393"/>
      <c r="AO60" s="1389"/>
      <c r="AP60" s="1389"/>
      <c r="AQ60" s="1393">
        <f>+FL_1($T$61,$T$59,$G$60,1200,9.28, 1*$F$61)</f>
        <v>0.34296768144417261</v>
      </c>
      <c r="AR60" s="1389"/>
      <c r="AS60" s="1389"/>
      <c r="AT60" s="1393"/>
      <c r="AU60" s="1389"/>
      <c r="AV60" s="1389"/>
      <c r="AW60" s="1389"/>
      <c r="AX60" s="1389"/>
      <c r="AY60" s="1393"/>
      <c r="AZ60" s="1393"/>
      <c r="BA60" s="1401"/>
      <c r="BB60" s="1389"/>
      <c r="BC60" s="169"/>
      <c r="BD60" s="1330"/>
      <c r="BE60" s="1330"/>
      <c r="BF60" s="1330"/>
      <c r="BG60" s="1330"/>
    </row>
    <row r="61" spans="1:59" ht="15.65" customHeight="1" thickTop="1">
      <c r="A61" s="1395"/>
      <c r="B61" s="1396" t="s">
        <v>3118</v>
      </c>
      <c r="C61" s="1397">
        <f>+$C$59+$G$60</f>
        <v>89996.85</v>
      </c>
      <c r="D61" s="1395"/>
      <c r="E61" s="1395"/>
      <c r="F61" s="1398">
        <v>-400</v>
      </c>
      <c r="G61" s="1399"/>
      <c r="H61" s="1395" t="s">
        <v>138</v>
      </c>
      <c r="I61" s="1398" t="s">
        <v>623</v>
      </c>
      <c r="J61" s="1397"/>
      <c r="K61" s="1395"/>
      <c r="L61" s="1395" t="s">
        <v>899</v>
      </c>
      <c r="M61" s="1395" t="str">
        <f>IF(AX61="PT",VLOOKUP(L61,'Foundation Calculation'!$V$2:$X$40,VLOOKUP(AX61,'Foundation Calculation'!$I$10:$J$13,2,FALSE),0),IF(AX61="K",VLOOKUP(L61,'Foundation Calculation'!$V$42:$X$80,VLOOKUP(AX61,'Foundation Calculation'!$I$10:$J$13,2,FALSE),0),""))</f>
        <v>C5R</v>
      </c>
      <c r="N61" s="1395" t="s">
        <v>143</v>
      </c>
      <c r="O61" s="1395"/>
      <c r="P61" s="1395"/>
      <c r="Q61" s="1395"/>
      <c r="R61" s="1395"/>
      <c r="S61" s="1399"/>
      <c r="T61" s="1395">
        <v>-30</v>
      </c>
      <c r="U61" s="1395"/>
      <c r="V61" s="1395"/>
      <c r="W61" s="1395">
        <v>1.4</v>
      </c>
      <c r="X61" s="1395"/>
      <c r="Y61" s="1395"/>
      <c r="Z61" s="1395"/>
      <c r="AA61" s="1395"/>
      <c r="AB61" s="1395"/>
      <c r="AC61" s="1395" t="str">
        <f>IF(OR(AT61&gt;8,AT61&lt;-8),"PH",IF(OR(AT61&gt;5,AT61&lt;-5),"PH-Q",IF(OR(AT61&gt;1,AT61&lt;-1),"PH-C")))</f>
        <v>PH-C</v>
      </c>
      <c r="AD61" s="1395"/>
      <c r="AE61" s="1395"/>
      <c r="AF61" s="1395"/>
      <c r="AG61" s="1397"/>
      <c r="AH61" s="1395"/>
      <c r="AI61" s="1395"/>
      <c r="AJ61" s="1395"/>
      <c r="AK61" s="1395"/>
      <c r="AL61" s="1395"/>
      <c r="AM61" s="1395" t="s">
        <v>1042</v>
      </c>
      <c r="AN61" s="1399">
        <v>5.5</v>
      </c>
      <c r="AO61" s="1395"/>
      <c r="AP61" s="1395"/>
      <c r="AQ61" s="1399"/>
      <c r="AR61" s="1395"/>
      <c r="AS61" s="1395"/>
      <c r="AT61" s="1399">
        <f>+ab($T$61,$T$59,$T$63,$G$60,$G$62, 1*$F$61,1200)</f>
        <v>-2.0736094853914468</v>
      </c>
      <c r="AU61" s="1395"/>
      <c r="AV61" s="1395"/>
      <c r="AW61" s="1395" t="str">
        <f>VLOOKUP(C61,'Foundation Calculation'!$A$2:$C$33,3,1)</f>
        <v>Soil B</v>
      </c>
      <c r="AX61" s="1395" t="str">
        <f>VLOOKUP(C61,'Foundation Calculation'!$E$2:$G$33,3,1)</f>
        <v>PT</v>
      </c>
      <c r="AY61" s="1399">
        <f>IF(AX61="PT",VLOOKUP(L61,'Foundation Calculation'!$K$2:$R$40,VLOOKUP(AW61,'Foundation Calculation'!$I$2:$J$8,2,FALSE),0),IF(AX61="K",VLOOKUP(L61,'Foundation Calculation'!$K$42:$R$80,VLOOKUP(AW61,'Foundation Calculation'!$I$2:$J$8,2,FALSE),0),""))</f>
        <v>3.5</v>
      </c>
      <c r="AZ61" s="1399"/>
      <c r="BA61" s="1538" t="s">
        <v>2809</v>
      </c>
      <c r="BB61" s="1395" t="str">
        <f>Pole_Calculations!A20</f>
        <v>App.7-V11A-P9.5.1.6</v>
      </c>
      <c r="BC61" s="169"/>
      <c r="BD61" s="1329"/>
      <c r="BE61" s="1329"/>
      <c r="BF61" s="1330"/>
      <c r="BG61" s="1329"/>
    </row>
    <row r="62" spans="1:59" ht="15.65" customHeight="1">
      <c r="A62" s="1239"/>
      <c r="B62" s="572"/>
      <c r="C62" s="171"/>
      <c r="D62" s="1239"/>
      <c r="E62" s="1239"/>
      <c r="F62" s="448"/>
      <c r="G62" s="455">
        <v>32</v>
      </c>
      <c r="H62" s="1239"/>
      <c r="I62" s="448"/>
      <c r="J62" s="171">
        <f>C61+7.5</f>
        <v>90004.35</v>
      </c>
      <c r="K62" s="1239" t="s">
        <v>2787</v>
      </c>
      <c r="L62" s="1239"/>
      <c r="M62" s="1239"/>
      <c r="N62" s="1239"/>
      <c r="O62" s="1239"/>
      <c r="P62" s="1239"/>
      <c r="Q62" s="1239"/>
      <c r="R62" s="1239"/>
      <c r="S62" s="455"/>
      <c r="T62" s="1239"/>
      <c r="U62" s="1239"/>
      <c r="V62" s="1239"/>
      <c r="W62" s="1239"/>
      <c r="X62" s="1239"/>
      <c r="Y62" s="1239"/>
      <c r="Z62" s="1239"/>
      <c r="AA62" s="1239"/>
      <c r="AB62" s="1239"/>
      <c r="AC62" s="1239"/>
      <c r="AD62" s="1239"/>
      <c r="AE62" s="1239"/>
      <c r="AF62" s="1239"/>
      <c r="AG62" s="171"/>
      <c r="AH62" s="1239"/>
      <c r="AI62" s="1239"/>
      <c r="AJ62" s="1239"/>
      <c r="AK62" s="1239"/>
      <c r="AL62" s="1239"/>
      <c r="AM62" s="1239"/>
      <c r="AN62" s="455"/>
      <c r="AO62" s="1239"/>
      <c r="AP62" s="1239"/>
      <c r="AQ62" s="455">
        <f>+FL_2($T$63,$T$61,$G$62,1200,9.28, 1*$F$63)</f>
        <v>-0.30000000000002958</v>
      </c>
      <c r="AR62" s="1239"/>
      <c r="AS62" s="1239"/>
      <c r="AT62" s="455"/>
      <c r="AU62" s="1239"/>
      <c r="AV62" s="1239"/>
      <c r="AW62" s="638" t="str">
        <f>VLOOKUP(J62,'Foundation Calculation'!$A$2:$C$33,3,1)</f>
        <v>Soil B</v>
      </c>
      <c r="AX62" s="638" t="str">
        <f>VLOOKUP(J62,'Foundation Calculation'!$E$2:$G$33,3,1)</f>
        <v>PT</v>
      </c>
      <c r="AY62" s="484"/>
      <c r="AZ62" s="484">
        <f>IF(AX62="PT",VLOOKUP(K62,'Foundation Calculation'!$K$2:$R$40,VLOOKUP(AW62,'Foundation Calculation'!$I$2:$J$8,2,FALSE),0),IF(AX62="K",VLOOKUP(K62,'Foundation Calculation'!$K$42:$R$80,VLOOKUP(AW62,'Foundation Calculation'!$I$2:$J$8,2,FALSE),0),""))</f>
        <v>3.9</v>
      </c>
      <c r="BA62" s="1536" t="s">
        <v>2809</v>
      </c>
      <c r="BB62" s="1239"/>
      <c r="BC62" s="169"/>
      <c r="BD62" s="1329"/>
      <c r="BE62" s="1330"/>
      <c r="BF62" s="1330"/>
      <c r="BG62" s="1330"/>
    </row>
    <row r="63" spans="1:59" ht="15.65" customHeight="1">
      <c r="A63" s="467"/>
      <c r="B63" s="685" t="s">
        <v>2898</v>
      </c>
      <c r="C63" s="473">
        <f>+$C$61+$G$62</f>
        <v>90028.85</v>
      </c>
      <c r="D63" s="467"/>
      <c r="E63" s="467"/>
      <c r="F63" s="469">
        <v>-400</v>
      </c>
      <c r="G63" s="474"/>
      <c r="H63" s="467"/>
      <c r="I63" s="469"/>
      <c r="J63" s="473"/>
      <c r="K63" s="467"/>
      <c r="L63" s="467" t="s">
        <v>230</v>
      </c>
      <c r="M63" s="467" t="s">
        <v>2811</v>
      </c>
      <c r="N63" s="467" t="s">
        <v>143</v>
      </c>
      <c r="O63" s="467"/>
      <c r="P63" s="467"/>
      <c r="Q63" s="467"/>
      <c r="R63" s="467"/>
      <c r="S63" s="474"/>
      <c r="T63" s="467">
        <v>-30</v>
      </c>
      <c r="U63" s="467"/>
      <c r="V63" s="467"/>
      <c r="W63" s="467">
        <v>1.4</v>
      </c>
      <c r="X63" s="467"/>
      <c r="Y63" s="467"/>
      <c r="Z63" s="467"/>
      <c r="AA63" s="467"/>
      <c r="AB63" s="467"/>
      <c r="AC63" s="467" t="str">
        <f>IF(OR(AT63&gt;8,AT63&lt;-8),"PH",IF(OR(AT63&gt;5,AT63&lt;-5),"PH-Q",IF(OR(AT63&gt;1,AT63&lt;-1),"PH-C")))</f>
        <v>PH-C</v>
      </c>
      <c r="AD63" s="467"/>
      <c r="AE63" s="467"/>
      <c r="AF63" s="467"/>
      <c r="AG63" s="473"/>
      <c r="AH63" s="467"/>
      <c r="AI63" s="467"/>
      <c r="AJ63" s="467"/>
      <c r="AK63" s="467"/>
      <c r="AL63" s="467"/>
      <c r="AM63" s="467" t="s">
        <v>1042</v>
      </c>
      <c r="AN63" s="474">
        <v>5.5</v>
      </c>
      <c r="AO63" s="467"/>
      <c r="AP63" s="467"/>
      <c r="AQ63" s="474"/>
      <c r="AR63" s="467"/>
      <c r="AS63" s="467"/>
      <c r="AT63" s="474">
        <f>+ab($T$63,$T$61,$T$65,$G$62,$G$64, 1*$F$63,1200)</f>
        <v>-2.3972584678993845</v>
      </c>
      <c r="AU63" s="467"/>
      <c r="AV63" s="467"/>
      <c r="AW63" s="464" t="s">
        <v>4433</v>
      </c>
      <c r="AX63" s="467"/>
      <c r="AY63" s="474"/>
      <c r="AZ63" s="474"/>
      <c r="BA63" s="1534" t="s">
        <v>2809</v>
      </c>
      <c r="BB63" s="467" t="str">
        <f>Pole_Calculations!A15</f>
        <v>App.7-V11A-P9.5.1.1</v>
      </c>
      <c r="BC63" s="169"/>
      <c r="BD63" s="1329"/>
      <c r="BE63" s="1329"/>
      <c r="BF63" s="1330"/>
      <c r="BG63" s="1329"/>
    </row>
    <row r="64" spans="1:59" ht="15.65" customHeight="1">
      <c r="A64" s="467"/>
      <c r="B64" s="685"/>
      <c r="C64" s="473"/>
      <c r="D64" s="467"/>
      <c r="E64" s="467"/>
      <c r="F64" s="469"/>
      <c r="G64" s="474">
        <v>32</v>
      </c>
      <c r="H64" s="467"/>
      <c r="I64" s="469"/>
      <c r="J64" s="473"/>
      <c r="K64" s="467"/>
      <c r="L64" s="467"/>
      <c r="M64" s="467"/>
      <c r="N64" s="467"/>
      <c r="O64" s="467"/>
      <c r="P64" s="467"/>
      <c r="Q64" s="467"/>
      <c r="R64" s="467"/>
      <c r="S64" s="474"/>
      <c r="T64" s="467"/>
      <c r="U64" s="467"/>
      <c r="V64" s="467"/>
      <c r="W64" s="467"/>
      <c r="X64" s="467"/>
      <c r="Y64" s="467"/>
      <c r="Z64" s="467"/>
      <c r="AA64" s="467"/>
      <c r="AB64" s="467"/>
      <c r="AC64" s="467"/>
      <c r="AD64" s="467"/>
      <c r="AE64" s="467"/>
      <c r="AF64" s="467"/>
      <c r="AG64" s="473"/>
      <c r="AH64" s="467"/>
      <c r="AI64" s="467"/>
      <c r="AJ64" s="467"/>
      <c r="AK64" s="467"/>
      <c r="AL64" s="467"/>
      <c r="AM64" s="467"/>
      <c r="AN64" s="474"/>
      <c r="AO64" s="467"/>
      <c r="AP64" s="467"/>
      <c r="AQ64" s="474">
        <f>+FL_2($T$65,$T$63,$G$64,1200,9.28, 1*$F$65)</f>
        <v>-0.30000000000002958</v>
      </c>
      <c r="AR64" s="467"/>
      <c r="AS64" s="467"/>
      <c r="AT64" s="474"/>
      <c r="AU64" s="467"/>
      <c r="AV64" s="467"/>
      <c r="AW64" s="467"/>
      <c r="AX64" s="467"/>
      <c r="AY64" s="474"/>
      <c r="AZ64" s="474"/>
      <c r="BA64" s="674"/>
      <c r="BB64" s="467"/>
      <c r="BC64" s="169"/>
      <c r="BD64" s="1330"/>
      <c r="BE64" s="1330"/>
      <c r="BF64" s="1330"/>
      <c r="BG64" s="1330"/>
    </row>
    <row r="65" spans="1:59" ht="15.65" customHeight="1">
      <c r="A65" s="467"/>
      <c r="B65" s="685" t="s">
        <v>2899</v>
      </c>
      <c r="C65" s="473">
        <f>+$C$63+$G$64</f>
        <v>90060.85</v>
      </c>
      <c r="D65" s="467"/>
      <c r="E65" s="467"/>
      <c r="F65" s="469">
        <v>-400</v>
      </c>
      <c r="G65" s="474"/>
      <c r="H65" s="467"/>
      <c r="I65" s="469"/>
      <c r="J65" s="473"/>
      <c r="K65" s="467"/>
      <c r="L65" s="467" t="s">
        <v>230</v>
      </c>
      <c r="M65" s="467" t="s">
        <v>2811</v>
      </c>
      <c r="N65" s="467" t="s">
        <v>143</v>
      </c>
      <c r="O65" s="467"/>
      <c r="P65" s="467"/>
      <c r="Q65" s="467"/>
      <c r="R65" s="467"/>
      <c r="S65" s="474"/>
      <c r="T65" s="467">
        <v>-30</v>
      </c>
      <c r="U65" s="467"/>
      <c r="V65" s="467"/>
      <c r="W65" s="467">
        <v>1.4</v>
      </c>
      <c r="X65" s="467"/>
      <c r="Y65" s="467"/>
      <c r="Z65" s="467"/>
      <c r="AA65" s="467"/>
      <c r="AB65" s="467"/>
      <c r="AC65" s="467" t="str">
        <f>IF(OR(AT65&gt;8,AT65&lt;-8),"PH",IF(OR(AT65&gt;5,AT65&lt;-5),"PH-Q",IF(OR(AT65&gt;1,AT65&lt;-1),"PH-C")))</f>
        <v>PH-C</v>
      </c>
      <c r="AD65" s="467"/>
      <c r="AE65" s="467"/>
      <c r="AF65" s="467"/>
      <c r="AG65" s="473"/>
      <c r="AH65" s="467"/>
      <c r="AI65" s="467"/>
      <c r="AJ65" s="467"/>
      <c r="AK65" s="467"/>
      <c r="AL65" s="467"/>
      <c r="AM65" s="467" t="s">
        <v>1042</v>
      </c>
      <c r="AN65" s="474">
        <v>5.5</v>
      </c>
      <c r="AO65" s="467"/>
      <c r="AP65" s="467"/>
      <c r="AQ65" s="474"/>
      <c r="AR65" s="467"/>
      <c r="AS65" s="467"/>
      <c r="AT65" s="474">
        <f>+ab($T$65,$T$63,$T$67,$G$64,$G$66, 1*$F$65,1200)</f>
        <v>-2.474494761718895</v>
      </c>
      <c r="AU65" s="467"/>
      <c r="AV65" s="467"/>
      <c r="AW65" s="464" t="s">
        <v>5035</v>
      </c>
      <c r="AX65" s="464"/>
      <c r="AY65" s="466"/>
      <c r="AZ65" s="466"/>
      <c r="BA65" s="1534" t="s">
        <v>2809</v>
      </c>
      <c r="BB65" s="467" t="str">
        <f>Pole_Calculations!A15</f>
        <v>App.7-V11A-P9.5.1.1</v>
      </c>
      <c r="BC65" s="169"/>
      <c r="BD65" s="1329"/>
      <c r="BE65" s="1329"/>
      <c r="BF65" s="1330"/>
      <c r="BG65" s="1329"/>
    </row>
    <row r="66" spans="1:59" ht="15.65" customHeight="1">
      <c r="A66" s="467"/>
      <c r="B66" s="685"/>
      <c r="C66" s="473"/>
      <c r="D66" s="467"/>
      <c r="E66" s="467"/>
      <c r="F66" s="469"/>
      <c r="G66" s="474">
        <v>30</v>
      </c>
      <c r="H66" s="467"/>
      <c r="I66" s="469"/>
      <c r="J66" s="473"/>
      <c r="K66" s="467"/>
      <c r="L66" s="467"/>
      <c r="M66" s="467"/>
      <c r="N66" s="467"/>
      <c r="O66" s="467"/>
      <c r="P66" s="467"/>
      <c r="Q66" s="467"/>
      <c r="R66" s="467"/>
      <c r="S66" s="474"/>
      <c r="T66" s="467"/>
      <c r="U66" s="467"/>
      <c r="V66" s="467"/>
      <c r="W66" s="467"/>
      <c r="X66" s="467"/>
      <c r="Y66" s="467"/>
      <c r="Z66" s="467"/>
      <c r="AA66" s="467"/>
      <c r="AB66" s="467"/>
      <c r="AC66" s="467"/>
      <c r="AD66" s="467"/>
      <c r="AE66" s="467"/>
      <c r="AF66" s="467"/>
      <c r="AG66" s="473"/>
      <c r="AH66" s="467"/>
      <c r="AI66" s="467"/>
      <c r="AJ66" s="467"/>
      <c r="AK66" s="467"/>
      <c r="AL66" s="467"/>
      <c r="AM66" s="467"/>
      <c r="AN66" s="474"/>
      <c r="AO66" s="467"/>
      <c r="AP66" s="467"/>
      <c r="AQ66" s="474">
        <f>+FL_2($T$67,$T$65,$G$66,1200,9.28, 1*$F$67)</f>
        <v>-0.30000000000003496</v>
      </c>
      <c r="AR66" s="467"/>
      <c r="AS66" s="467"/>
      <c r="AT66" s="474"/>
      <c r="AU66" s="467"/>
      <c r="AV66" s="467"/>
      <c r="AW66" s="467"/>
      <c r="AX66" s="467"/>
      <c r="AY66" s="474"/>
      <c r="AZ66" s="474"/>
      <c r="BA66" s="674"/>
      <c r="BB66" s="467"/>
      <c r="BC66" s="169"/>
      <c r="BD66" s="1330"/>
      <c r="BE66" s="1330"/>
      <c r="BF66" s="1330"/>
      <c r="BG66" s="1330"/>
    </row>
    <row r="67" spans="1:59" ht="15.65" customHeight="1">
      <c r="A67" s="467"/>
      <c r="B67" s="685" t="s">
        <v>2900</v>
      </c>
      <c r="C67" s="473">
        <f>+$C$65+$G$66</f>
        <v>90090.85</v>
      </c>
      <c r="D67" s="467"/>
      <c r="E67" s="467"/>
      <c r="F67" s="469">
        <v>-400</v>
      </c>
      <c r="G67" s="474"/>
      <c r="H67" s="467"/>
      <c r="I67" s="469"/>
      <c r="J67" s="473"/>
      <c r="K67" s="467"/>
      <c r="L67" s="467" t="s">
        <v>230</v>
      </c>
      <c r="M67" s="467" t="s">
        <v>2811</v>
      </c>
      <c r="N67" s="467" t="s">
        <v>143</v>
      </c>
      <c r="O67" s="467"/>
      <c r="P67" s="467"/>
      <c r="Q67" s="467"/>
      <c r="R67" s="467"/>
      <c r="S67" s="474"/>
      <c r="T67" s="467">
        <v>-30</v>
      </c>
      <c r="U67" s="467"/>
      <c r="V67" s="467"/>
      <c r="W67" s="467">
        <v>1.4</v>
      </c>
      <c r="X67" s="467"/>
      <c r="Y67" s="467"/>
      <c r="Z67" s="467"/>
      <c r="AA67" s="467"/>
      <c r="AB67" s="467"/>
      <c r="AC67" s="467" t="str">
        <f>IF(OR(AT67&gt;8,AT67&lt;-8),"PH",IF(OR(AT67&gt;5,AT67&lt;-5),"PH-Q",IF(OR(AT67&gt;1,AT67&lt;-1),"PH-C")))</f>
        <v>PH-C</v>
      </c>
      <c r="AD67" s="467"/>
      <c r="AE67" s="467"/>
      <c r="AF67" s="467"/>
      <c r="AG67" s="473"/>
      <c r="AH67" s="467"/>
      <c r="AI67" s="467"/>
      <c r="AJ67" s="467"/>
      <c r="AK67" s="467"/>
      <c r="AL67" s="467"/>
      <c r="AM67" s="467" t="s">
        <v>1042</v>
      </c>
      <c r="AN67" s="474">
        <v>5.5</v>
      </c>
      <c r="AO67" s="467"/>
      <c r="AP67" s="467"/>
      <c r="AQ67" s="474"/>
      <c r="AR67" s="467"/>
      <c r="AS67" s="467"/>
      <c r="AT67" s="474">
        <f>+ab($T$67,$T$65,$T$69,$G$66,$G$68, 1*$F$67,1200)</f>
        <v>-2.5568702174040849</v>
      </c>
      <c r="AU67" s="467"/>
      <c r="AV67" s="467"/>
      <c r="AW67" s="464" t="s">
        <v>5035</v>
      </c>
      <c r="AX67" s="467"/>
      <c r="AY67" s="474"/>
      <c r="AZ67" s="474"/>
      <c r="BA67" s="1534" t="s">
        <v>2809</v>
      </c>
      <c r="BB67" s="467" t="str">
        <f>Pole_Calculations!A15</f>
        <v>App.7-V11A-P9.5.1.1</v>
      </c>
      <c r="BC67" s="169"/>
      <c r="BD67" s="1329"/>
      <c r="BE67" s="1329"/>
      <c r="BF67" s="1330"/>
      <c r="BG67" s="1329"/>
    </row>
    <row r="68" spans="1:59" ht="15.65" customHeight="1">
      <c r="A68" s="467"/>
      <c r="B68" s="685"/>
      <c r="C68" s="473"/>
      <c r="D68" s="467"/>
      <c r="E68" s="467"/>
      <c r="F68" s="469"/>
      <c r="G68" s="474">
        <v>30</v>
      </c>
      <c r="H68" s="467"/>
      <c r="I68" s="469"/>
      <c r="J68" s="473"/>
      <c r="K68" s="467"/>
      <c r="L68" s="467"/>
      <c r="M68" s="467"/>
      <c r="N68" s="467"/>
      <c r="O68" s="467"/>
      <c r="P68" s="467"/>
      <c r="Q68" s="467"/>
      <c r="R68" s="467"/>
      <c r="S68" s="474"/>
      <c r="T68" s="467"/>
      <c r="U68" s="467"/>
      <c r="V68" s="467"/>
      <c r="W68" s="467"/>
      <c r="X68" s="467"/>
      <c r="Y68" s="467"/>
      <c r="Z68" s="467"/>
      <c r="AA68" s="467"/>
      <c r="AB68" s="467"/>
      <c r="AC68" s="467"/>
      <c r="AD68" s="467"/>
      <c r="AE68" s="467"/>
      <c r="AF68" s="467"/>
      <c r="AG68" s="473"/>
      <c r="AH68" s="467"/>
      <c r="AI68" s="467"/>
      <c r="AJ68" s="467"/>
      <c r="AK68" s="467"/>
      <c r="AL68" s="467"/>
      <c r="AM68" s="467"/>
      <c r="AN68" s="474"/>
      <c r="AO68" s="467"/>
      <c r="AP68" s="467"/>
      <c r="AQ68" s="474">
        <f>+FL_2($T$69,$T$67,$G$68,1200,9.28, 1*$F$69)</f>
        <v>-0.30000000000003496</v>
      </c>
      <c r="AR68" s="467"/>
      <c r="AS68" s="467"/>
      <c r="AT68" s="474"/>
      <c r="AU68" s="467"/>
      <c r="AV68" s="467"/>
      <c r="AW68" s="467"/>
      <c r="AX68" s="467"/>
      <c r="AY68" s="474"/>
      <c r="AZ68" s="474"/>
      <c r="BA68" s="674"/>
      <c r="BB68" s="467"/>
      <c r="BC68" s="169"/>
      <c r="BD68" s="1330"/>
      <c r="BE68" s="1330"/>
      <c r="BF68" s="1330"/>
      <c r="BG68" s="1330"/>
    </row>
    <row r="69" spans="1:59" ht="15.65" customHeight="1">
      <c r="A69" s="467"/>
      <c r="B69" s="685" t="s">
        <v>2901</v>
      </c>
      <c r="C69" s="473">
        <f>+$C$67+$G$68</f>
        <v>90120.85</v>
      </c>
      <c r="D69" s="467"/>
      <c r="E69" s="467"/>
      <c r="F69" s="469">
        <v>-400</v>
      </c>
      <c r="G69" s="474"/>
      <c r="H69" s="467"/>
      <c r="I69" s="469"/>
      <c r="J69" s="473"/>
      <c r="K69" s="467"/>
      <c r="L69" s="467" t="s">
        <v>230</v>
      </c>
      <c r="M69" s="467" t="s">
        <v>2811</v>
      </c>
      <c r="N69" s="467" t="s">
        <v>143</v>
      </c>
      <c r="O69" s="467"/>
      <c r="P69" s="467"/>
      <c r="Q69" s="467"/>
      <c r="R69" s="467"/>
      <c r="S69" s="474"/>
      <c r="T69" s="467">
        <v>-30</v>
      </c>
      <c r="U69" s="467"/>
      <c r="V69" s="467"/>
      <c r="W69" s="467">
        <v>1.4</v>
      </c>
      <c r="X69" s="467"/>
      <c r="Y69" s="467"/>
      <c r="Z69" s="467"/>
      <c r="AA69" s="467"/>
      <c r="AB69" s="467"/>
      <c r="AC69" s="467" t="str">
        <f>IF(OR(AT69&gt;8,AT69&lt;-8),"PH",IF(OR(AT69&gt;5,AT69&lt;-5),"PH-Q",IF(OR(AT69&gt;1,AT69&lt;-1),"PH-C")))</f>
        <v>PH-C</v>
      </c>
      <c r="AD69" s="467"/>
      <c r="AE69" s="467"/>
      <c r="AF69" s="467"/>
      <c r="AG69" s="473"/>
      <c r="AH69" s="467"/>
      <c r="AI69" s="467"/>
      <c r="AJ69" s="467"/>
      <c r="AK69" s="467"/>
      <c r="AL69" s="467"/>
      <c r="AM69" s="467" t="s">
        <v>1042</v>
      </c>
      <c r="AN69" s="474">
        <v>5.5</v>
      </c>
      <c r="AO69" s="467"/>
      <c r="AP69" s="467"/>
      <c r="AQ69" s="474"/>
      <c r="AR69" s="467"/>
      <c r="AS69" s="467"/>
      <c r="AT69" s="474">
        <f>+ab($T$69,$T$67,$T$71,$G$68,$G$70, 1*$F$69,1200)</f>
        <v>-2.5568702174040849</v>
      </c>
      <c r="AU69" s="467"/>
      <c r="AV69" s="467"/>
      <c r="AW69" s="464" t="s">
        <v>5035</v>
      </c>
      <c r="AX69" s="467"/>
      <c r="AY69" s="474"/>
      <c r="AZ69" s="474"/>
      <c r="BA69" s="1534" t="s">
        <v>2809</v>
      </c>
      <c r="BB69" s="467" t="str">
        <f>Pole_Calculations!A15</f>
        <v>App.7-V11A-P9.5.1.1</v>
      </c>
      <c r="BC69" s="169"/>
      <c r="BD69" s="1329"/>
      <c r="BE69" s="1329"/>
      <c r="BF69" s="1330"/>
      <c r="BG69" s="1329"/>
    </row>
    <row r="70" spans="1:59" ht="15.65" customHeight="1">
      <c r="A70" s="467" t="s">
        <v>4009</v>
      </c>
      <c r="B70" s="685"/>
      <c r="C70" s="473"/>
      <c r="D70" s="467"/>
      <c r="E70" s="467"/>
      <c r="F70" s="469"/>
      <c r="G70" s="474">
        <v>30</v>
      </c>
      <c r="H70" s="467"/>
      <c r="I70" s="469"/>
      <c r="J70" s="473"/>
      <c r="K70" s="467"/>
      <c r="L70" s="467"/>
      <c r="M70" s="467"/>
      <c r="N70" s="467"/>
      <c r="O70" s="467"/>
      <c r="P70" s="467"/>
      <c r="Q70" s="467"/>
      <c r="R70" s="467"/>
      <c r="S70" s="474"/>
      <c r="T70" s="467"/>
      <c r="U70" s="467"/>
      <c r="V70" s="467"/>
      <c r="W70" s="467"/>
      <c r="X70" s="467"/>
      <c r="Y70" s="467"/>
      <c r="Z70" s="467"/>
      <c r="AA70" s="467"/>
      <c r="AB70" s="467"/>
      <c r="AC70" s="467"/>
      <c r="AD70" s="467"/>
      <c r="AE70" s="467"/>
      <c r="AF70" s="467"/>
      <c r="AG70" s="473"/>
      <c r="AH70" s="467"/>
      <c r="AI70" s="467"/>
      <c r="AJ70" s="467"/>
      <c r="AK70" s="467"/>
      <c r="AL70" s="467"/>
      <c r="AM70" s="467"/>
      <c r="AN70" s="474"/>
      <c r="AO70" s="467"/>
      <c r="AP70" s="467"/>
      <c r="AQ70" s="474">
        <f>+FL_2($T$71,$T$69,$G$70,1200,9.28, 1*$F$71)</f>
        <v>-0.30000000000003496</v>
      </c>
      <c r="AR70" s="467"/>
      <c r="AS70" s="467"/>
      <c r="AT70" s="474"/>
      <c r="AU70" s="467"/>
      <c r="AV70" s="467"/>
      <c r="AW70" s="467"/>
      <c r="AX70" s="467"/>
      <c r="AY70" s="474"/>
      <c r="AZ70" s="474"/>
      <c r="BA70" s="674"/>
      <c r="BB70" s="467"/>
      <c r="BC70" s="169"/>
      <c r="BD70" s="1330"/>
      <c r="BE70" s="1330"/>
      <c r="BF70" s="1330"/>
      <c r="BG70" s="1330"/>
    </row>
    <row r="71" spans="1:59" ht="15.65" customHeight="1">
      <c r="A71" s="467"/>
      <c r="B71" s="685" t="s">
        <v>2902</v>
      </c>
      <c r="C71" s="473">
        <f>+$C$69+$G$70</f>
        <v>90150.85</v>
      </c>
      <c r="D71" s="467"/>
      <c r="E71" s="467"/>
      <c r="F71" s="469">
        <v>-400</v>
      </c>
      <c r="G71" s="474"/>
      <c r="H71" s="467"/>
      <c r="I71" s="469"/>
      <c r="J71" s="473"/>
      <c r="K71" s="467"/>
      <c r="L71" s="467" t="s">
        <v>230</v>
      </c>
      <c r="M71" s="467" t="s">
        <v>2811</v>
      </c>
      <c r="N71" s="467" t="s">
        <v>143</v>
      </c>
      <c r="O71" s="467"/>
      <c r="P71" s="467"/>
      <c r="Q71" s="467"/>
      <c r="R71" s="467"/>
      <c r="S71" s="474"/>
      <c r="T71" s="467">
        <v>-30</v>
      </c>
      <c r="U71" s="467"/>
      <c r="V71" s="467"/>
      <c r="W71" s="467">
        <v>1.4</v>
      </c>
      <c r="X71" s="467"/>
      <c r="Y71" s="467"/>
      <c r="Z71" s="467"/>
      <c r="AA71" s="467"/>
      <c r="AB71" s="467"/>
      <c r="AC71" s="467" t="str">
        <f>IF(OR(AT71&gt;8,AT71&lt;-8),"PH",IF(OR(AT71&gt;5,AT71&lt;-5),"PH-Q",IF(OR(AT71&gt;1,AT71&lt;-1),"PH-C")))</f>
        <v>PH-C</v>
      </c>
      <c r="AD71" s="467"/>
      <c r="AE71" s="467"/>
      <c r="AF71" s="467"/>
      <c r="AG71" s="473"/>
      <c r="AH71" s="467"/>
      <c r="AI71" s="467"/>
      <c r="AJ71" s="467"/>
      <c r="AK71" s="467"/>
      <c r="AL71" s="467"/>
      <c r="AM71" s="467" t="s">
        <v>1042</v>
      </c>
      <c r="AN71" s="474">
        <v>5.5</v>
      </c>
      <c r="AO71" s="467"/>
      <c r="AP71" s="467"/>
      <c r="AQ71" s="474"/>
      <c r="AR71" s="467"/>
      <c r="AS71" s="467"/>
      <c r="AT71" s="474">
        <f>+ab($T$71,$T$69,$T$73,$G$70,$G$72, 1*$F$71,1200)</f>
        <v>-2.5568702174040849</v>
      </c>
      <c r="AU71" s="467"/>
      <c r="AV71" s="467"/>
      <c r="AW71" s="464" t="s">
        <v>5035</v>
      </c>
      <c r="AX71" s="464"/>
      <c r="AY71" s="466"/>
      <c r="AZ71" s="466"/>
      <c r="BA71" s="1534" t="s">
        <v>2809</v>
      </c>
      <c r="BB71" s="467" t="str">
        <f>Pole_Calculations!A15</f>
        <v>App.7-V11A-P9.5.1.1</v>
      </c>
      <c r="BC71" s="169"/>
      <c r="BD71" s="1329"/>
      <c r="BE71" s="1329"/>
      <c r="BF71" s="1330"/>
      <c r="BG71" s="1329"/>
    </row>
    <row r="72" spans="1:59" ht="15.65" customHeight="1">
      <c r="A72" s="467"/>
      <c r="B72" s="685"/>
      <c r="C72" s="473"/>
      <c r="D72" s="467"/>
      <c r="E72" s="467"/>
      <c r="F72" s="469"/>
      <c r="G72" s="474">
        <v>30</v>
      </c>
      <c r="H72" s="467"/>
      <c r="I72" s="469"/>
      <c r="J72" s="473"/>
      <c r="K72" s="467"/>
      <c r="L72" s="467"/>
      <c r="M72" s="467"/>
      <c r="N72" s="467"/>
      <c r="O72" s="467"/>
      <c r="P72" s="467"/>
      <c r="Q72" s="467"/>
      <c r="R72" s="467"/>
      <c r="S72" s="474"/>
      <c r="T72" s="467"/>
      <c r="U72" s="467"/>
      <c r="V72" s="467"/>
      <c r="W72" s="467"/>
      <c r="X72" s="467"/>
      <c r="Y72" s="467"/>
      <c r="Z72" s="467"/>
      <c r="AA72" s="467"/>
      <c r="AB72" s="467"/>
      <c r="AC72" s="467"/>
      <c r="AD72" s="467"/>
      <c r="AE72" s="467"/>
      <c r="AF72" s="467"/>
      <c r="AG72" s="473"/>
      <c r="AH72" s="467"/>
      <c r="AI72" s="467"/>
      <c r="AJ72" s="467"/>
      <c r="AK72" s="467"/>
      <c r="AL72" s="467"/>
      <c r="AM72" s="467"/>
      <c r="AN72" s="474"/>
      <c r="AO72" s="467"/>
      <c r="AP72" s="467"/>
      <c r="AQ72" s="474">
        <f>+FL_2($T$73,$T$71,$G$72,1200,9.28, 1*$F$73)</f>
        <v>-0.30000000000003496</v>
      </c>
      <c r="AR72" s="467"/>
      <c r="AS72" s="467"/>
      <c r="AT72" s="474"/>
      <c r="AU72" s="467"/>
      <c r="AV72" s="467"/>
      <c r="AW72" s="467"/>
      <c r="AX72" s="467"/>
      <c r="AY72" s="474"/>
      <c r="AZ72" s="474"/>
      <c r="BA72" s="674"/>
      <c r="BB72" s="467"/>
      <c r="BC72" s="169"/>
      <c r="BD72" s="1330"/>
      <c r="BE72" s="1330"/>
      <c r="BF72" s="1330"/>
      <c r="BG72" s="1330"/>
    </row>
    <row r="73" spans="1:59" ht="15.65" customHeight="1">
      <c r="A73" s="467"/>
      <c r="B73" s="685" t="s">
        <v>2903</v>
      </c>
      <c r="C73" s="473">
        <f>+$C$71+$G$72</f>
        <v>90180.85</v>
      </c>
      <c r="D73" s="467"/>
      <c r="E73" s="467"/>
      <c r="F73" s="469">
        <v>-400</v>
      </c>
      <c r="G73" s="474"/>
      <c r="H73" s="467"/>
      <c r="I73" s="469"/>
      <c r="J73" s="473"/>
      <c r="K73" s="467"/>
      <c r="L73" s="467" t="s">
        <v>230</v>
      </c>
      <c r="M73" s="467" t="s">
        <v>2811</v>
      </c>
      <c r="N73" s="467" t="s">
        <v>143</v>
      </c>
      <c r="O73" s="467"/>
      <c r="P73" s="467"/>
      <c r="Q73" s="467"/>
      <c r="R73" s="467"/>
      <c r="S73" s="474"/>
      <c r="T73" s="467">
        <v>-30</v>
      </c>
      <c r="U73" s="467"/>
      <c r="V73" s="467"/>
      <c r="W73" s="467">
        <v>1.4</v>
      </c>
      <c r="X73" s="467"/>
      <c r="Y73" s="467"/>
      <c r="Z73" s="467"/>
      <c r="AA73" s="467"/>
      <c r="AB73" s="467"/>
      <c r="AC73" s="467" t="str">
        <f>IF(OR(AT73&gt;8,AT73&lt;-8),"PH",IF(OR(AT73&gt;5,AT73&lt;-5),"PH-Q",IF(OR(AT73&gt;1,AT73&lt;-1),"PH-C")))</f>
        <v>PH-C</v>
      </c>
      <c r="AD73" s="467"/>
      <c r="AE73" s="467"/>
      <c r="AF73" s="467"/>
      <c r="AG73" s="473"/>
      <c r="AH73" s="467"/>
      <c r="AI73" s="467"/>
      <c r="AJ73" s="467"/>
      <c r="AK73" s="467"/>
      <c r="AL73" s="467"/>
      <c r="AM73" s="467" t="s">
        <v>1042</v>
      </c>
      <c r="AN73" s="474">
        <v>5.5</v>
      </c>
      <c r="AO73" s="467"/>
      <c r="AP73" s="467"/>
      <c r="AQ73" s="474"/>
      <c r="AR73" s="467"/>
      <c r="AS73" s="467"/>
      <c r="AT73" s="474">
        <f>+ab($T$73,$T$71,$T$75,$G$72,$G$74, 1*$F$73,1200)</f>
        <v>-2.7889612250209916</v>
      </c>
      <c r="AU73" s="467"/>
      <c r="AV73" s="467"/>
      <c r="AW73" s="464" t="s">
        <v>5035</v>
      </c>
      <c r="AX73" s="467"/>
      <c r="AY73" s="474"/>
      <c r="AZ73" s="474"/>
      <c r="BA73" s="1534" t="s">
        <v>2809</v>
      </c>
      <c r="BB73" s="467" t="str">
        <f>Pole_Calculations!A15</f>
        <v>App.7-V11A-P9.5.1.1</v>
      </c>
      <c r="BC73" s="169"/>
      <c r="BD73" s="1329"/>
      <c r="BE73" s="1329"/>
      <c r="BF73" s="1330"/>
      <c r="BG73" s="1329"/>
    </row>
    <row r="74" spans="1:59" ht="15.65" customHeight="1">
      <c r="A74" s="467"/>
      <c r="B74" s="685"/>
      <c r="C74" s="473"/>
      <c r="D74" s="467"/>
      <c r="E74" s="467"/>
      <c r="F74" s="469"/>
      <c r="G74" s="474">
        <v>25</v>
      </c>
      <c r="H74" s="467"/>
      <c r="I74" s="469"/>
      <c r="J74" s="473">
        <f>C75-7.5</f>
        <v>90198.35</v>
      </c>
      <c r="K74" s="467" t="s">
        <v>625</v>
      </c>
      <c r="L74" s="467"/>
      <c r="M74" s="467"/>
      <c r="N74" s="467"/>
      <c r="O74" s="467"/>
      <c r="P74" s="467"/>
      <c r="Q74" s="467"/>
      <c r="R74" s="467"/>
      <c r="S74" s="474"/>
      <c r="T74" s="467"/>
      <c r="U74" s="467"/>
      <c r="V74" s="467"/>
      <c r="W74" s="467"/>
      <c r="X74" s="467"/>
      <c r="Y74" s="467"/>
      <c r="Z74" s="467"/>
      <c r="AA74" s="467"/>
      <c r="AB74" s="467"/>
      <c r="AC74" s="467"/>
      <c r="AD74" s="467"/>
      <c r="AE74" s="467"/>
      <c r="AF74" s="467"/>
      <c r="AG74" s="473"/>
      <c r="AH74" s="467"/>
      <c r="AI74" s="467"/>
      <c r="AJ74" s="467"/>
      <c r="AK74" s="467"/>
      <c r="AL74" s="467"/>
      <c r="AM74" s="467"/>
      <c r="AN74" s="474"/>
      <c r="AO74" s="467"/>
      <c r="AP74" s="467"/>
      <c r="AQ74" s="474">
        <f>+FL_2($T$75,$T$73,$G$74,1200,9.28, 1*$F$75)</f>
        <v>-0.30000000000004612</v>
      </c>
      <c r="AR74" s="467"/>
      <c r="AS74" s="467"/>
      <c r="AT74" s="474"/>
      <c r="AU74" s="467"/>
      <c r="AV74" s="467"/>
      <c r="AW74" s="467"/>
      <c r="AX74" s="467"/>
      <c r="AY74" s="474"/>
      <c r="AZ74" s="474"/>
      <c r="BA74" s="674"/>
      <c r="BB74" s="467"/>
      <c r="BC74" s="169"/>
      <c r="BD74" s="1329"/>
      <c r="BE74" s="1330"/>
      <c r="BF74" s="1330"/>
      <c r="BG74" s="1330"/>
    </row>
    <row r="75" spans="1:59" ht="15.65" customHeight="1">
      <c r="A75" s="467"/>
      <c r="B75" s="685" t="s">
        <v>2575</v>
      </c>
      <c r="C75" s="473">
        <f>+$C$73+$G$74</f>
        <v>90205.85</v>
      </c>
      <c r="D75" s="467"/>
      <c r="E75" s="467"/>
      <c r="F75" s="469">
        <v>-400</v>
      </c>
      <c r="G75" s="474"/>
      <c r="H75" s="467" t="s">
        <v>873</v>
      </c>
      <c r="I75" s="469"/>
      <c r="J75" s="473"/>
      <c r="K75" s="467"/>
      <c r="L75" s="467" t="s">
        <v>232</v>
      </c>
      <c r="M75" s="467" t="s">
        <v>2811</v>
      </c>
      <c r="N75" s="467" t="s">
        <v>143</v>
      </c>
      <c r="O75" s="467"/>
      <c r="P75" s="467"/>
      <c r="Q75" s="467"/>
      <c r="R75" s="467"/>
      <c r="S75" s="474"/>
      <c r="T75" s="467">
        <v>-30</v>
      </c>
      <c r="U75" s="467"/>
      <c r="V75" s="467"/>
      <c r="W75" s="467">
        <v>1.4</v>
      </c>
      <c r="X75" s="467"/>
      <c r="Y75" s="467"/>
      <c r="Z75" s="467"/>
      <c r="AA75" s="467"/>
      <c r="AB75" s="467"/>
      <c r="AC75" s="467" t="str">
        <f t="shared" ref="AC75:AC99" si="0">IF(OR(AT75&gt;8,AT75&lt;-8),"PH",IF(OR(AT75&gt;5,AT75&lt;-5),"PH-Q",IF(OR(AT75&gt;1,AT75&lt;-1),"PH-C")))</f>
        <v>PH-C</v>
      </c>
      <c r="AD75" s="467"/>
      <c r="AE75" s="467"/>
      <c r="AF75" s="467"/>
      <c r="AG75" s="473"/>
      <c r="AH75" s="467"/>
      <c r="AI75" s="467"/>
      <c r="AJ75" s="467"/>
      <c r="AK75" s="467"/>
      <c r="AL75" s="467"/>
      <c r="AM75" s="467" t="s">
        <v>1042</v>
      </c>
      <c r="AN75" s="474">
        <v>5.5</v>
      </c>
      <c r="AO75" s="467"/>
      <c r="AP75" s="467"/>
      <c r="AQ75" s="474"/>
      <c r="AR75" s="467"/>
      <c r="AS75" s="467"/>
      <c r="AT75" s="474">
        <f>+ab($T$75,$T$73,$T$77,$G$74,$G$76, 1*$F$75,1200)</f>
        <v>-3.0673489076901475</v>
      </c>
      <c r="AU75" s="467"/>
      <c r="AV75" s="467"/>
      <c r="AW75" s="467" t="s">
        <v>5036</v>
      </c>
      <c r="AX75" s="467"/>
      <c r="AY75" s="474"/>
      <c r="AZ75" s="474"/>
      <c r="BA75" s="1534" t="s">
        <v>2809</v>
      </c>
      <c r="BB75" s="467" t="str">
        <f>Pole_Calculations!A17</f>
        <v>App.7-V11A-P9.5.1.3</v>
      </c>
      <c r="BC75" s="169"/>
      <c r="BD75" s="1329"/>
      <c r="BE75" s="1329"/>
      <c r="BF75" s="1330"/>
      <c r="BG75" s="1329"/>
    </row>
    <row r="76" spans="1:59" ht="15.65" customHeight="1">
      <c r="A76" s="467"/>
      <c r="B76" s="685"/>
      <c r="C76" s="473"/>
      <c r="D76" s="467"/>
      <c r="E76" s="467"/>
      <c r="F76" s="469"/>
      <c r="G76" s="474">
        <v>25</v>
      </c>
      <c r="H76" s="467"/>
      <c r="I76" s="469">
        <f>SUM(G52:G76)</f>
        <v>374.5</v>
      </c>
      <c r="J76" s="473"/>
      <c r="K76" s="467"/>
      <c r="L76" s="467"/>
      <c r="M76" s="467"/>
      <c r="N76" s="467"/>
      <c r="O76" s="467"/>
      <c r="P76" s="467"/>
      <c r="Q76" s="467"/>
      <c r="R76" s="467"/>
      <c r="S76" s="474"/>
      <c r="T76" s="467"/>
      <c r="U76" s="467"/>
      <c r="V76" s="467"/>
      <c r="W76" s="467"/>
      <c r="X76" s="467"/>
      <c r="Y76" s="467"/>
      <c r="Z76" s="467"/>
      <c r="AA76" s="467"/>
      <c r="AB76" s="467"/>
      <c r="AC76" s="467"/>
      <c r="AD76" s="467"/>
      <c r="AE76" s="467"/>
      <c r="AF76" s="467"/>
      <c r="AG76" s="473"/>
      <c r="AH76" s="467"/>
      <c r="AI76" s="467"/>
      <c r="AJ76" s="467"/>
      <c r="AK76" s="467"/>
      <c r="AL76" s="467"/>
      <c r="AM76" s="467"/>
      <c r="AN76" s="474"/>
      <c r="AO76" s="467"/>
      <c r="AP76" s="467"/>
      <c r="AQ76" s="474">
        <f>+FL_2($T$77,$T$75,$G$76,1200,9.28, 1*$F$77)</f>
        <v>-0.30000000000004612</v>
      </c>
      <c r="AR76" s="467"/>
      <c r="AS76" s="467"/>
      <c r="AT76" s="474"/>
      <c r="AU76" s="467"/>
      <c r="AV76" s="467"/>
      <c r="AW76" s="467"/>
      <c r="AX76" s="467"/>
      <c r="AY76" s="474"/>
      <c r="AZ76" s="474"/>
      <c r="BA76" s="674"/>
      <c r="BB76" s="467"/>
      <c r="BC76" s="169"/>
      <c r="BD76" s="1330"/>
      <c r="BE76" s="1330"/>
      <c r="BF76" s="1330"/>
      <c r="BG76" s="1330"/>
    </row>
    <row r="77" spans="1:59" ht="15.65" customHeight="1">
      <c r="A77" s="467"/>
      <c r="B77" s="685" t="s">
        <v>2612</v>
      </c>
      <c r="C77" s="473">
        <f>+$C$75+$G$76</f>
        <v>90230.85</v>
      </c>
      <c r="D77" s="467"/>
      <c r="E77" s="467"/>
      <c r="F77" s="469">
        <v>-400</v>
      </c>
      <c r="G77" s="474"/>
      <c r="H77" s="467" t="s">
        <v>874</v>
      </c>
      <c r="I77" s="469"/>
      <c r="J77" s="473"/>
      <c r="K77" s="467"/>
      <c r="L77" s="467" t="s">
        <v>230</v>
      </c>
      <c r="M77" s="467" t="s">
        <v>2811</v>
      </c>
      <c r="N77" s="467" t="s">
        <v>143</v>
      </c>
      <c r="O77" s="467"/>
      <c r="P77" s="467"/>
      <c r="Q77" s="467"/>
      <c r="R77" s="467"/>
      <c r="S77" s="474"/>
      <c r="T77" s="467">
        <v>-30</v>
      </c>
      <c r="U77" s="467"/>
      <c r="V77" s="467"/>
      <c r="W77" s="467">
        <v>1.4</v>
      </c>
      <c r="X77" s="467"/>
      <c r="Y77" s="467"/>
      <c r="Z77" s="467"/>
      <c r="AA77" s="467"/>
      <c r="AB77" s="467"/>
      <c r="AC77" s="467" t="str">
        <f t="shared" si="0"/>
        <v>PH-C</v>
      </c>
      <c r="AD77" s="467"/>
      <c r="AE77" s="467"/>
      <c r="AF77" s="467"/>
      <c r="AG77" s="473"/>
      <c r="AH77" s="467"/>
      <c r="AI77" s="467"/>
      <c r="AJ77" s="467"/>
      <c r="AK77" s="467"/>
      <c r="AL77" s="467"/>
      <c r="AM77" s="467" t="s">
        <v>1042</v>
      </c>
      <c r="AN77" s="474">
        <v>5.5</v>
      </c>
      <c r="AO77" s="467"/>
      <c r="AP77" s="467"/>
      <c r="AQ77" s="474"/>
      <c r="AR77" s="467"/>
      <c r="AS77" s="467"/>
      <c r="AT77" s="474">
        <f>+ab($T$77,$T$75,$T$79,$G$76,$G$78, 1*$F$77,1200)</f>
        <v>-2.2024666710229441</v>
      </c>
      <c r="AU77" s="467"/>
      <c r="AV77" s="467"/>
      <c r="AW77" s="464" t="s">
        <v>4433</v>
      </c>
      <c r="AX77" s="464"/>
      <c r="AY77" s="466"/>
      <c r="AZ77" s="466"/>
      <c r="BA77" s="1534" t="s">
        <v>2809</v>
      </c>
      <c r="BB77" s="467" t="str">
        <f>Pole_Calculations!A16</f>
        <v>App.7-V11A-P9.5.1.2</v>
      </c>
      <c r="BC77" s="169"/>
      <c r="BD77" s="1329"/>
      <c r="BE77" s="1329"/>
      <c r="BF77" s="1330"/>
      <c r="BG77" s="1329"/>
    </row>
    <row r="78" spans="1:59" ht="15.65" customHeight="1">
      <c r="A78" s="1239"/>
      <c r="B78" s="572"/>
      <c r="C78" s="171"/>
      <c r="D78" s="1239"/>
      <c r="E78" s="1239"/>
      <c r="F78" s="448"/>
      <c r="G78" s="455">
        <v>30</v>
      </c>
      <c r="H78" s="1239"/>
      <c r="I78" s="448">
        <f>SUM(G78:G102)</f>
        <v>365</v>
      </c>
      <c r="J78" s="171"/>
      <c r="K78" s="1239"/>
      <c r="L78" s="1239"/>
      <c r="M78" s="1239"/>
      <c r="N78" s="1239"/>
      <c r="O78" s="1239"/>
      <c r="P78" s="1239"/>
      <c r="Q78" s="1239"/>
      <c r="R78" s="1239"/>
      <c r="S78" s="455"/>
      <c r="T78" s="1239"/>
      <c r="U78" s="1239"/>
      <c r="V78" s="1239"/>
      <c r="W78" s="1239"/>
      <c r="X78" s="1239"/>
      <c r="Y78" s="1239"/>
      <c r="Z78" s="1239"/>
      <c r="AA78" s="1239"/>
      <c r="AB78" s="1239"/>
      <c r="AC78" s="1239"/>
      <c r="AD78" s="1239"/>
      <c r="AE78" s="1239"/>
      <c r="AF78" s="1239"/>
      <c r="AG78" s="171"/>
      <c r="AH78" s="1239"/>
      <c r="AI78" s="1239"/>
      <c r="AJ78" s="1239"/>
      <c r="AK78" s="1239"/>
      <c r="AL78" s="1239"/>
      <c r="AM78" s="1239"/>
      <c r="AN78" s="455"/>
      <c r="AO78" s="1239"/>
      <c r="AP78" s="1239"/>
      <c r="AQ78" s="455">
        <f>+FL_2($T$79,$T$77,$G$78,1200,9.28, 1*$F$79)</f>
        <v>-0.30000000000001276</v>
      </c>
      <c r="AR78" s="1239"/>
      <c r="AS78" s="1239"/>
      <c r="AT78" s="455"/>
      <c r="AU78" s="1239"/>
      <c r="AV78" s="1239"/>
      <c r="AW78" s="1239"/>
      <c r="AX78" s="1239"/>
      <c r="AY78" s="455"/>
      <c r="AZ78" s="455"/>
      <c r="BA78" s="671"/>
      <c r="BB78" s="1239"/>
      <c r="BC78" s="169"/>
      <c r="BD78" s="1330"/>
      <c r="BE78" s="1330"/>
      <c r="BF78" s="1330"/>
      <c r="BG78" s="1330"/>
    </row>
    <row r="79" spans="1:59" ht="15.65" customHeight="1">
      <c r="A79" s="1239"/>
      <c r="B79" s="572" t="s">
        <v>2613</v>
      </c>
      <c r="C79" s="171">
        <f>+$C$77+$G$78</f>
        <v>90260.85</v>
      </c>
      <c r="D79" s="1239"/>
      <c r="E79" s="1239"/>
      <c r="F79" s="448">
        <f>-(395^2)/(90272.11-C79)</f>
        <v>-13856.571936063285</v>
      </c>
      <c r="G79" s="455"/>
      <c r="H79" s="1239" t="s">
        <v>873</v>
      </c>
      <c r="I79" s="448"/>
      <c r="J79" s="171"/>
      <c r="K79" s="1239"/>
      <c r="L79" s="1239" t="s">
        <v>230</v>
      </c>
      <c r="M79" s="1239" t="str">
        <f>IF(AX79="PT",VLOOKUP(L79,'Foundation Calculation'!$V$2:$X$40,VLOOKUP(AX79,'Foundation Calculation'!$I$10:$J$13,2,FALSE),0),IF(AX79="K",VLOOKUP(L79,'Foundation Calculation'!$V$42:$X$80,VLOOKUP(AX79,'Foundation Calculation'!$I$10:$J$13,2,FALSE),0),""))</f>
        <v>C4R</v>
      </c>
      <c r="N79" s="1239" t="s">
        <v>144</v>
      </c>
      <c r="O79" s="1239"/>
      <c r="P79" s="1239"/>
      <c r="Q79" s="1239"/>
      <c r="R79" s="1239"/>
      <c r="S79" s="455"/>
      <c r="T79" s="1239">
        <v>25</v>
      </c>
      <c r="U79" s="1239"/>
      <c r="V79" s="1239"/>
      <c r="W79" s="1239">
        <v>1.4</v>
      </c>
      <c r="X79" s="1239"/>
      <c r="Y79" s="1239"/>
      <c r="Z79" s="1239"/>
      <c r="AA79" s="1239"/>
      <c r="AB79" s="1239"/>
      <c r="AC79" s="1239" t="str">
        <f t="shared" si="0"/>
        <v>PH-Q</v>
      </c>
      <c r="AD79" s="1239"/>
      <c r="AE79" s="1239"/>
      <c r="AF79" s="1239"/>
      <c r="AG79" s="171"/>
      <c r="AH79" s="1239"/>
      <c r="AI79" s="1239"/>
      <c r="AJ79" s="1239"/>
      <c r="AK79" s="1239"/>
      <c r="AL79" s="1239"/>
      <c r="AM79" s="1239" t="s">
        <v>1042</v>
      </c>
      <c r="AN79" s="455">
        <v>5.45</v>
      </c>
      <c r="AO79" s="1239"/>
      <c r="AP79" s="1239"/>
      <c r="AQ79" s="455"/>
      <c r="AR79" s="1239"/>
      <c r="AS79" s="1239"/>
      <c r="AT79" s="455">
        <f>+ab($T$79,$T$77,$T$81,$G$78,$G$80, 1*$F$79,1200)</f>
        <v>5.5576199898425953</v>
      </c>
      <c r="AU79" s="1239"/>
      <c r="AV79" s="1239"/>
      <c r="AW79" s="1239" t="str">
        <f>VLOOKUP(C79,'Foundation Calculation'!$A$2:$C$33,3,1)</f>
        <v>Soil B</v>
      </c>
      <c r="AX79" s="1239" t="str">
        <f>VLOOKUP(C79,'Foundation Calculation'!$E$2:$G$33,3,1)</f>
        <v>PT</v>
      </c>
      <c r="AY79" s="455">
        <f>IF(AX79="PT",VLOOKUP(L79,'Foundation Calculation'!$K$2:$R$40,VLOOKUP(AW79,'Foundation Calculation'!$I$2:$J$8,2,FALSE),0),IF(AX79="K",VLOOKUP(L79,'Foundation Calculation'!$K$42:$R$80,VLOOKUP(AW79,'Foundation Calculation'!$I$2:$J$8,2,FALSE),0),""))</f>
        <v>3.5</v>
      </c>
      <c r="AZ79" s="455"/>
      <c r="BA79" s="1536" t="s">
        <v>2809</v>
      </c>
      <c r="BB79" s="1239" t="str">
        <f>Pole_Calculations!A17</f>
        <v>App.7-V11A-P9.5.1.3</v>
      </c>
      <c r="BC79" s="169"/>
      <c r="BD79" s="1329"/>
      <c r="BE79" s="1329"/>
      <c r="BF79" s="1330"/>
      <c r="BG79" s="1329"/>
    </row>
    <row r="80" spans="1:59" ht="15.65" customHeight="1">
      <c r="A80" s="1239"/>
      <c r="B80" s="572"/>
      <c r="C80" s="171"/>
      <c r="D80" s="1239"/>
      <c r="E80" s="1239"/>
      <c r="F80" s="448"/>
      <c r="G80" s="455">
        <v>32.700000000000003</v>
      </c>
      <c r="H80" s="1239"/>
      <c r="I80" s="448"/>
      <c r="J80" s="171">
        <f>C79+7.5</f>
        <v>90268.35</v>
      </c>
      <c r="K80" s="1239" t="s">
        <v>2788</v>
      </c>
      <c r="L80" s="1239"/>
      <c r="M80" s="1239"/>
      <c r="N80" s="1239"/>
      <c r="O80" s="1239"/>
      <c r="P80" s="1239"/>
      <c r="Q80" s="1239"/>
      <c r="R80" s="1239"/>
      <c r="S80" s="455"/>
      <c r="T80" s="1239"/>
      <c r="U80" s="1239"/>
      <c r="V80" s="1239"/>
      <c r="W80" s="1239"/>
      <c r="X80" s="1239"/>
      <c r="Y80" s="1239"/>
      <c r="Z80" s="1239"/>
      <c r="AA80" s="1239"/>
      <c r="AB80" s="1239"/>
      <c r="AC80" s="1239"/>
      <c r="AD80" s="1239"/>
      <c r="AE80" s="1239"/>
      <c r="AF80" s="1239"/>
      <c r="AG80" s="171"/>
      <c r="AH80" s="1239"/>
      <c r="AI80" s="1239"/>
      <c r="AJ80" s="1239"/>
      <c r="AK80" s="1239"/>
      <c r="AL80" s="1239"/>
      <c r="AM80" s="1239"/>
      <c r="AN80" s="455"/>
      <c r="AO80" s="1239"/>
      <c r="AP80" s="1239"/>
      <c r="AQ80" s="455">
        <f>+FL_2($T$81,$T$79,$G$80,1200,9.28, 1*$F$81)</f>
        <v>-0.35</v>
      </c>
      <c r="AR80" s="1239"/>
      <c r="AS80" s="1239"/>
      <c r="AT80" s="455"/>
      <c r="AU80" s="1239"/>
      <c r="AV80" s="1239"/>
      <c r="AW80" s="638" t="str">
        <f>VLOOKUP(J80,'Foundation Calculation'!$A$2:$C$33,3,1)</f>
        <v>Soil B</v>
      </c>
      <c r="AX80" s="638" t="str">
        <f>VLOOKUP(J80,'Foundation Calculation'!$E$2:$G$33,3,1)</f>
        <v>PT</v>
      </c>
      <c r="AY80" s="484"/>
      <c r="AZ80" s="484">
        <f>IF(AX80="PT",VLOOKUP(K80,'Foundation Calculation'!$K$2:$R$40,VLOOKUP(AW80,'Foundation Calculation'!$I$2:$J$8,2,FALSE),0),IF(AX80="K",VLOOKUP(K80,'Foundation Calculation'!$K$42:$R$80,VLOOKUP(AW80,'Foundation Calculation'!$I$2:$J$8,2,FALSE),0),""))</f>
        <v>2.8</v>
      </c>
      <c r="BA80" s="1536" t="s">
        <v>2809</v>
      </c>
      <c r="BB80" s="1239"/>
      <c r="BC80" s="169"/>
      <c r="BD80" s="1329"/>
      <c r="BE80" s="1330"/>
      <c r="BF80" s="1330"/>
      <c r="BG80" s="1330"/>
    </row>
    <row r="81" spans="1:59" ht="15.65" customHeight="1">
      <c r="A81" s="1239"/>
      <c r="B81" s="572" t="s">
        <v>2614</v>
      </c>
      <c r="C81" s="171">
        <f>+$C$79+$G$80</f>
        <v>90293.55</v>
      </c>
      <c r="D81" s="1239"/>
      <c r="E81" s="1239"/>
      <c r="F81" s="448">
        <f>(660^2)/(90276.3-C81)</f>
        <v>-25252.17391304348</v>
      </c>
      <c r="G81" s="455"/>
      <c r="H81" s="1239"/>
      <c r="I81" s="448"/>
      <c r="J81" s="171"/>
      <c r="K81" s="1239"/>
      <c r="L81" s="1239" t="s">
        <v>229</v>
      </c>
      <c r="M81" s="1239" t="str">
        <f>IF(AX81="PT",VLOOKUP(L81,'Foundation Calculation'!$V$2:$X$40,VLOOKUP(AX81,'Foundation Calculation'!$I$10:$J$13,2,FALSE),0),IF(AX81="K",VLOOKUP(L81,'Foundation Calculation'!$V$42:$X$80,VLOOKUP(AX81,'Foundation Calculation'!$I$10:$J$13,2,FALSE),0),""))</f>
        <v>C3R</v>
      </c>
      <c r="N81" s="1239" t="s">
        <v>143</v>
      </c>
      <c r="O81" s="1239"/>
      <c r="P81" s="1239"/>
      <c r="Q81" s="1239"/>
      <c r="R81" s="1239"/>
      <c r="S81" s="455"/>
      <c r="T81" s="1239">
        <v>-35</v>
      </c>
      <c r="U81" s="1239"/>
      <c r="V81" s="1239"/>
      <c r="W81" s="1239">
        <v>1.4</v>
      </c>
      <c r="X81" s="1239"/>
      <c r="Y81" s="1239"/>
      <c r="Z81" s="1239"/>
      <c r="AA81" s="1239"/>
      <c r="AB81" s="1239"/>
      <c r="AC81" s="1239" t="str">
        <f t="shared" si="0"/>
        <v>PH</v>
      </c>
      <c r="AD81" s="1239"/>
      <c r="AE81" s="1239"/>
      <c r="AF81" s="1239"/>
      <c r="AG81" s="171"/>
      <c r="AH81" s="1239"/>
      <c r="AI81" s="1239"/>
      <c r="AJ81" s="1239"/>
      <c r="AK81" s="1239"/>
      <c r="AL81" s="1239"/>
      <c r="AM81" s="1239" t="s">
        <v>1042</v>
      </c>
      <c r="AN81" s="455">
        <v>5.38</v>
      </c>
      <c r="AO81" s="1239"/>
      <c r="AP81" s="1239"/>
      <c r="AQ81" s="455"/>
      <c r="AR81" s="1239"/>
      <c r="AS81" s="1239"/>
      <c r="AT81" s="455">
        <f>+ab($T$81,$T$79,$T$83,$G$80,$G$82, 1*$F$81,1200)</f>
        <v>-8.9805969982171785</v>
      </c>
      <c r="AU81" s="1239"/>
      <c r="AV81" s="1239"/>
      <c r="AW81" s="1239" t="str">
        <f>VLOOKUP(C81,'Foundation Calculation'!$A$2:$C$33,3,1)</f>
        <v>Soil B</v>
      </c>
      <c r="AX81" s="1239" t="str">
        <f>VLOOKUP(C81,'Foundation Calculation'!$E$2:$G$33,3,1)</f>
        <v>PT</v>
      </c>
      <c r="AY81" s="455">
        <f>IF(AX81="PT",VLOOKUP(L81,'Foundation Calculation'!$K$2:$R$40,VLOOKUP(AW81,'Foundation Calculation'!$I$2:$J$8,2,FALSE),0),IF(AX81="K",VLOOKUP(L81,'Foundation Calculation'!$K$42:$R$80,VLOOKUP(AW81,'Foundation Calculation'!$I$2:$J$8,2,FALSE),0),""))</f>
        <v>3.5</v>
      </c>
      <c r="AZ81" s="455"/>
      <c r="BA81" s="1536" t="s">
        <v>2809</v>
      </c>
      <c r="BB81" s="1239" t="str">
        <f>Pole_Calculations!A15</f>
        <v>App.7-V11A-P9.5.1.1</v>
      </c>
      <c r="BC81" s="169"/>
      <c r="BD81" s="1329"/>
      <c r="BE81" s="1329"/>
      <c r="BF81" s="1330"/>
      <c r="BG81" s="1329"/>
    </row>
    <row r="82" spans="1:59" ht="15.65" customHeight="1">
      <c r="A82" s="1239"/>
      <c r="B82" s="572"/>
      <c r="C82" s="171"/>
      <c r="D82" s="1239"/>
      <c r="E82" s="1239"/>
      <c r="F82" s="448"/>
      <c r="G82" s="455">
        <v>32</v>
      </c>
      <c r="H82" s="1239"/>
      <c r="I82" s="448"/>
      <c r="J82" s="171"/>
      <c r="K82" s="1239"/>
      <c r="L82" s="1239"/>
      <c r="M82" s="1239"/>
      <c r="N82" s="1239"/>
      <c r="O82" s="1239"/>
      <c r="P82" s="1239"/>
      <c r="Q82" s="1239"/>
      <c r="R82" s="1239"/>
      <c r="S82" s="455"/>
      <c r="T82" s="1239"/>
      <c r="U82" s="1239"/>
      <c r="V82" s="1239"/>
      <c r="W82" s="1239"/>
      <c r="X82" s="1239"/>
      <c r="Y82" s="1239"/>
      <c r="Z82" s="1239"/>
      <c r="AA82" s="1239"/>
      <c r="AB82" s="1239"/>
      <c r="AC82" s="1239"/>
      <c r="AD82" s="1239"/>
      <c r="AE82" s="1239"/>
      <c r="AF82" s="1239"/>
      <c r="AG82" s="171"/>
      <c r="AH82" s="1239"/>
      <c r="AI82" s="1239"/>
      <c r="AJ82" s="1239"/>
      <c r="AK82" s="1239"/>
      <c r="AL82" s="1239"/>
      <c r="AM82" s="1239"/>
      <c r="AN82" s="455"/>
      <c r="AO82" s="1239"/>
      <c r="AP82" s="1239"/>
      <c r="AQ82" s="455">
        <f>+FL_2($T$83,$T$81,$G$82,1200,9.28, 1*$F$83)</f>
        <v>-0.35000000000008991</v>
      </c>
      <c r="AR82" s="1239"/>
      <c r="AS82" s="1239"/>
      <c r="AT82" s="455"/>
      <c r="AU82" s="1239"/>
      <c r="AV82" s="1239"/>
      <c r="AW82" s="1239"/>
      <c r="AX82" s="1239"/>
      <c r="AY82" s="455"/>
      <c r="AZ82" s="455"/>
      <c r="BA82" s="1536"/>
      <c r="BB82" s="1239"/>
      <c r="BC82" s="169"/>
      <c r="BD82" s="1330"/>
      <c r="BE82" s="1330"/>
      <c r="BF82" s="1330"/>
      <c r="BG82" s="1330"/>
    </row>
    <row r="83" spans="1:59" ht="15.65" customHeight="1">
      <c r="A83" s="1239"/>
      <c r="B83" s="572" t="s">
        <v>2615</v>
      </c>
      <c r="C83" s="171">
        <f>+$C$81+$G$82</f>
        <v>90325.55</v>
      </c>
      <c r="D83" s="1239"/>
      <c r="E83" s="1239"/>
      <c r="F83" s="448">
        <v>-360</v>
      </c>
      <c r="G83" s="455"/>
      <c r="H83" s="1239"/>
      <c r="I83" s="448"/>
      <c r="J83" s="171"/>
      <c r="K83" s="1239"/>
      <c r="L83" s="1239" t="s">
        <v>230</v>
      </c>
      <c r="M83" s="1239" t="str">
        <f>IF(AX83="PT",VLOOKUP(L83,'Foundation Calculation'!$V$2:$X$40,VLOOKUP(AX83,'Foundation Calculation'!$I$10:$J$13,2,FALSE),0),IF(AX83="K",VLOOKUP(L83,'Foundation Calculation'!$V$42:$X$80,VLOOKUP(AX83,'Foundation Calculation'!$I$10:$J$13,2,FALSE),0),""))</f>
        <v>C4R</v>
      </c>
      <c r="N83" s="1239" t="s">
        <v>143</v>
      </c>
      <c r="O83" s="1239"/>
      <c r="P83" s="1239"/>
      <c r="Q83" s="1239"/>
      <c r="R83" s="1239"/>
      <c r="S83" s="455"/>
      <c r="T83" s="1239">
        <v>-30</v>
      </c>
      <c r="U83" s="1239"/>
      <c r="V83" s="1239"/>
      <c r="W83" s="1239">
        <v>1.2</v>
      </c>
      <c r="X83" s="1239"/>
      <c r="Y83" s="1239"/>
      <c r="Z83" s="1239"/>
      <c r="AA83" s="1239"/>
      <c r="AB83" s="1239"/>
      <c r="AC83" s="1239" t="str">
        <f t="shared" si="0"/>
        <v>PH-C</v>
      </c>
      <c r="AD83" s="1239"/>
      <c r="AE83" s="1239"/>
      <c r="AF83" s="1239"/>
      <c r="AG83" s="171"/>
      <c r="AH83" s="1239"/>
      <c r="AI83" s="1239"/>
      <c r="AJ83" s="1239"/>
      <c r="AK83" s="1239"/>
      <c r="AL83" s="1239"/>
      <c r="AM83" s="1239" t="s">
        <v>1042</v>
      </c>
      <c r="AN83" s="455">
        <v>5.31</v>
      </c>
      <c r="AO83" s="1239"/>
      <c r="AP83" s="1239"/>
      <c r="AQ83" s="455"/>
      <c r="AR83" s="1239"/>
      <c r="AS83" s="1239"/>
      <c r="AT83" s="455">
        <f>+ab($T$83,$T$81,$T$85,$G$82,$G$84, 1*$F$83,1200)</f>
        <v>-2.2684274699220723</v>
      </c>
      <c r="AU83" s="1239"/>
      <c r="AV83" s="1239"/>
      <c r="AW83" s="1239" t="str">
        <f>VLOOKUP(C83,'Foundation Calculation'!$A$2:$C$33,3,1)</f>
        <v>Soil B</v>
      </c>
      <c r="AX83" s="1239" t="str">
        <f>VLOOKUP(C83,'Foundation Calculation'!$E$2:$G$33,3,1)</f>
        <v>PT</v>
      </c>
      <c r="AY83" s="455">
        <f>IF(AX83="PT",VLOOKUP(L83,'Foundation Calculation'!$K$2:$R$40,VLOOKUP(AW83,'Foundation Calculation'!$I$2:$J$8,2,FALSE),0),IF(AX83="K",VLOOKUP(L83,'Foundation Calculation'!$K$42:$R$80,VLOOKUP(AW83,'Foundation Calculation'!$I$2:$J$8,2,FALSE),0),""))</f>
        <v>3.5</v>
      </c>
      <c r="AZ83" s="455"/>
      <c r="BA83" s="1536" t="s">
        <v>2809</v>
      </c>
      <c r="BB83" s="1239" t="str">
        <f>Pole_Calculations!A15</f>
        <v>App.7-V11A-P9.5.1.1</v>
      </c>
      <c r="BC83" s="169"/>
      <c r="BD83" s="1329"/>
      <c r="BE83" s="1329"/>
      <c r="BF83" s="1330"/>
      <c r="BG83" s="1329"/>
    </row>
    <row r="84" spans="1:59" ht="15.65" customHeight="1">
      <c r="A84" s="647" t="s">
        <v>4010</v>
      </c>
      <c r="B84" s="740"/>
      <c r="C84" s="652"/>
      <c r="D84" s="647"/>
      <c r="E84" s="647"/>
      <c r="F84" s="650"/>
      <c r="G84" s="651">
        <v>30</v>
      </c>
      <c r="H84" s="647"/>
      <c r="I84" s="650"/>
      <c r="J84" s="652"/>
      <c r="K84" s="647"/>
      <c r="L84" s="647"/>
      <c r="M84" s="647"/>
      <c r="N84" s="647"/>
      <c r="O84" s="647"/>
      <c r="P84" s="647"/>
      <c r="Q84" s="647"/>
      <c r="R84" s="647"/>
      <c r="S84" s="651"/>
      <c r="T84" s="647"/>
      <c r="U84" s="647"/>
      <c r="V84" s="647"/>
      <c r="W84" s="647"/>
      <c r="X84" s="647"/>
      <c r="Y84" s="647"/>
      <c r="Z84" s="647"/>
      <c r="AA84" s="647"/>
      <c r="AB84" s="647"/>
      <c r="AC84" s="647"/>
      <c r="AD84" s="647"/>
      <c r="AE84" s="647"/>
      <c r="AF84" s="647"/>
      <c r="AG84" s="652"/>
      <c r="AH84" s="647"/>
      <c r="AI84" s="647"/>
      <c r="AJ84" s="647"/>
      <c r="AK84" s="647"/>
      <c r="AL84" s="647"/>
      <c r="AM84" s="647"/>
      <c r="AN84" s="651"/>
      <c r="AO84" s="647"/>
      <c r="AP84" s="647"/>
      <c r="AQ84" s="651">
        <f>+FL_2($T$85,$T$83,$G$84,1200,9.28, 1*$F$85)</f>
        <v>-0.30000000000003496</v>
      </c>
      <c r="AR84" s="647"/>
      <c r="AS84" s="647"/>
      <c r="AT84" s="651"/>
      <c r="AU84" s="647"/>
      <c r="AV84" s="647"/>
      <c r="AW84" s="647"/>
      <c r="AX84" s="647"/>
      <c r="AY84" s="651"/>
      <c r="AZ84" s="651"/>
      <c r="BA84" s="1539"/>
      <c r="BB84" s="647"/>
      <c r="BC84" s="169"/>
      <c r="BD84" s="1330"/>
      <c r="BE84" s="1330"/>
      <c r="BF84" s="1330"/>
      <c r="BG84" s="1330"/>
    </row>
    <row r="85" spans="1:59" ht="15.65" customHeight="1">
      <c r="A85" s="1239"/>
      <c r="B85" s="572" t="s">
        <v>2616</v>
      </c>
      <c r="C85" s="171">
        <f>+$C$83+$G$84</f>
        <v>90355.55</v>
      </c>
      <c r="D85" s="1239"/>
      <c r="E85" s="1239"/>
      <c r="F85" s="448">
        <v>-360</v>
      </c>
      <c r="G85" s="455"/>
      <c r="H85" s="1239"/>
      <c r="I85" s="448"/>
      <c r="J85" s="171"/>
      <c r="K85" s="1239"/>
      <c r="L85" s="1239" t="s">
        <v>230</v>
      </c>
      <c r="M85" s="1239" t="str">
        <f>IF(AX85="PT",VLOOKUP(L85,'Foundation Calculation'!$V$2:$X$40,VLOOKUP(AX85,'Foundation Calculation'!$I$10:$J$13,2,FALSE),0),IF(AX85="K",VLOOKUP(L85,'Foundation Calculation'!$V$42:$X$80,VLOOKUP(AX85,'Foundation Calculation'!$I$10:$J$13,2,FALSE),0),""))</f>
        <v>C4R</v>
      </c>
      <c r="N85" s="1239" t="s">
        <v>143</v>
      </c>
      <c r="O85" s="1239"/>
      <c r="P85" s="1239"/>
      <c r="Q85" s="1239"/>
      <c r="R85" s="1239"/>
      <c r="S85" s="455"/>
      <c r="T85" s="1239">
        <v>-30</v>
      </c>
      <c r="U85" s="1239"/>
      <c r="V85" s="1239"/>
      <c r="W85" s="1239">
        <v>1</v>
      </c>
      <c r="X85" s="1239"/>
      <c r="Y85" s="1239"/>
      <c r="Z85" s="1239"/>
      <c r="AA85" s="1239"/>
      <c r="AB85" s="1239"/>
      <c r="AC85" s="1239" t="str">
        <f t="shared" si="0"/>
        <v>PH-C</v>
      </c>
      <c r="AD85" s="1239"/>
      <c r="AE85" s="1239"/>
      <c r="AF85" s="1239"/>
      <c r="AG85" s="171"/>
      <c r="AH85" s="1239"/>
      <c r="AI85" s="1239"/>
      <c r="AJ85" s="1239"/>
      <c r="AK85" s="1239"/>
      <c r="AL85" s="1239"/>
      <c r="AM85" s="1239" t="s">
        <v>1042</v>
      </c>
      <c r="AN85" s="455">
        <v>5.24</v>
      </c>
      <c r="AO85" s="1239"/>
      <c r="AP85" s="1239"/>
      <c r="AQ85" s="455"/>
      <c r="AR85" s="1239"/>
      <c r="AS85" s="1239"/>
      <c r="AT85" s="455">
        <f>+ab($T$85,$T$83,$T$87,$G$84,$G$86, 1*$F$85,1200)</f>
        <v>-2.6050472073076119</v>
      </c>
      <c r="AU85" s="1239"/>
      <c r="AV85" s="1239"/>
      <c r="AW85" s="1239" t="str">
        <f>VLOOKUP(C85,'Foundation Calculation'!$A$2:$C$33,3,1)</f>
        <v>Soil B</v>
      </c>
      <c r="AX85" s="1239" t="str">
        <f>VLOOKUP(C85,'Foundation Calculation'!$E$2:$G$33,3,1)</f>
        <v>PT</v>
      </c>
      <c r="AY85" s="455">
        <f>IF(AX85="PT",VLOOKUP(L85,'Foundation Calculation'!$K$2:$R$40,VLOOKUP(AW85,'Foundation Calculation'!$I$2:$J$8,2,FALSE),0),IF(AX85="K",VLOOKUP(L85,'Foundation Calculation'!$K$42:$R$80,VLOOKUP(AW85,'Foundation Calculation'!$I$2:$J$8,2,FALSE),0),""))</f>
        <v>3.5</v>
      </c>
      <c r="AZ85" s="455"/>
      <c r="BA85" s="1536" t="s">
        <v>2809</v>
      </c>
      <c r="BB85" s="1239" t="str">
        <f>Pole_Calculations!A15</f>
        <v>App.7-V11A-P9.5.1.1</v>
      </c>
      <c r="BC85" s="169"/>
      <c r="BD85" s="1329"/>
      <c r="BE85" s="1329"/>
      <c r="BF85" s="1330"/>
      <c r="BG85" s="1329"/>
    </row>
    <row r="86" spans="1:59" ht="15.65" customHeight="1">
      <c r="A86" s="647" t="s">
        <v>4012</v>
      </c>
      <c r="B86" s="647"/>
      <c r="C86" s="652"/>
      <c r="D86" s="647"/>
      <c r="E86" s="647"/>
      <c r="F86" s="650"/>
      <c r="G86" s="651">
        <v>23</v>
      </c>
      <c r="H86" s="647"/>
      <c r="I86" s="650"/>
      <c r="J86" s="652"/>
      <c r="K86" s="647"/>
      <c r="L86" s="647"/>
      <c r="M86" s="647"/>
      <c r="N86" s="647"/>
      <c r="O86" s="647"/>
      <c r="P86" s="647"/>
      <c r="Q86" s="647"/>
      <c r="R86" s="647"/>
      <c r="S86" s="651"/>
      <c r="T86" s="647"/>
      <c r="U86" s="647"/>
      <c r="V86" s="647"/>
      <c r="W86" s="647"/>
      <c r="X86" s="647"/>
      <c r="Y86" s="647"/>
      <c r="Z86" s="647"/>
      <c r="AA86" s="647"/>
      <c r="AB86" s="647"/>
      <c r="AC86" s="647"/>
      <c r="AD86" s="647"/>
      <c r="AE86" s="647"/>
      <c r="AF86" s="647"/>
      <c r="AG86" s="652"/>
      <c r="AH86" s="647"/>
      <c r="AI86" s="647"/>
      <c r="AJ86" s="647"/>
      <c r="AK86" s="647"/>
      <c r="AL86" s="647"/>
      <c r="AM86" s="647"/>
      <c r="AN86" s="651"/>
      <c r="AO86" s="647"/>
      <c r="AP86" s="647"/>
      <c r="AQ86" s="651">
        <f>+FL_2($T$87,$T$85,$G$86,1200,9.28, 1*$F$87)</f>
        <v>-0.3</v>
      </c>
      <c r="AR86" s="647"/>
      <c r="AS86" s="647"/>
      <c r="AT86" s="651"/>
      <c r="AU86" s="647"/>
      <c r="AV86" s="647"/>
      <c r="AW86" s="647"/>
      <c r="AX86" s="647"/>
      <c r="AY86" s="651"/>
      <c r="AZ86" s="651"/>
      <c r="BA86" s="1540"/>
      <c r="BB86" s="647"/>
      <c r="BC86" s="169"/>
      <c r="BD86" s="1330"/>
      <c r="BE86" s="1330"/>
      <c r="BF86" s="1330"/>
      <c r="BG86" s="1330"/>
    </row>
    <row r="87" spans="1:59" ht="15.65" customHeight="1">
      <c r="A87" s="1239"/>
      <c r="B87" s="572" t="s">
        <v>2617</v>
      </c>
      <c r="C87" s="171">
        <f>+$C$85+$G$86</f>
        <v>90378.55</v>
      </c>
      <c r="D87" s="1239"/>
      <c r="E87" s="1239"/>
      <c r="F87" s="448">
        <v>-360</v>
      </c>
      <c r="G87" s="455"/>
      <c r="H87" s="1239"/>
      <c r="I87" s="448"/>
      <c r="J87" s="171"/>
      <c r="K87" s="1239"/>
      <c r="L87" s="1239" t="s">
        <v>230</v>
      </c>
      <c r="M87" s="1239" t="str">
        <f>IF(AX87="PT",VLOOKUP(L87,'Foundation Calculation'!$V$2:$X$40,VLOOKUP(AX87,'Foundation Calculation'!$I$10:$J$13,2,FALSE),0),IF(AX87="K",VLOOKUP(L87,'Foundation Calculation'!$V$42:$X$80,VLOOKUP(AX87,'Foundation Calculation'!$I$10:$J$13,2,FALSE),0),""))</f>
        <v>C4R</v>
      </c>
      <c r="N87" s="1239" t="s">
        <v>143</v>
      </c>
      <c r="O87" s="1239"/>
      <c r="P87" s="1239"/>
      <c r="Q87" s="1239"/>
      <c r="R87" s="1239"/>
      <c r="S87" s="455"/>
      <c r="T87" s="1239">
        <v>-30</v>
      </c>
      <c r="U87" s="1239"/>
      <c r="V87" s="1239"/>
      <c r="W87" s="1239">
        <v>0.8</v>
      </c>
      <c r="X87" s="1239"/>
      <c r="Y87" s="1239"/>
      <c r="Z87" s="1239"/>
      <c r="AA87" s="1239"/>
      <c r="AB87" s="1239"/>
      <c r="AC87" s="1239" t="str">
        <f t="shared" si="0"/>
        <v>PH-C</v>
      </c>
      <c r="AD87" s="1239"/>
      <c r="AE87" s="1239"/>
      <c r="AF87" s="1239"/>
      <c r="AG87" s="171"/>
      <c r="AH87" s="1239"/>
      <c r="AI87" s="1239"/>
      <c r="AJ87" s="1239"/>
      <c r="AK87" s="1239"/>
      <c r="AL87" s="1239"/>
      <c r="AM87" s="1239" t="s">
        <v>1042</v>
      </c>
      <c r="AN87" s="455">
        <v>5.18</v>
      </c>
      <c r="AO87" s="1239"/>
      <c r="AP87" s="1239"/>
      <c r="AQ87" s="455"/>
      <c r="AR87" s="1239"/>
      <c r="AS87" s="1239"/>
      <c r="AT87" s="455">
        <f>+ab($T$87,$T$85,$T$89,$G$86,$G$88, 1*$F$87,1200)</f>
        <v>-3.0007906317979192</v>
      </c>
      <c r="AU87" s="1239"/>
      <c r="AV87" s="1239"/>
      <c r="AW87" s="1239" t="str">
        <f>VLOOKUP(C87,'Foundation Calculation'!$A$2:$C$33,3,1)</f>
        <v>Soil B</v>
      </c>
      <c r="AX87" s="1239" t="str">
        <f>VLOOKUP(C87,'Foundation Calculation'!$E$2:$G$33,3,1)</f>
        <v>PT</v>
      </c>
      <c r="AY87" s="455">
        <f>IF(AX87="PT",VLOOKUP(L87,'Foundation Calculation'!$K$2:$R$40,VLOOKUP(AW87,'Foundation Calculation'!$I$2:$J$8,2,FALSE),0),IF(AX87="K",VLOOKUP(L87,'Foundation Calculation'!$K$42:$R$80,VLOOKUP(AW87,'Foundation Calculation'!$I$2:$J$8,2,FALSE),0),""))</f>
        <v>3.5</v>
      </c>
      <c r="AZ87" s="455"/>
      <c r="BA87" s="1536" t="s">
        <v>2809</v>
      </c>
      <c r="BB87" s="1239" t="str">
        <f>Pole_Calculations!A15</f>
        <v>App.7-V11A-P9.5.1.1</v>
      </c>
      <c r="BC87" s="169"/>
      <c r="BD87" s="1329"/>
      <c r="BE87" s="1329"/>
      <c r="BF87" s="1330"/>
      <c r="BG87" s="1329"/>
    </row>
    <row r="88" spans="1:59" ht="15.65" customHeight="1">
      <c r="A88" s="1239"/>
      <c r="B88" s="1239"/>
      <c r="C88" s="171"/>
      <c r="D88" s="1239"/>
      <c r="E88" s="1239"/>
      <c r="F88" s="448"/>
      <c r="G88" s="455">
        <v>23</v>
      </c>
      <c r="H88" s="1239"/>
      <c r="I88" s="448"/>
      <c r="J88" s="171"/>
      <c r="K88" s="1239"/>
      <c r="L88" s="1239"/>
      <c r="M88" s="1239"/>
      <c r="N88" s="1239"/>
      <c r="O88" s="1239"/>
      <c r="P88" s="1239"/>
      <c r="Q88" s="1239"/>
      <c r="R88" s="1239"/>
      <c r="S88" s="455"/>
      <c r="T88" s="1239"/>
      <c r="U88" s="1239"/>
      <c r="V88" s="1239"/>
      <c r="W88" s="1239"/>
      <c r="X88" s="1239"/>
      <c r="Y88" s="1239"/>
      <c r="Z88" s="1239"/>
      <c r="AA88" s="1239"/>
      <c r="AB88" s="1239"/>
      <c r="AC88" s="1239"/>
      <c r="AD88" s="1239"/>
      <c r="AE88" s="1239"/>
      <c r="AF88" s="1239"/>
      <c r="AG88" s="171"/>
      <c r="AH88" s="1239"/>
      <c r="AI88" s="1239"/>
      <c r="AJ88" s="1239"/>
      <c r="AK88" s="1239"/>
      <c r="AL88" s="1239"/>
      <c r="AM88" s="1239"/>
      <c r="AN88" s="455"/>
      <c r="AO88" s="1239"/>
      <c r="AP88" s="1239"/>
      <c r="AQ88" s="455">
        <f>+FL_2($T$89,$T$87,$G$88,1200,9.28, 1*$F$89)</f>
        <v>-0.3</v>
      </c>
      <c r="AR88" s="1239"/>
      <c r="AS88" s="1239"/>
      <c r="AT88" s="455"/>
      <c r="AU88" s="1239"/>
      <c r="AV88" s="1239"/>
      <c r="AW88" s="638"/>
      <c r="AX88" s="638"/>
      <c r="AY88" s="484"/>
      <c r="AZ88" s="484"/>
      <c r="BA88" s="1536"/>
      <c r="BB88" s="1239"/>
      <c r="BC88" s="169"/>
      <c r="BD88" s="1330"/>
      <c r="BE88" s="1330"/>
      <c r="BF88" s="1330"/>
      <c r="BG88" s="1330"/>
    </row>
    <row r="89" spans="1:59" ht="15.65" customHeight="1">
      <c r="A89" s="1239"/>
      <c r="B89" s="572" t="s">
        <v>2618</v>
      </c>
      <c r="C89" s="171">
        <f>+$C$87+$G$88</f>
        <v>90401.55</v>
      </c>
      <c r="D89" s="1239"/>
      <c r="E89" s="1239"/>
      <c r="F89" s="448">
        <v>-360</v>
      </c>
      <c r="G89" s="455"/>
      <c r="H89" s="1239"/>
      <c r="I89" s="448"/>
      <c r="J89" s="171"/>
      <c r="K89" s="1239"/>
      <c r="L89" s="1239" t="s">
        <v>230</v>
      </c>
      <c r="M89" s="1239" t="s">
        <v>2402</v>
      </c>
      <c r="N89" s="1239" t="s">
        <v>143</v>
      </c>
      <c r="O89" s="1239"/>
      <c r="P89" s="1239"/>
      <c r="Q89" s="1239"/>
      <c r="R89" s="1239"/>
      <c r="S89" s="455"/>
      <c r="T89" s="1239">
        <v>-30</v>
      </c>
      <c r="U89" s="1239"/>
      <c r="V89" s="1239"/>
      <c r="W89" s="1239">
        <v>0.65</v>
      </c>
      <c r="X89" s="1239"/>
      <c r="Y89" s="1239"/>
      <c r="Z89" s="1239"/>
      <c r="AA89" s="580"/>
      <c r="AB89" s="580"/>
      <c r="AC89" s="1239" t="str">
        <f t="shared" si="0"/>
        <v>PH-C</v>
      </c>
      <c r="AD89" s="580"/>
      <c r="AE89" s="580"/>
      <c r="AF89" s="580"/>
      <c r="AG89" s="1327"/>
      <c r="AH89" s="580"/>
      <c r="AI89" s="580"/>
      <c r="AJ89" s="580"/>
      <c r="AK89" s="580"/>
      <c r="AL89" s="580"/>
      <c r="AM89" s="1239" t="s">
        <v>1042</v>
      </c>
      <c r="AN89" s="455">
        <v>5.15</v>
      </c>
      <c r="AO89" s="1239"/>
      <c r="AP89" s="1239"/>
      <c r="AQ89" s="455"/>
      <c r="AR89" s="1239"/>
      <c r="AS89" s="1239"/>
      <c r="AT89" s="455">
        <f>+ab($T$89,$T$87,$T$91,$G$88,$G$90, 1*$F$89,1200)</f>
        <v>-2.7611149895880502</v>
      </c>
      <c r="AU89" s="1239"/>
      <c r="AV89" s="1239"/>
      <c r="AW89" s="1239"/>
      <c r="AX89" s="1239"/>
      <c r="AY89" s="455"/>
      <c r="AZ89" s="455"/>
      <c r="BA89" s="671"/>
      <c r="BB89" s="1239" t="str">
        <f>Pole_Calculations!A15</f>
        <v>App.7-V11A-P9.5.1.1</v>
      </c>
      <c r="BC89" s="169"/>
      <c r="BD89" s="1329"/>
      <c r="BE89" s="1329"/>
      <c r="BF89" s="1330"/>
      <c r="BG89" s="1329"/>
    </row>
    <row r="90" spans="1:59" ht="15.65" customHeight="1">
      <c r="A90" s="1239"/>
      <c r="B90" s="1239"/>
      <c r="C90" s="171"/>
      <c r="D90" s="1239"/>
      <c r="E90" s="1239"/>
      <c r="F90" s="448"/>
      <c r="G90" s="455">
        <v>27</v>
      </c>
      <c r="H90" s="1239"/>
      <c r="I90" s="448"/>
      <c r="J90" s="171"/>
      <c r="K90" s="1239"/>
      <c r="L90" s="1239"/>
      <c r="M90" s="1239"/>
      <c r="N90" s="1239"/>
      <c r="O90" s="1239"/>
      <c r="P90" s="1239"/>
      <c r="Q90" s="1239"/>
      <c r="R90" s="1239"/>
      <c r="S90" s="455"/>
      <c r="T90" s="1239"/>
      <c r="U90" s="1239"/>
      <c r="V90" s="1239"/>
      <c r="W90" s="1239"/>
      <c r="X90" s="1239"/>
      <c r="Y90" s="1239"/>
      <c r="Z90" s="1239"/>
      <c r="AA90" s="1239"/>
      <c r="AB90" s="1239"/>
      <c r="AC90" s="1239"/>
      <c r="AD90" s="1239"/>
      <c r="AE90" s="1239"/>
      <c r="AF90" s="1239"/>
      <c r="AG90" s="171"/>
      <c r="AH90" s="1239"/>
      <c r="AI90" s="1239"/>
      <c r="AJ90" s="1239"/>
      <c r="AK90" s="1239"/>
      <c r="AL90" s="1239"/>
      <c r="AM90" s="1239"/>
      <c r="AN90" s="455"/>
      <c r="AO90" s="1239"/>
      <c r="AP90" s="1239"/>
      <c r="AQ90" s="455">
        <f>+FL_2($T$91,$T$89,$G$90,1200,9.28, 1*$F$91)</f>
        <v>-0.30000000000004196</v>
      </c>
      <c r="AR90" s="1239"/>
      <c r="AS90" s="1239"/>
      <c r="AT90" s="455"/>
      <c r="AU90" s="1239"/>
      <c r="AV90" s="1239"/>
      <c r="AW90" s="1239"/>
      <c r="AX90" s="1239"/>
      <c r="AY90" s="455"/>
      <c r="AZ90" s="455"/>
      <c r="BA90" s="1314"/>
      <c r="BB90" s="1239"/>
      <c r="BC90" s="169"/>
      <c r="BD90" s="1330"/>
      <c r="BE90" s="1330"/>
      <c r="BF90" s="1330"/>
      <c r="BG90" s="1330"/>
    </row>
    <row r="91" spans="1:59" ht="15.65" customHeight="1">
      <c r="A91" s="647"/>
      <c r="B91" s="740" t="s">
        <v>2619</v>
      </c>
      <c r="C91" s="652">
        <f>+$C$89+$G$90</f>
        <v>90428.55</v>
      </c>
      <c r="D91" s="647"/>
      <c r="E91" s="647"/>
      <c r="F91" s="650">
        <v>-360</v>
      </c>
      <c r="G91" s="651"/>
      <c r="H91" s="647"/>
      <c r="I91" s="650"/>
      <c r="J91" s="652"/>
      <c r="K91" s="647"/>
      <c r="L91" s="647" t="s">
        <v>1680</v>
      </c>
      <c r="M91" s="647"/>
      <c r="N91" s="647" t="s">
        <v>633</v>
      </c>
      <c r="O91" s="647"/>
      <c r="P91" s="647"/>
      <c r="Q91" s="647"/>
      <c r="R91" s="647"/>
      <c r="S91" s="651"/>
      <c r="T91" s="647">
        <v>-30</v>
      </c>
      <c r="U91" s="647"/>
      <c r="V91" s="647"/>
      <c r="W91" s="647">
        <v>0.65</v>
      </c>
      <c r="X91" s="647"/>
      <c r="Y91" s="647"/>
      <c r="Z91" s="647"/>
      <c r="AA91" s="647"/>
      <c r="AB91" s="647"/>
      <c r="AC91" s="647" t="str">
        <f t="shared" si="0"/>
        <v>PH-C</v>
      </c>
      <c r="AD91" s="647"/>
      <c r="AE91" s="647"/>
      <c r="AF91" s="647"/>
      <c r="AG91" s="652"/>
      <c r="AH91" s="647"/>
      <c r="AI91" s="647"/>
      <c r="AJ91" s="647"/>
      <c r="AK91" s="647"/>
      <c r="AL91" s="647"/>
      <c r="AM91" s="647" t="s">
        <v>2879</v>
      </c>
      <c r="AN91" s="651">
        <v>5.15</v>
      </c>
      <c r="AO91" s="647"/>
      <c r="AP91" s="647"/>
      <c r="AQ91" s="651"/>
      <c r="AR91" s="647"/>
      <c r="AS91" s="647"/>
      <c r="AT91" s="651">
        <f>+ab($T$91,$T$89,$T$93,$G$90,$G$92, 1*$F$91,1200)</f>
        <v>-2.4224628619852751</v>
      </c>
      <c r="AU91" s="647"/>
      <c r="AV91" s="647"/>
      <c r="AW91" s="647" t="s">
        <v>2846</v>
      </c>
      <c r="AX91" s="647"/>
      <c r="AY91" s="651"/>
      <c r="AZ91" s="651"/>
      <c r="BA91" s="701" t="s">
        <v>2809</v>
      </c>
      <c r="BB91" s="647"/>
      <c r="BC91" s="169" t="s">
        <v>4954</v>
      </c>
      <c r="BD91" s="1330"/>
      <c r="BE91" s="1329"/>
      <c r="BF91" s="1330"/>
      <c r="BG91" s="1329"/>
    </row>
    <row r="92" spans="1:59" ht="15.65" customHeight="1">
      <c r="A92" s="647"/>
      <c r="B92" s="647"/>
      <c r="C92" s="652"/>
      <c r="D92" s="647"/>
      <c r="E92" s="647"/>
      <c r="F92" s="650"/>
      <c r="G92" s="651">
        <v>30</v>
      </c>
      <c r="H92" s="647"/>
      <c r="I92" s="650"/>
      <c r="J92" s="652"/>
      <c r="K92" s="647"/>
      <c r="L92" s="647"/>
      <c r="M92" s="647"/>
      <c r="N92" s="647"/>
      <c r="O92" s="647"/>
      <c r="P92" s="647"/>
      <c r="Q92" s="647"/>
      <c r="R92" s="647"/>
      <c r="S92" s="651"/>
      <c r="T92" s="647"/>
      <c r="U92" s="647"/>
      <c r="V92" s="647"/>
      <c r="W92" s="647"/>
      <c r="X92" s="647"/>
      <c r="Y92" s="647"/>
      <c r="Z92" s="647"/>
      <c r="AA92" s="647"/>
      <c r="AB92" s="647"/>
      <c r="AC92" s="647"/>
      <c r="AD92" s="647"/>
      <c r="AE92" s="647"/>
      <c r="AF92" s="647"/>
      <c r="AG92" s="652"/>
      <c r="AH92" s="647"/>
      <c r="AI92" s="647"/>
      <c r="AJ92" s="647"/>
      <c r="AK92" s="647"/>
      <c r="AL92" s="647"/>
      <c r="AM92" s="647"/>
      <c r="AN92" s="651"/>
      <c r="AO92" s="647"/>
      <c r="AP92" s="647"/>
      <c r="AQ92" s="651">
        <f>+FL_2($T$93,$T$91,$G$92,1200,9.28, 1*$F$93)</f>
        <v>-0.30000000000003496</v>
      </c>
      <c r="AR92" s="647"/>
      <c r="AS92" s="647"/>
      <c r="AT92" s="651"/>
      <c r="AU92" s="647"/>
      <c r="AV92" s="647"/>
      <c r="AW92" s="647"/>
      <c r="AX92" s="647"/>
      <c r="AY92" s="651"/>
      <c r="AZ92" s="651"/>
      <c r="BA92" s="701"/>
      <c r="BB92" s="647"/>
      <c r="BC92" s="169"/>
      <c r="BD92" s="1330"/>
      <c r="BE92" s="1330"/>
      <c r="BF92" s="1330"/>
      <c r="BG92" s="1330"/>
    </row>
    <row r="93" spans="1:59" ht="15.65" customHeight="1">
      <c r="A93" s="647" t="s">
        <v>4010</v>
      </c>
      <c r="B93" s="740" t="s">
        <v>2163</v>
      </c>
      <c r="C93" s="652">
        <f>+$C$91+$G$92</f>
        <v>90458.55</v>
      </c>
      <c r="D93" s="647"/>
      <c r="E93" s="647"/>
      <c r="F93" s="650">
        <v>-459.25</v>
      </c>
      <c r="G93" s="651"/>
      <c r="H93" s="647"/>
      <c r="I93" s="650"/>
      <c r="J93" s="652"/>
      <c r="K93" s="647"/>
      <c r="L93" s="647" t="s">
        <v>1680</v>
      </c>
      <c r="M93" s="647"/>
      <c r="N93" s="647" t="s">
        <v>633</v>
      </c>
      <c r="O93" s="647"/>
      <c r="P93" s="647"/>
      <c r="Q93" s="647"/>
      <c r="R93" s="647"/>
      <c r="S93" s="651"/>
      <c r="T93" s="647">
        <v>-30</v>
      </c>
      <c r="U93" s="647"/>
      <c r="V93" s="647"/>
      <c r="W93" s="647">
        <v>0.65</v>
      </c>
      <c r="X93" s="647"/>
      <c r="Y93" s="647"/>
      <c r="Z93" s="647"/>
      <c r="AA93" s="647"/>
      <c r="AB93" s="647"/>
      <c r="AC93" s="647" t="str">
        <f t="shared" si="0"/>
        <v>PH-C</v>
      </c>
      <c r="AD93" s="647"/>
      <c r="AE93" s="647"/>
      <c r="AF93" s="647"/>
      <c r="AG93" s="652"/>
      <c r="AH93" s="647"/>
      <c r="AI93" s="647"/>
      <c r="AJ93" s="647"/>
      <c r="AK93" s="647"/>
      <c r="AL93" s="647"/>
      <c r="AM93" s="647" t="s">
        <v>2879</v>
      </c>
      <c r="AN93" s="651">
        <v>5.15</v>
      </c>
      <c r="AO93" s="647"/>
      <c r="AP93" s="647"/>
      <c r="AQ93" s="651"/>
      <c r="AR93" s="647"/>
      <c r="AS93" s="647"/>
      <c r="AT93" s="651">
        <f>+ab($T$93,$T$91,$T$95,$G$92,$G$94, 1*$F$93,1200)</f>
        <v>-2.9349870336527766</v>
      </c>
      <c r="AU93" s="647"/>
      <c r="AV93" s="647"/>
      <c r="AW93" s="647" t="s">
        <v>2846</v>
      </c>
      <c r="AX93" s="647"/>
      <c r="AY93" s="651"/>
      <c r="AZ93" s="651"/>
      <c r="BA93" s="701" t="s">
        <v>2809</v>
      </c>
      <c r="BB93" s="647"/>
      <c r="BC93" s="169" t="s">
        <v>4954</v>
      </c>
      <c r="BD93" s="1330"/>
      <c r="BE93" s="1329"/>
      <c r="BF93" s="1330"/>
      <c r="BG93" s="1329"/>
    </row>
    <row r="94" spans="1:59" ht="15.65" customHeight="1">
      <c r="A94" s="647" t="s">
        <v>4011</v>
      </c>
      <c r="B94" s="647"/>
      <c r="C94" s="652"/>
      <c r="D94" s="647"/>
      <c r="E94" s="647"/>
      <c r="F94" s="650"/>
      <c r="G94" s="651">
        <v>30</v>
      </c>
      <c r="H94" s="647"/>
      <c r="I94" s="650"/>
      <c r="J94" s="652"/>
      <c r="K94" s="647"/>
      <c r="L94" s="647"/>
      <c r="M94" s="647"/>
      <c r="N94" s="647"/>
      <c r="O94" s="647"/>
      <c r="P94" s="647"/>
      <c r="Q94" s="647"/>
      <c r="R94" s="647"/>
      <c r="S94" s="651"/>
      <c r="T94" s="647"/>
      <c r="U94" s="647"/>
      <c r="V94" s="647"/>
      <c r="W94" s="647"/>
      <c r="X94" s="647"/>
      <c r="Y94" s="647"/>
      <c r="Z94" s="647"/>
      <c r="AA94" s="647"/>
      <c r="AB94" s="647"/>
      <c r="AC94" s="647"/>
      <c r="AD94" s="647"/>
      <c r="AE94" s="647"/>
      <c r="AF94" s="647"/>
      <c r="AG94" s="652"/>
      <c r="AH94" s="647"/>
      <c r="AI94" s="647"/>
      <c r="AJ94" s="647"/>
      <c r="AK94" s="647"/>
      <c r="AL94" s="647"/>
      <c r="AM94" s="647"/>
      <c r="AN94" s="651"/>
      <c r="AO94" s="647"/>
      <c r="AP94" s="647"/>
      <c r="AQ94" s="651">
        <f>+FL_2($T$95,$T$93,$G$94,1200,9.28, 1*$F$95)</f>
        <v>-0.3000000000000918</v>
      </c>
      <c r="AR94" s="647"/>
      <c r="AS94" s="647"/>
      <c r="AT94" s="651"/>
      <c r="AU94" s="647"/>
      <c r="AV94" s="647"/>
      <c r="AW94" s="647"/>
      <c r="AX94" s="647"/>
      <c r="AY94" s="651"/>
      <c r="AZ94" s="651"/>
      <c r="BA94" s="1315"/>
      <c r="BB94" s="647"/>
      <c r="BC94" s="169"/>
      <c r="BD94" s="1330"/>
      <c r="BE94" s="1330"/>
      <c r="BF94" s="1330"/>
      <c r="BG94" s="1330"/>
    </row>
    <row r="95" spans="1:59" ht="15.65" customHeight="1">
      <c r="A95" s="647"/>
      <c r="B95" s="740" t="s">
        <v>2175</v>
      </c>
      <c r="C95" s="652">
        <f>+$C$93+$G$94</f>
        <v>90488.55</v>
      </c>
      <c r="D95" s="647"/>
      <c r="E95" s="647"/>
      <c r="F95" s="650">
        <v>-300</v>
      </c>
      <c r="G95" s="651"/>
      <c r="H95" s="647" t="s">
        <v>138</v>
      </c>
      <c r="I95" s="650" t="s">
        <v>840</v>
      </c>
      <c r="J95" s="652">
        <f>C95+5</f>
        <v>90493.55</v>
      </c>
      <c r="K95" s="647" t="s">
        <v>894</v>
      </c>
      <c r="L95" s="647" t="s">
        <v>1680</v>
      </c>
      <c r="M95" s="647"/>
      <c r="N95" s="647" t="s">
        <v>633</v>
      </c>
      <c r="O95" s="647"/>
      <c r="P95" s="647"/>
      <c r="Q95" s="647"/>
      <c r="R95" s="647"/>
      <c r="S95" s="651"/>
      <c r="T95" s="647">
        <v>-30</v>
      </c>
      <c r="U95" s="647"/>
      <c r="V95" s="647"/>
      <c r="W95" s="647">
        <v>0.65</v>
      </c>
      <c r="X95" s="647"/>
      <c r="Y95" s="647"/>
      <c r="Z95" s="647"/>
      <c r="AA95" s="647"/>
      <c r="AB95" s="647"/>
      <c r="AC95" s="647" t="str">
        <f t="shared" si="0"/>
        <v>PH-C</v>
      </c>
      <c r="AD95" s="647"/>
      <c r="AE95" s="647"/>
      <c r="AF95" s="647"/>
      <c r="AG95" s="652"/>
      <c r="AH95" s="647"/>
      <c r="AI95" s="647"/>
      <c r="AJ95" s="647"/>
      <c r="AK95" s="647"/>
      <c r="AL95" s="647"/>
      <c r="AM95" s="647" t="s">
        <v>2879</v>
      </c>
      <c r="AN95" s="651">
        <v>5.15</v>
      </c>
      <c r="AO95" s="647"/>
      <c r="AP95" s="647"/>
      <c r="AQ95" s="651"/>
      <c r="AR95" s="647"/>
      <c r="AS95" s="647"/>
      <c r="AT95" s="651">
        <f>+ab($T$95,$T$93,$U$97,$G$94,$G$96, 1*$F$95,1200)</f>
        <v>-1.9150203445328202</v>
      </c>
      <c r="AU95" s="647"/>
      <c r="AV95" s="647"/>
      <c r="AW95" s="647" t="s">
        <v>2846</v>
      </c>
      <c r="AX95" s="647"/>
      <c r="AY95" s="651"/>
      <c r="AZ95" s="651"/>
      <c r="BA95" s="701" t="s">
        <v>2809</v>
      </c>
      <c r="BB95" s="647"/>
      <c r="BC95" s="169" t="s">
        <v>4954</v>
      </c>
      <c r="BD95" s="1329"/>
      <c r="BE95" s="1329"/>
      <c r="BF95" s="1330"/>
      <c r="BG95" s="1329"/>
    </row>
    <row r="96" spans="1:59" ht="15.65" customHeight="1">
      <c r="A96" s="647"/>
      <c r="B96" s="740"/>
      <c r="C96" s="652"/>
      <c r="D96" s="647"/>
      <c r="E96" s="647"/>
      <c r="F96" s="650"/>
      <c r="G96" s="651">
        <v>30.1</v>
      </c>
      <c r="H96" s="647"/>
      <c r="I96" s="650" t="s">
        <v>1041</v>
      </c>
      <c r="J96" s="652">
        <f>C95+10</f>
        <v>90498.55</v>
      </c>
      <c r="K96" s="647" t="s">
        <v>897</v>
      </c>
      <c r="L96" s="647"/>
      <c r="M96" s="647"/>
      <c r="N96" s="647"/>
      <c r="O96" s="647"/>
      <c r="P96" s="647"/>
      <c r="Q96" s="647"/>
      <c r="R96" s="647"/>
      <c r="S96" s="651"/>
      <c r="T96" s="647"/>
      <c r="U96" s="647"/>
      <c r="V96" s="647"/>
      <c r="W96" s="647"/>
      <c r="X96" s="647"/>
      <c r="Y96" s="647"/>
      <c r="Z96" s="647"/>
      <c r="AA96" s="647"/>
      <c r="AB96" s="647"/>
      <c r="AC96" s="647"/>
      <c r="AD96" s="647"/>
      <c r="AE96" s="647"/>
      <c r="AF96" s="647"/>
      <c r="AG96" s="652"/>
      <c r="AH96" s="647"/>
      <c r="AI96" s="647"/>
      <c r="AJ96" s="647"/>
      <c r="AK96" s="647"/>
      <c r="AL96" s="647"/>
      <c r="AM96" s="647"/>
      <c r="AN96" s="651"/>
      <c r="AO96" s="647"/>
      <c r="AP96" s="647"/>
      <c r="AQ96" s="651">
        <f>+FL_2($U$97,$T$95,$G$96,1200,9.28, 1*$F$97)</f>
        <v>-0.30000000000009147</v>
      </c>
      <c r="AR96" s="647"/>
      <c r="AS96" s="647"/>
      <c r="AT96" s="651"/>
      <c r="AU96" s="647"/>
      <c r="AV96" s="647"/>
      <c r="AW96" s="653"/>
      <c r="AX96" s="653"/>
      <c r="AY96" s="654"/>
      <c r="AZ96" s="654"/>
      <c r="BA96" s="701"/>
      <c r="BB96" s="647"/>
      <c r="BC96" s="169"/>
      <c r="BD96" s="1329"/>
      <c r="BE96" s="1330"/>
      <c r="BF96" s="1330"/>
      <c r="BG96" s="1330"/>
    </row>
    <row r="97" spans="1:59" ht="15.65" customHeight="1">
      <c r="A97" s="1239" t="s">
        <v>4043</v>
      </c>
      <c r="B97" s="572" t="s">
        <v>2176</v>
      </c>
      <c r="C97" s="171">
        <f>+$C$95+$G$96</f>
        <v>90518.650000000009</v>
      </c>
      <c r="D97" s="1239"/>
      <c r="E97" s="1239"/>
      <c r="F97" s="448">
        <v>-300</v>
      </c>
      <c r="G97" s="455"/>
      <c r="H97" s="1239" t="s">
        <v>619</v>
      </c>
      <c r="I97" s="448" t="s">
        <v>1429</v>
      </c>
      <c r="J97" s="171"/>
      <c r="K97" s="1239"/>
      <c r="L97" s="1239" t="s">
        <v>895</v>
      </c>
      <c r="M97" s="1239" t="str">
        <f>IF(AX97="PT",VLOOKUP(L97,'Foundation Calculation'!$V$2:$X$40,VLOOKUP(AX97,'Foundation Calculation'!$I$10:$J$13,2,FALSE),0),IF(AX97="K",VLOOKUP(L97,'Foundation Calculation'!$V$42:$X$80,VLOOKUP(AX97,'Foundation Calculation'!$I$10:$J$13,2,FALSE),0),""))</f>
        <v>2C3R</v>
      </c>
      <c r="N97" s="1239" t="s">
        <v>140</v>
      </c>
      <c r="O97" s="1239" t="s">
        <v>143</v>
      </c>
      <c r="P97" s="1239"/>
      <c r="Q97" s="1239"/>
      <c r="R97" s="1239"/>
      <c r="S97" s="455"/>
      <c r="T97" s="1239">
        <v>-75</v>
      </c>
      <c r="U97" s="1239">
        <v>-30</v>
      </c>
      <c r="V97" s="1239"/>
      <c r="W97" s="1239">
        <v>0.65</v>
      </c>
      <c r="X97" s="1239">
        <v>0.55000000000000004</v>
      </c>
      <c r="Y97" s="1239"/>
      <c r="Z97" s="1239">
        <v>0.25</v>
      </c>
      <c r="AA97" s="580"/>
      <c r="AB97" s="580"/>
      <c r="AC97" s="1239"/>
      <c r="AD97" s="580"/>
      <c r="AE97" s="580"/>
      <c r="AF97" s="580"/>
      <c r="AG97" s="1327"/>
      <c r="AH97" s="580"/>
      <c r="AI97" s="580"/>
      <c r="AJ97" s="1239" t="s">
        <v>2756</v>
      </c>
      <c r="AK97" s="580"/>
      <c r="AL97" s="580"/>
      <c r="AM97" s="1239" t="s">
        <v>1042</v>
      </c>
      <c r="AN97" s="455">
        <v>5.15</v>
      </c>
      <c r="AO97" s="1239"/>
      <c r="AP97" s="1239"/>
      <c r="AQ97" s="455"/>
      <c r="AR97" s="1239"/>
      <c r="AS97" s="1239"/>
      <c r="AT97" s="455">
        <f>+ab($U$97,$T$95,-$U$99,$G$96,$G$98, 1*$F$97,1200)</f>
        <v>-1.5746458375411398</v>
      </c>
      <c r="AU97" s="1239"/>
      <c r="AV97" s="1239"/>
      <c r="AW97" s="1239" t="str">
        <f>VLOOKUP(C97,'Foundation Calculation'!$A$2:$C$33,3,1)</f>
        <v>Soil B</v>
      </c>
      <c r="AX97" s="1239" t="str">
        <f>VLOOKUP(C97,'Foundation Calculation'!$E$2:$G$33,3,1)</f>
        <v>PT</v>
      </c>
      <c r="AY97" s="455">
        <f>IF(AX97="PT",VLOOKUP(L97,'Foundation Calculation'!$K$2:$R$40,VLOOKUP(AW97,'Foundation Calculation'!$I$2:$J$8,2,FALSE),0),IF(AX97="K",VLOOKUP(L97,'Foundation Calculation'!$K$42:$R$80,VLOOKUP(AW97,'Foundation Calculation'!$I$2:$J$8,2,FALSE),0),""))</f>
        <v>3.5</v>
      </c>
      <c r="AZ97" s="455"/>
      <c r="BA97" s="1536" t="s">
        <v>2809</v>
      </c>
      <c r="BB97" s="1239" t="str">
        <f>Pole_Calculations!A19</f>
        <v>App.7-V11A-P9.5.1.5</v>
      </c>
      <c r="BC97" s="169"/>
      <c r="BD97" s="1329"/>
      <c r="BE97" s="1329"/>
      <c r="BF97" s="1330"/>
      <c r="BG97" s="1329"/>
    </row>
    <row r="98" spans="1:59" ht="15.65" customHeight="1">
      <c r="A98" s="1239"/>
      <c r="B98" s="1239"/>
      <c r="C98" s="171"/>
      <c r="D98" s="1239"/>
      <c r="E98" s="1239"/>
      <c r="F98" s="448"/>
      <c r="G98" s="455">
        <v>33</v>
      </c>
      <c r="H98" s="1239"/>
      <c r="I98" s="448" t="s">
        <v>1039</v>
      </c>
      <c r="J98" s="171">
        <f>C99-7.5</f>
        <v>90544.150000000009</v>
      </c>
      <c r="K98" s="455" t="s">
        <v>2787</v>
      </c>
      <c r="L98" s="1239"/>
      <c r="M98" s="1239"/>
      <c r="N98" s="1239"/>
      <c r="O98" s="1239"/>
      <c r="P98" s="1239"/>
      <c r="Q98" s="1239"/>
      <c r="R98" s="1239"/>
      <c r="S98" s="455"/>
      <c r="T98" s="1239"/>
      <c r="U98" s="1239"/>
      <c r="V98" s="1239"/>
      <c r="W98" s="1239"/>
      <c r="X98" s="1239"/>
      <c r="Y98" s="1239"/>
      <c r="Z98" s="1239"/>
      <c r="AA98" s="1239"/>
      <c r="AB98" s="1239"/>
      <c r="AC98" s="1239"/>
      <c r="AD98" s="1239"/>
      <c r="AE98" s="1239"/>
      <c r="AF98" s="1239"/>
      <c r="AG98" s="171"/>
      <c r="AH98" s="1239"/>
      <c r="AI98" s="1239"/>
      <c r="AJ98" s="1239" t="s">
        <v>1665</v>
      </c>
      <c r="AK98" s="1239"/>
      <c r="AL98" s="1239"/>
      <c r="AM98" s="1239"/>
      <c r="AN98" s="455"/>
      <c r="AO98" s="1239"/>
      <c r="AP98" s="1239"/>
      <c r="AQ98" s="455">
        <f>+FL_2(-$U$99,$U$97,$G$98,1200,9.28, 1*$F$99)</f>
        <v>-0.30000000000012145</v>
      </c>
      <c r="AR98" s="1239"/>
      <c r="AS98" s="1239"/>
      <c r="AT98" s="455"/>
      <c r="AU98" s="1239"/>
      <c r="AV98" s="1239"/>
      <c r="AW98" s="638" t="str">
        <f>VLOOKUP(J98,'Foundation Calculation'!$A$2:$C$33,3,1)</f>
        <v>Soil B</v>
      </c>
      <c r="AX98" s="638" t="str">
        <f>VLOOKUP(J98,'Foundation Calculation'!$E$2:$G$33,3,1)</f>
        <v>PT</v>
      </c>
      <c r="AY98" s="484"/>
      <c r="AZ98" s="484">
        <f>IF(AX98="PT",VLOOKUP(K98,'Foundation Calculation'!$K$2:$R$40,VLOOKUP(AW98,'Foundation Calculation'!$I$2:$J$8,2,FALSE),0),IF(AX98="K",VLOOKUP(K98,'Foundation Calculation'!$K$42:$R$80,VLOOKUP(AW98,'Foundation Calculation'!$I$2:$J$8,2,FALSE),0),""))</f>
        <v>3.9</v>
      </c>
      <c r="BA98" s="1536" t="s">
        <v>2809</v>
      </c>
      <c r="BB98" s="1239"/>
      <c r="BC98" s="169"/>
      <c r="BD98" s="1329"/>
      <c r="BE98" s="1330"/>
      <c r="BF98" s="1330"/>
      <c r="BG98" s="1330"/>
    </row>
    <row r="99" spans="1:59" ht="15.65" customHeight="1">
      <c r="A99" s="1239"/>
      <c r="B99" s="572" t="s">
        <v>2177</v>
      </c>
      <c r="C99" s="171">
        <f>+$C$97+$G$98</f>
        <v>90551.650000000009</v>
      </c>
      <c r="D99" s="1239"/>
      <c r="E99" s="1239"/>
      <c r="F99" s="448">
        <f>(102^2)/(90523.8-C99)</f>
        <v>-373.57271095144796</v>
      </c>
      <c r="G99" s="455"/>
      <c r="H99" s="1239" t="s">
        <v>2133</v>
      </c>
      <c r="I99" s="171" t="s">
        <v>624</v>
      </c>
      <c r="J99" s="171"/>
      <c r="K99" s="1239"/>
      <c r="L99" s="1239" t="s">
        <v>896</v>
      </c>
      <c r="M99" s="1239" t="s">
        <v>4451</v>
      </c>
      <c r="N99" s="1239" t="s">
        <v>144</v>
      </c>
      <c r="O99" s="1239" t="s">
        <v>140</v>
      </c>
      <c r="P99" s="1239"/>
      <c r="Q99" s="1239"/>
      <c r="R99" s="1239"/>
      <c r="S99" s="455"/>
      <c r="T99" s="1239">
        <v>20</v>
      </c>
      <c r="U99" s="1239">
        <v>-25</v>
      </c>
      <c r="V99" s="1239"/>
      <c r="W99" s="1239">
        <v>1</v>
      </c>
      <c r="X99" s="1239">
        <v>1.2</v>
      </c>
      <c r="Y99" s="1239"/>
      <c r="Z99" s="1239"/>
      <c r="AA99" s="1239">
        <v>0.25</v>
      </c>
      <c r="AB99" s="580"/>
      <c r="AC99" s="1239" t="str">
        <f t="shared" si="0"/>
        <v>PH-C</v>
      </c>
      <c r="AD99" s="580"/>
      <c r="AE99" s="580"/>
      <c r="AF99" s="580"/>
      <c r="AG99" s="1327"/>
      <c r="AH99" s="580"/>
      <c r="AI99" s="580"/>
      <c r="AJ99" s="580"/>
      <c r="AK99" s="580"/>
      <c r="AL99" s="580"/>
      <c r="AM99" s="1239" t="s">
        <v>1042</v>
      </c>
      <c r="AN99" s="455">
        <v>5.15</v>
      </c>
      <c r="AO99" s="1239"/>
      <c r="AP99" s="1239"/>
      <c r="AQ99" s="455"/>
      <c r="AR99" s="1239"/>
      <c r="AS99" s="1239"/>
      <c r="AT99" s="455">
        <f>+ab($T$99,-$T$97,$T$101,$G$98,$G$100, 1*$F$99,1200)</f>
        <v>-2.1473444454723056</v>
      </c>
      <c r="AU99" s="1239"/>
      <c r="AV99" s="1239"/>
      <c r="AW99" s="1239" t="str">
        <f>VLOOKUP(C99,'Foundation Calculation'!$A$2:$C$33,3,1)</f>
        <v>Soil B</v>
      </c>
      <c r="AX99" s="1239" t="str">
        <f>VLOOKUP(C99,'Foundation Calculation'!$E$2:$G$33,3,1)</f>
        <v>PT</v>
      </c>
      <c r="AY99" s="455">
        <f>IF(AX99="PT",VLOOKUP(L99,'Foundation Calculation'!$K$2:$R$40,VLOOKUP(AW99,'Foundation Calculation'!$I$2:$J$8,2,FALSE),0),IF(AX99="K",VLOOKUP(L99,'Foundation Calculation'!$K$42:$R$80,VLOOKUP(AW99,'Foundation Calculation'!$I$2:$J$8,2,FALSE),0),""))</f>
        <v>4</v>
      </c>
      <c r="AZ99" s="455"/>
      <c r="BA99" s="1536" t="s">
        <v>2809</v>
      </c>
      <c r="BB99" s="1239" t="str">
        <f>Pole_Calculations!A159</f>
        <v>App.7.1-V01-P9.5.1.8</v>
      </c>
      <c r="BC99" s="169"/>
      <c r="BD99" s="1329"/>
      <c r="BE99" s="1329"/>
      <c r="BF99" s="1330"/>
      <c r="BG99" s="1329"/>
    </row>
    <row r="100" spans="1:59" ht="15.65" customHeight="1">
      <c r="A100" s="1239"/>
      <c r="B100" s="1239"/>
      <c r="C100" s="171"/>
      <c r="D100" s="1239"/>
      <c r="E100" s="1239"/>
      <c r="F100" s="448"/>
      <c r="G100" s="455">
        <v>30</v>
      </c>
      <c r="H100" s="1239"/>
      <c r="I100" s="448"/>
      <c r="J100" s="171"/>
      <c r="K100" s="1239"/>
      <c r="L100" s="1239"/>
      <c r="M100" s="1239"/>
      <c r="N100" s="1239"/>
      <c r="O100" s="1239"/>
      <c r="P100" s="1239"/>
      <c r="Q100" s="1239"/>
      <c r="R100" s="1239"/>
      <c r="S100" s="455"/>
      <c r="T100" s="1239"/>
      <c r="U100" s="1239"/>
      <c r="V100" s="1239"/>
      <c r="W100" s="1239"/>
      <c r="X100" s="1239"/>
      <c r="Y100" s="1239"/>
      <c r="Z100" s="1239"/>
      <c r="AA100" s="1239"/>
      <c r="AB100" s="1239"/>
      <c r="AC100" s="1239"/>
      <c r="AD100" s="1239"/>
      <c r="AE100" s="1239"/>
      <c r="AF100" s="1239"/>
      <c r="AG100" s="171"/>
      <c r="AH100" s="1239"/>
      <c r="AI100" s="1239"/>
      <c r="AJ100" s="1239"/>
      <c r="AK100" s="1239"/>
      <c r="AL100" s="1239"/>
      <c r="AM100" s="1239"/>
      <c r="AN100" s="455"/>
      <c r="AO100" s="1239"/>
      <c r="AP100" s="1239"/>
      <c r="AQ100" s="455">
        <f>+FL_1($T$101,$T$99,$G$100,1200,9.28, 1*$F$101)</f>
        <v>0.20000000000000015</v>
      </c>
      <c r="AR100" s="1239"/>
      <c r="AS100" s="1239"/>
      <c r="AT100" s="455"/>
      <c r="AU100" s="1239"/>
      <c r="AV100" s="1239"/>
      <c r="AW100" s="638"/>
      <c r="AX100" s="638"/>
      <c r="AY100" s="484"/>
      <c r="AZ100" s="484"/>
      <c r="BA100" s="671"/>
      <c r="BB100" s="1239"/>
      <c r="BC100" s="169"/>
      <c r="BD100" s="1330"/>
      <c r="BE100" s="1330"/>
      <c r="BF100" s="1330"/>
      <c r="BG100" s="1330"/>
    </row>
    <row r="101" spans="1:59" ht="15.75" customHeight="1">
      <c r="A101" s="501">
        <f>'HR Track 4 HER-TSA'!A232</f>
        <v>0</v>
      </c>
      <c r="B101" s="716" t="str">
        <f>'HR Track 4 HER-TSA'!B232</f>
        <v>90-4.12</v>
      </c>
      <c r="C101" s="451">
        <f>'HR Track 4 HER-TSA'!C232</f>
        <v>90573.750000000015</v>
      </c>
      <c r="D101" s="453">
        <f>'HR Track 4 HER-TSA'!D232</f>
        <v>0</v>
      </c>
      <c r="E101" s="453">
        <f>'HR Track 4 HER-TSA'!E232</f>
        <v>0</v>
      </c>
      <c r="F101" s="453">
        <f>'HR Track 4 HER-TSA'!F232</f>
        <v>10000</v>
      </c>
      <c r="G101" s="500">
        <f>'HR Track 4 HER-TSA'!G232</f>
        <v>0</v>
      </c>
      <c r="H101" s="453" t="str">
        <f>'HR Track 4 HER-TSA'!H232</f>
        <v>P52(CS) A/S</v>
      </c>
      <c r="I101" s="501" t="str">
        <f>'HR Track 4 HER-TSA'!I232</f>
        <v>CP+AnMC</v>
      </c>
      <c r="J101" s="583">
        <f>'HR Track 4 HER-TSA'!J232</f>
        <v>0</v>
      </c>
      <c r="K101" s="452">
        <f>'HR Track 4 HER-TSA'!K232</f>
        <v>0</v>
      </c>
      <c r="L101" s="452" t="str">
        <f>'HR Track 4 HER-TSA'!L232</f>
        <v>HEB-360L</v>
      </c>
      <c r="M101" s="452" t="str">
        <f>'HR Track 4 HER-TSA'!M232</f>
        <v>C9R</v>
      </c>
      <c r="N101" s="501" t="str">
        <f>'HR Track 4 HER-TSA'!N232</f>
        <v>EMT-1</v>
      </c>
      <c r="O101" s="501" t="str">
        <f>'HR Track 4 HER-TSA'!O232</f>
        <v>EMT-1</v>
      </c>
      <c r="P101" s="501">
        <f>'HR Track 4 HER-TSA'!P232</f>
        <v>0</v>
      </c>
      <c r="Q101" s="452">
        <f>'HR Track 4 HER-TSA'!Q232</f>
        <v>0</v>
      </c>
      <c r="R101" s="452">
        <f>'HR Track 4 HER-TSA'!R232</f>
        <v>0</v>
      </c>
      <c r="S101" s="500">
        <f>'HR Track 4 HER-TSA'!S232</f>
        <v>0</v>
      </c>
      <c r="T101" s="452">
        <f>'HR Track 4 HER-TSA'!T232</f>
        <v>-15</v>
      </c>
      <c r="U101" s="452">
        <f>'HR Track 4 HER-TSA'!U232</f>
        <v>-10</v>
      </c>
      <c r="V101" s="452">
        <f>'HR Track 4 HER-TSA'!V232</f>
        <v>0</v>
      </c>
      <c r="W101" s="452">
        <f>'HR Track 4 HER-TSA'!W232</f>
        <v>1.2</v>
      </c>
      <c r="X101" s="452">
        <f>'HR Track 4 HER-TSA'!X232</f>
        <v>1.6</v>
      </c>
      <c r="Y101" s="452">
        <f>'HR Track 4 HER-TSA'!Y232</f>
        <v>0</v>
      </c>
      <c r="Z101" s="452">
        <f>'HR Track 4 HER-TSA'!Z232</f>
        <v>0</v>
      </c>
      <c r="AA101" s="452">
        <f>'HR Track 4 HER-TSA'!AA232</f>
        <v>0</v>
      </c>
      <c r="AB101" s="452">
        <f>'HR Track 4 HER-TSA'!AB232</f>
        <v>0</v>
      </c>
      <c r="AC101" s="452" t="str">
        <f>'HR Track 4 HER-TSA'!AC232</f>
        <v>PHQ-1650</v>
      </c>
      <c r="AD101" s="452" t="str">
        <f>'HR Track 4 HER-TSA'!AD232</f>
        <v>BTC-1250</v>
      </c>
      <c r="AE101" s="452">
        <f>'HR Track 4 HER-TSA'!AE232</f>
        <v>0</v>
      </c>
      <c r="AF101" s="452">
        <f>'HR Track 4 HER-TSA'!AF232</f>
        <v>5000</v>
      </c>
      <c r="AG101" s="451">
        <f>'HR Track 4 HER-TSA'!AG232</f>
        <v>90574</v>
      </c>
      <c r="AH101" s="452">
        <f>'HR Track 4 HER-TSA'!AH232</f>
        <v>1823</v>
      </c>
      <c r="AI101" s="452">
        <f>'HR Track 4 HER-TSA'!AI232</f>
        <v>-110</v>
      </c>
      <c r="AJ101" s="452">
        <f>'HR Track 4 HER-TSA'!AJ232</f>
        <v>0</v>
      </c>
      <c r="AK101" s="452">
        <f>'HR Track 4 HER-TSA'!AK232</f>
        <v>0</v>
      </c>
      <c r="AL101" s="452" t="str">
        <f>'HR Track 4 HER-TSA'!AL232</f>
        <v>PR1C</v>
      </c>
      <c r="AM101" s="452" t="str">
        <f>'HR Track 4 HER-TSA'!AM232</f>
        <v>RW1</v>
      </c>
      <c r="AN101" s="500">
        <f>'HR Track 4 HER-TSA'!AN232</f>
        <v>5.15</v>
      </c>
      <c r="AO101" s="452">
        <f>'HR Track 4 HER-TSA'!AO232</f>
        <v>0</v>
      </c>
      <c r="AP101" s="452">
        <f>'HR Track 4 HER-TSA'!AP232</f>
        <v>0</v>
      </c>
      <c r="AQ101" s="500">
        <f>'HR Track 4 HER-TSA'!AQ232</f>
        <v>0</v>
      </c>
      <c r="AR101" s="500">
        <f>'HR Track 4 HER-TSA'!AR232</f>
        <v>0</v>
      </c>
      <c r="AS101" s="500">
        <f>'HR Track 4 HER-TSA'!AS232</f>
        <v>0</v>
      </c>
      <c r="AT101" s="500">
        <f>'HR Track 4 HER-TSA'!AT232</f>
        <v>-8.7912320727969036</v>
      </c>
      <c r="AU101" s="452">
        <f>'HR Track 4 HER-TSA'!AU232</f>
        <v>0</v>
      </c>
      <c r="AV101" s="452">
        <f>'HR Track 4 HER-TSA'!AV232</f>
        <v>0</v>
      </c>
      <c r="AW101" s="452" t="str">
        <f>'HR Track 4 HER-TSA'!AW232</f>
        <v>Soil B</v>
      </c>
      <c r="AX101" s="452" t="str">
        <f>'HR Track 4 HER-TSA'!AX232</f>
        <v>PT</v>
      </c>
      <c r="AY101" s="500">
        <f>'HR Track 4 HER-TSA'!AY232</f>
        <v>4.5</v>
      </c>
      <c r="AZ101" s="500">
        <f>'HR Track 4 HER-TSA'!AZ232</f>
        <v>0</v>
      </c>
      <c r="BA101" s="1333" t="str">
        <f>'HR Track 4 HER-TSA'!BA232</f>
        <v>ü</v>
      </c>
      <c r="BB101" s="452" t="str">
        <f>'HR Track 4 HER-TSA'!BB232</f>
        <v>App.8-V08F-P10.3</v>
      </c>
      <c r="BC101" s="1334">
        <f>'HR Track 4 HER-TSA'!BC232</f>
        <v>0</v>
      </c>
      <c r="BD101" s="1335">
        <f>'HR Track 4 HER-TSA'!BD232</f>
        <v>0</v>
      </c>
      <c r="BE101" s="1335">
        <f>'HR Track 4 HER-TSA'!BE232</f>
        <v>0</v>
      </c>
      <c r="BF101" s="1335">
        <f>'HR Track 4 HER-TSA'!BF232</f>
        <v>0</v>
      </c>
      <c r="BG101" s="1335">
        <f>'HR Track 4 HER-TSA'!BG232</f>
        <v>0</v>
      </c>
    </row>
    <row r="102" spans="1:59" ht="15.75" customHeight="1">
      <c r="A102" s="501">
        <f>'HR Track 4 HER-TSA'!A233</f>
        <v>0</v>
      </c>
      <c r="B102" s="716">
        <f>'HR Track 4 HER-TSA'!B233</f>
        <v>0</v>
      </c>
      <c r="C102" s="451">
        <f>'HR Track 4 HER-TSA'!C233</f>
        <v>0</v>
      </c>
      <c r="D102" s="453">
        <f>'HR Track 4 HER-TSA'!D233</f>
        <v>0</v>
      </c>
      <c r="E102" s="453">
        <f>'HR Track 4 HER-TSA'!E233</f>
        <v>0</v>
      </c>
      <c r="F102" s="453">
        <f>'HR Track 4 HER-TSA'!F233</f>
        <v>0</v>
      </c>
      <c r="G102" s="500">
        <f>'HR Track 4 HER-TSA'!G233</f>
        <v>14.2</v>
      </c>
      <c r="H102" s="453">
        <f>'HR Track 4 HER-TSA'!H233</f>
        <v>0</v>
      </c>
      <c r="I102" s="501">
        <f>'HR Track 4 HER-TSA'!I233</f>
        <v>0</v>
      </c>
      <c r="J102" s="583">
        <f>'HR Track 4 HER-TSA'!J233</f>
        <v>90581.250000000015</v>
      </c>
      <c r="K102" s="452" t="str">
        <f>'HR Track 4 HER-TSA'!K233</f>
        <v>AnMC-R</v>
      </c>
      <c r="L102" s="452">
        <f>'HR Track 4 HER-TSA'!L233</f>
        <v>0</v>
      </c>
      <c r="M102" s="452">
        <f>'HR Track 4 HER-TSA'!M233</f>
        <v>0</v>
      </c>
      <c r="N102" s="501">
        <f>'HR Track 4 HER-TSA'!N233</f>
        <v>0</v>
      </c>
      <c r="O102" s="501">
        <f>'HR Track 4 HER-TSA'!O233</f>
        <v>0</v>
      </c>
      <c r="P102" s="501">
        <f>'HR Track 4 HER-TSA'!P233</f>
        <v>0</v>
      </c>
      <c r="Q102" s="452">
        <f>'HR Track 4 HER-TSA'!Q233</f>
        <v>0</v>
      </c>
      <c r="R102" s="452">
        <f>'HR Track 4 HER-TSA'!R233</f>
        <v>0</v>
      </c>
      <c r="S102" s="500">
        <f>'HR Track 4 HER-TSA'!S233</f>
        <v>44</v>
      </c>
      <c r="T102" s="452">
        <f>'HR Track 4 HER-TSA'!T233</f>
        <v>0</v>
      </c>
      <c r="U102" s="452">
        <f>'HR Track 4 HER-TSA'!U233</f>
        <v>0</v>
      </c>
      <c r="V102" s="452">
        <f>'HR Track 4 HER-TSA'!V233</f>
        <v>0</v>
      </c>
      <c r="W102" s="452">
        <f>'HR Track 4 HER-TSA'!W233</f>
        <v>0</v>
      </c>
      <c r="X102" s="452">
        <f>'HR Track 4 HER-TSA'!X233</f>
        <v>0</v>
      </c>
      <c r="Y102" s="452">
        <f>'HR Track 4 HER-TSA'!Y233</f>
        <v>0</v>
      </c>
      <c r="Z102" s="452">
        <f>'HR Track 4 HER-TSA'!Z233</f>
        <v>0</v>
      </c>
      <c r="AA102" s="452">
        <f>'HR Track 4 HER-TSA'!AA233</f>
        <v>0</v>
      </c>
      <c r="AB102" s="452">
        <f>'HR Track 4 HER-TSA'!AB233</f>
        <v>0</v>
      </c>
      <c r="AC102" s="452">
        <f>'HR Track 4 HER-TSA'!AC233</f>
        <v>0</v>
      </c>
      <c r="AD102" s="452">
        <f>'HR Track 4 HER-TSA'!AD233</f>
        <v>0</v>
      </c>
      <c r="AE102" s="452">
        <f>'HR Track 4 HER-TSA'!AE233</f>
        <v>0</v>
      </c>
      <c r="AF102" s="452">
        <f>'HR Track 4 HER-TSA'!AF233</f>
        <v>0</v>
      </c>
      <c r="AG102" s="451">
        <f>'HR Track 4 HER-TSA'!AG233</f>
        <v>0</v>
      </c>
      <c r="AH102" s="452">
        <f>'HR Track 4 HER-TSA'!AH233</f>
        <v>0</v>
      </c>
      <c r="AI102" s="452">
        <f>'HR Track 4 HER-TSA'!AI233</f>
        <v>0</v>
      </c>
      <c r="AJ102" s="452">
        <f>'HR Track 4 HER-TSA'!AJ233</f>
        <v>0</v>
      </c>
      <c r="AK102" s="452">
        <f>'HR Track 4 HER-TSA'!AK233</f>
        <v>0</v>
      </c>
      <c r="AL102" s="452">
        <f>'HR Track 4 HER-TSA'!AL233</f>
        <v>0</v>
      </c>
      <c r="AM102" s="452">
        <f>'HR Track 4 HER-TSA'!AM233</f>
        <v>0</v>
      </c>
      <c r="AN102" s="500">
        <f>'HR Track 4 HER-TSA'!AN233</f>
        <v>0</v>
      </c>
      <c r="AO102" s="452">
        <f>'HR Track 4 HER-TSA'!AO233</f>
        <v>0</v>
      </c>
      <c r="AP102" s="452">
        <f>'HR Track 4 HER-TSA'!AP233</f>
        <v>0</v>
      </c>
      <c r="AQ102" s="500">
        <f>'HR Track 4 HER-TSA'!AQ233</f>
        <v>-0.15015218846212058</v>
      </c>
      <c r="AR102" s="500">
        <f>'HR Track 4 HER-TSA'!AR233</f>
        <v>0</v>
      </c>
      <c r="AS102" s="500">
        <f>'HR Track 4 HER-TSA'!AS233</f>
        <v>0</v>
      </c>
      <c r="AT102" s="500">
        <f>'HR Track 4 HER-TSA'!AT233</f>
        <v>0</v>
      </c>
      <c r="AU102" s="452">
        <f>'HR Track 4 HER-TSA'!AU233</f>
        <v>0</v>
      </c>
      <c r="AV102" s="452">
        <f>'HR Track 4 HER-TSA'!AV233</f>
        <v>0</v>
      </c>
      <c r="AW102" s="452" t="str">
        <f>'HR Track 4 HER-TSA'!AW233</f>
        <v>Soil B</v>
      </c>
      <c r="AX102" s="452" t="str">
        <f>'HR Track 4 HER-TSA'!AX233</f>
        <v>PT</v>
      </c>
      <c r="AY102" s="500">
        <f>'HR Track 4 HER-TSA'!AY233</f>
        <v>0</v>
      </c>
      <c r="AZ102" s="500">
        <f>'HR Track 4 HER-TSA'!AZ233</f>
        <v>3.9</v>
      </c>
      <c r="BA102" s="1333" t="str">
        <f>'HR Track 4 HER-TSA'!BA233</f>
        <v>ü</v>
      </c>
      <c r="BB102" s="452">
        <f>'HR Track 4 HER-TSA'!BB233</f>
        <v>0</v>
      </c>
      <c r="BC102" s="1334">
        <f>'HR Track 4 HER-TSA'!BC233</f>
        <v>0</v>
      </c>
      <c r="BD102" s="1335">
        <f>'HR Track 4 HER-TSA'!BD233</f>
        <v>0</v>
      </c>
      <c r="BE102" s="1335">
        <f>'HR Track 4 HER-TSA'!BE233</f>
        <v>0</v>
      </c>
      <c r="BF102" s="1335">
        <f>'HR Track 4 HER-TSA'!BF233</f>
        <v>0</v>
      </c>
      <c r="BG102" s="1335">
        <f>'HR Track 4 HER-TSA'!BG233</f>
        <v>0</v>
      </c>
    </row>
    <row r="103" spans="1:59" ht="15.65" customHeight="1">
      <c r="S103" s="454"/>
      <c r="AN103" s="454"/>
      <c r="AY103" s="454"/>
      <c r="AZ103" s="454"/>
      <c r="BA103" s="1306"/>
      <c r="BC103" s="169"/>
    </row>
    <row r="104" spans="1:59" ht="15.65" customHeight="1">
      <c r="S104" s="454"/>
      <c r="AN104" s="454"/>
      <c r="AY104" s="454"/>
      <c r="AZ104" s="454"/>
      <c r="BA104" s="1306"/>
      <c r="BC104" s="169"/>
    </row>
    <row r="105" spans="1:59" ht="15.65" customHeight="1">
      <c r="S105" s="454"/>
      <c r="AN105" s="454"/>
      <c r="AY105" s="454"/>
      <c r="AZ105" s="454"/>
      <c r="BA105" s="1306"/>
      <c r="BC105" s="169"/>
    </row>
    <row r="106" spans="1:59" ht="15.65" customHeight="1">
      <c r="S106" s="454"/>
      <c r="AN106" s="454"/>
      <c r="AY106" s="454"/>
      <c r="AZ106" s="454"/>
      <c r="BA106" s="1306"/>
      <c r="BC106" s="169"/>
    </row>
    <row r="107" spans="1:59" ht="15.65" customHeight="1">
      <c r="S107" s="454"/>
      <c r="AN107" s="454"/>
      <c r="AY107" s="454"/>
      <c r="AZ107" s="454"/>
      <c r="BA107" s="1306"/>
      <c r="BC107" s="169"/>
    </row>
    <row r="108" spans="1:59" ht="15.65" customHeight="1">
      <c r="S108" s="454"/>
      <c r="AN108" s="454"/>
      <c r="AY108" s="454"/>
      <c r="AZ108" s="454"/>
      <c r="BA108" s="1306"/>
      <c r="BC108" s="169"/>
    </row>
    <row r="109" spans="1:59" ht="15.65" customHeight="1">
      <c r="S109" s="454"/>
      <c r="AN109" s="454"/>
      <c r="AY109" s="454"/>
      <c r="AZ109" s="454"/>
      <c r="BA109" s="1306"/>
      <c r="BC109" s="169"/>
    </row>
    <row r="110" spans="1:59" ht="15.65" customHeight="1">
      <c r="S110" s="454"/>
      <c r="AN110" s="454"/>
      <c r="AY110" s="454"/>
      <c r="AZ110" s="454"/>
      <c r="BA110" s="1306"/>
      <c r="BC110" s="169"/>
    </row>
    <row r="111" spans="1:59" ht="15.65" customHeight="1">
      <c r="S111" s="454"/>
      <c r="AN111" s="454"/>
      <c r="AY111" s="454"/>
      <c r="AZ111" s="454"/>
      <c r="BA111" s="1306"/>
      <c r="BC111" s="169"/>
    </row>
    <row r="112" spans="1:59" ht="15.65" customHeight="1">
      <c r="S112" s="454"/>
      <c r="AN112" s="454"/>
      <c r="AY112" s="454"/>
      <c r="AZ112" s="454"/>
      <c r="BA112" s="1306"/>
      <c r="BC112" s="169"/>
    </row>
    <row r="113" spans="19:55" ht="15.65" customHeight="1">
      <c r="S113" s="454"/>
      <c r="AN113" s="454"/>
      <c r="AY113" s="454"/>
      <c r="AZ113" s="454"/>
      <c r="BA113" s="1306"/>
      <c r="BC113" s="169"/>
    </row>
    <row r="114" spans="19:55" ht="15.65" customHeight="1">
      <c r="S114" s="454"/>
      <c r="AN114" s="454"/>
      <c r="AY114" s="454"/>
      <c r="AZ114" s="454"/>
      <c r="BA114" s="1306"/>
      <c r="BC114" s="169"/>
    </row>
    <row r="115" spans="19:55" ht="15.65" customHeight="1">
      <c r="S115" s="454"/>
      <c r="AN115" s="454"/>
      <c r="AY115" s="454"/>
      <c r="AZ115" s="454"/>
      <c r="BA115" s="1306"/>
      <c r="BC115" s="169"/>
    </row>
    <row r="116" spans="19:55" ht="15.65" customHeight="1">
      <c r="S116" s="454"/>
      <c r="AN116" s="454"/>
      <c r="AY116" s="454"/>
      <c r="AZ116" s="454"/>
      <c r="BA116" s="1306"/>
      <c r="BC116" s="169"/>
    </row>
    <row r="117" spans="19:55" ht="15.65" customHeight="1">
      <c r="S117" s="454"/>
      <c r="AN117" s="454"/>
      <c r="AY117" s="454"/>
      <c r="AZ117" s="454"/>
      <c r="BA117" s="1306"/>
      <c r="BC117" s="169"/>
    </row>
    <row r="118" spans="19:55" ht="15.65" customHeight="1">
      <c r="S118" s="454"/>
      <c r="AN118" s="454"/>
      <c r="AY118" s="454"/>
      <c r="AZ118" s="454"/>
      <c r="BA118" s="1306"/>
      <c r="BC118" s="169"/>
    </row>
    <row r="119" spans="19:55" ht="15.65" customHeight="1">
      <c r="S119" s="454"/>
      <c r="AN119" s="454"/>
      <c r="AY119" s="454"/>
      <c r="AZ119" s="454"/>
      <c r="BA119" s="1306"/>
      <c r="BC119" s="169"/>
    </row>
    <row r="120" spans="19:55" ht="15.65" customHeight="1">
      <c r="S120" s="454"/>
      <c r="AN120" s="454"/>
      <c r="AY120" s="454"/>
      <c r="AZ120" s="454"/>
      <c r="BA120" s="1306"/>
      <c r="BC120" s="169"/>
    </row>
    <row r="121" spans="19:55" ht="15.65" customHeight="1">
      <c r="S121" s="454"/>
      <c r="AN121" s="454"/>
      <c r="AY121" s="454"/>
      <c r="AZ121" s="454"/>
      <c r="BA121" s="1306"/>
      <c r="BC121" s="169"/>
    </row>
    <row r="122" spans="19:55" ht="15.65" customHeight="1">
      <c r="S122" s="454"/>
      <c r="AN122" s="454"/>
      <c r="AY122" s="454"/>
      <c r="AZ122" s="454"/>
      <c r="BA122" s="1306"/>
      <c r="BC122" s="169"/>
    </row>
    <row r="123" spans="19:55" ht="15.65" customHeight="1">
      <c r="S123" s="454"/>
      <c r="AN123" s="454"/>
      <c r="AY123" s="454"/>
      <c r="AZ123" s="454"/>
      <c r="BA123" s="1306"/>
      <c r="BC123" s="169"/>
    </row>
    <row r="124" spans="19:55" ht="15.65" customHeight="1">
      <c r="S124" s="454"/>
      <c r="AN124" s="454"/>
      <c r="AY124" s="454"/>
      <c r="AZ124" s="454"/>
      <c r="BA124" s="1306"/>
      <c r="BC124" s="169"/>
    </row>
    <row r="125" spans="19:55" ht="15.65" customHeight="1">
      <c r="S125" s="454"/>
      <c r="AN125" s="454"/>
      <c r="AY125" s="454"/>
      <c r="AZ125" s="454"/>
      <c r="BA125" s="1306"/>
      <c r="BC125" s="169"/>
    </row>
    <row r="126" spans="19:55" ht="15.65" customHeight="1">
      <c r="S126" s="454"/>
      <c r="AN126" s="454"/>
      <c r="AY126" s="454"/>
      <c r="AZ126" s="454"/>
      <c r="BA126" s="1306"/>
      <c r="BC126" s="169"/>
    </row>
    <row r="127" spans="19:55" ht="15.65" customHeight="1">
      <c r="S127" s="454"/>
      <c r="AN127" s="454"/>
      <c r="AY127" s="454"/>
      <c r="AZ127" s="454"/>
      <c r="BA127" s="1306"/>
      <c r="BC127" s="169"/>
    </row>
    <row r="128" spans="19:55" ht="15.65" customHeight="1">
      <c r="S128" s="454"/>
      <c r="AN128" s="454"/>
      <c r="AY128" s="454"/>
      <c r="AZ128" s="454"/>
      <c r="BA128" s="1306"/>
      <c r="BC128" s="169"/>
    </row>
    <row r="129" spans="19:55" ht="15.65" customHeight="1">
      <c r="S129" s="454"/>
      <c r="AN129" s="454"/>
      <c r="AY129" s="454"/>
      <c r="AZ129" s="454"/>
      <c r="BA129" s="1306"/>
      <c r="BC129" s="169"/>
    </row>
    <row r="130" spans="19:55" ht="15.65" customHeight="1">
      <c r="S130" s="454"/>
      <c r="AN130" s="454"/>
      <c r="AY130" s="454"/>
      <c r="AZ130" s="454"/>
      <c r="BA130" s="1306"/>
      <c r="BC130" s="169"/>
    </row>
    <row r="131" spans="19:55" ht="15.65" customHeight="1">
      <c r="S131" s="454"/>
      <c r="AN131" s="454"/>
      <c r="AY131" s="454"/>
      <c r="AZ131" s="454"/>
      <c r="BA131" s="1306"/>
      <c r="BC131" s="169"/>
    </row>
    <row r="132" spans="19:55" ht="15.65" customHeight="1">
      <c r="S132" s="454"/>
      <c r="AN132" s="454"/>
      <c r="AY132" s="454"/>
      <c r="AZ132" s="454"/>
      <c r="BA132" s="1306"/>
      <c r="BC132" s="169"/>
    </row>
    <row r="133" spans="19:55" ht="15.65" customHeight="1">
      <c r="S133" s="454"/>
      <c r="AN133" s="454"/>
      <c r="AY133" s="454"/>
      <c r="AZ133" s="454"/>
      <c r="BA133" s="1306"/>
      <c r="BC133" s="169"/>
    </row>
    <row r="134" spans="19:55" ht="15.65" customHeight="1">
      <c r="S134" s="454"/>
      <c r="AN134" s="454"/>
      <c r="AY134" s="454"/>
      <c r="AZ134" s="454"/>
      <c r="BA134" s="1306"/>
      <c r="BC134" s="169"/>
    </row>
    <row r="135" spans="19:55" ht="15.65" customHeight="1">
      <c r="S135" s="454"/>
      <c r="AN135" s="454"/>
      <c r="AY135" s="454"/>
      <c r="AZ135" s="454"/>
      <c r="BA135" s="1306"/>
      <c r="BC135" s="169"/>
    </row>
    <row r="136" spans="19:55" ht="15.65" customHeight="1">
      <c r="S136" s="454"/>
      <c r="AN136" s="454"/>
      <c r="AY136" s="454"/>
      <c r="AZ136" s="454"/>
      <c r="BA136" s="1306"/>
      <c r="BC136" s="169"/>
    </row>
    <row r="137" spans="19:55" ht="15.65" customHeight="1">
      <c r="S137" s="454"/>
      <c r="AN137" s="454"/>
      <c r="AY137" s="454"/>
      <c r="AZ137" s="454"/>
      <c r="BA137" s="1306"/>
      <c r="BC137" s="169"/>
    </row>
    <row r="138" spans="19:55" ht="15.65" customHeight="1">
      <c r="S138" s="454"/>
      <c r="AN138" s="454"/>
      <c r="AY138" s="454"/>
      <c r="AZ138" s="454"/>
      <c r="BA138" s="1306"/>
      <c r="BC138" s="169"/>
    </row>
    <row r="139" spans="19:55" ht="15.65" customHeight="1">
      <c r="S139" s="454"/>
      <c r="AN139" s="454"/>
      <c r="AY139" s="454"/>
      <c r="AZ139" s="454"/>
      <c r="BA139" s="1306"/>
      <c r="BC139" s="169"/>
    </row>
    <row r="140" spans="19:55" ht="15.65" customHeight="1">
      <c r="S140" s="454"/>
      <c r="AN140" s="454"/>
      <c r="AY140" s="454"/>
      <c r="AZ140" s="454"/>
      <c r="BA140" s="1306"/>
      <c r="BC140" s="169"/>
    </row>
    <row r="141" spans="19:55" ht="15.65" customHeight="1">
      <c r="S141" s="454"/>
      <c r="AN141" s="454"/>
      <c r="AY141" s="454"/>
      <c r="AZ141" s="454"/>
      <c r="BA141" s="1306"/>
      <c r="BC141" s="169"/>
    </row>
    <row r="142" spans="19:55" ht="15.65" customHeight="1">
      <c r="S142" s="454"/>
      <c r="AN142" s="454"/>
      <c r="AY142" s="454"/>
      <c r="AZ142" s="454"/>
      <c r="BA142" s="1306"/>
      <c r="BC142" s="169"/>
    </row>
    <row r="143" spans="19:55" ht="15.65" customHeight="1">
      <c r="S143" s="454"/>
      <c r="AN143" s="454"/>
      <c r="AY143" s="454"/>
      <c r="AZ143" s="454"/>
      <c r="BA143" s="1306"/>
      <c r="BC143" s="169"/>
    </row>
    <row r="144" spans="19:55" ht="15.65" customHeight="1">
      <c r="S144" s="454"/>
      <c r="AN144" s="454"/>
      <c r="AY144" s="454"/>
      <c r="AZ144" s="454"/>
      <c r="BA144" s="1306"/>
      <c r="BC144" s="169"/>
    </row>
    <row r="145" spans="19:55" ht="15.65" customHeight="1">
      <c r="S145" s="454"/>
      <c r="AN145" s="454"/>
      <c r="AY145" s="454"/>
      <c r="AZ145" s="454"/>
      <c r="BA145" s="1306"/>
      <c r="BC145" s="169"/>
    </row>
    <row r="146" spans="19:55" ht="15.65" customHeight="1">
      <c r="S146" s="454"/>
      <c r="AN146" s="454"/>
      <c r="AY146" s="454"/>
      <c r="AZ146" s="454"/>
      <c r="BA146" s="1306"/>
      <c r="BC146" s="169"/>
    </row>
    <row r="147" spans="19:55" ht="15.65" customHeight="1">
      <c r="S147" s="454"/>
      <c r="AN147" s="454"/>
      <c r="AY147" s="454"/>
      <c r="AZ147" s="454"/>
      <c r="BA147" s="1306"/>
      <c r="BC147" s="169"/>
    </row>
    <row r="148" spans="19:55" ht="15.65" customHeight="1">
      <c r="S148" s="454"/>
      <c r="AN148" s="454"/>
      <c r="AY148" s="454"/>
      <c r="AZ148" s="454"/>
      <c r="BA148" s="1306"/>
      <c r="BC148" s="169"/>
    </row>
    <row r="149" spans="19:55" ht="15.65" customHeight="1">
      <c r="S149" s="454"/>
      <c r="AN149" s="454"/>
      <c r="AY149" s="454"/>
      <c r="AZ149" s="454"/>
      <c r="BA149" s="1306"/>
      <c r="BC149" s="169"/>
    </row>
    <row r="150" spans="19:55" ht="15.65" customHeight="1">
      <c r="S150" s="454"/>
      <c r="AN150" s="454"/>
      <c r="AY150" s="454"/>
      <c r="AZ150" s="454"/>
      <c r="BA150" s="1306"/>
      <c r="BC150" s="169"/>
    </row>
    <row r="151" spans="19:55" ht="15.65" customHeight="1">
      <c r="S151" s="454"/>
      <c r="AN151" s="454"/>
      <c r="AY151" s="454"/>
      <c r="AZ151" s="454"/>
      <c r="BA151" s="1306"/>
      <c r="BC151" s="169"/>
    </row>
    <row r="152" spans="19:55" ht="15.65" customHeight="1">
      <c r="S152" s="454"/>
      <c r="AN152" s="454"/>
      <c r="AY152" s="454"/>
      <c r="AZ152" s="454"/>
      <c r="BA152" s="1306"/>
      <c r="BC152" s="169"/>
    </row>
    <row r="153" spans="19:55" ht="15.65" customHeight="1">
      <c r="S153" s="454"/>
      <c r="AN153" s="454"/>
      <c r="AY153" s="454"/>
      <c r="AZ153" s="454"/>
      <c r="BA153" s="1306"/>
      <c r="BC153" s="169"/>
    </row>
    <row r="154" spans="19:55" ht="15.65" customHeight="1">
      <c r="S154" s="454"/>
      <c r="AN154" s="454"/>
      <c r="AY154" s="454"/>
      <c r="AZ154" s="454"/>
      <c r="BA154" s="1306"/>
      <c r="BC154" s="169"/>
    </row>
    <row r="155" spans="19:55" ht="15.65" customHeight="1">
      <c r="S155" s="454"/>
      <c r="AN155" s="454"/>
      <c r="AY155" s="454"/>
      <c r="AZ155" s="454"/>
      <c r="BA155" s="1306"/>
      <c r="BC155" s="169"/>
    </row>
    <row r="156" spans="19:55" ht="15.65" customHeight="1">
      <c r="S156" s="454"/>
      <c r="AN156" s="454"/>
      <c r="AY156" s="454"/>
      <c r="AZ156" s="454"/>
      <c r="BA156" s="1306"/>
      <c r="BC156" s="169"/>
    </row>
    <row r="157" spans="19:55" ht="15.65" customHeight="1">
      <c r="S157" s="454"/>
      <c r="AN157" s="454"/>
      <c r="AY157" s="454"/>
      <c r="AZ157" s="454"/>
      <c r="BA157" s="1306"/>
      <c r="BC157" s="169"/>
    </row>
    <row r="158" spans="19:55" ht="15.65" customHeight="1">
      <c r="S158" s="454"/>
      <c r="AN158" s="454"/>
      <c r="AY158" s="454"/>
      <c r="AZ158" s="454"/>
      <c r="BA158" s="1306"/>
      <c r="BC158" s="169"/>
    </row>
    <row r="159" spans="19:55" ht="15.65" customHeight="1">
      <c r="S159" s="454"/>
      <c r="AN159" s="454"/>
      <c r="AY159" s="454"/>
      <c r="AZ159" s="454"/>
      <c r="BA159" s="1306"/>
      <c r="BC159" s="169"/>
    </row>
    <row r="160" spans="19:55" ht="15.65" customHeight="1">
      <c r="S160" s="454"/>
      <c r="AN160" s="454"/>
      <c r="AY160" s="454"/>
      <c r="AZ160" s="454"/>
      <c r="BA160" s="1306"/>
      <c r="BC160" s="169"/>
    </row>
    <row r="161" spans="19:55" ht="15.65" customHeight="1">
      <c r="S161" s="454"/>
      <c r="AN161" s="454"/>
      <c r="AY161" s="454"/>
      <c r="AZ161" s="454"/>
      <c r="BA161" s="1306"/>
      <c r="BC161" s="169"/>
    </row>
    <row r="162" spans="19:55" ht="15.65" customHeight="1">
      <c r="S162" s="454"/>
      <c r="AN162" s="454"/>
      <c r="AY162" s="454"/>
      <c r="AZ162" s="454"/>
      <c r="BA162" s="1306"/>
      <c r="BC162" s="169"/>
    </row>
    <row r="163" spans="19:55">
      <c r="S163" s="454"/>
      <c r="AN163" s="454"/>
      <c r="AY163" s="454"/>
      <c r="AZ163" s="454"/>
      <c r="BA163" s="1306"/>
      <c r="BC163" s="169"/>
    </row>
    <row r="164" spans="19:55">
      <c r="S164" s="454"/>
      <c r="AN164" s="454"/>
      <c r="AY164" s="454"/>
      <c r="AZ164" s="454"/>
      <c r="BA164" s="1306"/>
      <c r="BC164" s="169"/>
    </row>
    <row r="165" spans="19:55">
      <c r="S165" s="454"/>
      <c r="AN165" s="454"/>
      <c r="AY165" s="454"/>
      <c r="AZ165" s="454"/>
      <c r="BA165" s="1306"/>
      <c r="BC165" s="169"/>
    </row>
    <row r="166" spans="19:55">
      <c r="S166" s="454"/>
      <c r="AN166" s="454"/>
      <c r="AY166" s="454"/>
      <c r="AZ166" s="454"/>
      <c r="BA166" s="1306"/>
      <c r="BC166" s="169"/>
    </row>
    <row r="167" spans="19:55">
      <c r="S167" s="454"/>
      <c r="AN167" s="454"/>
      <c r="AY167" s="454"/>
      <c r="AZ167" s="454"/>
      <c r="BA167" s="1306"/>
      <c r="BC167" s="169"/>
    </row>
    <row r="168" spans="19:55">
      <c r="S168" s="454"/>
      <c r="AN168" s="454"/>
      <c r="AY168" s="454"/>
      <c r="AZ168" s="454"/>
      <c r="BA168" s="1306"/>
      <c r="BC168" s="169"/>
    </row>
    <row r="169" spans="19:55">
      <c r="S169" s="454"/>
      <c r="AN169" s="454"/>
      <c r="AY169" s="454"/>
      <c r="AZ169" s="454"/>
      <c r="BA169" s="1306"/>
      <c r="BC169" s="169"/>
    </row>
    <row r="170" spans="19:55">
      <c r="S170" s="454"/>
      <c r="AN170" s="454"/>
      <c r="AY170" s="454"/>
      <c r="AZ170" s="454"/>
      <c r="BA170" s="1306"/>
      <c r="BC170" s="169"/>
    </row>
    <row r="171" spans="19:55">
      <c r="S171" s="454"/>
      <c r="AN171" s="454"/>
      <c r="AY171" s="454"/>
      <c r="AZ171" s="454"/>
      <c r="BA171" s="1306"/>
      <c r="BC171" s="169"/>
    </row>
    <row r="172" spans="19:55">
      <c r="S172" s="454"/>
      <c r="AN172" s="454"/>
      <c r="AY172" s="454"/>
      <c r="AZ172" s="454"/>
      <c r="BA172" s="1306"/>
      <c r="BC172" s="169"/>
    </row>
    <row r="173" spans="19:55">
      <c r="S173" s="454"/>
      <c r="AN173" s="454"/>
      <c r="AY173" s="454"/>
      <c r="AZ173" s="454"/>
      <c r="BA173" s="1306"/>
      <c r="BC173" s="169"/>
    </row>
    <row r="174" spans="19:55">
      <c r="S174" s="454"/>
      <c r="AN174" s="454"/>
      <c r="AY174" s="454"/>
      <c r="AZ174" s="454"/>
      <c r="BA174" s="1306"/>
      <c r="BC174" s="169"/>
    </row>
    <row r="175" spans="19:55">
      <c r="S175" s="454"/>
      <c r="AN175" s="454"/>
      <c r="AY175" s="454"/>
      <c r="AZ175" s="454"/>
      <c r="BA175" s="1306"/>
      <c r="BC175" s="169"/>
    </row>
    <row r="176" spans="19:55">
      <c r="S176" s="454"/>
      <c r="AN176" s="454"/>
      <c r="AY176" s="454"/>
      <c r="AZ176" s="454"/>
      <c r="BA176" s="1306"/>
      <c r="BC176" s="169"/>
    </row>
    <row r="177" spans="19:55">
      <c r="S177" s="454"/>
      <c r="AN177" s="454"/>
      <c r="AY177" s="454"/>
      <c r="AZ177" s="454"/>
      <c r="BA177" s="1306"/>
      <c r="BC177" s="169"/>
    </row>
    <row r="178" spans="19:55">
      <c r="S178" s="454"/>
      <c r="AN178" s="454"/>
      <c r="AY178" s="454"/>
      <c r="AZ178" s="454"/>
      <c r="BA178" s="1306"/>
      <c r="BC178" s="169"/>
    </row>
    <row r="179" spans="19:55">
      <c r="S179" s="454"/>
      <c r="AN179" s="454"/>
      <c r="AY179" s="454"/>
      <c r="AZ179" s="454"/>
      <c r="BA179" s="1306"/>
      <c r="BC179" s="169"/>
    </row>
    <row r="180" spans="19:55">
      <c r="S180" s="454"/>
      <c r="AN180" s="454"/>
      <c r="AY180" s="454"/>
      <c r="AZ180" s="454"/>
      <c r="BA180" s="1306"/>
      <c r="BC180" s="169"/>
    </row>
    <row r="181" spans="19:55">
      <c r="S181" s="454"/>
      <c r="AN181" s="454"/>
      <c r="AY181" s="454"/>
      <c r="AZ181" s="454"/>
      <c r="BA181" s="1306"/>
      <c r="BC181" s="169"/>
    </row>
    <row r="182" spans="19:55">
      <c r="S182" s="454"/>
      <c r="AN182" s="454"/>
      <c r="AY182" s="454"/>
      <c r="AZ182" s="454"/>
      <c r="BA182" s="1306"/>
      <c r="BC182" s="169"/>
    </row>
    <row r="183" spans="19:55">
      <c r="S183" s="454"/>
      <c r="AN183" s="454"/>
      <c r="AY183" s="454"/>
      <c r="AZ183" s="454"/>
      <c r="BA183" s="1306"/>
      <c r="BC183" s="169"/>
    </row>
    <row r="184" spans="19:55">
      <c r="S184" s="454"/>
      <c r="AN184" s="454"/>
      <c r="AY184" s="454"/>
      <c r="AZ184" s="454"/>
      <c r="BA184" s="1306"/>
      <c r="BC184" s="169"/>
    </row>
    <row r="185" spans="19:55">
      <c r="S185" s="454"/>
      <c r="AN185" s="454"/>
      <c r="AY185" s="454"/>
      <c r="AZ185" s="454"/>
      <c r="BA185" s="1306"/>
      <c r="BC185" s="169"/>
    </row>
    <row r="186" spans="19:55">
      <c r="S186" s="454"/>
      <c r="AN186" s="454"/>
      <c r="AY186" s="454"/>
      <c r="AZ186" s="454"/>
      <c r="BA186" s="1306"/>
      <c r="BC186" s="169"/>
    </row>
    <row r="187" spans="19:55">
      <c r="S187" s="454"/>
      <c r="AN187" s="454"/>
      <c r="AY187" s="454"/>
      <c r="AZ187" s="454"/>
      <c r="BA187" s="1306"/>
      <c r="BC187" s="169"/>
    </row>
    <row r="188" spans="19:55">
      <c r="S188" s="454"/>
      <c r="AN188" s="454"/>
      <c r="AY188" s="454"/>
      <c r="AZ188" s="454"/>
      <c r="BA188" s="1306"/>
      <c r="BC188" s="169"/>
    </row>
    <row r="189" spans="19:55">
      <c r="S189" s="454"/>
      <c r="AN189" s="454"/>
      <c r="AY189" s="454"/>
      <c r="AZ189" s="454"/>
      <c r="BA189" s="1306"/>
      <c r="BC189" s="169"/>
    </row>
    <row r="190" spans="19:55">
      <c r="S190" s="454"/>
      <c r="AN190" s="454"/>
      <c r="AY190" s="454"/>
      <c r="AZ190" s="454"/>
      <c r="BA190" s="1306"/>
      <c r="BC190" s="169"/>
    </row>
    <row r="191" spans="19:55">
      <c r="S191" s="454"/>
      <c r="AN191" s="454"/>
      <c r="AY191" s="454"/>
      <c r="AZ191" s="454"/>
      <c r="BA191" s="1306"/>
      <c r="BC191" s="169"/>
    </row>
    <row r="192" spans="19:55">
      <c r="S192" s="454"/>
      <c r="AN192" s="454"/>
      <c r="AY192" s="454"/>
      <c r="AZ192" s="454"/>
      <c r="BA192" s="1306"/>
      <c r="BC192" s="169"/>
    </row>
    <row r="193" spans="19:55">
      <c r="S193" s="454"/>
      <c r="AN193" s="454"/>
      <c r="AY193" s="454"/>
      <c r="AZ193" s="454"/>
      <c r="BA193" s="1306"/>
      <c r="BC193" s="169"/>
    </row>
    <row r="194" spans="19:55">
      <c r="S194" s="454"/>
      <c r="AN194" s="454"/>
      <c r="AY194" s="454"/>
      <c r="AZ194" s="454"/>
      <c r="BA194" s="1306"/>
      <c r="BC194" s="169"/>
    </row>
    <row r="195" spans="19:55">
      <c r="S195" s="454"/>
      <c r="AN195" s="454"/>
      <c r="AY195" s="454"/>
      <c r="AZ195" s="454"/>
      <c r="BA195" s="1306"/>
      <c r="BC195" s="169"/>
    </row>
    <row r="196" spans="19:55">
      <c r="S196" s="454"/>
      <c r="AN196" s="454"/>
      <c r="AY196" s="454"/>
      <c r="AZ196" s="454"/>
      <c r="BA196" s="1306"/>
      <c r="BC196" s="169"/>
    </row>
    <row r="197" spans="19:55">
      <c r="S197" s="454"/>
      <c r="AN197" s="454"/>
      <c r="AY197" s="454"/>
      <c r="AZ197" s="454"/>
      <c r="BA197" s="1306"/>
      <c r="BC197" s="169"/>
    </row>
    <row r="198" spans="19:55">
      <c r="S198" s="454"/>
      <c r="AN198" s="454"/>
      <c r="AY198" s="454"/>
      <c r="AZ198" s="454"/>
      <c r="BA198" s="1306"/>
      <c r="BC198" s="169"/>
    </row>
    <row r="199" spans="19:55">
      <c r="S199" s="454"/>
      <c r="AN199" s="454"/>
      <c r="AY199" s="454"/>
      <c r="AZ199" s="454"/>
      <c r="BA199" s="1306"/>
      <c r="BC199" s="169"/>
    </row>
    <row r="200" spans="19:55">
      <c r="S200" s="454"/>
      <c r="AN200" s="454"/>
      <c r="AY200" s="454"/>
      <c r="AZ200" s="454"/>
      <c r="BA200" s="1306"/>
      <c r="BC200" s="169"/>
    </row>
    <row r="201" spans="19:55">
      <c r="S201" s="454"/>
      <c r="AN201" s="454"/>
      <c r="AY201" s="454"/>
      <c r="AZ201" s="454"/>
      <c r="BA201" s="1306"/>
      <c r="BC201" s="169"/>
    </row>
    <row r="202" spans="19:55">
      <c r="S202" s="454"/>
      <c r="AN202" s="454"/>
      <c r="AY202" s="454"/>
      <c r="AZ202" s="454"/>
      <c r="BA202" s="1306"/>
      <c r="BC202" s="169"/>
    </row>
    <row r="203" spans="19:55">
      <c r="S203" s="454"/>
      <c r="AN203" s="454"/>
      <c r="AY203" s="454"/>
      <c r="AZ203" s="454"/>
      <c r="BA203" s="1306"/>
      <c r="BC203" s="169"/>
    </row>
    <row r="204" spans="19:55">
      <c r="S204" s="454"/>
      <c r="AN204" s="454"/>
      <c r="AY204" s="454"/>
      <c r="AZ204" s="454"/>
      <c r="BA204" s="1306"/>
      <c r="BC204" s="169"/>
    </row>
    <row r="205" spans="19:55">
      <c r="S205" s="454"/>
      <c r="AN205" s="454"/>
      <c r="AY205" s="454"/>
      <c r="AZ205" s="454"/>
      <c r="BA205" s="1306"/>
      <c r="BC205" s="169"/>
    </row>
    <row r="206" spans="19:55">
      <c r="S206" s="454"/>
      <c r="AN206" s="454"/>
      <c r="AY206" s="454"/>
      <c r="AZ206" s="454"/>
      <c r="BA206" s="1306"/>
      <c r="BC206" s="169"/>
    </row>
    <row r="207" spans="19:55">
      <c r="S207" s="454"/>
      <c r="AN207" s="454"/>
      <c r="AY207" s="454"/>
      <c r="AZ207" s="454"/>
      <c r="BA207" s="1306"/>
      <c r="BC207" s="169"/>
    </row>
    <row r="208" spans="19:55">
      <c r="S208" s="454"/>
      <c r="AN208" s="454"/>
      <c r="AY208" s="454"/>
      <c r="AZ208" s="454"/>
      <c r="BA208" s="1306"/>
      <c r="BC208" s="169"/>
    </row>
    <row r="209" spans="19:55">
      <c r="S209" s="454"/>
      <c r="AN209" s="454"/>
      <c r="AY209" s="454"/>
      <c r="AZ209" s="454"/>
      <c r="BA209" s="1306"/>
      <c r="BC209" s="169"/>
    </row>
    <row r="210" spans="19:55">
      <c r="S210" s="454"/>
      <c r="AN210" s="454"/>
      <c r="AY210" s="454"/>
      <c r="AZ210" s="454"/>
      <c r="BA210" s="1306"/>
      <c r="BC210" s="169"/>
    </row>
    <row r="211" spans="19:55">
      <c r="S211" s="454"/>
      <c r="AN211" s="454"/>
      <c r="AY211" s="454"/>
      <c r="AZ211" s="454"/>
      <c r="BA211" s="1306"/>
      <c r="BC211" s="169"/>
    </row>
    <row r="212" spans="19:55">
      <c r="S212" s="454"/>
      <c r="AN212" s="454"/>
      <c r="AY212" s="454"/>
      <c r="AZ212" s="454"/>
      <c r="BA212" s="1306"/>
      <c r="BC212" s="169"/>
    </row>
    <row r="213" spans="19:55">
      <c r="S213" s="454"/>
      <c r="AN213" s="454"/>
      <c r="AY213" s="454"/>
      <c r="AZ213" s="454"/>
      <c r="BA213" s="1306"/>
      <c r="BC213" s="169"/>
    </row>
    <row r="214" spans="19:55">
      <c r="S214" s="454"/>
      <c r="AN214" s="454"/>
      <c r="AY214" s="454"/>
      <c r="AZ214" s="454"/>
      <c r="BA214" s="1306"/>
      <c r="BC214" s="169"/>
    </row>
    <row r="215" spans="19:55">
      <c r="S215" s="454"/>
      <c r="AN215" s="454"/>
      <c r="AY215" s="454"/>
      <c r="AZ215" s="454"/>
      <c r="BA215" s="1306"/>
      <c r="BC215" s="169"/>
    </row>
    <row r="216" spans="19:55">
      <c r="S216" s="454"/>
      <c r="AN216" s="454"/>
      <c r="AY216" s="454"/>
      <c r="AZ216" s="454"/>
      <c r="BA216" s="1306"/>
      <c r="BC216" s="169"/>
    </row>
    <row r="217" spans="19:55">
      <c r="S217" s="454"/>
      <c r="AN217" s="454"/>
      <c r="AY217" s="454"/>
      <c r="AZ217" s="454"/>
      <c r="BA217" s="1306"/>
      <c r="BC217" s="169"/>
    </row>
    <row r="218" spans="19:55">
      <c r="S218" s="454"/>
      <c r="AN218" s="454"/>
      <c r="AY218" s="454"/>
      <c r="AZ218" s="454"/>
      <c r="BA218" s="1306"/>
      <c r="BC218" s="169"/>
    </row>
    <row r="219" spans="19:55">
      <c r="S219" s="454"/>
      <c r="AN219" s="454"/>
      <c r="AY219" s="454"/>
      <c r="AZ219" s="454"/>
      <c r="BA219" s="1306"/>
      <c r="BC219" s="169"/>
    </row>
    <row r="220" spans="19:55">
      <c r="S220" s="454"/>
      <c r="AN220" s="454"/>
      <c r="AY220" s="454"/>
      <c r="AZ220" s="454"/>
      <c r="BA220" s="1306"/>
      <c r="BC220" s="169"/>
    </row>
    <row r="221" spans="19:55">
      <c r="S221" s="454"/>
      <c r="AN221" s="454"/>
      <c r="AY221" s="454"/>
      <c r="AZ221" s="454"/>
      <c r="BA221" s="1306"/>
      <c r="BC221" s="169"/>
    </row>
    <row r="222" spans="19:55">
      <c r="S222" s="454"/>
      <c r="AN222" s="454"/>
      <c r="AY222" s="454"/>
      <c r="AZ222" s="454"/>
      <c r="BA222" s="1306"/>
      <c r="BC222" s="169"/>
    </row>
    <row r="223" spans="19:55">
      <c r="S223" s="454"/>
      <c r="AN223" s="454"/>
      <c r="AY223" s="454"/>
      <c r="AZ223" s="454"/>
      <c r="BA223" s="1306"/>
      <c r="BC223" s="169"/>
    </row>
    <row r="224" spans="19:55">
      <c r="S224" s="454"/>
      <c r="AN224" s="454"/>
      <c r="AY224" s="454"/>
      <c r="AZ224" s="454"/>
      <c r="BA224" s="1306"/>
      <c r="BC224" s="169"/>
    </row>
    <row r="225" spans="19:55">
      <c r="S225" s="454"/>
      <c r="AN225" s="454"/>
      <c r="AY225" s="454"/>
      <c r="AZ225" s="454"/>
      <c r="BA225" s="1306"/>
      <c r="BC225" s="169"/>
    </row>
    <row r="226" spans="19:55">
      <c r="S226" s="454"/>
      <c r="AN226" s="454"/>
      <c r="AY226" s="454"/>
      <c r="AZ226" s="454"/>
      <c r="BA226" s="1306"/>
      <c r="BC226" s="169"/>
    </row>
    <row r="227" spans="19:55">
      <c r="S227" s="454"/>
      <c r="AN227" s="454"/>
      <c r="AY227" s="454"/>
      <c r="AZ227" s="454"/>
      <c r="BA227" s="1306"/>
      <c r="BC227" s="169"/>
    </row>
    <row r="228" spans="19:55">
      <c r="S228" s="454"/>
      <c r="AN228" s="454"/>
      <c r="AY228" s="454"/>
      <c r="AZ228" s="454"/>
      <c r="BA228" s="1306"/>
      <c r="BC228" s="169"/>
    </row>
    <row r="229" spans="19:55">
      <c r="S229" s="454"/>
      <c r="AN229" s="454"/>
      <c r="AY229" s="454"/>
      <c r="AZ229" s="454"/>
      <c r="BA229" s="1306"/>
      <c r="BC229" s="169"/>
    </row>
    <row r="230" spans="19:55">
      <c r="S230" s="454"/>
      <c r="AN230" s="454"/>
      <c r="AY230" s="454"/>
      <c r="AZ230" s="454"/>
      <c r="BA230" s="1306"/>
      <c r="BC230" s="169"/>
    </row>
    <row r="231" spans="19:55">
      <c r="S231" s="454"/>
      <c r="AN231" s="454"/>
      <c r="AY231" s="454"/>
      <c r="AZ231" s="454"/>
      <c r="BA231" s="1306"/>
      <c r="BC231" s="169"/>
    </row>
    <row r="232" spans="19:55">
      <c r="S232" s="454"/>
      <c r="AN232" s="454"/>
      <c r="AY232" s="454"/>
      <c r="AZ232" s="454"/>
      <c r="BA232" s="1306"/>
      <c r="BC232" s="169"/>
    </row>
    <row r="233" spans="19:55">
      <c r="S233" s="454"/>
      <c r="AN233" s="454"/>
      <c r="AY233" s="454"/>
      <c r="AZ233" s="454"/>
      <c r="BA233" s="1306"/>
      <c r="BC233" s="169"/>
    </row>
    <row r="234" spans="19:55">
      <c r="S234" s="454"/>
      <c r="AN234" s="454"/>
      <c r="AY234" s="454"/>
      <c r="AZ234" s="454"/>
      <c r="BA234" s="1306"/>
      <c r="BC234" s="169"/>
    </row>
    <row r="235" spans="19:55">
      <c r="S235" s="454"/>
      <c r="AN235" s="454"/>
      <c r="AY235" s="454"/>
      <c r="AZ235" s="454"/>
      <c r="BA235" s="1306"/>
      <c r="BC235" s="169"/>
    </row>
    <row r="236" spans="19:55">
      <c r="S236" s="454"/>
      <c r="AN236" s="454"/>
      <c r="AY236" s="454"/>
      <c r="AZ236" s="454"/>
      <c r="BA236" s="1306"/>
      <c r="BC236" s="169"/>
    </row>
    <row r="237" spans="19:55">
      <c r="S237" s="454"/>
      <c r="AN237" s="454"/>
      <c r="AY237" s="454"/>
      <c r="AZ237" s="454"/>
      <c r="BA237" s="1306"/>
      <c r="BC237" s="169"/>
    </row>
    <row r="238" spans="19:55">
      <c r="S238" s="454"/>
      <c r="AN238" s="454"/>
      <c r="AY238" s="454"/>
      <c r="AZ238" s="454"/>
      <c r="BA238" s="1306"/>
      <c r="BC238" s="169"/>
    </row>
    <row r="239" spans="19:55">
      <c r="S239" s="454"/>
      <c r="AN239" s="454"/>
      <c r="AY239" s="454"/>
      <c r="AZ239" s="454"/>
      <c r="BA239" s="1306"/>
      <c r="BC239" s="169"/>
    </row>
    <row r="240" spans="19:55">
      <c r="S240" s="454"/>
      <c r="AN240" s="454"/>
      <c r="AY240" s="454"/>
      <c r="AZ240" s="454"/>
      <c r="BA240" s="1306"/>
      <c r="BC240" s="169"/>
    </row>
    <row r="241" spans="19:55">
      <c r="S241" s="454"/>
      <c r="AN241" s="454"/>
      <c r="AY241" s="454"/>
      <c r="AZ241" s="454"/>
      <c r="BA241" s="1306"/>
      <c r="BC241" s="169"/>
    </row>
    <row r="242" spans="19:55">
      <c r="S242" s="454"/>
      <c r="AN242" s="454"/>
      <c r="AY242" s="454"/>
      <c r="AZ242" s="454"/>
      <c r="BA242" s="1306"/>
      <c r="BC242" s="169"/>
    </row>
    <row r="243" spans="19:55">
      <c r="S243" s="454"/>
      <c r="AN243" s="454"/>
      <c r="AY243" s="454"/>
      <c r="AZ243" s="454"/>
      <c r="BA243" s="1306"/>
      <c r="BC243" s="169"/>
    </row>
    <row r="244" spans="19:55">
      <c r="S244" s="454"/>
      <c r="AN244" s="454"/>
      <c r="AY244" s="454"/>
      <c r="AZ244" s="454"/>
      <c r="BA244" s="1306"/>
      <c r="BC244" s="169"/>
    </row>
    <row r="245" spans="19:55">
      <c r="S245" s="454"/>
      <c r="AN245" s="454"/>
      <c r="AY245" s="454"/>
      <c r="AZ245" s="454"/>
      <c r="BA245" s="1306"/>
      <c r="BC245" s="169"/>
    </row>
    <row r="246" spans="19:55">
      <c r="S246" s="454"/>
      <c r="AN246" s="454"/>
      <c r="AY246" s="454"/>
      <c r="AZ246" s="454"/>
      <c r="BA246" s="1306"/>
      <c r="BC246" s="169"/>
    </row>
    <row r="247" spans="19:55">
      <c r="S247" s="454"/>
      <c r="AN247" s="454"/>
      <c r="AY247" s="454"/>
      <c r="AZ247" s="454"/>
      <c r="BA247" s="1306"/>
      <c r="BC247" s="169"/>
    </row>
    <row r="248" spans="19:55">
      <c r="S248" s="454"/>
      <c r="AN248" s="454"/>
      <c r="AY248" s="454"/>
      <c r="AZ248" s="454"/>
      <c r="BA248" s="1306"/>
      <c r="BC248" s="169"/>
    </row>
    <row r="249" spans="19:55">
      <c r="S249" s="454"/>
      <c r="AN249" s="454"/>
      <c r="AY249" s="454"/>
      <c r="AZ249" s="454"/>
      <c r="BA249" s="1306"/>
      <c r="BC249" s="169"/>
    </row>
    <row r="250" spans="19:55">
      <c r="S250" s="454"/>
      <c r="AN250" s="454"/>
      <c r="AY250" s="454"/>
      <c r="AZ250" s="454"/>
      <c r="BA250" s="1306"/>
      <c r="BC250" s="169"/>
    </row>
    <row r="251" spans="19:55">
      <c r="S251" s="454"/>
      <c r="AN251" s="454"/>
      <c r="AY251" s="454"/>
      <c r="AZ251" s="454"/>
      <c r="BA251" s="1306"/>
      <c r="BC251" s="169"/>
    </row>
    <row r="252" spans="19:55">
      <c r="S252" s="454"/>
      <c r="AN252" s="454"/>
      <c r="AY252" s="454"/>
      <c r="AZ252" s="454"/>
      <c r="BA252" s="1306"/>
      <c r="BC252" s="169"/>
    </row>
    <row r="253" spans="19:55">
      <c r="S253" s="454"/>
      <c r="AN253" s="454"/>
      <c r="AY253" s="454"/>
      <c r="AZ253" s="454"/>
      <c r="BA253" s="1306"/>
      <c r="BC253" s="169"/>
    </row>
    <row r="254" spans="19:55">
      <c r="S254" s="454"/>
      <c r="AN254" s="454"/>
      <c r="AY254" s="454"/>
      <c r="AZ254" s="454"/>
      <c r="BA254" s="1306"/>
      <c r="BC254" s="169"/>
    </row>
    <row r="255" spans="19:55">
      <c r="S255" s="454"/>
      <c r="AN255" s="454"/>
      <c r="AY255" s="454"/>
      <c r="AZ255" s="454"/>
      <c r="BA255" s="1306"/>
      <c r="BC255" s="169"/>
    </row>
    <row r="256" spans="19:55">
      <c r="S256" s="454"/>
      <c r="AN256" s="454"/>
      <c r="AY256" s="454"/>
      <c r="AZ256" s="454"/>
      <c r="BA256" s="1306"/>
      <c r="BC256" s="169"/>
    </row>
    <row r="257" spans="19:55">
      <c r="S257" s="454"/>
      <c r="AN257" s="454"/>
      <c r="AY257" s="454"/>
      <c r="AZ257" s="454"/>
      <c r="BA257" s="1306"/>
      <c r="BC257" s="169"/>
    </row>
    <row r="258" spans="19:55">
      <c r="S258" s="454"/>
      <c r="AN258" s="454"/>
      <c r="AY258" s="454"/>
      <c r="AZ258" s="454"/>
      <c r="BA258" s="1306"/>
      <c r="BC258" s="169"/>
    </row>
    <row r="259" spans="19:55">
      <c r="S259" s="454"/>
      <c r="AN259" s="454"/>
      <c r="AY259" s="454"/>
      <c r="AZ259" s="454"/>
      <c r="BA259" s="1306"/>
      <c r="BC259" s="169"/>
    </row>
    <row r="260" spans="19:55">
      <c r="S260" s="454"/>
      <c r="AN260" s="454"/>
      <c r="AY260" s="454"/>
      <c r="AZ260" s="454"/>
      <c r="BA260" s="1306"/>
      <c r="BC260" s="169"/>
    </row>
    <row r="261" spans="19:55">
      <c r="S261" s="454"/>
      <c r="AN261" s="454"/>
      <c r="AY261" s="454"/>
      <c r="AZ261" s="454"/>
      <c r="BA261" s="1306"/>
      <c r="BC261" s="169"/>
    </row>
    <row r="262" spans="19:55">
      <c r="S262" s="454"/>
      <c r="AN262" s="454"/>
      <c r="AY262" s="454"/>
      <c r="AZ262" s="454"/>
      <c r="BA262" s="1306"/>
      <c r="BC262" s="169"/>
    </row>
    <row r="263" spans="19:55">
      <c r="S263" s="454"/>
      <c r="AN263" s="454"/>
      <c r="AY263" s="454"/>
      <c r="AZ263" s="454"/>
      <c r="BA263" s="1306"/>
      <c r="BC263" s="169"/>
    </row>
    <row r="264" spans="19:55">
      <c r="S264" s="454"/>
      <c r="AN264" s="454"/>
      <c r="AY264" s="454"/>
      <c r="AZ264" s="454"/>
      <c r="BA264" s="1306"/>
      <c r="BC264" s="169"/>
    </row>
    <row r="265" spans="19:55">
      <c r="S265" s="454"/>
      <c r="AN265" s="454"/>
      <c r="AY265" s="454"/>
      <c r="AZ265" s="454"/>
      <c r="BA265" s="1306"/>
      <c r="BC265" s="169"/>
    </row>
    <row r="266" spans="19:55">
      <c r="S266" s="454"/>
      <c r="AN266" s="454"/>
      <c r="AY266" s="454"/>
      <c r="AZ266" s="454"/>
      <c r="BA266" s="1306"/>
      <c r="BC266" s="169"/>
    </row>
    <row r="267" spans="19:55">
      <c r="S267" s="454"/>
      <c r="AN267" s="454"/>
      <c r="AY267" s="454"/>
      <c r="AZ267" s="454"/>
      <c r="BA267" s="1306"/>
      <c r="BC267" s="169"/>
    </row>
    <row r="268" spans="19:55">
      <c r="S268" s="454"/>
      <c r="AN268" s="454"/>
      <c r="AY268" s="454"/>
      <c r="AZ268" s="454"/>
      <c r="BA268" s="1306"/>
      <c r="BC268" s="169"/>
    </row>
    <row r="269" spans="19:55">
      <c r="S269" s="454"/>
      <c r="AN269" s="454"/>
      <c r="AY269" s="454"/>
      <c r="AZ269" s="454"/>
      <c r="BA269" s="1306"/>
      <c r="BC269" s="169"/>
    </row>
    <row r="270" spans="19:55">
      <c r="S270" s="454"/>
      <c r="AN270" s="454"/>
      <c r="AY270" s="454"/>
      <c r="AZ270" s="454"/>
      <c r="BA270" s="1306"/>
      <c r="BC270" s="169"/>
    </row>
    <row r="271" spans="19:55">
      <c r="S271" s="454"/>
      <c r="AN271" s="454"/>
      <c r="AY271" s="454"/>
      <c r="AZ271" s="454"/>
      <c r="BA271" s="1306"/>
      <c r="BC271" s="169"/>
    </row>
    <row r="272" spans="19:55">
      <c r="S272" s="454"/>
      <c r="AN272" s="454"/>
      <c r="AY272" s="454"/>
      <c r="AZ272" s="454"/>
      <c r="BA272" s="1306"/>
      <c r="BC272" s="169"/>
    </row>
    <row r="273" spans="19:55">
      <c r="S273" s="454"/>
      <c r="AN273" s="454"/>
      <c r="AY273" s="454"/>
      <c r="AZ273" s="454"/>
      <c r="BA273" s="1306"/>
      <c r="BC273" s="169"/>
    </row>
    <row r="274" spans="19:55">
      <c r="S274" s="454"/>
      <c r="AN274" s="454"/>
      <c r="AY274" s="454"/>
      <c r="AZ274" s="454"/>
      <c r="BA274" s="1306"/>
      <c r="BC274" s="169"/>
    </row>
    <row r="275" spans="19:55">
      <c r="S275" s="454"/>
      <c r="AN275" s="454"/>
      <c r="AY275" s="454"/>
      <c r="AZ275" s="454"/>
      <c r="BA275" s="1306"/>
      <c r="BC275" s="169"/>
    </row>
    <row r="276" spans="19:55">
      <c r="S276" s="454"/>
      <c r="AN276" s="454"/>
      <c r="AY276" s="454"/>
      <c r="AZ276" s="454"/>
      <c r="BA276" s="1306"/>
      <c r="BC276" s="169"/>
    </row>
    <row r="277" spans="19:55">
      <c r="S277" s="454"/>
      <c r="AN277" s="454"/>
      <c r="AY277" s="454"/>
      <c r="AZ277" s="454"/>
      <c r="BA277" s="1306"/>
      <c r="BC277" s="169"/>
    </row>
    <row r="278" spans="19:55">
      <c r="S278" s="454"/>
      <c r="AN278" s="454"/>
      <c r="AY278" s="454"/>
      <c r="AZ278" s="454"/>
      <c r="BA278" s="1306"/>
      <c r="BC278" s="169"/>
    </row>
    <row r="279" spans="19:55">
      <c r="S279" s="454"/>
      <c r="AN279" s="454"/>
      <c r="AY279" s="454"/>
      <c r="AZ279" s="454"/>
      <c r="BA279" s="1306"/>
      <c r="BC279" s="169"/>
    </row>
    <row r="280" spans="19:55">
      <c r="S280" s="454"/>
      <c r="AN280" s="454"/>
      <c r="AY280" s="454"/>
      <c r="AZ280" s="454"/>
      <c r="BA280" s="1306"/>
      <c r="BC280" s="169"/>
    </row>
    <row r="281" spans="19:55">
      <c r="S281" s="454"/>
      <c r="AN281" s="454"/>
      <c r="AY281" s="454"/>
      <c r="AZ281" s="454"/>
      <c r="BA281" s="1306"/>
      <c r="BC281" s="169"/>
    </row>
    <row r="282" spans="19:55">
      <c r="S282" s="454"/>
      <c r="AN282" s="454"/>
      <c r="AY282" s="454"/>
      <c r="AZ282" s="454"/>
      <c r="BA282" s="1306"/>
      <c r="BC282" s="169"/>
    </row>
    <row r="283" spans="19:55">
      <c r="S283" s="454"/>
      <c r="AN283" s="454"/>
      <c r="AY283" s="454"/>
      <c r="AZ283" s="454"/>
      <c r="BA283" s="1306"/>
      <c r="BC283" s="169"/>
    </row>
    <row r="284" spans="19:55">
      <c r="S284" s="454"/>
      <c r="AN284" s="454"/>
      <c r="AY284" s="454"/>
      <c r="AZ284" s="454"/>
      <c r="BA284" s="1306"/>
      <c r="BC284" s="169"/>
    </row>
    <row r="285" spans="19:55">
      <c r="S285" s="454"/>
      <c r="AN285" s="454"/>
      <c r="AY285" s="454"/>
      <c r="AZ285" s="454"/>
      <c r="BA285" s="1306"/>
      <c r="BC285" s="169"/>
    </row>
    <row r="286" spans="19:55">
      <c r="S286" s="454"/>
      <c r="AN286" s="454"/>
      <c r="AY286" s="454"/>
      <c r="AZ286" s="454"/>
      <c r="BA286" s="1306"/>
      <c r="BC286" s="169"/>
    </row>
    <row r="287" spans="19:55">
      <c r="S287" s="454"/>
      <c r="AN287" s="454"/>
      <c r="AY287" s="454"/>
      <c r="AZ287" s="454"/>
      <c r="BA287" s="1306"/>
      <c r="BC287" s="169"/>
    </row>
    <row r="288" spans="19:55">
      <c r="S288" s="454"/>
      <c r="AN288" s="454"/>
      <c r="AY288" s="454"/>
      <c r="AZ288" s="454"/>
      <c r="BA288" s="1306"/>
      <c r="BC288" s="169"/>
    </row>
    <row r="289" spans="19:55">
      <c r="S289" s="454"/>
      <c r="AN289" s="454"/>
      <c r="AY289" s="454"/>
      <c r="AZ289" s="454"/>
      <c r="BA289" s="1306"/>
      <c r="BC289" s="169"/>
    </row>
    <row r="290" spans="19:55">
      <c r="S290" s="454"/>
      <c r="AN290" s="454"/>
      <c r="AY290" s="454"/>
      <c r="AZ290" s="454"/>
      <c r="BA290" s="1306"/>
      <c r="BC290" s="169"/>
    </row>
    <row r="291" spans="19:55">
      <c r="S291" s="454"/>
      <c r="AN291" s="454"/>
      <c r="AY291" s="454"/>
      <c r="AZ291" s="454"/>
      <c r="BA291" s="1306"/>
      <c r="BC291" s="169"/>
    </row>
    <row r="292" spans="19:55">
      <c r="S292" s="454"/>
      <c r="AN292" s="454"/>
      <c r="AY292" s="454"/>
      <c r="AZ292" s="454"/>
      <c r="BA292" s="1306"/>
      <c r="BC292" s="169"/>
    </row>
    <row r="293" spans="19:55">
      <c r="S293" s="454"/>
      <c r="AN293" s="454"/>
      <c r="AY293" s="454"/>
      <c r="AZ293" s="454"/>
      <c r="BA293" s="1306"/>
      <c r="BC293" s="169"/>
    </row>
    <row r="294" spans="19:55">
      <c r="S294" s="454"/>
      <c r="AN294" s="454"/>
      <c r="AY294" s="454"/>
      <c r="AZ294" s="454"/>
      <c r="BA294" s="1306"/>
      <c r="BC294" s="169"/>
    </row>
    <row r="295" spans="19:55">
      <c r="S295" s="454"/>
      <c r="AN295" s="454"/>
      <c r="AY295" s="454"/>
      <c r="AZ295" s="454"/>
      <c r="BA295" s="1306"/>
      <c r="BC295" s="169"/>
    </row>
    <row r="296" spans="19:55">
      <c r="S296" s="454"/>
      <c r="AN296" s="454"/>
      <c r="AY296" s="454"/>
      <c r="AZ296" s="454"/>
      <c r="BA296" s="1306"/>
      <c r="BC296" s="169"/>
    </row>
    <row r="297" spans="19:55">
      <c r="S297" s="454"/>
      <c r="AN297" s="454"/>
      <c r="AY297" s="454"/>
      <c r="AZ297" s="454"/>
      <c r="BA297" s="1306"/>
      <c r="BC297" s="169"/>
    </row>
    <row r="298" spans="19:55">
      <c r="S298" s="454"/>
      <c r="AN298" s="454"/>
      <c r="AY298" s="454"/>
      <c r="AZ298" s="454"/>
      <c r="BA298" s="1306"/>
      <c r="BC298" s="169"/>
    </row>
    <row r="299" spans="19:55">
      <c r="S299" s="454"/>
      <c r="AN299" s="454"/>
      <c r="AY299" s="454"/>
      <c r="AZ299" s="454"/>
      <c r="BA299" s="1306"/>
      <c r="BC299" s="169"/>
    </row>
    <row r="300" spans="19:55">
      <c r="S300" s="454"/>
      <c r="AN300" s="454"/>
      <c r="AY300" s="454"/>
      <c r="AZ300" s="454"/>
      <c r="BA300" s="1306"/>
      <c r="BC300" s="169"/>
    </row>
    <row r="301" spans="19:55">
      <c r="S301" s="454"/>
      <c r="AN301" s="454"/>
      <c r="AY301" s="454"/>
      <c r="AZ301" s="454"/>
      <c r="BA301" s="1306"/>
      <c r="BC301" s="169"/>
    </row>
    <row r="302" spans="19:55">
      <c r="S302" s="454"/>
      <c r="AN302" s="454"/>
      <c r="AY302" s="454"/>
      <c r="AZ302" s="454"/>
      <c r="BA302" s="1306"/>
      <c r="BC302" s="169"/>
    </row>
    <row r="303" spans="19:55">
      <c r="S303" s="454"/>
      <c r="AN303" s="454"/>
      <c r="AY303" s="454"/>
      <c r="AZ303" s="454"/>
      <c r="BA303" s="1306"/>
      <c r="BC303" s="169"/>
    </row>
    <row r="304" spans="19:55">
      <c r="S304" s="454"/>
      <c r="AN304" s="454"/>
      <c r="AY304" s="454"/>
      <c r="AZ304" s="454"/>
      <c r="BA304" s="1306"/>
      <c r="BC304" s="169"/>
    </row>
    <row r="305" spans="19:55">
      <c r="S305" s="454"/>
      <c r="AN305" s="454"/>
      <c r="AY305" s="454"/>
      <c r="AZ305" s="454"/>
      <c r="BA305" s="1306"/>
      <c r="BC305" s="169"/>
    </row>
    <row r="306" spans="19:55">
      <c r="S306" s="454"/>
      <c r="AN306" s="454"/>
      <c r="AY306" s="454"/>
      <c r="AZ306" s="454"/>
      <c r="BA306" s="1306"/>
      <c r="BC306" s="169"/>
    </row>
    <row r="307" spans="19:55">
      <c r="S307" s="454"/>
      <c r="AN307" s="454"/>
      <c r="AY307" s="454"/>
      <c r="AZ307" s="454"/>
      <c r="BA307" s="1306"/>
      <c r="BC307" s="169"/>
    </row>
    <row r="308" spans="19:55">
      <c r="S308" s="454"/>
      <c r="AN308" s="454"/>
      <c r="AY308" s="454"/>
      <c r="AZ308" s="454"/>
      <c r="BA308" s="1306"/>
      <c r="BC308" s="169"/>
    </row>
    <row r="309" spans="19:55">
      <c r="S309" s="454"/>
      <c r="AN309" s="454"/>
      <c r="AY309" s="454"/>
      <c r="AZ309" s="454"/>
      <c r="BA309" s="1306"/>
      <c r="BC309" s="169"/>
    </row>
    <row r="310" spans="19:55">
      <c r="S310" s="454"/>
      <c r="AN310" s="454"/>
      <c r="AY310" s="454"/>
      <c r="AZ310" s="454"/>
      <c r="BA310" s="1306"/>
      <c r="BC310" s="169"/>
    </row>
    <row r="311" spans="19:55">
      <c r="S311" s="454"/>
      <c r="AN311" s="454"/>
      <c r="AY311" s="454"/>
      <c r="AZ311" s="454"/>
      <c r="BA311" s="1306"/>
      <c r="BC311" s="169"/>
    </row>
    <row r="312" spans="19:55">
      <c r="S312" s="454"/>
      <c r="AN312" s="454"/>
      <c r="AY312" s="454"/>
      <c r="AZ312" s="454"/>
      <c r="BA312" s="1306"/>
      <c r="BC312" s="169"/>
    </row>
    <row r="313" spans="19:55">
      <c r="S313" s="454"/>
      <c r="AN313" s="454"/>
      <c r="AY313" s="454"/>
      <c r="AZ313" s="454"/>
      <c r="BA313" s="1306"/>
      <c r="BC313" s="169"/>
    </row>
    <row r="314" spans="19:55">
      <c r="S314" s="454"/>
      <c r="AN314" s="454"/>
      <c r="AY314" s="454"/>
      <c r="AZ314" s="454"/>
      <c r="BA314" s="1306"/>
      <c r="BC314" s="169"/>
    </row>
    <row r="315" spans="19:55">
      <c r="S315" s="454"/>
      <c r="AN315" s="454"/>
      <c r="AY315" s="454"/>
      <c r="AZ315" s="454"/>
      <c r="BA315" s="1306"/>
      <c r="BC315" s="169"/>
    </row>
    <row r="316" spans="19:55">
      <c r="S316" s="454"/>
      <c r="AN316" s="454"/>
      <c r="AY316" s="454"/>
      <c r="AZ316" s="454"/>
      <c r="BA316" s="1306"/>
      <c r="BC316" s="169"/>
    </row>
    <row r="317" spans="19:55">
      <c r="S317" s="454"/>
      <c r="AN317" s="454"/>
      <c r="AY317" s="454"/>
      <c r="AZ317" s="454"/>
      <c r="BA317" s="1306"/>
      <c r="BC317" s="169"/>
    </row>
    <row r="318" spans="19:55">
      <c r="S318" s="454"/>
      <c r="AN318" s="454"/>
      <c r="AY318" s="454"/>
      <c r="AZ318" s="454"/>
      <c r="BA318" s="1306"/>
      <c r="BC318" s="169"/>
    </row>
    <row r="319" spans="19:55">
      <c r="S319" s="454"/>
      <c r="AN319" s="454"/>
      <c r="AY319" s="454"/>
      <c r="AZ319" s="454"/>
      <c r="BA319" s="1306"/>
      <c r="BC319" s="169"/>
    </row>
    <row r="320" spans="19:55">
      <c r="S320" s="454"/>
      <c r="AN320" s="454"/>
      <c r="AY320" s="454"/>
      <c r="AZ320" s="454"/>
      <c r="BA320" s="1306"/>
      <c r="BC320" s="169"/>
    </row>
    <row r="321" spans="19:55">
      <c r="S321" s="454"/>
      <c r="AN321" s="454"/>
      <c r="AY321" s="454"/>
      <c r="AZ321" s="454"/>
      <c r="BA321" s="1306"/>
      <c r="BC321" s="169"/>
    </row>
    <row r="322" spans="19:55">
      <c r="S322" s="454"/>
      <c r="AN322" s="454"/>
      <c r="AY322" s="454"/>
      <c r="AZ322" s="454"/>
      <c r="BA322" s="1306"/>
      <c r="BC322" s="169"/>
    </row>
    <row r="323" spans="19:55">
      <c r="S323" s="454"/>
      <c r="AN323" s="454"/>
      <c r="AY323" s="454"/>
      <c r="AZ323" s="454"/>
      <c r="BA323" s="1306"/>
      <c r="BC323" s="169"/>
    </row>
    <row r="324" spans="19:55">
      <c r="S324" s="454"/>
      <c r="AN324" s="454"/>
      <c r="AY324" s="454"/>
      <c r="AZ324" s="454"/>
      <c r="BA324" s="1306"/>
      <c r="BC324" s="169"/>
    </row>
    <row r="325" spans="19:55">
      <c r="S325" s="454"/>
      <c r="AN325" s="454"/>
      <c r="AY325" s="454"/>
      <c r="AZ325" s="454"/>
      <c r="BA325" s="1306"/>
      <c r="BC325" s="169"/>
    </row>
    <row r="326" spans="19:55">
      <c r="S326" s="454"/>
      <c r="AN326" s="454"/>
      <c r="AY326" s="454"/>
      <c r="AZ326" s="454"/>
      <c r="BA326" s="1306"/>
      <c r="BC326" s="169"/>
    </row>
    <row r="327" spans="19:55">
      <c r="S327" s="454"/>
      <c r="AN327" s="454"/>
      <c r="AY327" s="454"/>
      <c r="AZ327" s="454"/>
      <c r="BA327" s="1306"/>
      <c r="BC327" s="169"/>
    </row>
    <row r="328" spans="19:55">
      <c r="S328" s="454"/>
      <c r="AN328" s="454"/>
      <c r="AY328" s="454"/>
      <c r="AZ328" s="454"/>
      <c r="BA328" s="1306"/>
      <c r="BC328" s="169"/>
    </row>
    <row r="329" spans="19:55">
      <c r="S329" s="454"/>
      <c r="AN329" s="454"/>
      <c r="AY329" s="454"/>
      <c r="AZ329" s="454"/>
      <c r="BA329" s="1306"/>
      <c r="BC329" s="169"/>
    </row>
    <row r="330" spans="19:55">
      <c r="S330" s="454"/>
      <c r="AN330" s="454"/>
      <c r="AY330" s="454"/>
      <c r="AZ330" s="454"/>
      <c r="BA330" s="1306"/>
      <c r="BC330" s="169"/>
    </row>
    <row r="331" spans="19:55">
      <c r="S331" s="454"/>
      <c r="AN331" s="454"/>
      <c r="AY331" s="454"/>
      <c r="AZ331" s="454"/>
      <c r="BA331" s="1306"/>
      <c r="BC331" s="169"/>
    </row>
    <row r="332" spans="19:55">
      <c r="S332" s="454"/>
      <c r="AN332" s="454"/>
      <c r="AY332" s="454"/>
      <c r="AZ332" s="454"/>
      <c r="BA332" s="1306"/>
      <c r="BC332" s="169"/>
    </row>
    <row r="333" spans="19:55">
      <c r="S333" s="454"/>
      <c r="AN333" s="454"/>
      <c r="AY333" s="454"/>
      <c r="AZ333" s="454"/>
      <c r="BA333" s="1306"/>
      <c r="BC333" s="169"/>
    </row>
    <row r="334" spans="19:55">
      <c r="S334" s="454"/>
      <c r="AN334" s="454"/>
      <c r="AY334" s="454"/>
      <c r="AZ334" s="454"/>
      <c r="BA334" s="1306"/>
      <c r="BC334" s="169"/>
    </row>
    <row r="335" spans="19:55">
      <c r="S335" s="454"/>
      <c r="AN335" s="454"/>
      <c r="AY335" s="454"/>
      <c r="AZ335" s="454"/>
      <c r="BA335" s="1306"/>
      <c r="BC335" s="169"/>
    </row>
    <row r="336" spans="19:55">
      <c r="S336" s="454"/>
      <c r="AN336" s="454"/>
      <c r="AY336" s="454"/>
      <c r="AZ336" s="454"/>
      <c r="BA336" s="1306"/>
      <c r="BC336" s="169"/>
    </row>
    <row r="337" spans="19:55">
      <c r="S337" s="454"/>
      <c r="AN337" s="454"/>
      <c r="AY337" s="454"/>
      <c r="AZ337" s="454"/>
      <c r="BA337" s="1306"/>
      <c r="BC337" s="169"/>
    </row>
    <row r="338" spans="19:55">
      <c r="S338" s="454"/>
      <c r="AN338" s="454"/>
      <c r="AY338" s="454"/>
      <c r="AZ338" s="454"/>
      <c r="BA338" s="1306"/>
      <c r="BC338" s="169"/>
    </row>
    <row r="339" spans="19:55">
      <c r="S339" s="454"/>
      <c r="AN339" s="454"/>
      <c r="AY339" s="454"/>
      <c r="AZ339" s="454"/>
      <c r="BA339" s="1306"/>
      <c r="BC339" s="169"/>
    </row>
    <row r="340" spans="19:55">
      <c r="S340" s="454"/>
      <c r="AN340" s="454"/>
      <c r="AY340" s="454"/>
      <c r="AZ340" s="454"/>
      <c r="BA340" s="1306"/>
      <c r="BC340" s="169"/>
    </row>
    <row r="341" spans="19:55">
      <c r="S341" s="454"/>
      <c r="AN341" s="454"/>
      <c r="AY341" s="454"/>
      <c r="AZ341" s="454"/>
      <c r="BA341" s="1306"/>
      <c r="BC341" s="169"/>
    </row>
    <row r="342" spans="19:55">
      <c r="S342" s="454"/>
      <c r="AN342" s="454"/>
      <c r="AY342" s="454"/>
      <c r="AZ342" s="454"/>
      <c r="BA342" s="1306"/>
      <c r="BC342" s="169"/>
    </row>
    <row r="343" spans="19:55">
      <c r="S343" s="454"/>
      <c r="AN343" s="454"/>
      <c r="AY343" s="454"/>
      <c r="AZ343" s="454"/>
      <c r="BA343" s="1306"/>
      <c r="BC343" s="169"/>
    </row>
    <row r="344" spans="19:55">
      <c r="S344" s="454"/>
      <c r="AN344" s="454"/>
      <c r="AY344" s="454"/>
      <c r="AZ344" s="454"/>
      <c r="BA344" s="1306"/>
      <c r="BC344" s="169"/>
    </row>
    <row r="345" spans="19:55">
      <c r="S345" s="454"/>
      <c r="AN345" s="454"/>
      <c r="AY345" s="454"/>
      <c r="AZ345" s="454"/>
      <c r="BA345" s="1306"/>
      <c r="BC345" s="169"/>
    </row>
    <row r="346" spans="19:55">
      <c r="S346" s="454"/>
      <c r="AN346" s="454"/>
      <c r="AY346" s="454"/>
      <c r="AZ346" s="454"/>
      <c r="BA346" s="1306"/>
      <c r="BC346" s="169"/>
    </row>
    <row r="347" spans="19:55">
      <c r="S347" s="454"/>
      <c r="AN347" s="454"/>
      <c r="AY347" s="454"/>
      <c r="AZ347" s="454"/>
      <c r="BA347" s="1306"/>
      <c r="BC347" s="169"/>
    </row>
    <row r="348" spans="19:55">
      <c r="S348" s="454"/>
      <c r="AN348" s="454"/>
      <c r="AY348" s="454"/>
      <c r="AZ348" s="454"/>
      <c r="BA348" s="1306"/>
      <c r="BC348" s="169"/>
    </row>
    <row r="349" spans="19:55">
      <c r="S349" s="454"/>
      <c r="AN349" s="454"/>
      <c r="AY349" s="454"/>
      <c r="AZ349" s="454"/>
      <c r="BA349" s="1306"/>
      <c r="BC349" s="169"/>
    </row>
    <row r="350" spans="19:55">
      <c r="S350" s="454"/>
      <c r="AN350" s="454"/>
      <c r="AY350" s="454"/>
      <c r="AZ350" s="454"/>
      <c r="BA350" s="1306"/>
      <c r="BC350" s="169"/>
    </row>
    <row r="351" spans="19:55">
      <c r="S351" s="454"/>
      <c r="AN351" s="454"/>
      <c r="AY351" s="454"/>
      <c r="AZ351" s="454"/>
      <c r="BA351" s="1306"/>
      <c r="BC351" s="169"/>
    </row>
    <row r="352" spans="19:55">
      <c r="S352" s="454"/>
      <c r="AN352" s="454"/>
      <c r="AY352" s="454"/>
      <c r="AZ352" s="454"/>
      <c r="BA352" s="1306"/>
      <c r="BC352" s="169"/>
    </row>
    <row r="353" spans="19:55">
      <c r="S353" s="454"/>
      <c r="AN353" s="454"/>
      <c r="AY353" s="454"/>
      <c r="AZ353" s="454"/>
      <c r="BA353" s="1306"/>
      <c r="BC353" s="169"/>
    </row>
    <row r="354" spans="19:55">
      <c r="S354" s="454"/>
      <c r="AN354" s="454"/>
      <c r="AY354" s="454"/>
      <c r="AZ354" s="454"/>
      <c r="BA354" s="1306"/>
      <c r="BC354" s="169"/>
    </row>
    <row r="355" spans="19:55">
      <c r="S355" s="454"/>
      <c r="AN355" s="454"/>
      <c r="AY355" s="454"/>
      <c r="AZ355" s="454"/>
      <c r="BA355" s="1306"/>
      <c r="BC355" s="169"/>
    </row>
    <row r="356" spans="19:55">
      <c r="S356" s="454"/>
      <c r="AN356" s="454"/>
      <c r="AY356" s="454"/>
      <c r="AZ356" s="454"/>
      <c r="BA356" s="1306"/>
      <c r="BC356" s="169"/>
    </row>
    <row r="357" spans="19:55">
      <c r="S357" s="454"/>
      <c r="AN357" s="454"/>
      <c r="AY357" s="454"/>
      <c r="AZ357" s="454"/>
      <c r="BA357" s="1306"/>
      <c r="BC357" s="169"/>
    </row>
    <row r="358" spans="19:55">
      <c r="S358" s="454"/>
      <c r="AN358" s="454"/>
      <c r="AY358" s="454"/>
      <c r="AZ358" s="454"/>
      <c r="BA358" s="1306"/>
      <c r="BC358" s="169"/>
    </row>
    <row r="359" spans="19:55">
      <c r="S359" s="454"/>
      <c r="AN359" s="454"/>
      <c r="AY359" s="454"/>
      <c r="AZ359" s="454"/>
      <c r="BA359" s="1306"/>
      <c r="BC359" s="169"/>
    </row>
    <row r="360" spans="19:55">
      <c r="S360" s="454"/>
      <c r="AN360" s="454"/>
      <c r="AY360" s="454"/>
      <c r="AZ360" s="454"/>
      <c r="BA360" s="1306"/>
      <c r="BC360" s="169"/>
    </row>
    <row r="361" spans="19:55">
      <c r="S361" s="454"/>
      <c r="AN361" s="454"/>
      <c r="AY361" s="454"/>
      <c r="AZ361" s="454"/>
      <c r="BA361" s="1306"/>
      <c r="BC361" s="169"/>
    </row>
    <row r="362" spans="19:55">
      <c r="S362" s="454"/>
      <c r="AN362" s="454"/>
      <c r="AY362" s="454"/>
      <c r="AZ362" s="454"/>
      <c r="BA362" s="1306"/>
      <c r="BC362" s="169"/>
    </row>
    <row r="363" spans="19:55">
      <c r="S363" s="454"/>
      <c r="AN363" s="454"/>
      <c r="AY363" s="454"/>
      <c r="AZ363" s="454"/>
      <c r="BA363" s="1306"/>
      <c r="BC363" s="169"/>
    </row>
    <row r="364" spans="19:55">
      <c r="S364" s="454"/>
      <c r="AN364" s="454"/>
      <c r="AY364" s="454"/>
      <c r="AZ364" s="454"/>
      <c r="BA364" s="1306"/>
      <c r="BC364" s="169"/>
    </row>
    <row r="365" spans="19:55">
      <c r="S365" s="454"/>
      <c r="AN365" s="454"/>
      <c r="AY365" s="454"/>
      <c r="AZ365" s="454"/>
      <c r="BA365" s="1306"/>
      <c r="BC365" s="169"/>
    </row>
    <row r="366" spans="19:55">
      <c r="S366" s="454"/>
      <c r="AN366" s="454"/>
      <c r="AY366" s="454"/>
      <c r="AZ366" s="454"/>
      <c r="BA366" s="1306"/>
      <c r="BC366" s="169"/>
    </row>
    <row r="367" spans="19:55">
      <c r="S367" s="454"/>
      <c r="AN367" s="454"/>
      <c r="AY367" s="454"/>
      <c r="AZ367" s="454"/>
      <c r="BA367" s="1306"/>
      <c r="BC367" s="169"/>
    </row>
    <row r="368" spans="19:55">
      <c r="S368" s="454"/>
      <c r="AN368" s="454"/>
      <c r="AY368" s="454"/>
      <c r="AZ368" s="454"/>
      <c r="BA368" s="1306"/>
      <c r="BC368" s="169"/>
    </row>
    <row r="369" spans="19:55">
      <c r="S369" s="454"/>
      <c r="AN369" s="454"/>
      <c r="AY369" s="454"/>
      <c r="AZ369" s="454"/>
      <c r="BA369" s="1306"/>
      <c r="BC369" s="169"/>
    </row>
    <row r="370" spans="19:55">
      <c r="S370" s="454"/>
      <c r="AN370" s="454"/>
      <c r="AY370" s="454"/>
      <c r="AZ370" s="454"/>
      <c r="BA370" s="1306"/>
      <c r="BC370" s="169"/>
    </row>
    <row r="371" spans="19:55">
      <c r="S371" s="454"/>
      <c r="AN371" s="454"/>
      <c r="AY371" s="454"/>
      <c r="AZ371" s="454"/>
      <c r="BA371" s="1306"/>
      <c r="BC371" s="169"/>
    </row>
    <row r="372" spans="19:55">
      <c r="S372" s="454"/>
      <c r="AN372" s="454"/>
      <c r="AY372" s="454"/>
      <c r="AZ372" s="454"/>
      <c r="BA372" s="1306"/>
      <c r="BC372" s="169"/>
    </row>
    <row r="373" spans="19:55">
      <c r="S373" s="454"/>
      <c r="AN373" s="454"/>
      <c r="AY373" s="454"/>
      <c r="AZ373" s="454"/>
      <c r="BA373" s="1306"/>
      <c r="BC373" s="169"/>
    </row>
    <row r="374" spans="19:55">
      <c r="S374" s="454"/>
      <c r="AN374" s="454"/>
      <c r="AY374" s="454"/>
      <c r="AZ374" s="454"/>
      <c r="BA374" s="1306"/>
      <c r="BC374" s="169"/>
    </row>
    <row r="375" spans="19:55">
      <c r="S375" s="454"/>
      <c r="AN375" s="454"/>
      <c r="AY375" s="454"/>
      <c r="AZ375" s="454"/>
      <c r="BA375" s="1306"/>
      <c r="BC375" s="169"/>
    </row>
    <row r="376" spans="19:55">
      <c r="S376" s="454"/>
      <c r="AN376" s="454"/>
      <c r="AY376" s="454"/>
      <c r="AZ376" s="454"/>
      <c r="BA376" s="1306"/>
      <c r="BC376" s="169"/>
    </row>
    <row r="377" spans="19:55">
      <c r="S377" s="454"/>
      <c r="AN377" s="454"/>
      <c r="AY377" s="454"/>
      <c r="AZ377" s="454"/>
      <c r="BA377" s="1306"/>
      <c r="BC377" s="169"/>
    </row>
    <row r="378" spans="19:55">
      <c r="S378" s="454"/>
      <c r="AN378" s="454"/>
      <c r="AY378" s="454"/>
      <c r="AZ378" s="454"/>
      <c r="BA378" s="1306"/>
      <c r="BC378" s="169"/>
    </row>
    <row r="379" spans="19:55">
      <c r="S379" s="454"/>
      <c r="AN379" s="454"/>
      <c r="AY379" s="454"/>
      <c r="AZ379" s="454"/>
      <c r="BA379" s="1306"/>
      <c r="BC379" s="169"/>
    </row>
    <row r="380" spans="19:55">
      <c r="S380" s="454"/>
      <c r="AN380" s="454"/>
      <c r="AY380" s="454"/>
      <c r="AZ380" s="454"/>
      <c r="BA380" s="1306"/>
      <c r="BC380" s="169"/>
    </row>
    <row r="381" spans="19:55">
      <c r="S381" s="454"/>
      <c r="AN381" s="454"/>
      <c r="AY381" s="454"/>
      <c r="AZ381" s="454"/>
      <c r="BA381" s="1306"/>
      <c r="BC381" s="169"/>
    </row>
    <row r="382" spans="19:55">
      <c r="S382" s="454"/>
      <c r="AN382" s="454"/>
      <c r="AY382" s="454"/>
      <c r="AZ382" s="454"/>
      <c r="BA382" s="1306"/>
      <c r="BC382" s="169"/>
    </row>
    <row r="383" spans="19:55">
      <c r="S383" s="454"/>
      <c r="AN383" s="454"/>
      <c r="AY383" s="454"/>
      <c r="AZ383" s="454"/>
      <c r="BA383" s="1306"/>
      <c r="BC383" s="169"/>
    </row>
    <row r="384" spans="19:55">
      <c r="S384" s="454"/>
      <c r="AN384" s="454"/>
      <c r="AY384" s="454"/>
      <c r="AZ384" s="454"/>
      <c r="BA384" s="1306"/>
      <c r="BC384" s="169"/>
    </row>
    <row r="385" spans="19:55">
      <c r="S385" s="454"/>
      <c r="AN385" s="454"/>
      <c r="AY385" s="454"/>
      <c r="AZ385" s="454"/>
      <c r="BA385" s="1306"/>
      <c r="BC385" s="169"/>
    </row>
    <row r="386" spans="19:55">
      <c r="S386" s="454"/>
      <c r="AN386" s="454"/>
      <c r="AY386" s="454"/>
      <c r="AZ386" s="454"/>
      <c r="BA386" s="1306"/>
      <c r="BC386" s="169"/>
    </row>
    <row r="387" spans="19:55">
      <c r="S387" s="454"/>
      <c r="AN387" s="454"/>
      <c r="AY387" s="454"/>
      <c r="AZ387" s="454"/>
      <c r="BA387" s="1306"/>
      <c r="BC387" s="169"/>
    </row>
    <row r="388" spans="19:55">
      <c r="S388" s="454"/>
      <c r="AN388" s="454"/>
      <c r="AY388" s="454"/>
      <c r="AZ388" s="454"/>
      <c r="BA388" s="1306"/>
      <c r="BC388" s="169"/>
    </row>
    <row r="389" spans="19:55">
      <c r="S389" s="454"/>
      <c r="AN389" s="454"/>
      <c r="AY389" s="454"/>
      <c r="AZ389" s="454"/>
      <c r="BA389" s="1306"/>
      <c r="BC389" s="169"/>
    </row>
    <row r="390" spans="19:55">
      <c r="S390" s="454"/>
      <c r="AN390" s="454"/>
      <c r="AY390" s="454"/>
      <c r="AZ390" s="454"/>
      <c r="BA390" s="1306"/>
      <c r="BC390" s="169"/>
    </row>
    <row r="391" spans="19:55">
      <c r="S391" s="454"/>
      <c r="AN391" s="454"/>
      <c r="AY391" s="454"/>
      <c r="AZ391" s="454"/>
      <c r="BA391" s="1306"/>
      <c r="BC391" s="169"/>
    </row>
    <row r="392" spans="19:55">
      <c r="S392" s="454"/>
      <c r="AN392" s="454"/>
      <c r="AY392" s="454"/>
      <c r="AZ392" s="454"/>
      <c r="BA392" s="1306"/>
      <c r="BC392" s="169"/>
    </row>
    <row r="393" spans="19:55">
      <c r="S393" s="454"/>
      <c r="AN393" s="454"/>
      <c r="AY393" s="454"/>
      <c r="AZ393" s="454"/>
      <c r="BA393" s="1306"/>
      <c r="BC393" s="169"/>
    </row>
    <row r="394" spans="19:55">
      <c r="S394" s="454"/>
      <c r="AN394" s="454"/>
      <c r="AY394" s="454"/>
      <c r="AZ394" s="454"/>
      <c r="BA394" s="1306"/>
      <c r="BC394" s="169"/>
    </row>
    <row r="395" spans="19:55">
      <c r="S395" s="454"/>
      <c r="AN395" s="454"/>
      <c r="AY395" s="454"/>
      <c r="AZ395" s="454"/>
      <c r="BA395" s="1306"/>
      <c r="BC395" s="169"/>
    </row>
    <row r="396" spans="19:55">
      <c r="S396" s="454"/>
      <c r="AN396" s="454"/>
      <c r="AY396" s="454"/>
      <c r="AZ396" s="454"/>
      <c r="BA396" s="1306"/>
      <c r="BC396" s="169"/>
    </row>
    <row r="397" spans="19:55">
      <c r="S397" s="454"/>
      <c r="AN397" s="454"/>
      <c r="AY397" s="454"/>
      <c r="AZ397" s="454"/>
      <c r="BA397" s="1306"/>
      <c r="BC397" s="169"/>
    </row>
    <row r="398" spans="19:55">
      <c r="S398" s="454"/>
      <c r="AN398" s="454"/>
      <c r="AY398" s="454"/>
      <c r="AZ398" s="454"/>
      <c r="BA398" s="1306"/>
      <c r="BC398" s="169"/>
    </row>
    <row r="399" spans="19:55">
      <c r="S399" s="454"/>
      <c r="AN399" s="454"/>
      <c r="AY399" s="454"/>
      <c r="AZ399" s="454"/>
      <c r="BA399" s="1306"/>
      <c r="BC399" s="169"/>
    </row>
    <row r="400" spans="19:55">
      <c r="S400" s="454"/>
      <c r="AN400" s="454"/>
      <c r="AY400" s="454"/>
      <c r="AZ400" s="454"/>
      <c r="BA400" s="1306"/>
      <c r="BC400" s="169"/>
    </row>
    <row r="401" spans="19:55">
      <c r="S401" s="454"/>
      <c r="AN401" s="454"/>
      <c r="AY401" s="454"/>
      <c r="AZ401" s="454"/>
      <c r="BA401" s="1306"/>
      <c r="BC401" s="169"/>
    </row>
    <row r="402" spans="19:55">
      <c r="S402" s="454"/>
      <c r="AN402" s="454"/>
      <c r="AY402" s="454"/>
      <c r="AZ402" s="454"/>
      <c r="BA402" s="1306"/>
      <c r="BC402" s="169"/>
    </row>
    <row r="403" spans="19:55">
      <c r="S403" s="454"/>
      <c r="AN403" s="454"/>
      <c r="AY403" s="454"/>
      <c r="AZ403" s="454"/>
      <c r="BA403" s="1306"/>
      <c r="BC403" s="169"/>
    </row>
    <row r="404" spans="19:55">
      <c r="S404" s="454"/>
      <c r="AN404" s="454"/>
      <c r="AY404" s="454"/>
      <c r="AZ404" s="454"/>
      <c r="BA404" s="1306"/>
      <c r="BC404" s="169"/>
    </row>
    <row r="405" spans="19:55">
      <c r="S405" s="454"/>
      <c r="AN405" s="454"/>
      <c r="AY405" s="454"/>
      <c r="AZ405" s="454"/>
      <c r="BA405" s="1306"/>
      <c r="BC405" s="169"/>
    </row>
    <row r="406" spans="19:55">
      <c r="S406" s="454"/>
      <c r="AN406" s="454"/>
      <c r="AY406" s="454"/>
      <c r="AZ406" s="454"/>
      <c r="BA406" s="1306"/>
      <c r="BC406" s="169"/>
    </row>
    <row r="407" spans="19:55">
      <c r="S407" s="454"/>
      <c r="AN407" s="454"/>
      <c r="AY407" s="454"/>
      <c r="AZ407" s="454"/>
      <c r="BA407" s="1306"/>
      <c r="BC407" s="169"/>
    </row>
    <row r="408" spans="19:55">
      <c r="S408" s="454"/>
      <c r="AN408" s="454"/>
      <c r="AY408" s="454"/>
      <c r="AZ408" s="454"/>
      <c r="BA408" s="1306"/>
      <c r="BC408" s="169"/>
    </row>
    <row r="409" spans="19:55">
      <c r="S409" s="454"/>
      <c r="AN409" s="454"/>
      <c r="AY409" s="454"/>
      <c r="AZ409" s="454"/>
      <c r="BA409" s="1306"/>
      <c r="BC409" s="169"/>
    </row>
    <row r="410" spans="19:55">
      <c r="S410" s="454"/>
      <c r="AN410" s="454"/>
      <c r="AY410" s="454"/>
      <c r="AZ410" s="454"/>
      <c r="BA410" s="1306"/>
      <c r="BC410" s="169"/>
    </row>
    <row r="411" spans="19:55">
      <c r="S411" s="454"/>
      <c r="AN411" s="454"/>
      <c r="AY411" s="454"/>
      <c r="AZ411" s="454"/>
      <c r="BA411" s="1306"/>
      <c r="BC411" s="169"/>
    </row>
    <row r="412" spans="19:55">
      <c r="S412" s="454"/>
      <c r="AN412" s="454"/>
      <c r="AY412" s="454"/>
      <c r="AZ412" s="454"/>
      <c r="BA412" s="1306"/>
      <c r="BC412" s="169"/>
    </row>
    <row r="413" spans="19:55">
      <c r="S413" s="454"/>
      <c r="AN413" s="454"/>
      <c r="AY413" s="454"/>
      <c r="AZ413" s="454"/>
      <c r="BA413" s="1306"/>
      <c r="BC413" s="169"/>
    </row>
    <row r="414" spans="19:55">
      <c r="S414" s="454"/>
      <c r="AN414" s="454"/>
      <c r="AY414" s="454"/>
      <c r="AZ414" s="454"/>
      <c r="BA414" s="1306"/>
      <c r="BC414" s="169"/>
    </row>
    <row r="415" spans="19:55">
      <c r="S415" s="454"/>
      <c r="AN415" s="454"/>
      <c r="AY415" s="454"/>
      <c r="AZ415" s="454"/>
      <c r="BA415" s="1306"/>
      <c r="BC415" s="169"/>
    </row>
    <row r="416" spans="19:55">
      <c r="S416" s="454"/>
      <c r="AN416" s="454"/>
      <c r="AY416" s="454"/>
      <c r="AZ416" s="454"/>
      <c r="BA416" s="1306"/>
      <c r="BC416" s="169"/>
    </row>
    <row r="417" spans="19:55">
      <c r="S417" s="454"/>
      <c r="AN417" s="454"/>
      <c r="AY417" s="454"/>
      <c r="AZ417" s="454"/>
      <c r="BA417" s="1306"/>
      <c r="BC417" s="169"/>
    </row>
    <row r="418" spans="19:55">
      <c r="S418" s="454"/>
      <c r="AN418" s="454"/>
      <c r="AY418" s="454"/>
      <c r="AZ418" s="454"/>
      <c r="BA418" s="1306"/>
      <c r="BC418" s="169"/>
    </row>
    <row r="419" spans="19:55">
      <c r="S419" s="454"/>
      <c r="AN419" s="454"/>
      <c r="AY419" s="454"/>
      <c r="AZ419" s="454"/>
      <c r="BA419" s="1306"/>
      <c r="BC419" s="169"/>
    </row>
    <row r="420" spans="19:55">
      <c r="S420" s="454"/>
      <c r="AN420" s="454"/>
      <c r="AY420" s="454"/>
      <c r="AZ420" s="454"/>
      <c r="BA420" s="1306"/>
      <c r="BC420" s="169"/>
    </row>
    <row r="421" spans="19:55">
      <c r="S421" s="454"/>
      <c r="AN421" s="454"/>
      <c r="AY421" s="454"/>
      <c r="AZ421" s="454"/>
      <c r="BA421" s="1306"/>
      <c r="BC421" s="169"/>
    </row>
    <row r="422" spans="19:55">
      <c r="S422" s="454"/>
      <c r="AN422" s="454"/>
      <c r="AY422" s="454"/>
      <c r="AZ422" s="454"/>
      <c r="BA422" s="1306"/>
      <c r="BC422" s="169"/>
    </row>
    <row r="423" spans="19:55">
      <c r="S423" s="454"/>
      <c r="AN423" s="454"/>
      <c r="AY423" s="454"/>
      <c r="AZ423" s="454"/>
      <c r="BA423" s="1306"/>
      <c r="BC423" s="169"/>
    </row>
    <row r="424" spans="19:55">
      <c r="S424" s="454"/>
      <c r="AN424" s="454"/>
      <c r="AY424" s="454"/>
      <c r="AZ424" s="454"/>
      <c r="BA424" s="1306"/>
      <c r="BC424" s="169"/>
    </row>
    <row r="425" spans="19:55">
      <c r="S425" s="454"/>
      <c r="AN425" s="454"/>
      <c r="AY425" s="454"/>
      <c r="AZ425" s="454"/>
      <c r="BA425" s="1306"/>
      <c r="BC425" s="169"/>
    </row>
    <row r="426" spans="19:55">
      <c r="S426" s="454"/>
      <c r="AN426" s="454"/>
      <c r="AY426" s="454"/>
      <c r="AZ426" s="454"/>
      <c r="BA426" s="1306"/>
      <c r="BC426" s="169"/>
    </row>
    <row r="427" spans="19:55">
      <c r="S427" s="454"/>
      <c r="AN427" s="454"/>
      <c r="AY427" s="454"/>
      <c r="AZ427" s="454"/>
      <c r="BA427" s="1306"/>
      <c r="BC427" s="169"/>
    </row>
    <row r="428" spans="19:55">
      <c r="S428" s="454"/>
      <c r="AN428" s="454"/>
      <c r="AY428" s="454"/>
      <c r="AZ428" s="454"/>
      <c r="BA428" s="1306"/>
      <c r="BC428" s="169"/>
    </row>
    <row r="429" spans="19:55">
      <c r="S429" s="454"/>
      <c r="AN429" s="454"/>
      <c r="AY429" s="454"/>
      <c r="AZ429" s="454"/>
      <c r="BA429" s="1306"/>
      <c r="BC429" s="169"/>
    </row>
    <row r="430" spans="19:55">
      <c r="S430" s="454"/>
      <c r="AN430" s="454"/>
      <c r="AY430" s="454"/>
      <c r="AZ430" s="454"/>
      <c r="BA430" s="1306"/>
      <c r="BC430" s="169"/>
    </row>
    <row r="431" spans="19:55">
      <c r="S431" s="454"/>
      <c r="AN431" s="454"/>
      <c r="AY431" s="454"/>
      <c r="AZ431" s="454"/>
      <c r="BA431" s="1306"/>
      <c r="BC431" s="169"/>
    </row>
    <row r="432" spans="19:55">
      <c r="S432" s="454"/>
      <c r="AN432" s="454"/>
      <c r="AY432" s="454"/>
      <c r="AZ432" s="454"/>
      <c r="BA432" s="1306"/>
      <c r="BC432" s="169"/>
    </row>
    <row r="433" spans="19:55">
      <c r="S433" s="454"/>
      <c r="AN433" s="454"/>
      <c r="AY433" s="454"/>
      <c r="AZ433" s="454"/>
      <c r="BA433" s="1306"/>
      <c r="BC433" s="169"/>
    </row>
    <row r="434" spans="19:55">
      <c r="S434" s="454"/>
      <c r="AN434" s="454"/>
      <c r="AY434" s="454"/>
      <c r="AZ434" s="454"/>
      <c r="BA434" s="1306"/>
      <c r="BC434" s="169"/>
    </row>
    <row r="435" spans="19:55">
      <c r="S435" s="454"/>
      <c r="AN435" s="454"/>
      <c r="AY435" s="454"/>
      <c r="AZ435" s="454"/>
      <c r="BA435" s="1306"/>
      <c r="BC435" s="169"/>
    </row>
    <row r="436" spans="19:55">
      <c r="S436" s="454"/>
      <c r="AN436" s="454"/>
      <c r="AY436" s="454"/>
      <c r="AZ436" s="454"/>
      <c r="BA436" s="1306"/>
      <c r="BC436" s="169"/>
    </row>
    <row r="437" spans="19:55">
      <c r="S437" s="454"/>
      <c r="AN437" s="454"/>
      <c r="AY437" s="454"/>
      <c r="AZ437" s="454"/>
      <c r="BA437" s="1306"/>
      <c r="BC437" s="169"/>
    </row>
    <row r="438" spans="19:55">
      <c r="S438" s="454"/>
      <c r="AN438" s="454"/>
      <c r="AY438" s="454"/>
      <c r="AZ438" s="454"/>
      <c r="BA438" s="1306"/>
      <c r="BC438" s="169"/>
    </row>
    <row r="439" spans="19:55">
      <c r="S439" s="454"/>
      <c r="AN439" s="454"/>
      <c r="AY439" s="454"/>
      <c r="AZ439" s="454"/>
      <c r="BA439" s="1306"/>
      <c r="BC439" s="169"/>
    </row>
    <row r="440" spans="19:55">
      <c r="S440" s="454"/>
      <c r="AN440" s="454"/>
      <c r="AY440" s="454"/>
      <c r="AZ440" s="454"/>
      <c r="BA440" s="1306"/>
      <c r="BC440" s="169"/>
    </row>
    <row r="441" spans="19:55">
      <c r="S441" s="454"/>
      <c r="AN441" s="454"/>
      <c r="AY441" s="454"/>
      <c r="AZ441" s="454"/>
      <c r="BA441" s="1306"/>
      <c r="BC441" s="169"/>
    </row>
    <row r="442" spans="19:55">
      <c r="S442" s="454"/>
      <c r="AN442" s="454"/>
      <c r="AY442" s="454"/>
      <c r="AZ442" s="454"/>
      <c r="BA442" s="1306"/>
      <c r="BC442" s="169"/>
    </row>
    <row r="443" spans="19:55">
      <c r="S443" s="454"/>
      <c r="AN443" s="454"/>
      <c r="AY443" s="454"/>
      <c r="AZ443" s="454"/>
      <c r="BA443" s="1306"/>
      <c r="BC443" s="169"/>
    </row>
    <row r="444" spans="19:55">
      <c r="S444" s="454"/>
      <c r="AN444" s="454"/>
      <c r="AY444" s="454"/>
      <c r="AZ444" s="454"/>
      <c r="BA444" s="1306"/>
      <c r="BC444" s="169"/>
    </row>
    <row r="445" spans="19:55">
      <c r="S445" s="454"/>
      <c r="AN445" s="454"/>
      <c r="AY445" s="454"/>
      <c r="AZ445" s="454"/>
      <c r="BA445" s="1306"/>
      <c r="BC445" s="169"/>
    </row>
    <row r="446" spans="19:55">
      <c r="S446" s="454"/>
      <c r="AN446" s="454"/>
      <c r="AY446" s="454"/>
      <c r="AZ446" s="454"/>
      <c r="BA446" s="1306"/>
      <c r="BC446" s="169"/>
    </row>
    <row r="447" spans="19:55">
      <c r="S447" s="454"/>
      <c r="AN447" s="454"/>
      <c r="AY447" s="454"/>
      <c r="AZ447" s="454"/>
      <c r="BA447" s="1306"/>
      <c r="BC447" s="169"/>
    </row>
    <row r="448" spans="19:55">
      <c r="S448" s="454"/>
      <c r="AN448" s="454"/>
      <c r="AY448" s="454"/>
      <c r="AZ448" s="454"/>
      <c r="BA448" s="1306"/>
      <c r="BC448" s="169"/>
    </row>
    <row r="449" spans="19:55">
      <c r="S449" s="454"/>
      <c r="AN449" s="454"/>
      <c r="AY449" s="454"/>
      <c r="AZ449" s="454"/>
      <c r="BA449" s="1306"/>
      <c r="BC449" s="169"/>
    </row>
    <row r="450" spans="19:55">
      <c r="S450" s="454"/>
      <c r="AN450" s="454"/>
      <c r="AY450" s="454"/>
      <c r="AZ450" s="454"/>
      <c r="BA450" s="1306"/>
      <c r="BC450" s="169"/>
    </row>
    <row r="451" spans="19:55">
      <c r="S451" s="454"/>
      <c r="AN451" s="454"/>
      <c r="AY451" s="454"/>
      <c r="AZ451" s="454"/>
      <c r="BA451" s="1306"/>
      <c r="BC451" s="169"/>
    </row>
    <row r="452" spans="19:55">
      <c r="S452" s="454"/>
      <c r="AN452" s="454"/>
      <c r="AY452" s="454"/>
      <c r="AZ452" s="454"/>
      <c r="BA452" s="1306"/>
      <c r="BC452" s="169"/>
    </row>
    <row r="453" spans="19:55">
      <c r="S453" s="454"/>
      <c r="AN453" s="454"/>
      <c r="AY453" s="454"/>
      <c r="AZ453" s="454"/>
      <c r="BA453" s="1306"/>
      <c r="BC453" s="169"/>
    </row>
    <row r="454" spans="19:55">
      <c r="S454" s="454"/>
      <c r="AN454" s="454"/>
      <c r="AY454" s="454"/>
      <c r="AZ454" s="454"/>
      <c r="BA454" s="1306"/>
      <c r="BC454" s="169"/>
    </row>
    <row r="455" spans="19:55">
      <c r="S455" s="454"/>
      <c r="AN455" s="454"/>
      <c r="AY455" s="454"/>
      <c r="AZ455" s="454"/>
      <c r="BA455" s="1306"/>
      <c r="BC455" s="169"/>
    </row>
    <row r="456" spans="19:55">
      <c r="S456" s="454"/>
      <c r="AN456" s="454"/>
      <c r="AY456" s="454"/>
      <c r="AZ456" s="454"/>
      <c r="BA456" s="1306"/>
      <c r="BC456" s="169"/>
    </row>
    <row r="457" spans="19:55">
      <c r="S457" s="454"/>
      <c r="AN457" s="454"/>
      <c r="AY457" s="454"/>
      <c r="AZ457" s="454"/>
      <c r="BA457" s="1306"/>
      <c r="BC457" s="169"/>
    </row>
    <row r="458" spans="19:55">
      <c r="S458" s="454"/>
      <c r="AN458" s="454"/>
      <c r="AY458" s="454"/>
      <c r="AZ458" s="454"/>
      <c r="BA458" s="1306"/>
      <c r="BC458" s="169"/>
    </row>
    <row r="459" spans="19:55">
      <c r="S459" s="454"/>
      <c r="AN459" s="454"/>
      <c r="AY459" s="454"/>
      <c r="AZ459" s="454"/>
      <c r="BA459" s="1306"/>
      <c r="BC459" s="169"/>
    </row>
    <row r="460" spans="19:55">
      <c r="S460" s="454"/>
      <c r="AN460" s="454"/>
      <c r="AY460" s="454"/>
      <c r="AZ460" s="454"/>
      <c r="BA460" s="1306"/>
      <c r="BC460" s="169"/>
    </row>
    <row r="461" spans="19:55">
      <c r="S461" s="454"/>
      <c r="AN461" s="454"/>
      <c r="AY461" s="454"/>
      <c r="AZ461" s="454"/>
      <c r="BA461" s="1306"/>
      <c r="BC461" s="169"/>
    </row>
    <row r="462" spans="19:55">
      <c r="S462" s="454"/>
      <c r="AN462" s="454"/>
      <c r="AY462" s="454"/>
      <c r="AZ462" s="454"/>
      <c r="BA462" s="1306"/>
      <c r="BC462" s="169"/>
    </row>
    <row r="463" spans="19:55">
      <c r="S463" s="454"/>
      <c r="AN463" s="454"/>
      <c r="AY463" s="454"/>
      <c r="AZ463" s="454"/>
      <c r="BA463" s="1306"/>
      <c r="BC463" s="169"/>
    </row>
    <row r="464" spans="19:55">
      <c r="S464" s="454"/>
      <c r="AN464" s="454"/>
      <c r="AY464" s="454"/>
      <c r="AZ464" s="454"/>
      <c r="BA464" s="1306"/>
      <c r="BC464" s="169"/>
    </row>
    <row r="465" spans="19:55">
      <c r="S465" s="454"/>
      <c r="AN465" s="454"/>
      <c r="AY465" s="454"/>
      <c r="AZ465" s="454"/>
      <c r="BA465" s="1306"/>
      <c r="BC465" s="169"/>
    </row>
    <row r="466" spans="19:55">
      <c r="S466" s="454"/>
      <c r="AN466" s="454"/>
      <c r="AY466" s="454"/>
      <c r="AZ466" s="454"/>
      <c r="BA466" s="1306"/>
      <c r="BC466" s="169"/>
    </row>
    <row r="467" spans="19:55">
      <c r="S467" s="454"/>
      <c r="AN467" s="454"/>
      <c r="AY467" s="454"/>
      <c r="AZ467" s="454"/>
      <c r="BA467" s="1306"/>
      <c r="BC467" s="169"/>
    </row>
    <row r="468" spans="19:55">
      <c r="S468" s="454"/>
      <c r="AN468" s="454"/>
      <c r="AY468" s="454"/>
      <c r="AZ468" s="454"/>
      <c r="BA468" s="1306"/>
      <c r="BC468" s="169"/>
    </row>
    <row r="469" spans="19:55">
      <c r="S469" s="454"/>
      <c r="AN469" s="454"/>
      <c r="AY469" s="454"/>
      <c r="AZ469" s="454"/>
      <c r="BA469" s="1306"/>
      <c r="BC469" s="169"/>
    </row>
    <row r="470" spans="19:55">
      <c r="S470" s="454"/>
      <c r="AN470" s="454"/>
      <c r="AY470" s="454"/>
      <c r="AZ470" s="454"/>
      <c r="BA470" s="1306"/>
      <c r="BC470" s="169"/>
    </row>
    <row r="471" spans="19:55">
      <c r="S471" s="454"/>
      <c r="AN471" s="454"/>
      <c r="AY471" s="454"/>
      <c r="AZ471" s="454"/>
      <c r="BA471" s="1306"/>
      <c r="BC471" s="169"/>
    </row>
    <row r="472" spans="19:55">
      <c r="S472" s="454"/>
      <c r="AN472" s="454"/>
      <c r="AY472" s="454"/>
      <c r="AZ472" s="454"/>
      <c r="BA472" s="1306"/>
      <c r="BC472" s="169"/>
    </row>
    <row r="473" spans="19:55">
      <c r="S473" s="454"/>
      <c r="AN473" s="454"/>
      <c r="AY473" s="454"/>
      <c r="AZ473" s="454"/>
      <c r="BA473" s="1306"/>
      <c r="BC473" s="169"/>
    </row>
    <row r="474" spans="19:55">
      <c r="S474" s="454"/>
      <c r="AN474" s="454"/>
      <c r="AY474" s="454"/>
      <c r="AZ474" s="454"/>
      <c r="BA474" s="1306"/>
      <c r="BC474" s="169"/>
    </row>
    <row r="475" spans="19:55">
      <c r="S475" s="454"/>
      <c r="AN475" s="454"/>
      <c r="AY475" s="454"/>
      <c r="AZ475" s="454"/>
      <c r="BA475" s="1306"/>
      <c r="BC475" s="169"/>
    </row>
    <row r="476" spans="19:55">
      <c r="S476" s="454"/>
      <c r="AN476" s="454"/>
      <c r="AY476" s="454"/>
      <c r="AZ476" s="454"/>
      <c r="BA476" s="1306"/>
      <c r="BC476" s="169"/>
    </row>
    <row r="477" spans="19:55">
      <c r="S477" s="454"/>
      <c r="AN477" s="454"/>
      <c r="AY477" s="454"/>
      <c r="AZ477" s="454"/>
      <c r="BA477" s="1306"/>
      <c r="BC477" s="169"/>
    </row>
    <row r="478" spans="19:55">
      <c r="S478" s="454"/>
      <c r="AN478" s="454"/>
      <c r="AY478" s="454"/>
      <c r="AZ478" s="454"/>
      <c r="BA478" s="1306"/>
      <c r="BC478" s="169"/>
    </row>
    <row r="479" spans="19:55">
      <c r="S479" s="454"/>
      <c r="AN479" s="454"/>
      <c r="AY479" s="454"/>
      <c r="AZ479" s="454"/>
      <c r="BA479" s="1306"/>
      <c r="BC479" s="169"/>
    </row>
    <row r="480" spans="19:55">
      <c r="S480" s="454"/>
      <c r="AN480" s="454"/>
      <c r="AY480" s="454"/>
      <c r="AZ480" s="454"/>
      <c r="BA480" s="1306"/>
      <c r="BC480" s="169"/>
    </row>
    <row r="481" spans="19:55">
      <c r="S481" s="454"/>
      <c r="AN481" s="454"/>
      <c r="AY481" s="454"/>
      <c r="AZ481" s="454"/>
      <c r="BA481" s="1306"/>
      <c r="BC481" s="169"/>
    </row>
    <row r="482" spans="19:55">
      <c r="S482" s="454"/>
      <c r="AN482" s="454"/>
      <c r="AY482" s="454"/>
      <c r="AZ482" s="454"/>
      <c r="BA482" s="1306"/>
      <c r="BC482" s="169"/>
    </row>
    <row r="483" spans="19:55">
      <c r="S483" s="454"/>
      <c r="AN483" s="454"/>
      <c r="AY483" s="454"/>
      <c r="AZ483" s="454"/>
      <c r="BA483" s="1306"/>
      <c r="BC483" s="169"/>
    </row>
    <row r="484" spans="19:55">
      <c r="S484" s="454"/>
      <c r="AN484" s="454"/>
      <c r="AY484" s="454"/>
      <c r="AZ484" s="454"/>
      <c r="BA484" s="1306"/>
      <c r="BC484" s="169"/>
    </row>
    <row r="485" spans="19:55">
      <c r="S485" s="454"/>
      <c r="AN485" s="454"/>
      <c r="AY485" s="454"/>
      <c r="AZ485" s="454"/>
      <c r="BA485" s="1306"/>
      <c r="BC485" s="169"/>
    </row>
    <row r="486" spans="19:55">
      <c r="S486" s="454"/>
      <c r="AN486" s="454"/>
      <c r="AY486" s="454"/>
      <c r="AZ486" s="454"/>
      <c r="BA486" s="1306"/>
      <c r="BC486" s="169"/>
    </row>
    <row r="487" spans="19:55">
      <c r="S487" s="454"/>
      <c r="AN487" s="454"/>
      <c r="AY487" s="454"/>
      <c r="AZ487" s="454"/>
      <c r="BA487" s="1306"/>
      <c r="BC487" s="169"/>
    </row>
    <row r="488" spans="19:55">
      <c r="S488" s="454"/>
      <c r="AN488" s="454"/>
      <c r="AY488" s="454"/>
      <c r="AZ488" s="454"/>
      <c r="BA488" s="1306"/>
      <c r="BC488" s="169"/>
    </row>
    <row r="489" spans="19:55">
      <c r="S489" s="454"/>
      <c r="AN489" s="454"/>
      <c r="AY489" s="454"/>
      <c r="AZ489" s="454"/>
      <c r="BA489" s="1306"/>
      <c r="BC489" s="169"/>
    </row>
    <row r="490" spans="19:55">
      <c r="S490" s="454"/>
      <c r="AN490" s="454"/>
      <c r="AY490" s="454"/>
      <c r="AZ490" s="454"/>
      <c r="BA490" s="1306"/>
      <c r="BC490" s="169"/>
    </row>
    <row r="491" spans="19:55">
      <c r="S491" s="454"/>
      <c r="AN491" s="454"/>
      <c r="AY491" s="454"/>
      <c r="AZ491" s="454"/>
      <c r="BA491" s="1306"/>
      <c r="BC491" s="169"/>
    </row>
    <row r="492" spans="19:55">
      <c r="S492" s="454"/>
      <c r="AN492" s="454"/>
      <c r="AY492" s="454"/>
      <c r="AZ492" s="454"/>
      <c r="BA492" s="1306"/>
      <c r="BC492" s="169"/>
    </row>
    <row r="493" spans="19:55">
      <c r="S493" s="454"/>
      <c r="AN493" s="454"/>
      <c r="AY493" s="454"/>
      <c r="AZ493" s="454"/>
      <c r="BA493" s="1306"/>
      <c r="BC493" s="169"/>
    </row>
    <row r="494" spans="19:55">
      <c r="S494" s="454"/>
      <c r="AN494" s="454"/>
      <c r="AY494" s="454"/>
      <c r="AZ494" s="454"/>
      <c r="BA494" s="1306"/>
      <c r="BC494" s="169"/>
    </row>
    <row r="495" spans="19:55">
      <c r="S495" s="454"/>
      <c r="AN495" s="454"/>
      <c r="AY495" s="454"/>
      <c r="AZ495" s="454"/>
      <c r="BA495" s="1306"/>
      <c r="BC495" s="169"/>
    </row>
    <row r="496" spans="19:55">
      <c r="S496" s="454"/>
      <c r="AN496" s="454"/>
      <c r="AY496" s="454"/>
      <c r="AZ496" s="454"/>
      <c r="BA496" s="1306"/>
      <c r="BC496" s="169"/>
    </row>
    <row r="497" spans="19:55">
      <c r="S497" s="454"/>
      <c r="AN497" s="454"/>
      <c r="AY497" s="454"/>
      <c r="AZ497" s="454"/>
      <c r="BA497" s="1306"/>
      <c r="BC497" s="169"/>
    </row>
    <row r="498" spans="19:55">
      <c r="S498" s="454"/>
      <c r="AN498" s="454"/>
      <c r="AY498" s="454"/>
      <c r="AZ498" s="454"/>
      <c r="BA498" s="1306"/>
      <c r="BC498" s="169"/>
    </row>
    <row r="499" spans="19:55">
      <c r="S499" s="454"/>
      <c r="AN499" s="454"/>
      <c r="AY499" s="454"/>
      <c r="AZ499" s="454"/>
      <c r="BA499" s="1306"/>
      <c r="BC499" s="169"/>
    </row>
    <row r="500" spans="19:55">
      <c r="S500" s="454"/>
      <c r="AN500" s="454"/>
      <c r="AY500" s="454"/>
      <c r="AZ500" s="454"/>
      <c r="BA500" s="1306"/>
      <c r="BC500" s="169"/>
    </row>
    <row r="501" spans="19:55">
      <c r="S501" s="454"/>
      <c r="AN501" s="454"/>
      <c r="AY501" s="454"/>
      <c r="AZ501" s="454"/>
      <c r="BA501" s="1306"/>
      <c r="BC501" s="169"/>
    </row>
    <row r="502" spans="19:55">
      <c r="S502" s="454"/>
      <c r="AN502" s="454"/>
      <c r="AY502" s="454"/>
      <c r="AZ502" s="454"/>
      <c r="BA502" s="1306"/>
      <c r="BC502" s="169"/>
    </row>
    <row r="503" spans="19:55">
      <c r="S503" s="454"/>
      <c r="AN503" s="454"/>
      <c r="AY503" s="454"/>
      <c r="AZ503" s="454"/>
      <c r="BA503" s="1306"/>
      <c r="BC503" s="169"/>
    </row>
    <row r="504" spans="19:55">
      <c r="S504" s="454"/>
      <c r="AN504" s="454"/>
      <c r="AY504" s="454"/>
      <c r="AZ504" s="454"/>
      <c r="BA504" s="1306"/>
      <c r="BC504" s="169"/>
    </row>
    <row r="505" spans="19:55">
      <c r="S505" s="454"/>
      <c r="AN505" s="454"/>
      <c r="AY505" s="454"/>
      <c r="AZ505" s="454"/>
      <c r="BA505" s="1306"/>
      <c r="BC505" s="169"/>
    </row>
    <row r="506" spans="19:55">
      <c r="S506" s="454"/>
      <c r="AN506" s="454"/>
      <c r="AY506" s="454"/>
      <c r="AZ506" s="454"/>
      <c r="BA506" s="1306"/>
      <c r="BC506" s="169"/>
    </row>
    <row r="507" spans="19:55">
      <c r="S507" s="454"/>
      <c r="AN507" s="454"/>
      <c r="AY507" s="454"/>
      <c r="AZ507" s="454"/>
      <c r="BA507" s="1306"/>
      <c r="BC507" s="169"/>
    </row>
    <row r="508" spans="19:55">
      <c r="S508" s="454"/>
      <c r="AN508" s="454"/>
      <c r="AY508" s="454"/>
      <c r="AZ508" s="454"/>
      <c r="BA508" s="1306"/>
      <c r="BC508" s="169"/>
    </row>
    <row r="509" spans="19:55">
      <c r="S509" s="454"/>
      <c r="AN509" s="454"/>
      <c r="AY509" s="454"/>
      <c r="AZ509" s="454"/>
      <c r="BA509" s="1306"/>
      <c r="BC509" s="169"/>
    </row>
    <row r="510" spans="19:55">
      <c r="S510" s="454"/>
      <c r="AN510" s="454"/>
      <c r="AY510" s="454"/>
      <c r="AZ510" s="454"/>
      <c r="BA510" s="1306"/>
      <c r="BC510" s="169"/>
    </row>
    <row r="511" spans="19:55">
      <c r="S511" s="454"/>
      <c r="AN511" s="454"/>
      <c r="AY511" s="454"/>
      <c r="AZ511" s="454"/>
      <c r="BA511" s="1306"/>
      <c r="BC511" s="169"/>
    </row>
    <row r="512" spans="19:55">
      <c r="S512" s="454"/>
      <c r="AN512" s="454"/>
      <c r="AY512" s="454"/>
      <c r="AZ512" s="454"/>
      <c r="BA512" s="1306"/>
      <c r="BC512" s="169"/>
    </row>
    <row r="513" spans="19:55">
      <c r="S513" s="454"/>
      <c r="AN513" s="454"/>
      <c r="AY513" s="454"/>
      <c r="AZ513" s="454"/>
      <c r="BA513" s="1306"/>
      <c r="BC513" s="169"/>
    </row>
    <row r="514" spans="19:55">
      <c r="S514" s="454"/>
      <c r="AN514" s="454"/>
      <c r="AY514" s="454"/>
      <c r="AZ514" s="454"/>
      <c r="BA514" s="1306"/>
      <c r="BC514" s="169"/>
    </row>
    <row r="515" spans="19:55">
      <c r="S515" s="454"/>
      <c r="AN515" s="454"/>
      <c r="AY515" s="454"/>
      <c r="AZ515" s="454"/>
      <c r="BA515" s="1306"/>
      <c r="BC515" s="169"/>
    </row>
    <row r="516" spans="19:55">
      <c r="S516" s="454"/>
      <c r="AN516" s="454"/>
      <c r="AY516" s="454"/>
      <c r="AZ516" s="454"/>
      <c r="BA516" s="1306"/>
      <c r="BC516" s="169"/>
    </row>
    <row r="517" spans="19:55">
      <c r="S517" s="454"/>
      <c r="AN517" s="454"/>
      <c r="AY517" s="454"/>
      <c r="AZ517" s="454"/>
      <c r="BA517" s="1306"/>
      <c r="BC517" s="169"/>
    </row>
    <row r="518" spans="19:55">
      <c r="S518" s="454"/>
      <c r="AN518" s="454"/>
      <c r="AY518" s="454"/>
      <c r="AZ518" s="454"/>
      <c r="BA518" s="1306"/>
      <c r="BC518" s="169"/>
    </row>
    <row r="519" spans="19:55">
      <c r="S519" s="454"/>
      <c r="AN519" s="454"/>
      <c r="AY519" s="454"/>
      <c r="AZ519" s="454"/>
      <c r="BA519" s="1306"/>
      <c r="BC519" s="169"/>
    </row>
    <row r="520" spans="19:55">
      <c r="S520" s="454"/>
      <c r="AN520" s="454"/>
      <c r="AY520" s="454"/>
      <c r="AZ520" s="454"/>
      <c r="BA520" s="1306"/>
      <c r="BC520" s="169"/>
    </row>
    <row r="521" spans="19:55">
      <c r="S521" s="454"/>
      <c r="AN521" s="454"/>
      <c r="AY521" s="454"/>
      <c r="AZ521" s="454"/>
      <c r="BA521" s="1306"/>
      <c r="BC521" s="169"/>
    </row>
    <row r="522" spans="19:55">
      <c r="S522" s="454"/>
      <c r="AN522" s="454"/>
      <c r="AY522" s="454"/>
      <c r="AZ522" s="454"/>
      <c r="BA522" s="1306"/>
      <c r="BC522" s="169"/>
    </row>
    <row r="523" spans="19:55">
      <c r="S523" s="454"/>
      <c r="AN523" s="454"/>
      <c r="AY523" s="454"/>
      <c r="AZ523" s="454"/>
      <c r="BA523" s="1306"/>
      <c r="BC523" s="169"/>
    </row>
    <row r="524" spans="19:55">
      <c r="S524" s="454"/>
      <c r="AN524" s="454"/>
      <c r="AY524" s="454"/>
      <c r="AZ524" s="454"/>
      <c r="BA524" s="1306"/>
      <c r="BC524" s="169"/>
    </row>
    <row r="525" spans="19:55">
      <c r="S525" s="454"/>
      <c r="AN525" s="454"/>
      <c r="AY525" s="454"/>
      <c r="AZ525" s="454"/>
      <c r="BA525" s="1306"/>
      <c r="BC525" s="169"/>
    </row>
    <row r="526" spans="19:55">
      <c r="S526" s="454"/>
      <c r="AN526" s="454"/>
      <c r="AY526" s="454"/>
      <c r="AZ526" s="454"/>
      <c r="BA526" s="1306"/>
      <c r="BC526" s="169"/>
    </row>
    <row r="527" spans="19:55">
      <c r="S527" s="454"/>
      <c r="AN527" s="454"/>
      <c r="AY527" s="454"/>
      <c r="AZ527" s="454"/>
      <c r="BA527" s="1306"/>
      <c r="BC527" s="169"/>
    </row>
    <row r="528" spans="19:55">
      <c r="S528" s="454"/>
      <c r="AN528" s="454"/>
      <c r="AY528" s="454"/>
      <c r="AZ528" s="454"/>
      <c r="BA528" s="1306"/>
      <c r="BC528" s="169"/>
    </row>
    <row r="529" spans="19:55">
      <c r="S529" s="454"/>
      <c r="AN529" s="454"/>
      <c r="AY529" s="454"/>
      <c r="AZ529" s="454"/>
      <c r="BA529" s="1306"/>
      <c r="BC529" s="169"/>
    </row>
    <row r="530" spans="19:55">
      <c r="S530" s="454"/>
      <c r="AN530" s="454"/>
      <c r="AY530" s="454"/>
      <c r="AZ530" s="454"/>
      <c r="BA530" s="1306"/>
      <c r="BC530" s="169"/>
    </row>
    <row r="531" spans="19:55">
      <c r="S531" s="454"/>
      <c r="AN531" s="454"/>
      <c r="AY531" s="454"/>
      <c r="AZ531" s="454"/>
      <c r="BA531" s="1306"/>
      <c r="BC531" s="169"/>
    </row>
    <row r="532" spans="19:55">
      <c r="S532" s="454"/>
      <c r="AN532" s="454"/>
      <c r="AY532" s="454"/>
      <c r="AZ532" s="454"/>
      <c r="BA532" s="1306"/>
      <c r="BC532" s="169"/>
    </row>
    <row r="533" spans="19:55">
      <c r="S533" s="454"/>
      <c r="AN533" s="454"/>
      <c r="AY533" s="454"/>
      <c r="AZ533" s="454"/>
      <c r="BA533" s="1306"/>
      <c r="BC533" s="169"/>
    </row>
    <row r="534" spans="19:55">
      <c r="S534" s="454"/>
      <c r="AN534" s="454"/>
      <c r="AY534" s="454"/>
      <c r="AZ534" s="454"/>
      <c r="BA534" s="1306"/>
      <c r="BC534" s="169"/>
    </row>
    <row r="535" spans="19:55">
      <c r="S535" s="454"/>
      <c r="AN535" s="454"/>
      <c r="AY535" s="454"/>
      <c r="AZ535" s="454"/>
      <c r="BA535" s="1306"/>
      <c r="BC535" s="169"/>
    </row>
    <row r="536" spans="19:55">
      <c r="S536" s="454"/>
      <c r="AN536" s="454"/>
      <c r="AY536" s="454"/>
      <c r="AZ536" s="454"/>
      <c r="BA536" s="1306"/>
      <c r="BC536" s="169"/>
    </row>
    <row r="537" spans="19:55">
      <c r="S537" s="454"/>
      <c r="AN537" s="454"/>
      <c r="AY537" s="454"/>
      <c r="AZ537" s="454"/>
      <c r="BA537" s="1306"/>
      <c r="BC537" s="169"/>
    </row>
    <row r="538" spans="19:55">
      <c r="S538" s="454"/>
      <c r="AN538" s="454"/>
      <c r="AY538" s="454"/>
      <c r="AZ538" s="454"/>
      <c r="BA538" s="1306"/>
      <c r="BC538" s="169"/>
    </row>
    <row r="539" spans="19:55">
      <c r="S539" s="454"/>
      <c r="AN539" s="454"/>
      <c r="AY539" s="454"/>
      <c r="AZ539" s="454"/>
      <c r="BA539" s="1306"/>
      <c r="BC539" s="169"/>
    </row>
    <row r="540" spans="19:55">
      <c r="S540" s="454"/>
      <c r="AN540" s="454"/>
      <c r="AY540" s="454"/>
      <c r="AZ540" s="454"/>
      <c r="BA540" s="1306"/>
      <c r="BC540" s="169"/>
    </row>
    <row r="541" spans="19:55">
      <c r="S541" s="454"/>
      <c r="AN541" s="454"/>
      <c r="AY541" s="454"/>
      <c r="AZ541" s="454"/>
      <c r="BA541" s="1306"/>
      <c r="BC541" s="169"/>
    </row>
    <row r="542" spans="19:55">
      <c r="S542" s="454"/>
      <c r="AN542" s="454"/>
      <c r="AY542" s="454"/>
      <c r="AZ542" s="454"/>
      <c r="BA542" s="1306"/>
      <c r="BC542" s="169"/>
    </row>
    <row r="543" spans="19:55">
      <c r="S543" s="454"/>
      <c r="AN543" s="454"/>
      <c r="AY543" s="454"/>
      <c r="AZ543" s="454"/>
      <c r="BA543" s="1306"/>
      <c r="BC543" s="169"/>
    </row>
    <row r="544" spans="19:55">
      <c r="S544" s="454"/>
      <c r="AN544" s="454"/>
      <c r="AY544" s="454"/>
      <c r="AZ544" s="454"/>
      <c r="BA544" s="1306"/>
      <c r="BC544" s="169"/>
    </row>
    <row r="545" spans="19:55">
      <c r="S545" s="454"/>
      <c r="AN545" s="454"/>
      <c r="AY545" s="454"/>
      <c r="AZ545" s="454"/>
      <c r="BA545" s="1306"/>
      <c r="BC545" s="169"/>
    </row>
    <row r="546" spans="19:55">
      <c r="S546" s="454"/>
      <c r="AN546" s="454"/>
      <c r="AY546" s="454"/>
      <c r="AZ546" s="454"/>
      <c r="BA546" s="1306"/>
      <c r="BC546" s="169"/>
    </row>
    <row r="547" spans="19:55">
      <c r="S547" s="454"/>
      <c r="AN547" s="454"/>
      <c r="AY547" s="454"/>
      <c r="AZ547" s="454"/>
      <c r="BA547" s="1306"/>
      <c r="BC547" s="169"/>
    </row>
    <row r="548" spans="19:55">
      <c r="S548" s="454"/>
      <c r="AN548" s="454"/>
      <c r="AY548" s="454"/>
      <c r="AZ548" s="454"/>
      <c r="BA548" s="1306"/>
      <c r="BC548" s="169"/>
    </row>
    <row r="549" spans="19:55">
      <c r="S549" s="454"/>
      <c r="AN549" s="454"/>
      <c r="AY549" s="454"/>
      <c r="AZ549" s="454"/>
      <c r="BA549" s="1306"/>
      <c r="BC549" s="169"/>
    </row>
    <row r="550" spans="19:55">
      <c r="S550" s="454"/>
      <c r="AN550" s="454"/>
      <c r="AY550" s="454"/>
      <c r="AZ550" s="454"/>
      <c r="BA550" s="1306"/>
      <c r="BC550" s="169"/>
    </row>
    <row r="551" spans="19:55">
      <c r="S551" s="454"/>
      <c r="AN551" s="454"/>
      <c r="AY551" s="454"/>
      <c r="AZ551" s="454"/>
      <c r="BA551" s="1306"/>
      <c r="BC551" s="169"/>
    </row>
    <row r="552" spans="19:55">
      <c r="S552" s="454"/>
      <c r="AN552" s="454"/>
      <c r="AY552" s="454"/>
      <c r="AZ552" s="454"/>
      <c r="BA552" s="1306"/>
      <c r="BC552" s="169"/>
    </row>
    <row r="553" spans="19:55">
      <c r="S553" s="454"/>
      <c r="AN553" s="454"/>
      <c r="AY553" s="454"/>
      <c r="AZ553" s="454"/>
      <c r="BA553" s="1306"/>
      <c r="BC553" s="169"/>
    </row>
    <row r="554" spans="19:55">
      <c r="S554" s="454"/>
      <c r="AN554" s="454"/>
      <c r="AY554" s="454"/>
      <c r="AZ554" s="454"/>
      <c r="BA554" s="1306"/>
      <c r="BC554" s="169"/>
    </row>
    <row r="555" spans="19:55">
      <c r="S555" s="454"/>
      <c r="AN555" s="454"/>
      <c r="AY555" s="454"/>
      <c r="AZ555" s="454"/>
      <c r="BA555" s="1306"/>
      <c r="BC555" s="169"/>
    </row>
    <row r="556" spans="19:55">
      <c r="S556" s="454"/>
      <c r="AN556" s="454"/>
      <c r="AY556" s="454"/>
      <c r="AZ556" s="454"/>
      <c r="BA556" s="1306"/>
      <c r="BC556" s="169"/>
    </row>
    <row r="557" spans="19:55">
      <c r="S557" s="454"/>
      <c r="AN557" s="454"/>
      <c r="AY557" s="454"/>
      <c r="AZ557" s="454"/>
      <c r="BA557" s="1306"/>
      <c r="BC557" s="169"/>
    </row>
    <row r="558" spans="19:55">
      <c r="S558" s="454"/>
      <c r="AN558" s="454"/>
      <c r="AY558" s="454"/>
      <c r="AZ558" s="454"/>
      <c r="BA558" s="1306"/>
      <c r="BC558" s="169"/>
    </row>
    <row r="559" spans="19:55">
      <c r="S559" s="454"/>
      <c r="AN559" s="454"/>
      <c r="AY559" s="454"/>
      <c r="AZ559" s="454"/>
      <c r="BA559" s="1306"/>
      <c r="BC559" s="169"/>
    </row>
    <row r="560" spans="19:55">
      <c r="S560" s="454"/>
      <c r="AN560" s="454"/>
      <c r="AY560" s="454"/>
      <c r="AZ560" s="454"/>
      <c r="BA560" s="1306"/>
      <c r="BC560" s="169"/>
    </row>
    <row r="561" spans="19:55">
      <c r="S561" s="454"/>
      <c r="AN561" s="454"/>
      <c r="AY561" s="454"/>
      <c r="AZ561" s="454"/>
      <c r="BA561" s="1306"/>
      <c r="BC561" s="169"/>
    </row>
    <row r="562" spans="19:55">
      <c r="S562" s="454"/>
      <c r="AN562" s="454"/>
      <c r="AY562" s="454"/>
      <c r="AZ562" s="454"/>
      <c r="BA562" s="1306"/>
      <c r="BC562" s="169"/>
    </row>
    <row r="563" spans="19:55">
      <c r="S563" s="454"/>
      <c r="AN563" s="454"/>
      <c r="AY563" s="454"/>
      <c r="AZ563" s="454"/>
      <c r="BA563" s="1306"/>
      <c r="BC563" s="169"/>
    </row>
    <row r="564" spans="19:55">
      <c r="S564" s="454"/>
      <c r="AN564" s="454"/>
      <c r="AY564" s="454"/>
      <c r="AZ564" s="454"/>
      <c r="BA564" s="1306"/>
      <c r="BC564" s="169"/>
    </row>
    <row r="565" spans="19:55">
      <c r="S565" s="454"/>
      <c r="AN565" s="454"/>
      <c r="AY565" s="454"/>
      <c r="AZ565" s="454"/>
      <c r="BA565" s="1306"/>
      <c r="BC565" s="169"/>
    </row>
    <row r="566" spans="19:55">
      <c r="S566" s="454"/>
      <c r="AN566" s="454"/>
      <c r="AY566" s="454"/>
      <c r="AZ566" s="454"/>
      <c r="BA566" s="1306"/>
      <c r="BC566" s="169"/>
    </row>
    <row r="567" spans="19:55">
      <c r="S567" s="454"/>
      <c r="AN567" s="454"/>
      <c r="AY567" s="454"/>
      <c r="AZ567" s="454"/>
      <c r="BA567" s="1306"/>
      <c r="BC567" s="169"/>
    </row>
    <row r="568" spans="19:55">
      <c r="S568" s="454"/>
      <c r="AN568" s="454"/>
      <c r="AY568" s="454"/>
      <c r="AZ568" s="454"/>
      <c r="BA568" s="1306"/>
      <c r="BC568" s="169"/>
    </row>
    <row r="569" spans="19:55">
      <c r="S569" s="454"/>
      <c r="AN569" s="454"/>
      <c r="AY569" s="454"/>
      <c r="AZ569" s="454"/>
      <c r="BA569" s="1306"/>
      <c r="BC569" s="169"/>
    </row>
    <row r="570" spans="19:55">
      <c r="S570" s="454"/>
      <c r="AN570" s="454"/>
      <c r="AY570" s="454"/>
      <c r="AZ570" s="454"/>
      <c r="BA570" s="1306"/>
      <c r="BC570" s="169"/>
    </row>
    <row r="571" spans="19:55">
      <c r="S571" s="454"/>
      <c r="AN571" s="454"/>
      <c r="AY571" s="454"/>
      <c r="AZ571" s="454"/>
      <c r="BA571" s="1306"/>
      <c r="BC571" s="169"/>
    </row>
    <row r="572" spans="19:55">
      <c r="S572" s="454"/>
      <c r="AN572" s="454"/>
      <c r="AY572" s="454"/>
      <c r="AZ572" s="454"/>
      <c r="BA572" s="1306"/>
      <c r="BC572" s="169"/>
    </row>
    <row r="573" spans="19:55">
      <c r="S573" s="454"/>
      <c r="AN573" s="454"/>
      <c r="AY573" s="454"/>
      <c r="AZ573" s="454"/>
      <c r="BA573" s="1306"/>
      <c r="BC573" s="169"/>
    </row>
    <row r="574" spans="19:55">
      <c r="S574" s="454"/>
      <c r="AN574" s="454"/>
      <c r="AY574" s="454"/>
      <c r="AZ574" s="454"/>
      <c r="BA574" s="1306"/>
      <c r="BC574" s="169"/>
    </row>
    <row r="575" spans="19:55">
      <c r="S575" s="454"/>
      <c r="AN575" s="454"/>
      <c r="AY575" s="454"/>
      <c r="AZ575" s="454"/>
      <c r="BA575" s="1306"/>
      <c r="BC575" s="169"/>
    </row>
    <row r="576" spans="19:55">
      <c r="S576" s="454"/>
      <c r="AN576" s="454"/>
      <c r="AY576" s="454"/>
      <c r="AZ576" s="454"/>
      <c r="BA576" s="1306"/>
      <c r="BC576" s="169"/>
    </row>
    <row r="577" spans="19:55">
      <c r="S577" s="454"/>
      <c r="AN577" s="454"/>
      <c r="AY577" s="454"/>
      <c r="AZ577" s="454"/>
      <c r="BA577" s="1306"/>
      <c r="BC577" s="169"/>
    </row>
    <row r="578" spans="19:55">
      <c r="S578" s="454"/>
      <c r="AN578" s="454"/>
      <c r="AY578" s="454"/>
      <c r="AZ578" s="454"/>
      <c r="BA578" s="1306"/>
      <c r="BC578" s="169"/>
    </row>
    <row r="579" spans="19:55">
      <c r="S579" s="454"/>
      <c r="AN579" s="454"/>
      <c r="AY579" s="454"/>
      <c r="AZ579" s="454"/>
      <c r="BA579" s="1306"/>
      <c r="BC579" s="169"/>
    </row>
    <row r="580" spans="19:55">
      <c r="S580" s="454"/>
      <c r="AN580" s="454"/>
      <c r="AY580" s="454"/>
      <c r="AZ580" s="454"/>
      <c r="BA580" s="1306"/>
      <c r="BC580" s="169"/>
    </row>
    <row r="581" spans="19:55">
      <c r="S581" s="454"/>
      <c r="AN581" s="454"/>
      <c r="AY581" s="454"/>
      <c r="AZ581" s="454"/>
      <c r="BA581" s="1306"/>
      <c r="BC581" s="169"/>
    </row>
    <row r="582" spans="19:55">
      <c r="S582" s="454"/>
      <c r="AN582" s="454"/>
      <c r="AY582" s="454"/>
      <c r="AZ582" s="454"/>
      <c r="BA582" s="1306"/>
      <c r="BC582" s="169"/>
    </row>
    <row r="583" spans="19:55">
      <c r="S583" s="454"/>
      <c r="AN583" s="454"/>
      <c r="AY583" s="454"/>
      <c r="AZ583" s="454"/>
      <c r="BA583" s="1306"/>
      <c r="BC583" s="169"/>
    </row>
    <row r="584" spans="19:55">
      <c r="S584" s="454"/>
      <c r="AN584" s="454"/>
      <c r="AY584" s="454"/>
      <c r="AZ584" s="454"/>
      <c r="BA584" s="1306"/>
      <c r="BC584" s="169"/>
    </row>
    <row r="585" spans="19:55">
      <c r="S585" s="454"/>
      <c r="AN585" s="454"/>
      <c r="AY585" s="454"/>
      <c r="AZ585" s="454"/>
      <c r="BA585" s="1306"/>
      <c r="BC585" s="169"/>
    </row>
    <row r="586" spans="19:55">
      <c r="S586" s="454"/>
      <c r="AN586" s="454"/>
      <c r="AY586" s="454"/>
      <c r="AZ586" s="454"/>
      <c r="BA586" s="1306"/>
      <c r="BC586" s="169"/>
    </row>
    <row r="587" spans="19:55">
      <c r="S587" s="454"/>
      <c r="AN587" s="454"/>
      <c r="AY587" s="454"/>
      <c r="AZ587" s="454"/>
      <c r="BA587" s="1306"/>
      <c r="BC587" s="169"/>
    </row>
    <row r="588" spans="19:55">
      <c r="S588" s="454"/>
      <c r="AN588" s="454"/>
      <c r="AY588" s="454"/>
      <c r="AZ588" s="454"/>
      <c r="BA588" s="1306"/>
      <c r="BC588" s="169"/>
    </row>
    <row r="589" spans="19:55">
      <c r="S589" s="454"/>
      <c r="AN589" s="454"/>
      <c r="AY589" s="454"/>
      <c r="AZ589" s="454"/>
      <c r="BA589" s="1306"/>
      <c r="BC589" s="169"/>
    </row>
    <row r="590" spans="19:55">
      <c r="S590" s="454"/>
      <c r="AN590" s="454"/>
      <c r="AY590" s="454"/>
      <c r="AZ590" s="454"/>
      <c r="BA590" s="1306"/>
      <c r="BC590" s="169"/>
    </row>
    <row r="591" spans="19:55">
      <c r="S591" s="454"/>
      <c r="AN591" s="454"/>
      <c r="AY591" s="454"/>
      <c r="AZ591" s="454"/>
      <c r="BA591" s="1306"/>
      <c r="BC591" s="169"/>
    </row>
    <row r="592" spans="19:55">
      <c r="S592" s="454"/>
      <c r="AN592" s="454"/>
      <c r="AY592" s="454"/>
      <c r="AZ592" s="454"/>
      <c r="BA592" s="1306"/>
      <c r="BC592" s="169"/>
    </row>
    <row r="593" spans="19:55">
      <c r="S593" s="454"/>
      <c r="AN593" s="454"/>
      <c r="AY593" s="454"/>
      <c r="AZ593" s="454"/>
      <c r="BA593" s="1306"/>
      <c r="BC593" s="169"/>
    </row>
    <row r="594" spans="19:55">
      <c r="S594" s="454"/>
      <c r="AN594" s="454"/>
      <c r="AY594" s="454"/>
      <c r="AZ594" s="454"/>
      <c r="BA594" s="1306"/>
      <c r="BC594" s="169"/>
    </row>
    <row r="595" spans="19:55">
      <c r="S595" s="454"/>
      <c r="AN595" s="454"/>
      <c r="AY595" s="454"/>
      <c r="AZ595" s="454"/>
      <c r="BA595" s="1306"/>
      <c r="BC595" s="169"/>
    </row>
    <row r="596" spans="19:55">
      <c r="S596" s="454"/>
      <c r="AN596" s="454"/>
      <c r="AY596" s="454"/>
      <c r="AZ596" s="454"/>
      <c r="BA596" s="1306"/>
      <c r="BC596" s="169"/>
    </row>
    <row r="597" spans="19:55">
      <c r="S597" s="454"/>
      <c r="AN597" s="454"/>
      <c r="AY597" s="454"/>
      <c r="AZ597" s="454"/>
      <c r="BA597" s="1306"/>
      <c r="BC597" s="169"/>
    </row>
    <row r="598" spans="19:55">
      <c r="S598" s="454"/>
      <c r="AN598" s="454"/>
      <c r="AY598" s="454"/>
      <c r="AZ598" s="454"/>
      <c r="BA598" s="1306"/>
      <c r="BC598" s="169"/>
    </row>
    <row r="599" spans="19:55">
      <c r="S599" s="454"/>
      <c r="AN599" s="454"/>
      <c r="AY599" s="454"/>
      <c r="AZ599" s="454"/>
      <c r="BA599" s="1306"/>
      <c r="BC599" s="169"/>
    </row>
    <row r="600" spans="19:55">
      <c r="S600" s="454"/>
      <c r="AN600" s="454"/>
      <c r="AY600" s="454"/>
      <c r="AZ600" s="454"/>
      <c r="BA600" s="1306"/>
      <c r="BC600" s="169"/>
    </row>
    <row r="601" spans="19:55">
      <c r="S601" s="454"/>
      <c r="AN601" s="454"/>
      <c r="AY601" s="454"/>
      <c r="AZ601" s="454"/>
      <c r="BA601" s="1306"/>
      <c r="BC601" s="169"/>
    </row>
    <row r="602" spans="19:55">
      <c r="S602" s="454"/>
      <c r="AN602" s="454"/>
      <c r="AY602" s="454"/>
      <c r="AZ602" s="454"/>
      <c r="BA602" s="1306"/>
      <c r="BC602" s="169"/>
    </row>
    <row r="603" spans="19:55">
      <c r="S603" s="454"/>
      <c r="AN603" s="454"/>
      <c r="AY603" s="454"/>
      <c r="AZ603" s="454"/>
      <c r="BA603" s="1306"/>
      <c r="BC603" s="169"/>
    </row>
    <row r="604" spans="19:55">
      <c r="S604" s="454"/>
      <c r="AN604" s="454"/>
      <c r="AY604" s="454"/>
      <c r="AZ604" s="454"/>
      <c r="BA604" s="1306"/>
      <c r="BC604" s="169"/>
    </row>
    <row r="605" spans="19:55">
      <c r="S605" s="454"/>
      <c r="AN605" s="454"/>
      <c r="AY605" s="454"/>
      <c r="AZ605" s="454"/>
      <c r="BA605" s="1306"/>
      <c r="BC605" s="169"/>
    </row>
    <row r="606" spans="19:55">
      <c r="S606" s="454"/>
      <c r="AN606" s="454"/>
      <c r="AY606" s="454"/>
      <c r="AZ606" s="454"/>
      <c r="BA606" s="1306"/>
      <c r="BC606" s="169"/>
    </row>
    <row r="607" spans="19:55">
      <c r="S607" s="454"/>
      <c r="AN607" s="454"/>
      <c r="AY607" s="454"/>
      <c r="AZ607" s="454"/>
      <c r="BA607" s="1306"/>
      <c r="BC607" s="169"/>
    </row>
    <row r="608" spans="19:55">
      <c r="S608" s="454"/>
      <c r="AN608" s="454"/>
      <c r="AY608" s="454"/>
      <c r="AZ608" s="454"/>
      <c r="BA608" s="1306"/>
      <c r="BC608" s="169"/>
    </row>
    <row r="609" spans="19:55">
      <c r="S609" s="454"/>
      <c r="AN609" s="454"/>
      <c r="AY609" s="454"/>
      <c r="AZ609" s="454"/>
      <c r="BA609" s="1306"/>
      <c r="BC609" s="169"/>
    </row>
    <row r="610" spans="19:55">
      <c r="S610" s="454"/>
      <c r="AN610" s="454"/>
      <c r="AY610" s="454"/>
      <c r="AZ610" s="454"/>
      <c r="BA610" s="1306"/>
      <c r="BC610" s="169"/>
    </row>
    <row r="611" spans="19:55">
      <c r="S611" s="454"/>
      <c r="AN611" s="454"/>
      <c r="AY611" s="454"/>
      <c r="AZ611" s="454"/>
      <c r="BA611" s="1306"/>
      <c r="BC611" s="169"/>
    </row>
    <row r="612" spans="19:55">
      <c r="S612" s="454"/>
      <c r="AN612" s="454"/>
      <c r="AY612" s="454"/>
      <c r="AZ612" s="454"/>
      <c r="BA612" s="1306"/>
      <c r="BC612" s="169"/>
    </row>
    <row r="613" spans="19:55">
      <c r="S613" s="454"/>
      <c r="AN613" s="454"/>
      <c r="AY613" s="454"/>
      <c r="AZ613" s="454"/>
      <c r="BA613" s="1306"/>
      <c r="BC613" s="169"/>
    </row>
    <row r="614" spans="19:55">
      <c r="S614" s="454"/>
      <c r="AN614" s="454"/>
      <c r="AY614" s="454"/>
      <c r="AZ614" s="454"/>
      <c r="BA614" s="1306"/>
      <c r="BC614" s="169"/>
    </row>
    <row r="615" spans="19:55">
      <c r="S615" s="454"/>
      <c r="AN615" s="454"/>
      <c r="AY615" s="454"/>
      <c r="AZ615" s="454"/>
      <c r="BA615" s="1306"/>
      <c r="BC615" s="169"/>
    </row>
    <row r="616" spans="19:55">
      <c r="S616" s="454"/>
      <c r="AN616" s="454"/>
      <c r="AY616" s="454"/>
      <c r="AZ616" s="454"/>
      <c r="BA616" s="1306"/>
      <c r="BC616" s="169"/>
    </row>
    <row r="617" spans="19:55">
      <c r="S617" s="454"/>
      <c r="AN617" s="454"/>
      <c r="AY617" s="454"/>
      <c r="AZ617" s="454"/>
      <c r="BA617" s="1306"/>
      <c r="BC617" s="169"/>
    </row>
    <row r="618" spans="19:55">
      <c r="S618" s="454"/>
      <c r="AN618" s="454"/>
      <c r="AY618" s="454"/>
      <c r="AZ618" s="454"/>
      <c r="BA618" s="1306"/>
      <c r="BC618" s="169"/>
    </row>
    <row r="619" spans="19:55">
      <c r="S619" s="454"/>
      <c r="AN619" s="454"/>
      <c r="AY619" s="454"/>
      <c r="AZ619" s="454"/>
      <c r="BA619" s="1306"/>
      <c r="BC619" s="169"/>
    </row>
    <row r="620" spans="19:55">
      <c r="S620" s="454"/>
      <c r="AN620" s="454"/>
      <c r="AY620" s="454"/>
      <c r="AZ620" s="454"/>
      <c r="BA620" s="1306"/>
      <c r="BC620" s="169"/>
    </row>
    <row r="621" spans="19:55">
      <c r="S621" s="454"/>
      <c r="AN621" s="454"/>
      <c r="AY621" s="454"/>
      <c r="AZ621" s="454"/>
      <c r="BA621" s="1306"/>
      <c r="BC621" s="169"/>
    </row>
    <row r="622" spans="19:55">
      <c r="S622" s="454"/>
      <c r="AN622" s="454"/>
      <c r="AY622" s="454"/>
      <c r="AZ622" s="454"/>
      <c r="BA622" s="1306"/>
      <c r="BC622" s="169"/>
    </row>
    <row r="623" spans="19:55">
      <c r="S623" s="454"/>
      <c r="AN623" s="454"/>
      <c r="AY623" s="454"/>
      <c r="AZ623" s="454"/>
      <c r="BA623" s="1306"/>
      <c r="BC623" s="169"/>
    </row>
    <row r="624" spans="19:55">
      <c r="S624" s="454"/>
      <c r="AN624" s="454"/>
      <c r="AY624" s="454"/>
      <c r="AZ624" s="454"/>
      <c r="BA624" s="1306"/>
      <c r="BC624" s="169"/>
    </row>
    <row r="625" spans="19:55">
      <c r="S625" s="454"/>
      <c r="AN625" s="454"/>
      <c r="AY625" s="454"/>
      <c r="AZ625" s="454"/>
      <c r="BA625" s="1306"/>
      <c r="BC625" s="169"/>
    </row>
    <row r="626" spans="19:55">
      <c r="S626" s="454"/>
      <c r="AN626" s="454"/>
      <c r="AY626" s="454"/>
      <c r="AZ626" s="454"/>
      <c r="BA626" s="1306"/>
      <c r="BC626" s="169"/>
    </row>
    <row r="627" spans="19:55">
      <c r="S627" s="454"/>
      <c r="AN627" s="454"/>
      <c r="AY627" s="454"/>
      <c r="AZ627" s="454"/>
      <c r="BA627" s="1306"/>
      <c r="BC627" s="169"/>
    </row>
    <row r="628" spans="19:55">
      <c r="S628" s="454"/>
      <c r="AN628" s="454"/>
      <c r="AY628" s="454"/>
      <c r="AZ628" s="454"/>
      <c r="BA628" s="1306"/>
      <c r="BC628" s="169"/>
    </row>
    <row r="629" spans="19:55">
      <c r="S629" s="454"/>
      <c r="AN629" s="454"/>
      <c r="AY629" s="454"/>
      <c r="AZ629" s="454"/>
      <c r="BA629" s="1306"/>
      <c r="BC629" s="169"/>
    </row>
    <row r="630" spans="19:55">
      <c r="S630" s="454"/>
      <c r="AN630" s="454"/>
      <c r="AY630" s="454"/>
      <c r="AZ630" s="454"/>
      <c r="BA630" s="1306"/>
      <c r="BC630" s="169"/>
    </row>
    <row r="631" spans="19:55">
      <c r="S631" s="454"/>
      <c r="AN631" s="454"/>
      <c r="AY631" s="454"/>
      <c r="AZ631" s="454"/>
      <c r="BA631" s="1306"/>
      <c r="BC631" s="169"/>
    </row>
    <row r="632" spans="19:55">
      <c r="S632" s="454"/>
      <c r="AN632" s="454"/>
      <c r="AY632" s="454"/>
      <c r="AZ632" s="454"/>
      <c r="BA632" s="1306"/>
      <c r="BC632" s="169"/>
    </row>
    <row r="633" spans="19:55">
      <c r="S633" s="454"/>
      <c r="AN633" s="454"/>
      <c r="AY633" s="454"/>
      <c r="AZ633" s="454"/>
      <c r="BA633" s="1306"/>
      <c r="BC633" s="169"/>
    </row>
    <row r="634" spans="19:55">
      <c r="S634" s="454"/>
      <c r="AN634" s="454"/>
      <c r="AY634" s="454"/>
      <c r="AZ634" s="454"/>
      <c r="BA634" s="1306"/>
      <c r="BC634" s="169"/>
    </row>
    <row r="635" spans="19:55">
      <c r="S635" s="454"/>
      <c r="AN635" s="454"/>
      <c r="AY635" s="454"/>
      <c r="AZ635" s="454"/>
      <c r="BA635" s="1306"/>
      <c r="BC635" s="169"/>
    </row>
    <row r="636" spans="19:55">
      <c r="S636" s="454"/>
      <c r="AN636" s="454"/>
      <c r="AY636" s="454"/>
      <c r="AZ636" s="454"/>
      <c r="BA636" s="1306"/>
      <c r="BC636" s="169"/>
    </row>
    <row r="637" spans="19:55">
      <c r="S637" s="454"/>
      <c r="AN637" s="454"/>
      <c r="AY637" s="454"/>
      <c r="AZ637" s="454"/>
      <c r="BA637" s="1306"/>
      <c r="BC637" s="169"/>
    </row>
    <row r="638" spans="19:55">
      <c r="S638" s="454"/>
      <c r="AN638" s="454"/>
      <c r="AY638" s="454"/>
      <c r="AZ638" s="454"/>
      <c r="BA638" s="1306"/>
      <c r="BC638" s="169"/>
    </row>
    <row r="639" spans="19:55">
      <c r="S639" s="454"/>
      <c r="AN639" s="454"/>
      <c r="AY639" s="454"/>
      <c r="AZ639" s="454"/>
      <c r="BA639" s="1306"/>
      <c r="BC639" s="169"/>
    </row>
    <row r="640" spans="19:55">
      <c r="S640" s="454"/>
      <c r="AN640" s="454"/>
      <c r="AY640" s="454"/>
      <c r="AZ640" s="454"/>
      <c r="BA640" s="1306"/>
      <c r="BC640" s="169"/>
    </row>
    <row r="641" spans="19:55">
      <c r="S641" s="454"/>
      <c r="AN641" s="454"/>
      <c r="AY641" s="454"/>
      <c r="AZ641" s="454"/>
      <c r="BA641" s="1306"/>
      <c r="BC641" s="169"/>
    </row>
    <row r="642" spans="19:55">
      <c r="S642" s="454"/>
      <c r="AN642" s="454"/>
      <c r="AY642" s="454"/>
      <c r="AZ642" s="454"/>
      <c r="BA642" s="1306"/>
      <c r="BC642" s="169"/>
    </row>
    <row r="643" spans="19:55">
      <c r="S643" s="454"/>
      <c r="AN643" s="454"/>
      <c r="AY643" s="454"/>
      <c r="AZ643" s="454"/>
      <c r="BA643" s="1306"/>
      <c r="BC643" s="169"/>
    </row>
    <row r="644" spans="19:55">
      <c r="S644" s="454"/>
      <c r="AN644" s="454"/>
      <c r="AY644" s="454"/>
      <c r="AZ644" s="454"/>
      <c r="BA644" s="1306"/>
      <c r="BC644" s="169"/>
    </row>
    <row r="645" spans="19:55">
      <c r="S645" s="454"/>
      <c r="AN645" s="454"/>
      <c r="AY645" s="454"/>
      <c r="AZ645" s="454"/>
      <c r="BA645" s="1306"/>
      <c r="BC645" s="169"/>
    </row>
    <row r="646" spans="19:55">
      <c r="S646" s="454"/>
      <c r="AN646" s="454"/>
      <c r="AY646" s="454"/>
      <c r="AZ646" s="454"/>
      <c r="BA646" s="1306"/>
      <c r="BC646" s="169"/>
    </row>
    <row r="647" spans="19:55">
      <c r="S647" s="454"/>
      <c r="AN647" s="454"/>
      <c r="AY647" s="454"/>
      <c r="AZ647" s="454"/>
      <c r="BA647" s="1306"/>
      <c r="BC647" s="169"/>
    </row>
    <row r="648" spans="19:55">
      <c r="S648" s="454"/>
      <c r="AN648" s="454"/>
      <c r="AY648" s="454"/>
      <c r="AZ648" s="454"/>
      <c r="BA648" s="1306"/>
      <c r="BC648" s="169"/>
    </row>
    <row r="649" spans="19:55">
      <c r="S649" s="454"/>
      <c r="AN649" s="454"/>
      <c r="AY649" s="454"/>
      <c r="AZ649" s="454"/>
      <c r="BA649" s="1306"/>
      <c r="BC649" s="169"/>
    </row>
    <row r="650" spans="19:55">
      <c r="S650" s="454"/>
      <c r="AN650" s="454"/>
      <c r="AY650" s="454"/>
      <c r="AZ650" s="454"/>
      <c r="BA650" s="1306"/>
      <c r="BC650" s="169"/>
    </row>
    <row r="651" spans="19:55">
      <c r="S651" s="454"/>
      <c r="AN651" s="454"/>
      <c r="AY651" s="454"/>
      <c r="AZ651" s="454"/>
      <c r="BA651" s="1306"/>
      <c r="BC651" s="169"/>
    </row>
    <row r="652" spans="19:55">
      <c r="S652" s="454"/>
      <c r="AN652" s="454"/>
      <c r="AY652" s="454"/>
      <c r="AZ652" s="454"/>
      <c r="BA652" s="1306"/>
      <c r="BC652" s="169"/>
    </row>
    <row r="653" spans="19:55">
      <c r="S653" s="454"/>
      <c r="AN653" s="454"/>
      <c r="AY653" s="454"/>
      <c r="AZ653" s="454"/>
      <c r="BA653" s="1306"/>
      <c r="BC653" s="169"/>
    </row>
    <row r="654" spans="19:55">
      <c r="S654" s="454"/>
      <c r="AN654" s="454"/>
      <c r="AY654" s="454"/>
      <c r="AZ654" s="454"/>
      <c r="BA654" s="1306"/>
      <c r="BC654" s="169"/>
    </row>
    <row r="655" spans="19:55">
      <c r="S655" s="454"/>
      <c r="AN655" s="454"/>
      <c r="AY655" s="454"/>
      <c r="AZ655" s="454"/>
      <c r="BA655" s="1306"/>
      <c r="BC655" s="169"/>
    </row>
    <row r="656" spans="19:55">
      <c r="S656" s="454"/>
      <c r="AN656" s="454"/>
      <c r="AY656" s="454"/>
      <c r="AZ656" s="454"/>
      <c r="BA656" s="1306"/>
      <c r="BC656" s="169"/>
    </row>
    <row r="657" spans="19:55">
      <c r="S657" s="454"/>
      <c r="AN657" s="454"/>
      <c r="AY657" s="454"/>
      <c r="AZ657" s="454"/>
      <c r="BA657" s="1306"/>
      <c r="BC657" s="169"/>
    </row>
    <row r="658" spans="19:55">
      <c r="S658" s="454"/>
      <c r="AN658" s="454"/>
      <c r="AY658" s="454"/>
      <c r="AZ658" s="454"/>
      <c r="BA658" s="1306"/>
      <c r="BC658" s="169"/>
    </row>
    <row r="659" spans="19:55">
      <c r="S659" s="454"/>
      <c r="AN659" s="454"/>
      <c r="AY659" s="454"/>
      <c r="AZ659" s="454"/>
      <c r="BA659" s="1306"/>
      <c r="BC659" s="169"/>
    </row>
    <row r="660" spans="19:55">
      <c r="S660" s="454"/>
      <c r="AN660" s="454"/>
      <c r="AY660" s="454"/>
      <c r="AZ660" s="454"/>
      <c r="BA660" s="1306"/>
      <c r="BC660" s="169"/>
    </row>
    <row r="661" spans="19:55">
      <c r="S661" s="454"/>
      <c r="AN661" s="454"/>
      <c r="AY661" s="454"/>
      <c r="AZ661" s="454"/>
      <c r="BA661" s="1306"/>
      <c r="BC661" s="169"/>
    </row>
    <row r="662" spans="19:55">
      <c r="S662" s="454"/>
      <c r="AN662" s="454"/>
      <c r="AY662" s="454"/>
      <c r="AZ662" s="454"/>
      <c r="BA662" s="1306"/>
      <c r="BC662" s="169"/>
    </row>
    <row r="663" spans="19:55">
      <c r="S663" s="454"/>
      <c r="AN663" s="454"/>
      <c r="AY663" s="454"/>
      <c r="AZ663" s="454"/>
      <c r="BA663" s="1306"/>
      <c r="BC663" s="169"/>
    </row>
    <row r="664" spans="19:55">
      <c r="S664" s="454"/>
      <c r="AN664" s="454"/>
      <c r="AY664" s="454"/>
      <c r="AZ664" s="454"/>
      <c r="BA664" s="1306"/>
      <c r="BC664" s="169"/>
    </row>
    <row r="665" spans="19:55">
      <c r="S665" s="454"/>
      <c r="AN665" s="454"/>
      <c r="AY665" s="454"/>
      <c r="AZ665" s="454"/>
      <c r="BA665" s="1306"/>
      <c r="BC665" s="169"/>
    </row>
    <row r="666" spans="19:55">
      <c r="S666" s="454"/>
      <c r="AN666" s="454"/>
      <c r="AY666" s="454"/>
      <c r="AZ666" s="454"/>
      <c r="BA666" s="1306"/>
      <c r="BC666" s="169"/>
    </row>
    <row r="667" spans="19:55">
      <c r="S667" s="454"/>
      <c r="AN667" s="454"/>
      <c r="AY667" s="454"/>
      <c r="AZ667" s="454"/>
      <c r="BA667" s="1306"/>
      <c r="BC667" s="169"/>
    </row>
    <row r="668" spans="19:55">
      <c r="S668" s="454"/>
      <c r="AN668" s="454"/>
      <c r="AY668" s="454"/>
      <c r="AZ668" s="454"/>
      <c r="BA668" s="1306"/>
      <c r="BC668" s="169"/>
    </row>
    <row r="669" spans="19:55">
      <c r="S669" s="454"/>
      <c r="AN669" s="454"/>
      <c r="AY669" s="454"/>
      <c r="AZ669" s="454"/>
      <c r="BA669" s="1306"/>
      <c r="BC669" s="169"/>
    </row>
    <row r="670" spans="19:55">
      <c r="S670" s="454"/>
      <c r="AN670" s="454"/>
      <c r="AY670" s="454"/>
      <c r="AZ670" s="454"/>
      <c r="BA670" s="1306"/>
      <c r="BC670" s="169"/>
    </row>
    <row r="671" spans="19:55">
      <c r="S671" s="454"/>
      <c r="AN671" s="454"/>
      <c r="AY671" s="454"/>
      <c r="AZ671" s="454"/>
      <c r="BA671" s="1306"/>
      <c r="BC671" s="169"/>
    </row>
    <row r="672" spans="19:55">
      <c r="S672" s="454"/>
      <c r="AN672" s="454"/>
      <c r="AY672" s="454"/>
      <c r="AZ672" s="454"/>
      <c r="BA672" s="1306"/>
      <c r="BC672" s="169"/>
    </row>
    <row r="673" spans="19:55">
      <c r="S673" s="454"/>
      <c r="AN673" s="454"/>
      <c r="AY673" s="454"/>
      <c r="AZ673" s="454"/>
      <c r="BA673" s="1306"/>
      <c r="BC673" s="169"/>
    </row>
    <row r="674" spans="19:55">
      <c r="S674" s="454"/>
      <c r="AN674" s="454"/>
      <c r="AY674" s="454"/>
      <c r="AZ674" s="454"/>
      <c r="BA674" s="1306"/>
      <c r="BC674" s="169"/>
    </row>
    <row r="675" spans="19:55">
      <c r="S675" s="454"/>
      <c r="AN675" s="454"/>
      <c r="AY675" s="454"/>
      <c r="AZ675" s="454"/>
      <c r="BA675" s="1306"/>
      <c r="BC675" s="169"/>
    </row>
    <row r="676" spans="19:55">
      <c r="S676" s="454"/>
      <c r="AN676" s="454"/>
      <c r="AY676" s="454"/>
      <c r="AZ676" s="454"/>
      <c r="BA676" s="1306"/>
      <c r="BC676" s="169"/>
    </row>
    <row r="677" spans="19:55">
      <c r="S677" s="454"/>
      <c r="AN677" s="454"/>
      <c r="AY677" s="454"/>
      <c r="AZ677" s="454"/>
      <c r="BA677" s="1306"/>
      <c r="BC677" s="169"/>
    </row>
    <row r="678" spans="19:55">
      <c r="S678" s="454"/>
      <c r="AN678" s="454"/>
      <c r="AY678" s="454"/>
      <c r="AZ678" s="454"/>
      <c r="BA678" s="1306"/>
      <c r="BC678" s="169"/>
    </row>
    <row r="679" spans="19:55">
      <c r="S679" s="454"/>
      <c r="AN679" s="454"/>
      <c r="AY679" s="454"/>
      <c r="AZ679" s="454"/>
      <c r="BA679" s="1306"/>
      <c r="BC679" s="169"/>
    </row>
    <row r="680" spans="19:55">
      <c r="S680" s="454"/>
      <c r="AN680" s="454"/>
      <c r="AY680" s="454"/>
      <c r="AZ680" s="454"/>
      <c r="BA680" s="1306"/>
      <c r="BC680" s="169"/>
    </row>
    <row r="681" spans="19:55">
      <c r="S681" s="454"/>
      <c r="AN681" s="454"/>
      <c r="AY681" s="454"/>
      <c r="AZ681" s="454"/>
      <c r="BA681" s="1306"/>
      <c r="BC681" s="169"/>
    </row>
    <row r="682" spans="19:55">
      <c r="S682" s="454"/>
      <c r="AN682" s="454"/>
      <c r="AY682" s="454"/>
      <c r="AZ682" s="454"/>
      <c r="BA682" s="1306"/>
      <c r="BC682" s="169"/>
    </row>
    <row r="683" spans="19:55">
      <c r="S683" s="454"/>
      <c r="AN683" s="454"/>
      <c r="AY683" s="454"/>
      <c r="AZ683" s="454"/>
      <c r="BA683" s="1306"/>
      <c r="BC683" s="169"/>
    </row>
    <row r="684" spans="19:55">
      <c r="S684" s="454"/>
      <c r="AN684" s="454"/>
      <c r="AY684" s="454"/>
      <c r="AZ684" s="454"/>
      <c r="BA684" s="1306"/>
      <c r="BC684" s="169"/>
    </row>
    <row r="685" spans="19:55">
      <c r="S685" s="454"/>
      <c r="AN685" s="454"/>
      <c r="AY685" s="454"/>
      <c r="AZ685" s="454"/>
      <c r="BA685" s="1306"/>
      <c r="BC685" s="169"/>
    </row>
    <row r="686" spans="19:55">
      <c r="S686" s="454"/>
      <c r="AN686" s="454"/>
      <c r="AY686" s="454"/>
      <c r="AZ686" s="454"/>
      <c r="BA686" s="1306"/>
      <c r="BC686" s="169"/>
    </row>
    <row r="687" spans="19:55">
      <c r="S687" s="454"/>
      <c r="AN687" s="454"/>
      <c r="AY687" s="454"/>
      <c r="AZ687" s="454"/>
      <c r="BA687" s="1306"/>
      <c r="BC687" s="169"/>
    </row>
    <row r="688" spans="19:55">
      <c r="S688" s="454"/>
      <c r="AN688" s="454"/>
      <c r="AY688" s="454"/>
      <c r="AZ688" s="454"/>
      <c r="BA688" s="1306"/>
      <c r="BC688" s="169"/>
    </row>
    <row r="689" spans="19:55">
      <c r="S689" s="454"/>
      <c r="AN689" s="454"/>
      <c r="AY689" s="454"/>
      <c r="AZ689" s="454"/>
      <c r="BA689" s="1306"/>
      <c r="BC689" s="169"/>
    </row>
    <row r="690" spans="19:55">
      <c r="S690" s="454"/>
      <c r="AN690" s="454"/>
      <c r="AY690" s="454"/>
      <c r="AZ690" s="454"/>
      <c r="BA690" s="1306"/>
      <c r="BC690" s="169"/>
    </row>
    <row r="691" spans="19:55">
      <c r="S691" s="454"/>
      <c r="AN691" s="454"/>
      <c r="AY691" s="454"/>
      <c r="AZ691" s="454"/>
      <c r="BA691" s="1306"/>
      <c r="BC691" s="169"/>
    </row>
    <row r="692" spans="19:55">
      <c r="S692" s="454"/>
      <c r="AN692" s="454"/>
      <c r="AY692" s="454"/>
      <c r="AZ692" s="454"/>
      <c r="BA692" s="1306"/>
      <c r="BC692" s="169"/>
    </row>
    <row r="693" spans="19:55">
      <c r="S693" s="454"/>
      <c r="AN693" s="454"/>
      <c r="AY693" s="454"/>
      <c r="AZ693" s="454"/>
      <c r="BA693" s="1306"/>
      <c r="BC693" s="169"/>
    </row>
    <row r="694" spans="19:55">
      <c r="S694" s="454"/>
      <c r="AN694" s="454"/>
      <c r="AY694" s="454"/>
      <c r="AZ694" s="454"/>
      <c r="BA694" s="1306"/>
      <c r="BC694" s="169"/>
    </row>
    <row r="695" spans="19:55">
      <c r="S695" s="454"/>
      <c r="AN695" s="454"/>
      <c r="AY695" s="454"/>
      <c r="AZ695" s="454"/>
      <c r="BA695" s="1306"/>
      <c r="BC695" s="169"/>
    </row>
    <row r="696" spans="19:55">
      <c r="S696" s="454"/>
      <c r="AN696" s="454"/>
      <c r="AY696" s="454"/>
      <c r="AZ696" s="454"/>
      <c r="BA696" s="1306"/>
      <c r="BC696" s="169"/>
    </row>
    <row r="697" spans="19:55">
      <c r="S697" s="454"/>
      <c r="AN697" s="454"/>
      <c r="AY697" s="454"/>
      <c r="AZ697" s="454"/>
      <c r="BA697" s="1306"/>
      <c r="BC697" s="169"/>
    </row>
    <row r="698" spans="19:55">
      <c r="S698" s="454"/>
      <c r="AN698" s="454"/>
      <c r="AY698" s="454"/>
      <c r="AZ698" s="454"/>
      <c r="BA698" s="1306"/>
      <c r="BC698" s="169"/>
    </row>
    <row r="699" spans="19:55">
      <c r="S699" s="454"/>
      <c r="AN699" s="454"/>
      <c r="AY699" s="454"/>
      <c r="AZ699" s="454"/>
      <c r="BA699" s="1306"/>
      <c r="BC699" s="169"/>
    </row>
    <row r="700" spans="19:55">
      <c r="S700" s="454"/>
      <c r="AN700" s="454"/>
      <c r="AY700" s="454"/>
      <c r="AZ700" s="454"/>
      <c r="BA700" s="1306"/>
      <c r="BC700" s="169"/>
    </row>
    <row r="701" spans="19:55">
      <c r="S701" s="454"/>
      <c r="AN701" s="454"/>
      <c r="AY701" s="454"/>
      <c r="AZ701" s="454"/>
      <c r="BA701" s="1306"/>
      <c r="BC701" s="169"/>
    </row>
    <row r="702" spans="19:55">
      <c r="S702" s="454"/>
      <c r="AN702" s="454"/>
      <c r="AY702" s="454"/>
      <c r="AZ702" s="454"/>
      <c r="BA702" s="1306"/>
      <c r="BC702" s="169"/>
    </row>
    <row r="703" spans="19:55">
      <c r="S703" s="454"/>
      <c r="AN703" s="454"/>
      <c r="AY703" s="454"/>
      <c r="AZ703" s="454"/>
      <c r="BA703" s="1306"/>
      <c r="BC703" s="169"/>
    </row>
    <row r="704" spans="19:55">
      <c r="S704" s="454"/>
      <c r="AN704" s="454"/>
      <c r="AY704" s="454"/>
      <c r="AZ704" s="454"/>
      <c r="BA704" s="1306"/>
      <c r="BC704" s="169"/>
    </row>
    <row r="705" spans="19:55">
      <c r="S705" s="454"/>
      <c r="AN705" s="454"/>
      <c r="AY705" s="454"/>
      <c r="AZ705" s="454"/>
      <c r="BA705" s="1306"/>
      <c r="BC705" s="169"/>
    </row>
    <row r="706" spans="19:55">
      <c r="S706" s="454"/>
      <c r="AN706" s="454"/>
      <c r="AY706" s="454"/>
      <c r="AZ706" s="454"/>
      <c r="BA706" s="1306"/>
      <c r="BC706" s="169"/>
    </row>
    <row r="707" spans="19:55">
      <c r="S707" s="454"/>
      <c r="AN707" s="454"/>
      <c r="AY707" s="454"/>
      <c r="AZ707" s="454"/>
      <c r="BA707" s="1306"/>
      <c r="BC707" s="169"/>
    </row>
    <row r="708" spans="19:55">
      <c r="S708" s="454"/>
      <c r="AN708" s="454"/>
      <c r="AY708" s="454"/>
      <c r="AZ708" s="454"/>
      <c r="BA708" s="1306"/>
      <c r="BC708" s="169"/>
    </row>
    <row r="709" spans="19:55">
      <c r="S709" s="454"/>
      <c r="AN709" s="454"/>
      <c r="AY709" s="454"/>
      <c r="AZ709" s="454"/>
      <c r="BA709" s="1306"/>
      <c r="BC709" s="169"/>
    </row>
    <row r="710" spans="19:55">
      <c r="S710" s="454"/>
      <c r="AN710" s="454"/>
      <c r="AY710" s="454"/>
      <c r="AZ710" s="454"/>
      <c r="BA710" s="1306"/>
      <c r="BC710" s="169"/>
    </row>
    <row r="711" spans="19:55">
      <c r="S711" s="454"/>
      <c r="AN711" s="454"/>
      <c r="AY711" s="454"/>
      <c r="AZ711" s="454"/>
      <c r="BA711" s="1306"/>
      <c r="BC711" s="169"/>
    </row>
    <row r="712" spans="19:55">
      <c r="S712" s="454"/>
      <c r="AN712" s="454"/>
      <c r="AY712" s="454"/>
      <c r="AZ712" s="454"/>
      <c r="BA712" s="1306"/>
      <c r="BC712" s="169"/>
    </row>
    <row r="713" spans="19:55">
      <c r="S713" s="454"/>
      <c r="AN713" s="454"/>
      <c r="AY713" s="454"/>
      <c r="AZ713" s="454"/>
      <c r="BA713" s="1306"/>
      <c r="BC713" s="169"/>
    </row>
    <row r="714" spans="19:55">
      <c r="S714" s="454"/>
      <c r="AN714" s="454"/>
      <c r="AY714" s="454"/>
      <c r="AZ714" s="454"/>
      <c r="BA714" s="1306"/>
      <c r="BC714" s="169"/>
    </row>
    <row r="715" spans="19:55">
      <c r="S715" s="454"/>
      <c r="AN715" s="454"/>
      <c r="AY715" s="454"/>
      <c r="AZ715" s="454"/>
      <c r="BA715" s="1306"/>
      <c r="BC715" s="169"/>
    </row>
    <row r="716" spans="19:55">
      <c r="S716" s="454"/>
      <c r="AN716" s="454"/>
      <c r="AY716" s="454"/>
      <c r="AZ716" s="454"/>
      <c r="BA716" s="1306"/>
      <c r="BC716" s="169"/>
    </row>
    <row r="717" spans="19:55">
      <c r="S717" s="454"/>
      <c r="AN717" s="454"/>
      <c r="AY717" s="454"/>
      <c r="AZ717" s="454"/>
      <c r="BA717" s="1306"/>
      <c r="BC717" s="169"/>
    </row>
    <row r="718" spans="19:55">
      <c r="S718" s="454"/>
      <c r="AN718" s="454"/>
      <c r="AY718" s="454"/>
      <c r="AZ718" s="454"/>
      <c r="BA718" s="1306"/>
      <c r="BC718" s="169"/>
    </row>
    <row r="719" spans="19:55">
      <c r="S719" s="454"/>
      <c r="AN719" s="454"/>
      <c r="AY719" s="454"/>
      <c r="AZ719" s="454"/>
      <c r="BA719" s="1306"/>
      <c r="BC719" s="169"/>
    </row>
    <row r="720" spans="19:55">
      <c r="S720" s="454"/>
      <c r="AN720" s="454"/>
      <c r="AY720" s="454"/>
      <c r="AZ720" s="454"/>
      <c r="BA720" s="1306"/>
      <c r="BC720" s="169"/>
    </row>
    <row r="721" spans="19:55">
      <c r="S721" s="454"/>
      <c r="AN721" s="454"/>
      <c r="AY721" s="454"/>
      <c r="AZ721" s="454"/>
      <c r="BA721" s="1306"/>
      <c r="BC721" s="169"/>
    </row>
    <row r="722" spans="19:55">
      <c r="S722" s="454"/>
      <c r="AN722" s="454"/>
      <c r="AY722" s="454"/>
      <c r="AZ722" s="454"/>
      <c r="BA722" s="1306"/>
      <c r="BC722" s="169"/>
    </row>
    <row r="723" spans="19:55">
      <c r="S723" s="454"/>
      <c r="AN723" s="454"/>
      <c r="AY723" s="454"/>
      <c r="AZ723" s="454"/>
      <c r="BA723" s="1306"/>
      <c r="BC723" s="169"/>
    </row>
    <row r="724" spans="19:55">
      <c r="S724" s="454"/>
      <c r="AN724" s="454"/>
      <c r="AY724" s="454"/>
      <c r="AZ724" s="454"/>
      <c r="BA724" s="1306"/>
      <c r="BC724" s="169"/>
    </row>
    <row r="725" spans="19:55">
      <c r="S725" s="454"/>
      <c r="AN725" s="454"/>
      <c r="AY725" s="454"/>
      <c r="AZ725" s="454"/>
      <c r="BA725" s="1306"/>
      <c r="BC725" s="169"/>
    </row>
    <row r="726" spans="19:55">
      <c r="S726" s="454"/>
      <c r="AN726" s="454"/>
      <c r="AY726" s="454"/>
      <c r="AZ726" s="454"/>
      <c r="BA726" s="1306"/>
      <c r="BC726" s="169"/>
    </row>
    <row r="727" spans="19:55">
      <c r="S727" s="454"/>
      <c r="AN727" s="454"/>
      <c r="AY727" s="454"/>
      <c r="AZ727" s="454"/>
      <c r="BA727" s="1306"/>
      <c r="BC727" s="169"/>
    </row>
    <row r="728" spans="19:55">
      <c r="S728" s="454"/>
      <c r="AN728" s="454"/>
      <c r="AY728" s="454"/>
      <c r="AZ728" s="454"/>
      <c r="BA728" s="1306"/>
      <c r="BC728" s="169"/>
    </row>
    <row r="729" spans="19:55">
      <c r="S729" s="454"/>
      <c r="AN729" s="454"/>
      <c r="AY729" s="454"/>
      <c r="AZ729" s="454"/>
      <c r="BA729" s="1306"/>
      <c r="BC729" s="169"/>
    </row>
    <row r="730" spans="19:55">
      <c r="S730" s="454"/>
      <c r="AN730" s="454"/>
      <c r="AY730" s="454"/>
      <c r="AZ730" s="454"/>
      <c r="BA730" s="1306"/>
      <c r="BC730" s="169"/>
    </row>
    <row r="731" spans="19:55">
      <c r="S731" s="454"/>
      <c r="AN731" s="454"/>
      <c r="AY731" s="454"/>
      <c r="AZ731" s="454"/>
      <c r="BA731" s="1306"/>
      <c r="BC731" s="169"/>
    </row>
    <row r="732" spans="19:55">
      <c r="S732" s="454"/>
      <c r="AN732" s="454"/>
      <c r="AY732" s="454"/>
      <c r="AZ732" s="454"/>
      <c r="BA732" s="1306"/>
      <c r="BC732" s="169"/>
    </row>
    <row r="733" spans="19:55">
      <c r="S733" s="454"/>
      <c r="AN733" s="454"/>
      <c r="AY733" s="454"/>
      <c r="AZ733" s="454"/>
      <c r="BA733" s="1306"/>
      <c r="BC733" s="169"/>
    </row>
    <row r="734" spans="19:55">
      <c r="S734" s="454"/>
      <c r="AN734" s="454"/>
      <c r="AY734" s="454"/>
      <c r="AZ734" s="454"/>
      <c r="BA734" s="1306"/>
      <c r="BC734" s="169"/>
    </row>
    <row r="735" spans="19:55">
      <c r="S735" s="454"/>
      <c r="AN735" s="454"/>
      <c r="AY735" s="454"/>
      <c r="AZ735" s="454"/>
      <c r="BA735" s="1306"/>
      <c r="BC735" s="169"/>
    </row>
    <row r="736" spans="19:55">
      <c r="S736" s="454"/>
      <c r="AN736" s="454"/>
      <c r="AY736" s="454"/>
      <c r="AZ736" s="454"/>
      <c r="BA736" s="1306"/>
      <c r="BC736" s="169"/>
    </row>
    <row r="737" spans="19:55">
      <c r="S737" s="454"/>
      <c r="AN737" s="454"/>
      <c r="AY737" s="454"/>
      <c r="AZ737" s="454"/>
      <c r="BA737" s="1306"/>
      <c r="BC737" s="169"/>
    </row>
    <row r="738" spans="19:55">
      <c r="S738" s="454"/>
      <c r="AN738" s="454"/>
      <c r="AY738" s="454"/>
      <c r="AZ738" s="454"/>
      <c r="BA738" s="1306"/>
      <c r="BC738" s="169"/>
    </row>
    <row r="739" spans="19:55">
      <c r="S739" s="454"/>
      <c r="AN739" s="454"/>
      <c r="AY739" s="454"/>
      <c r="AZ739" s="454"/>
      <c r="BA739" s="1306"/>
      <c r="BC739" s="169"/>
    </row>
    <row r="740" spans="19:55">
      <c r="S740" s="454"/>
      <c r="AN740" s="454"/>
      <c r="AY740" s="454"/>
      <c r="AZ740" s="454"/>
      <c r="BA740" s="1306"/>
      <c r="BC740" s="169"/>
    </row>
    <row r="741" spans="19:55">
      <c r="S741" s="454"/>
      <c r="AN741" s="454"/>
      <c r="AY741" s="454"/>
      <c r="AZ741" s="454"/>
      <c r="BA741" s="1306"/>
      <c r="BC741" s="169"/>
    </row>
    <row r="742" spans="19:55">
      <c r="S742" s="454"/>
      <c r="AN742" s="454"/>
      <c r="AY742" s="454"/>
      <c r="AZ742" s="454"/>
      <c r="BA742" s="1306"/>
      <c r="BC742" s="169"/>
    </row>
    <row r="743" spans="19:55">
      <c r="S743" s="454"/>
      <c r="AN743" s="454"/>
      <c r="AY743" s="454"/>
      <c r="AZ743" s="454"/>
      <c r="BA743" s="1306"/>
      <c r="BC743" s="169"/>
    </row>
    <row r="744" spans="19:55">
      <c r="S744" s="454"/>
      <c r="AN744" s="454"/>
      <c r="AY744" s="454"/>
      <c r="AZ744" s="454"/>
      <c r="BA744" s="1306"/>
      <c r="BC744" s="169"/>
    </row>
    <row r="745" spans="19:55">
      <c r="S745" s="454"/>
      <c r="AN745" s="454"/>
      <c r="AY745" s="454"/>
      <c r="AZ745" s="454"/>
      <c r="BA745" s="1306"/>
      <c r="BC745" s="169"/>
    </row>
    <row r="746" spans="19:55">
      <c r="S746" s="454"/>
      <c r="AN746" s="454"/>
      <c r="AY746" s="454"/>
      <c r="AZ746" s="454"/>
      <c r="BA746" s="1306"/>
      <c r="BC746" s="169"/>
    </row>
    <row r="747" spans="19:55">
      <c r="S747" s="454"/>
      <c r="AN747" s="454"/>
      <c r="AY747" s="454"/>
      <c r="AZ747" s="454"/>
      <c r="BA747" s="1306"/>
      <c r="BC747" s="169"/>
    </row>
    <row r="748" spans="19:55">
      <c r="S748" s="454"/>
      <c r="AN748" s="454"/>
      <c r="AY748" s="454"/>
      <c r="AZ748" s="454"/>
      <c r="BA748" s="1306"/>
      <c r="BC748" s="169"/>
    </row>
    <row r="749" spans="19:55">
      <c r="S749" s="454"/>
      <c r="AN749" s="454"/>
      <c r="AY749" s="454"/>
      <c r="AZ749" s="454"/>
      <c r="BA749" s="1306"/>
      <c r="BC749" s="169"/>
    </row>
    <row r="750" spans="19:55">
      <c r="S750" s="454"/>
      <c r="AN750" s="454"/>
      <c r="AY750" s="454"/>
      <c r="AZ750" s="454"/>
      <c r="BA750" s="1306"/>
      <c r="BC750" s="169"/>
    </row>
    <row r="751" spans="19:55">
      <c r="S751" s="454"/>
      <c r="AN751" s="454"/>
      <c r="AY751" s="454"/>
      <c r="AZ751" s="454"/>
      <c r="BA751" s="1306"/>
      <c r="BC751" s="169"/>
    </row>
    <row r="752" spans="19:55">
      <c r="S752" s="454"/>
      <c r="AN752" s="454"/>
      <c r="AY752" s="454"/>
      <c r="AZ752" s="454"/>
      <c r="BA752" s="1306"/>
      <c r="BC752" s="169"/>
    </row>
    <row r="753" spans="19:55">
      <c r="S753" s="454"/>
      <c r="AN753" s="454"/>
      <c r="AY753" s="454"/>
      <c r="AZ753" s="454"/>
      <c r="BA753" s="1306"/>
      <c r="BC753" s="169"/>
    </row>
    <row r="754" spans="19:55">
      <c r="S754" s="454"/>
      <c r="AN754" s="454"/>
      <c r="AY754" s="454"/>
      <c r="AZ754" s="454"/>
      <c r="BA754" s="1306"/>
      <c r="BC754" s="169"/>
    </row>
    <row r="755" spans="19:55">
      <c r="S755" s="454"/>
      <c r="AN755" s="454"/>
      <c r="AY755" s="454"/>
      <c r="AZ755" s="454"/>
      <c r="BA755" s="1306"/>
      <c r="BC755" s="169"/>
    </row>
    <row r="756" spans="19:55">
      <c r="S756" s="454"/>
      <c r="AN756" s="454"/>
      <c r="AY756" s="454"/>
      <c r="AZ756" s="454"/>
      <c r="BA756" s="1306"/>
      <c r="BC756" s="169"/>
    </row>
    <row r="757" spans="19:55">
      <c r="S757" s="454"/>
      <c r="AN757" s="454"/>
      <c r="AY757" s="454"/>
      <c r="AZ757" s="454"/>
      <c r="BA757" s="1306"/>
      <c r="BC757" s="169"/>
    </row>
    <row r="758" spans="19:55">
      <c r="S758" s="454"/>
      <c r="AN758" s="454"/>
      <c r="AY758" s="454"/>
      <c r="AZ758" s="454"/>
      <c r="BA758" s="1306"/>
      <c r="BC758" s="169"/>
    </row>
    <row r="759" spans="19:55">
      <c r="S759" s="454"/>
      <c r="AN759" s="454"/>
      <c r="AY759" s="454"/>
      <c r="AZ759" s="454"/>
      <c r="BA759" s="1306"/>
      <c r="BC759" s="169"/>
    </row>
    <row r="760" spans="19:55">
      <c r="S760" s="454"/>
      <c r="AN760" s="454"/>
      <c r="AY760" s="454"/>
      <c r="AZ760" s="454"/>
      <c r="BA760" s="1306"/>
      <c r="BC760" s="169"/>
    </row>
    <row r="761" spans="19:55">
      <c r="S761" s="454"/>
      <c r="AN761" s="454"/>
      <c r="AY761" s="454"/>
      <c r="AZ761" s="454"/>
      <c r="BA761" s="1306"/>
      <c r="BC761" s="169"/>
    </row>
    <row r="762" spans="19:55">
      <c r="S762" s="454"/>
      <c r="AN762" s="454"/>
      <c r="AY762" s="454"/>
      <c r="AZ762" s="454"/>
      <c r="BA762" s="1306"/>
      <c r="BC762" s="169"/>
    </row>
    <row r="763" spans="19:55">
      <c r="S763" s="454"/>
      <c r="AN763" s="454"/>
      <c r="AY763" s="454"/>
      <c r="AZ763" s="454"/>
      <c r="BA763" s="1306"/>
      <c r="BC763" s="169"/>
    </row>
    <row r="764" spans="19:55">
      <c r="S764" s="454"/>
      <c r="AN764" s="454"/>
      <c r="AY764" s="454"/>
      <c r="AZ764" s="454"/>
      <c r="BA764" s="1306"/>
      <c r="BC764" s="169"/>
    </row>
    <row r="765" spans="19:55">
      <c r="S765" s="454"/>
      <c r="AN765" s="454"/>
      <c r="AY765" s="454"/>
      <c r="AZ765" s="454"/>
      <c r="BA765" s="1306"/>
      <c r="BC765" s="169"/>
    </row>
    <row r="766" spans="19:55">
      <c r="S766" s="454"/>
      <c r="AN766" s="454"/>
      <c r="AY766" s="454"/>
      <c r="AZ766" s="454"/>
      <c r="BA766" s="1306"/>
      <c r="BC766" s="169"/>
    </row>
    <row r="767" spans="19:55">
      <c r="S767" s="454"/>
      <c r="AN767" s="454"/>
      <c r="AY767" s="454"/>
      <c r="AZ767" s="454"/>
      <c r="BA767" s="1306"/>
      <c r="BC767" s="169"/>
    </row>
    <row r="768" spans="19:55">
      <c r="S768" s="454"/>
      <c r="AN768" s="454"/>
      <c r="AY768" s="454"/>
      <c r="AZ768" s="454"/>
      <c r="BA768" s="1306"/>
      <c r="BC768" s="169"/>
    </row>
    <row r="769" spans="19:55">
      <c r="S769" s="454"/>
      <c r="AN769" s="454"/>
      <c r="AY769" s="454"/>
      <c r="AZ769" s="454"/>
      <c r="BA769" s="1306"/>
      <c r="BC769" s="169"/>
    </row>
    <row r="770" spans="19:55">
      <c r="S770" s="454"/>
      <c r="AN770" s="454"/>
      <c r="AY770" s="454"/>
      <c r="AZ770" s="454"/>
      <c r="BA770" s="1306"/>
      <c r="BC770" s="169"/>
    </row>
    <row r="771" spans="19:55">
      <c r="S771" s="454"/>
      <c r="AN771" s="454"/>
      <c r="AY771" s="454"/>
      <c r="AZ771" s="454"/>
      <c r="BA771" s="1306"/>
      <c r="BC771" s="169"/>
    </row>
    <row r="772" spans="19:55">
      <c r="S772" s="454"/>
      <c r="AN772" s="454"/>
      <c r="AY772" s="454"/>
      <c r="AZ772" s="454"/>
      <c r="BA772" s="1306"/>
      <c r="BC772" s="169"/>
    </row>
    <row r="773" spans="19:55">
      <c r="S773" s="454"/>
      <c r="AN773" s="454"/>
      <c r="AY773" s="454"/>
      <c r="AZ773" s="454"/>
      <c r="BA773" s="1306"/>
      <c r="BC773" s="169"/>
    </row>
    <row r="774" spans="19:55">
      <c r="S774" s="454"/>
      <c r="AN774" s="454"/>
      <c r="AY774" s="454"/>
      <c r="AZ774" s="454"/>
      <c r="BA774" s="1306"/>
      <c r="BC774" s="169"/>
    </row>
    <row r="775" spans="19:55">
      <c r="S775" s="454"/>
      <c r="AN775" s="454"/>
      <c r="AY775" s="454"/>
      <c r="AZ775" s="454"/>
      <c r="BA775" s="1306"/>
      <c r="BC775" s="169"/>
    </row>
    <row r="776" spans="19:55">
      <c r="S776" s="454"/>
      <c r="AN776" s="454"/>
      <c r="AY776" s="454"/>
      <c r="AZ776" s="454"/>
      <c r="BA776" s="1306"/>
      <c r="BC776" s="169"/>
    </row>
    <row r="777" spans="19:55">
      <c r="S777" s="454"/>
      <c r="AN777" s="454"/>
      <c r="AY777" s="454"/>
      <c r="AZ777" s="454"/>
      <c r="BA777" s="1306"/>
      <c r="BC777" s="169"/>
    </row>
    <row r="778" spans="19:55">
      <c r="S778" s="454"/>
      <c r="AN778" s="454"/>
      <c r="AY778" s="454"/>
      <c r="AZ778" s="454"/>
      <c r="BA778" s="1306"/>
      <c r="BC778" s="169"/>
    </row>
    <row r="779" spans="19:55">
      <c r="S779" s="454"/>
      <c r="AN779" s="454"/>
      <c r="AY779" s="454"/>
      <c r="AZ779" s="454"/>
      <c r="BA779" s="1306"/>
      <c r="BC779" s="169"/>
    </row>
    <row r="780" spans="19:55">
      <c r="S780" s="454"/>
      <c r="AN780" s="454"/>
      <c r="AY780" s="454"/>
      <c r="AZ780" s="454"/>
      <c r="BA780" s="1306"/>
      <c r="BC780" s="169"/>
    </row>
    <row r="781" spans="19:55">
      <c r="S781" s="454"/>
      <c r="AN781" s="454"/>
      <c r="AY781" s="454"/>
      <c r="AZ781" s="454"/>
      <c r="BA781" s="1306"/>
      <c r="BC781" s="169"/>
    </row>
    <row r="782" spans="19:55">
      <c r="S782" s="454"/>
      <c r="AN782" s="454"/>
      <c r="AY782" s="454"/>
      <c r="AZ782" s="454"/>
      <c r="BA782" s="1306"/>
      <c r="BC782" s="169"/>
    </row>
    <row r="783" spans="19:55">
      <c r="S783" s="454"/>
      <c r="AN783" s="454"/>
      <c r="AY783" s="454"/>
      <c r="AZ783" s="454"/>
      <c r="BA783" s="1306"/>
      <c r="BC783" s="169"/>
    </row>
    <row r="784" spans="19:55">
      <c r="S784" s="454"/>
      <c r="AN784" s="454"/>
      <c r="AY784" s="454"/>
      <c r="AZ784" s="454"/>
      <c r="BA784" s="1306"/>
      <c r="BC784" s="169"/>
    </row>
    <row r="785" spans="19:55">
      <c r="S785" s="454"/>
      <c r="AN785" s="454"/>
      <c r="AY785" s="454"/>
      <c r="AZ785" s="454"/>
      <c r="BA785" s="1306"/>
      <c r="BC785" s="169"/>
    </row>
    <row r="786" spans="19:55">
      <c r="S786" s="454"/>
      <c r="AN786" s="454"/>
      <c r="AY786" s="454"/>
      <c r="AZ786" s="454"/>
      <c r="BA786" s="1306"/>
      <c r="BC786" s="169"/>
    </row>
    <row r="787" spans="19:55">
      <c r="S787" s="454"/>
      <c r="AN787" s="454"/>
      <c r="AY787" s="454"/>
      <c r="AZ787" s="454"/>
      <c r="BA787" s="1306"/>
      <c r="BC787" s="169"/>
    </row>
    <row r="788" spans="19:55">
      <c r="S788" s="454"/>
      <c r="AN788" s="454"/>
      <c r="AY788" s="454"/>
      <c r="AZ788" s="454"/>
      <c r="BA788" s="1306"/>
      <c r="BC788" s="169"/>
    </row>
    <row r="789" spans="19:55">
      <c r="S789" s="454"/>
      <c r="AN789" s="454"/>
      <c r="AY789" s="454"/>
      <c r="AZ789" s="454"/>
      <c r="BA789" s="1306"/>
      <c r="BC789" s="169"/>
    </row>
    <row r="790" spans="19:55">
      <c r="S790" s="454"/>
      <c r="AN790" s="454"/>
      <c r="AY790" s="454"/>
      <c r="AZ790" s="454"/>
      <c r="BA790" s="1306"/>
      <c r="BC790" s="169"/>
    </row>
    <row r="791" spans="19:55">
      <c r="S791" s="454"/>
      <c r="AN791" s="454"/>
      <c r="AY791" s="454"/>
      <c r="AZ791" s="454"/>
      <c r="BA791" s="1306"/>
      <c r="BC791" s="169"/>
    </row>
    <row r="792" spans="19:55">
      <c r="S792" s="454"/>
      <c r="AN792" s="454"/>
      <c r="AY792" s="454"/>
      <c r="AZ792" s="454"/>
      <c r="BA792" s="1306"/>
      <c r="BC792" s="169"/>
    </row>
    <row r="793" spans="19:55">
      <c r="S793" s="454"/>
      <c r="AN793" s="454"/>
      <c r="AY793" s="454"/>
      <c r="AZ793" s="454"/>
      <c r="BA793" s="1306"/>
      <c r="BC793" s="169"/>
    </row>
    <row r="794" spans="19:55">
      <c r="S794" s="454"/>
      <c r="AN794" s="454"/>
      <c r="AY794" s="454"/>
      <c r="AZ794" s="454"/>
      <c r="BA794" s="1306"/>
      <c r="BC794" s="169"/>
    </row>
    <row r="795" spans="19:55">
      <c r="S795" s="454"/>
      <c r="AN795" s="454"/>
      <c r="AY795" s="454"/>
      <c r="AZ795" s="454"/>
      <c r="BA795" s="1306"/>
      <c r="BC795" s="169"/>
    </row>
    <row r="796" spans="19:55">
      <c r="S796" s="454"/>
      <c r="AN796" s="454"/>
      <c r="AY796" s="454"/>
      <c r="AZ796" s="454"/>
      <c r="BA796" s="1306"/>
      <c r="BC796" s="169"/>
    </row>
    <row r="797" spans="19:55">
      <c r="S797" s="454"/>
      <c r="AN797" s="454"/>
      <c r="AY797" s="454"/>
      <c r="AZ797" s="454"/>
      <c r="BA797" s="1306"/>
      <c r="BC797" s="169"/>
    </row>
    <row r="798" spans="19:55">
      <c r="S798" s="454"/>
      <c r="AN798" s="454"/>
      <c r="AY798" s="454"/>
      <c r="AZ798" s="454"/>
      <c r="BA798" s="1306"/>
      <c r="BC798" s="169"/>
    </row>
    <row r="799" spans="19:55">
      <c r="S799" s="454"/>
      <c r="AN799" s="454"/>
      <c r="AY799" s="454"/>
      <c r="AZ799" s="454"/>
      <c r="BA799" s="1306"/>
      <c r="BC799" s="169"/>
    </row>
    <row r="800" spans="19:55">
      <c r="S800" s="454"/>
      <c r="AN800" s="454"/>
      <c r="AY800" s="454"/>
      <c r="AZ800" s="454"/>
      <c r="BA800" s="1306"/>
      <c r="BC800" s="169"/>
    </row>
    <row r="801" spans="19:55">
      <c r="S801" s="454"/>
      <c r="AN801" s="454"/>
      <c r="AY801" s="454"/>
      <c r="AZ801" s="454"/>
      <c r="BA801" s="1306"/>
      <c r="BC801" s="169"/>
    </row>
    <row r="802" spans="19:55">
      <c r="S802" s="454"/>
      <c r="AN802" s="454"/>
      <c r="AY802" s="454"/>
      <c r="AZ802" s="454"/>
      <c r="BA802" s="1306"/>
      <c r="BC802" s="169"/>
    </row>
    <row r="803" spans="19:55">
      <c r="S803" s="454"/>
      <c r="AN803" s="454"/>
      <c r="AY803" s="454"/>
      <c r="AZ803" s="454"/>
      <c r="BA803" s="1306"/>
      <c r="BC803" s="169"/>
    </row>
    <row r="804" spans="19:55">
      <c r="S804" s="454"/>
      <c r="AN804" s="454"/>
      <c r="AY804" s="454"/>
      <c r="AZ804" s="454"/>
      <c r="BA804" s="1306"/>
      <c r="BC804" s="169"/>
    </row>
    <row r="805" spans="19:55">
      <c r="S805" s="454"/>
      <c r="AN805" s="454"/>
      <c r="AY805" s="454"/>
      <c r="AZ805" s="454"/>
      <c r="BA805" s="1306"/>
      <c r="BC805" s="169"/>
    </row>
    <row r="806" spans="19:55">
      <c r="S806" s="454"/>
      <c r="AN806" s="454"/>
      <c r="AY806" s="454"/>
      <c r="AZ806" s="454"/>
      <c r="BA806" s="1306"/>
      <c r="BC806" s="169"/>
    </row>
    <row r="807" spans="19:55">
      <c r="S807" s="454"/>
      <c r="AN807" s="454"/>
      <c r="AY807" s="454"/>
      <c r="AZ807" s="454"/>
      <c r="BA807" s="1306"/>
      <c r="BC807" s="169"/>
    </row>
    <row r="808" spans="19:55">
      <c r="S808" s="454"/>
      <c r="AN808" s="454"/>
      <c r="AY808" s="454"/>
      <c r="AZ808" s="454"/>
      <c r="BA808" s="1306"/>
      <c r="BC808" s="169"/>
    </row>
    <row r="809" spans="19:55">
      <c r="S809" s="454"/>
      <c r="AN809" s="454"/>
      <c r="AY809" s="454"/>
      <c r="AZ809" s="454"/>
      <c r="BA809" s="1306"/>
      <c r="BC809" s="169"/>
    </row>
    <row r="810" spans="19:55">
      <c r="S810" s="454"/>
      <c r="AN810" s="454"/>
      <c r="AY810" s="454"/>
      <c r="AZ810" s="454"/>
      <c r="BA810" s="1306"/>
      <c r="BC810" s="169"/>
    </row>
    <row r="811" spans="19:55">
      <c r="S811" s="454"/>
      <c r="AN811" s="454"/>
      <c r="AY811" s="454"/>
      <c r="AZ811" s="454"/>
      <c r="BA811" s="1306"/>
      <c r="BC811" s="169"/>
    </row>
    <row r="812" spans="19:55">
      <c r="S812" s="454"/>
      <c r="AN812" s="454"/>
      <c r="AY812" s="454"/>
      <c r="AZ812" s="454"/>
      <c r="BA812" s="1306"/>
      <c r="BC812" s="169"/>
    </row>
    <row r="813" spans="19:55">
      <c r="S813" s="454"/>
      <c r="AN813" s="454"/>
      <c r="AY813" s="454"/>
      <c r="AZ813" s="454"/>
      <c r="BA813" s="1306"/>
      <c r="BC813" s="169"/>
    </row>
    <row r="814" spans="19:55">
      <c r="S814" s="454"/>
      <c r="AN814" s="454"/>
      <c r="AY814" s="454"/>
      <c r="AZ814" s="454"/>
      <c r="BA814" s="1306"/>
      <c r="BC814" s="169"/>
    </row>
    <row r="815" spans="19:55">
      <c r="S815" s="454"/>
      <c r="AN815" s="454"/>
      <c r="AY815" s="454"/>
      <c r="AZ815" s="454"/>
      <c r="BA815" s="1306"/>
      <c r="BC815" s="169"/>
    </row>
    <row r="816" spans="19:55">
      <c r="S816" s="454"/>
      <c r="AN816" s="454"/>
      <c r="AY816" s="454"/>
      <c r="AZ816" s="454"/>
      <c r="BA816" s="1306"/>
      <c r="BC816" s="169"/>
    </row>
    <row r="817" spans="19:55">
      <c r="S817" s="454"/>
      <c r="AN817" s="454"/>
      <c r="AY817" s="454"/>
      <c r="AZ817" s="454"/>
      <c r="BA817" s="1306"/>
      <c r="BC817" s="169"/>
    </row>
    <row r="818" spans="19:55">
      <c r="S818" s="454"/>
      <c r="AN818" s="454"/>
      <c r="AY818" s="454"/>
      <c r="AZ818" s="454"/>
      <c r="BA818" s="1306"/>
      <c r="BC818" s="169"/>
    </row>
    <row r="819" spans="19:55">
      <c r="S819" s="454"/>
      <c r="AN819" s="454"/>
      <c r="AY819" s="454"/>
      <c r="AZ819" s="454"/>
      <c r="BA819" s="1306"/>
      <c r="BC819" s="169"/>
    </row>
    <row r="820" spans="19:55">
      <c r="S820" s="454"/>
      <c r="AN820" s="454"/>
      <c r="AY820" s="454"/>
      <c r="AZ820" s="454"/>
      <c r="BA820" s="1306"/>
      <c r="BC820" s="169"/>
    </row>
    <row r="821" spans="19:55">
      <c r="S821" s="454"/>
      <c r="AN821" s="454"/>
      <c r="AY821" s="454"/>
      <c r="AZ821" s="454"/>
      <c r="BA821" s="1306"/>
      <c r="BC821" s="169"/>
    </row>
    <row r="822" spans="19:55">
      <c r="S822" s="454"/>
      <c r="AN822" s="454"/>
      <c r="AY822" s="454"/>
      <c r="AZ822" s="454"/>
      <c r="BA822" s="1306"/>
      <c r="BC822" s="169"/>
    </row>
    <row r="823" spans="19:55">
      <c r="S823" s="454"/>
      <c r="AN823" s="454"/>
      <c r="AY823" s="454"/>
      <c r="AZ823" s="454"/>
      <c r="BA823" s="1306"/>
      <c r="BC823" s="169"/>
    </row>
    <row r="824" spans="19:55">
      <c r="S824" s="454"/>
      <c r="AN824" s="454"/>
      <c r="AY824" s="454"/>
      <c r="AZ824" s="454"/>
      <c r="BA824" s="1306"/>
      <c r="BC824" s="169"/>
    </row>
    <row r="825" spans="19:55">
      <c r="S825" s="454"/>
      <c r="AN825" s="454"/>
      <c r="AY825" s="454"/>
      <c r="AZ825" s="454"/>
      <c r="BA825" s="1306"/>
      <c r="BC825" s="169"/>
    </row>
    <row r="826" spans="19:55">
      <c r="S826" s="454"/>
      <c r="AN826" s="454"/>
      <c r="AY826" s="454"/>
      <c r="AZ826" s="454"/>
      <c r="BA826" s="1306"/>
      <c r="BC826" s="169"/>
    </row>
    <row r="827" spans="19:55">
      <c r="S827" s="454"/>
      <c r="AN827" s="454"/>
      <c r="AY827" s="454"/>
      <c r="AZ827" s="454"/>
      <c r="BA827" s="1306"/>
      <c r="BC827" s="169"/>
    </row>
    <row r="828" spans="19:55">
      <c r="S828" s="454"/>
      <c r="AN828" s="454"/>
      <c r="AY828" s="454"/>
      <c r="AZ828" s="454"/>
      <c r="BA828" s="1306"/>
      <c r="BC828" s="169"/>
    </row>
    <row r="829" spans="19:55">
      <c r="S829" s="454"/>
      <c r="AN829" s="454"/>
      <c r="AY829" s="454"/>
      <c r="AZ829" s="454"/>
      <c r="BA829" s="1306"/>
      <c r="BC829" s="169"/>
    </row>
    <row r="830" spans="19:55">
      <c r="S830" s="454"/>
      <c r="AN830" s="454"/>
      <c r="AY830" s="454"/>
      <c r="AZ830" s="454"/>
      <c r="BA830" s="1306"/>
      <c r="BC830" s="169"/>
    </row>
    <row r="831" spans="19:55">
      <c r="S831" s="454"/>
      <c r="AN831" s="454"/>
      <c r="AY831" s="454"/>
      <c r="AZ831" s="454"/>
      <c r="BA831" s="1306"/>
      <c r="BC831" s="169"/>
    </row>
    <row r="832" spans="19:55">
      <c r="S832" s="454"/>
      <c r="AN832" s="454"/>
      <c r="AY832" s="454"/>
      <c r="AZ832" s="454"/>
      <c r="BA832" s="1306"/>
      <c r="BC832" s="169"/>
    </row>
    <row r="833" spans="19:55">
      <c r="S833" s="454"/>
      <c r="AN833" s="454"/>
      <c r="AY833" s="454"/>
      <c r="AZ833" s="454"/>
      <c r="BA833" s="1306"/>
      <c r="BC833" s="169"/>
    </row>
    <row r="834" spans="19:55">
      <c r="S834" s="454"/>
      <c r="AN834" s="454"/>
      <c r="AY834" s="454"/>
      <c r="AZ834" s="454"/>
      <c r="BA834" s="1306"/>
      <c r="BC834" s="169"/>
    </row>
    <row r="835" spans="19:55">
      <c r="S835" s="454"/>
      <c r="AN835" s="454"/>
      <c r="AY835" s="454"/>
      <c r="AZ835" s="454"/>
      <c r="BA835" s="1306"/>
      <c r="BC835" s="169"/>
    </row>
    <row r="836" spans="19:55">
      <c r="S836" s="454"/>
      <c r="AN836" s="454"/>
      <c r="AY836" s="454"/>
      <c r="AZ836" s="454"/>
      <c r="BA836" s="1306"/>
      <c r="BC836" s="169"/>
    </row>
    <row r="837" spans="19:55">
      <c r="S837" s="454"/>
      <c r="AN837" s="454"/>
      <c r="AY837" s="454"/>
      <c r="AZ837" s="454"/>
      <c r="BA837" s="1306"/>
      <c r="BC837" s="169"/>
    </row>
    <row r="838" spans="19:55">
      <c r="S838" s="454"/>
      <c r="AN838" s="454"/>
      <c r="AY838" s="454"/>
      <c r="AZ838" s="454"/>
      <c r="BA838" s="1306"/>
      <c r="BC838" s="169"/>
    </row>
    <row r="839" spans="19:55">
      <c r="S839" s="454"/>
      <c r="AN839" s="454"/>
      <c r="AY839" s="454"/>
      <c r="AZ839" s="454"/>
      <c r="BA839" s="1306"/>
      <c r="BC839" s="169"/>
    </row>
    <row r="840" spans="19:55">
      <c r="S840" s="454"/>
      <c r="AN840" s="454"/>
      <c r="AY840" s="454"/>
      <c r="AZ840" s="454"/>
      <c r="BA840" s="1306"/>
      <c r="BC840" s="169"/>
    </row>
    <row r="841" spans="19:55">
      <c r="S841" s="454"/>
      <c r="AN841" s="454"/>
      <c r="AY841" s="454"/>
      <c r="AZ841" s="454"/>
      <c r="BA841" s="1306"/>
      <c r="BC841" s="169"/>
    </row>
    <row r="842" spans="19:55">
      <c r="S842" s="454"/>
      <c r="AN842" s="454"/>
      <c r="AY842" s="454"/>
      <c r="AZ842" s="454"/>
      <c r="BA842" s="1306"/>
      <c r="BC842" s="169"/>
    </row>
    <row r="843" spans="19:55">
      <c r="S843" s="454"/>
      <c r="AN843" s="454"/>
      <c r="AY843" s="454"/>
      <c r="AZ843" s="454"/>
      <c r="BA843" s="1306"/>
      <c r="BC843" s="169"/>
    </row>
    <row r="844" spans="19:55">
      <c r="S844" s="454"/>
      <c r="AN844" s="454"/>
      <c r="AY844" s="454"/>
      <c r="AZ844" s="454"/>
      <c r="BA844" s="1306"/>
      <c r="BC844" s="169"/>
    </row>
    <row r="845" spans="19:55">
      <c r="S845" s="454"/>
      <c r="AN845" s="454"/>
      <c r="AY845" s="454"/>
      <c r="AZ845" s="454"/>
      <c r="BA845" s="1306"/>
      <c r="BC845" s="169"/>
    </row>
    <row r="846" spans="19:55">
      <c r="S846" s="454"/>
      <c r="AN846" s="454"/>
      <c r="AY846" s="454"/>
      <c r="AZ846" s="454"/>
      <c r="BA846" s="1306"/>
      <c r="BC846" s="169"/>
    </row>
    <row r="847" spans="19:55">
      <c r="S847" s="454"/>
      <c r="AN847" s="454"/>
      <c r="AY847" s="454"/>
      <c r="AZ847" s="454"/>
      <c r="BA847" s="1306"/>
      <c r="BC847" s="169"/>
    </row>
    <row r="848" spans="19:55">
      <c r="S848" s="454"/>
      <c r="AN848" s="454"/>
      <c r="AY848" s="454"/>
      <c r="AZ848" s="454"/>
      <c r="BA848" s="1306"/>
      <c r="BC848" s="169"/>
    </row>
    <row r="849" spans="19:55">
      <c r="S849" s="454"/>
      <c r="AN849" s="454"/>
      <c r="AY849" s="454"/>
      <c r="AZ849" s="454"/>
      <c r="BA849" s="1306"/>
      <c r="BC849" s="169"/>
    </row>
    <row r="850" spans="19:55">
      <c r="S850" s="454"/>
      <c r="AN850" s="454"/>
      <c r="AY850" s="454"/>
      <c r="AZ850" s="454"/>
      <c r="BA850" s="1306"/>
      <c r="BC850" s="169"/>
    </row>
    <row r="851" spans="19:55">
      <c r="S851" s="454"/>
      <c r="AN851" s="454"/>
      <c r="AY851" s="454"/>
      <c r="AZ851" s="454"/>
      <c r="BA851" s="1306"/>
      <c r="BC851" s="169"/>
    </row>
    <row r="852" spans="19:55">
      <c r="S852" s="454"/>
      <c r="AN852" s="454"/>
      <c r="AY852" s="454"/>
      <c r="AZ852" s="454"/>
      <c r="BA852" s="1306"/>
      <c r="BC852" s="169"/>
    </row>
    <row r="853" spans="19:55">
      <c r="S853" s="454"/>
      <c r="AN853" s="454"/>
      <c r="AY853" s="454"/>
      <c r="AZ853" s="454"/>
      <c r="BA853" s="1306"/>
      <c r="BC853" s="169"/>
    </row>
    <row r="854" spans="19:55">
      <c r="S854" s="454"/>
      <c r="AN854" s="454"/>
      <c r="AY854" s="454"/>
      <c r="AZ854" s="454"/>
      <c r="BA854" s="1306"/>
      <c r="BC854" s="169"/>
    </row>
    <row r="855" spans="19:55">
      <c r="S855" s="454"/>
      <c r="AN855" s="454"/>
      <c r="AY855" s="454"/>
      <c r="AZ855" s="454"/>
      <c r="BA855" s="1306"/>
      <c r="BC855" s="169"/>
    </row>
    <row r="856" spans="19:55">
      <c r="S856" s="454"/>
      <c r="AN856" s="454"/>
      <c r="AY856" s="454"/>
      <c r="AZ856" s="454"/>
      <c r="BA856" s="1306"/>
      <c r="BC856" s="169"/>
    </row>
    <row r="857" spans="19:55">
      <c r="S857" s="454"/>
      <c r="AN857" s="454"/>
      <c r="AY857" s="454"/>
      <c r="AZ857" s="454"/>
      <c r="BA857" s="1306"/>
      <c r="BC857" s="169"/>
    </row>
    <row r="858" spans="19:55">
      <c r="S858" s="454"/>
      <c r="AN858" s="454"/>
      <c r="AY858" s="454"/>
      <c r="AZ858" s="454"/>
      <c r="BA858" s="1306"/>
      <c r="BC858" s="169"/>
    </row>
    <row r="859" spans="19:55">
      <c r="S859" s="454"/>
      <c r="AN859" s="454"/>
      <c r="AY859" s="454"/>
      <c r="AZ859" s="454"/>
      <c r="BA859" s="1306"/>
      <c r="BC859" s="169"/>
    </row>
    <row r="860" spans="19:55">
      <c r="S860" s="454"/>
      <c r="AN860" s="454"/>
      <c r="AY860" s="454"/>
      <c r="AZ860" s="454"/>
      <c r="BA860" s="1306"/>
      <c r="BC860" s="169"/>
    </row>
    <row r="861" spans="19:55">
      <c r="S861" s="454"/>
      <c r="AN861" s="454"/>
      <c r="AY861" s="454"/>
      <c r="AZ861" s="454"/>
      <c r="BA861" s="1306"/>
      <c r="BC861" s="169"/>
    </row>
    <row r="862" spans="19:55">
      <c r="S862" s="454"/>
      <c r="AN862" s="454"/>
      <c r="AY862" s="454"/>
      <c r="AZ862" s="454"/>
      <c r="BA862" s="1306"/>
      <c r="BC862" s="169"/>
    </row>
    <row r="863" spans="19:55">
      <c r="S863" s="454"/>
      <c r="AN863" s="454"/>
      <c r="AY863" s="454"/>
      <c r="AZ863" s="454"/>
      <c r="BA863" s="1306"/>
      <c r="BC863" s="169"/>
    </row>
    <row r="864" spans="19:55">
      <c r="S864" s="454"/>
      <c r="AN864" s="454"/>
      <c r="AY864" s="454"/>
      <c r="AZ864" s="454"/>
      <c r="BA864" s="1306"/>
      <c r="BC864" s="169"/>
    </row>
    <row r="865" spans="19:55">
      <c r="S865" s="454"/>
      <c r="AN865" s="454"/>
      <c r="AY865" s="454"/>
      <c r="AZ865" s="454"/>
      <c r="BA865" s="1306"/>
      <c r="BC865" s="169"/>
    </row>
    <row r="866" spans="19:55">
      <c r="S866" s="454"/>
      <c r="AN866" s="454"/>
      <c r="AY866" s="454"/>
      <c r="AZ866" s="454"/>
      <c r="BA866" s="1306"/>
      <c r="BC866" s="169"/>
    </row>
    <row r="867" spans="19:55">
      <c r="S867" s="454"/>
      <c r="AN867" s="454"/>
      <c r="AY867" s="454"/>
      <c r="AZ867" s="454"/>
      <c r="BA867" s="1306"/>
      <c r="BC867" s="169"/>
    </row>
    <row r="868" spans="19:55">
      <c r="S868" s="454"/>
      <c r="AN868" s="454"/>
      <c r="AY868" s="454"/>
      <c r="AZ868" s="454"/>
      <c r="BA868" s="1306"/>
      <c r="BC868" s="169"/>
    </row>
    <row r="869" spans="19:55">
      <c r="S869" s="454"/>
      <c r="AN869" s="454"/>
      <c r="AY869" s="454"/>
      <c r="AZ869" s="454"/>
      <c r="BA869" s="1306"/>
      <c r="BC869" s="169"/>
    </row>
    <row r="870" spans="19:55">
      <c r="S870" s="454"/>
      <c r="AN870" s="454"/>
      <c r="AY870" s="454"/>
      <c r="AZ870" s="454"/>
      <c r="BA870" s="1306"/>
      <c r="BC870" s="169"/>
    </row>
    <row r="871" spans="19:55">
      <c r="S871" s="454"/>
      <c r="AN871" s="454"/>
      <c r="AY871" s="454"/>
      <c r="AZ871" s="454"/>
      <c r="BA871" s="1306"/>
      <c r="BC871" s="169"/>
    </row>
    <row r="872" spans="19:55">
      <c r="S872" s="454"/>
      <c r="AN872" s="454"/>
      <c r="AY872" s="454"/>
      <c r="AZ872" s="454"/>
      <c r="BA872" s="1306"/>
      <c r="BC872" s="169"/>
    </row>
    <row r="873" spans="19:55">
      <c r="S873" s="454"/>
      <c r="AN873" s="454"/>
      <c r="AY873" s="454"/>
      <c r="AZ873" s="454"/>
      <c r="BA873" s="1306"/>
      <c r="BC873" s="169"/>
    </row>
    <row r="874" spans="19:55">
      <c r="S874" s="454"/>
      <c r="AN874" s="454"/>
      <c r="AY874" s="454"/>
      <c r="AZ874" s="454"/>
      <c r="BA874" s="1306"/>
      <c r="BC874" s="169"/>
    </row>
    <row r="875" spans="19:55">
      <c r="S875" s="454"/>
      <c r="AN875" s="454"/>
      <c r="AY875" s="454"/>
      <c r="AZ875" s="454"/>
      <c r="BA875" s="1306"/>
      <c r="BC875" s="169"/>
    </row>
    <row r="876" spans="19:55">
      <c r="S876" s="454"/>
      <c r="AN876" s="454"/>
      <c r="AY876" s="454"/>
      <c r="AZ876" s="454"/>
      <c r="BA876" s="1306"/>
      <c r="BC876" s="169"/>
    </row>
    <row r="877" spans="19:55">
      <c r="S877" s="454"/>
      <c r="AN877" s="454"/>
      <c r="AY877" s="454"/>
      <c r="AZ877" s="454"/>
      <c r="BA877" s="1306"/>
      <c r="BC877" s="169"/>
    </row>
    <row r="878" spans="19:55">
      <c r="S878" s="454"/>
      <c r="AN878" s="454"/>
      <c r="AY878" s="454"/>
      <c r="AZ878" s="454"/>
      <c r="BA878" s="1306"/>
      <c r="BC878" s="169"/>
    </row>
    <row r="879" spans="19:55">
      <c r="S879" s="454"/>
      <c r="AN879" s="454"/>
      <c r="AY879" s="454"/>
      <c r="AZ879" s="454"/>
      <c r="BA879" s="1306"/>
      <c r="BC879" s="169"/>
    </row>
    <row r="880" spans="19:55">
      <c r="S880" s="454"/>
      <c r="AN880" s="454"/>
      <c r="AY880" s="454"/>
      <c r="AZ880" s="454"/>
      <c r="BA880" s="1306"/>
      <c r="BC880" s="169"/>
    </row>
    <row r="881" spans="19:55">
      <c r="S881" s="454"/>
      <c r="AN881" s="454"/>
      <c r="AY881" s="454"/>
      <c r="AZ881" s="454"/>
      <c r="BA881" s="1306"/>
      <c r="BC881" s="169"/>
    </row>
    <row r="882" spans="19:55">
      <c r="S882" s="454"/>
      <c r="AN882" s="454"/>
      <c r="AY882" s="454"/>
      <c r="AZ882" s="454"/>
      <c r="BA882" s="1306"/>
      <c r="BC882" s="169"/>
    </row>
    <row r="883" spans="19:55">
      <c r="S883" s="454"/>
      <c r="AN883" s="454"/>
      <c r="AY883" s="454"/>
      <c r="AZ883" s="454"/>
      <c r="BA883" s="1306"/>
      <c r="BC883" s="169"/>
    </row>
    <row r="884" spans="19:55">
      <c r="S884" s="454"/>
      <c r="AN884" s="454"/>
      <c r="AY884" s="454"/>
      <c r="AZ884" s="454"/>
      <c r="BA884" s="1306"/>
      <c r="BC884" s="169"/>
    </row>
    <row r="885" spans="19:55">
      <c r="S885" s="454"/>
      <c r="AN885" s="454"/>
      <c r="AY885" s="454"/>
      <c r="AZ885" s="454"/>
      <c r="BA885" s="1306"/>
      <c r="BC885" s="169"/>
    </row>
    <row r="886" spans="19:55">
      <c r="S886" s="454"/>
      <c r="AN886" s="454"/>
      <c r="AY886" s="454"/>
      <c r="AZ886" s="454"/>
      <c r="BA886" s="1306"/>
      <c r="BC886" s="169"/>
    </row>
    <row r="887" spans="19:55">
      <c r="S887" s="454"/>
      <c r="AN887" s="454"/>
      <c r="AY887" s="454"/>
      <c r="AZ887" s="454"/>
      <c r="BA887" s="1306"/>
      <c r="BC887" s="169"/>
    </row>
    <row r="888" spans="19:55">
      <c r="S888" s="454"/>
      <c r="AN888" s="454"/>
      <c r="AY888" s="454"/>
      <c r="AZ888" s="454"/>
      <c r="BA888" s="1306"/>
      <c r="BC888" s="169"/>
    </row>
    <row r="889" spans="19:55">
      <c r="S889" s="454"/>
      <c r="AN889" s="454"/>
      <c r="AY889" s="454"/>
      <c r="AZ889" s="454"/>
      <c r="BA889" s="1306"/>
      <c r="BC889" s="169"/>
    </row>
    <row r="890" spans="19:55">
      <c r="S890" s="454"/>
      <c r="AN890" s="454"/>
      <c r="AY890" s="454"/>
      <c r="AZ890" s="454"/>
      <c r="BA890" s="1306"/>
      <c r="BC890" s="169"/>
    </row>
    <row r="891" spans="19:55">
      <c r="S891" s="454"/>
      <c r="AN891" s="454"/>
      <c r="AY891" s="454"/>
      <c r="AZ891" s="454"/>
      <c r="BA891" s="1306"/>
      <c r="BC891" s="169"/>
    </row>
    <row r="892" spans="19:55">
      <c r="S892" s="454"/>
      <c r="AN892" s="454"/>
      <c r="AY892" s="454"/>
      <c r="AZ892" s="454"/>
      <c r="BA892" s="1306"/>
      <c r="BC892" s="169"/>
    </row>
    <row r="893" spans="19:55">
      <c r="S893" s="454"/>
      <c r="AN893" s="454"/>
      <c r="AY893" s="454"/>
      <c r="AZ893" s="454"/>
      <c r="BA893" s="1306"/>
      <c r="BC893" s="169"/>
    </row>
    <row r="894" spans="19:55">
      <c r="S894" s="454"/>
      <c r="AN894" s="454"/>
      <c r="AY894" s="454"/>
      <c r="AZ894" s="454"/>
      <c r="BA894" s="1306"/>
      <c r="BC894" s="169"/>
    </row>
    <row r="895" spans="19:55">
      <c r="S895" s="454"/>
      <c r="AN895" s="454"/>
      <c r="AY895" s="454"/>
      <c r="AZ895" s="454"/>
      <c r="BA895" s="1306"/>
      <c r="BC895" s="169"/>
    </row>
    <row r="896" spans="19:55">
      <c r="S896" s="454"/>
      <c r="AN896" s="454"/>
      <c r="AY896" s="454"/>
      <c r="AZ896" s="454"/>
      <c r="BA896" s="1306"/>
      <c r="BC896" s="169"/>
    </row>
    <row r="897" spans="19:55">
      <c r="S897" s="454"/>
      <c r="AN897" s="454"/>
      <c r="AY897" s="454"/>
      <c r="AZ897" s="454"/>
      <c r="BA897" s="1306"/>
      <c r="BC897" s="169"/>
    </row>
    <row r="898" spans="19:55">
      <c r="S898" s="454"/>
      <c r="AN898" s="454"/>
      <c r="AY898" s="454"/>
      <c r="AZ898" s="454"/>
      <c r="BA898" s="1306"/>
      <c r="BC898" s="169"/>
    </row>
    <row r="899" spans="19:55">
      <c r="S899" s="454"/>
      <c r="AN899" s="454"/>
      <c r="AY899" s="454"/>
      <c r="AZ899" s="454"/>
      <c r="BA899" s="1306"/>
      <c r="BC899" s="169"/>
    </row>
    <row r="900" spans="19:55">
      <c r="S900" s="454"/>
      <c r="AN900" s="454"/>
      <c r="AY900" s="454"/>
      <c r="AZ900" s="454"/>
      <c r="BA900" s="1306"/>
      <c r="BC900" s="169"/>
    </row>
    <row r="901" spans="19:55">
      <c r="S901" s="454"/>
      <c r="AN901" s="454"/>
      <c r="AY901" s="454"/>
      <c r="AZ901" s="454"/>
      <c r="BA901" s="1306"/>
      <c r="BC901" s="169"/>
    </row>
    <row r="902" spans="19:55">
      <c r="S902" s="454"/>
      <c r="AN902" s="454"/>
      <c r="AY902" s="454"/>
      <c r="AZ902" s="454"/>
      <c r="BA902" s="1306"/>
      <c r="BC902" s="169"/>
    </row>
    <row r="903" spans="19:55">
      <c r="S903" s="454"/>
      <c r="AN903" s="454"/>
      <c r="AY903" s="454"/>
      <c r="AZ903" s="454"/>
      <c r="BA903" s="1306"/>
      <c r="BC903" s="169"/>
    </row>
    <row r="904" spans="19:55">
      <c r="S904" s="454"/>
      <c r="AN904" s="454"/>
      <c r="AY904" s="454"/>
      <c r="AZ904" s="454"/>
      <c r="BA904" s="1306"/>
      <c r="BC904" s="169"/>
    </row>
    <row r="905" spans="19:55">
      <c r="S905" s="454"/>
      <c r="AN905" s="454"/>
      <c r="AY905" s="454"/>
      <c r="AZ905" s="454"/>
      <c r="BA905" s="1306"/>
      <c r="BC905" s="169"/>
    </row>
    <row r="906" spans="19:55">
      <c r="S906" s="454"/>
      <c r="AN906" s="454"/>
      <c r="AY906" s="454"/>
      <c r="AZ906" s="454"/>
      <c r="BA906" s="1306"/>
      <c r="BC906" s="169"/>
    </row>
    <row r="907" spans="19:55">
      <c r="S907" s="454"/>
      <c r="AN907" s="454"/>
      <c r="AY907" s="454"/>
      <c r="AZ907" s="454"/>
      <c r="BA907" s="1306"/>
      <c r="BC907" s="169"/>
    </row>
    <row r="908" spans="19:55">
      <c r="S908" s="454"/>
      <c r="AN908" s="454"/>
      <c r="AY908" s="454"/>
      <c r="AZ908" s="454"/>
      <c r="BA908" s="1306"/>
      <c r="BC908" s="169"/>
    </row>
    <row r="909" spans="19:55">
      <c r="S909" s="454"/>
      <c r="AN909" s="454"/>
      <c r="AY909" s="454"/>
      <c r="AZ909" s="454"/>
      <c r="BA909" s="1306"/>
      <c r="BC909" s="169"/>
    </row>
    <row r="910" spans="19:55">
      <c r="S910" s="454"/>
      <c r="AN910" s="454"/>
      <c r="AY910" s="454"/>
      <c r="AZ910" s="454"/>
      <c r="BA910" s="1306"/>
      <c r="BC910" s="169"/>
    </row>
    <row r="911" spans="19:55">
      <c r="S911" s="454"/>
      <c r="AN911" s="454"/>
      <c r="AY911" s="454"/>
      <c r="AZ911" s="454"/>
      <c r="BA911" s="1306"/>
      <c r="BC911" s="169"/>
    </row>
    <row r="912" spans="19:55">
      <c r="S912" s="454"/>
      <c r="AN912" s="454"/>
      <c r="AY912" s="454"/>
      <c r="AZ912" s="454"/>
      <c r="BA912" s="1306"/>
      <c r="BC912" s="169"/>
    </row>
    <row r="913" spans="19:55">
      <c r="S913" s="454"/>
      <c r="AN913" s="454"/>
      <c r="AY913" s="454"/>
      <c r="AZ913" s="454"/>
      <c r="BA913" s="1306"/>
      <c r="BC913" s="169"/>
    </row>
    <row r="914" spans="19:55">
      <c r="S914" s="454"/>
      <c r="AN914" s="454"/>
      <c r="AY914" s="454"/>
      <c r="AZ914" s="454"/>
      <c r="BA914" s="1306"/>
      <c r="BC914" s="169"/>
    </row>
    <row r="915" spans="19:55">
      <c r="S915" s="454"/>
      <c r="AN915" s="454"/>
      <c r="AY915" s="454"/>
      <c r="AZ915" s="454"/>
      <c r="BA915" s="1306"/>
      <c r="BC915" s="169"/>
    </row>
    <row r="916" spans="19:55">
      <c r="S916" s="454"/>
      <c r="AN916" s="454"/>
      <c r="AY916" s="454"/>
      <c r="AZ916" s="454"/>
      <c r="BA916" s="1306"/>
      <c r="BC916" s="169"/>
    </row>
    <row r="917" spans="19:55">
      <c r="S917" s="454"/>
      <c r="AN917" s="454"/>
      <c r="AY917" s="454"/>
      <c r="AZ917" s="454"/>
      <c r="BA917" s="1306"/>
      <c r="BC917" s="169"/>
    </row>
    <row r="918" spans="19:55">
      <c r="S918" s="454"/>
      <c r="AN918" s="454"/>
      <c r="AY918" s="454"/>
      <c r="AZ918" s="454"/>
      <c r="BA918" s="1306"/>
      <c r="BC918" s="169"/>
    </row>
    <row r="919" spans="19:55">
      <c r="S919" s="454"/>
      <c r="AN919" s="454"/>
      <c r="AY919" s="454"/>
      <c r="AZ919" s="454"/>
      <c r="BA919" s="1306"/>
      <c r="BC919" s="169"/>
    </row>
    <row r="920" spans="19:55">
      <c r="S920" s="454"/>
      <c r="AN920" s="454"/>
      <c r="AY920" s="454"/>
      <c r="AZ920" s="454"/>
      <c r="BA920" s="1306"/>
      <c r="BC920" s="169"/>
    </row>
    <row r="921" spans="19:55">
      <c r="S921" s="454"/>
      <c r="AN921" s="454"/>
      <c r="AY921" s="454"/>
      <c r="AZ921" s="454"/>
      <c r="BA921" s="1306"/>
      <c r="BC921" s="169"/>
    </row>
    <row r="922" spans="19:55">
      <c r="S922" s="454"/>
      <c r="AN922" s="454"/>
      <c r="AY922" s="454"/>
      <c r="AZ922" s="454"/>
      <c r="BA922" s="1306"/>
      <c r="BC922" s="169"/>
    </row>
    <row r="923" spans="19:55">
      <c r="S923" s="454"/>
      <c r="AN923" s="454"/>
      <c r="AY923" s="454"/>
      <c r="AZ923" s="454"/>
      <c r="BA923" s="1306"/>
      <c r="BC923" s="169"/>
    </row>
    <row r="924" spans="19:55">
      <c r="S924" s="454"/>
      <c r="AN924" s="454"/>
      <c r="AY924" s="454"/>
      <c r="AZ924" s="454"/>
      <c r="BA924" s="1306"/>
      <c r="BC924" s="169"/>
    </row>
    <row r="925" spans="19:55">
      <c r="S925" s="454"/>
      <c r="AN925" s="454"/>
      <c r="AY925" s="454"/>
      <c r="AZ925" s="454"/>
      <c r="BA925" s="1306"/>
      <c r="BC925" s="169"/>
    </row>
    <row r="926" spans="19:55">
      <c r="S926" s="454"/>
      <c r="AN926" s="454"/>
      <c r="AY926" s="454"/>
      <c r="AZ926" s="454"/>
      <c r="BA926" s="1306"/>
      <c r="BC926" s="169"/>
    </row>
    <row r="927" spans="19:55">
      <c r="S927" s="454"/>
      <c r="AN927" s="454"/>
      <c r="AY927" s="454"/>
      <c r="AZ927" s="454"/>
      <c r="BA927" s="1306"/>
      <c r="BC927" s="169"/>
    </row>
    <row r="928" spans="19:55">
      <c r="S928" s="454"/>
      <c r="AN928" s="454"/>
      <c r="AY928" s="454"/>
      <c r="AZ928" s="454"/>
      <c r="BA928" s="1306"/>
      <c r="BC928" s="169"/>
    </row>
    <row r="929" spans="19:55">
      <c r="S929" s="454"/>
      <c r="AN929" s="454"/>
      <c r="AY929" s="454"/>
      <c r="AZ929" s="454"/>
      <c r="BA929" s="1306"/>
      <c r="BC929" s="169"/>
    </row>
    <row r="930" spans="19:55">
      <c r="S930" s="454"/>
      <c r="AN930" s="454"/>
      <c r="AY930" s="454"/>
      <c r="AZ930" s="454"/>
      <c r="BA930" s="1306"/>
      <c r="BC930" s="169"/>
    </row>
    <row r="931" spans="19:55">
      <c r="S931" s="454"/>
      <c r="AN931" s="454"/>
      <c r="AY931" s="454"/>
      <c r="AZ931" s="454"/>
      <c r="BA931" s="1306"/>
      <c r="BC931" s="169"/>
    </row>
    <row r="932" spans="19:55">
      <c r="S932" s="454"/>
      <c r="AN932" s="454"/>
      <c r="AY932" s="454"/>
      <c r="AZ932" s="454"/>
      <c r="BA932" s="1306"/>
      <c r="BC932" s="169"/>
    </row>
    <row r="933" spans="19:55">
      <c r="S933" s="454"/>
      <c r="AN933" s="454"/>
      <c r="AY933" s="454"/>
      <c r="AZ933" s="454"/>
      <c r="BA933" s="1306"/>
      <c r="BC933" s="169"/>
    </row>
    <row r="934" spans="19:55">
      <c r="S934" s="454"/>
      <c r="AN934" s="454"/>
      <c r="AY934" s="454"/>
      <c r="AZ934" s="454"/>
      <c r="BA934" s="1306"/>
      <c r="BC934" s="169"/>
    </row>
    <row r="935" spans="19:55">
      <c r="S935" s="454"/>
      <c r="AN935" s="454"/>
      <c r="AY935" s="454"/>
      <c r="AZ935" s="454"/>
      <c r="BA935" s="1306"/>
      <c r="BC935" s="169"/>
    </row>
    <row r="936" spans="19:55">
      <c r="S936" s="454"/>
      <c r="AN936" s="454"/>
      <c r="AY936" s="454"/>
      <c r="AZ936" s="454"/>
      <c r="BA936" s="1306"/>
      <c r="BC936" s="169"/>
    </row>
    <row r="937" spans="19:55">
      <c r="S937" s="454"/>
      <c r="AN937" s="454"/>
      <c r="AY937" s="454"/>
      <c r="AZ937" s="454"/>
      <c r="BA937" s="1306"/>
      <c r="BC937" s="169"/>
    </row>
    <row r="938" spans="19:55">
      <c r="S938" s="454"/>
      <c r="AN938" s="454"/>
      <c r="AY938" s="454"/>
      <c r="AZ938" s="454"/>
      <c r="BA938" s="1306"/>
      <c r="BC938" s="169"/>
    </row>
    <row r="939" spans="19:55">
      <c r="S939" s="454"/>
      <c r="AN939" s="454"/>
      <c r="AY939" s="454"/>
      <c r="AZ939" s="454"/>
      <c r="BA939" s="1306"/>
      <c r="BC939" s="169"/>
    </row>
    <row r="940" spans="19:55">
      <c r="S940" s="454"/>
      <c r="AN940" s="454"/>
      <c r="AY940" s="454"/>
      <c r="AZ940" s="454"/>
      <c r="BA940" s="1306"/>
      <c r="BC940" s="169"/>
    </row>
    <row r="941" spans="19:55">
      <c r="S941" s="454"/>
      <c r="AN941" s="454"/>
      <c r="AY941" s="454"/>
      <c r="AZ941" s="454"/>
      <c r="BA941" s="1306"/>
      <c r="BC941" s="169"/>
    </row>
    <row r="942" spans="19:55">
      <c r="S942" s="454"/>
      <c r="AN942" s="454"/>
      <c r="AY942" s="454"/>
      <c r="AZ942" s="454"/>
      <c r="BA942" s="1306"/>
      <c r="BC942" s="169"/>
    </row>
    <row r="943" spans="19:55">
      <c r="S943" s="454"/>
      <c r="AN943" s="454"/>
      <c r="AY943" s="454"/>
      <c r="AZ943" s="454"/>
      <c r="BA943" s="1306"/>
      <c r="BC943" s="169"/>
    </row>
    <row r="944" spans="19:55">
      <c r="S944" s="454"/>
      <c r="AN944" s="454"/>
      <c r="AY944" s="454"/>
      <c r="AZ944" s="454"/>
      <c r="BA944" s="1306"/>
      <c r="BC944" s="169"/>
    </row>
    <row r="945" spans="19:55">
      <c r="S945" s="454"/>
      <c r="AN945" s="454"/>
      <c r="AY945" s="454"/>
      <c r="AZ945" s="454"/>
      <c r="BA945" s="1306"/>
      <c r="BC945" s="169"/>
    </row>
    <row r="946" spans="19:55">
      <c r="S946" s="454"/>
      <c r="AN946" s="454"/>
      <c r="AY946" s="454"/>
      <c r="AZ946" s="454"/>
      <c r="BA946" s="1306"/>
      <c r="BC946" s="169"/>
    </row>
    <row r="947" spans="19:55">
      <c r="S947" s="454"/>
      <c r="AN947" s="454"/>
      <c r="AY947" s="454"/>
      <c r="AZ947" s="454"/>
      <c r="BA947" s="1306"/>
      <c r="BC947" s="169"/>
    </row>
    <row r="948" spans="19:55">
      <c r="S948" s="454"/>
      <c r="AN948" s="454"/>
      <c r="AY948" s="454"/>
      <c r="AZ948" s="454"/>
      <c r="BA948" s="1306"/>
      <c r="BC948" s="169"/>
    </row>
    <row r="949" spans="19:55">
      <c r="S949" s="454"/>
      <c r="AN949" s="454"/>
      <c r="AY949" s="454"/>
      <c r="AZ949" s="454"/>
      <c r="BA949" s="1306"/>
      <c r="BC949" s="169"/>
    </row>
    <row r="950" spans="19:55">
      <c r="S950" s="454"/>
      <c r="AN950" s="454"/>
      <c r="AY950" s="454"/>
      <c r="AZ950" s="454"/>
      <c r="BA950" s="1306"/>
      <c r="BC950" s="169"/>
    </row>
    <row r="951" spans="19:55">
      <c r="S951" s="454"/>
      <c r="AN951" s="454"/>
      <c r="AY951" s="454"/>
      <c r="AZ951" s="454"/>
      <c r="BA951" s="1306"/>
      <c r="BC951" s="169"/>
    </row>
    <row r="952" spans="19:55">
      <c r="S952" s="454"/>
      <c r="AN952" s="454"/>
      <c r="AY952" s="454"/>
      <c r="AZ952" s="454"/>
      <c r="BA952" s="1306"/>
      <c r="BC952" s="169"/>
    </row>
    <row r="953" spans="19:55">
      <c r="S953" s="454"/>
      <c r="AN953" s="454"/>
      <c r="AY953" s="454"/>
      <c r="AZ953" s="454"/>
      <c r="BA953" s="1306"/>
      <c r="BC953" s="169"/>
    </row>
    <row r="954" spans="19:55">
      <c r="S954" s="454"/>
      <c r="AN954" s="454"/>
      <c r="AY954" s="454"/>
      <c r="AZ954" s="454"/>
      <c r="BA954" s="1306"/>
      <c r="BC954" s="169"/>
    </row>
    <row r="955" spans="19:55">
      <c r="S955" s="454"/>
      <c r="AN955" s="454"/>
      <c r="AY955" s="454"/>
      <c r="AZ955" s="454"/>
      <c r="BA955" s="1306"/>
      <c r="BC955" s="169"/>
    </row>
    <row r="956" spans="19:55">
      <c r="S956" s="454"/>
      <c r="AN956" s="454"/>
      <c r="AY956" s="454"/>
      <c r="AZ956" s="454"/>
      <c r="BA956" s="1306"/>
      <c r="BC956" s="169"/>
    </row>
    <row r="957" spans="19:55">
      <c r="S957" s="454"/>
      <c r="AN957" s="454"/>
      <c r="AY957" s="454"/>
      <c r="AZ957" s="454"/>
      <c r="BA957" s="1306"/>
      <c r="BC957" s="169"/>
    </row>
    <row r="958" spans="19:55">
      <c r="S958" s="454"/>
      <c r="AN958" s="454"/>
      <c r="AY958" s="454"/>
      <c r="AZ958" s="454"/>
      <c r="BA958" s="1306"/>
      <c r="BC958" s="169"/>
    </row>
    <row r="959" spans="19:55">
      <c r="S959" s="454"/>
      <c r="AN959" s="454"/>
      <c r="AY959" s="454"/>
      <c r="AZ959" s="454"/>
      <c r="BA959" s="1306"/>
      <c r="BC959" s="169"/>
    </row>
    <row r="960" spans="19:55">
      <c r="S960" s="454"/>
      <c r="AN960" s="454"/>
      <c r="AY960" s="454"/>
      <c r="AZ960" s="454"/>
      <c r="BA960" s="1306"/>
      <c r="BC960" s="169"/>
    </row>
    <row r="961" spans="19:55">
      <c r="S961" s="454"/>
      <c r="AN961" s="454"/>
      <c r="AY961" s="454"/>
      <c r="AZ961" s="454"/>
      <c r="BA961" s="1306"/>
      <c r="BC961" s="169"/>
    </row>
    <row r="962" spans="19:55">
      <c r="S962" s="454"/>
      <c r="AN962" s="454"/>
      <c r="AY962" s="454"/>
      <c r="AZ962" s="454"/>
      <c r="BA962" s="1306"/>
      <c r="BC962" s="169"/>
    </row>
    <row r="963" spans="19:55">
      <c r="S963" s="454"/>
      <c r="AN963" s="454"/>
      <c r="AY963" s="454"/>
      <c r="AZ963" s="454"/>
      <c r="BA963" s="1306"/>
      <c r="BC963" s="169"/>
    </row>
    <row r="964" spans="19:55">
      <c r="S964" s="454"/>
      <c r="AN964" s="454"/>
      <c r="AY964" s="454"/>
      <c r="AZ964" s="454"/>
      <c r="BA964" s="1306"/>
      <c r="BC964" s="169"/>
    </row>
    <row r="965" spans="19:55">
      <c r="S965" s="454"/>
      <c r="AN965" s="454"/>
      <c r="AY965" s="454"/>
      <c r="AZ965" s="454"/>
      <c r="BA965" s="1306"/>
      <c r="BC965" s="169"/>
    </row>
    <row r="966" spans="19:55">
      <c r="S966" s="454"/>
      <c r="AN966" s="454"/>
      <c r="AY966" s="454"/>
      <c r="AZ966" s="454"/>
      <c r="BA966" s="1306"/>
      <c r="BC966" s="169"/>
    </row>
    <row r="967" spans="19:55">
      <c r="S967" s="454"/>
      <c r="AN967" s="454"/>
      <c r="AY967" s="454"/>
      <c r="AZ967" s="454"/>
      <c r="BA967" s="1306"/>
      <c r="BC967" s="169"/>
    </row>
    <row r="968" spans="19:55">
      <c r="S968" s="454"/>
      <c r="AN968" s="454"/>
      <c r="AY968" s="454"/>
      <c r="AZ968" s="454"/>
      <c r="BA968" s="1306"/>
      <c r="BC968" s="169"/>
    </row>
    <row r="969" spans="19:55">
      <c r="S969" s="454"/>
      <c r="AN969" s="454"/>
      <c r="AY969" s="454"/>
      <c r="AZ969" s="454"/>
      <c r="BA969" s="1306"/>
      <c r="BC969" s="169"/>
    </row>
    <row r="970" spans="19:55">
      <c r="S970" s="454"/>
      <c r="AN970" s="454"/>
      <c r="AY970" s="454"/>
      <c r="AZ970" s="454"/>
      <c r="BA970" s="1306"/>
      <c r="BC970" s="169"/>
    </row>
    <row r="971" spans="19:55">
      <c r="S971" s="454"/>
      <c r="AN971" s="454"/>
      <c r="AY971" s="454"/>
      <c r="AZ971" s="454"/>
      <c r="BA971" s="1306"/>
      <c r="BC971" s="169"/>
    </row>
    <row r="972" spans="19:55">
      <c r="S972" s="454"/>
      <c r="AN972" s="454"/>
      <c r="AY972" s="454"/>
      <c r="AZ972" s="454"/>
      <c r="BA972" s="1306"/>
      <c r="BC972" s="169"/>
    </row>
    <row r="973" spans="19:55">
      <c r="S973" s="454"/>
      <c r="AN973" s="454"/>
      <c r="AY973" s="454"/>
      <c r="AZ973" s="454"/>
      <c r="BA973" s="1306"/>
      <c r="BC973" s="169"/>
    </row>
    <row r="974" spans="19:55">
      <c r="S974" s="454"/>
      <c r="AN974" s="454"/>
      <c r="AY974" s="454"/>
      <c r="AZ974" s="454"/>
      <c r="BA974" s="1306"/>
      <c r="BC974" s="169"/>
    </row>
    <row r="975" spans="19:55">
      <c r="S975" s="454"/>
      <c r="AN975" s="454"/>
      <c r="AY975" s="454"/>
      <c r="AZ975" s="454"/>
      <c r="BA975" s="1306"/>
      <c r="BC975" s="169"/>
    </row>
    <row r="976" spans="19:55">
      <c r="S976" s="454"/>
      <c r="AN976" s="454"/>
      <c r="AY976" s="454"/>
      <c r="AZ976" s="454"/>
      <c r="BA976" s="1306"/>
      <c r="BC976" s="169"/>
    </row>
    <row r="977" spans="19:55">
      <c r="S977" s="454"/>
      <c r="AN977" s="454"/>
      <c r="AY977" s="454"/>
      <c r="AZ977" s="454"/>
      <c r="BA977" s="1306"/>
      <c r="BC977" s="169"/>
    </row>
    <row r="978" spans="19:55">
      <c r="S978" s="454"/>
      <c r="AN978" s="454"/>
      <c r="AY978" s="454"/>
      <c r="AZ978" s="454"/>
      <c r="BA978" s="1306"/>
      <c r="BC978" s="169"/>
    </row>
    <row r="979" spans="19:55">
      <c r="S979" s="454"/>
      <c r="AN979" s="454"/>
      <c r="AY979" s="454"/>
      <c r="AZ979" s="454"/>
      <c r="BA979" s="1306"/>
      <c r="BC979" s="169"/>
    </row>
    <row r="980" spans="19:55">
      <c r="S980" s="454"/>
      <c r="AN980" s="454"/>
      <c r="AY980" s="454"/>
      <c r="AZ980" s="454"/>
      <c r="BA980" s="1306"/>
      <c r="BC980" s="169"/>
    </row>
    <row r="981" spans="19:55">
      <c r="S981" s="454"/>
      <c r="AN981" s="454"/>
      <c r="AY981" s="454"/>
      <c r="AZ981" s="454"/>
      <c r="BA981" s="1306"/>
      <c r="BC981" s="169"/>
    </row>
    <row r="982" spans="19:55">
      <c r="S982" s="454"/>
      <c r="AN982" s="454"/>
      <c r="AY982" s="454"/>
      <c r="AZ982" s="454"/>
      <c r="BA982" s="1306"/>
      <c r="BC982" s="169"/>
    </row>
    <row r="983" spans="19:55">
      <c r="S983" s="454"/>
      <c r="AN983" s="454"/>
      <c r="AY983" s="454"/>
      <c r="AZ983" s="454"/>
      <c r="BA983" s="1306"/>
      <c r="BC983" s="169"/>
    </row>
    <row r="984" spans="19:55">
      <c r="S984" s="454"/>
      <c r="AN984" s="454"/>
      <c r="AY984" s="454"/>
      <c r="AZ984" s="454"/>
      <c r="BA984" s="1306"/>
      <c r="BC984" s="169"/>
    </row>
    <row r="985" spans="19:55">
      <c r="S985" s="454"/>
      <c r="AN985" s="454"/>
      <c r="AY985" s="454"/>
      <c r="AZ985" s="454"/>
      <c r="BA985" s="1306"/>
      <c r="BC985" s="169"/>
    </row>
    <row r="986" spans="19:55">
      <c r="S986" s="454"/>
      <c r="AN986" s="454"/>
      <c r="AY986" s="454"/>
      <c r="AZ986" s="454"/>
      <c r="BA986" s="1306"/>
      <c r="BC986" s="169"/>
    </row>
    <row r="987" spans="19:55">
      <c r="S987" s="454"/>
      <c r="AN987" s="454"/>
      <c r="AY987" s="454"/>
      <c r="AZ987" s="454"/>
      <c r="BA987" s="1306"/>
      <c r="BC987" s="169"/>
    </row>
    <row r="988" spans="19:55">
      <c r="S988" s="454"/>
      <c r="AN988" s="454"/>
      <c r="AY988" s="454"/>
      <c r="AZ988" s="454"/>
      <c r="BA988" s="1306"/>
      <c r="BC988" s="169"/>
    </row>
    <row r="989" spans="19:55">
      <c r="S989" s="454"/>
      <c r="AN989" s="454"/>
      <c r="AY989" s="454"/>
      <c r="AZ989" s="454"/>
      <c r="BA989" s="1306"/>
      <c r="BC989" s="169"/>
    </row>
    <row r="990" spans="19:55">
      <c r="S990" s="454"/>
      <c r="AN990" s="454"/>
      <c r="AY990" s="454"/>
      <c r="AZ990" s="454"/>
      <c r="BA990" s="1306"/>
      <c r="BC990" s="169"/>
    </row>
    <row r="991" spans="19:55">
      <c r="S991" s="454"/>
      <c r="AN991" s="454"/>
      <c r="AY991" s="454"/>
      <c r="AZ991" s="454"/>
      <c r="BA991" s="1306"/>
      <c r="BC991" s="169"/>
    </row>
    <row r="992" spans="19:55">
      <c r="S992" s="454"/>
      <c r="AN992" s="454"/>
      <c r="AY992" s="454"/>
      <c r="AZ992" s="454"/>
      <c r="BA992" s="1306"/>
      <c r="BC992" s="169"/>
    </row>
    <row r="993" spans="19:55">
      <c r="S993" s="454"/>
      <c r="AN993" s="454"/>
      <c r="AY993" s="454"/>
      <c r="AZ993" s="454"/>
      <c r="BA993" s="1306"/>
      <c r="BC993" s="169"/>
    </row>
    <row r="994" spans="19:55">
      <c r="S994" s="454"/>
      <c r="AN994" s="454"/>
      <c r="AY994" s="454"/>
      <c r="AZ994" s="454"/>
      <c r="BA994" s="1306"/>
      <c r="BC994" s="169"/>
    </row>
    <row r="995" spans="19:55">
      <c r="S995" s="454"/>
      <c r="AN995" s="454"/>
      <c r="AY995" s="454"/>
      <c r="AZ995" s="454"/>
      <c r="BA995" s="1306"/>
      <c r="BC995" s="169"/>
    </row>
    <row r="996" spans="19:55">
      <c r="S996" s="454"/>
      <c r="AN996" s="454"/>
      <c r="AY996" s="454"/>
      <c r="AZ996" s="454"/>
      <c r="BA996" s="1306"/>
      <c r="BC996" s="169"/>
    </row>
    <row r="997" spans="19:55">
      <c r="S997" s="454"/>
      <c r="AN997" s="454"/>
      <c r="AY997" s="454"/>
      <c r="AZ997" s="454"/>
      <c r="BA997" s="1306"/>
      <c r="BC997" s="169"/>
    </row>
    <row r="998" spans="19:55">
      <c r="S998" s="454"/>
      <c r="AN998" s="454"/>
      <c r="AY998" s="454"/>
      <c r="AZ998" s="454"/>
      <c r="BA998" s="1306"/>
      <c r="BC998" s="169"/>
    </row>
    <row r="999" spans="19:55">
      <c r="S999" s="454"/>
      <c r="AN999" s="454"/>
      <c r="AY999" s="454"/>
      <c r="AZ999" s="454"/>
      <c r="BA999" s="1306"/>
      <c r="BC999" s="169"/>
    </row>
    <row r="1000" spans="19:55">
      <c r="S1000" s="454"/>
      <c r="AN1000" s="454"/>
      <c r="AY1000" s="454"/>
      <c r="AZ1000" s="454"/>
      <c r="BA1000" s="1306"/>
      <c r="BC1000" s="169"/>
    </row>
    <row r="1001" spans="19:55">
      <c r="S1001" s="454"/>
      <c r="AN1001" s="454"/>
      <c r="AY1001" s="454"/>
      <c r="AZ1001" s="454"/>
      <c r="BA1001" s="1306"/>
      <c r="BC1001" s="169"/>
    </row>
    <row r="1002" spans="19:55">
      <c r="S1002" s="454"/>
      <c r="AN1002" s="454"/>
      <c r="AY1002" s="454"/>
      <c r="AZ1002" s="454"/>
      <c r="BA1002" s="1306"/>
      <c r="BC1002" s="169"/>
    </row>
    <row r="1003" spans="19:55">
      <c r="S1003" s="454"/>
      <c r="AN1003" s="454"/>
      <c r="AY1003" s="454"/>
      <c r="AZ1003" s="454"/>
      <c r="BA1003" s="1306"/>
      <c r="BC1003" s="169"/>
    </row>
    <row r="1004" spans="19:55">
      <c r="S1004" s="454"/>
      <c r="AN1004" s="454"/>
      <c r="AY1004" s="454"/>
      <c r="AZ1004" s="454"/>
      <c r="BA1004" s="1306"/>
      <c r="BC1004" s="169"/>
    </row>
    <row r="1005" spans="19:55">
      <c r="S1005" s="454"/>
      <c r="AN1005" s="454"/>
      <c r="AY1005" s="454"/>
      <c r="AZ1005" s="454"/>
      <c r="BA1005" s="1306"/>
      <c r="BC1005" s="169"/>
    </row>
    <row r="1006" spans="19:55">
      <c r="S1006" s="454"/>
      <c r="AN1006" s="454"/>
      <c r="AY1006" s="454"/>
      <c r="AZ1006" s="454"/>
      <c r="BA1006" s="1306"/>
      <c r="BC1006" s="169"/>
    </row>
    <row r="1007" spans="19:55">
      <c r="S1007" s="454"/>
      <c r="AN1007" s="454"/>
      <c r="AY1007" s="454"/>
      <c r="AZ1007" s="454"/>
      <c r="BA1007" s="1306"/>
      <c r="BC1007" s="169"/>
    </row>
    <row r="1008" spans="19:55">
      <c r="S1008" s="454"/>
      <c r="AN1008" s="454"/>
      <c r="AY1008" s="454"/>
      <c r="AZ1008" s="454"/>
      <c r="BA1008" s="1306"/>
      <c r="BC1008" s="169"/>
    </row>
    <row r="1009" spans="19:55">
      <c r="S1009" s="454"/>
      <c r="AN1009" s="454"/>
      <c r="AY1009" s="454"/>
      <c r="AZ1009" s="454"/>
      <c r="BA1009" s="1306"/>
      <c r="BC1009" s="169"/>
    </row>
    <row r="1010" spans="19:55">
      <c r="S1010" s="454"/>
      <c r="AN1010" s="454"/>
      <c r="AY1010" s="454"/>
      <c r="AZ1010" s="454"/>
      <c r="BA1010" s="1306"/>
      <c r="BC1010" s="169"/>
    </row>
    <row r="1011" spans="19:55">
      <c r="S1011" s="454"/>
      <c r="AN1011" s="454"/>
      <c r="AY1011" s="454"/>
      <c r="AZ1011" s="454"/>
      <c r="BA1011" s="1306"/>
      <c r="BC1011" s="169"/>
    </row>
    <row r="1012" spans="19:55">
      <c r="S1012" s="454"/>
      <c r="AN1012" s="454"/>
      <c r="AY1012" s="454"/>
      <c r="AZ1012" s="454"/>
      <c r="BA1012" s="1306"/>
      <c r="BC1012" s="169"/>
    </row>
    <row r="1013" spans="19:55">
      <c r="S1013" s="454"/>
      <c r="AN1013" s="454"/>
      <c r="AY1013" s="454"/>
      <c r="AZ1013" s="454"/>
      <c r="BA1013" s="1306"/>
      <c r="BC1013" s="169"/>
    </row>
    <row r="1014" spans="19:55">
      <c r="S1014" s="454"/>
      <c r="AN1014" s="454"/>
      <c r="AY1014" s="454"/>
      <c r="AZ1014" s="454"/>
      <c r="BA1014" s="1306"/>
      <c r="BC1014" s="169"/>
    </row>
    <row r="1015" spans="19:55">
      <c r="S1015" s="454"/>
      <c r="AN1015" s="454"/>
      <c r="AY1015" s="454"/>
      <c r="AZ1015" s="454"/>
      <c r="BA1015" s="1306"/>
      <c r="BC1015" s="169"/>
    </row>
    <row r="1016" spans="19:55">
      <c r="S1016" s="454"/>
      <c r="AN1016" s="454"/>
      <c r="AY1016" s="454"/>
      <c r="AZ1016" s="454"/>
      <c r="BA1016" s="1306"/>
      <c r="BC1016" s="169"/>
    </row>
    <row r="1017" spans="19:55">
      <c r="S1017" s="454"/>
      <c r="AN1017" s="454"/>
      <c r="AY1017" s="454"/>
      <c r="AZ1017" s="454"/>
      <c r="BA1017" s="1306"/>
      <c r="BC1017" s="169"/>
    </row>
    <row r="1018" spans="19:55">
      <c r="S1018" s="454"/>
      <c r="AN1018" s="454"/>
      <c r="AY1018" s="454"/>
      <c r="AZ1018" s="454"/>
      <c r="BA1018" s="1306"/>
      <c r="BC1018" s="169"/>
    </row>
    <row r="1019" spans="19:55">
      <c r="S1019" s="454"/>
      <c r="AN1019" s="454"/>
      <c r="AY1019" s="454"/>
      <c r="AZ1019" s="454"/>
      <c r="BA1019" s="1306"/>
      <c r="BC1019" s="169"/>
    </row>
    <row r="1020" spans="19:55">
      <c r="S1020" s="454"/>
      <c r="AN1020" s="454"/>
      <c r="AY1020" s="454"/>
      <c r="AZ1020" s="454"/>
      <c r="BA1020" s="1306"/>
      <c r="BC1020" s="169"/>
    </row>
    <row r="1021" spans="19:55">
      <c r="S1021" s="454"/>
      <c r="AN1021" s="454"/>
      <c r="AY1021" s="454"/>
      <c r="AZ1021" s="454"/>
      <c r="BA1021" s="1306"/>
      <c r="BC1021" s="169"/>
    </row>
    <row r="1022" spans="19:55">
      <c r="S1022" s="454"/>
      <c r="AN1022" s="454"/>
      <c r="AY1022" s="454"/>
      <c r="AZ1022" s="454"/>
      <c r="BA1022" s="1306"/>
      <c r="BC1022" s="169"/>
    </row>
    <row r="1023" spans="19:55">
      <c r="S1023" s="454"/>
      <c r="AN1023" s="454"/>
      <c r="AY1023" s="454"/>
      <c r="AZ1023" s="454"/>
      <c r="BA1023" s="1306"/>
      <c r="BC1023" s="169"/>
    </row>
    <row r="1024" spans="19:55">
      <c r="S1024" s="454"/>
      <c r="AN1024" s="454"/>
      <c r="AY1024" s="454"/>
      <c r="AZ1024" s="454"/>
      <c r="BA1024" s="1306"/>
      <c r="BC1024" s="169"/>
    </row>
    <row r="1025" spans="19:55">
      <c r="S1025" s="454"/>
      <c r="AN1025" s="454"/>
      <c r="AY1025" s="454"/>
      <c r="AZ1025" s="454"/>
      <c r="BA1025" s="1306"/>
      <c r="BC1025" s="169"/>
    </row>
    <row r="1026" spans="19:55">
      <c r="S1026" s="454"/>
      <c r="AN1026" s="454"/>
      <c r="AY1026" s="454"/>
      <c r="AZ1026" s="454"/>
      <c r="BA1026" s="1306"/>
      <c r="BC1026" s="169"/>
    </row>
    <row r="1027" spans="19:55">
      <c r="S1027" s="454"/>
      <c r="AN1027" s="454"/>
      <c r="AY1027" s="454"/>
      <c r="AZ1027" s="454"/>
      <c r="BA1027" s="1306"/>
      <c r="BC1027" s="169"/>
    </row>
    <row r="1028" spans="19:55">
      <c r="S1028" s="454"/>
      <c r="AN1028" s="454"/>
      <c r="AY1028" s="454"/>
      <c r="AZ1028" s="454"/>
      <c r="BA1028" s="1306"/>
      <c r="BC1028" s="169"/>
    </row>
    <row r="1029" spans="19:55">
      <c r="S1029" s="454"/>
      <c r="AN1029" s="454"/>
      <c r="AY1029" s="454"/>
      <c r="AZ1029" s="454"/>
      <c r="BA1029" s="1306"/>
      <c r="BC1029" s="169"/>
    </row>
    <row r="1030" spans="19:55">
      <c r="S1030" s="454"/>
      <c r="AN1030" s="454"/>
      <c r="AY1030" s="454"/>
      <c r="AZ1030" s="454"/>
      <c r="BA1030" s="1306"/>
      <c r="BC1030" s="169"/>
    </row>
    <row r="1031" spans="19:55">
      <c r="S1031" s="454"/>
      <c r="AN1031" s="454"/>
      <c r="AY1031" s="454"/>
      <c r="AZ1031" s="454"/>
      <c r="BA1031" s="1306"/>
      <c r="BC1031" s="169"/>
    </row>
    <row r="1032" spans="19:55">
      <c r="S1032" s="454"/>
      <c r="AN1032" s="454"/>
      <c r="AY1032" s="454"/>
      <c r="AZ1032" s="454"/>
      <c r="BA1032" s="1306"/>
      <c r="BC1032" s="169"/>
    </row>
    <row r="1033" spans="19:55">
      <c r="S1033" s="454"/>
      <c r="AN1033" s="454"/>
      <c r="AY1033" s="454"/>
      <c r="AZ1033" s="454"/>
      <c r="BA1033" s="1306"/>
      <c r="BC1033" s="169"/>
    </row>
    <row r="1034" spans="19:55">
      <c r="S1034" s="454"/>
      <c r="AN1034" s="454"/>
      <c r="AY1034" s="454"/>
      <c r="AZ1034" s="454"/>
      <c r="BA1034" s="1306"/>
      <c r="BC1034" s="169"/>
    </row>
    <row r="1035" spans="19:55">
      <c r="S1035" s="454"/>
      <c r="AN1035" s="454"/>
      <c r="AY1035" s="454"/>
      <c r="AZ1035" s="454"/>
      <c r="BA1035" s="1306"/>
      <c r="BC1035" s="169"/>
    </row>
    <row r="1036" spans="19:55">
      <c r="S1036" s="454"/>
      <c r="AN1036" s="454"/>
      <c r="AY1036" s="454"/>
      <c r="AZ1036" s="454"/>
      <c r="BA1036" s="1306"/>
      <c r="BC1036" s="169"/>
    </row>
    <row r="1037" spans="19:55">
      <c r="S1037" s="454"/>
      <c r="AN1037" s="454"/>
      <c r="AY1037" s="454"/>
      <c r="AZ1037" s="454"/>
      <c r="BA1037" s="1306"/>
      <c r="BC1037" s="169"/>
    </row>
    <row r="1038" spans="19:55">
      <c r="S1038" s="454"/>
      <c r="AN1038" s="454"/>
      <c r="AY1038" s="454"/>
      <c r="AZ1038" s="454"/>
      <c r="BA1038" s="1306"/>
      <c r="BC1038" s="169"/>
    </row>
    <row r="1039" spans="19:55">
      <c r="S1039" s="454"/>
      <c r="AN1039" s="454"/>
      <c r="AY1039" s="454"/>
      <c r="AZ1039" s="454"/>
      <c r="BA1039" s="1306"/>
      <c r="BC1039" s="169"/>
    </row>
    <row r="1040" spans="19:55">
      <c r="S1040" s="454"/>
      <c r="AN1040" s="454"/>
      <c r="AY1040" s="454"/>
      <c r="AZ1040" s="454"/>
      <c r="BA1040" s="1306"/>
      <c r="BC1040" s="169"/>
    </row>
    <row r="1041" spans="19:55">
      <c r="S1041" s="454"/>
      <c r="AN1041" s="454"/>
      <c r="AY1041" s="454"/>
      <c r="AZ1041" s="454"/>
      <c r="BA1041" s="1306"/>
      <c r="BC1041" s="169"/>
    </row>
    <row r="1042" spans="19:55">
      <c r="S1042" s="454"/>
      <c r="AN1042" s="454"/>
      <c r="AY1042" s="454"/>
      <c r="AZ1042" s="454"/>
      <c r="BA1042" s="1306"/>
      <c r="BC1042" s="169"/>
    </row>
    <row r="1043" spans="19:55">
      <c r="S1043" s="454"/>
      <c r="AN1043" s="454"/>
      <c r="AY1043" s="454"/>
      <c r="AZ1043" s="454"/>
      <c r="BA1043" s="1306"/>
      <c r="BC1043" s="169"/>
    </row>
    <row r="1044" spans="19:55">
      <c r="S1044" s="454"/>
      <c r="AN1044" s="454"/>
      <c r="AY1044" s="454"/>
      <c r="AZ1044" s="454"/>
      <c r="BA1044" s="1306"/>
      <c r="BC1044" s="169"/>
    </row>
    <row r="1045" spans="19:55">
      <c r="S1045" s="454"/>
      <c r="AN1045" s="454"/>
      <c r="AY1045" s="454"/>
      <c r="AZ1045" s="454"/>
      <c r="BA1045" s="1306"/>
      <c r="BC1045" s="169"/>
    </row>
    <row r="1046" spans="19:55">
      <c r="S1046" s="454"/>
      <c r="AN1046" s="454"/>
      <c r="AY1046" s="454"/>
      <c r="AZ1046" s="454"/>
      <c r="BA1046" s="1306"/>
      <c r="BC1046" s="169"/>
    </row>
    <row r="1047" spans="19:55">
      <c r="S1047" s="454"/>
      <c r="AN1047" s="454"/>
      <c r="AY1047" s="454"/>
      <c r="AZ1047" s="454"/>
      <c r="BA1047" s="1306"/>
      <c r="BC1047" s="169"/>
    </row>
    <row r="1048" spans="19:55">
      <c r="S1048" s="454"/>
      <c r="AN1048" s="454"/>
      <c r="AY1048" s="454"/>
      <c r="AZ1048" s="454"/>
      <c r="BA1048" s="1306"/>
      <c r="BC1048" s="169"/>
    </row>
    <row r="1049" spans="19:55">
      <c r="S1049" s="454"/>
      <c r="AN1049" s="454"/>
      <c r="AY1049" s="454"/>
      <c r="AZ1049" s="454"/>
      <c r="BA1049" s="1306"/>
      <c r="BC1049" s="169"/>
    </row>
    <row r="1050" spans="19:55">
      <c r="S1050" s="454"/>
      <c r="AN1050" s="454"/>
      <c r="AY1050" s="454"/>
      <c r="AZ1050" s="454"/>
      <c r="BA1050" s="1306"/>
      <c r="BC1050" s="169"/>
    </row>
    <row r="1051" spans="19:55">
      <c r="S1051" s="454"/>
      <c r="AN1051" s="454"/>
      <c r="AY1051" s="454"/>
      <c r="AZ1051" s="454"/>
      <c r="BA1051" s="1306"/>
      <c r="BC1051" s="169"/>
    </row>
    <row r="1052" spans="19:55">
      <c r="S1052" s="454"/>
      <c r="AN1052" s="454"/>
      <c r="AY1052" s="454"/>
      <c r="AZ1052" s="454"/>
      <c r="BA1052" s="1306"/>
      <c r="BC1052" s="169"/>
    </row>
    <row r="1053" spans="19:55">
      <c r="S1053" s="454"/>
      <c r="AN1053" s="454"/>
      <c r="AY1053" s="454"/>
      <c r="AZ1053" s="454"/>
      <c r="BA1053" s="1306"/>
      <c r="BC1053" s="169"/>
    </row>
    <row r="1054" spans="19:55">
      <c r="S1054" s="454"/>
      <c r="AN1054" s="454"/>
      <c r="AY1054" s="454"/>
      <c r="AZ1054" s="454"/>
      <c r="BA1054" s="1306"/>
      <c r="BC1054" s="169"/>
    </row>
    <row r="1055" spans="19:55">
      <c r="S1055" s="454"/>
      <c r="AN1055" s="454"/>
      <c r="AY1055" s="454"/>
      <c r="AZ1055" s="454"/>
      <c r="BA1055" s="1306"/>
      <c r="BC1055" s="169"/>
    </row>
    <row r="1056" spans="19:55">
      <c r="S1056" s="454"/>
      <c r="AN1056" s="454"/>
      <c r="AY1056" s="454"/>
      <c r="AZ1056" s="454"/>
      <c r="BA1056" s="1306"/>
      <c r="BC1056" s="169"/>
    </row>
    <row r="1057" spans="19:55">
      <c r="S1057" s="454"/>
      <c r="AN1057" s="454"/>
      <c r="AY1057" s="454"/>
      <c r="AZ1057" s="454"/>
      <c r="BA1057" s="1306"/>
      <c r="BC1057" s="169"/>
    </row>
    <row r="1058" spans="19:55">
      <c r="S1058" s="454"/>
      <c r="AN1058" s="454"/>
      <c r="AY1058" s="454"/>
      <c r="AZ1058" s="454"/>
      <c r="BA1058" s="1306"/>
      <c r="BC1058" s="169"/>
    </row>
    <row r="1059" spans="19:55">
      <c r="S1059" s="454"/>
      <c r="AN1059" s="454"/>
      <c r="AY1059" s="454"/>
      <c r="AZ1059" s="454"/>
      <c r="BA1059" s="1306"/>
      <c r="BC1059" s="169"/>
    </row>
    <row r="1060" spans="19:55">
      <c r="S1060" s="454"/>
      <c r="AN1060" s="454"/>
      <c r="AY1060" s="454"/>
      <c r="AZ1060" s="454"/>
      <c r="BA1060" s="1306"/>
      <c r="BC1060" s="169"/>
    </row>
    <row r="1061" spans="19:55">
      <c r="S1061" s="454"/>
      <c r="AN1061" s="454"/>
      <c r="AY1061" s="454"/>
      <c r="AZ1061" s="454"/>
      <c r="BA1061" s="1306"/>
      <c r="BC1061" s="169"/>
    </row>
    <row r="1062" spans="19:55">
      <c r="S1062" s="454"/>
      <c r="AN1062" s="454"/>
      <c r="AY1062" s="454"/>
      <c r="AZ1062" s="454"/>
      <c r="BA1062" s="1306"/>
      <c r="BC1062" s="169"/>
    </row>
    <row r="1063" spans="19:55">
      <c r="S1063" s="454"/>
      <c r="AN1063" s="454"/>
      <c r="AY1063" s="454"/>
      <c r="AZ1063" s="454"/>
      <c r="BA1063" s="1306"/>
      <c r="BC1063" s="169"/>
    </row>
    <row r="1064" spans="19:55">
      <c r="S1064" s="454"/>
      <c r="AN1064" s="454"/>
      <c r="AY1064" s="454"/>
      <c r="AZ1064" s="454"/>
      <c r="BA1064" s="1306"/>
      <c r="BC1064" s="169"/>
    </row>
    <row r="1065" spans="19:55">
      <c r="S1065" s="454"/>
      <c r="AN1065" s="454"/>
      <c r="AY1065" s="454"/>
      <c r="AZ1065" s="454"/>
      <c r="BA1065" s="1306"/>
      <c r="BC1065" s="169"/>
    </row>
    <row r="1066" spans="19:55">
      <c r="S1066" s="454"/>
      <c r="AN1066" s="454"/>
      <c r="AY1066" s="454"/>
      <c r="AZ1066" s="454"/>
      <c r="BA1066" s="1306"/>
      <c r="BC1066" s="169"/>
    </row>
    <row r="1067" spans="19:55">
      <c r="S1067" s="454"/>
      <c r="AN1067" s="454"/>
      <c r="AY1067" s="454"/>
      <c r="AZ1067" s="454"/>
      <c r="BA1067" s="1306"/>
      <c r="BC1067" s="169"/>
    </row>
    <row r="1068" spans="19:55">
      <c r="S1068" s="454"/>
      <c r="AN1068" s="454"/>
      <c r="AY1068" s="454"/>
      <c r="AZ1068" s="454"/>
      <c r="BA1068" s="1306"/>
      <c r="BC1068" s="169"/>
    </row>
    <row r="1069" spans="19:55">
      <c r="S1069" s="454"/>
      <c r="AN1069" s="454"/>
      <c r="AY1069" s="454"/>
      <c r="AZ1069" s="454"/>
      <c r="BA1069" s="1306"/>
      <c r="BC1069" s="169"/>
    </row>
    <row r="1070" spans="19:55">
      <c r="S1070" s="454"/>
      <c r="AN1070" s="454"/>
      <c r="AY1070" s="454"/>
      <c r="AZ1070" s="454"/>
      <c r="BA1070" s="1306"/>
      <c r="BC1070" s="169"/>
    </row>
    <row r="1071" spans="19:55">
      <c r="S1071" s="454"/>
      <c r="AN1071" s="454"/>
      <c r="AY1071" s="454"/>
      <c r="AZ1071" s="454"/>
      <c r="BA1071" s="1306"/>
      <c r="BC1071" s="169"/>
    </row>
    <row r="1072" spans="19:55">
      <c r="S1072" s="454"/>
      <c r="AN1072" s="454"/>
      <c r="AY1072" s="454"/>
      <c r="AZ1072" s="454"/>
      <c r="BA1072" s="1306"/>
      <c r="BC1072" s="169"/>
    </row>
    <row r="1073" spans="19:55">
      <c r="S1073" s="454"/>
      <c r="AN1073" s="454"/>
      <c r="AY1073" s="454"/>
      <c r="AZ1073" s="454"/>
      <c r="BA1073" s="1306"/>
      <c r="BC1073" s="169"/>
    </row>
    <row r="1074" spans="19:55">
      <c r="S1074" s="454"/>
      <c r="AN1074" s="454"/>
      <c r="AY1074" s="454"/>
      <c r="AZ1074" s="454"/>
      <c r="BA1074" s="1306"/>
      <c r="BC1074" s="169"/>
    </row>
    <row r="1075" spans="19:55">
      <c r="S1075" s="454"/>
      <c r="AN1075" s="454"/>
      <c r="AY1075" s="454"/>
      <c r="AZ1075" s="454"/>
      <c r="BA1075" s="1306"/>
      <c r="BC1075" s="169"/>
    </row>
    <row r="1076" spans="19:55">
      <c r="S1076" s="454"/>
      <c r="AN1076" s="454"/>
      <c r="AY1076" s="454"/>
      <c r="AZ1076" s="454"/>
      <c r="BA1076" s="1306"/>
      <c r="BC1076" s="169"/>
    </row>
    <row r="1077" spans="19:55">
      <c r="S1077" s="454"/>
      <c r="AN1077" s="454"/>
      <c r="AY1077" s="454"/>
      <c r="AZ1077" s="454"/>
      <c r="BA1077" s="1306"/>
      <c r="BC1077" s="169"/>
    </row>
    <row r="1078" spans="19:55">
      <c r="S1078" s="454"/>
      <c r="AN1078" s="454"/>
      <c r="AY1078" s="454"/>
      <c r="AZ1078" s="454"/>
      <c r="BA1078" s="1306"/>
      <c r="BC1078" s="169"/>
    </row>
    <row r="1079" spans="19:55">
      <c r="S1079" s="454"/>
      <c r="AN1079" s="454"/>
      <c r="AY1079" s="454"/>
      <c r="AZ1079" s="454"/>
      <c r="BA1079" s="1306"/>
      <c r="BC1079" s="169"/>
    </row>
    <row r="1080" spans="19:55">
      <c r="S1080" s="454"/>
      <c r="AN1080" s="454"/>
      <c r="AY1080" s="454"/>
      <c r="AZ1080" s="454"/>
      <c r="BA1080" s="1306"/>
      <c r="BC1080" s="169"/>
    </row>
    <row r="1081" spans="19:55">
      <c r="S1081" s="454"/>
      <c r="AN1081" s="454"/>
      <c r="AY1081" s="454"/>
      <c r="AZ1081" s="454"/>
      <c r="BA1081" s="1306"/>
      <c r="BC1081" s="169"/>
    </row>
    <row r="1082" spans="19:55">
      <c r="S1082" s="454"/>
      <c r="AN1082" s="454"/>
      <c r="AY1082" s="454"/>
      <c r="AZ1082" s="454"/>
      <c r="BA1082" s="1306"/>
      <c r="BC1082" s="169"/>
    </row>
    <row r="1083" spans="19:55">
      <c r="S1083" s="454"/>
      <c r="AN1083" s="454"/>
      <c r="AY1083" s="454"/>
      <c r="AZ1083" s="454"/>
      <c r="BA1083" s="1306"/>
      <c r="BC1083" s="169"/>
    </row>
    <row r="1084" spans="19:55">
      <c r="S1084" s="454"/>
      <c r="AN1084" s="454"/>
      <c r="AY1084" s="454"/>
      <c r="AZ1084" s="454"/>
      <c r="BA1084" s="1306"/>
      <c r="BC1084" s="169"/>
    </row>
    <row r="1085" spans="19:55">
      <c r="S1085" s="454"/>
      <c r="AN1085" s="454"/>
      <c r="AY1085" s="454"/>
      <c r="AZ1085" s="454"/>
      <c r="BA1085" s="1306"/>
      <c r="BC1085" s="169"/>
    </row>
    <row r="1086" spans="19:55">
      <c r="S1086" s="454"/>
      <c r="AN1086" s="454"/>
      <c r="AY1086" s="454"/>
      <c r="AZ1086" s="454"/>
      <c r="BA1086" s="1306"/>
      <c r="BC1086" s="169"/>
    </row>
    <row r="1087" spans="19:55">
      <c r="S1087" s="454"/>
      <c r="AN1087" s="454"/>
      <c r="AY1087" s="454"/>
      <c r="AZ1087" s="454"/>
      <c r="BA1087" s="1306"/>
      <c r="BC1087" s="169"/>
    </row>
    <row r="1088" spans="19:55">
      <c r="S1088" s="454"/>
      <c r="AN1088" s="454"/>
      <c r="AY1088" s="454"/>
      <c r="AZ1088" s="454"/>
      <c r="BA1088" s="1306"/>
      <c r="BC1088" s="169"/>
    </row>
    <row r="1089" spans="19:55">
      <c r="S1089" s="454"/>
      <c r="AN1089" s="454"/>
      <c r="AY1089" s="454"/>
      <c r="AZ1089" s="454"/>
      <c r="BA1089" s="1306"/>
      <c r="BC1089" s="169"/>
    </row>
    <row r="1090" spans="19:55">
      <c r="S1090" s="454"/>
      <c r="AN1090" s="454"/>
      <c r="AY1090" s="454"/>
      <c r="AZ1090" s="454"/>
      <c r="BA1090" s="1306"/>
      <c r="BC1090" s="169"/>
    </row>
    <row r="1091" spans="19:55">
      <c r="S1091" s="454"/>
      <c r="AN1091" s="454"/>
      <c r="AY1091" s="454"/>
      <c r="AZ1091" s="454"/>
      <c r="BA1091" s="1306"/>
      <c r="BC1091" s="169"/>
    </row>
    <row r="1092" spans="19:55">
      <c r="S1092" s="454"/>
      <c r="AN1092" s="454"/>
      <c r="AY1092" s="454"/>
      <c r="AZ1092" s="454"/>
      <c r="BA1092" s="1306"/>
      <c r="BC1092" s="169"/>
    </row>
    <row r="1093" spans="19:55">
      <c r="S1093" s="454"/>
      <c r="AN1093" s="454"/>
      <c r="AY1093" s="454"/>
      <c r="AZ1093" s="454"/>
      <c r="BA1093" s="1306"/>
      <c r="BC1093" s="169"/>
    </row>
    <row r="1094" spans="19:55">
      <c r="S1094" s="454"/>
      <c r="AN1094" s="454"/>
      <c r="AY1094" s="454"/>
      <c r="AZ1094" s="454"/>
      <c r="BA1094" s="1306"/>
      <c r="BC1094" s="169"/>
    </row>
    <row r="1095" spans="19:55">
      <c r="S1095" s="454"/>
      <c r="AN1095" s="454"/>
      <c r="AY1095" s="454"/>
      <c r="AZ1095" s="454"/>
      <c r="BA1095" s="1306"/>
      <c r="BC1095" s="169"/>
    </row>
    <row r="1096" spans="19:55">
      <c r="S1096" s="454"/>
      <c r="AN1096" s="454"/>
      <c r="AY1096" s="454"/>
      <c r="AZ1096" s="454"/>
      <c r="BA1096" s="1267"/>
      <c r="BC1096" s="169"/>
    </row>
    <row r="1097" spans="19:55">
      <c r="S1097" s="454"/>
      <c r="AN1097" s="454"/>
      <c r="AY1097" s="454"/>
      <c r="AZ1097" s="454"/>
      <c r="BA1097" s="1267"/>
      <c r="BC1097" s="169"/>
    </row>
    <row r="1098" spans="19:55">
      <c r="S1098" s="454"/>
      <c r="AN1098" s="454"/>
      <c r="AY1098" s="454"/>
      <c r="AZ1098" s="454"/>
      <c r="BA1098" s="1267"/>
      <c r="BC1098" s="169"/>
    </row>
    <row r="1099" spans="19:55">
      <c r="S1099" s="454"/>
      <c r="AN1099" s="454"/>
      <c r="AY1099" s="454"/>
      <c r="AZ1099" s="454"/>
      <c r="BA1099" s="1267"/>
      <c r="BC1099" s="169"/>
    </row>
    <row r="1100" spans="19:55">
      <c r="S1100" s="454"/>
      <c r="AN1100" s="454"/>
      <c r="AY1100" s="454"/>
      <c r="AZ1100" s="454"/>
      <c r="BA1100" s="1267"/>
      <c r="BC1100" s="169"/>
    </row>
    <row r="1101" spans="19:55">
      <c r="S1101" s="454"/>
      <c r="AN1101" s="454"/>
      <c r="AY1101" s="454"/>
      <c r="AZ1101" s="454"/>
      <c r="BA1101" s="1267"/>
      <c r="BC1101" s="169"/>
    </row>
    <row r="1102" spans="19:55">
      <c r="S1102" s="454"/>
      <c r="AN1102" s="454"/>
      <c r="AY1102" s="454"/>
      <c r="AZ1102" s="454"/>
      <c r="BA1102" s="1267"/>
      <c r="BC1102" s="169"/>
    </row>
    <row r="1103" spans="19:55">
      <c r="S1103" s="454"/>
      <c r="AN1103" s="454"/>
      <c r="AY1103" s="454"/>
      <c r="AZ1103" s="454"/>
      <c r="BA1103" s="1267"/>
      <c r="BC1103" s="169"/>
    </row>
    <row r="1104" spans="19:55">
      <c r="S1104" s="454"/>
      <c r="AN1104" s="454"/>
      <c r="AY1104" s="454"/>
      <c r="AZ1104" s="454"/>
      <c r="BA1104" s="1267"/>
      <c r="BC1104" s="169"/>
    </row>
    <row r="1105" spans="19:55">
      <c r="S1105" s="454"/>
      <c r="AN1105" s="454"/>
      <c r="AY1105" s="454"/>
      <c r="AZ1105" s="454"/>
      <c r="BA1105" s="1267"/>
      <c r="BC1105" s="169"/>
    </row>
    <row r="1106" spans="19:55">
      <c r="S1106" s="454"/>
      <c r="AN1106" s="454"/>
      <c r="AY1106" s="454"/>
      <c r="AZ1106" s="454"/>
      <c r="BA1106" s="1267"/>
      <c r="BC1106" s="169"/>
    </row>
    <row r="1107" spans="19:55">
      <c r="S1107" s="454"/>
      <c r="AN1107" s="454"/>
      <c r="AY1107" s="454"/>
      <c r="AZ1107" s="454"/>
      <c r="BA1107" s="1267"/>
      <c r="BC1107" s="169"/>
    </row>
    <row r="1108" spans="19:55">
      <c r="S1108" s="454"/>
      <c r="AN1108" s="454"/>
      <c r="AY1108" s="454"/>
      <c r="AZ1108" s="454"/>
      <c r="BA1108" s="1267"/>
      <c r="BC1108" s="169"/>
    </row>
    <row r="1109" spans="19:55">
      <c r="S1109" s="454"/>
      <c r="AN1109" s="454"/>
      <c r="AY1109" s="454"/>
      <c r="AZ1109" s="454"/>
      <c r="BA1109" s="1267"/>
      <c r="BC1109" s="169"/>
    </row>
    <row r="1110" spans="19:55">
      <c r="S1110" s="454"/>
      <c r="AN1110" s="454"/>
      <c r="AY1110" s="454"/>
      <c r="AZ1110" s="454"/>
      <c r="BA1110" s="1267"/>
      <c r="BC1110" s="169"/>
    </row>
    <row r="1111" spans="19:55">
      <c r="S1111" s="454"/>
      <c r="AN1111" s="454"/>
      <c r="AY1111" s="454"/>
      <c r="AZ1111" s="454"/>
      <c r="BA1111" s="1267"/>
      <c r="BC1111" s="169"/>
    </row>
    <row r="1112" spans="19:55">
      <c r="S1112" s="454"/>
      <c r="AN1112" s="454"/>
      <c r="AY1112" s="454"/>
      <c r="AZ1112" s="454"/>
      <c r="BA1112" s="1267"/>
      <c r="BC1112" s="169"/>
    </row>
    <row r="1113" spans="19:55">
      <c r="S1113" s="454"/>
      <c r="AN1113" s="454"/>
      <c r="AY1113" s="454"/>
      <c r="AZ1113" s="454"/>
      <c r="BA1113" s="1267"/>
      <c r="BC1113" s="169"/>
    </row>
    <row r="1114" spans="19:55">
      <c r="S1114" s="454"/>
      <c r="AN1114" s="454"/>
      <c r="AY1114" s="454"/>
      <c r="AZ1114" s="454"/>
      <c r="BA1114" s="1267"/>
      <c r="BC1114" s="169"/>
    </row>
    <row r="1115" spans="19:55">
      <c r="S1115" s="454"/>
      <c r="AN1115" s="454"/>
      <c r="AY1115" s="454"/>
      <c r="AZ1115" s="454"/>
      <c r="BA1115" s="1267"/>
      <c r="BC1115" s="169"/>
    </row>
    <row r="1116" spans="19:55">
      <c r="S1116" s="454"/>
      <c r="AN1116" s="454"/>
      <c r="AY1116" s="454"/>
      <c r="AZ1116" s="454"/>
      <c r="BA1116" s="1267"/>
      <c r="BC1116" s="169"/>
    </row>
    <row r="1117" spans="19:55">
      <c r="S1117" s="454"/>
      <c r="AN1117" s="454"/>
      <c r="AY1117" s="454"/>
      <c r="AZ1117" s="454"/>
      <c r="BA1117" s="1267"/>
      <c r="BC1117" s="169"/>
    </row>
    <row r="1118" spans="19:55">
      <c r="S1118" s="454"/>
      <c r="AN1118" s="454"/>
      <c r="AY1118" s="454"/>
      <c r="AZ1118" s="454"/>
      <c r="BA1118" s="1267"/>
      <c r="BC1118" s="169"/>
    </row>
    <row r="1119" spans="19:55">
      <c r="S1119" s="454"/>
      <c r="AN1119" s="454"/>
      <c r="AY1119" s="454"/>
      <c r="AZ1119" s="454"/>
      <c r="BA1119" s="1267"/>
      <c r="BC1119" s="169"/>
    </row>
    <row r="1120" spans="19:55">
      <c r="S1120" s="454"/>
      <c r="AN1120" s="454"/>
      <c r="AY1120" s="454"/>
      <c r="AZ1120" s="454"/>
      <c r="BA1120" s="1267"/>
      <c r="BC1120" s="169"/>
    </row>
    <row r="1121" spans="19:55">
      <c r="S1121" s="454"/>
      <c r="AN1121" s="454"/>
      <c r="AY1121" s="454"/>
      <c r="AZ1121" s="454"/>
      <c r="BA1121" s="1267"/>
      <c r="BC1121" s="169"/>
    </row>
    <row r="1122" spans="19:55">
      <c r="S1122" s="454"/>
      <c r="AN1122" s="454"/>
      <c r="AY1122" s="454"/>
      <c r="AZ1122" s="454"/>
      <c r="BA1122" s="1267"/>
      <c r="BC1122" s="169"/>
    </row>
    <row r="1123" spans="19:55">
      <c r="S1123" s="454"/>
      <c r="AN1123" s="454"/>
      <c r="AY1123" s="454"/>
      <c r="AZ1123" s="454"/>
      <c r="BA1123" s="1267"/>
      <c r="BC1123" s="169"/>
    </row>
    <row r="1124" spans="19:55">
      <c r="S1124" s="454"/>
      <c r="AN1124" s="454"/>
      <c r="AY1124" s="454"/>
      <c r="AZ1124" s="454"/>
      <c r="BA1124" s="1267"/>
      <c r="BC1124" s="169"/>
    </row>
    <row r="1125" spans="19:55">
      <c r="S1125" s="454"/>
      <c r="AN1125" s="454"/>
      <c r="AY1125" s="454"/>
      <c r="AZ1125" s="454"/>
      <c r="BA1125" s="1267"/>
      <c r="BC1125" s="169"/>
    </row>
    <row r="1126" spans="19:55">
      <c r="S1126" s="454"/>
      <c r="AN1126" s="454"/>
      <c r="AY1126" s="454"/>
      <c r="AZ1126" s="454"/>
      <c r="BA1126" s="1267"/>
      <c r="BC1126" s="169"/>
    </row>
    <row r="1127" spans="19:55">
      <c r="S1127" s="454"/>
      <c r="AN1127" s="454"/>
      <c r="AY1127" s="454"/>
      <c r="AZ1127" s="454"/>
      <c r="BA1127" s="1267"/>
      <c r="BC1127" s="169"/>
    </row>
    <row r="1128" spans="19:55">
      <c r="S1128" s="454"/>
      <c r="AN1128" s="454"/>
      <c r="AY1128" s="454"/>
      <c r="AZ1128" s="454"/>
      <c r="BA1128" s="1267"/>
      <c r="BC1128" s="169"/>
    </row>
    <row r="1129" spans="19:55">
      <c r="S1129" s="454"/>
      <c r="AN1129" s="454"/>
      <c r="AY1129" s="454"/>
      <c r="AZ1129" s="454"/>
      <c r="BA1129" s="1267"/>
      <c r="BC1129" s="169"/>
    </row>
    <row r="1130" spans="19:55">
      <c r="S1130" s="454"/>
      <c r="AN1130" s="454"/>
      <c r="AY1130" s="454"/>
      <c r="AZ1130" s="454"/>
      <c r="BA1130" s="1267"/>
      <c r="BC1130" s="169"/>
    </row>
    <row r="1131" spans="19:55">
      <c r="S1131" s="454"/>
      <c r="AN1131" s="454"/>
      <c r="AY1131" s="454"/>
      <c r="AZ1131" s="454"/>
      <c r="BA1131" s="1267"/>
      <c r="BC1131" s="169"/>
    </row>
    <row r="1132" spans="19:55">
      <c r="S1132" s="454"/>
      <c r="AN1132" s="454"/>
      <c r="AY1132" s="454"/>
      <c r="AZ1132" s="454"/>
      <c r="BA1132" s="1267"/>
      <c r="BC1132" s="169"/>
    </row>
    <row r="1133" spans="19:55">
      <c r="S1133" s="454"/>
      <c r="AN1133" s="454"/>
      <c r="AY1133" s="454"/>
      <c r="AZ1133" s="454"/>
      <c r="BA1133" s="1267"/>
      <c r="BC1133" s="169"/>
    </row>
    <row r="1134" spans="19:55">
      <c r="S1134" s="454"/>
      <c r="AN1134" s="454"/>
      <c r="AY1134" s="454"/>
      <c r="AZ1134" s="454"/>
      <c r="BA1134" s="1267"/>
      <c r="BC1134" s="169"/>
    </row>
    <row r="1135" spans="19:55">
      <c r="S1135" s="454"/>
      <c r="AN1135" s="454"/>
      <c r="AY1135" s="454"/>
      <c r="AZ1135" s="454"/>
      <c r="BA1135" s="1267"/>
      <c r="BC1135" s="169"/>
    </row>
    <row r="1136" spans="19:55">
      <c r="S1136" s="454"/>
      <c r="AN1136" s="454"/>
      <c r="AY1136" s="454"/>
      <c r="AZ1136" s="454"/>
      <c r="BA1136" s="1267"/>
      <c r="BC1136" s="169"/>
    </row>
    <row r="1137" spans="19:55">
      <c r="S1137" s="454"/>
      <c r="AN1137" s="454"/>
      <c r="AY1137" s="454"/>
      <c r="AZ1137" s="454"/>
      <c r="BA1137" s="1267"/>
      <c r="BC1137" s="169"/>
    </row>
    <row r="1138" spans="19:55">
      <c r="S1138" s="454"/>
      <c r="AN1138" s="454"/>
      <c r="AY1138" s="454"/>
      <c r="AZ1138" s="454"/>
      <c r="BA1138" s="1267"/>
      <c r="BC1138" s="169"/>
    </row>
    <row r="1139" spans="19:55">
      <c r="S1139" s="454"/>
      <c r="AN1139" s="454"/>
      <c r="AY1139" s="454"/>
      <c r="AZ1139" s="454"/>
      <c r="BA1139" s="1267"/>
      <c r="BC1139" s="169"/>
    </row>
    <row r="1140" spans="19:55">
      <c r="S1140" s="454"/>
      <c r="AN1140" s="454"/>
      <c r="AY1140" s="454"/>
      <c r="AZ1140" s="454"/>
      <c r="BA1140" s="1267"/>
      <c r="BC1140" s="169"/>
    </row>
    <row r="1141" spans="19:55">
      <c r="S1141" s="454"/>
      <c r="AN1141" s="454"/>
      <c r="AY1141" s="454"/>
      <c r="AZ1141" s="454"/>
      <c r="BA1141" s="1267"/>
      <c r="BC1141" s="169"/>
    </row>
    <row r="1142" spans="19:55">
      <c r="S1142" s="454"/>
      <c r="AN1142" s="454"/>
      <c r="AY1142" s="454"/>
      <c r="AZ1142" s="454"/>
      <c r="BA1142" s="1267"/>
      <c r="BC1142" s="169"/>
    </row>
    <row r="1143" spans="19:55">
      <c r="S1143" s="454"/>
      <c r="AN1143" s="454"/>
      <c r="AY1143" s="454"/>
      <c r="AZ1143" s="454"/>
      <c r="BA1143" s="1267"/>
      <c r="BC1143" s="169"/>
    </row>
    <row r="1144" spans="19:55">
      <c r="S1144" s="454"/>
      <c r="AN1144" s="454"/>
      <c r="AY1144" s="454"/>
      <c r="AZ1144" s="454"/>
      <c r="BA1144" s="1267"/>
      <c r="BC1144" s="169"/>
    </row>
    <row r="1145" spans="19:55">
      <c r="S1145" s="454"/>
      <c r="AN1145" s="454"/>
      <c r="AY1145" s="454"/>
      <c r="AZ1145" s="454"/>
      <c r="BA1145" s="1267"/>
      <c r="BC1145" s="169"/>
    </row>
    <row r="1146" spans="19:55">
      <c r="S1146" s="454"/>
      <c r="AN1146" s="454"/>
      <c r="AY1146" s="454"/>
      <c r="AZ1146" s="454"/>
      <c r="BA1146" s="1267"/>
      <c r="BC1146" s="169"/>
    </row>
    <row r="1147" spans="19:55">
      <c r="S1147" s="454"/>
      <c r="AN1147" s="454"/>
      <c r="AY1147" s="454"/>
      <c r="AZ1147" s="454"/>
      <c r="BA1147" s="1267"/>
      <c r="BC1147" s="169"/>
    </row>
    <row r="1148" spans="19:55">
      <c r="S1148" s="454"/>
      <c r="AN1148" s="454"/>
      <c r="AY1148" s="454"/>
      <c r="AZ1148" s="454"/>
      <c r="BA1148" s="1267"/>
      <c r="BC1148" s="169"/>
    </row>
    <row r="1149" spans="19:55">
      <c r="S1149" s="454"/>
      <c r="AN1149" s="454"/>
      <c r="AY1149" s="454"/>
      <c r="AZ1149" s="454"/>
      <c r="BA1149" s="1267"/>
      <c r="BC1149" s="169"/>
    </row>
    <row r="1150" spans="19:55">
      <c r="S1150" s="454"/>
      <c r="AN1150" s="454"/>
      <c r="AY1150" s="454"/>
      <c r="AZ1150" s="454"/>
      <c r="BA1150" s="1267"/>
      <c r="BC1150" s="169"/>
    </row>
    <row r="1151" spans="19:55">
      <c r="S1151" s="454"/>
      <c r="AN1151" s="454"/>
      <c r="AY1151" s="454"/>
      <c r="AZ1151" s="454"/>
      <c r="BA1151" s="1267"/>
      <c r="BC1151" s="169"/>
    </row>
    <row r="1152" spans="19:55">
      <c r="S1152" s="454"/>
      <c r="AN1152" s="454"/>
      <c r="AY1152" s="454"/>
      <c r="AZ1152" s="454"/>
      <c r="BA1152" s="1267"/>
      <c r="BC1152" s="169"/>
    </row>
    <row r="1153" spans="19:55">
      <c r="S1153" s="454"/>
      <c r="AN1153" s="454"/>
      <c r="AY1153" s="454"/>
      <c r="AZ1153" s="454"/>
      <c r="BA1153" s="1267"/>
      <c r="BC1153" s="169"/>
    </row>
    <row r="1154" spans="19:55">
      <c r="S1154" s="454"/>
      <c r="AN1154" s="454"/>
      <c r="AY1154" s="454"/>
      <c r="AZ1154" s="454"/>
      <c r="BA1154" s="1267"/>
      <c r="BC1154" s="169"/>
    </row>
    <row r="1155" spans="19:55">
      <c r="S1155" s="454"/>
      <c r="AN1155" s="454"/>
      <c r="AY1155" s="454"/>
      <c r="AZ1155" s="454"/>
      <c r="BA1155" s="1267"/>
      <c r="BC1155" s="169"/>
    </row>
    <row r="1156" spans="19:55">
      <c r="S1156" s="454"/>
      <c r="AN1156" s="454"/>
      <c r="AY1156" s="454"/>
      <c r="AZ1156" s="454"/>
      <c r="BA1156" s="1267"/>
      <c r="BC1156" s="169"/>
    </row>
    <row r="1157" spans="19:55">
      <c r="S1157" s="454"/>
      <c r="AN1157" s="454"/>
      <c r="AY1157" s="454"/>
      <c r="AZ1157" s="454"/>
      <c r="BA1157" s="1267"/>
      <c r="BC1157" s="169"/>
    </row>
    <row r="1158" spans="19:55">
      <c r="S1158" s="454"/>
      <c r="AN1158" s="454"/>
      <c r="AY1158" s="454"/>
      <c r="AZ1158" s="454"/>
      <c r="BA1158" s="1267"/>
      <c r="BC1158" s="169"/>
    </row>
    <row r="1159" spans="19:55">
      <c r="S1159" s="454"/>
      <c r="AN1159" s="454"/>
      <c r="AY1159" s="454"/>
      <c r="AZ1159" s="454"/>
      <c r="BA1159" s="1267"/>
      <c r="BC1159" s="169"/>
    </row>
    <row r="1160" spans="19:55">
      <c r="S1160" s="454"/>
      <c r="AN1160" s="454"/>
      <c r="AY1160" s="454"/>
      <c r="AZ1160" s="454"/>
      <c r="BA1160" s="1267"/>
      <c r="BC1160" s="169"/>
    </row>
    <row r="1161" spans="19:55">
      <c r="S1161" s="454"/>
      <c r="AN1161" s="454"/>
      <c r="AY1161" s="454"/>
      <c r="AZ1161" s="454"/>
      <c r="BA1161" s="1267"/>
      <c r="BC1161" s="169"/>
    </row>
    <row r="1162" spans="19:55">
      <c r="S1162" s="454"/>
      <c r="AN1162" s="454"/>
      <c r="AY1162" s="454"/>
      <c r="AZ1162" s="454"/>
      <c r="BA1162" s="1267"/>
      <c r="BC1162" s="169"/>
    </row>
    <row r="1163" spans="19:55">
      <c r="S1163" s="454"/>
      <c r="AN1163" s="454"/>
      <c r="AY1163" s="454"/>
      <c r="AZ1163" s="454"/>
      <c r="BA1163" s="1267"/>
      <c r="BC1163" s="169"/>
    </row>
    <row r="1164" spans="19:55">
      <c r="S1164" s="454"/>
      <c r="AN1164" s="454"/>
      <c r="AY1164" s="454"/>
      <c r="AZ1164" s="454"/>
      <c r="BA1164" s="1267"/>
      <c r="BC1164" s="169"/>
    </row>
    <row r="1165" spans="19:55">
      <c r="S1165" s="454"/>
      <c r="AN1165" s="454"/>
      <c r="AY1165" s="454"/>
      <c r="AZ1165" s="454"/>
      <c r="BA1165" s="1267"/>
      <c r="BC1165" s="169"/>
    </row>
    <row r="1166" spans="19:55">
      <c r="S1166" s="454"/>
      <c r="AN1166" s="454"/>
      <c r="AY1166" s="454"/>
      <c r="AZ1166" s="454"/>
      <c r="BA1166" s="1267"/>
      <c r="BC1166" s="169"/>
    </row>
    <row r="1167" spans="19:55">
      <c r="S1167" s="454"/>
      <c r="AN1167" s="454"/>
      <c r="AY1167" s="454"/>
      <c r="AZ1167" s="454"/>
      <c r="BA1167" s="1267"/>
      <c r="BC1167" s="169"/>
    </row>
    <row r="1168" spans="19:55">
      <c r="S1168" s="454"/>
      <c r="AN1168" s="454"/>
      <c r="AY1168" s="454"/>
      <c r="AZ1168" s="454"/>
      <c r="BA1168" s="1267"/>
      <c r="BC1168" s="169"/>
    </row>
    <row r="1169" spans="19:55">
      <c r="S1169" s="454"/>
      <c r="AN1169" s="454"/>
      <c r="AY1169" s="454"/>
      <c r="AZ1169" s="454"/>
      <c r="BA1169" s="1267"/>
      <c r="BC1169" s="169"/>
    </row>
    <row r="1170" spans="19:55">
      <c r="S1170" s="454"/>
      <c r="AN1170" s="454"/>
      <c r="AY1170" s="454"/>
      <c r="AZ1170" s="454"/>
      <c r="BA1170" s="1267"/>
      <c r="BC1170" s="169"/>
    </row>
    <row r="1171" spans="19:55">
      <c r="S1171" s="454"/>
      <c r="AN1171" s="454"/>
      <c r="AY1171" s="454"/>
      <c r="AZ1171" s="454"/>
      <c r="BA1171" s="1267"/>
      <c r="BC1171" s="169"/>
    </row>
    <row r="1172" spans="19:55">
      <c r="S1172" s="454"/>
      <c r="AN1172" s="454"/>
      <c r="AY1172" s="454"/>
      <c r="AZ1172" s="454"/>
      <c r="BA1172" s="1267"/>
      <c r="BC1172" s="169"/>
    </row>
    <row r="1173" spans="19:55">
      <c r="S1173" s="454"/>
      <c r="AN1173" s="454"/>
      <c r="AY1173" s="454"/>
      <c r="AZ1173" s="454"/>
      <c r="BA1173" s="1267"/>
      <c r="BC1173" s="169"/>
    </row>
    <row r="1174" spans="19:55">
      <c r="S1174" s="454"/>
      <c r="AN1174" s="454"/>
      <c r="AY1174" s="454"/>
      <c r="AZ1174" s="454"/>
      <c r="BA1174" s="1267"/>
      <c r="BC1174" s="169"/>
    </row>
    <row r="1175" spans="19:55">
      <c r="S1175" s="454"/>
      <c r="AN1175" s="454"/>
      <c r="AY1175" s="454"/>
      <c r="AZ1175" s="454"/>
      <c r="BA1175" s="1267"/>
      <c r="BC1175" s="169"/>
    </row>
    <row r="1176" spans="19:55">
      <c r="S1176" s="454"/>
      <c r="AN1176" s="454"/>
      <c r="AY1176" s="454"/>
      <c r="AZ1176" s="454"/>
      <c r="BA1176" s="1267"/>
      <c r="BC1176" s="169"/>
    </row>
    <row r="1177" spans="19:55">
      <c r="S1177" s="454"/>
      <c r="AN1177" s="454"/>
      <c r="AY1177" s="454"/>
      <c r="AZ1177" s="454"/>
      <c r="BA1177" s="1267"/>
      <c r="BC1177" s="169"/>
    </row>
    <row r="1178" spans="19:55">
      <c r="S1178" s="454"/>
      <c r="AN1178" s="454"/>
      <c r="AY1178" s="454"/>
      <c r="AZ1178" s="454"/>
      <c r="BA1178" s="1267"/>
      <c r="BC1178" s="169"/>
    </row>
    <row r="1179" spans="19:55">
      <c r="S1179" s="454"/>
      <c r="AN1179" s="454"/>
      <c r="AY1179" s="454"/>
      <c r="AZ1179" s="454"/>
      <c r="BA1179" s="1267"/>
      <c r="BC1179" s="169"/>
    </row>
    <row r="1180" spans="19:55">
      <c r="S1180" s="454"/>
      <c r="AN1180" s="454"/>
      <c r="AY1180" s="454"/>
      <c r="AZ1180" s="454"/>
      <c r="BA1180" s="1267"/>
      <c r="BC1180" s="169"/>
    </row>
    <row r="1181" spans="19:55">
      <c r="S1181" s="454"/>
      <c r="AN1181" s="454"/>
      <c r="AY1181" s="454"/>
      <c r="AZ1181" s="454"/>
      <c r="BA1181" s="1267"/>
      <c r="BC1181" s="169"/>
    </row>
    <row r="1182" spans="19:55">
      <c r="S1182" s="454"/>
      <c r="AN1182" s="454"/>
      <c r="AY1182" s="454"/>
      <c r="AZ1182" s="454"/>
      <c r="BA1182" s="1267"/>
      <c r="BC1182" s="169"/>
    </row>
    <row r="1183" spans="19:55">
      <c r="S1183" s="454"/>
      <c r="AN1183" s="454"/>
      <c r="AY1183" s="454"/>
      <c r="AZ1183" s="454"/>
      <c r="BA1183" s="1267"/>
      <c r="BC1183" s="169"/>
    </row>
    <row r="1184" spans="19:55">
      <c r="S1184" s="454"/>
      <c r="AN1184" s="454"/>
      <c r="AY1184" s="454"/>
      <c r="AZ1184" s="454"/>
      <c r="BA1184" s="1267"/>
      <c r="BC1184" s="169"/>
    </row>
    <row r="1185" spans="19:55">
      <c r="S1185" s="454"/>
      <c r="AN1185" s="454"/>
      <c r="AY1185" s="454"/>
      <c r="AZ1185" s="454"/>
      <c r="BA1185" s="1267"/>
      <c r="BC1185" s="169"/>
    </row>
    <row r="1186" spans="19:55">
      <c r="S1186" s="454"/>
      <c r="AN1186" s="454"/>
      <c r="AY1186" s="454"/>
      <c r="AZ1186" s="454"/>
      <c r="BA1186" s="1267"/>
      <c r="BC1186" s="169"/>
    </row>
    <row r="1187" spans="19:55">
      <c r="S1187" s="454"/>
      <c r="AN1187" s="454"/>
      <c r="AY1187" s="454"/>
      <c r="AZ1187" s="454"/>
      <c r="BA1187" s="1267"/>
      <c r="BC1187" s="169"/>
    </row>
    <row r="1188" spans="19:55">
      <c r="S1188" s="454"/>
      <c r="AN1188" s="454"/>
      <c r="AY1188" s="454"/>
      <c r="AZ1188" s="454"/>
      <c r="BA1188" s="1267"/>
      <c r="BC1188" s="169"/>
    </row>
    <row r="1189" spans="19:55">
      <c r="S1189" s="454"/>
      <c r="AN1189" s="454"/>
      <c r="AY1189" s="454"/>
      <c r="AZ1189" s="454"/>
      <c r="BA1189" s="1267"/>
      <c r="BC1189" s="169"/>
    </row>
    <row r="1190" spans="19:55">
      <c r="S1190" s="454"/>
      <c r="AN1190" s="454"/>
      <c r="AY1190" s="454"/>
      <c r="AZ1190" s="454"/>
      <c r="BA1190" s="1267"/>
      <c r="BC1190" s="169"/>
    </row>
    <row r="1191" spans="19:55">
      <c r="S1191" s="454"/>
      <c r="AN1191" s="454"/>
      <c r="AY1191" s="454"/>
      <c r="AZ1191" s="454"/>
      <c r="BA1191" s="1267"/>
      <c r="BC1191" s="169"/>
    </row>
    <row r="1192" spans="19:55">
      <c r="S1192" s="454"/>
      <c r="AN1192" s="454"/>
      <c r="AY1192" s="454"/>
      <c r="AZ1192" s="454"/>
      <c r="BA1192" s="1267"/>
      <c r="BC1192" s="169"/>
    </row>
    <row r="1193" spans="19:55">
      <c r="S1193" s="454"/>
      <c r="AN1193" s="454"/>
      <c r="AY1193" s="454"/>
      <c r="AZ1193" s="454"/>
      <c r="BA1193" s="1267"/>
      <c r="BC1193" s="169"/>
    </row>
    <row r="1194" spans="19:55">
      <c r="S1194" s="454"/>
      <c r="AN1194" s="454"/>
      <c r="AY1194" s="454"/>
      <c r="AZ1194" s="454"/>
      <c r="BA1194" s="1267"/>
      <c r="BC1194" s="169"/>
    </row>
    <row r="1195" spans="19:55">
      <c r="S1195" s="454"/>
      <c r="AN1195" s="454"/>
      <c r="AY1195" s="454"/>
      <c r="AZ1195" s="454"/>
      <c r="BA1195" s="1267"/>
      <c r="BC1195" s="169"/>
    </row>
    <row r="1196" spans="19:55">
      <c r="S1196" s="454"/>
      <c r="AN1196" s="454"/>
      <c r="AY1196" s="454"/>
      <c r="AZ1196" s="454"/>
      <c r="BA1196" s="1267"/>
      <c r="BC1196" s="169"/>
    </row>
    <row r="1197" spans="19:55">
      <c r="S1197" s="454"/>
      <c r="AN1197" s="454"/>
      <c r="AY1197" s="454"/>
      <c r="AZ1197" s="454"/>
      <c r="BA1197" s="1267"/>
      <c r="BC1197" s="169"/>
    </row>
    <row r="1198" spans="19:55">
      <c r="S1198" s="454"/>
      <c r="AN1198" s="454"/>
      <c r="AY1198" s="454"/>
      <c r="AZ1198" s="454"/>
      <c r="BA1198" s="1267"/>
      <c r="BC1198" s="169"/>
    </row>
    <row r="1199" spans="19:55">
      <c r="S1199" s="454"/>
      <c r="AN1199" s="454"/>
      <c r="AY1199" s="454"/>
      <c r="AZ1199" s="454"/>
      <c r="BA1199" s="1267"/>
      <c r="BC1199" s="169"/>
    </row>
    <row r="1200" spans="19:55">
      <c r="S1200" s="454"/>
      <c r="AN1200" s="454"/>
      <c r="AY1200" s="454"/>
      <c r="AZ1200" s="454"/>
      <c r="BA1200" s="1267"/>
      <c r="BC1200" s="169"/>
    </row>
    <row r="1201" spans="19:55">
      <c r="S1201" s="454"/>
      <c r="AN1201" s="454"/>
      <c r="AY1201" s="454"/>
      <c r="AZ1201" s="454"/>
      <c r="BA1201" s="1267"/>
      <c r="BC1201" s="169"/>
    </row>
    <row r="1202" spans="19:55">
      <c r="S1202" s="454"/>
      <c r="AN1202" s="454"/>
      <c r="AY1202" s="454"/>
      <c r="AZ1202" s="454"/>
      <c r="BA1202" s="1267"/>
      <c r="BC1202" s="169"/>
    </row>
    <row r="1203" spans="19:55">
      <c r="S1203" s="454"/>
      <c r="AN1203" s="454"/>
      <c r="AY1203" s="454"/>
      <c r="AZ1203" s="454"/>
      <c r="BA1203" s="1267"/>
      <c r="BC1203" s="169"/>
    </row>
    <row r="1204" spans="19:55">
      <c r="S1204" s="454"/>
      <c r="AN1204" s="454"/>
      <c r="AY1204" s="454"/>
      <c r="AZ1204" s="454"/>
      <c r="BA1204" s="1267"/>
      <c r="BC1204" s="169"/>
    </row>
    <row r="1205" spans="19:55">
      <c r="S1205" s="454"/>
      <c r="AN1205" s="454"/>
      <c r="AY1205" s="454"/>
      <c r="AZ1205" s="454"/>
      <c r="BA1205" s="1267"/>
      <c r="BC1205" s="169"/>
    </row>
    <row r="1206" spans="19:55">
      <c r="S1206" s="454"/>
      <c r="AN1206" s="454"/>
      <c r="AY1206" s="454"/>
      <c r="AZ1206" s="454"/>
      <c r="BA1206" s="1267"/>
      <c r="BC1206" s="169"/>
    </row>
    <row r="1207" spans="19:55">
      <c r="S1207" s="454"/>
      <c r="AN1207" s="454"/>
      <c r="AY1207" s="454"/>
      <c r="AZ1207" s="454"/>
      <c r="BA1207" s="1267"/>
      <c r="BC1207" s="169"/>
    </row>
    <row r="1208" spans="19:55">
      <c r="S1208" s="454"/>
      <c r="AN1208" s="454"/>
      <c r="AY1208" s="454"/>
      <c r="AZ1208" s="454"/>
      <c r="BA1208" s="1267"/>
      <c r="BC1208" s="169"/>
    </row>
    <row r="1209" spans="19:55">
      <c r="S1209" s="454"/>
      <c r="AN1209" s="454"/>
      <c r="AY1209" s="454"/>
      <c r="AZ1209" s="454"/>
      <c r="BA1209" s="1267"/>
      <c r="BC1209" s="169"/>
    </row>
    <row r="1210" spans="19:55">
      <c r="S1210" s="454"/>
      <c r="AN1210" s="454"/>
      <c r="AY1210" s="454"/>
      <c r="AZ1210" s="454"/>
      <c r="BA1210" s="1267"/>
      <c r="BC1210" s="169"/>
    </row>
    <row r="1211" spans="19:55">
      <c r="S1211" s="454"/>
      <c r="AN1211" s="454"/>
      <c r="AY1211" s="454"/>
      <c r="AZ1211" s="454"/>
      <c r="BA1211" s="1267"/>
      <c r="BC1211" s="169"/>
    </row>
    <row r="1212" spans="19:55">
      <c r="S1212" s="454"/>
      <c r="AN1212" s="454"/>
      <c r="AY1212" s="454"/>
      <c r="AZ1212" s="454"/>
      <c r="BA1212" s="1267"/>
      <c r="BC1212" s="169"/>
    </row>
    <row r="1213" spans="19:55">
      <c r="S1213" s="454"/>
      <c r="AN1213" s="454"/>
      <c r="AY1213" s="454"/>
      <c r="AZ1213" s="454"/>
      <c r="BA1213" s="1267"/>
      <c r="BC1213" s="169"/>
    </row>
    <row r="1214" spans="19:55">
      <c r="S1214" s="454"/>
      <c r="AN1214" s="454"/>
      <c r="AY1214" s="454"/>
      <c r="AZ1214" s="454"/>
      <c r="BA1214" s="1267"/>
      <c r="BC1214" s="169"/>
    </row>
    <row r="1215" spans="19:55">
      <c r="S1215" s="454"/>
      <c r="AN1215" s="454"/>
      <c r="AY1215" s="454"/>
      <c r="AZ1215" s="454"/>
      <c r="BA1215" s="1267"/>
      <c r="BC1215" s="169"/>
    </row>
    <row r="1216" spans="19:55">
      <c r="S1216" s="454"/>
      <c r="AN1216" s="454"/>
      <c r="AY1216" s="454"/>
      <c r="AZ1216" s="454"/>
      <c r="BA1216" s="1267"/>
      <c r="BC1216" s="169"/>
    </row>
    <row r="1217" spans="19:55">
      <c r="S1217" s="454"/>
      <c r="AN1217" s="454"/>
      <c r="AY1217" s="454"/>
      <c r="AZ1217" s="454"/>
      <c r="BA1217" s="1267"/>
      <c r="BC1217" s="169"/>
    </row>
    <row r="1218" spans="19:55">
      <c r="S1218" s="454"/>
      <c r="AN1218" s="454"/>
      <c r="AY1218" s="454"/>
      <c r="AZ1218" s="454"/>
      <c r="BA1218" s="1267"/>
      <c r="BC1218" s="169"/>
    </row>
    <row r="1219" spans="19:55">
      <c r="S1219" s="454"/>
      <c r="AN1219" s="454"/>
      <c r="AY1219" s="454"/>
      <c r="AZ1219" s="454"/>
      <c r="BA1219" s="1267"/>
      <c r="BC1219" s="169"/>
    </row>
    <row r="1220" spans="19:55">
      <c r="S1220" s="454"/>
      <c r="AN1220" s="454"/>
      <c r="AY1220" s="454"/>
      <c r="AZ1220" s="454"/>
      <c r="BA1220" s="1267"/>
      <c r="BC1220" s="169"/>
    </row>
    <row r="1221" spans="19:55">
      <c r="S1221" s="454"/>
      <c r="AN1221" s="454"/>
      <c r="AY1221" s="454"/>
      <c r="AZ1221" s="454"/>
      <c r="BA1221" s="1267"/>
      <c r="BC1221" s="169"/>
    </row>
    <row r="1222" spans="19:55">
      <c r="S1222" s="454"/>
      <c r="AN1222" s="454"/>
      <c r="AY1222" s="454"/>
      <c r="AZ1222" s="454"/>
      <c r="BA1222" s="1267"/>
      <c r="BC1222" s="169"/>
    </row>
    <row r="1223" spans="19:55">
      <c r="S1223" s="454"/>
      <c r="AN1223" s="454"/>
      <c r="AY1223" s="454"/>
      <c r="AZ1223" s="454"/>
      <c r="BA1223" s="1267"/>
      <c r="BC1223" s="169"/>
    </row>
    <row r="1224" spans="19:55">
      <c r="S1224" s="454"/>
      <c r="AN1224" s="454"/>
      <c r="AY1224" s="454"/>
      <c r="AZ1224" s="454"/>
      <c r="BA1224" s="1267"/>
      <c r="BC1224" s="169"/>
    </row>
    <row r="1225" spans="19:55">
      <c r="S1225" s="454"/>
      <c r="AN1225" s="454"/>
      <c r="AY1225" s="454"/>
      <c r="AZ1225" s="454"/>
      <c r="BA1225" s="1267"/>
      <c r="BC1225" s="169"/>
    </row>
    <row r="1226" spans="19:55">
      <c r="S1226" s="454"/>
      <c r="AN1226" s="454"/>
      <c r="AY1226" s="454"/>
      <c r="AZ1226" s="454"/>
      <c r="BA1226" s="1267"/>
      <c r="BC1226" s="169"/>
    </row>
    <row r="1227" spans="19:55">
      <c r="S1227" s="454"/>
      <c r="AN1227" s="454"/>
      <c r="AY1227" s="454"/>
      <c r="AZ1227" s="454"/>
      <c r="BA1227" s="1267"/>
      <c r="BC1227" s="169"/>
    </row>
    <row r="1228" spans="19:55">
      <c r="S1228" s="454"/>
      <c r="AN1228" s="454"/>
      <c r="AY1228" s="454"/>
      <c r="AZ1228" s="454"/>
      <c r="BA1228" s="1267"/>
      <c r="BC1228" s="169"/>
    </row>
    <row r="1229" spans="19:55">
      <c r="S1229" s="454"/>
      <c r="AN1229" s="454"/>
      <c r="AY1229" s="454"/>
      <c r="AZ1229" s="454"/>
      <c r="BA1229" s="1267"/>
      <c r="BC1229" s="169"/>
    </row>
    <row r="1230" spans="19:55">
      <c r="S1230" s="454"/>
      <c r="AN1230" s="454"/>
      <c r="AY1230" s="454"/>
      <c r="AZ1230" s="454"/>
      <c r="BA1230" s="1267"/>
      <c r="BC1230" s="169"/>
    </row>
    <row r="1231" spans="19:55">
      <c r="S1231" s="454"/>
      <c r="AN1231" s="454"/>
      <c r="AY1231" s="454"/>
      <c r="AZ1231" s="454"/>
      <c r="BA1231" s="1267"/>
      <c r="BC1231" s="169"/>
    </row>
    <row r="1232" spans="19:55">
      <c r="S1232" s="454"/>
      <c r="AN1232" s="454"/>
      <c r="AY1232" s="454"/>
      <c r="AZ1232" s="454"/>
      <c r="BA1232" s="1267"/>
      <c r="BC1232" s="169"/>
    </row>
    <row r="1233" spans="19:55">
      <c r="S1233" s="454"/>
      <c r="AN1233" s="454"/>
      <c r="AY1233" s="454"/>
      <c r="AZ1233" s="454"/>
      <c r="BA1233" s="1267"/>
      <c r="BC1233" s="169"/>
    </row>
    <row r="1234" spans="19:55">
      <c r="S1234" s="454"/>
      <c r="AN1234" s="454"/>
      <c r="AY1234" s="454"/>
      <c r="AZ1234" s="454"/>
      <c r="BA1234" s="1267"/>
      <c r="BC1234" s="169"/>
    </row>
    <row r="1235" spans="19:55">
      <c r="S1235" s="454"/>
      <c r="AN1235" s="454"/>
      <c r="AY1235" s="454"/>
      <c r="AZ1235" s="454"/>
      <c r="BA1235" s="1267"/>
      <c r="BC1235" s="169"/>
    </row>
    <row r="1236" spans="19:55">
      <c r="S1236" s="454"/>
      <c r="AN1236" s="454"/>
      <c r="AY1236" s="454"/>
      <c r="AZ1236" s="454"/>
      <c r="BA1236" s="1267"/>
      <c r="BC1236" s="169"/>
    </row>
    <row r="1237" spans="19:55">
      <c r="S1237" s="454"/>
      <c r="AN1237" s="454"/>
      <c r="AY1237" s="454"/>
      <c r="AZ1237" s="454"/>
      <c r="BA1237" s="1267"/>
      <c r="BC1237" s="169"/>
    </row>
    <row r="1238" spans="19:55">
      <c r="S1238" s="454"/>
      <c r="AN1238" s="454"/>
      <c r="AY1238" s="454"/>
      <c r="AZ1238" s="454"/>
      <c r="BA1238" s="1267"/>
      <c r="BC1238" s="169"/>
    </row>
    <row r="1239" spans="19:55">
      <c r="S1239" s="454"/>
      <c r="AN1239" s="454"/>
      <c r="AY1239" s="454"/>
      <c r="AZ1239" s="454"/>
      <c r="BA1239" s="1267"/>
      <c r="BC1239" s="169"/>
    </row>
    <row r="1240" spans="19:55">
      <c r="S1240" s="454"/>
      <c r="AN1240" s="454"/>
      <c r="AY1240" s="454"/>
      <c r="AZ1240" s="454"/>
      <c r="BA1240" s="1267"/>
      <c r="BC1240" s="169"/>
    </row>
    <row r="1241" spans="19:55">
      <c r="S1241" s="454"/>
      <c r="AN1241" s="454"/>
      <c r="AY1241" s="454"/>
      <c r="AZ1241" s="454"/>
      <c r="BA1241" s="1267"/>
      <c r="BC1241" s="169"/>
    </row>
    <row r="1242" spans="19:55">
      <c r="S1242" s="454"/>
      <c r="AN1242" s="454"/>
      <c r="AY1242" s="454"/>
      <c r="AZ1242" s="454"/>
      <c r="BA1242" s="1267"/>
      <c r="BC1242" s="169"/>
    </row>
    <row r="1243" spans="19:55">
      <c r="S1243" s="454"/>
      <c r="AN1243" s="454"/>
      <c r="AY1243" s="454"/>
      <c r="AZ1243" s="454"/>
      <c r="BA1243" s="1267"/>
      <c r="BC1243" s="169"/>
    </row>
    <row r="1244" spans="19:55">
      <c r="S1244" s="454"/>
      <c r="AN1244" s="454"/>
      <c r="AY1244" s="454"/>
      <c r="AZ1244" s="454"/>
      <c r="BA1244" s="1267"/>
      <c r="BC1244" s="169"/>
    </row>
    <row r="1245" spans="19:55">
      <c r="S1245" s="454"/>
      <c r="AN1245" s="454"/>
      <c r="AY1245" s="454"/>
      <c r="AZ1245" s="454"/>
      <c r="BA1245" s="1267"/>
      <c r="BC1245" s="169"/>
    </row>
    <row r="1246" spans="19:55">
      <c r="S1246" s="454"/>
      <c r="AN1246" s="454"/>
      <c r="AY1246" s="454"/>
      <c r="AZ1246" s="454"/>
      <c r="BA1246" s="1267"/>
      <c r="BC1246" s="169"/>
    </row>
    <row r="1247" spans="19:55">
      <c r="S1247" s="454"/>
      <c r="AN1247" s="454"/>
      <c r="AY1247" s="454"/>
      <c r="AZ1247" s="454"/>
      <c r="BA1247" s="1267"/>
      <c r="BC1247" s="169"/>
    </row>
    <row r="1248" spans="19:55">
      <c r="S1248" s="454"/>
      <c r="AN1248" s="454"/>
      <c r="AY1248" s="454"/>
      <c r="AZ1248" s="454"/>
      <c r="BA1248" s="1267"/>
      <c r="BC1248" s="169"/>
    </row>
    <row r="1249" spans="19:55">
      <c r="S1249" s="454"/>
      <c r="AN1249" s="454"/>
      <c r="AY1249" s="454"/>
      <c r="AZ1249" s="454"/>
      <c r="BA1249" s="1267"/>
      <c r="BC1249" s="169"/>
    </row>
    <row r="1250" spans="19:55">
      <c r="S1250" s="454"/>
      <c r="AN1250" s="454"/>
      <c r="AY1250" s="454"/>
      <c r="AZ1250" s="454"/>
      <c r="BA1250" s="1267"/>
      <c r="BC1250" s="169"/>
    </row>
    <row r="1251" spans="19:55">
      <c r="S1251" s="454"/>
      <c r="AN1251" s="454"/>
      <c r="AY1251" s="454"/>
      <c r="AZ1251" s="454"/>
      <c r="BA1251" s="1267"/>
      <c r="BC1251" s="169"/>
    </row>
    <row r="1252" spans="19:55">
      <c r="S1252" s="454"/>
      <c r="AN1252" s="454"/>
      <c r="AY1252" s="454"/>
      <c r="AZ1252" s="454"/>
      <c r="BA1252" s="1267"/>
      <c r="BC1252" s="169"/>
    </row>
    <row r="1253" spans="19:55">
      <c r="S1253" s="454"/>
      <c r="AN1253" s="454"/>
      <c r="AY1253" s="454"/>
      <c r="AZ1253" s="454"/>
      <c r="BA1253" s="1267"/>
      <c r="BC1253" s="169"/>
    </row>
    <row r="1254" spans="19:55">
      <c r="S1254" s="454"/>
      <c r="AN1254" s="454"/>
      <c r="AY1254" s="454"/>
      <c r="AZ1254" s="454"/>
      <c r="BA1254" s="1267"/>
      <c r="BC1254" s="169"/>
    </row>
    <row r="1255" spans="19:55">
      <c r="S1255" s="454"/>
      <c r="AN1255" s="454"/>
      <c r="AY1255" s="454"/>
      <c r="AZ1255" s="454"/>
      <c r="BA1255" s="1267"/>
      <c r="BC1255" s="169"/>
    </row>
    <row r="1256" spans="19:55">
      <c r="S1256" s="454"/>
      <c r="AN1256" s="454"/>
      <c r="AY1256" s="454"/>
      <c r="AZ1256" s="454"/>
      <c r="BA1256" s="1267"/>
      <c r="BC1256" s="169"/>
    </row>
    <row r="1257" spans="19:55">
      <c r="S1257" s="454"/>
      <c r="AN1257" s="454"/>
      <c r="AY1257" s="454"/>
      <c r="AZ1257" s="454"/>
      <c r="BA1257" s="1267"/>
      <c r="BC1257" s="169"/>
    </row>
    <row r="1258" spans="19:55">
      <c r="S1258" s="454"/>
      <c r="AN1258" s="454"/>
      <c r="AY1258" s="454"/>
      <c r="AZ1258" s="454"/>
      <c r="BA1258" s="1267"/>
      <c r="BC1258" s="169"/>
    </row>
    <row r="1259" spans="19:55">
      <c r="S1259" s="454"/>
      <c r="AN1259" s="454"/>
      <c r="AY1259" s="454"/>
      <c r="AZ1259" s="454"/>
      <c r="BA1259" s="1267"/>
      <c r="BC1259" s="169"/>
    </row>
    <row r="1260" spans="19:55">
      <c r="S1260" s="454"/>
      <c r="AN1260" s="454"/>
      <c r="AY1260" s="454"/>
      <c r="AZ1260" s="454"/>
      <c r="BA1260" s="1267"/>
      <c r="BC1260" s="169"/>
    </row>
    <row r="1261" spans="19:55">
      <c r="S1261" s="454"/>
      <c r="AN1261" s="454"/>
      <c r="AY1261" s="454"/>
      <c r="AZ1261" s="454"/>
      <c r="BA1261" s="1267"/>
      <c r="BC1261" s="169"/>
    </row>
    <row r="1262" spans="19:55">
      <c r="S1262" s="454"/>
      <c r="AN1262" s="454"/>
      <c r="AY1262" s="454"/>
      <c r="AZ1262" s="454"/>
      <c r="BA1262" s="1267"/>
      <c r="BC1262" s="169"/>
    </row>
    <row r="1263" spans="19:55">
      <c r="S1263" s="454"/>
      <c r="AN1263" s="454"/>
      <c r="AY1263" s="454"/>
      <c r="AZ1263" s="454"/>
      <c r="BA1263" s="1267"/>
      <c r="BC1263" s="169"/>
    </row>
    <row r="1264" spans="19:55">
      <c r="S1264" s="454"/>
      <c r="AN1264" s="454"/>
      <c r="AY1264" s="454"/>
      <c r="AZ1264" s="454"/>
      <c r="BA1264" s="1267"/>
      <c r="BC1264" s="169"/>
    </row>
    <row r="1265" spans="19:55">
      <c r="S1265" s="454"/>
      <c r="AN1265" s="454"/>
      <c r="AY1265" s="454"/>
      <c r="AZ1265" s="454"/>
      <c r="BA1265" s="1267"/>
      <c r="BC1265" s="169"/>
    </row>
    <row r="1266" spans="19:55">
      <c r="S1266" s="454"/>
      <c r="AN1266" s="454"/>
      <c r="AY1266" s="454"/>
      <c r="AZ1266" s="454"/>
      <c r="BA1266" s="1267"/>
      <c r="BC1266" s="169"/>
    </row>
    <row r="1267" spans="19:55">
      <c r="S1267" s="454"/>
      <c r="AN1267" s="454"/>
      <c r="AY1267" s="454"/>
      <c r="AZ1267" s="454"/>
      <c r="BA1267" s="1267"/>
      <c r="BC1267" s="169"/>
    </row>
    <row r="1268" spans="19:55">
      <c r="S1268" s="454"/>
      <c r="AN1268" s="454"/>
      <c r="AY1268" s="454"/>
      <c r="AZ1268" s="454"/>
      <c r="BA1268" s="1267"/>
      <c r="BC1268" s="169"/>
    </row>
    <row r="1269" spans="19:55">
      <c r="S1269" s="454"/>
      <c r="AN1269" s="454"/>
      <c r="AY1269" s="454"/>
      <c r="AZ1269" s="454"/>
      <c r="BA1269" s="1267"/>
      <c r="BC1269" s="169"/>
    </row>
    <row r="1270" spans="19:55">
      <c r="S1270" s="454"/>
      <c r="AN1270" s="454"/>
      <c r="AY1270" s="454"/>
      <c r="AZ1270" s="454"/>
      <c r="BA1270" s="1267"/>
      <c r="BC1270" s="169"/>
    </row>
    <row r="1271" spans="19:55">
      <c r="S1271" s="454"/>
      <c r="AN1271" s="454"/>
      <c r="AY1271" s="454"/>
      <c r="AZ1271" s="454"/>
      <c r="BA1271" s="1267"/>
      <c r="BC1271" s="169"/>
    </row>
    <row r="1272" spans="19:55">
      <c r="S1272" s="454"/>
      <c r="AN1272" s="454"/>
      <c r="AY1272" s="454"/>
      <c r="AZ1272" s="454"/>
      <c r="BA1272" s="1267"/>
      <c r="BC1272" s="169"/>
    </row>
    <row r="1273" spans="19:55">
      <c r="S1273" s="454"/>
      <c r="AN1273" s="454"/>
      <c r="AY1273" s="454"/>
      <c r="AZ1273" s="454"/>
      <c r="BA1273" s="1267"/>
      <c r="BC1273" s="169"/>
    </row>
    <row r="1274" spans="19:55">
      <c r="S1274" s="454"/>
      <c r="AN1274" s="454"/>
      <c r="AY1274" s="454"/>
      <c r="AZ1274" s="454"/>
      <c r="BA1274" s="1267"/>
      <c r="BC1274" s="169"/>
    </row>
    <row r="1275" spans="19:55">
      <c r="S1275" s="454"/>
      <c r="AN1275" s="454"/>
      <c r="AY1275" s="454"/>
      <c r="AZ1275" s="454"/>
      <c r="BA1275" s="1267"/>
      <c r="BC1275" s="169"/>
    </row>
    <row r="1276" spans="19:55">
      <c r="S1276" s="454"/>
      <c r="AN1276" s="454"/>
      <c r="AY1276" s="454"/>
      <c r="AZ1276" s="454"/>
      <c r="BA1276" s="1267"/>
      <c r="BC1276" s="169"/>
    </row>
    <row r="1277" spans="19:55">
      <c r="S1277" s="454"/>
      <c r="AN1277" s="454"/>
      <c r="AY1277" s="454"/>
      <c r="AZ1277" s="454"/>
      <c r="BA1277" s="1267"/>
      <c r="BC1277" s="169"/>
    </row>
    <row r="1278" spans="19:55">
      <c r="S1278" s="454"/>
      <c r="AN1278" s="454"/>
      <c r="AY1278" s="454"/>
      <c r="AZ1278" s="454"/>
      <c r="BA1278" s="1267"/>
      <c r="BC1278" s="169"/>
    </row>
    <row r="1279" spans="19:55">
      <c r="S1279" s="454"/>
      <c r="AN1279" s="454"/>
      <c r="AY1279" s="454"/>
      <c r="AZ1279" s="454"/>
      <c r="BA1279" s="1267"/>
      <c r="BC1279" s="169"/>
    </row>
    <row r="1280" spans="19:55">
      <c r="S1280" s="454"/>
      <c r="AN1280" s="454"/>
      <c r="AY1280" s="454"/>
      <c r="AZ1280" s="454"/>
      <c r="BA1280" s="1267"/>
      <c r="BC1280" s="169"/>
    </row>
    <row r="1281" spans="19:55">
      <c r="S1281" s="454"/>
      <c r="AN1281" s="454"/>
      <c r="AY1281" s="454"/>
      <c r="AZ1281" s="454"/>
      <c r="BA1281" s="1267"/>
      <c r="BC1281" s="169"/>
    </row>
    <row r="1282" spans="19:55">
      <c r="S1282" s="454"/>
      <c r="AN1282" s="454"/>
      <c r="AY1282" s="454"/>
      <c r="AZ1282" s="454"/>
      <c r="BA1282" s="1267"/>
      <c r="BC1282" s="169"/>
    </row>
    <row r="1283" spans="19:55">
      <c r="S1283" s="454"/>
      <c r="AN1283" s="454"/>
      <c r="AY1283" s="454"/>
      <c r="AZ1283" s="454"/>
      <c r="BA1283" s="1267"/>
      <c r="BC1283" s="169"/>
    </row>
    <row r="1284" spans="19:55">
      <c r="S1284" s="454"/>
      <c r="AN1284" s="454"/>
      <c r="AY1284" s="454"/>
      <c r="AZ1284" s="454"/>
      <c r="BA1284" s="1267"/>
      <c r="BC1284" s="169"/>
    </row>
    <row r="1285" spans="19:55">
      <c r="S1285" s="454"/>
      <c r="AN1285" s="454"/>
      <c r="AY1285" s="454"/>
      <c r="AZ1285" s="454"/>
      <c r="BA1285" s="1267"/>
      <c r="BC1285" s="169"/>
    </row>
    <row r="1286" spans="19:55">
      <c r="S1286" s="454"/>
      <c r="AN1286" s="454"/>
      <c r="AY1286" s="454"/>
      <c r="AZ1286" s="454"/>
      <c r="BA1286" s="1267"/>
      <c r="BC1286" s="169"/>
    </row>
    <row r="1287" spans="19:55">
      <c r="S1287" s="454"/>
      <c r="AN1287" s="454"/>
      <c r="AY1287" s="454"/>
      <c r="AZ1287" s="454"/>
      <c r="BA1287" s="1267"/>
      <c r="BC1287" s="169"/>
    </row>
    <row r="1288" spans="19:55">
      <c r="S1288" s="454"/>
      <c r="AN1288" s="454"/>
      <c r="AY1288" s="454"/>
      <c r="AZ1288" s="454"/>
      <c r="BA1288" s="1267"/>
      <c r="BC1288" s="169"/>
    </row>
    <row r="1289" spans="19:55">
      <c r="S1289" s="454"/>
      <c r="AN1289" s="454"/>
      <c r="AY1289" s="454"/>
      <c r="AZ1289" s="454"/>
      <c r="BA1289" s="1267"/>
      <c r="BC1289" s="169"/>
    </row>
    <row r="1290" spans="19:55">
      <c r="S1290" s="454"/>
      <c r="AN1290" s="454"/>
      <c r="AY1290" s="454"/>
      <c r="AZ1290" s="454"/>
      <c r="BA1290" s="1267"/>
      <c r="BC1290" s="169"/>
    </row>
    <row r="1291" spans="19:55">
      <c r="S1291" s="454"/>
      <c r="AN1291" s="454"/>
      <c r="AY1291" s="454"/>
      <c r="AZ1291" s="454"/>
      <c r="BA1291" s="1267"/>
      <c r="BC1291" s="169"/>
    </row>
    <row r="1292" spans="19:55">
      <c r="S1292" s="454"/>
      <c r="AN1292" s="454"/>
      <c r="AY1292" s="454"/>
      <c r="AZ1292" s="454"/>
      <c r="BA1292" s="1267"/>
      <c r="BC1292" s="169"/>
    </row>
    <row r="1293" spans="19:55">
      <c r="S1293" s="454"/>
      <c r="AN1293" s="454"/>
      <c r="AY1293" s="454"/>
      <c r="AZ1293" s="454"/>
      <c r="BA1293" s="1267"/>
      <c r="BC1293" s="169"/>
    </row>
    <row r="1294" spans="19:55">
      <c r="S1294" s="454"/>
      <c r="AN1294" s="454"/>
      <c r="AY1294" s="454"/>
      <c r="AZ1294" s="454"/>
      <c r="BA1294" s="1267"/>
      <c r="BC1294" s="169"/>
    </row>
    <row r="1295" spans="19:55">
      <c r="S1295" s="454"/>
      <c r="AN1295" s="454"/>
      <c r="AY1295" s="454"/>
      <c r="AZ1295" s="454"/>
      <c r="BA1295" s="1267"/>
      <c r="BC1295" s="169"/>
    </row>
    <row r="1296" spans="19:55">
      <c r="S1296" s="454"/>
      <c r="AN1296" s="454"/>
      <c r="AY1296" s="454"/>
      <c r="AZ1296" s="454"/>
      <c r="BA1296" s="1267"/>
      <c r="BC1296" s="169"/>
    </row>
    <row r="1297" spans="19:55">
      <c r="S1297" s="454"/>
      <c r="AN1297" s="454"/>
      <c r="AY1297" s="454"/>
      <c r="AZ1297" s="454"/>
      <c r="BA1297" s="1267"/>
      <c r="BC1297" s="169"/>
    </row>
    <row r="1298" spans="19:55">
      <c r="S1298" s="454"/>
      <c r="AN1298" s="454"/>
      <c r="AY1298" s="454"/>
      <c r="AZ1298" s="454"/>
      <c r="BA1298" s="1267"/>
      <c r="BC1298" s="169"/>
    </row>
    <row r="1299" spans="19:55">
      <c r="S1299" s="454"/>
      <c r="AN1299" s="454"/>
      <c r="AY1299" s="454"/>
      <c r="AZ1299" s="454"/>
      <c r="BC1299" s="169"/>
    </row>
    <row r="1300" spans="19:55">
      <c r="S1300" s="454"/>
      <c r="AN1300" s="454"/>
      <c r="AY1300" s="454"/>
      <c r="AZ1300" s="454"/>
      <c r="BC1300" s="169"/>
    </row>
    <row r="1301" spans="19:55">
      <c r="S1301" s="454"/>
      <c r="AN1301" s="454"/>
      <c r="AY1301" s="454"/>
      <c r="AZ1301" s="454"/>
      <c r="BC1301" s="169"/>
    </row>
    <row r="1302" spans="19:55">
      <c r="S1302" s="454"/>
      <c r="AN1302" s="454"/>
      <c r="AY1302" s="454"/>
      <c r="AZ1302" s="454"/>
      <c r="BC1302" s="169"/>
    </row>
    <row r="1303" spans="19:55">
      <c r="S1303" s="454"/>
      <c r="AN1303" s="454"/>
      <c r="AY1303" s="454"/>
      <c r="AZ1303" s="454"/>
      <c r="BC1303" s="169"/>
    </row>
    <row r="1304" spans="19:55">
      <c r="S1304" s="454"/>
      <c r="AN1304" s="454"/>
      <c r="AY1304" s="454"/>
      <c r="AZ1304" s="454"/>
      <c r="BC1304" s="169"/>
    </row>
    <row r="1305" spans="19:55">
      <c r="S1305" s="454"/>
      <c r="AN1305" s="454"/>
      <c r="AY1305" s="454"/>
      <c r="AZ1305" s="454"/>
      <c r="BC1305" s="169"/>
    </row>
    <row r="1306" spans="19:55">
      <c r="S1306" s="454"/>
      <c r="AN1306" s="454"/>
      <c r="AY1306" s="454"/>
      <c r="AZ1306" s="454"/>
      <c r="BC1306" s="169"/>
    </row>
    <row r="1307" spans="19:55">
      <c r="S1307" s="454"/>
      <c r="AN1307" s="454"/>
      <c r="AY1307" s="454"/>
      <c r="AZ1307" s="454"/>
      <c r="BC1307" s="169"/>
    </row>
    <row r="1308" spans="19:55">
      <c r="S1308" s="454"/>
      <c r="AN1308" s="454"/>
      <c r="AY1308" s="454"/>
      <c r="AZ1308" s="454"/>
      <c r="BC1308" s="169"/>
    </row>
    <row r="1309" spans="19:55">
      <c r="S1309" s="454"/>
      <c r="AN1309" s="454"/>
      <c r="AY1309" s="454"/>
      <c r="AZ1309" s="454"/>
      <c r="BC1309" s="169"/>
    </row>
    <row r="1310" spans="19:55">
      <c r="S1310" s="454"/>
      <c r="AN1310" s="454"/>
      <c r="AY1310" s="454"/>
      <c r="AZ1310" s="454"/>
      <c r="BC1310" s="169"/>
    </row>
    <row r="1311" spans="19:55">
      <c r="S1311" s="454"/>
      <c r="AN1311" s="454"/>
      <c r="BC1311" s="169"/>
    </row>
    <row r="1312" spans="19:55">
      <c r="S1312" s="454"/>
      <c r="AN1312" s="454"/>
      <c r="BC1312" s="169"/>
    </row>
    <row r="1313" spans="19:55">
      <c r="S1313" s="454"/>
      <c r="AN1313" s="454"/>
      <c r="BC1313" s="169"/>
    </row>
    <row r="1314" spans="19:55">
      <c r="S1314" s="454"/>
      <c r="AN1314" s="454"/>
      <c r="BC1314" s="169"/>
    </row>
    <row r="1315" spans="19:55">
      <c r="S1315" s="454"/>
      <c r="AN1315" s="454"/>
      <c r="BC1315" s="169"/>
    </row>
    <row r="1316" spans="19:55">
      <c r="S1316" s="454"/>
      <c r="AN1316" s="454"/>
      <c r="BC1316" s="169"/>
    </row>
    <row r="1317" spans="19:55">
      <c r="S1317" s="454"/>
      <c r="AN1317" s="454"/>
      <c r="BC1317" s="169"/>
    </row>
    <row r="1318" spans="19:55">
      <c r="S1318" s="454"/>
      <c r="AN1318" s="454"/>
      <c r="BC1318" s="169"/>
    </row>
    <row r="1319" spans="19:55">
      <c r="S1319" s="454"/>
      <c r="AN1319" s="454"/>
      <c r="BC1319" s="169"/>
    </row>
    <row r="1320" spans="19:55">
      <c r="S1320" s="454"/>
      <c r="AN1320" s="454"/>
      <c r="BC1320" s="169"/>
    </row>
    <row r="1321" spans="19:55">
      <c r="S1321" s="454"/>
      <c r="AN1321" s="454"/>
      <c r="BC1321" s="169"/>
    </row>
    <row r="1322" spans="19:55">
      <c r="S1322" s="454"/>
      <c r="AN1322" s="454"/>
      <c r="BC1322" s="169"/>
    </row>
    <row r="1323" spans="19:55">
      <c r="S1323" s="454"/>
      <c r="AN1323" s="454"/>
      <c r="BC1323" s="169"/>
    </row>
    <row r="1324" spans="19:55">
      <c r="S1324" s="454"/>
      <c r="AN1324" s="454"/>
      <c r="BC1324" s="169"/>
    </row>
    <row r="1325" spans="19:55">
      <c r="S1325" s="454"/>
      <c r="AN1325" s="454"/>
      <c r="BC1325" s="169"/>
    </row>
    <row r="1326" spans="19:55">
      <c r="S1326" s="454"/>
      <c r="AN1326" s="454"/>
      <c r="BC1326" s="169"/>
    </row>
    <row r="1327" spans="19:55">
      <c r="S1327" s="454"/>
      <c r="AN1327" s="454"/>
      <c r="BC1327" s="169"/>
    </row>
    <row r="1328" spans="19:55">
      <c r="S1328" s="454"/>
      <c r="AN1328" s="454"/>
      <c r="BC1328" s="169"/>
    </row>
    <row r="1329" spans="19:55">
      <c r="S1329" s="454"/>
      <c r="AN1329" s="454"/>
      <c r="BC1329" s="169"/>
    </row>
    <row r="1330" spans="19:55">
      <c r="S1330" s="454"/>
      <c r="AN1330" s="454"/>
      <c r="BC1330" s="169"/>
    </row>
    <row r="1331" spans="19:55">
      <c r="S1331" s="454"/>
      <c r="AN1331" s="454"/>
      <c r="BC1331" s="169"/>
    </row>
    <row r="1332" spans="19:55">
      <c r="S1332" s="454"/>
      <c r="AN1332" s="454"/>
      <c r="BC1332" s="169"/>
    </row>
    <row r="1333" spans="19:55">
      <c r="S1333" s="454"/>
      <c r="AN1333" s="454"/>
      <c r="BC1333" s="169"/>
    </row>
    <row r="1334" spans="19:55">
      <c r="S1334" s="454"/>
      <c r="AN1334" s="454"/>
      <c r="BC1334" s="169"/>
    </row>
    <row r="1335" spans="19:55">
      <c r="S1335" s="454"/>
      <c r="AN1335" s="454"/>
      <c r="BC1335" s="169"/>
    </row>
    <row r="1336" spans="19:55">
      <c r="S1336" s="454"/>
      <c r="AN1336" s="454"/>
      <c r="BC1336" s="169"/>
    </row>
    <row r="1337" spans="19:55">
      <c r="S1337" s="454"/>
      <c r="AN1337" s="454"/>
      <c r="BC1337" s="169"/>
    </row>
    <row r="1338" spans="19:55">
      <c r="S1338" s="454"/>
      <c r="AN1338" s="454"/>
      <c r="BC1338" s="169"/>
    </row>
    <row r="1339" spans="19:55">
      <c r="S1339" s="454"/>
      <c r="AN1339" s="454"/>
      <c r="BC1339" s="169"/>
    </row>
    <row r="1340" spans="19:55">
      <c r="S1340" s="454"/>
      <c r="AN1340" s="454"/>
      <c r="BC1340" s="169"/>
    </row>
    <row r="1341" spans="19:55">
      <c r="S1341" s="454"/>
      <c r="AN1341" s="454"/>
      <c r="BC1341" s="169"/>
    </row>
    <row r="1342" spans="19:55">
      <c r="S1342" s="454"/>
      <c r="AN1342" s="454"/>
      <c r="BC1342" s="169"/>
    </row>
    <row r="1343" spans="19:55">
      <c r="S1343" s="454"/>
      <c r="AN1343" s="454"/>
      <c r="BC1343" s="169"/>
    </row>
    <row r="1344" spans="19:55">
      <c r="S1344" s="454"/>
      <c r="AN1344" s="454"/>
      <c r="BC1344" s="169"/>
    </row>
    <row r="1345" spans="19:55">
      <c r="S1345" s="454"/>
      <c r="AN1345" s="454"/>
      <c r="BC1345" s="169"/>
    </row>
    <row r="1346" spans="19:55">
      <c r="S1346" s="454"/>
      <c r="AN1346" s="454"/>
      <c r="BC1346" s="169"/>
    </row>
    <row r="1347" spans="19:55">
      <c r="S1347" s="454"/>
      <c r="AN1347" s="454"/>
      <c r="BC1347" s="169"/>
    </row>
    <row r="1348" spans="19:55">
      <c r="S1348" s="454"/>
      <c r="AN1348" s="454"/>
      <c r="BC1348" s="169"/>
    </row>
    <row r="1349" spans="19:55">
      <c r="S1349" s="454"/>
      <c r="AN1349" s="454"/>
      <c r="BC1349" s="169"/>
    </row>
    <row r="1350" spans="19:55">
      <c r="S1350" s="454"/>
      <c r="AN1350" s="454"/>
      <c r="BC1350" s="169"/>
    </row>
    <row r="1351" spans="19:55">
      <c r="S1351" s="454"/>
      <c r="AN1351" s="454"/>
      <c r="BC1351" s="169"/>
    </row>
    <row r="1352" spans="19:55">
      <c r="S1352" s="454"/>
      <c r="AN1352" s="454"/>
      <c r="BC1352" s="169"/>
    </row>
    <row r="1353" spans="19:55">
      <c r="S1353" s="454"/>
      <c r="AN1353" s="454"/>
      <c r="BC1353" s="169"/>
    </row>
    <row r="1354" spans="19:55">
      <c r="S1354" s="454"/>
      <c r="AN1354" s="454"/>
      <c r="BC1354" s="169"/>
    </row>
    <row r="1355" spans="19:55">
      <c r="S1355" s="454"/>
      <c r="AN1355" s="454"/>
      <c r="BC1355" s="169"/>
    </row>
    <row r="1356" spans="19:55">
      <c r="S1356" s="454"/>
      <c r="AN1356" s="454"/>
      <c r="BC1356" s="169"/>
    </row>
    <row r="1357" spans="19:55">
      <c r="S1357" s="454"/>
      <c r="AN1357" s="454"/>
      <c r="BC1357" s="169"/>
    </row>
    <row r="1358" spans="19:55">
      <c r="S1358" s="454"/>
      <c r="AN1358" s="454"/>
      <c r="BC1358" s="169"/>
    </row>
    <row r="1359" spans="19:55">
      <c r="S1359" s="454"/>
      <c r="AN1359" s="454"/>
      <c r="BC1359" s="169"/>
    </row>
    <row r="1360" spans="19:55">
      <c r="S1360" s="454"/>
      <c r="AN1360" s="454"/>
      <c r="BC1360" s="169"/>
    </row>
    <row r="1361" spans="19:55">
      <c r="S1361" s="454"/>
      <c r="AN1361" s="454"/>
      <c r="BC1361" s="169"/>
    </row>
    <row r="1362" spans="19:55">
      <c r="S1362" s="454"/>
      <c r="AN1362" s="454"/>
      <c r="BC1362" s="169"/>
    </row>
    <row r="1363" spans="19:55">
      <c r="S1363" s="454"/>
      <c r="AN1363" s="454"/>
      <c r="BC1363" s="169"/>
    </row>
    <row r="1364" spans="19:55">
      <c r="S1364" s="454"/>
      <c r="AN1364" s="454"/>
      <c r="BC1364" s="169"/>
    </row>
    <row r="1365" spans="19:55">
      <c r="S1365" s="454"/>
      <c r="AN1365" s="454"/>
      <c r="BC1365" s="169"/>
    </row>
    <row r="1366" spans="19:55">
      <c r="S1366" s="454"/>
      <c r="AN1366" s="454"/>
      <c r="BC1366" s="169"/>
    </row>
    <row r="1367" spans="19:55">
      <c r="S1367" s="454"/>
      <c r="AN1367" s="454"/>
      <c r="BC1367" s="169"/>
    </row>
    <row r="1368" spans="19:55">
      <c r="S1368" s="454"/>
      <c r="AN1368" s="454"/>
      <c r="BC1368" s="169"/>
    </row>
    <row r="1369" spans="19:55">
      <c r="S1369" s="454"/>
      <c r="AN1369" s="454"/>
      <c r="BC1369" s="169"/>
    </row>
    <row r="1370" spans="19:55">
      <c r="S1370" s="454"/>
      <c r="AN1370" s="454"/>
      <c r="BC1370" s="169"/>
    </row>
    <row r="1371" spans="19:55">
      <c r="S1371" s="454"/>
      <c r="AN1371" s="454"/>
      <c r="BC1371" s="169"/>
    </row>
    <row r="1372" spans="19:55">
      <c r="S1372" s="454"/>
      <c r="AN1372" s="454"/>
      <c r="BC1372" s="169"/>
    </row>
    <row r="1373" spans="19:55">
      <c r="S1373" s="454"/>
      <c r="AN1373" s="454"/>
      <c r="BC1373" s="169"/>
    </row>
    <row r="1374" spans="19:55">
      <c r="S1374" s="454"/>
      <c r="AN1374" s="454"/>
      <c r="BC1374" s="169"/>
    </row>
    <row r="1375" spans="19:55">
      <c r="S1375" s="454"/>
      <c r="AN1375" s="454"/>
      <c r="BC1375" s="169"/>
    </row>
    <row r="1376" spans="19:55">
      <c r="S1376" s="454"/>
      <c r="AN1376" s="454"/>
      <c r="BC1376" s="169"/>
    </row>
    <row r="1377" spans="19:55">
      <c r="S1377" s="454"/>
      <c r="AN1377" s="454"/>
      <c r="BC1377" s="169"/>
    </row>
    <row r="1378" spans="19:55">
      <c r="S1378" s="454"/>
      <c r="AN1378" s="454"/>
      <c r="BC1378" s="169"/>
    </row>
    <row r="1379" spans="19:55">
      <c r="S1379" s="454"/>
      <c r="AN1379" s="454"/>
      <c r="BC1379" s="169"/>
    </row>
    <row r="1380" spans="19:55">
      <c r="S1380" s="454"/>
      <c r="AN1380" s="454"/>
      <c r="BC1380" s="169"/>
    </row>
    <row r="1381" spans="19:55">
      <c r="S1381" s="454"/>
      <c r="AN1381" s="454"/>
      <c r="BC1381" s="169"/>
    </row>
    <row r="1382" spans="19:55">
      <c r="S1382" s="454"/>
      <c r="AN1382" s="454"/>
      <c r="BC1382" s="169"/>
    </row>
    <row r="1383" spans="19:55">
      <c r="S1383" s="454"/>
      <c r="AN1383" s="454"/>
      <c r="BC1383" s="169"/>
    </row>
    <row r="1384" spans="19:55">
      <c r="S1384" s="454"/>
      <c r="AN1384" s="454"/>
      <c r="BC1384" s="169"/>
    </row>
    <row r="1385" spans="19:55">
      <c r="S1385" s="454"/>
      <c r="AN1385" s="454"/>
      <c r="BC1385" s="169"/>
    </row>
    <row r="1386" spans="19:55">
      <c r="S1386" s="454"/>
      <c r="AN1386" s="454"/>
      <c r="BC1386" s="169"/>
    </row>
    <row r="1387" spans="19:55">
      <c r="S1387" s="454"/>
      <c r="AN1387" s="454"/>
      <c r="BC1387" s="169"/>
    </row>
    <row r="1388" spans="19:55">
      <c r="S1388" s="454"/>
      <c r="AN1388" s="454"/>
      <c r="BC1388" s="169"/>
    </row>
    <row r="1389" spans="19:55">
      <c r="S1389" s="454"/>
      <c r="AN1389" s="454"/>
      <c r="BC1389" s="169"/>
    </row>
    <row r="1390" spans="19:55">
      <c r="S1390" s="454"/>
      <c r="AN1390" s="454"/>
      <c r="BC1390" s="169"/>
    </row>
    <row r="1391" spans="19:55">
      <c r="S1391" s="454"/>
      <c r="AN1391" s="454"/>
      <c r="BC1391" s="169"/>
    </row>
    <row r="1392" spans="19:55">
      <c r="S1392" s="454"/>
      <c r="AN1392" s="454"/>
      <c r="BC1392" s="169"/>
    </row>
    <row r="1393" spans="19:55">
      <c r="S1393" s="454"/>
      <c r="AN1393" s="454"/>
      <c r="BC1393" s="169"/>
    </row>
    <row r="1394" spans="19:55">
      <c r="S1394" s="454"/>
      <c r="AN1394" s="454"/>
      <c r="BC1394" s="169"/>
    </row>
    <row r="1395" spans="19:55">
      <c r="S1395" s="454"/>
      <c r="AN1395" s="454"/>
      <c r="BC1395" s="169"/>
    </row>
    <row r="1396" spans="19:55">
      <c r="S1396" s="454"/>
      <c r="AN1396" s="454"/>
      <c r="BC1396" s="169"/>
    </row>
    <row r="1397" spans="19:55">
      <c r="S1397" s="454"/>
      <c r="AN1397" s="454"/>
      <c r="BC1397" s="169"/>
    </row>
    <row r="1398" spans="19:55">
      <c r="S1398" s="454"/>
      <c r="AN1398" s="454"/>
      <c r="BC1398" s="169"/>
    </row>
    <row r="1399" spans="19:55">
      <c r="S1399" s="454"/>
      <c r="AN1399" s="454"/>
      <c r="BC1399" s="169"/>
    </row>
    <row r="1400" spans="19:55">
      <c r="S1400" s="454"/>
      <c r="AN1400" s="454"/>
      <c r="BC1400" s="169"/>
    </row>
    <row r="1401" spans="19:55">
      <c r="S1401" s="454"/>
      <c r="AN1401" s="454"/>
      <c r="BC1401" s="169"/>
    </row>
    <row r="1402" spans="19:55">
      <c r="S1402" s="454"/>
      <c r="AN1402" s="454"/>
      <c r="BC1402" s="169"/>
    </row>
    <row r="1403" spans="19:55">
      <c r="S1403" s="454"/>
      <c r="AN1403" s="454"/>
      <c r="BC1403" s="169"/>
    </row>
    <row r="1404" spans="19:55">
      <c r="S1404" s="454"/>
      <c r="AN1404" s="454"/>
      <c r="BC1404" s="169"/>
    </row>
    <row r="1405" spans="19:55">
      <c r="S1405" s="454"/>
      <c r="AN1405" s="454"/>
      <c r="BC1405" s="169"/>
    </row>
    <row r="1406" spans="19:55">
      <c r="S1406" s="454"/>
      <c r="AN1406" s="454"/>
      <c r="BC1406" s="169"/>
    </row>
    <row r="1407" spans="19:55">
      <c r="S1407" s="454"/>
      <c r="AN1407" s="454"/>
      <c r="BC1407" s="169"/>
    </row>
    <row r="1408" spans="19:55">
      <c r="S1408" s="454"/>
      <c r="AN1408" s="454"/>
      <c r="BC1408" s="169"/>
    </row>
    <row r="1409" spans="19:55">
      <c r="S1409" s="454"/>
      <c r="AN1409" s="454"/>
      <c r="BC1409" s="169"/>
    </row>
    <row r="1410" spans="19:55">
      <c r="S1410" s="454"/>
      <c r="AN1410" s="454"/>
      <c r="BC1410" s="169"/>
    </row>
    <row r="1411" spans="19:55">
      <c r="S1411" s="454"/>
      <c r="AN1411" s="454"/>
      <c r="BC1411" s="169"/>
    </row>
    <row r="1412" spans="19:55">
      <c r="S1412" s="454"/>
      <c r="AN1412" s="454"/>
      <c r="BC1412" s="169"/>
    </row>
    <row r="1413" spans="19:55">
      <c r="S1413" s="454"/>
      <c r="AN1413" s="454"/>
      <c r="BC1413" s="169"/>
    </row>
    <row r="1414" spans="19:55">
      <c r="S1414" s="454"/>
      <c r="AN1414" s="454"/>
      <c r="BC1414" s="169"/>
    </row>
    <row r="1415" spans="19:55">
      <c r="S1415" s="454"/>
      <c r="AN1415" s="454"/>
      <c r="BC1415" s="169"/>
    </row>
    <row r="1416" spans="19:55">
      <c r="S1416" s="454"/>
      <c r="AN1416" s="454"/>
      <c r="BC1416" s="169"/>
    </row>
    <row r="1417" spans="19:55">
      <c r="S1417" s="454"/>
      <c r="AN1417" s="454"/>
      <c r="BC1417" s="169"/>
    </row>
    <row r="1418" spans="19:55">
      <c r="S1418" s="454"/>
      <c r="AN1418" s="454"/>
      <c r="BC1418" s="169"/>
    </row>
    <row r="1419" spans="19:55">
      <c r="S1419" s="454"/>
      <c r="AN1419" s="454"/>
      <c r="BC1419" s="169"/>
    </row>
    <row r="1420" spans="19:55">
      <c r="S1420" s="454"/>
      <c r="AN1420" s="454"/>
      <c r="BC1420" s="169"/>
    </row>
    <row r="1421" spans="19:55">
      <c r="S1421" s="454"/>
      <c r="AN1421" s="454"/>
      <c r="BC1421" s="169"/>
    </row>
    <row r="1422" spans="19:55">
      <c r="S1422" s="454"/>
      <c r="AN1422" s="454"/>
      <c r="BC1422" s="169"/>
    </row>
    <row r="1423" spans="19:55">
      <c r="S1423" s="454"/>
      <c r="AN1423" s="454"/>
      <c r="BC1423" s="169"/>
    </row>
    <row r="1424" spans="19:55">
      <c r="S1424" s="454"/>
      <c r="AN1424" s="454"/>
      <c r="BC1424" s="169"/>
    </row>
    <row r="1425" spans="19:55">
      <c r="S1425" s="454"/>
      <c r="AN1425" s="454"/>
      <c r="BC1425" s="169"/>
    </row>
    <row r="1426" spans="19:55">
      <c r="S1426" s="454"/>
      <c r="AN1426" s="454"/>
      <c r="BC1426" s="169"/>
    </row>
    <row r="1427" spans="19:55">
      <c r="S1427" s="454"/>
      <c r="AN1427" s="454"/>
      <c r="BC1427" s="169"/>
    </row>
    <row r="1428" spans="19:55">
      <c r="S1428" s="454"/>
      <c r="AN1428" s="454"/>
      <c r="BC1428" s="169"/>
    </row>
    <row r="1429" spans="19:55">
      <c r="S1429" s="454"/>
      <c r="AN1429" s="454"/>
      <c r="BC1429" s="169"/>
    </row>
    <row r="1430" spans="19:55">
      <c r="S1430" s="454"/>
      <c r="AN1430" s="454"/>
      <c r="BC1430" s="169"/>
    </row>
    <row r="1431" spans="19:55">
      <c r="S1431" s="454"/>
      <c r="AN1431" s="454"/>
      <c r="BC1431" s="169"/>
    </row>
    <row r="1432" spans="19:55">
      <c r="S1432" s="454"/>
      <c r="AN1432" s="454"/>
      <c r="BC1432" s="169"/>
    </row>
    <row r="1433" spans="19:55">
      <c r="S1433" s="454"/>
      <c r="AN1433" s="454"/>
      <c r="BC1433" s="169"/>
    </row>
    <row r="1434" spans="19:55">
      <c r="S1434" s="454"/>
      <c r="AN1434" s="454"/>
      <c r="BC1434" s="169"/>
    </row>
    <row r="1435" spans="19:55">
      <c r="S1435" s="454"/>
      <c r="AN1435" s="454"/>
      <c r="BC1435" s="169"/>
    </row>
    <row r="1436" spans="19:55">
      <c r="S1436" s="454"/>
      <c r="AN1436" s="454"/>
      <c r="BC1436" s="169"/>
    </row>
    <row r="1437" spans="19:55">
      <c r="S1437" s="454"/>
      <c r="AN1437" s="454"/>
      <c r="BC1437" s="169"/>
    </row>
    <row r="1438" spans="19:55">
      <c r="S1438" s="454"/>
      <c r="AN1438" s="454"/>
      <c r="BC1438" s="169"/>
    </row>
    <row r="1439" spans="19:55">
      <c r="S1439" s="454"/>
      <c r="AN1439" s="454"/>
      <c r="BC1439" s="169"/>
    </row>
    <row r="1440" spans="19:55">
      <c r="S1440" s="454"/>
      <c r="AN1440" s="454"/>
      <c r="BC1440" s="169"/>
    </row>
    <row r="1441" spans="19:55">
      <c r="S1441" s="454"/>
      <c r="AN1441" s="454"/>
      <c r="BC1441" s="169"/>
    </row>
    <row r="1442" spans="19:55">
      <c r="S1442" s="454"/>
      <c r="AN1442" s="454"/>
      <c r="BC1442" s="169"/>
    </row>
    <row r="1443" spans="19:55">
      <c r="S1443" s="454"/>
      <c r="AN1443" s="454"/>
      <c r="BC1443" s="169"/>
    </row>
    <row r="1444" spans="19:55">
      <c r="S1444" s="454"/>
      <c r="AN1444" s="454"/>
      <c r="BC1444" s="169"/>
    </row>
    <row r="1445" spans="19:55">
      <c r="S1445" s="454"/>
      <c r="AN1445" s="454"/>
      <c r="BC1445" s="169"/>
    </row>
    <row r="1446" spans="19:55">
      <c r="S1446" s="454"/>
      <c r="AN1446" s="454"/>
      <c r="BC1446" s="169"/>
    </row>
    <row r="1447" spans="19:55">
      <c r="S1447" s="454"/>
      <c r="AN1447" s="454"/>
      <c r="BC1447" s="169"/>
    </row>
    <row r="1448" spans="19:55">
      <c r="S1448" s="454"/>
      <c r="AN1448" s="454"/>
      <c r="BC1448" s="169"/>
    </row>
    <row r="1449" spans="19:55">
      <c r="S1449" s="454"/>
      <c r="AN1449" s="454"/>
      <c r="BC1449" s="169"/>
    </row>
    <row r="1450" spans="19:55">
      <c r="S1450" s="454"/>
      <c r="AN1450" s="454"/>
      <c r="BC1450" s="169"/>
    </row>
    <row r="1451" spans="19:55">
      <c r="S1451" s="454"/>
      <c r="AN1451" s="454"/>
      <c r="BC1451" s="169"/>
    </row>
    <row r="1452" spans="19:55">
      <c r="S1452" s="454"/>
      <c r="AN1452" s="454"/>
      <c r="BC1452" s="169"/>
    </row>
    <row r="1453" spans="19:55">
      <c r="S1453" s="454"/>
      <c r="AN1453" s="454"/>
      <c r="BC1453" s="169"/>
    </row>
    <row r="1454" spans="19:55">
      <c r="S1454" s="454"/>
      <c r="AN1454" s="454"/>
      <c r="BC1454" s="169"/>
    </row>
    <row r="1455" spans="19:55">
      <c r="S1455" s="454"/>
      <c r="AN1455" s="454"/>
      <c r="BC1455" s="169"/>
    </row>
    <row r="1456" spans="19:55">
      <c r="S1456" s="454"/>
      <c r="AN1456" s="454"/>
      <c r="BC1456" s="169"/>
    </row>
    <row r="1457" spans="19:55">
      <c r="S1457" s="454"/>
      <c r="AN1457" s="454"/>
      <c r="BC1457" s="169"/>
    </row>
    <row r="1458" spans="19:55">
      <c r="S1458" s="454"/>
      <c r="AN1458" s="454"/>
      <c r="BC1458" s="169"/>
    </row>
    <row r="1459" spans="19:55">
      <c r="S1459" s="454"/>
      <c r="AN1459" s="454"/>
      <c r="BC1459" s="169"/>
    </row>
    <row r="1460" spans="19:55">
      <c r="S1460" s="454"/>
      <c r="AN1460" s="454"/>
      <c r="BC1460" s="169"/>
    </row>
    <row r="1461" spans="19:55">
      <c r="S1461" s="454"/>
      <c r="AN1461" s="454"/>
      <c r="BC1461" s="169"/>
    </row>
    <row r="1462" spans="19:55">
      <c r="S1462" s="454"/>
      <c r="AN1462" s="454"/>
      <c r="BC1462" s="169"/>
    </row>
    <row r="1463" spans="19:55">
      <c r="S1463" s="454"/>
      <c r="AN1463" s="454"/>
      <c r="BC1463" s="169"/>
    </row>
    <row r="1464" spans="19:55">
      <c r="S1464" s="454"/>
      <c r="AN1464" s="454"/>
      <c r="BC1464" s="169"/>
    </row>
    <row r="1465" spans="19:55">
      <c r="S1465" s="454"/>
      <c r="AN1465" s="454"/>
      <c r="BC1465" s="169"/>
    </row>
    <row r="1466" spans="19:55">
      <c r="S1466" s="454"/>
      <c r="AN1466" s="454"/>
      <c r="BC1466" s="169"/>
    </row>
    <row r="1467" spans="19:55">
      <c r="S1467" s="454"/>
      <c r="AN1467" s="454"/>
      <c r="BC1467" s="169"/>
    </row>
    <row r="1468" spans="19:55">
      <c r="S1468" s="454"/>
      <c r="AN1468" s="454"/>
      <c r="BC1468" s="169"/>
    </row>
    <row r="1469" spans="19:55">
      <c r="S1469" s="454"/>
      <c r="AN1469" s="454"/>
      <c r="BC1469" s="169"/>
    </row>
    <row r="1470" spans="19:55">
      <c r="S1470" s="454"/>
      <c r="AN1470" s="454"/>
      <c r="BC1470" s="169"/>
    </row>
    <row r="1471" spans="19:55">
      <c r="S1471" s="454"/>
      <c r="AN1471" s="454"/>
      <c r="BC1471" s="169"/>
    </row>
    <row r="1472" spans="19:55">
      <c r="S1472" s="454"/>
      <c r="AN1472" s="454"/>
      <c r="BC1472" s="169"/>
    </row>
    <row r="1473" spans="19:55">
      <c r="S1473" s="454"/>
      <c r="AN1473" s="454"/>
      <c r="BC1473" s="169"/>
    </row>
    <row r="1474" spans="19:55">
      <c r="S1474" s="454"/>
      <c r="AN1474" s="454"/>
      <c r="BC1474" s="169"/>
    </row>
    <row r="1475" spans="19:55">
      <c r="S1475" s="454"/>
      <c r="AN1475" s="454"/>
      <c r="BC1475" s="169"/>
    </row>
    <row r="1476" spans="19:55">
      <c r="S1476" s="454"/>
      <c r="AN1476" s="454"/>
      <c r="BC1476" s="169"/>
    </row>
    <row r="1477" spans="19:55">
      <c r="S1477" s="454"/>
      <c r="AN1477" s="454"/>
      <c r="BC1477" s="169"/>
    </row>
    <row r="1478" spans="19:55">
      <c r="S1478" s="454"/>
      <c r="AN1478" s="454"/>
      <c r="BC1478" s="169"/>
    </row>
    <row r="1479" spans="19:55">
      <c r="S1479" s="454"/>
      <c r="AN1479" s="454"/>
      <c r="BC1479" s="169"/>
    </row>
    <row r="1480" spans="19:55">
      <c r="S1480" s="454"/>
      <c r="AN1480" s="454"/>
      <c r="BC1480" s="169"/>
    </row>
    <row r="1481" spans="19:55">
      <c r="S1481" s="454"/>
      <c r="AN1481" s="454"/>
      <c r="BC1481" s="169"/>
    </row>
    <row r="1482" spans="19:55">
      <c r="S1482" s="454"/>
      <c r="AN1482" s="454"/>
      <c r="BC1482" s="169"/>
    </row>
    <row r="1483" spans="19:55">
      <c r="S1483" s="454"/>
      <c r="AN1483" s="454"/>
      <c r="BC1483" s="169"/>
    </row>
    <row r="1484" spans="19:55">
      <c r="S1484" s="454"/>
      <c r="AN1484" s="454"/>
      <c r="BC1484" s="169"/>
    </row>
    <row r="1485" spans="19:55">
      <c r="S1485" s="454"/>
      <c r="AN1485" s="454"/>
      <c r="BC1485" s="169"/>
    </row>
    <row r="1486" spans="19:55">
      <c r="S1486" s="454"/>
      <c r="AN1486" s="454"/>
      <c r="BC1486" s="169"/>
    </row>
    <row r="1487" spans="19:55">
      <c r="S1487" s="454"/>
      <c r="AN1487" s="454"/>
      <c r="BC1487" s="169"/>
    </row>
    <row r="1488" spans="19:55">
      <c r="S1488" s="454"/>
      <c r="AN1488" s="454"/>
      <c r="BC1488" s="169"/>
    </row>
    <row r="1489" spans="19:55">
      <c r="S1489" s="454"/>
      <c r="AN1489" s="454"/>
      <c r="BC1489" s="169"/>
    </row>
    <row r="1490" spans="19:55">
      <c r="S1490" s="454"/>
      <c r="AN1490" s="454"/>
      <c r="BC1490" s="169"/>
    </row>
    <row r="1491" spans="19:55">
      <c r="S1491" s="454"/>
      <c r="AN1491" s="454"/>
      <c r="BC1491" s="169"/>
    </row>
    <row r="1492" spans="19:55">
      <c r="S1492" s="454"/>
      <c r="AN1492" s="454"/>
      <c r="BC1492" s="169"/>
    </row>
    <row r="1493" spans="19:55">
      <c r="S1493" s="454"/>
      <c r="AN1493" s="454"/>
      <c r="BC1493" s="169"/>
    </row>
    <row r="1494" spans="19:55">
      <c r="S1494" s="454"/>
      <c r="AN1494" s="454"/>
      <c r="BC1494" s="169"/>
    </row>
    <row r="1495" spans="19:55">
      <c r="S1495" s="454"/>
      <c r="AN1495" s="454"/>
      <c r="BC1495" s="169"/>
    </row>
    <row r="1496" spans="19:55">
      <c r="AN1496" s="454"/>
      <c r="BC1496" s="169"/>
    </row>
    <row r="1497" spans="19:55">
      <c r="AN1497" s="454"/>
      <c r="BC1497" s="169"/>
    </row>
    <row r="1498" spans="19:55">
      <c r="AN1498" s="454"/>
      <c r="BC1498" s="169"/>
    </row>
    <row r="1499" spans="19:55">
      <c r="AN1499" s="454"/>
      <c r="BC1499" s="169"/>
    </row>
    <row r="1500" spans="19:55">
      <c r="AN1500" s="454"/>
      <c r="BC1500" s="169"/>
    </row>
    <row r="1501" spans="19:55">
      <c r="AN1501" s="454"/>
      <c r="BC1501" s="169"/>
    </row>
    <row r="1502" spans="19:55">
      <c r="AN1502" s="454"/>
      <c r="BC1502" s="169"/>
    </row>
    <row r="1503" spans="19:55">
      <c r="AN1503" s="454"/>
      <c r="BC1503" s="169"/>
    </row>
    <row r="1504" spans="19:55">
      <c r="AN1504" s="454"/>
      <c r="BC1504" s="169"/>
    </row>
    <row r="1505" spans="40:55">
      <c r="AN1505" s="454"/>
      <c r="BC1505" s="169"/>
    </row>
    <row r="1506" spans="40:55">
      <c r="AN1506" s="454"/>
      <c r="BC1506" s="169"/>
    </row>
    <row r="1507" spans="40:55">
      <c r="AN1507" s="454"/>
      <c r="BC1507" s="169"/>
    </row>
    <row r="1508" spans="40:55">
      <c r="AN1508" s="454"/>
      <c r="BC1508" s="169"/>
    </row>
    <row r="1509" spans="40:55">
      <c r="AN1509" s="454"/>
      <c r="BC1509" s="169"/>
    </row>
    <row r="1510" spans="40:55">
      <c r="AN1510" s="454"/>
      <c r="BC1510" s="169"/>
    </row>
    <row r="1511" spans="40:55">
      <c r="AN1511" s="454"/>
      <c r="BC1511" s="169"/>
    </row>
    <row r="1512" spans="40:55">
      <c r="AN1512" s="454"/>
      <c r="BC1512" s="169"/>
    </row>
    <row r="1513" spans="40:55">
      <c r="AN1513" s="454"/>
      <c r="BC1513" s="169"/>
    </row>
    <row r="1514" spans="40:55">
      <c r="AN1514" s="454"/>
      <c r="BC1514" s="169"/>
    </row>
    <row r="1515" spans="40:55">
      <c r="AN1515" s="454"/>
      <c r="BC1515" s="169"/>
    </row>
    <row r="1516" spans="40:55">
      <c r="AN1516" s="454"/>
      <c r="BC1516" s="169"/>
    </row>
    <row r="1517" spans="40:55">
      <c r="AN1517" s="454"/>
      <c r="BC1517" s="169"/>
    </row>
    <row r="1518" spans="40:55">
      <c r="AN1518" s="454"/>
      <c r="BC1518" s="169"/>
    </row>
    <row r="1519" spans="40:55">
      <c r="AN1519" s="454"/>
      <c r="BC1519" s="169"/>
    </row>
    <row r="1520" spans="40:55">
      <c r="AN1520" s="454"/>
      <c r="BC1520" s="169"/>
    </row>
    <row r="1521" spans="40:55">
      <c r="AN1521" s="454"/>
      <c r="BC1521" s="169"/>
    </row>
    <row r="1522" spans="40:55">
      <c r="AN1522" s="454"/>
      <c r="BC1522" s="169"/>
    </row>
    <row r="1523" spans="40:55">
      <c r="AN1523" s="454"/>
      <c r="BC1523" s="169"/>
    </row>
    <row r="1524" spans="40:55">
      <c r="AN1524" s="454"/>
      <c r="BC1524" s="169"/>
    </row>
    <row r="1525" spans="40:55">
      <c r="AN1525" s="454"/>
      <c r="BC1525" s="169"/>
    </row>
    <row r="1526" spans="40:55">
      <c r="AN1526" s="454"/>
      <c r="BC1526" s="169"/>
    </row>
    <row r="1527" spans="40:55">
      <c r="AN1527" s="454"/>
      <c r="BC1527" s="169"/>
    </row>
    <row r="1528" spans="40:55">
      <c r="AN1528" s="454"/>
      <c r="BC1528" s="169"/>
    </row>
    <row r="1529" spans="40:55">
      <c r="AN1529" s="454"/>
      <c r="BC1529" s="169"/>
    </row>
    <row r="1530" spans="40:55">
      <c r="AN1530" s="454"/>
      <c r="BC1530" s="169"/>
    </row>
    <row r="1531" spans="40:55">
      <c r="AN1531" s="454"/>
      <c r="BC1531" s="169"/>
    </row>
    <row r="1532" spans="40:55">
      <c r="AN1532" s="454"/>
      <c r="BC1532" s="169"/>
    </row>
    <row r="1533" spans="40:55">
      <c r="AN1533" s="454"/>
      <c r="BC1533" s="169"/>
    </row>
    <row r="1534" spans="40:55">
      <c r="AN1534" s="454"/>
      <c r="BC1534" s="169"/>
    </row>
    <row r="1535" spans="40:55">
      <c r="AN1535" s="454"/>
      <c r="BC1535" s="169"/>
    </row>
    <row r="1536" spans="40:55">
      <c r="AN1536" s="454"/>
      <c r="BC1536" s="169"/>
    </row>
    <row r="1537" spans="40:55">
      <c r="AN1537" s="454"/>
      <c r="BC1537" s="169"/>
    </row>
    <row r="1538" spans="40:55">
      <c r="AN1538" s="454"/>
      <c r="BC1538" s="169"/>
    </row>
    <row r="1539" spans="40:55">
      <c r="AN1539" s="454"/>
      <c r="BC1539" s="169"/>
    </row>
    <row r="1540" spans="40:55">
      <c r="AN1540" s="454"/>
      <c r="BC1540" s="169"/>
    </row>
    <row r="1541" spans="40:55">
      <c r="AN1541" s="454"/>
      <c r="BC1541" s="169"/>
    </row>
    <row r="1542" spans="40:55">
      <c r="AN1542" s="454"/>
      <c r="BC1542" s="169"/>
    </row>
    <row r="1543" spans="40:55">
      <c r="AN1543" s="454"/>
      <c r="BC1543" s="169"/>
    </row>
    <row r="1544" spans="40:55">
      <c r="AN1544" s="454"/>
      <c r="BC1544" s="169"/>
    </row>
    <row r="1545" spans="40:55">
      <c r="AN1545" s="454"/>
      <c r="BC1545" s="169"/>
    </row>
    <row r="1546" spans="40:55">
      <c r="AN1546" s="454"/>
      <c r="BC1546" s="169"/>
    </row>
    <row r="1547" spans="40:55">
      <c r="AN1547" s="454"/>
      <c r="BC1547" s="169"/>
    </row>
    <row r="1548" spans="40:55">
      <c r="AN1548" s="454"/>
      <c r="BC1548" s="169"/>
    </row>
    <row r="1549" spans="40:55">
      <c r="AN1549" s="454"/>
      <c r="BC1549" s="169"/>
    </row>
    <row r="1550" spans="40:55">
      <c r="AN1550" s="454"/>
      <c r="BC1550" s="169"/>
    </row>
    <row r="1551" spans="40:55">
      <c r="AN1551" s="454"/>
      <c r="BC1551" s="169"/>
    </row>
    <row r="1552" spans="40:55">
      <c r="AN1552" s="454"/>
      <c r="BC1552" s="169"/>
    </row>
    <row r="1553" spans="40:55">
      <c r="AN1553" s="454"/>
      <c r="BC1553" s="169"/>
    </row>
    <row r="1554" spans="40:55">
      <c r="AN1554" s="454"/>
      <c r="BC1554" s="169"/>
    </row>
    <row r="1555" spans="40:55">
      <c r="AN1555" s="454"/>
      <c r="BC1555" s="169"/>
    </row>
    <row r="1556" spans="40:55">
      <c r="AN1556" s="454"/>
      <c r="BC1556" s="169"/>
    </row>
    <row r="1557" spans="40:55">
      <c r="AN1557" s="454"/>
      <c r="BC1557" s="169"/>
    </row>
    <row r="1558" spans="40:55">
      <c r="AN1558" s="454"/>
      <c r="BC1558" s="169"/>
    </row>
    <row r="1559" spans="40:55">
      <c r="AN1559" s="454"/>
      <c r="BC1559" s="169"/>
    </row>
    <row r="1560" spans="40:55">
      <c r="AN1560" s="454"/>
      <c r="BC1560" s="169"/>
    </row>
    <row r="1561" spans="40:55">
      <c r="AN1561" s="454"/>
      <c r="BC1561" s="169"/>
    </row>
    <row r="1562" spans="40:55">
      <c r="AN1562" s="454"/>
      <c r="BC1562" s="169"/>
    </row>
    <row r="1563" spans="40:55">
      <c r="AN1563" s="454"/>
      <c r="BC1563" s="169"/>
    </row>
    <row r="1564" spans="40:55">
      <c r="AN1564" s="454"/>
      <c r="BC1564" s="169"/>
    </row>
    <row r="1565" spans="40:55">
      <c r="AN1565" s="454"/>
      <c r="BC1565" s="169"/>
    </row>
    <row r="1566" spans="40:55">
      <c r="AN1566" s="454"/>
      <c r="BC1566" s="169"/>
    </row>
    <row r="1567" spans="40:55">
      <c r="AN1567" s="454"/>
      <c r="BC1567" s="169"/>
    </row>
    <row r="1568" spans="40:55">
      <c r="AN1568" s="454"/>
      <c r="BC1568" s="169"/>
    </row>
    <row r="1569" spans="40:55">
      <c r="AN1569" s="454"/>
      <c r="BC1569" s="169"/>
    </row>
    <row r="1570" spans="40:55">
      <c r="AN1570" s="454"/>
      <c r="BC1570" s="169"/>
    </row>
    <row r="1571" spans="40:55">
      <c r="AN1571" s="454"/>
      <c r="BC1571" s="169"/>
    </row>
    <row r="1572" spans="40:55">
      <c r="AN1572" s="454"/>
      <c r="BC1572" s="169"/>
    </row>
    <row r="1573" spans="40:55">
      <c r="AN1573" s="454"/>
      <c r="BC1573" s="169"/>
    </row>
    <row r="1574" spans="40:55">
      <c r="AN1574" s="454"/>
      <c r="BC1574" s="169"/>
    </row>
    <row r="1575" spans="40:55">
      <c r="AN1575" s="454"/>
      <c r="BC1575" s="169"/>
    </row>
    <row r="1576" spans="40:55">
      <c r="AN1576" s="454"/>
      <c r="BC1576" s="169"/>
    </row>
    <row r="1577" spans="40:55">
      <c r="AN1577" s="454"/>
      <c r="BC1577" s="169"/>
    </row>
    <row r="1578" spans="40:55">
      <c r="AN1578" s="454"/>
      <c r="BC1578" s="169"/>
    </row>
    <row r="1579" spans="40:55">
      <c r="AN1579" s="454"/>
      <c r="BC1579" s="169"/>
    </row>
    <row r="1580" spans="40:55">
      <c r="AN1580" s="454"/>
      <c r="BC1580" s="169"/>
    </row>
    <row r="1581" spans="40:55">
      <c r="AN1581" s="454"/>
      <c r="BC1581" s="169"/>
    </row>
    <row r="1582" spans="40:55">
      <c r="AN1582" s="454"/>
      <c r="BC1582" s="169"/>
    </row>
    <row r="1583" spans="40:55">
      <c r="AN1583" s="454"/>
      <c r="BC1583" s="169"/>
    </row>
    <row r="1584" spans="40:55">
      <c r="AN1584" s="454"/>
      <c r="BC1584" s="169"/>
    </row>
    <row r="1585" spans="40:55">
      <c r="AN1585" s="454"/>
      <c r="BC1585" s="169"/>
    </row>
    <row r="1586" spans="40:55">
      <c r="AN1586" s="454"/>
      <c r="BC1586" s="169"/>
    </row>
    <row r="1587" spans="40:55">
      <c r="AN1587" s="454"/>
      <c r="BC1587" s="169"/>
    </row>
    <row r="1588" spans="40:55">
      <c r="AN1588" s="454"/>
      <c r="BC1588" s="169"/>
    </row>
    <row r="1589" spans="40:55">
      <c r="AN1589" s="454"/>
      <c r="BC1589" s="169"/>
    </row>
    <row r="1590" spans="40:55">
      <c r="AN1590" s="454"/>
      <c r="BC1590" s="169"/>
    </row>
    <row r="1591" spans="40:55">
      <c r="AN1591" s="454"/>
      <c r="BC1591" s="169"/>
    </row>
    <row r="1592" spans="40:55">
      <c r="AN1592" s="454"/>
      <c r="BC1592" s="169"/>
    </row>
    <row r="1593" spans="40:55">
      <c r="AN1593" s="454"/>
      <c r="BC1593" s="169"/>
    </row>
    <row r="1594" spans="40:55">
      <c r="AN1594" s="454"/>
      <c r="BC1594" s="169"/>
    </row>
    <row r="1595" spans="40:55">
      <c r="AN1595" s="454"/>
      <c r="BC1595" s="169"/>
    </row>
    <row r="1596" spans="40:55">
      <c r="AN1596" s="454"/>
      <c r="BC1596" s="169"/>
    </row>
    <row r="1597" spans="40:55">
      <c r="AN1597" s="454"/>
      <c r="BC1597" s="169"/>
    </row>
    <row r="1598" spans="40:55">
      <c r="AN1598" s="454"/>
      <c r="BC1598" s="169"/>
    </row>
    <row r="1599" spans="40:55">
      <c r="AN1599" s="454"/>
      <c r="BC1599" s="169"/>
    </row>
    <row r="1600" spans="40:55">
      <c r="AN1600" s="454"/>
      <c r="BC1600" s="169"/>
    </row>
    <row r="1601" spans="40:55">
      <c r="AN1601" s="454"/>
      <c r="BC1601" s="169"/>
    </row>
    <row r="1602" spans="40:55">
      <c r="AN1602" s="454"/>
      <c r="BC1602" s="169"/>
    </row>
    <row r="1603" spans="40:55">
      <c r="AN1603" s="454"/>
      <c r="BC1603" s="169"/>
    </row>
    <row r="1604" spans="40:55">
      <c r="AN1604" s="454"/>
      <c r="BC1604" s="169"/>
    </row>
    <row r="1605" spans="40:55">
      <c r="AN1605" s="454"/>
      <c r="BC1605" s="169"/>
    </row>
    <row r="1606" spans="40:55">
      <c r="AN1606" s="454"/>
      <c r="BC1606" s="169"/>
    </row>
    <row r="1607" spans="40:55">
      <c r="AN1607" s="454"/>
      <c r="BC1607" s="169"/>
    </row>
    <row r="1608" spans="40:55">
      <c r="AN1608" s="454"/>
      <c r="BC1608" s="169"/>
    </row>
    <row r="1609" spans="40:55">
      <c r="AN1609" s="454"/>
      <c r="BC1609" s="169"/>
    </row>
    <row r="1610" spans="40:55">
      <c r="AN1610" s="454"/>
      <c r="BC1610" s="169"/>
    </row>
    <row r="1611" spans="40:55">
      <c r="AN1611" s="454"/>
      <c r="BC1611" s="169"/>
    </row>
    <row r="1612" spans="40:55">
      <c r="AN1612" s="454"/>
      <c r="BC1612" s="169"/>
    </row>
    <row r="1613" spans="40:55">
      <c r="AN1613" s="454"/>
      <c r="BC1613" s="169"/>
    </row>
    <row r="1614" spans="40:55">
      <c r="AN1614" s="454"/>
      <c r="BC1614" s="169"/>
    </row>
    <row r="1615" spans="40:55">
      <c r="AN1615" s="454"/>
      <c r="BC1615" s="169"/>
    </row>
    <row r="1616" spans="40:55">
      <c r="AN1616" s="454"/>
      <c r="BC1616" s="169"/>
    </row>
    <row r="1617" spans="40:55">
      <c r="AN1617" s="454"/>
      <c r="BC1617" s="169"/>
    </row>
    <row r="1618" spans="40:55">
      <c r="AN1618" s="454"/>
      <c r="BC1618" s="169"/>
    </row>
    <row r="1619" spans="40:55">
      <c r="AN1619" s="454"/>
      <c r="BC1619" s="169"/>
    </row>
    <row r="1620" spans="40:55">
      <c r="AN1620" s="454"/>
      <c r="BC1620" s="169"/>
    </row>
    <row r="1621" spans="40:55">
      <c r="AN1621" s="454"/>
      <c r="BC1621" s="169"/>
    </row>
    <row r="1622" spans="40:55">
      <c r="AN1622" s="454"/>
      <c r="BC1622" s="169"/>
    </row>
    <row r="1623" spans="40:55">
      <c r="AN1623" s="454"/>
      <c r="BC1623" s="169"/>
    </row>
    <row r="1624" spans="40:55">
      <c r="AN1624" s="454"/>
      <c r="BC1624" s="169"/>
    </row>
    <row r="1625" spans="40:55">
      <c r="AN1625" s="454"/>
      <c r="BC1625" s="169"/>
    </row>
    <row r="1626" spans="40:55">
      <c r="AN1626" s="454"/>
      <c r="BC1626" s="169"/>
    </row>
    <row r="1627" spans="40:55">
      <c r="AN1627" s="454"/>
      <c r="BC1627" s="169"/>
    </row>
    <row r="1628" spans="40:55">
      <c r="AN1628" s="454"/>
      <c r="BC1628" s="169"/>
    </row>
    <row r="1629" spans="40:55">
      <c r="AN1629" s="454"/>
      <c r="BC1629" s="169"/>
    </row>
    <row r="1630" spans="40:55">
      <c r="AN1630" s="454"/>
      <c r="BC1630" s="169"/>
    </row>
    <row r="1631" spans="40:55">
      <c r="AN1631" s="454"/>
      <c r="BC1631" s="169"/>
    </row>
    <row r="1632" spans="40:55">
      <c r="AN1632" s="454"/>
      <c r="BC1632" s="169"/>
    </row>
    <row r="1633" spans="40:55">
      <c r="AN1633" s="454"/>
      <c r="BC1633" s="169"/>
    </row>
    <row r="1634" spans="40:55">
      <c r="AN1634" s="454"/>
      <c r="BC1634" s="169"/>
    </row>
    <row r="1635" spans="40:55">
      <c r="AN1635" s="454"/>
      <c r="BC1635" s="169"/>
    </row>
    <row r="1636" spans="40:55">
      <c r="AN1636" s="454"/>
      <c r="BC1636" s="169"/>
    </row>
    <row r="1637" spans="40:55">
      <c r="AN1637" s="454"/>
      <c r="BC1637" s="169"/>
    </row>
    <row r="1638" spans="40:55">
      <c r="AN1638" s="454"/>
      <c r="BC1638" s="169"/>
    </row>
    <row r="1639" spans="40:55">
      <c r="AN1639" s="454"/>
      <c r="BC1639" s="169"/>
    </row>
    <row r="1640" spans="40:55">
      <c r="AN1640" s="454"/>
      <c r="BC1640" s="169"/>
    </row>
    <row r="1641" spans="40:55">
      <c r="AN1641" s="454"/>
      <c r="BC1641" s="169"/>
    </row>
    <row r="1642" spans="40:55">
      <c r="AN1642" s="454"/>
      <c r="BC1642" s="169"/>
    </row>
    <row r="1643" spans="40:55">
      <c r="AN1643" s="454"/>
      <c r="BC1643" s="169"/>
    </row>
    <row r="1644" spans="40:55">
      <c r="AN1644" s="454"/>
      <c r="BC1644" s="169"/>
    </row>
    <row r="1645" spans="40:55">
      <c r="AN1645" s="454"/>
      <c r="BC1645" s="169"/>
    </row>
    <row r="1646" spans="40:55">
      <c r="AN1646" s="454"/>
      <c r="BC1646" s="169"/>
    </row>
    <row r="1647" spans="40:55">
      <c r="AN1647" s="454"/>
      <c r="BC1647" s="169"/>
    </row>
    <row r="1648" spans="40:55">
      <c r="AN1648" s="454"/>
      <c r="BC1648" s="169"/>
    </row>
    <row r="1649" spans="40:55">
      <c r="AN1649" s="454"/>
      <c r="BC1649" s="169"/>
    </row>
    <row r="1650" spans="40:55">
      <c r="AN1650" s="454"/>
      <c r="BC1650" s="169"/>
    </row>
    <row r="1651" spans="40:55">
      <c r="AN1651" s="454"/>
      <c r="BC1651" s="169"/>
    </row>
    <row r="1652" spans="40:55">
      <c r="AN1652" s="454"/>
      <c r="BC1652" s="169"/>
    </row>
    <row r="1653" spans="40:55">
      <c r="AN1653" s="454"/>
      <c r="BC1653" s="169"/>
    </row>
    <row r="1654" spans="40:55">
      <c r="AN1654" s="454"/>
      <c r="BC1654" s="169"/>
    </row>
    <row r="1655" spans="40:55">
      <c r="AN1655" s="454"/>
      <c r="BC1655" s="169"/>
    </row>
    <row r="1656" spans="40:55">
      <c r="AN1656" s="454"/>
      <c r="BC1656" s="169"/>
    </row>
    <row r="1657" spans="40:55">
      <c r="AN1657" s="454"/>
      <c r="BC1657" s="169"/>
    </row>
    <row r="1658" spans="40:55">
      <c r="AN1658" s="454"/>
      <c r="BC1658" s="169"/>
    </row>
    <row r="1659" spans="40:55">
      <c r="AN1659" s="454"/>
      <c r="BC1659" s="169"/>
    </row>
    <row r="1660" spans="40:55">
      <c r="AN1660" s="454"/>
      <c r="BC1660" s="169"/>
    </row>
    <row r="1661" spans="40:55">
      <c r="AN1661" s="454"/>
      <c r="BC1661" s="169"/>
    </row>
    <row r="1662" spans="40:55">
      <c r="AN1662" s="454"/>
      <c r="BC1662" s="169"/>
    </row>
    <row r="1663" spans="40:55">
      <c r="AN1663" s="454"/>
      <c r="BC1663" s="169"/>
    </row>
    <row r="1664" spans="40:55">
      <c r="AN1664" s="454"/>
      <c r="BC1664" s="169"/>
    </row>
    <row r="1665" spans="40:55">
      <c r="AN1665" s="454"/>
      <c r="BC1665" s="169"/>
    </row>
    <row r="1666" spans="40:55">
      <c r="AN1666" s="454"/>
      <c r="BC1666" s="169"/>
    </row>
    <row r="1667" spans="40:55">
      <c r="AN1667" s="454"/>
      <c r="BC1667" s="169"/>
    </row>
    <row r="1668" spans="40:55">
      <c r="AN1668" s="454"/>
      <c r="BC1668" s="169"/>
    </row>
    <row r="1669" spans="40:55">
      <c r="AN1669" s="454"/>
      <c r="BC1669" s="169"/>
    </row>
    <row r="1670" spans="40:55">
      <c r="AN1670" s="454"/>
      <c r="BC1670" s="169"/>
    </row>
    <row r="1671" spans="40:55">
      <c r="AN1671" s="454"/>
      <c r="BC1671" s="169"/>
    </row>
    <row r="1672" spans="40:55">
      <c r="AN1672" s="454"/>
      <c r="BC1672" s="169"/>
    </row>
    <row r="1673" spans="40:55">
      <c r="AN1673" s="454"/>
      <c r="BC1673" s="169"/>
    </row>
    <row r="1674" spans="40:55">
      <c r="AN1674" s="454"/>
      <c r="BC1674" s="169"/>
    </row>
    <row r="1675" spans="40:55">
      <c r="AN1675" s="454"/>
      <c r="BC1675" s="169"/>
    </row>
    <row r="1676" spans="40:55">
      <c r="AN1676" s="454"/>
      <c r="BC1676" s="169"/>
    </row>
    <row r="1677" spans="40:55">
      <c r="AN1677" s="454"/>
      <c r="BC1677" s="169"/>
    </row>
    <row r="1678" spans="40:55">
      <c r="AN1678" s="454"/>
      <c r="BC1678" s="169"/>
    </row>
    <row r="1679" spans="40:55">
      <c r="AN1679" s="454"/>
      <c r="BC1679" s="169"/>
    </row>
    <row r="1680" spans="40:55">
      <c r="AN1680" s="454"/>
      <c r="BC1680" s="169"/>
    </row>
    <row r="1681" spans="40:55">
      <c r="AN1681" s="454"/>
      <c r="BC1681" s="169"/>
    </row>
    <row r="1682" spans="40:55">
      <c r="AN1682" s="454"/>
      <c r="BC1682" s="169"/>
    </row>
    <row r="1683" spans="40:55">
      <c r="AN1683" s="454"/>
      <c r="BC1683" s="169"/>
    </row>
    <row r="1684" spans="40:55">
      <c r="AN1684" s="454"/>
      <c r="BC1684" s="169"/>
    </row>
    <row r="1685" spans="40:55">
      <c r="AN1685" s="454"/>
      <c r="BC1685" s="169"/>
    </row>
    <row r="1686" spans="40:55">
      <c r="AN1686" s="454"/>
      <c r="BC1686" s="169"/>
    </row>
    <row r="1687" spans="40:55">
      <c r="AN1687" s="454"/>
      <c r="BC1687" s="169"/>
    </row>
    <row r="1688" spans="40:55">
      <c r="AN1688" s="454"/>
      <c r="BC1688" s="169"/>
    </row>
    <row r="1689" spans="40:55">
      <c r="AN1689" s="454"/>
      <c r="BC1689" s="169"/>
    </row>
    <row r="1690" spans="40:55">
      <c r="AN1690" s="454"/>
      <c r="BC1690" s="169"/>
    </row>
    <row r="1691" spans="40:55">
      <c r="AN1691" s="454"/>
      <c r="BC1691" s="169"/>
    </row>
    <row r="1692" spans="40:55">
      <c r="AN1692" s="454"/>
      <c r="BC1692" s="169"/>
    </row>
    <row r="1693" spans="40:55">
      <c r="AN1693" s="454"/>
      <c r="BC1693" s="169"/>
    </row>
    <row r="1694" spans="40:55">
      <c r="AN1694" s="454"/>
      <c r="BC1694" s="169"/>
    </row>
    <row r="1695" spans="40:55">
      <c r="AN1695" s="454"/>
      <c r="BC1695" s="169"/>
    </row>
    <row r="1696" spans="40:55">
      <c r="AN1696" s="454"/>
      <c r="BC1696" s="169"/>
    </row>
    <row r="1697" spans="40:55">
      <c r="AN1697" s="454"/>
      <c r="BC1697" s="169"/>
    </row>
    <row r="1698" spans="40:55">
      <c r="AN1698" s="454"/>
      <c r="BC1698" s="169"/>
    </row>
    <row r="1699" spans="40:55">
      <c r="AN1699" s="454"/>
      <c r="BC1699" s="169"/>
    </row>
    <row r="1700" spans="40:55">
      <c r="AN1700" s="454"/>
      <c r="BC1700" s="169"/>
    </row>
    <row r="1701" spans="40:55">
      <c r="AN1701" s="454"/>
      <c r="BC1701" s="169"/>
    </row>
    <row r="1702" spans="40:55">
      <c r="AN1702" s="454"/>
      <c r="BC1702" s="169"/>
    </row>
    <row r="1703" spans="40:55">
      <c r="AN1703" s="454"/>
      <c r="BC1703" s="169"/>
    </row>
    <row r="1704" spans="40:55">
      <c r="AN1704" s="454"/>
      <c r="BC1704" s="169"/>
    </row>
    <row r="1705" spans="40:55">
      <c r="AN1705" s="454"/>
      <c r="BC1705" s="169"/>
    </row>
    <row r="1706" spans="40:55">
      <c r="AN1706" s="454"/>
      <c r="BC1706" s="169"/>
    </row>
    <row r="1707" spans="40:55">
      <c r="AN1707" s="454"/>
      <c r="BC1707" s="169"/>
    </row>
    <row r="1708" spans="40:55">
      <c r="AN1708" s="454"/>
      <c r="BC1708" s="169"/>
    </row>
    <row r="1709" spans="40:55">
      <c r="AN1709" s="454"/>
      <c r="BC1709" s="169"/>
    </row>
    <row r="1710" spans="40:55">
      <c r="AN1710" s="454"/>
      <c r="BC1710" s="169"/>
    </row>
    <row r="1711" spans="40:55">
      <c r="AN1711" s="454"/>
      <c r="BC1711" s="169"/>
    </row>
    <row r="1712" spans="40:55">
      <c r="AN1712" s="454"/>
      <c r="BC1712" s="169"/>
    </row>
    <row r="1713" spans="40:55">
      <c r="AN1713" s="454"/>
      <c r="BC1713" s="169"/>
    </row>
    <row r="1714" spans="40:55">
      <c r="AN1714" s="454"/>
      <c r="BC1714" s="169"/>
    </row>
    <row r="1715" spans="40:55">
      <c r="AN1715" s="454"/>
      <c r="BC1715" s="169"/>
    </row>
    <row r="1716" spans="40:55">
      <c r="AN1716" s="454"/>
      <c r="BC1716" s="169"/>
    </row>
    <row r="1717" spans="40:55">
      <c r="AN1717" s="454"/>
      <c r="BC1717" s="169"/>
    </row>
    <row r="1718" spans="40:55">
      <c r="AN1718" s="454"/>
      <c r="BC1718" s="169"/>
    </row>
    <row r="1719" spans="40:55">
      <c r="AN1719" s="454"/>
      <c r="BC1719" s="169"/>
    </row>
    <row r="1720" spans="40:55">
      <c r="AN1720" s="454"/>
      <c r="BC1720" s="169"/>
    </row>
    <row r="1721" spans="40:55">
      <c r="AN1721" s="454"/>
      <c r="BC1721" s="169"/>
    </row>
    <row r="1722" spans="40:55">
      <c r="AN1722" s="454"/>
      <c r="BC1722" s="169"/>
    </row>
    <row r="1723" spans="40:55">
      <c r="AN1723" s="454"/>
      <c r="BC1723" s="169"/>
    </row>
    <row r="1724" spans="40:55">
      <c r="AN1724" s="454"/>
      <c r="BC1724" s="169"/>
    </row>
    <row r="1725" spans="40:55">
      <c r="AN1725" s="454"/>
      <c r="BC1725" s="169"/>
    </row>
    <row r="1726" spans="40:55">
      <c r="AN1726" s="454"/>
      <c r="BC1726" s="169"/>
    </row>
    <row r="1727" spans="40:55">
      <c r="AN1727" s="454"/>
      <c r="BC1727" s="169"/>
    </row>
    <row r="1728" spans="40:55">
      <c r="AN1728" s="454"/>
      <c r="BC1728" s="169"/>
    </row>
    <row r="1729" spans="40:55">
      <c r="AN1729" s="454"/>
      <c r="BC1729" s="169"/>
    </row>
    <row r="1730" spans="40:55">
      <c r="AN1730" s="454"/>
      <c r="BC1730" s="169"/>
    </row>
    <row r="1731" spans="40:55">
      <c r="AN1731" s="454"/>
      <c r="BC1731" s="169"/>
    </row>
    <row r="1732" spans="40:55">
      <c r="AN1732" s="454"/>
      <c r="BC1732" s="169"/>
    </row>
    <row r="1733" spans="40:55">
      <c r="AN1733" s="454"/>
      <c r="BC1733" s="169"/>
    </row>
    <row r="1734" spans="40:55">
      <c r="AN1734" s="454"/>
      <c r="BC1734" s="169"/>
    </row>
    <row r="1735" spans="40:55">
      <c r="AN1735" s="454"/>
      <c r="BC1735" s="169"/>
    </row>
    <row r="1736" spans="40:55">
      <c r="AN1736" s="454"/>
      <c r="BC1736" s="169"/>
    </row>
    <row r="1737" spans="40:55">
      <c r="AN1737" s="454"/>
      <c r="BC1737" s="169"/>
    </row>
    <row r="1738" spans="40:55">
      <c r="AN1738" s="454"/>
      <c r="BC1738" s="169"/>
    </row>
    <row r="1739" spans="40:55">
      <c r="AN1739" s="454"/>
      <c r="BC1739" s="169"/>
    </row>
    <row r="1740" spans="40:55">
      <c r="AN1740" s="454"/>
      <c r="BC1740" s="169"/>
    </row>
    <row r="1741" spans="40:55">
      <c r="AN1741" s="454"/>
      <c r="BC1741" s="169"/>
    </row>
    <row r="1742" spans="40:55">
      <c r="AN1742" s="454"/>
      <c r="BC1742" s="169"/>
    </row>
    <row r="1743" spans="40:55">
      <c r="AN1743" s="454"/>
      <c r="BC1743" s="169"/>
    </row>
    <row r="1744" spans="40:55">
      <c r="AN1744" s="454"/>
      <c r="BC1744" s="169"/>
    </row>
    <row r="1745" spans="40:55">
      <c r="AN1745" s="454"/>
      <c r="BC1745" s="169"/>
    </row>
    <row r="1746" spans="40:55">
      <c r="AN1746" s="454"/>
      <c r="BC1746" s="169"/>
    </row>
    <row r="1747" spans="40:55">
      <c r="AN1747" s="454"/>
      <c r="BC1747" s="169"/>
    </row>
    <row r="1748" spans="40:55">
      <c r="AN1748" s="454"/>
      <c r="BC1748" s="169"/>
    </row>
    <row r="1749" spans="40:55">
      <c r="AN1749" s="454"/>
      <c r="BC1749" s="169"/>
    </row>
    <row r="1750" spans="40:55">
      <c r="AN1750" s="454"/>
      <c r="BC1750" s="169"/>
    </row>
    <row r="1751" spans="40:55">
      <c r="AN1751" s="454"/>
      <c r="BC1751" s="169"/>
    </row>
    <row r="1752" spans="40:55">
      <c r="AN1752" s="454"/>
      <c r="BC1752" s="169"/>
    </row>
    <row r="1753" spans="40:55">
      <c r="AN1753" s="454"/>
      <c r="BC1753" s="169"/>
    </row>
    <row r="1754" spans="40:55">
      <c r="AN1754" s="454"/>
      <c r="BC1754" s="169"/>
    </row>
    <row r="1755" spans="40:55">
      <c r="AN1755" s="454"/>
      <c r="BC1755" s="169"/>
    </row>
    <row r="1756" spans="40:55">
      <c r="AN1756" s="454"/>
      <c r="BC1756" s="169"/>
    </row>
    <row r="1757" spans="40:55">
      <c r="AN1757" s="454"/>
      <c r="BC1757" s="169"/>
    </row>
    <row r="1758" spans="40:55">
      <c r="AN1758" s="454"/>
      <c r="BC1758" s="169"/>
    </row>
    <row r="1759" spans="40:55">
      <c r="AN1759" s="454"/>
      <c r="BC1759" s="169"/>
    </row>
    <row r="1760" spans="40:55">
      <c r="AN1760" s="454"/>
      <c r="BC1760" s="169"/>
    </row>
    <row r="1761" spans="40:55">
      <c r="AN1761" s="454"/>
      <c r="BC1761" s="169"/>
    </row>
    <row r="1762" spans="40:55">
      <c r="AN1762" s="454"/>
      <c r="BC1762" s="169"/>
    </row>
    <row r="1763" spans="40:55">
      <c r="AN1763" s="454"/>
      <c r="BC1763" s="169"/>
    </row>
    <row r="1764" spans="40:55">
      <c r="AN1764" s="454"/>
      <c r="BC1764" s="169"/>
    </row>
    <row r="1765" spans="40:55">
      <c r="AN1765" s="454"/>
      <c r="BC1765" s="169"/>
    </row>
    <row r="1766" spans="40:55">
      <c r="AN1766" s="454"/>
      <c r="BC1766" s="169"/>
    </row>
    <row r="1767" spans="40:55">
      <c r="AN1767" s="454"/>
      <c r="BC1767" s="169"/>
    </row>
    <row r="1768" spans="40:55">
      <c r="AN1768" s="454"/>
      <c r="BC1768" s="169"/>
    </row>
    <row r="1769" spans="40:55">
      <c r="AN1769" s="454"/>
      <c r="BC1769" s="169"/>
    </row>
    <row r="1770" spans="40:55">
      <c r="AN1770" s="454"/>
      <c r="BC1770" s="169"/>
    </row>
    <row r="1771" spans="40:55">
      <c r="AN1771" s="454"/>
      <c r="BC1771" s="169"/>
    </row>
    <row r="1772" spans="40:55">
      <c r="AN1772" s="454"/>
      <c r="BC1772" s="169"/>
    </row>
    <row r="1773" spans="40:55">
      <c r="AN1773" s="454"/>
      <c r="BC1773" s="169"/>
    </row>
    <row r="1774" spans="40:55">
      <c r="AN1774" s="454"/>
      <c r="BC1774" s="169"/>
    </row>
    <row r="1775" spans="40:55">
      <c r="AN1775" s="454"/>
      <c r="BC1775" s="169"/>
    </row>
    <row r="1776" spans="40:55">
      <c r="AN1776" s="454"/>
      <c r="BC1776" s="169"/>
    </row>
    <row r="1777" spans="40:55">
      <c r="AN1777" s="454"/>
      <c r="BC1777" s="169"/>
    </row>
    <row r="1778" spans="40:55">
      <c r="AN1778" s="454"/>
      <c r="BC1778" s="169"/>
    </row>
    <row r="1779" spans="40:55">
      <c r="AN1779" s="454"/>
      <c r="BC1779" s="169"/>
    </row>
    <row r="1780" spans="40:55">
      <c r="AN1780" s="454"/>
      <c r="BC1780" s="169"/>
    </row>
    <row r="1781" spans="40:55">
      <c r="AN1781" s="454"/>
      <c r="BC1781" s="169"/>
    </row>
    <row r="1782" spans="40:55">
      <c r="AN1782" s="454"/>
      <c r="BC1782" s="169"/>
    </row>
    <row r="1783" spans="40:55">
      <c r="AN1783" s="454"/>
      <c r="BC1783" s="169"/>
    </row>
    <row r="1784" spans="40:55">
      <c r="AN1784" s="454"/>
      <c r="BC1784" s="169"/>
    </row>
    <row r="1785" spans="40:55">
      <c r="AN1785" s="454"/>
      <c r="BC1785" s="169"/>
    </row>
    <row r="1786" spans="40:55">
      <c r="AN1786" s="454"/>
      <c r="BC1786" s="169"/>
    </row>
    <row r="1787" spans="40:55">
      <c r="AN1787" s="454"/>
      <c r="BC1787" s="169"/>
    </row>
    <row r="1788" spans="40:55">
      <c r="AN1788" s="454"/>
      <c r="BC1788" s="169"/>
    </row>
    <row r="1789" spans="40:55">
      <c r="AN1789" s="454"/>
      <c r="BC1789" s="169"/>
    </row>
    <row r="1790" spans="40:55">
      <c r="AN1790" s="454"/>
      <c r="BC1790" s="169"/>
    </row>
    <row r="1791" spans="40:55">
      <c r="AN1791" s="454"/>
      <c r="BC1791" s="169"/>
    </row>
    <row r="1792" spans="40:55">
      <c r="AN1792" s="454"/>
      <c r="BC1792" s="169"/>
    </row>
    <row r="1793" spans="40:55">
      <c r="AN1793" s="454"/>
      <c r="BC1793" s="169"/>
    </row>
    <row r="1794" spans="40:55">
      <c r="AN1794" s="454"/>
      <c r="BC1794" s="169"/>
    </row>
    <row r="1795" spans="40:55">
      <c r="AN1795" s="454"/>
      <c r="BC1795" s="169"/>
    </row>
    <row r="1796" spans="40:55">
      <c r="AN1796" s="454"/>
      <c r="BC1796" s="169"/>
    </row>
    <row r="1797" spans="40:55">
      <c r="AN1797" s="454"/>
      <c r="BC1797" s="169"/>
    </row>
    <row r="1798" spans="40:55">
      <c r="AN1798" s="454"/>
      <c r="BC1798" s="169"/>
    </row>
    <row r="1799" spans="40:55">
      <c r="AN1799" s="454"/>
      <c r="BC1799" s="169"/>
    </row>
    <row r="1800" spans="40:55">
      <c r="AN1800" s="454"/>
      <c r="BC1800" s="169"/>
    </row>
    <row r="1801" spans="40:55">
      <c r="AN1801" s="454"/>
      <c r="BC1801" s="169"/>
    </row>
    <row r="1802" spans="40:55">
      <c r="AN1802" s="454"/>
      <c r="BC1802" s="169"/>
    </row>
    <row r="1803" spans="40:55">
      <c r="AN1803" s="454"/>
      <c r="BC1803" s="169"/>
    </row>
    <row r="1804" spans="40:55">
      <c r="AN1804" s="454"/>
      <c r="BC1804" s="169"/>
    </row>
    <row r="1805" spans="40:55">
      <c r="AN1805" s="454"/>
      <c r="BC1805" s="169"/>
    </row>
    <row r="1806" spans="40:55">
      <c r="AN1806" s="454"/>
      <c r="BC1806" s="169"/>
    </row>
    <row r="1807" spans="40:55">
      <c r="AN1807" s="454"/>
      <c r="BC1807" s="169"/>
    </row>
    <row r="1808" spans="40:55">
      <c r="AN1808" s="454"/>
      <c r="BC1808" s="169"/>
    </row>
    <row r="1809" spans="40:55">
      <c r="AN1809" s="454"/>
      <c r="BC1809" s="169"/>
    </row>
    <row r="1810" spans="40:55">
      <c r="AN1810" s="454"/>
      <c r="BC1810" s="169"/>
    </row>
    <row r="1811" spans="40:55">
      <c r="AN1811" s="454"/>
      <c r="BC1811" s="169"/>
    </row>
    <row r="1812" spans="40:55">
      <c r="AN1812" s="454"/>
      <c r="BC1812" s="169"/>
    </row>
    <row r="1813" spans="40:55">
      <c r="AN1813" s="454"/>
      <c r="BC1813" s="169"/>
    </row>
    <row r="1814" spans="40:55">
      <c r="AN1814" s="454"/>
      <c r="BC1814" s="169"/>
    </row>
    <row r="1815" spans="40:55">
      <c r="AN1815" s="454"/>
      <c r="BC1815" s="169"/>
    </row>
    <row r="1816" spans="40:55">
      <c r="AN1816" s="454"/>
      <c r="BC1816" s="169"/>
    </row>
    <row r="1817" spans="40:55">
      <c r="AN1817" s="454"/>
      <c r="BC1817" s="169"/>
    </row>
    <row r="1818" spans="40:55">
      <c r="AN1818" s="454"/>
      <c r="BC1818" s="169"/>
    </row>
    <row r="1819" spans="40:55">
      <c r="AN1819" s="454"/>
      <c r="BC1819" s="169"/>
    </row>
    <row r="1820" spans="40:55">
      <c r="AN1820" s="454"/>
      <c r="BC1820" s="169"/>
    </row>
    <row r="1821" spans="40:55">
      <c r="AN1821" s="454"/>
      <c r="BC1821" s="169"/>
    </row>
    <row r="1822" spans="40:55">
      <c r="AN1822" s="454"/>
      <c r="BC1822" s="169"/>
    </row>
    <row r="1823" spans="40:55">
      <c r="AN1823" s="454"/>
      <c r="BC1823" s="169"/>
    </row>
    <row r="1824" spans="40:55">
      <c r="AN1824" s="454"/>
      <c r="BC1824" s="169"/>
    </row>
    <row r="1825" spans="40:55">
      <c r="AN1825" s="454"/>
      <c r="BC1825" s="169"/>
    </row>
    <row r="1826" spans="40:55">
      <c r="AN1826" s="454"/>
      <c r="BC1826" s="169"/>
    </row>
    <row r="1827" spans="40:55">
      <c r="AN1827" s="454"/>
      <c r="BC1827" s="169"/>
    </row>
    <row r="1828" spans="40:55">
      <c r="AN1828" s="454"/>
      <c r="BC1828" s="169"/>
    </row>
    <row r="1829" spans="40:55">
      <c r="AN1829" s="454"/>
      <c r="BC1829" s="169"/>
    </row>
    <row r="1830" spans="40:55">
      <c r="AN1830" s="454"/>
      <c r="BC1830" s="169"/>
    </row>
    <row r="1831" spans="40:55">
      <c r="AN1831" s="454"/>
      <c r="BC1831" s="169"/>
    </row>
    <row r="1832" spans="40:55">
      <c r="AN1832" s="454"/>
      <c r="BC1832" s="169"/>
    </row>
    <row r="1833" spans="40:55">
      <c r="AN1833" s="454"/>
      <c r="BC1833" s="169"/>
    </row>
    <row r="1834" spans="40:55">
      <c r="AN1834" s="454"/>
      <c r="BC1834" s="169"/>
    </row>
    <row r="1835" spans="40:55">
      <c r="AN1835" s="454"/>
      <c r="BC1835" s="169"/>
    </row>
    <row r="1836" spans="40:55">
      <c r="AN1836" s="454"/>
      <c r="BC1836" s="169"/>
    </row>
    <row r="1837" spans="40:55">
      <c r="AN1837" s="454"/>
      <c r="BC1837" s="169"/>
    </row>
    <row r="1838" spans="40:55">
      <c r="AN1838" s="454"/>
      <c r="BC1838" s="169"/>
    </row>
    <row r="1839" spans="40:55">
      <c r="AN1839" s="454"/>
      <c r="BC1839" s="169"/>
    </row>
    <row r="1840" spans="40:55">
      <c r="AN1840" s="454"/>
      <c r="BC1840" s="169"/>
    </row>
    <row r="1841" spans="40:55">
      <c r="AN1841" s="454"/>
      <c r="BC1841" s="169"/>
    </row>
    <row r="1842" spans="40:55">
      <c r="AN1842" s="454"/>
      <c r="BC1842" s="169"/>
    </row>
    <row r="1843" spans="40:55">
      <c r="AN1843" s="454"/>
      <c r="BC1843" s="169"/>
    </row>
    <row r="1844" spans="40:55">
      <c r="AN1844" s="454"/>
      <c r="BC1844" s="169"/>
    </row>
    <row r="1845" spans="40:55">
      <c r="AN1845" s="454"/>
      <c r="BC1845" s="169"/>
    </row>
    <row r="1846" spans="40:55">
      <c r="AN1846" s="454"/>
      <c r="BC1846" s="169"/>
    </row>
    <row r="1847" spans="40:55">
      <c r="AN1847" s="454"/>
      <c r="BC1847" s="169"/>
    </row>
    <row r="1848" spans="40:55">
      <c r="AN1848" s="454"/>
      <c r="BC1848" s="169"/>
    </row>
    <row r="1849" spans="40:55">
      <c r="AN1849" s="454"/>
      <c r="BC1849" s="169"/>
    </row>
    <row r="1850" spans="40:55">
      <c r="AN1850" s="454"/>
      <c r="BC1850" s="169"/>
    </row>
    <row r="1851" spans="40:55">
      <c r="AN1851" s="454"/>
      <c r="BC1851" s="169"/>
    </row>
    <row r="1852" spans="40:55">
      <c r="AN1852" s="454"/>
      <c r="BC1852" s="169"/>
    </row>
    <row r="1853" spans="40:55">
      <c r="AN1853" s="454"/>
      <c r="BC1853" s="169"/>
    </row>
    <row r="1854" spans="40:55">
      <c r="AN1854" s="454"/>
      <c r="BC1854" s="169"/>
    </row>
    <row r="1855" spans="40:55">
      <c r="AN1855" s="454"/>
      <c r="BC1855" s="169"/>
    </row>
    <row r="1856" spans="40:55">
      <c r="AN1856" s="454"/>
      <c r="BC1856" s="169"/>
    </row>
    <row r="1857" spans="40:55">
      <c r="AN1857" s="454"/>
      <c r="BC1857" s="169"/>
    </row>
    <row r="1858" spans="40:55">
      <c r="AN1858" s="454"/>
      <c r="BC1858" s="169"/>
    </row>
    <row r="1859" spans="40:55">
      <c r="AN1859" s="454"/>
      <c r="BC1859" s="169"/>
    </row>
    <row r="1860" spans="40:55">
      <c r="AN1860" s="454"/>
      <c r="BC1860" s="169"/>
    </row>
    <row r="1861" spans="40:55">
      <c r="AN1861" s="454"/>
      <c r="BC1861" s="169"/>
    </row>
    <row r="1862" spans="40:55">
      <c r="AN1862" s="454"/>
      <c r="BC1862" s="169"/>
    </row>
    <row r="1863" spans="40:55">
      <c r="AN1863" s="454"/>
      <c r="BC1863" s="169"/>
    </row>
    <row r="1864" spans="40:55">
      <c r="AN1864" s="454"/>
      <c r="BC1864" s="169"/>
    </row>
    <row r="1865" spans="40:55">
      <c r="AN1865" s="454"/>
      <c r="BC1865" s="169"/>
    </row>
    <row r="1866" spans="40:55">
      <c r="AN1866" s="454"/>
      <c r="BC1866" s="169"/>
    </row>
    <row r="1867" spans="40:55">
      <c r="AN1867" s="454"/>
      <c r="BC1867" s="169"/>
    </row>
    <row r="1868" spans="40:55">
      <c r="AN1868" s="454"/>
      <c r="BC1868" s="169"/>
    </row>
    <row r="1869" spans="40:55">
      <c r="AN1869" s="454"/>
      <c r="BC1869" s="169"/>
    </row>
    <row r="1870" spans="40:55">
      <c r="AN1870" s="454"/>
      <c r="BC1870" s="169"/>
    </row>
    <row r="1871" spans="40:55">
      <c r="AN1871" s="454"/>
      <c r="BC1871" s="169"/>
    </row>
    <row r="1872" spans="40:55">
      <c r="AN1872" s="454"/>
      <c r="BC1872" s="169"/>
    </row>
    <row r="1873" spans="40:55">
      <c r="AN1873" s="454"/>
      <c r="BC1873" s="169"/>
    </row>
    <row r="1874" spans="40:55">
      <c r="AN1874" s="454"/>
      <c r="BC1874" s="169"/>
    </row>
    <row r="1875" spans="40:55">
      <c r="AN1875" s="454"/>
      <c r="BC1875" s="169"/>
    </row>
    <row r="1876" spans="40:55">
      <c r="AN1876" s="454"/>
      <c r="BC1876" s="169"/>
    </row>
    <row r="1877" spans="40:55">
      <c r="AN1877" s="454"/>
      <c r="BC1877" s="169"/>
    </row>
    <row r="1878" spans="40:55">
      <c r="AN1878" s="454"/>
      <c r="BC1878" s="169"/>
    </row>
    <row r="1879" spans="40:55">
      <c r="AN1879" s="454"/>
      <c r="BC1879" s="169"/>
    </row>
    <row r="1880" spans="40:55">
      <c r="AN1880" s="454"/>
      <c r="BC1880" s="169"/>
    </row>
    <row r="1881" spans="40:55">
      <c r="AN1881" s="454"/>
      <c r="BC1881" s="169"/>
    </row>
    <row r="1882" spans="40:55">
      <c r="AN1882" s="454"/>
      <c r="BC1882" s="169"/>
    </row>
    <row r="1883" spans="40:55">
      <c r="AN1883" s="454"/>
      <c r="BC1883" s="169"/>
    </row>
    <row r="1884" spans="40:55">
      <c r="AN1884" s="454"/>
      <c r="BC1884" s="169"/>
    </row>
    <row r="1885" spans="40:55">
      <c r="AN1885" s="454"/>
      <c r="BC1885" s="169"/>
    </row>
    <row r="1886" spans="40:55">
      <c r="AN1886" s="454"/>
      <c r="BC1886" s="169"/>
    </row>
    <row r="1887" spans="40:55">
      <c r="AN1887" s="454"/>
      <c r="BC1887" s="169"/>
    </row>
    <row r="1888" spans="40:55">
      <c r="AN1888" s="454"/>
      <c r="BC1888" s="169"/>
    </row>
    <row r="1889" spans="40:55">
      <c r="AN1889" s="454"/>
      <c r="BC1889" s="169"/>
    </row>
    <row r="1890" spans="40:55">
      <c r="AN1890" s="454"/>
      <c r="BC1890" s="169"/>
    </row>
    <row r="1891" spans="40:55">
      <c r="AN1891" s="454"/>
      <c r="BC1891" s="169"/>
    </row>
    <row r="1892" spans="40:55">
      <c r="AN1892" s="454"/>
      <c r="BC1892" s="169"/>
    </row>
    <row r="1893" spans="40:55">
      <c r="AN1893" s="454"/>
      <c r="BC1893" s="169"/>
    </row>
    <row r="1894" spans="40:55">
      <c r="AN1894" s="454"/>
      <c r="BC1894" s="169"/>
    </row>
    <row r="1895" spans="40:55">
      <c r="AN1895" s="454"/>
      <c r="BC1895" s="169"/>
    </row>
    <row r="1896" spans="40:55">
      <c r="AN1896" s="454"/>
      <c r="BC1896" s="169"/>
    </row>
    <row r="1897" spans="40:55">
      <c r="AN1897" s="454"/>
      <c r="BC1897" s="169"/>
    </row>
    <row r="1898" spans="40:55">
      <c r="AN1898" s="454"/>
      <c r="BC1898" s="169"/>
    </row>
    <row r="1899" spans="40:55">
      <c r="AN1899" s="454"/>
      <c r="BC1899" s="169"/>
    </row>
    <row r="1900" spans="40:55">
      <c r="AN1900" s="454"/>
      <c r="BC1900" s="169"/>
    </row>
    <row r="1901" spans="40:55">
      <c r="AN1901" s="454"/>
      <c r="BC1901" s="169"/>
    </row>
    <row r="1902" spans="40:55">
      <c r="AN1902" s="454"/>
      <c r="BC1902" s="169"/>
    </row>
    <row r="1903" spans="40:55">
      <c r="AN1903" s="454"/>
      <c r="BC1903" s="169"/>
    </row>
    <row r="1904" spans="40:55">
      <c r="AN1904" s="454"/>
      <c r="BC1904" s="169"/>
    </row>
    <row r="1905" spans="40:55">
      <c r="AN1905" s="454"/>
      <c r="BC1905" s="169"/>
    </row>
    <row r="1906" spans="40:55">
      <c r="AN1906" s="454"/>
      <c r="BC1906" s="169"/>
    </row>
    <row r="1907" spans="40:55">
      <c r="AN1907" s="454"/>
      <c r="BC1907" s="169"/>
    </row>
    <row r="1908" spans="40:55">
      <c r="AN1908" s="454"/>
      <c r="BC1908" s="169"/>
    </row>
    <row r="1909" spans="40:55">
      <c r="AN1909" s="454"/>
      <c r="BC1909" s="169"/>
    </row>
    <row r="1910" spans="40:55">
      <c r="AN1910" s="454"/>
      <c r="BC1910" s="169"/>
    </row>
    <row r="1911" spans="40:55">
      <c r="AN1911" s="454"/>
      <c r="BC1911" s="169"/>
    </row>
    <row r="1912" spans="40:55">
      <c r="AN1912" s="454"/>
      <c r="BC1912" s="169"/>
    </row>
    <row r="1913" spans="40:55">
      <c r="AN1913" s="454"/>
      <c r="BC1913" s="169"/>
    </row>
    <row r="1914" spans="40:55">
      <c r="AN1914" s="454"/>
      <c r="BC1914" s="169"/>
    </row>
    <row r="1915" spans="40:55">
      <c r="AN1915" s="454"/>
      <c r="BC1915" s="169"/>
    </row>
    <row r="1916" spans="40:55">
      <c r="AN1916" s="454"/>
      <c r="BC1916" s="169"/>
    </row>
    <row r="1917" spans="40:55">
      <c r="AN1917" s="454"/>
      <c r="BC1917" s="169"/>
    </row>
    <row r="1918" spans="40:55">
      <c r="AN1918" s="454"/>
      <c r="BC1918" s="169"/>
    </row>
    <row r="1919" spans="40:55">
      <c r="AN1919" s="454"/>
      <c r="BC1919" s="169"/>
    </row>
    <row r="1920" spans="40:55">
      <c r="AN1920" s="454"/>
      <c r="BC1920" s="169"/>
    </row>
    <row r="1921" spans="40:55">
      <c r="AN1921" s="454"/>
      <c r="BC1921" s="169"/>
    </row>
    <row r="1922" spans="40:55">
      <c r="AN1922" s="454"/>
      <c r="BC1922" s="169"/>
    </row>
    <row r="1923" spans="40:55">
      <c r="AN1923" s="454"/>
      <c r="BC1923" s="169"/>
    </row>
    <row r="1924" spans="40:55">
      <c r="AN1924" s="454"/>
      <c r="BC1924" s="169"/>
    </row>
    <row r="1925" spans="40:55">
      <c r="AN1925" s="454"/>
      <c r="BC1925" s="169"/>
    </row>
    <row r="1926" spans="40:55">
      <c r="AN1926" s="454"/>
      <c r="BC1926" s="169"/>
    </row>
    <row r="1927" spans="40:55">
      <c r="AN1927" s="454"/>
      <c r="BC1927" s="169"/>
    </row>
    <row r="1928" spans="40:55">
      <c r="AN1928" s="454"/>
      <c r="BC1928" s="169"/>
    </row>
    <row r="1929" spans="40:55">
      <c r="AN1929" s="454"/>
      <c r="BC1929" s="169"/>
    </row>
    <row r="1930" spans="40:55">
      <c r="AN1930" s="454"/>
      <c r="BC1930" s="169"/>
    </row>
    <row r="1931" spans="40:55">
      <c r="AN1931" s="454"/>
      <c r="BC1931" s="169"/>
    </row>
    <row r="1932" spans="40:55">
      <c r="AN1932" s="454"/>
      <c r="BC1932" s="169"/>
    </row>
    <row r="1933" spans="40:55">
      <c r="AN1933" s="454"/>
      <c r="BC1933" s="169"/>
    </row>
    <row r="1934" spans="40:55">
      <c r="AN1934" s="454"/>
      <c r="BC1934" s="169"/>
    </row>
    <row r="1935" spans="40:55">
      <c r="AN1935" s="454"/>
      <c r="BC1935" s="169"/>
    </row>
    <row r="1936" spans="40:55">
      <c r="AN1936" s="454"/>
      <c r="BC1936" s="169"/>
    </row>
    <row r="1937" spans="40:55">
      <c r="AN1937" s="454"/>
      <c r="BC1937" s="169"/>
    </row>
    <row r="1938" spans="40:55">
      <c r="AN1938" s="454"/>
      <c r="BC1938" s="169"/>
    </row>
    <row r="1939" spans="40:55">
      <c r="AN1939" s="454"/>
      <c r="BC1939" s="169"/>
    </row>
    <row r="1940" spans="40:55">
      <c r="AN1940" s="454"/>
      <c r="BC1940" s="169"/>
    </row>
    <row r="1941" spans="40:55">
      <c r="AN1941" s="454"/>
      <c r="BC1941" s="169"/>
    </row>
    <row r="1942" spans="40:55">
      <c r="AN1942" s="454"/>
      <c r="BC1942" s="169"/>
    </row>
    <row r="1943" spans="40:55">
      <c r="AN1943" s="454"/>
      <c r="BC1943" s="169"/>
    </row>
    <row r="1944" spans="40:55">
      <c r="AN1944" s="454"/>
      <c r="BC1944" s="169"/>
    </row>
    <row r="1945" spans="40:55">
      <c r="AN1945" s="454"/>
      <c r="BC1945" s="169"/>
    </row>
    <row r="1946" spans="40:55">
      <c r="AN1946" s="454"/>
      <c r="BC1946" s="169"/>
    </row>
    <row r="1947" spans="40:55">
      <c r="AN1947" s="454"/>
      <c r="BC1947" s="169"/>
    </row>
    <row r="1948" spans="40:55">
      <c r="AN1948" s="454"/>
      <c r="BC1948" s="169"/>
    </row>
    <row r="1949" spans="40:55">
      <c r="AN1949" s="454"/>
      <c r="BC1949" s="169"/>
    </row>
    <row r="1950" spans="40:55">
      <c r="AN1950" s="454"/>
      <c r="BC1950" s="169"/>
    </row>
    <row r="1951" spans="40:55">
      <c r="AN1951" s="454"/>
      <c r="BC1951" s="169"/>
    </row>
    <row r="1952" spans="40:55">
      <c r="AN1952" s="454"/>
      <c r="BC1952" s="169"/>
    </row>
    <row r="1953" spans="40:55">
      <c r="AN1953" s="454"/>
      <c r="BC1953" s="169"/>
    </row>
    <row r="1954" spans="40:55">
      <c r="AN1954" s="454"/>
      <c r="BC1954" s="169"/>
    </row>
    <row r="1955" spans="40:55">
      <c r="AN1955" s="454"/>
      <c r="BC1955" s="169"/>
    </row>
    <row r="1956" spans="40:55">
      <c r="AN1956" s="454"/>
      <c r="BC1956" s="169"/>
    </row>
    <row r="1957" spans="40:55">
      <c r="AN1957" s="454"/>
      <c r="BC1957" s="169"/>
    </row>
    <row r="1958" spans="40:55">
      <c r="AN1958" s="454"/>
      <c r="BC1958" s="169"/>
    </row>
    <row r="1959" spans="40:55">
      <c r="AN1959" s="454"/>
      <c r="BC1959" s="169"/>
    </row>
    <row r="1960" spans="40:55">
      <c r="AN1960" s="454"/>
      <c r="BC1960" s="169"/>
    </row>
    <row r="1961" spans="40:55">
      <c r="AN1961" s="454"/>
      <c r="BC1961" s="169"/>
    </row>
    <row r="1962" spans="40:55">
      <c r="AN1962" s="454"/>
      <c r="BC1962" s="169"/>
    </row>
    <row r="1963" spans="40:55">
      <c r="AN1963" s="454"/>
      <c r="BC1963" s="169"/>
    </row>
    <row r="1964" spans="40:55">
      <c r="AN1964" s="454"/>
      <c r="BC1964" s="169"/>
    </row>
    <row r="1965" spans="40:55">
      <c r="AN1965" s="454"/>
      <c r="BC1965" s="169"/>
    </row>
    <row r="1966" spans="40:55">
      <c r="AN1966" s="454"/>
      <c r="BC1966" s="169"/>
    </row>
    <row r="1967" spans="40:55">
      <c r="AN1967" s="454"/>
      <c r="BC1967" s="169"/>
    </row>
    <row r="1968" spans="40:55">
      <c r="AN1968" s="454"/>
      <c r="BC1968" s="169"/>
    </row>
    <row r="1969" spans="40:55">
      <c r="AN1969" s="454"/>
      <c r="BC1969" s="169"/>
    </row>
    <row r="1970" spans="40:55">
      <c r="AN1970" s="454"/>
      <c r="BC1970" s="169"/>
    </row>
    <row r="1971" spans="40:55">
      <c r="AN1971" s="454"/>
      <c r="BC1971" s="169"/>
    </row>
    <row r="1972" spans="40:55">
      <c r="AN1972" s="454"/>
      <c r="BC1972" s="169"/>
    </row>
    <row r="1973" spans="40:55">
      <c r="AN1973" s="454"/>
      <c r="BC1973" s="169"/>
    </row>
    <row r="1974" spans="40:55">
      <c r="AN1974" s="454"/>
      <c r="BC1974" s="169"/>
    </row>
    <row r="1975" spans="40:55">
      <c r="AN1975" s="454"/>
      <c r="BC1975" s="169"/>
    </row>
    <row r="1976" spans="40:55">
      <c r="AN1976" s="454"/>
      <c r="BC1976" s="169"/>
    </row>
    <row r="1977" spans="40:55">
      <c r="AN1977" s="454"/>
      <c r="BC1977" s="169"/>
    </row>
    <row r="1978" spans="40:55">
      <c r="AN1978" s="454"/>
      <c r="BC1978" s="169"/>
    </row>
    <row r="1979" spans="40:55">
      <c r="AN1979" s="454"/>
      <c r="BC1979" s="169"/>
    </row>
    <row r="1980" spans="40:55">
      <c r="AN1980" s="454"/>
      <c r="BC1980" s="169"/>
    </row>
    <row r="1981" spans="40:55">
      <c r="AN1981" s="454"/>
      <c r="BC1981" s="169"/>
    </row>
    <row r="1982" spans="40:55">
      <c r="AN1982" s="454"/>
      <c r="BC1982" s="169"/>
    </row>
    <row r="1983" spans="40:55">
      <c r="AN1983" s="454"/>
      <c r="BC1983" s="169"/>
    </row>
    <row r="1984" spans="40:55">
      <c r="AN1984" s="454"/>
      <c r="BC1984" s="169"/>
    </row>
    <row r="1985" spans="40:55">
      <c r="AN1985" s="454"/>
      <c r="BC1985" s="169"/>
    </row>
    <row r="1986" spans="40:55">
      <c r="AN1986" s="454"/>
      <c r="BC1986" s="169"/>
    </row>
    <row r="1987" spans="40:55">
      <c r="AN1987" s="454"/>
      <c r="BC1987" s="169"/>
    </row>
    <row r="1988" spans="40:55">
      <c r="AN1988" s="454"/>
      <c r="BC1988" s="169"/>
    </row>
    <row r="1989" spans="40:55">
      <c r="AN1989" s="454"/>
      <c r="BC1989" s="169"/>
    </row>
    <row r="1990" spans="40:55">
      <c r="AN1990" s="454"/>
      <c r="BC1990" s="169"/>
    </row>
    <row r="1991" spans="40:55">
      <c r="AN1991" s="454"/>
      <c r="BC1991" s="169"/>
    </row>
    <row r="1992" spans="40:55">
      <c r="AN1992" s="454"/>
      <c r="BC1992" s="169"/>
    </row>
    <row r="1993" spans="40:55">
      <c r="AN1993" s="454"/>
      <c r="BC1993" s="169"/>
    </row>
    <row r="1994" spans="40:55">
      <c r="AN1994" s="454"/>
      <c r="BC1994" s="169"/>
    </row>
    <row r="1995" spans="40:55">
      <c r="AN1995" s="454"/>
      <c r="BC1995" s="169"/>
    </row>
    <row r="1996" spans="40:55">
      <c r="AN1996" s="454"/>
      <c r="BC1996" s="169"/>
    </row>
    <row r="1997" spans="40:55">
      <c r="AN1997" s="454"/>
      <c r="BC1997" s="169"/>
    </row>
    <row r="1998" spans="40:55">
      <c r="AN1998" s="454"/>
      <c r="BC1998" s="169"/>
    </row>
    <row r="1999" spans="40:55">
      <c r="AN1999" s="454"/>
      <c r="BC1999" s="169"/>
    </row>
    <row r="2000" spans="40:55">
      <c r="AN2000" s="454"/>
      <c r="BC2000" s="169"/>
    </row>
    <row r="2001" spans="40:55">
      <c r="AN2001" s="454"/>
      <c r="BC2001" s="169"/>
    </row>
    <row r="2002" spans="40:55">
      <c r="AN2002" s="454"/>
    </row>
    <row r="2003" spans="40:55">
      <c r="AN2003" s="454"/>
    </row>
    <row r="2004" spans="40:55">
      <c r="AN2004" s="454"/>
    </row>
    <row r="2005" spans="40:55">
      <c r="AN2005" s="454"/>
    </row>
    <row r="2006" spans="40:55">
      <c r="AN2006" s="454"/>
    </row>
    <row r="2007" spans="40:55">
      <c r="AN2007" s="454"/>
    </row>
    <row r="2008" spans="40:55">
      <c r="AN2008" s="454"/>
    </row>
    <row r="2009" spans="40:55">
      <c r="AN2009" s="454"/>
    </row>
    <row r="2010" spans="40:55">
      <c r="AN2010" s="454"/>
    </row>
    <row r="2011" spans="40:55">
      <c r="AN2011" s="454"/>
    </row>
    <row r="2012" spans="40:55">
      <c r="AN2012" s="454"/>
    </row>
    <row r="2013" spans="40:55">
      <c r="AN2013" s="454"/>
    </row>
    <row r="2014" spans="40:55">
      <c r="AN2014" s="454"/>
    </row>
    <row r="2015" spans="40:55">
      <c r="AN2015" s="454"/>
    </row>
    <row r="2016" spans="40:55">
      <c r="AN2016" s="454"/>
    </row>
    <row r="2017" spans="40:40">
      <c r="AN2017" s="454"/>
    </row>
    <row r="2018" spans="40:40">
      <c r="AN2018" s="454"/>
    </row>
    <row r="2019" spans="40:40">
      <c r="AN2019" s="454"/>
    </row>
    <row r="2020" spans="40:40">
      <c r="AN2020" s="454"/>
    </row>
    <row r="2021" spans="40:40">
      <c r="AN2021" s="454"/>
    </row>
    <row r="2022" spans="40:40">
      <c r="AN2022" s="454"/>
    </row>
    <row r="2023" spans="40:40">
      <c r="AN2023" s="454"/>
    </row>
    <row r="2024" spans="40:40">
      <c r="AN2024" s="454"/>
    </row>
    <row r="2025" spans="40:40">
      <c r="AN2025" s="454"/>
    </row>
    <row r="2026" spans="40:40">
      <c r="AN2026" s="454"/>
    </row>
    <row r="2027" spans="40:40">
      <c r="AN2027" s="454"/>
    </row>
    <row r="2028" spans="40:40">
      <c r="AN2028" s="454"/>
    </row>
    <row r="2029" spans="40:40">
      <c r="AN2029" s="454"/>
    </row>
    <row r="2030" spans="40:40">
      <c r="AN2030" s="454"/>
    </row>
    <row r="2031" spans="40:40">
      <c r="AN2031" s="454"/>
    </row>
    <row r="2032" spans="40:40">
      <c r="AN2032" s="454"/>
    </row>
    <row r="2033" spans="40:40">
      <c r="AN2033" s="454"/>
    </row>
    <row r="2034" spans="40:40">
      <c r="AN2034" s="454"/>
    </row>
    <row r="2035" spans="40:40">
      <c r="AN2035" s="454"/>
    </row>
    <row r="2036" spans="40:40">
      <c r="AN2036" s="454"/>
    </row>
    <row r="2037" spans="40:40">
      <c r="AN2037" s="454"/>
    </row>
    <row r="2038" spans="40:40">
      <c r="AN2038" s="454"/>
    </row>
    <row r="2039" spans="40:40">
      <c r="AN2039" s="454"/>
    </row>
    <row r="2040" spans="40:40">
      <c r="AN2040" s="454"/>
    </row>
    <row r="2041" spans="40:40">
      <c r="AN2041" s="454"/>
    </row>
    <row r="2042" spans="40:40">
      <c r="AN2042" s="454"/>
    </row>
    <row r="2043" spans="40:40">
      <c r="AN2043" s="454"/>
    </row>
    <row r="2044" spans="40:40">
      <c r="AN2044" s="454"/>
    </row>
    <row r="2045" spans="40:40">
      <c r="AN2045" s="454"/>
    </row>
    <row r="2046" spans="40:40">
      <c r="AN2046" s="454"/>
    </row>
    <row r="2047" spans="40:40">
      <c r="AN2047" s="454"/>
    </row>
    <row r="2048" spans="40:40">
      <c r="AN2048" s="454"/>
    </row>
    <row r="2049" spans="40:40">
      <c r="AN2049" s="454"/>
    </row>
    <row r="2050" spans="40:40">
      <c r="AN2050" s="454"/>
    </row>
    <row r="2051" spans="40:40">
      <c r="AN2051" s="454"/>
    </row>
    <row r="2052" spans="40:40">
      <c r="AN2052" s="454"/>
    </row>
    <row r="2053" spans="40:40">
      <c r="AN2053" s="454"/>
    </row>
    <row r="2054" spans="40:40">
      <c r="AN2054" s="454"/>
    </row>
    <row r="2055" spans="40:40">
      <c r="AN2055" s="454"/>
    </row>
    <row r="2056" spans="40:40">
      <c r="AN2056" s="454"/>
    </row>
    <row r="2057" spans="40:40">
      <c r="AN2057" s="454"/>
    </row>
    <row r="2058" spans="40:40">
      <c r="AN2058" s="454"/>
    </row>
    <row r="2059" spans="40:40">
      <c r="AN2059" s="454"/>
    </row>
    <row r="2060" spans="40:40">
      <c r="AN2060" s="454"/>
    </row>
    <row r="2061" spans="40:40">
      <c r="AN2061" s="454"/>
    </row>
    <row r="2062" spans="40:40">
      <c r="AN2062" s="454"/>
    </row>
    <row r="2063" spans="40:40">
      <c r="AN2063" s="454"/>
    </row>
    <row r="2064" spans="40:40">
      <c r="AN2064" s="454"/>
    </row>
    <row r="2065" spans="40:40">
      <c r="AN2065" s="454"/>
    </row>
    <row r="2066" spans="40:40">
      <c r="AN2066" s="454"/>
    </row>
    <row r="2067" spans="40:40">
      <c r="AN2067" s="454"/>
    </row>
    <row r="2068" spans="40:40">
      <c r="AN2068" s="454"/>
    </row>
    <row r="2069" spans="40:40">
      <c r="AN2069" s="454"/>
    </row>
    <row r="2070" spans="40:40">
      <c r="AN2070" s="454"/>
    </row>
    <row r="2071" spans="40:40">
      <c r="AN2071" s="454"/>
    </row>
    <row r="2072" spans="40:40">
      <c r="AN2072" s="454"/>
    </row>
    <row r="2073" spans="40:40">
      <c r="AN2073" s="454"/>
    </row>
    <row r="2074" spans="40:40">
      <c r="AN2074" s="454"/>
    </row>
    <row r="2075" spans="40:40">
      <c r="AN2075" s="454"/>
    </row>
    <row r="2076" spans="40:40">
      <c r="AN2076" s="454"/>
    </row>
    <row r="2077" spans="40:40">
      <c r="AN2077" s="454"/>
    </row>
    <row r="2078" spans="40:40">
      <c r="AN2078" s="454"/>
    </row>
    <row r="2079" spans="40:40">
      <c r="AN2079" s="454"/>
    </row>
    <row r="2080" spans="40:40">
      <c r="AN2080" s="454"/>
    </row>
    <row r="2081" spans="40:40">
      <c r="AN2081" s="454"/>
    </row>
    <row r="2082" spans="40:40">
      <c r="AN2082" s="454"/>
    </row>
    <row r="2083" spans="40:40">
      <c r="AN2083" s="454"/>
    </row>
    <row r="2084" spans="40:40">
      <c r="AN2084" s="454"/>
    </row>
    <row r="2085" spans="40:40">
      <c r="AN2085" s="454"/>
    </row>
    <row r="2086" spans="40:40">
      <c r="AN2086" s="454"/>
    </row>
    <row r="2087" spans="40:40">
      <c r="AN2087" s="454"/>
    </row>
    <row r="2088" spans="40:40">
      <c r="AN2088" s="454"/>
    </row>
    <row r="2089" spans="40:40">
      <c r="AN2089" s="454"/>
    </row>
    <row r="2090" spans="40:40">
      <c r="AN2090" s="454"/>
    </row>
    <row r="2091" spans="40:40">
      <c r="AN2091" s="454"/>
    </row>
    <row r="2092" spans="40:40">
      <c r="AN2092" s="454"/>
    </row>
    <row r="2093" spans="40:40">
      <c r="AN2093" s="454"/>
    </row>
    <row r="2094" spans="40:40">
      <c r="AN2094" s="454"/>
    </row>
    <row r="2095" spans="40:40">
      <c r="AN2095" s="454"/>
    </row>
    <row r="2096" spans="40:40">
      <c r="AN2096" s="454"/>
    </row>
    <row r="2097" spans="40:40">
      <c r="AN2097" s="454"/>
    </row>
    <row r="2098" spans="40:40">
      <c r="AN2098" s="454"/>
    </row>
    <row r="2099" spans="40:40">
      <c r="AN2099" s="454"/>
    </row>
    <row r="2100" spans="40:40">
      <c r="AN2100" s="454"/>
    </row>
    <row r="2101" spans="40:40">
      <c r="AN2101" s="454"/>
    </row>
    <row r="2102" spans="40:40">
      <c r="AN2102" s="454"/>
    </row>
    <row r="2103" spans="40:40">
      <c r="AN2103" s="454"/>
    </row>
    <row r="2104" spans="40:40">
      <c r="AN2104" s="454"/>
    </row>
    <row r="2105" spans="40:40">
      <c r="AN2105" s="454"/>
    </row>
    <row r="2106" spans="40:40">
      <c r="AN2106" s="454"/>
    </row>
    <row r="2107" spans="40:40">
      <c r="AN2107" s="454"/>
    </row>
    <row r="2108" spans="40:40">
      <c r="AN2108" s="454"/>
    </row>
    <row r="2109" spans="40:40">
      <c r="AN2109" s="454"/>
    </row>
    <row r="2110" spans="40:40">
      <c r="AN2110" s="454"/>
    </row>
    <row r="2111" spans="40:40">
      <c r="AN2111" s="454"/>
    </row>
    <row r="2112" spans="40:40">
      <c r="AN2112" s="454"/>
    </row>
    <row r="2113" spans="40:40">
      <c r="AN2113" s="454"/>
    </row>
    <row r="2114" spans="40:40">
      <c r="AN2114" s="454"/>
    </row>
    <row r="2115" spans="40:40">
      <c r="AN2115" s="454"/>
    </row>
    <row r="2116" spans="40:40">
      <c r="AN2116" s="454"/>
    </row>
    <row r="2117" spans="40:40">
      <c r="AN2117" s="454"/>
    </row>
    <row r="2118" spans="40:40">
      <c r="AN2118" s="454"/>
    </row>
    <row r="2119" spans="40:40">
      <c r="AN2119" s="454"/>
    </row>
    <row r="2120" spans="40:40">
      <c r="AN2120" s="454"/>
    </row>
    <row r="2121" spans="40:40">
      <c r="AN2121" s="454"/>
    </row>
    <row r="2122" spans="40:40">
      <c r="AN2122" s="454"/>
    </row>
    <row r="2123" spans="40:40">
      <c r="AN2123" s="454"/>
    </row>
    <row r="2124" spans="40:40">
      <c r="AN2124" s="454"/>
    </row>
    <row r="2125" spans="40:40">
      <c r="AN2125" s="454"/>
    </row>
    <row r="2126" spans="40:40">
      <c r="AN2126" s="454"/>
    </row>
    <row r="2127" spans="40:40">
      <c r="AN2127" s="454"/>
    </row>
    <row r="2128" spans="40:40">
      <c r="AN2128" s="454"/>
    </row>
    <row r="2129" spans="40:40">
      <c r="AN2129" s="454"/>
    </row>
    <row r="2130" spans="40:40">
      <c r="AN2130" s="454"/>
    </row>
    <row r="2131" spans="40:40">
      <c r="AN2131" s="454"/>
    </row>
    <row r="2132" spans="40:40">
      <c r="AN2132" s="454"/>
    </row>
    <row r="2133" spans="40:40">
      <c r="AN2133" s="454"/>
    </row>
    <row r="2134" spans="40:40">
      <c r="AN2134" s="454"/>
    </row>
    <row r="2135" spans="40:40">
      <c r="AN2135" s="454"/>
    </row>
    <row r="2136" spans="40:40">
      <c r="AN2136" s="454"/>
    </row>
    <row r="2137" spans="40:40">
      <c r="AN2137" s="454"/>
    </row>
    <row r="2138" spans="40:40">
      <c r="AN2138" s="454"/>
    </row>
    <row r="2139" spans="40:40">
      <c r="AN2139" s="454"/>
    </row>
    <row r="2140" spans="40:40">
      <c r="AN2140" s="454"/>
    </row>
    <row r="2141" spans="40:40">
      <c r="AN2141" s="454"/>
    </row>
    <row r="2142" spans="40:40">
      <c r="AN2142" s="454"/>
    </row>
    <row r="2143" spans="40:40">
      <c r="AN2143" s="454"/>
    </row>
    <row r="2144" spans="40:40">
      <c r="AN2144" s="454"/>
    </row>
    <row r="2145" spans="40:40">
      <c r="AN2145" s="454"/>
    </row>
    <row r="2146" spans="40:40">
      <c r="AN2146" s="454"/>
    </row>
    <row r="2147" spans="40:40">
      <c r="AN2147" s="454"/>
    </row>
    <row r="2148" spans="40:40">
      <c r="AN2148" s="454"/>
    </row>
    <row r="2149" spans="40:40">
      <c r="AN2149" s="454"/>
    </row>
    <row r="2150" spans="40:40">
      <c r="AN2150" s="454"/>
    </row>
    <row r="2151" spans="40:40">
      <c r="AN2151" s="454"/>
    </row>
    <row r="2152" spans="40:40">
      <c r="AN2152" s="454"/>
    </row>
    <row r="2153" spans="40:40">
      <c r="AN2153" s="454"/>
    </row>
    <row r="2154" spans="40:40">
      <c r="AN2154" s="454"/>
    </row>
    <row r="2155" spans="40:40">
      <c r="AN2155" s="454"/>
    </row>
    <row r="2156" spans="40:40">
      <c r="AN2156" s="454"/>
    </row>
    <row r="2157" spans="40:40">
      <c r="AN2157" s="454"/>
    </row>
    <row r="2158" spans="40:40">
      <c r="AN2158" s="454"/>
    </row>
    <row r="2159" spans="40:40">
      <c r="AN2159" s="454"/>
    </row>
    <row r="2160" spans="40:40">
      <c r="AN2160" s="454"/>
    </row>
    <row r="2161" spans="40:40">
      <c r="AN2161" s="454"/>
    </row>
    <row r="2162" spans="40:40">
      <c r="AN2162" s="454"/>
    </row>
    <row r="2163" spans="40:40">
      <c r="AN2163" s="454"/>
    </row>
    <row r="2164" spans="40:40">
      <c r="AN2164" s="454"/>
    </row>
    <row r="2165" spans="40:40">
      <c r="AN2165" s="454"/>
    </row>
    <row r="2166" spans="40:40">
      <c r="AN2166" s="454"/>
    </row>
    <row r="2167" spans="40:40">
      <c r="AN2167" s="454"/>
    </row>
  </sheetData>
  <autoFilter ref="A2:BG102" xr:uid="{00000000-0009-0000-0000-000011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autoFilter>
  <mergeCells count="10">
    <mergeCell ref="BD1:BG1"/>
    <mergeCell ref="AN2:AP2"/>
    <mergeCell ref="AQ2:AS2"/>
    <mergeCell ref="AT2:AV2"/>
    <mergeCell ref="A1:BB1"/>
    <mergeCell ref="N2:P2"/>
    <mergeCell ref="T2:V2"/>
    <mergeCell ref="W2:Y2"/>
    <mergeCell ref="Z2:AB2"/>
    <mergeCell ref="AC2:AE2"/>
  </mergeCells>
  <conditionalFormatting sqref="BH97:XFD99">
    <cfRule type="cellIs" dxfId="685" priority="15" operator="equal">
      <formula>0</formula>
    </cfRule>
  </conditionalFormatting>
  <conditionalFormatting sqref="B4:BA100">
    <cfRule type="expression" dxfId="684" priority="13">
      <formula>$M4="NON DEFINED"</formula>
    </cfRule>
    <cfRule type="expression" dxfId="683" priority="14">
      <formula>$AY4="N.D."</formula>
    </cfRule>
  </conditionalFormatting>
  <conditionalFormatting sqref="B5:BA44">
    <cfRule type="expression" dxfId="682" priority="12">
      <formula>$AW5="N.D."</formula>
    </cfRule>
  </conditionalFormatting>
  <conditionalFormatting sqref="BD5:BE5 BD9:BE9 BD7:BE7 BD13:BE13 BD11:BE11 BD15:BE15 BD19:BE19 BD17:BE17 BD21:BE21 BD23:BE23 BD27:BE27 BD29:BE29 BD33:BE33 BD35:BE35 BD41:BE41 BD43:BE43 BD45:BE45 BE49 BD47:BE47 BD51:BE51 BD55:BE55 BD57:BE57 BD59:BE59 BD61:BE61 BD65:BE65 BD67:BE67 BD69:BE69 BD71:BE71 BD73:BE73 BD77:BE77 BD79:BE79 BD83:BE83 BD85:BE85 BD87:BE87 BD89:BE89 BE91 BD95:BE95 BG99 BG97 BG95 BG93 BG91 BG89 BG87 BG85 BG83 BG81 BG79 BG77 BG75 BG73 BG71 BG69 BG67 BG65 BG63 BG61 BG59 BG57 BG55 BG53 BG51 BG49 BG47 BG45 BG43 BG41 BG39 BG35 BG33 BG31 BG29 BG27 BG25 BG23 BG19 BG15 BG13 BG9 BG5 BD4 BD25:BE25 BD24 BD31:BE31 BD30 BD39:BE39 BD48 BD50 BD53:BE53 BD52 BD63:BE63 BD62 BD75:BE75 BD74 BD81:BE81 BD80 BE93 BD97:BE97 BD96 BD99:BE99 BD98">
    <cfRule type="containsBlanks" dxfId="681" priority="11">
      <formula>LEN(TRIM(BD4))=0</formula>
    </cfRule>
  </conditionalFormatting>
  <conditionalFormatting sqref="BC4:BC100 BC103:BC2001">
    <cfRule type="containsText" dxfId="680" priority="9" operator="containsText" text="a">
      <formula>NOT(ISERROR(SEARCH("a",BC4)))</formula>
    </cfRule>
    <cfRule type="containsText" dxfId="679" priority="10" operator="containsText" text="R">
      <formula>NOT(ISERROR(SEARCH("R",BC4)))</formula>
    </cfRule>
  </conditionalFormatting>
  <conditionalFormatting sqref="BA4:BA100">
    <cfRule type="expression" dxfId="678" priority="8">
      <formula>$BC4="R"</formula>
    </cfRule>
  </conditionalFormatting>
  <conditionalFormatting sqref="BC101:BG102">
    <cfRule type="cellIs" dxfId="677" priority="3" operator="equal">
      <formula>0</formula>
    </cfRule>
  </conditionalFormatting>
  <conditionalFormatting sqref="A101:BB102">
    <cfRule type="cellIs" dxfId="676" priority="7" operator="equal">
      <formula>0</formula>
    </cfRule>
  </conditionalFormatting>
  <conditionalFormatting sqref="B101:BA102 BC101:BG102">
    <cfRule type="expression" dxfId="675" priority="5">
      <formula>$M101="NON DEFINED"</formula>
    </cfRule>
    <cfRule type="expression" dxfId="674" priority="6">
      <formula>$AY101="N.D."</formula>
    </cfRule>
  </conditionalFormatting>
  <conditionalFormatting sqref="BA101:BA102">
    <cfRule type="expression" dxfId="673" priority="4">
      <formula>$BC101="R"</formula>
    </cfRule>
  </conditionalFormatting>
  <conditionalFormatting sqref="AN4:AN102">
    <cfRule type="cellIs" dxfId="672" priority="2" operator="notEqual">
      <formula>5.5</formula>
    </cfRule>
  </conditionalFormatting>
  <conditionalFormatting sqref="BD37:BE37 BG37">
    <cfRule type="containsBlanks" dxfId="671" priority="1">
      <formula>LEN(TRIM(BD37))=0</formula>
    </cfRule>
  </conditionalFormatting>
  <printOptions horizontalCentered="1"/>
  <pageMargins left="0.39370078740157483" right="0.39370078740157483" top="0.78740157480314965" bottom="0.78740157480314965" header="0.31496062992125984" footer="0.31496062992125984"/>
  <pageSetup paperSize="9" scale="53" fitToHeight="0" orientation="landscape" r:id="rId1"/>
  <headerFooter alignWithMargins="0">
    <oddHeader>&amp;L&amp;G&amp;C
LAYOUT AND EQUIPMENT
EP06 TRACK 2 BBR-HER
KP2+122 - 1+422/89+222 - 90+618&amp;R&amp;G</oddHeader>
    <oddFooter>&amp;L&amp;G
&amp;F&amp;C&amp;D&amp;RPag &amp;P of &amp;N</oddFooter>
  </headerFooter>
  <legacyDrawingHF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FF0000"/>
    <pageSetUpPr fitToPage="1"/>
  </sheetPr>
  <dimension ref="A1:BG2165"/>
  <sheetViews>
    <sheetView view="pageBreakPreview" zoomScale="80" zoomScaleNormal="85" zoomScaleSheetLayoutView="80" workbookViewId="0">
      <pane xSplit="2" ySplit="3" topLeftCell="C4" activePane="bottomRight" state="frozen"/>
      <selection activeCell="G124" sqref="G124"/>
      <selection pane="topRight" activeCell="G124" sqref="G124"/>
      <selection pane="bottomLeft" activeCell="G124" sqref="G124"/>
      <selection pane="bottomRight" activeCell="G124" sqref="G124"/>
    </sheetView>
  </sheetViews>
  <sheetFormatPr baseColWidth="10" defaultColWidth="11.453125" defaultRowHeight="12.5"/>
  <cols>
    <col min="1" max="1" width="20.6328125" style="178" customWidth="1"/>
    <col min="2" max="3" width="12.6328125" style="178" customWidth="1"/>
    <col min="4" max="5" width="12.6328125" style="178" hidden="1" customWidth="1"/>
    <col min="6" max="6" width="12.6328125" style="178" customWidth="1"/>
    <col min="7" max="7" width="12.6328125" style="454" customWidth="1"/>
    <col min="8" max="8" width="18.6328125" style="178" customWidth="1"/>
    <col min="9" max="9" width="12.6328125" style="178" customWidth="1"/>
    <col min="10" max="10" width="12.6328125" style="184" customWidth="1"/>
    <col min="11" max="11" width="12.6328125" style="178" customWidth="1"/>
    <col min="12" max="13" width="14.6328125" style="178" customWidth="1"/>
    <col min="14" max="16" width="8.6328125" style="178" hidden="1" customWidth="1"/>
    <col min="17" max="19" width="12.6328125" style="178" hidden="1" customWidth="1"/>
    <col min="20" max="28" width="8.6328125" style="178" hidden="1" customWidth="1"/>
    <col min="29" max="31" width="10.6328125" style="178" hidden="1" customWidth="1"/>
    <col min="32" max="32" width="13.54296875" style="178" hidden="1" customWidth="1"/>
    <col min="33" max="33" width="12.6328125" style="184" hidden="1" customWidth="1"/>
    <col min="34" max="36" width="12.6328125" style="178" hidden="1" customWidth="1"/>
    <col min="37" max="38" width="12.6328125" style="178" customWidth="1"/>
    <col min="39" max="39" width="12.6328125" style="178" hidden="1" customWidth="1"/>
    <col min="40" max="40" width="8.6328125" style="178" customWidth="1"/>
    <col min="41" max="42" width="8.6328125" style="178" hidden="1" customWidth="1"/>
    <col min="43" max="46" width="8.6328125" style="454" hidden="1" customWidth="1"/>
    <col min="47" max="48" width="8.6328125" style="178" hidden="1" customWidth="1"/>
    <col min="49" max="53" width="12.6328125" style="178" customWidth="1"/>
    <col min="54" max="54" width="21.6328125" style="178" customWidth="1"/>
    <col min="55" max="55" width="18" style="178" customWidth="1"/>
    <col min="56" max="59" width="14.54296875" style="1323" customWidth="1"/>
    <col min="60" max="60" width="11.453125" style="178" customWidth="1"/>
    <col min="61" max="16384" width="11.453125" style="178"/>
  </cols>
  <sheetData>
    <row r="1" spans="1:59" ht="35" customHeight="1">
      <c r="A1" s="1612" t="s">
        <v>3446</v>
      </c>
      <c r="B1" s="1612"/>
      <c r="C1" s="1612"/>
      <c r="D1" s="1612"/>
      <c r="E1" s="1612"/>
      <c r="F1" s="1612"/>
      <c r="G1" s="1612"/>
      <c r="H1" s="1612"/>
      <c r="I1" s="1612"/>
      <c r="J1" s="1612"/>
      <c r="K1" s="1612"/>
      <c r="L1" s="1612"/>
      <c r="M1" s="1612"/>
      <c r="N1" s="1612"/>
      <c r="O1" s="1612"/>
      <c r="P1" s="1612"/>
      <c r="Q1" s="1612"/>
      <c r="R1" s="1612"/>
      <c r="S1" s="1612"/>
      <c r="T1" s="1612"/>
      <c r="U1" s="1612"/>
      <c r="V1" s="1612"/>
      <c r="W1" s="1612"/>
      <c r="X1" s="1612"/>
      <c r="Y1" s="1612"/>
      <c r="Z1" s="1612"/>
      <c r="AA1" s="1612"/>
      <c r="AB1" s="1612"/>
      <c r="AC1" s="1612"/>
      <c r="AD1" s="1612"/>
      <c r="AE1" s="1612"/>
      <c r="AF1" s="1612"/>
      <c r="AG1" s="1612"/>
      <c r="AH1" s="1612"/>
      <c r="AI1" s="1612"/>
      <c r="AJ1" s="1612"/>
      <c r="AK1" s="1612"/>
      <c r="AL1" s="1612"/>
      <c r="AM1" s="1612"/>
      <c r="AN1" s="1612"/>
      <c r="AO1" s="1612"/>
      <c r="AP1" s="1612"/>
      <c r="AQ1" s="1612"/>
      <c r="AR1" s="1612"/>
      <c r="AS1" s="1612"/>
      <c r="AT1" s="1612"/>
      <c r="AU1" s="1612"/>
      <c r="AV1" s="1612"/>
      <c r="AW1" s="1612"/>
      <c r="AX1" s="1612"/>
      <c r="AY1" s="1612"/>
      <c r="AZ1" s="1612"/>
      <c r="BA1" s="1612"/>
      <c r="BB1" s="1612"/>
      <c r="BC1" s="693" t="s">
        <v>4947</v>
      </c>
      <c r="BD1" s="1609" t="s">
        <v>4916</v>
      </c>
      <c r="BE1" s="1609"/>
      <c r="BF1" s="1609"/>
      <c r="BG1" s="1609"/>
    </row>
    <row r="2" spans="1:59" s="699" customFormat="1" ht="39">
      <c r="A2" s="1369" t="s">
        <v>4417</v>
      </c>
      <c r="B2" s="1369" t="s">
        <v>4418</v>
      </c>
      <c r="C2" s="952" t="s">
        <v>2315</v>
      </c>
      <c r="D2" s="1369" t="s">
        <v>4419</v>
      </c>
      <c r="E2" s="1369" t="s">
        <v>4855</v>
      </c>
      <c r="F2" s="953" t="s">
        <v>4856</v>
      </c>
      <c r="G2" s="1370" t="s">
        <v>4857</v>
      </c>
      <c r="H2" s="1369" t="s">
        <v>455</v>
      </c>
      <c r="I2" s="953" t="s">
        <v>454</v>
      </c>
      <c r="J2" s="953" t="s">
        <v>4423</v>
      </c>
      <c r="K2" s="1369" t="s">
        <v>1362</v>
      </c>
      <c r="L2" s="1369" t="s">
        <v>456</v>
      </c>
      <c r="M2" s="1369" t="s">
        <v>453</v>
      </c>
      <c r="N2" s="1610" t="s">
        <v>457</v>
      </c>
      <c r="O2" s="1610"/>
      <c r="P2" s="1610"/>
      <c r="Q2" s="1369" t="s">
        <v>4858</v>
      </c>
      <c r="R2" s="1369" t="s">
        <v>4859</v>
      </c>
      <c r="S2" s="1369" t="s">
        <v>4860</v>
      </c>
      <c r="T2" s="1610" t="s">
        <v>4861</v>
      </c>
      <c r="U2" s="1610"/>
      <c r="V2" s="1610"/>
      <c r="W2" s="1610" t="s">
        <v>4862</v>
      </c>
      <c r="X2" s="1610"/>
      <c r="Y2" s="1610"/>
      <c r="Z2" s="1610" t="s">
        <v>4863</v>
      </c>
      <c r="AA2" s="1610"/>
      <c r="AB2" s="1610"/>
      <c r="AC2" s="1610" t="s">
        <v>628</v>
      </c>
      <c r="AD2" s="1610"/>
      <c r="AE2" s="1610"/>
      <c r="AF2" s="1369" t="s">
        <v>4872</v>
      </c>
      <c r="AG2" s="1369" t="s">
        <v>4864</v>
      </c>
      <c r="AH2" s="1369" t="s">
        <v>4865</v>
      </c>
      <c r="AI2" s="1369" t="s">
        <v>4866</v>
      </c>
      <c r="AJ2" s="1369" t="s">
        <v>629</v>
      </c>
      <c r="AK2" s="1369" t="s">
        <v>458</v>
      </c>
      <c r="AL2" s="1369" t="s">
        <v>459</v>
      </c>
      <c r="AM2" s="1369" t="s">
        <v>631</v>
      </c>
      <c r="AN2" s="1610" t="s">
        <v>4867</v>
      </c>
      <c r="AO2" s="1610"/>
      <c r="AP2" s="1610"/>
      <c r="AQ2" s="1611" t="s">
        <v>460</v>
      </c>
      <c r="AR2" s="1611"/>
      <c r="AS2" s="1611"/>
      <c r="AT2" s="1610" t="s">
        <v>630</v>
      </c>
      <c r="AU2" s="1610"/>
      <c r="AV2" s="1610"/>
      <c r="AW2" s="1369" t="s">
        <v>4868</v>
      </c>
      <c r="AX2" s="1369" t="s">
        <v>4904</v>
      </c>
      <c r="AY2" s="1370" t="s">
        <v>4869</v>
      </c>
      <c r="AZ2" s="1370" t="s">
        <v>4870</v>
      </c>
      <c r="BA2" s="1369" t="s">
        <v>1670</v>
      </c>
      <c r="BB2" s="1369" t="s">
        <v>4871</v>
      </c>
      <c r="BC2" s="693" t="s">
        <v>4948</v>
      </c>
      <c r="BD2" s="1320" t="s">
        <v>453</v>
      </c>
      <c r="BE2" s="1320" t="s">
        <v>4922</v>
      </c>
      <c r="BF2" s="1320" t="s">
        <v>4915</v>
      </c>
      <c r="BG2" s="1320" t="s">
        <v>457</v>
      </c>
    </row>
    <row r="3" spans="1:59" ht="15.65" customHeight="1">
      <c r="A3" s="1239"/>
      <c r="B3" s="1239"/>
      <c r="C3" s="171"/>
      <c r="D3" s="1239"/>
      <c r="E3" s="1239"/>
      <c r="F3" s="448"/>
      <c r="G3" s="455"/>
      <c r="H3" s="1239"/>
      <c r="I3" s="448" t="s">
        <v>1039</v>
      </c>
      <c r="J3" s="171"/>
      <c r="K3" s="1239"/>
      <c r="L3" s="1239"/>
      <c r="M3" s="1239"/>
      <c r="N3" s="496"/>
      <c r="O3" s="496"/>
      <c r="P3" s="496"/>
      <c r="Q3" s="1239"/>
      <c r="R3" s="1239"/>
      <c r="S3" s="1239"/>
      <c r="T3" s="496"/>
      <c r="U3" s="496"/>
      <c r="V3" s="496"/>
      <c r="W3" s="496"/>
      <c r="X3" s="496"/>
      <c r="Y3" s="496"/>
      <c r="Z3" s="496"/>
      <c r="AA3" s="496"/>
      <c r="AB3" s="496"/>
      <c r="AC3" s="496"/>
      <c r="AD3" s="496"/>
      <c r="AE3" s="496"/>
      <c r="AF3" s="1239"/>
      <c r="AG3" s="1239"/>
      <c r="AH3" s="1239"/>
      <c r="AI3" s="1239"/>
      <c r="AJ3" s="1239"/>
      <c r="AK3" s="1239"/>
      <c r="AL3" s="1239"/>
      <c r="AM3" s="1239"/>
      <c r="AN3" s="698"/>
      <c r="AO3" s="496"/>
      <c r="AP3" s="496"/>
      <c r="AQ3" s="546"/>
      <c r="AR3" s="546"/>
      <c r="AS3" s="546"/>
      <c r="AT3" s="546"/>
      <c r="AU3" s="496"/>
      <c r="AV3" s="496"/>
      <c r="AW3" s="1239"/>
      <c r="AX3" s="1239"/>
      <c r="AY3" s="455"/>
      <c r="AZ3" s="455"/>
      <c r="BA3" s="1239"/>
      <c r="BB3" s="1239"/>
      <c r="BD3" s="1239"/>
      <c r="BE3" s="1239"/>
      <c r="BF3" s="1239"/>
      <c r="BG3" s="1239"/>
    </row>
    <row r="4" spans="1:59" ht="15.65" customHeight="1">
      <c r="A4" s="449"/>
      <c r="B4" s="485" t="s">
        <v>4063</v>
      </c>
      <c r="C4" s="446">
        <v>1398.26</v>
      </c>
      <c r="D4" s="638"/>
      <c r="E4" s="638"/>
      <c r="F4" s="447">
        <v>0</v>
      </c>
      <c r="G4" s="484"/>
      <c r="H4" s="1239" t="s">
        <v>138</v>
      </c>
      <c r="I4" s="448" t="s">
        <v>623</v>
      </c>
      <c r="J4" s="446">
        <f>C4+7.5</f>
        <v>1405.76</v>
      </c>
      <c r="K4" s="638" t="s">
        <v>2787</v>
      </c>
      <c r="L4" s="1239" t="s">
        <v>819</v>
      </c>
      <c r="M4" s="1239" t="s">
        <v>5010</v>
      </c>
      <c r="N4" s="638" t="s">
        <v>144</v>
      </c>
      <c r="O4" s="638"/>
      <c r="P4" s="638"/>
      <c r="Q4" s="638"/>
      <c r="R4" s="638"/>
      <c r="S4" s="484"/>
      <c r="T4" s="638">
        <v>20</v>
      </c>
      <c r="U4" s="638"/>
      <c r="V4" s="638"/>
      <c r="W4" s="638">
        <v>1.4</v>
      </c>
      <c r="X4" s="638"/>
      <c r="Y4" s="638"/>
      <c r="Z4" s="638"/>
      <c r="AA4" s="638"/>
      <c r="AB4" s="638"/>
      <c r="AC4" s="1239" t="e">
        <f>IF(OR(AT4&gt;8,AT4&lt;-8),"PH",IF(OR(AT4&gt;5,AT4&lt;-5),"PH-Q",IF(OR(AT4&gt;1,AT4&lt;-1),"PH-C")))</f>
        <v>#VALUE!</v>
      </c>
      <c r="AD4" s="638"/>
      <c r="AE4" s="638"/>
      <c r="AF4" s="638"/>
      <c r="AG4" s="446"/>
      <c r="AH4" s="638"/>
      <c r="AI4" s="638"/>
      <c r="AJ4" s="638"/>
      <c r="AK4" s="638"/>
      <c r="AL4" s="1239" t="s">
        <v>2127</v>
      </c>
      <c r="AM4" s="1239" t="s">
        <v>1042</v>
      </c>
      <c r="AN4" s="455">
        <v>5.5</v>
      </c>
      <c r="AO4" s="1239"/>
      <c r="AP4" s="1239"/>
      <c r="AQ4" s="484"/>
      <c r="AR4" s="484"/>
      <c r="AS4" s="484"/>
      <c r="AT4" s="484" t="e">
        <f>+ab($T$4,#REF!,-$U$6,#REF!,-$G$5,-1*$F$4,1200)</f>
        <v>#VALUE!</v>
      </c>
      <c r="AU4" s="638"/>
      <c r="AV4" s="638"/>
      <c r="AW4" s="638" t="s">
        <v>4427</v>
      </c>
      <c r="AX4" s="638" t="s">
        <v>1371</v>
      </c>
      <c r="AY4" s="484">
        <v>3.9</v>
      </c>
      <c r="AZ4" s="484">
        <v>3.3</v>
      </c>
      <c r="BA4" s="1387" t="s">
        <v>2809</v>
      </c>
      <c r="BB4" s="449" t="s">
        <v>5004</v>
      </c>
      <c r="BC4" s="169" t="s">
        <v>4955</v>
      </c>
      <c r="BD4" s="1329"/>
      <c r="BE4" s="1329"/>
      <c r="BF4" s="1329"/>
      <c r="BG4" s="1329"/>
    </row>
    <row r="5" spans="1:59" ht="15.65" customHeight="1">
      <c r="A5" s="449"/>
      <c r="B5" s="445"/>
      <c r="C5" s="446"/>
      <c r="D5" s="638"/>
      <c r="E5" s="638"/>
      <c r="F5" s="447"/>
      <c r="G5" s="484">
        <v>36</v>
      </c>
      <c r="H5" s="1239"/>
      <c r="I5" s="448"/>
      <c r="J5" s="446"/>
      <c r="K5" s="638"/>
      <c r="L5" s="1239"/>
      <c r="M5" s="1239"/>
      <c r="N5" s="638"/>
      <c r="O5" s="638"/>
      <c r="P5" s="638"/>
      <c r="Q5" s="638"/>
      <c r="R5" s="638"/>
      <c r="S5" s="484"/>
      <c r="T5" s="638"/>
      <c r="U5" s="638"/>
      <c r="V5" s="638"/>
      <c r="W5" s="638"/>
      <c r="X5" s="638"/>
      <c r="Y5" s="638"/>
      <c r="Z5" s="638"/>
      <c r="AA5" s="638"/>
      <c r="AB5" s="638"/>
      <c r="AC5" s="1239"/>
      <c r="AD5" s="638"/>
      <c r="AE5" s="638"/>
      <c r="AF5" s="638"/>
      <c r="AG5" s="446"/>
      <c r="AH5" s="638"/>
      <c r="AI5" s="638"/>
      <c r="AJ5" s="638"/>
      <c r="AK5" s="638"/>
      <c r="AL5" s="1239"/>
      <c r="AM5" s="1239"/>
      <c r="AN5" s="455"/>
      <c r="AO5" s="1239"/>
      <c r="AP5" s="1239"/>
      <c r="AQ5" s="484">
        <f>+FL_1($U$6,-$T$4,$G$5,1200,9.28,-1*$F$6)</f>
        <v>0.22473265976235107</v>
      </c>
      <c r="AR5" s="484"/>
      <c r="AS5" s="484"/>
      <c r="AT5" s="484"/>
      <c r="AU5" s="638"/>
      <c r="AV5" s="638"/>
      <c r="AW5" s="1239"/>
      <c r="AX5" s="1239"/>
      <c r="AY5" s="455"/>
      <c r="AZ5" s="455"/>
      <c r="BA5" s="671"/>
      <c r="BB5" s="449"/>
      <c r="BC5" s="169"/>
      <c r="BD5" s="1330"/>
      <c r="BE5" s="1330"/>
      <c r="BF5" s="1330"/>
      <c r="BG5" s="1330"/>
    </row>
    <row r="6" spans="1:59" ht="15.65" customHeight="1">
      <c r="A6" s="449"/>
      <c r="B6" s="485" t="s">
        <v>4064</v>
      </c>
      <c r="C6" s="446">
        <v>1349.99</v>
      </c>
      <c r="D6" s="638"/>
      <c r="E6" s="638"/>
      <c r="F6" s="447">
        <v>500</v>
      </c>
      <c r="G6" s="484"/>
      <c r="H6" s="1239" t="s">
        <v>619</v>
      </c>
      <c r="I6" s="448"/>
      <c r="J6" s="446"/>
      <c r="K6" s="638"/>
      <c r="L6" s="638" t="s">
        <v>895</v>
      </c>
      <c r="M6" s="638" t="s">
        <v>5009</v>
      </c>
      <c r="N6" s="638" t="s">
        <v>140</v>
      </c>
      <c r="O6" s="638" t="s">
        <v>143</v>
      </c>
      <c r="P6" s="638"/>
      <c r="Q6" s="638"/>
      <c r="R6" s="638"/>
      <c r="S6" s="484"/>
      <c r="T6" s="638">
        <v>-70</v>
      </c>
      <c r="U6" s="638">
        <v>-25</v>
      </c>
      <c r="V6" s="638"/>
      <c r="W6" s="638">
        <v>1.8</v>
      </c>
      <c r="X6" s="638">
        <v>1.4</v>
      </c>
      <c r="Y6" s="638"/>
      <c r="Z6" s="638">
        <v>45</v>
      </c>
      <c r="AA6" s="638"/>
      <c r="AB6" s="638"/>
      <c r="AC6" s="1239"/>
      <c r="AD6" s="638"/>
      <c r="AE6" s="638"/>
      <c r="AF6" s="638"/>
      <c r="AG6" s="446"/>
      <c r="AH6" s="638"/>
      <c r="AI6" s="638"/>
      <c r="AJ6" s="638"/>
      <c r="AK6" s="638"/>
      <c r="AL6" s="638"/>
      <c r="AM6" s="638" t="s">
        <v>1042</v>
      </c>
      <c r="AN6" s="455">
        <v>5.5</v>
      </c>
      <c r="AO6" s="1239"/>
      <c r="AP6" s="1239"/>
      <c r="AQ6" s="484"/>
      <c r="AR6" s="484"/>
      <c r="AS6" s="484"/>
      <c r="AT6" s="484">
        <f>+ab($U$6,-$T$4,$U$8,$G$5,$G$7,-1*$F$6,1200)</f>
        <v>-2.6489689882829217</v>
      </c>
      <c r="AU6" s="638"/>
      <c r="AV6" s="638"/>
      <c r="AW6" s="638" t="s">
        <v>4427</v>
      </c>
      <c r="AX6" s="638" t="s">
        <v>1371</v>
      </c>
      <c r="AY6" s="484">
        <v>3.9</v>
      </c>
      <c r="AZ6" s="484"/>
      <c r="BA6" s="1387" t="s">
        <v>2809</v>
      </c>
      <c r="BB6" s="449" t="s">
        <v>4996</v>
      </c>
      <c r="BC6" s="169" t="s">
        <v>4955</v>
      </c>
      <c r="BD6" s="1329"/>
      <c r="BE6" s="1329"/>
      <c r="BF6" s="1330"/>
      <c r="BG6" s="1329"/>
    </row>
    <row r="7" spans="1:59" ht="15.65" customHeight="1">
      <c r="A7" s="449"/>
      <c r="B7" s="445"/>
      <c r="C7" s="446"/>
      <c r="D7" s="638"/>
      <c r="E7" s="638"/>
      <c r="F7" s="447"/>
      <c r="G7" s="484">
        <v>35</v>
      </c>
      <c r="H7" s="1239"/>
      <c r="I7" s="448"/>
      <c r="J7" s="446">
        <f>C8+7.5</f>
        <v>1322.49</v>
      </c>
      <c r="K7" s="638" t="s">
        <v>2788</v>
      </c>
      <c r="L7" s="1239"/>
      <c r="M7" s="1239"/>
      <c r="N7" s="638"/>
      <c r="O7" s="638"/>
      <c r="P7" s="638"/>
      <c r="Q7" s="638"/>
      <c r="R7" s="638"/>
      <c r="S7" s="484"/>
      <c r="T7" s="638"/>
      <c r="U7" s="638"/>
      <c r="V7" s="638"/>
      <c r="W7" s="638"/>
      <c r="X7" s="638"/>
      <c r="Y7" s="638"/>
      <c r="Z7" s="638"/>
      <c r="AA7" s="638"/>
      <c r="AB7" s="638"/>
      <c r="AC7" s="1239"/>
      <c r="AD7" s="638"/>
      <c r="AE7" s="638"/>
      <c r="AF7" s="638"/>
      <c r="AG7" s="446"/>
      <c r="AH7" s="638"/>
      <c r="AI7" s="638"/>
      <c r="AJ7" s="638"/>
      <c r="AK7" s="638"/>
      <c r="AL7" s="1239"/>
      <c r="AM7" s="1239"/>
      <c r="AN7" s="455"/>
      <c r="AO7" s="1239"/>
      <c r="AP7" s="1239"/>
      <c r="AQ7" s="484">
        <f>+FL_1($U$8,$U$6,$G$7,1200,9.28,-1*$F$8)</f>
        <v>0.17476051321896163</v>
      </c>
      <c r="AR7" s="484"/>
      <c r="AS7" s="484"/>
      <c r="AT7" s="484"/>
      <c r="AU7" s="638"/>
      <c r="AV7" s="638"/>
      <c r="AW7" s="1239"/>
      <c r="AX7" s="1239"/>
      <c r="AY7" s="455"/>
      <c r="AZ7" s="455">
        <v>2.8</v>
      </c>
      <c r="BA7" s="1387" t="s">
        <v>2809</v>
      </c>
      <c r="BB7" s="449"/>
      <c r="BC7" s="169" t="s">
        <v>4955</v>
      </c>
      <c r="BD7" s="1329"/>
      <c r="BE7" s="1330"/>
      <c r="BF7" s="1330"/>
      <c r="BG7" s="1330"/>
    </row>
    <row r="8" spans="1:59" ht="15.65" customHeight="1">
      <c r="A8" s="449"/>
      <c r="B8" s="485" t="s">
        <v>4065</v>
      </c>
      <c r="C8" s="446">
        <f>C6-G7</f>
        <v>1314.99</v>
      </c>
      <c r="D8" s="638"/>
      <c r="E8" s="638"/>
      <c r="F8" s="447">
        <v>500</v>
      </c>
      <c r="G8" s="484"/>
      <c r="H8" s="1239" t="s">
        <v>620</v>
      </c>
      <c r="I8" s="448" t="s">
        <v>1039</v>
      </c>
      <c r="J8" s="446"/>
      <c r="K8" s="638"/>
      <c r="L8" s="638" t="s">
        <v>895</v>
      </c>
      <c r="M8" s="638" t="s">
        <v>5009</v>
      </c>
      <c r="N8" s="638" t="s">
        <v>143</v>
      </c>
      <c r="O8" s="638" t="s">
        <v>143</v>
      </c>
      <c r="P8" s="638"/>
      <c r="Q8" s="638"/>
      <c r="R8" s="638"/>
      <c r="S8" s="484"/>
      <c r="T8" s="638">
        <v>-70</v>
      </c>
      <c r="U8" s="638">
        <v>-25</v>
      </c>
      <c r="V8" s="638"/>
      <c r="W8" s="638">
        <v>1.8</v>
      </c>
      <c r="X8" s="638">
        <v>1.4</v>
      </c>
      <c r="Y8" s="638"/>
      <c r="Z8" s="638">
        <v>25</v>
      </c>
      <c r="AA8" s="638"/>
      <c r="AB8" s="638"/>
      <c r="AC8" s="638" t="str">
        <f>IF(OR(AT8&gt;8,AT8&lt;-8),"PH",IF(OR(AT8&gt;5,AT8&lt;-5),"PH-Q",IF(OR(AT8&gt;1,AT8&lt;-1),"PH-C")))</f>
        <v>PH-C</v>
      </c>
      <c r="AD8" s="638"/>
      <c r="AE8" s="638"/>
      <c r="AF8" s="638"/>
      <c r="AG8" s="446"/>
      <c r="AH8" s="638"/>
      <c r="AI8" s="638"/>
      <c r="AJ8" s="638"/>
      <c r="AK8" s="638"/>
      <c r="AL8" s="638"/>
      <c r="AM8" s="638" t="s">
        <v>1042</v>
      </c>
      <c r="AN8" s="455">
        <v>5.5</v>
      </c>
      <c r="AO8" s="1239"/>
      <c r="AP8" s="1239"/>
      <c r="AQ8" s="484"/>
      <c r="AR8" s="484"/>
      <c r="AS8" s="484"/>
      <c r="AT8" s="484">
        <f>+ab($T$8,$T$6,$T$10,$G$7,$G$9,-1*$F$8,1200)</f>
        <v>-2.41231780932721</v>
      </c>
      <c r="AU8" s="638"/>
      <c r="AV8" s="638"/>
      <c r="AW8" s="638" t="s">
        <v>4427</v>
      </c>
      <c r="AX8" s="638" t="s">
        <v>1371</v>
      </c>
      <c r="AY8" s="484">
        <v>3.9</v>
      </c>
      <c r="AZ8" s="484"/>
      <c r="BA8" s="1387" t="s">
        <v>2809</v>
      </c>
      <c r="BB8" s="449" t="s">
        <v>4996</v>
      </c>
      <c r="BC8" s="169" t="s">
        <v>4955</v>
      </c>
      <c r="BD8" s="1329"/>
      <c r="BE8" s="1329"/>
      <c r="BF8" s="1330"/>
      <c r="BG8" s="1329"/>
    </row>
    <row r="9" spans="1:59" ht="15.65" customHeight="1">
      <c r="A9" s="449"/>
      <c r="B9" s="445"/>
      <c r="C9" s="446"/>
      <c r="D9" s="638"/>
      <c r="E9" s="638"/>
      <c r="F9" s="447"/>
      <c r="G9" s="484">
        <v>32</v>
      </c>
      <c r="H9" s="1239"/>
      <c r="I9" s="448"/>
      <c r="J9" s="446"/>
      <c r="K9" s="638"/>
      <c r="L9" s="1239"/>
      <c r="M9" s="1239"/>
      <c r="N9" s="638"/>
      <c r="O9" s="638"/>
      <c r="P9" s="638"/>
      <c r="Q9" s="638"/>
      <c r="R9" s="638"/>
      <c r="S9" s="484"/>
      <c r="T9" s="638"/>
      <c r="U9" s="638"/>
      <c r="V9" s="638"/>
      <c r="W9" s="638"/>
      <c r="X9" s="638"/>
      <c r="Y9" s="638"/>
      <c r="Z9" s="638"/>
      <c r="AA9" s="638"/>
      <c r="AB9" s="638"/>
      <c r="AC9" s="638"/>
      <c r="AD9" s="638"/>
      <c r="AE9" s="638"/>
      <c r="AF9" s="638"/>
      <c r="AG9" s="446"/>
      <c r="AH9" s="638"/>
      <c r="AI9" s="638"/>
      <c r="AJ9" s="638"/>
      <c r="AK9" s="638"/>
      <c r="AL9" s="1239"/>
      <c r="AM9" s="1239"/>
      <c r="AN9" s="455"/>
      <c r="AO9" s="1239"/>
      <c r="AP9" s="1239"/>
      <c r="AQ9" s="484">
        <f>+FL_2($U$10,$U$8,$G$9,1200,9.28,-1*$F$10)</f>
        <v>-0.25000000000005718</v>
      </c>
      <c r="AR9" s="484"/>
      <c r="AS9" s="484"/>
      <c r="AT9" s="484"/>
      <c r="AU9" s="638"/>
      <c r="AV9" s="638"/>
      <c r="AW9" s="1239"/>
      <c r="AX9" s="1239"/>
      <c r="AY9" s="455"/>
      <c r="AZ9" s="455"/>
      <c r="BA9" s="671"/>
      <c r="BB9" s="449"/>
      <c r="BC9" s="169"/>
      <c r="BD9" s="1330"/>
      <c r="BE9" s="1330"/>
      <c r="BF9" s="1330"/>
      <c r="BG9" s="1330"/>
    </row>
    <row r="10" spans="1:59" ht="15.65" customHeight="1">
      <c r="A10" s="449"/>
      <c r="B10" s="485" t="s">
        <v>4066</v>
      </c>
      <c r="C10" s="446">
        <f>C8-G9</f>
        <v>1282.99</v>
      </c>
      <c r="D10" s="638"/>
      <c r="E10" s="638"/>
      <c r="F10" s="447">
        <v>500</v>
      </c>
      <c r="G10" s="484"/>
      <c r="H10" s="1239" t="s">
        <v>620</v>
      </c>
      <c r="I10" s="448"/>
      <c r="J10" s="446"/>
      <c r="K10" s="638"/>
      <c r="L10" s="449" t="s">
        <v>895</v>
      </c>
      <c r="M10" s="638" t="s">
        <v>4995</v>
      </c>
      <c r="N10" s="638" t="s">
        <v>143</v>
      </c>
      <c r="O10" s="638" t="s">
        <v>143</v>
      </c>
      <c r="P10" s="449"/>
      <c r="Q10" s="449"/>
      <c r="R10" s="449"/>
      <c r="S10" s="484"/>
      <c r="T10" s="638">
        <v>-30</v>
      </c>
      <c r="U10" s="638">
        <v>15</v>
      </c>
      <c r="V10" s="449"/>
      <c r="W10" s="638">
        <v>1.8</v>
      </c>
      <c r="X10" s="638">
        <v>1.4</v>
      </c>
      <c r="Y10" s="638"/>
      <c r="Z10" s="638"/>
      <c r="AA10" s="638">
        <v>25</v>
      </c>
      <c r="AB10" s="638"/>
      <c r="AC10" s="638" t="str">
        <f>IF(OR(AT10&gt;8,AT10&lt;-8),"PH",IF(OR(AT10&gt;5,AT10&lt;-5),"PH-Q",IF(OR(AT10&gt;1,AT10&lt;-1),"PH-C")))</f>
        <v>PH-C</v>
      </c>
      <c r="AD10" s="449"/>
      <c r="AE10" s="449"/>
      <c r="AF10" s="449"/>
      <c r="AG10" s="446"/>
      <c r="AH10" s="449"/>
      <c r="AI10" s="449"/>
      <c r="AJ10" s="449"/>
      <c r="AK10" s="449"/>
      <c r="AL10" s="449"/>
      <c r="AM10" s="449" t="s">
        <v>1042</v>
      </c>
      <c r="AN10" s="455">
        <v>5.5</v>
      </c>
      <c r="AO10" s="1239"/>
      <c r="AP10" s="1239"/>
      <c r="AQ10" s="484"/>
      <c r="AR10" s="484"/>
      <c r="AS10" s="484"/>
      <c r="AT10" s="484">
        <f>+ab($T$10,$T$8,$T$12,$G$9,$G$11,-1*$F$10,1200)</f>
        <v>-3.7208316995415975</v>
      </c>
      <c r="AU10" s="638"/>
      <c r="AV10" s="638"/>
      <c r="AW10" s="638" t="s">
        <v>4427</v>
      </c>
      <c r="AX10" s="638" t="s">
        <v>4434</v>
      </c>
      <c r="AY10" s="484">
        <v>4.5</v>
      </c>
      <c r="AZ10" s="484"/>
      <c r="BA10" s="1387" t="s">
        <v>2809</v>
      </c>
      <c r="BB10" s="449" t="s">
        <v>4996</v>
      </c>
      <c r="BC10" s="169" t="s">
        <v>4955</v>
      </c>
      <c r="BD10" s="1329"/>
      <c r="BE10" s="1329"/>
      <c r="BF10" s="1330"/>
      <c r="BG10" s="1329"/>
    </row>
    <row r="11" spans="1:59" ht="15.65" customHeight="1">
      <c r="A11" s="449"/>
      <c r="B11" s="445"/>
      <c r="C11" s="446"/>
      <c r="D11" s="638"/>
      <c r="E11" s="638"/>
      <c r="F11" s="447"/>
      <c r="G11" s="484">
        <v>32</v>
      </c>
      <c r="H11" s="1239"/>
      <c r="I11" s="448"/>
      <c r="J11" s="446"/>
      <c r="K11" s="638"/>
      <c r="L11" s="1239"/>
      <c r="M11" s="1239"/>
      <c r="N11" s="638"/>
      <c r="O11" s="638"/>
      <c r="P11" s="638"/>
      <c r="Q11" s="638"/>
      <c r="R11" s="638"/>
      <c r="S11" s="484"/>
      <c r="T11" s="638"/>
      <c r="U11" s="638"/>
      <c r="V11" s="638"/>
      <c r="W11" s="638"/>
      <c r="X11" s="638"/>
      <c r="Y11" s="638"/>
      <c r="Z11" s="638"/>
      <c r="AA11" s="638"/>
      <c r="AB11" s="638"/>
      <c r="AC11" s="638"/>
      <c r="AD11" s="638"/>
      <c r="AE11" s="638"/>
      <c r="AF11" s="638"/>
      <c r="AG11" s="446"/>
      <c r="AH11" s="638"/>
      <c r="AI11" s="638"/>
      <c r="AJ11" s="638"/>
      <c r="AK11" s="638"/>
      <c r="AL11" s="1239"/>
      <c r="AM11" s="1239"/>
      <c r="AN11" s="455"/>
      <c r="AO11" s="1239"/>
      <c r="AP11" s="1239"/>
      <c r="AQ11" s="484">
        <f>+FL_2($U$12,$U$10,$G$11,1200,9.28,-1*$F$12)</f>
        <v>0.14999999999991356</v>
      </c>
      <c r="AR11" s="484"/>
      <c r="AS11" s="484"/>
      <c r="AT11" s="484"/>
      <c r="AU11" s="638"/>
      <c r="AV11" s="638"/>
      <c r="AW11" s="1239"/>
      <c r="AX11" s="1239"/>
      <c r="AY11" s="455"/>
      <c r="AZ11" s="455"/>
      <c r="BA11" s="671"/>
      <c r="BB11" s="449"/>
      <c r="BC11" s="169"/>
      <c r="BD11" s="1330"/>
      <c r="BE11" s="1330"/>
      <c r="BF11" s="1330"/>
      <c r="BG11" s="1330"/>
    </row>
    <row r="12" spans="1:59" ht="15.65" customHeight="1">
      <c r="A12" s="449" t="s">
        <v>4071</v>
      </c>
      <c r="B12" s="485" t="s">
        <v>4067</v>
      </c>
      <c r="C12" s="446">
        <f>C10-G11</f>
        <v>1250.99</v>
      </c>
      <c r="D12" s="638"/>
      <c r="E12" s="638"/>
      <c r="F12" s="447">
        <v>800</v>
      </c>
      <c r="G12" s="484"/>
      <c r="H12" s="1239" t="s">
        <v>619</v>
      </c>
      <c r="I12" s="448" t="s">
        <v>1429</v>
      </c>
      <c r="J12" s="446"/>
      <c r="K12" s="638"/>
      <c r="L12" s="449" t="s">
        <v>895</v>
      </c>
      <c r="M12" s="638" t="s">
        <v>4995</v>
      </c>
      <c r="N12" s="638" t="s">
        <v>143</v>
      </c>
      <c r="O12" s="638" t="s">
        <v>140</v>
      </c>
      <c r="P12" s="449"/>
      <c r="Q12" s="449"/>
      <c r="R12" s="449"/>
      <c r="S12" s="484"/>
      <c r="T12" s="638">
        <v>-30</v>
      </c>
      <c r="U12" s="638">
        <v>15</v>
      </c>
      <c r="V12" s="449"/>
      <c r="W12" s="638">
        <v>1.8</v>
      </c>
      <c r="X12" s="638">
        <v>1.4</v>
      </c>
      <c r="Y12" s="638"/>
      <c r="Z12" s="638"/>
      <c r="AA12" s="638">
        <v>45</v>
      </c>
      <c r="AB12" s="638"/>
      <c r="AC12" s="638" t="str">
        <f>IF(OR(AT12&gt;8,AT12&lt;-8),"PH",IF(OR(AT12&gt;5,AT12&lt;-5),"PH-Q",IF(OR(AT12&gt;1,AT12&lt;-1),"PH-C")))</f>
        <v>PH-C</v>
      </c>
      <c r="AD12" s="449"/>
      <c r="AE12" s="449"/>
      <c r="AF12" s="449"/>
      <c r="AG12" s="446"/>
      <c r="AH12" s="449"/>
      <c r="AI12" s="449"/>
      <c r="AJ12" s="449" t="s">
        <v>877</v>
      </c>
      <c r="AK12" s="449"/>
      <c r="AL12" s="449"/>
      <c r="AM12" s="449" t="s">
        <v>1042</v>
      </c>
      <c r="AN12" s="455">
        <v>5.5</v>
      </c>
      <c r="AO12" s="1239"/>
      <c r="AP12" s="1239"/>
      <c r="AQ12" s="484"/>
      <c r="AR12" s="484"/>
      <c r="AS12" s="484"/>
      <c r="AT12" s="484">
        <f>+ab($T$12,$T$10,$T$14,$G$11,$G$13,-1*$F$12,1200)</f>
        <v>-3.1935627632237846</v>
      </c>
      <c r="AU12" s="638"/>
      <c r="AV12" s="638"/>
      <c r="AW12" s="638" t="s">
        <v>4427</v>
      </c>
      <c r="AX12" s="638" t="s">
        <v>4434</v>
      </c>
      <c r="AY12" s="484">
        <v>4.5</v>
      </c>
      <c r="AZ12" s="484"/>
      <c r="BA12" s="1387" t="s">
        <v>2809</v>
      </c>
      <c r="BB12" s="449" t="s">
        <v>4996</v>
      </c>
      <c r="BC12" s="169" t="s">
        <v>4955</v>
      </c>
      <c r="BD12" s="1329"/>
      <c r="BE12" s="1329"/>
      <c r="BF12" s="1330"/>
      <c r="BG12" s="1329"/>
    </row>
    <row r="13" spans="1:59" ht="15.65" customHeight="1" thickBot="1">
      <c r="A13" s="1402" t="s">
        <v>5006</v>
      </c>
      <c r="B13" s="1403"/>
      <c r="C13" s="1404"/>
      <c r="D13" s="1405"/>
      <c r="E13" s="1405"/>
      <c r="F13" s="1406"/>
      <c r="G13" s="1407">
        <v>40.1</v>
      </c>
      <c r="H13" s="1389"/>
      <c r="I13" s="1392">
        <v>335</v>
      </c>
      <c r="J13" s="1404"/>
      <c r="K13" s="1405"/>
      <c r="L13" s="1389"/>
      <c r="M13" s="1389"/>
      <c r="N13" s="1405"/>
      <c r="O13" s="1405"/>
      <c r="P13" s="1405"/>
      <c r="Q13" s="1405"/>
      <c r="R13" s="1405"/>
      <c r="S13" s="1407"/>
      <c r="T13" s="1405"/>
      <c r="U13" s="1405"/>
      <c r="V13" s="1405"/>
      <c r="W13" s="1405"/>
      <c r="X13" s="1405"/>
      <c r="Y13" s="1405"/>
      <c r="Z13" s="1405"/>
      <c r="AA13" s="1405"/>
      <c r="AB13" s="1405"/>
      <c r="AC13" s="1405"/>
      <c r="AD13" s="1405"/>
      <c r="AE13" s="1405"/>
      <c r="AF13" s="1405"/>
      <c r="AG13" s="1404"/>
      <c r="AH13" s="1405"/>
      <c r="AI13" s="1405"/>
      <c r="AJ13" s="1405" t="s">
        <v>1665</v>
      </c>
      <c r="AK13" s="1405"/>
      <c r="AL13" s="1389"/>
      <c r="AM13" s="1389"/>
      <c r="AN13" s="1393"/>
      <c r="AO13" s="1389"/>
      <c r="AP13" s="1389"/>
      <c r="AQ13" s="1407">
        <f>+FL_1($T$14,$T$12,$G$13,1200,9.28,-1*$F$14)</f>
        <v>0.30019045120532001</v>
      </c>
      <c r="AR13" s="1407"/>
      <c r="AS13" s="1407"/>
      <c r="AT13" s="1407"/>
      <c r="AU13" s="1405"/>
      <c r="AV13" s="1405"/>
      <c r="AW13" s="1389"/>
      <c r="AX13" s="1389"/>
      <c r="AY13" s="1393"/>
      <c r="AZ13" s="1393"/>
      <c r="BA13" s="1394"/>
      <c r="BB13" s="1402"/>
      <c r="BC13" s="169"/>
      <c r="BD13" s="1330"/>
      <c r="BE13" s="1330"/>
      <c r="BF13" s="1330"/>
      <c r="BG13" s="1330"/>
    </row>
    <row r="14" spans="1:59" ht="15.65" customHeight="1" thickTop="1">
      <c r="A14" s="1408"/>
      <c r="B14" s="1409" t="s">
        <v>4068</v>
      </c>
      <c r="C14" s="1410">
        <f>C12-G13</f>
        <v>1210.8900000000001</v>
      </c>
      <c r="D14" s="1411"/>
      <c r="E14" s="1411"/>
      <c r="F14" s="1412">
        <v>0</v>
      </c>
      <c r="G14" s="1413"/>
      <c r="H14" s="1395" t="s">
        <v>138</v>
      </c>
      <c r="I14" s="1398" t="s">
        <v>623</v>
      </c>
      <c r="J14" s="1410"/>
      <c r="K14" s="1411"/>
      <c r="L14" s="1411" t="s">
        <v>898</v>
      </c>
      <c r="M14" s="638" t="s">
        <v>1520</v>
      </c>
      <c r="N14" s="1411" t="s">
        <v>144</v>
      </c>
      <c r="O14" s="1411"/>
      <c r="P14" s="1411"/>
      <c r="Q14" s="1411"/>
      <c r="R14" s="1411"/>
      <c r="S14" s="1413"/>
      <c r="T14" s="1411">
        <v>30</v>
      </c>
      <c r="U14" s="1411"/>
      <c r="V14" s="1411"/>
      <c r="W14" s="1411">
        <v>1.4</v>
      </c>
      <c r="X14" s="1411"/>
      <c r="Y14" s="1411"/>
      <c r="Z14" s="1411"/>
      <c r="AA14" s="1411"/>
      <c r="AB14" s="1411"/>
      <c r="AC14" s="1411" t="str">
        <f>IF(OR(AT14&gt;8,AT14&lt;-8),"PH",IF(OR(AT14&gt;5,AT14&lt;-5),"PH-Q",IF(OR(AT14&gt;1,AT14&lt;-1),"PH-C")))</f>
        <v>PH-Q</v>
      </c>
      <c r="AD14" s="1411"/>
      <c r="AE14" s="1411"/>
      <c r="AF14" s="1411"/>
      <c r="AG14" s="1410"/>
      <c r="AH14" s="1411"/>
      <c r="AI14" s="1411"/>
      <c r="AJ14" s="1411"/>
      <c r="AK14" s="1411"/>
      <c r="AL14" s="1411"/>
      <c r="AM14" s="1411" t="s">
        <v>1042</v>
      </c>
      <c r="AN14" s="1399">
        <v>5.5</v>
      </c>
      <c r="AO14" s="1395"/>
      <c r="AP14" s="1395"/>
      <c r="AQ14" s="1413"/>
      <c r="AR14" s="1413"/>
      <c r="AS14" s="1413"/>
      <c r="AT14" s="1413">
        <f>+ab($T$14,$T$12,$T$16,$G$13,$G$15,-1*$F$14,1200)</f>
        <v>7.0807155584002635</v>
      </c>
      <c r="AU14" s="1411"/>
      <c r="AV14" s="1411"/>
      <c r="AW14" s="1411" t="s">
        <v>4427</v>
      </c>
      <c r="AX14" s="1411" t="s">
        <v>4434</v>
      </c>
      <c r="AY14" s="1413">
        <v>4.2</v>
      </c>
      <c r="AZ14" s="1413"/>
      <c r="BA14" s="1387" t="s">
        <v>2809</v>
      </c>
      <c r="BB14" s="1408" t="s">
        <v>5011</v>
      </c>
      <c r="BC14" s="169" t="s">
        <v>4955</v>
      </c>
      <c r="BD14" s="1329"/>
      <c r="BE14" s="1329"/>
      <c r="BF14" s="1330"/>
      <c r="BG14" s="1329"/>
    </row>
    <row r="15" spans="1:59" ht="15.65" customHeight="1">
      <c r="A15" s="449"/>
      <c r="B15" s="445"/>
      <c r="C15" s="446"/>
      <c r="D15" s="638"/>
      <c r="E15" s="638"/>
      <c r="F15" s="447"/>
      <c r="G15" s="484">
        <v>50</v>
      </c>
      <c r="H15" s="1239"/>
      <c r="I15" s="448"/>
      <c r="J15" s="446">
        <f>C14-7.5</f>
        <v>1203.3900000000001</v>
      </c>
      <c r="K15" s="638" t="s">
        <v>1662</v>
      </c>
      <c r="L15" s="1239"/>
      <c r="M15" s="1239"/>
      <c r="N15" s="638"/>
      <c r="O15" s="638"/>
      <c r="P15" s="638"/>
      <c r="Q15" s="638"/>
      <c r="R15" s="638"/>
      <c r="S15" s="484"/>
      <c r="T15" s="638"/>
      <c r="U15" s="638"/>
      <c r="V15" s="638"/>
      <c r="W15" s="638"/>
      <c r="X15" s="638"/>
      <c r="Y15" s="638"/>
      <c r="Z15" s="638"/>
      <c r="AA15" s="638"/>
      <c r="AB15" s="638"/>
      <c r="AC15" s="638"/>
      <c r="AD15" s="638"/>
      <c r="AE15" s="638"/>
      <c r="AF15" s="638"/>
      <c r="AG15" s="446"/>
      <c r="AH15" s="638"/>
      <c r="AI15" s="638"/>
      <c r="AJ15" s="638"/>
      <c r="AK15" s="638"/>
      <c r="AL15" s="1239"/>
      <c r="AM15" s="1239"/>
      <c r="AN15" s="455"/>
      <c r="AO15" s="1239"/>
      <c r="AP15" s="1239"/>
      <c r="AQ15" s="484">
        <f>+FL_1($T$16,$T$14,$G$15,1200,9.28,-1*$F$16)</f>
        <v>0.50017210576950766</v>
      </c>
      <c r="AR15" s="484"/>
      <c r="AS15" s="484"/>
      <c r="AT15" s="484"/>
      <c r="AU15" s="638"/>
      <c r="AV15" s="638"/>
      <c r="AW15" s="1239"/>
      <c r="AX15" s="1239"/>
      <c r="AY15" s="455"/>
      <c r="AZ15" s="455">
        <v>3.3</v>
      </c>
      <c r="BA15" s="1387" t="s">
        <v>2809</v>
      </c>
      <c r="BB15" s="449"/>
      <c r="BC15" s="169" t="s">
        <v>4955</v>
      </c>
      <c r="BD15" s="1329"/>
      <c r="BE15" s="1330"/>
      <c r="BF15" s="1330"/>
      <c r="BG15" s="1330"/>
    </row>
    <row r="16" spans="1:59" ht="15.65" customHeight="1">
      <c r="A16" s="449"/>
      <c r="B16" s="485" t="s">
        <v>4069</v>
      </c>
      <c r="C16" s="446">
        <f>C14-G15</f>
        <v>1160.8900000000001</v>
      </c>
      <c r="D16" s="638"/>
      <c r="E16" s="638"/>
      <c r="F16" s="447">
        <v>1498.7</v>
      </c>
      <c r="G16" s="484"/>
      <c r="H16" s="1239"/>
      <c r="I16" s="448"/>
      <c r="J16" s="446"/>
      <c r="K16" s="638"/>
      <c r="L16" s="638" t="s">
        <v>230</v>
      </c>
      <c r="M16" s="638" t="s">
        <v>1520</v>
      </c>
      <c r="N16" s="638" t="s">
        <v>143</v>
      </c>
      <c r="O16" s="638"/>
      <c r="P16" s="638"/>
      <c r="Q16" s="638"/>
      <c r="R16" s="638"/>
      <c r="S16" s="484"/>
      <c r="T16" s="638">
        <v>-30</v>
      </c>
      <c r="U16" s="638"/>
      <c r="V16" s="638"/>
      <c r="W16" s="638">
        <v>1.4</v>
      </c>
      <c r="X16" s="638"/>
      <c r="Y16" s="638"/>
      <c r="Z16" s="638"/>
      <c r="AA16" s="638"/>
      <c r="AB16" s="638"/>
      <c r="AC16" s="638" t="str">
        <f>IF(OR(AT16&gt;8,AT16&lt;-8),"PH",IF(OR(AT16&gt;5,AT16&lt;-5),"PH-Q",IF(OR(AT16&gt;1,AT16&lt;-1),"PH-C")))</f>
        <v>PH-C</v>
      </c>
      <c r="AD16" s="638"/>
      <c r="AE16" s="638"/>
      <c r="AF16" s="638"/>
      <c r="AG16" s="446"/>
      <c r="AH16" s="638"/>
      <c r="AI16" s="638"/>
      <c r="AJ16" s="638"/>
      <c r="AK16" s="638"/>
      <c r="AL16" s="638"/>
      <c r="AM16" s="638" t="s">
        <v>1042</v>
      </c>
      <c r="AN16" s="455">
        <v>5.5</v>
      </c>
      <c r="AO16" s="1239"/>
      <c r="AP16" s="1239"/>
      <c r="AQ16" s="484"/>
      <c r="AR16" s="484"/>
      <c r="AS16" s="484"/>
      <c r="AT16" s="484">
        <f>+ab($T$16,$T$14,$T$18,$G$15,$G$17,-1*$F$16,1200)</f>
        <v>-4.2225669592505932</v>
      </c>
      <c r="AU16" s="638"/>
      <c r="AV16" s="638"/>
      <c r="AW16" s="638" t="s">
        <v>4427</v>
      </c>
      <c r="AX16" s="638" t="s">
        <v>4434</v>
      </c>
      <c r="AY16" s="1413">
        <v>4.2</v>
      </c>
      <c r="AZ16" s="484"/>
      <c r="BA16" s="1387" t="s">
        <v>2809</v>
      </c>
      <c r="BB16" s="449" t="s">
        <v>5012</v>
      </c>
      <c r="BC16" s="169" t="s">
        <v>4955</v>
      </c>
      <c r="BD16" s="1329"/>
      <c r="BE16" s="1329"/>
      <c r="BF16" s="1330"/>
      <c r="BG16" s="1329"/>
    </row>
    <row r="17" spans="1:59" ht="15.65" customHeight="1">
      <c r="A17" s="449"/>
      <c r="B17" s="445"/>
      <c r="C17" s="446"/>
      <c r="D17" s="638"/>
      <c r="E17" s="638"/>
      <c r="F17" s="447"/>
      <c r="G17" s="484">
        <v>50</v>
      </c>
      <c r="H17" s="1239"/>
      <c r="I17" s="448"/>
      <c r="J17" s="446"/>
      <c r="K17" s="638"/>
      <c r="L17" s="1239"/>
      <c r="M17" s="1239"/>
      <c r="N17" s="638"/>
      <c r="O17" s="638"/>
      <c r="P17" s="638"/>
      <c r="Q17" s="638"/>
      <c r="R17" s="638"/>
      <c r="S17" s="484"/>
      <c r="T17" s="638"/>
      <c r="U17" s="638"/>
      <c r="V17" s="638"/>
      <c r="W17" s="638"/>
      <c r="X17" s="638"/>
      <c r="Y17" s="638"/>
      <c r="Z17" s="638"/>
      <c r="AA17" s="638"/>
      <c r="AB17" s="638"/>
      <c r="AC17" s="1239"/>
      <c r="AD17" s="638"/>
      <c r="AE17" s="638"/>
      <c r="AF17" s="638"/>
      <c r="AG17" s="446"/>
      <c r="AH17" s="638"/>
      <c r="AI17" s="638"/>
      <c r="AJ17" s="638"/>
      <c r="AK17" s="638"/>
      <c r="AL17" s="1239"/>
      <c r="AM17" s="1239"/>
      <c r="AN17" s="455"/>
      <c r="AO17" s="1239"/>
      <c r="AP17" s="1239"/>
      <c r="AQ17" s="484">
        <f>+FL_2($T$18,$T$16,$G$17,1200,9.28,-1*$F$18)</f>
        <v>-0.30003394615832168</v>
      </c>
      <c r="AR17" s="484"/>
      <c r="AS17" s="484"/>
      <c r="AT17" s="484"/>
      <c r="AU17" s="638"/>
      <c r="AV17" s="638"/>
      <c r="AW17" s="638"/>
      <c r="AX17" s="1239"/>
      <c r="AY17" s="455"/>
      <c r="AZ17" s="455"/>
      <c r="BA17" s="671"/>
      <c r="BB17" s="449"/>
      <c r="BC17" s="169"/>
      <c r="BD17" s="1330"/>
      <c r="BE17" s="1330"/>
      <c r="BF17" s="1330"/>
      <c r="BG17" s="1330"/>
    </row>
    <row r="18" spans="1:59" ht="15.65" customHeight="1">
      <c r="A18" s="449"/>
      <c r="B18" s="485" t="s">
        <v>4070</v>
      </c>
      <c r="C18" s="446">
        <f>C16-G17</f>
        <v>1110.8900000000001</v>
      </c>
      <c r="D18" s="638"/>
      <c r="E18" s="638"/>
      <c r="F18" s="447">
        <v>1100</v>
      </c>
      <c r="G18" s="484"/>
      <c r="H18" s="1239"/>
      <c r="I18" s="448"/>
      <c r="J18" s="446"/>
      <c r="K18" s="638"/>
      <c r="L18" s="638" t="s">
        <v>230</v>
      </c>
      <c r="M18" s="638" t="s">
        <v>1520</v>
      </c>
      <c r="N18" s="638" t="s">
        <v>143</v>
      </c>
      <c r="O18" s="638"/>
      <c r="P18" s="638"/>
      <c r="Q18" s="638"/>
      <c r="R18" s="638"/>
      <c r="S18" s="484"/>
      <c r="T18" s="638">
        <v>-30</v>
      </c>
      <c r="U18" s="638"/>
      <c r="V18" s="638"/>
      <c r="W18" s="638">
        <v>1.4</v>
      </c>
      <c r="X18" s="638"/>
      <c r="Y18" s="638"/>
      <c r="Z18" s="638"/>
      <c r="AA18" s="638"/>
      <c r="AB18" s="638"/>
      <c r="AC18" s="1239" t="str">
        <f>IF(OR(AT18&gt;8,AT18&lt;-8),"PH",IF(OR(AT18&gt;5,AT18&lt;-5),"PH-Q",IF(OR(AT18&gt;1,AT18&lt;-1),"PH-C")))</f>
        <v>PH-C</v>
      </c>
      <c r="AD18" s="638"/>
      <c r="AE18" s="638"/>
      <c r="AF18" s="638"/>
      <c r="AG18" s="446"/>
      <c r="AH18" s="638"/>
      <c r="AI18" s="638"/>
      <c r="AJ18" s="638"/>
      <c r="AK18" s="638"/>
      <c r="AL18" s="638"/>
      <c r="AM18" s="638" t="s">
        <v>1042</v>
      </c>
      <c r="AN18" s="455">
        <v>5.5</v>
      </c>
      <c r="AO18" s="1239"/>
      <c r="AP18" s="1239"/>
      <c r="AQ18" s="484"/>
      <c r="AR18" s="484"/>
      <c r="AS18" s="484"/>
      <c r="AT18" s="484">
        <f>+ab($T$18,$T$16,$T$20,$G$17,$G$19,-1*$F$18,1200)</f>
        <v>-4.2140237031344459</v>
      </c>
      <c r="AU18" s="638"/>
      <c r="AV18" s="638"/>
      <c r="AW18" s="638" t="s">
        <v>4427</v>
      </c>
      <c r="AX18" s="638" t="s">
        <v>4434</v>
      </c>
      <c r="AY18" s="1413">
        <v>4.2</v>
      </c>
      <c r="AZ18" s="484"/>
      <c r="BA18" s="1387" t="s">
        <v>2809</v>
      </c>
      <c r="BB18" s="449" t="s">
        <v>5012</v>
      </c>
      <c r="BC18" s="169" t="s">
        <v>4955</v>
      </c>
      <c r="BD18" s="1329"/>
      <c r="BE18" s="1329"/>
      <c r="BF18" s="1330"/>
      <c r="BG18" s="1329"/>
    </row>
    <row r="19" spans="1:59" ht="15.65" customHeight="1">
      <c r="A19" s="449"/>
      <c r="B19" s="445"/>
      <c r="C19" s="446"/>
      <c r="D19" s="638"/>
      <c r="E19" s="638"/>
      <c r="F19" s="447"/>
      <c r="G19" s="484">
        <v>50</v>
      </c>
      <c r="H19" s="1239"/>
      <c r="I19" s="448"/>
      <c r="J19" s="446"/>
      <c r="K19" s="638"/>
      <c r="L19" s="1239"/>
      <c r="M19" s="1239"/>
      <c r="N19" s="638"/>
      <c r="O19" s="638"/>
      <c r="P19" s="638"/>
      <c r="Q19" s="638"/>
      <c r="R19" s="638"/>
      <c r="S19" s="484"/>
      <c r="T19" s="638"/>
      <c r="U19" s="638"/>
      <c r="V19" s="638"/>
      <c r="W19" s="638"/>
      <c r="X19" s="638"/>
      <c r="Y19" s="638"/>
      <c r="Z19" s="638"/>
      <c r="AA19" s="638"/>
      <c r="AB19" s="638"/>
      <c r="AC19" s="1239"/>
      <c r="AD19" s="638"/>
      <c r="AE19" s="638"/>
      <c r="AF19" s="638"/>
      <c r="AG19" s="446"/>
      <c r="AH19" s="638"/>
      <c r="AI19" s="638"/>
      <c r="AJ19" s="638"/>
      <c r="AK19" s="638"/>
      <c r="AL19" s="1239"/>
      <c r="AM19" s="1239"/>
      <c r="AN19" s="455"/>
      <c r="AO19" s="1239"/>
      <c r="AP19" s="1239"/>
      <c r="AQ19" s="484">
        <f>+FL_2($T$20,$T$18,$G$19,1200,9.28,-1*$F$20)</f>
        <v>-0.30003394615832168</v>
      </c>
      <c r="AR19" s="484"/>
      <c r="AS19" s="484"/>
      <c r="AT19" s="484"/>
      <c r="AU19" s="638"/>
      <c r="AV19" s="638"/>
      <c r="AW19" s="1239"/>
      <c r="AX19" s="1239"/>
      <c r="AY19" s="455"/>
      <c r="AZ19" s="455"/>
      <c r="BA19" s="671"/>
      <c r="BB19" s="449"/>
      <c r="BC19" s="169"/>
      <c r="BD19" s="1330"/>
      <c r="BE19" s="1330"/>
      <c r="BF19" s="1330"/>
      <c r="BG19" s="1330"/>
    </row>
    <row r="20" spans="1:59" ht="15.65" customHeight="1">
      <c r="A20" s="449"/>
      <c r="B20" s="485" t="s">
        <v>4062</v>
      </c>
      <c r="C20" s="446">
        <f>C18-G19</f>
        <v>1060.8900000000001</v>
      </c>
      <c r="D20" s="638"/>
      <c r="E20" s="638"/>
      <c r="F20" s="447">
        <v>1100</v>
      </c>
      <c r="G20" s="484"/>
      <c r="H20" s="1239"/>
      <c r="I20" s="448"/>
      <c r="J20" s="446"/>
      <c r="K20" s="638"/>
      <c r="L20" s="638" t="s">
        <v>230</v>
      </c>
      <c r="M20" s="638" t="s">
        <v>1520</v>
      </c>
      <c r="N20" s="638" t="s">
        <v>143</v>
      </c>
      <c r="O20" s="638"/>
      <c r="P20" s="638"/>
      <c r="Q20" s="638"/>
      <c r="R20" s="638"/>
      <c r="S20" s="484"/>
      <c r="T20" s="638">
        <v>-30</v>
      </c>
      <c r="U20" s="638"/>
      <c r="V20" s="638"/>
      <c r="W20" s="638">
        <v>1.4</v>
      </c>
      <c r="X20" s="638"/>
      <c r="Y20" s="638"/>
      <c r="Z20" s="638"/>
      <c r="AA20" s="638"/>
      <c r="AB20" s="638"/>
      <c r="AC20" s="1239" t="str">
        <f>IF(OR(AT20&gt;8,AT20&lt;-8),"PH",IF(OR(AT20&gt;5,AT20&lt;-5),"PH-Q",IF(OR(AT20&gt;1,AT20&lt;-1),"PH-C")))</f>
        <v>PH-C</v>
      </c>
      <c r="AD20" s="638"/>
      <c r="AE20" s="638"/>
      <c r="AF20" s="638"/>
      <c r="AG20" s="446"/>
      <c r="AH20" s="638"/>
      <c r="AI20" s="638"/>
      <c r="AJ20" s="638"/>
      <c r="AK20" s="638"/>
      <c r="AL20" s="638"/>
      <c r="AM20" s="638" t="s">
        <v>1042</v>
      </c>
      <c r="AN20" s="455">
        <v>5.5</v>
      </c>
      <c r="AO20" s="1239"/>
      <c r="AP20" s="1239"/>
      <c r="AQ20" s="484"/>
      <c r="AR20" s="484"/>
      <c r="AS20" s="484"/>
      <c r="AT20" s="484">
        <f>+ab($T$20,$T$18,$T$22,$G$19,$G$21,-1*$F$20,1200)</f>
        <v>-4.2140237031344459</v>
      </c>
      <c r="AU20" s="638"/>
      <c r="AV20" s="638"/>
      <c r="AW20" s="638" t="s">
        <v>4427</v>
      </c>
      <c r="AX20" s="638" t="s">
        <v>4434</v>
      </c>
      <c r="AY20" s="1413">
        <v>4.2</v>
      </c>
      <c r="AZ20" s="484"/>
      <c r="BA20" s="1387" t="s">
        <v>2809</v>
      </c>
      <c r="BB20" s="449" t="s">
        <v>5012</v>
      </c>
      <c r="BC20" s="169" t="s">
        <v>4955</v>
      </c>
      <c r="BD20" s="1329"/>
      <c r="BE20" s="1329"/>
      <c r="BF20" s="1330"/>
      <c r="BG20" s="1329"/>
    </row>
    <row r="21" spans="1:59" ht="15.65" customHeight="1">
      <c r="A21" s="449"/>
      <c r="B21" s="445"/>
      <c r="C21" s="446"/>
      <c r="D21" s="638"/>
      <c r="E21" s="638"/>
      <c r="F21" s="447"/>
      <c r="G21" s="484">
        <v>50</v>
      </c>
      <c r="H21" s="1239"/>
      <c r="I21" s="448"/>
      <c r="J21" s="446"/>
      <c r="K21" s="638"/>
      <c r="L21" s="1239"/>
      <c r="M21" s="1239"/>
      <c r="N21" s="638"/>
      <c r="O21" s="638"/>
      <c r="P21" s="638"/>
      <c r="Q21" s="638"/>
      <c r="R21" s="638"/>
      <c r="S21" s="484"/>
      <c r="T21" s="638"/>
      <c r="U21" s="638"/>
      <c r="V21" s="638"/>
      <c r="W21" s="638"/>
      <c r="X21" s="638"/>
      <c r="Y21" s="638"/>
      <c r="Z21" s="638"/>
      <c r="AA21" s="638"/>
      <c r="AB21" s="638"/>
      <c r="AC21" s="1239"/>
      <c r="AD21" s="638"/>
      <c r="AE21" s="638"/>
      <c r="AF21" s="638"/>
      <c r="AG21" s="446"/>
      <c r="AH21" s="638"/>
      <c r="AI21" s="638"/>
      <c r="AJ21" s="638"/>
      <c r="AK21" s="638"/>
      <c r="AL21" s="1239"/>
      <c r="AM21" s="1239"/>
      <c r="AN21" s="455"/>
      <c r="AO21" s="1239"/>
      <c r="AP21" s="1239"/>
      <c r="AQ21" s="484">
        <f>+FL_2($T$22,$T$20,$G$21,1200,9.28,-1*$F$22)</f>
        <v>-0.30003394615832168</v>
      </c>
      <c r="AR21" s="484"/>
      <c r="AS21" s="484"/>
      <c r="AT21" s="484"/>
      <c r="AU21" s="638"/>
      <c r="AV21" s="638"/>
      <c r="AW21" s="1239"/>
      <c r="AX21" s="1239"/>
      <c r="AY21" s="455"/>
      <c r="AZ21" s="455"/>
      <c r="BA21" s="671"/>
      <c r="BB21" s="449"/>
      <c r="BC21" s="169"/>
      <c r="BD21" s="1330"/>
      <c r="BE21" s="1330"/>
      <c r="BF21" s="1330"/>
      <c r="BG21" s="1330"/>
    </row>
    <row r="22" spans="1:59" ht="15.65" customHeight="1">
      <c r="A22" s="449"/>
      <c r="B22" s="485" t="s">
        <v>4061</v>
      </c>
      <c r="C22" s="446">
        <f>C20-G21</f>
        <v>1010.8900000000001</v>
      </c>
      <c r="D22" s="638"/>
      <c r="E22" s="638"/>
      <c r="F22" s="447">
        <v>1100</v>
      </c>
      <c r="G22" s="484"/>
      <c r="H22" s="1239"/>
      <c r="I22" s="448"/>
      <c r="J22" s="446"/>
      <c r="K22" s="638"/>
      <c r="L22" s="638" t="s">
        <v>230</v>
      </c>
      <c r="M22" s="638" t="s">
        <v>1520</v>
      </c>
      <c r="N22" s="638" t="s">
        <v>143</v>
      </c>
      <c r="O22" s="638"/>
      <c r="P22" s="638"/>
      <c r="Q22" s="638"/>
      <c r="R22" s="638"/>
      <c r="S22" s="484"/>
      <c r="T22" s="638">
        <v>-30</v>
      </c>
      <c r="U22" s="638"/>
      <c r="V22" s="638"/>
      <c r="W22" s="638">
        <v>1.4</v>
      </c>
      <c r="X22" s="638"/>
      <c r="Y22" s="638"/>
      <c r="Z22" s="638"/>
      <c r="AA22" s="638"/>
      <c r="AB22" s="638"/>
      <c r="AC22" s="1239" t="str">
        <f>IF(OR(AT22&gt;8,AT22&lt;-8),"PH",IF(OR(AT22&gt;5,AT22&lt;-5),"PH-Q",IF(OR(AT22&gt;1,AT22&lt;-1),"PH-C")))</f>
        <v>PH-C</v>
      </c>
      <c r="AD22" s="638"/>
      <c r="AE22" s="638"/>
      <c r="AF22" s="638"/>
      <c r="AG22" s="446"/>
      <c r="AH22" s="638"/>
      <c r="AI22" s="638"/>
      <c r="AJ22" s="638"/>
      <c r="AK22" s="638"/>
      <c r="AL22" s="638"/>
      <c r="AM22" s="638" t="s">
        <v>1042</v>
      </c>
      <c r="AN22" s="455">
        <v>5.5</v>
      </c>
      <c r="AO22" s="1239"/>
      <c r="AP22" s="1239"/>
      <c r="AQ22" s="484"/>
      <c r="AR22" s="484"/>
      <c r="AS22" s="484"/>
      <c r="AT22" s="484">
        <f>+ab($T$22,$T$20,$T$24,$G$21,$G$23,-1*$F$22,1200)</f>
        <v>-4.2140237031344459</v>
      </c>
      <c r="AU22" s="638"/>
      <c r="AV22" s="638"/>
      <c r="AW22" s="638" t="s">
        <v>4427</v>
      </c>
      <c r="AX22" s="638" t="s">
        <v>4434</v>
      </c>
      <c r="AY22" s="1413">
        <v>4.2</v>
      </c>
      <c r="AZ22" s="484"/>
      <c r="BA22" s="1387" t="s">
        <v>2809</v>
      </c>
      <c r="BB22" s="449" t="s">
        <v>5012</v>
      </c>
      <c r="BC22" s="169" t="s">
        <v>4955</v>
      </c>
      <c r="BD22" s="1329"/>
      <c r="BE22" s="1329"/>
      <c r="BF22" s="1330"/>
      <c r="BG22" s="1329"/>
    </row>
    <row r="23" spans="1:59" ht="15.65" customHeight="1">
      <c r="A23" s="449"/>
      <c r="B23" s="445"/>
      <c r="C23" s="446"/>
      <c r="D23" s="638"/>
      <c r="E23" s="638"/>
      <c r="F23" s="447"/>
      <c r="G23" s="484">
        <v>50</v>
      </c>
      <c r="H23" s="1239"/>
      <c r="I23" s="448"/>
      <c r="J23" s="446"/>
      <c r="K23" s="638"/>
      <c r="L23" s="1239"/>
      <c r="M23" s="1239"/>
      <c r="N23" s="638"/>
      <c r="O23" s="638"/>
      <c r="P23" s="638"/>
      <c r="Q23" s="638"/>
      <c r="R23" s="638"/>
      <c r="S23" s="484"/>
      <c r="T23" s="638"/>
      <c r="U23" s="638"/>
      <c r="V23" s="638"/>
      <c r="W23" s="638"/>
      <c r="X23" s="638"/>
      <c r="Y23" s="638"/>
      <c r="Z23" s="638"/>
      <c r="AA23" s="638"/>
      <c r="AB23" s="638"/>
      <c r="AC23" s="1239"/>
      <c r="AD23" s="638"/>
      <c r="AE23" s="638"/>
      <c r="AF23" s="638"/>
      <c r="AG23" s="446"/>
      <c r="AH23" s="638"/>
      <c r="AI23" s="638"/>
      <c r="AJ23" s="638"/>
      <c r="AK23" s="638"/>
      <c r="AL23" s="1239"/>
      <c r="AM23" s="1239"/>
      <c r="AN23" s="455"/>
      <c r="AO23" s="1239"/>
      <c r="AP23" s="1239"/>
      <c r="AQ23" s="484">
        <f>+FL_2($T$24,$T$22,$G$23,1200,9.28,-1*$F$24)</f>
        <v>-0.30002126317330569</v>
      </c>
      <c r="AR23" s="484"/>
      <c r="AS23" s="484"/>
      <c r="AT23" s="484"/>
      <c r="AU23" s="638"/>
      <c r="AV23" s="638"/>
      <c r="AW23" s="1239"/>
      <c r="AX23" s="1239"/>
      <c r="AY23" s="455"/>
      <c r="AZ23" s="455"/>
      <c r="BA23" s="671"/>
      <c r="BB23" s="449"/>
      <c r="BC23" s="169"/>
      <c r="BD23" s="1330"/>
      <c r="BE23" s="1330"/>
      <c r="BF23" s="1330"/>
      <c r="BG23" s="1330"/>
    </row>
    <row r="24" spans="1:59" ht="15.65" customHeight="1">
      <c r="A24" s="449"/>
      <c r="B24" s="485" t="s">
        <v>4046</v>
      </c>
      <c r="C24" s="446">
        <f>C22-G23</f>
        <v>960.8900000000001</v>
      </c>
      <c r="D24" s="638"/>
      <c r="E24" s="638"/>
      <c r="F24" s="447">
        <v>1165</v>
      </c>
      <c r="G24" s="484"/>
      <c r="H24" s="1239"/>
      <c r="I24" s="448"/>
      <c r="J24" s="446"/>
      <c r="K24" s="638"/>
      <c r="L24" s="1239" t="s">
        <v>230</v>
      </c>
      <c r="M24" s="638" t="s">
        <v>1520</v>
      </c>
      <c r="N24" s="638" t="s">
        <v>143</v>
      </c>
      <c r="O24" s="638"/>
      <c r="P24" s="638"/>
      <c r="Q24" s="638"/>
      <c r="R24" s="638"/>
      <c r="S24" s="484"/>
      <c r="T24" s="638">
        <v>-30</v>
      </c>
      <c r="U24" s="638"/>
      <c r="V24" s="638"/>
      <c r="W24" s="638">
        <v>1.4</v>
      </c>
      <c r="X24" s="638"/>
      <c r="Y24" s="638"/>
      <c r="Z24" s="638"/>
      <c r="AA24" s="638"/>
      <c r="AB24" s="638"/>
      <c r="AC24" s="1239" t="str">
        <f>IF(OR(AT24&gt;8,AT24&lt;-8),"PH",IF(OR(AT24&gt;5,AT24&lt;-5),"PH-Q",IF(OR(AT24&gt;1,AT24&lt;-1),"PH-C")))</f>
        <v>PH-C</v>
      </c>
      <c r="AD24" s="638"/>
      <c r="AE24" s="638"/>
      <c r="AF24" s="638"/>
      <c r="AG24" s="446"/>
      <c r="AH24" s="638"/>
      <c r="AI24" s="638"/>
      <c r="AJ24" s="638"/>
      <c r="AK24" s="638"/>
      <c r="AL24" s="1239"/>
      <c r="AM24" s="1239" t="s">
        <v>1042</v>
      </c>
      <c r="AN24" s="455">
        <v>5.5</v>
      </c>
      <c r="AO24" s="1239"/>
      <c r="AP24" s="1239"/>
      <c r="AQ24" s="484"/>
      <c r="AR24" s="484"/>
      <c r="AS24" s="484"/>
      <c r="AT24" s="484">
        <f>+ab($T$24,$T$22,$T$26,$G$23,$G$25,-1*$F$24,1200)</f>
        <v>-4.7456065423603757</v>
      </c>
      <c r="AU24" s="638"/>
      <c r="AV24" s="638"/>
      <c r="AW24" s="638" t="s">
        <v>4427</v>
      </c>
      <c r="AX24" s="638" t="s">
        <v>4434</v>
      </c>
      <c r="AY24" s="1413">
        <v>4.2</v>
      </c>
      <c r="AZ24" s="484"/>
      <c r="BA24" s="1387" t="s">
        <v>2809</v>
      </c>
      <c r="BB24" s="449" t="s">
        <v>5012</v>
      </c>
      <c r="BC24" s="169" t="s">
        <v>4955</v>
      </c>
      <c r="BD24" s="1329"/>
      <c r="BE24" s="1329"/>
      <c r="BF24" s="1330"/>
      <c r="BG24" s="1329"/>
    </row>
    <row r="25" spans="1:59" ht="15.65" customHeight="1">
      <c r="A25" s="449"/>
      <c r="B25" s="445"/>
      <c r="C25" s="446"/>
      <c r="D25" s="638"/>
      <c r="E25" s="638"/>
      <c r="F25" s="447"/>
      <c r="G25" s="484">
        <v>44</v>
      </c>
      <c r="H25" s="1239"/>
      <c r="I25" s="448"/>
      <c r="J25" s="446"/>
      <c r="K25" s="638"/>
      <c r="L25" s="1239"/>
      <c r="M25" s="1239"/>
      <c r="N25" s="638"/>
      <c r="O25" s="638"/>
      <c r="P25" s="638"/>
      <c r="Q25" s="638"/>
      <c r="R25" s="638"/>
      <c r="S25" s="484"/>
      <c r="T25" s="638"/>
      <c r="U25" s="638"/>
      <c r="V25" s="638"/>
      <c r="W25" s="638"/>
      <c r="X25" s="638"/>
      <c r="Y25" s="638"/>
      <c r="Z25" s="638"/>
      <c r="AA25" s="638"/>
      <c r="AB25" s="638"/>
      <c r="AC25" s="1239"/>
      <c r="AD25" s="638"/>
      <c r="AE25" s="638"/>
      <c r="AF25" s="638"/>
      <c r="AG25" s="446"/>
      <c r="AH25" s="638"/>
      <c r="AI25" s="638"/>
      <c r="AJ25" s="449"/>
      <c r="AK25" s="638"/>
      <c r="AL25" s="1239"/>
      <c r="AM25" s="1239"/>
      <c r="AN25" s="455"/>
      <c r="AO25" s="1239"/>
      <c r="AP25" s="1239"/>
      <c r="AQ25" s="484">
        <f>+FL_2($T$26,$T$24,$G$25,1200,9.28,-1*$F$26)</f>
        <v>-0.30001871210477615</v>
      </c>
      <c r="AR25" s="484"/>
      <c r="AS25" s="484"/>
      <c r="AT25" s="484"/>
      <c r="AU25" s="638"/>
      <c r="AV25" s="638"/>
      <c r="AW25" s="1239"/>
      <c r="AX25" s="1239"/>
      <c r="AY25" s="455"/>
      <c r="AZ25" s="455"/>
      <c r="BA25" s="671"/>
      <c r="BB25" s="449"/>
      <c r="BC25" s="169"/>
      <c r="BD25" s="1330"/>
      <c r="BE25" s="1330"/>
      <c r="BF25" s="1330"/>
      <c r="BG25" s="1330"/>
    </row>
    <row r="26" spans="1:59" ht="15.65" customHeight="1">
      <c r="A26" s="449"/>
      <c r="B26" s="485" t="s">
        <v>4047</v>
      </c>
      <c r="C26" s="446">
        <f>C24-G25</f>
        <v>916.8900000000001</v>
      </c>
      <c r="D26" s="638"/>
      <c r="E26" s="638"/>
      <c r="F26" s="447">
        <v>1165</v>
      </c>
      <c r="G26" s="484"/>
      <c r="H26" s="1239"/>
      <c r="I26" s="448"/>
      <c r="J26" s="446"/>
      <c r="K26" s="638"/>
      <c r="L26" s="638" t="s">
        <v>230</v>
      </c>
      <c r="M26" s="638" t="s">
        <v>1520</v>
      </c>
      <c r="N26" s="638" t="s">
        <v>143</v>
      </c>
      <c r="O26" s="638"/>
      <c r="P26" s="638"/>
      <c r="Q26" s="638"/>
      <c r="R26" s="638"/>
      <c r="S26" s="484"/>
      <c r="T26" s="638">
        <v>-30</v>
      </c>
      <c r="U26" s="638"/>
      <c r="V26" s="638"/>
      <c r="W26" s="638">
        <v>1.4</v>
      </c>
      <c r="X26" s="638"/>
      <c r="Y26" s="638"/>
      <c r="Z26" s="638"/>
      <c r="AA26" s="638"/>
      <c r="AB26" s="638"/>
      <c r="AC26" s="1239" t="str">
        <f>IF(OR(AT26&gt;8,AT26&lt;-8),"PH",IF(OR(AT26&gt;5,AT26&lt;-5),"PH-Q",IF(OR(AT26&gt;1,AT26&lt;-1),"PH-C")))</f>
        <v>PH-C</v>
      </c>
      <c r="AD26" s="638"/>
      <c r="AE26" s="638"/>
      <c r="AF26" s="638"/>
      <c r="AG26" s="446"/>
      <c r="AH26" s="638"/>
      <c r="AI26" s="638"/>
      <c r="AJ26" s="638"/>
      <c r="AK26" s="638"/>
      <c r="AL26" s="638"/>
      <c r="AM26" s="638" t="s">
        <v>1042</v>
      </c>
      <c r="AN26" s="455">
        <v>5.5</v>
      </c>
      <c r="AO26" s="1239"/>
      <c r="AP26" s="1239"/>
      <c r="AQ26" s="484"/>
      <c r="AR26" s="484"/>
      <c r="AS26" s="484"/>
      <c r="AT26" s="484">
        <f>+ab($T$26,$T$24,$T$28,$G$25,$G$27,-1*$F$26,1200)</f>
        <v>-4.9013050567755334</v>
      </c>
      <c r="AU26" s="638"/>
      <c r="AV26" s="638"/>
      <c r="AW26" s="638" t="s">
        <v>4427</v>
      </c>
      <c r="AX26" s="638" t="s">
        <v>4434</v>
      </c>
      <c r="AY26" s="1413">
        <v>4.2</v>
      </c>
      <c r="AZ26" s="484"/>
      <c r="BA26" s="1387" t="s">
        <v>2809</v>
      </c>
      <c r="BB26" s="449" t="s">
        <v>5012</v>
      </c>
      <c r="BC26" s="169" t="s">
        <v>4955</v>
      </c>
      <c r="BD26" s="1329"/>
      <c r="BE26" s="1329"/>
      <c r="BF26" s="1330"/>
      <c r="BG26" s="1329"/>
    </row>
    <row r="27" spans="1:59" ht="15.65" customHeight="1">
      <c r="A27" s="449"/>
      <c r="B27" s="445"/>
      <c r="C27" s="446"/>
      <c r="D27" s="638"/>
      <c r="E27" s="638"/>
      <c r="F27" s="447"/>
      <c r="G27" s="484">
        <v>47</v>
      </c>
      <c r="H27" s="1239"/>
      <c r="I27" s="448"/>
      <c r="J27" s="446">
        <f>C28+7.5</f>
        <v>877.3900000000001</v>
      </c>
      <c r="K27" s="638" t="s">
        <v>2788</v>
      </c>
      <c r="L27" s="1239"/>
      <c r="M27" s="1239"/>
      <c r="N27" s="638"/>
      <c r="O27" s="638"/>
      <c r="P27" s="638"/>
      <c r="Q27" s="638"/>
      <c r="R27" s="638"/>
      <c r="S27" s="484"/>
      <c r="T27" s="638"/>
      <c r="U27" s="638"/>
      <c r="V27" s="638"/>
      <c r="W27" s="638"/>
      <c r="X27" s="638"/>
      <c r="Y27" s="638"/>
      <c r="Z27" s="638"/>
      <c r="AA27" s="638"/>
      <c r="AB27" s="638"/>
      <c r="AC27" s="1239"/>
      <c r="AD27" s="638"/>
      <c r="AE27" s="638"/>
      <c r="AF27" s="638"/>
      <c r="AG27" s="446"/>
      <c r="AH27" s="638"/>
      <c r="AI27" s="638"/>
      <c r="AJ27" s="638"/>
      <c r="AK27" s="638"/>
      <c r="AL27" s="1239"/>
      <c r="AM27" s="1239"/>
      <c r="AN27" s="455"/>
      <c r="AO27" s="1239"/>
      <c r="AP27" s="1239"/>
      <c r="AQ27" s="484">
        <f>+FL_2($T$28,$T$26,$G$27,1200,9.28,-1*$F$28)</f>
        <v>-0.30001998763915394</v>
      </c>
      <c r="AR27" s="484"/>
      <c r="AS27" s="484"/>
      <c r="AT27" s="484"/>
      <c r="AU27" s="638"/>
      <c r="AV27" s="638"/>
      <c r="AW27" s="1239"/>
      <c r="AX27" s="1239"/>
      <c r="AY27" s="455"/>
      <c r="AZ27" s="455">
        <v>2.8</v>
      </c>
      <c r="BA27" s="1387" t="s">
        <v>2809</v>
      </c>
      <c r="BB27" s="449"/>
      <c r="BC27" s="169" t="s">
        <v>4955</v>
      </c>
      <c r="BD27" s="1329"/>
      <c r="BE27" s="1330"/>
      <c r="BF27" s="1330"/>
      <c r="BG27" s="1330"/>
    </row>
    <row r="28" spans="1:59" ht="15.65" customHeight="1">
      <c r="A28" s="449"/>
      <c r="B28" s="485" t="s">
        <v>4048</v>
      </c>
      <c r="C28" s="446">
        <f>C26-G27</f>
        <v>869.8900000000001</v>
      </c>
      <c r="D28" s="638"/>
      <c r="E28" s="638"/>
      <c r="F28" s="447">
        <v>1165</v>
      </c>
      <c r="G28" s="484"/>
      <c r="H28" s="1239" t="s">
        <v>873</v>
      </c>
      <c r="I28" s="448"/>
      <c r="J28" s="446"/>
      <c r="K28" s="638"/>
      <c r="L28" s="638" t="s">
        <v>230</v>
      </c>
      <c r="M28" s="638" t="s">
        <v>1475</v>
      </c>
      <c r="N28" s="638" t="s">
        <v>143</v>
      </c>
      <c r="O28" s="638"/>
      <c r="P28" s="638"/>
      <c r="Q28" s="638"/>
      <c r="R28" s="638"/>
      <c r="S28" s="484"/>
      <c r="T28" s="638">
        <v>-30</v>
      </c>
      <c r="U28" s="638"/>
      <c r="V28" s="638"/>
      <c r="W28" s="638">
        <v>1.4</v>
      </c>
      <c r="X28" s="638"/>
      <c r="Y28" s="638"/>
      <c r="Z28" s="638"/>
      <c r="AA28" s="638"/>
      <c r="AB28" s="638"/>
      <c r="AC28" s="1239" t="str">
        <f>IF(OR(AT28&gt;8,AT28&lt;-8),"PH",IF(OR(AT28&gt;5,AT28&lt;-5),"PH-Q",IF(OR(AT28&gt;1,AT28&lt;-1),"PH-C")))</f>
        <v>PH-C</v>
      </c>
      <c r="AD28" s="638"/>
      <c r="AE28" s="638"/>
      <c r="AF28" s="638"/>
      <c r="AG28" s="446"/>
      <c r="AH28" s="638"/>
      <c r="AI28" s="638"/>
      <c r="AJ28" s="638"/>
      <c r="AK28" s="638"/>
      <c r="AL28" s="638"/>
      <c r="AM28" s="638" t="s">
        <v>1042</v>
      </c>
      <c r="AN28" s="455">
        <v>5.5</v>
      </c>
      <c r="AO28" s="1239"/>
      <c r="AP28" s="1239"/>
      <c r="AQ28" s="484"/>
      <c r="AR28" s="484"/>
      <c r="AS28" s="484"/>
      <c r="AT28" s="484">
        <f>+ab($T$28,$T$26,$T$30,$G$27,$G$29,-1*$F$28,1200)</f>
        <v>-4.7456065423603757</v>
      </c>
      <c r="AU28" s="638"/>
      <c r="AV28" s="638"/>
      <c r="AW28" s="638" t="s">
        <v>4427</v>
      </c>
      <c r="AX28" s="638" t="s">
        <v>1371</v>
      </c>
      <c r="AY28" s="1413">
        <v>3.5</v>
      </c>
      <c r="AZ28" s="484"/>
      <c r="BA28" s="1387" t="s">
        <v>2809</v>
      </c>
      <c r="BB28" s="449" t="s">
        <v>5013</v>
      </c>
      <c r="BC28" s="169" t="s">
        <v>4955</v>
      </c>
      <c r="BD28" s="1329"/>
      <c r="BE28" s="1329"/>
      <c r="BF28" s="1330"/>
      <c r="BG28" s="1329"/>
    </row>
    <row r="29" spans="1:59" ht="15.65" customHeight="1">
      <c r="A29" s="449"/>
      <c r="B29" s="445"/>
      <c r="C29" s="446"/>
      <c r="D29" s="638"/>
      <c r="E29" s="638"/>
      <c r="F29" s="447"/>
      <c r="G29" s="484">
        <v>47</v>
      </c>
      <c r="H29" s="1239"/>
      <c r="I29" s="448">
        <f>SUM(G5:G29)</f>
        <v>563.1</v>
      </c>
      <c r="J29" s="446"/>
      <c r="K29" s="638"/>
      <c r="L29" s="1239"/>
      <c r="M29" s="1239"/>
      <c r="N29" s="638"/>
      <c r="O29" s="638"/>
      <c r="P29" s="638"/>
      <c r="Q29" s="638"/>
      <c r="R29" s="638"/>
      <c r="S29" s="484"/>
      <c r="T29" s="638"/>
      <c r="U29" s="638"/>
      <c r="V29" s="638"/>
      <c r="W29" s="638"/>
      <c r="X29" s="638"/>
      <c r="Y29" s="638"/>
      <c r="Z29" s="638"/>
      <c r="AA29" s="638"/>
      <c r="AB29" s="638"/>
      <c r="AC29" s="1239"/>
      <c r="AD29" s="638"/>
      <c r="AE29" s="638"/>
      <c r="AF29" s="638"/>
      <c r="AG29" s="446"/>
      <c r="AH29" s="638"/>
      <c r="AI29" s="638"/>
      <c r="AJ29" s="638"/>
      <c r="AK29" s="638"/>
      <c r="AL29" s="1239"/>
      <c r="AM29" s="1239"/>
      <c r="AN29" s="455"/>
      <c r="AO29" s="1239"/>
      <c r="AP29" s="1239"/>
      <c r="AQ29" s="484">
        <f>+FL_2($T$30,$T$28,$G$29,1200,9.28,-1*$F$30)</f>
        <v>-0.30001998763915394</v>
      </c>
      <c r="AR29" s="484"/>
      <c r="AS29" s="484"/>
      <c r="AT29" s="484"/>
      <c r="AU29" s="638"/>
      <c r="AV29" s="638"/>
      <c r="AW29" s="1239"/>
      <c r="AX29" s="1239"/>
      <c r="AY29" s="455"/>
      <c r="AZ29" s="455"/>
      <c r="BA29" s="671"/>
      <c r="BB29" s="449"/>
      <c r="BC29" s="169"/>
      <c r="BD29" s="1330"/>
      <c r="BE29" s="1330"/>
      <c r="BF29" s="1330"/>
      <c r="BG29" s="1330"/>
    </row>
    <row r="30" spans="1:59" ht="15.65" customHeight="1">
      <c r="A30" s="449"/>
      <c r="B30" s="485" t="s">
        <v>4049</v>
      </c>
      <c r="C30" s="446">
        <f>C28-G29</f>
        <v>822.8900000000001</v>
      </c>
      <c r="D30" s="638"/>
      <c r="E30" s="638"/>
      <c r="F30" s="447">
        <v>1165</v>
      </c>
      <c r="G30" s="484"/>
      <c r="H30" s="1239" t="s">
        <v>874</v>
      </c>
      <c r="I30" s="448"/>
      <c r="J30" s="446"/>
      <c r="K30" s="638"/>
      <c r="L30" s="638" t="s">
        <v>230</v>
      </c>
      <c r="M30" s="638" t="s">
        <v>1475</v>
      </c>
      <c r="N30" s="638" t="s">
        <v>143</v>
      </c>
      <c r="O30" s="638"/>
      <c r="P30" s="638"/>
      <c r="Q30" s="638"/>
      <c r="R30" s="638"/>
      <c r="S30" s="484"/>
      <c r="T30" s="638">
        <v>-30</v>
      </c>
      <c r="U30" s="638"/>
      <c r="V30" s="638"/>
      <c r="W30" s="638">
        <v>1.4</v>
      </c>
      <c r="X30" s="638"/>
      <c r="Y30" s="638"/>
      <c r="Z30" s="638"/>
      <c r="AA30" s="638"/>
      <c r="AB30" s="638"/>
      <c r="AC30" s="1239" t="str">
        <f>IF(OR(AT30&gt;8,AT30&lt;-8),"PH",IF(OR(AT30&gt;5,AT30&lt;-5),"PH-Q",IF(OR(AT30&gt;1,AT30&lt;-1),"PH-C")))</f>
        <v>PH-C</v>
      </c>
      <c r="AD30" s="638"/>
      <c r="AE30" s="638"/>
      <c r="AF30" s="638"/>
      <c r="AG30" s="446"/>
      <c r="AH30" s="638"/>
      <c r="AI30" s="638"/>
      <c r="AJ30" s="638"/>
      <c r="AK30" s="638"/>
      <c r="AL30" s="638"/>
      <c r="AM30" s="638" t="s">
        <v>1042</v>
      </c>
      <c r="AN30" s="455">
        <v>5.5</v>
      </c>
      <c r="AO30" s="1239"/>
      <c r="AP30" s="1239"/>
      <c r="AQ30" s="484"/>
      <c r="AR30" s="484"/>
      <c r="AS30" s="484"/>
      <c r="AT30" s="484">
        <f>+ab($T$30,$T$28,$T$32,$G$29,$G$31,-1*$F$30,1200)</f>
        <v>-4.7456065423603757</v>
      </c>
      <c r="AU30" s="638"/>
      <c r="AV30" s="638"/>
      <c r="AW30" s="638" t="s">
        <v>4427</v>
      </c>
      <c r="AX30" s="638" t="s">
        <v>1371</v>
      </c>
      <c r="AY30" s="1413">
        <v>3.5</v>
      </c>
      <c r="AZ30" s="484"/>
      <c r="BA30" s="1387" t="s">
        <v>2809</v>
      </c>
      <c r="BB30" s="449" t="s">
        <v>5014</v>
      </c>
      <c r="BC30" s="169" t="s">
        <v>4955</v>
      </c>
      <c r="BD30" s="1329"/>
      <c r="BE30" s="1329"/>
      <c r="BF30" s="1330"/>
      <c r="BG30" s="1329"/>
    </row>
    <row r="31" spans="1:59" ht="15.65" customHeight="1">
      <c r="A31" s="449"/>
      <c r="B31" s="445"/>
      <c r="C31" s="446"/>
      <c r="D31" s="449"/>
      <c r="E31" s="449"/>
      <c r="F31" s="447"/>
      <c r="G31" s="455">
        <v>47</v>
      </c>
      <c r="H31" s="1239"/>
      <c r="I31" s="448">
        <f>SUM(G31:G55)</f>
        <v>570.9</v>
      </c>
      <c r="J31" s="171"/>
      <c r="K31" s="638"/>
      <c r="L31" s="1239"/>
      <c r="M31" s="1239"/>
      <c r="N31" s="638"/>
      <c r="O31" s="638"/>
      <c r="P31" s="638"/>
      <c r="Q31" s="638"/>
      <c r="R31" s="638"/>
      <c r="S31" s="484"/>
      <c r="T31" s="638"/>
      <c r="U31" s="638"/>
      <c r="V31" s="638"/>
      <c r="W31" s="638"/>
      <c r="X31" s="638"/>
      <c r="Y31" s="638"/>
      <c r="Z31" s="638"/>
      <c r="AA31" s="638"/>
      <c r="AB31" s="638"/>
      <c r="AC31" s="1239"/>
      <c r="AD31" s="638"/>
      <c r="AE31" s="638"/>
      <c r="AF31" s="638"/>
      <c r="AG31" s="446"/>
      <c r="AH31" s="638"/>
      <c r="AI31" s="638"/>
      <c r="AJ31" s="638"/>
      <c r="AK31" s="638"/>
      <c r="AL31" s="1239"/>
      <c r="AM31" s="1239"/>
      <c r="AN31" s="455"/>
      <c r="AO31" s="1239"/>
      <c r="AP31" s="1239"/>
      <c r="AQ31" s="484">
        <f>+FL_2($T$32,$T$30,$G$31,1200,9.28,-1*$F$32)</f>
        <v>-0.30001998763915394</v>
      </c>
      <c r="AR31" s="484"/>
      <c r="AS31" s="484"/>
      <c r="AT31" s="484"/>
      <c r="AU31" s="638"/>
      <c r="AV31" s="638"/>
      <c r="AW31" s="1239"/>
      <c r="AX31" s="1239"/>
      <c r="AY31" s="455"/>
      <c r="AZ31" s="455"/>
      <c r="BA31" s="671"/>
      <c r="BB31" s="449"/>
      <c r="BC31" s="169"/>
      <c r="BD31" s="1330"/>
      <c r="BE31" s="1330"/>
      <c r="BF31" s="1330"/>
      <c r="BG31" s="1330"/>
    </row>
    <row r="32" spans="1:59" ht="15.65" customHeight="1">
      <c r="A32" s="449"/>
      <c r="B32" s="485" t="s">
        <v>4050</v>
      </c>
      <c r="C32" s="446">
        <f>C30-G31</f>
        <v>775.8900000000001</v>
      </c>
      <c r="D32" s="449"/>
      <c r="E32" s="449"/>
      <c r="F32" s="447">
        <v>1165</v>
      </c>
      <c r="G32" s="455"/>
      <c r="H32" s="1239" t="s">
        <v>873</v>
      </c>
      <c r="I32" s="448"/>
      <c r="J32" s="446"/>
      <c r="K32" s="638"/>
      <c r="L32" s="1239" t="s">
        <v>230</v>
      </c>
      <c r="M32" s="638" t="s">
        <v>1475</v>
      </c>
      <c r="N32" s="1239" t="s">
        <v>143</v>
      </c>
      <c r="O32" s="1239"/>
      <c r="P32" s="1239"/>
      <c r="Q32" s="1239"/>
      <c r="R32" s="1239"/>
      <c r="S32" s="455"/>
      <c r="T32" s="638">
        <v>-30</v>
      </c>
      <c r="U32" s="1239"/>
      <c r="V32" s="1239"/>
      <c r="W32" s="638">
        <v>1.4</v>
      </c>
      <c r="X32" s="1239"/>
      <c r="Y32" s="1239"/>
      <c r="Z32" s="1239"/>
      <c r="AA32" s="1239"/>
      <c r="AB32" s="1239"/>
      <c r="AC32" s="1239" t="str">
        <f>IF(OR(AT32&gt;8,AT32&lt;-8),"PH",IF(OR(AT32&gt;5,AT32&lt;-5),"PH-Q",IF(OR(AT32&gt;1,AT32&lt;-1),"PH-C")))</f>
        <v>PH-C</v>
      </c>
      <c r="AD32" s="1239"/>
      <c r="AE32" s="1239"/>
      <c r="AF32" s="1239"/>
      <c r="AG32" s="171"/>
      <c r="AH32" s="1239"/>
      <c r="AI32" s="1239"/>
      <c r="AJ32" s="1239"/>
      <c r="AK32" s="1239"/>
      <c r="AL32" s="1239"/>
      <c r="AM32" s="1239" t="s">
        <v>1042</v>
      </c>
      <c r="AN32" s="455">
        <v>5.5</v>
      </c>
      <c r="AO32" s="1239"/>
      <c r="AP32" s="1239"/>
      <c r="AQ32" s="484"/>
      <c r="AR32" s="484"/>
      <c r="AS32" s="484"/>
      <c r="AT32" s="484">
        <f>+ab($T$32,$T$30,$T$34,$G$31,$G$33,-1*$F$32,1200)</f>
        <v>-4.5994749272121593</v>
      </c>
      <c r="AU32" s="638"/>
      <c r="AV32" s="638"/>
      <c r="AW32" s="638" t="s">
        <v>4427</v>
      </c>
      <c r="AX32" s="638" t="s">
        <v>1371</v>
      </c>
      <c r="AY32" s="1413">
        <v>3.5</v>
      </c>
      <c r="AZ32" s="484"/>
      <c r="BA32" s="1387" t="s">
        <v>2809</v>
      </c>
      <c r="BB32" s="449" t="s">
        <v>5013</v>
      </c>
      <c r="BC32" s="169" t="s">
        <v>4955</v>
      </c>
      <c r="BD32" s="1329"/>
      <c r="BE32" s="1329"/>
      <c r="BF32" s="1330"/>
      <c r="BG32" s="1329"/>
    </row>
    <row r="33" spans="1:59" ht="15.65" customHeight="1">
      <c r="A33" s="449"/>
      <c r="B33" s="445"/>
      <c r="C33" s="446"/>
      <c r="D33" s="638"/>
      <c r="E33" s="638"/>
      <c r="F33" s="447"/>
      <c r="G33" s="455">
        <v>50</v>
      </c>
      <c r="H33" s="1239"/>
      <c r="I33" s="448"/>
      <c r="J33" s="171">
        <f>C32-7.5</f>
        <v>768.3900000000001</v>
      </c>
      <c r="K33" s="638" t="s">
        <v>2788</v>
      </c>
      <c r="L33" s="1239"/>
      <c r="M33" s="1239"/>
      <c r="N33" s="638"/>
      <c r="O33" s="638"/>
      <c r="P33" s="638"/>
      <c r="Q33" s="638"/>
      <c r="R33" s="638"/>
      <c r="S33" s="484"/>
      <c r="T33" s="638"/>
      <c r="U33" s="638"/>
      <c r="V33" s="638"/>
      <c r="W33" s="638"/>
      <c r="X33" s="638"/>
      <c r="Y33" s="638"/>
      <c r="Z33" s="638"/>
      <c r="AA33" s="638"/>
      <c r="AB33" s="638"/>
      <c r="AC33" s="1239"/>
      <c r="AD33" s="638"/>
      <c r="AE33" s="638"/>
      <c r="AF33" s="638"/>
      <c r="AG33" s="446"/>
      <c r="AH33" s="638"/>
      <c r="AI33" s="638"/>
      <c r="AJ33" s="638"/>
      <c r="AK33" s="638"/>
      <c r="AL33" s="1239"/>
      <c r="AM33" s="1239"/>
      <c r="AN33" s="455"/>
      <c r="AO33" s="1239"/>
      <c r="AP33" s="1239"/>
      <c r="AQ33" s="484">
        <f>+FL_2($T$34,$T$32,$G$33,1200,9.28,-1*$F$34)</f>
        <v>-0.30002126317330569</v>
      </c>
      <c r="AR33" s="484"/>
      <c r="AS33" s="484"/>
      <c r="AT33" s="484"/>
      <c r="AU33" s="638"/>
      <c r="AV33" s="638"/>
      <c r="AW33" s="1239"/>
      <c r="AX33" s="1239"/>
      <c r="AY33" s="455"/>
      <c r="AZ33" s="455">
        <v>2.8</v>
      </c>
      <c r="BA33" s="1387" t="s">
        <v>2809</v>
      </c>
      <c r="BB33" s="449"/>
      <c r="BC33" s="169" t="s">
        <v>4955</v>
      </c>
      <c r="BD33" s="1329"/>
      <c r="BE33" s="1330"/>
      <c r="BF33" s="1330"/>
      <c r="BG33" s="1330"/>
    </row>
    <row r="34" spans="1:59" ht="15.65" customHeight="1">
      <c r="A34" s="462"/>
      <c r="B34" s="687" t="s">
        <v>4051</v>
      </c>
      <c r="C34" s="463">
        <f>C32-G33</f>
        <v>725.8900000000001</v>
      </c>
      <c r="D34" s="464"/>
      <c r="E34" s="464"/>
      <c r="F34" s="465">
        <v>1165</v>
      </c>
      <c r="G34" s="474"/>
      <c r="H34" s="467"/>
      <c r="I34" s="469"/>
      <c r="J34" s="463"/>
      <c r="K34" s="464"/>
      <c r="L34" s="467" t="s">
        <v>230</v>
      </c>
      <c r="M34" s="467" t="s">
        <v>2402</v>
      </c>
      <c r="N34" s="467" t="s">
        <v>143</v>
      </c>
      <c r="O34" s="467"/>
      <c r="P34" s="467"/>
      <c r="Q34" s="467"/>
      <c r="R34" s="467"/>
      <c r="S34" s="474"/>
      <c r="T34" s="464">
        <v>-30</v>
      </c>
      <c r="U34" s="467"/>
      <c r="V34" s="467"/>
      <c r="W34" s="464">
        <v>1.4</v>
      </c>
      <c r="X34" s="467"/>
      <c r="Y34" s="467"/>
      <c r="Z34" s="467"/>
      <c r="AA34" s="467"/>
      <c r="AB34" s="467"/>
      <c r="AC34" s="467" t="str">
        <f>IF(OR(AT34&gt;8,AT34&lt;-8),"PH",IF(OR(AT34&gt;5,AT34&lt;-5),"PH-Q",IF(OR(AT34&gt;1,AT34&lt;-1),"PH-C")))</f>
        <v>PH-C</v>
      </c>
      <c r="AD34" s="467"/>
      <c r="AE34" s="467"/>
      <c r="AF34" s="467"/>
      <c r="AG34" s="473"/>
      <c r="AH34" s="467"/>
      <c r="AI34" s="467"/>
      <c r="AJ34" s="467"/>
      <c r="AK34" s="467"/>
      <c r="AL34" s="467"/>
      <c r="AM34" s="467" t="s">
        <v>1042</v>
      </c>
      <c r="AN34" s="474">
        <v>5.5</v>
      </c>
      <c r="AO34" s="467"/>
      <c r="AP34" s="467"/>
      <c r="AQ34" s="466"/>
      <c r="AR34" s="466"/>
      <c r="AS34" s="466"/>
      <c r="AT34" s="466">
        <f>+ab($T$34,$T$32,$T$36,$G$33,$G$35,-1*$F$34,1200)</f>
        <v>-4.4620564740197368</v>
      </c>
      <c r="AU34" s="464"/>
      <c r="AV34" s="464"/>
      <c r="AW34" s="464" t="str">
        <f>VLOOKUP(C34,'Foundation Calculation'!$A$33:$C$40,3,1)</f>
        <v>N.D.</v>
      </c>
      <c r="AX34" s="685" t="str">
        <f>VLOOKUP(C34,'Foundation Calculation'!$E$33:$G$40,3,1)</f>
        <v>N.D.</v>
      </c>
      <c r="AY34" s="466" t="str">
        <f>IF(AX34="PT",VLOOKUP(L34,'Foundation Calculation'!$K$2:$R$40,VLOOKUP(AW34,'Foundation Calculation'!$I$2:$J$8,2,FALSE),0),IF(AX34="K",VLOOKUP(L34,'Foundation Calculation'!$K$42:$R$80,VLOOKUP(AW34,'Foundation Calculation'!$I$2:$J$8,2,FALSE),0),""))</f>
        <v/>
      </c>
      <c r="AZ34" s="466" t="str">
        <f>IF(AX34="PT",VLOOKUP(K34,'Foundation Calculation'!$K$2:$R$40,VLOOKUP(AW34,'Foundation Calculation'!$I$2:$J$8,2,FALSE),0),IF(AX34="K",VLOOKUP(K34,'Foundation Calculation'!$K$42:$R$80,VLOOKUP(AW34,'Foundation Calculation'!$I$2:$J$8,2,FALSE),0),""))</f>
        <v/>
      </c>
      <c r="BA34" s="674"/>
      <c r="BB34" s="462" t="s">
        <v>5012</v>
      </c>
      <c r="BC34" s="169"/>
      <c r="BD34" s="1329"/>
      <c r="BE34" s="1329"/>
      <c r="BF34" s="1330"/>
      <c r="BG34" s="1329"/>
    </row>
    <row r="35" spans="1:59" ht="15.65" customHeight="1">
      <c r="A35" s="467" t="s">
        <v>4009</v>
      </c>
      <c r="B35" s="468"/>
      <c r="C35" s="463"/>
      <c r="D35" s="464"/>
      <c r="E35" s="464"/>
      <c r="F35" s="465"/>
      <c r="G35" s="474">
        <v>50</v>
      </c>
      <c r="H35" s="464"/>
      <c r="I35" s="469"/>
      <c r="J35" s="463"/>
      <c r="K35" s="464"/>
      <c r="L35" s="467"/>
      <c r="M35" s="467"/>
      <c r="N35" s="464"/>
      <c r="O35" s="464"/>
      <c r="P35" s="464"/>
      <c r="Q35" s="464"/>
      <c r="R35" s="464"/>
      <c r="S35" s="466"/>
      <c r="T35" s="464"/>
      <c r="U35" s="464"/>
      <c r="V35" s="464"/>
      <c r="W35" s="464"/>
      <c r="X35" s="464"/>
      <c r="Y35" s="464"/>
      <c r="Z35" s="464"/>
      <c r="AA35" s="464"/>
      <c r="AB35" s="464"/>
      <c r="AC35" s="467"/>
      <c r="AD35" s="464"/>
      <c r="AE35" s="464"/>
      <c r="AF35" s="464"/>
      <c r="AG35" s="463"/>
      <c r="AH35" s="464"/>
      <c r="AI35" s="464"/>
      <c r="AJ35" s="464"/>
      <c r="AK35" s="464"/>
      <c r="AL35" s="467"/>
      <c r="AM35" s="467"/>
      <c r="AN35" s="474"/>
      <c r="AO35" s="467"/>
      <c r="AP35" s="467"/>
      <c r="AQ35" s="466">
        <f>+FL_2($T$36,$T$34,$G$35,1200,9.28,-1*$F$36)</f>
        <v>-0.30002126317330569</v>
      </c>
      <c r="AR35" s="466"/>
      <c r="AS35" s="466"/>
      <c r="AT35" s="466"/>
      <c r="AU35" s="464"/>
      <c r="AV35" s="464"/>
      <c r="AW35" s="464"/>
      <c r="AX35" s="685"/>
      <c r="AY35" s="466"/>
      <c r="AZ35" s="466" t="str">
        <f>IF(AX35="PT",VLOOKUP(K35,'Foundation Calculation'!$K$2:$R$40,VLOOKUP(AW35,'Foundation Calculation'!$I$2:$J$8,2,FALSE),0),IF(AX35="K",VLOOKUP(K35,'Foundation Calculation'!$K$42:$R$80,VLOOKUP(AW35,'Foundation Calculation'!$I$2:$J$8,2,FALSE),0),""))</f>
        <v/>
      </c>
      <c r="BA35" s="674"/>
      <c r="BB35" s="467"/>
      <c r="BC35" s="169"/>
      <c r="BD35" s="1330"/>
      <c r="BE35" s="1330"/>
      <c r="BF35" s="1330"/>
      <c r="BG35" s="1330"/>
    </row>
    <row r="36" spans="1:59" ht="15.65" customHeight="1">
      <c r="A36" s="462"/>
      <c r="B36" s="687" t="s">
        <v>4052</v>
      </c>
      <c r="C36" s="463">
        <f>C34-G35</f>
        <v>675.8900000000001</v>
      </c>
      <c r="D36" s="464"/>
      <c r="E36" s="464"/>
      <c r="F36" s="465">
        <v>1165</v>
      </c>
      <c r="G36" s="474"/>
      <c r="H36" s="467"/>
      <c r="I36" s="469"/>
      <c r="J36" s="463"/>
      <c r="K36" s="464"/>
      <c r="L36" s="467" t="s">
        <v>230</v>
      </c>
      <c r="M36" s="467" t="s">
        <v>2402</v>
      </c>
      <c r="N36" s="467" t="s">
        <v>143</v>
      </c>
      <c r="O36" s="467"/>
      <c r="P36" s="467"/>
      <c r="Q36" s="467"/>
      <c r="R36" s="467"/>
      <c r="S36" s="474"/>
      <c r="T36" s="467">
        <v>-30</v>
      </c>
      <c r="U36" s="467"/>
      <c r="V36" s="467"/>
      <c r="W36" s="467">
        <v>1.4</v>
      </c>
      <c r="X36" s="467"/>
      <c r="Y36" s="467"/>
      <c r="Z36" s="467"/>
      <c r="AA36" s="467"/>
      <c r="AB36" s="467"/>
      <c r="AC36" s="467" t="str">
        <f>IF(OR(AT36&gt;8,AT36&lt;-8),"PH",IF(OR(AT36&gt;5,AT36&lt;-5),"PH-Q",IF(OR(AT36&gt;1,AT36&lt;-1),"PH-C")))</f>
        <v>PH-C</v>
      </c>
      <c r="AD36" s="467"/>
      <c r="AE36" s="467"/>
      <c r="AF36" s="467"/>
      <c r="AG36" s="473"/>
      <c r="AH36" s="467"/>
      <c r="AI36" s="467"/>
      <c r="AJ36" s="467"/>
      <c r="AK36" s="467"/>
      <c r="AL36" s="467"/>
      <c r="AM36" s="467" t="s">
        <v>1042</v>
      </c>
      <c r="AN36" s="474">
        <v>5.5</v>
      </c>
      <c r="AO36" s="467"/>
      <c r="AP36" s="467"/>
      <c r="AQ36" s="466"/>
      <c r="AR36" s="466"/>
      <c r="AS36" s="466"/>
      <c r="AT36" s="466">
        <f>+ab($T$36,$T$34,$T$38,$G$35,$G$37,-1*$F$36,1200)</f>
        <v>-4.5374677648138233</v>
      </c>
      <c r="AU36" s="464"/>
      <c r="AV36" s="464"/>
      <c r="AW36" s="464" t="str">
        <f>VLOOKUP(C36,'Foundation Calculation'!$A$33:$C$40,3,1)</f>
        <v>N.D.</v>
      </c>
      <c r="AX36" s="464" t="str">
        <f>VLOOKUP(C36,'Foundation Calculation'!$E$33:$G$40,3,1)</f>
        <v>N.D.</v>
      </c>
      <c r="AY36" s="466" t="str">
        <f>IF(AX36="PT",VLOOKUP(L36,'Foundation Calculation'!$K$2:$R$40,VLOOKUP(AW36,'Foundation Calculation'!$I$2:$J$8,2,FALSE),0),IF(AX36="K",VLOOKUP(L36,'Foundation Calculation'!$K$42:$R$80,VLOOKUP(AW36,'Foundation Calculation'!$I$2:$J$8,2,FALSE),0),""))</f>
        <v/>
      </c>
      <c r="AZ36" s="466" t="str">
        <f>IF(AX36="PT",VLOOKUP(K36,'Foundation Calculation'!$K$2:$R$40,VLOOKUP(AW36,'Foundation Calculation'!$I$2:$J$8,2,FALSE),0),IF(AX36="K",VLOOKUP(K36,'Foundation Calculation'!$K$42:$R$80,VLOOKUP(AW36,'Foundation Calculation'!$I$2:$J$8,2,FALSE),0),""))</f>
        <v/>
      </c>
      <c r="BA36" s="674"/>
      <c r="BB36" s="462" t="s">
        <v>5012</v>
      </c>
      <c r="BC36" s="169"/>
      <c r="BD36" s="1329"/>
      <c r="BE36" s="1329"/>
      <c r="BF36" s="1330"/>
      <c r="BG36" s="1329"/>
    </row>
    <row r="37" spans="1:59" ht="15.65" customHeight="1">
      <c r="A37" s="462"/>
      <c r="B37" s="468"/>
      <c r="C37" s="463"/>
      <c r="D37" s="464"/>
      <c r="E37" s="464"/>
      <c r="F37" s="465"/>
      <c r="G37" s="466">
        <v>42.9</v>
      </c>
      <c r="H37" s="467"/>
      <c r="I37" s="469"/>
      <c r="J37" s="463"/>
      <c r="K37" s="464"/>
      <c r="L37" s="462"/>
      <c r="M37" s="462"/>
      <c r="N37" s="462"/>
      <c r="O37" s="462"/>
      <c r="P37" s="462"/>
      <c r="Q37" s="462"/>
      <c r="R37" s="462"/>
      <c r="S37" s="466"/>
      <c r="T37" s="462"/>
      <c r="U37" s="462"/>
      <c r="V37" s="462"/>
      <c r="W37" s="462"/>
      <c r="X37" s="462"/>
      <c r="Y37" s="462"/>
      <c r="Z37" s="462"/>
      <c r="AA37" s="462"/>
      <c r="AB37" s="462"/>
      <c r="AC37" s="467"/>
      <c r="AD37" s="462"/>
      <c r="AE37" s="462"/>
      <c r="AF37" s="462"/>
      <c r="AG37" s="463"/>
      <c r="AH37" s="462"/>
      <c r="AI37" s="462"/>
      <c r="AJ37" s="462"/>
      <c r="AK37" s="462"/>
      <c r="AL37" s="462"/>
      <c r="AM37" s="462"/>
      <c r="AN37" s="474"/>
      <c r="AO37" s="467"/>
      <c r="AP37" s="467"/>
      <c r="AQ37" s="466">
        <f>+FL_2($T$38,$T$36,$G$37,1200,9.28,-1*$F$38)</f>
        <v>-0.36000341767955524</v>
      </c>
      <c r="AR37" s="466"/>
      <c r="AS37" s="466"/>
      <c r="AT37" s="466"/>
      <c r="AU37" s="464"/>
      <c r="AV37" s="464"/>
      <c r="AW37" s="464"/>
      <c r="AX37" s="464"/>
      <c r="AY37" s="466"/>
      <c r="AZ37" s="466" t="str">
        <f>IF(AX37="PT",VLOOKUP(K37,'Foundation Calculation'!$K$2:$R$40,VLOOKUP(AW37,'Foundation Calculation'!$I$2:$J$8,2,FALSE),0),IF(AX37="K",VLOOKUP(K37,'Foundation Calculation'!$K$42:$R$80,VLOOKUP(AW37,'Foundation Calculation'!$I$2:$J$8,2,FALSE),0),""))</f>
        <v/>
      </c>
      <c r="BA37" s="674"/>
      <c r="BB37" s="462"/>
      <c r="BC37" s="169"/>
      <c r="BD37" s="1330"/>
      <c r="BE37" s="1330"/>
      <c r="BF37" s="1330"/>
      <c r="BG37" s="1330"/>
    </row>
    <row r="38" spans="1:59" ht="15.65" customHeight="1">
      <c r="A38" s="449"/>
      <c r="B38" s="485" t="s">
        <v>4053</v>
      </c>
      <c r="C38" s="446">
        <f>C36-G37</f>
        <v>632.99000000000012</v>
      </c>
      <c r="D38" s="638"/>
      <c r="E38" s="638"/>
      <c r="F38" s="447">
        <v>3112.5</v>
      </c>
      <c r="G38" s="484"/>
      <c r="H38" s="1239"/>
      <c r="I38" s="448"/>
      <c r="J38" s="446"/>
      <c r="K38" s="638"/>
      <c r="L38" s="1239" t="s">
        <v>229</v>
      </c>
      <c r="M38" s="1239" t="s">
        <v>1474</v>
      </c>
      <c r="N38" s="638" t="s">
        <v>143</v>
      </c>
      <c r="O38" s="638"/>
      <c r="P38" s="638"/>
      <c r="Q38" s="638"/>
      <c r="R38" s="638"/>
      <c r="S38" s="484"/>
      <c r="T38" s="638">
        <v>-20</v>
      </c>
      <c r="U38" s="638"/>
      <c r="V38" s="638"/>
      <c r="W38" s="638">
        <v>1.4</v>
      </c>
      <c r="X38" s="638"/>
      <c r="Y38" s="638"/>
      <c r="Z38" s="638"/>
      <c r="AA38" s="638"/>
      <c r="AB38" s="638"/>
      <c r="AC38" s="1239" t="str">
        <f>IF(OR(AT38&gt;8,AT38&lt;-8),"PH",IF(OR(AT38&gt;5,AT38&lt;-5),"PH-Q",IF(OR(AT38&gt;1,AT38&lt;-1),"PH-C")))</f>
        <v>PH-Q</v>
      </c>
      <c r="AD38" s="638"/>
      <c r="AE38" s="638"/>
      <c r="AF38" s="638"/>
      <c r="AG38" s="446"/>
      <c r="AH38" s="638"/>
      <c r="AI38" s="638"/>
      <c r="AJ38" s="638"/>
      <c r="AK38" s="638"/>
      <c r="AL38" s="1239"/>
      <c r="AM38" s="1239" t="s">
        <v>1042</v>
      </c>
      <c r="AN38" s="455">
        <v>5.5</v>
      </c>
      <c r="AO38" s="1239"/>
      <c r="AP38" s="1239"/>
      <c r="AQ38" s="484"/>
      <c r="AR38" s="484"/>
      <c r="AS38" s="484"/>
      <c r="AT38" s="484">
        <f>+ab($T$38,$T$36,$T$40,$G$37,$G$39,-1*$F$38,1200)</f>
        <v>-7.710654939223013</v>
      </c>
      <c r="AU38" s="638"/>
      <c r="AV38" s="638"/>
      <c r="AW38" s="638" t="s">
        <v>4426</v>
      </c>
      <c r="AX38" s="638" t="s">
        <v>1371</v>
      </c>
      <c r="AY38" s="484">
        <v>3.5</v>
      </c>
      <c r="AZ38" s="484"/>
      <c r="BA38" s="1387" t="s">
        <v>2809</v>
      </c>
      <c r="BB38" s="449" t="s">
        <v>5012</v>
      </c>
      <c r="BC38" s="169" t="s">
        <v>4955</v>
      </c>
      <c r="BD38" s="1329"/>
      <c r="BE38" s="1329"/>
      <c r="BF38" s="1330"/>
      <c r="BG38" s="1329"/>
    </row>
    <row r="39" spans="1:59" ht="15.65" customHeight="1">
      <c r="A39" s="449"/>
      <c r="B39" s="445"/>
      <c r="C39" s="446"/>
      <c r="D39" s="638"/>
      <c r="E39" s="638"/>
      <c r="F39" s="447"/>
      <c r="G39" s="484">
        <v>40</v>
      </c>
      <c r="H39" s="1239"/>
      <c r="I39" s="448"/>
      <c r="J39" s="446"/>
      <c r="K39" s="638"/>
      <c r="L39" s="449"/>
      <c r="M39" s="449"/>
      <c r="N39" s="449"/>
      <c r="O39" s="449"/>
      <c r="P39" s="449"/>
      <c r="Q39" s="449"/>
      <c r="R39" s="449"/>
      <c r="S39" s="484"/>
      <c r="T39" s="449"/>
      <c r="U39" s="449"/>
      <c r="V39" s="449"/>
      <c r="W39" s="449"/>
      <c r="X39" s="449"/>
      <c r="Y39" s="449"/>
      <c r="Z39" s="449"/>
      <c r="AA39" s="449"/>
      <c r="AB39" s="449"/>
      <c r="AC39" s="1239"/>
      <c r="AD39" s="449"/>
      <c r="AE39" s="449"/>
      <c r="AF39" s="449"/>
      <c r="AG39" s="446"/>
      <c r="AH39" s="449"/>
      <c r="AI39" s="449"/>
      <c r="AJ39" s="449"/>
      <c r="AK39" s="449"/>
      <c r="AL39" s="449"/>
      <c r="AM39" s="449"/>
      <c r="AN39" s="455"/>
      <c r="AO39" s="1239"/>
      <c r="AP39" s="1239"/>
      <c r="AQ39" s="484">
        <f>+FL_1($T$40,$T$38,$G$39,1200,9.28,-1*$F$40)</f>
        <v>0.351905352</v>
      </c>
      <c r="AR39" s="484"/>
      <c r="AS39" s="484"/>
      <c r="AT39" s="484"/>
      <c r="AU39" s="638"/>
      <c r="AV39" s="638"/>
      <c r="AW39" s="638"/>
      <c r="AX39" s="638"/>
      <c r="AY39" s="455"/>
      <c r="AZ39" s="455"/>
      <c r="BA39" s="671"/>
      <c r="BB39" s="449"/>
      <c r="BC39" s="169"/>
      <c r="BD39" s="1330"/>
      <c r="BE39" s="1330"/>
      <c r="BF39" s="1330"/>
      <c r="BG39" s="1330"/>
    </row>
    <row r="40" spans="1:59" ht="15.65" customHeight="1">
      <c r="A40" s="449"/>
      <c r="B40" s="485" t="s">
        <v>4054</v>
      </c>
      <c r="C40" s="446">
        <f>C38-G39</f>
        <v>592.99000000000012</v>
      </c>
      <c r="D40" s="638"/>
      <c r="E40" s="638"/>
      <c r="F40" s="447">
        <v>0</v>
      </c>
      <c r="G40" s="484"/>
      <c r="H40" s="1239"/>
      <c r="I40" s="448" t="s">
        <v>1039</v>
      </c>
      <c r="J40" s="446">
        <f>C40-7.5</f>
        <v>585.49000000000012</v>
      </c>
      <c r="K40" s="638" t="s">
        <v>2788</v>
      </c>
      <c r="L40" s="1239" t="s">
        <v>229</v>
      </c>
      <c r="M40" s="1239" t="s">
        <v>1474</v>
      </c>
      <c r="N40" s="638" t="s">
        <v>144</v>
      </c>
      <c r="O40" s="638"/>
      <c r="P40" s="638"/>
      <c r="Q40" s="638"/>
      <c r="R40" s="638"/>
      <c r="S40" s="484"/>
      <c r="T40" s="638">
        <v>35</v>
      </c>
      <c r="U40" s="638"/>
      <c r="V40" s="638"/>
      <c r="W40" s="638">
        <v>1.4</v>
      </c>
      <c r="X40" s="638"/>
      <c r="Y40" s="638"/>
      <c r="Z40" s="638"/>
      <c r="AA40" s="638"/>
      <c r="AB40" s="638"/>
      <c r="AC40" s="1239" t="str">
        <f>IF(OR(AT40&gt;8,AT40&lt;-8),"PH",IF(OR(AT40&gt;5,AT40&lt;-5),"PH-Q",IF(OR(AT40&gt;1,AT40&lt;-1),"PH-C")))</f>
        <v>PH-Q</v>
      </c>
      <c r="AD40" s="638"/>
      <c r="AE40" s="638"/>
      <c r="AF40" s="638"/>
      <c r="AG40" s="446"/>
      <c r="AH40" s="638"/>
      <c r="AI40" s="638"/>
      <c r="AJ40" s="638"/>
      <c r="AK40" s="638"/>
      <c r="AL40" s="1239"/>
      <c r="AM40" s="1239" t="s">
        <v>1042</v>
      </c>
      <c r="AN40" s="455">
        <v>5.5</v>
      </c>
      <c r="AO40" s="1239"/>
      <c r="AP40" s="1239"/>
      <c r="AQ40" s="484"/>
      <c r="AR40" s="484"/>
      <c r="AS40" s="484"/>
      <c r="AT40" s="484">
        <f>+ab($T$40,$T$38,-$T$42,$G$39,$G$41,-1*$F$40,1200)</f>
        <v>6.1172078247599391</v>
      </c>
      <c r="AU40" s="638"/>
      <c r="AV40" s="638"/>
      <c r="AW40" s="638" t="s">
        <v>4426</v>
      </c>
      <c r="AX40" s="638" t="s">
        <v>1371</v>
      </c>
      <c r="AY40" s="484">
        <v>3.5</v>
      </c>
      <c r="AZ40" s="484">
        <v>2.8</v>
      </c>
      <c r="BA40" s="1387" t="s">
        <v>2809</v>
      </c>
      <c r="BB40" s="449" t="s">
        <v>5012</v>
      </c>
      <c r="BC40" s="169" t="s">
        <v>4955</v>
      </c>
      <c r="BD40" s="1329"/>
      <c r="BE40" s="1329"/>
      <c r="BF40" s="1330"/>
      <c r="BG40" s="1329"/>
    </row>
    <row r="41" spans="1:59" ht="15.65" customHeight="1">
      <c r="A41" s="449"/>
      <c r="B41" s="445"/>
      <c r="C41" s="446"/>
      <c r="D41" s="638"/>
      <c r="E41" s="638"/>
      <c r="F41" s="447"/>
      <c r="G41" s="484">
        <v>40</v>
      </c>
      <c r="H41" s="1239"/>
      <c r="I41" s="448"/>
      <c r="J41" s="446"/>
      <c r="K41" s="638"/>
      <c r="L41" s="638"/>
      <c r="M41" s="638"/>
      <c r="N41" s="638"/>
      <c r="O41" s="638"/>
      <c r="P41" s="638"/>
      <c r="Q41" s="638"/>
      <c r="R41" s="638"/>
      <c r="S41" s="484"/>
      <c r="T41" s="638"/>
      <c r="U41" s="638"/>
      <c r="V41" s="638"/>
      <c r="W41" s="638"/>
      <c r="X41" s="638"/>
      <c r="Y41" s="638"/>
      <c r="Z41" s="638"/>
      <c r="AA41" s="638"/>
      <c r="AB41" s="638"/>
      <c r="AC41" s="1239"/>
      <c r="AD41" s="638"/>
      <c r="AE41" s="638"/>
      <c r="AF41" s="638"/>
      <c r="AG41" s="446"/>
      <c r="AH41" s="638"/>
      <c r="AI41" s="638"/>
      <c r="AJ41" s="638"/>
      <c r="AK41" s="638"/>
      <c r="AL41" s="638"/>
      <c r="AM41" s="638"/>
      <c r="AN41" s="455"/>
      <c r="AO41" s="1239"/>
      <c r="AP41" s="1239"/>
      <c r="AQ41" s="484">
        <f>+FL_1($T$42,-$T$40,$G$41,1200,9.28, 1*$F$42)</f>
        <v>0.35</v>
      </c>
      <c r="AR41" s="484"/>
      <c r="AS41" s="484"/>
      <c r="AT41" s="484"/>
      <c r="AU41" s="638"/>
      <c r="AV41" s="638"/>
      <c r="AW41" s="1239"/>
      <c r="AX41" s="1239"/>
      <c r="AY41" s="455"/>
      <c r="AZ41" s="455" t="str">
        <f>IF(AX41="PT",VLOOKUP(K41,'Foundation Calculation'!$K$2:$R$40,VLOOKUP(AW41,'Foundation Calculation'!$I$2:$J$8,2,FALSE),0),IF(AX41="K",VLOOKUP(K41,'Foundation Calculation'!$K$42:$R$80,VLOOKUP(AW41,'Foundation Calculation'!$I$2:$J$8,2,FALSE),0),""))</f>
        <v/>
      </c>
      <c r="BA41" s="671"/>
      <c r="BB41" s="449"/>
      <c r="BC41" s="169"/>
      <c r="BD41" s="1330"/>
      <c r="BE41" s="1330"/>
      <c r="BF41" s="1330"/>
      <c r="BG41" s="1330"/>
    </row>
    <row r="42" spans="1:59" ht="15.65" customHeight="1">
      <c r="A42" s="449"/>
      <c r="B42" s="485" t="s">
        <v>4045</v>
      </c>
      <c r="C42" s="446">
        <f>C40-G41</f>
        <v>552.99000000000012</v>
      </c>
      <c r="D42" s="638"/>
      <c r="E42" s="638"/>
      <c r="F42" s="447">
        <v>0</v>
      </c>
      <c r="G42" s="484"/>
      <c r="H42" s="1239"/>
      <c r="I42" s="448" t="s">
        <v>1039</v>
      </c>
      <c r="J42" s="446">
        <f>C42+7.5</f>
        <v>560.49000000000012</v>
      </c>
      <c r="K42" s="638" t="s">
        <v>2788</v>
      </c>
      <c r="L42" s="1239" t="s">
        <v>229</v>
      </c>
      <c r="M42" s="1239" t="s">
        <v>1474</v>
      </c>
      <c r="N42" s="638" t="s">
        <v>144</v>
      </c>
      <c r="O42" s="638"/>
      <c r="P42" s="638"/>
      <c r="Q42" s="638"/>
      <c r="R42" s="638"/>
      <c r="S42" s="484"/>
      <c r="T42" s="638">
        <v>35</v>
      </c>
      <c r="U42" s="638"/>
      <c r="V42" s="638"/>
      <c r="W42" s="638">
        <v>1.4</v>
      </c>
      <c r="X42" s="638"/>
      <c r="Y42" s="638"/>
      <c r="Z42" s="638"/>
      <c r="AA42" s="638"/>
      <c r="AB42" s="638"/>
      <c r="AC42" s="1239" t="str">
        <f>IF(OR(AT42&gt;8,AT42&lt;-8),"PH",IF(OR(AT42&gt;5,AT42&lt;-5),"PH-Q",IF(OR(AT42&gt;1,AT42&lt;-1),"PH-C")))</f>
        <v>PH-Q</v>
      </c>
      <c r="AD42" s="638"/>
      <c r="AE42" s="638"/>
      <c r="AF42" s="638"/>
      <c r="AG42" s="446"/>
      <c r="AH42" s="638"/>
      <c r="AI42" s="638"/>
      <c r="AJ42" s="638"/>
      <c r="AK42" s="638"/>
      <c r="AL42" s="1239"/>
      <c r="AM42" s="1239" t="s">
        <v>1042</v>
      </c>
      <c r="AN42" s="455">
        <v>5.5</v>
      </c>
      <c r="AO42" s="1239"/>
      <c r="AP42" s="1239"/>
      <c r="AQ42" s="484"/>
      <c r="AR42" s="484"/>
      <c r="AS42" s="484"/>
      <c r="AT42" s="484">
        <f>+ab($T$42,-$T$40,$T$44,$G$41,$G$43, 1*$F$42,1200)</f>
        <v>5.4659984765449963</v>
      </c>
      <c r="AU42" s="638"/>
      <c r="AV42" s="638"/>
      <c r="AW42" s="638" t="s">
        <v>4426</v>
      </c>
      <c r="AX42" s="638" t="s">
        <v>1371</v>
      </c>
      <c r="AY42" s="484">
        <v>3.5</v>
      </c>
      <c r="AZ42" s="484">
        <v>2.8</v>
      </c>
      <c r="BA42" s="1387" t="s">
        <v>2809</v>
      </c>
      <c r="BB42" s="449" t="s">
        <v>5012</v>
      </c>
      <c r="BC42" s="169" t="s">
        <v>4955</v>
      </c>
      <c r="BD42" s="1329"/>
      <c r="BE42" s="1329"/>
      <c r="BF42" s="1330"/>
      <c r="BG42" s="1329"/>
    </row>
    <row r="43" spans="1:59" ht="15.65" customHeight="1">
      <c r="A43" s="449"/>
      <c r="B43" s="445"/>
      <c r="C43" s="446"/>
      <c r="D43" s="638"/>
      <c r="E43" s="638"/>
      <c r="F43" s="447"/>
      <c r="G43" s="484">
        <v>40</v>
      </c>
      <c r="H43" s="1239"/>
      <c r="I43" s="448"/>
      <c r="J43" s="446"/>
      <c r="K43" s="638"/>
      <c r="L43" s="638"/>
      <c r="M43" s="638"/>
      <c r="N43" s="638"/>
      <c r="O43" s="638"/>
      <c r="P43" s="638"/>
      <c r="Q43" s="638"/>
      <c r="R43" s="638"/>
      <c r="S43" s="484"/>
      <c r="T43" s="638"/>
      <c r="U43" s="638"/>
      <c r="V43" s="638"/>
      <c r="W43" s="638"/>
      <c r="X43" s="638"/>
      <c r="Y43" s="638"/>
      <c r="Z43" s="638"/>
      <c r="AA43" s="638"/>
      <c r="AB43" s="638"/>
      <c r="AC43" s="1239"/>
      <c r="AD43" s="638"/>
      <c r="AE43" s="638"/>
      <c r="AF43" s="638"/>
      <c r="AG43" s="446"/>
      <c r="AH43" s="638"/>
      <c r="AI43" s="638"/>
      <c r="AJ43" s="638"/>
      <c r="AK43" s="638"/>
      <c r="AL43" s="638"/>
      <c r="AM43" s="638"/>
      <c r="AN43" s="455"/>
      <c r="AO43" s="1239"/>
      <c r="AP43" s="1239"/>
      <c r="AQ43" s="484">
        <f>+FL_1($T$44,$T$42,$G$43,1200,9.28, 1*$F$44)</f>
        <v>0.35000000000000125</v>
      </c>
      <c r="AR43" s="484"/>
      <c r="AS43" s="484"/>
      <c r="AT43" s="484"/>
      <c r="AU43" s="638"/>
      <c r="AV43" s="638"/>
      <c r="AW43" s="1239"/>
      <c r="AX43" s="1239"/>
      <c r="AY43" s="455"/>
      <c r="AZ43" s="455" t="str">
        <f>IF(AX43="PT",VLOOKUP(K43,'Foundation Calculation'!$K$2:$R$40,VLOOKUP(AW43,'Foundation Calculation'!$I$2:$J$8,2,FALSE),0),IF(AX43="K",VLOOKUP(K43,'Foundation Calculation'!$K$42:$R$80,VLOOKUP(AW43,'Foundation Calculation'!$I$2:$J$8,2,FALSE),0),""))</f>
        <v/>
      </c>
      <c r="BA43" s="671"/>
      <c r="BB43" s="449"/>
      <c r="BC43" s="169"/>
      <c r="BD43" s="1330"/>
      <c r="BE43" s="1330"/>
      <c r="BF43" s="1330"/>
      <c r="BG43" s="1330"/>
    </row>
    <row r="44" spans="1:59" ht="15.65" customHeight="1">
      <c r="A44" s="449"/>
      <c r="B44" s="485" t="s">
        <v>4044</v>
      </c>
      <c r="C44" s="446">
        <f>C42-G43</f>
        <v>512.99000000000012</v>
      </c>
      <c r="D44" s="638"/>
      <c r="E44" s="638"/>
      <c r="F44" s="447">
        <v>0</v>
      </c>
      <c r="G44" s="484"/>
      <c r="H44" s="1239"/>
      <c r="I44" s="448"/>
      <c r="J44" s="446"/>
      <c r="K44" s="638"/>
      <c r="L44" s="1239" t="s">
        <v>229</v>
      </c>
      <c r="M44" s="1239" t="s">
        <v>1474</v>
      </c>
      <c r="N44" s="638" t="s">
        <v>143</v>
      </c>
      <c r="O44" s="638"/>
      <c r="P44" s="638"/>
      <c r="Q44" s="638"/>
      <c r="R44" s="638"/>
      <c r="S44" s="484"/>
      <c r="T44" s="638">
        <v>-35</v>
      </c>
      <c r="U44" s="638"/>
      <c r="V44" s="638"/>
      <c r="W44" s="638">
        <v>1.4</v>
      </c>
      <c r="X44" s="638"/>
      <c r="Y44" s="638"/>
      <c r="Z44" s="638"/>
      <c r="AA44" s="638"/>
      <c r="AB44" s="638"/>
      <c r="AC44" s="1239" t="str">
        <f>IF(OR(AT44&gt;8,AT44&lt;-8),"PH",IF(OR(AT44&gt;5,AT44&lt;-5),"PH-Q",IF(OR(AT44&gt;1,AT44&lt;-1),"PH-C")))</f>
        <v>PH-Q</v>
      </c>
      <c r="AD44" s="638"/>
      <c r="AE44" s="638"/>
      <c r="AF44" s="638"/>
      <c r="AG44" s="446"/>
      <c r="AH44" s="638"/>
      <c r="AI44" s="638"/>
      <c r="AJ44" s="638"/>
      <c r="AK44" s="638"/>
      <c r="AL44" s="1239"/>
      <c r="AM44" s="1239" t="s">
        <v>1042</v>
      </c>
      <c r="AN44" s="455">
        <v>5.5</v>
      </c>
      <c r="AO44" s="1239"/>
      <c r="AP44" s="1239"/>
      <c r="AQ44" s="484"/>
      <c r="AR44" s="484"/>
      <c r="AS44" s="484"/>
      <c r="AT44" s="484">
        <f>+ab($T$44,$T$42,$T$46,$G$43,$G$45, 1*$F$44,1200)</f>
        <v>-5.5131328673234625</v>
      </c>
      <c r="AU44" s="638"/>
      <c r="AV44" s="638"/>
      <c r="AW44" s="638" t="s">
        <v>4426</v>
      </c>
      <c r="AX44" s="638" t="s">
        <v>1371</v>
      </c>
      <c r="AY44" s="484">
        <v>3.5</v>
      </c>
      <c r="AZ44" s="484"/>
      <c r="BA44" s="1387" t="s">
        <v>2809</v>
      </c>
      <c r="BB44" s="449" t="s">
        <v>5012</v>
      </c>
      <c r="BC44" s="169" t="s">
        <v>4955</v>
      </c>
      <c r="BD44" s="1329"/>
      <c r="BE44" s="1329"/>
      <c r="BF44" s="1330"/>
      <c r="BG44" s="1329"/>
    </row>
    <row r="45" spans="1:59" ht="15.65" customHeight="1">
      <c r="A45" s="449"/>
      <c r="B45" s="445"/>
      <c r="C45" s="446"/>
      <c r="D45" s="638"/>
      <c r="E45" s="638"/>
      <c r="F45" s="447"/>
      <c r="G45" s="484">
        <v>40.700000000000003</v>
      </c>
      <c r="H45" s="1239"/>
      <c r="I45" s="448"/>
      <c r="J45" s="446">
        <f>C46+7.5</f>
        <v>89560.5</v>
      </c>
      <c r="K45" s="638" t="s">
        <v>2787</v>
      </c>
      <c r="L45" s="638"/>
      <c r="M45" s="638"/>
      <c r="N45" s="638"/>
      <c r="O45" s="638"/>
      <c r="P45" s="638"/>
      <c r="Q45" s="638"/>
      <c r="R45" s="638"/>
      <c r="S45" s="484"/>
      <c r="T45" s="638"/>
      <c r="U45" s="638"/>
      <c r="V45" s="638"/>
      <c r="W45" s="638"/>
      <c r="X45" s="638"/>
      <c r="Y45" s="638"/>
      <c r="Z45" s="638"/>
      <c r="AA45" s="638"/>
      <c r="AB45" s="638"/>
      <c r="AC45" s="1239"/>
      <c r="AD45" s="638"/>
      <c r="AE45" s="638"/>
      <c r="AF45" s="638"/>
      <c r="AG45" s="446"/>
      <c r="AH45" s="638"/>
      <c r="AI45" s="638"/>
      <c r="AJ45" s="638"/>
      <c r="AK45" s="638"/>
      <c r="AL45" s="638"/>
      <c r="AM45" s="638"/>
      <c r="AN45" s="455"/>
      <c r="AO45" s="1239"/>
      <c r="AP45" s="1239"/>
      <c r="AQ45" s="484">
        <f>+FL_2($T$46,$T$44,$G$45,1200,9.28, 1*$F$46)</f>
        <v>-0.3500000000000007</v>
      </c>
      <c r="AR45" s="484"/>
      <c r="AS45" s="484"/>
      <c r="AT45" s="484"/>
      <c r="AU45" s="638"/>
      <c r="AV45" s="638"/>
      <c r="AW45" s="638" t="str">
        <f>VLOOKUP(J45,'Foundation Calculation'!$A$2:$C$33,3,1)</f>
        <v>Soil B</v>
      </c>
      <c r="AX45" s="638" t="str">
        <f>VLOOKUP(J45,'Foundation Calculation'!$E$2:$G$33,3,1)</f>
        <v>PT</v>
      </c>
      <c r="AY45" s="484"/>
      <c r="AZ45" s="484">
        <f>IF(AX45="PT",VLOOKUP(K45,'Foundation Calculation'!$K$2:$R$40,VLOOKUP(AW45,'Foundation Calculation'!$I$2:$J$8,2,FALSE),0),IF(AX45="K",VLOOKUP(K45,'Foundation Calculation'!$K$42:$R$80,VLOOKUP(AW45,'Foundation Calculation'!$I$2:$J$8,2,FALSE),0),""))</f>
        <v>3.9</v>
      </c>
      <c r="BA45" s="671" t="s">
        <v>2809</v>
      </c>
      <c r="BB45" s="449"/>
      <c r="BC45" s="169"/>
      <c r="BD45" s="1329">
        <v>43787</v>
      </c>
      <c r="BE45" s="1330"/>
      <c r="BF45" s="1330"/>
      <c r="BG45" s="1330"/>
    </row>
    <row r="46" spans="1:59" ht="15.65" customHeight="1">
      <c r="A46" s="449"/>
      <c r="B46" s="485" t="s">
        <v>4060</v>
      </c>
      <c r="C46" s="446">
        <v>89553</v>
      </c>
      <c r="D46" s="638"/>
      <c r="E46" s="638"/>
      <c r="F46" s="447">
        <v>0</v>
      </c>
      <c r="G46" s="484"/>
      <c r="H46" s="1239" t="s">
        <v>890</v>
      </c>
      <c r="I46" s="448" t="s">
        <v>623</v>
      </c>
      <c r="J46" s="446"/>
      <c r="K46" s="638"/>
      <c r="L46" s="1239" t="s">
        <v>898</v>
      </c>
      <c r="M46" s="1239" t="str">
        <f>IF(AX46="PT",VLOOKUP(L46,'Foundation Calculation'!$V$2:$X$40,VLOOKUP(AX46,'Foundation Calculation'!$I$10:$J$13,2,FALSE),0),IF(AX46="K",VLOOKUP(L46,'Foundation Calculation'!$V$42:$X$80,VLOOKUP(AX46,'Foundation Calculation'!$I$10:$J$13,2,FALSE),0),""))</f>
        <v>C4R</v>
      </c>
      <c r="N46" s="638" t="s">
        <v>144</v>
      </c>
      <c r="O46" s="638"/>
      <c r="P46" s="638"/>
      <c r="Q46" s="638"/>
      <c r="R46" s="638"/>
      <c r="S46" s="484"/>
      <c r="T46" s="638">
        <v>35</v>
      </c>
      <c r="U46" s="638"/>
      <c r="V46" s="638"/>
      <c r="W46" s="638">
        <v>1.4</v>
      </c>
      <c r="X46" s="638"/>
      <c r="Y46" s="638"/>
      <c r="Z46" s="638"/>
      <c r="AA46" s="638"/>
      <c r="AB46" s="638"/>
      <c r="AC46" s="1239" t="str">
        <f>IF(OR(AT46&gt;8,AT46&lt;-8),"PH",IF(OR(AT46&gt;5,AT46&lt;-5),"PH-Q",IF(OR(AT46&gt;1,AT46&lt;-1),"PH-C")))</f>
        <v>PH-Q</v>
      </c>
      <c r="AD46" s="638"/>
      <c r="AE46" s="638"/>
      <c r="AF46" s="638"/>
      <c r="AG46" s="446"/>
      <c r="AH46" s="638"/>
      <c r="AI46" s="638"/>
      <c r="AJ46" s="638"/>
      <c r="AK46" s="638"/>
      <c r="AL46" s="1239"/>
      <c r="AM46" s="1239" t="s">
        <v>1042</v>
      </c>
      <c r="AN46" s="455">
        <v>5.5</v>
      </c>
      <c r="AO46" s="1239"/>
      <c r="AP46" s="1239"/>
      <c r="AQ46" s="484"/>
      <c r="AR46" s="484"/>
      <c r="AS46" s="484"/>
      <c r="AT46" s="484">
        <f>+ab($T$46,$T$44,$U$48,$G$45,$G$47, 1*$F$46,1200)</f>
        <v>5.8059981246543382</v>
      </c>
      <c r="AU46" s="638"/>
      <c r="AV46" s="638"/>
      <c r="AW46" s="1239" t="str">
        <f>VLOOKUP(C46,'Foundation Calculation'!$A$2:$C$33,3,1)</f>
        <v>Soil B</v>
      </c>
      <c r="AX46" s="1239" t="str">
        <f>VLOOKUP(C46,'Foundation Calculation'!$E$2:$G$33,3,1)</f>
        <v>PT</v>
      </c>
      <c r="AY46" s="455">
        <f>IF(AX46="PT",VLOOKUP(L46,'Foundation Calculation'!$K$2:$R$40,VLOOKUP(AW46,'Foundation Calculation'!$I$2:$J$8,2,FALSE),0),IF(AX46="K",VLOOKUP(L46,'Foundation Calculation'!$K$42:$R$80,VLOOKUP(AW46,'Foundation Calculation'!$I$2:$J$8,2,FALSE),0),""))</f>
        <v>3.5</v>
      </c>
      <c r="AZ46" s="455"/>
      <c r="BA46" s="671" t="s">
        <v>2809</v>
      </c>
      <c r="BB46" s="449" t="str">
        <f>Pole_Calculations!A20</f>
        <v>App.7-V11A-P9.5.1.6</v>
      </c>
      <c r="BC46" s="169"/>
      <c r="BD46" s="1329">
        <v>43787</v>
      </c>
      <c r="BE46" s="1329"/>
      <c r="BF46" s="1330"/>
      <c r="BG46" s="1329"/>
    </row>
    <row r="47" spans="1:59" ht="15.65" customHeight="1">
      <c r="A47" s="449"/>
      <c r="B47" s="445"/>
      <c r="C47" s="446"/>
      <c r="D47" s="638"/>
      <c r="E47" s="638"/>
      <c r="F47" s="447"/>
      <c r="G47" s="484">
        <v>41.3</v>
      </c>
      <c r="H47" s="1239"/>
      <c r="I47" s="448">
        <v>298</v>
      </c>
      <c r="J47" s="446"/>
      <c r="K47" s="638"/>
      <c r="L47" s="638"/>
      <c r="M47" s="638"/>
      <c r="N47" s="638"/>
      <c r="O47" s="638"/>
      <c r="P47" s="638"/>
      <c r="Q47" s="638"/>
      <c r="R47" s="638"/>
      <c r="S47" s="484"/>
      <c r="T47" s="638"/>
      <c r="U47" s="638"/>
      <c r="V47" s="638"/>
      <c r="W47" s="638"/>
      <c r="X47" s="638"/>
      <c r="Y47" s="638"/>
      <c r="Z47" s="638"/>
      <c r="AA47" s="638"/>
      <c r="AB47" s="638"/>
      <c r="AC47" s="1239"/>
      <c r="AD47" s="638"/>
      <c r="AE47" s="638"/>
      <c r="AF47" s="638"/>
      <c r="AG47" s="446"/>
      <c r="AH47" s="638"/>
      <c r="AI47" s="638"/>
      <c r="AJ47" s="638"/>
      <c r="AK47" s="638"/>
      <c r="AL47" s="638"/>
      <c r="AM47" s="638"/>
      <c r="AN47" s="455"/>
      <c r="AO47" s="1239"/>
      <c r="AP47" s="1239"/>
      <c r="AQ47" s="484">
        <f>+FL_2($U$48,$T$46,$G$47,1200,9.28, 1*$F$48)</f>
        <v>-0.30003445036319609</v>
      </c>
      <c r="AR47" s="484"/>
      <c r="AS47" s="484"/>
      <c r="AT47" s="484"/>
      <c r="AU47" s="638"/>
      <c r="AV47" s="638"/>
      <c r="AW47" s="638"/>
      <c r="AX47" s="638"/>
      <c r="AY47" s="484"/>
      <c r="AZ47" s="484"/>
      <c r="BA47" s="671"/>
      <c r="BB47" s="449"/>
      <c r="BC47" s="169"/>
      <c r="BD47" s="1330"/>
      <c r="BE47" s="1330"/>
      <c r="BF47" s="1330"/>
      <c r="BG47" s="1330"/>
    </row>
    <row r="48" spans="1:59" ht="15.65" customHeight="1">
      <c r="A48" s="449"/>
      <c r="B48" s="435" t="s">
        <v>4055</v>
      </c>
      <c r="C48" s="446">
        <v>89513</v>
      </c>
      <c r="D48" s="173"/>
      <c r="E48" s="447"/>
      <c r="F48" s="447">
        <v>0</v>
      </c>
      <c r="G48" s="484"/>
      <c r="H48" s="1239" t="s">
        <v>619</v>
      </c>
      <c r="I48" s="1239"/>
      <c r="J48" s="171"/>
      <c r="K48" s="638"/>
      <c r="L48" s="638" t="s">
        <v>4664</v>
      </c>
      <c r="M48" s="638" t="str">
        <f>IF(AX48="PT",VLOOKUP(L48,'Foundation Calculation'!$V$2:$X$40,VLOOKUP(AX48,'Foundation Calculation'!$I$10:$J$13,2,FALSE),0),IF(AX48="K",VLOOKUP(L48,'Foundation Calculation'!$V$42:$X$80,VLOOKUP(AX48,'Foundation Calculation'!$I$10:$J$13,2,FALSE),0),""))</f>
        <v>C11R</v>
      </c>
      <c r="N48" s="1239" t="s">
        <v>140</v>
      </c>
      <c r="O48" s="1239" t="s">
        <v>143</v>
      </c>
      <c r="P48" s="1239"/>
      <c r="Q48" s="638"/>
      <c r="R48" s="638"/>
      <c r="S48" s="484"/>
      <c r="T48" s="638">
        <v>-45</v>
      </c>
      <c r="U48" s="638">
        <v>-30</v>
      </c>
      <c r="V48" s="638"/>
      <c r="W48" s="638">
        <v>1.8</v>
      </c>
      <c r="X48" s="638">
        <v>1.4</v>
      </c>
      <c r="Y48" s="638"/>
      <c r="Z48" s="638">
        <v>0.45</v>
      </c>
      <c r="AA48" s="638"/>
      <c r="AB48" s="638"/>
      <c r="AC48" s="638"/>
      <c r="AD48" s="638"/>
      <c r="AE48" s="638"/>
      <c r="AF48" s="638"/>
      <c r="AG48" s="446"/>
      <c r="AH48" s="638"/>
      <c r="AI48" s="638"/>
      <c r="AJ48" s="638"/>
      <c r="AK48" s="638"/>
      <c r="AL48" s="638" t="s">
        <v>2143</v>
      </c>
      <c r="AM48" s="638" t="s">
        <v>1042</v>
      </c>
      <c r="AN48" s="455">
        <v>5.5</v>
      </c>
      <c r="AO48" s="1239"/>
      <c r="AP48" s="1239"/>
      <c r="AQ48" s="484"/>
      <c r="AR48" s="484"/>
      <c r="AS48" s="484"/>
      <c r="AT48" s="484">
        <f>+ab($U$48,$T$46,$U$50,$G$47,$G$49, 1*$F$48,1200)</f>
        <v>-6.8846032440082503</v>
      </c>
      <c r="AU48" s="638"/>
      <c r="AV48" s="638"/>
      <c r="AW48" s="638" t="str">
        <f>VLOOKUP(C48,'Foundation Calculation'!$A$2:$C$33,3,1)</f>
        <v>Soil B</v>
      </c>
      <c r="AX48" s="638" t="str">
        <f>VLOOKUP(C48,'Foundation Calculation'!$E$2:$G$33,3,1)</f>
        <v>PT</v>
      </c>
      <c r="AY48" s="484">
        <f>IF(AX48="PT",VLOOKUP(L48,'Foundation Calculation'!$K$2:$R$40,VLOOKUP(AW48,'Foundation Calculation'!$I$2:$J$8,2,FALSE),0),IF(AX48="K",VLOOKUP(L48,'Foundation Calculation'!$K$42:$R$80,VLOOKUP(AW48,'Foundation Calculation'!$I$2:$J$8,2,FALSE),0),""))</f>
        <v>4.4000000000000004</v>
      </c>
      <c r="AZ48" s="484"/>
      <c r="BA48" s="671" t="s">
        <v>2809</v>
      </c>
      <c r="BB48" s="449" t="str">
        <f>Pole_Calculations!A178</f>
        <v>App.8-V08F-P10.3</v>
      </c>
      <c r="BC48" s="169"/>
      <c r="BD48" s="1329">
        <v>43852</v>
      </c>
      <c r="BE48" s="1329"/>
      <c r="BF48" s="1329"/>
      <c r="BG48" s="1329"/>
    </row>
    <row r="49" spans="1:59" ht="15.65" customHeight="1">
      <c r="A49" s="449"/>
      <c r="B49" s="445"/>
      <c r="C49" s="446"/>
      <c r="D49" s="638"/>
      <c r="E49" s="638"/>
      <c r="F49" s="447"/>
      <c r="G49" s="484">
        <v>50</v>
      </c>
      <c r="H49" s="1239"/>
      <c r="I49" s="448"/>
      <c r="J49" s="446"/>
      <c r="K49" s="638"/>
      <c r="L49" s="638"/>
      <c r="M49" s="638"/>
      <c r="N49" s="638"/>
      <c r="O49" s="638"/>
      <c r="P49" s="638"/>
      <c r="Q49" s="638"/>
      <c r="R49" s="638"/>
      <c r="S49" s="484"/>
      <c r="T49" s="638"/>
      <c r="U49" s="638"/>
      <c r="V49" s="638"/>
      <c r="W49" s="638"/>
      <c r="X49" s="638"/>
      <c r="Y49" s="638"/>
      <c r="Z49" s="638"/>
      <c r="AA49" s="638"/>
      <c r="AB49" s="638"/>
      <c r="AC49" s="1239"/>
      <c r="AD49" s="638"/>
      <c r="AE49" s="638"/>
      <c r="AF49" s="638"/>
      <c r="AG49" s="446"/>
      <c r="AH49" s="638"/>
      <c r="AI49" s="638"/>
      <c r="AJ49" s="638"/>
      <c r="AK49" s="638"/>
      <c r="AL49" s="638"/>
      <c r="AM49" s="638"/>
      <c r="AN49" s="455"/>
      <c r="AO49" s="1239"/>
      <c r="AP49" s="1239"/>
      <c r="AQ49" s="484">
        <f>+FL_2($U$50,$U$48,$G$49,1200,9.28, 1*$F$50)</f>
        <v>-0.33477011200000012</v>
      </c>
      <c r="AR49" s="484"/>
      <c r="AS49" s="484"/>
      <c r="AT49" s="484"/>
      <c r="AU49" s="638"/>
      <c r="AV49" s="638"/>
      <c r="AW49" s="638"/>
      <c r="AX49" s="572"/>
      <c r="AY49" s="484"/>
      <c r="AZ49" s="484"/>
      <c r="BA49" s="671"/>
      <c r="BB49" s="449"/>
      <c r="BC49" s="169"/>
      <c r="BD49" s="1330"/>
      <c r="BE49" s="1330"/>
      <c r="BF49" s="1330"/>
      <c r="BG49" s="1330"/>
    </row>
    <row r="50" spans="1:59" ht="15.65" customHeight="1">
      <c r="A50" s="449"/>
      <c r="B50" s="435" t="s">
        <v>4056</v>
      </c>
      <c r="C50" s="446">
        <v>89463</v>
      </c>
      <c r="D50" s="173"/>
      <c r="E50" s="447"/>
      <c r="F50" s="447">
        <v>0</v>
      </c>
      <c r="G50" s="484"/>
      <c r="H50" s="1239" t="s">
        <v>2776</v>
      </c>
      <c r="I50" s="1239"/>
      <c r="J50" s="171"/>
      <c r="K50" s="638"/>
      <c r="L50" s="638" t="s">
        <v>4664</v>
      </c>
      <c r="M50" s="638" t="str">
        <f>IF(AX50="PT",VLOOKUP(L50,'Foundation Calculation'!$V$2:$X$40,VLOOKUP(AX50,'Foundation Calculation'!$I$10:$J$13,2,FALSE),0),IF(AX50="K",VLOOKUP(L50,'Foundation Calculation'!$V$42:$X$80,VLOOKUP(AX50,'Foundation Calculation'!$I$10:$J$13,2,FALSE),0),""))</f>
        <v>C11R</v>
      </c>
      <c r="N50" s="1239" t="s">
        <v>143</v>
      </c>
      <c r="O50" s="1239" t="s">
        <v>144</v>
      </c>
      <c r="P50" s="1239"/>
      <c r="Q50" s="638"/>
      <c r="R50" s="638"/>
      <c r="S50" s="484"/>
      <c r="T50" s="638">
        <v>15</v>
      </c>
      <c r="U50" s="638">
        <v>30</v>
      </c>
      <c r="V50" s="638"/>
      <c r="W50" s="638">
        <v>1.8</v>
      </c>
      <c r="X50" s="638">
        <v>1.4</v>
      </c>
      <c r="Y50" s="638"/>
      <c r="Z50" s="638"/>
      <c r="AA50" s="638"/>
      <c r="AB50" s="638"/>
      <c r="AC50" s="638" t="s">
        <v>1428</v>
      </c>
      <c r="AD50" s="638" t="s">
        <v>2773</v>
      </c>
      <c r="AE50" s="638"/>
      <c r="AF50" s="638"/>
      <c r="AG50" s="446"/>
      <c r="AH50" s="638"/>
      <c r="AI50" s="638"/>
      <c r="AJ50" s="638"/>
      <c r="AK50" s="638"/>
      <c r="AL50" s="638" t="s">
        <v>2143</v>
      </c>
      <c r="AM50" s="638" t="s">
        <v>1042</v>
      </c>
      <c r="AN50" s="455">
        <v>5.5</v>
      </c>
      <c r="AO50" s="1239"/>
      <c r="AP50" s="1239"/>
      <c r="AQ50" s="484"/>
      <c r="AR50" s="484"/>
      <c r="AS50" s="484"/>
      <c r="AT50" s="484">
        <f>+ab($U$50,$U$48,$T$52,$G$49,$G$51, 1*$F$50,1200)</f>
        <v>7.6302609697052421</v>
      </c>
      <c r="AU50" s="638"/>
      <c r="AV50" s="638"/>
      <c r="AW50" s="638" t="str">
        <f>VLOOKUP(C50,'Foundation Calculation'!$A$2:$C$33,3,1)</f>
        <v>Soil B</v>
      </c>
      <c r="AX50" s="638" t="str">
        <f>VLOOKUP(C50,'Foundation Calculation'!$E$2:$G$33,3,1)</f>
        <v>PT</v>
      </c>
      <c r="AY50" s="484">
        <f>IF(AX50="PT",VLOOKUP(L50,'Foundation Calculation'!$K$2:$R$40,VLOOKUP(AW50,'Foundation Calculation'!$I$2:$J$8,2,FALSE),0),IF(AX50="K",VLOOKUP(L50,'Foundation Calculation'!$K$42:$R$80,VLOOKUP(AW50,'Foundation Calculation'!$I$2:$J$8,2,FALSE),0),""))</f>
        <v>4.4000000000000004</v>
      </c>
      <c r="AZ50" s="484"/>
      <c r="BA50" s="671" t="s">
        <v>2809</v>
      </c>
      <c r="BB50" s="449" t="str">
        <f>Pole_Calculations!A178</f>
        <v>App.8-V08F-P10.3</v>
      </c>
      <c r="BC50" s="169"/>
      <c r="BD50" s="1329">
        <v>43838</v>
      </c>
      <c r="BE50" s="1329"/>
      <c r="BF50" s="1329"/>
      <c r="BG50" s="1329"/>
    </row>
    <row r="51" spans="1:59" ht="15.65" customHeight="1">
      <c r="A51" s="449"/>
      <c r="B51" s="445"/>
      <c r="C51" s="446"/>
      <c r="D51" s="638"/>
      <c r="E51" s="638"/>
      <c r="F51" s="447"/>
      <c r="G51" s="484">
        <v>50</v>
      </c>
      <c r="H51" s="1239"/>
      <c r="I51" s="448"/>
      <c r="J51" s="446"/>
      <c r="K51" s="638"/>
      <c r="L51" s="1239"/>
      <c r="M51" s="1239"/>
      <c r="N51" s="638"/>
      <c r="O51" s="638"/>
      <c r="P51" s="638"/>
      <c r="Q51" s="638"/>
      <c r="R51" s="638"/>
      <c r="S51" s="484"/>
      <c r="T51" s="638"/>
      <c r="U51" s="638"/>
      <c r="V51" s="638"/>
      <c r="W51" s="638"/>
      <c r="X51" s="638"/>
      <c r="Y51" s="638"/>
      <c r="Z51" s="638"/>
      <c r="AA51" s="638"/>
      <c r="AB51" s="638"/>
      <c r="AC51" s="1239"/>
      <c r="AD51" s="638"/>
      <c r="AE51" s="638"/>
      <c r="AF51" s="638"/>
      <c r="AG51" s="446"/>
      <c r="AH51" s="638"/>
      <c r="AI51" s="638"/>
      <c r="AJ51" s="638"/>
      <c r="AK51" s="638"/>
      <c r="AL51" s="1239"/>
      <c r="AM51" s="1239"/>
      <c r="AN51" s="455"/>
      <c r="AO51" s="1239"/>
      <c r="AP51" s="1239"/>
      <c r="AQ51" s="484">
        <f>+FL_2($T$52,$U$50,$G$51,1200,9.28, 1*$F$52)</f>
        <v>-0.37593390799999998</v>
      </c>
      <c r="AR51" s="484"/>
      <c r="AS51" s="484"/>
      <c r="AT51" s="484"/>
      <c r="AU51" s="638"/>
      <c r="AV51" s="638"/>
      <c r="AW51" s="638"/>
      <c r="AX51" s="638"/>
      <c r="AY51" s="484"/>
      <c r="AZ51" s="484"/>
      <c r="BA51" s="671"/>
      <c r="BB51" s="449"/>
      <c r="BC51" s="169"/>
      <c r="BD51" s="1330"/>
      <c r="BE51" s="1330"/>
      <c r="BF51" s="1330"/>
      <c r="BG51" s="1330"/>
    </row>
    <row r="52" spans="1:59" ht="15.65" customHeight="1">
      <c r="A52" s="449"/>
      <c r="B52" s="435" t="s">
        <v>4057</v>
      </c>
      <c r="C52" s="446">
        <v>89409</v>
      </c>
      <c r="D52" s="173"/>
      <c r="E52" s="447"/>
      <c r="F52" s="447">
        <v>0</v>
      </c>
      <c r="G52" s="484"/>
      <c r="H52" s="1239" t="s">
        <v>873</v>
      </c>
      <c r="I52" s="1239"/>
      <c r="J52" s="171"/>
      <c r="K52" s="638"/>
      <c r="L52" s="638" t="s">
        <v>4664</v>
      </c>
      <c r="M52" s="638" t="str">
        <f>IF(AX52="PT",VLOOKUP(L52,'Foundation Calculation'!$V$2:$X$40,VLOOKUP(AX52,'Foundation Calculation'!$I$10:$J$13,2,FALSE),0),IF(AX52="K",VLOOKUP(L52,'Foundation Calculation'!$V$42:$X$80,VLOOKUP(AX52,'Foundation Calculation'!$I$10:$J$13,2,FALSE),0),""))</f>
        <v>C11R</v>
      </c>
      <c r="N52" s="1239" t="s">
        <v>143</v>
      </c>
      <c r="O52" s="1239"/>
      <c r="P52" s="1239"/>
      <c r="Q52" s="638"/>
      <c r="R52" s="638"/>
      <c r="S52" s="484"/>
      <c r="T52" s="638">
        <v>-35</v>
      </c>
      <c r="U52" s="638"/>
      <c r="V52" s="638"/>
      <c r="W52" s="638">
        <v>1.4</v>
      </c>
      <c r="X52" s="638"/>
      <c r="Y52" s="638"/>
      <c r="Z52" s="638"/>
      <c r="AA52" s="638"/>
      <c r="AB52" s="638"/>
      <c r="AC52" s="638" t="str">
        <f>IF(OR(AT52&gt;8,AT52&lt;-8),"PH",IF(OR(AT52&gt;5,AT52&lt;-5),"PH-Q",IF(OR(AT52&gt;1,AT52&lt;-1),"PH-C")))</f>
        <v>PH-Q</v>
      </c>
      <c r="AD52" s="638"/>
      <c r="AE52" s="638"/>
      <c r="AF52" s="638"/>
      <c r="AG52" s="446"/>
      <c r="AH52" s="638"/>
      <c r="AI52" s="638"/>
      <c r="AJ52" s="638"/>
      <c r="AK52" s="638"/>
      <c r="AL52" s="638" t="s">
        <v>2143</v>
      </c>
      <c r="AM52" s="638" t="s">
        <v>1042</v>
      </c>
      <c r="AN52" s="455">
        <v>5.5</v>
      </c>
      <c r="AO52" s="1239"/>
      <c r="AP52" s="1239"/>
      <c r="AQ52" s="484"/>
      <c r="AR52" s="484"/>
      <c r="AS52" s="484"/>
      <c r="AT52" s="484">
        <f>+ab($T$52,$U$50,$T$54,$G$51,$G$53, 1*$F$52,1200)</f>
        <v>-7.3400811258310981</v>
      </c>
      <c r="AU52" s="638"/>
      <c r="AV52" s="638"/>
      <c r="AW52" s="638" t="str">
        <f>VLOOKUP(C52,'Foundation Calculation'!$A$2:$C$33,3,1)</f>
        <v>Soil B</v>
      </c>
      <c r="AX52" s="638" t="str">
        <f>VLOOKUP(C52,'Foundation Calculation'!$E$2:$G$33,3,1)</f>
        <v>PT</v>
      </c>
      <c r="AY52" s="484">
        <f>IF(AX52="PT",VLOOKUP(L52,'Foundation Calculation'!$K$2:$R$40,VLOOKUP(AW52,'Foundation Calculation'!$I$2:$J$8,2,FALSE),0),IF(AX52="K",VLOOKUP(L52,'Foundation Calculation'!$K$42:$R$80,VLOOKUP(AW52,'Foundation Calculation'!$I$2:$J$8,2,FALSE),0),""))</f>
        <v>4.4000000000000004</v>
      </c>
      <c r="AZ52" s="484"/>
      <c r="BA52" s="671" t="s">
        <v>2809</v>
      </c>
      <c r="BB52" s="449" t="str">
        <f>Pole_Calculations!A178</f>
        <v>App.8-V08F-P10.3</v>
      </c>
      <c r="BC52" s="169"/>
      <c r="BD52" s="1329">
        <v>43838</v>
      </c>
      <c r="BE52" s="1329"/>
      <c r="BF52" s="1329"/>
      <c r="BG52" s="1329"/>
    </row>
    <row r="53" spans="1:59" ht="15.65" customHeight="1">
      <c r="A53" s="424" t="s">
        <v>1663</v>
      </c>
      <c r="B53" s="425"/>
      <c r="C53" s="426"/>
      <c r="D53" s="487"/>
      <c r="E53" s="487"/>
      <c r="F53" s="427"/>
      <c r="G53" s="486">
        <v>50</v>
      </c>
      <c r="H53" s="428"/>
      <c r="I53" s="429"/>
      <c r="J53" s="426">
        <f>C52-7.5</f>
        <v>89401.5</v>
      </c>
      <c r="K53" s="487" t="s">
        <v>2788</v>
      </c>
      <c r="L53" s="487"/>
      <c r="M53" s="487"/>
      <c r="N53" s="487"/>
      <c r="O53" s="487"/>
      <c r="P53" s="487"/>
      <c r="Q53" s="487"/>
      <c r="R53" s="487"/>
      <c r="S53" s="486"/>
      <c r="T53" s="487"/>
      <c r="U53" s="487"/>
      <c r="V53" s="487"/>
      <c r="W53" s="487"/>
      <c r="X53" s="487"/>
      <c r="Y53" s="487"/>
      <c r="Z53" s="487"/>
      <c r="AA53" s="487"/>
      <c r="AB53" s="487"/>
      <c r="AC53" s="428"/>
      <c r="AD53" s="487"/>
      <c r="AE53" s="487"/>
      <c r="AF53" s="487"/>
      <c r="AG53" s="426"/>
      <c r="AH53" s="487"/>
      <c r="AI53" s="487"/>
      <c r="AJ53" s="487"/>
      <c r="AK53" s="487"/>
      <c r="AL53" s="487"/>
      <c r="AM53" s="487"/>
      <c r="AN53" s="456"/>
      <c r="AO53" s="428"/>
      <c r="AP53" s="428"/>
      <c r="AQ53" s="486">
        <f>+FL_2($T$54,$T$52,$G$53,1200,9.28, 1*$F$54)</f>
        <v>-0.37593390799999998</v>
      </c>
      <c r="AR53" s="486"/>
      <c r="AS53" s="486"/>
      <c r="AT53" s="486"/>
      <c r="AU53" s="487"/>
      <c r="AV53" s="487"/>
      <c r="AW53" s="487" t="str">
        <f>VLOOKUP(J53,'Foundation Calculation'!$A$2:$C$33,3,1)</f>
        <v>Soil B</v>
      </c>
      <c r="AX53" s="487" t="str">
        <f>VLOOKUP(J53,'Foundation Calculation'!$E$2:$G$33,3,1)</f>
        <v>PT</v>
      </c>
      <c r="AY53" s="486"/>
      <c r="AZ53" s="486">
        <f>IF(AX53="PT",VLOOKUP(K53,'Foundation Calculation'!$K$2:$R$40,VLOOKUP(AW53,'Foundation Calculation'!$I$2:$J$8,2,FALSE),0),IF(AX53="K",VLOOKUP(K53,'Foundation Calculation'!$K$42:$R$80,VLOOKUP(AW53,'Foundation Calculation'!$I$2:$J$8,2,FALSE),0),""))</f>
        <v>2.8</v>
      </c>
      <c r="BA53" s="672" t="s">
        <v>2809</v>
      </c>
      <c r="BB53" s="424"/>
      <c r="BC53" s="169"/>
      <c r="BD53" s="1329">
        <v>43838</v>
      </c>
      <c r="BE53" s="1330"/>
      <c r="BF53" s="1330"/>
      <c r="BG53" s="1330"/>
    </row>
    <row r="54" spans="1:59" ht="15.65" customHeight="1">
      <c r="A54" s="449" t="s">
        <v>4072</v>
      </c>
      <c r="B54" s="435" t="s">
        <v>4058</v>
      </c>
      <c r="C54" s="446">
        <v>89359</v>
      </c>
      <c r="D54" s="173"/>
      <c r="E54" s="447"/>
      <c r="F54" s="447">
        <v>0</v>
      </c>
      <c r="G54" s="484"/>
      <c r="H54" s="1239" t="s">
        <v>619</v>
      </c>
      <c r="I54" s="1239"/>
      <c r="J54" s="171"/>
      <c r="K54" s="638"/>
      <c r="L54" s="638" t="s">
        <v>4664</v>
      </c>
      <c r="M54" s="638" t="str">
        <f>IF(AX54="PT",VLOOKUP(L54,'Foundation Calculation'!$V$2:$X$40,VLOOKUP(AX54,'Foundation Calculation'!$I$10:$J$13,2,FALSE),0),IF(AX54="K",VLOOKUP(L54,'Foundation Calculation'!$V$42:$X$80,VLOOKUP(AX54,'Foundation Calculation'!$I$10:$J$13,2,FALSE),0),""))</f>
        <v>C11R</v>
      </c>
      <c r="N54" s="1239" t="s">
        <v>144</v>
      </c>
      <c r="O54" s="1239" t="s">
        <v>140</v>
      </c>
      <c r="P54" s="1239"/>
      <c r="Q54" s="638"/>
      <c r="R54" s="638"/>
      <c r="S54" s="484"/>
      <c r="T54" s="638">
        <v>30</v>
      </c>
      <c r="U54" s="638">
        <v>65</v>
      </c>
      <c r="V54" s="638"/>
      <c r="W54" s="638">
        <v>1.8</v>
      </c>
      <c r="X54" s="638">
        <v>1.4</v>
      </c>
      <c r="Y54" s="638"/>
      <c r="Z54" s="638"/>
      <c r="AA54" s="638">
        <v>0.6</v>
      </c>
      <c r="AB54" s="638"/>
      <c r="AC54" s="638" t="str">
        <f>IF(OR(AT54&gt;8,AT54&lt;-8),"PH",IF(OR(AT54&gt;5,AT54&lt;-5),"PH-Q",IF(OR(AT54&gt;1,AT54&lt;-1),"PH-C")))</f>
        <v>PH-Q</v>
      </c>
      <c r="AD54" s="638"/>
      <c r="AE54" s="638"/>
      <c r="AF54" s="638"/>
      <c r="AG54" s="446"/>
      <c r="AH54" s="638"/>
      <c r="AI54" s="638"/>
      <c r="AJ54" s="638" t="s">
        <v>4154</v>
      </c>
      <c r="AK54" s="638"/>
      <c r="AL54" s="638" t="s">
        <v>2143</v>
      </c>
      <c r="AM54" s="638" t="s">
        <v>1042</v>
      </c>
      <c r="AN54" s="455">
        <v>5.5</v>
      </c>
      <c r="AO54" s="1239"/>
      <c r="AP54" s="1239"/>
      <c r="AQ54" s="484"/>
      <c r="AR54" s="484"/>
      <c r="AS54" s="484"/>
      <c r="AT54" s="484">
        <f>+ab($T$54,$T$52,$T$56,$G$53,$G$55, 1*$F$54,1200)</f>
        <v>5.6772329188818285</v>
      </c>
      <c r="AU54" s="638"/>
      <c r="AV54" s="638"/>
      <c r="AW54" s="638" t="str">
        <f>VLOOKUP(C54,'Foundation Calculation'!$A$2:$C$33,3,1)</f>
        <v>Soil B</v>
      </c>
      <c r="AX54" s="638" t="str">
        <f>VLOOKUP(C54,'Foundation Calculation'!$E$2:$G$33,3,1)</f>
        <v>PT</v>
      </c>
      <c r="AY54" s="484">
        <f>IF(AX54="PT",VLOOKUP(L54,'Foundation Calculation'!$K$2:$R$40,VLOOKUP(AW54,'Foundation Calculation'!$I$2:$J$8,2,FALSE),0),IF(AX54="K",VLOOKUP(L54,'Foundation Calculation'!$K$42:$R$80,VLOOKUP(AW54,'Foundation Calculation'!$I$2:$J$8,2,FALSE),0),""))</f>
        <v>4.4000000000000004</v>
      </c>
      <c r="AZ54" s="484"/>
      <c r="BA54" s="671"/>
      <c r="BB54" s="449" t="str">
        <f>Pole_Calculations!A178</f>
        <v>App.8-V08F-P10.3</v>
      </c>
      <c r="BC54" s="169"/>
      <c r="BD54" s="1329"/>
      <c r="BE54" s="1329"/>
      <c r="BF54" s="1329"/>
      <c r="BG54" s="1329"/>
    </row>
    <row r="55" spans="1:59" ht="15.65" customHeight="1">
      <c r="A55" s="449"/>
      <c r="B55" s="445"/>
      <c r="C55" s="446"/>
      <c r="D55" s="638"/>
      <c r="E55" s="638"/>
      <c r="F55" s="447"/>
      <c r="G55" s="484">
        <v>29</v>
      </c>
      <c r="H55" s="1239"/>
      <c r="I55" s="448"/>
      <c r="J55" s="446"/>
      <c r="K55" s="638"/>
      <c r="L55" s="638"/>
      <c r="M55" s="638"/>
      <c r="N55" s="638"/>
      <c r="O55" s="638"/>
      <c r="P55" s="638"/>
      <c r="Q55" s="638"/>
      <c r="R55" s="638"/>
      <c r="S55" s="484"/>
      <c r="T55" s="638"/>
      <c r="U55" s="638"/>
      <c r="V55" s="638"/>
      <c r="W55" s="638"/>
      <c r="X55" s="638"/>
      <c r="Y55" s="638"/>
      <c r="Z55" s="638"/>
      <c r="AA55" s="638"/>
      <c r="AB55" s="638"/>
      <c r="AC55" s="1239"/>
      <c r="AD55" s="638"/>
      <c r="AE55" s="638"/>
      <c r="AF55" s="638"/>
      <c r="AG55" s="446"/>
      <c r="AH55" s="638"/>
      <c r="AI55" s="638"/>
      <c r="AJ55" s="638" t="s">
        <v>1665</v>
      </c>
      <c r="AK55" s="638"/>
      <c r="AL55" s="638"/>
      <c r="AM55" s="638"/>
      <c r="AN55" s="455"/>
      <c r="AO55" s="1239"/>
      <c r="AP55" s="1239"/>
      <c r="AQ55" s="484"/>
      <c r="AR55" s="484"/>
      <c r="AS55" s="484"/>
      <c r="AT55" s="484"/>
      <c r="AU55" s="638"/>
      <c r="AV55" s="638"/>
      <c r="AW55" s="638"/>
      <c r="AX55" s="572"/>
      <c r="AY55" s="484"/>
      <c r="AZ55" s="484"/>
      <c r="BA55" s="671"/>
      <c r="BB55" s="449"/>
      <c r="BC55" s="169"/>
      <c r="BD55" s="1330"/>
      <c r="BE55" s="1330"/>
      <c r="BF55" s="1330"/>
      <c r="BG55" s="1330"/>
    </row>
    <row r="56" spans="1:59" ht="15.65" customHeight="1">
      <c r="A56" s="449"/>
      <c r="B56" s="485" t="s">
        <v>4059</v>
      </c>
      <c r="C56" s="446">
        <v>89330</v>
      </c>
      <c r="D56" s="638"/>
      <c r="E56" s="638"/>
      <c r="F56" s="447">
        <v>0</v>
      </c>
      <c r="G56" s="484"/>
      <c r="H56" s="1239" t="s">
        <v>138</v>
      </c>
      <c r="I56" s="448" t="s">
        <v>623</v>
      </c>
      <c r="J56" s="446"/>
      <c r="K56" s="638"/>
      <c r="L56" s="1239" t="s">
        <v>822</v>
      </c>
      <c r="M56" s="1239" t="str">
        <f>IF(AX56="PT",VLOOKUP(L56,'Foundation Calculation'!$V$2:$X$40,VLOOKUP(AX56,'Foundation Calculation'!$I$10:$J$13,2,FALSE),0),IF(AX56="K",VLOOKUP(L56,'Foundation Calculation'!$V$42:$X$80,VLOOKUP(AX56,'Foundation Calculation'!$I$10:$J$13,2,FALSE),0),""))</f>
        <v>C8R</v>
      </c>
      <c r="N56" s="638"/>
      <c r="O56" s="638"/>
      <c r="P56" s="638"/>
      <c r="Q56" s="638"/>
      <c r="R56" s="638"/>
      <c r="S56" s="484"/>
      <c r="T56" s="759">
        <v>-30</v>
      </c>
      <c r="U56" s="638"/>
      <c r="V56" s="638"/>
      <c r="W56" s="638"/>
      <c r="X56" s="638"/>
      <c r="Y56" s="638"/>
      <c r="Z56" s="638"/>
      <c r="AA56" s="638"/>
      <c r="AB56" s="638"/>
      <c r="AC56" s="1239"/>
      <c r="AD56" s="638"/>
      <c r="AE56" s="638"/>
      <c r="AF56" s="638"/>
      <c r="AG56" s="446"/>
      <c r="AH56" s="638"/>
      <c r="AI56" s="638"/>
      <c r="AJ56" s="638"/>
      <c r="AK56" s="638"/>
      <c r="AL56" s="1239"/>
      <c r="AM56" s="1239" t="s">
        <v>1042</v>
      </c>
      <c r="AN56" s="455"/>
      <c r="AO56" s="1239"/>
      <c r="AP56" s="1239"/>
      <c r="AQ56" s="484"/>
      <c r="AR56" s="484"/>
      <c r="AS56" s="484"/>
      <c r="AT56" s="484"/>
      <c r="AU56" s="638"/>
      <c r="AV56" s="638"/>
      <c r="AW56" s="1239" t="str">
        <f>VLOOKUP(C56,'Foundation Calculation'!$A$2:$C$33,3,1)</f>
        <v>Soil B</v>
      </c>
      <c r="AX56" s="1239" t="str">
        <f>VLOOKUP(C56,'Foundation Calculation'!$E$2:$G$33,3,1)</f>
        <v>PT</v>
      </c>
      <c r="AY56" s="455">
        <f>IF(AX56="PT",VLOOKUP(L56,'Foundation Calculation'!$K$2:$R$40,VLOOKUP(AW56,'Foundation Calculation'!$I$2:$J$8,2,FALSE),0),IF(AX56="K",VLOOKUP(L56,'Foundation Calculation'!$K$42:$R$80,VLOOKUP(AW56,'Foundation Calculation'!$I$2:$J$8,2,FALSE),0),""))</f>
        <v>4.4000000000000004</v>
      </c>
      <c r="AZ56" s="455"/>
      <c r="BA56" s="671" t="s">
        <v>2809</v>
      </c>
      <c r="BB56" s="449" t="str">
        <f>Pole_Calculations!A20</f>
        <v>App.7-V11A-P9.5.1.6</v>
      </c>
      <c r="BC56" s="169"/>
      <c r="BD56" s="1329">
        <v>43853</v>
      </c>
      <c r="BE56" s="1329"/>
      <c r="BF56" s="1330"/>
      <c r="BG56" s="1330"/>
    </row>
    <row r="57" spans="1:59" ht="15.65" customHeight="1">
      <c r="A57" s="174"/>
      <c r="B57" s="174"/>
      <c r="C57" s="617"/>
      <c r="D57" s="174"/>
      <c r="E57" s="174"/>
      <c r="F57" s="177"/>
      <c r="I57" s="179"/>
      <c r="J57" s="617"/>
      <c r="K57" s="169"/>
      <c r="S57" s="454"/>
      <c r="T57" s="169"/>
      <c r="AN57" s="454"/>
      <c r="AQ57" s="458"/>
      <c r="AR57" s="458"/>
      <c r="AS57" s="458"/>
      <c r="AT57" s="458"/>
      <c r="AU57" s="169"/>
      <c r="AV57" s="169"/>
      <c r="AW57" s="169"/>
      <c r="AX57" s="741"/>
      <c r="AY57" s="458"/>
      <c r="AZ57" s="458"/>
      <c r="BA57" s="1305"/>
      <c r="BB57" s="174"/>
      <c r="BC57" s="169"/>
      <c r="BD57" s="1324"/>
      <c r="BE57" s="1324"/>
      <c r="BF57" s="1324"/>
      <c r="BG57" s="1324"/>
    </row>
    <row r="58" spans="1:59" ht="15.65" customHeight="1">
      <c r="A58" s="174"/>
      <c r="B58" s="642"/>
      <c r="C58" s="617"/>
      <c r="D58" s="169"/>
      <c r="E58" s="169"/>
      <c r="F58" s="177"/>
      <c r="I58" s="179"/>
      <c r="K58" s="169"/>
      <c r="N58" s="169"/>
      <c r="O58" s="169"/>
      <c r="P58" s="169"/>
      <c r="Q58" s="169"/>
      <c r="R58" s="169"/>
      <c r="S58" s="458"/>
      <c r="T58" s="169"/>
      <c r="U58" s="169"/>
      <c r="V58" s="169"/>
      <c r="W58" s="169"/>
      <c r="X58" s="169"/>
      <c r="Y58" s="169"/>
      <c r="Z58" s="169"/>
      <c r="AA58" s="169"/>
      <c r="AB58" s="169"/>
      <c r="AD58" s="169"/>
      <c r="AE58" s="169"/>
      <c r="AF58" s="169"/>
      <c r="AG58" s="617"/>
      <c r="AH58" s="169"/>
      <c r="AI58" s="169"/>
      <c r="AJ58" s="169"/>
      <c r="AK58" s="169"/>
      <c r="AN58" s="454"/>
      <c r="AQ58" s="458"/>
      <c r="AR58" s="458"/>
      <c r="AS58" s="458"/>
      <c r="AT58" s="458"/>
      <c r="AU58" s="169"/>
      <c r="AV58" s="169"/>
      <c r="AW58" s="169"/>
      <c r="AX58" s="741"/>
      <c r="AY58" s="458"/>
      <c r="AZ58" s="458"/>
      <c r="BA58" s="1305"/>
      <c r="BB58" s="174"/>
      <c r="BC58" s="169"/>
      <c r="BD58" s="1324"/>
      <c r="BE58" s="1324"/>
      <c r="BF58" s="1324"/>
      <c r="BG58" s="1324"/>
    </row>
    <row r="59" spans="1:59" ht="15.65" customHeight="1">
      <c r="A59" s="174"/>
      <c r="B59" s="618"/>
      <c r="C59" s="617"/>
      <c r="D59" s="169"/>
      <c r="E59" s="169"/>
      <c r="F59" s="177"/>
      <c r="I59" s="179"/>
      <c r="J59" s="617"/>
      <c r="K59" s="169"/>
      <c r="S59" s="454"/>
      <c r="T59" s="169"/>
      <c r="W59" s="169"/>
      <c r="AN59" s="454"/>
      <c r="AQ59" s="458"/>
      <c r="AR59" s="458"/>
      <c r="AS59" s="458"/>
      <c r="AT59" s="458"/>
      <c r="AU59" s="169"/>
      <c r="AV59" s="169"/>
      <c r="AW59" s="169"/>
      <c r="AX59" s="741"/>
      <c r="AY59" s="458"/>
      <c r="AZ59" s="458"/>
      <c r="BA59" s="1305"/>
      <c r="BB59" s="174"/>
      <c r="BC59" s="169"/>
      <c r="BD59" s="1324"/>
      <c r="BE59" s="1324"/>
      <c r="BF59" s="1324"/>
      <c r="BG59" s="1324"/>
    </row>
    <row r="60" spans="1:59" ht="15.65" customHeight="1">
      <c r="A60" s="174"/>
      <c r="B60" s="642"/>
      <c r="C60" s="617"/>
      <c r="D60" s="169"/>
      <c r="E60" s="169"/>
      <c r="F60" s="177"/>
      <c r="H60" s="169"/>
      <c r="I60" s="179"/>
      <c r="J60" s="617"/>
      <c r="K60" s="169"/>
      <c r="N60" s="169"/>
      <c r="O60" s="169"/>
      <c r="P60" s="169"/>
      <c r="Q60" s="169"/>
      <c r="R60" s="169"/>
      <c r="S60" s="458"/>
      <c r="T60" s="169"/>
      <c r="U60" s="169"/>
      <c r="V60" s="169"/>
      <c r="W60" s="169"/>
      <c r="X60" s="169"/>
      <c r="Y60" s="169"/>
      <c r="Z60" s="169"/>
      <c r="AA60" s="169"/>
      <c r="AB60" s="169"/>
      <c r="AD60" s="169"/>
      <c r="AE60" s="169"/>
      <c r="AF60" s="169"/>
      <c r="AG60" s="617"/>
      <c r="AH60" s="169"/>
      <c r="AI60" s="169"/>
      <c r="AJ60" s="169"/>
      <c r="AK60" s="169"/>
      <c r="AN60" s="454"/>
      <c r="AQ60" s="458"/>
      <c r="AR60" s="458"/>
      <c r="AS60" s="458"/>
      <c r="AT60" s="458"/>
      <c r="AU60" s="169"/>
      <c r="AV60" s="169"/>
      <c r="AW60" s="169"/>
      <c r="AX60" s="741"/>
      <c r="AY60" s="458"/>
      <c r="AZ60" s="458"/>
      <c r="BA60" s="1305"/>
      <c r="BB60" s="174"/>
      <c r="BC60" s="169"/>
      <c r="BD60" s="1324"/>
      <c r="BE60" s="1324"/>
      <c r="BF60" s="1324"/>
      <c r="BG60" s="1324"/>
    </row>
    <row r="61" spans="1:59" ht="15.65" customHeight="1">
      <c r="A61" s="174"/>
      <c r="B61" s="618"/>
      <c r="C61" s="617"/>
      <c r="D61" s="169"/>
      <c r="E61" s="169"/>
      <c r="F61" s="177"/>
      <c r="I61" s="179"/>
      <c r="J61" s="617"/>
      <c r="K61" s="169"/>
      <c r="S61" s="454"/>
      <c r="AN61" s="454"/>
      <c r="AQ61" s="458"/>
      <c r="AR61" s="458"/>
      <c r="AS61" s="458"/>
      <c r="AT61" s="458"/>
      <c r="AU61" s="169"/>
      <c r="AV61" s="169"/>
      <c r="AW61" s="169"/>
      <c r="AX61" s="169"/>
      <c r="AY61" s="458"/>
      <c r="AZ61" s="458"/>
      <c r="BA61" s="1305"/>
      <c r="BB61" s="174"/>
      <c r="BC61" s="169"/>
      <c r="BD61" s="1324"/>
      <c r="BE61" s="1324"/>
      <c r="BF61" s="1324"/>
      <c r="BG61" s="1324"/>
    </row>
    <row r="62" spans="1:59" ht="15.65" customHeight="1">
      <c r="A62" s="174"/>
      <c r="B62" s="618"/>
      <c r="C62" s="617"/>
      <c r="D62" s="169"/>
      <c r="E62" s="169"/>
      <c r="F62" s="177"/>
      <c r="G62" s="458"/>
      <c r="I62" s="179"/>
      <c r="J62" s="617"/>
      <c r="K62" s="169"/>
      <c r="L62" s="174"/>
      <c r="M62" s="174"/>
      <c r="N62" s="174"/>
      <c r="O62" s="174"/>
      <c r="P62" s="174"/>
      <c r="Q62" s="174"/>
      <c r="R62" s="174"/>
      <c r="S62" s="458"/>
      <c r="T62" s="174"/>
      <c r="U62" s="174"/>
      <c r="V62" s="174"/>
      <c r="W62" s="174"/>
      <c r="X62" s="174"/>
      <c r="Y62" s="174"/>
      <c r="Z62" s="174"/>
      <c r="AA62" s="174"/>
      <c r="AB62" s="174"/>
      <c r="AD62" s="174"/>
      <c r="AE62" s="174"/>
      <c r="AF62" s="174"/>
      <c r="AG62" s="617"/>
      <c r="AH62" s="174"/>
      <c r="AI62" s="174"/>
      <c r="AJ62" s="174"/>
      <c r="AK62" s="174"/>
      <c r="AL62" s="174"/>
      <c r="AM62" s="174"/>
      <c r="AN62" s="454"/>
      <c r="AQ62" s="458"/>
      <c r="AR62" s="458"/>
      <c r="AS62" s="458"/>
      <c r="AT62" s="458"/>
      <c r="AU62" s="169"/>
      <c r="AV62" s="169"/>
      <c r="AW62" s="169"/>
      <c r="AX62" s="169"/>
      <c r="AY62" s="458"/>
      <c r="AZ62" s="458"/>
      <c r="BA62" s="1305"/>
      <c r="BB62" s="174"/>
      <c r="BC62" s="169"/>
      <c r="BD62" s="1324"/>
      <c r="BE62" s="1324"/>
      <c r="BF62" s="1324"/>
      <c r="BG62" s="1324"/>
    </row>
    <row r="63" spans="1:59" ht="15.65" customHeight="1">
      <c r="A63" s="174"/>
      <c r="B63" s="642"/>
      <c r="C63" s="617"/>
      <c r="D63" s="169"/>
      <c r="E63" s="169"/>
      <c r="F63" s="177"/>
      <c r="G63" s="458"/>
      <c r="I63" s="179"/>
      <c r="J63" s="617"/>
      <c r="K63" s="169"/>
      <c r="N63" s="169"/>
      <c r="O63" s="169"/>
      <c r="P63" s="169"/>
      <c r="Q63" s="169"/>
      <c r="R63" s="169"/>
      <c r="S63" s="458"/>
      <c r="T63" s="169"/>
      <c r="U63" s="169"/>
      <c r="V63" s="169"/>
      <c r="W63" s="169"/>
      <c r="X63" s="169"/>
      <c r="Y63" s="169"/>
      <c r="Z63" s="169"/>
      <c r="AA63" s="169"/>
      <c r="AB63" s="169"/>
      <c r="AD63" s="169"/>
      <c r="AE63" s="169"/>
      <c r="AF63" s="169"/>
      <c r="AG63" s="617"/>
      <c r="AH63" s="169"/>
      <c r="AI63" s="169"/>
      <c r="AJ63" s="169"/>
      <c r="AK63" s="169"/>
      <c r="AN63" s="454"/>
      <c r="AQ63" s="458"/>
      <c r="AR63" s="458"/>
      <c r="AS63" s="458"/>
      <c r="AT63" s="458"/>
      <c r="AU63" s="169"/>
      <c r="AV63" s="169"/>
      <c r="AW63" s="169"/>
      <c r="AX63" s="741"/>
      <c r="AY63" s="458"/>
      <c r="AZ63" s="458"/>
      <c r="BA63" s="1305"/>
      <c r="BB63" s="174"/>
      <c r="BC63" s="169"/>
      <c r="BD63" s="1324"/>
      <c r="BE63" s="1324"/>
      <c r="BF63" s="1324"/>
      <c r="BG63" s="1324"/>
    </row>
    <row r="64" spans="1:59">
      <c r="S64" s="454"/>
      <c r="AN64" s="454"/>
      <c r="AY64" s="454"/>
      <c r="AZ64" s="454"/>
      <c r="BA64" s="1306"/>
      <c r="BC64" s="169"/>
    </row>
    <row r="65" spans="19:55">
      <c r="S65" s="454"/>
      <c r="AN65" s="454"/>
      <c r="AY65" s="454"/>
      <c r="AZ65" s="454"/>
      <c r="BA65" s="1306"/>
      <c r="BC65" s="169"/>
    </row>
    <row r="66" spans="19:55">
      <c r="S66" s="454"/>
      <c r="AN66" s="454"/>
      <c r="AY66" s="454"/>
      <c r="AZ66" s="454"/>
      <c r="BA66" s="1306"/>
      <c r="BC66" s="169"/>
    </row>
    <row r="67" spans="19:55">
      <c r="S67" s="454"/>
      <c r="AN67" s="454"/>
      <c r="AY67" s="454"/>
      <c r="AZ67" s="454"/>
      <c r="BA67" s="1306"/>
      <c r="BC67" s="169"/>
    </row>
    <row r="68" spans="19:55">
      <c r="S68" s="454"/>
      <c r="AN68" s="454"/>
      <c r="AY68" s="454"/>
      <c r="AZ68" s="454"/>
      <c r="BA68" s="1306"/>
      <c r="BC68" s="169"/>
    </row>
    <row r="69" spans="19:55">
      <c r="S69" s="454"/>
      <c r="AN69" s="454"/>
      <c r="AY69" s="454"/>
      <c r="AZ69" s="454"/>
      <c r="BA69" s="1306"/>
      <c r="BC69" s="169"/>
    </row>
    <row r="70" spans="19:55">
      <c r="S70" s="454"/>
      <c r="AN70" s="454"/>
      <c r="AY70" s="454"/>
      <c r="AZ70" s="454"/>
      <c r="BA70" s="1306"/>
      <c r="BC70" s="169"/>
    </row>
    <row r="71" spans="19:55">
      <c r="S71" s="454"/>
      <c r="AN71" s="454"/>
      <c r="AY71" s="454"/>
      <c r="AZ71" s="454"/>
      <c r="BA71" s="1306"/>
      <c r="BC71" s="169"/>
    </row>
    <row r="72" spans="19:55">
      <c r="S72" s="454"/>
      <c r="AN72" s="454"/>
      <c r="AY72" s="454"/>
      <c r="AZ72" s="454"/>
      <c r="BA72" s="1306"/>
      <c r="BC72" s="169"/>
    </row>
    <row r="73" spans="19:55">
      <c r="S73" s="454"/>
      <c r="AN73" s="454"/>
      <c r="AY73" s="454"/>
      <c r="AZ73" s="454"/>
      <c r="BA73" s="1306"/>
      <c r="BC73" s="169"/>
    </row>
    <row r="74" spans="19:55">
      <c r="S74" s="454"/>
      <c r="AN74" s="454"/>
      <c r="AY74" s="454"/>
      <c r="AZ74" s="454"/>
      <c r="BA74" s="1306"/>
      <c r="BC74" s="169"/>
    </row>
    <row r="75" spans="19:55">
      <c r="S75" s="454"/>
      <c r="AN75" s="454"/>
      <c r="AY75" s="454"/>
      <c r="AZ75" s="454"/>
      <c r="BA75" s="1306"/>
      <c r="BC75" s="169"/>
    </row>
    <row r="76" spans="19:55">
      <c r="S76" s="454"/>
      <c r="AN76" s="454"/>
      <c r="AY76" s="454"/>
      <c r="AZ76" s="454"/>
      <c r="BA76" s="1306"/>
      <c r="BC76" s="169"/>
    </row>
    <row r="77" spans="19:55">
      <c r="S77" s="454"/>
      <c r="AN77" s="454"/>
      <c r="AY77" s="454"/>
      <c r="AZ77" s="454"/>
      <c r="BA77" s="1306"/>
      <c r="BC77" s="169"/>
    </row>
    <row r="78" spans="19:55">
      <c r="S78" s="454"/>
      <c r="AN78" s="454"/>
      <c r="AY78" s="454"/>
      <c r="AZ78" s="454"/>
      <c r="BA78" s="1306"/>
      <c r="BC78" s="169"/>
    </row>
    <row r="79" spans="19:55">
      <c r="S79" s="454"/>
      <c r="AN79" s="454"/>
      <c r="AY79" s="454"/>
      <c r="AZ79" s="454"/>
      <c r="BA79" s="1306"/>
      <c r="BC79" s="169"/>
    </row>
    <row r="80" spans="19:55">
      <c r="S80" s="454"/>
      <c r="AN80" s="454"/>
      <c r="AY80" s="454"/>
      <c r="AZ80" s="454"/>
      <c r="BA80" s="1306"/>
      <c r="BC80" s="169"/>
    </row>
    <row r="81" spans="19:55">
      <c r="S81" s="454"/>
      <c r="AN81" s="454"/>
      <c r="AY81" s="454"/>
      <c r="AZ81" s="454"/>
      <c r="BA81" s="1306"/>
      <c r="BC81" s="169"/>
    </row>
    <row r="82" spans="19:55">
      <c r="S82" s="454"/>
      <c r="AN82" s="454"/>
      <c r="AY82" s="454"/>
      <c r="AZ82" s="454"/>
      <c r="BA82" s="1306"/>
      <c r="BC82" s="169"/>
    </row>
    <row r="83" spans="19:55">
      <c r="S83" s="454"/>
      <c r="AN83" s="454"/>
      <c r="AY83" s="454"/>
      <c r="AZ83" s="454"/>
      <c r="BA83" s="1306"/>
      <c r="BC83" s="169"/>
    </row>
    <row r="84" spans="19:55">
      <c r="S84" s="454"/>
      <c r="AN84" s="454"/>
      <c r="AY84" s="454"/>
      <c r="AZ84" s="454"/>
      <c r="BA84" s="1306"/>
      <c r="BC84" s="169"/>
    </row>
    <row r="85" spans="19:55">
      <c r="S85" s="454"/>
      <c r="AN85" s="454"/>
      <c r="AY85" s="454"/>
      <c r="AZ85" s="454"/>
      <c r="BA85" s="1306"/>
      <c r="BC85" s="169"/>
    </row>
    <row r="86" spans="19:55">
      <c r="S86" s="454"/>
      <c r="AN86" s="454"/>
      <c r="AY86" s="454"/>
      <c r="AZ86" s="454"/>
      <c r="BA86" s="1306"/>
      <c r="BC86" s="169"/>
    </row>
    <row r="87" spans="19:55">
      <c r="S87" s="454"/>
      <c r="AN87" s="454"/>
      <c r="AY87" s="454"/>
      <c r="AZ87" s="454"/>
      <c r="BA87" s="1306"/>
      <c r="BC87" s="169"/>
    </row>
    <row r="88" spans="19:55">
      <c r="S88" s="454"/>
      <c r="AN88" s="454"/>
      <c r="AY88" s="454"/>
      <c r="AZ88" s="454"/>
      <c r="BA88" s="1306"/>
      <c r="BC88" s="169"/>
    </row>
    <row r="89" spans="19:55">
      <c r="S89" s="454"/>
      <c r="AN89" s="454"/>
      <c r="AY89" s="454"/>
      <c r="AZ89" s="454"/>
      <c r="BA89" s="1306"/>
      <c r="BC89" s="169"/>
    </row>
    <row r="90" spans="19:55">
      <c r="S90" s="454"/>
      <c r="AN90" s="454"/>
      <c r="AY90" s="454"/>
      <c r="AZ90" s="454"/>
      <c r="BA90" s="1306"/>
      <c r="BC90" s="169"/>
    </row>
    <row r="91" spans="19:55">
      <c r="S91" s="454"/>
      <c r="AN91" s="454"/>
      <c r="AY91" s="454"/>
      <c r="AZ91" s="454"/>
      <c r="BA91" s="1306"/>
      <c r="BC91" s="169"/>
    </row>
    <row r="92" spans="19:55">
      <c r="S92" s="454"/>
      <c r="AN92" s="454"/>
      <c r="AY92" s="454"/>
      <c r="AZ92" s="454"/>
      <c r="BA92" s="1306"/>
      <c r="BC92" s="169"/>
    </row>
    <row r="93" spans="19:55">
      <c r="S93" s="454"/>
      <c r="AN93" s="454"/>
      <c r="AY93" s="454"/>
      <c r="AZ93" s="454"/>
      <c r="BA93" s="1306"/>
      <c r="BC93" s="169"/>
    </row>
    <row r="94" spans="19:55">
      <c r="S94" s="454"/>
      <c r="AN94" s="454"/>
      <c r="AY94" s="454"/>
      <c r="AZ94" s="454"/>
      <c r="BA94" s="1306"/>
      <c r="BC94" s="169"/>
    </row>
    <row r="95" spans="19:55">
      <c r="S95" s="454"/>
      <c r="AN95" s="454"/>
      <c r="AY95" s="454"/>
      <c r="AZ95" s="454"/>
      <c r="BA95" s="1306"/>
      <c r="BC95" s="169"/>
    </row>
    <row r="96" spans="19:55">
      <c r="S96" s="454"/>
      <c r="AN96" s="454"/>
      <c r="AY96" s="454"/>
      <c r="AZ96" s="454"/>
      <c r="BA96" s="1306"/>
      <c r="BC96" s="169"/>
    </row>
    <row r="97" spans="19:55">
      <c r="S97" s="454"/>
      <c r="AN97" s="454"/>
      <c r="AY97" s="454"/>
      <c r="AZ97" s="454"/>
      <c r="BA97" s="1306"/>
      <c r="BC97" s="169"/>
    </row>
    <row r="98" spans="19:55">
      <c r="S98" s="454"/>
      <c r="AN98" s="454"/>
      <c r="AY98" s="454"/>
      <c r="AZ98" s="454"/>
      <c r="BA98" s="1306"/>
      <c r="BC98" s="169"/>
    </row>
    <row r="99" spans="19:55">
      <c r="S99" s="454"/>
      <c r="AN99" s="454"/>
      <c r="AY99" s="454"/>
      <c r="AZ99" s="454"/>
      <c r="BA99" s="1306"/>
      <c r="BC99" s="169"/>
    </row>
    <row r="100" spans="19:55">
      <c r="S100" s="454"/>
      <c r="AN100" s="454"/>
      <c r="AY100" s="454"/>
      <c r="AZ100" s="454"/>
      <c r="BA100" s="1306"/>
      <c r="BC100" s="169"/>
    </row>
    <row r="101" spans="19:55">
      <c r="S101" s="454"/>
      <c r="AN101" s="454"/>
      <c r="AY101" s="454"/>
      <c r="AZ101" s="454"/>
      <c r="BA101" s="1306"/>
      <c r="BC101" s="169"/>
    </row>
    <row r="102" spans="19:55">
      <c r="S102" s="454"/>
      <c r="AN102" s="454"/>
      <c r="AY102" s="454"/>
      <c r="AZ102" s="454"/>
      <c r="BA102" s="1306"/>
      <c r="BC102" s="169"/>
    </row>
    <row r="103" spans="19:55">
      <c r="S103" s="454"/>
      <c r="AN103" s="454"/>
      <c r="AY103" s="454"/>
      <c r="AZ103" s="454"/>
      <c r="BA103" s="1306"/>
      <c r="BC103" s="169"/>
    </row>
    <row r="104" spans="19:55">
      <c r="S104" s="454"/>
      <c r="AN104" s="454"/>
      <c r="AY104" s="454"/>
      <c r="AZ104" s="454"/>
      <c r="BA104" s="1306"/>
      <c r="BC104" s="169"/>
    </row>
    <row r="105" spans="19:55">
      <c r="S105" s="454"/>
      <c r="AN105" s="454"/>
      <c r="AY105" s="454"/>
      <c r="AZ105" s="454"/>
      <c r="BA105" s="1306"/>
      <c r="BC105" s="169"/>
    </row>
    <row r="106" spans="19:55">
      <c r="S106" s="454"/>
      <c r="AN106" s="454"/>
      <c r="AY106" s="454"/>
      <c r="AZ106" s="454"/>
      <c r="BA106" s="1306"/>
      <c r="BC106" s="169"/>
    </row>
    <row r="107" spans="19:55">
      <c r="S107" s="454"/>
      <c r="AN107" s="454"/>
      <c r="AY107" s="454"/>
      <c r="AZ107" s="454"/>
      <c r="BA107" s="1306"/>
      <c r="BC107" s="169"/>
    </row>
    <row r="108" spans="19:55">
      <c r="S108" s="454"/>
      <c r="AN108" s="454"/>
      <c r="AY108" s="454"/>
      <c r="AZ108" s="454"/>
      <c r="BA108" s="1306"/>
      <c r="BC108" s="169"/>
    </row>
    <row r="109" spans="19:55">
      <c r="S109" s="454"/>
      <c r="AN109" s="454"/>
      <c r="AY109" s="454"/>
      <c r="AZ109" s="454"/>
      <c r="BA109" s="1306"/>
      <c r="BC109" s="169"/>
    </row>
    <row r="110" spans="19:55">
      <c r="S110" s="454"/>
      <c r="AN110" s="454"/>
      <c r="AY110" s="454"/>
      <c r="AZ110" s="454"/>
      <c r="BA110" s="1306"/>
      <c r="BC110" s="169"/>
    </row>
    <row r="111" spans="19:55">
      <c r="S111" s="454"/>
      <c r="AN111" s="454"/>
      <c r="AY111" s="454"/>
      <c r="AZ111" s="454"/>
      <c r="BA111" s="1306"/>
      <c r="BC111" s="169"/>
    </row>
    <row r="112" spans="19:55">
      <c r="S112" s="454"/>
      <c r="AN112" s="454"/>
      <c r="AY112" s="454"/>
      <c r="AZ112" s="454"/>
      <c r="BA112" s="1306"/>
      <c r="BC112" s="169"/>
    </row>
    <row r="113" spans="19:55">
      <c r="S113" s="454"/>
      <c r="AN113" s="454"/>
      <c r="AY113" s="454"/>
      <c r="AZ113" s="454"/>
      <c r="BA113" s="1306"/>
      <c r="BC113" s="169"/>
    </row>
    <row r="114" spans="19:55">
      <c r="S114" s="454"/>
      <c r="AN114" s="454"/>
      <c r="AY114" s="454"/>
      <c r="AZ114" s="454"/>
      <c r="BA114" s="1306"/>
      <c r="BC114" s="169"/>
    </row>
    <row r="115" spans="19:55">
      <c r="S115" s="454"/>
      <c r="AN115" s="454"/>
      <c r="AY115" s="454"/>
      <c r="AZ115" s="454"/>
      <c r="BA115" s="1306"/>
      <c r="BC115" s="169"/>
    </row>
    <row r="116" spans="19:55">
      <c r="S116" s="454"/>
      <c r="AN116" s="454"/>
      <c r="AY116" s="454"/>
      <c r="AZ116" s="454"/>
      <c r="BA116" s="1306"/>
      <c r="BC116" s="169"/>
    </row>
    <row r="117" spans="19:55">
      <c r="S117" s="454"/>
      <c r="AN117" s="454"/>
      <c r="AY117" s="454"/>
      <c r="AZ117" s="454"/>
      <c r="BA117" s="1306"/>
      <c r="BC117" s="169"/>
    </row>
    <row r="118" spans="19:55">
      <c r="S118" s="454"/>
      <c r="AN118" s="454"/>
      <c r="AY118" s="454"/>
      <c r="AZ118" s="454"/>
      <c r="BA118" s="1306"/>
      <c r="BC118" s="169"/>
    </row>
    <row r="119" spans="19:55">
      <c r="S119" s="454"/>
      <c r="AN119" s="454"/>
      <c r="AY119" s="454"/>
      <c r="AZ119" s="454"/>
      <c r="BA119" s="1306"/>
      <c r="BC119" s="169"/>
    </row>
    <row r="120" spans="19:55">
      <c r="S120" s="454"/>
      <c r="AN120" s="454"/>
      <c r="AY120" s="454"/>
      <c r="AZ120" s="454"/>
      <c r="BA120" s="1306"/>
      <c r="BC120" s="169"/>
    </row>
    <row r="121" spans="19:55">
      <c r="S121" s="454"/>
      <c r="AN121" s="454"/>
      <c r="AY121" s="454"/>
      <c r="AZ121" s="454"/>
      <c r="BA121" s="1306"/>
      <c r="BC121" s="169"/>
    </row>
    <row r="122" spans="19:55">
      <c r="S122" s="454"/>
      <c r="AN122" s="454"/>
      <c r="AY122" s="454"/>
      <c r="AZ122" s="454"/>
      <c r="BA122" s="1306"/>
      <c r="BC122" s="169"/>
    </row>
    <row r="123" spans="19:55">
      <c r="S123" s="454"/>
      <c r="AN123" s="454"/>
      <c r="AY123" s="454"/>
      <c r="AZ123" s="454"/>
      <c r="BA123" s="1306"/>
      <c r="BC123" s="169"/>
    </row>
    <row r="124" spans="19:55">
      <c r="S124" s="454"/>
      <c r="AN124" s="454"/>
      <c r="AY124" s="454"/>
      <c r="AZ124" s="454"/>
      <c r="BA124" s="1306"/>
      <c r="BC124" s="169"/>
    </row>
    <row r="125" spans="19:55">
      <c r="S125" s="454"/>
      <c r="AN125" s="454"/>
      <c r="AY125" s="454"/>
      <c r="AZ125" s="454"/>
      <c r="BA125" s="1306"/>
      <c r="BC125" s="169"/>
    </row>
    <row r="126" spans="19:55">
      <c r="S126" s="454"/>
      <c r="AN126" s="454"/>
      <c r="AY126" s="454"/>
      <c r="AZ126" s="454"/>
      <c r="BA126" s="1306"/>
      <c r="BC126" s="169"/>
    </row>
    <row r="127" spans="19:55">
      <c r="S127" s="454"/>
      <c r="AN127" s="454"/>
      <c r="AY127" s="454"/>
      <c r="AZ127" s="454"/>
      <c r="BA127" s="1306"/>
      <c r="BC127" s="169"/>
    </row>
    <row r="128" spans="19:55">
      <c r="S128" s="454"/>
      <c r="AN128" s="454"/>
      <c r="AY128" s="454"/>
      <c r="AZ128" s="454"/>
      <c r="BA128" s="1306"/>
      <c r="BC128" s="169"/>
    </row>
    <row r="129" spans="19:55">
      <c r="S129" s="454"/>
      <c r="AN129" s="454"/>
      <c r="AY129" s="454"/>
      <c r="AZ129" s="454"/>
      <c r="BA129" s="1306"/>
      <c r="BC129" s="169"/>
    </row>
    <row r="130" spans="19:55">
      <c r="S130" s="454"/>
      <c r="AN130" s="454"/>
      <c r="AY130" s="454"/>
      <c r="AZ130" s="454"/>
      <c r="BA130" s="1306"/>
      <c r="BC130" s="169"/>
    </row>
    <row r="131" spans="19:55">
      <c r="S131" s="454"/>
      <c r="AN131" s="454"/>
      <c r="AY131" s="454"/>
      <c r="AZ131" s="454"/>
      <c r="BA131" s="1306"/>
      <c r="BC131" s="169"/>
    </row>
    <row r="132" spans="19:55">
      <c r="S132" s="454"/>
      <c r="AN132" s="454"/>
      <c r="AY132" s="454"/>
      <c r="AZ132" s="454"/>
      <c r="BA132" s="1306"/>
      <c r="BC132" s="169"/>
    </row>
    <row r="133" spans="19:55">
      <c r="S133" s="454"/>
      <c r="AN133" s="454"/>
      <c r="AY133" s="454"/>
      <c r="AZ133" s="454"/>
      <c r="BA133" s="1306"/>
      <c r="BC133" s="169"/>
    </row>
    <row r="134" spans="19:55">
      <c r="S134" s="454"/>
      <c r="AN134" s="454"/>
      <c r="AY134" s="454"/>
      <c r="AZ134" s="454"/>
      <c r="BA134" s="1306"/>
      <c r="BC134" s="169"/>
    </row>
    <row r="135" spans="19:55">
      <c r="S135" s="454"/>
      <c r="AN135" s="454"/>
      <c r="AY135" s="454"/>
      <c r="AZ135" s="454"/>
      <c r="BA135" s="1306"/>
      <c r="BC135" s="169"/>
    </row>
    <row r="136" spans="19:55">
      <c r="S136" s="454"/>
      <c r="AN136" s="454"/>
      <c r="AY136" s="454"/>
      <c r="AZ136" s="454"/>
      <c r="BA136" s="1306"/>
      <c r="BC136" s="169"/>
    </row>
    <row r="137" spans="19:55">
      <c r="S137" s="454"/>
      <c r="AN137" s="454"/>
      <c r="AY137" s="454"/>
      <c r="AZ137" s="454"/>
      <c r="BA137" s="1306"/>
      <c r="BC137" s="169"/>
    </row>
    <row r="138" spans="19:55">
      <c r="S138" s="454"/>
      <c r="AN138" s="454"/>
      <c r="AY138" s="454"/>
      <c r="AZ138" s="454"/>
      <c r="BA138" s="1306"/>
      <c r="BC138" s="169"/>
    </row>
    <row r="139" spans="19:55">
      <c r="S139" s="454"/>
      <c r="AN139" s="454"/>
      <c r="AY139" s="454"/>
      <c r="AZ139" s="454"/>
      <c r="BA139" s="1306"/>
      <c r="BC139" s="169"/>
    </row>
    <row r="140" spans="19:55">
      <c r="S140" s="454"/>
      <c r="AN140" s="454"/>
      <c r="AY140" s="454"/>
      <c r="AZ140" s="454"/>
      <c r="BA140" s="1306"/>
      <c r="BC140" s="169"/>
    </row>
    <row r="141" spans="19:55">
      <c r="S141" s="454"/>
      <c r="AN141" s="454"/>
      <c r="AY141" s="454"/>
      <c r="AZ141" s="454"/>
      <c r="BA141" s="1306"/>
      <c r="BC141" s="169"/>
    </row>
    <row r="142" spans="19:55">
      <c r="S142" s="454"/>
      <c r="AN142" s="454"/>
      <c r="AY142" s="454"/>
      <c r="AZ142" s="454"/>
      <c r="BA142" s="1306"/>
      <c r="BC142" s="169"/>
    </row>
    <row r="143" spans="19:55">
      <c r="S143" s="454"/>
      <c r="AN143" s="454"/>
      <c r="AY143" s="454"/>
      <c r="AZ143" s="454"/>
      <c r="BA143" s="1306"/>
      <c r="BC143" s="169"/>
    </row>
    <row r="144" spans="19:55">
      <c r="S144" s="454"/>
      <c r="AN144" s="454"/>
      <c r="AY144" s="454"/>
      <c r="AZ144" s="454"/>
      <c r="BA144" s="1306"/>
      <c r="BC144" s="169"/>
    </row>
    <row r="145" spans="19:55">
      <c r="S145" s="454"/>
      <c r="AN145" s="454"/>
      <c r="AY145" s="454"/>
      <c r="AZ145" s="454"/>
      <c r="BA145" s="1306"/>
      <c r="BC145" s="169"/>
    </row>
    <row r="146" spans="19:55">
      <c r="S146" s="454"/>
      <c r="AN146" s="454"/>
      <c r="AY146" s="454"/>
      <c r="AZ146" s="454"/>
      <c r="BA146" s="1306"/>
      <c r="BC146" s="169"/>
    </row>
    <row r="147" spans="19:55">
      <c r="S147" s="454"/>
      <c r="AN147" s="454"/>
      <c r="AY147" s="454"/>
      <c r="AZ147" s="454"/>
      <c r="BA147" s="1306"/>
      <c r="BC147" s="169"/>
    </row>
    <row r="148" spans="19:55">
      <c r="S148" s="454"/>
      <c r="AN148" s="454"/>
      <c r="AY148" s="454"/>
      <c r="AZ148" s="454"/>
      <c r="BA148" s="1306"/>
      <c r="BC148" s="169"/>
    </row>
    <row r="149" spans="19:55">
      <c r="S149" s="454"/>
      <c r="AN149" s="454"/>
      <c r="AY149" s="454"/>
      <c r="AZ149" s="454"/>
      <c r="BA149" s="1306"/>
      <c r="BC149" s="169"/>
    </row>
    <row r="150" spans="19:55">
      <c r="S150" s="454"/>
      <c r="AN150" s="454"/>
      <c r="AY150" s="454"/>
      <c r="AZ150" s="454"/>
      <c r="BA150" s="1306"/>
      <c r="BC150" s="169"/>
    </row>
    <row r="151" spans="19:55">
      <c r="S151" s="454"/>
      <c r="AN151" s="454"/>
      <c r="AY151" s="454"/>
      <c r="AZ151" s="454"/>
      <c r="BA151" s="1306"/>
      <c r="BC151" s="169"/>
    </row>
    <row r="152" spans="19:55">
      <c r="S152" s="454"/>
      <c r="AN152" s="454"/>
      <c r="AY152" s="454"/>
      <c r="AZ152" s="454"/>
      <c r="BA152" s="1306"/>
      <c r="BC152" s="169"/>
    </row>
    <row r="153" spans="19:55">
      <c r="S153" s="454"/>
      <c r="AN153" s="454"/>
      <c r="AY153" s="454"/>
      <c r="AZ153" s="454"/>
      <c r="BA153" s="1306"/>
      <c r="BC153" s="169"/>
    </row>
    <row r="154" spans="19:55">
      <c r="S154" s="454"/>
      <c r="AN154" s="454"/>
      <c r="AY154" s="454"/>
      <c r="AZ154" s="454"/>
      <c r="BA154" s="1306"/>
      <c r="BC154" s="169"/>
    </row>
    <row r="155" spans="19:55">
      <c r="S155" s="454"/>
      <c r="AN155" s="454"/>
      <c r="AY155" s="454"/>
      <c r="AZ155" s="454"/>
      <c r="BA155" s="1306"/>
      <c r="BC155" s="169"/>
    </row>
    <row r="156" spans="19:55">
      <c r="S156" s="454"/>
      <c r="AN156" s="454"/>
      <c r="AY156" s="454"/>
      <c r="AZ156" s="454"/>
      <c r="BA156" s="1306"/>
      <c r="BC156" s="169"/>
    </row>
    <row r="157" spans="19:55">
      <c r="S157" s="454"/>
      <c r="AN157" s="454"/>
      <c r="AY157" s="454"/>
      <c r="AZ157" s="454"/>
      <c r="BA157" s="1306"/>
      <c r="BC157" s="169"/>
    </row>
    <row r="158" spans="19:55">
      <c r="S158" s="454"/>
      <c r="AN158" s="454"/>
      <c r="AY158" s="454"/>
      <c r="AZ158" s="454"/>
      <c r="BA158" s="1306"/>
      <c r="BC158" s="169"/>
    </row>
    <row r="159" spans="19:55">
      <c r="S159" s="454"/>
      <c r="AN159" s="454"/>
      <c r="AY159" s="454"/>
      <c r="AZ159" s="454"/>
      <c r="BA159" s="1306"/>
      <c r="BC159" s="169"/>
    </row>
    <row r="160" spans="19:55">
      <c r="S160" s="454"/>
      <c r="AN160" s="454"/>
      <c r="AY160" s="454"/>
      <c r="AZ160" s="454"/>
      <c r="BA160" s="1306"/>
      <c r="BC160" s="169"/>
    </row>
    <row r="161" spans="19:55">
      <c r="S161" s="454"/>
      <c r="AN161" s="454"/>
      <c r="AY161" s="454"/>
      <c r="AZ161" s="454"/>
      <c r="BA161" s="1306"/>
      <c r="BC161" s="169"/>
    </row>
    <row r="162" spans="19:55">
      <c r="S162" s="454"/>
      <c r="AN162" s="454"/>
      <c r="AY162" s="454"/>
      <c r="AZ162" s="454"/>
      <c r="BA162" s="1306"/>
      <c r="BC162" s="169"/>
    </row>
    <row r="163" spans="19:55">
      <c r="S163" s="454"/>
      <c r="AN163" s="454"/>
      <c r="AY163" s="454"/>
      <c r="AZ163" s="454"/>
      <c r="BA163" s="1306"/>
      <c r="BC163" s="169"/>
    </row>
    <row r="164" spans="19:55">
      <c r="S164" s="454"/>
      <c r="AN164" s="454"/>
      <c r="AY164" s="454"/>
      <c r="AZ164" s="454"/>
      <c r="BA164" s="1306"/>
      <c r="BC164" s="169"/>
    </row>
    <row r="165" spans="19:55">
      <c r="S165" s="454"/>
      <c r="AN165" s="454"/>
      <c r="AY165" s="454"/>
      <c r="AZ165" s="454"/>
      <c r="BA165" s="1306"/>
      <c r="BC165" s="169"/>
    </row>
    <row r="166" spans="19:55">
      <c r="S166" s="454"/>
      <c r="AN166" s="454"/>
      <c r="AY166" s="454"/>
      <c r="AZ166" s="454"/>
      <c r="BA166" s="1306"/>
      <c r="BC166" s="169"/>
    </row>
    <row r="167" spans="19:55">
      <c r="S167" s="454"/>
      <c r="AN167" s="454"/>
      <c r="AY167" s="454"/>
      <c r="AZ167" s="454"/>
      <c r="BA167" s="1306"/>
      <c r="BC167" s="169"/>
    </row>
    <row r="168" spans="19:55">
      <c r="S168" s="454"/>
      <c r="AN168" s="454"/>
      <c r="AY168" s="454"/>
      <c r="AZ168" s="454"/>
      <c r="BA168" s="1306"/>
      <c r="BC168" s="169"/>
    </row>
    <row r="169" spans="19:55">
      <c r="S169" s="454"/>
      <c r="AN169" s="454"/>
      <c r="AY169" s="454"/>
      <c r="AZ169" s="454"/>
      <c r="BA169" s="1306"/>
      <c r="BC169" s="169"/>
    </row>
    <row r="170" spans="19:55">
      <c r="S170" s="454"/>
      <c r="AN170" s="454"/>
      <c r="AY170" s="454"/>
      <c r="AZ170" s="454"/>
      <c r="BA170" s="1306"/>
      <c r="BC170" s="169"/>
    </row>
    <row r="171" spans="19:55">
      <c r="S171" s="454"/>
      <c r="AN171" s="454"/>
      <c r="AY171" s="454"/>
      <c r="AZ171" s="454"/>
      <c r="BA171" s="1306"/>
      <c r="BC171" s="169"/>
    </row>
    <row r="172" spans="19:55">
      <c r="S172" s="454"/>
      <c r="AN172" s="454"/>
      <c r="AY172" s="454"/>
      <c r="AZ172" s="454"/>
      <c r="BA172" s="1306"/>
      <c r="BC172" s="169"/>
    </row>
    <row r="173" spans="19:55">
      <c r="S173" s="454"/>
      <c r="AN173" s="454"/>
      <c r="AY173" s="454"/>
      <c r="AZ173" s="454"/>
      <c r="BA173" s="1306"/>
      <c r="BC173" s="169"/>
    </row>
    <row r="174" spans="19:55">
      <c r="S174" s="454"/>
      <c r="AN174" s="454"/>
      <c r="AY174" s="454"/>
      <c r="AZ174" s="454"/>
      <c r="BA174" s="1306"/>
      <c r="BC174" s="169"/>
    </row>
    <row r="175" spans="19:55">
      <c r="S175" s="454"/>
      <c r="AN175" s="454"/>
      <c r="AY175" s="454"/>
      <c r="AZ175" s="454"/>
      <c r="BA175" s="1306"/>
      <c r="BC175" s="169"/>
    </row>
    <row r="176" spans="19:55">
      <c r="S176" s="454"/>
      <c r="AN176" s="454"/>
      <c r="AY176" s="454"/>
      <c r="AZ176" s="454"/>
      <c r="BA176" s="1306"/>
      <c r="BC176" s="169"/>
    </row>
    <row r="177" spans="19:55">
      <c r="S177" s="454"/>
      <c r="AN177" s="454"/>
      <c r="AY177" s="454"/>
      <c r="AZ177" s="454"/>
      <c r="BA177" s="1306"/>
      <c r="BC177" s="169"/>
    </row>
    <row r="178" spans="19:55">
      <c r="S178" s="454"/>
      <c r="AN178" s="454"/>
      <c r="AY178" s="454"/>
      <c r="AZ178" s="454"/>
      <c r="BA178" s="1306"/>
      <c r="BC178" s="169"/>
    </row>
    <row r="179" spans="19:55">
      <c r="S179" s="454"/>
      <c r="AN179" s="454"/>
      <c r="AY179" s="454"/>
      <c r="AZ179" s="454"/>
      <c r="BA179" s="1306"/>
      <c r="BC179" s="169"/>
    </row>
    <row r="180" spans="19:55">
      <c r="S180" s="454"/>
      <c r="AN180" s="454"/>
      <c r="AY180" s="454"/>
      <c r="AZ180" s="454"/>
      <c r="BA180" s="1306"/>
      <c r="BC180" s="169"/>
    </row>
    <row r="181" spans="19:55">
      <c r="S181" s="454"/>
      <c r="AN181" s="454"/>
      <c r="AY181" s="454"/>
      <c r="AZ181" s="454"/>
      <c r="BA181" s="1306"/>
      <c r="BC181" s="169"/>
    </row>
    <row r="182" spans="19:55">
      <c r="S182" s="454"/>
      <c r="AN182" s="454"/>
      <c r="AY182" s="454"/>
      <c r="AZ182" s="454"/>
      <c r="BA182" s="1306"/>
      <c r="BC182" s="169"/>
    </row>
    <row r="183" spans="19:55">
      <c r="S183" s="454"/>
      <c r="AN183" s="454"/>
      <c r="AY183" s="454"/>
      <c r="AZ183" s="454"/>
      <c r="BA183" s="1306"/>
      <c r="BC183" s="169"/>
    </row>
    <row r="184" spans="19:55">
      <c r="S184" s="454"/>
      <c r="AN184" s="454"/>
      <c r="AY184" s="454"/>
      <c r="AZ184" s="454"/>
      <c r="BA184" s="1306"/>
      <c r="BC184" s="169"/>
    </row>
    <row r="185" spans="19:55">
      <c r="S185" s="454"/>
      <c r="AN185" s="454"/>
      <c r="AY185" s="454"/>
      <c r="AZ185" s="454"/>
      <c r="BA185" s="1306"/>
      <c r="BC185" s="169"/>
    </row>
    <row r="186" spans="19:55">
      <c r="S186" s="454"/>
      <c r="AN186" s="454"/>
      <c r="AY186" s="454"/>
      <c r="AZ186" s="454"/>
      <c r="BA186" s="1306"/>
      <c r="BC186" s="169"/>
    </row>
    <row r="187" spans="19:55">
      <c r="S187" s="454"/>
      <c r="AN187" s="454"/>
      <c r="AY187" s="454"/>
      <c r="AZ187" s="454"/>
      <c r="BA187" s="1306"/>
      <c r="BC187" s="169"/>
    </row>
    <row r="188" spans="19:55">
      <c r="S188" s="454"/>
      <c r="AN188" s="454"/>
      <c r="AY188" s="454"/>
      <c r="AZ188" s="454"/>
      <c r="BA188" s="1306"/>
      <c r="BC188" s="169"/>
    </row>
    <row r="189" spans="19:55">
      <c r="S189" s="454"/>
      <c r="AN189" s="454"/>
      <c r="AY189" s="454"/>
      <c r="AZ189" s="454"/>
      <c r="BA189" s="1306"/>
      <c r="BC189" s="169"/>
    </row>
    <row r="190" spans="19:55">
      <c r="S190" s="454"/>
      <c r="AN190" s="454"/>
      <c r="AY190" s="454"/>
      <c r="AZ190" s="454"/>
      <c r="BA190" s="1306"/>
      <c r="BC190" s="169"/>
    </row>
    <row r="191" spans="19:55">
      <c r="S191" s="454"/>
      <c r="AN191" s="454"/>
      <c r="AY191" s="454"/>
      <c r="AZ191" s="454"/>
      <c r="BA191" s="1306"/>
      <c r="BC191" s="169"/>
    </row>
    <row r="192" spans="19:55">
      <c r="S192" s="454"/>
      <c r="AN192" s="454"/>
      <c r="AY192" s="454"/>
      <c r="AZ192" s="454"/>
      <c r="BA192" s="1306"/>
      <c r="BC192" s="169"/>
    </row>
    <row r="193" spans="19:55">
      <c r="S193" s="454"/>
      <c r="AN193" s="454"/>
      <c r="AY193" s="454"/>
      <c r="AZ193" s="454"/>
      <c r="BA193" s="1306"/>
      <c r="BC193" s="169"/>
    </row>
    <row r="194" spans="19:55">
      <c r="S194" s="454"/>
      <c r="AN194" s="454"/>
      <c r="AY194" s="454"/>
      <c r="AZ194" s="454"/>
      <c r="BA194" s="1306"/>
      <c r="BC194" s="169"/>
    </row>
    <row r="195" spans="19:55">
      <c r="S195" s="454"/>
      <c r="AN195" s="454"/>
      <c r="AY195" s="454"/>
      <c r="AZ195" s="454"/>
      <c r="BA195" s="1306"/>
      <c r="BC195" s="169"/>
    </row>
    <row r="196" spans="19:55">
      <c r="S196" s="454"/>
      <c r="AN196" s="454"/>
      <c r="AY196" s="454"/>
      <c r="AZ196" s="454"/>
      <c r="BA196" s="1306"/>
      <c r="BC196" s="169"/>
    </row>
    <row r="197" spans="19:55">
      <c r="S197" s="454"/>
      <c r="AN197" s="454"/>
      <c r="AY197" s="454"/>
      <c r="AZ197" s="454"/>
      <c r="BA197" s="1306"/>
      <c r="BC197" s="169"/>
    </row>
    <row r="198" spans="19:55">
      <c r="S198" s="454"/>
      <c r="AN198" s="454"/>
      <c r="AY198" s="454"/>
      <c r="AZ198" s="454"/>
      <c r="BA198" s="1306"/>
      <c r="BC198" s="169"/>
    </row>
    <row r="199" spans="19:55">
      <c r="S199" s="454"/>
      <c r="AN199" s="454"/>
      <c r="AY199" s="454"/>
      <c r="AZ199" s="454"/>
      <c r="BA199" s="1306"/>
      <c r="BC199" s="169"/>
    </row>
    <row r="200" spans="19:55">
      <c r="S200" s="454"/>
      <c r="AN200" s="454"/>
      <c r="AY200" s="454"/>
      <c r="AZ200" s="454"/>
      <c r="BA200" s="1306"/>
      <c r="BC200" s="169"/>
    </row>
    <row r="201" spans="19:55">
      <c r="S201" s="454"/>
      <c r="AN201" s="454"/>
      <c r="AY201" s="454"/>
      <c r="AZ201" s="454"/>
      <c r="BA201" s="1306"/>
      <c r="BC201" s="169"/>
    </row>
    <row r="202" spans="19:55">
      <c r="S202" s="454"/>
      <c r="AN202" s="454"/>
      <c r="AY202" s="454"/>
      <c r="AZ202" s="454"/>
      <c r="BA202" s="1306"/>
      <c r="BC202" s="169"/>
    </row>
    <row r="203" spans="19:55">
      <c r="S203" s="454"/>
      <c r="AN203" s="454"/>
      <c r="AY203" s="454"/>
      <c r="AZ203" s="454"/>
      <c r="BA203" s="1306"/>
      <c r="BC203" s="169"/>
    </row>
    <row r="204" spans="19:55">
      <c r="S204" s="454"/>
      <c r="AN204" s="454"/>
      <c r="AY204" s="454"/>
      <c r="AZ204" s="454"/>
      <c r="BA204" s="1306"/>
      <c r="BC204" s="169"/>
    </row>
    <row r="205" spans="19:55">
      <c r="S205" s="454"/>
      <c r="AN205" s="454"/>
      <c r="AY205" s="454"/>
      <c r="AZ205" s="454"/>
      <c r="BA205" s="1306"/>
      <c r="BC205" s="169"/>
    </row>
    <row r="206" spans="19:55">
      <c r="S206" s="454"/>
      <c r="AN206" s="454"/>
      <c r="AY206" s="454"/>
      <c r="AZ206" s="454"/>
      <c r="BA206" s="1306"/>
      <c r="BC206" s="169"/>
    </row>
    <row r="207" spans="19:55">
      <c r="S207" s="454"/>
      <c r="AN207" s="454"/>
      <c r="AY207" s="454"/>
      <c r="AZ207" s="454"/>
      <c r="BA207" s="1306"/>
      <c r="BC207" s="169"/>
    </row>
    <row r="208" spans="19:55">
      <c r="S208" s="454"/>
      <c r="AN208" s="454"/>
      <c r="AY208" s="454"/>
      <c r="AZ208" s="454"/>
      <c r="BA208" s="1306"/>
      <c r="BC208" s="169"/>
    </row>
    <row r="209" spans="19:55">
      <c r="S209" s="454"/>
      <c r="AN209" s="454"/>
      <c r="AY209" s="454"/>
      <c r="AZ209" s="454"/>
      <c r="BA209" s="1306"/>
      <c r="BC209" s="169"/>
    </row>
    <row r="210" spans="19:55">
      <c r="S210" s="454"/>
      <c r="AN210" s="454"/>
      <c r="AY210" s="454"/>
      <c r="AZ210" s="454"/>
      <c r="BA210" s="1306"/>
      <c r="BC210" s="169"/>
    </row>
    <row r="211" spans="19:55">
      <c r="S211" s="454"/>
      <c r="AN211" s="454"/>
      <c r="AY211" s="454"/>
      <c r="AZ211" s="454"/>
      <c r="BA211" s="1306"/>
      <c r="BC211" s="169"/>
    </row>
    <row r="212" spans="19:55">
      <c r="S212" s="454"/>
      <c r="AN212" s="454"/>
      <c r="AY212" s="454"/>
      <c r="AZ212" s="454"/>
      <c r="BA212" s="1306"/>
      <c r="BC212" s="169"/>
    </row>
    <row r="213" spans="19:55">
      <c r="S213" s="454"/>
      <c r="AN213" s="454"/>
      <c r="AY213" s="454"/>
      <c r="AZ213" s="454"/>
      <c r="BA213" s="1306"/>
      <c r="BC213" s="169"/>
    </row>
    <row r="214" spans="19:55">
      <c r="S214" s="454"/>
      <c r="AN214" s="454"/>
      <c r="AY214" s="454"/>
      <c r="AZ214" s="454"/>
      <c r="BA214" s="1306"/>
      <c r="BC214" s="169"/>
    </row>
    <row r="215" spans="19:55">
      <c r="S215" s="454"/>
      <c r="AN215" s="454"/>
      <c r="AY215" s="454"/>
      <c r="AZ215" s="454"/>
      <c r="BA215" s="1306"/>
      <c r="BC215" s="169"/>
    </row>
    <row r="216" spans="19:55">
      <c r="S216" s="454"/>
      <c r="AN216" s="454"/>
      <c r="AY216" s="454"/>
      <c r="AZ216" s="454"/>
      <c r="BA216" s="1306"/>
      <c r="BC216" s="169"/>
    </row>
    <row r="217" spans="19:55">
      <c r="S217" s="454"/>
      <c r="AN217" s="454"/>
      <c r="AY217" s="454"/>
      <c r="AZ217" s="454"/>
      <c r="BA217" s="1306"/>
      <c r="BC217" s="169"/>
    </row>
    <row r="218" spans="19:55">
      <c r="S218" s="454"/>
      <c r="AN218" s="454"/>
      <c r="AY218" s="454"/>
      <c r="AZ218" s="454"/>
      <c r="BA218" s="1306"/>
      <c r="BC218" s="169"/>
    </row>
    <row r="219" spans="19:55">
      <c r="S219" s="454"/>
      <c r="AN219" s="454"/>
      <c r="AY219" s="454"/>
      <c r="AZ219" s="454"/>
      <c r="BA219" s="1306"/>
      <c r="BC219" s="169"/>
    </row>
    <row r="220" spans="19:55">
      <c r="S220" s="454"/>
      <c r="AN220" s="454"/>
      <c r="AY220" s="454"/>
      <c r="AZ220" s="454"/>
      <c r="BA220" s="1306"/>
      <c r="BC220" s="169"/>
    </row>
    <row r="221" spans="19:55">
      <c r="S221" s="454"/>
      <c r="AN221" s="454"/>
      <c r="AY221" s="454"/>
      <c r="AZ221" s="454"/>
      <c r="BA221" s="1306"/>
      <c r="BC221" s="169"/>
    </row>
    <row r="222" spans="19:55">
      <c r="S222" s="454"/>
      <c r="AN222" s="454"/>
      <c r="AY222" s="454"/>
      <c r="AZ222" s="454"/>
      <c r="BA222" s="1306"/>
      <c r="BC222" s="169"/>
    </row>
    <row r="223" spans="19:55">
      <c r="S223" s="454"/>
      <c r="AN223" s="454"/>
      <c r="AY223" s="454"/>
      <c r="AZ223" s="454"/>
      <c r="BA223" s="1306"/>
      <c r="BC223" s="169"/>
    </row>
    <row r="224" spans="19:55">
      <c r="S224" s="454"/>
      <c r="AN224" s="454"/>
      <c r="AY224" s="454"/>
      <c r="AZ224" s="454"/>
      <c r="BA224" s="1306"/>
      <c r="BC224" s="169"/>
    </row>
    <row r="225" spans="19:55">
      <c r="S225" s="454"/>
      <c r="AN225" s="454"/>
      <c r="AY225" s="454"/>
      <c r="AZ225" s="454"/>
      <c r="BA225" s="1306"/>
      <c r="BC225" s="169"/>
    </row>
    <row r="226" spans="19:55">
      <c r="S226" s="454"/>
      <c r="AN226" s="454"/>
      <c r="AY226" s="454"/>
      <c r="AZ226" s="454"/>
      <c r="BA226" s="1306"/>
      <c r="BC226" s="169"/>
    </row>
    <row r="227" spans="19:55">
      <c r="S227" s="454"/>
      <c r="AN227" s="454"/>
      <c r="AY227" s="454"/>
      <c r="AZ227" s="454"/>
      <c r="BA227" s="1306"/>
      <c r="BC227" s="169"/>
    </row>
    <row r="228" spans="19:55">
      <c r="S228" s="454"/>
      <c r="AN228" s="454"/>
      <c r="AY228" s="454"/>
      <c r="AZ228" s="454"/>
      <c r="BA228" s="1306"/>
      <c r="BC228" s="169"/>
    </row>
    <row r="229" spans="19:55">
      <c r="S229" s="454"/>
      <c r="AN229" s="454"/>
      <c r="AY229" s="454"/>
      <c r="AZ229" s="454"/>
      <c r="BA229" s="1306"/>
      <c r="BC229" s="169"/>
    </row>
    <row r="230" spans="19:55">
      <c r="S230" s="454"/>
      <c r="AN230" s="454"/>
      <c r="AY230" s="454"/>
      <c r="AZ230" s="454"/>
      <c r="BA230" s="1306"/>
      <c r="BC230" s="169"/>
    </row>
    <row r="231" spans="19:55">
      <c r="S231" s="454"/>
      <c r="AN231" s="454"/>
      <c r="AY231" s="454"/>
      <c r="AZ231" s="454"/>
      <c r="BA231" s="1306"/>
      <c r="BC231" s="169"/>
    </row>
    <row r="232" spans="19:55">
      <c r="S232" s="454"/>
      <c r="AN232" s="454"/>
      <c r="AY232" s="454"/>
      <c r="AZ232" s="454"/>
      <c r="BA232" s="1306"/>
      <c r="BC232" s="169"/>
    </row>
    <row r="233" spans="19:55">
      <c r="S233" s="454"/>
      <c r="AN233" s="454"/>
      <c r="AY233" s="454"/>
      <c r="AZ233" s="454"/>
      <c r="BA233" s="1306"/>
      <c r="BC233" s="169"/>
    </row>
    <row r="234" spans="19:55">
      <c r="S234" s="454"/>
      <c r="AN234" s="454"/>
      <c r="AY234" s="454"/>
      <c r="AZ234" s="454"/>
      <c r="BA234" s="1306"/>
      <c r="BC234" s="169"/>
    </row>
    <row r="235" spans="19:55">
      <c r="S235" s="454"/>
      <c r="AN235" s="454"/>
      <c r="AY235" s="454"/>
      <c r="AZ235" s="454"/>
      <c r="BA235" s="1306"/>
      <c r="BC235" s="169"/>
    </row>
    <row r="236" spans="19:55">
      <c r="S236" s="454"/>
      <c r="AN236" s="454"/>
      <c r="AY236" s="454"/>
      <c r="AZ236" s="454"/>
      <c r="BA236" s="1306"/>
      <c r="BC236" s="169"/>
    </row>
    <row r="237" spans="19:55">
      <c r="S237" s="454"/>
      <c r="AN237" s="454"/>
      <c r="AY237" s="454"/>
      <c r="AZ237" s="454"/>
      <c r="BA237" s="1306"/>
      <c r="BC237" s="169"/>
    </row>
    <row r="238" spans="19:55">
      <c r="S238" s="454"/>
      <c r="AN238" s="454"/>
      <c r="AY238" s="454"/>
      <c r="AZ238" s="454"/>
      <c r="BA238" s="1306"/>
      <c r="BC238" s="169"/>
    </row>
    <row r="239" spans="19:55">
      <c r="S239" s="454"/>
      <c r="AN239" s="454"/>
      <c r="AY239" s="454"/>
      <c r="AZ239" s="454"/>
      <c r="BA239" s="1306"/>
      <c r="BC239" s="169"/>
    </row>
    <row r="240" spans="19:55">
      <c r="S240" s="454"/>
      <c r="AN240" s="454"/>
      <c r="AY240" s="454"/>
      <c r="AZ240" s="454"/>
      <c r="BA240" s="1306"/>
      <c r="BC240" s="169"/>
    </row>
    <row r="241" spans="19:55">
      <c r="S241" s="454"/>
      <c r="AN241" s="454"/>
      <c r="AY241" s="454"/>
      <c r="AZ241" s="454"/>
      <c r="BA241" s="1306"/>
      <c r="BC241" s="169"/>
    </row>
    <row r="242" spans="19:55">
      <c r="S242" s="454"/>
      <c r="AN242" s="454"/>
      <c r="AY242" s="454"/>
      <c r="AZ242" s="454"/>
      <c r="BA242" s="1306"/>
      <c r="BC242" s="169"/>
    </row>
    <row r="243" spans="19:55">
      <c r="S243" s="454"/>
      <c r="AN243" s="454"/>
      <c r="AY243" s="454"/>
      <c r="AZ243" s="454"/>
      <c r="BA243" s="1306"/>
      <c r="BC243" s="169"/>
    </row>
    <row r="244" spans="19:55">
      <c r="S244" s="454"/>
      <c r="AN244" s="454"/>
      <c r="AY244" s="454"/>
      <c r="AZ244" s="454"/>
      <c r="BA244" s="1306"/>
      <c r="BC244" s="169"/>
    </row>
    <row r="245" spans="19:55">
      <c r="S245" s="454"/>
      <c r="AN245" s="454"/>
      <c r="AY245" s="454"/>
      <c r="AZ245" s="454"/>
      <c r="BA245" s="1306"/>
      <c r="BC245" s="169"/>
    </row>
    <row r="246" spans="19:55">
      <c r="S246" s="454"/>
      <c r="AN246" s="454"/>
      <c r="AY246" s="454"/>
      <c r="AZ246" s="454"/>
      <c r="BA246" s="1306"/>
      <c r="BC246" s="169"/>
    </row>
    <row r="247" spans="19:55">
      <c r="S247" s="454"/>
      <c r="AN247" s="454"/>
      <c r="AY247" s="454"/>
      <c r="AZ247" s="454"/>
      <c r="BA247" s="1306"/>
      <c r="BC247" s="169"/>
    </row>
    <row r="248" spans="19:55">
      <c r="S248" s="454"/>
      <c r="AN248" s="454"/>
      <c r="AY248" s="454"/>
      <c r="AZ248" s="454"/>
      <c r="BA248" s="1306"/>
      <c r="BC248" s="169"/>
    </row>
    <row r="249" spans="19:55">
      <c r="S249" s="454"/>
      <c r="AN249" s="454"/>
      <c r="AY249" s="454"/>
      <c r="AZ249" s="454"/>
      <c r="BA249" s="1306"/>
      <c r="BC249" s="169"/>
    </row>
    <row r="250" spans="19:55">
      <c r="S250" s="454"/>
      <c r="AN250" s="454"/>
      <c r="AY250" s="454"/>
      <c r="AZ250" s="454"/>
      <c r="BA250" s="1306"/>
      <c r="BC250" s="169"/>
    </row>
    <row r="251" spans="19:55">
      <c r="S251" s="454"/>
      <c r="AN251" s="454"/>
      <c r="AY251" s="454"/>
      <c r="AZ251" s="454"/>
      <c r="BA251" s="1306"/>
      <c r="BC251" s="169"/>
    </row>
    <row r="252" spans="19:55">
      <c r="S252" s="454"/>
      <c r="AN252" s="454"/>
      <c r="AY252" s="454"/>
      <c r="AZ252" s="454"/>
      <c r="BA252" s="1306"/>
      <c r="BC252" s="169"/>
    </row>
    <row r="253" spans="19:55">
      <c r="S253" s="454"/>
      <c r="AN253" s="454"/>
      <c r="AY253" s="454"/>
      <c r="AZ253" s="454"/>
      <c r="BA253" s="1306"/>
      <c r="BC253" s="169"/>
    </row>
    <row r="254" spans="19:55">
      <c r="S254" s="454"/>
      <c r="AN254" s="454"/>
      <c r="AY254" s="454"/>
      <c r="AZ254" s="454"/>
      <c r="BA254" s="1306"/>
      <c r="BC254" s="169"/>
    </row>
    <row r="255" spans="19:55">
      <c r="S255" s="454"/>
      <c r="AN255" s="454"/>
      <c r="AY255" s="454"/>
      <c r="AZ255" s="454"/>
      <c r="BA255" s="1306"/>
      <c r="BC255" s="169"/>
    </row>
    <row r="256" spans="19:55">
      <c r="S256" s="454"/>
      <c r="AN256" s="454"/>
      <c r="AY256" s="454"/>
      <c r="AZ256" s="454"/>
      <c r="BA256" s="1306"/>
      <c r="BC256" s="169"/>
    </row>
    <row r="257" spans="19:55">
      <c r="S257" s="454"/>
      <c r="AN257" s="454"/>
      <c r="AY257" s="454"/>
      <c r="AZ257" s="454"/>
      <c r="BA257" s="1306"/>
      <c r="BC257" s="169"/>
    </row>
    <row r="258" spans="19:55">
      <c r="S258" s="454"/>
      <c r="AN258" s="454"/>
      <c r="AY258" s="454"/>
      <c r="AZ258" s="454"/>
      <c r="BA258" s="1306"/>
      <c r="BC258" s="169"/>
    </row>
    <row r="259" spans="19:55">
      <c r="S259" s="454"/>
      <c r="AN259" s="454"/>
      <c r="AY259" s="454"/>
      <c r="AZ259" s="454"/>
      <c r="BA259" s="1306"/>
      <c r="BC259" s="169"/>
    </row>
    <row r="260" spans="19:55">
      <c r="S260" s="454"/>
      <c r="AN260" s="454"/>
      <c r="AY260" s="454"/>
      <c r="AZ260" s="454"/>
      <c r="BA260" s="1306"/>
      <c r="BC260" s="169"/>
    </row>
    <row r="261" spans="19:55">
      <c r="S261" s="454"/>
      <c r="AN261" s="454"/>
      <c r="AY261" s="454"/>
      <c r="AZ261" s="454"/>
      <c r="BA261" s="1306"/>
      <c r="BC261" s="169"/>
    </row>
    <row r="262" spans="19:55">
      <c r="S262" s="454"/>
      <c r="AN262" s="454"/>
      <c r="AY262" s="454"/>
      <c r="AZ262" s="454"/>
      <c r="BA262" s="1306"/>
      <c r="BC262" s="169"/>
    </row>
    <row r="263" spans="19:55">
      <c r="S263" s="454"/>
      <c r="AN263" s="454"/>
      <c r="AY263" s="454"/>
      <c r="AZ263" s="454"/>
      <c r="BA263" s="1306"/>
      <c r="BC263" s="169"/>
    </row>
    <row r="264" spans="19:55">
      <c r="S264" s="454"/>
      <c r="AN264" s="454"/>
      <c r="AY264" s="454"/>
      <c r="AZ264" s="454"/>
      <c r="BA264" s="1306"/>
      <c r="BC264" s="169"/>
    </row>
    <row r="265" spans="19:55">
      <c r="S265" s="454"/>
      <c r="AN265" s="454"/>
      <c r="AY265" s="454"/>
      <c r="AZ265" s="454"/>
      <c r="BA265" s="1306"/>
      <c r="BC265" s="169"/>
    </row>
    <row r="266" spans="19:55">
      <c r="S266" s="454"/>
      <c r="AN266" s="454"/>
      <c r="AY266" s="454"/>
      <c r="AZ266" s="454"/>
      <c r="BA266" s="1306"/>
      <c r="BC266" s="169"/>
    </row>
    <row r="267" spans="19:55">
      <c r="S267" s="454"/>
      <c r="AN267" s="454"/>
      <c r="AY267" s="454"/>
      <c r="AZ267" s="454"/>
      <c r="BA267" s="1306"/>
      <c r="BC267" s="169"/>
    </row>
    <row r="268" spans="19:55">
      <c r="S268" s="454"/>
      <c r="AN268" s="454"/>
      <c r="AY268" s="454"/>
      <c r="AZ268" s="454"/>
      <c r="BA268" s="1306"/>
      <c r="BC268" s="169"/>
    </row>
    <row r="269" spans="19:55">
      <c r="S269" s="454"/>
      <c r="AN269" s="454"/>
      <c r="AY269" s="454"/>
      <c r="AZ269" s="454"/>
      <c r="BA269" s="1306"/>
      <c r="BC269" s="169"/>
    </row>
    <row r="270" spans="19:55">
      <c r="S270" s="454"/>
      <c r="AN270" s="454"/>
      <c r="AY270" s="454"/>
      <c r="AZ270" s="454"/>
      <c r="BA270" s="1306"/>
      <c r="BC270" s="169"/>
    </row>
    <row r="271" spans="19:55">
      <c r="S271" s="454"/>
      <c r="AN271" s="454"/>
      <c r="AY271" s="454"/>
      <c r="AZ271" s="454"/>
      <c r="BA271" s="1306"/>
      <c r="BC271" s="169"/>
    </row>
    <row r="272" spans="19:55">
      <c r="S272" s="454"/>
      <c r="AN272" s="454"/>
      <c r="AY272" s="454"/>
      <c r="AZ272" s="454"/>
      <c r="BA272" s="1306"/>
      <c r="BC272" s="169"/>
    </row>
    <row r="273" spans="19:55">
      <c r="S273" s="454"/>
      <c r="AN273" s="454"/>
      <c r="AY273" s="454"/>
      <c r="AZ273" s="454"/>
      <c r="BA273" s="1306"/>
      <c r="BC273" s="169"/>
    </row>
    <row r="274" spans="19:55">
      <c r="S274" s="454"/>
      <c r="AN274" s="454"/>
      <c r="AY274" s="454"/>
      <c r="AZ274" s="454"/>
      <c r="BA274" s="1306"/>
      <c r="BC274" s="169"/>
    </row>
    <row r="275" spans="19:55">
      <c r="S275" s="454"/>
      <c r="AN275" s="454"/>
      <c r="AY275" s="454"/>
      <c r="AZ275" s="454"/>
      <c r="BA275" s="1306"/>
      <c r="BC275" s="169"/>
    </row>
    <row r="276" spans="19:55">
      <c r="S276" s="454"/>
      <c r="AN276" s="454"/>
      <c r="AY276" s="454"/>
      <c r="AZ276" s="454"/>
      <c r="BA276" s="1306"/>
      <c r="BC276" s="169"/>
    </row>
    <row r="277" spans="19:55">
      <c r="S277" s="454"/>
      <c r="AN277" s="454"/>
      <c r="AY277" s="454"/>
      <c r="AZ277" s="454"/>
      <c r="BA277" s="1306"/>
      <c r="BC277" s="169"/>
    </row>
    <row r="278" spans="19:55">
      <c r="S278" s="454"/>
      <c r="AN278" s="454"/>
      <c r="AY278" s="454"/>
      <c r="AZ278" s="454"/>
      <c r="BA278" s="1306"/>
      <c r="BC278" s="169"/>
    </row>
    <row r="279" spans="19:55">
      <c r="S279" s="454"/>
      <c r="AN279" s="454"/>
      <c r="AY279" s="454"/>
      <c r="AZ279" s="454"/>
      <c r="BA279" s="1306"/>
      <c r="BC279" s="169"/>
    </row>
    <row r="280" spans="19:55">
      <c r="S280" s="454"/>
      <c r="AN280" s="454"/>
      <c r="AY280" s="454"/>
      <c r="AZ280" s="454"/>
      <c r="BA280" s="1306"/>
      <c r="BC280" s="169"/>
    </row>
    <row r="281" spans="19:55">
      <c r="S281" s="454"/>
      <c r="AN281" s="454"/>
      <c r="AY281" s="454"/>
      <c r="AZ281" s="454"/>
      <c r="BA281" s="1306"/>
      <c r="BC281" s="169"/>
    </row>
    <row r="282" spans="19:55">
      <c r="S282" s="454"/>
      <c r="AN282" s="454"/>
      <c r="AY282" s="454"/>
      <c r="AZ282" s="454"/>
      <c r="BA282" s="1306"/>
      <c r="BC282" s="169"/>
    </row>
    <row r="283" spans="19:55">
      <c r="S283" s="454"/>
      <c r="AN283" s="454"/>
      <c r="AY283" s="454"/>
      <c r="AZ283" s="454"/>
      <c r="BA283" s="1306"/>
      <c r="BC283" s="169"/>
    </row>
    <row r="284" spans="19:55">
      <c r="S284" s="454"/>
      <c r="AN284" s="454"/>
      <c r="AY284" s="454"/>
      <c r="AZ284" s="454"/>
      <c r="BA284" s="1306"/>
      <c r="BC284" s="169"/>
    </row>
    <row r="285" spans="19:55">
      <c r="S285" s="454"/>
      <c r="AN285" s="454"/>
      <c r="AY285" s="454"/>
      <c r="AZ285" s="454"/>
      <c r="BA285" s="1306"/>
      <c r="BC285" s="169"/>
    </row>
    <row r="286" spans="19:55">
      <c r="S286" s="454"/>
      <c r="AN286" s="454"/>
      <c r="AY286" s="454"/>
      <c r="AZ286" s="454"/>
      <c r="BA286" s="1306"/>
      <c r="BC286" s="169"/>
    </row>
    <row r="287" spans="19:55">
      <c r="S287" s="454"/>
      <c r="AN287" s="454"/>
      <c r="AY287" s="454"/>
      <c r="AZ287" s="454"/>
      <c r="BA287" s="1306"/>
      <c r="BC287" s="169"/>
    </row>
    <row r="288" spans="19:55">
      <c r="S288" s="454"/>
      <c r="AN288" s="454"/>
      <c r="AY288" s="454"/>
      <c r="AZ288" s="454"/>
      <c r="BA288" s="1306"/>
      <c r="BC288" s="169"/>
    </row>
    <row r="289" spans="19:55">
      <c r="S289" s="454"/>
      <c r="AN289" s="454"/>
      <c r="AY289" s="454"/>
      <c r="AZ289" s="454"/>
      <c r="BA289" s="1306"/>
      <c r="BC289" s="169"/>
    </row>
    <row r="290" spans="19:55">
      <c r="S290" s="454"/>
      <c r="AN290" s="454"/>
      <c r="AY290" s="454"/>
      <c r="AZ290" s="454"/>
      <c r="BA290" s="1306"/>
      <c r="BC290" s="169"/>
    </row>
    <row r="291" spans="19:55">
      <c r="S291" s="454"/>
      <c r="AN291" s="454"/>
      <c r="AY291" s="454"/>
      <c r="AZ291" s="454"/>
      <c r="BA291" s="1306"/>
      <c r="BC291" s="169"/>
    </row>
    <row r="292" spans="19:55">
      <c r="S292" s="454"/>
      <c r="AN292" s="454"/>
      <c r="AY292" s="454"/>
      <c r="AZ292" s="454"/>
      <c r="BA292" s="1306"/>
      <c r="BC292" s="169"/>
    </row>
    <row r="293" spans="19:55">
      <c r="S293" s="454"/>
      <c r="AN293" s="454"/>
      <c r="AY293" s="454"/>
      <c r="AZ293" s="454"/>
      <c r="BA293" s="1306"/>
      <c r="BC293" s="169"/>
    </row>
    <row r="294" spans="19:55">
      <c r="S294" s="454"/>
      <c r="AN294" s="454"/>
      <c r="AY294" s="454"/>
      <c r="AZ294" s="454"/>
      <c r="BA294" s="1306"/>
      <c r="BC294" s="169"/>
    </row>
    <row r="295" spans="19:55">
      <c r="S295" s="454"/>
      <c r="AN295" s="454"/>
      <c r="AY295" s="454"/>
      <c r="AZ295" s="454"/>
      <c r="BA295" s="1306"/>
      <c r="BC295" s="169"/>
    </row>
    <row r="296" spans="19:55">
      <c r="S296" s="454"/>
      <c r="AN296" s="454"/>
      <c r="AY296" s="454"/>
      <c r="AZ296" s="454"/>
      <c r="BA296" s="1306"/>
      <c r="BC296" s="169"/>
    </row>
    <row r="297" spans="19:55">
      <c r="S297" s="454"/>
      <c r="AN297" s="454"/>
      <c r="AY297" s="454"/>
      <c r="AZ297" s="454"/>
      <c r="BA297" s="1306"/>
      <c r="BC297" s="169"/>
    </row>
    <row r="298" spans="19:55">
      <c r="S298" s="454"/>
      <c r="AN298" s="454"/>
      <c r="AY298" s="454"/>
      <c r="AZ298" s="454"/>
      <c r="BA298" s="1306"/>
      <c r="BC298" s="169"/>
    </row>
    <row r="299" spans="19:55">
      <c r="S299" s="454"/>
      <c r="AN299" s="454"/>
      <c r="AY299" s="454"/>
      <c r="AZ299" s="454"/>
      <c r="BA299" s="1306"/>
      <c r="BC299" s="169"/>
    </row>
    <row r="300" spans="19:55">
      <c r="S300" s="454"/>
      <c r="AN300" s="454"/>
      <c r="AY300" s="454"/>
      <c r="AZ300" s="454"/>
      <c r="BA300" s="1306"/>
      <c r="BC300" s="169"/>
    </row>
    <row r="301" spans="19:55">
      <c r="S301" s="454"/>
      <c r="AN301" s="454"/>
      <c r="AY301" s="454"/>
      <c r="AZ301" s="454"/>
      <c r="BA301" s="1306"/>
      <c r="BC301" s="169"/>
    </row>
    <row r="302" spans="19:55">
      <c r="S302" s="454"/>
      <c r="AN302" s="454"/>
      <c r="AY302" s="454"/>
      <c r="AZ302" s="454"/>
      <c r="BA302" s="1306"/>
      <c r="BC302" s="169"/>
    </row>
    <row r="303" spans="19:55">
      <c r="S303" s="454"/>
      <c r="AN303" s="454"/>
      <c r="AY303" s="454"/>
      <c r="AZ303" s="454"/>
      <c r="BA303" s="1306"/>
      <c r="BC303" s="169"/>
    </row>
    <row r="304" spans="19:55">
      <c r="S304" s="454"/>
      <c r="AN304" s="454"/>
      <c r="AY304" s="454"/>
      <c r="AZ304" s="454"/>
      <c r="BA304" s="1306"/>
      <c r="BC304" s="169"/>
    </row>
    <row r="305" spans="19:55">
      <c r="S305" s="454"/>
      <c r="AN305" s="454"/>
      <c r="AY305" s="454"/>
      <c r="AZ305" s="454"/>
      <c r="BA305" s="1306"/>
      <c r="BC305" s="169"/>
    </row>
    <row r="306" spans="19:55">
      <c r="S306" s="454"/>
      <c r="AN306" s="454"/>
      <c r="AY306" s="454"/>
      <c r="AZ306" s="454"/>
      <c r="BA306" s="1306"/>
      <c r="BC306" s="169"/>
    </row>
    <row r="307" spans="19:55">
      <c r="S307" s="454"/>
      <c r="AN307" s="454"/>
      <c r="AY307" s="454"/>
      <c r="AZ307" s="454"/>
      <c r="BA307" s="1306"/>
      <c r="BC307" s="169"/>
    </row>
    <row r="308" spans="19:55">
      <c r="S308" s="454"/>
      <c r="AN308" s="454"/>
      <c r="AY308" s="454"/>
      <c r="AZ308" s="454"/>
      <c r="BA308" s="1306"/>
      <c r="BC308" s="169"/>
    </row>
    <row r="309" spans="19:55">
      <c r="S309" s="454"/>
      <c r="AN309" s="454"/>
      <c r="AY309" s="454"/>
      <c r="AZ309" s="454"/>
      <c r="BA309" s="1306"/>
      <c r="BC309" s="169"/>
    </row>
    <row r="310" spans="19:55">
      <c r="S310" s="454"/>
      <c r="AN310" s="454"/>
      <c r="AY310" s="454"/>
      <c r="AZ310" s="454"/>
      <c r="BA310" s="1306"/>
      <c r="BC310" s="169"/>
    </row>
    <row r="311" spans="19:55">
      <c r="S311" s="454"/>
      <c r="AN311" s="454"/>
      <c r="AY311" s="454"/>
      <c r="AZ311" s="454"/>
      <c r="BA311" s="1306"/>
      <c r="BC311" s="169"/>
    </row>
    <row r="312" spans="19:55">
      <c r="S312" s="454"/>
      <c r="AN312" s="454"/>
      <c r="AY312" s="454"/>
      <c r="AZ312" s="454"/>
      <c r="BA312" s="1306"/>
      <c r="BC312" s="169"/>
    </row>
    <row r="313" spans="19:55">
      <c r="S313" s="454"/>
      <c r="AN313" s="454"/>
      <c r="AY313" s="454"/>
      <c r="AZ313" s="454"/>
      <c r="BA313" s="1306"/>
      <c r="BC313" s="169"/>
    </row>
    <row r="314" spans="19:55">
      <c r="S314" s="454"/>
      <c r="AN314" s="454"/>
      <c r="AY314" s="454"/>
      <c r="AZ314" s="454"/>
      <c r="BA314" s="1306"/>
      <c r="BC314" s="169"/>
    </row>
    <row r="315" spans="19:55">
      <c r="S315" s="454"/>
      <c r="AN315" s="454"/>
      <c r="AY315" s="454"/>
      <c r="AZ315" s="454"/>
      <c r="BA315" s="1306"/>
      <c r="BC315" s="169"/>
    </row>
    <row r="316" spans="19:55">
      <c r="S316" s="454"/>
      <c r="AN316" s="454"/>
      <c r="AY316" s="454"/>
      <c r="AZ316" s="454"/>
      <c r="BA316" s="1306"/>
      <c r="BC316" s="169"/>
    </row>
    <row r="317" spans="19:55">
      <c r="S317" s="454"/>
      <c r="AN317" s="454"/>
      <c r="AY317" s="454"/>
      <c r="AZ317" s="454"/>
      <c r="BA317" s="1306"/>
      <c r="BC317" s="169"/>
    </row>
    <row r="318" spans="19:55">
      <c r="S318" s="454"/>
      <c r="AN318" s="454"/>
      <c r="AY318" s="454"/>
      <c r="AZ318" s="454"/>
      <c r="BA318" s="1306"/>
      <c r="BC318" s="169"/>
    </row>
    <row r="319" spans="19:55">
      <c r="S319" s="454"/>
      <c r="AN319" s="454"/>
      <c r="AY319" s="454"/>
      <c r="AZ319" s="454"/>
      <c r="BA319" s="1306"/>
      <c r="BC319" s="169"/>
    </row>
    <row r="320" spans="19:55">
      <c r="S320" s="454"/>
      <c r="AN320" s="454"/>
      <c r="AY320" s="454"/>
      <c r="AZ320" s="454"/>
      <c r="BA320" s="1306"/>
      <c r="BC320" s="169"/>
    </row>
    <row r="321" spans="19:55">
      <c r="S321" s="454"/>
      <c r="AN321" s="454"/>
      <c r="AY321" s="454"/>
      <c r="AZ321" s="454"/>
      <c r="BA321" s="1306"/>
      <c r="BC321" s="169"/>
    </row>
    <row r="322" spans="19:55">
      <c r="S322" s="454"/>
      <c r="AN322" s="454"/>
      <c r="AY322" s="454"/>
      <c r="AZ322" s="454"/>
      <c r="BA322" s="1306"/>
      <c r="BC322" s="169"/>
    </row>
    <row r="323" spans="19:55">
      <c r="S323" s="454"/>
      <c r="AN323" s="454"/>
      <c r="AY323" s="454"/>
      <c r="AZ323" s="454"/>
      <c r="BA323" s="1306"/>
      <c r="BC323" s="169"/>
    </row>
    <row r="324" spans="19:55">
      <c r="S324" s="454"/>
      <c r="AN324" s="454"/>
      <c r="AY324" s="454"/>
      <c r="AZ324" s="454"/>
      <c r="BA324" s="1306"/>
      <c r="BC324" s="169"/>
    </row>
    <row r="325" spans="19:55">
      <c r="S325" s="454"/>
      <c r="AN325" s="454"/>
      <c r="AY325" s="454"/>
      <c r="AZ325" s="454"/>
      <c r="BA325" s="1306"/>
      <c r="BC325" s="169"/>
    </row>
    <row r="326" spans="19:55">
      <c r="S326" s="454"/>
      <c r="AN326" s="454"/>
      <c r="AY326" s="454"/>
      <c r="AZ326" s="454"/>
      <c r="BA326" s="1306"/>
      <c r="BC326" s="169"/>
    </row>
    <row r="327" spans="19:55">
      <c r="S327" s="454"/>
      <c r="AN327" s="454"/>
      <c r="AY327" s="454"/>
      <c r="AZ327" s="454"/>
      <c r="BA327" s="1306"/>
      <c r="BC327" s="169"/>
    </row>
    <row r="328" spans="19:55">
      <c r="S328" s="454"/>
      <c r="AN328" s="454"/>
      <c r="AY328" s="454"/>
      <c r="AZ328" s="454"/>
      <c r="BA328" s="1306"/>
      <c r="BC328" s="169"/>
    </row>
    <row r="329" spans="19:55">
      <c r="S329" s="454"/>
      <c r="AN329" s="454"/>
      <c r="AY329" s="454"/>
      <c r="AZ329" s="454"/>
      <c r="BA329" s="1306"/>
      <c r="BC329" s="169"/>
    </row>
    <row r="330" spans="19:55">
      <c r="S330" s="454"/>
      <c r="AN330" s="454"/>
      <c r="AY330" s="454"/>
      <c r="AZ330" s="454"/>
      <c r="BA330" s="1306"/>
      <c r="BC330" s="169"/>
    </row>
    <row r="331" spans="19:55">
      <c r="S331" s="454"/>
      <c r="AN331" s="454"/>
      <c r="AY331" s="454"/>
      <c r="AZ331" s="454"/>
      <c r="BA331" s="1306"/>
      <c r="BC331" s="169"/>
    </row>
    <row r="332" spans="19:55">
      <c r="S332" s="454"/>
      <c r="AN332" s="454"/>
      <c r="AY332" s="454"/>
      <c r="AZ332" s="454"/>
      <c r="BA332" s="1306"/>
      <c r="BC332" s="169"/>
    </row>
    <row r="333" spans="19:55">
      <c r="S333" s="454"/>
      <c r="AN333" s="454"/>
      <c r="AY333" s="454"/>
      <c r="AZ333" s="454"/>
      <c r="BA333" s="1306"/>
      <c r="BC333" s="169"/>
    </row>
    <row r="334" spans="19:55">
      <c r="S334" s="454"/>
      <c r="AN334" s="454"/>
      <c r="AY334" s="454"/>
      <c r="AZ334" s="454"/>
      <c r="BA334" s="1306"/>
      <c r="BC334" s="169"/>
    </row>
    <row r="335" spans="19:55">
      <c r="S335" s="454"/>
      <c r="AN335" s="454"/>
      <c r="AY335" s="454"/>
      <c r="AZ335" s="454"/>
      <c r="BA335" s="1306"/>
      <c r="BC335" s="169"/>
    </row>
    <row r="336" spans="19:55">
      <c r="S336" s="454"/>
      <c r="AN336" s="454"/>
      <c r="AY336" s="454"/>
      <c r="AZ336" s="454"/>
      <c r="BA336" s="1306"/>
      <c r="BC336" s="169"/>
    </row>
    <row r="337" spans="19:55">
      <c r="S337" s="454"/>
      <c r="AN337" s="454"/>
      <c r="AY337" s="454"/>
      <c r="AZ337" s="454"/>
      <c r="BA337" s="1306"/>
      <c r="BC337" s="169"/>
    </row>
    <row r="338" spans="19:55">
      <c r="S338" s="454"/>
      <c r="AN338" s="454"/>
      <c r="AY338" s="454"/>
      <c r="AZ338" s="454"/>
      <c r="BA338" s="1306"/>
      <c r="BC338" s="169"/>
    </row>
    <row r="339" spans="19:55">
      <c r="S339" s="454"/>
      <c r="AN339" s="454"/>
      <c r="AY339" s="454"/>
      <c r="AZ339" s="454"/>
      <c r="BA339" s="1306"/>
      <c r="BC339" s="169"/>
    </row>
    <row r="340" spans="19:55">
      <c r="S340" s="454"/>
      <c r="AN340" s="454"/>
      <c r="AY340" s="454"/>
      <c r="AZ340" s="454"/>
      <c r="BA340" s="1306"/>
      <c r="BC340" s="169"/>
    </row>
    <row r="341" spans="19:55">
      <c r="S341" s="454"/>
      <c r="AN341" s="454"/>
      <c r="AY341" s="454"/>
      <c r="AZ341" s="454"/>
      <c r="BA341" s="1306"/>
      <c r="BC341" s="169"/>
    </row>
    <row r="342" spans="19:55">
      <c r="S342" s="454"/>
      <c r="AN342" s="454"/>
      <c r="AY342" s="454"/>
      <c r="AZ342" s="454"/>
      <c r="BA342" s="1306"/>
      <c r="BC342" s="169"/>
    </row>
    <row r="343" spans="19:55">
      <c r="S343" s="454"/>
      <c r="AN343" s="454"/>
      <c r="AY343" s="454"/>
      <c r="AZ343" s="454"/>
      <c r="BA343" s="1306"/>
      <c r="BC343" s="169"/>
    </row>
    <row r="344" spans="19:55">
      <c r="S344" s="454"/>
      <c r="AN344" s="454"/>
      <c r="AY344" s="454"/>
      <c r="AZ344" s="454"/>
      <c r="BA344" s="1306"/>
      <c r="BC344" s="169"/>
    </row>
    <row r="345" spans="19:55">
      <c r="S345" s="454"/>
      <c r="AN345" s="454"/>
      <c r="AY345" s="454"/>
      <c r="AZ345" s="454"/>
      <c r="BA345" s="1306"/>
      <c r="BC345" s="169"/>
    </row>
    <row r="346" spans="19:55">
      <c r="S346" s="454"/>
      <c r="AN346" s="454"/>
      <c r="AY346" s="454"/>
      <c r="AZ346" s="454"/>
      <c r="BA346" s="1306"/>
      <c r="BC346" s="169"/>
    </row>
    <row r="347" spans="19:55">
      <c r="S347" s="454"/>
      <c r="AN347" s="454"/>
      <c r="AY347" s="454"/>
      <c r="AZ347" s="454"/>
      <c r="BA347" s="1306"/>
      <c r="BC347" s="169"/>
    </row>
    <row r="348" spans="19:55">
      <c r="S348" s="454"/>
      <c r="AN348" s="454"/>
      <c r="AY348" s="454"/>
      <c r="AZ348" s="454"/>
      <c r="BA348" s="1306"/>
      <c r="BC348" s="169"/>
    </row>
    <row r="349" spans="19:55">
      <c r="S349" s="454"/>
      <c r="AN349" s="454"/>
      <c r="AY349" s="454"/>
      <c r="AZ349" s="454"/>
      <c r="BA349" s="1306"/>
      <c r="BC349" s="169"/>
    </row>
    <row r="350" spans="19:55">
      <c r="S350" s="454"/>
      <c r="AN350" s="454"/>
      <c r="AY350" s="454"/>
      <c r="AZ350" s="454"/>
      <c r="BA350" s="1306"/>
      <c r="BC350" s="169"/>
    </row>
    <row r="351" spans="19:55">
      <c r="S351" s="454"/>
      <c r="AN351" s="454"/>
      <c r="AY351" s="454"/>
      <c r="AZ351" s="454"/>
      <c r="BA351" s="1306"/>
      <c r="BC351" s="169"/>
    </row>
    <row r="352" spans="19:55">
      <c r="S352" s="454"/>
      <c r="AN352" s="454"/>
      <c r="AY352" s="454"/>
      <c r="AZ352" s="454"/>
      <c r="BA352" s="1306"/>
      <c r="BC352" s="169"/>
    </row>
    <row r="353" spans="19:55">
      <c r="S353" s="454"/>
      <c r="AN353" s="454"/>
      <c r="AY353" s="454"/>
      <c r="AZ353" s="454"/>
      <c r="BA353" s="1306"/>
      <c r="BC353" s="169"/>
    </row>
    <row r="354" spans="19:55">
      <c r="S354" s="454"/>
      <c r="AN354" s="454"/>
      <c r="AY354" s="454"/>
      <c r="AZ354" s="454"/>
      <c r="BA354" s="1306"/>
      <c r="BC354" s="169"/>
    </row>
    <row r="355" spans="19:55">
      <c r="S355" s="454"/>
      <c r="AN355" s="454"/>
      <c r="AY355" s="454"/>
      <c r="AZ355" s="454"/>
      <c r="BA355" s="1306"/>
      <c r="BC355" s="169"/>
    </row>
    <row r="356" spans="19:55">
      <c r="S356" s="454"/>
      <c r="AN356" s="454"/>
      <c r="AY356" s="454"/>
      <c r="AZ356" s="454"/>
      <c r="BA356" s="1306"/>
      <c r="BC356" s="169"/>
    </row>
    <row r="357" spans="19:55">
      <c r="S357" s="454"/>
      <c r="AN357" s="454"/>
      <c r="AY357" s="454"/>
      <c r="AZ357" s="454"/>
      <c r="BA357" s="1306"/>
      <c r="BC357" s="169"/>
    </row>
    <row r="358" spans="19:55">
      <c r="S358" s="454"/>
      <c r="AN358" s="454"/>
      <c r="AY358" s="454"/>
      <c r="AZ358" s="454"/>
      <c r="BA358" s="1306"/>
      <c r="BC358" s="169"/>
    </row>
    <row r="359" spans="19:55">
      <c r="S359" s="454"/>
      <c r="AN359" s="454"/>
      <c r="AY359" s="454"/>
      <c r="AZ359" s="454"/>
      <c r="BA359" s="1306"/>
      <c r="BC359" s="169"/>
    </row>
    <row r="360" spans="19:55">
      <c r="S360" s="454"/>
      <c r="AN360" s="454"/>
      <c r="AY360" s="454"/>
      <c r="AZ360" s="454"/>
      <c r="BA360" s="1306"/>
      <c r="BC360" s="169"/>
    </row>
    <row r="361" spans="19:55">
      <c r="S361" s="454"/>
      <c r="AN361" s="454"/>
      <c r="AY361" s="454"/>
      <c r="AZ361" s="454"/>
      <c r="BA361" s="1306"/>
      <c r="BC361" s="169"/>
    </row>
    <row r="362" spans="19:55">
      <c r="S362" s="454"/>
      <c r="AN362" s="454"/>
      <c r="AY362" s="454"/>
      <c r="AZ362" s="454"/>
      <c r="BA362" s="1306"/>
      <c r="BC362" s="169"/>
    </row>
    <row r="363" spans="19:55">
      <c r="S363" s="454"/>
      <c r="AN363" s="454"/>
      <c r="AY363" s="454"/>
      <c r="AZ363" s="454"/>
      <c r="BA363" s="1306"/>
      <c r="BC363" s="169"/>
    </row>
    <row r="364" spans="19:55">
      <c r="S364" s="454"/>
      <c r="AN364" s="454"/>
      <c r="AY364" s="454"/>
      <c r="AZ364" s="454"/>
      <c r="BA364" s="1306"/>
      <c r="BC364" s="169"/>
    </row>
    <row r="365" spans="19:55">
      <c r="S365" s="454"/>
      <c r="AN365" s="454"/>
      <c r="AY365" s="454"/>
      <c r="AZ365" s="454"/>
      <c r="BA365" s="1306"/>
      <c r="BC365" s="169"/>
    </row>
    <row r="366" spans="19:55">
      <c r="S366" s="454"/>
      <c r="AN366" s="454"/>
      <c r="AY366" s="454"/>
      <c r="AZ366" s="454"/>
      <c r="BA366" s="1306"/>
      <c r="BC366" s="169"/>
    </row>
    <row r="367" spans="19:55">
      <c r="S367" s="454"/>
      <c r="AN367" s="454"/>
      <c r="AY367" s="454"/>
      <c r="AZ367" s="454"/>
      <c r="BA367" s="1306"/>
      <c r="BC367" s="169"/>
    </row>
    <row r="368" spans="19:55">
      <c r="S368" s="454"/>
      <c r="AN368" s="454"/>
      <c r="AY368" s="454"/>
      <c r="AZ368" s="454"/>
      <c r="BA368" s="1306"/>
      <c r="BC368" s="169"/>
    </row>
    <row r="369" spans="19:55">
      <c r="S369" s="454"/>
      <c r="AN369" s="454"/>
      <c r="AY369" s="454"/>
      <c r="AZ369" s="454"/>
      <c r="BA369" s="1306"/>
      <c r="BC369" s="169"/>
    </row>
    <row r="370" spans="19:55">
      <c r="S370" s="454"/>
      <c r="AN370" s="454"/>
      <c r="AY370" s="454"/>
      <c r="AZ370" s="454"/>
      <c r="BA370" s="1306"/>
      <c r="BC370" s="169"/>
    </row>
    <row r="371" spans="19:55">
      <c r="S371" s="454"/>
      <c r="AN371" s="454"/>
      <c r="AY371" s="454"/>
      <c r="AZ371" s="454"/>
      <c r="BA371" s="1306"/>
      <c r="BC371" s="169"/>
    </row>
    <row r="372" spans="19:55">
      <c r="S372" s="454"/>
      <c r="AN372" s="454"/>
      <c r="AY372" s="454"/>
      <c r="AZ372" s="454"/>
      <c r="BA372" s="1306"/>
      <c r="BC372" s="169"/>
    </row>
    <row r="373" spans="19:55">
      <c r="S373" s="454"/>
      <c r="AN373" s="454"/>
      <c r="AY373" s="454"/>
      <c r="AZ373" s="454"/>
      <c r="BA373" s="1306"/>
      <c r="BC373" s="169"/>
    </row>
    <row r="374" spans="19:55">
      <c r="S374" s="454"/>
      <c r="AN374" s="454"/>
      <c r="AY374" s="454"/>
      <c r="AZ374" s="454"/>
      <c r="BA374" s="1306"/>
      <c r="BC374" s="169"/>
    </row>
    <row r="375" spans="19:55">
      <c r="S375" s="454"/>
      <c r="AN375" s="454"/>
      <c r="AY375" s="454"/>
      <c r="AZ375" s="454"/>
      <c r="BA375" s="1306"/>
      <c r="BC375" s="169"/>
    </row>
    <row r="376" spans="19:55">
      <c r="S376" s="454"/>
      <c r="AN376" s="454"/>
      <c r="AY376" s="454"/>
      <c r="AZ376" s="454"/>
      <c r="BA376" s="1306"/>
      <c r="BC376" s="169"/>
    </row>
    <row r="377" spans="19:55">
      <c r="S377" s="454"/>
      <c r="AN377" s="454"/>
      <c r="AY377" s="454"/>
      <c r="AZ377" s="454"/>
      <c r="BA377" s="1306"/>
      <c r="BC377" s="169"/>
    </row>
    <row r="378" spans="19:55">
      <c r="S378" s="454"/>
      <c r="AN378" s="454"/>
      <c r="AY378" s="454"/>
      <c r="AZ378" s="454"/>
      <c r="BA378" s="1306"/>
      <c r="BC378" s="169"/>
    </row>
    <row r="379" spans="19:55">
      <c r="S379" s="454"/>
      <c r="AN379" s="454"/>
      <c r="AY379" s="454"/>
      <c r="AZ379" s="454"/>
      <c r="BA379" s="1306"/>
      <c r="BC379" s="169"/>
    </row>
    <row r="380" spans="19:55">
      <c r="S380" s="454"/>
      <c r="AN380" s="454"/>
      <c r="AY380" s="454"/>
      <c r="AZ380" s="454"/>
      <c r="BA380" s="1306"/>
      <c r="BC380" s="169"/>
    </row>
    <row r="381" spans="19:55">
      <c r="S381" s="454"/>
      <c r="AN381" s="454"/>
      <c r="AY381" s="454"/>
      <c r="AZ381" s="454"/>
      <c r="BA381" s="1306"/>
      <c r="BC381" s="169"/>
    </row>
    <row r="382" spans="19:55">
      <c r="S382" s="454"/>
      <c r="AN382" s="454"/>
      <c r="AY382" s="454"/>
      <c r="AZ382" s="454"/>
      <c r="BA382" s="1306"/>
      <c r="BC382" s="169"/>
    </row>
    <row r="383" spans="19:55">
      <c r="S383" s="454"/>
      <c r="AN383" s="454"/>
      <c r="AY383" s="454"/>
      <c r="AZ383" s="454"/>
      <c r="BA383" s="1306"/>
      <c r="BC383" s="169"/>
    </row>
    <row r="384" spans="19:55">
      <c r="S384" s="454"/>
      <c r="AN384" s="454"/>
      <c r="AY384" s="454"/>
      <c r="AZ384" s="454"/>
      <c r="BA384" s="1306"/>
      <c r="BC384" s="169"/>
    </row>
    <row r="385" spans="19:55">
      <c r="S385" s="454"/>
      <c r="AN385" s="454"/>
      <c r="AY385" s="454"/>
      <c r="AZ385" s="454"/>
      <c r="BA385" s="1306"/>
      <c r="BC385" s="169"/>
    </row>
    <row r="386" spans="19:55">
      <c r="S386" s="454"/>
      <c r="AN386" s="454"/>
      <c r="AY386" s="454"/>
      <c r="AZ386" s="454"/>
      <c r="BA386" s="1306"/>
      <c r="BC386" s="169"/>
    </row>
    <row r="387" spans="19:55">
      <c r="S387" s="454"/>
      <c r="AN387" s="454"/>
      <c r="AY387" s="454"/>
      <c r="AZ387" s="454"/>
      <c r="BA387" s="1306"/>
      <c r="BC387" s="169"/>
    </row>
    <row r="388" spans="19:55">
      <c r="S388" s="454"/>
      <c r="AN388" s="454"/>
      <c r="AY388" s="454"/>
      <c r="AZ388" s="454"/>
      <c r="BA388" s="1306"/>
      <c r="BC388" s="169"/>
    </row>
    <row r="389" spans="19:55">
      <c r="S389" s="454"/>
      <c r="AN389" s="454"/>
      <c r="AY389" s="454"/>
      <c r="AZ389" s="454"/>
      <c r="BA389" s="1306"/>
      <c r="BC389" s="169"/>
    </row>
    <row r="390" spans="19:55">
      <c r="S390" s="454"/>
      <c r="AN390" s="454"/>
      <c r="AY390" s="454"/>
      <c r="AZ390" s="454"/>
      <c r="BA390" s="1306"/>
      <c r="BC390" s="169"/>
    </row>
    <row r="391" spans="19:55">
      <c r="S391" s="454"/>
      <c r="AN391" s="454"/>
      <c r="AY391" s="454"/>
      <c r="AZ391" s="454"/>
      <c r="BA391" s="1306"/>
      <c r="BC391" s="169"/>
    </row>
    <row r="392" spans="19:55">
      <c r="S392" s="454"/>
      <c r="AN392" s="454"/>
      <c r="AY392" s="454"/>
      <c r="AZ392" s="454"/>
      <c r="BA392" s="1306"/>
      <c r="BC392" s="169"/>
    </row>
    <row r="393" spans="19:55">
      <c r="S393" s="454"/>
      <c r="AN393" s="454"/>
      <c r="AY393" s="454"/>
      <c r="AZ393" s="454"/>
      <c r="BA393" s="1306"/>
      <c r="BC393" s="169"/>
    </row>
    <row r="394" spans="19:55">
      <c r="S394" s="454"/>
      <c r="AN394" s="454"/>
      <c r="AY394" s="454"/>
      <c r="AZ394" s="454"/>
      <c r="BA394" s="1306"/>
      <c r="BC394" s="169"/>
    </row>
    <row r="395" spans="19:55">
      <c r="S395" s="454"/>
      <c r="AN395" s="454"/>
      <c r="AY395" s="454"/>
      <c r="AZ395" s="454"/>
      <c r="BA395" s="1306"/>
      <c r="BC395" s="169"/>
    </row>
    <row r="396" spans="19:55">
      <c r="S396" s="454"/>
      <c r="AN396" s="454"/>
      <c r="AY396" s="454"/>
      <c r="AZ396" s="454"/>
      <c r="BA396" s="1306"/>
      <c r="BC396" s="169"/>
    </row>
    <row r="397" spans="19:55">
      <c r="S397" s="454"/>
      <c r="AN397" s="454"/>
      <c r="AY397" s="454"/>
      <c r="AZ397" s="454"/>
      <c r="BA397" s="1306"/>
      <c r="BC397" s="169"/>
    </row>
    <row r="398" spans="19:55">
      <c r="S398" s="454"/>
      <c r="AN398" s="454"/>
      <c r="AY398" s="454"/>
      <c r="AZ398" s="454"/>
      <c r="BA398" s="1306"/>
      <c r="BC398" s="169"/>
    </row>
    <row r="399" spans="19:55">
      <c r="S399" s="454"/>
      <c r="AN399" s="454"/>
      <c r="AY399" s="454"/>
      <c r="AZ399" s="454"/>
      <c r="BA399" s="1306"/>
      <c r="BC399" s="169"/>
    </row>
    <row r="400" spans="19:55">
      <c r="S400" s="454"/>
      <c r="AN400" s="454"/>
      <c r="AY400" s="454"/>
      <c r="AZ400" s="454"/>
      <c r="BA400" s="1306"/>
      <c r="BC400" s="169"/>
    </row>
    <row r="401" spans="19:55">
      <c r="S401" s="454"/>
      <c r="AN401" s="454"/>
      <c r="AY401" s="454"/>
      <c r="AZ401" s="454"/>
      <c r="BA401" s="1306"/>
      <c r="BC401" s="169"/>
    </row>
    <row r="402" spans="19:55">
      <c r="S402" s="454"/>
      <c r="AN402" s="454"/>
      <c r="AY402" s="454"/>
      <c r="AZ402" s="454"/>
      <c r="BA402" s="1306"/>
      <c r="BC402" s="169"/>
    </row>
    <row r="403" spans="19:55">
      <c r="S403" s="454"/>
      <c r="AN403" s="454"/>
      <c r="AY403" s="454"/>
      <c r="AZ403" s="454"/>
      <c r="BA403" s="1306"/>
      <c r="BC403" s="169"/>
    </row>
    <row r="404" spans="19:55">
      <c r="S404" s="454"/>
      <c r="AN404" s="454"/>
      <c r="AY404" s="454"/>
      <c r="AZ404" s="454"/>
      <c r="BA404" s="1306"/>
      <c r="BC404" s="169"/>
    </row>
    <row r="405" spans="19:55">
      <c r="S405" s="454"/>
      <c r="AN405" s="454"/>
      <c r="AY405" s="454"/>
      <c r="AZ405" s="454"/>
      <c r="BA405" s="1306"/>
      <c r="BC405" s="169"/>
    </row>
    <row r="406" spans="19:55">
      <c r="S406" s="454"/>
      <c r="AN406" s="454"/>
      <c r="AY406" s="454"/>
      <c r="AZ406" s="454"/>
      <c r="BA406" s="1306"/>
      <c r="BC406" s="169"/>
    </row>
    <row r="407" spans="19:55">
      <c r="S407" s="454"/>
      <c r="AN407" s="454"/>
      <c r="AY407" s="454"/>
      <c r="AZ407" s="454"/>
      <c r="BA407" s="1306"/>
      <c r="BC407" s="169"/>
    </row>
    <row r="408" spans="19:55">
      <c r="S408" s="454"/>
      <c r="AN408" s="454"/>
      <c r="AY408" s="454"/>
      <c r="AZ408" s="454"/>
      <c r="BA408" s="1306"/>
      <c r="BC408" s="169"/>
    </row>
    <row r="409" spans="19:55">
      <c r="S409" s="454"/>
      <c r="AN409" s="454"/>
      <c r="AY409" s="454"/>
      <c r="AZ409" s="454"/>
      <c r="BA409" s="1306"/>
      <c r="BC409" s="169"/>
    </row>
    <row r="410" spans="19:55">
      <c r="S410" s="454"/>
      <c r="AN410" s="454"/>
      <c r="AY410" s="454"/>
      <c r="AZ410" s="454"/>
      <c r="BA410" s="1306"/>
      <c r="BC410" s="169"/>
    </row>
    <row r="411" spans="19:55">
      <c r="S411" s="454"/>
      <c r="AN411" s="454"/>
      <c r="AY411" s="454"/>
      <c r="AZ411" s="454"/>
      <c r="BA411" s="1306"/>
      <c r="BC411" s="169"/>
    </row>
    <row r="412" spans="19:55">
      <c r="S412" s="454"/>
      <c r="AN412" s="454"/>
      <c r="AY412" s="454"/>
      <c r="AZ412" s="454"/>
      <c r="BA412" s="1306"/>
      <c r="BC412" s="169"/>
    </row>
    <row r="413" spans="19:55">
      <c r="S413" s="454"/>
      <c r="AN413" s="454"/>
      <c r="AY413" s="454"/>
      <c r="AZ413" s="454"/>
      <c r="BA413" s="1306"/>
      <c r="BC413" s="169"/>
    </row>
    <row r="414" spans="19:55">
      <c r="S414" s="454"/>
      <c r="AN414" s="454"/>
      <c r="AY414" s="454"/>
      <c r="AZ414" s="454"/>
      <c r="BA414" s="1306"/>
      <c r="BC414" s="169"/>
    </row>
    <row r="415" spans="19:55">
      <c r="S415" s="454"/>
      <c r="AN415" s="454"/>
      <c r="AY415" s="454"/>
      <c r="AZ415" s="454"/>
      <c r="BA415" s="1306"/>
      <c r="BC415" s="169"/>
    </row>
    <row r="416" spans="19:55">
      <c r="S416" s="454"/>
      <c r="AN416" s="454"/>
      <c r="AY416" s="454"/>
      <c r="AZ416" s="454"/>
      <c r="BA416" s="1306"/>
      <c r="BC416" s="169"/>
    </row>
    <row r="417" spans="19:55">
      <c r="S417" s="454"/>
      <c r="AN417" s="454"/>
      <c r="AY417" s="454"/>
      <c r="AZ417" s="454"/>
      <c r="BA417" s="1306"/>
      <c r="BC417" s="169"/>
    </row>
    <row r="418" spans="19:55">
      <c r="S418" s="454"/>
      <c r="AN418" s="454"/>
      <c r="AY418" s="454"/>
      <c r="AZ418" s="454"/>
      <c r="BA418" s="1306"/>
      <c r="BC418" s="169"/>
    </row>
    <row r="419" spans="19:55">
      <c r="S419" s="454"/>
      <c r="AN419" s="454"/>
      <c r="AY419" s="454"/>
      <c r="AZ419" s="454"/>
      <c r="BA419" s="1306"/>
      <c r="BC419" s="169"/>
    </row>
    <row r="420" spans="19:55">
      <c r="S420" s="454"/>
      <c r="AN420" s="454"/>
      <c r="AY420" s="454"/>
      <c r="AZ420" s="454"/>
      <c r="BA420" s="1306"/>
      <c r="BC420" s="169"/>
    </row>
    <row r="421" spans="19:55">
      <c r="S421" s="454"/>
      <c r="AN421" s="454"/>
      <c r="AY421" s="454"/>
      <c r="AZ421" s="454"/>
      <c r="BA421" s="1306"/>
      <c r="BC421" s="169"/>
    </row>
    <row r="422" spans="19:55">
      <c r="S422" s="454"/>
      <c r="AN422" s="454"/>
      <c r="AY422" s="454"/>
      <c r="AZ422" s="454"/>
      <c r="BA422" s="1306"/>
      <c r="BC422" s="169"/>
    </row>
    <row r="423" spans="19:55">
      <c r="S423" s="454"/>
      <c r="AN423" s="454"/>
      <c r="AY423" s="454"/>
      <c r="AZ423" s="454"/>
      <c r="BA423" s="1306"/>
      <c r="BC423" s="169"/>
    </row>
    <row r="424" spans="19:55">
      <c r="S424" s="454"/>
      <c r="AN424" s="454"/>
      <c r="AY424" s="454"/>
      <c r="AZ424" s="454"/>
      <c r="BA424" s="1306"/>
      <c r="BC424" s="169"/>
    </row>
    <row r="425" spans="19:55">
      <c r="S425" s="454"/>
      <c r="AN425" s="454"/>
      <c r="AY425" s="454"/>
      <c r="AZ425" s="454"/>
      <c r="BA425" s="1306"/>
      <c r="BC425" s="169"/>
    </row>
    <row r="426" spans="19:55">
      <c r="S426" s="454"/>
      <c r="AN426" s="454"/>
      <c r="AY426" s="454"/>
      <c r="AZ426" s="454"/>
      <c r="BA426" s="1306"/>
      <c r="BC426" s="169"/>
    </row>
    <row r="427" spans="19:55">
      <c r="S427" s="454"/>
      <c r="AN427" s="454"/>
      <c r="AY427" s="454"/>
      <c r="AZ427" s="454"/>
      <c r="BA427" s="1306"/>
      <c r="BC427" s="169"/>
    </row>
    <row r="428" spans="19:55">
      <c r="S428" s="454"/>
      <c r="AN428" s="454"/>
      <c r="AY428" s="454"/>
      <c r="AZ428" s="454"/>
      <c r="BA428" s="1306"/>
      <c r="BC428" s="169"/>
    </row>
    <row r="429" spans="19:55">
      <c r="S429" s="454"/>
      <c r="AN429" s="454"/>
      <c r="AY429" s="454"/>
      <c r="AZ429" s="454"/>
      <c r="BA429" s="1306"/>
      <c r="BC429" s="169"/>
    </row>
    <row r="430" spans="19:55">
      <c r="S430" s="454"/>
      <c r="AN430" s="454"/>
      <c r="AY430" s="454"/>
      <c r="AZ430" s="454"/>
      <c r="BA430" s="1306"/>
      <c r="BC430" s="169"/>
    </row>
    <row r="431" spans="19:55">
      <c r="S431" s="454"/>
      <c r="AN431" s="454"/>
      <c r="AY431" s="454"/>
      <c r="AZ431" s="454"/>
      <c r="BA431" s="1306"/>
      <c r="BC431" s="169"/>
    </row>
    <row r="432" spans="19:55">
      <c r="S432" s="454"/>
      <c r="AN432" s="454"/>
      <c r="AY432" s="454"/>
      <c r="AZ432" s="454"/>
      <c r="BA432" s="1306"/>
      <c r="BC432" s="169"/>
    </row>
    <row r="433" spans="19:55">
      <c r="S433" s="454"/>
      <c r="AN433" s="454"/>
      <c r="AY433" s="454"/>
      <c r="AZ433" s="454"/>
      <c r="BA433" s="1306"/>
      <c r="BC433" s="169"/>
    </row>
    <row r="434" spans="19:55">
      <c r="S434" s="454"/>
      <c r="AN434" s="454"/>
      <c r="AY434" s="454"/>
      <c r="AZ434" s="454"/>
      <c r="BA434" s="1306"/>
      <c r="BC434" s="169"/>
    </row>
    <row r="435" spans="19:55">
      <c r="S435" s="454"/>
      <c r="AN435" s="454"/>
      <c r="AY435" s="454"/>
      <c r="AZ435" s="454"/>
      <c r="BA435" s="1306"/>
      <c r="BC435" s="169"/>
    </row>
    <row r="436" spans="19:55">
      <c r="S436" s="454"/>
      <c r="AN436" s="454"/>
      <c r="AY436" s="454"/>
      <c r="AZ436" s="454"/>
      <c r="BA436" s="1306"/>
      <c r="BC436" s="169"/>
    </row>
    <row r="437" spans="19:55">
      <c r="S437" s="454"/>
      <c r="AN437" s="454"/>
      <c r="AY437" s="454"/>
      <c r="AZ437" s="454"/>
      <c r="BA437" s="1306"/>
      <c r="BC437" s="169"/>
    </row>
    <row r="438" spans="19:55">
      <c r="S438" s="454"/>
      <c r="AN438" s="454"/>
      <c r="AY438" s="454"/>
      <c r="AZ438" s="454"/>
      <c r="BA438" s="1306"/>
      <c r="BC438" s="169"/>
    </row>
    <row r="439" spans="19:55">
      <c r="S439" s="454"/>
      <c r="AN439" s="454"/>
      <c r="AY439" s="454"/>
      <c r="AZ439" s="454"/>
      <c r="BA439" s="1306"/>
      <c r="BC439" s="169"/>
    </row>
    <row r="440" spans="19:55">
      <c r="S440" s="454"/>
      <c r="AN440" s="454"/>
      <c r="AY440" s="454"/>
      <c r="AZ440" s="454"/>
      <c r="BA440" s="1306"/>
      <c r="BC440" s="169"/>
    </row>
    <row r="441" spans="19:55">
      <c r="S441" s="454"/>
      <c r="AN441" s="454"/>
      <c r="AY441" s="454"/>
      <c r="AZ441" s="454"/>
      <c r="BA441" s="1306"/>
      <c r="BC441" s="169"/>
    </row>
    <row r="442" spans="19:55">
      <c r="S442" s="454"/>
      <c r="AN442" s="454"/>
      <c r="AY442" s="454"/>
      <c r="AZ442" s="454"/>
      <c r="BA442" s="1306"/>
      <c r="BC442" s="169"/>
    </row>
    <row r="443" spans="19:55">
      <c r="S443" s="454"/>
      <c r="AN443" s="454"/>
      <c r="AY443" s="454"/>
      <c r="AZ443" s="454"/>
      <c r="BA443" s="1306"/>
      <c r="BC443" s="169"/>
    </row>
    <row r="444" spans="19:55">
      <c r="S444" s="454"/>
      <c r="AN444" s="454"/>
      <c r="AY444" s="454"/>
      <c r="AZ444" s="454"/>
      <c r="BA444" s="1306"/>
      <c r="BC444" s="169"/>
    </row>
    <row r="445" spans="19:55">
      <c r="S445" s="454"/>
      <c r="AN445" s="454"/>
      <c r="AY445" s="454"/>
      <c r="AZ445" s="454"/>
      <c r="BA445" s="1306"/>
      <c r="BC445" s="169"/>
    </row>
    <row r="446" spans="19:55">
      <c r="S446" s="454"/>
      <c r="AN446" s="454"/>
      <c r="AY446" s="454"/>
      <c r="AZ446" s="454"/>
      <c r="BA446" s="1306"/>
      <c r="BC446" s="169"/>
    </row>
    <row r="447" spans="19:55">
      <c r="S447" s="454"/>
      <c r="AN447" s="454"/>
      <c r="AY447" s="454"/>
      <c r="AZ447" s="454"/>
      <c r="BA447" s="1306"/>
      <c r="BC447" s="169"/>
    </row>
    <row r="448" spans="19:55">
      <c r="S448" s="454"/>
      <c r="AN448" s="454"/>
      <c r="AY448" s="454"/>
      <c r="AZ448" s="454"/>
      <c r="BA448" s="1306"/>
      <c r="BC448" s="169"/>
    </row>
    <row r="449" spans="19:55">
      <c r="S449" s="454"/>
      <c r="AN449" s="454"/>
      <c r="AY449" s="454"/>
      <c r="AZ449" s="454"/>
      <c r="BA449" s="1306"/>
      <c r="BC449" s="169"/>
    </row>
    <row r="450" spans="19:55">
      <c r="S450" s="454"/>
      <c r="AN450" s="454"/>
      <c r="AY450" s="454"/>
      <c r="AZ450" s="454"/>
      <c r="BA450" s="1306"/>
      <c r="BC450" s="169"/>
    </row>
    <row r="451" spans="19:55">
      <c r="S451" s="454"/>
      <c r="AN451" s="454"/>
      <c r="AY451" s="454"/>
      <c r="AZ451" s="454"/>
      <c r="BA451" s="1306"/>
      <c r="BC451" s="169"/>
    </row>
    <row r="452" spans="19:55">
      <c r="S452" s="454"/>
      <c r="AN452" s="454"/>
      <c r="AY452" s="454"/>
      <c r="AZ452" s="454"/>
      <c r="BA452" s="1306"/>
      <c r="BC452" s="169"/>
    </row>
    <row r="453" spans="19:55">
      <c r="S453" s="454"/>
      <c r="AN453" s="454"/>
      <c r="AY453" s="454"/>
      <c r="AZ453" s="454"/>
      <c r="BA453" s="1306"/>
      <c r="BC453" s="169"/>
    </row>
    <row r="454" spans="19:55">
      <c r="S454" s="454"/>
      <c r="AN454" s="454"/>
      <c r="AY454" s="454"/>
      <c r="AZ454" s="454"/>
      <c r="BA454" s="1306"/>
      <c r="BC454" s="169"/>
    </row>
    <row r="455" spans="19:55">
      <c r="S455" s="454"/>
      <c r="AN455" s="454"/>
      <c r="AY455" s="454"/>
      <c r="AZ455" s="454"/>
      <c r="BA455" s="1306"/>
      <c r="BC455" s="169"/>
    </row>
    <row r="456" spans="19:55">
      <c r="S456" s="454"/>
      <c r="AN456" s="454"/>
      <c r="AY456" s="454"/>
      <c r="AZ456" s="454"/>
      <c r="BA456" s="1306"/>
      <c r="BC456" s="169"/>
    </row>
    <row r="457" spans="19:55">
      <c r="S457" s="454"/>
      <c r="AN457" s="454"/>
      <c r="AY457" s="454"/>
      <c r="AZ457" s="454"/>
      <c r="BA457" s="1306"/>
      <c r="BC457" s="169"/>
    </row>
    <row r="458" spans="19:55">
      <c r="S458" s="454"/>
      <c r="AN458" s="454"/>
      <c r="AY458" s="454"/>
      <c r="AZ458" s="454"/>
      <c r="BA458" s="1306"/>
      <c r="BC458" s="169"/>
    </row>
    <row r="459" spans="19:55">
      <c r="S459" s="454"/>
      <c r="AN459" s="454"/>
      <c r="AY459" s="454"/>
      <c r="AZ459" s="454"/>
      <c r="BA459" s="1306"/>
      <c r="BC459" s="169"/>
    </row>
    <row r="460" spans="19:55">
      <c r="S460" s="454"/>
      <c r="AN460" s="454"/>
      <c r="AY460" s="454"/>
      <c r="AZ460" s="454"/>
      <c r="BA460" s="1306"/>
      <c r="BC460" s="169"/>
    </row>
    <row r="461" spans="19:55">
      <c r="S461" s="454"/>
      <c r="AN461" s="454"/>
      <c r="AY461" s="454"/>
      <c r="AZ461" s="454"/>
      <c r="BA461" s="1306"/>
      <c r="BC461" s="169"/>
    </row>
    <row r="462" spans="19:55">
      <c r="S462" s="454"/>
      <c r="AN462" s="454"/>
      <c r="AY462" s="454"/>
      <c r="AZ462" s="454"/>
      <c r="BA462" s="1306"/>
      <c r="BC462" s="169"/>
    </row>
    <row r="463" spans="19:55">
      <c r="S463" s="454"/>
      <c r="AN463" s="454"/>
      <c r="AY463" s="454"/>
      <c r="AZ463" s="454"/>
      <c r="BA463" s="1306"/>
      <c r="BC463" s="169"/>
    </row>
    <row r="464" spans="19:55">
      <c r="S464" s="454"/>
      <c r="AN464" s="454"/>
      <c r="AY464" s="454"/>
      <c r="AZ464" s="454"/>
      <c r="BA464" s="1306"/>
      <c r="BC464" s="169"/>
    </row>
    <row r="465" spans="19:55">
      <c r="S465" s="454"/>
      <c r="AN465" s="454"/>
      <c r="AY465" s="454"/>
      <c r="AZ465" s="454"/>
      <c r="BA465" s="1306"/>
      <c r="BC465" s="169"/>
    </row>
    <row r="466" spans="19:55">
      <c r="S466" s="454"/>
      <c r="AN466" s="454"/>
      <c r="AY466" s="454"/>
      <c r="AZ466" s="454"/>
      <c r="BA466" s="1306"/>
      <c r="BC466" s="169"/>
    </row>
    <row r="467" spans="19:55">
      <c r="S467" s="454"/>
      <c r="AN467" s="454"/>
      <c r="AY467" s="454"/>
      <c r="AZ467" s="454"/>
      <c r="BA467" s="1306"/>
      <c r="BC467" s="169"/>
    </row>
    <row r="468" spans="19:55">
      <c r="S468" s="454"/>
      <c r="AN468" s="454"/>
      <c r="AY468" s="454"/>
      <c r="AZ468" s="454"/>
      <c r="BA468" s="1306"/>
      <c r="BC468" s="169"/>
    </row>
    <row r="469" spans="19:55">
      <c r="S469" s="454"/>
      <c r="AN469" s="454"/>
      <c r="AY469" s="454"/>
      <c r="AZ469" s="454"/>
      <c r="BA469" s="1306"/>
      <c r="BC469" s="169"/>
    </row>
    <row r="470" spans="19:55">
      <c r="S470" s="454"/>
      <c r="AN470" s="454"/>
      <c r="AY470" s="454"/>
      <c r="AZ470" s="454"/>
      <c r="BA470" s="1306"/>
      <c r="BC470" s="169"/>
    </row>
    <row r="471" spans="19:55">
      <c r="S471" s="454"/>
      <c r="AN471" s="454"/>
      <c r="AY471" s="454"/>
      <c r="AZ471" s="454"/>
      <c r="BA471" s="1306"/>
      <c r="BC471" s="169"/>
    </row>
    <row r="472" spans="19:55">
      <c r="S472" s="454"/>
      <c r="AN472" s="454"/>
      <c r="AY472" s="454"/>
      <c r="AZ472" s="454"/>
      <c r="BA472" s="1306"/>
      <c r="BC472" s="169"/>
    </row>
    <row r="473" spans="19:55">
      <c r="S473" s="454"/>
      <c r="AN473" s="454"/>
      <c r="AY473" s="454"/>
      <c r="AZ473" s="454"/>
      <c r="BA473" s="1306"/>
      <c r="BC473" s="169"/>
    </row>
    <row r="474" spans="19:55">
      <c r="S474" s="454"/>
      <c r="AN474" s="454"/>
      <c r="AY474" s="454"/>
      <c r="AZ474" s="454"/>
      <c r="BA474" s="1306"/>
      <c r="BC474" s="169"/>
    </row>
    <row r="475" spans="19:55">
      <c r="S475" s="454"/>
      <c r="AN475" s="454"/>
      <c r="AY475" s="454"/>
      <c r="AZ475" s="454"/>
      <c r="BA475" s="1306"/>
      <c r="BC475" s="169"/>
    </row>
    <row r="476" spans="19:55">
      <c r="S476" s="454"/>
      <c r="AN476" s="454"/>
      <c r="AY476" s="454"/>
      <c r="AZ476" s="454"/>
      <c r="BA476" s="1306"/>
      <c r="BC476" s="169"/>
    </row>
    <row r="477" spans="19:55">
      <c r="S477" s="454"/>
      <c r="AN477" s="454"/>
      <c r="AY477" s="454"/>
      <c r="AZ477" s="454"/>
      <c r="BA477" s="1306"/>
      <c r="BC477" s="169"/>
    </row>
    <row r="478" spans="19:55">
      <c r="S478" s="454"/>
      <c r="AN478" s="454"/>
      <c r="AY478" s="454"/>
      <c r="AZ478" s="454"/>
      <c r="BA478" s="1306"/>
      <c r="BC478" s="169"/>
    </row>
    <row r="479" spans="19:55">
      <c r="S479" s="454"/>
      <c r="AN479" s="454"/>
      <c r="AY479" s="454"/>
      <c r="AZ479" s="454"/>
      <c r="BA479" s="1306"/>
      <c r="BC479" s="169"/>
    </row>
    <row r="480" spans="19:55">
      <c r="S480" s="454"/>
      <c r="AN480" s="454"/>
      <c r="AY480" s="454"/>
      <c r="AZ480" s="454"/>
      <c r="BA480" s="1306"/>
      <c r="BC480" s="169"/>
    </row>
    <row r="481" spans="19:55">
      <c r="S481" s="454"/>
      <c r="AN481" s="454"/>
      <c r="AY481" s="454"/>
      <c r="AZ481" s="454"/>
      <c r="BA481" s="1306"/>
      <c r="BC481" s="169"/>
    </row>
    <row r="482" spans="19:55">
      <c r="S482" s="454"/>
      <c r="AN482" s="454"/>
      <c r="AY482" s="454"/>
      <c r="AZ482" s="454"/>
      <c r="BA482" s="1306"/>
      <c r="BC482" s="169"/>
    </row>
    <row r="483" spans="19:55">
      <c r="S483" s="454"/>
      <c r="AN483" s="454"/>
      <c r="AY483" s="454"/>
      <c r="AZ483" s="454"/>
      <c r="BA483" s="1306"/>
      <c r="BC483" s="169"/>
    </row>
    <row r="484" spans="19:55">
      <c r="S484" s="454"/>
      <c r="AN484" s="454"/>
      <c r="AY484" s="454"/>
      <c r="AZ484" s="454"/>
      <c r="BA484" s="1306"/>
      <c r="BC484" s="169"/>
    </row>
    <row r="485" spans="19:55">
      <c r="S485" s="454"/>
      <c r="AN485" s="454"/>
      <c r="AY485" s="454"/>
      <c r="AZ485" s="454"/>
      <c r="BA485" s="1306"/>
      <c r="BC485" s="169"/>
    </row>
    <row r="486" spans="19:55">
      <c r="S486" s="454"/>
      <c r="AN486" s="454"/>
      <c r="AY486" s="454"/>
      <c r="AZ486" s="454"/>
      <c r="BA486" s="1306"/>
      <c r="BC486" s="169"/>
    </row>
    <row r="487" spans="19:55">
      <c r="S487" s="454"/>
      <c r="AN487" s="454"/>
      <c r="AY487" s="454"/>
      <c r="AZ487" s="454"/>
      <c r="BA487" s="1306"/>
      <c r="BC487" s="169"/>
    </row>
    <row r="488" spans="19:55">
      <c r="S488" s="454"/>
      <c r="AN488" s="454"/>
      <c r="AY488" s="454"/>
      <c r="AZ488" s="454"/>
      <c r="BA488" s="1306"/>
      <c r="BC488" s="169"/>
    </row>
    <row r="489" spans="19:55">
      <c r="S489" s="454"/>
      <c r="AN489" s="454"/>
      <c r="AY489" s="454"/>
      <c r="AZ489" s="454"/>
      <c r="BA489" s="1306"/>
      <c r="BC489" s="169"/>
    </row>
    <row r="490" spans="19:55">
      <c r="S490" s="454"/>
      <c r="AN490" s="454"/>
      <c r="AY490" s="454"/>
      <c r="AZ490" s="454"/>
      <c r="BA490" s="1306"/>
      <c r="BC490" s="169"/>
    </row>
    <row r="491" spans="19:55">
      <c r="S491" s="454"/>
      <c r="AN491" s="454"/>
      <c r="AY491" s="454"/>
      <c r="AZ491" s="454"/>
      <c r="BA491" s="1306"/>
      <c r="BC491" s="169"/>
    </row>
    <row r="492" spans="19:55">
      <c r="S492" s="454"/>
      <c r="AN492" s="454"/>
      <c r="AY492" s="454"/>
      <c r="AZ492" s="454"/>
      <c r="BA492" s="1306"/>
      <c r="BC492" s="169"/>
    </row>
    <row r="493" spans="19:55">
      <c r="S493" s="454"/>
      <c r="AN493" s="454"/>
      <c r="AY493" s="454"/>
      <c r="AZ493" s="454"/>
      <c r="BA493" s="1306"/>
      <c r="BC493" s="169"/>
    </row>
    <row r="494" spans="19:55">
      <c r="S494" s="454"/>
      <c r="AN494" s="454"/>
      <c r="AY494" s="454"/>
      <c r="AZ494" s="454"/>
      <c r="BA494" s="1306"/>
      <c r="BC494" s="169"/>
    </row>
    <row r="495" spans="19:55">
      <c r="S495" s="454"/>
      <c r="AN495" s="454"/>
      <c r="AY495" s="454"/>
      <c r="AZ495" s="454"/>
      <c r="BA495" s="1306"/>
      <c r="BC495" s="169"/>
    </row>
    <row r="496" spans="19:55">
      <c r="S496" s="454"/>
      <c r="AN496" s="454"/>
      <c r="AY496" s="454"/>
      <c r="AZ496" s="454"/>
      <c r="BA496" s="1306"/>
      <c r="BC496" s="169"/>
    </row>
    <row r="497" spans="19:55">
      <c r="S497" s="454"/>
      <c r="AN497" s="454"/>
      <c r="AY497" s="454"/>
      <c r="AZ497" s="454"/>
      <c r="BA497" s="1306"/>
      <c r="BC497" s="169"/>
    </row>
    <row r="498" spans="19:55">
      <c r="S498" s="454"/>
      <c r="AN498" s="454"/>
      <c r="AY498" s="454"/>
      <c r="AZ498" s="454"/>
      <c r="BA498" s="1306"/>
      <c r="BC498" s="169"/>
    </row>
    <row r="499" spans="19:55">
      <c r="S499" s="454"/>
      <c r="AN499" s="454"/>
      <c r="AY499" s="454"/>
      <c r="AZ499" s="454"/>
      <c r="BA499" s="1306"/>
      <c r="BC499" s="169"/>
    </row>
    <row r="500" spans="19:55">
      <c r="S500" s="454"/>
      <c r="AN500" s="454"/>
      <c r="AY500" s="454"/>
      <c r="AZ500" s="454"/>
      <c r="BA500" s="1306"/>
      <c r="BC500" s="169"/>
    </row>
    <row r="501" spans="19:55">
      <c r="S501" s="454"/>
      <c r="AN501" s="454"/>
      <c r="AY501" s="454"/>
      <c r="AZ501" s="454"/>
      <c r="BA501" s="1306"/>
      <c r="BC501" s="169"/>
    </row>
    <row r="502" spans="19:55">
      <c r="S502" s="454"/>
      <c r="AN502" s="454"/>
      <c r="AY502" s="454"/>
      <c r="AZ502" s="454"/>
      <c r="BA502" s="1306"/>
      <c r="BC502" s="169"/>
    </row>
    <row r="503" spans="19:55">
      <c r="S503" s="454"/>
      <c r="AN503" s="454"/>
      <c r="AY503" s="454"/>
      <c r="AZ503" s="454"/>
      <c r="BA503" s="1306"/>
      <c r="BC503" s="169"/>
    </row>
    <row r="504" spans="19:55">
      <c r="S504" s="454"/>
      <c r="AN504" s="454"/>
      <c r="AY504" s="454"/>
      <c r="AZ504" s="454"/>
      <c r="BA504" s="1306"/>
      <c r="BC504" s="169"/>
    </row>
    <row r="505" spans="19:55">
      <c r="S505" s="454"/>
      <c r="AN505" s="454"/>
      <c r="AY505" s="454"/>
      <c r="AZ505" s="454"/>
      <c r="BA505" s="1306"/>
      <c r="BC505" s="169"/>
    </row>
    <row r="506" spans="19:55">
      <c r="S506" s="454"/>
      <c r="AN506" s="454"/>
      <c r="AY506" s="454"/>
      <c r="AZ506" s="454"/>
      <c r="BA506" s="1306"/>
      <c r="BC506" s="169"/>
    </row>
    <row r="507" spans="19:55">
      <c r="S507" s="454"/>
      <c r="AN507" s="454"/>
      <c r="AY507" s="454"/>
      <c r="AZ507" s="454"/>
      <c r="BA507" s="1306"/>
      <c r="BC507" s="169"/>
    </row>
    <row r="508" spans="19:55">
      <c r="S508" s="454"/>
      <c r="AN508" s="454"/>
      <c r="AY508" s="454"/>
      <c r="AZ508" s="454"/>
      <c r="BA508" s="1306"/>
      <c r="BC508" s="169"/>
    </row>
    <row r="509" spans="19:55">
      <c r="S509" s="454"/>
      <c r="AN509" s="454"/>
      <c r="AY509" s="454"/>
      <c r="AZ509" s="454"/>
      <c r="BA509" s="1306"/>
      <c r="BC509" s="169"/>
    </row>
    <row r="510" spans="19:55">
      <c r="S510" s="454"/>
      <c r="AN510" s="454"/>
      <c r="AY510" s="454"/>
      <c r="AZ510" s="454"/>
      <c r="BA510" s="1306"/>
      <c r="BC510" s="169"/>
    </row>
    <row r="511" spans="19:55">
      <c r="S511" s="454"/>
      <c r="AN511" s="454"/>
      <c r="AY511" s="454"/>
      <c r="AZ511" s="454"/>
      <c r="BA511" s="1306"/>
      <c r="BC511" s="169"/>
    </row>
    <row r="512" spans="19:55">
      <c r="S512" s="454"/>
      <c r="AN512" s="454"/>
      <c r="AY512" s="454"/>
      <c r="AZ512" s="454"/>
      <c r="BA512" s="1306"/>
      <c r="BC512" s="169"/>
    </row>
    <row r="513" spans="19:55">
      <c r="S513" s="454"/>
      <c r="AN513" s="454"/>
      <c r="AY513" s="454"/>
      <c r="AZ513" s="454"/>
      <c r="BA513" s="1306"/>
      <c r="BC513" s="169"/>
    </row>
    <row r="514" spans="19:55">
      <c r="S514" s="454"/>
      <c r="AN514" s="454"/>
      <c r="AY514" s="454"/>
      <c r="AZ514" s="454"/>
      <c r="BA514" s="1306"/>
      <c r="BC514" s="169"/>
    </row>
    <row r="515" spans="19:55">
      <c r="S515" s="454"/>
      <c r="AN515" s="454"/>
      <c r="AY515" s="454"/>
      <c r="AZ515" s="454"/>
      <c r="BA515" s="1306"/>
      <c r="BC515" s="169"/>
    </row>
    <row r="516" spans="19:55">
      <c r="S516" s="454"/>
      <c r="AN516" s="454"/>
      <c r="AY516" s="454"/>
      <c r="AZ516" s="454"/>
      <c r="BA516" s="1306"/>
      <c r="BC516" s="169"/>
    </row>
    <row r="517" spans="19:55">
      <c r="S517" s="454"/>
      <c r="AN517" s="454"/>
      <c r="AY517" s="454"/>
      <c r="AZ517" s="454"/>
      <c r="BA517" s="1306"/>
      <c r="BC517" s="169"/>
    </row>
    <row r="518" spans="19:55">
      <c r="S518" s="454"/>
      <c r="AN518" s="454"/>
      <c r="AY518" s="454"/>
      <c r="AZ518" s="454"/>
      <c r="BA518" s="1306"/>
      <c r="BC518" s="169"/>
    </row>
    <row r="519" spans="19:55">
      <c r="S519" s="454"/>
      <c r="AN519" s="454"/>
      <c r="AY519" s="454"/>
      <c r="AZ519" s="454"/>
      <c r="BA519" s="1306"/>
      <c r="BC519" s="169"/>
    </row>
    <row r="520" spans="19:55">
      <c r="S520" s="454"/>
      <c r="AN520" s="454"/>
      <c r="AY520" s="454"/>
      <c r="AZ520" s="454"/>
      <c r="BA520" s="1306"/>
      <c r="BC520" s="169"/>
    </row>
    <row r="521" spans="19:55">
      <c r="S521" s="454"/>
      <c r="AN521" s="454"/>
      <c r="AY521" s="454"/>
      <c r="AZ521" s="454"/>
      <c r="BA521" s="1306"/>
      <c r="BC521" s="169"/>
    </row>
    <row r="522" spans="19:55">
      <c r="S522" s="454"/>
      <c r="AN522" s="454"/>
      <c r="AY522" s="454"/>
      <c r="AZ522" s="454"/>
      <c r="BA522" s="1306"/>
      <c r="BC522" s="169"/>
    </row>
    <row r="523" spans="19:55">
      <c r="S523" s="454"/>
      <c r="AN523" s="454"/>
      <c r="AY523" s="454"/>
      <c r="AZ523" s="454"/>
      <c r="BA523" s="1306"/>
      <c r="BC523" s="169"/>
    </row>
    <row r="524" spans="19:55">
      <c r="S524" s="454"/>
      <c r="AN524" s="454"/>
      <c r="AY524" s="454"/>
      <c r="AZ524" s="454"/>
      <c r="BA524" s="1306"/>
      <c r="BC524" s="169"/>
    </row>
    <row r="525" spans="19:55">
      <c r="S525" s="454"/>
      <c r="AN525" s="454"/>
      <c r="AY525" s="454"/>
      <c r="AZ525" s="454"/>
      <c r="BA525" s="1306"/>
      <c r="BC525" s="169"/>
    </row>
    <row r="526" spans="19:55">
      <c r="S526" s="454"/>
      <c r="AN526" s="454"/>
      <c r="AY526" s="454"/>
      <c r="AZ526" s="454"/>
      <c r="BA526" s="1306"/>
      <c r="BC526" s="169"/>
    </row>
    <row r="527" spans="19:55">
      <c r="S527" s="454"/>
      <c r="AN527" s="454"/>
      <c r="AY527" s="454"/>
      <c r="AZ527" s="454"/>
      <c r="BA527" s="1306"/>
      <c r="BC527" s="169"/>
    </row>
    <row r="528" spans="19:55">
      <c r="S528" s="454"/>
      <c r="AN528" s="454"/>
      <c r="AY528" s="454"/>
      <c r="AZ528" s="454"/>
      <c r="BA528" s="1306"/>
      <c r="BC528" s="169"/>
    </row>
    <row r="529" spans="19:55">
      <c r="S529" s="454"/>
      <c r="AN529" s="454"/>
      <c r="AY529" s="454"/>
      <c r="AZ529" s="454"/>
      <c r="BA529" s="1306"/>
      <c r="BC529" s="169"/>
    </row>
    <row r="530" spans="19:55">
      <c r="S530" s="454"/>
      <c r="AN530" s="454"/>
      <c r="AY530" s="454"/>
      <c r="AZ530" s="454"/>
      <c r="BA530" s="1306"/>
      <c r="BC530" s="169"/>
    </row>
    <row r="531" spans="19:55">
      <c r="S531" s="454"/>
      <c r="AN531" s="454"/>
      <c r="AY531" s="454"/>
      <c r="AZ531" s="454"/>
      <c r="BA531" s="1306"/>
      <c r="BC531" s="169"/>
    </row>
    <row r="532" spans="19:55">
      <c r="S532" s="454"/>
      <c r="AN532" s="454"/>
      <c r="AY532" s="454"/>
      <c r="AZ532" s="454"/>
      <c r="BA532" s="1306"/>
      <c r="BC532" s="169"/>
    </row>
    <row r="533" spans="19:55">
      <c r="S533" s="454"/>
      <c r="AN533" s="454"/>
      <c r="AY533" s="454"/>
      <c r="AZ533" s="454"/>
      <c r="BA533" s="1306"/>
      <c r="BC533" s="169"/>
    </row>
    <row r="534" spans="19:55">
      <c r="S534" s="454"/>
      <c r="AN534" s="454"/>
      <c r="AY534" s="454"/>
      <c r="AZ534" s="454"/>
      <c r="BA534" s="1306"/>
      <c r="BC534" s="169"/>
    </row>
    <row r="535" spans="19:55">
      <c r="S535" s="454"/>
      <c r="AN535" s="454"/>
      <c r="AY535" s="454"/>
      <c r="AZ535" s="454"/>
      <c r="BA535" s="1306"/>
      <c r="BC535" s="169"/>
    </row>
    <row r="536" spans="19:55">
      <c r="S536" s="454"/>
      <c r="AN536" s="454"/>
      <c r="AY536" s="454"/>
      <c r="AZ536" s="454"/>
      <c r="BA536" s="1306"/>
      <c r="BC536" s="169"/>
    </row>
    <row r="537" spans="19:55">
      <c r="S537" s="454"/>
      <c r="AN537" s="454"/>
      <c r="AY537" s="454"/>
      <c r="AZ537" s="454"/>
      <c r="BA537" s="1306"/>
      <c r="BC537" s="169"/>
    </row>
    <row r="538" spans="19:55">
      <c r="S538" s="454"/>
      <c r="AN538" s="454"/>
      <c r="AY538" s="454"/>
      <c r="AZ538" s="454"/>
      <c r="BA538" s="1306"/>
      <c r="BC538" s="169"/>
    </row>
    <row r="539" spans="19:55">
      <c r="S539" s="454"/>
      <c r="AN539" s="454"/>
      <c r="AY539" s="454"/>
      <c r="AZ539" s="454"/>
      <c r="BA539" s="1306"/>
      <c r="BC539" s="169"/>
    </row>
    <row r="540" spans="19:55">
      <c r="S540" s="454"/>
      <c r="AN540" s="454"/>
      <c r="AY540" s="454"/>
      <c r="AZ540" s="454"/>
      <c r="BA540" s="1306"/>
      <c r="BC540" s="169"/>
    </row>
    <row r="541" spans="19:55">
      <c r="S541" s="454"/>
      <c r="AN541" s="454"/>
      <c r="AY541" s="454"/>
      <c r="AZ541" s="454"/>
      <c r="BA541" s="1306"/>
      <c r="BC541" s="169"/>
    </row>
    <row r="542" spans="19:55">
      <c r="S542" s="454"/>
      <c r="AN542" s="454"/>
      <c r="AY542" s="454"/>
      <c r="AZ542" s="454"/>
      <c r="BA542" s="1306"/>
      <c r="BC542" s="169"/>
    </row>
    <row r="543" spans="19:55">
      <c r="S543" s="454"/>
      <c r="AN543" s="454"/>
      <c r="AY543" s="454"/>
      <c r="AZ543" s="454"/>
      <c r="BA543" s="1306"/>
      <c r="BC543" s="169"/>
    </row>
    <row r="544" spans="19:55">
      <c r="S544" s="454"/>
      <c r="AN544" s="454"/>
      <c r="AY544" s="454"/>
      <c r="AZ544" s="454"/>
      <c r="BA544" s="1306"/>
      <c r="BC544" s="169"/>
    </row>
    <row r="545" spans="19:55">
      <c r="S545" s="454"/>
      <c r="AN545" s="454"/>
      <c r="AY545" s="454"/>
      <c r="AZ545" s="454"/>
      <c r="BA545" s="1306"/>
      <c r="BC545" s="169"/>
    </row>
    <row r="546" spans="19:55">
      <c r="S546" s="454"/>
      <c r="AN546" s="454"/>
      <c r="AY546" s="454"/>
      <c r="AZ546" s="454"/>
      <c r="BA546" s="1306"/>
      <c r="BC546" s="169"/>
    </row>
    <row r="547" spans="19:55">
      <c r="S547" s="454"/>
      <c r="AN547" s="454"/>
      <c r="AY547" s="454"/>
      <c r="AZ547" s="454"/>
      <c r="BA547" s="1306"/>
      <c r="BC547" s="169"/>
    </row>
    <row r="548" spans="19:55">
      <c r="S548" s="454"/>
      <c r="AN548" s="454"/>
      <c r="AY548" s="454"/>
      <c r="AZ548" s="454"/>
      <c r="BA548" s="1306"/>
      <c r="BC548" s="169"/>
    </row>
    <row r="549" spans="19:55">
      <c r="S549" s="454"/>
      <c r="AN549" s="454"/>
      <c r="AY549" s="454"/>
      <c r="AZ549" s="454"/>
      <c r="BA549" s="1306"/>
      <c r="BC549" s="169"/>
    </row>
    <row r="550" spans="19:55">
      <c r="S550" s="454"/>
      <c r="AN550" s="454"/>
      <c r="AY550" s="454"/>
      <c r="AZ550" s="454"/>
      <c r="BA550" s="1306"/>
      <c r="BC550" s="169"/>
    </row>
    <row r="551" spans="19:55">
      <c r="S551" s="454"/>
      <c r="AN551" s="454"/>
      <c r="AY551" s="454"/>
      <c r="AZ551" s="454"/>
      <c r="BA551" s="1306"/>
      <c r="BC551" s="169"/>
    </row>
    <row r="552" spans="19:55">
      <c r="S552" s="454"/>
      <c r="AN552" s="454"/>
      <c r="AY552" s="454"/>
      <c r="AZ552" s="454"/>
      <c r="BA552" s="1306"/>
      <c r="BC552" s="169"/>
    </row>
    <row r="553" spans="19:55">
      <c r="S553" s="454"/>
      <c r="AN553" s="454"/>
      <c r="AY553" s="454"/>
      <c r="AZ553" s="454"/>
      <c r="BA553" s="1306"/>
      <c r="BC553" s="169"/>
    </row>
    <row r="554" spans="19:55">
      <c r="S554" s="454"/>
      <c r="AN554" s="454"/>
      <c r="AY554" s="454"/>
      <c r="AZ554" s="454"/>
      <c r="BA554" s="1306"/>
      <c r="BC554" s="169"/>
    </row>
    <row r="555" spans="19:55">
      <c r="S555" s="454"/>
      <c r="AN555" s="454"/>
      <c r="AY555" s="454"/>
      <c r="AZ555" s="454"/>
      <c r="BA555" s="1306"/>
      <c r="BC555" s="169"/>
    </row>
    <row r="556" spans="19:55">
      <c r="S556" s="454"/>
      <c r="AN556" s="454"/>
      <c r="AY556" s="454"/>
      <c r="AZ556" s="454"/>
      <c r="BA556" s="1306"/>
      <c r="BC556" s="169"/>
    </row>
    <row r="557" spans="19:55">
      <c r="S557" s="454"/>
      <c r="AN557" s="454"/>
      <c r="AY557" s="454"/>
      <c r="AZ557" s="454"/>
      <c r="BA557" s="1306"/>
      <c r="BC557" s="169"/>
    </row>
    <row r="558" spans="19:55">
      <c r="S558" s="454"/>
      <c r="AN558" s="454"/>
      <c r="AY558" s="454"/>
      <c r="AZ558" s="454"/>
      <c r="BA558" s="1306"/>
      <c r="BC558" s="169"/>
    </row>
    <row r="559" spans="19:55">
      <c r="S559" s="454"/>
      <c r="AN559" s="454"/>
      <c r="AY559" s="454"/>
      <c r="AZ559" s="454"/>
      <c r="BA559" s="1306"/>
      <c r="BC559" s="169"/>
    </row>
    <row r="560" spans="19:55">
      <c r="S560" s="454"/>
      <c r="AN560" s="454"/>
      <c r="AY560" s="454"/>
      <c r="AZ560" s="454"/>
      <c r="BA560" s="1306"/>
      <c r="BC560" s="169"/>
    </row>
    <row r="561" spans="19:55">
      <c r="S561" s="454"/>
      <c r="AN561" s="454"/>
      <c r="AY561" s="454"/>
      <c r="AZ561" s="454"/>
      <c r="BA561" s="1306"/>
      <c r="BC561" s="169"/>
    </row>
    <row r="562" spans="19:55">
      <c r="S562" s="454"/>
      <c r="AN562" s="454"/>
      <c r="AY562" s="454"/>
      <c r="AZ562" s="454"/>
      <c r="BA562" s="1306"/>
      <c r="BC562" s="169"/>
    </row>
    <row r="563" spans="19:55">
      <c r="S563" s="454"/>
      <c r="AN563" s="454"/>
      <c r="AY563" s="454"/>
      <c r="AZ563" s="454"/>
      <c r="BA563" s="1306"/>
      <c r="BC563" s="169"/>
    </row>
    <row r="564" spans="19:55">
      <c r="S564" s="454"/>
      <c r="AN564" s="454"/>
      <c r="AY564" s="454"/>
      <c r="AZ564" s="454"/>
      <c r="BA564" s="1306"/>
      <c r="BC564" s="169"/>
    </row>
    <row r="565" spans="19:55">
      <c r="S565" s="454"/>
      <c r="AN565" s="454"/>
      <c r="AY565" s="454"/>
      <c r="AZ565" s="454"/>
      <c r="BA565" s="1306"/>
      <c r="BC565" s="169"/>
    </row>
    <row r="566" spans="19:55">
      <c r="S566" s="454"/>
      <c r="AN566" s="454"/>
      <c r="AY566" s="454"/>
      <c r="AZ566" s="454"/>
      <c r="BA566" s="1306"/>
      <c r="BC566" s="169"/>
    </row>
    <row r="567" spans="19:55">
      <c r="S567" s="454"/>
      <c r="AN567" s="454"/>
      <c r="AY567" s="454"/>
      <c r="AZ567" s="454"/>
      <c r="BA567" s="1306"/>
      <c r="BC567" s="169"/>
    </row>
    <row r="568" spans="19:55">
      <c r="S568" s="454"/>
      <c r="AN568" s="454"/>
      <c r="AY568" s="454"/>
      <c r="AZ568" s="454"/>
      <c r="BA568" s="1306"/>
      <c r="BC568" s="169"/>
    </row>
    <row r="569" spans="19:55">
      <c r="S569" s="454"/>
      <c r="AN569" s="454"/>
      <c r="AY569" s="454"/>
      <c r="AZ569" s="454"/>
      <c r="BA569" s="1306"/>
      <c r="BC569" s="169"/>
    </row>
    <row r="570" spans="19:55">
      <c r="S570" s="454"/>
      <c r="AN570" s="454"/>
      <c r="AY570" s="454"/>
      <c r="AZ570" s="454"/>
      <c r="BA570" s="1306"/>
      <c r="BC570" s="169"/>
    </row>
    <row r="571" spans="19:55">
      <c r="S571" s="454"/>
      <c r="AN571" s="454"/>
      <c r="AY571" s="454"/>
      <c r="AZ571" s="454"/>
      <c r="BA571" s="1306"/>
      <c r="BC571" s="169"/>
    </row>
    <row r="572" spans="19:55">
      <c r="S572" s="454"/>
      <c r="AN572" s="454"/>
      <c r="AY572" s="454"/>
      <c r="AZ572" s="454"/>
      <c r="BA572" s="1306"/>
      <c r="BC572" s="169"/>
    </row>
    <row r="573" spans="19:55">
      <c r="S573" s="454"/>
      <c r="AN573" s="454"/>
      <c r="AY573" s="454"/>
      <c r="AZ573" s="454"/>
      <c r="BA573" s="1306"/>
      <c r="BC573" s="169"/>
    </row>
    <row r="574" spans="19:55">
      <c r="S574" s="454"/>
      <c r="AN574" s="454"/>
      <c r="AY574" s="454"/>
      <c r="AZ574" s="454"/>
      <c r="BA574" s="1306"/>
      <c r="BC574" s="169"/>
    </row>
    <row r="575" spans="19:55">
      <c r="S575" s="454"/>
      <c r="AN575" s="454"/>
      <c r="AY575" s="454"/>
      <c r="AZ575" s="454"/>
      <c r="BA575" s="1306"/>
      <c r="BC575" s="169"/>
    </row>
    <row r="576" spans="19:55">
      <c r="S576" s="454"/>
      <c r="AN576" s="454"/>
      <c r="AY576" s="454"/>
      <c r="AZ576" s="454"/>
      <c r="BA576" s="1306"/>
      <c r="BC576" s="169"/>
    </row>
    <row r="577" spans="19:55">
      <c r="S577" s="454"/>
      <c r="AN577" s="454"/>
      <c r="AY577" s="454"/>
      <c r="AZ577" s="454"/>
      <c r="BA577" s="1306"/>
      <c r="BC577" s="169"/>
    </row>
    <row r="578" spans="19:55">
      <c r="S578" s="454"/>
      <c r="AN578" s="454"/>
      <c r="AY578" s="454"/>
      <c r="AZ578" s="454"/>
      <c r="BA578" s="1306"/>
      <c r="BC578" s="169"/>
    </row>
    <row r="579" spans="19:55">
      <c r="S579" s="454"/>
      <c r="AN579" s="454"/>
      <c r="AY579" s="454"/>
      <c r="AZ579" s="454"/>
      <c r="BA579" s="1306"/>
      <c r="BC579" s="169"/>
    </row>
    <row r="580" spans="19:55">
      <c r="S580" s="454"/>
      <c r="AN580" s="454"/>
      <c r="AY580" s="454"/>
      <c r="AZ580" s="454"/>
      <c r="BA580" s="1306"/>
      <c r="BC580" s="169"/>
    </row>
    <row r="581" spans="19:55">
      <c r="S581" s="454"/>
      <c r="AN581" s="454"/>
      <c r="AY581" s="454"/>
      <c r="AZ581" s="454"/>
      <c r="BA581" s="1306"/>
      <c r="BC581" s="169"/>
    </row>
    <row r="582" spans="19:55">
      <c r="S582" s="454"/>
      <c r="AN582" s="454"/>
      <c r="AY582" s="454"/>
      <c r="AZ582" s="454"/>
      <c r="BA582" s="1306"/>
      <c r="BC582" s="169"/>
    </row>
    <row r="583" spans="19:55">
      <c r="S583" s="454"/>
      <c r="AN583" s="454"/>
      <c r="AY583" s="454"/>
      <c r="AZ583" s="454"/>
      <c r="BA583" s="1306"/>
      <c r="BC583" s="169"/>
    </row>
    <row r="584" spans="19:55">
      <c r="S584" s="454"/>
      <c r="AN584" s="454"/>
      <c r="AY584" s="454"/>
      <c r="AZ584" s="454"/>
      <c r="BA584" s="1306"/>
      <c r="BC584" s="169"/>
    </row>
    <row r="585" spans="19:55">
      <c r="S585" s="454"/>
      <c r="AN585" s="454"/>
      <c r="AY585" s="454"/>
      <c r="AZ585" s="454"/>
      <c r="BA585" s="1306"/>
      <c r="BC585" s="169"/>
    </row>
    <row r="586" spans="19:55">
      <c r="S586" s="454"/>
      <c r="AN586" s="454"/>
      <c r="AY586" s="454"/>
      <c r="AZ586" s="454"/>
      <c r="BA586" s="1306"/>
      <c r="BC586" s="169"/>
    </row>
    <row r="587" spans="19:55">
      <c r="S587" s="454"/>
      <c r="AN587" s="454"/>
      <c r="AY587" s="454"/>
      <c r="AZ587" s="454"/>
      <c r="BA587" s="1306"/>
      <c r="BC587" s="169"/>
    </row>
    <row r="588" spans="19:55">
      <c r="S588" s="454"/>
      <c r="AN588" s="454"/>
      <c r="AY588" s="454"/>
      <c r="AZ588" s="454"/>
      <c r="BA588" s="1306"/>
      <c r="BC588" s="169"/>
    </row>
    <row r="589" spans="19:55">
      <c r="S589" s="454"/>
      <c r="AN589" s="454"/>
      <c r="AY589" s="454"/>
      <c r="AZ589" s="454"/>
      <c r="BA589" s="1306"/>
      <c r="BC589" s="169"/>
    </row>
    <row r="590" spans="19:55">
      <c r="S590" s="454"/>
      <c r="AN590" s="454"/>
      <c r="AY590" s="454"/>
      <c r="AZ590" s="454"/>
      <c r="BA590" s="1306"/>
      <c r="BC590" s="169"/>
    </row>
    <row r="591" spans="19:55">
      <c r="S591" s="454"/>
      <c r="AN591" s="454"/>
      <c r="AY591" s="454"/>
      <c r="AZ591" s="454"/>
      <c r="BA591" s="1306"/>
      <c r="BC591" s="169"/>
    </row>
    <row r="592" spans="19:55">
      <c r="S592" s="454"/>
      <c r="AN592" s="454"/>
      <c r="AY592" s="454"/>
      <c r="AZ592" s="454"/>
      <c r="BA592" s="1306"/>
      <c r="BC592" s="169"/>
    </row>
    <row r="593" spans="19:55">
      <c r="S593" s="454"/>
      <c r="AN593" s="454"/>
      <c r="AY593" s="454"/>
      <c r="AZ593" s="454"/>
      <c r="BA593" s="1306"/>
      <c r="BC593" s="169"/>
    </row>
    <row r="594" spans="19:55">
      <c r="S594" s="454"/>
      <c r="AN594" s="454"/>
      <c r="AY594" s="454"/>
      <c r="AZ594" s="454"/>
      <c r="BA594" s="1306"/>
      <c r="BC594" s="169"/>
    </row>
    <row r="595" spans="19:55">
      <c r="S595" s="454"/>
      <c r="AN595" s="454"/>
      <c r="AY595" s="454"/>
      <c r="AZ595" s="454"/>
      <c r="BA595" s="1306"/>
      <c r="BC595" s="169"/>
    </row>
    <row r="596" spans="19:55">
      <c r="S596" s="454"/>
      <c r="AN596" s="454"/>
      <c r="AY596" s="454"/>
      <c r="AZ596" s="454"/>
      <c r="BA596" s="1306"/>
      <c r="BC596" s="169"/>
    </row>
    <row r="597" spans="19:55">
      <c r="S597" s="454"/>
      <c r="AN597" s="454"/>
      <c r="AY597" s="454"/>
      <c r="AZ597" s="454"/>
      <c r="BA597" s="1306"/>
      <c r="BC597" s="169"/>
    </row>
    <row r="598" spans="19:55">
      <c r="S598" s="454"/>
      <c r="AN598" s="454"/>
      <c r="AY598" s="454"/>
      <c r="AZ598" s="454"/>
      <c r="BA598" s="1306"/>
      <c r="BC598" s="169"/>
    </row>
    <row r="599" spans="19:55">
      <c r="S599" s="454"/>
      <c r="AN599" s="454"/>
      <c r="AY599" s="454"/>
      <c r="AZ599" s="454"/>
      <c r="BA599" s="1306"/>
      <c r="BC599" s="169"/>
    </row>
    <row r="600" spans="19:55">
      <c r="S600" s="454"/>
      <c r="AN600" s="454"/>
      <c r="AY600" s="454"/>
      <c r="AZ600" s="454"/>
      <c r="BA600" s="1306"/>
      <c r="BC600" s="169"/>
    </row>
    <row r="601" spans="19:55">
      <c r="S601" s="454"/>
      <c r="AN601" s="454"/>
      <c r="AY601" s="454"/>
      <c r="AZ601" s="454"/>
      <c r="BA601" s="1306"/>
      <c r="BC601" s="169"/>
    </row>
    <row r="602" spans="19:55">
      <c r="S602" s="454"/>
      <c r="AN602" s="454"/>
      <c r="AY602" s="454"/>
      <c r="AZ602" s="454"/>
      <c r="BA602" s="1306"/>
      <c r="BC602" s="169"/>
    </row>
    <row r="603" spans="19:55">
      <c r="S603" s="454"/>
      <c r="AN603" s="454"/>
      <c r="AY603" s="454"/>
      <c r="AZ603" s="454"/>
      <c r="BA603" s="1306"/>
      <c r="BC603" s="169"/>
    </row>
    <row r="604" spans="19:55">
      <c r="S604" s="454"/>
      <c r="AN604" s="454"/>
      <c r="AY604" s="454"/>
      <c r="AZ604" s="454"/>
      <c r="BA604" s="1306"/>
      <c r="BC604" s="169"/>
    </row>
    <row r="605" spans="19:55">
      <c r="S605" s="454"/>
      <c r="AN605" s="454"/>
      <c r="AY605" s="454"/>
      <c r="AZ605" s="454"/>
      <c r="BA605" s="1306"/>
      <c r="BC605" s="169"/>
    </row>
    <row r="606" spans="19:55">
      <c r="S606" s="454"/>
      <c r="AN606" s="454"/>
      <c r="AY606" s="454"/>
      <c r="AZ606" s="454"/>
      <c r="BA606" s="1306"/>
      <c r="BC606" s="169"/>
    </row>
    <row r="607" spans="19:55">
      <c r="S607" s="454"/>
      <c r="AN607" s="454"/>
      <c r="AY607" s="454"/>
      <c r="AZ607" s="454"/>
      <c r="BA607" s="1306"/>
      <c r="BC607" s="169"/>
    </row>
    <row r="608" spans="19:55">
      <c r="S608" s="454"/>
      <c r="AN608" s="454"/>
      <c r="AY608" s="454"/>
      <c r="AZ608" s="454"/>
      <c r="BA608" s="1306"/>
      <c r="BC608" s="169"/>
    </row>
    <row r="609" spans="19:55">
      <c r="S609" s="454"/>
      <c r="AN609" s="454"/>
      <c r="AY609" s="454"/>
      <c r="AZ609" s="454"/>
      <c r="BA609" s="1306"/>
      <c r="BC609" s="169"/>
    </row>
    <row r="610" spans="19:55">
      <c r="S610" s="454"/>
      <c r="AN610" s="454"/>
      <c r="AY610" s="454"/>
      <c r="AZ610" s="454"/>
      <c r="BA610" s="1306"/>
      <c r="BC610" s="169"/>
    </row>
    <row r="611" spans="19:55">
      <c r="S611" s="454"/>
      <c r="AN611" s="454"/>
      <c r="AY611" s="454"/>
      <c r="AZ611" s="454"/>
      <c r="BA611" s="1306"/>
      <c r="BC611" s="169"/>
    </row>
    <row r="612" spans="19:55">
      <c r="S612" s="454"/>
      <c r="AN612" s="454"/>
      <c r="AY612" s="454"/>
      <c r="AZ612" s="454"/>
      <c r="BA612" s="1306"/>
      <c r="BC612" s="169"/>
    </row>
    <row r="613" spans="19:55">
      <c r="S613" s="454"/>
      <c r="AN613" s="454"/>
      <c r="AY613" s="454"/>
      <c r="AZ613" s="454"/>
      <c r="BA613" s="1306"/>
      <c r="BC613" s="169"/>
    </row>
    <row r="614" spans="19:55">
      <c r="S614" s="454"/>
      <c r="AN614" s="454"/>
      <c r="AY614" s="454"/>
      <c r="AZ614" s="454"/>
      <c r="BA614" s="1306"/>
      <c r="BC614" s="169"/>
    </row>
    <row r="615" spans="19:55">
      <c r="S615" s="454"/>
      <c r="AN615" s="454"/>
      <c r="AY615" s="454"/>
      <c r="AZ615" s="454"/>
      <c r="BA615" s="1306"/>
      <c r="BC615" s="169"/>
    </row>
    <row r="616" spans="19:55">
      <c r="S616" s="454"/>
      <c r="AN616" s="454"/>
      <c r="AY616" s="454"/>
      <c r="AZ616" s="454"/>
      <c r="BA616" s="1306"/>
      <c r="BC616" s="169"/>
    </row>
    <row r="617" spans="19:55">
      <c r="S617" s="454"/>
      <c r="AN617" s="454"/>
      <c r="AY617" s="454"/>
      <c r="AZ617" s="454"/>
      <c r="BA617" s="1306"/>
      <c r="BC617" s="169"/>
    </row>
    <row r="618" spans="19:55">
      <c r="S618" s="454"/>
      <c r="AN618" s="454"/>
      <c r="AY618" s="454"/>
      <c r="AZ618" s="454"/>
      <c r="BA618" s="1306"/>
      <c r="BC618" s="169"/>
    </row>
    <row r="619" spans="19:55">
      <c r="S619" s="454"/>
      <c r="AN619" s="454"/>
      <c r="AY619" s="454"/>
      <c r="AZ619" s="454"/>
      <c r="BA619" s="1306"/>
      <c r="BC619" s="169"/>
    </row>
    <row r="620" spans="19:55">
      <c r="S620" s="454"/>
      <c r="AN620" s="454"/>
      <c r="AY620" s="454"/>
      <c r="AZ620" s="454"/>
      <c r="BA620" s="1306"/>
      <c r="BC620" s="169"/>
    </row>
    <row r="621" spans="19:55">
      <c r="S621" s="454"/>
      <c r="AN621" s="454"/>
      <c r="AY621" s="454"/>
      <c r="AZ621" s="454"/>
      <c r="BA621" s="1306"/>
      <c r="BC621" s="169"/>
    </row>
    <row r="622" spans="19:55">
      <c r="S622" s="454"/>
      <c r="AN622" s="454"/>
      <c r="AY622" s="454"/>
      <c r="AZ622" s="454"/>
      <c r="BA622" s="1306"/>
      <c r="BC622" s="169"/>
    </row>
    <row r="623" spans="19:55">
      <c r="S623" s="454"/>
      <c r="AN623" s="454"/>
      <c r="AY623" s="454"/>
      <c r="AZ623" s="454"/>
      <c r="BA623" s="1306"/>
      <c r="BC623" s="169"/>
    </row>
    <row r="624" spans="19:55">
      <c r="S624" s="454"/>
      <c r="AN624" s="454"/>
      <c r="AY624" s="454"/>
      <c r="AZ624" s="454"/>
      <c r="BA624" s="1306"/>
      <c r="BC624" s="169"/>
    </row>
    <row r="625" spans="19:55">
      <c r="S625" s="454"/>
      <c r="AN625" s="454"/>
      <c r="AY625" s="454"/>
      <c r="AZ625" s="454"/>
      <c r="BA625" s="1306"/>
      <c r="BC625" s="169"/>
    </row>
    <row r="626" spans="19:55">
      <c r="S626" s="454"/>
      <c r="AN626" s="454"/>
      <c r="AY626" s="454"/>
      <c r="AZ626" s="454"/>
      <c r="BA626" s="1306"/>
      <c r="BC626" s="169"/>
    </row>
    <row r="627" spans="19:55">
      <c r="S627" s="454"/>
      <c r="AN627" s="454"/>
      <c r="AY627" s="454"/>
      <c r="AZ627" s="454"/>
      <c r="BA627" s="1306"/>
      <c r="BC627" s="169"/>
    </row>
    <row r="628" spans="19:55">
      <c r="S628" s="454"/>
      <c r="AN628" s="454"/>
      <c r="AY628" s="454"/>
      <c r="AZ628" s="454"/>
      <c r="BA628" s="1306"/>
      <c r="BC628" s="169"/>
    </row>
    <row r="629" spans="19:55">
      <c r="S629" s="454"/>
      <c r="AN629" s="454"/>
      <c r="AY629" s="454"/>
      <c r="AZ629" s="454"/>
      <c r="BA629" s="1306"/>
      <c r="BC629" s="169"/>
    </row>
    <row r="630" spans="19:55">
      <c r="S630" s="454"/>
      <c r="AN630" s="454"/>
      <c r="AY630" s="454"/>
      <c r="AZ630" s="454"/>
      <c r="BA630" s="1306"/>
      <c r="BC630" s="169"/>
    </row>
    <row r="631" spans="19:55">
      <c r="S631" s="454"/>
      <c r="AN631" s="454"/>
      <c r="AY631" s="454"/>
      <c r="AZ631" s="454"/>
      <c r="BA631" s="1306"/>
      <c r="BC631" s="169"/>
    </row>
    <row r="632" spans="19:55">
      <c r="S632" s="454"/>
      <c r="AN632" s="454"/>
      <c r="AY632" s="454"/>
      <c r="AZ632" s="454"/>
      <c r="BA632" s="1306"/>
      <c r="BC632" s="169"/>
    </row>
    <row r="633" spans="19:55">
      <c r="S633" s="454"/>
      <c r="AN633" s="454"/>
      <c r="AY633" s="454"/>
      <c r="AZ633" s="454"/>
      <c r="BA633" s="1306"/>
      <c r="BC633" s="169"/>
    </row>
    <row r="634" spans="19:55">
      <c r="S634" s="454"/>
      <c r="AN634" s="454"/>
      <c r="AY634" s="454"/>
      <c r="AZ634" s="454"/>
      <c r="BA634" s="1306"/>
      <c r="BC634" s="169"/>
    </row>
    <row r="635" spans="19:55">
      <c r="S635" s="454"/>
      <c r="AN635" s="454"/>
      <c r="AY635" s="454"/>
      <c r="AZ635" s="454"/>
      <c r="BA635" s="1306"/>
      <c r="BC635" s="169"/>
    </row>
    <row r="636" spans="19:55">
      <c r="S636" s="454"/>
      <c r="AN636" s="454"/>
      <c r="AY636" s="454"/>
      <c r="AZ636" s="454"/>
      <c r="BA636" s="1306"/>
      <c r="BC636" s="169"/>
    </row>
    <row r="637" spans="19:55">
      <c r="S637" s="454"/>
      <c r="AN637" s="454"/>
      <c r="AY637" s="454"/>
      <c r="AZ637" s="454"/>
      <c r="BA637" s="1306"/>
      <c r="BC637" s="169"/>
    </row>
    <row r="638" spans="19:55">
      <c r="S638" s="454"/>
      <c r="AN638" s="454"/>
      <c r="AY638" s="454"/>
      <c r="AZ638" s="454"/>
      <c r="BA638" s="1306"/>
      <c r="BC638" s="169"/>
    </row>
    <row r="639" spans="19:55">
      <c r="S639" s="454"/>
      <c r="AN639" s="454"/>
      <c r="AY639" s="454"/>
      <c r="AZ639" s="454"/>
      <c r="BA639" s="1306"/>
      <c r="BC639" s="169"/>
    </row>
    <row r="640" spans="19:55">
      <c r="S640" s="454"/>
      <c r="AN640" s="454"/>
      <c r="AY640" s="454"/>
      <c r="AZ640" s="454"/>
      <c r="BA640" s="1306"/>
      <c r="BC640" s="169"/>
    </row>
    <row r="641" spans="19:55">
      <c r="S641" s="454"/>
      <c r="AN641" s="454"/>
      <c r="AY641" s="454"/>
      <c r="AZ641" s="454"/>
      <c r="BA641" s="1306"/>
      <c r="BC641" s="169"/>
    </row>
    <row r="642" spans="19:55">
      <c r="S642" s="454"/>
      <c r="AN642" s="454"/>
      <c r="AY642" s="454"/>
      <c r="AZ642" s="454"/>
      <c r="BA642" s="1306"/>
      <c r="BC642" s="169"/>
    </row>
    <row r="643" spans="19:55">
      <c r="S643" s="454"/>
      <c r="AN643" s="454"/>
      <c r="AY643" s="454"/>
      <c r="AZ643" s="454"/>
      <c r="BA643" s="1306"/>
      <c r="BC643" s="169"/>
    </row>
    <row r="644" spans="19:55">
      <c r="S644" s="454"/>
      <c r="AN644" s="454"/>
      <c r="AY644" s="454"/>
      <c r="AZ644" s="454"/>
      <c r="BA644" s="1306"/>
      <c r="BC644" s="169"/>
    </row>
    <row r="645" spans="19:55">
      <c r="S645" s="454"/>
      <c r="AN645" s="454"/>
      <c r="AY645" s="454"/>
      <c r="AZ645" s="454"/>
      <c r="BA645" s="1306"/>
      <c r="BC645" s="169"/>
    </row>
    <row r="646" spans="19:55">
      <c r="S646" s="454"/>
      <c r="AN646" s="454"/>
      <c r="AY646" s="454"/>
      <c r="AZ646" s="454"/>
      <c r="BA646" s="1306"/>
      <c r="BC646" s="169"/>
    </row>
    <row r="647" spans="19:55">
      <c r="S647" s="454"/>
      <c r="AN647" s="454"/>
      <c r="AY647" s="454"/>
      <c r="AZ647" s="454"/>
      <c r="BA647" s="1306"/>
      <c r="BC647" s="169"/>
    </row>
    <row r="648" spans="19:55">
      <c r="S648" s="454"/>
      <c r="AN648" s="454"/>
      <c r="AY648" s="454"/>
      <c r="AZ648" s="454"/>
      <c r="BA648" s="1306"/>
      <c r="BC648" s="169"/>
    </row>
    <row r="649" spans="19:55">
      <c r="S649" s="454"/>
      <c r="AN649" s="454"/>
      <c r="AY649" s="454"/>
      <c r="AZ649" s="454"/>
      <c r="BA649" s="1306"/>
      <c r="BC649" s="169"/>
    </row>
    <row r="650" spans="19:55">
      <c r="S650" s="454"/>
      <c r="AN650" s="454"/>
      <c r="AY650" s="454"/>
      <c r="AZ650" s="454"/>
      <c r="BA650" s="1306"/>
      <c r="BC650" s="169"/>
    </row>
    <row r="651" spans="19:55">
      <c r="S651" s="454"/>
      <c r="AN651" s="454"/>
      <c r="AY651" s="454"/>
      <c r="AZ651" s="454"/>
      <c r="BA651" s="1306"/>
      <c r="BC651" s="169"/>
    </row>
    <row r="652" spans="19:55">
      <c r="S652" s="454"/>
      <c r="AN652" s="454"/>
      <c r="AY652" s="454"/>
      <c r="AZ652" s="454"/>
      <c r="BA652" s="1306"/>
      <c r="BC652" s="169"/>
    </row>
    <row r="653" spans="19:55">
      <c r="S653" s="454"/>
      <c r="AN653" s="454"/>
      <c r="AY653" s="454"/>
      <c r="AZ653" s="454"/>
      <c r="BA653" s="1306"/>
      <c r="BC653" s="169"/>
    </row>
    <row r="654" spans="19:55">
      <c r="S654" s="454"/>
      <c r="AN654" s="454"/>
      <c r="AY654" s="454"/>
      <c r="AZ654" s="454"/>
      <c r="BA654" s="1306"/>
      <c r="BC654" s="169"/>
    </row>
    <row r="655" spans="19:55">
      <c r="S655" s="454"/>
      <c r="AN655" s="454"/>
      <c r="AY655" s="454"/>
      <c r="AZ655" s="454"/>
      <c r="BA655" s="1306"/>
      <c r="BC655" s="169"/>
    </row>
    <row r="656" spans="19:55">
      <c r="S656" s="454"/>
      <c r="AN656" s="454"/>
      <c r="AY656" s="454"/>
      <c r="AZ656" s="454"/>
      <c r="BA656" s="1306"/>
      <c r="BC656" s="169"/>
    </row>
    <row r="657" spans="19:55">
      <c r="S657" s="454"/>
      <c r="AN657" s="454"/>
      <c r="AY657" s="454"/>
      <c r="AZ657" s="454"/>
      <c r="BA657" s="1306"/>
      <c r="BC657" s="169"/>
    </row>
    <row r="658" spans="19:55">
      <c r="S658" s="454"/>
      <c r="AN658" s="454"/>
      <c r="AY658" s="454"/>
      <c r="AZ658" s="454"/>
      <c r="BA658" s="1306"/>
      <c r="BC658" s="169"/>
    </row>
    <row r="659" spans="19:55">
      <c r="S659" s="454"/>
      <c r="AN659" s="454"/>
      <c r="AY659" s="454"/>
      <c r="AZ659" s="454"/>
      <c r="BA659" s="1306"/>
      <c r="BC659" s="169"/>
    </row>
    <row r="660" spans="19:55">
      <c r="S660" s="454"/>
      <c r="AN660" s="454"/>
      <c r="AY660" s="454"/>
      <c r="AZ660" s="454"/>
      <c r="BA660" s="1306"/>
      <c r="BC660" s="169"/>
    </row>
    <row r="661" spans="19:55">
      <c r="S661" s="454"/>
      <c r="AN661" s="454"/>
      <c r="AY661" s="454"/>
      <c r="AZ661" s="454"/>
      <c r="BA661" s="1306"/>
      <c r="BC661" s="169"/>
    </row>
    <row r="662" spans="19:55">
      <c r="S662" s="454"/>
      <c r="AN662" s="454"/>
      <c r="AY662" s="454"/>
      <c r="AZ662" s="454"/>
      <c r="BA662" s="1306"/>
      <c r="BC662" s="169"/>
    </row>
    <row r="663" spans="19:55">
      <c r="S663" s="454"/>
      <c r="AN663" s="454"/>
      <c r="AY663" s="454"/>
      <c r="AZ663" s="454"/>
      <c r="BA663" s="1306"/>
      <c r="BC663" s="169"/>
    </row>
    <row r="664" spans="19:55">
      <c r="S664" s="454"/>
      <c r="AN664" s="454"/>
      <c r="AY664" s="454"/>
      <c r="AZ664" s="454"/>
      <c r="BA664" s="1306"/>
      <c r="BC664" s="169"/>
    </row>
    <row r="665" spans="19:55">
      <c r="S665" s="454"/>
      <c r="AN665" s="454"/>
      <c r="AY665" s="454"/>
      <c r="AZ665" s="454"/>
      <c r="BA665" s="1306"/>
      <c r="BC665" s="169"/>
    </row>
    <row r="666" spans="19:55">
      <c r="S666" s="454"/>
      <c r="AN666" s="454"/>
      <c r="AY666" s="454"/>
      <c r="AZ666" s="454"/>
      <c r="BA666" s="1306"/>
      <c r="BC666" s="169"/>
    </row>
    <row r="667" spans="19:55">
      <c r="S667" s="454"/>
      <c r="AN667" s="454"/>
      <c r="AY667" s="454"/>
      <c r="AZ667" s="454"/>
      <c r="BA667" s="1306"/>
      <c r="BC667" s="169"/>
    </row>
    <row r="668" spans="19:55">
      <c r="S668" s="454"/>
      <c r="AN668" s="454"/>
      <c r="AY668" s="454"/>
      <c r="AZ668" s="454"/>
      <c r="BA668" s="1306"/>
      <c r="BC668" s="169"/>
    </row>
    <row r="669" spans="19:55">
      <c r="S669" s="454"/>
      <c r="AN669" s="454"/>
      <c r="AY669" s="454"/>
      <c r="AZ669" s="454"/>
      <c r="BA669" s="1306"/>
      <c r="BC669" s="169"/>
    </row>
    <row r="670" spans="19:55">
      <c r="S670" s="454"/>
      <c r="AN670" s="454"/>
      <c r="AY670" s="454"/>
      <c r="AZ670" s="454"/>
      <c r="BA670" s="1306"/>
      <c r="BC670" s="169"/>
    </row>
    <row r="671" spans="19:55">
      <c r="S671" s="454"/>
      <c r="AN671" s="454"/>
      <c r="AY671" s="454"/>
      <c r="AZ671" s="454"/>
      <c r="BA671" s="1306"/>
      <c r="BC671" s="169"/>
    </row>
    <row r="672" spans="19:55">
      <c r="S672" s="454"/>
      <c r="AN672" s="454"/>
      <c r="AY672" s="454"/>
      <c r="AZ672" s="454"/>
      <c r="BA672" s="1306"/>
      <c r="BC672" s="169"/>
    </row>
    <row r="673" spans="19:55">
      <c r="S673" s="454"/>
      <c r="AN673" s="454"/>
      <c r="AY673" s="454"/>
      <c r="AZ673" s="454"/>
      <c r="BA673" s="1306"/>
      <c r="BC673" s="169"/>
    </row>
    <row r="674" spans="19:55">
      <c r="S674" s="454"/>
      <c r="AN674" s="454"/>
      <c r="AY674" s="454"/>
      <c r="AZ674" s="454"/>
      <c r="BA674" s="1306"/>
      <c r="BC674" s="169"/>
    </row>
    <row r="675" spans="19:55">
      <c r="S675" s="454"/>
      <c r="AN675" s="454"/>
      <c r="AY675" s="454"/>
      <c r="AZ675" s="454"/>
      <c r="BA675" s="1306"/>
      <c r="BC675" s="169"/>
    </row>
    <row r="676" spans="19:55">
      <c r="S676" s="454"/>
      <c r="AN676" s="454"/>
      <c r="AY676" s="454"/>
      <c r="AZ676" s="454"/>
      <c r="BA676" s="1306"/>
      <c r="BC676" s="169"/>
    </row>
    <row r="677" spans="19:55">
      <c r="S677" s="454"/>
      <c r="AN677" s="454"/>
      <c r="AY677" s="454"/>
      <c r="AZ677" s="454"/>
      <c r="BA677" s="1306"/>
      <c r="BC677" s="169"/>
    </row>
    <row r="678" spans="19:55">
      <c r="S678" s="454"/>
      <c r="AN678" s="454"/>
      <c r="AY678" s="454"/>
      <c r="AZ678" s="454"/>
      <c r="BA678" s="1306"/>
      <c r="BC678" s="169"/>
    </row>
    <row r="679" spans="19:55">
      <c r="S679" s="454"/>
      <c r="AN679" s="454"/>
      <c r="AY679" s="454"/>
      <c r="AZ679" s="454"/>
      <c r="BA679" s="1306"/>
      <c r="BC679" s="169"/>
    </row>
    <row r="680" spans="19:55">
      <c r="S680" s="454"/>
      <c r="AN680" s="454"/>
      <c r="AY680" s="454"/>
      <c r="AZ680" s="454"/>
      <c r="BA680" s="1306"/>
      <c r="BC680" s="169"/>
    </row>
    <row r="681" spans="19:55">
      <c r="S681" s="454"/>
      <c r="AN681" s="454"/>
      <c r="AY681" s="454"/>
      <c r="AZ681" s="454"/>
      <c r="BA681" s="1306"/>
      <c r="BC681" s="169"/>
    </row>
    <row r="682" spans="19:55">
      <c r="S682" s="454"/>
      <c r="AN682" s="454"/>
      <c r="AY682" s="454"/>
      <c r="AZ682" s="454"/>
      <c r="BA682" s="1306"/>
      <c r="BC682" s="169"/>
    </row>
    <row r="683" spans="19:55">
      <c r="S683" s="454"/>
      <c r="AN683" s="454"/>
      <c r="AY683" s="454"/>
      <c r="AZ683" s="454"/>
      <c r="BA683" s="1306"/>
      <c r="BC683" s="169"/>
    </row>
    <row r="684" spans="19:55">
      <c r="S684" s="454"/>
      <c r="AN684" s="454"/>
      <c r="AY684" s="454"/>
      <c r="AZ684" s="454"/>
      <c r="BA684" s="1306"/>
      <c r="BC684" s="169"/>
    </row>
    <row r="685" spans="19:55">
      <c r="S685" s="454"/>
      <c r="AN685" s="454"/>
      <c r="AY685" s="454"/>
      <c r="AZ685" s="454"/>
      <c r="BA685" s="1306"/>
      <c r="BC685" s="169"/>
    </row>
    <row r="686" spans="19:55">
      <c r="S686" s="454"/>
      <c r="AN686" s="454"/>
      <c r="AY686" s="454"/>
      <c r="AZ686" s="454"/>
      <c r="BA686" s="1306"/>
      <c r="BC686" s="169"/>
    </row>
    <row r="687" spans="19:55">
      <c r="S687" s="454"/>
      <c r="AN687" s="454"/>
      <c r="AY687" s="454"/>
      <c r="AZ687" s="454"/>
      <c r="BA687" s="1306"/>
      <c r="BC687" s="169"/>
    </row>
    <row r="688" spans="19:55">
      <c r="S688" s="454"/>
      <c r="AN688" s="454"/>
      <c r="AY688" s="454"/>
      <c r="AZ688" s="454"/>
      <c r="BA688" s="1306"/>
      <c r="BC688" s="169"/>
    </row>
    <row r="689" spans="19:55">
      <c r="S689" s="454"/>
      <c r="AN689" s="454"/>
      <c r="AY689" s="454"/>
      <c r="AZ689" s="454"/>
      <c r="BA689" s="1306"/>
      <c r="BC689" s="169"/>
    </row>
    <row r="690" spans="19:55">
      <c r="S690" s="454"/>
      <c r="AN690" s="454"/>
      <c r="AY690" s="454"/>
      <c r="AZ690" s="454"/>
      <c r="BA690" s="1306"/>
      <c r="BC690" s="169"/>
    </row>
    <row r="691" spans="19:55">
      <c r="S691" s="454"/>
      <c r="AN691" s="454"/>
      <c r="AY691" s="454"/>
      <c r="AZ691" s="454"/>
      <c r="BA691" s="1306"/>
      <c r="BC691" s="169"/>
    </row>
    <row r="692" spans="19:55">
      <c r="S692" s="454"/>
      <c r="AN692" s="454"/>
      <c r="AY692" s="454"/>
      <c r="AZ692" s="454"/>
      <c r="BA692" s="1306"/>
      <c r="BC692" s="169"/>
    </row>
    <row r="693" spans="19:55">
      <c r="S693" s="454"/>
      <c r="AN693" s="454"/>
      <c r="AY693" s="454"/>
      <c r="AZ693" s="454"/>
      <c r="BA693" s="1306"/>
      <c r="BC693" s="169"/>
    </row>
    <row r="694" spans="19:55">
      <c r="S694" s="454"/>
      <c r="AN694" s="454"/>
      <c r="AY694" s="454"/>
      <c r="AZ694" s="454"/>
      <c r="BA694" s="1306"/>
      <c r="BC694" s="169"/>
    </row>
    <row r="695" spans="19:55">
      <c r="S695" s="454"/>
      <c r="AN695" s="454"/>
      <c r="AY695" s="454"/>
      <c r="AZ695" s="454"/>
      <c r="BA695" s="1306"/>
      <c r="BC695" s="169"/>
    </row>
    <row r="696" spans="19:55">
      <c r="S696" s="454"/>
      <c r="AN696" s="454"/>
      <c r="AY696" s="454"/>
      <c r="AZ696" s="454"/>
      <c r="BA696" s="1306"/>
      <c r="BC696" s="169"/>
    </row>
    <row r="697" spans="19:55">
      <c r="S697" s="454"/>
      <c r="AN697" s="454"/>
      <c r="AY697" s="454"/>
      <c r="AZ697" s="454"/>
      <c r="BA697" s="1306"/>
      <c r="BC697" s="169"/>
    </row>
    <row r="698" spans="19:55">
      <c r="S698" s="454"/>
      <c r="AN698" s="454"/>
      <c r="AY698" s="454"/>
      <c r="AZ698" s="454"/>
      <c r="BA698" s="1306"/>
      <c r="BC698" s="169"/>
    </row>
    <row r="699" spans="19:55">
      <c r="S699" s="454"/>
      <c r="AN699" s="454"/>
      <c r="AY699" s="454"/>
      <c r="AZ699" s="454"/>
      <c r="BA699" s="1306"/>
      <c r="BC699" s="169"/>
    </row>
    <row r="700" spans="19:55">
      <c r="S700" s="454"/>
      <c r="AN700" s="454"/>
      <c r="AY700" s="454"/>
      <c r="AZ700" s="454"/>
      <c r="BA700" s="1306"/>
      <c r="BC700" s="169"/>
    </row>
    <row r="701" spans="19:55">
      <c r="S701" s="454"/>
      <c r="AN701" s="454"/>
      <c r="AY701" s="454"/>
      <c r="AZ701" s="454"/>
      <c r="BA701" s="1306"/>
      <c r="BC701" s="169"/>
    </row>
    <row r="702" spans="19:55">
      <c r="S702" s="454"/>
      <c r="AN702" s="454"/>
      <c r="AY702" s="454"/>
      <c r="AZ702" s="454"/>
      <c r="BA702" s="1306"/>
      <c r="BC702" s="169"/>
    </row>
    <row r="703" spans="19:55">
      <c r="S703" s="454"/>
      <c r="AN703" s="454"/>
      <c r="AY703" s="454"/>
      <c r="AZ703" s="454"/>
      <c r="BA703" s="1306"/>
      <c r="BC703" s="169"/>
    </row>
    <row r="704" spans="19:55">
      <c r="S704" s="454"/>
      <c r="AN704" s="454"/>
      <c r="AY704" s="454"/>
      <c r="AZ704" s="454"/>
      <c r="BA704" s="1306"/>
      <c r="BC704" s="169"/>
    </row>
    <row r="705" spans="19:55">
      <c r="S705" s="454"/>
      <c r="AN705" s="454"/>
      <c r="AY705" s="454"/>
      <c r="AZ705" s="454"/>
      <c r="BA705" s="1306"/>
      <c r="BC705" s="169"/>
    </row>
    <row r="706" spans="19:55">
      <c r="S706" s="454"/>
      <c r="AN706" s="454"/>
      <c r="AY706" s="454"/>
      <c r="AZ706" s="454"/>
      <c r="BA706" s="1306"/>
      <c r="BC706" s="169"/>
    </row>
    <row r="707" spans="19:55">
      <c r="S707" s="454"/>
      <c r="AN707" s="454"/>
      <c r="AY707" s="454"/>
      <c r="AZ707" s="454"/>
      <c r="BA707" s="1306"/>
      <c r="BC707" s="169"/>
    </row>
    <row r="708" spans="19:55">
      <c r="S708" s="454"/>
      <c r="AN708" s="454"/>
      <c r="AY708" s="454"/>
      <c r="AZ708" s="454"/>
      <c r="BA708" s="1306"/>
      <c r="BC708" s="169"/>
    </row>
    <row r="709" spans="19:55">
      <c r="S709" s="454"/>
      <c r="AN709" s="454"/>
      <c r="AY709" s="454"/>
      <c r="AZ709" s="454"/>
      <c r="BA709" s="1306"/>
      <c r="BC709" s="169"/>
    </row>
    <row r="710" spans="19:55">
      <c r="S710" s="454"/>
      <c r="AN710" s="454"/>
      <c r="AY710" s="454"/>
      <c r="AZ710" s="454"/>
      <c r="BA710" s="1306"/>
      <c r="BC710" s="169"/>
    </row>
    <row r="711" spans="19:55">
      <c r="S711" s="454"/>
      <c r="AN711" s="454"/>
      <c r="AY711" s="454"/>
      <c r="AZ711" s="454"/>
      <c r="BA711" s="1306"/>
      <c r="BC711" s="169"/>
    </row>
    <row r="712" spans="19:55">
      <c r="S712" s="454"/>
      <c r="AN712" s="454"/>
      <c r="AY712" s="454"/>
      <c r="AZ712" s="454"/>
      <c r="BA712" s="1306"/>
      <c r="BC712" s="169"/>
    </row>
    <row r="713" spans="19:55">
      <c r="S713" s="454"/>
      <c r="AN713" s="454"/>
      <c r="AY713" s="454"/>
      <c r="AZ713" s="454"/>
      <c r="BA713" s="1306"/>
      <c r="BC713" s="169"/>
    </row>
    <row r="714" spans="19:55">
      <c r="S714" s="454"/>
      <c r="AN714" s="454"/>
      <c r="AY714" s="454"/>
      <c r="AZ714" s="454"/>
      <c r="BA714" s="1306"/>
      <c r="BC714" s="169"/>
    </row>
    <row r="715" spans="19:55">
      <c r="S715" s="454"/>
      <c r="AN715" s="454"/>
      <c r="AY715" s="454"/>
      <c r="AZ715" s="454"/>
      <c r="BA715" s="1306"/>
      <c r="BC715" s="169"/>
    </row>
    <row r="716" spans="19:55">
      <c r="S716" s="454"/>
      <c r="AN716" s="454"/>
      <c r="AY716" s="454"/>
      <c r="AZ716" s="454"/>
      <c r="BA716" s="1306"/>
      <c r="BC716" s="169"/>
    </row>
    <row r="717" spans="19:55">
      <c r="S717" s="454"/>
      <c r="AN717" s="454"/>
      <c r="AY717" s="454"/>
      <c r="AZ717" s="454"/>
      <c r="BA717" s="1306"/>
      <c r="BC717" s="169"/>
    </row>
    <row r="718" spans="19:55">
      <c r="S718" s="454"/>
      <c r="AN718" s="454"/>
      <c r="AY718" s="454"/>
      <c r="AZ718" s="454"/>
      <c r="BA718" s="1306"/>
      <c r="BC718" s="169"/>
    </row>
    <row r="719" spans="19:55">
      <c r="S719" s="454"/>
      <c r="AN719" s="454"/>
      <c r="AY719" s="454"/>
      <c r="AZ719" s="454"/>
      <c r="BA719" s="1306"/>
      <c r="BC719" s="169"/>
    </row>
    <row r="720" spans="19:55">
      <c r="S720" s="454"/>
      <c r="AN720" s="454"/>
      <c r="AY720" s="454"/>
      <c r="AZ720" s="454"/>
      <c r="BA720" s="1306"/>
      <c r="BC720" s="169"/>
    </row>
    <row r="721" spans="19:55">
      <c r="S721" s="454"/>
      <c r="AN721" s="454"/>
      <c r="AY721" s="454"/>
      <c r="AZ721" s="454"/>
      <c r="BA721" s="1306"/>
      <c r="BC721" s="169"/>
    </row>
    <row r="722" spans="19:55">
      <c r="S722" s="454"/>
      <c r="AN722" s="454"/>
      <c r="AY722" s="454"/>
      <c r="AZ722" s="454"/>
      <c r="BA722" s="1306"/>
      <c r="BC722" s="169"/>
    </row>
    <row r="723" spans="19:55">
      <c r="S723" s="454"/>
      <c r="AN723" s="454"/>
      <c r="AY723" s="454"/>
      <c r="AZ723" s="454"/>
      <c r="BA723" s="1306"/>
      <c r="BC723" s="169"/>
    </row>
    <row r="724" spans="19:55">
      <c r="S724" s="454"/>
      <c r="AN724" s="454"/>
      <c r="AY724" s="454"/>
      <c r="AZ724" s="454"/>
      <c r="BA724" s="1306"/>
      <c r="BC724" s="169"/>
    </row>
    <row r="725" spans="19:55">
      <c r="S725" s="454"/>
      <c r="AN725" s="454"/>
      <c r="AY725" s="454"/>
      <c r="AZ725" s="454"/>
      <c r="BA725" s="1306"/>
      <c r="BC725" s="169"/>
    </row>
    <row r="726" spans="19:55">
      <c r="S726" s="454"/>
      <c r="AN726" s="454"/>
      <c r="AY726" s="454"/>
      <c r="AZ726" s="454"/>
      <c r="BA726" s="1306"/>
      <c r="BC726" s="169"/>
    </row>
    <row r="727" spans="19:55">
      <c r="S727" s="454"/>
      <c r="AN727" s="454"/>
      <c r="AY727" s="454"/>
      <c r="AZ727" s="454"/>
      <c r="BA727" s="1306"/>
      <c r="BC727" s="169"/>
    </row>
    <row r="728" spans="19:55">
      <c r="S728" s="454"/>
      <c r="AN728" s="454"/>
      <c r="AY728" s="454"/>
      <c r="AZ728" s="454"/>
      <c r="BA728" s="1306"/>
      <c r="BC728" s="169"/>
    </row>
    <row r="729" spans="19:55">
      <c r="S729" s="454"/>
      <c r="AN729" s="454"/>
      <c r="AY729" s="454"/>
      <c r="AZ729" s="454"/>
      <c r="BA729" s="1306"/>
      <c r="BC729" s="169"/>
    </row>
    <row r="730" spans="19:55">
      <c r="S730" s="454"/>
      <c r="AN730" s="454"/>
      <c r="AY730" s="454"/>
      <c r="AZ730" s="454"/>
      <c r="BA730" s="1306"/>
      <c r="BC730" s="169"/>
    </row>
    <row r="731" spans="19:55">
      <c r="S731" s="454"/>
      <c r="AN731" s="454"/>
      <c r="AY731" s="454"/>
      <c r="AZ731" s="454"/>
      <c r="BA731" s="1306"/>
      <c r="BC731" s="169"/>
    </row>
    <row r="732" spans="19:55">
      <c r="S732" s="454"/>
      <c r="AN732" s="454"/>
      <c r="AY732" s="454"/>
      <c r="AZ732" s="454"/>
      <c r="BA732" s="1306"/>
      <c r="BC732" s="169"/>
    </row>
    <row r="733" spans="19:55">
      <c r="S733" s="454"/>
      <c r="AN733" s="454"/>
      <c r="AY733" s="454"/>
      <c r="AZ733" s="454"/>
      <c r="BA733" s="1306"/>
      <c r="BC733" s="169"/>
    </row>
    <row r="734" spans="19:55">
      <c r="S734" s="454"/>
      <c r="AN734" s="454"/>
      <c r="AY734" s="454"/>
      <c r="AZ734" s="454"/>
      <c r="BA734" s="1306"/>
      <c r="BC734" s="169"/>
    </row>
    <row r="735" spans="19:55">
      <c r="S735" s="454"/>
      <c r="AN735" s="454"/>
      <c r="AY735" s="454"/>
      <c r="AZ735" s="454"/>
      <c r="BA735" s="1306"/>
      <c r="BC735" s="169"/>
    </row>
    <row r="736" spans="19:55">
      <c r="S736" s="454"/>
      <c r="AN736" s="454"/>
      <c r="AY736" s="454"/>
      <c r="AZ736" s="454"/>
      <c r="BA736" s="1306"/>
      <c r="BC736" s="169"/>
    </row>
    <row r="737" spans="19:55">
      <c r="S737" s="454"/>
      <c r="AN737" s="454"/>
      <c r="AY737" s="454"/>
      <c r="AZ737" s="454"/>
      <c r="BA737" s="1306"/>
      <c r="BC737" s="169"/>
    </row>
    <row r="738" spans="19:55">
      <c r="S738" s="454"/>
      <c r="AN738" s="454"/>
      <c r="AY738" s="454"/>
      <c r="AZ738" s="454"/>
      <c r="BA738" s="1306"/>
      <c r="BC738" s="169"/>
    </row>
    <row r="739" spans="19:55">
      <c r="S739" s="454"/>
      <c r="AN739" s="454"/>
      <c r="AY739" s="454"/>
      <c r="AZ739" s="454"/>
      <c r="BA739" s="1306"/>
      <c r="BC739" s="169"/>
    </row>
    <row r="740" spans="19:55">
      <c r="S740" s="454"/>
      <c r="AN740" s="454"/>
      <c r="AY740" s="454"/>
      <c r="AZ740" s="454"/>
      <c r="BA740" s="1306"/>
      <c r="BC740" s="169"/>
    </row>
    <row r="741" spans="19:55">
      <c r="S741" s="454"/>
      <c r="AN741" s="454"/>
      <c r="AY741" s="454"/>
      <c r="AZ741" s="454"/>
      <c r="BA741" s="1306"/>
      <c r="BC741" s="169"/>
    </row>
    <row r="742" spans="19:55">
      <c r="S742" s="454"/>
      <c r="AN742" s="454"/>
      <c r="AY742" s="454"/>
      <c r="AZ742" s="454"/>
      <c r="BA742" s="1306"/>
      <c r="BC742" s="169"/>
    </row>
    <row r="743" spans="19:55">
      <c r="S743" s="454"/>
      <c r="AN743" s="454"/>
      <c r="AY743" s="454"/>
      <c r="AZ743" s="454"/>
      <c r="BA743" s="1306"/>
      <c r="BC743" s="169"/>
    </row>
    <row r="744" spans="19:55">
      <c r="S744" s="454"/>
      <c r="AN744" s="454"/>
      <c r="AY744" s="454"/>
      <c r="AZ744" s="454"/>
      <c r="BA744" s="1306"/>
      <c r="BC744" s="169"/>
    </row>
    <row r="745" spans="19:55">
      <c r="S745" s="454"/>
      <c r="AN745" s="454"/>
      <c r="AY745" s="454"/>
      <c r="AZ745" s="454"/>
      <c r="BA745" s="1306"/>
      <c r="BC745" s="169"/>
    </row>
    <row r="746" spans="19:55">
      <c r="S746" s="454"/>
      <c r="AN746" s="454"/>
      <c r="AY746" s="454"/>
      <c r="AZ746" s="454"/>
      <c r="BA746" s="1306"/>
      <c r="BC746" s="169"/>
    </row>
    <row r="747" spans="19:55">
      <c r="S747" s="454"/>
      <c r="AN747" s="454"/>
      <c r="AY747" s="454"/>
      <c r="AZ747" s="454"/>
      <c r="BA747" s="1306"/>
      <c r="BC747" s="169"/>
    </row>
    <row r="748" spans="19:55">
      <c r="S748" s="454"/>
      <c r="AN748" s="454"/>
      <c r="AY748" s="454"/>
      <c r="AZ748" s="454"/>
      <c r="BA748" s="1306"/>
      <c r="BC748" s="169"/>
    </row>
    <row r="749" spans="19:55">
      <c r="S749" s="454"/>
      <c r="AN749" s="454"/>
      <c r="AY749" s="454"/>
      <c r="AZ749" s="454"/>
      <c r="BA749" s="1306"/>
      <c r="BC749" s="169"/>
    </row>
    <row r="750" spans="19:55">
      <c r="S750" s="454"/>
      <c r="AN750" s="454"/>
      <c r="AY750" s="454"/>
      <c r="AZ750" s="454"/>
      <c r="BA750" s="1306"/>
      <c r="BC750" s="169"/>
    </row>
    <row r="751" spans="19:55">
      <c r="S751" s="454"/>
      <c r="AN751" s="454"/>
      <c r="AY751" s="454"/>
      <c r="AZ751" s="454"/>
      <c r="BA751" s="1306"/>
      <c r="BC751" s="169"/>
    </row>
    <row r="752" spans="19:55">
      <c r="S752" s="454"/>
      <c r="AN752" s="454"/>
      <c r="AY752" s="454"/>
      <c r="AZ752" s="454"/>
      <c r="BA752" s="1306"/>
      <c r="BC752" s="169"/>
    </row>
    <row r="753" spans="19:55">
      <c r="S753" s="454"/>
      <c r="AN753" s="454"/>
      <c r="AY753" s="454"/>
      <c r="AZ753" s="454"/>
      <c r="BA753" s="1306"/>
      <c r="BC753" s="169"/>
    </row>
    <row r="754" spans="19:55">
      <c r="S754" s="454"/>
      <c r="AN754" s="454"/>
      <c r="AY754" s="454"/>
      <c r="AZ754" s="454"/>
      <c r="BA754" s="1306"/>
      <c r="BC754" s="169"/>
    </row>
    <row r="755" spans="19:55">
      <c r="S755" s="454"/>
      <c r="AN755" s="454"/>
      <c r="AY755" s="454"/>
      <c r="AZ755" s="454"/>
      <c r="BA755" s="1306"/>
      <c r="BC755" s="169"/>
    </row>
    <row r="756" spans="19:55">
      <c r="S756" s="454"/>
      <c r="AN756" s="454"/>
      <c r="AY756" s="454"/>
      <c r="AZ756" s="454"/>
      <c r="BA756" s="1306"/>
      <c r="BC756" s="169"/>
    </row>
    <row r="757" spans="19:55">
      <c r="S757" s="454"/>
      <c r="AN757" s="454"/>
      <c r="AY757" s="454"/>
      <c r="AZ757" s="454"/>
      <c r="BA757" s="1306"/>
      <c r="BC757" s="169"/>
    </row>
    <row r="758" spans="19:55">
      <c r="S758" s="454"/>
      <c r="AN758" s="454"/>
      <c r="AY758" s="454"/>
      <c r="AZ758" s="454"/>
      <c r="BA758" s="1306"/>
      <c r="BC758" s="169"/>
    </row>
    <row r="759" spans="19:55">
      <c r="S759" s="454"/>
      <c r="AN759" s="454"/>
      <c r="AY759" s="454"/>
      <c r="AZ759" s="454"/>
      <c r="BA759" s="1306"/>
      <c r="BC759" s="169"/>
    </row>
    <row r="760" spans="19:55">
      <c r="S760" s="454"/>
      <c r="AN760" s="454"/>
      <c r="AY760" s="454"/>
      <c r="AZ760" s="454"/>
      <c r="BA760" s="1306"/>
      <c r="BC760" s="169"/>
    </row>
    <row r="761" spans="19:55">
      <c r="S761" s="454"/>
      <c r="AN761" s="454"/>
      <c r="AY761" s="454"/>
      <c r="AZ761" s="454"/>
      <c r="BA761" s="1306"/>
      <c r="BC761" s="169"/>
    </row>
    <row r="762" spans="19:55">
      <c r="S762" s="454"/>
      <c r="AN762" s="454"/>
      <c r="AY762" s="454"/>
      <c r="AZ762" s="454"/>
      <c r="BA762" s="1306"/>
      <c r="BC762" s="169"/>
    </row>
    <row r="763" spans="19:55">
      <c r="S763" s="454"/>
      <c r="AN763" s="454"/>
      <c r="AY763" s="454"/>
      <c r="AZ763" s="454"/>
      <c r="BA763" s="1306"/>
      <c r="BC763" s="169"/>
    </row>
    <row r="764" spans="19:55">
      <c r="S764" s="454"/>
      <c r="AN764" s="454"/>
      <c r="AY764" s="454"/>
      <c r="AZ764" s="454"/>
      <c r="BA764" s="1306"/>
      <c r="BC764" s="169"/>
    </row>
    <row r="765" spans="19:55">
      <c r="S765" s="454"/>
      <c r="AN765" s="454"/>
      <c r="AY765" s="454"/>
      <c r="AZ765" s="454"/>
      <c r="BA765" s="1306"/>
      <c r="BC765" s="169"/>
    </row>
    <row r="766" spans="19:55">
      <c r="S766" s="454"/>
      <c r="AN766" s="454"/>
      <c r="AY766" s="454"/>
      <c r="AZ766" s="454"/>
      <c r="BA766" s="1306"/>
      <c r="BC766" s="169"/>
    </row>
    <row r="767" spans="19:55">
      <c r="S767" s="454"/>
      <c r="AN767" s="454"/>
      <c r="AY767" s="454"/>
      <c r="AZ767" s="454"/>
      <c r="BA767" s="1306"/>
      <c r="BC767" s="169"/>
    </row>
    <row r="768" spans="19:55">
      <c r="S768" s="454"/>
      <c r="AN768" s="454"/>
      <c r="AY768" s="454"/>
      <c r="AZ768" s="454"/>
      <c r="BA768" s="1306"/>
      <c r="BC768" s="169"/>
    </row>
    <row r="769" spans="19:55">
      <c r="S769" s="454"/>
      <c r="AN769" s="454"/>
      <c r="AY769" s="454"/>
      <c r="AZ769" s="454"/>
      <c r="BA769" s="1306"/>
      <c r="BC769" s="169"/>
    </row>
    <row r="770" spans="19:55">
      <c r="S770" s="454"/>
      <c r="AN770" s="454"/>
      <c r="AY770" s="454"/>
      <c r="AZ770" s="454"/>
      <c r="BA770" s="1306"/>
      <c r="BC770" s="169"/>
    </row>
    <row r="771" spans="19:55">
      <c r="S771" s="454"/>
      <c r="AN771" s="454"/>
      <c r="AY771" s="454"/>
      <c r="AZ771" s="454"/>
      <c r="BA771" s="1306"/>
      <c r="BC771" s="169"/>
    </row>
    <row r="772" spans="19:55">
      <c r="S772" s="454"/>
      <c r="AN772" s="454"/>
      <c r="AY772" s="454"/>
      <c r="AZ772" s="454"/>
      <c r="BA772" s="1306"/>
      <c r="BC772" s="169"/>
    </row>
    <row r="773" spans="19:55">
      <c r="S773" s="454"/>
      <c r="AN773" s="454"/>
      <c r="AY773" s="454"/>
      <c r="AZ773" s="454"/>
      <c r="BA773" s="1306"/>
      <c r="BC773" s="169"/>
    </row>
    <row r="774" spans="19:55">
      <c r="S774" s="454"/>
      <c r="AN774" s="454"/>
      <c r="AY774" s="454"/>
      <c r="AZ774" s="454"/>
      <c r="BA774" s="1306"/>
      <c r="BC774" s="169"/>
    </row>
    <row r="775" spans="19:55">
      <c r="S775" s="454"/>
      <c r="AN775" s="454"/>
      <c r="AY775" s="454"/>
      <c r="AZ775" s="454"/>
      <c r="BA775" s="1306"/>
      <c r="BC775" s="169"/>
    </row>
    <row r="776" spans="19:55">
      <c r="S776" s="454"/>
      <c r="AN776" s="454"/>
      <c r="AY776" s="454"/>
      <c r="AZ776" s="454"/>
      <c r="BA776" s="1306"/>
      <c r="BC776" s="169"/>
    </row>
    <row r="777" spans="19:55">
      <c r="S777" s="454"/>
      <c r="AN777" s="454"/>
      <c r="AY777" s="454"/>
      <c r="AZ777" s="454"/>
      <c r="BA777" s="1306"/>
      <c r="BC777" s="169"/>
    </row>
    <row r="778" spans="19:55">
      <c r="S778" s="454"/>
      <c r="AN778" s="454"/>
      <c r="AY778" s="454"/>
      <c r="AZ778" s="454"/>
      <c r="BA778" s="1306"/>
      <c r="BC778" s="169"/>
    </row>
    <row r="779" spans="19:55">
      <c r="S779" s="454"/>
      <c r="AN779" s="454"/>
      <c r="AY779" s="454"/>
      <c r="AZ779" s="454"/>
      <c r="BA779" s="1306"/>
      <c r="BC779" s="169"/>
    </row>
    <row r="780" spans="19:55">
      <c r="S780" s="454"/>
      <c r="AN780" s="454"/>
      <c r="AY780" s="454"/>
      <c r="AZ780" s="454"/>
      <c r="BA780" s="1306"/>
      <c r="BC780" s="169"/>
    </row>
    <row r="781" spans="19:55">
      <c r="S781" s="454"/>
      <c r="AN781" s="454"/>
      <c r="AY781" s="454"/>
      <c r="AZ781" s="454"/>
      <c r="BA781" s="1306"/>
      <c r="BC781" s="169"/>
    </row>
    <row r="782" spans="19:55">
      <c r="S782" s="454"/>
      <c r="AN782" s="454"/>
      <c r="AY782" s="454"/>
      <c r="AZ782" s="454"/>
      <c r="BA782" s="1306"/>
      <c r="BC782" s="169"/>
    </row>
    <row r="783" spans="19:55">
      <c r="S783" s="454"/>
      <c r="AN783" s="454"/>
      <c r="AY783" s="454"/>
      <c r="AZ783" s="454"/>
      <c r="BA783" s="1306"/>
      <c r="BC783" s="169"/>
    </row>
    <row r="784" spans="19:55">
      <c r="S784" s="454"/>
      <c r="AN784" s="454"/>
      <c r="AY784" s="454"/>
      <c r="AZ784" s="454"/>
      <c r="BA784" s="1306"/>
      <c r="BC784" s="169"/>
    </row>
    <row r="785" spans="19:55">
      <c r="S785" s="454"/>
      <c r="AN785" s="454"/>
      <c r="AY785" s="454"/>
      <c r="AZ785" s="454"/>
      <c r="BA785" s="1306"/>
      <c r="BC785" s="169"/>
    </row>
    <row r="786" spans="19:55">
      <c r="S786" s="454"/>
      <c r="AN786" s="454"/>
      <c r="AY786" s="454"/>
      <c r="AZ786" s="454"/>
      <c r="BA786" s="1306"/>
      <c r="BC786" s="169"/>
    </row>
    <row r="787" spans="19:55">
      <c r="S787" s="454"/>
      <c r="AN787" s="454"/>
      <c r="AY787" s="454"/>
      <c r="AZ787" s="454"/>
      <c r="BA787" s="1306"/>
      <c r="BC787" s="169"/>
    </row>
    <row r="788" spans="19:55">
      <c r="S788" s="454"/>
      <c r="AN788" s="454"/>
      <c r="AY788" s="454"/>
      <c r="AZ788" s="454"/>
      <c r="BA788" s="1306"/>
      <c r="BC788" s="169"/>
    </row>
    <row r="789" spans="19:55">
      <c r="S789" s="454"/>
      <c r="AN789" s="454"/>
      <c r="AY789" s="454"/>
      <c r="AZ789" s="454"/>
      <c r="BA789" s="1306"/>
      <c r="BC789" s="169"/>
    </row>
    <row r="790" spans="19:55">
      <c r="S790" s="454"/>
      <c r="AN790" s="454"/>
      <c r="AY790" s="454"/>
      <c r="AZ790" s="454"/>
      <c r="BA790" s="1306"/>
      <c r="BC790" s="169"/>
    </row>
    <row r="791" spans="19:55">
      <c r="S791" s="454"/>
      <c r="AN791" s="454"/>
      <c r="AY791" s="454"/>
      <c r="AZ791" s="454"/>
      <c r="BA791" s="1306"/>
      <c r="BC791" s="169"/>
    </row>
    <row r="792" spans="19:55">
      <c r="S792" s="454"/>
      <c r="AN792" s="454"/>
      <c r="AY792" s="454"/>
      <c r="AZ792" s="454"/>
      <c r="BA792" s="1306"/>
      <c r="BC792" s="169"/>
    </row>
    <row r="793" spans="19:55">
      <c r="S793" s="454"/>
      <c r="AN793" s="454"/>
      <c r="AY793" s="454"/>
      <c r="AZ793" s="454"/>
      <c r="BA793" s="1306"/>
      <c r="BC793" s="169"/>
    </row>
    <row r="794" spans="19:55">
      <c r="S794" s="454"/>
      <c r="AN794" s="454"/>
      <c r="AY794" s="454"/>
      <c r="AZ794" s="454"/>
      <c r="BA794" s="1306"/>
      <c r="BC794" s="169"/>
    </row>
    <row r="795" spans="19:55">
      <c r="S795" s="454"/>
      <c r="AN795" s="454"/>
      <c r="AY795" s="454"/>
      <c r="AZ795" s="454"/>
      <c r="BA795" s="1306"/>
      <c r="BC795" s="169"/>
    </row>
    <row r="796" spans="19:55">
      <c r="S796" s="454"/>
      <c r="AN796" s="454"/>
      <c r="AY796" s="454"/>
      <c r="AZ796" s="454"/>
      <c r="BA796" s="1306"/>
      <c r="BC796" s="169"/>
    </row>
    <row r="797" spans="19:55">
      <c r="S797" s="454"/>
      <c r="AN797" s="454"/>
      <c r="AY797" s="454"/>
      <c r="AZ797" s="454"/>
      <c r="BA797" s="1306"/>
      <c r="BC797" s="169"/>
    </row>
    <row r="798" spans="19:55">
      <c r="S798" s="454"/>
      <c r="AN798" s="454"/>
      <c r="AY798" s="454"/>
      <c r="AZ798" s="454"/>
      <c r="BA798" s="1306"/>
      <c r="BC798" s="169"/>
    </row>
    <row r="799" spans="19:55">
      <c r="S799" s="454"/>
      <c r="AN799" s="454"/>
      <c r="AY799" s="454"/>
      <c r="AZ799" s="454"/>
      <c r="BA799" s="1306"/>
      <c r="BC799" s="169"/>
    </row>
    <row r="800" spans="19:55">
      <c r="S800" s="454"/>
      <c r="AN800" s="454"/>
      <c r="AY800" s="454"/>
      <c r="AZ800" s="454"/>
      <c r="BA800" s="1306"/>
      <c r="BC800" s="169"/>
    </row>
    <row r="801" spans="19:55">
      <c r="S801" s="454"/>
      <c r="AN801" s="454"/>
      <c r="AY801" s="454"/>
      <c r="AZ801" s="454"/>
      <c r="BA801" s="1306"/>
      <c r="BC801" s="169"/>
    </row>
    <row r="802" spans="19:55">
      <c r="S802" s="454"/>
      <c r="AN802" s="454"/>
      <c r="AY802" s="454"/>
      <c r="AZ802" s="454"/>
      <c r="BA802" s="1306"/>
      <c r="BC802" s="169"/>
    </row>
    <row r="803" spans="19:55">
      <c r="S803" s="454"/>
      <c r="AN803" s="454"/>
      <c r="AY803" s="454"/>
      <c r="AZ803" s="454"/>
      <c r="BA803" s="1306"/>
      <c r="BC803" s="169"/>
    </row>
    <row r="804" spans="19:55">
      <c r="S804" s="454"/>
      <c r="AN804" s="454"/>
      <c r="AY804" s="454"/>
      <c r="AZ804" s="454"/>
      <c r="BA804" s="1306"/>
      <c r="BC804" s="169"/>
    </row>
    <row r="805" spans="19:55">
      <c r="S805" s="454"/>
      <c r="AN805" s="454"/>
      <c r="AY805" s="454"/>
      <c r="AZ805" s="454"/>
      <c r="BA805" s="1306"/>
      <c r="BC805" s="169"/>
    </row>
    <row r="806" spans="19:55">
      <c r="S806" s="454"/>
      <c r="AN806" s="454"/>
      <c r="AY806" s="454"/>
      <c r="AZ806" s="454"/>
      <c r="BA806" s="1306"/>
      <c r="BC806" s="169"/>
    </row>
    <row r="807" spans="19:55">
      <c r="S807" s="454"/>
      <c r="AN807" s="454"/>
      <c r="AY807" s="454"/>
      <c r="AZ807" s="454"/>
      <c r="BA807" s="1306"/>
      <c r="BC807" s="169"/>
    </row>
    <row r="808" spans="19:55">
      <c r="S808" s="454"/>
      <c r="AN808" s="454"/>
      <c r="AY808" s="454"/>
      <c r="AZ808" s="454"/>
      <c r="BA808" s="1306"/>
      <c r="BC808" s="169"/>
    </row>
    <row r="809" spans="19:55">
      <c r="S809" s="454"/>
      <c r="AN809" s="454"/>
      <c r="AY809" s="454"/>
      <c r="AZ809" s="454"/>
      <c r="BA809" s="1306"/>
      <c r="BC809" s="169"/>
    </row>
    <row r="810" spans="19:55">
      <c r="S810" s="454"/>
      <c r="AN810" s="454"/>
      <c r="AY810" s="454"/>
      <c r="AZ810" s="454"/>
      <c r="BA810" s="1306"/>
      <c r="BC810" s="169"/>
    </row>
    <row r="811" spans="19:55">
      <c r="S811" s="454"/>
      <c r="AN811" s="454"/>
      <c r="AY811" s="454"/>
      <c r="AZ811" s="454"/>
      <c r="BA811" s="1306"/>
      <c r="BC811" s="169"/>
    </row>
    <row r="812" spans="19:55">
      <c r="S812" s="454"/>
      <c r="AN812" s="454"/>
      <c r="AY812" s="454"/>
      <c r="AZ812" s="454"/>
      <c r="BA812" s="1306"/>
      <c r="BC812" s="169"/>
    </row>
    <row r="813" spans="19:55">
      <c r="S813" s="454"/>
      <c r="AN813" s="454"/>
      <c r="AY813" s="454"/>
      <c r="AZ813" s="454"/>
      <c r="BA813" s="1306"/>
      <c r="BC813" s="169"/>
    </row>
    <row r="814" spans="19:55">
      <c r="S814" s="454"/>
      <c r="AN814" s="454"/>
      <c r="AY814" s="454"/>
      <c r="AZ814" s="454"/>
      <c r="BA814" s="1306"/>
      <c r="BC814" s="169"/>
    </row>
    <row r="815" spans="19:55">
      <c r="S815" s="454"/>
      <c r="AN815" s="454"/>
      <c r="AY815" s="454"/>
      <c r="AZ815" s="454"/>
      <c r="BA815" s="1306"/>
      <c r="BC815" s="169"/>
    </row>
    <row r="816" spans="19:55">
      <c r="S816" s="454"/>
      <c r="AN816" s="454"/>
      <c r="AY816" s="454"/>
      <c r="AZ816" s="454"/>
      <c r="BA816" s="1306"/>
      <c r="BC816" s="169"/>
    </row>
    <row r="817" spans="19:55">
      <c r="S817" s="454"/>
      <c r="AN817" s="454"/>
      <c r="AY817" s="454"/>
      <c r="AZ817" s="454"/>
      <c r="BA817" s="1306"/>
      <c r="BC817" s="169"/>
    </row>
    <row r="818" spans="19:55">
      <c r="S818" s="454"/>
      <c r="AN818" s="454"/>
      <c r="AY818" s="454"/>
      <c r="AZ818" s="454"/>
      <c r="BA818" s="1306"/>
      <c r="BC818" s="169"/>
    </row>
    <row r="819" spans="19:55">
      <c r="S819" s="454"/>
      <c r="AN819" s="454"/>
      <c r="AY819" s="454"/>
      <c r="AZ819" s="454"/>
      <c r="BA819" s="1306"/>
      <c r="BC819" s="169"/>
    </row>
    <row r="820" spans="19:55">
      <c r="S820" s="454"/>
      <c r="AN820" s="454"/>
      <c r="AY820" s="454"/>
      <c r="AZ820" s="454"/>
      <c r="BA820" s="1306"/>
      <c r="BC820" s="169"/>
    </row>
    <row r="821" spans="19:55">
      <c r="S821" s="454"/>
      <c r="AN821" s="454"/>
      <c r="AY821" s="454"/>
      <c r="AZ821" s="454"/>
      <c r="BA821" s="1306"/>
      <c r="BC821" s="169"/>
    </row>
    <row r="822" spans="19:55">
      <c r="S822" s="454"/>
      <c r="AN822" s="454"/>
      <c r="AY822" s="454"/>
      <c r="AZ822" s="454"/>
      <c r="BA822" s="1306"/>
      <c r="BC822" s="169"/>
    </row>
    <row r="823" spans="19:55">
      <c r="S823" s="454"/>
      <c r="AN823" s="454"/>
      <c r="AY823" s="454"/>
      <c r="AZ823" s="454"/>
      <c r="BA823" s="1306"/>
      <c r="BC823" s="169"/>
    </row>
    <row r="824" spans="19:55">
      <c r="S824" s="454"/>
      <c r="AN824" s="454"/>
      <c r="AY824" s="454"/>
      <c r="AZ824" s="454"/>
      <c r="BA824" s="1306"/>
      <c r="BC824" s="169"/>
    </row>
    <row r="825" spans="19:55">
      <c r="S825" s="454"/>
      <c r="AN825" s="454"/>
      <c r="AY825" s="454"/>
      <c r="AZ825" s="454"/>
      <c r="BA825" s="1306"/>
      <c r="BC825" s="169"/>
    </row>
    <row r="826" spans="19:55">
      <c r="S826" s="454"/>
      <c r="AN826" s="454"/>
      <c r="AY826" s="454"/>
      <c r="AZ826" s="454"/>
      <c r="BA826" s="1306"/>
      <c r="BC826" s="169"/>
    </row>
    <row r="827" spans="19:55">
      <c r="S827" s="454"/>
      <c r="AN827" s="454"/>
      <c r="AY827" s="454"/>
      <c r="AZ827" s="454"/>
      <c r="BA827" s="1306"/>
      <c r="BC827" s="169"/>
    </row>
    <row r="828" spans="19:55">
      <c r="S828" s="454"/>
      <c r="AN828" s="454"/>
      <c r="AY828" s="454"/>
      <c r="AZ828" s="454"/>
      <c r="BA828" s="1306"/>
      <c r="BC828" s="169"/>
    </row>
    <row r="829" spans="19:55">
      <c r="S829" s="454"/>
      <c r="AN829" s="454"/>
      <c r="AY829" s="454"/>
      <c r="AZ829" s="454"/>
      <c r="BA829" s="1306"/>
      <c r="BC829" s="169"/>
    </row>
    <row r="830" spans="19:55">
      <c r="S830" s="454"/>
      <c r="AN830" s="454"/>
      <c r="AY830" s="454"/>
      <c r="AZ830" s="454"/>
      <c r="BA830" s="1306"/>
      <c r="BC830" s="169"/>
    </row>
    <row r="831" spans="19:55">
      <c r="S831" s="454"/>
      <c r="AN831" s="454"/>
      <c r="AY831" s="454"/>
      <c r="AZ831" s="454"/>
      <c r="BA831" s="1306"/>
      <c r="BC831" s="169"/>
    </row>
    <row r="832" spans="19:55">
      <c r="S832" s="454"/>
      <c r="AN832" s="454"/>
      <c r="AY832" s="454"/>
      <c r="AZ832" s="454"/>
      <c r="BA832" s="1306"/>
      <c r="BC832" s="169"/>
    </row>
    <row r="833" spans="19:55">
      <c r="S833" s="454"/>
      <c r="AN833" s="454"/>
      <c r="AY833" s="454"/>
      <c r="AZ833" s="454"/>
      <c r="BA833" s="1306"/>
      <c r="BC833" s="169"/>
    </row>
    <row r="834" spans="19:55">
      <c r="S834" s="454"/>
      <c r="AN834" s="454"/>
      <c r="AY834" s="454"/>
      <c r="AZ834" s="454"/>
      <c r="BA834" s="1306"/>
      <c r="BC834" s="169"/>
    </row>
    <row r="835" spans="19:55">
      <c r="S835" s="454"/>
      <c r="AN835" s="454"/>
      <c r="AY835" s="454"/>
      <c r="AZ835" s="454"/>
      <c r="BA835" s="1306"/>
      <c r="BC835" s="169"/>
    </row>
    <row r="836" spans="19:55">
      <c r="S836" s="454"/>
      <c r="AN836" s="454"/>
      <c r="AY836" s="454"/>
      <c r="AZ836" s="454"/>
      <c r="BA836" s="1306"/>
      <c r="BC836" s="169"/>
    </row>
    <row r="837" spans="19:55">
      <c r="S837" s="454"/>
      <c r="AN837" s="454"/>
      <c r="AY837" s="454"/>
      <c r="AZ837" s="454"/>
      <c r="BA837" s="1306"/>
      <c r="BC837" s="169"/>
    </row>
    <row r="838" spans="19:55">
      <c r="S838" s="454"/>
      <c r="AN838" s="454"/>
      <c r="AY838" s="454"/>
      <c r="AZ838" s="454"/>
      <c r="BA838" s="1306"/>
      <c r="BC838" s="169"/>
    </row>
    <row r="839" spans="19:55">
      <c r="S839" s="454"/>
      <c r="AN839" s="454"/>
      <c r="AY839" s="454"/>
      <c r="AZ839" s="454"/>
      <c r="BA839" s="1306"/>
      <c r="BC839" s="169"/>
    </row>
    <row r="840" spans="19:55">
      <c r="S840" s="454"/>
      <c r="AN840" s="454"/>
      <c r="AY840" s="454"/>
      <c r="AZ840" s="454"/>
      <c r="BA840" s="1306"/>
      <c r="BC840" s="169"/>
    </row>
    <row r="841" spans="19:55">
      <c r="S841" s="454"/>
      <c r="AN841" s="454"/>
      <c r="AY841" s="454"/>
      <c r="AZ841" s="454"/>
      <c r="BA841" s="1306"/>
      <c r="BC841" s="169"/>
    </row>
    <row r="842" spans="19:55">
      <c r="S842" s="454"/>
      <c r="AN842" s="454"/>
      <c r="AY842" s="454"/>
      <c r="AZ842" s="454"/>
      <c r="BA842" s="1306"/>
      <c r="BC842" s="169"/>
    </row>
    <row r="843" spans="19:55">
      <c r="S843" s="454"/>
      <c r="AN843" s="454"/>
      <c r="AY843" s="454"/>
      <c r="AZ843" s="454"/>
      <c r="BA843" s="1306"/>
      <c r="BC843" s="169"/>
    </row>
    <row r="844" spans="19:55">
      <c r="S844" s="454"/>
      <c r="AN844" s="454"/>
      <c r="AY844" s="454"/>
      <c r="AZ844" s="454"/>
      <c r="BA844" s="1306"/>
      <c r="BC844" s="169"/>
    </row>
    <row r="845" spans="19:55">
      <c r="S845" s="454"/>
      <c r="AN845" s="454"/>
      <c r="AY845" s="454"/>
      <c r="AZ845" s="454"/>
      <c r="BA845" s="1306"/>
      <c r="BC845" s="169"/>
    </row>
    <row r="846" spans="19:55">
      <c r="S846" s="454"/>
      <c r="AN846" s="454"/>
      <c r="AY846" s="454"/>
      <c r="AZ846" s="454"/>
      <c r="BA846" s="1306"/>
      <c r="BC846" s="169"/>
    </row>
    <row r="847" spans="19:55">
      <c r="S847" s="454"/>
      <c r="AN847" s="454"/>
      <c r="AY847" s="454"/>
      <c r="AZ847" s="454"/>
      <c r="BA847" s="1306"/>
      <c r="BC847" s="169"/>
    </row>
    <row r="848" spans="19:55">
      <c r="S848" s="454"/>
      <c r="AN848" s="454"/>
      <c r="AY848" s="454"/>
      <c r="AZ848" s="454"/>
      <c r="BA848" s="1306"/>
      <c r="BC848" s="169"/>
    </row>
    <row r="849" spans="19:55">
      <c r="S849" s="454"/>
      <c r="AN849" s="454"/>
      <c r="AY849" s="454"/>
      <c r="AZ849" s="454"/>
      <c r="BA849" s="1306"/>
      <c r="BC849" s="169"/>
    </row>
    <row r="850" spans="19:55">
      <c r="S850" s="454"/>
      <c r="AN850" s="454"/>
      <c r="AY850" s="454"/>
      <c r="AZ850" s="454"/>
      <c r="BA850" s="1306"/>
      <c r="BC850" s="169"/>
    </row>
    <row r="851" spans="19:55">
      <c r="S851" s="454"/>
      <c r="AN851" s="454"/>
      <c r="AY851" s="454"/>
      <c r="AZ851" s="454"/>
      <c r="BA851" s="1306"/>
      <c r="BC851" s="169"/>
    </row>
    <row r="852" spans="19:55">
      <c r="S852" s="454"/>
      <c r="AN852" s="454"/>
      <c r="AY852" s="454"/>
      <c r="AZ852" s="454"/>
      <c r="BA852" s="1306"/>
      <c r="BC852" s="169"/>
    </row>
    <row r="853" spans="19:55">
      <c r="S853" s="454"/>
      <c r="AN853" s="454"/>
      <c r="AY853" s="454"/>
      <c r="AZ853" s="454"/>
      <c r="BA853" s="1306"/>
      <c r="BC853" s="169"/>
    </row>
    <row r="854" spans="19:55">
      <c r="S854" s="454"/>
      <c r="AN854" s="454"/>
      <c r="AY854" s="454"/>
      <c r="AZ854" s="454"/>
      <c r="BA854" s="1306"/>
      <c r="BC854" s="169"/>
    </row>
    <row r="855" spans="19:55">
      <c r="S855" s="454"/>
      <c r="AN855" s="454"/>
      <c r="AY855" s="454"/>
      <c r="AZ855" s="454"/>
      <c r="BA855" s="1306"/>
      <c r="BC855" s="169"/>
    </row>
    <row r="856" spans="19:55">
      <c r="S856" s="454"/>
      <c r="AN856" s="454"/>
      <c r="AY856" s="454"/>
      <c r="AZ856" s="454"/>
      <c r="BA856" s="1306"/>
      <c r="BC856" s="169"/>
    </row>
    <row r="857" spans="19:55">
      <c r="S857" s="454"/>
      <c r="AN857" s="454"/>
      <c r="AY857" s="454"/>
      <c r="AZ857" s="454"/>
      <c r="BA857" s="1306"/>
      <c r="BC857" s="169"/>
    </row>
    <row r="858" spans="19:55">
      <c r="S858" s="454"/>
      <c r="AN858" s="454"/>
      <c r="AY858" s="454"/>
      <c r="AZ858" s="454"/>
      <c r="BA858" s="1306"/>
      <c r="BC858" s="169"/>
    </row>
    <row r="859" spans="19:55">
      <c r="S859" s="454"/>
      <c r="AN859" s="454"/>
      <c r="AY859" s="454"/>
      <c r="AZ859" s="454"/>
      <c r="BA859" s="1306"/>
      <c r="BC859" s="169"/>
    </row>
    <row r="860" spans="19:55">
      <c r="S860" s="454"/>
      <c r="AN860" s="454"/>
      <c r="AY860" s="454"/>
      <c r="AZ860" s="454"/>
      <c r="BA860" s="1306"/>
      <c r="BC860" s="169"/>
    </row>
    <row r="861" spans="19:55">
      <c r="S861" s="454"/>
      <c r="AN861" s="454"/>
      <c r="AY861" s="454"/>
      <c r="AZ861" s="454"/>
      <c r="BA861" s="1306"/>
      <c r="BC861" s="169"/>
    </row>
    <row r="862" spans="19:55">
      <c r="S862" s="454"/>
      <c r="AN862" s="454"/>
      <c r="AY862" s="454"/>
      <c r="AZ862" s="454"/>
      <c r="BA862" s="1306"/>
      <c r="BC862" s="169"/>
    </row>
    <row r="863" spans="19:55">
      <c r="S863" s="454"/>
      <c r="AN863" s="454"/>
      <c r="AY863" s="454"/>
      <c r="AZ863" s="454"/>
      <c r="BA863" s="1306"/>
      <c r="BC863" s="169"/>
    </row>
    <row r="864" spans="19:55">
      <c r="S864" s="454"/>
      <c r="AN864" s="454"/>
      <c r="AY864" s="454"/>
      <c r="AZ864" s="454"/>
      <c r="BA864" s="1306"/>
      <c r="BC864" s="169"/>
    </row>
    <row r="865" spans="19:55">
      <c r="S865" s="454"/>
      <c r="AN865" s="454"/>
      <c r="AY865" s="454"/>
      <c r="AZ865" s="454"/>
      <c r="BA865" s="1306"/>
      <c r="BC865" s="169"/>
    </row>
    <row r="866" spans="19:55">
      <c r="S866" s="454"/>
      <c r="AN866" s="454"/>
      <c r="AY866" s="454"/>
      <c r="AZ866" s="454"/>
      <c r="BA866" s="1306"/>
      <c r="BC866" s="169"/>
    </row>
    <row r="867" spans="19:55">
      <c r="S867" s="454"/>
      <c r="AN867" s="454"/>
      <c r="AY867" s="454"/>
      <c r="AZ867" s="454"/>
      <c r="BA867" s="1306"/>
      <c r="BC867" s="169"/>
    </row>
    <row r="868" spans="19:55">
      <c r="S868" s="454"/>
      <c r="AN868" s="454"/>
      <c r="AY868" s="454"/>
      <c r="AZ868" s="454"/>
      <c r="BA868" s="1306"/>
      <c r="BC868" s="169"/>
    </row>
    <row r="869" spans="19:55">
      <c r="S869" s="454"/>
      <c r="AN869" s="454"/>
      <c r="AY869" s="454"/>
      <c r="AZ869" s="454"/>
      <c r="BA869" s="1306"/>
      <c r="BC869" s="169"/>
    </row>
    <row r="870" spans="19:55">
      <c r="S870" s="454"/>
      <c r="AN870" s="454"/>
      <c r="AY870" s="454"/>
      <c r="AZ870" s="454"/>
      <c r="BA870" s="1306"/>
      <c r="BC870" s="169"/>
    </row>
    <row r="871" spans="19:55">
      <c r="S871" s="454"/>
      <c r="AN871" s="454"/>
      <c r="AY871" s="454"/>
      <c r="AZ871" s="454"/>
      <c r="BA871" s="1306"/>
      <c r="BC871" s="169"/>
    </row>
    <row r="872" spans="19:55">
      <c r="S872" s="454"/>
      <c r="AN872" s="454"/>
      <c r="AY872" s="454"/>
      <c r="AZ872" s="454"/>
      <c r="BA872" s="1306"/>
      <c r="BC872" s="169"/>
    </row>
    <row r="873" spans="19:55">
      <c r="S873" s="454"/>
      <c r="AN873" s="454"/>
      <c r="AY873" s="454"/>
      <c r="AZ873" s="454"/>
      <c r="BA873" s="1306"/>
      <c r="BC873" s="169"/>
    </row>
    <row r="874" spans="19:55">
      <c r="S874" s="454"/>
      <c r="AN874" s="454"/>
      <c r="AY874" s="454"/>
      <c r="AZ874" s="454"/>
      <c r="BA874" s="1306"/>
      <c r="BC874" s="169"/>
    </row>
    <row r="875" spans="19:55">
      <c r="S875" s="454"/>
      <c r="AN875" s="454"/>
      <c r="AY875" s="454"/>
      <c r="AZ875" s="454"/>
      <c r="BA875" s="1306"/>
      <c r="BC875" s="169"/>
    </row>
    <row r="876" spans="19:55">
      <c r="S876" s="454"/>
      <c r="AN876" s="454"/>
      <c r="AY876" s="454"/>
      <c r="AZ876" s="454"/>
      <c r="BA876" s="1306"/>
      <c r="BC876" s="169"/>
    </row>
    <row r="877" spans="19:55">
      <c r="S877" s="454"/>
      <c r="AN877" s="454"/>
      <c r="AY877" s="454"/>
      <c r="AZ877" s="454"/>
      <c r="BA877" s="1306"/>
      <c r="BC877" s="169"/>
    </row>
    <row r="878" spans="19:55">
      <c r="S878" s="454"/>
      <c r="AN878" s="454"/>
      <c r="AY878" s="454"/>
      <c r="AZ878" s="454"/>
      <c r="BA878" s="1306"/>
      <c r="BC878" s="169"/>
    </row>
    <row r="879" spans="19:55">
      <c r="S879" s="454"/>
      <c r="AN879" s="454"/>
      <c r="AY879" s="454"/>
      <c r="AZ879" s="454"/>
      <c r="BA879" s="1306"/>
      <c r="BC879" s="169"/>
    </row>
    <row r="880" spans="19:55">
      <c r="S880" s="454"/>
      <c r="AN880" s="454"/>
      <c r="AY880" s="454"/>
      <c r="AZ880" s="454"/>
      <c r="BA880" s="1306"/>
      <c r="BC880" s="169"/>
    </row>
    <row r="881" spans="19:55">
      <c r="S881" s="454"/>
      <c r="AN881" s="454"/>
      <c r="AY881" s="454"/>
      <c r="AZ881" s="454"/>
      <c r="BA881" s="1306"/>
      <c r="BC881" s="169"/>
    </row>
    <row r="882" spans="19:55">
      <c r="S882" s="454"/>
      <c r="AN882" s="454"/>
      <c r="AY882" s="454"/>
      <c r="AZ882" s="454"/>
      <c r="BA882" s="1306"/>
      <c r="BC882" s="169"/>
    </row>
    <row r="883" spans="19:55">
      <c r="S883" s="454"/>
      <c r="AN883" s="454"/>
      <c r="AY883" s="454"/>
      <c r="AZ883" s="454"/>
      <c r="BA883" s="1306"/>
      <c r="BC883" s="169"/>
    </row>
    <row r="884" spans="19:55">
      <c r="S884" s="454"/>
      <c r="AN884" s="454"/>
      <c r="AY884" s="454"/>
      <c r="AZ884" s="454"/>
      <c r="BA884" s="1306"/>
      <c r="BC884" s="169"/>
    </row>
    <row r="885" spans="19:55">
      <c r="S885" s="454"/>
      <c r="AN885" s="454"/>
      <c r="AY885" s="454"/>
      <c r="AZ885" s="454"/>
      <c r="BA885" s="1306"/>
      <c r="BC885" s="169"/>
    </row>
    <row r="886" spans="19:55">
      <c r="S886" s="454"/>
      <c r="AN886" s="454"/>
      <c r="AY886" s="454"/>
      <c r="AZ886" s="454"/>
      <c r="BA886" s="1306"/>
      <c r="BC886" s="169"/>
    </row>
    <row r="887" spans="19:55">
      <c r="S887" s="454"/>
      <c r="AN887" s="454"/>
      <c r="AY887" s="454"/>
      <c r="AZ887" s="454"/>
      <c r="BA887" s="1306"/>
      <c r="BC887" s="169"/>
    </row>
    <row r="888" spans="19:55">
      <c r="S888" s="454"/>
      <c r="AN888" s="454"/>
      <c r="AY888" s="454"/>
      <c r="AZ888" s="454"/>
      <c r="BA888" s="1306"/>
      <c r="BC888" s="169"/>
    </row>
    <row r="889" spans="19:55">
      <c r="S889" s="454"/>
      <c r="AN889" s="454"/>
      <c r="AY889" s="454"/>
      <c r="AZ889" s="454"/>
      <c r="BA889" s="1306"/>
      <c r="BC889" s="169"/>
    </row>
    <row r="890" spans="19:55">
      <c r="S890" s="454"/>
      <c r="AN890" s="454"/>
      <c r="AY890" s="454"/>
      <c r="AZ890" s="454"/>
      <c r="BA890" s="1306"/>
      <c r="BC890" s="169"/>
    </row>
    <row r="891" spans="19:55">
      <c r="S891" s="454"/>
      <c r="AN891" s="454"/>
      <c r="AY891" s="454"/>
      <c r="AZ891" s="454"/>
      <c r="BA891" s="1306"/>
      <c r="BC891" s="169"/>
    </row>
    <row r="892" spans="19:55">
      <c r="S892" s="454"/>
      <c r="AN892" s="454"/>
      <c r="AY892" s="454"/>
      <c r="AZ892" s="454"/>
      <c r="BA892" s="1306"/>
      <c r="BC892" s="169"/>
    </row>
    <row r="893" spans="19:55">
      <c r="S893" s="454"/>
      <c r="AN893" s="454"/>
      <c r="AY893" s="454"/>
      <c r="AZ893" s="454"/>
      <c r="BA893" s="1306"/>
      <c r="BC893" s="169"/>
    </row>
    <row r="894" spans="19:55">
      <c r="S894" s="454"/>
      <c r="AN894" s="454"/>
      <c r="AY894" s="454"/>
      <c r="AZ894" s="454"/>
      <c r="BA894" s="1306"/>
      <c r="BC894" s="169"/>
    </row>
    <row r="895" spans="19:55">
      <c r="S895" s="454"/>
      <c r="AN895" s="454"/>
      <c r="AY895" s="454"/>
      <c r="AZ895" s="454"/>
      <c r="BA895" s="1306"/>
      <c r="BC895" s="169"/>
    </row>
    <row r="896" spans="19:55">
      <c r="S896" s="454"/>
      <c r="AN896" s="454"/>
      <c r="AY896" s="454"/>
      <c r="AZ896" s="454"/>
      <c r="BA896" s="1306"/>
      <c r="BC896" s="169"/>
    </row>
    <row r="897" spans="19:55">
      <c r="S897" s="454"/>
      <c r="AN897" s="454"/>
      <c r="AY897" s="454"/>
      <c r="AZ897" s="454"/>
      <c r="BA897" s="1306"/>
      <c r="BC897" s="169"/>
    </row>
    <row r="898" spans="19:55">
      <c r="S898" s="454"/>
      <c r="AN898" s="454"/>
      <c r="AY898" s="454"/>
      <c r="AZ898" s="454"/>
      <c r="BA898" s="1306"/>
      <c r="BC898" s="169"/>
    </row>
    <row r="899" spans="19:55">
      <c r="S899" s="454"/>
      <c r="AN899" s="454"/>
      <c r="AY899" s="454"/>
      <c r="AZ899" s="454"/>
      <c r="BA899" s="1306"/>
      <c r="BC899" s="169"/>
    </row>
    <row r="900" spans="19:55">
      <c r="S900" s="454"/>
      <c r="AN900" s="454"/>
      <c r="AY900" s="454"/>
      <c r="AZ900" s="454"/>
      <c r="BA900" s="1306"/>
      <c r="BC900" s="169"/>
    </row>
    <row r="901" spans="19:55">
      <c r="S901" s="454"/>
      <c r="AN901" s="454"/>
      <c r="AY901" s="454"/>
      <c r="AZ901" s="454"/>
      <c r="BA901" s="1306"/>
      <c r="BC901" s="169"/>
    </row>
    <row r="902" spans="19:55">
      <c r="S902" s="454"/>
      <c r="AN902" s="454"/>
      <c r="AY902" s="454"/>
      <c r="AZ902" s="454"/>
      <c r="BA902" s="1306"/>
      <c r="BC902" s="169"/>
    </row>
    <row r="903" spans="19:55">
      <c r="S903" s="454"/>
      <c r="AN903" s="454"/>
      <c r="AY903" s="454"/>
      <c r="AZ903" s="454"/>
      <c r="BA903" s="1306"/>
      <c r="BC903" s="169"/>
    </row>
    <row r="904" spans="19:55">
      <c r="S904" s="454"/>
      <c r="AN904" s="454"/>
      <c r="AY904" s="454"/>
      <c r="AZ904" s="454"/>
      <c r="BA904" s="1306"/>
      <c r="BC904" s="169"/>
    </row>
    <row r="905" spans="19:55">
      <c r="S905" s="454"/>
      <c r="AN905" s="454"/>
      <c r="AY905" s="454"/>
      <c r="AZ905" s="454"/>
      <c r="BA905" s="1306"/>
      <c r="BC905" s="169"/>
    </row>
    <row r="906" spans="19:55">
      <c r="S906" s="454"/>
      <c r="AN906" s="454"/>
      <c r="AY906" s="454"/>
      <c r="AZ906" s="454"/>
      <c r="BA906" s="1306"/>
      <c r="BC906" s="169"/>
    </row>
    <row r="907" spans="19:55">
      <c r="S907" s="454"/>
      <c r="AN907" s="454"/>
      <c r="AY907" s="454"/>
      <c r="AZ907" s="454"/>
      <c r="BA907" s="1306"/>
      <c r="BC907" s="169"/>
    </row>
    <row r="908" spans="19:55">
      <c r="S908" s="454"/>
      <c r="AN908" s="454"/>
      <c r="AY908" s="454"/>
      <c r="AZ908" s="454"/>
      <c r="BA908" s="1306"/>
      <c r="BC908" s="169"/>
    </row>
    <row r="909" spans="19:55">
      <c r="S909" s="454"/>
      <c r="AN909" s="454"/>
      <c r="AY909" s="454"/>
      <c r="AZ909" s="454"/>
      <c r="BA909" s="1306"/>
      <c r="BC909" s="169"/>
    </row>
    <row r="910" spans="19:55">
      <c r="S910" s="454"/>
      <c r="AN910" s="454"/>
      <c r="AY910" s="454"/>
      <c r="AZ910" s="454"/>
      <c r="BA910" s="1306"/>
      <c r="BC910" s="169"/>
    </row>
    <row r="911" spans="19:55">
      <c r="S911" s="454"/>
      <c r="AN911" s="454"/>
      <c r="AY911" s="454"/>
      <c r="AZ911" s="454"/>
      <c r="BA911" s="1306"/>
      <c r="BC911" s="169"/>
    </row>
    <row r="912" spans="19:55">
      <c r="S912" s="454"/>
      <c r="AN912" s="454"/>
      <c r="AY912" s="454"/>
      <c r="AZ912" s="454"/>
      <c r="BA912" s="1306"/>
      <c r="BC912" s="169"/>
    </row>
    <row r="913" spans="19:55">
      <c r="S913" s="454"/>
      <c r="AN913" s="454"/>
      <c r="AY913" s="454"/>
      <c r="AZ913" s="454"/>
      <c r="BA913" s="1306"/>
      <c r="BC913" s="169"/>
    </row>
    <row r="914" spans="19:55">
      <c r="S914" s="454"/>
      <c r="AN914" s="454"/>
      <c r="AY914" s="454"/>
      <c r="AZ914" s="454"/>
      <c r="BA914" s="1306"/>
      <c r="BC914" s="169"/>
    </row>
    <row r="915" spans="19:55">
      <c r="S915" s="454"/>
      <c r="AN915" s="454"/>
      <c r="AY915" s="454"/>
      <c r="AZ915" s="454"/>
      <c r="BA915" s="1306"/>
      <c r="BC915" s="169"/>
    </row>
    <row r="916" spans="19:55">
      <c r="S916" s="454"/>
      <c r="AN916" s="454"/>
      <c r="AY916" s="454"/>
      <c r="AZ916" s="454"/>
      <c r="BA916" s="1306"/>
      <c r="BC916" s="169"/>
    </row>
    <row r="917" spans="19:55">
      <c r="S917" s="454"/>
      <c r="AN917" s="454"/>
      <c r="AY917" s="454"/>
      <c r="AZ917" s="454"/>
      <c r="BA917" s="1306"/>
      <c r="BC917" s="169"/>
    </row>
    <row r="918" spans="19:55">
      <c r="S918" s="454"/>
      <c r="AN918" s="454"/>
      <c r="AY918" s="454"/>
      <c r="AZ918" s="454"/>
      <c r="BA918" s="1306"/>
      <c r="BC918" s="169"/>
    </row>
    <row r="919" spans="19:55">
      <c r="S919" s="454"/>
      <c r="AN919" s="454"/>
      <c r="AY919" s="454"/>
      <c r="AZ919" s="454"/>
      <c r="BA919" s="1306"/>
      <c r="BC919" s="169"/>
    </row>
    <row r="920" spans="19:55">
      <c r="S920" s="454"/>
      <c r="AN920" s="454"/>
      <c r="AY920" s="454"/>
      <c r="AZ920" s="454"/>
      <c r="BA920" s="1306"/>
      <c r="BC920" s="169"/>
    </row>
    <row r="921" spans="19:55">
      <c r="S921" s="454"/>
      <c r="AN921" s="454"/>
      <c r="AY921" s="454"/>
      <c r="AZ921" s="454"/>
      <c r="BA921" s="1306"/>
      <c r="BC921" s="169"/>
    </row>
    <row r="922" spans="19:55">
      <c r="S922" s="454"/>
      <c r="AN922" s="454"/>
      <c r="AY922" s="454"/>
      <c r="AZ922" s="454"/>
      <c r="BA922" s="1306"/>
      <c r="BC922" s="169"/>
    </row>
    <row r="923" spans="19:55">
      <c r="S923" s="454"/>
      <c r="AN923" s="454"/>
      <c r="AY923" s="454"/>
      <c r="AZ923" s="454"/>
      <c r="BA923" s="1306"/>
      <c r="BC923" s="169"/>
    </row>
    <row r="924" spans="19:55">
      <c r="S924" s="454"/>
      <c r="AN924" s="454"/>
      <c r="AY924" s="454"/>
      <c r="AZ924" s="454"/>
      <c r="BA924" s="1306"/>
      <c r="BC924" s="169"/>
    </row>
    <row r="925" spans="19:55">
      <c r="S925" s="454"/>
      <c r="AN925" s="454"/>
      <c r="AY925" s="454"/>
      <c r="AZ925" s="454"/>
      <c r="BA925" s="1306"/>
      <c r="BC925" s="169"/>
    </row>
    <row r="926" spans="19:55">
      <c r="S926" s="454"/>
      <c r="AN926" s="454"/>
      <c r="AY926" s="454"/>
      <c r="AZ926" s="454"/>
      <c r="BA926" s="1306"/>
      <c r="BC926" s="169"/>
    </row>
    <row r="927" spans="19:55">
      <c r="S927" s="454"/>
      <c r="AN927" s="454"/>
      <c r="AY927" s="454"/>
      <c r="AZ927" s="454"/>
      <c r="BA927" s="1306"/>
      <c r="BC927" s="169"/>
    </row>
    <row r="928" spans="19:55">
      <c r="S928" s="454"/>
      <c r="AN928" s="454"/>
      <c r="AY928" s="454"/>
      <c r="AZ928" s="454"/>
      <c r="BA928" s="1306"/>
      <c r="BC928" s="169"/>
    </row>
    <row r="929" spans="19:55">
      <c r="S929" s="454"/>
      <c r="AN929" s="454"/>
      <c r="AY929" s="454"/>
      <c r="AZ929" s="454"/>
      <c r="BA929" s="1306"/>
      <c r="BC929" s="169"/>
    </row>
    <row r="930" spans="19:55">
      <c r="S930" s="454"/>
      <c r="AN930" s="454"/>
      <c r="AY930" s="454"/>
      <c r="AZ930" s="454"/>
      <c r="BA930" s="1306"/>
      <c r="BC930" s="169"/>
    </row>
    <row r="931" spans="19:55">
      <c r="S931" s="454"/>
      <c r="AN931" s="454"/>
      <c r="AY931" s="454"/>
      <c r="AZ931" s="454"/>
      <c r="BA931" s="1306"/>
      <c r="BC931" s="169"/>
    </row>
    <row r="932" spans="19:55">
      <c r="S932" s="454"/>
      <c r="AN932" s="454"/>
      <c r="AY932" s="454"/>
      <c r="AZ932" s="454"/>
      <c r="BA932" s="1306"/>
      <c r="BC932" s="169"/>
    </row>
    <row r="933" spans="19:55">
      <c r="S933" s="454"/>
      <c r="AN933" s="454"/>
      <c r="AY933" s="454"/>
      <c r="AZ933" s="454"/>
      <c r="BA933" s="1306"/>
      <c r="BC933" s="169"/>
    </row>
    <row r="934" spans="19:55">
      <c r="S934" s="454"/>
      <c r="AN934" s="454"/>
      <c r="AY934" s="454"/>
      <c r="AZ934" s="454"/>
      <c r="BA934" s="1306"/>
      <c r="BC934" s="169"/>
    </row>
    <row r="935" spans="19:55">
      <c r="S935" s="454"/>
      <c r="AN935" s="454"/>
      <c r="AY935" s="454"/>
      <c r="AZ935" s="454"/>
      <c r="BA935" s="1306"/>
      <c r="BC935" s="169"/>
    </row>
    <row r="936" spans="19:55">
      <c r="S936" s="454"/>
      <c r="AN936" s="454"/>
      <c r="AY936" s="454"/>
      <c r="AZ936" s="454"/>
      <c r="BA936" s="1306"/>
      <c r="BC936" s="169"/>
    </row>
    <row r="937" spans="19:55">
      <c r="S937" s="454"/>
      <c r="AN937" s="454"/>
      <c r="AY937" s="454"/>
      <c r="AZ937" s="454"/>
      <c r="BA937" s="1306"/>
      <c r="BC937" s="169"/>
    </row>
    <row r="938" spans="19:55">
      <c r="S938" s="454"/>
      <c r="AN938" s="454"/>
      <c r="AY938" s="454"/>
      <c r="AZ938" s="454"/>
      <c r="BA938" s="1306"/>
      <c r="BC938" s="169"/>
    </row>
    <row r="939" spans="19:55">
      <c r="S939" s="454"/>
      <c r="AN939" s="454"/>
      <c r="AY939" s="454"/>
      <c r="AZ939" s="454"/>
      <c r="BA939" s="1306"/>
      <c r="BC939" s="169"/>
    </row>
    <row r="940" spans="19:55">
      <c r="S940" s="454"/>
      <c r="AN940" s="454"/>
      <c r="AY940" s="454"/>
      <c r="AZ940" s="454"/>
      <c r="BA940" s="1306"/>
      <c r="BC940" s="169"/>
    </row>
    <row r="941" spans="19:55">
      <c r="S941" s="454"/>
      <c r="AN941" s="454"/>
      <c r="AY941" s="454"/>
      <c r="AZ941" s="454"/>
      <c r="BA941" s="1306"/>
      <c r="BC941" s="169"/>
    </row>
    <row r="942" spans="19:55">
      <c r="S942" s="454"/>
      <c r="AN942" s="454"/>
      <c r="AY942" s="454"/>
      <c r="AZ942" s="454"/>
      <c r="BA942" s="1306"/>
      <c r="BC942" s="169"/>
    </row>
    <row r="943" spans="19:55">
      <c r="S943" s="454"/>
      <c r="AN943" s="454"/>
      <c r="AY943" s="454"/>
      <c r="AZ943" s="454"/>
      <c r="BA943" s="1306"/>
      <c r="BC943" s="169"/>
    </row>
    <row r="944" spans="19:55">
      <c r="S944" s="454"/>
      <c r="AN944" s="454"/>
      <c r="AY944" s="454"/>
      <c r="AZ944" s="454"/>
      <c r="BA944" s="1306"/>
      <c r="BC944" s="169"/>
    </row>
    <row r="945" spans="19:55">
      <c r="S945" s="454"/>
      <c r="AN945" s="454"/>
      <c r="AY945" s="454"/>
      <c r="AZ945" s="454"/>
      <c r="BA945" s="1306"/>
      <c r="BC945" s="169"/>
    </row>
    <row r="946" spans="19:55">
      <c r="S946" s="454"/>
      <c r="AN946" s="454"/>
      <c r="AY946" s="454"/>
      <c r="AZ946" s="454"/>
      <c r="BA946" s="1306"/>
      <c r="BC946" s="169"/>
    </row>
    <row r="947" spans="19:55">
      <c r="S947" s="454"/>
      <c r="AN947" s="454"/>
      <c r="AY947" s="454"/>
      <c r="AZ947" s="454"/>
      <c r="BA947" s="1306"/>
      <c r="BC947" s="169"/>
    </row>
    <row r="948" spans="19:55">
      <c r="S948" s="454"/>
      <c r="AN948" s="454"/>
      <c r="AY948" s="454"/>
      <c r="AZ948" s="454"/>
      <c r="BA948" s="1306"/>
      <c r="BC948" s="169"/>
    </row>
    <row r="949" spans="19:55">
      <c r="S949" s="454"/>
      <c r="AN949" s="454"/>
      <c r="AY949" s="454"/>
      <c r="AZ949" s="454"/>
      <c r="BA949" s="1306"/>
      <c r="BC949" s="169"/>
    </row>
    <row r="950" spans="19:55">
      <c r="S950" s="454"/>
      <c r="AN950" s="454"/>
      <c r="AY950" s="454"/>
      <c r="AZ950" s="454"/>
      <c r="BA950" s="1306"/>
      <c r="BC950" s="169"/>
    </row>
    <row r="951" spans="19:55">
      <c r="S951" s="454"/>
      <c r="AN951" s="454"/>
      <c r="AY951" s="454"/>
      <c r="AZ951" s="454"/>
      <c r="BA951" s="1306"/>
      <c r="BC951" s="169"/>
    </row>
    <row r="952" spans="19:55">
      <c r="S952" s="454"/>
      <c r="AN952" s="454"/>
      <c r="AY952" s="454"/>
      <c r="AZ952" s="454"/>
      <c r="BA952" s="1306"/>
      <c r="BC952" s="169"/>
    </row>
    <row r="953" spans="19:55">
      <c r="S953" s="454"/>
      <c r="AN953" s="454"/>
      <c r="AY953" s="454"/>
      <c r="AZ953" s="454"/>
      <c r="BA953" s="1306"/>
      <c r="BC953" s="169"/>
    </row>
    <row r="954" spans="19:55">
      <c r="S954" s="454"/>
      <c r="AN954" s="454"/>
      <c r="AY954" s="454"/>
      <c r="AZ954" s="454"/>
      <c r="BA954" s="1306"/>
      <c r="BC954" s="169"/>
    </row>
    <row r="955" spans="19:55">
      <c r="S955" s="454"/>
      <c r="AN955" s="454"/>
      <c r="AY955" s="454"/>
      <c r="AZ955" s="454"/>
      <c r="BA955" s="1306"/>
      <c r="BC955" s="169"/>
    </row>
    <row r="956" spans="19:55">
      <c r="S956" s="454"/>
      <c r="AN956" s="454"/>
      <c r="AY956" s="454"/>
      <c r="AZ956" s="454"/>
      <c r="BA956" s="1306"/>
      <c r="BC956" s="169"/>
    </row>
    <row r="957" spans="19:55">
      <c r="S957" s="454"/>
      <c r="AN957" s="454"/>
      <c r="AY957" s="454"/>
      <c r="AZ957" s="454"/>
      <c r="BA957" s="1306"/>
      <c r="BC957" s="169"/>
    </row>
    <row r="958" spans="19:55">
      <c r="S958" s="454"/>
      <c r="AN958" s="454"/>
      <c r="AY958" s="454"/>
      <c r="AZ958" s="454"/>
      <c r="BA958" s="1306"/>
      <c r="BC958" s="169"/>
    </row>
    <row r="959" spans="19:55">
      <c r="S959" s="454"/>
      <c r="AN959" s="454"/>
      <c r="AY959" s="454"/>
      <c r="AZ959" s="454"/>
      <c r="BA959" s="1306"/>
      <c r="BC959" s="169"/>
    </row>
    <row r="960" spans="19:55">
      <c r="S960" s="454"/>
      <c r="AN960" s="454"/>
      <c r="AY960" s="454"/>
      <c r="AZ960" s="454"/>
      <c r="BA960" s="1306"/>
      <c r="BC960" s="169"/>
    </row>
    <row r="961" spans="19:55">
      <c r="S961" s="454"/>
      <c r="AN961" s="454"/>
      <c r="AY961" s="454"/>
      <c r="AZ961" s="454"/>
      <c r="BA961" s="1306"/>
      <c r="BC961" s="169"/>
    </row>
    <row r="962" spans="19:55">
      <c r="S962" s="454"/>
      <c r="AN962" s="454"/>
      <c r="AY962" s="454"/>
      <c r="AZ962" s="454"/>
      <c r="BA962" s="1306"/>
      <c r="BC962" s="169"/>
    </row>
    <row r="963" spans="19:55">
      <c r="S963" s="454"/>
      <c r="AN963" s="454"/>
      <c r="AY963" s="454"/>
      <c r="AZ963" s="454"/>
      <c r="BA963" s="1306"/>
      <c r="BC963" s="169"/>
    </row>
    <row r="964" spans="19:55">
      <c r="S964" s="454"/>
      <c r="AN964" s="454"/>
      <c r="AY964" s="454"/>
      <c r="AZ964" s="454"/>
      <c r="BA964" s="1306"/>
      <c r="BC964" s="169"/>
    </row>
    <row r="965" spans="19:55">
      <c r="S965" s="454"/>
      <c r="AN965" s="454"/>
      <c r="AY965" s="454"/>
      <c r="AZ965" s="454"/>
      <c r="BA965" s="1306"/>
      <c r="BC965" s="169"/>
    </row>
    <row r="966" spans="19:55">
      <c r="S966" s="454"/>
      <c r="AN966" s="454"/>
      <c r="AY966" s="454"/>
      <c r="AZ966" s="454"/>
      <c r="BA966" s="1306"/>
      <c r="BC966" s="169"/>
    </row>
    <row r="967" spans="19:55">
      <c r="S967" s="454"/>
      <c r="AN967" s="454"/>
      <c r="AY967" s="454"/>
      <c r="AZ967" s="454"/>
      <c r="BA967" s="1306"/>
      <c r="BC967" s="169"/>
    </row>
    <row r="968" spans="19:55">
      <c r="S968" s="454"/>
      <c r="AN968" s="454"/>
      <c r="AY968" s="454"/>
      <c r="AZ968" s="454"/>
      <c r="BA968" s="1306"/>
      <c r="BC968" s="169"/>
    </row>
    <row r="969" spans="19:55">
      <c r="S969" s="454"/>
      <c r="AN969" s="454"/>
      <c r="AY969" s="454"/>
      <c r="AZ969" s="454"/>
      <c r="BA969" s="1306"/>
      <c r="BC969" s="169"/>
    </row>
    <row r="970" spans="19:55">
      <c r="S970" s="454"/>
      <c r="AN970" s="454"/>
      <c r="AY970" s="454"/>
      <c r="AZ970" s="454"/>
      <c r="BA970" s="1306"/>
      <c r="BC970" s="169"/>
    </row>
    <row r="971" spans="19:55">
      <c r="S971" s="454"/>
      <c r="AN971" s="454"/>
      <c r="AY971" s="454"/>
      <c r="AZ971" s="454"/>
      <c r="BA971" s="1306"/>
      <c r="BC971" s="169"/>
    </row>
    <row r="972" spans="19:55">
      <c r="S972" s="454"/>
      <c r="AN972" s="454"/>
      <c r="AY972" s="454"/>
      <c r="AZ972" s="454"/>
      <c r="BA972" s="1306"/>
      <c r="BC972" s="169"/>
    </row>
    <row r="973" spans="19:55">
      <c r="S973" s="454"/>
      <c r="AN973" s="454"/>
      <c r="AY973" s="454"/>
      <c r="AZ973" s="454"/>
      <c r="BA973" s="1306"/>
      <c r="BC973" s="169"/>
    </row>
    <row r="974" spans="19:55">
      <c r="S974" s="454"/>
      <c r="AN974" s="454"/>
      <c r="AY974" s="454"/>
      <c r="AZ974" s="454"/>
      <c r="BA974" s="1306"/>
      <c r="BC974" s="169"/>
    </row>
    <row r="975" spans="19:55">
      <c r="S975" s="454"/>
      <c r="AN975" s="454"/>
      <c r="AY975" s="454"/>
      <c r="AZ975" s="454"/>
      <c r="BA975" s="1306"/>
      <c r="BC975" s="169"/>
    </row>
    <row r="976" spans="19:55">
      <c r="S976" s="454"/>
      <c r="AN976" s="454"/>
      <c r="AY976" s="454"/>
      <c r="AZ976" s="454"/>
      <c r="BA976" s="1306"/>
      <c r="BC976" s="169"/>
    </row>
    <row r="977" spans="19:55">
      <c r="S977" s="454"/>
      <c r="AN977" s="454"/>
      <c r="AY977" s="454"/>
      <c r="AZ977" s="454"/>
      <c r="BA977" s="1306"/>
      <c r="BC977" s="169"/>
    </row>
    <row r="978" spans="19:55">
      <c r="S978" s="454"/>
      <c r="AN978" s="454"/>
      <c r="AY978" s="454"/>
      <c r="AZ978" s="454"/>
      <c r="BA978" s="1306"/>
      <c r="BC978" s="169"/>
    </row>
    <row r="979" spans="19:55">
      <c r="S979" s="454"/>
      <c r="AN979" s="454"/>
      <c r="AY979" s="454"/>
      <c r="AZ979" s="454"/>
      <c r="BA979" s="1306"/>
      <c r="BC979" s="169"/>
    </row>
    <row r="980" spans="19:55">
      <c r="S980" s="454"/>
      <c r="AN980" s="454"/>
      <c r="AY980" s="454"/>
      <c r="AZ980" s="454"/>
      <c r="BA980" s="1306"/>
      <c r="BC980" s="169"/>
    </row>
    <row r="981" spans="19:55">
      <c r="S981" s="454"/>
      <c r="AN981" s="454"/>
      <c r="AY981" s="454"/>
      <c r="AZ981" s="454"/>
      <c r="BA981" s="1306"/>
      <c r="BC981" s="169"/>
    </row>
    <row r="982" spans="19:55">
      <c r="S982" s="454"/>
      <c r="AN982" s="454"/>
      <c r="AY982" s="454"/>
      <c r="AZ982" s="454"/>
      <c r="BA982" s="1306"/>
      <c r="BC982" s="169"/>
    </row>
    <row r="983" spans="19:55">
      <c r="S983" s="454"/>
      <c r="AN983" s="454"/>
      <c r="AY983" s="454"/>
      <c r="AZ983" s="454"/>
      <c r="BA983" s="1306"/>
      <c r="BC983" s="169"/>
    </row>
    <row r="984" spans="19:55">
      <c r="S984" s="454"/>
      <c r="AN984" s="454"/>
      <c r="AY984" s="454"/>
      <c r="AZ984" s="454"/>
      <c r="BA984" s="1306"/>
      <c r="BC984" s="169"/>
    </row>
    <row r="985" spans="19:55">
      <c r="S985" s="454"/>
      <c r="AN985" s="454"/>
      <c r="AY985" s="454"/>
      <c r="AZ985" s="454"/>
      <c r="BA985" s="1306"/>
      <c r="BC985" s="169"/>
    </row>
    <row r="986" spans="19:55">
      <c r="S986" s="454"/>
      <c r="AN986" s="454"/>
      <c r="AY986" s="454"/>
      <c r="AZ986" s="454"/>
      <c r="BA986" s="1306"/>
      <c r="BC986" s="169"/>
    </row>
    <row r="987" spans="19:55">
      <c r="S987" s="454"/>
      <c r="AN987" s="454"/>
      <c r="AY987" s="454"/>
      <c r="AZ987" s="454"/>
      <c r="BA987" s="1306"/>
      <c r="BC987" s="169"/>
    </row>
    <row r="988" spans="19:55">
      <c r="S988" s="454"/>
      <c r="AN988" s="454"/>
      <c r="AY988" s="454"/>
      <c r="AZ988" s="454"/>
      <c r="BA988" s="1306"/>
      <c r="BC988" s="169"/>
    </row>
    <row r="989" spans="19:55">
      <c r="S989" s="454"/>
      <c r="AN989" s="454"/>
      <c r="AY989" s="454"/>
      <c r="AZ989" s="454"/>
      <c r="BA989" s="1306"/>
      <c r="BC989" s="169"/>
    </row>
    <row r="990" spans="19:55">
      <c r="S990" s="454"/>
      <c r="AN990" s="454"/>
      <c r="AY990" s="454"/>
      <c r="AZ990" s="454"/>
      <c r="BA990" s="1306"/>
      <c r="BC990" s="169"/>
    </row>
    <row r="991" spans="19:55">
      <c r="S991" s="454"/>
      <c r="AN991" s="454"/>
      <c r="AY991" s="454"/>
      <c r="AZ991" s="454"/>
      <c r="BA991" s="1306"/>
      <c r="BC991" s="169"/>
    </row>
    <row r="992" spans="19:55">
      <c r="S992" s="454"/>
      <c r="AN992" s="454"/>
      <c r="AY992" s="454"/>
      <c r="AZ992" s="454"/>
      <c r="BA992" s="1306"/>
      <c r="BC992" s="169"/>
    </row>
    <row r="993" spans="19:55">
      <c r="S993" s="454"/>
      <c r="AN993" s="454"/>
      <c r="AY993" s="454"/>
      <c r="AZ993" s="454"/>
      <c r="BA993" s="1306"/>
      <c r="BC993" s="169"/>
    </row>
    <row r="994" spans="19:55">
      <c r="S994" s="454"/>
      <c r="AN994" s="454"/>
      <c r="AY994" s="454"/>
      <c r="AZ994" s="454"/>
      <c r="BA994" s="1306"/>
      <c r="BC994" s="169"/>
    </row>
    <row r="995" spans="19:55">
      <c r="S995" s="454"/>
      <c r="AN995" s="454"/>
      <c r="AY995" s="454"/>
      <c r="AZ995" s="454"/>
      <c r="BA995" s="1306"/>
      <c r="BC995" s="169"/>
    </row>
    <row r="996" spans="19:55">
      <c r="S996" s="454"/>
      <c r="AN996" s="454"/>
      <c r="AY996" s="454"/>
      <c r="AZ996" s="454"/>
      <c r="BA996" s="1306"/>
      <c r="BC996" s="169"/>
    </row>
    <row r="997" spans="19:55">
      <c r="S997" s="454"/>
      <c r="AN997" s="454"/>
      <c r="AY997" s="454"/>
      <c r="AZ997" s="454"/>
      <c r="BA997" s="1306"/>
      <c r="BC997" s="169"/>
    </row>
    <row r="998" spans="19:55">
      <c r="S998" s="454"/>
      <c r="AN998" s="454"/>
      <c r="AY998" s="454"/>
      <c r="AZ998" s="454"/>
      <c r="BA998" s="1306"/>
      <c r="BC998" s="169"/>
    </row>
    <row r="999" spans="19:55">
      <c r="S999" s="454"/>
      <c r="AN999" s="454"/>
      <c r="AY999" s="454"/>
      <c r="AZ999" s="454"/>
      <c r="BA999" s="1306"/>
      <c r="BC999" s="169"/>
    </row>
    <row r="1000" spans="19:55">
      <c r="S1000" s="454"/>
      <c r="AN1000" s="454"/>
      <c r="AY1000" s="454"/>
      <c r="AZ1000" s="454"/>
      <c r="BA1000" s="1306"/>
      <c r="BC1000" s="169"/>
    </row>
    <row r="1001" spans="19:55">
      <c r="S1001" s="454"/>
      <c r="AN1001" s="454"/>
      <c r="AY1001" s="454"/>
      <c r="AZ1001" s="454"/>
      <c r="BA1001" s="1306"/>
      <c r="BC1001" s="169"/>
    </row>
    <row r="1002" spans="19:55">
      <c r="S1002" s="454"/>
      <c r="AN1002" s="454"/>
      <c r="AY1002" s="454"/>
      <c r="AZ1002" s="454"/>
      <c r="BA1002" s="1306"/>
      <c r="BC1002" s="169"/>
    </row>
    <row r="1003" spans="19:55">
      <c r="S1003" s="454"/>
      <c r="AN1003" s="454"/>
      <c r="AY1003" s="454"/>
      <c r="AZ1003" s="454"/>
      <c r="BA1003" s="1306"/>
      <c r="BC1003" s="169"/>
    </row>
    <row r="1004" spans="19:55">
      <c r="S1004" s="454"/>
      <c r="AN1004" s="454"/>
      <c r="AY1004" s="454"/>
      <c r="AZ1004" s="454"/>
      <c r="BA1004" s="1306"/>
      <c r="BC1004" s="169"/>
    </row>
    <row r="1005" spans="19:55">
      <c r="S1005" s="454"/>
      <c r="AN1005" s="454"/>
      <c r="AY1005" s="454"/>
      <c r="AZ1005" s="454"/>
      <c r="BA1005" s="1306"/>
      <c r="BC1005" s="169"/>
    </row>
    <row r="1006" spans="19:55">
      <c r="S1006" s="454"/>
      <c r="AN1006" s="454"/>
      <c r="AY1006" s="454"/>
      <c r="AZ1006" s="454"/>
      <c r="BA1006" s="1306"/>
      <c r="BC1006" s="169"/>
    </row>
    <row r="1007" spans="19:55">
      <c r="S1007" s="454"/>
      <c r="AN1007" s="454"/>
      <c r="AY1007" s="454"/>
      <c r="AZ1007" s="454"/>
      <c r="BA1007" s="1306"/>
      <c r="BC1007" s="169"/>
    </row>
    <row r="1008" spans="19:55">
      <c r="S1008" s="454"/>
      <c r="AN1008" s="454"/>
      <c r="AY1008" s="454"/>
      <c r="AZ1008" s="454"/>
      <c r="BA1008" s="1306"/>
      <c r="BC1008" s="169"/>
    </row>
    <row r="1009" spans="19:55">
      <c r="S1009" s="454"/>
      <c r="AN1009" s="454"/>
      <c r="AY1009" s="454"/>
      <c r="AZ1009" s="454"/>
      <c r="BA1009" s="1306"/>
      <c r="BC1009" s="169"/>
    </row>
    <row r="1010" spans="19:55">
      <c r="S1010" s="454"/>
      <c r="AN1010" s="454"/>
      <c r="AY1010" s="454"/>
      <c r="AZ1010" s="454"/>
      <c r="BA1010" s="1306"/>
      <c r="BC1010" s="169"/>
    </row>
    <row r="1011" spans="19:55">
      <c r="S1011" s="454"/>
      <c r="AN1011" s="454"/>
      <c r="AY1011" s="454"/>
      <c r="AZ1011" s="454"/>
      <c r="BA1011" s="1306"/>
      <c r="BC1011" s="169"/>
    </row>
    <row r="1012" spans="19:55">
      <c r="S1012" s="454"/>
      <c r="AN1012" s="454"/>
      <c r="AY1012" s="454"/>
      <c r="AZ1012" s="454"/>
      <c r="BA1012" s="1306"/>
      <c r="BC1012" s="169"/>
    </row>
    <row r="1013" spans="19:55">
      <c r="S1013" s="454"/>
      <c r="AN1013" s="454"/>
      <c r="AY1013" s="454"/>
      <c r="AZ1013" s="454"/>
      <c r="BA1013" s="1306"/>
      <c r="BC1013" s="169"/>
    </row>
    <row r="1014" spans="19:55">
      <c r="S1014" s="454"/>
      <c r="AN1014" s="454"/>
      <c r="AY1014" s="454"/>
      <c r="AZ1014" s="454"/>
      <c r="BA1014" s="1306"/>
      <c r="BC1014" s="169"/>
    </row>
    <row r="1015" spans="19:55">
      <c r="S1015" s="454"/>
      <c r="AN1015" s="454"/>
      <c r="AY1015" s="454"/>
      <c r="AZ1015" s="454"/>
      <c r="BA1015" s="1306"/>
      <c r="BC1015" s="169"/>
    </row>
    <row r="1016" spans="19:55">
      <c r="S1016" s="454"/>
      <c r="AN1016" s="454"/>
      <c r="AY1016" s="454"/>
      <c r="AZ1016" s="454"/>
      <c r="BA1016" s="1306"/>
      <c r="BC1016" s="169"/>
    </row>
    <row r="1017" spans="19:55">
      <c r="S1017" s="454"/>
      <c r="AN1017" s="454"/>
      <c r="AY1017" s="454"/>
      <c r="AZ1017" s="454"/>
      <c r="BA1017" s="1306"/>
      <c r="BC1017" s="169"/>
    </row>
    <row r="1018" spans="19:55">
      <c r="S1018" s="454"/>
      <c r="AN1018" s="454"/>
      <c r="AY1018" s="454"/>
      <c r="AZ1018" s="454"/>
      <c r="BA1018" s="1306"/>
      <c r="BC1018" s="169"/>
    </row>
    <row r="1019" spans="19:55">
      <c r="S1019" s="454"/>
      <c r="AN1019" s="454"/>
      <c r="AY1019" s="454"/>
      <c r="AZ1019" s="454"/>
      <c r="BA1019" s="1306"/>
      <c r="BC1019" s="169"/>
    </row>
    <row r="1020" spans="19:55">
      <c r="S1020" s="454"/>
      <c r="AN1020" s="454"/>
      <c r="AY1020" s="454"/>
      <c r="AZ1020" s="454"/>
      <c r="BA1020" s="1306"/>
      <c r="BC1020" s="169"/>
    </row>
    <row r="1021" spans="19:55">
      <c r="S1021" s="454"/>
      <c r="AN1021" s="454"/>
      <c r="AY1021" s="454"/>
      <c r="AZ1021" s="454"/>
      <c r="BA1021" s="1306"/>
      <c r="BC1021" s="169"/>
    </row>
    <row r="1022" spans="19:55">
      <c r="S1022" s="454"/>
      <c r="AN1022" s="454"/>
      <c r="AY1022" s="454"/>
      <c r="AZ1022" s="454"/>
      <c r="BA1022" s="1306"/>
      <c r="BC1022" s="169"/>
    </row>
    <row r="1023" spans="19:55">
      <c r="S1023" s="454"/>
      <c r="AN1023" s="454"/>
      <c r="AY1023" s="454"/>
      <c r="AZ1023" s="454"/>
      <c r="BA1023" s="1306"/>
      <c r="BC1023" s="169"/>
    </row>
    <row r="1024" spans="19:55">
      <c r="S1024" s="454"/>
      <c r="AN1024" s="454"/>
      <c r="AY1024" s="454"/>
      <c r="AZ1024" s="454"/>
      <c r="BA1024" s="1306"/>
      <c r="BC1024" s="169"/>
    </row>
    <row r="1025" spans="19:55">
      <c r="S1025" s="454"/>
      <c r="AN1025" s="454"/>
      <c r="AY1025" s="454"/>
      <c r="AZ1025" s="454"/>
      <c r="BA1025" s="1306"/>
      <c r="BC1025" s="169"/>
    </row>
    <row r="1026" spans="19:55">
      <c r="S1026" s="454"/>
      <c r="AN1026" s="454"/>
      <c r="AY1026" s="454"/>
      <c r="AZ1026" s="454"/>
      <c r="BA1026" s="1306"/>
      <c r="BC1026" s="169"/>
    </row>
    <row r="1027" spans="19:55">
      <c r="S1027" s="454"/>
      <c r="AN1027" s="454"/>
      <c r="AY1027" s="454"/>
      <c r="AZ1027" s="454"/>
      <c r="BA1027" s="1306"/>
      <c r="BC1027" s="169"/>
    </row>
    <row r="1028" spans="19:55">
      <c r="S1028" s="454"/>
      <c r="AN1028" s="454"/>
      <c r="AY1028" s="454"/>
      <c r="AZ1028" s="454"/>
      <c r="BA1028" s="1306"/>
      <c r="BC1028" s="169"/>
    </row>
    <row r="1029" spans="19:55">
      <c r="S1029" s="454"/>
      <c r="AN1029" s="454"/>
      <c r="AY1029" s="454"/>
      <c r="AZ1029" s="454"/>
      <c r="BA1029" s="1306"/>
      <c r="BC1029" s="169"/>
    </row>
    <row r="1030" spans="19:55">
      <c r="S1030" s="454"/>
      <c r="AN1030" s="454"/>
      <c r="AY1030" s="454"/>
      <c r="AZ1030" s="454"/>
      <c r="BA1030" s="1306"/>
      <c r="BC1030" s="169"/>
    </row>
    <row r="1031" spans="19:55">
      <c r="S1031" s="454"/>
      <c r="AN1031" s="454"/>
      <c r="AY1031" s="454"/>
      <c r="AZ1031" s="454"/>
      <c r="BA1031" s="1306"/>
      <c r="BC1031" s="169"/>
    </row>
    <row r="1032" spans="19:55">
      <c r="S1032" s="454"/>
      <c r="AN1032" s="454"/>
      <c r="AY1032" s="454"/>
      <c r="AZ1032" s="454"/>
      <c r="BA1032" s="1306"/>
      <c r="BC1032" s="169"/>
    </row>
    <row r="1033" spans="19:55">
      <c r="S1033" s="454"/>
      <c r="AN1033" s="454"/>
      <c r="AY1033" s="454"/>
      <c r="AZ1033" s="454"/>
      <c r="BA1033" s="1306"/>
      <c r="BC1033" s="169"/>
    </row>
    <row r="1034" spans="19:55">
      <c r="S1034" s="454"/>
      <c r="AN1034" s="454"/>
      <c r="AY1034" s="454"/>
      <c r="AZ1034" s="454"/>
      <c r="BA1034" s="1306"/>
      <c r="BC1034" s="169"/>
    </row>
    <row r="1035" spans="19:55">
      <c r="S1035" s="454"/>
      <c r="AN1035" s="454"/>
      <c r="AY1035" s="454"/>
      <c r="AZ1035" s="454"/>
      <c r="BA1035" s="1306"/>
      <c r="BC1035" s="169"/>
    </row>
    <row r="1036" spans="19:55">
      <c r="S1036" s="454"/>
      <c r="AN1036" s="454"/>
      <c r="AY1036" s="454"/>
      <c r="AZ1036" s="454"/>
      <c r="BA1036" s="1306"/>
      <c r="BC1036" s="169"/>
    </row>
    <row r="1037" spans="19:55">
      <c r="S1037" s="454"/>
      <c r="AN1037" s="454"/>
      <c r="AY1037" s="454"/>
      <c r="AZ1037" s="454"/>
      <c r="BA1037" s="1306"/>
      <c r="BC1037" s="169"/>
    </row>
    <row r="1038" spans="19:55">
      <c r="S1038" s="454"/>
      <c r="AN1038" s="454"/>
      <c r="AY1038" s="454"/>
      <c r="AZ1038" s="454"/>
      <c r="BA1038" s="1306"/>
      <c r="BC1038" s="169"/>
    </row>
    <row r="1039" spans="19:55">
      <c r="S1039" s="454"/>
      <c r="AN1039" s="454"/>
      <c r="AY1039" s="454"/>
      <c r="AZ1039" s="454"/>
      <c r="BA1039" s="1306"/>
      <c r="BC1039" s="169"/>
    </row>
    <row r="1040" spans="19:55">
      <c r="S1040" s="454"/>
      <c r="AN1040" s="454"/>
      <c r="AY1040" s="454"/>
      <c r="AZ1040" s="454"/>
      <c r="BA1040" s="1306"/>
      <c r="BC1040" s="169"/>
    </row>
    <row r="1041" spans="19:55">
      <c r="S1041" s="454"/>
      <c r="AN1041" s="454"/>
      <c r="AY1041" s="454"/>
      <c r="AZ1041" s="454"/>
      <c r="BA1041" s="1306"/>
      <c r="BC1041" s="169"/>
    </row>
    <row r="1042" spans="19:55">
      <c r="S1042" s="454"/>
      <c r="AN1042" s="454"/>
      <c r="AY1042" s="454"/>
      <c r="AZ1042" s="454"/>
      <c r="BA1042" s="1306"/>
      <c r="BC1042" s="169"/>
    </row>
    <row r="1043" spans="19:55">
      <c r="S1043" s="454"/>
      <c r="AN1043" s="454"/>
      <c r="AY1043" s="454"/>
      <c r="AZ1043" s="454"/>
      <c r="BA1043" s="1306"/>
      <c r="BC1043" s="169"/>
    </row>
    <row r="1044" spans="19:55">
      <c r="S1044" s="454"/>
      <c r="AN1044" s="454"/>
      <c r="AY1044" s="454"/>
      <c r="AZ1044" s="454"/>
      <c r="BA1044" s="1306"/>
      <c r="BC1044" s="169"/>
    </row>
    <row r="1045" spans="19:55">
      <c r="S1045" s="454"/>
      <c r="AN1045" s="454"/>
      <c r="AY1045" s="454"/>
      <c r="AZ1045" s="454"/>
      <c r="BA1045" s="1306"/>
      <c r="BC1045" s="169"/>
    </row>
    <row r="1046" spans="19:55">
      <c r="S1046" s="454"/>
      <c r="AN1046" s="454"/>
      <c r="AY1046" s="454"/>
      <c r="AZ1046" s="454"/>
      <c r="BA1046" s="1306"/>
      <c r="BC1046" s="169"/>
    </row>
    <row r="1047" spans="19:55">
      <c r="S1047" s="454"/>
      <c r="AN1047" s="454"/>
      <c r="AY1047" s="454"/>
      <c r="AZ1047" s="454"/>
      <c r="BA1047" s="1306"/>
      <c r="BC1047" s="169"/>
    </row>
    <row r="1048" spans="19:55">
      <c r="S1048" s="454"/>
      <c r="AN1048" s="454"/>
      <c r="AY1048" s="454"/>
      <c r="AZ1048" s="454"/>
      <c r="BA1048" s="1306"/>
      <c r="BC1048" s="169"/>
    </row>
    <row r="1049" spans="19:55">
      <c r="S1049" s="454"/>
      <c r="AN1049" s="454"/>
      <c r="AY1049" s="454"/>
      <c r="AZ1049" s="454"/>
      <c r="BA1049" s="1306"/>
      <c r="BC1049" s="169"/>
    </row>
    <row r="1050" spans="19:55">
      <c r="S1050" s="454"/>
      <c r="AN1050" s="454"/>
      <c r="AY1050" s="454"/>
      <c r="AZ1050" s="454"/>
      <c r="BA1050" s="1306"/>
      <c r="BC1050" s="169"/>
    </row>
    <row r="1051" spans="19:55">
      <c r="S1051" s="454"/>
      <c r="AN1051" s="454"/>
      <c r="AY1051" s="454"/>
      <c r="AZ1051" s="454"/>
      <c r="BA1051" s="1306"/>
      <c r="BC1051" s="169"/>
    </row>
    <row r="1052" spans="19:55">
      <c r="S1052" s="454"/>
      <c r="AN1052" s="454"/>
      <c r="AY1052" s="454"/>
      <c r="AZ1052" s="454"/>
      <c r="BA1052" s="1306"/>
      <c r="BC1052" s="169"/>
    </row>
    <row r="1053" spans="19:55">
      <c r="S1053" s="454"/>
      <c r="AN1053" s="454"/>
      <c r="AY1053" s="454"/>
      <c r="AZ1053" s="454"/>
      <c r="BA1053" s="1306"/>
      <c r="BC1053" s="169"/>
    </row>
    <row r="1054" spans="19:55">
      <c r="S1054" s="454"/>
      <c r="AN1054" s="454"/>
      <c r="AY1054" s="454"/>
      <c r="AZ1054" s="454"/>
      <c r="BA1054" s="1306"/>
      <c r="BC1054" s="169"/>
    </row>
    <row r="1055" spans="19:55">
      <c r="S1055" s="454"/>
      <c r="AN1055" s="454"/>
      <c r="AY1055" s="454"/>
      <c r="AZ1055" s="454"/>
      <c r="BA1055" s="1306"/>
      <c r="BC1055" s="169"/>
    </row>
    <row r="1056" spans="19:55">
      <c r="S1056" s="454"/>
      <c r="AN1056" s="454"/>
      <c r="AY1056" s="454"/>
      <c r="AZ1056" s="454"/>
      <c r="BA1056" s="1306"/>
      <c r="BC1056" s="169"/>
    </row>
    <row r="1057" spans="19:55">
      <c r="S1057" s="454"/>
      <c r="AN1057" s="454"/>
      <c r="AY1057" s="454"/>
      <c r="AZ1057" s="454"/>
      <c r="BA1057" s="1306"/>
      <c r="BC1057" s="169"/>
    </row>
    <row r="1058" spans="19:55">
      <c r="S1058" s="454"/>
      <c r="AN1058" s="454"/>
      <c r="AY1058" s="454"/>
      <c r="AZ1058" s="454"/>
      <c r="BA1058" s="1306"/>
      <c r="BC1058" s="169"/>
    </row>
    <row r="1059" spans="19:55">
      <c r="S1059" s="454"/>
      <c r="AN1059" s="454"/>
      <c r="AY1059" s="454"/>
      <c r="AZ1059" s="454"/>
      <c r="BA1059" s="1306"/>
      <c r="BC1059" s="169"/>
    </row>
    <row r="1060" spans="19:55">
      <c r="S1060" s="454"/>
      <c r="AN1060" s="454"/>
      <c r="AY1060" s="454"/>
      <c r="AZ1060" s="454"/>
      <c r="BA1060" s="1306"/>
      <c r="BC1060" s="169"/>
    </row>
    <row r="1061" spans="19:55">
      <c r="S1061" s="454"/>
      <c r="AN1061" s="454"/>
      <c r="AY1061" s="454"/>
      <c r="AZ1061" s="454"/>
      <c r="BA1061" s="1306"/>
      <c r="BC1061" s="169"/>
    </row>
    <row r="1062" spans="19:55">
      <c r="S1062" s="454"/>
      <c r="AN1062" s="454"/>
      <c r="AY1062" s="454"/>
      <c r="AZ1062" s="454"/>
      <c r="BA1062" s="1306"/>
      <c r="BC1062" s="169"/>
    </row>
    <row r="1063" spans="19:55">
      <c r="S1063" s="454"/>
      <c r="AN1063" s="454"/>
      <c r="AY1063" s="454"/>
      <c r="AZ1063" s="454"/>
      <c r="BA1063" s="1306"/>
      <c r="BC1063" s="169"/>
    </row>
    <row r="1064" spans="19:55">
      <c r="S1064" s="454"/>
      <c r="AN1064" s="454"/>
      <c r="AY1064" s="454"/>
      <c r="AZ1064" s="454"/>
      <c r="BA1064" s="1306"/>
      <c r="BC1064" s="169"/>
    </row>
    <row r="1065" spans="19:55">
      <c r="S1065" s="454"/>
      <c r="AN1065" s="454"/>
      <c r="AY1065" s="454"/>
      <c r="AZ1065" s="454"/>
      <c r="BA1065" s="1306"/>
      <c r="BC1065" s="169"/>
    </row>
    <row r="1066" spans="19:55">
      <c r="S1066" s="454"/>
      <c r="AN1066" s="454"/>
      <c r="AY1066" s="454"/>
      <c r="AZ1066" s="454"/>
      <c r="BA1066" s="1306"/>
      <c r="BC1066" s="169"/>
    </row>
    <row r="1067" spans="19:55">
      <c r="S1067" s="454"/>
      <c r="AN1067" s="454"/>
      <c r="AY1067" s="454"/>
      <c r="AZ1067" s="454"/>
      <c r="BA1067" s="1306"/>
      <c r="BC1067" s="169"/>
    </row>
    <row r="1068" spans="19:55">
      <c r="S1068" s="454"/>
      <c r="AN1068" s="454"/>
      <c r="AY1068" s="454"/>
      <c r="AZ1068" s="454"/>
      <c r="BA1068" s="1306"/>
      <c r="BC1068" s="169"/>
    </row>
    <row r="1069" spans="19:55">
      <c r="S1069" s="454"/>
      <c r="AN1069" s="454"/>
      <c r="AY1069" s="454"/>
      <c r="AZ1069" s="454"/>
      <c r="BA1069" s="1306"/>
      <c r="BC1069" s="169"/>
    </row>
    <row r="1070" spans="19:55">
      <c r="S1070" s="454"/>
      <c r="AN1070" s="454"/>
      <c r="AY1070" s="454"/>
      <c r="AZ1070" s="454"/>
      <c r="BA1070" s="1306"/>
      <c r="BC1070" s="169"/>
    </row>
    <row r="1071" spans="19:55">
      <c r="S1071" s="454"/>
      <c r="AN1071" s="454"/>
      <c r="AY1071" s="454"/>
      <c r="AZ1071" s="454"/>
      <c r="BA1071" s="1306"/>
      <c r="BC1071" s="169"/>
    </row>
    <row r="1072" spans="19:55">
      <c r="S1072" s="454"/>
      <c r="AN1072" s="454"/>
      <c r="AY1072" s="454"/>
      <c r="AZ1072" s="454"/>
      <c r="BA1072" s="1306"/>
      <c r="BC1072" s="169"/>
    </row>
    <row r="1073" spans="19:55">
      <c r="S1073" s="454"/>
      <c r="AN1073" s="454"/>
      <c r="AY1073" s="454"/>
      <c r="AZ1073" s="454"/>
      <c r="BA1073" s="1306"/>
      <c r="BC1073" s="169"/>
    </row>
    <row r="1074" spans="19:55">
      <c r="S1074" s="454"/>
      <c r="AN1074" s="454"/>
      <c r="AY1074" s="454"/>
      <c r="AZ1074" s="454"/>
      <c r="BA1074" s="1306"/>
      <c r="BC1074" s="169"/>
    </row>
    <row r="1075" spans="19:55">
      <c r="S1075" s="454"/>
      <c r="AN1075" s="454"/>
      <c r="AY1075" s="454"/>
      <c r="AZ1075" s="454"/>
      <c r="BA1075" s="1306"/>
      <c r="BC1075" s="169"/>
    </row>
    <row r="1076" spans="19:55">
      <c r="S1076" s="454"/>
      <c r="AN1076" s="454"/>
      <c r="AY1076" s="454"/>
      <c r="AZ1076" s="454"/>
      <c r="BA1076" s="1306"/>
      <c r="BC1076" s="169"/>
    </row>
    <row r="1077" spans="19:55">
      <c r="S1077" s="454"/>
      <c r="AN1077" s="454"/>
      <c r="AY1077" s="454"/>
      <c r="AZ1077" s="454"/>
      <c r="BA1077" s="1306"/>
      <c r="BC1077" s="169"/>
    </row>
    <row r="1078" spans="19:55">
      <c r="S1078" s="454"/>
      <c r="AN1078" s="454"/>
      <c r="AY1078" s="454"/>
      <c r="AZ1078" s="454"/>
      <c r="BA1078" s="1306"/>
      <c r="BC1078" s="169"/>
    </row>
    <row r="1079" spans="19:55">
      <c r="S1079" s="454"/>
      <c r="AN1079" s="454"/>
      <c r="AY1079" s="454"/>
      <c r="AZ1079" s="454"/>
      <c r="BA1079" s="1306"/>
      <c r="BC1079" s="169"/>
    </row>
    <row r="1080" spans="19:55">
      <c r="S1080" s="454"/>
      <c r="AN1080" s="454"/>
      <c r="AY1080" s="454"/>
      <c r="AZ1080" s="454"/>
      <c r="BA1080" s="1306"/>
      <c r="BC1080" s="169"/>
    </row>
    <row r="1081" spans="19:55">
      <c r="S1081" s="454"/>
      <c r="AN1081" s="454"/>
      <c r="AY1081" s="454"/>
      <c r="AZ1081" s="454"/>
      <c r="BA1081" s="1306"/>
      <c r="BC1081" s="169"/>
    </row>
    <row r="1082" spans="19:55">
      <c r="S1082" s="454"/>
      <c r="AN1082" s="454"/>
      <c r="AY1082" s="454"/>
      <c r="AZ1082" s="454"/>
      <c r="BA1082" s="1306"/>
      <c r="BC1082" s="169"/>
    </row>
    <row r="1083" spans="19:55">
      <c r="S1083" s="454"/>
      <c r="AN1083" s="454"/>
      <c r="AY1083" s="454"/>
      <c r="AZ1083" s="454"/>
      <c r="BA1083" s="1306"/>
      <c r="BC1083" s="169"/>
    </row>
    <row r="1084" spans="19:55">
      <c r="S1084" s="454"/>
      <c r="AN1084" s="454"/>
      <c r="AY1084" s="454"/>
      <c r="AZ1084" s="454"/>
      <c r="BA1084" s="1306"/>
      <c r="BC1084" s="169"/>
    </row>
    <row r="1085" spans="19:55">
      <c r="S1085" s="454"/>
      <c r="AN1085" s="454"/>
      <c r="AY1085" s="454"/>
      <c r="AZ1085" s="454"/>
      <c r="BA1085" s="1267"/>
      <c r="BC1085" s="169"/>
    </row>
    <row r="1086" spans="19:55">
      <c r="S1086" s="454"/>
      <c r="AN1086" s="454"/>
      <c r="AY1086" s="454"/>
      <c r="AZ1086" s="454"/>
      <c r="BA1086" s="1267"/>
      <c r="BC1086" s="169"/>
    </row>
    <row r="1087" spans="19:55">
      <c r="S1087" s="454"/>
      <c r="AN1087" s="454"/>
      <c r="AY1087" s="454"/>
      <c r="AZ1087" s="454"/>
      <c r="BA1087" s="1267"/>
      <c r="BC1087" s="169"/>
    </row>
    <row r="1088" spans="19:55">
      <c r="S1088" s="454"/>
      <c r="AN1088" s="454"/>
      <c r="AY1088" s="454"/>
      <c r="AZ1088" s="454"/>
      <c r="BA1088" s="1267"/>
      <c r="BC1088" s="169"/>
    </row>
    <row r="1089" spans="19:55">
      <c r="S1089" s="454"/>
      <c r="AN1089" s="454"/>
      <c r="AY1089" s="454"/>
      <c r="AZ1089" s="454"/>
      <c r="BA1089" s="1267"/>
      <c r="BC1089" s="169"/>
    </row>
    <row r="1090" spans="19:55">
      <c r="S1090" s="454"/>
      <c r="AN1090" s="454"/>
      <c r="AY1090" s="454"/>
      <c r="AZ1090" s="454"/>
      <c r="BA1090" s="1267"/>
      <c r="BC1090" s="169"/>
    </row>
    <row r="1091" spans="19:55">
      <c r="S1091" s="454"/>
      <c r="AN1091" s="454"/>
      <c r="AY1091" s="454"/>
      <c r="AZ1091" s="454"/>
      <c r="BA1091" s="1267"/>
      <c r="BC1091" s="169"/>
    </row>
    <row r="1092" spans="19:55">
      <c r="S1092" s="454"/>
      <c r="AN1092" s="454"/>
      <c r="AY1092" s="454"/>
      <c r="AZ1092" s="454"/>
      <c r="BA1092" s="1267"/>
      <c r="BC1092" s="169"/>
    </row>
    <row r="1093" spans="19:55">
      <c r="S1093" s="454"/>
      <c r="AN1093" s="454"/>
      <c r="AY1093" s="454"/>
      <c r="AZ1093" s="454"/>
      <c r="BA1093" s="1267"/>
      <c r="BC1093" s="169"/>
    </row>
    <row r="1094" spans="19:55">
      <c r="S1094" s="454"/>
      <c r="AN1094" s="454"/>
      <c r="AY1094" s="454"/>
      <c r="AZ1094" s="454"/>
      <c r="BA1094" s="1267"/>
      <c r="BC1094" s="169"/>
    </row>
    <row r="1095" spans="19:55">
      <c r="S1095" s="454"/>
      <c r="AN1095" s="454"/>
      <c r="AY1095" s="454"/>
      <c r="AZ1095" s="454"/>
      <c r="BA1095" s="1267"/>
      <c r="BC1095" s="169"/>
    </row>
    <row r="1096" spans="19:55">
      <c r="S1096" s="454"/>
      <c r="AN1096" s="454"/>
      <c r="AY1096" s="454"/>
      <c r="AZ1096" s="454"/>
      <c r="BA1096" s="1267"/>
      <c r="BC1096" s="169"/>
    </row>
    <row r="1097" spans="19:55">
      <c r="S1097" s="454"/>
      <c r="AN1097" s="454"/>
      <c r="AY1097" s="454"/>
      <c r="AZ1097" s="454"/>
      <c r="BA1097" s="1267"/>
      <c r="BC1097" s="169"/>
    </row>
    <row r="1098" spans="19:55">
      <c r="S1098" s="454"/>
      <c r="AN1098" s="454"/>
      <c r="AY1098" s="454"/>
      <c r="AZ1098" s="454"/>
      <c r="BA1098" s="1267"/>
      <c r="BC1098" s="169"/>
    </row>
    <row r="1099" spans="19:55">
      <c r="S1099" s="454"/>
      <c r="AN1099" s="454"/>
      <c r="AY1099" s="454"/>
      <c r="AZ1099" s="454"/>
      <c r="BA1099" s="1267"/>
      <c r="BC1099" s="169"/>
    </row>
    <row r="1100" spans="19:55">
      <c r="S1100" s="454"/>
      <c r="AN1100" s="454"/>
      <c r="AY1100" s="454"/>
      <c r="AZ1100" s="454"/>
      <c r="BA1100" s="1267"/>
      <c r="BC1100" s="169"/>
    </row>
    <row r="1101" spans="19:55">
      <c r="S1101" s="454"/>
      <c r="AN1101" s="454"/>
      <c r="AY1101" s="454"/>
      <c r="AZ1101" s="454"/>
      <c r="BA1101" s="1267"/>
      <c r="BC1101" s="169"/>
    </row>
    <row r="1102" spans="19:55">
      <c r="S1102" s="454"/>
      <c r="AN1102" s="454"/>
      <c r="AY1102" s="454"/>
      <c r="AZ1102" s="454"/>
      <c r="BA1102" s="1267"/>
      <c r="BC1102" s="169"/>
    </row>
    <row r="1103" spans="19:55">
      <c r="S1103" s="454"/>
      <c r="AN1103" s="454"/>
      <c r="AY1103" s="454"/>
      <c r="AZ1103" s="454"/>
      <c r="BA1103" s="1267"/>
      <c r="BC1103" s="169"/>
    </row>
    <row r="1104" spans="19:55">
      <c r="S1104" s="454"/>
      <c r="AN1104" s="454"/>
      <c r="AY1104" s="454"/>
      <c r="AZ1104" s="454"/>
      <c r="BA1104" s="1267"/>
      <c r="BC1104" s="169"/>
    </row>
    <row r="1105" spans="19:55">
      <c r="S1105" s="454"/>
      <c r="AN1105" s="454"/>
      <c r="AY1105" s="454"/>
      <c r="AZ1105" s="454"/>
      <c r="BA1105" s="1267"/>
      <c r="BC1105" s="169"/>
    </row>
    <row r="1106" spans="19:55">
      <c r="S1106" s="454"/>
      <c r="AN1106" s="454"/>
      <c r="AY1106" s="454"/>
      <c r="AZ1106" s="454"/>
      <c r="BA1106" s="1267"/>
      <c r="BC1106" s="169"/>
    </row>
    <row r="1107" spans="19:55">
      <c r="S1107" s="454"/>
      <c r="AN1107" s="454"/>
      <c r="AY1107" s="454"/>
      <c r="AZ1107" s="454"/>
      <c r="BA1107" s="1267"/>
      <c r="BC1107" s="169"/>
    </row>
    <row r="1108" spans="19:55">
      <c r="S1108" s="454"/>
      <c r="AN1108" s="454"/>
      <c r="AY1108" s="454"/>
      <c r="AZ1108" s="454"/>
      <c r="BA1108" s="1267"/>
      <c r="BC1108" s="169"/>
    </row>
    <row r="1109" spans="19:55">
      <c r="S1109" s="454"/>
      <c r="AN1109" s="454"/>
      <c r="AY1109" s="454"/>
      <c r="AZ1109" s="454"/>
      <c r="BA1109" s="1267"/>
      <c r="BC1109" s="169"/>
    </row>
    <row r="1110" spans="19:55">
      <c r="S1110" s="454"/>
      <c r="AN1110" s="454"/>
      <c r="AY1110" s="454"/>
      <c r="AZ1110" s="454"/>
      <c r="BA1110" s="1267"/>
      <c r="BC1110" s="169"/>
    </row>
    <row r="1111" spans="19:55">
      <c r="S1111" s="454"/>
      <c r="AN1111" s="454"/>
      <c r="AY1111" s="454"/>
      <c r="AZ1111" s="454"/>
      <c r="BA1111" s="1267"/>
      <c r="BC1111" s="169"/>
    </row>
    <row r="1112" spans="19:55">
      <c r="S1112" s="454"/>
      <c r="AN1112" s="454"/>
      <c r="AY1112" s="454"/>
      <c r="AZ1112" s="454"/>
      <c r="BA1112" s="1267"/>
      <c r="BC1112" s="169"/>
    </row>
    <row r="1113" spans="19:55">
      <c r="S1113" s="454"/>
      <c r="AN1113" s="454"/>
      <c r="AY1113" s="454"/>
      <c r="AZ1113" s="454"/>
      <c r="BA1113" s="1267"/>
      <c r="BC1113" s="169"/>
    </row>
    <row r="1114" spans="19:55">
      <c r="S1114" s="454"/>
      <c r="AN1114" s="454"/>
      <c r="AY1114" s="454"/>
      <c r="AZ1114" s="454"/>
      <c r="BA1114" s="1267"/>
      <c r="BC1114" s="169"/>
    </row>
    <row r="1115" spans="19:55">
      <c r="S1115" s="454"/>
      <c r="AN1115" s="454"/>
      <c r="AY1115" s="454"/>
      <c r="AZ1115" s="454"/>
      <c r="BA1115" s="1267"/>
      <c r="BC1115" s="169"/>
    </row>
    <row r="1116" spans="19:55">
      <c r="S1116" s="454"/>
      <c r="AN1116" s="454"/>
      <c r="AY1116" s="454"/>
      <c r="AZ1116" s="454"/>
      <c r="BA1116" s="1267"/>
      <c r="BC1116" s="169"/>
    </row>
    <row r="1117" spans="19:55">
      <c r="S1117" s="454"/>
      <c r="AN1117" s="454"/>
      <c r="AY1117" s="454"/>
      <c r="AZ1117" s="454"/>
      <c r="BA1117" s="1267"/>
      <c r="BC1117" s="169"/>
    </row>
    <row r="1118" spans="19:55">
      <c r="S1118" s="454"/>
      <c r="AN1118" s="454"/>
      <c r="AY1118" s="454"/>
      <c r="AZ1118" s="454"/>
      <c r="BA1118" s="1267"/>
      <c r="BC1118" s="169"/>
    </row>
    <row r="1119" spans="19:55">
      <c r="S1119" s="454"/>
      <c r="AN1119" s="454"/>
      <c r="AY1119" s="454"/>
      <c r="AZ1119" s="454"/>
      <c r="BA1119" s="1267"/>
      <c r="BC1119" s="169"/>
    </row>
    <row r="1120" spans="19:55">
      <c r="S1120" s="454"/>
      <c r="AN1120" s="454"/>
      <c r="AY1120" s="454"/>
      <c r="AZ1120" s="454"/>
      <c r="BA1120" s="1267"/>
      <c r="BC1120" s="169"/>
    </row>
    <row r="1121" spans="19:55">
      <c r="S1121" s="454"/>
      <c r="AN1121" s="454"/>
      <c r="AY1121" s="454"/>
      <c r="AZ1121" s="454"/>
      <c r="BA1121" s="1267"/>
      <c r="BC1121" s="169"/>
    </row>
    <row r="1122" spans="19:55">
      <c r="S1122" s="454"/>
      <c r="AN1122" s="454"/>
      <c r="AY1122" s="454"/>
      <c r="AZ1122" s="454"/>
      <c r="BA1122" s="1267"/>
      <c r="BC1122" s="169"/>
    </row>
    <row r="1123" spans="19:55">
      <c r="S1123" s="454"/>
      <c r="AN1123" s="454"/>
      <c r="AY1123" s="454"/>
      <c r="AZ1123" s="454"/>
      <c r="BA1123" s="1267"/>
      <c r="BC1123" s="169"/>
    </row>
    <row r="1124" spans="19:55">
      <c r="S1124" s="454"/>
      <c r="AN1124" s="454"/>
      <c r="AY1124" s="454"/>
      <c r="AZ1124" s="454"/>
      <c r="BA1124" s="1267"/>
      <c r="BC1124" s="169"/>
    </row>
    <row r="1125" spans="19:55">
      <c r="S1125" s="454"/>
      <c r="AN1125" s="454"/>
      <c r="AY1125" s="454"/>
      <c r="AZ1125" s="454"/>
      <c r="BA1125" s="1267"/>
      <c r="BC1125" s="169"/>
    </row>
    <row r="1126" spans="19:55">
      <c r="S1126" s="454"/>
      <c r="AN1126" s="454"/>
      <c r="AY1126" s="454"/>
      <c r="AZ1126" s="454"/>
      <c r="BA1126" s="1267"/>
      <c r="BC1126" s="169"/>
    </row>
    <row r="1127" spans="19:55">
      <c r="S1127" s="454"/>
      <c r="AN1127" s="454"/>
      <c r="AY1127" s="454"/>
      <c r="AZ1127" s="454"/>
      <c r="BA1127" s="1267"/>
      <c r="BC1127" s="169"/>
    </row>
    <row r="1128" spans="19:55">
      <c r="S1128" s="454"/>
      <c r="AN1128" s="454"/>
      <c r="AY1128" s="454"/>
      <c r="AZ1128" s="454"/>
      <c r="BA1128" s="1267"/>
      <c r="BC1128" s="169"/>
    </row>
    <row r="1129" spans="19:55">
      <c r="S1129" s="454"/>
      <c r="AN1129" s="454"/>
      <c r="AY1129" s="454"/>
      <c r="AZ1129" s="454"/>
      <c r="BA1129" s="1267"/>
      <c r="BC1129" s="169"/>
    </row>
    <row r="1130" spans="19:55">
      <c r="S1130" s="454"/>
      <c r="AN1130" s="454"/>
      <c r="AY1130" s="454"/>
      <c r="AZ1130" s="454"/>
      <c r="BA1130" s="1267"/>
      <c r="BC1130" s="169"/>
    </row>
    <row r="1131" spans="19:55">
      <c r="S1131" s="454"/>
      <c r="AN1131" s="454"/>
      <c r="AY1131" s="454"/>
      <c r="AZ1131" s="454"/>
      <c r="BA1131" s="1267"/>
      <c r="BC1131" s="169"/>
    </row>
    <row r="1132" spans="19:55">
      <c r="S1132" s="454"/>
      <c r="AN1132" s="454"/>
      <c r="AY1132" s="454"/>
      <c r="AZ1132" s="454"/>
      <c r="BA1132" s="1267"/>
      <c r="BC1132" s="169"/>
    </row>
    <row r="1133" spans="19:55">
      <c r="S1133" s="454"/>
      <c r="AN1133" s="454"/>
      <c r="AY1133" s="454"/>
      <c r="AZ1133" s="454"/>
      <c r="BA1133" s="1267"/>
      <c r="BC1133" s="169"/>
    </row>
    <row r="1134" spans="19:55">
      <c r="S1134" s="454"/>
      <c r="AN1134" s="454"/>
      <c r="AY1134" s="454"/>
      <c r="AZ1134" s="454"/>
      <c r="BA1134" s="1267"/>
      <c r="BC1134" s="169"/>
    </row>
    <row r="1135" spans="19:55">
      <c r="S1135" s="454"/>
      <c r="AN1135" s="454"/>
      <c r="AY1135" s="454"/>
      <c r="AZ1135" s="454"/>
      <c r="BA1135" s="1267"/>
      <c r="BC1135" s="169"/>
    </row>
    <row r="1136" spans="19:55">
      <c r="S1136" s="454"/>
      <c r="AN1136" s="454"/>
      <c r="AY1136" s="454"/>
      <c r="AZ1136" s="454"/>
      <c r="BA1136" s="1267"/>
      <c r="BC1136" s="169"/>
    </row>
    <row r="1137" spans="19:55">
      <c r="S1137" s="454"/>
      <c r="AN1137" s="454"/>
      <c r="AY1137" s="454"/>
      <c r="AZ1137" s="454"/>
      <c r="BA1137" s="1267"/>
      <c r="BC1137" s="169"/>
    </row>
    <row r="1138" spans="19:55">
      <c r="S1138" s="454"/>
      <c r="AN1138" s="454"/>
      <c r="AY1138" s="454"/>
      <c r="AZ1138" s="454"/>
      <c r="BA1138" s="1267"/>
      <c r="BC1138" s="169"/>
    </row>
    <row r="1139" spans="19:55">
      <c r="S1139" s="454"/>
      <c r="AN1139" s="454"/>
      <c r="AY1139" s="454"/>
      <c r="AZ1139" s="454"/>
      <c r="BA1139" s="1267"/>
      <c r="BC1139" s="169"/>
    </row>
    <row r="1140" spans="19:55">
      <c r="S1140" s="454"/>
      <c r="AN1140" s="454"/>
      <c r="AY1140" s="454"/>
      <c r="AZ1140" s="454"/>
      <c r="BA1140" s="1267"/>
      <c r="BC1140" s="169"/>
    </row>
    <row r="1141" spans="19:55">
      <c r="S1141" s="454"/>
      <c r="AN1141" s="454"/>
      <c r="AY1141" s="454"/>
      <c r="AZ1141" s="454"/>
      <c r="BA1141" s="1267"/>
      <c r="BC1141" s="169"/>
    </row>
    <row r="1142" spans="19:55">
      <c r="S1142" s="454"/>
      <c r="AN1142" s="454"/>
      <c r="AY1142" s="454"/>
      <c r="AZ1142" s="454"/>
      <c r="BA1142" s="1267"/>
      <c r="BC1142" s="169"/>
    </row>
    <row r="1143" spans="19:55">
      <c r="S1143" s="454"/>
      <c r="AN1143" s="454"/>
      <c r="AY1143" s="454"/>
      <c r="AZ1143" s="454"/>
      <c r="BA1143" s="1267"/>
      <c r="BC1143" s="169"/>
    </row>
    <row r="1144" spans="19:55">
      <c r="S1144" s="454"/>
      <c r="AN1144" s="454"/>
      <c r="AY1144" s="454"/>
      <c r="AZ1144" s="454"/>
      <c r="BA1144" s="1267"/>
      <c r="BC1144" s="169"/>
    </row>
    <row r="1145" spans="19:55">
      <c r="S1145" s="454"/>
      <c r="AN1145" s="454"/>
      <c r="AY1145" s="454"/>
      <c r="AZ1145" s="454"/>
      <c r="BA1145" s="1267"/>
      <c r="BC1145" s="169"/>
    </row>
    <row r="1146" spans="19:55">
      <c r="S1146" s="454"/>
      <c r="AN1146" s="454"/>
      <c r="AY1146" s="454"/>
      <c r="AZ1146" s="454"/>
      <c r="BA1146" s="1267"/>
      <c r="BC1146" s="169"/>
    </row>
    <row r="1147" spans="19:55">
      <c r="S1147" s="454"/>
      <c r="AN1147" s="454"/>
      <c r="AY1147" s="454"/>
      <c r="AZ1147" s="454"/>
      <c r="BA1147" s="1267"/>
      <c r="BC1147" s="169"/>
    </row>
    <row r="1148" spans="19:55">
      <c r="S1148" s="454"/>
      <c r="AN1148" s="454"/>
      <c r="AY1148" s="454"/>
      <c r="AZ1148" s="454"/>
      <c r="BA1148" s="1267"/>
      <c r="BC1148" s="169"/>
    </row>
    <row r="1149" spans="19:55">
      <c r="S1149" s="454"/>
      <c r="AN1149" s="454"/>
      <c r="AY1149" s="454"/>
      <c r="AZ1149" s="454"/>
      <c r="BA1149" s="1267"/>
      <c r="BC1149" s="169"/>
    </row>
    <row r="1150" spans="19:55">
      <c r="S1150" s="454"/>
      <c r="AN1150" s="454"/>
      <c r="AY1150" s="454"/>
      <c r="AZ1150" s="454"/>
      <c r="BA1150" s="1267"/>
      <c r="BC1150" s="169"/>
    </row>
    <row r="1151" spans="19:55">
      <c r="S1151" s="454"/>
      <c r="AN1151" s="454"/>
      <c r="AY1151" s="454"/>
      <c r="AZ1151" s="454"/>
      <c r="BA1151" s="1267"/>
      <c r="BC1151" s="169"/>
    </row>
    <row r="1152" spans="19:55">
      <c r="S1152" s="454"/>
      <c r="AN1152" s="454"/>
      <c r="AY1152" s="454"/>
      <c r="AZ1152" s="454"/>
      <c r="BA1152" s="1267"/>
      <c r="BC1152" s="169"/>
    </row>
    <row r="1153" spans="19:55">
      <c r="S1153" s="454"/>
      <c r="AN1153" s="454"/>
      <c r="AY1153" s="454"/>
      <c r="AZ1153" s="454"/>
      <c r="BA1153" s="1267"/>
      <c r="BC1153" s="169"/>
    </row>
    <row r="1154" spans="19:55">
      <c r="S1154" s="454"/>
      <c r="AN1154" s="454"/>
      <c r="AY1154" s="454"/>
      <c r="AZ1154" s="454"/>
      <c r="BA1154" s="1267"/>
      <c r="BC1154" s="169"/>
    </row>
    <row r="1155" spans="19:55">
      <c r="S1155" s="454"/>
      <c r="AN1155" s="454"/>
      <c r="AY1155" s="454"/>
      <c r="AZ1155" s="454"/>
      <c r="BA1155" s="1267"/>
      <c r="BC1155" s="169"/>
    </row>
    <row r="1156" spans="19:55">
      <c r="S1156" s="454"/>
      <c r="AN1156" s="454"/>
      <c r="AY1156" s="454"/>
      <c r="AZ1156" s="454"/>
      <c r="BA1156" s="1267"/>
      <c r="BC1156" s="169"/>
    </row>
    <row r="1157" spans="19:55">
      <c r="S1157" s="454"/>
      <c r="AN1157" s="454"/>
      <c r="AY1157" s="454"/>
      <c r="AZ1157" s="454"/>
      <c r="BA1157" s="1267"/>
      <c r="BC1157" s="169"/>
    </row>
    <row r="1158" spans="19:55">
      <c r="S1158" s="454"/>
      <c r="AN1158" s="454"/>
      <c r="AY1158" s="454"/>
      <c r="AZ1158" s="454"/>
      <c r="BA1158" s="1267"/>
      <c r="BC1158" s="169"/>
    </row>
    <row r="1159" spans="19:55">
      <c r="S1159" s="454"/>
      <c r="AN1159" s="454"/>
      <c r="AY1159" s="454"/>
      <c r="AZ1159" s="454"/>
      <c r="BA1159" s="1267"/>
      <c r="BC1159" s="169"/>
    </row>
    <row r="1160" spans="19:55">
      <c r="S1160" s="454"/>
      <c r="AN1160" s="454"/>
      <c r="AY1160" s="454"/>
      <c r="AZ1160" s="454"/>
      <c r="BA1160" s="1267"/>
      <c r="BC1160" s="169"/>
    </row>
    <row r="1161" spans="19:55">
      <c r="S1161" s="454"/>
      <c r="AN1161" s="454"/>
      <c r="AY1161" s="454"/>
      <c r="AZ1161" s="454"/>
      <c r="BA1161" s="1267"/>
      <c r="BC1161" s="169"/>
    </row>
    <row r="1162" spans="19:55">
      <c r="S1162" s="454"/>
      <c r="AN1162" s="454"/>
      <c r="AY1162" s="454"/>
      <c r="AZ1162" s="454"/>
      <c r="BA1162" s="1267"/>
      <c r="BC1162" s="169"/>
    </row>
    <row r="1163" spans="19:55">
      <c r="S1163" s="454"/>
      <c r="AN1163" s="454"/>
      <c r="AY1163" s="454"/>
      <c r="AZ1163" s="454"/>
      <c r="BA1163" s="1267"/>
      <c r="BC1163" s="169"/>
    </row>
    <row r="1164" spans="19:55">
      <c r="S1164" s="454"/>
      <c r="AN1164" s="454"/>
      <c r="AY1164" s="454"/>
      <c r="AZ1164" s="454"/>
      <c r="BA1164" s="1267"/>
      <c r="BC1164" s="169"/>
    </row>
    <row r="1165" spans="19:55">
      <c r="S1165" s="454"/>
      <c r="AN1165" s="454"/>
      <c r="AY1165" s="454"/>
      <c r="AZ1165" s="454"/>
      <c r="BA1165" s="1267"/>
      <c r="BC1165" s="169"/>
    </row>
    <row r="1166" spans="19:55">
      <c r="S1166" s="454"/>
      <c r="AN1166" s="454"/>
      <c r="AY1166" s="454"/>
      <c r="AZ1166" s="454"/>
      <c r="BA1166" s="1267"/>
      <c r="BC1166" s="169"/>
    </row>
    <row r="1167" spans="19:55">
      <c r="S1167" s="454"/>
      <c r="AN1167" s="454"/>
      <c r="AY1167" s="454"/>
      <c r="AZ1167" s="454"/>
      <c r="BA1167" s="1267"/>
      <c r="BC1167" s="169"/>
    </row>
    <row r="1168" spans="19:55">
      <c r="S1168" s="454"/>
      <c r="AN1168" s="454"/>
      <c r="AY1168" s="454"/>
      <c r="AZ1168" s="454"/>
      <c r="BA1168" s="1267"/>
      <c r="BC1168" s="169"/>
    </row>
    <row r="1169" spans="19:55">
      <c r="S1169" s="454"/>
      <c r="AN1169" s="454"/>
      <c r="AY1169" s="454"/>
      <c r="AZ1169" s="454"/>
      <c r="BA1169" s="1267"/>
      <c r="BC1169" s="169"/>
    </row>
    <row r="1170" spans="19:55">
      <c r="S1170" s="454"/>
      <c r="AN1170" s="454"/>
      <c r="AY1170" s="454"/>
      <c r="AZ1170" s="454"/>
      <c r="BA1170" s="1267"/>
      <c r="BC1170" s="169"/>
    </row>
    <row r="1171" spans="19:55">
      <c r="S1171" s="454"/>
      <c r="AN1171" s="454"/>
      <c r="AY1171" s="454"/>
      <c r="AZ1171" s="454"/>
      <c r="BA1171" s="1267"/>
      <c r="BC1171" s="169"/>
    </row>
    <row r="1172" spans="19:55">
      <c r="S1172" s="454"/>
      <c r="AN1172" s="454"/>
      <c r="AY1172" s="454"/>
      <c r="AZ1172" s="454"/>
      <c r="BA1172" s="1267"/>
      <c r="BC1172" s="169"/>
    </row>
    <row r="1173" spans="19:55">
      <c r="S1173" s="454"/>
      <c r="AN1173" s="454"/>
      <c r="AY1173" s="454"/>
      <c r="AZ1173" s="454"/>
      <c r="BA1173" s="1267"/>
      <c r="BC1173" s="169"/>
    </row>
    <row r="1174" spans="19:55">
      <c r="S1174" s="454"/>
      <c r="AN1174" s="454"/>
      <c r="AY1174" s="454"/>
      <c r="AZ1174" s="454"/>
      <c r="BA1174" s="1267"/>
      <c r="BC1174" s="169"/>
    </row>
    <row r="1175" spans="19:55">
      <c r="S1175" s="454"/>
      <c r="AN1175" s="454"/>
      <c r="AY1175" s="454"/>
      <c r="AZ1175" s="454"/>
      <c r="BA1175" s="1267"/>
      <c r="BC1175" s="169"/>
    </row>
    <row r="1176" spans="19:55">
      <c r="S1176" s="454"/>
      <c r="AN1176" s="454"/>
      <c r="AY1176" s="454"/>
      <c r="AZ1176" s="454"/>
      <c r="BA1176" s="1267"/>
      <c r="BC1176" s="169"/>
    </row>
    <row r="1177" spans="19:55">
      <c r="S1177" s="454"/>
      <c r="AN1177" s="454"/>
      <c r="AY1177" s="454"/>
      <c r="AZ1177" s="454"/>
      <c r="BA1177" s="1267"/>
      <c r="BC1177" s="169"/>
    </row>
    <row r="1178" spans="19:55">
      <c r="S1178" s="454"/>
      <c r="AN1178" s="454"/>
      <c r="AY1178" s="454"/>
      <c r="AZ1178" s="454"/>
      <c r="BA1178" s="1267"/>
      <c r="BC1178" s="169"/>
    </row>
    <row r="1179" spans="19:55">
      <c r="S1179" s="454"/>
      <c r="AN1179" s="454"/>
      <c r="AY1179" s="454"/>
      <c r="AZ1179" s="454"/>
      <c r="BA1179" s="1267"/>
      <c r="BC1179" s="169"/>
    </row>
    <row r="1180" spans="19:55">
      <c r="S1180" s="454"/>
      <c r="AN1180" s="454"/>
      <c r="AY1180" s="454"/>
      <c r="AZ1180" s="454"/>
      <c r="BA1180" s="1267"/>
      <c r="BC1180" s="169"/>
    </row>
    <row r="1181" spans="19:55">
      <c r="S1181" s="454"/>
      <c r="AN1181" s="454"/>
      <c r="AY1181" s="454"/>
      <c r="AZ1181" s="454"/>
      <c r="BA1181" s="1267"/>
      <c r="BC1181" s="169"/>
    </row>
    <row r="1182" spans="19:55">
      <c r="S1182" s="454"/>
      <c r="AN1182" s="454"/>
      <c r="AY1182" s="454"/>
      <c r="AZ1182" s="454"/>
      <c r="BA1182" s="1267"/>
      <c r="BC1182" s="169"/>
    </row>
    <row r="1183" spans="19:55">
      <c r="S1183" s="454"/>
      <c r="AN1183" s="454"/>
      <c r="AY1183" s="454"/>
      <c r="AZ1183" s="454"/>
      <c r="BA1183" s="1267"/>
      <c r="BC1183" s="169"/>
    </row>
    <row r="1184" spans="19:55">
      <c r="S1184" s="454"/>
      <c r="AN1184" s="454"/>
      <c r="AY1184" s="454"/>
      <c r="AZ1184" s="454"/>
      <c r="BA1184" s="1267"/>
      <c r="BC1184" s="169"/>
    </row>
    <row r="1185" spans="19:55">
      <c r="S1185" s="454"/>
      <c r="AN1185" s="454"/>
      <c r="AY1185" s="454"/>
      <c r="AZ1185" s="454"/>
      <c r="BA1185" s="1267"/>
      <c r="BC1185" s="169"/>
    </row>
    <row r="1186" spans="19:55">
      <c r="S1186" s="454"/>
      <c r="AN1186" s="454"/>
      <c r="AY1186" s="454"/>
      <c r="AZ1186" s="454"/>
      <c r="BA1186" s="1267"/>
      <c r="BC1186" s="169"/>
    </row>
    <row r="1187" spans="19:55">
      <c r="S1187" s="454"/>
      <c r="AN1187" s="454"/>
      <c r="AY1187" s="454"/>
      <c r="AZ1187" s="454"/>
      <c r="BA1187" s="1267"/>
      <c r="BC1187" s="169"/>
    </row>
    <row r="1188" spans="19:55">
      <c r="S1188" s="454"/>
      <c r="AN1188" s="454"/>
      <c r="AY1188" s="454"/>
      <c r="AZ1188" s="454"/>
      <c r="BA1188" s="1267"/>
      <c r="BC1188" s="169"/>
    </row>
    <row r="1189" spans="19:55">
      <c r="S1189" s="454"/>
      <c r="AN1189" s="454"/>
      <c r="AY1189" s="454"/>
      <c r="AZ1189" s="454"/>
      <c r="BA1189" s="1267"/>
      <c r="BC1189" s="169"/>
    </row>
    <row r="1190" spans="19:55">
      <c r="S1190" s="454"/>
      <c r="AN1190" s="454"/>
      <c r="AY1190" s="454"/>
      <c r="AZ1190" s="454"/>
      <c r="BA1190" s="1267"/>
      <c r="BC1190" s="169"/>
    </row>
    <row r="1191" spans="19:55">
      <c r="S1191" s="454"/>
      <c r="AN1191" s="454"/>
      <c r="AY1191" s="454"/>
      <c r="AZ1191" s="454"/>
      <c r="BA1191" s="1267"/>
      <c r="BC1191" s="169"/>
    </row>
    <row r="1192" spans="19:55">
      <c r="S1192" s="454"/>
      <c r="AN1192" s="454"/>
      <c r="AY1192" s="454"/>
      <c r="AZ1192" s="454"/>
      <c r="BA1192" s="1267"/>
      <c r="BC1192" s="169"/>
    </row>
    <row r="1193" spans="19:55">
      <c r="S1193" s="454"/>
      <c r="AN1193" s="454"/>
      <c r="AY1193" s="454"/>
      <c r="AZ1193" s="454"/>
      <c r="BA1193" s="1267"/>
      <c r="BC1193" s="169"/>
    </row>
    <row r="1194" spans="19:55">
      <c r="S1194" s="454"/>
      <c r="AN1194" s="454"/>
      <c r="AY1194" s="454"/>
      <c r="AZ1194" s="454"/>
      <c r="BA1194" s="1267"/>
      <c r="BC1194" s="169"/>
    </row>
    <row r="1195" spans="19:55">
      <c r="S1195" s="454"/>
      <c r="AN1195" s="454"/>
      <c r="AY1195" s="454"/>
      <c r="AZ1195" s="454"/>
      <c r="BA1195" s="1267"/>
      <c r="BC1195" s="169"/>
    </row>
    <row r="1196" spans="19:55">
      <c r="S1196" s="454"/>
      <c r="AN1196" s="454"/>
      <c r="AY1196" s="454"/>
      <c r="AZ1196" s="454"/>
      <c r="BA1196" s="1267"/>
      <c r="BC1196" s="169"/>
    </row>
    <row r="1197" spans="19:55">
      <c r="S1197" s="454"/>
      <c r="AN1197" s="454"/>
      <c r="AY1197" s="454"/>
      <c r="AZ1197" s="454"/>
      <c r="BA1197" s="1267"/>
      <c r="BC1197" s="169"/>
    </row>
    <row r="1198" spans="19:55">
      <c r="S1198" s="454"/>
      <c r="AN1198" s="454"/>
      <c r="AY1198" s="454"/>
      <c r="AZ1198" s="454"/>
      <c r="BA1198" s="1267"/>
      <c r="BC1198" s="169"/>
    </row>
    <row r="1199" spans="19:55">
      <c r="S1199" s="454"/>
      <c r="AN1199" s="454"/>
      <c r="AY1199" s="454"/>
      <c r="AZ1199" s="454"/>
      <c r="BA1199" s="1267"/>
      <c r="BC1199" s="169"/>
    </row>
    <row r="1200" spans="19:55">
      <c r="S1200" s="454"/>
      <c r="AN1200" s="454"/>
      <c r="AY1200" s="454"/>
      <c r="AZ1200" s="454"/>
      <c r="BA1200" s="1267"/>
      <c r="BC1200" s="169"/>
    </row>
    <row r="1201" spans="19:55">
      <c r="S1201" s="454"/>
      <c r="AN1201" s="454"/>
      <c r="AY1201" s="454"/>
      <c r="AZ1201" s="454"/>
      <c r="BA1201" s="1267"/>
      <c r="BC1201" s="169"/>
    </row>
    <row r="1202" spans="19:55">
      <c r="S1202" s="454"/>
      <c r="AN1202" s="454"/>
      <c r="AY1202" s="454"/>
      <c r="AZ1202" s="454"/>
      <c r="BA1202" s="1267"/>
      <c r="BC1202" s="169"/>
    </row>
    <row r="1203" spans="19:55">
      <c r="S1203" s="454"/>
      <c r="AN1203" s="454"/>
      <c r="AY1203" s="454"/>
      <c r="AZ1203" s="454"/>
      <c r="BA1203" s="1267"/>
      <c r="BC1203" s="169"/>
    </row>
    <row r="1204" spans="19:55">
      <c r="S1204" s="454"/>
      <c r="AN1204" s="454"/>
      <c r="AY1204" s="454"/>
      <c r="AZ1204" s="454"/>
      <c r="BA1204" s="1267"/>
      <c r="BC1204" s="169"/>
    </row>
    <row r="1205" spans="19:55">
      <c r="S1205" s="454"/>
      <c r="AN1205" s="454"/>
      <c r="AY1205" s="454"/>
      <c r="AZ1205" s="454"/>
      <c r="BA1205" s="1267"/>
      <c r="BC1205" s="169"/>
    </row>
    <row r="1206" spans="19:55">
      <c r="S1206" s="454"/>
      <c r="AN1206" s="454"/>
      <c r="AY1206" s="454"/>
      <c r="AZ1206" s="454"/>
      <c r="BA1206" s="1267"/>
      <c r="BC1206" s="169"/>
    </row>
    <row r="1207" spans="19:55">
      <c r="S1207" s="454"/>
      <c r="AN1207" s="454"/>
      <c r="AY1207" s="454"/>
      <c r="AZ1207" s="454"/>
      <c r="BA1207" s="1267"/>
      <c r="BC1207" s="169"/>
    </row>
    <row r="1208" spans="19:55">
      <c r="S1208" s="454"/>
      <c r="AN1208" s="454"/>
      <c r="AY1208" s="454"/>
      <c r="AZ1208" s="454"/>
      <c r="BA1208" s="1267"/>
      <c r="BC1208" s="169"/>
    </row>
    <row r="1209" spans="19:55">
      <c r="S1209" s="454"/>
      <c r="AN1209" s="454"/>
      <c r="AY1209" s="454"/>
      <c r="AZ1209" s="454"/>
      <c r="BA1209" s="1267"/>
      <c r="BC1209" s="169"/>
    </row>
    <row r="1210" spans="19:55">
      <c r="S1210" s="454"/>
      <c r="AN1210" s="454"/>
      <c r="AY1210" s="454"/>
      <c r="AZ1210" s="454"/>
      <c r="BA1210" s="1267"/>
      <c r="BC1210" s="169"/>
    </row>
    <row r="1211" spans="19:55">
      <c r="S1211" s="454"/>
      <c r="AN1211" s="454"/>
      <c r="AY1211" s="454"/>
      <c r="AZ1211" s="454"/>
      <c r="BA1211" s="1267"/>
      <c r="BC1211" s="169"/>
    </row>
    <row r="1212" spans="19:55">
      <c r="S1212" s="454"/>
      <c r="AN1212" s="454"/>
      <c r="AY1212" s="454"/>
      <c r="AZ1212" s="454"/>
      <c r="BA1212" s="1267"/>
      <c r="BC1212" s="169"/>
    </row>
    <row r="1213" spans="19:55">
      <c r="S1213" s="454"/>
      <c r="AN1213" s="454"/>
      <c r="AY1213" s="454"/>
      <c r="AZ1213" s="454"/>
      <c r="BA1213" s="1267"/>
      <c r="BC1213" s="169"/>
    </row>
    <row r="1214" spans="19:55">
      <c r="S1214" s="454"/>
      <c r="AN1214" s="454"/>
      <c r="AY1214" s="454"/>
      <c r="AZ1214" s="454"/>
      <c r="BA1214" s="1267"/>
      <c r="BC1214" s="169"/>
    </row>
    <row r="1215" spans="19:55">
      <c r="S1215" s="454"/>
      <c r="AN1215" s="454"/>
      <c r="AY1215" s="454"/>
      <c r="AZ1215" s="454"/>
      <c r="BA1215" s="1267"/>
      <c r="BC1215" s="169"/>
    </row>
    <row r="1216" spans="19:55">
      <c r="S1216" s="454"/>
      <c r="AN1216" s="454"/>
      <c r="AY1216" s="454"/>
      <c r="AZ1216" s="454"/>
      <c r="BA1216" s="1267"/>
      <c r="BC1216" s="169"/>
    </row>
    <row r="1217" spans="19:55">
      <c r="S1217" s="454"/>
      <c r="AN1217" s="454"/>
      <c r="AY1217" s="454"/>
      <c r="AZ1217" s="454"/>
      <c r="BA1217" s="1267"/>
      <c r="BC1217" s="169"/>
    </row>
    <row r="1218" spans="19:55">
      <c r="S1218" s="454"/>
      <c r="AN1218" s="454"/>
      <c r="AY1218" s="454"/>
      <c r="AZ1218" s="454"/>
      <c r="BA1218" s="1267"/>
      <c r="BC1218" s="169"/>
    </row>
    <row r="1219" spans="19:55">
      <c r="S1219" s="454"/>
      <c r="AN1219" s="454"/>
      <c r="AY1219" s="454"/>
      <c r="AZ1219" s="454"/>
      <c r="BA1219" s="1267"/>
      <c r="BC1219" s="169"/>
    </row>
    <row r="1220" spans="19:55">
      <c r="S1220" s="454"/>
      <c r="AN1220" s="454"/>
      <c r="AY1220" s="454"/>
      <c r="AZ1220" s="454"/>
      <c r="BA1220" s="1267"/>
      <c r="BC1220" s="169"/>
    </row>
    <row r="1221" spans="19:55">
      <c r="S1221" s="454"/>
      <c r="AN1221" s="454"/>
      <c r="AY1221" s="454"/>
      <c r="AZ1221" s="454"/>
      <c r="BA1221" s="1267"/>
      <c r="BC1221" s="169"/>
    </row>
    <row r="1222" spans="19:55">
      <c r="S1222" s="454"/>
      <c r="AN1222" s="454"/>
      <c r="AY1222" s="454"/>
      <c r="AZ1222" s="454"/>
      <c r="BA1222" s="1267"/>
      <c r="BC1222" s="169"/>
    </row>
    <row r="1223" spans="19:55">
      <c r="S1223" s="454"/>
      <c r="AN1223" s="454"/>
      <c r="AY1223" s="454"/>
      <c r="AZ1223" s="454"/>
      <c r="BA1223" s="1267"/>
      <c r="BC1223" s="169"/>
    </row>
    <row r="1224" spans="19:55">
      <c r="S1224" s="454"/>
      <c r="AN1224" s="454"/>
      <c r="AY1224" s="454"/>
      <c r="AZ1224" s="454"/>
      <c r="BA1224" s="1267"/>
      <c r="BC1224" s="169"/>
    </row>
    <row r="1225" spans="19:55">
      <c r="S1225" s="454"/>
      <c r="AN1225" s="454"/>
      <c r="AY1225" s="454"/>
      <c r="AZ1225" s="454"/>
      <c r="BA1225" s="1267"/>
      <c r="BC1225" s="169"/>
    </row>
    <row r="1226" spans="19:55">
      <c r="S1226" s="454"/>
      <c r="AN1226" s="454"/>
      <c r="AY1226" s="454"/>
      <c r="AZ1226" s="454"/>
      <c r="BA1226" s="1267"/>
      <c r="BC1226" s="169"/>
    </row>
    <row r="1227" spans="19:55">
      <c r="S1227" s="454"/>
      <c r="AN1227" s="454"/>
      <c r="AY1227" s="454"/>
      <c r="AZ1227" s="454"/>
      <c r="BA1227" s="1267"/>
      <c r="BC1227" s="169"/>
    </row>
    <row r="1228" spans="19:55">
      <c r="S1228" s="454"/>
      <c r="AN1228" s="454"/>
      <c r="AY1228" s="454"/>
      <c r="AZ1228" s="454"/>
      <c r="BA1228" s="1267"/>
      <c r="BC1228" s="169"/>
    </row>
    <row r="1229" spans="19:55">
      <c r="S1229" s="454"/>
      <c r="AN1229" s="454"/>
      <c r="AY1229" s="454"/>
      <c r="AZ1229" s="454"/>
      <c r="BA1229" s="1267"/>
      <c r="BC1229" s="169"/>
    </row>
    <row r="1230" spans="19:55">
      <c r="S1230" s="454"/>
      <c r="AN1230" s="454"/>
      <c r="AY1230" s="454"/>
      <c r="AZ1230" s="454"/>
      <c r="BA1230" s="1267"/>
      <c r="BC1230" s="169"/>
    </row>
    <row r="1231" spans="19:55">
      <c r="S1231" s="454"/>
      <c r="AN1231" s="454"/>
      <c r="AY1231" s="454"/>
      <c r="AZ1231" s="454"/>
      <c r="BA1231" s="1267"/>
      <c r="BC1231" s="169"/>
    </row>
    <row r="1232" spans="19:55">
      <c r="S1232" s="454"/>
      <c r="AN1232" s="454"/>
      <c r="AY1232" s="454"/>
      <c r="AZ1232" s="454"/>
      <c r="BA1232" s="1267"/>
      <c r="BC1232" s="169"/>
    </row>
    <row r="1233" spans="19:55">
      <c r="S1233" s="454"/>
      <c r="AN1233" s="454"/>
      <c r="AY1233" s="454"/>
      <c r="AZ1233" s="454"/>
      <c r="BA1233" s="1267"/>
      <c r="BC1233" s="169"/>
    </row>
    <row r="1234" spans="19:55">
      <c r="S1234" s="454"/>
      <c r="AN1234" s="454"/>
      <c r="AY1234" s="454"/>
      <c r="AZ1234" s="454"/>
      <c r="BA1234" s="1267"/>
      <c r="BC1234" s="169"/>
    </row>
    <row r="1235" spans="19:55">
      <c r="S1235" s="454"/>
      <c r="AN1235" s="454"/>
      <c r="AY1235" s="454"/>
      <c r="AZ1235" s="454"/>
      <c r="BA1235" s="1267"/>
      <c r="BC1235" s="169"/>
    </row>
    <row r="1236" spans="19:55">
      <c r="S1236" s="454"/>
      <c r="AN1236" s="454"/>
      <c r="AY1236" s="454"/>
      <c r="AZ1236" s="454"/>
      <c r="BA1236" s="1267"/>
      <c r="BC1236" s="169"/>
    </row>
    <row r="1237" spans="19:55">
      <c r="S1237" s="454"/>
      <c r="AN1237" s="454"/>
      <c r="AY1237" s="454"/>
      <c r="AZ1237" s="454"/>
      <c r="BA1237" s="1267"/>
      <c r="BC1237" s="169"/>
    </row>
    <row r="1238" spans="19:55">
      <c r="S1238" s="454"/>
      <c r="AN1238" s="454"/>
      <c r="AY1238" s="454"/>
      <c r="AZ1238" s="454"/>
      <c r="BA1238" s="1267"/>
      <c r="BC1238" s="169"/>
    </row>
    <row r="1239" spans="19:55">
      <c r="S1239" s="454"/>
      <c r="AN1239" s="454"/>
      <c r="AY1239" s="454"/>
      <c r="AZ1239" s="454"/>
      <c r="BA1239" s="1267"/>
      <c r="BC1239" s="169"/>
    </row>
    <row r="1240" spans="19:55">
      <c r="S1240" s="454"/>
      <c r="AN1240" s="454"/>
      <c r="AY1240" s="454"/>
      <c r="AZ1240" s="454"/>
      <c r="BA1240" s="1267"/>
      <c r="BC1240" s="169"/>
    </row>
    <row r="1241" spans="19:55">
      <c r="S1241" s="454"/>
      <c r="AN1241" s="454"/>
      <c r="AY1241" s="454"/>
      <c r="AZ1241" s="454"/>
      <c r="BA1241" s="1267"/>
      <c r="BC1241" s="169"/>
    </row>
    <row r="1242" spans="19:55">
      <c r="S1242" s="454"/>
      <c r="AN1242" s="454"/>
      <c r="AY1242" s="454"/>
      <c r="AZ1242" s="454"/>
      <c r="BA1242" s="1267"/>
      <c r="BC1242" s="169"/>
    </row>
    <row r="1243" spans="19:55">
      <c r="S1243" s="454"/>
      <c r="AN1243" s="454"/>
      <c r="AY1243" s="454"/>
      <c r="AZ1243" s="454"/>
      <c r="BA1243" s="1267"/>
      <c r="BC1243" s="169"/>
    </row>
    <row r="1244" spans="19:55">
      <c r="S1244" s="454"/>
      <c r="AN1244" s="454"/>
      <c r="AY1244" s="454"/>
      <c r="AZ1244" s="454"/>
      <c r="BA1244" s="1267"/>
      <c r="BC1244" s="169"/>
    </row>
    <row r="1245" spans="19:55">
      <c r="S1245" s="454"/>
      <c r="AN1245" s="454"/>
      <c r="AY1245" s="454"/>
      <c r="AZ1245" s="454"/>
      <c r="BA1245" s="1267"/>
      <c r="BC1245" s="169"/>
    </row>
    <row r="1246" spans="19:55">
      <c r="S1246" s="454"/>
      <c r="AN1246" s="454"/>
      <c r="AY1246" s="454"/>
      <c r="AZ1246" s="454"/>
      <c r="BA1246" s="1267"/>
      <c r="BC1246" s="169"/>
    </row>
    <row r="1247" spans="19:55">
      <c r="S1247" s="454"/>
      <c r="AN1247" s="454"/>
      <c r="AY1247" s="454"/>
      <c r="AZ1247" s="454"/>
      <c r="BA1247" s="1267"/>
      <c r="BC1247" s="169"/>
    </row>
    <row r="1248" spans="19:55">
      <c r="S1248" s="454"/>
      <c r="AN1248" s="454"/>
      <c r="AY1248" s="454"/>
      <c r="AZ1248" s="454"/>
      <c r="BA1248" s="1267"/>
      <c r="BC1248" s="169"/>
    </row>
    <row r="1249" spans="19:55">
      <c r="S1249" s="454"/>
      <c r="AN1249" s="454"/>
      <c r="AY1249" s="454"/>
      <c r="AZ1249" s="454"/>
      <c r="BA1249" s="1267"/>
      <c r="BC1249" s="169"/>
    </row>
    <row r="1250" spans="19:55">
      <c r="S1250" s="454"/>
      <c r="AN1250" s="454"/>
      <c r="AY1250" s="454"/>
      <c r="AZ1250" s="454"/>
      <c r="BA1250" s="1267"/>
      <c r="BC1250" s="169"/>
    </row>
    <row r="1251" spans="19:55">
      <c r="S1251" s="454"/>
      <c r="AN1251" s="454"/>
      <c r="AY1251" s="454"/>
      <c r="AZ1251" s="454"/>
      <c r="BA1251" s="1267"/>
      <c r="BC1251" s="169"/>
    </row>
    <row r="1252" spans="19:55">
      <c r="S1252" s="454"/>
      <c r="AN1252" s="454"/>
      <c r="AY1252" s="454"/>
      <c r="AZ1252" s="454"/>
      <c r="BA1252" s="1267"/>
      <c r="BC1252" s="169"/>
    </row>
    <row r="1253" spans="19:55">
      <c r="S1253" s="454"/>
      <c r="AN1253" s="454"/>
      <c r="AY1253" s="454"/>
      <c r="AZ1253" s="454"/>
      <c r="BA1253" s="1267"/>
      <c r="BC1253" s="169"/>
    </row>
    <row r="1254" spans="19:55">
      <c r="S1254" s="454"/>
      <c r="AN1254" s="454"/>
      <c r="AY1254" s="454"/>
      <c r="AZ1254" s="454"/>
      <c r="BA1254" s="1267"/>
      <c r="BC1254" s="169"/>
    </row>
    <row r="1255" spans="19:55">
      <c r="S1255" s="454"/>
      <c r="AN1255" s="454"/>
      <c r="AY1255" s="454"/>
      <c r="AZ1255" s="454"/>
      <c r="BA1255" s="1267"/>
      <c r="BC1255" s="169"/>
    </row>
    <row r="1256" spans="19:55">
      <c r="S1256" s="454"/>
      <c r="AN1256" s="454"/>
      <c r="AY1256" s="454"/>
      <c r="AZ1256" s="454"/>
      <c r="BA1256" s="1267"/>
      <c r="BC1256" s="169"/>
    </row>
    <row r="1257" spans="19:55">
      <c r="S1257" s="454"/>
      <c r="AN1257" s="454"/>
      <c r="AY1257" s="454"/>
      <c r="AZ1257" s="454"/>
      <c r="BA1257" s="1267"/>
      <c r="BC1257" s="169"/>
    </row>
    <row r="1258" spans="19:55">
      <c r="S1258" s="454"/>
      <c r="AN1258" s="454"/>
      <c r="AY1258" s="454"/>
      <c r="AZ1258" s="454"/>
      <c r="BA1258" s="1267"/>
      <c r="BC1258" s="169"/>
    </row>
    <row r="1259" spans="19:55">
      <c r="S1259" s="454"/>
      <c r="AN1259" s="454"/>
      <c r="AY1259" s="454"/>
      <c r="AZ1259" s="454"/>
      <c r="BA1259" s="1267"/>
      <c r="BC1259" s="169"/>
    </row>
    <row r="1260" spans="19:55">
      <c r="S1260" s="454"/>
      <c r="AN1260" s="454"/>
      <c r="AY1260" s="454"/>
      <c r="AZ1260" s="454"/>
      <c r="BA1260" s="1267"/>
      <c r="BC1260" s="169"/>
    </row>
    <row r="1261" spans="19:55">
      <c r="S1261" s="454"/>
      <c r="AN1261" s="454"/>
      <c r="AY1261" s="454"/>
      <c r="AZ1261" s="454"/>
      <c r="BA1261" s="1267"/>
      <c r="BC1261" s="169"/>
    </row>
    <row r="1262" spans="19:55">
      <c r="S1262" s="454"/>
      <c r="AN1262" s="454"/>
      <c r="AY1262" s="454"/>
      <c r="AZ1262" s="454"/>
      <c r="BA1262" s="1267"/>
      <c r="BC1262" s="169"/>
    </row>
    <row r="1263" spans="19:55">
      <c r="S1263" s="454"/>
      <c r="AN1263" s="454"/>
      <c r="AY1263" s="454"/>
      <c r="AZ1263" s="454"/>
      <c r="BA1263" s="1267"/>
      <c r="BC1263" s="169"/>
    </row>
    <row r="1264" spans="19:55">
      <c r="S1264" s="454"/>
      <c r="AN1264" s="454"/>
      <c r="AY1264" s="454"/>
      <c r="AZ1264" s="454"/>
      <c r="BA1264" s="1267"/>
      <c r="BC1264" s="169"/>
    </row>
    <row r="1265" spans="19:55">
      <c r="S1265" s="454"/>
      <c r="AN1265" s="454"/>
      <c r="AY1265" s="454"/>
      <c r="AZ1265" s="454"/>
      <c r="BA1265" s="1267"/>
      <c r="BC1265" s="169"/>
    </row>
    <row r="1266" spans="19:55">
      <c r="S1266" s="454"/>
      <c r="AN1266" s="454"/>
      <c r="AY1266" s="454"/>
      <c r="AZ1266" s="454"/>
      <c r="BA1266" s="1267"/>
      <c r="BC1266" s="169"/>
    </row>
    <row r="1267" spans="19:55">
      <c r="S1267" s="454"/>
      <c r="AN1267" s="454"/>
      <c r="AY1267" s="454"/>
      <c r="AZ1267" s="454"/>
      <c r="BA1267" s="1267"/>
      <c r="BC1267" s="169"/>
    </row>
    <row r="1268" spans="19:55">
      <c r="S1268" s="454"/>
      <c r="AN1268" s="454"/>
      <c r="AY1268" s="454"/>
      <c r="AZ1268" s="454"/>
      <c r="BA1268" s="1267"/>
      <c r="BC1268" s="169"/>
    </row>
    <row r="1269" spans="19:55">
      <c r="S1269" s="454"/>
      <c r="AN1269" s="454"/>
      <c r="AY1269" s="454"/>
      <c r="AZ1269" s="454"/>
      <c r="BA1269" s="1267"/>
      <c r="BC1269" s="169"/>
    </row>
    <row r="1270" spans="19:55">
      <c r="S1270" s="454"/>
      <c r="AN1270" s="454"/>
      <c r="AY1270" s="454"/>
      <c r="AZ1270" s="454"/>
      <c r="BA1270" s="1267"/>
      <c r="BC1270" s="169"/>
    </row>
    <row r="1271" spans="19:55">
      <c r="S1271" s="454"/>
      <c r="AN1271" s="454"/>
      <c r="AY1271" s="454"/>
      <c r="AZ1271" s="454"/>
      <c r="BA1271" s="1267"/>
      <c r="BC1271" s="169"/>
    </row>
    <row r="1272" spans="19:55">
      <c r="S1272" s="454"/>
      <c r="AN1272" s="454"/>
      <c r="AY1272" s="454"/>
      <c r="AZ1272" s="454"/>
      <c r="BA1272" s="1267"/>
      <c r="BC1272" s="169"/>
    </row>
    <row r="1273" spans="19:55">
      <c r="S1273" s="454"/>
      <c r="AN1273" s="454"/>
      <c r="AY1273" s="454"/>
      <c r="AZ1273" s="454"/>
      <c r="BA1273" s="1267"/>
      <c r="BC1273" s="169"/>
    </row>
    <row r="1274" spans="19:55">
      <c r="S1274" s="454"/>
      <c r="AN1274" s="454"/>
      <c r="AY1274" s="454"/>
      <c r="AZ1274" s="454"/>
      <c r="BA1274" s="1267"/>
      <c r="BC1274" s="169"/>
    </row>
    <row r="1275" spans="19:55">
      <c r="S1275" s="454"/>
      <c r="AN1275" s="454"/>
      <c r="AY1275" s="454"/>
      <c r="AZ1275" s="454"/>
      <c r="BA1275" s="1267"/>
      <c r="BC1275" s="169"/>
    </row>
    <row r="1276" spans="19:55">
      <c r="S1276" s="454"/>
      <c r="AN1276" s="454"/>
      <c r="AY1276" s="454"/>
      <c r="AZ1276" s="454"/>
      <c r="BA1276" s="1267"/>
      <c r="BC1276" s="169"/>
    </row>
    <row r="1277" spans="19:55">
      <c r="S1277" s="454"/>
      <c r="AN1277" s="454"/>
      <c r="AY1277" s="454"/>
      <c r="AZ1277" s="454"/>
      <c r="BA1277" s="1267"/>
      <c r="BC1277" s="169"/>
    </row>
    <row r="1278" spans="19:55">
      <c r="S1278" s="454"/>
      <c r="AN1278" s="454"/>
      <c r="AY1278" s="454"/>
      <c r="AZ1278" s="454"/>
      <c r="BA1278" s="1267"/>
      <c r="BC1278" s="169"/>
    </row>
    <row r="1279" spans="19:55">
      <c r="S1279" s="454"/>
      <c r="AN1279" s="454"/>
      <c r="AY1279" s="454"/>
      <c r="AZ1279" s="454"/>
      <c r="BA1279" s="1267"/>
      <c r="BC1279" s="169"/>
    </row>
    <row r="1280" spans="19:55">
      <c r="S1280" s="454"/>
      <c r="AN1280" s="454"/>
      <c r="AY1280" s="454"/>
      <c r="AZ1280" s="454"/>
      <c r="BA1280" s="1267"/>
      <c r="BC1280" s="169"/>
    </row>
    <row r="1281" spans="19:55">
      <c r="S1281" s="454"/>
      <c r="AN1281" s="454"/>
      <c r="AY1281" s="454"/>
      <c r="AZ1281" s="454"/>
      <c r="BA1281" s="1267"/>
      <c r="BC1281" s="169"/>
    </row>
    <row r="1282" spans="19:55">
      <c r="S1282" s="454"/>
      <c r="AN1282" s="454"/>
      <c r="AY1282" s="454"/>
      <c r="AZ1282" s="454"/>
      <c r="BA1282" s="1267"/>
      <c r="BC1282" s="169"/>
    </row>
    <row r="1283" spans="19:55">
      <c r="S1283" s="454"/>
      <c r="AN1283" s="454"/>
      <c r="AY1283" s="454"/>
      <c r="AZ1283" s="454"/>
      <c r="BA1283" s="1267"/>
      <c r="BC1283" s="169"/>
    </row>
    <row r="1284" spans="19:55">
      <c r="S1284" s="454"/>
      <c r="AN1284" s="454"/>
      <c r="AY1284" s="454"/>
      <c r="AZ1284" s="454"/>
      <c r="BA1284" s="1267"/>
      <c r="BC1284" s="169"/>
    </row>
    <row r="1285" spans="19:55">
      <c r="S1285" s="454"/>
      <c r="AN1285" s="454"/>
      <c r="AY1285" s="454"/>
      <c r="AZ1285" s="454"/>
      <c r="BA1285" s="1267"/>
      <c r="BC1285" s="169"/>
    </row>
    <row r="1286" spans="19:55">
      <c r="S1286" s="454"/>
      <c r="AN1286" s="454"/>
      <c r="AY1286" s="454"/>
      <c r="AZ1286" s="454"/>
      <c r="BA1286" s="1267"/>
      <c r="BC1286" s="169"/>
    </row>
    <row r="1287" spans="19:55">
      <c r="S1287" s="454"/>
      <c r="AN1287" s="454"/>
      <c r="AY1287" s="454"/>
      <c r="AZ1287" s="454"/>
      <c r="BC1287" s="169"/>
    </row>
    <row r="1288" spans="19:55">
      <c r="S1288" s="454"/>
      <c r="AN1288" s="454"/>
      <c r="AY1288" s="454"/>
      <c r="AZ1288" s="454"/>
      <c r="BC1288" s="169"/>
    </row>
    <row r="1289" spans="19:55">
      <c r="S1289" s="454"/>
      <c r="AN1289" s="454"/>
      <c r="AY1289" s="454"/>
      <c r="AZ1289" s="454"/>
      <c r="BC1289" s="169"/>
    </row>
    <row r="1290" spans="19:55">
      <c r="S1290" s="454"/>
      <c r="AN1290" s="454"/>
      <c r="AY1290" s="454"/>
      <c r="AZ1290" s="454"/>
      <c r="BC1290" s="169"/>
    </row>
    <row r="1291" spans="19:55">
      <c r="S1291" s="454"/>
      <c r="AN1291" s="454"/>
      <c r="AY1291" s="454"/>
      <c r="AZ1291" s="454"/>
      <c r="BC1291" s="169"/>
    </row>
    <row r="1292" spans="19:55">
      <c r="S1292" s="454"/>
      <c r="AN1292" s="454"/>
      <c r="AY1292" s="454"/>
      <c r="AZ1292" s="454"/>
      <c r="BC1292" s="169"/>
    </row>
    <row r="1293" spans="19:55">
      <c r="S1293" s="454"/>
      <c r="AN1293" s="454"/>
      <c r="AY1293" s="454"/>
      <c r="AZ1293" s="454"/>
      <c r="BC1293" s="169"/>
    </row>
    <row r="1294" spans="19:55">
      <c r="S1294" s="454"/>
      <c r="AN1294" s="454"/>
      <c r="AY1294" s="454"/>
      <c r="AZ1294" s="454"/>
      <c r="BC1294" s="169"/>
    </row>
    <row r="1295" spans="19:55">
      <c r="S1295" s="454"/>
      <c r="AN1295" s="454"/>
      <c r="AY1295" s="454"/>
      <c r="AZ1295" s="454"/>
      <c r="BC1295" s="169"/>
    </row>
    <row r="1296" spans="19:55">
      <c r="S1296" s="454"/>
      <c r="AN1296" s="454"/>
      <c r="AY1296" s="454"/>
      <c r="AZ1296" s="454"/>
      <c r="BC1296" s="169"/>
    </row>
    <row r="1297" spans="19:55">
      <c r="S1297" s="454"/>
      <c r="AN1297" s="454"/>
      <c r="AY1297" s="454"/>
      <c r="AZ1297" s="454"/>
      <c r="BC1297" s="169"/>
    </row>
    <row r="1298" spans="19:55">
      <c r="S1298" s="454"/>
      <c r="AN1298" s="454"/>
      <c r="AY1298" s="454"/>
      <c r="AZ1298" s="454"/>
      <c r="BC1298" s="169"/>
    </row>
    <row r="1299" spans="19:55">
      <c r="S1299" s="454"/>
      <c r="AN1299" s="454"/>
      <c r="AY1299" s="454"/>
      <c r="AZ1299" s="454"/>
      <c r="BC1299" s="169"/>
    </row>
    <row r="1300" spans="19:55">
      <c r="S1300" s="454"/>
      <c r="AN1300" s="454"/>
      <c r="BC1300" s="169"/>
    </row>
    <row r="1301" spans="19:55">
      <c r="S1301" s="454"/>
      <c r="AN1301" s="454"/>
      <c r="BC1301" s="169"/>
    </row>
    <row r="1302" spans="19:55">
      <c r="S1302" s="454"/>
      <c r="AN1302" s="454"/>
      <c r="BC1302" s="169"/>
    </row>
    <row r="1303" spans="19:55">
      <c r="S1303" s="454"/>
      <c r="AN1303" s="454"/>
      <c r="BC1303" s="169"/>
    </row>
    <row r="1304" spans="19:55">
      <c r="S1304" s="454"/>
      <c r="AN1304" s="454"/>
      <c r="BC1304" s="169"/>
    </row>
    <row r="1305" spans="19:55">
      <c r="S1305" s="454"/>
      <c r="AN1305" s="454"/>
      <c r="BC1305" s="169"/>
    </row>
    <row r="1306" spans="19:55">
      <c r="S1306" s="454"/>
      <c r="AN1306" s="454"/>
      <c r="BC1306" s="169"/>
    </row>
    <row r="1307" spans="19:55">
      <c r="S1307" s="454"/>
      <c r="AN1307" s="454"/>
      <c r="BC1307" s="169"/>
    </row>
    <row r="1308" spans="19:55">
      <c r="S1308" s="454"/>
      <c r="AN1308" s="454"/>
      <c r="BC1308" s="169"/>
    </row>
    <row r="1309" spans="19:55">
      <c r="S1309" s="454"/>
      <c r="AN1309" s="454"/>
      <c r="BC1309" s="169"/>
    </row>
    <row r="1310" spans="19:55">
      <c r="S1310" s="454"/>
      <c r="AN1310" s="454"/>
      <c r="BC1310" s="169"/>
    </row>
    <row r="1311" spans="19:55">
      <c r="S1311" s="454"/>
      <c r="AN1311" s="454"/>
      <c r="BC1311" s="169"/>
    </row>
    <row r="1312" spans="19:55">
      <c r="S1312" s="454"/>
      <c r="AN1312" s="454"/>
      <c r="BC1312" s="169"/>
    </row>
    <row r="1313" spans="19:55">
      <c r="S1313" s="454"/>
      <c r="AN1313" s="454"/>
      <c r="BC1313" s="169"/>
    </row>
    <row r="1314" spans="19:55">
      <c r="S1314" s="454"/>
      <c r="AN1314" s="454"/>
      <c r="BC1314" s="169"/>
    </row>
    <row r="1315" spans="19:55">
      <c r="S1315" s="454"/>
      <c r="AN1315" s="454"/>
      <c r="BC1315" s="169"/>
    </row>
    <row r="1316" spans="19:55">
      <c r="S1316" s="454"/>
      <c r="AN1316" s="454"/>
      <c r="BC1316" s="169"/>
    </row>
    <row r="1317" spans="19:55">
      <c r="S1317" s="454"/>
      <c r="AN1317" s="454"/>
      <c r="BC1317" s="169"/>
    </row>
    <row r="1318" spans="19:55">
      <c r="S1318" s="454"/>
      <c r="AN1318" s="454"/>
      <c r="BC1318" s="169"/>
    </row>
    <row r="1319" spans="19:55">
      <c r="S1319" s="454"/>
      <c r="AN1319" s="454"/>
      <c r="BC1319" s="169"/>
    </row>
    <row r="1320" spans="19:55">
      <c r="S1320" s="454"/>
      <c r="AN1320" s="454"/>
      <c r="BC1320" s="169"/>
    </row>
    <row r="1321" spans="19:55">
      <c r="S1321" s="454"/>
      <c r="AN1321" s="454"/>
      <c r="BC1321" s="169"/>
    </row>
    <row r="1322" spans="19:55">
      <c r="S1322" s="454"/>
      <c r="AN1322" s="454"/>
      <c r="BC1322" s="169"/>
    </row>
    <row r="1323" spans="19:55">
      <c r="S1323" s="454"/>
      <c r="AN1323" s="454"/>
      <c r="BC1323" s="169"/>
    </row>
    <row r="1324" spans="19:55">
      <c r="S1324" s="454"/>
      <c r="AN1324" s="454"/>
      <c r="BC1324" s="169"/>
    </row>
    <row r="1325" spans="19:55">
      <c r="S1325" s="454"/>
      <c r="AN1325" s="454"/>
      <c r="BC1325" s="169"/>
    </row>
    <row r="1326" spans="19:55">
      <c r="S1326" s="454"/>
      <c r="AN1326" s="454"/>
      <c r="BC1326" s="169"/>
    </row>
    <row r="1327" spans="19:55">
      <c r="S1327" s="454"/>
      <c r="AN1327" s="454"/>
      <c r="BC1327" s="169"/>
    </row>
    <row r="1328" spans="19:55">
      <c r="S1328" s="454"/>
      <c r="AN1328" s="454"/>
      <c r="BC1328" s="169"/>
    </row>
    <row r="1329" spans="19:55">
      <c r="S1329" s="454"/>
      <c r="AN1329" s="454"/>
      <c r="BC1329" s="169"/>
    </row>
    <row r="1330" spans="19:55">
      <c r="S1330" s="454"/>
      <c r="AN1330" s="454"/>
      <c r="BC1330" s="169"/>
    </row>
    <row r="1331" spans="19:55">
      <c r="S1331" s="454"/>
      <c r="AN1331" s="454"/>
      <c r="BC1331" s="169"/>
    </row>
    <row r="1332" spans="19:55">
      <c r="S1332" s="454"/>
      <c r="AN1332" s="454"/>
      <c r="BC1332" s="169"/>
    </row>
    <row r="1333" spans="19:55">
      <c r="S1333" s="454"/>
      <c r="AN1333" s="454"/>
      <c r="BC1333" s="169"/>
    </row>
    <row r="1334" spans="19:55">
      <c r="S1334" s="454"/>
      <c r="AN1334" s="454"/>
      <c r="BC1334" s="169"/>
    </row>
    <row r="1335" spans="19:55">
      <c r="S1335" s="454"/>
      <c r="AN1335" s="454"/>
      <c r="BC1335" s="169"/>
    </row>
    <row r="1336" spans="19:55">
      <c r="S1336" s="454"/>
      <c r="AN1336" s="454"/>
      <c r="BC1336" s="169"/>
    </row>
    <row r="1337" spans="19:55">
      <c r="S1337" s="454"/>
      <c r="AN1337" s="454"/>
      <c r="BC1337" s="169"/>
    </row>
    <row r="1338" spans="19:55">
      <c r="S1338" s="454"/>
      <c r="AN1338" s="454"/>
      <c r="BC1338" s="169"/>
    </row>
    <row r="1339" spans="19:55">
      <c r="S1339" s="454"/>
      <c r="AN1339" s="454"/>
      <c r="BC1339" s="169"/>
    </row>
    <row r="1340" spans="19:55">
      <c r="S1340" s="454"/>
      <c r="AN1340" s="454"/>
      <c r="BC1340" s="169"/>
    </row>
    <row r="1341" spans="19:55">
      <c r="S1341" s="454"/>
      <c r="AN1341" s="454"/>
      <c r="BC1341" s="169"/>
    </row>
    <row r="1342" spans="19:55">
      <c r="S1342" s="454"/>
      <c r="AN1342" s="454"/>
      <c r="BC1342" s="169"/>
    </row>
    <row r="1343" spans="19:55">
      <c r="S1343" s="454"/>
      <c r="AN1343" s="454"/>
      <c r="BC1343" s="169"/>
    </row>
    <row r="1344" spans="19:55">
      <c r="S1344" s="454"/>
      <c r="AN1344" s="454"/>
      <c r="BC1344" s="169"/>
    </row>
    <row r="1345" spans="19:55">
      <c r="S1345" s="454"/>
      <c r="AN1345" s="454"/>
      <c r="BC1345" s="169"/>
    </row>
    <row r="1346" spans="19:55">
      <c r="S1346" s="454"/>
      <c r="AN1346" s="454"/>
      <c r="BC1346" s="169"/>
    </row>
    <row r="1347" spans="19:55">
      <c r="S1347" s="454"/>
      <c r="AN1347" s="454"/>
      <c r="BC1347" s="169"/>
    </row>
    <row r="1348" spans="19:55">
      <c r="S1348" s="454"/>
      <c r="AN1348" s="454"/>
      <c r="BC1348" s="169"/>
    </row>
    <row r="1349" spans="19:55">
      <c r="S1349" s="454"/>
      <c r="AN1349" s="454"/>
      <c r="BC1349" s="169"/>
    </row>
    <row r="1350" spans="19:55">
      <c r="S1350" s="454"/>
      <c r="AN1350" s="454"/>
      <c r="BC1350" s="169"/>
    </row>
    <row r="1351" spans="19:55">
      <c r="S1351" s="454"/>
      <c r="AN1351" s="454"/>
      <c r="BC1351" s="169"/>
    </row>
    <row r="1352" spans="19:55">
      <c r="S1352" s="454"/>
      <c r="AN1352" s="454"/>
      <c r="BC1352" s="169"/>
    </row>
    <row r="1353" spans="19:55">
      <c r="S1353" s="454"/>
      <c r="AN1353" s="454"/>
      <c r="BC1353" s="169"/>
    </row>
    <row r="1354" spans="19:55">
      <c r="S1354" s="454"/>
      <c r="AN1354" s="454"/>
      <c r="BC1354" s="169"/>
    </row>
    <row r="1355" spans="19:55">
      <c r="S1355" s="454"/>
      <c r="AN1355" s="454"/>
      <c r="BC1355" s="169"/>
    </row>
    <row r="1356" spans="19:55">
      <c r="S1356" s="454"/>
      <c r="AN1356" s="454"/>
      <c r="BC1356" s="169"/>
    </row>
    <row r="1357" spans="19:55">
      <c r="S1357" s="454"/>
      <c r="AN1357" s="454"/>
      <c r="BC1357" s="169"/>
    </row>
    <row r="1358" spans="19:55">
      <c r="S1358" s="454"/>
      <c r="AN1358" s="454"/>
      <c r="BC1358" s="169"/>
    </row>
    <row r="1359" spans="19:55">
      <c r="S1359" s="454"/>
      <c r="AN1359" s="454"/>
      <c r="BC1359" s="169"/>
    </row>
    <row r="1360" spans="19:55">
      <c r="S1360" s="454"/>
      <c r="AN1360" s="454"/>
      <c r="BC1360" s="169"/>
    </row>
    <row r="1361" spans="19:55">
      <c r="S1361" s="454"/>
      <c r="AN1361" s="454"/>
      <c r="BC1361" s="169"/>
    </row>
    <row r="1362" spans="19:55">
      <c r="S1362" s="454"/>
      <c r="AN1362" s="454"/>
      <c r="BC1362" s="169"/>
    </row>
    <row r="1363" spans="19:55">
      <c r="S1363" s="454"/>
      <c r="AN1363" s="454"/>
      <c r="BC1363" s="169"/>
    </row>
    <row r="1364" spans="19:55">
      <c r="S1364" s="454"/>
      <c r="AN1364" s="454"/>
      <c r="BC1364" s="169"/>
    </row>
    <row r="1365" spans="19:55">
      <c r="S1365" s="454"/>
      <c r="AN1365" s="454"/>
      <c r="BC1365" s="169"/>
    </row>
    <row r="1366" spans="19:55">
      <c r="S1366" s="454"/>
      <c r="AN1366" s="454"/>
      <c r="BC1366" s="169"/>
    </row>
    <row r="1367" spans="19:55">
      <c r="S1367" s="454"/>
      <c r="AN1367" s="454"/>
      <c r="BC1367" s="169"/>
    </row>
    <row r="1368" spans="19:55">
      <c r="S1368" s="454"/>
      <c r="AN1368" s="454"/>
      <c r="BC1368" s="169"/>
    </row>
    <row r="1369" spans="19:55">
      <c r="S1369" s="454"/>
      <c r="AN1369" s="454"/>
      <c r="BC1369" s="169"/>
    </row>
    <row r="1370" spans="19:55">
      <c r="S1370" s="454"/>
      <c r="AN1370" s="454"/>
      <c r="BC1370" s="169"/>
    </row>
    <row r="1371" spans="19:55">
      <c r="S1371" s="454"/>
      <c r="AN1371" s="454"/>
      <c r="BC1371" s="169"/>
    </row>
    <row r="1372" spans="19:55">
      <c r="S1372" s="454"/>
      <c r="AN1372" s="454"/>
      <c r="BC1372" s="169"/>
    </row>
    <row r="1373" spans="19:55">
      <c r="S1373" s="454"/>
      <c r="AN1373" s="454"/>
      <c r="BC1373" s="169"/>
    </row>
    <row r="1374" spans="19:55">
      <c r="S1374" s="454"/>
      <c r="AN1374" s="454"/>
      <c r="BC1374" s="169"/>
    </row>
    <row r="1375" spans="19:55">
      <c r="S1375" s="454"/>
      <c r="AN1375" s="454"/>
      <c r="BC1375" s="169"/>
    </row>
    <row r="1376" spans="19:55">
      <c r="S1376" s="454"/>
      <c r="AN1376" s="454"/>
      <c r="BC1376" s="169"/>
    </row>
    <row r="1377" spans="19:55">
      <c r="S1377" s="454"/>
      <c r="AN1377" s="454"/>
      <c r="BC1377" s="169"/>
    </row>
    <row r="1378" spans="19:55">
      <c r="S1378" s="454"/>
      <c r="AN1378" s="454"/>
      <c r="BC1378" s="169"/>
    </row>
    <row r="1379" spans="19:55">
      <c r="S1379" s="454"/>
      <c r="AN1379" s="454"/>
      <c r="BC1379" s="169"/>
    </row>
    <row r="1380" spans="19:55">
      <c r="S1380" s="454"/>
      <c r="AN1380" s="454"/>
      <c r="BC1380" s="169"/>
    </row>
    <row r="1381" spans="19:55">
      <c r="S1381" s="454"/>
      <c r="AN1381" s="454"/>
      <c r="BC1381" s="169"/>
    </row>
    <row r="1382" spans="19:55">
      <c r="S1382" s="454"/>
      <c r="AN1382" s="454"/>
      <c r="BC1382" s="169"/>
    </row>
    <row r="1383" spans="19:55">
      <c r="S1383" s="454"/>
      <c r="AN1383" s="454"/>
      <c r="BC1383" s="169"/>
    </row>
    <row r="1384" spans="19:55">
      <c r="S1384" s="454"/>
      <c r="AN1384" s="454"/>
      <c r="BC1384" s="169"/>
    </row>
    <row r="1385" spans="19:55">
      <c r="S1385" s="454"/>
      <c r="AN1385" s="454"/>
      <c r="BC1385" s="169"/>
    </row>
    <row r="1386" spans="19:55">
      <c r="S1386" s="454"/>
      <c r="AN1386" s="454"/>
      <c r="BC1386" s="169"/>
    </row>
    <row r="1387" spans="19:55">
      <c r="S1387" s="454"/>
      <c r="AN1387" s="454"/>
      <c r="BC1387" s="169"/>
    </row>
    <row r="1388" spans="19:55">
      <c r="S1388" s="454"/>
      <c r="AN1388" s="454"/>
      <c r="BC1388" s="169"/>
    </row>
    <row r="1389" spans="19:55">
      <c r="S1389" s="454"/>
      <c r="AN1389" s="454"/>
      <c r="BC1389" s="169"/>
    </row>
    <row r="1390" spans="19:55">
      <c r="S1390" s="454"/>
      <c r="AN1390" s="454"/>
      <c r="BC1390" s="169"/>
    </row>
    <row r="1391" spans="19:55">
      <c r="S1391" s="454"/>
      <c r="AN1391" s="454"/>
      <c r="BC1391" s="169"/>
    </row>
    <row r="1392" spans="19:55">
      <c r="S1392" s="454"/>
      <c r="AN1392" s="454"/>
      <c r="BC1392" s="169"/>
    </row>
    <row r="1393" spans="19:55">
      <c r="S1393" s="454"/>
      <c r="AN1393" s="454"/>
      <c r="BC1393" s="169"/>
    </row>
    <row r="1394" spans="19:55">
      <c r="S1394" s="454"/>
      <c r="AN1394" s="454"/>
      <c r="BC1394" s="169"/>
    </row>
    <row r="1395" spans="19:55">
      <c r="S1395" s="454"/>
      <c r="AN1395" s="454"/>
      <c r="BC1395" s="169"/>
    </row>
    <row r="1396" spans="19:55">
      <c r="S1396" s="454"/>
      <c r="AN1396" s="454"/>
      <c r="BC1396" s="169"/>
    </row>
    <row r="1397" spans="19:55">
      <c r="S1397" s="454"/>
      <c r="AN1397" s="454"/>
      <c r="BC1397" s="169"/>
    </row>
    <row r="1398" spans="19:55">
      <c r="S1398" s="454"/>
      <c r="AN1398" s="454"/>
      <c r="BC1398" s="169"/>
    </row>
    <row r="1399" spans="19:55">
      <c r="S1399" s="454"/>
      <c r="AN1399" s="454"/>
      <c r="BC1399" s="169"/>
    </row>
    <row r="1400" spans="19:55">
      <c r="S1400" s="454"/>
      <c r="AN1400" s="454"/>
      <c r="BC1400" s="169"/>
    </row>
    <row r="1401" spans="19:55">
      <c r="S1401" s="454"/>
      <c r="AN1401" s="454"/>
      <c r="BC1401" s="169"/>
    </row>
    <row r="1402" spans="19:55">
      <c r="S1402" s="454"/>
      <c r="AN1402" s="454"/>
      <c r="BC1402" s="169"/>
    </row>
    <row r="1403" spans="19:55">
      <c r="S1403" s="454"/>
      <c r="AN1403" s="454"/>
      <c r="BC1403" s="169"/>
    </row>
    <row r="1404" spans="19:55">
      <c r="S1404" s="454"/>
      <c r="AN1404" s="454"/>
      <c r="BC1404" s="169"/>
    </row>
    <row r="1405" spans="19:55">
      <c r="S1405" s="454"/>
      <c r="AN1405" s="454"/>
      <c r="BC1405" s="169"/>
    </row>
    <row r="1406" spans="19:55">
      <c r="S1406" s="454"/>
      <c r="AN1406" s="454"/>
      <c r="BC1406" s="169"/>
    </row>
    <row r="1407" spans="19:55">
      <c r="S1407" s="454"/>
      <c r="AN1407" s="454"/>
      <c r="BC1407" s="169"/>
    </row>
    <row r="1408" spans="19:55">
      <c r="S1408" s="454"/>
      <c r="AN1408" s="454"/>
      <c r="BC1408" s="169"/>
    </row>
    <row r="1409" spans="19:55">
      <c r="S1409" s="454"/>
      <c r="AN1409" s="454"/>
      <c r="BC1409" s="169"/>
    </row>
    <row r="1410" spans="19:55">
      <c r="S1410" s="454"/>
      <c r="AN1410" s="454"/>
      <c r="BC1410" s="169"/>
    </row>
    <row r="1411" spans="19:55">
      <c r="S1411" s="454"/>
      <c r="AN1411" s="454"/>
      <c r="BC1411" s="169"/>
    </row>
    <row r="1412" spans="19:55">
      <c r="S1412" s="454"/>
      <c r="AN1412" s="454"/>
      <c r="BC1412" s="169"/>
    </row>
    <row r="1413" spans="19:55">
      <c r="S1413" s="454"/>
      <c r="AN1413" s="454"/>
      <c r="BC1413" s="169"/>
    </row>
    <row r="1414" spans="19:55">
      <c r="S1414" s="454"/>
      <c r="AN1414" s="454"/>
      <c r="BC1414" s="169"/>
    </row>
    <row r="1415" spans="19:55">
      <c r="S1415" s="454"/>
      <c r="AN1415" s="454"/>
      <c r="BC1415" s="169"/>
    </row>
    <row r="1416" spans="19:55">
      <c r="S1416" s="454"/>
      <c r="AN1416" s="454"/>
      <c r="BC1416" s="169"/>
    </row>
    <row r="1417" spans="19:55">
      <c r="S1417" s="454"/>
      <c r="AN1417" s="454"/>
      <c r="BC1417" s="169"/>
    </row>
    <row r="1418" spans="19:55">
      <c r="S1418" s="454"/>
      <c r="AN1418" s="454"/>
      <c r="BC1418" s="169"/>
    </row>
    <row r="1419" spans="19:55">
      <c r="S1419" s="454"/>
      <c r="AN1419" s="454"/>
      <c r="BC1419" s="169"/>
    </row>
    <row r="1420" spans="19:55">
      <c r="S1420" s="454"/>
      <c r="AN1420" s="454"/>
      <c r="BC1420" s="169"/>
    </row>
    <row r="1421" spans="19:55">
      <c r="S1421" s="454"/>
      <c r="AN1421" s="454"/>
      <c r="BC1421" s="169"/>
    </row>
    <row r="1422" spans="19:55">
      <c r="S1422" s="454"/>
      <c r="AN1422" s="454"/>
      <c r="BC1422" s="169"/>
    </row>
    <row r="1423" spans="19:55">
      <c r="S1423" s="454"/>
      <c r="AN1423" s="454"/>
      <c r="BC1423" s="169"/>
    </row>
    <row r="1424" spans="19:55">
      <c r="S1424" s="454"/>
      <c r="AN1424" s="454"/>
      <c r="BC1424" s="169"/>
    </row>
    <row r="1425" spans="19:55">
      <c r="S1425" s="454"/>
      <c r="AN1425" s="454"/>
      <c r="BC1425" s="169"/>
    </row>
    <row r="1426" spans="19:55">
      <c r="S1426" s="454"/>
      <c r="AN1426" s="454"/>
      <c r="BC1426" s="169"/>
    </row>
    <row r="1427" spans="19:55">
      <c r="S1427" s="454"/>
      <c r="AN1427" s="454"/>
      <c r="BC1427" s="169"/>
    </row>
    <row r="1428" spans="19:55">
      <c r="S1428" s="454"/>
      <c r="AN1428" s="454"/>
      <c r="BC1428" s="169"/>
    </row>
    <row r="1429" spans="19:55">
      <c r="S1429" s="454"/>
      <c r="AN1429" s="454"/>
      <c r="BC1429" s="169"/>
    </row>
    <row r="1430" spans="19:55">
      <c r="S1430" s="454"/>
      <c r="AN1430" s="454"/>
      <c r="BC1430" s="169"/>
    </row>
    <row r="1431" spans="19:55">
      <c r="S1431" s="454"/>
      <c r="AN1431" s="454"/>
      <c r="BC1431" s="169"/>
    </row>
    <row r="1432" spans="19:55">
      <c r="S1432" s="454"/>
      <c r="AN1432" s="454"/>
      <c r="BC1432" s="169"/>
    </row>
    <row r="1433" spans="19:55">
      <c r="S1433" s="454"/>
      <c r="AN1433" s="454"/>
      <c r="BC1433" s="169"/>
    </row>
    <row r="1434" spans="19:55">
      <c r="S1434" s="454"/>
      <c r="AN1434" s="454"/>
      <c r="BC1434" s="169"/>
    </row>
    <row r="1435" spans="19:55">
      <c r="S1435" s="454"/>
      <c r="AN1435" s="454"/>
      <c r="BC1435" s="169"/>
    </row>
    <row r="1436" spans="19:55">
      <c r="S1436" s="454"/>
      <c r="AN1436" s="454"/>
      <c r="BC1436" s="169"/>
    </row>
    <row r="1437" spans="19:55">
      <c r="S1437" s="454"/>
      <c r="AN1437" s="454"/>
      <c r="BC1437" s="169"/>
    </row>
    <row r="1438" spans="19:55">
      <c r="S1438" s="454"/>
      <c r="AN1438" s="454"/>
      <c r="BC1438" s="169"/>
    </row>
    <row r="1439" spans="19:55">
      <c r="S1439" s="454"/>
      <c r="AN1439" s="454"/>
      <c r="BC1439" s="169"/>
    </row>
    <row r="1440" spans="19:55">
      <c r="S1440" s="454"/>
      <c r="AN1440" s="454"/>
      <c r="BC1440" s="169"/>
    </row>
    <row r="1441" spans="19:55">
      <c r="S1441" s="454"/>
      <c r="AN1441" s="454"/>
      <c r="BC1441" s="169"/>
    </row>
    <row r="1442" spans="19:55">
      <c r="S1442" s="454"/>
      <c r="AN1442" s="454"/>
      <c r="BC1442" s="169"/>
    </row>
    <row r="1443" spans="19:55">
      <c r="S1443" s="454"/>
      <c r="AN1443" s="454"/>
      <c r="BC1443" s="169"/>
    </row>
    <row r="1444" spans="19:55">
      <c r="S1444" s="454"/>
      <c r="AN1444" s="454"/>
      <c r="BC1444" s="169"/>
    </row>
    <row r="1445" spans="19:55">
      <c r="S1445" s="454"/>
      <c r="AN1445" s="454"/>
      <c r="BC1445" s="169"/>
    </row>
    <row r="1446" spans="19:55">
      <c r="S1446" s="454"/>
      <c r="AN1446" s="454"/>
      <c r="BC1446" s="169"/>
    </row>
    <row r="1447" spans="19:55">
      <c r="S1447" s="454"/>
      <c r="AN1447" s="454"/>
      <c r="BC1447" s="169"/>
    </row>
    <row r="1448" spans="19:55">
      <c r="S1448" s="454"/>
      <c r="AN1448" s="454"/>
      <c r="BC1448" s="169"/>
    </row>
    <row r="1449" spans="19:55">
      <c r="S1449" s="454"/>
      <c r="AN1449" s="454"/>
      <c r="BC1449" s="169"/>
    </row>
    <row r="1450" spans="19:55">
      <c r="S1450" s="454"/>
      <c r="AN1450" s="454"/>
      <c r="BC1450" s="169"/>
    </row>
    <row r="1451" spans="19:55">
      <c r="S1451" s="454"/>
      <c r="AN1451" s="454"/>
      <c r="BC1451" s="169"/>
    </row>
    <row r="1452" spans="19:55">
      <c r="S1452" s="454"/>
      <c r="AN1452" s="454"/>
      <c r="BC1452" s="169"/>
    </row>
    <row r="1453" spans="19:55">
      <c r="S1453" s="454"/>
      <c r="AN1453" s="454"/>
      <c r="BC1453" s="169"/>
    </row>
    <row r="1454" spans="19:55">
      <c r="S1454" s="454"/>
      <c r="AN1454" s="454"/>
      <c r="BC1454" s="169"/>
    </row>
    <row r="1455" spans="19:55">
      <c r="S1455" s="454"/>
      <c r="AN1455" s="454"/>
      <c r="BC1455" s="169"/>
    </row>
    <row r="1456" spans="19:55">
      <c r="S1456" s="454"/>
      <c r="AN1456" s="454"/>
      <c r="BC1456" s="169"/>
    </row>
    <row r="1457" spans="19:55">
      <c r="S1457" s="454"/>
      <c r="AN1457" s="454"/>
      <c r="BC1457" s="169"/>
    </row>
    <row r="1458" spans="19:55">
      <c r="S1458" s="454"/>
      <c r="AN1458" s="454"/>
      <c r="BC1458" s="169"/>
    </row>
    <row r="1459" spans="19:55">
      <c r="S1459" s="454"/>
      <c r="AN1459" s="454"/>
      <c r="BC1459" s="169"/>
    </row>
    <row r="1460" spans="19:55">
      <c r="S1460" s="454"/>
      <c r="AN1460" s="454"/>
      <c r="BC1460" s="169"/>
    </row>
    <row r="1461" spans="19:55">
      <c r="S1461" s="454"/>
      <c r="AN1461" s="454"/>
      <c r="BC1461" s="169"/>
    </row>
    <row r="1462" spans="19:55">
      <c r="S1462" s="454"/>
      <c r="AN1462" s="454"/>
      <c r="BC1462" s="169"/>
    </row>
    <row r="1463" spans="19:55">
      <c r="S1463" s="454"/>
      <c r="AN1463" s="454"/>
      <c r="BC1463" s="169"/>
    </row>
    <row r="1464" spans="19:55">
      <c r="S1464" s="454"/>
      <c r="AN1464" s="454"/>
      <c r="BC1464" s="169"/>
    </row>
    <row r="1465" spans="19:55">
      <c r="S1465" s="454"/>
      <c r="AN1465" s="454"/>
      <c r="BC1465" s="169"/>
    </row>
    <row r="1466" spans="19:55">
      <c r="S1466" s="454"/>
      <c r="AN1466" s="454"/>
      <c r="BC1466" s="169"/>
    </row>
    <row r="1467" spans="19:55">
      <c r="S1467" s="454"/>
      <c r="AN1467" s="454"/>
      <c r="BC1467" s="169"/>
    </row>
    <row r="1468" spans="19:55">
      <c r="S1468" s="454"/>
      <c r="AN1468" s="454"/>
      <c r="BC1468" s="169"/>
    </row>
    <row r="1469" spans="19:55">
      <c r="S1469" s="454"/>
      <c r="AN1469" s="454"/>
      <c r="BC1469" s="169"/>
    </row>
    <row r="1470" spans="19:55">
      <c r="S1470" s="454"/>
      <c r="AN1470" s="454"/>
      <c r="BC1470" s="169"/>
    </row>
    <row r="1471" spans="19:55">
      <c r="S1471" s="454"/>
      <c r="AN1471" s="454"/>
      <c r="BC1471" s="169"/>
    </row>
    <row r="1472" spans="19:55">
      <c r="S1472" s="454"/>
      <c r="AN1472" s="454"/>
      <c r="BC1472" s="169"/>
    </row>
    <row r="1473" spans="19:55">
      <c r="S1473" s="454"/>
      <c r="AN1473" s="454"/>
      <c r="BC1473" s="169"/>
    </row>
    <row r="1474" spans="19:55">
      <c r="S1474" s="454"/>
      <c r="AN1474" s="454"/>
      <c r="BC1474" s="169"/>
    </row>
    <row r="1475" spans="19:55">
      <c r="S1475" s="454"/>
      <c r="AN1475" s="454"/>
      <c r="BC1475" s="169"/>
    </row>
    <row r="1476" spans="19:55">
      <c r="S1476" s="454"/>
      <c r="AN1476" s="454"/>
      <c r="BC1476" s="169"/>
    </row>
    <row r="1477" spans="19:55">
      <c r="S1477" s="454"/>
      <c r="AN1477" s="454"/>
      <c r="BC1477" s="169"/>
    </row>
    <row r="1478" spans="19:55">
      <c r="S1478" s="454"/>
      <c r="AN1478" s="454"/>
      <c r="BC1478" s="169"/>
    </row>
    <row r="1479" spans="19:55">
      <c r="S1479" s="454"/>
      <c r="AN1479" s="454"/>
      <c r="BC1479" s="169"/>
    </row>
    <row r="1480" spans="19:55">
      <c r="S1480" s="454"/>
      <c r="AN1480" s="454"/>
      <c r="BC1480" s="169"/>
    </row>
    <row r="1481" spans="19:55">
      <c r="S1481" s="454"/>
      <c r="AN1481" s="454"/>
      <c r="BC1481" s="169"/>
    </row>
    <row r="1482" spans="19:55">
      <c r="S1482" s="454"/>
      <c r="AN1482" s="454"/>
      <c r="BC1482" s="169"/>
    </row>
    <row r="1483" spans="19:55">
      <c r="S1483" s="454"/>
      <c r="AN1483" s="454"/>
      <c r="BC1483" s="169"/>
    </row>
    <row r="1484" spans="19:55">
      <c r="S1484" s="454"/>
      <c r="AN1484" s="454"/>
      <c r="BC1484" s="169"/>
    </row>
    <row r="1485" spans="19:55">
      <c r="S1485" s="454"/>
      <c r="AN1485" s="454"/>
      <c r="BC1485" s="169"/>
    </row>
    <row r="1486" spans="19:55">
      <c r="S1486" s="454"/>
      <c r="AN1486" s="454"/>
      <c r="BC1486" s="169"/>
    </row>
    <row r="1487" spans="19:55">
      <c r="S1487" s="454"/>
      <c r="AN1487" s="454"/>
      <c r="BC1487" s="169"/>
    </row>
    <row r="1488" spans="19:55">
      <c r="S1488" s="454"/>
      <c r="AN1488" s="454"/>
      <c r="BC1488" s="169"/>
    </row>
    <row r="1489" spans="19:55">
      <c r="S1489" s="454"/>
      <c r="AN1489" s="454"/>
      <c r="BC1489" s="169"/>
    </row>
    <row r="1490" spans="19:55">
      <c r="S1490" s="454"/>
      <c r="AN1490" s="454"/>
      <c r="BC1490" s="169"/>
    </row>
    <row r="1491" spans="19:55">
      <c r="S1491" s="454"/>
      <c r="AN1491" s="454"/>
      <c r="BC1491" s="169"/>
    </row>
    <row r="1492" spans="19:55">
      <c r="S1492" s="454"/>
      <c r="AN1492" s="454"/>
      <c r="BC1492" s="169"/>
    </row>
    <row r="1493" spans="19:55">
      <c r="S1493" s="454"/>
      <c r="AN1493" s="454"/>
      <c r="BC1493" s="169"/>
    </row>
    <row r="1494" spans="19:55">
      <c r="AN1494" s="454"/>
      <c r="BC1494" s="169"/>
    </row>
    <row r="1495" spans="19:55">
      <c r="AN1495" s="454"/>
      <c r="BC1495" s="169"/>
    </row>
    <row r="1496" spans="19:55">
      <c r="AN1496" s="454"/>
      <c r="BC1496" s="169"/>
    </row>
    <row r="1497" spans="19:55">
      <c r="AN1497" s="454"/>
      <c r="BC1497" s="169"/>
    </row>
    <row r="1498" spans="19:55">
      <c r="AN1498" s="454"/>
      <c r="BC1498" s="169"/>
    </row>
    <row r="1499" spans="19:55">
      <c r="AN1499" s="454"/>
      <c r="BC1499" s="169"/>
    </row>
    <row r="1500" spans="19:55">
      <c r="AN1500" s="454"/>
      <c r="BC1500" s="169"/>
    </row>
    <row r="1501" spans="19:55">
      <c r="AN1501" s="454"/>
      <c r="BC1501" s="169"/>
    </row>
    <row r="1502" spans="19:55">
      <c r="AN1502" s="454"/>
      <c r="BC1502" s="169"/>
    </row>
    <row r="1503" spans="19:55">
      <c r="AN1503" s="454"/>
      <c r="BC1503" s="169"/>
    </row>
    <row r="1504" spans="19:55">
      <c r="AN1504" s="454"/>
      <c r="BC1504" s="169"/>
    </row>
    <row r="1505" spans="40:55">
      <c r="AN1505" s="454"/>
      <c r="BC1505" s="169"/>
    </row>
    <row r="1506" spans="40:55">
      <c r="AN1506" s="454"/>
      <c r="BC1506" s="169"/>
    </row>
    <row r="1507" spans="40:55">
      <c r="AN1507" s="454"/>
      <c r="BC1507" s="169"/>
    </row>
    <row r="1508" spans="40:55">
      <c r="AN1508" s="454"/>
      <c r="BC1508" s="169"/>
    </row>
    <row r="1509" spans="40:55">
      <c r="AN1509" s="454"/>
      <c r="BC1509" s="169"/>
    </row>
    <row r="1510" spans="40:55">
      <c r="AN1510" s="454"/>
      <c r="BC1510" s="169"/>
    </row>
    <row r="1511" spans="40:55">
      <c r="AN1511" s="454"/>
      <c r="BC1511" s="169"/>
    </row>
    <row r="1512" spans="40:55">
      <c r="AN1512" s="454"/>
      <c r="BC1512" s="169"/>
    </row>
    <row r="1513" spans="40:55">
      <c r="AN1513" s="454"/>
      <c r="BC1513" s="169"/>
    </row>
    <row r="1514" spans="40:55">
      <c r="AN1514" s="454"/>
      <c r="BC1514" s="169"/>
    </row>
    <row r="1515" spans="40:55">
      <c r="AN1515" s="454"/>
      <c r="BC1515" s="169"/>
    </row>
    <row r="1516" spans="40:55">
      <c r="AN1516" s="454"/>
      <c r="BC1516" s="169"/>
    </row>
    <row r="1517" spans="40:55">
      <c r="AN1517" s="454"/>
      <c r="BC1517" s="169"/>
    </row>
    <row r="1518" spans="40:55">
      <c r="AN1518" s="454"/>
      <c r="BC1518" s="169"/>
    </row>
    <row r="1519" spans="40:55">
      <c r="AN1519" s="454"/>
      <c r="BC1519" s="169"/>
    </row>
    <row r="1520" spans="40:55">
      <c r="AN1520" s="454"/>
      <c r="BC1520" s="169"/>
    </row>
    <row r="1521" spans="40:55">
      <c r="AN1521" s="454"/>
      <c r="BC1521" s="169"/>
    </row>
    <row r="1522" spans="40:55">
      <c r="AN1522" s="454"/>
      <c r="BC1522" s="169"/>
    </row>
    <row r="1523" spans="40:55">
      <c r="AN1523" s="454"/>
      <c r="BC1523" s="169"/>
    </row>
    <row r="1524" spans="40:55">
      <c r="AN1524" s="454"/>
      <c r="BC1524" s="169"/>
    </row>
    <row r="1525" spans="40:55">
      <c r="AN1525" s="454"/>
      <c r="BC1525" s="169"/>
    </row>
    <row r="1526" spans="40:55">
      <c r="AN1526" s="454"/>
      <c r="BC1526" s="169"/>
    </row>
    <row r="1527" spans="40:55">
      <c r="AN1527" s="454"/>
      <c r="BC1527" s="169"/>
    </row>
    <row r="1528" spans="40:55">
      <c r="AN1528" s="454"/>
      <c r="BC1528" s="169"/>
    </row>
    <row r="1529" spans="40:55">
      <c r="AN1529" s="454"/>
      <c r="BC1529" s="169"/>
    </row>
    <row r="1530" spans="40:55">
      <c r="AN1530" s="454"/>
      <c r="BC1530" s="169"/>
    </row>
    <row r="1531" spans="40:55">
      <c r="AN1531" s="454"/>
      <c r="BC1531" s="169"/>
    </row>
    <row r="1532" spans="40:55">
      <c r="AN1532" s="454"/>
      <c r="BC1532" s="169"/>
    </row>
    <row r="1533" spans="40:55">
      <c r="AN1533" s="454"/>
      <c r="BC1533" s="169"/>
    </row>
    <row r="1534" spans="40:55">
      <c r="AN1534" s="454"/>
      <c r="BC1534" s="169"/>
    </row>
    <row r="1535" spans="40:55">
      <c r="AN1535" s="454"/>
      <c r="BC1535" s="169"/>
    </row>
    <row r="1536" spans="40:55">
      <c r="AN1536" s="454"/>
      <c r="BC1536" s="169"/>
    </row>
    <row r="1537" spans="40:55">
      <c r="AN1537" s="454"/>
      <c r="BC1537" s="169"/>
    </row>
    <row r="1538" spans="40:55">
      <c r="AN1538" s="454"/>
      <c r="BC1538" s="169"/>
    </row>
    <row r="1539" spans="40:55">
      <c r="AN1539" s="454"/>
      <c r="BC1539" s="169"/>
    </row>
    <row r="1540" spans="40:55">
      <c r="AN1540" s="454"/>
      <c r="BC1540" s="169"/>
    </row>
    <row r="1541" spans="40:55">
      <c r="AN1541" s="454"/>
      <c r="BC1541" s="169"/>
    </row>
    <row r="1542" spans="40:55">
      <c r="AN1542" s="454"/>
      <c r="BC1542" s="169"/>
    </row>
    <row r="1543" spans="40:55">
      <c r="AN1543" s="454"/>
      <c r="BC1543" s="169"/>
    </row>
    <row r="1544" spans="40:55">
      <c r="AN1544" s="454"/>
      <c r="BC1544" s="169"/>
    </row>
    <row r="1545" spans="40:55">
      <c r="AN1545" s="454"/>
      <c r="BC1545" s="169"/>
    </row>
    <row r="1546" spans="40:55">
      <c r="AN1546" s="454"/>
      <c r="BC1546" s="169"/>
    </row>
    <row r="1547" spans="40:55">
      <c r="AN1547" s="454"/>
      <c r="BC1547" s="169"/>
    </row>
    <row r="1548" spans="40:55">
      <c r="AN1548" s="454"/>
      <c r="BC1548" s="169"/>
    </row>
    <row r="1549" spans="40:55">
      <c r="AN1549" s="454"/>
      <c r="BC1549" s="169"/>
    </row>
    <row r="1550" spans="40:55">
      <c r="AN1550" s="454"/>
      <c r="BC1550" s="169"/>
    </row>
    <row r="1551" spans="40:55">
      <c r="AN1551" s="454"/>
      <c r="BC1551" s="169"/>
    </row>
    <row r="1552" spans="40:55">
      <c r="AN1552" s="454"/>
      <c r="BC1552" s="169"/>
    </row>
    <row r="1553" spans="40:55">
      <c r="AN1553" s="454"/>
      <c r="BC1553" s="169"/>
    </row>
    <row r="1554" spans="40:55">
      <c r="AN1554" s="454"/>
      <c r="BC1554" s="169"/>
    </row>
    <row r="1555" spans="40:55">
      <c r="AN1555" s="454"/>
      <c r="BC1555" s="169"/>
    </row>
    <row r="1556" spans="40:55">
      <c r="AN1556" s="454"/>
      <c r="BC1556" s="169"/>
    </row>
    <row r="1557" spans="40:55">
      <c r="AN1557" s="454"/>
      <c r="BC1557" s="169"/>
    </row>
    <row r="1558" spans="40:55">
      <c r="AN1558" s="454"/>
      <c r="BC1558" s="169"/>
    </row>
    <row r="1559" spans="40:55">
      <c r="AN1559" s="454"/>
      <c r="BC1559" s="169"/>
    </row>
    <row r="1560" spans="40:55">
      <c r="AN1560" s="454"/>
      <c r="BC1560" s="169"/>
    </row>
    <row r="1561" spans="40:55">
      <c r="AN1561" s="454"/>
      <c r="BC1561" s="169"/>
    </row>
    <row r="1562" spans="40:55">
      <c r="AN1562" s="454"/>
      <c r="BC1562" s="169"/>
    </row>
    <row r="1563" spans="40:55">
      <c r="AN1563" s="454"/>
      <c r="BC1563" s="169"/>
    </row>
    <row r="1564" spans="40:55">
      <c r="AN1564" s="454"/>
      <c r="BC1564" s="169"/>
    </row>
    <row r="1565" spans="40:55">
      <c r="AN1565" s="454"/>
      <c r="BC1565" s="169"/>
    </row>
    <row r="1566" spans="40:55">
      <c r="AN1566" s="454"/>
      <c r="BC1566" s="169"/>
    </row>
    <row r="1567" spans="40:55">
      <c r="AN1567" s="454"/>
      <c r="BC1567" s="169"/>
    </row>
    <row r="1568" spans="40:55">
      <c r="AN1568" s="454"/>
      <c r="BC1568" s="169"/>
    </row>
    <row r="1569" spans="40:55">
      <c r="AN1569" s="454"/>
      <c r="BC1569" s="169"/>
    </row>
    <row r="1570" spans="40:55">
      <c r="AN1570" s="454"/>
      <c r="BC1570" s="169"/>
    </row>
    <row r="1571" spans="40:55">
      <c r="AN1571" s="454"/>
      <c r="BC1571" s="169"/>
    </row>
    <row r="1572" spans="40:55">
      <c r="AN1572" s="454"/>
      <c r="BC1572" s="169"/>
    </row>
    <row r="1573" spans="40:55">
      <c r="AN1573" s="454"/>
      <c r="BC1573" s="169"/>
    </row>
    <row r="1574" spans="40:55">
      <c r="AN1574" s="454"/>
      <c r="BC1574" s="169"/>
    </row>
    <row r="1575" spans="40:55">
      <c r="AN1575" s="454"/>
      <c r="BC1575" s="169"/>
    </row>
    <row r="1576" spans="40:55">
      <c r="AN1576" s="454"/>
      <c r="BC1576" s="169"/>
    </row>
    <row r="1577" spans="40:55">
      <c r="AN1577" s="454"/>
      <c r="BC1577" s="169"/>
    </row>
    <row r="1578" spans="40:55">
      <c r="AN1578" s="454"/>
      <c r="BC1578" s="169"/>
    </row>
    <row r="1579" spans="40:55">
      <c r="AN1579" s="454"/>
      <c r="BC1579" s="169"/>
    </row>
    <row r="1580" spans="40:55">
      <c r="AN1580" s="454"/>
      <c r="BC1580" s="169"/>
    </row>
    <row r="1581" spans="40:55">
      <c r="AN1581" s="454"/>
      <c r="BC1581" s="169"/>
    </row>
    <row r="1582" spans="40:55">
      <c r="AN1582" s="454"/>
      <c r="BC1582" s="169"/>
    </row>
    <row r="1583" spans="40:55">
      <c r="AN1583" s="454"/>
      <c r="BC1583" s="169"/>
    </row>
    <row r="1584" spans="40:55">
      <c r="AN1584" s="454"/>
      <c r="BC1584" s="169"/>
    </row>
    <row r="1585" spans="40:55">
      <c r="AN1585" s="454"/>
      <c r="BC1585" s="169"/>
    </row>
    <row r="1586" spans="40:55">
      <c r="AN1586" s="454"/>
      <c r="BC1586" s="169"/>
    </row>
    <row r="1587" spans="40:55">
      <c r="AN1587" s="454"/>
      <c r="BC1587" s="169"/>
    </row>
    <row r="1588" spans="40:55">
      <c r="AN1588" s="454"/>
      <c r="BC1588" s="169"/>
    </row>
    <row r="1589" spans="40:55">
      <c r="AN1589" s="454"/>
      <c r="BC1589" s="169"/>
    </row>
    <row r="1590" spans="40:55">
      <c r="AN1590" s="454"/>
      <c r="BC1590" s="169"/>
    </row>
    <row r="1591" spans="40:55">
      <c r="AN1591" s="454"/>
      <c r="BC1591" s="169"/>
    </row>
    <row r="1592" spans="40:55">
      <c r="AN1592" s="454"/>
      <c r="BC1592" s="169"/>
    </row>
    <row r="1593" spans="40:55">
      <c r="AN1593" s="454"/>
      <c r="BC1593" s="169"/>
    </row>
    <row r="1594" spans="40:55">
      <c r="AN1594" s="454"/>
      <c r="BC1594" s="169"/>
    </row>
    <row r="1595" spans="40:55">
      <c r="AN1595" s="454"/>
      <c r="BC1595" s="169"/>
    </row>
    <row r="1596" spans="40:55">
      <c r="AN1596" s="454"/>
      <c r="BC1596" s="169"/>
    </row>
    <row r="1597" spans="40:55">
      <c r="AN1597" s="454"/>
      <c r="BC1597" s="169"/>
    </row>
    <row r="1598" spans="40:55">
      <c r="AN1598" s="454"/>
      <c r="BC1598" s="169"/>
    </row>
    <row r="1599" spans="40:55">
      <c r="AN1599" s="454"/>
      <c r="BC1599" s="169"/>
    </row>
    <row r="1600" spans="40:55">
      <c r="AN1600" s="454"/>
      <c r="BC1600" s="169"/>
    </row>
    <row r="1601" spans="40:55">
      <c r="AN1601" s="454"/>
      <c r="BC1601" s="169"/>
    </row>
    <row r="1602" spans="40:55">
      <c r="AN1602" s="454"/>
      <c r="BC1602" s="169"/>
    </row>
    <row r="1603" spans="40:55">
      <c r="AN1603" s="454"/>
      <c r="BC1603" s="169"/>
    </row>
    <row r="1604" spans="40:55">
      <c r="AN1604" s="454"/>
      <c r="BC1604" s="169"/>
    </row>
    <row r="1605" spans="40:55">
      <c r="AN1605" s="454"/>
      <c r="BC1605" s="169"/>
    </row>
    <row r="1606" spans="40:55">
      <c r="AN1606" s="454"/>
      <c r="BC1606" s="169"/>
    </row>
    <row r="1607" spans="40:55">
      <c r="AN1607" s="454"/>
      <c r="BC1607" s="169"/>
    </row>
    <row r="1608" spans="40:55">
      <c r="AN1608" s="454"/>
      <c r="BC1608" s="169"/>
    </row>
    <row r="1609" spans="40:55">
      <c r="AN1609" s="454"/>
      <c r="BC1609" s="169"/>
    </row>
    <row r="1610" spans="40:55">
      <c r="AN1610" s="454"/>
      <c r="BC1610" s="169"/>
    </row>
    <row r="1611" spans="40:55">
      <c r="AN1611" s="454"/>
      <c r="BC1611" s="169"/>
    </row>
    <row r="1612" spans="40:55">
      <c r="AN1612" s="454"/>
      <c r="BC1612" s="169"/>
    </row>
    <row r="1613" spans="40:55">
      <c r="AN1613" s="454"/>
      <c r="BC1613" s="169"/>
    </row>
    <row r="1614" spans="40:55">
      <c r="AN1614" s="454"/>
      <c r="BC1614" s="169"/>
    </row>
    <row r="1615" spans="40:55">
      <c r="AN1615" s="454"/>
      <c r="BC1615" s="169"/>
    </row>
    <row r="1616" spans="40:55">
      <c r="AN1616" s="454"/>
      <c r="BC1616" s="169"/>
    </row>
    <row r="1617" spans="40:55">
      <c r="AN1617" s="454"/>
      <c r="BC1617" s="169"/>
    </row>
    <row r="1618" spans="40:55">
      <c r="AN1618" s="454"/>
      <c r="BC1618" s="169"/>
    </row>
    <row r="1619" spans="40:55">
      <c r="AN1619" s="454"/>
      <c r="BC1619" s="169"/>
    </row>
    <row r="1620" spans="40:55">
      <c r="AN1620" s="454"/>
      <c r="BC1620" s="169"/>
    </row>
    <row r="1621" spans="40:55">
      <c r="AN1621" s="454"/>
      <c r="BC1621" s="169"/>
    </row>
    <row r="1622" spans="40:55">
      <c r="AN1622" s="454"/>
      <c r="BC1622" s="169"/>
    </row>
    <row r="1623" spans="40:55">
      <c r="AN1623" s="454"/>
      <c r="BC1623" s="169"/>
    </row>
    <row r="1624" spans="40:55">
      <c r="AN1624" s="454"/>
      <c r="BC1624" s="169"/>
    </row>
    <row r="1625" spans="40:55">
      <c r="AN1625" s="454"/>
      <c r="BC1625" s="169"/>
    </row>
    <row r="1626" spans="40:55">
      <c r="AN1626" s="454"/>
      <c r="BC1626" s="169"/>
    </row>
    <row r="1627" spans="40:55">
      <c r="AN1627" s="454"/>
      <c r="BC1627" s="169"/>
    </row>
    <row r="1628" spans="40:55">
      <c r="AN1628" s="454"/>
      <c r="BC1628" s="169"/>
    </row>
    <row r="1629" spans="40:55">
      <c r="AN1629" s="454"/>
      <c r="BC1629" s="169"/>
    </row>
    <row r="1630" spans="40:55">
      <c r="AN1630" s="454"/>
      <c r="BC1630" s="169"/>
    </row>
    <row r="1631" spans="40:55">
      <c r="AN1631" s="454"/>
      <c r="BC1631" s="169"/>
    </row>
    <row r="1632" spans="40:55">
      <c r="AN1632" s="454"/>
      <c r="BC1632" s="169"/>
    </row>
    <row r="1633" spans="40:55">
      <c r="AN1633" s="454"/>
      <c r="BC1633" s="169"/>
    </row>
    <row r="1634" spans="40:55">
      <c r="AN1634" s="454"/>
      <c r="BC1634" s="169"/>
    </row>
    <row r="1635" spans="40:55">
      <c r="AN1635" s="454"/>
      <c r="BC1635" s="169"/>
    </row>
    <row r="1636" spans="40:55">
      <c r="AN1636" s="454"/>
      <c r="BC1636" s="169"/>
    </row>
    <row r="1637" spans="40:55">
      <c r="AN1637" s="454"/>
      <c r="BC1637" s="169"/>
    </row>
    <row r="1638" spans="40:55">
      <c r="AN1638" s="454"/>
      <c r="BC1638" s="169"/>
    </row>
    <row r="1639" spans="40:55">
      <c r="AN1639" s="454"/>
      <c r="BC1639" s="169"/>
    </row>
    <row r="1640" spans="40:55">
      <c r="AN1640" s="454"/>
      <c r="BC1640" s="169"/>
    </row>
    <row r="1641" spans="40:55">
      <c r="AN1641" s="454"/>
      <c r="BC1641" s="169"/>
    </row>
    <row r="1642" spans="40:55">
      <c r="AN1642" s="454"/>
      <c r="BC1642" s="169"/>
    </row>
    <row r="1643" spans="40:55">
      <c r="AN1643" s="454"/>
      <c r="BC1643" s="169"/>
    </row>
    <row r="1644" spans="40:55">
      <c r="AN1644" s="454"/>
      <c r="BC1644" s="169"/>
    </row>
    <row r="1645" spans="40:55">
      <c r="AN1645" s="454"/>
      <c r="BC1645" s="169"/>
    </row>
    <row r="1646" spans="40:55">
      <c r="AN1646" s="454"/>
      <c r="BC1646" s="169"/>
    </row>
    <row r="1647" spans="40:55">
      <c r="AN1647" s="454"/>
      <c r="BC1647" s="169"/>
    </row>
    <row r="1648" spans="40:55">
      <c r="AN1648" s="454"/>
      <c r="BC1648" s="169"/>
    </row>
    <row r="1649" spans="40:55">
      <c r="AN1649" s="454"/>
      <c r="BC1649" s="169"/>
    </row>
    <row r="1650" spans="40:55">
      <c r="AN1650" s="454"/>
      <c r="BC1650" s="169"/>
    </row>
    <row r="1651" spans="40:55">
      <c r="AN1651" s="454"/>
      <c r="BC1651" s="169"/>
    </row>
    <row r="1652" spans="40:55">
      <c r="AN1652" s="454"/>
      <c r="BC1652" s="169"/>
    </row>
    <row r="1653" spans="40:55">
      <c r="AN1653" s="454"/>
      <c r="BC1653" s="169"/>
    </row>
    <row r="1654" spans="40:55">
      <c r="AN1654" s="454"/>
      <c r="BC1654" s="169"/>
    </row>
    <row r="1655" spans="40:55">
      <c r="AN1655" s="454"/>
      <c r="BC1655" s="169"/>
    </row>
    <row r="1656" spans="40:55">
      <c r="AN1656" s="454"/>
      <c r="BC1656" s="169"/>
    </row>
    <row r="1657" spans="40:55">
      <c r="AN1657" s="454"/>
      <c r="BC1657" s="169"/>
    </row>
    <row r="1658" spans="40:55">
      <c r="AN1658" s="454"/>
      <c r="BC1658" s="169"/>
    </row>
    <row r="1659" spans="40:55">
      <c r="AN1659" s="454"/>
      <c r="BC1659" s="169"/>
    </row>
    <row r="1660" spans="40:55">
      <c r="AN1660" s="454"/>
      <c r="BC1660" s="169"/>
    </row>
    <row r="1661" spans="40:55">
      <c r="AN1661" s="454"/>
      <c r="BC1661" s="169"/>
    </row>
    <row r="1662" spans="40:55">
      <c r="AN1662" s="454"/>
      <c r="BC1662" s="169"/>
    </row>
    <row r="1663" spans="40:55">
      <c r="AN1663" s="454"/>
      <c r="BC1663" s="169"/>
    </row>
    <row r="1664" spans="40:55">
      <c r="AN1664" s="454"/>
      <c r="BC1664" s="169"/>
    </row>
    <row r="1665" spans="40:55">
      <c r="AN1665" s="454"/>
      <c r="BC1665" s="169"/>
    </row>
    <row r="1666" spans="40:55">
      <c r="AN1666" s="454"/>
      <c r="BC1666" s="169"/>
    </row>
    <row r="1667" spans="40:55">
      <c r="AN1667" s="454"/>
      <c r="BC1667" s="169"/>
    </row>
    <row r="1668" spans="40:55">
      <c r="AN1668" s="454"/>
      <c r="BC1668" s="169"/>
    </row>
    <row r="1669" spans="40:55">
      <c r="AN1669" s="454"/>
      <c r="BC1669" s="169"/>
    </row>
    <row r="1670" spans="40:55">
      <c r="AN1670" s="454"/>
      <c r="BC1670" s="169"/>
    </row>
    <row r="1671" spans="40:55">
      <c r="AN1671" s="454"/>
      <c r="BC1671" s="169"/>
    </row>
    <row r="1672" spans="40:55">
      <c r="AN1672" s="454"/>
      <c r="BC1672" s="169"/>
    </row>
    <row r="1673" spans="40:55">
      <c r="AN1673" s="454"/>
      <c r="BC1673" s="169"/>
    </row>
    <row r="1674" spans="40:55">
      <c r="AN1674" s="454"/>
      <c r="BC1674" s="169"/>
    </row>
    <row r="1675" spans="40:55">
      <c r="AN1675" s="454"/>
      <c r="BC1675" s="169"/>
    </row>
    <row r="1676" spans="40:55">
      <c r="AN1676" s="454"/>
      <c r="BC1676" s="169"/>
    </row>
    <row r="1677" spans="40:55">
      <c r="AN1677" s="454"/>
      <c r="BC1677" s="169"/>
    </row>
    <row r="1678" spans="40:55">
      <c r="AN1678" s="454"/>
      <c r="BC1678" s="169"/>
    </row>
    <row r="1679" spans="40:55">
      <c r="AN1679" s="454"/>
      <c r="BC1679" s="169"/>
    </row>
    <row r="1680" spans="40:55">
      <c r="AN1680" s="454"/>
      <c r="BC1680" s="169"/>
    </row>
    <row r="1681" spans="40:55">
      <c r="AN1681" s="454"/>
      <c r="BC1681" s="169"/>
    </row>
    <row r="1682" spans="40:55">
      <c r="AN1682" s="454"/>
      <c r="BC1682" s="169"/>
    </row>
    <row r="1683" spans="40:55">
      <c r="AN1683" s="454"/>
      <c r="BC1683" s="169"/>
    </row>
    <row r="1684" spans="40:55">
      <c r="AN1684" s="454"/>
      <c r="BC1684" s="169"/>
    </row>
    <row r="1685" spans="40:55">
      <c r="AN1685" s="454"/>
      <c r="BC1685" s="169"/>
    </row>
    <row r="1686" spans="40:55">
      <c r="AN1686" s="454"/>
      <c r="BC1686" s="169"/>
    </row>
    <row r="1687" spans="40:55">
      <c r="AN1687" s="454"/>
      <c r="BC1687" s="169"/>
    </row>
    <row r="1688" spans="40:55">
      <c r="AN1688" s="454"/>
      <c r="BC1688" s="169"/>
    </row>
    <row r="1689" spans="40:55">
      <c r="AN1689" s="454"/>
      <c r="BC1689" s="169"/>
    </row>
    <row r="1690" spans="40:55">
      <c r="AN1690" s="454"/>
      <c r="BC1690" s="169"/>
    </row>
    <row r="1691" spans="40:55">
      <c r="AN1691" s="454"/>
      <c r="BC1691" s="169"/>
    </row>
    <row r="1692" spans="40:55">
      <c r="AN1692" s="454"/>
      <c r="BC1692" s="169"/>
    </row>
    <row r="1693" spans="40:55">
      <c r="AN1693" s="454"/>
      <c r="BC1693" s="169"/>
    </row>
    <row r="1694" spans="40:55">
      <c r="AN1694" s="454"/>
      <c r="BC1694" s="169"/>
    </row>
    <row r="1695" spans="40:55">
      <c r="AN1695" s="454"/>
      <c r="BC1695" s="169"/>
    </row>
    <row r="1696" spans="40:55">
      <c r="AN1696" s="454"/>
      <c r="BC1696" s="169"/>
    </row>
    <row r="1697" spans="40:55">
      <c r="AN1697" s="454"/>
      <c r="BC1697" s="169"/>
    </row>
    <row r="1698" spans="40:55">
      <c r="AN1698" s="454"/>
      <c r="BC1698" s="169"/>
    </row>
    <row r="1699" spans="40:55">
      <c r="AN1699" s="454"/>
      <c r="BC1699" s="169"/>
    </row>
    <row r="1700" spans="40:55">
      <c r="AN1700" s="454"/>
      <c r="BC1700" s="169"/>
    </row>
    <row r="1701" spans="40:55">
      <c r="AN1701" s="454"/>
      <c r="BC1701" s="169"/>
    </row>
    <row r="1702" spans="40:55">
      <c r="AN1702" s="454"/>
      <c r="BC1702" s="169"/>
    </row>
    <row r="1703" spans="40:55">
      <c r="AN1703" s="454"/>
      <c r="BC1703" s="169"/>
    </row>
    <row r="1704" spans="40:55">
      <c r="AN1704" s="454"/>
      <c r="BC1704" s="169"/>
    </row>
    <row r="1705" spans="40:55">
      <c r="AN1705" s="454"/>
      <c r="BC1705" s="169"/>
    </row>
    <row r="1706" spans="40:55">
      <c r="AN1706" s="454"/>
      <c r="BC1706" s="169"/>
    </row>
    <row r="1707" spans="40:55">
      <c r="AN1707" s="454"/>
      <c r="BC1707" s="169"/>
    </row>
    <row r="1708" spans="40:55">
      <c r="AN1708" s="454"/>
      <c r="BC1708" s="169"/>
    </row>
    <row r="1709" spans="40:55">
      <c r="AN1709" s="454"/>
      <c r="BC1709" s="169"/>
    </row>
    <row r="1710" spans="40:55">
      <c r="AN1710" s="454"/>
      <c r="BC1710" s="169"/>
    </row>
    <row r="1711" spans="40:55">
      <c r="AN1711" s="454"/>
      <c r="BC1711" s="169"/>
    </row>
    <row r="1712" spans="40:55">
      <c r="AN1712" s="454"/>
      <c r="BC1712" s="169"/>
    </row>
    <row r="1713" spans="40:55">
      <c r="AN1713" s="454"/>
      <c r="BC1713" s="169"/>
    </row>
    <row r="1714" spans="40:55">
      <c r="AN1714" s="454"/>
      <c r="BC1714" s="169"/>
    </row>
    <row r="1715" spans="40:55">
      <c r="AN1715" s="454"/>
      <c r="BC1715" s="169"/>
    </row>
    <row r="1716" spans="40:55">
      <c r="AN1716" s="454"/>
      <c r="BC1716" s="169"/>
    </row>
    <row r="1717" spans="40:55">
      <c r="AN1717" s="454"/>
      <c r="BC1717" s="169"/>
    </row>
    <row r="1718" spans="40:55">
      <c r="AN1718" s="454"/>
      <c r="BC1718" s="169"/>
    </row>
    <row r="1719" spans="40:55">
      <c r="AN1719" s="454"/>
      <c r="BC1719" s="169"/>
    </row>
    <row r="1720" spans="40:55">
      <c r="AN1720" s="454"/>
      <c r="BC1720" s="169"/>
    </row>
    <row r="1721" spans="40:55">
      <c r="AN1721" s="454"/>
      <c r="BC1721" s="169"/>
    </row>
    <row r="1722" spans="40:55">
      <c r="AN1722" s="454"/>
      <c r="BC1722" s="169"/>
    </row>
    <row r="1723" spans="40:55">
      <c r="AN1723" s="454"/>
      <c r="BC1723" s="169"/>
    </row>
    <row r="1724" spans="40:55">
      <c r="AN1724" s="454"/>
      <c r="BC1724" s="169"/>
    </row>
    <row r="1725" spans="40:55">
      <c r="AN1725" s="454"/>
      <c r="BC1725" s="169"/>
    </row>
    <row r="1726" spans="40:55">
      <c r="AN1726" s="454"/>
      <c r="BC1726" s="169"/>
    </row>
    <row r="1727" spans="40:55">
      <c r="AN1727" s="454"/>
      <c r="BC1727" s="169"/>
    </row>
    <row r="1728" spans="40:55">
      <c r="AN1728" s="454"/>
      <c r="BC1728" s="169"/>
    </row>
    <row r="1729" spans="40:55">
      <c r="AN1729" s="454"/>
      <c r="BC1729" s="169"/>
    </row>
    <row r="1730" spans="40:55">
      <c r="AN1730" s="454"/>
      <c r="BC1730" s="169"/>
    </row>
    <row r="1731" spans="40:55">
      <c r="AN1731" s="454"/>
      <c r="BC1731" s="169"/>
    </row>
    <row r="1732" spans="40:55">
      <c r="AN1732" s="454"/>
      <c r="BC1732" s="169"/>
    </row>
    <row r="1733" spans="40:55">
      <c r="AN1733" s="454"/>
      <c r="BC1733" s="169"/>
    </row>
    <row r="1734" spans="40:55">
      <c r="AN1734" s="454"/>
      <c r="BC1734" s="169"/>
    </row>
    <row r="1735" spans="40:55">
      <c r="AN1735" s="454"/>
      <c r="BC1735" s="169"/>
    </row>
    <row r="1736" spans="40:55">
      <c r="AN1736" s="454"/>
      <c r="BC1736" s="169"/>
    </row>
    <row r="1737" spans="40:55">
      <c r="AN1737" s="454"/>
      <c r="BC1737" s="169"/>
    </row>
    <row r="1738" spans="40:55">
      <c r="AN1738" s="454"/>
      <c r="BC1738" s="169"/>
    </row>
    <row r="1739" spans="40:55">
      <c r="AN1739" s="454"/>
      <c r="BC1739" s="169"/>
    </row>
    <row r="1740" spans="40:55">
      <c r="AN1740" s="454"/>
      <c r="BC1740" s="169"/>
    </row>
    <row r="1741" spans="40:55">
      <c r="AN1741" s="454"/>
      <c r="BC1741" s="169"/>
    </row>
    <row r="1742" spans="40:55">
      <c r="AN1742" s="454"/>
      <c r="BC1742" s="169"/>
    </row>
    <row r="1743" spans="40:55">
      <c r="AN1743" s="454"/>
      <c r="BC1743" s="169"/>
    </row>
    <row r="1744" spans="40:55">
      <c r="AN1744" s="454"/>
      <c r="BC1744" s="169"/>
    </row>
    <row r="1745" spans="40:55">
      <c r="AN1745" s="454"/>
      <c r="BC1745" s="169"/>
    </row>
    <row r="1746" spans="40:55">
      <c r="AN1746" s="454"/>
      <c r="BC1746" s="169"/>
    </row>
    <row r="1747" spans="40:55">
      <c r="AN1747" s="454"/>
      <c r="BC1747" s="169"/>
    </row>
    <row r="1748" spans="40:55">
      <c r="AN1748" s="454"/>
      <c r="BC1748" s="169"/>
    </row>
    <row r="1749" spans="40:55">
      <c r="AN1749" s="454"/>
      <c r="BC1749" s="169"/>
    </row>
    <row r="1750" spans="40:55">
      <c r="AN1750" s="454"/>
      <c r="BC1750" s="169"/>
    </row>
    <row r="1751" spans="40:55">
      <c r="AN1751" s="454"/>
      <c r="BC1751" s="169"/>
    </row>
    <row r="1752" spans="40:55">
      <c r="AN1752" s="454"/>
      <c r="BC1752" s="169"/>
    </row>
    <row r="1753" spans="40:55">
      <c r="AN1753" s="454"/>
      <c r="BC1753" s="169"/>
    </row>
    <row r="1754" spans="40:55">
      <c r="AN1754" s="454"/>
      <c r="BC1754" s="169"/>
    </row>
    <row r="1755" spans="40:55">
      <c r="AN1755" s="454"/>
      <c r="BC1755" s="169"/>
    </row>
    <row r="1756" spans="40:55">
      <c r="AN1756" s="454"/>
      <c r="BC1756" s="169"/>
    </row>
    <row r="1757" spans="40:55">
      <c r="AN1757" s="454"/>
      <c r="BC1757" s="169"/>
    </row>
    <row r="1758" spans="40:55">
      <c r="AN1758" s="454"/>
      <c r="BC1758" s="169"/>
    </row>
    <row r="1759" spans="40:55">
      <c r="AN1759" s="454"/>
      <c r="BC1759" s="169"/>
    </row>
    <row r="1760" spans="40:55">
      <c r="AN1760" s="454"/>
      <c r="BC1760" s="169"/>
    </row>
    <row r="1761" spans="40:55">
      <c r="AN1761" s="454"/>
      <c r="BC1761" s="169"/>
    </row>
    <row r="1762" spans="40:55">
      <c r="AN1762" s="454"/>
      <c r="BC1762" s="169"/>
    </row>
    <row r="1763" spans="40:55">
      <c r="AN1763" s="454"/>
      <c r="BC1763" s="169"/>
    </row>
    <row r="1764" spans="40:55">
      <c r="AN1764" s="454"/>
      <c r="BC1764" s="169"/>
    </row>
    <row r="1765" spans="40:55">
      <c r="AN1765" s="454"/>
      <c r="BC1765" s="169"/>
    </row>
    <row r="1766" spans="40:55">
      <c r="AN1766" s="454"/>
      <c r="BC1766" s="169"/>
    </row>
    <row r="1767" spans="40:55">
      <c r="AN1767" s="454"/>
      <c r="BC1767" s="169"/>
    </row>
    <row r="1768" spans="40:55">
      <c r="AN1768" s="454"/>
      <c r="BC1768" s="169"/>
    </row>
    <row r="1769" spans="40:55">
      <c r="AN1769" s="454"/>
      <c r="BC1769" s="169"/>
    </row>
    <row r="1770" spans="40:55">
      <c r="AN1770" s="454"/>
      <c r="BC1770" s="169"/>
    </row>
    <row r="1771" spans="40:55">
      <c r="AN1771" s="454"/>
      <c r="BC1771" s="169"/>
    </row>
    <row r="1772" spans="40:55">
      <c r="AN1772" s="454"/>
      <c r="BC1772" s="169"/>
    </row>
    <row r="1773" spans="40:55">
      <c r="AN1773" s="454"/>
      <c r="BC1773" s="169"/>
    </row>
    <row r="1774" spans="40:55">
      <c r="AN1774" s="454"/>
      <c r="BC1774" s="169"/>
    </row>
    <row r="1775" spans="40:55">
      <c r="AN1775" s="454"/>
      <c r="BC1775" s="169"/>
    </row>
    <row r="1776" spans="40:55">
      <c r="AN1776" s="454"/>
      <c r="BC1776" s="169"/>
    </row>
    <row r="1777" spans="40:55">
      <c r="AN1777" s="454"/>
      <c r="BC1777" s="169"/>
    </row>
    <row r="1778" spans="40:55">
      <c r="AN1778" s="454"/>
      <c r="BC1778" s="169"/>
    </row>
    <row r="1779" spans="40:55">
      <c r="AN1779" s="454"/>
      <c r="BC1779" s="169"/>
    </row>
    <row r="1780" spans="40:55">
      <c r="AN1780" s="454"/>
      <c r="BC1780" s="169"/>
    </row>
    <row r="1781" spans="40:55">
      <c r="AN1781" s="454"/>
      <c r="BC1781" s="169"/>
    </row>
    <row r="1782" spans="40:55">
      <c r="AN1782" s="454"/>
      <c r="BC1782" s="169"/>
    </row>
    <row r="1783" spans="40:55">
      <c r="AN1783" s="454"/>
      <c r="BC1783" s="169"/>
    </row>
    <row r="1784" spans="40:55">
      <c r="AN1784" s="454"/>
      <c r="BC1784" s="169"/>
    </row>
    <row r="1785" spans="40:55">
      <c r="AN1785" s="454"/>
      <c r="BC1785" s="169"/>
    </row>
    <row r="1786" spans="40:55">
      <c r="AN1786" s="454"/>
      <c r="BC1786" s="169"/>
    </row>
    <row r="1787" spans="40:55">
      <c r="AN1787" s="454"/>
      <c r="BC1787" s="169"/>
    </row>
    <row r="1788" spans="40:55">
      <c r="AN1788" s="454"/>
      <c r="BC1788" s="169"/>
    </row>
    <row r="1789" spans="40:55">
      <c r="AN1789" s="454"/>
      <c r="BC1789" s="169"/>
    </row>
    <row r="1790" spans="40:55">
      <c r="AN1790" s="454"/>
      <c r="BC1790" s="169"/>
    </row>
    <row r="1791" spans="40:55">
      <c r="AN1791" s="454"/>
      <c r="BC1791" s="169"/>
    </row>
    <row r="1792" spans="40:55">
      <c r="AN1792" s="454"/>
      <c r="BC1792" s="169"/>
    </row>
    <row r="1793" spans="40:55">
      <c r="AN1793" s="454"/>
      <c r="BC1793" s="169"/>
    </row>
    <row r="1794" spans="40:55">
      <c r="AN1794" s="454"/>
      <c r="BC1794" s="169"/>
    </row>
    <row r="1795" spans="40:55">
      <c r="AN1795" s="454"/>
      <c r="BC1795" s="169"/>
    </row>
    <row r="1796" spans="40:55">
      <c r="AN1796" s="454"/>
      <c r="BC1796" s="169"/>
    </row>
    <row r="1797" spans="40:55">
      <c r="AN1797" s="454"/>
      <c r="BC1797" s="169"/>
    </row>
    <row r="1798" spans="40:55">
      <c r="AN1798" s="454"/>
      <c r="BC1798" s="169"/>
    </row>
    <row r="1799" spans="40:55">
      <c r="AN1799" s="454"/>
      <c r="BC1799" s="169"/>
    </row>
    <row r="1800" spans="40:55">
      <c r="AN1800" s="454"/>
      <c r="BC1800" s="169"/>
    </row>
    <row r="1801" spans="40:55">
      <c r="AN1801" s="454"/>
      <c r="BC1801" s="169"/>
    </row>
    <row r="1802" spans="40:55">
      <c r="AN1802" s="454"/>
      <c r="BC1802" s="169"/>
    </row>
    <row r="1803" spans="40:55">
      <c r="AN1803" s="454"/>
      <c r="BC1803" s="169"/>
    </row>
    <row r="1804" spans="40:55">
      <c r="AN1804" s="454"/>
      <c r="BC1804" s="169"/>
    </row>
    <row r="1805" spans="40:55">
      <c r="AN1805" s="454"/>
      <c r="BC1805" s="169"/>
    </row>
    <row r="1806" spans="40:55">
      <c r="AN1806" s="454"/>
      <c r="BC1806" s="169"/>
    </row>
    <row r="1807" spans="40:55">
      <c r="AN1807" s="454"/>
      <c r="BC1807" s="169"/>
    </row>
    <row r="1808" spans="40:55">
      <c r="AN1808" s="454"/>
      <c r="BC1808" s="169"/>
    </row>
    <row r="1809" spans="40:55">
      <c r="AN1809" s="454"/>
      <c r="BC1809" s="169"/>
    </row>
    <row r="1810" spans="40:55">
      <c r="AN1810" s="454"/>
      <c r="BC1810" s="169"/>
    </row>
    <row r="1811" spans="40:55">
      <c r="AN1811" s="454"/>
      <c r="BC1811" s="169"/>
    </row>
    <row r="1812" spans="40:55">
      <c r="AN1812" s="454"/>
      <c r="BC1812" s="169"/>
    </row>
    <row r="1813" spans="40:55">
      <c r="AN1813" s="454"/>
      <c r="BC1813" s="169"/>
    </row>
    <row r="1814" spans="40:55">
      <c r="AN1814" s="454"/>
      <c r="BC1814" s="169"/>
    </row>
    <row r="1815" spans="40:55">
      <c r="AN1815" s="454"/>
      <c r="BC1815" s="169"/>
    </row>
    <row r="1816" spans="40:55">
      <c r="AN1816" s="454"/>
      <c r="BC1816" s="169"/>
    </row>
    <row r="1817" spans="40:55">
      <c r="AN1817" s="454"/>
      <c r="BC1817" s="169"/>
    </row>
    <row r="1818" spans="40:55">
      <c r="AN1818" s="454"/>
      <c r="BC1818" s="169"/>
    </row>
    <row r="1819" spans="40:55">
      <c r="AN1819" s="454"/>
      <c r="BC1819" s="169"/>
    </row>
    <row r="1820" spans="40:55">
      <c r="AN1820" s="454"/>
      <c r="BC1820" s="169"/>
    </row>
    <row r="1821" spans="40:55">
      <c r="AN1821" s="454"/>
      <c r="BC1821" s="169"/>
    </row>
    <row r="1822" spans="40:55">
      <c r="AN1822" s="454"/>
      <c r="BC1822" s="169"/>
    </row>
    <row r="1823" spans="40:55">
      <c r="AN1823" s="454"/>
      <c r="BC1823" s="169"/>
    </row>
    <row r="1824" spans="40:55">
      <c r="AN1824" s="454"/>
      <c r="BC1824" s="169"/>
    </row>
    <row r="1825" spans="40:55">
      <c r="AN1825" s="454"/>
      <c r="BC1825" s="169"/>
    </row>
    <row r="1826" spans="40:55">
      <c r="AN1826" s="454"/>
      <c r="BC1826" s="169"/>
    </row>
    <row r="1827" spans="40:55">
      <c r="AN1827" s="454"/>
      <c r="BC1827" s="169"/>
    </row>
    <row r="1828" spans="40:55">
      <c r="AN1828" s="454"/>
      <c r="BC1828" s="169"/>
    </row>
    <row r="1829" spans="40:55">
      <c r="AN1829" s="454"/>
      <c r="BC1829" s="169"/>
    </row>
    <row r="1830" spans="40:55">
      <c r="AN1830" s="454"/>
      <c r="BC1830" s="169"/>
    </row>
    <row r="1831" spans="40:55">
      <c r="AN1831" s="454"/>
      <c r="BC1831" s="169"/>
    </row>
    <row r="1832" spans="40:55">
      <c r="AN1832" s="454"/>
      <c r="BC1832" s="169"/>
    </row>
    <row r="1833" spans="40:55">
      <c r="AN1833" s="454"/>
      <c r="BC1833" s="169"/>
    </row>
    <row r="1834" spans="40:55">
      <c r="AN1834" s="454"/>
      <c r="BC1834" s="169"/>
    </row>
    <row r="1835" spans="40:55">
      <c r="AN1835" s="454"/>
      <c r="BC1835" s="169"/>
    </row>
    <row r="1836" spans="40:55">
      <c r="AN1836" s="454"/>
      <c r="BC1836" s="169"/>
    </row>
    <row r="1837" spans="40:55">
      <c r="AN1837" s="454"/>
      <c r="BC1837" s="169"/>
    </row>
    <row r="1838" spans="40:55">
      <c r="AN1838" s="454"/>
      <c r="BC1838" s="169"/>
    </row>
    <row r="1839" spans="40:55">
      <c r="AN1839" s="454"/>
      <c r="BC1839" s="169"/>
    </row>
    <row r="1840" spans="40:55">
      <c r="AN1840" s="454"/>
      <c r="BC1840" s="169"/>
    </row>
    <row r="1841" spans="40:55">
      <c r="AN1841" s="454"/>
      <c r="BC1841" s="169"/>
    </row>
    <row r="1842" spans="40:55">
      <c r="AN1842" s="454"/>
      <c r="BC1842" s="169"/>
    </row>
    <row r="1843" spans="40:55">
      <c r="AN1843" s="454"/>
      <c r="BC1843" s="169"/>
    </row>
    <row r="1844" spans="40:55">
      <c r="AN1844" s="454"/>
      <c r="BC1844" s="169"/>
    </row>
    <row r="1845" spans="40:55">
      <c r="AN1845" s="454"/>
      <c r="BC1845" s="169"/>
    </row>
    <row r="1846" spans="40:55">
      <c r="AN1846" s="454"/>
      <c r="BC1846" s="169"/>
    </row>
    <row r="1847" spans="40:55">
      <c r="AN1847" s="454"/>
      <c r="BC1847" s="169"/>
    </row>
    <row r="1848" spans="40:55">
      <c r="AN1848" s="454"/>
      <c r="BC1848" s="169"/>
    </row>
    <row r="1849" spans="40:55">
      <c r="AN1849" s="454"/>
      <c r="BC1849" s="169"/>
    </row>
    <row r="1850" spans="40:55">
      <c r="AN1850" s="454"/>
      <c r="BC1850" s="169"/>
    </row>
    <row r="1851" spans="40:55">
      <c r="AN1851" s="454"/>
      <c r="BC1851" s="169"/>
    </row>
    <row r="1852" spans="40:55">
      <c r="AN1852" s="454"/>
      <c r="BC1852" s="169"/>
    </row>
    <row r="1853" spans="40:55">
      <c r="AN1853" s="454"/>
      <c r="BC1853" s="169"/>
    </row>
    <row r="1854" spans="40:55">
      <c r="AN1854" s="454"/>
      <c r="BC1854" s="169"/>
    </row>
    <row r="1855" spans="40:55">
      <c r="AN1855" s="454"/>
      <c r="BC1855" s="169"/>
    </row>
    <row r="1856" spans="40:55">
      <c r="AN1856" s="454"/>
      <c r="BC1856" s="169"/>
    </row>
    <row r="1857" spans="40:55">
      <c r="AN1857" s="454"/>
      <c r="BC1857" s="169"/>
    </row>
    <row r="1858" spans="40:55">
      <c r="AN1858" s="454"/>
      <c r="BC1858" s="169"/>
    </row>
    <row r="1859" spans="40:55">
      <c r="AN1859" s="454"/>
      <c r="BC1859" s="169"/>
    </row>
    <row r="1860" spans="40:55">
      <c r="AN1860" s="454"/>
      <c r="BC1860" s="169"/>
    </row>
    <row r="1861" spans="40:55">
      <c r="AN1861" s="454"/>
      <c r="BC1861" s="169"/>
    </row>
    <row r="1862" spans="40:55">
      <c r="AN1862" s="454"/>
      <c r="BC1862" s="169"/>
    </row>
    <row r="1863" spans="40:55">
      <c r="AN1863" s="454"/>
      <c r="BC1863" s="169"/>
    </row>
    <row r="1864" spans="40:55">
      <c r="AN1864" s="454"/>
      <c r="BC1864" s="169"/>
    </row>
    <row r="1865" spans="40:55">
      <c r="AN1865" s="454"/>
      <c r="BC1865" s="169"/>
    </row>
    <row r="1866" spans="40:55">
      <c r="AN1866" s="454"/>
      <c r="BC1866" s="169"/>
    </row>
    <row r="1867" spans="40:55">
      <c r="AN1867" s="454"/>
      <c r="BC1867" s="169"/>
    </row>
    <row r="1868" spans="40:55">
      <c r="AN1868" s="454"/>
      <c r="BC1868" s="169"/>
    </row>
    <row r="1869" spans="40:55">
      <c r="AN1869" s="454"/>
      <c r="BC1869" s="169"/>
    </row>
    <row r="1870" spans="40:55">
      <c r="AN1870" s="454"/>
      <c r="BC1870" s="169"/>
    </row>
    <row r="1871" spans="40:55">
      <c r="AN1871" s="454"/>
      <c r="BC1871" s="169"/>
    </row>
    <row r="1872" spans="40:55">
      <c r="AN1872" s="454"/>
      <c r="BC1872" s="169"/>
    </row>
    <row r="1873" spans="40:55">
      <c r="AN1873" s="454"/>
      <c r="BC1873" s="169"/>
    </row>
    <row r="1874" spans="40:55">
      <c r="AN1874" s="454"/>
      <c r="BC1874" s="169"/>
    </row>
    <row r="1875" spans="40:55">
      <c r="AN1875" s="454"/>
      <c r="BC1875" s="169"/>
    </row>
    <row r="1876" spans="40:55">
      <c r="AN1876" s="454"/>
      <c r="BC1876" s="169"/>
    </row>
    <row r="1877" spans="40:55">
      <c r="AN1877" s="454"/>
      <c r="BC1877" s="169"/>
    </row>
    <row r="1878" spans="40:55">
      <c r="AN1878" s="454"/>
      <c r="BC1878" s="169"/>
    </row>
    <row r="1879" spans="40:55">
      <c r="AN1879" s="454"/>
      <c r="BC1879" s="169"/>
    </row>
    <row r="1880" spans="40:55">
      <c r="AN1880" s="454"/>
      <c r="BC1880" s="169"/>
    </row>
    <row r="1881" spans="40:55">
      <c r="AN1881" s="454"/>
      <c r="BC1881" s="169"/>
    </row>
    <row r="1882" spans="40:55">
      <c r="AN1882" s="454"/>
      <c r="BC1882" s="169"/>
    </row>
    <row r="1883" spans="40:55">
      <c r="AN1883" s="454"/>
      <c r="BC1883" s="169"/>
    </row>
    <row r="1884" spans="40:55">
      <c r="AN1884" s="454"/>
      <c r="BC1884" s="169"/>
    </row>
    <row r="1885" spans="40:55">
      <c r="AN1885" s="454"/>
      <c r="BC1885" s="169"/>
    </row>
    <row r="1886" spans="40:55">
      <c r="AN1886" s="454"/>
      <c r="BC1886" s="169"/>
    </row>
    <row r="1887" spans="40:55">
      <c r="AN1887" s="454"/>
      <c r="BC1887" s="169"/>
    </row>
    <row r="1888" spans="40:55">
      <c r="AN1888" s="454"/>
      <c r="BC1888" s="169"/>
    </row>
    <row r="1889" spans="40:55">
      <c r="AN1889" s="454"/>
      <c r="BC1889" s="169"/>
    </row>
    <row r="1890" spans="40:55">
      <c r="AN1890" s="454"/>
      <c r="BC1890" s="169"/>
    </row>
    <row r="1891" spans="40:55">
      <c r="AN1891" s="454"/>
      <c r="BC1891" s="169"/>
    </row>
    <row r="1892" spans="40:55">
      <c r="AN1892" s="454"/>
      <c r="BC1892" s="169"/>
    </row>
    <row r="1893" spans="40:55">
      <c r="AN1893" s="454"/>
      <c r="BC1893" s="169"/>
    </row>
    <row r="1894" spans="40:55">
      <c r="AN1894" s="454"/>
      <c r="BC1894" s="169"/>
    </row>
    <row r="1895" spans="40:55">
      <c r="AN1895" s="454"/>
      <c r="BC1895" s="169"/>
    </row>
    <row r="1896" spans="40:55">
      <c r="AN1896" s="454"/>
      <c r="BC1896" s="169"/>
    </row>
    <row r="1897" spans="40:55">
      <c r="AN1897" s="454"/>
      <c r="BC1897" s="169"/>
    </row>
    <row r="1898" spans="40:55">
      <c r="AN1898" s="454"/>
      <c r="BC1898" s="169"/>
    </row>
    <row r="1899" spans="40:55">
      <c r="AN1899" s="454"/>
      <c r="BC1899" s="169"/>
    </row>
    <row r="1900" spans="40:55">
      <c r="AN1900" s="454"/>
      <c r="BC1900" s="169"/>
    </row>
    <row r="1901" spans="40:55">
      <c r="AN1901" s="454"/>
      <c r="BC1901" s="169"/>
    </row>
    <row r="1902" spans="40:55">
      <c r="AN1902" s="454"/>
      <c r="BC1902" s="169"/>
    </row>
    <row r="1903" spans="40:55">
      <c r="AN1903" s="454"/>
      <c r="BC1903" s="169"/>
    </row>
    <row r="1904" spans="40:55">
      <c r="AN1904" s="454"/>
      <c r="BC1904" s="169"/>
    </row>
    <row r="1905" spans="40:55">
      <c r="AN1905" s="454"/>
      <c r="BC1905" s="169"/>
    </row>
    <row r="1906" spans="40:55">
      <c r="AN1906" s="454"/>
      <c r="BC1906" s="169"/>
    </row>
    <row r="1907" spans="40:55">
      <c r="AN1907" s="454"/>
      <c r="BC1907" s="169"/>
    </row>
    <row r="1908" spans="40:55">
      <c r="AN1908" s="454"/>
      <c r="BC1908" s="169"/>
    </row>
    <row r="1909" spans="40:55">
      <c r="AN1909" s="454"/>
      <c r="BC1909" s="169"/>
    </row>
    <row r="1910" spans="40:55">
      <c r="AN1910" s="454"/>
      <c r="BC1910" s="169"/>
    </row>
    <row r="1911" spans="40:55">
      <c r="AN1911" s="454"/>
      <c r="BC1911" s="169"/>
    </row>
    <row r="1912" spans="40:55">
      <c r="AN1912" s="454"/>
      <c r="BC1912" s="169"/>
    </row>
    <row r="1913" spans="40:55">
      <c r="AN1913" s="454"/>
      <c r="BC1913" s="169"/>
    </row>
    <row r="1914" spans="40:55">
      <c r="AN1914" s="454"/>
      <c r="BC1914" s="169"/>
    </row>
    <row r="1915" spans="40:55">
      <c r="AN1915" s="454"/>
      <c r="BC1915" s="169"/>
    </row>
    <row r="1916" spans="40:55">
      <c r="AN1916" s="454"/>
      <c r="BC1916" s="169"/>
    </row>
    <row r="1917" spans="40:55">
      <c r="AN1917" s="454"/>
      <c r="BC1917" s="169"/>
    </row>
    <row r="1918" spans="40:55">
      <c r="AN1918" s="454"/>
      <c r="BC1918" s="169"/>
    </row>
    <row r="1919" spans="40:55">
      <c r="AN1919" s="454"/>
      <c r="BC1919" s="169"/>
    </row>
    <row r="1920" spans="40:55">
      <c r="AN1920" s="454"/>
      <c r="BC1920" s="169"/>
    </row>
    <row r="1921" spans="40:55">
      <c r="AN1921" s="454"/>
      <c r="BC1921" s="169"/>
    </row>
    <row r="1922" spans="40:55">
      <c r="AN1922" s="454"/>
      <c r="BC1922" s="169"/>
    </row>
    <row r="1923" spans="40:55">
      <c r="AN1923" s="454"/>
      <c r="BC1923" s="169"/>
    </row>
    <row r="1924" spans="40:55">
      <c r="AN1924" s="454"/>
      <c r="BC1924" s="169"/>
    </row>
    <row r="1925" spans="40:55">
      <c r="AN1925" s="454"/>
      <c r="BC1925" s="169"/>
    </row>
    <row r="1926" spans="40:55">
      <c r="AN1926" s="454"/>
      <c r="BC1926" s="169"/>
    </row>
    <row r="1927" spans="40:55">
      <c r="AN1927" s="454"/>
      <c r="BC1927" s="169"/>
    </row>
    <row r="1928" spans="40:55">
      <c r="AN1928" s="454"/>
      <c r="BC1928" s="169"/>
    </row>
    <row r="1929" spans="40:55">
      <c r="AN1929" s="454"/>
      <c r="BC1929" s="169"/>
    </row>
    <row r="1930" spans="40:55">
      <c r="AN1930" s="454"/>
      <c r="BC1930" s="169"/>
    </row>
    <row r="1931" spans="40:55">
      <c r="AN1931" s="454"/>
      <c r="BC1931" s="169"/>
    </row>
    <row r="1932" spans="40:55">
      <c r="AN1932" s="454"/>
      <c r="BC1932" s="169"/>
    </row>
    <row r="1933" spans="40:55">
      <c r="AN1933" s="454"/>
      <c r="BC1933" s="169"/>
    </row>
    <row r="1934" spans="40:55">
      <c r="AN1934" s="454"/>
      <c r="BC1934" s="169"/>
    </row>
    <row r="1935" spans="40:55">
      <c r="AN1935" s="454"/>
      <c r="BC1935" s="169"/>
    </row>
    <row r="1936" spans="40:55">
      <c r="AN1936" s="454"/>
      <c r="BC1936" s="169"/>
    </row>
    <row r="1937" spans="40:55">
      <c r="AN1937" s="454"/>
      <c r="BC1937" s="169"/>
    </row>
    <row r="1938" spans="40:55">
      <c r="AN1938" s="454"/>
      <c r="BC1938" s="169"/>
    </row>
    <row r="1939" spans="40:55">
      <c r="AN1939" s="454"/>
      <c r="BC1939" s="169"/>
    </row>
    <row r="1940" spans="40:55">
      <c r="AN1940" s="454"/>
      <c r="BC1940" s="169"/>
    </row>
    <row r="1941" spans="40:55">
      <c r="AN1941" s="454"/>
      <c r="BC1941" s="169"/>
    </row>
    <row r="1942" spans="40:55">
      <c r="AN1942" s="454"/>
      <c r="BC1942" s="169"/>
    </row>
    <row r="1943" spans="40:55">
      <c r="AN1943" s="454"/>
      <c r="BC1943" s="169"/>
    </row>
    <row r="1944" spans="40:55">
      <c r="AN1944" s="454"/>
      <c r="BC1944" s="169"/>
    </row>
    <row r="1945" spans="40:55">
      <c r="AN1945" s="454"/>
      <c r="BC1945" s="169"/>
    </row>
    <row r="1946" spans="40:55">
      <c r="AN1946" s="454"/>
      <c r="BC1946" s="169"/>
    </row>
    <row r="1947" spans="40:55">
      <c r="AN1947" s="454"/>
      <c r="BC1947" s="169"/>
    </row>
    <row r="1948" spans="40:55">
      <c r="AN1948" s="454"/>
      <c r="BC1948" s="169"/>
    </row>
    <row r="1949" spans="40:55">
      <c r="AN1949" s="454"/>
      <c r="BC1949" s="169"/>
    </row>
    <row r="1950" spans="40:55">
      <c r="AN1950" s="454"/>
      <c r="BC1950" s="169"/>
    </row>
    <row r="1951" spans="40:55">
      <c r="AN1951" s="454"/>
      <c r="BC1951" s="169"/>
    </row>
    <row r="1952" spans="40:55">
      <c r="AN1952" s="454"/>
      <c r="BC1952" s="169"/>
    </row>
    <row r="1953" spans="40:55">
      <c r="AN1953" s="454"/>
      <c r="BC1953" s="169"/>
    </row>
    <row r="1954" spans="40:55">
      <c r="AN1954" s="454"/>
      <c r="BC1954" s="169"/>
    </row>
    <row r="1955" spans="40:55">
      <c r="AN1955" s="454"/>
      <c r="BC1955" s="169"/>
    </row>
    <row r="1956" spans="40:55">
      <c r="AN1956" s="454"/>
      <c r="BC1956" s="169"/>
    </row>
    <row r="1957" spans="40:55">
      <c r="AN1957" s="454"/>
      <c r="BC1957" s="169"/>
    </row>
    <row r="1958" spans="40:55">
      <c r="AN1958" s="454"/>
      <c r="BC1958" s="169"/>
    </row>
    <row r="1959" spans="40:55">
      <c r="AN1959" s="454"/>
      <c r="BC1959" s="169"/>
    </row>
    <row r="1960" spans="40:55">
      <c r="AN1960" s="454"/>
      <c r="BC1960" s="169"/>
    </row>
    <row r="1961" spans="40:55">
      <c r="AN1961" s="454"/>
      <c r="BC1961" s="169"/>
    </row>
    <row r="1962" spans="40:55">
      <c r="AN1962" s="454"/>
      <c r="BC1962" s="169"/>
    </row>
    <row r="1963" spans="40:55">
      <c r="AN1963" s="454"/>
      <c r="BC1963" s="169"/>
    </row>
    <row r="1964" spans="40:55">
      <c r="AN1964" s="454"/>
      <c r="BC1964" s="169"/>
    </row>
    <row r="1965" spans="40:55">
      <c r="AN1965" s="454"/>
      <c r="BC1965" s="169"/>
    </row>
    <row r="1966" spans="40:55">
      <c r="AN1966" s="454"/>
      <c r="BC1966" s="169"/>
    </row>
    <row r="1967" spans="40:55">
      <c r="AN1967" s="454"/>
      <c r="BC1967" s="169"/>
    </row>
    <row r="1968" spans="40:55">
      <c r="AN1968" s="454"/>
      <c r="BC1968" s="169"/>
    </row>
    <row r="1969" spans="40:55">
      <c r="AN1969" s="454"/>
      <c r="BC1969" s="169"/>
    </row>
    <row r="1970" spans="40:55">
      <c r="AN1970" s="454"/>
      <c r="BC1970" s="169"/>
    </row>
    <row r="1971" spans="40:55">
      <c r="AN1971" s="454"/>
      <c r="BC1971" s="169"/>
    </row>
    <row r="1972" spans="40:55">
      <c r="AN1972" s="454"/>
      <c r="BC1972" s="169"/>
    </row>
    <row r="1973" spans="40:55">
      <c r="AN1973" s="454"/>
      <c r="BC1973" s="169"/>
    </row>
    <row r="1974" spans="40:55">
      <c r="AN1974" s="454"/>
      <c r="BC1974" s="169"/>
    </row>
    <row r="1975" spans="40:55">
      <c r="AN1975" s="454"/>
      <c r="BC1975" s="169"/>
    </row>
    <row r="1976" spans="40:55">
      <c r="AN1976" s="454"/>
      <c r="BC1976" s="169"/>
    </row>
    <row r="1977" spans="40:55">
      <c r="AN1977" s="454"/>
      <c r="BC1977" s="169"/>
    </row>
    <row r="1978" spans="40:55">
      <c r="AN1978" s="454"/>
      <c r="BC1978" s="169"/>
    </row>
    <row r="1979" spans="40:55">
      <c r="AN1979" s="454"/>
      <c r="BC1979" s="169"/>
    </row>
    <row r="1980" spans="40:55">
      <c r="AN1980" s="454"/>
      <c r="BC1980" s="169"/>
    </row>
    <row r="1981" spans="40:55">
      <c r="AN1981" s="454"/>
      <c r="BC1981" s="169"/>
    </row>
    <row r="1982" spans="40:55">
      <c r="AN1982" s="454"/>
      <c r="BC1982" s="169"/>
    </row>
    <row r="1983" spans="40:55">
      <c r="AN1983" s="454"/>
      <c r="BC1983" s="169"/>
    </row>
    <row r="1984" spans="40:55">
      <c r="AN1984" s="454"/>
      <c r="BC1984" s="169"/>
    </row>
    <row r="1985" spans="40:55">
      <c r="AN1985" s="454"/>
      <c r="BC1985" s="169"/>
    </row>
    <row r="1986" spans="40:55">
      <c r="AN1986" s="454"/>
      <c r="BC1986" s="169"/>
    </row>
    <row r="1987" spans="40:55">
      <c r="AN1987" s="454"/>
      <c r="BC1987" s="169"/>
    </row>
    <row r="1988" spans="40:55">
      <c r="AN1988" s="454"/>
      <c r="BC1988" s="169"/>
    </row>
    <row r="1989" spans="40:55">
      <c r="AN1989" s="454"/>
      <c r="BC1989" s="169"/>
    </row>
    <row r="1990" spans="40:55">
      <c r="AN1990" s="454"/>
      <c r="BC1990" s="169"/>
    </row>
    <row r="1991" spans="40:55">
      <c r="AN1991" s="454"/>
    </row>
    <row r="1992" spans="40:55">
      <c r="AN1992" s="454"/>
    </row>
    <row r="1993" spans="40:55">
      <c r="AN1993" s="454"/>
    </row>
    <row r="1994" spans="40:55">
      <c r="AN1994" s="454"/>
    </row>
    <row r="1995" spans="40:55">
      <c r="AN1995" s="454"/>
    </row>
    <row r="1996" spans="40:55">
      <c r="AN1996" s="454"/>
    </row>
    <row r="1997" spans="40:55">
      <c r="AN1997" s="454"/>
    </row>
    <row r="1998" spans="40:55">
      <c r="AN1998" s="454"/>
    </row>
    <row r="1999" spans="40:55">
      <c r="AN1999" s="454"/>
    </row>
    <row r="2000" spans="40:55">
      <c r="AN2000" s="454"/>
    </row>
    <row r="2001" spans="40:40">
      <c r="AN2001" s="454"/>
    </row>
    <row r="2002" spans="40:40">
      <c r="AN2002" s="454"/>
    </row>
    <row r="2003" spans="40:40">
      <c r="AN2003" s="454"/>
    </row>
    <row r="2004" spans="40:40">
      <c r="AN2004" s="454"/>
    </row>
    <row r="2005" spans="40:40">
      <c r="AN2005" s="454"/>
    </row>
    <row r="2006" spans="40:40">
      <c r="AN2006" s="454"/>
    </row>
    <row r="2007" spans="40:40">
      <c r="AN2007" s="454"/>
    </row>
    <row r="2008" spans="40:40">
      <c r="AN2008" s="454"/>
    </row>
    <row r="2009" spans="40:40">
      <c r="AN2009" s="454"/>
    </row>
    <row r="2010" spans="40:40">
      <c r="AN2010" s="454"/>
    </row>
    <row r="2011" spans="40:40">
      <c r="AN2011" s="454"/>
    </row>
    <row r="2012" spans="40:40">
      <c r="AN2012" s="454"/>
    </row>
    <row r="2013" spans="40:40">
      <c r="AN2013" s="454"/>
    </row>
    <row r="2014" spans="40:40">
      <c r="AN2014" s="454"/>
    </row>
    <row r="2015" spans="40:40">
      <c r="AN2015" s="454"/>
    </row>
    <row r="2016" spans="40:40">
      <c r="AN2016" s="454"/>
    </row>
    <row r="2017" spans="40:40">
      <c r="AN2017" s="454"/>
    </row>
    <row r="2018" spans="40:40">
      <c r="AN2018" s="454"/>
    </row>
    <row r="2019" spans="40:40">
      <c r="AN2019" s="454"/>
    </row>
    <row r="2020" spans="40:40">
      <c r="AN2020" s="454"/>
    </row>
    <row r="2021" spans="40:40">
      <c r="AN2021" s="454"/>
    </row>
    <row r="2022" spans="40:40">
      <c r="AN2022" s="454"/>
    </row>
    <row r="2023" spans="40:40">
      <c r="AN2023" s="454"/>
    </row>
    <row r="2024" spans="40:40">
      <c r="AN2024" s="454"/>
    </row>
    <row r="2025" spans="40:40">
      <c r="AN2025" s="454"/>
    </row>
    <row r="2026" spans="40:40">
      <c r="AN2026" s="454"/>
    </row>
    <row r="2027" spans="40:40">
      <c r="AN2027" s="454"/>
    </row>
    <row r="2028" spans="40:40">
      <c r="AN2028" s="454"/>
    </row>
    <row r="2029" spans="40:40">
      <c r="AN2029" s="454"/>
    </row>
    <row r="2030" spans="40:40">
      <c r="AN2030" s="454"/>
    </row>
    <row r="2031" spans="40:40">
      <c r="AN2031" s="454"/>
    </row>
    <row r="2032" spans="40:40">
      <c r="AN2032" s="454"/>
    </row>
    <row r="2033" spans="40:40">
      <c r="AN2033" s="454"/>
    </row>
    <row r="2034" spans="40:40">
      <c r="AN2034" s="454"/>
    </row>
    <row r="2035" spans="40:40">
      <c r="AN2035" s="454"/>
    </row>
    <row r="2036" spans="40:40">
      <c r="AN2036" s="454"/>
    </row>
    <row r="2037" spans="40:40">
      <c r="AN2037" s="454"/>
    </row>
    <row r="2038" spans="40:40">
      <c r="AN2038" s="454"/>
    </row>
    <row r="2039" spans="40:40">
      <c r="AN2039" s="454"/>
    </row>
    <row r="2040" spans="40:40">
      <c r="AN2040" s="454"/>
    </row>
    <row r="2041" spans="40:40">
      <c r="AN2041" s="454"/>
    </row>
    <row r="2042" spans="40:40">
      <c r="AN2042" s="454"/>
    </row>
    <row r="2043" spans="40:40">
      <c r="AN2043" s="454"/>
    </row>
    <row r="2044" spans="40:40">
      <c r="AN2044" s="454"/>
    </row>
    <row r="2045" spans="40:40">
      <c r="AN2045" s="454"/>
    </row>
    <row r="2046" spans="40:40">
      <c r="AN2046" s="454"/>
    </row>
    <row r="2047" spans="40:40">
      <c r="AN2047" s="454"/>
    </row>
    <row r="2048" spans="40:40">
      <c r="AN2048" s="454"/>
    </row>
    <row r="2049" spans="40:40">
      <c r="AN2049" s="454"/>
    </row>
    <row r="2050" spans="40:40">
      <c r="AN2050" s="454"/>
    </row>
    <row r="2051" spans="40:40">
      <c r="AN2051" s="454"/>
    </row>
    <row r="2052" spans="40:40">
      <c r="AN2052" s="454"/>
    </row>
    <row r="2053" spans="40:40">
      <c r="AN2053" s="454"/>
    </row>
    <row r="2054" spans="40:40">
      <c r="AN2054" s="454"/>
    </row>
    <row r="2055" spans="40:40">
      <c r="AN2055" s="454"/>
    </row>
    <row r="2056" spans="40:40">
      <c r="AN2056" s="454"/>
    </row>
    <row r="2057" spans="40:40">
      <c r="AN2057" s="454"/>
    </row>
    <row r="2058" spans="40:40">
      <c r="AN2058" s="454"/>
    </row>
    <row r="2059" spans="40:40">
      <c r="AN2059" s="454"/>
    </row>
    <row r="2060" spans="40:40">
      <c r="AN2060" s="454"/>
    </row>
    <row r="2061" spans="40:40">
      <c r="AN2061" s="454"/>
    </row>
    <row r="2062" spans="40:40">
      <c r="AN2062" s="454"/>
    </row>
    <row r="2063" spans="40:40">
      <c r="AN2063" s="454"/>
    </row>
    <row r="2064" spans="40:40">
      <c r="AN2064" s="454"/>
    </row>
    <row r="2065" spans="40:40">
      <c r="AN2065" s="454"/>
    </row>
    <row r="2066" spans="40:40">
      <c r="AN2066" s="454"/>
    </row>
    <row r="2067" spans="40:40">
      <c r="AN2067" s="454"/>
    </row>
    <row r="2068" spans="40:40">
      <c r="AN2068" s="454"/>
    </row>
    <row r="2069" spans="40:40">
      <c r="AN2069" s="454"/>
    </row>
    <row r="2070" spans="40:40">
      <c r="AN2070" s="454"/>
    </row>
    <row r="2071" spans="40:40">
      <c r="AN2071" s="454"/>
    </row>
    <row r="2072" spans="40:40">
      <c r="AN2072" s="454"/>
    </row>
    <row r="2073" spans="40:40">
      <c r="AN2073" s="454"/>
    </row>
    <row r="2074" spans="40:40">
      <c r="AN2074" s="454"/>
    </row>
    <row r="2075" spans="40:40">
      <c r="AN2075" s="454"/>
    </row>
    <row r="2076" spans="40:40">
      <c r="AN2076" s="454"/>
    </row>
    <row r="2077" spans="40:40">
      <c r="AN2077" s="454"/>
    </row>
    <row r="2078" spans="40:40">
      <c r="AN2078" s="454"/>
    </row>
    <row r="2079" spans="40:40">
      <c r="AN2079" s="454"/>
    </row>
    <row r="2080" spans="40:40">
      <c r="AN2080" s="454"/>
    </row>
    <row r="2081" spans="40:40">
      <c r="AN2081" s="454"/>
    </row>
    <row r="2082" spans="40:40">
      <c r="AN2082" s="454"/>
    </row>
    <row r="2083" spans="40:40">
      <c r="AN2083" s="454"/>
    </row>
    <row r="2084" spans="40:40">
      <c r="AN2084" s="454"/>
    </row>
    <row r="2085" spans="40:40">
      <c r="AN2085" s="454"/>
    </row>
    <row r="2086" spans="40:40">
      <c r="AN2086" s="454"/>
    </row>
    <row r="2087" spans="40:40">
      <c r="AN2087" s="454"/>
    </row>
    <row r="2088" spans="40:40">
      <c r="AN2088" s="454"/>
    </row>
    <row r="2089" spans="40:40">
      <c r="AN2089" s="454"/>
    </row>
    <row r="2090" spans="40:40">
      <c r="AN2090" s="454"/>
    </row>
    <row r="2091" spans="40:40">
      <c r="AN2091" s="454"/>
    </row>
    <row r="2092" spans="40:40">
      <c r="AN2092" s="454"/>
    </row>
    <row r="2093" spans="40:40">
      <c r="AN2093" s="454"/>
    </row>
    <row r="2094" spans="40:40">
      <c r="AN2094" s="454"/>
    </row>
    <row r="2095" spans="40:40">
      <c r="AN2095" s="454"/>
    </row>
    <row r="2096" spans="40:40">
      <c r="AN2096" s="454"/>
    </row>
    <row r="2097" spans="40:40">
      <c r="AN2097" s="454"/>
    </row>
    <row r="2098" spans="40:40">
      <c r="AN2098" s="454"/>
    </row>
    <row r="2099" spans="40:40">
      <c r="AN2099" s="454"/>
    </row>
    <row r="2100" spans="40:40">
      <c r="AN2100" s="454"/>
    </row>
    <row r="2101" spans="40:40">
      <c r="AN2101" s="454"/>
    </row>
    <row r="2102" spans="40:40">
      <c r="AN2102" s="454"/>
    </row>
    <row r="2103" spans="40:40">
      <c r="AN2103" s="454"/>
    </row>
    <row r="2104" spans="40:40">
      <c r="AN2104" s="454"/>
    </row>
    <row r="2105" spans="40:40">
      <c r="AN2105" s="454"/>
    </row>
    <row r="2106" spans="40:40">
      <c r="AN2106" s="454"/>
    </row>
    <row r="2107" spans="40:40">
      <c r="AN2107" s="454"/>
    </row>
    <row r="2108" spans="40:40">
      <c r="AN2108" s="454"/>
    </row>
    <row r="2109" spans="40:40">
      <c r="AN2109" s="454"/>
    </row>
    <row r="2110" spans="40:40">
      <c r="AN2110" s="454"/>
    </row>
    <row r="2111" spans="40:40">
      <c r="AN2111" s="454"/>
    </row>
    <row r="2112" spans="40:40">
      <c r="AN2112" s="454"/>
    </row>
    <row r="2113" spans="40:40">
      <c r="AN2113" s="454"/>
    </row>
    <row r="2114" spans="40:40">
      <c r="AN2114" s="454"/>
    </row>
    <row r="2115" spans="40:40">
      <c r="AN2115" s="454"/>
    </row>
    <row r="2116" spans="40:40">
      <c r="AN2116" s="454"/>
    </row>
    <row r="2117" spans="40:40">
      <c r="AN2117" s="454"/>
    </row>
    <row r="2118" spans="40:40">
      <c r="AN2118" s="454"/>
    </row>
    <row r="2119" spans="40:40">
      <c r="AN2119" s="454"/>
    </row>
    <row r="2120" spans="40:40">
      <c r="AN2120" s="454"/>
    </row>
    <row r="2121" spans="40:40">
      <c r="AN2121" s="454"/>
    </row>
    <row r="2122" spans="40:40">
      <c r="AN2122" s="454"/>
    </row>
    <row r="2123" spans="40:40">
      <c r="AN2123" s="454"/>
    </row>
    <row r="2124" spans="40:40">
      <c r="AN2124" s="454"/>
    </row>
    <row r="2125" spans="40:40">
      <c r="AN2125" s="454"/>
    </row>
    <row r="2126" spans="40:40">
      <c r="AN2126" s="454"/>
    </row>
    <row r="2127" spans="40:40">
      <c r="AN2127" s="454"/>
    </row>
    <row r="2128" spans="40:40">
      <c r="AN2128" s="454"/>
    </row>
    <row r="2129" spans="40:40">
      <c r="AN2129" s="454"/>
    </row>
    <row r="2130" spans="40:40">
      <c r="AN2130" s="454"/>
    </row>
    <row r="2131" spans="40:40">
      <c r="AN2131" s="454"/>
    </row>
    <row r="2132" spans="40:40">
      <c r="AN2132" s="454"/>
    </row>
    <row r="2133" spans="40:40">
      <c r="AN2133" s="454"/>
    </row>
    <row r="2134" spans="40:40">
      <c r="AN2134" s="454"/>
    </row>
    <row r="2135" spans="40:40">
      <c r="AN2135" s="454"/>
    </row>
    <row r="2136" spans="40:40">
      <c r="AN2136" s="454"/>
    </row>
    <row r="2137" spans="40:40">
      <c r="AN2137" s="454"/>
    </row>
    <row r="2138" spans="40:40">
      <c r="AN2138" s="454"/>
    </row>
    <row r="2139" spans="40:40">
      <c r="AN2139" s="454"/>
    </row>
    <row r="2140" spans="40:40">
      <c r="AN2140" s="454"/>
    </row>
    <row r="2141" spans="40:40">
      <c r="AN2141" s="454"/>
    </row>
    <row r="2142" spans="40:40">
      <c r="AN2142" s="454"/>
    </row>
    <row r="2143" spans="40:40">
      <c r="AN2143" s="454"/>
    </row>
    <row r="2144" spans="40:40">
      <c r="AN2144" s="454"/>
    </row>
    <row r="2145" spans="40:40">
      <c r="AN2145" s="454"/>
    </row>
    <row r="2146" spans="40:40">
      <c r="AN2146" s="454"/>
    </row>
    <row r="2147" spans="40:40">
      <c r="AN2147" s="454"/>
    </row>
    <row r="2148" spans="40:40">
      <c r="AN2148" s="454"/>
    </row>
    <row r="2149" spans="40:40">
      <c r="AN2149" s="454"/>
    </row>
    <row r="2150" spans="40:40">
      <c r="AN2150" s="454"/>
    </row>
    <row r="2151" spans="40:40">
      <c r="AN2151" s="454"/>
    </row>
    <row r="2152" spans="40:40">
      <c r="AN2152" s="454"/>
    </row>
    <row r="2153" spans="40:40">
      <c r="AN2153" s="454"/>
    </row>
    <row r="2154" spans="40:40">
      <c r="AN2154" s="454"/>
    </row>
    <row r="2155" spans="40:40">
      <c r="AN2155" s="454"/>
    </row>
    <row r="2156" spans="40:40">
      <c r="AN2156" s="454"/>
    </row>
    <row r="2157" spans="40:40">
      <c r="AN2157" s="454"/>
    </row>
    <row r="2158" spans="40:40">
      <c r="AN2158" s="454"/>
    </row>
    <row r="2159" spans="40:40">
      <c r="AN2159" s="454"/>
    </row>
    <row r="2160" spans="40:40">
      <c r="AN2160" s="454"/>
    </row>
    <row r="2161" spans="40:40">
      <c r="AN2161" s="454"/>
    </row>
    <row r="2162" spans="40:40">
      <c r="AN2162" s="454"/>
    </row>
    <row r="2163" spans="40:40">
      <c r="AN2163" s="454"/>
    </row>
    <row r="2164" spans="40:40">
      <c r="AN2164" s="454"/>
    </row>
    <row r="2165" spans="40:40">
      <c r="AN2165" s="454"/>
    </row>
  </sheetData>
  <autoFilter ref="A2:BG56" xr:uid="{00000000-0009-0000-0000-000012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autoFilter>
  <mergeCells count="10">
    <mergeCell ref="BD1:BG1"/>
    <mergeCell ref="AN2:AP2"/>
    <mergeCell ref="AQ2:AS2"/>
    <mergeCell ref="AT2:AV2"/>
    <mergeCell ref="A1:BB1"/>
    <mergeCell ref="N2:P2"/>
    <mergeCell ref="T2:V2"/>
    <mergeCell ref="W2:Y2"/>
    <mergeCell ref="Z2:AB2"/>
    <mergeCell ref="AC2:AE2"/>
  </mergeCells>
  <conditionalFormatting sqref="B5:BA5 B41:BA56 B34:BA37 B32:AZ33 B31:BA31 B30:AZ30 B29:BA29 B26:AZ28 B25:BA25 B24:AZ24 B23:BA23 B22:AZ22 B21:BA21 B20:AZ20 B19:BA19 B18:AZ18 B17:BA17 B14:AZ16 B13:BA13 B12:AZ12 B11:BA11 B10:AZ10 B9:BA9 B6:AZ8 B4:AZ4">
    <cfRule type="expression" dxfId="670" priority="21">
      <formula>$M4="NON DEFINED"</formula>
    </cfRule>
    <cfRule type="expression" dxfId="669" priority="22">
      <formula>$AY4="N.D."</formula>
    </cfRule>
  </conditionalFormatting>
  <conditionalFormatting sqref="B9:BA9 B41:BA44 B34:BA37 B32:AZ33 B31:BA31 B30:AZ30 B29:BA29 B26:AZ28 B25:BA25 B24:AZ24 B23:BA23 B22:AZ22 B21:BA21 B20:AZ20 B19:BA19 B18:AZ18 B17:BA17 B14:AZ16 B13:BA13 B12:AZ12 B11:BA11 B10:AZ10 B8:AZ8">
    <cfRule type="expression" dxfId="668" priority="20">
      <formula>$AW4="N.D."</formula>
    </cfRule>
  </conditionalFormatting>
  <conditionalFormatting sqref="BD4:BG4 BD6:BE6 BD8:BE8 BD7 BD10:BE10 BD12:BE12 BD14:BE14 BD16:BE16 BD15 BD18:BE18 BD20:BE20 BD22:BE22 BD24:BE24 BD26:BE26 BD28:BE28 BD27 BD30:BE30 BD32:BE32 BD34:BE34 BD33 BD36:BE36 BD38:BE38 BD40:BE40 BD42:BE42 BD44:BE44 BD46:BE46 BD45 BD48:BG48 BD50:BG50 BD52:BG52 BD54:BG54 BD56:BE56 BG46 BG44 BG42 BG40 BG38 BG36 BG34 BG32 BG30 BG28 BG26 BG24 BG22 BG20 BG18 BG16 BG14 BG12 BG10 BG8 BG6 BD53">
    <cfRule type="containsBlanks" dxfId="667" priority="19">
      <formula>LEN(TRIM(BD4))=0</formula>
    </cfRule>
  </conditionalFormatting>
  <conditionalFormatting sqref="BC4:BC1990">
    <cfRule type="containsText" dxfId="666" priority="17" operator="containsText" text="a">
      <formula>NOT(ISERROR(SEARCH("a",BC4)))</formula>
    </cfRule>
    <cfRule type="containsText" dxfId="665" priority="18" operator="containsText" text="R">
      <formula>NOT(ISERROR(SEARCH("R",BC4)))</formula>
    </cfRule>
  </conditionalFormatting>
  <conditionalFormatting sqref="BA5 BA41:BA56 BA34:BA37 BA31 BA29 BA25 BA23 BA21 BA19 BA17 BA13 BA11 BA9">
    <cfRule type="expression" dxfId="664" priority="16">
      <formula>$BC5="R"</formula>
    </cfRule>
  </conditionalFormatting>
  <conditionalFormatting sqref="B5:BA5 B6:AZ7 B4:AZ4">
    <cfRule type="expression" dxfId="663" priority="23">
      <formula>#REF!="N.D."</formula>
    </cfRule>
  </conditionalFormatting>
  <conditionalFormatting sqref="AN4:AN37 AN41:AN56">
    <cfRule type="cellIs" dxfId="662" priority="15" operator="notEqual">
      <formula>5.5</formula>
    </cfRule>
  </conditionalFormatting>
  <conditionalFormatting sqref="AW8">
    <cfRule type="expression" dxfId="661" priority="14">
      <formula>#REF!="N.D."</formula>
    </cfRule>
  </conditionalFormatting>
  <conditionalFormatting sqref="AW10">
    <cfRule type="expression" dxfId="660" priority="13">
      <formula>#REF!="N.D."</formula>
    </cfRule>
  </conditionalFormatting>
  <conditionalFormatting sqref="AW12">
    <cfRule type="expression" dxfId="659" priority="12">
      <formula>#REF!="N.D."</formula>
    </cfRule>
  </conditionalFormatting>
  <conditionalFormatting sqref="AW14">
    <cfRule type="expression" dxfId="658" priority="11">
      <formula>#REF!="N.D."</formula>
    </cfRule>
  </conditionalFormatting>
  <conditionalFormatting sqref="AW16">
    <cfRule type="expression" dxfId="657" priority="10">
      <formula>#REF!="N.D."</formula>
    </cfRule>
  </conditionalFormatting>
  <conditionalFormatting sqref="AW17">
    <cfRule type="expression" dxfId="656" priority="9">
      <formula>#REF!="N.D."</formula>
    </cfRule>
  </conditionalFormatting>
  <conditionalFormatting sqref="AW18">
    <cfRule type="expression" dxfId="655" priority="8">
      <formula>#REF!="N.D."</formula>
    </cfRule>
  </conditionalFormatting>
  <conditionalFormatting sqref="AW20">
    <cfRule type="expression" dxfId="654" priority="7">
      <formula>#REF!="N.D."</formula>
    </cfRule>
  </conditionalFormatting>
  <conditionalFormatting sqref="AW22">
    <cfRule type="expression" dxfId="653" priority="6">
      <formula>#REF!="N.D."</formula>
    </cfRule>
  </conditionalFormatting>
  <conditionalFormatting sqref="AW24">
    <cfRule type="expression" dxfId="652" priority="5">
      <formula>#REF!="N.D."</formula>
    </cfRule>
  </conditionalFormatting>
  <conditionalFormatting sqref="AW26">
    <cfRule type="expression" dxfId="651" priority="4">
      <formula>#REF!="N.D."</formula>
    </cfRule>
  </conditionalFormatting>
  <conditionalFormatting sqref="AW28">
    <cfRule type="expression" dxfId="650" priority="3">
      <formula>#REF!="N.D."</formula>
    </cfRule>
  </conditionalFormatting>
  <conditionalFormatting sqref="AW30">
    <cfRule type="expression" dxfId="649" priority="2">
      <formula>#REF!="N.D."</formula>
    </cfRule>
  </conditionalFormatting>
  <conditionalFormatting sqref="AW32">
    <cfRule type="expression" dxfId="648" priority="1">
      <formula>#REF!="N.D."</formula>
    </cfRule>
  </conditionalFormatting>
  <printOptions horizontalCentered="1"/>
  <pageMargins left="0.39370078740157483" right="0.39370078740157483" top="0.78740157480314965" bottom="0.78740157480314965" header="0.31496062992125984" footer="0.31496062992125984"/>
  <pageSetup paperSize="9" scale="51" fitToHeight="0" orientation="landscape" r:id="rId1"/>
  <headerFooter alignWithMargins="0">
    <oddHeader>&amp;L&amp;G&amp;C
LAYOUT AND EQUIPMENT
EP06 TRACK 5 BBR-HER
KP1+545 - 0+552/89+553 - 89+330&amp;R&amp;G</oddHeader>
    <oddFooter>&amp;L&amp;G
&amp;F&amp;C&amp;D&amp;RPag &amp;P of &amp;N</oddFooter>
  </headerFooter>
  <legacyDrawingHF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3">
    <tabColor theme="0" tint="-0.249977111117893"/>
    <pageSetUpPr fitToPage="1"/>
  </sheetPr>
  <dimension ref="A1:BG1996"/>
  <sheetViews>
    <sheetView view="pageBreakPreview" zoomScale="80" zoomScaleNormal="85" zoomScaleSheetLayoutView="80" workbookViewId="0">
      <pane xSplit="2" ySplit="3" topLeftCell="C4" activePane="bottomRight" state="frozen"/>
      <selection activeCell="G124" sqref="G124"/>
      <selection pane="topRight" activeCell="G124" sqref="G124"/>
      <selection pane="bottomLeft" activeCell="G124" sqref="G124"/>
      <selection pane="bottomRight" activeCell="G124" sqref="G124"/>
    </sheetView>
  </sheetViews>
  <sheetFormatPr baseColWidth="10" defaultColWidth="11.453125" defaultRowHeight="15.75" customHeight="1"/>
  <cols>
    <col min="1" max="1" width="20.6328125" style="178" customWidth="1"/>
    <col min="2" max="2" width="12.6328125" style="178" customWidth="1"/>
    <col min="3" max="3" width="12.6328125" style="184" customWidth="1"/>
    <col min="4" max="5" width="12.6328125" style="178" hidden="1" customWidth="1"/>
    <col min="6" max="6" width="12.6328125" style="178" customWidth="1"/>
    <col min="7" max="7" width="12.6328125" style="454" customWidth="1"/>
    <col min="8" max="8" width="18.6328125" style="178" customWidth="1"/>
    <col min="9" max="9" width="12.6328125" style="178" customWidth="1"/>
    <col min="10" max="10" width="12.6328125" style="184" customWidth="1"/>
    <col min="11" max="11" width="12.6328125" style="178" customWidth="1"/>
    <col min="12" max="13" width="14.6328125" style="178" customWidth="1"/>
    <col min="14" max="16" width="8.6328125" style="178" hidden="1" customWidth="1"/>
    <col min="17" max="19" width="12.6328125" style="178" hidden="1" customWidth="1"/>
    <col min="20" max="28" width="8.6328125" style="178" hidden="1" customWidth="1"/>
    <col min="29" max="31" width="10.6328125" style="178" hidden="1" customWidth="1"/>
    <col min="32" max="32" width="13.54296875" style="178" hidden="1" customWidth="1"/>
    <col min="33" max="33" width="12.6328125" style="184" hidden="1" customWidth="1"/>
    <col min="34" max="36" width="12.6328125" style="178" hidden="1" customWidth="1"/>
    <col min="37" max="39" width="12.6328125" style="178" customWidth="1"/>
    <col min="40" max="40" width="8.6328125" style="458" hidden="1" customWidth="1"/>
    <col min="41" max="42" width="8.6328125" style="169" hidden="1" customWidth="1"/>
    <col min="43" max="46" width="8.6328125" style="458" hidden="1" customWidth="1"/>
    <col min="47" max="48" width="8.6328125" style="169" hidden="1" customWidth="1"/>
    <col min="49" max="50" width="12.6328125" style="169" customWidth="1"/>
    <col min="51" max="52" width="12.6328125" style="458" customWidth="1"/>
    <col min="53" max="53" width="12.6328125" style="169" customWidth="1"/>
    <col min="54" max="54" width="21.6328125" style="178" hidden="1" customWidth="1"/>
    <col min="55" max="55" width="18" style="178" customWidth="1"/>
    <col min="56" max="59" width="14.54296875" style="1323" customWidth="1"/>
    <col min="60" max="60" width="11.453125" style="178" customWidth="1"/>
    <col min="61" max="16384" width="11.453125" style="178"/>
  </cols>
  <sheetData>
    <row r="1" spans="1:59" ht="35.25" customHeight="1">
      <c r="A1" s="1615" t="s">
        <v>2424</v>
      </c>
      <c r="B1" s="1615"/>
      <c r="C1" s="1615"/>
      <c r="D1" s="1615"/>
      <c r="E1" s="1615"/>
      <c r="F1" s="1615"/>
      <c r="G1" s="1615"/>
      <c r="H1" s="1615"/>
      <c r="I1" s="1615"/>
      <c r="J1" s="1615"/>
      <c r="K1" s="1615"/>
      <c r="L1" s="1615"/>
      <c r="M1" s="1615"/>
      <c r="N1" s="1615"/>
      <c r="O1" s="1615"/>
      <c r="P1" s="1615"/>
      <c r="Q1" s="1615"/>
      <c r="R1" s="1615"/>
      <c r="S1" s="1615"/>
      <c r="T1" s="1615"/>
      <c r="U1" s="1615"/>
      <c r="V1" s="1615"/>
      <c r="W1" s="1615"/>
      <c r="X1" s="1615"/>
      <c r="Y1" s="1615"/>
      <c r="Z1" s="1615"/>
      <c r="AA1" s="1615"/>
      <c r="AB1" s="1615"/>
      <c r="AC1" s="1615"/>
      <c r="AD1" s="1615"/>
      <c r="AE1" s="1615"/>
      <c r="AF1" s="1615"/>
      <c r="AG1" s="1615"/>
      <c r="AH1" s="1615"/>
      <c r="AI1" s="1615"/>
      <c r="AJ1" s="1615"/>
      <c r="AK1" s="1615"/>
      <c r="AL1" s="1615"/>
      <c r="AM1" s="1615"/>
      <c r="AN1" s="1615"/>
      <c r="AO1" s="1615"/>
      <c r="AP1" s="1615"/>
      <c r="AQ1" s="1615"/>
      <c r="AR1" s="1615"/>
      <c r="AS1" s="1615"/>
      <c r="AT1" s="1615"/>
      <c r="AU1" s="1615"/>
      <c r="AV1" s="1615"/>
      <c r="AW1" s="1615"/>
      <c r="AX1" s="1615"/>
      <c r="AY1" s="1615"/>
      <c r="AZ1" s="1615"/>
      <c r="BA1" s="1615"/>
      <c r="BB1" s="1615"/>
      <c r="BC1" s="693" t="s">
        <v>4947</v>
      </c>
      <c r="BD1" s="1599" t="s">
        <v>4916</v>
      </c>
      <c r="BE1" s="1599"/>
      <c r="BF1" s="1599"/>
      <c r="BG1" s="1599"/>
    </row>
    <row r="2" spans="1:59" s="699" customFormat="1" ht="42" customHeight="1">
      <c r="A2" s="1259" t="s">
        <v>4417</v>
      </c>
      <c r="B2" s="1259" t="s">
        <v>4418</v>
      </c>
      <c r="C2" s="954" t="s">
        <v>2315</v>
      </c>
      <c r="D2" s="1259" t="s">
        <v>4419</v>
      </c>
      <c r="E2" s="1259" t="s">
        <v>4855</v>
      </c>
      <c r="F2" s="1259" t="s">
        <v>4856</v>
      </c>
      <c r="G2" s="955" t="s">
        <v>4857</v>
      </c>
      <c r="H2" s="1259" t="s">
        <v>455</v>
      </c>
      <c r="I2" s="1259" t="s">
        <v>454</v>
      </c>
      <c r="J2" s="1259" t="s">
        <v>4423</v>
      </c>
      <c r="K2" s="1259" t="s">
        <v>1362</v>
      </c>
      <c r="L2" s="1259" t="s">
        <v>456</v>
      </c>
      <c r="M2" s="1259" t="s">
        <v>453</v>
      </c>
      <c r="N2" s="1613" t="s">
        <v>457</v>
      </c>
      <c r="O2" s="1613"/>
      <c r="P2" s="1613"/>
      <c r="Q2" s="1259" t="s">
        <v>4858</v>
      </c>
      <c r="R2" s="1259" t="s">
        <v>4859</v>
      </c>
      <c r="S2" s="1259" t="s">
        <v>4860</v>
      </c>
      <c r="T2" s="1613" t="s">
        <v>4861</v>
      </c>
      <c r="U2" s="1613"/>
      <c r="V2" s="1613"/>
      <c r="W2" s="1613" t="s">
        <v>4862</v>
      </c>
      <c r="X2" s="1613"/>
      <c r="Y2" s="1613"/>
      <c r="Z2" s="1613" t="s">
        <v>4863</v>
      </c>
      <c r="AA2" s="1613"/>
      <c r="AB2" s="1613"/>
      <c r="AC2" s="1613" t="s">
        <v>628</v>
      </c>
      <c r="AD2" s="1613"/>
      <c r="AE2" s="1613"/>
      <c r="AF2" s="1259" t="s">
        <v>4872</v>
      </c>
      <c r="AG2" s="1259" t="s">
        <v>4864</v>
      </c>
      <c r="AH2" s="1259" t="s">
        <v>4865</v>
      </c>
      <c r="AI2" s="1259" t="s">
        <v>4866</v>
      </c>
      <c r="AJ2" s="1259" t="s">
        <v>629</v>
      </c>
      <c r="AK2" s="1259" t="s">
        <v>458</v>
      </c>
      <c r="AL2" s="1259" t="s">
        <v>459</v>
      </c>
      <c r="AM2" s="1259" t="s">
        <v>631</v>
      </c>
      <c r="AN2" s="1613" t="s">
        <v>4867</v>
      </c>
      <c r="AO2" s="1613"/>
      <c r="AP2" s="1613"/>
      <c r="AQ2" s="1614" t="s">
        <v>460</v>
      </c>
      <c r="AR2" s="1614"/>
      <c r="AS2" s="1614"/>
      <c r="AT2" s="1613" t="s">
        <v>630</v>
      </c>
      <c r="AU2" s="1613"/>
      <c r="AV2" s="1613"/>
      <c r="AW2" s="1259" t="s">
        <v>4868</v>
      </c>
      <c r="AX2" s="1259" t="s">
        <v>4904</v>
      </c>
      <c r="AY2" s="1260" t="s">
        <v>4869</v>
      </c>
      <c r="AZ2" s="1260" t="s">
        <v>4870</v>
      </c>
      <c r="BA2" s="1259" t="s">
        <v>1670</v>
      </c>
      <c r="BB2" s="1259" t="s">
        <v>4871</v>
      </c>
      <c r="BC2" s="693" t="s">
        <v>4948</v>
      </c>
      <c r="BD2" s="1320" t="s">
        <v>453</v>
      </c>
      <c r="BE2" s="1320" t="s">
        <v>4922</v>
      </c>
      <c r="BF2" s="1320" t="s">
        <v>4915</v>
      </c>
      <c r="BG2" s="1320" t="s">
        <v>457</v>
      </c>
    </row>
    <row r="3" spans="1:59" ht="15.75" customHeight="1">
      <c r="A3" s="1239"/>
      <c r="B3" s="1239"/>
      <c r="C3" s="171"/>
      <c r="D3" s="1239"/>
      <c r="E3" s="1239"/>
      <c r="F3" s="172"/>
      <c r="G3" s="680"/>
      <c r="H3" s="1239"/>
      <c r="I3" s="1239"/>
      <c r="J3" s="171"/>
      <c r="K3" s="1239"/>
      <c r="L3" s="1239"/>
      <c r="M3" s="1239"/>
      <c r="N3" s="694" t="s">
        <v>123</v>
      </c>
      <c r="O3" s="694" t="s">
        <v>124</v>
      </c>
      <c r="P3" s="694" t="s">
        <v>125</v>
      </c>
      <c r="Q3" s="1239"/>
      <c r="R3" s="1239"/>
      <c r="S3" s="1239"/>
      <c r="T3" s="695" t="s">
        <v>126</v>
      </c>
      <c r="U3" s="695" t="s">
        <v>127</v>
      </c>
      <c r="V3" s="695" t="s">
        <v>128</v>
      </c>
      <c r="W3" s="695" t="s">
        <v>129</v>
      </c>
      <c r="X3" s="695" t="s">
        <v>130</v>
      </c>
      <c r="Y3" s="695" t="s">
        <v>131</v>
      </c>
      <c r="Z3" s="695" t="s">
        <v>132</v>
      </c>
      <c r="AA3" s="695" t="s">
        <v>133</v>
      </c>
      <c r="AB3" s="695" t="s">
        <v>134</v>
      </c>
      <c r="AC3" s="695" t="s">
        <v>135</v>
      </c>
      <c r="AD3" s="695" t="s">
        <v>136</v>
      </c>
      <c r="AE3" s="695" t="s">
        <v>137</v>
      </c>
      <c r="AF3" s="1239"/>
      <c r="AG3" s="1239"/>
      <c r="AH3" s="1239"/>
      <c r="AI3" s="1239"/>
      <c r="AJ3" s="1239"/>
      <c r="AK3" s="1239"/>
      <c r="AL3" s="1239"/>
      <c r="AM3" s="1239"/>
      <c r="AN3" s="696" t="s">
        <v>129</v>
      </c>
      <c r="AO3" s="695" t="s">
        <v>130</v>
      </c>
      <c r="AP3" s="695" t="s">
        <v>131</v>
      </c>
      <c r="AQ3" s="696" t="s">
        <v>613</v>
      </c>
      <c r="AR3" s="696" t="s">
        <v>614</v>
      </c>
      <c r="AS3" s="696" t="s">
        <v>615</v>
      </c>
      <c r="AT3" s="696" t="s">
        <v>616</v>
      </c>
      <c r="AU3" s="695" t="s">
        <v>617</v>
      </c>
      <c r="AV3" s="695" t="s">
        <v>618</v>
      </c>
      <c r="AW3" s="1239"/>
      <c r="AX3" s="1239"/>
      <c r="AY3" s="455"/>
      <c r="AZ3" s="455"/>
      <c r="BA3" s="1239"/>
      <c r="BB3" s="1239"/>
      <c r="BD3" s="1239"/>
      <c r="BE3" s="1239"/>
      <c r="BF3" s="1239"/>
      <c r="BG3" s="1239"/>
    </row>
    <row r="4" spans="1:59" ht="15.75" customHeight="1">
      <c r="A4" s="1239"/>
      <c r="B4" s="173"/>
      <c r="C4" s="446"/>
      <c r="D4" s="447"/>
      <c r="E4" s="447"/>
      <c r="F4" s="1239"/>
      <c r="G4" s="484"/>
      <c r="H4" s="1239"/>
      <c r="I4" s="1239"/>
      <c r="J4" s="446">
        <f>C5-7.5</f>
        <v>91563.95</v>
      </c>
      <c r="K4" s="638" t="s">
        <v>2787</v>
      </c>
      <c r="L4" s="638"/>
      <c r="M4" s="638"/>
      <c r="N4" s="1239"/>
      <c r="O4" s="1239"/>
      <c r="P4" s="638"/>
      <c r="Q4" s="638"/>
      <c r="R4" s="638"/>
      <c r="S4" s="638">
        <f>AG5-AG3</f>
        <v>91571</v>
      </c>
      <c r="T4" s="638"/>
      <c r="U4" s="638"/>
      <c r="V4" s="638"/>
      <c r="W4" s="638"/>
      <c r="X4" s="638"/>
      <c r="Y4" s="638"/>
      <c r="Z4" s="638"/>
      <c r="AA4" s="638"/>
      <c r="AB4" s="638"/>
      <c r="AC4" s="638"/>
      <c r="AD4" s="638"/>
      <c r="AE4" s="638"/>
      <c r="AF4" s="638"/>
      <c r="AG4" s="446"/>
      <c r="AH4" s="638"/>
      <c r="AI4" s="185"/>
      <c r="AJ4" s="638"/>
      <c r="AK4" s="1239"/>
      <c r="AL4" s="638"/>
      <c r="AM4" s="638"/>
      <c r="AN4" s="455"/>
      <c r="AO4" s="1239"/>
      <c r="AP4" s="1239"/>
      <c r="AQ4" s="484"/>
      <c r="AR4" s="484"/>
      <c r="AS4" s="484"/>
      <c r="AT4" s="484"/>
      <c r="AU4" s="638"/>
      <c r="AV4" s="638"/>
      <c r="AW4" s="638" t="str">
        <f>VLOOKUP(J4,'Foundation Calculation'!$A$2:$C$33,3,1)</f>
        <v>Soil A</v>
      </c>
      <c r="AX4" s="572" t="str">
        <f>VLOOKUP(J4,'Foundation Calculation'!$E$2:$G$33,3,1)</f>
        <v>PT</v>
      </c>
      <c r="AY4" s="484"/>
      <c r="AZ4" s="484">
        <f>IF(AX4="PT",VLOOKUP(K4,'Foundation Calculation'!$K$2:$R$40,VLOOKUP(AW4,'Foundation Calculation'!$I$2:$J$8,2,FALSE),0),IF(AX4="K",VLOOKUP(K4,'Foundation Calculation'!$K$42:$R$80,VLOOKUP(AW4,'Foundation Calculation'!$I$2:$J$8,2,FALSE),0),""))</f>
        <v>3.3</v>
      </c>
      <c r="BA4" s="671" t="s">
        <v>2809</v>
      </c>
      <c r="BB4" s="1239"/>
      <c r="BC4" s="169"/>
      <c r="BD4" s="1329"/>
      <c r="BE4" s="1330"/>
      <c r="BF4" s="1330"/>
      <c r="BG4" s="1330"/>
    </row>
    <row r="5" spans="1:59" ht="15.75" customHeight="1">
      <c r="A5" s="1239"/>
      <c r="B5" s="435" t="s">
        <v>2302</v>
      </c>
      <c r="C5" s="446">
        <v>91571.45</v>
      </c>
      <c r="D5" s="173"/>
      <c r="E5" s="447"/>
      <c r="F5" s="447">
        <v>0</v>
      </c>
      <c r="G5" s="484"/>
      <c r="H5" s="1239" t="s">
        <v>138</v>
      </c>
      <c r="I5" s="1239" t="s">
        <v>623</v>
      </c>
      <c r="J5" s="171"/>
      <c r="K5" s="638"/>
      <c r="L5" s="638" t="s">
        <v>4664</v>
      </c>
      <c r="M5" s="638" t="str">
        <f>IF(AX5="PT",VLOOKUP(L5,'Foundation Calculation'!$V$2:$X$40,VLOOKUP(AX5,'Foundation Calculation'!$I$10:$J$13,2,FALSE),0),IF(AX5="K",VLOOKUP(L5,'Foundation Calculation'!$V$42:$X$80,VLOOKUP(AX5,'Foundation Calculation'!$I$10:$J$13,2,FALSE),0),""))</f>
        <v>C11R</v>
      </c>
      <c r="N5" s="1239"/>
      <c r="O5" s="1239"/>
      <c r="P5" s="1239"/>
      <c r="Q5" s="638">
        <v>0</v>
      </c>
      <c r="R5" s="638">
        <v>0</v>
      </c>
      <c r="S5" s="484"/>
      <c r="T5" s="638"/>
      <c r="U5" s="638"/>
      <c r="V5" s="638"/>
      <c r="W5" s="638"/>
      <c r="X5" s="638"/>
      <c r="Y5" s="638"/>
      <c r="Z5" s="638"/>
      <c r="AA5" s="638"/>
      <c r="AB5" s="638"/>
      <c r="AC5" s="638"/>
      <c r="AD5" s="638"/>
      <c r="AE5" s="638"/>
      <c r="AF5" s="638"/>
      <c r="AG5" s="446">
        <v>91571</v>
      </c>
      <c r="AH5" s="638">
        <v>4643</v>
      </c>
      <c r="AI5" s="638">
        <v>-250</v>
      </c>
      <c r="AJ5" s="638"/>
      <c r="AK5" s="638"/>
      <c r="AL5" s="638" t="s">
        <v>2143</v>
      </c>
      <c r="AM5" s="638" t="s">
        <v>1042</v>
      </c>
      <c r="AN5" s="455"/>
      <c r="AO5" s="1239"/>
      <c r="AP5" s="1239"/>
      <c r="AQ5" s="484"/>
      <c r="AR5" s="484"/>
      <c r="AS5" s="484"/>
      <c r="AT5" s="484"/>
      <c r="AU5" s="638"/>
      <c r="AV5" s="638"/>
      <c r="AW5" s="638" t="str">
        <f>VLOOKUP(C5,'Foundation Calculation'!$A$2:$C$33,3,1)</f>
        <v>Soil A</v>
      </c>
      <c r="AX5" s="638" t="str">
        <f>VLOOKUP(C5,'Foundation Calculation'!$E$2:$G$33,3,1)</f>
        <v>PT</v>
      </c>
      <c r="AY5" s="484">
        <f>IF(AX5="PT",VLOOKUP(L5,'Foundation Calculation'!$K$2:$R$40,VLOOKUP(AW5,'Foundation Calculation'!$I$2:$J$8,2,FALSE),0),IF(AX5="K",VLOOKUP(L5,'Foundation Calculation'!$K$42:$R$80,VLOOKUP(AW5,'Foundation Calculation'!$I$2:$J$8,2,FALSE),0),""))</f>
        <v>4.4000000000000004</v>
      </c>
      <c r="AZ5" s="484"/>
      <c r="BA5" s="671" t="s">
        <v>2809</v>
      </c>
      <c r="BB5" s="1239" t="str">
        <f>Pole_Calculations!A178</f>
        <v>App.8-V08F-P10.3</v>
      </c>
      <c r="BC5" s="169"/>
      <c r="BD5" s="1371"/>
      <c r="BE5" s="1371"/>
      <c r="BF5" s="1371"/>
      <c r="BG5" s="1371"/>
    </row>
    <row r="6" spans="1:59" ht="15.75" customHeight="1">
      <c r="A6" s="1239"/>
      <c r="B6" s="173"/>
      <c r="C6" s="446"/>
      <c r="D6" s="447"/>
      <c r="E6" s="447"/>
      <c r="F6" s="1239"/>
      <c r="G6" s="484">
        <v>35.700000000000003</v>
      </c>
      <c r="H6" s="680"/>
      <c r="I6" s="172">
        <f>SUM(G6:G42)</f>
        <v>688.29999999999984</v>
      </c>
      <c r="J6" s="446"/>
      <c r="K6" s="638"/>
      <c r="L6" s="571"/>
      <c r="M6" s="638"/>
      <c r="N6" s="1239"/>
      <c r="O6" s="1239"/>
      <c r="P6" s="638"/>
      <c r="Q6" s="638"/>
      <c r="R6" s="638"/>
      <c r="S6" s="638">
        <f>AG7-AG5</f>
        <v>36.369999999995343</v>
      </c>
      <c r="T6" s="638"/>
      <c r="U6" s="638"/>
      <c r="V6" s="638"/>
      <c r="W6" s="638"/>
      <c r="X6" s="638"/>
      <c r="Y6" s="638"/>
      <c r="Z6" s="638"/>
      <c r="AA6" s="638"/>
      <c r="AB6" s="638"/>
      <c r="AC6" s="638"/>
      <c r="AD6" s="638"/>
      <c r="AE6" s="638"/>
      <c r="AF6" s="638"/>
      <c r="AG6" s="446"/>
      <c r="AH6" s="638"/>
      <c r="AI6" s="185"/>
      <c r="AJ6" s="638"/>
      <c r="AK6" s="1239"/>
      <c r="AL6" s="638"/>
      <c r="AM6" s="445"/>
      <c r="AN6" s="455"/>
      <c r="AO6" s="1239"/>
      <c r="AP6" s="1239"/>
      <c r="AQ6" s="484"/>
      <c r="AR6" s="484"/>
      <c r="AS6" s="484"/>
      <c r="AT6" s="484"/>
      <c r="AU6" s="638"/>
      <c r="AV6" s="638"/>
      <c r="AW6" s="484"/>
      <c r="AX6" s="484"/>
      <c r="AY6" s="484"/>
      <c r="AZ6" s="484"/>
      <c r="BA6" s="671"/>
      <c r="BB6" s="1239"/>
      <c r="BC6" s="169"/>
      <c r="BD6" s="1330"/>
      <c r="BE6" s="1330"/>
      <c r="BF6" s="1330"/>
      <c r="BG6" s="1330"/>
    </row>
    <row r="7" spans="1:59" ht="15.75" customHeight="1">
      <c r="A7" s="1239"/>
      <c r="B7" s="619" t="s">
        <v>2724</v>
      </c>
      <c r="C7" s="446">
        <f>+$C$5+$G$6</f>
        <v>91607.15</v>
      </c>
      <c r="D7" s="447"/>
      <c r="E7" s="447"/>
      <c r="F7" s="1239">
        <v>0</v>
      </c>
      <c r="G7" s="484"/>
      <c r="H7" s="1239"/>
      <c r="I7" s="1239"/>
      <c r="J7" s="446"/>
      <c r="K7" s="638"/>
      <c r="L7" s="638" t="s">
        <v>2670</v>
      </c>
      <c r="M7" s="638"/>
      <c r="N7" s="1239" t="s">
        <v>143</v>
      </c>
      <c r="O7" s="1239"/>
      <c r="P7" s="638"/>
      <c r="Q7" s="638">
        <v>0</v>
      </c>
      <c r="R7" s="638">
        <v>0</v>
      </c>
      <c r="S7" s="484"/>
      <c r="T7" s="638">
        <v>-20</v>
      </c>
      <c r="U7" s="638"/>
      <c r="V7" s="638"/>
      <c r="W7" s="638">
        <v>1.4</v>
      </c>
      <c r="X7" s="638"/>
      <c r="Y7" s="638"/>
      <c r="Z7" s="638"/>
      <c r="AA7" s="638"/>
      <c r="AB7" s="638"/>
      <c r="AC7" s="1239" t="s">
        <v>4090</v>
      </c>
      <c r="AD7" s="638"/>
      <c r="AE7" s="638"/>
      <c r="AF7" s="638">
        <v>5500</v>
      </c>
      <c r="AG7" s="446">
        <v>91607.37</v>
      </c>
      <c r="AH7" s="638">
        <v>2013</v>
      </c>
      <c r="AI7" s="185">
        <v>-220</v>
      </c>
      <c r="AJ7" s="638"/>
      <c r="AK7" s="1239"/>
      <c r="AL7" s="638"/>
      <c r="AM7" s="638"/>
      <c r="AN7" s="455">
        <v>5.5</v>
      </c>
      <c r="AO7" s="1239"/>
      <c r="AP7" s="1239"/>
      <c r="AQ7" s="484"/>
      <c r="AR7" s="484"/>
      <c r="AS7" s="484"/>
      <c r="AT7" s="484"/>
      <c r="AU7" s="638"/>
      <c r="AV7" s="638"/>
      <c r="AW7" s="638"/>
      <c r="AX7" s="638"/>
      <c r="AY7" s="484"/>
      <c r="AZ7" s="484"/>
      <c r="BA7" s="671"/>
      <c r="BB7" s="1239"/>
      <c r="BC7" s="169"/>
      <c r="BD7" s="1371"/>
      <c r="BE7" s="1371"/>
      <c r="BF7" s="1371"/>
      <c r="BG7" s="1371"/>
    </row>
    <row r="8" spans="1:59" ht="15.75" customHeight="1">
      <c r="A8" s="1239"/>
      <c r="B8" s="173"/>
      <c r="C8" s="446"/>
      <c r="D8" s="447"/>
      <c r="E8" s="447"/>
      <c r="F8" s="1239"/>
      <c r="G8" s="484">
        <v>33</v>
      </c>
      <c r="H8" s="1239"/>
      <c r="I8" s="1239"/>
      <c r="J8" s="446">
        <f>C9-7.5</f>
        <v>91632.65</v>
      </c>
      <c r="K8" s="638" t="s">
        <v>2787</v>
      </c>
      <c r="L8" s="571"/>
      <c r="M8" s="638"/>
      <c r="N8" s="1239"/>
      <c r="O8" s="1239"/>
      <c r="P8" s="638"/>
      <c r="Q8" s="638"/>
      <c r="R8" s="638"/>
      <c r="S8" s="638">
        <f>AG9-AG7</f>
        <v>32.630000000004657</v>
      </c>
      <c r="T8" s="638"/>
      <c r="U8" s="638"/>
      <c r="V8" s="638"/>
      <c r="W8" s="638"/>
      <c r="X8" s="638"/>
      <c r="Y8" s="638"/>
      <c r="Z8" s="638"/>
      <c r="AA8" s="638"/>
      <c r="AB8" s="638"/>
      <c r="AC8" s="638"/>
      <c r="AD8" s="638"/>
      <c r="AE8" s="638"/>
      <c r="AF8" s="638"/>
      <c r="AG8" s="446"/>
      <c r="AH8" s="638"/>
      <c r="AI8" s="185"/>
      <c r="AJ8" s="638"/>
      <c r="AK8" s="1239"/>
      <c r="AL8" s="638"/>
      <c r="AM8" s="445"/>
      <c r="AN8" s="455"/>
      <c r="AO8" s="1239"/>
      <c r="AP8" s="1239"/>
      <c r="AQ8" s="484">
        <f>+FL_2($T$9,-$T$7,$G$8,1200,9.28,-1*$F$9)</f>
        <v>-0.3</v>
      </c>
      <c r="AR8" s="484"/>
      <c r="AS8" s="484"/>
      <c r="AT8" s="484"/>
      <c r="AU8" s="638"/>
      <c r="AV8" s="638"/>
      <c r="AW8" s="638" t="str">
        <f>VLOOKUP(J8,'Foundation Calculation'!$A$2:$C$33,3,1)</f>
        <v>Soil A</v>
      </c>
      <c r="AX8" s="572" t="str">
        <f>VLOOKUP(J8,'Foundation Calculation'!$E$2:$G$33,3,1)</f>
        <v>PT</v>
      </c>
      <c r="AY8" s="484"/>
      <c r="AZ8" s="484">
        <f>IF(AX8="PT",VLOOKUP(K8,'Foundation Calculation'!$K$2:$R$40,VLOOKUP(AW8,'Foundation Calculation'!$I$2:$J$8,2,FALSE),0),IF(AX8="K",VLOOKUP(K8,'Foundation Calculation'!$K$42:$R$80,VLOOKUP(AW8,'Foundation Calculation'!$I$2:$J$8,2,FALSE),0),""))</f>
        <v>3.3</v>
      </c>
      <c r="BA8" s="671" t="s">
        <v>2809</v>
      </c>
      <c r="BB8" s="1239"/>
      <c r="BC8" s="169"/>
      <c r="BD8" s="1329">
        <v>43790</v>
      </c>
      <c r="BE8" s="1330"/>
      <c r="BF8" s="1330"/>
      <c r="BG8" s="1330"/>
    </row>
    <row r="9" spans="1:59" ht="15.75" customHeight="1">
      <c r="A9" s="1239"/>
      <c r="B9" s="683" t="s">
        <v>2725</v>
      </c>
      <c r="C9" s="446">
        <f>+$C$7+$G$8</f>
        <v>91640.15</v>
      </c>
      <c r="D9" s="447"/>
      <c r="E9" s="447"/>
      <c r="F9" s="1239">
        <v>0</v>
      </c>
      <c r="G9" s="484"/>
      <c r="H9" s="1239" t="s">
        <v>138</v>
      </c>
      <c r="I9" s="1239" t="s">
        <v>623</v>
      </c>
      <c r="J9" s="446"/>
      <c r="K9" s="638"/>
      <c r="L9" s="638" t="s">
        <v>898</v>
      </c>
      <c r="M9" s="638" t="str">
        <f>IF(AX9="PT",VLOOKUP(L9,'Foundation Calculation'!$V$2:$X$40,VLOOKUP(AX9,'Foundation Calculation'!$I$10:$J$13,2,FALSE),0),IF(AX9="K",VLOOKUP(L9,'Foundation Calculation'!$V$42:$X$80,VLOOKUP(AX9,'Foundation Calculation'!$I$10:$J$13,2,FALSE),0),""))</f>
        <v>C4R</v>
      </c>
      <c r="N9" s="1239" t="s">
        <v>143</v>
      </c>
      <c r="O9" s="1239"/>
      <c r="P9" s="638"/>
      <c r="Q9" s="638">
        <v>0</v>
      </c>
      <c r="R9" s="638">
        <v>0</v>
      </c>
      <c r="S9" s="484"/>
      <c r="T9" s="638">
        <v>-30</v>
      </c>
      <c r="U9" s="638"/>
      <c r="V9" s="638"/>
      <c r="W9" s="638">
        <v>1.4</v>
      </c>
      <c r="X9" s="638"/>
      <c r="Y9" s="638"/>
      <c r="Z9" s="638"/>
      <c r="AA9" s="638"/>
      <c r="AB9" s="638"/>
      <c r="AC9" s="1239" t="s">
        <v>4090</v>
      </c>
      <c r="AD9" s="638"/>
      <c r="AE9" s="638"/>
      <c r="AF9" s="638">
        <v>5800</v>
      </c>
      <c r="AG9" s="446">
        <v>91640</v>
      </c>
      <c r="AH9" s="638">
        <v>3253</v>
      </c>
      <c r="AI9" s="185">
        <v>310</v>
      </c>
      <c r="AJ9" s="638"/>
      <c r="AK9" s="1239"/>
      <c r="AL9" s="638"/>
      <c r="AM9" s="638" t="s">
        <v>1042</v>
      </c>
      <c r="AN9" s="455">
        <v>5.5</v>
      </c>
      <c r="AO9" s="1239"/>
      <c r="AP9" s="1239"/>
      <c r="AQ9" s="484"/>
      <c r="AR9" s="484"/>
      <c r="AS9" s="484"/>
      <c r="AT9" s="484">
        <f>+ab($T$9,-$T$7,$T$11,$G$8,$G$10,-1*$F$9,1200)</f>
        <v>-5.0528308715783261</v>
      </c>
      <c r="AU9" s="638"/>
      <c r="AV9" s="638"/>
      <c r="AW9" s="638" t="str">
        <f>VLOOKUP(C9,'Foundation Calculation'!$A$2:$C$33,3,1)</f>
        <v>Soil A</v>
      </c>
      <c r="AX9" s="572" t="str">
        <f>VLOOKUP(C9,'Foundation Calculation'!$E$2:$G$33,3,1)</f>
        <v>PT</v>
      </c>
      <c r="AY9" s="484">
        <f>IF(AX9="PT",VLOOKUP(L9,'Foundation Calculation'!$K$2:$R$40,VLOOKUP(AW9,'Foundation Calculation'!$I$2:$J$8,2,FALSE),0),IF(AX9="K",VLOOKUP(L9,'Foundation Calculation'!$K$42:$R$80,VLOOKUP(AW9,'Foundation Calculation'!$I$2:$J$8,2,FALSE),0),""))</f>
        <v>3.5</v>
      </c>
      <c r="AZ9" s="484"/>
      <c r="BA9" s="671" t="s">
        <v>2809</v>
      </c>
      <c r="BB9" s="1239" t="str">
        <f>Pole_Calculations!A157</f>
        <v>App.7.1-V01-P9.5.1.6</v>
      </c>
      <c r="BC9" s="169"/>
      <c r="BD9" s="1329">
        <v>43790</v>
      </c>
      <c r="BE9" s="1329">
        <v>43841</v>
      </c>
      <c r="BF9" s="1330"/>
      <c r="BG9" s="1329">
        <v>43870</v>
      </c>
    </row>
    <row r="10" spans="1:59" ht="15.75" customHeight="1">
      <c r="A10" s="1239"/>
      <c r="B10" s="173"/>
      <c r="C10" s="446"/>
      <c r="D10" s="447"/>
      <c r="E10" s="447"/>
      <c r="F10" s="1239"/>
      <c r="G10" s="484">
        <v>33</v>
      </c>
      <c r="H10" s="1239"/>
      <c r="I10" s="1239">
        <v>653</v>
      </c>
      <c r="J10" s="446">
        <f>C11-7.5</f>
        <v>91665.65</v>
      </c>
      <c r="K10" s="638" t="s">
        <v>2787</v>
      </c>
      <c r="L10" s="638"/>
      <c r="M10" s="638"/>
      <c r="N10" s="1239"/>
      <c r="O10" s="1239"/>
      <c r="P10" s="638"/>
      <c r="Q10" s="638"/>
      <c r="R10" s="638"/>
      <c r="S10" s="638">
        <f>AG11-AG9</f>
        <v>30</v>
      </c>
      <c r="T10" s="638"/>
      <c r="U10" s="638"/>
      <c r="V10" s="638"/>
      <c r="W10" s="638"/>
      <c r="X10" s="638"/>
      <c r="Y10" s="638"/>
      <c r="Z10" s="638"/>
      <c r="AA10" s="638"/>
      <c r="AB10" s="638"/>
      <c r="AC10" s="638"/>
      <c r="AD10" s="638"/>
      <c r="AE10" s="638"/>
      <c r="AF10" s="638"/>
      <c r="AG10" s="446"/>
      <c r="AH10" s="638"/>
      <c r="AI10" s="185"/>
      <c r="AJ10" s="638"/>
      <c r="AK10" s="1239"/>
      <c r="AL10" s="638"/>
      <c r="AM10" s="445"/>
      <c r="AN10" s="455"/>
      <c r="AO10" s="1239"/>
      <c r="AP10" s="1239"/>
      <c r="AQ10" s="484">
        <f>+FL_1($U$11,$T$9,$G$10,1200,9.28,-1*$F$11)</f>
        <v>0.3</v>
      </c>
      <c r="AR10" s="484"/>
      <c r="AS10" s="484"/>
      <c r="AT10" s="484"/>
      <c r="AU10" s="638"/>
      <c r="AV10" s="638"/>
      <c r="AW10" s="638" t="str">
        <f>VLOOKUP(J10,'Foundation Calculation'!$A$2:$C$33,3,1)</f>
        <v>Soil A</v>
      </c>
      <c r="AX10" s="572" t="str">
        <f>VLOOKUP(J10,'Foundation Calculation'!$E$2:$G$33,3,1)</f>
        <v>PT</v>
      </c>
      <c r="AY10" s="484"/>
      <c r="AZ10" s="484">
        <f>IF(AX10="PT",VLOOKUP(K10,'Foundation Calculation'!$K$2:$R$40,VLOOKUP(AW10,'Foundation Calculation'!$I$2:$J$8,2,FALSE),0),IF(AX10="K",VLOOKUP(K10,'Foundation Calculation'!$K$42:$R$80,VLOOKUP(AW10,'Foundation Calculation'!$I$2:$J$8,2,FALSE),0),""))</f>
        <v>3.3</v>
      </c>
      <c r="BA10" s="671" t="s">
        <v>2809</v>
      </c>
      <c r="BB10" s="1239"/>
      <c r="BC10" s="169"/>
      <c r="BD10" s="1329">
        <v>43775</v>
      </c>
      <c r="BE10" s="1330"/>
      <c r="BF10" s="1330"/>
      <c r="BG10" s="1330"/>
    </row>
    <row r="11" spans="1:59" ht="15.75" customHeight="1">
      <c r="A11" s="1239"/>
      <c r="B11" s="683" t="s">
        <v>2726</v>
      </c>
      <c r="C11" s="446">
        <f>+$C$9+$G$10</f>
        <v>91673.15</v>
      </c>
      <c r="D11" s="447"/>
      <c r="E11" s="447"/>
      <c r="F11" s="1239">
        <v>0</v>
      </c>
      <c r="G11" s="484"/>
      <c r="H11" s="1239" t="s">
        <v>2133</v>
      </c>
      <c r="I11" s="1239" t="s">
        <v>623</v>
      </c>
      <c r="J11" s="446"/>
      <c r="K11" s="638"/>
      <c r="L11" s="638" t="s">
        <v>895</v>
      </c>
      <c r="M11" s="638" t="str">
        <f>IF(AX11="PT",VLOOKUP(L11,'Foundation Calculation'!$V$2:$X$40,VLOOKUP(AX11,'Foundation Calculation'!$I$10:$J$13,2,FALSE),0),IF(AX11="K",VLOOKUP(L11,'Foundation Calculation'!$V$42:$X$80,VLOOKUP(AX11,'Foundation Calculation'!$I$10:$J$13,2,FALSE),0),""))</f>
        <v>2C3R</v>
      </c>
      <c r="N11" s="1239" t="s">
        <v>140</v>
      </c>
      <c r="O11" s="1239" t="s">
        <v>144</v>
      </c>
      <c r="P11" s="638"/>
      <c r="Q11" s="638">
        <v>10</v>
      </c>
      <c r="R11" s="638">
        <v>0</v>
      </c>
      <c r="S11" s="484"/>
      <c r="T11" s="638">
        <v>45</v>
      </c>
      <c r="U11" s="638">
        <v>30</v>
      </c>
      <c r="V11" s="638"/>
      <c r="W11" s="638">
        <v>1.4</v>
      </c>
      <c r="X11" s="638">
        <v>2.2999999999999998</v>
      </c>
      <c r="Y11" s="638"/>
      <c r="Z11" s="638">
        <v>0.45</v>
      </c>
      <c r="AA11" s="638"/>
      <c r="AB11" s="638"/>
      <c r="AC11" s="638" t="s">
        <v>4090</v>
      </c>
      <c r="AD11" s="638"/>
      <c r="AE11" s="638"/>
      <c r="AF11" s="638">
        <v>5800</v>
      </c>
      <c r="AG11" s="446">
        <v>91670</v>
      </c>
      <c r="AH11" s="638">
        <v>3243</v>
      </c>
      <c r="AI11" s="185">
        <v>390</v>
      </c>
      <c r="AJ11" s="638"/>
      <c r="AK11" s="1239"/>
      <c r="AL11" s="638"/>
      <c r="AM11" s="638" t="s">
        <v>1042</v>
      </c>
      <c r="AN11" s="455">
        <v>5.5</v>
      </c>
      <c r="AO11" s="1239"/>
      <c r="AP11" s="1239"/>
      <c r="AQ11" s="484"/>
      <c r="AR11" s="484"/>
      <c r="AS11" s="484"/>
      <c r="AT11" s="484">
        <f>+ab($U$11,$T$9,$V$13,$G$10,$G$12,-1*$F$11,1200)</f>
        <v>5.2621976876518497</v>
      </c>
      <c r="AU11" s="638"/>
      <c r="AV11" s="638"/>
      <c r="AW11" s="638" t="str">
        <f>VLOOKUP(C11,'Foundation Calculation'!$A$2:$C$33,3,1)</f>
        <v>Soil A</v>
      </c>
      <c r="AX11" s="572" t="str">
        <f>VLOOKUP(C11,'Foundation Calculation'!$E$2:$G$33,3,1)</f>
        <v>PT</v>
      </c>
      <c r="AY11" s="484">
        <f>IF(AX11="PT",VLOOKUP(L11,'Foundation Calculation'!$K$2:$R$40,VLOOKUP(AW11,'Foundation Calculation'!$I$2:$J$8,2,FALSE),0),IF(AX11="K",VLOOKUP(L11,'Foundation Calculation'!$K$42:$R$80,VLOOKUP(AW11,'Foundation Calculation'!$I$2:$J$8,2,FALSE),0),""))</f>
        <v>3.7</v>
      </c>
      <c r="AZ11" s="484"/>
      <c r="BA11" s="671" t="s">
        <v>2809</v>
      </c>
      <c r="BB11" s="1239" t="str">
        <f>Pole_Calculations!A159</f>
        <v>App.7.1-V01-P9.5.1.8</v>
      </c>
      <c r="BC11" s="169"/>
      <c r="BD11" s="1329">
        <v>43775</v>
      </c>
      <c r="BE11" s="1329">
        <v>43841</v>
      </c>
      <c r="BF11" s="1330"/>
      <c r="BG11" s="1329">
        <v>43870</v>
      </c>
    </row>
    <row r="12" spans="1:59" ht="15.75" customHeight="1">
      <c r="A12" s="449"/>
      <c r="B12" s="173"/>
      <c r="C12" s="446"/>
      <c r="D12" s="445"/>
      <c r="E12" s="445"/>
      <c r="F12" s="1239"/>
      <c r="G12" s="484">
        <v>33</v>
      </c>
      <c r="H12" s="1239"/>
      <c r="I12" s="1239">
        <v>496</v>
      </c>
      <c r="J12" s="446"/>
      <c r="K12" s="638"/>
      <c r="L12" s="638"/>
      <c r="M12" s="638"/>
      <c r="N12" s="1239"/>
      <c r="O12" s="1239"/>
      <c r="P12" s="638"/>
      <c r="Q12" s="638"/>
      <c r="R12" s="638"/>
      <c r="S12" s="638">
        <f>AG13-AG11</f>
        <v>36.30000000000291</v>
      </c>
      <c r="T12" s="638"/>
      <c r="U12" s="638"/>
      <c r="V12" s="638"/>
      <c r="W12" s="638"/>
      <c r="X12" s="638"/>
      <c r="Y12" s="638"/>
      <c r="Z12" s="638"/>
      <c r="AA12" s="638"/>
      <c r="AB12" s="638"/>
      <c r="AC12" s="638"/>
      <c r="AD12" s="638"/>
      <c r="AE12" s="638"/>
      <c r="AF12" s="638"/>
      <c r="AG12" s="446"/>
      <c r="AH12" s="638"/>
      <c r="AI12" s="185"/>
      <c r="AJ12" s="638"/>
      <c r="AK12" s="1239"/>
      <c r="AL12" s="638"/>
      <c r="AM12" s="445"/>
      <c r="AN12" s="484"/>
      <c r="AO12" s="445"/>
      <c r="AP12" s="445"/>
      <c r="AQ12" s="484">
        <f>+FL_1($V$13,$U$11,$G$12,1200,9.28,-1*$F$13)</f>
        <v>0.30000000000001081</v>
      </c>
      <c r="AR12" s="484"/>
      <c r="AS12" s="484"/>
      <c r="AT12" s="484"/>
      <c r="AU12" s="638"/>
      <c r="AV12" s="638"/>
      <c r="AW12" s="484"/>
      <c r="AX12" s="484"/>
      <c r="AY12" s="484"/>
      <c r="AZ12" s="484"/>
      <c r="BA12" s="1304"/>
      <c r="BB12" s="449"/>
      <c r="BC12" s="169"/>
      <c r="BD12" s="1330"/>
      <c r="BE12" s="1330"/>
      <c r="BF12" s="1330"/>
      <c r="BG12" s="1330"/>
    </row>
    <row r="13" spans="1:59" ht="15.75" customHeight="1">
      <c r="A13" s="449"/>
      <c r="B13" s="173" t="s">
        <v>2727</v>
      </c>
      <c r="C13" s="446">
        <f>+$C$11+$G$12</f>
        <v>91706.15</v>
      </c>
      <c r="D13" s="445"/>
      <c r="E13" s="445"/>
      <c r="F13" s="1239">
        <v>0</v>
      </c>
      <c r="G13" s="484"/>
      <c r="H13" s="1239" t="s">
        <v>2818</v>
      </c>
      <c r="I13" s="1239"/>
      <c r="J13" s="446"/>
      <c r="K13" s="638"/>
      <c r="L13" s="638" t="s">
        <v>896</v>
      </c>
      <c r="M13" s="638" t="str">
        <f>IF(AX13="PT",VLOOKUP(L13,'Foundation Calculation'!$V$2:$X$40,VLOOKUP(AX13,'Foundation Calculation'!$I$10:$J$13,2,FALSE),0),IF(AX13="K",VLOOKUP(L13,'Foundation Calculation'!$V$42:$X$80,VLOOKUP(AX13,'Foundation Calculation'!$I$10:$J$13,2,FALSE),0),""))</f>
        <v>2C4R</v>
      </c>
      <c r="N13" s="1239" t="s">
        <v>140</v>
      </c>
      <c r="O13" s="1239" t="s">
        <v>144</v>
      </c>
      <c r="P13" s="638" t="s">
        <v>2789</v>
      </c>
      <c r="Q13" s="638">
        <v>0</v>
      </c>
      <c r="R13" s="638">
        <v>0</v>
      </c>
      <c r="S13" s="484"/>
      <c r="T13" s="638">
        <v>-45</v>
      </c>
      <c r="U13" s="638">
        <v>-15</v>
      </c>
      <c r="V13" s="638">
        <v>-30</v>
      </c>
      <c r="W13" s="638">
        <v>2.2999999999999998</v>
      </c>
      <c r="X13" s="638">
        <v>1.4</v>
      </c>
      <c r="Y13" s="638">
        <v>1.8</v>
      </c>
      <c r="Z13" s="638">
        <v>0.45</v>
      </c>
      <c r="AA13" s="638"/>
      <c r="AB13" s="638"/>
      <c r="AC13" s="638"/>
      <c r="AD13" s="1239" t="s">
        <v>4207</v>
      </c>
      <c r="AE13" s="1239" t="s">
        <v>4124</v>
      </c>
      <c r="AF13" s="638">
        <v>5800</v>
      </c>
      <c r="AG13" s="446">
        <v>91706.3</v>
      </c>
      <c r="AH13" s="638">
        <v>2563</v>
      </c>
      <c r="AI13" s="185">
        <v>290</v>
      </c>
      <c r="AJ13" s="638"/>
      <c r="AK13" s="1239"/>
      <c r="AL13" s="638"/>
      <c r="AM13" s="638" t="s">
        <v>1042</v>
      </c>
      <c r="AN13" s="484">
        <v>5.5</v>
      </c>
      <c r="AO13" s="445"/>
      <c r="AP13" s="445"/>
      <c r="AQ13" s="484"/>
      <c r="AR13" s="484"/>
      <c r="AS13" s="484"/>
      <c r="AT13" s="484">
        <f>+ab($V$13,$U$11,$T$15,$G$12,-$G$14,-1*$F$13,1200)</f>
        <v>-10.437098830895259</v>
      </c>
      <c r="AU13" s="638"/>
      <c r="AV13" s="638"/>
      <c r="AW13" s="638" t="str">
        <f>VLOOKUP(C13,'Foundation Calculation'!$A$2:$C$33,3,1)</f>
        <v>Soil A</v>
      </c>
      <c r="AX13" s="572" t="str">
        <f>VLOOKUP(C13,'Foundation Calculation'!$E$2:$G$33,3,1)</f>
        <v>PT</v>
      </c>
      <c r="AY13" s="484">
        <f>IF(AX13="PT",VLOOKUP(L13,'Foundation Calculation'!$K$2:$R$40,VLOOKUP(AW13,'Foundation Calculation'!$I$2:$J$8,2,FALSE),0),IF(AX13="K",VLOOKUP(L13,'Foundation Calculation'!$K$42:$R$80,VLOOKUP(AW13,'Foundation Calculation'!$I$2:$J$8,2,FALSE),0),""))</f>
        <v>4</v>
      </c>
      <c r="AZ13" s="484"/>
      <c r="BA13" s="671" t="s">
        <v>2809</v>
      </c>
      <c r="BB13" s="449" t="str">
        <f>Pole_Calculations!A157</f>
        <v>App.7.1-V01-P9.5.1.6</v>
      </c>
      <c r="BC13" s="169"/>
      <c r="BD13" s="1371">
        <v>43862</v>
      </c>
      <c r="BE13" s="1371"/>
      <c r="BF13" s="1371"/>
      <c r="BG13" s="1371">
        <v>43893</v>
      </c>
    </row>
    <row r="14" spans="1:59" ht="15.75" customHeight="1">
      <c r="A14" s="449"/>
      <c r="B14" s="173"/>
      <c r="C14" s="446"/>
      <c r="D14" s="445"/>
      <c r="E14" s="445"/>
      <c r="F14" s="1239"/>
      <c r="G14" s="484">
        <v>31.9</v>
      </c>
      <c r="H14" s="445"/>
      <c r="I14" s="445"/>
      <c r="J14" s="446"/>
      <c r="K14" s="638"/>
      <c r="L14" s="678"/>
      <c r="M14" s="445"/>
      <c r="N14" s="445"/>
      <c r="O14" s="445"/>
      <c r="P14" s="445"/>
      <c r="Q14" s="638"/>
      <c r="R14" s="638"/>
      <c r="S14" s="638">
        <f>AG15-AG13</f>
        <v>31.970000000001164</v>
      </c>
      <c r="T14" s="638"/>
      <c r="U14" s="638"/>
      <c r="V14" s="638"/>
      <c r="W14" s="638"/>
      <c r="X14" s="638"/>
      <c r="Y14" s="638"/>
      <c r="Z14" s="638"/>
      <c r="AA14" s="638"/>
      <c r="AB14" s="638"/>
      <c r="AC14" s="638"/>
      <c r="AD14" s="638"/>
      <c r="AE14" s="638"/>
      <c r="AF14" s="638"/>
      <c r="AG14" s="446"/>
      <c r="AH14" s="638"/>
      <c r="AI14" s="185"/>
      <c r="AJ14" s="445"/>
      <c r="AK14" s="445"/>
      <c r="AL14" s="445"/>
      <c r="AM14" s="445"/>
      <c r="AN14" s="484"/>
      <c r="AO14" s="445"/>
      <c r="AP14" s="445"/>
      <c r="AQ14" s="484">
        <f>+FL_2(-$T$15,$V$13,$G$14,1200,9.28, 1*$F$15)</f>
        <v>-0.30000000000001426</v>
      </c>
      <c r="AR14" s="484"/>
      <c r="AS14" s="484"/>
      <c r="AT14" s="484"/>
      <c r="AU14" s="638"/>
      <c r="AV14" s="638"/>
      <c r="AW14" s="484"/>
      <c r="AX14" s="484"/>
      <c r="AY14" s="484"/>
      <c r="AZ14" s="484"/>
      <c r="BA14" s="1304"/>
      <c r="BB14" s="449"/>
      <c r="BC14" s="169"/>
      <c r="BD14" s="1330"/>
      <c r="BE14" s="1330"/>
      <c r="BF14" s="1330"/>
      <c r="BG14" s="1330"/>
    </row>
    <row r="15" spans="1:59" ht="15.75" customHeight="1">
      <c r="A15" s="449"/>
      <c r="B15" s="619" t="s">
        <v>2728</v>
      </c>
      <c r="C15" s="446">
        <f>+$C$13+$G$14</f>
        <v>91738.049999999988</v>
      </c>
      <c r="D15" s="445"/>
      <c r="E15" s="445"/>
      <c r="F15" s="1239">
        <v>0</v>
      </c>
      <c r="G15" s="484"/>
      <c r="H15" s="445"/>
      <c r="I15" s="455"/>
      <c r="J15" s="446"/>
      <c r="K15" s="445"/>
      <c r="L15" s="638" t="s">
        <v>2670</v>
      </c>
      <c r="M15" s="638"/>
      <c r="N15" s="1239" t="s">
        <v>143</v>
      </c>
      <c r="O15" s="1239"/>
      <c r="P15" s="638"/>
      <c r="Q15" s="638">
        <v>0</v>
      </c>
      <c r="R15" s="638">
        <v>0</v>
      </c>
      <c r="S15" s="484"/>
      <c r="T15" s="638">
        <v>-30</v>
      </c>
      <c r="U15" s="638"/>
      <c r="V15" s="638"/>
      <c r="W15" s="638">
        <v>1.4</v>
      </c>
      <c r="X15" s="638"/>
      <c r="Y15" s="638"/>
      <c r="Z15" s="638"/>
      <c r="AA15" s="638"/>
      <c r="AB15" s="638"/>
      <c r="AC15" s="1239" t="s">
        <v>4115</v>
      </c>
      <c r="AD15" s="638"/>
      <c r="AE15" s="638"/>
      <c r="AF15" s="638">
        <v>5100</v>
      </c>
      <c r="AG15" s="446">
        <v>91738.27</v>
      </c>
      <c r="AH15" s="638">
        <v>2007</v>
      </c>
      <c r="AI15" s="185">
        <v>-200</v>
      </c>
      <c r="AJ15" s="638"/>
      <c r="AK15" s="1239"/>
      <c r="AL15" s="638"/>
      <c r="AM15" s="638"/>
      <c r="AN15" s="484">
        <v>5.5</v>
      </c>
      <c r="AO15" s="445"/>
      <c r="AP15" s="445"/>
      <c r="AQ15" s="484"/>
      <c r="AR15" s="484"/>
      <c r="AS15" s="484"/>
      <c r="AT15" s="484">
        <f>+ab($T$15,-$V$13,$T$17,$G$14,$G$16, 1*$F$15,1200)</f>
        <v>-4.9088988604282839</v>
      </c>
      <c r="AU15" s="638"/>
      <c r="AV15" s="638"/>
      <c r="AW15" s="638"/>
      <c r="AX15" s="638"/>
      <c r="AY15" s="484"/>
      <c r="AZ15" s="484"/>
      <c r="BA15" s="1304"/>
      <c r="BB15" s="449"/>
      <c r="BC15" s="169"/>
      <c r="BD15" s="1371"/>
      <c r="BE15" s="1371"/>
      <c r="BF15" s="1371"/>
      <c r="BG15" s="1371"/>
    </row>
    <row r="16" spans="1:59" ht="15.75" customHeight="1">
      <c r="A16" s="449"/>
      <c r="B16" s="173"/>
      <c r="C16" s="446"/>
      <c r="D16" s="445"/>
      <c r="E16" s="445"/>
      <c r="F16" s="1239"/>
      <c r="G16" s="484">
        <v>32.200000000000003</v>
      </c>
      <c r="H16" s="445"/>
      <c r="I16" s="1239"/>
      <c r="J16" s="446"/>
      <c r="K16" s="445"/>
      <c r="L16" s="445"/>
      <c r="M16" s="445"/>
      <c r="N16" s="1239"/>
      <c r="O16" s="445"/>
      <c r="P16" s="445"/>
      <c r="Q16" s="638"/>
      <c r="R16" s="638"/>
      <c r="S16" s="638">
        <f t="shared" ref="S16" si="0">AG17-AG15</f>
        <v>32.19999999999709</v>
      </c>
      <c r="T16" s="638"/>
      <c r="U16" s="638"/>
      <c r="V16" s="638"/>
      <c r="W16" s="638"/>
      <c r="X16" s="638"/>
      <c r="Y16" s="638"/>
      <c r="Z16" s="638"/>
      <c r="AA16" s="638"/>
      <c r="AB16" s="638"/>
      <c r="AC16" s="638"/>
      <c r="AD16" s="638"/>
      <c r="AE16" s="638"/>
      <c r="AF16" s="638"/>
      <c r="AG16" s="446"/>
      <c r="AH16" s="638"/>
      <c r="AI16" s="185"/>
      <c r="AJ16" s="445"/>
      <c r="AK16" s="445"/>
      <c r="AL16" s="638"/>
      <c r="AM16" s="445"/>
      <c r="AN16" s="484"/>
      <c r="AO16" s="445"/>
      <c r="AP16" s="445"/>
      <c r="AQ16" s="484">
        <f>+FL_1($T$17,$T$15,$G$16,1200,9.28, 1*$F$17)</f>
        <v>0.35</v>
      </c>
      <c r="AR16" s="484"/>
      <c r="AS16" s="484"/>
      <c r="AT16" s="484"/>
      <c r="AU16" s="638"/>
      <c r="AV16" s="638"/>
      <c r="AW16" s="484"/>
      <c r="AX16" s="484"/>
      <c r="AY16" s="484"/>
      <c r="AZ16" s="484"/>
      <c r="BA16" s="1304"/>
      <c r="BB16" s="449"/>
      <c r="BC16" s="169"/>
      <c r="BD16" s="1330"/>
      <c r="BE16" s="1330"/>
      <c r="BF16" s="1330"/>
      <c r="BG16" s="1330"/>
    </row>
    <row r="17" spans="1:59" ht="15.75" customHeight="1">
      <c r="A17" s="449"/>
      <c r="B17" s="619" t="s">
        <v>2729</v>
      </c>
      <c r="C17" s="446">
        <f>+$C$15+$G$16</f>
        <v>91770.249999999985</v>
      </c>
      <c r="D17" s="445"/>
      <c r="E17" s="445"/>
      <c r="F17" s="1239">
        <v>0</v>
      </c>
      <c r="G17" s="484"/>
      <c r="H17" s="445"/>
      <c r="I17" s="172"/>
      <c r="J17" s="446"/>
      <c r="K17" s="445"/>
      <c r="L17" s="638" t="s">
        <v>2670</v>
      </c>
      <c r="M17" s="638"/>
      <c r="N17" s="1239" t="s">
        <v>144</v>
      </c>
      <c r="O17" s="445"/>
      <c r="P17" s="445"/>
      <c r="Q17" s="638">
        <v>0</v>
      </c>
      <c r="R17" s="638">
        <v>0</v>
      </c>
      <c r="S17" s="484"/>
      <c r="T17" s="638">
        <v>35</v>
      </c>
      <c r="U17" s="638"/>
      <c r="V17" s="638"/>
      <c r="W17" s="638">
        <v>1.4</v>
      </c>
      <c r="X17" s="638"/>
      <c r="Y17" s="638"/>
      <c r="Z17" s="638"/>
      <c r="AA17" s="638"/>
      <c r="AB17" s="638"/>
      <c r="AC17" s="1239" t="s">
        <v>3050</v>
      </c>
      <c r="AD17" s="638"/>
      <c r="AE17" s="638"/>
      <c r="AF17" s="638">
        <v>5100</v>
      </c>
      <c r="AG17" s="446">
        <v>91770.47</v>
      </c>
      <c r="AH17" s="638">
        <v>2006</v>
      </c>
      <c r="AI17" s="185">
        <v>-220</v>
      </c>
      <c r="AJ17" s="445"/>
      <c r="AK17" s="445"/>
      <c r="AL17" s="445"/>
      <c r="AM17" s="445"/>
      <c r="AN17" s="484">
        <v>5.5</v>
      </c>
      <c r="AO17" s="445"/>
      <c r="AP17" s="445"/>
      <c r="AQ17" s="484"/>
      <c r="AR17" s="484"/>
      <c r="AS17" s="484"/>
      <c r="AT17" s="484">
        <f>+ab($T$17,$T$15,$T$19,$G$16,$G$18, 1*$F$17,1200)</f>
        <v>4.1541268345341402</v>
      </c>
      <c r="AU17" s="638"/>
      <c r="AV17" s="638"/>
      <c r="AW17" s="638"/>
      <c r="AX17" s="638"/>
      <c r="AY17" s="484"/>
      <c r="AZ17" s="484"/>
      <c r="BA17" s="1304"/>
      <c r="BB17" s="449"/>
      <c r="BC17" s="169"/>
      <c r="BD17" s="1371"/>
      <c r="BE17" s="1371"/>
      <c r="BF17" s="1371"/>
      <c r="BG17" s="1371"/>
    </row>
    <row r="18" spans="1:59" ht="15.75" customHeight="1">
      <c r="A18" s="449"/>
      <c r="B18" s="173"/>
      <c r="C18" s="446"/>
      <c r="D18" s="445"/>
      <c r="E18" s="445"/>
      <c r="F18" s="1239"/>
      <c r="G18" s="484">
        <v>27</v>
      </c>
      <c r="H18" s="445"/>
      <c r="I18" s="445"/>
      <c r="J18" s="446"/>
      <c r="K18" s="445"/>
      <c r="L18" s="445"/>
      <c r="M18" s="445"/>
      <c r="N18" s="1239"/>
      <c r="O18" s="445"/>
      <c r="P18" s="445"/>
      <c r="Q18" s="638"/>
      <c r="R18" s="638"/>
      <c r="S18" s="638">
        <f t="shared" ref="S18" si="1">AG19-AG17</f>
        <v>27</v>
      </c>
      <c r="T18" s="638"/>
      <c r="U18" s="638"/>
      <c r="V18" s="638"/>
      <c r="W18" s="638"/>
      <c r="X18" s="638"/>
      <c r="Y18" s="638"/>
      <c r="Z18" s="638"/>
      <c r="AA18" s="638"/>
      <c r="AB18" s="638"/>
      <c r="AC18" s="638"/>
      <c r="AD18" s="638"/>
      <c r="AE18" s="638"/>
      <c r="AF18" s="638"/>
      <c r="AG18" s="446"/>
      <c r="AH18" s="638"/>
      <c r="AI18" s="185"/>
      <c r="AJ18" s="445"/>
      <c r="AK18" s="445"/>
      <c r="AL18" s="445"/>
      <c r="AM18" s="445"/>
      <c r="AN18" s="484"/>
      <c r="AO18" s="445"/>
      <c r="AP18" s="445"/>
      <c r="AQ18" s="484">
        <f>+FL_1($T$19,$T$17,$G$18,1200,9.28, 1*$F$19)</f>
        <v>0.3500000000000219</v>
      </c>
      <c r="AR18" s="484"/>
      <c r="AS18" s="484"/>
      <c r="AT18" s="484"/>
      <c r="AU18" s="638"/>
      <c r="AV18" s="638"/>
      <c r="AW18" s="484"/>
      <c r="AX18" s="484"/>
      <c r="AY18" s="484"/>
      <c r="AZ18" s="484"/>
      <c r="BA18" s="1304"/>
      <c r="BB18" s="449"/>
      <c r="BC18" s="169"/>
      <c r="BD18" s="1330"/>
      <c r="BE18" s="1330"/>
      <c r="BF18" s="1330"/>
      <c r="BG18" s="1330"/>
    </row>
    <row r="19" spans="1:59" ht="15.75" customHeight="1">
      <c r="A19" s="449"/>
      <c r="B19" s="619" t="s">
        <v>2730</v>
      </c>
      <c r="C19" s="446">
        <f>+$C$17+$G$18</f>
        <v>91797.249999999985</v>
      </c>
      <c r="D19" s="445"/>
      <c r="E19" s="445"/>
      <c r="F19" s="1239">
        <v>0</v>
      </c>
      <c r="G19" s="484"/>
      <c r="H19" s="445"/>
      <c r="I19" s="445"/>
      <c r="J19" s="446"/>
      <c r="K19" s="445"/>
      <c r="L19" s="638" t="s">
        <v>2670</v>
      </c>
      <c r="M19" s="638"/>
      <c r="N19" s="1239" t="s">
        <v>143</v>
      </c>
      <c r="O19" s="445"/>
      <c r="P19" s="445"/>
      <c r="Q19" s="638">
        <v>0</v>
      </c>
      <c r="R19" s="638">
        <v>0</v>
      </c>
      <c r="S19" s="484"/>
      <c r="T19" s="638">
        <v>-35</v>
      </c>
      <c r="U19" s="638"/>
      <c r="V19" s="638"/>
      <c r="W19" s="638">
        <v>1.4</v>
      </c>
      <c r="X19" s="638"/>
      <c r="Y19" s="638"/>
      <c r="Z19" s="638"/>
      <c r="AA19" s="638"/>
      <c r="AB19" s="638"/>
      <c r="AC19" s="1239" t="s">
        <v>4115</v>
      </c>
      <c r="AD19" s="638"/>
      <c r="AE19" s="638"/>
      <c r="AF19" s="638">
        <v>5200</v>
      </c>
      <c r="AG19" s="446">
        <v>91797.47</v>
      </c>
      <c r="AH19" s="638">
        <v>2073</v>
      </c>
      <c r="AI19" s="185">
        <v>-250</v>
      </c>
      <c r="AJ19" s="445"/>
      <c r="AK19" s="445"/>
      <c r="AL19" s="445"/>
      <c r="AM19" s="445"/>
      <c r="AN19" s="484">
        <v>5.5</v>
      </c>
      <c r="AO19" s="445"/>
      <c r="AP19" s="445"/>
      <c r="AQ19" s="484"/>
      <c r="AR19" s="484"/>
      <c r="AS19" s="484"/>
      <c r="AT19" s="484">
        <f>+ab($T$19,$T$17,$T$21,$G$18,$G$20, 1*$F$19,1200)</f>
        <v>-4.2711090750800391</v>
      </c>
      <c r="AU19" s="638"/>
      <c r="AV19" s="638"/>
      <c r="AW19" s="638"/>
      <c r="AX19" s="638"/>
      <c r="AY19" s="484"/>
      <c r="AZ19" s="484"/>
      <c r="BA19" s="1304"/>
      <c r="BB19" s="449"/>
      <c r="BC19" s="169"/>
      <c r="BD19" s="1371"/>
      <c r="BE19" s="1371"/>
      <c r="BF19" s="1371"/>
      <c r="BG19" s="1371"/>
    </row>
    <row r="20" spans="1:59" ht="16.5" customHeight="1">
      <c r="A20" s="449"/>
      <c r="B20" s="173"/>
      <c r="C20" s="446"/>
      <c r="D20" s="445"/>
      <c r="E20" s="445"/>
      <c r="F20" s="1239"/>
      <c r="G20" s="484">
        <v>37</v>
      </c>
      <c r="H20" s="1239"/>
      <c r="I20" s="1239"/>
      <c r="J20" s="446"/>
      <c r="K20" s="445"/>
      <c r="L20" s="445"/>
      <c r="M20" s="445"/>
      <c r="N20" s="445"/>
      <c r="O20" s="445"/>
      <c r="P20" s="445"/>
      <c r="Q20" s="638"/>
      <c r="R20" s="638"/>
      <c r="S20" s="638">
        <f t="shared" ref="S20" si="2">AG21-AG19</f>
        <v>36.899999999994179</v>
      </c>
      <c r="T20" s="638"/>
      <c r="U20" s="638"/>
      <c r="V20" s="638"/>
      <c r="W20" s="638"/>
      <c r="X20" s="638"/>
      <c r="Y20" s="638"/>
      <c r="Z20" s="638"/>
      <c r="AA20" s="638"/>
      <c r="AB20" s="638"/>
      <c r="AC20" s="638"/>
      <c r="AD20" s="638"/>
      <c r="AE20" s="638"/>
      <c r="AF20" s="638"/>
      <c r="AG20" s="446"/>
      <c r="AH20" s="638"/>
      <c r="AI20" s="185"/>
      <c r="AJ20" s="445"/>
      <c r="AK20" s="445"/>
      <c r="AL20" s="445"/>
      <c r="AM20" s="638"/>
      <c r="AN20" s="484"/>
      <c r="AO20" s="445"/>
      <c r="AP20" s="445"/>
      <c r="AQ20" s="484">
        <f>+FL_2($T$21,$T$19,$G$20,1200,9.28, 1*$F$21)</f>
        <v>-0.35000000000000558</v>
      </c>
      <c r="AR20" s="484"/>
      <c r="AS20" s="484"/>
      <c r="AT20" s="484"/>
      <c r="AU20" s="638"/>
      <c r="AV20" s="638"/>
      <c r="AW20" s="484"/>
      <c r="AX20" s="484"/>
      <c r="AY20" s="484"/>
      <c r="AZ20" s="484"/>
      <c r="BA20" s="1304"/>
      <c r="BB20" s="449"/>
      <c r="BC20" s="169"/>
      <c r="BD20" s="1330"/>
      <c r="BE20" s="1330"/>
      <c r="BF20" s="1330"/>
      <c r="BG20" s="1330"/>
    </row>
    <row r="21" spans="1:59" ht="15.75" customHeight="1">
      <c r="A21" s="449"/>
      <c r="B21" s="619" t="s">
        <v>2731</v>
      </c>
      <c r="C21" s="446">
        <f>+$C$19+$G$20</f>
        <v>91834.249999999985</v>
      </c>
      <c r="D21" s="445"/>
      <c r="E21" s="445"/>
      <c r="F21" s="1239">
        <v>0</v>
      </c>
      <c r="G21" s="484"/>
      <c r="H21" s="445"/>
      <c r="I21" s="445"/>
      <c r="J21" s="446"/>
      <c r="K21" s="445"/>
      <c r="L21" s="638" t="s">
        <v>2670</v>
      </c>
      <c r="M21" s="638"/>
      <c r="N21" s="1239" t="s">
        <v>144</v>
      </c>
      <c r="O21" s="445"/>
      <c r="P21" s="445"/>
      <c r="Q21" s="638">
        <v>0</v>
      </c>
      <c r="R21" s="638">
        <v>0</v>
      </c>
      <c r="S21" s="484"/>
      <c r="T21" s="638">
        <v>35</v>
      </c>
      <c r="U21" s="638"/>
      <c r="V21" s="638"/>
      <c r="W21" s="638">
        <v>1.4</v>
      </c>
      <c r="X21" s="638"/>
      <c r="Y21" s="638"/>
      <c r="Z21" s="638"/>
      <c r="AA21" s="638"/>
      <c r="AB21" s="638"/>
      <c r="AC21" s="1239" t="s">
        <v>4090</v>
      </c>
      <c r="AD21" s="638"/>
      <c r="AE21" s="638"/>
      <c r="AF21" s="638">
        <v>5200</v>
      </c>
      <c r="AG21" s="446">
        <v>91834.37</v>
      </c>
      <c r="AH21" s="638">
        <v>2133</v>
      </c>
      <c r="AI21" s="185">
        <v>-200</v>
      </c>
      <c r="AJ21" s="445"/>
      <c r="AK21" s="445"/>
      <c r="AL21" s="445"/>
      <c r="AM21" s="445"/>
      <c r="AN21" s="484">
        <v>5.5</v>
      </c>
      <c r="AO21" s="445"/>
      <c r="AP21" s="445"/>
      <c r="AQ21" s="484"/>
      <c r="AR21" s="484"/>
      <c r="AS21" s="484"/>
      <c r="AT21" s="484">
        <f>+ab($T$21,$T$19,$T$23,$G$20,$G$22, 1*$F$21,1200)</f>
        <v>5.1516806182912349</v>
      </c>
      <c r="AU21" s="638"/>
      <c r="AV21" s="638"/>
      <c r="AW21" s="638"/>
      <c r="AX21" s="638"/>
      <c r="AY21" s="484"/>
      <c r="AZ21" s="484"/>
      <c r="BA21" s="1304"/>
      <c r="BB21" s="449"/>
      <c r="BC21" s="169"/>
      <c r="BD21" s="1371"/>
      <c r="BE21" s="1371"/>
      <c r="BF21" s="1371"/>
      <c r="BG21" s="1371"/>
    </row>
    <row r="22" spans="1:59" ht="15.75" customHeight="1">
      <c r="A22" s="449"/>
      <c r="B22" s="173"/>
      <c r="C22" s="446"/>
      <c r="D22" s="445"/>
      <c r="E22" s="445"/>
      <c r="F22" s="1239"/>
      <c r="G22" s="484">
        <v>38.4</v>
      </c>
      <c r="H22" s="445"/>
      <c r="I22" s="445"/>
      <c r="J22" s="446"/>
      <c r="K22" s="445"/>
      <c r="L22" s="445"/>
      <c r="M22" s="445"/>
      <c r="N22" s="445"/>
      <c r="O22" s="445"/>
      <c r="P22" s="445"/>
      <c r="Q22" s="638"/>
      <c r="R22" s="638"/>
      <c r="S22" s="638">
        <f t="shared" ref="S22" si="3">AG23-AG21</f>
        <v>38.480000000010477</v>
      </c>
      <c r="T22" s="638"/>
      <c r="U22" s="638"/>
      <c r="V22" s="638"/>
      <c r="W22" s="638"/>
      <c r="X22" s="638"/>
      <c r="Y22" s="638"/>
      <c r="Z22" s="638"/>
      <c r="AA22" s="638"/>
      <c r="AB22" s="638"/>
      <c r="AC22" s="638"/>
      <c r="AD22" s="638"/>
      <c r="AE22" s="638"/>
      <c r="AF22" s="638"/>
      <c r="AG22" s="446"/>
      <c r="AH22" s="638"/>
      <c r="AI22" s="185"/>
      <c r="AJ22" s="445"/>
      <c r="AK22" s="445"/>
      <c r="AL22" s="445"/>
      <c r="AM22" s="445"/>
      <c r="AN22" s="484"/>
      <c r="AO22" s="445"/>
      <c r="AP22" s="445"/>
      <c r="AQ22" s="484">
        <f>+FL_1($T$23,$T$21,$G$22,1200,9.28, 1*$F$23)</f>
        <v>0.35000000000000309</v>
      </c>
      <c r="AR22" s="484"/>
      <c r="AS22" s="484"/>
      <c r="AT22" s="484"/>
      <c r="AU22" s="638"/>
      <c r="AV22" s="638"/>
      <c r="AW22" s="484"/>
      <c r="AX22" s="484"/>
      <c r="AY22" s="484"/>
      <c r="AZ22" s="484"/>
      <c r="BA22" s="1304"/>
      <c r="BB22" s="449"/>
      <c r="BC22" s="169"/>
      <c r="BD22" s="1330"/>
      <c r="BE22" s="1330"/>
      <c r="BF22" s="1330"/>
      <c r="BG22" s="1330"/>
    </row>
    <row r="23" spans="1:59" ht="15.75" customHeight="1">
      <c r="A23" s="449"/>
      <c r="B23" s="173" t="s">
        <v>2732</v>
      </c>
      <c r="C23" s="446">
        <f>+$C$21+$G$22</f>
        <v>91872.64999999998</v>
      </c>
      <c r="D23" s="445"/>
      <c r="E23" s="445"/>
      <c r="F23" s="1239">
        <v>0</v>
      </c>
      <c r="G23" s="484"/>
      <c r="H23" s="445"/>
      <c r="I23" s="445"/>
      <c r="J23" s="446"/>
      <c r="K23" s="445"/>
      <c r="L23" s="638" t="s">
        <v>2670</v>
      </c>
      <c r="M23" s="638"/>
      <c r="N23" s="1239" t="s">
        <v>143</v>
      </c>
      <c r="O23" s="445"/>
      <c r="P23" s="445"/>
      <c r="Q23" s="638">
        <v>0</v>
      </c>
      <c r="R23" s="638">
        <v>0</v>
      </c>
      <c r="S23" s="484"/>
      <c r="T23" s="638">
        <v>-35</v>
      </c>
      <c r="U23" s="638"/>
      <c r="V23" s="638"/>
      <c r="W23" s="638">
        <v>1.4</v>
      </c>
      <c r="X23" s="638"/>
      <c r="Y23" s="638"/>
      <c r="Z23" s="638"/>
      <c r="AA23" s="638"/>
      <c r="AB23" s="638"/>
      <c r="AC23" s="1239" t="s">
        <v>4090</v>
      </c>
      <c r="AD23" s="638"/>
      <c r="AE23" s="638"/>
      <c r="AF23" s="638">
        <v>5200</v>
      </c>
      <c r="AG23" s="446">
        <v>91872.85</v>
      </c>
      <c r="AH23" s="638">
        <v>2533</v>
      </c>
      <c r="AI23" s="185">
        <v>-270</v>
      </c>
      <c r="AJ23" s="445"/>
      <c r="AK23" s="445"/>
      <c r="AL23" s="445"/>
      <c r="AM23" s="445"/>
      <c r="AN23" s="484">
        <v>5.5</v>
      </c>
      <c r="AO23" s="445"/>
      <c r="AP23" s="445"/>
      <c r="AQ23" s="484"/>
      <c r="AR23" s="484"/>
      <c r="AS23" s="484"/>
      <c r="AT23" s="484">
        <f>+ab($T$23,$T$21,$T$25,$G$22,$G$24, 1*$F$23,1200)</f>
        <v>-5.7847046708000764</v>
      </c>
      <c r="AU23" s="638"/>
      <c r="AV23" s="638"/>
      <c r="AW23" s="638"/>
      <c r="AX23" s="638"/>
      <c r="AY23" s="484"/>
      <c r="AZ23" s="484"/>
      <c r="BA23" s="1304"/>
      <c r="BB23" s="449"/>
      <c r="BC23" s="169"/>
      <c r="BD23" s="1371"/>
      <c r="BE23" s="1371"/>
      <c r="BF23" s="1371"/>
      <c r="BG23" s="1371"/>
    </row>
    <row r="24" spans="1:59" ht="15.75" customHeight="1">
      <c r="A24" s="449"/>
      <c r="B24" s="173"/>
      <c r="C24" s="446"/>
      <c r="D24" s="445"/>
      <c r="E24" s="445"/>
      <c r="F24" s="1239"/>
      <c r="G24" s="484">
        <v>47.2</v>
      </c>
      <c r="H24" s="445"/>
      <c r="I24" s="445"/>
      <c r="J24" s="446"/>
      <c r="K24" s="445"/>
      <c r="L24" s="445"/>
      <c r="M24" s="445"/>
      <c r="N24" s="445"/>
      <c r="O24" s="445"/>
      <c r="P24" s="445"/>
      <c r="Q24" s="638"/>
      <c r="R24" s="638"/>
      <c r="S24" s="638">
        <f t="shared" ref="S24" si="4">AG25-AG23</f>
        <v>47.149999999994179</v>
      </c>
      <c r="T24" s="638"/>
      <c r="U24" s="638"/>
      <c r="V24" s="638"/>
      <c r="W24" s="638"/>
      <c r="X24" s="638"/>
      <c r="Y24" s="638"/>
      <c r="Z24" s="638"/>
      <c r="AA24" s="638"/>
      <c r="AB24" s="638"/>
      <c r="AC24" s="638"/>
      <c r="AD24" s="638"/>
      <c r="AE24" s="638"/>
      <c r="AF24" s="638"/>
      <c r="AG24" s="446"/>
      <c r="AH24" s="638"/>
      <c r="AI24" s="185"/>
      <c r="AJ24" s="445"/>
      <c r="AK24" s="445"/>
      <c r="AL24" s="445"/>
      <c r="AM24" s="445"/>
      <c r="AN24" s="484"/>
      <c r="AO24" s="445"/>
      <c r="AP24" s="445"/>
      <c r="AQ24" s="484">
        <f>+FL_1($T$25,$T$23,$G$24,1200,9.28, 1*$F$25)</f>
        <v>0.35756302454237288</v>
      </c>
      <c r="AR24" s="484"/>
      <c r="AS24" s="484"/>
      <c r="AT24" s="484"/>
      <c r="AU24" s="638"/>
      <c r="AV24" s="638"/>
      <c r="AW24" s="484"/>
      <c r="AX24" s="484"/>
      <c r="AY24" s="484"/>
      <c r="AZ24" s="484"/>
      <c r="BA24" s="1304"/>
      <c r="BB24" s="449"/>
      <c r="BC24" s="169"/>
      <c r="BD24" s="1330"/>
      <c r="BE24" s="1330"/>
      <c r="BF24" s="1330"/>
      <c r="BG24" s="1330"/>
    </row>
    <row r="25" spans="1:59" ht="15.75" customHeight="1">
      <c r="A25" s="449"/>
      <c r="B25" s="619" t="s">
        <v>2733</v>
      </c>
      <c r="C25" s="446">
        <f>+$C$23+$G$24+0.15</f>
        <v>91919.999999999971</v>
      </c>
      <c r="D25" s="445"/>
      <c r="E25" s="445"/>
      <c r="F25" s="1239">
        <v>0</v>
      </c>
      <c r="G25" s="484"/>
      <c r="H25" s="445"/>
      <c r="I25" s="445"/>
      <c r="J25" s="446"/>
      <c r="K25" s="445"/>
      <c r="L25" s="638" t="s">
        <v>2670</v>
      </c>
      <c r="M25" s="638"/>
      <c r="N25" s="1239" t="s">
        <v>144</v>
      </c>
      <c r="O25" s="445"/>
      <c r="P25" s="445"/>
      <c r="Q25" s="638">
        <v>0</v>
      </c>
      <c r="R25" s="638">
        <v>0</v>
      </c>
      <c r="S25" s="484"/>
      <c r="T25" s="638">
        <v>35</v>
      </c>
      <c r="U25" s="638"/>
      <c r="V25" s="638"/>
      <c r="W25" s="638">
        <v>1.4</v>
      </c>
      <c r="X25" s="638"/>
      <c r="Y25" s="638"/>
      <c r="Z25" s="638"/>
      <c r="AA25" s="638"/>
      <c r="AB25" s="638"/>
      <c r="AC25" s="1239" t="s">
        <v>4090</v>
      </c>
      <c r="AD25" s="638"/>
      <c r="AE25" s="638"/>
      <c r="AF25" s="638">
        <v>5200</v>
      </c>
      <c r="AG25" s="446">
        <v>91920</v>
      </c>
      <c r="AH25" s="638">
        <v>1850</v>
      </c>
      <c r="AI25" s="185">
        <v>-60</v>
      </c>
      <c r="AJ25" s="445"/>
      <c r="AK25" s="445"/>
      <c r="AL25" s="445"/>
      <c r="AM25" s="445"/>
      <c r="AN25" s="484">
        <v>5.5</v>
      </c>
      <c r="AO25" s="445"/>
      <c r="AP25" s="445"/>
      <c r="AQ25" s="484"/>
      <c r="AR25" s="484"/>
      <c r="AS25" s="484"/>
      <c r="AT25" s="484">
        <f>+ab($T$25,$T$23,$T$27,$G$24,$G$26, 1*$F$25,1200)</f>
        <v>6.4959028937547965</v>
      </c>
      <c r="AU25" s="638"/>
      <c r="AV25" s="638"/>
      <c r="AW25" s="638"/>
      <c r="AX25" s="638"/>
      <c r="AY25" s="484"/>
      <c r="AZ25" s="484"/>
      <c r="BA25" s="1304"/>
      <c r="BB25" s="449"/>
      <c r="BC25" s="169"/>
      <c r="BD25" s="1371"/>
      <c r="BE25" s="1371"/>
      <c r="BF25" s="1371"/>
      <c r="BG25" s="1371"/>
    </row>
    <row r="26" spans="1:59" ht="15.75" customHeight="1">
      <c r="A26" s="449"/>
      <c r="B26" s="173"/>
      <c r="C26" s="446"/>
      <c r="D26" s="638"/>
      <c r="E26" s="638"/>
      <c r="F26" s="1239"/>
      <c r="G26" s="484">
        <v>48</v>
      </c>
      <c r="H26" s="638"/>
      <c r="I26" s="638"/>
      <c r="J26" s="446"/>
      <c r="K26" s="638"/>
      <c r="L26" s="445"/>
      <c r="M26" s="445"/>
      <c r="N26" s="445"/>
      <c r="O26" s="445"/>
      <c r="P26" s="445"/>
      <c r="Q26" s="638"/>
      <c r="R26" s="638"/>
      <c r="S26" s="638">
        <f t="shared" ref="S26" si="5">AG27-AG25</f>
        <v>48</v>
      </c>
      <c r="T26" s="638"/>
      <c r="U26" s="638"/>
      <c r="V26" s="638"/>
      <c r="W26" s="638"/>
      <c r="X26" s="638"/>
      <c r="Y26" s="638"/>
      <c r="Z26" s="638"/>
      <c r="AA26" s="638"/>
      <c r="AB26" s="638"/>
      <c r="AC26" s="638"/>
      <c r="AD26" s="638"/>
      <c r="AE26" s="638"/>
      <c r="AF26" s="638"/>
      <c r="AG26" s="446"/>
      <c r="AH26" s="638"/>
      <c r="AI26" s="185"/>
      <c r="AJ26" s="445"/>
      <c r="AK26" s="445"/>
      <c r="AL26" s="638"/>
      <c r="AM26" s="445"/>
      <c r="AN26" s="484"/>
      <c r="AO26" s="445"/>
      <c r="AP26" s="445"/>
      <c r="AQ26" s="484">
        <f>+FL_1($T$27,$T$25,$G$26,1200,9.28, 1*$F$27)</f>
        <v>0.36022448800000006</v>
      </c>
      <c r="AR26" s="484"/>
      <c r="AS26" s="484"/>
      <c r="AT26" s="484"/>
      <c r="AU26" s="638"/>
      <c r="AV26" s="638"/>
      <c r="AW26" s="484"/>
      <c r="AX26" s="484"/>
      <c r="AY26" s="484"/>
      <c r="AZ26" s="484"/>
      <c r="BA26" s="1304"/>
      <c r="BB26" s="449"/>
      <c r="BC26" s="169"/>
      <c r="BD26" s="1330"/>
      <c r="BE26" s="1330"/>
      <c r="BF26" s="1330"/>
      <c r="BG26" s="1330"/>
    </row>
    <row r="27" spans="1:59" ht="15.75" customHeight="1">
      <c r="A27" s="449"/>
      <c r="B27" s="619" t="s">
        <v>2734</v>
      </c>
      <c r="C27" s="446">
        <f>+$C$25+$G$26</f>
        <v>91967.999999999971</v>
      </c>
      <c r="D27" s="638"/>
      <c r="E27" s="638"/>
      <c r="F27" s="1239">
        <v>0</v>
      </c>
      <c r="G27" s="484"/>
      <c r="H27" s="638"/>
      <c r="I27" s="638"/>
      <c r="J27" s="446"/>
      <c r="K27" s="638"/>
      <c r="L27" s="638" t="s">
        <v>2670</v>
      </c>
      <c r="M27" s="638"/>
      <c r="N27" s="1239" t="s">
        <v>2789</v>
      </c>
      <c r="O27" s="1239"/>
      <c r="P27" s="638"/>
      <c r="Q27" s="638">
        <v>0</v>
      </c>
      <c r="R27" s="638">
        <v>0</v>
      </c>
      <c r="S27" s="484"/>
      <c r="T27" s="638">
        <v>-35</v>
      </c>
      <c r="U27" s="638"/>
      <c r="V27" s="638"/>
      <c r="W27" s="638">
        <v>1.4</v>
      </c>
      <c r="X27" s="638"/>
      <c r="Y27" s="638"/>
      <c r="Z27" s="638"/>
      <c r="AA27" s="638"/>
      <c r="AB27" s="638"/>
      <c r="AC27" s="1239" t="s">
        <v>4090</v>
      </c>
      <c r="AD27" s="638"/>
      <c r="AE27" s="638"/>
      <c r="AF27" s="638">
        <v>5200</v>
      </c>
      <c r="AG27" s="446">
        <v>91968</v>
      </c>
      <c r="AH27" s="638">
        <v>1953</v>
      </c>
      <c r="AI27" s="185">
        <v>-50</v>
      </c>
      <c r="AJ27" s="638"/>
      <c r="AK27" s="1239"/>
      <c r="AL27" s="638"/>
      <c r="AM27" s="638"/>
      <c r="AN27" s="455">
        <v>5.5</v>
      </c>
      <c r="AO27" s="1239"/>
      <c r="AP27" s="445"/>
      <c r="AQ27" s="484"/>
      <c r="AR27" s="484"/>
      <c r="AS27" s="484"/>
      <c r="AT27" s="484">
        <f>+ab($T$27,$T$25,$T$29,$G$26,$G$28, 1*$F$27,1200)</f>
        <v>-6.2309397694172253</v>
      </c>
      <c r="AU27" s="638"/>
      <c r="AV27" s="638"/>
      <c r="AW27" s="638"/>
      <c r="AX27" s="638"/>
      <c r="AY27" s="484"/>
      <c r="AZ27" s="484"/>
      <c r="BA27" s="1304"/>
      <c r="BB27" s="449"/>
      <c r="BC27" s="169"/>
      <c r="BD27" s="1371"/>
      <c r="BE27" s="1371"/>
      <c r="BF27" s="1371"/>
      <c r="BG27" s="1371"/>
    </row>
    <row r="28" spans="1:59" ht="15.75" customHeight="1">
      <c r="A28" s="449"/>
      <c r="B28" s="173"/>
      <c r="C28" s="446"/>
      <c r="D28" s="638"/>
      <c r="E28" s="638"/>
      <c r="F28" s="1239"/>
      <c r="G28" s="484">
        <v>43.5</v>
      </c>
      <c r="H28" s="638"/>
      <c r="I28" s="1239"/>
      <c r="J28" s="446"/>
      <c r="K28" s="638"/>
      <c r="L28" s="445"/>
      <c r="M28" s="445"/>
      <c r="N28" s="1239"/>
      <c r="O28" s="1239"/>
      <c r="P28" s="638"/>
      <c r="Q28" s="638"/>
      <c r="R28" s="638"/>
      <c r="S28" s="638">
        <f t="shared" ref="S28" si="6">AG29-AG27</f>
        <v>43</v>
      </c>
      <c r="T28" s="638"/>
      <c r="U28" s="638"/>
      <c r="V28" s="638"/>
      <c r="W28" s="638"/>
      <c r="X28" s="638"/>
      <c r="Y28" s="638"/>
      <c r="Z28" s="638"/>
      <c r="AA28" s="638"/>
      <c r="AB28" s="638"/>
      <c r="AC28" s="638"/>
      <c r="AD28" s="638"/>
      <c r="AE28" s="638"/>
      <c r="AF28" s="638"/>
      <c r="AG28" s="446"/>
      <c r="AH28" s="638"/>
      <c r="AI28" s="185"/>
      <c r="AJ28" s="638"/>
      <c r="AK28" s="1239"/>
      <c r="AL28" s="638"/>
      <c r="AM28" s="638"/>
      <c r="AN28" s="455"/>
      <c r="AO28" s="1239"/>
      <c r="AP28" s="445"/>
      <c r="AQ28" s="484">
        <f>+FL_1($T$29,$T$27,$G$28,1200,9.28, 1*$F$29)</f>
        <v>0.35034270455172412</v>
      </c>
      <c r="AR28" s="484"/>
      <c r="AS28" s="484"/>
      <c r="AT28" s="484"/>
      <c r="AU28" s="638"/>
      <c r="AV28" s="638"/>
      <c r="AW28" s="484"/>
      <c r="AX28" s="484"/>
      <c r="AY28" s="484"/>
      <c r="AZ28" s="484"/>
      <c r="BA28" s="1304"/>
      <c r="BB28" s="449"/>
      <c r="BC28" s="169"/>
      <c r="BD28" s="1330"/>
      <c r="BE28" s="1330"/>
      <c r="BF28" s="1330"/>
      <c r="BG28" s="1330"/>
    </row>
    <row r="29" spans="1:59" ht="15.75" customHeight="1">
      <c r="A29" s="449"/>
      <c r="B29" s="619" t="s">
        <v>2735</v>
      </c>
      <c r="C29" s="446">
        <f>+$C$27+$G$28</f>
        <v>92011.499999999971</v>
      </c>
      <c r="D29" s="638"/>
      <c r="E29" s="638"/>
      <c r="F29" s="1239">
        <v>0</v>
      </c>
      <c r="G29" s="484"/>
      <c r="H29" s="1239"/>
      <c r="I29" s="1239"/>
      <c r="J29" s="446"/>
      <c r="K29" s="638"/>
      <c r="L29" s="638" t="s">
        <v>2670</v>
      </c>
      <c r="M29" s="638"/>
      <c r="N29" s="1239" t="s">
        <v>144</v>
      </c>
      <c r="O29" s="1239"/>
      <c r="P29" s="638"/>
      <c r="Q29" s="638">
        <v>0</v>
      </c>
      <c r="R29" s="638">
        <v>0</v>
      </c>
      <c r="S29" s="484"/>
      <c r="T29" s="638">
        <v>35</v>
      </c>
      <c r="U29" s="638"/>
      <c r="V29" s="638"/>
      <c r="W29" s="638">
        <v>1.4</v>
      </c>
      <c r="X29" s="638"/>
      <c r="Y29" s="638"/>
      <c r="Z29" s="638"/>
      <c r="AA29" s="638"/>
      <c r="AB29" s="638"/>
      <c r="AC29" s="1239" t="s">
        <v>4090</v>
      </c>
      <c r="AD29" s="638"/>
      <c r="AE29" s="638"/>
      <c r="AF29" s="638">
        <v>5200</v>
      </c>
      <c r="AG29" s="446">
        <v>92011</v>
      </c>
      <c r="AH29" s="638">
        <v>2153</v>
      </c>
      <c r="AI29" s="638">
        <v>-140</v>
      </c>
      <c r="AJ29" s="638"/>
      <c r="AK29" s="1239"/>
      <c r="AL29" s="638"/>
      <c r="AM29" s="638"/>
      <c r="AN29" s="455">
        <v>5.5</v>
      </c>
      <c r="AO29" s="1239"/>
      <c r="AP29" s="445"/>
      <c r="AQ29" s="484"/>
      <c r="AR29" s="484"/>
      <c r="AS29" s="484"/>
      <c r="AT29" s="484">
        <f>+ab($T$29,$T$27,$T$31,$G$28,$G$30, 1*$F$29,1200)</f>
        <v>6.1375324781315204</v>
      </c>
      <c r="AU29" s="638"/>
      <c r="AV29" s="638"/>
      <c r="AW29" s="638"/>
      <c r="AX29" s="638"/>
      <c r="AY29" s="484"/>
      <c r="AZ29" s="484"/>
      <c r="BA29" s="671"/>
      <c r="BB29" s="449"/>
      <c r="BC29" s="169"/>
      <c r="BD29" s="1371"/>
      <c r="BE29" s="1371"/>
      <c r="BF29" s="1371"/>
      <c r="BG29" s="1371"/>
    </row>
    <row r="30" spans="1:59" ht="15.75" customHeight="1">
      <c r="A30" s="447"/>
      <c r="B30" s="173"/>
      <c r="C30" s="446"/>
      <c r="D30" s="638"/>
      <c r="E30" s="638"/>
      <c r="F30" s="1239"/>
      <c r="G30" s="484">
        <v>46.5</v>
      </c>
      <c r="H30" s="1239"/>
      <c r="I30" s="1239"/>
      <c r="J30" s="446"/>
      <c r="K30" s="638"/>
      <c r="L30" s="445"/>
      <c r="M30" s="445"/>
      <c r="N30" s="1239"/>
      <c r="O30" s="1239"/>
      <c r="P30" s="638"/>
      <c r="Q30" s="638"/>
      <c r="R30" s="638"/>
      <c r="S30" s="638">
        <f t="shared" ref="S30" si="7">AG31-AG29</f>
        <v>47</v>
      </c>
      <c r="T30" s="638"/>
      <c r="U30" s="638"/>
      <c r="V30" s="638"/>
      <c r="W30" s="638"/>
      <c r="X30" s="638"/>
      <c r="Y30" s="638"/>
      <c r="Z30" s="638"/>
      <c r="AA30" s="638"/>
      <c r="AB30" s="638"/>
      <c r="AC30" s="638"/>
      <c r="AD30" s="638"/>
      <c r="AE30" s="638"/>
      <c r="AF30" s="638"/>
      <c r="AG30" s="446"/>
      <c r="AH30" s="638"/>
      <c r="AI30" s="638"/>
      <c r="AJ30" s="638"/>
      <c r="AK30" s="1239"/>
      <c r="AL30" s="638"/>
      <c r="AM30" s="638"/>
      <c r="AN30" s="455"/>
      <c r="AO30" s="1239"/>
      <c r="AP30" s="445"/>
      <c r="AQ30" s="484">
        <f>+FL_1($T$31,$T$29,$G$30,1200,9.28, 1*$F$31)</f>
        <v>0.35553632619354841</v>
      </c>
      <c r="AR30" s="484"/>
      <c r="AS30" s="484"/>
      <c r="AT30" s="484"/>
      <c r="AU30" s="638"/>
      <c r="AV30" s="638"/>
      <c r="AW30" s="484"/>
      <c r="AX30" s="484"/>
      <c r="AY30" s="484"/>
      <c r="AZ30" s="484"/>
      <c r="BA30" s="671"/>
      <c r="BB30" s="447"/>
      <c r="BC30" s="169"/>
      <c r="BD30" s="1330"/>
      <c r="BE30" s="1330"/>
      <c r="BF30" s="1330"/>
      <c r="BG30" s="1330"/>
    </row>
    <row r="31" spans="1:59" ht="15.75" customHeight="1">
      <c r="A31" s="1239"/>
      <c r="B31" s="619" t="s">
        <v>2736</v>
      </c>
      <c r="C31" s="446">
        <f>+$C$29+$G$30</f>
        <v>92057.999999999971</v>
      </c>
      <c r="D31" s="638"/>
      <c r="E31" s="638"/>
      <c r="F31" s="1239">
        <v>0</v>
      </c>
      <c r="G31" s="484"/>
      <c r="H31" s="638"/>
      <c r="I31" s="1239"/>
      <c r="J31" s="446"/>
      <c r="K31" s="638"/>
      <c r="L31" s="638" t="s">
        <v>2670</v>
      </c>
      <c r="M31" s="638"/>
      <c r="N31" s="1239" t="s">
        <v>143</v>
      </c>
      <c r="O31" s="1239"/>
      <c r="P31" s="638"/>
      <c r="Q31" s="638">
        <v>0</v>
      </c>
      <c r="R31" s="638">
        <v>0</v>
      </c>
      <c r="S31" s="484"/>
      <c r="T31" s="638">
        <v>-35</v>
      </c>
      <c r="U31" s="638"/>
      <c r="V31" s="638"/>
      <c r="W31" s="638">
        <v>1.4</v>
      </c>
      <c r="X31" s="638"/>
      <c r="Y31" s="638"/>
      <c r="Z31" s="638"/>
      <c r="AA31" s="638"/>
      <c r="AB31" s="638"/>
      <c r="AC31" s="1239" t="s">
        <v>4115</v>
      </c>
      <c r="AD31" s="638"/>
      <c r="AE31" s="638"/>
      <c r="AF31" s="638">
        <v>5500</v>
      </c>
      <c r="AG31" s="446">
        <v>92058</v>
      </c>
      <c r="AH31" s="638">
        <v>2203</v>
      </c>
      <c r="AI31" s="185">
        <v>-60</v>
      </c>
      <c r="AJ31" s="638"/>
      <c r="AK31" s="1239"/>
      <c r="AL31" s="638"/>
      <c r="AM31" s="638"/>
      <c r="AN31" s="455">
        <v>5.5</v>
      </c>
      <c r="AO31" s="1239"/>
      <c r="AP31" s="1239"/>
      <c r="AQ31" s="484"/>
      <c r="AR31" s="484"/>
      <c r="AS31" s="484"/>
      <c r="AT31" s="484">
        <f>+ab($T$31,$T$29,$T$33,$G$30,$G$32, 1*$F$31,1200)</f>
        <v>-6.0271752811259471</v>
      </c>
      <c r="AU31" s="638"/>
      <c r="AV31" s="638"/>
      <c r="AW31" s="638"/>
      <c r="AX31" s="638"/>
      <c r="AY31" s="484"/>
      <c r="AZ31" s="484"/>
      <c r="BA31" s="671"/>
      <c r="BB31" s="1239"/>
      <c r="BC31" s="169"/>
      <c r="BD31" s="1371"/>
      <c r="BE31" s="1371"/>
      <c r="BF31" s="1371"/>
      <c r="BG31" s="1371"/>
    </row>
    <row r="32" spans="1:59" ht="15.75" customHeight="1">
      <c r="A32" s="1239"/>
      <c r="B32" s="173"/>
      <c r="C32" s="446"/>
      <c r="D32" s="638"/>
      <c r="E32" s="638"/>
      <c r="F32" s="1239"/>
      <c r="G32" s="484">
        <v>42</v>
      </c>
      <c r="H32" s="1239"/>
      <c r="I32" s="1239"/>
      <c r="J32" s="446"/>
      <c r="K32" s="638"/>
      <c r="L32" s="445"/>
      <c r="M32" s="445"/>
      <c r="N32" s="1239"/>
      <c r="O32" s="1239"/>
      <c r="P32" s="638"/>
      <c r="Q32" s="638"/>
      <c r="R32" s="638"/>
      <c r="S32" s="638">
        <f t="shared" ref="S32" si="8">AG33-AG31</f>
        <v>41.820000000006985</v>
      </c>
      <c r="T32" s="638"/>
      <c r="U32" s="638"/>
      <c r="V32" s="638"/>
      <c r="W32" s="638"/>
      <c r="X32" s="638"/>
      <c r="Y32" s="638"/>
      <c r="Z32" s="638"/>
      <c r="AA32" s="638"/>
      <c r="AB32" s="638"/>
      <c r="AC32" s="638"/>
      <c r="AD32" s="638"/>
      <c r="AE32" s="638"/>
      <c r="AF32" s="638"/>
      <c r="AG32" s="446"/>
      <c r="AH32" s="638"/>
      <c r="AI32" s="185"/>
      <c r="AJ32" s="638"/>
      <c r="AK32" s="1239"/>
      <c r="AL32" s="638"/>
      <c r="AM32" s="638"/>
      <c r="AN32" s="455"/>
      <c r="AO32" s="1239"/>
      <c r="AP32" s="1239"/>
      <c r="AQ32" s="484">
        <f>+FL_2($T$33,$T$31,$G$32,1200,9.28, 1*$F$33)</f>
        <v>-0.35</v>
      </c>
      <c r="AR32" s="484"/>
      <c r="AS32" s="484"/>
      <c r="AT32" s="484"/>
      <c r="AU32" s="638"/>
      <c r="AV32" s="638"/>
      <c r="AW32" s="484"/>
      <c r="AX32" s="484"/>
      <c r="AY32" s="484"/>
      <c r="AZ32" s="484"/>
      <c r="BA32" s="671"/>
      <c r="BB32" s="1239"/>
      <c r="BC32" s="169"/>
      <c r="BD32" s="1330"/>
      <c r="BE32" s="1330"/>
      <c r="BF32" s="1330"/>
      <c r="BG32" s="1330"/>
    </row>
    <row r="33" spans="1:59" ht="15.75" customHeight="1">
      <c r="A33" s="1239"/>
      <c r="B33" s="619" t="s">
        <v>2737</v>
      </c>
      <c r="C33" s="446">
        <f>+$C$31+$G$32</f>
        <v>92099.999999999971</v>
      </c>
      <c r="D33" s="638"/>
      <c r="E33" s="638"/>
      <c r="F33" s="1239">
        <v>0</v>
      </c>
      <c r="G33" s="484"/>
      <c r="H33" s="638"/>
      <c r="I33" s="1239"/>
      <c r="J33" s="446"/>
      <c r="K33" s="638"/>
      <c r="L33" s="638" t="s">
        <v>2670</v>
      </c>
      <c r="M33" s="638"/>
      <c r="N33" s="1239" t="s">
        <v>144</v>
      </c>
      <c r="O33" s="638"/>
      <c r="P33" s="638"/>
      <c r="Q33" s="638">
        <v>0</v>
      </c>
      <c r="R33" s="638">
        <v>0</v>
      </c>
      <c r="S33" s="484"/>
      <c r="T33" s="638">
        <v>35</v>
      </c>
      <c r="U33" s="638"/>
      <c r="V33" s="638"/>
      <c r="W33" s="638">
        <v>1.4</v>
      </c>
      <c r="X33" s="638"/>
      <c r="Y33" s="638"/>
      <c r="Z33" s="638"/>
      <c r="AA33" s="638"/>
      <c r="AB33" s="638"/>
      <c r="AC33" s="1239" t="s">
        <v>4090</v>
      </c>
      <c r="AD33" s="638"/>
      <c r="AE33" s="638"/>
      <c r="AF33" s="638">
        <v>5500</v>
      </c>
      <c r="AG33" s="446">
        <v>92099.82</v>
      </c>
      <c r="AH33" s="638">
        <v>1923</v>
      </c>
      <c r="AI33" s="185">
        <v>-150</v>
      </c>
      <c r="AJ33" s="638"/>
      <c r="AK33" s="1239"/>
      <c r="AL33" s="638"/>
      <c r="AM33" s="638"/>
      <c r="AN33" s="455">
        <v>5.5</v>
      </c>
      <c r="AO33" s="1239"/>
      <c r="AP33" s="1239"/>
      <c r="AQ33" s="484"/>
      <c r="AR33" s="484"/>
      <c r="AS33" s="484"/>
      <c r="AT33" s="484">
        <f>+ab($T$33,$T$31,$T$35,$G$32,$G$34, 1*$F$33,1200)</f>
        <v>4.9925428069203077</v>
      </c>
      <c r="AU33" s="638"/>
      <c r="AV33" s="638"/>
      <c r="AW33" s="638"/>
      <c r="AX33" s="638"/>
      <c r="AY33" s="484"/>
      <c r="AZ33" s="484"/>
      <c r="BA33" s="671"/>
      <c r="BB33" s="1239"/>
      <c r="BC33" s="169"/>
      <c r="BD33" s="1371"/>
      <c r="BE33" s="1371"/>
      <c r="BF33" s="1371"/>
      <c r="BG33" s="1371"/>
    </row>
    <row r="34" spans="1:59" ht="15.75" customHeight="1">
      <c r="A34" s="1239"/>
      <c r="B34" s="173"/>
      <c r="C34" s="446"/>
      <c r="D34" s="447"/>
      <c r="E34" s="447"/>
      <c r="F34" s="1239"/>
      <c r="G34" s="484">
        <v>32.299999999999997</v>
      </c>
      <c r="H34" s="1239"/>
      <c r="I34" s="1239"/>
      <c r="J34" s="446"/>
      <c r="K34" s="638"/>
      <c r="L34" s="445"/>
      <c r="M34" s="445"/>
      <c r="N34" s="1239"/>
      <c r="O34" s="1239"/>
      <c r="P34" s="638"/>
      <c r="Q34" s="638"/>
      <c r="R34" s="638"/>
      <c r="S34" s="638">
        <f t="shared" ref="S34" si="9">AG35-AG33</f>
        <v>30.849999999991269</v>
      </c>
      <c r="T34" s="638"/>
      <c r="U34" s="638"/>
      <c r="V34" s="638"/>
      <c r="W34" s="638"/>
      <c r="X34" s="638"/>
      <c r="Y34" s="638"/>
      <c r="Z34" s="638"/>
      <c r="AA34" s="638"/>
      <c r="AB34" s="638"/>
      <c r="AC34" s="638"/>
      <c r="AD34" s="638"/>
      <c r="AE34" s="638"/>
      <c r="AF34" s="638"/>
      <c r="AG34" s="446"/>
      <c r="AH34" s="638"/>
      <c r="AI34" s="185"/>
      <c r="AJ34" s="638"/>
      <c r="AK34" s="1239"/>
      <c r="AL34" s="638"/>
      <c r="AM34" s="638"/>
      <c r="AN34" s="455"/>
      <c r="AO34" s="1239"/>
      <c r="AP34" s="1239"/>
      <c r="AQ34" s="484">
        <f>+FL_1($T$35,$T$33,$G$34,1200,9.28, 1*$F$35)</f>
        <v>0.3500000000000198</v>
      </c>
      <c r="AR34" s="484"/>
      <c r="AS34" s="484"/>
      <c r="AT34" s="484"/>
      <c r="AU34" s="638"/>
      <c r="AV34" s="638"/>
      <c r="AW34" s="484"/>
      <c r="AX34" s="484"/>
      <c r="AY34" s="484"/>
      <c r="AZ34" s="484"/>
      <c r="BA34" s="671"/>
      <c r="BB34" s="1239"/>
      <c r="BC34" s="169"/>
      <c r="BD34" s="1330"/>
      <c r="BE34" s="1330"/>
      <c r="BF34" s="1330"/>
      <c r="BG34" s="1330"/>
    </row>
    <row r="35" spans="1:59" ht="15.75" customHeight="1">
      <c r="A35" s="1239"/>
      <c r="B35" s="619" t="s">
        <v>2738</v>
      </c>
      <c r="C35" s="446">
        <f>+$C$33+$G$34</f>
        <v>92132.299999999974</v>
      </c>
      <c r="D35" s="447"/>
      <c r="E35" s="447"/>
      <c r="F35" s="1239">
        <v>0</v>
      </c>
      <c r="G35" s="484"/>
      <c r="H35" s="638"/>
      <c r="I35" s="455"/>
      <c r="J35" s="446"/>
      <c r="K35" s="638"/>
      <c r="L35" s="638" t="s">
        <v>2670</v>
      </c>
      <c r="M35" s="638"/>
      <c r="N35" s="1239" t="s">
        <v>143</v>
      </c>
      <c r="O35" s="1239"/>
      <c r="P35" s="638"/>
      <c r="Q35" s="638">
        <v>0</v>
      </c>
      <c r="R35" s="638">
        <v>0</v>
      </c>
      <c r="S35" s="484"/>
      <c r="T35" s="638">
        <v>-35</v>
      </c>
      <c r="U35" s="638"/>
      <c r="V35" s="638"/>
      <c r="W35" s="638">
        <v>1.6</v>
      </c>
      <c r="X35" s="638"/>
      <c r="Y35" s="638"/>
      <c r="Z35" s="638"/>
      <c r="AA35" s="638"/>
      <c r="AB35" s="638"/>
      <c r="AC35" s="1239" t="s">
        <v>4115</v>
      </c>
      <c r="AD35" s="638"/>
      <c r="AE35" s="638"/>
      <c r="AF35" s="638">
        <v>5200</v>
      </c>
      <c r="AG35" s="446">
        <v>92130.67</v>
      </c>
      <c r="AH35" s="638">
        <v>1743</v>
      </c>
      <c r="AI35" s="185">
        <v>-180</v>
      </c>
      <c r="AJ35" s="638"/>
      <c r="AK35" s="1239"/>
      <c r="AL35" s="638"/>
      <c r="AM35" s="638"/>
      <c r="AN35" s="455">
        <v>5.5</v>
      </c>
      <c r="AO35" s="1239"/>
      <c r="AP35" s="1239"/>
      <c r="AQ35" s="484"/>
      <c r="AR35" s="484"/>
      <c r="AS35" s="484"/>
      <c r="AT35" s="484">
        <f>+ab($T$35,$T$33,-$T$37,$G$34,$G$36, 1*$F$35,1200)</f>
        <v>-4.7344853066628172</v>
      </c>
      <c r="AU35" s="638"/>
      <c r="AV35" s="638"/>
      <c r="AW35" s="638"/>
      <c r="AX35" s="638"/>
      <c r="AY35" s="484"/>
      <c r="AZ35" s="484"/>
      <c r="BA35" s="671"/>
      <c r="BB35" s="1239"/>
      <c r="BC35" s="169"/>
      <c r="BD35" s="1371"/>
      <c r="BE35" s="1371"/>
      <c r="BF35" s="1371"/>
      <c r="BG35" s="1371"/>
    </row>
    <row r="36" spans="1:59" ht="15.75" customHeight="1">
      <c r="A36" s="1239"/>
      <c r="B36" s="173"/>
      <c r="C36" s="446"/>
      <c r="D36" s="447"/>
      <c r="E36" s="447"/>
      <c r="F36" s="1239"/>
      <c r="G36" s="484">
        <v>37.299999999999997</v>
      </c>
      <c r="H36" s="168"/>
      <c r="I36" s="1239"/>
      <c r="J36" s="446"/>
      <c r="K36" s="638"/>
      <c r="L36" s="445"/>
      <c r="M36" s="445"/>
      <c r="N36" s="1239"/>
      <c r="O36" s="1239"/>
      <c r="P36" s="638"/>
      <c r="Q36" s="638"/>
      <c r="R36" s="638"/>
      <c r="S36" s="638">
        <f t="shared" ref="S36:S38" si="10">AG37-AG35</f>
        <v>38.960000000006403</v>
      </c>
      <c r="T36" s="638"/>
      <c r="U36" s="638"/>
      <c r="V36" s="638"/>
      <c r="W36" s="638"/>
      <c r="X36" s="638"/>
      <c r="Y36" s="638"/>
      <c r="Z36" s="638"/>
      <c r="AA36" s="638"/>
      <c r="AB36" s="638"/>
      <c r="AC36" s="638"/>
      <c r="AD36" s="638"/>
      <c r="AE36" s="638"/>
      <c r="AF36" s="638"/>
      <c r="AG36" s="446"/>
      <c r="AH36" s="638"/>
      <c r="AI36" s="185"/>
      <c r="AJ36" s="638"/>
      <c r="AK36" s="1239"/>
      <c r="AL36" s="638"/>
      <c r="AM36" s="638"/>
      <c r="AN36" s="455"/>
      <c r="AO36" s="1239"/>
      <c r="AP36" s="1239"/>
      <c r="AQ36" s="484">
        <f>+FL_2(-$T$37,$T$35,$G$36,1200,9.28, 1*$F$37)</f>
        <v>-0.35000000000000492</v>
      </c>
      <c r="AR36" s="484"/>
      <c r="AS36" s="484"/>
      <c r="AT36" s="484"/>
      <c r="AU36" s="638"/>
      <c r="AV36" s="638"/>
      <c r="AW36" s="484"/>
      <c r="AX36" s="638"/>
      <c r="AY36" s="484"/>
      <c r="AZ36" s="484"/>
      <c r="BA36" s="671"/>
      <c r="BB36" s="1239"/>
      <c r="BC36" s="169"/>
      <c r="BD36" s="1330"/>
      <c r="BE36" s="1330"/>
      <c r="BF36" s="1330"/>
      <c r="BG36" s="1330"/>
    </row>
    <row r="37" spans="1:59" ht="15.75" customHeight="1">
      <c r="A37" s="1239"/>
      <c r="B37" s="173" t="s">
        <v>2739</v>
      </c>
      <c r="C37" s="446">
        <f>+$C$35+$G$36</f>
        <v>92169.599999999977</v>
      </c>
      <c r="D37" s="447"/>
      <c r="E37" s="447"/>
      <c r="F37" s="1239">
        <v>0</v>
      </c>
      <c r="G37" s="484"/>
      <c r="H37" s="638" t="s">
        <v>138</v>
      </c>
      <c r="I37" s="638" t="s">
        <v>624</v>
      </c>
      <c r="J37" s="446"/>
      <c r="K37" s="638"/>
      <c r="L37" s="638" t="s">
        <v>1451</v>
      </c>
      <c r="M37" s="638" t="str">
        <f>IF(AX37="PT",VLOOKUP(L37,'Foundation Calculation'!$V$2:$X$40,VLOOKUP(AX37,'Foundation Calculation'!$I$10:$J$13,2,FALSE),0),IF(AX37="K",VLOOKUP(L37,'Foundation Calculation'!$V$42:$X$80,VLOOKUP(AX37,'Foundation Calculation'!$I$10:$J$13,2,FALSE),0),""))</f>
        <v>C8R</v>
      </c>
      <c r="N37" s="1239" t="s">
        <v>143</v>
      </c>
      <c r="O37" s="638"/>
      <c r="P37" s="638"/>
      <c r="Q37" s="638">
        <v>0</v>
      </c>
      <c r="R37" s="638">
        <v>0</v>
      </c>
      <c r="S37" s="484"/>
      <c r="T37" s="638">
        <v>-35</v>
      </c>
      <c r="U37" s="638"/>
      <c r="V37" s="638"/>
      <c r="W37" s="638">
        <v>1.6</v>
      </c>
      <c r="X37" s="638"/>
      <c r="Y37" s="638"/>
      <c r="Z37" s="638"/>
      <c r="AA37" s="638"/>
      <c r="AB37" s="638"/>
      <c r="AC37" s="1239" t="s">
        <v>4090</v>
      </c>
      <c r="AD37" s="638"/>
      <c r="AE37" s="638"/>
      <c r="AF37" s="638">
        <v>5800</v>
      </c>
      <c r="AG37" s="446">
        <v>92169.63</v>
      </c>
      <c r="AH37" s="638">
        <v>2703</v>
      </c>
      <c r="AI37" s="185">
        <v>320</v>
      </c>
      <c r="AJ37" s="638"/>
      <c r="AK37" s="1239"/>
      <c r="AL37" s="638" t="s">
        <v>2143</v>
      </c>
      <c r="AM37" s="638" t="s">
        <v>1042</v>
      </c>
      <c r="AN37" s="455">
        <v>5.5</v>
      </c>
      <c r="AO37" s="1239"/>
      <c r="AP37" s="1239"/>
      <c r="AQ37" s="484"/>
      <c r="AR37" s="484"/>
      <c r="AS37" s="484"/>
      <c r="AT37" s="484">
        <f>+ab($T$37,-$T$35,$T$39,$G$36,$G$38, 1*$F$37,1200)</f>
        <v>-5.0743666931477751</v>
      </c>
      <c r="AU37" s="638"/>
      <c r="AV37" s="638"/>
      <c r="AW37" s="638" t="str">
        <f>VLOOKUP(C37,'Foundation Calculation'!$A$2:$C$33,3,1)</f>
        <v>Soil B</v>
      </c>
      <c r="AX37" s="572" t="str">
        <f>VLOOKUP(C37,'Foundation Calculation'!$E$2:$G$33,3,1)</f>
        <v>PT</v>
      </c>
      <c r="AY37" s="484">
        <f>IF(AX37="PT",VLOOKUP(L37,'Foundation Calculation'!$K$2:$R$40,VLOOKUP(AW37,'Foundation Calculation'!$I$2:$J$8,2,FALSE),0),IF(AX37="K",VLOOKUP(L37,'Foundation Calculation'!$K$42:$R$80,VLOOKUP(AW37,'Foundation Calculation'!$I$2:$J$8,2,FALSE),0),""))</f>
        <v>4.4000000000000004</v>
      </c>
      <c r="AZ37" s="484"/>
      <c r="BA37" s="671" t="s">
        <v>2809</v>
      </c>
      <c r="BB37" s="1239" t="str">
        <f>Pole_Calculations!A178</f>
        <v>App.8-V08F-P10.3</v>
      </c>
      <c r="BC37" s="169"/>
      <c r="BD37" s="1371">
        <v>43753</v>
      </c>
      <c r="BE37" s="1371"/>
      <c r="BF37" s="1371"/>
      <c r="BG37" s="1371">
        <v>43898</v>
      </c>
    </row>
    <row r="38" spans="1:59" ht="15.75" customHeight="1">
      <c r="A38" s="1239"/>
      <c r="B38" s="173"/>
      <c r="C38" s="446"/>
      <c r="D38" s="447"/>
      <c r="E38" s="447"/>
      <c r="F38" s="1239"/>
      <c r="G38" s="484">
        <v>34.299999999999997</v>
      </c>
      <c r="H38" s="1239"/>
      <c r="I38" s="1239"/>
      <c r="J38" s="446">
        <f>C37+7.5</f>
        <v>92177.099999999977</v>
      </c>
      <c r="K38" s="638" t="s">
        <v>2787</v>
      </c>
      <c r="L38" s="638"/>
      <c r="M38" s="638"/>
      <c r="N38" s="1239"/>
      <c r="O38" s="1239"/>
      <c r="P38" s="638"/>
      <c r="Q38" s="638"/>
      <c r="R38" s="638"/>
      <c r="S38" s="638">
        <f t="shared" si="10"/>
        <v>34.19999999999709</v>
      </c>
      <c r="T38" s="638"/>
      <c r="U38" s="638"/>
      <c r="V38" s="638"/>
      <c r="W38" s="638"/>
      <c r="X38" s="638"/>
      <c r="Y38" s="638"/>
      <c r="Z38" s="638"/>
      <c r="AA38" s="638"/>
      <c r="AB38" s="638"/>
      <c r="AC38" s="638"/>
      <c r="AD38" s="638"/>
      <c r="AE38" s="638"/>
      <c r="AF38" s="638"/>
      <c r="AG38" s="446"/>
      <c r="AH38" s="638"/>
      <c r="AI38" s="185"/>
      <c r="AJ38" s="638"/>
      <c r="AK38" s="1239"/>
      <c r="AL38" s="638"/>
      <c r="AM38" s="638"/>
      <c r="AN38" s="455"/>
      <c r="AO38" s="1239"/>
      <c r="AP38" s="1239"/>
      <c r="AQ38" s="484">
        <f>+FL_2($T$39,$T$37,$G$38,1200,9.28, 1*$F$39)</f>
        <v>-0.35000000000000986</v>
      </c>
      <c r="AR38" s="484"/>
      <c r="AS38" s="484"/>
      <c r="AT38" s="484"/>
      <c r="AU38" s="638"/>
      <c r="AV38" s="638"/>
      <c r="AW38" s="638" t="str">
        <f>VLOOKUP(J38,'Foundation Calculation'!$A$2:$C$33,3,1)</f>
        <v>Soil B</v>
      </c>
      <c r="AX38" s="572" t="str">
        <f>VLOOKUP(J38,'Foundation Calculation'!$E$2:$G$33,3,1)</f>
        <v>PT</v>
      </c>
      <c r="AY38" s="484"/>
      <c r="AZ38" s="484">
        <f>IF(AX38="PT",VLOOKUP(K38,'Foundation Calculation'!$K$2:$R$40,VLOOKUP(AW38,'Foundation Calculation'!$I$2:$J$8,2,FALSE),0),IF(AX38="K",VLOOKUP(K38,'Foundation Calculation'!$K$42:$R$80,VLOOKUP(AW38,'Foundation Calculation'!$I$2:$J$8,2,FALSE),0),""))</f>
        <v>3.9</v>
      </c>
      <c r="BA38" s="671" t="s">
        <v>2809</v>
      </c>
      <c r="BB38" s="1239"/>
      <c r="BC38" s="169"/>
      <c r="BD38" s="1329">
        <v>43753</v>
      </c>
      <c r="BE38" s="1330"/>
      <c r="BF38" s="1330"/>
      <c r="BG38" s="1330"/>
    </row>
    <row r="39" spans="1:59" ht="15.75" customHeight="1">
      <c r="A39" s="1239"/>
      <c r="B39" s="173" t="s">
        <v>2740</v>
      </c>
      <c r="C39" s="446">
        <f>+$C$37+$G$38</f>
        <v>92203.89999999998</v>
      </c>
      <c r="D39" s="447"/>
      <c r="E39" s="447"/>
      <c r="F39" s="1239">
        <v>0</v>
      </c>
      <c r="G39" s="484"/>
      <c r="H39" s="638" t="s">
        <v>890</v>
      </c>
      <c r="I39" s="638" t="s">
        <v>623</v>
      </c>
      <c r="J39" s="446">
        <f>C39-7.5</f>
        <v>92196.39999999998</v>
      </c>
      <c r="K39" s="638" t="s">
        <v>2882</v>
      </c>
      <c r="L39" s="638" t="s">
        <v>1451</v>
      </c>
      <c r="M39" s="638" t="str">
        <f>IF(AX39="PT",VLOOKUP(L39,'Foundation Calculation'!$V$2:$X$40,VLOOKUP(AX39,'Foundation Calculation'!$I$10:$J$13,2,FALSE),0),IF(AX39="K",VLOOKUP(L39,'Foundation Calculation'!$V$42:$X$80,VLOOKUP(AX39,'Foundation Calculation'!$I$10:$J$13,2,FALSE),0),""))</f>
        <v>C8R</v>
      </c>
      <c r="N39" s="1239" t="s">
        <v>844</v>
      </c>
      <c r="O39" s="638"/>
      <c r="P39" s="638"/>
      <c r="Q39" s="638">
        <v>10</v>
      </c>
      <c r="R39" s="638">
        <v>0</v>
      </c>
      <c r="S39" s="484"/>
      <c r="T39" s="638">
        <v>30</v>
      </c>
      <c r="U39" s="638"/>
      <c r="V39" s="638"/>
      <c r="W39" s="638">
        <v>1.4</v>
      </c>
      <c r="X39" s="638"/>
      <c r="Y39" s="638"/>
      <c r="Z39" s="638"/>
      <c r="AA39" s="638"/>
      <c r="AB39" s="638"/>
      <c r="AC39" s="1239" t="s">
        <v>4090</v>
      </c>
      <c r="AD39" s="638"/>
      <c r="AE39" s="638"/>
      <c r="AF39" s="638">
        <v>600</v>
      </c>
      <c r="AG39" s="446">
        <v>92203.83</v>
      </c>
      <c r="AH39" s="638">
        <v>1983</v>
      </c>
      <c r="AI39" s="185">
        <v>-4540</v>
      </c>
      <c r="AJ39" s="638"/>
      <c r="AK39" s="1239" t="s">
        <v>139</v>
      </c>
      <c r="AL39" s="638" t="s">
        <v>2143</v>
      </c>
      <c r="AM39" s="638" t="s">
        <v>1042</v>
      </c>
      <c r="AN39" s="455">
        <v>5.5</v>
      </c>
      <c r="AO39" s="1239"/>
      <c r="AP39" s="1239"/>
      <c r="AQ39" s="484"/>
      <c r="AR39" s="484"/>
      <c r="AS39" s="484"/>
      <c r="AT39" s="484">
        <f>+ab($T$39,$T$37,$U$41,$G$38,$G$40, 1*$F$39,1200)</f>
        <v>4.5736331846934979</v>
      </c>
      <c r="AU39" s="638"/>
      <c r="AV39" s="638"/>
      <c r="AW39" s="638" t="str">
        <f>VLOOKUP(C39,'Foundation Calculation'!$A$2:$C$33,3,1)</f>
        <v>Soil B</v>
      </c>
      <c r="AX39" s="572" t="str">
        <f>VLOOKUP(J39,'Foundation Calculation'!$E$2:$G$33,3,1)</f>
        <v>PT</v>
      </c>
      <c r="AY39" s="484">
        <f>IF(AX39="PT",VLOOKUP(L39,'Foundation Calculation'!$K$2:$R$40,VLOOKUP(AW39,'Foundation Calculation'!$I$2:$J$8,2,FALSE),0),IF(AX39="K",VLOOKUP(L39,'Foundation Calculation'!$K$42:$R$80,VLOOKUP(AW39,'Foundation Calculation'!$I$2:$J$8,2,FALSE),0),""))</f>
        <v>4.4000000000000004</v>
      </c>
      <c r="AZ39" s="484">
        <v>3.9</v>
      </c>
      <c r="BA39" s="671" t="s">
        <v>2809</v>
      </c>
      <c r="BB39" s="1239" t="str">
        <f>Pole_Calculations!A178</f>
        <v>App.8-V08F-P10.3</v>
      </c>
      <c r="BC39" s="169"/>
      <c r="BD39" s="1371">
        <v>43753</v>
      </c>
      <c r="BE39" s="1371"/>
      <c r="BF39" s="1371"/>
      <c r="BG39" s="1371">
        <v>43898</v>
      </c>
    </row>
    <row r="40" spans="1:59" ht="15.75" customHeight="1">
      <c r="A40" s="1239"/>
      <c r="B40" s="173"/>
      <c r="C40" s="446"/>
      <c r="D40" s="447"/>
      <c r="E40" s="447"/>
      <c r="F40" s="1239"/>
      <c r="G40" s="484">
        <v>24</v>
      </c>
      <c r="H40" s="638"/>
      <c r="I40" s="172">
        <v>365</v>
      </c>
      <c r="J40" s="446"/>
      <c r="K40" s="638"/>
      <c r="L40" s="638"/>
      <c r="M40" s="638"/>
      <c r="N40" s="1239"/>
      <c r="O40" s="1239"/>
      <c r="P40" s="638"/>
      <c r="Q40" s="638"/>
      <c r="R40" s="638"/>
      <c r="S40" s="500">
        <f>AG39-AG41</f>
        <v>-24.029999999998836</v>
      </c>
      <c r="T40" s="638"/>
      <c r="U40" s="638"/>
      <c r="V40" s="638"/>
      <c r="W40" s="638"/>
      <c r="X40" s="638"/>
      <c r="Y40" s="638"/>
      <c r="Z40" s="638"/>
      <c r="AA40" s="638"/>
      <c r="AB40" s="638"/>
      <c r="AC40" s="638"/>
      <c r="AD40" s="638"/>
      <c r="AE40" s="638"/>
      <c r="AF40" s="638"/>
      <c r="AG40" s="446"/>
      <c r="AH40" s="638"/>
      <c r="AI40" s="185"/>
      <c r="AJ40" s="638"/>
      <c r="AK40" s="1239"/>
      <c r="AL40" s="638"/>
      <c r="AM40" s="638"/>
      <c r="AN40" s="455"/>
      <c r="AO40" s="1239"/>
      <c r="AP40" s="1239"/>
      <c r="AQ40" s="484">
        <f>+FL_1($U$41,$T$39,$G$40,1200,9.28, 1*$F$41)</f>
        <v>0.30000000000009824</v>
      </c>
      <c r="AR40" s="484"/>
      <c r="AS40" s="484"/>
      <c r="AT40" s="484"/>
      <c r="AU40" s="638"/>
      <c r="AV40" s="638"/>
      <c r="AW40" s="484"/>
      <c r="AX40" s="638"/>
      <c r="AY40" s="484"/>
      <c r="AZ40" s="484"/>
      <c r="BA40" s="671"/>
      <c r="BB40" s="1239"/>
      <c r="BC40" s="169"/>
      <c r="BD40" s="1330"/>
      <c r="BE40" s="1330"/>
      <c r="BF40" s="1330"/>
      <c r="BG40" s="1330"/>
    </row>
    <row r="41" spans="1:59" ht="15.75" customHeight="1">
      <c r="A41" s="1239" t="s">
        <v>2930</v>
      </c>
      <c r="B41" s="173" t="s">
        <v>2741</v>
      </c>
      <c r="C41" s="446">
        <f>+$C$39+$G$40</f>
        <v>92227.89999999998</v>
      </c>
      <c r="D41" s="447"/>
      <c r="E41" s="447"/>
      <c r="F41" s="1239">
        <v>139.5</v>
      </c>
      <c r="G41" s="484"/>
      <c r="H41" s="638" t="s">
        <v>619</v>
      </c>
      <c r="I41" s="1239" t="s">
        <v>1039</v>
      </c>
      <c r="J41" s="446"/>
      <c r="K41" s="638"/>
      <c r="L41" s="638" t="s">
        <v>1451</v>
      </c>
      <c r="M41" s="638" t="str">
        <f>IF(AX41="PT",VLOOKUP(L41,'Foundation Calculation'!$V$2:$X$40,VLOOKUP(AX41,'Foundation Calculation'!$I$10:$J$13,2,FALSE),0),IF(AX41="K",VLOOKUP(L41,'Foundation Calculation'!$V$42:$X$80,VLOOKUP(AX41,'Foundation Calculation'!$I$10:$J$13,2,FALSE),0),""))</f>
        <v>C8R</v>
      </c>
      <c r="N41" s="1239" t="s">
        <v>140</v>
      </c>
      <c r="O41" s="1239" t="s">
        <v>143</v>
      </c>
      <c r="P41" s="638"/>
      <c r="Q41" s="638">
        <v>0</v>
      </c>
      <c r="R41" s="638">
        <v>0</v>
      </c>
      <c r="S41" s="484"/>
      <c r="T41" s="638">
        <v>30</v>
      </c>
      <c r="U41" s="638">
        <v>-25</v>
      </c>
      <c r="V41" s="638"/>
      <c r="W41" s="638">
        <v>1.4</v>
      </c>
      <c r="X41" s="638">
        <v>2.2999999999999998</v>
      </c>
      <c r="Y41" s="638"/>
      <c r="Z41" s="638">
        <v>0.45</v>
      </c>
      <c r="AA41" s="638"/>
      <c r="AB41" s="638"/>
      <c r="AC41" s="638" t="s">
        <v>3050</v>
      </c>
      <c r="AD41" s="638"/>
      <c r="AE41" s="638"/>
      <c r="AF41" s="638">
        <v>200</v>
      </c>
      <c r="AG41" s="446">
        <v>92227.86</v>
      </c>
      <c r="AH41" s="638">
        <v>1750</v>
      </c>
      <c r="AI41" s="185">
        <v>-5100</v>
      </c>
      <c r="AJ41" s="638" t="s">
        <v>1796</v>
      </c>
      <c r="AK41" s="1239"/>
      <c r="AL41" s="638" t="s">
        <v>2143</v>
      </c>
      <c r="AM41" s="638" t="s">
        <v>1042</v>
      </c>
      <c r="AN41" s="455">
        <v>5.5</v>
      </c>
      <c r="AO41" s="1239"/>
      <c r="AP41" s="1239"/>
      <c r="AQ41" s="484"/>
      <c r="AR41" s="484"/>
      <c r="AS41" s="484"/>
      <c r="AT41" s="484"/>
      <c r="AU41" s="638"/>
      <c r="AV41" s="638"/>
      <c r="AW41" s="638" t="str">
        <f>VLOOKUP(C41,'Foundation Calculation'!$A$2:$C$33,3,1)</f>
        <v>Soil B</v>
      </c>
      <c r="AX41" s="572" t="str">
        <f>VLOOKUP(C41,'Foundation Calculation'!$E$2:$G$33,3,1)</f>
        <v>PT</v>
      </c>
      <c r="AY41" s="484">
        <f>IF(AX41="PT",VLOOKUP(L41,'Foundation Calculation'!$K$2:$R$40,VLOOKUP(AW41,'Foundation Calculation'!$I$2:$J$8,2,FALSE),0),IF(AX41="K",VLOOKUP(L41,'Foundation Calculation'!$K$42:$R$80,VLOOKUP(AW41,'Foundation Calculation'!$I$2:$J$8,2,FALSE),0),""))</f>
        <v>4.4000000000000004</v>
      </c>
      <c r="AZ41" s="484"/>
      <c r="BA41" s="671" t="s">
        <v>2809</v>
      </c>
      <c r="BB41" s="1239" t="str">
        <f>Pole_Calculations!A178</f>
        <v>App.8-V08F-P10.3</v>
      </c>
      <c r="BC41" s="169"/>
      <c r="BD41" s="1371">
        <v>43753</v>
      </c>
      <c r="BE41" s="1371"/>
      <c r="BF41" s="1371"/>
      <c r="BG41" s="1371">
        <v>43898</v>
      </c>
    </row>
    <row r="42" spans="1:59" ht="15.75" customHeight="1">
      <c r="A42" s="1239"/>
      <c r="B42" s="173"/>
      <c r="C42" s="446"/>
      <c r="D42" s="447"/>
      <c r="E42" s="447"/>
      <c r="F42" s="1239"/>
      <c r="G42" s="484">
        <v>32</v>
      </c>
      <c r="H42" s="638"/>
      <c r="I42" s="172"/>
      <c r="J42" s="446">
        <f>C41+7.5</f>
        <v>92235.39999999998</v>
      </c>
      <c r="K42" s="638" t="s">
        <v>2788</v>
      </c>
      <c r="L42" s="638"/>
      <c r="M42" s="638"/>
      <c r="N42" s="1239"/>
      <c r="O42" s="1239"/>
      <c r="P42" s="638"/>
      <c r="Q42" s="638"/>
      <c r="R42" s="638"/>
      <c r="S42" s="500">
        <f>AG41-AG43</f>
        <v>-32.110000000000582</v>
      </c>
      <c r="T42" s="638"/>
      <c r="U42" s="638"/>
      <c r="V42" s="638"/>
      <c r="W42" s="638"/>
      <c r="X42" s="638"/>
      <c r="Y42" s="638"/>
      <c r="Z42" s="638"/>
      <c r="AA42" s="638"/>
      <c r="AB42" s="638"/>
      <c r="AC42" s="638"/>
      <c r="AD42" s="638"/>
      <c r="AE42" s="638"/>
      <c r="AF42" s="638"/>
      <c r="AG42" s="446"/>
      <c r="AH42" s="638"/>
      <c r="AI42" s="185"/>
      <c r="AJ42" s="638" t="s">
        <v>1665</v>
      </c>
      <c r="AK42" s="1239"/>
      <c r="AL42" s="638"/>
      <c r="AM42" s="638"/>
      <c r="AN42" s="455"/>
      <c r="AO42" s="1239"/>
      <c r="AP42" s="1239"/>
      <c r="AQ42" s="484"/>
      <c r="AR42" s="484"/>
      <c r="AS42" s="484"/>
      <c r="AT42" s="484"/>
      <c r="AU42" s="638"/>
      <c r="AV42" s="638"/>
      <c r="AW42" s="638" t="str">
        <f>VLOOKUP(J42,'Foundation Calculation'!$A$2:$C$33,3,1)</f>
        <v>Soil B</v>
      </c>
      <c r="AX42" s="572" t="str">
        <f>VLOOKUP(J42,'Foundation Calculation'!$E$2:$G$33,3,1)</f>
        <v>PT</v>
      </c>
      <c r="AY42" s="484"/>
      <c r="AZ42" s="484">
        <f>IF(AX42="PT",VLOOKUP(K42,'Foundation Calculation'!$K$2:$R$40,VLOOKUP(AW42,'Foundation Calculation'!$I$2:$J$8,2,FALSE),0),IF(AX42="K",VLOOKUP(K42,'Foundation Calculation'!$K$42:$R$80,VLOOKUP(AW42,'Foundation Calculation'!$I$2:$J$8,2,FALSE),0),""))</f>
        <v>2.8</v>
      </c>
      <c r="BA42" s="671" t="s">
        <v>2809</v>
      </c>
      <c r="BB42" s="1239"/>
      <c r="BC42" s="169"/>
      <c r="BD42" s="1329"/>
      <c r="BE42" s="1330"/>
      <c r="BF42" s="1330"/>
      <c r="BG42" s="1330"/>
    </row>
    <row r="43" spans="1:59" ht="15.75" customHeight="1">
      <c r="A43" s="501" t="str">
        <f>'HR Track 4 HER-TSA'!A320</f>
        <v>Overhead Cable</v>
      </c>
      <c r="B43" s="716" t="str">
        <f>'HR Track 4 HER-TSA'!B320</f>
        <v>92-4.08</v>
      </c>
      <c r="C43" s="451">
        <f>'HR Track 4 HER-TSA'!C320</f>
        <v>92259.899999999965</v>
      </c>
      <c r="D43" s="453">
        <f>'HR Track 4 HER-TSA'!D320</f>
        <v>0</v>
      </c>
      <c r="E43" s="452">
        <f>'HR Track 4 HER-TSA'!E320</f>
        <v>0</v>
      </c>
      <c r="F43" s="453">
        <f>'HR Track 4 HER-TSA'!F320</f>
        <v>0</v>
      </c>
      <c r="G43" s="500">
        <f>'HR Track 4 HER-TSA'!G320</f>
        <v>0</v>
      </c>
      <c r="H43" s="453" t="str">
        <f>'HR Track 4 HER-TSA'!H320</f>
        <v>S/A A/S S/A</v>
      </c>
      <c r="I43" s="501" t="str">
        <f>'HR Track 4 HER-TSA'!I320</f>
        <v>FP+AnMC</v>
      </c>
      <c r="J43" s="583">
        <f>'HR Track 4 HER-TSA'!J320</f>
        <v>0</v>
      </c>
      <c r="K43" s="452">
        <f>'HR Track 4 HER-TSA'!K320</f>
        <v>0</v>
      </c>
      <c r="L43" s="452" t="str">
        <f>'HR Track 4 HER-TSA'!L320</f>
        <v>HEB-320L</v>
      </c>
      <c r="M43" s="452" t="str">
        <f>'HR Track 4 HER-TSA'!M320</f>
        <v>C7R</v>
      </c>
      <c r="N43" s="501" t="str">
        <f>'HR Track 4 HER-TSA'!N320</f>
        <v>EMT-T</v>
      </c>
      <c r="O43" s="501" t="str">
        <f>'HR Track 4 HER-TSA'!O320</f>
        <v>EMT-1</v>
      </c>
      <c r="P43" s="501" t="str">
        <f>'HR Track 4 HER-TSA'!P320</f>
        <v>EMT-T</v>
      </c>
      <c r="Q43" s="452">
        <f>'HR Track 4 HER-TSA'!Q320</f>
        <v>10</v>
      </c>
      <c r="R43" s="452">
        <f>'HR Track 4 HER-TSA'!R320</f>
        <v>0</v>
      </c>
      <c r="S43" s="500">
        <f>'HR Track 4 HER-TSA'!S320</f>
        <v>0</v>
      </c>
      <c r="T43" s="452">
        <f>'HR Track 4 HER-TSA'!T320</f>
        <v>-45</v>
      </c>
      <c r="U43" s="452">
        <f>'HR Track 4 HER-TSA'!U320</f>
        <v>-30</v>
      </c>
      <c r="V43" s="452">
        <f>'HR Track 4 HER-TSA'!V320</f>
        <v>-15</v>
      </c>
      <c r="W43" s="452">
        <f>'HR Track 4 HER-TSA'!W320</f>
        <v>2.2999999999999998</v>
      </c>
      <c r="X43" s="452">
        <f>'HR Track 4 HER-TSA'!X320</f>
        <v>1.8</v>
      </c>
      <c r="Y43" s="452">
        <f>'HR Track 4 HER-TSA'!Y320</f>
        <v>1.4</v>
      </c>
      <c r="Z43" s="452">
        <f>'HR Track 4 HER-TSA'!Z320</f>
        <v>0.37</v>
      </c>
      <c r="AA43" s="452">
        <f>'HR Track 4 HER-TSA'!AA320</f>
        <v>0</v>
      </c>
      <c r="AB43" s="452">
        <f>'HR Track 4 HER-TSA'!AB320</f>
        <v>0.37</v>
      </c>
      <c r="AC43" s="452" t="str">
        <f>'HR Track 4 HER-TSA'!AC320</f>
        <v>PHQ-1150</v>
      </c>
      <c r="AD43" s="452">
        <f>'HR Track 4 HER-TSA'!AD320</f>
        <v>0</v>
      </c>
      <c r="AE43" s="452">
        <f>'HR Track 4 HER-TSA'!AE320</f>
        <v>0</v>
      </c>
      <c r="AF43" s="452">
        <f>'HR Track 4 HER-TSA'!AF320</f>
        <v>5600</v>
      </c>
      <c r="AG43" s="451">
        <f>'HR Track 4 HER-TSA'!AG320</f>
        <v>92259.97</v>
      </c>
      <c r="AH43" s="452">
        <f>'HR Track 4 HER-TSA'!AH320</f>
        <v>2413</v>
      </c>
      <c r="AI43" s="452">
        <f>'HR Track 4 HER-TSA'!AI320</f>
        <v>170</v>
      </c>
      <c r="AJ43" s="452">
        <f>'HR Track 4 HER-TSA'!AJ320</f>
        <v>0</v>
      </c>
      <c r="AK43" s="452">
        <f>'HR Track 4 HER-TSA'!AK320</f>
        <v>0</v>
      </c>
      <c r="AL43" s="452" t="str">
        <f>'HR Track 4 HER-TSA'!AL320</f>
        <v>PR1D</v>
      </c>
      <c r="AM43" s="452" t="str">
        <f>'HR Track 4 HER-TSA'!AM320</f>
        <v>RW1</v>
      </c>
      <c r="AN43" s="500">
        <f>'HR Track 4 HER-TSA'!AN320</f>
        <v>5.5</v>
      </c>
      <c r="AO43" s="452">
        <f>'HR Track 4 HER-TSA'!AO320</f>
        <v>0</v>
      </c>
      <c r="AP43" s="452">
        <f>'HR Track 4 HER-TSA'!AP320</f>
        <v>0</v>
      </c>
      <c r="AQ43" s="452">
        <f>'HR Track 4 HER-TSA'!AQ320</f>
        <v>0</v>
      </c>
      <c r="AR43" s="452">
        <f>'HR Track 4 HER-TSA'!AR320</f>
        <v>0</v>
      </c>
      <c r="AS43" s="452">
        <f>'HR Track 4 HER-TSA'!AS320</f>
        <v>0</v>
      </c>
      <c r="AT43" s="452">
        <f>'HR Track 4 HER-TSA'!AT320</f>
        <v>-4.3585068656503028</v>
      </c>
      <c r="AU43" s="452">
        <f>'HR Track 4 HER-TSA'!AU320</f>
        <v>0</v>
      </c>
      <c r="AV43" s="452">
        <f>'HR Track 4 HER-TSA'!AV320</f>
        <v>0</v>
      </c>
      <c r="AW43" s="452" t="str">
        <f>'HR Track 4 HER-TSA'!AW320</f>
        <v>Soil B</v>
      </c>
      <c r="AX43" s="452" t="str">
        <f>'HR Track 4 HER-TSA'!AX320</f>
        <v>PT</v>
      </c>
      <c r="AY43" s="500">
        <f>'HR Track 4 HER-TSA'!AY320</f>
        <v>3.5</v>
      </c>
      <c r="AZ43" s="500">
        <f>'HR Track 4 HER-TSA'!AZ320</f>
        <v>0</v>
      </c>
      <c r="BA43" s="1333" t="str">
        <f>'HR Track 4 HER-TSA'!BA320</f>
        <v>ü</v>
      </c>
      <c r="BB43" s="452" t="str">
        <f>'HR Track 4 HER-TSA'!BB320</f>
        <v>App.8-V08F-P10.3</v>
      </c>
      <c r="BC43" s="1334">
        <f>'HR Track 4 HER-TSA'!BC320</f>
        <v>0</v>
      </c>
      <c r="BD43" s="1335">
        <f>'HR Track 4 HER-TSA'!BD320</f>
        <v>43744</v>
      </c>
      <c r="BE43" s="1335" t="str">
        <f>'HR Track 4 HER-TSA'!BE320</f>
        <v>Ejecutado</v>
      </c>
      <c r="BF43" s="1335">
        <f>'HR Track 4 HER-TSA'!BF320</f>
        <v>0</v>
      </c>
      <c r="BG43" s="1335">
        <f>'HR Track 4 HER-TSA'!BG320</f>
        <v>43808</v>
      </c>
    </row>
    <row r="44" spans="1:59" ht="15.75" customHeight="1">
      <c r="A44" s="501">
        <f>'HR Track 4 HER-TSA'!A321</f>
        <v>0</v>
      </c>
      <c r="B44" s="716">
        <f>'HR Track 4 HER-TSA'!B321</f>
        <v>0</v>
      </c>
      <c r="C44" s="451">
        <f>'HR Track 4 HER-TSA'!C321</f>
        <v>0</v>
      </c>
      <c r="D44" s="453">
        <f>'HR Track 4 HER-TSA'!D321</f>
        <v>0</v>
      </c>
      <c r="E44" s="452">
        <f>'HR Track 4 HER-TSA'!E321</f>
        <v>0</v>
      </c>
      <c r="F44" s="453">
        <f>'HR Track 4 HER-TSA'!F321</f>
        <v>0</v>
      </c>
      <c r="G44" s="500">
        <f>'HR Track 4 HER-TSA'!G321</f>
        <v>31.7</v>
      </c>
      <c r="H44" s="453">
        <f>'HR Track 4 HER-TSA'!H321</f>
        <v>0</v>
      </c>
      <c r="I44" s="501">
        <f>'HR Track 4 HER-TSA'!I321</f>
        <v>0</v>
      </c>
      <c r="J44" s="583">
        <f>'HR Track 4 HER-TSA'!J321</f>
        <v>92267.399999999965</v>
      </c>
      <c r="K44" s="452" t="str">
        <f>'HR Track 4 HER-TSA'!K321</f>
        <v>AnMC-R</v>
      </c>
      <c r="L44" s="452">
        <f>'HR Track 4 HER-TSA'!L321</f>
        <v>0</v>
      </c>
      <c r="M44" s="452">
        <f>'HR Track 4 HER-TSA'!M321</f>
        <v>0</v>
      </c>
      <c r="N44" s="501">
        <f>'HR Track 4 HER-TSA'!N321</f>
        <v>0</v>
      </c>
      <c r="O44" s="501">
        <f>'HR Track 4 HER-TSA'!O321</f>
        <v>0</v>
      </c>
      <c r="P44" s="501">
        <f>'HR Track 4 HER-TSA'!P321</f>
        <v>0</v>
      </c>
      <c r="Q44" s="452">
        <f>'HR Track 4 HER-TSA'!Q321</f>
        <v>0</v>
      </c>
      <c r="R44" s="452">
        <f>'HR Track 4 HER-TSA'!R321</f>
        <v>0</v>
      </c>
      <c r="S44" s="500">
        <f>'HR Track 4 HER-TSA'!S321</f>
        <v>31.55000000000291</v>
      </c>
      <c r="T44" s="452">
        <f>'HR Track 4 HER-TSA'!T321</f>
        <v>0</v>
      </c>
      <c r="U44" s="452">
        <f>'HR Track 4 HER-TSA'!U321</f>
        <v>0</v>
      </c>
      <c r="V44" s="452">
        <f>'HR Track 4 HER-TSA'!V321</f>
        <v>0</v>
      </c>
      <c r="W44" s="452">
        <f>'HR Track 4 HER-TSA'!W321</f>
        <v>0</v>
      </c>
      <c r="X44" s="452">
        <f>'HR Track 4 HER-TSA'!X321</f>
        <v>0</v>
      </c>
      <c r="Y44" s="452">
        <f>'HR Track 4 HER-TSA'!Y321</f>
        <v>0</v>
      </c>
      <c r="Z44" s="452">
        <f>'HR Track 4 HER-TSA'!Z321</f>
        <v>0</v>
      </c>
      <c r="AA44" s="452">
        <f>'HR Track 4 HER-TSA'!AA321</f>
        <v>0</v>
      </c>
      <c r="AB44" s="452">
        <f>'HR Track 4 HER-TSA'!AB321</f>
        <v>0</v>
      </c>
      <c r="AC44" s="452">
        <f>'HR Track 4 HER-TSA'!AC321</f>
        <v>0</v>
      </c>
      <c r="AD44" s="452">
        <f>'HR Track 4 HER-TSA'!AD321</f>
        <v>0</v>
      </c>
      <c r="AE44" s="452">
        <f>'HR Track 4 HER-TSA'!AE321</f>
        <v>0</v>
      </c>
      <c r="AF44" s="452">
        <f>'HR Track 4 HER-TSA'!AF321</f>
        <v>0</v>
      </c>
      <c r="AG44" s="451">
        <f>'HR Track 4 HER-TSA'!AG321</f>
        <v>0</v>
      </c>
      <c r="AH44" s="452">
        <f>'HR Track 4 HER-TSA'!AH321</f>
        <v>0</v>
      </c>
      <c r="AI44" s="452">
        <f>'HR Track 4 HER-TSA'!AI321</f>
        <v>0</v>
      </c>
      <c r="AJ44" s="452">
        <f>'HR Track 4 HER-TSA'!AJ321</f>
        <v>0</v>
      </c>
      <c r="AK44" s="452">
        <f>'HR Track 4 HER-TSA'!AK321</f>
        <v>0</v>
      </c>
      <c r="AL44" s="452">
        <f>'HR Track 4 HER-TSA'!AL321</f>
        <v>0</v>
      </c>
      <c r="AM44" s="452">
        <f>'HR Track 4 HER-TSA'!AM321</f>
        <v>0</v>
      </c>
      <c r="AN44" s="500">
        <f>'HR Track 4 HER-TSA'!AN321</f>
        <v>0</v>
      </c>
      <c r="AO44" s="452">
        <f>'HR Track 4 HER-TSA'!AO321</f>
        <v>0</v>
      </c>
      <c r="AP44" s="452">
        <f>'HR Track 4 HER-TSA'!AP321</f>
        <v>0</v>
      </c>
      <c r="AQ44" s="452">
        <f>'HR Track 4 HER-TSA'!AQ321</f>
        <v>-0.30000000000001781</v>
      </c>
      <c r="AR44" s="452">
        <f>'HR Track 4 HER-TSA'!AR321</f>
        <v>0</v>
      </c>
      <c r="AS44" s="452">
        <f>'HR Track 4 HER-TSA'!AS321</f>
        <v>0</v>
      </c>
      <c r="AT44" s="452">
        <f>'HR Track 4 HER-TSA'!AT321</f>
        <v>0</v>
      </c>
      <c r="AU44" s="452">
        <f>'HR Track 4 HER-TSA'!AU321</f>
        <v>0</v>
      </c>
      <c r="AV44" s="452">
        <f>'HR Track 4 HER-TSA'!AV321</f>
        <v>0</v>
      </c>
      <c r="AW44" s="452" t="str">
        <f>'HR Track 4 HER-TSA'!AW321</f>
        <v>Soil B</v>
      </c>
      <c r="AX44" s="452" t="str">
        <f>'HR Track 4 HER-TSA'!AX321</f>
        <v>PT</v>
      </c>
      <c r="AY44" s="500">
        <f>'HR Track 4 HER-TSA'!AY321</f>
        <v>0</v>
      </c>
      <c r="AZ44" s="500">
        <f>'HR Track 4 HER-TSA'!AZ321</f>
        <v>3.9</v>
      </c>
      <c r="BA44" s="1333" t="str">
        <f>'HR Track 4 HER-TSA'!BA321</f>
        <v>ü</v>
      </c>
      <c r="BB44" s="452">
        <f>'HR Track 4 HER-TSA'!BB321</f>
        <v>0</v>
      </c>
      <c r="BC44" s="1334">
        <f>'HR Track 4 HER-TSA'!BC321</f>
        <v>0</v>
      </c>
      <c r="BD44" s="1335">
        <f>'HR Track 4 HER-TSA'!BD321</f>
        <v>43741</v>
      </c>
      <c r="BE44" s="1335">
        <f>'HR Track 4 HER-TSA'!BE321</f>
        <v>0</v>
      </c>
      <c r="BF44" s="1335">
        <f>'HR Track 4 HER-TSA'!BF321</f>
        <v>0</v>
      </c>
      <c r="BG44" s="1335">
        <f>'HR Track 4 HER-TSA'!BG321</f>
        <v>0</v>
      </c>
    </row>
    <row r="45" spans="1:59" ht="15.75" customHeight="1">
      <c r="B45" s="175"/>
      <c r="C45" s="617"/>
      <c r="D45" s="177"/>
      <c r="E45" s="177"/>
      <c r="G45" s="458"/>
      <c r="H45" s="169"/>
      <c r="I45" s="169"/>
      <c r="J45" s="617"/>
      <c r="K45" s="169"/>
      <c r="L45" s="169"/>
      <c r="M45" s="169"/>
      <c r="P45" s="169"/>
      <c r="Q45" s="169"/>
      <c r="R45" s="169"/>
      <c r="S45" s="458"/>
      <c r="T45" s="169"/>
      <c r="U45" s="169"/>
      <c r="V45" s="169"/>
      <c r="W45" s="169"/>
      <c r="X45" s="169"/>
      <c r="Y45" s="169"/>
      <c r="Z45" s="169"/>
      <c r="AA45" s="169"/>
      <c r="AB45" s="169"/>
      <c r="AC45" s="169"/>
      <c r="AD45" s="169"/>
      <c r="AE45" s="169"/>
      <c r="AF45" s="169"/>
      <c r="AG45" s="617"/>
      <c r="AH45" s="169"/>
      <c r="AI45" s="629"/>
      <c r="AJ45" s="169"/>
      <c r="AL45" s="169"/>
      <c r="AM45" s="169"/>
      <c r="AN45" s="454"/>
      <c r="AO45" s="178"/>
      <c r="AP45" s="178"/>
      <c r="BA45" s="1305"/>
      <c r="BC45" s="169"/>
    </row>
    <row r="46" spans="1:59" ht="15.75" customHeight="1">
      <c r="B46" s="175"/>
      <c r="C46" s="617"/>
      <c r="D46" s="177"/>
      <c r="E46" s="177"/>
      <c r="G46" s="458"/>
      <c r="H46" s="169"/>
      <c r="I46" s="169"/>
      <c r="J46" s="617"/>
      <c r="K46" s="169"/>
      <c r="L46" s="169"/>
      <c r="M46" s="169"/>
      <c r="P46" s="169"/>
      <c r="Q46" s="169"/>
      <c r="R46" s="169"/>
      <c r="S46" s="458"/>
      <c r="T46" s="169"/>
      <c r="U46" s="169"/>
      <c r="V46" s="169"/>
      <c r="W46" s="169"/>
      <c r="X46" s="169"/>
      <c r="Y46" s="169"/>
      <c r="Z46" s="169"/>
      <c r="AA46" s="169"/>
      <c r="AB46" s="169"/>
      <c r="AC46" s="169"/>
      <c r="AD46" s="169"/>
      <c r="AE46" s="169"/>
      <c r="AF46" s="169"/>
      <c r="AG46" s="617"/>
      <c r="AH46" s="169"/>
      <c r="AI46" s="629"/>
      <c r="AJ46" s="169"/>
      <c r="AL46" s="169"/>
      <c r="AM46" s="169"/>
      <c r="AN46" s="454"/>
      <c r="AO46" s="178"/>
      <c r="AP46" s="178"/>
      <c r="BA46" s="1305"/>
      <c r="BC46" s="169"/>
    </row>
    <row r="47" spans="1:59" ht="15.75" customHeight="1">
      <c r="B47" s="175"/>
      <c r="C47" s="617"/>
      <c r="D47" s="177"/>
      <c r="E47" s="177"/>
      <c r="G47" s="458"/>
      <c r="H47" s="682"/>
      <c r="I47" s="169"/>
      <c r="J47" s="617"/>
      <c r="K47" s="169"/>
      <c r="L47" s="169"/>
      <c r="M47" s="169"/>
      <c r="P47" s="169"/>
      <c r="Q47" s="169"/>
      <c r="R47" s="169"/>
      <c r="S47" s="458"/>
      <c r="T47" s="169"/>
      <c r="U47" s="169"/>
      <c r="V47" s="169"/>
      <c r="W47" s="169"/>
      <c r="X47" s="169"/>
      <c r="Y47" s="169"/>
      <c r="Z47" s="169"/>
      <c r="AA47" s="169"/>
      <c r="AB47" s="169"/>
      <c r="AC47" s="169"/>
      <c r="AD47" s="169"/>
      <c r="AE47" s="169"/>
      <c r="AF47" s="169"/>
      <c r="AG47" s="617"/>
      <c r="AH47" s="169"/>
      <c r="AI47" s="629"/>
      <c r="AJ47" s="169"/>
      <c r="AL47" s="169"/>
      <c r="AM47" s="169"/>
      <c r="AN47" s="454"/>
      <c r="AO47" s="178"/>
      <c r="AP47" s="178"/>
      <c r="BA47" s="1305"/>
      <c r="BC47" s="169"/>
    </row>
    <row r="48" spans="1:59" ht="15.75" customHeight="1">
      <c r="B48" s="175"/>
      <c r="C48" s="617"/>
      <c r="D48" s="177"/>
      <c r="E48" s="177"/>
      <c r="G48" s="458"/>
      <c r="J48" s="617"/>
      <c r="K48" s="169"/>
      <c r="L48" s="169"/>
      <c r="M48" s="169"/>
      <c r="N48" s="169"/>
      <c r="P48" s="169"/>
      <c r="Q48" s="169"/>
      <c r="R48" s="169"/>
      <c r="S48" s="458"/>
      <c r="T48" s="169"/>
      <c r="U48" s="169"/>
      <c r="V48" s="169"/>
      <c r="W48" s="169"/>
      <c r="X48" s="169"/>
      <c r="Y48" s="169"/>
      <c r="Z48" s="169"/>
      <c r="AA48" s="169"/>
      <c r="AB48" s="169"/>
      <c r="AC48" s="169"/>
      <c r="AD48" s="169"/>
      <c r="AE48" s="169"/>
      <c r="AF48" s="169"/>
      <c r="AG48" s="617"/>
      <c r="AH48" s="169"/>
      <c r="AI48" s="629"/>
      <c r="AJ48" s="169"/>
      <c r="AL48" s="169"/>
      <c r="AM48" s="169"/>
      <c r="AN48" s="454"/>
      <c r="AO48" s="178"/>
      <c r="AP48" s="178"/>
      <c r="BA48" s="1305"/>
      <c r="BC48" s="169"/>
    </row>
    <row r="49" spans="2:55" ht="15.75" customHeight="1">
      <c r="B49" s="175"/>
      <c r="C49" s="617"/>
      <c r="D49" s="177"/>
      <c r="E49" s="177"/>
      <c r="G49" s="458"/>
      <c r="J49" s="617"/>
      <c r="K49" s="169"/>
      <c r="L49" s="169"/>
      <c r="M49" s="169"/>
      <c r="P49" s="169"/>
      <c r="Q49" s="169"/>
      <c r="R49" s="169"/>
      <c r="S49" s="458"/>
      <c r="T49" s="169"/>
      <c r="U49" s="169"/>
      <c r="V49" s="169"/>
      <c r="W49" s="169"/>
      <c r="X49" s="169"/>
      <c r="Y49" s="169"/>
      <c r="Z49" s="169"/>
      <c r="AA49" s="169"/>
      <c r="AB49" s="169"/>
      <c r="AC49" s="169"/>
      <c r="AD49" s="169"/>
      <c r="AE49" s="169"/>
      <c r="AF49" s="169"/>
      <c r="AG49" s="617"/>
      <c r="AH49" s="169"/>
      <c r="AI49" s="629"/>
      <c r="AJ49" s="169"/>
      <c r="AL49" s="169"/>
      <c r="AM49" s="169"/>
      <c r="AN49" s="454"/>
      <c r="AO49" s="178"/>
      <c r="AP49" s="178"/>
      <c r="BA49" s="1305"/>
      <c r="BC49" s="169"/>
    </row>
    <row r="50" spans="2:55" ht="15.75" customHeight="1">
      <c r="B50" s="175"/>
      <c r="C50" s="617"/>
      <c r="D50" s="177"/>
      <c r="E50" s="177"/>
      <c r="G50" s="458"/>
      <c r="J50" s="617"/>
      <c r="K50" s="169"/>
      <c r="L50" s="169"/>
      <c r="M50" s="169"/>
      <c r="P50" s="169"/>
      <c r="Q50" s="169"/>
      <c r="R50" s="169"/>
      <c r="S50" s="458"/>
      <c r="T50" s="169"/>
      <c r="U50" s="169"/>
      <c r="V50" s="169"/>
      <c r="W50" s="169"/>
      <c r="X50" s="169"/>
      <c r="Y50" s="169"/>
      <c r="Z50" s="169"/>
      <c r="AA50" s="169"/>
      <c r="AB50" s="169"/>
      <c r="AC50" s="169"/>
      <c r="AD50" s="169"/>
      <c r="AE50" s="169"/>
      <c r="AF50" s="169"/>
      <c r="AG50" s="617"/>
      <c r="AH50" s="169"/>
      <c r="AI50" s="629"/>
      <c r="AJ50" s="169"/>
      <c r="AL50" s="169"/>
      <c r="AM50" s="169"/>
      <c r="AN50" s="454"/>
      <c r="AO50" s="178"/>
      <c r="AP50" s="178"/>
      <c r="BA50" s="1305"/>
      <c r="BC50" s="169"/>
    </row>
    <row r="51" spans="2:55" ht="15.75" customHeight="1">
      <c r="B51" s="175"/>
      <c r="C51" s="617"/>
      <c r="D51" s="177"/>
      <c r="E51" s="177"/>
      <c r="G51" s="458"/>
      <c r="J51" s="617"/>
      <c r="K51" s="169"/>
      <c r="L51" s="169"/>
      <c r="M51" s="169"/>
      <c r="P51" s="169"/>
      <c r="Q51" s="169"/>
      <c r="R51" s="169"/>
      <c r="S51" s="458"/>
      <c r="T51" s="169"/>
      <c r="U51" s="169"/>
      <c r="V51" s="169"/>
      <c r="W51" s="169"/>
      <c r="X51" s="169"/>
      <c r="Y51" s="169"/>
      <c r="Z51" s="169"/>
      <c r="AA51" s="169"/>
      <c r="AB51" s="169"/>
      <c r="AC51" s="169"/>
      <c r="AD51" s="169"/>
      <c r="AE51" s="169"/>
      <c r="AF51" s="169"/>
      <c r="AG51" s="617"/>
      <c r="AH51" s="169"/>
      <c r="AI51" s="629"/>
      <c r="AJ51" s="169"/>
      <c r="AL51" s="169"/>
      <c r="AM51" s="169"/>
      <c r="AN51" s="454"/>
      <c r="AO51" s="178"/>
      <c r="AP51" s="178"/>
      <c r="BA51" s="1305"/>
      <c r="BC51" s="169"/>
    </row>
    <row r="52" spans="2:55" ht="15.75" customHeight="1">
      <c r="B52" s="175"/>
      <c r="C52" s="617"/>
      <c r="D52" s="177"/>
      <c r="E52" s="177"/>
      <c r="G52" s="458"/>
      <c r="J52" s="617"/>
      <c r="K52" s="169"/>
      <c r="L52" s="169"/>
      <c r="M52" s="169"/>
      <c r="N52" s="169"/>
      <c r="P52" s="169"/>
      <c r="Q52" s="169"/>
      <c r="R52" s="169"/>
      <c r="S52" s="458"/>
      <c r="T52" s="169"/>
      <c r="U52" s="169"/>
      <c r="V52" s="169"/>
      <c r="W52" s="169"/>
      <c r="X52" s="169"/>
      <c r="Y52" s="169"/>
      <c r="Z52" s="169"/>
      <c r="AA52" s="169"/>
      <c r="AB52" s="169"/>
      <c r="AC52" s="169"/>
      <c r="AD52" s="169"/>
      <c r="AE52" s="169"/>
      <c r="AF52" s="169"/>
      <c r="AG52" s="617"/>
      <c r="AH52" s="169"/>
      <c r="AI52" s="629"/>
      <c r="AJ52" s="169"/>
      <c r="AL52" s="169"/>
      <c r="AM52" s="169"/>
      <c r="AN52" s="454"/>
      <c r="AO52" s="178"/>
      <c r="AP52" s="178"/>
      <c r="BA52" s="1305"/>
      <c r="BC52" s="169"/>
    </row>
    <row r="53" spans="2:55" ht="15.75" customHeight="1">
      <c r="B53" s="175"/>
      <c r="C53" s="617"/>
      <c r="D53" s="177"/>
      <c r="E53" s="177"/>
      <c r="G53" s="458"/>
      <c r="H53" s="169"/>
      <c r="I53" s="177"/>
      <c r="J53" s="617"/>
      <c r="K53" s="169"/>
      <c r="L53" s="169"/>
      <c r="M53" s="169"/>
      <c r="P53" s="169"/>
      <c r="Q53" s="169"/>
      <c r="R53" s="169"/>
      <c r="S53" s="458"/>
      <c r="T53" s="169"/>
      <c r="U53" s="169"/>
      <c r="V53" s="169"/>
      <c r="W53" s="169"/>
      <c r="X53" s="169"/>
      <c r="Y53" s="169"/>
      <c r="Z53" s="169"/>
      <c r="AA53" s="169"/>
      <c r="AB53" s="169"/>
      <c r="AC53" s="169"/>
      <c r="AD53" s="169"/>
      <c r="AE53" s="169"/>
      <c r="AF53" s="169"/>
      <c r="AG53" s="617"/>
      <c r="AH53" s="169"/>
      <c r="AI53" s="629"/>
      <c r="AJ53" s="169"/>
      <c r="AL53" s="169"/>
      <c r="AM53" s="169"/>
      <c r="AN53" s="454"/>
      <c r="AO53" s="178"/>
      <c r="AP53" s="178"/>
      <c r="BA53" s="1305"/>
      <c r="BC53" s="169"/>
    </row>
    <row r="54" spans="2:55" ht="15.75" customHeight="1">
      <c r="B54" s="175"/>
      <c r="C54" s="617"/>
      <c r="D54" s="175"/>
      <c r="E54" s="177"/>
      <c r="F54" s="177"/>
      <c r="G54" s="458"/>
      <c r="L54" s="169"/>
      <c r="M54" s="169"/>
      <c r="N54" s="169"/>
      <c r="Q54" s="169"/>
      <c r="R54" s="169"/>
      <c r="S54" s="458"/>
      <c r="T54" s="169"/>
      <c r="U54" s="169"/>
      <c r="V54" s="169"/>
      <c r="W54" s="169"/>
      <c r="X54" s="169"/>
      <c r="Y54" s="169"/>
      <c r="Z54" s="169"/>
      <c r="AA54" s="169"/>
      <c r="AB54" s="169"/>
      <c r="AC54" s="169"/>
      <c r="AD54" s="169"/>
      <c r="AE54" s="169"/>
      <c r="AF54" s="169"/>
      <c r="AG54" s="617"/>
      <c r="AH54" s="169"/>
      <c r="AI54" s="169"/>
      <c r="AJ54" s="629"/>
      <c r="AK54" s="169"/>
      <c r="AL54" s="169"/>
      <c r="AM54" s="169"/>
      <c r="AN54" s="454"/>
      <c r="AO54" s="178"/>
      <c r="AP54" s="178"/>
      <c r="BA54" s="1305"/>
      <c r="BC54" s="169"/>
    </row>
    <row r="55" spans="2:55" ht="15.75" customHeight="1">
      <c r="B55" s="175"/>
      <c r="C55" s="617"/>
      <c r="D55" s="175"/>
      <c r="E55" s="177"/>
      <c r="F55" s="177"/>
      <c r="G55" s="458"/>
      <c r="H55" s="169"/>
      <c r="I55" s="177"/>
      <c r="K55" s="169"/>
      <c r="L55" s="169"/>
      <c r="M55" s="169"/>
      <c r="Q55" s="169"/>
      <c r="R55" s="169"/>
      <c r="S55" s="458"/>
      <c r="T55" s="169"/>
      <c r="U55" s="169"/>
      <c r="V55" s="169"/>
      <c r="W55" s="169"/>
      <c r="X55" s="169"/>
      <c r="Y55" s="169"/>
      <c r="Z55" s="169"/>
      <c r="AA55" s="169"/>
      <c r="AB55" s="169"/>
      <c r="AC55" s="169"/>
      <c r="AD55" s="169"/>
      <c r="AE55" s="169"/>
      <c r="AF55" s="169"/>
      <c r="AG55" s="617"/>
      <c r="AH55" s="169"/>
      <c r="AI55" s="169"/>
      <c r="AJ55" s="629"/>
      <c r="AK55" s="169"/>
      <c r="AL55" s="169"/>
      <c r="AM55" s="169"/>
      <c r="AN55" s="454"/>
      <c r="AO55" s="178"/>
      <c r="AP55" s="178"/>
      <c r="BA55" s="1305"/>
      <c r="BC55" s="169"/>
    </row>
    <row r="56" spans="2:55" ht="15.75" customHeight="1">
      <c r="B56" s="175"/>
      <c r="C56" s="617"/>
      <c r="D56" s="175"/>
      <c r="E56" s="177"/>
      <c r="F56" s="177"/>
      <c r="G56" s="458"/>
      <c r="K56" s="169"/>
      <c r="L56" s="169"/>
      <c r="M56" s="169"/>
      <c r="N56" s="169"/>
      <c r="Q56" s="169"/>
      <c r="R56" s="169"/>
      <c r="S56" s="458"/>
      <c r="T56" s="169"/>
      <c r="U56" s="169"/>
      <c r="V56" s="169"/>
      <c r="W56" s="169"/>
      <c r="X56" s="169"/>
      <c r="Y56" s="169"/>
      <c r="Z56" s="169"/>
      <c r="AA56" s="169"/>
      <c r="AB56" s="169"/>
      <c r="AC56" s="169"/>
      <c r="AD56" s="169"/>
      <c r="AE56" s="169"/>
      <c r="AF56" s="169"/>
      <c r="AG56" s="617"/>
      <c r="AH56" s="169"/>
      <c r="AI56" s="169"/>
      <c r="AJ56" s="629"/>
      <c r="AK56" s="169"/>
      <c r="AL56" s="169"/>
      <c r="AM56" s="169"/>
      <c r="AN56" s="454"/>
      <c r="AO56" s="178"/>
      <c r="AP56" s="178"/>
      <c r="BA56" s="1305"/>
      <c r="BC56" s="169"/>
    </row>
    <row r="57" spans="2:55" ht="15.75" customHeight="1">
      <c r="B57" s="175"/>
      <c r="C57" s="617"/>
      <c r="D57" s="175"/>
      <c r="E57" s="177"/>
      <c r="F57" s="177"/>
      <c r="G57" s="458"/>
      <c r="H57" s="169"/>
      <c r="I57" s="169"/>
      <c r="J57" s="617"/>
      <c r="K57" s="169"/>
      <c r="L57" s="169"/>
      <c r="M57" s="169"/>
      <c r="Q57" s="169"/>
      <c r="R57" s="169"/>
      <c r="S57" s="458"/>
      <c r="T57" s="169"/>
      <c r="U57" s="169"/>
      <c r="V57" s="169"/>
      <c r="W57" s="169"/>
      <c r="X57" s="169"/>
      <c r="Y57" s="169"/>
      <c r="Z57" s="169"/>
      <c r="AA57" s="169"/>
      <c r="AB57" s="169"/>
      <c r="AC57" s="169"/>
      <c r="AD57" s="169"/>
      <c r="AE57" s="169"/>
      <c r="AF57" s="169"/>
      <c r="AG57" s="617"/>
      <c r="AH57" s="169"/>
      <c r="AI57" s="169"/>
      <c r="AJ57" s="629"/>
      <c r="AK57" s="169"/>
      <c r="AL57" s="169"/>
      <c r="AM57" s="169"/>
      <c r="AN57" s="454"/>
      <c r="AO57" s="178"/>
      <c r="AP57" s="178"/>
      <c r="BA57" s="1305"/>
      <c r="BC57" s="169"/>
    </row>
    <row r="58" spans="2:55" ht="15.75" customHeight="1">
      <c r="B58" s="175"/>
      <c r="C58" s="617"/>
      <c r="D58" s="175"/>
      <c r="E58" s="177"/>
      <c r="F58" s="177"/>
      <c r="G58" s="458"/>
      <c r="H58" s="169"/>
      <c r="I58" s="169"/>
      <c r="J58" s="617"/>
      <c r="K58" s="169"/>
      <c r="L58" s="169"/>
      <c r="M58" s="169"/>
      <c r="Q58" s="169"/>
      <c r="R58" s="169"/>
      <c r="S58" s="458"/>
      <c r="T58" s="169"/>
      <c r="U58" s="169"/>
      <c r="V58" s="169"/>
      <c r="W58" s="169"/>
      <c r="X58" s="169"/>
      <c r="Y58" s="169"/>
      <c r="Z58" s="169"/>
      <c r="AA58" s="169"/>
      <c r="AB58" s="169"/>
      <c r="AC58" s="169"/>
      <c r="AD58" s="169"/>
      <c r="AE58" s="169"/>
      <c r="AF58" s="169"/>
      <c r="AG58" s="617"/>
      <c r="AH58" s="169"/>
      <c r="AI58" s="169"/>
      <c r="AJ58" s="629"/>
      <c r="AK58" s="169"/>
      <c r="AL58" s="169"/>
      <c r="AM58" s="169"/>
      <c r="AN58" s="454"/>
      <c r="AO58" s="178"/>
      <c r="AP58" s="178"/>
      <c r="BA58" s="1305"/>
      <c r="BC58" s="169"/>
    </row>
    <row r="59" spans="2:55" ht="15.75" customHeight="1">
      <c r="B59" s="175"/>
      <c r="C59" s="617"/>
      <c r="D59" s="175"/>
      <c r="E59" s="177"/>
      <c r="F59" s="177"/>
      <c r="G59" s="458"/>
      <c r="H59" s="169"/>
      <c r="I59" s="169"/>
      <c r="J59" s="617"/>
      <c r="K59" s="169"/>
      <c r="L59" s="169"/>
      <c r="M59" s="169"/>
      <c r="Q59" s="169"/>
      <c r="R59" s="169"/>
      <c r="S59" s="458"/>
      <c r="T59" s="169"/>
      <c r="U59" s="169"/>
      <c r="V59" s="169"/>
      <c r="W59" s="169"/>
      <c r="X59" s="169"/>
      <c r="Y59" s="169"/>
      <c r="Z59" s="169"/>
      <c r="AA59" s="169"/>
      <c r="AB59" s="169"/>
      <c r="AC59" s="169"/>
      <c r="AD59" s="169"/>
      <c r="AE59" s="169"/>
      <c r="AF59" s="169"/>
      <c r="AG59" s="617"/>
      <c r="AH59" s="169"/>
      <c r="AI59" s="169"/>
      <c r="AJ59" s="629"/>
      <c r="AK59" s="169"/>
      <c r="AL59" s="169"/>
      <c r="AM59" s="169"/>
      <c r="AN59" s="454"/>
      <c r="AO59" s="178"/>
      <c r="AP59" s="178"/>
      <c r="BA59" s="1305"/>
      <c r="BC59" s="169"/>
    </row>
    <row r="60" spans="2:55" ht="15.75" customHeight="1">
      <c r="B60" s="175"/>
      <c r="C60" s="617"/>
      <c r="D60" s="175"/>
      <c r="E60" s="177"/>
      <c r="F60" s="177"/>
      <c r="G60" s="458"/>
      <c r="H60" s="169"/>
      <c r="I60" s="169"/>
      <c r="J60" s="617"/>
      <c r="K60" s="169"/>
      <c r="L60" s="169"/>
      <c r="M60" s="169"/>
      <c r="Q60" s="169"/>
      <c r="R60" s="169"/>
      <c r="S60" s="458"/>
      <c r="T60" s="169"/>
      <c r="U60" s="169"/>
      <c r="V60" s="169"/>
      <c r="W60" s="169"/>
      <c r="X60" s="169"/>
      <c r="Y60" s="169"/>
      <c r="Z60" s="169"/>
      <c r="AA60" s="169"/>
      <c r="AB60" s="169"/>
      <c r="AC60" s="169"/>
      <c r="AD60" s="169"/>
      <c r="AE60" s="169"/>
      <c r="AF60" s="169"/>
      <c r="AG60" s="617"/>
      <c r="AH60" s="169"/>
      <c r="AI60" s="169"/>
      <c r="AJ60" s="629"/>
      <c r="AK60" s="169"/>
      <c r="AL60" s="169"/>
      <c r="AM60" s="169"/>
      <c r="AN60" s="454"/>
      <c r="AO60" s="178"/>
      <c r="AP60" s="178"/>
      <c r="BA60" s="1305"/>
      <c r="BC60" s="169"/>
    </row>
    <row r="61" spans="2:55" ht="15.75" customHeight="1">
      <c r="B61" s="175"/>
      <c r="C61" s="617"/>
      <c r="D61" s="175"/>
      <c r="E61" s="177"/>
      <c r="F61" s="177"/>
      <c r="G61" s="458"/>
      <c r="H61" s="169"/>
      <c r="I61" s="169"/>
      <c r="J61" s="617"/>
      <c r="K61" s="169"/>
      <c r="L61" s="169"/>
      <c r="M61" s="169"/>
      <c r="Q61" s="169"/>
      <c r="R61" s="169"/>
      <c r="S61" s="458"/>
      <c r="T61" s="169"/>
      <c r="U61" s="169"/>
      <c r="V61" s="169"/>
      <c r="W61" s="169"/>
      <c r="X61" s="169"/>
      <c r="Y61" s="169"/>
      <c r="Z61" s="169"/>
      <c r="AA61" s="169"/>
      <c r="AB61" s="169"/>
      <c r="AC61" s="169"/>
      <c r="AD61" s="169"/>
      <c r="AE61" s="169"/>
      <c r="AF61" s="169"/>
      <c r="AG61" s="617"/>
      <c r="AH61" s="169"/>
      <c r="AI61" s="169"/>
      <c r="AJ61" s="629"/>
      <c r="AK61" s="169"/>
      <c r="AL61" s="169"/>
      <c r="AM61" s="169"/>
      <c r="AN61" s="454"/>
      <c r="AO61" s="178"/>
      <c r="AP61" s="178"/>
      <c r="BA61" s="1305"/>
      <c r="BC61" s="169"/>
    </row>
    <row r="62" spans="2:55" ht="15.75" customHeight="1">
      <c r="B62" s="175"/>
      <c r="C62" s="617"/>
      <c r="D62" s="175"/>
      <c r="E62" s="177"/>
      <c r="F62" s="177"/>
      <c r="G62" s="458"/>
      <c r="H62" s="169"/>
      <c r="I62" s="169"/>
      <c r="J62" s="617"/>
      <c r="K62" s="169"/>
      <c r="L62" s="169"/>
      <c r="M62" s="169"/>
      <c r="N62" s="169"/>
      <c r="Q62" s="169"/>
      <c r="R62" s="169"/>
      <c r="S62" s="458"/>
      <c r="T62" s="169"/>
      <c r="U62" s="169"/>
      <c r="V62" s="169"/>
      <c r="W62" s="169"/>
      <c r="X62" s="169"/>
      <c r="Y62" s="169"/>
      <c r="Z62" s="169"/>
      <c r="AA62" s="169"/>
      <c r="AB62" s="169"/>
      <c r="AC62" s="169"/>
      <c r="AD62" s="169"/>
      <c r="AE62" s="169"/>
      <c r="AF62" s="169"/>
      <c r="AG62" s="617"/>
      <c r="AH62" s="169"/>
      <c r="AI62" s="169"/>
      <c r="AJ62" s="629"/>
      <c r="AK62" s="169"/>
      <c r="AL62" s="169"/>
      <c r="AM62" s="169"/>
      <c r="AN62" s="454"/>
      <c r="AO62" s="178"/>
      <c r="AP62" s="178"/>
      <c r="BA62" s="1305"/>
      <c r="BC62" s="169"/>
    </row>
    <row r="63" spans="2:55" ht="15.75" customHeight="1">
      <c r="B63" s="175"/>
      <c r="C63" s="617"/>
      <c r="D63" s="175"/>
      <c r="E63" s="177"/>
      <c r="F63" s="177"/>
      <c r="G63" s="458"/>
      <c r="H63" s="169"/>
      <c r="I63" s="169"/>
      <c r="J63" s="617"/>
      <c r="K63" s="169"/>
      <c r="L63" s="169"/>
      <c r="M63" s="169"/>
      <c r="Q63" s="169"/>
      <c r="R63" s="169"/>
      <c r="S63" s="458"/>
      <c r="T63" s="169"/>
      <c r="U63" s="169"/>
      <c r="V63" s="169"/>
      <c r="W63" s="169"/>
      <c r="X63" s="169"/>
      <c r="Y63" s="169"/>
      <c r="Z63" s="169"/>
      <c r="AA63" s="169"/>
      <c r="AB63" s="169"/>
      <c r="AC63" s="169"/>
      <c r="AD63" s="169"/>
      <c r="AE63" s="169"/>
      <c r="AF63" s="169"/>
      <c r="AG63" s="617"/>
      <c r="AH63" s="169"/>
      <c r="AI63" s="169"/>
      <c r="AJ63" s="629"/>
      <c r="AK63" s="169"/>
      <c r="AL63" s="169"/>
      <c r="AM63" s="169"/>
      <c r="AN63" s="454"/>
      <c r="AO63" s="178"/>
      <c r="AP63" s="178"/>
      <c r="BA63" s="1305"/>
      <c r="BC63" s="169"/>
    </row>
    <row r="64" spans="2:55" ht="15.75" customHeight="1">
      <c r="B64" s="175"/>
      <c r="C64" s="617"/>
      <c r="D64" s="175"/>
      <c r="E64" s="177"/>
      <c r="F64" s="177"/>
      <c r="G64" s="458"/>
      <c r="H64" s="169"/>
      <c r="I64" s="169"/>
      <c r="J64" s="617"/>
      <c r="K64" s="169"/>
      <c r="L64" s="169"/>
      <c r="M64" s="169"/>
      <c r="N64" s="169"/>
      <c r="Q64" s="169"/>
      <c r="R64" s="169"/>
      <c r="S64" s="458"/>
      <c r="T64" s="169"/>
      <c r="U64" s="169"/>
      <c r="V64" s="169"/>
      <c r="W64" s="169"/>
      <c r="X64" s="169"/>
      <c r="Y64" s="169"/>
      <c r="Z64" s="169"/>
      <c r="AA64" s="169"/>
      <c r="AB64" s="169"/>
      <c r="AC64" s="169"/>
      <c r="AD64" s="169"/>
      <c r="AE64" s="169"/>
      <c r="AF64" s="169"/>
      <c r="AG64" s="617"/>
      <c r="AH64" s="169"/>
      <c r="AI64" s="169"/>
      <c r="AJ64" s="629"/>
      <c r="AK64" s="169"/>
      <c r="AL64" s="169"/>
      <c r="AM64" s="169"/>
      <c r="AN64" s="454"/>
      <c r="AO64" s="178"/>
      <c r="AP64" s="178"/>
      <c r="BA64" s="1305"/>
      <c r="BC64" s="169"/>
    </row>
    <row r="65" spans="2:55" ht="15.75" customHeight="1">
      <c r="B65" s="175"/>
      <c r="C65" s="617"/>
      <c r="D65" s="175"/>
      <c r="E65" s="177"/>
      <c r="F65" s="177"/>
      <c r="G65" s="458"/>
      <c r="K65" s="169"/>
      <c r="L65" s="169"/>
      <c r="M65" s="169"/>
      <c r="Q65" s="169"/>
      <c r="R65" s="169"/>
      <c r="S65" s="458"/>
      <c r="T65" s="169"/>
      <c r="U65" s="169"/>
      <c r="V65" s="169"/>
      <c r="W65" s="169"/>
      <c r="X65" s="169"/>
      <c r="Y65" s="169"/>
      <c r="Z65" s="169"/>
      <c r="AA65" s="169"/>
      <c r="AB65" s="169"/>
      <c r="AC65" s="169"/>
      <c r="AD65" s="169"/>
      <c r="AE65" s="169"/>
      <c r="AF65" s="169"/>
      <c r="AG65" s="617"/>
      <c r="AH65" s="169"/>
      <c r="AI65" s="169"/>
      <c r="AJ65" s="629"/>
      <c r="AK65" s="169"/>
      <c r="AL65" s="169"/>
      <c r="AM65" s="169"/>
      <c r="AN65" s="454"/>
      <c r="AO65" s="178"/>
      <c r="AP65" s="178"/>
      <c r="BA65" s="1305"/>
      <c r="BC65" s="169"/>
    </row>
    <row r="66" spans="2:55" ht="15.75" customHeight="1">
      <c r="B66" s="175"/>
      <c r="C66" s="617"/>
      <c r="D66" s="175"/>
      <c r="E66" s="177"/>
      <c r="F66" s="177"/>
      <c r="G66" s="458"/>
      <c r="K66" s="169"/>
      <c r="L66" s="169"/>
      <c r="M66" s="169"/>
      <c r="Q66" s="169"/>
      <c r="R66" s="169"/>
      <c r="S66" s="458"/>
      <c r="T66" s="169"/>
      <c r="U66" s="169"/>
      <c r="V66" s="169"/>
      <c r="W66" s="169"/>
      <c r="X66" s="169"/>
      <c r="Y66" s="169"/>
      <c r="Z66" s="169"/>
      <c r="AA66" s="169"/>
      <c r="AB66" s="169"/>
      <c r="AC66" s="169"/>
      <c r="AD66" s="169"/>
      <c r="AE66" s="169"/>
      <c r="AF66" s="169"/>
      <c r="AG66" s="617"/>
      <c r="AH66" s="169"/>
      <c r="AI66" s="169"/>
      <c r="AJ66" s="629"/>
      <c r="AK66" s="169"/>
      <c r="AL66" s="169"/>
      <c r="AM66" s="169"/>
      <c r="AN66" s="454"/>
      <c r="AO66" s="178"/>
      <c r="AP66" s="178"/>
      <c r="BA66" s="1305"/>
      <c r="BC66" s="169"/>
    </row>
    <row r="67" spans="2:55" ht="15.75" customHeight="1">
      <c r="B67" s="175"/>
      <c r="C67" s="617"/>
      <c r="D67" s="175"/>
      <c r="E67" s="177"/>
      <c r="F67" s="177"/>
      <c r="G67" s="458"/>
      <c r="K67" s="169"/>
      <c r="L67" s="169"/>
      <c r="M67" s="169"/>
      <c r="Q67" s="169"/>
      <c r="R67" s="169"/>
      <c r="S67" s="458"/>
      <c r="T67" s="169"/>
      <c r="U67" s="169"/>
      <c r="V67" s="169"/>
      <c r="W67" s="169"/>
      <c r="X67" s="169"/>
      <c r="Y67" s="169"/>
      <c r="Z67" s="169"/>
      <c r="AA67" s="169"/>
      <c r="AB67" s="169"/>
      <c r="AC67" s="169"/>
      <c r="AD67" s="169"/>
      <c r="AE67" s="169"/>
      <c r="AF67" s="169"/>
      <c r="AG67" s="617"/>
      <c r="AH67" s="169"/>
      <c r="AI67" s="169"/>
      <c r="AJ67" s="629"/>
      <c r="AK67" s="169"/>
      <c r="AL67" s="169"/>
      <c r="AM67" s="169"/>
      <c r="AN67" s="454"/>
      <c r="AO67" s="178"/>
      <c r="AP67" s="178"/>
      <c r="BA67" s="1305"/>
      <c r="BC67" s="169"/>
    </row>
    <row r="68" spans="2:55" ht="15.75" customHeight="1">
      <c r="B68" s="175"/>
      <c r="C68" s="617"/>
      <c r="D68" s="175"/>
      <c r="E68" s="177"/>
      <c r="F68" s="177"/>
      <c r="G68" s="458"/>
      <c r="K68" s="169"/>
      <c r="L68" s="169"/>
      <c r="M68" s="169"/>
      <c r="Q68" s="169"/>
      <c r="R68" s="169"/>
      <c r="S68" s="458"/>
      <c r="T68" s="169"/>
      <c r="U68" s="169"/>
      <c r="V68" s="169"/>
      <c r="W68" s="169"/>
      <c r="X68" s="169"/>
      <c r="Y68" s="169"/>
      <c r="Z68" s="169"/>
      <c r="AA68" s="169"/>
      <c r="AB68" s="169"/>
      <c r="AC68" s="169"/>
      <c r="AD68" s="169"/>
      <c r="AE68" s="169"/>
      <c r="AF68" s="169"/>
      <c r="AG68" s="617"/>
      <c r="AH68" s="169"/>
      <c r="AI68" s="169"/>
      <c r="AJ68" s="169"/>
      <c r="AK68" s="169"/>
      <c r="AL68" s="169"/>
      <c r="AM68" s="169"/>
      <c r="AN68" s="454"/>
      <c r="AO68" s="178"/>
      <c r="AP68" s="178"/>
      <c r="BA68" s="1305"/>
      <c r="BC68" s="169"/>
    </row>
    <row r="69" spans="2:55" ht="15.75" customHeight="1">
      <c r="B69" s="175"/>
      <c r="C69" s="617"/>
      <c r="D69" s="175"/>
      <c r="E69" s="177"/>
      <c r="F69" s="177"/>
      <c r="G69" s="458"/>
      <c r="K69" s="169"/>
      <c r="L69" s="169"/>
      <c r="M69" s="169"/>
      <c r="Q69" s="169"/>
      <c r="R69" s="169"/>
      <c r="S69" s="458"/>
      <c r="T69" s="169"/>
      <c r="U69" s="169"/>
      <c r="V69" s="169"/>
      <c r="W69" s="169"/>
      <c r="X69" s="169"/>
      <c r="Y69" s="169"/>
      <c r="Z69" s="169"/>
      <c r="AA69" s="169"/>
      <c r="AB69" s="169"/>
      <c r="AC69" s="169"/>
      <c r="AD69" s="169"/>
      <c r="AE69" s="169"/>
      <c r="AF69" s="169"/>
      <c r="AG69" s="617"/>
      <c r="AH69" s="169"/>
      <c r="AI69" s="169"/>
      <c r="AJ69" s="169"/>
      <c r="AK69" s="169"/>
      <c r="AL69" s="169"/>
      <c r="AM69" s="169"/>
      <c r="AN69" s="454"/>
      <c r="AO69" s="178"/>
      <c r="AP69" s="178"/>
      <c r="BA69" s="1305"/>
      <c r="BC69" s="169"/>
    </row>
    <row r="70" spans="2:55" ht="15.75" customHeight="1">
      <c r="B70" s="175"/>
      <c r="C70" s="617"/>
      <c r="D70" s="175"/>
      <c r="E70" s="177"/>
      <c r="F70" s="177"/>
      <c r="G70" s="458"/>
      <c r="I70" s="182"/>
      <c r="K70" s="169"/>
      <c r="L70" s="169"/>
      <c r="M70" s="169"/>
      <c r="N70" s="169"/>
      <c r="Q70" s="169"/>
      <c r="R70" s="169"/>
      <c r="S70" s="458"/>
      <c r="T70" s="169"/>
      <c r="U70" s="169"/>
      <c r="V70" s="169"/>
      <c r="W70" s="169"/>
      <c r="X70" s="169"/>
      <c r="Y70" s="169"/>
      <c r="Z70" s="169"/>
      <c r="AA70" s="169"/>
      <c r="AB70" s="169"/>
      <c r="AC70" s="169"/>
      <c r="AD70" s="169"/>
      <c r="AE70" s="169"/>
      <c r="AF70" s="169"/>
      <c r="AG70" s="617"/>
      <c r="AH70" s="169"/>
      <c r="AI70" s="169"/>
      <c r="AJ70" s="169"/>
      <c r="AK70" s="169"/>
      <c r="AL70" s="169"/>
      <c r="AM70" s="169"/>
      <c r="AN70" s="454"/>
      <c r="AO70" s="178"/>
      <c r="AP70" s="178"/>
      <c r="BA70" s="1305"/>
      <c r="BC70" s="169"/>
    </row>
    <row r="71" spans="2:55" ht="15.75" customHeight="1">
      <c r="B71" s="175"/>
      <c r="C71" s="617"/>
      <c r="D71" s="175"/>
      <c r="E71" s="177"/>
      <c r="F71" s="177"/>
      <c r="G71" s="458"/>
      <c r="K71" s="169"/>
      <c r="L71" s="169"/>
      <c r="M71" s="169"/>
      <c r="Q71" s="169"/>
      <c r="R71" s="169"/>
      <c r="S71" s="458"/>
      <c r="T71" s="169"/>
      <c r="U71" s="169"/>
      <c r="V71" s="169"/>
      <c r="W71" s="169"/>
      <c r="X71" s="169"/>
      <c r="Y71" s="169"/>
      <c r="Z71" s="169"/>
      <c r="AA71" s="169"/>
      <c r="AB71" s="169"/>
      <c r="AC71" s="169"/>
      <c r="AD71" s="169"/>
      <c r="AE71" s="169"/>
      <c r="AF71" s="169"/>
      <c r="AG71" s="617"/>
      <c r="AH71" s="169"/>
      <c r="AI71" s="169"/>
      <c r="AJ71" s="169"/>
      <c r="AK71" s="169"/>
      <c r="AL71" s="169"/>
      <c r="AM71" s="169"/>
      <c r="AN71" s="454"/>
      <c r="AO71" s="178"/>
      <c r="AP71" s="178"/>
      <c r="BA71" s="1305"/>
      <c r="BC71" s="169"/>
    </row>
    <row r="72" spans="2:55" ht="15.75" customHeight="1">
      <c r="B72" s="175"/>
      <c r="C72" s="617"/>
      <c r="D72" s="175"/>
      <c r="E72" s="177"/>
      <c r="F72" s="177"/>
      <c r="G72" s="458"/>
      <c r="I72" s="182"/>
      <c r="K72" s="169"/>
      <c r="L72" s="169"/>
      <c r="M72" s="169"/>
      <c r="N72" s="169"/>
      <c r="Q72" s="169"/>
      <c r="R72" s="169"/>
      <c r="S72" s="458"/>
      <c r="T72" s="169"/>
      <c r="U72" s="169"/>
      <c r="V72" s="169"/>
      <c r="W72" s="169"/>
      <c r="X72" s="169"/>
      <c r="Y72" s="169"/>
      <c r="Z72" s="169"/>
      <c r="AA72" s="169"/>
      <c r="AB72" s="169"/>
      <c r="AC72" s="169"/>
      <c r="AD72" s="169"/>
      <c r="AE72" s="169"/>
      <c r="AF72" s="169"/>
      <c r="AG72" s="617"/>
      <c r="AH72" s="169"/>
      <c r="AI72" s="169"/>
      <c r="AJ72" s="169"/>
      <c r="AK72" s="169"/>
      <c r="AL72" s="169"/>
      <c r="AM72" s="169"/>
      <c r="AN72" s="454"/>
      <c r="AO72" s="178"/>
      <c r="AP72" s="178"/>
      <c r="BA72" s="1305"/>
      <c r="BC72" s="169"/>
    </row>
    <row r="73" spans="2:55" ht="15.75" customHeight="1">
      <c r="B73" s="175"/>
      <c r="C73" s="617"/>
      <c r="D73" s="175"/>
      <c r="E73" s="177"/>
      <c r="F73" s="177"/>
      <c r="G73" s="458"/>
      <c r="K73" s="169"/>
      <c r="L73" s="169"/>
      <c r="M73" s="169"/>
      <c r="Q73" s="169"/>
      <c r="R73" s="169"/>
      <c r="S73" s="458"/>
      <c r="T73" s="169"/>
      <c r="U73" s="169"/>
      <c r="V73" s="169"/>
      <c r="W73" s="169"/>
      <c r="X73" s="169"/>
      <c r="Y73" s="169"/>
      <c r="Z73" s="169"/>
      <c r="AA73" s="169"/>
      <c r="AB73" s="169"/>
      <c r="AC73" s="169"/>
      <c r="AD73" s="169"/>
      <c r="AE73" s="169"/>
      <c r="AF73" s="169"/>
      <c r="AG73" s="617"/>
      <c r="AH73" s="169"/>
      <c r="AI73" s="169"/>
      <c r="AJ73" s="169"/>
      <c r="AK73" s="169"/>
      <c r="AL73" s="169"/>
      <c r="AM73" s="169"/>
      <c r="AN73" s="454"/>
      <c r="AO73" s="178"/>
      <c r="AP73" s="178"/>
      <c r="BA73" s="1305"/>
      <c r="BC73" s="169"/>
    </row>
    <row r="74" spans="2:55" ht="15.75" customHeight="1">
      <c r="B74" s="175"/>
      <c r="C74" s="617"/>
      <c r="D74" s="175"/>
      <c r="E74" s="177"/>
      <c r="F74" s="177"/>
      <c r="G74" s="458"/>
      <c r="H74" s="169"/>
      <c r="I74" s="169"/>
      <c r="J74" s="617"/>
      <c r="K74" s="169"/>
      <c r="L74" s="169"/>
      <c r="M74" s="169"/>
      <c r="Q74" s="169"/>
      <c r="R74" s="169"/>
      <c r="S74" s="458"/>
      <c r="T74" s="169"/>
      <c r="U74" s="169"/>
      <c r="V74" s="169"/>
      <c r="W74" s="169"/>
      <c r="X74" s="169"/>
      <c r="Y74" s="169"/>
      <c r="Z74" s="169"/>
      <c r="AA74" s="169"/>
      <c r="AB74" s="169"/>
      <c r="AC74" s="169"/>
      <c r="AD74" s="169"/>
      <c r="AE74" s="169"/>
      <c r="AF74" s="169"/>
      <c r="AG74" s="617"/>
      <c r="AH74" s="169"/>
      <c r="AI74" s="169"/>
      <c r="AJ74" s="169"/>
      <c r="AK74" s="169"/>
      <c r="AL74" s="169"/>
      <c r="AM74" s="169"/>
      <c r="AN74" s="454"/>
      <c r="AO74" s="178"/>
      <c r="AP74" s="178"/>
      <c r="BA74" s="1305"/>
      <c r="BC74" s="169"/>
    </row>
    <row r="75" spans="2:55" ht="15.75" customHeight="1">
      <c r="B75" s="175"/>
      <c r="C75" s="617"/>
      <c r="D75" s="175"/>
      <c r="E75" s="177"/>
      <c r="F75" s="177"/>
      <c r="G75" s="458"/>
      <c r="H75" s="169"/>
      <c r="I75" s="169"/>
      <c r="J75" s="617"/>
      <c r="K75" s="169"/>
      <c r="L75" s="169"/>
      <c r="M75" s="169"/>
      <c r="Q75" s="169"/>
      <c r="R75" s="169"/>
      <c r="S75" s="458"/>
      <c r="T75" s="169"/>
      <c r="U75" s="169"/>
      <c r="V75" s="169"/>
      <c r="W75" s="169"/>
      <c r="X75" s="169"/>
      <c r="Y75" s="169"/>
      <c r="Z75" s="169"/>
      <c r="AA75" s="169"/>
      <c r="AB75" s="169"/>
      <c r="AC75" s="169"/>
      <c r="AD75" s="169"/>
      <c r="AE75" s="169"/>
      <c r="AF75" s="169"/>
      <c r="AG75" s="617"/>
      <c r="AH75" s="169"/>
      <c r="AI75" s="169"/>
      <c r="AJ75" s="169"/>
      <c r="AK75" s="169"/>
      <c r="AL75" s="169"/>
      <c r="AM75" s="169"/>
      <c r="AN75" s="454"/>
      <c r="AO75" s="178"/>
      <c r="AP75" s="178"/>
      <c r="BA75" s="1305"/>
      <c r="BC75" s="169"/>
    </row>
    <row r="76" spans="2:55" ht="15.75" customHeight="1">
      <c r="B76" s="175"/>
      <c r="C76" s="617"/>
      <c r="D76" s="175"/>
      <c r="E76" s="177"/>
      <c r="F76" s="177"/>
      <c r="G76" s="458"/>
      <c r="K76" s="169"/>
      <c r="L76" s="169"/>
      <c r="M76" s="169"/>
      <c r="Q76" s="169"/>
      <c r="R76" s="169"/>
      <c r="S76" s="458"/>
      <c r="T76" s="169"/>
      <c r="U76" s="169"/>
      <c r="V76" s="169"/>
      <c r="W76" s="169"/>
      <c r="X76" s="169"/>
      <c r="Y76" s="169"/>
      <c r="Z76" s="169"/>
      <c r="AA76" s="169"/>
      <c r="AB76" s="169"/>
      <c r="AC76" s="169"/>
      <c r="AD76" s="169"/>
      <c r="AE76" s="169"/>
      <c r="AF76" s="169"/>
      <c r="AG76" s="617"/>
      <c r="AH76" s="169"/>
      <c r="AI76" s="169"/>
      <c r="AJ76" s="169"/>
      <c r="AK76" s="169"/>
      <c r="AL76" s="169"/>
      <c r="AM76" s="169"/>
      <c r="AN76" s="454"/>
      <c r="AO76" s="178"/>
      <c r="AP76" s="178"/>
      <c r="BA76" s="1305"/>
      <c r="BC76" s="169"/>
    </row>
    <row r="77" spans="2:55" ht="15.75" customHeight="1">
      <c r="B77" s="175"/>
      <c r="C77" s="617"/>
      <c r="D77" s="175"/>
      <c r="E77" s="177"/>
      <c r="F77" s="177"/>
      <c r="G77" s="458"/>
      <c r="K77" s="169"/>
      <c r="L77" s="169"/>
      <c r="M77" s="169"/>
      <c r="Q77" s="169"/>
      <c r="R77" s="169"/>
      <c r="S77" s="458"/>
      <c r="T77" s="169"/>
      <c r="U77" s="169"/>
      <c r="V77" s="169"/>
      <c r="W77" s="169"/>
      <c r="X77" s="169"/>
      <c r="Y77" s="169"/>
      <c r="Z77" s="169"/>
      <c r="AA77" s="169"/>
      <c r="AB77" s="169"/>
      <c r="AC77" s="169"/>
      <c r="AD77" s="169"/>
      <c r="AE77" s="169"/>
      <c r="AF77" s="169"/>
      <c r="AG77" s="617"/>
      <c r="AH77" s="169"/>
      <c r="AI77" s="169"/>
      <c r="AJ77" s="169"/>
      <c r="AK77" s="169"/>
      <c r="AL77" s="169"/>
      <c r="AM77" s="169"/>
      <c r="AN77" s="454"/>
      <c r="AO77" s="178"/>
      <c r="AP77" s="178"/>
      <c r="BA77" s="1305"/>
      <c r="BC77" s="169"/>
    </row>
    <row r="78" spans="2:55" ht="15.75" customHeight="1">
      <c r="B78" s="175"/>
      <c r="C78" s="617"/>
      <c r="D78" s="175"/>
      <c r="E78" s="177"/>
      <c r="F78" s="177"/>
      <c r="G78" s="458"/>
      <c r="K78" s="169"/>
      <c r="L78" s="169"/>
      <c r="M78" s="169"/>
      <c r="N78" s="169"/>
      <c r="Q78" s="169"/>
      <c r="R78" s="169"/>
      <c r="S78" s="458"/>
      <c r="T78" s="169"/>
      <c r="U78" s="169"/>
      <c r="V78" s="169"/>
      <c r="W78" s="169"/>
      <c r="X78" s="169"/>
      <c r="Y78" s="169"/>
      <c r="Z78" s="169"/>
      <c r="AA78" s="169"/>
      <c r="AB78" s="169"/>
      <c r="AC78" s="169"/>
      <c r="AD78" s="169"/>
      <c r="AE78" s="169"/>
      <c r="AF78" s="169"/>
      <c r="AG78" s="617"/>
      <c r="AH78" s="169"/>
      <c r="AI78" s="169"/>
      <c r="AJ78" s="169"/>
      <c r="AK78" s="169"/>
      <c r="AL78" s="169"/>
      <c r="AM78" s="169"/>
      <c r="AN78" s="454"/>
      <c r="AO78" s="178"/>
      <c r="AP78" s="178"/>
      <c r="BA78" s="1305"/>
      <c r="BC78" s="169"/>
    </row>
    <row r="79" spans="2:55" ht="15.75" customHeight="1">
      <c r="B79" s="175"/>
      <c r="C79" s="617"/>
      <c r="D79" s="175"/>
      <c r="E79" s="177"/>
      <c r="F79" s="177"/>
      <c r="G79" s="458"/>
      <c r="K79" s="169"/>
      <c r="L79" s="169"/>
      <c r="M79" s="169"/>
      <c r="Q79" s="169"/>
      <c r="R79" s="169"/>
      <c r="S79" s="458"/>
      <c r="T79" s="169"/>
      <c r="U79" s="169"/>
      <c r="V79" s="169"/>
      <c r="W79" s="169"/>
      <c r="X79" s="169"/>
      <c r="Y79" s="169"/>
      <c r="Z79" s="169"/>
      <c r="AA79" s="169"/>
      <c r="AB79" s="169"/>
      <c r="AC79" s="169"/>
      <c r="AD79" s="169"/>
      <c r="AE79" s="169"/>
      <c r="AF79" s="169"/>
      <c r="AG79" s="617"/>
      <c r="AH79" s="169"/>
      <c r="AI79" s="169"/>
      <c r="AJ79" s="169"/>
      <c r="AK79" s="169"/>
      <c r="AL79" s="169"/>
      <c r="AM79" s="169"/>
      <c r="AN79" s="454"/>
      <c r="AO79" s="178"/>
      <c r="AP79" s="178"/>
      <c r="BA79" s="1305"/>
      <c r="BC79" s="169"/>
    </row>
    <row r="80" spans="2:55" ht="15.75" customHeight="1">
      <c r="B80" s="175"/>
      <c r="C80" s="617"/>
      <c r="D80" s="175"/>
      <c r="E80" s="177"/>
      <c r="F80" s="177"/>
      <c r="G80" s="458"/>
      <c r="K80" s="169"/>
      <c r="L80" s="169"/>
      <c r="M80" s="169"/>
      <c r="N80" s="169"/>
      <c r="Q80" s="169"/>
      <c r="R80" s="169"/>
      <c r="S80" s="458"/>
      <c r="T80" s="169"/>
      <c r="U80" s="169"/>
      <c r="V80" s="169"/>
      <c r="W80" s="169"/>
      <c r="X80" s="169"/>
      <c r="Y80" s="169"/>
      <c r="Z80" s="169"/>
      <c r="AA80" s="169"/>
      <c r="AB80" s="169"/>
      <c r="AC80" s="169"/>
      <c r="AD80" s="169"/>
      <c r="AE80" s="169"/>
      <c r="AF80" s="169"/>
      <c r="AG80" s="617"/>
      <c r="AH80" s="169"/>
      <c r="AI80" s="169"/>
      <c r="AJ80" s="169"/>
      <c r="AK80" s="169"/>
      <c r="AL80" s="169"/>
      <c r="AM80" s="169"/>
      <c r="AN80" s="454"/>
      <c r="AO80" s="178"/>
      <c r="AP80" s="178"/>
      <c r="BA80" s="1305"/>
      <c r="BC80" s="169"/>
    </row>
    <row r="81" spans="2:55" ht="15.75" customHeight="1">
      <c r="B81" s="175"/>
      <c r="C81" s="617"/>
      <c r="D81" s="175"/>
      <c r="E81" s="177"/>
      <c r="F81" s="177"/>
      <c r="G81" s="458"/>
      <c r="K81" s="169"/>
      <c r="L81" s="169"/>
      <c r="M81" s="169"/>
      <c r="O81" s="169"/>
      <c r="P81" s="169"/>
      <c r="Q81" s="169"/>
      <c r="R81" s="169"/>
      <c r="S81" s="458"/>
      <c r="T81" s="169"/>
      <c r="U81" s="169"/>
      <c r="V81" s="169"/>
      <c r="W81" s="169"/>
      <c r="X81" s="169"/>
      <c r="Y81" s="169"/>
      <c r="Z81" s="169"/>
      <c r="AA81" s="169"/>
      <c r="AB81" s="169"/>
      <c r="AC81" s="169"/>
      <c r="AD81" s="169"/>
      <c r="AE81" s="169"/>
      <c r="AF81" s="169"/>
      <c r="AG81" s="617"/>
      <c r="AH81" s="169"/>
      <c r="AI81" s="169"/>
      <c r="AJ81" s="169"/>
      <c r="AK81" s="169"/>
      <c r="AL81" s="169"/>
      <c r="AM81" s="169"/>
      <c r="AN81" s="454"/>
      <c r="AO81" s="178"/>
      <c r="AP81" s="178"/>
      <c r="BA81" s="1305"/>
      <c r="BC81" s="169"/>
    </row>
    <row r="82" spans="2:55" ht="15.75" customHeight="1">
      <c r="B82" s="175"/>
      <c r="C82" s="617"/>
      <c r="D82" s="175"/>
      <c r="E82" s="177"/>
      <c r="F82" s="177"/>
      <c r="G82" s="458"/>
      <c r="K82" s="169"/>
      <c r="L82" s="169"/>
      <c r="M82" s="169"/>
      <c r="Q82" s="169"/>
      <c r="R82" s="169"/>
      <c r="S82" s="458"/>
      <c r="T82" s="169"/>
      <c r="U82" s="169"/>
      <c r="V82" s="169"/>
      <c r="W82" s="169"/>
      <c r="X82" s="169"/>
      <c r="Y82" s="169"/>
      <c r="Z82" s="169"/>
      <c r="AA82" s="169"/>
      <c r="AB82" s="169"/>
      <c r="AC82" s="169"/>
      <c r="AD82" s="169"/>
      <c r="AE82" s="169"/>
      <c r="AF82" s="169"/>
      <c r="AG82" s="617"/>
      <c r="AH82" s="169"/>
      <c r="AI82" s="169"/>
      <c r="AJ82" s="169"/>
      <c r="AK82" s="169"/>
      <c r="AL82" s="169"/>
      <c r="AM82" s="169"/>
      <c r="AN82" s="454"/>
      <c r="AO82" s="178"/>
      <c r="AP82" s="178"/>
      <c r="BA82" s="1305"/>
      <c r="BC82" s="169"/>
    </row>
    <row r="83" spans="2:55" ht="15.75" customHeight="1">
      <c r="B83" s="175"/>
      <c r="C83" s="617"/>
      <c r="D83" s="175"/>
      <c r="E83" s="177"/>
      <c r="F83" s="177"/>
      <c r="G83" s="458"/>
      <c r="K83" s="169"/>
      <c r="L83" s="169"/>
      <c r="M83" s="169"/>
      <c r="O83" s="169"/>
      <c r="P83" s="169"/>
      <c r="Q83" s="169"/>
      <c r="R83" s="169"/>
      <c r="S83" s="458"/>
      <c r="T83" s="169"/>
      <c r="U83" s="169"/>
      <c r="V83" s="169"/>
      <c r="W83" s="169"/>
      <c r="X83" s="169"/>
      <c r="Y83" s="169"/>
      <c r="Z83" s="169"/>
      <c r="AA83" s="169"/>
      <c r="AB83" s="169"/>
      <c r="AC83" s="169"/>
      <c r="AD83" s="169"/>
      <c r="AE83" s="169"/>
      <c r="AF83" s="169"/>
      <c r="AG83" s="617"/>
      <c r="AH83" s="169"/>
      <c r="AI83" s="169"/>
      <c r="AJ83" s="169"/>
      <c r="AK83" s="169"/>
      <c r="AL83" s="169"/>
      <c r="AM83" s="169"/>
      <c r="AN83" s="454"/>
      <c r="AO83" s="178"/>
      <c r="AP83" s="178"/>
      <c r="BA83" s="1305"/>
      <c r="BC83" s="169"/>
    </row>
    <row r="84" spans="2:55" ht="15.75" customHeight="1">
      <c r="B84" s="175"/>
      <c r="C84" s="617"/>
      <c r="D84" s="175"/>
      <c r="E84" s="177"/>
      <c r="F84" s="177"/>
      <c r="G84" s="458"/>
      <c r="I84" s="179"/>
      <c r="K84" s="169"/>
      <c r="L84" s="169"/>
      <c r="M84" s="169"/>
      <c r="Q84" s="169"/>
      <c r="R84" s="169"/>
      <c r="S84" s="458"/>
      <c r="T84" s="169"/>
      <c r="U84" s="169"/>
      <c r="V84" s="169"/>
      <c r="W84" s="169"/>
      <c r="X84" s="169"/>
      <c r="Y84" s="169"/>
      <c r="Z84" s="169"/>
      <c r="AA84" s="169"/>
      <c r="AB84" s="169"/>
      <c r="AC84" s="169"/>
      <c r="AD84" s="169"/>
      <c r="AE84" s="169"/>
      <c r="AF84" s="169"/>
      <c r="AG84" s="617"/>
      <c r="AH84" s="169"/>
      <c r="AI84" s="169"/>
      <c r="AJ84" s="169"/>
      <c r="AK84" s="169"/>
      <c r="AL84" s="169"/>
      <c r="AM84" s="169"/>
      <c r="AN84" s="454"/>
      <c r="AO84" s="178"/>
      <c r="AP84" s="178"/>
      <c r="BA84" s="1305"/>
      <c r="BC84" s="169"/>
    </row>
    <row r="85" spans="2:55" ht="15.75" customHeight="1">
      <c r="B85" s="175"/>
      <c r="C85" s="617"/>
      <c r="D85" s="175"/>
      <c r="E85" s="177"/>
      <c r="F85" s="177"/>
      <c r="G85" s="458"/>
      <c r="K85" s="169"/>
      <c r="L85" s="169"/>
      <c r="M85" s="169"/>
      <c r="Q85" s="169"/>
      <c r="R85" s="169"/>
      <c r="S85" s="458"/>
      <c r="T85" s="169"/>
      <c r="U85" s="169"/>
      <c r="V85" s="169"/>
      <c r="W85" s="169"/>
      <c r="X85" s="169"/>
      <c r="Y85" s="169"/>
      <c r="Z85" s="169"/>
      <c r="AA85" s="169"/>
      <c r="AB85" s="169"/>
      <c r="AC85" s="169"/>
      <c r="AD85" s="169"/>
      <c r="AE85" s="169"/>
      <c r="AF85" s="169"/>
      <c r="AG85" s="617"/>
      <c r="AH85" s="169"/>
      <c r="AI85" s="169"/>
      <c r="AJ85" s="169"/>
      <c r="AK85" s="169"/>
      <c r="AL85" s="169"/>
      <c r="AM85" s="169"/>
      <c r="AN85" s="454"/>
      <c r="AO85" s="178"/>
      <c r="AP85" s="178"/>
      <c r="BA85" s="1305"/>
      <c r="BC85" s="169"/>
    </row>
    <row r="86" spans="2:55" ht="15.75" customHeight="1">
      <c r="B86" s="175"/>
      <c r="C86" s="617"/>
      <c r="D86" s="175"/>
      <c r="E86" s="177"/>
      <c r="F86" s="177"/>
      <c r="G86" s="458"/>
      <c r="K86" s="169"/>
      <c r="L86" s="169"/>
      <c r="M86" s="169"/>
      <c r="Q86" s="169"/>
      <c r="R86" s="169"/>
      <c r="S86" s="458"/>
      <c r="T86" s="169"/>
      <c r="U86" s="169"/>
      <c r="V86" s="169"/>
      <c r="W86" s="169"/>
      <c r="X86" s="169"/>
      <c r="Y86" s="169"/>
      <c r="Z86" s="169"/>
      <c r="AA86" s="169"/>
      <c r="AB86" s="169"/>
      <c r="AC86" s="169"/>
      <c r="AD86" s="169"/>
      <c r="AE86" s="169"/>
      <c r="AF86" s="169"/>
      <c r="AG86" s="617"/>
      <c r="AH86" s="169"/>
      <c r="AI86" s="169"/>
      <c r="AJ86" s="169"/>
      <c r="AK86" s="169"/>
      <c r="AL86" s="169"/>
      <c r="AM86" s="169"/>
      <c r="AN86" s="454"/>
      <c r="AO86" s="178"/>
      <c r="AP86" s="178"/>
      <c r="BA86" s="1305"/>
      <c r="BC86" s="169"/>
    </row>
    <row r="87" spans="2:55" ht="15.75" customHeight="1">
      <c r="B87" s="175"/>
      <c r="C87" s="617"/>
      <c r="D87" s="175"/>
      <c r="E87" s="177"/>
      <c r="F87" s="177"/>
      <c r="G87" s="458"/>
      <c r="K87" s="169"/>
      <c r="L87" s="169"/>
      <c r="M87" s="169"/>
      <c r="Q87" s="169"/>
      <c r="R87" s="169"/>
      <c r="S87" s="458"/>
      <c r="T87" s="169"/>
      <c r="U87" s="169"/>
      <c r="V87" s="169"/>
      <c r="W87" s="169"/>
      <c r="X87" s="169"/>
      <c r="Y87" s="169"/>
      <c r="Z87" s="169"/>
      <c r="AA87" s="169"/>
      <c r="AB87" s="169"/>
      <c r="AC87" s="169"/>
      <c r="AD87" s="169"/>
      <c r="AE87" s="169"/>
      <c r="AF87" s="169"/>
      <c r="AG87" s="617"/>
      <c r="AH87" s="169"/>
      <c r="AI87" s="169"/>
      <c r="AJ87" s="169"/>
      <c r="AK87" s="169"/>
      <c r="AL87" s="169"/>
      <c r="AM87" s="169"/>
      <c r="AN87" s="454"/>
      <c r="AO87" s="178"/>
      <c r="AP87" s="178"/>
      <c r="BA87" s="1305"/>
      <c r="BC87" s="169"/>
    </row>
    <row r="88" spans="2:55" ht="15.75" customHeight="1">
      <c r="B88" s="175"/>
      <c r="C88" s="617"/>
      <c r="D88" s="175"/>
      <c r="E88" s="177"/>
      <c r="F88" s="177"/>
      <c r="G88" s="458"/>
      <c r="K88" s="169"/>
      <c r="L88" s="169"/>
      <c r="M88" s="169"/>
      <c r="N88" s="169"/>
      <c r="Q88" s="169"/>
      <c r="R88" s="169"/>
      <c r="S88" s="458"/>
      <c r="T88" s="169"/>
      <c r="U88" s="169"/>
      <c r="V88" s="169"/>
      <c r="W88" s="169"/>
      <c r="X88" s="169"/>
      <c r="Y88" s="169"/>
      <c r="Z88" s="169"/>
      <c r="AA88" s="169"/>
      <c r="AB88" s="169"/>
      <c r="AC88" s="169"/>
      <c r="AD88" s="169"/>
      <c r="AE88" s="169"/>
      <c r="AF88" s="169"/>
      <c r="AG88" s="617"/>
      <c r="AH88" s="169"/>
      <c r="AI88" s="169"/>
      <c r="AJ88" s="169"/>
      <c r="AK88" s="169"/>
      <c r="AL88" s="169"/>
      <c r="AM88" s="169"/>
      <c r="AN88" s="454"/>
      <c r="AO88" s="178"/>
      <c r="AP88" s="178"/>
      <c r="BA88" s="1305"/>
      <c r="BC88" s="169"/>
    </row>
    <row r="89" spans="2:55" ht="15.75" customHeight="1">
      <c r="B89" s="175"/>
      <c r="C89" s="617"/>
      <c r="D89" s="175"/>
      <c r="E89" s="177"/>
      <c r="F89" s="177"/>
      <c r="G89" s="458"/>
      <c r="K89" s="169"/>
      <c r="L89" s="169"/>
      <c r="M89" s="169"/>
      <c r="Q89" s="169"/>
      <c r="R89" s="169"/>
      <c r="S89" s="458"/>
      <c r="T89" s="169"/>
      <c r="U89" s="169"/>
      <c r="V89" s="169"/>
      <c r="W89" s="169"/>
      <c r="X89" s="169"/>
      <c r="Y89" s="169"/>
      <c r="Z89" s="169"/>
      <c r="AA89" s="169"/>
      <c r="AB89" s="169"/>
      <c r="AC89" s="169"/>
      <c r="AD89" s="169"/>
      <c r="AE89" s="169"/>
      <c r="AF89" s="169"/>
      <c r="AG89" s="617"/>
      <c r="AH89" s="169"/>
      <c r="AI89" s="169"/>
      <c r="AJ89" s="169"/>
      <c r="AK89" s="169"/>
      <c r="AL89" s="169"/>
      <c r="AM89" s="169"/>
      <c r="AN89" s="454"/>
      <c r="AO89" s="178"/>
      <c r="AP89" s="178"/>
      <c r="BA89" s="1305"/>
      <c r="BC89" s="169"/>
    </row>
    <row r="90" spans="2:55" ht="15.75" customHeight="1">
      <c r="B90" s="175"/>
      <c r="C90" s="617"/>
      <c r="D90" s="175"/>
      <c r="E90" s="177"/>
      <c r="F90" s="177"/>
      <c r="G90" s="458"/>
      <c r="I90" s="179"/>
      <c r="K90" s="169"/>
      <c r="L90" s="169"/>
      <c r="M90" s="169"/>
      <c r="Q90" s="169"/>
      <c r="R90" s="169"/>
      <c r="S90" s="458"/>
      <c r="T90" s="169"/>
      <c r="U90" s="169"/>
      <c r="V90" s="169"/>
      <c r="W90" s="169"/>
      <c r="X90" s="169"/>
      <c r="Y90" s="169"/>
      <c r="Z90" s="169"/>
      <c r="AA90" s="169"/>
      <c r="AB90" s="169"/>
      <c r="AC90" s="169"/>
      <c r="AD90" s="169"/>
      <c r="AE90" s="169"/>
      <c r="AF90" s="169"/>
      <c r="AG90" s="617"/>
      <c r="AH90" s="169"/>
      <c r="AI90" s="169"/>
      <c r="AJ90" s="169"/>
      <c r="AK90" s="169"/>
      <c r="AL90" s="169"/>
      <c r="AM90" s="169"/>
      <c r="AN90" s="454"/>
      <c r="AO90" s="178"/>
      <c r="AP90" s="178"/>
      <c r="BA90" s="1305"/>
      <c r="BC90" s="169"/>
    </row>
    <row r="91" spans="2:55" ht="15.75" customHeight="1">
      <c r="B91" s="175"/>
      <c r="C91" s="617"/>
      <c r="D91" s="175"/>
      <c r="E91" s="177"/>
      <c r="F91" s="177"/>
      <c r="G91" s="458"/>
      <c r="K91" s="169"/>
      <c r="L91" s="169"/>
      <c r="M91" s="169"/>
      <c r="Q91" s="169"/>
      <c r="R91" s="169"/>
      <c r="S91" s="458"/>
      <c r="T91" s="169"/>
      <c r="U91" s="169"/>
      <c r="V91" s="169"/>
      <c r="W91" s="169"/>
      <c r="X91" s="169"/>
      <c r="Y91" s="169"/>
      <c r="Z91" s="169"/>
      <c r="AA91" s="169"/>
      <c r="AB91" s="169"/>
      <c r="AC91" s="169"/>
      <c r="AD91" s="169"/>
      <c r="AE91" s="169"/>
      <c r="AF91" s="169"/>
      <c r="AG91" s="617"/>
      <c r="AH91" s="169"/>
      <c r="AI91" s="169"/>
      <c r="AJ91" s="169"/>
      <c r="AK91" s="169"/>
      <c r="AL91" s="169"/>
      <c r="AM91" s="169"/>
      <c r="AN91" s="454"/>
      <c r="AO91" s="178"/>
      <c r="AP91" s="178"/>
      <c r="BA91" s="1305"/>
      <c r="BC91" s="169"/>
    </row>
    <row r="92" spans="2:55" ht="15.75" customHeight="1">
      <c r="B92" s="175"/>
      <c r="C92" s="617"/>
      <c r="D92" s="175"/>
      <c r="E92" s="177"/>
      <c r="F92" s="177"/>
      <c r="G92" s="458"/>
      <c r="K92" s="169"/>
      <c r="L92" s="169"/>
      <c r="M92" s="169"/>
      <c r="Q92" s="169"/>
      <c r="R92" s="169"/>
      <c r="S92" s="458"/>
      <c r="T92" s="169"/>
      <c r="U92" s="169"/>
      <c r="V92" s="169"/>
      <c r="W92" s="169"/>
      <c r="X92" s="169"/>
      <c r="Y92" s="169"/>
      <c r="Z92" s="169"/>
      <c r="AA92" s="169"/>
      <c r="AB92" s="169"/>
      <c r="AC92" s="169"/>
      <c r="AD92" s="169"/>
      <c r="AE92" s="169"/>
      <c r="AF92" s="169"/>
      <c r="AG92" s="617"/>
      <c r="AH92" s="169"/>
      <c r="AI92" s="169"/>
      <c r="AJ92" s="169"/>
      <c r="AK92" s="169"/>
      <c r="AL92" s="169"/>
      <c r="AM92" s="169"/>
      <c r="AN92" s="454"/>
      <c r="AO92" s="178"/>
      <c r="AP92" s="178"/>
      <c r="BA92" s="1305"/>
      <c r="BC92" s="169"/>
    </row>
    <row r="93" spans="2:55" ht="15.75" customHeight="1">
      <c r="B93" s="175"/>
      <c r="C93" s="617"/>
      <c r="D93" s="175"/>
      <c r="E93" s="177"/>
      <c r="F93" s="177"/>
      <c r="G93" s="458"/>
      <c r="K93" s="169"/>
      <c r="L93" s="169"/>
      <c r="M93" s="169"/>
      <c r="Q93" s="169"/>
      <c r="R93" s="169"/>
      <c r="S93" s="458"/>
      <c r="T93" s="169"/>
      <c r="U93" s="169"/>
      <c r="V93" s="169"/>
      <c r="W93" s="169"/>
      <c r="X93" s="169"/>
      <c r="Y93" s="169"/>
      <c r="Z93" s="169"/>
      <c r="AA93" s="169"/>
      <c r="AB93" s="169"/>
      <c r="AC93" s="169"/>
      <c r="AD93" s="169"/>
      <c r="AE93" s="169"/>
      <c r="AF93" s="169"/>
      <c r="AG93" s="617"/>
      <c r="AH93" s="169"/>
      <c r="AI93" s="169"/>
      <c r="AJ93" s="169"/>
      <c r="AK93" s="169"/>
      <c r="AL93" s="169"/>
      <c r="AM93" s="169"/>
      <c r="AN93" s="454"/>
      <c r="AO93" s="178"/>
      <c r="AP93" s="178"/>
      <c r="BA93" s="1305"/>
      <c r="BC93" s="169"/>
    </row>
    <row r="94" spans="2:55" ht="15.75" customHeight="1">
      <c r="B94" s="175"/>
      <c r="C94" s="617"/>
      <c r="D94" s="175"/>
      <c r="E94" s="177"/>
      <c r="F94" s="177"/>
      <c r="G94" s="458"/>
      <c r="K94" s="169"/>
      <c r="L94" s="169"/>
      <c r="M94" s="169"/>
      <c r="N94" s="169"/>
      <c r="Q94" s="169"/>
      <c r="R94" s="169"/>
      <c r="S94" s="458"/>
      <c r="T94" s="169"/>
      <c r="U94" s="169"/>
      <c r="V94" s="169"/>
      <c r="W94" s="169"/>
      <c r="X94" s="169"/>
      <c r="Y94" s="169"/>
      <c r="Z94" s="169"/>
      <c r="AA94" s="169"/>
      <c r="AB94" s="169"/>
      <c r="AC94" s="169"/>
      <c r="AD94" s="169"/>
      <c r="AE94" s="169"/>
      <c r="AF94" s="169"/>
      <c r="AG94" s="617"/>
      <c r="AH94" s="169"/>
      <c r="AI94" s="169"/>
      <c r="AJ94" s="169"/>
      <c r="AK94" s="169"/>
      <c r="AL94" s="169"/>
      <c r="AM94" s="169"/>
      <c r="AN94" s="454"/>
      <c r="AO94" s="178"/>
      <c r="AP94" s="178"/>
      <c r="BA94" s="1305"/>
      <c r="BC94" s="169"/>
    </row>
    <row r="95" spans="2:55" ht="15.75" customHeight="1">
      <c r="B95" s="175"/>
      <c r="C95" s="617"/>
      <c r="D95" s="175"/>
      <c r="E95" s="177"/>
      <c r="F95" s="177"/>
      <c r="G95" s="458"/>
      <c r="K95" s="169"/>
      <c r="L95" s="169"/>
      <c r="M95" s="169"/>
      <c r="Q95" s="169"/>
      <c r="R95" s="169"/>
      <c r="S95" s="458"/>
      <c r="T95" s="169"/>
      <c r="U95" s="169"/>
      <c r="V95" s="169"/>
      <c r="W95" s="169"/>
      <c r="X95" s="169"/>
      <c r="Y95" s="169"/>
      <c r="Z95" s="169"/>
      <c r="AA95" s="169"/>
      <c r="AB95" s="169"/>
      <c r="AC95" s="169"/>
      <c r="AD95" s="169"/>
      <c r="AE95" s="169"/>
      <c r="AF95" s="169"/>
      <c r="AG95" s="617"/>
      <c r="AH95" s="169"/>
      <c r="AI95" s="169"/>
      <c r="AJ95" s="169"/>
      <c r="AK95" s="169"/>
      <c r="AL95" s="169"/>
      <c r="AM95" s="169"/>
      <c r="AN95" s="454"/>
      <c r="AO95" s="178"/>
      <c r="AP95" s="178"/>
      <c r="BA95" s="1305"/>
      <c r="BC95" s="169"/>
    </row>
    <row r="96" spans="2:55" ht="15.75" customHeight="1">
      <c r="B96" s="175"/>
      <c r="C96" s="617"/>
      <c r="D96" s="175"/>
      <c r="E96" s="177"/>
      <c r="F96" s="177"/>
      <c r="G96" s="458"/>
      <c r="H96" s="169"/>
      <c r="K96" s="169"/>
      <c r="L96" s="169"/>
      <c r="M96" s="169"/>
      <c r="N96" s="169"/>
      <c r="O96" s="682"/>
      <c r="Q96" s="169"/>
      <c r="R96" s="169"/>
      <c r="S96" s="458"/>
      <c r="T96" s="169"/>
      <c r="U96" s="169"/>
      <c r="V96" s="169"/>
      <c r="W96" s="169"/>
      <c r="X96" s="169"/>
      <c r="Y96" s="169"/>
      <c r="Z96" s="169"/>
      <c r="AA96" s="169"/>
      <c r="AB96" s="169"/>
      <c r="AC96" s="169"/>
      <c r="AD96" s="169"/>
      <c r="AE96" s="169"/>
      <c r="AF96" s="169"/>
      <c r="AG96" s="617"/>
      <c r="AH96" s="169"/>
      <c r="AI96" s="169"/>
      <c r="AJ96" s="169"/>
      <c r="AK96" s="169"/>
      <c r="AL96" s="169"/>
      <c r="AM96" s="169"/>
      <c r="AN96" s="454"/>
      <c r="AO96" s="178"/>
      <c r="AP96" s="178"/>
      <c r="BA96" s="1305"/>
      <c r="BC96" s="169"/>
    </row>
    <row r="97" spans="2:55" ht="15.75" customHeight="1">
      <c r="B97" s="175"/>
      <c r="C97" s="617"/>
      <c r="D97" s="175"/>
      <c r="E97" s="177"/>
      <c r="F97" s="177"/>
      <c r="G97" s="458"/>
      <c r="K97" s="169"/>
      <c r="L97" s="169"/>
      <c r="M97" s="169"/>
      <c r="Q97" s="169"/>
      <c r="R97" s="169"/>
      <c r="S97" s="458"/>
      <c r="T97" s="169"/>
      <c r="U97" s="169"/>
      <c r="V97" s="169"/>
      <c r="W97" s="169"/>
      <c r="X97" s="169"/>
      <c r="Y97" s="169"/>
      <c r="Z97" s="169"/>
      <c r="AA97" s="169"/>
      <c r="AB97" s="169"/>
      <c r="AC97" s="169"/>
      <c r="AD97" s="169"/>
      <c r="AE97" s="169"/>
      <c r="AF97" s="169"/>
      <c r="AG97" s="617"/>
      <c r="AH97" s="169"/>
      <c r="AI97" s="169"/>
      <c r="AJ97" s="169"/>
      <c r="AK97" s="169"/>
      <c r="AL97" s="169"/>
      <c r="AM97" s="169"/>
      <c r="AN97" s="454"/>
      <c r="AO97" s="178"/>
      <c r="AP97" s="178"/>
      <c r="BA97" s="1305"/>
      <c r="BC97" s="169"/>
    </row>
    <row r="98" spans="2:55" ht="15.75" customHeight="1">
      <c r="B98" s="175"/>
      <c r="C98" s="617"/>
      <c r="D98" s="175"/>
      <c r="E98" s="177"/>
      <c r="F98" s="177"/>
      <c r="G98" s="458"/>
      <c r="I98" s="182"/>
      <c r="K98" s="169"/>
      <c r="L98" s="169"/>
      <c r="M98" s="169"/>
      <c r="Q98" s="169"/>
      <c r="R98" s="169"/>
      <c r="S98" s="458"/>
      <c r="T98" s="169"/>
      <c r="U98" s="169"/>
      <c r="V98" s="169"/>
      <c r="W98" s="169"/>
      <c r="X98" s="169"/>
      <c r="Y98" s="169"/>
      <c r="Z98" s="169"/>
      <c r="AA98" s="169"/>
      <c r="AB98" s="169"/>
      <c r="AC98" s="169"/>
      <c r="AD98" s="169"/>
      <c r="AE98" s="169"/>
      <c r="AF98" s="169"/>
      <c r="AG98" s="617"/>
      <c r="AH98" s="169"/>
      <c r="AI98" s="169"/>
      <c r="AJ98" s="169"/>
      <c r="AK98" s="169"/>
      <c r="AL98" s="169"/>
      <c r="AM98" s="169"/>
      <c r="AN98" s="454"/>
      <c r="AO98" s="178"/>
      <c r="AP98" s="178"/>
      <c r="BA98" s="1305"/>
      <c r="BC98" s="169"/>
    </row>
    <row r="99" spans="2:55" ht="15.75" customHeight="1">
      <c r="B99" s="175"/>
      <c r="C99" s="617"/>
      <c r="D99" s="175"/>
      <c r="E99" s="177"/>
      <c r="F99" s="177"/>
      <c r="G99" s="458"/>
      <c r="K99" s="169"/>
      <c r="L99" s="169"/>
      <c r="M99" s="169"/>
      <c r="Q99" s="169"/>
      <c r="R99" s="169"/>
      <c r="S99" s="458"/>
      <c r="T99" s="169"/>
      <c r="U99" s="169"/>
      <c r="V99" s="169"/>
      <c r="W99" s="169"/>
      <c r="X99" s="169"/>
      <c r="Y99" s="169"/>
      <c r="Z99" s="169"/>
      <c r="AA99" s="169"/>
      <c r="AB99" s="169"/>
      <c r="AC99" s="169"/>
      <c r="AD99" s="169"/>
      <c r="AE99" s="169"/>
      <c r="AF99" s="169"/>
      <c r="AG99" s="617"/>
      <c r="AH99" s="169"/>
      <c r="AI99" s="169"/>
      <c r="AJ99" s="169"/>
      <c r="AK99" s="169"/>
      <c r="AL99" s="169"/>
      <c r="AM99" s="169"/>
      <c r="AN99" s="454"/>
      <c r="AO99" s="178"/>
      <c r="AP99" s="178"/>
      <c r="BA99" s="1305"/>
      <c r="BC99" s="169"/>
    </row>
    <row r="100" spans="2:55" ht="15.75" customHeight="1">
      <c r="B100" s="175"/>
      <c r="C100" s="617"/>
      <c r="D100" s="175"/>
      <c r="E100" s="177"/>
      <c r="F100" s="177"/>
      <c r="G100" s="458"/>
      <c r="K100" s="169"/>
      <c r="L100" s="169"/>
      <c r="M100" s="169"/>
      <c r="Q100" s="169"/>
      <c r="R100" s="169"/>
      <c r="S100" s="458"/>
      <c r="T100" s="169"/>
      <c r="U100" s="169"/>
      <c r="V100" s="169"/>
      <c r="W100" s="169"/>
      <c r="X100" s="169"/>
      <c r="Y100" s="169"/>
      <c r="Z100" s="169"/>
      <c r="AA100" s="169"/>
      <c r="AB100" s="169"/>
      <c r="AC100" s="169"/>
      <c r="AD100" s="169"/>
      <c r="AE100" s="169"/>
      <c r="AF100" s="169"/>
      <c r="AG100" s="617"/>
      <c r="AH100" s="169"/>
      <c r="AI100" s="169"/>
      <c r="AJ100" s="169"/>
      <c r="AK100" s="169"/>
      <c r="AL100" s="169"/>
      <c r="AM100" s="169"/>
      <c r="AN100" s="454"/>
      <c r="AO100" s="178"/>
      <c r="AP100" s="178"/>
      <c r="BA100" s="1305"/>
      <c r="BC100" s="169"/>
    </row>
    <row r="101" spans="2:55" ht="15.75" customHeight="1">
      <c r="B101" s="175"/>
      <c r="C101" s="617"/>
      <c r="D101" s="175"/>
      <c r="E101" s="177"/>
      <c r="F101" s="177"/>
      <c r="G101" s="458"/>
      <c r="I101" s="169"/>
      <c r="K101" s="169"/>
      <c r="L101" s="169"/>
      <c r="M101" s="169"/>
      <c r="Q101" s="169"/>
      <c r="R101" s="169"/>
      <c r="S101" s="458"/>
      <c r="T101" s="169"/>
      <c r="U101" s="169"/>
      <c r="V101" s="169"/>
      <c r="W101" s="169"/>
      <c r="X101" s="169"/>
      <c r="Y101" s="169"/>
      <c r="Z101" s="169"/>
      <c r="AA101" s="169"/>
      <c r="AB101" s="169"/>
      <c r="AC101" s="169"/>
      <c r="AD101" s="169"/>
      <c r="AE101" s="169"/>
      <c r="AF101" s="169"/>
      <c r="AG101" s="617"/>
      <c r="AH101" s="169"/>
      <c r="AI101" s="169"/>
      <c r="AJ101" s="169"/>
      <c r="AK101" s="169"/>
      <c r="AL101" s="169"/>
      <c r="AM101" s="169"/>
      <c r="AN101" s="454"/>
      <c r="AO101" s="178"/>
      <c r="AP101" s="178"/>
      <c r="BA101" s="1305"/>
      <c r="BC101" s="169"/>
    </row>
    <row r="102" spans="2:55" ht="15.75" customHeight="1">
      <c r="B102" s="175"/>
      <c r="C102" s="617"/>
      <c r="D102" s="175"/>
      <c r="E102" s="177"/>
      <c r="F102" s="177"/>
      <c r="G102" s="458"/>
      <c r="K102" s="169"/>
      <c r="L102" s="169"/>
      <c r="M102" s="169"/>
      <c r="N102" s="169"/>
      <c r="Q102" s="169"/>
      <c r="R102" s="169"/>
      <c r="S102" s="458"/>
      <c r="T102" s="169"/>
      <c r="U102" s="169"/>
      <c r="V102" s="169"/>
      <c r="W102" s="169"/>
      <c r="X102" s="169"/>
      <c r="Y102" s="169"/>
      <c r="Z102" s="169"/>
      <c r="AA102" s="169"/>
      <c r="AB102" s="169"/>
      <c r="AC102" s="169"/>
      <c r="AD102" s="169"/>
      <c r="AE102" s="169"/>
      <c r="AF102" s="169"/>
      <c r="AG102" s="617"/>
      <c r="AH102" s="169"/>
      <c r="AI102" s="169"/>
      <c r="AJ102" s="169"/>
      <c r="AK102" s="169"/>
      <c r="AL102" s="169"/>
      <c r="AM102" s="169"/>
      <c r="AN102" s="454"/>
      <c r="AO102" s="178"/>
      <c r="AP102" s="178"/>
      <c r="BA102" s="1305"/>
      <c r="BC102" s="169"/>
    </row>
    <row r="103" spans="2:55" ht="15.75" customHeight="1">
      <c r="B103" s="175"/>
      <c r="C103" s="617"/>
      <c r="D103" s="177"/>
      <c r="E103" s="169"/>
      <c r="F103" s="177"/>
      <c r="G103" s="458"/>
      <c r="K103" s="169"/>
      <c r="L103" s="169"/>
      <c r="M103" s="169"/>
      <c r="Q103" s="169"/>
      <c r="R103" s="169"/>
      <c r="S103" s="458"/>
      <c r="T103" s="169"/>
      <c r="U103" s="169"/>
      <c r="V103" s="169"/>
      <c r="W103" s="169"/>
      <c r="X103" s="169"/>
      <c r="Y103" s="169"/>
      <c r="Z103" s="169"/>
      <c r="AA103" s="169"/>
      <c r="AB103" s="169"/>
      <c r="AC103" s="169"/>
      <c r="AD103" s="169"/>
      <c r="AE103" s="169"/>
      <c r="AF103" s="169"/>
      <c r="AG103" s="617"/>
      <c r="AH103" s="169"/>
      <c r="AI103" s="169"/>
      <c r="AJ103" s="169"/>
      <c r="AK103" s="169"/>
      <c r="AL103" s="169"/>
      <c r="AM103" s="169"/>
      <c r="AN103" s="454"/>
      <c r="AO103" s="178"/>
      <c r="AP103" s="178"/>
      <c r="BA103" s="1305"/>
      <c r="BC103" s="169"/>
    </row>
    <row r="104" spans="2:55" ht="15.75" customHeight="1">
      <c r="B104" s="175"/>
      <c r="C104" s="617"/>
      <c r="D104" s="177"/>
      <c r="E104" s="169"/>
      <c r="F104" s="177"/>
      <c r="G104" s="458"/>
      <c r="K104" s="169"/>
      <c r="L104" s="169"/>
      <c r="M104" s="169"/>
      <c r="Q104" s="169"/>
      <c r="R104" s="169"/>
      <c r="S104" s="458"/>
      <c r="T104" s="169"/>
      <c r="U104" s="169"/>
      <c r="V104" s="169"/>
      <c r="W104" s="169"/>
      <c r="X104" s="169"/>
      <c r="Y104" s="169"/>
      <c r="Z104" s="169"/>
      <c r="AA104" s="169"/>
      <c r="AB104" s="169"/>
      <c r="AC104" s="169"/>
      <c r="AD104" s="169"/>
      <c r="AE104" s="169"/>
      <c r="AF104" s="169"/>
      <c r="AG104" s="617"/>
      <c r="AH104" s="169"/>
      <c r="AI104" s="169"/>
      <c r="AJ104" s="169"/>
      <c r="AK104" s="169"/>
      <c r="AL104" s="169"/>
      <c r="AM104" s="169"/>
      <c r="AN104" s="454"/>
      <c r="AO104" s="178"/>
      <c r="AP104" s="178"/>
      <c r="BA104" s="1305"/>
      <c r="BC104" s="169"/>
    </row>
    <row r="105" spans="2:55" ht="15.75" customHeight="1">
      <c r="B105" s="175"/>
      <c r="C105" s="617"/>
      <c r="D105" s="177"/>
      <c r="E105" s="169"/>
      <c r="F105" s="177"/>
      <c r="G105" s="458"/>
      <c r="K105" s="169"/>
      <c r="L105" s="169"/>
      <c r="M105" s="169"/>
      <c r="Q105" s="169"/>
      <c r="R105" s="169"/>
      <c r="S105" s="458"/>
      <c r="T105" s="169"/>
      <c r="U105" s="169"/>
      <c r="V105" s="169"/>
      <c r="W105" s="169"/>
      <c r="X105" s="169"/>
      <c r="Y105" s="169"/>
      <c r="Z105" s="169"/>
      <c r="AA105" s="169"/>
      <c r="AB105" s="169"/>
      <c r="AC105" s="169"/>
      <c r="AD105" s="169"/>
      <c r="AE105" s="169"/>
      <c r="AF105" s="169"/>
      <c r="AG105" s="617"/>
      <c r="AH105" s="169"/>
      <c r="AI105" s="169"/>
      <c r="AJ105" s="169"/>
      <c r="AK105" s="169"/>
      <c r="AL105" s="169"/>
      <c r="AM105" s="169"/>
      <c r="AN105" s="454"/>
      <c r="AO105" s="178"/>
      <c r="AP105" s="178"/>
      <c r="BA105" s="1305"/>
      <c r="BC105" s="169"/>
    </row>
    <row r="106" spans="2:55" ht="15.75" customHeight="1">
      <c r="B106" s="175"/>
      <c r="C106" s="617"/>
      <c r="D106" s="177"/>
      <c r="E106" s="169"/>
      <c r="F106" s="177"/>
      <c r="G106" s="458"/>
      <c r="K106" s="169"/>
      <c r="L106" s="169"/>
      <c r="M106" s="169"/>
      <c r="Q106" s="169"/>
      <c r="R106" s="169"/>
      <c r="S106" s="458"/>
      <c r="T106" s="169"/>
      <c r="U106" s="169"/>
      <c r="V106" s="169"/>
      <c r="W106" s="169"/>
      <c r="X106" s="169"/>
      <c r="Y106" s="169"/>
      <c r="Z106" s="169"/>
      <c r="AA106" s="169"/>
      <c r="AB106" s="169"/>
      <c r="AC106" s="169"/>
      <c r="AD106" s="169"/>
      <c r="AE106" s="169"/>
      <c r="AF106" s="169"/>
      <c r="AG106" s="617"/>
      <c r="AH106" s="169"/>
      <c r="AI106" s="169"/>
      <c r="AJ106" s="169"/>
      <c r="AK106" s="169"/>
      <c r="AL106" s="169"/>
      <c r="AM106" s="169"/>
      <c r="AN106" s="454"/>
      <c r="AO106" s="178"/>
      <c r="AP106" s="178"/>
      <c r="BA106" s="1305"/>
      <c r="BC106" s="169"/>
    </row>
    <row r="107" spans="2:55" ht="15.75" customHeight="1">
      <c r="B107" s="175"/>
      <c r="C107" s="617"/>
      <c r="D107" s="177"/>
      <c r="E107" s="169"/>
      <c r="F107" s="177"/>
      <c r="G107" s="458"/>
      <c r="K107" s="169"/>
      <c r="L107" s="169"/>
      <c r="M107" s="169"/>
      <c r="Q107" s="169"/>
      <c r="R107" s="169"/>
      <c r="S107" s="458"/>
      <c r="T107" s="169"/>
      <c r="U107" s="169"/>
      <c r="V107" s="169"/>
      <c r="W107" s="169"/>
      <c r="X107" s="169"/>
      <c r="Y107" s="169"/>
      <c r="Z107" s="169"/>
      <c r="AA107" s="169"/>
      <c r="AB107" s="169"/>
      <c r="AC107" s="169"/>
      <c r="AD107" s="169"/>
      <c r="AE107" s="169"/>
      <c r="AF107" s="169"/>
      <c r="AG107" s="617"/>
      <c r="AH107" s="169"/>
      <c r="AI107" s="169"/>
      <c r="AJ107" s="169"/>
      <c r="AK107" s="169"/>
      <c r="AL107" s="169"/>
      <c r="AM107" s="169"/>
      <c r="AN107" s="454"/>
      <c r="AO107" s="178"/>
      <c r="AP107" s="178"/>
      <c r="BA107" s="1305"/>
      <c r="BC107" s="169"/>
    </row>
    <row r="108" spans="2:55" ht="15.75" customHeight="1">
      <c r="B108" s="175"/>
      <c r="C108" s="617"/>
      <c r="D108" s="177"/>
      <c r="E108" s="169"/>
      <c r="F108" s="177"/>
      <c r="G108" s="458"/>
      <c r="K108" s="169"/>
      <c r="L108" s="169"/>
      <c r="M108" s="169"/>
      <c r="Q108" s="169"/>
      <c r="R108" s="169"/>
      <c r="S108" s="458"/>
      <c r="T108" s="169"/>
      <c r="U108" s="169"/>
      <c r="V108" s="169"/>
      <c r="W108" s="169"/>
      <c r="X108" s="169"/>
      <c r="Y108" s="169"/>
      <c r="Z108" s="169"/>
      <c r="AA108" s="169"/>
      <c r="AB108" s="169"/>
      <c r="AC108" s="169"/>
      <c r="AD108" s="169"/>
      <c r="AE108" s="169"/>
      <c r="AF108" s="169"/>
      <c r="AG108" s="617"/>
      <c r="AH108" s="169"/>
      <c r="AI108" s="169"/>
      <c r="AJ108" s="169"/>
      <c r="AK108" s="169"/>
      <c r="AL108" s="169"/>
      <c r="AM108" s="169"/>
      <c r="AN108" s="454"/>
      <c r="AO108" s="178"/>
      <c r="AP108" s="178"/>
      <c r="BA108" s="1305"/>
      <c r="BC108" s="169"/>
    </row>
    <row r="109" spans="2:55" ht="15.75" customHeight="1">
      <c r="B109" s="175"/>
      <c r="C109" s="617"/>
      <c r="D109" s="177"/>
      <c r="E109" s="169"/>
      <c r="F109" s="177"/>
      <c r="G109" s="458"/>
      <c r="K109" s="169"/>
      <c r="L109" s="169"/>
      <c r="M109" s="169"/>
      <c r="Q109" s="169"/>
      <c r="R109" s="169"/>
      <c r="S109" s="458"/>
      <c r="T109" s="169"/>
      <c r="U109" s="169"/>
      <c r="V109" s="169"/>
      <c r="W109" s="169"/>
      <c r="X109" s="169"/>
      <c r="Y109" s="169"/>
      <c r="Z109" s="169"/>
      <c r="AA109" s="169"/>
      <c r="AB109" s="169"/>
      <c r="AC109" s="169"/>
      <c r="AD109" s="169"/>
      <c r="AE109" s="169"/>
      <c r="AF109" s="169"/>
      <c r="AG109" s="617"/>
      <c r="AH109" s="169"/>
      <c r="AI109" s="169"/>
      <c r="AJ109" s="169"/>
      <c r="AK109" s="169"/>
      <c r="AL109" s="169"/>
      <c r="AM109" s="169"/>
      <c r="AN109" s="454"/>
      <c r="AO109" s="178"/>
      <c r="AP109" s="178"/>
      <c r="BA109" s="1305"/>
      <c r="BC109" s="169"/>
    </row>
    <row r="110" spans="2:55" ht="15.75" customHeight="1">
      <c r="B110" s="175"/>
      <c r="C110" s="617"/>
      <c r="D110" s="177"/>
      <c r="E110" s="169"/>
      <c r="F110" s="177"/>
      <c r="G110" s="458"/>
      <c r="K110" s="169"/>
      <c r="L110" s="169"/>
      <c r="M110" s="169"/>
      <c r="Q110" s="169"/>
      <c r="R110" s="169"/>
      <c r="S110" s="458"/>
      <c r="T110" s="169"/>
      <c r="U110" s="169"/>
      <c r="V110" s="169"/>
      <c r="W110" s="169"/>
      <c r="X110" s="169"/>
      <c r="Y110" s="169"/>
      <c r="Z110" s="169"/>
      <c r="AA110" s="169"/>
      <c r="AB110" s="169"/>
      <c r="AC110" s="169"/>
      <c r="AD110" s="169"/>
      <c r="AE110" s="169"/>
      <c r="AF110" s="169"/>
      <c r="AG110" s="617"/>
      <c r="AH110" s="169"/>
      <c r="AI110" s="169"/>
      <c r="AJ110" s="169"/>
      <c r="AK110" s="169"/>
      <c r="AL110" s="169"/>
      <c r="AM110" s="169"/>
      <c r="AN110" s="454"/>
      <c r="AO110" s="178"/>
      <c r="AP110" s="178"/>
      <c r="BA110" s="1305"/>
      <c r="BC110" s="169"/>
    </row>
    <row r="111" spans="2:55" ht="15.75" customHeight="1">
      <c r="B111" s="175"/>
      <c r="C111" s="617"/>
      <c r="D111" s="177"/>
      <c r="E111" s="169"/>
      <c r="F111" s="177"/>
      <c r="G111" s="458"/>
      <c r="K111" s="169"/>
      <c r="L111" s="169"/>
      <c r="M111" s="169"/>
      <c r="Q111" s="169"/>
      <c r="R111" s="169"/>
      <c r="S111" s="458"/>
      <c r="T111" s="169"/>
      <c r="U111" s="169"/>
      <c r="V111" s="169"/>
      <c r="W111" s="169"/>
      <c r="X111" s="169"/>
      <c r="Y111" s="169"/>
      <c r="Z111" s="169"/>
      <c r="AA111" s="169"/>
      <c r="AB111" s="169"/>
      <c r="AC111" s="169"/>
      <c r="AD111" s="169"/>
      <c r="AE111" s="169"/>
      <c r="AF111" s="169"/>
      <c r="AG111" s="617"/>
      <c r="AH111" s="169"/>
      <c r="AI111" s="169"/>
      <c r="AJ111" s="169"/>
      <c r="AK111" s="169"/>
      <c r="AL111" s="169"/>
      <c r="AM111" s="169"/>
      <c r="AN111" s="454"/>
      <c r="AO111" s="178"/>
      <c r="AP111" s="178"/>
      <c r="BA111" s="1305"/>
      <c r="BC111" s="169"/>
    </row>
    <row r="112" spans="2:55" ht="15.75" customHeight="1">
      <c r="B112" s="175"/>
      <c r="C112" s="617"/>
      <c r="D112" s="177"/>
      <c r="E112" s="169"/>
      <c r="F112" s="177"/>
      <c r="G112" s="458"/>
      <c r="K112" s="169"/>
      <c r="L112" s="169"/>
      <c r="M112" s="169"/>
      <c r="Q112" s="169"/>
      <c r="R112" s="169"/>
      <c r="S112" s="458"/>
      <c r="T112" s="169"/>
      <c r="U112" s="169"/>
      <c r="V112" s="169"/>
      <c r="W112" s="169"/>
      <c r="X112" s="169"/>
      <c r="Y112" s="169"/>
      <c r="Z112" s="169"/>
      <c r="AA112" s="169"/>
      <c r="AB112" s="169"/>
      <c r="AC112" s="169"/>
      <c r="AD112" s="169"/>
      <c r="AE112" s="169"/>
      <c r="AF112" s="169"/>
      <c r="AG112" s="617"/>
      <c r="AH112" s="169"/>
      <c r="AI112" s="169"/>
      <c r="AJ112" s="169"/>
      <c r="AK112" s="169"/>
      <c r="AL112" s="169"/>
      <c r="AM112" s="169"/>
      <c r="AN112" s="454"/>
      <c r="AO112" s="178"/>
      <c r="AP112" s="178"/>
      <c r="BA112" s="1305"/>
      <c r="BC112" s="169"/>
    </row>
    <row r="113" spans="2:55" ht="15.75" customHeight="1">
      <c r="B113" s="175"/>
      <c r="C113" s="617"/>
      <c r="D113" s="177"/>
      <c r="E113" s="169"/>
      <c r="F113" s="177"/>
      <c r="G113" s="458"/>
      <c r="K113" s="169"/>
      <c r="L113" s="169"/>
      <c r="M113" s="169"/>
      <c r="Q113" s="169"/>
      <c r="R113" s="169"/>
      <c r="S113" s="458"/>
      <c r="T113" s="169"/>
      <c r="U113" s="169"/>
      <c r="V113" s="169"/>
      <c r="W113" s="169"/>
      <c r="X113" s="169"/>
      <c r="Y113" s="169"/>
      <c r="Z113" s="169"/>
      <c r="AA113" s="169"/>
      <c r="AB113" s="169"/>
      <c r="AC113" s="169"/>
      <c r="AD113" s="169"/>
      <c r="AE113" s="169"/>
      <c r="AF113" s="169"/>
      <c r="AG113" s="617"/>
      <c r="AH113" s="169"/>
      <c r="AI113" s="169"/>
      <c r="AJ113" s="169"/>
      <c r="AK113" s="169"/>
      <c r="AL113" s="169"/>
      <c r="AM113" s="169"/>
      <c r="AN113" s="454"/>
      <c r="AO113" s="178"/>
      <c r="AP113" s="178"/>
      <c r="BA113" s="1305"/>
      <c r="BC113" s="169"/>
    </row>
    <row r="114" spans="2:55" ht="15.75" customHeight="1">
      <c r="B114" s="175"/>
      <c r="C114" s="617"/>
      <c r="D114" s="177"/>
      <c r="E114" s="169"/>
      <c r="F114" s="177"/>
      <c r="G114" s="458"/>
      <c r="K114" s="169"/>
      <c r="L114" s="169"/>
      <c r="M114" s="169"/>
      <c r="Q114" s="169"/>
      <c r="R114" s="169"/>
      <c r="S114" s="458"/>
      <c r="T114" s="169"/>
      <c r="U114" s="169"/>
      <c r="V114" s="169"/>
      <c r="W114" s="169"/>
      <c r="X114" s="169"/>
      <c r="Y114" s="169"/>
      <c r="Z114" s="169"/>
      <c r="AA114" s="169"/>
      <c r="AB114" s="169"/>
      <c r="AC114" s="169"/>
      <c r="AD114" s="169"/>
      <c r="AE114" s="169"/>
      <c r="AF114" s="169"/>
      <c r="AG114" s="617"/>
      <c r="AH114" s="169"/>
      <c r="AI114" s="169"/>
      <c r="AJ114" s="169"/>
      <c r="AK114" s="169"/>
      <c r="AL114" s="169"/>
      <c r="AM114" s="169"/>
      <c r="AN114" s="454"/>
      <c r="AO114" s="178"/>
      <c r="AP114" s="178"/>
      <c r="BA114" s="1305"/>
      <c r="BC114" s="169"/>
    </row>
    <row r="115" spans="2:55" ht="15.75" customHeight="1">
      <c r="B115" s="175"/>
      <c r="C115" s="617"/>
      <c r="D115" s="177"/>
      <c r="E115" s="169"/>
      <c r="F115" s="177"/>
      <c r="G115" s="458"/>
      <c r="K115" s="169"/>
      <c r="L115" s="169"/>
      <c r="M115" s="169"/>
      <c r="Q115" s="169"/>
      <c r="R115" s="169"/>
      <c r="S115" s="458"/>
      <c r="T115" s="169"/>
      <c r="U115" s="169"/>
      <c r="V115" s="169"/>
      <c r="W115" s="169"/>
      <c r="X115" s="169"/>
      <c r="Y115" s="169"/>
      <c r="Z115" s="169"/>
      <c r="AA115" s="169"/>
      <c r="AB115" s="169"/>
      <c r="AC115" s="169"/>
      <c r="AD115" s="169"/>
      <c r="AE115" s="169"/>
      <c r="AF115" s="169"/>
      <c r="AG115" s="617"/>
      <c r="AH115" s="169"/>
      <c r="AI115" s="169"/>
      <c r="AJ115" s="169"/>
      <c r="AK115" s="169"/>
      <c r="AL115" s="169"/>
      <c r="AM115" s="169"/>
      <c r="AN115" s="454"/>
      <c r="AO115" s="178"/>
      <c r="AP115" s="178"/>
      <c r="BA115" s="1305"/>
      <c r="BC115" s="169"/>
    </row>
    <row r="116" spans="2:55" ht="15.75" customHeight="1">
      <c r="B116" s="175"/>
      <c r="C116" s="617"/>
      <c r="D116" s="177"/>
      <c r="E116" s="169"/>
      <c r="F116" s="177"/>
      <c r="G116" s="458"/>
      <c r="K116" s="169"/>
      <c r="L116" s="169"/>
      <c r="M116" s="169"/>
      <c r="Q116" s="169"/>
      <c r="R116" s="169"/>
      <c r="S116" s="458"/>
      <c r="T116" s="169"/>
      <c r="U116" s="169"/>
      <c r="V116" s="169"/>
      <c r="W116" s="169"/>
      <c r="X116" s="169"/>
      <c r="Y116" s="169"/>
      <c r="Z116" s="169"/>
      <c r="AA116" s="169"/>
      <c r="AB116" s="169"/>
      <c r="AC116" s="169"/>
      <c r="AD116" s="169"/>
      <c r="AE116" s="169"/>
      <c r="AF116" s="169"/>
      <c r="AG116" s="617"/>
      <c r="AH116" s="169"/>
      <c r="AI116" s="169"/>
      <c r="AJ116" s="169"/>
      <c r="AK116" s="169"/>
      <c r="AL116" s="169"/>
      <c r="AM116" s="169"/>
      <c r="AN116" s="454"/>
      <c r="AO116" s="178"/>
      <c r="AP116" s="178"/>
      <c r="BA116" s="1305"/>
      <c r="BC116" s="169"/>
    </row>
    <row r="117" spans="2:55" ht="15.75" customHeight="1">
      <c r="B117" s="175"/>
      <c r="C117" s="617"/>
      <c r="D117" s="177"/>
      <c r="E117" s="169"/>
      <c r="F117" s="177"/>
      <c r="G117" s="458"/>
      <c r="K117" s="169"/>
      <c r="L117" s="169"/>
      <c r="M117" s="169"/>
      <c r="Q117" s="169"/>
      <c r="R117" s="169"/>
      <c r="S117" s="458"/>
      <c r="T117" s="169"/>
      <c r="U117" s="169"/>
      <c r="V117" s="169"/>
      <c r="W117" s="169"/>
      <c r="X117" s="169"/>
      <c r="Y117" s="169"/>
      <c r="Z117" s="169"/>
      <c r="AA117" s="169"/>
      <c r="AB117" s="169"/>
      <c r="AC117" s="169"/>
      <c r="AD117" s="169"/>
      <c r="AE117" s="169"/>
      <c r="AF117" s="169"/>
      <c r="AG117" s="617"/>
      <c r="AH117" s="169"/>
      <c r="AI117" s="169"/>
      <c r="AJ117" s="169"/>
      <c r="AK117" s="169"/>
      <c r="AL117" s="169"/>
      <c r="AM117" s="169"/>
      <c r="AN117" s="454"/>
      <c r="AO117" s="178"/>
      <c r="AP117" s="178"/>
      <c r="BA117" s="1305"/>
      <c r="BC117" s="169"/>
    </row>
    <row r="118" spans="2:55" ht="15.75" customHeight="1">
      <c r="B118" s="175"/>
      <c r="C118" s="617"/>
      <c r="D118" s="177"/>
      <c r="E118" s="169"/>
      <c r="F118" s="177"/>
      <c r="G118" s="458"/>
      <c r="K118" s="169"/>
      <c r="L118" s="169"/>
      <c r="M118" s="169"/>
      <c r="Q118" s="169"/>
      <c r="R118" s="169"/>
      <c r="S118" s="458"/>
      <c r="T118" s="169"/>
      <c r="U118" s="169"/>
      <c r="V118" s="169"/>
      <c r="W118" s="169"/>
      <c r="X118" s="169"/>
      <c r="Y118" s="169"/>
      <c r="Z118" s="169"/>
      <c r="AA118" s="169"/>
      <c r="AB118" s="169"/>
      <c r="AC118" s="169"/>
      <c r="AD118" s="169"/>
      <c r="AE118" s="169"/>
      <c r="AF118" s="169"/>
      <c r="AG118" s="617"/>
      <c r="AH118" s="169"/>
      <c r="AI118" s="169"/>
      <c r="AJ118" s="169"/>
      <c r="AK118" s="169"/>
      <c r="AL118" s="169"/>
      <c r="AM118" s="169"/>
      <c r="AN118" s="454"/>
      <c r="AO118" s="178"/>
      <c r="AP118" s="178"/>
      <c r="BA118" s="1305"/>
      <c r="BC118" s="169"/>
    </row>
    <row r="119" spans="2:55" ht="15.75" customHeight="1">
      <c r="B119" s="175"/>
      <c r="C119" s="617"/>
      <c r="D119" s="177"/>
      <c r="E119" s="169"/>
      <c r="F119" s="177"/>
      <c r="G119" s="458"/>
      <c r="K119" s="169"/>
      <c r="L119" s="169"/>
      <c r="M119" s="169"/>
      <c r="Q119" s="169"/>
      <c r="R119" s="169"/>
      <c r="S119" s="458"/>
      <c r="T119" s="169"/>
      <c r="U119" s="169"/>
      <c r="V119" s="169"/>
      <c r="W119" s="169"/>
      <c r="X119" s="169"/>
      <c r="Y119" s="169"/>
      <c r="Z119" s="169"/>
      <c r="AA119" s="169"/>
      <c r="AB119" s="169"/>
      <c r="AC119" s="169"/>
      <c r="AD119" s="169"/>
      <c r="AE119" s="169"/>
      <c r="AF119" s="169"/>
      <c r="AG119" s="617"/>
      <c r="AH119" s="169"/>
      <c r="AI119" s="169"/>
      <c r="AJ119" s="169"/>
      <c r="AK119" s="169"/>
      <c r="AL119" s="169"/>
      <c r="AM119" s="169"/>
      <c r="AN119" s="454"/>
      <c r="AO119" s="178"/>
      <c r="AP119" s="178"/>
      <c r="BA119" s="1305"/>
      <c r="BC119" s="169"/>
    </row>
    <row r="120" spans="2:55" ht="15.75" customHeight="1">
      <c r="B120" s="618"/>
      <c r="C120" s="617"/>
      <c r="D120" s="177"/>
      <c r="E120" s="169"/>
      <c r="F120" s="177"/>
      <c r="G120" s="458"/>
      <c r="H120" s="169"/>
      <c r="I120" s="169"/>
      <c r="J120" s="617"/>
      <c r="K120" s="169"/>
      <c r="L120" s="169"/>
      <c r="M120" s="169"/>
      <c r="N120" s="169"/>
      <c r="O120" s="169"/>
      <c r="P120" s="169"/>
      <c r="Q120" s="169"/>
      <c r="R120" s="169"/>
      <c r="S120" s="458"/>
      <c r="T120" s="169"/>
      <c r="U120" s="169"/>
      <c r="V120" s="169"/>
      <c r="W120" s="169"/>
      <c r="X120" s="169"/>
      <c r="Y120" s="169"/>
      <c r="Z120" s="169"/>
      <c r="AA120" s="169"/>
      <c r="AB120" s="169"/>
      <c r="AC120" s="169"/>
      <c r="AD120" s="169"/>
      <c r="AE120" s="169"/>
      <c r="AF120" s="169"/>
      <c r="AG120" s="617"/>
      <c r="AH120" s="169"/>
      <c r="AI120" s="169"/>
      <c r="AJ120" s="169"/>
      <c r="AK120" s="169"/>
      <c r="AL120" s="169"/>
      <c r="AM120" s="169"/>
      <c r="AN120" s="454"/>
      <c r="AO120" s="178"/>
      <c r="AP120" s="178"/>
      <c r="BA120" s="1305"/>
      <c r="BC120" s="169"/>
    </row>
    <row r="121" spans="2:55" ht="15.75" customHeight="1">
      <c r="B121" s="618"/>
      <c r="C121" s="617"/>
      <c r="D121" s="177"/>
      <c r="E121" s="169"/>
      <c r="F121" s="177"/>
      <c r="G121" s="458"/>
      <c r="H121" s="169"/>
      <c r="I121" s="169"/>
      <c r="J121" s="617"/>
      <c r="K121" s="169"/>
      <c r="L121" s="169"/>
      <c r="M121" s="169"/>
      <c r="N121" s="169"/>
      <c r="O121" s="169"/>
      <c r="P121" s="169"/>
      <c r="Q121" s="169"/>
      <c r="R121" s="169"/>
      <c r="S121" s="458"/>
      <c r="T121" s="169"/>
      <c r="U121" s="169"/>
      <c r="V121" s="169"/>
      <c r="W121" s="169"/>
      <c r="X121" s="169"/>
      <c r="Y121" s="169"/>
      <c r="Z121" s="169"/>
      <c r="AA121" s="169"/>
      <c r="AB121" s="169"/>
      <c r="AC121" s="169"/>
      <c r="AD121" s="169"/>
      <c r="AE121" s="169"/>
      <c r="AF121" s="169"/>
      <c r="AG121" s="617"/>
      <c r="AH121" s="169"/>
      <c r="AI121" s="169"/>
      <c r="AJ121" s="169"/>
      <c r="AK121" s="169"/>
      <c r="AL121" s="169"/>
      <c r="AM121" s="169"/>
      <c r="BA121" s="1305"/>
      <c r="BC121" s="169"/>
    </row>
    <row r="122" spans="2:55" ht="15.75" customHeight="1">
      <c r="B122" s="618"/>
      <c r="C122" s="617"/>
      <c r="D122" s="177"/>
      <c r="E122" s="169"/>
      <c r="F122" s="177"/>
      <c r="G122" s="458"/>
      <c r="H122" s="169"/>
      <c r="I122" s="169"/>
      <c r="J122" s="617"/>
      <c r="K122" s="169"/>
      <c r="L122" s="169"/>
      <c r="M122" s="169"/>
      <c r="N122" s="169"/>
      <c r="O122" s="169"/>
      <c r="P122" s="169"/>
      <c r="Q122" s="169"/>
      <c r="R122" s="169"/>
      <c r="S122" s="458"/>
      <c r="T122" s="169"/>
      <c r="U122" s="169"/>
      <c r="V122" s="169"/>
      <c r="W122" s="169"/>
      <c r="X122" s="169"/>
      <c r="Y122" s="169"/>
      <c r="Z122" s="169"/>
      <c r="AA122" s="169"/>
      <c r="AB122" s="169"/>
      <c r="AC122" s="169"/>
      <c r="AD122" s="169"/>
      <c r="AE122" s="169"/>
      <c r="AF122" s="169"/>
      <c r="AG122" s="617"/>
      <c r="AH122" s="169"/>
      <c r="AI122" s="169"/>
      <c r="AJ122" s="169"/>
      <c r="AK122" s="169"/>
      <c r="AL122" s="169"/>
      <c r="AM122" s="169"/>
      <c r="BA122" s="1305"/>
      <c r="BC122" s="169"/>
    </row>
    <row r="123" spans="2:55" ht="15.75" customHeight="1">
      <c r="S123" s="454"/>
      <c r="BA123" s="1305"/>
      <c r="BC123" s="169"/>
    </row>
    <row r="124" spans="2:55" ht="15.75" customHeight="1">
      <c r="S124" s="454"/>
      <c r="BA124" s="1305"/>
      <c r="BC124" s="169"/>
    </row>
    <row r="125" spans="2:55" ht="15.75" customHeight="1">
      <c r="S125" s="454"/>
      <c r="BA125" s="1305"/>
      <c r="BC125" s="169"/>
    </row>
    <row r="126" spans="2:55" ht="15.75" customHeight="1">
      <c r="S126" s="454"/>
      <c r="BA126" s="1305"/>
      <c r="BC126" s="169"/>
    </row>
    <row r="127" spans="2:55" ht="15.75" customHeight="1">
      <c r="S127" s="454"/>
      <c r="BA127" s="1305"/>
      <c r="BC127" s="169"/>
    </row>
    <row r="128" spans="2:55" ht="15.75" customHeight="1">
      <c r="S128" s="454"/>
      <c r="BA128" s="1305"/>
      <c r="BC128" s="169"/>
    </row>
    <row r="129" spans="19:55" ht="15.75" customHeight="1">
      <c r="S129" s="454"/>
      <c r="BA129" s="1305"/>
      <c r="BC129" s="169"/>
    </row>
    <row r="130" spans="19:55" ht="15.75" customHeight="1">
      <c r="S130" s="454"/>
      <c r="BA130" s="1305"/>
      <c r="BC130" s="169"/>
    </row>
    <row r="131" spans="19:55" ht="15.75" customHeight="1">
      <c r="S131" s="454"/>
      <c r="BA131" s="1305"/>
      <c r="BC131" s="169"/>
    </row>
    <row r="132" spans="19:55" ht="15.75" customHeight="1">
      <c r="S132" s="454"/>
      <c r="BA132" s="1305"/>
      <c r="BC132" s="169"/>
    </row>
    <row r="133" spans="19:55" ht="15.75" customHeight="1">
      <c r="S133" s="454"/>
      <c r="BA133" s="1305"/>
      <c r="BC133" s="169"/>
    </row>
    <row r="134" spans="19:55" ht="15.75" customHeight="1">
      <c r="S134" s="454"/>
      <c r="BA134" s="1305"/>
      <c r="BC134" s="169"/>
    </row>
    <row r="135" spans="19:55" ht="15.75" customHeight="1">
      <c r="S135" s="454"/>
      <c r="BA135" s="1305"/>
      <c r="BC135" s="169"/>
    </row>
    <row r="136" spans="19:55" ht="15.75" customHeight="1">
      <c r="S136" s="454"/>
      <c r="BA136" s="1305"/>
      <c r="BC136" s="169"/>
    </row>
    <row r="137" spans="19:55" ht="15.75" customHeight="1">
      <c r="S137" s="454"/>
      <c r="BA137" s="1305"/>
      <c r="BC137" s="169"/>
    </row>
    <row r="138" spans="19:55" ht="15.75" customHeight="1">
      <c r="S138" s="454"/>
      <c r="BA138" s="1305"/>
      <c r="BC138" s="169"/>
    </row>
    <row r="139" spans="19:55" ht="15.75" customHeight="1">
      <c r="S139" s="454"/>
      <c r="BA139" s="1305"/>
      <c r="BC139" s="169"/>
    </row>
    <row r="140" spans="19:55" ht="15.75" customHeight="1">
      <c r="S140" s="454"/>
      <c r="BA140" s="1305"/>
      <c r="BC140" s="169"/>
    </row>
    <row r="141" spans="19:55" ht="15.75" customHeight="1">
      <c r="S141" s="454"/>
      <c r="BA141" s="1305"/>
      <c r="BC141" s="169"/>
    </row>
    <row r="142" spans="19:55" ht="15.75" customHeight="1">
      <c r="S142" s="454"/>
      <c r="BA142" s="1305"/>
      <c r="BC142" s="169"/>
    </row>
    <row r="143" spans="19:55" ht="15.75" customHeight="1">
      <c r="S143" s="454"/>
      <c r="BA143" s="1305"/>
      <c r="BC143" s="169"/>
    </row>
    <row r="144" spans="19:55" ht="15.75" customHeight="1">
      <c r="S144" s="454"/>
      <c r="BA144" s="1305"/>
      <c r="BC144" s="169"/>
    </row>
    <row r="145" spans="19:55" ht="15.75" customHeight="1">
      <c r="S145" s="454"/>
      <c r="BA145" s="1305"/>
      <c r="BC145" s="169"/>
    </row>
    <row r="146" spans="19:55" ht="15.75" customHeight="1">
      <c r="S146" s="454"/>
      <c r="BA146" s="1305"/>
      <c r="BC146" s="169"/>
    </row>
    <row r="147" spans="19:55" ht="15.75" customHeight="1">
      <c r="S147" s="454"/>
      <c r="BA147" s="1305"/>
      <c r="BC147" s="169"/>
    </row>
    <row r="148" spans="19:55" ht="15.75" customHeight="1">
      <c r="S148" s="454"/>
      <c r="BA148" s="1305"/>
      <c r="BC148" s="169"/>
    </row>
    <row r="149" spans="19:55" ht="15.75" customHeight="1">
      <c r="S149" s="454"/>
      <c r="BA149" s="1305"/>
      <c r="BC149" s="169"/>
    </row>
    <row r="150" spans="19:55" ht="15.75" customHeight="1">
      <c r="S150" s="454"/>
      <c r="BA150" s="1305"/>
      <c r="BC150" s="169"/>
    </row>
    <row r="151" spans="19:55" ht="15.75" customHeight="1">
      <c r="S151" s="454"/>
      <c r="BA151" s="1305"/>
      <c r="BC151" s="169"/>
    </row>
    <row r="152" spans="19:55" ht="15.75" customHeight="1">
      <c r="S152" s="454"/>
      <c r="BA152" s="1305"/>
      <c r="BC152" s="169"/>
    </row>
    <row r="153" spans="19:55" ht="15.75" customHeight="1">
      <c r="S153" s="454"/>
      <c r="BA153" s="1305"/>
      <c r="BC153" s="169"/>
    </row>
    <row r="154" spans="19:55" ht="15.75" customHeight="1">
      <c r="S154" s="454"/>
      <c r="BA154" s="1305"/>
      <c r="BC154" s="169"/>
    </row>
    <row r="155" spans="19:55" ht="15.75" customHeight="1">
      <c r="S155" s="454"/>
      <c r="BA155" s="1305"/>
      <c r="BC155" s="169"/>
    </row>
    <row r="156" spans="19:55" ht="15.75" customHeight="1">
      <c r="S156" s="454"/>
      <c r="BA156" s="1305"/>
      <c r="BC156" s="169"/>
    </row>
    <row r="157" spans="19:55" ht="15.75" customHeight="1">
      <c r="S157" s="454"/>
      <c r="BA157" s="1305"/>
      <c r="BC157" s="169"/>
    </row>
    <row r="158" spans="19:55" ht="15.75" customHeight="1">
      <c r="S158" s="454"/>
      <c r="BA158" s="1305"/>
      <c r="BC158" s="169"/>
    </row>
    <row r="159" spans="19:55" ht="15.75" customHeight="1">
      <c r="S159" s="454"/>
      <c r="BA159" s="1305"/>
      <c r="BC159" s="169"/>
    </row>
    <row r="160" spans="19:55" ht="15.75" customHeight="1">
      <c r="S160" s="454"/>
      <c r="BA160" s="1305"/>
      <c r="BC160" s="169"/>
    </row>
    <row r="161" spans="19:55" ht="15.75" customHeight="1">
      <c r="S161" s="454"/>
      <c r="BA161" s="1305"/>
      <c r="BC161" s="169"/>
    </row>
    <row r="162" spans="19:55" ht="15.75" customHeight="1">
      <c r="S162" s="454"/>
      <c r="BA162" s="1305"/>
      <c r="BC162" s="169"/>
    </row>
    <row r="163" spans="19:55" ht="15.75" customHeight="1">
      <c r="S163" s="454"/>
      <c r="BA163" s="1305"/>
      <c r="BC163" s="169"/>
    </row>
    <row r="164" spans="19:55" ht="15.75" customHeight="1">
      <c r="S164" s="454"/>
      <c r="BA164" s="1305"/>
      <c r="BC164" s="169"/>
    </row>
    <row r="165" spans="19:55" ht="15.75" customHeight="1">
      <c r="S165" s="454"/>
      <c r="BA165" s="1305"/>
      <c r="BC165" s="169"/>
    </row>
    <row r="166" spans="19:55" ht="15.75" customHeight="1">
      <c r="S166" s="454"/>
      <c r="BA166" s="1305"/>
      <c r="BC166" s="169"/>
    </row>
    <row r="167" spans="19:55" ht="15.75" customHeight="1">
      <c r="S167" s="454"/>
      <c r="BA167" s="1305"/>
      <c r="BC167" s="169"/>
    </row>
    <row r="168" spans="19:55" ht="15.75" customHeight="1">
      <c r="S168" s="454"/>
      <c r="BA168" s="1305"/>
      <c r="BC168" s="169"/>
    </row>
    <row r="169" spans="19:55" ht="15.75" customHeight="1">
      <c r="S169" s="454"/>
      <c r="BA169" s="1305"/>
      <c r="BC169" s="169"/>
    </row>
    <row r="170" spans="19:55" ht="15.75" customHeight="1">
      <c r="S170" s="454"/>
      <c r="BA170" s="1305"/>
      <c r="BC170" s="169"/>
    </row>
    <row r="171" spans="19:55" ht="15.75" customHeight="1">
      <c r="S171" s="454"/>
      <c r="BA171" s="1305"/>
      <c r="BC171" s="169"/>
    </row>
    <row r="172" spans="19:55" ht="15.75" customHeight="1">
      <c r="S172" s="454"/>
      <c r="BA172" s="1305"/>
      <c r="BC172" s="169"/>
    </row>
    <row r="173" spans="19:55" ht="15.75" customHeight="1">
      <c r="S173" s="454"/>
      <c r="BA173" s="1305"/>
      <c r="BC173" s="169"/>
    </row>
    <row r="174" spans="19:55" ht="15.75" customHeight="1">
      <c r="S174" s="454"/>
      <c r="BA174" s="1305"/>
      <c r="BC174" s="169"/>
    </row>
    <row r="175" spans="19:55" ht="15.75" customHeight="1">
      <c r="S175" s="454"/>
      <c r="BA175" s="1305"/>
      <c r="BC175" s="169"/>
    </row>
    <row r="176" spans="19:55" ht="15.75" customHeight="1">
      <c r="S176" s="454"/>
      <c r="BA176" s="1305"/>
      <c r="BC176" s="169"/>
    </row>
    <row r="177" spans="19:55" ht="15.75" customHeight="1">
      <c r="S177" s="454"/>
      <c r="BA177" s="1305"/>
      <c r="BC177" s="169"/>
    </row>
    <row r="178" spans="19:55" ht="15.75" customHeight="1">
      <c r="S178" s="454"/>
      <c r="BA178" s="1305"/>
      <c r="BC178" s="169"/>
    </row>
    <row r="179" spans="19:55" ht="15.75" customHeight="1">
      <c r="S179" s="454"/>
      <c r="BA179" s="1305"/>
      <c r="BC179" s="169"/>
    </row>
    <row r="180" spans="19:55" ht="15.75" customHeight="1">
      <c r="S180" s="454"/>
      <c r="BA180" s="1305"/>
      <c r="BC180" s="169"/>
    </row>
    <row r="181" spans="19:55" ht="15.75" customHeight="1">
      <c r="S181" s="454"/>
      <c r="BA181" s="1305"/>
      <c r="BC181" s="169"/>
    </row>
    <row r="182" spans="19:55" ht="15.75" customHeight="1">
      <c r="S182" s="454"/>
      <c r="BA182" s="1305"/>
      <c r="BC182" s="169"/>
    </row>
    <row r="183" spans="19:55" ht="15.75" customHeight="1">
      <c r="S183" s="454"/>
      <c r="BA183" s="1305"/>
      <c r="BC183" s="169"/>
    </row>
    <row r="184" spans="19:55" ht="15.75" customHeight="1">
      <c r="S184" s="454"/>
      <c r="BA184" s="1305"/>
      <c r="BC184" s="169"/>
    </row>
    <row r="185" spans="19:55" ht="15.75" customHeight="1">
      <c r="S185" s="454"/>
      <c r="BA185" s="1305"/>
      <c r="BC185" s="169"/>
    </row>
    <row r="186" spans="19:55" ht="15.75" customHeight="1">
      <c r="S186" s="454"/>
      <c r="BA186" s="1305"/>
      <c r="BC186" s="169"/>
    </row>
    <row r="187" spans="19:55" ht="15.75" customHeight="1">
      <c r="S187" s="454"/>
      <c r="BA187" s="1305"/>
      <c r="BC187" s="169"/>
    </row>
    <row r="188" spans="19:55" ht="15.75" customHeight="1">
      <c r="S188" s="454"/>
      <c r="BA188" s="1305"/>
      <c r="BC188" s="169"/>
    </row>
    <row r="189" spans="19:55" ht="15.75" customHeight="1">
      <c r="S189" s="454"/>
      <c r="BA189" s="1305"/>
      <c r="BC189" s="169"/>
    </row>
    <row r="190" spans="19:55" ht="15.75" customHeight="1">
      <c r="S190" s="454"/>
      <c r="BA190" s="1305"/>
      <c r="BC190" s="169"/>
    </row>
    <row r="191" spans="19:55" ht="15.75" customHeight="1">
      <c r="S191" s="454"/>
      <c r="BA191" s="1305"/>
      <c r="BC191" s="169"/>
    </row>
    <row r="192" spans="19:55" ht="15.75" customHeight="1">
      <c r="S192" s="454"/>
      <c r="BA192" s="1305"/>
      <c r="BC192" s="169"/>
    </row>
    <row r="193" spans="19:55" ht="15.75" customHeight="1">
      <c r="S193" s="454"/>
      <c r="BA193" s="1305"/>
      <c r="BC193" s="169"/>
    </row>
    <row r="194" spans="19:55" ht="15.75" customHeight="1">
      <c r="S194" s="454"/>
      <c r="BA194" s="1305"/>
      <c r="BC194" s="169"/>
    </row>
    <row r="195" spans="19:55" ht="15.75" customHeight="1">
      <c r="S195" s="454"/>
      <c r="BA195" s="1305"/>
      <c r="BC195" s="169"/>
    </row>
    <row r="196" spans="19:55" ht="15.75" customHeight="1">
      <c r="S196" s="454"/>
      <c r="BA196" s="1305"/>
      <c r="BC196" s="169"/>
    </row>
    <row r="197" spans="19:55" ht="15.75" customHeight="1">
      <c r="S197" s="454"/>
      <c r="BA197" s="1305"/>
      <c r="BC197" s="169"/>
    </row>
    <row r="198" spans="19:55" ht="15.75" customHeight="1">
      <c r="S198" s="454"/>
      <c r="BA198" s="1305"/>
      <c r="BC198" s="169"/>
    </row>
    <row r="199" spans="19:55" ht="15.75" customHeight="1">
      <c r="S199" s="454"/>
      <c r="BA199" s="1305"/>
      <c r="BC199" s="169"/>
    </row>
    <row r="200" spans="19:55" ht="15.75" customHeight="1">
      <c r="S200" s="454"/>
      <c r="BA200" s="1305"/>
      <c r="BC200" s="169"/>
    </row>
    <row r="201" spans="19:55" ht="15.75" customHeight="1">
      <c r="S201" s="454"/>
      <c r="AV201" s="178"/>
      <c r="AW201" s="178"/>
      <c r="AX201" s="178"/>
      <c r="AY201" s="454"/>
      <c r="AZ201" s="454"/>
      <c r="BA201" s="1306"/>
      <c r="BC201" s="169"/>
    </row>
    <row r="202" spans="19:55" ht="15.75" customHeight="1">
      <c r="S202" s="454"/>
      <c r="AV202" s="178"/>
      <c r="AW202" s="178"/>
      <c r="AX202" s="178"/>
      <c r="AY202" s="454"/>
      <c r="AZ202" s="454"/>
      <c r="BA202" s="1306"/>
      <c r="BC202" s="169"/>
    </row>
    <row r="203" spans="19:55" ht="15.75" customHeight="1">
      <c r="S203" s="454"/>
      <c r="AN203" s="454"/>
      <c r="AO203" s="178"/>
      <c r="AP203" s="178"/>
      <c r="AQ203" s="454"/>
      <c r="AR203" s="454"/>
      <c r="AS203" s="454"/>
      <c r="AT203" s="454"/>
      <c r="AU203" s="178"/>
      <c r="AV203" s="178"/>
      <c r="AW203" s="178"/>
      <c r="AX203" s="178"/>
      <c r="AY203" s="454"/>
      <c r="AZ203" s="454"/>
      <c r="BA203" s="1306"/>
      <c r="BC203" s="169"/>
    </row>
    <row r="204" spans="19:55" ht="15.75" customHeight="1">
      <c r="S204" s="454"/>
      <c r="AN204" s="454"/>
      <c r="AO204" s="178"/>
      <c r="AP204" s="178"/>
      <c r="AQ204" s="454"/>
      <c r="AR204" s="454"/>
      <c r="AS204" s="454"/>
      <c r="AT204" s="454"/>
      <c r="AU204" s="178"/>
      <c r="AV204" s="178"/>
      <c r="AW204" s="178"/>
      <c r="AX204" s="178"/>
      <c r="AY204" s="454"/>
      <c r="AZ204" s="454"/>
      <c r="BA204" s="1306"/>
      <c r="BC204" s="169"/>
    </row>
    <row r="205" spans="19:55" ht="15.75" customHeight="1">
      <c r="S205" s="454"/>
      <c r="AN205" s="454"/>
      <c r="AO205" s="178"/>
      <c r="AP205" s="178"/>
      <c r="AQ205" s="454"/>
      <c r="AR205" s="454"/>
      <c r="AS205" s="454"/>
      <c r="AT205" s="454"/>
      <c r="AU205" s="178"/>
      <c r="AV205" s="178"/>
      <c r="AW205" s="178"/>
      <c r="AX205" s="178"/>
      <c r="AY205" s="454"/>
      <c r="AZ205" s="454"/>
      <c r="BA205" s="1306"/>
      <c r="BC205" s="169"/>
    </row>
    <row r="206" spans="19:55" ht="15.75" customHeight="1">
      <c r="S206" s="454"/>
      <c r="AN206" s="454"/>
      <c r="AO206" s="178"/>
      <c r="AP206" s="178"/>
      <c r="AQ206" s="454"/>
      <c r="AR206" s="454"/>
      <c r="AS206" s="454"/>
      <c r="AT206" s="454"/>
      <c r="AU206" s="178"/>
      <c r="BA206" s="1305"/>
      <c r="BC206" s="169"/>
    </row>
    <row r="207" spans="19:55" ht="15.75" customHeight="1">
      <c r="S207" s="454"/>
      <c r="AN207" s="454"/>
      <c r="AO207" s="178"/>
      <c r="AP207" s="178"/>
      <c r="AQ207" s="454"/>
      <c r="AR207" s="454"/>
      <c r="AS207" s="454"/>
      <c r="AT207" s="454"/>
      <c r="AU207" s="178"/>
      <c r="BA207" s="1305"/>
      <c r="BC207" s="169"/>
    </row>
    <row r="208" spans="19:55" ht="15.75" customHeight="1">
      <c r="S208" s="454"/>
      <c r="BA208" s="1305"/>
      <c r="BC208" s="169"/>
    </row>
    <row r="209" spans="19:55" ht="15.75" customHeight="1">
      <c r="S209" s="454"/>
      <c r="BA209" s="1305"/>
      <c r="BC209" s="169"/>
    </row>
    <row r="210" spans="19:55" ht="15.75" customHeight="1">
      <c r="S210" s="454"/>
      <c r="BA210" s="1305"/>
      <c r="BC210" s="169"/>
    </row>
    <row r="211" spans="19:55" ht="15.75" customHeight="1">
      <c r="S211" s="454"/>
      <c r="BA211" s="1305"/>
      <c r="BC211" s="169"/>
    </row>
    <row r="212" spans="19:55" ht="15.75" customHeight="1">
      <c r="S212" s="454"/>
      <c r="BA212" s="1305"/>
      <c r="BC212" s="169"/>
    </row>
    <row r="213" spans="19:55" ht="15.75" customHeight="1">
      <c r="S213" s="454"/>
      <c r="BA213" s="1305"/>
      <c r="BC213" s="169"/>
    </row>
    <row r="214" spans="19:55" ht="15.75" customHeight="1">
      <c r="S214" s="454"/>
      <c r="BA214" s="1305"/>
      <c r="BC214" s="169"/>
    </row>
    <row r="215" spans="19:55" ht="15.75" customHeight="1">
      <c r="S215" s="454"/>
      <c r="BA215" s="1305"/>
      <c r="BC215" s="169"/>
    </row>
    <row r="216" spans="19:55" ht="15.75" customHeight="1">
      <c r="S216" s="454"/>
      <c r="BA216" s="1305"/>
      <c r="BC216" s="169"/>
    </row>
    <row r="217" spans="19:55" ht="15.75" customHeight="1">
      <c r="S217" s="454"/>
      <c r="BA217" s="1305"/>
      <c r="BC217" s="169"/>
    </row>
    <row r="218" spans="19:55" ht="15.75" customHeight="1">
      <c r="S218" s="454"/>
      <c r="BA218" s="1305"/>
      <c r="BC218" s="169"/>
    </row>
    <row r="219" spans="19:55" ht="15.75" customHeight="1">
      <c r="S219" s="454"/>
      <c r="BA219" s="1305"/>
      <c r="BC219" s="169"/>
    </row>
    <row r="220" spans="19:55" ht="15.75" customHeight="1">
      <c r="S220" s="454"/>
      <c r="BA220" s="1305"/>
      <c r="BC220" s="169"/>
    </row>
    <row r="221" spans="19:55" ht="15.75" customHeight="1">
      <c r="S221" s="454"/>
      <c r="BA221" s="1305"/>
      <c r="BC221" s="169"/>
    </row>
    <row r="222" spans="19:55" ht="15.75" customHeight="1">
      <c r="S222" s="454"/>
      <c r="BA222" s="1305"/>
      <c r="BC222" s="169"/>
    </row>
    <row r="223" spans="19:55" ht="15.75" customHeight="1">
      <c r="S223" s="454"/>
      <c r="BA223" s="1305"/>
      <c r="BC223" s="169"/>
    </row>
    <row r="224" spans="19:55" ht="15.75" customHeight="1">
      <c r="S224" s="454"/>
      <c r="BA224" s="1305"/>
      <c r="BC224" s="169"/>
    </row>
    <row r="225" spans="19:55" ht="15.75" customHeight="1">
      <c r="S225" s="454"/>
      <c r="BA225" s="1305"/>
      <c r="BC225" s="169"/>
    </row>
    <row r="226" spans="19:55" ht="15.75" customHeight="1">
      <c r="S226" s="454"/>
      <c r="BA226" s="1305"/>
      <c r="BC226" s="169"/>
    </row>
    <row r="227" spans="19:55" ht="15.75" customHeight="1">
      <c r="S227" s="454"/>
      <c r="BA227" s="1305"/>
      <c r="BC227" s="169"/>
    </row>
    <row r="228" spans="19:55" ht="15.75" customHeight="1">
      <c r="S228" s="454"/>
      <c r="BA228" s="1305"/>
      <c r="BC228" s="169"/>
    </row>
    <row r="229" spans="19:55" ht="15.75" customHeight="1">
      <c r="S229" s="454"/>
      <c r="BA229" s="1305"/>
      <c r="BC229" s="169"/>
    </row>
    <row r="230" spans="19:55" ht="15.75" customHeight="1">
      <c r="S230" s="454"/>
      <c r="BA230" s="1305"/>
      <c r="BC230" s="169"/>
    </row>
    <row r="231" spans="19:55" ht="15.75" customHeight="1">
      <c r="S231" s="454"/>
      <c r="BA231" s="1305"/>
      <c r="BC231" s="169"/>
    </row>
    <row r="232" spans="19:55" ht="15.75" customHeight="1">
      <c r="S232" s="454"/>
      <c r="BA232" s="1305"/>
      <c r="BC232" s="169"/>
    </row>
    <row r="233" spans="19:55" ht="15.75" customHeight="1">
      <c r="S233" s="454"/>
      <c r="BA233" s="1305"/>
      <c r="BC233" s="169"/>
    </row>
    <row r="234" spans="19:55" ht="15.75" customHeight="1">
      <c r="S234" s="454"/>
      <c r="BA234" s="1305"/>
      <c r="BC234" s="169"/>
    </row>
    <row r="235" spans="19:55" ht="15.75" customHeight="1">
      <c r="S235" s="454"/>
      <c r="BA235" s="1305"/>
      <c r="BC235" s="169"/>
    </row>
    <row r="236" spans="19:55" ht="15.75" customHeight="1">
      <c r="S236" s="454"/>
      <c r="BA236" s="1305"/>
      <c r="BC236" s="169"/>
    </row>
    <row r="237" spans="19:55" ht="15.75" customHeight="1">
      <c r="S237" s="454"/>
      <c r="BA237" s="1305"/>
      <c r="BC237" s="169"/>
    </row>
    <row r="238" spans="19:55" ht="15.75" customHeight="1">
      <c r="S238" s="454"/>
      <c r="BA238" s="1305"/>
      <c r="BC238" s="169"/>
    </row>
    <row r="239" spans="19:55" ht="15.75" customHeight="1">
      <c r="S239" s="454"/>
      <c r="BA239" s="1305"/>
      <c r="BC239" s="169"/>
    </row>
    <row r="240" spans="19:55" ht="15.75" customHeight="1">
      <c r="S240" s="454"/>
      <c r="BA240" s="1305"/>
      <c r="BC240" s="169"/>
    </row>
    <row r="241" spans="19:55" ht="15.75" customHeight="1">
      <c r="S241" s="454"/>
      <c r="BA241" s="1305"/>
      <c r="BC241" s="169"/>
    </row>
    <row r="242" spans="19:55" ht="15.75" customHeight="1">
      <c r="S242" s="454"/>
      <c r="BA242" s="1305"/>
      <c r="BC242" s="169"/>
    </row>
    <row r="243" spans="19:55" ht="15.75" customHeight="1">
      <c r="S243" s="454"/>
      <c r="BA243" s="1305"/>
      <c r="BC243" s="169"/>
    </row>
    <row r="244" spans="19:55" ht="15.75" customHeight="1">
      <c r="S244" s="454"/>
      <c r="BA244" s="1305"/>
      <c r="BC244" s="169"/>
    </row>
    <row r="245" spans="19:55" ht="15.75" customHeight="1">
      <c r="S245" s="454"/>
      <c r="BA245" s="1305"/>
      <c r="BC245" s="169"/>
    </row>
    <row r="246" spans="19:55" ht="15.75" customHeight="1">
      <c r="S246" s="454"/>
      <c r="BA246" s="1305"/>
      <c r="BC246" s="169"/>
    </row>
    <row r="247" spans="19:55" ht="15.75" customHeight="1">
      <c r="S247" s="454"/>
      <c r="BA247" s="1305"/>
      <c r="BC247" s="169"/>
    </row>
    <row r="248" spans="19:55" ht="15.75" customHeight="1">
      <c r="S248" s="454"/>
      <c r="BA248" s="1305"/>
      <c r="BC248" s="169"/>
    </row>
    <row r="249" spans="19:55" ht="15.75" customHeight="1">
      <c r="S249" s="454"/>
      <c r="BA249" s="1305"/>
      <c r="BC249" s="169"/>
    </row>
    <row r="250" spans="19:55" ht="15.75" customHeight="1">
      <c r="S250" s="454"/>
      <c r="BA250" s="1305"/>
      <c r="BC250" s="169"/>
    </row>
    <row r="251" spans="19:55" ht="15.75" customHeight="1">
      <c r="S251" s="454"/>
      <c r="BA251" s="1305"/>
      <c r="BC251" s="169"/>
    </row>
    <row r="252" spans="19:55" ht="15.75" customHeight="1">
      <c r="S252" s="454"/>
      <c r="BA252" s="1305"/>
      <c r="BC252" s="169"/>
    </row>
    <row r="253" spans="19:55" ht="15.75" customHeight="1">
      <c r="S253" s="454"/>
      <c r="BA253" s="1305"/>
      <c r="BC253" s="169"/>
    </row>
    <row r="254" spans="19:55" ht="15.75" customHeight="1">
      <c r="S254" s="454"/>
      <c r="BA254" s="1305"/>
      <c r="BC254" s="169"/>
    </row>
    <row r="255" spans="19:55" ht="15.75" customHeight="1">
      <c r="S255" s="454"/>
      <c r="BA255" s="1305"/>
      <c r="BC255" s="169"/>
    </row>
    <row r="256" spans="19:55" ht="15.75" customHeight="1">
      <c r="S256" s="454"/>
      <c r="BA256" s="1305"/>
      <c r="BC256" s="169"/>
    </row>
    <row r="257" spans="19:55" ht="15.75" customHeight="1">
      <c r="S257" s="454"/>
      <c r="BA257" s="1305"/>
      <c r="BC257" s="169"/>
    </row>
    <row r="258" spans="19:55" ht="15.75" customHeight="1">
      <c r="S258" s="454"/>
      <c r="BA258" s="1305"/>
      <c r="BC258" s="169"/>
    </row>
    <row r="259" spans="19:55" ht="15.75" customHeight="1">
      <c r="S259" s="454"/>
      <c r="BA259" s="1305"/>
      <c r="BC259" s="169"/>
    </row>
    <row r="260" spans="19:55" ht="15.75" customHeight="1">
      <c r="S260" s="454"/>
      <c r="BA260" s="1305"/>
      <c r="BC260" s="169"/>
    </row>
    <row r="261" spans="19:55" ht="15.75" customHeight="1">
      <c r="S261" s="454"/>
      <c r="BA261" s="1305"/>
      <c r="BC261" s="169"/>
    </row>
    <row r="262" spans="19:55" ht="15.75" customHeight="1">
      <c r="S262" s="454"/>
      <c r="BA262" s="1305"/>
      <c r="BC262" s="169"/>
    </row>
    <row r="263" spans="19:55" ht="15.75" customHeight="1">
      <c r="S263" s="454"/>
      <c r="BA263" s="1305"/>
      <c r="BC263" s="169"/>
    </row>
    <row r="264" spans="19:55" ht="15.75" customHeight="1">
      <c r="S264" s="454"/>
      <c r="BA264" s="1305"/>
      <c r="BC264" s="169"/>
    </row>
    <row r="265" spans="19:55" ht="15.75" customHeight="1">
      <c r="S265" s="454"/>
      <c r="BA265" s="1305"/>
      <c r="BC265" s="169"/>
    </row>
    <row r="266" spans="19:55" ht="15.75" customHeight="1">
      <c r="S266" s="454"/>
      <c r="BA266" s="1305"/>
      <c r="BC266" s="169"/>
    </row>
    <row r="267" spans="19:55" ht="15.75" customHeight="1">
      <c r="S267" s="454"/>
      <c r="BA267" s="1305"/>
      <c r="BC267" s="169"/>
    </row>
    <row r="268" spans="19:55" ht="15.75" customHeight="1">
      <c r="S268" s="454"/>
      <c r="BA268" s="1305"/>
      <c r="BC268" s="169"/>
    </row>
    <row r="269" spans="19:55" ht="15.75" customHeight="1">
      <c r="S269" s="454"/>
      <c r="BA269" s="1305"/>
      <c r="BC269" s="169"/>
    </row>
    <row r="270" spans="19:55" ht="15.75" customHeight="1">
      <c r="S270" s="454"/>
      <c r="BA270" s="1305"/>
      <c r="BC270" s="169"/>
    </row>
    <row r="271" spans="19:55" ht="15.75" customHeight="1">
      <c r="S271" s="454"/>
      <c r="BA271" s="1305"/>
      <c r="BC271" s="169"/>
    </row>
    <row r="272" spans="19:55" ht="15.75" customHeight="1">
      <c r="S272" s="454"/>
      <c r="BA272" s="1305"/>
      <c r="BC272" s="169"/>
    </row>
    <row r="273" spans="19:55" ht="15.75" customHeight="1">
      <c r="S273" s="454"/>
      <c r="BA273" s="1305"/>
      <c r="BC273" s="169"/>
    </row>
    <row r="274" spans="19:55" ht="15.75" customHeight="1">
      <c r="S274" s="454"/>
      <c r="BA274" s="1305"/>
      <c r="BC274" s="169"/>
    </row>
    <row r="275" spans="19:55" ht="15.75" customHeight="1">
      <c r="S275" s="454"/>
      <c r="BA275" s="1305"/>
      <c r="BC275" s="169"/>
    </row>
    <row r="276" spans="19:55" ht="15.75" customHeight="1">
      <c r="S276" s="454"/>
      <c r="BA276" s="1305"/>
      <c r="BC276" s="169"/>
    </row>
    <row r="277" spans="19:55" ht="15.75" customHeight="1">
      <c r="S277" s="454"/>
      <c r="BA277" s="1305"/>
      <c r="BC277" s="169"/>
    </row>
    <row r="278" spans="19:55" ht="15.75" customHeight="1">
      <c r="S278" s="454"/>
      <c r="BA278" s="1305"/>
      <c r="BC278" s="169"/>
    </row>
    <row r="279" spans="19:55" ht="15.75" customHeight="1">
      <c r="S279" s="454"/>
      <c r="BA279" s="1305"/>
      <c r="BC279" s="169"/>
    </row>
    <row r="280" spans="19:55" ht="15.75" customHeight="1">
      <c r="S280" s="454"/>
      <c r="BA280" s="1305"/>
      <c r="BC280" s="169"/>
    </row>
    <row r="281" spans="19:55" ht="15.75" customHeight="1">
      <c r="S281" s="454"/>
      <c r="BA281" s="1305"/>
      <c r="BC281" s="169"/>
    </row>
    <row r="282" spans="19:55" ht="15.75" customHeight="1">
      <c r="S282" s="454"/>
      <c r="BA282" s="1305"/>
      <c r="BC282" s="169"/>
    </row>
    <row r="283" spans="19:55" ht="15.75" customHeight="1">
      <c r="S283" s="454"/>
      <c r="BA283" s="1305"/>
      <c r="BC283" s="169"/>
    </row>
    <row r="284" spans="19:55" ht="15.75" customHeight="1">
      <c r="S284" s="454"/>
      <c r="BA284" s="1305"/>
      <c r="BC284" s="169"/>
    </row>
    <row r="285" spans="19:55" ht="15.75" customHeight="1">
      <c r="S285" s="454"/>
      <c r="BA285" s="1305"/>
      <c r="BC285" s="169"/>
    </row>
    <row r="286" spans="19:55" ht="15.75" customHeight="1">
      <c r="S286" s="454"/>
      <c r="BA286" s="1305"/>
      <c r="BC286" s="169"/>
    </row>
    <row r="287" spans="19:55" ht="15.75" customHeight="1">
      <c r="S287" s="454"/>
      <c r="BA287" s="1305"/>
      <c r="BC287" s="169"/>
    </row>
    <row r="288" spans="19:55" ht="15.75" customHeight="1">
      <c r="S288" s="454"/>
      <c r="BA288" s="1305"/>
      <c r="BC288" s="169"/>
    </row>
    <row r="289" spans="19:55" ht="15.75" customHeight="1">
      <c r="S289" s="454"/>
      <c r="BA289" s="1305"/>
      <c r="BC289" s="169"/>
    </row>
    <row r="290" spans="19:55" ht="15.75" customHeight="1">
      <c r="S290" s="454"/>
      <c r="BA290" s="1305"/>
      <c r="BC290" s="169"/>
    </row>
    <row r="291" spans="19:55" ht="15.75" customHeight="1">
      <c r="S291" s="454"/>
      <c r="BA291" s="1305"/>
      <c r="BC291" s="169"/>
    </row>
    <row r="292" spans="19:55" ht="15.75" customHeight="1">
      <c r="S292" s="454"/>
      <c r="BA292" s="1305"/>
      <c r="BC292" s="169"/>
    </row>
    <row r="293" spans="19:55" ht="15.75" customHeight="1">
      <c r="S293" s="454"/>
      <c r="BA293" s="1305"/>
      <c r="BC293" s="169"/>
    </row>
    <row r="294" spans="19:55" ht="15.75" customHeight="1">
      <c r="S294" s="454"/>
      <c r="BA294" s="1305"/>
      <c r="BC294" s="169"/>
    </row>
    <row r="295" spans="19:55" ht="15.75" customHeight="1">
      <c r="S295" s="454"/>
      <c r="BA295" s="1305"/>
      <c r="BC295" s="169"/>
    </row>
    <row r="296" spans="19:55" ht="15.75" customHeight="1">
      <c r="S296" s="454"/>
      <c r="BA296" s="1305"/>
      <c r="BC296" s="169"/>
    </row>
    <row r="297" spans="19:55" ht="15.75" customHeight="1">
      <c r="S297" s="454"/>
      <c r="BA297" s="1305"/>
      <c r="BC297" s="169"/>
    </row>
    <row r="298" spans="19:55" ht="15.75" customHeight="1">
      <c r="S298" s="454"/>
      <c r="BA298" s="1305"/>
      <c r="BC298" s="169"/>
    </row>
    <row r="299" spans="19:55" ht="15.75" customHeight="1">
      <c r="S299" s="454"/>
      <c r="BA299" s="1305"/>
      <c r="BC299" s="169"/>
    </row>
    <row r="300" spans="19:55" ht="15.75" customHeight="1">
      <c r="S300" s="454"/>
      <c r="BA300" s="1305"/>
      <c r="BC300" s="169"/>
    </row>
    <row r="301" spans="19:55" ht="15.75" customHeight="1">
      <c r="S301" s="454"/>
      <c r="BA301" s="1305"/>
      <c r="BC301" s="169"/>
    </row>
    <row r="302" spans="19:55" ht="15.75" customHeight="1">
      <c r="S302" s="454"/>
      <c r="BA302" s="1305"/>
      <c r="BC302" s="169"/>
    </row>
    <row r="303" spans="19:55" ht="15.75" customHeight="1">
      <c r="S303" s="454"/>
      <c r="BA303" s="1305"/>
      <c r="BC303" s="169"/>
    </row>
    <row r="304" spans="19:55" ht="15.75" customHeight="1">
      <c r="S304" s="454"/>
      <c r="BA304" s="1305"/>
      <c r="BC304" s="169"/>
    </row>
    <row r="305" spans="19:55" ht="15.75" customHeight="1">
      <c r="S305" s="454"/>
      <c r="BA305" s="1305"/>
      <c r="BC305" s="169"/>
    </row>
    <row r="306" spans="19:55" ht="15.75" customHeight="1">
      <c r="S306" s="454"/>
      <c r="BA306" s="1305"/>
      <c r="BC306" s="169"/>
    </row>
    <row r="307" spans="19:55" ht="15.75" customHeight="1">
      <c r="S307" s="454"/>
      <c r="BA307" s="1305"/>
      <c r="BC307" s="169"/>
    </row>
    <row r="308" spans="19:55" ht="15.75" customHeight="1">
      <c r="S308" s="454"/>
      <c r="BA308" s="1305"/>
      <c r="BC308" s="169"/>
    </row>
    <row r="309" spans="19:55" ht="15.75" customHeight="1">
      <c r="S309" s="454"/>
      <c r="BA309" s="1305"/>
      <c r="BC309" s="169"/>
    </row>
    <row r="310" spans="19:55" ht="15.75" customHeight="1">
      <c r="S310" s="454"/>
      <c r="BA310" s="1305"/>
      <c r="BC310" s="169"/>
    </row>
    <row r="311" spans="19:55" ht="15.75" customHeight="1">
      <c r="S311" s="454"/>
      <c r="BA311" s="1305"/>
      <c r="BC311" s="169"/>
    </row>
    <row r="312" spans="19:55" ht="15.75" customHeight="1">
      <c r="S312" s="454"/>
      <c r="BA312" s="1305"/>
      <c r="BC312" s="169"/>
    </row>
    <row r="313" spans="19:55" ht="15.75" customHeight="1">
      <c r="S313" s="454"/>
      <c r="BA313" s="1305"/>
      <c r="BC313" s="169"/>
    </row>
    <row r="314" spans="19:55" ht="15.75" customHeight="1">
      <c r="S314" s="454"/>
      <c r="BA314" s="1305"/>
      <c r="BC314" s="169"/>
    </row>
    <row r="315" spans="19:55" ht="15.75" customHeight="1">
      <c r="S315" s="454"/>
      <c r="BA315" s="1305"/>
      <c r="BC315" s="169"/>
    </row>
    <row r="316" spans="19:55" ht="15.75" customHeight="1">
      <c r="S316" s="454"/>
      <c r="BA316" s="1305"/>
      <c r="BC316" s="169"/>
    </row>
    <row r="317" spans="19:55" ht="15.75" customHeight="1">
      <c r="S317" s="454"/>
      <c r="BA317" s="1305"/>
      <c r="BC317" s="169"/>
    </row>
    <row r="318" spans="19:55" ht="15.75" customHeight="1">
      <c r="S318" s="454"/>
      <c r="BA318" s="1305"/>
      <c r="BC318" s="169"/>
    </row>
    <row r="319" spans="19:55" ht="15.75" customHeight="1">
      <c r="S319" s="454"/>
      <c r="BA319" s="1305"/>
      <c r="BC319" s="169"/>
    </row>
    <row r="320" spans="19:55" ht="15.75" customHeight="1">
      <c r="S320" s="454"/>
      <c r="BA320" s="1305"/>
      <c r="BC320" s="169"/>
    </row>
    <row r="321" spans="19:55" ht="15.75" customHeight="1">
      <c r="S321" s="454"/>
      <c r="BA321" s="1305"/>
      <c r="BC321" s="169"/>
    </row>
    <row r="322" spans="19:55" ht="15.75" customHeight="1">
      <c r="S322" s="454"/>
      <c r="BA322" s="1305"/>
      <c r="BC322" s="169"/>
    </row>
    <row r="323" spans="19:55" ht="15.75" customHeight="1">
      <c r="S323" s="454"/>
      <c r="BA323" s="1305"/>
      <c r="BC323" s="169"/>
    </row>
    <row r="324" spans="19:55" ht="15.75" customHeight="1">
      <c r="S324" s="454"/>
      <c r="BA324" s="1305"/>
      <c r="BC324" s="169"/>
    </row>
    <row r="325" spans="19:55" ht="15.75" customHeight="1">
      <c r="S325" s="454"/>
      <c r="BA325" s="1305"/>
      <c r="BC325" s="169"/>
    </row>
    <row r="326" spans="19:55" ht="15.75" customHeight="1">
      <c r="S326" s="454"/>
      <c r="BA326" s="1305"/>
      <c r="BC326" s="169"/>
    </row>
    <row r="327" spans="19:55" ht="15.75" customHeight="1">
      <c r="S327" s="454"/>
      <c r="BA327" s="1305"/>
      <c r="BC327" s="169"/>
    </row>
    <row r="328" spans="19:55" ht="15.75" customHeight="1">
      <c r="S328" s="454"/>
      <c r="BA328" s="1305"/>
      <c r="BC328" s="169"/>
    </row>
    <row r="329" spans="19:55" ht="15.75" customHeight="1">
      <c r="S329" s="454"/>
      <c r="BA329" s="1305"/>
      <c r="BC329" s="169"/>
    </row>
    <row r="330" spans="19:55" ht="15.75" customHeight="1">
      <c r="S330" s="454"/>
      <c r="BA330" s="1305"/>
      <c r="BC330" s="169"/>
    </row>
    <row r="331" spans="19:55" ht="15.75" customHeight="1">
      <c r="S331" s="454"/>
      <c r="BA331" s="1305"/>
      <c r="BC331" s="169"/>
    </row>
    <row r="332" spans="19:55" ht="15.75" customHeight="1">
      <c r="S332" s="454"/>
      <c r="BA332" s="1305"/>
      <c r="BC332" s="169"/>
    </row>
    <row r="333" spans="19:55" ht="15.75" customHeight="1">
      <c r="S333" s="454"/>
      <c r="BA333" s="1305"/>
      <c r="BC333" s="169"/>
    </row>
    <row r="334" spans="19:55" ht="15.75" customHeight="1">
      <c r="S334" s="454"/>
      <c r="BA334" s="1305"/>
      <c r="BC334" s="169"/>
    </row>
    <row r="335" spans="19:55" ht="15.75" customHeight="1">
      <c r="S335" s="454"/>
      <c r="BA335" s="1305"/>
      <c r="BC335" s="169"/>
    </row>
    <row r="336" spans="19:55" ht="15.75" customHeight="1">
      <c r="S336" s="454"/>
      <c r="BA336" s="1305"/>
      <c r="BC336" s="169"/>
    </row>
    <row r="337" spans="19:55" ht="15.75" customHeight="1">
      <c r="S337" s="454"/>
      <c r="BA337" s="1305"/>
      <c r="BC337" s="169"/>
    </row>
    <row r="338" spans="19:55" ht="15.75" customHeight="1">
      <c r="S338" s="454"/>
      <c r="BA338" s="1305"/>
      <c r="BC338" s="169"/>
    </row>
    <row r="339" spans="19:55" ht="15.75" customHeight="1">
      <c r="S339" s="454"/>
      <c r="BA339" s="1305"/>
      <c r="BC339" s="169"/>
    </row>
    <row r="340" spans="19:55" ht="15.75" customHeight="1">
      <c r="S340" s="454"/>
      <c r="BA340" s="1305"/>
      <c r="BC340" s="169"/>
    </row>
    <row r="341" spans="19:55" ht="15.75" customHeight="1">
      <c r="S341" s="454"/>
      <c r="BA341" s="1305"/>
      <c r="BC341" s="169"/>
    </row>
    <row r="342" spans="19:55" ht="15.75" customHeight="1">
      <c r="S342" s="454"/>
      <c r="BA342" s="1305"/>
      <c r="BC342" s="169"/>
    </row>
    <row r="343" spans="19:55" ht="15.75" customHeight="1">
      <c r="S343" s="454"/>
      <c r="BA343" s="1305"/>
      <c r="BC343" s="169"/>
    </row>
    <row r="344" spans="19:55" ht="15.75" customHeight="1">
      <c r="S344" s="454"/>
      <c r="BA344" s="1305"/>
      <c r="BC344" s="169"/>
    </row>
    <row r="345" spans="19:55" ht="15.75" customHeight="1">
      <c r="S345" s="454"/>
      <c r="BA345" s="1305"/>
      <c r="BC345" s="169"/>
    </row>
    <row r="346" spans="19:55" ht="15.75" customHeight="1">
      <c r="S346" s="454"/>
      <c r="BA346" s="1305"/>
      <c r="BC346" s="169"/>
    </row>
    <row r="347" spans="19:55" ht="15.75" customHeight="1">
      <c r="S347" s="454"/>
      <c r="BA347" s="1305"/>
      <c r="BC347" s="169"/>
    </row>
    <row r="348" spans="19:55" ht="15.75" customHeight="1">
      <c r="S348" s="454"/>
      <c r="BA348" s="1305"/>
      <c r="BC348" s="169"/>
    </row>
    <row r="349" spans="19:55" ht="15.75" customHeight="1">
      <c r="S349" s="454"/>
      <c r="BA349" s="1305"/>
      <c r="BC349" s="169"/>
    </row>
    <row r="350" spans="19:55" ht="15.75" customHeight="1">
      <c r="S350" s="454"/>
      <c r="BA350" s="1305"/>
      <c r="BC350" s="169"/>
    </row>
    <row r="351" spans="19:55" ht="15.75" customHeight="1">
      <c r="S351" s="454"/>
      <c r="BA351" s="1305"/>
      <c r="BC351" s="169"/>
    </row>
    <row r="352" spans="19:55" ht="15.75" customHeight="1">
      <c r="S352" s="454"/>
      <c r="BA352" s="1305"/>
      <c r="BC352" s="169"/>
    </row>
    <row r="353" spans="19:55" ht="15.75" customHeight="1">
      <c r="S353" s="454"/>
      <c r="BA353" s="1305"/>
      <c r="BC353" s="169"/>
    </row>
    <row r="354" spans="19:55" ht="15.75" customHeight="1">
      <c r="S354" s="454"/>
      <c r="BA354" s="1305"/>
      <c r="BC354" s="169"/>
    </row>
    <row r="355" spans="19:55" ht="15.75" customHeight="1">
      <c r="S355" s="454"/>
      <c r="BA355" s="1305"/>
      <c r="BC355" s="169"/>
    </row>
    <row r="356" spans="19:55" ht="15.75" customHeight="1">
      <c r="S356" s="454"/>
      <c r="BA356" s="1305"/>
      <c r="BC356" s="169"/>
    </row>
    <row r="357" spans="19:55" ht="15.75" customHeight="1">
      <c r="S357" s="454"/>
      <c r="BA357" s="1305"/>
      <c r="BC357" s="169"/>
    </row>
    <row r="358" spans="19:55" ht="15.75" customHeight="1">
      <c r="S358" s="454"/>
      <c r="BA358" s="1305"/>
      <c r="BC358" s="169"/>
    </row>
    <row r="359" spans="19:55" ht="15.75" customHeight="1">
      <c r="S359" s="454"/>
      <c r="BA359" s="1305"/>
      <c r="BC359" s="169"/>
    </row>
    <row r="360" spans="19:55" ht="15.75" customHeight="1">
      <c r="S360" s="454"/>
      <c r="BA360" s="1305"/>
      <c r="BC360" s="169"/>
    </row>
    <row r="361" spans="19:55" ht="15.75" customHeight="1">
      <c r="S361" s="454"/>
      <c r="BA361" s="1305"/>
      <c r="BC361" s="169"/>
    </row>
    <row r="362" spans="19:55" ht="15.75" customHeight="1">
      <c r="S362" s="454"/>
      <c r="BA362" s="1305"/>
      <c r="BC362" s="169"/>
    </row>
    <row r="363" spans="19:55" ht="15.75" customHeight="1">
      <c r="S363" s="454"/>
      <c r="BA363" s="1305"/>
      <c r="BC363" s="169"/>
    </row>
    <row r="364" spans="19:55" ht="15.75" customHeight="1">
      <c r="S364" s="454"/>
      <c r="BA364" s="1305"/>
      <c r="BC364" s="169"/>
    </row>
    <row r="365" spans="19:55" ht="15.75" customHeight="1">
      <c r="S365" s="454"/>
      <c r="BA365" s="1305"/>
      <c r="BC365" s="169"/>
    </row>
    <row r="366" spans="19:55" ht="15.75" customHeight="1">
      <c r="S366" s="454"/>
      <c r="BA366" s="1305"/>
      <c r="BC366" s="169"/>
    </row>
    <row r="367" spans="19:55" ht="15.75" customHeight="1">
      <c r="S367" s="454"/>
      <c r="BA367" s="1305"/>
      <c r="BC367" s="169"/>
    </row>
    <row r="368" spans="19:55" ht="15.75" customHeight="1">
      <c r="S368" s="454"/>
      <c r="BA368" s="1305"/>
      <c r="BC368" s="169"/>
    </row>
    <row r="369" spans="19:55" ht="15.75" customHeight="1">
      <c r="S369" s="454"/>
      <c r="BA369" s="1305"/>
      <c r="BC369" s="169"/>
    </row>
    <row r="370" spans="19:55" ht="15.75" customHeight="1">
      <c r="S370" s="454"/>
      <c r="BA370" s="1305"/>
      <c r="BC370" s="169"/>
    </row>
    <row r="371" spans="19:55" ht="15.75" customHeight="1">
      <c r="S371" s="454"/>
      <c r="BA371" s="1305"/>
      <c r="BC371" s="169"/>
    </row>
    <row r="372" spans="19:55" ht="15.75" customHeight="1">
      <c r="S372" s="454"/>
      <c r="BA372" s="1305"/>
      <c r="BC372" s="169"/>
    </row>
    <row r="373" spans="19:55" ht="15.75" customHeight="1">
      <c r="S373" s="454"/>
      <c r="BA373" s="1305"/>
      <c r="BC373" s="169"/>
    </row>
    <row r="374" spans="19:55" ht="15.75" customHeight="1">
      <c r="S374" s="454"/>
      <c r="BA374" s="1305"/>
      <c r="BC374" s="169"/>
    </row>
    <row r="375" spans="19:55" ht="15.75" customHeight="1">
      <c r="S375" s="454"/>
      <c r="BA375" s="1305"/>
      <c r="BC375" s="169"/>
    </row>
    <row r="376" spans="19:55" ht="15.75" customHeight="1">
      <c r="S376" s="454"/>
      <c r="BA376" s="1305"/>
      <c r="BC376" s="169"/>
    </row>
    <row r="377" spans="19:55" ht="15.75" customHeight="1">
      <c r="S377" s="454"/>
      <c r="BA377" s="1305"/>
      <c r="BC377" s="169"/>
    </row>
    <row r="378" spans="19:55" ht="15.75" customHeight="1">
      <c r="S378" s="454"/>
      <c r="BA378" s="1305"/>
      <c r="BC378" s="169"/>
    </row>
    <row r="379" spans="19:55" ht="15.75" customHeight="1">
      <c r="S379" s="454"/>
      <c r="BA379" s="1305"/>
      <c r="BC379" s="169"/>
    </row>
    <row r="380" spans="19:55" ht="15.75" customHeight="1">
      <c r="S380" s="454"/>
      <c r="BA380" s="1305"/>
      <c r="BC380" s="169"/>
    </row>
    <row r="381" spans="19:55" ht="15.75" customHeight="1">
      <c r="S381" s="454"/>
      <c r="BA381" s="1305"/>
      <c r="BC381" s="169"/>
    </row>
    <row r="382" spans="19:55" ht="15.75" customHeight="1">
      <c r="S382" s="454"/>
      <c r="BA382" s="1305"/>
      <c r="BC382" s="169"/>
    </row>
    <row r="383" spans="19:55" ht="15.75" customHeight="1">
      <c r="S383" s="454"/>
      <c r="BA383" s="1305"/>
      <c r="BC383" s="169"/>
    </row>
    <row r="384" spans="19:55" ht="15.75" customHeight="1">
      <c r="S384" s="454"/>
      <c r="BA384" s="1305"/>
      <c r="BC384" s="169"/>
    </row>
    <row r="385" spans="19:55" ht="15.75" customHeight="1">
      <c r="S385" s="454"/>
      <c r="BA385" s="1305"/>
      <c r="BC385" s="169"/>
    </row>
    <row r="386" spans="19:55" ht="15.75" customHeight="1">
      <c r="S386" s="454"/>
      <c r="BA386" s="1305"/>
      <c r="BC386" s="169"/>
    </row>
    <row r="387" spans="19:55" ht="15.75" customHeight="1">
      <c r="S387" s="454"/>
      <c r="BA387" s="1305"/>
      <c r="BC387" s="169"/>
    </row>
    <row r="388" spans="19:55" ht="15.75" customHeight="1">
      <c r="S388" s="454"/>
      <c r="BA388" s="1305"/>
      <c r="BC388" s="169"/>
    </row>
    <row r="389" spans="19:55" ht="15.75" customHeight="1">
      <c r="S389" s="454"/>
      <c r="BA389" s="1305"/>
      <c r="BC389" s="169"/>
    </row>
    <row r="390" spans="19:55" ht="15.75" customHeight="1">
      <c r="S390" s="454"/>
      <c r="BA390" s="1305"/>
      <c r="BC390" s="169"/>
    </row>
    <row r="391" spans="19:55" ht="15.75" customHeight="1">
      <c r="S391" s="454"/>
      <c r="BA391" s="1305"/>
      <c r="BC391" s="169"/>
    </row>
    <row r="392" spans="19:55" ht="15.75" customHeight="1">
      <c r="S392" s="454"/>
      <c r="BA392" s="1305"/>
      <c r="BC392" s="169"/>
    </row>
    <row r="393" spans="19:55" ht="15.75" customHeight="1">
      <c r="S393" s="454"/>
      <c r="BA393" s="1305"/>
      <c r="BC393" s="169"/>
    </row>
    <row r="394" spans="19:55" ht="15.75" customHeight="1">
      <c r="S394" s="454"/>
      <c r="BA394" s="1305"/>
      <c r="BC394" s="169"/>
    </row>
    <row r="395" spans="19:55" ht="15.75" customHeight="1">
      <c r="S395" s="454"/>
      <c r="BA395" s="1305"/>
      <c r="BC395" s="169"/>
    </row>
    <row r="396" spans="19:55" ht="15.75" customHeight="1">
      <c r="S396" s="454"/>
      <c r="BA396" s="1305"/>
      <c r="BC396" s="169"/>
    </row>
    <row r="397" spans="19:55" ht="15.75" customHeight="1">
      <c r="S397" s="454"/>
      <c r="BA397" s="1305"/>
      <c r="BC397" s="169"/>
    </row>
    <row r="398" spans="19:55" ht="15.75" customHeight="1">
      <c r="S398" s="454"/>
      <c r="BA398" s="1305"/>
      <c r="BC398" s="169"/>
    </row>
    <row r="399" spans="19:55" ht="15.75" customHeight="1">
      <c r="S399" s="454"/>
      <c r="BA399" s="1305"/>
      <c r="BC399" s="169"/>
    </row>
    <row r="400" spans="19:55" ht="15.75" customHeight="1">
      <c r="S400" s="454"/>
      <c r="BA400" s="1305"/>
      <c r="BC400" s="169"/>
    </row>
    <row r="401" spans="19:55" ht="15.75" customHeight="1">
      <c r="S401" s="454"/>
      <c r="BA401" s="1305"/>
      <c r="BC401" s="169"/>
    </row>
    <row r="402" spans="19:55" ht="15.75" customHeight="1">
      <c r="S402" s="454"/>
      <c r="BA402" s="1305"/>
      <c r="BC402" s="169"/>
    </row>
    <row r="403" spans="19:55" ht="15.75" customHeight="1">
      <c r="S403" s="454"/>
      <c r="BA403" s="1305"/>
      <c r="BC403" s="169"/>
    </row>
    <row r="404" spans="19:55" ht="15.75" customHeight="1">
      <c r="S404" s="454"/>
      <c r="BA404" s="1305"/>
      <c r="BC404" s="169"/>
    </row>
    <row r="405" spans="19:55" ht="15.75" customHeight="1">
      <c r="S405" s="454"/>
      <c r="BA405" s="1305"/>
      <c r="BC405" s="169"/>
    </row>
    <row r="406" spans="19:55" ht="15.75" customHeight="1">
      <c r="S406" s="454"/>
      <c r="BA406" s="1305"/>
      <c r="BC406" s="169"/>
    </row>
    <row r="407" spans="19:55" ht="15.75" customHeight="1">
      <c r="S407" s="454"/>
      <c r="BA407" s="1305"/>
      <c r="BC407" s="169"/>
    </row>
    <row r="408" spans="19:55" ht="15.75" customHeight="1">
      <c r="S408" s="454"/>
      <c r="BA408" s="1305"/>
      <c r="BC408" s="169"/>
    </row>
    <row r="409" spans="19:55" ht="15.75" customHeight="1">
      <c r="S409" s="454"/>
      <c r="BA409" s="1305"/>
      <c r="BC409" s="169"/>
    </row>
    <row r="410" spans="19:55" ht="15.75" customHeight="1">
      <c r="S410" s="454"/>
      <c r="BA410" s="1305"/>
      <c r="BC410" s="169"/>
    </row>
    <row r="411" spans="19:55" ht="15.75" customHeight="1">
      <c r="S411" s="454"/>
      <c r="BA411" s="1305"/>
      <c r="BC411" s="169"/>
    </row>
    <row r="412" spans="19:55" ht="15.75" customHeight="1">
      <c r="S412" s="454"/>
      <c r="BA412" s="1305"/>
      <c r="BC412" s="169"/>
    </row>
    <row r="413" spans="19:55" ht="15.75" customHeight="1">
      <c r="S413" s="454"/>
      <c r="BA413" s="1305"/>
      <c r="BC413" s="169"/>
    </row>
    <row r="414" spans="19:55" ht="15.75" customHeight="1">
      <c r="S414" s="454"/>
      <c r="BA414" s="1305"/>
      <c r="BC414" s="169"/>
    </row>
    <row r="415" spans="19:55" ht="15.75" customHeight="1">
      <c r="S415" s="454"/>
      <c r="BA415" s="1305"/>
      <c r="BC415" s="169"/>
    </row>
    <row r="416" spans="19:55" ht="15.75" customHeight="1">
      <c r="S416" s="454"/>
      <c r="BA416" s="1305"/>
      <c r="BC416" s="169"/>
    </row>
    <row r="417" spans="19:55" ht="15.75" customHeight="1">
      <c r="S417" s="454"/>
      <c r="BA417" s="1305"/>
      <c r="BC417" s="169"/>
    </row>
    <row r="418" spans="19:55" ht="15.75" customHeight="1">
      <c r="S418" s="454"/>
      <c r="BA418" s="1305"/>
      <c r="BC418" s="169"/>
    </row>
    <row r="419" spans="19:55" ht="15.75" customHeight="1">
      <c r="S419" s="454"/>
      <c r="BA419" s="1305"/>
      <c r="BC419" s="169"/>
    </row>
    <row r="420" spans="19:55" ht="15.75" customHeight="1">
      <c r="S420" s="454"/>
      <c r="BA420" s="1305"/>
      <c r="BC420" s="169"/>
    </row>
    <row r="421" spans="19:55" ht="15.75" customHeight="1">
      <c r="S421" s="454"/>
      <c r="BA421" s="1305"/>
      <c r="BC421" s="169"/>
    </row>
    <row r="422" spans="19:55" ht="15.75" customHeight="1">
      <c r="S422" s="454"/>
      <c r="BA422" s="1305"/>
      <c r="BC422" s="169"/>
    </row>
    <row r="423" spans="19:55" ht="15.75" customHeight="1">
      <c r="S423" s="454"/>
      <c r="BA423" s="1305"/>
      <c r="BC423" s="169"/>
    </row>
    <row r="424" spans="19:55" ht="15.75" customHeight="1">
      <c r="S424" s="454"/>
      <c r="BA424" s="1305"/>
      <c r="BC424" s="169"/>
    </row>
    <row r="425" spans="19:55" ht="15.75" customHeight="1">
      <c r="S425" s="454"/>
      <c r="BA425" s="1305"/>
      <c r="BC425" s="169"/>
    </row>
    <row r="426" spans="19:55" ht="15.75" customHeight="1">
      <c r="S426" s="454"/>
      <c r="BA426" s="1305"/>
      <c r="BC426" s="169"/>
    </row>
    <row r="427" spans="19:55" ht="15.75" customHeight="1">
      <c r="S427" s="454"/>
      <c r="BA427" s="1305"/>
      <c r="BC427" s="169"/>
    </row>
    <row r="428" spans="19:55" ht="15.75" customHeight="1">
      <c r="S428" s="454"/>
      <c r="BA428" s="1305"/>
      <c r="BC428" s="169"/>
    </row>
    <row r="429" spans="19:55" ht="15.75" customHeight="1">
      <c r="S429" s="454"/>
      <c r="BA429" s="1305"/>
      <c r="BC429" s="169"/>
    </row>
    <row r="430" spans="19:55" ht="15.75" customHeight="1">
      <c r="S430" s="454"/>
      <c r="BA430" s="1305"/>
      <c r="BC430" s="169"/>
    </row>
    <row r="431" spans="19:55" ht="15.75" customHeight="1">
      <c r="S431" s="454"/>
      <c r="BA431" s="1305"/>
      <c r="BC431" s="169"/>
    </row>
    <row r="432" spans="19:55" ht="15.75" customHeight="1">
      <c r="S432" s="454"/>
      <c r="BA432" s="1305"/>
      <c r="BC432" s="169"/>
    </row>
    <row r="433" spans="19:55" ht="15.75" customHeight="1">
      <c r="S433" s="454"/>
      <c r="BA433" s="1305"/>
      <c r="BC433" s="169"/>
    </row>
    <row r="434" spans="19:55" ht="15.75" customHeight="1">
      <c r="S434" s="454"/>
      <c r="BA434" s="1305"/>
      <c r="BC434" s="169"/>
    </row>
    <row r="435" spans="19:55" ht="15.75" customHeight="1">
      <c r="S435" s="454"/>
      <c r="BA435" s="1305"/>
      <c r="BC435" s="169"/>
    </row>
    <row r="436" spans="19:55" ht="15.75" customHeight="1">
      <c r="S436" s="454"/>
      <c r="BA436" s="1305"/>
      <c r="BC436" s="169"/>
    </row>
    <row r="437" spans="19:55" ht="15.75" customHeight="1">
      <c r="S437" s="454"/>
      <c r="BA437" s="1305"/>
      <c r="BC437" s="169"/>
    </row>
    <row r="438" spans="19:55" ht="15.75" customHeight="1">
      <c r="S438" s="454"/>
      <c r="BA438" s="1305"/>
      <c r="BC438" s="169"/>
    </row>
    <row r="439" spans="19:55" ht="15.75" customHeight="1">
      <c r="S439" s="454"/>
      <c r="BA439" s="1305"/>
      <c r="BC439" s="169"/>
    </row>
    <row r="440" spans="19:55" ht="15.75" customHeight="1">
      <c r="S440" s="454"/>
      <c r="BA440" s="1305"/>
      <c r="BC440" s="169"/>
    </row>
    <row r="441" spans="19:55" ht="15.75" customHeight="1">
      <c r="S441" s="454"/>
      <c r="BA441" s="1305"/>
      <c r="BC441" s="169"/>
    </row>
    <row r="442" spans="19:55" ht="15.75" customHeight="1">
      <c r="S442" s="454"/>
      <c r="BA442" s="1305"/>
      <c r="BC442" s="169"/>
    </row>
    <row r="443" spans="19:55" ht="15.75" customHeight="1">
      <c r="S443" s="454"/>
      <c r="BA443" s="1305"/>
      <c r="BC443" s="169"/>
    </row>
    <row r="444" spans="19:55" ht="15.75" customHeight="1">
      <c r="S444" s="454"/>
      <c r="BA444" s="1305"/>
      <c r="BC444" s="169"/>
    </row>
    <row r="445" spans="19:55" ht="15.75" customHeight="1">
      <c r="S445" s="454"/>
      <c r="BA445" s="1305"/>
      <c r="BC445" s="169"/>
    </row>
    <row r="446" spans="19:55" ht="15.75" customHeight="1">
      <c r="S446" s="454"/>
      <c r="BA446" s="1305"/>
      <c r="BC446" s="169"/>
    </row>
    <row r="447" spans="19:55" ht="15.75" customHeight="1">
      <c r="S447" s="454"/>
      <c r="BA447" s="1305"/>
      <c r="BC447" s="169"/>
    </row>
    <row r="448" spans="19:55" ht="15.75" customHeight="1">
      <c r="S448" s="454"/>
      <c r="BA448" s="1305"/>
      <c r="BC448" s="169"/>
    </row>
    <row r="449" spans="19:55" ht="15.75" customHeight="1">
      <c r="S449" s="454"/>
      <c r="BA449" s="1305"/>
      <c r="BC449" s="169"/>
    </row>
    <row r="450" spans="19:55" ht="15.75" customHeight="1">
      <c r="S450" s="454"/>
      <c r="BA450" s="1305"/>
      <c r="BC450" s="169"/>
    </row>
    <row r="451" spans="19:55" ht="15.75" customHeight="1">
      <c r="S451" s="454"/>
      <c r="BA451" s="1305"/>
      <c r="BC451" s="169"/>
    </row>
    <row r="452" spans="19:55" ht="15.75" customHeight="1">
      <c r="S452" s="454"/>
      <c r="BA452" s="1305"/>
      <c r="BC452" s="169"/>
    </row>
    <row r="453" spans="19:55" ht="15.75" customHeight="1">
      <c r="S453" s="454"/>
      <c r="BA453" s="1305"/>
      <c r="BC453" s="169"/>
    </row>
    <row r="454" spans="19:55" ht="15.75" customHeight="1">
      <c r="S454" s="454"/>
      <c r="BA454" s="1305"/>
      <c r="BC454" s="169"/>
    </row>
    <row r="455" spans="19:55" ht="15.75" customHeight="1">
      <c r="S455" s="454"/>
      <c r="BA455" s="1305"/>
      <c r="BC455" s="169"/>
    </row>
    <row r="456" spans="19:55" ht="15.75" customHeight="1">
      <c r="S456" s="454"/>
      <c r="BA456" s="1305"/>
      <c r="BC456" s="169"/>
    </row>
    <row r="457" spans="19:55" ht="15.75" customHeight="1">
      <c r="S457" s="454"/>
      <c r="BA457" s="1305"/>
      <c r="BC457" s="169"/>
    </row>
    <row r="458" spans="19:55" ht="15.75" customHeight="1">
      <c r="S458" s="454"/>
      <c r="BA458" s="1305"/>
      <c r="BC458" s="169"/>
    </row>
    <row r="459" spans="19:55" ht="15.75" customHeight="1">
      <c r="S459" s="454"/>
      <c r="BA459" s="1305"/>
      <c r="BC459" s="169"/>
    </row>
    <row r="460" spans="19:55" ht="15.75" customHeight="1">
      <c r="S460" s="454"/>
      <c r="BA460" s="1305"/>
      <c r="BC460" s="169"/>
    </row>
    <row r="461" spans="19:55" ht="15.75" customHeight="1">
      <c r="S461" s="454"/>
      <c r="BA461" s="1305"/>
      <c r="BC461" s="169"/>
    </row>
    <row r="462" spans="19:55" ht="15.75" customHeight="1">
      <c r="S462" s="454"/>
      <c r="BA462" s="1305"/>
      <c r="BC462" s="169"/>
    </row>
    <row r="463" spans="19:55" ht="15.75" customHeight="1">
      <c r="S463" s="454"/>
      <c r="BA463" s="1305"/>
      <c r="BC463" s="169"/>
    </row>
    <row r="464" spans="19:55" ht="15.75" customHeight="1">
      <c r="S464" s="454"/>
      <c r="BA464" s="1305"/>
      <c r="BC464" s="169"/>
    </row>
    <row r="465" spans="19:55" ht="15.75" customHeight="1">
      <c r="S465" s="454"/>
      <c r="BA465" s="1305"/>
      <c r="BC465" s="169"/>
    </row>
    <row r="466" spans="19:55" ht="15.75" customHeight="1">
      <c r="S466" s="454"/>
      <c r="BA466" s="1305"/>
      <c r="BC466" s="169"/>
    </row>
    <row r="467" spans="19:55" ht="15.75" customHeight="1">
      <c r="S467" s="454"/>
      <c r="BA467" s="1305"/>
      <c r="BC467" s="169"/>
    </row>
    <row r="468" spans="19:55" ht="15.75" customHeight="1">
      <c r="S468" s="454"/>
      <c r="BA468" s="1305"/>
      <c r="BC468" s="169"/>
    </row>
    <row r="469" spans="19:55" ht="15.75" customHeight="1">
      <c r="S469" s="454"/>
      <c r="BA469" s="1305"/>
      <c r="BC469" s="169"/>
    </row>
    <row r="470" spans="19:55" ht="15.75" customHeight="1">
      <c r="S470" s="454"/>
      <c r="BA470" s="1305"/>
      <c r="BC470" s="169"/>
    </row>
    <row r="471" spans="19:55" ht="15.75" customHeight="1">
      <c r="S471" s="454"/>
      <c r="BA471" s="1305"/>
      <c r="BC471" s="169"/>
    </row>
    <row r="472" spans="19:55" ht="15.75" customHeight="1">
      <c r="S472" s="454"/>
      <c r="BA472" s="1305"/>
      <c r="BC472" s="169"/>
    </row>
    <row r="473" spans="19:55" ht="15.75" customHeight="1">
      <c r="S473" s="454"/>
      <c r="BA473" s="1305"/>
      <c r="BC473" s="169"/>
    </row>
    <row r="474" spans="19:55" ht="15.75" customHeight="1">
      <c r="S474" s="454"/>
      <c r="BA474" s="1305"/>
      <c r="BC474" s="169"/>
    </row>
    <row r="475" spans="19:55" ht="15.75" customHeight="1">
      <c r="S475" s="454"/>
      <c r="BA475" s="1305"/>
      <c r="BC475" s="169"/>
    </row>
    <row r="476" spans="19:55" ht="15.75" customHeight="1">
      <c r="S476" s="454"/>
      <c r="BA476" s="1305"/>
      <c r="BC476" s="169"/>
    </row>
    <row r="477" spans="19:55" ht="15.75" customHeight="1">
      <c r="S477" s="454"/>
      <c r="BA477" s="1305"/>
      <c r="BC477" s="169"/>
    </row>
    <row r="478" spans="19:55" ht="15.75" customHeight="1">
      <c r="S478" s="454"/>
      <c r="BA478" s="1305"/>
      <c r="BC478" s="169"/>
    </row>
    <row r="479" spans="19:55" ht="15.75" customHeight="1">
      <c r="S479" s="454"/>
      <c r="BA479" s="1305"/>
      <c r="BC479" s="169"/>
    </row>
    <row r="480" spans="19:55" ht="15.75" customHeight="1">
      <c r="S480" s="454"/>
      <c r="BA480" s="1305"/>
      <c r="BC480" s="169"/>
    </row>
    <row r="481" spans="19:55" ht="15.75" customHeight="1">
      <c r="S481" s="454"/>
      <c r="BA481" s="1305"/>
      <c r="BC481" s="169"/>
    </row>
    <row r="482" spans="19:55" ht="15.75" customHeight="1">
      <c r="S482" s="454"/>
      <c r="BA482" s="1305"/>
      <c r="BC482" s="169"/>
    </row>
    <row r="483" spans="19:55" ht="15.75" customHeight="1">
      <c r="S483" s="454"/>
      <c r="BA483" s="1305"/>
      <c r="BC483" s="169"/>
    </row>
    <row r="484" spans="19:55" ht="15.75" customHeight="1">
      <c r="S484" s="454"/>
      <c r="BA484" s="1305"/>
      <c r="BC484" s="169"/>
    </row>
    <row r="485" spans="19:55" ht="15.75" customHeight="1">
      <c r="S485" s="454"/>
      <c r="BA485" s="1305"/>
      <c r="BC485" s="169"/>
    </row>
    <row r="486" spans="19:55" ht="15.75" customHeight="1">
      <c r="S486" s="454"/>
      <c r="BA486" s="1305"/>
      <c r="BC486" s="169"/>
    </row>
    <row r="487" spans="19:55" ht="15.75" customHeight="1">
      <c r="S487" s="454"/>
      <c r="BA487" s="1305"/>
      <c r="BC487" s="169"/>
    </row>
    <row r="488" spans="19:55" ht="15.75" customHeight="1">
      <c r="S488" s="454"/>
      <c r="BA488" s="1305"/>
      <c r="BC488" s="169"/>
    </row>
    <row r="489" spans="19:55" ht="15.75" customHeight="1">
      <c r="S489" s="454"/>
      <c r="BA489" s="1305"/>
      <c r="BC489" s="169"/>
    </row>
    <row r="490" spans="19:55" ht="15.75" customHeight="1">
      <c r="S490" s="454"/>
      <c r="BA490" s="1305"/>
      <c r="BC490" s="169"/>
    </row>
    <row r="491" spans="19:55" ht="15.75" customHeight="1">
      <c r="S491" s="454"/>
      <c r="BA491" s="1305"/>
      <c r="BC491" s="169"/>
    </row>
    <row r="492" spans="19:55" ht="15.75" customHeight="1">
      <c r="S492" s="454"/>
      <c r="BA492" s="1305"/>
      <c r="BC492" s="169"/>
    </row>
    <row r="493" spans="19:55" ht="15.75" customHeight="1">
      <c r="S493" s="454"/>
      <c r="BA493" s="1305"/>
      <c r="BC493" s="169"/>
    </row>
    <row r="494" spans="19:55" ht="15.75" customHeight="1">
      <c r="S494" s="454"/>
      <c r="BA494" s="1305"/>
      <c r="BC494" s="169"/>
    </row>
    <row r="495" spans="19:55" ht="15.75" customHeight="1">
      <c r="S495" s="454"/>
      <c r="BA495" s="1305"/>
      <c r="BC495" s="169"/>
    </row>
    <row r="496" spans="19:55" ht="15.75" customHeight="1">
      <c r="S496" s="454"/>
      <c r="BA496" s="1305"/>
      <c r="BC496" s="169"/>
    </row>
    <row r="497" spans="19:55" ht="15.75" customHeight="1">
      <c r="S497" s="454"/>
      <c r="BA497" s="1305"/>
      <c r="BC497" s="169"/>
    </row>
    <row r="498" spans="19:55" ht="15.75" customHeight="1">
      <c r="S498" s="454"/>
      <c r="BA498" s="1305"/>
      <c r="BC498" s="169"/>
    </row>
    <row r="499" spans="19:55" ht="15.75" customHeight="1">
      <c r="S499" s="454"/>
      <c r="BA499" s="1305"/>
      <c r="BC499" s="169"/>
    </row>
    <row r="500" spans="19:55" ht="15.75" customHeight="1">
      <c r="S500" s="454"/>
      <c r="BA500" s="1305"/>
      <c r="BC500" s="169"/>
    </row>
    <row r="501" spans="19:55" ht="15.75" customHeight="1">
      <c r="S501" s="454"/>
      <c r="BA501" s="1305"/>
      <c r="BC501" s="169"/>
    </row>
    <row r="502" spans="19:55" ht="15.75" customHeight="1">
      <c r="S502" s="454"/>
      <c r="BA502" s="1305"/>
      <c r="BC502" s="169"/>
    </row>
    <row r="503" spans="19:55" ht="15.75" customHeight="1">
      <c r="S503" s="454"/>
      <c r="BA503" s="1305"/>
      <c r="BC503" s="169"/>
    </row>
    <row r="504" spans="19:55" ht="15.75" customHeight="1">
      <c r="S504" s="454"/>
      <c r="AV504" s="177"/>
      <c r="AW504" s="177"/>
      <c r="AX504" s="177"/>
      <c r="BA504" s="1307"/>
      <c r="BC504" s="169"/>
    </row>
    <row r="505" spans="19:55" ht="15.75" customHeight="1">
      <c r="S505" s="454"/>
      <c r="AV505" s="177"/>
      <c r="AW505" s="177"/>
      <c r="AX505" s="177"/>
      <c r="BA505" s="1307"/>
      <c r="BC505" s="169"/>
    </row>
    <row r="506" spans="19:55" ht="15.75" customHeight="1">
      <c r="S506" s="454"/>
      <c r="AU506" s="177"/>
      <c r="AV506" s="177"/>
      <c r="AW506" s="177"/>
      <c r="AX506" s="177"/>
      <c r="BA506" s="1307"/>
      <c r="BC506" s="169"/>
    </row>
    <row r="507" spans="19:55" ht="15.75" customHeight="1">
      <c r="S507" s="454"/>
      <c r="AU507" s="177"/>
      <c r="AV507" s="177"/>
      <c r="AW507" s="177"/>
      <c r="AX507" s="177"/>
      <c r="BA507" s="1307"/>
      <c r="BC507" s="169"/>
    </row>
    <row r="508" spans="19:55" ht="15.75" customHeight="1">
      <c r="S508" s="454"/>
      <c r="AU508" s="177"/>
      <c r="AV508" s="177"/>
      <c r="AW508" s="177"/>
      <c r="AX508" s="177"/>
      <c r="BA508" s="1307"/>
      <c r="BC508" s="169"/>
    </row>
    <row r="509" spans="19:55" ht="15.75" customHeight="1">
      <c r="S509" s="454"/>
      <c r="AU509" s="177"/>
      <c r="AV509" s="177"/>
      <c r="AW509" s="177"/>
      <c r="AX509" s="177"/>
      <c r="BA509" s="1307"/>
      <c r="BC509" s="169"/>
    </row>
    <row r="510" spans="19:55" ht="15.75" customHeight="1">
      <c r="S510" s="454"/>
      <c r="AU510" s="177"/>
      <c r="AV510" s="177"/>
      <c r="AW510" s="177"/>
      <c r="AX510" s="177"/>
      <c r="BA510" s="1307"/>
      <c r="BC510" s="169"/>
    </row>
    <row r="511" spans="19:55" ht="15.75" customHeight="1">
      <c r="S511" s="454"/>
      <c r="AU511" s="177"/>
      <c r="AV511" s="177"/>
      <c r="AW511" s="177"/>
      <c r="AX511" s="177"/>
      <c r="BA511" s="1307"/>
      <c r="BC511" s="169"/>
    </row>
    <row r="512" spans="19:55" ht="15.75" customHeight="1">
      <c r="S512" s="454"/>
      <c r="AU512" s="177"/>
      <c r="AV512" s="177"/>
      <c r="AW512" s="177"/>
      <c r="AX512" s="177"/>
      <c r="BA512" s="1307"/>
      <c r="BC512" s="169"/>
    </row>
    <row r="513" spans="19:55" ht="15.75" customHeight="1">
      <c r="S513" s="454"/>
      <c r="AU513" s="177"/>
      <c r="AV513" s="177"/>
      <c r="AW513" s="177"/>
      <c r="AX513" s="177"/>
      <c r="BA513" s="1307"/>
      <c r="BC513" s="169"/>
    </row>
    <row r="514" spans="19:55" ht="15.75" customHeight="1">
      <c r="S514" s="454"/>
      <c r="AU514" s="177"/>
      <c r="AV514" s="177"/>
      <c r="AW514" s="177"/>
      <c r="AX514" s="177"/>
      <c r="BA514" s="1307"/>
      <c r="BC514" s="169"/>
    </row>
    <row r="515" spans="19:55" ht="15.75" customHeight="1">
      <c r="S515" s="454"/>
      <c r="AU515" s="177"/>
      <c r="AV515" s="177"/>
      <c r="AW515" s="177"/>
      <c r="AX515" s="177"/>
      <c r="BA515" s="1307"/>
      <c r="BC515" s="169"/>
    </row>
    <row r="516" spans="19:55" ht="15.75" customHeight="1">
      <c r="S516" s="454"/>
      <c r="AU516" s="177"/>
      <c r="AV516" s="177"/>
      <c r="AW516" s="177"/>
      <c r="AX516" s="177"/>
      <c r="BA516" s="1307"/>
      <c r="BC516" s="169"/>
    </row>
    <row r="517" spans="19:55" ht="15.75" customHeight="1">
      <c r="S517" s="454"/>
      <c r="AU517" s="177"/>
      <c r="BA517" s="1305"/>
      <c r="BC517" s="169"/>
    </row>
    <row r="518" spans="19:55" ht="15.75" customHeight="1">
      <c r="S518" s="454"/>
      <c r="AU518" s="177"/>
      <c r="BA518" s="1305"/>
      <c r="BC518" s="169"/>
    </row>
    <row r="519" spans="19:55" ht="15.75" customHeight="1">
      <c r="S519" s="454"/>
      <c r="BA519" s="1305"/>
      <c r="BC519" s="169"/>
    </row>
    <row r="520" spans="19:55" ht="15.75" customHeight="1">
      <c r="S520" s="454"/>
      <c r="BA520" s="1305"/>
      <c r="BC520" s="169"/>
    </row>
    <row r="521" spans="19:55" ht="15.75" customHeight="1">
      <c r="S521" s="454"/>
      <c r="BA521" s="1305"/>
      <c r="BC521" s="169"/>
    </row>
    <row r="522" spans="19:55" ht="15.75" customHeight="1">
      <c r="S522" s="454"/>
      <c r="AV522" s="177"/>
      <c r="AW522" s="177"/>
      <c r="AX522" s="177"/>
      <c r="BA522" s="1307"/>
      <c r="BC522" s="169"/>
    </row>
    <row r="523" spans="19:55" ht="15.75" customHeight="1">
      <c r="S523" s="454"/>
      <c r="AV523" s="177"/>
      <c r="AW523" s="177"/>
      <c r="AX523" s="177"/>
      <c r="BA523" s="1307"/>
      <c r="BC523" s="169"/>
    </row>
    <row r="524" spans="19:55" ht="15.75" customHeight="1">
      <c r="S524" s="454"/>
      <c r="AU524" s="177"/>
      <c r="AV524" s="177"/>
      <c r="AW524" s="177"/>
      <c r="AX524" s="177"/>
      <c r="BA524" s="1307"/>
      <c r="BC524" s="169"/>
    </row>
    <row r="525" spans="19:55" ht="15.75" customHeight="1">
      <c r="S525" s="454"/>
      <c r="AU525" s="177"/>
      <c r="AV525" s="177"/>
      <c r="AW525" s="177"/>
      <c r="AX525" s="177"/>
      <c r="BA525" s="1307"/>
      <c r="BC525" s="169"/>
    </row>
    <row r="526" spans="19:55" ht="15.75" customHeight="1">
      <c r="S526" s="454"/>
      <c r="AU526" s="177"/>
      <c r="AV526" s="177"/>
      <c r="AW526" s="177"/>
      <c r="AX526" s="177"/>
      <c r="BA526" s="1307"/>
      <c r="BC526" s="169"/>
    </row>
    <row r="527" spans="19:55" ht="15.75" customHeight="1">
      <c r="S527" s="454"/>
      <c r="AU527" s="177"/>
      <c r="BA527" s="1305"/>
      <c r="BC527" s="169"/>
    </row>
    <row r="528" spans="19:55" ht="15.75" customHeight="1">
      <c r="S528" s="454"/>
      <c r="AU528" s="177"/>
      <c r="BA528" s="1305"/>
      <c r="BC528" s="169"/>
    </row>
    <row r="529" spans="19:55" ht="15.75" customHeight="1">
      <c r="S529" s="454"/>
      <c r="BA529" s="1305"/>
      <c r="BC529" s="169"/>
    </row>
    <row r="530" spans="19:55" ht="15.75" customHeight="1">
      <c r="S530" s="454"/>
      <c r="AV530" s="177"/>
      <c r="AW530" s="177"/>
      <c r="AX530" s="177"/>
      <c r="BA530" s="1307"/>
      <c r="BC530" s="169"/>
    </row>
    <row r="531" spans="19:55" ht="15.75" customHeight="1">
      <c r="S531" s="454"/>
      <c r="AV531" s="177"/>
      <c r="AW531" s="177"/>
      <c r="AX531" s="177"/>
      <c r="BA531" s="1307"/>
      <c r="BC531" s="169"/>
    </row>
    <row r="532" spans="19:55" ht="15.75" customHeight="1">
      <c r="S532" s="454"/>
      <c r="AU532" s="177"/>
      <c r="AV532" s="177"/>
      <c r="AW532" s="177"/>
      <c r="AX532" s="177"/>
      <c r="BA532" s="1307"/>
      <c r="BC532" s="169"/>
    </row>
    <row r="533" spans="19:55" ht="15.75" customHeight="1">
      <c r="S533" s="454"/>
      <c r="AU533" s="177"/>
      <c r="AV533" s="177"/>
      <c r="AW533" s="177"/>
      <c r="AX533" s="177"/>
      <c r="BA533" s="1307"/>
      <c r="BC533" s="169"/>
    </row>
    <row r="534" spans="19:55" ht="15.75" customHeight="1">
      <c r="S534" s="454"/>
      <c r="AU534" s="177"/>
      <c r="AV534" s="177"/>
      <c r="AW534" s="177"/>
      <c r="AX534" s="177"/>
      <c r="BA534" s="1307"/>
      <c r="BC534" s="169"/>
    </row>
    <row r="535" spans="19:55" ht="15.75" customHeight="1">
      <c r="S535" s="454"/>
      <c r="AU535" s="177"/>
      <c r="AV535" s="177"/>
      <c r="AW535" s="177"/>
      <c r="AX535" s="177"/>
      <c r="BA535" s="1307"/>
      <c r="BC535" s="169"/>
    </row>
    <row r="536" spans="19:55" ht="15.75" customHeight="1">
      <c r="S536" s="454"/>
      <c r="AU536" s="177"/>
      <c r="AV536" s="177"/>
      <c r="AW536" s="177"/>
      <c r="AX536" s="177"/>
      <c r="BA536" s="1307"/>
      <c r="BC536" s="169"/>
    </row>
    <row r="537" spans="19:55" ht="15.75" customHeight="1">
      <c r="S537" s="454"/>
      <c r="AU537" s="177"/>
      <c r="BA537" s="1305"/>
      <c r="BC537" s="169"/>
    </row>
    <row r="538" spans="19:55" ht="15.75" customHeight="1">
      <c r="S538" s="454"/>
      <c r="AU538" s="177"/>
      <c r="BA538" s="1305"/>
      <c r="BC538" s="169"/>
    </row>
    <row r="539" spans="19:55" ht="15.75" customHeight="1">
      <c r="S539" s="454"/>
      <c r="BA539" s="1305"/>
      <c r="BC539" s="169"/>
    </row>
    <row r="540" spans="19:55" ht="15.75" customHeight="1">
      <c r="S540" s="454"/>
      <c r="BA540" s="1305"/>
      <c r="BC540" s="169"/>
    </row>
    <row r="541" spans="19:55" ht="15.75" customHeight="1">
      <c r="S541" s="454"/>
      <c r="BA541" s="1305"/>
      <c r="BC541" s="169"/>
    </row>
    <row r="542" spans="19:55" ht="15.75" customHeight="1">
      <c r="S542" s="454"/>
      <c r="BA542" s="1305"/>
      <c r="BC542" s="169"/>
    </row>
    <row r="543" spans="19:55" ht="15.75" customHeight="1">
      <c r="S543" s="454"/>
      <c r="BA543" s="1305"/>
      <c r="BC543" s="169"/>
    </row>
    <row r="544" spans="19:55" ht="15.75" customHeight="1">
      <c r="S544" s="454"/>
      <c r="BA544" s="1305"/>
      <c r="BC544" s="169"/>
    </row>
    <row r="545" spans="19:55" ht="15.75" customHeight="1">
      <c r="S545" s="454"/>
      <c r="BA545" s="1305"/>
      <c r="BC545" s="169"/>
    </row>
    <row r="546" spans="19:55" ht="15.75" customHeight="1">
      <c r="S546" s="454"/>
      <c r="BA546" s="1305"/>
      <c r="BC546" s="169"/>
    </row>
    <row r="547" spans="19:55" ht="15.75" customHeight="1">
      <c r="S547" s="454"/>
      <c r="BA547" s="1305"/>
      <c r="BC547" s="169"/>
    </row>
    <row r="548" spans="19:55" ht="15.75" customHeight="1">
      <c r="S548" s="454"/>
      <c r="BA548" s="1305"/>
      <c r="BC548" s="169"/>
    </row>
    <row r="549" spans="19:55" ht="15.75" customHeight="1">
      <c r="S549" s="454"/>
      <c r="BA549" s="1305"/>
      <c r="BC549" s="169"/>
    </row>
    <row r="550" spans="19:55" ht="15.75" customHeight="1">
      <c r="S550" s="454"/>
      <c r="BA550" s="1305"/>
      <c r="BC550" s="169"/>
    </row>
    <row r="551" spans="19:55" ht="15.75" customHeight="1">
      <c r="S551" s="454"/>
      <c r="BA551" s="1305"/>
      <c r="BC551" s="169"/>
    </row>
    <row r="552" spans="19:55" ht="15.75" customHeight="1">
      <c r="S552" s="454"/>
      <c r="BA552" s="1305"/>
      <c r="BC552" s="169"/>
    </row>
    <row r="553" spans="19:55" ht="15.75" customHeight="1">
      <c r="S553" s="454"/>
      <c r="BA553" s="1305"/>
      <c r="BC553" s="169"/>
    </row>
    <row r="554" spans="19:55" ht="15.75" customHeight="1">
      <c r="S554" s="454"/>
      <c r="BA554" s="1305"/>
      <c r="BC554" s="169"/>
    </row>
    <row r="555" spans="19:55" ht="15.75" customHeight="1">
      <c r="S555" s="454"/>
      <c r="BA555" s="1305"/>
      <c r="BC555" s="169"/>
    </row>
    <row r="556" spans="19:55" ht="15.75" customHeight="1">
      <c r="S556" s="454"/>
      <c r="BA556" s="1305"/>
      <c r="BC556" s="169"/>
    </row>
    <row r="557" spans="19:55" ht="15.75" customHeight="1">
      <c r="S557" s="454"/>
      <c r="BA557" s="1305"/>
      <c r="BC557" s="169"/>
    </row>
    <row r="558" spans="19:55" ht="15.75" customHeight="1">
      <c r="S558" s="454"/>
      <c r="BA558" s="1305"/>
      <c r="BC558" s="169"/>
    </row>
    <row r="559" spans="19:55" ht="15.75" customHeight="1">
      <c r="S559" s="454"/>
      <c r="BA559" s="1305"/>
      <c r="BC559" s="169"/>
    </row>
    <row r="560" spans="19:55" ht="15.75" customHeight="1">
      <c r="S560" s="454"/>
      <c r="BA560" s="1305"/>
      <c r="BC560" s="169"/>
    </row>
    <row r="561" spans="19:55" ht="15.75" customHeight="1">
      <c r="S561" s="454"/>
      <c r="BA561" s="1305"/>
      <c r="BC561" s="169"/>
    </row>
    <row r="562" spans="19:55" ht="15.75" customHeight="1">
      <c r="S562" s="454"/>
      <c r="BA562" s="1305"/>
      <c r="BC562" s="169"/>
    </row>
    <row r="563" spans="19:55" ht="15.75" customHeight="1">
      <c r="S563" s="454"/>
      <c r="BA563" s="1305"/>
      <c r="BC563" s="169"/>
    </row>
    <row r="564" spans="19:55" ht="15.75" customHeight="1">
      <c r="S564" s="454"/>
      <c r="BA564" s="1305"/>
      <c r="BC564" s="169"/>
    </row>
    <row r="565" spans="19:55" ht="15.75" customHeight="1">
      <c r="S565" s="454"/>
      <c r="BA565" s="1305"/>
      <c r="BC565" s="169"/>
    </row>
    <row r="566" spans="19:55" ht="15.75" customHeight="1">
      <c r="S566" s="454"/>
      <c r="BA566" s="1305"/>
      <c r="BC566" s="169"/>
    </row>
    <row r="567" spans="19:55" ht="15.75" customHeight="1">
      <c r="S567" s="454"/>
      <c r="BA567" s="1305"/>
      <c r="BC567" s="169"/>
    </row>
    <row r="568" spans="19:55" ht="15.75" customHeight="1">
      <c r="S568" s="454"/>
      <c r="BA568" s="1305"/>
      <c r="BC568" s="169"/>
    </row>
    <row r="569" spans="19:55" ht="15.75" customHeight="1">
      <c r="S569" s="454"/>
      <c r="BA569" s="1305"/>
      <c r="BC569" s="169"/>
    </row>
    <row r="570" spans="19:55" ht="15.75" customHeight="1">
      <c r="S570" s="454"/>
      <c r="BA570" s="1305"/>
      <c r="BC570" s="169"/>
    </row>
    <row r="571" spans="19:55" ht="15.75" customHeight="1">
      <c r="S571" s="454"/>
      <c r="BA571" s="1305"/>
      <c r="BC571" s="169"/>
    </row>
    <row r="572" spans="19:55" ht="15.75" customHeight="1">
      <c r="S572" s="454"/>
      <c r="BA572" s="1305"/>
      <c r="BC572" s="169"/>
    </row>
    <row r="573" spans="19:55" ht="15.75" customHeight="1">
      <c r="S573" s="454"/>
      <c r="BA573" s="1305"/>
      <c r="BC573" s="169"/>
    </row>
    <row r="574" spans="19:55" ht="15.75" customHeight="1">
      <c r="S574" s="454"/>
      <c r="BA574" s="1305"/>
      <c r="BC574" s="169"/>
    </row>
    <row r="575" spans="19:55" ht="15.75" customHeight="1">
      <c r="S575" s="454"/>
      <c r="BA575" s="1305"/>
      <c r="BC575" s="169"/>
    </row>
    <row r="576" spans="19:55" ht="15.75" customHeight="1">
      <c r="S576" s="454"/>
      <c r="BA576" s="1305"/>
      <c r="BC576" s="169"/>
    </row>
    <row r="577" spans="19:55" ht="15.75" customHeight="1">
      <c r="S577" s="454"/>
      <c r="BA577" s="1305"/>
      <c r="BC577" s="169"/>
    </row>
    <row r="578" spans="19:55" ht="15.75" customHeight="1">
      <c r="S578" s="454"/>
      <c r="BA578" s="1305"/>
      <c r="BC578" s="169"/>
    </row>
    <row r="579" spans="19:55" ht="15.75" customHeight="1">
      <c r="S579" s="454"/>
      <c r="BA579" s="1305"/>
      <c r="BC579" s="169"/>
    </row>
    <row r="580" spans="19:55" ht="15.75" customHeight="1">
      <c r="S580" s="454"/>
      <c r="BA580" s="1305"/>
      <c r="BC580" s="169"/>
    </row>
    <row r="581" spans="19:55" ht="15.75" customHeight="1">
      <c r="S581" s="454"/>
      <c r="BA581" s="1305"/>
      <c r="BC581" s="169"/>
    </row>
    <row r="582" spans="19:55" ht="15.75" customHeight="1">
      <c r="S582" s="454"/>
      <c r="BA582" s="1305"/>
      <c r="BC582" s="169"/>
    </row>
    <row r="583" spans="19:55" ht="15.75" customHeight="1">
      <c r="S583" s="454"/>
      <c r="BA583" s="1305"/>
      <c r="BC583" s="169"/>
    </row>
    <row r="584" spans="19:55" ht="15.75" customHeight="1">
      <c r="S584" s="454"/>
      <c r="BA584" s="1305"/>
      <c r="BC584" s="169"/>
    </row>
    <row r="585" spans="19:55" ht="15.75" customHeight="1">
      <c r="S585" s="454"/>
      <c r="BA585" s="1305"/>
      <c r="BC585" s="169"/>
    </row>
    <row r="586" spans="19:55" ht="15.75" customHeight="1">
      <c r="S586" s="454"/>
      <c r="BA586" s="1305"/>
      <c r="BC586" s="169"/>
    </row>
    <row r="587" spans="19:55" ht="15.75" customHeight="1">
      <c r="S587" s="454"/>
      <c r="BA587" s="1305"/>
      <c r="BC587" s="169"/>
    </row>
    <row r="588" spans="19:55" ht="15.75" customHeight="1">
      <c r="S588" s="454"/>
      <c r="BA588" s="1305"/>
      <c r="BC588" s="169"/>
    </row>
    <row r="589" spans="19:55" ht="15.75" customHeight="1">
      <c r="S589" s="454"/>
      <c r="BA589" s="1305"/>
      <c r="BC589" s="169"/>
    </row>
    <row r="590" spans="19:55" ht="15.75" customHeight="1">
      <c r="S590" s="454"/>
      <c r="BA590" s="1305"/>
      <c r="BC590" s="169"/>
    </row>
    <row r="591" spans="19:55" ht="15.75" customHeight="1">
      <c r="S591" s="454"/>
      <c r="BA591" s="1305"/>
      <c r="BC591" s="169"/>
    </row>
    <row r="592" spans="19:55" ht="15.75" customHeight="1">
      <c r="S592" s="454"/>
      <c r="BA592" s="1305"/>
      <c r="BC592" s="169"/>
    </row>
    <row r="593" spans="19:55" ht="15.75" customHeight="1">
      <c r="S593" s="454"/>
      <c r="BA593" s="1305"/>
      <c r="BC593" s="169"/>
    </row>
    <row r="594" spans="19:55" ht="15.75" customHeight="1">
      <c r="S594" s="454"/>
      <c r="BA594" s="1305"/>
      <c r="BC594" s="169"/>
    </row>
    <row r="595" spans="19:55" ht="15.75" customHeight="1">
      <c r="S595" s="454"/>
      <c r="BA595" s="1305"/>
      <c r="BC595" s="169"/>
    </row>
    <row r="596" spans="19:55" ht="15.75" customHeight="1">
      <c r="S596" s="454"/>
      <c r="BA596" s="1305"/>
      <c r="BC596" s="169"/>
    </row>
    <row r="597" spans="19:55" ht="15.75" customHeight="1">
      <c r="S597" s="454"/>
      <c r="BA597" s="1305"/>
      <c r="BC597" s="169"/>
    </row>
    <row r="598" spans="19:55" ht="15.75" customHeight="1">
      <c r="S598" s="454"/>
      <c r="BA598" s="1305"/>
      <c r="BC598" s="169"/>
    </row>
    <row r="599" spans="19:55" ht="15.75" customHeight="1">
      <c r="S599" s="454"/>
      <c r="BA599" s="1305"/>
      <c r="BC599" s="169"/>
    </row>
    <row r="600" spans="19:55" ht="15.75" customHeight="1">
      <c r="S600" s="454"/>
      <c r="BA600" s="1305"/>
      <c r="BC600" s="169"/>
    </row>
    <row r="601" spans="19:55" ht="15.75" customHeight="1">
      <c r="S601" s="454"/>
      <c r="BA601" s="1305"/>
      <c r="BC601" s="169"/>
    </row>
    <row r="602" spans="19:55" ht="15.75" customHeight="1">
      <c r="S602" s="454"/>
      <c r="BA602" s="1305"/>
      <c r="BC602" s="169"/>
    </row>
    <row r="603" spans="19:55" ht="15.75" customHeight="1">
      <c r="S603" s="454"/>
      <c r="BA603" s="1305"/>
      <c r="BC603" s="169"/>
    </row>
    <row r="604" spans="19:55" ht="15.75" customHeight="1">
      <c r="S604" s="454"/>
      <c r="BA604" s="1305"/>
      <c r="BC604" s="169"/>
    </row>
    <row r="605" spans="19:55" ht="15.75" customHeight="1">
      <c r="S605" s="454"/>
      <c r="BA605" s="1305"/>
      <c r="BC605" s="169"/>
    </row>
    <row r="606" spans="19:55" ht="15.75" customHeight="1">
      <c r="S606" s="454"/>
      <c r="BA606" s="1305"/>
      <c r="BC606" s="169"/>
    </row>
    <row r="607" spans="19:55" ht="15.75" customHeight="1">
      <c r="S607" s="454"/>
      <c r="BA607" s="1305"/>
      <c r="BC607" s="169"/>
    </row>
    <row r="608" spans="19:55" ht="15.75" customHeight="1">
      <c r="S608" s="454"/>
      <c r="BA608" s="1305"/>
      <c r="BC608" s="169"/>
    </row>
    <row r="609" spans="19:55" ht="15.75" customHeight="1">
      <c r="S609" s="454"/>
      <c r="BA609" s="1305"/>
      <c r="BC609" s="169"/>
    </row>
    <row r="610" spans="19:55" ht="15.75" customHeight="1">
      <c r="S610" s="454"/>
      <c r="BA610" s="1305"/>
      <c r="BC610" s="169"/>
    </row>
    <row r="611" spans="19:55" ht="15.75" customHeight="1">
      <c r="S611" s="454"/>
      <c r="BA611" s="1305"/>
      <c r="BC611" s="169"/>
    </row>
    <row r="612" spans="19:55" ht="15.75" customHeight="1">
      <c r="S612" s="454"/>
      <c r="BA612" s="1305"/>
      <c r="BC612" s="169"/>
    </row>
    <row r="613" spans="19:55" ht="15.75" customHeight="1">
      <c r="S613" s="454"/>
      <c r="BA613" s="1305"/>
      <c r="BC613" s="169"/>
    </row>
    <row r="614" spans="19:55" ht="15.75" customHeight="1">
      <c r="S614" s="454"/>
      <c r="BA614" s="1305"/>
      <c r="BC614" s="169"/>
    </row>
    <row r="615" spans="19:55" ht="15.75" customHeight="1">
      <c r="S615" s="454"/>
      <c r="BA615" s="1305"/>
      <c r="BC615" s="169"/>
    </row>
    <row r="616" spans="19:55" ht="15.75" customHeight="1">
      <c r="S616" s="454"/>
      <c r="BA616" s="1305"/>
      <c r="BC616" s="169"/>
    </row>
    <row r="617" spans="19:55" ht="15.75" customHeight="1">
      <c r="S617" s="454"/>
      <c r="BA617" s="1305"/>
      <c r="BC617" s="169"/>
    </row>
    <row r="618" spans="19:55" ht="15.75" customHeight="1">
      <c r="S618" s="454"/>
      <c r="BA618" s="1305"/>
      <c r="BC618" s="169"/>
    </row>
    <row r="619" spans="19:55" ht="15.75" customHeight="1">
      <c r="S619" s="454"/>
      <c r="BA619" s="1305"/>
      <c r="BC619" s="169"/>
    </row>
    <row r="620" spans="19:55" ht="15.75" customHeight="1">
      <c r="S620" s="454"/>
      <c r="BA620" s="1305"/>
      <c r="BC620" s="169"/>
    </row>
    <row r="621" spans="19:55" ht="15.75" customHeight="1">
      <c r="S621" s="454"/>
      <c r="BA621" s="1305"/>
      <c r="BC621" s="169"/>
    </row>
    <row r="622" spans="19:55" ht="15.75" customHeight="1">
      <c r="S622" s="454"/>
      <c r="BA622" s="1305"/>
      <c r="BC622" s="169"/>
    </row>
    <row r="623" spans="19:55" ht="15.75" customHeight="1">
      <c r="S623" s="454"/>
      <c r="BA623" s="1305"/>
      <c r="BC623" s="169"/>
    </row>
    <row r="624" spans="19:55" ht="15.75" customHeight="1">
      <c r="S624" s="454"/>
      <c r="BA624" s="1305"/>
      <c r="BC624" s="169"/>
    </row>
    <row r="625" spans="19:55" ht="15.75" customHeight="1">
      <c r="S625" s="454"/>
      <c r="BA625" s="1305"/>
      <c r="BC625" s="169"/>
    </row>
    <row r="626" spans="19:55" ht="15.75" customHeight="1">
      <c r="S626" s="454"/>
      <c r="BA626" s="1305"/>
      <c r="BC626" s="169"/>
    </row>
    <row r="627" spans="19:55" ht="15.75" customHeight="1">
      <c r="S627" s="454"/>
      <c r="BA627" s="1305"/>
      <c r="BC627" s="169"/>
    </row>
    <row r="628" spans="19:55" ht="15.75" customHeight="1">
      <c r="S628" s="454"/>
      <c r="BA628" s="1305"/>
      <c r="BC628" s="169"/>
    </row>
    <row r="629" spans="19:55" ht="15.75" customHeight="1">
      <c r="S629" s="454"/>
      <c r="BA629" s="1305"/>
      <c r="BC629" s="169"/>
    </row>
    <row r="630" spans="19:55" ht="15.75" customHeight="1">
      <c r="S630" s="454"/>
      <c r="BA630" s="1305"/>
      <c r="BC630" s="169"/>
    </row>
    <row r="631" spans="19:55" ht="15.75" customHeight="1">
      <c r="S631" s="454"/>
      <c r="BA631" s="1305"/>
      <c r="BC631" s="169"/>
    </row>
    <row r="632" spans="19:55" ht="15.75" customHeight="1">
      <c r="S632" s="454"/>
      <c r="BA632" s="1305"/>
      <c r="BC632" s="169"/>
    </row>
    <row r="633" spans="19:55" ht="15.75" customHeight="1">
      <c r="S633" s="454"/>
      <c r="BA633" s="1305"/>
      <c r="BC633" s="169"/>
    </row>
    <row r="634" spans="19:55" ht="15.75" customHeight="1">
      <c r="S634" s="454"/>
      <c r="BA634" s="1305"/>
      <c r="BC634" s="169"/>
    </row>
    <row r="635" spans="19:55" ht="15.75" customHeight="1">
      <c r="S635" s="454"/>
      <c r="BA635" s="1305"/>
      <c r="BC635" s="169"/>
    </row>
    <row r="636" spans="19:55" ht="15.75" customHeight="1">
      <c r="S636" s="454"/>
      <c r="BA636" s="1305"/>
      <c r="BC636" s="169"/>
    </row>
    <row r="637" spans="19:55" ht="15.75" customHeight="1">
      <c r="S637" s="454"/>
      <c r="BA637" s="1305"/>
      <c r="BC637" s="169"/>
    </row>
    <row r="638" spans="19:55" ht="15.75" customHeight="1">
      <c r="S638" s="454"/>
      <c r="BA638" s="1305"/>
      <c r="BC638" s="169"/>
    </row>
    <row r="639" spans="19:55" ht="15.75" customHeight="1">
      <c r="S639" s="454"/>
      <c r="BA639" s="1305"/>
      <c r="BC639" s="169"/>
    </row>
    <row r="640" spans="19:55" ht="15.75" customHeight="1">
      <c r="S640" s="454"/>
      <c r="BA640" s="1305"/>
      <c r="BC640" s="169"/>
    </row>
    <row r="641" spans="19:55" ht="15.75" customHeight="1">
      <c r="S641" s="454"/>
      <c r="BA641" s="1305"/>
      <c r="BC641" s="169"/>
    </row>
    <row r="642" spans="19:55" ht="15.75" customHeight="1">
      <c r="S642" s="454"/>
      <c r="BA642" s="1305"/>
      <c r="BC642" s="169"/>
    </row>
    <row r="643" spans="19:55" ht="15.75" customHeight="1">
      <c r="S643" s="454"/>
      <c r="BA643" s="1305"/>
      <c r="BC643" s="169"/>
    </row>
    <row r="644" spans="19:55" ht="15.75" customHeight="1">
      <c r="S644" s="454"/>
      <c r="BA644" s="1305"/>
      <c r="BC644" s="169"/>
    </row>
    <row r="645" spans="19:55" ht="15.75" customHeight="1">
      <c r="S645" s="454"/>
      <c r="BA645" s="1305"/>
      <c r="BC645" s="169"/>
    </row>
    <row r="646" spans="19:55" ht="15.75" customHeight="1">
      <c r="S646" s="454"/>
      <c r="BA646" s="1305"/>
      <c r="BC646" s="169"/>
    </row>
    <row r="647" spans="19:55" ht="15.75" customHeight="1">
      <c r="S647" s="454"/>
      <c r="BA647" s="1305"/>
      <c r="BC647" s="169"/>
    </row>
    <row r="648" spans="19:55" ht="15.75" customHeight="1">
      <c r="S648" s="454"/>
      <c r="BA648" s="1305"/>
      <c r="BC648" s="169"/>
    </row>
    <row r="649" spans="19:55" ht="15.75" customHeight="1">
      <c r="S649" s="454"/>
      <c r="BA649" s="1305"/>
      <c r="BC649" s="169"/>
    </row>
    <row r="650" spans="19:55" ht="15.75" customHeight="1">
      <c r="S650" s="454"/>
      <c r="BA650" s="1305"/>
      <c r="BC650" s="169"/>
    </row>
    <row r="651" spans="19:55" ht="15.75" customHeight="1">
      <c r="S651" s="454"/>
      <c r="BA651" s="1305"/>
      <c r="BC651" s="169"/>
    </row>
    <row r="652" spans="19:55" ht="15.75" customHeight="1">
      <c r="S652" s="454"/>
      <c r="BA652" s="1305"/>
      <c r="BC652" s="169"/>
    </row>
    <row r="653" spans="19:55" ht="15.75" customHeight="1">
      <c r="S653" s="454"/>
      <c r="BA653" s="1305"/>
      <c r="BC653" s="169"/>
    </row>
    <row r="654" spans="19:55" ht="15.75" customHeight="1">
      <c r="S654" s="454"/>
      <c r="BA654" s="1305"/>
      <c r="BC654" s="169"/>
    </row>
    <row r="655" spans="19:55" ht="15.75" customHeight="1">
      <c r="S655" s="454"/>
      <c r="BA655" s="1305"/>
      <c r="BC655" s="169"/>
    </row>
    <row r="656" spans="19:55" ht="15.75" customHeight="1">
      <c r="S656" s="454"/>
      <c r="BA656" s="1305"/>
      <c r="BC656" s="169"/>
    </row>
    <row r="657" spans="19:55" ht="15.75" customHeight="1">
      <c r="S657" s="454"/>
      <c r="BA657" s="1305"/>
      <c r="BC657" s="169"/>
    </row>
    <row r="658" spans="19:55" ht="15.75" customHeight="1">
      <c r="S658" s="454"/>
      <c r="BA658" s="1305"/>
      <c r="BC658" s="169"/>
    </row>
    <row r="659" spans="19:55" ht="15.75" customHeight="1">
      <c r="S659" s="454"/>
      <c r="BA659" s="1305"/>
      <c r="BC659" s="169"/>
    </row>
    <row r="660" spans="19:55" ht="15.75" customHeight="1">
      <c r="S660" s="454"/>
      <c r="BA660" s="1305"/>
      <c r="BC660" s="169"/>
    </row>
    <row r="661" spans="19:55" ht="15.75" customHeight="1">
      <c r="S661" s="454"/>
      <c r="BA661" s="1305"/>
      <c r="BC661" s="169"/>
    </row>
    <row r="662" spans="19:55" ht="15.75" customHeight="1">
      <c r="S662" s="454"/>
      <c r="BA662" s="1305"/>
      <c r="BC662" s="169"/>
    </row>
    <row r="663" spans="19:55" ht="15.75" customHeight="1">
      <c r="S663" s="454"/>
      <c r="BA663" s="1305"/>
      <c r="BC663" s="169"/>
    </row>
    <row r="664" spans="19:55" ht="15.75" customHeight="1">
      <c r="S664" s="454"/>
      <c r="BA664" s="1305"/>
      <c r="BC664" s="169"/>
    </row>
    <row r="665" spans="19:55" ht="15.75" customHeight="1">
      <c r="S665" s="454"/>
      <c r="BA665" s="1305"/>
      <c r="BC665" s="169"/>
    </row>
    <row r="666" spans="19:55" ht="15.75" customHeight="1">
      <c r="S666" s="454"/>
      <c r="BA666" s="1305"/>
      <c r="BC666" s="169"/>
    </row>
    <row r="667" spans="19:55" ht="15.75" customHeight="1">
      <c r="S667" s="454"/>
      <c r="BA667" s="1305"/>
      <c r="BC667" s="169"/>
    </row>
    <row r="668" spans="19:55" ht="15.75" customHeight="1">
      <c r="S668" s="454"/>
      <c r="BA668" s="1305"/>
      <c r="BC668" s="169"/>
    </row>
    <row r="669" spans="19:55" ht="15.75" customHeight="1">
      <c r="S669" s="454"/>
      <c r="BA669" s="1305"/>
      <c r="BC669" s="169"/>
    </row>
    <row r="670" spans="19:55" ht="15.75" customHeight="1">
      <c r="S670" s="454"/>
      <c r="BA670" s="1305"/>
      <c r="BC670" s="169"/>
    </row>
    <row r="671" spans="19:55" ht="15.75" customHeight="1">
      <c r="S671" s="454"/>
      <c r="BA671" s="1305"/>
      <c r="BC671" s="169"/>
    </row>
    <row r="672" spans="19:55" ht="15.75" customHeight="1">
      <c r="S672" s="454"/>
      <c r="BA672" s="1305"/>
      <c r="BC672" s="169"/>
    </row>
    <row r="673" spans="19:55" ht="15.75" customHeight="1">
      <c r="S673" s="454"/>
      <c r="BA673" s="1305"/>
      <c r="BC673" s="169"/>
    </row>
    <row r="674" spans="19:55" ht="15.75" customHeight="1">
      <c r="S674" s="454"/>
      <c r="BA674" s="1305"/>
      <c r="BC674" s="169"/>
    </row>
    <row r="675" spans="19:55" ht="15.75" customHeight="1">
      <c r="S675" s="454"/>
      <c r="BA675" s="1305"/>
      <c r="BC675" s="169"/>
    </row>
    <row r="676" spans="19:55" ht="15.75" customHeight="1">
      <c r="S676" s="454"/>
      <c r="BA676" s="1305"/>
      <c r="BC676" s="169"/>
    </row>
    <row r="677" spans="19:55" ht="15.75" customHeight="1">
      <c r="S677" s="454"/>
      <c r="BA677" s="1305"/>
      <c r="BC677" s="169"/>
    </row>
    <row r="678" spans="19:55" ht="15.75" customHeight="1">
      <c r="S678" s="454"/>
      <c r="BA678" s="1305"/>
      <c r="BC678" s="169"/>
    </row>
    <row r="679" spans="19:55" ht="15.75" customHeight="1">
      <c r="S679" s="454"/>
      <c r="BA679" s="1305"/>
      <c r="BC679" s="169"/>
    </row>
    <row r="680" spans="19:55" ht="15.75" customHeight="1">
      <c r="S680" s="454"/>
      <c r="BA680" s="1305"/>
      <c r="BC680" s="169"/>
    </row>
    <row r="681" spans="19:55" ht="15.75" customHeight="1">
      <c r="S681" s="454"/>
      <c r="BA681" s="1305"/>
      <c r="BC681" s="169"/>
    </row>
    <row r="682" spans="19:55" ht="15.75" customHeight="1">
      <c r="S682" s="454"/>
      <c r="BA682" s="1305"/>
      <c r="BC682" s="169"/>
    </row>
    <row r="683" spans="19:55" ht="15.75" customHeight="1">
      <c r="S683" s="454"/>
      <c r="BA683" s="1305"/>
      <c r="BC683" s="169"/>
    </row>
    <row r="684" spans="19:55" ht="15.75" customHeight="1">
      <c r="S684" s="454"/>
      <c r="BA684" s="1305"/>
      <c r="BC684" s="169"/>
    </row>
    <row r="685" spans="19:55" ht="15.75" customHeight="1">
      <c r="S685" s="454"/>
      <c r="BA685" s="1305"/>
      <c r="BC685" s="169"/>
    </row>
    <row r="686" spans="19:55" ht="15.75" customHeight="1">
      <c r="S686" s="454"/>
      <c r="BA686" s="1305"/>
      <c r="BC686" s="169"/>
    </row>
    <row r="687" spans="19:55" ht="15.75" customHeight="1">
      <c r="S687" s="454"/>
      <c r="BA687" s="1305"/>
      <c r="BC687" s="169"/>
    </row>
    <row r="688" spans="19:55" ht="15.75" customHeight="1">
      <c r="S688" s="454"/>
      <c r="BA688" s="1305"/>
      <c r="BC688" s="169"/>
    </row>
    <row r="689" spans="19:55" ht="15.75" customHeight="1">
      <c r="S689" s="454"/>
      <c r="BA689" s="1305"/>
      <c r="BC689" s="169"/>
    </row>
    <row r="690" spans="19:55" ht="15.75" customHeight="1">
      <c r="S690" s="454"/>
      <c r="BA690" s="1305"/>
      <c r="BC690" s="169"/>
    </row>
    <row r="691" spans="19:55" ht="15.75" customHeight="1">
      <c r="S691" s="454"/>
      <c r="BA691" s="1305"/>
      <c r="BC691" s="169"/>
    </row>
    <row r="692" spans="19:55" ht="15.75" customHeight="1">
      <c r="S692" s="454"/>
      <c r="BA692" s="1305"/>
      <c r="BC692" s="169"/>
    </row>
    <row r="693" spans="19:55" ht="15.75" customHeight="1">
      <c r="S693" s="454"/>
      <c r="BA693" s="1305"/>
      <c r="BC693" s="169"/>
    </row>
    <row r="694" spans="19:55" ht="15.75" customHeight="1">
      <c r="S694" s="454"/>
      <c r="BA694" s="1305"/>
      <c r="BC694" s="169"/>
    </row>
    <row r="695" spans="19:55" ht="15.75" customHeight="1">
      <c r="S695" s="454"/>
      <c r="BA695" s="1305"/>
      <c r="BC695" s="169"/>
    </row>
    <row r="696" spans="19:55" ht="15.75" customHeight="1">
      <c r="S696" s="454"/>
      <c r="BA696" s="1305"/>
      <c r="BC696" s="169"/>
    </row>
    <row r="697" spans="19:55" ht="15.75" customHeight="1">
      <c r="S697" s="454"/>
      <c r="BA697" s="1305"/>
      <c r="BC697" s="169"/>
    </row>
    <row r="698" spans="19:55" ht="15.75" customHeight="1">
      <c r="S698" s="454"/>
      <c r="BA698" s="1305"/>
      <c r="BC698" s="169"/>
    </row>
    <row r="699" spans="19:55" ht="15.75" customHeight="1">
      <c r="S699" s="454"/>
      <c r="BA699" s="1305"/>
      <c r="BC699" s="169"/>
    </row>
    <row r="700" spans="19:55" ht="15.75" customHeight="1">
      <c r="S700" s="454"/>
      <c r="BA700" s="1305"/>
      <c r="BC700" s="169"/>
    </row>
    <row r="701" spans="19:55" ht="15.75" customHeight="1">
      <c r="S701" s="454"/>
      <c r="BA701" s="1305"/>
      <c r="BC701" s="169"/>
    </row>
    <row r="702" spans="19:55" ht="15.75" customHeight="1">
      <c r="S702" s="454"/>
      <c r="BA702" s="1305"/>
      <c r="BC702" s="169"/>
    </row>
    <row r="703" spans="19:55" ht="15.75" customHeight="1">
      <c r="S703" s="454"/>
      <c r="BA703" s="1305"/>
      <c r="BC703" s="169"/>
    </row>
    <row r="704" spans="19:55" ht="15.75" customHeight="1">
      <c r="S704" s="454"/>
      <c r="BA704" s="1305"/>
      <c r="BC704" s="169"/>
    </row>
    <row r="705" spans="19:55" ht="15.75" customHeight="1">
      <c r="S705" s="454"/>
      <c r="BA705" s="1305"/>
      <c r="BC705" s="169"/>
    </row>
    <row r="706" spans="19:55" ht="15.75" customHeight="1">
      <c r="S706" s="454"/>
      <c r="BA706" s="1305"/>
      <c r="BC706" s="169"/>
    </row>
    <row r="707" spans="19:55" ht="15.75" customHeight="1">
      <c r="S707" s="454"/>
      <c r="BA707" s="1305"/>
      <c r="BC707" s="169"/>
    </row>
    <row r="708" spans="19:55" ht="15.75" customHeight="1">
      <c r="S708" s="454"/>
      <c r="BA708" s="1305"/>
      <c r="BC708" s="169"/>
    </row>
    <row r="709" spans="19:55" ht="15.75" customHeight="1">
      <c r="S709" s="454"/>
      <c r="BA709" s="1305"/>
      <c r="BC709" s="169"/>
    </row>
    <row r="710" spans="19:55" ht="15.75" customHeight="1">
      <c r="S710" s="454"/>
      <c r="BA710" s="1305"/>
      <c r="BC710" s="169"/>
    </row>
    <row r="711" spans="19:55" ht="15.75" customHeight="1">
      <c r="S711" s="454"/>
      <c r="BA711" s="1305"/>
      <c r="BC711" s="169"/>
    </row>
    <row r="712" spans="19:55" ht="15.75" customHeight="1">
      <c r="S712" s="454"/>
      <c r="BA712" s="1305"/>
      <c r="BC712" s="169"/>
    </row>
    <row r="713" spans="19:55" ht="15.75" customHeight="1">
      <c r="S713" s="454"/>
      <c r="BA713" s="1305"/>
      <c r="BC713" s="169"/>
    </row>
    <row r="714" spans="19:55" ht="15.75" customHeight="1">
      <c r="S714" s="454"/>
      <c r="BA714" s="1305"/>
      <c r="BC714" s="169"/>
    </row>
    <row r="715" spans="19:55" ht="15.75" customHeight="1">
      <c r="S715" s="454"/>
      <c r="BA715" s="1305"/>
      <c r="BC715" s="169"/>
    </row>
    <row r="716" spans="19:55" ht="15.75" customHeight="1">
      <c r="S716" s="454"/>
      <c r="BA716" s="1305"/>
      <c r="BC716" s="169"/>
    </row>
    <row r="717" spans="19:55" ht="15.75" customHeight="1">
      <c r="S717" s="454"/>
      <c r="BA717" s="1305"/>
      <c r="BC717" s="169"/>
    </row>
    <row r="718" spans="19:55" ht="15.75" customHeight="1">
      <c r="S718" s="454"/>
      <c r="BA718" s="1305"/>
      <c r="BC718" s="169"/>
    </row>
    <row r="719" spans="19:55" ht="15.75" customHeight="1">
      <c r="S719" s="454"/>
      <c r="BA719" s="1305"/>
      <c r="BC719" s="169"/>
    </row>
    <row r="720" spans="19:55" ht="15.75" customHeight="1">
      <c r="S720" s="454"/>
      <c r="BA720" s="1305"/>
      <c r="BC720" s="169"/>
    </row>
    <row r="721" spans="19:55" ht="15.75" customHeight="1">
      <c r="S721" s="454"/>
      <c r="BA721" s="1305"/>
      <c r="BC721" s="169"/>
    </row>
    <row r="722" spans="19:55" ht="15.75" customHeight="1">
      <c r="S722" s="454"/>
      <c r="BA722" s="1305"/>
      <c r="BC722" s="169"/>
    </row>
    <row r="723" spans="19:55" ht="15.75" customHeight="1">
      <c r="S723" s="454"/>
      <c r="BA723" s="1305"/>
      <c r="BC723" s="169"/>
    </row>
    <row r="724" spans="19:55" ht="15.75" customHeight="1">
      <c r="S724" s="454"/>
      <c r="BA724" s="1305"/>
      <c r="BC724" s="169"/>
    </row>
    <row r="725" spans="19:55" ht="15.75" customHeight="1">
      <c r="S725" s="454"/>
      <c r="BA725" s="1305"/>
      <c r="BC725" s="169"/>
    </row>
    <row r="726" spans="19:55" ht="15.75" customHeight="1">
      <c r="S726" s="454"/>
      <c r="BA726" s="1305"/>
      <c r="BC726" s="169"/>
    </row>
    <row r="727" spans="19:55" ht="15.75" customHeight="1">
      <c r="S727" s="454"/>
      <c r="BA727" s="1305"/>
      <c r="BC727" s="169"/>
    </row>
    <row r="728" spans="19:55" ht="15.75" customHeight="1">
      <c r="S728" s="454"/>
      <c r="BA728" s="1305"/>
      <c r="BC728" s="169"/>
    </row>
    <row r="729" spans="19:55" ht="15.75" customHeight="1">
      <c r="S729" s="454"/>
      <c r="BA729" s="1305"/>
      <c r="BC729" s="169"/>
    </row>
    <row r="730" spans="19:55" ht="15.75" customHeight="1">
      <c r="S730" s="454"/>
      <c r="BA730" s="1305"/>
      <c r="BC730" s="169"/>
    </row>
    <row r="731" spans="19:55" ht="15.75" customHeight="1">
      <c r="S731" s="454"/>
      <c r="BA731" s="1305"/>
      <c r="BC731" s="169"/>
    </row>
    <row r="732" spans="19:55" ht="15.75" customHeight="1">
      <c r="S732" s="454"/>
      <c r="BA732" s="1305"/>
      <c r="BC732" s="169"/>
    </row>
    <row r="733" spans="19:55" ht="15.75" customHeight="1">
      <c r="S733" s="454"/>
      <c r="BA733" s="1305"/>
      <c r="BC733" s="169"/>
    </row>
    <row r="734" spans="19:55" ht="15.75" customHeight="1">
      <c r="S734" s="454"/>
      <c r="BA734" s="1305"/>
      <c r="BC734" s="169"/>
    </row>
    <row r="735" spans="19:55" ht="15.75" customHeight="1">
      <c r="S735" s="454"/>
      <c r="BA735" s="1305"/>
      <c r="BC735" s="169"/>
    </row>
    <row r="736" spans="19:55" ht="15.75" customHeight="1">
      <c r="S736" s="454"/>
      <c r="BA736" s="1305"/>
      <c r="BC736" s="169"/>
    </row>
    <row r="737" spans="19:55" ht="15.75" customHeight="1">
      <c r="S737" s="454"/>
      <c r="BA737" s="1305"/>
      <c r="BC737" s="169"/>
    </row>
    <row r="738" spans="19:55" ht="15.75" customHeight="1">
      <c r="S738" s="454"/>
      <c r="BA738" s="1305"/>
      <c r="BC738" s="169"/>
    </row>
    <row r="739" spans="19:55" ht="15.75" customHeight="1">
      <c r="S739" s="454"/>
      <c r="BA739" s="1305"/>
      <c r="BC739" s="169"/>
    </row>
    <row r="740" spans="19:55" ht="15.75" customHeight="1">
      <c r="S740" s="454"/>
      <c r="BA740" s="1305"/>
      <c r="BC740" s="169"/>
    </row>
    <row r="741" spans="19:55" ht="15.75" customHeight="1">
      <c r="S741" s="454"/>
      <c r="BA741" s="1305"/>
      <c r="BC741" s="169"/>
    </row>
    <row r="742" spans="19:55" ht="15.75" customHeight="1">
      <c r="S742" s="454"/>
      <c r="BA742" s="1305"/>
      <c r="BC742" s="169"/>
    </row>
    <row r="743" spans="19:55" ht="15.75" customHeight="1">
      <c r="S743" s="454"/>
      <c r="BA743" s="1305"/>
      <c r="BC743" s="169"/>
    </row>
    <row r="744" spans="19:55" ht="15.75" customHeight="1">
      <c r="S744" s="454"/>
      <c r="BA744" s="1305"/>
      <c r="BC744" s="169"/>
    </row>
    <row r="745" spans="19:55" ht="15.75" customHeight="1">
      <c r="S745" s="454"/>
      <c r="BA745" s="1305"/>
      <c r="BC745" s="169"/>
    </row>
    <row r="746" spans="19:55" ht="15.75" customHeight="1">
      <c r="S746" s="454"/>
      <c r="BA746" s="1305"/>
      <c r="BC746" s="169"/>
    </row>
    <row r="747" spans="19:55" ht="15.75" customHeight="1">
      <c r="S747" s="454"/>
      <c r="BA747" s="1305"/>
      <c r="BC747" s="169"/>
    </row>
    <row r="748" spans="19:55" ht="15.75" customHeight="1">
      <c r="S748" s="454"/>
      <c r="BA748" s="1305"/>
      <c r="BC748" s="169"/>
    </row>
    <row r="749" spans="19:55" ht="15.75" customHeight="1">
      <c r="S749" s="454"/>
      <c r="BA749" s="1305"/>
      <c r="BC749" s="169"/>
    </row>
    <row r="750" spans="19:55" ht="15.75" customHeight="1">
      <c r="S750" s="454"/>
      <c r="BA750" s="1305"/>
      <c r="BC750" s="169"/>
    </row>
    <row r="751" spans="19:55" ht="15.75" customHeight="1">
      <c r="S751" s="454"/>
      <c r="BA751" s="1305"/>
      <c r="BC751" s="169"/>
    </row>
    <row r="752" spans="19:55" ht="15.75" customHeight="1">
      <c r="S752" s="454"/>
      <c r="BA752" s="1305"/>
      <c r="BC752" s="169"/>
    </row>
    <row r="753" spans="19:55" ht="15.75" customHeight="1">
      <c r="S753" s="454"/>
      <c r="BA753" s="1305"/>
      <c r="BC753" s="169"/>
    </row>
    <row r="754" spans="19:55" ht="15.75" customHeight="1">
      <c r="S754" s="454"/>
      <c r="BA754" s="1305"/>
      <c r="BC754" s="169"/>
    </row>
    <row r="755" spans="19:55" ht="15.75" customHeight="1">
      <c r="S755" s="454"/>
      <c r="BA755" s="1305"/>
      <c r="BC755" s="169"/>
    </row>
    <row r="756" spans="19:55" ht="15.75" customHeight="1">
      <c r="S756" s="454"/>
      <c r="BA756" s="1305"/>
      <c r="BC756" s="169"/>
    </row>
    <row r="757" spans="19:55" ht="15.75" customHeight="1">
      <c r="S757" s="454"/>
      <c r="BA757" s="1305"/>
      <c r="BC757" s="169"/>
    </row>
    <row r="758" spans="19:55" ht="15.75" customHeight="1">
      <c r="S758" s="454"/>
      <c r="BA758" s="1305"/>
      <c r="BC758" s="169"/>
    </row>
    <row r="759" spans="19:55" ht="15.75" customHeight="1">
      <c r="S759" s="454"/>
      <c r="BA759" s="1305"/>
      <c r="BC759" s="169"/>
    </row>
    <row r="760" spans="19:55" ht="15.75" customHeight="1">
      <c r="S760" s="454"/>
      <c r="BA760" s="1305"/>
      <c r="BC760" s="169"/>
    </row>
    <row r="761" spans="19:55" ht="15.75" customHeight="1">
      <c r="S761" s="454"/>
      <c r="BA761" s="1305"/>
      <c r="BC761" s="169"/>
    </row>
    <row r="762" spans="19:55" ht="15.75" customHeight="1">
      <c r="S762" s="454"/>
      <c r="BA762" s="1305"/>
      <c r="BC762" s="169"/>
    </row>
    <row r="763" spans="19:55" ht="15.75" customHeight="1">
      <c r="S763" s="454"/>
      <c r="BA763" s="1305"/>
      <c r="BC763" s="169"/>
    </row>
    <row r="764" spans="19:55" ht="15.75" customHeight="1">
      <c r="S764" s="454"/>
      <c r="BA764" s="1305"/>
      <c r="BC764" s="169"/>
    </row>
    <row r="765" spans="19:55" ht="15.75" customHeight="1">
      <c r="S765" s="454"/>
      <c r="BA765" s="1305"/>
      <c r="BC765" s="169"/>
    </row>
    <row r="766" spans="19:55" ht="15.75" customHeight="1">
      <c r="S766" s="454"/>
      <c r="BA766" s="1305"/>
      <c r="BC766" s="169"/>
    </row>
    <row r="767" spans="19:55" ht="15.75" customHeight="1">
      <c r="S767" s="454"/>
      <c r="BA767" s="1305"/>
      <c r="BC767" s="169"/>
    </row>
    <row r="768" spans="19:55" ht="15.75" customHeight="1">
      <c r="S768" s="454"/>
      <c r="BA768" s="1305"/>
      <c r="BC768" s="169"/>
    </row>
    <row r="769" spans="19:55" ht="15.75" customHeight="1">
      <c r="S769" s="454"/>
      <c r="BA769" s="1305"/>
      <c r="BC769" s="169"/>
    </row>
    <row r="770" spans="19:55" ht="15.75" customHeight="1">
      <c r="S770" s="454"/>
      <c r="BA770" s="1305"/>
      <c r="BC770" s="169"/>
    </row>
    <row r="771" spans="19:55" ht="15.75" customHeight="1">
      <c r="S771" s="454"/>
      <c r="BA771" s="1305"/>
      <c r="BC771" s="169"/>
    </row>
    <row r="772" spans="19:55" ht="15.75" customHeight="1">
      <c r="S772" s="454"/>
      <c r="BA772" s="1305"/>
      <c r="BC772" s="169"/>
    </row>
    <row r="773" spans="19:55" ht="15.75" customHeight="1">
      <c r="S773" s="454"/>
      <c r="BA773" s="1305"/>
      <c r="BC773" s="169"/>
    </row>
    <row r="774" spans="19:55" ht="15.75" customHeight="1">
      <c r="S774" s="454"/>
      <c r="BA774" s="1305"/>
      <c r="BC774" s="169"/>
    </row>
    <row r="775" spans="19:55" ht="15.75" customHeight="1">
      <c r="S775" s="454"/>
      <c r="BA775" s="1305"/>
      <c r="BC775" s="169"/>
    </row>
    <row r="776" spans="19:55" ht="15.75" customHeight="1">
      <c r="S776" s="454"/>
      <c r="BA776" s="1305"/>
      <c r="BC776" s="169"/>
    </row>
    <row r="777" spans="19:55" ht="15.75" customHeight="1">
      <c r="S777" s="454"/>
      <c r="BA777" s="1305"/>
      <c r="BC777" s="169"/>
    </row>
    <row r="778" spans="19:55" ht="15.75" customHeight="1">
      <c r="S778" s="454"/>
      <c r="BA778" s="1305"/>
      <c r="BC778" s="169"/>
    </row>
    <row r="779" spans="19:55" ht="15.75" customHeight="1">
      <c r="S779" s="454"/>
      <c r="BA779" s="1305"/>
      <c r="BC779" s="169"/>
    </row>
    <row r="780" spans="19:55" ht="15.75" customHeight="1">
      <c r="S780" s="454"/>
      <c r="BA780" s="1305"/>
      <c r="BC780" s="169"/>
    </row>
    <row r="781" spans="19:55" ht="15.75" customHeight="1">
      <c r="S781" s="454"/>
      <c r="BA781" s="1305"/>
      <c r="BC781" s="169"/>
    </row>
    <row r="782" spans="19:55" ht="15.75" customHeight="1">
      <c r="S782" s="454"/>
      <c r="BA782" s="1305"/>
      <c r="BC782" s="169"/>
    </row>
    <row r="783" spans="19:55" ht="15.75" customHeight="1">
      <c r="S783" s="454"/>
      <c r="BA783" s="1305"/>
      <c r="BC783" s="169"/>
    </row>
    <row r="784" spans="19:55" ht="15.75" customHeight="1">
      <c r="S784" s="454"/>
      <c r="BA784" s="1305"/>
      <c r="BC784" s="169"/>
    </row>
    <row r="785" spans="19:55" ht="15.75" customHeight="1">
      <c r="S785" s="454"/>
      <c r="BA785" s="1305"/>
      <c r="BC785" s="169"/>
    </row>
    <row r="786" spans="19:55" ht="15.75" customHeight="1">
      <c r="S786" s="454"/>
      <c r="BA786" s="1305"/>
      <c r="BC786" s="169"/>
    </row>
    <row r="787" spans="19:55" ht="15.75" customHeight="1">
      <c r="S787" s="454"/>
      <c r="BA787" s="1305"/>
      <c r="BC787" s="169"/>
    </row>
    <row r="788" spans="19:55" ht="15.75" customHeight="1">
      <c r="S788" s="454"/>
      <c r="BA788" s="1305"/>
      <c r="BC788" s="169"/>
    </row>
    <row r="789" spans="19:55" ht="15.75" customHeight="1">
      <c r="S789" s="454"/>
      <c r="BA789" s="1305"/>
      <c r="BC789" s="169"/>
    </row>
    <row r="790" spans="19:55" ht="15.75" customHeight="1">
      <c r="S790" s="454"/>
      <c r="BA790" s="1305"/>
      <c r="BC790" s="169"/>
    </row>
    <row r="791" spans="19:55" ht="15.75" customHeight="1">
      <c r="S791" s="454"/>
      <c r="BA791" s="1305"/>
      <c r="BC791" s="169"/>
    </row>
    <row r="792" spans="19:55" ht="15.75" customHeight="1">
      <c r="S792" s="454"/>
      <c r="BA792" s="1305"/>
      <c r="BC792" s="169"/>
    </row>
    <row r="793" spans="19:55" ht="15.75" customHeight="1">
      <c r="S793" s="454"/>
      <c r="BA793" s="1305"/>
      <c r="BC793" s="169"/>
    </row>
    <row r="794" spans="19:55" ht="15.75" customHeight="1">
      <c r="S794" s="454"/>
      <c r="BA794" s="1305"/>
      <c r="BC794" s="169"/>
    </row>
    <row r="795" spans="19:55" ht="15.75" customHeight="1">
      <c r="S795" s="454"/>
      <c r="BA795" s="1305"/>
      <c r="BC795" s="169"/>
    </row>
    <row r="796" spans="19:55" ht="15.75" customHeight="1">
      <c r="S796" s="454"/>
      <c r="BA796" s="1305"/>
      <c r="BC796" s="169"/>
    </row>
    <row r="797" spans="19:55" ht="15.75" customHeight="1">
      <c r="S797" s="454"/>
      <c r="BA797" s="1305"/>
      <c r="BC797" s="169"/>
    </row>
    <row r="798" spans="19:55" ht="15.75" customHeight="1">
      <c r="S798" s="454"/>
      <c r="BA798" s="1305"/>
      <c r="BC798" s="169"/>
    </row>
    <row r="799" spans="19:55" ht="15.75" customHeight="1">
      <c r="S799" s="454"/>
      <c r="BA799" s="1305"/>
      <c r="BC799" s="169"/>
    </row>
    <row r="800" spans="19:55" ht="15.75" customHeight="1">
      <c r="S800" s="454"/>
      <c r="BA800" s="1305"/>
      <c r="BC800" s="169"/>
    </row>
    <row r="801" spans="19:55" ht="15.75" customHeight="1">
      <c r="S801" s="454"/>
      <c r="BA801" s="1305"/>
      <c r="BC801" s="169"/>
    </row>
    <row r="802" spans="19:55" ht="15.75" customHeight="1">
      <c r="S802" s="454"/>
      <c r="BA802" s="1305"/>
      <c r="BC802" s="169"/>
    </row>
    <row r="803" spans="19:55" ht="15.75" customHeight="1">
      <c r="S803" s="454"/>
      <c r="BA803" s="1305"/>
      <c r="BC803" s="169"/>
    </row>
    <row r="804" spans="19:55" ht="15.75" customHeight="1">
      <c r="S804" s="454"/>
      <c r="BA804" s="1305"/>
      <c r="BC804" s="169"/>
    </row>
    <row r="805" spans="19:55" ht="15.75" customHeight="1">
      <c r="S805" s="454"/>
      <c r="BA805" s="1305"/>
      <c r="BC805" s="169"/>
    </row>
    <row r="806" spans="19:55" ht="15.75" customHeight="1">
      <c r="S806" s="454"/>
      <c r="BA806" s="1305"/>
      <c r="BC806" s="169"/>
    </row>
    <row r="807" spans="19:55" ht="15.75" customHeight="1">
      <c r="S807" s="454"/>
      <c r="BA807" s="1305"/>
      <c r="BC807" s="169"/>
    </row>
    <row r="808" spans="19:55" ht="15.75" customHeight="1">
      <c r="S808" s="454"/>
      <c r="BA808" s="1305"/>
      <c r="BC808" s="169"/>
    </row>
    <row r="809" spans="19:55" ht="15.75" customHeight="1">
      <c r="S809" s="454"/>
      <c r="BA809" s="1305"/>
      <c r="BC809" s="169"/>
    </row>
    <row r="810" spans="19:55" ht="15.75" customHeight="1">
      <c r="S810" s="454"/>
      <c r="BA810" s="1305"/>
      <c r="BC810" s="169"/>
    </row>
    <row r="811" spans="19:55" ht="15.75" customHeight="1">
      <c r="S811" s="454"/>
      <c r="BA811" s="1305"/>
      <c r="BC811" s="169"/>
    </row>
    <row r="812" spans="19:55" ht="15.75" customHeight="1">
      <c r="S812" s="454"/>
      <c r="BA812" s="1305"/>
      <c r="BC812" s="169"/>
    </row>
    <row r="813" spans="19:55" ht="15.75" customHeight="1">
      <c r="S813" s="454"/>
      <c r="BA813" s="1305"/>
      <c r="BC813" s="169"/>
    </row>
    <row r="814" spans="19:55" ht="15.75" customHeight="1">
      <c r="S814" s="454"/>
      <c r="BA814" s="1305"/>
      <c r="BC814" s="169"/>
    </row>
    <row r="815" spans="19:55" ht="15.75" customHeight="1">
      <c r="S815" s="454"/>
      <c r="BA815" s="1305"/>
      <c r="BC815" s="169"/>
    </row>
    <row r="816" spans="19:55" ht="15.75" customHeight="1">
      <c r="S816" s="454"/>
      <c r="BA816" s="1305"/>
      <c r="BC816" s="169"/>
    </row>
    <row r="817" spans="19:55" ht="15.75" customHeight="1">
      <c r="S817" s="454"/>
      <c r="BA817" s="1305"/>
      <c r="BC817" s="169"/>
    </row>
    <row r="818" spans="19:55" ht="15.75" customHeight="1">
      <c r="S818" s="454"/>
      <c r="BA818" s="1305"/>
      <c r="BC818" s="169"/>
    </row>
    <row r="819" spans="19:55" ht="15.75" customHeight="1">
      <c r="S819" s="454"/>
      <c r="BA819" s="1305"/>
      <c r="BC819" s="169"/>
    </row>
    <row r="820" spans="19:55" ht="15.75" customHeight="1">
      <c r="S820" s="454"/>
      <c r="BA820" s="1305"/>
      <c r="BC820" s="169"/>
    </row>
    <row r="821" spans="19:55" ht="15.75" customHeight="1">
      <c r="S821" s="454"/>
      <c r="BA821" s="1305"/>
      <c r="BC821" s="169"/>
    </row>
    <row r="822" spans="19:55" ht="15.75" customHeight="1">
      <c r="S822" s="454"/>
      <c r="BA822" s="1305"/>
      <c r="BC822" s="169"/>
    </row>
    <row r="823" spans="19:55" ht="15.75" customHeight="1">
      <c r="S823" s="454"/>
      <c r="BA823" s="1305"/>
      <c r="BC823" s="169"/>
    </row>
    <row r="824" spans="19:55" ht="15.75" customHeight="1">
      <c r="S824" s="454"/>
      <c r="BA824" s="1305"/>
      <c r="BC824" s="169"/>
    </row>
    <row r="825" spans="19:55" ht="15.75" customHeight="1">
      <c r="S825" s="454"/>
      <c r="BA825" s="1305"/>
      <c r="BC825" s="169"/>
    </row>
    <row r="826" spans="19:55" ht="15.75" customHeight="1">
      <c r="S826" s="454"/>
      <c r="BA826" s="1305"/>
      <c r="BC826" s="169"/>
    </row>
    <row r="827" spans="19:55" ht="15.75" customHeight="1">
      <c r="S827" s="454"/>
      <c r="BA827" s="1305"/>
      <c r="BC827" s="169"/>
    </row>
    <row r="828" spans="19:55" ht="15.75" customHeight="1">
      <c r="S828" s="454"/>
      <c r="BA828" s="1305"/>
      <c r="BC828" s="169"/>
    </row>
    <row r="829" spans="19:55" ht="15.75" customHeight="1">
      <c r="S829" s="454"/>
      <c r="BA829" s="1305"/>
      <c r="BC829" s="169"/>
    </row>
    <row r="830" spans="19:55" ht="15.75" customHeight="1">
      <c r="S830" s="454"/>
      <c r="BA830" s="1305"/>
      <c r="BC830" s="169"/>
    </row>
    <row r="831" spans="19:55" ht="15.75" customHeight="1">
      <c r="S831" s="454"/>
      <c r="BA831" s="1305"/>
      <c r="BC831" s="169"/>
    </row>
    <row r="832" spans="19:55" ht="15.75" customHeight="1">
      <c r="S832" s="454"/>
      <c r="BA832" s="1305"/>
      <c r="BC832" s="169"/>
    </row>
    <row r="833" spans="19:55" ht="15.75" customHeight="1">
      <c r="S833" s="454"/>
      <c r="BA833" s="1305"/>
      <c r="BC833" s="169"/>
    </row>
    <row r="834" spans="19:55" ht="15.75" customHeight="1">
      <c r="S834" s="454"/>
      <c r="BA834" s="1305"/>
      <c r="BC834" s="169"/>
    </row>
    <row r="835" spans="19:55" ht="15.75" customHeight="1">
      <c r="S835" s="454"/>
      <c r="BA835" s="1305"/>
      <c r="BC835" s="169"/>
    </row>
    <row r="836" spans="19:55" ht="15.75" customHeight="1">
      <c r="S836" s="454"/>
      <c r="BA836" s="1305"/>
      <c r="BC836" s="169"/>
    </row>
    <row r="837" spans="19:55" ht="15.75" customHeight="1">
      <c r="S837" s="454"/>
      <c r="BA837" s="1305"/>
      <c r="BC837" s="169"/>
    </row>
    <row r="838" spans="19:55" ht="15.75" customHeight="1">
      <c r="S838" s="454"/>
      <c r="BA838" s="1305"/>
      <c r="BC838" s="169"/>
    </row>
    <row r="839" spans="19:55" ht="15.75" customHeight="1">
      <c r="S839" s="454"/>
      <c r="BA839" s="1305"/>
      <c r="BC839" s="169"/>
    </row>
    <row r="840" spans="19:55" ht="15.75" customHeight="1">
      <c r="S840" s="454"/>
      <c r="BA840" s="1305"/>
      <c r="BC840" s="169"/>
    </row>
    <row r="841" spans="19:55" ht="15.75" customHeight="1">
      <c r="S841" s="454"/>
      <c r="BA841" s="1305"/>
      <c r="BC841" s="169"/>
    </row>
    <row r="842" spans="19:55" ht="15.75" customHeight="1">
      <c r="S842" s="454"/>
      <c r="BA842" s="1305"/>
      <c r="BC842" s="169"/>
    </row>
    <row r="843" spans="19:55" ht="15.75" customHeight="1">
      <c r="S843" s="454"/>
      <c r="BA843" s="1305"/>
      <c r="BC843" s="169"/>
    </row>
    <row r="844" spans="19:55" ht="15.75" customHeight="1">
      <c r="S844" s="454"/>
      <c r="BA844" s="1305"/>
      <c r="BC844" s="169"/>
    </row>
    <row r="845" spans="19:55" ht="15.75" customHeight="1">
      <c r="S845" s="454"/>
      <c r="BA845" s="1305"/>
      <c r="BC845" s="169"/>
    </row>
    <row r="846" spans="19:55" ht="15.75" customHeight="1">
      <c r="S846" s="454"/>
      <c r="BA846" s="1305"/>
      <c r="BC846" s="169"/>
    </row>
    <row r="847" spans="19:55" ht="15.75" customHeight="1">
      <c r="S847" s="454"/>
      <c r="BA847" s="1305"/>
      <c r="BC847" s="169"/>
    </row>
    <row r="848" spans="19:55" ht="15.75" customHeight="1">
      <c r="S848" s="454"/>
      <c r="BA848" s="1305"/>
      <c r="BC848" s="169"/>
    </row>
    <row r="849" spans="19:55" ht="15.75" customHeight="1">
      <c r="S849" s="454"/>
      <c r="BA849" s="1305"/>
      <c r="BC849" s="169"/>
    </row>
    <row r="850" spans="19:55" ht="15.75" customHeight="1">
      <c r="S850" s="454"/>
      <c r="BA850" s="1305"/>
      <c r="BC850" s="169"/>
    </row>
    <row r="851" spans="19:55" ht="15.75" customHeight="1">
      <c r="S851" s="454"/>
      <c r="BA851" s="1305"/>
      <c r="BC851" s="169"/>
    </row>
    <row r="852" spans="19:55" ht="15.75" customHeight="1">
      <c r="S852" s="454"/>
      <c r="BA852" s="1305"/>
      <c r="BC852" s="169"/>
    </row>
    <row r="853" spans="19:55" ht="15.75" customHeight="1">
      <c r="S853" s="454"/>
      <c r="BA853" s="1305"/>
      <c r="BC853" s="169"/>
    </row>
    <row r="854" spans="19:55" ht="15.75" customHeight="1">
      <c r="S854" s="454"/>
      <c r="BA854" s="1305"/>
      <c r="BC854" s="169"/>
    </row>
    <row r="855" spans="19:55" ht="15.75" customHeight="1">
      <c r="S855" s="454"/>
      <c r="BA855" s="1305"/>
      <c r="BC855" s="169"/>
    </row>
    <row r="856" spans="19:55" ht="15.75" customHeight="1">
      <c r="S856" s="454"/>
      <c r="BA856" s="1305"/>
      <c r="BC856" s="169"/>
    </row>
    <row r="857" spans="19:55" ht="15.75" customHeight="1">
      <c r="S857" s="454"/>
      <c r="BA857" s="1305"/>
      <c r="BC857" s="169"/>
    </row>
    <row r="858" spans="19:55" ht="15.75" customHeight="1">
      <c r="S858" s="454"/>
      <c r="BA858" s="1305"/>
      <c r="BC858" s="169"/>
    </row>
    <row r="859" spans="19:55" ht="15.75" customHeight="1">
      <c r="S859" s="454"/>
      <c r="BA859" s="1305"/>
      <c r="BC859" s="169"/>
    </row>
    <row r="860" spans="19:55" ht="15.75" customHeight="1">
      <c r="S860" s="454"/>
      <c r="BA860" s="1305"/>
      <c r="BC860" s="169"/>
    </row>
    <row r="861" spans="19:55" ht="15.75" customHeight="1">
      <c r="S861" s="454"/>
      <c r="BA861" s="1305"/>
      <c r="BC861" s="169"/>
    </row>
    <row r="862" spans="19:55" ht="15.75" customHeight="1">
      <c r="S862" s="454"/>
      <c r="BA862" s="1305"/>
      <c r="BC862" s="169"/>
    </row>
    <row r="863" spans="19:55" ht="15.75" customHeight="1">
      <c r="S863" s="454"/>
      <c r="BA863" s="1305"/>
      <c r="BC863" s="169"/>
    </row>
    <row r="864" spans="19:55" ht="15.75" customHeight="1">
      <c r="S864" s="454"/>
      <c r="BA864" s="1305"/>
      <c r="BC864" s="169"/>
    </row>
    <row r="865" spans="19:55" ht="15.75" customHeight="1">
      <c r="S865" s="454"/>
      <c r="BA865" s="1305"/>
      <c r="BC865" s="169"/>
    </row>
    <row r="866" spans="19:55" ht="15.75" customHeight="1">
      <c r="S866" s="454"/>
      <c r="BA866" s="1305"/>
      <c r="BC866" s="169"/>
    </row>
    <row r="867" spans="19:55" ht="15.75" customHeight="1">
      <c r="S867" s="454"/>
      <c r="BA867" s="1305"/>
      <c r="BC867" s="169"/>
    </row>
    <row r="868" spans="19:55" ht="15.75" customHeight="1">
      <c r="S868" s="454"/>
      <c r="BA868" s="1305"/>
      <c r="BC868" s="169"/>
    </row>
    <row r="869" spans="19:55" ht="15.75" customHeight="1">
      <c r="S869" s="454"/>
      <c r="BA869" s="1305"/>
      <c r="BC869" s="169"/>
    </row>
    <row r="870" spans="19:55" ht="15.75" customHeight="1">
      <c r="S870" s="454"/>
      <c r="BA870" s="1305"/>
      <c r="BC870" s="169"/>
    </row>
    <row r="871" spans="19:55" ht="15.75" customHeight="1">
      <c r="S871" s="454"/>
      <c r="BA871" s="1305"/>
      <c r="BC871" s="169"/>
    </row>
    <row r="872" spans="19:55" ht="15.75" customHeight="1">
      <c r="S872" s="454"/>
      <c r="BA872" s="1305"/>
      <c r="BC872" s="169"/>
    </row>
    <row r="873" spans="19:55" ht="15.75" customHeight="1">
      <c r="S873" s="454"/>
      <c r="BA873" s="1305"/>
      <c r="BC873" s="169"/>
    </row>
    <row r="874" spans="19:55" ht="15.75" customHeight="1">
      <c r="S874" s="454"/>
      <c r="BA874" s="1305"/>
      <c r="BC874" s="169"/>
    </row>
    <row r="875" spans="19:55" ht="15.75" customHeight="1">
      <c r="S875" s="454"/>
      <c r="BA875" s="1305"/>
      <c r="BC875" s="169"/>
    </row>
    <row r="876" spans="19:55" ht="15.75" customHeight="1">
      <c r="S876" s="454"/>
      <c r="BA876" s="1305"/>
      <c r="BC876" s="169"/>
    </row>
    <row r="877" spans="19:55" ht="15.75" customHeight="1">
      <c r="S877" s="454"/>
      <c r="BA877" s="1305"/>
      <c r="BC877" s="169"/>
    </row>
    <row r="878" spans="19:55" ht="15.75" customHeight="1">
      <c r="S878" s="454"/>
      <c r="BA878" s="1305"/>
      <c r="BC878" s="169"/>
    </row>
    <row r="879" spans="19:55" ht="15.75" customHeight="1">
      <c r="S879" s="454"/>
      <c r="BA879" s="1305"/>
      <c r="BC879" s="169"/>
    </row>
    <row r="880" spans="19:55" ht="15.75" customHeight="1">
      <c r="S880" s="454"/>
      <c r="BA880" s="1305"/>
      <c r="BC880" s="169"/>
    </row>
    <row r="881" spans="19:55" ht="15.75" customHeight="1">
      <c r="S881" s="454"/>
      <c r="BA881" s="1305"/>
      <c r="BC881" s="169"/>
    </row>
    <row r="882" spans="19:55" ht="15.75" customHeight="1">
      <c r="S882" s="454"/>
      <c r="BA882" s="1305"/>
      <c r="BC882" s="169"/>
    </row>
    <row r="883" spans="19:55" ht="15.75" customHeight="1">
      <c r="S883" s="454"/>
      <c r="BA883" s="1305"/>
      <c r="BC883" s="169"/>
    </row>
    <row r="884" spans="19:55" ht="15.75" customHeight="1">
      <c r="S884" s="454"/>
      <c r="BA884" s="1305"/>
      <c r="BC884" s="169"/>
    </row>
    <row r="885" spans="19:55" ht="15.75" customHeight="1">
      <c r="S885" s="454"/>
      <c r="BA885" s="1305"/>
      <c r="BC885" s="169"/>
    </row>
    <row r="886" spans="19:55" ht="15.75" customHeight="1">
      <c r="S886" s="454"/>
      <c r="BA886" s="1305"/>
      <c r="BC886" s="169"/>
    </row>
    <row r="887" spans="19:55" ht="15.75" customHeight="1">
      <c r="S887" s="454"/>
      <c r="BA887" s="1305"/>
      <c r="BC887" s="169"/>
    </row>
    <row r="888" spans="19:55" ht="15.75" customHeight="1">
      <c r="S888" s="454"/>
      <c r="BA888" s="1305"/>
      <c r="BC888" s="169"/>
    </row>
    <row r="889" spans="19:55" ht="15.75" customHeight="1">
      <c r="S889" s="454"/>
      <c r="BA889" s="1305"/>
      <c r="BC889" s="169"/>
    </row>
    <row r="890" spans="19:55" ht="15.75" customHeight="1">
      <c r="S890" s="454"/>
      <c r="BA890" s="1305"/>
      <c r="BC890" s="169"/>
    </row>
    <row r="891" spans="19:55" ht="15.75" customHeight="1">
      <c r="S891" s="454"/>
      <c r="BA891" s="1305"/>
      <c r="BC891" s="169"/>
    </row>
    <row r="892" spans="19:55" ht="15.75" customHeight="1">
      <c r="S892" s="454"/>
      <c r="BA892" s="1305"/>
      <c r="BC892" s="169"/>
    </row>
    <row r="893" spans="19:55" ht="15.75" customHeight="1">
      <c r="S893" s="454"/>
      <c r="BA893" s="1305"/>
      <c r="BC893" s="169"/>
    </row>
    <row r="894" spans="19:55" ht="15.75" customHeight="1">
      <c r="S894" s="454"/>
      <c r="BA894" s="1305"/>
      <c r="BC894" s="169"/>
    </row>
    <row r="895" spans="19:55" ht="15.75" customHeight="1">
      <c r="S895" s="454"/>
      <c r="BA895" s="1305"/>
      <c r="BC895" s="169"/>
    </row>
    <row r="896" spans="19:55" ht="15.75" customHeight="1">
      <c r="S896" s="454"/>
      <c r="BA896" s="1305"/>
      <c r="BC896" s="169"/>
    </row>
    <row r="897" spans="19:55" ht="15.75" customHeight="1">
      <c r="S897" s="454"/>
      <c r="BA897" s="1305"/>
      <c r="BC897" s="169"/>
    </row>
    <row r="898" spans="19:55" ht="15.75" customHeight="1">
      <c r="S898" s="454"/>
      <c r="BA898" s="1305"/>
      <c r="BC898" s="169"/>
    </row>
    <row r="899" spans="19:55" ht="15.75" customHeight="1">
      <c r="S899" s="454"/>
      <c r="BA899" s="1305"/>
      <c r="BC899" s="169"/>
    </row>
    <row r="900" spans="19:55" ht="15.75" customHeight="1">
      <c r="S900" s="454"/>
      <c r="BA900" s="1305"/>
      <c r="BC900" s="169"/>
    </row>
    <row r="901" spans="19:55" ht="15.75" customHeight="1">
      <c r="S901" s="454"/>
      <c r="BA901" s="1305"/>
      <c r="BC901" s="169"/>
    </row>
    <row r="902" spans="19:55" ht="15.75" customHeight="1">
      <c r="S902" s="454"/>
      <c r="BA902" s="1305"/>
      <c r="BC902" s="169"/>
    </row>
    <row r="903" spans="19:55" ht="15.75" customHeight="1">
      <c r="S903" s="454"/>
      <c r="BA903" s="1305"/>
      <c r="BC903" s="169"/>
    </row>
    <row r="904" spans="19:55" ht="15.75" customHeight="1">
      <c r="S904" s="454"/>
      <c r="BA904" s="1305"/>
      <c r="BC904" s="169"/>
    </row>
    <row r="905" spans="19:55" ht="15.75" customHeight="1">
      <c r="S905" s="454"/>
      <c r="BA905" s="1305"/>
      <c r="BC905" s="169"/>
    </row>
    <row r="906" spans="19:55" ht="15.75" customHeight="1">
      <c r="S906" s="454"/>
      <c r="BA906" s="1305"/>
      <c r="BC906" s="169"/>
    </row>
    <row r="907" spans="19:55" ht="15.75" customHeight="1">
      <c r="S907" s="454"/>
      <c r="BA907" s="1305"/>
      <c r="BC907" s="169"/>
    </row>
    <row r="908" spans="19:55" ht="15.75" customHeight="1">
      <c r="S908" s="454"/>
      <c r="BA908" s="1305"/>
      <c r="BC908" s="169"/>
    </row>
    <row r="909" spans="19:55" ht="15.75" customHeight="1">
      <c r="S909" s="454"/>
      <c r="BA909" s="1305"/>
      <c r="BC909" s="169"/>
    </row>
    <row r="910" spans="19:55" ht="15.75" customHeight="1">
      <c r="S910" s="454"/>
      <c r="BA910" s="1305"/>
      <c r="BC910" s="169"/>
    </row>
    <row r="911" spans="19:55" ht="15.75" customHeight="1">
      <c r="S911" s="454"/>
      <c r="BA911" s="1305"/>
      <c r="BC911" s="169"/>
    </row>
    <row r="912" spans="19:55" ht="15.75" customHeight="1">
      <c r="S912" s="454"/>
      <c r="BA912" s="1305"/>
      <c r="BC912" s="169"/>
    </row>
    <row r="913" spans="19:55" ht="15.75" customHeight="1">
      <c r="S913" s="454"/>
      <c r="BA913" s="1305"/>
      <c r="BC913" s="169"/>
    </row>
    <row r="914" spans="19:55" ht="15.75" customHeight="1">
      <c r="S914" s="454"/>
      <c r="BA914" s="1305"/>
      <c r="BC914" s="169"/>
    </row>
    <row r="915" spans="19:55" ht="15.75" customHeight="1">
      <c r="S915" s="454"/>
      <c r="BA915" s="1305"/>
      <c r="BC915" s="169"/>
    </row>
    <row r="916" spans="19:55" ht="15.75" customHeight="1">
      <c r="S916" s="454"/>
      <c r="BA916" s="1305"/>
      <c r="BC916" s="169"/>
    </row>
    <row r="917" spans="19:55" ht="15.75" customHeight="1">
      <c r="S917" s="454"/>
      <c r="BA917" s="1305"/>
      <c r="BC917" s="169"/>
    </row>
    <row r="918" spans="19:55" ht="15.75" customHeight="1">
      <c r="S918" s="454"/>
      <c r="BA918" s="1305"/>
      <c r="BC918" s="169"/>
    </row>
    <row r="919" spans="19:55" ht="15.75" customHeight="1">
      <c r="S919" s="454"/>
      <c r="BA919" s="1305"/>
      <c r="BC919" s="169"/>
    </row>
    <row r="920" spans="19:55" ht="15.75" customHeight="1">
      <c r="S920" s="454"/>
      <c r="BA920" s="1305"/>
      <c r="BC920" s="169"/>
    </row>
    <row r="921" spans="19:55" ht="15.75" customHeight="1">
      <c r="S921" s="454"/>
      <c r="BA921" s="1305"/>
      <c r="BC921" s="169"/>
    </row>
    <row r="922" spans="19:55" ht="15.75" customHeight="1">
      <c r="S922" s="454"/>
      <c r="BA922" s="1305"/>
      <c r="BC922" s="169"/>
    </row>
    <row r="923" spans="19:55" ht="15.75" customHeight="1">
      <c r="S923" s="454"/>
      <c r="BA923" s="1305"/>
      <c r="BC923" s="169"/>
    </row>
    <row r="924" spans="19:55" ht="15.75" customHeight="1">
      <c r="S924" s="454"/>
      <c r="BA924" s="1305"/>
      <c r="BC924" s="169"/>
    </row>
    <row r="925" spans="19:55" ht="15.75" customHeight="1">
      <c r="S925" s="454"/>
      <c r="BA925" s="1305"/>
      <c r="BC925" s="169"/>
    </row>
    <row r="926" spans="19:55" ht="15.75" customHeight="1">
      <c r="S926" s="454"/>
      <c r="BA926" s="1305"/>
      <c r="BC926" s="169"/>
    </row>
    <row r="927" spans="19:55" ht="15.75" customHeight="1">
      <c r="S927" s="454"/>
      <c r="BA927" s="1305"/>
      <c r="BC927" s="169"/>
    </row>
    <row r="928" spans="19:55" ht="15.75" customHeight="1">
      <c r="S928" s="454"/>
      <c r="BA928" s="1305"/>
      <c r="BC928" s="169"/>
    </row>
    <row r="929" spans="19:55" ht="15.75" customHeight="1">
      <c r="S929" s="454"/>
      <c r="BA929" s="1305"/>
      <c r="BC929" s="169"/>
    </row>
    <row r="930" spans="19:55" ht="15.75" customHeight="1">
      <c r="S930" s="454"/>
      <c r="BA930" s="1305"/>
      <c r="BC930" s="169"/>
    </row>
    <row r="931" spans="19:55" ht="15.75" customHeight="1">
      <c r="S931" s="454"/>
      <c r="BA931" s="1305"/>
      <c r="BC931" s="169"/>
    </row>
    <row r="932" spans="19:55" ht="15.75" customHeight="1">
      <c r="S932" s="454"/>
      <c r="BA932" s="1305"/>
      <c r="BC932" s="169"/>
    </row>
    <row r="933" spans="19:55" ht="15.75" customHeight="1">
      <c r="S933" s="454"/>
      <c r="BA933" s="1305"/>
      <c r="BC933" s="169"/>
    </row>
    <row r="934" spans="19:55" ht="15.75" customHeight="1">
      <c r="S934" s="454"/>
      <c r="BA934" s="1305"/>
      <c r="BC934" s="169"/>
    </row>
    <row r="935" spans="19:55" ht="15.75" customHeight="1">
      <c r="S935" s="454"/>
      <c r="BA935" s="1305"/>
      <c r="BC935" s="169"/>
    </row>
    <row r="936" spans="19:55" ht="15.75" customHeight="1">
      <c r="S936" s="454"/>
      <c r="BA936" s="1305"/>
      <c r="BC936" s="169"/>
    </row>
    <row r="937" spans="19:55" ht="15.75" customHeight="1">
      <c r="S937" s="454"/>
      <c r="BA937" s="1305"/>
      <c r="BC937" s="169"/>
    </row>
    <row r="938" spans="19:55" ht="15.75" customHeight="1">
      <c r="S938" s="454"/>
      <c r="BA938" s="1305"/>
      <c r="BC938" s="169"/>
    </row>
    <row r="939" spans="19:55" ht="15.75" customHeight="1">
      <c r="S939" s="454"/>
      <c r="BA939" s="1305"/>
      <c r="BC939" s="169"/>
    </row>
    <row r="940" spans="19:55" ht="15.75" customHeight="1">
      <c r="S940" s="454"/>
      <c r="BA940" s="1305"/>
      <c r="BC940" s="169"/>
    </row>
    <row r="941" spans="19:55" ht="15.75" customHeight="1">
      <c r="S941" s="454"/>
      <c r="BA941" s="1305"/>
      <c r="BC941" s="169"/>
    </row>
    <row r="942" spans="19:55" ht="15.75" customHeight="1">
      <c r="S942" s="454"/>
      <c r="BA942" s="1305"/>
      <c r="BC942" s="169"/>
    </row>
    <row r="943" spans="19:55" ht="15.75" customHeight="1">
      <c r="S943" s="454"/>
      <c r="BA943" s="1305"/>
      <c r="BC943" s="169"/>
    </row>
    <row r="944" spans="19:55" ht="15.75" customHeight="1">
      <c r="S944" s="454"/>
      <c r="BA944" s="1305"/>
      <c r="BC944" s="169"/>
    </row>
    <row r="945" spans="19:55" ht="15.75" customHeight="1">
      <c r="S945" s="454"/>
      <c r="BA945" s="1305"/>
      <c r="BC945" s="169"/>
    </row>
    <row r="946" spans="19:55" ht="15.75" customHeight="1">
      <c r="S946" s="454"/>
      <c r="BA946" s="1305"/>
      <c r="BC946" s="169"/>
    </row>
    <row r="947" spans="19:55" ht="15.75" customHeight="1">
      <c r="S947" s="454"/>
      <c r="BA947" s="1305"/>
      <c r="BC947" s="169"/>
    </row>
    <row r="948" spans="19:55" ht="15.75" customHeight="1">
      <c r="S948" s="454"/>
      <c r="BA948" s="1305"/>
      <c r="BC948" s="169"/>
    </row>
    <row r="949" spans="19:55" ht="15.75" customHeight="1">
      <c r="S949" s="454"/>
      <c r="BA949" s="1305"/>
      <c r="BC949" s="169"/>
    </row>
    <row r="950" spans="19:55" ht="15.75" customHeight="1">
      <c r="S950" s="454"/>
      <c r="BA950" s="1305"/>
      <c r="BC950" s="169"/>
    </row>
    <row r="951" spans="19:55" ht="15.75" customHeight="1">
      <c r="S951" s="454"/>
      <c r="BA951" s="1305"/>
      <c r="BC951" s="169"/>
    </row>
    <row r="952" spans="19:55" ht="15.75" customHeight="1">
      <c r="S952" s="454"/>
      <c r="BA952" s="1305"/>
      <c r="BC952" s="169"/>
    </row>
    <row r="953" spans="19:55" ht="15.75" customHeight="1">
      <c r="S953" s="454"/>
      <c r="BA953" s="1305"/>
      <c r="BC953" s="169"/>
    </row>
    <row r="954" spans="19:55" ht="15.75" customHeight="1">
      <c r="S954" s="454"/>
      <c r="BA954" s="1305"/>
      <c r="BC954" s="169"/>
    </row>
    <row r="955" spans="19:55" ht="15.75" customHeight="1">
      <c r="S955" s="454"/>
      <c r="BA955" s="1305"/>
      <c r="BC955" s="169"/>
    </row>
    <row r="956" spans="19:55" ht="15.75" customHeight="1">
      <c r="S956" s="454"/>
      <c r="BA956" s="1305"/>
      <c r="BC956" s="169"/>
    </row>
    <row r="957" spans="19:55" ht="15.75" customHeight="1">
      <c r="S957" s="454"/>
      <c r="BA957" s="1305"/>
      <c r="BC957" s="169"/>
    </row>
    <row r="958" spans="19:55" ht="15.75" customHeight="1">
      <c r="S958" s="454"/>
      <c r="BA958" s="1305"/>
      <c r="BC958" s="169"/>
    </row>
    <row r="959" spans="19:55" ht="15.75" customHeight="1">
      <c r="S959" s="454"/>
      <c r="BA959" s="1305"/>
      <c r="BC959" s="169"/>
    </row>
    <row r="960" spans="19:55" ht="15.75" customHeight="1">
      <c r="S960" s="454"/>
      <c r="BA960" s="1305"/>
      <c r="BC960" s="169"/>
    </row>
    <row r="961" spans="19:55" ht="15.75" customHeight="1">
      <c r="S961" s="454"/>
      <c r="BA961" s="1305"/>
      <c r="BC961" s="169"/>
    </row>
    <row r="962" spans="19:55" ht="15.75" customHeight="1">
      <c r="S962" s="454"/>
      <c r="BA962" s="1305"/>
      <c r="BC962" s="169"/>
    </row>
    <row r="963" spans="19:55" ht="15.75" customHeight="1">
      <c r="S963" s="454"/>
      <c r="BA963" s="1305"/>
      <c r="BC963" s="169"/>
    </row>
    <row r="964" spans="19:55" ht="15.75" customHeight="1">
      <c r="S964" s="454"/>
      <c r="BA964" s="1305"/>
      <c r="BC964" s="169"/>
    </row>
    <row r="965" spans="19:55" ht="15.75" customHeight="1">
      <c r="S965" s="454"/>
      <c r="BA965" s="1305"/>
      <c r="BC965" s="169"/>
    </row>
    <row r="966" spans="19:55" ht="15.75" customHeight="1">
      <c r="S966" s="454"/>
      <c r="BA966" s="1305"/>
      <c r="BC966" s="169"/>
    </row>
    <row r="967" spans="19:55" ht="15.75" customHeight="1">
      <c r="S967" s="454"/>
      <c r="BA967" s="1305"/>
      <c r="BC967" s="169"/>
    </row>
    <row r="968" spans="19:55" ht="15.75" customHeight="1">
      <c r="S968" s="454"/>
      <c r="BA968" s="1305"/>
      <c r="BC968" s="169"/>
    </row>
    <row r="969" spans="19:55" ht="15.75" customHeight="1">
      <c r="S969" s="454"/>
      <c r="BA969" s="1305"/>
      <c r="BC969" s="169"/>
    </row>
    <row r="970" spans="19:55" ht="15.75" customHeight="1">
      <c r="S970" s="454"/>
      <c r="BA970" s="1305"/>
      <c r="BC970" s="169"/>
    </row>
    <row r="971" spans="19:55" ht="15.75" customHeight="1">
      <c r="S971" s="454"/>
      <c r="BA971" s="1305"/>
      <c r="BC971" s="169"/>
    </row>
    <row r="972" spans="19:55" ht="15.75" customHeight="1">
      <c r="S972" s="454"/>
      <c r="BA972" s="1305"/>
      <c r="BC972" s="169"/>
    </row>
    <row r="973" spans="19:55" ht="15.75" customHeight="1">
      <c r="S973" s="454"/>
      <c r="BA973" s="1305"/>
      <c r="BC973" s="169"/>
    </row>
    <row r="974" spans="19:55" ht="15.75" customHeight="1">
      <c r="S974" s="454"/>
      <c r="BA974" s="1305"/>
      <c r="BC974" s="169"/>
    </row>
    <row r="975" spans="19:55" ht="15.75" customHeight="1">
      <c r="S975" s="454"/>
      <c r="BA975" s="1305"/>
      <c r="BC975" s="169"/>
    </row>
    <row r="976" spans="19:55" ht="15.75" customHeight="1">
      <c r="S976" s="454"/>
      <c r="BA976" s="1305"/>
      <c r="BC976" s="169"/>
    </row>
    <row r="977" spans="19:55" ht="15.75" customHeight="1">
      <c r="S977" s="454"/>
      <c r="BA977" s="1305"/>
      <c r="BC977" s="169"/>
    </row>
    <row r="978" spans="19:55" ht="15.75" customHeight="1">
      <c r="S978" s="454"/>
      <c r="BA978" s="1305"/>
      <c r="BC978" s="169"/>
    </row>
    <row r="979" spans="19:55" ht="15.75" customHeight="1">
      <c r="S979" s="454"/>
      <c r="BA979" s="1305"/>
      <c r="BC979" s="169"/>
    </row>
    <row r="980" spans="19:55" ht="15.75" customHeight="1">
      <c r="S980" s="454"/>
      <c r="BA980" s="1305"/>
      <c r="BC980" s="169"/>
    </row>
    <row r="981" spans="19:55" ht="15.75" customHeight="1">
      <c r="S981" s="454"/>
      <c r="BA981" s="1305"/>
      <c r="BC981" s="169"/>
    </row>
    <row r="982" spans="19:55" ht="15.75" customHeight="1">
      <c r="S982" s="454"/>
      <c r="BA982" s="1305"/>
      <c r="BC982" s="169"/>
    </row>
    <row r="983" spans="19:55" ht="15.75" customHeight="1">
      <c r="S983" s="454"/>
      <c r="BA983" s="1305"/>
      <c r="BC983" s="169"/>
    </row>
    <row r="984" spans="19:55" ht="15.75" customHeight="1">
      <c r="S984" s="454"/>
      <c r="BA984" s="1305"/>
      <c r="BC984" s="169"/>
    </row>
    <row r="985" spans="19:55" ht="15.75" customHeight="1">
      <c r="S985" s="454"/>
      <c r="BA985" s="1305"/>
      <c r="BC985" s="169"/>
    </row>
    <row r="986" spans="19:55" ht="15.75" customHeight="1">
      <c r="S986" s="454"/>
      <c r="BA986" s="1305"/>
      <c r="BC986" s="169"/>
    </row>
    <row r="987" spans="19:55" ht="15.75" customHeight="1">
      <c r="S987" s="454"/>
      <c r="BA987" s="1305"/>
      <c r="BC987" s="169"/>
    </row>
    <row r="988" spans="19:55" ht="15.75" customHeight="1">
      <c r="S988" s="454"/>
      <c r="BA988" s="1305"/>
      <c r="BC988" s="169"/>
    </row>
    <row r="989" spans="19:55" ht="15.75" customHeight="1">
      <c r="S989" s="454"/>
      <c r="BA989" s="1305"/>
      <c r="BC989" s="169"/>
    </row>
    <row r="990" spans="19:55" ht="15.75" customHeight="1">
      <c r="S990" s="454"/>
      <c r="BA990" s="1305"/>
      <c r="BC990" s="169"/>
    </row>
    <row r="991" spans="19:55" ht="15.75" customHeight="1">
      <c r="S991" s="454"/>
      <c r="BA991" s="1305"/>
      <c r="BC991" s="169"/>
    </row>
    <row r="992" spans="19:55" ht="15.75" customHeight="1">
      <c r="S992" s="454"/>
      <c r="BA992" s="1305"/>
      <c r="BC992" s="169"/>
    </row>
    <row r="993" spans="19:55" ht="15.75" customHeight="1">
      <c r="S993" s="454"/>
      <c r="BA993" s="1305"/>
      <c r="BC993" s="169"/>
    </row>
    <row r="994" spans="19:55" ht="15.75" customHeight="1">
      <c r="S994" s="454"/>
      <c r="BA994" s="1305"/>
      <c r="BC994" s="169"/>
    </row>
    <row r="995" spans="19:55" ht="15.75" customHeight="1">
      <c r="S995" s="454"/>
      <c r="BA995" s="1305"/>
      <c r="BC995" s="169"/>
    </row>
    <row r="996" spans="19:55" ht="15.75" customHeight="1">
      <c r="S996" s="454"/>
      <c r="BA996" s="1305"/>
      <c r="BC996" s="169"/>
    </row>
    <row r="997" spans="19:55" ht="15.75" customHeight="1">
      <c r="S997" s="454"/>
      <c r="BA997" s="1305"/>
      <c r="BC997" s="169"/>
    </row>
    <row r="998" spans="19:55" ht="15.75" customHeight="1">
      <c r="S998" s="454"/>
      <c r="BA998" s="1305"/>
      <c r="BC998" s="169"/>
    </row>
    <row r="999" spans="19:55" ht="15.75" customHeight="1">
      <c r="S999" s="454"/>
      <c r="BA999" s="1305"/>
      <c r="BC999" s="169"/>
    </row>
    <row r="1000" spans="19:55" ht="15.75" customHeight="1">
      <c r="S1000" s="454"/>
      <c r="BA1000" s="1305"/>
      <c r="BC1000" s="169"/>
    </row>
    <row r="1001" spans="19:55" ht="15.75" customHeight="1">
      <c r="S1001" s="454"/>
      <c r="BA1001" s="1305"/>
      <c r="BC1001" s="169"/>
    </row>
    <row r="1002" spans="19:55" ht="15.75" customHeight="1">
      <c r="S1002" s="454"/>
      <c r="BA1002" s="1305"/>
      <c r="BC1002" s="169"/>
    </row>
    <row r="1003" spans="19:55" ht="15.75" customHeight="1">
      <c r="S1003" s="454"/>
      <c r="BA1003" s="1305"/>
      <c r="BC1003" s="169"/>
    </row>
    <row r="1004" spans="19:55" ht="15.75" customHeight="1">
      <c r="S1004" s="454"/>
      <c r="BA1004" s="1305"/>
      <c r="BC1004" s="169"/>
    </row>
    <row r="1005" spans="19:55" ht="15.75" customHeight="1">
      <c r="S1005" s="454"/>
      <c r="BA1005" s="1305"/>
      <c r="BC1005" s="169"/>
    </row>
    <row r="1006" spans="19:55" ht="15.75" customHeight="1">
      <c r="S1006" s="454"/>
      <c r="BA1006" s="1305"/>
      <c r="BC1006" s="169"/>
    </row>
    <row r="1007" spans="19:55" ht="15.75" customHeight="1">
      <c r="S1007" s="454"/>
      <c r="BA1007" s="1305"/>
      <c r="BC1007" s="169"/>
    </row>
    <row r="1008" spans="19:55" ht="15.75" customHeight="1">
      <c r="S1008" s="454"/>
      <c r="BA1008" s="1305"/>
      <c r="BC1008" s="169"/>
    </row>
    <row r="1009" spans="19:55" ht="15.75" customHeight="1">
      <c r="S1009" s="454"/>
      <c r="BA1009" s="1305"/>
      <c r="BC1009" s="169"/>
    </row>
    <row r="1010" spans="19:55" ht="15.75" customHeight="1">
      <c r="S1010" s="454"/>
      <c r="BA1010" s="1305"/>
      <c r="BC1010" s="169"/>
    </row>
    <row r="1011" spans="19:55" ht="15.75" customHeight="1">
      <c r="S1011" s="454"/>
      <c r="BA1011" s="1305"/>
      <c r="BC1011" s="169"/>
    </row>
    <row r="1012" spans="19:55" ht="15.75" customHeight="1">
      <c r="S1012" s="454"/>
      <c r="BA1012" s="1305"/>
      <c r="BC1012" s="169"/>
    </row>
    <row r="1013" spans="19:55" ht="15.75" customHeight="1">
      <c r="S1013" s="454"/>
      <c r="BA1013" s="1305"/>
      <c r="BC1013" s="169"/>
    </row>
    <row r="1014" spans="19:55" ht="15.75" customHeight="1">
      <c r="S1014" s="454"/>
      <c r="BA1014" s="1305"/>
      <c r="BC1014" s="169"/>
    </row>
    <row r="1015" spans="19:55" ht="15.75" customHeight="1">
      <c r="S1015" s="454"/>
      <c r="BA1015" s="1305"/>
      <c r="BC1015" s="169"/>
    </row>
    <row r="1016" spans="19:55" ht="15.75" customHeight="1">
      <c r="S1016" s="454"/>
      <c r="BA1016" s="1305"/>
      <c r="BC1016" s="169"/>
    </row>
    <row r="1017" spans="19:55" ht="15.75" customHeight="1">
      <c r="S1017" s="454"/>
      <c r="BA1017" s="1305"/>
      <c r="BC1017" s="169"/>
    </row>
    <row r="1018" spans="19:55" ht="15.75" customHeight="1">
      <c r="S1018" s="454"/>
      <c r="BA1018" s="1305"/>
      <c r="BC1018" s="169"/>
    </row>
    <row r="1019" spans="19:55" ht="15.75" customHeight="1">
      <c r="S1019" s="454"/>
      <c r="BA1019" s="1305"/>
      <c r="BC1019" s="169"/>
    </row>
    <row r="1020" spans="19:55" ht="15.75" customHeight="1">
      <c r="S1020" s="454"/>
      <c r="BA1020" s="1305"/>
      <c r="BC1020" s="169"/>
    </row>
    <row r="1021" spans="19:55" ht="15.75" customHeight="1">
      <c r="S1021" s="454"/>
      <c r="BA1021" s="1305"/>
      <c r="BC1021" s="169"/>
    </row>
    <row r="1022" spans="19:55" ht="15.75" customHeight="1">
      <c r="S1022" s="454"/>
      <c r="BA1022" s="1305"/>
      <c r="BC1022" s="169"/>
    </row>
    <row r="1023" spans="19:55" ht="15.75" customHeight="1">
      <c r="S1023" s="454"/>
      <c r="BA1023" s="1305"/>
      <c r="BC1023" s="169"/>
    </row>
    <row r="1024" spans="19:55" ht="15.75" customHeight="1">
      <c r="S1024" s="454"/>
      <c r="BA1024" s="1305"/>
      <c r="BC1024" s="169"/>
    </row>
    <row r="1025" spans="19:55" ht="15.75" customHeight="1">
      <c r="S1025" s="454"/>
      <c r="BA1025" s="1305"/>
      <c r="BC1025" s="169"/>
    </row>
    <row r="1026" spans="19:55" ht="15.75" customHeight="1">
      <c r="S1026" s="454"/>
      <c r="BA1026" s="1305"/>
      <c r="BC1026" s="169"/>
    </row>
    <row r="1027" spans="19:55" ht="15.75" customHeight="1">
      <c r="S1027" s="454"/>
      <c r="BA1027" s="1305"/>
      <c r="BC1027" s="169"/>
    </row>
    <row r="1028" spans="19:55" ht="15.75" customHeight="1">
      <c r="S1028" s="454"/>
      <c r="BA1028" s="1305"/>
      <c r="BC1028" s="169"/>
    </row>
    <row r="1029" spans="19:55" ht="15.75" customHeight="1">
      <c r="S1029" s="454"/>
      <c r="BA1029" s="1305"/>
      <c r="BC1029" s="169"/>
    </row>
    <row r="1030" spans="19:55" ht="15.75" customHeight="1">
      <c r="S1030" s="454"/>
      <c r="BA1030" s="1305"/>
      <c r="BC1030" s="169"/>
    </row>
    <row r="1031" spans="19:55" ht="15.75" customHeight="1">
      <c r="S1031" s="454"/>
      <c r="BA1031" s="1305"/>
      <c r="BC1031" s="169"/>
    </row>
    <row r="1032" spans="19:55" ht="15.75" customHeight="1">
      <c r="S1032" s="454"/>
      <c r="BA1032" s="1305"/>
      <c r="BC1032" s="169"/>
    </row>
    <row r="1033" spans="19:55" ht="15.75" customHeight="1">
      <c r="S1033" s="454"/>
      <c r="BA1033" s="1305"/>
      <c r="BC1033" s="169"/>
    </row>
    <row r="1034" spans="19:55" ht="15.75" customHeight="1">
      <c r="S1034" s="454"/>
      <c r="BA1034" s="1305"/>
      <c r="BC1034" s="169"/>
    </row>
    <row r="1035" spans="19:55" ht="15.75" customHeight="1">
      <c r="S1035" s="454"/>
      <c r="BA1035" s="1305"/>
      <c r="BC1035" s="169"/>
    </row>
    <row r="1036" spans="19:55" ht="15.75" customHeight="1">
      <c r="S1036" s="454"/>
      <c r="BA1036" s="1305"/>
      <c r="BC1036" s="169"/>
    </row>
    <row r="1037" spans="19:55" ht="15.75" customHeight="1">
      <c r="S1037" s="454"/>
      <c r="BA1037" s="1305"/>
      <c r="BC1037" s="169"/>
    </row>
    <row r="1038" spans="19:55" ht="15.75" customHeight="1">
      <c r="S1038" s="454"/>
      <c r="BA1038" s="1305"/>
      <c r="BC1038" s="169"/>
    </row>
    <row r="1039" spans="19:55" ht="15.75" customHeight="1">
      <c r="S1039" s="454"/>
      <c r="BA1039" s="1305"/>
      <c r="BC1039" s="169"/>
    </row>
    <row r="1040" spans="19:55" ht="15.75" customHeight="1">
      <c r="S1040" s="454"/>
      <c r="BA1040" s="1305"/>
      <c r="BC1040" s="169"/>
    </row>
    <row r="1041" spans="19:55" ht="15.75" customHeight="1">
      <c r="S1041" s="454"/>
      <c r="BA1041" s="1305"/>
      <c r="BC1041" s="169"/>
    </row>
    <row r="1042" spans="19:55" ht="15.75" customHeight="1">
      <c r="S1042" s="454"/>
      <c r="BA1042" s="1305"/>
      <c r="BC1042" s="169"/>
    </row>
    <row r="1043" spans="19:55" ht="15.75" customHeight="1">
      <c r="S1043" s="454"/>
      <c r="BA1043" s="1305"/>
      <c r="BC1043" s="169"/>
    </row>
    <row r="1044" spans="19:55" ht="15.75" customHeight="1">
      <c r="S1044" s="454"/>
      <c r="BA1044" s="1305"/>
      <c r="BC1044" s="169"/>
    </row>
    <row r="1045" spans="19:55" ht="15.75" customHeight="1">
      <c r="S1045" s="454"/>
      <c r="BA1045" s="1305"/>
      <c r="BC1045" s="169"/>
    </row>
    <row r="1046" spans="19:55" ht="15.75" customHeight="1">
      <c r="S1046" s="454"/>
      <c r="BA1046" s="1305"/>
      <c r="BC1046" s="169"/>
    </row>
    <row r="1047" spans="19:55" ht="15.75" customHeight="1">
      <c r="S1047" s="454"/>
      <c r="BA1047" s="1305"/>
      <c r="BC1047" s="169"/>
    </row>
    <row r="1048" spans="19:55" ht="15.75" customHeight="1">
      <c r="S1048" s="454"/>
      <c r="BA1048" s="1305"/>
      <c r="BC1048" s="169"/>
    </row>
    <row r="1049" spans="19:55" ht="15.75" customHeight="1">
      <c r="S1049" s="454"/>
      <c r="BA1049" s="1305"/>
      <c r="BC1049" s="169"/>
    </row>
    <row r="1050" spans="19:55" ht="15.75" customHeight="1">
      <c r="S1050" s="454"/>
      <c r="BA1050" s="1305"/>
      <c r="BC1050" s="169"/>
    </row>
    <row r="1051" spans="19:55" ht="15.75" customHeight="1">
      <c r="S1051" s="454"/>
      <c r="BA1051" s="1305"/>
      <c r="BC1051" s="169"/>
    </row>
    <row r="1052" spans="19:55" ht="15.75" customHeight="1">
      <c r="S1052" s="454"/>
      <c r="BA1052" s="1305"/>
      <c r="BC1052" s="169"/>
    </row>
    <row r="1053" spans="19:55" ht="15.75" customHeight="1">
      <c r="S1053" s="454"/>
      <c r="BA1053" s="1305"/>
      <c r="BC1053" s="169"/>
    </row>
    <row r="1054" spans="19:55" ht="15.75" customHeight="1">
      <c r="S1054" s="454"/>
      <c r="BA1054" s="1305"/>
      <c r="BC1054" s="169"/>
    </row>
    <row r="1055" spans="19:55" ht="15.75" customHeight="1">
      <c r="S1055" s="454"/>
      <c r="BA1055" s="1305"/>
      <c r="BC1055" s="169"/>
    </row>
    <row r="1056" spans="19:55" ht="15.75" customHeight="1">
      <c r="S1056" s="454"/>
      <c r="BA1056" s="1305"/>
      <c r="BC1056" s="169"/>
    </row>
    <row r="1057" spans="19:55" ht="15.75" customHeight="1">
      <c r="S1057" s="454"/>
      <c r="BA1057" s="1305"/>
      <c r="BC1057" s="169"/>
    </row>
    <row r="1058" spans="19:55" ht="15.75" customHeight="1">
      <c r="S1058" s="454"/>
      <c r="BA1058" s="1305"/>
      <c r="BC1058" s="169"/>
    </row>
    <row r="1059" spans="19:55" ht="15.75" customHeight="1">
      <c r="S1059" s="454"/>
      <c r="BA1059" s="1305"/>
      <c r="BC1059" s="169"/>
    </row>
    <row r="1060" spans="19:55" ht="15.75" customHeight="1">
      <c r="S1060" s="454"/>
      <c r="BA1060" s="1305"/>
      <c r="BC1060" s="169"/>
    </row>
    <row r="1061" spans="19:55" ht="15.75" customHeight="1">
      <c r="S1061" s="454"/>
      <c r="BA1061" s="1305"/>
      <c r="BC1061" s="169"/>
    </row>
    <row r="1062" spans="19:55" ht="15.75" customHeight="1">
      <c r="S1062" s="454"/>
      <c r="BA1062" s="1305"/>
      <c r="BC1062" s="169"/>
    </row>
    <row r="1063" spans="19:55" ht="15.75" customHeight="1">
      <c r="S1063" s="454"/>
      <c r="BA1063" s="1305"/>
      <c r="BC1063" s="169"/>
    </row>
    <row r="1064" spans="19:55" ht="15.75" customHeight="1">
      <c r="S1064" s="454"/>
      <c r="BA1064" s="1305"/>
      <c r="BC1064" s="169"/>
    </row>
    <row r="1065" spans="19:55" ht="15.75" customHeight="1">
      <c r="S1065" s="454"/>
      <c r="BA1065" s="1305"/>
      <c r="BC1065" s="169"/>
    </row>
    <row r="1066" spans="19:55" ht="15.75" customHeight="1">
      <c r="S1066" s="454"/>
      <c r="BA1066" s="1305"/>
      <c r="BC1066" s="169"/>
    </row>
    <row r="1067" spans="19:55" ht="15.75" customHeight="1">
      <c r="S1067" s="454"/>
      <c r="BA1067" s="1305"/>
      <c r="BC1067" s="169"/>
    </row>
    <row r="1068" spans="19:55" ht="15.75" customHeight="1">
      <c r="S1068" s="454"/>
      <c r="BA1068" s="1305"/>
      <c r="BC1068" s="169"/>
    </row>
    <row r="1069" spans="19:55" ht="15.75" customHeight="1">
      <c r="S1069" s="454"/>
      <c r="BA1069" s="1305"/>
      <c r="BC1069" s="169"/>
    </row>
    <row r="1070" spans="19:55" ht="15.75" customHeight="1">
      <c r="S1070" s="454"/>
      <c r="BA1070" s="1305"/>
      <c r="BC1070" s="169"/>
    </row>
    <row r="1071" spans="19:55" ht="15.75" customHeight="1">
      <c r="S1071" s="454"/>
      <c r="BA1071" s="1305"/>
      <c r="BC1071" s="169"/>
    </row>
    <row r="1072" spans="19:55" ht="15.75" customHeight="1">
      <c r="S1072" s="454"/>
      <c r="BA1072" s="1305"/>
      <c r="BC1072" s="169"/>
    </row>
    <row r="1073" spans="19:55" ht="15.75" customHeight="1">
      <c r="S1073" s="454"/>
      <c r="BA1073" s="1305"/>
      <c r="BC1073" s="169"/>
    </row>
    <row r="1074" spans="19:55" ht="15.75" customHeight="1">
      <c r="S1074" s="454"/>
      <c r="BA1074" s="1305"/>
      <c r="BC1074" s="169"/>
    </row>
    <row r="1075" spans="19:55" ht="15.75" customHeight="1">
      <c r="S1075" s="454"/>
      <c r="BA1075" s="1305"/>
      <c r="BC1075" s="169"/>
    </row>
    <row r="1076" spans="19:55" ht="15.75" customHeight="1">
      <c r="S1076" s="454"/>
      <c r="BA1076" s="1305"/>
      <c r="BC1076" s="169"/>
    </row>
    <row r="1077" spans="19:55" ht="15.75" customHeight="1">
      <c r="S1077" s="454"/>
      <c r="BA1077" s="1305"/>
      <c r="BC1077" s="169"/>
    </row>
    <row r="1078" spans="19:55" ht="15.75" customHeight="1">
      <c r="S1078" s="454"/>
      <c r="BA1078" s="1305"/>
      <c r="BC1078" s="169"/>
    </row>
    <row r="1079" spans="19:55" ht="15.75" customHeight="1">
      <c r="S1079" s="454"/>
      <c r="BA1079" s="1305"/>
      <c r="BC1079" s="169"/>
    </row>
    <row r="1080" spans="19:55" ht="15.75" customHeight="1">
      <c r="S1080" s="454"/>
      <c r="BA1080" s="1305"/>
      <c r="BC1080" s="169"/>
    </row>
    <row r="1081" spans="19:55" ht="15.75" customHeight="1">
      <c r="S1081" s="454"/>
      <c r="BA1081" s="1305"/>
      <c r="BC1081" s="169"/>
    </row>
    <row r="1082" spans="19:55" ht="15.75" customHeight="1">
      <c r="S1082" s="454"/>
      <c r="BA1082" s="1305"/>
      <c r="BC1082" s="169"/>
    </row>
    <row r="1083" spans="19:55" ht="15.75" customHeight="1">
      <c r="S1083" s="454"/>
      <c r="BA1083" s="1305"/>
      <c r="BC1083" s="169"/>
    </row>
    <row r="1084" spans="19:55" ht="15.75" customHeight="1">
      <c r="S1084" s="454"/>
      <c r="BA1084" s="1305"/>
      <c r="BC1084" s="169"/>
    </row>
    <row r="1085" spans="19:55" ht="15.75" customHeight="1">
      <c r="S1085" s="454"/>
      <c r="BA1085" s="1305"/>
      <c r="BC1085" s="169"/>
    </row>
    <row r="1086" spans="19:55" ht="15.75" customHeight="1">
      <c r="S1086" s="454"/>
      <c r="BA1086" s="1305"/>
      <c r="BC1086" s="169"/>
    </row>
    <row r="1087" spans="19:55" ht="15.75" customHeight="1">
      <c r="S1087" s="454"/>
      <c r="BA1087" s="1305"/>
      <c r="BC1087" s="169"/>
    </row>
    <row r="1088" spans="19:55" ht="15.75" customHeight="1">
      <c r="S1088" s="454"/>
      <c r="BA1088" s="1305"/>
      <c r="BC1088" s="169"/>
    </row>
    <row r="1089" spans="19:55" ht="15.75" customHeight="1">
      <c r="S1089" s="454"/>
      <c r="BA1089" s="1305"/>
      <c r="BC1089" s="169"/>
    </row>
    <row r="1090" spans="19:55" ht="15.75" customHeight="1">
      <c r="S1090" s="454"/>
      <c r="BA1090" s="1305"/>
      <c r="BC1090" s="169"/>
    </row>
    <row r="1091" spans="19:55" ht="15.75" customHeight="1">
      <c r="S1091" s="454"/>
      <c r="BA1091" s="1266"/>
      <c r="BC1091" s="169"/>
    </row>
    <row r="1092" spans="19:55" ht="15.75" customHeight="1">
      <c r="S1092" s="454"/>
      <c r="BA1092" s="1266"/>
      <c r="BC1092" s="169"/>
    </row>
    <row r="1093" spans="19:55" ht="15.75" customHeight="1">
      <c r="S1093" s="454"/>
      <c r="BA1093" s="1266"/>
      <c r="BC1093" s="169"/>
    </row>
    <row r="1094" spans="19:55" ht="15.75" customHeight="1">
      <c r="S1094" s="454"/>
      <c r="BA1094" s="1266"/>
      <c r="BC1094" s="169"/>
    </row>
    <row r="1095" spans="19:55" ht="15.75" customHeight="1">
      <c r="S1095" s="454"/>
      <c r="BA1095" s="1266"/>
      <c r="BC1095" s="169"/>
    </row>
    <row r="1096" spans="19:55" ht="15.75" customHeight="1">
      <c r="S1096" s="454"/>
      <c r="BA1096" s="1266"/>
      <c r="BC1096" s="169"/>
    </row>
    <row r="1097" spans="19:55" ht="15.75" customHeight="1">
      <c r="S1097" s="454"/>
      <c r="BA1097" s="1266"/>
      <c r="BC1097" s="169"/>
    </row>
    <row r="1098" spans="19:55" ht="15.75" customHeight="1">
      <c r="S1098" s="454"/>
      <c r="BA1098" s="1266"/>
      <c r="BC1098" s="169"/>
    </row>
    <row r="1099" spans="19:55" ht="15.75" customHeight="1">
      <c r="S1099" s="454"/>
      <c r="BA1099" s="1266"/>
      <c r="BC1099" s="169"/>
    </row>
    <row r="1100" spans="19:55" ht="15.75" customHeight="1">
      <c r="S1100" s="454"/>
      <c r="BA1100" s="1266"/>
      <c r="BC1100" s="169"/>
    </row>
    <row r="1101" spans="19:55" ht="15.75" customHeight="1">
      <c r="S1101" s="454"/>
      <c r="BA1101" s="1266"/>
      <c r="BC1101" s="169"/>
    </row>
    <row r="1102" spans="19:55" ht="15.75" customHeight="1">
      <c r="S1102" s="454"/>
      <c r="BA1102" s="1266"/>
      <c r="BC1102" s="169"/>
    </row>
    <row r="1103" spans="19:55" ht="15.75" customHeight="1">
      <c r="S1103" s="454"/>
      <c r="BA1103" s="1266"/>
      <c r="BC1103" s="169"/>
    </row>
    <row r="1104" spans="19:55" ht="15.75" customHeight="1">
      <c r="S1104" s="454"/>
      <c r="BA1104" s="1266"/>
      <c r="BC1104" s="169"/>
    </row>
    <row r="1105" spans="19:55" ht="15.75" customHeight="1">
      <c r="S1105" s="454"/>
      <c r="BA1105" s="1266"/>
      <c r="BC1105" s="169"/>
    </row>
    <row r="1106" spans="19:55" ht="15.75" customHeight="1">
      <c r="S1106" s="454"/>
      <c r="BA1106" s="1266"/>
      <c r="BC1106" s="169"/>
    </row>
    <row r="1107" spans="19:55" ht="15.75" customHeight="1">
      <c r="S1107" s="454"/>
      <c r="BA1107" s="1266"/>
      <c r="BC1107" s="169"/>
    </row>
    <row r="1108" spans="19:55" ht="15.75" customHeight="1">
      <c r="S1108" s="454"/>
      <c r="BA1108" s="1266"/>
      <c r="BC1108" s="169"/>
    </row>
    <row r="1109" spans="19:55" ht="15.75" customHeight="1">
      <c r="S1109" s="454"/>
      <c r="BA1109" s="1266"/>
      <c r="BC1109" s="169"/>
    </row>
    <row r="1110" spans="19:55" ht="15.75" customHeight="1">
      <c r="S1110" s="454"/>
      <c r="BA1110" s="1266"/>
      <c r="BC1110" s="169"/>
    </row>
    <row r="1111" spans="19:55" ht="15.75" customHeight="1">
      <c r="S1111" s="454"/>
      <c r="BA1111" s="1266"/>
      <c r="BC1111" s="169"/>
    </row>
    <row r="1112" spans="19:55" ht="15.75" customHeight="1">
      <c r="S1112" s="454"/>
      <c r="BA1112" s="1266"/>
      <c r="BC1112" s="169"/>
    </row>
    <row r="1113" spans="19:55" ht="15.75" customHeight="1">
      <c r="S1113" s="454"/>
      <c r="BA1113" s="1266"/>
      <c r="BC1113" s="169"/>
    </row>
    <row r="1114" spans="19:55" ht="15.75" customHeight="1">
      <c r="S1114" s="454"/>
      <c r="BA1114" s="1266"/>
      <c r="BC1114" s="169"/>
    </row>
    <row r="1115" spans="19:55" ht="15.75" customHeight="1">
      <c r="S1115" s="454"/>
      <c r="BA1115" s="1266"/>
      <c r="BC1115" s="169"/>
    </row>
    <row r="1116" spans="19:55" ht="15.75" customHeight="1">
      <c r="S1116" s="454"/>
      <c r="BA1116" s="1266"/>
      <c r="BC1116" s="169"/>
    </row>
    <row r="1117" spans="19:55" ht="15.75" customHeight="1">
      <c r="S1117" s="454"/>
      <c r="BA1117" s="1266"/>
      <c r="BC1117" s="169"/>
    </row>
    <row r="1118" spans="19:55" ht="15.75" customHeight="1">
      <c r="S1118" s="454"/>
      <c r="BA1118" s="1266"/>
      <c r="BC1118" s="169"/>
    </row>
    <row r="1119" spans="19:55" ht="15.75" customHeight="1">
      <c r="S1119" s="454"/>
      <c r="BA1119" s="1266"/>
      <c r="BC1119" s="169"/>
    </row>
    <row r="1120" spans="19:55" ht="15.75" customHeight="1">
      <c r="S1120" s="454"/>
      <c r="BA1120" s="1266"/>
      <c r="BC1120" s="169"/>
    </row>
    <row r="1121" spans="19:55" ht="15.75" customHeight="1">
      <c r="S1121" s="454"/>
      <c r="BA1121" s="1266"/>
      <c r="BC1121" s="169"/>
    </row>
    <row r="1122" spans="19:55" ht="15.75" customHeight="1">
      <c r="S1122" s="454"/>
      <c r="BA1122" s="1266"/>
      <c r="BC1122" s="169"/>
    </row>
    <row r="1123" spans="19:55" ht="15.75" customHeight="1">
      <c r="S1123" s="454"/>
      <c r="BA1123" s="1266"/>
      <c r="BC1123" s="169"/>
    </row>
    <row r="1124" spans="19:55" ht="15.75" customHeight="1">
      <c r="S1124" s="454"/>
      <c r="BA1124" s="1266"/>
      <c r="BC1124" s="169"/>
    </row>
    <row r="1125" spans="19:55" ht="15.75" customHeight="1">
      <c r="S1125" s="454"/>
      <c r="BA1125" s="1266"/>
      <c r="BC1125" s="169"/>
    </row>
    <row r="1126" spans="19:55" ht="15.75" customHeight="1">
      <c r="S1126" s="454"/>
      <c r="BA1126" s="1266"/>
      <c r="BC1126" s="169"/>
    </row>
    <row r="1127" spans="19:55" ht="15.75" customHeight="1">
      <c r="S1127" s="454"/>
      <c r="BA1127" s="1266"/>
      <c r="BC1127" s="169"/>
    </row>
    <row r="1128" spans="19:55" ht="15.75" customHeight="1">
      <c r="S1128" s="454"/>
      <c r="BA1128" s="1266"/>
      <c r="BC1128" s="169"/>
    </row>
    <row r="1129" spans="19:55" ht="15.75" customHeight="1">
      <c r="S1129" s="454"/>
      <c r="BA1129" s="1266"/>
      <c r="BC1129" s="169"/>
    </row>
    <row r="1130" spans="19:55" ht="15.75" customHeight="1">
      <c r="S1130" s="454"/>
      <c r="BA1130" s="1266"/>
      <c r="BC1130" s="169"/>
    </row>
    <row r="1131" spans="19:55" ht="15.75" customHeight="1">
      <c r="S1131" s="454"/>
      <c r="BA1131" s="1266"/>
      <c r="BC1131" s="169"/>
    </row>
    <row r="1132" spans="19:55" ht="15.75" customHeight="1">
      <c r="S1132" s="454"/>
      <c r="BA1132" s="1266"/>
      <c r="BC1132" s="169"/>
    </row>
    <row r="1133" spans="19:55" ht="15.75" customHeight="1">
      <c r="S1133" s="454"/>
      <c r="BA1133" s="1266"/>
      <c r="BC1133" s="169"/>
    </row>
    <row r="1134" spans="19:55" ht="15.75" customHeight="1">
      <c r="S1134" s="454"/>
      <c r="BA1134" s="1266"/>
      <c r="BC1134" s="169"/>
    </row>
    <row r="1135" spans="19:55" ht="15.75" customHeight="1">
      <c r="S1135" s="454"/>
      <c r="BA1135" s="1266"/>
      <c r="BC1135" s="169"/>
    </row>
    <row r="1136" spans="19:55" ht="15.75" customHeight="1">
      <c r="S1136" s="454"/>
      <c r="BA1136" s="1266"/>
      <c r="BC1136" s="169"/>
    </row>
    <row r="1137" spans="19:55" ht="15.75" customHeight="1">
      <c r="S1137" s="454"/>
      <c r="BA1137" s="1266"/>
      <c r="BC1137" s="169"/>
    </row>
    <row r="1138" spans="19:55" ht="15.75" customHeight="1">
      <c r="S1138" s="454"/>
      <c r="BA1138" s="1266"/>
      <c r="BC1138" s="169"/>
    </row>
    <row r="1139" spans="19:55" ht="15.75" customHeight="1">
      <c r="S1139" s="454"/>
      <c r="BA1139" s="1266"/>
      <c r="BC1139" s="169"/>
    </row>
    <row r="1140" spans="19:55" ht="15.75" customHeight="1">
      <c r="S1140" s="454"/>
      <c r="BA1140" s="1266"/>
      <c r="BC1140" s="169"/>
    </row>
    <row r="1141" spans="19:55" ht="15.75" customHeight="1">
      <c r="S1141" s="454"/>
      <c r="BA1141" s="1266"/>
      <c r="BC1141" s="169"/>
    </row>
    <row r="1142" spans="19:55" ht="15.75" customHeight="1">
      <c r="S1142" s="454"/>
      <c r="BA1142" s="1266"/>
      <c r="BC1142" s="169"/>
    </row>
    <row r="1143" spans="19:55" ht="15.75" customHeight="1">
      <c r="S1143" s="454"/>
      <c r="BA1143" s="1266"/>
      <c r="BC1143" s="169"/>
    </row>
    <row r="1144" spans="19:55" ht="15.75" customHeight="1">
      <c r="S1144" s="454"/>
      <c r="BA1144" s="1266"/>
      <c r="BC1144" s="169"/>
    </row>
    <row r="1145" spans="19:55" ht="15.75" customHeight="1">
      <c r="S1145" s="454"/>
      <c r="BA1145" s="1266"/>
      <c r="BC1145" s="169"/>
    </row>
    <row r="1146" spans="19:55" ht="15.75" customHeight="1">
      <c r="S1146" s="454"/>
      <c r="BA1146" s="1266"/>
      <c r="BC1146" s="169"/>
    </row>
    <row r="1147" spans="19:55" ht="15.75" customHeight="1">
      <c r="S1147" s="454"/>
      <c r="BA1147" s="1266"/>
      <c r="BC1147" s="169"/>
    </row>
    <row r="1148" spans="19:55" ht="15.75" customHeight="1">
      <c r="S1148" s="454"/>
      <c r="BA1148" s="1266"/>
      <c r="BC1148" s="169"/>
    </row>
    <row r="1149" spans="19:55" ht="15.75" customHeight="1">
      <c r="S1149" s="454"/>
      <c r="BA1149" s="1266"/>
      <c r="BC1149" s="169"/>
    </row>
    <row r="1150" spans="19:55" ht="15.75" customHeight="1">
      <c r="S1150" s="454"/>
      <c r="BA1150" s="1266"/>
      <c r="BC1150" s="169"/>
    </row>
    <row r="1151" spans="19:55" ht="15.75" customHeight="1">
      <c r="S1151" s="454"/>
      <c r="BA1151" s="1266"/>
      <c r="BC1151" s="169"/>
    </row>
    <row r="1152" spans="19:55" ht="15.75" customHeight="1">
      <c r="S1152" s="454"/>
      <c r="BA1152" s="1266"/>
      <c r="BC1152" s="169"/>
    </row>
    <row r="1153" spans="19:55" ht="15.75" customHeight="1">
      <c r="S1153" s="454"/>
      <c r="BA1153" s="1266"/>
      <c r="BC1153" s="169"/>
    </row>
    <row r="1154" spans="19:55" ht="15.75" customHeight="1">
      <c r="S1154" s="454"/>
      <c r="BA1154" s="1266"/>
      <c r="BC1154" s="169"/>
    </row>
    <row r="1155" spans="19:55" ht="15.75" customHeight="1">
      <c r="S1155" s="454"/>
      <c r="BA1155" s="1266"/>
      <c r="BC1155" s="169"/>
    </row>
    <row r="1156" spans="19:55" ht="15.75" customHeight="1">
      <c r="S1156" s="454"/>
      <c r="BA1156" s="1266"/>
      <c r="BC1156" s="169"/>
    </row>
    <row r="1157" spans="19:55" ht="15.75" customHeight="1">
      <c r="S1157" s="454"/>
      <c r="BA1157" s="1266"/>
      <c r="BC1157" s="169"/>
    </row>
    <row r="1158" spans="19:55" ht="15.75" customHeight="1">
      <c r="S1158" s="454"/>
      <c r="BA1158" s="1266"/>
      <c r="BC1158" s="169"/>
    </row>
    <row r="1159" spans="19:55" ht="15.75" customHeight="1">
      <c r="S1159" s="454"/>
      <c r="BA1159" s="1266"/>
      <c r="BC1159" s="169"/>
    </row>
    <row r="1160" spans="19:55" ht="15.75" customHeight="1">
      <c r="S1160" s="454"/>
      <c r="BA1160" s="1266"/>
      <c r="BC1160" s="169"/>
    </row>
    <row r="1161" spans="19:55" ht="15.75" customHeight="1">
      <c r="S1161" s="454"/>
      <c r="BA1161" s="1266"/>
      <c r="BC1161" s="169"/>
    </row>
    <row r="1162" spans="19:55" ht="15.75" customHeight="1">
      <c r="S1162" s="454"/>
      <c r="BA1162" s="1266"/>
      <c r="BC1162" s="169"/>
    </row>
    <row r="1163" spans="19:55" ht="15.75" customHeight="1">
      <c r="S1163" s="454"/>
      <c r="BA1163" s="1266"/>
      <c r="BC1163" s="169"/>
    </row>
    <row r="1164" spans="19:55" ht="15.75" customHeight="1">
      <c r="S1164" s="454"/>
      <c r="BA1164" s="1266"/>
      <c r="BC1164" s="169"/>
    </row>
    <row r="1165" spans="19:55" ht="15.75" customHeight="1">
      <c r="S1165" s="454"/>
      <c r="BA1165" s="1266"/>
      <c r="BC1165" s="169"/>
    </row>
    <row r="1166" spans="19:55" ht="15.75" customHeight="1">
      <c r="S1166" s="454"/>
      <c r="BA1166" s="1266"/>
      <c r="BC1166" s="169"/>
    </row>
    <row r="1167" spans="19:55" ht="15.75" customHeight="1">
      <c r="S1167" s="454"/>
      <c r="BA1167" s="1266"/>
      <c r="BC1167" s="169"/>
    </row>
    <row r="1168" spans="19:55" ht="15.75" customHeight="1">
      <c r="S1168" s="454"/>
      <c r="BA1168" s="1266"/>
      <c r="BC1168" s="169"/>
    </row>
    <row r="1169" spans="19:55" ht="15.75" customHeight="1">
      <c r="S1169" s="454"/>
      <c r="BA1169" s="1266"/>
      <c r="BC1169" s="169"/>
    </row>
    <row r="1170" spans="19:55" ht="15.75" customHeight="1">
      <c r="S1170" s="454"/>
      <c r="BA1170" s="1266"/>
      <c r="BC1170" s="169"/>
    </row>
    <row r="1171" spans="19:55" ht="15.75" customHeight="1">
      <c r="S1171" s="454"/>
      <c r="BA1171" s="1266"/>
      <c r="BC1171" s="169"/>
    </row>
    <row r="1172" spans="19:55" ht="15.75" customHeight="1">
      <c r="S1172" s="454"/>
      <c r="BA1172" s="1266"/>
      <c r="BC1172" s="169"/>
    </row>
    <row r="1173" spans="19:55" ht="15.75" customHeight="1">
      <c r="S1173" s="454"/>
      <c r="BA1173" s="1266"/>
      <c r="BC1173" s="169"/>
    </row>
    <row r="1174" spans="19:55" ht="15.75" customHeight="1">
      <c r="S1174" s="454"/>
      <c r="BA1174" s="1266"/>
      <c r="BC1174" s="169"/>
    </row>
    <row r="1175" spans="19:55" ht="15.75" customHeight="1">
      <c r="S1175" s="454"/>
      <c r="BA1175" s="1266"/>
      <c r="BC1175" s="169"/>
    </row>
    <row r="1176" spans="19:55" ht="15.75" customHeight="1">
      <c r="S1176" s="454"/>
      <c r="BA1176" s="1266"/>
      <c r="BC1176" s="169"/>
    </row>
    <row r="1177" spans="19:55" ht="15.75" customHeight="1">
      <c r="S1177" s="454"/>
      <c r="BA1177" s="1266"/>
      <c r="BC1177" s="169"/>
    </row>
    <row r="1178" spans="19:55" ht="15.75" customHeight="1">
      <c r="S1178" s="454"/>
      <c r="BA1178" s="1266"/>
      <c r="BC1178" s="169"/>
    </row>
    <row r="1179" spans="19:55" ht="15.75" customHeight="1">
      <c r="S1179" s="454"/>
      <c r="BA1179" s="1266"/>
      <c r="BC1179" s="169"/>
    </row>
    <row r="1180" spans="19:55" ht="15.75" customHeight="1">
      <c r="S1180" s="454"/>
      <c r="BA1180" s="1266"/>
      <c r="BC1180" s="169"/>
    </row>
    <row r="1181" spans="19:55" ht="15.75" customHeight="1">
      <c r="S1181" s="454"/>
      <c r="BA1181" s="1266"/>
      <c r="BC1181" s="169"/>
    </row>
    <row r="1182" spans="19:55" ht="15.75" customHeight="1">
      <c r="S1182" s="454"/>
      <c r="BA1182" s="1266"/>
      <c r="BC1182" s="169"/>
    </row>
    <row r="1183" spans="19:55" ht="15.75" customHeight="1">
      <c r="S1183" s="454"/>
      <c r="BA1183" s="1266"/>
      <c r="BC1183" s="169"/>
    </row>
    <row r="1184" spans="19:55" ht="15.75" customHeight="1">
      <c r="S1184" s="454"/>
      <c r="BA1184" s="1266"/>
      <c r="BC1184" s="169"/>
    </row>
    <row r="1185" spans="19:55" ht="15.75" customHeight="1">
      <c r="S1185" s="454"/>
      <c r="BA1185" s="1266"/>
      <c r="BC1185" s="169"/>
    </row>
    <row r="1186" spans="19:55" ht="15.75" customHeight="1">
      <c r="S1186" s="454"/>
      <c r="BA1186" s="1266"/>
      <c r="BC1186" s="169"/>
    </row>
    <row r="1187" spans="19:55" ht="15.75" customHeight="1">
      <c r="S1187" s="454"/>
      <c r="BA1187" s="1266"/>
      <c r="BC1187" s="169"/>
    </row>
    <row r="1188" spans="19:55" ht="15.75" customHeight="1">
      <c r="S1188" s="454"/>
      <c r="BA1188" s="1266"/>
      <c r="BC1188" s="169"/>
    </row>
    <row r="1189" spans="19:55" ht="15.75" customHeight="1">
      <c r="S1189" s="454"/>
      <c r="BA1189" s="1266"/>
      <c r="BC1189" s="169"/>
    </row>
    <row r="1190" spans="19:55" ht="15.75" customHeight="1">
      <c r="S1190" s="454"/>
      <c r="BA1190" s="1266"/>
      <c r="BC1190" s="169"/>
    </row>
    <row r="1191" spans="19:55" ht="15.75" customHeight="1">
      <c r="S1191" s="454"/>
      <c r="BA1191" s="1266"/>
      <c r="BC1191" s="169"/>
    </row>
    <row r="1192" spans="19:55" ht="15.75" customHeight="1">
      <c r="S1192" s="454"/>
      <c r="BA1192" s="1266"/>
      <c r="BC1192" s="169"/>
    </row>
    <row r="1193" spans="19:55" ht="15.75" customHeight="1">
      <c r="S1193" s="454"/>
      <c r="BA1193" s="1266"/>
      <c r="BC1193" s="169"/>
    </row>
    <row r="1194" spans="19:55" ht="15.75" customHeight="1">
      <c r="S1194" s="454"/>
      <c r="BA1194" s="1266"/>
      <c r="BC1194" s="169"/>
    </row>
    <row r="1195" spans="19:55" ht="15.75" customHeight="1">
      <c r="S1195" s="454"/>
      <c r="BA1195" s="1266"/>
      <c r="BC1195" s="169"/>
    </row>
    <row r="1196" spans="19:55" ht="15.75" customHeight="1">
      <c r="S1196" s="454"/>
      <c r="BA1196" s="1266"/>
      <c r="BC1196" s="169"/>
    </row>
    <row r="1197" spans="19:55" ht="15.75" customHeight="1">
      <c r="S1197" s="454"/>
      <c r="BA1197" s="1266"/>
      <c r="BC1197" s="169"/>
    </row>
    <row r="1198" spans="19:55" ht="15.75" customHeight="1">
      <c r="S1198" s="454"/>
      <c r="BA1198" s="1266"/>
      <c r="BC1198" s="169"/>
    </row>
    <row r="1199" spans="19:55" ht="15.75" customHeight="1">
      <c r="S1199" s="454"/>
      <c r="BA1199" s="1266"/>
      <c r="BC1199" s="169"/>
    </row>
    <row r="1200" spans="19:55" ht="15.75" customHeight="1">
      <c r="S1200" s="454"/>
      <c r="BA1200" s="1266"/>
      <c r="BC1200" s="169"/>
    </row>
    <row r="1201" spans="19:55" ht="15.75" customHeight="1">
      <c r="S1201" s="454"/>
      <c r="BA1201" s="1266"/>
      <c r="BC1201" s="169"/>
    </row>
    <row r="1202" spans="19:55" ht="15.75" customHeight="1">
      <c r="S1202" s="454"/>
      <c r="BA1202" s="1266"/>
      <c r="BC1202" s="169"/>
    </row>
    <row r="1203" spans="19:55" ht="15.75" customHeight="1">
      <c r="S1203" s="454"/>
      <c r="BA1203" s="1266"/>
      <c r="BC1203" s="169"/>
    </row>
    <row r="1204" spans="19:55" ht="15.75" customHeight="1">
      <c r="S1204" s="454"/>
      <c r="BA1204" s="1266"/>
      <c r="BC1204" s="169"/>
    </row>
    <row r="1205" spans="19:55" ht="15.75" customHeight="1">
      <c r="S1205" s="454"/>
      <c r="BA1205" s="1266"/>
      <c r="BC1205" s="169"/>
    </row>
    <row r="1206" spans="19:55" ht="15.75" customHeight="1">
      <c r="S1206" s="454"/>
      <c r="BA1206" s="1266"/>
      <c r="BC1206" s="169"/>
    </row>
    <row r="1207" spans="19:55" ht="15.75" customHeight="1">
      <c r="S1207" s="454"/>
      <c r="BA1207" s="1266"/>
      <c r="BC1207" s="169"/>
    </row>
    <row r="1208" spans="19:55" ht="15.75" customHeight="1">
      <c r="S1208" s="454"/>
      <c r="BA1208" s="1266"/>
      <c r="BC1208" s="169"/>
    </row>
    <row r="1209" spans="19:55" ht="15.75" customHeight="1">
      <c r="S1209" s="454"/>
      <c r="BA1209" s="1266"/>
      <c r="BC1209" s="169"/>
    </row>
    <row r="1210" spans="19:55" ht="15.75" customHeight="1">
      <c r="S1210" s="454"/>
      <c r="BA1210" s="1266"/>
      <c r="BC1210" s="169"/>
    </row>
    <row r="1211" spans="19:55" ht="15.75" customHeight="1">
      <c r="S1211" s="454"/>
      <c r="BA1211" s="1266"/>
      <c r="BC1211" s="169"/>
    </row>
    <row r="1212" spans="19:55" ht="15.75" customHeight="1">
      <c r="S1212" s="454"/>
      <c r="BA1212" s="1266"/>
      <c r="BC1212" s="169"/>
    </row>
    <row r="1213" spans="19:55" ht="15.75" customHeight="1">
      <c r="S1213" s="454"/>
      <c r="BA1213" s="1266"/>
      <c r="BC1213" s="169"/>
    </row>
    <row r="1214" spans="19:55" ht="15.75" customHeight="1">
      <c r="S1214" s="454"/>
      <c r="BA1214" s="1266"/>
      <c r="BC1214" s="169"/>
    </row>
    <row r="1215" spans="19:55" ht="15.75" customHeight="1">
      <c r="S1215" s="454"/>
      <c r="BA1215" s="1266"/>
      <c r="BC1215" s="169"/>
    </row>
    <row r="1216" spans="19:55" ht="15.75" customHeight="1">
      <c r="S1216" s="454"/>
      <c r="BA1216" s="1266"/>
      <c r="BC1216" s="169"/>
    </row>
    <row r="1217" spans="19:55" ht="15.75" customHeight="1">
      <c r="S1217" s="454"/>
      <c r="BA1217" s="1266"/>
      <c r="BC1217" s="169"/>
    </row>
    <row r="1218" spans="19:55" ht="15.75" customHeight="1">
      <c r="S1218" s="454"/>
      <c r="BA1218" s="1266"/>
      <c r="BC1218" s="169"/>
    </row>
    <row r="1219" spans="19:55" ht="15.75" customHeight="1">
      <c r="S1219" s="454"/>
      <c r="BA1219" s="1266"/>
      <c r="BC1219" s="169"/>
    </row>
    <row r="1220" spans="19:55" ht="15.75" customHeight="1">
      <c r="S1220" s="454"/>
      <c r="BA1220" s="1266"/>
      <c r="BC1220" s="169"/>
    </row>
    <row r="1221" spans="19:55" ht="15.75" customHeight="1">
      <c r="S1221" s="454"/>
      <c r="BA1221" s="1266"/>
      <c r="BC1221" s="169"/>
    </row>
    <row r="1222" spans="19:55" ht="15.75" customHeight="1">
      <c r="S1222" s="454"/>
      <c r="BA1222" s="1266"/>
      <c r="BC1222" s="169"/>
    </row>
    <row r="1223" spans="19:55" ht="15.75" customHeight="1">
      <c r="S1223" s="454"/>
      <c r="BA1223" s="1266"/>
      <c r="BC1223" s="169"/>
    </row>
    <row r="1224" spans="19:55" ht="15.75" customHeight="1">
      <c r="S1224" s="454"/>
      <c r="BA1224" s="1266"/>
      <c r="BC1224" s="169"/>
    </row>
    <row r="1225" spans="19:55" ht="15.75" customHeight="1">
      <c r="S1225" s="454"/>
      <c r="BA1225" s="1266"/>
      <c r="BC1225" s="169"/>
    </row>
    <row r="1226" spans="19:55" ht="15.75" customHeight="1">
      <c r="S1226" s="454"/>
      <c r="BA1226" s="1266"/>
      <c r="BC1226" s="169"/>
    </row>
    <row r="1227" spans="19:55" ht="15.75" customHeight="1">
      <c r="S1227" s="454"/>
      <c r="BA1227" s="1266"/>
      <c r="BC1227" s="169"/>
    </row>
    <row r="1228" spans="19:55" ht="15.75" customHeight="1">
      <c r="S1228" s="454"/>
      <c r="BA1228" s="1266"/>
      <c r="BC1228" s="169"/>
    </row>
    <row r="1229" spans="19:55" ht="15.75" customHeight="1">
      <c r="S1229" s="454"/>
      <c r="BA1229" s="1266"/>
      <c r="BC1229" s="169"/>
    </row>
    <row r="1230" spans="19:55" ht="15.75" customHeight="1">
      <c r="S1230" s="454"/>
      <c r="BA1230" s="1266"/>
      <c r="BC1230" s="169"/>
    </row>
    <row r="1231" spans="19:55" ht="15.75" customHeight="1">
      <c r="S1231" s="454"/>
      <c r="BA1231" s="1266"/>
      <c r="BC1231" s="169"/>
    </row>
    <row r="1232" spans="19:55" ht="15.75" customHeight="1">
      <c r="S1232" s="454"/>
      <c r="BA1232" s="1266"/>
      <c r="BC1232" s="169"/>
    </row>
    <row r="1233" spans="19:55" ht="15.75" customHeight="1">
      <c r="S1233" s="454"/>
      <c r="BA1233" s="1266"/>
      <c r="BC1233" s="169"/>
    </row>
    <row r="1234" spans="19:55" ht="15.75" customHeight="1">
      <c r="S1234" s="454"/>
      <c r="BA1234" s="1266"/>
      <c r="BC1234" s="169"/>
    </row>
    <row r="1235" spans="19:55" ht="15.75" customHeight="1">
      <c r="S1235" s="454"/>
      <c r="BA1235" s="1266"/>
      <c r="BC1235" s="169"/>
    </row>
    <row r="1236" spans="19:55" ht="15.75" customHeight="1">
      <c r="S1236" s="454"/>
      <c r="BA1236" s="1266"/>
      <c r="BC1236" s="169"/>
    </row>
    <row r="1237" spans="19:55" ht="15.75" customHeight="1">
      <c r="S1237" s="454"/>
      <c r="BA1237" s="1266"/>
      <c r="BC1237" s="169"/>
    </row>
    <row r="1238" spans="19:55" ht="15.75" customHeight="1">
      <c r="S1238" s="454"/>
      <c r="BA1238" s="1266"/>
      <c r="BC1238" s="169"/>
    </row>
    <row r="1239" spans="19:55" ht="15.75" customHeight="1">
      <c r="S1239" s="454"/>
      <c r="BA1239" s="1266"/>
      <c r="BC1239" s="169"/>
    </row>
    <row r="1240" spans="19:55" ht="15.75" customHeight="1">
      <c r="S1240" s="454"/>
      <c r="BA1240" s="1266"/>
      <c r="BC1240" s="169"/>
    </row>
    <row r="1241" spans="19:55" ht="15.75" customHeight="1">
      <c r="S1241" s="454"/>
      <c r="BA1241" s="1266"/>
      <c r="BC1241" s="169"/>
    </row>
    <row r="1242" spans="19:55" ht="15.75" customHeight="1">
      <c r="S1242" s="454"/>
      <c r="BA1242" s="1266"/>
      <c r="BC1242" s="169"/>
    </row>
    <row r="1243" spans="19:55" ht="15.75" customHeight="1">
      <c r="S1243" s="454"/>
      <c r="BA1243" s="1266"/>
      <c r="BC1243" s="169"/>
    </row>
    <row r="1244" spans="19:55" ht="15.75" customHeight="1">
      <c r="S1244" s="454"/>
      <c r="BA1244" s="1266"/>
      <c r="BC1244" s="169"/>
    </row>
    <row r="1245" spans="19:55" ht="15.75" customHeight="1">
      <c r="S1245" s="454"/>
      <c r="BA1245" s="1266"/>
      <c r="BC1245" s="169"/>
    </row>
    <row r="1246" spans="19:55" ht="15.75" customHeight="1">
      <c r="S1246" s="454"/>
      <c r="BA1246" s="1266"/>
      <c r="BC1246" s="169"/>
    </row>
    <row r="1247" spans="19:55" ht="15.75" customHeight="1">
      <c r="S1247" s="454"/>
      <c r="BA1247" s="1266"/>
      <c r="BC1247" s="169"/>
    </row>
    <row r="1248" spans="19:55" ht="15.75" customHeight="1">
      <c r="S1248" s="454"/>
      <c r="BA1248" s="1266"/>
      <c r="BC1248" s="169"/>
    </row>
    <row r="1249" spans="19:55" ht="15.75" customHeight="1">
      <c r="S1249" s="454"/>
      <c r="BA1249" s="1266"/>
      <c r="BC1249" s="169"/>
    </row>
    <row r="1250" spans="19:55" ht="15.75" customHeight="1">
      <c r="S1250" s="454"/>
      <c r="BA1250" s="1266"/>
      <c r="BC1250" s="169"/>
    </row>
    <row r="1251" spans="19:55" ht="15.75" customHeight="1">
      <c r="S1251" s="454"/>
      <c r="BA1251" s="1266"/>
      <c r="BC1251" s="169"/>
    </row>
    <row r="1252" spans="19:55" ht="15.75" customHeight="1">
      <c r="S1252" s="454"/>
      <c r="BA1252" s="1266"/>
      <c r="BC1252" s="169"/>
    </row>
    <row r="1253" spans="19:55" ht="15.75" customHeight="1">
      <c r="S1253" s="454"/>
      <c r="BA1253" s="1266"/>
      <c r="BC1253" s="169"/>
    </row>
    <row r="1254" spans="19:55" ht="15.75" customHeight="1">
      <c r="S1254" s="454"/>
      <c r="BA1254" s="1266"/>
      <c r="BC1254" s="169"/>
    </row>
    <row r="1255" spans="19:55" ht="15.75" customHeight="1">
      <c r="S1255" s="454"/>
      <c r="BA1255" s="1266"/>
      <c r="BC1255" s="169"/>
    </row>
    <row r="1256" spans="19:55" ht="15.75" customHeight="1">
      <c r="S1256" s="454"/>
      <c r="BA1256" s="1266"/>
      <c r="BC1256" s="169"/>
    </row>
    <row r="1257" spans="19:55" ht="15.75" customHeight="1">
      <c r="S1257" s="454"/>
      <c r="BA1257" s="1266"/>
      <c r="BC1257" s="169"/>
    </row>
    <row r="1258" spans="19:55" ht="15.75" customHeight="1">
      <c r="S1258" s="454"/>
      <c r="BA1258" s="1266"/>
      <c r="BC1258" s="169"/>
    </row>
    <row r="1259" spans="19:55" ht="15.75" customHeight="1">
      <c r="S1259" s="454"/>
      <c r="BA1259" s="1266"/>
      <c r="BC1259" s="169"/>
    </row>
    <row r="1260" spans="19:55" ht="15.75" customHeight="1">
      <c r="S1260" s="454"/>
      <c r="BA1260" s="1266"/>
      <c r="BC1260" s="169"/>
    </row>
    <row r="1261" spans="19:55" ht="15.75" customHeight="1">
      <c r="S1261" s="454"/>
      <c r="BA1261" s="1266"/>
      <c r="BC1261" s="169"/>
    </row>
    <row r="1262" spans="19:55" ht="15.75" customHeight="1">
      <c r="S1262" s="454"/>
      <c r="BA1262" s="1266"/>
      <c r="BC1262" s="169"/>
    </row>
    <row r="1263" spans="19:55" ht="15.75" customHeight="1">
      <c r="S1263" s="454"/>
      <c r="BA1263" s="1266"/>
      <c r="BC1263" s="169"/>
    </row>
    <row r="1264" spans="19:55" ht="15.75" customHeight="1">
      <c r="S1264" s="454"/>
      <c r="BA1264" s="1266"/>
      <c r="BC1264" s="169"/>
    </row>
    <row r="1265" spans="19:55" ht="15.75" customHeight="1">
      <c r="S1265" s="454"/>
      <c r="BA1265" s="1266"/>
      <c r="BC1265" s="169"/>
    </row>
    <row r="1266" spans="19:55" ht="15.75" customHeight="1">
      <c r="S1266" s="454"/>
      <c r="BA1266" s="1266"/>
      <c r="BC1266" s="169"/>
    </row>
    <row r="1267" spans="19:55" ht="15.75" customHeight="1">
      <c r="S1267" s="454"/>
      <c r="BA1267" s="1266"/>
      <c r="BC1267" s="169"/>
    </row>
    <row r="1268" spans="19:55" ht="15.75" customHeight="1">
      <c r="S1268" s="454"/>
      <c r="BA1268" s="1266"/>
      <c r="BC1268" s="169"/>
    </row>
    <row r="1269" spans="19:55" ht="15.75" customHeight="1">
      <c r="S1269" s="454"/>
      <c r="BA1269" s="1266"/>
      <c r="BC1269" s="169"/>
    </row>
    <row r="1270" spans="19:55" ht="15.75" customHeight="1">
      <c r="S1270" s="454"/>
      <c r="BA1270" s="1266"/>
      <c r="BC1270" s="169"/>
    </row>
    <row r="1271" spans="19:55" ht="15.75" customHeight="1">
      <c r="S1271" s="454"/>
      <c r="BA1271" s="1266"/>
      <c r="BC1271" s="169"/>
    </row>
    <row r="1272" spans="19:55" ht="15.75" customHeight="1">
      <c r="S1272" s="454"/>
      <c r="BA1272" s="1266"/>
      <c r="BC1272" s="169"/>
    </row>
    <row r="1273" spans="19:55" ht="15.75" customHeight="1">
      <c r="S1273" s="454"/>
      <c r="BA1273" s="1266"/>
      <c r="BC1273" s="169"/>
    </row>
    <row r="1274" spans="19:55" ht="15.75" customHeight="1">
      <c r="S1274" s="454"/>
      <c r="BA1274" s="1266"/>
      <c r="BC1274" s="169"/>
    </row>
    <row r="1275" spans="19:55" ht="15.75" customHeight="1">
      <c r="S1275" s="454"/>
      <c r="BA1275" s="1266"/>
      <c r="BC1275" s="169"/>
    </row>
    <row r="1276" spans="19:55" ht="15.75" customHeight="1">
      <c r="S1276" s="454"/>
      <c r="BA1276" s="1266"/>
      <c r="BC1276" s="169"/>
    </row>
    <row r="1277" spans="19:55" ht="15.75" customHeight="1">
      <c r="S1277" s="454"/>
      <c r="BA1277" s="1266"/>
      <c r="BC1277" s="169"/>
    </row>
    <row r="1278" spans="19:55" ht="15.75" customHeight="1">
      <c r="S1278" s="454"/>
      <c r="BA1278" s="1266"/>
      <c r="BC1278" s="169"/>
    </row>
    <row r="1279" spans="19:55" ht="15.75" customHeight="1">
      <c r="S1279" s="454"/>
      <c r="BA1279" s="1266"/>
      <c r="BC1279" s="169"/>
    </row>
    <row r="1280" spans="19:55" ht="15.75" customHeight="1">
      <c r="S1280" s="454"/>
      <c r="BA1280" s="1266"/>
      <c r="BC1280" s="169"/>
    </row>
    <row r="1281" spans="19:55" ht="15.75" customHeight="1">
      <c r="S1281" s="454"/>
      <c r="BA1281" s="1266"/>
      <c r="BC1281" s="169"/>
    </row>
    <row r="1282" spans="19:55" ht="15.75" customHeight="1">
      <c r="S1282" s="454"/>
      <c r="BA1282" s="1266"/>
      <c r="BC1282" s="169"/>
    </row>
    <row r="1283" spans="19:55" ht="15.75" customHeight="1">
      <c r="S1283" s="454"/>
      <c r="BA1283" s="1266"/>
      <c r="BC1283" s="169"/>
    </row>
    <row r="1284" spans="19:55" ht="15.75" customHeight="1">
      <c r="S1284" s="454"/>
      <c r="BA1284" s="1266"/>
      <c r="BC1284" s="169"/>
    </row>
    <row r="1285" spans="19:55" ht="15.75" customHeight="1">
      <c r="S1285" s="454"/>
      <c r="BA1285" s="1266"/>
      <c r="BC1285" s="169"/>
    </row>
    <row r="1286" spans="19:55" ht="15.75" customHeight="1">
      <c r="S1286" s="454"/>
      <c r="BA1286" s="1266"/>
      <c r="BC1286" s="169"/>
    </row>
    <row r="1287" spans="19:55" ht="15.75" customHeight="1">
      <c r="S1287" s="454"/>
      <c r="BA1287" s="1266"/>
      <c r="BC1287" s="169"/>
    </row>
    <row r="1288" spans="19:55" ht="15.75" customHeight="1">
      <c r="S1288" s="454"/>
      <c r="BA1288" s="1266"/>
      <c r="BC1288" s="169"/>
    </row>
    <row r="1289" spans="19:55" ht="15.75" customHeight="1">
      <c r="S1289" s="454"/>
      <c r="BA1289" s="1266"/>
      <c r="BC1289" s="169"/>
    </row>
    <row r="1290" spans="19:55" ht="15.75" customHeight="1">
      <c r="S1290" s="454"/>
      <c r="BA1290" s="1266"/>
      <c r="BC1290" s="169"/>
    </row>
    <row r="1291" spans="19:55" ht="15.75" customHeight="1">
      <c r="S1291" s="454"/>
      <c r="BA1291" s="1266"/>
      <c r="BC1291" s="169"/>
    </row>
    <row r="1292" spans="19:55" ht="15.75" customHeight="1">
      <c r="S1292" s="454"/>
      <c r="BA1292" s="1266"/>
      <c r="BC1292" s="169"/>
    </row>
    <row r="1293" spans="19:55" ht="15.75" customHeight="1">
      <c r="S1293" s="454"/>
      <c r="BA1293" s="1266"/>
      <c r="BC1293" s="169"/>
    </row>
    <row r="1294" spans="19:55" ht="15.75" customHeight="1">
      <c r="S1294" s="454"/>
      <c r="BC1294" s="169"/>
    </row>
    <row r="1295" spans="19:55" ht="15.75" customHeight="1">
      <c r="S1295" s="454"/>
      <c r="BC1295" s="169"/>
    </row>
    <row r="1296" spans="19:55" ht="15.75" customHeight="1">
      <c r="S1296" s="454"/>
      <c r="BC1296" s="169"/>
    </row>
    <row r="1297" spans="19:55" ht="15.75" customHeight="1">
      <c r="S1297" s="454"/>
      <c r="BC1297" s="169"/>
    </row>
    <row r="1298" spans="19:55" ht="15.75" customHeight="1">
      <c r="S1298" s="454"/>
      <c r="BC1298" s="169"/>
    </row>
    <row r="1299" spans="19:55" ht="15.75" customHeight="1">
      <c r="S1299" s="454"/>
      <c r="BC1299" s="169"/>
    </row>
    <row r="1300" spans="19:55" ht="15.75" customHeight="1">
      <c r="S1300" s="454"/>
      <c r="BC1300" s="169"/>
    </row>
    <row r="1301" spans="19:55" ht="15.75" customHeight="1">
      <c r="S1301" s="454"/>
      <c r="BC1301" s="169"/>
    </row>
    <row r="1302" spans="19:55" ht="15.75" customHeight="1">
      <c r="S1302" s="454"/>
      <c r="BC1302" s="169"/>
    </row>
    <row r="1303" spans="19:55" ht="15.75" customHeight="1">
      <c r="S1303" s="454"/>
      <c r="BC1303" s="169"/>
    </row>
    <row r="1304" spans="19:55" ht="15.75" customHeight="1">
      <c r="S1304" s="454"/>
      <c r="BC1304" s="169"/>
    </row>
    <row r="1305" spans="19:55" ht="15.75" customHeight="1">
      <c r="S1305" s="454"/>
      <c r="BC1305" s="169"/>
    </row>
    <row r="1306" spans="19:55" ht="15.75" customHeight="1">
      <c r="S1306" s="454"/>
      <c r="BC1306" s="169"/>
    </row>
    <row r="1307" spans="19:55" ht="15.75" customHeight="1">
      <c r="S1307" s="454"/>
      <c r="BC1307" s="169"/>
    </row>
    <row r="1308" spans="19:55" ht="15.75" customHeight="1">
      <c r="S1308" s="454"/>
      <c r="BC1308" s="169"/>
    </row>
    <row r="1309" spans="19:55" ht="15.75" customHeight="1">
      <c r="S1309" s="454"/>
      <c r="BC1309" s="169"/>
    </row>
    <row r="1310" spans="19:55" ht="15.75" customHeight="1">
      <c r="S1310" s="454"/>
      <c r="BC1310" s="169"/>
    </row>
    <row r="1311" spans="19:55" ht="15.75" customHeight="1">
      <c r="S1311" s="454"/>
      <c r="BC1311" s="169"/>
    </row>
    <row r="1312" spans="19:55" ht="15.75" customHeight="1">
      <c r="S1312" s="454"/>
      <c r="BC1312" s="169"/>
    </row>
    <row r="1313" spans="19:55" ht="15.75" customHeight="1">
      <c r="S1313" s="454"/>
      <c r="BC1313" s="169"/>
    </row>
    <row r="1314" spans="19:55" ht="15.75" customHeight="1">
      <c r="S1314" s="454"/>
      <c r="BC1314" s="169"/>
    </row>
    <row r="1315" spans="19:55" ht="15.75" customHeight="1">
      <c r="S1315" s="454"/>
      <c r="BC1315" s="169"/>
    </row>
    <row r="1316" spans="19:55" ht="15.75" customHeight="1">
      <c r="S1316" s="454"/>
      <c r="BC1316" s="169"/>
    </row>
    <row r="1317" spans="19:55" ht="15.75" customHeight="1">
      <c r="S1317" s="454"/>
      <c r="BC1317" s="169"/>
    </row>
    <row r="1318" spans="19:55" ht="15.75" customHeight="1">
      <c r="S1318" s="454"/>
      <c r="BC1318" s="169"/>
    </row>
    <row r="1319" spans="19:55" ht="15.75" customHeight="1">
      <c r="S1319" s="454"/>
      <c r="BC1319" s="169"/>
    </row>
    <row r="1320" spans="19:55" ht="15.75" customHeight="1">
      <c r="S1320" s="454"/>
      <c r="BC1320" s="169"/>
    </row>
    <row r="1321" spans="19:55" ht="15.75" customHeight="1">
      <c r="S1321" s="454"/>
      <c r="BC1321" s="169"/>
    </row>
    <row r="1322" spans="19:55" ht="15.75" customHeight="1">
      <c r="S1322" s="454"/>
      <c r="BC1322" s="169"/>
    </row>
    <row r="1323" spans="19:55" ht="15.75" customHeight="1">
      <c r="S1323" s="454"/>
      <c r="BC1323" s="169"/>
    </row>
    <row r="1324" spans="19:55" ht="15.75" customHeight="1">
      <c r="S1324" s="454"/>
      <c r="BC1324" s="169"/>
    </row>
    <row r="1325" spans="19:55" ht="15.75" customHeight="1">
      <c r="S1325" s="454"/>
      <c r="BC1325" s="169"/>
    </row>
    <row r="1326" spans="19:55" ht="15.75" customHeight="1">
      <c r="S1326" s="454"/>
      <c r="BC1326" s="169"/>
    </row>
    <row r="1327" spans="19:55" ht="15.75" customHeight="1">
      <c r="S1327" s="454"/>
      <c r="BC1327" s="169"/>
    </row>
    <row r="1328" spans="19:55" ht="15.75" customHeight="1">
      <c r="S1328" s="454"/>
      <c r="BC1328" s="169"/>
    </row>
    <row r="1329" spans="19:55" ht="15.75" customHeight="1">
      <c r="S1329" s="454"/>
      <c r="BC1329" s="169"/>
    </row>
    <row r="1330" spans="19:55" ht="15.75" customHeight="1">
      <c r="S1330" s="454"/>
      <c r="BC1330" s="169"/>
    </row>
    <row r="1331" spans="19:55" ht="15.75" customHeight="1">
      <c r="S1331" s="454"/>
      <c r="BC1331" s="169"/>
    </row>
    <row r="1332" spans="19:55" ht="15.75" customHeight="1">
      <c r="S1332" s="454"/>
      <c r="BC1332" s="169"/>
    </row>
    <row r="1333" spans="19:55" ht="15.75" customHeight="1">
      <c r="S1333" s="454"/>
      <c r="BC1333" s="169"/>
    </row>
    <row r="1334" spans="19:55" ht="15.75" customHeight="1">
      <c r="S1334" s="454"/>
      <c r="BC1334" s="169"/>
    </row>
    <row r="1335" spans="19:55" ht="15.75" customHeight="1">
      <c r="S1335" s="454"/>
      <c r="BC1335" s="169"/>
    </row>
    <row r="1336" spans="19:55" ht="15.75" customHeight="1">
      <c r="S1336" s="454"/>
      <c r="BC1336" s="169"/>
    </row>
    <row r="1337" spans="19:55" ht="15.75" customHeight="1">
      <c r="S1337" s="454"/>
      <c r="BC1337" s="169"/>
    </row>
    <row r="1338" spans="19:55" ht="15.75" customHeight="1">
      <c r="S1338" s="454"/>
      <c r="BC1338" s="169"/>
    </row>
    <row r="1339" spans="19:55" ht="15.75" customHeight="1">
      <c r="S1339" s="454"/>
      <c r="BC1339" s="169"/>
    </row>
    <row r="1340" spans="19:55" ht="15.75" customHeight="1">
      <c r="S1340" s="454"/>
      <c r="BC1340" s="169"/>
    </row>
    <row r="1341" spans="19:55" ht="15.75" customHeight="1">
      <c r="S1341" s="454"/>
      <c r="BC1341" s="169"/>
    </row>
    <row r="1342" spans="19:55" ht="15.75" customHeight="1">
      <c r="S1342" s="454"/>
      <c r="BC1342" s="169"/>
    </row>
    <row r="1343" spans="19:55" ht="15.75" customHeight="1">
      <c r="S1343" s="454"/>
      <c r="BC1343" s="169"/>
    </row>
    <row r="1344" spans="19:55" ht="15.75" customHeight="1">
      <c r="S1344" s="454"/>
      <c r="BC1344" s="169"/>
    </row>
    <row r="1345" spans="19:55" ht="15.75" customHeight="1">
      <c r="S1345" s="454"/>
      <c r="BC1345" s="169"/>
    </row>
    <row r="1346" spans="19:55" ht="15.75" customHeight="1">
      <c r="S1346" s="454"/>
      <c r="BC1346" s="169"/>
    </row>
    <row r="1347" spans="19:55" ht="15.75" customHeight="1">
      <c r="S1347" s="454"/>
      <c r="BC1347" s="169"/>
    </row>
    <row r="1348" spans="19:55" ht="15.75" customHeight="1">
      <c r="S1348" s="454"/>
      <c r="BC1348" s="169"/>
    </row>
    <row r="1349" spans="19:55" ht="15.75" customHeight="1">
      <c r="S1349" s="454"/>
      <c r="BC1349" s="169"/>
    </row>
    <row r="1350" spans="19:55" ht="15.75" customHeight="1">
      <c r="S1350" s="454"/>
      <c r="BC1350" s="169"/>
    </row>
    <row r="1351" spans="19:55" ht="15.75" customHeight="1">
      <c r="S1351" s="454"/>
      <c r="BC1351" s="169"/>
    </row>
    <row r="1352" spans="19:55" ht="15.75" customHeight="1">
      <c r="S1352" s="454"/>
      <c r="BC1352" s="169"/>
    </row>
    <row r="1353" spans="19:55" ht="15.75" customHeight="1">
      <c r="S1353" s="454"/>
      <c r="BC1353" s="169"/>
    </row>
    <row r="1354" spans="19:55" ht="15.75" customHeight="1">
      <c r="S1354" s="454"/>
      <c r="BC1354" s="169"/>
    </row>
    <row r="1355" spans="19:55" ht="15.75" customHeight="1">
      <c r="S1355" s="454"/>
      <c r="BC1355" s="169"/>
    </row>
    <row r="1356" spans="19:55" ht="15.75" customHeight="1">
      <c r="S1356" s="454"/>
      <c r="BC1356" s="169"/>
    </row>
    <row r="1357" spans="19:55" ht="15.75" customHeight="1">
      <c r="S1357" s="454"/>
      <c r="BC1357" s="169"/>
    </row>
    <row r="1358" spans="19:55" ht="15.75" customHeight="1">
      <c r="S1358" s="454"/>
      <c r="BC1358" s="169"/>
    </row>
    <row r="1359" spans="19:55" ht="15.75" customHeight="1">
      <c r="S1359" s="454"/>
      <c r="BC1359" s="169"/>
    </row>
    <row r="1360" spans="19:55" ht="15.75" customHeight="1">
      <c r="S1360" s="454"/>
      <c r="BC1360" s="169"/>
    </row>
    <row r="1361" spans="19:55" ht="15.75" customHeight="1">
      <c r="S1361" s="454"/>
      <c r="BC1361" s="169"/>
    </row>
    <row r="1362" spans="19:55" ht="15.75" customHeight="1">
      <c r="S1362" s="454"/>
      <c r="BC1362" s="169"/>
    </row>
    <row r="1363" spans="19:55" ht="15.75" customHeight="1">
      <c r="S1363" s="454"/>
      <c r="BC1363" s="169"/>
    </row>
    <row r="1364" spans="19:55" ht="15.75" customHeight="1">
      <c r="S1364" s="454"/>
      <c r="BC1364" s="169"/>
    </row>
    <row r="1365" spans="19:55" ht="15.75" customHeight="1">
      <c r="S1365" s="454"/>
      <c r="BC1365" s="169"/>
    </row>
    <row r="1366" spans="19:55" ht="15.75" customHeight="1">
      <c r="S1366" s="454"/>
      <c r="BC1366" s="169"/>
    </row>
    <row r="1367" spans="19:55" ht="15.75" customHeight="1">
      <c r="S1367" s="454"/>
      <c r="BC1367" s="169"/>
    </row>
    <row r="1368" spans="19:55" ht="15.75" customHeight="1">
      <c r="S1368" s="454"/>
      <c r="BC1368" s="169"/>
    </row>
    <row r="1369" spans="19:55" ht="15.75" customHeight="1">
      <c r="S1369" s="454"/>
      <c r="BC1369" s="169"/>
    </row>
    <row r="1370" spans="19:55" ht="15.75" customHeight="1">
      <c r="S1370" s="454"/>
      <c r="BC1370" s="169"/>
    </row>
    <row r="1371" spans="19:55" ht="15.75" customHeight="1">
      <c r="S1371" s="454"/>
      <c r="BC1371" s="169"/>
    </row>
    <row r="1372" spans="19:55" ht="15.75" customHeight="1">
      <c r="S1372" s="454"/>
      <c r="BC1372" s="169"/>
    </row>
    <row r="1373" spans="19:55" ht="15.75" customHeight="1">
      <c r="S1373" s="454"/>
      <c r="BC1373" s="169"/>
    </row>
    <row r="1374" spans="19:55" ht="15.75" customHeight="1">
      <c r="S1374" s="454"/>
      <c r="BC1374" s="169"/>
    </row>
    <row r="1375" spans="19:55" ht="15.75" customHeight="1">
      <c r="S1375" s="454"/>
      <c r="BC1375" s="169"/>
    </row>
    <row r="1376" spans="19:55" ht="15.75" customHeight="1">
      <c r="S1376" s="454"/>
      <c r="BC1376" s="169"/>
    </row>
    <row r="1377" spans="19:55" ht="15.75" customHeight="1">
      <c r="S1377" s="454"/>
      <c r="BC1377" s="169"/>
    </row>
    <row r="1378" spans="19:55" ht="15.75" customHeight="1">
      <c r="S1378" s="454"/>
      <c r="BC1378" s="169"/>
    </row>
    <row r="1379" spans="19:55" ht="15.75" customHeight="1">
      <c r="S1379" s="454"/>
      <c r="BC1379" s="169"/>
    </row>
    <row r="1380" spans="19:55" ht="15.75" customHeight="1">
      <c r="S1380" s="454"/>
      <c r="BC1380" s="169"/>
    </row>
    <row r="1381" spans="19:55" ht="15.75" customHeight="1">
      <c r="S1381" s="454"/>
      <c r="BC1381" s="169"/>
    </row>
    <row r="1382" spans="19:55" ht="15.75" customHeight="1">
      <c r="S1382" s="454"/>
      <c r="BC1382" s="169"/>
    </row>
    <row r="1383" spans="19:55" ht="15.75" customHeight="1">
      <c r="S1383" s="454"/>
      <c r="BC1383" s="169"/>
    </row>
    <row r="1384" spans="19:55" ht="15.75" customHeight="1">
      <c r="S1384" s="454"/>
      <c r="BC1384" s="169"/>
    </row>
    <row r="1385" spans="19:55" ht="15.75" customHeight="1">
      <c r="S1385" s="454"/>
      <c r="BC1385" s="169"/>
    </row>
    <row r="1386" spans="19:55" ht="15.75" customHeight="1">
      <c r="S1386" s="454"/>
      <c r="BC1386" s="169"/>
    </row>
    <row r="1387" spans="19:55" ht="15.75" customHeight="1">
      <c r="S1387" s="454"/>
      <c r="BC1387" s="169"/>
    </row>
    <row r="1388" spans="19:55" ht="15.75" customHeight="1">
      <c r="S1388" s="454"/>
      <c r="BC1388" s="169"/>
    </row>
    <row r="1389" spans="19:55" ht="15.75" customHeight="1">
      <c r="S1389" s="454"/>
      <c r="BC1389" s="169"/>
    </row>
    <row r="1390" spans="19:55" ht="15.75" customHeight="1">
      <c r="S1390" s="454"/>
      <c r="BC1390" s="169"/>
    </row>
    <row r="1391" spans="19:55" ht="15.75" customHeight="1">
      <c r="S1391" s="454"/>
      <c r="BC1391" s="169"/>
    </row>
    <row r="1392" spans="19:55" ht="15.75" customHeight="1">
      <c r="S1392" s="454"/>
      <c r="BC1392" s="169"/>
    </row>
    <row r="1393" spans="19:55" ht="15.75" customHeight="1">
      <c r="S1393" s="454"/>
      <c r="BC1393" s="169"/>
    </row>
    <row r="1394" spans="19:55" ht="15.75" customHeight="1">
      <c r="S1394" s="454"/>
      <c r="BC1394" s="169"/>
    </row>
    <row r="1395" spans="19:55" ht="15.75" customHeight="1">
      <c r="S1395" s="454"/>
      <c r="BC1395" s="169"/>
    </row>
    <row r="1396" spans="19:55" ht="15.75" customHeight="1">
      <c r="S1396" s="454"/>
      <c r="BC1396" s="169"/>
    </row>
    <row r="1397" spans="19:55" ht="15.75" customHeight="1">
      <c r="S1397" s="454"/>
      <c r="BC1397" s="169"/>
    </row>
    <row r="1398" spans="19:55" ht="15.75" customHeight="1">
      <c r="S1398" s="454"/>
      <c r="BC1398" s="169"/>
    </row>
    <row r="1399" spans="19:55" ht="15.75" customHeight="1">
      <c r="S1399" s="454"/>
      <c r="BC1399" s="169"/>
    </row>
    <row r="1400" spans="19:55" ht="15.75" customHeight="1">
      <c r="S1400" s="454"/>
      <c r="BC1400" s="169"/>
    </row>
    <row r="1401" spans="19:55" ht="15.75" customHeight="1">
      <c r="S1401" s="454"/>
      <c r="BC1401" s="169"/>
    </row>
    <row r="1402" spans="19:55" ht="15.75" customHeight="1">
      <c r="S1402" s="454"/>
      <c r="BC1402" s="169"/>
    </row>
    <row r="1403" spans="19:55" ht="15.75" customHeight="1">
      <c r="S1403" s="454"/>
      <c r="BC1403" s="169"/>
    </row>
    <row r="1404" spans="19:55" ht="15.75" customHeight="1">
      <c r="S1404" s="454"/>
      <c r="BC1404" s="169"/>
    </row>
    <row r="1405" spans="19:55" ht="15.75" customHeight="1">
      <c r="S1405" s="454"/>
      <c r="BC1405" s="169"/>
    </row>
    <row r="1406" spans="19:55" ht="15.75" customHeight="1">
      <c r="S1406" s="454"/>
      <c r="BC1406" s="169"/>
    </row>
    <row r="1407" spans="19:55" ht="15.75" customHeight="1">
      <c r="S1407" s="454"/>
      <c r="BC1407" s="169"/>
    </row>
    <row r="1408" spans="19:55" ht="15.75" customHeight="1">
      <c r="S1408" s="454"/>
      <c r="BC1408" s="169"/>
    </row>
    <row r="1409" spans="19:55" ht="15.75" customHeight="1">
      <c r="S1409" s="454"/>
      <c r="BC1409" s="169"/>
    </row>
    <row r="1410" spans="19:55" ht="15.75" customHeight="1">
      <c r="S1410" s="454"/>
      <c r="BC1410" s="169"/>
    </row>
    <row r="1411" spans="19:55" ht="15.75" customHeight="1">
      <c r="S1411" s="454"/>
      <c r="BC1411" s="169"/>
    </row>
    <row r="1412" spans="19:55" ht="15.75" customHeight="1">
      <c r="S1412" s="454"/>
      <c r="BC1412" s="169"/>
    </row>
    <row r="1413" spans="19:55" ht="15.75" customHeight="1">
      <c r="S1413" s="454"/>
      <c r="BC1413" s="169"/>
    </row>
    <row r="1414" spans="19:55" ht="15.75" customHeight="1">
      <c r="S1414" s="454"/>
      <c r="BC1414" s="169"/>
    </row>
    <row r="1415" spans="19:55" ht="15.75" customHeight="1">
      <c r="S1415" s="454"/>
      <c r="BC1415" s="169"/>
    </row>
    <row r="1416" spans="19:55" ht="15.75" customHeight="1">
      <c r="S1416" s="454"/>
      <c r="BC1416" s="169"/>
    </row>
    <row r="1417" spans="19:55" ht="15.75" customHeight="1">
      <c r="S1417" s="454"/>
      <c r="BC1417" s="169"/>
    </row>
    <row r="1418" spans="19:55" ht="15.75" customHeight="1">
      <c r="S1418" s="454"/>
      <c r="BC1418" s="169"/>
    </row>
    <row r="1419" spans="19:55" ht="15.75" customHeight="1">
      <c r="S1419" s="454"/>
      <c r="BC1419" s="169"/>
    </row>
    <row r="1420" spans="19:55" ht="15.75" customHeight="1">
      <c r="S1420" s="454"/>
      <c r="BC1420" s="169"/>
    </row>
    <row r="1421" spans="19:55" ht="15.75" customHeight="1">
      <c r="S1421" s="454"/>
      <c r="BC1421" s="169"/>
    </row>
    <row r="1422" spans="19:55" ht="15.75" customHeight="1">
      <c r="S1422" s="454"/>
      <c r="BC1422" s="169"/>
    </row>
    <row r="1423" spans="19:55" ht="15.75" customHeight="1">
      <c r="S1423" s="454"/>
      <c r="BC1423" s="169"/>
    </row>
    <row r="1424" spans="19:55" ht="15.75" customHeight="1">
      <c r="S1424" s="454"/>
      <c r="BC1424" s="169"/>
    </row>
    <row r="1425" spans="19:55" ht="15.75" customHeight="1">
      <c r="S1425" s="454"/>
      <c r="BC1425" s="169"/>
    </row>
    <row r="1426" spans="19:55" ht="15.75" customHeight="1">
      <c r="S1426" s="454"/>
      <c r="BC1426" s="169"/>
    </row>
    <row r="1427" spans="19:55" ht="15.75" customHeight="1">
      <c r="S1427" s="454"/>
      <c r="BC1427" s="169"/>
    </row>
    <row r="1428" spans="19:55" ht="15.75" customHeight="1">
      <c r="S1428" s="454"/>
      <c r="BC1428" s="169"/>
    </row>
    <row r="1429" spans="19:55" ht="15.75" customHeight="1">
      <c r="S1429" s="454"/>
      <c r="BC1429" s="169"/>
    </row>
    <row r="1430" spans="19:55" ht="15.75" customHeight="1">
      <c r="S1430" s="454"/>
      <c r="BC1430" s="169"/>
    </row>
    <row r="1431" spans="19:55" ht="15.75" customHeight="1">
      <c r="S1431" s="454"/>
      <c r="BC1431" s="169"/>
    </row>
    <row r="1432" spans="19:55" ht="15.75" customHeight="1">
      <c r="S1432" s="454"/>
      <c r="BC1432" s="169"/>
    </row>
    <row r="1433" spans="19:55" ht="15.75" customHeight="1">
      <c r="S1433" s="454"/>
      <c r="BC1433" s="169"/>
    </row>
    <row r="1434" spans="19:55" ht="15.75" customHeight="1">
      <c r="S1434" s="454"/>
      <c r="BC1434" s="169"/>
    </row>
    <row r="1435" spans="19:55" ht="15.75" customHeight="1">
      <c r="S1435" s="454"/>
      <c r="BC1435" s="169"/>
    </row>
    <row r="1436" spans="19:55" ht="15.75" customHeight="1">
      <c r="S1436" s="454"/>
      <c r="BC1436" s="169"/>
    </row>
    <row r="1437" spans="19:55" ht="15.75" customHeight="1">
      <c r="S1437" s="454"/>
      <c r="BC1437" s="169"/>
    </row>
    <row r="1438" spans="19:55" ht="15.75" customHeight="1">
      <c r="S1438" s="454"/>
      <c r="BC1438" s="169"/>
    </row>
    <row r="1439" spans="19:55" ht="15.75" customHeight="1">
      <c r="S1439" s="454"/>
      <c r="BC1439" s="169"/>
    </row>
    <row r="1440" spans="19:55" ht="15.75" customHeight="1">
      <c r="S1440" s="454"/>
      <c r="BC1440" s="169"/>
    </row>
    <row r="1441" spans="19:55" ht="15.75" customHeight="1">
      <c r="S1441" s="454"/>
      <c r="BC1441" s="169"/>
    </row>
    <row r="1442" spans="19:55" ht="15.75" customHeight="1">
      <c r="S1442" s="454"/>
      <c r="BC1442" s="169"/>
    </row>
    <row r="1443" spans="19:55" ht="15.75" customHeight="1">
      <c r="S1443" s="454"/>
      <c r="BC1443" s="169"/>
    </row>
    <row r="1444" spans="19:55" ht="15.75" customHeight="1">
      <c r="S1444" s="454"/>
      <c r="BC1444" s="169"/>
    </row>
    <row r="1445" spans="19:55" ht="15.75" customHeight="1">
      <c r="S1445" s="454"/>
      <c r="BC1445" s="169"/>
    </row>
    <row r="1446" spans="19:55" ht="15.75" customHeight="1">
      <c r="S1446" s="454"/>
      <c r="BC1446" s="169"/>
    </row>
    <row r="1447" spans="19:55" ht="15.75" customHeight="1">
      <c r="S1447" s="454"/>
      <c r="BC1447" s="169"/>
    </row>
    <row r="1448" spans="19:55" ht="15.75" customHeight="1">
      <c r="S1448" s="454"/>
      <c r="BC1448" s="169"/>
    </row>
    <row r="1449" spans="19:55" ht="15.75" customHeight="1">
      <c r="S1449" s="454"/>
      <c r="BC1449" s="169"/>
    </row>
    <row r="1450" spans="19:55" ht="15.75" customHeight="1">
      <c r="S1450" s="454"/>
      <c r="BC1450" s="169"/>
    </row>
    <row r="1451" spans="19:55" ht="15.75" customHeight="1">
      <c r="S1451" s="454"/>
      <c r="BC1451" s="169"/>
    </row>
    <row r="1452" spans="19:55" ht="15.75" customHeight="1">
      <c r="S1452" s="454"/>
      <c r="BC1452" s="169"/>
    </row>
    <row r="1453" spans="19:55" ht="15.75" customHeight="1">
      <c r="S1453" s="454"/>
      <c r="BC1453" s="169"/>
    </row>
    <row r="1454" spans="19:55" ht="15.75" customHeight="1">
      <c r="S1454" s="454"/>
      <c r="BC1454" s="169"/>
    </row>
    <row r="1455" spans="19:55" ht="15.75" customHeight="1">
      <c r="S1455" s="454"/>
      <c r="BC1455" s="169"/>
    </row>
    <row r="1456" spans="19:55" ht="15.75" customHeight="1">
      <c r="S1456" s="454"/>
      <c r="BC1456" s="169"/>
    </row>
    <row r="1457" spans="19:55" ht="15.75" customHeight="1">
      <c r="S1457" s="454"/>
      <c r="BC1457" s="169"/>
    </row>
    <row r="1458" spans="19:55" ht="15.75" customHeight="1">
      <c r="S1458" s="454"/>
      <c r="BC1458" s="169"/>
    </row>
    <row r="1459" spans="19:55" ht="15.75" customHeight="1">
      <c r="S1459" s="454"/>
      <c r="BC1459" s="169"/>
    </row>
    <row r="1460" spans="19:55" ht="15.75" customHeight="1">
      <c r="S1460" s="454"/>
      <c r="BC1460" s="169"/>
    </row>
    <row r="1461" spans="19:55" ht="15.75" customHeight="1">
      <c r="S1461" s="454"/>
      <c r="BC1461" s="169"/>
    </row>
    <row r="1462" spans="19:55" ht="15.75" customHeight="1">
      <c r="S1462" s="454"/>
      <c r="BC1462" s="169"/>
    </row>
    <row r="1463" spans="19:55" ht="15.75" customHeight="1">
      <c r="S1463" s="454"/>
      <c r="BC1463" s="169"/>
    </row>
    <row r="1464" spans="19:55" ht="15.75" customHeight="1">
      <c r="S1464" s="454"/>
      <c r="BC1464" s="169"/>
    </row>
    <row r="1465" spans="19:55" ht="15.75" customHeight="1">
      <c r="S1465" s="454"/>
      <c r="BC1465" s="169"/>
    </row>
    <row r="1466" spans="19:55" ht="15.75" customHeight="1">
      <c r="S1466" s="454"/>
      <c r="BC1466" s="169"/>
    </row>
    <row r="1467" spans="19:55" ht="15.75" customHeight="1">
      <c r="S1467" s="454"/>
      <c r="BC1467" s="169"/>
    </row>
    <row r="1468" spans="19:55" ht="15.75" customHeight="1">
      <c r="S1468" s="454"/>
      <c r="BC1468" s="169"/>
    </row>
    <row r="1469" spans="19:55" ht="15.75" customHeight="1">
      <c r="S1469" s="454"/>
      <c r="BC1469" s="169"/>
    </row>
    <row r="1470" spans="19:55" ht="15.75" customHeight="1">
      <c r="S1470" s="454"/>
      <c r="BC1470" s="169"/>
    </row>
    <row r="1471" spans="19:55" ht="15.75" customHeight="1">
      <c r="S1471" s="454"/>
      <c r="BC1471" s="169"/>
    </row>
    <row r="1472" spans="19:55" ht="15.75" customHeight="1">
      <c r="S1472" s="454"/>
      <c r="BC1472" s="169"/>
    </row>
    <row r="1473" spans="19:55" ht="15.75" customHeight="1">
      <c r="S1473" s="454"/>
      <c r="BC1473" s="169"/>
    </row>
    <row r="1474" spans="19:55" ht="15.75" customHeight="1">
      <c r="S1474" s="454"/>
      <c r="BC1474" s="169"/>
    </row>
    <row r="1475" spans="19:55" ht="15.75" customHeight="1">
      <c r="S1475" s="454"/>
      <c r="BC1475" s="169"/>
    </row>
    <row r="1476" spans="19:55" ht="15.75" customHeight="1">
      <c r="S1476" s="454"/>
      <c r="BC1476" s="169"/>
    </row>
    <row r="1477" spans="19:55" ht="15.75" customHeight="1">
      <c r="S1477" s="454"/>
      <c r="BC1477" s="169"/>
    </row>
    <row r="1478" spans="19:55" ht="15.75" customHeight="1">
      <c r="S1478" s="454"/>
      <c r="BC1478" s="169"/>
    </row>
    <row r="1479" spans="19:55" ht="15.75" customHeight="1">
      <c r="S1479" s="454"/>
      <c r="BC1479" s="169"/>
    </row>
    <row r="1480" spans="19:55" ht="15.75" customHeight="1">
      <c r="S1480" s="454"/>
      <c r="BC1480" s="169"/>
    </row>
    <row r="1481" spans="19:55" ht="15.75" customHeight="1">
      <c r="S1481" s="454"/>
      <c r="BC1481" s="169"/>
    </row>
    <row r="1482" spans="19:55" ht="15.75" customHeight="1">
      <c r="S1482" s="454"/>
      <c r="BC1482" s="169"/>
    </row>
    <row r="1483" spans="19:55" ht="15.75" customHeight="1">
      <c r="S1483" s="454"/>
      <c r="BC1483" s="169"/>
    </row>
    <row r="1484" spans="19:55" ht="15.75" customHeight="1">
      <c r="S1484" s="454"/>
      <c r="BC1484" s="169"/>
    </row>
    <row r="1485" spans="19:55" ht="15.75" customHeight="1">
      <c r="S1485" s="454"/>
      <c r="BC1485" s="169"/>
    </row>
    <row r="1486" spans="19:55" ht="15.75" customHeight="1">
      <c r="S1486" s="454"/>
      <c r="BC1486" s="169"/>
    </row>
    <row r="1487" spans="19:55" ht="15.75" customHeight="1">
      <c r="S1487" s="454"/>
      <c r="BC1487" s="169"/>
    </row>
    <row r="1488" spans="19:55" ht="15.75" customHeight="1">
      <c r="S1488" s="454"/>
      <c r="BC1488" s="169"/>
    </row>
    <row r="1489" spans="19:55" ht="15.75" customHeight="1">
      <c r="S1489" s="454"/>
      <c r="BC1489" s="169"/>
    </row>
    <row r="1490" spans="19:55" ht="15.75" customHeight="1">
      <c r="S1490" s="454"/>
      <c r="BC1490" s="169"/>
    </row>
    <row r="1491" spans="19:55" ht="15.75" customHeight="1">
      <c r="S1491" s="454"/>
      <c r="BC1491" s="169"/>
    </row>
    <row r="1492" spans="19:55" ht="15.75" customHeight="1">
      <c r="S1492" s="454"/>
      <c r="BC1492" s="169"/>
    </row>
    <row r="1493" spans="19:55" ht="15.75" customHeight="1">
      <c r="S1493" s="454"/>
      <c r="BC1493" s="169"/>
    </row>
    <row r="1494" spans="19:55" ht="15.75" customHeight="1">
      <c r="BC1494" s="169"/>
    </row>
    <row r="1495" spans="19:55" ht="15.75" customHeight="1">
      <c r="BC1495" s="169"/>
    </row>
    <row r="1496" spans="19:55" ht="15.75" customHeight="1">
      <c r="BC1496" s="169"/>
    </row>
    <row r="1497" spans="19:55" ht="15.75" customHeight="1">
      <c r="BC1497" s="169"/>
    </row>
    <row r="1498" spans="19:55" ht="15.75" customHeight="1">
      <c r="BC1498" s="169"/>
    </row>
    <row r="1499" spans="19:55" ht="15.75" customHeight="1">
      <c r="BC1499" s="169"/>
    </row>
    <row r="1500" spans="19:55" ht="15.75" customHeight="1">
      <c r="BC1500" s="169"/>
    </row>
    <row r="1501" spans="19:55" ht="15.75" customHeight="1">
      <c r="BC1501" s="169"/>
    </row>
    <row r="1502" spans="19:55" ht="15.75" customHeight="1">
      <c r="BC1502" s="169"/>
    </row>
    <row r="1503" spans="19:55" ht="15.75" customHeight="1">
      <c r="BC1503" s="169"/>
    </row>
    <row r="1504" spans="19:55" ht="15.75" customHeight="1">
      <c r="BC1504" s="169"/>
    </row>
    <row r="1505" spans="55:55" ht="15.75" customHeight="1">
      <c r="BC1505" s="169"/>
    </row>
    <row r="1506" spans="55:55" ht="15.75" customHeight="1">
      <c r="BC1506" s="169"/>
    </row>
    <row r="1507" spans="55:55" ht="15.75" customHeight="1">
      <c r="BC1507" s="169"/>
    </row>
    <row r="1508" spans="55:55" ht="15.75" customHeight="1">
      <c r="BC1508" s="169"/>
    </row>
    <row r="1509" spans="55:55" ht="15.75" customHeight="1">
      <c r="BC1509" s="169"/>
    </row>
    <row r="1510" spans="55:55" ht="15.75" customHeight="1">
      <c r="BC1510" s="169"/>
    </row>
    <row r="1511" spans="55:55" ht="15.75" customHeight="1">
      <c r="BC1511" s="169"/>
    </row>
    <row r="1512" spans="55:55" ht="15.75" customHeight="1">
      <c r="BC1512" s="169"/>
    </row>
    <row r="1513" spans="55:55" ht="15.75" customHeight="1">
      <c r="BC1513" s="169"/>
    </row>
    <row r="1514" spans="55:55" ht="15.75" customHeight="1">
      <c r="BC1514" s="169"/>
    </row>
    <row r="1515" spans="55:55" ht="15.75" customHeight="1">
      <c r="BC1515" s="169"/>
    </row>
    <row r="1516" spans="55:55" ht="15.75" customHeight="1">
      <c r="BC1516" s="169"/>
    </row>
    <row r="1517" spans="55:55" ht="15.75" customHeight="1">
      <c r="BC1517" s="169"/>
    </row>
    <row r="1518" spans="55:55" ht="15.75" customHeight="1">
      <c r="BC1518" s="169"/>
    </row>
    <row r="1519" spans="55:55" ht="15.75" customHeight="1">
      <c r="BC1519" s="169"/>
    </row>
    <row r="1520" spans="55:55" ht="15.75" customHeight="1">
      <c r="BC1520" s="169"/>
    </row>
    <row r="1521" spans="55:55" ht="15.75" customHeight="1">
      <c r="BC1521" s="169"/>
    </row>
    <row r="1522" spans="55:55" ht="15.75" customHeight="1">
      <c r="BC1522" s="169"/>
    </row>
    <row r="1523" spans="55:55" ht="15.75" customHeight="1">
      <c r="BC1523" s="169"/>
    </row>
    <row r="1524" spans="55:55" ht="15.75" customHeight="1">
      <c r="BC1524" s="169"/>
    </row>
    <row r="1525" spans="55:55" ht="15.75" customHeight="1">
      <c r="BC1525" s="169"/>
    </row>
    <row r="1526" spans="55:55" ht="15.75" customHeight="1">
      <c r="BC1526" s="169"/>
    </row>
    <row r="1527" spans="55:55" ht="15.75" customHeight="1">
      <c r="BC1527" s="169"/>
    </row>
    <row r="1528" spans="55:55" ht="15.75" customHeight="1">
      <c r="BC1528" s="169"/>
    </row>
    <row r="1529" spans="55:55" ht="15.75" customHeight="1">
      <c r="BC1529" s="169"/>
    </row>
    <row r="1530" spans="55:55" ht="15.75" customHeight="1">
      <c r="BC1530" s="169"/>
    </row>
    <row r="1531" spans="55:55" ht="15.75" customHeight="1">
      <c r="BC1531" s="169"/>
    </row>
    <row r="1532" spans="55:55" ht="15.75" customHeight="1">
      <c r="BC1532" s="169"/>
    </row>
    <row r="1533" spans="55:55" ht="15.75" customHeight="1">
      <c r="BC1533" s="169"/>
    </row>
    <row r="1534" spans="55:55" ht="15.75" customHeight="1">
      <c r="BC1534" s="169"/>
    </row>
    <row r="1535" spans="55:55" ht="15.75" customHeight="1">
      <c r="BC1535" s="169"/>
    </row>
    <row r="1536" spans="55:55" ht="15.75" customHeight="1">
      <c r="BC1536" s="169"/>
    </row>
    <row r="1537" spans="55:55" ht="15.75" customHeight="1">
      <c r="BC1537" s="169"/>
    </row>
    <row r="1538" spans="55:55" ht="15.75" customHeight="1">
      <c r="BC1538" s="169"/>
    </row>
    <row r="1539" spans="55:55" ht="15.75" customHeight="1">
      <c r="BC1539" s="169"/>
    </row>
    <row r="1540" spans="55:55" ht="15.75" customHeight="1">
      <c r="BC1540" s="169"/>
    </row>
    <row r="1541" spans="55:55" ht="15.75" customHeight="1">
      <c r="BC1541" s="169"/>
    </row>
    <row r="1542" spans="55:55" ht="15.75" customHeight="1">
      <c r="BC1542" s="169"/>
    </row>
    <row r="1543" spans="55:55" ht="15.75" customHeight="1">
      <c r="BC1543" s="169"/>
    </row>
    <row r="1544" spans="55:55" ht="15.75" customHeight="1">
      <c r="BC1544" s="169"/>
    </row>
    <row r="1545" spans="55:55" ht="15.75" customHeight="1">
      <c r="BC1545" s="169"/>
    </row>
    <row r="1546" spans="55:55" ht="15.75" customHeight="1">
      <c r="BC1546" s="169"/>
    </row>
    <row r="1547" spans="55:55" ht="15.75" customHeight="1">
      <c r="BC1547" s="169"/>
    </row>
    <row r="1548" spans="55:55" ht="15.75" customHeight="1">
      <c r="BC1548" s="169"/>
    </row>
    <row r="1549" spans="55:55" ht="15.75" customHeight="1">
      <c r="BC1549" s="169"/>
    </row>
    <row r="1550" spans="55:55" ht="15.75" customHeight="1">
      <c r="BC1550" s="169"/>
    </row>
    <row r="1551" spans="55:55" ht="15.75" customHeight="1">
      <c r="BC1551" s="169"/>
    </row>
    <row r="1552" spans="55:55" ht="15.75" customHeight="1">
      <c r="BC1552" s="169"/>
    </row>
    <row r="1553" spans="55:55" ht="15.75" customHeight="1">
      <c r="BC1553" s="169"/>
    </row>
    <row r="1554" spans="55:55" ht="15.75" customHeight="1">
      <c r="BC1554" s="169"/>
    </row>
    <row r="1555" spans="55:55" ht="15.75" customHeight="1">
      <c r="BC1555" s="169"/>
    </row>
    <row r="1556" spans="55:55" ht="15.75" customHeight="1">
      <c r="BC1556" s="169"/>
    </row>
    <row r="1557" spans="55:55" ht="15.75" customHeight="1">
      <c r="BC1557" s="169"/>
    </row>
    <row r="1558" spans="55:55" ht="15.75" customHeight="1">
      <c r="BC1558" s="169"/>
    </row>
    <row r="1559" spans="55:55" ht="15.75" customHeight="1">
      <c r="BC1559" s="169"/>
    </row>
    <row r="1560" spans="55:55" ht="15.75" customHeight="1">
      <c r="BC1560" s="169"/>
    </row>
    <row r="1561" spans="55:55" ht="15.75" customHeight="1">
      <c r="BC1561" s="169"/>
    </row>
    <row r="1562" spans="55:55" ht="15.75" customHeight="1">
      <c r="BC1562" s="169"/>
    </row>
    <row r="1563" spans="55:55" ht="15.75" customHeight="1">
      <c r="BC1563" s="169"/>
    </row>
    <row r="1564" spans="55:55" ht="15.75" customHeight="1">
      <c r="BC1564" s="169"/>
    </row>
    <row r="1565" spans="55:55" ht="15.75" customHeight="1">
      <c r="BC1565" s="169"/>
    </row>
    <row r="1566" spans="55:55" ht="15.75" customHeight="1">
      <c r="BC1566" s="169"/>
    </row>
    <row r="1567" spans="55:55" ht="15.75" customHeight="1">
      <c r="BC1567" s="169"/>
    </row>
    <row r="1568" spans="55:55" ht="15.75" customHeight="1">
      <c r="BC1568" s="169"/>
    </row>
    <row r="1569" spans="55:55" ht="15.75" customHeight="1">
      <c r="BC1569" s="169"/>
    </row>
    <row r="1570" spans="55:55" ht="15.75" customHeight="1">
      <c r="BC1570" s="169"/>
    </row>
    <row r="1571" spans="55:55" ht="15.75" customHeight="1">
      <c r="BC1571" s="169"/>
    </row>
    <row r="1572" spans="55:55" ht="15.75" customHeight="1">
      <c r="BC1572" s="169"/>
    </row>
    <row r="1573" spans="55:55" ht="15.75" customHeight="1">
      <c r="BC1573" s="169"/>
    </row>
    <row r="1574" spans="55:55" ht="15.75" customHeight="1">
      <c r="BC1574" s="169"/>
    </row>
    <row r="1575" spans="55:55" ht="15.75" customHeight="1">
      <c r="BC1575" s="169"/>
    </row>
    <row r="1576" spans="55:55" ht="15.75" customHeight="1">
      <c r="BC1576" s="169"/>
    </row>
    <row r="1577" spans="55:55" ht="15.75" customHeight="1">
      <c r="BC1577" s="169"/>
    </row>
    <row r="1578" spans="55:55" ht="15.75" customHeight="1">
      <c r="BC1578" s="169"/>
    </row>
    <row r="1579" spans="55:55" ht="15.75" customHeight="1">
      <c r="BC1579" s="169"/>
    </row>
    <row r="1580" spans="55:55" ht="15.75" customHeight="1">
      <c r="BC1580" s="169"/>
    </row>
    <row r="1581" spans="55:55" ht="15.75" customHeight="1">
      <c r="BC1581" s="169"/>
    </row>
    <row r="1582" spans="55:55" ht="15.75" customHeight="1">
      <c r="BC1582" s="169"/>
    </row>
    <row r="1583" spans="55:55" ht="15.75" customHeight="1">
      <c r="BC1583" s="169"/>
    </row>
    <row r="1584" spans="55:55" ht="15.75" customHeight="1">
      <c r="BC1584" s="169"/>
    </row>
    <row r="1585" spans="55:55" ht="15.75" customHeight="1">
      <c r="BC1585" s="169"/>
    </row>
    <row r="1586" spans="55:55" ht="15.75" customHeight="1">
      <c r="BC1586" s="169"/>
    </row>
    <row r="1587" spans="55:55" ht="15.75" customHeight="1">
      <c r="BC1587" s="169"/>
    </row>
    <row r="1588" spans="55:55" ht="15.75" customHeight="1">
      <c r="BC1588" s="169"/>
    </row>
    <row r="1589" spans="55:55" ht="15.75" customHeight="1">
      <c r="BC1589" s="169"/>
    </row>
    <row r="1590" spans="55:55" ht="15.75" customHeight="1">
      <c r="BC1590" s="169"/>
    </row>
    <row r="1591" spans="55:55" ht="15.75" customHeight="1">
      <c r="BC1591" s="169"/>
    </row>
    <row r="1592" spans="55:55" ht="15.75" customHeight="1">
      <c r="BC1592" s="169"/>
    </row>
    <row r="1593" spans="55:55" ht="15.75" customHeight="1">
      <c r="BC1593" s="169"/>
    </row>
    <row r="1594" spans="55:55" ht="15.75" customHeight="1">
      <c r="BC1594" s="169"/>
    </row>
    <row r="1595" spans="55:55" ht="15.75" customHeight="1">
      <c r="BC1595" s="169"/>
    </row>
    <row r="1596" spans="55:55" ht="15.75" customHeight="1">
      <c r="BC1596" s="169"/>
    </row>
    <row r="1597" spans="55:55" ht="15.75" customHeight="1">
      <c r="BC1597" s="169"/>
    </row>
    <row r="1598" spans="55:55" ht="15.75" customHeight="1">
      <c r="BC1598" s="169"/>
    </row>
    <row r="1599" spans="55:55" ht="15.75" customHeight="1">
      <c r="BC1599" s="169"/>
    </row>
    <row r="1600" spans="55:55" ht="15.75" customHeight="1">
      <c r="BC1600" s="169"/>
    </row>
    <row r="1601" spans="55:55" ht="15.75" customHeight="1">
      <c r="BC1601" s="169"/>
    </row>
    <row r="1602" spans="55:55" ht="15.75" customHeight="1">
      <c r="BC1602" s="169"/>
    </row>
    <row r="1603" spans="55:55" ht="15.75" customHeight="1">
      <c r="BC1603" s="169"/>
    </row>
    <row r="1604" spans="55:55" ht="15.75" customHeight="1">
      <c r="BC1604" s="169"/>
    </row>
    <row r="1605" spans="55:55" ht="15.75" customHeight="1">
      <c r="BC1605" s="169"/>
    </row>
    <row r="1606" spans="55:55" ht="15.75" customHeight="1">
      <c r="BC1606" s="169"/>
    </row>
    <row r="1607" spans="55:55" ht="15.75" customHeight="1">
      <c r="BC1607" s="169"/>
    </row>
    <row r="1608" spans="55:55" ht="15.75" customHeight="1">
      <c r="BC1608" s="169"/>
    </row>
    <row r="1609" spans="55:55" ht="15.75" customHeight="1">
      <c r="BC1609" s="169"/>
    </row>
    <row r="1610" spans="55:55" ht="15.75" customHeight="1">
      <c r="BC1610" s="169"/>
    </row>
    <row r="1611" spans="55:55" ht="15.75" customHeight="1">
      <c r="BC1611" s="169"/>
    </row>
    <row r="1612" spans="55:55" ht="15.75" customHeight="1">
      <c r="BC1612" s="169"/>
    </row>
    <row r="1613" spans="55:55" ht="15.75" customHeight="1">
      <c r="BC1613" s="169"/>
    </row>
    <row r="1614" spans="55:55" ht="15.75" customHeight="1">
      <c r="BC1614" s="169"/>
    </row>
    <row r="1615" spans="55:55" ht="15.75" customHeight="1">
      <c r="BC1615" s="169"/>
    </row>
    <row r="1616" spans="55:55" ht="15.75" customHeight="1">
      <c r="BC1616" s="169"/>
    </row>
    <row r="1617" spans="55:55" ht="15.75" customHeight="1">
      <c r="BC1617" s="169"/>
    </row>
    <row r="1618" spans="55:55" ht="15.75" customHeight="1">
      <c r="BC1618" s="169"/>
    </row>
    <row r="1619" spans="55:55" ht="15.75" customHeight="1">
      <c r="BC1619" s="169"/>
    </row>
    <row r="1620" spans="55:55" ht="15.75" customHeight="1">
      <c r="BC1620" s="169"/>
    </row>
    <row r="1621" spans="55:55" ht="15.75" customHeight="1">
      <c r="BC1621" s="169"/>
    </row>
    <row r="1622" spans="55:55" ht="15.75" customHeight="1">
      <c r="BC1622" s="169"/>
    </row>
    <row r="1623" spans="55:55" ht="15.75" customHeight="1">
      <c r="BC1623" s="169"/>
    </row>
    <row r="1624" spans="55:55" ht="15.75" customHeight="1">
      <c r="BC1624" s="169"/>
    </row>
    <row r="1625" spans="55:55" ht="15.75" customHeight="1">
      <c r="BC1625" s="169"/>
    </row>
    <row r="1626" spans="55:55" ht="15.75" customHeight="1">
      <c r="BC1626" s="169"/>
    </row>
    <row r="1627" spans="55:55" ht="15.75" customHeight="1">
      <c r="BC1627" s="169"/>
    </row>
    <row r="1628" spans="55:55" ht="15.75" customHeight="1">
      <c r="BC1628" s="169"/>
    </row>
    <row r="1629" spans="55:55" ht="15.75" customHeight="1">
      <c r="BC1629" s="169"/>
    </row>
    <row r="1630" spans="55:55" ht="15.75" customHeight="1">
      <c r="BC1630" s="169"/>
    </row>
    <row r="1631" spans="55:55" ht="15.75" customHeight="1">
      <c r="BC1631" s="169"/>
    </row>
    <row r="1632" spans="55:55" ht="15.75" customHeight="1">
      <c r="BC1632" s="169"/>
    </row>
    <row r="1633" spans="55:55" ht="15.75" customHeight="1">
      <c r="BC1633" s="169"/>
    </row>
    <row r="1634" spans="55:55" ht="15.75" customHeight="1">
      <c r="BC1634" s="169"/>
    </row>
    <row r="1635" spans="55:55" ht="15.75" customHeight="1">
      <c r="BC1635" s="169"/>
    </row>
    <row r="1636" spans="55:55" ht="15.75" customHeight="1">
      <c r="BC1636" s="169"/>
    </row>
    <row r="1637" spans="55:55" ht="15.75" customHeight="1">
      <c r="BC1637" s="169"/>
    </row>
    <row r="1638" spans="55:55" ht="15.75" customHeight="1">
      <c r="BC1638" s="169"/>
    </row>
    <row r="1639" spans="55:55" ht="15.75" customHeight="1">
      <c r="BC1639" s="169"/>
    </row>
    <row r="1640" spans="55:55" ht="15.75" customHeight="1">
      <c r="BC1640" s="169"/>
    </row>
    <row r="1641" spans="55:55" ht="15.75" customHeight="1">
      <c r="BC1641" s="169"/>
    </row>
    <row r="1642" spans="55:55" ht="15.75" customHeight="1">
      <c r="BC1642" s="169"/>
    </row>
    <row r="1643" spans="55:55" ht="15.75" customHeight="1">
      <c r="BC1643" s="169"/>
    </row>
    <row r="1644" spans="55:55" ht="15.75" customHeight="1">
      <c r="BC1644" s="169"/>
    </row>
    <row r="1645" spans="55:55" ht="15.75" customHeight="1">
      <c r="BC1645" s="169"/>
    </row>
    <row r="1646" spans="55:55" ht="15.75" customHeight="1">
      <c r="BC1646" s="169"/>
    </row>
    <row r="1647" spans="55:55" ht="15.75" customHeight="1">
      <c r="BC1647" s="169"/>
    </row>
    <row r="1648" spans="55:55" ht="15.75" customHeight="1">
      <c r="BC1648" s="169"/>
    </row>
    <row r="1649" spans="55:55" ht="15.75" customHeight="1">
      <c r="BC1649" s="169"/>
    </row>
    <row r="1650" spans="55:55" ht="15.75" customHeight="1">
      <c r="BC1650" s="169"/>
    </row>
    <row r="1651" spans="55:55" ht="15.75" customHeight="1">
      <c r="BC1651" s="169"/>
    </row>
    <row r="1652" spans="55:55" ht="15.75" customHeight="1">
      <c r="BC1652" s="169"/>
    </row>
    <row r="1653" spans="55:55" ht="15.75" customHeight="1">
      <c r="BC1653" s="169"/>
    </row>
    <row r="1654" spans="55:55" ht="15.75" customHeight="1">
      <c r="BC1654" s="169"/>
    </row>
    <row r="1655" spans="55:55" ht="15.75" customHeight="1">
      <c r="BC1655" s="169"/>
    </row>
    <row r="1656" spans="55:55" ht="15.75" customHeight="1">
      <c r="BC1656" s="169"/>
    </row>
    <row r="1657" spans="55:55" ht="15.75" customHeight="1">
      <c r="BC1657" s="169"/>
    </row>
    <row r="1658" spans="55:55" ht="15.75" customHeight="1">
      <c r="BC1658" s="169"/>
    </row>
    <row r="1659" spans="55:55" ht="15.75" customHeight="1">
      <c r="BC1659" s="169"/>
    </row>
    <row r="1660" spans="55:55" ht="15.75" customHeight="1">
      <c r="BC1660" s="169"/>
    </row>
    <row r="1661" spans="55:55" ht="15.75" customHeight="1">
      <c r="BC1661" s="169"/>
    </row>
    <row r="1662" spans="55:55" ht="15.75" customHeight="1">
      <c r="BC1662" s="169"/>
    </row>
    <row r="1663" spans="55:55" ht="15.75" customHeight="1">
      <c r="BC1663" s="169"/>
    </row>
    <row r="1664" spans="55:55" ht="15.75" customHeight="1">
      <c r="BC1664" s="169"/>
    </row>
    <row r="1665" spans="55:55" ht="15.75" customHeight="1">
      <c r="BC1665" s="169"/>
    </row>
    <row r="1666" spans="55:55" ht="15.75" customHeight="1">
      <c r="BC1666" s="169"/>
    </row>
    <row r="1667" spans="55:55" ht="15.75" customHeight="1">
      <c r="BC1667" s="169"/>
    </row>
    <row r="1668" spans="55:55" ht="15.75" customHeight="1">
      <c r="BC1668" s="169"/>
    </row>
    <row r="1669" spans="55:55" ht="15.75" customHeight="1">
      <c r="BC1669" s="169"/>
    </row>
    <row r="1670" spans="55:55" ht="15.75" customHeight="1">
      <c r="BC1670" s="169"/>
    </row>
    <row r="1671" spans="55:55" ht="15.75" customHeight="1">
      <c r="BC1671" s="169"/>
    </row>
    <row r="1672" spans="55:55" ht="15.75" customHeight="1">
      <c r="BC1672" s="169"/>
    </row>
    <row r="1673" spans="55:55" ht="15.75" customHeight="1">
      <c r="BC1673" s="169"/>
    </row>
    <row r="1674" spans="55:55" ht="15.75" customHeight="1">
      <c r="BC1674" s="169"/>
    </row>
    <row r="1675" spans="55:55" ht="15.75" customHeight="1">
      <c r="BC1675" s="169"/>
    </row>
    <row r="1676" spans="55:55" ht="15.75" customHeight="1">
      <c r="BC1676" s="169"/>
    </row>
    <row r="1677" spans="55:55" ht="15.75" customHeight="1">
      <c r="BC1677" s="169"/>
    </row>
    <row r="1678" spans="55:55" ht="15.75" customHeight="1">
      <c r="BC1678" s="169"/>
    </row>
    <row r="1679" spans="55:55" ht="15.75" customHeight="1">
      <c r="BC1679" s="169"/>
    </row>
    <row r="1680" spans="55:55" ht="15.75" customHeight="1">
      <c r="BC1680" s="169"/>
    </row>
    <row r="1681" spans="55:55" ht="15.75" customHeight="1">
      <c r="BC1681" s="169"/>
    </row>
    <row r="1682" spans="55:55" ht="15.75" customHeight="1">
      <c r="BC1682" s="169"/>
    </row>
    <row r="1683" spans="55:55" ht="15.75" customHeight="1">
      <c r="BC1683" s="169"/>
    </row>
    <row r="1684" spans="55:55" ht="15.75" customHeight="1">
      <c r="BC1684" s="169"/>
    </row>
    <row r="1685" spans="55:55" ht="15.75" customHeight="1">
      <c r="BC1685" s="169"/>
    </row>
    <row r="1686" spans="55:55" ht="15.75" customHeight="1">
      <c r="BC1686" s="169"/>
    </row>
    <row r="1687" spans="55:55" ht="15.75" customHeight="1">
      <c r="BC1687" s="169"/>
    </row>
    <row r="1688" spans="55:55" ht="15.75" customHeight="1">
      <c r="BC1688" s="169"/>
    </row>
    <row r="1689" spans="55:55" ht="15.75" customHeight="1">
      <c r="BC1689" s="169"/>
    </row>
    <row r="1690" spans="55:55" ht="15.75" customHeight="1">
      <c r="BC1690" s="169"/>
    </row>
    <row r="1691" spans="55:55" ht="15.75" customHeight="1">
      <c r="BC1691" s="169"/>
    </row>
    <row r="1692" spans="55:55" ht="15.75" customHeight="1">
      <c r="BC1692" s="169"/>
    </row>
    <row r="1693" spans="55:55" ht="15.75" customHeight="1">
      <c r="BC1693" s="169"/>
    </row>
    <row r="1694" spans="55:55" ht="15.75" customHeight="1">
      <c r="BC1694" s="169"/>
    </row>
    <row r="1695" spans="55:55" ht="15.75" customHeight="1">
      <c r="BC1695" s="169"/>
    </row>
    <row r="1696" spans="55:55" ht="15.75" customHeight="1">
      <c r="BC1696" s="169"/>
    </row>
    <row r="1697" spans="55:55" ht="15.75" customHeight="1">
      <c r="BC1697" s="169"/>
    </row>
    <row r="1698" spans="55:55" ht="15.75" customHeight="1">
      <c r="BC1698" s="169"/>
    </row>
    <row r="1699" spans="55:55" ht="15.75" customHeight="1">
      <c r="BC1699" s="169"/>
    </row>
    <row r="1700" spans="55:55" ht="15.75" customHeight="1">
      <c r="BC1700" s="169"/>
    </row>
    <row r="1701" spans="55:55" ht="15.75" customHeight="1">
      <c r="BC1701" s="169"/>
    </row>
    <row r="1702" spans="55:55" ht="15.75" customHeight="1">
      <c r="BC1702" s="169"/>
    </row>
    <row r="1703" spans="55:55" ht="15.75" customHeight="1">
      <c r="BC1703" s="169"/>
    </row>
    <row r="1704" spans="55:55" ht="15.75" customHeight="1">
      <c r="BC1704" s="169"/>
    </row>
    <row r="1705" spans="55:55" ht="15.75" customHeight="1">
      <c r="BC1705" s="169"/>
    </row>
    <row r="1706" spans="55:55" ht="15.75" customHeight="1">
      <c r="BC1706" s="169"/>
    </row>
    <row r="1707" spans="55:55" ht="15.75" customHeight="1">
      <c r="BC1707" s="169"/>
    </row>
    <row r="1708" spans="55:55" ht="15.75" customHeight="1">
      <c r="BC1708" s="169"/>
    </row>
    <row r="1709" spans="55:55" ht="15.75" customHeight="1">
      <c r="BC1709" s="169"/>
    </row>
    <row r="1710" spans="55:55" ht="15.75" customHeight="1">
      <c r="BC1710" s="169"/>
    </row>
    <row r="1711" spans="55:55" ht="15.75" customHeight="1">
      <c r="BC1711" s="169"/>
    </row>
    <row r="1712" spans="55:55" ht="15.75" customHeight="1">
      <c r="BC1712" s="169"/>
    </row>
    <row r="1713" spans="55:55" ht="15.75" customHeight="1">
      <c r="BC1713" s="169"/>
    </row>
    <row r="1714" spans="55:55" ht="15.75" customHeight="1">
      <c r="BC1714" s="169"/>
    </row>
    <row r="1715" spans="55:55" ht="15.75" customHeight="1">
      <c r="BC1715" s="169"/>
    </row>
    <row r="1716" spans="55:55" ht="15.75" customHeight="1">
      <c r="BC1716" s="169"/>
    </row>
    <row r="1717" spans="55:55" ht="15.75" customHeight="1">
      <c r="BC1717" s="169"/>
    </row>
    <row r="1718" spans="55:55" ht="15.75" customHeight="1">
      <c r="BC1718" s="169"/>
    </row>
    <row r="1719" spans="55:55" ht="15.75" customHeight="1">
      <c r="BC1719" s="169"/>
    </row>
    <row r="1720" spans="55:55" ht="15.75" customHeight="1">
      <c r="BC1720" s="169"/>
    </row>
    <row r="1721" spans="55:55" ht="15.75" customHeight="1">
      <c r="BC1721" s="169"/>
    </row>
    <row r="1722" spans="55:55" ht="15.75" customHeight="1">
      <c r="BC1722" s="169"/>
    </row>
    <row r="1723" spans="55:55" ht="15.75" customHeight="1">
      <c r="BC1723" s="169"/>
    </row>
    <row r="1724" spans="55:55" ht="15.75" customHeight="1">
      <c r="BC1724" s="169"/>
    </row>
    <row r="1725" spans="55:55" ht="15.75" customHeight="1">
      <c r="BC1725" s="169"/>
    </row>
    <row r="1726" spans="55:55" ht="15.75" customHeight="1">
      <c r="BC1726" s="169"/>
    </row>
    <row r="1727" spans="55:55" ht="15.75" customHeight="1">
      <c r="BC1727" s="169"/>
    </row>
    <row r="1728" spans="55:55" ht="15.75" customHeight="1">
      <c r="BC1728" s="169"/>
    </row>
    <row r="1729" spans="55:55" ht="15.75" customHeight="1">
      <c r="BC1729" s="169"/>
    </row>
    <row r="1730" spans="55:55" ht="15.75" customHeight="1">
      <c r="BC1730" s="169"/>
    </row>
    <row r="1731" spans="55:55" ht="15.75" customHeight="1">
      <c r="BC1731" s="169"/>
    </row>
    <row r="1732" spans="55:55" ht="15.75" customHeight="1">
      <c r="BC1732" s="169"/>
    </row>
    <row r="1733" spans="55:55" ht="15.75" customHeight="1">
      <c r="BC1733" s="169"/>
    </row>
    <row r="1734" spans="55:55" ht="15.75" customHeight="1">
      <c r="BC1734" s="169"/>
    </row>
    <row r="1735" spans="55:55" ht="15.75" customHeight="1">
      <c r="BC1735" s="169"/>
    </row>
    <row r="1736" spans="55:55" ht="15.75" customHeight="1">
      <c r="BC1736" s="169"/>
    </row>
    <row r="1737" spans="55:55" ht="15.75" customHeight="1">
      <c r="BC1737" s="169"/>
    </row>
    <row r="1738" spans="55:55" ht="15.75" customHeight="1">
      <c r="BC1738" s="169"/>
    </row>
    <row r="1739" spans="55:55" ht="15.75" customHeight="1">
      <c r="BC1739" s="169"/>
    </row>
    <row r="1740" spans="55:55" ht="15.75" customHeight="1">
      <c r="BC1740" s="169"/>
    </row>
    <row r="1741" spans="55:55" ht="15.75" customHeight="1">
      <c r="BC1741" s="169"/>
    </row>
    <row r="1742" spans="55:55" ht="15.75" customHeight="1">
      <c r="BC1742" s="169"/>
    </row>
    <row r="1743" spans="55:55" ht="15.75" customHeight="1">
      <c r="BC1743" s="169"/>
    </row>
    <row r="1744" spans="55:55" ht="15.75" customHeight="1">
      <c r="BC1744" s="169"/>
    </row>
    <row r="1745" spans="55:55" ht="15.75" customHeight="1">
      <c r="BC1745" s="169"/>
    </row>
    <row r="1746" spans="55:55" ht="15.75" customHeight="1">
      <c r="BC1746" s="169"/>
    </row>
    <row r="1747" spans="55:55" ht="15.75" customHeight="1">
      <c r="BC1747" s="169"/>
    </row>
    <row r="1748" spans="55:55" ht="15.75" customHeight="1">
      <c r="BC1748" s="169"/>
    </row>
    <row r="1749" spans="55:55" ht="15.75" customHeight="1">
      <c r="BC1749" s="169"/>
    </row>
    <row r="1750" spans="55:55" ht="15.75" customHeight="1">
      <c r="BC1750" s="169"/>
    </row>
    <row r="1751" spans="55:55" ht="15.75" customHeight="1">
      <c r="BC1751" s="169"/>
    </row>
    <row r="1752" spans="55:55" ht="15.75" customHeight="1">
      <c r="BC1752" s="169"/>
    </row>
    <row r="1753" spans="55:55" ht="15.75" customHeight="1">
      <c r="BC1753" s="169"/>
    </row>
    <row r="1754" spans="55:55" ht="15.75" customHeight="1">
      <c r="BC1754" s="169"/>
    </row>
    <row r="1755" spans="55:55" ht="15.75" customHeight="1">
      <c r="BC1755" s="169"/>
    </row>
    <row r="1756" spans="55:55" ht="15.75" customHeight="1">
      <c r="BC1756" s="169"/>
    </row>
    <row r="1757" spans="55:55" ht="15.75" customHeight="1">
      <c r="BC1757" s="169"/>
    </row>
    <row r="1758" spans="55:55" ht="15.75" customHeight="1">
      <c r="BC1758" s="169"/>
    </row>
    <row r="1759" spans="55:55" ht="15.75" customHeight="1">
      <c r="BC1759" s="169"/>
    </row>
    <row r="1760" spans="55:55" ht="15.75" customHeight="1">
      <c r="BC1760" s="169"/>
    </row>
    <row r="1761" spans="55:55" ht="15.75" customHeight="1">
      <c r="BC1761" s="169"/>
    </row>
    <row r="1762" spans="55:55" ht="15.75" customHeight="1">
      <c r="BC1762" s="169"/>
    </row>
    <row r="1763" spans="55:55" ht="15.75" customHeight="1">
      <c r="BC1763" s="169"/>
    </row>
    <row r="1764" spans="55:55" ht="15.75" customHeight="1">
      <c r="BC1764" s="169"/>
    </row>
    <row r="1765" spans="55:55" ht="15.75" customHeight="1">
      <c r="BC1765" s="169"/>
    </row>
    <row r="1766" spans="55:55" ht="15.75" customHeight="1">
      <c r="BC1766" s="169"/>
    </row>
    <row r="1767" spans="55:55" ht="15.75" customHeight="1">
      <c r="BC1767" s="169"/>
    </row>
    <row r="1768" spans="55:55" ht="15.75" customHeight="1">
      <c r="BC1768" s="169"/>
    </row>
    <row r="1769" spans="55:55" ht="15.75" customHeight="1">
      <c r="BC1769" s="169"/>
    </row>
    <row r="1770" spans="55:55" ht="15.75" customHeight="1">
      <c r="BC1770" s="169"/>
    </row>
    <row r="1771" spans="55:55" ht="15.75" customHeight="1">
      <c r="BC1771" s="169"/>
    </row>
    <row r="1772" spans="55:55" ht="15.75" customHeight="1">
      <c r="BC1772" s="169"/>
    </row>
    <row r="1773" spans="55:55" ht="15.75" customHeight="1">
      <c r="BC1773" s="169"/>
    </row>
    <row r="1774" spans="55:55" ht="15.75" customHeight="1">
      <c r="BC1774" s="169"/>
    </row>
    <row r="1775" spans="55:55" ht="15.75" customHeight="1">
      <c r="BC1775" s="169"/>
    </row>
    <row r="1776" spans="55:55" ht="15.75" customHeight="1">
      <c r="BC1776" s="169"/>
    </row>
    <row r="1777" spans="55:55" ht="15.75" customHeight="1">
      <c r="BC1777" s="169"/>
    </row>
    <row r="1778" spans="55:55" ht="15.75" customHeight="1">
      <c r="BC1778" s="169"/>
    </row>
    <row r="1779" spans="55:55" ht="15.75" customHeight="1">
      <c r="BC1779" s="169"/>
    </row>
    <row r="1780" spans="55:55" ht="15.75" customHeight="1">
      <c r="BC1780" s="169"/>
    </row>
    <row r="1781" spans="55:55" ht="15.75" customHeight="1">
      <c r="BC1781" s="169"/>
    </row>
    <row r="1782" spans="55:55" ht="15.75" customHeight="1">
      <c r="BC1782" s="169"/>
    </row>
    <row r="1783" spans="55:55" ht="15.75" customHeight="1">
      <c r="BC1783" s="169"/>
    </row>
    <row r="1784" spans="55:55" ht="15.75" customHeight="1">
      <c r="BC1784" s="169"/>
    </row>
    <row r="1785" spans="55:55" ht="15.75" customHeight="1">
      <c r="BC1785" s="169"/>
    </row>
    <row r="1786" spans="55:55" ht="15.75" customHeight="1">
      <c r="BC1786" s="169"/>
    </row>
    <row r="1787" spans="55:55" ht="15.75" customHeight="1">
      <c r="BC1787" s="169"/>
    </row>
    <row r="1788" spans="55:55" ht="15.75" customHeight="1">
      <c r="BC1788" s="169"/>
    </row>
    <row r="1789" spans="55:55" ht="15.75" customHeight="1">
      <c r="BC1789" s="169"/>
    </row>
    <row r="1790" spans="55:55" ht="15.75" customHeight="1">
      <c r="BC1790" s="169"/>
    </row>
    <row r="1791" spans="55:55" ht="15.75" customHeight="1">
      <c r="BC1791" s="169"/>
    </row>
    <row r="1792" spans="55:55" ht="15.75" customHeight="1">
      <c r="BC1792" s="169"/>
    </row>
    <row r="1793" spans="55:55" ht="15.75" customHeight="1">
      <c r="BC1793" s="169"/>
    </row>
    <row r="1794" spans="55:55" ht="15.75" customHeight="1">
      <c r="BC1794" s="169"/>
    </row>
    <row r="1795" spans="55:55" ht="15.75" customHeight="1">
      <c r="BC1795" s="169"/>
    </row>
    <row r="1796" spans="55:55" ht="15.75" customHeight="1">
      <c r="BC1796" s="169"/>
    </row>
    <row r="1797" spans="55:55" ht="15.75" customHeight="1">
      <c r="BC1797" s="169"/>
    </row>
    <row r="1798" spans="55:55" ht="15.75" customHeight="1">
      <c r="BC1798" s="169"/>
    </row>
    <row r="1799" spans="55:55" ht="15.75" customHeight="1">
      <c r="BC1799" s="169"/>
    </row>
    <row r="1800" spans="55:55" ht="15.75" customHeight="1">
      <c r="BC1800" s="169"/>
    </row>
    <row r="1801" spans="55:55" ht="15.75" customHeight="1">
      <c r="BC1801" s="169"/>
    </row>
    <row r="1802" spans="55:55" ht="15.75" customHeight="1">
      <c r="BC1802" s="169"/>
    </row>
    <row r="1803" spans="55:55" ht="15.75" customHeight="1">
      <c r="BC1803" s="169"/>
    </row>
    <row r="1804" spans="55:55" ht="15.75" customHeight="1">
      <c r="BC1804" s="169"/>
    </row>
    <row r="1805" spans="55:55" ht="15.75" customHeight="1">
      <c r="BC1805" s="169"/>
    </row>
    <row r="1806" spans="55:55" ht="15.75" customHeight="1">
      <c r="BC1806" s="169"/>
    </row>
    <row r="1807" spans="55:55" ht="15.75" customHeight="1">
      <c r="BC1807" s="169"/>
    </row>
    <row r="1808" spans="55:55" ht="15.75" customHeight="1">
      <c r="BC1808" s="169"/>
    </row>
    <row r="1809" spans="55:55" ht="15.75" customHeight="1">
      <c r="BC1809" s="169"/>
    </row>
    <row r="1810" spans="55:55" ht="15.75" customHeight="1">
      <c r="BC1810" s="169"/>
    </row>
    <row r="1811" spans="55:55" ht="15.75" customHeight="1">
      <c r="BC1811" s="169"/>
    </row>
    <row r="1812" spans="55:55" ht="15.75" customHeight="1">
      <c r="BC1812" s="169"/>
    </row>
    <row r="1813" spans="55:55" ht="15.75" customHeight="1">
      <c r="BC1813" s="169"/>
    </row>
    <row r="1814" spans="55:55" ht="15.75" customHeight="1">
      <c r="BC1814" s="169"/>
    </row>
    <row r="1815" spans="55:55" ht="15.75" customHeight="1">
      <c r="BC1815" s="169"/>
    </row>
    <row r="1816" spans="55:55" ht="15.75" customHeight="1">
      <c r="BC1816" s="169"/>
    </row>
    <row r="1817" spans="55:55" ht="15.75" customHeight="1">
      <c r="BC1817" s="169"/>
    </row>
    <row r="1818" spans="55:55" ht="15.75" customHeight="1">
      <c r="BC1818" s="169"/>
    </row>
    <row r="1819" spans="55:55" ht="15.75" customHeight="1">
      <c r="BC1819" s="169"/>
    </row>
    <row r="1820" spans="55:55" ht="15.75" customHeight="1">
      <c r="BC1820" s="169"/>
    </row>
    <row r="1821" spans="55:55" ht="15.75" customHeight="1">
      <c r="BC1821" s="169"/>
    </row>
    <row r="1822" spans="55:55" ht="15.75" customHeight="1">
      <c r="BC1822" s="169"/>
    </row>
    <row r="1823" spans="55:55" ht="15.75" customHeight="1">
      <c r="BC1823" s="169"/>
    </row>
    <row r="1824" spans="55:55" ht="15.75" customHeight="1">
      <c r="BC1824" s="169"/>
    </row>
    <row r="1825" spans="55:55" ht="15.75" customHeight="1">
      <c r="BC1825" s="169"/>
    </row>
    <row r="1826" spans="55:55" ht="15.75" customHeight="1">
      <c r="BC1826" s="169"/>
    </row>
    <row r="1827" spans="55:55" ht="15.75" customHeight="1">
      <c r="BC1827" s="169"/>
    </row>
    <row r="1828" spans="55:55" ht="15.75" customHeight="1">
      <c r="BC1828" s="169"/>
    </row>
    <row r="1829" spans="55:55" ht="15.75" customHeight="1">
      <c r="BC1829" s="169"/>
    </row>
    <row r="1830" spans="55:55" ht="15.75" customHeight="1">
      <c r="BC1830" s="169"/>
    </row>
    <row r="1831" spans="55:55" ht="15.75" customHeight="1">
      <c r="BC1831" s="169"/>
    </row>
    <row r="1832" spans="55:55" ht="15.75" customHeight="1">
      <c r="BC1832" s="169"/>
    </row>
    <row r="1833" spans="55:55" ht="15.75" customHeight="1">
      <c r="BC1833" s="169"/>
    </row>
    <row r="1834" spans="55:55" ht="15.75" customHeight="1">
      <c r="BC1834" s="169"/>
    </row>
    <row r="1835" spans="55:55" ht="15.75" customHeight="1">
      <c r="BC1835" s="169"/>
    </row>
    <row r="1836" spans="55:55" ht="15.75" customHeight="1">
      <c r="BC1836" s="169"/>
    </row>
    <row r="1837" spans="55:55" ht="15.75" customHeight="1">
      <c r="BC1837" s="169"/>
    </row>
    <row r="1838" spans="55:55" ht="15.75" customHeight="1">
      <c r="BC1838" s="169"/>
    </row>
    <row r="1839" spans="55:55" ht="15.75" customHeight="1">
      <c r="BC1839" s="169"/>
    </row>
    <row r="1840" spans="55:55" ht="15.75" customHeight="1">
      <c r="BC1840" s="169"/>
    </row>
    <row r="1841" spans="55:55" ht="15.75" customHeight="1">
      <c r="BC1841" s="169"/>
    </row>
    <row r="1842" spans="55:55" ht="15.75" customHeight="1">
      <c r="BC1842" s="169"/>
    </row>
    <row r="1843" spans="55:55" ht="15.75" customHeight="1">
      <c r="BC1843" s="169"/>
    </row>
    <row r="1844" spans="55:55" ht="15.75" customHeight="1">
      <c r="BC1844" s="169"/>
    </row>
    <row r="1845" spans="55:55" ht="15.75" customHeight="1">
      <c r="BC1845" s="169"/>
    </row>
    <row r="1846" spans="55:55" ht="15.75" customHeight="1">
      <c r="BC1846" s="169"/>
    </row>
    <row r="1847" spans="55:55" ht="15.75" customHeight="1">
      <c r="BC1847" s="169"/>
    </row>
    <row r="1848" spans="55:55" ht="15.75" customHeight="1">
      <c r="BC1848" s="169"/>
    </row>
    <row r="1849" spans="55:55" ht="15.75" customHeight="1">
      <c r="BC1849" s="169"/>
    </row>
    <row r="1850" spans="55:55" ht="15.75" customHeight="1">
      <c r="BC1850" s="169"/>
    </row>
    <row r="1851" spans="55:55" ht="15.75" customHeight="1">
      <c r="BC1851" s="169"/>
    </row>
    <row r="1852" spans="55:55" ht="15.75" customHeight="1">
      <c r="BC1852" s="169"/>
    </row>
    <row r="1853" spans="55:55" ht="15.75" customHeight="1">
      <c r="BC1853" s="169"/>
    </row>
    <row r="1854" spans="55:55" ht="15.75" customHeight="1">
      <c r="BC1854" s="169"/>
    </row>
    <row r="1855" spans="55:55" ht="15.75" customHeight="1">
      <c r="BC1855" s="169"/>
    </row>
    <row r="1856" spans="55:55" ht="15.75" customHeight="1">
      <c r="BC1856" s="169"/>
    </row>
    <row r="1857" spans="55:55" ht="15.75" customHeight="1">
      <c r="BC1857" s="169"/>
    </row>
    <row r="1858" spans="55:55" ht="15.75" customHeight="1">
      <c r="BC1858" s="169"/>
    </row>
    <row r="1859" spans="55:55" ht="15.75" customHeight="1">
      <c r="BC1859" s="169"/>
    </row>
    <row r="1860" spans="55:55" ht="15.75" customHeight="1">
      <c r="BC1860" s="169"/>
    </row>
    <row r="1861" spans="55:55" ht="15.75" customHeight="1">
      <c r="BC1861" s="169"/>
    </row>
    <row r="1862" spans="55:55" ht="15.75" customHeight="1">
      <c r="BC1862" s="169"/>
    </row>
    <row r="1863" spans="55:55" ht="15.75" customHeight="1">
      <c r="BC1863" s="169"/>
    </row>
    <row r="1864" spans="55:55" ht="15.75" customHeight="1">
      <c r="BC1864" s="169"/>
    </row>
    <row r="1865" spans="55:55" ht="15.75" customHeight="1">
      <c r="BC1865" s="169"/>
    </row>
    <row r="1866" spans="55:55" ht="15.75" customHeight="1">
      <c r="BC1866" s="169"/>
    </row>
    <row r="1867" spans="55:55" ht="15.75" customHeight="1">
      <c r="BC1867" s="169"/>
    </row>
    <row r="1868" spans="55:55" ht="15.75" customHeight="1">
      <c r="BC1868" s="169"/>
    </row>
    <row r="1869" spans="55:55" ht="15.75" customHeight="1">
      <c r="BC1869" s="169"/>
    </row>
    <row r="1870" spans="55:55" ht="15.75" customHeight="1">
      <c r="BC1870" s="169"/>
    </row>
    <row r="1871" spans="55:55" ht="15.75" customHeight="1">
      <c r="BC1871" s="169"/>
    </row>
    <row r="1872" spans="55:55" ht="15.75" customHeight="1">
      <c r="BC1872" s="169"/>
    </row>
    <row r="1873" spans="55:55" ht="15.75" customHeight="1">
      <c r="BC1873" s="169"/>
    </row>
    <row r="1874" spans="55:55" ht="15.75" customHeight="1">
      <c r="BC1874" s="169"/>
    </row>
    <row r="1875" spans="55:55" ht="15.75" customHeight="1">
      <c r="BC1875" s="169"/>
    </row>
    <row r="1876" spans="55:55" ht="15.75" customHeight="1">
      <c r="BC1876" s="169"/>
    </row>
    <row r="1877" spans="55:55" ht="15.75" customHeight="1">
      <c r="BC1877" s="169"/>
    </row>
    <row r="1878" spans="55:55" ht="15.75" customHeight="1">
      <c r="BC1878" s="169"/>
    </row>
    <row r="1879" spans="55:55" ht="15.75" customHeight="1">
      <c r="BC1879" s="169"/>
    </row>
    <row r="1880" spans="55:55" ht="15.75" customHeight="1">
      <c r="BC1880" s="169"/>
    </row>
    <row r="1881" spans="55:55" ht="15.75" customHeight="1">
      <c r="BC1881" s="169"/>
    </row>
    <row r="1882" spans="55:55" ht="15.75" customHeight="1">
      <c r="BC1882" s="169"/>
    </row>
    <row r="1883" spans="55:55" ht="15.75" customHeight="1">
      <c r="BC1883" s="169"/>
    </row>
    <row r="1884" spans="55:55" ht="15.75" customHeight="1">
      <c r="BC1884" s="169"/>
    </row>
    <row r="1885" spans="55:55" ht="15.75" customHeight="1">
      <c r="BC1885" s="169"/>
    </row>
    <row r="1886" spans="55:55" ht="15.75" customHeight="1">
      <c r="BC1886" s="169"/>
    </row>
    <row r="1887" spans="55:55" ht="15.75" customHeight="1">
      <c r="BC1887" s="169"/>
    </row>
    <row r="1888" spans="55:55" ht="15.75" customHeight="1">
      <c r="BC1888" s="169"/>
    </row>
    <row r="1889" spans="55:55" ht="15.75" customHeight="1">
      <c r="BC1889" s="169"/>
    </row>
    <row r="1890" spans="55:55" ht="15.75" customHeight="1">
      <c r="BC1890" s="169"/>
    </row>
    <row r="1891" spans="55:55" ht="15.75" customHeight="1">
      <c r="BC1891" s="169"/>
    </row>
    <row r="1892" spans="55:55" ht="15.75" customHeight="1">
      <c r="BC1892" s="169"/>
    </row>
    <row r="1893" spans="55:55" ht="15.75" customHeight="1">
      <c r="BC1893" s="169"/>
    </row>
    <row r="1894" spans="55:55" ht="15.75" customHeight="1">
      <c r="BC1894" s="169"/>
    </row>
    <row r="1895" spans="55:55" ht="15.75" customHeight="1">
      <c r="BC1895" s="169"/>
    </row>
    <row r="1896" spans="55:55" ht="15.75" customHeight="1">
      <c r="BC1896" s="169"/>
    </row>
    <row r="1897" spans="55:55" ht="15.75" customHeight="1">
      <c r="BC1897" s="169"/>
    </row>
    <row r="1898" spans="55:55" ht="15.75" customHeight="1">
      <c r="BC1898" s="169"/>
    </row>
    <row r="1899" spans="55:55" ht="15.75" customHeight="1">
      <c r="BC1899" s="169"/>
    </row>
    <row r="1900" spans="55:55" ht="15.75" customHeight="1">
      <c r="BC1900" s="169"/>
    </row>
    <row r="1901" spans="55:55" ht="15.75" customHeight="1">
      <c r="BC1901" s="169"/>
    </row>
    <row r="1902" spans="55:55" ht="15.75" customHeight="1">
      <c r="BC1902" s="169"/>
    </row>
    <row r="1903" spans="55:55" ht="15.75" customHeight="1">
      <c r="BC1903" s="169"/>
    </row>
    <row r="1904" spans="55:55" ht="15.75" customHeight="1">
      <c r="BC1904" s="169"/>
    </row>
    <row r="1905" spans="55:55" ht="15.75" customHeight="1">
      <c r="BC1905" s="169"/>
    </row>
    <row r="1906" spans="55:55" ht="15.75" customHeight="1">
      <c r="BC1906" s="169"/>
    </row>
    <row r="1907" spans="55:55" ht="15.75" customHeight="1">
      <c r="BC1907" s="169"/>
    </row>
    <row r="1908" spans="55:55" ht="15.75" customHeight="1">
      <c r="BC1908" s="169"/>
    </row>
    <row r="1909" spans="55:55" ht="15.75" customHeight="1">
      <c r="BC1909" s="169"/>
    </row>
    <row r="1910" spans="55:55" ht="15.75" customHeight="1">
      <c r="BC1910" s="169"/>
    </row>
    <row r="1911" spans="55:55" ht="15.75" customHeight="1">
      <c r="BC1911" s="169"/>
    </row>
    <row r="1912" spans="55:55" ht="15.75" customHeight="1">
      <c r="BC1912" s="169"/>
    </row>
    <row r="1913" spans="55:55" ht="15.75" customHeight="1">
      <c r="BC1913" s="169"/>
    </row>
    <row r="1914" spans="55:55" ht="15.75" customHeight="1">
      <c r="BC1914" s="169"/>
    </row>
    <row r="1915" spans="55:55" ht="15.75" customHeight="1">
      <c r="BC1915" s="169"/>
    </row>
    <row r="1916" spans="55:55" ht="15.75" customHeight="1">
      <c r="BC1916" s="169"/>
    </row>
    <row r="1917" spans="55:55" ht="15.75" customHeight="1">
      <c r="BC1917" s="169"/>
    </row>
    <row r="1918" spans="55:55" ht="15.75" customHeight="1">
      <c r="BC1918" s="169"/>
    </row>
    <row r="1919" spans="55:55" ht="15.75" customHeight="1">
      <c r="BC1919" s="169"/>
    </row>
    <row r="1920" spans="55:55" ht="15.75" customHeight="1">
      <c r="BC1920" s="169"/>
    </row>
    <row r="1921" spans="55:55" ht="15.75" customHeight="1">
      <c r="BC1921" s="169"/>
    </row>
    <row r="1922" spans="55:55" ht="15.75" customHeight="1">
      <c r="BC1922" s="169"/>
    </row>
    <row r="1923" spans="55:55" ht="15.75" customHeight="1">
      <c r="BC1923" s="169"/>
    </row>
    <row r="1924" spans="55:55" ht="15.75" customHeight="1">
      <c r="BC1924" s="169"/>
    </row>
    <row r="1925" spans="55:55" ht="15.75" customHeight="1">
      <c r="BC1925" s="169"/>
    </row>
    <row r="1926" spans="55:55" ht="15.75" customHeight="1">
      <c r="BC1926" s="169"/>
    </row>
    <row r="1927" spans="55:55" ht="15.75" customHeight="1">
      <c r="BC1927" s="169"/>
    </row>
    <row r="1928" spans="55:55" ht="15.75" customHeight="1">
      <c r="BC1928" s="169"/>
    </row>
    <row r="1929" spans="55:55" ht="15.75" customHeight="1">
      <c r="BC1929" s="169"/>
    </row>
    <row r="1930" spans="55:55" ht="15.75" customHeight="1">
      <c r="BC1930" s="169"/>
    </row>
    <row r="1931" spans="55:55" ht="15.75" customHeight="1">
      <c r="BC1931" s="169"/>
    </row>
    <row r="1932" spans="55:55" ht="15.75" customHeight="1">
      <c r="BC1932" s="169"/>
    </row>
    <row r="1933" spans="55:55" ht="15.75" customHeight="1">
      <c r="BC1933" s="169"/>
    </row>
    <row r="1934" spans="55:55" ht="15.75" customHeight="1">
      <c r="BC1934" s="169"/>
    </row>
    <row r="1935" spans="55:55" ht="15.75" customHeight="1">
      <c r="BC1935" s="169"/>
    </row>
    <row r="1936" spans="55:55" ht="15.75" customHeight="1">
      <c r="BC1936" s="169"/>
    </row>
    <row r="1937" spans="55:55" ht="15.75" customHeight="1">
      <c r="BC1937" s="169"/>
    </row>
    <row r="1938" spans="55:55" ht="15.75" customHeight="1">
      <c r="BC1938" s="169"/>
    </row>
    <row r="1939" spans="55:55" ht="15.75" customHeight="1">
      <c r="BC1939" s="169"/>
    </row>
    <row r="1940" spans="55:55" ht="15.75" customHeight="1">
      <c r="BC1940" s="169"/>
    </row>
    <row r="1941" spans="55:55" ht="15.75" customHeight="1">
      <c r="BC1941" s="169"/>
    </row>
    <row r="1942" spans="55:55" ht="15.75" customHeight="1">
      <c r="BC1942" s="169"/>
    </row>
    <row r="1943" spans="55:55" ht="15.75" customHeight="1">
      <c r="BC1943" s="169"/>
    </row>
    <row r="1944" spans="55:55" ht="15.75" customHeight="1">
      <c r="BC1944" s="169"/>
    </row>
    <row r="1945" spans="55:55" ht="15.75" customHeight="1">
      <c r="BC1945" s="169"/>
    </row>
    <row r="1946" spans="55:55" ht="15.75" customHeight="1">
      <c r="BC1946" s="169"/>
    </row>
    <row r="1947" spans="55:55" ht="15.75" customHeight="1">
      <c r="BC1947" s="169"/>
    </row>
    <row r="1948" spans="55:55" ht="15.75" customHeight="1">
      <c r="BC1948" s="169"/>
    </row>
    <row r="1949" spans="55:55" ht="15.75" customHeight="1">
      <c r="BC1949" s="169"/>
    </row>
    <row r="1950" spans="55:55" ht="15.75" customHeight="1">
      <c r="BC1950" s="169"/>
    </row>
    <row r="1951" spans="55:55" ht="15.75" customHeight="1">
      <c r="BC1951" s="169"/>
    </row>
    <row r="1952" spans="55:55" ht="15.75" customHeight="1">
      <c r="BC1952" s="169"/>
    </row>
    <row r="1953" spans="55:55" ht="15.75" customHeight="1">
      <c r="BC1953" s="169"/>
    </row>
    <row r="1954" spans="55:55" ht="15.75" customHeight="1">
      <c r="BC1954" s="169"/>
    </row>
    <row r="1955" spans="55:55" ht="15.75" customHeight="1">
      <c r="BC1955" s="169"/>
    </row>
    <row r="1956" spans="55:55" ht="15.75" customHeight="1">
      <c r="BC1956" s="169"/>
    </row>
    <row r="1957" spans="55:55" ht="15.75" customHeight="1">
      <c r="BC1957" s="169"/>
    </row>
    <row r="1958" spans="55:55" ht="15.75" customHeight="1">
      <c r="BC1958" s="169"/>
    </row>
    <row r="1959" spans="55:55" ht="15.75" customHeight="1">
      <c r="BC1959" s="169"/>
    </row>
    <row r="1960" spans="55:55" ht="15.75" customHeight="1">
      <c r="BC1960" s="169"/>
    </row>
    <row r="1961" spans="55:55" ht="15.75" customHeight="1">
      <c r="BC1961" s="169"/>
    </row>
    <row r="1962" spans="55:55" ht="15.75" customHeight="1">
      <c r="BC1962" s="169"/>
    </row>
    <row r="1963" spans="55:55" ht="15.75" customHeight="1">
      <c r="BC1963" s="169"/>
    </row>
    <row r="1964" spans="55:55" ht="15.75" customHeight="1">
      <c r="BC1964" s="169"/>
    </row>
    <row r="1965" spans="55:55" ht="15.75" customHeight="1">
      <c r="BC1965" s="169"/>
    </row>
    <row r="1966" spans="55:55" ht="15.75" customHeight="1">
      <c r="BC1966" s="169"/>
    </row>
    <row r="1967" spans="55:55" ht="15.75" customHeight="1">
      <c r="BC1967" s="169"/>
    </row>
    <row r="1968" spans="55:55" ht="15.75" customHeight="1">
      <c r="BC1968" s="169"/>
    </row>
    <row r="1969" spans="55:55" ht="15.75" customHeight="1">
      <c r="BC1969" s="169"/>
    </row>
    <row r="1970" spans="55:55" ht="15.75" customHeight="1">
      <c r="BC1970" s="169"/>
    </row>
    <row r="1971" spans="55:55" ht="15.75" customHeight="1">
      <c r="BC1971" s="169"/>
    </row>
    <row r="1972" spans="55:55" ht="15.75" customHeight="1">
      <c r="BC1972" s="169"/>
    </row>
    <row r="1973" spans="55:55" ht="15.75" customHeight="1">
      <c r="BC1973" s="169"/>
    </row>
    <row r="1974" spans="55:55" ht="15.75" customHeight="1">
      <c r="BC1974" s="169"/>
    </row>
    <row r="1975" spans="55:55" ht="15.75" customHeight="1">
      <c r="BC1975" s="169"/>
    </row>
    <row r="1976" spans="55:55" ht="15.75" customHeight="1">
      <c r="BC1976" s="169"/>
    </row>
    <row r="1977" spans="55:55" ht="15.75" customHeight="1">
      <c r="BC1977" s="169"/>
    </row>
    <row r="1978" spans="55:55" ht="15.75" customHeight="1">
      <c r="BC1978" s="169"/>
    </row>
    <row r="1979" spans="55:55" ht="15.75" customHeight="1">
      <c r="BC1979" s="169"/>
    </row>
    <row r="1980" spans="55:55" ht="15.75" customHeight="1">
      <c r="BC1980" s="169"/>
    </row>
    <row r="1981" spans="55:55" ht="15.75" customHeight="1">
      <c r="BC1981" s="169"/>
    </row>
    <row r="1982" spans="55:55" ht="15.75" customHeight="1">
      <c r="BC1982" s="169"/>
    </row>
    <row r="1983" spans="55:55" ht="15.75" customHeight="1">
      <c r="BC1983" s="169"/>
    </row>
    <row r="1984" spans="55:55" ht="15.75" customHeight="1">
      <c r="BC1984" s="169"/>
    </row>
    <row r="1985" spans="55:55" ht="15.75" customHeight="1">
      <c r="BC1985" s="169"/>
    </row>
    <row r="1986" spans="55:55" ht="15.75" customHeight="1">
      <c r="BC1986" s="169"/>
    </row>
    <row r="1987" spans="55:55" ht="15.75" customHeight="1">
      <c r="BC1987" s="169"/>
    </row>
    <row r="1988" spans="55:55" ht="15.75" customHeight="1">
      <c r="BC1988" s="169"/>
    </row>
    <row r="1989" spans="55:55" ht="15.75" customHeight="1">
      <c r="BC1989" s="169"/>
    </row>
    <row r="1990" spans="55:55" ht="15.75" customHeight="1">
      <c r="BC1990" s="169"/>
    </row>
    <row r="1991" spans="55:55" ht="15.75" customHeight="1">
      <c r="BC1991" s="169"/>
    </row>
    <row r="1992" spans="55:55" ht="15.75" customHeight="1">
      <c r="BC1992" s="169"/>
    </row>
    <row r="1993" spans="55:55" ht="15.75" customHeight="1">
      <c r="BC1993" s="169"/>
    </row>
    <row r="1994" spans="55:55" ht="15.75" customHeight="1">
      <c r="BC1994" s="169"/>
    </row>
    <row r="1995" spans="55:55" ht="15.75" customHeight="1">
      <c r="BC1995" s="169"/>
    </row>
    <row r="1996" spans="55:55" ht="15.75" customHeight="1">
      <c r="BC1996" s="169"/>
    </row>
  </sheetData>
  <autoFilter ref="A2:BG44" xr:uid="{00000000-0009-0000-0000-000013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autoFilter>
  <mergeCells count="10">
    <mergeCell ref="BD1:BG1"/>
    <mergeCell ref="AN2:AP2"/>
    <mergeCell ref="AQ2:AS2"/>
    <mergeCell ref="AT2:AV2"/>
    <mergeCell ref="A1:BB1"/>
    <mergeCell ref="N2:P2"/>
    <mergeCell ref="T2:V2"/>
    <mergeCell ref="W2:Y2"/>
    <mergeCell ref="Z2:AB2"/>
    <mergeCell ref="AC2:AE2"/>
  </mergeCells>
  <phoneticPr fontId="130" type="noConversion"/>
  <conditionalFormatting sqref="B5:BA5 B39:BA39 B37:AF37 AJ37:BA37 B42:R42 T42:BA42 B41:BA41 B40:R40 T40:BA40 B15:BA15 B14:R14 T14:BA14 T16:BA16 S19 S21 S23 S25 S27 S29 S31 S33 S35 B13:BA13 B12:R12 T12:BA12 B11:BA11 B10:R10 T10:BA10 B9:BA9 B8:R8 T8:BA8 B7:BA7 B6:R6 T6:BA6 B4:R4 T4:BA4 B38:R38 T38:BA38 S17:BA17 T18:BA36 B16:R36">
    <cfRule type="expression" dxfId="647" priority="41">
      <formula>$M4="NON DEFINED"</formula>
    </cfRule>
    <cfRule type="expression" dxfId="646" priority="42">
      <formula>$AY4="N.D."</formula>
    </cfRule>
  </conditionalFormatting>
  <conditionalFormatting sqref="BD5:BF5 BD4 BD9:BE9 BG7 BD39:BG39 BD38 BD42 BD13:BE13 BD8 BD11:BE11 BD10 BG13 BG15 BG17 BG19 BG21 BG23 BG25 BG27 BG29 BG31 BG33 BG35 BD41:BG41 BD37:BG37">
    <cfRule type="containsBlanks" dxfId="645" priority="40">
      <formula>LEN(TRIM(BD4))=0</formula>
    </cfRule>
  </conditionalFormatting>
  <conditionalFormatting sqref="BC4:BC42 BC45:BC1996">
    <cfRule type="containsText" dxfId="644" priority="38" operator="containsText" text="a">
      <formula>NOT(ISERROR(SEARCH("a",BC4)))</formula>
    </cfRule>
    <cfRule type="containsText" dxfId="643" priority="39" operator="containsText" text="R">
      <formula>NOT(ISERROR(SEARCH("R",BC4)))</formula>
    </cfRule>
  </conditionalFormatting>
  <conditionalFormatting sqref="BA4:BA42">
    <cfRule type="expression" dxfId="642" priority="37">
      <formula>$BC4="R"</formula>
    </cfRule>
  </conditionalFormatting>
  <conditionalFormatting sqref="BC43:BG44">
    <cfRule type="cellIs" dxfId="641" priority="32" operator="equal">
      <formula>0</formula>
    </cfRule>
  </conditionalFormatting>
  <conditionalFormatting sqref="A43:BB44">
    <cfRule type="cellIs" dxfId="640" priority="36" operator="equal">
      <formula>0</formula>
    </cfRule>
  </conditionalFormatting>
  <conditionalFormatting sqref="B43:BA44 BC43:BG44">
    <cfRule type="expression" dxfId="639" priority="34">
      <formula>$M43="NON DEFINED"</formula>
    </cfRule>
    <cfRule type="expression" dxfId="638" priority="35">
      <formula>$AY43="N.D."</formula>
    </cfRule>
  </conditionalFormatting>
  <conditionalFormatting sqref="BA43:BA44">
    <cfRule type="expression" dxfId="637" priority="33">
      <formula>$BC43="R"</formula>
    </cfRule>
  </conditionalFormatting>
  <conditionalFormatting sqref="AN4:AN44">
    <cfRule type="cellIs" dxfId="636" priority="31" operator="notEqual">
      <formula>5.5</formula>
    </cfRule>
  </conditionalFormatting>
  <conditionalFormatting sqref="BG9">
    <cfRule type="containsBlanks" dxfId="635" priority="30">
      <formula>LEN(TRIM(BG9))=0</formula>
    </cfRule>
  </conditionalFormatting>
  <conditionalFormatting sqref="BG11">
    <cfRule type="containsBlanks" dxfId="634" priority="29">
      <formula>LEN(TRIM(BG11))=0</formula>
    </cfRule>
  </conditionalFormatting>
  <conditionalFormatting sqref="AG37:AI37">
    <cfRule type="expression" dxfId="633" priority="27">
      <formula>$M37="NON DEFINED"</formula>
    </cfRule>
    <cfRule type="expression" dxfId="632" priority="28">
      <formula>$AY37="N.D."</formula>
    </cfRule>
  </conditionalFormatting>
  <conditionalFormatting sqref="S42">
    <cfRule type="cellIs" dxfId="631" priority="26" operator="equal">
      <formula>0</formula>
    </cfRule>
  </conditionalFormatting>
  <conditionalFormatting sqref="S42">
    <cfRule type="expression" dxfId="630" priority="24">
      <formula>$M42="NON DEFINED"</formula>
    </cfRule>
    <cfRule type="expression" dxfId="629" priority="25">
      <formula>$AY42="N.D."</formula>
    </cfRule>
  </conditionalFormatting>
  <conditionalFormatting sqref="S40">
    <cfRule type="cellIs" dxfId="628" priority="23" operator="equal">
      <formula>0</formula>
    </cfRule>
  </conditionalFormatting>
  <conditionalFormatting sqref="S40">
    <cfRule type="expression" dxfId="627" priority="21">
      <formula>$M40="NON DEFINED"</formula>
    </cfRule>
    <cfRule type="expression" dxfId="626" priority="22">
      <formula>$AY40="N.D."</formula>
    </cfRule>
  </conditionalFormatting>
  <conditionalFormatting sqref="S14 S16 S18 S20 S22 S24 S26 S28 S30 S32 S34 S36">
    <cfRule type="expression" dxfId="625" priority="13">
      <formula>$M14="NON DEFINED"</formula>
    </cfRule>
    <cfRule type="expression" dxfId="624" priority="14">
      <formula>$AY14="N.D."</formula>
    </cfRule>
  </conditionalFormatting>
  <conditionalFormatting sqref="S12">
    <cfRule type="expression" dxfId="623" priority="11">
      <formula>$M12="NON DEFINED"</formula>
    </cfRule>
    <cfRule type="expression" dxfId="622" priority="12">
      <formula>$AY12="N.D."</formula>
    </cfRule>
  </conditionalFormatting>
  <conditionalFormatting sqref="S10">
    <cfRule type="expression" dxfId="621" priority="9">
      <formula>$M10="NON DEFINED"</formula>
    </cfRule>
    <cfRule type="expression" dxfId="620" priority="10">
      <formula>$AY10="N.D."</formula>
    </cfRule>
  </conditionalFormatting>
  <conditionalFormatting sqref="S8">
    <cfRule type="expression" dxfId="619" priority="7">
      <formula>$M8="NON DEFINED"</formula>
    </cfRule>
    <cfRule type="expression" dxfId="618" priority="8">
      <formula>$AY8="N.D."</formula>
    </cfRule>
  </conditionalFormatting>
  <conditionalFormatting sqref="S6">
    <cfRule type="expression" dxfId="617" priority="5">
      <formula>$M6="NON DEFINED"</formula>
    </cfRule>
    <cfRule type="expression" dxfId="616" priority="6">
      <formula>$AY6="N.D."</formula>
    </cfRule>
  </conditionalFormatting>
  <conditionalFormatting sqref="S4">
    <cfRule type="expression" dxfId="615" priority="3">
      <formula>$M4="NON DEFINED"</formula>
    </cfRule>
    <cfRule type="expression" dxfId="614" priority="4">
      <formula>$AY4="N.D."</formula>
    </cfRule>
  </conditionalFormatting>
  <conditionalFormatting sqref="S38">
    <cfRule type="expression" dxfId="613" priority="1">
      <formula>$M38="NON DEFINED"</formula>
    </cfRule>
    <cfRule type="expression" dxfId="612" priority="2">
      <formula>$AY38="N.D."</formula>
    </cfRule>
  </conditionalFormatting>
  <printOptions horizontalCentered="1" gridLines="1"/>
  <pageMargins left="0.39370078740157483" right="0.39370078740157483" top="0.78740157480314965" bottom="0.78740157480314965" header="0.31496062992125984" footer="0.31496062992125984"/>
  <pageSetup paperSize="8" scale="79" fitToHeight="0" orientation="landscape" r:id="rId1"/>
  <headerFooter alignWithMargins="0">
    <oddHeader>&amp;L&amp;G&amp;C
LAYOUT AND EQUIPMENT
EP06 TRACK 51 HER-TSA
KP93+400 - 97+400&amp;R&amp;G</oddHeader>
    <oddFooter>&amp;L&amp;G
&amp;F&amp;C&amp;D&amp;RPag &amp;P of &amp;N</oddFooter>
  </headerFooter>
  <legacyDrawingHF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4">
    <tabColor theme="0" tint="-0.249977111117893"/>
    <pageSetUpPr fitToPage="1"/>
  </sheetPr>
  <dimension ref="A1:BG2006"/>
  <sheetViews>
    <sheetView view="pageBreakPreview" zoomScale="80" zoomScaleNormal="85" zoomScaleSheetLayoutView="80" workbookViewId="0">
      <selection activeCell="G124" sqref="G124"/>
    </sheetView>
  </sheetViews>
  <sheetFormatPr baseColWidth="10" defaultColWidth="11.453125" defaultRowHeight="15.75" customHeight="1"/>
  <cols>
    <col min="1" max="1" width="20.6328125" style="178" customWidth="1"/>
    <col min="2" max="2" width="12.6328125" style="178" customWidth="1"/>
    <col min="3" max="3" width="12.6328125" style="184" customWidth="1"/>
    <col min="4" max="5" width="12.6328125" style="178" hidden="1" customWidth="1"/>
    <col min="6" max="6" width="12.6328125" style="178" customWidth="1"/>
    <col min="7" max="7" width="12.6328125" style="454" customWidth="1"/>
    <col min="8" max="8" width="18.6328125" style="178" customWidth="1"/>
    <col min="9" max="9" width="12.6328125" style="178" customWidth="1"/>
    <col min="10" max="10" width="12.6328125" style="184" customWidth="1"/>
    <col min="11" max="11" width="12.6328125" style="178" customWidth="1"/>
    <col min="12" max="13" width="14.6328125" style="178" customWidth="1"/>
    <col min="14" max="16" width="8.6328125" style="178" hidden="1" customWidth="1"/>
    <col min="17" max="19" width="12.6328125" style="178" hidden="1" customWidth="1"/>
    <col min="20" max="28" width="8.6328125" style="178" hidden="1" customWidth="1"/>
    <col min="29" max="31" width="10.6328125" style="178" hidden="1" customWidth="1"/>
    <col min="32" max="32" width="13.54296875" style="178" hidden="1" customWidth="1"/>
    <col min="33" max="33" width="12.6328125" style="184" hidden="1" customWidth="1"/>
    <col min="34" max="36" width="12.6328125" style="178" hidden="1" customWidth="1"/>
    <col min="37" max="39" width="12.6328125" style="178" customWidth="1"/>
    <col min="40" max="40" width="8.6328125" style="458" hidden="1" customWidth="1"/>
    <col min="41" max="42" width="8.6328125" style="169" hidden="1" customWidth="1"/>
    <col min="43" max="46" width="8.6328125" style="458" hidden="1" customWidth="1"/>
    <col min="47" max="48" width="8.6328125" style="169" hidden="1" customWidth="1"/>
    <col min="49" max="53" width="12.6328125" style="169" customWidth="1"/>
    <col min="54" max="54" width="21.6328125" style="178" hidden="1" customWidth="1"/>
    <col min="55" max="55" width="18" style="178" customWidth="1"/>
    <col min="56" max="59" width="14.54296875" style="1323" customWidth="1"/>
    <col min="60" max="60" width="11.453125" style="178" customWidth="1"/>
    <col min="61" max="16384" width="11.453125" style="178"/>
  </cols>
  <sheetData>
    <row r="1" spans="1:59" ht="35.25" customHeight="1">
      <c r="A1" s="1615" t="s">
        <v>2425</v>
      </c>
      <c r="B1" s="1615"/>
      <c r="C1" s="1615"/>
      <c r="D1" s="1615"/>
      <c r="E1" s="1615"/>
      <c r="F1" s="1615"/>
      <c r="G1" s="1615"/>
      <c r="H1" s="1615"/>
      <c r="I1" s="1615"/>
      <c r="J1" s="1615"/>
      <c r="K1" s="1615"/>
      <c r="L1" s="1615"/>
      <c r="M1" s="1615"/>
      <c r="N1" s="1615"/>
      <c r="O1" s="1615"/>
      <c r="P1" s="1615"/>
      <c r="Q1" s="1615"/>
      <c r="R1" s="1615"/>
      <c r="S1" s="1615"/>
      <c r="T1" s="1615"/>
      <c r="U1" s="1615"/>
      <c r="V1" s="1615"/>
      <c r="W1" s="1615"/>
      <c r="X1" s="1615"/>
      <c r="Y1" s="1615"/>
      <c r="Z1" s="1615"/>
      <c r="AA1" s="1615"/>
      <c r="AB1" s="1615"/>
      <c r="AC1" s="1615"/>
      <c r="AD1" s="1615"/>
      <c r="AE1" s="1615"/>
      <c r="AF1" s="1615"/>
      <c r="AG1" s="1615"/>
      <c r="AH1" s="1615"/>
      <c r="AI1" s="1615"/>
      <c r="AJ1" s="1615"/>
      <c r="AK1" s="1615"/>
      <c r="AL1" s="1615"/>
      <c r="AM1" s="1615"/>
      <c r="AN1" s="1615"/>
      <c r="AO1" s="1615"/>
      <c r="AP1" s="1615"/>
      <c r="AQ1" s="1615"/>
      <c r="AR1" s="1615"/>
      <c r="AS1" s="1615"/>
      <c r="AT1" s="1615"/>
      <c r="AU1" s="1615"/>
      <c r="AV1" s="1615"/>
      <c r="AW1" s="1615"/>
      <c r="AX1" s="1615"/>
      <c r="AY1" s="1615"/>
      <c r="AZ1" s="1615"/>
      <c r="BA1" s="1615"/>
      <c r="BB1" s="1615"/>
      <c r="BC1" s="693" t="s">
        <v>4947</v>
      </c>
      <c r="BD1" s="1599" t="s">
        <v>4916</v>
      </c>
      <c r="BE1" s="1599"/>
      <c r="BF1" s="1599"/>
      <c r="BG1" s="1599"/>
    </row>
    <row r="2" spans="1:59" s="699" customFormat="1" ht="42" customHeight="1">
      <c r="A2" s="1259" t="s">
        <v>4417</v>
      </c>
      <c r="B2" s="1259" t="s">
        <v>4418</v>
      </c>
      <c r="C2" s="954" t="s">
        <v>2315</v>
      </c>
      <c r="D2" s="1259" t="s">
        <v>4419</v>
      </c>
      <c r="E2" s="1259" t="s">
        <v>4855</v>
      </c>
      <c r="F2" s="1259" t="s">
        <v>4856</v>
      </c>
      <c r="G2" s="1260" t="s">
        <v>4857</v>
      </c>
      <c r="H2" s="1259" t="s">
        <v>455</v>
      </c>
      <c r="I2" s="1259" t="s">
        <v>454</v>
      </c>
      <c r="J2" s="1259" t="s">
        <v>4423</v>
      </c>
      <c r="K2" s="1259" t="s">
        <v>1362</v>
      </c>
      <c r="L2" s="1259" t="s">
        <v>456</v>
      </c>
      <c r="M2" s="1259" t="s">
        <v>453</v>
      </c>
      <c r="N2" s="1613" t="s">
        <v>457</v>
      </c>
      <c r="O2" s="1613"/>
      <c r="P2" s="1613"/>
      <c r="Q2" s="1259" t="s">
        <v>4858</v>
      </c>
      <c r="R2" s="1259" t="s">
        <v>4859</v>
      </c>
      <c r="S2" s="1259" t="s">
        <v>4860</v>
      </c>
      <c r="T2" s="1613" t="s">
        <v>4861</v>
      </c>
      <c r="U2" s="1613"/>
      <c r="V2" s="1613"/>
      <c r="W2" s="1613" t="s">
        <v>4862</v>
      </c>
      <c r="X2" s="1613"/>
      <c r="Y2" s="1613"/>
      <c r="Z2" s="1613" t="s">
        <v>4863</v>
      </c>
      <c r="AA2" s="1613"/>
      <c r="AB2" s="1613"/>
      <c r="AC2" s="1613" t="s">
        <v>628</v>
      </c>
      <c r="AD2" s="1613"/>
      <c r="AE2" s="1613"/>
      <c r="AF2" s="1259" t="s">
        <v>4872</v>
      </c>
      <c r="AG2" s="954" t="s">
        <v>4864</v>
      </c>
      <c r="AH2" s="1259" t="s">
        <v>4865</v>
      </c>
      <c r="AI2" s="1259" t="s">
        <v>4866</v>
      </c>
      <c r="AJ2" s="1259" t="s">
        <v>629</v>
      </c>
      <c r="AK2" s="1259" t="s">
        <v>458</v>
      </c>
      <c r="AL2" s="1259" t="s">
        <v>459</v>
      </c>
      <c r="AM2" s="1259" t="s">
        <v>631</v>
      </c>
      <c r="AN2" s="1613" t="s">
        <v>4867</v>
      </c>
      <c r="AO2" s="1613"/>
      <c r="AP2" s="1613"/>
      <c r="AQ2" s="1614" t="s">
        <v>460</v>
      </c>
      <c r="AR2" s="1614"/>
      <c r="AS2" s="1614"/>
      <c r="AT2" s="1613" t="s">
        <v>630</v>
      </c>
      <c r="AU2" s="1613"/>
      <c r="AV2" s="1613"/>
      <c r="AW2" s="1259" t="s">
        <v>4868</v>
      </c>
      <c r="AX2" s="1259" t="s">
        <v>4904</v>
      </c>
      <c r="AY2" s="1259" t="s">
        <v>4869</v>
      </c>
      <c r="AZ2" s="1259" t="s">
        <v>4870</v>
      </c>
      <c r="BA2" s="1259" t="s">
        <v>1670</v>
      </c>
      <c r="BB2" s="1259" t="s">
        <v>4871</v>
      </c>
      <c r="BC2" s="693" t="s">
        <v>4948</v>
      </c>
      <c r="BD2" s="1320" t="s">
        <v>453</v>
      </c>
      <c r="BE2" s="1320" t="s">
        <v>4922</v>
      </c>
      <c r="BF2" s="1320" t="s">
        <v>4915</v>
      </c>
      <c r="BG2" s="1320" t="s">
        <v>457</v>
      </c>
    </row>
    <row r="3" spans="1:59" ht="13">
      <c r="A3" s="1239"/>
      <c r="B3" s="1239"/>
      <c r="C3" s="171"/>
      <c r="D3" s="1239"/>
      <c r="E3" s="1239"/>
      <c r="F3" s="172"/>
      <c r="G3" s="455"/>
      <c r="H3" s="1239"/>
      <c r="I3" s="1239"/>
      <c r="J3" s="171"/>
      <c r="K3" s="1239"/>
      <c r="L3" s="1239"/>
      <c r="M3" s="1239"/>
      <c r="N3" s="694" t="s">
        <v>123</v>
      </c>
      <c r="O3" s="694" t="s">
        <v>124</v>
      </c>
      <c r="P3" s="694" t="s">
        <v>125</v>
      </c>
      <c r="Q3" s="1239"/>
      <c r="R3" s="1239"/>
      <c r="S3" s="1239"/>
      <c r="T3" s="695" t="s">
        <v>126</v>
      </c>
      <c r="U3" s="695" t="s">
        <v>127</v>
      </c>
      <c r="V3" s="695" t="s">
        <v>128</v>
      </c>
      <c r="W3" s="695" t="s">
        <v>129</v>
      </c>
      <c r="X3" s="695" t="s">
        <v>130</v>
      </c>
      <c r="Y3" s="695" t="s">
        <v>131</v>
      </c>
      <c r="Z3" s="695" t="s">
        <v>132</v>
      </c>
      <c r="AA3" s="695" t="s">
        <v>133</v>
      </c>
      <c r="AB3" s="695" t="s">
        <v>134</v>
      </c>
      <c r="AC3" s="695" t="s">
        <v>135</v>
      </c>
      <c r="AD3" s="695" t="s">
        <v>136</v>
      </c>
      <c r="AE3" s="695" t="s">
        <v>137</v>
      </c>
      <c r="AF3" s="1239"/>
      <c r="AG3" s="171"/>
      <c r="AH3" s="1239"/>
      <c r="AI3" s="1239"/>
      <c r="AJ3" s="1239"/>
      <c r="AK3" s="1239"/>
      <c r="AL3" s="1239"/>
      <c r="AM3" s="1239"/>
      <c r="AN3" s="696" t="s">
        <v>129</v>
      </c>
      <c r="AO3" s="695" t="s">
        <v>130</v>
      </c>
      <c r="AP3" s="695" t="s">
        <v>131</v>
      </c>
      <c r="AQ3" s="696" t="s">
        <v>613</v>
      </c>
      <c r="AR3" s="696" t="s">
        <v>614</v>
      </c>
      <c r="AS3" s="696" t="s">
        <v>615</v>
      </c>
      <c r="AT3" s="696" t="s">
        <v>616</v>
      </c>
      <c r="AU3" s="695" t="s">
        <v>617</v>
      </c>
      <c r="AV3" s="695" t="s">
        <v>618</v>
      </c>
      <c r="AW3" s="1239"/>
      <c r="AX3" s="1239"/>
      <c r="AY3" s="1239"/>
      <c r="AZ3" s="1239"/>
      <c r="BA3" s="1239"/>
      <c r="BB3" s="1239"/>
      <c r="BD3" s="1239"/>
      <c r="BE3" s="1239"/>
      <c r="BF3" s="1239"/>
      <c r="BG3" s="1239"/>
    </row>
    <row r="4" spans="1:59" ht="15.75" customHeight="1">
      <c r="A4" s="501">
        <f>'HR Track 51 HER-TSA'!A10</f>
        <v>0</v>
      </c>
      <c r="B4" s="716">
        <f>'HR Track 51 HER-TSA'!B10</f>
        <v>0</v>
      </c>
      <c r="C4" s="451">
        <f>'HR Track 51 HER-TSA'!C10</f>
        <v>0</v>
      </c>
      <c r="D4" s="453">
        <f>'HR Track 51 HER-TSA'!D10</f>
        <v>0</v>
      </c>
      <c r="E4" s="452">
        <f>'HR Track 51 HER-TSA'!E10</f>
        <v>0</v>
      </c>
      <c r="F4" s="453">
        <f>'HR Track 51 HER-TSA'!F10</f>
        <v>0</v>
      </c>
      <c r="G4" s="500">
        <f>'HR Track 51 HER-TSA'!G10</f>
        <v>33</v>
      </c>
      <c r="H4" s="453">
        <f>'HR Track 51 HER-TSA'!H10</f>
        <v>0</v>
      </c>
      <c r="I4" s="501">
        <f>'HR Track 51 HER-TSA'!I10</f>
        <v>653</v>
      </c>
      <c r="J4" s="583">
        <f>'HR Track 51 HER-TSA'!J10</f>
        <v>91665.65</v>
      </c>
      <c r="K4" s="452" t="str">
        <f>'HR Track 51 HER-TSA'!K10</f>
        <v>AnMC-R</v>
      </c>
      <c r="L4" s="452">
        <f>'HR Track 51 HER-TSA'!L10</f>
        <v>0</v>
      </c>
      <c r="M4" s="452">
        <f>'HR Track 51 HER-TSA'!M10</f>
        <v>0</v>
      </c>
      <c r="N4" s="501">
        <f>'HR Track 51 HER-TSA'!N10</f>
        <v>0</v>
      </c>
      <c r="O4" s="501">
        <f>'HR Track 51 HER-TSA'!O10</f>
        <v>0</v>
      </c>
      <c r="P4" s="501">
        <f>'HR Track 51 HER-TSA'!P10</f>
        <v>0</v>
      </c>
      <c r="Q4" s="452">
        <f>'HR Track 51 HER-TSA'!Q10</f>
        <v>0</v>
      </c>
      <c r="R4" s="452">
        <f>'HR Track 51 HER-TSA'!R10</f>
        <v>0</v>
      </c>
      <c r="S4" s="500">
        <f>'HR Track 51 HER-TSA'!S10</f>
        <v>30</v>
      </c>
      <c r="T4" s="452">
        <f>'HR Track 51 HER-TSA'!T10</f>
        <v>0</v>
      </c>
      <c r="U4" s="452">
        <f>'HR Track 51 HER-TSA'!U10</f>
        <v>0</v>
      </c>
      <c r="V4" s="452">
        <f>'HR Track 51 HER-TSA'!V10</f>
        <v>0</v>
      </c>
      <c r="W4" s="452">
        <f>'HR Track 51 HER-TSA'!W10</f>
        <v>0</v>
      </c>
      <c r="X4" s="452">
        <f>'HR Track 51 HER-TSA'!X10</f>
        <v>0</v>
      </c>
      <c r="Y4" s="452">
        <f>'HR Track 51 HER-TSA'!Y10</f>
        <v>0</v>
      </c>
      <c r="Z4" s="452">
        <f>'HR Track 51 HER-TSA'!Z10</f>
        <v>0</v>
      </c>
      <c r="AA4" s="452">
        <f>'HR Track 51 HER-TSA'!AA10</f>
        <v>0</v>
      </c>
      <c r="AB4" s="452">
        <f>'HR Track 51 HER-TSA'!AB10</f>
        <v>0</v>
      </c>
      <c r="AC4" s="452">
        <f>'HR Track 51 HER-TSA'!AC10</f>
        <v>0</v>
      </c>
      <c r="AD4" s="452">
        <f>'HR Track 51 HER-TSA'!AD10</f>
        <v>0</v>
      </c>
      <c r="AE4" s="452">
        <f>'HR Track 51 HER-TSA'!AE10</f>
        <v>0</v>
      </c>
      <c r="AF4" s="452">
        <f>'HR Track 51 HER-TSA'!AF10</f>
        <v>0</v>
      </c>
      <c r="AG4" s="451">
        <f>'HR Track 51 HER-TSA'!AG10</f>
        <v>0</v>
      </c>
      <c r="AH4" s="452">
        <f>'HR Track 51 HER-TSA'!AH10</f>
        <v>0</v>
      </c>
      <c r="AI4" s="452">
        <f>'HR Track 51 HER-TSA'!AI10</f>
        <v>0</v>
      </c>
      <c r="AJ4" s="452">
        <f>'HR Track 51 HER-TSA'!AJ10</f>
        <v>0</v>
      </c>
      <c r="AK4" s="452">
        <f>'HR Track 51 HER-TSA'!AK10</f>
        <v>0</v>
      </c>
      <c r="AL4" s="452">
        <f>'HR Track 51 HER-TSA'!AL10</f>
        <v>0</v>
      </c>
      <c r="AM4" s="452">
        <f>'HR Track 51 HER-TSA'!AM10</f>
        <v>0</v>
      </c>
      <c r="AN4" s="500">
        <f>'HR Track 51 HER-TSA'!AN10</f>
        <v>0</v>
      </c>
      <c r="AO4" s="452">
        <f>'HR Track 51 HER-TSA'!AO10</f>
        <v>0</v>
      </c>
      <c r="AP4" s="452">
        <f>'HR Track 51 HER-TSA'!AP10</f>
        <v>0</v>
      </c>
      <c r="AQ4" s="452">
        <f>'HR Track 51 HER-TSA'!AQ10</f>
        <v>0.3</v>
      </c>
      <c r="AR4" s="452">
        <f>'HR Track 51 HER-TSA'!AR10</f>
        <v>0</v>
      </c>
      <c r="AS4" s="452">
        <f>'HR Track 51 HER-TSA'!AS10</f>
        <v>0</v>
      </c>
      <c r="AT4" s="452">
        <f>'HR Track 51 HER-TSA'!AT10</f>
        <v>0</v>
      </c>
      <c r="AU4" s="452">
        <f>'HR Track 51 HER-TSA'!AU10</f>
        <v>0</v>
      </c>
      <c r="AV4" s="452">
        <f>'HR Track 51 HER-TSA'!AV10</f>
        <v>0</v>
      </c>
      <c r="AW4" s="452" t="str">
        <f>'HR Track 51 HER-TSA'!AW10</f>
        <v>Soil A</v>
      </c>
      <c r="AX4" s="452" t="str">
        <f>'HR Track 51 HER-TSA'!AX10</f>
        <v>PT</v>
      </c>
      <c r="AY4" s="500">
        <f>'HR Track 51 HER-TSA'!AY10</f>
        <v>0</v>
      </c>
      <c r="AZ4" s="500">
        <f>'HR Track 51 HER-TSA'!AZ10</f>
        <v>3.3</v>
      </c>
      <c r="BA4" s="1333" t="str">
        <f>'HR Track 51 HER-TSA'!BA10</f>
        <v>ü</v>
      </c>
      <c r="BB4" s="452">
        <f>'HR Track 51 HER-TSA'!BB10</f>
        <v>0</v>
      </c>
      <c r="BC4" s="1334">
        <f>'HR Track 51 HER-TSA'!BC10</f>
        <v>0</v>
      </c>
      <c r="BD4" s="1335">
        <f>'HR Track 51 HER-TSA'!BD10</f>
        <v>43775</v>
      </c>
      <c r="BE4" s="1335">
        <f>'HR Track 51 HER-TSA'!BE10</f>
        <v>0</v>
      </c>
      <c r="BF4" s="1335">
        <f>'HR Track 51 HER-TSA'!BF10</f>
        <v>0</v>
      </c>
      <c r="BG4" s="1335">
        <f>'HR Track 51 HER-TSA'!BG10</f>
        <v>0</v>
      </c>
    </row>
    <row r="5" spans="1:59" ht="15.75" customHeight="1">
      <c r="A5" s="501">
        <f>'HR Track 51 HER-TSA'!A11</f>
        <v>0</v>
      </c>
      <c r="B5" s="716" t="str">
        <f>'HR Track 51 HER-TSA'!B11</f>
        <v>91-51.16</v>
      </c>
      <c r="C5" s="451">
        <f>'HR Track 51 HER-TSA'!C11</f>
        <v>91673.15</v>
      </c>
      <c r="D5" s="453">
        <f>'HR Track 51 HER-TSA'!D11</f>
        <v>0</v>
      </c>
      <c r="E5" s="452">
        <f>'HR Track 51 HER-TSA'!E11</f>
        <v>0</v>
      </c>
      <c r="F5" s="453">
        <f>'HR Track 51 HER-TSA'!F11</f>
        <v>0</v>
      </c>
      <c r="G5" s="500">
        <f>'HR Track 51 HER-TSA'!G11</f>
        <v>0</v>
      </c>
      <c r="H5" s="453" t="str">
        <f>'HR Track 51 HER-TSA'!H11</f>
        <v>S/A A/S</v>
      </c>
      <c r="I5" s="501" t="str">
        <f>'HR Track 51 HER-TSA'!I11</f>
        <v>CP+AnMC</v>
      </c>
      <c r="J5" s="583">
        <f>'HR Track 51 HER-TSA'!J11</f>
        <v>0</v>
      </c>
      <c r="K5" s="452">
        <f>'HR Track 51 HER-TSA'!K11</f>
        <v>0</v>
      </c>
      <c r="L5" s="452" t="str">
        <f>'HR Track 51 HER-TSA'!L11</f>
        <v>2HEB-240</v>
      </c>
      <c r="M5" s="452" t="str">
        <f>'HR Track 51 HER-TSA'!M11</f>
        <v>2C3R</v>
      </c>
      <c r="N5" s="501" t="str">
        <f>'HR Track 51 HER-TSA'!N11</f>
        <v>EMT-T</v>
      </c>
      <c r="O5" s="501" t="str">
        <f>'HR Track 51 HER-TSA'!O11</f>
        <v>EMT-2</v>
      </c>
      <c r="P5" s="501">
        <f>'HR Track 51 HER-TSA'!P11</f>
        <v>0</v>
      </c>
      <c r="Q5" s="452">
        <f>'HR Track 51 HER-TSA'!Q11</f>
        <v>10</v>
      </c>
      <c r="R5" s="452">
        <f>'HR Track 51 HER-TSA'!R11</f>
        <v>0</v>
      </c>
      <c r="S5" s="500">
        <f>'HR Track 51 HER-TSA'!S11</f>
        <v>0</v>
      </c>
      <c r="T5" s="452">
        <f>'HR Track 51 HER-TSA'!T11</f>
        <v>45</v>
      </c>
      <c r="U5" s="452">
        <f>'HR Track 51 HER-TSA'!U11</f>
        <v>30</v>
      </c>
      <c r="V5" s="452">
        <f>'HR Track 51 HER-TSA'!V11</f>
        <v>0</v>
      </c>
      <c r="W5" s="452">
        <f>'HR Track 51 HER-TSA'!W11</f>
        <v>1.4</v>
      </c>
      <c r="X5" s="452">
        <f>'HR Track 51 HER-TSA'!X11</f>
        <v>2.2999999999999998</v>
      </c>
      <c r="Y5" s="452">
        <f>'HR Track 51 HER-TSA'!Y11</f>
        <v>0</v>
      </c>
      <c r="Z5" s="452">
        <f>'HR Track 51 HER-TSA'!Z11</f>
        <v>0.45</v>
      </c>
      <c r="AA5" s="452">
        <f>'HR Track 51 HER-TSA'!AA11</f>
        <v>0</v>
      </c>
      <c r="AB5" s="452">
        <f>'HR Track 51 HER-TSA'!AB11</f>
        <v>0</v>
      </c>
      <c r="AC5" s="452" t="str">
        <f>'HR Track 51 HER-TSA'!AC11</f>
        <v>PHQ-1150</v>
      </c>
      <c r="AD5" s="452">
        <f>'HR Track 51 HER-TSA'!AD11</f>
        <v>0</v>
      </c>
      <c r="AE5" s="452">
        <f>'HR Track 51 HER-TSA'!AE11</f>
        <v>0</v>
      </c>
      <c r="AF5" s="452">
        <f>'HR Track 51 HER-TSA'!AF11</f>
        <v>5800</v>
      </c>
      <c r="AG5" s="451">
        <f>'HR Track 51 HER-TSA'!AG11</f>
        <v>91670</v>
      </c>
      <c r="AH5" s="452">
        <f>'HR Track 51 HER-TSA'!AH11</f>
        <v>3243</v>
      </c>
      <c r="AI5" s="452">
        <f>'HR Track 51 HER-TSA'!AI11</f>
        <v>390</v>
      </c>
      <c r="AJ5" s="452">
        <f>'HR Track 51 HER-TSA'!AJ11</f>
        <v>0</v>
      </c>
      <c r="AK5" s="452">
        <f>'HR Track 51 HER-TSA'!AK11</f>
        <v>0</v>
      </c>
      <c r="AL5" s="452">
        <f>'HR Track 51 HER-TSA'!AL11</f>
        <v>0</v>
      </c>
      <c r="AM5" s="452" t="str">
        <f>'HR Track 51 HER-TSA'!AM11</f>
        <v>RW1</v>
      </c>
      <c r="AN5" s="500">
        <f>'HR Track 51 HER-TSA'!AN11</f>
        <v>5.5</v>
      </c>
      <c r="AO5" s="452">
        <f>'HR Track 51 HER-TSA'!AO11</f>
        <v>0</v>
      </c>
      <c r="AP5" s="452">
        <f>'HR Track 51 HER-TSA'!AP11</f>
        <v>0</v>
      </c>
      <c r="AQ5" s="452">
        <f>'HR Track 51 HER-TSA'!AQ11</f>
        <v>0</v>
      </c>
      <c r="AR5" s="452">
        <f>'HR Track 51 HER-TSA'!AR11</f>
        <v>0</v>
      </c>
      <c r="AS5" s="452">
        <f>'HR Track 51 HER-TSA'!AS11</f>
        <v>0</v>
      </c>
      <c r="AT5" s="452">
        <f>'HR Track 51 HER-TSA'!AT11</f>
        <v>5.2621976876518497</v>
      </c>
      <c r="AU5" s="452">
        <f>'HR Track 51 HER-TSA'!AU11</f>
        <v>0</v>
      </c>
      <c r="AV5" s="452">
        <f>'HR Track 51 HER-TSA'!AV11</f>
        <v>0</v>
      </c>
      <c r="AW5" s="452" t="str">
        <f>'HR Track 51 HER-TSA'!AW11</f>
        <v>Soil A</v>
      </c>
      <c r="AX5" s="452" t="str">
        <f>'HR Track 51 HER-TSA'!AX11</f>
        <v>PT</v>
      </c>
      <c r="AY5" s="500">
        <f>'HR Track 51 HER-TSA'!AY11</f>
        <v>3.7</v>
      </c>
      <c r="AZ5" s="500">
        <f>'HR Track 51 HER-TSA'!AZ11</f>
        <v>0</v>
      </c>
      <c r="BA5" s="1333" t="str">
        <f>'HR Track 51 HER-TSA'!BA11</f>
        <v>ü</v>
      </c>
      <c r="BB5" s="452" t="str">
        <f>'HR Track 51 HER-TSA'!BB11</f>
        <v>App.7.1-V01-P9.5.1.8</v>
      </c>
      <c r="BC5" s="1334">
        <f>'HR Track 51 HER-TSA'!BC11</f>
        <v>0</v>
      </c>
      <c r="BD5" s="1335">
        <f>'HR Track 51 HER-TSA'!BD11</f>
        <v>43775</v>
      </c>
      <c r="BE5" s="1335">
        <f>'HR Track 51 HER-TSA'!BE11</f>
        <v>43841</v>
      </c>
      <c r="BF5" s="1335">
        <f>'HR Track 51 HER-TSA'!BF11</f>
        <v>0</v>
      </c>
      <c r="BG5" s="1335">
        <f>'HR Track 51 HER-TSA'!BG11</f>
        <v>43870</v>
      </c>
    </row>
    <row r="6" spans="1:59" ht="15.75" customHeight="1">
      <c r="A6" s="501">
        <f>'HR Track 51 HER-TSA'!A12</f>
        <v>0</v>
      </c>
      <c r="B6" s="716">
        <f>'HR Track 51 HER-TSA'!B12</f>
        <v>0</v>
      </c>
      <c r="C6" s="451">
        <f>'HR Track 51 HER-TSA'!C12</f>
        <v>0</v>
      </c>
      <c r="D6" s="453">
        <f>'HR Track 51 HER-TSA'!D12</f>
        <v>0</v>
      </c>
      <c r="E6" s="452">
        <f>'HR Track 51 HER-TSA'!E12</f>
        <v>0</v>
      </c>
      <c r="F6" s="453">
        <f>'HR Track 51 HER-TSA'!F12</f>
        <v>0</v>
      </c>
      <c r="G6" s="500">
        <f>'HR Track 51 HER-TSA'!G12</f>
        <v>33</v>
      </c>
      <c r="H6" s="453">
        <f>'HR Track 51 HER-TSA'!H12</f>
        <v>0</v>
      </c>
      <c r="I6" s="501">
        <f>'HR Track 51 HER-TSA'!I12</f>
        <v>496</v>
      </c>
      <c r="J6" s="583">
        <f>'HR Track 51 HER-TSA'!J12</f>
        <v>0</v>
      </c>
      <c r="K6" s="452">
        <f>'HR Track 51 HER-TSA'!K12</f>
        <v>0</v>
      </c>
      <c r="L6" s="452">
        <f>'HR Track 51 HER-TSA'!L12</f>
        <v>0</v>
      </c>
      <c r="M6" s="452">
        <f>'HR Track 51 HER-TSA'!M12</f>
        <v>0</v>
      </c>
      <c r="N6" s="501">
        <f>'HR Track 51 HER-TSA'!N12</f>
        <v>0</v>
      </c>
      <c r="O6" s="501">
        <f>'HR Track 51 HER-TSA'!O12</f>
        <v>0</v>
      </c>
      <c r="P6" s="501">
        <f>'HR Track 51 HER-TSA'!P12</f>
        <v>0</v>
      </c>
      <c r="Q6" s="452">
        <f>'HR Track 51 HER-TSA'!Q12</f>
        <v>0</v>
      </c>
      <c r="R6" s="452">
        <f>'HR Track 51 HER-TSA'!R12</f>
        <v>0</v>
      </c>
      <c r="S6" s="500">
        <f>'HR Track 51 HER-TSA'!S12</f>
        <v>36.30000000000291</v>
      </c>
      <c r="T6" s="452">
        <f>'HR Track 51 HER-TSA'!T12</f>
        <v>0</v>
      </c>
      <c r="U6" s="452">
        <f>'HR Track 51 HER-TSA'!U12</f>
        <v>0</v>
      </c>
      <c r="V6" s="452">
        <f>'HR Track 51 HER-TSA'!V12</f>
        <v>0</v>
      </c>
      <c r="W6" s="452">
        <f>'HR Track 51 HER-TSA'!W12</f>
        <v>0</v>
      </c>
      <c r="X6" s="452">
        <f>'HR Track 51 HER-TSA'!X12</f>
        <v>0</v>
      </c>
      <c r="Y6" s="452">
        <f>'HR Track 51 HER-TSA'!Y12</f>
        <v>0</v>
      </c>
      <c r="Z6" s="452">
        <f>'HR Track 51 HER-TSA'!Z12</f>
        <v>0</v>
      </c>
      <c r="AA6" s="452">
        <f>'HR Track 51 HER-TSA'!AA12</f>
        <v>0</v>
      </c>
      <c r="AB6" s="452">
        <f>'HR Track 51 HER-TSA'!AB12</f>
        <v>0</v>
      </c>
      <c r="AC6" s="452">
        <f>'HR Track 51 HER-TSA'!AC12</f>
        <v>0</v>
      </c>
      <c r="AD6" s="452">
        <f>'HR Track 51 HER-TSA'!AD12</f>
        <v>0</v>
      </c>
      <c r="AE6" s="452">
        <f>'HR Track 51 HER-TSA'!AE12</f>
        <v>0</v>
      </c>
      <c r="AF6" s="452">
        <f>'HR Track 51 HER-TSA'!AF12</f>
        <v>0</v>
      </c>
      <c r="AG6" s="451">
        <f>'HR Track 51 HER-TSA'!AG12</f>
        <v>0</v>
      </c>
      <c r="AH6" s="452">
        <f>'HR Track 51 HER-TSA'!AH12</f>
        <v>0</v>
      </c>
      <c r="AI6" s="452">
        <f>'HR Track 51 HER-TSA'!AI12</f>
        <v>0</v>
      </c>
      <c r="AJ6" s="452">
        <f>'HR Track 51 HER-TSA'!AJ12</f>
        <v>0</v>
      </c>
      <c r="AK6" s="452">
        <f>'HR Track 51 HER-TSA'!AK12</f>
        <v>0</v>
      </c>
      <c r="AL6" s="452">
        <f>'HR Track 51 HER-TSA'!AL12</f>
        <v>0</v>
      </c>
      <c r="AM6" s="452">
        <f>'HR Track 51 HER-TSA'!AM12</f>
        <v>0</v>
      </c>
      <c r="AN6" s="500">
        <f>'HR Track 51 HER-TSA'!AN12</f>
        <v>0</v>
      </c>
      <c r="AO6" s="452">
        <f>'HR Track 51 HER-TSA'!AO12</f>
        <v>0</v>
      </c>
      <c r="AP6" s="452">
        <f>'HR Track 51 HER-TSA'!AP12</f>
        <v>0</v>
      </c>
      <c r="AQ6" s="452">
        <f>'HR Track 51 HER-TSA'!AQ12</f>
        <v>0.30000000000001081</v>
      </c>
      <c r="AR6" s="452">
        <f>'HR Track 51 HER-TSA'!AR12</f>
        <v>0</v>
      </c>
      <c r="AS6" s="452">
        <f>'HR Track 51 HER-TSA'!AS12</f>
        <v>0</v>
      </c>
      <c r="AT6" s="452">
        <f>'HR Track 51 HER-TSA'!AT12</f>
        <v>0</v>
      </c>
      <c r="AU6" s="452">
        <f>'HR Track 51 HER-TSA'!AU12</f>
        <v>0</v>
      </c>
      <c r="AV6" s="452">
        <f>'HR Track 51 HER-TSA'!AV12</f>
        <v>0</v>
      </c>
      <c r="AW6" s="452">
        <f>'HR Track 51 HER-TSA'!AW12</f>
        <v>0</v>
      </c>
      <c r="AX6" s="452">
        <f>'HR Track 51 HER-TSA'!AX12</f>
        <v>0</v>
      </c>
      <c r="AY6" s="500">
        <f>'HR Track 51 HER-TSA'!AY12</f>
        <v>0</v>
      </c>
      <c r="AZ6" s="500">
        <f>'HR Track 51 HER-TSA'!AZ12</f>
        <v>0</v>
      </c>
      <c r="BA6" s="1333">
        <f>'HR Track 51 HER-TSA'!BA12</f>
        <v>0</v>
      </c>
      <c r="BB6" s="452">
        <f>'HR Track 51 HER-TSA'!BB12</f>
        <v>0</v>
      </c>
      <c r="BC6" s="1334">
        <f>'HR Track 51 HER-TSA'!BC12</f>
        <v>0</v>
      </c>
      <c r="BD6" s="1335">
        <f>'HR Track 51 HER-TSA'!BD12</f>
        <v>0</v>
      </c>
      <c r="BE6" s="1335">
        <f>'HR Track 51 HER-TSA'!BE12</f>
        <v>0</v>
      </c>
      <c r="BF6" s="1335">
        <f>'HR Track 51 HER-TSA'!BF12</f>
        <v>0</v>
      </c>
      <c r="BG6" s="1335">
        <f>'HR Track 51 HER-TSA'!BG12</f>
        <v>0</v>
      </c>
    </row>
    <row r="7" spans="1:59" ht="15.75" customHeight="1">
      <c r="A7" s="501">
        <f>'HR Track 51 HER-TSA'!A13</f>
        <v>0</v>
      </c>
      <c r="B7" s="716" t="str">
        <f>'HR Track 51 HER-TSA'!B13</f>
        <v>91-51.17</v>
      </c>
      <c r="C7" s="451">
        <f>'HR Track 51 HER-TSA'!C13</f>
        <v>91706.15</v>
      </c>
      <c r="D7" s="453">
        <f>'HR Track 51 HER-TSA'!D13</f>
        <v>0</v>
      </c>
      <c r="E7" s="452">
        <f>'HR Track 51 HER-TSA'!E13</f>
        <v>0</v>
      </c>
      <c r="F7" s="453">
        <f>'HR Track 51 HER-TSA'!F13</f>
        <v>0</v>
      </c>
      <c r="G7" s="500">
        <f>'HR Track 51 HER-TSA'!G13</f>
        <v>0</v>
      </c>
      <c r="H7" s="453" t="str">
        <f>'HR Track 51 HER-TSA'!H13</f>
        <v>P50(CS) S/A</v>
      </c>
      <c r="I7" s="501">
        <f>'HR Track 51 HER-TSA'!I13</f>
        <v>0</v>
      </c>
      <c r="J7" s="583">
        <f>'HR Track 51 HER-TSA'!J13</f>
        <v>0</v>
      </c>
      <c r="K7" s="452">
        <f>'HR Track 51 HER-TSA'!K13</f>
        <v>0</v>
      </c>
      <c r="L7" s="452" t="str">
        <f>'HR Track 51 HER-TSA'!L13</f>
        <v>2HEB-260</v>
      </c>
      <c r="M7" s="452" t="str">
        <f>'HR Track 51 HER-TSA'!M13</f>
        <v>2C4R</v>
      </c>
      <c r="N7" s="501" t="str">
        <f>'HR Track 51 HER-TSA'!N13</f>
        <v>EMT-T</v>
      </c>
      <c r="O7" s="501" t="str">
        <f>'HR Track 51 HER-TSA'!O13</f>
        <v>EMT-2</v>
      </c>
      <c r="P7" s="501" t="str">
        <f>'HR Track 51 HER-TSA'!P13</f>
        <v>EMT-E</v>
      </c>
      <c r="Q7" s="452">
        <f>'HR Track 51 HER-TSA'!Q13</f>
        <v>0</v>
      </c>
      <c r="R7" s="452">
        <f>'HR Track 51 HER-TSA'!R13</f>
        <v>0</v>
      </c>
      <c r="S7" s="500">
        <f>'HR Track 51 HER-TSA'!S13</f>
        <v>0</v>
      </c>
      <c r="T7" s="452">
        <f>'HR Track 51 HER-TSA'!T13</f>
        <v>-45</v>
      </c>
      <c r="U7" s="452">
        <f>'HR Track 51 HER-TSA'!U13</f>
        <v>-15</v>
      </c>
      <c r="V7" s="452">
        <f>'HR Track 51 HER-TSA'!V13</f>
        <v>-30</v>
      </c>
      <c r="W7" s="452">
        <f>'HR Track 51 HER-TSA'!W13</f>
        <v>2.2999999999999998</v>
      </c>
      <c r="X7" s="452">
        <f>'HR Track 51 HER-TSA'!X13</f>
        <v>1.4</v>
      </c>
      <c r="Y7" s="452">
        <f>'HR Track 51 HER-TSA'!Y13</f>
        <v>1.8</v>
      </c>
      <c r="Z7" s="452">
        <f>'HR Track 51 HER-TSA'!Z13</f>
        <v>0.45</v>
      </c>
      <c r="AA7" s="452">
        <f>'HR Track 51 HER-TSA'!AA13</f>
        <v>0</v>
      </c>
      <c r="AB7" s="452">
        <f>'HR Track 51 HER-TSA'!AB13</f>
        <v>0</v>
      </c>
      <c r="AC7" s="452">
        <f>'HR Track 51 HER-TSA'!AC13</f>
        <v>0</v>
      </c>
      <c r="AD7" s="452" t="str">
        <f>'HR Track 51 HER-TSA'!AD13</f>
        <v>BTC-1651</v>
      </c>
      <c r="AE7" s="452" t="str">
        <f>'HR Track 51 HER-TSA'!AE13</f>
        <v>PHQ-1450</v>
      </c>
      <c r="AF7" s="452">
        <f>'HR Track 51 HER-TSA'!AF13</f>
        <v>5800</v>
      </c>
      <c r="AG7" s="451">
        <f>'HR Track 51 HER-TSA'!AG13</f>
        <v>91706.3</v>
      </c>
      <c r="AH7" s="452">
        <f>'HR Track 51 HER-TSA'!AH13</f>
        <v>2563</v>
      </c>
      <c r="AI7" s="452">
        <f>'HR Track 51 HER-TSA'!AI13</f>
        <v>290</v>
      </c>
      <c r="AJ7" s="452">
        <f>'HR Track 51 HER-TSA'!AJ13</f>
        <v>0</v>
      </c>
      <c r="AK7" s="452">
        <f>'HR Track 51 HER-TSA'!AK13</f>
        <v>0</v>
      </c>
      <c r="AL7" s="452">
        <f>'HR Track 51 HER-TSA'!AL13</f>
        <v>0</v>
      </c>
      <c r="AM7" s="452" t="str">
        <f>'HR Track 51 HER-TSA'!AM13</f>
        <v>RW1</v>
      </c>
      <c r="AN7" s="500">
        <f>'HR Track 51 HER-TSA'!AN13</f>
        <v>5.5</v>
      </c>
      <c r="AO7" s="452">
        <f>'HR Track 51 HER-TSA'!AO13</f>
        <v>0</v>
      </c>
      <c r="AP7" s="452">
        <f>'HR Track 51 HER-TSA'!AP13</f>
        <v>0</v>
      </c>
      <c r="AQ7" s="452">
        <f>'HR Track 51 HER-TSA'!AQ13</f>
        <v>0</v>
      </c>
      <c r="AR7" s="452">
        <f>'HR Track 51 HER-TSA'!AR13</f>
        <v>0</v>
      </c>
      <c r="AS7" s="452">
        <f>'HR Track 51 HER-TSA'!AS13</f>
        <v>0</v>
      </c>
      <c r="AT7" s="452">
        <f>'HR Track 51 HER-TSA'!AT13</f>
        <v>-10.437098830895259</v>
      </c>
      <c r="AU7" s="452">
        <f>'HR Track 51 HER-TSA'!AU13</f>
        <v>0</v>
      </c>
      <c r="AV7" s="452">
        <f>'HR Track 51 HER-TSA'!AV13</f>
        <v>0</v>
      </c>
      <c r="AW7" s="452" t="str">
        <f>'HR Track 51 HER-TSA'!AW13</f>
        <v>Soil A</v>
      </c>
      <c r="AX7" s="452" t="str">
        <f>'HR Track 51 HER-TSA'!AX13</f>
        <v>PT</v>
      </c>
      <c r="AY7" s="500">
        <f>'HR Track 51 HER-TSA'!AY13</f>
        <v>4</v>
      </c>
      <c r="AZ7" s="500">
        <f>'HR Track 51 HER-TSA'!AZ13</f>
        <v>0</v>
      </c>
      <c r="BA7" s="1333" t="str">
        <f>'HR Track 51 HER-TSA'!BA13</f>
        <v>ü</v>
      </c>
      <c r="BB7" s="452" t="str">
        <f>'HR Track 51 HER-TSA'!BB13</f>
        <v>App.7.1-V01-P9.5.1.6</v>
      </c>
      <c r="BC7" s="1334">
        <f>'HR Track 51 HER-TSA'!BC13</f>
        <v>0</v>
      </c>
      <c r="BD7" s="1335">
        <f>'HR Track 51 HER-TSA'!BD13</f>
        <v>43862</v>
      </c>
      <c r="BE7" s="1335">
        <f>'HR Track 51 HER-TSA'!BE13</f>
        <v>0</v>
      </c>
      <c r="BF7" s="1335">
        <f>'HR Track 51 HER-TSA'!BF13</f>
        <v>0</v>
      </c>
      <c r="BG7" s="1335">
        <f>'HR Track 51 HER-TSA'!BG13</f>
        <v>43893</v>
      </c>
    </row>
    <row r="8" spans="1:59" ht="15.75" customHeight="1">
      <c r="A8" s="501">
        <f>'HR Track 53 HER-TSA'!A10</f>
        <v>0</v>
      </c>
      <c r="B8" s="716">
        <f>'HR Track 53 HER-TSA'!B10</f>
        <v>0</v>
      </c>
      <c r="C8" s="451">
        <f>'HR Track 53 HER-TSA'!C10</f>
        <v>0</v>
      </c>
      <c r="D8" s="453">
        <f>'HR Track 53 HER-TSA'!D10</f>
        <v>0</v>
      </c>
      <c r="E8" s="452">
        <f>'HR Track 53 HER-TSA'!E10</f>
        <v>0</v>
      </c>
      <c r="F8" s="453">
        <f>'HR Track 53 HER-TSA'!F10</f>
        <v>0</v>
      </c>
      <c r="G8" s="500">
        <f>'HR Track 53 HER-TSA'!G10</f>
        <v>31.9</v>
      </c>
      <c r="H8" s="453">
        <f>'HR Track 53 HER-TSA'!H10</f>
        <v>0</v>
      </c>
      <c r="I8" s="501">
        <f>'HR Track 53 HER-TSA'!I10</f>
        <v>0</v>
      </c>
      <c r="J8" s="583">
        <f>'HR Track 53 HER-TSA'!J10</f>
        <v>0</v>
      </c>
      <c r="K8" s="452">
        <f>'HR Track 53 HER-TSA'!K10</f>
        <v>0</v>
      </c>
      <c r="L8" s="452">
        <f>'HR Track 53 HER-TSA'!L10</f>
        <v>0</v>
      </c>
      <c r="M8" s="452">
        <f>'HR Track 53 HER-TSA'!M10</f>
        <v>0</v>
      </c>
      <c r="N8" s="501">
        <f>'HR Track 53 HER-TSA'!N10</f>
        <v>0</v>
      </c>
      <c r="O8" s="501">
        <f>'HR Track 53 HER-TSA'!O10</f>
        <v>0</v>
      </c>
      <c r="P8" s="501">
        <f>'HR Track 53 HER-TSA'!P10</f>
        <v>0</v>
      </c>
      <c r="Q8" s="452">
        <f>'HR Track 53 HER-TSA'!Q10</f>
        <v>0</v>
      </c>
      <c r="R8" s="452">
        <f>'HR Track 53 HER-TSA'!R10</f>
        <v>0</v>
      </c>
      <c r="S8" s="500">
        <f>'HR Track 53 HER-TSA'!S10</f>
        <v>0</v>
      </c>
      <c r="T8" s="452">
        <f>'HR Track 53 HER-TSA'!T10</f>
        <v>0</v>
      </c>
      <c r="U8" s="452">
        <f>'HR Track 53 HER-TSA'!U10</f>
        <v>0</v>
      </c>
      <c r="V8" s="452">
        <f>'HR Track 53 HER-TSA'!V10</f>
        <v>0</v>
      </c>
      <c r="W8" s="452">
        <f>'HR Track 53 HER-TSA'!W10</f>
        <v>0</v>
      </c>
      <c r="X8" s="452">
        <f>'HR Track 53 HER-TSA'!X10</f>
        <v>0</v>
      </c>
      <c r="Y8" s="452">
        <f>'HR Track 53 HER-TSA'!Y10</f>
        <v>0</v>
      </c>
      <c r="Z8" s="452">
        <f>'HR Track 53 HER-TSA'!Z10</f>
        <v>0</v>
      </c>
      <c r="AA8" s="452">
        <f>'HR Track 53 HER-TSA'!AA10</f>
        <v>0</v>
      </c>
      <c r="AB8" s="452">
        <f>'HR Track 53 HER-TSA'!AB10</f>
        <v>0</v>
      </c>
      <c r="AC8" s="452">
        <f>'HR Track 53 HER-TSA'!AC10</f>
        <v>0</v>
      </c>
      <c r="AD8" s="452">
        <f>'HR Track 53 HER-TSA'!AD10</f>
        <v>0</v>
      </c>
      <c r="AE8" s="452">
        <f>'HR Track 53 HER-TSA'!AE10</f>
        <v>0</v>
      </c>
      <c r="AF8" s="452">
        <f>'HR Track 53 HER-TSA'!AF10</f>
        <v>0</v>
      </c>
      <c r="AG8" s="451">
        <f>'HR Track 53 HER-TSA'!AG10</f>
        <v>0</v>
      </c>
      <c r="AH8" s="452">
        <f>'HR Track 53 HER-TSA'!AH10</f>
        <v>0</v>
      </c>
      <c r="AI8" s="452">
        <f>'HR Track 53 HER-TSA'!AI10</f>
        <v>0</v>
      </c>
      <c r="AJ8" s="452">
        <f>'HR Track 53 HER-TSA'!AJ10</f>
        <v>0</v>
      </c>
      <c r="AK8" s="452">
        <f>'HR Track 53 HER-TSA'!AK10</f>
        <v>0</v>
      </c>
      <c r="AL8" s="452">
        <f>'HR Track 53 HER-TSA'!AL10</f>
        <v>0</v>
      </c>
      <c r="AM8" s="452">
        <f>'HR Track 53 HER-TSA'!AM10</f>
        <v>0</v>
      </c>
      <c r="AN8" s="500">
        <f>'HR Track 53 HER-TSA'!AN10</f>
        <v>0</v>
      </c>
      <c r="AO8" s="452">
        <f>'HR Track 53 HER-TSA'!AO10</f>
        <v>0</v>
      </c>
      <c r="AP8" s="452">
        <f>'HR Track 53 HER-TSA'!AP10</f>
        <v>0</v>
      </c>
      <c r="AQ8" s="452">
        <f>'HR Track 53 HER-TSA'!AQ10</f>
        <v>0</v>
      </c>
      <c r="AR8" s="452">
        <f>'HR Track 53 HER-TSA'!AR10</f>
        <v>0</v>
      </c>
      <c r="AS8" s="452">
        <f>'HR Track 53 HER-TSA'!AS10</f>
        <v>0</v>
      </c>
      <c r="AT8" s="452">
        <f>'HR Track 53 HER-TSA'!AT10</f>
        <v>0</v>
      </c>
      <c r="AU8" s="452">
        <f>'HR Track 53 HER-TSA'!AU10</f>
        <v>0</v>
      </c>
      <c r="AV8" s="452">
        <f>'HR Track 53 HER-TSA'!AV10</f>
        <v>0</v>
      </c>
      <c r="AW8" s="452">
        <f>'HR Track 53 HER-TSA'!AW10</f>
        <v>0</v>
      </c>
      <c r="AX8" s="452">
        <f>'HR Track 53 HER-TSA'!AX10</f>
        <v>0</v>
      </c>
      <c r="AY8" s="500">
        <f>'HR Track 53 HER-TSA'!AY10</f>
        <v>0</v>
      </c>
      <c r="AZ8" s="500">
        <f>'HR Track 53 HER-TSA'!AZ10</f>
        <v>0</v>
      </c>
      <c r="BA8" s="1333">
        <f>'HR Track 53 HER-TSA'!BA10</f>
        <v>0</v>
      </c>
      <c r="BB8" s="452">
        <f>'HR Track 53 HER-TSA'!BB10</f>
        <v>0</v>
      </c>
      <c r="BC8" s="1334">
        <f>'HR Track 53 HER-TSA'!BC10</f>
        <v>0</v>
      </c>
      <c r="BD8" s="1335">
        <f>'HR Track 53 HER-TSA'!BD10</f>
        <v>0</v>
      </c>
      <c r="BE8" s="1335">
        <f>'HR Track 53 HER-TSA'!BE10</f>
        <v>0</v>
      </c>
      <c r="BF8" s="1335">
        <f>'HR Track 53 HER-TSA'!BF10</f>
        <v>0</v>
      </c>
      <c r="BG8" s="1335">
        <f>'HR Track 53 HER-TSA'!BG10</f>
        <v>0</v>
      </c>
    </row>
    <row r="9" spans="1:59" ht="15.75" customHeight="1">
      <c r="A9" s="501">
        <f>'HR Track 53 HER-TSA'!A11</f>
        <v>0</v>
      </c>
      <c r="B9" s="716" t="str">
        <f>'HR Track 53 HER-TSA'!B11</f>
        <v>91-53.18</v>
      </c>
      <c r="C9" s="451">
        <f>'HR Track 53 HER-TSA'!C11</f>
        <v>91738.050499999998</v>
      </c>
      <c r="D9" s="453">
        <f>'HR Track 53 HER-TSA'!D11</f>
        <v>0</v>
      </c>
      <c r="E9" s="452">
        <f>'HR Track 53 HER-TSA'!E11</f>
        <v>0</v>
      </c>
      <c r="F9" s="453">
        <f>'HR Track 53 HER-TSA'!F11</f>
        <v>0</v>
      </c>
      <c r="G9" s="500">
        <f>'HR Track 53 HER-TSA'!G11</f>
        <v>0</v>
      </c>
      <c r="H9" s="453" t="str">
        <f>'HR Track 53 HER-TSA'!H11</f>
        <v>P30(CS)</v>
      </c>
      <c r="I9" s="501">
        <f>'HR Track 53 HER-TSA'!I11</f>
        <v>0</v>
      </c>
      <c r="J9" s="583">
        <f>'HR Track 53 HER-TSA'!J11</f>
        <v>0</v>
      </c>
      <c r="K9" s="452">
        <f>'HR Track 53 HER-TSA'!K11</f>
        <v>0</v>
      </c>
      <c r="L9" s="452" t="str">
        <f>'HR Track 53 HER-TSA'!L11</f>
        <v>2HEB-240</v>
      </c>
      <c r="M9" s="452" t="str">
        <f>'HR Track 53 HER-TSA'!M11</f>
        <v>2C3R</v>
      </c>
      <c r="N9" s="501" t="str">
        <f>'HR Track 53 HER-TSA'!N11</f>
        <v>EMT-E</v>
      </c>
      <c r="O9" s="501" t="str">
        <f>'HR Track 53 HER-TSA'!O11</f>
        <v>EMT-2</v>
      </c>
      <c r="P9" s="501">
        <f>'HR Track 53 HER-TSA'!P11</f>
        <v>0</v>
      </c>
      <c r="Q9" s="452">
        <f>'HR Track 53 HER-TSA'!Q11</f>
        <v>0</v>
      </c>
      <c r="R9" s="452">
        <f>'HR Track 53 HER-TSA'!R11</f>
        <v>0</v>
      </c>
      <c r="S9" s="500">
        <f>'HR Track 53 HER-TSA'!S11</f>
        <v>0</v>
      </c>
      <c r="T9" s="452">
        <f>'HR Track 53 HER-TSA'!T11</f>
        <v>5</v>
      </c>
      <c r="U9" s="452">
        <f>'HR Track 53 HER-TSA'!U11</f>
        <v>20</v>
      </c>
      <c r="V9" s="452">
        <f>'HR Track 53 HER-TSA'!V11</f>
        <v>0</v>
      </c>
      <c r="W9" s="452">
        <f>'HR Track 53 HER-TSA'!W11</f>
        <v>2.2999999999999998</v>
      </c>
      <c r="X9" s="452">
        <f>'HR Track 53 HER-TSA'!X11</f>
        <v>1.4</v>
      </c>
      <c r="Y9" s="452">
        <f>'HR Track 53 HER-TSA'!Y11</f>
        <v>0</v>
      </c>
      <c r="Z9" s="452">
        <f>'HR Track 53 HER-TSA'!Z11</f>
        <v>0</v>
      </c>
      <c r="AA9" s="452">
        <f>'HR Track 53 HER-TSA'!AA11</f>
        <v>0</v>
      </c>
      <c r="AB9" s="452">
        <f>'HR Track 53 HER-TSA'!AB11</f>
        <v>0</v>
      </c>
      <c r="AC9" s="452" t="str">
        <f>'HR Track 53 HER-TSA'!AC11</f>
        <v>BTC-1651</v>
      </c>
      <c r="AD9" s="452" t="str">
        <f>'HR Track 53 HER-TSA'!AD11</f>
        <v>PHQ-1450</v>
      </c>
      <c r="AE9" s="452">
        <f>'HR Track 53 HER-TSA'!AE11</f>
        <v>0</v>
      </c>
      <c r="AF9" s="452">
        <f>'HR Track 53 HER-TSA'!AF11</f>
        <v>5500</v>
      </c>
      <c r="AG9" s="451">
        <f>'HR Track 53 HER-TSA'!AG11</f>
        <v>91738</v>
      </c>
      <c r="AH9" s="452">
        <f>'HR Track 53 HER-TSA'!AH11</f>
        <v>1923</v>
      </c>
      <c r="AI9" s="452">
        <f>'HR Track 53 HER-TSA'!AI11</f>
        <v>260</v>
      </c>
      <c r="AJ9" s="452">
        <f>'HR Track 53 HER-TSA'!AJ11</f>
        <v>0</v>
      </c>
      <c r="AK9" s="452">
        <f>'HR Track 53 HER-TSA'!AK11</f>
        <v>0</v>
      </c>
      <c r="AL9" s="452">
        <f>'HR Track 53 HER-TSA'!AL11</f>
        <v>0</v>
      </c>
      <c r="AM9" s="452" t="str">
        <f>'HR Track 53 HER-TSA'!AM11</f>
        <v>RW1</v>
      </c>
      <c r="AN9" s="500">
        <f>'HR Track 53 HER-TSA'!AN11</f>
        <v>5.5</v>
      </c>
      <c r="AO9" s="452">
        <f>'HR Track 53 HER-TSA'!AO11</f>
        <v>0</v>
      </c>
      <c r="AP9" s="452">
        <f>'HR Track 53 HER-TSA'!AP11</f>
        <v>0</v>
      </c>
      <c r="AQ9" s="452">
        <f>'HR Track 53 HER-TSA'!AQ11</f>
        <v>0</v>
      </c>
      <c r="AR9" s="452">
        <f>'HR Track 53 HER-TSA'!AR11</f>
        <v>0</v>
      </c>
      <c r="AS9" s="452">
        <f>'HR Track 53 HER-TSA'!AS11</f>
        <v>0</v>
      </c>
      <c r="AT9" s="452">
        <f>'HR Track 53 HER-TSA'!AT11</f>
        <v>0</v>
      </c>
      <c r="AU9" s="452">
        <f>'HR Track 53 HER-TSA'!AU11</f>
        <v>0</v>
      </c>
      <c r="AV9" s="452">
        <f>'HR Track 53 HER-TSA'!AV11</f>
        <v>0</v>
      </c>
      <c r="AW9" s="452" t="str">
        <f>'HR Track 53 HER-TSA'!AW11</f>
        <v>Soil A</v>
      </c>
      <c r="AX9" s="452" t="str">
        <f>'HR Track 53 HER-TSA'!AX11</f>
        <v>PT</v>
      </c>
      <c r="AY9" s="500">
        <f>'HR Track 53 HER-TSA'!AY11</f>
        <v>3.7</v>
      </c>
      <c r="AZ9" s="500">
        <f>'HR Track 53 HER-TSA'!AZ11</f>
        <v>0</v>
      </c>
      <c r="BA9" s="1333" t="str">
        <f>'HR Track 53 HER-TSA'!BA11</f>
        <v>ü</v>
      </c>
      <c r="BB9" s="452" t="str">
        <f>'HR Track 53 HER-TSA'!BB11</f>
        <v>App.7.1-V01-P9.5.1.5</v>
      </c>
      <c r="BC9" s="1334">
        <f>'HR Track 53 HER-TSA'!BC11</f>
        <v>0</v>
      </c>
      <c r="BD9" s="1335">
        <f>'HR Track 53 HER-TSA'!BD11</f>
        <v>43831</v>
      </c>
      <c r="BE9" s="1335">
        <f>'HR Track 53 HER-TSA'!BE11</f>
        <v>0</v>
      </c>
      <c r="BF9" s="1335">
        <f>'HR Track 53 HER-TSA'!BF11</f>
        <v>0</v>
      </c>
      <c r="BG9" s="1335">
        <f>'HR Track 53 HER-TSA'!BG11</f>
        <v>43893</v>
      </c>
    </row>
    <row r="10" spans="1:59" ht="15.75" customHeight="1">
      <c r="A10" s="1239"/>
      <c r="B10" s="173"/>
      <c r="C10" s="446"/>
      <c r="D10" s="447"/>
      <c r="E10" s="447"/>
      <c r="F10" s="1239"/>
      <c r="G10" s="484">
        <v>32.200000000000003</v>
      </c>
      <c r="H10" s="1239"/>
      <c r="I10" s="1239"/>
      <c r="J10" s="446"/>
      <c r="K10" s="638"/>
      <c r="L10" s="638"/>
      <c r="M10" s="638"/>
      <c r="N10" s="1239"/>
      <c r="O10" s="1239"/>
      <c r="P10" s="638"/>
      <c r="Q10" s="638"/>
      <c r="R10" s="638"/>
      <c r="S10" s="484"/>
      <c r="T10" s="638"/>
      <c r="U10" s="638"/>
      <c r="V10" s="484">
        <f>AG11-AG9</f>
        <v>32.350000000005821</v>
      </c>
      <c r="W10" s="638"/>
      <c r="X10" s="638"/>
      <c r="Y10" s="638"/>
      <c r="Z10" s="638"/>
      <c r="AA10" s="638"/>
      <c r="AB10" s="638"/>
      <c r="AC10" s="638"/>
      <c r="AD10" s="638"/>
      <c r="AE10" s="638"/>
      <c r="AF10" s="638"/>
      <c r="AG10" s="446"/>
      <c r="AH10" s="638"/>
      <c r="AI10" s="185"/>
      <c r="AJ10" s="638"/>
      <c r="AK10" s="1239"/>
      <c r="AL10" s="638"/>
      <c r="AM10" s="638"/>
      <c r="AN10" s="455"/>
      <c r="AO10" s="1239"/>
      <c r="AP10" s="1239"/>
      <c r="AQ10" s="484"/>
      <c r="AR10" s="484"/>
      <c r="AS10" s="484"/>
      <c r="AT10" s="484"/>
      <c r="AU10" s="638"/>
      <c r="AV10" s="638"/>
      <c r="AW10" s="638"/>
      <c r="AX10" s="638"/>
      <c r="AY10" s="484"/>
      <c r="AZ10" s="484"/>
      <c r="BA10" s="671"/>
      <c r="BB10" s="1239"/>
      <c r="BC10" s="169"/>
      <c r="BD10" s="1330"/>
      <c r="BE10" s="1330"/>
      <c r="BF10" s="1330"/>
      <c r="BG10" s="1330"/>
    </row>
    <row r="11" spans="1:59" ht="15.75" customHeight="1">
      <c r="A11" s="1239"/>
      <c r="B11" s="173" t="s">
        <v>2303</v>
      </c>
      <c r="C11" s="446">
        <v>91770.25</v>
      </c>
      <c r="D11" s="447"/>
      <c r="E11" s="447"/>
      <c r="F11" s="1239">
        <v>0</v>
      </c>
      <c r="G11" s="484"/>
      <c r="H11" s="1239"/>
      <c r="I11" s="445"/>
      <c r="J11" s="446"/>
      <c r="K11" s="638"/>
      <c r="L11" s="638"/>
      <c r="M11" s="638"/>
      <c r="N11" s="1239" t="s">
        <v>2794</v>
      </c>
      <c r="O11" s="1239"/>
      <c r="P11" s="638"/>
      <c r="Q11" s="638">
        <v>0</v>
      </c>
      <c r="R11" s="638">
        <v>0</v>
      </c>
      <c r="S11" s="484"/>
      <c r="T11" s="638">
        <v>-30</v>
      </c>
      <c r="U11" s="638"/>
      <c r="V11" s="638"/>
      <c r="W11" s="638">
        <v>1.4</v>
      </c>
      <c r="X11" s="638"/>
      <c r="Y11" s="638"/>
      <c r="Z11" s="638"/>
      <c r="AA11" s="638"/>
      <c r="AB11" s="638"/>
      <c r="AC11" s="1239" t="s">
        <v>4090</v>
      </c>
      <c r="AD11" s="638"/>
      <c r="AE11" s="638"/>
      <c r="AF11" s="638">
        <v>100</v>
      </c>
      <c r="AG11" s="446">
        <v>91770.35</v>
      </c>
      <c r="AH11" s="638">
        <v>1453</v>
      </c>
      <c r="AI11" s="185">
        <v>-5200</v>
      </c>
      <c r="AJ11" s="638"/>
      <c r="AK11" s="445" t="s">
        <v>139</v>
      </c>
      <c r="AL11" s="638"/>
      <c r="AM11" s="445"/>
      <c r="AN11" s="455">
        <v>5.5</v>
      </c>
      <c r="AO11" s="1239"/>
      <c r="AP11" s="1239"/>
      <c r="AQ11" s="484"/>
      <c r="AR11" s="484"/>
      <c r="AS11" s="484"/>
      <c r="AT11" s="484"/>
      <c r="AU11" s="638"/>
      <c r="AV11" s="638"/>
      <c r="AW11" s="484"/>
      <c r="AX11" s="484"/>
      <c r="AY11" s="484"/>
      <c r="AZ11" s="484"/>
      <c r="BA11" s="671"/>
      <c r="BB11" s="1239"/>
      <c r="BC11" s="169"/>
      <c r="BD11" s="1371"/>
      <c r="BE11" s="1371"/>
      <c r="BF11" s="1371"/>
      <c r="BG11" s="1371"/>
    </row>
    <row r="12" spans="1:59" ht="15.75" customHeight="1">
      <c r="A12" s="1239"/>
      <c r="B12" s="173"/>
      <c r="C12" s="446"/>
      <c r="D12" s="447"/>
      <c r="E12" s="447"/>
      <c r="F12" s="1239"/>
      <c r="G12" s="484">
        <v>27</v>
      </c>
      <c r="H12" s="1239"/>
      <c r="I12" s="455"/>
      <c r="J12" s="446"/>
      <c r="K12" s="638"/>
      <c r="L12" s="638"/>
      <c r="M12" s="638"/>
      <c r="N12" s="1239"/>
      <c r="O12" s="1239"/>
      <c r="P12" s="638"/>
      <c r="Q12" s="638"/>
      <c r="R12" s="638"/>
      <c r="S12" s="484"/>
      <c r="T12" s="638"/>
      <c r="U12" s="638"/>
      <c r="V12" s="484">
        <f>AG13-AG11</f>
        <v>-91770.35</v>
      </c>
      <c r="W12" s="638"/>
      <c r="X12" s="638"/>
      <c r="Y12" s="638"/>
      <c r="Z12" s="638"/>
      <c r="AA12" s="638"/>
      <c r="AB12" s="638"/>
      <c r="AC12" s="638"/>
      <c r="AD12" s="638"/>
      <c r="AE12" s="638"/>
      <c r="AF12" s="638"/>
      <c r="AG12" s="446"/>
      <c r="AH12" s="638"/>
      <c r="AI12" s="185"/>
      <c r="AJ12" s="638"/>
      <c r="AK12" s="1239"/>
      <c r="AL12" s="638"/>
      <c r="AM12" s="638"/>
      <c r="AN12" s="455"/>
      <c r="AO12" s="1239"/>
      <c r="AP12" s="1239"/>
      <c r="AQ12" s="484">
        <f>+FL_1($T$13,$T$11,$G$12,1200,9.28, 1*$F$13)</f>
        <v>0.35</v>
      </c>
      <c r="AR12" s="484"/>
      <c r="AS12" s="484"/>
      <c r="AT12" s="484"/>
      <c r="AU12" s="638"/>
      <c r="AV12" s="638"/>
      <c r="AW12" s="484"/>
      <c r="AX12" s="484"/>
      <c r="AY12" s="484"/>
      <c r="AZ12" s="484"/>
      <c r="BA12" s="671"/>
      <c r="BB12" s="1239"/>
      <c r="BC12" s="169"/>
      <c r="BD12" s="1330"/>
      <c r="BE12" s="1330"/>
      <c r="BF12" s="1330"/>
      <c r="BG12" s="1330"/>
    </row>
    <row r="13" spans="1:59" ht="15.75" customHeight="1">
      <c r="A13" s="449"/>
      <c r="B13" s="173" t="s">
        <v>2742</v>
      </c>
      <c r="C13" s="446">
        <f>+$C$11+$G$12</f>
        <v>91797.25</v>
      </c>
      <c r="D13" s="445"/>
      <c r="E13" s="445"/>
      <c r="F13" s="445" t="s">
        <v>2312</v>
      </c>
      <c r="G13" s="484"/>
      <c r="H13" s="445"/>
      <c r="I13" s="1239"/>
      <c r="J13" s="446"/>
      <c r="K13" s="638"/>
      <c r="L13" s="445"/>
      <c r="M13" s="445"/>
      <c r="N13" s="445" t="s">
        <v>844</v>
      </c>
      <c r="O13" s="1239"/>
      <c r="P13" s="445"/>
      <c r="Q13" s="638">
        <v>0</v>
      </c>
      <c r="R13" s="638">
        <v>0</v>
      </c>
      <c r="S13" s="484"/>
      <c r="T13" s="638">
        <v>35</v>
      </c>
      <c r="U13" s="638"/>
      <c r="V13" s="638"/>
      <c r="W13" s="638">
        <v>1.4</v>
      </c>
      <c r="X13" s="638"/>
      <c r="Y13" s="638"/>
      <c r="Z13" s="638"/>
      <c r="AA13" s="638"/>
      <c r="AB13" s="638"/>
      <c r="AC13" s="1239" t="s">
        <v>4090</v>
      </c>
      <c r="AD13" s="638"/>
      <c r="AE13" s="638"/>
      <c r="AF13" s="638">
        <v>100</v>
      </c>
      <c r="AG13" s="446"/>
      <c r="AH13" s="638">
        <v>1700</v>
      </c>
      <c r="AI13" s="185">
        <v>-6100</v>
      </c>
      <c r="AJ13" s="445"/>
      <c r="AK13" s="445" t="s">
        <v>139</v>
      </c>
      <c r="AL13" s="638"/>
      <c r="AM13" s="445"/>
      <c r="AN13" s="484">
        <v>5.5</v>
      </c>
      <c r="AO13" s="445"/>
      <c r="AP13" s="445"/>
      <c r="AQ13" s="484"/>
      <c r="AR13" s="484"/>
      <c r="AS13" s="484"/>
      <c r="AT13" s="484">
        <f>+ab($T$13,$T$11,$T$15,$G$12,$G$14, 1*$F$13,1200)</f>
        <v>4.4543483500701342</v>
      </c>
      <c r="AU13" s="638"/>
      <c r="AV13" s="638"/>
      <c r="AW13" s="484"/>
      <c r="AX13" s="484"/>
      <c r="AY13" s="484"/>
      <c r="AZ13" s="484"/>
      <c r="BA13" s="671"/>
      <c r="BB13" s="449"/>
      <c r="BC13" s="169"/>
      <c r="BD13" s="1371"/>
      <c r="BE13" s="1371"/>
      <c r="BF13" s="1371"/>
      <c r="BG13" s="1371"/>
    </row>
    <row r="14" spans="1:59" ht="15.75" customHeight="1">
      <c r="A14" s="449"/>
      <c r="B14" s="173"/>
      <c r="C14" s="446"/>
      <c r="D14" s="445"/>
      <c r="E14" s="445"/>
      <c r="F14" s="445"/>
      <c r="G14" s="484">
        <v>37</v>
      </c>
      <c r="H14" s="445"/>
      <c r="I14" s="1239"/>
      <c r="J14" s="171"/>
      <c r="K14" s="1239"/>
      <c r="L14" s="445"/>
      <c r="M14" s="445"/>
      <c r="N14" s="445"/>
      <c r="O14" s="445"/>
      <c r="P14" s="445"/>
      <c r="Q14" s="638"/>
      <c r="R14" s="638"/>
      <c r="S14" s="484"/>
      <c r="T14" s="638"/>
      <c r="U14" s="638"/>
      <c r="V14" s="484">
        <f>AG15-AG13</f>
        <v>91834</v>
      </c>
      <c r="W14" s="638"/>
      <c r="X14" s="638"/>
      <c r="Y14" s="638"/>
      <c r="Z14" s="638"/>
      <c r="AA14" s="638"/>
      <c r="AB14" s="638"/>
      <c r="AC14" s="638"/>
      <c r="AD14" s="638"/>
      <c r="AE14" s="638"/>
      <c r="AF14" s="638"/>
      <c r="AG14" s="446"/>
      <c r="AH14" s="638"/>
      <c r="AI14" s="185"/>
      <c r="AJ14" s="445"/>
      <c r="AK14" s="445"/>
      <c r="AL14" s="445"/>
      <c r="AM14" s="445"/>
      <c r="AN14" s="484"/>
      <c r="AO14" s="445"/>
      <c r="AP14" s="445"/>
      <c r="AQ14" s="484">
        <f>+FL_1($T$15,$T$13,$G$14,1200,9.28, 1*$F$15)</f>
        <v>0.35000000000000558</v>
      </c>
      <c r="AR14" s="484"/>
      <c r="AS14" s="484"/>
      <c r="AT14" s="484"/>
      <c r="AU14" s="638"/>
      <c r="AV14" s="638"/>
      <c r="AW14" s="638"/>
      <c r="AX14" s="638"/>
      <c r="AY14" s="484"/>
      <c r="AZ14" s="484"/>
      <c r="BA14" s="1304"/>
      <c r="BB14" s="449"/>
      <c r="BC14" s="169"/>
      <c r="BD14" s="1330"/>
      <c r="BE14" s="1330"/>
      <c r="BF14" s="1330"/>
      <c r="BG14" s="1330"/>
    </row>
    <row r="15" spans="1:59" ht="15.75" customHeight="1">
      <c r="A15" s="449"/>
      <c r="B15" s="173" t="s">
        <v>2743</v>
      </c>
      <c r="C15" s="446">
        <f>+$C$13+$G$14</f>
        <v>91834.25</v>
      </c>
      <c r="D15" s="445"/>
      <c r="E15" s="445"/>
      <c r="F15" s="445" t="s">
        <v>2312</v>
      </c>
      <c r="G15" s="484"/>
      <c r="H15" s="445"/>
      <c r="I15" s="445"/>
      <c r="J15" s="446"/>
      <c r="K15" s="638"/>
      <c r="L15" s="445"/>
      <c r="M15" s="445"/>
      <c r="N15" s="1239" t="s">
        <v>2794</v>
      </c>
      <c r="O15" s="445"/>
      <c r="P15" s="445"/>
      <c r="Q15" s="638">
        <v>0</v>
      </c>
      <c r="R15" s="638">
        <v>0</v>
      </c>
      <c r="S15" s="484"/>
      <c r="T15" s="638">
        <v>-35</v>
      </c>
      <c r="U15" s="638"/>
      <c r="V15" s="638"/>
      <c r="W15" s="638">
        <v>1.4</v>
      </c>
      <c r="X15" s="638"/>
      <c r="Y15" s="638"/>
      <c r="Z15" s="638"/>
      <c r="AA15" s="638"/>
      <c r="AB15" s="638"/>
      <c r="AC15" s="1239" t="s">
        <v>1421</v>
      </c>
      <c r="AD15" s="638"/>
      <c r="AE15" s="638"/>
      <c r="AF15" s="638">
        <v>100</v>
      </c>
      <c r="AG15" s="446">
        <v>91834</v>
      </c>
      <c r="AH15" s="638">
        <v>1703</v>
      </c>
      <c r="AI15" s="185">
        <v>-5750</v>
      </c>
      <c r="AJ15" s="445"/>
      <c r="AK15" s="445" t="s">
        <v>139</v>
      </c>
      <c r="AL15" s="638"/>
      <c r="AM15" s="445"/>
      <c r="AN15" s="484">
        <v>5.5</v>
      </c>
      <c r="AO15" s="445"/>
      <c r="AP15" s="445"/>
      <c r="AQ15" s="484"/>
      <c r="AR15" s="484"/>
      <c r="AS15" s="484"/>
      <c r="AT15" s="484">
        <f>+ab($T$15,$T$13,$T$17,$G$14,$G$16, 1*$F$15,1200)</f>
        <v>-5.1516910184755043</v>
      </c>
      <c r="AU15" s="638"/>
      <c r="AV15" s="638"/>
      <c r="AW15" s="484"/>
      <c r="AX15" s="484"/>
      <c r="AY15" s="484"/>
      <c r="AZ15" s="484"/>
      <c r="BA15" s="671"/>
      <c r="BB15" s="449"/>
      <c r="BC15" s="169"/>
      <c r="BD15" s="1371"/>
      <c r="BE15" s="1371"/>
      <c r="BF15" s="1371"/>
      <c r="BG15" s="1371"/>
    </row>
    <row r="16" spans="1:59" ht="16.5" customHeight="1">
      <c r="A16" s="449"/>
      <c r="B16" s="173"/>
      <c r="C16" s="446"/>
      <c r="D16" s="445"/>
      <c r="E16" s="445"/>
      <c r="F16" s="445"/>
      <c r="G16" s="484">
        <v>38.4</v>
      </c>
      <c r="H16" s="445"/>
      <c r="I16" s="455"/>
      <c r="J16" s="446"/>
      <c r="K16" s="445"/>
      <c r="L16" s="445"/>
      <c r="M16" s="445"/>
      <c r="N16" s="445"/>
      <c r="O16" s="445"/>
      <c r="P16" s="445"/>
      <c r="Q16" s="638"/>
      <c r="R16" s="638"/>
      <c r="S16" s="484"/>
      <c r="T16" s="638"/>
      <c r="U16" s="638"/>
      <c r="V16" s="484">
        <f>AG17-AG15</f>
        <v>38</v>
      </c>
      <c r="W16" s="638"/>
      <c r="X16" s="638"/>
      <c r="Y16" s="638"/>
      <c r="Z16" s="638"/>
      <c r="AA16" s="638"/>
      <c r="AB16" s="638"/>
      <c r="AC16" s="638"/>
      <c r="AD16" s="638"/>
      <c r="AE16" s="638"/>
      <c r="AF16" s="638"/>
      <c r="AG16" s="446"/>
      <c r="AH16" s="638"/>
      <c r="AI16" s="185"/>
      <c r="AJ16" s="445"/>
      <c r="AK16" s="445"/>
      <c r="AL16" s="445"/>
      <c r="AM16" s="445"/>
      <c r="AN16" s="484"/>
      <c r="AO16" s="445"/>
      <c r="AP16" s="445"/>
      <c r="AQ16" s="484">
        <f>+FL_2($T$17,$T$15,$G$16,1200,9.28, 1*$F$17)</f>
        <v>-0.35000000000000309</v>
      </c>
      <c r="AR16" s="484"/>
      <c r="AS16" s="484"/>
      <c r="AT16" s="484"/>
      <c r="AU16" s="638"/>
      <c r="AV16" s="638"/>
      <c r="AW16" s="638"/>
      <c r="AX16" s="638"/>
      <c r="AY16" s="484"/>
      <c r="AZ16" s="484"/>
      <c r="BA16" s="1304"/>
      <c r="BB16" s="449"/>
      <c r="BC16" s="169"/>
      <c r="BD16" s="1330"/>
      <c r="BE16" s="1330"/>
      <c r="BF16" s="1330"/>
      <c r="BG16" s="1330"/>
    </row>
    <row r="17" spans="1:59" ht="15.75" customHeight="1">
      <c r="A17" s="449"/>
      <c r="B17" s="173" t="s">
        <v>2744</v>
      </c>
      <c r="C17" s="446">
        <f>+$C$15+$G$16</f>
        <v>91872.65</v>
      </c>
      <c r="D17" s="445"/>
      <c r="E17" s="445"/>
      <c r="F17" s="445" t="s">
        <v>2312</v>
      </c>
      <c r="G17" s="484"/>
      <c r="H17" s="445"/>
      <c r="I17" s="1239"/>
      <c r="J17" s="446"/>
      <c r="K17" s="445"/>
      <c r="L17" s="445"/>
      <c r="M17" s="445"/>
      <c r="N17" s="445" t="s">
        <v>844</v>
      </c>
      <c r="O17" s="445"/>
      <c r="P17" s="445"/>
      <c r="Q17" s="638">
        <v>0</v>
      </c>
      <c r="R17" s="638">
        <v>0</v>
      </c>
      <c r="S17" s="484"/>
      <c r="T17" s="638">
        <v>35</v>
      </c>
      <c r="U17" s="638"/>
      <c r="V17" s="638"/>
      <c r="W17" s="638">
        <v>1.4</v>
      </c>
      <c r="X17" s="638"/>
      <c r="Y17" s="638"/>
      <c r="Z17" s="638"/>
      <c r="AA17" s="638"/>
      <c r="AB17" s="638"/>
      <c r="AC17" s="1239" t="s">
        <v>4090</v>
      </c>
      <c r="AD17" s="638"/>
      <c r="AE17" s="638"/>
      <c r="AF17" s="638">
        <v>100</v>
      </c>
      <c r="AG17" s="446">
        <v>91872</v>
      </c>
      <c r="AH17" s="638">
        <v>1783</v>
      </c>
      <c r="AI17" s="185">
        <v>-5530</v>
      </c>
      <c r="AJ17" s="445"/>
      <c r="AK17" s="445" t="s">
        <v>139</v>
      </c>
      <c r="AL17" s="638"/>
      <c r="AM17" s="445"/>
      <c r="AN17" s="484">
        <v>5.5</v>
      </c>
      <c r="AO17" s="445"/>
      <c r="AP17" s="445"/>
      <c r="AQ17" s="484"/>
      <c r="AR17" s="484"/>
      <c r="AS17" s="484"/>
      <c r="AT17" s="484">
        <f>+ab($T$17,$T$15,$T$19,$G$16,$G$18, 1*$F$17,1200)</f>
        <v>5.7846897943088624</v>
      </c>
      <c r="AU17" s="638"/>
      <c r="AV17" s="638"/>
      <c r="AW17" s="484"/>
      <c r="AX17" s="484"/>
      <c r="AY17" s="484"/>
      <c r="AZ17" s="484"/>
      <c r="BA17" s="671"/>
      <c r="BB17" s="449"/>
      <c r="BC17" s="169"/>
      <c r="BD17" s="1371"/>
      <c r="BE17" s="1371"/>
      <c r="BF17" s="1371"/>
      <c r="BG17" s="1371"/>
    </row>
    <row r="18" spans="1:59" ht="15.75" customHeight="1">
      <c r="A18" s="449"/>
      <c r="B18" s="173"/>
      <c r="C18" s="446"/>
      <c r="D18" s="445"/>
      <c r="E18" s="445"/>
      <c r="F18" s="445"/>
      <c r="G18" s="484">
        <v>47.2</v>
      </c>
      <c r="H18" s="445"/>
      <c r="I18" s="172"/>
      <c r="J18" s="446"/>
      <c r="K18" s="445"/>
      <c r="L18" s="445"/>
      <c r="M18" s="445"/>
      <c r="N18" s="445"/>
      <c r="O18" s="445"/>
      <c r="P18" s="445"/>
      <c r="Q18" s="638"/>
      <c r="R18" s="638"/>
      <c r="S18" s="484"/>
      <c r="T18" s="638"/>
      <c r="U18" s="638"/>
      <c r="V18" s="484">
        <f>AG19-AG17</f>
        <v>48.089999999996508</v>
      </c>
      <c r="W18" s="638"/>
      <c r="X18" s="638"/>
      <c r="Y18" s="638"/>
      <c r="Z18" s="638"/>
      <c r="AA18" s="638"/>
      <c r="AB18" s="638"/>
      <c r="AC18" s="638"/>
      <c r="AD18" s="638"/>
      <c r="AE18" s="638"/>
      <c r="AF18" s="638"/>
      <c r="AG18" s="446"/>
      <c r="AH18" s="638"/>
      <c r="AI18" s="185"/>
      <c r="AJ18" s="445"/>
      <c r="AK18" s="445"/>
      <c r="AL18" s="445"/>
      <c r="AM18" s="445"/>
      <c r="AN18" s="484"/>
      <c r="AO18" s="445"/>
      <c r="AP18" s="445"/>
      <c r="AQ18" s="484">
        <f>+FL_2($T$19,$T$17,$G$18,1200,9.28, 1*$F$19)</f>
        <v>-0.35756302454237288</v>
      </c>
      <c r="AR18" s="484"/>
      <c r="AS18" s="484"/>
      <c r="AT18" s="484"/>
      <c r="AU18" s="638"/>
      <c r="AV18" s="638"/>
      <c r="AW18" s="638"/>
      <c r="AX18" s="638"/>
      <c r="AY18" s="484"/>
      <c r="AZ18" s="484"/>
      <c r="BA18" s="1304"/>
      <c r="BB18" s="449"/>
      <c r="BC18" s="169"/>
      <c r="BD18" s="1330"/>
      <c r="BE18" s="1330"/>
      <c r="BF18" s="1330"/>
      <c r="BG18" s="1330"/>
    </row>
    <row r="19" spans="1:59" ht="15.75" customHeight="1">
      <c r="A19" s="449"/>
      <c r="B19" s="173" t="s">
        <v>2745</v>
      </c>
      <c r="C19" s="446">
        <f>+$C$17+$G$18+0.15</f>
        <v>91919.999999999985</v>
      </c>
      <c r="D19" s="445"/>
      <c r="E19" s="445"/>
      <c r="F19" s="445" t="s">
        <v>2312</v>
      </c>
      <c r="G19" s="484"/>
      <c r="H19" s="445"/>
      <c r="I19" s="445"/>
      <c r="J19" s="446"/>
      <c r="K19" s="445"/>
      <c r="L19" s="445"/>
      <c r="M19" s="445"/>
      <c r="N19" s="1239" t="s">
        <v>843</v>
      </c>
      <c r="O19" s="445"/>
      <c r="P19" s="445"/>
      <c r="Q19" s="638">
        <v>0</v>
      </c>
      <c r="R19" s="638">
        <v>0</v>
      </c>
      <c r="S19" s="484"/>
      <c r="T19" s="638">
        <v>-35</v>
      </c>
      <c r="U19" s="638"/>
      <c r="V19" s="638"/>
      <c r="W19" s="638">
        <v>1.4</v>
      </c>
      <c r="X19" s="638"/>
      <c r="Y19" s="638"/>
      <c r="Z19" s="638"/>
      <c r="AA19" s="638"/>
      <c r="AB19" s="638"/>
      <c r="AC19" s="1239" t="s">
        <v>4090</v>
      </c>
      <c r="AD19" s="638"/>
      <c r="AE19" s="638"/>
      <c r="AF19" s="638">
        <v>100</v>
      </c>
      <c r="AG19" s="446">
        <v>91920.09</v>
      </c>
      <c r="AH19" s="638">
        <v>2193</v>
      </c>
      <c r="AI19" s="185">
        <v>-5660</v>
      </c>
      <c r="AJ19" s="445"/>
      <c r="AK19" s="445" t="s">
        <v>139</v>
      </c>
      <c r="AL19" s="638"/>
      <c r="AM19" s="445"/>
      <c r="AN19" s="484">
        <v>5.5</v>
      </c>
      <c r="AO19" s="445"/>
      <c r="AP19" s="445"/>
      <c r="AQ19" s="484"/>
      <c r="AR19" s="484"/>
      <c r="AS19" s="484"/>
      <c r="AT19" s="484">
        <f>+ab($T$19,$T$17,$T$21,$G$18,$G$20, 1*$F$19,1200)</f>
        <v>-6.4959237385394495</v>
      </c>
      <c r="AU19" s="638"/>
      <c r="AV19" s="638"/>
      <c r="AW19" s="484"/>
      <c r="AX19" s="484"/>
      <c r="AY19" s="484"/>
      <c r="AZ19" s="484"/>
      <c r="BA19" s="671"/>
      <c r="BB19" s="449"/>
      <c r="BC19" s="169"/>
      <c r="BD19" s="1371"/>
      <c r="BE19" s="1371"/>
      <c r="BF19" s="1371"/>
      <c r="BG19" s="1371"/>
    </row>
    <row r="20" spans="1:59" ht="15.75" customHeight="1">
      <c r="A20" s="449"/>
      <c r="B20" s="173"/>
      <c r="C20" s="446"/>
      <c r="D20" s="445"/>
      <c r="E20" s="445"/>
      <c r="F20" s="445"/>
      <c r="G20" s="484">
        <v>48</v>
      </c>
      <c r="H20" s="445"/>
      <c r="I20" s="445"/>
      <c r="J20" s="446"/>
      <c r="K20" s="445"/>
      <c r="L20" s="445"/>
      <c r="M20" s="445"/>
      <c r="N20" s="445"/>
      <c r="O20" s="445"/>
      <c r="P20" s="445"/>
      <c r="Q20" s="638"/>
      <c r="R20" s="638"/>
      <c r="S20" s="484"/>
      <c r="T20" s="638"/>
      <c r="U20" s="638"/>
      <c r="V20" s="484">
        <f>AG21-AG19</f>
        <v>47.910000000003492</v>
      </c>
      <c r="W20" s="638"/>
      <c r="X20" s="638"/>
      <c r="Y20" s="638"/>
      <c r="Z20" s="638"/>
      <c r="AA20" s="638"/>
      <c r="AB20" s="638"/>
      <c r="AC20" s="638"/>
      <c r="AD20" s="638"/>
      <c r="AE20" s="638"/>
      <c r="AF20" s="638"/>
      <c r="AG20" s="446"/>
      <c r="AH20" s="638"/>
      <c r="AI20" s="185"/>
      <c r="AJ20" s="445"/>
      <c r="AK20" s="445"/>
      <c r="AL20" s="445"/>
      <c r="AM20" s="445"/>
      <c r="AN20" s="484"/>
      <c r="AO20" s="445"/>
      <c r="AP20" s="445"/>
      <c r="AQ20" s="484">
        <f>+FL_2($T$21,$T$19,$G$20,1200,9.28, 1*$F$21)</f>
        <v>-0.36022448800000006</v>
      </c>
      <c r="AR20" s="484"/>
      <c r="AS20" s="484"/>
      <c r="AT20" s="484"/>
      <c r="AU20" s="638"/>
      <c r="AV20" s="638"/>
      <c r="AW20" s="638"/>
      <c r="AX20" s="638"/>
      <c r="AY20" s="484"/>
      <c r="AZ20" s="484"/>
      <c r="BA20" s="1304"/>
      <c r="BB20" s="449"/>
      <c r="BC20" s="169"/>
      <c r="BD20" s="1330"/>
      <c r="BE20" s="1330"/>
      <c r="BF20" s="1330"/>
      <c r="BG20" s="1330"/>
    </row>
    <row r="21" spans="1:59" ht="15.75" customHeight="1">
      <c r="A21" s="449"/>
      <c r="B21" s="173" t="s">
        <v>2746</v>
      </c>
      <c r="C21" s="446">
        <f>+$C$19+$G$20</f>
        <v>91967.999999999985</v>
      </c>
      <c r="D21" s="445"/>
      <c r="E21" s="445"/>
      <c r="F21" s="445" t="s">
        <v>2312</v>
      </c>
      <c r="G21" s="484"/>
      <c r="H21" s="1239"/>
      <c r="I21" s="1239"/>
      <c r="J21" s="446"/>
      <c r="K21" s="445"/>
      <c r="L21" s="445"/>
      <c r="M21" s="445"/>
      <c r="N21" s="445" t="s">
        <v>844</v>
      </c>
      <c r="O21" s="445"/>
      <c r="P21" s="445"/>
      <c r="Q21" s="638">
        <v>0</v>
      </c>
      <c r="R21" s="638">
        <v>0</v>
      </c>
      <c r="S21" s="484"/>
      <c r="T21" s="638">
        <v>35</v>
      </c>
      <c r="U21" s="638"/>
      <c r="V21" s="638"/>
      <c r="W21" s="638">
        <v>1.4</v>
      </c>
      <c r="X21" s="638"/>
      <c r="Y21" s="638"/>
      <c r="Z21" s="638"/>
      <c r="AA21" s="638"/>
      <c r="AB21" s="638"/>
      <c r="AC21" s="1239" t="s">
        <v>4090</v>
      </c>
      <c r="AD21" s="638"/>
      <c r="AE21" s="638"/>
      <c r="AF21" s="638">
        <v>100</v>
      </c>
      <c r="AG21" s="446">
        <v>91968</v>
      </c>
      <c r="AH21" s="638">
        <v>1783</v>
      </c>
      <c r="AI21" s="185">
        <v>-5340</v>
      </c>
      <c r="AJ21" s="445"/>
      <c r="AK21" s="445" t="s">
        <v>139</v>
      </c>
      <c r="AL21" s="638"/>
      <c r="AM21" s="638"/>
      <c r="AN21" s="484">
        <v>5.5</v>
      </c>
      <c r="AO21" s="445"/>
      <c r="AP21" s="445"/>
      <c r="AQ21" s="484"/>
      <c r="AR21" s="484"/>
      <c r="AS21" s="484"/>
      <c r="AT21" s="484">
        <f>+ab($T$21,$T$19,$T$23,$G$20,$G$22, 1*$F$21,1200)</f>
        <v>6.230921329635474</v>
      </c>
      <c r="AU21" s="638"/>
      <c r="AV21" s="638"/>
      <c r="AW21" s="484"/>
      <c r="AX21" s="484"/>
      <c r="AY21" s="484"/>
      <c r="AZ21" s="484"/>
      <c r="BA21" s="671"/>
      <c r="BB21" s="449"/>
      <c r="BC21" s="169"/>
      <c r="BD21" s="1371"/>
      <c r="BE21" s="1371"/>
      <c r="BF21" s="1371"/>
      <c r="BG21" s="1371"/>
    </row>
    <row r="22" spans="1:59" ht="15.75" customHeight="1">
      <c r="A22" s="449"/>
      <c r="B22" s="173"/>
      <c r="C22" s="446"/>
      <c r="D22" s="445"/>
      <c r="E22" s="445"/>
      <c r="F22" s="445"/>
      <c r="G22" s="484">
        <v>43.5</v>
      </c>
      <c r="H22" s="445"/>
      <c r="I22" s="445"/>
      <c r="J22" s="446"/>
      <c r="K22" s="445"/>
      <c r="L22" s="445"/>
      <c r="M22" s="445"/>
      <c r="N22" s="445"/>
      <c r="O22" s="445"/>
      <c r="P22" s="445"/>
      <c r="Q22" s="638"/>
      <c r="R22" s="638"/>
      <c r="S22" s="484"/>
      <c r="T22" s="638"/>
      <c r="U22" s="638"/>
      <c r="V22" s="484">
        <f>AG23-AG21</f>
        <v>43</v>
      </c>
      <c r="W22" s="638"/>
      <c r="X22" s="638"/>
      <c r="Y22" s="638"/>
      <c r="Z22" s="638"/>
      <c r="AA22" s="638"/>
      <c r="AB22" s="638"/>
      <c r="AC22" s="638"/>
      <c r="AD22" s="638"/>
      <c r="AE22" s="638"/>
      <c r="AF22" s="638"/>
      <c r="AG22" s="446"/>
      <c r="AH22" s="638"/>
      <c r="AI22" s="185"/>
      <c r="AJ22" s="445"/>
      <c r="AK22" s="445"/>
      <c r="AL22" s="445"/>
      <c r="AM22" s="445"/>
      <c r="AN22" s="484"/>
      <c r="AO22" s="445"/>
      <c r="AP22" s="445"/>
      <c r="AQ22" s="484">
        <f>+FL_2($T$23,$T$21,$G$22,1200,9.28, 1*$F$23)</f>
        <v>-0.35034270455172412</v>
      </c>
      <c r="AR22" s="484"/>
      <c r="AS22" s="484"/>
      <c r="AT22" s="484"/>
      <c r="AU22" s="638"/>
      <c r="AV22" s="638"/>
      <c r="AW22" s="484"/>
      <c r="AX22" s="484"/>
      <c r="AY22" s="484"/>
      <c r="AZ22" s="484"/>
      <c r="BA22" s="1304"/>
      <c r="BB22" s="449"/>
      <c r="BC22" s="169"/>
      <c r="BD22" s="1330"/>
      <c r="BE22" s="1330"/>
      <c r="BF22" s="1330"/>
      <c r="BG22" s="1330"/>
    </row>
    <row r="23" spans="1:59" ht="15.75" customHeight="1">
      <c r="A23" s="449"/>
      <c r="B23" s="173" t="s">
        <v>2747</v>
      </c>
      <c r="C23" s="446">
        <f>+$C$21+$G$22</f>
        <v>92011.499999999985</v>
      </c>
      <c r="D23" s="445"/>
      <c r="E23" s="445"/>
      <c r="F23" s="445" t="s">
        <v>2312</v>
      </c>
      <c r="G23" s="484"/>
      <c r="H23" s="445"/>
      <c r="I23" s="445"/>
      <c r="J23" s="446"/>
      <c r="K23" s="445"/>
      <c r="L23" s="445"/>
      <c r="M23" s="445"/>
      <c r="N23" s="1239" t="s">
        <v>843</v>
      </c>
      <c r="O23" s="445"/>
      <c r="P23" s="445"/>
      <c r="Q23" s="638">
        <v>0</v>
      </c>
      <c r="R23" s="638">
        <v>0</v>
      </c>
      <c r="S23" s="484"/>
      <c r="T23" s="638">
        <v>-35</v>
      </c>
      <c r="U23" s="638"/>
      <c r="V23" s="638"/>
      <c r="W23" s="638">
        <v>1.4</v>
      </c>
      <c r="X23" s="638"/>
      <c r="Y23" s="638"/>
      <c r="Z23" s="638"/>
      <c r="AA23" s="638"/>
      <c r="AB23" s="638"/>
      <c r="AC23" s="1239" t="s">
        <v>4115</v>
      </c>
      <c r="AD23" s="638"/>
      <c r="AE23" s="638"/>
      <c r="AF23" s="638">
        <v>100</v>
      </c>
      <c r="AG23" s="446">
        <v>92011</v>
      </c>
      <c r="AH23" s="638">
        <v>1883</v>
      </c>
      <c r="AI23" s="185">
        <v>-5600</v>
      </c>
      <c r="AJ23" s="445"/>
      <c r="AK23" s="445" t="s">
        <v>139</v>
      </c>
      <c r="AL23" s="638"/>
      <c r="AM23" s="445"/>
      <c r="AN23" s="484">
        <v>5.5</v>
      </c>
      <c r="AO23" s="445"/>
      <c r="AP23" s="445"/>
      <c r="AQ23" s="484"/>
      <c r="AR23" s="484"/>
      <c r="AS23" s="484"/>
      <c r="AT23" s="484">
        <f>+ab($T$23,$T$21,$T$25,$G$22,$G$24, 1*$F$23,1200)</f>
        <v>-6.3552538042735902</v>
      </c>
      <c r="AU23" s="638"/>
      <c r="AV23" s="638"/>
      <c r="AW23" s="484"/>
      <c r="AX23" s="484"/>
      <c r="AY23" s="484"/>
      <c r="AZ23" s="484"/>
      <c r="BA23" s="671"/>
      <c r="BB23" s="449"/>
      <c r="BC23" s="169"/>
      <c r="BD23" s="1371"/>
      <c r="BE23" s="1371"/>
      <c r="BF23" s="1371"/>
      <c r="BG23" s="1371"/>
    </row>
    <row r="24" spans="1:59" ht="15.75" customHeight="1">
      <c r="A24" s="449"/>
      <c r="B24" s="173"/>
      <c r="C24" s="446"/>
      <c r="D24" s="445"/>
      <c r="E24" s="445"/>
      <c r="F24" s="445"/>
      <c r="G24" s="484">
        <v>46.5</v>
      </c>
      <c r="H24" s="445"/>
      <c r="I24" s="445"/>
      <c r="J24" s="446"/>
      <c r="K24" s="445"/>
      <c r="L24" s="445"/>
      <c r="M24" s="445"/>
      <c r="N24" s="445"/>
      <c r="O24" s="445"/>
      <c r="P24" s="445"/>
      <c r="Q24" s="638"/>
      <c r="R24" s="638"/>
      <c r="S24" s="484"/>
      <c r="T24" s="638"/>
      <c r="U24" s="638"/>
      <c r="V24" s="484">
        <f>AG25-AG23</f>
        <v>47</v>
      </c>
      <c r="W24" s="638"/>
      <c r="X24" s="638"/>
      <c r="Y24" s="638"/>
      <c r="Z24" s="638"/>
      <c r="AA24" s="638"/>
      <c r="AB24" s="638"/>
      <c r="AC24" s="638"/>
      <c r="AD24" s="638"/>
      <c r="AE24" s="638"/>
      <c r="AF24" s="638"/>
      <c r="AG24" s="446"/>
      <c r="AH24" s="638"/>
      <c r="AI24" s="185"/>
      <c r="AJ24" s="445"/>
      <c r="AK24" s="445"/>
      <c r="AL24" s="445"/>
      <c r="AM24" s="445"/>
      <c r="AN24" s="484"/>
      <c r="AO24" s="445"/>
      <c r="AP24" s="445"/>
      <c r="AQ24" s="484">
        <f>+FL_2($T$25,$T$23,$G$24,1200,9.28, 1*$F$25)</f>
        <v>-0.36035260812903219</v>
      </c>
      <c r="AR24" s="484"/>
      <c r="AS24" s="484"/>
      <c r="AT24" s="484"/>
      <c r="AU24" s="638"/>
      <c r="AV24" s="638"/>
      <c r="AW24" s="445"/>
      <c r="AX24" s="638"/>
      <c r="AY24" s="484"/>
      <c r="AZ24" s="484"/>
      <c r="BA24" s="1304"/>
      <c r="BB24" s="449"/>
      <c r="BC24" s="169"/>
      <c r="BD24" s="1330"/>
      <c r="BE24" s="1330"/>
      <c r="BF24" s="1330"/>
      <c r="BG24" s="1330"/>
    </row>
    <row r="25" spans="1:59" ht="15.75" customHeight="1">
      <c r="A25" s="449"/>
      <c r="B25" s="173" t="s">
        <v>2748</v>
      </c>
      <c r="C25" s="446">
        <f>+$C$23+$G$24</f>
        <v>92057.999999999985</v>
      </c>
      <c r="D25" s="445"/>
      <c r="E25" s="445"/>
      <c r="F25" s="445" t="s">
        <v>2312</v>
      </c>
      <c r="G25" s="484"/>
      <c r="H25" s="445"/>
      <c r="I25" s="445"/>
      <c r="J25" s="446"/>
      <c r="K25" s="445"/>
      <c r="L25" s="445"/>
      <c r="M25" s="445"/>
      <c r="N25" s="445" t="s">
        <v>844</v>
      </c>
      <c r="O25" s="445"/>
      <c r="P25" s="445"/>
      <c r="Q25" s="638">
        <v>0</v>
      </c>
      <c r="R25" s="638">
        <v>0</v>
      </c>
      <c r="S25" s="484"/>
      <c r="T25" s="638">
        <v>30</v>
      </c>
      <c r="U25" s="638"/>
      <c r="V25" s="638"/>
      <c r="W25" s="638">
        <v>1.4</v>
      </c>
      <c r="X25" s="638"/>
      <c r="Y25" s="638"/>
      <c r="Z25" s="638"/>
      <c r="AA25" s="638"/>
      <c r="AB25" s="638"/>
      <c r="AC25" s="1239" t="s">
        <v>1417</v>
      </c>
      <c r="AD25" s="638"/>
      <c r="AE25" s="638"/>
      <c r="AF25" s="638">
        <v>100</v>
      </c>
      <c r="AG25" s="446">
        <v>92058</v>
      </c>
      <c r="AH25" s="638">
        <v>1273</v>
      </c>
      <c r="AI25" s="185">
        <v>-5620</v>
      </c>
      <c r="AJ25" s="445"/>
      <c r="AK25" s="445" t="s">
        <v>139</v>
      </c>
      <c r="AL25" s="638"/>
      <c r="AM25" s="445"/>
      <c r="AN25" s="484">
        <v>5.5</v>
      </c>
      <c r="AO25" s="445"/>
      <c r="AP25" s="445"/>
      <c r="AQ25" s="484"/>
      <c r="AR25" s="484"/>
      <c r="AS25" s="484"/>
      <c r="AT25" s="484"/>
      <c r="AU25" s="638"/>
      <c r="AV25" s="638"/>
      <c r="AW25" s="484"/>
      <c r="AX25" s="484"/>
      <c r="AY25" s="484"/>
      <c r="AZ25" s="484"/>
      <c r="BA25" s="671"/>
      <c r="BB25" s="449"/>
      <c r="BC25" s="169"/>
      <c r="BD25" s="1371"/>
      <c r="BE25" s="1371"/>
      <c r="BF25" s="1371"/>
      <c r="BG25" s="1371"/>
    </row>
    <row r="26" spans="1:59" ht="15.75" customHeight="1">
      <c r="A26" s="449"/>
      <c r="B26" s="445"/>
      <c r="C26" s="446"/>
      <c r="D26" s="445"/>
      <c r="E26" s="445"/>
      <c r="F26" s="445"/>
      <c r="G26" s="484">
        <v>42</v>
      </c>
      <c r="H26" s="445"/>
      <c r="I26" s="445"/>
      <c r="J26" s="446"/>
      <c r="K26" s="445"/>
      <c r="L26" s="445"/>
      <c r="M26" s="445"/>
      <c r="N26" s="445"/>
      <c r="O26" s="445"/>
      <c r="P26" s="445"/>
      <c r="Q26" s="638"/>
      <c r="R26" s="638"/>
      <c r="S26" s="484"/>
      <c r="T26" s="638"/>
      <c r="U26" s="638"/>
      <c r="V26" s="484">
        <f>AG27-AG25</f>
        <v>41</v>
      </c>
      <c r="W26" s="638"/>
      <c r="X26" s="638"/>
      <c r="Y26" s="638"/>
      <c r="Z26" s="638"/>
      <c r="AA26" s="638"/>
      <c r="AB26" s="638"/>
      <c r="AC26" s="638"/>
      <c r="AD26" s="638"/>
      <c r="AE26" s="638"/>
      <c r="AF26" s="638"/>
      <c r="AG26" s="446"/>
      <c r="AH26" s="638"/>
      <c r="AI26" s="185"/>
      <c r="AJ26" s="445"/>
      <c r="AK26" s="445"/>
      <c r="AL26" s="445"/>
      <c r="AM26" s="445"/>
      <c r="AN26" s="484"/>
      <c r="AO26" s="445"/>
      <c r="AP26" s="445"/>
      <c r="AQ26" s="484"/>
      <c r="AR26" s="484"/>
      <c r="AS26" s="484"/>
      <c r="AT26" s="484"/>
      <c r="AU26" s="638"/>
      <c r="AV26" s="638"/>
      <c r="AW26" s="445"/>
      <c r="AX26" s="638"/>
      <c r="AY26" s="484"/>
      <c r="AZ26" s="484"/>
      <c r="BA26" s="1304"/>
      <c r="BB26" s="449"/>
      <c r="BC26" s="169"/>
      <c r="BD26" s="1330"/>
      <c r="BE26" s="1330"/>
      <c r="BF26" s="1330"/>
      <c r="BG26" s="1330"/>
    </row>
    <row r="27" spans="1:59" ht="15.75" customHeight="1">
      <c r="A27" s="501">
        <f>'HR Track 53 HER-TSA'!A29</f>
        <v>0</v>
      </c>
      <c r="B27" s="716" t="str">
        <f>'HR Track 53 HER-TSA'!B29</f>
        <v>92-53.03</v>
      </c>
      <c r="C27" s="451">
        <f>'HR Track 53 HER-TSA'!C29</f>
        <v>92100.00049999998</v>
      </c>
      <c r="D27" s="453">
        <f>'HR Track 53 HER-TSA'!D29</f>
        <v>0</v>
      </c>
      <c r="E27" s="452">
        <f>'HR Track 53 HER-TSA'!E29</f>
        <v>0</v>
      </c>
      <c r="F27" s="453">
        <f>'HR Track 53 HER-TSA'!F29</f>
        <v>0</v>
      </c>
      <c r="G27" s="500">
        <f>'HR Track 53 HER-TSA'!G29</f>
        <v>0</v>
      </c>
      <c r="H27" s="453" t="str">
        <f>'HR Track 53 HER-TSA'!H29</f>
        <v>P50(CS)</v>
      </c>
      <c r="I27" s="501">
        <f>'HR Track 53 HER-TSA'!I29</f>
        <v>0</v>
      </c>
      <c r="J27" s="583">
        <f>'HR Track 53 HER-TSA'!J29</f>
        <v>0</v>
      </c>
      <c r="K27" s="452">
        <f>'HR Track 53 HER-TSA'!K29</f>
        <v>0</v>
      </c>
      <c r="L27" s="452" t="str">
        <f>'HR Track 53 HER-TSA'!L29</f>
        <v>2HEB-240</v>
      </c>
      <c r="M27" s="452" t="str">
        <f>'HR Track 53 HER-TSA'!M29</f>
        <v>2C3R</v>
      </c>
      <c r="N27" s="501" t="str">
        <f>'HR Track 53 HER-TSA'!N29</f>
        <v>EMT-2</v>
      </c>
      <c r="O27" s="501" t="str">
        <f>'HR Track 53 HER-TSA'!O29</f>
        <v>EMT-E</v>
      </c>
      <c r="P27" s="501">
        <f>'HR Track 53 HER-TSA'!P29</f>
        <v>0</v>
      </c>
      <c r="Q27" s="452">
        <f>'HR Track 53 HER-TSA'!Q29</f>
        <v>0</v>
      </c>
      <c r="R27" s="452">
        <f>'HR Track 53 HER-TSA'!R29</f>
        <v>0</v>
      </c>
      <c r="S27" s="500">
        <f>'HR Track 53 HER-TSA'!S29</f>
        <v>0</v>
      </c>
      <c r="T27" s="452">
        <f>'HR Track 53 HER-TSA'!T29</f>
        <v>30</v>
      </c>
      <c r="U27" s="452">
        <f>'HR Track 53 HER-TSA'!U29</f>
        <v>15</v>
      </c>
      <c r="V27" s="452">
        <f>'HR Track 53 HER-TSA'!V29</f>
        <v>0</v>
      </c>
      <c r="W27" s="452">
        <f>'HR Track 53 HER-TSA'!W29</f>
        <v>1.4</v>
      </c>
      <c r="X27" s="452">
        <f>'HR Track 53 HER-TSA'!X29</f>
        <v>1.8</v>
      </c>
      <c r="Y27" s="452">
        <f>'HR Track 53 HER-TSA'!Y29</f>
        <v>0</v>
      </c>
      <c r="Z27" s="452">
        <f>'HR Track 53 HER-TSA'!Z29</f>
        <v>0</v>
      </c>
      <c r="AA27" s="452">
        <f>'HR Track 53 HER-TSA'!AA29</f>
        <v>0</v>
      </c>
      <c r="AB27" s="452">
        <f>'HR Track 53 HER-TSA'!AB29</f>
        <v>0</v>
      </c>
      <c r="AC27" s="452" t="str">
        <f>'HR Track 53 HER-TSA'!AC29</f>
        <v>PHQ-1450</v>
      </c>
      <c r="AD27" s="452" t="str">
        <f>'HR Track 53 HER-TSA'!AD29</f>
        <v>BTC-1651</v>
      </c>
      <c r="AE27" s="452">
        <f>'HR Track 53 HER-TSA'!AE29</f>
        <v>0</v>
      </c>
      <c r="AF27" s="452">
        <f>'HR Track 53 HER-TSA'!AF29</f>
        <v>5900</v>
      </c>
      <c r="AG27" s="451">
        <f>'HR Track 53 HER-TSA'!AG29</f>
        <v>92099</v>
      </c>
      <c r="AH27" s="452">
        <f>'HR Track 53 HER-TSA'!AH29</f>
        <v>2023</v>
      </c>
      <c r="AI27" s="452">
        <f>'HR Track 53 HER-TSA'!AI29</f>
        <v>420</v>
      </c>
      <c r="AJ27" s="452">
        <f>'HR Track 53 HER-TSA'!AJ29</f>
        <v>0</v>
      </c>
      <c r="AK27" s="452">
        <f>'HR Track 53 HER-TSA'!AK29</f>
        <v>0</v>
      </c>
      <c r="AL27" s="452">
        <f>'HR Track 53 HER-TSA'!AL29</f>
        <v>0</v>
      </c>
      <c r="AM27" s="452" t="str">
        <f>'HR Track 53 HER-TSA'!AM29</f>
        <v>RW1</v>
      </c>
      <c r="AN27" s="500">
        <f>'HR Track 53 HER-TSA'!AN29</f>
        <v>5.5</v>
      </c>
      <c r="AO27" s="452">
        <f>'HR Track 53 HER-TSA'!AO29</f>
        <v>0</v>
      </c>
      <c r="AP27" s="452">
        <f>'HR Track 53 HER-TSA'!AP29</f>
        <v>0</v>
      </c>
      <c r="AQ27" s="452">
        <f>'HR Track 53 HER-TSA'!AQ29</f>
        <v>0</v>
      </c>
      <c r="AR27" s="452">
        <f>'HR Track 53 HER-TSA'!AR29</f>
        <v>0</v>
      </c>
      <c r="AS27" s="452">
        <f>'HR Track 53 HER-TSA'!AS29</f>
        <v>0</v>
      </c>
      <c r="AT27" s="452">
        <f>'HR Track 53 HER-TSA'!AT29</f>
        <v>5.8193257350960694</v>
      </c>
      <c r="AU27" s="452">
        <f>'HR Track 53 HER-TSA'!AU29</f>
        <v>0</v>
      </c>
      <c r="AV27" s="452">
        <f>'HR Track 53 HER-TSA'!AV29</f>
        <v>0</v>
      </c>
      <c r="AW27" s="452" t="str">
        <f>'HR Track 53 HER-TSA'!AW29</f>
        <v>Soil B</v>
      </c>
      <c r="AX27" s="452" t="str">
        <f>'HR Track 53 HER-TSA'!AX29</f>
        <v>PT</v>
      </c>
      <c r="AY27" s="500">
        <f>'HR Track 53 HER-TSA'!AY29</f>
        <v>3.5</v>
      </c>
      <c r="AZ27" s="500">
        <f>'HR Track 53 HER-TSA'!AZ29</f>
        <v>0</v>
      </c>
      <c r="BA27" s="1333" t="str">
        <f>'HR Track 53 HER-TSA'!BA29</f>
        <v>ü</v>
      </c>
      <c r="BB27" s="452" t="str">
        <f>'HR Track 53 HER-TSA'!BB29</f>
        <v>App.7.1-V01-P9.5.1.5</v>
      </c>
      <c r="BC27" s="1334">
        <f>'HR Track 53 HER-TSA'!BC29</f>
        <v>0</v>
      </c>
      <c r="BD27" s="1335">
        <f>'HR Track 53 HER-TSA'!BD29</f>
        <v>43769</v>
      </c>
      <c r="BE27" s="1335">
        <f>'HR Track 53 HER-TSA'!BE29</f>
        <v>43841</v>
      </c>
      <c r="BF27" s="1335">
        <f>'HR Track 53 HER-TSA'!BF29</f>
        <v>0</v>
      </c>
      <c r="BG27" s="1335">
        <f>'HR Track 53 HER-TSA'!BG29</f>
        <v>43870</v>
      </c>
    </row>
    <row r="28" spans="1:59" ht="15.75" customHeight="1">
      <c r="A28" s="501">
        <f>'HR Track 53 HER-TSA'!A30</f>
        <v>0</v>
      </c>
      <c r="B28" s="716">
        <f>'HR Track 53 HER-TSA'!B30</f>
        <v>0</v>
      </c>
      <c r="C28" s="451">
        <f>'HR Track 53 HER-TSA'!C30</f>
        <v>0</v>
      </c>
      <c r="D28" s="453">
        <f>'HR Track 53 HER-TSA'!D30</f>
        <v>0</v>
      </c>
      <c r="E28" s="452">
        <f>'HR Track 53 HER-TSA'!E30</f>
        <v>0</v>
      </c>
      <c r="F28" s="453">
        <f>'HR Track 53 HER-TSA'!F30</f>
        <v>0</v>
      </c>
      <c r="G28" s="500">
        <f>'HR Track 53 HER-TSA'!G30</f>
        <v>32.299999999999997</v>
      </c>
      <c r="H28" s="453">
        <f>'HR Track 53 HER-TSA'!H30</f>
        <v>0</v>
      </c>
      <c r="I28" s="501">
        <f>'HR Track 53 HER-TSA'!I30</f>
        <v>0</v>
      </c>
      <c r="J28" s="583">
        <f>'HR Track 53 HER-TSA'!J30</f>
        <v>0</v>
      </c>
      <c r="K28" s="452">
        <f>'HR Track 53 HER-TSA'!K30</f>
        <v>0</v>
      </c>
      <c r="L28" s="452">
        <f>'HR Track 53 HER-TSA'!L30</f>
        <v>0</v>
      </c>
      <c r="M28" s="452">
        <f>'HR Track 53 HER-TSA'!M30</f>
        <v>0</v>
      </c>
      <c r="N28" s="501">
        <f>'HR Track 53 HER-TSA'!N30</f>
        <v>0</v>
      </c>
      <c r="O28" s="501">
        <f>'HR Track 53 HER-TSA'!O30</f>
        <v>0</v>
      </c>
      <c r="P28" s="501">
        <f>'HR Track 53 HER-TSA'!P30</f>
        <v>0</v>
      </c>
      <c r="Q28" s="452">
        <f>'HR Track 53 HER-TSA'!Q30</f>
        <v>0</v>
      </c>
      <c r="R28" s="452">
        <f>'HR Track 53 HER-TSA'!R30</f>
        <v>0</v>
      </c>
      <c r="S28" s="500">
        <f>'HR Track 53 HER-TSA'!S30</f>
        <v>0</v>
      </c>
      <c r="T28" s="452">
        <f>'HR Track 53 HER-TSA'!T30</f>
        <v>0</v>
      </c>
      <c r="U28" s="452">
        <f>'HR Track 53 HER-TSA'!U30</f>
        <v>0</v>
      </c>
      <c r="V28" s="452">
        <f>'HR Track 53 HER-TSA'!V30</f>
        <v>0</v>
      </c>
      <c r="W28" s="452">
        <f>'HR Track 53 HER-TSA'!W30</f>
        <v>0</v>
      </c>
      <c r="X28" s="452">
        <f>'HR Track 53 HER-TSA'!X30</f>
        <v>0</v>
      </c>
      <c r="Y28" s="452">
        <f>'HR Track 53 HER-TSA'!Y30</f>
        <v>0</v>
      </c>
      <c r="Z28" s="452">
        <f>'HR Track 53 HER-TSA'!Z30</f>
        <v>0</v>
      </c>
      <c r="AA28" s="452">
        <f>'HR Track 53 HER-TSA'!AA30</f>
        <v>0</v>
      </c>
      <c r="AB28" s="452">
        <f>'HR Track 53 HER-TSA'!AB30</f>
        <v>0</v>
      </c>
      <c r="AC28" s="452">
        <f>'HR Track 53 HER-TSA'!AC30</f>
        <v>0</v>
      </c>
      <c r="AD28" s="452">
        <f>'HR Track 53 HER-TSA'!AD30</f>
        <v>0</v>
      </c>
      <c r="AE28" s="452">
        <f>'HR Track 53 HER-TSA'!AE30</f>
        <v>0</v>
      </c>
      <c r="AF28" s="452">
        <f>'HR Track 53 HER-TSA'!AF30</f>
        <v>0</v>
      </c>
      <c r="AG28" s="451">
        <f>'HR Track 53 HER-TSA'!AG30</f>
        <v>0</v>
      </c>
      <c r="AH28" s="452">
        <f>'HR Track 53 HER-TSA'!AH30</f>
        <v>0</v>
      </c>
      <c r="AI28" s="452">
        <f>'HR Track 53 HER-TSA'!AI30</f>
        <v>0</v>
      </c>
      <c r="AJ28" s="452">
        <f>'HR Track 53 HER-TSA'!AJ30</f>
        <v>0</v>
      </c>
      <c r="AK28" s="452">
        <f>'HR Track 53 HER-TSA'!AK30</f>
        <v>0</v>
      </c>
      <c r="AL28" s="452">
        <f>'HR Track 53 HER-TSA'!AL30</f>
        <v>0</v>
      </c>
      <c r="AM28" s="452">
        <f>'HR Track 53 HER-TSA'!AM30</f>
        <v>0</v>
      </c>
      <c r="AN28" s="500">
        <f>'HR Track 53 HER-TSA'!AN30</f>
        <v>0</v>
      </c>
      <c r="AO28" s="452">
        <f>'HR Track 53 HER-TSA'!AO30</f>
        <v>0</v>
      </c>
      <c r="AP28" s="452">
        <f>'HR Track 53 HER-TSA'!AP30</f>
        <v>0</v>
      </c>
      <c r="AQ28" s="452">
        <f>'HR Track 53 HER-TSA'!AQ30</f>
        <v>0.30000000000001303</v>
      </c>
      <c r="AR28" s="452">
        <f>'HR Track 53 HER-TSA'!AR30</f>
        <v>0</v>
      </c>
      <c r="AS28" s="452">
        <f>'HR Track 53 HER-TSA'!AS30</f>
        <v>0</v>
      </c>
      <c r="AT28" s="452">
        <f>'HR Track 53 HER-TSA'!AT30</f>
        <v>0</v>
      </c>
      <c r="AU28" s="452">
        <f>'HR Track 53 HER-TSA'!AU30</f>
        <v>0</v>
      </c>
      <c r="AV28" s="452">
        <f>'HR Track 53 HER-TSA'!AV30</f>
        <v>0</v>
      </c>
      <c r="AW28" s="452">
        <f>'HR Track 53 HER-TSA'!AW30</f>
        <v>0</v>
      </c>
      <c r="AX28" s="452">
        <f>'HR Track 53 HER-TSA'!AX30</f>
        <v>0</v>
      </c>
      <c r="AY28" s="500">
        <f>'HR Track 53 HER-TSA'!AY30</f>
        <v>0</v>
      </c>
      <c r="AZ28" s="500">
        <f>'HR Track 53 HER-TSA'!AZ30</f>
        <v>0</v>
      </c>
      <c r="BA28" s="1333">
        <f>'HR Track 53 HER-TSA'!BA30</f>
        <v>0</v>
      </c>
      <c r="BB28" s="452">
        <f>'HR Track 53 HER-TSA'!BB30</f>
        <v>0</v>
      </c>
      <c r="BC28" s="1334">
        <f>'HR Track 53 HER-TSA'!BC30</f>
        <v>0</v>
      </c>
      <c r="BD28" s="1335">
        <f>'HR Track 53 HER-TSA'!BD30</f>
        <v>0</v>
      </c>
      <c r="BE28" s="1335">
        <f>'HR Track 53 HER-TSA'!BE30</f>
        <v>0</v>
      </c>
      <c r="BF28" s="1335">
        <f>'HR Track 53 HER-TSA'!BF30</f>
        <v>0</v>
      </c>
      <c r="BG28" s="1335">
        <f>'HR Track 53 HER-TSA'!BG30</f>
        <v>0</v>
      </c>
    </row>
    <row r="29" spans="1:59" ht="15.75" customHeight="1">
      <c r="A29" s="501">
        <f>'HR Track 53 HER-TSA'!A31</f>
        <v>0</v>
      </c>
      <c r="B29" s="716" t="str">
        <f>'HR Track 53 HER-TSA'!B31</f>
        <v>92-53.04</v>
      </c>
      <c r="C29" s="451">
        <f>'HR Track 53 HER-TSA'!C31</f>
        <v>92132.300499999983</v>
      </c>
      <c r="D29" s="453">
        <f>'HR Track 53 HER-TSA'!D31</f>
        <v>0</v>
      </c>
      <c r="E29" s="452">
        <f>'HR Track 53 HER-TSA'!E31</f>
        <v>0</v>
      </c>
      <c r="F29" s="453">
        <f>'HR Track 53 HER-TSA'!F31</f>
        <v>0</v>
      </c>
      <c r="G29" s="500">
        <f>'HR Track 53 HER-TSA'!G31</f>
        <v>0</v>
      </c>
      <c r="H29" s="453" t="str">
        <f>'HR Track 53 HER-TSA'!H31</f>
        <v>S/A</v>
      </c>
      <c r="I29" s="501">
        <f>'HR Track 53 HER-TSA'!I31</f>
        <v>0</v>
      </c>
      <c r="J29" s="583">
        <f>'HR Track 53 HER-TSA'!J31</f>
        <v>0</v>
      </c>
      <c r="K29" s="452">
        <f>'HR Track 53 HER-TSA'!K31</f>
        <v>0</v>
      </c>
      <c r="L29" s="452" t="str">
        <f>'HR Track 53 HER-TSA'!L31</f>
        <v>2HEB-240</v>
      </c>
      <c r="M29" s="452" t="str">
        <f>'HR Track 53 HER-TSA'!M31</f>
        <v>2C3R</v>
      </c>
      <c r="N29" s="501" t="str">
        <f>'HR Track 53 HER-TSA'!N31</f>
        <v>EMT-1</v>
      </c>
      <c r="O29" s="501" t="str">
        <f>'HR Track 53 HER-TSA'!O31</f>
        <v>EMT-T</v>
      </c>
      <c r="P29" s="501">
        <f>'HR Track 53 HER-TSA'!P31</f>
        <v>0</v>
      </c>
      <c r="Q29" s="452">
        <f>'HR Track 53 HER-TSA'!Q31</f>
        <v>0</v>
      </c>
      <c r="R29" s="452">
        <f>'HR Track 53 HER-TSA'!R31</f>
        <v>0</v>
      </c>
      <c r="S29" s="500">
        <f>'HR Track 53 HER-TSA'!S31</f>
        <v>0</v>
      </c>
      <c r="T29" s="452">
        <f>'HR Track 53 HER-TSA'!T31</f>
        <v>-30</v>
      </c>
      <c r="U29" s="452">
        <f>'HR Track 53 HER-TSA'!U31</f>
        <v>-45</v>
      </c>
      <c r="V29" s="452">
        <f>'HR Track 53 HER-TSA'!V31</f>
        <v>0</v>
      </c>
      <c r="W29" s="452">
        <f>'HR Track 53 HER-TSA'!W31</f>
        <v>1.4</v>
      </c>
      <c r="X29" s="452">
        <f>'HR Track 53 HER-TSA'!X31</f>
        <v>2.2999999999999998</v>
      </c>
      <c r="Y29" s="452">
        <f>'HR Track 53 HER-TSA'!Y31</f>
        <v>0</v>
      </c>
      <c r="Z29" s="452">
        <f>'HR Track 53 HER-TSA'!Z31</f>
        <v>0</v>
      </c>
      <c r="AA29" s="452">
        <f>'HR Track 53 HER-TSA'!AA31</f>
        <v>0.45</v>
      </c>
      <c r="AB29" s="452">
        <f>'HR Track 53 HER-TSA'!AB31</f>
        <v>0</v>
      </c>
      <c r="AC29" s="452" t="str">
        <f>'HR Track 53 HER-TSA'!AC31</f>
        <v>PHQ-1150</v>
      </c>
      <c r="AD29" s="452">
        <f>'HR Track 53 HER-TSA'!AD31</f>
        <v>0</v>
      </c>
      <c r="AE29" s="452">
        <f>'HR Track 53 HER-TSA'!AE31</f>
        <v>0</v>
      </c>
      <c r="AF29" s="452">
        <f>'HR Track 53 HER-TSA'!AF31</f>
        <v>5900</v>
      </c>
      <c r="AG29" s="451">
        <f>'HR Track 53 HER-TSA'!AG31</f>
        <v>92132</v>
      </c>
      <c r="AH29" s="452">
        <f>'HR Track 53 HER-TSA'!AH31</f>
        <v>2303</v>
      </c>
      <c r="AI29" s="452">
        <f>'HR Track 53 HER-TSA'!AI31</f>
        <v>390</v>
      </c>
      <c r="AJ29" s="452">
        <f>'HR Track 53 HER-TSA'!AJ31</f>
        <v>0</v>
      </c>
      <c r="AK29" s="452">
        <f>'HR Track 53 HER-TSA'!AK31</f>
        <v>0</v>
      </c>
      <c r="AL29" s="452">
        <f>'HR Track 53 HER-TSA'!AL31</f>
        <v>0</v>
      </c>
      <c r="AM29" s="452" t="str">
        <f>'HR Track 53 HER-TSA'!AM31</f>
        <v>RW1</v>
      </c>
      <c r="AN29" s="500">
        <f>'HR Track 53 HER-TSA'!AN31</f>
        <v>5.5</v>
      </c>
      <c r="AO29" s="452">
        <f>'HR Track 53 HER-TSA'!AO31</f>
        <v>0</v>
      </c>
      <c r="AP29" s="452">
        <f>'HR Track 53 HER-TSA'!AP31</f>
        <v>0</v>
      </c>
      <c r="AQ29" s="452">
        <f>'HR Track 53 HER-TSA'!AQ31</f>
        <v>0</v>
      </c>
      <c r="AR29" s="452">
        <f>'HR Track 53 HER-TSA'!AR31</f>
        <v>0</v>
      </c>
      <c r="AS29" s="452">
        <f>'HR Track 53 HER-TSA'!AS31</f>
        <v>0</v>
      </c>
      <c r="AT29" s="452">
        <f>'HR Track 53 HER-TSA'!AT31</f>
        <v>-5.5190400066890968</v>
      </c>
      <c r="AU29" s="452">
        <f>'HR Track 53 HER-TSA'!AU31</f>
        <v>0</v>
      </c>
      <c r="AV29" s="452">
        <f>'HR Track 53 HER-TSA'!AV31</f>
        <v>0</v>
      </c>
      <c r="AW29" s="452" t="str">
        <f>'HR Track 53 HER-TSA'!AW31</f>
        <v>Soil B</v>
      </c>
      <c r="AX29" s="452" t="str">
        <f>'HR Track 53 HER-TSA'!AX31</f>
        <v>PT</v>
      </c>
      <c r="AY29" s="500">
        <f>'HR Track 53 HER-TSA'!AY31</f>
        <v>3.5</v>
      </c>
      <c r="AZ29" s="500">
        <f>'HR Track 53 HER-TSA'!AZ31</f>
        <v>0</v>
      </c>
      <c r="BA29" s="1333" t="str">
        <f>'HR Track 53 HER-TSA'!BA31</f>
        <v>ü</v>
      </c>
      <c r="BB29" s="452" t="str">
        <f>'HR Track 53 HER-TSA'!BB31</f>
        <v>App.7.1-V01-P9.5.1.5</v>
      </c>
      <c r="BC29" s="1334">
        <f>'HR Track 53 HER-TSA'!BC31</f>
        <v>0</v>
      </c>
      <c r="BD29" s="1335">
        <f>'HR Track 53 HER-TSA'!BD31</f>
        <v>43769</v>
      </c>
      <c r="BE29" s="1335">
        <f>'HR Track 53 HER-TSA'!BE31</f>
        <v>43841</v>
      </c>
      <c r="BF29" s="1335">
        <f>'HR Track 53 HER-TSA'!BF31</f>
        <v>0</v>
      </c>
      <c r="BG29" s="1335">
        <f>'HR Track 53 HER-TSA'!BG31</f>
        <v>43870</v>
      </c>
    </row>
    <row r="30" spans="1:59" ht="15.75" customHeight="1">
      <c r="A30" s="501">
        <f>'HR Track 53 HER-TSA'!A32</f>
        <v>0</v>
      </c>
      <c r="B30" s="716">
        <f>'HR Track 53 HER-TSA'!B32</f>
        <v>0</v>
      </c>
      <c r="C30" s="451">
        <f>'HR Track 53 HER-TSA'!C32</f>
        <v>0</v>
      </c>
      <c r="D30" s="453">
        <f>'HR Track 53 HER-TSA'!D32</f>
        <v>0</v>
      </c>
      <c r="E30" s="452">
        <f>'HR Track 53 HER-TSA'!E32</f>
        <v>0</v>
      </c>
      <c r="F30" s="453">
        <f>'HR Track 53 HER-TSA'!F32</f>
        <v>0</v>
      </c>
      <c r="G30" s="500">
        <f>'HR Track 53 HER-TSA'!G32</f>
        <v>37.299999999999997</v>
      </c>
      <c r="H30" s="453">
        <f>'HR Track 53 HER-TSA'!H32</f>
        <v>0</v>
      </c>
      <c r="I30" s="501">
        <f>'HR Track 53 HER-TSA'!I32</f>
        <v>0</v>
      </c>
      <c r="J30" s="583">
        <f>'HR Track 53 HER-TSA'!J32</f>
        <v>0</v>
      </c>
      <c r="K30" s="452">
        <f>'HR Track 53 HER-TSA'!K32</f>
        <v>0</v>
      </c>
      <c r="L30" s="452">
        <f>'HR Track 53 HER-TSA'!L32</f>
        <v>0</v>
      </c>
      <c r="M30" s="452">
        <f>'HR Track 53 HER-TSA'!M32</f>
        <v>0</v>
      </c>
      <c r="N30" s="501">
        <f>'HR Track 53 HER-TSA'!N32</f>
        <v>0</v>
      </c>
      <c r="O30" s="501">
        <f>'HR Track 53 HER-TSA'!O32</f>
        <v>0</v>
      </c>
      <c r="P30" s="501">
        <f>'HR Track 53 HER-TSA'!P32</f>
        <v>0</v>
      </c>
      <c r="Q30" s="452">
        <f>'HR Track 53 HER-TSA'!Q32</f>
        <v>0</v>
      </c>
      <c r="R30" s="452">
        <f>'HR Track 53 HER-TSA'!R32</f>
        <v>0</v>
      </c>
      <c r="S30" s="500">
        <f>'HR Track 53 HER-TSA'!S32</f>
        <v>0</v>
      </c>
      <c r="T30" s="452">
        <f>'HR Track 53 HER-TSA'!T32</f>
        <v>0</v>
      </c>
      <c r="U30" s="452">
        <f>'HR Track 53 HER-TSA'!U32</f>
        <v>0</v>
      </c>
      <c r="V30" s="452">
        <f>'HR Track 53 HER-TSA'!V32</f>
        <v>0</v>
      </c>
      <c r="W30" s="452">
        <f>'HR Track 53 HER-TSA'!W32</f>
        <v>0</v>
      </c>
      <c r="X30" s="452">
        <f>'HR Track 53 HER-TSA'!X32</f>
        <v>0</v>
      </c>
      <c r="Y30" s="452">
        <f>'HR Track 53 HER-TSA'!Y32</f>
        <v>0</v>
      </c>
      <c r="Z30" s="452">
        <f>'HR Track 53 HER-TSA'!Z32</f>
        <v>0</v>
      </c>
      <c r="AA30" s="452">
        <f>'HR Track 53 HER-TSA'!AA32</f>
        <v>0</v>
      </c>
      <c r="AB30" s="452">
        <f>'HR Track 53 HER-TSA'!AB32</f>
        <v>0</v>
      </c>
      <c r="AC30" s="452">
        <f>'HR Track 53 HER-TSA'!AC32</f>
        <v>0</v>
      </c>
      <c r="AD30" s="452">
        <f>'HR Track 53 HER-TSA'!AD32</f>
        <v>0</v>
      </c>
      <c r="AE30" s="452">
        <f>'HR Track 53 HER-TSA'!AE32</f>
        <v>0</v>
      </c>
      <c r="AF30" s="452">
        <f>'HR Track 53 HER-TSA'!AF32</f>
        <v>0</v>
      </c>
      <c r="AG30" s="451">
        <f>'HR Track 53 HER-TSA'!AG32</f>
        <v>0</v>
      </c>
      <c r="AH30" s="452">
        <f>'HR Track 53 HER-TSA'!AH32</f>
        <v>0</v>
      </c>
      <c r="AI30" s="452">
        <f>'HR Track 53 HER-TSA'!AI32</f>
        <v>0</v>
      </c>
      <c r="AJ30" s="452">
        <f>'HR Track 53 HER-TSA'!AJ32</f>
        <v>0</v>
      </c>
      <c r="AK30" s="452">
        <f>'HR Track 53 HER-TSA'!AK32</f>
        <v>0</v>
      </c>
      <c r="AL30" s="452">
        <f>'HR Track 53 HER-TSA'!AL32</f>
        <v>0</v>
      </c>
      <c r="AM30" s="452">
        <f>'HR Track 53 HER-TSA'!AM32</f>
        <v>0</v>
      </c>
      <c r="AN30" s="500">
        <f>'HR Track 53 HER-TSA'!AN32</f>
        <v>0</v>
      </c>
      <c r="AO30" s="452">
        <f>'HR Track 53 HER-TSA'!AO32</f>
        <v>0</v>
      </c>
      <c r="AP30" s="452">
        <f>'HR Track 53 HER-TSA'!AP32</f>
        <v>0</v>
      </c>
      <c r="AQ30" s="452">
        <f>'HR Track 53 HER-TSA'!AQ32</f>
        <v>-0.30000000000000182</v>
      </c>
      <c r="AR30" s="452">
        <f>'HR Track 53 HER-TSA'!AR32</f>
        <v>0</v>
      </c>
      <c r="AS30" s="452">
        <f>'HR Track 53 HER-TSA'!AS32</f>
        <v>0</v>
      </c>
      <c r="AT30" s="452">
        <f>'HR Track 53 HER-TSA'!AT32</f>
        <v>0</v>
      </c>
      <c r="AU30" s="452">
        <f>'HR Track 53 HER-TSA'!AU32</f>
        <v>0</v>
      </c>
      <c r="AV30" s="452">
        <f>'HR Track 53 HER-TSA'!AV32</f>
        <v>0</v>
      </c>
      <c r="AW30" s="452">
        <f>'HR Track 53 HER-TSA'!AW32</f>
        <v>0</v>
      </c>
      <c r="AX30" s="452">
        <f>'HR Track 53 HER-TSA'!AX32</f>
        <v>0</v>
      </c>
      <c r="AY30" s="500">
        <f>'HR Track 53 HER-TSA'!AY32</f>
        <v>0</v>
      </c>
      <c r="AZ30" s="500">
        <f>'HR Track 53 HER-TSA'!AZ32</f>
        <v>0</v>
      </c>
      <c r="BA30" s="1333">
        <f>'HR Track 53 HER-TSA'!BA32</f>
        <v>0</v>
      </c>
      <c r="BB30" s="452">
        <f>'HR Track 53 HER-TSA'!BB32</f>
        <v>0</v>
      </c>
      <c r="BC30" s="1334">
        <f>'HR Track 53 HER-TSA'!BC32</f>
        <v>0</v>
      </c>
      <c r="BD30" s="1335">
        <f>'HR Track 53 HER-TSA'!BD32</f>
        <v>0</v>
      </c>
      <c r="BE30" s="1335">
        <f>'HR Track 53 HER-TSA'!BE32</f>
        <v>0</v>
      </c>
      <c r="BF30" s="1335">
        <f>'HR Track 53 HER-TSA'!BF32</f>
        <v>0</v>
      </c>
      <c r="BG30" s="1335">
        <f>'HR Track 53 HER-TSA'!BG32</f>
        <v>0</v>
      </c>
    </row>
    <row r="31" spans="1:59" ht="15.75" customHeight="1">
      <c r="A31" s="501">
        <f>'HR Track 51 HER-TSA'!A37</f>
        <v>0</v>
      </c>
      <c r="B31" s="716" t="str">
        <f>'HR Track 51 HER-TSA'!B37</f>
        <v>92-51.05</v>
      </c>
      <c r="C31" s="451">
        <f>'HR Track 51 HER-TSA'!C37</f>
        <v>92169.599999999977</v>
      </c>
      <c r="D31" s="453">
        <f>'HR Track 51 HER-TSA'!D37</f>
        <v>0</v>
      </c>
      <c r="E31" s="452">
        <f>'HR Track 51 HER-TSA'!E37</f>
        <v>0</v>
      </c>
      <c r="F31" s="453">
        <f>'HR Track 51 HER-TSA'!F37</f>
        <v>0</v>
      </c>
      <c r="G31" s="500">
        <f>'HR Track 51 HER-TSA'!G37</f>
        <v>0</v>
      </c>
      <c r="H31" s="453" t="str">
        <f>'HR Track 51 HER-TSA'!H37</f>
        <v>A/S</v>
      </c>
      <c r="I31" s="501" t="str">
        <f>'HR Track 51 HER-TSA'!I37</f>
        <v>FP+AnMC</v>
      </c>
      <c r="J31" s="583">
        <f>'HR Track 51 HER-TSA'!J37</f>
        <v>0</v>
      </c>
      <c r="K31" s="452">
        <f>'HR Track 51 HER-TSA'!K37</f>
        <v>0</v>
      </c>
      <c r="L31" s="452" t="str">
        <f>'HR Track 51 HER-TSA'!L37</f>
        <v>2HEB-320L</v>
      </c>
      <c r="M31" s="452" t="str">
        <f>'HR Track 51 HER-TSA'!M37</f>
        <v>C8R</v>
      </c>
      <c r="N31" s="501" t="str">
        <f>'HR Track 51 HER-TSA'!N37</f>
        <v>EMT-1</v>
      </c>
      <c r="O31" s="501">
        <f>'HR Track 51 HER-TSA'!O37</f>
        <v>0</v>
      </c>
      <c r="P31" s="501">
        <f>'HR Track 51 HER-TSA'!P37</f>
        <v>0</v>
      </c>
      <c r="Q31" s="452">
        <f>'HR Track 51 HER-TSA'!Q37</f>
        <v>0</v>
      </c>
      <c r="R31" s="452">
        <f>'HR Track 51 HER-TSA'!R37</f>
        <v>0</v>
      </c>
      <c r="S31" s="500">
        <f>'HR Track 51 HER-TSA'!S37</f>
        <v>0</v>
      </c>
      <c r="T31" s="452">
        <f>'HR Track 51 HER-TSA'!T37</f>
        <v>-35</v>
      </c>
      <c r="U31" s="452">
        <f>'HR Track 51 HER-TSA'!U37</f>
        <v>0</v>
      </c>
      <c r="V31" s="452">
        <f>'HR Track 51 HER-TSA'!V37</f>
        <v>0</v>
      </c>
      <c r="W31" s="452">
        <f>'HR Track 51 HER-TSA'!W37</f>
        <v>1.6</v>
      </c>
      <c r="X31" s="452">
        <f>'HR Track 51 HER-TSA'!X37</f>
        <v>0</v>
      </c>
      <c r="Y31" s="452">
        <f>'HR Track 51 HER-TSA'!Y37</f>
        <v>0</v>
      </c>
      <c r="Z31" s="452">
        <f>'HR Track 51 HER-TSA'!Z37</f>
        <v>0</v>
      </c>
      <c r="AA31" s="452">
        <f>'HR Track 51 HER-TSA'!AA37</f>
        <v>0</v>
      </c>
      <c r="AB31" s="452">
        <f>'HR Track 51 HER-TSA'!AB37</f>
        <v>0</v>
      </c>
      <c r="AC31" s="452" t="str">
        <f>'HR Track 51 HER-TSA'!AC37</f>
        <v>PHQ-1150</v>
      </c>
      <c r="AD31" s="452">
        <f>'HR Track 51 HER-TSA'!AD37</f>
        <v>0</v>
      </c>
      <c r="AE31" s="452">
        <f>'HR Track 51 HER-TSA'!AE37</f>
        <v>0</v>
      </c>
      <c r="AF31" s="452">
        <f>'HR Track 51 HER-TSA'!AF37</f>
        <v>5800</v>
      </c>
      <c r="AG31" s="451">
        <f>'HR Track 51 HER-TSA'!AG37</f>
        <v>92169.63</v>
      </c>
      <c r="AH31" s="452">
        <f>'HR Track 51 HER-TSA'!AH37</f>
        <v>2703</v>
      </c>
      <c r="AI31" s="452">
        <f>'HR Track 51 HER-TSA'!AI37</f>
        <v>320</v>
      </c>
      <c r="AJ31" s="452">
        <f>'HR Track 51 HER-TSA'!AJ37</f>
        <v>0</v>
      </c>
      <c r="AK31" s="452">
        <f>'HR Track 51 HER-TSA'!AK37</f>
        <v>0</v>
      </c>
      <c r="AL31" s="452" t="str">
        <f>'HR Track 51 HER-TSA'!AL37</f>
        <v>PR1E</v>
      </c>
      <c r="AM31" s="452" t="str">
        <f>'HR Track 51 HER-TSA'!AM37</f>
        <v>RW1</v>
      </c>
      <c r="AN31" s="500">
        <f>'HR Track 51 HER-TSA'!AN37</f>
        <v>5.5</v>
      </c>
      <c r="AO31" s="452">
        <f>'HR Track 51 HER-TSA'!AO37</f>
        <v>0</v>
      </c>
      <c r="AP31" s="452">
        <f>'HR Track 51 HER-TSA'!AP37</f>
        <v>0</v>
      </c>
      <c r="AQ31" s="452">
        <f>'HR Track 51 HER-TSA'!AQ37</f>
        <v>0</v>
      </c>
      <c r="AR31" s="452">
        <f>'HR Track 51 HER-TSA'!AR37</f>
        <v>0</v>
      </c>
      <c r="AS31" s="452">
        <f>'HR Track 51 HER-TSA'!AS37</f>
        <v>0</v>
      </c>
      <c r="AT31" s="452">
        <f>'HR Track 51 HER-TSA'!AT37</f>
        <v>-5.0743666931477751</v>
      </c>
      <c r="AU31" s="452">
        <f>'HR Track 51 HER-TSA'!AU37</f>
        <v>0</v>
      </c>
      <c r="AV31" s="452">
        <f>'HR Track 51 HER-TSA'!AV37</f>
        <v>0</v>
      </c>
      <c r="AW31" s="452" t="str">
        <f>'HR Track 51 HER-TSA'!AW37</f>
        <v>Soil B</v>
      </c>
      <c r="AX31" s="452" t="str">
        <f>'HR Track 51 HER-TSA'!AX37</f>
        <v>PT</v>
      </c>
      <c r="AY31" s="500">
        <f>'HR Track 51 HER-TSA'!AY37</f>
        <v>4.4000000000000004</v>
      </c>
      <c r="AZ31" s="500">
        <f>'HR Track 51 HER-TSA'!AZ37</f>
        <v>0</v>
      </c>
      <c r="BA31" s="1333" t="str">
        <f>'HR Track 51 HER-TSA'!BA37</f>
        <v>ü</v>
      </c>
      <c r="BB31" s="452" t="str">
        <f>'HR Track 51 HER-TSA'!BB37</f>
        <v>App.8-V08F-P10.3</v>
      </c>
      <c r="BC31" s="1334">
        <f>'HR Track 51 HER-TSA'!BC37</f>
        <v>0</v>
      </c>
      <c r="BD31" s="1335">
        <f>'HR Track 51 HER-TSA'!BD37</f>
        <v>43753</v>
      </c>
      <c r="BE31" s="1335">
        <f>'HR Track 51 HER-TSA'!BE37</f>
        <v>0</v>
      </c>
      <c r="BF31" s="1335">
        <f>'HR Track 51 HER-TSA'!BF37</f>
        <v>0</v>
      </c>
      <c r="BG31" s="1335">
        <f>'HR Track 51 HER-TSA'!BG37</f>
        <v>43898</v>
      </c>
    </row>
    <row r="32" spans="1:59" ht="15.75" customHeight="1">
      <c r="A32" s="501">
        <f>'HR Track 51 HER-TSA'!A38</f>
        <v>0</v>
      </c>
      <c r="B32" s="716">
        <f>'HR Track 51 HER-TSA'!B38</f>
        <v>0</v>
      </c>
      <c r="C32" s="451">
        <f>'HR Track 51 HER-TSA'!C38</f>
        <v>0</v>
      </c>
      <c r="D32" s="453">
        <f>'HR Track 51 HER-TSA'!D38</f>
        <v>0</v>
      </c>
      <c r="E32" s="452">
        <f>'HR Track 51 HER-TSA'!E38</f>
        <v>0</v>
      </c>
      <c r="F32" s="453">
        <f>'HR Track 51 HER-TSA'!F38</f>
        <v>0</v>
      </c>
      <c r="G32" s="500">
        <f>'HR Track 51 HER-TSA'!G38</f>
        <v>34.299999999999997</v>
      </c>
      <c r="H32" s="453">
        <f>'HR Track 51 HER-TSA'!H38</f>
        <v>0</v>
      </c>
      <c r="I32" s="501">
        <f>'HR Track 51 HER-TSA'!I38</f>
        <v>0</v>
      </c>
      <c r="J32" s="583">
        <f>'HR Track 51 HER-TSA'!J38</f>
        <v>92177.099999999977</v>
      </c>
      <c r="K32" s="452" t="str">
        <f>'HR Track 51 HER-TSA'!K38</f>
        <v>AnMC-R</v>
      </c>
      <c r="L32" s="452">
        <f>'HR Track 51 HER-TSA'!L38</f>
        <v>0</v>
      </c>
      <c r="M32" s="452">
        <f>'HR Track 51 HER-TSA'!M38</f>
        <v>0</v>
      </c>
      <c r="N32" s="501">
        <f>'HR Track 51 HER-TSA'!N38</f>
        <v>0</v>
      </c>
      <c r="O32" s="501">
        <f>'HR Track 51 HER-TSA'!O38</f>
        <v>0</v>
      </c>
      <c r="P32" s="501">
        <f>'HR Track 51 HER-TSA'!P38</f>
        <v>0</v>
      </c>
      <c r="Q32" s="452">
        <f>'HR Track 51 HER-TSA'!Q38</f>
        <v>0</v>
      </c>
      <c r="R32" s="452">
        <f>'HR Track 51 HER-TSA'!R38</f>
        <v>0</v>
      </c>
      <c r="S32" s="500">
        <f>'HR Track 51 HER-TSA'!S38</f>
        <v>34.19999999999709</v>
      </c>
      <c r="T32" s="452">
        <f>'HR Track 51 HER-TSA'!T38</f>
        <v>0</v>
      </c>
      <c r="U32" s="452">
        <f>'HR Track 51 HER-TSA'!U38</f>
        <v>0</v>
      </c>
      <c r="V32" s="452">
        <f>'HR Track 51 HER-TSA'!V38</f>
        <v>0</v>
      </c>
      <c r="W32" s="452">
        <f>'HR Track 51 HER-TSA'!W38</f>
        <v>0</v>
      </c>
      <c r="X32" s="452">
        <f>'HR Track 51 HER-TSA'!X38</f>
        <v>0</v>
      </c>
      <c r="Y32" s="452">
        <f>'HR Track 51 HER-TSA'!Y38</f>
        <v>0</v>
      </c>
      <c r="Z32" s="452">
        <f>'HR Track 51 HER-TSA'!Z38</f>
        <v>0</v>
      </c>
      <c r="AA32" s="452">
        <f>'HR Track 51 HER-TSA'!AA38</f>
        <v>0</v>
      </c>
      <c r="AB32" s="452">
        <f>'HR Track 51 HER-TSA'!AB38</f>
        <v>0</v>
      </c>
      <c r="AC32" s="452">
        <f>'HR Track 51 HER-TSA'!AC38</f>
        <v>0</v>
      </c>
      <c r="AD32" s="452">
        <f>'HR Track 51 HER-TSA'!AD38</f>
        <v>0</v>
      </c>
      <c r="AE32" s="452">
        <f>'HR Track 51 HER-TSA'!AE38</f>
        <v>0</v>
      </c>
      <c r="AF32" s="452">
        <f>'HR Track 51 HER-TSA'!AF38</f>
        <v>0</v>
      </c>
      <c r="AG32" s="451">
        <f>'HR Track 51 HER-TSA'!AG38</f>
        <v>0</v>
      </c>
      <c r="AH32" s="452">
        <f>'HR Track 51 HER-TSA'!AH38</f>
        <v>0</v>
      </c>
      <c r="AI32" s="452">
        <f>'HR Track 51 HER-TSA'!AI38</f>
        <v>0</v>
      </c>
      <c r="AJ32" s="452">
        <f>'HR Track 51 HER-TSA'!AJ38</f>
        <v>0</v>
      </c>
      <c r="AK32" s="452">
        <f>'HR Track 51 HER-TSA'!AK38</f>
        <v>0</v>
      </c>
      <c r="AL32" s="452">
        <f>'HR Track 51 HER-TSA'!AL38</f>
        <v>0</v>
      </c>
      <c r="AM32" s="452">
        <f>'HR Track 51 HER-TSA'!AM38</f>
        <v>0</v>
      </c>
      <c r="AN32" s="500">
        <f>'HR Track 51 HER-TSA'!AN38</f>
        <v>0</v>
      </c>
      <c r="AO32" s="452">
        <f>'HR Track 51 HER-TSA'!AO38</f>
        <v>0</v>
      </c>
      <c r="AP32" s="452">
        <f>'HR Track 51 HER-TSA'!AP38</f>
        <v>0</v>
      </c>
      <c r="AQ32" s="452">
        <f>'HR Track 51 HER-TSA'!AQ38</f>
        <v>-0.35000000000000986</v>
      </c>
      <c r="AR32" s="452">
        <f>'HR Track 51 HER-TSA'!AR38</f>
        <v>0</v>
      </c>
      <c r="AS32" s="452">
        <f>'HR Track 51 HER-TSA'!AS38</f>
        <v>0</v>
      </c>
      <c r="AT32" s="452">
        <f>'HR Track 51 HER-TSA'!AT38</f>
        <v>0</v>
      </c>
      <c r="AU32" s="452">
        <f>'HR Track 51 HER-TSA'!AU38</f>
        <v>0</v>
      </c>
      <c r="AV32" s="452">
        <f>'HR Track 51 HER-TSA'!AV38</f>
        <v>0</v>
      </c>
      <c r="AW32" s="452" t="str">
        <f>'HR Track 51 HER-TSA'!AW38</f>
        <v>Soil B</v>
      </c>
      <c r="AX32" s="452" t="str">
        <f>'HR Track 51 HER-TSA'!AX38</f>
        <v>PT</v>
      </c>
      <c r="AY32" s="500">
        <f>'HR Track 51 HER-TSA'!AY38</f>
        <v>0</v>
      </c>
      <c r="AZ32" s="500">
        <f>'HR Track 51 HER-TSA'!AZ38</f>
        <v>3.9</v>
      </c>
      <c r="BA32" s="1333" t="str">
        <f>'HR Track 51 HER-TSA'!BA38</f>
        <v>ü</v>
      </c>
      <c r="BB32" s="452">
        <f>'HR Track 51 HER-TSA'!BB38</f>
        <v>0</v>
      </c>
      <c r="BC32" s="1334">
        <f>'HR Track 51 HER-TSA'!BC38</f>
        <v>0</v>
      </c>
      <c r="BD32" s="1335">
        <f>'HR Track 51 HER-TSA'!BD38</f>
        <v>43753</v>
      </c>
      <c r="BE32" s="1335">
        <f>'HR Track 51 HER-TSA'!BE38</f>
        <v>0</v>
      </c>
      <c r="BF32" s="1335">
        <f>'HR Track 51 HER-TSA'!BF38</f>
        <v>0</v>
      </c>
      <c r="BG32" s="1335">
        <f>'HR Track 51 HER-TSA'!BG38</f>
        <v>0</v>
      </c>
    </row>
    <row r="33" spans="2:55" ht="15.75" customHeight="1">
      <c r="B33" s="175"/>
      <c r="C33" s="617"/>
      <c r="D33" s="177"/>
      <c r="E33" s="169"/>
      <c r="F33" s="177"/>
      <c r="G33" s="458"/>
      <c r="K33" s="169"/>
      <c r="L33" s="169"/>
      <c r="M33" s="169"/>
      <c r="Q33" s="169"/>
      <c r="R33" s="169"/>
      <c r="S33" s="458"/>
      <c r="T33" s="169"/>
      <c r="U33" s="169"/>
      <c r="V33" s="169"/>
      <c r="W33" s="169"/>
      <c r="X33" s="169"/>
      <c r="Y33" s="169"/>
      <c r="Z33" s="169"/>
      <c r="AA33" s="169"/>
      <c r="AB33" s="169"/>
      <c r="AC33" s="169"/>
      <c r="AD33" s="169"/>
      <c r="AE33" s="169"/>
      <c r="AF33" s="169"/>
      <c r="AG33" s="617"/>
      <c r="AH33" s="169"/>
      <c r="AI33" s="169"/>
      <c r="AJ33" s="169"/>
      <c r="AK33" s="169"/>
      <c r="AL33" s="169"/>
      <c r="AM33" s="169"/>
      <c r="AN33" s="454"/>
      <c r="AO33" s="178"/>
      <c r="AP33" s="178"/>
      <c r="AY33" s="458"/>
      <c r="AZ33" s="458"/>
      <c r="BA33" s="1305"/>
      <c r="BC33" s="169"/>
    </row>
    <row r="34" spans="2:55" ht="15.75" customHeight="1">
      <c r="B34" s="175"/>
      <c r="C34" s="617"/>
      <c r="D34" s="177"/>
      <c r="E34" s="169"/>
      <c r="F34" s="177"/>
      <c r="G34" s="458"/>
      <c r="K34" s="169"/>
      <c r="L34" s="169"/>
      <c r="M34" s="169"/>
      <c r="Q34" s="169"/>
      <c r="R34" s="169"/>
      <c r="S34" s="458"/>
      <c r="T34" s="169"/>
      <c r="U34" s="169"/>
      <c r="V34" s="169"/>
      <c r="W34" s="169"/>
      <c r="X34" s="169"/>
      <c r="Y34" s="169"/>
      <c r="Z34" s="169"/>
      <c r="AA34" s="169"/>
      <c r="AB34" s="169"/>
      <c r="AC34" s="169"/>
      <c r="AD34" s="169"/>
      <c r="AE34" s="169"/>
      <c r="AF34" s="169"/>
      <c r="AG34" s="617"/>
      <c r="AH34" s="169"/>
      <c r="AI34" s="169"/>
      <c r="AJ34" s="169"/>
      <c r="AK34" s="169"/>
      <c r="AL34" s="169"/>
      <c r="AM34" s="169"/>
      <c r="AN34" s="454"/>
      <c r="AO34" s="178"/>
      <c r="AP34" s="178"/>
      <c r="AY34" s="458"/>
      <c r="AZ34" s="458"/>
      <c r="BA34" s="1305"/>
      <c r="BC34" s="169"/>
    </row>
    <row r="35" spans="2:55" ht="15.75" customHeight="1">
      <c r="B35" s="175"/>
      <c r="C35" s="617"/>
      <c r="D35" s="177"/>
      <c r="E35" s="169"/>
      <c r="F35" s="177"/>
      <c r="G35" s="458"/>
      <c r="K35" s="169"/>
      <c r="L35" s="169"/>
      <c r="M35" s="169"/>
      <c r="Q35" s="169"/>
      <c r="R35" s="169"/>
      <c r="S35" s="458"/>
      <c r="T35" s="169"/>
      <c r="U35" s="169"/>
      <c r="V35" s="169"/>
      <c r="W35" s="169"/>
      <c r="X35" s="169"/>
      <c r="Y35" s="169"/>
      <c r="Z35" s="169"/>
      <c r="AA35" s="169"/>
      <c r="AB35" s="169"/>
      <c r="AC35" s="169"/>
      <c r="AD35" s="169"/>
      <c r="AE35" s="169"/>
      <c r="AF35" s="169"/>
      <c r="AG35" s="617"/>
      <c r="AH35" s="169"/>
      <c r="AI35" s="169"/>
      <c r="AJ35" s="169"/>
      <c r="AK35" s="169"/>
      <c r="AL35" s="169"/>
      <c r="AM35" s="169"/>
      <c r="AN35" s="454"/>
      <c r="AO35" s="178"/>
      <c r="AP35" s="178"/>
      <c r="AY35" s="458"/>
      <c r="AZ35" s="458"/>
      <c r="BA35" s="1305"/>
      <c r="BC35" s="169"/>
    </row>
    <row r="36" spans="2:55" ht="15.75" customHeight="1">
      <c r="B36" s="175"/>
      <c r="C36" s="617"/>
      <c r="D36" s="177"/>
      <c r="E36" s="169"/>
      <c r="F36" s="177"/>
      <c r="G36" s="458"/>
      <c r="K36" s="169"/>
      <c r="L36" s="169"/>
      <c r="M36" s="169"/>
      <c r="Q36" s="169"/>
      <c r="R36" s="169"/>
      <c r="S36" s="458"/>
      <c r="T36" s="169"/>
      <c r="U36" s="169"/>
      <c r="V36" s="169"/>
      <c r="W36" s="169"/>
      <c r="X36" s="169"/>
      <c r="Y36" s="169"/>
      <c r="Z36" s="169"/>
      <c r="AA36" s="169"/>
      <c r="AB36" s="169"/>
      <c r="AC36" s="169"/>
      <c r="AD36" s="169"/>
      <c r="AE36" s="169"/>
      <c r="AF36" s="169"/>
      <c r="AG36" s="617"/>
      <c r="AH36" s="169"/>
      <c r="AI36" s="169"/>
      <c r="AJ36" s="169"/>
      <c r="AK36" s="169"/>
      <c r="AL36" s="169"/>
      <c r="AM36" s="169"/>
      <c r="AN36" s="454"/>
      <c r="AO36" s="178"/>
      <c r="AP36" s="178"/>
      <c r="AY36" s="458"/>
      <c r="AZ36" s="458"/>
      <c r="BA36" s="1305"/>
      <c r="BC36" s="169"/>
    </row>
    <row r="37" spans="2:55" ht="15.75" customHeight="1">
      <c r="B37" s="175"/>
      <c r="C37" s="617"/>
      <c r="D37" s="177"/>
      <c r="E37" s="169"/>
      <c r="F37" s="177"/>
      <c r="G37" s="458"/>
      <c r="K37" s="169"/>
      <c r="L37" s="169"/>
      <c r="M37" s="169"/>
      <c r="Q37" s="169"/>
      <c r="R37" s="169"/>
      <c r="S37" s="458"/>
      <c r="T37" s="169"/>
      <c r="U37" s="169"/>
      <c r="V37" s="169"/>
      <c r="W37" s="169"/>
      <c r="X37" s="169"/>
      <c r="Y37" s="169"/>
      <c r="Z37" s="169"/>
      <c r="AA37" s="169"/>
      <c r="AB37" s="169"/>
      <c r="AC37" s="169"/>
      <c r="AD37" s="169"/>
      <c r="AE37" s="169"/>
      <c r="AF37" s="169"/>
      <c r="AG37" s="617"/>
      <c r="AH37" s="169"/>
      <c r="AI37" s="169"/>
      <c r="AJ37" s="169"/>
      <c r="AK37" s="169"/>
      <c r="AL37" s="169"/>
      <c r="AM37" s="169"/>
      <c r="AN37" s="454"/>
      <c r="AO37" s="178"/>
      <c r="AP37" s="178"/>
      <c r="AY37" s="458"/>
      <c r="AZ37" s="458"/>
      <c r="BA37" s="1305"/>
      <c r="BC37" s="169"/>
    </row>
    <row r="38" spans="2:55" ht="15.75" customHeight="1">
      <c r="B38" s="175"/>
      <c r="C38" s="617"/>
      <c r="D38" s="177"/>
      <c r="E38" s="169"/>
      <c r="F38" s="177"/>
      <c r="G38" s="458"/>
      <c r="K38" s="169"/>
      <c r="L38" s="169"/>
      <c r="M38" s="169"/>
      <c r="Q38" s="169"/>
      <c r="R38" s="169"/>
      <c r="S38" s="458"/>
      <c r="T38" s="169"/>
      <c r="U38" s="169"/>
      <c r="V38" s="169"/>
      <c r="W38" s="169"/>
      <c r="X38" s="169"/>
      <c r="Y38" s="169"/>
      <c r="Z38" s="169"/>
      <c r="AA38" s="169"/>
      <c r="AB38" s="169"/>
      <c r="AC38" s="169"/>
      <c r="AD38" s="169"/>
      <c r="AE38" s="169"/>
      <c r="AF38" s="169"/>
      <c r="AG38" s="617"/>
      <c r="AH38" s="169"/>
      <c r="AI38" s="169"/>
      <c r="AJ38" s="169"/>
      <c r="AK38" s="169"/>
      <c r="AL38" s="169"/>
      <c r="AM38" s="169"/>
      <c r="AN38" s="454"/>
      <c r="AO38" s="178"/>
      <c r="AP38" s="178"/>
      <c r="AY38" s="458"/>
      <c r="AZ38" s="458"/>
      <c r="BA38" s="1305"/>
      <c r="BC38" s="169"/>
    </row>
    <row r="39" spans="2:55" ht="15.75" customHeight="1">
      <c r="B39" s="175"/>
      <c r="C39" s="617"/>
      <c r="D39" s="177"/>
      <c r="E39" s="169"/>
      <c r="F39" s="177"/>
      <c r="G39" s="458"/>
      <c r="K39" s="169"/>
      <c r="L39" s="169"/>
      <c r="M39" s="169"/>
      <c r="Q39" s="169"/>
      <c r="R39" s="169"/>
      <c r="S39" s="458"/>
      <c r="T39" s="169"/>
      <c r="U39" s="169"/>
      <c r="V39" s="169"/>
      <c r="W39" s="169"/>
      <c r="X39" s="169"/>
      <c r="Y39" s="169"/>
      <c r="Z39" s="169"/>
      <c r="AA39" s="169"/>
      <c r="AB39" s="169"/>
      <c r="AC39" s="169"/>
      <c r="AD39" s="169"/>
      <c r="AE39" s="169"/>
      <c r="AF39" s="169"/>
      <c r="AG39" s="617"/>
      <c r="AH39" s="169"/>
      <c r="AI39" s="169"/>
      <c r="AJ39" s="169"/>
      <c r="AK39" s="169"/>
      <c r="AL39" s="169"/>
      <c r="AM39" s="169"/>
      <c r="AN39" s="454"/>
      <c r="AO39" s="178"/>
      <c r="AP39" s="178"/>
      <c r="AY39" s="458"/>
      <c r="AZ39" s="458"/>
      <c r="BA39" s="1305"/>
      <c r="BC39" s="169"/>
    </row>
    <row r="40" spans="2:55" ht="15.75" customHeight="1">
      <c r="B40" s="175"/>
      <c r="C40" s="617"/>
      <c r="D40" s="177"/>
      <c r="E40" s="169"/>
      <c r="F40" s="177"/>
      <c r="G40" s="458"/>
      <c r="K40" s="169"/>
      <c r="L40" s="169"/>
      <c r="M40" s="169"/>
      <c r="Q40" s="169"/>
      <c r="R40" s="169"/>
      <c r="S40" s="458"/>
      <c r="T40" s="169"/>
      <c r="U40" s="169"/>
      <c r="V40" s="169"/>
      <c r="W40" s="169"/>
      <c r="X40" s="169"/>
      <c r="Y40" s="169"/>
      <c r="Z40" s="169"/>
      <c r="AA40" s="169"/>
      <c r="AB40" s="169"/>
      <c r="AC40" s="169"/>
      <c r="AD40" s="169"/>
      <c r="AE40" s="169"/>
      <c r="AF40" s="169"/>
      <c r="AG40" s="617"/>
      <c r="AH40" s="169"/>
      <c r="AI40" s="169"/>
      <c r="AJ40" s="169"/>
      <c r="AK40" s="169"/>
      <c r="AL40" s="169"/>
      <c r="AM40" s="169"/>
      <c r="AN40" s="454"/>
      <c r="AO40" s="178"/>
      <c r="AP40" s="178"/>
      <c r="AY40" s="458"/>
      <c r="AZ40" s="458"/>
      <c r="BA40" s="1305"/>
      <c r="BC40" s="169"/>
    </row>
    <row r="41" spans="2:55" ht="15.75" customHeight="1">
      <c r="B41" s="175"/>
      <c r="C41" s="617"/>
      <c r="D41" s="177"/>
      <c r="E41" s="169"/>
      <c r="F41" s="177"/>
      <c r="G41" s="458"/>
      <c r="K41" s="169"/>
      <c r="L41" s="169"/>
      <c r="M41" s="169"/>
      <c r="Q41" s="169"/>
      <c r="R41" s="169"/>
      <c r="S41" s="458"/>
      <c r="T41" s="169"/>
      <c r="U41" s="169"/>
      <c r="V41" s="169"/>
      <c r="W41" s="169"/>
      <c r="X41" s="169"/>
      <c r="Y41" s="169"/>
      <c r="Z41" s="169"/>
      <c r="AA41" s="169"/>
      <c r="AB41" s="169"/>
      <c r="AC41" s="169"/>
      <c r="AD41" s="169"/>
      <c r="AE41" s="169"/>
      <c r="AF41" s="169"/>
      <c r="AG41" s="617"/>
      <c r="AH41" s="169"/>
      <c r="AI41" s="169"/>
      <c r="AJ41" s="169"/>
      <c r="AK41" s="169"/>
      <c r="AL41" s="169"/>
      <c r="AM41" s="169"/>
      <c r="AN41" s="454"/>
      <c r="AO41" s="178"/>
      <c r="AP41" s="178"/>
      <c r="AY41" s="458"/>
      <c r="AZ41" s="458"/>
      <c r="BA41" s="1305"/>
      <c r="BC41" s="169"/>
    </row>
    <row r="42" spans="2:55" ht="15.75" customHeight="1">
      <c r="B42" s="618"/>
      <c r="C42" s="617"/>
      <c r="D42" s="177"/>
      <c r="E42" s="169"/>
      <c r="F42" s="177"/>
      <c r="G42" s="458"/>
      <c r="H42" s="169"/>
      <c r="I42" s="169"/>
      <c r="J42" s="617"/>
      <c r="K42" s="169"/>
      <c r="L42" s="169"/>
      <c r="M42" s="169"/>
      <c r="N42" s="169"/>
      <c r="O42" s="169"/>
      <c r="P42" s="169"/>
      <c r="Q42" s="169"/>
      <c r="R42" s="169"/>
      <c r="S42" s="458"/>
      <c r="T42" s="169"/>
      <c r="U42" s="169"/>
      <c r="V42" s="169"/>
      <c r="W42" s="169"/>
      <c r="X42" s="169"/>
      <c r="Y42" s="169"/>
      <c r="Z42" s="169"/>
      <c r="AA42" s="169"/>
      <c r="AB42" s="169"/>
      <c r="AC42" s="169"/>
      <c r="AD42" s="169"/>
      <c r="AE42" s="169"/>
      <c r="AF42" s="169"/>
      <c r="AG42" s="617"/>
      <c r="AH42" s="169"/>
      <c r="AI42" s="169"/>
      <c r="AJ42" s="169"/>
      <c r="AK42" s="169"/>
      <c r="AL42" s="169"/>
      <c r="AM42" s="169"/>
      <c r="AN42" s="454"/>
      <c r="AO42" s="178"/>
      <c r="AP42" s="178"/>
      <c r="AY42" s="458"/>
      <c r="AZ42" s="458"/>
      <c r="BA42" s="1305"/>
      <c r="BC42" s="169"/>
    </row>
    <row r="43" spans="2:55" ht="15.75" customHeight="1">
      <c r="B43" s="618"/>
      <c r="C43" s="617"/>
      <c r="D43" s="177"/>
      <c r="E43" s="169"/>
      <c r="F43" s="177"/>
      <c r="G43" s="458"/>
      <c r="H43" s="169"/>
      <c r="I43" s="169"/>
      <c r="J43" s="617"/>
      <c r="K43" s="169"/>
      <c r="L43" s="169"/>
      <c r="M43" s="169"/>
      <c r="N43" s="169"/>
      <c r="O43" s="169"/>
      <c r="P43" s="169"/>
      <c r="Q43" s="169"/>
      <c r="R43" s="169"/>
      <c r="S43" s="458"/>
      <c r="T43" s="169"/>
      <c r="U43" s="169"/>
      <c r="V43" s="169"/>
      <c r="W43" s="169"/>
      <c r="X43" s="169"/>
      <c r="Y43" s="169"/>
      <c r="Z43" s="169"/>
      <c r="AA43" s="169"/>
      <c r="AB43" s="169"/>
      <c r="AC43" s="169"/>
      <c r="AD43" s="169"/>
      <c r="AE43" s="169"/>
      <c r="AF43" s="169"/>
      <c r="AG43" s="617"/>
      <c r="AH43" s="169"/>
      <c r="AI43" s="169"/>
      <c r="AJ43" s="169"/>
      <c r="AK43" s="169"/>
      <c r="AL43" s="169"/>
      <c r="AM43" s="169"/>
      <c r="AY43" s="458"/>
      <c r="AZ43" s="458"/>
      <c r="BA43" s="1305"/>
      <c r="BC43" s="169"/>
    </row>
    <row r="44" spans="2:55" ht="15.75" customHeight="1">
      <c r="B44" s="618"/>
      <c r="C44" s="617"/>
      <c r="D44" s="177"/>
      <c r="E44" s="169"/>
      <c r="F44" s="177"/>
      <c r="G44" s="458"/>
      <c r="H44" s="169"/>
      <c r="I44" s="169"/>
      <c r="J44" s="617"/>
      <c r="K44" s="169"/>
      <c r="L44" s="169"/>
      <c r="M44" s="169"/>
      <c r="N44" s="169"/>
      <c r="O44" s="169"/>
      <c r="P44" s="169"/>
      <c r="Q44" s="169"/>
      <c r="R44" s="169"/>
      <c r="S44" s="458"/>
      <c r="T44" s="169"/>
      <c r="U44" s="169"/>
      <c r="V44" s="169"/>
      <c r="W44" s="169"/>
      <c r="X44" s="169"/>
      <c r="Y44" s="169"/>
      <c r="Z44" s="169"/>
      <c r="AA44" s="169"/>
      <c r="AB44" s="169"/>
      <c r="AC44" s="169"/>
      <c r="AD44" s="169"/>
      <c r="AE44" s="169"/>
      <c r="AF44" s="169"/>
      <c r="AG44" s="617"/>
      <c r="AH44" s="169"/>
      <c r="AI44" s="169"/>
      <c r="AJ44" s="169"/>
      <c r="AK44" s="169"/>
      <c r="AL44" s="169"/>
      <c r="AM44" s="169"/>
      <c r="AY44" s="458"/>
      <c r="AZ44" s="458"/>
      <c r="BA44" s="1305"/>
      <c r="BC44" s="169"/>
    </row>
    <row r="45" spans="2:55" ht="15.75" customHeight="1">
      <c r="S45" s="454"/>
      <c r="AY45" s="458"/>
      <c r="AZ45" s="458"/>
      <c r="BA45" s="1305"/>
      <c r="BC45" s="169"/>
    </row>
    <row r="46" spans="2:55" ht="15.75" customHeight="1">
      <c r="S46" s="454"/>
      <c r="AY46" s="458"/>
      <c r="AZ46" s="458"/>
      <c r="BA46" s="1305"/>
      <c r="BC46" s="169"/>
    </row>
    <row r="47" spans="2:55" ht="15.75" customHeight="1">
      <c r="S47" s="454"/>
      <c r="AY47" s="458"/>
      <c r="AZ47" s="458"/>
      <c r="BA47" s="1305"/>
      <c r="BC47" s="169"/>
    </row>
    <row r="48" spans="2:55" ht="15.75" customHeight="1">
      <c r="S48" s="454"/>
      <c r="AY48" s="458"/>
      <c r="AZ48" s="458"/>
      <c r="BA48" s="1305"/>
      <c r="BC48" s="169"/>
    </row>
    <row r="49" spans="19:55" ht="15.75" customHeight="1">
      <c r="S49" s="454"/>
      <c r="AY49" s="458"/>
      <c r="AZ49" s="458"/>
      <c r="BA49" s="1305"/>
      <c r="BC49" s="169"/>
    </row>
    <row r="50" spans="19:55" ht="15.75" customHeight="1">
      <c r="S50" s="454"/>
      <c r="AY50" s="458"/>
      <c r="AZ50" s="458"/>
      <c r="BA50" s="1305"/>
      <c r="BC50" s="169"/>
    </row>
    <row r="51" spans="19:55" ht="15.75" customHeight="1">
      <c r="S51" s="454"/>
      <c r="AY51" s="458"/>
      <c r="AZ51" s="458"/>
      <c r="BA51" s="1305"/>
      <c r="BC51" s="169"/>
    </row>
    <row r="52" spans="19:55" ht="15.75" customHeight="1">
      <c r="S52" s="454"/>
      <c r="AY52" s="458"/>
      <c r="AZ52" s="458"/>
      <c r="BA52" s="1305"/>
      <c r="BC52" s="169"/>
    </row>
    <row r="53" spans="19:55" ht="15.75" customHeight="1">
      <c r="S53" s="454"/>
      <c r="AY53" s="458"/>
      <c r="AZ53" s="458"/>
      <c r="BA53" s="1305"/>
      <c r="BC53" s="169"/>
    </row>
    <row r="54" spans="19:55" ht="15.75" customHeight="1">
      <c r="S54" s="454"/>
      <c r="AY54" s="458"/>
      <c r="AZ54" s="458"/>
      <c r="BA54" s="1305"/>
      <c r="BC54" s="169"/>
    </row>
    <row r="55" spans="19:55" ht="15.75" customHeight="1">
      <c r="S55" s="454"/>
      <c r="AY55" s="458"/>
      <c r="AZ55" s="458"/>
      <c r="BA55" s="1305"/>
      <c r="BC55" s="169"/>
    </row>
    <row r="56" spans="19:55" ht="15.75" customHeight="1">
      <c r="S56" s="454"/>
      <c r="AY56" s="458"/>
      <c r="AZ56" s="458"/>
      <c r="BA56" s="1305"/>
      <c r="BC56" s="169"/>
    </row>
    <row r="57" spans="19:55" ht="15.75" customHeight="1">
      <c r="S57" s="454"/>
      <c r="AY57" s="458"/>
      <c r="AZ57" s="458"/>
      <c r="BA57" s="1305"/>
      <c r="BC57" s="169"/>
    </row>
    <row r="58" spans="19:55" ht="15.75" customHeight="1">
      <c r="S58" s="454"/>
      <c r="AY58" s="458"/>
      <c r="AZ58" s="458"/>
      <c r="BA58" s="1305"/>
      <c r="BC58" s="169"/>
    </row>
    <row r="59" spans="19:55" ht="15.75" customHeight="1">
      <c r="S59" s="454"/>
      <c r="AY59" s="458"/>
      <c r="AZ59" s="458"/>
      <c r="BA59" s="1305"/>
      <c r="BC59" s="169"/>
    </row>
    <row r="60" spans="19:55" ht="15.75" customHeight="1">
      <c r="S60" s="454"/>
      <c r="AY60" s="458"/>
      <c r="AZ60" s="458"/>
      <c r="BA60" s="1305"/>
      <c r="BC60" s="169"/>
    </row>
    <row r="61" spans="19:55" ht="15.75" customHeight="1">
      <c r="S61" s="454"/>
      <c r="AY61" s="458"/>
      <c r="AZ61" s="458"/>
      <c r="BA61" s="1305"/>
      <c r="BC61" s="169"/>
    </row>
    <row r="62" spans="19:55" ht="15.75" customHeight="1">
      <c r="S62" s="454"/>
      <c r="AY62" s="458"/>
      <c r="AZ62" s="458"/>
      <c r="BA62" s="1305"/>
      <c r="BC62" s="169"/>
    </row>
    <row r="63" spans="19:55" ht="15.75" customHeight="1">
      <c r="S63" s="454"/>
      <c r="AY63" s="458"/>
      <c r="AZ63" s="458"/>
      <c r="BA63" s="1305"/>
      <c r="BC63" s="169"/>
    </row>
    <row r="64" spans="19:55" ht="15.75" customHeight="1">
      <c r="S64" s="454"/>
      <c r="AY64" s="458"/>
      <c r="AZ64" s="458"/>
      <c r="BA64" s="1305"/>
      <c r="BC64" s="169"/>
    </row>
    <row r="65" spans="19:55" ht="15.75" customHeight="1">
      <c r="S65" s="454"/>
      <c r="AY65" s="458"/>
      <c r="AZ65" s="458"/>
      <c r="BA65" s="1305"/>
      <c r="BC65" s="169"/>
    </row>
    <row r="66" spans="19:55" ht="15.75" customHeight="1">
      <c r="S66" s="454"/>
      <c r="AY66" s="458"/>
      <c r="AZ66" s="458"/>
      <c r="BA66" s="1305"/>
      <c r="BC66" s="169"/>
    </row>
    <row r="67" spans="19:55" ht="15.75" customHeight="1">
      <c r="S67" s="454"/>
      <c r="AY67" s="458"/>
      <c r="AZ67" s="458"/>
      <c r="BA67" s="1305"/>
      <c r="BC67" s="169"/>
    </row>
    <row r="68" spans="19:55" ht="15.75" customHeight="1">
      <c r="S68" s="454"/>
      <c r="AY68" s="458"/>
      <c r="AZ68" s="458"/>
      <c r="BA68" s="1305"/>
      <c r="BC68" s="169"/>
    </row>
    <row r="69" spans="19:55" ht="15.75" customHeight="1">
      <c r="S69" s="454"/>
      <c r="AY69" s="458"/>
      <c r="AZ69" s="458"/>
      <c r="BA69" s="1305"/>
      <c r="BC69" s="169"/>
    </row>
    <row r="70" spans="19:55" ht="15.75" customHeight="1">
      <c r="S70" s="454"/>
      <c r="AY70" s="458"/>
      <c r="AZ70" s="458"/>
      <c r="BA70" s="1305"/>
      <c r="BC70" s="169"/>
    </row>
    <row r="71" spans="19:55" ht="15.75" customHeight="1">
      <c r="S71" s="454"/>
      <c r="AY71" s="458"/>
      <c r="AZ71" s="458"/>
      <c r="BA71" s="1305"/>
      <c r="BC71" s="169"/>
    </row>
    <row r="72" spans="19:55" ht="15.75" customHeight="1">
      <c r="S72" s="454"/>
      <c r="AY72" s="458"/>
      <c r="AZ72" s="458"/>
      <c r="BA72" s="1305"/>
      <c r="BC72" s="169"/>
    </row>
    <row r="73" spans="19:55" ht="15.75" customHeight="1">
      <c r="S73" s="454"/>
      <c r="AY73" s="458"/>
      <c r="AZ73" s="458"/>
      <c r="BA73" s="1305"/>
      <c r="BC73" s="169"/>
    </row>
    <row r="74" spans="19:55" ht="15.75" customHeight="1">
      <c r="S74" s="454"/>
      <c r="AY74" s="458"/>
      <c r="AZ74" s="458"/>
      <c r="BA74" s="1305"/>
      <c r="BC74" s="169"/>
    </row>
    <row r="75" spans="19:55" ht="15.75" customHeight="1">
      <c r="S75" s="454"/>
      <c r="AY75" s="458"/>
      <c r="AZ75" s="458"/>
      <c r="BA75" s="1305"/>
      <c r="BC75" s="169"/>
    </row>
    <row r="76" spans="19:55" ht="15.75" customHeight="1">
      <c r="S76" s="454"/>
      <c r="AY76" s="458"/>
      <c r="AZ76" s="458"/>
      <c r="BA76" s="1305"/>
      <c r="BC76" s="169"/>
    </row>
    <row r="77" spans="19:55" ht="15.75" customHeight="1">
      <c r="S77" s="454"/>
      <c r="AY77" s="458"/>
      <c r="AZ77" s="458"/>
      <c r="BA77" s="1305"/>
      <c r="BC77" s="169"/>
    </row>
    <row r="78" spans="19:55" ht="15.75" customHeight="1">
      <c r="S78" s="454"/>
      <c r="AY78" s="458"/>
      <c r="AZ78" s="458"/>
      <c r="BA78" s="1305"/>
      <c r="BC78" s="169"/>
    </row>
    <row r="79" spans="19:55" ht="15.75" customHeight="1">
      <c r="S79" s="454"/>
      <c r="AY79" s="458"/>
      <c r="AZ79" s="458"/>
      <c r="BA79" s="1305"/>
      <c r="BC79" s="169"/>
    </row>
    <row r="80" spans="19:55" ht="15.75" customHeight="1">
      <c r="S80" s="454"/>
      <c r="AY80" s="458"/>
      <c r="AZ80" s="458"/>
      <c r="BA80" s="1305"/>
      <c r="BC80" s="169"/>
    </row>
    <row r="81" spans="19:55" ht="15.75" customHeight="1">
      <c r="S81" s="454"/>
      <c r="AY81" s="458"/>
      <c r="AZ81" s="458"/>
      <c r="BA81" s="1305"/>
      <c r="BC81" s="169"/>
    </row>
    <row r="82" spans="19:55" ht="15.75" customHeight="1">
      <c r="S82" s="454"/>
      <c r="AY82" s="458"/>
      <c r="AZ82" s="458"/>
      <c r="BA82" s="1305"/>
      <c r="BC82" s="169"/>
    </row>
    <row r="83" spans="19:55" ht="15.75" customHeight="1">
      <c r="S83" s="454"/>
      <c r="AY83" s="458"/>
      <c r="AZ83" s="458"/>
      <c r="BA83" s="1305"/>
      <c r="BC83" s="169"/>
    </row>
    <row r="84" spans="19:55" ht="15.75" customHeight="1">
      <c r="S84" s="454"/>
      <c r="AY84" s="458"/>
      <c r="AZ84" s="458"/>
      <c r="BA84" s="1305"/>
      <c r="BC84" s="169"/>
    </row>
    <row r="85" spans="19:55" ht="15.75" customHeight="1">
      <c r="S85" s="454"/>
      <c r="AY85" s="458"/>
      <c r="AZ85" s="458"/>
      <c r="BA85" s="1305"/>
      <c r="BC85" s="169"/>
    </row>
    <row r="86" spans="19:55" ht="15.75" customHeight="1">
      <c r="S86" s="454"/>
      <c r="AY86" s="458"/>
      <c r="AZ86" s="458"/>
      <c r="BA86" s="1305"/>
      <c r="BC86" s="169"/>
    </row>
    <row r="87" spans="19:55" ht="15.75" customHeight="1">
      <c r="S87" s="454"/>
      <c r="AY87" s="458"/>
      <c r="AZ87" s="458"/>
      <c r="BA87" s="1305"/>
      <c r="BC87" s="169"/>
    </row>
    <row r="88" spans="19:55" ht="15.75" customHeight="1">
      <c r="S88" s="454"/>
      <c r="AY88" s="458"/>
      <c r="AZ88" s="458"/>
      <c r="BA88" s="1305"/>
      <c r="BC88" s="169"/>
    </row>
    <row r="89" spans="19:55" ht="15.75" customHeight="1">
      <c r="S89" s="454"/>
      <c r="AY89" s="458"/>
      <c r="AZ89" s="458"/>
      <c r="BA89" s="1305"/>
      <c r="BC89" s="169"/>
    </row>
    <row r="90" spans="19:55" ht="15.75" customHeight="1">
      <c r="S90" s="454"/>
      <c r="AY90" s="458"/>
      <c r="AZ90" s="458"/>
      <c r="BA90" s="1305"/>
      <c r="BC90" s="169"/>
    </row>
    <row r="91" spans="19:55" ht="15.75" customHeight="1">
      <c r="S91" s="454"/>
      <c r="AY91" s="458"/>
      <c r="AZ91" s="458"/>
      <c r="BA91" s="1305"/>
      <c r="BC91" s="169"/>
    </row>
    <row r="92" spans="19:55" ht="15.75" customHeight="1">
      <c r="S92" s="454"/>
      <c r="AY92" s="458"/>
      <c r="AZ92" s="458"/>
      <c r="BA92" s="1305"/>
      <c r="BC92" s="169"/>
    </row>
    <row r="93" spans="19:55" ht="15.75" customHeight="1">
      <c r="S93" s="454"/>
      <c r="AY93" s="458"/>
      <c r="AZ93" s="458"/>
      <c r="BA93" s="1305"/>
      <c r="BC93" s="169"/>
    </row>
    <row r="94" spans="19:55" ht="15.75" customHeight="1">
      <c r="S94" s="454"/>
      <c r="AY94" s="458"/>
      <c r="AZ94" s="458"/>
      <c r="BA94" s="1305"/>
      <c r="BC94" s="169"/>
    </row>
    <row r="95" spans="19:55" ht="15.75" customHeight="1">
      <c r="S95" s="454"/>
      <c r="AY95" s="458"/>
      <c r="AZ95" s="458"/>
      <c r="BA95" s="1305"/>
      <c r="BC95" s="169"/>
    </row>
    <row r="96" spans="19:55" ht="15.75" customHeight="1">
      <c r="S96" s="454"/>
      <c r="AY96" s="458"/>
      <c r="AZ96" s="458"/>
      <c r="BA96" s="1305"/>
      <c r="BC96" s="169"/>
    </row>
    <row r="97" spans="19:55" ht="15.75" customHeight="1">
      <c r="S97" s="454"/>
      <c r="AY97" s="458"/>
      <c r="AZ97" s="458"/>
      <c r="BA97" s="1305"/>
      <c r="BC97" s="169"/>
    </row>
    <row r="98" spans="19:55" ht="15.75" customHeight="1">
      <c r="S98" s="454"/>
      <c r="AY98" s="458"/>
      <c r="AZ98" s="458"/>
      <c r="BA98" s="1305"/>
      <c r="BC98" s="169"/>
    </row>
    <row r="99" spans="19:55" ht="15.75" customHeight="1">
      <c r="S99" s="454"/>
      <c r="AY99" s="458"/>
      <c r="AZ99" s="458"/>
      <c r="BA99" s="1305"/>
      <c r="BC99" s="169"/>
    </row>
    <row r="100" spans="19:55" ht="15.75" customHeight="1">
      <c r="S100" s="454"/>
      <c r="AY100" s="458"/>
      <c r="AZ100" s="458"/>
      <c r="BA100" s="1305"/>
      <c r="BC100" s="169"/>
    </row>
    <row r="101" spans="19:55" ht="15.75" customHeight="1">
      <c r="S101" s="454"/>
      <c r="AY101" s="458"/>
      <c r="AZ101" s="458"/>
      <c r="BA101" s="1305"/>
      <c r="BC101" s="169"/>
    </row>
    <row r="102" spans="19:55" ht="15.75" customHeight="1">
      <c r="S102" s="454"/>
      <c r="AY102" s="458"/>
      <c r="AZ102" s="458"/>
      <c r="BA102" s="1305"/>
      <c r="BC102" s="169"/>
    </row>
    <row r="103" spans="19:55" ht="15.75" customHeight="1">
      <c r="S103" s="454"/>
      <c r="AY103" s="458"/>
      <c r="AZ103" s="458"/>
      <c r="BA103" s="1305"/>
      <c r="BC103" s="169"/>
    </row>
    <row r="104" spans="19:55" ht="15.75" customHeight="1">
      <c r="S104" s="454"/>
      <c r="AY104" s="458"/>
      <c r="AZ104" s="458"/>
      <c r="BA104" s="1305"/>
      <c r="BC104" s="169"/>
    </row>
    <row r="105" spans="19:55" ht="15.75" customHeight="1">
      <c r="S105" s="454"/>
      <c r="AY105" s="458"/>
      <c r="AZ105" s="458"/>
      <c r="BA105" s="1305"/>
      <c r="BC105" s="169"/>
    </row>
    <row r="106" spans="19:55" ht="15.75" customHeight="1">
      <c r="S106" s="454"/>
      <c r="AY106" s="458"/>
      <c r="AZ106" s="458"/>
      <c r="BA106" s="1305"/>
      <c r="BC106" s="169"/>
    </row>
    <row r="107" spans="19:55" ht="15.75" customHeight="1">
      <c r="S107" s="454"/>
      <c r="AY107" s="458"/>
      <c r="AZ107" s="458"/>
      <c r="BA107" s="1305"/>
      <c r="BC107" s="169"/>
    </row>
    <row r="108" spans="19:55" ht="15.75" customHeight="1">
      <c r="S108" s="454"/>
      <c r="AY108" s="458"/>
      <c r="AZ108" s="458"/>
      <c r="BA108" s="1305"/>
      <c r="BC108" s="169"/>
    </row>
    <row r="109" spans="19:55" ht="15.75" customHeight="1">
      <c r="S109" s="454"/>
      <c r="AY109" s="458"/>
      <c r="AZ109" s="458"/>
      <c r="BA109" s="1305"/>
      <c r="BC109" s="169"/>
    </row>
    <row r="110" spans="19:55" ht="15.75" customHeight="1">
      <c r="S110" s="454"/>
      <c r="AY110" s="458"/>
      <c r="AZ110" s="458"/>
      <c r="BA110" s="1305"/>
      <c r="BC110" s="169"/>
    </row>
    <row r="111" spans="19:55" ht="15.75" customHeight="1">
      <c r="S111" s="454"/>
      <c r="AY111" s="458"/>
      <c r="AZ111" s="458"/>
      <c r="BA111" s="1305"/>
      <c r="BC111" s="169"/>
    </row>
    <row r="112" spans="19:55" ht="15.75" customHeight="1">
      <c r="S112" s="454"/>
      <c r="AY112" s="458"/>
      <c r="AZ112" s="458"/>
      <c r="BA112" s="1305"/>
      <c r="BC112" s="169"/>
    </row>
    <row r="113" spans="19:55" ht="15.75" customHeight="1">
      <c r="S113" s="454"/>
      <c r="AY113" s="458"/>
      <c r="AZ113" s="458"/>
      <c r="BA113" s="1305"/>
      <c r="BC113" s="169"/>
    </row>
    <row r="114" spans="19:55" ht="15.75" customHeight="1">
      <c r="S114" s="454"/>
      <c r="AY114" s="458"/>
      <c r="AZ114" s="458"/>
      <c r="BA114" s="1305"/>
      <c r="BC114" s="169"/>
    </row>
    <row r="115" spans="19:55" ht="15.75" customHeight="1">
      <c r="S115" s="454"/>
      <c r="AY115" s="458"/>
      <c r="AZ115" s="458"/>
      <c r="BA115" s="1305"/>
      <c r="BC115" s="169"/>
    </row>
    <row r="116" spans="19:55" ht="15.75" customHeight="1">
      <c r="S116" s="454"/>
      <c r="AY116" s="458"/>
      <c r="AZ116" s="458"/>
      <c r="BA116" s="1305"/>
      <c r="BC116" s="169"/>
    </row>
    <row r="117" spans="19:55" ht="15.75" customHeight="1">
      <c r="S117" s="454"/>
      <c r="AY117" s="458"/>
      <c r="AZ117" s="458"/>
      <c r="BA117" s="1305"/>
      <c r="BC117" s="169"/>
    </row>
    <row r="118" spans="19:55" ht="15.75" customHeight="1">
      <c r="S118" s="454"/>
      <c r="AY118" s="458"/>
      <c r="AZ118" s="458"/>
      <c r="BA118" s="1305"/>
      <c r="BC118" s="169"/>
    </row>
    <row r="119" spans="19:55" ht="15.75" customHeight="1">
      <c r="S119" s="454"/>
      <c r="AY119" s="458"/>
      <c r="AZ119" s="458"/>
      <c r="BA119" s="1305"/>
      <c r="BC119" s="169"/>
    </row>
    <row r="120" spans="19:55" ht="15.75" customHeight="1">
      <c r="S120" s="454"/>
      <c r="AY120" s="458"/>
      <c r="AZ120" s="458"/>
      <c r="BA120" s="1305"/>
      <c r="BC120" s="169"/>
    </row>
    <row r="121" spans="19:55" ht="15.75" customHeight="1">
      <c r="S121" s="454"/>
      <c r="AY121" s="458"/>
      <c r="AZ121" s="458"/>
      <c r="BA121" s="1305"/>
      <c r="BC121" s="169"/>
    </row>
    <row r="122" spans="19:55" ht="15.75" customHeight="1">
      <c r="S122" s="454"/>
      <c r="AY122" s="458"/>
      <c r="AZ122" s="458"/>
      <c r="BA122" s="1305"/>
      <c r="BC122" s="169"/>
    </row>
    <row r="123" spans="19:55" ht="15.75" customHeight="1">
      <c r="S123" s="454"/>
      <c r="AV123" s="178"/>
      <c r="AW123" s="178"/>
      <c r="AX123" s="178"/>
      <c r="AY123" s="454"/>
      <c r="AZ123" s="454"/>
      <c r="BA123" s="1306"/>
      <c r="BC123" s="169"/>
    </row>
    <row r="124" spans="19:55" ht="15.75" customHeight="1">
      <c r="S124" s="454"/>
      <c r="AV124" s="178"/>
      <c r="AW124" s="178"/>
      <c r="AX124" s="178"/>
      <c r="AY124" s="454"/>
      <c r="AZ124" s="454"/>
      <c r="BA124" s="1306"/>
      <c r="BC124" s="169"/>
    </row>
    <row r="125" spans="19:55" ht="15.75" customHeight="1">
      <c r="S125" s="454"/>
      <c r="AN125" s="454"/>
      <c r="AO125" s="178"/>
      <c r="AP125" s="178"/>
      <c r="AQ125" s="454"/>
      <c r="AR125" s="454"/>
      <c r="AS125" s="454"/>
      <c r="AT125" s="454"/>
      <c r="AU125" s="178"/>
      <c r="AV125" s="178"/>
      <c r="AW125" s="178"/>
      <c r="AX125" s="178"/>
      <c r="AY125" s="454"/>
      <c r="AZ125" s="454"/>
      <c r="BA125" s="1306"/>
      <c r="BC125" s="169"/>
    </row>
    <row r="126" spans="19:55" ht="15.75" customHeight="1">
      <c r="S126" s="454"/>
      <c r="AN126" s="454"/>
      <c r="AO126" s="178"/>
      <c r="AP126" s="178"/>
      <c r="AQ126" s="454"/>
      <c r="AR126" s="454"/>
      <c r="AS126" s="454"/>
      <c r="AT126" s="454"/>
      <c r="AU126" s="178"/>
      <c r="AV126" s="178"/>
      <c r="AW126" s="178"/>
      <c r="AX126" s="178"/>
      <c r="AY126" s="454"/>
      <c r="AZ126" s="454"/>
      <c r="BA126" s="1306"/>
      <c r="BC126" s="169"/>
    </row>
    <row r="127" spans="19:55" ht="15.75" customHeight="1">
      <c r="S127" s="454"/>
      <c r="AN127" s="454"/>
      <c r="AO127" s="178"/>
      <c r="AP127" s="178"/>
      <c r="AQ127" s="454"/>
      <c r="AR127" s="454"/>
      <c r="AS127" s="454"/>
      <c r="AT127" s="454"/>
      <c r="AU127" s="178"/>
      <c r="AV127" s="178"/>
      <c r="AW127" s="178"/>
      <c r="AX127" s="178"/>
      <c r="AY127" s="454"/>
      <c r="AZ127" s="454"/>
      <c r="BA127" s="1306"/>
      <c r="BC127" s="169"/>
    </row>
    <row r="128" spans="19:55" ht="15.75" customHeight="1">
      <c r="S128" s="454"/>
      <c r="AN128" s="454"/>
      <c r="AO128" s="178"/>
      <c r="AP128" s="178"/>
      <c r="AQ128" s="454"/>
      <c r="AR128" s="454"/>
      <c r="AS128" s="454"/>
      <c r="AT128" s="454"/>
      <c r="AU128" s="178"/>
      <c r="AY128" s="458"/>
      <c r="AZ128" s="458"/>
      <c r="BA128" s="1305"/>
      <c r="BC128" s="169"/>
    </row>
    <row r="129" spans="19:55" ht="15.75" customHeight="1">
      <c r="S129" s="454"/>
      <c r="AN129" s="454"/>
      <c r="AO129" s="178"/>
      <c r="AP129" s="178"/>
      <c r="AQ129" s="454"/>
      <c r="AR129" s="454"/>
      <c r="AS129" s="454"/>
      <c r="AT129" s="454"/>
      <c r="AU129" s="178"/>
      <c r="AY129" s="458"/>
      <c r="AZ129" s="458"/>
      <c r="BA129" s="1305"/>
      <c r="BC129" s="169"/>
    </row>
    <row r="130" spans="19:55" ht="15.75" customHeight="1">
      <c r="S130" s="454"/>
      <c r="AY130" s="458"/>
      <c r="AZ130" s="458"/>
      <c r="BA130" s="1305"/>
      <c r="BC130" s="169"/>
    </row>
    <row r="131" spans="19:55" ht="15.75" customHeight="1">
      <c r="S131" s="454"/>
      <c r="AY131" s="458"/>
      <c r="AZ131" s="458"/>
      <c r="BA131" s="1305"/>
      <c r="BC131" s="169"/>
    </row>
    <row r="132" spans="19:55" ht="15.75" customHeight="1">
      <c r="S132" s="454"/>
      <c r="AY132" s="458"/>
      <c r="AZ132" s="458"/>
      <c r="BA132" s="1305"/>
      <c r="BC132" s="169"/>
    </row>
    <row r="133" spans="19:55" ht="15.75" customHeight="1">
      <c r="S133" s="454"/>
      <c r="AY133" s="458"/>
      <c r="AZ133" s="458"/>
      <c r="BA133" s="1305"/>
      <c r="BC133" s="169"/>
    </row>
    <row r="134" spans="19:55" ht="15.75" customHeight="1">
      <c r="S134" s="454"/>
      <c r="AY134" s="458"/>
      <c r="AZ134" s="458"/>
      <c r="BA134" s="1305"/>
      <c r="BC134" s="169"/>
    </row>
    <row r="135" spans="19:55" ht="15.75" customHeight="1">
      <c r="S135" s="454"/>
      <c r="AY135" s="458"/>
      <c r="AZ135" s="458"/>
      <c r="BA135" s="1305"/>
      <c r="BC135" s="169"/>
    </row>
    <row r="136" spans="19:55" ht="15.75" customHeight="1">
      <c r="S136" s="454"/>
      <c r="AY136" s="458"/>
      <c r="AZ136" s="458"/>
      <c r="BA136" s="1305"/>
      <c r="BC136" s="169"/>
    </row>
    <row r="137" spans="19:55" ht="15.75" customHeight="1">
      <c r="S137" s="454"/>
      <c r="AY137" s="458"/>
      <c r="AZ137" s="458"/>
      <c r="BA137" s="1305"/>
      <c r="BC137" s="169"/>
    </row>
    <row r="138" spans="19:55" ht="15.75" customHeight="1">
      <c r="S138" s="454"/>
      <c r="AY138" s="458"/>
      <c r="AZ138" s="458"/>
      <c r="BA138" s="1305"/>
      <c r="BC138" s="169"/>
    </row>
    <row r="139" spans="19:55" ht="15.75" customHeight="1">
      <c r="S139" s="454"/>
      <c r="AY139" s="458"/>
      <c r="AZ139" s="458"/>
      <c r="BA139" s="1305"/>
      <c r="BC139" s="169"/>
    </row>
    <row r="140" spans="19:55" ht="15.75" customHeight="1">
      <c r="S140" s="454"/>
      <c r="AY140" s="458"/>
      <c r="AZ140" s="458"/>
      <c r="BA140" s="1305"/>
      <c r="BC140" s="169"/>
    </row>
    <row r="141" spans="19:55" ht="15.75" customHeight="1">
      <c r="S141" s="454"/>
      <c r="AY141" s="458"/>
      <c r="AZ141" s="458"/>
      <c r="BA141" s="1305"/>
      <c r="BC141" s="169"/>
    </row>
    <row r="142" spans="19:55" ht="15.75" customHeight="1">
      <c r="S142" s="454"/>
      <c r="AY142" s="458"/>
      <c r="AZ142" s="458"/>
      <c r="BA142" s="1305"/>
      <c r="BC142" s="169"/>
    </row>
    <row r="143" spans="19:55" ht="15.75" customHeight="1">
      <c r="S143" s="454"/>
      <c r="AY143" s="458"/>
      <c r="AZ143" s="458"/>
      <c r="BA143" s="1305"/>
      <c r="BC143" s="169"/>
    </row>
    <row r="144" spans="19:55" ht="15.75" customHeight="1">
      <c r="S144" s="454"/>
      <c r="AY144" s="458"/>
      <c r="AZ144" s="458"/>
      <c r="BA144" s="1305"/>
      <c r="BC144" s="169"/>
    </row>
    <row r="145" spans="19:55" ht="15.75" customHeight="1">
      <c r="S145" s="454"/>
      <c r="AY145" s="458"/>
      <c r="AZ145" s="458"/>
      <c r="BA145" s="1305"/>
      <c r="BC145" s="169"/>
    </row>
    <row r="146" spans="19:55" ht="15.75" customHeight="1">
      <c r="S146" s="454"/>
      <c r="AY146" s="458"/>
      <c r="AZ146" s="458"/>
      <c r="BA146" s="1305"/>
      <c r="BC146" s="169"/>
    </row>
    <row r="147" spans="19:55" ht="15.75" customHeight="1">
      <c r="S147" s="454"/>
      <c r="AY147" s="458"/>
      <c r="AZ147" s="458"/>
      <c r="BA147" s="1305"/>
      <c r="BC147" s="169"/>
    </row>
    <row r="148" spans="19:55" ht="15.75" customHeight="1">
      <c r="S148" s="454"/>
      <c r="AY148" s="458"/>
      <c r="AZ148" s="458"/>
      <c r="BA148" s="1305"/>
      <c r="BC148" s="169"/>
    </row>
    <row r="149" spans="19:55" ht="15.75" customHeight="1">
      <c r="S149" s="454"/>
      <c r="AY149" s="458"/>
      <c r="AZ149" s="458"/>
      <c r="BA149" s="1305"/>
      <c r="BC149" s="169"/>
    </row>
    <row r="150" spans="19:55" ht="15.75" customHeight="1">
      <c r="S150" s="454"/>
      <c r="AY150" s="458"/>
      <c r="AZ150" s="458"/>
      <c r="BA150" s="1305"/>
      <c r="BC150" s="169"/>
    </row>
    <row r="151" spans="19:55" ht="15.75" customHeight="1">
      <c r="S151" s="454"/>
      <c r="AY151" s="458"/>
      <c r="AZ151" s="458"/>
      <c r="BA151" s="1305"/>
      <c r="BC151" s="169"/>
    </row>
    <row r="152" spans="19:55" ht="15.75" customHeight="1">
      <c r="S152" s="454"/>
      <c r="AY152" s="458"/>
      <c r="AZ152" s="458"/>
      <c r="BA152" s="1305"/>
      <c r="BC152" s="169"/>
    </row>
    <row r="153" spans="19:55" ht="15.75" customHeight="1">
      <c r="S153" s="454"/>
      <c r="AY153" s="458"/>
      <c r="AZ153" s="458"/>
      <c r="BA153" s="1305"/>
      <c r="BC153" s="169"/>
    </row>
    <row r="154" spans="19:55" ht="15.75" customHeight="1">
      <c r="S154" s="454"/>
      <c r="AY154" s="458"/>
      <c r="AZ154" s="458"/>
      <c r="BA154" s="1305"/>
      <c r="BC154" s="169"/>
    </row>
    <row r="155" spans="19:55" ht="15.75" customHeight="1">
      <c r="S155" s="454"/>
      <c r="AY155" s="458"/>
      <c r="AZ155" s="458"/>
      <c r="BA155" s="1305"/>
      <c r="BC155" s="169"/>
    </row>
    <row r="156" spans="19:55" ht="15.75" customHeight="1">
      <c r="S156" s="454"/>
      <c r="AY156" s="458"/>
      <c r="AZ156" s="458"/>
      <c r="BA156" s="1305"/>
      <c r="BC156" s="169"/>
    </row>
    <row r="157" spans="19:55" ht="15.75" customHeight="1">
      <c r="S157" s="454"/>
      <c r="AY157" s="458"/>
      <c r="AZ157" s="458"/>
      <c r="BA157" s="1305"/>
      <c r="BC157" s="169"/>
    </row>
    <row r="158" spans="19:55" ht="15.75" customHeight="1">
      <c r="S158" s="454"/>
      <c r="AY158" s="458"/>
      <c r="AZ158" s="458"/>
      <c r="BA158" s="1305"/>
      <c r="BC158" s="169"/>
    </row>
    <row r="159" spans="19:55" ht="15.75" customHeight="1">
      <c r="S159" s="454"/>
      <c r="AY159" s="458"/>
      <c r="AZ159" s="458"/>
      <c r="BA159" s="1305"/>
      <c r="BC159" s="169"/>
    </row>
    <row r="160" spans="19:55" ht="15.75" customHeight="1">
      <c r="S160" s="454"/>
      <c r="AY160" s="458"/>
      <c r="AZ160" s="458"/>
      <c r="BA160" s="1305"/>
      <c r="BC160" s="169"/>
    </row>
    <row r="161" spans="19:55" ht="15.75" customHeight="1">
      <c r="S161" s="454"/>
      <c r="AY161" s="458"/>
      <c r="AZ161" s="458"/>
      <c r="BA161" s="1305"/>
      <c r="BC161" s="169"/>
    </row>
    <row r="162" spans="19:55" ht="15.75" customHeight="1">
      <c r="S162" s="454"/>
      <c r="AY162" s="458"/>
      <c r="AZ162" s="458"/>
      <c r="BA162" s="1305"/>
      <c r="BC162" s="169"/>
    </row>
    <row r="163" spans="19:55" ht="15.75" customHeight="1">
      <c r="S163" s="454"/>
      <c r="AY163" s="458"/>
      <c r="AZ163" s="458"/>
      <c r="BA163" s="1305"/>
      <c r="BC163" s="169"/>
    </row>
    <row r="164" spans="19:55" ht="15.75" customHeight="1">
      <c r="S164" s="454"/>
      <c r="AY164" s="458"/>
      <c r="AZ164" s="458"/>
      <c r="BA164" s="1305"/>
      <c r="BC164" s="169"/>
    </row>
    <row r="165" spans="19:55" ht="15.75" customHeight="1">
      <c r="S165" s="454"/>
      <c r="AY165" s="458"/>
      <c r="AZ165" s="458"/>
      <c r="BA165" s="1305"/>
      <c r="BC165" s="169"/>
    </row>
    <row r="166" spans="19:55" ht="15.75" customHeight="1">
      <c r="S166" s="454"/>
      <c r="AY166" s="458"/>
      <c r="AZ166" s="458"/>
      <c r="BA166" s="1305"/>
      <c r="BC166" s="169"/>
    </row>
    <row r="167" spans="19:55" ht="15.75" customHeight="1">
      <c r="S167" s="454"/>
      <c r="AY167" s="458"/>
      <c r="AZ167" s="458"/>
      <c r="BA167" s="1305"/>
      <c r="BC167" s="169"/>
    </row>
    <row r="168" spans="19:55" ht="15.75" customHeight="1">
      <c r="S168" s="454"/>
      <c r="AY168" s="458"/>
      <c r="AZ168" s="458"/>
      <c r="BA168" s="1305"/>
      <c r="BC168" s="169"/>
    </row>
    <row r="169" spans="19:55" ht="15.75" customHeight="1">
      <c r="S169" s="454"/>
      <c r="AY169" s="458"/>
      <c r="AZ169" s="458"/>
      <c r="BA169" s="1305"/>
      <c r="BC169" s="169"/>
    </row>
    <row r="170" spans="19:55" ht="15.75" customHeight="1">
      <c r="S170" s="454"/>
      <c r="AY170" s="458"/>
      <c r="AZ170" s="458"/>
      <c r="BA170" s="1305"/>
      <c r="BC170" s="169"/>
    </row>
    <row r="171" spans="19:55" ht="15.75" customHeight="1">
      <c r="S171" s="454"/>
      <c r="AY171" s="458"/>
      <c r="AZ171" s="458"/>
      <c r="BA171" s="1305"/>
      <c r="BC171" s="169"/>
    </row>
    <row r="172" spans="19:55" ht="15.75" customHeight="1">
      <c r="S172" s="454"/>
      <c r="AY172" s="458"/>
      <c r="AZ172" s="458"/>
      <c r="BA172" s="1305"/>
      <c r="BC172" s="169"/>
    </row>
    <row r="173" spans="19:55" ht="15.75" customHeight="1">
      <c r="S173" s="454"/>
      <c r="AY173" s="458"/>
      <c r="AZ173" s="458"/>
      <c r="BA173" s="1305"/>
      <c r="BC173" s="169"/>
    </row>
    <row r="174" spans="19:55" ht="15.75" customHeight="1">
      <c r="S174" s="454"/>
      <c r="AY174" s="458"/>
      <c r="AZ174" s="458"/>
      <c r="BA174" s="1305"/>
      <c r="BC174" s="169"/>
    </row>
    <row r="175" spans="19:55" ht="15.75" customHeight="1">
      <c r="S175" s="454"/>
      <c r="AY175" s="458"/>
      <c r="AZ175" s="458"/>
      <c r="BA175" s="1305"/>
      <c r="BC175" s="169"/>
    </row>
    <row r="176" spans="19:55" ht="15.75" customHeight="1">
      <c r="S176" s="454"/>
      <c r="AY176" s="458"/>
      <c r="AZ176" s="458"/>
      <c r="BA176" s="1305"/>
      <c r="BC176" s="169"/>
    </row>
    <row r="177" spans="19:55" ht="15.75" customHeight="1">
      <c r="S177" s="454"/>
      <c r="AY177" s="458"/>
      <c r="AZ177" s="458"/>
      <c r="BA177" s="1305"/>
      <c r="BC177" s="169"/>
    </row>
    <row r="178" spans="19:55" ht="15.75" customHeight="1">
      <c r="S178" s="454"/>
      <c r="AY178" s="458"/>
      <c r="AZ178" s="458"/>
      <c r="BA178" s="1305"/>
      <c r="BC178" s="169"/>
    </row>
    <row r="179" spans="19:55" ht="15.75" customHeight="1">
      <c r="S179" s="454"/>
      <c r="AY179" s="458"/>
      <c r="AZ179" s="458"/>
      <c r="BA179" s="1305"/>
      <c r="BC179" s="169"/>
    </row>
    <row r="180" spans="19:55" ht="15.75" customHeight="1">
      <c r="S180" s="454"/>
      <c r="AY180" s="458"/>
      <c r="AZ180" s="458"/>
      <c r="BA180" s="1305"/>
      <c r="BC180" s="169"/>
    </row>
    <row r="181" spans="19:55" ht="15.75" customHeight="1">
      <c r="S181" s="454"/>
      <c r="AY181" s="458"/>
      <c r="AZ181" s="458"/>
      <c r="BA181" s="1305"/>
      <c r="BC181" s="169"/>
    </row>
    <row r="182" spans="19:55" ht="15.75" customHeight="1">
      <c r="S182" s="454"/>
      <c r="AY182" s="458"/>
      <c r="AZ182" s="458"/>
      <c r="BA182" s="1305"/>
      <c r="BC182" s="169"/>
    </row>
    <row r="183" spans="19:55" ht="15.75" customHeight="1">
      <c r="S183" s="454"/>
      <c r="AY183" s="458"/>
      <c r="AZ183" s="458"/>
      <c r="BA183" s="1305"/>
      <c r="BC183" s="169"/>
    </row>
    <row r="184" spans="19:55" ht="15.75" customHeight="1">
      <c r="S184" s="454"/>
      <c r="AY184" s="458"/>
      <c r="AZ184" s="458"/>
      <c r="BA184" s="1305"/>
      <c r="BC184" s="169"/>
    </row>
    <row r="185" spans="19:55" ht="15.75" customHeight="1">
      <c r="S185" s="454"/>
      <c r="AY185" s="458"/>
      <c r="AZ185" s="458"/>
      <c r="BA185" s="1305"/>
      <c r="BC185" s="169"/>
    </row>
    <row r="186" spans="19:55" ht="15.75" customHeight="1">
      <c r="S186" s="454"/>
      <c r="AY186" s="458"/>
      <c r="AZ186" s="458"/>
      <c r="BA186" s="1305"/>
      <c r="BC186" s="169"/>
    </row>
    <row r="187" spans="19:55" ht="15.75" customHeight="1">
      <c r="S187" s="454"/>
      <c r="AY187" s="458"/>
      <c r="AZ187" s="458"/>
      <c r="BA187" s="1305"/>
      <c r="BC187" s="169"/>
    </row>
    <row r="188" spans="19:55" ht="15.75" customHeight="1">
      <c r="S188" s="454"/>
      <c r="AY188" s="458"/>
      <c r="AZ188" s="458"/>
      <c r="BA188" s="1305"/>
      <c r="BC188" s="169"/>
    </row>
    <row r="189" spans="19:55" ht="15.75" customHeight="1">
      <c r="S189" s="454"/>
      <c r="AY189" s="458"/>
      <c r="AZ189" s="458"/>
      <c r="BA189" s="1305"/>
      <c r="BC189" s="169"/>
    </row>
    <row r="190" spans="19:55" ht="15.75" customHeight="1">
      <c r="S190" s="454"/>
      <c r="AY190" s="458"/>
      <c r="AZ190" s="458"/>
      <c r="BA190" s="1305"/>
      <c r="BC190" s="169"/>
    </row>
    <row r="191" spans="19:55" ht="15.75" customHeight="1">
      <c r="S191" s="454"/>
      <c r="AY191" s="458"/>
      <c r="AZ191" s="458"/>
      <c r="BA191" s="1305"/>
      <c r="BC191" s="169"/>
    </row>
    <row r="192" spans="19:55" ht="15.75" customHeight="1">
      <c r="S192" s="454"/>
      <c r="AY192" s="458"/>
      <c r="AZ192" s="458"/>
      <c r="BA192" s="1305"/>
      <c r="BC192" s="169"/>
    </row>
    <row r="193" spans="19:55" ht="15.75" customHeight="1">
      <c r="S193" s="454"/>
      <c r="AY193" s="458"/>
      <c r="AZ193" s="458"/>
      <c r="BA193" s="1305"/>
      <c r="BC193" s="169"/>
    </row>
    <row r="194" spans="19:55" ht="15.75" customHeight="1">
      <c r="S194" s="454"/>
      <c r="AY194" s="458"/>
      <c r="AZ194" s="458"/>
      <c r="BA194" s="1305"/>
      <c r="BC194" s="169"/>
    </row>
    <row r="195" spans="19:55" ht="15.75" customHeight="1">
      <c r="S195" s="454"/>
      <c r="AY195" s="458"/>
      <c r="AZ195" s="458"/>
      <c r="BA195" s="1305"/>
      <c r="BC195" s="169"/>
    </row>
    <row r="196" spans="19:55" ht="15.75" customHeight="1">
      <c r="S196" s="454"/>
      <c r="AY196" s="458"/>
      <c r="AZ196" s="458"/>
      <c r="BA196" s="1305"/>
      <c r="BC196" s="169"/>
    </row>
    <row r="197" spans="19:55" ht="15.75" customHeight="1">
      <c r="S197" s="454"/>
      <c r="AY197" s="458"/>
      <c r="AZ197" s="458"/>
      <c r="BA197" s="1305"/>
      <c r="BC197" s="169"/>
    </row>
    <row r="198" spans="19:55" ht="15.75" customHeight="1">
      <c r="S198" s="454"/>
      <c r="AY198" s="458"/>
      <c r="AZ198" s="458"/>
      <c r="BA198" s="1305"/>
      <c r="BC198" s="169"/>
    </row>
    <row r="199" spans="19:55" ht="15.75" customHeight="1">
      <c r="S199" s="454"/>
      <c r="AY199" s="458"/>
      <c r="AZ199" s="458"/>
      <c r="BA199" s="1305"/>
      <c r="BC199" s="169"/>
    </row>
    <row r="200" spans="19:55" ht="15.75" customHeight="1">
      <c r="S200" s="454"/>
      <c r="AY200" s="458"/>
      <c r="AZ200" s="458"/>
      <c r="BA200" s="1305"/>
      <c r="BC200" s="169"/>
    </row>
    <row r="201" spans="19:55" ht="15.75" customHeight="1">
      <c r="S201" s="454"/>
      <c r="AY201" s="458"/>
      <c r="AZ201" s="458"/>
      <c r="BA201" s="1305"/>
      <c r="BC201" s="169"/>
    </row>
    <row r="202" spans="19:55" ht="15.75" customHeight="1">
      <c r="S202" s="454"/>
      <c r="AY202" s="458"/>
      <c r="AZ202" s="458"/>
      <c r="BA202" s="1305"/>
      <c r="BC202" s="169"/>
    </row>
    <row r="203" spans="19:55" ht="15.75" customHeight="1">
      <c r="S203" s="454"/>
      <c r="AY203" s="458"/>
      <c r="AZ203" s="458"/>
      <c r="BA203" s="1305"/>
      <c r="BC203" s="169"/>
    </row>
    <row r="204" spans="19:55" ht="15.75" customHeight="1">
      <c r="S204" s="454"/>
      <c r="AY204" s="458"/>
      <c r="AZ204" s="458"/>
      <c r="BA204" s="1305"/>
      <c r="BC204" s="169"/>
    </row>
    <row r="205" spans="19:55" ht="15.75" customHeight="1">
      <c r="S205" s="454"/>
      <c r="AY205" s="458"/>
      <c r="AZ205" s="458"/>
      <c r="BA205" s="1305"/>
      <c r="BC205" s="169"/>
    </row>
    <row r="206" spans="19:55" ht="15.75" customHeight="1">
      <c r="S206" s="454"/>
      <c r="AY206" s="458"/>
      <c r="AZ206" s="458"/>
      <c r="BA206" s="1305"/>
      <c r="BC206" s="169"/>
    </row>
    <row r="207" spans="19:55" ht="15.75" customHeight="1">
      <c r="S207" s="454"/>
      <c r="AY207" s="458"/>
      <c r="AZ207" s="458"/>
      <c r="BA207" s="1305"/>
      <c r="BC207" s="169"/>
    </row>
    <row r="208" spans="19:55" ht="15.75" customHeight="1">
      <c r="S208" s="454"/>
      <c r="AY208" s="458"/>
      <c r="AZ208" s="458"/>
      <c r="BA208" s="1305"/>
      <c r="BC208" s="169"/>
    </row>
    <row r="209" spans="19:55" ht="15.75" customHeight="1">
      <c r="S209" s="454"/>
      <c r="AY209" s="458"/>
      <c r="AZ209" s="458"/>
      <c r="BA209" s="1305"/>
      <c r="BC209" s="169"/>
    </row>
    <row r="210" spans="19:55" ht="15.75" customHeight="1">
      <c r="S210" s="454"/>
      <c r="AY210" s="458"/>
      <c r="AZ210" s="458"/>
      <c r="BA210" s="1305"/>
      <c r="BC210" s="169"/>
    </row>
    <row r="211" spans="19:55" ht="15.75" customHeight="1">
      <c r="S211" s="454"/>
      <c r="AY211" s="458"/>
      <c r="AZ211" s="458"/>
      <c r="BA211" s="1305"/>
      <c r="BC211" s="169"/>
    </row>
    <row r="212" spans="19:55" ht="15.75" customHeight="1">
      <c r="S212" s="454"/>
      <c r="AY212" s="458"/>
      <c r="AZ212" s="458"/>
      <c r="BA212" s="1305"/>
      <c r="BC212" s="169"/>
    </row>
    <row r="213" spans="19:55" ht="15.75" customHeight="1">
      <c r="S213" s="454"/>
      <c r="AY213" s="458"/>
      <c r="AZ213" s="458"/>
      <c r="BA213" s="1305"/>
      <c r="BC213" s="169"/>
    </row>
    <row r="214" spans="19:55" ht="15.75" customHeight="1">
      <c r="S214" s="454"/>
      <c r="AY214" s="458"/>
      <c r="AZ214" s="458"/>
      <c r="BA214" s="1305"/>
      <c r="BC214" s="169"/>
    </row>
    <row r="215" spans="19:55" ht="15.75" customHeight="1">
      <c r="S215" s="454"/>
      <c r="AY215" s="458"/>
      <c r="AZ215" s="458"/>
      <c r="BA215" s="1305"/>
      <c r="BC215" s="169"/>
    </row>
    <row r="216" spans="19:55" ht="15.75" customHeight="1">
      <c r="S216" s="454"/>
      <c r="AY216" s="458"/>
      <c r="AZ216" s="458"/>
      <c r="BA216" s="1305"/>
      <c r="BC216" s="169"/>
    </row>
    <row r="217" spans="19:55" ht="15.75" customHeight="1">
      <c r="S217" s="454"/>
      <c r="AY217" s="458"/>
      <c r="AZ217" s="458"/>
      <c r="BA217" s="1305"/>
      <c r="BC217" s="169"/>
    </row>
    <row r="218" spans="19:55" ht="15.75" customHeight="1">
      <c r="S218" s="454"/>
      <c r="AY218" s="458"/>
      <c r="AZ218" s="458"/>
      <c r="BA218" s="1305"/>
      <c r="BC218" s="169"/>
    </row>
    <row r="219" spans="19:55" ht="15.75" customHeight="1">
      <c r="S219" s="454"/>
      <c r="AY219" s="458"/>
      <c r="AZ219" s="458"/>
      <c r="BA219" s="1305"/>
      <c r="BC219" s="169"/>
    </row>
    <row r="220" spans="19:55" ht="15.75" customHeight="1">
      <c r="S220" s="454"/>
      <c r="AY220" s="458"/>
      <c r="AZ220" s="458"/>
      <c r="BA220" s="1305"/>
      <c r="BC220" s="169"/>
    </row>
    <row r="221" spans="19:55" ht="15.75" customHeight="1">
      <c r="S221" s="454"/>
      <c r="AY221" s="458"/>
      <c r="AZ221" s="458"/>
      <c r="BA221" s="1305"/>
      <c r="BC221" s="169"/>
    </row>
    <row r="222" spans="19:55" ht="15.75" customHeight="1">
      <c r="S222" s="454"/>
      <c r="AY222" s="458"/>
      <c r="AZ222" s="458"/>
      <c r="BA222" s="1305"/>
      <c r="BC222" s="169"/>
    </row>
    <row r="223" spans="19:55" ht="15.75" customHeight="1">
      <c r="S223" s="454"/>
      <c r="AY223" s="458"/>
      <c r="AZ223" s="458"/>
      <c r="BA223" s="1305"/>
      <c r="BC223" s="169"/>
    </row>
    <row r="224" spans="19:55" ht="15.75" customHeight="1">
      <c r="S224" s="454"/>
      <c r="AY224" s="458"/>
      <c r="AZ224" s="458"/>
      <c r="BA224" s="1305"/>
      <c r="BC224" s="169"/>
    </row>
    <row r="225" spans="19:55" ht="15.75" customHeight="1">
      <c r="S225" s="454"/>
      <c r="AY225" s="458"/>
      <c r="AZ225" s="458"/>
      <c r="BA225" s="1305"/>
      <c r="BC225" s="169"/>
    </row>
    <row r="226" spans="19:55" ht="15.75" customHeight="1">
      <c r="S226" s="454"/>
      <c r="AY226" s="458"/>
      <c r="AZ226" s="458"/>
      <c r="BA226" s="1305"/>
      <c r="BC226" s="169"/>
    </row>
    <row r="227" spans="19:55" ht="15.75" customHeight="1">
      <c r="S227" s="454"/>
      <c r="AY227" s="458"/>
      <c r="AZ227" s="458"/>
      <c r="BA227" s="1305"/>
      <c r="BC227" s="169"/>
    </row>
    <row r="228" spans="19:55" ht="15.75" customHeight="1">
      <c r="S228" s="454"/>
      <c r="AY228" s="458"/>
      <c r="AZ228" s="458"/>
      <c r="BA228" s="1305"/>
      <c r="BC228" s="169"/>
    </row>
    <row r="229" spans="19:55" ht="15.75" customHeight="1">
      <c r="S229" s="454"/>
      <c r="AY229" s="458"/>
      <c r="AZ229" s="458"/>
      <c r="BA229" s="1305"/>
      <c r="BC229" s="169"/>
    </row>
    <row r="230" spans="19:55" ht="15.75" customHeight="1">
      <c r="S230" s="454"/>
      <c r="AY230" s="458"/>
      <c r="AZ230" s="458"/>
      <c r="BA230" s="1305"/>
      <c r="BC230" s="169"/>
    </row>
    <row r="231" spans="19:55" ht="15.75" customHeight="1">
      <c r="S231" s="454"/>
      <c r="AY231" s="458"/>
      <c r="AZ231" s="458"/>
      <c r="BA231" s="1305"/>
      <c r="BC231" s="169"/>
    </row>
    <row r="232" spans="19:55" ht="15.75" customHeight="1">
      <c r="S232" s="454"/>
      <c r="AY232" s="458"/>
      <c r="AZ232" s="458"/>
      <c r="BA232" s="1305"/>
      <c r="BC232" s="169"/>
    </row>
    <row r="233" spans="19:55" ht="15.75" customHeight="1">
      <c r="S233" s="454"/>
      <c r="AY233" s="458"/>
      <c r="AZ233" s="458"/>
      <c r="BA233" s="1305"/>
      <c r="BC233" s="169"/>
    </row>
    <row r="234" spans="19:55" ht="15.75" customHeight="1">
      <c r="S234" s="454"/>
      <c r="AY234" s="458"/>
      <c r="AZ234" s="458"/>
      <c r="BA234" s="1305"/>
      <c r="BC234" s="169"/>
    </row>
    <row r="235" spans="19:55" ht="15.75" customHeight="1">
      <c r="S235" s="454"/>
      <c r="AY235" s="458"/>
      <c r="AZ235" s="458"/>
      <c r="BA235" s="1305"/>
      <c r="BC235" s="169"/>
    </row>
    <row r="236" spans="19:55" ht="15.75" customHeight="1">
      <c r="S236" s="454"/>
      <c r="AY236" s="458"/>
      <c r="AZ236" s="458"/>
      <c r="BA236" s="1305"/>
      <c r="BC236" s="169"/>
    </row>
    <row r="237" spans="19:55" ht="15.75" customHeight="1">
      <c r="S237" s="454"/>
      <c r="AY237" s="458"/>
      <c r="AZ237" s="458"/>
      <c r="BA237" s="1305"/>
      <c r="BC237" s="169"/>
    </row>
    <row r="238" spans="19:55" ht="15.75" customHeight="1">
      <c r="S238" s="454"/>
      <c r="AY238" s="458"/>
      <c r="AZ238" s="458"/>
      <c r="BA238" s="1305"/>
      <c r="BC238" s="169"/>
    </row>
    <row r="239" spans="19:55" ht="15.75" customHeight="1">
      <c r="S239" s="454"/>
      <c r="AY239" s="458"/>
      <c r="AZ239" s="458"/>
      <c r="BA239" s="1305"/>
      <c r="BC239" s="169"/>
    </row>
    <row r="240" spans="19:55" ht="15.75" customHeight="1">
      <c r="S240" s="454"/>
      <c r="AY240" s="458"/>
      <c r="AZ240" s="458"/>
      <c r="BA240" s="1305"/>
      <c r="BC240" s="169"/>
    </row>
    <row r="241" spans="19:55" ht="15.75" customHeight="1">
      <c r="S241" s="454"/>
      <c r="AY241" s="458"/>
      <c r="AZ241" s="458"/>
      <c r="BA241" s="1305"/>
      <c r="BC241" s="169"/>
    </row>
    <row r="242" spans="19:55" ht="15.75" customHeight="1">
      <c r="S242" s="454"/>
      <c r="AY242" s="458"/>
      <c r="AZ242" s="458"/>
      <c r="BA242" s="1305"/>
      <c r="BC242" s="169"/>
    </row>
    <row r="243" spans="19:55" ht="15.75" customHeight="1">
      <c r="S243" s="454"/>
      <c r="AY243" s="458"/>
      <c r="AZ243" s="458"/>
      <c r="BA243" s="1305"/>
      <c r="BC243" s="169"/>
    </row>
    <row r="244" spans="19:55" ht="15.75" customHeight="1">
      <c r="S244" s="454"/>
      <c r="AY244" s="458"/>
      <c r="AZ244" s="458"/>
      <c r="BA244" s="1305"/>
      <c r="BC244" s="169"/>
    </row>
    <row r="245" spans="19:55" ht="15.75" customHeight="1">
      <c r="S245" s="454"/>
      <c r="AY245" s="458"/>
      <c r="AZ245" s="458"/>
      <c r="BA245" s="1305"/>
      <c r="BC245" s="169"/>
    </row>
    <row r="246" spans="19:55" ht="15.75" customHeight="1">
      <c r="S246" s="454"/>
      <c r="AY246" s="458"/>
      <c r="AZ246" s="458"/>
      <c r="BA246" s="1305"/>
      <c r="BC246" s="169"/>
    </row>
    <row r="247" spans="19:55" ht="15.75" customHeight="1">
      <c r="S247" s="454"/>
      <c r="AY247" s="458"/>
      <c r="AZ247" s="458"/>
      <c r="BA247" s="1305"/>
      <c r="BC247" s="169"/>
    </row>
    <row r="248" spans="19:55" ht="15.75" customHeight="1">
      <c r="S248" s="454"/>
      <c r="AY248" s="458"/>
      <c r="AZ248" s="458"/>
      <c r="BA248" s="1305"/>
      <c r="BC248" s="169"/>
    </row>
    <row r="249" spans="19:55" ht="15.75" customHeight="1">
      <c r="S249" s="454"/>
      <c r="AY249" s="458"/>
      <c r="AZ249" s="458"/>
      <c r="BA249" s="1305"/>
      <c r="BC249" s="169"/>
    </row>
    <row r="250" spans="19:55" ht="15.75" customHeight="1">
      <c r="S250" s="454"/>
      <c r="AY250" s="458"/>
      <c r="AZ250" s="458"/>
      <c r="BA250" s="1305"/>
      <c r="BC250" s="169"/>
    </row>
    <row r="251" spans="19:55" ht="15.75" customHeight="1">
      <c r="S251" s="454"/>
      <c r="AY251" s="458"/>
      <c r="AZ251" s="458"/>
      <c r="BA251" s="1305"/>
      <c r="BC251" s="169"/>
    </row>
    <row r="252" spans="19:55" ht="15.75" customHeight="1">
      <c r="S252" s="454"/>
      <c r="AY252" s="458"/>
      <c r="AZ252" s="458"/>
      <c r="BA252" s="1305"/>
      <c r="BC252" s="169"/>
    </row>
    <row r="253" spans="19:55" ht="15.75" customHeight="1">
      <c r="S253" s="454"/>
      <c r="AY253" s="458"/>
      <c r="AZ253" s="458"/>
      <c r="BA253" s="1305"/>
      <c r="BC253" s="169"/>
    </row>
    <row r="254" spans="19:55" ht="15.75" customHeight="1">
      <c r="S254" s="454"/>
      <c r="AY254" s="458"/>
      <c r="AZ254" s="458"/>
      <c r="BA254" s="1305"/>
      <c r="BC254" s="169"/>
    </row>
    <row r="255" spans="19:55" ht="15.75" customHeight="1">
      <c r="S255" s="454"/>
      <c r="AY255" s="458"/>
      <c r="AZ255" s="458"/>
      <c r="BA255" s="1305"/>
      <c r="BC255" s="169"/>
    </row>
    <row r="256" spans="19:55" ht="15.75" customHeight="1">
      <c r="S256" s="454"/>
      <c r="AY256" s="458"/>
      <c r="AZ256" s="458"/>
      <c r="BA256" s="1305"/>
      <c r="BC256" s="169"/>
    </row>
    <row r="257" spans="19:55" ht="15.75" customHeight="1">
      <c r="S257" s="454"/>
      <c r="AY257" s="458"/>
      <c r="AZ257" s="458"/>
      <c r="BA257" s="1305"/>
      <c r="BC257" s="169"/>
    </row>
    <row r="258" spans="19:55" ht="15.75" customHeight="1">
      <c r="S258" s="454"/>
      <c r="AY258" s="458"/>
      <c r="AZ258" s="458"/>
      <c r="BA258" s="1305"/>
      <c r="BC258" s="169"/>
    </row>
    <row r="259" spans="19:55" ht="15.75" customHeight="1">
      <c r="S259" s="454"/>
      <c r="AY259" s="458"/>
      <c r="AZ259" s="458"/>
      <c r="BA259" s="1305"/>
      <c r="BC259" s="169"/>
    </row>
    <row r="260" spans="19:55" ht="15.75" customHeight="1">
      <c r="S260" s="454"/>
      <c r="AY260" s="458"/>
      <c r="AZ260" s="458"/>
      <c r="BA260" s="1305"/>
      <c r="BC260" s="169"/>
    </row>
    <row r="261" spans="19:55" ht="15.75" customHeight="1">
      <c r="S261" s="454"/>
      <c r="AY261" s="458"/>
      <c r="AZ261" s="458"/>
      <c r="BA261" s="1305"/>
      <c r="BC261" s="169"/>
    </row>
    <row r="262" spans="19:55" ht="15.75" customHeight="1">
      <c r="S262" s="454"/>
      <c r="AY262" s="458"/>
      <c r="AZ262" s="458"/>
      <c r="BA262" s="1305"/>
      <c r="BC262" s="169"/>
    </row>
    <row r="263" spans="19:55" ht="15.75" customHeight="1">
      <c r="S263" s="454"/>
      <c r="AY263" s="458"/>
      <c r="AZ263" s="458"/>
      <c r="BA263" s="1305"/>
      <c r="BC263" s="169"/>
    </row>
    <row r="264" spans="19:55" ht="15.75" customHeight="1">
      <c r="S264" s="454"/>
      <c r="AY264" s="458"/>
      <c r="AZ264" s="458"/>
      <c r="BA264" s="1305"/>
      <c r="BC264" s="169"/>
    </row>
    <row r="265" spans="19:55" ht="15.75" customHeight="1">
      <c r="S265" s="454"/>
      <c r="AY265" s="458"/>
      <c r="AZ265" s="458"/>
      <c r="BA265" s="1305"/>
      <c r="BC265" s="169"/>
    </row>
    <row r="266" spans="19:55" ht="15.75" customHeight="1">
      <c r="S266" s="454"/>
      <c r="AY266" s="458"/>
      <c r="AZ266" s="458"/>
      <c r="BA266" s="1305"/>
      <c r="BC266" s="169"/>
    </row>
    <row r="267" spans="19:55" ht="15.75" customHeight="1">
      <c r="S267" s="454"/>
      <c r="AY267" s="458"/>
      <c r="AZ267" s="458"/>
      <c r="BA267" s="1305"/>
      <c r="BC267" s="169"/>
    </row>
    <row r="268" spans="19:55" ht="15.75" customHeight="1">
      <c r="S268" s="454"/>
      <c r="AY268" s="458"/>
      <c r="AZ268" s="458"/>
      <c r="BA268" s="1305"/>
      <c r="BC268" s="169"/>
    </row>
    <row r="269" spans="19:55" ht="15.75" customHeight="1">
      <c r="S269" s="454"/>
      <c r="AY269" s="458"/>
      <c r="AZ269" s="458"/>
      <c r="BA269" s="1305"/>
      <c r="BC269" s="169"/>
    </row>
    <row r="270" spans="19:55" ht="15.75" customHeight="1">
      <c r="S270" s="454"/>
      <c r="AY270" s="458"/>
      <c r="AZ270" s="458"/>
      <c r="BA270" s="1305"/>
      <c r="BC270" s="169"/>
    </row>
    <row r="271" spans="19:55" ht="15.75" customHeight="1">
      <c r="S271" s="454"/>
      <c r="AY271" s="458"/>
      <c r="AZ271" s="458"/>
      <c r="BA271" s="1305"/>
      <c r="BC271" s="169"/>
    </row>
    <row r="272" spans="19:55" ht="15.75" customHeight="1">
      <c r="S272" s="454"/>
      <c r="AY272" s="458"/>
      <c r="AZ272" s="458"/>
      <c r="BA272" s="1305"/>
      <c r="BC272" s="169"/>
    </row>
    <row r="273" spans="19:55" ht="15.75" customHeight="1">
      <c r="S273" s="454"/>
      <c r="AY273" s="458"/>
      <c r="AZ273" s="458"/>
      <c r="BA273" s="1305"/>
      <c r="BC273" s="169"/>
    </row>
    <row r="274" spans="19:55" ht="15.75" customHeight="1">
      <c r="S274" s="454"/>
      <c r="AY274" s="458"/>
      <c r="AZ274" s="458"/>
      <c r="BA274" s="1305"/>
      <c r="BC274" s="169"/>
    </row>
    <row r="275" spans="19:55" ht="15.75" customHeight="1">
      <c r="S275" s="454"/>
      <c r="AY275" s="458"/>
      <c r="AZ275" s="458"/>
      <c r="BA275" s="1305"/>
      <c r="BC275" s="169"/>
    </row>
    <row r="276" spans="19:55" ht="15.75" customHeight="1">
      <c r="S276" s="454"/>
      <c r="AY276" s="458"/>
      <c r="AZ276" s="458"/>
      <c r="BA276" s="1305"/>
      <c r="BC276" s="169"/>
    </row>
    <row r="277" spans="19:55" ht="15.75" customHeight="1">
      <c r="S277" s="454"/>
      <c r="AY277" s="458"/>
      <c r="AZ277" s="458"/>
      <c r="BA277" s="1305"/>
      <c r="BC277" s="169"/>
    </row>
    <row r="278" spans="19:55" ht="15.75" customHeight="1">
      <c r="S278" s="454"/>
      <c r="AY278" s="458"/>
      <c r="AZ278" s="458"/>
      <c r="BA278" s="1305"/>
      <c r="BC278" s="169"/>
    </row>
    <row r="279" spans="19:55" ht="15.75" customHeight="1">
      <c r="S279" s="454"/>
      <c r="AY279" s="458"/>
      <c r="AZ279" s="458"/>
      <c r="BA279" s="1305"/>
      <c r="BC279" s="169"/>
    </row>
    <row r="280" spans="19:55" ht="15.75" customHeight="1">
      <c r="S280" s="454"/>
      <c r="AY280" s="458"/>
      <c r="AZ280" s="458"/>
      <c r="BA280" s="1305"/>
      <c r="BC280" s="169"/>
    </row>
    <row r="281" spans="19:55" ht="15.75" customHeight="1">
      <c r="S281" s="454"/>
      <c r="AY281" s="458"/>
      <c r="AZ281" s="458"/>
      <c r="BA281" s="1305"/>
      <c r="BC281" s="169"/>
    </row>
    <row r="282" spans="19:55" ht="15.75" customHeight="1">
      <c r="S282" s="454"/>
      <c r="AY282" s="458"/>
      <c r="AZ282" s="458"/>
      <c r="BA282" s="1305"/>
      <c r="BC282" s="169"/>
    </row>
    <row r="283" spans="19:55" ht="15.75" customHeight="1">
      <c r="S283" s="454"/>
      <c r="AY283" s="458"/>
      <c r="AZ283" s="458"/>
      <c r="BA283" s="1305"/>
      <c r="BC283" s="169"/>
    </row>
    <row r="284" spans="19:55" ht="15.75" customHeight="1">
      <c r="S284" s="454"/>
      <c r="AY284" s="458"/>
      <c r="AZ284" s="458"/>
      <c r="BA284" s="1305"/>
      <c r="BC284" s="169"/>
    </row>
    <row r="285" spans="19:55" ht="15.75" customHeight="1">
      <c r="S285" s="454"/>
      <c r="AY285" s="458"/>
      <c r="AZ285" s="458"/>
      <c r="BA285" s="1305"/>
      <c r="BC285" s="169"/>
    </row>
    <row r="286" spans="19:55" ht="15.75" customHeight="1">
      <c r="S286" s="454"/>
      <c r="AY286" s="458"/>
      <c r="AZ286" s="458"/>
      <c r="BA286" s="1305"/>
      <c r="BC286" s="169"/>
    </row>
    <row r="287" spans="19:55" ht="15.75" customHeight="1">
      <c r="S287" s="454"/>
      <c r="AY287" s="458"/>
      <c r="AZ287" s="458"/>
      <c r="BA287" s="1305"/>
      <c r="BC287" s="169"/>
    </row>
    <row r="288" spans="19:55" ht="15.75" customHeight="1">
      <c r="S288" s="454"/>
      <c r="AY288" s="458"/>
      <c r="AZ288" s="458"/>
      <c r="BA288" s="1305"/>
      <c r="BC288" s="169"/>
    </row>
    <row r="289" spans="19:55" ht="15.75" customHeight="1">
      <c r="S289" s="454"/>
      <c r="AY289" s="458"/>
      <c r="AZ289" s="458"/>
      <c r="BA289" s="1305"/>
      <c r="BC289" s="169"/>
    </row>
    <row r="290" spans="19:55" ht="15.75" customHeight="1">
      <c r="S290" s="454"/>
      <c r="AY290" s="458"/>
      <c r="AZ290" s="458"/>
      <c r="BA290" s="1305"/>
      <c r="BC290" s="169"/>
    </row>
    <row r="291" spans="19:55" ht="15.75" customHeight="1">
      <c r="S291" s="454"/>
      <c r="AY291" s="458"/>
      <c r="AZ291" s="458"/>
      <c r="BA291" s="1305"/>
      <c r="BC291" s="169"/>
    </row>
    <row r="292" spans="19:55" ht="15.75" customHeight="1">
      <c r="S292" s="454"/>
      <c r="AY292" s="458"/>
      <c r="AZ292" s="458"/>
      <c r="BA292" s="1305"/>
      <c r="BC292" s="169"/>
    </row>
    <row r="293" spans="19:55" ht="15.75" customHeight="1">
      <c r="S293" s="454"/>
      <c r="AY293" s="458"/>
      <c r="AZ293" s="458"/>
      <c r="BA293" s="1305"/>
      <c r="BC293" s="169"/>
    </row>
    <row r="294" spans="19:55" ht="15.75" customHeight="1">
      <c r="S294" s="454"/>
      <c r="AY294" s="458"/>
      <c r="AZ294" s="458"/>
      <c r="BA294" s="1305"/>
      <c r="BC294" s="169"/>
    </row>
    <row r="295" spans="19:55" ht="15.75" customHeight="1">
      <c r="S295" s="454"/>
      <c r="AY295" s="458"/>
      <c r="AZ295" s="458"/>
      <c r="BA295" s="1305"/>
      <c r="BC295" s="169"/>
    </row>
    <row r="296" spans="19:55" ht="15.75" customHeight="1">
      <c r="S296" s="454"/>
      <c r="AY296" s="458"/>
      <c r="AZ296" s="458"/>
      <c r="BA296" s="1305"/>
      <c r="BC296" s="169"/>
    </row>
    <row r="297" spans="19:55" ht="15.75" customHeight="1">
      <c r="S297" s="454"/>
      <c r="AY297" s="458"/>
      <c r="AZ297" s="458"/>
      <c r="BA297" s="1305"/>
      <c r="BC297" s="169"/>
    </row>
    <row r="298" spans="19:55" ht="15.75" customHeight="1">
      <c r="S298" s="454"/>
      <c r="AY298" s="458"/>
      <c r="AZ298" s="458"/>
      <c r="BA298" s="1305"/>
      <c r="BC298" s="169"/>
    </row>
    <row r="299" spans="19:55" ht="15.75" customHeight="1">
      <c r="S299" s="454"/>
      <c r="AY299" s="458"/>
      <c r="AZ299" s="458"/>
      <c r="BA299" s="1305"/>
      <c r="BC299" s="169"/>
    </row>
    <row r="300" spans="19:55" ht="15.75" customHeight="1">
      <c r="S300" s="454"/>
      <c r="AY300" s="458"/>
      <c r="AZ300" s="458"/>
      <c r="BA300" s="1305"/>
      <c r="BC300" s="169"/>
    </row>
    <row r="301" spans="19:55" ht="15.75" customHeight="1">
      <c r="S301" s="454"/>
      <c r="AY301" s="458"/>
      <c r="AZ301" s="458"/>
      <c r="BA301" s="1305"/>
      <c r="BC301" s="169"/>
    </row>
    <row r="302" spans="19:55" ht="15.75" customHeight="1">
      <c r="S302" s="454"/>
      <c r="AY302" s="458"/>
      <c r="AZ302" s="458"/>
      <c r="BA302" s="1305"/>
      <c r="BC302" s="169"/>
    </row>
    <row r="303" spans="19:55" ht="15.75" customHeight="1">
      <c r="S303" s="454"/>
      <c r="AY303" s="458"/>
      <c r="AZ303" s="458"/>
      <c r="BA303" s="1305"/>
      <c r="BC303" s="169"/>
    </row>
    <row r="304" spans="19:55" ht="15.75" customHeight="1">
      <c r="S304" s="454"/>
      <c r="AY304" s="458"/>
      <c r="AZ304" s="458"/>
      <c r="BA304" s="1305"/>
      <c r="BC304" s="169"/>
    </row>
    <row r="305" spans="19:55" ht="15.75" customHeight="1">
      <c r="S305" s="454"/>
      <c r="AY305" s="458"/>
      <c r="AZ305" s="458"/>
      <c r="BA305" s="1305"/>
      <c r="BC305" s="169"/>
    </row>
    <row r="306" spans="19:55" ht="15.75" customHeight="1">
      <c r="S306" s="454"/>
      <c r="AY306" s="458"/>
      <c r="AZ306" s="458"/>
      <c r="BA306" s="1305"/>
      <c r="BC306" s="169"/>
    </row>
    <row r="307" spans="19:55" ht="15.75" customHeight="1">
      <c r="S307" s="454"/>
      <c r="AY307" s="458"/>
      <c r="AZ307" s="458"/>
      <c r="BA307" s="1305"/>
      <c r="BC307" s="169"/>
    </row>
    <row r="308" spans="19:55" ht="15.75" customHeight="1">
      <c r="S308" s="454"/>
      <c r="AY308" s="458"/>
      <c r="AZ308" s="458"/>
      <c r="BA308" s="1305"/>
      <c r="BC308" s="169"/>
    </row>
    <row r="309" spans="19:55" ht="15.75" customHeight="1">
      <c r="S309" s="454"/>
      <c r="AY309" s="458"/>
      <c r="AZ309" s="458"/>
      <c r="BA309" s="1305"/>
      <c r="BC309" s="169"/>
    </row>
    <row r="310" spans="19:55" ht="15.75" customHeight="1">
      <c r="S310" s="454"/>
      <c r="AY310" s="458"/>
      <c r="AZ310" s="458"/>
      <c r="BA310" s="1305"/>
      <c r="BC310" s="169"/>
    </row>
    <row r="311" spans="19:55" ht="15.75" customHeight="1">
      <c r="S311" s="454"/>
      <c r="AY311" s="458"/>
      <c r="AZ311" s="458"/>
      <c r="BA311" s="1305"/>
      <c r="BC311" s="169"/>
    </row>
    <row r="312" spans="19:55" ht="15.75" customHeight="1">
      <c r="S312" s="454"/>
      <c r="AY312" s="458"/>
      <c r="AZ312" s="458"/>
      <c r="BA312" s="1305"/>
      <c r="BC312" s="169"/>
    </row>
    <row r="313" spans="19:55" ht="15.75" customHeight="1">
      <c r="S313" s="454"/>
      <c r="AY313" s="458"/>
      <c r="AZ313" s="458"/>
      <c r="BA313" s="1305"/>
      <c r="BC313" s="169"/>
    </row>
    <row r="314" spans="19:55" ht="15.75" customHeight="1">
      <c r="S314" s="454"/>
      <c r="AY314" s="458"/>
      <c r="AZ314" s="458"/>
      <c r="BA314" s="1305"/>
      <c r="BC314" s="169"/>
    </row>
    <row r="315" spans="19:55" ht="15.75" customHeight="1">
      <c r="S315" s="454"/>
      <c r="AY315" s="458"/>
      <c r="AZ315" s="458"/>
      <c r="BA315" s="1305"/>
      <c r="BC315" s="169"/>
    </row>
    <row r="316" spans="19:55" ht="15.75" customHeight="1">
      <c r="S316" s="454"/>
      <c r="AY316" s="458"/>
      <c r="AZ316" s="458"/>
      <c r="BA316" s="1305"/>
      <c r="BC316" s="169"/>
    </row>
    <row r="317" spans="19:55" ht="15.75" customHeight="1">
      <c r="S317" s="454"/>
      <c r="AY317" s="458"/>
      <c r="AZ317" s="458"/>
      <c r="BA317" s="1305"/>
      <c r="BC317" s="169"/>
    </row>
    <row r="318" spans="19:55" ht="15.75" customHeight="1">
      <c r="S318" s="454"/>
      <c r="AY318" s="458"/>
      <c r="AZ318" s="458"/>
      <c r="BA318" s="1305"/>
      <c r="BC318" s="169"/>
    </row>
    <row r="319" spans="19:55" ht="15.75" customHeight="1">
      <c r="S319" s="454"/>
      <c r="AY319" s="458"/>
      <c r="AZ319" s="458"/>
      <c r="BA319" s="1305"/>
      <c r="BC319" s="169"/>
    </row>
    <row r="320" spans="19:55" ht="15.75" customHeight="1">
      <c r="S320" s="454"/>
      <c r="AY320" s="458"/>
      <c r="AZ320" s="458"/>
      <c r="BA320" s="1305"/>
      <c r="BC320" s="169"/>
    </row>
    <row r="321" spans="19:55" ht="15.75" customHeight="1">
      <c r="S321" s="454"/>
      <c r="AY321" s="458"/>
      <c r="AZ321" s="458"/>
      <c r="BA321" s="1305"/>
      <c r="BC321" s="169"/>
    </row>
    <row r="322" spans="19:55" ht="15.75" customHeight="1">
      <c r="S322" s="454"/>
      <c r="AY322" s="458"/>
      <c r="AZ322" s="458"/>
      <c r="BA322" s="1305"/>
      <c r="BC322" s="169"/>
    </row>
    <row r="323" spans="19:55" ht="15.75" customHeight="1">
      <c r="S323" s="454"/>
      <c r="AY323" s="458"/>
      <c r="AZ323" s="458"/>
      <c r="BA323" s="1305"/>
      <c r="BC323" s="169"/>
    </row>
    <row r="324" spans="19:55" ht="15.75" customHeight="1">
      <c r="S324" s="454"/>
      <c r="AY324" s="458"/>
      <c r="AZ324" s="458"/>
      <c r="BA324" s="1305"/>
      <c r="BC324" s="169"/>
    </row>
    <row r="325" spans="19:55" ht="15.75" customHeight="1">
      <c r="S325" s="454"/>
      <c r="AY325" s="458"/>
      <c r="AZ325" s="458"/>
      <c r="BA325" s="1305"/>
      <c r="BC325" s="169"/>
    </row>
    <row r="326" spans="19:55" ht="15.75" customHeight="1">
      <c r="S326" s="454"/>
      <c r="AY326" s="458"/>
      <c r="AZ326" s="458"/>
      <c r="BA326" s="1305"/>
      <c r="BC326" s="169"/>
    </row>
    <row r="327" spans="19:55" ht="15.75" customHeight="1">
      <c r="S327" s="454"/>
      <c r="AY327" s="458"/>
      <c r="AZ327" s="458"/>
      <c r="BA327" s="1305"/>
      <c r="BC327" s="169"/>
    </row>
    <row r="328" spans="19:55" ht="15.75" customHeight="1">
      <c r="S328" s="454"/>
      <c r="AY328" s="458"/>
      <c r="AZ328" s="458"/>
      <c r="BA328" s="1305"/>
      <c r="BC328" s="169"/>
    </row>
    <row r="329" spans="19:55" ht="15.75" customHeight="1">
      <c r="S329" s="454"/>
      <c r="AY329" s="458"/>
      <c r="AZ329" s="458"/>
      <c r="BA329" s="1305"/>
      <c r="BC329" s="169"/>
    </row>
    <row r="330" spans="19:55" ht="15.75" customHeight="1">
      <c r="S330" s="454"/>
      <c r="AY330" s="458"/>
      <c r="AZ330" s="458"/>
      <c r="BA330" s="1305"/>
      <c r="BC330" s="169"/>
    </row>
    <row r="331" spans="19:55" ht="15.75" customHeight="1">
      <c r="S331" s="454"/>
      <c r="AY331" s="458"/>
      <c r="AZ331" s="458"/>
      <c r="BA331" s="1305"/>
      <c r="BC331" s="169"/>
    </row>
    <row r="332" spans="19:55" ht="15.75" customHeight="1">
      <c r="S332" s="454"/>
      <c r="AY332" s="458"/>
      <c r="AZ332" s="458"/>
      <c r="BA332" s="1305"/>
      <c r="BC332" s="169"/>
    </row>
    <row r="333" spans="19:55" ht="15.75" customHeight="1">
      <c r="S333" s="454"/>
      <c r="AY333" s="458"/>
      <c r="AZ333" s="458"/>
      <c r="BA333" s="1305"/>
      <c r="BC333" s="169"/>
    </row>
    <row r="334" spans="19:55" ht="15.75" customHeight="1">
      <c r="S334" s="454"/>
      <c r="AY334" s="458"/>
      <c r="AZ334" s="458"/>
      <c r="BA334" s="1305"/>
      <c r="BC334" s="169"/>
    </row>
    <row r="335" spans="19:55" ht="15.75" customHeight="1">
      <c r="S335" s="454"/>
      <c r="AY335" s="458"/>
      <c r="AZ335" s="458"/>
      <c r="BA335" s="1305"/>
      <c r="BC335" s="169"/>
    </row>
    <row r="336" spans="19:55" ht="15.75" customHeight="1">
      <c r="S336" s="454"/>
      <c r="AY336" s="458"/>
      <c r="AZ336" s="458"/>
      <c r="BA336" s="1305"/>
      <c r="BC336" s="169"/>
    </row>
    <row r="337" spans="19:55" ht="15.75" customHeight="1">
      <c r="S337" s="454"/>
      <c r="AY337" s="458"/>
      <c r="AZ337" s="458"/>
      <c r="BA337" s="1305"/>
      <c r="BC337" s="169"/>
    </row>
    <row r="338" spans="19:55" ht="15.75" customHeight="1">
      <c r="S338" s="454"/>
      <c r="AY338" s="458"/>
      <c r="AZ338" s="458"/>
      <c r="BA338" s="1305"/>
      <c r="BC338" s="169"/>
    </row>
    <row r="339" spans="19:55" ht="15.75" customHeight="1">
      <c r="S339" s="454"/>
      <c r="AY339" s="458"/>
      <c r="AZ339" s="458"/>
      <c r="BA339" s="1305"/>
      <c r="BC339" s="169"/>
    </row>
    <row r="340" spans="19:55" ht="15.75" customHeight="1">
      <c r="S340" s="454"/>
      <c r="AY340" s="458"/>
      <c r="AZ340" s="458"/>
      <c r="BA340" s="1305"/>
      <c r="BC340" s="169"/>
    </row>
    <row r="341" spans="19:55" ht="15.75" customHeight="1">
      <c r="S341" s="454"/>
      <c r="AY341" s="458"/>
      <c r="AZ341" s="458"/>
      <c r="BA341" s="1305"/>
      <c r="BC341" s="169"/>
    </row>
    <row r="342" spans="19:55" ht="15.75" customHeight="1">
      <c r="S342" s="454"/>
      <c r="AY342" s="458"/>
      <c r="AZ342" s="458"/>
      <c r="BA342" s="1305"/>
      <c r="BC342" s="169"/>
    </row>
    <row r="343" spans="19:55" ht="15.75" customHeight="1">
      <c r="S343" s="454"/>
      <c r="AY343" s="458"/>
      <c r="AZ343" s="458"/>
      <c r="BA343" s="1305"/>
      <c r="BC343" s="169"/>
    </row>
    <row r="344" spans="19:55" ht="15.75" customHeight="1">
      <c r="S344" s="454"/>
      <c r="AY344" s="458"/>
      <c r="AZ344" s="458"/>
      <c r="BA344" s="1305"/>
      <c r="BC344" s="169"/>
    </row>
    <row r="345" spans="19:55" ht="15.75" customHeight="1">
      <c r="S345" s="454"/>
      <c r="AY345" s="458"/>
      <c r="AZ345" s="458"/>
      <c r="BA345" s="1305"/>
      <c r="BC345" s="169"/>
    </row>
    <row r="346" spans="19:55" ht="15.75" customHeight="1">
      <c r="S346" s="454"/>
      <c r="AY346" s="458"/>
      <c r="AZ346" s="458"/>
      <c r="BA346" s="1305"/>
      <c r="BC346" s="169"/>
    </row>
    <row r="347" spans="19:55" ht="15.75" customHeight="1">
      <c r="S347" s="454"/>
      <c r="AY347" s="458"/>
      <c r="AZ347" s="458"/>
      <c r="BA347" s="1305"/>
      <c r="BC347" s="169"/>
    </row>
    <row r="348" spans="19:55" ht="15.75" customHeight="1">
      <c r="S348" s="454"/>
      <c r="AY348" s="458"/>
      <c r="AZ348" s="458"/>
      <c r="BA348" s="1305"/>
      <c r="BC348" s="169"/>
    </row>
    <row r="349" spans="19:55" ht="15.75" customHeight="1">
      <c r="S349" s="454"/>
      <c r="AY349" s="458"/>
      <c r="AZ349" s="458"/>
      <c r="BA349" s="1305"/>
      <c r="BC349" s="169"/>
    </row>
    <row r="350" spans="19:55" ht="15.75" customHeight="1">
      <c r="S350" s="454"/>
      <c r="AY350" s="458"/>
      <c r="AZ350" s="458"/>
      <c r="BA350" s="1305"/>
      <c r="BC350" s="169"/>
    </row>
    <row r="351" spans="19:55" ht="15.75" customHeight="1">
      <c r="S351" s="454"/>
      <c r="AY351" s="458"/>
      <c r="AZ351" s="458"/>
      <c r="BA351" s="1305"/>
      <c r="BC351" s="169"/>
    </row>
    <row r="352" spans="19:55" ht="15.75" customHeight="1">
      <c r="S352" s="454"/>
      <c r="AY352" s="458"/>
      <c r="AZ352" s="458"/>
      <c r="BA352" s="1305"/>
      <c r="BC352" s="169"/>
    </row>
    <row r="353" spans="19:55" ht="15.75" customHeight="1">
      <c r="S353" s="454"/>
      <c r="AY353" s="458"/>
      <c r="AZ353" s="458"/>
      <c r="BA353" s="1305"/>
      <c r="BC353" s="169"/>
    </row>
    <row r="354" spans="19:55" ht="15.75" customHeight="1">
      <c r="S354" s="454"/>
      <c r="AY354" s="458"/>
      <c r="AZ354" s="458"/>
      <c r="BA354" s="1305"/>
      <c r="BC354" s="169"/>
    </row>
    <row r="355" spans="19:55" ht="15.75" customHeight="1">
      <c r="S355" s="454"/>
      <c r="AY355" s="458"/>
      <c r="AZ355" s="458"/>
      <c r="BA355" s="1305"/>
      <c r="BC355" s="169"/>
    </row>
    <row r="356" spans="19:55" ht="15.75" customHeight="1">
      <c r="S356" s="454"/>
      <c r="AY356" s="458"/>
      <c r="AZ356" s="458"/>
      <c r="BA356" s="1305"/>
      <c r="BC356" s="169"/>
    </row>
    <row r="357" spans="19:55" ht="15.75" customHeight="1">
      <c r="S357" s="454"/>
      <c r="AY357" s="458"/>
      <c r="AZ357" s="458"/>
      <c r="BA357" s="1305"/>
      <c r="BC357" s="169"/>
    </row>
    <row r="358" spans="19:55" ht="15.75" customHeight="1">
      <c r="S358" s="454"/>
      <c r="AY358" s="458"/>
      <c r="AZ358" s="458"/>
      <c r="BA358" s="1305"/>
      <c r="BC358" s="169"/>
    </row>
    <row r="359" spans="19:55" ht="15.75" customHeight="1">
      <c r="S359" s="454"/>
      <c r="AY359" s="458"/>
      <c r="AZ359" s="458"/>
      <c r="BA359" s="1305"/>
      <c r="BC359" s="169"/>
    </row>
    <row r="360" spans="19:55" ht="15.75" customHeight="1">
      <c r="S360" s="454"/>
      <c r="AY360" s="458"/>
      <c r="AZ360" s="458"/>
      <c r="BA360" s="1305"/>
      <c r="BC360" s="169"/>
    </row>
    <row r="361" spans="19:55" ht="15.75" customHeight="1">
      <c r="S361" s="454"/>
      <c r="AY361" s="458"/>
      <c r="AZ361" s="458"/>
      <c r="BA361" s="1305"/>
      <c r="BC361" s="169"/>
    </row>
    <row r="362" spans="19:55" ht="15.75" customHeight="1">
      <c r="S362" s="454"/>
      <c r="AY362" s="458"/>
      <c r="AZ362" s="458"/>
      <c r="BA362" s="1305"/>
      <c r="BC362" s="169"/>
    </row>
    <row r="363" spans="19:55" ht="15.75" customHeight="1">
      <c r="S363" s="454"/>
      <c r="AY363" s="458"/>
      <c r="AZ363" s="458"/>
      <c r="BA363" s="1305"/>
      <c r="BC363" s="169"/>
    </row>
    <row r="364" spans="19:55" ht="15.75" customHeight="1">
      <c r="S364" s="454"/>
      <c r="AY364" s="458"/>
      <c r="AZ364" s="458"/>
      <c r="BA364" s="1305"/>
      <c r="BC364" s="169"/>
    </row>
    <row r="365" spans="19:55" ht="15.75" customHeight="1">
      <c r="S365" s="454"/>
      <c r="AY365" s="458"/>
      <c r="AZ365" s="458"/>
      <c r="BA365" s="1305"/>
      <c r="BC365" s="169"/>
    </row>
    <row r="366" spans="19:55" ht="15.75" customHeight="1">
      <c r="S366" s="454"/>
      <c r="AY366" s="458"/>
      <c r="AZ366" s="458"/>
      <c r="BA366" s="1305"/>
      <c r="BC366" s="169"/>
    </row>
    <row r="367" spans="19:55" ht="15.75" customHeight="1">
      <c r="S367" s="454"/>
      <c r="AY367" s="458"/>
      <c r="AZ367" s="458"/>
      <c r="BA367" s="1305"/>
      <c r="BC367" s="169"/>
    </row>
    <row r="368" spans="19:55" ht="15.75" customHeight="1">
      <c r="S368" s="454"/>
      <c r="AY368" s="458"/>
      <c r="AZ368" s="458"/>
      <c r="BA368" s="1305"/>
      <c r="BC368" s="169"/>
    </row>
    <row r="369" spans="19:55" ht="15.75" customHeight="1">
      <c r="S369" s="454"/>
      <c r="AY369" s="458"/>
      <c r="AZ369" s="458"/>
      <c r="BA369" s="1305"/>
      <c r="BC369" s="169"/>
    </row>
    <row r="370" spans="19:55" ht="15.75" customHeight="1">
      <c r="S370" s="454"/>
      <c r="AY370" s="458"/>
      <c r="AZ370" s="458"/>
      <c r="BA370" s="1305"/>
      <c r="BC370" s="169"/>
    </row>
    <row r="371" spans="19:55" ht="15.75" customHeight="1">
      <c r="S371" s="454"/>
      <c r="AY371" s="458"/>
      <c r="AZ371" s="458"/>
      <c r="BA371" s="1305"/>
      <c r="BC371" s="169"/>
    </row>
    <row r="372" spans="19:55" ht="15.75" customHeight="1">
      <c r="S372" s="454"/>
      <c r="AY372" s="458"/>
      <c r="AZ372" s="458"/>
      <c r="BA372" s="1305"/>
      <c r="BC372" s="169"/>
    </row>
    <row r="373" spans="19:55" ht="15.75" customHeight="1">
      <c r="S373" s="454"/>
      <c r="AY373" s="458"/>
      <c r="AZ373" s="458"/>
      <c r="BA373" s="1305"/>
      <c r="BC373" s="169"/>
    </row>
    <row r="374" spans="19:55" ht="15.75" customHeight="1">
      <c r="S374" s="454"/>
      <c r="AY374" s="458"/>
      <c r="AZ374" s="458"/>
      <c r="BA374" s="1305"/>
      <c r="BC374" s="169"/>
    </row>
    <row r="375" spans="19:55" ht="15.75" customHeight="1">
      <c r="S375" s="454"/>
      <c r="AY375" s="458"/>
      <c r="AZ375" s="458"/>
      <c r="BA375" s="1305"/>
      <c r="BC375" s="169"/>
    </row>
    <row r="376" spans="19:55" ht="15.75" customHeight="1">
      <c r="S376" s="454"/>
      <c r="AY376" s="458"/>
      <c r="AZ376" s="458"/>
      <c r="BA376" s="1305"/>
      <c r="BC376" s="169"/>
    </row>
    <row r="377" spans="19:55" ht="15.75" customHeight="1">
      <c r="S377" s="454"/>
      <c r="AY377" s="458"/>
      <c r="AZ377" s="458"/>
      <c r="BA377" s="1305"/>
      <c r="BC377" s="169"/>
    </row>
    <row r="378" spans="19:55" ht="15.75" customHeight="1">
      <c r="S378" s="454"/>
      <c r="AY378" s="458"/>
      <c r="AZ378" s="458"/>
      <c r="BA378" s="1305"/>
      <c r="BC378" s="169"/>
    </row>
    <row r="379" spans="19:55" ht="15.75" customHeight="1">
      <c r="S379" s="454"/>
      <c r="AY379" s="458"/>
      <c r="AZ379" s="458"/>
      <c r="BA379" s="1305"/>
      <c r="BC379" s="169"/>
    </row>
    <row r="380" spans="19:55" ht="15.75" customHeight="1">
      <c r="S380" s="454"/>
      <c r="AY380" s="458"/>
      <c r="AZ380" s="458"/>
      <c r="BA380" s="1305"/>
      <c r="BC380" s="169"/>
    </row>
    <row r="381" spans="19:55" ht="15.75" customHeight="1">
      <c r="S381" s="454"/>
      <c r="AY381" s="458"/>
      <c r="AZ381" s="458"/>
      <c r="BA381" s="1305"/>
      <c r="BC381" s="169"/>
    </row>
    <row r="382" spans="19:55" ht="15.75" customHeight="1">
      <c r="S382" s="454"/>
      <c r="AY382" s="458"/>
      <c r="AZ382" s="458"/>
      <c r="BA382" s="1305"/>
      <c r="BC382" s="169"/>
    </row>
    <row r="383" spans="19:55" ht="15.75" customHeight="1">
      <c r="S383" s="454"/>
      <c r="AY383" s="458"/>
      <c r="AZ383" s="458"/>
      <c r="BA383" s="1305"/>
      <c r="BC383" s="169"/>
    </row>
    <row r="384" spans="19:55" ht="15.75" customHeight="1">
      <c r="S384" s="454"/>
      <c r="AY384" s="458"/>
      <c r="AZ384" s="458"/>
      <c r="BA384" s="1305"/>
      <c r="BC384" s="169"/>
    </row>
    <row r="385" spans="19:55" ht="15.75" customHeight="1">
      <c r="S385" s="454"/>
      <c r="AY385" s="458"/>
      <c r="AZ385" s="458"/>
      <c r="BA385" s="1305"/>
      <c r="BC385" s="169"/>
    </row>
    <row r="386" spans="19:55" ht="15.75" customHeight="1">
      <c r="S386" s="454"/>
      <c r="AY386" s="458"/>
      <c r="AZ386" s="458"/>
      <c r="BA386" s="1305"/>
      <c r="BC386" s="169"/>
    </row>
    <row r="387" spans="19:55" ht="15.75" customHeight="1">
      <c r="S387" s="454"/>
      <c r="AY387" s="458"/>
      <c r="AZ387" s="458"/>
      <c r="BA387" s="1305"/>
      <c r="BC387" s="169"/>
    </row>
    <row r="388" spans="19:55" ht="15.75" customHeight="1">
      <c r="S388" s="454"/>
      <c r="AY388" s="458"/>
      <c r="AZ388" s="458"/>
      <c r="BA388" s="1305"/>
      <c r="BC388" s="169"/>
    </row>
    <row r="389" spans="19:55" ht="15.75" customHeight="1">
      <c r="S389" s="454"/>
      <c r="AY389" s="458"/>
      <c r="AZ389" s="458"/>
      <c r="BA389" s="1305"/>
      <c r="BC389" s="169"/>
    </row>
    <row r="390" spans="19:55" ht="15.75" customHeight="1">
      <c r="S390" s="454"/>
      <c r="AY390" s="458"/>
      <c r="AZ390" s="458"/>
      <c r="BA390" s="1305"/>
      <c r="BC390" s="169"/>
    </row>
    <row r="391" spans="19:55" ht="15.75" customHeight="1">
      <c r="S391" s="454"/>
      <c r="AY391" s="458"/>
      <c r="AZ391" s="458"/>
      <c r="BA391" s="1305"/>
      <c r="BC391" s="169"/>
    </row>
    <row r="392" spans="19:55" ht="15.75" customHeight="1">
      <c r="S392" s="454"/>
      <c r="AY392" s="458"/>
      <c r="AZ392" s="458"/>
      <c r="BA392" s="1305"/>
      <c r="BC392" s="169"/>
    </row>
    <row r="393" spans="19:55" ht="15.75" customHeight="1">
      <c r="S393" s="454"/>
      <c r="AY393" s="458"/>
      <c r="AZ393" s="458"/>
      <c r="BA393" s="1305"/>
      <c r="BC393" s="169"/>
    </row>
    <row r="394" spans="19:55" ht="15.75" customHeight="1">
      <c r="S394" s="454"/>
      <c r="AY394" s="458"/>
      <c r="AZ394" s="458"/>
      <c r="BA394" s="1305"/>
      <c r="BC394" s="169"/>
    </row>
    <row r="395" spans="19:55" ht="15.75" customHeight="1">
      <c r="S395" s="454"/>
      <c r="AY395" s="458"/>
      <c r="AZ395" s="458"/>
      <c r="BA395" s="1305"/>
      <c r="BC395" s="169"/>
    </row>
    <row r="396" spans="19:55" ht="15.75" customHeight="1">
      <c r="S396" s="454"/>
      <c r="AY396" s="458"/>
      <c r="AZ396" s="458"/>
      <c r="BA396" s="1305"/>
      <c r="BC396" s="169"/>
    </row>
    <row r="397" spans="19:55" ht="15.75" customHeight="1">
      <c r="S397" s="454"/>
      <c r="AY397" s="458"/>
      <c r="AZ397" s="458"/>
      <c r="BA397" s="1305"/>
      <c r="BC397" s="169"/>
    </row>
    <row r="398" spans="19:55" ht="15.75" customHeight="1">
      <c r="S398" s="454"/>
      <c r="AY398" s="458"/>
      <c r="AZ398" s="458"/>
      <c r="BA398" s="1305"/>
      <c r="BC398" s="169"/>
    </row>
    <row r="399" spans="19:55" ht="15.75" customHeight="1">
      <c r="S399" s="454"/>
      <c r="AY399" s="458"/>
      <c r="AZ399" s="458"/>
      <c r="BA399" s="1305"/>
      <c r="BC399" s="169"/>
    </row>
    <row r="400" spans="19:55" ht="15.75" customHeight="1">
      <c r="S400" s="454"/>
      <c r="AY400" s="458"/>
      <c r="AZ400" s="458"/>
      <c r="BA400" s="1305"/>
      <c r="BC400" s="169"/>
    </row>
    <row r="401" spans="19:55" ht="15.75" customHeight="1">
      <c r="S401" s="454"/>
      <c r="AY401" s="458"/>
      <c r="AZ401" s="458"/>
      <c r="BA401" s="1305"/>
      <c r="BC401" s="169"/>
    </row>
    <row r="402" spans="19:55" ht="15.75" customHeight="1">
      <c r="S402" s="454"/>
      <c r="AY402" s="458"/>
      <c r="AZ402" s="458"/>
      <c r="BA402" s="1305"/>
      <c r="BC402" s="169"/>
    </row>
    <row r="403" spans="19:55" ht="15.75" customHeight="1">
      <c r="S403" s="454"/>
      <c r="AY403" s="458"/>
      <c r="AZ403" s="458"/>
      <c r="BA403" s="1305"/>
      <c r="BC403" s="169"/>
    </row>
    <row r="404" spans="19:55" ht="15.75" customHeight="1">
      <c r="S404" s="454"/>
      <c r="AY404" s="458"/>
      <c r="AZ404" s="458"/>
      <c r="BA404" s="1305"/>
      <c r="BC404" s="169"/>
    </row>
    <row r="405" spans="19:55" ht="15.75" customHeight="1">
      <c r="S405" s="454"/>
      <c r="AY405" s="458"/>
      <c r="AZ405" s="458"/>
      <c r="BA405" s="1305"/>
      <c r="BC405" s="169"/>
    </row>
    <row r="406" spans="19:55" ht="15.75" customHeight="1">
      <c r="S406" s="454"/>
      <c r="AY406" s="458"/>
      <c r="AZ406" s="458"/>
      <c r="BA406" s="1305"/>
      <c r="BC406" s="169"/>
    </row>
    <row r="407" spans="19:55" ht="15.75" customHeight="1">
      <c r="S407" s="454"/>
      <c r="AY407" s="458"/>
      <c r="AZ407" s="458"/>
      <c r="BA407" s="1305"/>
      <c r="BC407" s="169"/>
    </row>
    <row r="408" spans="19:55" ht="15.75" customHeight="1">
      <c r="S408" s="454"/>
      <c r="AY408" s="458"/>
      <c r="AZ408" s="458"/>
      <c r="BA408" s="1305"/>
      <c r="BC408" s="169"/>
    </row>
    <row r="409" spans="19:55" ht="15.75" customHeight="1">
      <c r="S409" s="454"/>
      <c r="AY409" s="458"/>
      <c r="AZ409" s="458"/>
      <c r="BA409" s="1305"/>
      <c r="BC409" s="169"/>
    </row>
    <row r="410" spans="19:55" ht="15.75" customHeight="1">
      <c r="S410" s="454"/>
      <c r="AY410" s="458"/>
      <c r="AZ410" s="458"/>
      <c r="BA410" s="1305"/>
      <c r="BC410" s="169"/>
    </row>
    <row r="411" spans="19:55" ht="15.75" customHeight="1">
      <c r="S411" s="454"/>
      <c r="AY411" s="458"/>
      <c r="AZ411" s="458"/>
      <c r="BA411" s="1305"/>
      <c r="BC411" s="169"/>
    </row>
    <row r="412" spans="19:55" ht="15.75" customHeight="1">
      <c r="S412" s="454"/>
      <c r="AY412" s="458"/>
      <c r="AZ412" s="458"/>
      <c r="BA412" s="1305"/>
      <c r="BC412" s="169"/>
    </row>
    <row r="413" spans="19:55" ht="15.75" customHeight="1">
      <c r="S413" s="454"/>
      <c r="AY413" s="458"/>
      <c r="AZ413" s="458"/>
      <c r="BA413" s="1305"/>
      <c r="BC413" s="169"/>
    </row>
    <row r="414" spans="19:55" ht="15.75" customHeight="1">
      <c r="S414" s="454"/>
      <c r="AY414" s="458"/>
      <c r="AZ414" s="458"/>
      <c r="BA414" s="1305"/>
      <c r="BC414" s="169"/>
    </row>
    <row r="415" spans="19:55" ht="15.75" customHeight="1">
      <c r="S415" s="454"/>
      <c r="AY415" s="458"/>
      <c r="AZ415" s="458"/>
      <c r="BA415" s="1305"/>
      <c r="BC415" s="169"/>
    </row>
    <row r="416" spans="19:55" ht="15.75" customHeight="1">
      <c r="S416" s="454"/>
      <c r="AY416" s="458"/>
      <c r="AZ416" s="458"/>
      <c r="BA416" s="1305"/>
      <c r="BC416" s="169"/>
    </row>
    <row r="417" spans="19:55" ht="15.75" customHeight="1">
      <c r="S417" s="454"/>
      <c r="AY417" s="458"/>
      <c r="AZ417" s="458"/>
      <c r="BA417" s="1305"/>
      <c r="BC417" s="169"/>
    </row>
    <row r="418" spans="19:55" ht="15.75" customHeight="1">
      <c r="S418" s="454"/>
      <c r="AY418" s="458"/>
      <c r="AZ418" s="458"/>
      <c r="BA418" s="1305"/>
      <c r="BC418" s="169"/>
    </row>
    <row r="419" spans="19:55" ht="15.75" customHeight="1">
      <c r="S419" s="454"/>
      <c r="AY419" s="458"/>
      <c r="AZ419" s="458"/>
      <c r="BA419" s="1305"/>
      <c r="BC419" s="169"/>
    </row>
    <row r="420" spans="19:55" ht="15.75" customHeight="1">
      <c r="S420" s="454"/>
      <c r="AY420" s="458"/>
      <c r="AZ420" s="458"/>
      <c r="BA420" s="1305"/>
      <c r="BC420" s="169"/>
    </row>
    <row r="421" spans="19:55" ht="15.75" customHeight="1">
      <c r="S421" s="454"/>
      <c r="AY421" s="458"/>
      <c r="AZ421" s="458"/>
      <c r="BA421" s="1305"/>
      <c r="BC421" s="169"/>
    </row>
    <row r="422" spans="19:55" ht="15.75" customHeight="1">
      <c r="S422" s="454"/>
      <c r="AY422" s="458"/>
      <c r="AZ422" s="458"/>
      <c r="BA422" s="1305"/>
      <c r="BC422" s="169"/>
    </row>
    <row r="423" spans="19:55" ht="15.75" customHeight="1">
      <c r="S423" s="454"/>
      <c r="AY423" s="458"/>
      <c r="AZ423" s="458"/>
      <c r="BA423" s="1305"/>
      <c r="BC423" s="169"/>
    </row>
    <row r="424" spans="19:55" ht="15.75" customHeight="1">
      <c r="S424" s="454"/>
      <c r="AY424" s="458"/>
      <c r="AZ424" s="458"/>
      <c r="BA424" s="1305"/>
      <c r="BC424" s="169"/>
    </row>
    <row r="425" spans="19:55" ht="15.75" customHeight="1">
      <c r="S425" s="454"/>
      <c r="AY425" s="458"/>
      <c r="AZ425" s="458"/>
      <c r="BA425" s="1305"/>
      <c r="BC425" s="169"/>
    </row>
    <row r="426" spans="19:55" ht="15.75" customHeight="1">
      <c r="S426" s="454"/>
      <c r="AV426" s="177"/>
      <c r="AW426" s="177"/>
      <c r="AX426" s="177"/>
      <c r="AY426" s="458"/>
      <c r="AZ426" s="458"/>
      <c r="BA426" s="1307"/>
      <c r="BC426" s="169"/>
    </row>
    <row r="427" spans="19:55" ht="15.75" customHeight="1">
      <c r="S427" s="454"/>
      <c r="AV427" s="177"/>
      <c r="AW427" s="177"/>
      <c r="AX427" s="177"/>
      <c r="AY427" s="458"/>
      <c r="AZ427" s="458"/>
      <c r="BA427" s="1307"/>
      <c r="BC427" s="169"/>
    </row>
    <row r="428" spans="19:55" ht="15.75" customHeight="1">
      <c r="S428" s="454"/>
      <c r="AU428" s="177"/>
      <c r="AV428" s="177"/>
      <c r="AW428" s="177"/>
      <c r="AX428" s="177"/>
      <c r="AY428" s="458"/>
      <c r="AZ428" s="458"/>
      <c r="BA428" s="1307"/>
      <c r="BC428" s="169"/>
    </row>
    <row r="429" spans="19:55" ht="15.75" customHeight="1">
      <c r="S429" s="454"/>
      <c r="AU429" s="177"/>
      <c r="AV429" s="177"/>
      <c r="AW429" s="177"/>
      <c r="AX429" s="177"/>
      <c r="AY429" s="458"/>
      <c r="AZ429" s="458"/>
      <c r="BA429" s="1307"/>
      <c r="BC429" s="169"/>
    </row>
    <row r="430" spans="19:55" ht="15.75" customHeight="1">
      <c r="S430" s="454"/>
      <c r="AU430" s="177"/>
      <c r="AV430" s="177"/>
      <c r="AW430" s="177"/>
      <c r="AX430" s="177"/>
      <c r="AY430" s="458"/>
      <c r="AZ430" s="458"/>
      <c r="BA430" s="1307"/>
      <c r="BC430" s="169"/>
    </row>
    <row r="431" spans="19:55" ht="15.75" customHeight="1">
      <c r="S431" s="454"/>
      <c r="AU431" s="177"/>
      <c r="AV431" s="177"/>
      <c r="AW431" s="177"/>
      <c r="AX431" s="177"/>
      <c r="AY431" s="458"/>
      <c r="AZ431" s="458"/>
      <c r="BA431" s="1307"/>
      <c r="BC431" s="169"/>
    </row>
    <row r="432" spans="19:55" ht="15.75" customHeight="1">
      <c r="S432" s="454"/>
      <c r="AU432" s="177"/>
      <c r="AV432" s="177"/>
      <c r="AW432" s="177"/>
      <c r="AX432" s="177"/>
      <c r="AY432" s="458"/>
      <c r="AZ432" s="458"/>
      <c r="BA432" s="1307"/>
      <c r="BC432" s="169"/>
    </row>
    <row r="433" spans="19:55" ht="15.75" customHeight="1">
      <c r="S433" s="454"/>
      <c r="AU433" s="177"/>
      <c r="AV433" s="177"/>
      <c r="AW433" s="177"/>
      <c r="AX433" s="177"/>
      <c r="AY433" s="458"/>
      <c r="AZ433" s="458"/>
      <c r="BA433" s="1307"/>
      <c r="BC433" s="169"/>
    </row>
    <row r="434" spans="19:55" ht="15.75" customHeight="1">
      <c r="S434" s="454"/>
      <c r="AU434" s="177"/>
      <c r="AV434" s="177"/>
      <c r="AW434" s="177"/>
      <c r="AX434" s="177"/>
      <c r="AY434" s="458"/>
      <c r="AZ434" s="458"/>
      <c r="BA434" s="1307"/>
      <c r="BC434" s="169"/>
    </row>
    <row r="435" spans="19:55" ht="15.75" customHeight="1">
      <c r="S435" s="454"/>
      <c r="AU435" s="177"/>
      <c r="AV435" s="177"/>
      <c r="AW435" s="177"/>
      <c r="AX435" s="177"/>
      <c r="AY435" s="458"/>
      <c r="AZ435" s="458"/>
      <c r="BA435" s="1307"/>
      <c r="BC435" s="169"/>
    </row>
    <row r="436" spans="19:55" ht="15.75" customHeight="1">
      <c r="S436" s="454"/>
      <c r="AU436" s="177"/>
      <c r="AV436" s="177"/>
      <c r="AW436" s="177"/>
      <c r="AX436" s="177"/>
      <c r="AY436" s="458"/>
      <c r="AZ436" s="458"/>
      <c r="BA436" s="1307"/>
      <c r="BC436" s="169"/>
    </row>
    <row r="437" spans="19:55" ht="15.75" customHeight="1">
      <c r="S437" s="454"/>
      <c r="AU437" s="177"/>
      <c r="AV437" s="177"/>
      <c r="AW437" s="177"/>
      <c r="AX437" s="177"/>
      <c r="AY437" s="458"/>
      <c r="AZ437" s="458"/>
      <c r="BA437" s="1307"/>
      <c r="BC437" s="169"/>
    </row>
    <row r="438" spans="19:55" ht="15.75" customHeight="1">
      <c r="S438" s="454"/>
      <c r="AU438" s="177"/>
      <c r="AV438" s="177"/>
      <c r="AW438" s="177"/>
      <c r="AX438" s="177"/>
      <c r="AY438" s="458"/>
      <c r="AZ438" s="458"/>
      <c r="BA438" s="1307"/>
      <c r="BC438" s="169"/>
    </row>
    <row r="439" spans="19:55" ht="15.75" customHeight="1">
      <c r="S439" s="454"/>
      <c r="AU439" s="177"/>
      <c r="AY439" s="458"/>
      <c r="AZ439" s="458"/>
      <c r="BA439" s="1305"/>
      <c r="BC439" s="169"/>
    </row>
    <row r="440" spans="19:55" ht="15.75" customHeight="1">
      <c r="S440" s="454"/>
      <c r="AU440" s="177"/>
      <c r="AY440" s="458"/>
      <c r="AZ440" s="458"/>
      <c r="BA440" s="1305"/>
      <c r="BC440" s="169"/>
    </row>
    <row r="441" spans="19:55" ht="15.75" customHeight="1">
      <c r="S441" s="454"/>
      <c r="AY441" s="458"/>
      <c r="AZ441" s="458"/>
      <c r="BA441" s="1305"/>
      <c r="BC441" s="169"/>
    </row>
    <row r="442" spans="19:55" ht="15.75" customHeight="1">
      <c r="S442" s="454"/>
      <c r="AY442" s="458"/>
      <c r="AZ442" s="458"/>
      <c r="BA442" s="1305"/>
      <c r="BC442" s="169"/>
    </row>
    <row r="443" spans="19:55" ht="15.75" customHeight="1">
      <c r="S443" s="454"/>
      <c r="AY443" s="458"/>
      <c r="AZ443" s="458"/>
      <c r="BA443" s="1305"/>
      <c r="BC443" s="169"/>
    </row>
    <row r="444" spans="19:55" ht="15.75" customHeight="1">
      <c r="S444" s="454"/>
      <c r="AV444" s="177"/>
      <c r="AW444" s="177"/>
      <c r="AX444" s="177"/>
      <c r="AY444" s="458"/>
      <c r="AZ444" s="458"/>
      <c r="BA444" s="1307"/>
      <c r="BC444" s="169"/>
    </row>
    <row r="445" spans="19:55" ht="15.75" customHeight="1">
      <c r="S445" s="454"/>
      <c r="AV445" s="177"/>
      <c r="AW445" s="177"/>
      <c r="AX445" s="177"/>
      <c r="AY445" s="458"/>
      <c r="AZ445" s="458"/>
      <c r="BA445" s="1307"/>
      <c r="BC445" s="169"/>
    </row>
    <row r="446" spans="19:55" ht="15.75" customHeight="1">
      <c r="S446" s="454"/>
      <c r="AU446" s="177"/>
      <c r="AV446" s="177"/>
      <c r="AW446" s="177"/>
      <c r="AX446" s="177"/>
      <c r="AY446" s="458"/>
      <c r="AZ446" s="458"/>
      <c r="BA446" s="1307"/>
      <c r="BC446" s="169"/>
    </row>
    <row r="447" spans="19:55" ht="15.75" customHeight="1">
      <c r="S447" s="454"/>
      <c r="AU447" s="177"/>
      <c r="AV447" s="177"/>
      <c r="AW447" s="177"/>
      <c r="AX447" s="177"/>
      <c r="AY447" s="458"/>
      <c r="AZ447" s="458"/>
      <c r="BA447" s="1307"/>
      <c r="BC447" s="169"/>
    </row>
    <row r="448" spans="19:55" ht="15.75" customHeight="1">
      <c r="S448" s="454"/>
      <c r="AU448" s="177"/>
      <c r="AV448" s="177"/>
      <c r="AW448" s="177"/>
      <c r="AX448" s="177"/>
      <c r="AY448" s="458"/>
      <c r="AZ448" s="458"/>
      <c r="BA448" s="1307"/>
      <c r="BC448" s="169"/>
    </row>
    <row r="449" spans="19:55" ht="15.75" customHeight="1">
      <c r="S449" s="454"/>
      <c r="AU449" s="177"/>
      <c r="AY449" s="458"/>
      <c r="AZ449" s="458"/>
      <c r="BA449" s="1305"/>
      <c r="BC449" s="169"/>
    </row>
    <row r="450" spans="19:55" ht="15.75" customHeight="1">
      <c r="S450" s="454"/>
      <c r="AU450" s="177"/>
      <c r="AY450" s="458"/>
      <c r="AZ450" s="458"/>
      <c r="BA450" s="1305"/>
      <c r="BC450" s="169"/>
    </row>
    <row r="451" spans="19:55" ht="15.75" customHeight="1">
      <c r="S451" s="454"/>
      <c r="AY451" s="458"/>
      <c r="AZ451" s="458"/>
      <c r="BA451" s="1305"/>
      <c r="BC451" s="169"/>
    </row>
    <row r="452" spans="19:55" ht="15.75" customHeight="1">
      <c r="S452" s="454"/>
      <c r="AV452" s="177"/>
      <c r="AW452" s="177"/>
      <c r="AX452" s="177"/>
      <c r="AY452" s="458"/>
      <c r="AZ452" s="458"/>
      <c r="BA452" s="1307"/>
      <c r="BC452" s="169"/>
    </row>
    <row r="453" spans="19:55" ht="15.75" customHeight="1">
      <c r="S453" s="454"/>
      <c r="AV453" s="177"/>
      <c r="AW453" s="177"/>
      <c r="AX453" s="177"/>
      <c r="AY453" s="458"/>
      <c r="AZ453" s="458"/>
      <c r="BA453" s="1307"/>
      <c r="BC453" s="169"/>
    </row>
    <row r="454" spans="19:55" ht="15.75" customHeight="1">
      <c r="S454" s="454"/>
      <c r="AU454" s="177"/>
      <c r="AV454" s="177"/>
      <c r="AW454" s="177"/>
      <c r="AX454" s="177"/>
      <c r="AY454" s="458"/>
      <c r="AZ454" s="458"/>
      <c r="BA454" s="1307"/>
      <c r="BC454" s="169"/>
    </row>
    <row r="455" spans="19:55" ht="15.75" customHeight="1">
      <c r="S455" s="454"/>
      <c r="AU455" s="177"/>
      <c r="AV455" s="177"/>
      <c r="AW455" s="177"/>
      <c r="AX455" s="177"/>
      <c r="AY455" s="458"/>
      <c r="AZ455" s="458"/>
      <c r="BA455" s="1307"/>
      <c r="BC455" s="169"/>
    </row>
    <row r="456" spans="19:55" ht="15.75" customHeight="1">
      <c r="S456" s="454"/>
      <c r="AU456" s="177"/>
      <c r="AV456" s="177"/>
      <c r="AW456" s="177"/>
      <c r="AX456" s="177"/>
      <c r="AY456" s="458"/>
      <c r="AZ456" s="458"/>
      <c r="BA456" s="1307"/>
      <c r="BC456" s="169"/>
    </row>
    <row r="457" spans="19:55" ht="15.75" customHeight="1">
      <c r="S457" s="454"/>
      <c r="AU457" s="177"/>
      <c r="AV457" s="177"/>
      <c r="AW457" s="177"/>
      <c r="AX457" s="177"/>
      <c r="AY457" s="458"/>
      <c r="AZ457" s="458"/>
      <c r="BA457" s="1307"/>
      <c r="BC457" s="169"/>
    </row>
    <row r="458" spans="19:55" ht="15.75" customHeight="1">
      <c r="S458" s="454"/>
      <c r="AU458" s="177"/>
      <c r="AV458" s="177"/>
      <c r="AW458" s="177"/>
      <c r="AX458" s="177"/>
      <c r="AY458" s="458"/>
      <c r="AZ458" s="458"/>
      <c r="BA458" s="1307"/>
      <c r="BC458" s="169"/>
    </row>
    <row r="459" spans="19:55" ht="15.75" customHeight="1">
      <c r="S459" s="454"/>
      <c r="AU459" s="177"/>
      <c r="AY459" s="458"/>
      <c r="AZ459" s="458"/>
      <c r="BA459" s="1305"/>
      <c r="BC459" s="169"/>
    </row>
    <row r="460" spans="19:55" ht="15.75" customHeight="1">
      <c r="S460" s="454"/>
      <c r="AU460" s="177"/>
      <c r="AY460" s="458"/>
      <c r="AZ460" s="458"/>
      <c r="BA460" s="1305"/>
      <c r="BC460" s="169"/>
    </row>
    <row r="461" spans="19:55" ht="15.75" customHeight="1">
      <c r="S461" s="454"/>
      <c r="AY461" s="458"/>
      <c r="AZ461" s="458"/>
      <c r="BA461" s="1305"/>
      <c r="BC461" s="169"/>
    </row>
    <row r="462" spans="19:55" ht="15.75" customHeight="1">
      <c r="S462" s="454"/>
      <c r="AY462" s="458"/>
      <c r="AZ462" s="458"/>
      <c r="BA462" s="1305"/>
      <c r="BC462" s="169"/>
    </row>
    <row r="463" spans="19:55" ht="15.75" customHeight="1">
      <c r="S463" s="454"/>
      <c r="AY463" s="458"/>
      <c r="AZ463" s="458"/>
      <c r="BA463" s="1305"/>
      <c r="BC463" s="169"/>
    </row>
    <row r="464" spans="19:55" ht="15.75" customHeight="1">
      <c r="S464" s="454"/>
      <c r="AY464" s="458"/>
      <c r="AZ464" s="458"/>
      <c r="BA464" s="1305"/>
      <c r="BC464" s="169"/>
    </row>
    <row r="465" spans="19:55" ht="15.75" customHeight="1">
      <c r="S465" s="454"/>
      <c r="AY465" s="458"/>
      <c r="AZ465" s="458"/>
      <c r="BA465" s="1305"/>
      <c r="BC465" s="169"/>
    </row>
    <row r="466" spans="19:55" ht="15.75" customHeight="1">
      <c r="S466" s="454"/>
      <c r="AY466" s="458"/>
      <c r="AZ466" s="458"/>
      <c r="BA466" s="1305"/>
      <c r="BC466" s="169"/>
    </row>
    <row r="467" spans="19:55" ht="15.75" customHeight="1">
      <c r="S467" s="454"/>
      <c r="AY467" s="458"/>
      <c r="AZ467" s="458"/>
      <c r="BA467" s="1305"/>
      <c r="BC467" s="169"/>
    </row>
    <row r="468" spans="19:55" ht="15.75" customHeight="1">
      <c r="S468" s="454"/>
      <c r="AY468" s="458"/>
      <c r="AZ468" s="458"/>
      <c r="BA468" s="1305"/>
      <c r="BC468" s="169"/>
    </row>
    <row r="469" spans="19:55" ht="15.75" customHeight="1">
      <c r="S469" s="454"/>
      <c r="AY469" s="458"/>
      <c r="AZ469" s="458"/>
      <c r="BA469" s="1305"/>
      <c r="BC469" s="169"/>
    </row>
    <row r="470" spans="19:55" ht="15.75" customHeight="1">
      <c r="S470" s="454"/>
      <c r="AY470" s="458"/>
      <c r="AZ470" s="458"/>
      <c r="BA470" s="1305"/>
      <c r="BC470" s="169"/>
    </row>
    <row r="471" spans="19:55" ht="15.75" customHeight="1">
      <c r="S471" s="454"/>
      <c r="AY471" s="458"/>
      <c r="AZ471" s="458"/>
      <c r="BA471" s="1305"/>
      <c r="BC471" s="169"/>
    </row>
    <row r="472" spans="19:55" ht="15.75" customHeight="1">
      <c r="S472" s="454"/>
      <c r="AY472" s="458"/>
      <c r="AZ472" s="458"/>
      <c r="BA472" s="1305"/>
      <c r="BC472" s="169"/>
    </row>
    <row r="473" spans="19:55" ht="15.75" customHeight="1">
      <c r="S473" s="454"/>
      <c r="AY473" s="458"/>
      <c r="AZ473" s="458"/>
      <c r="BA473" s="1305"/>
      <c r="BC473" s="169"/>
    </row>
    <row r="474" spans="19:55" ht="15.75" customHeight="1">
      <c r="S474" s="454"/>
      <c r="AY474" s="458"/>
      <c r="AZ474" s="458"/>
      <c r="BA474" s="1305"/>
      <c r="BC474" s="169"/>
    </row>
    <row r="475" spans="19:55" ht="15.75" customHeight="1">
      <c r="S475" s="454"/>
      <c r="AY475" s="458"/>
      <c r="AZ475" s="458"/>
      <c r="BA475" s="1305"/>
      <c r="BC475" s="169"/>
    </row>
    <row r="476" spans="19:55" ht="15.75" customHeight="1">
      <c r="S476" s="454"/>
      <c r="AY476" s="458"/>
      <c r="AZ476" s="458"/>
      <c r="BA476" s="1305"/>
      <c r="BC476" s="169"/>
    </row>
    <row r="477" spans="19:55" ht="15.75" customHeight="1">
      <c r="S477" s="454"/>
      <c r="AY477" s="458"/>
      <c r="AZ477" s="458"/>
      <c r="BA477" s="1305"/>
      <c r="BC477" s="169"/>
    </row>
    <row r="478" spans="19:55" ht="15.75" customHeight="1">
      <c r="S478" s="454"/>
      <c r="AY478" s="458"/>
      <c r="AZ478" s="458"/>
      <c r="BA478" s="1305"/>
      <c r="BC478" s="169"/>
    </row>
    <row r="479" spans="19:55" ht="15.75" customHeight="1">
      <c r="S479" s="454"/>
      <c r="AY479" s="458"/>
      <c r="AZ479" s="458"/>
      <c r="BA479" s="1305"/>
      <c r="BC479" s="169"/>
    </row>
    <row r="480" spans="19:55" ht="15.75" customHeight="1">
      <c r="S480" s="454"/>
      <c r="AY480" s="458"/>
      <c r="AZ480" s="458"/>
      <c r="BA480" s="1305"/>
      <c r="BC480" s="169"/>
    </row>
    <row r="481" spans="19:55" ht="15.75" customHeight="1">
      <c r="S481" s="454"/>
      <c r="AY481" s="458"/>
      <c r="AZ481" s="458"/>
      <c r="BA481" s="1305"/>
      <c r="BC481" s="169"/>
    </row>
    <row r="482" spans="19:55" ht="15.75" customHeight="1">
      <c r="S482" s="454"/>
      <c r="AY482" s="458"/>
      <c r="AZ482" s="458"/>
      <c r="BA482" s="1305"/>
      <c r="BC482" s="169"/>
    </row>
    <row r="483" spans="19:55" ht="15.75" customHeight="1">
      <c r="S483" s="454"/>
      <c r="AY483" s="458"/>
      <c r="AZ483" s="458"/>
      <c r="BA483" s="1305"/>
      <c r="BC483" s="169"/>
    </row>
    <row r="484" spans="19:55" ht="15.75" customHeight="1">
      <c r="S484" s="454"/>
      <c r="AY484" s="458"/>
      <c r="AZ484" s="458"/>
      <c r="BA484" s="1305"/>
      <c r="BC484" s="169"/>
    </row>
    <row r="485" spans="19:55" ht="15.75" customHeight="1">
      <c r="S485" s="454"/>
      <c r="AY485" s="458"/>
      <c r="AZ485" s="458"/>
      <c r="BA485" s="1305"/>
      <c r="BC485" s="169"/>
    </row>
    <row r="486" spans="19:55" ht="15.75" customHeight="1">
      <c r="S486" s="454"/>
      <c r="AY486" s="458"/>
      <c r="AZ486" s="458"/>
      <c r="BA486" s="1305"/>
      <c r="BC486" s="169"/>
    </row>
    <row r="487" spans="19:55" ht="15.75" customHeight="1">
      <c r="S487" s="454"/>
      <c r="AY487" s="458"/>
      <c r="AZ487" s="458"/>
      <c r="BA487" s="1305"/>
      <c r="BC487" s="169"/>
    </row>
    <row r="488" spans="19:55" ht="15.75" customHeight="1">
      <c r="S488" s="454"/>
      <c r="AY488" s="458"/>
      <c r="AZ488" s="458"/>
      <c r="BA488" s="1305"/>
      <c r="BC488" s="169"/>
    </row>
    <row r="489" spans="19:55" ht="15.75" customHeight="1">
      <c r="S489" s="454"/>
      <c r="AY489" s="458"/>
      <c r="AZ489" s="458"/>
      <c r="BA489" s="1305"/>
      <c r="BC489" s="169"/>
    </row>
    <row r="490" spans="19:55" ht="15.75" customHeight="1">
      <c r="S490" s="454"/>
      <c r="AY490" s="458"/>
      <c r="AZ490" s="458"/>
      <c r="BA490" s="1305"/>
      <c r="BC490" s="169"/>
    </row>
    <row r="491" spans="19:55" ht="15.75" customHeight="1">
      <c r="S491" s="454"/>
      <c r="AY491" s="458"/>
      <c r="AZ491" s="458"/>
      <c r="BA491" s="1305"/>
      <c r="BC491" s="169"/>
    </row>
    <row r="492" spans="19:55" ht="15.75" customHeight="1">
      <c r="S492" s="454"/>
      <c r="AY492" s="458"/>
      <c r="AZ492" s="458"/>
      <c r="BA492" s="1305"/>
      <c r="BC492" s="169"/>
    </row>
    <row r="493" spans="19:55" ht="15.75" customHeight="1">
      <c r="S493" s="454"/>
      <c r="AY493" s="458"/>
      <c r="AZ493" s="458"/>
      <c r="BA493" s="1305"/>
      <c r="BC493" s="169"/>
    </row>
    <row r="494" spans="19:55" ht="15.75" customHeight="1">
      <c r="S494" s="454"/>
      <c r="AY494" s="458"/>
      <c r="AZ494" s="458"/>
      <c r="BA494" s="1305"/>
      <c r="BC494" s="169"/>
    </row>
    <row r="495" spans="19:55" ht="15.75" customHeight="1">
      <c r="S495" s="454"/>
      <c r="AY495" s="458"/>
      <c r="AZ495" s="458"/>
      <c r="BA495" s="1305"/>
      <c r="BC495" s="169"/>
    </row>
    <row r="496" spans="19:55" ht="15.75" customHeight="1">
      <c r="S496" s="454"/>
      <c r="AY496" s="458"/>
      <c r="AZ496" s="458"/>
      <c r="BA496" s="1305"/>
      <c r="BC496" s="169"/>
    </row>
    <row r="497" spans="19:55" ht="15.75" customHeight="1">
      <c r="S497" s="454"/>
      <c r="AY497" s="458"/>
      <c r="AZ497" s="458"/>
      <c r="BA497" s="1305"/>
      <c r="BC497" s="169"/>
    </row>
    <row r="498" spans="19:55" ht="15.75" customHeight="1">
      <c r="S498" s="454"/>
      <c r="AY498" s="458"/>
      <c r="AZ498" s="458"/>
      <c r="BA498" s="1305"/>
      <c r="BC498" s="169"/>
    </row>
    <row r="499" spans="19:55" ht="15.75" customHeight="1">
      <c r="S499" s="454"/>
      <c r="AY499" s="458"/>
      <c r="AZ499" s="458"/>
      <c r="BA499" s="1305"/>
      <c r="BC499" s="169"/>
    </row>
    <row r="500" spans="19:55" ht="15.75" customHeight="1">
      <c r="S500" s="454"/>
      <c r="AY500" s="458"/>
      <c r="AZ500" s="458"/>
      <c r="BA500" s="1305"/>
      <c r="BC500" s="169"/>
    </row>
    <row r="501" spans="19:55" ht="15.75" customHeight="1">
      <c r="S501" s="454"/>
      <c r="AY501" s="458"/>
      <c r="AZ501" s="458"/>
      <c r="BA501" s="1305"/>
      <c r="BC501" s="169"/>
    </row>
    <row r="502" spans="19:55" ht="15.75" customHeight="1">
      <c r="S502" s="454"/>
      <c r="AY502" s="458"/>
      <c r="AZ502" s="458"/>
      <c r="BA502" s="1305"/>
      <c r="BC502" s="169"/>
    </row>
    <row r="503" spans="19:55" ht="15.75" customHeight="1">
      <c r="S503" s="454"/>
      <c r="AY503" s="458"/>
      <c r="AZ503" s="458"/>
      <c r="BA503" s="1305"/>
      <c r="BC503" s="169"/>
    </row>
    <row r="504" spans="19:55" ht="15.75" customHeight="1">
      <c r="S504" s="454"/>
      <c r="AY504" s="458"/>
      <c r="AZ504" s="458"/>
      <c r="BA504" s="1305"/>
      <c r="BC504" s="169"/>
    </row>
    <row r="505" spans="19:55" ht="15.75" customHeight="1">
      <c r="S505" s="454"/>
      <c r="AY505" s="458"/>
      <c r="AZ505" s="458"/>
      <c r="BA505" s="1305"/>
      <c r="BC505" s="169"/>
    </row>
    <row r="506" spans="19:55" ht="15.75" customHeight="1">
      <c r="S506" s="454"/>
      <c r="AY506" s="458"/>
      <c r="AZ506" s="458"/>
      <c r="BA506" s="1305"/>
      <c r="BC506" s="169"/>
    </row>
    <row r="507" spans="19:55" ht="15.75" customHeight="1">
      <c r="S507" s="454"/>
      <c r="AY507" s="458"/>
      <c r="AZ507" s="458"/>
      <c r="BA507" s="1305"/>
      <c r="BC507" s="169"/>
    </row>
    <row r="508" spans="19:55" ht="15.75" customHeight="1">
      <c r="S508" s="454"/>
      <c r="AY508" s="458"/>
      <c r="AZ508" s="458"/>
      <c r="BA508" s="1305"/>
      <c r="BC508" s="169"/>
    </row>
    <row r="509" spans="19:55" ht="15.75" customHeight="1">
      <c r="S509" s="454"/>
      <c r="AY509" s="458"/>
      <c r="AZ509" s="458"/>
      <c r="BA509" s="1305"/>
      <c r="BC509" s="169"/>
    </row>
    <row r="510" spans="19:55" ht="15.75" customHeight="1">
      <c r="S510" s="454"/>
      <c r="AY510" s="458"/>
      <c r="AZ510" s="458"/>
      <c r="BA510" s="1305"/>
      <c r="BC510" s="169"/>
    </row>
    <row r="511" spans="19:55" ht="15.75" customHeight="1">
      <c r="S511" s="454"/>
      <c r="AY511" s="458"/>
      <c r="AZ511" s="458"/>
      <c r="BA511" s="1305"/>
      <c r="BC511" s="169"/>
    </row>
    <row r="512" spans="19:55" ht="15.75" customHeight="1">
      <c r="S512" s="454"/>
      <c r="AY512" s="458"/>
      <c r="AZ512" s="458"/>
      <c r="BA512" s="1305"/>
      <c r="BC512" s="169"/>
    </row>
    <row r="513" spans="19:55" ht="15.75" customHeight="1">
      <c r="S513" s="454"/>
      <c r="AY513" s="458"/>
      <c r="AZ513" s="458"/>
      <c r="BA513" s="1305"/>
      <c r="BC513" s="169"/>
    </row>
    <row r="514" spans="19:55" ht="15.75" customHeight="1">
      <c r="S514" s="454"/>
      <c r="AY514" s="458"/>
      <c r="AZ514" s="458"/>
      <c r="BA514" s="1305"/>
      <c r="BC514" s="169"/>
    </row>
    <row r="515" spans="19:55" ht="15.75" customHeight="1">
      <c r="S515" s="454"/>
      <c r="AY515" s="458"/>
      <c r="AZ515" s="458"/>
      <c r="BA515" s="1305"/>
      <c r="BC515" s="169"/>
    </row>
    <row r="516" spans="19:55" ht="15.75" customHeight="1">
      <c r="S516" s="454"/>
      <c r="AY516" s="458"/>
      <c r="AZ516" s="458"/>
      <c r="BA516" s="1305"/>
      <c r="BC516" s="169"/>
    </row>
    <row r="517" spans="19:55" ht="15.75" customHeight="1">
      <c r="S517" s="454"/>
      <c r="AY517" s="458"/>
      <c r="AZ517" s="458"/>
      <c r="BA517" s="1305"/>
      <c r="BC517" s="169"/>
    </row>
    <row r="518" spans="19:55" ht="15.75" customHeight="1">
      <c r="S518" s="454"/>
      <c r="AY518" s="458"/>
      <c r="AZ518" s="458"/>
      <c r="BA518" s="1305"/>
      <c r="BC518" s="169"/>
    </row>
    <row r="519" spans="19:55" ht="15.75" customHeight="1">
      <c r="S519" s="454"/>
      <c r="AY519" s="458"/>
      <c r="AZ519" s="458"/>
      <c r="BA519" s="1305"/>
      <c r="BC519" s="169"/>
    </row>
    <row r="520" spans="19:55" ht="15.75" customHeight="1">
      <c r="S520" s="454"/>
      <c r="AY520" s="458"/>
      <c r="AZ520" s="458"/>
      <c r="BA520" s="1305"/>
      <c r="BC520" s="169"/>
    </row>
    <row r="521" spans="19:55" ht="15.75" customHeight="1">
      <c r="S521" s="454"/>
      <c r="AY521" s="458"/>
      <c r="AZ521" s="458"/>
      <c r="BA521" s="1305"/>
      <c r="BC521" s="169"/>
    </row>
    <row r="522" spans="19:55" ht="15.75" customHeight="1">
      <c r="S522" s="454"/>
      <c r="AY522" s="458"/>
      <c r="AZ522" s="458"/>
      <c r="BA522" s="1305"/>
      <c r="BC522" s="169"/>
    </row>
    <row r="523" spans="19:55" ht="15.75" customHeight="1">
      <c r="S523" s="454"/>
      <c r="AY523" s="458"/>
      <c r="AZ523" s="458"/>
      <c r="BA523" s="1305"/>
      <c r="BC523" s="169"/>
    </row>
    <row r="524" spans="19:55" ht="15.75" customHeight="1">
      <c r="S524" s="454"/>
      <c r="AY524" s="458"/>
      <c r="AZ524" s="458"/>
      <c r="BA524" s="1305"/>
      <c r="BC524" s="169"/>
    </row>
    <row r="525" spans="19:55" ht="15.75" customHeight="1">
      <c r="S525" s="454"/>
      <c r="AY525" s="458"/>
      <c r="AZ525" s="458"/>
      <c r="BA525" s="1305"/>
      <c r="BC525" s="169"/>
    </row>
    <row r="526" spans="19:55" ht="15.75" customHeight="1">
      <c r="S526" s="454"/>
      <c r="AY526" s="458"/>
      <c r="AZ526" s="458"/>
      <c r="BA526" s="1305"/>
      <c r="BC526" s="169"/>
    </row>
    <row r="527" spans="19:55" ht="15.75" customHeight="1">
      <c r="S527" s="454"/>
      <c r="AY527" s="458"/>
      <c r="AZ527" s="458"/>
      <c r="BA527" s="1305"/>
      <c r="BC527" s="169"/>
    </row>
    <row r="528" spans="19:55" ht="15.75" customHeight="1">
      <c r="S528" s="454"/>
      <c r="AY528" s="458"/>
      <c r="AZ528" s="458"/>
      <c r="BA528" s="1305"/>
      <c r="BC528" s="169"/>
    </row>
    <row r="529" spans="19:55" ht="15.75" customHeight="1">
      <c r="S529" s="454"/>
      <c r="AY529" s="458"/>
      <c r="AZ529" s="458"/>
      <c r="BA529" s="1305"/>
      <c r="BC529" s="169"/>
    </row>
    <row r="530" spans="19:55" ht="15.75" customHeight="1">
      <c r="S530" s="454"/>
      <c r="AY530" s="458"/>
      <c r="AZ530" s="458"/>
      <c r="BA530" s="1305"/>
      <c r="BC530" s="169"/>
    </row>
    <row r="531" spans="19:55" ht="15.75" customHeight="1">
      <c r="S531" s="454"/>
      <c r="AY531" s="458"/>
      <c r="AZ531" s="458"/>
      <c r="BA531" s="1305"/>
      <c r="BC531" s="169"/>
    </row>
    <row r="532" spans="19:55" ht="15.75" customHeight="1">
      <c r="S532" s="454"/>
      <c r="AY532" s="458"/>
      <c r="AZ532" s="458"/>
      <c r="BA532" s="1305"/>
      <c r="BC532" s="169"/>
    </row>
    <row r="533" spans="19:55" ht="15.75" customHeight="1">
      <c r="S533" s="454"/>
      <c r="AY533" s="458"/>
      <c r="AZ533" s="458"/>
      <c r="BA533" s="1305"/>
      <c r="BC533" s="169"/>
    </row>
    <row r="534" spans="19:55" ht="15.75" customHeight="1">
      <c r="S534" s="454"/>
      <c r="AY534" s="458"/>
      <c r="AZ534" s="458"/>
      <c r="BA534" s="1305"/>
      <c r="BC534" s="169"/>
    </row>
    <row r="535" spans="19:55" ht="15.75" customHeight="1">
      <c r="S535" s="454"/>
      <c r="AY535" s="458"/>
      <c r="AZ535" s="458"/>
      <c r="BA535" s="1305"/>
      <c r="BC535" s="169"/>
    </row>
    <row r="536" spans="19:55" ht="15.75" customHeight="1">
      <c r="S536" s="454"/>
      <c r="AY536" s="458"/>
      <c r="AZ536" s="458"/>
      <c r="BA536" s="1305"/>
      <c r="BC536" s="169"/>
    </row>
    <row r="537" spans="19:55" ht="15.75" customHeight="1">
      <c r="S537" s="454"/>
      <c r="AY537" s="458"/>
      <c r="AZ537" s="458"/>
      <c r="BA537" s="1305"/>
      <c r="BC537" s="169"/>
    </row>
    <row r="538" spans="19:55" ht="15.75" customHeight="1">
      <c r="S538" s="454"/>
      <c r="AY538" s="458"/>
      <c r="AZ538" s="458"/>
      <c r="BA538" s="1305"/>
      <c r="BC538" s="169"/>
    </row>
    <row r="539" spans="19:55" ht="15.75" customHeight="1">
      <c r="S539" s="454"/>
      <c r="AY539" s="458"/>
      <c r="AZ539" s="458"/>
      <c r="BA539" s="1305"/>
      <c r="BC539" s="169"/>
    </row>
    <row r="540" spans="19:55" ht="15.75" customHeight="1">
      <c r="S540" s="454"/>
      <c r="AY540" s="458"/>
      <c r="AZ540" s="458"/>
      <c r="BA540" s="1305"/>
      <c r="BC540" s="169"/>
    </row>
    <row r="541" spans="19:55" ht="15.75" customHeight="1">
      <c r="S541" s="454"/>
      <c r="AY541" s="458"/>
      <c r="AZ541" s="458"/>
      <c r="BA541" s="1305"/>
      <c r="BC541" s="169"/>
    </row>
    <row r="542" spans="19:55" ht="15.75" customHeight="1">
      <c r="S542" s="454"/>
      <c r="AY542" s="458"/>
      <c r="AZ542" s="458"/>
      <c r="BA542" s="1305"/>
      <c r="BC542" s="169"/>
    </row>
    <row r="543" spans="19:55" ht="15.75" customHeight="1">
      <c r="S543" s="454"/>
      <c r="AY543" s="458"/>
      <c r="AZ543" s="458"/>
      <c r="BA543" s="1305"/>
      <c r="BC543" s="169"/>
    </row>
    <row r="544" spans="19:55" ht="15.75" customHeight="1">
      <c r="S544" s="454"/>
      <c r="AY544" s="458"/>
      <c r="AZ544" s="458"/>
      <c r="BA544" s="1305"/>
      <c r="BC544" s="169"/>
    </row>
    <row r="545" spans="19:55" ht="15.75" customHeight="1">
      <c r="S545" s="454"/>
      <c r="AY545" s="458"/>
      <c r="AZ545" s="458"/>
      <c r="BA545" s="1305"/>
      <c r="BC545" s="169"/>
    </row>
    <row r="546" spans="19:55" ht="15.75" customHeight="1">
      <c r="S546" s="454"/>
      <c r="AY546" s="458"/>
      <c r="AZ546" s="458"/>
      <c r="BA546" s="1305"/>
      <c r="BC546" s="169"/>
    </row>
    <row r="547" spans="19:55" ht="15.75" customHeight="1">
      <c r="S547" s="454"/>
      <c r="AY547" s="458"/>
      <c r="AZ547" s="458"/>
      <c r="BA547" s="1305"/>
      <c r="BC547" s="169"/>
    </row>
    <row r="548" spans="19:55" ht="15.75" customHeight="1">
      <c r="S548" s="454"/>
      <c r="AY548" s="458"/>
      <c r="AZ548" s="458"/>
      <c r="BA548" s="1305"/>
      <c r="BC548" s="169"/>
    </row>
    <row r="549" spans="19:55" ht="15.75" customHeight="1">
      <c r="S549" s="454"/>
      <c r="AY549" s="458"/>
      <c r="AZ549" s="458"/>
      <c r="BA549" s="1305"/>
      <c r="BC549" s="169"/>
    </row>
    <row r="550" spans="19:55" ht="15.75" customHeight="1">
      <c r="S550" s="454"/>
      <c r="AY550" s="458"/>
      <c r="AZ550" s="458"/>
      <c r="BA550" s="1305"/>
      <c r="BC550" s="169"/>
    </row>
    <row r="551" spans="19:55" ht="15.75" customHeight="1">
      <c r="S551" s="454"/>
      <c r="AY551" s="458"/>
      <c r="AZ551" s="458"/>
      <c r="BA551" s="1305"/>
      <c r="BC551" s="169"/>
    </row>
    <row r="552" spans="19:55" ht="15.75" customHeight="1">
      <c r="S552" s="454"/>
      <c r="AY552" s="458"/>
      <c r="AZ552" s="458"/>
      <c r="BA552" s="1305"/>
      <c r="BC552" s="169"/>
    </row>
    <row r="553" spans="19:55" ht="15.75" customHeight="1">
      <c r="S553" s="454"/>
      <c r="AY553" s="458"/>
      <c r="AZ553" s="458"/>
      <c r="BA553" s="1305"/>
      <c r="BC553" s="169"/>
    </row>
    <row r="554" spans="19:55" ht="15.75" customHeight="1">
      <c r="S554" s="454"/>
      <c r="AY554" s="458"/>
      <c r="AZ554" s="458"/>
      <c r="BA554" s="1305"/>
      <c r="BC554" s="169"/>
    </row>
    <row r="555" spans="19:55" ht="15.75" customHeight="1">
      <c r="S555" s="454"/>
      <c r="AY555" s="458"/>
      <c r="AZ555" s="458"/>
      <c r="BA555" s="1305"/>
      <c r="BC555" s="169"/>
    </row>
    <row r="556" spans="19:55" ht="15.75" customHeight="1">
      <c r="S556" s="454"/>
      <c r="AY556" s="458"/>
      <c r="AZ556" s="458"/>
      <c r="BA556" s="1305"/>
      <c r="BC556" s="169"/>
    </row>
    <row r="557" spans="19:55" ht="15.75" customHeight="1">
      <c r="S557" s="454"/>
      <c r="AY557" s="458"/>
      <c r="AZ557" s="458"/>
      <c r="BA557" s="1305"/>
      <c r="BC557" s="169"/>
    </row>
    <row r="558" spans="19:55" ht="15.75" customHeight="1">
      <c r="S558" s="454"/>
      <c r="AY558" s="458"/>
      <c r="AZ558" s="458"/>
      <c r="BA558" s="1305"/>
      <c r="BC558" s="169"/>
    </row>
    <row r="559" spans="19:55" ht="15.75" customHeight="1">
      <c r="S559" s="454"/>
      <c r="AY559" s="458"/>
      <c r="AZ559" s="458"/>
      <c r="BA559" s="1305"/>
      <c r="BC559" s="169"/>
    </row>
    <row r="560" spans="19:55" ht="15.75" customHeight="1">
      <c r="S560" s="454"/>
      <c r="AY560" s="458"/>
      <c r="AZ560" s="458"/>
      <c r="BA560" s="1305"/>
      <c r="BC560" s="169"/>
    </row>
    <row r="561" spans="19:55" ht="15.75" customHeight="1">
      <c r="S561" s="454"/>
      <c r="AY561" s="458"/>
      <c r="AZ561" s="458"/>
      <c r="BA561" s="1305"/>
      <c r="BC561" s="169"/>
    </row>
    <row r="562" spans="19:55" ht="15.75" customHeight="1">
      <c r="S562" s="454"/>
      <c r="AY562" s="458"/>
      <c r="AZ562" s="458"/>
      <c r="BA562" s="1305"/>
      <c r="BC562" s="169"/>
    </row>
    <row r="563" spans="19:55" ht="15.75" customHeight="1">
      <c r="S563" s="454"/>
      <c r="AY563" s="458"/>
      <c r="AZ563" s="458"/>
      <c r="BA563" s="1305"/>
      <c r="BC563" s="169"/>
    </row>
    <row r="564" spans="19:55" ht="15.75" customHeight="1">
      <c r="S564" s="454"/>
      <c r="AY564" s="458"/>
      <c r="AZ564" s="458"/>
      <c r="BA564" s="1305"/>
      <c r="BC564" s="169"/>
    </row>
    <row r="565" spans="19:55" ht="15.75" customHeight="1">
      <c r="S565" s="454"/>
      <c r="AY565" s="458"/>
      <c r="AZ565" s="458"/>
      <c r="BA565" s="1305"/>
      <c r="BC565" s="169"/>
    </row>
    <row r="566" spans="19:55" ht="15.75" customHeight="1">
      <c r="S566" s="454"/>
      <c r="AY566" s="458"/>
      <c r="AZ566" s="458"/>
      <c r="BA566" s="1305"/>
      <c r="BC566" s="169"/>
    </row>
    <row r="567" spans="19:55" ht="15.75" customHeight="1">
      <c r="S567" s="454"/>
      <c r="AY567" s="458"/>
      <c r="AZ567" s="458"/>
      <c r="BA567" s="1305"/>
      <c r="BC567" s="169"/>
    </row>
    <row r="568" spans="19:55" ht="15.75" customHeight="1">
      <c r="S568" s="454"/>
      <c r="AY568" s="458"/>
      <c r="AZ568" s="458"/>
      <c r="BA568" s="1305"/>
      <c r="BC568" s="169"/>
    </row>
    <row r="569" spans="19:55" ht="15.75" customHeight="1">
      <c r="S569" s="454"/>
      <c r="AY569" s="458"/>
      <c r="AZ569" s="458"/>
      <c r="BA569" s="1305"/>
      <c r="BC569" s="169"/>
    </row>
    <row r="570" spans="19:55" ht="15.75" customHeight="1">
      <c r="S570" s="454"/>
      <c r="AY570" s="458"/>
      <c r="AZ570" s="458"/>
      <c r="BA570" s="1305"/>
      <c r="BC570" s="169"/>
    </row>
    <row r="571" spans="19:55" ht="15.75" customHeight="1">
      <c r="S571" s="454"/>
      <c r="AY571" s="458"/>
      <c r="AZ571" s="458"/>
      <c r="BA571" s="1305"/>
      <c r="BC571" s="169"/>
    </row>
    <row r="572" spans="19:55" ht="15.75" customHeight="1">
      <c r="S572" s="454"/>
      <c r="AY572" s="458"/>
      <c r="AZ572" s="458"/>
      <c r="BA572" s="1305"/>
      <c r="BC572" s="169"/>
    </row>
    <row r="573" spans="19:55" ht="15.75" customHeight="1">
      <c r="S573" s="454"/>
      <c r="AY573" s="458"/>
      <c r="AZ573" s="458"/>
      <c r="BA573" s="1305"/>
      <c r="BC573" s="169"/>
    </row>
    <row r="574" spans="19:55" ht="15.75" customHeight="1">
      <c r="S574" s="454"/>
      <c r="AY574" s="458"/>
      <c r="AZ574" s="458"/>
      <c r="BA574" s="1305"/>
      <c r="BC574" s="169"/>
    </row>
    <row r="575" spans="19:55" ht="15.75" customHeight="1">
      <c r="S575" s="454"/>
      <c r="AY575" s="458"/>
      <c r="AZ575" s="458"/>
      <c r="BA575" s="1305"/>
      <c r="BC575" s="169"/>
    </row>
    <row r="576" spans="19:55" ht="15.75" customHeight="1">
      <c r="S576" s="454"/>
      <c r="AY576" s="458"/>
      <c r="AZ576" s="458"/>
      <c r="BA576" s="1305"/>
      <c r="BC576" s="169"/>
    </row>
    <row r="577" spans="19:55" ht="15.75" customHeight="1">
      <c r="S577" s="454"/>
      <c r="AY577" s="458"/>
      <c r="AZ577" s="458"/>
      <c r="BA577" s="1305"/>
      <c r="BC577" s="169"/>
    </row>
    <row r="578" spans="19:55" ht="15.75" customHeight="1">
      <c r="S578" s="454"/>
      <c r="AY578" s="458"/>
      <c r="AZ578" s="458"/>
      <c r="BA578" s="1305"/>
      <c r="BC578" s="169"/>
    </row>
    <row r="579" spans="19:55" ht="15.75" customHeight="1">
      <c r="S579" s="454"/>
      <c r="AY579" s="458"/>
      <c r="AZ579" s="458"/>
      <c r="BA579" s="1305"/>
      <c r="BC579" s="169"/>
    </row>
    <row r="580" spans="19:55" ht="15.75" customHeight="1">
      <c r="S580" s="454"/>
      <c r="AY580" s="458"/>
      <c r="AZ580" s="458"/>
      <c r="BA580" s="1305"/>
      <c r="BC580" s="169"/>
    </row>
    <row r="581" spans="19:55" ht="15.75" customHeight="1">
      <c r="S581" s="454"/>
      <c r="AY581" s="458"/>
      <c r="AZ581" s="458"/>
      <c r="BA581" s="1305"/>
      <c r="BC581" s="169"/>
    </row>
    <row r="582" spans="19:55" ht="15.75" customHeight="1">
      <c r="S582" s="454"/>
      <c r="AY582" s="458"/>
      <c r="AZ582" s="458"/>
      <c r="BA582" s="1305"/>
      <c r="BC582" s="169"/>
    </row>
    <row r="583" spans="19:55" ht="15.75" customHeight="1">
      <c r="S583" s="454"/>
      <c r="AY583" s="458"/>
      <c r="AZ583" s="458"/>
      <c r="BA583" s="1305"/>
      <c r="BC583" s="169"/>
    </row>
    <row r="584" spans="19:55" ht="15.75" customHeight="1">
      <c r="S584" s="454"/>
      <c r="AY584" s="458"/>
      <c r="AZ584" s="458"/>
      <c r="BA584" s="1305"/>
      <c r="BC584" s="169"/>
    </row>
    <row r="585" spans="19:55" ht="15.75" customHeight="1">
      <c r="S585" s="454"/>
      <c r="AY585" s="458"/>
      <c r="AZ585" s="458"/>
      <c r="BA585" s="1305"/>
      <c r="BC585" s="169"/>
    </row>
    <row r="586" spans="19:55" ht="15.75" customHeight="1">
      <c r="S586" s="454"/>
      <c r="AY586" s="458"/>
      <c r="AZ586" s="458"/>
      <c r="BA586" s="1305"/>
      <c r="BC586" s="169"/>
    </row>
    <row r="587" spans="19:55" ht="15.75" customHeight="1">
      <c r="S587" s="454"/>
      <c r="AY587" s="458"/>
      <c r="AZ587" s="458"/>
      <c r="BA587" s="1305"/>
      <c r="BC587" s="169"/>
    </row>
    <row r="588" spans="19:55" ht="15.75" customHeight="1">
      <c r="S588" s="454"/>
      <c r="AY588" s="458"/>
      <c r="AZ588" s="458"/>
      <c r="BA588" s="1305"/>
      <c r="BC588" s="169"/>
    </row>
    <row r="589" spans="19:55" ht="15.75" customHeight="1">
      <c r="S589" s="454"/>
      <c r="AY589" s="458"/>
      <c r="AZ589" s="458"/>
      <c r="BA589" s="1305"/>
      <c r="BC589" s="169"/>
    </row>
    <row r="590" spans="19:55" ht="15.75" customHeight="1">
      <c r="S590" s="454"/>
      <c r="AY590" s="458"/>
      <c r="AZ590" s="458"/>
      <c r="BA590" s="1305"/>
      <c r="BC590" s="169"/>
    </row>
    <row r="591" spans="19:55" ht="15.75" customHeight="1">
      <c r="S591" s="454"/>
      <c r="AY591" s="458"/>
      <c r="AZ591" s="458"/>
      <c r="BA591" s="1305"/>
      <c r="BC591" s="169"/>
    </row>
    <row r="592" spans="19:55" ht="15.75" customHeight="1">
      <c r="S592" s="454"/>
      <c r="AY592" s="458"/>
      <c r="AZ592" s="458"/>
      <c r="BA592" s="1305"/>
      <c r="BC592" s="169"/>
    </row>
    <row r="593" spans="19:55" ht="15.75" customHeight="1">
      <c r="S593" s="454"/>
      <c r="AY593" s="458"/>
      <c r="AZ593" s="458"/>
      <c r="BA593" s="1305"/>
      <c r="BC593" s="169"/>
    </row>
    <row r="594" spans="19:55" ht="15.75" customHeight="1">
      <c r="S594" s="454"/>
      <c r="AY594" s="458"/>
      <c r="AZ594" s="458"/>
      <c r="BA594" s="1305"/>
      <c r="BC594" s="169"/>
    </row>
    <row r="595" spans="19:55" ht="15.75" customHeight="1">
      <c r="S595" s="454"/>
      <c r="AY595" s="458"/>
      <c r="AZ595" s="458"/>
      <c r="BA595" s="1305"/>
      <c r="BC595" s="169"/>
    </row>
    <row r="596" spans="19:55" ht="15.75" customHeight="1">
      <c r="S596" s="454"/>
      <c r="AY596" s="458"/>
      <c r="AZ596" s="458"/>
      <c r="BA596" s="1305"/>
      <c r="BC596" s="169"/>
    </row>
    <row r="597" spans="19:55" ht="15.75" customHeight="1">
      <c r="S597" s="454"/>
      <c r="AY597" s="458"/>
      <c r="AZ597" s="458"/>
      <c r="BA597" s="1305"/>
      <c r="BC597" s="169"/>
    </row>
    <row r="598" spans="19:55" ht="15.75" customHeight="1">
      <c r="S598" s="454"/>
      <c r="AY598" s="458"/>
      <c r="AZ598" s="458"/>
      <c r="BA598" s="1305"/>
      <c r="BC598" s="169"/>
    </row>
    <row r="599" spans="19:55" ht="15.75" customHeight="1">
      <c r="S599" s="454"/>
      <c r="AY599" s="458"/>
      <c r="AZ599" s="458"/>
      <c r="BA599" s="1305"/>
      <c r="BC599" s="169"/>
    </row>
    <row r="600" spans="19:55" ht="15.75" customHeight="1">
      <c r="S600" s="454"/>
      <c r="AY600" s="458"/>
      <c r="AZ600" s="458"/>
      <c r="BA600" s="1305"/>
      <c r="BC600" s="169"/>
    </row>
    <row r="601" spans="19:55" ht="15.75" customHeight="1">
      <c r="S601" s="454"/>
      <c r="AY601" s="458"/>
      <c r="AZ601" s="458"/>
      <c r="BA601" s="1305"/>
      <c r="BC601" s="169"/>
    </row>
    <row r="602" spans="19:55" ht="15.75" customHeight="1">
      <c r="S602" s="454"/>
      <c r="AY602" s="458"/>
      <c r="AZ602" s="458"/>
      <c r="BA602" s="1305"/>
      <c r="BC602" s="169"/>
    </row>
    <row r="603" spans="19:55" ht="15.75" customHeight="1">
      <c r="S603" s="454"/>
      <c r="AY603" s="458"/>
      <c r="AZ603" s="458"/>
      <c r="BA603" s="1305"/>
      <c r="BC603" s="169"/>
    </row>
    <row r="604" spans="19:55" ht="15.75" customHeight="1">
      <c r="S604" s="454"/>
      <c r="AY604" s="458"/>
      <c r="AZ604" s="458"/>
      <c r="BA604" s="1305"/>
      <c r="BC604" s="169"/>
    </row>
    <row r="605" spans="19:55" ht="15.75" customHeight="1">
      <c r="S605" s="454"/>
      <c r="AY605" s="458"/>
      <c r="AZ605" s="458"/>
      <c r="BA605" s="1305"/>
      <c r="BC605" s="169"/>
    </row>
    <row r="606" spans="19:55" ht="15.75" customHeight="1">
      <c r="S606" s="454"/>
      <c r="AY606" s="458"/>
      <c r="AZ606" s="458"/>
      <c r="BA606" s="1305"/>
      <c r="BC606" s="169"/>
    </row>
    <row r="607" spans="19:55" ht="15.75" customHeight="1">
      <c r="S607" s="454"/>
      <c r="AY607" s="458"/>
      <c r="AZ607" s="458"/>
      <c r="BA607" s="1305"/>
      <c r="BC607" s="169"/>
    </row>
    <row r="608" spans="19:55" ht="15.75" customHeight="1">
      <c r="S608" s="454"/>
      <c r="AY608" s="458"/>
      <c r="AZ608" s="458"/>
      <c r="BA608" s="1305"/>
      <c r="BC608" s="169"/>
    </row>
    <row r="609" spans="19:55" ht="15.75" customHeight="1">
      <c r="S609" s="454"/>
      <c r="AY609" s="458"/>
      <c r="AZ609" s="458"/>
      <c r="BA609" s="1305"/>
      <c r="BC609" s="169"/>
    </row>
    <row r="610" spans="19:55" ht="15.75" customHeight="1">
      <c r="S610" s="454"/>
      <c r="AY610" s="458"/>
      <c r="AZ610" s="458"/>
      <c r="BA610" s="1305"/>
      <c r="BC610" s="169"/>
    </row>
    <row r="611" spans="19:55" ht="15.75" customHeight="1">
      <c r="S611" s="454"/>
      <c r="AY611" s="458"/>
      <c r="AZ611" s="458"/>
      <c r="BA611" s="1305"/>
      <c r="BC611" s="169"/>
    </row>
    <row r="612" spans="19:55" ht="15.75" customHeight="1">
      <c r="S612" s="454"/>
      <c r="AY612" s="458"/>
      <c r="AZ612" s="458"/>
      <c r="BA612" s="1305"/>
      <c r="BC612" s="169"/>
    </row>
    <row r="613" spans="19:55" ht="15.75" customHeight="1">
      <c r="S613" s="454"/>
      <c r="AY613" s="458"/>
      <c r="AZ613" s="458"/>
      <c r="BA613" s="1305"/>
      <c r="BC613" s="169"/>
    </row>
    <row r="614" spans="19:55" ht="15.75" customHeight="1">
      <c r="S614" s="454"/>
      <c r="AY614" s="458"/>
      <c r="AZ614" s="458"/>
      <c r="BA614" s="1305"/>
      <c r="BC614" s="169"/>
    </row>
    <row r="615" spans="19:55" ht="15.75" customHeight="1">
      <c r="S615" s="454"/>
      <c r="AY615" s="458"/>
      <c r="AZ615" s="458"/>
      <c r="BA615" s="1305"/>
      <c r="BC615" s="169"/>
    </row>
    <row r="616" spans="19:55" ht="15.75" customHeight="1">
      <c r="S616" s="454"/>
      <c r="AY616" s="458"/>
      <c r="AZ616" s="458"/>
      <c r="BA616" s="1305"/>
      <c r="BC616" s="169"/>
    </row>
    <row r="617" spans="19:55" ht="15.75" customHeight="1">
      <c r="S617" s="454"/>
      <c r="AY617" s="458"/>
      <c r="AZ617" s="458"/>
      <c r="BA617" s="1305"/>
      <c r="BC617" s="169"/>
    </row>
    <row r="618" spans="19:55" ht="15.75" customHeight="1">
      <c r="S618" s="454"/>
      <c r="AY618" s="458"/>
      <c r="AZ618" s="458"/>
      <c r="BA618" s="1305"/>
      <c r="BC618" s="169"/>
    </row>
    <row r="619" spans="19:55" ht="15.75" customHeight="1">
      <c r="S619" s="454"/>
      <c r="AY619" s="458"/>
      <c r="AZ619" s="458"/>
      <c r="BA619" s="1305"/>
      <c r="BC619" s="169"/>
    </row>
    <row r="620" spans="19:55" ht="15.75" customHeight="1">
      <c r="S620" s="454"/>
      <c r="AY620" s="458"/>
      <c r="AZ620" s="458"/>
      <c r="BA620" s="1305"/>
      <c r="BC620" s="169"/>
    </row>
    <row r="621" spans="19:55" ht="15.75" customHeight="1">
      <c r="S621" s="454"/>
      <c r="AY621" s="458"/>
      <c r="AZ621" s="458"/>
      <c r="BA621" s="1305"/>
      <c r="BC621" s="169"/>
    </row>
    <row r="622" spans="19:55" ht="15.75" customHeight="1">
      <c r="S622" s="454"/>
      <c r="AY622" s="458"/>
      <c r="AZ622" s="458"/>
      <c r="BA622" s="1305"/>
      <c r="BC622" s="169"/>
    </row>
    <row r="623" spans="19:55" ht="15.75" customHeight="1">
      <c r="S623" s="454"/>
      <c r="AY623" s="458"/>
      <c r="AZ623" s="458"/>
      <c r="BA623" s="1305"/>
      <c r="BC623" s="169"/>
    </row>
    <row r="624" spans="19:55" ht="15.75" customHeight="1">
      <c r="S624" s="454"/>
      <c r="AY624" s="458"/>
      <c r="AZ624" s="458"/>
      <c r="BA624" s="1305"/>
      <c r="BC624" s="169"/>
    </row>
    <row r="625" spans="19:55" ht="15.75" customHeight="1">
      <c r="S625" s="454"/>
      <c r="AY625" s="458"/>
      <c r="AZ625" s="458"/>
      <c r="BA625" s="1305"/>
      <c r="BC625" s="169"/>
    </row>
    <row r="626" spans="19:55" ht="15.75" customHeight="1">
      <c r="S626" s="454"/>
      <c r="AY626" s="458"/>
      <c r="AZ626" s="458"/>
      <c r="BA626" s="1305"/>
      <c r="BC626" s="169"/>
    </row>
    <row r="627" spans="19:55" ht="15.75" customHeight="1">
      <c r="S627" s="454"/>
      <c r="AY627" s="458"/>
      <c r="AZ627" s="458"/>
      <c r="BA627" s="1305"/>
      <c r="BC627" s="169"/>
    </row>
    <row r="628" spans="19:55" ht="15.75" customHeight="1">
      <c r="S628" s="454"/>
      <c r="AY628" s="458"/>
      <c r="AZ628" s="458"/>
      <c r="BA628" s="1305"/>
      <c r="BC628" s="169"/>
    </row>
    <row r="629" spans="19:55" ht="15.75" customHeight="1">
      <c r="S629" s="454"/>
      <c r="AY629" s="458"/>
      <c r="AZ629" s="458"/>
      <c r="BA629" s="1305"/>
      <c r="BC629" s="169"/>
    </row>
    <row r="630" spans="19:55" ht="15.75" customHeight="1">
      <c r="S630" s="454"/>
      <c r="AY630" s="458"/>
      <c r="AZ630" s="458"/>
      <c r="BA630" s="1305"/>
      <c r="BC630" s="169"/>
    </row>
    <row r="631" spans="19:55" ht="15.75" customHeight="1">
      <c r="S631" s="454"/>
      <c r="AY631" s="458"/>
      <c r="AZ631" s="458"/>
      <c r="BA631" s="1305"/>
      <c r="BC631" s="169"/>
    </row>
    <row r="632" spans="19:55" ht="15.75" customHeight="1">
      <c r="S632" s="454"/>
      <c r="AY632" s="458"/>
      <c r="AZ632" s="458"/>
      <c r="BA632" s="1305"/>
      <c r="BC632" s="169"/>
    </row>
    <row r="633" spans="19:55" ht="15.75" customHeight="1">
      <c r="S633" s="454"/>
      <c r="AY633" s="458"/>
      <c r="AZ633" s="458"/>
      <c r="BA633" s="1305"/>
      <c r="BC633" s="169"/>
    </row>
    <row r="634" spans="19:55" ht="15.75" customHeight="1">
      <c r="S634" s="454"/>
      <c r="AY634" s="458"/>
      <c r="AZ634" s="458"/>
      <c r="BA634" s="1305"/>
      <c r="BC634" s="169"/>
    </row>
    <row r="635" spans="19:55" ht="15.75" customHeight="1">
      <c r="S635" s="454"/>
      <c r="AY635" s="458"/>
      <c r="AZ635" s="458"/>
      <c r="BA635" s="1305"/>
      <c r="BC635" s="169"/>
    </row>
    <row r="636" spans="19:55" ht="15.75" customHeight="1">
      <c r="S636" s="454"/>
      <c r="AY636" s="458"/>
      <c r="AZ636" s="458"/>
      <c r="BA636" s="1305"/>
      <c r="BC636" s="169"/>
    </row>
    <row r="637" spans="19:55" ht="15.75" customHeight="1">
      <c r="S637" s="454"/>
      <c r="AY637" s="458"/>
      <c r="AZ637" s="458"/>
      <c r="BA637" s="1305"/>
      <c r="BC637" s="169"/>
    </row>
    <row r="638" spans="19:55" ht="15.75" customHeight="1">
      <c r="S638" s="454"/>
      <c r="AY638" s="458"/>
      <c r="AZ638" s="458"/>
      <c r="BA638" s="1305"/>
      <c r="BC638" s="169"/>
    </row>
    <row r="639" spans="19:55" ht="15.75" customHeight="1">
      <c r="S639" s="454"/>
      <c r="AY639" s="458"/>
      <c r="AZ639" s="458"/>
      <c r="BA639" s="1305"/>
      <c r="BC639" s="169"/>
    </row>
    <row r="640" spans="19:55" ht="15.75" customHeight="1">
      <c r="S640" s="454"/>
      <c r="AY640" s="458"/>
      <c r="AZ640" s="458"/>
      <c r="BA640" s="1305"/>
      <c r="BC640" s="169"/>
    </row>
    <row r="641" spans="19:55" ht="15.75" customHeight="1">
      <c r="S641" s="454"/>
      <c r="AY641" s="458"/>
      <c r="AZ641" s="458"/>
      <c r="BA641" s="1305"/>
      <c r="BC641" s="169"/>
    </row>
    <row r="642" spans="19:55" ht="15.75" customHeight="1">
      <c r="S642" s="454"/>
      <c r="AY642" s="458"/>
      <c r="AZ642" s="458"/>
      <c r="BA642" s="1305"/>
      <c r="BC642" s="169"/>
    </row>
    <row r="643" spans="19:55" ht="15.75" customHeight="1">
      <c r="S643" s="454"/>
      <c r="AY643" s="458"/>
      <c r="AZ643" s="458"/>
      <c r="BA643" s="1305"/>
      <c r="BC643" s="169"/>
    </row>
    <row r="644" spans="19:55" ht="15.75" customHeight="1">
      <c r="S644" s="454"/>
      <c r="AY644" s="458"/>
      <c r="AZ644" s="458"/>
      <c r="BA644" s="1305"/>
      <c r="BC644" s="169"/>
    </row>
    <row r="645" spans="19:55" ht="15.75" customHeight="1">
      <c r="S645" s="454"/>
      <c r="AY645" s="458"/>
      <c r="AZ645" s="458"/>
      <c r="BA645" s="1305"/>
      <c r="BC645" s="169"/>
    </row>
    <row r="646" spans="19:55" ht="15.75" customHeight="1">
      <c r="S646" s="454"/>
      <c r="AY646" s="458"/>
      <c r="AZ646" s="458"/>
      <c r="BA646" s="1305"/>
      <c r="BC646" s="169"/>
    </row>
    <row r="647" spans="19:55" ht="15.75" customHeight="1">
      <c r="S647" s="454"/>
      <c r="AY647" s="458"/>
      <c r="AZ647" s="458"/>
      <c r="BA647" s="1305"/>
      <c r="BC647" s="169"/>
    </row>
    <row r="648" spans="19:55" ht="15.75" customHeight="1">
      <c r="S648" s="454"/>
      <c r="AY648" s="458"/>
      <c r="AZ648" s="458"/>
      <c r="BA648" s="1305"/>
      <c r="BC648" s="169"/>
    </row>
    <row r="649" spans="19:55" ht="15.75" customHeight="1">
      <c r="S649" s="454"/>
      <c r="AY649" s="458"/>
      <c r="AZ649" s="458"/>
      <c r="BA649" s="1305"/>
      <c r="BC649" s="169"/>
    </row>
    <row r="650" spans="19:55" ht="15.75" customHeight="1">
      <c r="S650" s="454"/>
      <c r="AY650" s="458"/>
      <c r="AZ650" s="458"/>
      <c r="BA650" s="1305"/>
      <c r="BC650" s="169"/>
    </row>
    <row r="651" spans="19:55" ht="15.75" customHeight="1">
      <c r="S651" s="454"/>
      <c r="AY651" s="458"/>
      <c r="AZ651" s="458"/>
      <c r="BA651" s="1305"/>
      <c r="BC651" s="169"/>
    </row>
    <row r="652" spans="19:55" ht="15.75" customHeight="1">
      <c r="S652" s="454"/>
      <c r="AY652" s="458"/>
      <c r="AZ652" s="458"/>
      <c r="BA652" s="1305"/>
      <c r="BC652" s="169"/>
    </row>
    <row r="653" spans="19:55" ht="15.75" customHeight="1">
      <c r="S653" s="454"/>
      <c r="AY653" s="458"/>
      <c r="AZ653" s="458"/>
      <c r="BA653" s="1305"/>
      <c r="BC653" s="169"/>
    </row>
    <row r="654" spans="19:55" ht="15.75" customHeight="1">
      <c r="S654" s="454"/>
      <c r="AY654" s="458"/>
      <c r="AZ654" s="458"/>
      <c r="BA654" s="1305"/>
      <c r="BC654" s="169"/>
    </row>
    <row r="655" spans="19:55" ht="15.75" customHeight="1">
      <c r="S655" s="454"/>
      <c r="AY655" s="458"/>
      <c r="AZ655" s="458"/>
      <c r="BA655" s="1305"/>
      <c r="BC655" s="169"/>
    </row>
    <row r="656" spans="19:55" ht="15.75" customHeight="1">
      <c r="S656" s="454"/>
      <c r="AY656" s="458"/>
      <c r="AZ656" s="458"/>
      <c r="BA656" s="1305"/>
      <c r="BC656" s="169"/>
    </row>
    <row r="657" spans="19:55" ht="15.75" customHeight="1">
      <c r="S657" s="454"/>
      <c r="AY657" s="458"/>
      <c r="AZ657" s="458"/>
      <c r="BA657" s="1305"/>
      <c r="BC657" s="169"/>
    </row>
    <row r="658" spans="19:55" ht="15.75" customHeight="1">
      <c r="S658" s="454"/>
      <c r="AY658" s="458"/>
      <c r="AZ658" s="458"/>
      <c r="BA658" s="1305"/>
      <c r="BC658" s="169"/>
    </row>
    <row r="659" spans="19:55" ht="15.75" customHeight="1">
      <c r="S659" s="454"/>
      <c r="AY659" s="458"/>
      <c r="AZ659" s="458"/>
      <c r="BA659" s="1305"/>
      <c r="BC659" s="169"/>
    </row>
    <row r="660" spans="19:55" ht="15.75" customHeight="1">
      <c r="S660" s="454"/>
      <c r="AY660" s="458"/>
      <c r="AZ660" s="458"/>
      <c r="BA660" s="1305"/>
      <c r="BC660" s="169"/>
    </row>
    <row r="661" spans="19:55" ht="15.75" customHeight="1">
      <c r="S661" s="454"/>
      <c r="AY661" s="458"/>
      <c r="AZ661" s="458"/>
      <c r="BA661" s="1305"/>
      <c r="BC661" s="169"/>
    </row>
    <row r="662" spans="19:55" ht="15.75" customHeight="1">
      <c r="S662" s="454"/>
      <c r="AY662" s="458"/>
      <c r="AZ662" s="458"/>
      <c r="BA662" s="1305"/>
      <c r="BC662" s="169"/>
    </row>
    <row r="663" spans="19:55" ht="15.75" customHeight="1">
      <c r="S663" s="454"/>
      <c r="AY663" s="458"/>
      <c r="AZ663" s="458"/>
      <c r="BA663" s="1305"/>
      <c r="BC663" s="169"/>
    </row>
    <row r="664" spans="19:55" ht="15.75" customHeight="1">
      <c r="S664" s="454"/>
      <c r="AY664" s="458"/>
      <c r="AZ664" s="458"/>
      <c r="BA664" s="1305"/>
      <c r="BC664" s="169"/>
    </row>
    <row r="665" spans="19:55" ht="15.75" customHeight="1">
      <c r="S665" s="454"/>
      <c r="AY665" s="458"/>
      <c r="AZ665" s="458"/>
      <c r="BA665" s="1305"/>
      <c r="BC665" s="169"/>
    </row>
    <row r="666" spans="19:55" ht="15.75" customHeight="1">
      <c r="S666" s="454"/>
      <c r="AY666" s="458"/>
      <c r="AZ666" s="458"/>
      <c r="BA666" s="1305"/>
      <c r="BC666" s="169"/>
    </row>
    <row r="667" spans="19:55" ht="15.75" customHeight="1">
      <c r="S667" s="454"/>
      <c r="AY667" s="458"/>
      <c r="AZ667" s="458"/>
      <c r="BA667" s="1305"/>
      <c r="BC667" s="169"/>
    </row>
    <row r="668" spans="19:55" ht="15.75" customHeight="1">
      <c r="S668" s="454"/>
      <c r="AY668" s="458"/>
      <c r="AZ668" s="458"/>
      <c r="BA668" s="1305"/>
      <c r="BC668" s="169"/>
    </row>
    <row r="669" spans="19:55" ht="15.75" customHeight="1">
      <c r="S669" s="454"/>
      <c r="AY669" s="458"/>
      <c r="AZ669" s="458"/>
      <c r="BA669" s="1305"/>
      <c r="BC669" s="169"/>
    </row>
    <row r="670" spans="19:55" ht="15.75" customHeight="1">
      <c r="S670" s="454"/>
      <c r="AY670" s="458"/>
      <c r="AZ670" s="458"/>
      <c r="BA670" s="1305"/>
      <c r="BC670" s="169"/>
    </row>
    <row r="671" spans="19:55" ht="15.75" customHeight="1">
      <c r="S671" s="454"/>
      <c r="AY671" s="458"/>
      <c r="AZ671" s="458"/>
      <c r="BA671" s="1305"/>
      <c r="BC671" s="169"/>
    </row>
    <row r="672" spans="19:55" ht="15.75" customHeight="1">
      <c r="S672" s="454"/>
      <c r="AY672" s="458"/>
      <c r="AZ672" s="458"/>
      <c r="BA672" s="1305"/>
      <c r="BC672" s="169"/>
    </row>
    <row r="673" spans="19:55" ht="15.75" customHeight="1">
      <c r="S673" s="454"/>
      <c r="AY673" s="458"/>
      <c r="AZ673" s="458"/>
      <c r="BA673" s="1305"/>
      <c r="BC673" s="169"/>
    </row>
    <row r="674" spans="19:55" ht="15.75" customHeight="1">
      <c r="S674" s="454"/>
      <c r="AY674" s="458"/>
      <c r="AZ674" s="458"/>
      <c r="BA674" s="1305"/>
      <c r="BC674" s="169"/>
    </row>
    <row r="675" spans="19:55" ht="15.75" customHeight="1">
      <c r="S675" s="454"/>
      <c r="AY675" s="458"/>
      <c r="AZ675" s="458"/>
      <c r="BA675" s="1305"/>
      <c r="BC675" s="169"/>
    </row>
    <row r="676" spans="19:55" ht="15.75" customHeight="1">
      <c r="S676" s="454"/>
      <c r="AY676" s="458"/>
      <c r="AZ676" s="458"/>
      <c r="BA676" s="1305"/>
      <c r="BC676" s="169"/>
    </row>
    <row r="677" spans="19:55" ht="15.75" customHeight="1">
      <c r="S677" s="454"/>
      <c r="AY677" s="458"/>
      <c r="AZ677" s="458"/>
      <c r="BA677" s="1305"/>
      <c r="BC677" s="169"/>
    </row>
    <row r="678" spans="19:55" ht="15.75" customHeight="1">
      <c r="S678" s="454"/>
      <c r="AY678" s="458"/>
      <c r="AZ678" s="458"/>
      <c r="BA678" s="1305"/>
      <c r="BC678" s="169"/>
    </row>
    <row r="679" spans="19:55" ht="15.75" customHeight="1">
      <c r="S679" s="454"/>
      <c r="AY679" s="458"/>
      <c r="AZ679" s="458"/>
      <c r="BA679" s="1305"/>
      <c r="BC679" s="169"/>
    </row>
    <row r="680" spans="19:55" ht="15.75" customHeight="1">
      <c r="S680" s="454"/>
      <c r="AY680" s="458"/>
      <c r="AZ680" s="458"/>
      <c r="BA680" s="1305"/>
      <c r="BC680" s="169"/>
    </row>
    <row r="681" spans="19:55" ht="15.75" customHeight="1">
      <c r="S681" s="454"/>
      <c r="AY681" s="458"/>
      <c r="AZ681" s="458"/>
      <c r="BA681" s="1305"/>
      <c r="BC681" s="169"/>
    </row>
    <row r="682" spans="19:55" ht="15.75" customHeight="1">
      <c r="S682" s="454"/>
      <c r="AY682" s="458"/>
      <c r="AZ682" s="458"/>
      <c r="BA682" s="1305"/>
      <c r="BC682" s="169"/>
    </row>
    <row r="683" spans="19:55" ht="15.75" customHeight="1">
      <c r="S683" s="454"/>
      <c r="AY683" s="458"/>
      <c r="AZ683" s="458"/>
      <c r="BA683" s="1305"/>
      <c r="BC683" s="169"/>
    </row>
    <row r="684" spans="19:55" ht="15.75" customHeight="1">
      <c r="S684" s="454"/>
      <c r="AY684" s="458"/>
      <c r="AZ684" s="458"/>
      <c r="BA684" s="1305"/>
      <c r="BC684" s="169"/>
    </row>
    <row r="685" spans="19:55" ht="15.75" customHeight="1">
      <c r="S685" s="454"/>
      <c r="AY685" s="458"/>
      <c r="AZ685" s="458"/>
      <c r="BA685" s="1305"/>
      <c r="BC685" s="169"/>
    </row>
    <row r="686" spans="19:55" ht="15.75" customHeight="1">
      <c r="S686" s="454"/>
      <c r="AY686" s="458"/>
      <c r="AZ686" s="458"/>
      <c r="BA686" s="1305"/>
      <c r="BC686" s="169"/>
    </row>
    <row r="687" spans="19:55" ht="15.75" customHeight="1">
      <c r="S687" s="454"/>
      <c r="AY687" s="458"/>
      <c r="AZ687" s="458"/>
      <c r="BA687" s="1305"/>
      <c r="BC687" s="169"/>
    </row>
    <row r="688" spans="19:55" ht="15.75" customHeight="1">
      <c r="S688" s="454"/>
      <c r="AY688" s="458"/>
      <c r="AZ688" s="458"/>
      <c r="BA688" s="1305"/>
      <c r="BC688" s="169"/>
    </row>
    <row r="689" spans="19:55" ht="15.75" customHeight="1">
      <c r="S689" s="454"/>
      <c r="AY689" s="458"/>
      <c r="AZ689" s="458"/>
      <c r="BA689" s="1305"/>
      <c r="BC689" s="169"/>
    </row>
    <row r="690" spans="19:55" ht="15.75" customHeight="1">
      <c r="S690" s="454"/>
      <c r="AY690" s="458"/>
      <c r="AZ690" s="458"/>
      <c r="BA690" s="1305"/>
      <c r="BC690" s="169"/>
    </row>
    <row r="691" spans="19:55" ht="15.75" customHeight="1">
      <c r="S691" s="454"/>
      <c r="AY691" s="458"/>
      <c r="AZ691" s="458"/>
      <c r="BA691" s="1305"/>
      <c r="BC691" s="169"/>
    </row>
    <row r="692" spans="19:55" ht="15.75" customHeight="1">
      <c r="S692" s="454"/>
      <c r="AY692" s="458"/>
      <c r="AZ692" s="458"/>
      <c r="BA692" s="1305"/>
      <c r="BC692" s="169"/>
    </row>
    <row r="693" spans="19:55" ht="15.75" customHeight="1">
      <c r="S693" s="454"/>
      <c r="AY693" s="458"/>
      <c r="AZ693" s="458"/>
      <c r="BA693" s="1305"/>
      <c r="BC693" s="169"/>
    </row>
    <row r="694" spans="19:55" ht="15.75" customHeight="1">
      <c r="S694" s="454"/>
      <c r="AY694" s="458"/>
      <c r="AZ694" s="458"/>
      <c r="BA694" s="1305"/>
      <c r="BC694" s="169"/>
    </row>
    <row r="695" spans="19:55" ht="15.75" customHeight="1">
      <c r="S695" s="454"/>
      <c r="AY695" s="458"/>
      <c r="AZ695" s="458"/>
      <c r="BA695" s="1305"/>
      <c r="BC695" s="169"/>
    </row>
    <row r="696" spans="19:55" ht="15.75" customHeight="1">
      <c r="S696" s="454"/>
      <c r="AY696" s="458"/>
      <c r="AZ696" s="458"/>
      <c r="BA696" s="1305"/>
      <c r="BC696" s="169"/>
    </row>
    <row r="697" spans="19:55" ht="15.75" customHeight="1">
      <c r="S697" s="454"/>
      <c r="AY697" s="458"/>
      <c r="AZ697" s="458"/>
      <c r="BA697" s="1305"/>
      <c r="BC697" s="169"/>
    </row>
    <row r="698" spans="19:55" ht="15.75" customHeight="1">
      <c r="S698" s="454"/>
      <c r="AY698" s="458"/>
      <c r="AZ698" s="458"/>
      <c r="BA698" s="1305"/>
      <c r="BC698" s="169"/>
    </row>
    <row r="699" spans="19:55" ht="15.75" customHeight="1">
      <c r="S699" s="454"/>
      <c r="AY699" s="458"/>
      <c r="AZ699" s="458"/>
      <c r="BA699" s="1305"/>
      <c r="BC699" s="169"/>
    </row>
    <row r="700" spans="19:55" ht="15.75" customHeight="1">
      <c r="S700" s="454"/>
      <c r="AY700" s="458"/>
      <c r="AZ700" s="458"/>
      <c r="BA700" s="1305"/>
      <c r="BC700" s="169"/>
    </row>
    <row r="701" spans="19:55" ht="15.75" customHeight="1">
      <c r="S701" s="454"/>
      <c r="AY701" s="458"/>
      <c r="AZ701" s="458"/>
      <c r="BA701" s="1305"/>
      <c r="BC701" s="169"/>
    </row>
    <row r="702" spans="19:55" ht="15.75" customHeight="1">
      <c r="S702" s="454"/>
      <c r="AY702" s="458"/>
      <c r="AZ702" s="458"/>
      <c r="BA702" s="1305"/>
      <c r="BC702" s="169"/>
    </row>
    <row r="703" spans="19:55" ht="15.75" customHeight="1">
      <c r="S703" s="454"/>
      <c r="AY703" s="458"/>
      <c r="AZ703" s="458"/>
      <c r="BA703" s="1305"/>
      <c r="BC703" s="169"/>
    </row>
    <row r="704" spans="19:55" ht="15.75" customHeight="1">
      <c r="S704" s="454"/>
      <c r="AY704" s="458"/>
      <c r="AZ704" s="458"/>
      <c r="BA704" s="1305"/>
      <c r="BC704" s="169"/>
    </row>
    <row r="705" spans="19:55" ht="15.75" customHeight="1">
      <c r="S705" s="454"/>
      <c r="AY705" s="458"/>
      <c r="AZ705" s="458"/>
      <c r="BA705" s="1305"/>
      <c r="BC705" s="169"/>
    </row>
    <row r="706" spans="19:55" ht="15.75" customHeight="1">
      <c r="S706" s="454"/>
      <c r="AY706" s="458"/>
      <c r="AZ706" s="458"/>
      <c r="BA706" s="1305"/>
      <c r="BC706" s="169"/>
    </row>
    <row r="707" spans="19:55" ht="15.75" customHeight="1">
      <c r="S707" s="454"/>
      <c r="AY707" s="458"/>
      <c r="AZ707" s="458"/>
      <c r="BA707" s="1305"/>
      <c r="BC707" s="169"/>
    </row>
    <row r="708" spans="19:55" ht="15.75" customHeight="1">
      <c r="S708" s="454"/>
      <c r="AY708" s="458"/>
      <c r="AZ708" s="458"/>
      <c r="BA708" s="1305"/>
      <c r="BC708" s="169"/>
    </row>
    <row r="709" spans="19:55" ht="15.75" customHeight="1">
      <c r="S709" s="454"/>
      <c r="AY709" s="458"/>
      <c r="AZ709" s="458"/>
      <c r="BA709" s="1305"/>
      <c r="BC709" s="169"/>
    </row>
    <row r="710" spans="19:55" ht="15.75" customHeight="1">
      <c r="S710" s="454"/>
      <c r="AY710" s="458"/>
      <c r="AZ710" s="458"/>
      <c r="BA710" s="1305"/>
      <c r="BC710" s="169"/>
    </row>
    <row r="711" spans="19:55" ht="15.75" customHeight="1">
      <c r="S711" s="454"/>
      <c r="AY711" s="458"/>
      <c r="AZ711" s="458"/>
      <c r="BA711" s="1305"/>
      <c r="BC711" s="169"/>
    </row>
    <row r="712" spans="19:55" ht="15.75" customHeight="1">
      <c r="S712" s="454"/>
      <c r="AY712" s="458"/>
      <c r="AZ712" s="458"/>
      <c r="BA712" s="1305"/>
      <c r="BC712" s="169"/>
    </row>
    <row r="713" spans="19:55" ht="15.75" customHeight="1">
      <c r="S713" s="454"/>
      <c r="AY713" s="458"/>
      <c r="AZ713" s="458"/>
      <c r="BA713" s="1305"/>
      <c r="BC713" s="169"/>
    </row>
    <row r="714" spans="19:55" ht="15.75" customHeight="1">
      <c r="S714" s="454"/>
      <c r="AY714" s="458"/>
      <c r="AZ714" s="458"/>
      <c r="BA714" s="1305"/>
      <c r="BC714" s="169"/>
    </row>
    <row r="715" spans="19:55" ht="15.75" customHeight="1">
      <c r="S715" s="454"/>
      <c r="AY715" s="458"/>
      <c r="AZ715" s="458"/>
      <c r="BA715" s="1305"/>
      <c r="BC715" s="169"/>
    </row>
    <row r="716" spans="19:55" ht="15.75" customHeight="1">
      <c r="S716" s="454"/>
      <c r="AY716" s="458"/>
      <c r="AZ716" s="458"/>
      <c r="BA716" s="1305"/>
      <c r="BC716" s="169"/>
    </row>
    <row r="717" spans="19:55" ht="15.75" customHeight="1">
      <c r="S717" s="454"/>
      <c r="AY717" s="458"/>
      <c r="AZ717" s="458"/>
      <c r="BA717" s="1305"/>
      <c r="BC717" s="169"/>
    </row>
    <row r="718" spans="19:55" ht="15.75" customHeight="1">
      <c r="S718" s="454"/>
      <c r="AY718" s="458"/>
      <c r="AZ718" s="458"/>
      <c r="BA718" s="1305"/>
      <c r="BC718" s="169"/>
    </row>
    <row r="719" spans="19:55" ht="15.75" customHeight="1">
      <c r="S719" s="454"/>
      <c r="AY719" s="458"/>
      <c r="AZ719" s="458"/>
      <c r="BA719" s="1305"/>
      <c r="BC719" s="169"/>
    </row>
    <row r="720" spans="19:55" ht="15.75" customHeight="1">
      <c r="S720" s="454"/>
      <c r="AY720" s="458"/>
      <c r="AZ720" s="458"/>
      <c r="BA720" s="1305"/>
      <c r="BC720" s="169"/>
    </row>
    <row r="721" spans="19:55" ht="15.75" customHeight="1">
      <c r="S721" s="454"/>
      <c r="AY721" s="458"/>
      <c r="AZ721" s="458"/>
      <c r="BA721" s="1305"/>
      <c r="BC721" s="169"/>
    </row>
    <row r="722" spans="19:55" ht="15.75" customHeight="1">
      <c r="S722" s="454"/>
      <c r="AY722" s="458"/>
      <c r="AZ722" s="458"/>
      <c r="BA722" s="1305"/>
      <c r="BC722" s="169"/>
    </row>
    <row r="723" spans="19:55" ht="15.75" customHeight="1">
      <c r="S723" s="454"/>
      <c r="AY723" s="458"/>
      <c r="AZ723" s="458"/>
      <c r="BA723" s="1305"/>
      <c r="BC723" s="169"/>
    </row>
    <row r="724" spans="19:55" ht="15.75" customHeight="1">
      <c r="S724" s="454"/>
      <c r="AY724" s="458"/>
      <c r="AZ724" s="458"/>
      <c r="BA724" s="1305"/>
      <c r="BC724" s="169"/>
    </row>
    <row r="725" spans="19:55" ht="15.75" customHeight="1">
      <c r="S725" s="454"/>
      <c r="AY725" s="458"/>
      <c r="AZ725" s="458"/>
      <c r="BA725" s="1305"/>
      <c r="BC725" s="169"/>
    </row>
    <row r="726" spans="19:55" ht="15.75" customHeight="1">
      <c r="S726" s="454"/>
      <c r="AY726" s="458"/>
      <c r="AZ726" s="458"/>
      <c r="BA726" s="1305"/>
      <c r="BC726" s="169"/>
    </row>
    <row r="727" spans="19:55" ht="15.75" customHeight="1">
      <c r="S727" s="454"/>
      <c r="AY727" s="458"/>
      <c r="AZ727" s="458"/>
      <c r="BA727" s="1305"/>
      <c r="BC727" s="169"/>
    </row>
    <row r="728" spans="19:55" ht="15.75" customHeight="1">
      <c r="S728" s="454"/>
      <c r="AY728" s="458"/>
      <c r="AZ728" s="458"/>
      <c r="BA728" s="1305"/>
      <c r="BC728" s="169"/>
    </row>
    <row r="729" spans="19:55" ht="15.75" customHeight="1">
      <c r="S729" s="454"/>
      <c r="AY729" s="458"/>
      <c r="AZ729" s="458"/>
      <c r="BA729" s="1305"/>
      <c r="BC729" s="169"/>
    </row>
    <row r="730" spans="19:55" ht="15.75" customHeight="1">
      <c r="S730" s="454"/>
      <c r="AY730" s="458"/>
      <c r="AZ730" s="458"/>
      <c r="BA730" s="1305"/>
      <c r="BC730" s="169"/>
    </row>
    <row r="731" spans="19:55" ht="15.75" customHeight="1">
      <c r="S731" s="454"/>
      <c r="AY731" s="458"/>
      <c r="AZ731" s="458"/>
      <c r="BA731" s="1305"/>
      <c r="BC731" s="169"/>
    </row>
    <row r="732" spans="19:55" ht="15.75" customHeight="1">
      <c r="S732" s="454"/>
      <c r="AY732" s="458"/>
      <c r="AZ732" s="458"/>
      <c r="BA732" s="1305"/>
      <c r="BC732" s="169"/>
    </row>
    <row r="733" spans="19:55" ht="15.75" customHeight="1">
      <c r="S733" s="454"/>
      <c r="AY733" s="458"/>
      <c r="AZ733" s="458"/>
      <c r="BA733" s="1305"/>
      <c r="BC733" s="169"/>
    </row>
    <row r="734" spans="19:55" ht="15.75" customHeight="1">
      <c r="S734" s="454"/>
      <c r="AY734" s="458"/>
      <c r="AZ734" s="458"/>
      <c r="BA734" s="1305"/>
      <c r="BC734" s="169"/>
    </row>
    <row r="735" spans="19:55" ht="15.75" customHeight="1">
      <c r="S735" s="454"/>
      <c r="AY735" s="458"/>
      <c r="AZ735" s="458"/>
      <c r="BA735" s="1305"/>
      <c r="BC735" s="169"/>
    </row>
    <row r="736" spans="19:55" ht="15.75" customHeight="1">
      <c r="S736" s="454"/>
      <c r="AY736" s="458"/>
      <c r="AZ736" s="458"/>
      <c r="BA736" s="1305"/>
      <c r="BC736" s="169"/>
    </row>
    <row r="737" spans="19:55" ht="15.75" customHeight="1">
      <c r="S737" s="454"/>
      <c r="AY737" s="458"/>
      <c r="AZ737" s="458"/>
      <c r="BA737" s="1305"/>
      <c r="BC737" s="169"/>
    </row>
    <row r="738" spans="19:55" ht="15.75" customHeight="1">
      <c r="S738" s="454"/>
      <c r="AY738" s="458"/>
      <c r="AZ738" s="458"/>
      <c r="BA738" s="1305"/>
      <c r="BC738" s="169"/>
    </row>
    <row r="739" spans="19:55" ht="15.75" customHeight="1">
      <c r="S739" s="454"/>
      <c r="AY739" s="458"/>
      <c r="AZ739" s="458"/>
      <c r="BA739" s="1305"/>
      <c r="BC739" s="169"/>
    </row>
    <row r="740" spans="19:55" ht="15.75" customHeight="1">
      <c r="S740" s="454"/>
      <c r="AY740" s="458"/>
      <c r="AZ740" s="458"/>
      <c r="BA740" s="1305"/>
      <c r="BC740" s="169"/>
    </row>
    <row r="741" spans="19:55" ht="15.75" customHeight="1">
      <c r="S741" s="454"/>
      <c r="AY741" s="458"/>
      <c r="AZ741" s="458"/>
      <c r="BA741" s="1305"/>
      <c r="BC741" s="169"/>
    </row>
    <row r="742" spans="19:55" ht="15.75" customHeight="1">
      <c r="S742" s="454"/>
      <c r="AY742" s="458"/>
      <c r="AZ742" s="458"/>
      <c r="BA742" s="1305"/>
      <c r="BC742" s="169"/>
    </row>
    <row r="743" spans="19:55" ht="15.75" customHeight="1">
      <c r="S743" s="454"/>
      <c r="AY743" s="458"/>
      <c r="AZ743" s="458"/>
      <c r="BA743" s="1305"/>
      <c r="BC743" s="169"/>
    </row>
    <row r="744" spans="19:55" ht="15.75" customHeight="1">
      <c r="S744" s="454"/>
      <c r="AY744" s="458"/>
      <c r="AZ744" s="458"/>
      <c r="BA744" s="1305"/>
      <c r="BC744" s="169"/>
    </row>
    <row r="745" spans="19:55" ht="15.75" customHeight="1">
      <c r="S745" s="454"/>
      <c r="AY745" s="458"/>
      <c r="AZ745" s="458"/>
      <c r="BA745" s="1305"/>
      <c r="BC745" s="169"/>
    </row>
    <row r="746" spans="19:55" ht="15.75" customHeight="1">
      <c r="S746" s="454"/>
      <c r="AY746" s="458"/>
      <c r="AZ746" s="458"/>
      <c r="BA746" s="1305"/>
      <c r="BC746" s="169"/>
    </row>
    <row r="747" spans="19:55" ht="15.75" customHeight="1">
      <c r="S747" s="454"/>
      <c r="AY747" s="458"/>
      <c r="AZ747" s="458"/>
      <c r="BA747" s="1305"/>
      <c r="BC747" s="169"/>
    </row>
    <row r="748" spans="19:55" ht="15.75" customHeight="1">
      <c r="S748" s="454"/>
      <c r="AY748" s="458"/>
      <c r="AZ748" s="458"/>
      <c r="BA748" s="1305"/>
      <c r="BC748" s="169"/>
    </row>
    <row r="749" spans="19:55" ht="15.75" customHeight="1">
      <c r="S749" s="454"/>
      <c r="AY749" s="458"/>
      <c r="AZ749" s="458"/>
      <c r="BA749" s="1305"/>
      <c r="BC749" s="169"/>
    </row>
    <row r="750" spans="19:55" ht="15.75" customHeight="1">
      <c r="S750" s="454"/>
      <c r="AY750" s="458"/>
      <c r="AZ750" s="458"/>
      <c r="BA750" s="1305"/>
      <c r="BC750" s="169"/>
    </row>
    <row r="751" spans="19:55" ht="15.75" customHeight="1">
      <c r="S751" s="454"/>
      <c r="AY751" s="458"/>
      <c r="AZ751" s="458"/>
      <c r="BA751" s="1305"/>
      <c r="BC751" s="169"/>
    </row>
    <row r="752" spans="19:55" ht="15.75" customHeight="1">
      <c r="S752" s="454"/>
      <c r="AY752" s="458"/>
      <c r="AZ752" s="458"/>
      <c r="BA752" s="1305"/>
      <c r="BC752" s="169"/>
    </row>
    <row r="753" spans="19:55" ht="15.75" customHeight="1">
      <c r="S753" s="454"/>
      <c r="AY753" s="458"/>
      <c r="AZ753" s="458"/>
      <c r="BA753" s="1305"/>
      <c r="BC753" s="169"/>
    </row>
    <row r="754" spans="19:55" ht="15.75" customHeight="1">
      <c r="S754" s="454"/>
      <c r="AY754" s="458"/>
      <c r="AZ754" s="458"/>
      <c r="BA754" s="1305"/>
      <c r="BC754" s="169"/>
    </row>
    <row r="755" spans="19:55" ht="15.75" customHeight="1">
      <c r="S755" s="454"/>
      <c r="AY755" s="458"/>
      <c r="AZ755" s="458"/>
      <c r="BA755" s="1305"/>
      <c r="BC755" s="169"/>
    </row>
    <row r="756" spans="19:55" ht="15.75" customHeight="1">
      <c r="S756" s="454"/>
      <c r="AY756" s="458"/>
      <c r="AZ756" s="458"/>
      <c r="BA756" s="1305"/>
      <c r="BC756" s="169"/>
    </row>
    <row r="757" spans="19:55" ht="15.75" customHeight="1">
      <c r="S757" s="454"/>
      <c r="AY757" s="458"/>
      <c r="AZ757" s="458"/>
      <c r="BA757" s="1305"/>
      <c r="BC757" s="169"/>
    </row>
    <row r="758" spans="19:55" ht="15.75" customHeight="1">
      <c r="S758" s="454"/>
      <c r="AY758" s="458"/>
      <c r="AZ758" s="458"/>
      <c r="BA758" s="1305"/>
      <c r="BC758" s="169"/>
    </row>
    <row r="759" spans="19:55" ht="15.75" customHeight="1">
      <c r="S759" s="454"/>
      <c r="AY759" s="458"/>
      <c r="AZ759" s="458"/>
      <c r="BA759" s="1305"/>
      <c r="BC759" s="169"/>
    </row>
    <row r="760" spans="19:55" ht="15.75" customHeight="1">
      <c r="S760" s="454"/>
      <c r="AY760" s="458"/>
      <c r="AZ760" s="458"/>
      <c r="BA760" s="1305"/>
      <c r="BC760" s="169"/>
    </row>
    <row r="761" spans="19:55" ht="15.75" customHeight="1">
      <c r="S761" s="454"/>
      <c r="AY761" s="458"/>
      <c r="AZ761" s="458"/>
      <c r="BA761" s="1305"/>
      <c r="BC761" s="169"/>
    </row>
    <row r="762" spans="19:55" ht="15.75" customHeight="1">
      <c r="S762" s="454"/>
      <c r="AY762" s="458"/>
      <c r="AZ762" s="458"/>
      <c r="BA762" s="1305"/>
      <c r="BC762" s="169"/>
    </row>
    <row r="763" spans="19:55" ht="15.75" customHeight="1">
      <c r="S763" s="454"/>
      <c r="AY763" s="458"/>
      <c r="AZ763" s="458"/>
      <c r="BA763" s="1305"/>
      <c r="BC763" s="169"/>
    </row>
    <row r="764" spans="19:55" ht="15.75" customHeight="1">
      <c r="S764" s="454"/>
      <c r="AY764" s="458"/>
      <c r="AZ764" s="458"/>
      <c r="BA764" s="1305"/>
      <c r="BC764" s="169"/>
    </row>
    <row r="765" spans="19:55" ht="15.75" customHeight="1">
      <c r="S765" s="454"/>
      <c r="AY765" s="458"/>
      <c r="AZ765" s="458"/>
      <c r="BA765" s="1305"/>
      <c r="BC765" s="169"/>
    </row>
    <row r="766" spans="19:55" ht="15.75" customHeight="1">
      <c r="S766" s="454"/>
      <c r="AY766" s="458"/>
      <c r="AZ766" s="458"/>
      <c r="BA766" s="1305"/>
      <c r="BC766" s="169"/>
    </row>
    <row r="767" spans="19:55" ht="15.75" customHeight="1">
      <c r="S767" s="454"/>
      <c r="AY767" s="458"/>
      <c r="AZ767" s="458"/>
      <c r="BA767" s="1305"/>
      <c r="BC767" s="169"/>
    </row>
    <row r="768" spans="19:55" ht="15.75" customHeight="1">
      <c r="S768" s="454"/>
      <c r="AY768" s="458"/>
      <c r="AZ768" s="458"/>
      <c r="BA768" s="1305"/>
      <c r="BC768" s="169"/>
    </row>
    <row r="769" spans="19:55" ht="15.75" customHeight="1">
      <c r="S769" s="454"/>
      <c r="AY769" s="458"/>
      <c r="AZ769" s="458"/>
      <c r="BA769" s="1305"/>
      <c r="BC769" s="169"/>
    </row>
    <row r="770" spans="19:55" ht="15.75" customHeight="1">
      <c r="S770" s="454"/>
      <c r="AY770" s="458"/>
      <c r="AZ770" s="458"/>
      <c r="BA770" s="1305"/>
      <c r="BC770" s="169"/>
    </row>
    <row r="771" spans="19:55" ht="15.75" customHeight="1">
      <c r="S771" s="454"/>
      <c r="AY771" s="458"/>
      <c r="AZ771" s="458"/>
      <c r="BA771" s="1305"/>
      <c r="BC771" s="169"/>
    </row>
    <row r="772" spans="19:55" ht="15.75" customHeight="1">
      <c r="S772" s="454"/>
      <c r="AY772" s="458"/>
      <c r="AZ772" s="458"/>
      <c r="BA772" s="1305"/>
      <c r="BC772" s="169"/>
    </row>
    <row r="773" spans="19:55" ht="15.75" customHeight="1">
      <c r="S773" s="454"/>
      <c r="AY773" s="458"/>
      <c r="AZ773" s="458"/>
      <c r="BA773" s="1305"/>
      <c r="BC773" s="169"/>
    </row>
    <row r="774" spans="19:55" ht="15.75" customHeight="1">
      <c r="S774" s="454"/>
      <c r="AY774" s="458"/>
      <c r="AZ774" s="458"/>
      <c r="BA774" s="1305"/>
      <c r="BC774" s="169"/>
    </row>
    <row r="775" spans="19:55" ht="15.75" customHeight="1">
      <c r="S775" s="454"/>
      <c r="AY775" s="458"/>
      <c r="AZ775" s="458"/>
      <c r="BA775" s="1305"/>
      <c r="BC775" s="169"/>
    </row>
    <row r="776" spans="19:55" ht="15.75" customHeight="1">
      <c r="S776" s="454"/>
      <c r="AY776" s="458"/>
      <c r="AZ776" s="458"/>
      <c r="BA776" s="1305"/>
      <c r="BC776" s="169"/>
    </row>
    <row r="777" spans="19:55" ht="15.75" customHeight="1">
      <c r="S777" s="454"/>
      <c r="AY777" s="458"/>
      <c r="AZ777" s="458"/>
      <c r="BA777" s="1305"/>
      <c r="BC777" s="169"/>
    </row>
    <row r="778" spans="19:55" ht="15.75" customHeight="1">
      <c r="S778" s="454"/>
      <c r="AY778" s="458"/>
      <c r="AZ778" s="458"/>
      <c r="BA778" s="1305"/>
      <c r="BC778" s="169"/>
    </row>
    <row r="779" spans="19:55" ht="15.75" customHeight="1">
      <c r="S779" s="454"/>
      <c r="AY779" s="458"/>
      <c r="AZ779" s="458"/>
      <c r="BA779" s="1305"/>
      <c r="BC779" s="169"/>
    </row>
    <row r="780" spans="19:55" ht="15.75" customHeight="1">
      <c r="S780" s="454"/>
      <c r="AY780" s="458"/>
      <c r="AZ780" s="458"/>
      <c r="BA780" s="1305"/>
      <c r="BC780" s="169"/>
    </row>
    <row r="781" spans="19:55" ht="15.75" customHeight="1">
      <c r="S781" s="454"/>
      <c r="AY781" s="458"/>
      <c r="AZ781" s="458"/>
      <c r="BA781" s="1305"/>
      <c r="BC781" s="169"/>
    </row>
    <row r="782" spans="19:55" ht="15.75" customHeight="1">
      <c r="S782" s="454"/>
      <c r="AY782" s="458"/>
      <c r="AZ782" s="458"/>
      <c r="BA782" s="1305"/>
      <c r="BC782" s="169"/>
    </row>
    <row r="783" spans="19:55" ht="15.75" customHeight="1">
      <c r="S783" s="454"/>
      <c r="AY783" s="458"/>
      <c r="AZ783" s="458"/>
      <c r="BA783" s="1305"/>
      <c r="BC783" s="169"/>
    </row>
    <row r="784" spans="19:55" ht="15.75" customHeight="1">
      <c r="S784" s="454"/>
      <c r="AY784" s="458"/>
      <c r="AZ784" s="458"/>
      <c r="BA784" s="1305"/>
      <c r="BC784" s="169"/>
    </row>
    <row r="785" spans="19:55" ht="15.75" customHeight="1">
      <c r="S785" s="454"/>
      <c r="AY785" s="458"/>
      <c r="AZ785" s="458"/>
      <c r="BA785" s="1305"/>
      <c r="BC785" s="169"/>
    </row>
    <row r="786" spans="19:55" ht="15.75" customHeight="1">
      <c r="S786" s="454"/>
      <c r="AY786" s="458"/>
      <c r="AZ786" s="458"/>
      <c r="BA786" s="1305"/>
      <c r="BC786" s="169"/>
    </row>
    <row r="787" spans="19:55" ht="15.75" customHeight="1">
      <c r="S787" s="454"/>
      <c r="AY787" s="458"/>
      <c r="AZ787" s="458"/>
      <c r="BA787" s="1305"/>
      <c r="BC787" s="169"/>
    </row>
    <row r="788" spans="19:55" ht="15.75" customHeight="1">
      <c r="S788" s="454"/>
      <c r="AY788" s="458"/>
      <c r="AZ788" s="458"/>
      <c r="BA788" s="1305"/>
      <c r="BC788" s="169"/>
    </row>
    <row r="789" spans="19:55" ht="15.75" customHeight="1">
      <c r="S789" s="454"/>
      <c r="AY789" s="458"/>
      <c r="AZ789" s="458"/>
      <c r="BA789" s="1305"/>
      <c r="BC789" s="169"/>
    </row>
    <row r="790" spans="19:55" ht="15.75" customHeight="1">
      <c r="S790" s="454"/>
      <c r="AY790" s="458"/>
      <c r="AZ790" s="458"/>
      <c r="BA790" s="1305"/>
      <c r="BC790" s="169"/>
    </row>
    <row r="791" spans="19:55" ht="15.75" customHeight="1">
      <c r="S791" s="454"/>
      <c r="AY791" s="458"/>
      <c r="AZ791" s="458"/>
      <c r="BA791" s="1305"/>
      <c r="BC791" s="169"/>
    </row>
    <row r="792" spans="19:55" ht="15.75" customHeight="1">
      <c r="S792" s="454"/>
      <c r="AY792" s="458"/>
      <c r="AZ792" s="458"/>
      <c r="BA792" s="1305"/>
      <c r="BC792" s="169"/>
    </row>
    <row r="793" spans="19:55" ht="15.75" customHeight="1">
      <c r="S793" s="454"/>
      <c r="AY793" s="458"/>
      <c r="AZ793" s="458"/>
      <c r="BA793" s="1305"/>
      <c r="BC793" s="169"/>
    </row>
    <row r="794" spans="19:55" ht="15.75" customHeight="1">
      <c r="S794" s="454"/>
      <c r="AY794" s="458"/>
      <c r="AZ794" s="458"/>
      <c r="BA794" s="1305"/>
      <c r="BC794" s="169"/>
    </row>
    <row r="795" spans="19:55" ht="15.75" customHeight="1">
      <c r="S795" s="454"/>
      <c r="AY795" s="458"/>
      <c r="AZ795" s="458"/>
      <c r="BA795" s="1305"/>
      <c r="BC795" s="169"/>
    </row>
    <row r="796" spans="19:55" ht="15.75" customHeight="1">
      <c r="S796" s="454"/>
      <c r="AY796" s="458"/>
      <c r="AZ796" s="458"/>
      <c r="BA796" s="1305"/>
      <c r="BC796" s="169"/>
    </row>
    <row r="797" spans="19:55" ht="15.75" customHeight="1">
      <c r="S797" s="454"/>
      <c r="AY797" s="458"/>
      <c r="AZ797" s="458"/>
      <c r="BA797" s="1305"/>
      <c r="BC797" s="169"/>
    </row>
    <row r="798" spans="19:55" ht="15.75" customHeight="1">
      <c r="S798" s="454"/>
      <c r="AY798" s="458"/>
      <c r="AZ798" s="458"/>
      <c r="BA798" s="1305"/>
      <c r="BC798" s="169"/>
    </row>
    <row r="799" spans="19:55" ht="15.75" customHeight="1">
      <c r="S799" s="454"/>
      <c r="AY799" s="458"/>
      <c r="AZ799" s="458"/>
      <c r="BA799" s="1305"/>
      <c r="BC799" s="169"/>
    </row>
    <row r="800" spans="19:55" ht="15.75" customHeight="1">
      <c r="S800" s="454"/>
      <c r="AY800" s="458"/>
      <c r="AZ800" s="458"/>
      <c r="BA800" s="1305"/>
      <c r="BC800" s="169"/>
    </row>
    <row r="801" spans="19:55" ht="15.75" customHeight="1">
      <c r="S801" s="454"/>
      <c r="AY801" s="458"/>
      <c r="AZ801" s="458"/>
      <c r="BA801" s="1305"/>
      <c r="BC801" s="169"/>
    </row>
    <row r="802" spans="19:55" ht="15.75" customHeight="1">
      <c r="S802" s="454"/>
      <c r="AY802" s="458"/>
      <c r="AZ802" s="458"/>
      <c r="BA802" s="1305"/>
      <c r="BC802" s="169"/>
    </row>
    <row r="803" spans="19:55" ht="15.75" customHeight="1">
      <c r="S803" s="454"/>
      <c r="AY803" s="458"/>
      <c r="AZ803" s="458"/>
      <c r="BA803" s="1305"/>
      <c r="BC803" s="169"/>
    </row>
    <row r="804" spans="19:55" ht="15.75" customHeight="1">
      <c r="S804" s="454"/>
      <c r="AY804" s="458"/>
      <c r="AZ804" s="458"/>
      <c r="BA804" s="1305"/>
      <c r="BC804" s="169"/>
    </row>
    <row r="805" spans="19:55" ht="15.75" customHeight="1">
      <c r="S805" s="454"/>
      <c r="AY805" s="458"/>
      <c r="AZ805" s="458"/>
      <c r="BA805" s="1305"/>
      <c r="BC805" s="169"/>
    </row>
    <row r="806" spans="19:55" ht="15.75" customHeight="1">
      <c r="S806" s="454"/>
      <c r="AY806" s="458"/>
      <c r="AZ806" s="458"/>
      <c r="BA806" s="1305"/>
      <c r="BC806" s="169"/>
    </row>
    <row r="807" spans="19:55" ht="15.75" customHeight="1">
      <c r="S807" s="454"/>
      <c r="AY807" s="458"/>
      <c r="AZ807" s="458"/>
      <c r="BA807" s="1305"/>
      <c r="BC807" s="169"/>
    </row>
    <row r="808" spans="19:55" ht="15.75" customHeight="1">
      <c r="S808" s="454"/>
      <c r="AY808" s="458"/>
      <c r="AZ808" s="458"/>
      <c r="BA808" s="1305"/>
      <c r="BC808" s="169"/>
    </row>
    <row r="809" spans="19:55" ht="15.75" customHeight="1">
      <c r="S809" s="454"/>
      <c r="AY809" s="458"/>
      <c r="AZ809" s="458"/>
      <c r="BA809" s="1305"/>
      <c r="BC809" s="169"/>
    </row>
    <row r="810" spans="19:55" ht="15.75" customHeight="1">
      <c r="S810" s="454"/>
      <c r="AY810" s="458"/>
      <c r="AZ810" s="458"/>
      <c r="BA810" s="1305"/>
      <c r="BC810" s="169"/>
    </row>
    <row r="811" spans="19:55" ht="15.75" customHeight="1">
      <c r="S811" s="454"/>
      <c r="AY811" s="458"/>
      <c r="AZ811" s="458"/>
      <c r="BA811" s="1305"/>
      <c r="BC811" s="169"/>
    </row>
    <row r="812" spans="19:55" ht="15.75" customHeight="1">
      <c r="S812" s="454"/>
      <c r="AY812" s="458"/>
      <c r="AZ812" s="458"/>
      <c r="BA812" s="1305"/>
      <c r="BC812" s="169"/>
    </row>
    <row r="813" spans="19:55" ht="15.75" customHeight="1">
      <c r="S813" s="454"/>
      <c r="AY813" s="458"/>
      <c r="AZ813" s="458"/>
      <c r="BA813" s="1305"/>
      <c r="BC813" s="169"/>
    </row>
    <row r="814" spans="19:55" ht="15.75" customHeight="1">
      <c r="S814" s="454"/>
      <c r="AY814" s="458"/>
      <c r="AZ814" s="458"/>
      <c r="BA814" s="1305"/>
      <c r="BC814" s="169"/>
    </row>
    <row r="815" spans="19:55" ht="15.75" customHeight="1">
      <c r="S815" s="454"/>
      <c r="AY815" s="458"/>
      <c r="AZ815" s="458"/>
      <c r="BA815" s="1305"/>
      <c r="BC815" s="169"/>
    </row>
    <row r="816" spans="19:55" ht="15.75" customHeight="1">
      <c r="S816" s="454"/>
      <c r="AY816" s="458"/>
      <c r="AZ816" s="458"/>
      <c r="BA816" s="1305"/>
      <c r="BC816" s="169"/>
    </row>
    <row r="817" spans="19:55" ht="15.75" customHeight="1">
      <c r="S817" s="454"/>
      <c r="AY817" s="458"/>
      <c r="AZ817" s="458"/>
      <c r="BA817" s="1305"/>
      <c r="BC817" s="169"/>
    </row>
    <row r="818" spans="19:55" ht="15.75" customHeight="1">
      <c r="S818" s="454"/>
      <c r="AY818" s="458"/>
      <c r="AZ818" s="458"/>
      <c r="BA818" s="1305"/>
      <c r="BC818" s="169"/>
    </row>
    <row r="819" spans="19:55" ht="15.75" customHeight="1">
      <c r="S819" s="454"/>
      <c r="AY819" s="458"/>
      <c r="AZ819" s="458"/>
      <c r="BA819" s="1305"/>
      <c r="BC819" s="169"/>
    </row>
    <row r="820" spans="19:55" ht="15.75" customHeight="1">
      <c r="S820" s="454"/>
      <c r="AY820" s="458"/>
      <c r="AZ820" s="458"/>
      <c r="BA820" s="1305"/>
      <c r="BC820" s="169"/>
    </row>
    <row r="821" spans="19:55" ht="15.75" customHeight="1">
      <c r="S821" s="454"/>
      <c r="AY821" s="458"/>
      <c r="AZ821" s="458"/>
      <c r="BA821" s="1305"/>
      <c r="BC821" s="169"/>
    </row>
    <row r="822" spans="19:55" ht="15.75" customHeight="1">
      <c r="S822" s="454"/>
      <c r="AY822" s="458"/>
      <c r="AZ822" s="458"/>
      <c r="BA822" s="1305"/>
      <c r="BC822" s="169"/>
    </row>
    <row r="823" spans="19:55" ht="15.75" customHeight="1">
      <c r="S823" s="454"/>
      <c r="AY823" s="458"/>
      <c r="AZ823" s="458"/>
      <c r="BA823" s="1305"/>
      <c r="BC823" s="169"/>
    </row>
    <row r="824" spans="19:55" ht="15.75" customHeight="1">
      <c r="S824" s="454"/>
      <c r="AY824" s="458"/>
      <c r="AZ824" s="458"/>
      <c r="BA824" s="1305"/>
      <c r="BC824" s="169"/>
    </row>
    <row r="825" spans="19:55" ht="15.75" customHeight="1">
      <c r="S825" s="454"/>
      <c r="AY825" s="458"/>
      <c r="AZ825" s="458"/>
      <c r="BA825" s="1305"/>
      <c r="BC825" s="169"/>
    </row>
    <row r="826" spans="19:55" ht="15.75" customHeight="1">
      <c r="S826" s="454"/>
      <c r="AY826" s="458"/>
      <c r="AZ826" s="458"/>
      <c r="BA826" s="1305"/>
      <c r="BC826" s="169"/>
    </row>
    <row r="827" spans="19:55" ht="15.75" customHeight="1">
      <c r="S827" s="454"/>
      <c r="AY827" s="458"/>
      <c r="AZ827" s="458"/>
      <c r="BA827" s="1305"/>
      <c r="BC827" s="169"/>
    </row>
    <row r="828" spans="19:55" ht="15.75" customHeight="1">
      <c r="S828" s="454"/>
      <c r="AY828" s="458"/>
      <c r="AZ828" s="458"/>
      <c r="BA828" s="1305"/>
      <c r="BC828" s="169"/>
    </row>
    <row r="829" spans="19:55" ht="15.75" customHeight="1">
      <c r="S829" s="454"/>
      <c r="AY829" s="458"/>
      <c r="AZ829" s="458"/>
      <c r="BA829" s="1305"/>
      <c r="BC829" s="169"/>
    </row>
    <row r="830" spans="19:55" ht="15.75" customHeight="1">
      <c r="S830" s="454"/>
      <c r="AY830" s="458"/>
      <c r="AZ830" s="458"/>
      <c r="BA830" s="1305"/>
      <c r="BC830" s="169"/>
    </row>
    <row r="831" spans="19:55" ht="15.75" customHeight="1">
      <c r="S831" s="454"/>
      <c r="AY831" s="458"/>
      <c r="AZ831" s="458"/>
      <c r="BA831" s="1305"/>
      <c r="BC831" s="169"/>
    </row>
    <row r="832" spans="19:55" ht="15.75" customHeight="1">
      <c r="S832" s="454"/>
      <c r="AY832" s="458"/>
      <c r="AZ832" s="458"/>
      <c r="BA832" s="1305"/>
      <c r="BC832" s="169"/>
    </row>
    <row r="833" spans="19:55" ht="15.75" customHeight="1">
      <c r="S833" s="454"/>
      <c r="AY833" s="458"/>
      <c r="AZ833" s="458"/>
      <c r="BA833" s="1305"/>
      <c r="BC833" s="169"/>
    </row>
    <row r="834" spans="19:55" ht="15.75" customHeight="1">
      <c r="S834" s="454"/>
      <c r="AY834" s="458"/>
      <c r="AZ834" s="458"/>
      <c r="BA834" s="1305"/>
      <c r="BC834" s="169"/>
    </row>
    <row r="835" spans="19:55" ht="15.75" customHeight="1">
      <c r="S835" s="454"/>
      <c r="AY835" s="458"/>
      <c r="AZ835" s="458"/>
      <c r="BA835" s="1305"/>
      <c r="BC835" s="169"/>
    </row>
    <row r="836" spans="19:55" ht="15.75" customHeight="1">
      <c r="S836" s="454"/>
      <c r="AY836" s="458"/>
      <c r="AZ836" s="458"/>
      <c r="BA836" s="1305"/>
      <c r="BC836" s="169"/>
    </row>
    <row r="837" spans="19:55" ht="15.75" customHeight="1">
      <c r="S837" s="454"/>
      <c r="AY837" s="458"/>
      <c r="AZ837" s="458"/>
      <c r="BA837" s="1305"/>
      <c r="BC837" s="169"/>
    </row>
    <row r="838" spans="19:55" ht="15.75" customHeight="1">
      <c r="S838" s="454"/>
      <c r="AY838" s="458"/>
      <c r="AZ838" s="458"/>
      <c r="BA838" s="1305"/>
      <c r="BC838" s="169"/>
    </row>
    <row r="839" spans="19:55" ht="15.75" customHeight="1">
      <c r="S839" s="454"/>
      <c r="AY839" s="458"/>
      <c r="AZ839" s="458"/>
      <c r="BA839" s="1305"/>
      <c r="BC839" s="169"/>
    </row>
    <row r="840" spans="19:55" ht="15.75" customHeight="1">
      <c r="S840" s="454"/>
      <c r="AY840" s="458"/>
      <c r="AZ840" s="458"/>
      <c r="BA840" s="1305"/>
      <c r="BC840" s="169"/>
    </row>
    <row r="841" spans="19:55" ht="15.75" customHeight="1">
      <c r="S841" s="454"/>
      <c r="AY841" s="458"/>
      <c r="AZ841" s="458"/>
      <c r="BA841" s="1305"/>
      <c r="BC841" s="169"/>
    </row>
    <row r="842" spans="19:55" ht="15.75" customHeight="1">
      <c r="S842" s="454"/>
      <c r="AY842" s="458"/>
      <c r="AZ842" s="458"/>
      <c r="BA842" s="1305"/>
      <c r="BC842" s="169"/>
    </row>
    <row r="843" spans="19:55" ht="15.75" customHeight="1">
      <c r="S843" s="454"/>
      <c r="AY843" s="458"/>
      <c r="AZ843" s="458"/>
      <c r="BA843" s="1305"/>
      <c r="BC843" s="169"/>
    </row>
    <row r="844" spans="19:55" ht="15.75" customHeight="1">
      <c r="S844" s="454"/>
      <c r="AY844" s="458"/>
      <c r="AZ844" s="458"/>
      <c r="BA844" s="1305"/>
      <c r="BC844" s="169"/>
    </row>
    <row r="845" spans="19:55" ht="15.75" customHeight="1">
      <c r="S845" s="454"/>
      <c r="AY845" s="458"/>
      <c r="AZ845" s="458"/>
      <c r="BA845" s="1305"/>
      <c r="BC845" s="169"/>
    </row>
    <row r="846" spans="19:55" ht="15.75" customHeight="1">
      <c r="S846" s="454"/>
      <c r="AY846" s="458"/>
      <c r="AZ846" s="458"/>
      <c r="BA846" s="1305"/>
      <c r="BC846" s="169"/>
    </row>
    <row r="847" spans="19:55" ht="15.75" customHeight="1">
      <c r="S847" s="454"/>
      <c r="AY847" s="458"/>
      <c r="AZ847" s="458"/>
      <c r="BA847" s="1305"/>
      <c r="BC847" s="169"/>
    </row>
    <row r="848" spans="19:55" ht="15.75" customHeight="1">
      <c r="S848" s="454"/>
      <c r="AY848" s="458"/>
      <c r="AZ848" s="458"/>
      <c r="BA848" s="1305"/>
      <c r="BC848" s="169"/>
    </row>
    <row r="849" spans="19:55" ht="15.75" customHeight="1">
      <c r="S849" s="454"/>
      <c r="AY849" s="458"/>
      <c r="AZ849" s="458"/>
      <c r="BA849" s="1305"/>
      <c r="BC849" s="169"/>
    </row>
    <row r="850" spans="19:55" ht="15.75" customHeight="1">
      <c r="S850" s="454"/>
      <c r="AY850" s="458"/>
      <c r="AZ850" s="458"/>
      <c r="BA850" s="1305"/>
      <c r="BC850" s="169"/>
    </row>
    <row r="851" spans="19:55" ht="15.75" customHeight="1">
      <c r="S851" s="454"/>
      <c r="AY851" s="458"/>
      <c r="AZ851" s="458"/>
      <c r="BA851" s="1305"/>
      <c r="BC851" s="169"/>
    </row>
    <row r="852" spans="19:55" ht="15.75" customHeight="1">
      <c r="S852" s="454"/>
      <c r="AY852" s="458"/>
      <c r="AZ852" s="458"/>
      <c r="BA852" s="1305"/>
      <c r="BC852" s="169"/>
    </row>
    <row r="853" spans="19:55" ht="15.75" customHeight="1">
      <c r="S853" s="454"/>
      <c r="AY853" s="458"/>
      <c r="AZ853" s="458"/>
      <c r="BA853" s="1305"/>
      <c r="BC853" s="169"/>
    </row>
    <row r="854" spans="19:55" ht="15.75" customHeight="1">
      <c r="S854" s="454"/>
      <c r="AY854" s="458"/>
      <c r="AZ854" s="458"/>
      <c r="BA854" s="1305"/>
      <c r="BC854" s="169"/>
    </row>
    <row r="855" spans="19:55" ht="15.75" customHeight="1">
      <c r="S855" s="454"/>
      <c r="AY855" s="458"/>
      <c r="AZ855" s="458"/>
      <c r="BA855" s="1305"/>
      <c r="BC855" s="169"/>
    </row>
    <row r="856" spans="19:55" ht="15.75" customHeight="1">
      <c r="S856" s="454"/>
      <c r="AY856" s="458"/>
      <c r="AZ856" s="458"/>
      <c r="BA856" s="1305"/>
      <c r="BC856" s="169"/>
    </row>
    <row r="857" spans="19:55" ht="15.75" customHeight="1">
      <c r="S857" s="454"/>
      <c r="AY857" s="458"/>
      <c r="AZ857" s="458"/>
      <c r="BA857" s="1305"/>
      <c r="BC857" s="169"/>
    </row>
    <row r="858" spans="19:55" ht="15.75" customHeight="1">
      <c r="S858" s="454"/>
      <c r="AY858" s="458"/>
      <c r="AZ858" s="458"/>
      <c r="BA858" s="1305"/>
      <c r="BC858" s="169"/>
    </row>
    <row r="859" spans="19:55" ht="15.75" customHeight="1">
      <c r="S859" s="454"/>
      <c r="AY859" s="458"/>
      <c r="AZ859" s="458"/>
      <c r="BA859" s="1305"/>
      <c r="BC859" s="169"/>
    </row>
    <row r="860" spans="19:55" ht="15.75" customHeight="1">
      <c r="S860" s="454"/>
      <c r="AY860" s="458"/>
      <c r="AZ860" s="458"/>
      <c r="BA860" s="1305"/>
      <c r="BC860" s="169"/>
    </row>
    <row r="861" spans="19:55" ht="15.75" customHeight="1">
      <c r="S861" s="454"/>
      <c r="AY861" s="458"/>
      <c r="AZ861" s="458"/>
      <c r="BA861" s="1305"/>
      <c r="BC861" s="169"/>
    </row>
    <row r="862" spans="19:55" ht="15.75" customHeight="1">
      <c r="S862" s="454"/>
      <c r="AY862" s="458"/>
      <c r="AZ862" s="458"/>
      <c r="BA862" s="1305"/>
      <c r="BC862" s="169"/>
    </row>
    <row r="863" spans="19:55" ht="15.75" customHeight="1">
      <c r="S863" s="454"/>
      <c r="AY863" s="458"/>
      <c r="AZ863" s="458"/>
      <c r="BA863" s="1305"/>
      <c r="BC863" s="169"/>
    </row>
    <row r="864" spans="19:55" ht="15.75" customHeight="1">
      <c r="S864" s="454"/>
      <c r="AY864" s="458"/>
      <c r="AZ864" s="458"/>
      <c r="BA864" s="1305"/>
      <c r="BC864" s="169"/>
    </row>
    <row r="865" spans="19:55" ht="15.75" customHeight="1">
      <c r="S865" s="454"/>
      <c r="AY865" s="458"/>
      <c r="AZ865" s="458"/>
      <c r="BA865" s="1305"/>
      <c r="BC865" s="169"/>
    </row>
    <row r="866" spans="19:55" ht="15.75" customHeight="1">
      <c r="S866" s="454"/>
      <c r="AY866" s="458"/>
      <c r="AZ866" s="458"/>
      <c r="BA866" s="1305"/>
      <c r="BC866" s="169"/>
    </row>
    <row r="867" spans="19:55" ht="15.75" customHeight="1">
      <c r="S867" s="454"/>
      <c r="AY867" s="458"/>
      <c r="AZ867" s="458"/>
      <c r="BA867" s="1305"/>
      <c r="BC867" s="169"/>
    </row>
    <row r="868" spans="19:55" ht="15.75" customHeight="1">
      <c r="S868" s="454"/>
      <c r="AY868" s="458"/>
      <c r="AZ868" s="458"/>
      <c r="BA868" s="1305"/>
      <c r="BC868" s="169"/>
    </row>
    <row r="869" spans="19:55" ht="15.75" customHeight="1">
      <c r="S869" s="454"/>
      <c r="AY869" s="458"/>
      <c r="AZ869" s="458"/>
      <c r="BA869" s="1305"/>
      <c r="BC869" s="169"/>
    </row>
    <row r="870" spans="19:55" ht="15.75" customHeight="1">
      <c r="S870" s="454"/>
      <c r="AY870" s="458"/>
      <c r="AZ870" s="458"/>
      <c r="BA870" s="1305"/>
      <c r="BC870" s="169"/>
    </row>
    <row r="871" spans="19:55" ht="15.75" customHeight="1">
      <c r="S871" s="454"/>
      <c r="AY871" s="458"/>
      <c r="AZ871" s="458"/>
      <c r="BA871" s="1305"/>
      <c r="BC871" s="169"/>
    </row>
    <row r="872" spans="19:55" ht="15.75" customHeight="1">
      <c r="S872" s="454"/>
      <c r="AY872" s="458"/>
      <c r="AZ872" s="458"/>
      <c r="BA872" s="1305"/>
      <c r="BC872" s="169"/>
    </row>
    <row r="873" spans="19:55" ht="15.75" customHeight="1">
      <c r="S873" s="454"/>
      <c r="AY873" s="458"/>
      <c r="AZ873" s="458"/>
      <c r="BA873" s="1305"/>
      <c r="BC873" s="169"/>
    </row>
    <row r="874" spans="19:55" ht="15.75" customHeight="1">
      <c r="S874" s="454"/>
      <c r="AY874" s="458"/>
      <c r="AZ874" s="458"/>
      <c r="BA874" s="1305"/>
      <c r="BC874" s="169"/>
    </row>
    <row r="875" spans="19:55" ht="15.75" customHeight="1">
      <c r="S875" s="454"/>
      <c r="AY875" s="458"/>
      <c r="AZ875" s="458"/>
      <c r="BA875" s="1305"/>
      <c r="BC875" s="169"/>
    </row>
    <row r="876" spans="19:55" ht="15.75" customHeight="1">
      <c r="S876" s="454"/>
      <c r="AY876" s="458"/>
      <c r="AZ876" s="458"/>
      <c r="BA876" s="1305"/>
      <c r="BC876" s="169"/>
    </row>
    <row r="877" spans="19:55" ht="15.75" customHeight="1">
      <c r="S877" s="454"/>
      <c r="AY877" s="458"/>
      <c r="AZ877" s="458"/>
      <c r="BA877" s="1305"/>
      <c r="BC877" s="169"/>
    </row>
    <row r="878" spans="19:55" ht="15.75" customHeight="1">
      <c r="S878" s="454"/>
      <c r="AY878" s="458"/>
      <c r="AZ878" s="458"/>
      <c r="BA878" s="1305"/>
      <c r="BC878" s="169"/>
    </row>
    <row r="879" spans="19:55" ht="15.75" customHeight="1">
      <c r="S879" s="454"/>
      <c r="AY879" s="458"/>
      <c r="AZ879" s="458"/>
      <c r="BA879" s="1305"/>
      <c r="BC879" s="169"/>
    </row>
    <row r="880" spans="19:55" ht="15.75" customHeight="1">
      <c r="S880" s="454"/>
      <c r="AY880" s="458"/>
      <c r="AZ880" s="458"/>
      <c r="BA880" s="1305"/>
      <c r="BC880" s="169"/>
    </row>
    <row r="881" spans="19:55" ht="15.75" customHeight="1">
      <c r="S881" s="454"/>
      <c r="AY881" s="458"/>
      <c r="AZ881" s="458"/>
      <c r="BA881" s="1305"/>
      <c r="BC881" s="169"/>
    </row>
    <row r="882" spans="19:55" ht="15.75" customHeight="1">
      <c r="S882" s="454"/>
      <c r="AY882" s="458"/>
      <c r="AZ882" s="458"/>
      <c r="BA882" s="1305"/>
      <c r="BC882" s="169"/>
    </row>
    <row r="883" spans="19:55" ht="15.75" customHeight="1">
      <c r="S883" s="454"/>
      <c r="AY883" s="458"/>
      <c r="AZ883" s="458"/>
      <c r="BA883" s="1305"/>
      <c r="BC883" s="169"/>
    </row>
    <row r="884" spans="19:55" ht="15.75" customHeight="1">
      <c r="S884" s="454"/>
      <c r="AY884" s="458"/>
      <c r="AZ884" s="458"/>
      <c r="BA884" s="1305"/>
      <c r="BC884" s="169"/>
    </row>
    <row r="885" spans="19:55" ht="15.75" customHeight="1">
      <c r="S885" s="454"/>
      <c r="AY885" s="458"/>
      <c r="AZ885" s="458"/>
      <c r="BA885" s="1305"/>
      <c r="BC885" s="169"/>
    </row>
    <row r="886" spans="19:55" ht="15.75" customHeight="1">
      <c r="S886" s="454"/>
      <c r="AY886" s="458"/>
      <c r="AZ886" s="458"/>
      <c r="BA886" s="1305"/>
      <c r="BC886" s="169"/>
    </row>
    <row r="887" spans="19:55" ht="15.75" customHeight="1">
      <c r="S887" s="454"/>
      <c r="AY887" s="458"/>
      <c r="AZ887" s="458"/>
      <c r="BA887" s="1305"/>
      <c r="BC887" s="169"/>
    </row>
    <row r="888" spans="19:55" ht="15.75" customHeight="1">
      <c r="S888" s="454"/>
      <c r="AY888" s="458"/>
      <c r="AZ888" s="458"/>
      <c r="BA888" s="1305"/>
      <c r="BC888" s="169"/>
    </row>
    <row r="889" spans="19:55" ht="15.75" customHeight="1">
      <c r="S889" s="454"/>
      <c r="AY889" s="458"/>
      <c r="AZ889" s="458"/>
      <c r="BA889" s="1305"/>
      <c r="BC889" s="169"/>
    </row>
    <row r="890" spans="19:55" ht="15.75" customHeight="1">
      <c r="S890" s="454"/>
      <c r="AY890" s="458"/>
      <c r="AZ890" s="458"/>
      <c r="BA890" s="1305"/>
      <c r="BC890" s="169"/>
    </row>
    <row r="891" spans="19:55" ht="15.75" customHeight="1">
      <c r="S891" s="454"/>
      <c r="AY891" s="458"/>
      <c r="AZ891" s="458"/>
      <c r="BA891" s="1305"/>
      <c r="BC891" s="169"/>
    </row>
    <row r="892" spans="19:55" ht="15.75" customHeight="1">
      <c r="S892" s="454"/>
      <c r="AY892" s="458"/>
      <c r="AZ892" s="458"/>
      <c r="BA892" s="1305"/>
      <c r="BC892" s="169"/>
    </row>
    <row r="893" spans="19:55" ht="15.75" customHeight="1">
      <c r="S893" s="454"/>
      <c r="AY893" s="458"/>
      <c r="AZ893" s="458"/>
      <c r="BA893" s="1305"/>
      <c r="BC893" s="169"/>
    </row>
    <row r="894" spans="19:55" ht="15.75" customHeight="1">
      <c r="S894" s="454"/>
      <c r="AY894" s="458"/>
      <c r="AZ894" s="458"/>
      <c r="BA894" s="1305"/>
      <c r="BC894" s="169"/>
    </row>
    <row r="895" spans="19:55" ht="15.75" customHeight="1">
      <c r="S895" s="454"/>
      <c r="AY895" s="458"/>
      <c r="AZ895" s="458"/>
      <c r="BA895" s="1305"/>
      <c r="BC895" s="169"/>
    </row>
    <row r="896" spans="19:55" ht="15.75" customHeight="1">
      <c r="S896" s="454"/>
      <c r="AY896" s="458"/>
      <c r="AZ896" s="458"/>
      <c r="BA896" s="1305"/>
      <c r="BC896" s="169"/>
    </row>
    <row r="897" spans="19:55" ht="15.75" customHeight="1">
      <c r="S897" s="454"/>
      <c r="AY897" s="458"/>
      <c r="AZ897" s="458"/>
      <c r="BA897" s="1305"/>
      <c r="BC897" s="169"/>
    </row>
    <row r="898" spans="19:55" ht="15.75" customHeight="1">
      <c r="S898" s="454"/>
      <c r="AY898" s="458"/>
      <c r="AZ898" s="458"/>
      <c r="BA898" s="1305"/>
      <c r="BC898" s="169"/>
    </row>
    <row r="899" spans="19:55" ht="15.75" customHeight="1">
      <c r="S899" s="454"/>
      <c r="AY899" s="458"/>
      <c r="AZ899" s="458"/>
      <c r="BA899" s="1305"/>
      <c r="BC899" s="169"/>
    </row>
    <row r="900" spans="19:55" ht="15.75" customHeight="1">
      <c r="S900" s="454"/>
      <c r="AY900" s="458"/>
      <c r="AZ900" s="458"/>
      <c r="BA900" s="1305"/>
      <c r="BC900" s="169"/>
    </row>
    <row r="901" spans="19:55" ht="15.75" customHeight="1">
      <c r="S901" s="454"/>
      <c r="AY901" s="458"/>
      <c r="AZ901" s="458"/>
      <c r="BA901" s="1305"/>
      <c r="BC901" s="169"/>
    </row>
    <row r="902" spans="19:55" ht="15.75" customHeight="1">
      <c r="S902" s="454"/>
      <c r="AY902" s="458"/>
      <c r="AZ902" s="458"/>
      <c r="BA902" s="1305"/>
      <c r="BC902" s="169"/>
    </row>
    <row r="903" spans="19:55" ht="15.75" customHeight="1">
      <c r="S903" s="454"/>
      <c r="AY903" s="458"/>
      <c r="AZ903" s="458"/>
      <c r="BA903" s="1305"/>
      <c r="BC903" s="169"/>
    </row>
    <row r="904" spans="19:55" ht="15.75" customHeight="1">
      <c r="S904" s="454"/>
      <c r="AY904" s="458"/>
      <c r="AZ904" s="458"/>
      <c r="BA904" s="1305"/>
      <c r="BC904" s="169"/>
    </row>
    <row r="905" spans="19:55" ht="15.75" customHeight="1">
      <c r="S905" s="454"/>
      <c r="AY905" s="458"/>
      <c r="AZ905" s="458"/>
      <c r="BA905" s="1305"/>
      <c r="BC905" s="169"/>
    </row>
    <row r="906" spans="19:55" ht="15.75" customHeight="1">
      <c r="S906" s="454"/>
      <c r="AY906" s="458"/>
      <c r="AZ906" s="458"/>
      <c r="BA906" s="1305"/>
      <c r="BC906" s="169"/>
    </row>
    <row r="907" spans="19:55" ht="15.75" customHeight="1">
      <c r="S907" s="454"/>
      <c r="AY907" s="458"/>
      <c r="AZ907" s="458"/>
      <c r="BA907" s="1305"/>
      <c r="BC907" s="169"/>
    </row>
    <row r="908" spans="19:55" ht="15.75" customHeight="1">
      <c r="S908" s="454"/>
      <c r="AY908" s="458"/>
      <c r="AZ908" s="458"/>
      <c r="BA908" s="1305"/>
      <c r="BC908" s="169"/>
    </row>
    <row r="909" spans="19:55" ht="15.75" customHeight="1">
      <c r="S909" s="454"/>
      <c r="AY909" s="458"/>
      <c r="AZ909" s="458"/>
      <c r="BA909" s="1305"/>
      <c r="BC909" s="169"/>
    </row>
    <row r="910" spans="19:55" ht="15.75" customHeight="1">
      <c r="S910" s="454"/>
      <c r="AY910" s="458"/>
      <c r="AZ910" s="458"/>
      <c r="BA910" s="1305"/>
      <c r="BC910" s="169"/>
    </row>
    <row r="911" spans="19:55" ht="15.75" customHeight="1">
      <c r="S911" s="454"/>
      <c r="AY911" s="458"/>
      <c r="AZ911" s="458"/>
      <c r="BA911" s="1305"/>
      <c r="BC911" s="169"/>
    </row>
    <row r="912" spans="19:55" ht="15.75" customHeight="1">
      <c r="S912" s="454"/>
      <c r="AY912" s="458"/>
      <c r="AZ912" s="458"/>
      <c r="BA912" s="1305"/>
      <c r="BC912" s="169"/>
    </row>
    <row r="913" spans="19:55" ht="15.75" customHeight="1">
      <c r="S913" s="454"/>
      <c r="AY913" s="458"/>
      <c r="AZ913" s="458"/>
      <c r="BA913" s="1305"/>
      <c r="BC913" s="169"/>
    </row>
    <row r="914" spans="19:55" ht="15.75" customHeight="1">
      <c r="S914" s="454"/>
      <c r="AY914" s="458"/>
      <c r="AZ914" s="458"/>
      <c r="BA914" s="1305"/>
      <c r="BC914" s="169"/>
    </row>
    <row r="915" spans="19:55" ht="15.75" customHeight="1">
      <c r="S915" s="454"/>
      <c r="AY915" s="458"/>
      <c r="AZ915" s="458"/>
      <c r="BA915" s="1305"/>
      <c r="BC915" s="169"/>
    </row>
    <row r="916" spans="19:55" ht="15.75" customHeight="1">
      <c r="S916" s="454"/>
      <c r="AY916" s="458"/>
      <c r="AZ916" s="458"/>
      <c r="BA916" s="1305"/>
      <c r="BC916" s="169"/>
    </row>
    <row r="917" spans="19:55" ht="15.75" customHeight="1">
      <c r="S917" s="454"/>
      <c r="AY917" s="458"/>
      <c r="AZ917" s="458"/>
      <c r="BA917" s="1305"/>
      <c r="BC917" s="169"/>
    </row>
    <row r="918" spans="19:55" ht="15.75" customHeight="1">
      <c r="S918" s="454"/>
      <c r="AY918" s="458"/>
      <c r="AZ918" s="458"/>
      <c r="BA918" s="1305"/>
      <c r="BC918" s="169"/>
    </row>
    <row r="919" spans="19:55" ht="15.75" customHeight="1">
      <c r="S919" s="454"/>
      <c r="AY919" s="458"/>
      <c r="AZ919" s="458"/>
      <c r="BA919" s="1305"/>
      <c r="BC919" s="169"/>
    </row>
    <row r="920" spans="19:55" ht="15.75" customHeight="1">
      <c r="S920" s="454"/>
      <c r="AY920" s="458"/>
      <c r="AZ920" s="458"/>
      <c r="BA920" s="1305"/>
      <c r="BC920" s="169"/>
    </row>
    <row r="921" spans="19:55" ht="15.75" customHeight="1">
      <c r="S921" s="454"/>
      <c r="AY921" s="458"/>
      <c r="AZ921" s="458"/>
      <c r="BA921" s="1305"/>
      <c r="BC921" s="169"/>
    </row>
    <row r="922" spans="19:55" ht="15.75" customHeight="1">
      <c r="S922" s="454"/>
      <c r="AY922" s="458"/>
      <c r="AZ922" s="458"/>
      <c r="BA922" s="1305"/>
      <c r="BC922" s="169"/>
    </row>
    <row r="923" spans="19:55" ht="15.75" customHeight="1">
      <c r="S923" s="454"/>
      <c r="AY923" s="458"/>
      <c r="AZ923" s="458"/>
      <c r="BA923" s="1305"/>
      <c r="BC923" s="169"/>
    </row>
    <row r="924" spans="19:55" ht="15.75" customHeight="1">
      <c r="S924" s="454"/>
      <c r="AY924" s="458"/>
      <c r="AZ924" s="458"/>
      <c r="BA924" s="1305"/>
      <c r="BC924" s="169"/>
    </row>
    <row r="925" spans="19:55" ht="15.75" customHeight="1">
      <c r="S925" s="454"/>
      <c r="AY925" s="458"/>
      <c r="AZ925" s="458"/>
      <c r="BA925" s="1305"/>
      <c r="BC925" s="169"/>
    </row>
    <row r="926" spans="19:55" ht="15.75" customHeight="1">
      <c r="S926" s="454"/>
      <c r="AY926" s="458"/>
      <c r="AZ926" s="458"/>
      <c r="BA926" s="1305"/>
      <c r="BC926" s="169"/>
    </row>
    <row r="927" spans="19:55" ht="15.75" customHeight="1">
      <c r="S927" s="454"/>
      <c r="AY927" s="458"/>
      <c r="AZ927" s="458"/>
      <c r="BA927" s="1305"/>
      <c r="BC927" s="169"/>
    </row>
    <row r="928" spans="19:55" ht="15.75" customHeight="1">
      <c r="S928" s="454"/>
      <c r="AY928" s="458"/>
      <c r="AZ928" s="458"/>
      <c r="BA928" s="1305"/>
      <c r="BC928" s="169"/>
    </row>
    <row r="929" spans="19:55" ht="15.75" customHeight="1">
      <c r="S929" s="454"/>
      <c r="AY929" s="458"/>
      <c r="AZ929" s="458"/>
      <c r="BA929" s="1305"/>
      <c r="BC929" s="169"/>
    </row>
    <row r="930" spans="19:55" ht="15.75" customHeight="1">
      <c r="S930" s="454"/>
      <c r="AY930" s="458"/>
      <c r="AZ930" s="458"/>
      <c r="BA930" s="1305"/>
      <c r="BC930" s="169"/>
    </row>
    <row r="931" spans="19:55" ht="15.75" customHeight="1">
      <c r="S931" s="454"/>
      <c r="AY931" s="458"/>
      <c r="AZ931" s="458"/>
      <c r="BA931" s="1305"/>
      <c r="BC931" s="169"/>
    </row>
    <row r="932" spans="19:55" ht="15.75" customHeight="1">
      <c r="S932" s="454"/>
      <c r="AY932" s="458"/>
      <c r="AZ932" s="458"/>
      <c r="BA932" s="1305"/>
      <c r="BC932" s="169"/>
    </row>
    <row r="933" spans="19:55" ht="15.75" customHeight="1">
      <c r="S933" s="454"/>
      <c r="AY933" s="458"/>
      <c r="AZ933" s="458"/>
      <c r="BA933" s="1305"/>
      <c r="BC933" s="169"/>
    </row>
    <row r="934" spans="19:55" ht="15.75" customHeight="1">
      <c r="S934" s="454"/>
      <c r="AY934" s="458"/>
      <c r="AZ934" s="458"/>
      <c r="BA934" s="1305"/>
      <c r="BC934" s="169"/>
    </row>
    <row r="935" spans="19:55" ht="15.75" customHeight="1">
      <c r="S935" s="454"/>
      <c r="AY935" s="458"/>
      <c r="AZ935" s="458"/>
      <c r="BA935" s="1305"/>
      <c r="BC935" s="169"/>
    </row>
    <row r="936" spans="19:55" ht="15.75" customHeight="1">
      <c r="S936" s="454"/>
      <c r="AY936" s="458"/>
      <c r="AZ936" s="458"/>
      <c r="BA936" s="1305"/>
      <c r="BC936" s="169"/>
    </row>
    <row r="937" spans="19:55" ht="15.75" customHeight="1">
      <c r="S937" s="454"/>
      <c r="AY937" s="458"/>
      <c r="AZ937" s="458"/>
      <c r="BA937" s="1305"/>
      <c r="BC937" s="169"/>
    </row>
    <row r="938" spans="19:55" ht="15.75" customHeight="1">
      <c r="S938" s="454"/>
      <c r="AY938" s="458"/>
      <c r="AZ938" s="458"/>
      <c r="BA938" s="1305"/>
      <c r="BC938" s="169"/>
    </row>
    <row r="939" spans="19:55" ht="15.75" customHeight="1">
      <c r="S939" s="454"/>
      <c r="AY939" s="458"/>
      <c r="AZ939" s="458"/>
      <c r="BA939" s="1305"/>
      <c r="BC939" s="169"/>
    </row>
    <row r="940" spans="19:55" ht="15.75" customHeight="1">
      <c r="S940" s="454"/>
      <c r="AY940" s="458"/>
      <c r="AZ940" s="458"/>
      <c r="BA940" s="1305"/>
      <c r="BC940" s="169"/>
    </row>
    <row r="941" spans="19:55" ht="15.75" customHeight="1">
      <c r="S941" s="454"/>
      <c r="AY941" s="458"/>
      <c r="AZ941" s="458"/>
      <c r="BA941" s="1305"/>
      <c r="BC941" s="169"/>
    </row>
    <row r="942" spans="19:55" ht="15.75" customHeight="1">
      <c r="S942" s="454"/>
      <c r="AY942" s="458"/>
      <c r="AZ942" s="458"/>
      <c r="BA942" s="1305"/>
      <c r="BC942" s="169"/>
    </row>
    <row r="943" spans="19:55" ht="15.75" customHeight="1">
      <c r="S943" s="454"/>
      <c r="AY943" s="458"/>
      <c r="AZ943" s="458"/>
      <c r="BA943" s="1305"/>
      <c r="BC943" s="169"/>
    </row>
    <row r="944" spans="19:55" ht="15.75" customHeight="1">
      <c r="S944" s="454"/>
      <c r="AY944" s="458"/>
      <c r="AZ944" s="458"/>
      <c r="BA944" s="1305"/>
      <c r="BC944" s="169"/>
    </row>
    <row r="945" spans="19:55" ht="15.75" customHeight="1">
      <c r="S945" s="454"/>
      <c r="AY945" s="458"/>
      <c r="AZ945" s="458"/>
      <c r="BA945" s="1305"/>
      <c r="BC945" s="169"/>
    </row>
    <row r="946" spans="19:55" ht="15.75" customHeight="1">
      <c r="S946" s="454"/>
      <c r="AY946" s="458"/>
      <c r="AZ946" s="458"/>
      <c r="BA946" s="1305"/>
      <c r="BC946" s="169"/>
    </row>
    <row r="947" spans="19:55" ht="15.75" customHeight="1">
      <c r="S947" s="454"/>
      <c r="AY947" s="458"/>
      <c r="AZ947" s="458"/>
      <c r="BA947" s="1305"/>
      <c r="BC947" s="169"/>
    </row>
    <row r="948" spans="19:55" ht="15.75" customHeight="1">
      <c r="S948" s="454"/>
      <c r="AY948" s="458"/>
      <c r="AZ948" s="458"/>
      <c r="BA948" s="1305"/>
      <c r="BC948" s="169"/>
    </row>
    <row r="949" spans="19:55" ht="15.75" customHeight="1">
      <c r="S949" s="454"/>
      <c r="AY949" s="458"/>
      <c r="AZ949" s="458"/>
      <c r="BA949" s="1305"/>
      <c r="BC949" s="169"/>
    </row>
    <row r="950" spans="19:55" ht="15.75" customHeight="1">
      <c r="S950" s="454"/>
      <c r="AY950" s="458"/>
      <c r="AZ950" s="458"/>
      <c r="BA950" s="1305"/>
      <c r="BC950" s="169"/>
    </row>
    <row r="951" spans="19:55" ht="15.75" customHeight="1">
      <c r="S951" s="454"/>
      <c r="AY951" s="458"/>
      <c r="AZ951" s="458"/>
      <c r="BA951" s="1305"/>
      <c r="BC951" s="169"/>
    </row>
    <row r="952" spans="19:55" ht="15.75" customHeight="1">
      <c r="S952" s="454"/>
      <c r="AY952" s="458"/>
      <c r="AZ952" s="458"/>
      <c r="BA952" s="1305"/>
      <c r="BC952" s="169"/>
    </row>
    <row r="953" spans="19:55" ht="15.75" customHeight="1">
      <c r="S953" s="454"/>
      <c r="AY953" s="458"/>
      <c r="AZ953" s="458"/>
      <c r="BA953" s="1305"/>
      <c r="BC953" s="169"/>
    </row>
    <row r="954" spans="19:55" ht="15.75" customHeight="1">
      <c r="S954" s="454"/>
      <c r="AY954" s="458"/>
      <c r="AZ954" s="458"/>
      <c r="BA954" s="1305"/>
      <c r="BC954" s="169"/>
    </row>
    <row r="955" spans="19:55" ht="15.75" customHeight="1">
      <c r="S955" s="454"/>
      <c r="AY955" s="458"/>
      <c r="AZ955" s="458"/>
      <c r="BA955" s="1305"/>
      <c r="BC955" s="169"/>
    </row>
    <row r="956" spans="19:55" ht="15.75" customHeight="1">
      <c r="S956" s="454"/>
      <c r="AY956" s="458"/>
      <c r="AZ956" s="458"/>
      <c r="BA956" s="1305"/>
      <c r="BC956" s="169"/>
    </row>
    <row r="957" spans="19:55" ht="15.75" customHeight="1">
      <c r="S957" s="454"/>
      <c r="AY957" s="458"/>
      <c r="AZ957" s="458"/>
      <c r="BA957" s="1305"/>
      <c r="BC957" s="169"/>
    </row>
    <row r="958" spans="19:55" ht="15.75" customHeight="1">
      <c r="S958" s="454"/>
      <c r="AY958" s="458"/>
      <c r="AZ958" s="458"/>
      <c r="BA958" s="1305"/>
      <c r="BC958" s="169"/>
    </row>
    <row r="959" spans="19:55" ht="15.75" customHeight="1">
      <c r="S959" s="454"/>
      <c r="AY959" s="458"/>
      <c r="AZ959" s="458"/>
      <c r="BA959" s="1305"/>
      <c r="BC959" s="169"/>
    </row>
    <row r="960" spans="19:55" ht="15.75" customHeight="1">
      <c r="S960" s="454"/>
      <c r="AY960" s="458"/>
      <c r="AZ960" s="458"/>
      <c r="BA960" s="1305"/>
      <c r="BC960" s="169"/>
    </row>
    <row r="961" spans="19:55" ht="15.75" customHeight="1">
      <c r="S961" s="454"/>
      <c r="AY961" s="458"/>
      <c r="AZ961" s="458"/>
      <c r="BA961" s="1305"/>
      <c r="BC961" s="169"/>
    </row>
    <row r="962" spans="19:55" ht="15.75" customHeight="1">
      <c r="S962" s="454"/>
      <c r="AY962" s="458"/>
      <c r="AZ962" s="458"/>
      <c r="BA962" s="1305"/>
      <c r="BC962" s="169"/>
    </row>
    <row r="963" spans="19:55" ht="15.75" customHeight="1">
      <c r="S963" s="454"/>
      <c r="AY963" s="458"/>
      <c r="AZ963" s="458"/>
      <c r="BA963" s="1305"/>
      <c r="BC963" s="169"/>
    </row>
    <row r="964" spans="19:55" ht="15.75" customHeight="1">
      <c r="S964" s="454"/>
      <c r="AY964" s="458"/>
      <c r="AZ964" s="458"/>
      <c r="BA964" s="1305"/>
      <c r="BC964" s="169"/>
    </row>
    <row r="965" spans="19:55" ht="15.75" customHeight="1">
      <c r="S965" s="454"/>
      <c r="AY965" s="458"/>
      <c r="AZ965" s="458"/>
      <c r="BA965" s="1305"/>
      <c r="BC965" s="169"/>
    </row>
    <row r="966" spans="19:55" ht="15.75" customHeight="1">
      <c r="S966" s="454"/>
      <c r="AY966" s="458"/>
      <c r="AZ966" s="458"/>
      <c r="BA966" s="1305"/>
      <c r="BC966" s="169"/>
    </row>
    <row r="967" spans="19:55" ht="15.75" customHeight="1">
      <c r="S967" s="454"/>
      <c r="AY967" s="458"/>
      <c r="AZ967" s="458"/>
      <c r="BA967" s="1305"/>
      <c r="BC967" s="169"/>
    </row>
    <row r="968" spans="19:55" ht="15.75" customHeight="1">
      <c r="S968" s="454"/>
      <c r="AY968" s="458"/>
      <c r="AZ968" s="458"/>
      <c r="BA968" s="1305"/>
      <c r="BC968" s="169"/>
    </row>
    <row r="969" spans="19:55" ht="15.75" customHeight="1">
      <c r="S969" s="454"/>
      <c r="AY969" s="458"/>
      <c r="AZ969" s="458"/>
      <c r="BA969" s="1305"/>
      <c r="BC969" s="169"/>
    </row>
    <row r="970" spans="19:55" ht="15.75" customHeight="1">
      <c r="S970" s="454"/>
      <c r="AY970" s="458"/>
      <c r="AZ970" s="458"/>
      <c r="BA970" s="1305"/>
      <c r="BC970" s="169"/>
    </row>
    <row r="971" spans="19:55" ht="15.75" customHeight="1">
      <c r="S971" s="454"/>
      <c r="AY971" s="458"/>
      <c r="AZ971" s="458"/>
      <c r="BA971" s="1305"/>
      <c r="BC971" s="169"/>
    </row>
    <row r="972" spans="19:55" ht="15.75" customHeight="1">
      <c r="S972" s="454"/>
      <c r="AY972" s="458"/>
      <c r="AZ972" s="458"/>
      <c r="BA972" s="1305"/>
      <c r="BC972" s="169"/>
    </row>
    <row r="973" spans="19:55" ht="15.75" customHeight="1">
      <c r="S973" s="454"/>
      <c r="AY973" s="458"/>
      <c r="AZ973" s="458"/>
      <c r="BA973" s="1305"/>
      <c r="BC973" s="169"/>
    </row>
    <row r="974" spans="19:55" ht="15.75" customHeight="1">
      <c r="S974" s="454"/>
      <c r="AY974" s="458"/>
      <c r="AZ974" s="458"/>
      <c r="BA974" s="1305"/>
      <c r="BC974" s="169"/>
    </row>
    <row r="975" spans="19:55" ht="15.75" customHeight="1">
      <c r="S975" s="454"/>
      <c r="AY975" s="458"/>
      <c r="AZ975" s="458"/>
      <c r="BA975" s="1305"/>
      <c r="BC975" s="169"/>
    </row>
    <row r="976" spans="19:55" ht="15.75" customHeight="1">
      <c r="S976" s="454"/>
      <c r="AY976" s="458"/>
      <c r="AZ976" s="458"/>
      <c r="BA976" s="1305"/>
      <c r="BC976" s="169"/>
    </row>
    <row r="977" spans="19:55" ht="15.75" customHeight="1">
      <c r="S977" s="454"/>
      <c r="AY977" s="458"/>
      <c r="AZ977" s="458"/>
      <c r="BA977" s="1305"/>
      <c r="BC977" s="169"/>
    </row>
    <row r="978" spans="19:55" ht="15.75" customHeight="1">
      <c r="S978" s="454"/>
      <c r="AY978" s="458"/>
      <c r="AZ978" s="458"/>
      <c r="BA978" s="1305"/>
      <c r="BC978" s="169"/>
    </row>
    <row r="979" spans="19:55" ht="15.75" customHeight="1">
      <c r="S979" s="454"/>
      <c r="AY979" s="458"/>
      <c r="AZ979" s="458"/>
      <c r="BA979" s="1305"/>
      <c r="BC979" s="169"/>
    </row>
    <row r="980" spans="19:55" ht="15.75" customHeight="1">
      <c r="S980" s="454"/>
      <c r="AY980" s="458"/>
      <c r="AZ980" s="458"/>
      <c r="BA980" s="1305"/>
      <c r="BC980" s="169"/>
    </row>
    <row r="981" spans="19:55" ht="15.75" customHeight="1">
      <c r="S981" s="454"/>
      <c r="AY981" s="458"/>
      <c r="AZ981" s="458"/>
      <c r="BA981" s="1305"/>
      <c r="BC981" s="169"/>
    </row>
    <row r="982" spans="19:55" ht="15.75" customHeight="1">
      <c r="S982" s="454"/>
      <c r="AY982" s="458"/>
      <c r="AZ982" s="458"/>
      <c r="BA982" s="1305"/>
      <c r="BC982" s="169"/>
    </row>
    <row r="983" spans="19:55" ht="15.75" customHeight="1">
      <c r="S983" s="454"/>
      <c r="AY983" s="458"/>
      <c r="AZ983" s="458"/>
      <c r="BA983" s="1305"/>
      <c r="BC983" s="169"/>
    </row>
    <row r="984" spans="19:55" ht="15.75" customHeight="1">
      <c r="S984" s="454"/>
      <c r="AY984" s="458"/>
      <c r="AZ984" s="458"/>
      <c r="BA984" s="1305"/>
      <c r="BC984" s="169"/>
    </row>
    <row r="985" spans="19:55" ht="15.75" customHeight="1">
      <c r="S985" s="454"/>
      <c r="AY985" s="458"/>
      <c r="AZ985" s="458"/>
      <c r="BA985" s="1305"/>
      <c r="BC985" s="169"/>
    </row>
    <row r="986" spans="19:55" ht="15.75" customHeight="1">
      <c r="S986" s="454"/>
      <c r="AY986" s="458"/>
      <c r="AZ986" s="458"/>
      <c r="BA986" s="1305"/>
      <c r="BC986" s="169"/>
    </row>
    <row r="987" spans="19:55" ht="15.75" customHeight="1">
      <c r="S987" s="454"/>
      <c r="AY987" s="458"/>
      <c r="AZ987" s="458"/>
      <c r="BA987" s="1305"/>
      <c r="BC987" s="169"/>
    </row>
    <row r="988" spans="19:55" ht="15.75" customHeight="1">
      <c r="S988" s="454"/>
      <c r="AY988" s="458"/>
      <c r="AZ988" s="458"/>
      <c r="BA988" s="1305"/>
      <c r="BC988" s="169"/>
    </row>
    <row r="989" spans="19:55" ht="15.75" customHeight="1">
      <c r="S989" s="454"/>
      <c r="AY989" s="458"/>
      <c r="AZ989" s="458"/>
      <c r="BA989" s="1305"/>
      <c r="BC989" s="169"/>
    </row>
    <row r="990" spans="19:55" ht="15.75" customHeight="1">
      <c r="S990" s="454"/>
      <c r="AY990" s="458"/>
      <c r="AZ990" s="458"/>
      <c r="BA990" s="1305"/>
      <c r="BC990" s="169"/>
    </row>
    <row r="991" spans="19:55" ht="15.75" customHeight="1">
      <c r="S991" s="454"/>
      <c r="AY991" s="458"/>
      <c r="AZ991" s="458"/>
      <c r="BA991" s="1305"/>
      <c r="BC991" s="169"/>
    </row>
    <row r="992" spans="19:55" ht="15.75" customHeight="1">
      <c r="S992" s="454"/>
      <c r="AY992" s="458"/>
      <c r="AZ992" s="458"/>
      <c r="BA992" s="1305"/>
      <c r="BC992" s="169"/>
    </row>
    <row r="993" spans="19:55" ht="15.75" customHeight="1">
      <c r="S993" s="454"/>
      <c r="AY993" s="458"/>
      <c r="AZ993" s="458"/>
      <c r="BA993" s="1305"/>
      <c r="BC993" s="169"/>
    </row>
    <row r="994" spans="19:55" ht="15.75" customHeight="1">
      <c r="S994" s="454"/>
      <c r="AY994" s="458"/>
      <c r="AZ994" s="458"/>
      <c r="BA994" s="1305"/>
      <c r="BC994" s="169"/>
    </row>
    <row r="995" spans="19:55" ht="15.75" customHeight="1">
      <c r="S995" s="454"/>
      <c r="AY995" s="458"/>
      <c r="AZ995" s="458"/>
      <c r="BA995" s="1305"/>
      <c r="BC995" s="169"/>
    </row>
    <row r="996" spans="19:55" ht="15.75" customHeight="1">
      <c r="S996" s="454"/>
      <c r="AY996" s="458"/>
      <c r="AZ996" s="458"/>
      <c r="BA996" s="1305"/>
      <c r="BC996" s="169"/>
    </row>
    <row r="997" spans="19:55" ht="15.75" customHeight="1">
      <c r="S997" s="454"/>
      <c r="AY997" s="458"/>
      <c r="AZ997" s="458"/>
      <c r="BA997" s="1305"/>
      <c r="BC997" s="169"/>
    </row>
    <row r="998" spans="19:55" ht="15.75" customHeight="1">
      <c r="S998" s="454"/>
      <c r="AY998" s="458"/>
      <c r="AZ998" s="458"/>
      <c r="BA998" s="1305"/>
      <c r="BC998" s="169"/>
    </row>
    <row r="999" spans="19:55" ht="15.75" customHeight="1">
      <c r="S999" s="454"/>
      <c r="AY999" s="458"/>
      <c r="AZ999" s="458"/>
      <c r="BA999" s="1305"/>
      <c r="BC999" s="169"/>
    </row>
    <row r="1000" spans="19:55" ht="15.75" customHeight="1">
      <c r="S1000" s="454"/>
      <c r="AY1000" s="458"/>
      <c r="AZ1000" s="458"/>
      <c r="BA1000" s="1305"/>
      <c r="BC1000" s="169"/>
    </row>
    <row r="1001" spans="19:55" ht="15.75" customHeight="1">
      <c r="S1001" s="454"/>
      <c r="AY1001" s="458"/>
      <c r="AZ1001" s="458"/>
      <c r="BA1001" s="1305"/>
      <c r="BC1001" s="169"/>
    </row>
    <row r="1002" spans="19:55" ht="15.75" customHeight="1">
      <c r="S1002" s="454"/>
      <c r="AY1002" s="458"/>
      <c r="AZ1002" s="458"/>
      <c r="BA1002" s="1305"/>
      <c r="BC1002" s="169"/>
    </row>
    <row r="1003" spans="19:55" ht="15.75" customHeight="1">
      <c r="S1003" s="454"/>
      <c r="AY1003" s="458"/>
      <c r="AZ1003" s="458"/>
      <c r="BA1003" s="1305"/>
      <c r="BC1003" s="169"/>
    </row>
    <row r="1004" spans="19:55" ht="15.75" customHeight="1">
      <c r="S1004" s="454"/>
      <c r="AY1004" s="458"/>
      <c r="AZ1004" s="458"/>
      <c r="BA1004" s="1305"/>
      <c r="BC1004" s="169"/>
    </row>
    <row r="1005" spans="19:55" ht="15.75" customHeight="1">
      <c r="S1005" s="454"/>
      <c r="AY1005" s="458"/>
      <c r="AZ1005" s="458"/>
      <c r="BA1005" s="1305"/>
      <c r="BC1005" s="169"/>
    </row>
    <row r="1006" spans="19:55" ht="15.75" customHeight="1">
      <c r="S1006" s="454"/>
      <c r="AY1006" s="458"/>
      <c r="AZ1006" s="458"/>
      <c r="BA1006" s="1305"/>
      <c r="BC1006" s="169"/>
    </row>
    <row r="1007" spans="19:55" ht="15.75" customHeight="1">
      <c r="S1007" s="454"/>
      <c r="AY1007" s="458"/>
      <c r="AZ1007" s="458"/>
      <c r="BA1007" s="1305"/>
      <c r="BC1007" s="169"/>
    </row>
    <row r="1008" spans="19:55" ht="15.75" customHeight="1">
      <c r="S1008" s="454"/>
      <c r="AY1008" s="458"/>
      <c r="AZ1008" s="458"/>
      <c r="BA1008" s="1305"/>
      <c r="BC1008" s="169"/>
    </row>
    <row r="1009" spans="19:55" ht="15.75" customHeight="1">
      <c r="S1009" s="454"/>
      <c r="AY1009" s="458"/>
      <c r="AZ1009" s="458"/>
      <c r="BA1009" s="1305"/>
      <c r="BC1009" s="169"/>
    </row>
    <row r="1010" spans="19:55" ht="15.75" customHeight="1">
      <c r="S1010" s="454"/>
      <c r="AY1010" s="458"/>
      <c r="AZ1010" s="458"/>
      <c r="BA1010" s="1305"/>
      <c r="BC1010" s="169"/>
    </row>
    <row r="1011" spans="19:55" ht="15.75" customHeight="1">
      <c r="S1011" s="454"/>
      <c r="AY1011" s="458"/>
      <c r="AZ1011" s="458"/>
      <c r="BA1011" s="1305"/>
      <c r="BC1011" s="169"/>
    </row>
    <row r="1012" spans="19:55" ht="15.75" customHeight="1">
      <c r="S1012" s="454"/>
      <c r="AY1012" s="458"/>
      <c r="AZ1012" s="458"/>
      <c r="BA1012" s="1305"/>
      <c r="BC1012" s="169"/>
    </row>
    <row r="1013" spans="19:55" ht="15.75" customHeight="1">
      <c r="S1013" s="454"/>
      <c r="AY1013" s="458"/>
      <c r="AZ1013" s="458"/>
      <c r="BA1013" s="1305"/>
      <c r="BC1013" s="169"/>
    </row>
    <row r="1014" spans="19:55" ht="15.75" customHeight="1">
      <c r="S1014" s="454"/>
      <c r="AY1014" s="458"/>
      <c r="AZ1014" s="458"/>
      <c r="BA1014" s="1305"/>
      <c r="BC1014" s="169"/>
    </row>
    <row r="1015" spans="19:55" ht="15.75" customHeight="1">
      <c r="S1015" s="454"/>
      <c r="AY1015" s="458"/>
      <c r="AZ1015" s="458"/>
      <c r="BA1015" s="1305"/>
      <c r="BC1015" s="169"/>
    </row>
    <row r="1016" spans="19:55" ht="15.75" customHeight="1">
      <c r="S1016" s="454"/>
      <c r="AY1016" s="458"/>
      <c r="AZ1016" s="458"/>
      <c r="BA1016" s="1305"/>
      <c r="BC1016" s="169"/>
    </row>
    <row r="1017" spans="19:55" ht="15.75" customHeight="1">
      <c r="S1017" s="454"/>
      <c r="AY1017" s="458"/>
      <c r="AZ1017" s="458"/>
      <c r="BA1017" s="1305"/>
      <c r="BC1017" s="169"/>
    </row>
    <row r="1018" spans="19:55" ht="15.75" customHeight="1">
      <c r="S1018" s="454"/>
      <c r="AY1018" s="458"/>
      <c r="AZ1018" s="458"/>
      <c r="BA1018" s="1305"/>
      <c r="BC1018" s="169"/>
    </row>
    <row r="1019" spans="19:55" ht="15.75" customHeight="1">
      <c r="S1019" s="454"/>
      <c r="AY1019" s="458"/>
      <c r="AZ1019" s="458"/>
      <c r="BA1019" s="1305"/>
      <c r="BC1019" s="169"/>
    </row>
    <row r="1020" spans="19:55" ht="15.75" customHeight="1">
      <c r="S1020" s="454"/>
      <c r="AY1020" s="458"/>
      <c r="AZ1020" s="458"/>
      <c r="BA1020" s="1305"/>
      <c r="BC1020" s="169"/>
    </row>
    <row r="1021" spans="19:55" ht="15.75" customHeight="1">
      <c r="S1021" s="454"/>
      <c r="AY1021" s="458"/>
      <c r="AZ1021" s="458"/>
      <c r="BA1021" s="1305"/>
      <c r="BC1021" s="169"/>
    </row>
    <row r="1022" spans="19:55" ht="15.75" customHeight="1">
      <c r="S1022" s="454"/>
      <c r="AY1022" s="458"/>
      <c r="AZ1022" s="458"/>
      <c r="BA1022" s="1305"/>
      <c r="BC1022" s="169"/>
    </row>
    <row r="1023" spans="19:55" ht="15.75" customHeight="1">
      <c r="S1023" s="454"/>
      <c r="AY1023" s="458"/>
      <c r="AZ1023" s="458"/>
      <c r="BA1023" s="1305"/>
      <c r="BC1023" s="169"/>
    </row>
    <row r="1024" spans="19:55" ht="15.75" customHeight="1">
      <c r="S1024" s="454"/>
      <c r="AY1024" s="458"/>
      <c r="AZ1024" s="458"/>
      <c r="BA1024" s="1305"/>
      <c r="BC1024" s="169"/>
    </row>
    <row r="1025" spans="19:55" ht="15.75" customHeight="1">
      <c r="S1025" s="454"/>
      <c r="AY1025" s="458"/>
      <c r="AZ1025" s="458"/>
      <c r="BA1025" s="1305"/>
      <c r="BC1025" s="169"/>
    </row>
    <row r="1026" spans="19:55" ht="15.75" customHeight="1">
      <c r="S1026" s="454"/>
      <c r="AY1026" s="458"/>
      <c r="AZ1026" s="458"/>
      <c r="BA1026" s="1305"/>
      <c r="BC1026" s="169"/>
    </row>
    <row r="1027" spans="19:55" ht="15.75" customHeight="1">
      <c r="S1027" s="454"/>
      <c r="AY1027" s="458"/>
      <c r="AZ1027" s="458"/>
      <c r="BA1027" s="1305"/>
      <c r="BC1027" s="169"/>
    </row>
    <row r="1028" spans="19:55" ht="15.75" customHeight="1">
      <c r="S1028" s="454"/>
      <c r="AY1028" s="458"/>
      <c r="AZ1028" s="458"/>
      <c r="BA1028" s="1305"/>
      <c r="BC1028" s="169"/>
    </row>
    <row r="1029" spans="19:55" ht="15.75" customHeight="1">
      <c r="S1029" s="454"/>
      <c r="AY1029" s="458"/>
      <c r="AZ1029" s="458"/>
      <c r="BA1029" s="1305"/>
      <c r="BC1029" s="169"/>
    </row>
    <row r="1030" spans="19:55" ht="15.75" customHeight="1">
      <c r="S1030" s="454"/>
      <c r="AY1030" s="458"/>
      <c r="AZ1030" s="458"/>
      <c r="BA1030" s="1305"/>
      <c r="BC1030" s="169"/>
    </row>
    <row r="1031" spans="19:55" ht="15.75" customHeight="1">
      <c r="S1031" s="454"/>
      <c r="AY1031" s="458"/>
      <c r="AZ1031" s="458"/>
      <c r="BA1031" s="1305"/>
      <c r="BC1031" s="169"/>
    </row>
    <row r="1032" spans="19:55" ht="15.75" customHeight="1">
      <c r="S1032" s="454"/>
      <c r="AY1032" s="458"/>
      <c r="AZ1032" s="458"/>
      <c r="BA1032" s="1305"/>
      <c r="BC1032" s="169"/>
    </row>
    <row r="1033" spans="19:55" ht="15.75" customHeight="1">
      <c r="S1033" s="454"/>
      <c r="AY1033" s="458"/>
      <c r="AZ1033" s="458"/>
      <c r="BA1033" s="1305"/>
      <c r="BC1033" s="169"/>
    </row>
    <row r="1034" spans="19:55" ht="15.75" customHeight="1">
      <c r="S1034" s="454"/>
      <c r="AY1034" s="458"/>
      <c r="AZ1034" s="458"/>
      <c r="BA1034" s="1305"/>
      <c r="BC1034" s="169"/>
    </row>
    <row r="1035" spans="19:55" ht="15.75" customHeight="1">
      <c r="S1035" s="454"/>
      <c r="AY1035" s="458"/>
      <c r="AZ1035" s="458"/>
      <c r="BA1035" s="1305"/>
      <c r="BC1035" s="169"/>
    </row>
    <row r="1036" spans="19:55" ht="15.75" customHeight="1">
      <c r="S1036" s="454"/>
      <c r="AY1036" s="458"/>
      <c r="AZ1036" s="458"/>
      <c r="BA1036" s="1305"/>
      <c r="BC1036" s="169"/>
    </row>
    <row r="1037" spans="19:55" ht="15.75" customHeight="1">
      <c r="S1037" s="454"/>
      <c r="AY1037" s="458"/>
      <c r="AZ1037" s="458"/>
      <c r="BA1037" s="1305"/>
      <c r="BC1037" s="169"/>
    </row>
    <row r="1038" spans="19:55" ht="15.75" customHeight="1">
      <c r="S1038" s="454"/>
      <c r="AY1038" s="458"/>
      <c r="AZ1038" s="458"/>
      <c r="BA1038" s="1305"/>
      <c r="BC1038" s="169"/>
    </row>
    <row r="1039" spans="19:55" ht="15.75" customHeight="1">
      <c r="S1039" s="454"/>
      <c r="AY1039" s="458"/>
      <c r="AZ1039" s="458"/>
      <c r="BA1039" s="1305"/>
      <c r="BC1039" s="169"/>
    </row>
    <row r="1040" spans="19:55" ht="15.75" customHeight="1">
      <c r="S1040" s="454"/>
      <c r="AY1040" s="458"/>
      <c r="AZ1040" s="458"/>
      <c r="BA1040" s="1305"/>
      <c r="BC1040" s="169"/>
    </row>
    <row r="1041" spans="19:55" ht="15.75" customHeight="1">
      <c r="S1041" s="454"/>
      <c r="AY1041" s="458"/>
      <c r="AZ1041" s="458"/>
      <c r="BA1041" s="1305"/>
      <c r="BC1041" s="169"/>
    </row>
    <row r="1042" spans="19:55" ht="15.75" customHeight="1">
      <c r="S1042" s="454"/>
      <c r="AY1042" s="458"/>
      <c r="AZ1042" s="458"/>
      <c r="BA1042" s="1305"/>
      <c r="BC1042" s="169"/>
    </row>
    <row r="1043" spans="19:55" ht="15.75" customHeight="1">
      <c r="S1043" s="454"/>
      <c r="AY1043" s="458"/>
      <c r="AZ1043" s="458"/>
      <c r="BA1043" s="1305"/>
      <c r="BC1043" s="169"/>
    </row>
    <row r="1044" spans="19:55" ht="15.75" customHeight="1">
      <c r="S1044" s="454"/>
      <c r="AY1044" s="458"/>
      <c r="AZ1044" s="458"/>
      <c r="BA1044" s="1305"/>
      <c r="BC1044" s="169"/>
    </row>
    <row r="1045" spans="19:55" ht="15.75" customHeight="1">
      <c r="S1045" s="454"/>
      <c r="AY1045" s="458"/>
      <c r="AZ1045" s="458"/>
      <c r="BA1045" s="1305"/>
      <c r="BC1045" s="169"/>
    </row>
    <row r="1046" spans="19:55" ht="15.75" customHeight="1">
      <c r="S1046" s="454"/>
      <c r="AY1046" s="458"/>
      <c r="AZ1046" s="458"/>
      <c r="BA1046" s="1305"/>
      <c r="BC1046" s="169"/>
    </row>
    <row r="1047" spans="19:55" ht="15.75" customHeight="1">
      <c r="S1047" s="454"/>
      <c r="AY1047" s="458"/>
      <c r="AZ1047" s="458"/>
      <c r="BA1047" s="1305"/>
      <c r="BC1047" s="169"/>
    </row>
    <row r="1048" spans="19:55" ht="15.75" customHeight="1">
      <c r="S1048" s="454"/>
      <c r="AY1048" s="458"/>
      <c r="AZ1048" s="458"/>
      <c r="BA1048" s="1305"/>
      <c r="BC1048" s="169"/>
    </row>
    <row r="1049" spans="19:55" ht="15.75" customHeight="1">
      <c r="S1049" s="454"/>
      <c r="AY1049" s="458"/>
      <c r="AZ1049" s="458"/>
      <c r="BA1049" s="1305"/>
      <c r="BC1049" s="169"/>
    </row>
    <row r="1050" spans="19:55" ht="15.75" customHeight="1">
      <c r="S1050" s="454"/>
      <c r="AY1050" s="458"/>
      <c r="AZ1050" s="458"/>
      <c r="BA1050" s="1305"/>
      <c r="BC1050" s="169"/>
    </row>
    <row r="1051" spans="19:55" ht="15.75" customHeight="1">
      <c r="S1051" s="454"/>
      <c r="AY1051" s="458"/>
      <c r="AZ1051" s="458"/>
      <c r="BA1051" s="1305"/>
      <c r="BC1051" s="169"/>
    </row>
    <row r="1052" spans="19:55" ht="15.75" customHeight="1">
      <c r="S1052" s="454"/>
      <c r="AY1052" s="458"/>
      <c r="AZ1052" s="458"/>
      <c r="BA1052" s="1305"/>
      <c r="BC1052" s="169"/>
    </row>
    <row r="1053" spans="19:55" ht="15.75" customHeight="1">
      <c r="S1053" s="454"/>
      <c r="AY1053" s="458"/>
      <c r="AZ1053" s="458"/>
      <c r="BA1053" s="1305"/>
      <c r="BC1053" s="169"/>
    </row>
    <row r="1054" spans="19:55" ht="15.75" customHeight="1">
      <c r="S1054" s="454"/>
      <c r="AY1054" s="458"/>
      <c r="AZ1054" s="458"/>
      <c r="BA1054" s="1305"/>
      <c r="BC1054" s="169"/>
    </row>
    <row r="1055" spans="19:55" ht="15.75" customHeight="1">
      <c r="S1055" s="454"/>
      <c r="AY1055" s="458"/>
      <c r="AZ1055" s="458"/>
      <c r="BA1055" s="1305"/>
      <c r="BC1055" s="169"/>
    </row>
    <row r="1056" spans="19:55" ht="15.75" customHeight="1">
      <c r="S1056" s="454"/>
      <c r="AY1056" s="458"/>
      <c r="AZ1056" s="458"/>
      <c r="BA1056" s="1305"/>
      <c r="BC1056" s="169"/>
    </row>
    <row r="1057" spans="19:55" ht="15.75" customHeight="1">
      <c r="S1057" s="454"/>
      <c r="AY1057" s="458"/>
      <c r="AZ1057" s="458"/>
      <c r="BA1057" s="1305"/>
      <c r="BC1057" s="169"/>
    </row>
    <row r="1058" spans="19:55" ht="15.75" customHeight="1">
      <c r="S1058" s="454"/>
      <c r="AY1058" s="458"/>
      <c r="AZ1058" s="458"/>
      <c r="BA1058" s="1305"/>
      <c r="BC1058" s="169"/>
    </row>
    <row r="1059" spans="19:55" ht="15.75" customHeight="1">
      <c r="S1059" s="454"/>
      <c r="AY1059" s="458"/>
      <c r="AZ1059" s="458"/>
      <c r="BA1059" s="1305"/>
      <c r="BC1059" s="169"/>
    </row>
    <row r="1060" spans="19:55" ht="15.75" customHeight="1">
      <c r="S1060" s="454"/>
      <c r="AY1060" s="458"/>
      <c r="AZ1060" s="458"/>
      <c r="BA1060" s="1305"/>
      <c r="BC1060" s="169"/>
    </row>
    <row r="1061" spans="19:55" ht="15.75" customHeight="1">
      <c r="S1061" s="454"/>
      <c r="AY1061" s="458"/>
      <c r="AZ1061" s="458"/>
      <c r="BA1061" s="1305"/>
      <c r="BC1061" s="169"/>
    </row>
    <row r="1062" spans="19:55" ht="15.75" customHeight="1">
      <c r="S1062" s="454"/>
      <c r="AY1062" s="458"/>
      <c r="AZ1062" s="458"/>
      <c r="BA1062" s="1305"/>
      <c r="BC1062" s="169"/>
    </row>
    <row r="1063" spans="19:55" ht="15.75" customHeight="1">
      <c r="S1063" s="454"/>
      <c r="AY1063" s="458"/>
      <c r="AZ1063" s="458"/>
      <c r="BA1063" s="1305"/>
      <c r="BC1063" s="169"/>
    </row>
    <row r="1064" spans="19:55" ht="15.75" customHeight="1">
      <c r="S1064" s="454"/>
      <c r="AY1064" s="458"/>
      <c r="AZ1064" s="458"/>
      <c r="BA1064" s="1305"/>
      <c r="BC1064" s="169"/>
    </row>
    <row r="1065" spans="19:55" ht="15.75" customHeight="1">
      <c r="S1065" s="454"/>
      <c r="AY1065" s="458"/>
      <c r="AZ1065" s="458"/>
      <c r="BA1065" s="1305"/>
      <c r="BC1065" s="169"/>
    </row>
    <row r="1066" spans="19:55" ht="15.75" customHeight="1">
      <c r="S1066" s="454"/>
      <c r="AY1066" s="458"/>
      <c r="AZ1066" s="458"/>
      <c r="BA1066" s="1305"/>
      <c r="BC1066" s="169"/>
    </row>
    <row r="1067" spans="19:55" ht="15.75" customHeight="1">
      <c r="S1067" s="454"/>
      <c r="AY1067" s="458"/>
      <c r="AZ1067" s="458"/>
      <c r="BA1067" s="1305"/>
      <c r="BC1067" s="169"/>
    </row>
    <row r="1068" spans="19:55" ht="15.75" customHeight="1">
      <c r="S1068" s="454"/>
      <c r="AY1068" s="458"/>
      <c r="AZ1068" s="458"/>
      <c r="BA1068" s="1305"/>
      <c r="BC1068" s="169"/>
    </row>
    <row r="1069" spans="19:55" ht="15.75" customHeight="1">
      <c r="S1069" s="454"/>
      <c r="AY1069" s="458"/>
      <c r="AZ1069" s="458"/>
      <c r="BA1069" s="1305"/>
      <c r="BC1069" s="169"/>
    </row>
    <row r="1070" spans="19:55" ht="15.75" customHeight="1">
      <c r="S1070" s="454"/>
      <c r="AY1070" s="458"/>
      <c r="AZ1070" s="458"/>
      <c r="BA1070" s="1305"/>
      <c r="BC1070" s="169"/>
    </row>
    <row r="1071" spans="19:55" ht="15.75" customHeight="1">
      <c r="S1071" s="454"/>
      <c r="AY1071" s="458"/>
      <c r="AZ1071" s="458"/>
      <c r="BA1071" s="1305"/>
      <c r="BC1071" s="169"/>
    </row>
    <row r="1072" spans="19:55" ht="15.75" customHeight="1">
      <c r="S1072" s="454"/>
      <c r="AY1072" s="458"/>
      <c r="AZ1072" s="458"/>
      <c r="BA1072" s="1305"/>
      <c r="BC1072" s="169"/>
    </row>
    <row r="1073" spans="19:55" ht="15.75" customHeight="1">
      <c r="S1073" s="454"/>
      <c r="AY1073" s="458"/>
      <c r="AZ1073" s="458"/>
      <c r="BA1073" s="1305"/>
      <c r="BC1073" s="169"/>
    </row>
    <row r="1074" spans="19:55" ht="15.75" customHeight="1">
      <c r="S1074" s="454"/>
      <c r="AY1074" s="458"/>
      <c r="AZ1074" s="458"/>
      <c r="BA1074" s="1305"/>
      <c r="BC1074" s="169"/>
    </row>
    <row r="1075" spans="19:55" ht="15.75" customHeight="1">
      <c r="S1075" s="454"/>
      <c r="AY1075" s="458"/>
      <c r="AZ1075" s="458"/>
      <c r="BA1075" s="1305"/>
      <c r="BC1075" s="169"/>
    </row>
    <row r="1076" spans="19:55" ht="15.75" customHeight="1">
      <c r="S1076" s="454"/>
      <c r="AY1076" s="458"/>
      <c r="AZ1076" s="458"/>
      <c r="BA1076" s="1305"/>
      <c r="BC1076" s="169"/>
    </row>
    <row r="1077" spans="19:55" ht="15.75" customHeight="1">
      <c r="S1077" s="454"/>
      <c r="AY1077" s="458"/>
      <c r="AZ1077" s="458"/>
      <c r="BA1077" s="1305"/>
      <c r="BC1077" s="169"/>
    </row>
    <row r="1078" spans="19:55" ht="15.75" customHeight="1">
      <c r="S1078" s="454"/>
      <c r="AY1078" s="458"/>
      <c r="AZ1078" s="458"/>
      <c r="BA1078" s="1305"/>
      <c r="BC1078" s="169"/>
    </row>
    <row r="1079" spans="19:55" ht="15.75" customHeight="1">
      <c r="S1079" s="454"/>
      <c r="AY1079" s="458"/>
      <c r="AZ1079" s="458"/>
      <c r="BA1079" s="1305"/>
      <c r="BC1079" s="169"/>
    </row>
    <row r="1080" spans="19:55" ht="15.75" customHeight="1">
      <c r="S1080" s="454"/>
      <c r="AY1080" s="458"/>
      <c r="AZ1080" s="458"/>
      <c r="BA1080" s="1305"/>
      <c r="BC1080" s="169"/>
    </row>
    <row r="1081" spans="19:55" ht="15.75" customHeight="1">
      <c r="S1081" s="454"/>
      <c r="AY1081" s="458"/>
      <c r="AZ1081" s="458"/>
      <c r="BA1081" s="1305"/>
      <c r="BC1081" s="169"/>
    </row>
    <row r="1082" spans="19:55" ht="15.75" customHeight="1">
      <c r="S1082" s="454"/>
      <c r="AY1082" s="458"/>
      <c r="AZ1082" s="458"/>
      <c r="BA1082" s="1305"/>
      <c r="BC1082" s="169"/>
    </row>
    <row r="1083" spans="19:55" ht="15.75" customHeight="1">
      <c r="S1083" s="454"/>
      <c r="AY1083" s="458"/>
      <c r="AZ1083" s="458"/>
      <c r="BA1083" s="1305"/>
      <c r="BC1083" s="169"/>
    </row>
    <row r="1084" spans="19:55" ht="15.75" customHeight="1">
      <c r="S1084" s="454"/>
      <c r="AY1084" s="458"/>
      <c r="AZ1084" s="458"/>
      <c r="BA1084" s="1305"/>
      <c r="BC1084" s="169"/>
    </row>
    <row r="1085" spans="19:55" ht="15.75" customHeight="1">
      <c r="S1085" s="454"/>
      <c r="AY1085" s="458"/>
      <c r="AZ1085" s="458"/>
      <c r="BA1085" s="1305"/>
      <c r="BC1085" s="169"/>
    </row>
    <row r="1086" spans="19:55" ht="15.75" customHeight="1">
      <c r="S1086" s="454"/>
      <c r="AY1086" s="458"/>
      <c r="AZ1086" s="458"/>
      <c r="BA1086" s="1305"/>
      <c r="BC1086" s="169"/>
    </row>
    <row r="1087" spans="19:55" ht="15.75" customHeight="1">
      <c r="S1087" s="454"/>
      <c r="AY1087" s="458"/>
      <c r="AZ1087" s="458"/>
      <c r="BA1087" s="1305"/>
      <c r="BC1087" s="169"/>
    </row>
    <row r="1088" spans="19:55" ht="15.75" customHeight="1">
      <c r="S1088" s="454"/>
      <c r="AY1088" s="458"/>
      <c r="AZ1088" s="458"/>
      <c r="BA1088" s="1305"/>
      <c r="BC1088" s="169"/>
    </row>
    <row r="1089" spans="19:55" ht="15.75" customHeight="1">
      <c r="S1089" s="454"/>
      <c r="AY1089" s="458"/>
      <c r="AZ1089" s="458"/>
      <c r="BA1089" s="1305"/>
      <c r="BC1089" s="169"/>
    </row>
    <row r="1090" spans="19:55" ht="15.75" customHeight="1">
      <c r="S1090" s="454"/>
      <c r="AY1090" s="458"/>
      <c r="AZ1090" s="458"/>
      <c r="BA1090" s="1305"/>
      <c r="BC1090" s="169"/>
    </row>
    <row r="1091" spans="19:55" ht="15.75" customHeight="1">
      <c r="S1091" s="454"/>
      <c r="AY1091" s="458"/>
      <c r="AZ1091" s="458"/>
      <c r="BA1091" s="1305"/>
      <c r="BC1091" s="169"/>
    </row>
    <row r="1092" spans="19:55" ht="15.75" customHeight="1">
      <c r="S1092" s="454"/>
      <c r="AY1092" s="458"/>
      <c r="AZ1092" s="458"/>
      <c r="BA1092" s="1305"/>
      <c r="BC1092" s="169"/>
    </row>
    <row r="1093" spans="19:55" ht="15.75" customHeight="1">
      <c r="S1093" s="454"/>
      <c r="AY1093" s="458"/>
      <c r="AZ1093" s="458"/>
      <c r="BA1093" s="1305"/>
      <c r="BC1093" s="169"/>
    </row>
    <row r="1094" spans="19:55" ht="15.75" customHeight="1">
      <c r="S1094" s="454"/>
      <c r="AY1094" s="458"/>
      <c r="AZ1094" s="458"/>
      <c r="BA1094" s="1305"/>
      <c r="BC1094" s="169"/>
    </row>
    <row r="1095" spans="19:55" ht="15.75" customHeight="1">
      <c r="S1095" s="454"/>
      <c r="AY1095" s="458"/>
      <c r="AZ1095" s="458"/>
      <c r="BA1095" s="1305"/>
      <c r="BC1095" s="169"/>
    </row>
    <row r="1096" spans="19:55" ht="15.75" customHeight="1">
      <c r="S1096" s="454"/>
      <c r="AY1096" s="458"/>
      <c r="AZ1096" s="458"/>
      <c r="BA1096" s="1305"/>
      <c r="BC1096" s="169"/>
    </row>
    <row r="1097" spans="19:55" ht="15.75" customHeight="1">
      <c r="S1097" s="454"/>
      <c r="AY1097" s="458"/>
      <c r="AZ1097" s="458"/>
      <c r="BA1097" s="1305"/>
      <c r="BC1097" s="169"/>
    </row>
    <row r="1098" spans="19:55" ht="15.75" customHeight="1">
      <c r="S1098" s="454"/>
      <c r="AY1098" s="458"/>
      <c r="AZ1098" s="458"/>
      <c r="BA1098" s="1305"/>
      <c r="BC1098" s="169"/>
    </row>
    <row r="1099" spans="19:55" ht="15.75" customHeight="1">
      <c r="S1099" s="454"/>
      <c r="AY1099" s="458"/>
      <c r="AZ1099" s="458"/>
      <c r="BA1099" s="1305"/>
      <c r="BC1099" s="169"/>
    </row>
    <row r="1100" spans="19:55" ht="15.75" customHeight="1">
      <c r="S1100" s="454"/>
      <c r="AY1100" s="458"/>
      <c r="AZ1100" s="458"/>
      <c r="BA1100" s="1305"/>
      <c r="BC1100" s="169"/>
    </row>
    <row r="1101" spans="19:55" ht="15.75" customHeight="1">
      <c r="S1101" s="454"/>
      <c r="AY1101" s="458"/>
      <c r="AZ1101" s="458"/>
      <c r="BA1101" s="1266"/>
      <c r="BC1101" s="169"/>
    </row>
    <row r="1102" spans="19:55" ht="15.75" customHeight="1">
      <c r="S1102" s="454"/>
      <c r="AY1102" s="458"/>
      <c r="AZ1102" s="458"/>
      <c r="BA1102" s="1266"/>
      <c r="BC1102" s="169"/>
    </row>
    <row r="1103" spans="19:55" ht="15.75" customHeight="1">
      <c r="S1103" s="454"/>
      <c r="AY1103" s="458"/>
      <c r="AZ1103" s="458"/>
      <c r="BA1103" s="1266"/>
      <c r="BC1103" s="169"/>
    </row>
    <row r="1104" spans="19:55" ht="15.75" customHeight="1">
      <c r="S1104" s="454"/>
      <c r="AY1104" s="458"/>
      <c r="AZ1104" s="458"/>
      <c r="BA1104" s="1266"/>
      <c r="BC1104" s="169"/>
    </row>
    <row r="1105" spans="19:55" ht="15.75" customHeight="1">
      <c r="S1105" s="454"/>
      <c r="AY1105" s="458"/>
      <c r="AZ1105" s="458"/>
      <c r="BA1105" s="1266"/>
      <c r="BC1105" s="169"/>
    </row>
    <row r="1106" spans="19:55" ht="15.75" customHeight="1">
      <c r="S1106" s="454"/>
      <c r="AY1106" s="458"/>
      <c r="AZ1106" s="458"/>
      <c r="BA1106" s="1266"/>
      <c r="BC1106" s="169"/>
    </row>
    <row r="1107" spans="19:55" ht="15.75" customHeight="1">
      <c r="S1107" s="454"/>
      <c r="AY1107" s="458"/>
      <c r="AZ1107" s="458"/>
      <c r="BA1107" s="1266"/>
      <c r="BC1107" s="169"/>
    </row>
    <row r="1108" spans="19:55" ht="15.75" customHeight="1">
      <c r="S1108" s="454"/>
      <c r="AY1108" s="458"/>
      <c r="AZ1108" s="458"/>
      <c r="BA1108" s="1266"/>
      <c r="BC1108" s="169"/>
    </row>
    <row r="1109" spans="19:55" ht="15.75" customHeight="1">
      <c r="S1109" s="454"/>
      <c r="AY1109" s="458"/>
      <c r="AZ1109" s="458"/>
      <c r="BA1109" s="1266"/>
      <c r="BC1109" s="169"/>
    </row>
    <row r="1110" spans="19:55" ht="15.75" customHeight="1">
      <c r="S1110" s="454"/>
      <c r="AY1110" s="458"/>
      <c r="AZ1110" s="458"/>
      <c r="BA1110" s="1266"/>
      <c r="BC1110" s="169"/>
    </row>
    <row r="1111" spans="19:55" ht="15.75" customHeight="1">
      <c r="S1111" s="454"/>
      <c r="AY1111" s="458"/>
      <c r="AZ1111" s="458"/>
      <c r="BA1111" s="1266"/>
      <c r="BC1111" s="169"/>
    </row>
    <row r="1112" spans="19:55" ht="15.75" customHeight="1">
      <c r="S1112" s="454"/>
      <c r="AY1112" s="458"/>
      <c r="AZ1112" s="458"/>
      <c r="BA1112" s="1266"/>
      <c r="BC1112" s="169"/>
    </row>
    <row r="1113" spans="19:55" ht="15.75" customHeight="1">
      <c r="S1113" s="454"/>
      <c r="AY1113" s="458"/>
      <c r="AZ1113" s="458"/>
      <c r="BA1113" s="1266"/>
      <c r="BC1113" s="169"/>
    </row>
    <row r="1114" spans="19:55" ht="15.75" customHeight="1">
      <c r="S1114" s="454"/>
      <c r="AY1114" s="458"/>
      <c r="AZ1114" s="458"/>
      <c r="BA1114" s="1266"/>
      <c r="BC1114" s="169"/>
    </row>
    <row r="1115" spans="19:55" ht="15.75" customHeight="1">
      <c r="S1115" s="454"/>
      <c r="AY1115" s="458"/>
      <c r="AZ1115" s="458"/>
      <c r="BA1115" s="1266"/>
      <c r="BC1115" s="169"/>
    </row>
    <row r="1116" spans="19:55" ht="15.75" customHeight="1">
      <c r="S1116" s="454"/>
      <c r="AY1116" s="458"/>
      <c r="AZ1116" s="458"/>
      <c r="BA1116" s="1266"/>
      <c r="BC1116" s="169"/>
    </row>
    <row r="1117" spans="19:55" ht="15.75" customHeight="1">
      <c r="S1117" s="454"/>
      <c r="AY1117" s="458"/>
      <c r="AZ1117" s="458"/>
      <c r="BA1117" s="1266"/>
      <c r="BC1117" s="169"/>
    </row>
    <row r="1118" spans="19:55" ht="15.75" customHeight="1">
      <c r="S1118" s="454"/>
      <c r="AY1118" s="458"/>
      <c r="AZ1118" s="458"/>
      <c r="BA1118" s="1266"/>
      <c r="BC1118" s="169"/>
    </row>
    <row r="1119" spans="19:55" ht="15.75" customHeight="1">
      <c r="S1119" s="454"/>
      <c r="AY1119" s="458"/>
      <c r="AZ1119" s="458"/>
      <c r="BA1119" s="1266"/>
      <c r="BC1119" s="169"/>
    </row>
    <row r="1120" spans="19:55" ht="15.75" customHeight="1">
      <c r="S1120" s="454"/>
      <c r="AY1120" s="458"/>
      <c r="AZ1120" s="458"/>
      <c r="BA1120" s="1266"/>
      <c r="BC1120" s="169"/>
    </row>
    <row r="1121" spans="19:55" ht="15.75" customHeight="1">
      <c r="S1121" s="454"/>
      <c r="AY1121" s="458"/>
      <c r="AZ1121" s="458"/>
      <c r="BA1121" s="1266"/>
      <c r="BC1121" s="169"/>
    </row>
    <row r="1122" spans="19:55" ht="15.75" customHeight="1">
      <c r="S1122" s="454"/>
      <c r="AY1122" s="458"/>
      <c r="AZ1122" s="458"/>
      <c r="BA1122" s="1266"/>
      <c r="BC1122" s="169"/>
    </row>
    <row r="1123" spans="19:55" ht="15.75" customHeight="1">
      <c r="S1123" s="454"/>
      <c r="AY1123" s="458"/>
      <c r="AZ1123" s="458"/>
      <c r="BA1123" s="1266"/>
      <c r="BC1123" s="169"/>
    </row>
    <row r="1124" spans="19:55" ht="15.75" customHeight="1">
      <c r="S1124" s="454"/>
      <c r="AY1124" s="458"/>
      <c r="AZ1124" s="458"/>
      <c r="BA1124" s="1266"/>
      <c r="BC1124" s="169"/>
    </row>
    <row r="1125" spans="19:55" ht="15.75" customHeight="1">
      <c r="S1125" s="454"/>
      <c r="AY1125" s="458"/>
      <c r="AZ1125" s="458"/>
      <c r="BA1125" s="1266"/>
      <c r="BC1125" s="169"/>
    </row>
    <row r="1126" spans="19:55" ht="15.75" customHeight="1">
      <c r="S1126" s="454"/>
      <c r="AY1126" s="458"/>
      <c r="AZ1126" s="458"/>
      <c r="BA1126" s="1266"/>
      <c r="BC1126" s="169"/>
    </row>
    <row r="1127" spans="19:55" ht="15.75" customHeight="1">
      <c r="S1127" s="454"/>
      <c r="AY1127" s="458"/>
      <c r="AZ1127" s="458"/>
      <c r="BA1127" s="1266"/>
      <c r="BC1127" s="169"/>
    </row>
    <row r="1128" spans="19:55" ht="15.75" customHeight="1">
      <c r="S1128" s="454"/>
      <c r="AY1128" s="458"/>
      <c r="AZ1128" s="458"/>
      <c r="BA1128" s="1266"/>
      <c r="BC1128" s="169"/>
    </row>
    <row r="1129" spans="19:55" ht="15.75" customHeight="1">
      <c r="S1129" s="454"/>
      <c r="AY1129" s="458"/>
      <c r="AZ1129" s="458"/>
      <c r="BA1129" s="1266"/>
      <c r="BC1129" s="169"/>
    </row>
    <row r="1130" spans="19:55" ht="15.75" customHeight="1">
      <c r="S1130" s="454"/>
      <c r="AY1130" s="458"/>
      <c r="AZ1130" s="458"/>
      <c r="BA1130" s="1266"/>
      <c r="BC1130" s="169"/>
    </row>
    <row r="1131" spans="19:55" ht="15.75" customHeight="1">
      <c r="S1131" s="454"/>
      <c r="AY1131" s="458"/>
      <c r="AZ1131" s="458"/>
      <c r="BA1131" s="1266"/>
      <c r="BC1131" s="169"/>
    </row>
    <row r="1132" spans="19:55" ht="15.75" customHeight="1">
      <c r="S1132" s="454"/>
      <c r="AY1132" s="458"/>
      <c r="AZ1132" s="458"/>
      <c r="BA1132" s="1266"/>
      <c r="BC1132" s="169"/>
    </row>
    <row r="1133" spans="19:55" ht="15.75" customHeight="1">
      <c r="S1133" s="454"/>
      <c r="AY1133" s="458"/>
      <c r="AZ1133" s="458"/>
      <c r="BA1133" s="1266"/>
      <c r="BC1133" s="169"/>
    </row>
    <row r="1134" spans="19:55" ht="15.75" customHeight="1">
      <c r="S1134" s="454"/>
      <c r="AY1134" s="458"/>
      <c r="AZ1134" s="458"/>
      <c r="BA1134" s="1266"/>
      <c r="BC1134" s="169"/>
    </row>
    <row r="1135" spans="19:55" ht="15.75" customHeight="1">
      <c r="S1135" s="454"/>
      <c r="AY1135" s="458"/>
      <c r="AZ1135" s="458"/>
      <c r="BA1135" s="1266"/>
      <c r="BC1135" s="169"/>
    </row>
    <row r="1136" spans="19:55" ht="15.75" customHeight="1">
      <c r="S1136" s="454"/>
      <c r="AY1136" s="458"/>
      <c r="AZ1136" s="458"/>
      <c r="BA1136" s="1266"/>
      <c r="BC1136" s="169"/>
    </row>
    <row r="1137" spans="19:55" ht="15.75" customHeight="1">
      <c r="S1137" s="454"/>
      <c r="AY1137" s="458"/>
      <c r="AZ1137" s="458"/>
      <c r="BA1137" s="1266"/>
      <c r="BC1137" s="169"/>
    </row>
    <row r="1138" spans="19:55" ht="15.75" customHeight="1">
      <c r="S1138" s="454"/>
      <c r="AY1138" s="458"/>
      <c r="AZ1138" s="458"/>
      <c r="BA1138" s="1266"/>
      <c r="BC1138" s="169"/>
    </row>
    <row r="1139" spans="19:55" ht="15.75" customHeight="1">
      <c r="S1139" s="454"/>
      <c r="AY1139" s="458"/>
      <c r="AZ1139" s="458"/>
      <c r="BA1139" s="1266"/>
      <c r="BC1139" s="169"/>
    </row>
    <row r="1140" spans="19:55" ht="15.75" customHeight="1">
      <c r="S1140" s="454"/>
      <c r="AY1140" s="458"/>
      <c r="AZ1140" s="458"/>
      <c r="BA1140" s="1266"/>
      <c r="BC1140" s="169"/>
    </row>
    <row r="1141" spans="19:55" ht="15.75" customHeight="1">
      <c r="S1141" s="454"/>
      <c r="AY1141" s="458"/>
      <c r="AZ1141" s="458"/>
      <c r="BA1141" s="1266"/>
      <c r="BC1141" s="169"/>
    </row>
    <row r="1142" spans="19:55" ht="15.75" customHeight="1">
      <c r="S1142" s="454"/>
      <c r="AY1142" s="458"/>
      <c r="AZ1142" s="458"/>
      <c r="BA1142" s="1266"/>
      <c r="BC1142" s="169"/>
    </row>
    <row r="1143" spans="19:55" ht="15.75" customHeight="1">
      <c r="S1143" s="454"/>
      <c r="AY1143" s="458"/>
      <c r="AZ1143" s="458"/>
      <c r="BA1143" s="1266"/>
      <c r="BC1143" s="169"/>
    </row>
    <row r="1144" spans="19:55" ht="15.75" customHeight="1">
      <c r="S1144" s="454"/>
      <c r="AY1144" s="458"/>
      <c r="AZ1144" s="458"/>
      <c r="BA1144" s="1266"/>
      <c r="BC1144" s="169"/>
    </row>
    <row r="1145" spans="19:55" ht="15.75" customHeight="1">
      <c r="S1145" s="454"/>
      <c r="AY1145" s="458"/>
      <c r="AZ1145" s="458"/>
      <c r="BA1145" s="1266"/>
      <c r="BC1145" s="169"/>
    </row>
    <row r="1146" spans="19:55" ht="15.75" customHeight="1">
      <c r="S1146" s="454"/>
      <c r="AY1146" s="458"/>
      <c r="AZ1146" s="458"/>
      <c r="BA1146" s="1266"/>
      <c r="BC1146" s="169"/>
    </row>
    <row r="1147" spans="19:55" ht="15.75" customHeight="1">
      <c r="S1147" s="454"/>
      <c r="AY1147" s="458"/>
      <c r="AZ1147" s="458"/>
      <c r="BA1147" s="1266"/>
      <c r="BC1147" s="169"/>
    </row>
    <row r="1148" spans="19:55" ht="15.75" customHeight="1">
      <c r="S1148" s="454"/>
      <c r="AY1148" s="458"/>
      <c r="AZ1148" s="458"/>
      <c r="BA1148" s="1266"/>
      <c r="BC1148" s="169"/>
    </row>
    <row r="1149" spans="19:55" ht="15.75" customHeight="1">
      <c r="S1149" s="454"/>
      <c r="AY1149" s="458"/>
      <c r="AZ1149" s="458"/>
      <c r="BA1149" s="1266"/>
      <c r="BC1149" s="169"/>
    </row>
    <row r="1150" spans="19:55" ht="15.75" customHeight="1">
      <c r="S1150" s="454"/>
      <c r="AY1150" s="458"/>
      <c r="AZ1150" s="458"/>
      <c r="BA1150" s="1266"/>
      <c r="BC1150" s="169"/>
    </row>
    <row r="1151" spans="19:55" ht="15.75" customHeight="1">
      <c r="S1151" s="454"/>
      <c r="AY1151" s="458"/>
      <c r="AZ1151" s="458"/>
      <c r="BA1151" s="1266"/>
      <c r="BC1151" s="169"/>
    </row>
    <row r="1152" spans="19:55" ht="15.75" customHeight="1">
      <c r="S1152" s="454"/>
      <c r="AY1152" s="458"/>
      <c r="AZ1152" s="458"/>
      <c r="BA1152" s="1266"/>
      <c r="BC1152" s="169"/>
    </row>
    <row r="1153" spans="19:55" ht="15.75" customHeight="1">
      <c r="S1153" s="454"/>
      <c r="AY1153" s="458"/>
      <c r="AZ1153" s="458"/>
      <c r="BA1153" s="1266"/>
      <c r="BC1153" s="169"/>
    </row>
    <row r="1154" spans="19:55" ht="15.75" customHeight="1">
      <c r="S1154" s="454"/>
      <c r="AY1154" s="458"/>
      <c r="AZ1154" s="458"/>
      <c r="BA1154" s="1266"/>
      <c r="BC1154" s="169"/>
    </row>
    <row r="1155" spans="19:55" ht="15.75" customHeight="1">
      <c r="S1155" s="454"/>
      <c r="AY1155" s="458"/>
      <c r="AZ1155" s="458"/>
      <c r="BA1155" s="1266"/>
      <c r="BC1155" s="169"/>
    </row>
    <row r="1156" spans="19:55" ht="15.75" customHeight="1">
      <c r="S1156" s="454"/>
      <c r="AY1156" s="458"/>
      <c r="AZ1156" s="458"/>
      <c r="BA1156" s="1266"/>
      <c r="BC1156" s="169"/>
    </row>
    <row r="1157" spans="19:55" ht="15.75" customHeight="1">
      <c r="S1157" s="454"/>
      <c r="AY1157" s="458"/>
      <c r="AZ1157" s="458"/>
      <c r="BA1157" s="1266"/>
      <c r="BC1157" s="169"/>
    </row>
    <row r="1158" spans="19:55" ht="15.75" customHeight="1">
      <c r="S1158" s="454"/>
      <c r="AY1158" s="458"/>
      <c r="AZ1158" s="458"/>
      <c r="BA1158" s="1266"/>
      <c r="BC1158" s="169"/>
    </row>
    <row r="1159" spans="19:55" ht="15.75" customHeight="1">
      <c r="S1159" s="454"/>
      <c r="AY1159" s="458"/>
      <c r="AZ1159" s="458"/>
      <c r="BA1159" s="1266"/>
      <c r="BC1159" s="169"/>
    </row>
    <row r="1160" spans="19:55" ht="15.75" customHeight="1">
      <c r="S1160" s="454"/>
      <c r="AY1160" s="458"/>
      <c r="AZ1160" s="458"/>
      <c r="BA1160" s="1266"/>
      <c r="BC1160" s="169"/>
    </row>
    <row r="1161" spans="19:55" ht="15.75" customHeight="1">
      <c r="S1161" s="454"/>
      <c r="AY1161" s="458"/>
      <c r="AZ1161" s="458"/>
      <c r="BA1161" s="1266"/>
      <c r="BC1161" s="169"/>
    </row>
    <row r="1162" spans="19:55" ht="15.75" customHeight="1">
      <c r="S1162" s="454"/>
      <c r="AY1162" s="458"/>
      <c r="AZ1162" s="458"/>
      <c r="BA1162" s="1266"/>
      <c r="BC1162" s="169"/>
    </row>
    <row r="1163" spans="19:55" ht="15.75" customHeight="1">
      <c r="S1163" s="454"/>
      <c r="AY1163" s="458"/>
      <c r="AZ1163" s="458"/>
      <c r="BA1163" s="1266"/>
      <c r="BC1163" s="169"/>
    </row>
    <row r="1164" spans="19:55" ht="15.75" customHeight="1">
      <c r="S1164" s="454"/>
      <c r="AY1164" s="458"/>
      <c r="AZ1164" s="458"/>
      <c r="BA1164" s="1266"/>
      <c r="BC1164" s="169"/>
    </row>
    <row r="1165" spans="19:55" ht="15.75" customHeight="1">
      <c r="S1165" s="454"/>
      <c r="AY1165" s="458"/>
      <c r="AZ1165" s="458"/>
      <c r="BA1165" s="1266"/>
      <c r="BC1165" s="169"/>
    </row>
    <row r="1166" spans="19:55" ht="15.75" customHeight="1">
      <c r="S1166" s="454"/>
      <c r="AY1166" s="458"/>
      <c r="AZ1166" s="458"/>
      <c r="BA1166" s="1266"/>
      <c r="BC1166" s="169"/>
    </row>
    <row r="1167" spans="19:55" ht="15.75" customHeight="1">
      <c r="S1167" s="454"/>
      <c r="AY1167" s="458"/>
      <c r="AZ1167" s="458"/>
      <c r="BA1167" s="1266"/>
      <c r="BC1167" s="169"/>
    </row>
    <row r="1168" spans="19:55" ht="15.75" customHeight="1">
      <c r="S1168" s="454"/>
      <c r="AY1168" s="458"/>
      <c r="AZ1168" s="458"/>
      <c r="BA1168" s="1266"/>
      <c r="BC1168" s="169"/>
    </row>
    <row r="1169" spans="19:55" ht="15.75" customHeight="1">
      <c r="S1169" s="454"/>
      <c r="AY1169" s="458"/>
      <c r="AZ1169" s="458"/>
      <c r="BA1169" s="1266"/>
      <c r="BC1169" s="169"/>
    </row>
    <row r="1170" spans="19:55" ht="15.75" customHeight="1">
      <c r="S1170" s="454"/>
      <c r="AY1170" s="458"/>
      <c r="AZ1170" s="458"/>
      <c r="BA1170" s="1266"/>
      <c r="BC1170" s="169"/>
    </row>
    <row r="1171" spans="19:55" ht="15.75" customHeight="1">
      <c r="S1171" s="454"/>
      <c r="AY1171" s="458"/>
      <c r="AZ1171" s="458"/>
      <c r="BA1171" s="1266"/>
      <c r="BC1171" s="169"/>
    </row>
    <row r="1172" spans="19:55" ht="15.75" customHeight="1">
      <c r="S1172" s="454"/>
      <c r="AY1172" s="458"/>
      <c r="AZ1172" s="458"/>
      <c r="BA1172" s="1266"/>
      <c r="BC1172" s="169"/>
    </row>
    <row r="1173" spans="19:55" ht="15.75" customHeight="1">
      <c r="S1173" s="454"/>
      <c r="AY1173" s="458"/>
      <c r="AZ1173" s="458"/>
      <c r="BA1173" s="1266"/>
      <c r="BC1173" s="169"/>
    </row>
    <row r="1174" spans="19:55" ht="15.75" customHeight="1">
      <c r="S1174" s="454"/>
      <c r="AY1174" s="458"/>
      <c r="AZ1174" s="458"/>
      <c r="BA1174" s="1266"/>
      <c r="BC1174" s="169"/>
    </row>
    <row r="1175" spans="19:55" ht="15.75" customHeight="1">
      <c r="S1175" s="454"/>
      <c r="AY1175" s="458"/>
      <c r="AZ1175" s="458"/>
      <c r="BA1175" s="1266"/>
      <c r="BC1175" s="169"/>
    </row>
    <row r="1176" spans="19:55" ht="15.75" customHeight="1">
      <c r="S1176" s="454"/>
      <c r="AY1176" s="458"/>
      <c r="AZ1176" s="458"/>
      <c r="BA1176" s="1266"/>
      <c r="BC1176" s="169"/>
    </row>
    <row r="1177" spans="19:55" ht="15.75" customHeight="1">
      <c r="S1177" s="454"/>
      <c r="AY1177" s="458"/>
      <c r="AZ1177" s="458"/>
      <c r="BA1177" s="1266"/>
      <c r="BC1177" s="169"/>
    </row>
    <row r="1178" spans="19:55" ht="15.75" customHeight="1">
      <c r="S1178" s="454"/>
      <c r="AY1178" s="458"/>
      <c r="AZ1178" s="458"/>
      <c r="BA1178" s="1266"/>
      <c r="BC1178" s="169"/>
    </row>
    <row r="1179" spans="19:55" ht="15.75" customHeight="1">
      <c r="S1179" s="454"/>
      <c r="AY1179" s="458"/>
      <c r="AZ1179" s="458"/>
      <c r="BA1179" s="1266"/>
      <c r="BC1179" s="169"/>
    </row>
    <row r="1180" spans="19:55" ht="15.75" customHeight="1">
      <c r="S1180" s="454"/>
      <c r="AY1180" s="458"/>
      <c r="AZ1180" s="458"/>
      <c r="BA1180" s="1266"/>
      <c r="BC1180" s="169"/>
    </row>
    <row r="1181" spans="19:55" ht="15.75" customHeight="1">
      <c r="S1181" s="454"/>
      <c r="AY1181" s="458"/>
      <c r="AZ1181" s="458"/>
      <c r="BA1181" s="1266"/>
      <c r="BC1181" s="169"/>
    </row>
    <row r="1182" spans="19:55" ht="15.75" customHeight="1">
      <c r="S1182" s="454"/>
      <c r="AY1182" s="458"/>
      <c r="AZ1182" s="458"/>
      <c r="BA1182" s="1266"/>
      <c r="BC1182" s="169"/>
    </row>
    <row r="1183" spans="19:55" ht="15.75" customHeight="1">
      <c r="S1183" s="454"/>
      <c r="AY1183" s="458"/>
      <c r="AZ1183" s="458"/>
      <c r="BA1183" s="1266"/>
      <c r="BC1183" s="169"/>
    </row>
    <row r="1184" spans="19:55" ht="15.75" customHeight="1">
      <c r="S1184" s="454"/>
      <c r="AY1184" s="458"/>
      <c r="AZ1184" s="458"/>
      <c r="BA1184" s="1266"/>
      <c r="BC1184" s="169"/>
    </row>
    <row r="1185" spans="19:55" ht="15.75" customHeight="1">
      <c r="S1185" s="454"/>
      <c r="AY1185" s="458"/>
      <c r="AZ1185" s="458"/>
      <c r="BA1185" s="1266"/>
      <c r="BC1185" s="169"/>
    </row>
    <row r="1186" spans="19:55" ht="15.75" customHeight="1">
      <c r="S1186" s="454"/>
      <c r="AY1186" s="458"/>
      <c r="AZ1186" s="458"/>
      <c r="BA1186" s="1266"/>
      <c r="BC1186" s="169"/>
    </row>
    <row r="1187" spans="19:55" ht="15.75" customHeight="1">
      <c r="S1187" s="454"/>
      <c r="AY1187" s="458"/>
      <c r="AZ1187" s="458"/>
      <c r="BA1187" s="1266"/>
      <c r="BC1187" s="169"/>
    </row>
    <row r="1188" spans="19:55" ht="15.75" customHeight="1">
      <c r="S1188" s="454"/>
      <c r="AY1188" s="458"/>
      <c r="AZ1188" s="458"/>
      <c r="BA1188" s="1266"/>
      <c r="BC1188" s="169"/>
    </row>
    <row r="1189" spans="19:55" ht="15.75" customHeight="1">
      <c r="S1189" s="454"/>
      <c r="AY1189" s="458"/>
      <c r="AZ1189" s="458"/>
      <c r="BA1189" s="1266"/>
      <c r="BC1189" s="169"/>
    </row>
    <row r="1190" spans="19:55" ht="15.75" customHeight="1">
      <c r="S1190" s="454"/>
      <c r="AY1190" s="458"/>
      <c r="AZ1190" s="458"/>
      <c r="BA1190" s="1266"/>
      <c r="BC1190" s="169"/>
    </row>
    <row r="1191" spans="19:55" ht="15.75" customHeight="1">
      <c r="S1191" s="454"/>
      <c r="AY1191" s="458"/>
      <c r="AZ1191" s="458"/>
      <c r="BA1191" s="1266"/>
      <c r="BC1191" s="169"/>
    </row>
    <row r="1192" spans="19:55" ht="15.75" customHeight="1">
      <c r="S1192" s="454"/>
      <c r="AY1192" s="458"/>
      <c r="AZ1192" s="458"/>
      <c r="BA1192" s="1266"/>
      <c r="BC1192" s="169"/>
    </row>
    <row r="1193" spans="19:55" ht="15.75" customHeight="1">
      <c r="S1193" s="454"/>
      <c r="AY1193" s="458"/>
      <c r="AZ1193" s="458"/>
      <c r="BA1193" s="1266"/>
      <c r="BC1193" s="169"/>
    </row>
    <row r="1194" spans="19:55" ht="15.75" customHeight="1">
      <c r="S1194" s="454"/>
      <c r="AY1194" s="458"/>
      <c r="AZ1194" s="458"/>
      <c r="BA1194" s="1266"/>
      <c r="BC1194" s="169"/>
    </row>
    <row r="1195" spans="19:55" ht="15.75" customHeight="1">
      <c r="S1195" s="454"/>
      <c r="AY1195" s="458"/>
      <c r="AZ1195" s="458"/>
      <c r="BA1195" s="1266"/>
      <c r="BC1195" s="169"/>
    </row>
    <row r="1196" spans="19:55" ht="15.75" customHeight="1">
      <c r="S1196" s="454"/>
      <c r="AY1196" s="458"/>
      <c r="AZ1196" s="458"/>
      <c r="BA1196" s="1266"/>
      <c r="BC1196" s="169"/>
    </row>
    <row r="1197" spans="19:55" ht="15.75" customHeight="1">
      <c r="S1197" s="454"/>
      <c r="AY1197" s="458"/>
      <c r="AZ1197" s="458"/>
      <c r="BA1197" s="1266"/>
      <c r="BC1197" s="169"/>
    </row>
    <row r="1198" spans="19:55" ht="15.75" customHeight="1">
      <c r="S1198" s="454"/>
      <c r="AY1198" s="458"/>
      <c r="AZ1198" s="458"/>
      <c r="BA1198" s="1266"/>
      <c r="BC1198" s="169"/>
    </row>
    <row r="1199" spans="19:55" ht="15.75" customHeight="1">
      <c r="S1199" s="454"/>
      <c r="AY1199" s="458"/>
      <c r="AZ1199" s="458"/>
      <c r="BA1199" s="1266"/>
      <c r="BC1199" s="169"/>
    </row>
    <row r="1200" spans="19:55" ht="15.75" customHeight="1">
      <c r="S1200" s="454"/>
      <c r="AY1200" s="458"/>
      <c r="AZ1200" s="458"/>
      <c r="BA1200" s="1266"/>
      <c r="BC1200" s="169"/>
    </row>
    <row r="1201" spans="19:55" ht="15.75" customHeight="1">
      <c r="S1201" s="454"/>
      <c r="AY1201" s="458"/>
      <c r="AZ1201" s="458"/>
      <c r="BA1201" s="1266"/>
      <c r="BC1201" s="169"/>
    </row>
    <row r="1202" spans="19:55" ht="15.75" customHeight="1">
      <c r="S1202" s="454"/>
      <c r="AY1202" s="458"/>
      <c r="AZ1202" s="458"/>
      <c r="BA1202" s="1266"/>
      <c r="BC1202" s="169"/>
    </row>
    <row r="1203" spans="19:55" ht="15.75" customHeight="1">
      <c r="S1203" s="454"/>
      <c r="AY1203" s="458"/>
      <c r="AZ1203" s="458"/>
      <c r="BA1203" s="1266"/>
      <c r="BC1203" s="169"/>
    </row>
    <row r="1204" spans="19:55" ht="15.75" customHeight="1">
      <c r="S1204" s="454"/>
      <c r="AY1204" s="458"/>
      <c r="AZ1204" s="458"/>
      <c r="BA1204" s="1266"/>
      <c r="BC1204" s="169"/>
    </row>
    <row r="1205" spans="19:55" ht="15.75" customHeight="1">
      <c r="S1205" s="454"/>
      <c r="AY1205" s="458"/>
      <c r="AZ1205" s="458"/>
      <c r="BA1205" s="1266"/>
      <c r="BC1205" s="169"/>
    </row>
    <row r="1206" spans="19:55" ht="15.75" customHeight="1">
      <c r="S1206" s="454"/>
      <c r="AY1206" s="458"/>
      <c r="AZ1206" s="458"/>
      <c r="BA1206" s="1266"/>
      <c r="BC1206" s="169"/>
    </row>
    <row r="1207" spans="19:55" ht="15.75" customHeight="1">
      <c r="S1207" s="454"/>
      <c r="AY1207" s="458"/>
      <c r="AZ1207" s="458"/>
      <c r="BA1207" s="1266"/>
      <c r="BC1207" s="169"/>
    </row>
    <row r="1208" spans="19:55" ht="15.75" customHeight="1">
      <c r="S1208" s="454"/>
      <c r="AY1208" s="458"/>
      <c r="AZ1208" s="458"/>
      <c r="BA1208" s="1266"/>
      <c r="BC1208" s="169"/>
    </row>
    <row r="1209" spans="19:55" ht="15.75" customHeight="1">
      <c r="S1209" s="454"/>
      <c r="AY1209" s="458"/>
      <c r="AZ1209" s="458"/>
      <c r="BA1209" s="1266"/>
      <c r="BC1209" s="169"/>
    </row>
    <row r="1210" spans="19:55" ht="15.75" customHeight="1">
      <c r="S1210" s="454"/>
      <c r="AY1210" s="458"/>
      <c r="AZ1210" s="458"/>
      <c r="BA1210" s="1266"/>
      <c r="BC1210" s="169"/>
    </row>
    <row r="1211" spans="19:55" ht="15.75" customHeight="1">
      <c r="S1211" s="454"/>
      <c r="AY1211" s="458"/>
      <c r="AZ1211" s="458"/>
      <c r="BA1211" s="1266"/>
      <c r="BC1211" s="169"/>
    </row>
    <row r="1212" spans="19:55" ht="15.75" customHeight="1">
      <c r="S1212" s="454"/>
      <c r="AY1212" s="458"/>
      <c r="AZ1212" s="458"/>
      <c r="BA1212" s="1266"/>
      <c r="BC1212" s="169"/>
    </row>
    <row r="1213" spans="19:55" ht="15.75" customHeight="1">
      <c r="S1213" s="454"/>
      <c r="AY1213" s="458"/>
      <c r="AZ1213" s="458"/>
      <c r="BA1213" s="1266"/>
      <c r="BC1213" s="169"/>
    </row>
    <row r="1214" spans="19:55" ht="15.75" customHeight="1">
      <c r="S1214" s="454"/>
      <c r="AY1214" s="458"/>
      <c r="AZ1214" s="458"/>
      <c r="BA1214" s="1266"/>
      <c r="BC1214" s="169"/>
    </row>
    <row r="1215" spans="19:55" ht="15.75" customHeight="1">
      <c r="S1215" s="454"/>
      <c r="AY1215" s="458"/>
      <c r="AZ1215" s="458"/>
      <c r="BA1215" s="1266"/>
      <c r="BC1215" s="169"/>
    </row>
    <row r="1216" spans="19:55" ht="15.75" customHeight="1">
      <c r="S1216" s="454"/>
      <c r="AY1216" s="458"/>
      <c r="AZ1216" s="458"/>
      <c r="BA1216" s="1266"/>
      <c r="BC1216" s="169"/>
    </row>
    <row r="1217" spans="19:55" ht="15.75" customHeight="1">
      <c r="S1217" s="454"/>
      <c r="AY1217" s="458"/>
      <c r="AZ1217" s="458"/>
      <c r="BA1217" s="1266"/>
      <c r="BC1217" s="169"/>
    </row>
    <row r="1218" spans="19:55" ht="15.75" customHeight="1">
      <c r="S1218" s="454"/>
      <c r="AY1218" s="458"/>
      <c r="AZ1218" s="458"/>
      <c r="BA1218" s="1266"/>
      <c r="BC1218" s="169"/>
    </row>
    <row r="1219" spans="19:55" ht="15.75" customHeight="1">
      <c r="S1219" s="454"/>
      <c r="AY1219" s="458"/>
      <c r="AZ1219" s="458"/>
      <c r="BA1219" s="1266"/>
      <c r="BC1219" s="169"/>
    </row>
    <row r="1220" spans="19:55" ht="15.75" customHeight="1">
      <c r="S1220" s="454"/>
      <c r="AY1220" s="458"/>
      <c r="AZ1220" s="458"/>
      <c r="BA1220" s="1266"/>
      <c r="BC1220" s="169"/>
    </row>
    <row r="1221" spans="19:55" ht="15.75" customHeight="1">
      <c r="S1221" s="454"/>
      <c r="AY1221" s="458"/>
      <c r="AZ1221" s="458"/>
      <c r="BA1221" s="1266"/>
      <c r="BC1221" s="169"/>
    </row>
    <row r="1222" spans="19:55" ht="15.75" customHeight="1">
      <c r="S1222" s="454"/>
      <c r="AY1222" s="458"/>
      <c r="AZ1222" s="458"/>
      <c r="BA1222" s="1266"/>
      <c r="BC1222" s="169"/>
    </row>
    <row r="1223" spans="19:55" ht="15.75" customHeight="1">
      <c r="S1223" s="454"/>
      <c r="AY1223" s="458"/>
      <c r="AZ1223" s="458"/>
      <c r="BA1223" s="1266"/>
      <c r="BC1223" s="169"/>
    </row>
    <row r="1224" spans="19:55" ht="15.75" customHeight="1">
      <c r="S1224" s="454"/>
      <c r="AY1224" s="458"/>
      <c r="AZ1224" s="458"/>
      <c r="BA1224" s="1266"/>
      <c r="BC1224" s="169"/>
    </row>
    <row r="1225" spans="19:55" ht="15.75" customHeight="1">
      <c r="S1225" s="454"/>
      <c r="AY1225" s="458"/>
      <c r="AZ1225" s="458"/>
      <c r="BA1225" s="1266"/>
      <c r="BC1225" s="169"/>
    </row>
    <row r="1226" spans="19:55" ht="15.75" customHeight="1">
      <c r="S1226" s="454"/>
      <c r="AY1226" s="458"/>
      <c r="AZ1226" s="458"/>
      <c r="BA1226" s="1266"/>
      <c r="BC1226" s="169"/>
    </row>
    <row r="1227" spans="19:55" ht="15.75" customHeight="1">
      <c r="S1227" s="454"/>
      <c r="AY1227" s="458"/>
      <c r="AZ1227" s="458"/>
      <c r="BA1227" s="1266"/>
      <c r="BC1227" s="169"/>
    </row>
    <row r="1228" spans="19:55" ht="15.75" customHeight="1">
      <c r="S1228" s="454"/>
      <c r="AY1228" s="458"/>
      <c r="AZ1228" s="458"/>
      <c r="BA1228" s="1266"/>
      <c r="BC1228" s="169"/>
    </row>
    <row r="1229" spans="19:55" ht="15.75" customHeight="1">
      <c r="S1229" s="454"/>
      <c r="AY1229" s="458"/>
      <c r="AZ1229" s="458"/>
      <c r="BA1229" s="1266"/>
      <c r="BC1229" s="169"/>
    </row>
    <row r="1230" spans="19:55" ht="15.75" customHeight="1">
      <c r="S1230" s="454"/>
      <c r="AY1230" s="458"/>
      <c r="AZ1230" s="458"/>
      <c r="BA1230" s="1266"/>
      <c r="BC1230" s="169"/>
    </row>
    <row r="1231" spans="19:55" ht="15.75" customHeight="1">
      <c r="S1231" s="454"/>
      <c r="AY1231" s="458"/>
      <c r="AZ1231" s="458"/>
      <c r="BA1231" s="1266"/>
      <c r="BC1231" s="169"/>
    </row>
    <row r="1232" spans="19:55" ht="15.75" customHeight="1">
      <c r="S1232" s="454"/>
      <c r="AY1232" s="458"/>
      <c r="AZ1232" s="458"/>
      <c r="BA1232" s="1266"/>
      <c r="BC1232" s="169"/>
    </row>
    <row r="1233" spans="19:55" ht="15.75" customHeight="1">
      <c r="S1233" s="454"/>
      <c r="AY1233" s="458"/>
      <c r="AZ1233" s="458"/>
      <c r="BA1233" s="1266"/>
      <c r="BC1233" s="169"/>
    </row>
    <row r="1234" spans="19:55" ht="15.75" customHeight="1">
      <c r="S1234" s="454"/>
      <c r="AY1234" s="458"/>
      <c r="AZ1234" s="458"/>
      <c r="BA1234" s="1266"/>
      <c r="BC1234" s="169"/>
    </row>
    <row r="1235" spans="19:55" ht="15.75" customHeight="1">
      <c r="S1235" s="454"/>
      <c r="AY1235" s="458"/>
      <c r="AZ1235" s="458"/>
      <c r="BA1235" s="1266"/>
      <c r="BC1235" s="169"/>
    </row>
    <row r="1236" spans="19:55" ht="15.75" customHeight="1">
      <c r="S1236" s="454"/>
      <c r="AY1236" s="458"/>
      <c r="AZ1236" s="458"/>
      <c r="BA1236" s="1266"/>
      <c r="BC1236" s="169"/>
    </row>
    <row r="1237" spans="19:55" ht="15.75" customHeight="1">
      <c r="S1237" s="454"/>
      <c r="AY1237" s="458"/>
      <c r="AZ1237" s="458"/>
      <c r="BA1237" s="1266"/>
      <c r="BC1237" s="169"/>
    </row>
    <row r="1238" spans="19:55" ht="15.75" customHeight="1">
      <c r="S1238" s="454"/>
      <c r="AY1238" s="458"/>
      <c r="AZ1238" s="458"/>
      <c r="BA1238" s="1266"/>
      <c r="BC1238" s="169"/>
    </row>
    <row r="1239" spans="19:55" ht="15.75" customHeight="1">
      <c r="S1239" s="454"/>
      <c r="AY1239" s="458"/>
      <c r="AZ1239" s="458"/>
      <c r="BA1239" s="1266"/>
      <c r="BC1239" s="169"/>
    </row>
    <row r="1240" spans="19:55" ht="15.75" customHeight="1">
      <c r="S1240" s="454"/>
      <c r="AY1240" s="458"/>
      <c r="AZ1240" s="458"/>
      <c r="BA1240" s="1266"/>
      <c r="BC1240" s="169"/>
    </row>
    <row r="1241" spans="19:55" ht="15.75" customHeight="1">
      <c r="S1241" s="454"/>
      <c r="AY1241" s="458"/>
      <c r="AZ1241" s="458"/>
      <c r="BA1241" s="1266"/>
      <c r="BC1241" s="169"/>
    </row>
    <row r="1242" spans="19:55" ht="15.75" customHeight="1">
      <c r="S1242" s="454"/>
      <c r="AY1242" s="458"/>
      <c r="AZ1242" s="458"/>
      <c r="BA1242" s="1266"/>
      <c r="BC1242" s="169"/>
    </row>
    <row r="1243" spans="19:55" ht="15.75" customHeight="1">
      <c r="S1243" s="454"/>
      <c r="AY1243" s="458"/>
      <c r="AZ1243" s="458"/>
      <c r="BA1243" s="1266"/>
      <c r="BC1243" s="169"/>
    </row>
    <row r="1244" spans="19:55" ht="15.75" customHeight="1">
      <c r="S1244" s="454"/>
      <c r="AY1244" s="458"/>
      <c r="AZ1244" s="458"/>
      <c r="BA1244" s="1266"/>
      <c r="BC1244" s="169"/>
    </row>
    <row r="1245" spans="19:55" ht="15.75" customHeight="1">
      <c r="S1245" s="454"/>
      <c r="AY1245" s="458"/>
      <c r="AZ1245" s="458"/>
      <c r="BA1245" s="1266"/>
      <c r="BC1245" s="169"/>
    </row>
    <row r="1246" spans="19:55" ht="15.75" customHeight="1">
      <c r="S1246" s="454"/>
      <c r="AY1246" s="458"/>
      <c r="AZ1246" s="458"/>
      <c r="BA1246" s="1266"/>
      <c r="BC1246" s="169"/>
    </row>
    <row r="1247" spans="19:55" ht="15.75" customHeight="1">
      <c r="S1247" s="454"/>
      <c r="AY1247" s="458"/>
      <c r="AZ1247" s="458"/>
      <c r="BA1247" s="1266"/>
      <c r="BC1247" s="169"/>
    </row>
    <row r="1248" spans="19:55" ht="15.75" customHeight="1">
      <c r="S1248" s="454"/>
      <c r="AY1248" s="458"/>
      <c r="AZ1248" s="458"/>
      <c r="BA1248" s="1266"/>
      <c r="BC1248" s="169"/>
    </row>
    <row r="1249" spans="19:55" ht="15.75" customHeight="1">
      <c r="S1249" s="454"/>
      <c r="AY1249" s="458"/>
      <c r="AZ1249" s="458"/>
      <c r="BA1249" s="1266"/>
      <c r="BC1249" s="169"/>
    </row>
    <row r="1250" spans="19:55" ht="15.75" customHeight="1">
      <c r="S1250" s="454"/>
      <c r="AY1250" s="458"/>
      <c r="AZ1250" s="458"/>
      <c r="BA1250" s="1266"/>
      <c r="BC1250" s="169"/>
    </row>
    <row r="1251" spans="19:55" ht="15.75" customHeight="1">
      <c r="S1251" s="454"/>
      <c r="AY1251" s="458"/>
      <c r="AZ1251" s="458"/>
      <c r="BA1251" s="1266"/>
      <c r="BC1251" s="169"/>
    </row>
    <row r="1252" spans="19:55" ht="15.75" customHeight="1">
      <c r="S1252" s="454"/>
      <c r="AY1252" s="458"/>
      <c r="AZ1252" s="458"/>
      <c r="BA1252" s="1266"/>
      <c r="BC1252" s="169"/>
    </row>
    <row r="1253" spans="19:55" ht="15.75" customHeight="1">
      <c r="S1253" s="454"/>
      <c r="AY1253" s="458"/>
      <c r="AZ1253" s="458"/>
      <c r="BA1253" s="1266"/>
      <c r="BC1253" s="169"/>
    </row>
    <row r="1254" spans="19:55" ht="15.75" customHeight="1">
      <c r="S1254" s="454"/>
      <c r="AY1254" s="458"/>
      <c r="AZ1254" s="458"/>
      <c r="BA1254" s="1266"/>
      <c r="BC1254" s="169"/>
    </row>
    <row r="1255" spans="19:55" ht="15.75" customHeight="1">
      <c r="S1255" s="454"/>
      <c r="AY1255" s="458"/>
      <c r="AZ1255" s="458"/>
      <c r="BA1255" s="1266"/>
      <c r="BC1255" s="169"/>
    </row>
    <row r="1256" spans="19:55" ht="15.75" customHeight="1">
      <c r="S1256" s="454"/>
      <c r="AY1256" s="458"/>
      <c r="AZ1256" s="458"/>
      <c r="BA1256" s="1266"/>
      <c r="BC1256" s="169"/>
    </row>
    <row r="1257" spans="19:55" ht="15.75" customHeight="1">
      <c r="S1257" s="454"/>
      <c r="AY1257" s="458"/>
      <c r="AZ1257" s="458"/>
      <c r="BA1257" s="1266"/>
      <c r="BC1257" s="169"/>
    </row>
    <row r="1258" spans="19:55" ht="15.75" customHeight="1">
      <c r="S1258" s="454"/>
      <c r="AY1258" s="458"/>
      <c r="AZ1258" s="458"/>
      <c r="BA1258" s="1266"/>
      <c r="BC1258" s="169"/>
    </row>
    <row r="1259" spans="19:55" ht="15.75" customHeight="1">
      <c r="S1259" s="454"/>
      <c r="AY1259" s="458"/>
      <c r="AZ1259" s="458"/>
      <c r="BA1259" s="1266"/>
      <c r="BC1259" s="169"/>
    </row>
    <row r="1260" spans="19:55" ht="15.75" customHeight="1">
      <c r="S1260" s="454"/>
      <c r="AY1260" s="458"/>
      <c r="AZ1260" s="458"/>
      <c r="BA1260" s="1266"/>
      <c r="BC1260" s="169"/>
    </row>
    <row r="1261" spans="19:55" ht="15.75" customHeight="1">
      <c r="S1261" s="454"/>
      <c r="AY1261" s="458"/>
      <c r="AZ1261" s="458"/>
      <c r="BA1261" s="1266"/>
      <c r="BC1261" s="169"/>
    </row>
    <row r="1262" spans="19:55" ht="15.75" customHeight="1">
      <c r="S1262" s="454"/>
      <c r="AY1262" s="458"/>
      <c r="AZ1262" s="458"/>
      <c r="BA1262" s="1266"/>
      <c r="BC1262" s="169"/>
    </row>
    <row r="1263" spans="19:55" ht="15.75" customHeight="1">
      <c r="S1263" s="454"/>
      <c r="AY1263" s="458"/>
      <c r="AZ1263" s="458"/>
      <c r="BA1263" s="1266"/>
      <c r="BC1263" s="169"/>
    </row>
    <row r="1264" spans="19:55" ht="15.75" customHeight="1">
      <c r="S1264" s="454"/>
      <c r="AY1264" s="458"/>
      <c r="AZ1264" s="458"/>
      <c r="BA1264" s="1266"/>
      <c r="BC1264" s="169"/>
    </row>
    <row r="1265" spans="19:55" ht="15.75" customHeight="1">
      <c r="S1265" s="454"/>
      <c r="AY1265" s="458"/>
      <c r="AZ1265" s="458"/>
      <c r="BA1265" s="1266"/>
      <c r="BC1265" s="169"/>
    </row>
    <row r="1266" spans="19:55" ht="15.75" customHeight="1">
      <c r="S1266" s="454"/>
      <c r="AY1266" s="458"/>
      <c r="AZ1266" s="458"/>
      <c r="BA1266" s="1266"/>
      <c r="BC1266" s="169"/>
    </row>
    <row r="1267" spans="19:55" ht="15.75" customHeight="1">
      <c r="S1267" s="454"/>
      <c r="AY1267" s="458"/>
      <c r="AZ1267" s="458"/>
      <c r="BA1267" s="1266"/>
      <c r="BC1267" s="169"/>
    </row>
    <row r="1268" spans="19:55" ht="15.75" customHeight="1">
      <c r="S1268" s="454"/>
      <c r="AY1268" s="458"/>
      <c r="AZ1268" s="458"/>
      <c r="BA1268" s="1266"/>
      <c r="BC1268" s="169"/>
    </row>
    <row r="1269" spans="19:55" ht="15.75" customHeight="1">
      <c r="S1269" s="454"/>
      <c r="AY1269" s="458"/>
      <c r="AZ1269" s="458"/>
      <c r="BA1269" s="1266"/>
      <c r="BC1269" s="169"/>
    </row>
    <row r="1270" spans="19:55" ht="15.75" customHeight="1">
      <c r="S1270" s="454"/>
      <c r="AY1270" s="458"/>
      <c r="AZ1270" s="458"/>
      <c r="BA1270" s="1266"/>
      <c r="BC1270" s="169"/>
    </row>
    <row r="1271" spans="19:55" ht="15.75" customHeight="1">
      <c r="S1271" s="454"/>
      <c r="AY1271" s="458"/>
      <c r="AZ1271" s="458"/>
      <c r="BA1271" s="1266"/>
      <c r="BC1271" s="169"/>
    </row>
    <row r="1272" spans="19:55" ht="15.75" customHeight="1">
      <c r="S1272" s="454"/>
      <c r="AY1272" s="458"/>
      <c r="AZ1272" s="458"/>
      <c r="BA1272" s="1266"/>
      <c r="BC1272" s="169"/>
    </row>
    <row r="1273" spans="19:55" ht="15.75" customHeight="1">
      <c r="S1273" s="454"/>
      <c r="AY1273" s="458"/>
      <c r="AZ1273" s="458"/>
      <c r="BA1273" s="1266"/>
      <c r="BC1273" s="169"/>
    </row>
    <row r="1274" spans="19:55" ht="15.75" customHeight="1">
      <c r="S1274" s="454"/>
      <c r="AY1274" s="458"/>
      <c r="AZ1274" s="458"/>
      <c r="BA1274" s="1266"/>
      <c r="BC1274" s="169"/>
    </row>
    <row r="1275" spans="19:55" ht="15.75" customHeight="1">
      <c r="S1275" s="454"/>
      <c r="AY1275" s="458"/>
      <c r="AZ1275" s="458"/>
      <c r="BA1275" s="1266"/>
      <c r="BC1275" s="169"/>
    </row>
    <row r="1276" spans="19:55" ht="15.75" customHeight="1">
      <c r="S1276" s="454"/>
      <c r="AY1276" s="458"/>
      <c r="AZ1276" s="458"/>
      <c r="BA1276" s="1266"/>
      <c r="BC1276" s="169"/>
    </row>
    <row r="1277" spans="19:55" ht="15.75" customHeight="1">
      <c r="S1277" s="454"/>
      <c r="AY1277" s="458"/>
      <c r="AZ1277" s="458"/>
      <c r="BA1277" s="1266"/>
      <c r="BC1277" s="169"/>
    </row>
    <row r="1278" spans="19:55" ht="15.75" customHeight="1">
      <c r="S1278" s="454"/>
      <c r="AY1278" s="458"/>
      <c r="AZ1278" s="458"/>
      <c r="BA1278" s="1266"/>
      <c r="BC1278" s="169"/>
    </row>
    <row r="1279" spans="19:55" ht="15.75" customHeight="1">
      <c r="S1279" s="454"/>
      <c r="AY1279" s="458"/>
      <c r="AZ1279" s="458"/>
      <c r="BA1279" s="1266"/>
      <c r="BC1279" s="169"/>
    </row>
    <row r="1280" spans="19:55" ht="15.75" customHeight="1">
      <c r="S1280" s="454"/>
      <c r="AY1280" s="458"/>
      <c r="AZ1280" s="458"/>
      <c r="BA1280" s="1266"/>
      <c r="BC1280" s="169"/>
    </row>
    <row r="1281" spans="19:55" ht="15.75" customHeight="1">
      <c r="S1281" s="454"/>
      <c r="AY1281" s="458"/>
      <c r="AZ1281" s="458"/>
      <c r="BA1281" s="1266"/>
      <c r="BC1281" s="169"/>
    </row>
    <row r="1282" spans="19:55" ht="15.75" customHeight="1">
      <c r="S1282" s="454"/>
      <c r="AY1282" s="458"/>
      <c r="AZ1282" s="458"/>
      <c r="BA1282" s="1266"/>
      <c r="BC1282" s="169"/>
    </row>
    <row r="1283" spans="19:55" ht="15.75" customHeight="1">
      <c r="S1283" s="454"/>
      <c r="AY1283" s="458"/>
      <c r="AZ1283" s="458"/>
      <c r="BA1283" s="1266"/>
      <c r="BC1283" s="169"/>
    </row>
    <row r="1284" spans="19:55" ht="15.75" customHeight="1">
      <c r="S1284" s="454"/>
      <c r="AY1284" s="458"/>
      <c r="AZ1284" s="458"/>
      <c r="BA1284" s="1266"/>
      <c r="BC1284" s="169"/>
    </row>
    <row r="1285" spans="19:55" ht="15.75" customHeight="1">
      <c r="S1285" s="454"/>
      <c r="AY1285" s="458"/>
      <c r="AZ1285" s="458"/>
      <c r="BA1285" s="1266"/>
      <c r="BC1285" s="169"/>
    </row>
    <row r="1286" spans="19:55" ht="15.75" customHeight="1">
      <c r="S1286" s="454"/>
      <c r="AY1286" s="458"/>
      <c r="AZ1286" s="458"/>
      <c r="BA1286" s="1266"/>
      <c r="BC1286" s="169"/>
    </row>
    <row r="1287" spans="19:55" ht="15.75" customHeight="1">
      <c r="S1287" s="454"/>
      <c r="AY1287" s="458"/>
      <c r="AZ1287" s="458"/>
      <c r="BA1287" s="1266"/>
      <c r="BC1287" s="169"/>
    </row>
    <row r="1288" spans="19:55" ht="15.75" customHeight="1">
      <c r="S1288" s="454"/>
      <c r="AY1288" s="458"/>
      <c r="AZ1288" s="458"/>
      <c r="BA1288" s="1266"/>
      <c r="BC1288" s="169"/>
    </row>
    <row r="1289" spans="19:55" ht="15.75" customHeight="1">
      <c r="S1289" s="454"/>
      <c r="AY1289" s="458"/>
      <c r="AZ1289" s="458"/>
      <c r="BA1289" s="1266"/>
      <c r="BC1289" s="169"/>
    </row>
    <row r="1290" spans="19:55" ht="15.75" customHeight="1">
      <c r="S1290" s="454"/>
      <c r="AY1290" s="458"/>
      <c r="AZ1290" s="458"/>
      <c r="BA1290" s="1266"/>
      <c r="BC1290" s="169"/>
    </row>
    <row r="1291" spans="19:55" ht="15.75" customHeight="1">
      <c r="S1291" s="454"/>
      <c r="AY1291" s="458"/>
      <c r="AZ1291" s="458"/>
      <c r="BA1291" s="1266"/>
      <c r="BC1291" s="169"/>
    </row>
    <row r="1292" spans="19:55" ht="15.75" customHeight="1">
      <c r="S1292" s="454"/>
      <c r="AY1292" s="458"/>
      <c r="AZ1292" s="458"/>
      <c r="BA1292" s="1266"/>
      <c r="BC1292" s="169"/>
    </row>
    <row r="1293" spans="19:55" ht="15.75" customHeight="1">
      <c r="S1293" s="454"/>
      <c r="AY1293" s="458"/>
      <c r="AZ1293" s="458"/>
      <c r="BA1293" s="1266"/>
      <c r="BC1293" s="169"/>
    </row>
    <row r="1294" spans="19:55" ht="15.75" customHeight="1">
      <c r="S1294" s="454"/>
      <c r="AY1294" s="458"/>
      <c r="AZ1294" s="458"/>
      <c r="BA1294" s="1266"/>
      <c r="BC1294" s="169"/>
    </row>
    <row r="1295" spans="19:55" ht="15.75" customHeight="1">
      <c r="S1295" s="454"/>
      <c r="AY1295" s="458"/>
      <c r="AZ1295" s="458"/>
      <c r="BA1295" s="1266"/>
      <c r="BC1295" s="169"/>
    </row>
    <row r="1296" spans="19:55" ht="15.75" customHeight="1">
      <c r="S1296" s="454"/>
      <c r="AY1296" s="458"/>
      <c r="AZ1296" s="458"/>
      <c r="BA1296" s="1266"/>
      <c r="BC1296" s="169"/>
    </row>
    <row r="1297" spans="19:55" ht="15.75" customHeight="1">
      <c r="S1297" s="454"/>
      <c r="AY1297" s="458"/>
      <c r="AZ1297" s="458"/>
      <c r="BA1297" s="1266"/>
      <c r="BC1297" s="169"/>
    </row>
    <row r="1298" spans="19:55" ht="15.75" customHeight="1">
      <c r="S1298" s="454"/>
      <c r="AY1298" s="458"/>
      <c r="AZ1298" s="458"/>
      <c r="BA1298" s="1266"/>
      <c r="BC1298" s="169"/>
    </row>
    <row r="1299" spans="19:55" ht="15.75" customHeight="1">
      <c r="S1299" s="454"/>
      <c r="AY1299" s="458"/>
      <c r="AZ1299" s="458"/>
      <c r="BA1299" s="1266"/>
      <c r="BC1299" s="169"/>
    </row>
    <row r="1300" spans="19:55" ht="15.75" customHeight="1">
      <c r="S1300" s="454"/>
      <c r="AY1300" s="458"/>
      <c r="AZ1300" s="458"/>
      <c r="BA1300" s="1266"/>
      <c r="BC1300" s="169"/>
    </row>
    <row r="1301" spans="19:55" ht="15.75" customHeight="1">
      <c r="S1301" s="454"/>
      <c r="AY1301" s="458"/>
      <c r="AZ1301" s="458"/>
      <c r="BA1301" s="1266"/>
      <c r="BC1301" s="169"/>
    </row>
    <row r="1302" spans="19:55" ht="15.75" customHeight="1">
      <c r="S1302" s="454"/>
      <c r="AY1302" s="458"/>
      <c r="AZ1302" s="458"/>
      <c r="BA1302" s="1266"/>
      <c r="BC1302" s="169"/>
    </row>
    <row r="1303" spans="19:55" ht="15.75" customHeight="1">
      <c r="S1303" s="454"/>
      <c r="AY1303" s="458"/>
      <c r="AZ1303" s="458"/>
      <c r="BA1303" s="1266"/>
      <c r="BC1303" s="169"/>
    </row>
    <row r="1304" spans="19:55" ht="15.75" customHeight="1">
      <c r="S1304" s="454"/>
      <c r="AY1304" s="458"/>
      <c r="AZ1304" s="458"/>
      <c r="BC1304" s="169"/>
    </row>
    <row r="1305" spans="19:55" ht="15.75" customHeight="1">
      <c r="S1305" s="454"/>
      <c r="AY1305" s="458"/>
      <c r="AZ1305" s="458"/>
      <c r="BC1305" s="169"/>
    </row>
    <row r="1306" spans="19:55" ht="15.75" customHeight="1">
      <c r="S1306" s="454"/>
      <c r="AY1306" s="458"/>
      <c r="AZ1306" s="458"/>
      <c r="BC1306" s="169"/>
    </row>
    <row r="1307" spans="19:55" ht="15.75" customHeight="1">
      <c r="S1307" s="454"/>
      <c r="AY1307" s="458"/>
      <c r="AZ1307" s="458"/>
      <c r="BC1307" s="169"/>
    </row>
    <row r="1308" spans="19:55" ht="15.75" customHeight="1">
      <c r="S1308" s="454"/>
      <c r="AY1308" s="458"/>
      <c r="AZ1308" s="458"/>
      <c r="BC1308" s="169"/>
    </row>
    <row r="1309" spans="19:55" ht="15.75" customHeight="1">
      <c r="S1309" s="454"/>
      <c r="AY1309" s="458"/>
      <c r="AZ1309" s="458"/>
      <c r="BC1309" s="169"/>
    </row>
    <row r="1310" spans="19:55" ht="15.75" customHeight="1">
      <c r="S1310" s="454"/>
      <c r="AY1310" s="458"/>
      <c r="AZ1310" s="458"/>
      <c r="BC1310" s="169"/>
    </row>
    <row r="1311" spans="19:55" ht="15.75" customHeight="1">
      <c r="S1311" s="454"/>
      <c r="AY1311" s="458"/>
      <c r="AZ1311" s="458"/>
      <c r="BC1311" s="169"/>
    </row>
    <row r="1312" spans="19:55" ht="15.75" customHeight="1">
      <c r="S1312" s="454"/>
      <c r="AY1312" s="458"/>
      <c r="AZ1312" s="458"/>
      <c r="BC1312" s="169"/>
    </row>
    <row r="1313" spans="19:55" ht="15.75" customHeight="1">
      <c r="S1313" s="454"/>
      <c r="AY1313" s="458"/>
      <c r="AZ1313" s="458"/>
      <c r="BC1313" s="169"/>
    </row>
    <row r="1314" spans="19:55" ht="15.75" customHeight="1">
      <c r="S1314" s="454"/>
      <c r="AY1314" s="458"/>
      <c r="AZ1314" s="458"/>
      <c r="BC1314" s="169"/>
    </row>
    <row r="1315" spans="19:55" ht="15.75" customHeight="1">
      <c r="S1315" s="454"/>
      <c r="AY1315" s="458"/>
      <c r="AZ1315" s="458"/>
      <c r="BC1315" s="169"/>
    </row>
    <row r="1316" spans="19:55" ht="15.75" customHeight="1">
      <c r="S1316" s="454"/>
      <c r="BC1316" s="169"/>
    </row>
    <row r="1317" spans="19:55" ht="15.75" customHeight="1">
      <c r="S1317" s="454"/>
      <c r="BC1317" s="169"/>
    </row>
    <row r="1318" spans="19:55" ht="15.75" customHeight="1">
      <c r="S1318" s="454"/>
      <c r="BC1318" s="169"/>
    </row>
    <row r="1319" spans="19:55" ht="15.75" customHeight="1">
      <c r="S1319" s="454"/>
      <c r="BC1319" s="169"/>
    </row>
    <row r="1320" spans="19:55" ht="15.75" customHeight="1">
      <c r="S1320" s="454"/>
      <c r="BC1320" s="169"/>
    </row>
    <row r="1321" spans="19:55" ht="15.75" customHeight="1">
      <c r="S1321" s="454"/>
      <c r="BC1321" s="169"/>
    </row>
    <row r="1322" spans="19:55" ht="15.75" customHeight="1">
      <c r="S1322" s="454"/>
      <c r="BC1322" s="169"/>
    </row>
    <row r="1323" spans="19:55" ht="15.75" customHeight="1">
      <c r="S1323" s="454"/>
      <c r="BC1323" s="169"/>
    </row>
    <row r="1324" spans="19:55" ht="15.75" customHeight="1">
      <c r="S1324" s="454"/>
      <c r="BC1324" s="169"/>
    </row>
    <row r="1325" spans="19:55" ht="15.75" customHeight="1">
      <c r="S1325" s="454"/>
      <c r="BC1325" s="169"/>
    </row>
    <row r="1326" spans="19:55" ht="15.75" customHeight="1">
      <c r="S1326" s="454"/>
      <c r="BC1326" s="169"/>
    </row>
    <row r="1327" spans="19:55" ht="15.75" customHeight="1">
      <c r="S1327" s="454"/>
      <c r="BC1327" s="169"/>
    </row>
    <row r="1328" spans="19:55" ht="15.75" customHeight="1">
      <c r="S1328" s="454"/>
      <c r="BC1328" s="169"/>
    </row>
    <row r="1329" spans="19:55" ht="15.75" customHeight="1">
      <c r="S1329" s="454"/>
      <c r="BC1329" s="169"/>
    </row>
    <row r="1330" spans="19:55" ht="15.75" customHeight="1">
      <c r="S1330" s="454"/>
      <c r="BC1330" s="169"/>
    </row>
    <row r="1331" spans="19:55" ht="15.75" customHeight="1">
      <c r="S1331" s="454"/>
      <c r="BC1331" s="169"/>
    </row>
    <row r="1332" spans="19:55" ht="15.75" customHeight="1">
      <c r="S1332" s="454"/>
      <c r="BC1332" s="169"/>
    </row>
    <row r="1333" spans="19:55" ht="15.75" customHeight="1">
      <c r="S1333" s="454"/>
      <c r="BC1333" s="169"/>
    </row>
    <row r="1334" spans="19:55" ht="15.75" customHeight="1">
      <c r="S1334" s="454"/>
      <c r="BC1334" s="169"/>
    </row>
    <row r="1335" spans="19:55" ht="15.75" customHeight="1">
      <c r="S1335" s="454"/>
      <c r="BC1335" s="169"/>
    </row>
    <row r="1336" spans="19:55" ht="15.75" customHeight="1">
      <c r="S1336" s="454"/>
      <c r="BC1336" s="169"/>
    </row>
    <row r="1337" spans="19:55" ht="15.75" customHeight="1">
      <c r="S1337" s="454"/>
      <c r="BC1337" s="169"/>
    </row>
    <row r="1338" spans="19:55" ht="15.75" customHeight="1">
      <c r="S1338" s="454"/>
      <c r="BC1338" s="169"/>
    </row>
    <row r="1339" spans="19:55" ht="15.75" customHeight="1">
      <c r="S1339" s="454"/>
      <c r="BC1339" s="169"/>
    </row>
    <row r="1340" spans="19:55" ht="15.75" customHeight="1">
      <c r="S1340" s="454"/>
      <c r="BC1340" s="169"/>
    </row>
    <row r="1341" spans="19:55" ht="15.75" customHeight="1">
      <c r="S1341" s="454"/>
      <c r="BC1341" s="169"/>
    </row>
    <row r="1342" spans="19:55" ht="15.75" customHeight="1">
      <c r="S1342" s="454"/>
      <c r="BC1342" s="169"/>
    </row>
    <row r="1343" spans="19:55" ht="15.75" customHeight="1">
      <c r="S1343" s="454"/>
      <c r="BC1343" s="169"/>
    </row>
    <row r="1344" spans="19:55" ht="15.75" customHeight="1">
      <c r="S1344" s="454"/>
      <c r="BC1344" s="169"/>
    </row>
    <row r="1345" spans="19:55" ht="15.75" customHeight="1">
      <c r="S1345" s="454"/>
      <c r="BC1345" s="169"/>
    </row>
    <row r="1346" spans="19:55" ht="15.75" customHeight="1">
      <c r="S1346" s="454"/>
      <c r="BC1346" s="169"/>
    </row>
    <row r="1347" spans="19:55" ht="15.75" customHeight="1">
      <c r="S1347" s="454"/>
      <c r="BC1347" s="169"/>
    </row>
    <row r="1348" spans="19:55" ht="15.75" customHeight="1">
      <c r="S1348" s="454"/>
      <c r="BC1348" s="169"/>
    </row>
    <row r="1349" spans="19:55" ht="15.75" customHeight="1">
      <c r="S1349" s="454"/>
      <c r="BC1349" s="169"/>
    </row>
    <row r="1350" spans="19:55" ht="15.75" customHeight="1">
      <c r="S1350" s="454"/>
      <c r="BC1350" s="169"/>
    </row>
    <row r="1351" spans="19:55" ht="15.75" customHeight="1">
      <c r="S1351" s="454"/>
      <c r="BC1351" s="169"/>
    </row>
    <row r="1352" spans="19:55" ht="15.75" customHeight="1">
      <c r="S1352" s="454"/>
      <c r="BC1352" s="169"/>
    </row>
    <row r="1353" spans="19:55" ht="15.75" customHeight="1">
      <c r="S1353" s="454"/>
      <c r="BC1353" s="169"/>
    </row>
    <row r="1354" spans="19:55" ht="15.75" customHeight="1">
      <c r="S1354" s="454"/>
      <c r="BC1354" s="169"/>
    </row>
    <row r="1355" spans="19:55" ht="15.75" customHeight="1">
      <c r="S1355" s="454"/>
      <c r="BC1355" s="169"/>
    </row>
    <row r="1356" spans="19:55" ht="15.75" customHeight="1">
      <c r="S1356" s="454"/>
      <c r="BC1356" s="169"/>
    </row>
    <row r="1357" spans="19:55" ht="15.75" customHeight="1">
      <c r="S1357" s="454"/>
      <c r="BC1357" s="169"/>
    </row>
    <row r="1358" spans="19:55" ht="15.75" customHeight="1">
      <c r="S1358" s="454"/>
      <c r="BC1358" s="169"/>
    </row>
    <row r="1359" spans="19:55" ht="15.75" customHeight="1">
      <c r="S1359" s="454"/>
      <c r="BC1359" s="169"/>
    </row>
    <row r="1360" spans="19:55" ht="15.75" customHeight="1">
      <c r="S1360" s="454"/>
      <c r="BC1360" s="169"/>
    </row>
    <row r="1361" spans="19:55" ht="15.75" customHeight="1">
      <c r="S1361" s="454"/>
      <c r="BC1361" s="169"/>
    </row>
    <row r="1362" spans="19:55" ht="15.75" customHeight="1">
      <c r="S1362" s="454"/>
      <c r="BC1362" s="169"/>
    </row>
    <row r="1363" spans="19:55" ht="15.75" customHeight="1">
      <c r="S1363" s="454"/>
      <c r="BC1363" s="169"/>
    </row>
    <row r="1364" spans="19:55" ht="15.75" customHeight="1">
      <c r="S1364" s="454"/>
      <c r="BC1364" s="169"/>
    </row>
    <row r="1365" spans="19:55" ht="15.75" customHeight="1">
      <c r="S1365" s="454"/>
      <c r="BC1365" s="169"/>
    </row>
    <row r="1366" spans="19:55" ht="15.75" customHeight="1">
      <c r="S1366" s="454"/>
      <c r="BC1366" s="169"/>
    </row>
    <row r="1367" spans="19:55" ht="15.75" customHeight="1">
      <c r="S1367" s="454"/>
      <c r="BC1367" s="169"/>
    </row>
    <row r="1368" spans="19:55" ht="15.75" customHeight="1">
      <c r="S1368" s="454"/>
      <c r="BC1368" s="169"/>
    </row>
    <row r="1369" spans="19:55" ht="15.75" customHeight="1">
      <c r="S1369" s="454"/>
      <c r="BC1369" s="169"/>
    </row>
    <row r="1370" spans="19:55" ht="15.75" customHeight="1">
      <c r="S1370" s="454"/>
      <c r="BC1370" s="169"/>
    </row>
    <row r="1371" spans="19:55" ht="15.75" customHeight="1">
      <c r="S1371" s="454"/>
      <c r="BC1371" s="169"/>
    </row>
    <row r="1372" spans="19:55" ht="15.75" customHeight="1">
      <c r="S1372" s="454"/>
      <c r="BC1372" s="169"/>
    </row>
    <row r="1373" spans="19:55" ht="15.75" customHeight="1">
      <c r="S1373" s="454"/>
      <c r="BC1373" s="169"/>
    </row>
    <row r="1374" spans="19:55" ht="15.75" customHeight="1">
      <c r="S1374" s="454"/>
      <c r="BC1374" s="169"/>
    </row>
    <row r="1375" spans="19:55" ht="15.75" customHeight="1">
      <c r="S1375" s="454"/>
      <c r="BC1375" s="169"/>
    </row>
    <row r="1376" spans="19:55" ht="15.75" customHeight="1">
      <c r="S1376" s="454"/>
      <c r="BC1376" s="169"/>
    </row>
    <row r="1377" spans="19:55" ht="15.75" customHeight="1">
      <c r="S1377" s="454"/>
      <c r="BC1377" s="169"/>
    </row>
    <row r="1378" spans="19:55" ht="15.75" customHeight="1">
      <c r="S1378" s="454"/>
      <c r="BC1378" s="169"/>
    </row>
    <row r="1379" spans="19:55" ht="15.75" customHeight="1">
      <c r="S1379" s="454"/>
      <c r="BC1379" s="169"/>
    </row>
    <row r="1380" spans="19:55" ht="15.75" customHeight="1">
      <c r="S1380" s="454"/>
      <c r="BC1380" s="169"/>
    </row>
    <row r="1381" spans="19:55" ht="15.75" customHeight="1">
      <c r="S1381" s="454"/>
      <c r="BC1381" s="169"/>
    </row>
    <row r="1382" spans="19:55" ht="15.75" customHeight="1">
      <c r="S1382" s="454"/>
      <c r="BC1382" s="169"/>
    </row>
    <row r="1383" spans="19:55" ht="15.75" customHeight="1">
      <c r="S1383" s="454"/>
      <c r="BC1383" s="169"/>
    </row>
    <row r="1384" spans="19:55" ht="15.75" customHeight="1">
      <c r="S1384" s="454"/>
      <c r="BC1384" s="169"/>
    </row>
    <row r="1385" spans="19:55" ht="15.75" customHeight="1">
      <c r="S1385" s="454"/>
      <c r="BC1385" s="169"/>
    </row>
    <row r="1386" spans="19:55" ht="15.75" customHeight="1">
      <c r="S1386" s="454"/>
      <c r="BC1386" s="169"/>
    </row>
    <row r="1387" spans="19:55" ht="15.75" customHeight="1">
      <c r="S1387" s="454"/>
      <c r="BC1387" s="169"/>
    </row>
    <row r="1388" spans="19:55" ht="15.75" customHeight="1">
      <c r="S1388" s="454"/>
      <c r="BC1388" s="169"/>
    </row>
    <row r="1389" spans="19:55" ht="15.75" customHeight="1">
      <c r="S1389" s="454"/>
      <c r="BC1389" s="169"/>
    </row>
    <row r="1390" spans="19:55" ht="15.75" customHeight="1">
      <c r="S1390" s="454"/>
      <c r="BC1390" s="169"/>
    </row>
    <row r="1391" spans="19:55" ht="15.75" customHeight="1">
      <c r="S1391" s="454"/>
      <c r="BC1391" s="169"/>
    </row>
    <row r="1392" spans="19:55" ht="15.75" customHeight="1">
      <c r="S1392" s="454"/>
      <c r="BC1392" s="169"/>
    </row>
    <row r="1393" spans="19:55" ht="15.75" customHeight="1">
      <c r="S1393" s="454"/>
      <c r="BC1393" s="169"/>
    </row>
    <row r="1394" spans="19:55" ht="15.75" customHeight="1">
      <c r="S1394" s="454"/>
      <c r="BC1394" s="169"/>
    </row>
    <row r="1395" spans="19:55" ht="15.75" customHeight="1">
      <c r="S1395" s="454"/>
      <c r="BC1395" s="169"/>
    </row>
    <row r="1396" spans="19:55" ht="15.75" customHeight="1">
      <c r="S1396" s="454"/>
      <c r="BC1396" s="169"/>
    </row>
    <row r="1397" spans="19:55" ht="15.75" customHeight="1">
      <c r="S1397" s="454"/>
      <c r="BC1397" s="169"/>
    </row>
    <row r="1398" spans="19:55" ht="15.75" customHeight="1">
      <c r="S1398" s="454"/>
      <c r="BC1398" s="169"/>
    </row>
    <row r="1399" spans="19:55" ht="15.75" customHeight="1">
      <c r="S1399" s="454"/>
      <c r="BC1399" s="169"/>
    </row>
    <row r="1400" spans="19:55" ht="15.75" customHeight="1">
      <c r="S1400" s="454"/>
      <c r="BC1400" s="169"/>
    </row>
    <row r="1401" spans="19:55" ht="15.75" customHeight="1">
      <c r="S1401" s="454"/>
      <c r="BC1401" s="169"/>
    </row>
    <row r="1402" spans="19:55" ht="15.75" customHeight="1">
      <c r="S1402" s="454"/>
      <c r="BC1402" s="169"/>
    </row>
    <row r="1403" spans="19:55" ht="15.75" customHeight="1">
      <c r="S1403" s="454"/>
      <c r="BC1403" s="169"/>
    </row>
    <row r="1404" spans="19:55" ht="15.75" customHeight="1">
      <c r="S1404" s="454"/>
      <c r="BC1404" s="169"/>
    </row>
    <row r="1405" spans="19:55" ht="15.75" customHeight="1">
      <c r="S1405" s="454"/>
      <c r="BC1405" s="169"/>
    </row>
    <row r="1406" spans="19:55" ht="15.75" customHeight="1">
      <c r="S1406" s="454"/>
      <c r="BC1406" s="169"/>
    </row>
    <row r="1407" spans="19:55" ht="15.75" customHeight="1">
      <c r="S1407" s="454"/>
      <c r="BC1407" s="169"/>
    </row>
    <row r="1408" spans="19:55" ht="15.75" customHeight="1">
      <c r="S1408" s="454"/>
      <c r="BC1408" s="169"/>
    </row>
    <row r="1409" spans="19:55" ht="15.75" customHeight="1">
      <c r="S1409" s="454"/>
      <c r="BC1409" s="169"/>
    </row>
    <row r="1410" spans="19:55" ht="15.75" customHeight="1">
      <c r="S1410" s="454"/>
      <c r="BC1410" s="169"/>
    </row>
    <row r="1411" spans="19:55" ht="15.75" customHeight="1">
      <c r="S1411" s="454"/>
      <c r="BC1411" s="169"/>
    </row>
    <row r="1412" spans="19:55" ht="15.75" customHeight="1">
      <c r="S1412" s="454"/>
      <c r="BC1412" s="169"/>
    </row>
    <row r="1413" spans="19:55" ht="15.75" customHeight="1">
      <c r="S1413" s="454"/>
      <c r="BC1413" s="169"/>
    </row>
    <row r="1414" spans="19:55" ht="15.75" customHeight="1">
      <c r="S1414" s="454"/>
      <c r="BC1414" s="169"/>
    </row>
    <row r="1415" spans="19:55" ht="15.75" customHeight="1">
      <c r="S1415" s="454"/>
      <c r="BC1415" s="169"/>
    </row>
    <row r="1416" spans="19:55" ht="15.75" customHeight="1">
      <c r="S1416" s="454"/>
      <c r="BC1416" s="169"/>
    </row>
    <row r="1417" spans="19:55" ht="15.75" customHeight="1">
      <c r="S1417" s="454"/>
      <c r="BC1417" s="169"/>
    </row>
    <row r="1418" spans="19:55" ht="15.75" customHeight="1">
      <c r="S1418" s="454"/>
      <c r="BC1418" s="169"/>
    </row>
    <row r="1419" spans="19:55" ht="15.75" customHeight="1">
      <c r="S1419" s="454"/>
      <c r="BC1419" s="169"/>
    </row>
    <row r="1420" spans="19:55" ht="15.75" customHeight="1">
      <c r="S1420" s="454"/>
      <c r="BC1420" s="169"/>
    </row>
    <row r="1421" spans="19:55" ht="15.75" customHeight="1">
      <c r="S1421" s="454"/>
      <c r="BC1421" s="169"/>
    </row>
    <row r="1422" spans="19:55" ht="15.75" customHeight="1">
      <c r="S1422" s="454"/>
      <c r="BC1422" s="169"/>
    </row>
    <row r="1423" spans="19:55" ht="15.75" customHeight="1">
      <c r="S1423" s="454"/>
      <c r="BC1423" s="169"/>
    </row>
    <row r="1424" spans="19:55" ht="15.75" customHeight="1">
      <c r="S1424" s="454"/>
      <c r="BC1424" s="169"/>
    </row>
    <row r="1425" spans="19:55" ht="15.75" customHeight="1">
      <c r="S1425" s="454"/>
      <c r="BC1425" s="169"/>
    </row>
    <row r="1426" spans="19:55" ht="15.75" customHeight="1">
      <c r="S1426" s="454"/>
      <c r="BC1426" s="169"/>
    </row>
    <row r="1427" spans="19:55" ht="15.75" customHeight="1">
      <c r="S1427" s="454"/>
      <c r="BC1427" s="169"/>
    </row>
    <row r="1428" spans="19:55" ht="15.75" customHeight="1">
      <c r="S1428" s="454"/>
      <c r="BC1428" s="169"/>
    </row>
    <row r="1429" spans="19:55" ht="15.75" customHeight="1">
      <c r="S1429" s="454"/>
      <c r="BC1429" s="169"/>
    </row>
    <row r="1430" spans="19:55" ht="15.75" customHeight="1">
      <c r="S1430" s="454"/>
      <c r="BC1430" s="169"/>
    </row>
    <row r="1431" spans="19:55" ht="15.75" customHeight="1">
      <c r="S1431" s="454"/>
      <c r="BC1431" s="169"/>
    </row>
    <row r="1432" spans="19:55" ht="15.75" customHeight="1">
      <c r="S1432" s="454"/>
      <c r="BC1432" s="169"/>
    </row>
    <row r="1433" spans="19:55" ht="15.75" customHeight="1">
      <c r="S1433" s="454"/>
      <c r="BC1433" s="169"/>
    </row>
    <row r="1434" spans="19:55" ht="15.75" customHeight="1">
      <c r="S1434" s="454"/>
      <c r="BC1434" s="169"/>
    </row>
    <row r="1435" spans="19:55" ht="15.75" customHeight="1">
      <c r="S1435" s="454"/>
      <c r="BC1435" s="169"/>
    </row>
    <row r="1436" spans="19:55" ht="15.75" customHeight="1">
      <c r="S1436" s="454"/>
      <c r="BC1436" s="169"/>
    </row>
    <row r="1437" spans="19:55" ht="15.75" customHeight="1">
      <c r="S1437" s="454"/>
      <c r="BC1437" s="169"/>
    </row>
    <row r="1438" spans="19:55" ht="15.75" customHeight="1">
      <c r="S1438" s="454"/>
      <c r="BC1438" s="169"/>
    </row>
    <row r="1439" spans="19:55" ht="15.75" customHeight="1">
      <c r="S1439" s="454"/>
      <c r="BC1439" s="169"/>
    </row>
    <row r="1440" spans="19:55" ht="15.75" customHeight="1">
      <c r="S1440" s="454"/>
      <c r="BC1440" s="169"/>
    </row>
    <row r="1441" spans="19:55" ht="15.75" customHeight="1">
      <c r="S1441" s="454"/>
      <c r="BC1441" s="169"/>
    </row>
    <row r="1442" spans="19:55" ht="15.75" customHeight="1">
      <c r="S1442" s="454"/>
      <c r="BC1442" s="169"/>
    </row>
    <row r="1443" spans="19:55" ht="15.75" customHeight="1">
      <c r="S1443" s="454"/>
      <c r="BC1443" s="169"/>
    </row>
    <row r="1444" spans="19:55" ht="15.75" customHeight="1">
      <c r="S1444" s="454"/>
      <c r="BC1444" s="169"/>
    </row>
    <row r="1445" spans="19:55" ht="15.75" customHeight="1">
      <c r="S1445" s="454"/>
      <c r="BC1445" s="169"/>
    </row>
    <row r="1446" spans="19:55" ht="15.75" customHeight="1">
      <c r="S1446" s="454"/>
      <c r="BC1446" s="169"/>
    </row>
    <row r="1447" spans="19:55" ht="15.75" customHeight="1">
      <c r="S1447" s="454"/>
      <c r="BC1447" s="169"/>
    </row>
    <row r="1448" spans="19:55" ht="15.75" customHeight="1">
      <c r="S1448" s="454"/>
      <c r="BC1448" s="169"/>
    </row>
    <row r="1449" spans="19:55" ht="15.75" customHeight="1">
      <c r="S1449" s="454"/>
      <c r="BC1449" s="169"/>
    </row>
    <row r="1450" spans="19:55" ht="15.75" customHeight="1">
      <c r="S1450" s="454"/>
      <c r="BC1450" s="169"/>
    </row>
    <row r="1451" spans="19:55" ht="15.75" customHeight="1">
      <c r="S1451" s="454"/>
      <c r="BC1451" s="169"/>
    </row>
    <row r="1452" spans="19:55" ht="15.75" customHeight="1">
      <c r="S1452" s="454"/>
      <c r="BC1452" s="169"/>
    </row>
    <row r="1453" spans="19:55" ht="15.75" customHeight="1">
      <c r="S1453" s="454"/>
      <c r="BC1453" s="169"/>
    </row>
    <row r="1454" spans="19:55" ht="15.75" customHeight="1">
      <c r="S1454" s="454"/>
      <c r="BC1454" s="169"/>
    </row>
    <row r="1455" spans="19:55" ht="15.75" customHeight="1">
      <c r="S1455" s="454"/>
      <c r="BC1455" s="169"/>
    </row>
    <row r="1456" spans="19:55" ht="15.75" customHeight="1">
      <c r="S1456" s="454"/>
      <c r="BC1456" s="169"/>
    </row>
    <row r="1457" spans="19:55" ht="15.75" customHeight="1">
      <c r="S1457" s="454"/>
      <c r="BC1457" s="169"/>
    </row>
    <row r="1458" spans="19:55" ht="15.75" customHeight="1">
      <c r="S1458" s="454"/>
      <c r="BC1458" s="169"/>
    </row>
    <row r="1459" spans="19:55" ht="15.75" customHeight="1">
      <c r="S1459" s="454"/>
      <c r="BC1459" s="169"/>
    </row>
    <row r="1460" spans="19:55" ht="15.75" customHeight="1">
      <c r="S1460" s="454"/>
      <c r="BC1460" s="169"/>
    </row>
    <row r="1461" spans="19:55" ht="15.75" customHeight="1">
      <c r="S1461" s="454"/>
      <c r="BC1461" s="169"/>
    </row>
    <row r="1462" spans="19:55" ht="15.75" customHeight="1">
      <c r="S1462" s="454"/>
      <c r="BC1462" s="169"/>
    </row>
    <row r="1463" spans="19:55" ht="15.75" customHeight="1">
      <c r="S1463" s="454"/>
      <c r="BC1463" s="169"/>
    </row>
    <row r="1464" spans="19:55" ht="15.75" customHeight="1">
      <c r="S1464" s="454"/>
      <c r="BC1464" s="169"/>
    </row>
    <row r="1465" spans="19:55" ht="15.75" customHeight="1">
      <c r="S1465" s="454"/>
      <c r="BC1465" s="169"/>
    </row>
    <row r="1466" spans="19:55" ht="15.75" customHeight="1">
      <c r="S1466" s="454"/>
      <c r="BC1466" s="169"/>
    </row>
    <row r="1467" spans="19:55" ht="15.75" customHeight="1">
      <c r="S1467" s="454"/>
      <c r="BC1467" s="169"/>
    </row>
    <row r="1468" spans="19:55" ht="15.75" customHeight="1">
      <c r="S1468" s="454"/>
      <c r="BC1468" s="169"/>
    </row>
    <row r="1469" spans="19:55" ht="15.75" customHeight="1">
      <c r="S1469" s="454"/>
      <c r="BC1469" s="169"/>
    </row>
    <row r="1470" spans="19:55" ht="15.75" customHeight="1">
      <c r="S1470" s="454"/>
      <c r="BC1470" s="169"/>
    </row>
    <row r="1471" spans="19:55" ht="15.75" customHeight="1">
      <c r="S1471" s="454"/>
      <c r="BC1471" s="169"/>
    </row>
    <row r="1472" spans="19:55" ht="15.75" customHeight="1">
      <c r="S1472" s="454"/>
      <c r="BC1472" s="169"/>
    </row>
    <row r="1473" spans="19:55" ht="15.75" customHeight="1">
      <c r="S1473" s="454"/>
      <c r="BC1473" s="169"/>
    </row>
    <row r="1474" spans="19:55" ht="15.75" customHeight="1">
      <c r="S1474" s="454"/>
      <c r="BC1474" s="169"/>
    </row>
    <row r="1475" spans="19:55" ht="15.75" customHeight="1">
      <c r="S1475" s="454"/>
      <c r="BC1475" s="169"/>
    </row>
    <row r="1476" spans="19:55" ht="15.75" customHeight="1">
      <c r="S1476" s="454"/>
      <c r="BC1476" s="169"/>
    </row>
    <row r="1477" spans="19:55" ht="15.75" customHeight="1">
      <c r="S1477" s="454"/>
      <c r="BC1477" s="169"/>
    </row>
    <row r="1478" spans="19:55" ht="15.75" customHeight="1">
      <c r="S1478" s="454"/>
      <c r="BC1478" s="169"/>
    </row>
    <row r="1479" spans="19:55" ht="15.75" customHeight="1">
      <c r="S1479" s="454"/>
      <c r="BC1479" s="169"/>
    </row>
    <row r="1480" spans="19:55" ht="15.75" customHeight="1">
      <c r="S1480" s="454"/>
      <c r="BC1480" s="169"/>
    </row>
    <row r="1481" spans="19:55" ht="15.75" customHeight="1">
      <c r="S1481" s="454"/>
      <c r="BC1481" s="169"/>
    </row>
    <row r="1482" spans="19:55" ht="15.75" customHeight="1">
      <c r="S1482" s="454"/>
      <c r="BC1482" s="169"/>
    </row>
    <row r="1483" spans="19:55" ht="15.75" customHeight="1">
      <c r="S1483" s="454"/>
      <c r="BC1483" s="169"/>
    </row>
    <row r="1484" spans="19:55" ht="15.75" customHeight="1">
      <c r="S1484" s="454"/>
      <c r="BC1484" s="169"/>
    </row>
    <row r="1485" spans="19:55" ht="15.75" customHeight="1">
      <c r="S1485" s="454"/>
      <c r="BC1485" s="169"/>
    </row>
    <row r="1486" spans="19:55" ht="15.75" customHeight="1">
      <c r="S1486" s="454"/>
      <c r="BC1486" s="169"/>
    </row>
    <row r="1487" spans="19:55" ht="15.75" customHeight="1">
      <c r="S1487" s="454"/>
      <c r="BC1487" s="169"/>
    </row>
    <row r="1488" spans="19:55" ht="15.75" customHeight="1">
      <c r="S1488" s="454"/>
      <c r="BC1488" s="169"/>
    </row>
    <row r="1489" spans="19:55" ht="15.75" customHeight="1">
      <c r="S1489" s="454"/>
      <c r="BC1489" s="169"/>
    </row>
    <row r="1490" spans="19:55" ht="15.75" customHeight="1">
      <c r="S1490" s="454"/>
      <c r="BC1490" s="169"/>
    </row>
    <row r="1491" spans="19:55" ht="15.75" customHeight="1">
      <c r="S1491" s="454"/>
      <c r="BC1491" s="169"/>
    </row>
    <row r="1492" spans="19:55" ht="15.75" customHeight="1">
      <c r="S1492" s="454"/>
      <c r="BC1492" s="169"/>
    </row>
    <row r="1493" spans="19:55" ht="15.75" customHeight="1">
      <c r="S1493" s="454"/>
      <c r="BC1493" s="169"/>
    </row>
    <row r="1494" spans="19:55" ht="15.75" customHeight="1">
      <c r="BC1494" s="169"/>
    </row>
    <row r="1495" spans="19:55" ht="15.75" customHeight="1">
      <c r="BC1495" s="169"/>
    </row>
    <row r="1496" spans="19:55" ht="15.75" customHeight="1">
      <c r="BC1496" s="169"/>
    </row>
    <row r="1497" spans="19:55" ht="15.75" customHeight="1">
      <c r="BC1497" s="169"/>
    </row>
    <row r="1498" spans="19:55" ht="15.75" customHeight="1">
      <c r="BC1498" s="169"/>
    </row>
    <row r="1499" spans="19:55" ht="15.75" customHeight="1">
      <c r="BC1499" s="169"/>
    </row>
    <row r="1500" spans="19:55" ht="15.75" customHeight="1">
      <c r="BC1500" s="169"/>
    </row>
    <row r="1501" spans="19:55" ht="15.75" customHeight="1">
      <c r="BC1501" s="169"/>
    </row>
    <row r="1502" spans="19:55" ht="15.75" customHeight="1">
      <c r="BC1502" s="169"/>
    </row>
    <row r="1503" spans="19:55" ht="15.75" customHeight="1">
      <c r="BC1503" s="169"/>
    </row>
    <row r="1504" spans="19:55" ht="15.75" customHeight="1">
      <c r="BC1504" s="169"/>
    </row>
    <row r="1505" spans="55:55" ht="15.75" customHeight="1">
      <c r="BC1505" s="169"/>
    </row>
    <row r="1506" spans="55:55" ht="15.75" customHeight="1">
      <c r="BC1506" s="169"/>
    </row>
    <row r="1507" spans="55:55" ht="15.75" customHeight="1">
      <c r="BC1507" s="169"/>
    </row>
    <row r="1508" spans="55:55" ht="15.75" customHeight="1">
      <c r="BC1508" s="169"/>
    </row>
    <row r="1509" spans="55:55" ht="15.75" customHeight="1">
      <c r="BC1509" s="169"/>
    </row>
    <row r="1510" spans="55:55" ht="15.75" customHeight="1">
      <c r="BC1510" s="169"/>
    </row>
    <row r="1511" spans="55:55" ht="15.75" customHeight="1">
      <c r="BC1511" s="169"/>
    </row>
    <row r="1512" spans="55:55" ht="15.75" customHeight="1">
      <c r="BC1512" s="169"/>
    </row>
    <row r="1513" spans="55:55" ht="15.75" customHeight="1">
      <c r="BC1513" s="169"/>
    </row>
    <row r="1514" spans="55:55" ht="15.75" customHeight="1">
      <c r="BC1514" s="169"/>
    </row>
    <row r="1515" spans="55:55" ht="15.75" customHeight="1">
      <c r="BC1515" s="169"/>
    </row>
    <row r="1516" spans="55:55" ht="15.75" customHeight="1">
      <c r="BC1516" s="169"/>
    </row>
    <row r="1517" spans="55:55" ht="15.75" customHeight="1">
      <c r="BC1517" s="169"/>
    </row>
    <row r="1518" spans="55:55" ht="15.75" customHeight="1">
      <c r="BC1518" s="169"/>
    </row>
    <row r="1519" spans="55:55" ht="15.75" customHeight="1">
      <c r="BC1519" s="169"/>
    </row>
    <row r="1520" spans="55:55" ht="15.75" customHeight="1">
      <c r="BC1520" s="169"/>
    </row>
    <row r="1521" spans="55:55" ht="15.75" customHeight="1">
      <c r="BC1521" s="169"/>
    </row>
    <row r="1522" spans="55:55" ht="15.75" customHeight="1">
      <c r="BC1522" s="169"/>
    </row>
    <row r="1523" spans="55:55" ht="15.75" customHeight="1">
      <c r="BC1523" s="169"/>
    </row>
    <row r="1524" spans="55:55" ht="15.75" customHeight="1">
      <c r="BC1524" s="169"/>
    </row>
    <row r="1525" spans="55:55" ht="15.75" customHeight="1">
      <c r="BC1525" s="169"/>
    </row>
    <row r="1526" spans="55:55" ht="15.75" customHeight="1">
      <c r="BC1526" s="169"/>
    </row>
    <row r="1527" spans="55:55" ht="15.75" customHeight="1">
      <c r="BC1527" s="169"/>
    </row>
    <row r="1528" spans="55:55" ht="15.75" customHeight="1">
      <c r="BC1528" s="169"/>
    </row>
    <row r="1529" spans="55:55" ht="15.75" customHeight="1">
      <c r="BC1529" s="169"/>
    </row>
    <row r="1530" spans="55:55" ht="15.75" customHeight="1">
      <c r="BC1530" s="169"/>
    </row>
    <row r="1531" spans="55:55" ht="15.75" customHeight="1">
      <c r="BC1531" s="169"/>
    </row>
    <row r="1532" spans="55:55" ht="15.75" customHeight="1">
      <c r="BC1532" s="169"/>
    </row>
    <row r="1533" spans="55:55" ht="15.75" customHeight="1">
      <c r="BC1533" s="169"/>
    </row>
    <row r="1534" spans="55:55" ht="15.75" customHeight="1">
      <c r="BC1534" s="169"/>
    </row>
    <row r="1535" spans="55:55" ht="15.75" customHeight="1">
      <c r="BC1535" s="169"/>
    </row>
    <row r="1536" spans="55:55" ht="15.75" customHeight="1">
      <c r="BC1536" s="169"/>
    </row>
    <row r="1537" spans="55:55" ht="15.75" customHeight="1">
      <c r="BC1537" s="169"/>
    </row>
    <row r="1538" spans="55:55" ht="15.75" customHeight="1">
      <c r="BC1538" s="169"/>
    </row>
    <row r="1539" spans="55:55" ht="15.75" customHeight="1">
      <c r="BC1539" s="169"/>
    </row>
    <row r="1540" spans="55:55" ht="15.75" customHeight="1">
      <c r="BC1540" s="169"/>
    </row>
    <row r="1541" spans="55:55" ht="15.75" customHeight="1">
      <c r="BC1541" s="169"/>
    </row>
    <row r="1542" spans="55:55" ht="15.75" customHeight="1">
      <c r="BC1542" s="169"/>
    </row>
    <row r="1543" spans="55:55" ht="15.75" customHeight="1">
      <c r="BC1543" s="169"/>
    </row>
    <row r="1544" spans="55:55" ht="15.75" customHeight="1">
      <c r="BC1544" s="169"/>
    </row>
    <row r="1545" spans="55:55" ht="15.75" customHeight="1">
      <c r="BC1545" s="169"/>
    </row>
    <row r="1546" spans="55:55" ht="15.75" customHeight="1">
      <c r="BC1546" s="169"/>
    </row>
    <row r="1547" spans="55:55" ht="15.75" customHeight="1">
      <c r="BC1547" s="169"/>
    </row>
    <row r="1548" spans="55:55" ht="15.75" customHeight="1">
      <c r="BC1548" s="169"/>
    </row>
    <row r="1549" spans="55:55" ht="15.75" customHeight="1">
      <c r="BC1549" s="169"/>
    </row>
    <row r="1550" spans="55:55" ht="15.75" customHeight="1">
      <c r="BC1550" s="169"/>
    </row>
    <row r="1551" spans="55:55" ht="15.75" customHeight="1">
      <c r="BC1551" s="169"/>
    </row>
    <row r="1552" spans="55:55" ht="15.75" customHeight="1">
      <c r="BC1552" s="169"/>
    </row>
    <row r="1553" spans="55:55" ht="15.75" customHeight="1">
      <c r="BC1553" s="169"/>
    </row>
    <row r="1554" spans="55:55" ht="15.75" customHeight="1">
      <c r="BC1554" s="169"/>
    </row>
    <row r="1555" spans="55:55" ht="15.75" customHeight="1">
      <c r="BC1555" s="169"/>
    </row>
    <row r="1556" spans="55:55" ht="15.75" customHeight="1">
      <c r="BC1556" s="169"/>
    </row>
    <row r="1557" spans="55:55" ht="15.75" customHeight="1">
      <c r="BC1557" s="169"/>
    </row>
    <row r="1558" spans="55:55" ht="15.75" customHeight="1">
      <c r="BC1558" s="169"/>
    </row>
    <row r="1559" spans="55:55" ht="15.75" customHeight="1">
      <c r="BC1559" s="169"/>
    </row>
    <row r="1560" spans="55:55" ht="15.75" customHeight="1">
      <c r="BC1560" s="169"/>
    </row>
    <row r="1561" spans="55:55" ht="15.75" customHeight="1">
      <c r="BC1561" s="169"/>
    </row>
    <row r="1562" spans="55:55" ht="15.75" customHeight="1">
      <c r="BC1562" s="169"/>
    </row>
    <row r="1563" spans="55:55" ht="15.75" customHeight="1">
      <c r="BC1563" s="169"/>
    </row>
    <row r="1564" spans="55:55" ht="15.75" customHeight="1">
      <c r="BC1564" s="169"/>
    </row>
    <row r="1565" spans="55:55" ht="15.75" customHeight="1">
      <c r="BC1565" s="169"/>
    </row>
    <row r="1566" spans="55:55" ht="15.75" customHeight="1">
      <c r="BC1566" s="169"/>
    </row>
    <row r="1567" spans="55:55" ht="15.75" customHeight="1">
      <c r="BC1567" s="169"/>
    </row>
    <row r="1568" spans="55:55" ht="15.75" customHeight="1">
      <c r="BC1568" s="169"/>
    </row>
    <row r="1569" spans="55:55" ht="15.75" customHeight="1">
      <c r="BC1569" s="169"/>
    </row>
    <row r="1570" spans="55:55" ht="15.75" customHeight="1">
      <c r="BC1570" s="169"/>
    </row>
    <row r="1571" spans="55:55" ht="15.75" customHeight="1">
      <c r="BC1571" s="169"/>
    </row>
    <row r="1572" spans="55:55" ht="15.75" customHeight="1">
      <c r="BC1572" s="169"/>
    </row>
    <row r="1573" spans="55:55" ht="15.75" customHeight="1">
      <c r="BC1573" s="169"/>
    </row>
    <row r="1574" spans="55:55" ht="15.75" customHeight="1">
      <c r="BC1574" s="169"/>
    </row>
    <row r="1575" spans="55:55" ht="15.75" customHeight="1">
      <c r="BC1575" s="169"/>
    </row>
    <row r="1576" spans="55:55" ht="15.75" customHeight="1">
      <c r="BC1576" s="169"/>
    </row>
    <row r="1577" spans="55:55" ht="15.75" customHeight="1">
      <c r="BC1577" s="169"/>
    </row>
    <row r="1578" spans="55:55" ht="15.75" customHeight="1">
      <c r="BC1578" s="169"/>
    </row>
    <row r="1579" spans="55:55" ht="15.75" customHeight="1">
      <c r="BC1579" s="169"/>
    </row>
    <row r="1580" spans="55:55" ht="15.75" customHeight="1">
      <c r="BC1580" s="169"/>
    </row>
    <row r="1581" spans="55:55" ht="15.75" customHeight="1">
      <c r="BC1581" s="169"/>
    </row>
    <row r="1582" spans="55:55" ht="15.75" customHeight="1">
      <c r="BC1582" s="169"/>
    </row>
    <row r="1583" spans="55:55" ht="15.75" customHeight="1">
      <c r="BC1583" s="169"/>
    </row>
    <row r="1584" spans="55:55" ht="15.75" customHeight="1">
      <c r="BC1584" s="169"/>
    </row>
    <row r="1585" spans="55:55" ht="15.75" customHeight="1">
      <c r="BC1585" s="169"/>
    </row>
    <row r="1586" spans="55:55" ht="15.75" customHeight="1">
      <c r="BC1586" s="169"/>
    </row>
    <row r="1587" spans="55:55" ht="15.75" customHeight="1">
      <c r="BC1587" s="169"/>
    </row>
    <row r="1588" spans="55:55" ht="15.75" customHeight="1">
      <c r="BC1588" s="169"/>
    </row>
    <row r="1589" spans="55:55" ht="15.75" customHeight="1">
      <c r="BC1589" s="169"/>
    </row>
    <row r="1590" spans="55:55" ht="15.75" customHeight="1">
      <c r="BC1590" s="169"/>
    </row>
    <row r="1591" spans="55:55" ht="15.75" customHeight="1">
      <c r="BC1591" s="169"/>
    </row>
    <row r="1592" spans="55:55" ht="15.75" customHeight="1">
      <c r="BC1592" s="169"/>
    </row>
    <row r="1593" spans="55:55" ht="15.75" customHeight="1">
      <c r="BC1593" s="169"/>
    </row>
    <row r="1594" spans="55:55" ht="15.75" customHeight="1">
      <c r="BC1594" s="169"/>
    </row>
    <row r="1595" spans="55:55" ht="15.75" customHeight="1">
      <c r="BC1595" s="169"/>
    </row>
    <row r="1596" spans="55:55" ht="15.75" customHeight="1">
      <c r="BC1596" s="169"/>
    </row>
    <row r="1597" spans="55:55" ht="15.75" customHeight="1">
      <c r="BC1597" s="169"/>
    </row>
    <row r="1598" spans="55:55" ht="15.75" customHeight="1">
      <c r="BC1598" s="169"/>
    </row>
    <row r="1599" spans="55:55" ht="15.75" customHeight="1">
      <c r="BC1599" s="169"/>
    </row>
    <row r="1600" spans="55:55" ht="15.75" customHeight="1">
      <c r="BC1600" s="169"/>
    </row>
    <row r="1601" spans="55:55" ht="15.75" customHeight="1">
      <c r="BC1601" s="169"/>
    </row>
    <row r="1602" spans="55:55" ht="15.75" customHeight="1">
      <c r="BC1602" s="169"/>
    </row>
    <row r="1603" spans="55:55" ht="15.75" customHeight="1">
      <c r="BC1603" s="169"/>
    </row>
    <row r="1604" spans="55:55" ht="15.75" customHeight="1">
      <c r="BC1604" s="169"/>
    </row>
    <row r="1605" spans="55:55" ht="15.75" customHeight="1">
      <c r="BC1605" s="169"/>
    </row>
    <row r="1606" spans="55:55" ht="15.75" customHeight="1">
      <c r="BC1606" s="169"/>
    </row>
    <row r="1607" spans="55:55" ht="15.75" customHeight="1">
      <c r="BC1607" s="169"/>
    </row>
    <row r="1608" spans="55:55" ht="15.75" customHeight="1">
      <c r="BC1608" s="169"/>
    </row>
    <row r="1609" spans="55:55" ht="15.75" customHeight="1">
      <c r="BC1609" s="169"/>
    </row>
    <row r="1610" spans="55:55" ht="15.75" customHeight="1">
      <c r="BC1610" s="169"/>
    </row>
    <row r="1611" spans="55:55" ht="15.75" customHeight="1">
      <c r="BC1611" s="169"/>
    </row>
    <row r="1612" spans="55:55" ht="15.75" customHeight="1">
      <c r="BC1612" s="169"/>
    </row>
    <row r="1613" spans="55:55" ht="15.75" customHeight="1">
      <c r="BC1613" s="169"/>
    </row>
    <row r="1614" spans="55:55" ht="15.75" customHeight="1">
      <c r="BC1614" s="169"/>
    </row>
    <row r="1615" spans="55:55" ht="15.75" customHeight="1">
      <c r="BC1615" s="169"/>
    </row>
    <row r="1616" spans="55:55" ht="15.75" customHeight="1">
      <c r="BC1616" s="169"/>
    </row>
    <row r="1617" spans="55:55" ht="15.75" customHeight="1">
      <c r="BC1617" s="169"/>
    </row>
    <row r="1618" spans="55:55" ht="15.75" customHeight="1">
      <c r="BC1618" s="169"/>
    </row>
    <row r="1619" spans="55:55" ht="15.75" customHeight="1">
      <c r="BC1619" s="169"/>
    </row>
    <row r="1620" spans="55:55" ht="15.75" customHeight="1">
      <c r="BC1620" s="169"/>
    </row>
    <row r="1621" spans="55:55" ht="15.75" customHeight="1">
      <c r="BC1621" s="169"/>
    </row>
    <row r="1622" spans="55:55" ht="15.75" customHeight="1">
      <c r="BC1622" s="169"/>
    </row>
    <row r="1623" spans="55:55" ht="15.75" customHeight="1">
      <c r="BC1623" s="169"/>
    </row>
    <row r="1624" spans="55:55" ht="15.75" customHeight="1">
      <c r="BC1624" s="169"/>
    </row>
    <row r="1625" spans="55:55" ht="15.75" customHeight="1">
      <c r="BC1625" s="169"/>
    </row>
    <row r="1626" spans="55:55" ht="15.75" customHeight="1">
      <c r="BC1626" s="169"/>
    </row>
    <row r="1627" spans="55:55" ht="15.75" customHeight="1">
      <c r="BC1627" s="169"/>
    </row>
    <row r="1628" spans="55:55" ht="15.75" customHeight="1">
      <c r="BC1628" s="169"/>
    </row>
    <row r="1629" spans="55:55" ht="15.75" customHeight="1">
      <c r="BC1629" s="169"/>
    </row>
    <row r="1630" spans="55:55" ht="15.75" customHeight="1">
      <c r="BC1630" s="169"/>
    </row>
    <row r="1631" spans="55:55" ht="15.75" customHeight="1">
      <c r="BC1631" s="169"/>
    </row>
    <row r="1632" spans="55:55" ht="15.75" customHeight="1">
      <c r="BC1632" s="169"/>
    </row>
    <row r="1633" spans="55:55" ht="15.75" customHeight="1">
      <c r="BC1633" s="169"/>
    </row>
    <row r="1634" spans="55:55" ht="15.75" customHeight="1">
      <c r="BC1634" s="169"/>
    </row>
    <row r="1635" spans="55:55" ht="15.75" customHeight="1">
      <c r="BC1635" s="169"/>
    </row>
    <row r="1636" spans="55:55" ht="15.75" customHeight="1">
      <c r="BC1636" s="169"/>
    </row>
    <row r="1637" spans="55:55" ht="15.75" customHeight="1">
      <c r="BC1637" s="169"/>
    </row>
    <row r="1638" spans="55:55" ht="15.75" customHeight="1">
      <c r="BC1638" s="169"/>
    </row>
    <row r="1639" spans="55:55" ht="15.75" customHeight="1">
      <c r="BC1639" s="169"/>
    </row>
    <row r="1640" spans="55:55" ht="15.75" customHeight="1">
      <c r="BC1640" s="169"/>
    </row>
    <row r="1641" spans="55:55" ht="15.75" customHeight="1">
      <c r="BC1641" s="169"/>
    </row>
    <row r="1642" spans="55:55" ht="15.75" customHeight="1">
      <c r="BC1642" s="169"/>
    </row>
    <row r="1643" spans="55:55" ht="15.75" customHeight="1">
      <c r="BC1643" s="169"/>
    </row>
    <row r="1644" spans="55:55" ht="15.75" customHeight="1">
      <c r="BC1644" s="169"/>
    </row>
    <row r="1645" spans="55:55" ht="15.75" customHeight="1">
      <c r="BC1645" s="169"/>
    </row>
    <row r="1646" spans="55:55" ht="15.75" customHeight="1">
      <c r="BC1646" s="169"/>
    </row>
    <row r="1647" spans="55:55" ht="15.75" customHeight="1">
      <c r="BC1647" s="169"/>
    </row>
    <row r="1648" spans="55:55" ht="15.75" customHeight="1">
      <c r="BC1648" s="169"/>
    </row>
    <row r="1649" spans="55:55" ht="15.75" customHeight="1">
      <c r="BC1649" s="169"/>
    </row>
    <row r="1650" spans="55:55" ht="15.75" customHeight="1">
      <c r="BC1650" s="169"/>
    </row>
    <row r="1651" spans="55:55" ht="15.75" customHeight="1">
      <c r="BC1651" s="169"/>
    </row>
    <row r="1652" spans="55:55" ht="15.75" customHeight="1">
      <c r="BC1652" s="169"/>
    </row>
    <row r="1653" spans="55:55" ht="15.75" customHeight="1">
      <c r="BC1653" s="169"/>
    </row>
    <row r="1654" spans="55:55" ht="15.75" customHeight="1">
      <c r="BC1654" s="169"/>
    </row>
    <row r="1655" spans="55:55" ht="15.75" customHeight="1">
      <c r="BC1655" s="169"/>
    </row>
    <row r="1656" spans="55:55" ht="15.75" customHeight="1">
      <c r="BC1656" s="169"/>
    </row>
    <row r="1657" spans="55:55" ht="15.75" customHeight="1">
      <c r="BC1657" s="169"/>
    </row>
    <row r="1658" spans="55:55" ht="15.75" customHeight="1">
      <c r="BC1658" s="169"/>
    </row>
    <row r="1659" spans="55:55" ht="15.75" customHeight="1">
      <c r="BC1659" s="169"/>
    </row>
    <row r="1660" spans="55:55" ht="15.75" customHeight="1">
      <c r="BC1660" s="169"/>
    </row>
    <row r="1661" spans="55:55" ht="15.75" customHeight="1">
      <c r="BC1661" s="169"/>
    </row>
    <row r="1662" spans="55:55" ht="15.75" customHeight="1">
      <c r="BC1662" s="169"/>
    </row>
    <row r="1663" spans="55:55" ht="15.75" customHeight="1">
      <c r="BC1663" s="169"/>
    </row>
    <row r="1664" spans="55:55" ht="15.75" customHeight="1">
      <c r="BC1664" s="169"/>
    </row>
    <row r="1665" spans="55:55" ht="15.75" customHeight="1">
      <c r="BC1665" s="169"/>
    </row>
    <row r="1666" spans="55:55" ht="15.75" customHeight="1">
      <c r="BC1666" s="169"/>
    </row>
    <row r="1667" spans="55:55" ht="15.75" customHeight="1">
      <c r="BC1667" s="169"/>
    </row>
    <row r="1668" spans="55:55" ht="15.75" customHeight="1">
      <c r="BC1668" s="169"/>
    </row>
    <row r="1669" spans="55:55" ht="15.75" customHeight="1">
      <c r="BC1669" s="169"/>
    </row>
    <row r="1670" spans="55:55" ht="15.75" customHeight="1">
      <c r="BC1670" s="169"/>
    </row>
    <row r="1671" spans="55:55" ht="15.75" customHeight="1">
      <c r="BC1671" s="169"/>
    </row>
    <row r="1672" spans="55:55" ht="15.75" customHeight="1">
      <c r="BC1672" s="169"/>
    </row>
    <row r="1673" spans="55:55" ht="15.75" customHeight="1">
      <c r="BC1673" s="169"/>
    </row>
    <row r="1674" spans="55:55" ht="15.75" customHeight="1">
      <c r="BC1674" s="169"/>
    </row>
    <row r="1675" spans="55:55" ht="15.75" customHeight="1">
      <c r="BC1675" s="169"/>
    </row>
    <row r="1676" spans="55:55" ht="15.75" customHeight="1">
      <c r="BC1676" s="169"/>
    </row>
    <row r="1677" spans="55:55" ht="15.75" customHeight="1">
      <c r="BC1677" s="169"/>
    </row>
    <row r="1678" spans="55:55" ht="15.75" customHeight="1">
      <c r="BC1678" s="169"/>
    </row>
    <row r="1679" spans="55:55" ht="15.75" customHeight="1">
      <c r="BC1679" s="169"/>
    </row>
    <row r="1680" spans="55:55" ht="15.75" customHeight="1">
      <c r="BC1680" s="169"/>
    </row>
    <row r="1681" spans="55:55" ht="15.75" customHeight="1">
      <c r="BC1681" s="169"/>
    </row>
    <row r="1682" spans="55:55" ht="15.75" customHeight="1">
      <c r="BC1682" s="169"/>
    </row>
    <row r="1683" spans="55:55" ht="15.75" customHeight="1">
      <c r="BC1683" s="169"/>
    </row>
    <row r="1684" spans="55:55" ht="15.75" customHeight="1">
      <c r="BC1684" s="169"/>
    </row>
    <row r="1685" spans="55:55" ht="15.75" customHeight="1">
      <c r="BC1685" s="169"/>
    </row>
    <row r="1686" spans="55:55" ht="15.75" customHeight="1">
      <c r="BC1686" s="169"/>
    </row>
    <row r="1687" spans="55:55" ht="15.75" customHeight="1">
      <c r="BC1687" s="169"/>
    </row>
    <row r="1688" spans="55:55" ht="15.75" customHeight="1">
      <c r="BC1688" s="169"/>
    </row>
    <row r="1689" spans="55:55" ht="15.75" customHeight="1">
      <c r="BC1689" s="169"/>
    </row>
    <row r="1690" spans="55:55" ht="15.75" customHeight="1">
      <c r="BC1690" s="169"/>
    </row>
    <row r="1691" spans="55:55" ht="15.75" customHeight="1">
      <c r="BC1691" s="169"/>
    </row>
    <row r="1692" spans="55:55" ht="15.75" customHeight="1">
      <c r="BC1692" s="169"/>
    </row>
    <row r="1693" spans="55:55" ht="15.75" customHeight="1">
      <c r="BC1693" s="169"/>
    </row>
    <row r="1694" spans="55:55" ht="15.75" customHeight="1">
      <c r="BC1694" s="169"/>
    </row>
    <row r="1695" spans="55:55" ht="15.75" customHeight="1">
      <c r="BC1695" s="169"/>
    </row>
    <row r="1696" spans="55:55" ht="15.75" customHeight="1">
      <c r="BC1696" s="169"/>
    </row>
    <row r="1697" spans="55:55" ht="15.75" customHeight="1">
      <c r="BC1697" s="169"/>
    </row>
    <row r="1698" spans="55:55" ht="15.75" customHeight="1">
      <c r="BC1698" s="169"/>
    </row>
    <row r="1699" spans="55:55" ht="15.75" customHeight="1">
      <c r="BC1699" s="169"/>
    </row>
    <row r="1700" spans="55:55" ht="15.75" customHeight="1">
      <c r="BC1700" s="169"/>
    </row>
    <row r="1701" spans="55:55" ht="15.75" customHeight="1">
      <c r="BC1701" s="169"/>
    </row>
    <row r="1702" spans="55:55" ht="15.75" customHeight="1">
      <c r="BC1702" s="169"/>
    </row>
    <row r="1703" spans="55:55" ht="15.75" customHeight="1">
      <c r="BC1703" s="169"/>
    </row>
    <row r="1704" spans="55:55" ht="15.75" customHeight="1">
      <c r="BC1704" s="169"/>
    </row>
    <row r="1705" spans="55:55" ht="15.75" customHeight="1">
      <c r="BC1705" s="169"/>
    </row>
    <row r="1706" spans="55:55" ht="15.75" customHeight="1">
      <c r="BC1706" s="169"/>
    </row>
    <row r="1707" spans="55:55" ht="15.75" customHeight="1">
      <c r="BC1707" s="169"/>
    </row>
    <row r="1708" spans="55:55" ht="15.75" customHeight="1">
      <c r="BC1708" s="169"/>
    </row>
    <row r="1709" spans="55:55" ht="15.75" customHeight="1">
      <c r="BC1709" s="169"/>
    </row>
    <row r="1710" spans="55:55" ht="15.75" customHeight="1">
      <c r="BC1710" s="169"/>
    </row>
    <row r="1711" spans="55:55" ht="15.75" customHeight="1">
      <c r="BC1711" s="169"/>
    </row>
    <row r="1712" spans="55:55" ht="15.75" customHeight="1">
      <c r="BC1712" s="169"/>
    </row>
    <row r="1713" spans="55:55" ht="15.75" customHeight="1">
      <c r="BC1713" s="169"/>
    </row>
    <row r="1714" spans="55:55" ht="15.75" customHeight="1">
      <c r="BC1714" s="169"/>
    </row>
    <row r="1715" spans="55:55" ht="15.75" customHeight="1">
      <c r="BC1715" s="169"/>
    </row>
    <row r="1716" spans="55:55" ht="15.75" customHeight="1">
      <c r="BC1716" s="169"/>
    </row>
    <row r="1717" spans="55:55" ht="15.75" customHeight="1">
      <c r="BC1717" s="169"/>
    </row>
    <row r="1718" spans="55:55" ht="15.75" customHeight="1">
      <c r="BC1718" s="169"/>
    </row>
    <row r="1719" spans="55:55" ht="15.75" customHeight="1">
      <c r="BC1719" s="169"/>
    </row>
    <row r="1720" spans="55:55" ht="15.75" customHeight="1">
      <c r="BC1720" s="169"/>
    </row>
    <row r="1721" spans="55:55" ht="15.75" customHeight="1">
      <c r="BC1721" s="169"/>
    </row>
    <row r="1722" spans="55:55" ht="15.75" customHeight="1">
      <c r="BC1722" s="169"/>
    </row>
    <row r="1723" spans="55:55" ht="15.75" customHeight="1">
      <c r="BC1723" s="169"/>
    </row>
    <row r="1724" spans="55:55" ht="15.75" customHeight="1">
      <c r="BC1724" s="169"/>
    </row>
    <row r="1725" spans="55:55" ht="15.75" customHeight="1">
      <c r="BC1725" s="169"/>
    </row>
    <row r="1726" spans="55:55" ht="15.75" customHeight="1">
      <c r="BC1726" s="169"/>
    </row>
    <row r="1727" spans="55:55" ht="15.75" customHeight="1">
      <c r="BC1727" s="169"/>
    </row>
    <row r="1728" spans="55:55" ht="15.75" customHeight="1">
      <c r="BC1728" s="169"/>
    </row>
    <row r="1729" spans="55:55" ht="15.75" customHeight="1">
      <c r="BC1729" s="169"/>
    </row>
    <row r="1730" spans="55:55" ht="15.75" customHeight="1">
      <c r="BC1730" s="169"/>
    </row>
    <row r="1731" spans="55:55" ht="15.75" customHeight="1">
      <c r="BC1731" s="169"/>
    </row>
    <row r="1732" spans="55:55" ht="15.75" customHeight="1">
      <c r="BC1732" s="169"/>
    </row>
    <row r="1733" spans="55:55" ht="15.75" customHeight="1">
      <c r="BC1733" s="169"/>
    </row>
    <row r="1734" spans="55:55" ht="15.75" customHeight="1">
      <c r="BC1734" s="169"/>
    </row>
    <row r="1735" spans="55:55" ht="15.75" customHeight="1">
      <c r="BC1735" s="169"/>
    </row>
    <row r="1736" spans="55:55" ht="15.75" customHeight="1">
      <c r="BC1736" s="169"/>
    </row>
    <row r="1737" spans="55:55" ht="15.75" customHeight="1">
      <c r="BC1737" s="169"/>
    </row>
    <row r="1738" spans="55:55" ht="15.75" customHeight="1">
      <c r="BC1738" s="169"/>
    </row>
    <row r="1739" spans="55:55" ht="15.75" customHeight="1">
      <c r="BC1739" s="169"/>
    </row>
    <row r="1740" spans="55:55" ht="15.75" customHeight="1">
      <c r="BC1740" s="169"/>
    </row>
    <row r="1741" spans="55:55" ht="15.75" customHeight="1">
      <c r="BC1741" s="169"/>
    </row>
    <row r="1742" spans="55:55" ht="15.75" customHeight="1">
      <c r="BC1742" s="169"/>
    </row>
    <row r="1743" spans="55:55" ht="15.75" customHeight="1">
      <c r="BC1743" s="169"/>
    </row>
    <row r="1744" spans="55:55" ht="15.75" customHeight="1">
      <c r="BC1744" s="169"/>
    </row>
    <row r="1745" spans="55:55" ht="15.75" customHeight="1">
      <c r="BC1745" s="169"/>
    </row>
    <row r="1746" spans="55:55" ht="15.75" customHeight="1">
      <c r="BC1746" s="169"/>
    </row>
    <row r="1747" spans="55:55" ht="15.75" customHeight="1">
      <c r="BC1747" s="169"/>
    </row>
    <row r="1748" spans="55:55" ht="15.75" customHeight="1">
      <c r="BC1748" s="169"/>
    </row>
    <row r="1749" spans="55:55" ht="15.75" customHeight="1">
      <c r="BC1749" s="169"/>
    </row>
    <row r="1750" spans="55:55" ht="15.75" customHeight="1">
      <c r="BC1750" s="169"/>
    </row>
    <row r="1751" spans="55:55" ht="15.75" customHeight="1">
      <c r="BC1751" s="169"/>
    </row>
    <row r="1752" spans="55:55" ht="15.75" customHeight="1">
      <c r="BC1752" s="169"/>
    </row>
    <row r="1753" spans="55:55" ht="15.75" customHeight="1">
      <c r="BC1753" s="169"/>
    </row>
    <row r="1754" spans="55:55" ht="15.75" customHeight="1">
      <c r="BC1754" s="169"/>
    </row>
    <row r="1755" spans="55:55" ht="15.75" customHeight="1">
      <c r="BC1755" s="169"/>
    </row>
    <row r="1756" spans="55:55" ht="15.75" customHeight="1">
      <c r="BC1756" s="169"/>
    </row>
    <row r="1757" spans="55:55" ht="15.75" customHeight="1">
      <c r="BC1757" s="169"/>
    </row>
    <row r="1758" spans="55:55" ht="15.75" customHeight="1">
      <c r="BC1758" s="169"/>
    </row>
    <row r="1759" spans="55:55" ht="15.75" customHeight="1">
      <c r="BC1759" s="169"/>
    </row>
    <row r="1760" spans="55:55" ht="15.75" customHeight="1">
      <c r="BC1760" s="169"/>
    </row>
    <row r="1761" spans="55:55" ht="15.75" customHeight="1">
      <c r="BC1761" s="169"/>
    </row>
    <row r="1762" spans="55:55" ht="15.75" customHeight="1">
      <c r="BC1762" s="169"/>
    </row>
    <row r="1763" spans="55:55" ht="15.75" customHeight="1">
      <c r="BC1763" s="169"/>
    </row>
    <row r="1764" spans="55:55" ht="15.75" customHeight="1">
      <c r="BC1764" s="169"/>
    </row>
    <row r="1765" spans="55:55" ht="15.75" customHeight="1">
      <c r="BC1765" s="169"/>
    </row>
    <row r="1766" spans="55:55" ht="15.75" customHeight="1">
      <c r="BC1766" s="169"/>
    </row>
    <row r="1767" spans="55:55" ht="15.75" customHeight="1">
      <c r="BC1767" s="169"/>
    </row>
    <row r="1768" spans="55:55" ht="15.75" customHeight="1">
      <c r="BC1768" s="169"/>
    </row>
    <row r="1769" spans="55:55" ht="15.75" customHeight="1">
      <c r="BC1769" s="169"/>
    </row>
    <row r="1770" spans="55:55" ht="15.75" customHeight="1">
      <c r="BC1770" s="169"/>
    </row>
    <row r="1771" spans="55:55" ht="15.75" customHeight="1">
      <c r="BC1771" s="169"/>
    </row>
    <row r="1772" spans="55:55" ht="15.75" customHeight="1">
      <c r="BC1772" s="169"/>
    </row>
    <row r="1773" spans="55:55" ht="15.75" customHeight="1">
      <c r="BC1773" s="169"/>
    </row>
    <row r="1774" spans="55:55" ht="15.75" customHeight="1">
      <c r="BC1774" s="169"/>
    </row>
    <row r="1775" spans="55:55" ht="15.75" customHeight="1">
      <c r="BC1775" s="169"/>
    </row>
    <row r="1776" spans="55:55" ht="15.75" customHeight="1">
      <c r="BC1776" s="169"/>
    </row>
    <row r="1777" spans="55:55" ht="15.75" customHeight="1">
      <c r="BC1777" s="169"/>
    </row>
    <row r="1778" spans="55:55" ht="15.75" customHeight="1">
      <c r="BC1778" s="169"/>
    </row>
    <row r="1779" spans="55:55" ht="15.75" customHeight="1">
      <c r="BC1779" s="169"/>
    </row>
    <row r="1780" spans="55:55" ht="15.75" customHeight="1">
      <c r="BC1780" s="169"/>
    </row>
    <row r="1781" spans="55:55" ht="15.75" customHeight="1">
      <c r="BC1781" s="169"/>
    </row>
    <row r="1782" spans="55:55" ht="15.75" customHeight="1">
      <c r="BC1782" s="169"/>
    </row>
    <row r="1783" spans="55:55" ht="15.75" customHeight="1">
      <c r="BC1783" s="169"/>
    </row>
    <row r="1784" spans="55:55" ht="15.75" customHeight="1">
      <c r="BC1784" s="169"/>
    </row>
    <row r="1785" spans="55:55" ht="15.75" customHeight="1">
      <c r="BC1785" s="169"/>
    </row>
    <row r="1786" spans="55:55" ht="15.75" customHeight="1">
      <c r="BC1786" s="169"/>
    </row>
    <row r="1787" spans="55:55" ht="15.75" customHeight="1">
      <c r="BC1787" s="169"/>
    </row>
    <row r="1788" spans="55:55" ht="15.75" customHeight="1">
      <c r="BC1788" s="169"/>
    </row>
    <row r="1789" spans="55:55" ht="15.75" customHeight="1">
      <c r="BC1789" s="169"/>
    </row>
    <row r="1790" spans="55:55" ht="15.75" customHeight="1">
      <c r="BC1790" s="169"/>
    </row>
    <row r="1791" spans="55:55" ht="15.75" customHeight="1">
      <c r="BC1791" s="169"/>
    </row>
    <row r="1792" spans="55:55" ht="15.75" customHeight="1">
      <c r="BC1792" s="169"/>
    </row>
    <row r="1793" spans="55:55" ht="15.75" customHeight="1">
      <c r="BC1793" s="169"/>
    </row>
    <row r="1794" spans="55:55" ht="15.75" customHeight="1">
      <c r="BC1794" s="169"/>
    </row>
    <row r="1795" spans="55:55" ht="15.75" customHeight="1">
      <c r="BC1795" s="169"/>
    </row>
    <row r="1796" spans="55:55" ht="15.75" customHeight="1">
      <c r="BC1796" s="169"/>
    </row>
    <row r="1797" spans="55:55" ht="15.75" customHeight="1">
      <c r="BC1797" s="169"/>
    </row>
    <row r="1798" spans="55:55" ht="15.75" customHeight="1">
      <c r="BC1798" s="169"/>
    </row>
    <row r="1799" spans="55:55" ht="15.75" customHeight="1">
      <c r="BC1799" s="169"/>
    </row>
    <row r="1800" spans="55:55" ht="15.75" customHeight="1">
      <c r="BC1800" s="169"/>
    </row>
    <row r="1801" spans="55:55" ht="15.75" customHeight="1">
      <c r="BC1801" s="169"/>
    </row>
    <row r="1802" spans="55:55" ht="15.75" customHeight="1">
      <c r="BC1802" s="169"/>
    </row>
    <row r="1803" spans="55:55" ht="15.75" customHeight="1">
      <c r="BC1803" s="169"/>
    </row>
    <row r="1804" spans="55:55" ht="15.75" customHeight="1">
      <c r="BC1804" s="169"/>
    </row>
    <row r="1805" spans="55:55" ht="15.75" customHeight="1">
      <c r="BC1805" s="169"/>
    </row>
    <row r="1806" spans="55:55" ht="15.75" customHeight="1">
      <c r="BC1806" s="169"/>
    </row>
    <row r="1807" spans="55:55" ht="15.75" customHeight="1">
      <c r="BC1807" s="169"/>
    </row>
    <row r="1808" spans="55:55" ht="15.75" customHeight="1">
      <c r="BC1808" s="169"/>
    </row>
    <row r="1809" spans="55:55" ht="15.75" customHeight="1">
      <c r="BC1809" s="169"/>
    </row>
    <row r="1810" spans="55:55" ht="15.75" customHeight="1">
      <c r="BC1810" s="169"/>
    </row>
    <row r="1811" spans="55:55" ht="15.75" customHeight="1">
      <c r="BC1811" s="169"/>
    </row>
    <row r="1812" spans="55:55" ht="15.75" customHeight="1">
      <c r="BC1812" s="169"/>
    </row>
    <row r="1813" spans="55:55" ht="15.75" customHeight="1">
      <c r="BC1813" s="169"/>
    </row>
    <row r="1814" spans="55:55" ht="15.75" customHeight="1">
      <c r="BC1814" s="169"/>
    </row>
    <row r="1815" spans="55:55" ht="15.75" customHeight="1">
      <c r="BC1815" s="169"/>
    </row>
    <row r="1816" spans="55:55" ht="15.75" customHeight="1">
      <c r="BC1816" s="169"/>
    </row>
    <row r="1817" spans="55:55" ht="15.75" customHeight="1">
      <c r="BC1817" s="169"/>
    </row>
    <row r="1818" spans="55:55" ht="15.75" customHeight="1">
      <c r="BC1818" s="169"/>
    </row>
    <row r="1819" spans="55:55" ht="15.75" customHeight="1">
      <c r="BC1819" s="169"/>
    </row>
    <row r="1820" spans="55:55" ht="15.75" customHeight="1">
      <c r="BC1820" s="169"/>
    </row>
    <row r="1821" spans="55:55" ht="15.75" customHeight="1">
      <c r="BC1821" s="169"/>
    </row>
    <row r="1822" spans="55:55" ht="15.75" customHeight="1">
      <c r="BC1822" s="169"/>
    </row>
    <row r="1823" spans="55:55" ht="15.75" customHeight="1">
      <c r="BC1823" s="169"/>
    </row>
    <row r="1824" spans="55:55" ht="15.75" customHeight="1">
      <c r="BC1824" s="169"/>
    </row>
    <row r="1825" spans="55:55" ht="15.75" customHeight="1">
      <c r="BC1825" s="169"/>
    </row>
    <row r="1826" spans="55:55" ht="15.75" customHeight="1">
      <c r="BC1826" s="169"/>
    </row>
    <row r="1827" spans="55:55" ht="15.75" customHeight="1">
      <c r="BC1827" s="169"/>
    </row>
    <row r="1828" spans="55:55" ht="15.75" customHeight="1">
      <c r="BC1828" s="169"/>
    </row>
    <row r="1829" spans="55:55" ht="15.75" customHeight="1">
      <c r="BC1829" s="169"/>
    </row>
    <row r="1830" spans="55:55" ht="15.75" customHeight="1">
      <c r="BC1830" s="169"/>
    </row>
    <row r="1831" spans="55:55" ht="15.75" customHeight="1">
      <c r="BC1831" s="169"/>
    </row>
    <row r="1832" spans="55:55" ht="15.75" customHeight="1">
      <c r="BC1832" s="169"/>
    </row>
    <row r="1833" spans="55:55" ht="15.75" customHeight="1">
      <c r="BC1833" s="169"/>
    </row>
    <row r="1834" spans="55:55" ht="15.75" customHeight="1">
      <c r="BC1834" s="169"/>
    </row>
    <row r="1835" spans="55:55" ht="15.75" customHeight="1">
      <c r="BC1835" s="169"/>
    </row>
    <row r="1836" spans="55:55" ht="15.75" customHeight="1">
      <c r="BC1836" s="169"/>
    </row>
    <row r="1837" spans="55:55" ht="15.75" customHeight="1">
      <c r="BC1837" s="169"/>
    </row>
    <row r="1838" spans="55:55" ht="15.75" customHeight="1">
      <c r="BC1838" s="169"/>
    </row>
    <row r="1839" spans="55:55" ht="15.75" customHeight="1">
      <c r="BC1839" s="169"/>
    </row>
    <row r="1840" spans="55:55" ht="15.75" customHeight="1">
      <c r="BC1840" s="169"/>
    </row>
    <row r="1841" spans="55:55" ht="15.75" customHeight="1">
      <c r="BC1841" s="169"/>
    </row>
    <row r="1842" spans="55:55" ht="15.75" customHeight="1">
      <c r="BC1842" s="169"/>
    </row>
    <row r="1843" spans="55:55" ht="15.75" customHeight="1">
      <c r="BC1843" s="169"/>
    </row>
    <row r="1844" spans="55:55" ht="15.75" customHeight="1">
      <c r="BC1844" s="169"/>
    </row>
    <row r="1845" spans="55:55" ht="15.75" customHeight="1">
      <c r="BC1845" s="169"/>
    </row>
    <row r="1846" spans="55:55" ht="15.75" customHeight="1">
      <c r="BC1846" s="169"/>
    </row>
    <row r="1847" spans="55:55" ht="15.75" customHeight="1">
      <c r="BC1847" s="169"/>
    </row>
    <row r="1848" spans="55:55" ht="15.75" customHeight="1">
      <c r="BC1848" s="169"/>
    </row>
    <row r="1849" spans="55:55" ht="15.75" customHeight="1">
      <c r="BC1849" s="169"/>
    </row>
    <row r="1850" spans="55:55" ht="15.75" customHeight="1">
      <c r="BC1850" s="169"/>
    </row>
    <row r="1851" spans="55:55" ht="15.75" customHeight="1">
      <c r="BC1851" s="169"/>
    </row>
    <row r="1852" spans="55:55" ht="15.75" customHeight="1">
      <c r="BC1852" s="169"/>
    </row>
    <row r="1853" spans="55:55" ht="15.75" customHeight="1">
      <c r="BC1853" s="169"/>
    </row>
    <row r="1854" spans="55:55" ht="15.75" customHeight="1">
      <c r="BC1854" s="169"/>
    </row>
    <row r="1855" spans="55:55" ht="15.75" customHeight="1">
      <c r="BC1855" s="169"/>
    </row>
    <row r="1856" spans="55:55" ht="15.75" customHeight="1">
      <c r="BC1856" s="169"/>
    </row>
    <row r="1857" spans="55:55" ht="15.75" customHeight="1">
      <c r="BC1857" s="169"/>
    </row>
    <row r="1858" spans="55:55" ht="15.75" customHeight="1">
      <c r="BC1858" s="169"/>
    </row>
    <row r="1859" spans="55:55" ht="15.75" customHeight="1">
      <c r="BC1859" s="169"/>
    </row>
    <row r="1860" spans="55:55" ht="15.75" customHeight="1">
      <c r="BC1860" s="169"/>
    </row>
    <row r="1861" spans="55:55" ht="15.75" customHeight="1">
      <c r="BC1861" s="169"/>
    </row>
    <row r="1862" spans="55:55" ht="15.75" customHeight="1">
      <c r="BC1862" s="169"/>
    </row>
    <row r="1863" spans="55:55" ht="15.75" customHeight="1">
      <c r="BC1863" s="169"/>
    </row>
    <row r="1864" spans="55:55" ht="15.75" customHeight="1">
      <c r="BC1864" s="169"/>
    </row>
    <row r="1865" spans="55:55" ht="15.75" customHeight="1">
      <c r="BC1865" s="169"/>
    </row>
    <row r="1866" spans="55:55" ht="15.75" customHeight="1">
      <c r="BC1866" s="169"/>
    </row>
    <row r="1867" spans="55:55" ht="15.75" customHeight="1">
      <c r="BC1867" s="169"/>
    </row>
    <row r="1868" spans="55:55" ht="15.75" customHeight="1">
      <c r="BC1868" s="169"/>
    </row>
    <row r="1869" spans="55:55" ht="15.75" customHeight="1">
      <c r="BC1869" s="169"/>
    </row>
    <row r="1870" spans="55:55" ht="15.75" customHeight="1">
      <c r="BC1870" s="169"/>
    </row>
    <row r="1871" spans="55:55" ht="15.75" customHeight="1">
      <c r="BC1871" s="169"/>
    </row>
    <row r="1872" spans="55:55" ht="15.75" customHeight="1">
      <c r="BC1872" s="169"/>
    </row>
    <row r="1873" spans="55:55" ht="15.75" customHeight="1">
      <c r="BC1873" s="169"/>
    </row>
    <row r="1874" spans="55:55" ht="15.75" customHeight="1">
      <c r="BC1874" s="169"/>
    </row>
    <row r="1875" spans="55:55" ht="15.75" customHeight="1">
      <c r="BC1875" s="169"/>
    </row>
    <row r="1876" spans="55:55" ht="15.75" customHeight="1">
      <c r="BC1876" s="169"/>
    </row>
    <row r="1877" spans="55:55" ht="15.75" customHeight="1">
      <c r="BC1877" s="169"/>
    </row>
    <row r="1878" spans="55:55" ht="15.75" customHeight="1">
      <c r="BC1878" s="169"/>
    </row>
    <row r="1879" spans="55:55" ht="15.75" customHeight="1">
      <c r="BC1879" s="169"/>
    </row>
    <row r="1880" spans="55:55" ht="15.75" customHeight="1">
      <c r="BC1880" s="169"/>
    </row>
    <row r="1881" spans="55:55" ht="15.75" customHeight="1">
      <c r="BC1881" s="169"/>
    </row>
    <row r="1882" spans="55:55" ht="15.75" customHeight="1">
      <c r="BC1882" s="169"/>
    </row>
    <row r="1883" spans="55:55" ht="15.75" customHeight="1">
      <c r="BC1883" s="169"/>
    </row>
    <row r="1884" spans="55:55" ht="15.75" customHeight="1">
      <c r="BC1884" s="169"/>
    </row>
    <row r="1885" spans="55:55" ht="15.75" customHeight="1">
      <c r="BC1885" s="169"/>
    </row>
    <row r="1886" spans="55:55" ht="15.75" customHeight="1">
      <c r="BC1886" s="169"/>
    </row>
    <row r="1887" spans="55:55" ht="15.75" customHeight="1">
      <c r="BC1887" s="169"/>
    </row>
    <row r="1888" spans="55:55" ht="15.75" customHeight="1">
      <c r="BC1888" s="169"/>
    </row>
    <row r="1889" spans="55:55" ht="15.75" customHeight="1">
      <c r="BC1889" s="169"/>
    </row>
    <row r="1890" spans="55:55" ht="15.75" customHeight="1">
      <c r="BC1890" s="169"/>
    </row>
    <row r="1891" spans="55:55" ht="15.75" customHeight="1">
      <c r="BC1891" s="169"/>
    </row>
    <row r="1892" spans="55:55" ht="15.75" customHeight="1">
      <c r="BC1892" s="169"/>
    </row>
    <row r="1893" spans="55:55" ht="15.75" customHeight="1">
      <c r="BC1893" s="169"/>
    </row>
    <row r="1894" spans="55:55" ht="15.75" customHeight="1">
      <c r="BC1894" s="169"/>
    </row>
    <row r="1895" spans="55:55" ht="15.75" customHeight="1">
      <c r="BC1895" s="169"/>
    </row>
    <row r="1896" spans="55:55" ht="15.75" customHeight="1">
      <c r="BC1896" s="169"/>
    </row>
    <row r="1897" spans="55:55" ht="15.75" customHeight="1">
      <c r="BC1897" s="169"/>
    </row>
    <row r="1898" spans="55:55" ht="15.75" customHeight="1">
      <c r="BC1898" s="169"/>
    </row>
    <row r="1899" spans="55:55" ht="15.75" customHeight="1">
      <c r="BC1899" s="169"/>
    </row>
    <row r="1900" spans="55:55" ht="15.75" customHeight="1">
      <c r="BC1900" s="169"/>
    </row>
    <row r="1901" spans="55:55" ht="15.75" customHeight="1">
      <c r="BC1901" s="169"/>
    </row>
    <row r="1902" spans="55:55" ht="15.75" customHeight="1">
      <c r="BC1902" s="169"/>
    </row>
    <row r="1903" spans="55:55" ht="15.75" customHeight="1">
      <c r="BC1903" s="169"/>
    </row>
    <row r="1904" spans="55:55" ht="15.75" customHeight="1">
      <c r="BC1904" s="169"/>
    </row>
    <row r="1905" spans="55:55" ht="15.75" customHeight="1">
      <c r="BC1905" s="169"/>
    </row>
    <row r="1906" spans="55:55" ht="15.75" customHeight="1">
      <c r="BC1906" s="169"/>
    </row>
    <row r="1907" spans="55:55" ht="15.75" customHeight="1">
      <c r="BC1907" s="169"/>
    </row>
    <row r="1908" spans="55:55" ht="15.75" customHeight="1">
      <c r="BC1908" s="169"/>
    </row>
    <row r="1909" spans="55:55" ht="15.75" customHeight="1">
      <c r="BC1909" s="169"/>
    </row>
    <row r="1910" spans="55:55" ht="15.75" customHeight="1">
      <c r="BC1910" s="169"/>
    </row>
    <row r="1911" spans="55:55" ht="15.75" customHeight="1">
      <c r="BC1911" s="169"/>
    </row>
    <row r="1912" spans="55:55" ht="15.75" customHeight="1">
      <c r="BC1912" s="169"/>
    </row>
    <row r="1913" spans="55:55" ht="15.75" customHeight="1">
      <c r="BC1913" s="169"/>
    </row>
    <row r="1914" spans="55:55" ht="15.75" customHeight="1">
      <c r="BC1914" s="169"/>
    </row>
    <row r="1915" spans="55:55" ht="15.75" customHeight="1">
      <c r="BC1915" s="169"/>
    </row>
    <row r="1916" spans="55:55" ht="15.75" customHeight="1">
      <c r="BC1916" s="169"/>
    </row>
    <row r="1917" spans="55:55" ht="15.75" customHeight="1">
      <c r="BC1917" s="169"/>
    </row>
    <row r="1918" spans="55:55" ht="15.75" customHeight="1">
      <c r="BC1918" s="169"/>
    </row>
    <row r="1919" spans="55:55" ht="15.75" customHeight="1">
      <c r="BC1919" s="169"/>
    </row>
    <row r="1920" spans="55:55" ht="15.75" customHeight="1">
      <c r="BC1920" s="169"/>
    </row>
    <row r="1921" spans="55:55" ht="15.75" customHeight="1">
      <c r="BC1921" s="169"/>
    </row>
    <row r="1922" spans="55:55" ht="15.75" customHeight="1">
      <c r="BC1922" s="169"/>
    </row>
    <row r="1923" spans="55:55" ht="15.75" customHeight="1">
      <c r="BC1923" s="169"/>
    </row>
    <row r="1924" spans="55:55" ht="15.75" customHeight="1">
      <c r="BC1924" s="169"/>
    </row>
    <row r="1925" spans="55:55" ht="15.75" customHeight="1">
      <c r="BC1925" s="169"/>
    </row>
    <row r="1926" spans="55:55" ht="15.75" customHeight="1">
      <c r="BC1926" s="169"/>
    </row>
    <row r="1927" spans="55:55" ht="15.75" customHeight="1">
      <c r="BC1927" s="169"/>
    </row>
    <row r="1928" spans="55:55" ht="15.75" customHeight="1">
      <c r="BC1928" s="169"/>
    </row>
    <row r="1929" spans="55:55" ht="15.75" customHeight="1">
      <c r="BC1929" s="169"/>
    </row>
    <row r="1930" spans="55:55" ht="15.75" customHeight="1">
      <c r="BC1930" s="169"/>
    </row>
    <row r="1931" spans="55:55" ht="15.75" customHeight="1">
      <c r="BC1931" s="169"/>
    </row>
    <row r="1932" spans="55:55" ht="15.75" customHeight="1">
      <c r="BC1932" s="169"/>
    </row>
    <row r="1933" spans="55:55" ht="15.75" customHeight="1">
      <c r="BC1933" s="169"/>
    </row>
    <row r="1934" spans="55:55" ht="15.75" customHeight="1">
      <c r="BC1934" s="169"/>
    </row>
    <row r="1935" spans="55:55" ht="15.75" customHeight="1">
      <c r="BC1935" s="169"/>
    </row>
    <row r="1936" spans="55:55" ht="15.75" customHeight="1">
      <c r="BC1936" s="169"/>
    </row>
    <row r="1937" spans="55:55" ht="15.75" customHeight="1">
      <c r="BC1937" s="169"/>
    </row>
    <row r="1938" spans="55:55" ht="15.75" customHeight="1">
      <c r="BC1938" s="169"/>
    </row>
    <row r="1939" spans="55:55" ht="15.75" customHeight="1">
      <c r="BC1939" s="169"/>
    </row>
    <row r="1940" spans="55:55" ht="15.75" customHeight="1">
      <c r="BC1940" s="169"/>
    </row>
    <row r="1941" spans="55:55" ht="15.75" customHeight="1">
      <c r="BC1941" s="169"/>
    </row>
    <row r="1942" spans="55:55" ht="15.75" customHeight="1">
      <c r="BC1942" s="169"/>
    </row>
    <row r="1943" spans="55:55" ht="15.75" customHeight="1">
      <c r="BC1943" s="169"/>
    </row>
    <row r="1944" spans="55:55" ht="15.75" customHeight="1">
      <c r="BC1944" s="169"/>
    </row>
    <row r="1945" spans="55:55" ht="15.75" customHeight="1">
      <c r="BC1945" s="169"/>
    </row>
    <row r="1946" spans="55:55" ht="15.75" customHeight="1">
      <c r="BC1946" s="169"/>
    </row>
    <row r="1947" spans="55:55" ht="15.75" customHeight="1">
      <c r="BC1947" s="169"/>
    </row>
    <row r="1948" spans="55:55" ht="15.75" customHeight="1">
      <c r="BC1948" s="169"/>
    </row>
    <row r="1949" spans="55:55" ht="15.75" customHeight="1">
      <c r="BC1949" s="169"/>
    </row>
    <row r="1950" spans="55:55" ht="15.75" customHeight="1">
      <c r="BC1950" s="169"/>
    </row>
    <row r="1951" spans="55:55" ht="15.75" customHeight="1">
      <c r="BC1951" s="169"/>
    </row>
    <row r="1952" spans="55:55" ht="15.75" customHeight="1">
      <c r="BC1952" s="169"/>
    </row>
    <row r="1953" spans="55:55" ht="15.75" customHeight="1">
      <c r="BC1953" s="169"/>
    </row>
    <row r="1954" spans="55:55" ht="15.75" customHeight="1">
      <c r="BC1954" s="169"/>
    </row>
    <row r="1955" spans="55:55" ht="15.75" customHeight="1">
      <c r="BC1955" s="169"/>
    </row>
    <row r="1956" spans="55:55" ht="15.75" customHeight="1">
      <c r="BC1956" s="169"/>
    </row>
    <row r="1957" spans="55:55" ht="15.75" customHeight="1">
      <c r="BC1957" s="169"/>
    </row>
    <row r="1958" spans="55:55" ht="15.75" customHeight="1">
      <c r="BC1958" s="169"/>
    </row>
    <row r="1959" spans="55:55" ht="15.75" customHeight="1">
      <c r="BC1959" s="169"/>
    </row>
    <row r="1960" spans="55:55" ht="15.75" customHeight="1">
      <c r="BC1960" s="169"/>
    </row>
    <row r="1961" spans="55:55" ht="15.75" customHeight="1">
      <c r="BC1961" s="169"/>
    </row>
    <row r="1962" spans="55:55" ht="15.75" customHeight="1">
      <c r="BC1962" s="169"/>
    </row>
    <row r="1963" spans="55:55" ht="15.75" customHeight="1">
      <c r="BC1963" s="169"/>
    </row>
    <row r="1964" spans="55:55" ht="15.75" customHeight="1">
      <c r="BC1964" s="169"/>
    </row>
    <row r="1965" spans="55:55" ht="15.75" customHeight="1">
      <c r="BC1965" s="169"/>
    </row>
    <row r="1966" spans="55:55" ht="15.75" customHeight="1">
      <c r="BC1966" s="169"/>
    </row>
    <row r="1967" spans="55:55" ht="15.75" customHeight="1">
      <c r="BC1967" s="169"/>
    </row>
    <row r="1968" spans="55:55" ht="15.75" customHeight="1">
      <c r="BC1968" s="169"/>
    </row>
    <row r="1969" spans="55:55" ht="15.75" customHeight="1">
      <c r="BC1969" s="169"/>
    </row>
    <row r="1970" spans="55:55" ht="15.75" customHeight="1">
      <c r="BC1970" s="169"/>
    </row>
    <row r="1971" spans="55:55" ht="15.75" customHeight="1">
      <c r="BC1971" s="169"/>
    </row>
    <row r="1972" spans="55:55" ht="15.75" customHeight="1">
      <c r="BC1972" s="169"/>
    </row>
    <row r="1973" spans="55:55" ht="15.75" customHeight="1">
      <c r="BC1973" s="169"/>
    </row>
    <row r="1974" spans="55:55" ht="15.75" customHeight="1">
      <c r="BC1974" s="169"/>
    </row>
    <row r="1975" spans="55:55" ht="15.75" customHeight="1">
      <c r="BC1975" s="169"/>
    </row>
    <row r="1976" spans="55:55" ht="15.75" customHeight="1">
      <c r="BC1976" s="169"/>
    </row>
    <row r="1977" spans="55:55" ht="15.75" customHeight="1">
      <c r="BC1977" s="169"/>
    </row>
    <row r="1978" spans="55:55" ht="15.75" customHeight="1">
      <c r="BC1978" s="169"/>
    </row>
    <row r="1979" spans="55:55" ht="15.75" customHeight="1">
      <c r="BC1979" s="169"/>
    </row>
    <row r="1980" spans="55:55" ht="15.75" customHeight="1">
      <c r="BC1980" s="169"/>
    </row>
    <row r="1981" spans="55:55" ht="15.75" customHeight="1">
      <c r="BC1981" s="169"/>
    </row>
    <row r="1982" spans="55:55" ht="15.75" customHeight="1">
      <c r="BC1982" s="169"/>
    </row>
    <row r="1983" spans="55:55" ht="15.75" customHeight="1">
      <c r="BC1983" s="169"/>
    </row>
    <row r="1984" spans="55:55" ht="15.75" customHeight="1">
      <c r="BC1984" s="169"/>
    </row>
    <row r="1985" spans="55:55" ht="15.75" customHeight="1">
      <c r="BC1985" s="169"/>
    </row>
    <row r="1986" spans="55:55" ht="15.75" customHeight="1">
      <c r="BC1986" s="169"/>
    </row>
    <row r="1987" spans="55:55" ht="15.75" customHeight="1">
      <c r="BC1987" s="169"/>
    </row>
    <row r="1988" spans="55:55" ht="15.75" customHeight="1">
      <c r="BC1988" s="169"/>
    </row>
    <row r="1989" spans="55:55" ht="15.75" customHeight="1">
      <c r="BC1989" s="169"/>
    </row>
    <row r="1990" spans="55:55" ht="15.75" customHeight="1">
      <c r="BC1990" s="169"/>
    </row>
    <row r="1991" spans="55:55" ht="15.75" customHeight="1">
      <c r="BC1991" s="169"/>
    </row>
    <row r="1992" spans="55:55" ht="15.75" customHeight="1">
      <c r="BC1992" s="169"/>
    </row>
    <row r="1993" spans="55:55" ht="15.75" customHeight="1">
      <c r="BC1993" s="169"/>
    </row>
    <row r="1994" spans="55:55" ht="15.75" customHeight="1">
      <c r="BC1994" s="169"/>
    </row>
    <row r="1995" spans="55:55" ht="15.75" customHeight="1">
      <c r="BC1995" s="169"/>
    </row>
    <row r="1996" spans="55:55" ht="15.75" customHeight="1">
      <c r="BC1996" s="169"/>
    </row>
    <row r="1997" spans="55:55" ht="15.75" customHeight="1">
      <c r="BC1997" s="169"/>
    </row>
    <row r="1998" spans="55:55" ht="15.75" customHeight="1">
      <c r="BC1998" s="169"/>
    </row>
    <row r="1999" spans="55:55" ht="15.75" customHeight="1">
      <c r="BC1999" s="169"/>
    </row>
    <row r="2000" spans="55:55" ht="15.75" customHeight="1">
      <c r="BC2000" s="169"/>
    </row>
    <row r="2001" spans="55:55" ht="15.75" customHeight="1">
      <c r="BC2001" s="169"/>
    </row>
    <row r="2002" spans="55:55" ht="15.75" customHeight="1">
      <c r="BC2002" s="169"/>
    </row>
    <row r="2003" spans="55:55" ht="15.75" customHeight="1">
      <c r="BC2003" s="169"/>
    </row>
    <row r="2004" spans="55:55" ht="15.75" customHeight="1">
      <c r="BC2004" s="169"/>
    </row>
    <row r="2005" spans="55:55" ht="15.75" customHeight="1">
      <c r="BC2005" s="169"/>
    </row>
    <row r="2006" spans="55:55" ht="15.75" customHeight="1">
      <c r="BC2006" s="169"/>
    </row>
  </sheetData>
  <autoFilter ref="A2:BG32" xr:uid="{00000000-0009-0000-0000-000014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autoFilter>
  <mergeCells count="10">
    <mergeCell ref="BD1:BG1"/>
    <mergeCell ref="AN2:AP2"/>
    <mergeCell ref="AQ2:AS2"/>
    <mergeCell ref="AT2:AV2"/>
    <mergeCell ref="A1:BB1"/>
    <mergeCell ref="N2:P2"/>
    <mergeCell ref="T2:V2"/>
    <mergeCell ref="W2:Y2"/>
    <mergeCell ref="Z2:AB2"/>
    <mergeCell ref="AC2:AE2"/>
  </mergeCells>
  <conditionalFormatting sqref="B21:BA21 B23:BA23 B22:U22 W22:BA22 B25:BA25 B24:U24 W24:BA24 B26:U26 W26:BA26 B20:U20 W20:BA20">
    <cfRule type="expression" dxfId="611" priority="29">
      <formula>$M4="NON DEFINED"</formula>
    </cfRule>
    <cfRule type="expression" dxfId="610" priority="30">
      <formula>$AY4="N.D."</formula>
    </cfRule>
  </conditionalFormatting>
  <conditionalFormatting sqref="BE11 BG11 BE13 BE15 BE17 BE19 BE21 BE23 BE25 BG13 BG15 BG17 BG19 BG21 BG23 BG25">
    <cfRule type="containsBlanks" dxfId="609" priority="28">
      <formula>LEN(TRIM(BE11))=0</formula>
    </cfRule>
  </conditionalFormatting>
  <conditionalFormatting sqref="BC10:BC26 BC33:BC2006">
    <cfRule type="containsText" dxfId="608" priority="26" operator="containsText" text="a">
      <formula>NOT(ISERROR(SEARCH("a",BC10)))</formula>
    </cfRule>
    <cfRule type="containsText" dxfId="607" priority="27" operator="containsText" text="R">
      <formula>NOT(ISERROR(SEARCH("R",BC10)))</formula>
    </cfRule>
  </conditionalFormatting>
  <conditionalFormatting sqref="BA4:BA26">
    <cfRule type="expression" dxfId="606" priority="25">
      <formula>$BC4="R"</formula>
    </cfRule>
  </conditionalFormatting>
  <conditionalFormatting sqref="A4:BG9">
    <cfRule type="cellIs" dxfId="605" priority="20" operator="equal">
      <formula>0</formula>
    </cfRule>
  </conditionalFormatting>
  <conditionalFormatting sqref="B4:BA9 BC4:BG9">
    <cfRule type="expression" dxfId="604" priority="22">
      <formula>$M4="NON DEFINED"</formula>
    </cfRule>
    <cfRule type="expression" dxfId="603" priority="23">
      <formula>$AY4="N.D."</formula>
    </cfRule>
  </conditionalFormatting>
  <conditionalFormatting sqref="B11:BA11 B10:U10 W10:BA10 B12:U12 W12:BA12">
    <cfRule type="expression" dxfId="602" priority="350">
      <formula>$M1="NON DEFINED"</formula>
    </cfRule>
    <cfRule type="expression" dxfId="601" priority="351">
      <formula>$AY1="N.D."</formula>
    </cfRule>
  </conditionalFormatting>
  <conditionalFormatting sqref="B13:BA17 B19:BA19 B18:U18 W18:BA18">
    <cfRule type="expression" dxfId="600" priority="354">
      <formula>#REF!="NON DEFINED"</formula>
    </cfRule>
    <cfRule type="expression" dxfId="599" priority="355">
      <formula>#REF!="N.D."</formula>
    </cfRule>
  </conditionalFormatting>
  <conditionalFormatting sqref="BA27:BA32">
    <cfRule type="expression" dxfId="598" priority="19">
      <formula>$BC27="R"</formula>
    </cfRule>
  </conditionalFormatting>
  <conditionalFormatting sqref="A27:BG32">
    <cfRule type="cellIs" dxfId="597" priority="16" operator="equal">
      <formula>0</formula>
    </cfRule>
  </conditionalFormatting>
  <conditionalFormatting sqref="B27:BA32 BC27:BG32">
    <cfRule type="expression" dxfId="596" priority="17">
      <formula>$M27="NON DEFINED"</formula>
    </cfRule>
    <cfRule type="expression" dxfId="595" priority="18">
      <formula>$AY27="N.D."</formula>
    </cfRule>
  </conditionalFormatting>
  <conditionalFormatting sqref="AN4:AN32">
    <cfRule type="cellIs" dxfId="594" priority="15" operator="notEqual">
      <formula>5.5</formula>
    </cfRule>
  </conditionalFormatting>
  <conditionalFormatting sqref="V22">
    <cfRule type="expression" dxfId="593" priority="13">
      <formula>#REF!="NON DEFINED"</formula>
    </cfRule>
    <cfRule type="expression" dxfId="592" priority="14">
      <formula>#REF!="N.D."</formula>
    </cfRule>
  </conditionalFormatting>
  <conditionalFormatting sqref="V24">
    <cfRule type="expression" dxfId="591" priority="11">
      <formula>#REF!="NON DEFINED"</formula>
    </cfRule>
    <cfRule type="expression" dxfId="590" priority="12">
      <formula>#REF!="N.D."</formula>
    </cfRule>
  </conditionalFormatting>
  <conditionalFormatting sqref="V26">
    <cfRule type="expression" dxfId="589" priority="9">
      <formula>#REF!="NON DEFINED"</formula>
    </cfRule>
    <cfRule type="expression" dxfId="588" priority="10">
      <formula>#REF!="N.D."</formula>
    </cfRule>
  </conditionalFormatting>
  <conditionalFormatting sqref="V20">
    <cfRule type="expression" dxfId="587" priority="7">
      <formula>#REF!="NON DEFINED"</formula>
    </cfRule>
    <cfRule type="expression" dxfId="586" priority="8">
      <formula>#REF!="N.D."</formula>
    </cfRule>
  </conditionalFormatting>
  <conditionalFormatting sqref="V10">
    <cfRule type="expression" dxfId="585" priority="5">
      <formula>#REF!="NON DEFINED"</formula>
    </cfRule>
    <cfRule type="expression" dxfId="584" priority="6">
      <formula>#REF!="N.D."</formula>
    </cfRule>
  </conditionalFormatting>
  <conditionalFormatting sqref="V12">
    <cfRule type="expression" dxfId="583" priority="3">
      <formula>#REF!="NON DEFINED"</formula>
    </cfRule>
    <cfRule type="expression" dxfId="582" priority="4">
      <formula>#REF!="N.D."</formula>
    </cfRule>
  </conditionalFormatting>
  <conditionalFormatting sqref="V18">
    <cfRule type="expression" dxfId="581" priority="1">
      <formula>#REF!="NON DEFINED"</formula>
    </cfRule>
    <cfRule type="expression" dxfId="580" priority="2">
      <formula>#REF!="N.D."</formula>
    </cfRule>
  </conditionalFormatting>
  <printOptions horizontalCentered="1" gridLines="1"/>
  <pageMargins left="0.39370078740157483" right="0.39370078740157483" top="0.78740157480314965" bottom="0.78740157480314965" header="0.31496062992125984" footer="0.31496062992125984"/>
  <pageSetup paperSize="8" scale="79" fitToHeight="0" orientation="landscape" r:id="rId1"/>
  <headerFooter alignWithMargins="0">
    <oddHeader>&amp;L&amp;G&amp;C
LAYOUT AND EQUIPMENT
EP06 TRACK 52 HER-TSA
KP93+400 - 97+400&amp;R&amp;G</oddHeader>
    <oddFooter>&amp;L&amp;G
&amp;F&amp;C&amp;D&amp;RPag &amp;P of &amp;N</oddFooter>
  </headerFooter>
  <legacyDrawingHF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8">
    <tabColor theme="0" tint="-0.249977111117893"/>
    <pageSetUpPr fitToPage="1"/>
  </sheetPr>
  <dimension ref="A1:BG1999"/>
  <sheetViews>
    <sheetView view="pageBreakPreview" zoomScale="80" zoomScaleNormal="85" zoomScaleSheetLayoutView="80" workbookViewId="0">
      <pane xSplit="2" ySplit="2" topLeftCell="C3" activePane="bottomRight" state="frozen"/>
      <selection activeCell="G124" sqref="G124"/>
      <selection pane="topRight" activeCell="G124" sqref="G124"/>
      <selection pane="bottomLeft" activeCell="G124" sqref="G124"/>
      <selection pane="bottomRight" activeCell="G124" sqref="G124"/>
    </sheetView>
  </sheetViews>
  <sheetFormatPr baseColWidth="10" defaultColWidth="11.453125" defaultRowHeight="15.75" customHeight="1"/>
  <cols>
    <col min="1" max="1" width="20.6328125" style="178" customWidth="1"/>
    <col min="2" max="2" width="12.6328125" style="178" customWidth="1"/>
    <col min="3" max="3" width="12.6328125" style="184" customWidth="1"/>
    <col min="4" max="5" width="12.6328125" style="178" hidden="1" customWidth="1"/>
    <col min="6" max="6" width="12.6328125" style="178" customWidth="1"/>
    <col min="7" max="7" width="12.6328125" style="454" customWidth="1"/>
    <col min="8" max="8" width="18.6328125" style="178" customWidth="1"/>
    <col min="9" max="9" width="12.6328125" style="178" customWidth="1"/>
    <col min="10" max="10" width="12.6328125" style="184" customWidth="1"/>
    <col min="11" max="11" width="12.6328125" style="178" customWidth="1"/>
    <col min="12" max="13" width="14.6328125" style="178" customWidth="1"/>
    <col min="14" max="16" width="8.6328125" style="178" hidden="1" customWidth="1"/>
    <col min="17" max="19" width="12.6328125" style="178" hidden="1" customWidth="1"/>
    <col min="20" max="28" width="8.6328125" style="178" hidden="1" customWidth="1"/>
    <col min="29" max="31" width="10.6328125" style="178" hidden="1" customWidth="1"/>
    <col min="32" max="32" width="13.54296875" style="178" hidden="1" customWidth="1"/>
    <col min="33" max="33" width="12.6328125" style="184" customWidth="1"/>
    <col min="34" max="39" width="12.6328125" style="178" customWidth="1"/>
    <col min="40" max="40" width="8.6328125" style="458" hidden="1" customWidth="1"/>
    <col min="41" max="42" width="8.6328125" style="169" hidden="1" customWidth="1"/>
    <col min="43" max="46" width="8.6328125" style="458" hidden="1" customWidth="1"/>
    <col min="47" max="48" width="8.6328125" style="169" hidden="1" customWidth="1"/>
    <col min="49" max="50" width="12.6328125" style="169" customWidth="1"/>
    <col min="51" max="52" width="12.6328125" style="681" customWidth="1"/>
    <col min="53" max="53" width="12.6328125" style="169" customWidth="1"/>
    <col min="54" max="54" width="21.6328125" style="178" hidden="1" customWidth="1"/>
    <col min="55" max="55" width="18" style="178" customWidth="1"/>
    <col min="56" max="59" width="14.54296875" style="1323" customWidth="1"/>
    <col min="60" max="60" width="11.453125" style="178" customWidth="1"/>
    <col min="61" max="16384" width="11.453125" style="178"/>
  </cols>
  <sheetData>
    <row r="1" spans="1:59" ht="35.25" customHeight="1">
      <c r="A1" s="1615" t="s">
        <v>2426</v>
      </c>
      <c r="B1" s="1615"/>
      <c r="C1" s="1615"/>
      <c r="D1" s="1615"/>
      <c r="E1" s="1615"/>
      <c r="F1" s="1615"/>
      <c r="G1" s="1615"/>
      <c r="H1" s="1615"/>
      <c r="I1" s="1615"/>
      <c r="J1" s="1615"/>
      <c r="K1" s="1615"/>
      <c r="L1" s="1615"/>
      <c r="M1" s="1615"/>
      <c r="N1" s="1615"/>
      <c r="O1" s="1615"/>
      <c r="P1" s="1615"/>
      <c r="Q1" s="1615"/>
      <c r="R1" s="1615"/>
      <c r="S1" s="1615"/>
      <c r="T1" s="1615"/>
      <c r="U1" s="1615"/>
      <c r="V1" s="1615"/>
      <c r="W1" s="1615"/>
      <c r="X1" s="1615"/>
      <c r="Y1" s="1615"/>
      <c r="Z1" s="1615"/>
      <c r="AA1" s="1615"/>
      <c r="AB1" s="1615"/>
      <c r="AC1" s="1615"/>
      <c r="AD1" s="1615"/>
      <c r="AE1" s="1615"/>
      <c r="AF1" s="1615"/>
      <c r="AG1" s="1615"/>
      <c r="AH1" s="1615"/>
      <c r="AI1" s="1615"/>
      <c r="AJ1" s="1615"/>
      <c r="AK1" s="1615"/>
      <c r="AL1" s="1615"/>
      <c r="AM1" s="1615"/>
      <c r="AN1" s="1615"/>
      <c r="AO1" s="1615"/>
      <c r="AP1" s="1615"/>
      <c r="AQ1" s="1615"/>
      <c r="AR1" s="1615"/>
      <c r="AS1" s="1615"/>
      <c r="AT1" s="1615"/>
      <c r="AU1" s="1615"/>
      <c r="AV1" s="1615"/>
      <c r="AW1" s="1615"/>
      <c r="AX1" s="1615"/>
      <c r="AY1" s="1615"/>
      <c r="AZ1" s="1615"/>
      <c r="BA1" s="1615"/>
      <c r="BB1" s="1615"/>
      <c r="BC1" s="693" t="s">
        <v>4947</v>
      </c>
      <c r="BD1" s="1599" t="s">
        <v>4916</v>
      </c>
      <c r="BE1" s="1599"/>
      <c r="BF1" s="1599"/>
      <c r="BG1" s="1599"/>
    </row>
    <row r="2" spans="1:59" s="699" customFormat="1" ht="42" customHeight="1">
      <c r="A2" s="1259" t="s">
        <v>4417</v>
      </c>
      <c r="B2" s="1259" t="s">
        <v>4418</v>
      </c>
      <c r="C2" s="954" t="s">
        <v>2315</v>
      </c>
      <c r="D2" s="1259" t="s">
        <v>4419</v>
      </c>
      <c r="E2" s="1259" t="s">
        <v>4855</v>
      </c>
      <c r="F2" s="1259" t="s">
        <v>4856</v>
      </c>
      <c r="G2" s="1259" t="s">
        <v>4857</v>
      </c>
      <c r="H2" s="1259" t="s">
        <v>455</v>
      </c>
      <c r="I2" s="1259" t="s">
        <v>454</v>
      </c>
      <c r="J2" s="1259" t="s">
        <v>4423</v>
      </c>
      <c r="K2" s="1259" t="s">
        <v>1362</v>
      </c>
      <c r="L2" s="1259" t="s">
        <v>456</v>
      </c>
      <c r="M2" s="1259" t="s">
        <v>453</v>
      </c>
      <c r="N2" s="1613" t="s">
        <v>457</v>
      </c>
      <c r="O2" s="1613"/>
      <c r="P2" s="1613"/>
      <c r="Q2" s="1259" t="s">
        <v>4858</v>
      </c>
      <c r="R2" s="1259" t="s">
        <v>4859</v>
      </c>
      <c r="S2" s="1259" t="s">
        <v>4860</v>
      </c>
      <c r="T2" s="1613" t="s">
        <v>4861</v>
      </c>
      <c r="U2" s="1613"/>
      <c r="V2" s="1613"/>
      <c r="W2" s="1613" t="s">
        <v>4862</v>
      </c>
      <c r="X2" s="1613"/>
      <c r="Y2" s="1613"/>
      <c r="Z2" s="1613" t="s">
        <v>4863</v>
      </c>
      <c r="AA2" s="1613"/>
      <c r="AB2" s="1613"/>
      <c r="AC2" s="1613" t="s">
        <v>628</v>
      </c>
      <c r="AD2" s="1613"/>
      <c r="AE2" s="1613"/>
      <c r="AF2" s="1259" t="s">
        <v>4872</v>
      </c>
      <c r="AG2" s="954" t="s">
        <v>4864</v>
      </c>
      <c r="AH2" s="1259" t="s">
        <v>4865</v>
      </c>
      <c r="AI2" s="1259" t="s">
        <v>4866</v>
      </c>
      <c r="AJ2" s="1259" t="s">
        <v>629</v>
      </c>
      <c r="AK2" s="1259" t="s">
        <v>458</v>
      </c>
      <c r="AL2" s="1259" t="s">
        <v>459</v>
      </c>
      <c r="AM2" s="1259" t="s">
        <v>631</v>
      </c>
      <c r="AN2" s="1613" t="s">
        <v>4867</v>
      </c>
      <c r="AO2" s="1613"/>
      <c r="AP2" s="1613"/>
      <c r="AQ2" s="1614" t="s">
        <v>460</v>
      </c>
      <c r="AR2" s="1614"/>
      <c r="AS2" s="1614"/>
      <c r="AT2" s="1613" t="s">
        <v>630</v>
      </c>
      <c r="AU2" s="1613"/>
      <c r="AV2" s="1613"/>
      <c r="AW2" s="1259" t="s">
        <v>4868</v>
      </c>
      <c r="AX2" s="1259" t="s">
        <v>4904</v>
      </c>
      <c r="AY2" s="955" t="s">
        <v>4869</v>
      </c>
      <c r="AZ2" s="955" t="s">
        <v>4870</v>
      </c>
      <c r="BA2" s="1259" t="s">
        <v>1670</v>
      </c>
      <c r="BB2" s="1259" t="s">
        <v>4871</v>
      </c>
      <c r="BC2" s="693" t="s">
        <v>4948</v>
      </c>
      <c r="BD2" s="1320" t="s">
        <v>453</v>
      </c>
      <c r="BE2" s="1320" t="s">
        <v>4922</v>
      </c>
      <c r="BF2" s="1320" t="s">
        <v>4915</v>
      </c>
      <c r="BG2" s="1320" t="s">
        <v>457</v>
      </c>
    </row>
    <row r="3" spans="1:59" ht="15.75" customHeight="1">
      <c r="A3" s="1239"/>
      <c r="B3" s="1239"/>
      <c r="C3" s="171"/>
      <c r="D3" s="1239"/>
      <c r="E3" s="1239"/>
      <c r="F3" s="172"/>
      <c r="G3" s="1239"/>
      <c r="H3" s="1239"/>
      <c r="I3" s="1239"/>
      <c r="J3" s="171"/>
      <c r="K3" s="1239"/>
      <c r="L3" s="1239"/>
      <c r="M3" s="1239"/>
      <c r="N3" s="694" t="s">
        <v>123</v>
      </c>
      <c r="O3" s="694" t="s">
        <v>124</v>
      </c>
      <c r="P3" s="694" t="s">
        <v>125</v>
      </c>
      <c r="Q3" s="1239"/>
      <c r="R3" s="1239"/>
      <c r="S3" s="1239"/>
      <c r="T3" s="695" t="s">
        <v>126</v>
      </c>
      <c r="U3" s="695" t="s">
        <v>127</v>
      </c>
      <c r="V3" s="695" t="s">
        <v>128</v>
      </c>
      <c r="W3" s="695" t="s">
        <v>129</v>
      </c>
      <c r="X3" s="695" t="s">
        <v>130</v>
      </c>
      <c r="Y3" s="695" t="s">
        <v>131</v>
      </c>
      <c r="Z3" s="695" t="s">
        <v>132</v>
      </c>
      <c r="AA3" s="695" t="s">
        <v>133</v>
      </c>
      <c r="AB3" s="695" t="s">
        <v>134</v>
      </c>
      <c r="AC3" s="695" t="s">
        <v>135</v>
      </c>
      <c r="AD3" s="695" t="s">
        <v>136</v>
      </c>
      <c r="AE3" s="695" t="s">
        <v>137</v>
      </c>
      <c r="AF3" s="1239"/>
      <c r="AG3" s="171"/>
      <c r="AH3" s="1239"/>
      <c r="AI3" s="1239"/>
      <c r="AJ3" s="1239"/>
      <c r="AK3" s="1239"/>
      <c r="AL3" s="1239"/>
      <c r="AM3" s="1239"/>
      <c r="AN3" s="696" t="s">
        <v>129</v>
      </c>
      <c r="AO3" s="695" t="s">
        <v>130</v>
      </c>
      <c r="AP3" s="695" t="s">
        <v>131</v>
      </c>
      <c r="AQ3" s="696" t="s">
        <v>613</v>
      </c>
      <c r="AR3" s="696" t="s">
        <v>614</v>
      </c>
      <c r="AS3" s="696" t="s">
        <v>615</v>
      </c>
      <c r="AT3" s="696" t="s">
        <v>616</v>
      </c>
      <c r="AU3" s="695" t="s">
        <v>617</v>
      </c>
      <c r="AV3" s="695" t="s">
        <v>618</v>
      </c>
      <c r="AW3" s="1239"/>
      <c r="AX3" s="1239"/>
      <c r="AY3" s="680"/>
      <c r="AZ3" s="680"/>
      <c r="BA3" s="1239"/>
      <c r="BB3" s="1239"/>
      <c r="BD3" s="1239"/>
      <c r="BE3" s="1239"/>
      <c r="BF3" s="1239"/>
      <c r="BG3" s="1239"/>
    </row>
    <row r="4" spans="1:59" ht="15.75" customHeight="1">
      <c r="A4" s="501">
        <f>'HR Track 51 HER-TSA'!A8</f>
        <v>0</v>
      </c>
      <c r="B4" s="716">
        <f>'HR Track 51 HER-TSA'!B8</f>
        <v>0</v>
      </c>
      <c r="C4" s="451">
        <f>'HR Track 51 HER-TSA'!C8</f>
        <v>0</v>
      </c>
      <c r="D4" s="453">
        <f>'HR Track 51 HER-TSA'!D8</f>
        <v>0</v>
      </c>
      <c r="E4" s="452">
        <f>'HR Track 51 HER-TSA'!E8</f>
        <v>0</v>
      </c>
      <c r="F4" s="453">
        <f>'HR Track 51 HER-TSA'!F8</f>
        <v>0</v>
      </c>
      <c r="G4" s="500">
        <f>'HR Track 51 HER-TSA'!G8</f>
        <v>33</v>
      </c>
      <c r="H4" s="453">
        <f>'HR Track 51 HER-TSA'!H8</f>
        <v>0</v>
      </c>
      <c r="I4" s="501">
        <f>'HR Track 51 HER-TSA'!I8</f>
        <v>0</v>
      </c>
      <c r="J4" s="583">
        <f>'HR Track 51 HER-TSA'!J8</f>
        <v>91632.65</v>
      </c>
      <c r="K4" s="452" t="str">
        <f>'HR Track 51 HER-TSA'!K8</f>
        <v>AnMC-R</v>
      </c>
      <c r="L4" s="452">
        <f>'HR Track 51 HER-TSA'!L8</f>
        <v>0</v>
      </c>
      <c r="M4" s="452">
        <f>'HR Track 51 HER-TSA'!M8</f>
        <v>0</v>
      </c>
      <c r="N4" s="501">
        <f>'HR Track 51 HER-TSA'!N8</f>
        <v>0</v>
      </c>
      <c r="O4" s="501">
        <f>'HR Track 51 HER-TSA'!O8</f>
        <v>0</v>
      </c>
      <c r="P4" s="501">
        <f>'HR Track 51 HER-TSA'!P8</f>
        <v>0</v>
      </c>
      <c r="Q4" s="452">
        <f>'HR Track 51 HER-TSA'!Q8</f>
        <v>0</v>
      </c>
      <c r="R4" s="452">
        <f>'HR Track 51 HER-TSA'!R8</f>
        <v>0</v>
      </c>
      <c r="S4" s="500">
        <f>'HR Track 51 HER-TSA'!S8</f>
        <v>32.630000000004657</v>
      </c>
      <c r="T4" s="452">
        <f>'HR Track 51 HER-TSA'!T8</f>
        <v>0</v>
      </c>
      <c r="U4" s="452">
        <f>'HR Track 51 HER-TSA'!U8</f>
        <v>0</v>
      </c>
      <c r="V4" s="452">
        <f>'HR Track 51 HER-TSA'!V8</f>
        <v>0</v>
      </c>
      <c r="W4" s="452">
        <f>'HR Track 51 HER-TSA'!W8</f>
        <v>0</v>
      </c>
      <c r="X4" s="452">
        <f>'HR Track 51 HER-TSA'!X8</f>
        <v>0</v>
      </c>
      <c r="Y4" s="452">
        <f>'HR Track 51 HER-TSA'!Y8</f>
        <v>0</v>
      </c>
      <c r="Z4" s="452">
        <f>'HR Track 51 HER-TSA'!Z8</f>
        <v>0</v>
      </c>
      <c r="AA4" s="452">
        <f>'HR Track 51 HER-TSA'!AA8</f>
        <v>0</v>
      </c>
      <c r="AB4" s="452">
        <f>'HR Track 51 HER-TSA'!AB8</f>
        <v>0</v>
      </c>
      <c r="AC4" s="452">
        <f>'HR Track 51 HER-TSA'!AC8</f>
        <v>0</v>
      </c>
      <c r="AD4" s="452">
        <f>'HR Track 51 HER-TSA'!AD8</f>
        <v>0</v>
      </c>
      <c r="AE4" s="452">
        <f>'HR Track 51 HER-TSA'!AE8</f>
        <v>0</v>
      </c>
      <c r="AF4" s="452">
        <f>'HR Track 51 HER-TSA'!AF8</f>
        <v>0</v>
      </c>
      <c r="AG4" s="451">
        <f>'HR Track 51 HER-TSA'!AG8</f>
        <v>0</v>
      </c>
      <c r="AH4" s="452">
        <f>'HR Track 51 HER-TSA'!AH8</f>
        <v>0</v>
      </c>
      <c r="AI4" s="452">
        <f>'HR Track 51 HER-TSA'!AI8</f>
        <v>0</v>
      </c>
      <c r="AJ4" s="452">
        <f>'HR Track 51 HER-TSA'!AJ8</f>
        <v>0</v>
      </c>
      <c r="AK4" s="452">
        <f>'HR Track 51 HER-TSA'!AK8</f>
        <v>0</v>
      </c>
      <c r="AL4" s="452">
        <f>'HR Track 51 HER-TSA'!AL8</f>
        <v>0</v>
      </c>
      <c r="AM4" s="452">
        <f>'HR Track 51 HER-TSA'!AM8</f>
        <v>0</v>
      </c>
      <c r="AN4" s="500">
        <f>'HR Track 51 HER-TSA'!AN8</f>
        <v>0</v>
      </c>
      <c r="AO4" s="452">
        <f>'HR Track 51 HER-TSA'!AO8</f>
        <v>0</v>
      </c>
      <c r="AP4" s="452">
        <f>'HR Track 51 HER-TSA'!AP8</f>
        <v>0</v>
      </c>
      <c r="AQ4" s="452">
        <f>'HR Track 51 HER-TSA'!AQ8</f>
        <v>-0.3</v>
      </c>
      <c r="AR4" s="452">
        <f>'HR Track 51 HER-TSA'!AR8</f>
        <v>0</v>
      </c>
      <c r="AS4" s="452">
        <f>'HR Track 51 HER-TSA'!AS8</f>
        <v>0</v>
      </c>
      <c r="AT4" s="452">
        <f>'HR Track 51 HER-TSA'!AT8</f>
        <v>0</v>
      </c>
      <c r="AU4" s="452">
        <f>'HR Track 51 HER-TSA'!AU8</f>
        <v>0</v>
      </c>
      <c r="AV4" s="452">
        <f>'HR Track 51 HER-TSA'!AV8</f>
        <v>0</v>
      </c>
      <c r="AW4" s="452" t="str">
        <f>'HR Track 51 HER-TSA'!AW8</f>
        <v>Soil A</v>
      </c>
      <c r="AX4" s="452" t="str">
        <f>'HR Track 51 HER-TSA'!AX8</f>
        <v>PT</v>
      </c>
      <c r="AY4" s="500">
        <f>'HR Track 51 HER-TSA'!AY8</f>
        <v>0</v>
      </c>
      <c r="AZ4" s="500">
        <f>'HR Track 51 HER-TSA'!AZ8</f>
        <v>3.3</v>
      </c>
      <c r="BA4" s="1333" t="str">
        <f>'HR Track 51 HER-TSA'!BA8</f>
        <v>ü</v>
      </c>
      <c r="BB4" s="452">
        <f>'HR Track 51 HER-TSA'!BB8</f>
        <v>0</v>
      </c>
      <c r="BC4" s="1334">
        <f>'HR Track 51 HER-TSA'!BC8</f>
        <v>0</v>
      </c>
      <c r="BD4" s="1335">
        <f>'HR Track 51 HER-TSA'!BD8</f>
        <v>43790</v>
      </c>
      <c r="BE4" s="1335">
        <f>'HR Track 51 HER-TSA'!BE8</f>
        <v>0</v>
      </c>
      <c r="BF4" s="1335">
        <f>'HR Track 51 HER-TSA'!BF8</f>
        <v>0</v>
      </c>
      <c r="BG4" s="1335">
        <f>'HR Track 51 HER-TSA'!BG8</f>
        <v>0</v>
      </c>
    </row>
    <row r="5" spans="1:59" ht="15.75" customHeight="1">
      <c r="A5" s="501">
        <f>'HR Track 51 HER-TSA'!A9</f>
        <v>0</v>
      </c>
      <c r="B5" s="716" t="str">
        <f>'HR Track 51 HER-TSA'!B9</f>
        <v>91-51.15</v>
      </c>
      <c r="C5" s="451">
        <f>'HR Track 51 HER-TSA'!C9</f>
        <v>91640.15</v>
      </c>
      <c r="D5" s="453">
        <f>'HR Track 51 HER-TSA'!D9</f>
        <v>0</v>
      </c>
      <c r="E5" s="452">
        <f>'HR Track 51 HER-TSA'!E9</f>
        <v>0</v>
      </c>
      <c r="F5" s="453">
        <f>'HR Track 51 HER-TSA'!F9</f>
        <v>0</v>
      </c>
      <c r="G5" s="500">
        <f>'HR Track 51 HER-TSA'!G9</f>
        <v>0</v>
      </c>
      <c r="H5" s="453" t="str">
        <f>'HR Track 51 HER-TSA'!H9</f>
        <v>A/S</v>
      </c>
      <c r="I5" s="501" t="str">
        <f>'HR Track 51 HER-TSA'!I9</f>
        <v>CP+AnMC</v>
      </c>
      <c r="J5" s="583">
        <f>'HR Track 51 HER-TSA'!J9</f>
        <v>0</v>
      </c>
      <c r="K5" s="452">
        <f>'HR Track 51 HER-TSA'!K9</f>
        <v>0</v>
      </c>
      <c r="L5" s="452" t="str">
        <f>'HR Track 51 HER-TSA'!L9</f>
        <v>HEB-260 (CP)</v>
      </c>
      <c r="M5" s="452" t="str">
        <f>'HR Track 51 HER-TSA'!M9</f>
        <v>C4R</v>
      </c>
      <c r="N5" s="501" t="str">
        <f>'HR Track 51 HER-TSA'!N9</f>
        <v>EMT-1</v>
      </c>
      <c r="O5" s="501">
        <f>'HR Track 51 HER-TSA'!O9</f>
        <v>0</v>
      </c>
      <c r="P5" s="501">
        <f>'HR Track 51 HER-TSA'!P9</f>
        <v>0</v>
      </c>
      <c r="Q5" s="452">
        <f>'HR Track 51 HER-TSA'!Q9</f>
        <v>0</v>
      </c>
      <c r="R5" s="452">
        <f>'HR Track 51 HER-TSA'!R9</f>
        <v>0</v>
      </c>
      <c r="S5" s="500">
        <f>'HR Track 51 HER-TSA'!S9</f>
        <v>0</v>
      </c>
      <c r="T5" s="452">
        <f>'HR Track 51 HER-TSA'!T9</f>
        <v>-30</v>
      </c>
      <c r="U5" s="452">
        <f>'HR Track 51 HER-TSA'!U9</f>
        <v>0</v>
      </c>
      <c r="V5" s="452">
        <f>'HR Track 51 HER-TSA'!V9</f>
        <v>0</v>
      </c>
      <c r="W5" s="452">
        <f>'HR Track 51 HER-TSA'!W9</f>
        <v>1.4</v>
      </c>
      <c r="X5" s="452">
        <f>'HR Track 51 HER-TSA'!X9</f>
        <v>0</v>
      </c>
      <c r="Y5" s="452">
        <f>'HR Track 51 HER-TSA'!Y9</f>
        <v>0</v>
      </c>
      <c r="Z5" s="452">
        <f>'HR Track 51 HER-TSA'!Z9</f>
        <v>0</v>
      </c>
      <c r="AA5" s="452">
        <f>'HR Track 51 HER-TSA'!AA9</f>
        <v>0</v>
      </c>
      <c r="AB5" s="452">
        <f>'HR Track 51 HER-TSA'!AB9</f>
        <v>0</v>
      </c>
      <c r="AC5" s="452" t="str">
        <f>'HR Track 51 HER-TSA'!AC9</f>
        <v>PHQ-1150</v>
      </c>
      <c r="AD5" s="452">
        <f>'HR Track 51 HER-TSA'!AD9</f>
        <v>0</v>
      </c>
      <c r="AE5" s="452">
        <f>'HR Track 51 HER-TSA'!AE9</f>
        <v>0</v>
      </c>
      <c r="AF5" s="452">
        <f>'HR Track 51 HER-TSA'!AF9</f>
        <v>5800</v>
      </c>
      <c r="AG5" s="451">
        <f>'HR Track 51 HER-TSA'!AG9</f>
        <v>91640</v>
      </c>
      <c r="AH5" s="452">
        <f>'HR Track 51 HER-TSA'!AH9</f>
        <v>3253</v>
      </c>
      <c r="AI5" s="452">
        <f>'HR Track 51 HER-TSA'!AI9</f>
        <v>310</v>
      </c>
      <c r="AJ5" s="452">
        <f>'HR Track 51 HER-TSA'!AJ9</f>
        <v>0</v>
      </c>
      <c r="AK5" s="452">
        <f>'HR Track 51 HER-TSA'!AK9</f>
        <v>0</v>
      </c>
      <c r="AL5" s="452">
        <f>'HR Track 51 HER-TSA'!AL9</f>
        <v>0</v>
      </c>
      <c r="AM5" s="452" t="str">
        <f>'HR Track 51 HER-TSA'!AM9</f>
        <v>RW1</v>
      </c>
      <c r="AN5" s="500">
        <f>'HR Track 51 HER-TSA'!AN9</f>
        <v>5.5</v>
      </c>
      <c r="AO5" s="452">
        <f>'HR Track 51 HER-TSA'!AO9</f>
        <v>0</v>
      </c>
      <c r="AP5" s="452">
        <f>'HR Track 51 HER-TSA'!AP9</f>
        <v>0</v>
      </c>
      <c r="AQ5" s="452">
        <f>'HR Track 51 HER-TSA'!AQ9</f>
        <v>0</v>
      </c>
      <c r="AR5" s="452">
        <f>'HR Track 51 HER-TSA'!AR9</f>
        <v>0</v>
      </c>
      <c r="AS5" s="452">
        <f>'HR Track 51 HER-TSA'!AS9</f>
        <v>0</v>
      </c>
      <c r="AT5" s="452">
        <f>'HR Track 51 HER-TSA'!AT9</f>
        <v>-5.0528308715783261</v>
      </c>
      <c r="AU5" s="452">
        <f>'HR Track 51 HER-TSA'!AU9</f>
        <v>0</v>
      </c>
      <c r="AV5" s="452">
        <f>'HR Track 51 HER-TSA'!AV9</f>
        <v>0</v>
      </c>
      <c r="AW5" s="452" t="str">
        <f>'HR Track 51 HER-TSA'!AW9</f>
        <v>Soil A</v>
      </c>
      <c r="AX5" s="452" t="str">
        <f>'HR Track 51 HER-TSA'!AX9</f>
        <v>PT</v>
      </c>
      <c r="AY5" s="500">
        <f>'HR Track 51 HER-TSA'!AY9</f>
        <v>3.5</v>
      </c>
      <c r="AZ5" s="500">
        <f>'HR Track 51 HER-TSA'!AZ9</f>
        <v>0</v>
      </c>
      <c r="BA5" s="1333" t="str">
        <f>'HR Track 51 HER-TSA'!BA9</f>
        <v>ü</v>
      </c>
      <c r="BB5" s="452" t="str">
        <f>'HR Track 51 HER-TSA'!BB9</f>
        <v>App.7.1-V01-P9.5.1.6</v>
      </c>
      <c r="BC5" s="1334">
        <f>'HR Track 51 HER-TSA'!BC9</f>
        <v>0</v>
      </c>
      <c r="BD5" s="1335">
        <f>'HR Track 51 HER-TSA'!BD9</f>
        <v>43790</v>
      </c>
      <c r="BE5" s="1335">
        <f>'HR Track 51 HER-TSA'!BE9</f>
        <v>43841</v>
      </c>
      <c r="BF5" s="1335">
        <f>'HR Track 51 HER-TSA'!BF9</f>
        <v>0</v>
      </c>
      <c r="BG5" s="1335">
        <f>'HR Track 51 HER-TSA'!BG9</f>
        <v>43870</v>
      </c>
    </row>
    <row r="6" spans="1:59" ht="15.75" customHeight="1">
      <c r="A6" s="501">
        <f>'HR Track 51 HER-TSA'!A10</f>
        <v>0</v>
      </c>
      <c r="B6" s="716">
        <f>'HR Track 51 HER-TSA'!B10</f>
        <v>0</v>
      </c>
      <c r="C6" s="451">
        <f>'HR Track 51 HER-TSA'!C10</f>
        <v>0</v>
      </c>
      <c r="D6" s="453">
        <f>'HR Track 51 HER-TSA'!D10</f>
        <v>0</v>
      </c>
      <c r="E6" s="452">
        <f>'HR Track 51 HER-TSA'!E10</f>
        <v>0</v>
      </c>
      <c r="F6" s="453">
        <f>'HR Track 51 HER-TSA'!F10</f>
        <v>0</v>
      </c>
      <c r="G6" s="500">
        <f>'HR Track 51 HER-TSA'!G10</f>
        <v>33</v>
      </c>
      <c r="H6" s="453">
        <f>'HR Track 51 HER-TSA'!H10</f>
        <v>0</v>
      </c>
      <c r="I6" s="501">
        <f>'HR Track 51 HER-TSA'!I10</f>
        <v>653</v>
      </c>
      <c r="J6" s="583">
        <f>'HR Track 51 HER-TSA'!J10</f>
        <v>91665.65</v>
      </c>
      <c r="K6" s="452" t="str">
        <f>'HR Track 51 HER-TSA'!K10</f>
        <v>AnMC-R</v>
      </c>
      <c r="L6" s="452">
        <f>'HR Track 51 HER-TSA'!L10</f>
        <v>0</v>
      </c>
      <c r="M6" s="452">
        <f>'HR Track 51 HER-TSA'!M10</f>
        <v>0</v>
      </c>
      <c r="N6" s="501">
        <f>'HR Track 51 HER-TSA'!N10</f>
        <v>0</v>
      </c>
      <c r="O6" s="501">
        <f>'HR Track 51 HER-TSA'!O10</f>
        <v>0</v>
      </c>
      <c r="P6" s="501">
        <f>'HR Track 51 HER-TSA'!P10</f>
        <v>0</v>
      </c>
      <c r="Q6" s="452">
        <f>'HR Track 51 HER-TSA'!Q10</f>
        <v>0</v>
      </c>
      <c r="R6" s="452">
        <f>'HR Track 51 HER-TSA'!R10</f>
        <v>0</v>
      </c>
      <c r="S6" s="500">
        <f>'HR Track 51 HER-TSA'!S10</f>
        <v>30</v>
      </c>
      <c r="T6" s="452">
        <f>'HR Track 51 HER-TSA'!T10</f>
        <v>0</v>
      </c>
      <c r="U6" s="452">
        <f>'HR Track 51 HER-TSA'!U10</f>
        <v>0</v>
      </c>
      <c r="V6" s="452">
        <f>'HR Track 51 HER-TSA'!V10</f>
        <v>0</v>
      </c>
      <c r="W6" s="452">
        <f>'HR Track 51 HER-TSA'!W10</f>
        <v>0</v>
      </c>
      <c r="X6" s="452">
        <f>'HR Track 51 HER-TSA'!X10</f>
        <v>0</v>
      </c>
      <c r="Y6" s="452">
        <f>'HR Track 51 HER-TSA'!Y10</f>
        <v>0</v>
      </c>
      <c r="Z6" s="452">
        <f>'HR Track 51 HER-TSA'!Z10</f>
        <v>0</v>
      </c>
      <c r="AA6" s="452">
        <f>'HR Track 51 HER-TSA'!AA10</f>
        <v>0</v>
      </c>
      <c r="AB6" s="452">
        <f>'HR Track 51 HER-TSA'!AB10</f>
        <v>0</v>
      </c>
      <c r="AC6" s="452">
        <f>'HR Track 51 HER-TSA'!AC10</f>
        <v>0</v>
      </c>
      <c r="AD6" s="452">
        <f>'HR Track 51 HER-TSA'!AD10</f>
        <v>0</v>
      </c>
      <c r="AE6" s="452">
        <f>'HR Track 51 HER-TSA'!AE10</f>
        <v>0</v>
      </c>
      <c r="AF6" s="452">
        <f>'HR Track 51 HER-TSA'!AF10</f>
        <v>0</v>
      </c>
      <c r="AG6" s="451">
        <f>'HR Track 51 HER-TSA'!AG10</f>
        <v>0</v>
      </c>
      <c r="AH6" s="452">
        <f>'HR Track 51 HER-TSA'!AH10</f>
        <v>0</v>
      </c>
      <c r="AI6" s="452">
        <f>'HR Track 51 HER-TSA'!AI10</f>
        <v>0</v>
      </c>
      <c r="AJ6" s="452">
        <f>'HR Track 51 HER-TSA'!AJ10</f>
        <v>0</v>
      </c>
      <c r="AK6" s="452">
        <f>'HR Track 51 HER-TSA'!AK10</f>
        <v>0</v>
      </c>
      <c r="AL6" s="452">
        <f>'HR Track 51 HER-TSA'!AL10</f>
        <v>0</v>
      </c>
      <c r="AM6" s="452">
        <f>'HR Track 51 HER-TSA'!AM10</f>
        <v>0</v>
      </c>
      <c r="AN6" s="500">
        <f>'HR Track 51 HER-TSA'!AN10</f>
        <v>0</v>
      </c>
      <c r="AO6" s="452">
        <f>'HR Track 51 HER-TSA'!AO10</f>
        <v>0</v>
      </c>
      <c r="AP6" s="452">
        <f>'HR Track 51 HER-TSA'!AP10</f>
        <v>0</v>
      </c>
      <c r="AQ6" s="452">
        <f>'HR Track 51 HER-TSA'!AQ10</f>
        <v>0.3</v>
      </c>
      <c r="AR6" s="452">
        <f>'HR Track 51 HER-TSA'!AR10</f>
        <v>0</v>
      </c>
      <c r="AS6" s="452">
        <f>'HR Track 51 HER-TSA'!AS10</f>
        <v>0</v>
      </c>
      <c r="AT6" s="452">
        <f>'HR Track 51 HER-TSA'!AT10</f>
        <v>0</v>
      </c>
      <c r="AU6" s="452">
        <f>'HR Track 51 HER-TSA'!AU10</f>
        <v>0</v>
      </c>
      <c r="AV6" s="452">
        <f>'HR Track 51 HER-TSA'!AV10</f>
        <v>0</v>
      </c>
      <c r="AW6" s="452" t="str">
        <f>'HR Track 51 HER-TSA'!AW10</f>
        <v>Soil A</v>
      </c>
      <c r="AX6" s="452" t="str">
        <f>'HR Track 51 HER-TSA'!AX10</f>
        <v>PT</v>
      </c>
      <c r="AY6" s="500">
        <f>'HR Track 51 HER-TSA'!AY10</f>
        <v>0</v>
      </c>
      <c r="AZ6" s="500">
        <f>'HR Track 51 HER-TSA'!AZ10</f>
        <v>3.3</v>
      </c>
      <c r="BA6" s="1333" t="str">
        <f>'HR Track 51 HER-TSA'!BA10</f>
        <v>ü</v>
      </c>
      <c r="BB6" s="452">
        <f>'HR Track 51 HER-TSA'!BB10</f>
        <v>0</v>
      </c>
      <c r="BC6" s="1334">
        <f>'HR Track 51 HER-TSA'!BC10</f>
        <v>0</v>
      </c>
      <c r="BD6" s="1335">
        <f>'HR Track 51 HER-TSA'!BD10</f>
        <v>43775</v>
      </c>
      <c r="BE6" s="1335">
        <f>'HR Track 51 HER-TSA'!BE10</f>
        <v>0</v>
      </c>
      <c r="BF6" s="1335">
        <f>'HR Track 51 HER-TSA'!BF10</f>
        <v>0</v>
      </c>
      <c r="BG6" s="1335">
        <f>'HR Track 51 HER-TSA'!BG10</f>
        <v>0</v>
      </c>
    </row>
    <row r="7" spans="1:59" ht="15.75" customHeight="1">
      <c r="A7" s="501">
        <f>'HR Track 51 HER-TSA'!A11</f>
        <v>0</v>
      </c>
      <c r="B7" s="716" t="str">
        <f>'HR Track 51 HER-TSA'!B11</f>
        <v>91-51.16</v>
      </c>
      <c r="C7" s="451">
        <f>'HR Track 51 HER-TSA'!C11</f>
        <v>91673.15</v>
      </c>
      <c r="D7" s="453">
        <f>'HR Track 51 HER-TSA'!D11</f>
        <v>0</v>
      </c>
      <c r="E7" s="452">
        <f>'HR Track 51 HER-TSA'!E11</f>
        <v>0</v>
      </c>
      <c r="F7" s="453">
        <f>'HR Track 51 HER-TSA'!F11</f>
        <v>0</v>
      </c>
      <c r="G7" s="500">
        <f>'HR Track 51 HER-TSA'!G11</f>
        <v>0</v>
      </c>
      <c r="H7" s="453" t="str">
        <f>'HR Track 51 HER-TSA'!H11</f>
        <v>S/A A/S</v>
      </c>
      <c r="I7" s="501" t="str">
        <f>'HR Track 51 HER-TSA'!I11</f>
        <v>CP+AnMC</v>
      </c>
      <c r="J7" s="583">
        <f>'HR Track 51 HER-TSA'!J11</f>
        <v>0</v>
      </c>
      <c r="K7" s="452">
        <f>'HR Track 51 HER-TSA'!K11</f>
        <v>0</v>
      </c>
      <c r="L7" s="452" t="str">
        <f>'HR Track 51 HER-TSA'!L11</f>
        <v>2HEB-240</v>
      </c>
      <c r="M7" s="452" t="str">
        <f>'HR Track 51 HER-TSA'!M11</f>
        <v>2C3R</v>
      </c>
      <c r="N7" s="501" t="str">
        <f>'HR Track 51 HER-TSA'!N11</f>
        <v>EMT-T</v>
      </c>
      <c r="O7" s="501" t="str">
        <f>'HR Track 51 HER-TSA'!O11</f>
        <v>EMT-2</v>
      </c>
      <c r="P7" s="501">
        <f>'HR Track 51 HER-TSA'!P11</f>
        <v>0</v>
      </c>
      <c r="Q7" s="452">
        <f>'HR Track 51 HER-TSA'!Q11</f>
        <v>10</v>
      </c>
      <c r="R7" s="452">
        <f>'HR Track 51 HER-TSA'!R11</f>
        <v>0</v>
      </c>
      <c r="S7" s="500">
        <f>'HR Track 51 HER-TSA'!S11</f>
        <v>0</v>
      </c>
      <c r="T7" s="452">
        <f>'HR Track 51 HER-TSA'!T11</f>
        <v>45</v>
      </c>
      <c r="U7" s="452">
        <f>'HR Track 51 HER-TSA'!U11</f>
        <v>30</v>
      </c>
      <c r="V7" s="452">
        <f>'HR Track 51 HER-TSA'!V11</f>
        <v>0</v>
      </c>
      <c r="W7" s="452">
        <f>'HR Track 51 HER-TSA'!W11</f>
        <v>1.4</v>
      </c>
      <c r="X7" s="452">
        <f>'HR Track 51 HER-TSA'!X11</f>
        <v>2.2999999999999998</v>
      </c>
      <c r="Y7" s="452">
        <f>'HR Track 51 HER-TSA'!Y11</f>
        <v>0</v>
      </c>
      <c r="Z7" s="452">
        <f>'HR Track 51 HER-TSA'!Z11</f>
        <v>0.45</v>
      </c>
      <c r="AA7" s="452">
        <f>'HR Track 51 HER-TSA'!AA11</f>
        <v>0</v>
      </c>
      <c r="AB7" s="452">
        <f>'HR Track 51 HER-TSA'!AB11</f>
        <v>0</v>
      </c>
      <c r="AC7" s="452" t="str">
        <f>'HR Track 51 HER-TSA'!AC11</f>
        <v>PHQ-1150</v>
      </c>
      <c r="AD7" s="452">
        <f>'HR Track 51 HER-TSA'!AD11</f>
        <v>0</v>
      </c>
      <c r="AE7" s="452">
        <f>'HR Track 51 HER-TSA'!AE11</f>
        <v>0</v>
      </c>
      <c r="AF7" s="452">
        <f>'HR Track 51 HER-TSA'!AF11</f>
        <v>5800</v>
      </c>
      <c r="AG7" s="451">
        <f>'HR Track 51 HER-TSA'!AG11</f>
        <v>91670</v>
      </c>
      <c r="AH7" s="452">
        <f>'HR Track 51 HER-TSA'!AH11</f>
        <v>3243</v>
      </c>
      <c r="AI7" s="452">
        <f>'HR Track 51 HER-TSA'!AI11</f>
        <v>390</v>
      </c>
      <c r="AJ7" s="452">
        <f>'HR Track 51 HER-TSA'!AJ11</f>
        <v>0</v>
      </c>
      <c r="AK7" s="452">
        <f>'HR Track 51 HER-TSA'!AK11</f>
        <v>0</v>
      </c>
      <c r="AL7" s="452">
        <f>'HR Track 51 HER-TSA'!AL11</f>
        <v>0</v>
      </c>
      <c r="AM7" s="452" t="str">
        <f>'HR Track 51 HER-TSA'!AM11</f>
        <v>RW1</v>
      </c>
      <c r="AN7" s="500">
        <f>'HR Track 51 HER-TSA'!AN11</f>
        <v>5.5</v>
      </c>
      <c r="AO7" s="452">
        <f>'HR Track 51 HER-TSA'!AO11</f>
        <v>0</v>
      </c>
      <c r="AP7" s="452">
        <f>'HR Track 51 HER-TSA'!AP11</f>
        <v>0</v>
      </c>
      <c r="AQ7" s="452">
        <f>'HR Track 51 HER-TSA'!AQ11</f>
        <v>0</v>
      </c>
      <c r="AR7" s="452">
        <f>'HR Track 51 HER-TSA'!AR11</f>
        <v>0</v>
      </c>
      <c r="AS7" s="452">
        <f>'HR Track 51 HER-TSA'!AS11</f>
        <v>0</v>
      </c>
      <c r="AT7" s="452">
        <f>'HR Track 51 HER-TSA'!AT11</f>
        <v>5.2621976876518497</v>
      </c>
      <c r="AU7" s="452">
        <f>'HR Track 51 HER-TSA'!AU11</f>
        <v>0</v>
      </c>
      <c r="AV7" s="452">
        <f>'HR Track 51 HER-TSA'!AV11</f>
        <v>0</v>
      </c>
      <c r="AW7" s="452" t="str">
        <f>'HR Track 51 HER-TSA'!AW11</f>
        <v>Soil A</v>
      </c>
      <c r="AX7" s="452" t="str">
        <f>'HR Track 51 HER-TSA'!AX11</f>
        <v>PT</v>
      </c>
      <c r="AY7" s="500">
        <f>'HR Track 51 HER-TSA'!AY11</f>
        <v>3.7</v>
      </c>
      <c r="AZ7" s="500">
        <f>'HR Track 51 HER-TSA'!AZ11</f>
        <v>0</v>
      </c>
      <c r="BA7" s="1333" t="str">
        <f>'HR Track 51 HER-TSA'!BA11</f>
        <v>ü</v>
      </c>
      <c r="BB7" s="452" t="str">
        <f>'HR Track 51 HER-TSA'!BB11</f>
        <v>App.7.1-V01-P9.5.1.8</v>
      </c>
      <c r="BC7" s="1334">
        <f>'HR Track 51 HER-TSA'!BC11</f>
        <v>0</v>
      </c>
      <c r="BD7" s="1335">
        <f>'HR Track 51 HER-TSA'!BD11</f>
        <v>43775</v>
      </c>
      <c r="BE7" s="1335">
        <f>'HR Track 51 HER-TSA'!BE11</f>
        <v>43841</v>
      </c>
      <c r="BF7" s="1335">
        <f>'HR Track 51 HER-TSA'!BF11</f>
        <v>0</v>
      </c>
      <c r="BG7" s="1335">
        <f>'HR Track 51 HER-TSA'!BG11</f>
        <v>43870</v>
      </c>
    </row>
    <row r="8" spans="1:59" ht="15.75" customHeight="1">
      <c r="A8" s="501">
        <f>'HR Track 51 HER-TSA'!A12</f>
        <v>0</v>
      </c>
      <c r="B8" s="716">
        <f>'HR Track 51 HER-TSA'!B12</f>
        <v>0</v>
      </c>
      <c r="C8" s="451">
        <f>'HR Track 51 HER-TSA'!C12</f>
        <v>0</v>
      </c>
      <c r="D8" s="453">
        <f>'HR Track 51 HER-TSA'!D12</f>
        <v>0</v>
      </c>
      <c r="E8" s="452">
        <f>'HR Track 51 HER-TSA'!E12</f>
        <v>0</v>
      </c>
      <c r="F8" s="453">
        <f>'HR Track 51 HER-TSA'!F12</f>
        <v>0</v>
      </c>
      <c r="G8" s="500">
        <f>'HR Track 51 HER-TSA'!G12</f>
        <v>33</v>
      </c>
      <c r="H8" s="453">
        <f>'HR Track 51 HER-TSA'!H12</f>
        <v>0</v>
      </c>
      <c r="I8" s="501">
        <f>'HR Track 51 HER-TSA'!I12</f>
        <v>496</v>
      </c>
      <c r="J8" s="583">
        <f>'HR Track 51 HER-TSA'!J12</f>
        <v>0</v>
      </c>
      <c r="K8" s="452">
        <f>'HR Track 51 HER-TSA'!K12</f>
        <v>0</v>
      </c>
      <c r="L8" s="452">
        <f>'HR Track 51 HER-TSA'!L12</f>
        <v>0</v>
      </c>
      <c r="M8" s="452">
        <f>'HR Track 51 HER-TSA'!M12</f>
        <v>0</v>
      </c>
      <c r="N8" s="501">
        <f>'HR Track 51 HER-TSA'!N12</f>
        <v>0</v>
      </c>
      <c r="O8" s="501">
        <f>'HR Track 51 HER-TSA'!O12</f>
        <v>0</v>
      </c>
      <c r="P8" s="501">
        <f>'HR Track 51 HER-TSA'!P12</f>
        <v>0</v>
      </c>
      <c r="Q8" s="452">
        <f>'HR Track 51 HER-TSA'!Q12</f>
        <v>0</v>
      </c>
      <c r="R8" s="452">
        <f>'HR Track 51 HER-TSA'!R12</f>
        <v>0</v>
      </c>
      <c r="S8" s="500">
        <f>'HR Track 51 HER-TSA'!S12</f>
        <v>36.30000000000291</v>
      </c>
      <c r="T8" s="452">
        <f>'HR Track 51 HER-TSA'!T12</f>
        <v>0</v>
      </c>
      <c r="U8" s="452">
        <f>'HR Track 51 HER-TSA'!U12</f>
        <v>0</v>
      </c>
      <c r="V8" s="452">
        <f>'HR Track 51 HER-TSA'!V12</f>
        <v>0</v>
      </c>
      <c r="W8" s="452">
        <f>'HR Track 51 HER-TSA'!W12</f>
        <v>0</v>
      </c>
      <c r="X8" s="452">
        <f>'HR Track 51 HER-TSA'!X12</f>
        <v>0</v>
      </c>
      <c r="Y8" s="452">
        <f>'HR Track 51 HER-TSA'!Y12</f>
        <v>0</v>
      </c>
      <c r="Z8" s="452">
        <f>'HR Track 51 HER-TSA'!Z12</f>
        <v>0</v>
      </c>
      <c r="AA8" s="452">
        <f>'HR Track 51 HER-TSA'!AA12</f>
        <v>0</v>
      </c>
      <c r="AB8" s="452">
        <f>'HR Track 51 HER-TSA'!AB12</f>
        <v>0</v>
      </c>
      <c r="AC8" s="452">
        <f>'HR Track 51 HER-TSA'!AC12</f>
        <v>0</v>
      </c>
      <c r="AD8" s="452">
        <f>'HR Track 51 HER-TSA'!AD12</f>
        <v>0</v>
      </c>
      <c r="AE8" s="452">
        <f>'HR Track 51 HER-TSA'!AE12</f>
        <v>0</v>
      </c>
      <c r="AF8" s="452">
        <f>'HR Track 51 HER-TSA'!AF12</f>
        <v>0</v>
      </c>
      <c r="AG8" s="451">
        <f>'HR Track 51 HER-TSA'!AG12</f>
        <v>0</v>
      </c>
      <c r="AH8" s="452">
        <f>'HR Track 51 HER-TSA'!AH12</f>
        <v>0</v>
      </c>
      <c r="AI8" s="452">
        <f>'HR Track 51 HER-TSA'!AI12</f>
        <v>0</v>
      </c>
      <c r="AJ8" s="452">
        <f>'HR Track 51 HER-TSA'!AJ12</f>
        <v>0</v>
      </c>
      <c r="AK8" s="452">
        <f>'HR Track 51 HER-TSA'!AK12</f>
        <v>0</v>
      </c>
      <c r="AL8" s="452">
        <f>'HR Track 51 HER-TSA'!AL12</f>
        <v>0</v>
      </c>
      <c r="AM8" s="452">
        <f>'HR Track 51 HER-TSA'!AM12</f>
        <v>0</v>
      </c>
      <c r="AN8" s="500">
        <f>'HR Track 51 HER-TSA'!AN12</f>
        <v>0</v>
      </c>
      <c r="AO8" s="452">
        <f>'HR Track 51 HER-TSA'!AO12</f>
        <v>0</v>
      </c>
      <c r="AP8" s="452">
        <f>'HR Track 51 HER-TSA'!AP12</f>
        <v>0</v>
      </c>
      <c r="AQ8" s="452">
        <f>'HR Track 51 HER-TSA'!AQ12</f>
        <v>0.30000000000001081</v>
      </c>
      <c r="AR8" s="452">
        <f>'HR Track 51 HER-TSA'!AR12</f>
        <v>0</v>
      </c>
      <c r="AS8" s="452">
        <f>'HR Track 51 HER-TSA'!AS12</f>
        <v>0</v>
      </c>
      <c r="AT8" s="452">
        <f>'HR Track 51 HER-TSA'!AT12</f>
        <v>0</v>
      </c>
      <c r="AU8" s="452">
        <f>'HR Track 51 HER-TSA'!AU12</f>
        <v>0</v>
      </c>
      <c r="AV8" s="452">
        <f>'HR Track 51 HER-TSA'!AV12</f>
        <v>0</v>
      </c>
      <c r="AW8" s="452">
        <f>'HR Track 51 HER-TSA'!AW12</f>
        <v>0</v>
      </c>
      <c r="AX8" s="452">
        <f>'HR Track 51 HER-TSA'!AX12</f>
        <v>0</v>
      </c>
      <c r="AY8" s="500">
        <f>'HR Track 51 HER-TSA'!AY12</f>
        <v>0</v>
      </c>
      <c r="AZ8" s="500">
        <f>'HR Track 51 HER-TSA'!AZ12</f>
        <v>0</v>
      </c>
      <c r="BA8" s="1333">
        <f>'HR Track 51 HER-TSA'!BA12</f>
        <v>0</v>
      </c>
      <c r="BB8" s="452">
        <f>'HR Track 51 HER-TSA'!BB12</f>
        <v>0</v>
      </c>
      <c r="BC8" s="1334">
        <f>'HR Track 51 HER-TSA'!BC12</f>
        <v>0</v>
      </c>
      <c r="BD8" s="1335">
        <f>'HR Track 51 HER-TSA'!BD12</f>
        <v>0</v>
      </c>
      <c r="BE8" s="1335">
        <f>'HR Track 51 HER-TSA'!BE12</f>
        <v>0</v>
      </c>
      <c r="BF8" s="1335">
        <f>'HR Track 51 HER-TSA'!BF12</f>
        <v>0</v>
      </c>
      <c r="BG8" s="1335">
        <f>'HR Track 51 HER-TSA'!BG12</f>
        <v>0</v>
      </c>
    </row>
    <row r="9" spans="1:59" ht="15.75" customHeight="1">
      <c r="A9" s="501">
        <f>'HR Track 51 HER-TSA'!A13</f>
        <v>0</v>
      </c>
      <c r="B9" s="716" t="str">
        <f>'HR Track 51 HER-TSA'!B13</f>
        <v>91-51.17</v>
      </c>
      <c r="C9" s="451">
        <f>'HR Track 51 HER-TSA'!C13</f>
        <v>91706.15</v>
      </c>
      <c r="D9" s="453">
        <f>'HR Track 51 HER-TSA'!D13</f>
        <v>0</v>
      </c>
      <c r="E9" s="452">
        <f>'HR Track 51 HER-TSA'!E13</f>
        <v>0</v>
      </c>
      <c r="F9" s="453">
        <f>'HR Track 51 HER-TSA'!F13</f>
        <v>0</v>
      </c>
      <c r="G9" s="500">
        <f>'HR Track 51 HER-TSA'!G13</f>
        <v>0</v>
      </c>
      <c r="H9" s="453" t="str">
        <f>'HR Track 51 HER-TSA'!H13</f>
        <v>P50(CS) S/A</v>
      </c>
      <c r="I9" s="501">
        <f>'HR Track 51 HER-TSA'!I13</f>
        <v>0</v>
      </c>
      <c r="J9" s="583">
        <f>'HR Track 51 HER-TSA'!J13</f>
        <v>0</v>
      </c>
      <c r="K9" s="452">
        <f>'HR Track 51 HER-TSA'!K13</f>
        <v>0</v>
      </c>
      <c r="L9" s="452" t="str">
        <f>'HR Track 51 HER-TSA'!L13</f>
        <v>2HEB-260</v>
      </c>
      <c r="M9" s="452" t="str">
        <f>'HR Track 51 HER-TSA'!M13</f>
        <v>2C4R</v>
      </c>
      <c r="N9" s="501" t="str">
        <f>'HR Track 51 HER-TSA'!N13</f>
        <v>EMT-T</v>
      </c>
      <c r="O9" s="501" t="str">
        <f>'HR Track 51 HER-TSA'!O13</f>
        <v>EMT-2</v>
      </c>
      <c r="P9" s="501" t="str">
        <f>'HR Track 51 HER-TSA'!P13</f>
        <v>EMT-E</v>
      </c>
      <c r="Q9" s="452">
        <f>'HR Track 51 HER-TSA'!Q13</f>
        <v>0</v>
      </c>
      <c r="R9" s="452">
        <f>'HR Track 51 HER-TSA'!R13</f>
        <v>0</v>
      </c>
      <c r="S9" s="500">
        <f>'HR Track 51 HER-TSA'!S13</f>
        <v>0</v>
      </c>
      <c r="T9" s="452">
        <f>'HR Track 51 HER-TSA'!T13</f>
        <v>-45</v>
      </c>
      <c r="U9" s="452">
        <f>'HR Track 51 HER-TSA'!U13</f>
        <v>-15</v>
      </c>
      <c r="V9" s="452">
        <f>'HR Track 51 HER-TSA'!V13</f>
        <v>-30</v>
      </c>
      <c r="W9" s="452">
        <f>'HR Track 51 HER-TSA'!W13</f>
        <v>2.2999999999999998</v>
      </c>
      <c r="X9" s="452">
        <f>'HR Track 51 HER-TSA'!X13</f>
        <v>1.4</v>
      </c>
      <c r="Y9" s="452">
        <f>'HR Track 51 HER-TSA'!Y13</f>
        <v>1.8</v>
      </c>
      <c r="Z9" s="452">
        <f>'HR Track 51 HER-TSA'!Z13</f>
        <v>0.45</v>
      </c>
      <c r="AA9" s="452">
        <f>'HR Track 51 HER-TSA'!AA13</f>
        <v>0</v>
      </c>
      <c r="AB9" s="452">
        <f>'HR Track 51 HER-TSA'!AB13</f>
        <v>0</v>
      </c>
      <c r="AC9" s="452">
        <f>'HR Track 51 HER-TSA'!AC13</f>
        <v>0</v>
      </c>
      <c r="AD9" s="452" t="str">
        <f>'HR Track 51 HER-TSA'!AD13</f>
        <v>BTC-1651</v>
      </c>
      <c r="AE9" s="452" t="str">
        <f>'HR Track 51 HER-TSA'!AE13</f>
        <v>PHQ-1450</v>
      </c>
      <c r="AF9" s="452">
        <f>'HR Track 51 HER-TSA'!AF13</f>
        <v>5800</v>
      </c>
      <c r="AG9" s="451">
        <f>'HR Track 51 HER-TSA'!AG13</f>
        <v>91706.3</v>
      </c>
      <c r="AH9" s="452">
        <f>'HR Track 51 HER-TSA'!AH13</f>
        <v>2563</v>
      </c>
      <c r="AI9" s="452">
        <f>'HR Track 51 HER-TSA'!AI13</f>
        <v>290</v>
      </c>
      <c r="AJ9" s="452">
        <f>'HR Track 51 HER-TSA'!AJ13</f>
        <v>0</v>
      </c>
      <c r="AK9" s="452">
        <f>'HR Track 51 HER-TSA'!AK13</f>
        <v>0</v>
      </c>
      <c r="AL9" s="452">
        <f>'HR Track 51 HER-TSA'!AL13</f>
        <v>0</v>
      </c>
      <c r="AM9" s="452" t="str">
        <f>'HR Track 51 HER-TSA'!AM13</f>
        <v>RW1</v>
      </c>
      <c r="AN9" s="500">
        <f>'HR Track 51 HER-TSA'!AN13</f>
        <v>5.5</v>
      </c>
      <c r="AO9" s="452">
        <f>'HR Track 51 HER-TSA'!AO13</f>
        <v>0</v>
      </c>
      <c r="AP9" s="452">
        <f>'HR Track 51 HER-TSA'!AP13</f>
        <v>0</v>
      </c>
      <c r="AQ9" s="452">
        <f>'HR Track 51 HER-TSA'!AQ13</f>
        <v>0</v>
      </c>
      <c r="AR9" s="452">
        <f>'HR Track 51 HER-TSA'!AR13</f>
        <v>0</v>
      </c>
      <c r="AS9" s="452">
        <f>'HR Track 51 HER-TSA'!AS13</f>
        <v>0</v>
      </c>
      <c r="AT9" s="452">
        <f>'HR Track 51 HER-TSA'!AT13</f>
        <v>-10.437098830895259</v>
      </c>
      <c r="AU9" s="452">
        <f>'HR Track 51 HER-TSA'!AU13</f>
        <v>0</v>
      </c>
      <c r="AV9" s="452">
        <f>'HR Track 51 HER-TSA'!AV13</f>
        <v>0</v>
      </c>
      <c r="AW9" s="452" t="str">
        <f>'HR Track 51 HER-TSA'!AW13</f>
        <v>Soil A</v>
      </c>
      <c r="AX9" s="452" t="str">
        <f>'HR Track 51 HER-TSA'!AX13</f>
        <v>PT</v>
      </c>
      <c r="AY9" s="500">
        <f>'HR Track 51 HER-TSA'!AY13</f>
        <v>4</v>
      </c>
      <c r="AZ9" s="500">
        <f>'HR Track 51 HER-TSA'!AZ13</f>
        <v>0</v>
      </c>
      <c r="BA9" s="1333" t="str">
        <f>'HR Track 51 HER-TSA'!BA13</f>
        <v>ü</v>
      </c>
      <c r="BB9" s="452" t="str">
        <f>'HR Track 51 HER-TSA'!BB13</f>
        <v>App.7.1-V01-P9.5.1.6</v>
      </c>
      <c r="BC9" s="1334">
        <f>'HR Track 51 HER-TSA'!BC13</f>
        <v>0</v>
      </c>
      <c r="BD9" s="1335">
        <f>'HR Track 51 HER-TSA'!BD13</f>
        <v>43862</v>
      </c>
      <c r="BE9" s="1335">
        <f>'HR Track 51 HER-TSA'!BE13</f>
        <v>0</v>
      </c>
      <c r="BF9" s="1335">
        <f>'HR Track 51 HER-TSA'!BF13</f>
        <v>0</v>
      </c>
      <c r="BG9" s="1335">
        <f>'HR Track 51 HER-TSA'!BG13</f>
        <v>43893</v>
      </c>
    </row>
    <row r="10" spans="1:59" ht="15.75" customHeight="1">
      <c r="A10" s="1239"/>
      <c r="B10" s="173"/>
      <c r="C10" s="446"/>
      <c r="D10" s="447"/>
      <c r="E10" s="447"/>
      <c r="F10" s="1239"/>
      <c r="G10" s="484">
        <v>31.9</v>
      </c>
      <c r="H10" s="1239"/>
      <c r="I10" s="172"/>
      <c r="J10" s="446"/>
      <c r="K10" s="638"/>
      <c r="L10" s="638"/>
      <c r="M10" s="638"/>
      <c r="N10" s="1239"/>
      <c r="O10" s="1239"/>
      <c r="P10" s="638"/>
      <c r="Q10" s="638"/>
      <c r="R10" s="638"/>
      <c r="S10" s="484">
        <f>+S11-S9</f>
        <v>0</v>
      </c>
      <c r="T10" s="638"/>
      <c r="U10" s="638"/>
      <c r="V10" s="638"/>
      <c r="W10" s="638"/>
      <c r="X10" s="638"/>
      <c r="Y10" s="638"/>
      <c r="Z10" s="638"/>
      <c r="AA10" s="638"/>
      <c r="AB10" s="638"/>
      <c r="AC10" s="638"/>
      <c r="AD10" s="638"/>
      <c r="AE10" s="638"/>
      <c r="AF10" s="638"/>
      <c r="AG10" s="446"/>
      <c r="AH10" s="638"/>
      <c r="AI10" s="185"/>
      <c r="AJ10" s="638"/>
      <c r="AK10" s="1239"/>
      <c r="AL10" s="638"/>
      <c r="AM10" s="445"/>
      <c r="AN10" s="455"/>
      <c r="AO10" s="1239"/>
      <c r="AP10" s="1239"/>
      <c r="AQ10" s="484"/>
      <c r="AR10" s="484"/>
      <c r="AS10" s="484"/>
      <c r="AT10" s="484"/>
      <c r="AU10" s="638"/>
      <c r="AV10" s="638"/>
      <c r="AW10" s="484"/>
      <c r="AX10" s="484"/>
      <c r="AY10" s="484"/>
      <c r="AZ10" s="484"/>
      <c r="BA10" s="671"/>
      <c r="BB10" s="1239"/>
      <c r="BC10" s="169"/>
      <c r="BD10" s="1330"/>
      <c r="BE10" s="1330"/>
      <c r="BF10" s="1330"/>
      <c r="BG10" s="1330"/>
    </row>
    <row r="11" spans="1:59" ht="15.75" customHeight="1">
      <c r="A11" s="1239"/>
      <c r="B11" s="619" t="s">
        <v>2304</v>
      </c>
      <c r="C11" s="446">
        <v>91738.050499999998</v>
      </c>
      <c r="D11" s="447"/>
      <c r="E11" s="447"/>
      <c r="F11" s="1239">
        <v>0</v>
      </c>
      <c r="G11" s="484"/>
      <c r="H11" s="1239" t="s">
        <v>2817</v>
      </c>
      <c r="I11" s="1239"/>
      <c r="J11" s="446"/>
      <c r="K11" s="638"/>
      <c r="L11" s="638" t="s">
        <v>895</v>
      </c>
      <c r="M11" s="638" t="str">
        <f>IF(AX11="PT",VLOOKUP(L11,'Foundation Calculation'!$V$2:$X$40,VLOOKUP(AX11,'Foundation Calculation'!$I$10:$J$13,2,FALSE),0),IF(AX11="K",VLOOKUP(L11,'Foundation Calculation'!$V$42:$X$80,VLOOKUP(AX11,'Foundation Calculation'!$I$10:$J$13,2,FALSE),0),""))</f>
        <v>2C3R</v>
      </c>
      <c r="N11" s="1239" t="s">
        <v>2789</v>
      </c>
      <c r="O11" s="1239" t="s">
        <v>144</v>
      </c>
      <c r="P11" s="638"/>
      <c r="Q11" s="638">
        <v>0</v>
      </c>
      <c r="R11" s="638">
        <v>0</v>
      </c>
      <c r="S11" s="484"/>
      <c r="T11" s="638">
        <v>5</v>
      </c>
      <c r="U11" s="638">
        <v>20</v>
      </c>
      <c r="V11" s="638"/>
      <c r="W11" s="638">
        <v>2.2999999999999998</v>
      </c>
      <c r="X11" s="638">
        <v>1.4</v>
      </c>
      <c r="Y11" s="638"/>
      <c r="Z11" s="638"/>
      <c r="AA11" s="638"/>
      <c r="AB11" s="638"/>
      <c r="AC11" s="1239" t="s">
        <v>4207</v>
      </c>
      <c r="AD11" s="1239" t="s">
        <v>4124</v>
      </c>
      <c r="AE11" s="638"/>
      <c r="AF11" s="638">
        <v>5500</v>
      </c>
      <c r="AG11" s="446">
        <v>91738</v>
      </c>
      <c r="AH11" s="638">
        <v>1923</v>
      </c>
      <c r="AI11" s="185">
        <v>260</v>
      </c>
      <c r="AJ11" s="638"/>
      <c r="AK11" s="1239"/>
      <c r="AL11" s="638"/>
      <c r="AM11" s="638" t="s">
        <v>1042</v>
      </c>
      <c r="AN11" s="455">
        <v>5.5</v>
      </c>
      <c r="AO11" s="1239"/>
      <c r="AP11" s="1239"/>
      <c r="AQ11" s="484"/>
      <c r="AR11" s="484"/>
      <c r="AS11" s="484"/>
      <c r="AT11" s="484"/>
      <c r="AU11" s="638"/>
      <c r="AV11" s="638"/>
      <c r="AW11" s="638" t="str">
        <f>VLOOKUP(C11,'Foundation Calculation'!$A$2:$C$33,3,1)</f>
        <v>Soil A</v>
      </c>
      <c r="AX11" s="572" t="str">
        <f>VLOOKUP(C11,'Foundation Calculation'!$E$2:$G$33,3,1)</f>
        <v>PT</v>
      </c>
      <c r="AY11" s="484">
        <f>IF(AX11="PT",VLOOKUP(L11,'Foundation Calculation'!$K$2:$R$40,VLOOKUP(AW11,'Foundation Calculation'!$I$2:$J$8,2,FALSE),0),IF(AX11="K",VLOOKUP(L11,'Foundation Calculation'!$K$42:$R$80,VLOOKUP(AW11,'Foundation Calculation'!$I$2:$J$8,2,FALSE),0),""))</f>
        <v>3.7</v>
      </c>
      <c r="AZ11" s="484"/>
      <c r="BA11" s="671" t="s">
        <v>2809</v>
      </c>
      <c r="BB11" s="1239" t="str">
        <f>Pole_Calculations!A156</f>
        <v>App.7.1-V01-P9.5.1.5</v>
      </c>
      <c r="BC11" s="169"/>
      <c r="BD11" s="1329">
        <v>43831</v>
      </c>
      <c r="BE11" s="1329"/>
      <c r="BF11" s="1330"/>
      <c r="BG11" s="1329">
        <v>43893</v>
      </c>
    </row>
    <row r="12" spans="1:59" ht="15.75" customHeight="1">
      <c r="A12" s="1239"/>
      <c r="B12" s="173"/>
      <c r="C12" s="446"/>
      <c r="D12" s="447"/>
      <c r="E12" s="447"/>
      <c r="F12" s="1239"/>
      <c r="G12" s="484">
        <v>32.200000000000003</v>
      </c>
      <c r="H12" s="1239"/>
      <c r="I12" s="445"/>
      <c r="J12" s="446"/>
      <c r="K12" s="638"/>
      <c r="L12" s="638"/>
      <c r="M12" s="638"/>
      <c r="N12" s="1239"/>
      <c r="O12" s="1239"/>
      <c r="P12" s="638"/>
      <c r="Q12" s="638"/>
      <c r="R12" s="638"/>
      <c r="S12" s="484">
        <f t="shared" ref="S12" si="0">+S13-S11</f>
        <v>0</v>
      </c>
      <c r="T12" s="638"/>
      <c r="U12" s="638"/>
      <c r="V12" s="638"/>
      <c r="W12" s="638"/>
      <c r="X12" s="638"/>
      <c r="Y12" s="638"/>
      <c r="Z12" s="638"/>
      <c r="AA12" s="638"/>
      <c r="AB12" s="638"/>
      <c r="AC12" s="638"/>
      <c r="AD12" s="638"/>
      <c r="AE12" s="638"/>
      <c r="AF12" s="638"/>
      <c r="AG12" s="446"/>
      <c r="AH12" s="638"/>
      <c r="AI12" s="185"/>
      <c r="AJ12" s="638"/>
      <c r="AK12" s="1239"/>
      <c r="AL12" s="638"/>
      <c r="AM12" s="445"/>
      <c r="AN12" s="455"/>
      <c r="AO12" s="1239"/>
      <c r="AP12" s="1239"/>
      <c r="AQ12" s="484">
        <f>+FL_1($T$13,$U$11,$G$12,1200,9.28,-1*$F$13)</f>
        <v>0.45390462673424803</v>
      </c>
      <c r="AR12" s="484"/>
      <c r="AS12" s="484"/>
      <c r="AT12" s="484"/>
      <c r="AU12" s="638"/>
      <c r="AV12" s="638"/>
      <c r="AW12" s="484"/>
      <c r="AX12" s="484"/>
      <c r="AY12" s="484"/>
      <c r="AZ12" s="484"/>
      <c r="BA12" s="671"/>
      <c r="BB12" s="1239"/>
      <c r="BC12" s="169"/>
      <c r="BD12" s="1330"/>
      <c r="BE12" s="1330"/>
      <c r="BF12" s="1330"/>
      <c r="BG12" s="1330"/>
    </row>
    <row r="13" spans="1:59" ht="15.75" customHeight="1">
      <c r="A13" s="1239"/>
      <c r="B13" s="439" t="s">
        <v>2305</v>
      </c>
      <c r="C13" s="446">
        <f>+$C$11+$G$12</f>
        <v>91770.250499999995</v>
      </c>
      <c r="D13" s="173"/>
      <c r="E13" s="447"/>
      <c r="F13" s="447">
        <v>350</v>
      </c>
      <c r="G13" s="484"/>
      <c r="H13" s="1239"/>
      <c r="I13" s="1239"/>
      <c r="J13" s="171"/>
      <c r="K13" s="638"/>
      <c r="L13" s="638" t="s">
        <v>4488</v>
      </c>
      <c r="M13" s="638" t="str">
        <f>IF(AX13="PT",VLOOKUP(L13,'Foundation Calculation'!$V$2:$X$40,VLOOKUP(AX13,'Foundation Calculation'!$I$10:$J$13,2,FALSE),0),IF(AX13="K",VLOOKUP(L13,'Foundation Calculation'!$V$42:$X$80,VLOOKUP(AX13,'Foundation Calculation'!$I$10:$J$13,2,FALSE),0),""))</f>
        <v>C11R</v>
      </c>
      <c r="N13" s="1239" t="s">
        <v>143</v>
      </c>
      <c r="O13" s="1239"/>
      <c r="P13" s="1239"/>
      <c r="Q13" s="638">
        <v>10</v>
      </c>
      <c r="R13" s="638">
        <v>0</v>
      </c>
      <c r="S13" s="484"/>
      <c r="T13" s="638">
        <v>-30</v>
      </c>
      <c r="U13" s="638"/>
      <c r="V13" s="638"/>
      <c r="W13" s="638">
        <v>1.4</v>
      </c>
      <c r="X13" s="638"/>
      <c r="Y13" s="638"/>
      <c r="Z13" s="638"/>
      <c r="AA13" s="638"/>
      <c r="AB13" s="638"/>
      <c r="AC13" s="638" t="s">
        <v>4128</v>
      </c>
      <c r="AD13" s="638"/>
      <c r="AE13" s="638"/>
      <c r="AF13" s="638">
        <v>5800</v>
      </c>
      <c r="AG13" s="446">
        <v>91770.38</v>
      </c>
      <c r="AH13" s="638">
        <v>2033</v>
      </c>
      <c r="AI13" s="638">
        <v>340</v>
      </c>
      <c r="AJ13" s="638"/>
      <c r="AK13" s="638"/>
      <c r="AL13" s="638" t="s">
        <v>4490</v>
      </c>
      <c r="AM13" s="638" t="s">
        <v>1042</v>
      </c>
      <c r="AN13" s="455">
        <v>5.5</v>
      </c>
      <c r="AO13" s="1239"/>
      <c r="AP13" s="1239"/>
      <c r="AQ13" s="484"/>
      <c r="AR13" s="484"/>
      <c r="AS13" s="484"/>
      <c r="AT13" s="484">
        <f>+ab($T$13,$U$11,$T$15,$G$12,$G$14,-1*$F$13,1200)</f>
        <v>-1.9163066805300955</v>
      </c>
      <c r="AU13" s="638"/>
      <c r="AV13" s="638"/>
      <c r="AW13" s="638" t="str">
        <f>VLOOKUP(C13,'Foundation Calculation'!$A$2:$C$33,3,1)</f>
        <v>Soil A</v>
      </c>
      <c r="AX13" s="638" t="str">
        <f>VLOOKUP(C13,'Foundation Calculation'!$E$2:$G$33,3,1)</f>
        <v>PT</v>
      </c>
      <c r="AY13" s="484">
        <f>IF(AX13="PT",VLOOKUP(L13,'Foundation Calculation'!$K$2:$R$40,VLOOKUP(AW13,'Foundation Calculation'!$I$2:$J$8,2,FALSE),0),IF(AX13="K",VLOOKUP(L13,'Foundation Calculation'!$K$42:$R$80,VLOOKUP(AW13,'Foundation Calculation'!$I$2:$J$8,2,FALSE),0),""))</f>
        <v>4.5999999999999996</v>
      </c>
      <c r="AZ13" s="484"/>
      <c r="BA13" s="671" t="s">
        <v>2809</v>
      </c>
      <c r="BB13" s="1239" t="str">
        <f>Pole_Calculations!A178</f>
        <v>App.8-V08F-P10.3</v>
      </c>
      <c r="BC13" s="169"/>
      <c r="BD13" s="1329">
        <v>43831</v>
      </c>
      <c r="BE13" s="1329">
        <v>43865</v>
      </c>
      <c r="BF13" s="1329"/>
      <c r="BG13" s="1329">
        <v>43893</v>
      </c>
    </row>
    <row r="14" spans="1:59" ht="15.75" customHeight="1">
      <c r="A14" s="449"/>
      <c r="B14" s="173"/>
      <c r="C14" s="446"/>
      <c r="D14" s="445"/>
      <c r="E14" s="445"/>
      <c r="F14" s="445"/>
      <c r="G14" s="484">
        <v>27</v>
      </c>
      <c r="H14" s="445"/>
      <c r="I14" s="1239"/>
      <c r="J14" s="446"/>
      <c r="K14" s="638"/>
      <c r="L14" s="445"/>
      <c r="M14" s="445"/>
      <c r="N14" s="1239"/>
      <c r="O14" s="1239"/>
      <c r="P14" s="445"/>
      <c r="Q14" s="638"/>
      <c r="R14" s="638"/>
      <c r="S14" s="484">
        <f t="shared" ref="S14" si="1">+S15-S13</f>
        <v>0</v>
      </c>
      <c r="T14" s="638"/>
      <c r="U14" s="638"/>
      <c r="V14" s="638"/>
      <c r="W14" s="638"/>
      <c r="X14" s="638"/>
      <c r="Y14" s="638"/>
      <c r="Z14" s="638"/>
      <c r="AA14" s="638"/>
      <c r="AB14" s="638"/>
      <c r="AC14" s="638"/>
      <c r="AD14" s="638"/>
      <c r="AE14" s="638"/>
      <c r="AF14" s="638"/>
      <c r="AG14" s="446"/>
      <c r="AH14" s="638"/>
      <c r="AI14" s="185"/>
      <c r="AJ14" s="445"/>
      <c r="AK14" s="445"/>
      <c r="AL14" s="445"/>
      <c r="AM14" s="445"/>
      <c r="AN14" s="484"/>
      <c r="AO14" s="445"/>
      <c r="AP14" s="445"/>
      <c r="AQ14" s="484">
        <f>+FL_2($T$15,$T$13,$G$14,1200,9.28,-1*$F$15)</f>
        <v>-0.30000000000004196</v>
      </c>
      <c r="AR14" s="484"/>
      <c r="AS14" s="484"/>
      <c r="AT14" s="484"/>
      <c r="AU14" s="638"/>
      <c r="AV14" s="638"/>
      <c r="AW14" s="484"/>
      <c r="AX14" s="484"/>
      <c r="AY14" s="484"/>
      <c r="AZ14" s="484"/>
      <c r="BA14" s="671"/>
      <c r="BB14" s="449"/>
      <c r="BC14" s="169"/>
      <c r="BD14" s="1330"/>
      <c r="BE14" s="1330"/>
      <c r="BF14" s="1330"/>
      <c r="BG14" s="1330"/>
    </row>
    <row r="15" spans="1:59" ht="15.75" customHeight="1">
      <c r="A15" s="449"/>
      <c r="B15" s="439" t="s">
        <v>2306</v>
      </c>
      <c r="C15" s="446">
        <f>+$C$13+$G$14</f>
        <v>91797.250499999995</v>
      </c>
      <c r="D15" s="173"/>
      <c r="E15" s="447"/>
      <c r="F15" s="447" t="s">
        <v>2311</v>
      </c>
      <c r="G15" s="484"/>
      <c r="H15" s="1239"/>
      <c r="I15" s="1239"/>
      <c r="J15" s="171"/>
      <c r="K15" s="638"/>
      <c r="L15" s="638" t="s">
        <v>4488</v>
      </c>
      <c r="M15" s="638" t="str">
        <f>IF(AX15="PT",VLOOKUP(L15,'Foundation Calculation'!$V$2:$X$40,VLOOKUP(AX15,'Foundation Calculation'!$I$10:$J$13,2,FALSE),0),IF(AX15="K",VLOOKUP(L15,'Foundation Calculation'!$V$42:$X$80,VLOOKUP(AX15,'Foundation Calculation'!$I$10:$J$13,2,FALSE),0),""))</f>
        <v>C11R</v>
      </c>
      <c r="N15" s="1239" t="s">
        <v>143</v>
      </c>
      <c r="O15" s="1239" t="s">
        <v>638</v>
      </c>
      <c r="P15" s="1239"/>
      <c r="Q15" s="638">
        <v>0</v>
      </c>
      <c r="R15" s="638">
        <v>0</v>
      </c>
      <c r="S15" s="484"/>
      <c r="T15" s="638">
        <v>-30</v>
      </c>
      <c r="U15" s="638"/>
      <c r="V15" s="638"/>
      <c r="W15" s="638">
        <v>1.4</v>
      </c>
      <c r="X15" s="638"/>
      <c r="Y15" s="638"/>
      <c r="Z15" s="638"/>
      <c r="AA15" s="638"/>
      <c r="AB15" s="638"/>
      <c r="AC15" s="638" t="s">
        <v>1417</v>
      </c>
      <c r="AD15" s="638"/>
      <c r="AE15" s="638"/>
      <c r="AF15" s="638">
        <v>5100</v>
      </c>
      <c r="AG15" s="446"/>
      <c r="AH15" s="638">
        <v>2007</v>
      </c>
      <c r="AI15" s="638">
        <v>-520</v>
      </c>
      <c r="AJ15" s="638"/>
      <c r="AK15" s="638"/>
      <c r="AL15" s="638" t="s">
        <v>4490</v>
      </c>
      <c r="AM15" s="638" t="s">
        <v>1042</v>
      </c>
      <c r="AN15" s="455">
        <v>5.5</v>
      </c>
      <c r="AO15" s="1239"/>
      <c r="AP15" s="1239"/>
      <c r="AQ15" s="484"/>
      <c r="AR15" s="484"/>
      <c r="AS15" s="484"/>
      <c r="AT15" s="484">
        <f>+ab($T$15,$T$13,$T$17,$G$14,$G$16,-1*$F$15,1200)</f>
        <v>-1.7599917654172694</v>
      </c>
      <c r="AU15" s="638"/>
      <c r="AV15" s="638"/>
      <c r="AW15" s="638" t="str">
        <f>VLOOKUP(C15,'Foundation Calculation'!$A$2:$C$33,3,1)</f>
        <v>Soil A</v>
      </c>
      <c r="AX15" s="638" t="str">
        <f>VLOOKUP(C15,'Foundation Calculation'!$E$2:$G$33,3,1)</f>
        <v>PT</v>
      </c>
      <c r="AY15" s="484">
        <f>IF(AX15="PT",VLOOKUP(L15,'Foundation Calculation'!$K$2:$R$40,VLOOKUP(AW15,'Foundation Calculation'!$I$2:$J$8,2,FALSE),0),IF(AX15="K",VLOOKUP(L15,'Foundation Calculation'!$K$42:$R$80,VLOOKUP(AW15,'Foundation Calculation'!$I$2:$J$8,2,FALSE),0),""))</f>
        <v>4.5999999999999996</v>
      </c>
      <c r="AZ15" s="484"/>
      <c r="BA15" s="671" t="s">
        <v>2809</v>
      </c>
      <c r="BB15" s="449" t="str">
        <f>Pole_Calculations!A178</f>
        <v>App.8-V08F-P10.3</v>
      </c>
      <c r="BC15" s="169"/>
      <c r="BD15" s="1371"/>
      <c r="BE15" s="1371"/>
      <c r="BF15" s="1371"/>
      <c r="BG15" s="1371"/>
    </row>
    <row r="16" spans="1:59" ht="15.75" customHeight="1">
      <c r="A16" s="449"/>
      <c r="B16" s="173"/>
      <c r="C16" s="446"/>
      <c r="D16" s="445"/>
      <c r="E16" s="445"/>
      <c r="F16" s="445"/>
      <c r="G16" s="484">
        <v>37</v>
      </c>
      <c r="H16" s="445"/>
      <c r="I16" s="445"/>
      <c r="J16" s="446"/>
      <c r="K16" s="638"/>
      <c r="L16" s="445"/>
      <c r="M16" s="445"/>
      <c r="N16" s="445"/>
      <c r="O16" s="445"/>
      <c r="P16" s="445"/>
      <c r="Q16" s="638"/>
      <c r="R16" s="638"/>
      <c r="S16" s="484">
        <f t="shared" ref="S16" si="2">+S17-S15</f>
        <v>0</v>
      </c>
      <c r="T16" s="638"/>
      <c r="U16" s="638"/>
      <c r="V16" s="638"/>
      <c r="W16" s="638"/>
      <c r="X16" s="638"/>
      <c r="Y16" s="638"/>
      <c r="Z16" s="638"/>
      <c r="AA16" s="638"/>
      <c r="AB16" s="638"/>
      <c r="AC16" s="638"/>
      <c r="AD16" s="638"/>
      <c r="AE16" s="638"/>
      <c r="AF16" s="638"/>
      <c r="AG16" s="446"/>
      <c r="AH16" s="638"/>
      <c r="AI16" s="185"/>
      <c r="AJ16" s="445"/>
      <c r="AK16" s="445"/>
      <c r="AL16" s="445"/>
      <c r="AM16" s="445"/>
      <c r="AN16" s="484"/>
      <c r="AO16" s="445"/>
      <c r="AP16" s="445"/>
      <c r="AQ16" s="484">
        <f>+FL_1($T$17,$T$15,$G$16,1200,9.28,-1*$F$17)</f>
        <v>0.35</v>
      </c>
      <c r="AR16" s="484"/>
      <c r="AS16" s="484"/>
      <c r="AT16" s="484"/>
      <c r="AU16" s="638"/>
      <c r="AV16" s="638"/>
      <c r="AW16" s="484"/>
      <c r="AX16" s="484"/>
      <c r="AY16" s="484"/>
      <c r="AZ16" s="484"/>
      <c r="BA16" s="671"/>
      <c r="BB16" s="449"/>
      <c r="BC16" s="169"/>
      <c r="BD16" s="1330"/>
      <c r="BE16" s="1330"/>
      <c r="BF16" s="1330"/>
      <c r="BG16" s="1330"/>
    </row>
    <row r="17" spans="1:59" ht="15.75" customHeight="1">
      <c r="A17" s="449"/>
      <c r="B17" s="619" t="s">
        <v>2307</v>
      </c>
      <c r="C17" s="446">
        <f>+$C$15+$G$16</f>
        <v>91834.250499999995</v>
      </c>
      <c r="D17" s="445"/>
      <c r="E17" s="445"/>
      <c r="F17" s="445" t="s">
        <v>2312</v>
      </c>
      <c r="G17" s="484"/>
      <c r="H17" s="445"/>
      <c r="I17" s="455"/>
      <c r="J17" s="446"/>
      <c r="K17" s="445"/>
      <c r="L17" s="638" t="s">
        <v>4488</v>
      </c>
      <c r="M17" s="638" t="str">
        <f>IF(AX17="PT",VLOOKUP(L17,'Foundation Calculation'!$V$2:$X$40,VLOOKUP(AX17,'Foundation Calculation'!$I$10:$J$13,2,FALSE),0),IF(AX17="K",VLOOKUP(L17,'Foundation Calculation'!$V$42:$X$80,VLOOKUP(AX17,'Foundation Calculation'!$I$10:$J$13,2,FALSE),0),""))</f>
        <v>C11R</v>
      </c>
      <c r="N17" s="445" t="s">
        <v>144</v>
      </c>
      <c r="O17" s="445" t="s">
        <v>638</v>
      </c>
      <c r="P17" s="445"/>
      <c r="Q17" s="638">
        <v>10</v>
      </c>
      <c r="R17" s="638">
        <v>0</v>
      </c>
      <c r="S17" s="484"/>
      <c r="T17" s="638">
        <v>35</v>
      </c>
      <c r="U17" s="638"/>
      <c r="V17" s="638"/>
      <c r="W17" s="638">
        <v>1.4</v>
      </c>
      <c r="X17" s="638"/>
      <c r="Y17" s="638"/>
      <c r="Z17" s="638"/>
      <c r="AA17" s="638"/>
      <c r="AB17" s="638"/>
      <c r="AC17" s="1239" t="s">
        <v>4090</v>
      </c>
      <c r="AD17" s="638"/>
      <c r="AE17" s="638"/>
      <c r="AF17" s="638">
        <v>5800</v>
      </c>
      <c r="AG17" s="446">
        <v>91834</v>
      </c>
      <c r="AH17" s="638">
        <v>2313</v>
      </c>
      <c r="AI17" s="185">
        <v>90</v>
      </c>
      <c r="AJ17" s="445"/>
      <c r="AK17" s="445"/>
      <c r="AL17" s="638" t="s">
        <v>4490</v>
      </c>
      <c r="AM17" s="638" t="s">
        <v>1042</v>
      </c>
      <c r="AN17" s="484">
        <v>5.5</v>
      </c>
      <c r="AO17" s="445"/>
      <c r="AP17" s="445"/>
      <c r="AQ17" s="484"/>
      <c r="AR17" s="484"/>
      <c r="AS17" s="484"/>
      <c r="AT17" s="484">
        <f>+ab($T$17,$T$15,$T$19,$G$16,$G$18,-1*$F$17,1200)</f>
        <v>5.3450538211450818</v>
      </c>
      <c r="AU17" s="638"/>
      <c r="AV17" s="638"/>
      <c r="AW17" s="638" t="str">
        <f>VLOOKUP(C17,'Foundation Calculation'!$A$2:$C$33,3,1)</f>
        <v>Soil A</v>
      </c>
      <c r="AX17" s="572" t="str">
        <f>VLOOKUP(C17,'Foundation Calculation'!$E$2:$G$33,3,1)</f>
        <v>PT</v>
      </c>
      <c r="AY17" s="484">
        <f>IF(AX17="PT",VLOOKUP(L17,'Foundation Calculation'!$K$2:$R$40,VLOOKUP(AW17,'Foundation Calculation'!$I$2:$J$8,2,FALSE),0),IF(AX17="K",VLOOKUP(L17,'Foundation Calculation'!$K$42:$R$80,VLOOKUP(AW17,'Foundation Calculation'!$I$2:$J$8,2,FALSE),0),""))</f>
        <v>4.5999999999999996</v>
      </c>
      <c r="AZ17" s="484"/>
      <c r="BA17" s="671" t="s">
        <v>2809</v>
      </c>
      <c r="BB17" s="449" t="str">
        <f>Pole_Calculations!A178</f>
        <v>App.8-V08F-P10.3</v>
      </c>
      <c r="BC17" s="169"/>
      <c r="BD17" s="1329">
        <v>43831</v>
      </c>
      <c r="BE17" s="1329">
        <v>43865</v>
      </c>
      <c r="BF17" s="1329"/>
      <c r="BG17" s="1329">
        <v>43870</v>
      </c>
    </row>
    <row r="18" spans="1:59" ht="15.75" customHeight="1">
      <c r="A18" s="449"/>
      <c r="B18" s="173"/>
      <c r="C18" s="446"/>
      <c r="D18" s="445"/>
      <c r="E18" s="445"/>
      <c r="F18" s="445"/>
      <c r="G18" s="484">
        <v>38.4</v>
      </c>
      <c r="H18" s="445"/>
      <c r="I18" s="1239"/>
      <c r="J18" s="446"/>
      <c r="K18" s="445"/>
      <c r="L18" s="445"/>
      <c r="M18" s="445"/>
      <c r="N18" s="1239"/>
      <c r="O18" s="445"/>
      <c r="P18" s="445"/>
      <c r="Q18" s="638"/>
      <c r="R18" s="638"/>
      <c r="S18" s="484">
        <f t="shared" ref="S18" si="3">+S19-S17</f>
        <v>0</v>
      </c>
      <c r="T18" s="638"/>
      <c r="U18" s="638"/>
      <c r="V18" s="638"/>
      <c r="W18" s="638"/>
      <c r="X18" s="638"/>
      <c r="Y18" s="638"/>
      <c r="Z18" s="638"/>
      <c r="AA18" s="638"/>
      <c r="AB18" s="638"/>
      <c r="AC18" s="638"/>
      <c r="AD18" s="638"/>
      <c r="AE18" s="638"/>
      <c r="AF18" s="638"/>
      <c r="AG18" s="446"/>
      <c r="AH18" s="638"/>
      <c r="AI18" s="185"/>
      <c r="AJ18" s="445"/>
      <c r="AK18" s="445"/>
      <c r="AL18" s="638"/>
      <c r="AM18" s="445"/>
      <c r="AN18" s="484"/>
      <c r="AO18" s="445"/>
      <c r="AP18" s="445"/>
      <c r="AQ18" s="484">
        <f>+FL_1($T$19,$T$17,$G$18,1200,9.28,-1*$F$19)</f>
        <v>0.35000000000000309</v>
      </c>
      <c r="AR18" s="484"/>
      <c r="AS18" s="484"/>
      <c r="AT18" s="484"/>
      <c r="AU18" s="638"/>
      <c r="AV18" s="638"/>
      <c r="AW18" s="484"/>
      <c r="AX18" s="484"/>
      <c r="AY18" s="484"/>
      <c r="AZ18" s="484"/>
      <c r="BA18" s="671"/>
      <c r="BB18" s="449"/>
      <c r="BC18" s="169"/>
      <c r="BD18" s="1330"/>
      <c r="BE18" s="1330"/>
      <c r="BF18" s="1330"/>
      <c r="BG18" s="1330"/>
    </row>
    <row r="19" spans="1:59" ht="15.75" customHeight="1">
      <c r="A19" s="449"/>
      <c r="B19" s="173" t="s">
        <v>2308</v>
      </c>
      <c r="C19" s="446">
        <f>+$C$17+$G$18</f>
        <v>91872.650499999989</v>
      </c>
      <c r="D19" s="445"/>
      <c r="E19" s="445"/>
      <c r="F19" s="445" t="s">
        <v>2312</v>
      </c>
      <c r="G19" s="484"/>
      <c r="H19" s="445"/>
      <c r="I19" s="172"/>
      <c r="J19" s="446"/>
      <c r="K19" s="445"/>
      <c r="L19" s="638" t="s">
        <v>4488</v>
      </c>
      <c r="M19" s="638" t="str">
        <f>IF(AX19="PT",VLOOKUP(L19,'Foundation Calculation'!$V$2:$X$40,VLOOKUP(AX19,'Foundation Calculation'!$I$10:$J$13,2,FALSE),0),IF(AX19="K",VLOOKUP(L19,'Foundation Calculation'!$V$42:$X$80,VLOOKUP(AX19,'Foundation Calculation'!$I$10:$J$13,2,FALSE),0),""))</f>
        <v>C11R</v>
      </c>
      <c r="N19" s="445" t="s">
        <v>143</v>
      </c>
      <c r="O19" s="445" t="s">
        <v>638</v>
      </c>
      <c r="P19" s="445"/>
      <c r="Q19" s="638">
        <v>20</v>
      </c>
      <c r="R19" s="638">
        <v>0</v>
      </c>
      <c r="S19" s="484"/>
      <c r="T19" s="638">
        <v>-35</v>
      </c>
      <c r="U19" s="638"/>
      <c r="V19" s="638"/>
      <c r="W19" s="638">
        <v>1.4</v>
      </c>
      <c r="X19" s="638"/>
      <c r="Y19" s="638"/>
      <c r="Z19" s="638"/>
      <c r="AA19" s="638"/>
      <c r="AB19" s="638"/>
      <c r="AC19" s="1239" t="s">
        <v>4090</v>
      </c>
      <c r="AD19" s="638"/>
      <c r="AE19" s="638"/>
      <c r="AF19" s="638">
        <v>5800</v>
      </c>
      <c r="AG19" s="446">
        <v>91872.87</v>
      </c>
      <c r="AH19" s="638">
        <v>2353</v>
      </c>
      <c r="AI19" s="185">
        <v>290</v>
      </c>
      <c r="AJ19" s="445"/>
      <c r="AK19" s="445"/>
      <c r="AL19" s="638" t="s">
        <v>4490</v>
      </c>
      <c r="AM19" s="638" t="s">
        <v>1042</v>
      </c>
      <c r="AN19" s="484">
        <v>5.5</v>
      </c>
      <c r="AO19" s="445"/>
      <c r="AP19" s="445"/>
      <c r="AQ19" s="484"/>
      <c r="AR19" s="484"/>
      <c r="AS19" s="484"/>
      <c r="AT19" s="484">
        <f>+ab($T$19,$T$17,$T$21,$G$18,$G$20,-1*$F$19,1200)</f>
        <v>-5.9748352952055042</v>
      </c>
      <c r="AU19" s="638"/>
      <c r="AV19" s="638"/>
      <c r="AW19" s="638" t="str">
        <f>VLOOKUP(C19,'Foundation Calculation'!$A$2:$C$33,3,1)</f>
        <v>Soil A</v>
      </c>
      <c r="AX19" s="572" t="str">
        <f>VLOOKUP(C19,'Foundation Calculation'!$E$2:$G$33,3,1)</f>
        <v>PT</v>
      </c>
      <c r="AY19" s="484">
        <f>IF(AX19="PT",VLOOKUP(L19,'Foundation Calculation'!$K$2:$R$40,VLOOKUP(AW19,'Foundation Calculation'!$I$2:$J$8,2,FALSE),0),IF(AX19="K",VLOOKUP(L19,'Foundation Calculation'!$K$42:$R$80,VLOOKUP(AW19,'Foundation Calculation'!$I$2:$J$8,2,FALSE),0),""))</f>
        <v>4.5999999999999996</v>
      </c>
      <c r="AZ19" s="484"/>
      <c r="BA19" s="671" t="s">
        <v>2809</v>
      </c>
      <c r="BB19" s="449" t="str">
        <f>Pole_Calculations!A178</f>
        <v>App.8-V08F-P10.3</v>
      </c>
      <c r="BC19" s="169"/>
      <c r="BD19" s="1329">
        <v>43831</v>
      </c>
      <c r="BE19" s="1329">
        <v>43865</v>
      </c>
      <c r="BF19" s="1329"/>
      <c r="BG19" s="1329">
        <v>43870</v>
      </c>
    </row>
    <row r="20" spans="1:59" ht="15.75" customHeight="1">
      <c r="A20" s="449"/>
      <c r="B20" s="173"/>
      <c r="C20" s="446"/>
      <c r="D20" s="445"/>
      <c r="E20" s="445"/>
      <c r="F20" s="445"/>
      <c r="G20" s="484">
        <v>47.2</v>
      </c>
      <c r="H20" s="445"/>
      <c r="I20" s="445"/>
      <c r="J20" s="446"/>
      <c r="K20" s="445"/>
      <c r="L20" s="445"/>
      <c r="M20" s="445"/>
      <c r="N20" s="1239"/>
      <c r="O20" s="445"/>
      <c r="P20" s="445"/>
      <c r="Q20" s="638"/>
      <c r="R20" s="638"/>
      <c r="S20" s="484">
        <f t="shared" ref="S20" si="4">+S21-S19</f>
        <v>0</v>
      </c>
      <c r="T20" s="638"/>
      <c r="U20" s="638"/>
      <c r="V20" s="638"/>
      <c r="W20" s="638"/>
      <c r="X20" s="638"/>
      <c r="Y20" s="638"/>
      <c r="Z20" s="638"/>
      <c r="AA20" s="638"/>
      <c r="AB20" s="638"/>
      <c r="AC20" s="638"/>
      <c r="AD20" s="638"/>
      <c r="AE20" s="638"/>
      <c r="AF20" s="638"/>
      <c r="AG20" s="446"/>
      <c r="AH20" s="638"/>
      <c r="AI20" s="185"/>
      <c r="AJ20" s="445"/>
      <c r="AK20" s="445"/>
      <c r="AL20" s="445"/>
      <c r="AM20" s="445"/>
      <c r="AN20" s="484"/>
      <c r="AO20" s="445"/>
      <c r="AP20" s="445"/>
      <c r="AQ20" s="484">
        <f>+FL_2($T$21,$T$19,$G$20,1200,9.28,-1*$F$21)</f>
        <v>-0.36297353850847464</v>
      </c>
      <c r="AR20" s="484"/>
      <c r="AS20" s="484"/>
      <c r="AT20" s="484"/>
      <c r="AU20" s="638"/>
      <c r="AV20" s="638"/>
      <c r="AW20" s="484"/>
      <c r="AX20" s="484"/>
      <c r="AY20" s="484"/>
      <c r="AZ20" s="484"/>
      <c r="BA20" s="671"/>
      <c r="BB20" s="449"/>
      <c r="BC20" s="169"/>
      <c r="BD20" s="1330"/>
      <c r="BE20" s="1330"/>
      <c r="BF20" s="1330"/>
      <c r="BG20" s="1330"/>
    </row>
    <row r="21" spans="1:59" ht="15.75" customHeight="1">
      <c r="A21" s="449"/>
      <c r="B21" s="619" t="s">
        <v>2309</v>
      </c>
      <c r="C21" s="446">
        <f>+$C$19+$G$20+0.15</f>
        <v>91920.00049999998</v>
      </c>
      <c r="D21" s="445"/>
      <c r="E21" s="445"/>
      <c r="F21" s="445" t="s">
        <v>2312</v>
      </c>
      <c r="G21" s="484"/>
      <c r="H21" s="445"/>
      <c r="I21" s="445"/>
      <c r="J21" s="446"/>
      <c r="K21" s="445"/>
      <c r="L21" s="638" t="s">
        <v>4488</v>
      </c>
      <c r="M21" s="638" t="str">
        <f>IF(AX21="PT",VLOOKUP(L21,'Foundation Calculation'!$V$2:$X$40,VLOOKUP(AX21,'Foundation Calculation'!$I$10:$J$13,2,FALSE),0),IF(AX21="K",VLOOKUP(L21,'Foundation Calculation'!$V$42:$X$80,VLOOKUP(AX21,'Foundation Calculation'!$I$10:$J$13,2,FALSE),0),""))</f>
        <v>C11R</v>
      </c>
      <c r="N21" s="445" t="s">
        <v>144</v>
      </c>
      <c r="O21" s="445" t="s">
        <v>638</v>
      </c>
      <c r="P21" s="445"/>
      <c r="Q21" s="638">
        <v>20</v>
      </c>
      <c r="R21" s="638">
        <v>0</v>
      </c>
      <c r="S21" s="484"/>
      <c r="T21" s="638">
        <v>30</v>
      </c>
      <c r="U21" s="638"/>
      <c r="V21" s="638"/>
      <c r="W21" s="638">
        <v>1.4</v>
      </c>
      <c r="X21" s="638"/>
      <c r="Y21" s="638"/>
      <c r="Z21" s="638"/>
      <c r="AA21" s="638"/>
      <c r="AB21" s="638"/>
      <c r="AC21" s="1239" t="s">
        <v>4090</v>
      </c>
      <c r="AD21" s="638"/>
      <c r="AE21" s="638"/>
      <c r="AF21" s="638">
        <v>5800</v>
      </c>
      <c r="AG21" s="446">
        <v>91920</v>
      </c>
      <c r="AH21" s="638">
        <v>1953</v>
      </c>
      <c r="AI21" s="185">
        <v>230</v>
      </c>
      <c r="AJ21" s="445"/>
      <c r="AK21" s="445"/>
      <c r="AL21" s="638" t="s">
        <v>4490</v>
      </c>
      <c r="AM21" s="638" t="s">
        <v>1042</v>
      </c>
      <c r="AN21" s="484">
        <v>5.5</v>
      </c>
      <c r="AO21" s="445"/>
      <c r="AP21" s="445"/>
      <c r="AQ21" s="484"/>
      <c r="AR21" s="484"/>
      <c r="AS21" s="484"/>
      <c r="AT21" s="484">
        <f>+ab($T$21,$T$19,$T$23,$G$20,$G$22,-1*$F$21,1200)</f>
        <v>7.5616541084021947</v>
      </c>
      <c r="AU21" s="638"/>
      <c r="AV21" s="638"/>
      <c r="AW21" s="638" t="str">
        <f>VLOOKUP(C21,'Foundation Calculation'!$A$2:$C$33,3,1)</f>
        <v>Soil A</v>
      </c>
      <c r="AX21" s="572" t="str">
        <f>VLOOKUP(C21,'Foundation Calculation'!$E$2:$G$33,3,1)</f>
        <v>PT</v>
      </c>
      <c r="AY21" s="484">
        <f>IF(AX21="PT",VLOOKUP(L21,'Foundation Calculation'!$K$2:$R$40,VLOOKUP(AW21,'Foundation Calculation'!$I$2:$J$8,2,FALSE),0),IF(AX21="K",VLOOKUP(L21,'Foundation Calculation'!$K$42:$R$80,VLOOKUP(AW21,'Foundation Calculation'!$I$2:$J$8,2,FALSE),0),""))</f>
        <v>4.5999999999999996</v>
      </c>
      <c r="AZ21" s="484"/>
      <c r="BA21" s="671" t="s">
        <v>2809</v>
      </c>
      <c r="BB21" s="449" t="str">
        <f>Pole_Calculations!A178</f>
        <v>App.8-V08F-P10.3</v>
      </c>
      <c r="BC21" s="169"/>
      <c r="BD21" s="1329">
        <v>43859</v>
      </c>
      <c r="BE21" s="1329">
        <v>43865</v>
      </c>
      <c r="BF21" s="1329"/>
      <c r="BG21" s="1329">
        <v>43870</v>
      </c>
    </row>
    <row r="22" spans="1:59" ht="15.75" customHeight="1">
      <c r="A22" s="449"/>
      <c r="B22" s="173"/>
      <c r="C22" s="446"/>
      <c r="D22" s="445"/>
      <c r="E22" s="445"/>
      <c r="F22" s="445"/>
      <c r="G22" s="484">
        <v>48</v>
      </c>
      <c r="H22" s="1239"/>
      <c r="I22" s="1239"/>
      <c r="J22" s="446"/>
      <c r="K22" s="445"/>
      <c r="L22" s="445"/>
      <c r="M22" s="445"/>
      <c r="N22" s="445"/>
      <c r="O22" s="445"/>
      <c r="P22" s="445"/>
      <c r="Q22" s="638"/>
      <c r="R22" s="638"/>
      <c r="S22" s="484">
        <f t="shared" ref="S22" si="5">+S23-S21</f>
        <v>0</v>
      </c>
      <c r="T22" s="638"/>
      <c r="U22" s="638"/>
      <c r="V22" s="638"/>
      <c r="W22" s="638"/>
      <c r="X22" s="638"/>
      <c r="Y22" s="638"/>
      <c r="Z22" s="638"/>
      <c r="AA22" s="638"/>
      <c r="AB22" s="638"/>
      <c r="AC22" s="638"/>
      <c r="AD22" s="638"/>
      <c r="AE22" s="638"/>
      <c r="AF22" s="638"/>
      <c r="AG22" s="446"/>
      <c r="AH22" s="638"/>
      <c r="AI22" s="185"/>
      <c r="AJ22" s="445"/>
      <c r="AK22" s="445"/>
      <c r="AL22" s="445"/>
      <c r="AM22" s="638"/>
      <c r="AN22" s="484"/>
      <c r="AO22" s="445"/>
      <c r="AP22" s="445"/>
      <c r="AQ22" s="484">
        <f>+FL_1($T$23,$T$21,$G$22,1200,9.28,-1*$F$23)</f>
        <v>0.33260797200000003</v>
      </c>
      <c r="AR22" s="484"/>
      <c r="AS22" s="484"/>
      <c r="AT22" s="484"/>
      <c r="AU22" s="638"/>
      <c r="AV22" s="638"/>
      <c r="AW22" s="484"/>
      <c r="AX22" s="484"/>
      <c r="AY22" s="484"/>
      <c r="AZ22" s="484"/>
      <c r="BA22" s="671"/>
      <c r="BB22" s="449"/>
      <c r="BC22" s="169"/>
      <c r="BD22" s="1330"/>
      <c r="BE22" s="1330"/>
      <c r="BF22" s="1330"/>
      <c r="BG22" s="1330"/>
    </row>
    <row r="23" spans="1:59" ht="15.75" customHeight="1">
      <c r="A23" s="449"/>
      <c r="B23" s="619" t="s">
        <v>2310</v>
      </c>
      <c r="C23" s="446">
        <f>+$C$21+$G$22</f>
        <v>91968.00049999998</v>
      </c>
      <c r="D23" s="445"/>
      <c r="E23" s="445"/>
      <c r="F23" s="445" t="s">
        <v>2312</v>
      </c>
      <c r="G23" s="484"/>
      <c r="H23" s="445"/>
      <c r="I23" s="445"/>
      <c r="J23" s="446"/>
      <c r="K23" s="445"/>
      <c r="L23" s="638" t="s">
        <v>4488</v>
      </c>
      <c r="M23" s="638" t="str">
        <f>IF(AX23="PT",VLOOKUP(L23,'Foundation Calculation'!$V$2:$X$40,VLOOKUP(AX23,'Foundation Calculation'!$I$10:$J$13,2,FALSE),0),IF(AX23="K",VLOOKUP(L23,'Foundation Calculation'!$V$42:$X$80,VLOOKUP(AX23,'Foundation Calculation'!$I$10:$J$13,2,FALSE),0),""))</f>
        <v>C11R</v>
      </c>
      <c r="N23" s="445" t="s">
        <v>143</v>
      </c>
      <c r="O23" s="445" t="s">
        <v>638</v>
      </c>
      <c r="P23" s="445"/>
      <c r="Q23" s="638">
        <v>10</v>
      </c>
      <c r="R23" s="638">
        <v>0</v>
      </c>
      <c r="S23" s="484"/>
      <c r="T23" s="638">
        <v>-25</v>
      </c>
      <c r="U23" s="638"/>
      <c r="V23" s="638"/>
      <c r="W23" s="638">
        <v>1.4</v>
      </c>
      <c r="X23" s="638"/>
      <c r="Y23" s="638"/>
      <c r="Z23" s="638"/>
      <c r="AA23" s="638"/>
      <c r="AB23" s="638"/>
      <c r="AC23" s="1239" t="s">
        <v>1421</v>
      </c>
      <c r="AD23" s="638"/>
      <c r="AE23" s="638"/>
      <c r="AF23" s="638">
        <v>5800</v>
      </c>
      <c r="AG23" s="446">
        <v>91968.14</v>
      </c>
      <c r="AH23" s="638">
        <v>2333</v>
      </c>
      <c r="AI23" s="185">
        <v>470</v>
      </c>
      <c r="AJ23" s="445"/>
      <c r="AK23" s="445"/>
      <c r="AL23" s="638" t="s">
        <v>4490</v>
      </c>
      <c r="AM23" s="638" t="s">
        <v>1042</v>
      </c>
      <c r="AN23" s="484">
        <v>5.5</v>
      </c>
      <c r="AO23" s="445"/>
      <c r="AP23" s="445"/>
      <c r="AQ23" s="484"/>
      <c r="AR23" s="484"/>
      <c r="AS23" s="484"/>
      <c r="AT23" s="484">
        <f>+ab($T$23,$T$21,$T$25,$G$22,$G$24,-1*$F$23,1200)</f>
        <v>-9.74347444260607</v>
      </c>
      <c r="AU23" s="638"/>
      <c r="AV23" s="638"/>
      <c r="AW23" s="638" t="str">
        <f>VLOOKUP(C23,'Foundation Calculation'!$A$2:$C$33,3,1)</f>
        <v>Soil A</v>
      </c>
      <c r="AX23" s="572" t="str">
        <f>VLOOKUP(C23,'Foundation Calculation'!$E$2:$G$33,3,1)</f>
        <v>PT</v>
      </c>
      <c r="AY23" s="484">
        <f>IF(AX23="PT",VLOOKUP(L23,'Foundation Calculation'!$K$2:$R$40,VLOOKUP(AW23,'Foundation Calculation'!$I$2:$J$8,2,FALSE),0),IF(AX23="K",VLOOKUP(L23,'Foundation Calculation'!$K$42:$R$80,VLOOKUP(AW23,'Foundation Calculation'!$I$2:$J$8,2,FALSE),0),""))</f>
        <v>4.5999999999999996</v>
      </c>
      <c r="AZ23" s="484"/>
      <c r="BA23" s="671" t="s">
        <v>2809</v>
      </c>
      <c r="BB23" s="449" t="str">
        <f>Pole_Calculations!A178</f>
        <v>App.8-V08F-P10.3</v>
      </c>
      <c r="BC23" s="169"/>
      <c r="BD23" s="1329">
        <v>43771</v>
      </c>
      <c r="BE23" s="1329"/>
      <c r="BF23" s="1329"/>
      <c r="BG23" s="1329">
        <v>43893</v>
      </c>
    </row>
    <row r="24" spans="1:59" ht="15.75" customHeight="1">
      <c r="A24" s="449"/>
      <c r="B24" s="173"/>
      <c r="C24" s="446"/>
      <c r="D24" s="445"/>
      <c r="E24" s="445"/>
      <c r="F24" s="445"/>
      <c r="G24" s="484">
        <v>43.5</v>
      </c>
      <c r="H24" s="445"/>
      <c r="I24" s="445"/>
      <c r="J24" s="446"/>
      <c r="K24" s="445"/>
      <c r="L24" s="445"/>
      <c r="M24" s="445"/>
      <c r="N24" s="445"/>
      <c r="O24" s="445"/>
      <c r="P24" s="445"/>
      <c r="Q24" s="638"/>
      <c r="R24" s="638"/>
      <c r="S24" s="484">
        <f t="shared" ref="S24" si="6">+S25-S23</f>
        <v>0</v>
      </c>
      <c r="T24" s="638"/>
      <c r="U24" s="638"/>
      <c r="V24" s="638"/>
      <c r="W24" s="638"/>
      <c r="X24" s="638"/>
      <c r="Y24" s="638"/>
      <c r="Z24" s="638"/>
      <c r="AA24" s="638"/>
      <c r="AB24" s="638"/>
      <c r="AC24" s="638"/>
      <c r="AD24" s="638"/>
      <c r="AE24" s="638"/>
      <c r="AF24" s="638"/>
      <c r="AG24" s="446"/>
      <c r="AH24" s="638"/>
      <c r="AI24" s="185"/>
      <c r="AJ24" s="445"/>
      <c r="AK24" s="445"/>
      <c r="AL24" s="445"/>
      <c r="AM24" s="445"/>
      <c r="AN24" s="484"/>
      <c r="AO24" s="445"/>
      <c r="AP24" s="445"/>
      <c r="AQ24" s="484">
        <f>+FL_2($T$25,$T$23,$G$24,1200,9.28,-1*$F$25)</f>
        <v>-0.29977379425287348</v>
      </c>
      <c r="AR24" s="484"/>
      <c r="AS24" s="484"/>
      <c r="AT24" s="484"/>
      <c r="AU24" s="638"/>
      <c r="AV24" s="638"/>
      <c r="AW24" s="484"/>
      <c r="AX24" s="484"/>
      <c r="AY24" s="484"/>
      <c r="AZ24" s="484"/>
      <c r="BA24" s="671"/>
      <c r="BB24" s="449"/>
      <c r="BC24" s="169"/>
      <c r="BD24" s="1330"/>
      <c r="BE24" s="1330"/>
      <c r="BF24" s="1330"/>
      <c r="BG24" s="1330"/>
    </row>
    <row r="25" spans="1:59" ht="15.75" customHeight="1">
      <c r="A25" s="449"/>
      <c r="B25" s="173" t="s">
        <v>2749</v>
      </c>
      <c r="C25" s="446">
        <f>+$C$23+$G$24</f>
        <v>92011.50049999998</v>
      </c>
      <c r="D25" s="445"/>
      <c r="E25" s="445"/>
      <c r="F25" s="445" t="s">
        <v>2312</v>
      </c>
      <c r="G25" s="484"/>
      <c r="H25" s="445"/>
      <c r="I25" s="445"/>
      <c r="J25" s="446"/>
      <c r="K25" s="445"/>
      <c r="L25" s="638" t="s">
        <v>4488</v>
      </c>
      <c r="M25" s="638" t="str">
        <f>IF(AX25="PT",VLOOKUP(L25,'Foundation Calculation'!$V$2:$X$40,VLOOKUP(AX25,'Foundation Calculation'!$I$10:$J$13,2,FALSE),0),IF(AX25="K",VLOOKUP(L25,'Foundation Calculation'!$V$42:$X$80,VLOOKUP(AX25,'Foundation Calculation'!$I$10:$J$13,2,FALSE),0),""))</f>
        <v>C11R</v>
      </c>
      <c r="N25" s="445" t="s">
        <v>144</v>
      </c>
      <c r="O25" s="445" t="s">
        <v>638</v>
      </c>
      <c r="P25" s="445"/>
      <c r="Q25" s="638">
        <v>0</v>
      </c>
      <c r="R25" s="638">
        <v>0</v>
      </c>
      <c r="S25" s="484"/>
      <c r="T25" s="638">
        <v>10</v>
      </c>
      <c r="U25" s="638"/>
      <c r="V25" s="638"/>
      <c r="W25" s="638">
        <v>1.4</v>
      </c>
      <c r="X25" s="638"/>
      <c r="Y25" s="638"/>
      <c r="Z25" s="638"/>
      <c r="AA25" s="638"/>
      <c r="AB25" s="638"/>
      <c r="AC25" s="1239" t="s">
        <v>1421</v>
      </c>
      <c r="AD25" s="638"/>
      <c r="AE25" s="638"/>
      <c r="AF25" s="638">
        <v>5800</v>
      </c>
      <c r="AG25" s="446">
        <v>92011</v>
      </c>
      <c r="AH25" s="638">
        <v>1923</v>
      </c>
      <c r="AI25" s="185">
        <v>290</v>
      </c>
      <c r="AJ25" s="445"/>
      <c r="AK25" s="445"/>
      <c r="AL25" s="638" t="s">
        <v>4490</v>
      </c>
      <c r="AM25" s="638" t="s">
        <v>1042</v>
      </c>
      <c r="AN25" s="484">
        <v>5.5</v>
      </c>
      <c r="AO25" s="445"/>
      <c r="AP25" s="445"/>
      <c r="AQ25" s="484"/>
      <c r="AR25" s="484"/>
      <c r="AS25" s="484"/>
      <c r="AT25" s="484">
        <f>+ab($T$25,$T$23,$T$27,$G$24,$G$26,-1*$F$25,1200)</f>
        <v>11.37452703821366</v>
      </c>
      <c r="AU25" s="638"/>
      <c r="AV25" s="638"/>
      <c r="AW25" s="638" t="str">
        <f>VLOOKUP(C25,'Foundation Calculation'!$A$2:$C$33,3,1)</f>
        <v>Soil B</v>
      </c>
      <c r="AX25" s="572" t="str">
        <f>VLOOKUP(C25,'Foundation Calculation'!$E$2:$G$33,3,1)</f>
        <v>PT</v>
      </c>
      <c r="AY25" s="484">
        <f>IF(AX25="PT",VLOOKUP(L25,'Foundation Calculation'!$K$2:$R$40,VLOOKUP(AW25,'Foundation Calculation'!$I$2:$J$8,2,FALSE),0),IF(AX25="K",VLOOKUP(L25,'Foundation Calculation'!$K$42:$R$80,VLOOKUP(AW25,'Foundation Calculation'!$I$2:$J$8,2,FALSE),0),""))</f>
        <v>4.5999999999999996</v>
      </c>
      <c r="AZ25" s="484"/>
      <c r="BA25" s="671" t="s">
        <v>2809</v>
      </c>
      <c r="BB25" s="449" t="str">
        <f>Pole_Calculations!A178</f>
        <v>App.8-V08F-P10.3</v>
      </c>
      <c r="BC25" s="169"/>
      <c r="BD25" s="1329">
        <v>43859</v>
      </c>
      <c r="BE25" s="1329">
        <v>43865</v>
      </c>
      <c r="BF25" s="1329"/>
      <c r="BG25" s="1329">
        <v>43870</v>
      </c>
    </row>
    <row r="26" spans="1:59" ht="15.75" customHeight="1">
      <c r="A26" s="449"/>
      <c r="B26" s="173"/>
      <c r="C26" s="446"/>
      <c r="D26" s="445"/>
      <c r="E26" s="445"/>
      <c r="F26" s="445"/>
      <c r="G26" s="484">
        <v>46.5</v>
      </c>
      <c r="H26" s="445"/>
      <c r="I26" s="445"/>
      <c r="J26" s="446"/>
      <c r="K26" s="445"/>
      <c r="L26" s="445"/>
      <c r="M26" s="445"/>
      <c r="N26" s="445"/>
      <c r="O26" s="445"/>
      <c r="P26" s="445"/>
      <c r="Q26" s="638"/>
      <c r="R26" s="638"/>
      <c r="S26" s="484">
        <f t="shared" ref="S26" si="7">+S27-S25</f>
        <v>0</v>
      </c>
      <c r="T26" s="638"/>
      <c r="U26" s="638"/>
      <c r="V26" s="638"/>
      <c r="W26" s="638"/>
      <c r="X26" s="638"/>
      <c r="Y26" s="638"/>
      <c r="Z26" s="638"/>
      <c r="AA26" s="638"/>
      <c r="AB26" s="638"/>
      <c r="AC26" s="1239"/>
      <c r="AD26" s="638"/>
      <c r="AE26" s="638"/>
      <c r="AF26" s="638"/>
      <c r="AG26" s="446"/>
      <c r="AH26" s="638"/>
      <c r="AI26" s="185"/>
      <c r="AJ26" s="445"/>
      <c r="AK26" s="445"/>
      <c r="AL26" s="445"/>
      <c r="AM26" s="445"/>
      <c r="AN26" s="484"/>
      <c r="AO26" s="445"/>
      <c r="AP26" s="445"/>
      <c r="AQ26" s="484">
        <f>+FL_1($T$27,$T$25,-$G$26,1200,9.28,-1*$F$27)</f>
        <v>-0.3</v>
      </c>
      <c r="AR26" s="484"/>
      <c r="AS26" s="484"/>
      <c r="AT26" s="484"/>
      <c r="AU26" s="638"/>
      <c r="AV26" s="638"/>
      <c r="AW26" s="484"/>
      <c r="AX26" s="484"/>
      <c r="AY26" s="484"/>
      <c r="AZ26" s="484"/>
      <c r="BA26" s="671"/>
      <c r="BB26" s="449"/>
      <c r="BC26" s="169"/>
      <c r="BD26" s="1330"/>
      <c r="BE26" s="1330"/>
      <c r="BF26" s="1330"/>
      <c r="BG26" s="1330"/>
    </row>
    <row r="27" spans="1:59" ht="15.75" customHeight="1">
      <c r="A27" s="449"/>
      <c r="B27" s="173" t="s">
        <v>2750</v>
      </c>
      <c r="C27" s="446">
        <f>+$C$25+$G$26</f>
        <v>92058.00049999998</v>
      </c>
      <c r="D27" s="445"/>
      <c r="E27" s="445"/>
      <c r="F27" s="445" t="s">
        <v>2313</v>
      </c>
      <c r="G27" s="484"/>
      <c r="H27" s="445"/>
      <c r="I27" s="445"/>
      <c r="J27" s="446"/>
      <c r="K27" s="445"/>
      <c r="L27" s="638" t="s">
        <v>4488</v>
      </c>
      <c r="M27" s="638" t="str">
        <f>IF(AX27="PT",VLOOKUP(L27,'Foundation Calculation'!$V$2:$X$40,VLOOKUP(AX27,'Foundation Calculation'!$I$10:$J$13,2,FALSE),0),IF(AX27="K",VLOOKUP(L27,'Foundation Calculation'!$V$42:$X$80,VLOOKUP(AX27,'Foundation Calculation'!$I$10:$J$13,2,FALSE),0),""))</f>
        <v>C11R</v>
      </c>
      <c r="N27" s="445" t="s">
        <v>2789</v>
      </c>
      <c r="O27" s="445" t="s">
        <v>638</v>
      </c>
      <c r="P27" s="445"/>
      <c r="Q27" s="638">
        <v>10</v>
      </c>
      <c r="R27" s="638">
        <v>400</v>
      </c>
      <c r="S27" s="484"/>
      <c r="T27" s="638">
        <v>-30</v>
      </c>
      <c r="U27" s="638"/>
      <c r="V27" s="638"/>
      <c r="W27" s="638">
        <v>1.4</v>
      </c>
      <c r="X27" s="638"/>
      <c r="Y27" s="638"/>
      <c r="Z27" s="638"/>
      <c r="AA27" s="638"/>
      <c r="AB27" s="638"/>
      <c r="AC27" s="1239" t="s">
        <v>3050</v>
      </c>
      <c r="AD27" s="638"/>
      <c r="AE27" s="638"/>
      <c r="AF27" s="638">
        <v>200</v>
      </c>
      <c r="AG27" s="446">
        <v>92058</v>
      </c>
      <c r="AH27" s="638">
        <v>1690</v>
      </c>
      <c r="AI27" s="185">
        <v>-5240</v>
      </c>
      <c r="AJ27" s="445"/>
      <c r="AK27" s="445" t="s">
        <v>139</v>
      </c>
      <c r="AL27" s="638" t="s">
        <v>4490</v>
      </c>
      <c r="AM27" s="638" t="s">
        <v>1042</v>
      </c>
      <c r="AN27" s="484">
        <v>5.5</v>
      </c>
      <c r="AO27" s="445"/>
      <c r="AP27" s="445"/>
      <c r="AQ27" s="484"/>
      <c r="AR27" s="484"/>
      <c r="AS27" s="484"/>
      <c r="AT27" s="484">
        <f>+ab($T$27,$T$25,$T$29,$G$26,$G$28,-1*$F$27,1200)</f>
        <v>-1.436958391517259</v>
      </c>
      <c r="AU27" s="638"/>
      <c r="AV27" s="638"/>
      <c r="AW27" s="638" t="str">
        <f>VLOOKUP(C27,'Foundation Calculation'!$A$2:$C$33,3,1)</f>
        <v>Soil B</v>
      </c>
      <c r="AX27" s="572" t="str">
        <f>VLOOKUP(C27,'Foundation Calculation'!$E$2:$G$33,3,1)</f>
        <v>PT</v>
      </c>
      <c r="AY27" s="484">
        <f>IF(AX27="PT",VLOOKUP(L27,'Foundation Calculation'!$K$2:$R$40,VLOOKUP(AW27,'Foundation Calculation'!$I$2:$J$8,2,FALSE),0),IF(AX27="K",VLOOKUP(L27,'Foundation Calculation'!$K$42:$R$80,VLOOKUP(AW27,'Foundation Calculation'!$I$2:$J$8,2,FALSE),0),""))</f>
        <v>4.5999999999999996</v>
      </c>
      <c r="AZ27" s="484"/>
      <c r="BA27" s="671" t="s">
        <v>2809</v>
      </c>
      <c r="BB27" s="449" t="str">
        <f>Pole_Calculations!A178</f>
        <v>App.8-V08F-P10.3</v>
      </c>
      <c r="BC27" s="169"/>
      <c r="BD27" s="1371">
        <v>43858</v>
      </c>
      <c r="BE27" s="1371">
        <v>43865</v>
      </c>
      <c r="BF27" s="1371"/>
      <c r="BG27" s="1371">
        <v>43870</v>
      </c>
    </row>
    <row r="28" spans="1:59" ht="15.75" customHeight="1">
      <c r="A28" s="449"/>
      <c r="B28" s="173"/>
      <c r="C28" s="446"/>
      <c r="D28" s="638"/>
      <c r="E28" s="638"/>
      <c r="F28" s="447"/>
      <c r="G28" s="484">
        <v>42</v>
      </c>
      <c r="H28" s="638"/>
      <c r="I28" s="638"/>
      <c r="J28" s="446"/>
      <c r="K28" s="638"/>
      <c r="L28" s="445"/>
      <c r="M28" s="445"/>
      <c r="N28" s="445"/>
      <c r="O28" s="445"/>
      <c r="P28" s="445"/>
      <c r="Q28" s="638"/>
      <c r="R28" s="638"/>
      <c r="S28" s="484">
        <f t="shared" ref="S28" si="8">+S29-S27</f>
        <v>0</v>
      </c>
      <c r="T28" s="638"/>
      <c r="U28" s="638"/>
      <c r="V28" s="638"/>
      <c r="W28" s="638"/>
      <c r="X28" s="638"/>
      <c r="Y28" s="638"/>
      <c r="Z28" s="638"/>
      <c r="AA28" s="638"/>
      <c r="AB28" s="638"/>
      <c r="AC28" s="638"/>
      <c r="AD28" s="638"/>
      <c r="AE28" s="638"/>
      <c r="AF28" s="638"/>
      <c r="AG28" s="446"/>
      <c r="AH28" s="638"/>
      <c r="AI28" s="185"/>
      <c r="AJ28" s="445"/>
      <c r="AK28" s="445"/>
      <c r="AL28" s="638"/>
      <c r="AM28" s="445"/>
      <c r="AN28" s="484"/>
      <c r="AO28" s="445"/>
      <c r="AP28" s="445"/>
      <c r="AQ28" s="484">
        <f>+FL_2($T$29,$T$27,$G$28,1200,9.28,-1*$F$29)</f>
        <v>-0.30246932819047623</v>
      </c>
      <c r="AR28" s="484"/>
      <c r="AS28" s="484"/>
      <c r="AT28" s="484"/>
      <c r="AU28" s="638"/>
      <c r="AV28" s="638"/>
      <c r="AW28" s="484"/>
      <c r="AX28" s="484"/>
      <c r="AY28" s="484"/>
      <c r="AZ28" s="484"/>
      <c r="BA28" s="671"/>
      <c r="BB28" s="449"/>
      <c r="BC28" s="169"/>
      <c r="BD28" s="1330"/>
      <c r="BE28" s="1330"/>
      <c r="BF28" s="1330"/>
      <c r="BG28" s="1330"/>
    </row>
    <row r="29" spans="1:59" ht="15.75" customHeight="1">
      <c r="A29" s="449"/>
      <c r="B29" s="619" t="s">
        <v>2751</v>
      </c>
      <c r="C29" s="446">
        <f>+$C$27+$G$28</f>
        <v>92100.00049999998</v>
      </c>
      <c r="D29" s="638"/>
      <c r="E29" s="638"/>
      <c r="F29" s="447">
        <v>0</v>
      </c>
      <c r="G29" s="484"/>
      <c r="H29" s="638" t="s">
        <v>2505</v>
      </c>
      <c r="I29" s="638"/>
      <c r="J29" s="446"/>
      <c r="K29" s="638"/>
      <c r="L29" s="638" t="s">
        <v>895</v>
      </c>
      <c r="M29" s="638" t="str">
        <f>IF(AX29="PT",VLOOKUP(L29,'Foundation Calculation'!$V$2:$X$40,VLOOKUP(AX29,'Foundation Calculation'!$I$10:$J$13,2,FALSE),0),IF(AX29="K",VLOOKUP(L29,'Foundation Calculation'!$V$42:$X$80,VLOOKUP(AX29,'Foundation Calculation'!$I$10:$J$13,2,FALSE),0),""))</f>
        <v>2C3R</v>
      </c>
      <c r="N29" s="1239" t="s">
        <v>144</v>
      </c>
      <c r="O29" s="1239" t="s">
        <v>2789</v>
      </c>
      <c r="P29" s="638"/>
      <c r="Q29" s="638">
        <v>0</v>
      </c>
      <c r="R29" s="638">
        <v>0</v>
      </c>
      <c r="S29" s="484"/>
      <c r="T29" s="638">
        <v>30</v>
      </c>
      <c r="U29" s="638">
        <v>15</v>
      </c>
      <c r="V29" s="638"/>
      <c r="W29" s="638">
        <v>1.4</v>
      </c>
      <c r="X29" s="638">
        <v>1.8</v>
      </c>
      <c r="Y29" s="638"/>
      <c r="Z29" s="638"/>
      <c r="AA29" s="638"/>
      <c r="AB29" s="638"/>
      <c r="AC29" s="1239" t="s">
        <v>4124</v>
      </c>
      <c r="AD29" s="1239" t="s">
        <v>4207</v>
      </c>
      <c r="AE29" s="638"/>
      <c r="AF29" s="638">
        <v>5900</v>
      </c>
      <c r="AG29" s="446">
        <v>92099</v>
      </c>
      <c r="AH29" s="638">
        <v>2023</v>
      </c>
      <c r="AI29" s="185">
        <v>420</v>
      </c>
      <c r="AJ29" s="638"/>
      <c r="AK29" s="1239"/>
      <c r="AL29" s="638"/>
      <c r="AM29" s="638" t="s">
        <v>1042</v>
      </c>
      <c r="AN29" s="455">
        <v>5.5</v>
      </c>
      <c r="AO29" s="1239"/>
      <c r="AP29" s="445"/>
      <c r="AQ29" s="484"/>
      <c r="AR29" s="484"/>
      <c r="AS29" s="484"/>
      <c r="AT29" s="484">
        <f>+ab($T$29,$T$27,$T$31,$G$28,$G$30,-1*$F$29,1200)</f>
        <v>5.8193257350960694</v>
      </c>
      <c r="AU29" s="638"/>
      <c r="AV29" s="638"/>
      <c r="AW29" s="638" t="str">
        <f>VLOOKUP(C29,'Foundation Calculation'!$A$2:$C$33,3,1)</f>
        <v>Soil B</v>
      </c>
      <c r="AX29" s="572" t="str">
        <f>VLOOKUP(C29,'Foundation Calculation'!$E$2:$G$33,3,1)</f>
        <v>PT</v>
      </c>
      <c r="AY29" s="484">
        <f>IF(AX29="PT",VLOOKUP(L29,'Foundation Calculation'!$K$2:$R$40,VLOOKUP(AW29,'Foundation Calculation'!$I$2:$J$8,2,FALSE),0),IF(AX29="K",VLOOKUP(L29,'Foundation Calculation'!$K$42:$R$80,VLOOKUP(AW29,'Foundation Calculation'!$I$2:$J$8,2,FALSE),0),""))</f>
        <v>3.5</v>
      </c>
      <c r="AZ29" s="484"/>
      <c r="BA29" s="671" t="s">
        <v>2809</v>
      </c>
      <c r="BB29" s="449" t="str">
        <f>Pole_Calculations!A156</f>
        <v>App.7.1-V01-P9.5.1.5</v>
      </c>
      <c r="BC29" s="169"/>
      <c r="BD29" s="1329">
        <v>43769</v>
      </c>
      <c r="BE29" s="1329">
        <v>43841</v>
      </c>
      <c r="BF29" s="1330"/>
      <c r="BG29" s="1329">
        <v>43870</v>
      </c>
    </row>
    <row r="30" spans="1:59" ht="15.75" customHeight="1">
      <c r="A30" s="449"/>
      <c r="B30" s="173"/>
      <c r="C30" s="446"/>
      <c r="D30" s="638"/>
      <c r="E30" s="638"/>
      <c r="F30" s="447"/>
      <c r="G30" s="484">
        <v>32.299999999999997</v>
      </c>
      <c r="H30" s="638"/>
      <c r="I30" s="1239"/>
      <c r="J30" s="446"/>
      <c r="K30" s="638"/>
      <c r="L30" s="445"/>
      <c r="M30" s="445"/>
      <c r="N30" s="1239"/>
      <c r="O30" s="1239"/>
      <c r="P30" s="638"/>
      <c r="Q30" s="638"/>
      <c r="R30" s="638"/>
      <c r="S30" s="484">
        <f t="shared" ref="S30" si="9">+S31-S29</f>
        <v>0</v>
      </c>
      <c r="T30" s="638"/>
      <c r="U30" s="638"/>
      <c r="V30" s="638"/>
      <c r="W30" s="638"/>
      <c r="X30" s="638"/>
      <c r="Y30" s="638"/>
      <c r="Z30" s="638"/>
      <c r="AA30" s="638"/>
      <c r="AB30" s="638"/>
      <c r="AC30" s="1239"/>
      <c r="AD30" s="638"/>
      <c r="AE30" s="638"/>
      <c r="AF30" s="638"/>
      <c r="AG30" s="446"/>
      <c r="AH30" s="638"/>
      <c r="AI30" s="185"/>
      <c r="AJ30" s="638"/>
      <c r="AK30" s="1239"/>
      <c r="AL30" s="638"/>
      <c r="AM30" s="638"/>
      <c r="AN30" s="455"/>
      <c r="AO30" s="1239"/>
      <c r="AP30" s="445"/>
      <c r="AQ30" s="484">
        <f>+FL_1($T$31,$T$29,$G$30,1200,9.28,-1*$F$31)</f>
        <v>0.30000000000001303</v>
      </c>
      <c r="AR30" s="484"/>
      <c r="AS30" s="484"/>
      <c r="AT30" s="484"/>
      <c r="AU30" s="638"/>
      <c r="AV30" s="638"/>
      <c r="AW30" s="484"/>
      <c r="AX30" s="484"/>
      <c r="AY30" s="484"/>
      <c r="AZ30" s="484"/>
      <c r="BA30" s="1304"/>
      <c r="BB30" s="449"/>
      <c r="BC30" s="169"/>
      <c r="BD30" s="1330"/>
      <c r="BE30" s="1330"/>
      <c r="BF30" s="1330"/>
      <c r="BG30" s="1330"/>
    </row>
    <row r="31" spans="1:59" ht="15.75" customHeight="1">
      <c r="A31" s="449"/>
      <c r="B31" s="173" t="s">
        <v>2752</v>
      </c>
      <c r="C31" s="446">
        <f>+$C$29+$G$30</f>
        <v>92132.300499999983</v>
      </c>
      <c r="D31" s="638"/>
      <c r="E31" s="638"/>
      <c r="F31" s="447">
        <v>0</v>
      </c>
      <c r="G31" s="484"/>
      <c r="H31" s="1239" t="s">
        <v>619</v>
      </c>
      <c r="I31" s="1239"/>
      <c r="J31" s="446"/>
      <c r="K31" s="638"/>
      <c r="L31" s="638" t="s">
        <v>895</v>
      </c>
      <c r="M31" s="638" t="str">
        <f>IF(AX31="PT",VLOOKUP(L31,'Foundation Calculation'!$V$2:$X$40,VLOOKUP(AX31,'Foundation Calculation'!$I$10:$J$13,2,FALSE),0),IF(AX31="K",VLOOKUP(L31,'Foundation Calculation'!$V$42:$X$80,VLOOKUP(AX31,'Foundation Calculation'!$I$10:$J$13,2,FALSE),0),""))</f>
        <v>2C3R</v>
      </c>
      <c r="N31" s="1239" t="s">
        <v>143</v>
      </c>
      <c r="O31" s="1239" t="s">
        <v>140</v>
      </c>
      <c r="P31" s="638"/>
      <c r="Q31" s="638">
        <v>0</v>
      </c>
      <c r="R31" s="638">
        <v>0</v>
      </c>
      <c r="S31" s="484"/>
      <c r="T31" s="638">
        <v>-30</v>
      </c>
      <c r="U31" s="638">
        <v>-45</v>
      </c>
      <c r="V31" s="638"/>
      <c r="W31" s="638">
        <v>1.4</v>
      </c>
      <c r="X31" s="638">
        <v>2.2999999999999998</v>
      </c>
      <c r="Y31" s="638"/>
      <c r="Z31" s="638"/>
      <c r="AA31" s="638">
        <v>0.45</v>
      </c>
      <c r="AB31" s="638"/>
      <c r="AC31" s="1239" t="s">
        <v>4090</v>
      </c>
      <c r="AD31" s="638"/>
      <c r="AE31" s="638"/>
      <c r="AF31" s="638">
        <v>5900</v>
      </c>
      <c r="AG31" s="446">
        <v>92132</v>
      </c>
      <c r="AH31" s="638">
        <v>2303</v>
      </c>
      <c r="AI31" s="638">
        <v>390</v>
      </c>
      <c r="AJ31" s="638"/>
      <c r="AK31" s="1239"/>
      <c r="AL31" s="638"/>
      <c r="AM31" s="638" t="s">
        <v>1042</v>
      </c>
      <c r="AN31" s="455">
        <v>5.5</v>
      </c>
      <c r="AO31" s="1239"/>
      <c r="AP31" s="445"/>
      <c r="AQ31" s="484"/>
      <c r="AR31" s="484"/>
      <c r="AS31" s="484"/>
      <c r="AT31" s="484">
        <f>+ab($T$31,$T$29,-$T$33,$G$30,$G$32,-1*$F$31,1200)</f>
        <v>-5.5190400066890968</v>
      </c>
      <c r="AU31" s="638"/>
      <c r="AV31" s="638"/>
      <c r="AW31" s="638" t="str">
        <f>VLOOKUP(C31,'Foundation Calculation'!$A$2:$C$33,3,1)</f>
        <v>Soil B</v>
      </c>
      <c r="AX31" s="572" t="str">
        <f>VLOOKUP(C31,'Foundation Calculation'!$E$2:$G$33,3,1)</f>
        <v>PT</v>
      </c>
      <c r="AY31" s="484">
        <f>IF(AX31="PT",VLOOKUP(L31,'Foundation Calculation'!$K$2:$R$40,VLOOKUP(AW31,'Foundation Calculation'!$I$2:$J$8,2,FALSE),0),IF(AX31="K",VLOOKUP(L31,'Foundation Calculation'!$K$42:$R$80,VLOOKUP(AW31,'Foundation Calculation'!$I$2:$J$8,2,FALSE),0),""))</f>
        <v>3.5</v>
      </c>
      <c r="AZ31" s="484"/>
      <c r="BA31" s="671" t="s">
        <v>2809</v>
      </c>
      <c r="BB31" s="449" t="str">
        <f>Pole_Calculations!A156</f>
        <v>App.7.1-V01-P9.5.1.5</v>
      </c>
      <c r="BC31" s="169"/>
      <c r="BD31" s="1329">
        <v>43769</v>
      </c>
      <c r="BE31" s="1329">
        <v>43841</v>
      </c>
      <c r="BF31" s="1330"/>
      <c r="BG31" s="1329">
        <v>43870</v>
      </c>
    </row>
    <row r="32" spans="1:59" ht="15.75" customHeight="1">
      <c r="A32" s="447"/>
      <c r="B32" s="173"/>
      <c r="C32" s="446"/>
      <c r="D32" s="638"/>
      <c r="E32" s="638"/>
      <c r="F32" s="447"/>
      <c r="G32" s="484">
        <v>37.299999999999997</v>
      </c>
      <c r="H32" s="1239"/>
      <c r="I32" s="1239"/>
      <c r="J32" s="446"/>
      <c r="K32" s="638"/>
      <c r="L32" s="445"/>
      <c r="M32" s="445"/>
      <c r="N32" s="1239"/>
      <c r="O32" s="1239"/>
      <c r="P32" s="638"/>
      <c r="Q32" s="638"/>
      <c r="R32" s="638"/>
      <c r="S32" s="484">
        <f t="shared" ref="S32:S34" si="10">+S33-S31</f>
        <v>0</v>
      </c>
      <c r="T32" s="638"/>
      <c r="U32" s="638"/>
      <c r="V32" s="638"/>
      <c r="W32" s="638"/>
      <c r="X32" s="638"/>
      <c r="Y32" s="638"/>
      <c r="Z32" s="638"/>
      <c r="AA32" s="638"/>
      <c r="AB32" s="638"/>
      <c r="AC32" s="638"/>
      <c r="AD32" s="638"/>
      <c r="AE32" s="638"/>
      <c r="AF32" s="638"/>
      <c r="AG32" s="446"/>
      <c r="AH32" s="638"/>
      <c r="AI32" s="638"/>
      <c r="AJ32" s="638"/>
      <c r="AK32" s="1239"/>
      <c r="AL32" s="638"/>
      <c r="AM32" s="638"/>
      <c r="AN32" s="455"/>
      <c r="AO32" s="1239"/>
      <c r="AP32" s="445"/>
      <c r="AQ32" s="484">
        <f>+FL_2(-$T$33,$T$31,$G$32,1200,9.28,-1*$F$33)</f>
        <v>-0.30000000000000182</v>
      </c>
      <c r="AR32" s="484"/>
      <c r="AS32" s="484"/>
      <c r="AT32" s="484"/>
      <c r="AU32" s="638"/>
      <c r="AV32" s="638"/>
      <c r="AW32" s="484"/>
      <c r="AX32" s="484"/>
      <c r="AY32" s="484"/>
      <c r="AZ32" s="484"/>
      <c r="BA32" s="671"/>
      <c r="BB32" s="447"/>
      <c r="BC32" s="169"/>
      <c r="BD32" s="1330"/>
      <c r="BE32" s="1330"/>
      <c r="BF32" s="1330"/>
      <c r="BG32" s="1330"/>
    </row>
    <row r="33" spans="1:59" ht="15.75" customHeight="1">
      <c r="A33" s="1239"/>
      <c r="B33" s="173" t="s">
        <v>2753</v>
      </c>
      <c r="C33" s="446">
        <f>+$C$31+$G$32</f>
        <v>92169.600499999986</v>
      </c>
      <c r="D33" s="638"/>
      <c r="E33" s="638"/>
      <c r="F33" s="447">
        <v>0</v>
      </c>
      <c r="G33" s="484"/>
      <c r="H33" s="638"/>
      <c r="I33" s="1239"/>
      <c r="J33" s="446"/>
      <c r="K33" s="638"/>
      <c r="L33" s="638"/>
      <c r="M33" s="638"/>
      <c r="N33" s="1239" t="s">
        <v>2794</v>
      </c>
      <c r="O33" s="1239"/>
      <c r="P33" s="638"/>
      <c r="Q33" s="638">
        <v>0</v>
      </c>
      <c r="R33" s="638">
        <v>0</v>
      </c>
      <c r="S33" s="484"/>
      <c r="T33" s="638">
        <v>-30</v>
      </c>
      <c r="U33" s="638"/>
      <c r="V33" s="638"/>
      <c r="W33" s="638">
        <v>1.4</v>
      </c>
      <c r="X33" s="638"/>
      <c r="Y33" s="638"/>
      <c r="Z33" s="638"/>
      <c r="AA33" s="638"/>
      <c r="AB33" s="638"/>
      <c r="AC33" s="1239" t="s">
        <v>4983</v>
      </c>
      <c r="AD33" s="638"/>
      <c r="AE33" s="638"/>
      <c r="AF33" s="638">
        <v>200</v>
      </c>
      <c r="AG33" s="446">
        <v>92169.63</v>
      </c>
      <c r="AH33" s="638">
        <v>1170</v>
      </c>
      <c r="AI33" s="185">
        <v>-5260</v>
      </c>
      <c r="AJ33" s="638"/>
      <c r="AK33" s="1239" t="s">
        <v>139</v>
      </c>
      <c r="AL33" s="638"/>
      <c r="AM33" s="638"/>
      <c r="AN33" s="455">
        <v>5.5</v>
      </c>
      <c r="AO33" s="1239"/>
      <c r="AP33" s="1239"/>
      <c r="AQ33" s="484"/>
      <c r="AR33" s="484"/>
      <c r="AS33" s="484"/>
      <c r="AT33" s="484"/>
      <c r="AU33" s="638"/>
      <c r="AV33" s="638"/>
      <c r="AW33" s="638"/>
      <c r="AX33" s="638"/>
      <c r="AY33" s="484"/>
      <c r="AZ33" s="484"/>
      <c r="BA33" s="671"/>
      <c r="BB33" s="1239"/>
      <c r="BC33" s="169"/>
      <c r="BD33" s="1371"/>
      <c r="BE33" s="1371"/>
      <c r="BF33" s="1371"/>
      <c r="BG33" s="1371"/>
    </row>
    <row r="34" spans="1:59" ht="15.75" customHeight="1">
      <c r="A34" s="1239"/>
      <c r="B34" s="173"/>
      <c r="C34" s="446"/>
      <c r="D34" s="638"/>
      <c r="E34" s="638"/>
      <c r="F34" s="447"/>
      <c r="G34" s="484">
        <v>34.6</v>
      </c>
      <c r="H34" s="1239"/>
      <c r="I34" s="1239"/>
      <c r="J34" s="446"/>
      <c r="K34" s="638"/>
      <c r="L34" s="445"/>
      <c r="M34" s="445"/>
      <c r="N34" s="1239"/>
      <c r="O34" s="1239"/>
      <c r="P34" s="638"/>
      <c r="Q34" s="638"/>
      <c r="R34" s="638"/>
      <c r="S34" s="484">
        <f t="shared" si="10"/>
        <v>0</v>
      </c>
      <c r="T34" s="638"/>
      <c r="U34" s="638"/>
      <c r="V34" s="638"/>
      <c r="W34" s="638"/>
      <c r="X34" s="638"/>
      <c r="Y34" s="638"/>
      <c r="Z34" s="638"/>
      <c r="AA34" s="638"/>
      <c r="AB34" s="638"/>
      <c r="AC34" s="638"/>
      <c r="AD34" s="638"/>
      <c r="AE34" s="638"/>
      <c r="AF34" s="638"/>
      <c r="AG34" s="446"/>
      <c r="AH34" s="638"/>
      <c r="AI34" s="185"/>
      <c r="AJ34" s="638"/>
      <c r="AK34" s="1239"/>
      <c r="AL34" s="638"/>
      <c r="AM34" s="638"/>
      <c r="AN34" s="455"/>
      <c r="AO34" s="1239"/>
      <c r="AP34" s="1239"/>
      <c r="AQ34" s="484"/>
      <c r="AR34" s="484"/>
      <c r="AS34" s="484"/>
      <c r="AT34" s="484"/>
      <c r="AU34" s="638"/>
      <c r="AV34" s="638"/>
      <c r="AW34" s="484"/>
      <c r="AX34" s="484"/>
      <c r="AY34" s="484"/>
      <c r="AZ34" s="484"/>
      <c r="BA34" s="671"/>
      <c r="BB34" s="1239"/>
      <c r="BC34" s="169"/>
      <c r="BD34" s="1330"/>
      <c r="BE34" s="1330"/>
      <c r="BF34" s="1330"/>
      <c r="BG34" s="1330"/>
    </row>
    <row r="35" spans="1:59" ht="15.75" customHeight="1">
      <c r="A35" s="501">
        <f>'HR Track 4 HER-TSA'!A316</f>
        <v>0</v>
      </c>
      <c r="B35" s="716" t="str">
        <f>'HR Track 4 HER-TSA'!B316</f>
        <v>92-4.06</v>
      </c>
      <c r="C35" s="451">
        <f>'HR Track 4 HER-TSA'!C316</f>
        <v>92203.899999999965</v>
      </c>
      <c r="D35" s="453">
        <f>'HR Track 4 HER-TSA'!D316</f>
        <v>0</v>
      </c>
      <c r="E35" s="452">
        <f>'HR Track 4 HER-TSA'!E316</f>
        <v>0</v>
      </c>
      <c r="F35" s="453">
        <f>'HR Track 4 HER-TSA'!F316</f>
        <v>0</v>
      </c>
      <c r="G35" s="500">
        <f>'HR Track 4 HER-TSA'!G316</f>
        <v>0</v>
      </c>
      <c r="H35" s="453" t="str">
        <f>'HR Track 4 HER-TSA'!H316</f>
        <v>P50(CS)</v>
      </c>
      <c r="I35" s="501">
        <f>'HR Track 4 HER-TSA'!I316</f>
        <v>0</v>
      </c>
      <c r="J35" s="583">
        <f>'HR Track 4 HER-TSA'!J316</f>
        <v>0</v>
      </c>
      <c r="K35" s="452">
        <f>'HR Track 4 HER-TSA'!K316</f>
        <v>0</v>
      </c>
      <c r="L35" s="452">
        <f>'HR Track 4 HER-TSA'!L316</f>
        <v>0</v>
      </c>
      <c r="M35" s="452">
        <f>'HR Track 4 HER-TSA'!M316</f>
        <v>0</v>
      </c>
      <c r="N35" s="501" t="str">
        <f>'HR Track 4 HER-TSA'!N316</f>
        <v>EMT-1P</v>
      </c>
      <c r="O35" s="501" t="str">
        <f>'HR Track 4 HER-TSA'!O316</f>
        <v>EMT-2P</v>
      </c>
      <c r="P35" s="501">
        <f>'HR Track 4 HER-TSA'!P316</f>
        <v>0</v>
      </c>
      <c r="Q35" s="452">
        <f>'HR Track 4 HER-TSA'!Q316</f>
        <v>0</v>
      </c>
      <c r="R35" s="452">
        <f>'HR Track 4 HER-TSA'!R316</f>
        <v>0</v>
      </c>
      <c r="S35" s="500">
        <f>'HR Track 4 HER-TSA'!S316</f>
        <v>0</v>
      </c>
      <c r="T35" s="452">
        <f>'HR Track 4 HER-TSA'!T316</f>
        <v>-30</v>
      </c>
      <c r="U35" s="452">
        <f>'HR Track 4 HER-TSA'!U316</f>
        <v>-15</v>
      </c>
      <c r="V35" s="452">
        <f>'HR Track 4 HER-TSA'!V316</f>
        <v>0</v>
      </c>
      <c r="W35" s="452">
        <f>'HR Track 4 HER-TSA'!W316</f>
        <v>1.8</v>
      </c>
      <c r="X35" s="452">
        <f>'HR Track 4 HER-TSA'!X316</f>
        <v>1.4</v>
      </c>
      <c r="Y35" s="452">
        <f>'HR Track 4 HER-TSA'!Y316</f>
        <v>0</v>
      </c>
      <c r="Z35" s="452">
        <f>'HR Track 4 HER-TSA'!Z316</f>
        <v>0</v>
      </c>
      <c r="AA35" s="452">
        <f>'HR Track 4 HER-TSA'!AA316</f>
        <v>0</v>
      </c>
      <c r="AB35" s="452">
        <f>'HR Track 4 HER-TSA'!AB316</f>
        <v>0</v>
      </c>
      <c r="AC35" s="452" t="str">
        <f>'HR Track 4 HER-TSA'!AC316</f>
        <v>PHQ-1150</v>
      </c>
      <c r="AD35" s="452" t="str">
        <f>'HR Track 4 HER-TSA'!AD316</f>
        <v>BTC-1651</v>
      </c>
      <c r="AE35" s="452">
        <f>'HR Track 4 HER-TSA'!AE316</f>
        <v>0</v>
      </c>
      <c r="AF35" s="452">
        <f>'HR Track 4 HER-TSA'!AF316</f>
        <v>200</v>
      </c>
      <c r="AG35" s="451">
        <f>'HR Track 4 HER-TSA'!AG316</f>
        <v>92204</v>
      </c>
      <c r="AH35" s="452">
        <f>'HR Track 4 HER-TSA'!AH316</f>
        <v>2143</v>
      </c>
      <c r="AI35" s="452">
        <f>'HR Track 4 HER-TSA'!AI316</f>
        <v>-5200</v>
      </c>
      <c r="AJ35" s="452">
        <f>'HR Track 4 HER-TSA'!AJ316</f>
        <v>0</v>
      </c>
      <c r="AK35" s="452" t="str">
        <f>'HR Track 4 HER-TSA'!AK316</f>
        <v>S2</v>
      </c>
      <c r="AL35" s="452">
        <f>'HR Track 4 HER-TSA'!AL316</f>
        <v>0</v>
      </c>
      <c r="AM35" s="452">
        <f>'HR Track 4 HER-TSA'!AM316</f>
        <v>0</v>
      </c>
      <c r="AN35" s="500">
        <f>'HR Track 4 HER-TSA'!AN316</f>
        <v>5.5</v>
      </c>
      <c r="AO35" s="452">
        <f>'HR Track 4 HER-TSA'!AO316</f>
        <v>0</v>
      </c>
      <c r="AP35" s="452">
        <f>'HR Track 4 HER-TSA'!AP316</f>
        <v>0</v>
      </c>
      <c r="AQ35" s="452">
        <f>'HR Track 4 HER-TSA'!AQ316</f>
        <v>0</v>
      </c>
      <c r="AR35" s="452">
        <f>'HR Track 4 HER-TSA'!AR316</f>
        <v>0</v>
      </c>
      <c r="AS35" s="452">
        <f>'HR Track 4 HER-TSA'!AS316</f>
        <v>0</v>
      </c>
      <c r="AT35" s="452">
        <f>'HR Track 4 HER-TSA'!AT316</f>
        <v>-4.3576960087773804</v>
      </c>
      <c r="AU35" s="452">
        <f>'HR Track 4 HER-TSA'!AU316</f>
        <v>0</v>
      </c>
      <c r="AV35" s="452">
        <f>'HR Track 4 HER-TSA'!AV316</f>
        <v>0</v>
      </c>
      <c r="AW35" s="452">
        <f>'HR Track 4 HER-TSA'!AW316</f>
        <v>0</v>
      </c>
      <c r="AX35" s="452">
        <f>'HR Track 4 HER-TSA'!AX316</f>
        <v>0</v>
      </c>
      <c r="AY35" s="500">
        <f>'HR Track 4 HER-TSA'!AY316</f>
        <v>0</v>
      </c>
      <c r="AZ35" s="500">
        <f>'HR Track 4 HER-TSA'!AZ316</f>
        <v>0</v>
      </c>
      <c r="BA35" s="1333">
        <f>'HR Track 4 HER-TSA'!BA316</f>
        <v>0</v>
      </c>
      <c r="BB35" s="452">
        <f>'HR Track 4 HER-TSA'!BB316</f>
        <v>0</v>
      </c>
      <c r="BC35" s="1334">
        <f>'HR Track 4 HER-TSA'!BC316</f>
        <v>0</v>
      </c>
      <c r="BD35" s="1335">
        <f>'HR Track 4 HER-TSA'!BD316</f>
        <v>0</v>
      </c>
      <c r="BE35" s="1335">
        <f>'HR Track 4 HER-TSA'!BE316</f>
        <v>0</v>
      </c>
      <c r="BF35" s="1335">
        <f>'HR Track 4 HER-TSA'!BF316</f>
        <v>0</v>
      </c>
      <c r="BG35" s="1335">
        <f>'HR Track 4 HER-TSA'!BG316</f>
        <v>0</v>
      </c>
    </row>
    <row r="36" spans="1:59" ht="15.75" customHeight="1">
      <c r="A36" s="501">
        <f>'HR Track 4 HER-TSA'!A317</f>
        <v>0</v>
      </c>
      <c r="B36" s="716">
        <f>'HR Track 4 HER-TSA'!B317</f>
        <v>0</v>
      </c>
      <c r="C36" s="451">
        <f>'HR Track 4 HER-TSA'!C317</f>
        <v>0</v>
      </c>
      <c r="D36" s="453">
        <f>'HR Track 4 HER-TSA'!D317</f>
        <v>0</v>
      </c>
      <c r="E36" s="452">
        <f>'HR Track 4 HER-TSA'!E317</f>
        <v>0</v>
      </c>
      <c r="F36" s="453">
        <f>'HR Track 4 HER-TSA'!F317</f>
        <v>0</v>
      </c>
      <c r="G36" s="500">
        <f>'HR Track 4 HER-TSA'!G317</f>
        <v>24</v>
      </c>
      <c r="H36" s="453">
        <f>'HR Track 4 HER-TSA'!H317</f>
        <v>0</v>
      </c>
      <c r="I36" s="501">
        <f>'HR Track 4 HER-TSA'!I317</f>
        <v>0</v>
      </c>
      <c r="J36" s="583">
        <f>'HR Track 4 HER-TSA'!J317</f>
        <v>0</v>
      </c>
      <c r="K36" s="452">
        <f>'HR Track 4 HER-TSA'!K317</f>
        <v>0</v>
      </c>
      <c r="L36" s="452">
        <f>'HR Track 4 HER-TSA'!L317</f>
        <v>0</v>
      </c>
      <c r="M36" s="452">
        <f>'HR Track 4 HER-TSA'!M317</f>
        <v>0</v>
      </c>
      <c r="N36" s="501">
        <f>'HR Track 4 HER-TSA'!N317</f>
        <v>0</v>
      </c>
      <c r="O36" s="501">
        <f>'HR Track 4 HER-TSA'!O317</f>
        <v>0</v>
      </c>
      <c r="P36" s="501">
        <f>'HR Track 4 HER-TSA'!P317</f>
        <v>0</v>
      </c>
      <c r="Q36" s="452">
        <f>'HR Track 4 HER-TSA'!Q317</f>
        <v>0</v>
      </c>
      <c r="R36" s="452">
        <f>'HR Track 4 HER-TSA'!R317</f>
        <v>0</v>
      </c>
      <c r="S36" s="500">
        <f>'HR Track 4 HER-TSA'!S317</f>
        <v>23.589999999996508</v>
      </c>
      <c r="T36" s="452">
        <f>'HR Track 4 HER-TSA'!T317</f>
        <v>0</v>
      </c>
      <c r="U36" s="452">
        <f>'HR Track 4 HER-TSA'!U317</f>
        <v>0</v>
      </c>
      <c r="V36" s="452">
        <f>'HR Track 4 HER-TSA'!V317</f>
        <v>0</v>
      </c>
      <c r="W36" s="452">
        <f>'HR Track 4 HER-TSA'!W317</f>
        <v>0</v>
      </c>
      <c r="X36" s="452">
        <f>'HR Track 4 HER-TSA'!X317</f>
        <v>0</v>
      </c>
      <c r="Y36" s="452">
        <f>'HR Track 4 HER-TSA'!Y317</f>
        <v>0</v>
      </c>
      <c r="Z36" s="452">
        <f>'HR Track 4 HER-TSA'!Z317</f>
        <v>0</v>
      </c>
      <c r="AA36" s="452">
        <f>'HR Track 4 HER-TSA'!AA317</f>
        <v>0</v>
      </c>
      <c r="AB36" s="452">
        <f>'HR Track 4 HER-TSA'!AB317</f>
        <v>0</v>
      </c>
      <c r="AC36" s="452">
        <f>'HR Track 4 HER-TSA'!AC317</f>
        <v>0</v>
      </c>
      <c r="AD36" s="452">
        <f>'HR Track 4 HER-TSA'!AD317</f>
        <v>0</v>
      </c>
      <c r="AE36" s="452">
        <f>'HR Track 4 HER-TSA'!AE317</f>
        <v>0</v>
      </c>
      <c r="AF36" s="452">
        <f>'HR Track 4 HER-TSA'!AF317</f>
        <v>0</v>
      </c>
      <c r="AG36" s="451">
        <f>'HR Track 4 HER-TSA'!AG317</f>
        <v>0</v>
      </c>
      <c r="AH36" s="452">
        <f>'HR Track 4 HER-TSA'!AH317</f>
        <v>0</v>
      </c>
      <c r="AI36" s="452">
        <f>'HR Track 4 HER-TSA'!AI317</f>
        <v>0</v>
      </c>
      <c r="AJ36" s="452">
        <f>'HR Track 4 HER-TSA'!AJ317</f>
        <v>0</v>
      </c>
      <c r="AK36" s="452">
        <f>'HR Track 4 HER-TSA'!AK317</f>
        <v>0</v>
      </c>
      <c r="AL36" s="452">
        <f>'HR Track 4 HER-TSA'!AL317</f>
        <v>0</v>
      </c>
      <c r="AM36" s="452">
        <f>'HR Track 4 HER-TSA'!AM317</f>
        <v>0</v>
      </c>
      <c r="AN36" s="500">
        <f>'HR Track 4 HER-TSA'!AN317</f>
        <v>0</v>
      </c>
      <c r="AO36" s="452">
        <f>'HR Track 4 HER-TSA'!AO317</f>
        <v>0</v>
      </c>
      <c r="AP36" s="452">
        <f>'HR Track 4 HER-TSA'!AP317</f>
        <v>0</v>
      </c>
      <c r="AQ36" s="452">
        <f>'HR Track 4 HER-TSA'!AQ317</f>
        <v>-0.30000000000001503</v>
      </c>
      <c r="AR36" s="452">
        <f>'HR Track 4 HER-TSA'!AR317</f>
        <v>0</v>
      </c>
      <c r="AS36" s="452">
        <f>'HR Track 4 HER-TSA'!AS317</f>
        <v>0</v>
      </c>
      <c r="AT36" s="452">
        <f>'HR Track 4 HER-TSA'!AT317</f>
        <v>0</v>
      </c>
      <c r="AU36" s="452">
        <f>'HR Track 4 HER-TSA'!AU317</f>
        <v>0</v>
      </c>
      <c r="AV36" s="452">
        <f>'HR Track 4 HER-TSA'!AV317</f>
        <v>0</v>
      </c>
      <c r="AW36" s="452">
        <f>'HR Track 4 HER-TSA'!AW317</f>
        <v>0</v>
      </c>
      <c r="AX36" s="452">
        <f>'HR Track 4 HER-TSA'!AX317</f>
        <v>0</v>
      </c>
      <c r="AY36" s="500">
        <f>'HR Track 4 HER-TSA'!AY317</f>
        <v>0</v>
      </c>
      <c r="AZ36" s="500">
        <f>'HR Track 4 HER-TSA'!AZ317</f>
        <v>0</v>
      </c>
      <c r="BA36" s="1333">
        <f>'HR Track 4 HER-TSA'!BA317</f>
        <v>0</v>
      </c>
      <c r="BB36" s="452">
        <f>'HR Track 4 HER-TSA'!BB317</f>
        <v>0</v>
      </c>
      <c r="BC36" s="1334">
        <f>'HR Track 4 HER-TSA'!BC317</f>
        <v>0</v>
      </c>
      <c r="BD36" s="1335">
        <f>'HR Track 4 HER-TSA'!BD317</f>
        <v>0</v>
      </c>
      <c r="BE36" s="1335">
        <f>'HR Track 4 HER-TSA'!BE317</f>
        <v>0</v>
      </c>
      <c r="BF36" s="1335">
        <f>'HR Track 4 HER-TSA'!BF317</f>
        <v>0</v>
      </c>
      <c r="BG36" s="1335">
        <f>'HR Track 4 HER-TSA'!BG317</f>
        <v>0</v>
      </c>
    </row>
    <row r="37" spans="1:59" ht="15.75" customHeight="1">
      <c r="A37" s="501">
        <f>'HR Track 4 HER-TSA'!A318</f>
        <v>0</v>
      </c>
      <c r="B37" s="716" t="str">
        <f>'HR Track 4 HER-TSA'!B318</f>
        <v>92-4.07</v>
      </c>
      <c r="C37" s="451">
        <f>'HR Track 4 HER-TSA'!C318</f>
        <v>92227.899999999965</v>
      </c>
      <c r="D37" s="453">
        <f>'HR Track 4 HER-TSA'!D318</f>
        <v>0</v>
      </c>
      <c r="E37" s="452">
        <f>'HR Track 4 HER-TSA'!E318</f>
        <v>0</v>
      </c>
      <c r="F37" s="453">
        <f>'HR Track 4 HER-TSA'!F318</f>
        <v>0</v>
      </c>
      <c r="G37" s="500">
        <f>'HR Track 4 HER-TSA'!G318</f>
        <v>0</v>
      </c>
      <c r="H37" s="453" t="str">
        <f>'HR Track 4 HER-TSA'!H318</f>
        <v>S/A</v>
      </c>
      <c r="I37" s="501">
        <f>'HR Track 4 HER-TSA'!I318</f>
        <v>0</v>
      </c>
      <c r="J37" s="583">
        <f>'HR Track 4 HER-TSA'!J318</f>
        <v>0</v>
      </c>
      <c r="K37" s="452">
        <f>'HR Track 4 HER-TSA'!K318</f>
        <v>0</v>
      </c>
      <c r="L37" s="452">
        <f>'HR Track 4 HER-TSA'!L318</f>
        <v>0</v>
      </c>
      <c r="M37" s="452">
        <f>'HR Track 4 HER-TSA'!M318</f>
        <v>0</v>
      </c>
      <c r="N37" s="501" t="str">
        <f>'HR Track 4 HER-TSA'!N318</f>
        <v>EMT-2P</v>
      </c>
      <c r="O37" s="501" t="str">
        <f>'HR Track 4 HER-TSA'!O318</f>
        <v>EMT-TP</v>
      </c>
      <c r="P37" s="501">
        <f>'HR Track 4 HER-TSA'!P318</f>
        <v>0</v>
      </c>
      <c r="Q37" s="452">
        <f>'HR Track 4 HER-TSA'!Q318</f>
        <v>0</v>
      </c>
      <c r="R37" s="452">
        <f>'HR Track 4 HER-TSA'!R318</f>
        <v>0</v>
      </c>
      <c r="S37" s="500">
        <f>'HR Track 4 HER-TSA'!S318</f>
        <v>0</v>
      </c>
      <c r="T37" s="452">
        <f>'HR Track 4 HER-TSA'!T318</f>
        <v>30</v>
      </c>
      <c r="U37" s="452">
        <f>'HR Track 4 HER-TSA'!U318</f>
        <v>45</v>
      </c>
      <c r="V37" s="452">
        <f>'HR Track 4 HER-TSA'!V318</f>
        <v>0</v>
      </c>
      <c r="W37" s="452">
        <f>'HR Track 4 HER-TSA'!W318</f>
        <v>1.8</v>
      </c>
      <c r="X37" s="452">
        <f>'HR Track 4 HER-TSA'!X318</f>
        <v>1.4</v>
      </c>
      <c r="Y37" s="452">
        <f>'HR Track 4 HER-TSA'!Y318</f>
        <v>0</v>
      </c>
      <c r="Z37" s="452">
        <f>'HR Track 4 HER-TSA'!Z318</f>
        <v>0</v>
      </c>
      <c r="AA37" s="452">
        <f>'HR Track 4 HER-TSA'!AA318</f>
        <v>0.2</v>
      </c>
      <c r="AB37" s="452">
        <f>'HR Track 4 HER-TSA'!AB318</f>
        <v>0</v>
      </c>
      <c r="AC37" s="452" t="str">
        <f>'HR Track 4 HER-TSA'!AC318</f>
        <v>BC-1500</v>
      </c>
      <c r="AD37" s="452">
        <f>'HR Track 4 HER-TSA'!AD318</f>
        <v>0</v>
      </c>
      <c r="AE37" s="452">
        <f>'HR Track 4 HER-TSA'!AE318</f>
        <v>0</v>
      </c>
      <c r="AF37" s="452">
        <f>'HR Track 4 HER-TSA'!AF318</f>
        <v>200</v>
      </c>
      <c r="AG37" s="451">
        <f>'HR Track 4 HER-TSA'!AG318</f>
        <v>92227.59</v>
      </c>
      <c r="AH37" s="452">
        <f>'HR Track 4 HER-TSA'!AH318</f>
        <v>1843</v>
      </c>
      <c r="AI37" s="452">
        <f>'HR Track 4 HER-TSA'!AI318</f>
        <v>-5630</v>
      </c>
      <c r="AJ37" s="452">
        <f>'HR Track 4 HER-TSA'!AJ318</f>
        <v>0</v>
      </c>
      <c r="AK37" s="452" t="str">
        <f>'HR Track 4 HER-TSA'!AK318</f>
        <v>S2</v>
      </c>
      <c r="AL37" s="452">
        <f>'HR Track 4 HER-TSA'!AL318</f>
        <v>0</v>
      </c>
      <c r="AM37" s="452">
        <f>'HR Track 4 HER-TSA'!AM318</f>
        <v>0</v>
      </c>
      <c r="AN37" s="500">
        <f>'HR Track 4 HER-TSA'!AN318</f>
        <v>5.5</v>
      </c>
      <c r="AO37" s="452">
        <f>'HR Track 4 HER-TSA'!AO318</f>
        <v>0</v>
      </c>
      <c r="AP37" s="452">
        <f>'HR Track 4 HER-TSA'!AP318</f>
        <v>0</v>
      </c>
      <c r="AQ37" s="452">
        <f>'HR Track 4 HER-TSA'!AQ318</f>
        <v>0</v>
      </c>
      <c r="AR37" s="452">
        <f>'HR Track 4 HER-TSA'!AR318</f>
        <v>0</v>
      </c>
      <c r="AS37" s="452">
        <f>'HR Track 4 HER-TSA'!AS318</f>
        <v>0</v>
      </c>
      <c r="AT37" s="452">
        <f>'HR Track 4 HER-TSA'!AT318</f>
        <v>3.955357381138374</v>
      </c>
      <c r="AU37" s="452">
        <f>'HR Track 4 HER-TSA'!AU318</f>
        <v>0</v>
      </c>
      <c r="AV37" s="452">
        <f>'HR Track 4 HER-TSA'!AV318</f>
        <v>0</v>
      </c>
      <c r="AW37" s="452">
        <f>'HR Track 4 HER-TSA'!AW318</f>
        <v>0</v>
      </c>
      <c r="AX37" s="452">
        <f>'HR Track 4 HER-TSA'!AX318</f>
        <v>0</v>
      </c>
      <c r="AY37" s="500">
        <f>'HR Track 4 HER-TSA'!AY318</f>
        <v>0</v>
      </c>
      <c r="AZ37" s="500">
        <f>'HR Track 4 HER-TSA'!AZ318</f>
        <v>0</v>
      </c>
      <c r="BA37" s="1333">
        <f>'HR Track 4 HER-TSA'!BA318</f>
        <v>0</v>
      </c>
      <c r="BB37" s="452">
        <f>'HR Track 4 HER-TSA'!BB318</f>
        <v>0</v>
      </c>
      <c r="BC37" s="1334">
        <f>'HR Track 4 HER-TSA'!BC318</f>
        <v>0</v>
      </c>
      <c r="BD37" s="1335">
        <f>'HR Track 4 HER-TSA'!BD318</f>
        <v>0</v>
      </c>
      <c r="BE37" s="1335">
        <f>'HR Track 4 HER-TSA'!BE318</f>
        <v>0</v>
      </c>
      <c r="BF37" s="1335">
        <f>'HR Track 4 HER-TSA'!BF318</f>
        <v>0</v>
      </c>
      <c r="BG37" s="1335">
        <f>'HR Track 4 HER-TSA'!BG318</f>
        <v>0</v>
      </c>
    </row>
    <row r="38" spans="1:59" ht="15.75" customHeight="1">
      <c r="A38" s="501">
        <f>'HR Track 4 HER-TSA'!A319</f>
        <v>0</v>
      </c>
      <c r="B38" s="716">
        <f>'HR Track 4 HER-TSA'!B319</f>
        <v>0</v>
      </c>
      <c r="C38" s="451">
        <f>'HR Track 4 HER-TSA'!C319</f>
        <v>0</v>
      </c>
      <c r="D38" s="453">
        <f>'HR Track 4 HER-TSA'!D319</f>
        <v>0</v>
      </c>
      <c r="E38" s="452">
        <f>'HR Track 4 HER-TSA'!E319</f>
        <v>0</v>
      </c>
      <c r="F38" s="453">
        <f>'HR Track 4 HER-TSA'!F319</f>
        <v>0</v>
      </c>
      <c r="G38" s="500">
        <f>'HR Track 4 HER-TSA'!G319</f>
        <v>32</v>
      </c>
      <c r="H38" s="453">
        <f>'HR Track 4 HER-TSA'!H319</f>
        <v>0</v>
      </c>
      <c r="I38" s="501">
        <f>'HR Track 4 HER-TSA'!I319</f>
        <v>0</v>
      </c>
      <c r="J38" s="583">
        <f>'HR Track 4 HER-TSA'!J319</f>
        <v>0</v>
      </c>
      <c r="K38" s="452">
        <f>'HR Track 4 HER-TSA'!K319</f>
        <v>0</v>
      </c>
      <c r="L38" s="452">
        <f>'HR Track 4 HER-TSA'!L319</f>
        <v>0</v>
      </c>
      <c r="M38" s="452">
        <f>'HR Track 4 HER-TSA'!M319</f>
        <v>0</v>
      </c>
      <c r="N38" s="501">
        <f>'HR Track 4 HER-TSA'!N319</f>
        <v>0</v>
      </c>
      <c r="O38" s="501">
        <f>'HR Track 4 HER-TSA'!O319</f>
        <v>0</v>
      </c>
      <c r="P38" s="501">
        <f>'HR Track 4 HER-TSA'!P319</f>
        <v>0</v>
      </c>
      <c r="Q38" s="452">
        <f>'HR Track 4 HER-TSA'!Q319</f>
        <v>0</v>
      </c>
      <c r="R38" s="452">
        <f>'HR Track 4 HER-TSA'!R319</f>
        <v>0</v>
      </c>
      <c r="S38" s="500">
        <f>'HR Track 4 HER-TSA'!S319</f>
        <v>32.380000000004657</v>
      </c>
      <c r="T38" s="452">
        <f>'HR Track 4 HER-TSA'!T319</f>
        <v>0</v>
      </c>
      <c r="U38" s="452">
        <f>'HR Track 4 HER-TSA'!U319</f>
        <v>0</v>
      </c>
      <c r="V38" s="452">
        <f>'HR Track 4 HER-TSA'!V319</f>
        <v>0</v>
      </c>
      <c r="W38" s="452">
        <f>'HR Track 4 HER-TSA'!W319</f>
        <v>0</v>
      </c>
      <c r="X38" s="452">
        <f>'HR Track 4 HER-TSA'!X319</f>
        <v>0</v>
      </c>
      <c r="Y38" s="452">
        <f>'HR Track 4 HER-TSA'!Y319</f>
        <v>0</v>
      </c>
      <c r="Z38" s="452">
        <f>'HR Track 4 HER-TSA'!Z319</f>
        <v>0</v>
      </c>
      <c r="AA38" s="452">
        <f>'HR Track 4 HER-TSA'!AA319</f>
        <v>0</v>
      </c>
      <c r="AB38" s="452">
        <f>'HR Track 4 HER-TSA'!AB319</f>
        <v>0</v>
      </c>
      <c r="AC38" s="452">
        <f>'HR Track 4 HER-TSA'!AC319</f>
        <v>0</v>
      </c>
      <c r="AD38" s="452">
        <f>'HR Track 4 HER-TSA'!AD319</f>
        <v>0</v>
      </c>
      <c r="AE38" s="452">
        <f>'HR Track 4 HER-TSA'!AE319</f>
        <v>0</v>
      </c>
      <c r="AF38" s="452">
        <f>'HR Track 4 HER-TSA'!AF319</f>
        <v>0</v>
      </c>
      <c r="AG38" s="451">
        <f>'HR Track 4 HER-TSA'!AG319</f>
        <v>0</v>
      </c>
      <c r="AH38" s="452">
        <f>'HR Track 4 HER-TSA'!AH319</f>
        <v>0</v>
      </c>
      <c r="AI38" s="452">
        <f>'HR Track 4 HER-TSA'!AI319</f>
        <v>0</v>
      </c>
      <c r="AJ38" s="452">
        <f>'HR Track 4 HER-TSA'!AJ319</f>
        <v>0</v>
      </c>
      <c r="AK38" s="452">
        <f>'HR Track 4 HER-TSA'!AK319</f>
        <v>0</v>
      </c>
      <c r="AL38" s="452">
        <f>'HR Track 4 HER-TSA'!AL319</f>
        <v>0</v>
      </c>
      <c r="AM38" s="452">
        <f>'HR Track 4 HER-TSA'!AM319</f>
        <v>0</v>
      </c>
      <c r="AN38" s="500">
        <f>'HR Track 4 HER-TSA'!AN319</f>
        <v>0</v>
      </c>
      <c r="AO38" s="452">
        <f>'HR Track 4 HER-TSA'!AO319</f>
        <v>0</v>
      </c>
      <c r="AP38" s="452">
        <f>'HR Track 4 HER-TSA'!AP319</f>
        <v>0</v>
      </c>
      <c r="AQ38" s="452">
        <f>'HR Track 4 HER-TSA'!AQ319</f>
        <v>-0.3</v>
      </c>
      <c r="AR38" s="452">
        <f>'HR Track 4 HER-TSA'!AR319</f>
        <v>0</v>
      </c>
      <c r="AS38" s="452">
        <f>'HR Track 4 HER-TSA'!AS319</f>
        <v>0</v>
      </c>
      <c r="AT38" s="452">
        <f>'HR Track 4 HER-TSA'!AT319</f>
        <v>0</v>
      </c>
      <c r="AU38" s="452">
        <f>'HR Track 4 HER-TSA'!AU319</f>
        <v>0</v>
      </c>
      <c r="AV38" s="452">
        <f>'HR Track 4 HER-TSA'!AV319</f>
        <v>0</v>
      </c>
      <c r="AW38" s="452">
        <f>'HR Track 4 HER-TSA'!AW319</f>
        <v>0</v>
      </c>
      <c r="AX38" s="452">
        <f>'HR Track 4 HER-TSA'!AX319</f>
        <v>0</v>
      </c>
      <c r="AY38" s="500">
        <f>'HR Track 4 HER-TSA'!AY319</f>
        <v>0</v>
      </c>
      <c r="AZ38" s="500">
        <f>'HR Track 4 HER-TSA'!AZ319</f>
        <v>0</v>
      </c>
      <c r="BA38" s="1333">
        <f>'HR Track 4 HER-TSA'!BA319</f>
        <v>0</v>
      </c>
      <c r="BB38" s="452">
        <f>'HR Track 4 HER-TSA'!BB319</f>
        <v>0</v>
      </c>
      <c r="BC38" s="1334">
        <f>'HR Track 4 HER-TSA'!BC319</f>
        <v>0</v>
      </c>
      <c r="BD38" s="1335">
        <f>'HR Track 4 HER-TSA'!BD319</f>
        <v>0</v>
      </c>
      <c r="BE38" s="1335">
        <f>'HR Track 4 HER-TSA'!BE319</f>
        <v>0</v>
      </c>
      <c r="BF38" s="1335">
        <f>'HR Track 4 HER-TSA'!BF319</f>
        <v>0</v>
      </c>
      <c r="BG38" s="1335">
        <f>'HR Track 4 HER-TSA'!BG319</f>
        <v>0</v>
      </c>
    </row>
    <row r="39" spans="1:59" ht="15.75" customHeight="1">
      <c r="A39" s="501" t="str">
        <f>'HR Track 4 HER-TSA'!A320</f>
        <v>Overhead Cable</v>
      </c>
      <c r="B39" s="716" t="str">
        <f>'HR Track 4 HER-TSA'!B320</f>
        <v>92-4.08</v>
      </c>
      <c r="C39" s="451">
        <f>'HR Track 4 HER-TSA'!C320</f>
        <v>92259.899999999965</v>
      </c>
      <c r="D39" s="453">
        <f>'HR Track 4 HER-TSA'!D320</f>
        <v>0</v>
      </c>
      <c r="E39" s="452">
        <f>'HR Track 4 HER-TSA'!E320</f>
        <v>0</v>
      </c>
      <c r="F39" s="453">
        <f>'HR Track 4 HER-TSA'!F320</f>
        <v>0</v>
      </c>
      <c r="G39" s="500">
        <f>'HR Track 4 HER-TSA'!G320</f>
        <v>0</v>
      </c>
      <c r="H39" s="453" t="str">
        <f>'HR Track 4 HER-TSA'!H320</f>
        <v>S/A A/S S/A</v>
      </c>
      <c r="I39" s="501" t="str">
        <f>'HR Track 4 HER-TSA'!I320</f>
        <v>FP+AnMC</v>
      </c>
      <c r="J39" s="583">
        <f>'HR Track 4 HER-TSA'!J320</f>
        <v>0</v>
      </c>
      <c r="K39" s="452">
        <f>'HR Track 4 HER-TSA'!K320</f>
        <v>0</v>
      </c>
      <c r="L39" s="452" t="str">
        <f>'HR Track 4 HER-TSA'!L320</f>
        <v>HEB-320L</v>
      </c>
      <c r="M39" s="452" t="str">
        <f>'HR Track 4 HER-TSA'!M320</f>
        <v>C7R</v>
      </c>
      <c r="N39" s="501" t="str">
        <f>'HR Track 4 HER-TSA'!N320</f>
        <v>EMT-T</v>
      </c>
      <c r="O39" s="501" t="str">
        <f>'HR Track 4 HER-TSA'!O320</f>
        <v>EMT-1</v>
      </c>
      <c r="P39" s="501" t="str">
        <f>'HR Track 4 HER-TSA'!P320</f>
        <v>EMT-T</v>
      </c>
      <c r="Q39" s="452">
        <f>'HR Track 4 HER-TSA'!Q320</f>
        <v>10</v>
      </c>
      <c r="R39" s="452">
        <f>'HR Track 4 HER-TSA'!R320</f>
        <v>0</v>
      </c>
      <c r="S39" s="500">
        <f>'HR Track 4 HER-TSA'!S320</f>
        <v>0</v>
      </c>
      <c r="T39" s="452">
        <f>'HR Track 4 HER-TSA'!T320</f>
        <v>-45</v>
      </c>
      <c r="U39" s="452">
        <f>'HR Track 4 HER-TSA'!U320</f>
        <v>-30</v>
      </c>
      <c r="V39" s="452">
        <f>'HR Track 4 HER-TSA'!V320</f>
        <v>-15</v>
      </c>
      <c r="W39" s="452">
        <f>'HR Track 4 HER-TSA'!W320</f>
        <v>2.2999999999999998</v>
      </c>
      <c r="X39" s="452">
        <f>'HR Track 4 HER-TSA'!X320</f>
        <v>1.8</v>
      </c>
      <c r="Y39" s="452">
        <f>'HR Track 4 HER-TSA'!Y320</f>
        <v>1.4</v>
      </c>
      <c r="Z39" s="452">
        <f>'HR Track 4 HER-TSA'!Z320</f>
        <v>0.37</v>
      </c>
      <c r="AA39" s="452">
        <f>'HR Track 4 HER-TSA'!AA320</f>
        <v>0</v>
      </c>
      <c r="AB39" s="452">
        <f>'HR Track 4 HER-TSA'!AB320</f>
        <v>0.37</v>
      </c>
      <c r="AC39" s="452" t="str">
        <f>'HR Track 4 HER-TSA'!AC320</f>
        <v>PHQ-1150</v>
      </c>
      <c r="AD39" s="452">
        <f>'HR Track 4 HER-TSA'!AD320</f>
        <v>0</v>
      </c>
      <c r="AE39" s="452">
        <f>'HR Track 4 HER-TSA'!AE320</f>
        <v>0</v>
      </c>
      <c r="AF39" s="452">
        <f>'HR Track 4 HER-TSA'!AF320</f>
        <v>5600</v>
      </c>
      <c r="AG39" s="451">
        <f>'HR Track 4 HER-TSA'!AG320</f>
        <v>92259.97</v>
      </c>
      <c r="AH39" s="452">
        <f>'HR Track 4 HER-TSA'!AH320</f>
        <v>2413</v>
      </c>
      <c r="AI39" s="452">
        <f>'HR Track 4 HER-TSA'!AI320</f>
        <v>170</v>
      </c>
      <c r="AJ39" s="452">
        <f>'HR Track 4 HER-TSA'!AJ320</f>
        <v>0</v>
      </c>
      <c r="AK39" s="452">
        <f>'HR Track 4 HER-TSA'!AK320</f>
        <v>0</v>
      </c>
      <c r="AL39" s="452" t="str">
        <f>'HR Track 4 HER-TSA'!AL320</f>
        <v>PR1D</v>
      </c>
      <c r="AM39" s="452" t="str">
        <f>'HR Track 4 HER-TSA'!AM320</f>
        <v>RW1</v>
      </c>
      <c r="AN39" s="500">
        <f>'HR Track 4 HER-TSA'!AN320</f>
        <v>5.5</v>
      </c>
      <c r="AO39" s="452">
        <f>'HR Track 4 HER-TSA'!AO320</f>
        <v>0</v>
      </c>
      <c r="AP39" s="452">
        <f>'HR Track 4 HER-TSA'!AP320</f>
        <v>0</v>
      </c>
      <c r="AQ39" s="452">
        <f>'HR Track 4 HER-TSA'!AQ320</f>
        <v>0</v>
      </c>
      <c r="AR39" s="452">
        <f>'HR Track 4 HER-TSA'!AR320</f>
        <v>0</v>
      </c>
      <c r="AS39" s="452">
        <f>'HR Track 4 HER-TSA'!AS320</f>
        <v>0</v>
      </c>
      <c r="AT39" s="452">
        <f>'HR Track 4 HER-TSA'!AT320</f>
        <v>-4.3585068656503028</v>
      </c>
      <c r="AU39" s="452">
        <f>'HR Track 4 HER-TSA'!AU320</f>
        <v>0</v>
      </c>
      <c r="AV39" s="452">
        <f>'HR Track 4 HER-TSA'!AV320</f>
        <v>0</v>
      </c>
      <c r="AW39" s="452" t="str">
        <f>'HR Track 4 HER-TSA'!AW320</f>
        <v>Soil B</v>
      </c>
      <c r="AX39" s="452" t="str">
        <f>'HR Track 4 HER-TSA'!AX320</f>
        <v>PT</v>
      </c>
      <c r="AY39" s="500">
        <f>'HR Track 4 HER-TSA'!AY320</f>
        <v>3.5</v>
      </c>
      <c r="AZ39" s="500">
        <f>'HR Track 4 HER-TSA'!AZ320</f>
        <v>0</v>
      </c>
      <c r="BA39" s="1333" t="str">
        <f>'HR Track 4 HER-TSA'!BA320</f>
        <v>ü</v>
      </c>
      <c r="BB39" s="452" t="str">
        <f>'HR Track 4 HER-TSA'!BB320</f>
        <v>App.8-V08F-P10.3</v>
      </c>
      <c r="BC39" s="1334">
        <f>'HR Track 4 HER-TSA'!BC320</f>
        <v>0</v>
      </c>
      <c r="BD39" s="1335">
        <f>'HR Track 4 HER-TSA'!BD320</f>
        <v>43744</v>
      </c>
      <c r="BE39" s="1335" t="str">
        <f>'HR Track 4 HER-TSA'!BE320</f>
        <v>Ejecutado</v>
      </c>
      <c r="BF39" s="1335">
        <f>'HR Track 4 HER-TSA'!BF320</f>
        <v>0</v>
      </c>
      <c r="BG39" s="1335">
        <f>'HR Track 4 HER-TSA'!BG320</f>
        <v>43808</v>
      </c>
    </row>
    <row r="40" spans="1:59" ht="15.75" customHeight="1">
      <c r="A40" s="501">
        <f>'HR Track 4 HER-TSA'!A321</f>
        <v>0</v>
      </c>
      <c r="B40" s="716">
        <f>'HR Track 4 HER-TSA'!B321</f>
        <v>0</v>
      </c>
      <c r="C40" s="451">
        <f>'HR Track 4 HER-TSA'!C321</f>
        <v>0</v>
      </c>
      <c r="D40" s="453">
        <f>'HR Track 4 HER-TSA'!D321</f>
        <v>0</v>
      </c>
      <c r="E40" s="452">
        <f>'HR Track 4 HER-TSA'!E321</f>
        <v>0</v>
      </c>
      <c r="F40" s="453">
        <f>'HR Track 4 HER-TSA'!F321</f>
        <v>0</v>
      </c>
      <c r="G40" s="500">
        <f>'HR Track 4 HER-TSA'!G321</f>
        <v>31.7</v>
      </c>
      <c r="H40" s="453">
        <f>'HR Track 4 HER-TSA'!H321</f>
        <v>0</v>
      </c>
      <c r="I40" s="501">
        <f>'HR Track 4 HER-TSA'!I321</f>
        <v>0</v>
      </c>
      <c r="J40" s="583">
        <f>'HR Track 4 HER-TSA'!J321</f>
        <v>92267.399999999965</v>
      </c>
      <c r="K40" s="452" t="str">
        <f>'HR Track 4 HER-TSA'!K321</f>
        <v>AnMC-R</v>
      </c>
      <c r="L40" s="452">
        <f>'HR Track 4 HER-TSA'!L321</f>
        <v>0</v>
      </c>
      <c r="M40" s="452">
        <f>'HR Track 4 HER-TSA'!M321</f>
        <v>0</v>
      </c>
      <c r="N40" s="501">
        <f>'HR Track 4 HER-TSA'!N321</f>
        <v>0</v>
      </c>
      <c r="O40" s="501">
        <f>'HR Track 4 HER-TSA'!O321</f>
        <v>0</v>
      </c>
      <c r="P40" s="501">
        <f>'HR Track 4 HER-TSA'!P321</f>
        <v>0</v>
      </c>
      <c r="Q40" s="452">
        <f>'HR Track 4 HER-TSA'!Q321</f>
        <v>0</v>
      </c>
      <c r="R40" s="452">
        <f>'HR Track 4 HER-TSA'!R321</f>
        <v>0</v>
      </c>
      <c r="S40" s="500">
        <f>'HR Track 4 HER-TSA'!S321</f>
        <v>31.55000000000291</v>
      </c>
      <c r="T40" s="452">
        <f>'HR Track 4 HER-TSA'!T321</f>
        <v>0</v>
      </c>
      <c r="U40" s="452">
        <f>'HR Track 4 HER-TSA'!U321</f>
        <v>0</v>
      </c>
      <c r="V40" s="452">
        <f>'HR Track 4 HER-TSA'!V321</f>
        <v>0</v>
      </c>
      <c r="W40" s="452">
        <f>'HR Track 4 HER-TSA'!W321</f>
        <v>0</v>
      </c>
      <c r="X40" s="452">
        <f>'HR Track 4 HER-TSA'!X321</f>
        <v>0</v>
      </c>
      <c r="Y40" s="452">
        <f>'HR Track 4 HER-TSA'!Y321</f>
        <v>0</v>
      </c>
      <c r="Z40" s="452">
        <f>'HR Track 4 HER-TSA'!Z321</f>
        <v>0</v>
      </c>
      <c r="AA40" s="452">
        <f>'HR Track 4 HER-TSA'!AA321</f>
        <v>0</v>
      </c>
      <c r="AB40" s="452">
        <f>'HR Track 4 HER-TSA'!AB321</f>
        <v>0</v>
      </c>
      <c r="AC40" s="452">
        <f>'HR Track 4 HER-TSA'!AC321</f>
        <v>0</v>
      </c>
      <c r="AD40" s="452">
        <f>'HR Track 4 HER-TSA'!AD321</f>
        <v>0</v>
      </c>
      <c r="AE40" s="452">
        <f>'HR Track 4 HER-TSA'!AE321</f>
        <v>0</v>
      </c>
      <c r="AF40" s="452">
        <f>'HR Track 4 HER-TSA'!AF321</f>
        <v>0</v>
      </c>
      <c r="AG40" s="451">
        <f>'HR Track 4 HER-TSA'!AG321</f>
        <v>0</v>
      </c>
      <c r="AH40" s="452">
        <f>'HR Track 4 HER-TSA'!AH321</f>
        <v>0</v>
      </c>
      <c r="AI40" s="452">
        <f>'HR Track 4 HER-TSA'!AI321</f>
        <v>0</v>
      </c>
      <c r="AJ40" s="452">
        <f>'HR Track 4 HER-TSA'!AJ321</f>
        <v>0</v>
      </c>
      <c r="AK40" s="452">
        <f>'HR Track 4 HER-TSA'!AK321</f>
        <v>0</v>
      </c>
      <c r="AL40" s="452">
        <f>'HR Track 4 HER-TSA'!AL321</f>
        <v>0</v>
      </c>
      <c r="AM40" s="452">
        <f>'HR Track 4 HER-TSA'!AM321</f>
        <v>0</v>
      </c>
      <c r="AN40" s="500">
        <f>'HR Track 4 HER-TSA'!AN321</f>
        <v>0</v>
      </c>
      <c r="AO40" s="452">
        <f>'HR Track 4 HER-TSA'!AO321</f>
        <v>0</v>
      </c>
      <c r="AP40" s="452">
        <f>'HR Track 4 HER-TSA'!AP321</f>
        <v>0</v>
      </c>
      <c r="AQ40" s="452">
        <f>'HR Track 4 HER-TSA'!AQ321</f>
        <v>-0.30000000000001781</v>
      </c>
      <c r="AR40" s="452">
        <f>'HR Track 4 HER-TSA'!AR321</f>
        <v>0</v>
      </c>
      <c r="AS40" s="452">
        <f>'HR Track 4 HER-TSA'!AS321</f>
        <v>0</v>
      </c>
      <c r="AT40" s="452">
        <f>'HR Track 4 HER-TSA'!AT321</f>
        <v>0</v>
      </c>
      <c r="AU40" s="452">
        <f>'HR Track 4 HER-TSA'!AU321</f>
        <v>0</v>
      </c>
      <c r="AV40" s="452">
        <f>'HR Track 4 HER-TSA'!AV321</f>
        <v>0</v>
      </c>
      <c r="AW40" s="452" t="str">
        <f>'HR Track 4 HER-TSA'!AW321</f>
        <v>Soil B</v>
      </c>
      <c r="AX40" s="452" t="str">
        <f>'HR Track 4 HER-TSA'!AX321</f>
        <v>PT</v>
      </c>
      <c r="AY40" s="500">
        <f>'HR Track 4 HER-TSA'!AY321</f>
        <v>0</v>
      </c>
      <c r="AZ40" s="500">
        <f>'HR Track 4 HER-TSA'!AZ321</f>
        <v>3.9</v>
      </c>
      <c r="BA40" s="1333" t="str">
        <f>'HR Track 4 HER-TSA'!BA321</f>
        <v>ü</v>
      </c>
      <c r="BB40" s="452">
        <f>'HR Track 4 HER-TSA'!BB321</f>
        <v>0</v>
      </c>
      <c r="BC40" s="1334">
        <f>'HR Track 4 HER-TSA'!BC321</f>
        <v>0</v>
      </c>
      <c r="BD40" s="1335">
        <f>'HR Track 4 HER-TSA'!BD321</f>
        <v>43741</v>
      </c>
      <c r="BE40" s="1335">
        <f>'HR Track 4 HER-TSA'!BE321</f>
        <v>0</v>
      </c>
      <c r="BF40" s="1335">
        <f>'HR Track 4 HER-TSA'!BF321</f>
        <v>0</v>
      </c>
      <c r="BG40" s="1335">
        <f>'HR Track 4 HER-TSA'!BG321</f>
        <v>0</v>
      </c>
    </row>
    <row r="41" spans="1:59" ht="15.75" customHeight="1">
      <c r="A41" s="501">
        <f>'HR Track 4 HER-TSA'!A322</f>
        <v>0</v>
      </c>
      <c r="B41" s="716" t="str">
        <f>'HR Track 4 HER-TSA'!B322</f>
        <v>92-4.09</v>
      </c>
      <c r="C41" s="451">
        <f>'HR Track 4 HER-TSA'!C322</f>
        <v>92291.599999999962</v>
      </c>
      <c r="D41" s="453">
        <f>'HR Track 4 HER-TSA'!D322</f>
        <v>0</v>
      </c>
      <c r="E41" s="452">
        <f>'HR Track 4 HER-TSA'!E322</f>
        <v>0</v>
      </c>
      <c r="F41" s="453">
        <f>'HR Track 4 HER-TSA'!F322</f>
        <v>0</v>
      </c>
      <c r="G41" s="500">
        <f>'HR Track 4 HER-TSA'!G322</f>
        <v>0</v>
      </c>
      <c r="H41" s="453" t="str">
        <f>'HR Track 4 HER-TSA'!H322</f>
        <v>P65(CS) A/S</v>
      </c>
      <c r="I41" s="501" t="str">
        <f>'HR Track 4 HER-TSA'!I322</f>
        <v>FP+AnMC</v>
      </c>
      <c r="J41" s="583">
        <f>'HR Track 4 HER-TSA'!J322</f>
        <v>92299.099999999962</v>
      </c>
      <c r="K41" s="452" t="str">
        <f>'HR Track 4 HER-TSA'!K322</f>
        <v>AnMC-R</v>
      </c>
      <c r="L41" s="452" t="str">
        <f>'HR Track 4 HER-TSA'!L322</f>
        <v>HEB-320L</v>
      </c>
      <c r="M41" s="452" t="str">
        <f>'HR Track 4 HER-TSA'!M322</f>
        <v>C7R</v>
      </c>
      <c r="N41" s="501" t="str">
        <f>'HR Track 4 HER-TSA'!N322</f>
        <v>EMT-1</v>
      </c>
      <c r="O41" s="501" t="str">
        <f>'HR Track 4 HER-TSA'!O322</f>
        <v>EMT-2</v>
      </c>
      <c r="P41" s="501">
        <f>'HR Track 4 HER-TSA'!P322</f>
        <v>0</v>
      </c>
      <c r="Q41" s="452">
        <f>'HR Track 4 HER-TSA'!Q322</f>
        <v>10</v>
      </c>
      <c r="R41" s="452">
        <f>'HR Track 4 HER-TSA'!R322</f>
        <v>0</v>
      </c>
      <c r="S41" s="500">
        <f>'HR Track 4 HER-TSA'!S322</f>
        <v>0</v>
      </c>
      <c r="T41" s="452">
        <f>'HR Track 4 HER-TSA'!T322</f>
        <v>20</v>
      </c>
      <c r="U41" s="452">
        <f>'HR Track 4 HER-TSA'!U322</f>
        <v>35</v>
      </c>
      <c r="V41" s="452">
        <f>'HR Track 4 HER-TSA'!V322</f>
        <v>0</v>
      </c>
      <c r="W41" s="452">
        <f>'HR Track 4 HER-TSA'!W322</f>
        <v>2.2999999999999998</v>
      </c>
      <c r="X41" s="452">
        <f>'HR Track 4 HER-TSA'!X322</f>
        <v>1.4</v>
      </c>
      <c r="Y41" s="452">
        <f>'HR Track 4 HER-TSA'!Y322</f>
        <v>0</v>
      </c>
      <c r="Z41" s="452">
        <f>'HR Track 4 HER-TSA'!Z322</f>
        <v>0</v>
      </c>
      <c r="AA41" s="452">
        <f>'HR Track 4 HER-TSA'!AA322</f>
        <v>0</v>
      </c>
      <c r="AB41" s="452">
        <f>'HR Track 4 HER-TSA'!AB322</f>
        <v>0</v>
      </c>
      <c r="AC41" s="452" t="str">
        <f>'HR Track 4 HER-TSA'!AC322</f>
        <v>BTC-1651</v>
      </c>
      <c r="AD41" s="452" t="str">
        <f>'HR Track 4 HER-TSA'!AD322</f>
        <v>PHQ-1450</v>
      </c>
      <c r="AE41" s="452">
        <f>'HR Track 4 HER-TSA'!AE322</f>
        <v>0</v>
      </c>
      <c r="AF41" s="452">
        <f>'HR Track 4 HER-TSA'!AF322</f>
        <v>5500</v>
      </c>
      <c r="AG41" s="451">
        <f>'HR Track 4 HER-TSA'!AG322</f>
        <v>92291.520000000004</v>
      </c>
      <c r="AH41" s="452">
        <f>'HR Track 4 HER-TSA'!AH322</f>
        <v>2973</v>
      </c>
      <c r="AI41" s="452">
        <f>'HR Track 4 HER-TSA'!AI322</f>
        <v>70</v>
      </c>
      <c r="AJ41" s="452">
        <f>'HR Track 4 HER-TSA'!AJ322</f>
        <v>0</v>
      </c>
      <c r="AK41" s="452">
        <f>'HR Track 4 HER-TSA'!AK322</f>
        <v>0</v>
      </c>
      <c r="AL41" s="452" t="str">
        <f>'HR Track 4 HER-TSA'!AL322</f>
        <v>PR1D</v>
      </c>
      <c r="AM41" s="452" t="str">
        <f>'HR Track 4 HER-TSA'!AM322</f>
        <v>RW1</v>
      </c>
      <c r="AN41" s="500">
        <f>'HR Track 4 HER-TSA'!AN322</f>
        <v>5.5</v>
      </c>
      <c r="AO41" s="452">
        <f>'HR Track 4 HER-TSA'!AO322</f>
        <v>0</v>
      </c>
      <c r="AP41" s="452">
        <f>'HR Track 4 HER-TSA'!AP322</f>
        <v>0</v>
      </c>
      <c r="AQ41" s="452">
        <f>'HR Track 4 HER-TSA'!AQ322</f>
        <v>0</v>
      </c>
      <c r="AR41" s="452">
        <f>'HR Track 4 HER-TSA'!AR322</f>
        <v>0</v>
      </c>
      <c r="AS41" s="452">
        <f>'HR Track 4 HER-TSA'!AS322</f>
        <v>0</v>
      </c>
      <c r="AT41" s="452">
        <f>'HR Track 4 HER-TSA'!AT322</f>
        <v>4.6927341824099891</v>
      </c>
      <c r="AU41" s="452">
        <f>'HR Track 4 HER-TSA'!AU322</f>
        <v>0</v>
      </c>
      <c r="AV41" s="452">
        <f>'HR Track 4 HER-TSA'!AV322</f>
        <v>0</v>
      </c>
      <c r="AW41" s="452" t="str">
        <f>'HR Track 4 HER-TSA'!AW322</f>
        <v>Soil B</v>
      </c>
      <c r="AX41" s="452" t="str">
        <f>'HR Track 4 HER-TSA'!AX322</f>
        <v>PT</v>
      </c>
      <c r="AY41" s="500">
        <f>'HR Track 4 HER-TSA'!AY322</f>
        <v>3.5</v>
      </c>
      <c r="AZ41" s="500">
        <f>'HR Track 4 HER-TSA'!AZ322</f>
        <v>3.9</v>
      </c>
      <c r="BA41" s="1333" t="str">
        <f>'HR Track 4 HER-TSA'!BA322</f>
        <v>ü</v>
      </c>
      <c r="BB41" s="452" t="str">
        <f>'HR Track 4 HER-TSA'!BB322</f>
        <v>App.8-V08F-P10.3</v>
      </c>
      <c r="BC41" s="1334">
        <f>'HR Track 4 HER-TSA'!BC322</f>
        <v>0</v>
      </c>
      <c r="BD41" s="1335">
        <f>'HR Track 4 HER-TSA'!BD322</f>
        <v>43740</v>
      </c>
      <c r="BE41" s="1335" t="str">
        <f>'HR Track 4 HER-TSA'!BE322</f>
        <v>Ejecutado</v>
      </c>
      <c r="BF41" s="1335">
        <f>'HR Track 4 HER-TSA'!BF322</f>
        <v>0</v>
      </c>
      <c r="BG41" s="1335">
        <f>'HR Track 4 HER-TSA'!BG322</f>
        <v>43808</v>
      </c>
    </row>
    <row r="42" spans="1:59" ht="15.75" customHeight="1">
      <c r="S42" s="454"/>
      <c r="AV42" s="178"/>
      <c r="AW42" s="178"/>
      <c r="AX42" s="178"/>
      <c r="AY42" s="454"/>
      <c r="AZ42" s="454"/>
      <c r="BA42" s="1306"/>
      <c r="BC42" s="169"/>
    </row>
    <row r="43" spans="1:59" ht="15.75" customHeight="1">
      <c r="S43" s="454"/>
      <c r="AV43" s="178"/>
      <c r="AW43" s="178"/>
      <c r="AX43" s="178"/>
      <c r="AY43" s="454"/>
      <c r="AZ43" s="454"/>
      <c r="BA43" s="1306"/>
      <c r="BC43" s="169"/>
    </row>
    <row r="44" spans="1:59" ht="15.75" customHeight="1">
      <c r="S44" s="454"/>
      <c r="AN44" s="454"/>
      <c r="AO44" s="178"/>
      <c r="AP44" s="178"/>
      <c r="AQ44" s="454"/>
      <c r="AR44" s="454"/>
      <c r="AS44" s="454"/>
      <c r="AT44" s="454"/>
      <c r="AU44" s="178"/>
      <c r="AV44" s="178"/>
      <c r="AW44" s="178"/>
      <c r="AX44" s="178"/>
      <c r="AY44" s="454"/>
      <c r="AZ44" s="454"/>
      <c r="BA44" s="1306"/>
      <c r="BC44" s="169"/>
    </row>
    <row r="45" spans="1:59" ht="15.75" customHeight="1">
      <c r="S45" s="454"/>
      <c r="AN45" s="454"/>
      <c r="AO45" s="178"/>
      <c r="AP45" s="178"/>
      <c r="AQ45" s="454"/>
      <c r="AR45" s="454"/>
      <c r="AS45" s="454"/>
      <c r="AT45" s="454"/>
      <c r="AU45" s="178"/>
      <c r="AV45" s="178"/>
      <c r="AW45" s="178"/>
      <c r="AX45" s="178"/>
      <c r="AY45" s="454"/>
      <c r="AZ45" s="454"/>
      <c r="BA45" s="1306"/>
      <c r="BC45" s="169"/>
    </row>
    <row r="46" spans="1:59" ht="15.75" customHeight="1">
      <c r="S46" s="454"/>
      <c r="AN46" s="454"/>
      <c r="AO46" s="178"/>
      <c r="AP46" s="178"/>
      <c r="AQ46" s="454"/>
      <c r="AR46" s="454"/>
      <c r="AS46" s="454"/>
      <c r="AT46" s="454"/>
      <c r="AU46" s="178"/>
      <c r="AV46" s="178"/>
      <c r="AW46" s="178"/>
      <c r="AX46" s="178"/>
      <c r="AY46" s="454"/>
      <c r="AZ46" s="454"/>
      <c r="BA46" s="1306"/>
      <c r="BC46" s="169"/>
    </row>
    <row r="47" spans="1:59" ht="15.75" customHeight="1">
      <c r="S47" s="454"/>
      <c r="AN47" s="454"/>
      <c r="AO47" s="178"/>
      <c r="AP47" s="178"/>
      <c r="AQ47" s="454"/>
      <c r="AR47" s="454"/>
      <c r="AS47" s="454"/>
      <c r="AT47" s="454"/>
      <c r="AU47" s="178"/>
      <c r="AY47" s="458"/>
      <c r="AZ47" s="458"/>
      <c r="BA47" s="1305"/>
      <c r="BC47" s="169"/>
    </row>
    <row r="48" spans="1:59" ht="15.75" customHeight="1">
      <c r="S48" s="454"/>
      <c r="AN48" s="454"/>
      <c r="AO48" s="178"/>
      <c r="AP48" s="178"/>
      <c r="AQ48" s="454"/>
      <c r="AR48" s="454"/>
      <c r="AS48" s="454"/>
      <c r="AT48" s="454"/>
      <c r="AU48" s="178"/>
      <c r="AY48" s="458"/>
      <c r="AZ48" s="458"/>
      <c r="BA48" s="1305"/>
      <c r="BC48" s="169"/>
    </row>
    <row r="49" spans="19:55" ht="15.75" customHeight="1">
      <c r="S49" s="454"/>
      <c r="AY49" s="458"/>
      <c r="AZ49" s="458"/>
      <c r="BA49" s="1305"/>
      <c r="BC49" s="169"/>
    </row>
    <row r="50" spans="19:55" ht="15.75" customHeight="1">
      <c r="S50" s="454"/>
      <c r="AY50" s="458"/>
      <c r="AZ50" s="458"/>
      <c r="BA50" s="1305"/>
      <c r="BC50" s="169"/>
    </row>
    <row r="51" spans="19:55" ht="15.75" customHeight="1">
      <c r="S51" s="454"/>
      <c r="AY51" s="458"/>
      <c r="AZ51" s="458"/>
      <c r="BA51" s="1305"/>
      <c r="BC51" s="169"/>
    </row>
    <row r="52" spans="19:55" ht="15.75" customHeight="1">
      <c r="S52" s="454"/>
      <c r="AY52" s="458"/>
      <c r="AZ52" s="458"/>
      <c r="BA52" s="1305"/>
      <c r="BC52" s="169"/>
    </row>
    <row r="53" spans="19:55" ht="15.75" customHeight="1">
      <c r="S53" s="454"/>
      <c r="AY53" s="458"/>
      <c r="AZ53" s="458"/>
      <c r="BA53" s="1305"/>
      <c r="BC53" s="169"/>
    </row>
    <row r="54" spans="19:55" ht="15.75" customHeight="1">
      <c r="S54" s="454"/>
      <c r="AY54" s="458"/>
      <c r="AZ54" s="458"/>
      <c r="BA54" s="1305"/>
      <c r="BC54" s="169"/>
    </row>
    <row r="55" spans="19:55" ht="15.75" customHeight="1">
      <c r="S55" s="454"/>
      <c r="AY55" s="458"/>
      <c r="AZ55" s="458"/>
      <c r="BA55" s="1305"/>
      <c r="BC55" s="169"/>
    </row>
    <row r="56" spans="19:55" ht="15.75" customHeight="1">
      <c r="S56" s="454"/>
      <c r="AY56" s="458"/>
      <c r="AZ56" s="458"/>
      <c r="BA56" s="1305"/>
      <c r="BC56" s="169"/>
    </row>
    <row r="57" spans="19:55" ht="15.75" customHeight="1">
      <c r="S57" s="454"/>
      <c r="AY57" s="458"/>
      <c r="AZ57" s="458"/>
      <c r="BA57" s="1305"/>
      <c r="BC57" s="169"/>
    </row>
    <row r="58" spans="19:55" ht="15.75" customHeight="1">
      <c r="S58" s="454"/>
      <c r="AY58" s="458"/>
      <c r="AZ58" s="458"/>
      <c r="BA58" s="1305"/>
      <c r="BC58" s="169"/>
    </row>
    <row r="59" spans="19:55" ht="15.75" customHeight="1">
      <c r="S59" s="454"/>
      <c r="AY59" s="458"/>
      <c r="AZ59" s="458"/>
      <c r="BA59" s="1305"/>
      <c r="BC59" s="169"/>
    </row>
    <row r="60" spans="19:55" ht="15.75" customHeight="1">
      <c r="S60" s="454"/>
      <c r="AY60" s="458"/>
      <c r="AZ60" s="458"/>
      <c r="BA60" s="1305"/>
      <c r="BC60" s="169"/>
    </row>
    <row r="61" spans="19:55" ht="15.75" customHeight="1">
      <c r="S61" s="454"/>
      <c r="AY61" s="458"/>
      <c r="AZ61" s="458"/>
      <c r="BA61" s="1305"/>
      <c r="BC61" s="169"/>
    </row>
    <row r="62" spans="19:55" ht="15.75" customHeight="1">
      <c r="S62" s="454"/>
      <c r="AY62" s="458"/>
      <c r="AZ62" s="458"/>
      <c r="BA62" s="1305"/>
      <c r="BC62" s="169"/>
    </row>
    <row r="63" spans="19:55" ht="15.75" customHeight="1">
      <c r="S63" s="454"/>
      <c r="AY63" s="458"/>
      <c r="AZ63" s="458"/>
      <c r="BA63" s="1305"/>
      <c r="BC63" s="169"/>
    </row>
    <row r="64" spans="19:55" ht="15.75" customHeight="1">
      <c r="S64" s="454"/>
      <c r="AY64" s="458"/>
      <c r="AZ64" s="458"/>
      <c r="BA64" s="1305"/>
      <c r="BC64" s="169"/>
    </row>
    <row r="65" spans="19:55" ht="15.75" customHeight="1">
      <c r="S65" s="454"/>
      <c r="AY65" s="458"/>
      <c r="AZ65" s="458"/>
      <c r="BA65" s="1305"/>
      <c r="BC65" s="169"/>
    </row>
    <row r="66" spans="19:55" ht="15.75" customHeight="1">
      <c r="S66" s="454"/>
      <c r="AY66" s="458"/>
      <c r="AZ66" s="458"/>
      <c r="BA66" s="1305"/>
      <c r="BC66" s="169"/>
    </row>
    <row r="67" spans="19:55" ht="15.75" customHeight="1">
      <c r="S67" s="454"/>
      <c r="AY67" s="458"/>
      <c r="AZ67" s="458"/>
      <c r="BA67" s="1305"/>
      <c r="BC67" s="169"/>
    </row>
    <row r="68" spans="19:55" ht="15.75" customHeight="1">
      <c r="S68" s="454"/>
      <c r="AY68" s="458"/>
      <c r="AZ68" s="458"/>
      <c r="BA68" s="1305"/>
      <c r="BC68" s="169"/>
    </row>
    <row r="69" spans="19:55" ht="15.75" customHeight="1">
      <c r="S69" s="454"/>
      <c r="AY69" s="458"/>
      <c r="AZ69" s="458"/>
      <c r="BA69" s="1305"/>
      <c r="BC69" s="169"/>
    </row>
    <row r="70" spans="19:55" ht="15.75" customHeight="1">
      <c r="S70" s="454"/>
      <c r="AY70" s="458"/>
      <c r="AZ70" s="458"/>
      <c r="BA70" s="1305"/>
      <c r="BC70" s="169"/>
    </row>
    <row r="71" spans="19:55" ht="15.75" customHeight="1">
      <c r="S71" s="454"/>
      <c r="AY71" s="458"/>
      <c r="AZ71" s="458"/>
      <c r="BA71" s="1305"/>
      <c r="BC71" s="169"/>
    </row>
    <row r="72" spans="19:55" ht="15.75" customHeight="1">
      <c r="S72" s="454"/>
      <c r="AY72" s="458"/>
      <c r="AZ72" s="458"/>
      <c r="BA72" s="1305"/>
      <c r="BC72" s="169"/>
    </row>
    <row r="73" spans="19:55" ht="15.75" customHeight="1">
      <c r="S73" s="454"/>
      <c r="AY73" s="458"/>
      <c r="AZ73" s="458"/>
      <c r="BA73" s="1305"/>
      <c r="BC73" s="169"/>
    </row>
    <row r="74" spans="19:55" ht="15.75" customHeight="1">
      <c r="S74" s="454"/>
      <c r="AY74" s="458"/>
      <c r="AZ74" s="458"/>
      <c r="BA74" s="1305"/>
      <c r="BC74" s="169"/>
    </row>
    <row r="75" spans="19:55" ht="15.75" customHeight="1">
      <c r="S75" s="454"/>
      <c r="AY75" s="458"/>
      <c r="AZ75" s="458"/>
      <c r="BA75" s="1305"/>
      <c r="BC75" s="169"/>
    </row>
    <row r="76" spans="19:55" ht="15.75" customHeight="1">
      <c r="S76" s="454"/>
      <c r="AY76" s="458"/>
      <c r="AZ76" s="458"/>
      <c r="BA76" s="1305"/>
      <c r="BC76" s="169"/>
    </row>
    <row r="77" spans="19:55" ht="15.75" customHeight="1">
      <c r="S77" s="454"/>
      <c r="AY77" s="458"/>
      <c r="AZ77" s="458"/>
      <c r="BA77" s="1305"/>
      <c r="BC77" s="169"/>
    </row>
    <row r="78" spans="19:55" ht="15.75" customHeight="1">
      <c r="S78" s="454"/>
      <c r="AY78" s="458"/>
      <c r="AZ78" s="458"/>
      <c r="BA78" s="1305"/>
      <c r="BC78" s="169"/>
    </row>
    <row r="79" spans="19:55" ht="15.75" customHeight="1">
      <c r="S79" s="454"/>
      <c r="AY79" s="458"/>
      <c r="AZ79" s="458"/>
      <c r="BA79" s="1305"/>
      <c r="BC79" s="169"/>
    </row>
    <row r="80" spans="19:55" ht="15.75" customHeight="1">
      <c r="S80" s="454"/>
      <c r="AY80" s="458"/>
      <c r="AZ80" s="458"/>
      <c r="BA80" s="1305"/>
      <c r="BC80" s="169"/>
    </row>
    <row r="81" spans="19:55" ht="15.75" customHeight="1">
      <c r="S81" s="454"/>
      <c r="AY81" s="458"/>
      <c r="AZ81" s="458"/>
      <c r="BA81" s="1305"/>
      <c r="BC81" s="169"/>
    </row>
    <row r="82" spans="19:55" ht="15.75" customHeight="1">
      <c r="S82" s="454"/>
      <c r="AY82" s="458"/>
      <c r="AZ82" s="458"/>
      <c r="BA82" s="1305"/>
      <c r="BC82" s="169"/>
    </row>
    <row r="83" spans="19:55" ht="15.75" customHeight="1">
      <c r="S83" s="454"/>
      <c r="AY83" s="458"/>
      <c r="AZ83" s="458"/>
      <c r="BA83" s="1305"/>
      <c r="BC83" s="169"/>
    </row>
    <row r="84" spans="19:55" ht="15.75" customHeight="1">
      <c r="S84" s="454"/>
      <c r="AY84" s="458"/>
      <c r="AZ84" s="458"/>
      <c r="BA84" s="1305"/>
      <c r="BC84" s="169"/>
    </row>
    <row r="85" spans="19:55" ht="15.75" customHeight="1">
      <c r="S85" s="454"/>
      <c r="AY85" s="458"/>
      <c r="AZ85" s="458"/>
      <c r="BA85" s="1305"/>
      <c r="BC85" s="169"/>
    </row>
    <row r="86" spans="19:55" ht="15.75" customHeight="1">
      <c r="S86" s="454"/>
      <c r="AY86" s="458"/>
      <c r="AZ86" s="458"/>
      <c r="BA86" s="1305"/>
      <c r="BC86" s="169"/>
    </row>
    <row r="87" spans="19:55" ht="15.75" customHeight="1">
      <c r="S87" s="454"/>
      <c r="AY87" s="458"/>
      <c r="AZ87" s="458"/>
      <c r="BA87" s="1305"/>
      <c r="BC87" s="169"/>
    </row>
    <row r="88" spans="19:55" ht="15.75" customHeight="1">
      <c r="S88" s="454"/>
      <c r="AY88" s="458"/>
      <c r="AZ88" s="458"/>
      <c r="BA88" s="1305"/>
      <c r="BC88" s="169"/>
    </row>
    <row r="89" spans="19:55" ht="15.75" customHeight="1">
      <c r="S89" s="454"/>
      <c r="AY89" s="458"/>
      <c r="AZ89" s="458"/>
      <c r="BA89" s="1305"/>
      <c r="BC89" s="169"/>
    </row>
    <row r="90" spans="19:55" ht="15.75" customHeight="1">
      <c r="S90" s="454"/>
      <c r="AY90" s="458"/>
      <c r="AZ90" s="458"/>
      <c r="BA90" s="1305"/>
      <c r="BC90" s="169"/>
    </row>
    <row r="91" spans="19:55" ht="15.75" customHeight="1">
      <c r="S91" s="454"/>
      <c r="AY91" s="458"/>
      <c r="AZ91" s="458"/>
      <c r="BA91" s="1305"/>
      <c r="BC91" s="169"/>
    </row>
    <row r="92" spans="19:55" ht="15.75" customHeight="1">
      <c r="S92" s="454"/>
      <c r="AY92" s="458"/>
      <c r="AZ92" s="458"/>
      <c r="BA92" s="1305"/>
      <c r="BC92" s="169"/>
    </row>
    <row r="93" spans="19:55" ht="15.75" customHeight="1">
      <c r="S93" s="454"/>
      <c r="AY93" s="458"/>
      <c r="AZ93" s="458"/>
      <c r="BA93" s="1305"/>
      <c r="BC93" s="169"/>
    </row>
    <row r="94" spans="19:55" ht="15.75" customHeight="1">
      <c r="S94" s="454"/>
      <c r="AY94" s="458"/>
      <c r="AZ94" s="458"/>
      <c r="BA94" s="1305"/>
      <c r="BC94" s="169"/>
    </row>
    <row r="95" spans="19:55" ht="15.75" customHeight="1">
      <c r="S95" s="454"/>
      <c r="AY95" s="458"/>
      <c r="AZ95" s="458"/>
      <c r="BA95" s="1305"/>
      <c r="BC95" s="169"/>
    </row>
    <row r="96" spans="19:55" ht="15.75" customHeight="1">
      <c r="S96" s="454"/>
      <c r="AY96" s="458"/>
      <c r="AZ96" s="458"/>
      <c r="BA96" s="1305"/>
      <c r="BC96" s="169"/>
    </row>
    <row r="97" spans="19:55" ht="15.75" customHeight="1">
      <c r="S97" s="454"/>
      <c r="AY97" s="458"/>
      <c r="AZ97" s="458"/>
      <c r="BA97" s="1305"/>
      <c r="BC97" s="169"/>
    </row>
    <row r="98" spans="19:55" ht="15.75" customHeight="1">
      <c r="S98" s="454"/>
      <c r="AY98" s="458"/>
      <c r="AZ98" s="458"/>
      <c r="BA98" s="1305"/>
      <c r="BC98" s="169"/>
    </row>
    <row r="99" spans="19:55" ht="15.75" customHeight="1">
      <c r="S99" s="454"/>
      <c r="AY99" s="458"/>
      <c r="AZ99" s="458"/>
      <c r="BA99" s="1305"/>
      <c r="BC99" s="169"/>
    </row>
    <row r="100" spans="19:55" ht="15.75" customHeight="1">
      <c r="S100" s="454"/>
      <c r="AY100" s="458"/>
      <c r="AZ100" s="458"/>
      <c r="BA100" s="1305"/>
      <c r="BC100" s="169"/>
    </row>
    <row r="101" spans="19:55" ht="15.75" customHeight="1">
      <c r="S101" s="454"/>
      <c r="AY101" s="458"/>
      <c r="AZ101" s="458"/>
      <c r="BA101" s="1305"/>
      <c r="BC101" s="169"/>
    </row>
    <row r="102" spans="19:55" ht="15.75" customHeight="1">
      <c r="S102" s="454"/>
      <c r="AY102" s="458"/>
      <c r="AZ102" s="458"/>
      <c r="BA102" s="1305"/>
      <c r="BC102" s="169"/>
    </row>
    <row r="103" spans="19:55" ht="15.75" customHeight="1">
      <c r="S103" s="454"/>
      <c r="AY103" s="458"/>
      <c r="AZ103" s="458"/>
      <c r="BA103" s="1305"/>
      <c r="BC103" s="169"/>
    </row>
    <row r="104" spans="19:55" ht="15.75" customHeight="1">
      <c r="S104" s="454"/>
      <c r="AY104" s="458"/>
      <c r="AZ104" s="458"/>
      <c r="BA104" s="1305"/>
      <c r="BC104" s="169"/>
    </row>
    <row r="105" spans="19:55" ht="15.75" customHeight="1">
      <c r="S105" s="454"/>
      <c r="AY105" s="458"/>
      <c r="AZ105" s="458"/>
      <c r="BA105" s="1305"/>
      <c r="BC105" s="169"/>
    </row>
    <row r="106" spans="19:55" ht="15.75" customHeight="1">
      <c r="S106" s="454"/>
      <c r="AY106" s="458"/>
      <c r="AZ106" s="458"/>
      <c r="BA106" s="1305"/>
      <c r="BC106" s="169"/>
    </row>
    <row r="107" spans="19:55" ht="15.75" customHeight="1">
      <c r="S107" s="454"/>
      <c r="AY107" s="458"/>
      <c r="AZ107" s="458"/>
      <c r="BA107" s="1305"/>
      <c r="BC107" s="169"/>
    </row>
    <row r="108" spans="19:55" ht="15.75" customHeight="1">
      <c r="S108" s="454"/>
      <c r="AY108" s="458"/>
      <c r="AZ108" s="458"/>
      <c r="BA108" s="1305"/>
      <c r="BC108" s="169"/>
    </row>
    <row r="109" spans="19:55" ht="15.75" customHeight="1">
      <c r="S109" s="454"/>
      <c r="AY109" s="458"/>
      <c r="AZ109" s="458"/>
      <c r="BA109" s="1305"/>
      <c r="BC109" s="169"/>
    </row>
    <row r="110" spans="19:55" ht="15.75" customHeight="1">
      <c r="S110" s="454"/>
      <c r="AY110" s="458"/>
      <c r="AZ110" s="458"/>
      <c r="BA110" s="1305"/>
      <c r="BC110" s="169"/>
    </row>
    <row r="111" spans="19:55" ht="15.75" customHeight="1">
      <c r="S111" s="454"/>
      <c r="AY111" s="458"/>
      <c r="AZ111" s="458"/>
      <c r="BA111" s="1305"/>
      <c r="BC111" s="169"/>
    </row>
    <row r="112" spans="19:55" ht="15.75" customHeight="1">
      <c r="S112" s="454"/>
      <c r="AY112" s="458"/>
      <c r="AZ112" s="458"/>
      <c r="BA112" s="1305"/>
      <c r="BC112" s="169"/>
    </row>
    <row r="113" spans="19:55" ht="15.75" customHeight="1">
      <c r="S113" s="454"/>
      <c r="AY113" s="458"/>
      <c r="AZ113" s="458"/>
      <c r="BA113" s="1305"/>
      <c r="BC113" s="169"/>
    </row>
    <row r="114" spans="19:55" ht="15.75" customHeight="1">
      <c r="S114" s="454"/>
      <c r="AY114" s="458"/>
      <c r="AZ114" s="458"/>
      <c r="BA114" s="1305"/>
      <c r="BC114" s="169"/>
    </row>
    <row r="115" spans="19:55" ht="15.75" customHeight="1">
      <c r="S115" s="454"/>
      <c r="AY115" s="458"/>
      <c r="AZ115" s="458"/>
      <c r="BA115" s="1305"/>
      <c r="BC115" s="169"/>
    </row>
    <row r="116" spans="19:55" ht="15.75" customHeight="1">
      <c r="S116" s="454"/>
      <c r="AY116" s="458"/>
      <c r="AZ116" s="458"/>
      <c r="BA116" s="1305"/>
      <c r="BC116" s="169"/>
    </row>
    <row r="117" spans="19:55" ht="15.75" customHeight="1">
      <c r="S117" s="454"/>
      <c r="AY117" s="458"/>
      <c r="AZ117" s="458"/>
      <c r="BA117" s="1305"/>
      <c r="BC117" s="169"/>
    </row>
    <row r="118" spans="19:55" ht="15.75" customHeight="1">
      <c r="S118" s="454"/>
      <c r="AY118" s="458"/>
      <c r="AZ118" s="458"/>
      <c r="BA118" s="1305"/>
      <c r="BC118" s="169"/>
    </row>
    <row r="119" spans="19:55" ht="15.75" customHeight="1">
      <c r="S119" s="454"/>
      <c r="AY119" s="458"/>
      <c r="AZ119" s="458"/>
      <c r="BA119" s="1305"/>
      <c r="BC119" s="169"/>
    </row>
    <row r="120" spans="19:55" ht="15.75" customHeight="1">
      <c r="S120" s="454"/>
      <c r="AY120" s="458"/>
      <c r="AZ120" s="458"/>
      <c r="BA120" s="1305"/>
      <c r="BC120" s="169"/>
    </row>
    <row r="121" spans="19:55" ht="15.75" customHeight="1">
      <c r="S121" s="454"/>
      <c r="AY121" s="458"/>
      <c r="AZ121" s="458"/>
      <c r="BA121" s="1305"/>
      <c r="BC121" s="169"/>
    </row>
    <row r="122" spans="19:55" ht="15.75" customHeight="1">
      <c r="S122" s="454"/>
      <c r="AY122" s="458"/>
      <c r="AZ122" s="458"/>
      <c r="BA122" s="1305"/>
      <c r="BC122" s="169"/>
    </row>
    <row r="123" spans="19:55" ht="15.75" customHeight="1">
      <c r="S123" s="454"/>
      <c r="AY123" s="458"/>
      <c r="AZ123" s="458"/>
      <c r="BA123" s="1305"/>
      <c r="BC123" s="169"/>
    </row>
    <row r="124" spans="19:55" ht="15.75" customHeight="1">
      <c r="S124" s="454"/>
      <c r="AY124" s="458"/>
      <c r="AZ124" s="458"/>
      <c r="BA124" s="1305"/>
      <c r="BC124" s="169"/>
    </row>
    <row r="125" spans="19:55" ht="15.75" customHeight="1">
      <c r="S125" s="454"/>
      <c r="AY125" s="458"/>
      <c r="AZ125" s="458"/>
      <c r="BA125" s="1305"/>
      <c r="BC125" s="169"/>
    </row>
    <row r="126" spans="19:55" ht="15.75" customHeight="1">
      <c r="S126" s="454"/>
      <c r="AY126" s="458"/>
      <c r="AZ126" s="458"/>
      <c r="BA126" s="1305"/>
      <c r="BC126" s="169"/>
    </row>
    <row r="127" spans="19:55" ht="15.75" customHeight="1">
      <c r="S127" s="454"/>
      <c r="AY127" s="458"/>
      <c r="AZ127" s="458"/>
      <c r="BA127" s="1305"/>
      <c r="BC127" s="169"/>
    </row>
    <row r="128" spans="19:55" ht="15.75" customHeight="1">
      <c r="S128" s="454"/>
      <c r="AY128" s="458"/>
      <c r="AZ128" s="458"/>
      <c r="BA128" s="1305"/>
      <c r="BC128" s="169"/>
    </row>
    <row r="129" spans="19:55" ht="15.75" customHeight="1">
      <c r="S129" s="454"/>
      <c r="AY129" s="458"/>
      <c r="AZ129" s="458"/>
      <c r="BA129" s="1305"/>
      <c r="BC129" s="169"/>
    </row>
    <row r="130" spans="19:55" ht="15.75" customHeight="1">
      <c r="S130" s="454"/>
      <c r="AY130" s="458"/>
      <c r="AZ130" s="458"/>
      <c r="BA130" s="1305"/>
      <c r="BC130" s="169"/>
    </row>
    <row r="131" spans="19:55" ht="15.75" customHeight="1">
      <c r="S131" s="454"/>
      <c r="AY131" s="458"/>
      <c r="AZ131" s="458"/>
      <c r="BA131" s="1305"/>
      <c r="BC131" s="169"/>
    </row>
    <row r="132" spans="19:55" ht="15.75" customHeight="1">
      <c r="S132" s="454"/>
      <c r="AY132" s="458"/>
      <c r="AZ132" s="458"/>
      <c r="BA132" s="1305"/>
      <c r="BC132" s="169"/>
    </row>
    <row r="133" spans="19:55" ht="15.75" customHeight="1">
      <c r="S133" s="454"/>
      <c r="AY133" s="458"/>
      <c r="AZ133" s="458"/>
      <c r="BA133" s="1305"/>
      <c r="BC133" s="169"/>
    </row>
    <row r="134" spans="19:55" ht="15.75" customHeight="1">
      <c r="S134" s="454"/>
      <c r="AY134" s="458"/>
      <c r="AZ134" s="458"/>
      <c r="BA134" s="1305"/>
      <c r="BC134" s="169"/>
    </row>
    <row r="135" spans="19:55" ht="15.75" customHeight="1">
      <c r="S135" s="454"/>
      <c r="AY135" s="458"/>
      <c r="AZ135" s="458"/>
      <c r="BA135" s="1305"/>
      <c r="BC135" s="169"/>
    </row>
    <row r="136" spans="19:55" ht="15.75" customHeight="1">
      <c r="S136" s="454"/>
      <c r="AY136" s="458"/>
      <c r="AZ136" s="458"/>
      <c r="BA136" s="1305"/>
      <c r="BC136" s="169"/>
    </row>
    <row r="137" spans="19:55" ht="15.75" customHeight="1">
      <c r="S137" s="454"/>
      <c r="AY137" s="458"/>
      <c r="AZ137" s="458"/>
      <c r="BA137" s="1305"/>
      <c r="BC137" s="169"/>
    </row>
    <row r="138" spans="19:55" ht="15.75" customHeight="1">
      <c r="S138" s="454"/>
      <c r="AY138" s="458"/>
      <c r="AZ138" s="458"/>
      <c r="BA138" s="1305"/>
      <c r="BC138" s="169"/>
    </row>
    <row r="139" spans="19:55" ht="15.75" customHeight="1">
      <c r="S139" s="454"/>
      <c r="AY139" s="458"/>
      <c r="AZ139" s="458"/>
      <c r="BA139" s="1305"/>
      <c r="BC139" s="169"/>
    </row>
    <row r="140" spans="19:55" ht="15.75" customHeight="1">
      <c r="S140" s="454"/>
      <c r="AY140" s="458"/>
      <c r="AZ140" s="458"/>
      <c r="BA140" s="1305"/>
      <c r="BC140" s="169"/>
    </row>
    <row r="141" spans="19:55" ht="15.75" customHeight="1">
      <c r="S141" s="454"/>
      <c r="AY141" s="458"/>
      <c r="AZ141" s="458"/>
      <c r="BA141" s="1305"/>
      <c r="BC141" s="169"/>
    </row>
    <row r="142" spans="19:55" ht="15.75" customHeight="1">
      <c r="S142" s="454"/>
      <c r="AY142" s="458"/>
      <c r="AZ142" s="458"/>
      <c r="BA142" s="1305"/>
      <c r="BC142" s="169"/>
    </row>
    <row r="143" spans="19:55" ht="15.75" customHeight="1">
      <c r="S143" s="454"/>
      <c r="AY143" s="458"/>
      <c r="AZ143" s="458"/>
      <c r="BA143" s="1305"/>
      <c r="BC143" s="169"/>
    </row>
    <row r="144" spans="19:55" ht="15.75" customHeight="1">
      <c r="S144" s="454"/>
      <c r="AY144" s="458"/>
      <c r="AZ144" s="458"/>
      <c r="BA144" s="1305"/>
      <c r="BC144" s="169"/>
    </row>
    <row r="145" spans="19:55" ht="15.75" customHeight="1">
      <c r="S145" s="454"/>
      <c r="AY145" s="458"/>
      <c r="AZ145" s="458"/>
      <c r="BA145" s="1305"/>
      <c r="BC145" s="169"/>
    </row>
    <row r="146" spans="19:55" ht="15.75" customHeight="1">
      <c r="S146" s="454"/>
      <c r="AY146" s="458"/>
      <c r="AZ146" s="458"/>
      <c r="BA146" s="1305"/>
      <c r="BC146" s="169"/>
    </row>
    <row r="147" spans="19:55" ht="15.75" customHeight="1">
      <c r="S147" s="454"/>
      <c r="AY147" s="458"/>
      <c r="AZ147" s="458"/>
      <c r="BA147" s="1305"/>
      <c r="BC147" s="169"/>
    </row>
    <row r="148" spans="19:55" ht="15.75" customHeight="1">
      <c r="S148" s="454"/>
      <c r="AY148" s="458"/>
      <c r="AZ148" s="458"/>
      <c r="BA148" s="1305"/>
      <c r="BC148" s="169"/>
    </row>
    <row r="149" spans="19:55" ht="15.75" customHeight="1">
      <c r="S149" s="454"/>
      <c r="AY149" s="458"/>
      <c r="AZ149" s="458"/>
      <c r="BA149" s="1305"/>
      <c r="BC149" s="169"/>
    </row>
    <row r="150" spans="19:55" ht="15.75" customHeight="1">
      <c r="S150" s="454"/>
      <c r="AY150" s="458"/>
      <c r="AZ150" s="458"/>
      <c r="BA150" s="1305"/>
      <c r="BC150" s="169"/>
    </row>
    <row r="151" spans="19:55" ht="15.75" customHeight="1">
      <c r="S151" s="454"/>
      <c r="AY151" s="458"/>
      <c r="AZ151" s="458"/>
      <c r="BA151" s="1305"/>
      <c r="BC151" s="169"/>
    </row>
    <row r="152" spans="19:55" ht="15.75" customHeight="1">
      <c r="S152" s="454"/>
      <c r="AY152" s="458"/>
      <c r="AZ152" s="458"/>
      <c r="BA152" s="1305"/>
      <c r="BC152" s="169"/>
    </row>
    <row r="153" spans="19:55" ht="15.75" customHeight="1">
      <c r="S153" s="454"/>
      <c r="AY153" s="458"/>
      <c r="AZ153" s="458"/>
      <c r="BA153" s="1305"/>
      <c r="BC153" s="169"/>
    </row>
    <row r="154" spans="19:55" ht="15.75" customHeight="1">
      <c r="S154" s="454"/>
      <c r="AY154" s="458"/>
      <c r="AZ154" s="458"/>
      <c r="BA154" s="1305"/>
      <c r="BC154" s="169"/>
    </row>
    <row r="155" spans="19:55" ht="15.75" customHeight="1">
      <c r="S155" s="454"/>
      <c r="AY155" s="458"/>
      <c r="AZ155" s="458"/>
      <c r="BA155" s="1305"/>
      <c r="BC155" s="169"/>
    </row>
    <row r="156" spans="19:55" ht="15.75" customHeight="1">
      <c r="S156" s="454"/>
      <c r="AY156" s="458"/>
      <c r="AZ156" s="458"/>
      <c r="BA156" s="1305"/>
      <c r="BC156" s="169"/>
    </row>
    <row r="157" spans="19:55" ht="15.75" customHeight="1">
      <c r="S157" s="454"/>
      <c r="AY157" s="458"/>
      <c r="AZ157" s="458"/>
      <c r="BA157" s="1305"/>
      <c r="BC157" s="169"/>
    </row>
    <row r="158" spans="19:55" ht="15.75" customHeight="1">
      <c r="S158" s="454"/>
      <c r="AY158" s="458"/>
      <c r="AZ158" s="458"/>
      <c r="BA158" s="1305"/>
      <c r="BC158" s="169"/>
    </row>
    <row r="159" spans="19:55" ht="15.75" customHeight="1">
      <c r="S159" s="454"/>
      <c r="AY159" s="458"/>
      <c r="AZ159" s="458"/>
      <c r="BA159" s="1305"/>
      <c r="BC159" s="169"/>
    </row>
    <row r="160" spans="19:55" ht="15.75" customHeight="1">
      <c r="S160" s="454"/>
      <c r="AY160" s="458"/>
      <c r="AZ160" s="458"/>
      <c r="BA160" s="1305"/>
      <c r="BC160" s="169"/>
    </row>
    <row r="161" spans="19:55" ht="15.75" customHeight="1">
      <c r="S161" s="454"/>
      <c r="AY161" s="458"/>
      <c r="AZ161" s="458"/>
      <c r="BA161" s="1305"/>
      <c r="BC161" s="169"/>
    </row>
    <row r="162" spans="19:55" ht="15.75" customHeight="1">
      <c r="S162" s="454"/>
      <c r="AY162" s="458"/>
      <c r="AZ162" s="458"/>
      <c r="BA162" s="1305"/>
      <c r="BC162" s="169"/>
    </row>
    <row r="163" spans="19:55" ht="15.75" customHeight="1">
      <c r="S163" s="454"/>
      <c r="AY163" s="458"/>
      <c r="AZ163" s="458"/>
      <c r="BA163" s="1305"/>
      <c r="BC163" s="169"/>
    </row>
    <row r="164" spans="19:55" ht="15.75" customHeight="1">
      <c r="S164" s="454"/>
      <c r="AY164" s="458"/>
      <c r="AZ164" s="458"/>
      <c r="BA164" s="1305"/>
      <c r="BC164" s="169"/>
    </row>
    <row r="165" spans="19:55" ht="15.75" customHeight="1">
      <c r="S165" s="454"/>
      <c r="AY165" s="458"/>
      <c r="AZ165" s="458"/>
      <c r="BA165" s="1305"/>
      <c r="BC165" s="169"/>
    </row>
    <row r="166" spans="19:55" ht="15.75" customHeight="1">
      <c r="S166" s="454"/>
      <c r="AY166" s="458"/>
      <c r="AZ166" s="458"/>
      <c r="BA166" s="1305"/>
      <c r="BC166" s="169"/>
    </row>
    <row r="167" spans="19:55" ht="15.75" customHeight="1">
      <c r="S167" s="454"/>
      <c r="AY167" s="458"/>
      <c r="AZ167" s="458"/>
      <c r="BA167" s="1305"/>
      <c r="BC167" s="169"/>
    </row>
    <row r="168" spans="19:55" ht="15.75" customHeight="1">
      <c r="S168" s="454"/>
      <c r="AY168" s="458"/>
      <c r="AZ168" s="458"/>
      <c r="BA168" s="1305"/>
      <c r="BC168" s="169"/>
    </row>
    <row r="169" spans="19:55" ht="15.75" customHeight="1">
      <c r="S169" s="454"/>
      <c r="AY169" s="458"/>
      <c r="AZ169" s="458"/>
      <c r="BA169" s="1305"/>
      <c r="BC169" s="169"/>
    </row>
    <row r="170" spans="19:55" ht="15.75" customHeight="1">
      <c r="S170" s="454"/>
      <c r="AY170" s="458"/>
      <c r="AZ170" s="458"/>
      <c r="BA170" s="1305"/>
      <c r="BC170" s="169"/>
    </row>
    <row r="171" spans="19:55" ht="15.75" customHeight="1">
      <c r="S171" s="454"/>
      <c r="AY171" s="458"/>
      <c r="AZ171" s="458"/>
      <c r="BA171" s="1305"/>
      <c r="BC171" s="169"/>
    </row>
    <row r="172" spans="19:55" ht="15.75" customHeight="1">
      <c r="S172" s="454"/>
      <c r="AY172" s="458"/>
      <c r="AZ172" s="458"/>
      <c r="BA172" s="1305"/>
      <c r="BC172" s="169"/>
    </row>
    <row r="173" spans="19:55" ht="15.75" customHeight="1">
      <c r="S173" s="454"/>
      <c r="AY173" s="458"/>
      <c r="AZ173" s="458"/>
      <c r="BA173" s="1305"/>
      <c r="BC173" s="169"/>
    </row>
    <row r="174" spans="19:55" ht="15.75" customHeight="1">
      <c r="S174" s="454"/>
      <c r="AY174" s="458"/>
      <c r="AZ174" s="458"/>
      <c r="BA174" s="1305"/>
      <c r="BC174" s="169"/>
    </row>
    <row r="175" spans="19:55" ht="15.75" customHeight="1">
      <c r="S175" s="454"/>
      <c r="AY175" s="458"/>
      <c r="AZ175" s="458"/>
      <c r="BA175" s="1305"/>
      <c r="BC175" s="169"/>
    </row>
    <row r="176" spans="19:55" ht="15.75" customHeight="1">
      <c r="S176" s="454"/>
      <c r="AY176" s="458"/>
      <c r="AZ176" s="458"/>
      <c r="BA176" s="1305"/>
      <c r="BC176" s="169"/>
    </row>
    <row r="177" spans="19:55" ht="15.75" customHeight="1">
      <c r="S177" s="454"/>
      <c r="AY177" s="458"/>
      <c r="AZ177" s="458"/>
      <c r="BA177" s="1305"/>
      <c r="BC177" s="169"/>
    </row>
    <row r="178" spans="19:55" ht="15.75" customHeight="1">
      <c r="S178" s="454"/>
      <c r="AY178" s="458"/>
      <c r="AZ178" s="458"/>
      <c r="BA178" s="1305"/>
      <c r="BC178" s="169"/>
    </row>
    <row r="179" spans="19:55" ht="15.75" customHeight="1">
      <c r="S179" s="454"/>
      <c r="AY179" s="458"/>
      <c r="AZ179" s="458"/>
      <c r="BA179" s="1305"/>
      <c r="BC179" s="169"/>
    </row>
    <row r="180" spans="19:55" ht="15.75" customHeight="1">
      <c r="S180" s="454"/>
      <c r="AY180" s="458"/>
      <c r="AZ180" s="458"/>
      <c r="BA180" s="1305"/>
      <c r="BC180" s="169"/>
    </row>
    <row r="181" spans="19:55" ht="15.75" customHeight="1">
      <c r="S181" s="454"/>
      <c r="AY181" s="458"/>
      <c r="AZ181" s="458"/>
      <c r="BA181" s="1305"/>
      <c r="BC181" s="169"/>
    </row>
    <row r="182" spans="19:55" ht="15.75" customHeight="1">
      <c r="S182" s="454"/>
      <c r="AY182" s="458"/>
      <c r="AZ182" s="458"/>
      <c r="BA182" s="1305"/>
      <c r="BC182" s="169"/>
    </row>
    <row r="183" spans="19:55" ht="15.75" customHeight="1">
      <c r="S183" s="454"/>
      <c r="AY183" s="458"/>
      <c r="AZ183" s="458"/>
      <c r="BA183" s="1305"/>
      <c r="BC183" s="169"/>
    </row>
    <row r="184" spans="19:55" ht="15.75" customHeight="1">
      <c r="S184" s="454"/>
      <c r="AY184" s="458"/>
      <c r="AZ184" s="458"/>
      <c r="BA184" s="1305"/>
      <c r="BC184" s="169"/>
    </row>
    <row r="185" spans="19:55" ht="15.75" customHeight="1">
      <c r="S185" s="454"/>
      <c r="AY185" s="458"/>
      <c r="AZ185" s="458"/>
      <c r="BA185" s="1305"/>
      <c r="BC185" s="169"/>
    </row>
    <row r="186" spans="19:55" ht="15.75" customHeight="1">
      <c r="S186" s="454"/>
      <c r="AY186" s="458"/>
      <c r="AZ186" s="458"/>
      <c r="BA186" s="1305"/>
      <c r="BC186" s="169"/>
    </row>
    <row r="187" spans="19:55" ht="15.75" customHeight="1">
      <c r="S187" s="454"/>
      <c r="AY187" s="458"/>
      <c r="AZ187" s="458"/>
      <c r="BA187" s="1305"/>
      <c r="BC187" s="169"/>
    </row>
    <row r="188" spans="19:55" ht="15.75" customHeight="1">
      <c r="S188" s="454"/>
      <c r="AY188" s="458"/>
      <c r="AZ188" s="458"/>
      <c r="BA188" s="1305"/>
      <c r="BC188" s="169"/>
    </row>
    <row r="189" spans="19:55" ht="15.75" customHeight="1">
      <c r="S189" s="454"/>
      <c r="AY189" s="458"/>
      <c r="AZ189" s="458"/>
      <c r="BA189" s="1305"/>
      <c r="BC189" s="169"/>
    </row>
    <row r="190" spans="19:55" ht="15.75" customHeight="1">
      <c r="S190" s="454"/>
      <c r="AY190" s="458"/>
      <c r="AZ190" s="458"/>
      <c r="BA190" s="1305"/>
      <c r="BC190" s="169"/>
    </row>
    <row r="191" spans="19:55" ht="15.75" customHeight="1">
      <c r="S191" s="454"/>
      <c r="AY191" s="458"/>
      <c r="AZ191" s="458"/>
      <c r="BA191" s="1305"/>
      <c r="BC191" s="169"/>
    </row>
    <row r="192" spans="19:55" ht="15.75" customHeight="1">
      <c r="S192" s="454"/>
      <c r="AY192" s="458"/>
      <c r="AZ192" s="458"/>
      <c r="BA192" s="1305"/>
      <c r="BC192" s="169"/>
    </row>
    <row r="193" spans="19:55" ht="15.75" customHeight="1">
      <c r="S193" s="454"/>
      <c r="AY193" s="458"/>
      <c r="AZ193" s="458"/>
      <c r="BA193" s="1305"/>
      <c r="BC193" s="169"/>
    </row>
    <row r="194" spans="19:55" ht="15.75" customHeight="1">
      <c r="S194" s="454"/>
      <c r="AY194" s="458"/>
      <c r="AZ194" s="458"/>
      <c r="BA194" s="1305"/>
      <c r="BC194" s="169"/>
    </row>
    <row r="195" spans="19:55" ht="15.75" customHeight="1">
      <c r="S195" s="454"/>
      <c r="AY195" s="458"/>
      <c r="AZ195" s="458"/>
      <c r="BA195" s="1305"/>
      <c r="BC195" s="169"/>
    </row>
    <row r="196" spans="19:55" ht="15.75" customHeight="1">
      <c r="S196" s="454"/>
      <c r="AY196" s="458"/>
      <c r="AZ196" s="458"/>
      <c r="BA196" s="1305"/>
      <c r="BC196" s="169"/>
    </row>
    <row r="197" spans="19:55" ht="15.75" customHeight="1">
      <c r="S197" s="454"/>
      <c r="AY197" s="458"/>
      <c r="AZ197" s="458"/>
      <c r="BA197" s="1305"/>
      <c r="BC197" s="169"/>
    </row>
    <row r="198" spans="19:55" ht="15.75" customHeight="1">
      <c r="S198" s="454"/>
      <c r="AY198" s="458"/>
      <c r="AZ198" s="458"/>
      <c r="BA198" s="1305"/>
      <c r="BC198" s="169"/>
    </row>
    <row r="199" spans="19:55" ht="15.75" customHeight="1">
      <c r="S199" s="454"/>
      <c r="AY199" s="458"/>
      <c r="AZ199" s="458"/>
      <c r="BA199" s="1305"/>
      <c r="BC199" s="169"/>
    </row>
    <row r="200" spans="19:55" ht="15.75" customHeight="1">
      <c r="S200" s="454"/>
      <c r="AY200" s="458"/>
      <c r="AZ200" s="458"/>
      <c r="BA200" s="1305"/>
      <c r="BC200" s="169"/>
    </row>
    <row r="201" spans="19:55" ht="15.75" customHeight="1">
      <c r="S201" s="454"/>
      <c r="AY201" s="458"/>
      <c r="AZ201" s="458"/>
      <c r="BA201" s="1305"/>
      <c r="BC201" s="169"/>
    </row>
    <row r="202" spans="19:55" ht="15.75" customHeight="1">
      <c r="S202" s="454"/>
      <c r="AY202" s="458"/>
      <c r="AZ202" s="458"/>
      <c r="BA202" s="1305"/>
      <c r="BC202" s="169"/>
    </row>
    <row r="203" spans="19:55" ht="15.75" customHeight="1">
      <c r="S203" s="454"/>
      <c r="AY203" s="458"/>
      <c r="AZ203" s="458"/>
      <c r="BA203" s="1305"/>
      <c r="BC203" s="169"/>
    </row>
    <row r="204" spans="19:55" ht="15.75" customHeight="1">
      <c r="S204" s="454"/>
      <c r="AY204" s="458"/>
      <c r="AZ204" s="458"/>
      <c r="BA204" s="1305"/>
      <c r="BC204" s="169"/>
    </row>
    <row r="205" spans="19:55" ht="15.75" customHeight="1">
      <c r="S205" s="454"/>
      <c r="AY205" s="458"/>
      <c r="AZ205" s="458"/>
      <c r="BA205" s="1305"/>
      <c r="BC205" s="169"/>
    </row>
    <row r="206" spans="19:55" ht="15.75" customHeight="1">
      <c r="S206" s="454"/>
      <c r="AY206" s="458"/>
      <c r="AZ206" s="458"/>
      <c r="BA206" s="1305"/>
      <c r="BC206" s="169"/>
    </row>
    <row r="207" spans="19:55" ht="15.75" customHeight="1">
      <c r="S207" s="454"/>
      <c r="AY207" s="458"/>
      <c r="AZ207" s="458"/>
      <c r="BA207" s="1305"/>
      <c r="BC207" s="169"/>
    </row>
    <row r="208" spans="19:55" ht="15.75" customHeight="1">
      <c r="S208" s="454"/>
      <c r="AY208" s="458"/>
      <c r="AZ208" s="458"/>
      <c r="BA208" s="1305"/>
      <c r="BC208" s="169"/>
    </row>
    <row r="209" spans="19:55" ht="15.75" customHeight="1">
      <c r="S209" s="454"/>
      <c r="AY209" s="458"/>
      <c r="AZ209" s="458"/>
      <c r="BA209" s="1305"/>
      <c r="BC209" s="169"/>
    </row>
    <row r="210" spans="19:55" ht="15.75" customHeight="1">
      <c r="S210" s="454"/>
      <c r="AY210" s="458"/>
      <c r="AZ210" s="458"/>
      <c r="BA210" s="1305"/>
      <c r="BC210" s="169"/>
    </row>
    <row r="211" spans="19:55" ht="15.75" customHeight="1">
      <c r="S211" s="454"/>
      <c r="AY211" s="458"/>
      <c r="AZ211" s="458"/>
      <c r="BA211" s="1305"/>
      <c r="BC211" s="169"/>
    </row>
    <row r="212" spans="19:55" ht="15.75" customHeight="1">
      <c r="S212" s="454"/>
      <c r="AY212" s="458"/>
      <c r="AZ212" s="458"/>
      <c r="BA212" s="1305"/>
      <c r="BC212" s="169"/>
    </row>
    <row r="213" spans="19:55" ht="15.75" customHeight="1">
      <c r="S213" s="454"/>
      <c r="AY213" s="458"/>
      <c r="AZ213" s="458"/>
      <c r="BA213" s="1305"/>
      <c r="BC213" s="169"/>
    </row>
    <row r="214" spans="19:55" ht="15.75" customHeight="1">
      <c r="S214" s="454"/>
      <c r="AY214" s="458"/>
      <c r="AZ214" s="458"/>
      <c r="BA214" s="1305"/>
      <c r="BC214" s="169"/>
    </row>
    <row r="215" spans="19:55" ht="15.75" customHeight="1">
      <c r="S215" s="454"/>
      <c r="AY215" s="458"/>
      <c r="AZ215" s="458"/>
      <c r="BA215" s="1305"/>
      <c r="BC215" s="169"/>
    </row>
    <row r="216" spans="19:55" ht="15.75" customHeight="1">
      <c r="S216" s="454"/>
      <c r="AY216" s="458"/>
      <c r="AZ216" s="458"/>
      <c r="BA216" s="1305"/>
      <c r="BC216" s="169"/>
    </row>
    <row r="217" spans="19:55" ht="15.75" customHeight="1">
      <c r="S217" s="454"/>
      <c r="AY217" s="458"/>
      <c r="AZ217" s="458"/>
      <c r="BA217" s="1305"/>
      <c r="BC217" s="169"/>
    </row>
    <row r="218" spans="19:55" ht="15.75" customHeight="1">
      <c r="S218" s="454"/>
      <c r="AY218" s="458"/>
      <c r="AZ218" s="458"/>
      <c r="BA218" s="1305"/>
      <c r="BC218" s="169"/>
    </row>
    <row r="219" spans="19:55" ht="15.75" customHeight="1">
      <c r="S219" s="454"/>
      <c r="AY219" s="458"/>
      <c r="AZ219" s="458"/>
      <c r="BA219" s="1305"/>
      <c r="BC219" s="169"/>
    </row>
    <row r="220" spans="19:55" ht="15.75" customHeight="1">
      <c r="S220" s="454"/>
      <c r="AY220" s="458"/>
      <c r="AZ220" s="458"/>
      <c r="BA220" s="1305"/>
      <c r="BC220" s="169"/>
    </row>
    <row r="221" spans="19:55" ht="15.75" customHeight="1">
      <c r="S221" s="454"/>
      <c r="AY221" s="458"/>
      <c r="AZ221" s="458"/>
      <c r="BA221" s="1305"/>
      <c r="BC221" s="169"/>
    </row>
    <row r="222" spans="19:55" ht="15.75" customHeight="1">
      <c r="S222" s="454"/>
      <c r="AY222" s="458"/>
      <c r="AZ222" s="458"/>
      <c r="BA222" s="1305"/>
      <c r="BC222" s="169"/>
    </row>
    <row r="223" spans="19:55" ht="15.75" customHeight="1">
      <c r="S223" s="454"/>
      <c r="AY223" s="458"/>
      <c r="AZ223" s="458"/>
      <c r="BA223" s="1305"/>
      <c r="BC223" s="169"/>
    </row>
    <row r="224" spans="19:55" ht="15.75" customHeight="1">
      <c r="S224" s="454"/>
      <c r="AY224" s="458"/>
      <c r="AZ224" s="458"/>
      <c r="BA224" s="1305"/>
      <c r="BC224" s="169"/>
    </row>
    <row r="225" spans="19:55" ht="15.75" customHeight="1">
      <c r="S225" s="454"/>
      <c r="AY225" s="458"/>
      <c r="AZ225" s="458"/>
      <c r="BA225" s="1305"/>
      <c r="BC225" s="169"/>
    </row>
    <row r="226" spans="19:55" ht="15.75" customHeight="1">
      <c r="S226" s="454"/>
      <c r="AY226" s="458"/>
      <c r="AZ226" s="458"/>
      <c r="BA226" s="1305"/>
      <c r="BC226" s="169"/>
    </row>
    <row r="227" spans="19:55" ht="15.75" customHeight="1">
      <c r="S227" s="454"/>
      <c r="AY227" s="458"/>
      <c r="AZ227" s="458"/>
      <c r="BA227" s="1305"/>
      <c r="BC227" s="169"/>
    </row>
    <row r="228" spans="19:55" ht="15.75" customHeight="1">
      <c r="S228" s="454"/>
      <c r="AY228" s="458"/>
      <c r="AZ228" s="458"/>
      <c r="BA228" s="1305"/>
      <c r="BC228" s="169"/>
    </row>
    <row r="229" spans="19:55" ht="15.75" customHeight="1">
      <c r="S229" s="454"/>
      <c r="AY229" s="458"/>
      <c r="AZ229" s="458"/>
      <c r="BA229" s="1305"/>
      <c r="BC229" s="169"/>
    </row>
    <row r="230" spans="19:55" ht="15.75" customHeight="1">
      <c r="S230" s="454"/>
      <c r="AY230" s="458"/>
      <c r="AZ230" s="458"/>
      <c r="BA230" s="1305"/>
      <c r="BC230" s="169"/>
    </row>
    <row r="231" spans="19:55" ht="15.75" customHeight="1">
      <c r="S231" s="454"/>
      <c r="AY231" s="458"/>
      <c r="AZ231" s="458"/>
      <c r="BA231" s="1305"/>
      <c r="BC231" s="169"/>
    </row>
    <row r="232" spans="19:55" ht="15.75" customHeight="1">
      <c r="S232" s="454"/>
      <c r="AY232" s="458"/>
      <c r="AZ232" s="458"/>
      <c r="BA232" s="1305"/>
      <c r="BC232" s="169"/>
    </row>
    <row r="233" spans="19:55" ht="15.75" customHeight="1">
      <c r="S233" s="454"/>
      <c r="AY233" s="458"/>
      <c r="AZ233" s="458"/>
      <c r="BA233" s="1305"/>
      <c r="BC233" s="169"/>
    </row>
    <row r="234" spans="19:55" ht="15.75" customHeight="1">
      <c r="S234" s="454"/>
      <c r="AY234" s="458"/>
      <c r="AZ234" s="458"/>
      <c r="BA234" s="1305"/>
      <c r="BC234" s="169"/>
    </row>
    <row r="235" spans="19:55" ht="15.75" customHeight="1">
      <c r="S235" s="454"/>
      <c r="AY235" s="458"/>
      <c r="AZ235" s="458"/>
      <c r="BA235" s="1305"/>
      <c r="BC235" s="169"/>
    </row>
    <row r="236" spans="19:55" ht="15.75" customHeight="1">
      <c r="S236" s="454"/>
      <c r="AY236" s="458"/>
      <c r="AZ236" s="458"/>
      <c r="BA236" s="1305"/>
      <c r="BC236" s="169"/>
    </row>
    <row r="237" spans="19:55" ht="15.75" customHeight="1">
      <c r="S237" s="454"/>
      <c r="AY237" s="458"/>
      <c r="AZ237" s="458"/>
      <c r="BA237" s="1305"/>
      <c r="BC237" s="169"/>
    </row>
    <row r="238" spans="19:55" ht="15.75" customHeight="1">
      <c r="S238" s="454"/>
      <c r="AY238" s="458"/>
      <c r="AZ238" s="458"/>
      <c r="BA238" s="1305"/>
      <c r="BC238" s="169"/>
    </row>
    <row r="239" spans="19:55" ht="15.75" customHeight="1">
      <c r="S239" s="454"/>
      <c r="AY239" s="458"/>
      <c r="AZ239" s="458"/>
      <c r="BA239" s="1305"/>
      <c r="BC239" s="169"/>
    </row>
    <row r="240" spans="19:55" ht="15.75" customHeight="1">
      <c r="S240" s="454"/>
      <c r="AY240" s="458"/>
      <c r="AZ240" s="458"/>
      <c r="BA240" s="1305"/>
      <c r="BC240" s="169"/>
    </row>
    <row r="241" spans="19:55" ht="15.75" customHeight="1">
      <c r="S241" s="454"/>
      <c r="AY241" s="458"/>
      <c r="AZ241" s="458"/>
      <c r="BA241" s="1305"/>
      <c r="BC241" s="169"/>
    </row>
    <row r="242" spans="19:55" ht="15.75" customHeight="1">
      <c r="S242" s="454"/>
      <c r="AY242" s="458"/>
      <c r="AZ242" s="458"/>
      <c r="BA242" s="1305"/>
      <c r="BC242" s="169"/>
    </row>
    <row r="243" spans="19:55" ht="15.75" customHeight="1">
      <c r="S243" s="454"/>
      <c r="AY243" s="458"/>
      <c r="AZ243" s="458"/>
      <c r="BA243" s="1305"/>
      <c r="BC243" s="169"/>
    </row>
    <row r="244" spans="19:55" ht="15.75" customHeight="1">
      <c r="S244" s="454"/>
      <c r="AY244" s="458"/>
      <c r="AZ244" s="458"/>
      <c r="BA244" s="1305"/>
      <c r="BC244" s="169"/>
    </row>
    <row r="245" spans="19:55" ht="15.75" customHeight="1">
      <c r="S245" s="454"/>
      <c r="AY245" s="458"/>
      <c r="AZ245" s="458"/>
      <c r="BA245" s="1305"/>
      <c r="BC245" s="169"/>
    </row>
    <row r="246" spans="19:55" ht="15.75" customHeight="1">
      <c r="S246" s="454"/>
      <c r="AY246" s="458"/>
      <c r="AZ246" s="458"/>
      <c r="BA246" s="1305"/>
      <c r="BC246" s="169"/>
    </row>
    <row r="247" spans="19:55" ht="15.75" customHeight="1">
      <c r="S247" s="454"/>
      <c r="AY247" s="458"/>
      <c r="AZ247" s="458"/>
      <c r="BA247" s="1305"/>
      <c r="BC247" s="169"/>
    </row>
    <row r="248" spans="19:55" ht="15.75" customHeight="1">
      <c r="S248" s="454"/>
      <c r="AY248" s="458"/>
      <c r="AZ248" s="458"/>
      <c r="BA248" s="1305"/>
      <c r="BC248" s="169"/>
    </row>
    <row r="249" spans="19:55" ht="15.75" customHeight="1">
      <c r="S249" s="454"/>
      <c r="AY249" s="458"/>
      <c r="AZ249" s="458"/>
      <c r="BA249" s="1305"/>
      <c r="BC249" s="169"/>
    </row>
    <row r="250" spans="19:55" ht="15.75" customHeight="1">
      <c r="S250" s="454"/>
      <c r="AY250" s="458"/>
      <c r="AZ250" s="458"/>
      <c r="BA250" s="1305"/>
      <c r="BC250" s="169"/>
    </row>
    <row r="251" spans="19:55" ht="15.75" customHeight="1">
      <c r="S251" s="454"/>
      <c r="AY251" s="458"/>
      <c r="AZ251" s="458"/>
      <c r="BA251" s="1305"/>
      <c r="BC251" s="169"/>
    </row>
    <row r="252" spans="19:55" ht="15.75" customHeight="1">
      <c r="S252" s="454"/>
      <c r="AY252" s="458"/>
      <c r="AZ252" s="458"/>
      <c r="BA252" s="1305"/>
      <c r="BC252" s="169"/>
    </row>
    <row r="253" spans="19:55" ht="15.75" customHeight="1">
      <c r="S253" s="454"/>
      <c r="AY253" s="458"/>
      <c r="AZ253" s="458"/>
      <c r="BA253" s="1305"/>
      <c r="BC253" s="169"/>
    </row>
    <row r="254" spans="19:55" ht="15.75" customHeight="1">
      <c r="S254" s="454"/>
      <c r="AY254" s="458"/>
      <c r="AZ254" s="458"/>
      <c r="BA254" s="1305"/>
      <c r="BC254" s="169"/>
    </row>
    <row r="255" spans="19:55" ht="15.75" customHeight="1">
      <c r="S255" s="454"/>
      <c r="AY255" s="458"/>
      <c r="AZ255" s="458"/>
      <c r="BA255" s="1305"/>
      <c r="BC255" s="169"/>
    </row>
    <row r="256" spans="19:55" ht="15.75" customHeight="1">
      <c r="S256" s="454"/>
      <c r="AY256" s="458"/>
      <c r="AZ256" s="458"/>
      <c r="BA256" s="1305"/>
      <c r="BC256" s="169"/>
    </row>
    <row r="257" spans="19:55" ht="15.75" customHeight="1">
      <c r="S257" s="454"/>
      <c r="AY257" s="458"/>
      <c r="AZ257" s="458"/>
      <c r="BA257" s="1305"/>
      <c r="BC257" s="169"/>
    </row>
    <row r="258" spans="19:55" ht="15.75" customHeight="1">
      <c r="S258" s="454"/>
      <c r="AY258" s="458"/>
      <c r="AZ258" s="458"/>
      <c r="BA258" s="1305"/>
      <c r="BC258" s="169"/>
    </row>
    <row r="259" spans="19:55" ht="15.75" customHeight="1">
      <c r="S259" s="454"/>
      <c r="AY259" s="458"/>
      <c r="AZ259" s="458"/>
      <c r="BA259" s="1305"/>
      <c r="BC259" s="169"/>
    </row>
    <row r="260" spans="19:55" ht="15.75" customHeight="1">
      <c r="S260" s="454"/>
      <c r="AY260" s="458"/>
      <c r="AZ260" s="458"/>
      <c r="BA260" s="1305"/>
      <c r="BC260" s="169"/>
    </row>
    <row r="261" spans="19:55" ht="15.75" customHeight="1">
      <c r="S261" s="454"/>
      <c r="AY261" s="458"/>
      <c r="AZ261" s="458"/>
      <c r="BA261" s="1305"/>
      <c r="BC261" s="169"/>
    </row>
    <row r="262" spans="19:55" ht="15.75" customHeight="1">
      <c r="S262" s="454"/>
      <c r="AY262" s="458"/>
      <c r="AZ262" s="458"/>
      <c r="BA262" s="1305"/>
      <c r="BC262" s="169"/>
    </row>
    <row r="263" spans="19:55" ht="15.75" customHeight="1">
      <c r="S263" s="454"/>
      <c r="AY263" s="458"/>
      <c r="AZ263" s="458"/>
      <c r="BA263" s="1305"/>
      <c r="BC263" s="169"/>
    </row>
    <row r="264" spans="19:55" ht="15.75" customHeight="1">
      <c r="S264" s="454"/>
      <c r="AY264" s="458"/>
      <c r="AZ264" s="458"/>
      <c r="BA264" s="1305"/>
      <c r="BC264" s="169"/>
    </row>
    <row r="265" spans="19:55" ht="15.75" customHeight="1">
      <c r="S265" s="454"/>
      <c r="AY265" s="458"/>
      <c r="AZ265" s="458"/>
      <c r="BA265" s="1305"/>
      <c r="BC265" s="169"/>
    </row>
    <row r="266" spans="19:55" ht="15.75" customHeight="1">
      <c r="S266" s="454"/>
      <c r="AY266" s="458"/>
      <c r="AZ266" s="458"/>
      <c r="BA266" s="1305"/>
      <c r="BC266" s="169"/>
    </row>
    <row r="267" spans="19:55" ht="15.75" customHeight="1">
      <c r="S267" s="454"/>
      <c r="AY267" s="458"/>
      <c r="AZ267" s="458"/>
      <c r="BA267" s="1305"/>
      <c r="BC267" s="169"/>
    </row>
    <row r="268" spans="19:55" ht="15.75" customHeight="1">
      <c r="S268" s="454"/>
      <c r="AY268" s="458"/>
      <c r="AZ268" s="458"/>
      <c r="BA268" s="1305"/>
      <c r="BC268" s="169"/>
    </row>
    <row r="269" spans="19:55" ht="15.75" customHeight="1">
      <c r="S269" s="454"/>
      <c r="AY269" s="458"/>
      <c r="AZ269" s="458"/>
      <c r="BA269" s="1305"/>
      <c r="BC269" s="169"/>
    </row>
    <row r="270" spans="19:55" ht="15.75" customHeight="1">
      <c r="S270" s="454"/>
      <c r="AY270" s="458"/>
      <c r="AZ270" s="458"/>
      <c r="BA270" s="1305"/>
      <c r="BC270" s="169"/>
    </row>
    <row r="271" spans="19:55" ht="15.75" customHeight="1">
      <c r="S271" s="454"/>
      <c r="AY271" s="458"/>
      <c r="AZ271" s="458"/>
      <c r="BA271" s="1305"/>
      <c r="BC271" s="169"/>
    </row>
    <row r="272" spans="19:55" ht="15.75" customHeight="1">
      <c r="S272" s="454"/>
      <c r="AY272" s="458"/>
      <c r="AZ272" s="458"/>
      <c r="BA272" s="1305"/>
      <c r="BC272" s="169"/>
    </row>
    <row r="273" spans="19:55" ht="15.75" customHeight="1">
      <c r="S273" s="454"/>
      <c r="AY273" s="458"/>
      <c r="AZ273" s="458"/>
      <c r="BA273" s="1305"/>
      <c r="BC273" s="169"/>
    </row>
    <row r="274" spans="19:55" ht="15.75" customHeight="1">
      <c r="S274" s="454"/>
      <c r="AY274" s="458"/>
      <c r="AZ274" s="458"/>
      <c r="BA274" s="1305"/>
      <c r="BC274" s="169"/>
    </row>
    <row r="275" spans="19:55" ht="15.75" customHeight="1">
      <c r="S275" s="454"/>
      <c r="AY275" s="458"/>
      <c r="AZ275" s="458"/>
      <c r="BA275" s="1305"/>
      <c r="BC275" s="169"/>
    </row>
    <row r="276" spans="19:55" ht="15.75" customHeight="1">
      <c r="S276" s="454"/>
      <c r="AY276" s="458"/>
      <c r="AZ276" s="458"/>
      <c r="BA276" s="1305"/>
      <c r="BC276" s="169"/>
    </row>
    <row r="277" spans="19:55" ht="15.75" customHeight="1">
      <c r="S277" s="454"/>
      <c r="AY277" s="458"/>
      <c r="AZ277" s="458"/>
      <c r="BA277" s="1305"/>
      <c r="BC277" s="169"/>
    </row>
    <row r="278" spans="19:55" ht="15.75" customHeight="1">
      <c r="S278" s="454"/>
      <c r="AY278" s="458"/>
      <c r="AZ278" s="458"/>
      <c r="BA278" s="1305"/>
      <c r="BC278" s="169"/>
    </row>
    <row r="279" spans="19:55" ht="15.75" customHeight="1">
      <c r="S279" s="454"/>
      <c r="AY279" s="458"/>
      <c r="AZ279" s="458"/>
      <c r="BA279" s="1305"/>
      <c r="BC279" s="169"/>
    </row>
    <row r="280" spans="19:55" ht="15.75" customHeight="1">
      <c r="S280" s="454"/>
      <c r="AY280" s="458"/>
      <c r="AZ280" s="458"/>
      <c r="BA280" s="1305"/>
      <c r="BC280" s="169"/>
    </row>
    <row r="281" spans="19:55" ht="15.75" customHeight="1">
      <c r="S281" s="454"/>
      <c r="AY281" s="458"/>
      <c r="AZ281" s="458"/>
      <c r="BA281" s="1305"/>
      <c r="BC281" s="169"/>
    </row>
    <row r="282" spans="19:55" ht="15.75" customHeight="1">
      <c r="S282" s="454"/>
      <c r="AY282" s="458"/>
      <c r="AZ282" s="458"/>
      <c r="BA282" s="1305"/>
      <c r="BC282" s="169"/>
    </row>
    <row r="283" spans="19:55" ht="15.75" customHeight="1">
      <c r="S283" s="454"/>
      <c r="AY283" s="458"/>
      <c r="AZ283" s="458"/>
      <c r="BA283" s="1305"/>
      <c r="BC283" s="169"/>
    </row>
    <row r="284" spans="19:55" ht="15.75" customHeight="1">
      <c r="S284" s="454"/>
      <c r="AY284" s="458"/>
      <c r="AZ284" s="458"/>
      <c r="BA284" s="1305"/>
      <c r="BC284" s="169"/>
    </row>
    <row r="285" spans="19:55" ht="15.75" customHeight="1">
      <c r="S285" s="454"/>
      <c r="AY285" s="458"/>
      <c r="AZ285" s="458"/>
      <c r="BA285" s="1305"/>
      <c r="BC285" s="169"/>
    </row>
    <row r="286" spans="19:55" ht="15.75" customHeight="1">
      <c r="S286" s="454"/>
      <c r="AY286" s="458"/>
      <c r="AZ286" s="458"/>
      <c r="BA286" s="1305"/>
      <c r="BC286" s="169"/>
    </row>
    <row r="287" spans="19:55" ht="15.75" customHeight="1">
      <c r="S287" s="454"/>
      <c r="AY287" s="458"/>
      <c r="AZ287" s="458"/>
      <c r="BA287" s="1305"/>
      <c r="BC287" s="169"/>
    </row>
    <row r="288" spans="19:55" ht="15.75" customHeight="1">
      <c r="S288" s="454"/>
      <c r="AY288" s="458"/>
      <c r="AZ288" s="458"/>
      <c r="BA288" s="1305"/>
      <c r="BC288" s="169"/>
    </row>
    <row r="289" spans="19:55" ht="15.75" customHeight="1">
      <c r="S289" s="454"/>
      <c r="AY289" s="458"/>
      <c r="AZ289" s="458"/>
      <c r="BA289" s="1305"/>
      <c r="BC289" s="169"/>
    </row>
    <row r="290" spans="19:55" ht="15.75" customHeight="1">
      <c r="S290" s="454"/>
      <c r="AY290" s="458"/>
      <c r="AZ290" s="458"/>
      <c r="BA290" s="1305"/>
      <c r="BC290" s="169"/>
    </row>
    <row r="291" spans="19:55" ht="15.75" customHeight="1">
      <c r="S291" s="454"/>
      <c r="AY291" s="458"/>
      <c r="AZ291" s="458"/>
      <c r="BA291" s="1305"/>
      <c r="BC291" s="169"/>
    </row>
    <row r="292" spans="19:55" ht="15.75" customHeight="1">
      <c r="S292" s="454"/>
      <c r="AY292" s="458"/>
      <c r="AZ292" s="458"/>
      <c r="BA292" s="1305"/>
      <c r="BC292" s="169"/>
    </row>
    <row r="293" spans="19:55" ht="15.75" customHeight="1">
      <c r="S293" s="454"/>
      <c r="AY293" s="458"/>
      <c r="AZ293" s="458"/>
      <c r="BA293" s="1305"/>
      <c r="BC293" s="169"/>
    </row>
    <row r="294" spans="19:55" ht="15.75" customHeight="1">
      <c r="S294" s="454"/>
      <c r="AY294" s="458"/>
      <c r="AZ294" s="458"/>
      <c r="BA294" s="1305"/>
      <c r="BC294" s="169"/>
    </row>
    <row r="295" spans="19:55" ht="15.75" customHeight="1">
      <c r="S295" s="454"/>
      <c r="AY295" s="458"/>
      <c r="AZ295" s="458"/>
      <c r="BA295" s="1305"/>
      <c r="BC295" s="169"/>
    </row>
    <row r="296" spans="19:55" ht="15.75" customHeight="1">
      <c r="S296" s="454"/>
      <c r="AY296" s="458"/>
      <c r="AZ296" s="458"/>
      <c r="BA296" s="1305"/>
      <c r="BC296" s="169"/>
    </row>
    <row r="297" spans="19:55" ht="15.75" customHeight="1">
      <c r="S297" s="454"/>
      <c r="AY297" s="458"/>
      <c r="AZ297" s="458"/>
      <c r="BA297" s="1305"/>
      <c r="BC297" s="169"/>
    </row>
    <row r="298" spans="19:55" ht="15.75" customHeight="1">
      <c r="S298" s="454"/>
      <c r="AY298" s="458"/>
      <c r="AZ298" s="458"/>
      <c r="BA298" s="1305"/>
      <c r="BC298" s="169"/>
    </row>
    <row r="299" spans="19:55" ht="15.75" customHeight="1">
      <c r="S299" s="454"/>
      <c r="AY299" s="458"/>
      <c r="AZ299" s="458"/>
      <c r="BA299" s="1305"/>
      <c r="BC299" s="169"/>
    </row>
    <row r="300" spans="19:55" ht="15.75" customHeight="1">
      <c r="S300" s="454"/>
      <c r="AY300" s="458"/>
      <c r="AZ300" s="458"/>
      <c r="BA300" s="1305"/>
      <c r="BC300" s="169"/>
    </row>
    <row r="301" spans="19:55" ht="15.75" customHeight="1">
      <c r="S301" s="454"/>
      <c r="AY301" s="458"/>
      <c r="AZ301" s="458"/>
      <c r="BA301" s="1305"/>
      <c r="BC301" s="169"/>
    </row>
    <row r="302" spans="19:55" ht="15.75" customHeight="1">
      <c r="S302" s="454"/>
      <c r="AY302" s="458"/>
      <c r="AZ302" s="458"/>
      <c r="BA302" s="1305"/>
      <c r="BC302" s="169"/>
    </row>
    <row r="303" spans="19:55" ht="15.75" customHeight="1">
      <c r="S303" s="454"/>
      <c r="AY303" s="458"/>
      <c r="AZ303" s="458"/>
      <c r="BA303" s="1305"/>
      <c r="BC303" s="169"/>
    </row>
    <row r="304" spans="19:55" ht="15.75" customHeight="1">
      <c r="S304" s="454"/>
      <c r="AY304" s="458"/>
      <c r="AZ304" s="458"/>
      <c r="BA304" s="1305"/>
      <c r="BC304" s="169"/>
    </row>
    <row r="305" spans="19:55" ht="15.75" customHeight="1">
      <c r="S305" s="454"/>
      <c r="AY305" s="458"/>
      <c r="AZ305" s="458"/>
      <c r="BA305" s="1305"/>
      <c r="BC305" s="169"/>
    </row>
    <row r="306" spans="19:55" ht="15.75" customHeight="1">
      <c r="S306" s="454"/>
      <c r="AY306" s="458"/>
      <c r="AZ306" s="458"/>
      <c r="BA306" s="1305"/>
      <c r="BC306" s="169"/>
    </row>
    <row r="307" spans="19:55" ht="15.75" customHeight="1">
      <c r="S307" s="454"/>
      <c r="AY307" s="458"/>
      <c r="AZ307" s="458"/>
      <c r="BA307" s="1305"/>
      <c r="BC307" s="169"/>
    </row>
    <row r="308" spans="19:55" ht="15.75" customHeight="1">
      <c r="S308" s="454"/>
      <c r="AY308" s="458"/>
      <c r="AZ308" s="458"/>
      <c r="BA308" s="1305"/>
      <c r="BC308" s="169"/>
    </row>
    <row r="309" spans="19:55" ht="15.75" customHeight="1">
      <c r="S309" s="454"/>
      <c r="AY309" s="458"/>
      <c r="AZ309" s="458"/>
      <c r="BA309" s="1305"/>
      <c r="BC309" s="169"/>
    </row>
    <row r="310" spans="19:55" ht="15.75" customHeight="1">
      <c r="S310" s="454"/>
      <c r="AY310" s="458"/>
      <c r="AZ310" s="458"/>
      <c r="BA310" s="1305"/>
      <c r="BC310" s="169"/>
    </row>
    <row r="311" spans="19:55" ht="15.75" customHeight="1">
      <c r="S311" s="454"/>
      <c r="AY311" s="458"/>
      <c r="AZ311" s="458"/>
      <c r="BA311" s="1305"/>
      <c r="BC311" s="169"/>
    </row>
    <row r="312" spans="19:55" ht="15.75" customHeight="1">
      <c r="S312" s="454"/>
      <c r="AY312" s="458"/>
      <c r="AZ312" s="458"/>
      <c r="BA312" s="1305"/>
      <c r="BC312" s="169"/>
    </row>
    <row r="313" spans="19:55" ht="15.75" customHeight="1">
      <c r="S313" s="454"/>
      <c r="AY313" s="458"/>
      <c r="AZ313" s="458"/>
      <c r="BA313" s="1305"/>
      <c r="BC313" s="169"/>
    </row>
    <row r="314" spans="19:55" ht="15.75" customHeight="1">
      <c r="S314" s="454"/>
      <c r="AY314" s="458"/>
      <c r="AZ314" s="458"/>
      <c r="BA314" s="1305"/>
      <c r="BC314" s="169"/>
    </row>
    <row r="315" spans="19:55" ht="15.75" customHeight="1">
      <c r="S315" s="454"/>
      <c r="AY315" s="458"/>
      <c r="AZ315" s="458"/>
      <c r="BA315" s="1305"/>
      <c r="BC315" s="169"/>
    </row>
    <row r="316" spans="19:55" ht="15.75" customHeight="1">
      <c r="S316" s="454"/>
      <c r="AY316" s="458"/>
      <c r="AZ316" s="458"/>
      <c r="BA316" s="1305"/>
      <c r="BC316" s="169"/>
    </row>
    <row r="317" spans="19:55" ht="15.75" customHeight="1">
      <c r="S317" s="454"/>
      <c r="AY317" s="458"/>
      <c r="AZ317" s="458"/>
      <c r="BA317" s="1305"/>
      <c r="BC317" s="169"/>
    </row>
    <row r="318" spans="19:55" ht="15.75" customHeight="1">
      <c r="S318" s="454"/>
      <c r="AY318" s="458"/>
      <c r="AZ318" s="458"/>
      <c r="BA318" s="1305"/>
      <c r="BC318" s="169"/>
    </row>
    <row r="319" spans="19:55" ht="15.75" customHeight="1">
      <c r="S319" s="454"/>
      <c r="AY319" s="458"/>
      <c r="AZ319" s="458"/>
      <c r="BA319" s="1305"/>
      <c r="BC319" s="169"/>
    </row>
    <row r="320" spans="19:55" ht="15.75" customHeight="1">
      <c r="S320" s="454"/>
      <c r="AY320" s="458"/>
      <c r="AZ320" s="458"/>
      <c r="BA320" s="1305"/>
      <c r="BC320" s="169"/>
    </row>
    <row r="321" spans="19:55" ht="15.75" customHeight="1">
      <c r="S321" s="454"/>
      <c r="AY321" s="458"/>
      <c r="AZ321" s="458"/>
      <c r="BA321" s="1305"/>
      <c r="BC321" s="169"/>
    </row>
    <row r="322" spans="19:55" ht="15.75" customHeight="1">
      <c r="S322" s="454"/>
      <c r="AY322" s="458"/>
      <c r="AZ322" s="458"/>
      <c r="BA322" s="1305"/>
      <c r="BC322" s="169"/>
    </row>
    <row r="323" spans="19:55" ht="15.75" customHeight="1">
      <c r="S323" s="454"/>
      <c r="AY323" s="458"/>
      <c r="AZ323" s="458"/>
      <c r="BA323" s="1305"/>
      <c r="BC323" s="169"/>
    </row>
    <row r="324" spans="19:55" ht="15.75" customHeight="1">
      <c r="S324" s="454"/>
      <c r="AY324" s="458"/>
      <c r="AZ324" s="458"/>
      <c r="BA324" s="1305"/>
      <c r="BC324" s="169"/>
    </row>
    <row r="325" spans="19:55" ht="15.75" customHeight="1">
      <c r="S325" s="454"/>
      <c r="AY325" s="458"/>
      <c r="AZ325" s="458"/>
      <c r="BA325" s="1305"/>
      <c r="BC325" s="169"/>
    </row>
    <row r="326" spans="19:55" ht="15.75" customHeight="1">
      <c r="S326" s="454"/>
      <c r="AY326" s="458"/>
      <c r="AZ326" s="458"/>
      <c r="BA326" s="1305"/>
      <c r="BC326" s="169"/>
    </row>
    <row r="327" spans="19:55" ht="15.75" customHeight="1">
      <c r="S327" s="454"/>
      <c r="AY327" s="458"/>
      <c r="AZ327" s="458"/>
      <c r="BA327" s="1305"/>
      <c r="BC327" s="169"/>
    </row>
    <row r="328" spans="19:55" ht="15.75" customHeight="1">
      <c r="S328" s="454"/>
      <c r="AY328" s="458"/>
      <c r="AZ328" s="458"/>
      <c r="BA328" s="1305"/>
      <c r="BC328" s="169"/>
    </row>
    <row r="329" spans="19:55" ht="15.75" customHeight="1">
      <c r="S329" s="454"/>
      <c r="AY329" s="458"/>
      <c r="AZ329" s="458"/>
      <c r="BA329" s="1305"/>
      <c r="BC329" s="169"/>
    </row>
    <row r="330" spans="19:55" ht="15.75" customHeight="1">
      <c r="S330" s="454"/>
      <c r="AY330" s="458"/>
      <c r="AZ330" s="458"/>
      <c r="BA330" s="1305"/>
      <c r="BC330" s="169"/>
    </row>
    <row r="331" spans="19:55" ht="15.75" customHeight="1">
      <c r="S331" s="454"/>
      <c r="AY331" s="458"/>
      <c r="AZ331" s="458"/>
      <c r="BA331" s="1305"/>
      <c r="BC331" s="169"/>
    </row>
    <row r="332" spans="19:55" ht="15.75" customHeight="1">
      <c r="S332" s="454"/>
      <c r="AY332" s="458"/>
      <c r="AZ332" s="458"/>
      <c r="BA332" s="1305"/>
      <c r="BC332" s="169"/>
    </row>
    <row r="333" spans="19:55" ht="15.75" customHeight="1">
      <c r="S333" s="454"/>
      <c r="AY333" s="458"/>
      <c r="AZ333" s="458"/>
      <c r="BA333" s="1305"/>
      <c r="BC333" s="169"/>
    </row>
    <row r="334" spans="19:55" ht="15.75" customHeight="1">
      <c r="S334" s="454"/>
      <c r="AY334" s="458"/>
      <c r="AZ334" s="458"/>
      <c r="BA334" s="1305"/>
      <c r="BC334" s="169"/>
    </row>
    <row r="335" spans="19:55" ht="15.75" customHeight="1">
      <c r="S335" s="454"/>
      <c r="AY335" s="458"/>
      <c r="AZ335" s="458"/>
      <c r="BA335" s="1305"/>
      <c r="BC335" s="169"/>
    </row>
    <row r="336" spans="19:55" ht="15.75" customHeight="1">
      <c r="S336" s="454"/>
      <c r="AY336" s="458"/>
      <c r="AZ336" s="458"/>
      <c r="BA336" s="1305"/>
      <c r="BC336" s="169"/>
    </row>
    <row r="337" spans="19:55" ht="15.75" customHeight="1">
      <c r="S337" s="454"/>
      <c r="AY337" s="458"/>
      <c r="AZ337" s="458"/>
      <c r="BA337" s="1305"/>
      <c r="BC337" s="169"/>
    </row>
    <row r="338" spans="19:55" ht="15.75" customHeight="1">
      <c r="S338" s="454"/>
      <c r="AY338" s="458"/>
      <c r="AZ338" s="458"/>
      <c r="BA338" s="1305"/>
      <c r="BC338" s="169"/>
    </row>
    <row r="339" spans="19:55" ht="15.75" customHeight="1">
      <c r="S339" s="454"/>
      <c r="AY339" s="458"/>
      <c r="AZ339" s="458"/>
      <c r="BA339" s="1305"/>
      <c r="BC339" s="169"/>
    </row>
    <row r="340" spans="19:55" ht="15.75" customHeight="1">
      <c r="S340" s="454"/>
      <c r="AY340" s="458"/>
      <c r="AZ340" s="458"/>
      <c r="BA340" s="1305"/>
      <c r="BC340" s="169"/>
    </row>
    <row r="341" spans="19:55" ht="15.75" customHeight="1">
      <c r="S341" s="454"/>
      <c r="AY341" s="458"/>
      <c r="AZ341" s="458"/>
      <c r="BA341" s="1305"/>
      <c r="BC341" s="169"/>
    </row>
    <row r="342" spans="19:55" ht="15.75" customHeight="1">
      <c r="S342" s="454"/>
      <c r="AY342" s="458"/>
      <c r="AZ342" s="458"/>
      <c r="BA342" s="1305"/>
      <c r="BC342" s="169"/>
    </row>
    <row r="343" spans="19:55" ht="15.75" customHeight="1">
      <c r="S343" s="454"/>
      <c r="AY343" s="458"/>
      <c r="AZ343" s="458"/>
      <c r="BA343" s="1305"/>
      <c r="BC343" s="169"/>
    </row>
    <row r="344" spans="19:55" ht="15.75" customHeight="1">
      <c r="S344" s="454"/>
      <c r="AY344" s="458"/>
      <c r="AZ344" s="458"/>
      <c r="BA344" s="1305"/>
      <c r="BC344" s="169"/>
    </row>
    <row r="345" spans="19:55" ht="15.75" customHeight="1">
      <c r="S345" s="454"/>
      <c r="AV345" s="177"/>
      <c r="AW345" s="177"/>
      <c r="AX345" s="177"/>
      <c r="AY345" s="458"/>
      <c r="AZ345" s="458"/>
      <c r="BA345" s="1307"/>
      <c r="BC345" s="169"/>
    </row>
    <row r="346" spans="19:55" ht="15.75" customHeight="1">
      <c r="S346" s="454"/>
      <c r="AV346" s="177"/>
      <c r="AW346" s="177"/>
      <c r="AX346" s="177"/>
      <c r="AY346" s="458"/>
      <c r="AZ346" s="458"/>
      <c r="BA346" s="1307"/>
      <c r="BC346" s="169"/>
    </row>
    <row r="347" spans="19:55" ht="15.75" customHeight="1">
      <c r="S347" s="454"/>
      <c r="AU347" s="177"/>
      <c r="AV347" s="177"/>
      <c r="AW347" s="177"/>
      <c r="AX347" s="177"/>
      <c r="AY347" s="458"/>
      <c r="AZ347" s="458"/>
      <c r="BA347" s="1307"/>
      <c r="BC347" s="169"/>
    </row>
    <row r="348" spans="19:55" ht="15.75" customHeight="1">
      <c r="S348" s="454"/>
      <c r="AU348" s="177"/>
      <c r="AV348" s="177"/>
      <c r="AW348" s="177"/>
      <c r="AX348" s="177"/>
      <c r="AY348" s="458"/>
      <c r="AZ348" s="458"/>
      <c r="BA348" s="1307"/>
      <c r="BC348" s="169"/>
    </row>
    <row r="349" spans="19:55" ht="15.75" customHeight="1">
      <c r="S349" s="454"/>
      <c r="AU349" s="177"/>
      <c r="AV349" s="177"/>
      <c r="AW349" s="177"/>
      <c r="AX349" s="177"/>
      <c r="AY349" s="458"/>
      <c r="AZ349" s="458"/>
      <c r="BA349" s="1307"/>
      <c r="BC349" s="169"/>
    </row>
    <row r="350" spans="19:55" ht="15.75" customHeight="1">
      <c r="S350" s="454"/>
      <c r="AU350" s="177"/>
      <c r="AV350" s="177"/>
      <c r="AW350" s="177"/>
      <c r="AX350" s="177"/>
      <c r="AY350" s="458"/>
      <c r="AZ350" s="458"/>
      <c r="BA350" s="1307"/>
      <c r="BC350" s="169"/>
    </row>
    <row r="351" spans="19:55" ht="15.75" customHeight="1">
      <c r="S351" s="454"/>
      <c r="AU351" s="177"/>
      <c r="AV351" s="177"/>
      <c r="AW351" s="177"/>
      <c r="AX351" s="177"/>
      <c r="AY351" s="458"/>
      <c r="AZ351" s="458"/>
      <c r="BA351" s="1307"/>
      <c r="BC351" s="169"/>
    </row>
    <row r="352" spans="19:55" ht="15.75" customHeight="1">
      <c r="S352" s="454"/>
      <c r="AU352" s="177"/>
      <c r="AV352" s="177"/>
      <c r="AW352" s="177"/>
      <c r="AX352" s="177"/>
      <c r="AY352" s="458"/>
      <c r="AZ352" s="458"/>
      <c r="BA352" s="1307"/>
      <c r="BC352" s="169"/>
    </row>
    <row r="353" spans="19:55" ht="15.75" customHeight="1">
      <c r="S353" s="454"/>
      <c r="AU353" s="177"/>
      <c r="AV353" s="177"/>
      <c r="AW353" s="177"/>
      <c r="AX353" s="177"/>
      <c r="AY353" s="458"/>
      <c r="AZ353" s="458"/>
      <c r="BA353" s="1307"/>
      <c r="BC353" s="169"/>
    </row>
    <row r="354" spans="19:55" ht="15.75" customHeight="1">
      <c r="S354" s="454"/>
      <c r="AU354" s="177"/>
      <c r="AV354" s="177"/>
      <c r="AW354" s="177"/>
      <c r="AX354" s="177"/>
      <c r="AY354" s="458"/>
      <c r="AZ354" s="458"/>
      <c r="BA354" s="1307"/>
      <c r="BC354" s="169"/>
    </row>
    <row r="355" spans="19:55" ht="15.75" customHeight="1">
      <c r="S355" s="454"/>
      <c r="AU355" s="177"/>
      <c r="AV355" s="177"/>
      <c r="AW355" s="177"/>
      <c r="AX355" s="177"/>
      <c r="AY355" s="458"/>
      <c r="AZ355" s="458"/>
      <c r="BA355" s="1307"/>
      <c r="BC355" s="169"/>
    </row>
    <row r="356" spans="19:55" ht="15.75" customHeight="1">
      <c r="S356" s="454"/>
      <c r="AU356" s="177"/>
      <c r="AV356" s="177"/>
      <c r="AW356" s="177"/>
      <c r="AX356" s="177"/>
      <c r="AY356" s="458"/>
      <c r="AZ356" s="458"/>
      <c r="BA356" s="1307"/>
      <c r="BC356" s="169"/>
    </row>
    <row r="357" spans="19:55" ht="15.75" customHeight="1">
      <c r="S357" s="454"/>
      <c r="AU357" s="177"/>
      <c r="AV357" s="177"/>
      <c r="AW357" s="177"/>
      <c r="AX357" s="177"/>
      <c r="AY357" s="458"/>
      <c r="AZ357" s="458"/>
      <c r="BA357" s="1307"/>
      <c r="BC357" s="169"/>
    </row>
    <row r="358" spans="19:55" ht="15.75" customHeight="1">
      <c r="S358" s="454"/>
      <c r="AU358" s="177"/>
      <c r="AY358" s="458"/>
      <c r="AZ358" s="458"/>
      <c r="BA358" s="1305"/>
      <c r="BC358" s="169"/>
    </row>
    <row r="359" spans="19:55" ht="15.75" customHeight="1">
      <c r="S359" s="454"/>
      <c r="AU359" s="177"/>
      <c r="AY359" s="458"/>
      <c r="AZ359" s="458"/>
      <c r="BA359" s="1305"/>
      <c r="BC359" s="169"/>
    </row>
    <row r="360" spans="19:55" ht="15.75" customHeight="1">
      <c r="S360" s="454"/>
      <c r="AY360" s="458"/>
      <c r="AZ360" s="458"/>
      <c r="BA360" s="1305"/>
      <c r="BC360" s="169"/>
    </row>
    <row r="361" spans="19:55" ht="15.75" customHeight="1">
      <c r="S361" s="454"/>
      <c r="AY361" s="458"/>
      <c r="AZ361" s="458"/>
      <c r="BA361" s="1305"/>
      <c r="BC361" s="169"/>
    </row>
    <row r="362" spans="19:55" ht="15.75" customHeight="1">
      <c r="S362" s="454"/>
      <c r="AY362" s="458"/>
      <c r="AZ362" s="458"/>
      <c r="BA362" s="1305"/>
      <c r="BC362" s="169"/>
    </row>
    <row r="363" spans="19:55" ht="15.75" customHeight="1">
      <c r="S363" s="454"/>
      <c r="AV363" s="177"/>
      <c r="AW363" s="177"/>
      <c r="AX363" s="177"/>
      <c r="AY363" s="458"/>
      <c r="AZ363" s="458"/>
      <c r="BA363" s="1307"/>
      <c r="BC363" s="169"/>
    </row>
    <row r="364" spans="19:55" ht="15.75" customHeight="1">
      <c r="S364" s="454"/>
      <c r="AV364" s="177"/>
      <c r="AW364" s="177"/>
      <c r="AX364" s="177"/>
      <c r="AY364" s="458"/>
      <c r="AZ364" s="458"/>
      <c r="BA364" s="1307"/>
      <c r="BC364" s="169"/>
    </row>
    <row r="365" spans="19:55" ht="15.75" customHeight="1">
      <c r="S365" s="454"/>
      <c r="AU365" s="177"/>
      <c r="AV365" s="177"/>
      <c r="AW365" s="177"/>
      <c r="AX365" s="177"/>
      <c r="AY365" s="458"/>
      <c r="AZ365" s="458"/>
      <c r="BA365" s="1307"/>
      <c r="BC365" s="169"/>
    </row>
    <row r="366" spans="19:55" ht="15.75" customHeight="1">
      <c r="S366" s="454"/>
      <c r="AU366" s="177"/>
      <c r="AV366" s="177"/>
      <c r="AW366" s="177"/>
      <c r="AX366" s="177"/>
      <c r="AY366" s="458"/>
      <c r="AZ366" s="458"/>
      <c r="BA366" s="1307"/>
      <c r="BC366" s="169"/>
    </row>
    <row r="367" spans="19:55" ht="15.75" customHeight="1">
      <c r="S367" s="454"/>
      <c r="AU367" s="177"/>
      <c r="AV367" s="177"/>
      <c r="AW367" s="177"/>
      <c r="AX367" s="177"/>
      <c r="AY367" s="458"/>
      <c r="AZ367" s="458"/>
      <c r="BA367" s="1307"/>
      <c r="BC367" s="169"/>
    </row>
    <row r="368" spans="19:55" ht="15.75" customHeight="1">
      <c r="S368" s="454"/>
      <c r="AU368" s="177"/>
      <c r="AY368" s="458"/>
      <c r="AZ368" s="458"/>
      <c r="BA368" s="1305"/>
      <c r="BC368" s="169"/>
    </row>
    <row r="369" spans="19:55" ht="15.75" customHeight="1">
      <c r="S369" s="454"/>
      <c r="AU369" s="177"/>
      <c r="AY369" s="458"/>
      <c r="AZ369" s="458"/>
      <c r="BA369" s="1305"/>
      <c r="BC369" s="169"/>
    </row>
    <row r="370" spans="19:55" ht="15.75" customHeight="1">
      <c r="S370" s="454"/>
      <c r="AY370" s="458"/>
      <c r="AZ370" s="458"/>
      <c r="BA370" s="1305"/>
      <c r="BC370" s="169"/>
    </row>
    <row r="371" spans="19:55" ht="15.75" customHeight="1">
      <c r="S371" s="454"/>
      <c r="AV371" s="177"/>
      <c r="AW371" s="177"/>
      <c r="AX371" s="177"/>
      <c r="AY371" s="458"/>
      <c r="AZ371" s="458"/>
      <c r="BA371" s="1307"/>
      <c r="BC371" s="169"/>
    </row>
    <row r="372" spans="19:55" ht="15.75" customHeight="1">
      <c r="S372" s="454"/>
      <c r="AV372" s="177"/>
      <c r="AW372" s="177"/>
      <c r="AX372" s="177"/>
      <c r="AY372" s="458"/>
      <c r="AZ372" s="458"/>
      <c r="BA372" s="1307"/>
      <c r="BC372" s="169"/>
    </row>
    <row r="373" spans="19:55" ht="15.75" customHeight="1">
      <c r="S373" s="454"/>
      <c r="AU373" s="177"/>
      <c r="AV373" s="177"/>
      <c r="AW373" s="177"/>
      <c r="AX373" s="177"/>
      <c r="AY373" s="458"/>
      <c r="AZ373" s="458"/>
      <c r="BA373" s="1307"/>
      <c r="BC373" s="169"/>
    </row>
    <row r="374" spans="19:55" ht="15.75" customHeight="1">
      <c r="S374" s="454"/>
      <c r="AU374" s="177"/>
      <c r="AV374" s="177"/>
      <c r="AW374" s="177"/>
      <c r="AX374" s="177"/>
      <c r="AY374" s="458"/>
      <c r="AZ374" s="458"/>
      <c r="BA374" s="1307"/>
      <c r="BC374" s="169"/>
    </row>
    <row r="375" spans="19:55" ht="15.75" customHeight="1">
      <c r="S375" s="454"/>
      <c r="AU375" s="177"/>
      <c r="AV375" s="177"/>
      <c r="AW375" s="177"/>
      <c r="AX375" s="177"/>
      <c r="AY375" s="458"/>
      <c r="AZ375" s="458"/>
      <c r="BA375" s="1307"/>
      <c r="BC375" s="169"/>
    </row>
    <row r="376" spans="19:55" ht="15.75" customHeight="1">
      <c r="S376" s="454"/>
      <c r="AU376" s="177"/>
      <c r="AV376" s="177"/>
      <c r="AW376" s="177"/>
      <c r="AX376" s="177"/>
      <c r="AY376" s="458"/>
      <c r="AZ376" s="458"/>
      <c r="BA376" s="1307"/>
      <c r="BC376" s="169"/>
    </row>
    <row r="377" spans="19:55" ht="15.75" customHeight="1">
      <c r="S377" s="454"/>
      <c r="AU377" s="177"/>
      <c r="AV377" s="177"/>
      <c r="AW377" s="177"/>
      <c r="AX377" s="177"/>
      <c r="AY377" s="458"/>
      <c r="AZ377" s="458"/>
      <c r="BA377" s="1307"/>
      <c r="BC377" s="169"/>
    </row>
    <row r="378" spans="19:55" ht="15.75" customHeight="1">
      <c r="S378" s="454"/>
      <c r="AU378" s="177"/>
      <c r="AY378" s="458"/>
      <c r="AZ378" s="458"/>
      <c r="BA378" s="1305"/>
      <c r="BC378" s="169"/>
    </row>
    <row r="379" spans="19:55" ht="15.75" customHeight="1">
      <c r="S379" s="454"/>
      <c r="AU379" s="177"/>
      <c r="AY379" s="458"/>
      <c r="AZ379" s="458"/>
      <c r="BA379" s="1305"/>
      <c r="BC379" s="169"/>
    </row>
    <row r="380" spans="19:55" ht="15.75" customHeight="1">
      <c r="S380" s="454"/>
      <c r="AY380" s="458"/>
      <c r="AZ380" s="458"/>
      <c r="BA380" s="1305"/>
      <c r="BC380" s="169"/>
    </row>
    <row r="381" spans="19:55" ht="15.75" customHeight="1">
      <c r="S381" s="454"/>
      <c r="AY381" s="458"/>
      <c r="AZ381" s="458"/>
      <c r="BA381" s="1305"/>
      <c r="BC381" s="169"/>
    </row>
    <row r="382" spans="19:55" ht="15.75" customHeight="1">
      <c r="S382" s="454"/>
      <c r="AY382" s="458"/>
      <c r="AZ382" s="458"/>
      <c r="BA382" s="1305"/>
      <c r="BC382" s="169"/>
    </row>
    <row r="383" spans="19:55" ht="15.75" customHeight="1">
      <c r="S383" s="454"/>
      <c r="AY383" s="458"/>
      <c r="AZ383" s="458"/>
      <c r="BA383" s="1305"/>
      <c r="BC383" s="169"/>
    </row>
    <row r="384" spans="19:55" ht="15.75" customHeight="1">
      <c r="S384" s="454"/>
      <c r="AY384" s="458"/>
      <c r="AZ384" s="458"/>
      <c r="BA384" s="1305"/>
      <c r="BC384" s="169"/>
    </row>
    <row r="385" spans="19:55" ht="15.75" customHeight="1">
      <c r="S385" s="454"/>
      <c r="AY385" s="458"/>
      <c r="AZ385" s="458"/>
      <c r="BA385" s="1305"/>
      <c r="BC385" s="169"/>
    </row>
    <row r="386" spans="19:55" ht="15.75" customHeight="1">
      <c r="S386" s="454"/>
      <c r="AY386" s="458"/>
      <c r="AZ386" s="458"/>
      <c r="BA386" s="1305"/>
      <c r="BC386" s="169"/>
    </row>
    <row r="387" spans="19:55" ht="15.75" customHeight="1">
      <c r="S387" s="454"/>
      <c r="AY387" s="458"/>
      <c r="AZ387" s="458"/>
      <c r="BA387" s="1305"/>
      <c r="BC387" s="169"/>
    </row>
    <row r="388" spans="19:55" ht="15.75" customHeight="1">
      <c r="S388" s="454"/>
      <c r="AY388" s="458"/>
      <c r="AZ388" s="458"/>
      <c r="BA388" s="1305"/>
      <c r="BC388" s="169"/>
    </row>
    <row r="389" spans="19:55" ht="15.75" customHeight="1">
      <c r="S389" s="454"/>
      <c r="AY389" s="458"/>
      <c r="AZ389" s="458"/>
      <c r="BA389" s="1305"/>
      <c r="BC389" s="169"/>
    </row>
    <row r="390" spans="19:55" ht="15.75" customHeight="1">
      <c r="S390" s="454"/>
      <c r="AY390" s="458"/>
      <c r="AZ390" s="458"/>
      <c r="BA390" s="1305"/>
      <c r="BC390" s="169"/>
    </row>
    <row r="391" spans="19:55" ht="15.75" customHeight="1">
      <c r="S391" s="454"/>
      <c r="AY391" s="458"/>
      <c r="AZ391" s="458"/>
      <c r="BA391" s="1305"/>
      <c r="BC391" s="169"/>
    </row>
    <row r="392" spans="19:55" ht="15.75" customHeight="1">
      <c r="S392" s="454"/>
      <c r="AY392" s="458"/>
      <c r="AZ392" s="458"/>
      <c r="BA392" s="1305"/>
      <c r="BC392" s="169"/>
    </row>
    <row r="393" spans="19:55" ht="15.75" customHeight="1">
      <c r="S393" s="454"/>
      <c r="AY393" s="458"/>
      <c r="AZ393" s="458"/>
      <c r="BA393" s="1305"/>
      <c r="BC393" s="169"/>
    </row>
    <row r="394" spans="19:55" ht="15.75" customHeight="1">
      <c r="S394" s="454"/>
      <c r="AY394" s="458"/>
      <c r="AZ394" s="458"/>
      <c r="BA394" s="1305"/>
      <c r="BC394" s="169"/>
    </row>
    <row r="395" spans="19:55" ht="15.75" customHeight="1">
      <c r="S395" s="454"/>
      <c r="AY395" s="458"/>
      <c r="AZ395" s="458"/>
      <c r="BA395" s="1305"/>
      <c r="BC395" s="169"/>
    </row>
    <row r="396" spans="19:55" ht="15.75" customHeight="1">
      <c r="S396" s="454"/>
      <c r="AY396" s="458"/>
      <c r="AZ396" s="458"/>
      <c r="BA396" s="1305"/>
      <c r="BC396" s="169"/>
    </row>
    <row r="397" spans="19:55" ht="15.75" customHeight="1">
      <c r="S397" s="454"/>
      <c r="AY397" s="458"/>
      <c r="AZ397" s="458"/>
      <c r="BA397" s="1305"/>
      <c r="BC397" s="169"/>
    </row>
    <row r="398" spans="19:55" ht="15.75" customHeight="1">
      <c r="S398" s="454"/>
      <c r="AY398" s="458"/>
      <c r="AZ398" s="458"/>
      <c r="BA398" s="1305"/>
      <c r="BC398" s="169"/>
    </row>
    <row r="399" spans="19:55" ht="15.75" customHeight="1">
      <c r="S399" s="454"/>
      <c r="AY399" s="458"/>
      <c r="AZ399" s="458"/>
      <c r="BA399" s="1305"/>
      <c r="BC399" s="169"/>
    </row>
    <row r="400" spans="19:55" ht="15.75" customHeight="1">
      <c r="S400" s="454"/>
      <c r="AY400" s="458"/>
      <c r="AZ400" s="458"/>
      <c r="BA400" s="1305"/>
      <c r="BC400" s="169"/>
    </row>
    <row r="401" spans="19:55" ht="15.75" customHeight="1">
      <c r="S401" s="454"/>
      <c r="AY401" s="458"/>
      <c r="AZ401" s="458"/>
      <c r="BA401" s="1305"/>
      <c r="BC401" s="169"/>
    </row>
    <row r="402" spans="19:55" ht="15.75" customHeight="1">
      <c r="S402" s="454"/>
      <c r="AY402" s="458"/>
      <c r="AZ402" s="458"/>
      <c r="BA402" s="1305"/>
      <c r="BC402" s="169"/>
    </row>
    <row r="403" spans="19:55" ht="15.75" customHeight="1">
      <c r="S403" s="454"/>
      <c r="AY403" s="458"/>
      <c r="AZ403" s="458"/>
      <c r="BA403" s="1305"/>
      <c r="BC403" s="169"/>
    </row>
    <row r="404" spans="19:55" ht="15.75" customHeight="1">
      <c r="S404" s="454"/>
      <c r="AY404" s="458"/>
      <c r="AZ404" s="458"/>
      <c r="BA404" s="1305"/>
      <c r="BC404" s="169"/>
    </row>
    <row r="405" spans="19:55" ht="15.75" customHeight="1">
      <c r="S405" s="454"/>
      <c r="AY405" s="458"/>
      <c r="AZ405" s="458"/>
      <c r="BA405" s="1305"/>
      <c r="BC405" s="169"/>
    </row>
    <row r="406" spans="19:55" ht="15.75" customHeight="1">
      <c r="S406" s="454"/>
      <c r="AY406" s="458"/>
      <c r="AZ406" s="458"/>
      <c r="BA406" s="1305"/>
      <c r="BC406" s="169"/>
    </row>
    <row r="407" spans="19:55" ht="15.75" customHeight="1">
      <c r="S407" s="454"/>
      <c r="AY407" s="458"/>
      <c r="AZ407" s="458"/>
      <c r="BA407" s="1305"/>
      <c r="BC407" s="169"/>
    </row>
    <row r="408" spans="19:55" ht="15.75" customHeight="1">
      <c r="S408" s="454"/>
      <c r="AY408" s="458"/>
      <c r="AZ408" s="458"/>
      <c r="BA408" s="1305"/>
      <c r="BC408" s="169"/>
    </row>
    <row r="409" spans="19:55" ht="15.75" customHeight="1">
      <c r="S409" s="454"/>
      <c r="AY409" s="458"/>
      <c r="AZ409" s="458"/>
      <c r="BA409" s="1305"/>
      <c r="BC409" s="169"/>
    </row>
    <row r="410" spans="19:55" ht="15.75" customHeight="1">
      <c r="S410" s="454"/>
      <c r="AY410" s="458"/>
      <c r="AZ410" s="458"/>
      <c r="BA410" s="1305"/>
      <c r="BC410" s="169"/>
    </row>
    <row r="411" spans="19:55" ht="15.75" customHeight="1">
      <c r="S411" s="454"/>
      <c r="AY411" s="458"/>
      <c r="AZ411" s="458"/>
      <c r="BA411" s="1305"/>
      <c r="BC411" s="169"/>
    </row>
    <row r="412" spans="19:55" ht="15.75" customHeight="1">
      <c r="S412" s="454"/>
      <c r="AY412" s="458"/>
      <c r="AZ412" s="458"/>
      <c r="BA412" s="1305"/>
      <c r="BC412" s="169"/>
    </row>
    <row r="413" spans="19:55" ht="15.75" customHeight="1">
      <c r="S413" s="454"/>
      <c r="AY413" s="458"/>
      <c r="AZ413" s="458"/>
      <c r="BA413" s="1305"/>
      <c r="BC413" s="169"/>
    </row>
    <row r="414" spans="19:55" ht="15.75" customHeight="1">
      <c r="S414" s="454"/>
      <c r="AY414" s="458"/>
      <c r="AZ414" s="458"/>
      <c r="BA414" s="1305"/>
      <c r="BC414" s="169"/>
    </row>
    <row r="415" spans="19:55" ht="15.75" customHeight="1">
      <c r="S415" s="454"/>
      <c r="AY415" s="458"/>
      <c r="AZ415" s="458"/>
      <c r="BA415" s="1305"/>
      <c r="BC415" s="169"/>
    </row>
    <row r="416" spans="19:55" ht="15.75" customHeight="1">
      <c r="S416" s="454"/>
      <c r="AY416" s="458"/>
      <c r="AZ416" s="458"/>
      <c r="BA416" s="1305"/>
      <c r="BC416" s="169"/>
    </row>
    <row r="417" spans="19:55" ht="15.75" customHeight="1">
      <c r="S417" s="454"/>
      <c r="AY417" s="458"/>
      <c r="AZ417" s="458"/>
      <c r="BA417" s="1305"/>
      <c r="BC417" s="169"/>
    </row>
    <row r="418" spans="19:55" ht="15.75" customHeight="1">
      <c r="S418" s="454"/>
      <c r="AY418" s="458"/>
      <c r="AZ418" s="458"/>
      <c r="BA418" s="1305"/>
      <c r="BC418" s="169"/>
    </row>
    <row r="419" spans="19:55" ht="15.75" customHeight="1">
      <c r="S419" s="454"/>
      <c r="AY419" s="458"/>
      <c r="AZ419" s="458"/>
      <c r="BA419" s="1305"/>
      <c r="BC419" s="169"/>
    </row>
    <row r="420" spans="19:55" ht="15.75" customHeight="1">
      <c r="S420" s="454"/>
      <c r="AY420" s="458"/>
      <c r="AZ420" s="458"/>
      <c r="BA420" s="1305"/>
      <c r="BC420" s="169"/>
    </row>
    <row r="421" spans="19:55" ht="15.75" customHeight="1">
      <c r="S421" s="454"/>
      <c r="AY421" s="458"/>
      <c r="AZ421" s="458"/>
      <c r="BA421" s="1305"/>
      <c r="BC421" s="169"/>
    </row>
    <row r="422" spans="19:55" ht="15.75" customHeight="1">
      <c r="S422" s="454"/>
      <c r="AY422" s="458"/>
      <c r="AZ422" s="458"/>
      <c r="BA422" s="1305"/>
      <c r="BC422" s="169"/>
    </row>
    <row r="423" spans="19:55" ht="15.75" customHeight="1">
      <c r="S423" s="454"/>
      <c r="AY423" s="458"/>
      <c r="AZ423" s="458"/>
      <c r="BA423" s="1305"/>
      <c r="BC423" s="169"/>
    </row>
    <row r="424" spans="19:55" ht="15.75" customHeight="1">
      <c r="S424" s="454"/>
      <c r="AY424" s="458"/>
      <c r="AZ424" s="458"/>
      <c r="BA424" s="1305"/>
      <c r="BC424" s="169"/>
    </row>
    <row r="425" spans="19:55" ht="15.75" customHeight="1">
      <c r="S425" s="454"/>
      <c r="AY425" s="458"/>
      <c r="AZ425" s="458"/>
      <c r="BA425" s="1305"/>
      <c r="BC425" s="169"/>
    </row>
    <row r="426" spans="19:55" ht="15.75" customHeight="1">
      <c r="S426" s="454"/>
      <c r="AY426" s="458"/>
      <c r="AZ426" s="458"/>
      <c r="BA426" s="1305"/>
      <c r="BC426" s="169"/>
    </row>
    <row r="427" spans="19:55" ht="15.75" customHeight="1">
      <c r="S427" s="454"/>
      <c r="AY427" s="458"/>
      <c r="AZ427" s="458"/>
      <c r="BA427" s="1305"/>
      <c r="BC427" s="169"/>
    </row>
    <row r="428" spans="19:55" ht="15.75" customHeight="1">
      <c r="S428" s="454"/>
      <c r="AY428" s="458"/>
      <c r="AZ428" s="458"/>
      <c r="BA428" s="1305"/>
      <c r="BC428" s="169"/>
    </row>
    <row r="429" spans="19:55" ht="15.75" customHeight="1">
      <c r="S429" s="454"/>
      <c r="AY429" s="458"/>
      <c r="AZ429" s="458"/>
      <c r="BA429" s="1305"/>
      <c r="BC429" s="169"/>
    </row>
    <row r="430" spans="19:55" ht="15.75" customHeight="1">
      <c r="S430" s="454"/>
      <c r="AY430" s="458"/>
      <c r="AZ430" s="458"/>
      <c r="BA430" s="1305"/>
      <c r="BC430" s="169"/>
    </row>
    <row r="431" spans="19:55" ht="15.75" customHeight="1">
      <c r="S431" s="454"/>
      <c r="AY431" s="458"/>
      <c r="AZ431" s="458"/>
      <c r="BA431" s="1305"/>
      <c r="BC431" s="169"/>
    </row>
    <row r="432" spans="19:55" ht="15.75" customHeight="1">
      <c r="S432" s="454"/>
      <c r="AY432" s="458"/>
      <c r="AZ432" s="458"/>
      <c r="BA432" s="1305"/>
      <c r="BC432" s="169"/>
    </row>
    <row r="433" spans="19:55" ht="15.75" customHeight="1">
      <c r="S433" s="454"/>
      <c r="AY433" s="458"/>
      <c r="AZ433" s="458"/>
      <c r="BA433" s="1305"/>
      <c r="BC433" s="169"/>
    </row>
    <row r="434" spans="19:55" ht="15.75" customHeight="1">
      <c r="S434" s="454"/>
      <c r="AY434" s="458"/>
      <c r="AZ434" s="458"/>
      <c r="BA434" s="1305"/>
      <c r="BC434" s="169"/>
    </row>
    <row r="435" spans="19:55" ht="15.75" customHeight="1">
      <c r="S435" s="454"/>
      <c r="AY435" s="458"/>
      <c r="AZ435" s="458"/>
      <c r="BA435" s="1305"/>
      <c r="BC435" s="169"/>
    </row>
    <row r="436" spans="19:55" ht="15.75" customHeight="1">
      <c r="S436" s="454"/>
      <c r="AY436" s="458"/>
      <c r="AZ436" s="458"/>
      <c r="BA436" s="1305"/>
      <c r="BC436" s="169"/>
    </row>
    <row r="437" spans="19:55" ht="15.75" customHeight="1">
      <c r="S437" s="454"/>
      <c r="AY437" s="458"/>
      <c r="AZ437" s="458"/>
      <c r="BA437" s="1305"/>
      <c r="BC437" s="169"/>
    </row>
    <row r="438" spans="19:55" ht="15.75" customHeight="1">
      <c r="S438" s="454"/>
      <c r="AY438" s="458"/>
      <c r="AZ438" s="458"/>
      <c r="BA438" s="1305"/>
      <c r="BC438" s="169"/>
    </row>
    <row r="439" spans="19:55" ht="15.75" customHeight="1">
      <c r="S439" s="454"/>
      <c r="AY439" s="458"/>
      <c r="AZ439" s="458"/>
      <c r="BA439" s="1305"/>
      <c r="BC439" s="169"/>
    </row>
    <row r="440" spans="19:55" ht="15.75" customHeight="1">
      <c r="S440" s="454"/>
      <c r="AY440" s="458"/>
      <c r="AZ440" s="458"/>
      <c r="BA440" s="1305"/>
      <c r="BC440" s="169"/>
    </row>
    <row r="441" spans="19:55" ht="15.75" customHeight="1">
      <c r="S441" s="454"/>
      <c r="AY441" s="458"/>
      <c r="AZ441" s="458"/>
      <c r="BA441" s="1305"/>
      <c r="BC441" s="169"/>
    </row>
    <row r="442" spans="19:55" ht="15.75" customHeight="1">
      <c r="S442" s="454"/>
      <c r="AY442" s="458"/>
      <c r="AZ442" s="458"/>
      <c r="BA442" s="1305"/>
      <c r="BC442" s="169"/>
    </row>
    <row r="443" spans="19:55" ht="15.75" customHeight="1">
      <c r="S443" s="454"/>
      <c r="AY443" s="458"/>
      <c r="AZ443" s="458"/>
      <c r="BA443" s="1305"/>
      <c r="BC443" s="169"/>
    </row>
    <row r="444" spans="19:55" ht="15.75" customHeight="1">
      <c r="S444" s="454"/>
      <c r="AY444" s="458"/>
      <c r="AZ444" s="458"/>
      <c r="BA444" s="1305"/>
      <c r="BC444" s="169"/>
    </row>
    <row r="445" spans="19:55" ht="15.75" customHeight="1">
      <c r="S445" s="454"/>
      <c r="AY445" s="458"/>
      <c r="AZ445" s="458"/>
      <c r="BA445" s="1305"/>
      <c r="BC445" s="169"/>
    </row>
    <row r="446" spans="19:55" ht="15.75" customHeight="1">
      <c r="S446" s="454"/>
      <c r="AY446" s="458"/>
      <c r="AZ446" s="458"/>
      <c r="BA446" s="1305"/>
      <c r="BC446" s="169"/>
    </row>
    <row r="447" spans="19:55" ht="15.75" customHeight="1">
      <c r="S447" s="454"/>
      <c r="AY447" s="458"/>
      <c r="AZ447" s="458"/>
      <c r="BA447" s="1305"/>
      <c r="BC447" s="169"/>
    </row>
    <row r="448" spans="19:55" ht="15.75" customHeight="1">
      <c r="S448" s="454"/>
      <c r="AY448" s="458"/>
      <c r="AZ448" s="458"/>
      <c r="BA448" s="1305"/>
      <c r="BC448" s="169"/>
    </row>
    <row r="449" spans="19:55" ht="15.75" customHeight="1">
      <c r="S449" s="454"/>
      <c r="AY449" s="458"/>
      <c r="AZ449" s="458"/>
      <c r="BA449" s="1305"/>
      <c r="BC449" s="169"/>
    </row>
    <row r="450" spans="19:55" ht="15.75" customHeight="1">
      <c r="S450" s="454"/>
      <c r="AY450" s="458"/>
      <c r="AZ450" s="458"/>
      <c r="BA450" s="1305"/>
      <c r="BC450" s="169"/>
    </row>
    <row r="451" spans="19:55" ht="15.75" customHeight="1">
      <c r="S451" s="454"/>
      <c r="AY451" s="458"/>
      <c r="AZ451" s="458"/>
      <c r="BA451" s="1305"/>
      <c r="BC451" s="169"/>
    </row>
    <row r="452" spans="19:55" ht="15.75" customHeight="1">
      <c r="S452" s="454"/>
      <c r="AY452" s="458"/>
      <c r="AZ452" s="458"/>
      <c r="BA452" s="1305"/>
      <c r="BC452" s="169"/>
    </row>
    <row r="453" spans="19:55" ht="15.75" customHeight="1">
      <c r="S453" s="454"/>
      <c r="AY453" s="458"/>
      <c r="AZ453" s="458"/>
      <c r="BA453" s="1305"/>
      <c r="BC453" s="169"/>
    </row>
    <row r="454" spans="19:55" ht="15.75" customHeight="1">
      <c r="S454" s="454"/>
      <c r="AY454" s="458"/>
      <c r="AZ454" s="458"/>
      <c r="BA454" s="1305"/>
      <c r="BC454" s="169"/>
    </row>
    <row r="455" spans="19:55" ht="15.75" customHeight="1">
      <c r="S455" s="454"/>
      <c r="AY455" s="458"/>
      <c r="AZ455" s="458"/>
      <c r="BA455" s="1305"/>
      <c r="BC455" s="169"/>
    </row>
    <row r="456" spans="19:55" ht="15.75" customHeight="1">
      <c r="S456" s="454"/>
      <c r="AY456" s="458"/>
      <c r="AZ456" s="458"/>
      <c r="BA456" s="1305"/>
      <c r="BC456" s="169"/>
    </row>
    <row r="457" spans="19:55" ht="15.75" customHeight="1">
      <c r="S457" s="454"/>
      <c r="AY457" s="458"/>
      <c r="AZ457" s="458"/>
      <c r="BA457" s="1305"/>
      <c r="BC457" s="169"/>
    </row>
    <row r="458" spans="19:55" ht="15.75" customHeight="1">
      <c r="S458" s="454"/>
      <c r="AY458" s="458"/>
      <c r="AZ458" s="458"/>
      <c r="BA458" s="1305"/>
      <c r="BC458" s="169"/>
    </row>
    <row r="459" spans="19:55" ht="15.75" customHeight="1">
      <c r="S459" s="454"/>
      <c r="AY459" s="458"/>
      <c r="AZ459" s="458"/>
      <c r="BA459" s="1305"/>
      <c r="BC459" s="169"/>
    </row>
    <row r="460" spans="19:55" ht="15.75" customHeight="1">
      <c r="S460" s="454"/>
      <c r="AY460" s="458"/>
      <c r="AZ460" s="458"/>
      <c r="BA460" s="1305"/>
      <c r="BC460" s="169"/>
    </row>
    <row r="461" spans="19:55" ht="15.75" customHeight="1">
      <c r="S461" s="454"/>
      <c r="AY461" s="458"/>
      <c r="AZ461" s="458"/>
      <c r="BA461" s="1305"/>
      <c r="BC461" s="169"/>
    </row>
    <row r="462" spans="19:55" ht="15.75" customHeight="1">
      <c r="S462" s="454"/>
      <c r="AY462" s="458"/>
      <c r="AZ462" s="458"/>
      <c r="BA462" s="1305"/>
      <c r="BC462" s="169"/>
    </row>
    <row r="463" spans="19:55" ht="15.75" customHeight="1">
      <c r="S463" s="454"/>
      <c r="AY463" s="458"/>
      <c r="AZ463" s="458"/>
      <c r="BA463" s="1305"/>
      <c r="BC463" s="169"/>
    </row>
    <row r="464" spans="19:55" ht="15.75" customHeight="1">
      <c r="S464" s="454"/>
      <c r="AY464" s="458"/>
      <c r="AZ464" s="458"/>
      <c r="BA464" s="1305"/>
      <c r="BC464" s="169"/>
    </row>
    <row r="465" spans="19:55" ht="15.75" customHeight="1">
      <c r="S465" s="454"/>
      <c r="AY465" s="458"/>
      <c r="AZ465" s="458"/>
      <c r="BA465" s="1305"/>
      <c r="BC465" s="169"/>
    </row>
    <row r="466" spans="19:55" ht="15.75" customHeight="1">
      <c r="S466" s="454"/>
      <c r="AY466" s="458"/>
      <c r="AZ466" s="458"/>
      <c r="BA466" s="1305"/>
      <c r="BC466" s="169"/>
    </row>
    <row r="467" spans="19:55" ht="15.75" customHeight="1">
      <c r="S467" s="454"/>
      <c r="AY467" s="458"/>
      <c r="AZ467" s="458"/>
      <c r="BA467" s="1305"/>
      <c r="BC467" s="169"/>
    </row>
    <row r="468" spans="19:55" ht="15.75" customHeight="1">
      <c r="S468" s="454"/>
      <c r="AY468" s="458"/>
      <c r="AZ468" s="458"/>
      <c r="BA468" s="1305"/>
      <c r="BC468" s="169"/>
    </row>
    <row r="469" spans="19:55" ht="15.75" customHeight="1">
      <c r="S469" s="454"/>
      <c r="AY469" s="458"/>
      <c r="AZ469" s="458"/>
      <c r="BA469" s="1305"/>
      <c r="BC469" s="169"/>
    </row>
    <row r="470" spans="19:55" ht="15.75" customHeight="1">
      <c r="S470" s="454"/>
      <c r="AY470" s="458"/>
      <c r="AZ470" s="458"/>
      <c r="BA470" s="1305"/>
      <c r="BC470" s="169"/>
    </row>
    <row r="471" spans="19:55" ht="15.75" customHeight="1">
      <c r="S471" s="454"/>
      <c r="AY471" s="458"/>
      <c r="AZ471" s="458"/>
      <c r="BA471" s="1305"/>
      <c r="BC471" s="169"/>
    </row>
    <row r="472" spans="19:55" ht="15.75" customHeight="1">
      <c r="S472" s="454"/>
      <c r="AY472" s="458"/>
      <c r="AZ472" s="458"/>
      <c r="BA472" s="1305"/>
      <c r="BC472" s="169"/>
    </row>
    <row r="473" spans="19:55" ht="15.75" customHeight="1">
      <c r="S473" s="454"/>
      <c r="AY473" s="458"/>
      <c r="AZ473" s="458"/>
      <c r="BA473" s="1305"/>
      <c r="BC473" s="169"/>
    </row>
    <row r="474" spans="19:55" ht="15.75" customHeight="1">
      <c r="S474" s="454"/>
      <c r="AY474" s="458"/>
      <c r="AZ474" s="458"/>
      <c r="BA474" s="1305"/>
      <c r="BC474" s="169"/>
    </row>
    <row r="475" spans="19:55" ht="15.75" customHeight="1">
      <c r="S475" s="454"/>
      <c r="AY475" s="458"/>
      <c r="AZ475" s="458"/>
      <c r="BA475" s="1305"/>
      <c r="BC475" s="169"/>
    </row>
    <row r="476" spans="19:55" ht="15.75" customHeight="1">
      <c r="S476" s="454"/>
      <c r="AY476" s="458"/>
      <c r="AZ476" s="458"/>
      <c r="BA476" s="1305"/>
      <c r="BC476" s="169"/>
    </row>
    <row r="477" spans="19:55" ht="15.75" customHeight="1">
      <c r="S477" s="454"/>
      <c r="AY477" s="458"/>
      <c r="AZ477" s="458"/>
      <c r="BA477" s="1305"/>
      <c r="BC477" s="169"/>
    </row>
    <row r="478" spans="19:55" ht="15.75" customHeight="1">
      <c r="S478" s="454"/>
      <c r="AY478" s="458"/>
      <c r="AZ478" s="458"/>
      <c r="BA478" s="1305"/>
      <c r="BC478" s="169"/>
    </row>
    <row r="479" spans="19:55" ht="15.75" customHeight="1">
      <c r="S479" s="454"/>
      <c r="AY479" s="458"/>
      <c r="AZ479" s="458"/>
      <c r="BA479" s="1305"/>
      <c r="BC479" s="169"/>
    </row>
    <row r="480" spans="19:55" ht="15.75" customHeight="1">
      <c r="S480" s="454"/>
      <c r="AY480" s="458"/>
      <c r="AZ480" s="458"/>
      <c r="BA480" s="1305"/>
      <c r="BC480" s="169"/>
    </row>
    <row r="481" spans="19:55" ht="15.75" customHeight="1">
      <c r="S481" s="454"/>
      <c r="AY481" s="458"/>
      <c r="AZ481" s="458"/>
      <c r="BA481" s="1305"/>
      <c r="BC481" s="169"/>
    </row>
    <row r="482" spans="19:55" ht="15.75" customHeight="1">
      <c r="S482" s="454"/>
      <c r="AY482" s="458"/>
      <c r="AZ482" s="458"/>
      <c r="BA482" s="1305"/>
      <c r="BC482" s="169"/>
    </row>
    <row r="483" spans="19:55" ht="15.75" customHeight="1">
      <c r="S483" s="454"/>
      <c r="AY483" s="458"/>
      <c r="AZ483" s="458"/>
      <c r="BA483" s="1305"/>
      <c r="BC483" s="169"/>
    </row>
    <row r="484" spans="19:55" ht="15.75" customHeight="1">
      <c r="S484" s="454"/>
      <c r="AY484" s="458"/>
      <c r="AZ484" s="458"/>
      <c r="BA484" s="1305"/>
      <c r="BC484" s="169"/>
    </row>
    <row r="485" spans="19:55" ht="15.75" customHeight="1">
      <c r="S485" s="454"/>
      <c r="AY485" s="458"/>
      <c r="AZ485" s="458"/>
      <c r="BA485" s="1305"/>
      <c r="BC485" s="169"/>
    </row>
    <row r="486" spans="19:55" ht="15.75" customHeight="1">
      <c r="S486" s="454"/>
      <c r="AY486" s="458"/>
      <c r="AZ486" s="458"/>
      <c r="BA486" s="1305"/>
      <c r="BC486" s="169"/>
    </row>
    <row r="487" spans="19:55" ht="15.75" customHeight="1">
      <c r="S487" s="454"/>
      <c r="AY487" s="458"/>
      <c r="AZ487" s="458"/>
      <c r="BA487" s="1305"/>
      <c r="BC487" s="169"/>
    </row>
    <row r="488" spans="19:55" ht="15.75" customHeight="1">
      <c r="S488" s="454"/>
      <c r="AY488" s="458"/>
      <c r="AZ488" s="458"/>
      <c r="BA488" s="1305"/>
      <c r="BC488" s="169"/>
    </row>
    <row r="489" spans="19:55" ht="15.75" customHeight="1">
      <c r="S489" s="454"/>
      <c r="AY489" s="458"/>
      <c r="AZ489" s="458"/>
      <c r="BA489" s="1305"/>
      <c r="BC489" s="169"/>
    </row>
    <row r="490" spans="19:55" ht="15.75" customHeight="1">
      <c r="S490" s="454"/>
      <c r="AY490" s="458"/>
      <c r="AZ490" s="458"/>
      <c r="BA490" s="1305"/>
      <c r="BC490" s="169"/>
    </row>
    <row r="491" spans="19:55" ht="15.75" customHeight="1">
      <c r="S491" s="454"/>
      <c r="AY491" s="458"/>
      <c r="AZ491" s="458"/>
      <c r="BA491" s="1305"/>
      <c r="BC491" s="169"/>
    </row>
    <row r="492" spans="19:55" ht="15.75" customHeight="1">
      <c r="S492" s="454"/>
      <c r="AY492" s="458"/>
      <c r="AZ492" s="458"/>
      <c r="BA492" s="1305"/>
      <c r="BC492" s="169"/>
    </row>
    <row r="493" spans="19:55" ht="15.75" customHeight="1">
      <c r="S493" s="454"/>
      <c r="AY493" s="458"/>
      <c r="AZ493" s="458"/>
      <c r="BA493" s="1305"/>
      <c r="BC493" s="169"/>
    </row>
    <row r="494" spans="19:55" ht="15.75" customHeight="1">
      <c r="S494" s="454"/>
      <c r="AY494" s="458"/>
      <c r="AZ494" s="458"/>
      <c r="BA494" s="1305"/>
      <c r="BC494" s="169"/>
    </row>
    <row r="495" spans="19:55" ht="15.75" customHeight="1">
      <c r="S495" s="454"/>
      <c r="AY495" s="458"/>
      <c r="AZ495" s="458"/>
      <c r="BA495" s="1305"/>
      <c r="BC495" s="169"/>
    </row>
    <row r="496" spans="19:55" ht="15.75" customHeight="1">
      <c r="S496" s="454"/>
      <c r="AY496" s="458"/>
      <c r="AZ496" s="458"/>
      <c r="BA496" s="1305"/>
      <c r="BC496" s="169"/>
    </row>
    <row r="497" spans="19:55" ht="15.75" customHeight="1">
      <c r="S497" s="454"/>
      <c r="AY497" s="458"/>
      <c r="AZ497" s="458"/>
      <c r="BA497" s="1305"/>
      <c r="BC497" s="169"/>
    </row>
    <row r="498" spans="19:55" ht="15.75" customHeight="1">
      <c r="S498" s="454"/>
      <c r="AY498" s="458"/>
      <c r="AZ498" s="458"/>
      <c r="BA498" s="1305"/>
      <c r="BC498" s="169"/>
    </row>
    <row r="499" spans="19:55" ht="15.75" customHeight="1">
      <c r="S499" s="454"/>
      <c r="AY499" s="458"/>
      <c r="AZ499" s="458"/>
      <c r="BA499" s="1305"/>
      <c r="BC499" s="169"/>
    </row>
    <row r="500" spans="19:55" ht="15.75" customHeight="1">
      <c r="S500" s="454"/>
      <c r="AY500" s="458"/>
      <c r="AZ500" s="458"/>
      <c r="BA500" s="1305"/>
      <c r="BC500" s="169"/>
    </row>
    <row r="501" spans="19:55" ht="15.75" customHeight="1">
      <c r="S501" s="454"/>
      <c r="AY501" s="458"/>
      <c r="AZ501" s="458"/>
      <c r="BA501" s="1305"/>
      <c r="BC501" s="169"/>
    </row>
    <row r="502" spans="19:55" ht="15.75" customHeight="1">
      <c r="S502" s="454"/>
      <c r="AY502" s="458"/>
      <c r="AZ502" s="458"/>
      <c r="BA502" s="1305"/>
      <c r="BC502" s="169"/>
    </row>
    <row r="503" spans="19:55" ht="15.75" customHeight="1">
      <c r="S503" s="454"/>
      <c r="AY503" s="458"/>
      <c r="AZ503" s="458"/>
      <c r="BA503" s="1305"/>
      <c r="BC503" s="169"/>
    </row>
    <row r="504" spans="19:55" ht="15.75" customHeight="1">
      <c r="S504" s="454"/>
      <c r="AY504" s="458"/>
      <c r="AZ504" s="458"/>
      <c r="BA504" s="1305"/>
      <c r="BC504" s="169"/>
    </row>
    <row r="505" spans="19:55" ht="15.75" customHeight="1">
      <c r="S505" s="454"/>
      <c r="AY505" s="458"/>
      <c r="AZ505" s="458"/>
      <c r="BA505" s="1305"/>
      <c r="BC505" s="169"/>
    </row>
    <row r="506" spans="19:55" ht="15.75" customHeight="1">
      <c r="S506" s="454"/>
      <c r="AY506" s="458"/>
      <c r="AZ506" s="458"/>
      <c r="BA506" s="1305"/>
      <c r="BC506" s="169"/>
    </row>
    <row r="507" spans="19:55" ht="15.75" customHeight="1">
      <c r="S507" s="454"/>
      <c r="AY507" s="458"/>
      <c r="AZ507" s="458"/>
      <c r="BA507" s="1305"/>
      <c r="BC507" s="169"/>
    </row>
    <row r="508" spans="19:55" ht="15.75" customHeight="1">
      <c r="S508" s="454"/>
      <c r="AY508" s="458"/>
      <c r="AZ508" s="458"/>
      <c r="BA508" s="1305"/>
      <c r="BC508" s="169"/>
    </row>
    <row r="509" spans="19:55" ht="15.75" customHeight="1">
      <c r="S509" s="454"/>
      <c r="AY509" s="458"/>
      <c r="AZ509" s="458"/>
      <c r="BA509" s="1305"/>
      <c r="BC509" s="169"/>
    </row>
    <row r="510" spans="19:55" ht="15.75" customHeight="1">
      <c r="S510" s="454"/>
      <c r="AY510" s="458"/>
      <c r="AZ510" s="458"/>
      <c r="BA510" s="1305"/>
      <c r="BC510" s="169"/>
    </row>
    <row r="511" spans="19:55" ht="15.75" customHeight="1">
      <c r="S511" s="454"/>
      <c r="AY511" s="458"/>
      <c r="AZ511" s="458"/>
      <c r="BA511" s="1305"/>
      <c r="BC511" s="169"/>
    </row>
    <row r="512" spans="19:55" ht="15.75" customHeight="1">
      <c r="S512" s="454"/>
      <c r="AY512" s="458"/>
      <c r="AZ512" s="458"/>
      <c r="BA512" s="1305"/>
      <c r="BC512" s="169"/>
    </row>
    <row r="513" spans="19:55" ht="15.75" customHeight="1">
      <c r="S513" s="454"/>
      <c r="AY513" s="458"/>
      <c r="AZ513" s="458"/>
      <c r="BA513" s="1305"/>
      <c r="BC513" s="169"/>
    </row>
    <row r="514" spans="19:55" ht="15.75" customHeight="1">
      <c r="S514" s="454"/>
      <c r="AY514" s="458"/>
      <c r="AZ514" s="458"/>
      <c r="BA514" s="1305"/>
      <c r="BC514" s="169"/>
    </row>
    <row r="515" spans="19:55" ht="15.75" customHeight="1">
      <c r="S515" s="454"/>
      <c r="AY515" s="458"/>
      <c r="AZ515" s="458"/>
      <c r="BA515" s="1305"/>
      <c r="BC515" s="169"/>
    </row>
    <row r="516" spans="19:55" ht="15.75" customHeight="1">
      <c r="S516" s="454"/>
      <c r="AY516" s="458"/>
      <c r="AZ516" s="458"/>
      <c r="BA516" s="1305"/>
      <c r="BC516" s="169"/>
    </row>
    <row r="517" spans="19:55" ht="15.75" customHeight="1">
      <c r="S517" s="454"/>
      <c r="AY517" s="458"/>
      <c r="AZ517" s="458"/>
      <c r="BA517" s="1305"/>
      <c r="BC517" s="169"/>
    </row>
    <row r="518" spans="19:55" ht="15.75" customHeight="1">
      <c r="S518" s="454"/>
      <c r="AY518" s="458"/>
      <c r="AZ518" s="458"/>
      <c r="BA518" s="1305"/>
      <c r="BC518" s="169"/>
    </row>
    <row r="519" spans="19:55" ht="15.75" customHeight="1">
      <c r="S519" s="454"/>
      <c r="AY519" s="458"/>
      <c r="AZ519" s="458"/>
      <c r="BA519" s="1305"/>
      <c r="BC519" s="169"/>
    </row>
    <row r="520" spans="19:55" ht="15.75" customHeight="1">
      <c r="S520" s="454"/>
      <c r="AY520" s="458"/>
      <c r="AZ520" s="458"/>
      <c r="BA520" s="1305"/>
      <c r="BC520" s="169"/>
    </row>
    <row r="521" spans="19:55" ht="15.75" customHeight="1">
      <c r="S521" s="454"/>
      <c r="AY521" s="458"/>
      <c r="AZ521" s="458"/>
      <c r="BA521" s="1305"/>
      <c r="BC521" s="169"/>
    </row>
    <row r="522" spans="19:55" ht="15.75" customHeight="1">
      <c r="S522" s="454"/>
      <c r="AY522" s="458"/>
      <c r="AZ522" s="458"/>
      <c r="BA522" s="1305"/>
      <c r="BC522" s="169"/>
    </row>
    <row r="523" spans="19:55" ht="15.75" customHeight="1">
      <c r="S523" s="454"/>
      <c r="AY523" s="458"/>
      <c r="AZ523" s="458"/>
      <c r="BA523" s="1305"/>
      <c r="BC523" s="169"/>
    </row>
    <row r="524" spans="19:55" ht="15.75" customHeight="1">
      <c r="S524" s="454"/>
      <c r="AY524" s="458"/>
      <c r="AZ524" s="458"/>
      <c r="BA524" s="1305"/>
      <c r="BC524" s="169"/>
    </row>
    <row r="525" spans="19:55" ht="15.75" customHeight="1">
      <c r="S525" s="454"/>
      <c r="AY525" s="458"/>
      <c r="AZ525" s="458"/>
      <c r="BA525" s="1305"/>
      <c r="BC525" s="169"/>
    </row>
    <row r="526" spans="19:55" ht="15.75" customHeight="1">
      <c r="S526" s="454"/>
      <c r="AY526" s="458"/>
      <c r="AZ526" s="458"/>
      <c r="BA526" s="1305"/>
      <c r="BC526" s="169"/>
    </row>
    <row r="527" spans="19:55" ht="15.75" customHeight="1">
      <c r="S527" s="454"/>
      <c r="AY527" s="458"/>
      <c r="AZ527" s="458"/>
      <c r="BA527" s="1305"/>
      <c r="BC527" s="169"/>
    </row>
    <row r="528" spans="19:55" ht="15.75" customHeight="1">
      <c r="S528" s="454"/>
      <c r="AY528" s="458"/>
      <c r="AZ528" s="458"/>
      <c r="BA528" s="1305"/>
      <c r="BC528" s="169"/>
    </row>
    <row r="529" spans="19:55" ht="15.75" customHeight="1">
      <c r="S529" s="454"/>
      <c r="AY529" s="458"/>
      <c r="AZ529" s="458"/>
      <c r="BA529" s="1305"/>
      <c r="BC529" s="169"/>
    </row>
    <row r="530" spans="19:55" ht="15.75" customHeight="1">
      <c r="S530" s="454"/>
      <c r="AY530" s="458"/>
      <c r="AZ530" s="458"/>
      <c r="BA530" s="1305"/>
      <c r="BC530" s="169"/>
    </row>
    <row r="531" spans="19:55" ht="15.75" customHeight="1">
      <c r="S531" s="454"/>
      <c r="AY531" s="458"/>
      <c r="AZ531" s="458"/>
      <c r="BA531" s="1305"/>
      <c r="BC531" s="169"/>
    </row>
    <row r="532" spans="19:55" ht="15.75" customHeight="1">
      <c r="S532" s="454"/>
      <c r="AY532" s="458"/>
      <c r="AZ532" s="458"/>
      <c r="BA532" s="1305"/>
      <c r="BC532" s="169"/>
    </row>
    <row r="533" spans="19:55" ht="15.75" customHeight="1">
      <c r="S533" s="454"/>
      <c r="AY533" s="458"/>
      <c r="AZ533" s="458"/>
      <c r="BA533" s="1305"/>
      <c r="BC533" s="169"/>
    </row>
    <row r="534" spans="19:55" ht="15.75" customHeight="1">
      <c r="S534" s="454"/>
      <c r="AY534" s="458"/>
      <c r="AZ534" s="458"/>
      <c r="BA534" s="1305"/>
      <c r="BC534" s="169"/>
    </row>
    <row r="535" spans="19:55" ht="15.75" customHeight="1">
      <c r="S535" s="454"/>
      <c r="AY535" s="458"/>
      <c r="AZ535" s="458"/>
      <c r="BA535" s="1305"/>
      <c r="BC535" s="169"/>
    </row>
    <row r="536" spans="19:55" ht="15.75" customHeight="1">
      <c r="S536" s="454"/>
      <c r="AY536" s="458"/>
      <c r="AZ536" s="458"/>
      <c r="BA536" s="1305"/>
      <c r="BC536" s="169"/>
    </row>
    <row r="537" spans="19:55" ht="15.75" customHeight="1">
      <c r="S537" s="454"/>
      <c r="AY537" s="458"/>
      <c r="AZ537" s="458"/>
      <c r="BA537" s="1305"/>
      <c r="BC537" s="169"/>
    </row>
    <row r="538" spans="19:55" ht="15.75" customHeight="1">
      <c r="S538" s="454"/>
      <c r="AY538" s="458"/>
      <c r="AZ538" s="458"/>
      <c r="BA538" s="1305"/>
      <c r="BC538" s="169"/>
    </row>
    <row r="539" spans="19:55" ht="15.75" customHeight="1">
      <c r="S539" s="454"/>
      <c r="AY539" s="458"/>
      <c r="AZ539" s="458"/>
      <c r="BA539" s="1305"/>
      <c r="BC539" s="169"/>
    </row>
    <row r="540" spans="19:55" ht="15.75" customHeight="1">
      <c r="S540" s="454"/>
      <c r="AY540" s="458"/>
      <c r="AZ540" s="458"/>
      <c r="BA540" s="1305"/>
      <c r="BC540" s="169"/>
    </row>
    <row r="541" spans="19:55" ht="15.75" customHeight="1">
      <c r="S541" s="454"/>
      <c r="AY541" s="458"/>
      <c r="AZ541" s="458"/>
      <c r="BA541" s="1305"/>
      <c r="BC541" s="169"/>
    </row>
    <row r="542" spans="19:55" ht="15.75" customHeight="1">
      <c r="S542" s="454"/>
      <c r="AY542" s="458"/>
      <c r="AZ542" s="458"/>
      <c r="BA542" s="1305"/>
      <c r="BC542" s="169"/>
    </row>
    <row r="543" spans="19:55" ht="15.75" customHeight="1">
      <c r="S543" s="454"/>
      <c r="AY543" s="458"/>
      <c r="AZ543" s="458"/>
      <c r="BA543" s="1305"/>
      <c r="BC543" s="169"/>
    </row>
    <row r="544" spans="19:55" ht="15.75" customHeight="1">
      <c r="S544" s="454"/>
      <c r="AY544" s="458"/>
      <c r="AZ544" s="458"/>
      <c r="BA544" s="1305"/>
      <c r="BC544" s="169"/>
    </row>
    <row r="545" spans="19:55" ht="15.75" customHeight="1">
      <c r="S545" s="454"/>
      <c r="AY545" s="458"/>
      <c r="AZ545" s="458"/>
      <c r="BA545" s="1305"/>
      <c r="BC545" s="169"/>
    </row>
    <row r="546" spans="19:55" ht="15.75" customHeight="1">
      <c r="S546" s="454"/>
      <c r="AY546" s="458"/>
      <c r="AZ546" s="458"/>
      <c r="BA546" s="1305"/>
      <c r="BC546" s="169"/>
    </row>
    <row r="547" spans="19:55" ht="15.75" customHeight="1">
      <c r="S547" s="454"/>
      <c r="AY547" s="458"/>
      <c r="AZ547" s="458"/>
      <c r="BA547" s="1305"/>
      <c r="BC547" s="169"/>
    </row>
    <row r="548" spans="19:55" ht="15.75" customHeight="1">
      <c r="S548" s="454"/>
      <c r="AY548" s="458"/>
      <c r="AZ548" s="458"/>
      <c r="BA548" s="1305"/>
      <c r="BC548" s="169"/>
    </row>
    <row r="549" spans="19:55" ht="15.75" customHeight="1">
      <c r="S549" s="454"/>
      <c r="AY549" s="458"/>
      <c r="AZ549" s="458"/>
      <c r="BA549" s="1305"/>
      <c r="BC549" s="169"/>
    </row>
    <row r="550" spans="19:55" ht="15.75" customHeight="1">
      <c r="S550" s="454"/>
      <c r="AY550" s="458"/>
      <c r="AZ550" s="458"/>
      <c r="BA550" s="1305"/>
      <c r="BC550" s="169"/>
    </row>
    <row r="551" spans="19:55" ht="15.75" customHeight="1">
      <c r="S551" s="454"/>
      <c r="AY551" s="458"/>
      <c r="AZ551" s="458"/>
      <c r="BA551" s="1305"/>
      <c r="BC551" s="169"/>
    </row>
    <row r="552" spans="19:55" ht="15.75" customHeight="1">
      <c r="S552" s="454"/>
      <c r="AY552" s="458"/>
      <c r="AZ552" s="458"/>
      <c r="BA552" s="1305"/>
      <c r="BC552" s="169"/>
    </row>
    <row r="553" spans="19:55" ht="15.75" customHeight="1">
      <c r="S553" s="454"/>
      <c r="AY553" s="458"/>
      <c r="AZ553" s="458"/>
      <c r="BA553" s="1305"/>
      <c r="BC553" s="169"/>
    </row>
    <row r="554" spans="19:55" ht="15.75" customHeight="1">
      <c r="S554" s="454"/>
      <c r="AY554" s="458"/>
      <c r="AZ554" s="458"/>
      <c r="BA554" s="1305"/>
      <c r="BC554" s="169"/>
    </row>
    <row r="555" spans="19:55" ht="15.75" customHeight="1">
      <c r="S555" s="454"/>
      <c r="AY555" s="458"/>
      <c r="AZ555" s="458"/>
      <c r="BA555" s="1305"/>
      <c r="BC555" s="169"/>
    </row>
    <row r="556" spans="19:55" ht="15.75" customHeight="1">
      <c r="S556" s="454"/>
      <c r="AY556" s="458"/>
      <c r="AZ556" s="458"/>
      <c r="BA556" s="1305"/>
      <c r="BC556" s="169"/>
    </row>
    <row r="557" spans="19:55" ht="15.75" customHeight="1">
      <c r="S557" s="454"/>
      <c r="AY557" s="458"/>
      <c r="AZ557" s="458"/>
      <c r="BA557" s="1305"/>
      <c r="BC557" s="169"/>
    </row>
    <row r="558" spans="19:55" ht="15.75" customHeight="1">
      <c r="S558" s="454"/>
      <c r="AY558" s="458"/>
      <c r="AZ558" s="458"/>
      <c r="BA558" s="1305"/>
      <c r="BC558" s="169"/>
    </row>
    <row r="559" spans="19:55" ht="15.75" customHeight="1">
      <c r="S559" s="454"/>
      <c r="AY559" s="458"/>
      <c r="AZ559" s="458"/>
      <c r="BA559" s="1305"/>
      <c r="BC559" s="169"/>
    </row>
    <row r="560" spans="19:55" ht="15.75" customHeight="1">
      <c r="S560" s="454"/>
      <c r="AY560" s="458"/>
      <c r="AZ560" s="458"/>
      <c r="BA560" s="1305"/>
      <c r="BC560" s="169"/>
    </row>
    <row r="561" spans="19:55" ht="15.75" customHeight="1">
      <c r="S561" s="454"/>
      <c r="AY561" s="458"/>
      <c r="AZ561" s="458"/>
      <c r="BA561" s="1305"/>
      <c r="BC561" s="169"/>
    </row>
    <row r="562" spans="19:55" ht="15.75" customHeight="1">
      <c r="S562" s="454"/>
      <c r="AY562" s="458"/>
      <c r="AZ562" s="458"/>
      <c r="BA562" s="1305"/>
      <c r="BC562" s="169"/>
    </row>
    <row r="563" spans="19:55" ht="15.75" customHeight="1">
      <c r="S563" s="454"/>
      <c r="AY563" s="458"/>
      <c r="AZ563" s="458"/>
      <c r="BA563" s="1305"/>
      <c r="BC563" s="169"/>
    </row>
    <row r="564" spans="19:55" ht="15.75" customHeight="1">
      <c r="S564" s="454"/>
      <c r="AY564" s="458"/>
      <c r="AZ564" s="458"/>
      <c r="BA564" s="1305"/>
      <c r="BC564" s="169"/>
    </row>
    <row r="565" spans="19:55" ht="15.75" customHeight="1">
      <c r="S565" s="454"/>
      <c r="AY565" s="458"/>
      <c r="AZ565" s="458"/>
      <c r="BA565" s="1305"/>
      <c r="BC565" s="169"/>
    </row>
    <row r="566" spans="19:55" ht="15.75" customHeight="1">
      <c r="S566" s="454"/>
      <c r="AY566" s="458"/>
      <c r="AZ566" s="458"/>
      <c r="BA566" s="1305"/>
      <c r="BC566" s="169"/>
    </row>
    <row r="567" spans="19:55" ht="15.75" customHeight="1">
      <c r="S567" s="454"/>
      <c r="AY567" s="458"/>
      <c r="AZ567" s="458"/>
      <c r="BA567" s="1305"/>
      <c r="BC567" s="169"/>
    </row>
    <row r="568" spans="19:55" ht="15.75" customHeight="1">
      <c r="S568" s="454"/>
      <c r="AY568" s="458"/>
      <c r="AZ568" s="458"/>
      <c r="BA568" s="1305"/>
      <c r="BC568" s="169"/>
    </row>
    <row r="569" spans="19:55" ht="15.75" customHeight="1">
      <c r="S569" s="454"/>
      <c r="AY569" s="458"/>
      <c r="AZ569" s="458"/>
      <c r="BA569" s="1305"/>
      <c r="BC569" s="169"/>
    </row>
    <row r="570" spans="19:55" ht="15.75" customHeight="1">
      <c r="S570" s="454"/>
      <c r="AY570" s="458"/>
      <c r="AZ570" s="458"/>
      <c r="BA570" s="1305"/>
      <c r="BC570" s="169"/>
    </row>
    <row r="571" spans="19:55" ht="15.75" customHeight="1">
      <c r="S571" s="454"/>
      <c r="AY571" s="458"/>
      <c r="AZ571" s="458"/>
      <c r="BA571" s="1305"/>
      <c r="BC571" s="169"/>
    </row>
    <row r="572" spans="19:55" ht="15.75" customHeight="1">
      <c r="S572" s="454"/>
      <c r="AY572" s="458"/>
      <c r="AZ572" s="458"/>
      <c r="BA572" s="1305"/>
      <c r="BC572" s="169"/>
    </row>
    <row r="573" spans="19:55" ht="15.75" customHeight="1">
      <c r="S573" s="454"/>
      <c r="AY573" s="458"/>
      <c r="AZ573" s="458"/>
      <c r="BA573" s="1305"/>
      <c r="BC573" s="169"/>
    </row>
    <row r="574" spans="19:55" ht="15.75" customHeight="1">
      <c r="S574" s="454"/>
      <c r="AY574" s="458"/>
      <c r="AZ574" s="458"/>
      <c r="BA574" s="1305"/>
      <c r="BC574" s="169"/>
    </row>
    <row r="575" spans="19:55" ht="15.75" customHeight="1">
      <c r="S575" s="454"/>
      <c r="AY575" s="458"/>
      <c r="AZ575" s="458"/>
      <c r="BA575" s="1305"/>
      <c r="BC575" s="169"/>
    </row>
    <row r="576" spans="19:55" ht="15.75" customHeight="1">
      <c r="S576" s="454"/>
      <c r="AY576" s="458"/>
      <c r="AZ576" s="458"/>
      <c r="BA576" s="1305"/>
      <c r="BC576" s="169"/>
    </row>
    <row r="577" spans="19:55" ht="15.75" customHeight="1">
      <c r="S577" s="454"/>
      <c r="AY577" s="458"/>
      <c r="AZ577" s="458"/>
      <c r="BA577" s="1305"/>
      <c r="BC577" s="169"/>
    </row>
    <row r="578" spans="19:55" ht="15.75" customHeight="1">
      <c r="S578" s="454"/>
      <c r="AY578" s="458"/>
      <c r="AZ578" s="458"/>
      <c r="BA578" s="1305"/>
      <c r="BC578" s="169"/>
    </row>
    <row r="579" spans="19:55" ht="15.75" customHeight="1">
      <c r="S579" s="454"/>
      <c r="AY579" s="458"/>
      <c r="AZ579" s="458"/>
      <c r="BA579" s="1305"/>
      <c r="BC579" s="169"/>
    </row>
    <row r="580" spans="19:55" ht="15.75" customHeight="1">
      <c r="S580" s="454"/>
      <c r="AY580" s="458"/>
      <c r="AZ580" s="458"/>
      <c r="BA580" s="1305"/>
      <c r="BC580" s="169"/>
    </row>
    <row r="581" spans="19:55" ht="15.75" customHeight="1">
      <c r="S581" s="454"/>
      <c r="AY581" s="458"/>
      <c r="AZ581" s="458"/>
      <c r="BA581" s="1305"/>
      <c r="BC581" s="169"/>
    </row>
    <row r="582" spans="19:55" ht="15.75" customHeight="1">
      <c r="S582" s="454"/>
      <c r="AY582" s="458"/>
      <c r="AZ582" s="458"/>
      <c r="BA582" s="1305"/>
      <c r="BC582" s="169"/>
    </row>
    <row r="583" spans="19:55" ht="15.75" customHeight="1">
      <c r="S583" s="454"/>
      <c r="AY583" s="458"/>
      <c r="AZ583" s="458"/>
      <c r="BA583" s="1305"/>
      <c r="BC583" s="169"/>
    </row>
    <row r="584" spans="19:55" ht="15.75" customHeight="1">
      <c r="S584" s="454"/>
      <c r="AY584" s="458"/>
      <c r="AZ584" s="458"/>
      <c r="BA584" s="1305"/>
      <c r="BC584" s="169"/>
    </row>
    <row r="585" spans="19:55" ht="15.75" customHeight="1">
      <c r="S585" s="454"/>
      <c r="AY585" s="458"/>
      <c r="AZ585" s="458"/>
      <c r="BA585" s="1305"/>
      <c r="BC585" s="169"/>
    </row>
    <row r="586" spans="19:55" ht="15.75" customHeight="1">
      <c r="S586" s="454"/>
      <c r="AY586" s="458"/>
      <c r="AZ586" s="458"/>
      <c r="BA586" s="1305"/>
      <c r="BC586" s="169"/>
    </row>
    <row r="587" spans="19:55" ht="15.75" customHeight="1">
      <c r="S587" s="454"/>
      <c r="AY587" s="458"/>
      <c r="AZ587" s="458"/>
      <c r="BA587" s="1305"/>
      <c r="BC587" s="169"/>
    </row>
    <row r="588" spans="19:55" ht="15.75" customHeight="1">
      <c r="S588" s="454"/>
      <c r="AY588" s="458"/>
      <c r="AZ588" s="458"/>
      <c r="BA588" s="1305"/>
      <c r="BC588" s="169"/>
    </row>
    <row r="589" spans="19:55" ht="15.75" customHeight="1">
      <c r="S589" s="454"/>
      <c r="AY589" s="458"/>
      <c r="AZ589" s="458"/>
      <c r="BA589" s="1305"/>
      <c r="BC589" s="169"/>
    </row>
    <row r="590" spans="19:55" ht="15.75" customHeight="1">
      <c r="S590" s="454"/>
      <c r="AY590" s="458"/>
      <c r="AZ590" s="458"/>
      <c r="BA590" s="1305"/>
      <c r="BC590" s="169"/>
    </row>
    <row r="591" spans="19:55" ht="15.75" customHeight="1">
      <c r="S591" s="454"/>
      <c r="AY591" s="458"/>
      <c r="AZ591" s="458"/>
      <c r="BA591" s="1305"/>
      <c r="BC591" s="169"/>
    </row>
    <row r="592" spans="19:55" ht="15.75" customHeight="1">
      <c r="S592" s="454"/>
      <c r="AY592" s="458"/>
      <c r="AZ592" s="458"/>
      <c r="BA592" s="1305"/>
      <c r="BC592" s="169"/>
    </row>
    <row r="593" spans="19:55" ht="15.75" customHeight="1">
      <c r="S593" s="454"/>
      <c r="AY593" s="458"/>
      <c r="AZ593" s="458"/>
      <c r="BA593" s="1305"/>
      <c r="BC593" s="169"/>
    </row>
    <row r="594" spans="19:55" ht="15.75" customHeight="1">
      <c r="S594" s="454"/>
      <c r="AY594" s="458"/>
      <c r="AZ594" s="458"/>
      <c r="BA594" s="1305"/>
      <c r="BC594" s="169"/>
    </row>
    <row r="595" spans="19:55" ht="15.75" customHeight="1">
      <c r="S595" s="454"/>
      <c r="AY595" s="458"/>
      <c r="AZ595" s="458"/>
      <c r="BA595" s="1305"/>
      <c r="BC595" s="169"/>
    </row>
    <row r="596" spans="19:55" ht="15.75" customHeight="1">
      <c r="S596" s="454"/>
      <c r="AY596" s="458"/>
      <c r="AZ596" s="458"/>
      <c r="BA596" s="1305"/>
      <c r="BC596" s="169"/>
    </row>
    <row r="597" spans="19:55" ht="15.75" customHeight="1">
      <c r="S597" s="454"/>
      <c r="AY597" s="458"/>
      <c r="AZ597" s="458"/>
      <c r="BA597" s="1305"/>
      <c r="BC597" s="169"/>
    </row>
    <row r="598" spans="19:55" ht="15.75" customHeight="1">
      <c r="S598" s="454"/>
      <c r="AY598" s="458"/>
      <c r="AZ598" s="458"/>
      <c r="BA598" s="1305"/>
      <c r="BC598" s="169"/>
    </row>
    <row r="599" spans="19:55" ht="15.75" customHeight="1">
      <c r="S599" s="454"/>
      <c r="AY599" s="458"/>
      <c r="AZ599" s="458"/>
      <c r="BA599" s="1305"/>
      <c r="BC599" s="169"/>
    </row>
    <row r="600" spans="19:55" ht="15.75" customHeight="1">
      <c r="S600" s="454"/>
      <c r="AY600" s="458"/>
      <c r="AZ600" s="458"/>
      <c r="BA600" s="1305"/>
      <c r="BC600" s="169"/>
    </row>
    <row r="601" spans="19:55" ht="15.75" customHeight="1">
      <c r="S601" s="454"/>
      <c r="AY601" s="458"/>
      <c r="AZ601" s="458"/>
      <c r="BA601" s="1305"/>
      <c r="BC601" s="169"/>
    </row>
    <row r="602" spans="19:55" ht="15.75" customHeight="1">
      <c r="S602" s="454"/>
      <c r="AY602" s="458"/>
      <c r="AZ602" s="458"/>
      <c r="BA602" s="1305"/>
      <c r="BC602" s="169"/>
    </row>
    <row r="603" spans="19:55" ht="15.75" customHeight="1">
      <c r="S603" s="454"/>
      <c r="AY603" s="458"/>
      <c r="AZ603" s="458"/>
      <c r="BA603" s="1305"/>
      <c r="BC603" s="169"/>
    </row>
    <row r="604" spans="19:55" ht="15.75" customHeight="1">
      <c r="S604" s="454"/>
      <c r="AY604" s="458"/>
      <c r="AZ604" s="458"/>
      <c r="BA604" s="1305"/>
      <c r="BC604" s="169"/>
    </row>
    <row r="605" spans="19:55" ht="15.75" customHeight="1">
      <c r="S605" s="454"/>
      <c r="AY605" s="458"/>
      <c r="AZ605" s="458"/>
      <c r="BA605" s="1305"/>
      <c r="BC605" s="169"/>
    </row>
    <row r="606" spans="19:55" ht="15.75" customHeight="1">
      <c r="S606" s="454"/>
      <c r="AY606" s="458"/>
      <c r="AZ606" s="458"/>
      <c r="BA606" s="1305"/>
      <c r="BC606" s="169"/>
    </row>
    <row r="607" spans="19:55" ht="15.75" customHeight="1">
      <c r="S607" s="454"/>
      <c r="AY607" s="458"/>
      <c r="AZ607" s="458"/>
      <c r="BA607" s="1305"/>
      <c r="BC607" s="169"/>
    </row>
    <row r="608" spans="19:55" ht="15.75" customHeight="1">
      <c r="S608" s="454"/>
      <c r="AY608" s="458"/>
      <c r="AZ608" s="458"/>
      <c r="BA608" s="1305"/>
      <c r="BC608" s="169"/>
    </row>
    <row r="609" spans="19:55" ht="15.75" customHeight="1">
      <c r="S609" s="454"/>
      <c r="AY609" s="458"/>
      <c r="AZ609" s="458"/>
      <c r="BA609" s="1305"/>
      <c r="BC609" s="169"/>
    </row>
    <row r="610" spans="19:55" ht="15.75" customHeight="1">
      <c r="S610" s="454"/>
      <c r="AY610" s="458"/>
      <c r="AZ610" s="458"/>
      <c r="BA610" s="1305"/>
      <c r="BC610" s="169"/>
    </row>
    <row r="611" spans="19:55" ht="15.75" customHeight="1">
      <c r="S611" s="454"/>
      <c r="AY611" s="458"/>
      <c r="AZ611" s="458"/>
      <c r="BA611" s="1305"/>
      <c r="BC611" s="169"/>
    </row>
    <row r="612" spans="19:55" ht="15.75" customHeight="1">
      <c r="S612" s="454"/>
      <c r="AY612" s="458"/>
      <c r="AZ612" s="458"/>
      <c r="BA612" s="1305"/>
      <c r="BC612" s="169"/>
    </row>
    <row r="613" spans="19:55" ht="15.75" customHeight="1">
      <c r="S613" s="454"/>
      <c r="AY613" s="458"/>
      <c r="AZ613" s="458"/>
      <c r="BA613" s="1305"/>
      <c r="BC613" s="169"/>
    </row>
    <row r="614" spans="19:55" ht="15.75" customHeight="1">
      <c r="S614" s="454"/>
      <c r="AY614" s="458"/>
      <c r="AZ614" s="458"/>
      <c r="BA614" s="1305"/>
      <c r="BC614" s="169"/>
    </row>
    <row r="615" spans="19:55" ht="15.75" customHeight="1">
      <c r="S615" s="454"/>
      <c r="AY615" s="458"/>
      <c r="AZ615" s="458"/>
      <c r="BA615" s="1305"/>
      <c r="BC615" s="169"/>
    </row>
    <row r="616" spans="19:55" ht="15.75" customHeight="1">
      <c r="S616" s="454"/>
      <c r="AY616" s="458"/>
      <c r="AZ616" s="458"/>
      <c r="BA616" s="1305"/>
      <c r="BC616" s="169"/>
    </row>
    <row r="617" spans="19:55" ht="15.75" customHeight="1">
      <c r="S617" s="454"/>
      <c r="AY617" s="458"/>
      <c r="AZ617" s="458"/>
      <c r="BA617" s="1305"/>
      <c r="BC617" s="169"/>
    </row>
    <row r="618" spans="19:55" ht="15.75" customHeight="1">
      <c r="S618" s="454"/>
      <c r="AY618" s="458"/>
      <c r="AZ618" s="458"/>
      <c r="BA618" s="1305"/>
      <c r="BC618" s="169"/>
    </row>
    <row r="619" spans="19:55" ht="15.75" customHeight="1">
      <c r="S619" s="454"/>
      <c r="AY619" s="458"/>
      <c r="AZ619" s="458"/>
      <c r="BA619" s="1305"/>
      <c r="BC619" s="169"/>
    </row>
    <row r="620" spans="19:55" ht="15.75" customHeight="1">
      <c r="S620" s="454"/>
      <c r="AY620" s="458"/>
      <c r="AZ620" s="458"/>
      <c r="BA620" s="1305"/>
      <c r="BC620" s="169"/>
    </row>
    <row r="621" spans="19:55" ht="15.75" customHeight="1">
      <c r="S621" s="454"/>
      <c r="AY621" s="458"/>
      <c r="AZ621" s="458"/>
      <c r="BA621" s="1305"/>
      <c r="BC621" s="169"/>
    </row>
    <row r="622" spans="19:55" ht="15.75" customHeight="1">
      <c r="S622" s="454"/>
      <c r="AY622" s="458"/>
      <c r="AZ622" s="458"/>
      <c r="BA622" s="1305"/>
      <c r="BC622" s="169"/>
    </row>
    <row r="623" spans="19:55" ht="15.75" customHeight="1">
      <c r="S623" s="454"/>
      <c r="AY623" s="458"/>
      <c r="AZ623" s="458"/>
      <c r="BA623" s="1305"/>
      <c r="BC623" s="169"/>
    </row>
    <row r="624" spans="19:55" ht="15.75" customHeight="1">
      <c r="S624" s="454"/>
      <c r="AY624" s="458"/>
      <c r="AZ624" s="458"/>
      <c r="BA624" s="1305"/>
      <c r="BC624" s="169"/>
    </row>
    <row r="625" spans="19:55" ht="15.75" customHeight="1">
      <c r="S625" s="454"/>
      <c r="AY625" s="458"/>
      <c r="AZ625" s="458"/>
      <c r="BA625" s="1305"/>
      <c r="BC625" s="169"/>
    </row>
    <row r="626" spans="19:55" ht="15.75" customHeight="1">
      <c r="S626" s="454"/>
      <c r="AY626" s="458"/>
      <c r="AZ626" s="458"/>
      <c r="BA626" s="1305"/>
      <c r="BC626" s="169"/>
    </row>
    <row r="627" spans="19:55" ht="15.75" customHeight="1">
      <c r="S627" s="454"/>
      <c r="AY627" s="458"/>
      <c r="AZ627" s="458"/>
      <c r="BA627" s="1305"/>
      <c r="BC627" s="169"/>
    </row>
    <row r="628" spans="19:55" ht="15.75" customHeight="1">
      <c r="S628" s="454"/>
      <c r="AY628" s="458"/>
      <c r="AZ628" s="458"/>
      <c r="BA628" s="1305"/>
      <c r="BC628" s="169"/>
    </row>
    <row r="629" spans="19:55" ht="15.75" customHeight="1">
      <c r="S629" s="454"/>
      <c r="AY629" s="458"/>
      <c r="AZ629" s="458"/>
      <c r="BA629" s="1305"/>
      <c r="BC629" s="169"/>
    </row>
    <row r="630" spans="19:55" ht="15.75" customHeight="1">
      <c r="S630" s="454"/>
      <c r="AY630" s="458"/>
      <c r="AZ630" s="458"/>
      <c r="BA630" s="1305"/>
      <c r="BC630" s="169"/>
    </row>
    <row r="631" spans="19:55" ht="15.75" customHeight="1">
      <c r="S631" s="454"/>
      <c r="AY631" s="458"/>
      <c r="AZ631" s="458"/>
      <c r="BA631" s="1305"/>
      <c r="BC631" s="169"/>
    </row>
    <row r="632" spans="19:55" ht="15.75" customHeight="1">
      <c r="S632" s="454"/>
      <c r="AY632" s="458"/>
      <c r="AZ632" s="458"/>
      <c r="BA632" s="1305"/>
      <c r="BC632" s="169"/>
    </row>
    <row r="633" spans="19:55" ht="15.75" customHeight="1">
      <c r="S633" s="454"/>
      <c r="AY633" s="458"/>
      <c r="AZ633" s="458"/>
      <c r="BA633" s="1305"/>
      <c r="BC633" s="169"/>
    </row>
    <row r="634" spans="19:55" ht="15.75" customHeight="1">
      <c r="S634" s="454"/>
      <c r="AY634" s="458"/>
      <c r="AZ634" s="458"/>
      <c r="BA634" s="1305"/>
      <c r="BC634" s="169"/>
    </row>
    <row r="635" spans="19:55" ht="15.75" customHeight="1">
      <c r="S635" s="454"/>
      <c r="AY635" s="458"/>
      <c r="AZ635" s="458"/>
      <c r="BA635" s="1305"/>
      <c r="BC635" s="169"/>
    </row>
    <row r="636" spans="19:55" ht="15.75" customHeight="1">
      <c r="S636" s="454"/>
      <c r="AY636" s="458"/>
      <c r="AZ636" s="458"/>
      <c r="BA636" s="1305"/>
      <c r="BC636" s="169"/>
    </row>
    <row r="637" spans="19:55" ht="15.75" customHeight="1">
      <c r="S637" s="454"/>
      <c r="AY637" s="458"/>
      <c r="AZ637" s="458"/>
      <c r="BA637" s="1305"/>
      <c r="BC637" s="169"/>
    </row>
    <row r="638" spans="19:55" ht="15.75" customHeight="1">
      <c r="S638" s="454"/>
      <c r="AY638" s="458"/>
      <c r="AZ638" s="458"/>
      <c r="BA638" s="1305"/>
      <c r="BC638" s="169"/>
    </row>
    <row r="639" spans="19:55" ht="15.75" customHeight="1">
      <c r="S639" s="454"/>
      <c r="AY639" s="458"/>
      <c r="AZ639" s="458"/>
      <c r="BA639" s="1305"/>
      <c r="BC639" s="169"/>
    </row>
    <row r="640" spans="19:55" ht="15.75" customHeight="1">
      <c r="S640" s="454"/>
      <c r="AY640" s="458"/>
      <c r="AZ640" s="458"/>
      <c r="BA640" s="1305"/>
      <c r="BC640" s="169"/>
    </row>
    <row r="641" spans="19:55" ht="15.75" customHeight="1">
      <c r="S641" s="454"/>
      <c r="AY641" s="458"/>
      <c r="AZ641" s="458"/>
      <c r="BA641" s="1305"/>
      <c r="BC641" s="169"/>
    </row>
    <row r="642" spans="19:55" ht="15.75" customHeight="1">
      <c r="S642" s="454"/>
      <c r="AY642" s="458"/>
      <c r="AZ642" s="458"/>
      <c r="BA642" s="1305"/>
      <c r="BC642" s="169"/>
    </row>
    <row r="643" spans="19:55" ht="15.75" customHeight="1">
      <c r="S643" s="454"/>
      <c r="AY643" s="458"/>
      <c r="AZ643" s="458"/>
      <c r="BA643" s="1305"/>
      <c r="BC643" s="169"/>
    </row>
    <row r="644" spans="19:55" ht="15.75" customHeight="1">
      <c r="S644" s="454"/>
      <c r="AY644" s="458"/>
      <c r="AZ644" s="458"/>
      <c r="BA644" s="1305"/>
      <c r="BC644" s="169"/>
    </row>
    <row r="645" spans="19:55" ht="15.75" customHeight="1">
      <c r="S645" s="454"/>
      <c r="AY645" s="458"/>
      <c r="AZ645" s="458"/>
      <c r="BA645" s="1305"/>
      <c r="BC645" s="169"/>
    </row>
    <row r="646" spans="19:55" ht="15.75" customHeight="1">
      <c r="S646" s="454"/>
      <c r="AY646" s="458"/>
      <c r="AZ646" s="458"/>
      <c r="BA646" s="1305"/>
      <c r="BC646" s="169"/>
    </row>
    <row r="647" spans="19:55" ht="15.75" customHeight="1">
      <c r="S647" s="454"/>
      <c r="AY647" s="458"/>
      <c r="AZ647" s="458"/>
      <c r="BA647" s="1305"/>
      <c r="BC647" s="169"/>
    </row>
    <row r="648" spans="19:55" ht="15.75" customHeight="1">
      <c r="S648" s="454"/>
      <c r="AY648" s="458"/>
      <c r="AZ648" s="458"/>
      <c r="BA648" s="1305"/>
      <c r="BC648" s="169"/>
    </row>
    <row r="649" spans="19:55" ht="15.75" customHeight="1">
      <c r="S649" s="454"/>
      <c r="AY649" s="458"/>
      <c r="AZ649" s="458"/>
      <c r="BA649" s="1305"/>
      <c r="BC649" s="169"/>
    </row>
    <row r="650" spans="19:55" ht="15.75" customHeight="1">
      <c r="S650" s="454"/>
      <c r="AY650" s="458"/>
      <c r="AZ650" s="458"/>
      <c r="BA650" s="1305"/>
      <c r="BC650" s="169"/>
    </row>
    <row r="651" spans="19:55" ht="15.75" customHeight="1">
      <c r="S651" s="454"/>
      <c r="AY651" s="458"/>
      <c r="AZ651" s="458"/>
      <c r="BA651" s="1305"/>
      <c r="BC651" s="169"/>
    </row>
    <row r="652" spans="19:55" ht="15.75" customHeight="1">
      <c r="S652" s="454"/>
      <c r="AY652" s="458"/>
      <c r="AZ652" s="458"/>
      <c r="BA652" s="1305"/>
      <c r="BC652" s="169"/>
    </row>
    <row r="653" spans="19:55" ht="15.75" customHeight="1">
      <c r="S653" s="454"/>
      <c r="AY653" s="458"/>
      <c r="AZ653" s="458"/>
      <c r="BA653" s="1305"/>
      <c r="BC653" s="169"/>
    </row>
    <row r="654" spans="19:55" ht="15.75" customHeight="1">
      <c r="S654" s="454"/>
      <c r="AY654" s="458"/>
      <c r="AZ654" s="458"/>
      <c r="BA654" s="1305"/>
      <c r="BC654" s="169"/>
    </row>
    <row r="655" spans="19:55" ht="15.75" customHeight="1">
      <c r="S655" s="454"/>
      <c r="AY655" s="458"/>
      <c r="AZ655" s="458"/>
      <c r="BA655" s="1305"/>
      <c r="BC655" s="169"/>
    </row>
    <row r="656" spans="19:55" ht="15.75" customHeight="1">
      <c r="S656" s="454"/>
      <c r="AY656" s="458"/>
      <c r="AZ656" s="458"/>
      <c r="BA656" s="1305"/>
      <c r="BC656" s="169"/>
    </row>
    <row r="657" spans="19:55" ht="15.75" customHeight="1">
      <c r="S657" s="454"/>
      <c r="AY657" s="458"/>
      <c r="AZ657" s="458"/>
      <c r="BA657" s="1305"/>
      <c r="BC657" s="169"/>
    </row>
    <row r="658" spans="19:55" ht="15.75" customHeight="1">
      <c r="S658" s="454"/>
      <c r="AY658" s="458"/>
      <c r="AZ658" s="458"/>
      <c r="BA658" s="1305"/>
      <c r="BC658" s="169"/>
    </row>
    <row r="659" spans="19:55" ht="15.75" customHeight="1">
      <c r="S659" s="454"/>
      <c r="AY659" s="458"/>
      <c r="AZ659" s="458"/>
      <c r="BA659" s="1305"/>
      <c r="BC659" s="169"/>
    </row>
    <row r="660" spans="19:55" ht="15.75" customHeight="1">
      <c r="S660" s="454"/>
      <c r="AY660" s="458"/>
      <c r="AZ660" s="458"/>
      <c r="BA660" s="1305"/>
      <c r="BC660" s="169"/>
    </row>
    <row r="661" spans="19:55" ht="15.75" customHeight="1">
      <c r="S661" s="454"/>
      <c r="AY661" s="458"/>
      <c r="AZ661" s="458"/>
      <c r="BA661" s="1305"/>
      <c r="BC661" s="169"/>
    </row>
    <row r="662" spans="19:55" ht="15.75" customHeight="1">
      <c r="S662" s="454"/>
      <c r="AY662" s="458"/>
      <c r="AZ662" s="458"/>
      <c r="BA662" s="1305"/>
      <c r="BC662" s="169"/>
    </row>
    <row r="663" spans="19:55" ht="15.75" customHeight="1">
      <c r="S663" s="454"/>
      <c r="AY663" s="458"/>
      <c r="AZ663" s="458"/>
      <c r="BA663" s="1305"/>
      <c r="BC663" s="169"/>
    </row>
    <row r="664" spans="19:55" ht="15.75" customHeight="1">
      <c r="S664" s="454"/>
      <c r="AY664" s="458"/>
      <c r="AZ664" s="458"/>
      <c r="BA664" s="1305"/>
      <c r="BC664" s="169"/>
    </row>
    <row r="665" spans="19:55" ht="15.75" customHeight="1">
      <c r="S665" s="454"/>
      <c r="AY665" s="458"/>
      <c r="AZ665" s="458"/>
      <c r="BA665" s="1305"/>
      <c r="BC665" s="169"/>
    </row>
    <row r="666" spans="19:55" ht="15.75" customHeight="1">
      <c r="S666" s="454"/>
      <c r="AY666" s="458"/>
      <c r="AZ666" s="458"/>
      <c r="BA666" s="1305"/>
      <c r="BC666" s="169"/>
    </row>
    <row r="667" spans="19:55" ht="15.75" customHeight="1">
      <c r="S667" s="454"/>
      <c r="AY667" s="458"/>
      <c r="AZ667" s="458"/>
      <c r="BA667" s="1305"/>
      <c r="BC667" s="169"/>
    </row>
    <row r="668" spans="19:55" ht="15.75" customHeight="1">
      <c r="S668" s="454"/>
      <c r="AY668" s="458"/>
      <c r="AZ668" s="458"/>
      <c r="BA668" s="1305"/>
      <c r="BC668" s="169"/>
    </row>
    <row r="669" spans="19:55" ht="15.75" customHeight="1">
      <c r="S669" s="454"/>
      <c r="AY669" s="458"/>
      <c r="AZ669" s="458"/>
      <c r="BA669" s="1305"/>
      <c r="BC669" s="169"/>
    </row>
    <row r="670" spans="19:55" ht="15.75" customHeight="1">
      <c r="S670" s="454"/>
      <c r="AY670" s="458"/>
      <c r="AZ670" s="458"/>
      <c r="BA670" s="1305"/>
      <c r="BC670" s="169"/>
    </row>
    <row r="671" spans="19:55" ht="15.75" customHeight="1">
      <c r="S671" s="454"/>
      <c r="AY671" s="458"/>
      <c r="AZ671" s="458"/>
      <c r="BA671" s="1305"/>
      <c r="BC671" s="169"/>
    </row>
    <row r="672" spans="19:55" ht="15.75" customHeight="1">
      <c r="S672" s="454"/>
      <c r="AY672" s="458"/>
      <c r="AZ672" s="458"/>
      <c r="BA672" s="1305"/>
      <c r="BC672" s="169"/>
    </row>
    <row r="673" spans="19:55" ht="15.75" customHeight="1">
      <c r="S673" s="454"/>
      <c r="AY673" s="458"/>
      <c r="AZ673" s="458"/>
      <c r="BA673" s="1305"/>
      <c r="BC673" s="169"/>
    </row>
    <row r="674" spans="19:55" ht="15.75" customHeight="1">
      <c r="S674" s="454"/>
      <c r="AY674" s="458"/>
      <c r="AZ674" s="458"/>
      <c r="BA674" s="1305"/>
      <c r="BC674" s="169"/>
    </row>
    <row r="675" spans="19:55" ht="15.75" customHeight="1">
      <c r="S675" s="454"/>
      <c r="AY675" s="458"/>
      <c r="AZ675" s="458"/>
      <c r="BA675" s="1305"/>
      <c r="BC675" s="169"/>
    </row>
    <row r="676" spans="19:55" ht="15.75" customHeight="1">
      <c r="S676" s="454"/>
      <c r="AY676" s="458"/>
      <c r="AZ676" s="458"/>
      <c r="BA676" s="1305"/>
      <c r="BC676" s="169"/>
    </row>
    <row r="677" spans="19:55" ht="15.75" customHeight="1">
      <c r="S677" s="454"/>
      <c r="AY677" s="458"/>
      <c r="AZ677" s="458"/>
      <c r="BA677" s="1305"/>
      <c r="BC677" s="169"/>
    </row>
    <row r="678" spans="19:55" ht="15.75" customHeight="1">
      <c r="S678" s="454"/>
      <c r="AY678" s="458"/>
      <c r="AZ678" s="458"/>
      <c r="BA678" s="1305"/>
      <c r="BC678" s="169"/>
    </row>
    <row r="679" spans="19:55" ht="15.75" customHeight="1">
      <c r="S679" s="454"/>
      <c r="AY679" s="458"/>
      <c r="AZ679" s="458"/>
      <c r="BA679" s="1305"/>
      <c r="BC679" s="169"/>
    </row>
    <row r="680" spans="19:55" ht="15.75" customHeight="1">
      <c r="S680" s="454"/>
      <c r="AY680" s="458"/>
      <c r="AZ680" s="458"/>
      <c r="BA680" s="1305"/>
      <c r="BC680" s="169"/>
    </row>
    <row r="681" spans="19:55" ht="15.75" customHeight="1">
      <c r="S681" s="454"/>
      <c r="AY681" s="458"/>
      <c r="AZ681" s="458"/>
      <c r="BA681" s="1305"/>
      <c r="BC681" s="169"/>
    </row>
    <row r="682" spans="19:55" ht="15.75" customHeight="1">
      <c r="S682" s="454"/>
      <c r="AY682" s="458"/>
      <c r="AZ682" s="458"/>
      <c r="BA682" s="1305"/>
      <c r="BC682" s="169"/>
    </row>
    <row r="683" spans="19:55" ht="15.75" customHeight="1">
      <c r="S683" s="454"/>
      <c r="AY683" s="458"/>
      <c r="AZ683" s="458"/>
      <c r="BA683" s="1305"/>
      <c r="BC683" s="169"/>
    </row>
    <row r="684" spans="19:55" ht="15.75" customHeight="1">
      <c r="S684" s="454"/>
      <c r="AY684" s="458"/>
      <c r="AZ684" s="458"/>
      <c r="BA684" s="1305"/>
      <c r="BC684" s="169"/>
    </row>
    <row r="685" spans="19:55" ht="15.75" customHeight="1">
      <c r="S685" s="454"/>
      <c r="AY685" s="458"/>
      <c r="AZ685" s="458"/>
      <c r="BA685" s="1305"/>
      <c r="BC685" s="169"/>
    </row>
    <row r="686" spans="19:55" ht="15.75" customHeight="1">
      <c r="S686" s="454"/>
      <c r="AY686" s="458"/>
      <c r="AZ686" s="458"/>
      <c r="BA686" s="1305"/>
      <c r="BC686" s="169"/>
    </row>
    <row r="687" spans="19:55" ht="15.75" customHeight="1">
      <c r="S687" s="454"/>
      <c r="AY687" s="458"/>
      <c r="AZ687" s="458"/>
      <c r="BA687" s="1305"/>
      <c r="BC687" s="169"/>
    </row>
    <row r="688" spans="19:55" ht="15.75" customHeight="1">
      <c r="S688" s="454"/>
      <c r="AY688" s="458"/>
      <c r="AZ688" s="458"/>
      <c r="BA688" s="1305"/>
      <c r="BC688" s="169"/>
    </row>
    <row r="689" spans="19:55" ht="15.75" customHeight="1">
      <c r="S689" s="454"/>
      <c r="AY689" s="458"/>
      <c r="AZ689" s="458"/>
      <c r="BA689" s="1305"/>
      <c r="BC689" s="169"/>
    </row>
    <row r="690" spans="19:55" ht="15.75" customHeight="1">
      <c r="S690" s="454"/>
      <c r="AY690" s="458"/>
      <c r="AZ690" s="458"/>
      <c r="BA690" s="1305"/>
      <c r="BC690" s="169"/>
    </row>
    <row r="691" spans="19:55" ht="15.75" customHeight="1">
      <c r="S691" s="454"/>
      <c r="AY691" s="458"/>
      <c r="AZ691" s="458"/>
      <c r="BA691" s="1305"/>
      <c r="BC691" s="169"/>
    </row>
    <row r="692" spans="19:55" ht="15.75" customHeight="1">
      <c r="S692" s="454"/>
      <c r="AY692" s="458"/>
      <c r="AZ692" s="458"/>
      <c r="BA692" s="1305"/>
      <c r="BC692" s="169"/>
    </row>
    <row r="693" spans="19:55" ht="15.75" customHeight="1">
      <c r="S693" s="454"/>
      <c r="AY693" s="458"/>
      <c r="AZ693" s="458"/>
      <c r="BA693" s="1305"/>
      <c r="BC693" s="169"/>
    </row>
    <row r="694" spans="19:55" ht="15.75" customHeight="1">
      <c r="S694" s="454"/>
      <c r="AY694" s="458"/>
      <c r="AZ694" s="458"/>
      <c r="BA694" s="1305"/>
      <c r="BC694" s="169"/>
    </row>
    <row r="695" spans="19:55" ht="15.75" customHeight="1">
      <c r="S695" s="454"/>
      <c r="AY695" s="458"/>
      <c r="AZ695" s="458"/>
      <c r="BA695" s="1305"/>
      <c r="BC695" s="169"/>
    </row>
    <row r="696" spans="19:55" ht="15.75" customHeight="1">
      <c r="S696" s="454"/>
      <c r="AY696" s="458"/>
      <c r="AZ696" s="458"/>
      <c r="BA696" s="1305"/>
      <c r="BC696" s="169"/>
    </row>
    <row r="697" spans="19:55" ht="15.75" customHeight="1">
      <c r="S697" s="454"/>
      <c r="AY697" s="458"/>
      <c r="AZ697" s="458"/>
      <c r="BA697" s="1305"/>
      <c r="BC697" s="169"/>
    </row>
    <row r="698" spans="19:55" ht="15.75" customHeight="1">
      <c r="S698" s="454"/>
      <c r="AY698" s="458"/>
      <c r="AZ698" s="458"/>
      <c r="BA698" s="1305"/>
      <c r="BC698" s="169"/>
    </row>
    <row r="699" spans="19:55" ht="15.75" customHeight="1">
      <c r="S699" s="454"/>
      <c r="AY699" s="458"/>
      <c r="AZ699" s="458"/>
      <c r="BA699" s="1305"/>
      <c r="BC699" s="169"/>
    </row>
    <row r="700" spans="19:55" ht="15.75" customHeight="1">
      <c r="S700" s="454"/>
      <c r="AY700" s="458"/>
      <c r="AZ700" s="458"/>
      <c r="BA700" s="1305"/>
      <c r="BC700" s="169"/>
    </row>
    <row r="701" spans="19:55" ht="15.75" customHeight="1">
      <c r="S701" s="454"/>
      <c r="AY701" s="458"/>
      <c r="AZ701" s="458"/>
      <c r="BA701" s="1305"/>
      <c r="BC701" s="169"/>
    </row>
    <row r="702" spans="19:55" ht="15.75" customHeight="1">
      <c r="S702" s="454"/>
      <c r="AY702" s="458"/>
      <c r="AZ702" s="458"/>
      <c r="BA702" s="1305"/>
      <c r="BC702" s="169"/>
    </row>
    <row r="703" spans="19:55" ht="15.75" customHeight="1">
      <c r="S703" s="454"/>
      <c r="AY703" s="458"/>
      <c r="AZ703" s="458"/>
      <c r="BA703" s="1305"/>
      <c r="BC703" s="169"/>
    </row>
    <row r="704" spans="19:55" ht="15.75" customHeight="1">
      <c r="S704" s="454"/>
      <c r="AY704" s="458"/>
      <c r="AZ704" s="458"/>
      <c r="BA704" s="1305"/>
      <c r="BC704" s="169"/>
    </row>
    <row r="705" spans="19:55" ht="15.75" customHeight="1">
      <c r="S705" s="454"/>
      <c r="AY705" s="458"/>
      <c r="AZ705" s="458"/>
      <c r="BA705" s="1305"/>
      <c r="BC705" s="169"/>
    </row>
    <row r="706" spans="19:55" ht="15.75" customHeight="1">
      <c r="S706" s="454"/>
      <c r="AY706" s="458"/>
      <c r="AZ706" s="458"/>
      <c r="BA706" s="1305"/>
      <c r="BC706" s="169"/>
    </row>
    <row r="707" spans="19:55" ht="15.75" customHeight="1">
      <c r="S707" s="454"/>
      <c r="AY707" s="458"/>
      <c r="AZ707" s="458"/>
      <c r="BA707" s="1305"/>
      <c r="BC707" s="169"/>
    </row>
    <row r="708" spans="19:55" ht="15.75" customHeight="1">
      <c r="S708" s="454"/>
      <c r="AY708" s="458"/>
      <c r="AZ708" s="458"/>
      <c r="BA708" s="1305"/>
      <c r="BC708" s="169"/>
    </row>
    <row r="709" spans="19:55" ht="15.75" customHeight="1">
      <c r="S709" s="454"/>
      <c r="AY709" s="458"/>
      <c r="AZ709" s="458"/>
      <c r="BA709" s="1305"/>
      <c r="BC709" s="169"/>
    </row>
    <row r="710" spans="19:55" ht="15.75" customHeight="1">
      <c r="S710" s="454"/>
      <c r="AY710" s="458"/>
      <c r="AZ710" s="458"/>
      <c r="BA710" s="1305"/>
      <c r="BC710" s="169"/>
    </row>
    <row r="711" spans="19:55" ht="15.75" customHeight="1">
      <c r="S711" s="454"/>
      <c r="AY711" s="458"/>
      <c r="AZ711" s="458"/>
      <c r="BA711" s="1305"/>
      <c r="BC711" s="169"/>
    </row>
    <row r="712" spans="19:55" ht="15.75" customHeight="1">
      <c r="S712" s="454"/>
      <c r="AY712" s="458"/>
      <c r="AZ712" s="458"/>
      <c r="BA712" s="1305"/>
      <c r="BC712" s="169"/>
    </row>
    <row r="713" spans="19:55" ht="15.75" customHeight="1">
      <c r="S713" s="454"/>
      <c r="AY713" s="458"/>
      <c r="AZ713" s="458"/>
      <c r="BA713" s="1305"/>
      <c r="BC713" s="169"/>
    </row>
    <row r="714" spans="19:55" ht="15.75" customHeight="1">
      <c r="S714" s="454"/>
      <c r="AY714" s="458"/>
      <c r="AZ714" s="458"/>
      <c r="BA714" s="1305"/>
      <c r="BC714" s="169"/>
    </row>
    <row r="715" spans="19:55" ht="15.75" customHeight="1">
      <c r="S715" s="454"/>
      <c r="AY715" s="458"/>
      <c r="AZ715" s="458"/>
      <c r="BA715" s="1305"/>
      <c r="BC715" s="169"/>
    </row>
    <row r="716" spans="19:55" ht="15.75" customHeight="1">
      <c r="S716" s="454"/>
      <c r="AY716" s="458"/>
      <c r="AZ716" s="458"/>
      <c r="BA716" s="1305"/>
      <c r="BC716" s="169"/>
    </row>
    <row r="717" spans="19:55" ht="15.75" customHeight="1">
      <c r="S717" s="454"/>
      <c r="AY717" s="458"/>
      <c r="AZ717" s="458"/>
      <c r="BA717" s="1305"/>
      <c r="BC717" s="169"/>
    </row>
    <row r="718" spans="19:55" ht="15.75" customHeight="1">
      <c r="S718" s="454"/>
      <c r="AY718" s="458"/>
      <c r="AZ718" s="458"/>
      <c r="BA718" s="1305"/>
      <c r="BC718" s="169"/>
    </row>
    <row r="719" spans="19:55" ht="15.75" customHeight="1">
      <c r="S719" s="454"/>
      <c r="AY719" s="458"/>
      <c r="AZ719" s="458"/>
      <c r="BA719" s="1305"/>
      <c r="BC719" s="169"/>
    </row>
    <row r="720" spans="19:55" ht="15.75" customHeight="1">
      <c r="S720" s="454"/>
      <c r="AY720" s="458"/>
      <c r="AZ720" s="458"/>
      <c r="BA720" s="1305"/>
      <c r="BC720" s="169"/>
    </row>
    <row r="721" spans="19:55" ht="15.75" customHeight="1">
      <c r="S721" s="454"/>
      <c r="AY721" s="458"/>
      <c r="AZ721" s="458"/>
      <c r="BA721" s="1305"/>
      <c r="BC721" s="169"/>
    </row>
    <row r="722" spans="19:55" ht="15.75" customHeight="1">
      <c r="S722" s="454"/>
      <c r="AY722" s="458"/>
      <c r="AZ722" s="458"/>
      <c r="BA722" s="1305"/>
      <c r="BC722" s="169"/>
    </row>
    <row r="723" spans="19:55" ht="15.75" customHeight="1">
      <c r="S723" s="454"/>
      <c r="AY723" s="458"/>
      <c r="AZ723" s="458"/>
      <c r="BA723" s="1305"/>
      <c r="BC723" s="169"/>
    </row>
    <row r="724" spans="19:55" ht="15.75" customHeight="1">
      <c r="S724" s="454"/>
      <c r="AY724" s="458"/>
      <c r="AZ724" s="458"/>
      <c r="BA724" s="1305"/>
      <c r="BC724" s="169"/>
    </row>
    <row r="725" spans="19:55" ht="15.75" customHeight="1">
      <c r="S725" s="454"/>
      <c r="AY725" s="458"/>
      <c r="AZ725" s="458"/>
      <c r="BA725" s="1305"/>
      <c r="BC725" s="169"/>
    </row>
    <row r="726" spans="19:55" ht="15.75" customHeight="1">
      <c r="S726" s="454"/>
      <c r="AY726" s="458"/>
      <c r="AZ726" s="458"/>
      <c r="BA726" s="1305"/>
      <c r="BC726" s="169"/>
    </row>
    <row r="727" spans="19:55" ht="15.75" customHeight="1">
      <c r="S727" s="454"/>
      <c r="AY727" s="458"/>
      <c r="AZ727" s="458"/>
      <c r="BA727" s="1305"/>
      <c r="BC727" s="169"/>
    </row>
    <row r="728" spans="19:55" ht="15.75" customHeight="1">
      <c r="S728" s="454"/>
      <c r="AY728" s="458"/>
      <c r="AZ728" s="458"/>
      <c r="BA728" s="1305"/>
      <c r="BC728" s="169"/>
    </row>
    <row r="729" spans="19:55" ht="15.75" customHeight="1">
      <c r="S729" s="454"/>
      <c r="AY729" s="458"/>
      <c r="AZ729" s="458"/>
      <c r="BA729" s="1305"/>
      <c r="BC729" s="169"/>
    </row>
    <row r="730" spans="19:55" ht="15.75" customHeight="1">
      <c r="S730" s="454"/>
      <c r="AY730" s="458"/>
      <c r="AZ730" s="458"/>
      <c r="BA730" s="1305"/>
      <c r="BC730" s="169"/>
    </row>
    <row r="731" spans="19:55" ht="15.75" customHeight="1">
      <c r="S731" s="454"/>
      <c r="AY731" s="458"/>
      <c r="AZ731" s="458"/>
      <c r="BA731" s="1305"/>
      <c r="BC731" s="169"/>
    </row>
    <row r="732" spans="19:55" ht="15.75" customHeight="1">
      <c r="S732" s="454"/>
      <c r="AY732" s="458"/>
      <c r="AZ732" s="458"/>
      <c r="BA732" s="1305"/>
      <c r="BC732" s="169"/>
    </row>
    <row r="733" spans="19:55" ht="15.75" customHeight="1">
      <c r="S733" s="454"/>
      <c r="AY733" s="458"/>
      <c r="AZ733" s="458"/>
      <c r="BA733" s="1305"/>
      <c r="BC733" s="169"/>
    </row>
    <row r="734" spans="19:55" ht="15.75" customHeight="1">
      <c r="S734" s="454"/>
      <c r="AY734" s="458"/>
      <c r="AZ734" s="458"/>
      <c r="BA734" s="1305"/>
      <c r="BC734" s="169"/>
    </row>
    <row r="735" spans="19:55" ht="15.75" customHeight="1">
      <c r="S735" s="454"/>
      <c r="AY735" s="458"/>
      <c r="AZ735" s="458"/>
      <c r="BA735" s="1305"/>
      <c r="BC735" s="169"/>
    </row>
    <row r="736" spans="19:55" ht="15.75" customHeight="1">
      <c r="S736" s="454"/>
      <c r="AY736" s="458"/>
      <c r="AZ736" s="458"/>
      <c r="BA736" s="1305"/>
      <c r="BC736" s="169"/>
    </row>
    <row r="737" spans="19:55" ht="15.75" customHeight="1">
      <c r="S737" s="454"/>
      <c r="AY737" s="458"/>
      <c r="AZ737" s="458"/>
      <c r="BA737" s="1305"/>
      <c r="BC737" s="169"/>
    </row>
    <row r="738" spans="19:55" ht="15.75" customHeight="1">
      <c r="S738" s="454"/>
      <c r="AY738" s="458"/>
      <c r="AZ738" s="458"/>
      <c r="BA738" s="1305"/>
      <c r="BC738" s="169"/>
    </row>
    <row r="739" spans="19:55" ht="15.75" customHeight="1">
      <c r="S739" s="454"/>
      <c r="AY739" s="458"/>
      <c r="AZ739" s="458"/>
      <c r="BA739" s="1305"/>
      <c r="BC739" s="169"/>
    </row>
    <row r="740" spans="19:55" ht="15.75" customHeight="1">
      <c r="S740" s="454"/>
      <c r="AY740" s="458"/>
      <c r="AZ740" s="458"/>
      <c r="BA740" s="1305"/>
      <c r="BC740" s="169"/>
    </row>
    <row r="741" spans="19:55" ht="15.75" customHeight="1">
      <c r="S741" s="454"/>
      <c r="AY741" s="458"/>
      <c r="AZ741" s="458"/>
      <c r="BA741" s="1305"/>
      <c r="BC741" s="169"/>
    </row>
    <row r="742" spans="19:55" ht="15.75" customHeight="1">
      <c r="S742" s="454"/>
      <c r="AY742" s="458"/>
      <c r="AZ742" s="458"/>
      <c r="BA742" s="1305"/>
      <c r="BC742" s="169"/>
    </row>
    <row r="743" spans="19:55" ht="15.75" customHeight="1">
      <c r="S743" s="454"/>
      <c r="AY743" s="458"/>
      <c r="AZ743" s="458"/>
      <c r="BA743" s="1305"/>
      <c r="BC743" s="169"/>
    </row>
    <row r="744" spans="19:55" ht="15.75" customHeight="1">
      <c r="S744" s="454"/>
      <c r="AY744" s="458"/>
      <c r="AZ744" s="458"/>
      <c r="BA744" s="1305"/>
      <c r="BC744" s="169"/>
    </row>
    <row r="745" spans="19:55" ht="15.75" customHeight="1">
      <c r="S745" s="454"/>
      <c r="AY745" s="458"/>
      <c r="AZ745" s="458"/>
      <c r="BA745" s="1305"/>
      <c r="BC745" s="169"/>
    </row>
    <row r="746" spans="19:55" ht="15.75" customHeight="1">
      <c r="S746" s="454"/>
      <c r="AY746" s="458"/>
      <c r="AZ746" s="458"/>
      <c r="BA746" s="1305"/>
      <c r="BC746" s="169"/>
    </row>
    <row r="747" spans="19:55" ht="15.75" customHeight="1">
      <c r="S747" s="454"/>
      <c r="AY747" s="458"/>
      <c r="AZ747" s="458"/>
      <c r="BA747" s="1305"/>
      <c r="BC747" s="169"/>
    </row>
    <row r="748" spans="19:55" ht="15.75" customHeight="1">
      <c r="S748" s="454"/>
      <c r="AY748" s="458"/>
      <c r="AZ748" s="458"/>
      <c r="BA748" s="1305"/>
      <c r="BC748" s="169"/>
    </row>
    <row r="749" spans="19:55" ht="15.75" customHeight="1">
      <c r="S749" s="454"/>
      <c r="AY749" s="458"/>
      <c r="AZ749" s="458"/>
      <c r="BA749" s="1305"/>
      <c r="BC749" s="169"/>
    </row>
    <row r="750" spans="19:55" ht="15.75" customHeight="1">
      <c r="S750" s="454"/>
      <c r="AY750" s="458"/>
      <c r="AZ750" s="458"/>
      <c r="BA750" s="1305"/>
      <c r="BC750" s="169"/>
    </row>
    <row r="751" spans="19:55" ht="15.75" customHeight="1">
      <c r="S751" s="454"/>
      <c r="AY751" s="458"/>
      <c r="AZ751" s="458"/>
      <c r="BA751" s="1305"/>
      <c r="BC751" s="169"/>
    </row>
    <row r="752" spans="19:55" ht="15.75" customHeight="1">
      <c r="S752" s="454"/>
      <c r="AY752" s="458"/>
      <c r="AZ752" s="458"/>
      <c r="BA752" s="1305"/>
      <c r="BC752" s="169"/>
    </row>
    <row r="753" spans="19:55" ht="15.75" customHeight="1">
      <c r="S753" s="454"/>
      <c r="AY753" s="458"/>
      <c r="AZ753" s="458"/>
      <c r="BA753" s="1305"/>
      <c r="BC753" s="169"/>
    </row>
    <row r="754" spans="19:55" ht="15.75" customHeight="1">
      <c r="S754" s="454"/>
      <c r="AY754" s="458"/>
      <c r="AZ754" s="458"/>
      <c r="BA754" s="1305"/>
      <c r="BC754" s="169"/>
    </row>
    <row r="755" spans="19:55" ht="15.75" customHeight="1">
      <c r="S755" s="454"/>
      <c r="AY755" s="458"/>
      <c r="AZ755" s="458"/>
      <c r="BA755" s="1305"/>
      <c r="BC755" s="169"/>
    </row>
    <row r="756" spans="19:55" ht="15.75" customHeight="1">
      <c r="S756" s="454"/>
      <c r="AY756" s="458"/>
      <c r="AZ756" s="458"/>
      <c r="BA756" s="1305"/>
      <c r="BC756" s="169"/>
    </row>
    <row r="757" spans="19:55" ht="15.75" customHeight="1">
      <c r="S757" s="454"/>
      <c r="AY757" s="458"/>
      <c r="AZ757" s="458"/>
      <c r="BA757" s="1305"/>
      <c r="BC757" s="169"/>
    </row>
    <row r="758" spans="19:55" ht="15.75" customHeight="1">
      <c r="S758" s="454"/>
      <c r="AY758" s="458"/>
      <c r="AZ758" s="458"/>
      <c r="BA758" s="1305"/>
      <c r="BC758" s="169"/>
    </row>
    <row r="759" spans="19:55" ht="15.75" customHeight="1">
      <c r="S759" s="454"/>
      <c r="AY759" s="458"/>
      <c r="AZ759" s="458"/>
      <c r="BA759" s="1305"/>
      <c r="BC759" s="169"/>
    </row>
    <row r="760" spans="19:55" ht="15.75" customHeight="1">
      <c r="S760" s="454"/>
      <c r="AY760" s="458"/>
      <c r="AZ760" s="458"/>
      <c r="BA760" s="1305"/>
      <c r="BC760" s="169"/>
    </row>
    <row r="761" spans="19:55" ht="15.75" customHeight="1">
      <c r="S761" s="454"/>
      <c r="AY761" s="458"/>
      <c r="AZ761" s="458"/>
      <c r="BA761" s="1305"/>
      <c r="BC761" s="169"/>
    </row>
    <row r="762" spans="19:55" ht="15.75" customHeight="1">
      <c r="S762" s="454"/>
      <c r="AY762" s="458"/>
      <c r="AZ762" s="458"/>
      <c r="BA762" s="1305"/>
      <c r="BC762" s="169"/>
    </row>
    <row r="763" spans="19:55" ht="15.75" customHeight="1">
      <c r="S763" s="454"/>
      <c r="AY763" s="458"/>
      <c r="AZ763" s="458"/>
      <c r="BA763" s="1305"/>
      <c r="BC763" s="169"/>
    </row>
    <row r="764" spans="19:55" ht="15.75" customHeight="1">
      <c r="S764" s="454"/>
      <c r="AY764" s="458"/>
      <c r="AZ764" s="458"/>
      <c r="BA764" s="1305"/>
      <c r="BC764" s="169"/>
    </row>
    <row r="765" spans="19:55" ht="15.75" customHeight="1">
      <c r="S765" s="454"/>
      <c r="AY765" s="458"/>
      <c r="AZ765" s="458"/>
      <c r="BA765" s="1305"/>
      <c r="BC765" s="169"/>
    </row>
    <row r="766" spans="19:55" ht="15.75" customHeight="1">
      <c r="S766" s="454"/>
      <c r="AY766" s="458"/>
      <c r="AZ766" s="458"/>
      <c r="BA766" s="1305"/>
      <c r="BC766" s="169"/>
    </row>
    <row r="767" spans="19:55" ht="15.75" customHeight="1">
      <c r="S767" s="454"/>
      <c r="AY767" s="458"/>
      <c r="AZ767" s="458"/>
      <c r="BA767" s="1305"/>
      <c r="BC767" s="169"/>
    </row>
    <row r="768" spans="19:55" ht="15.75" customHeight="1">
      <c r="S768" s="454"/>
      <c r="AY768" s="458"/>
      <c r="AZ768" s="458"/>
      <c r="BA768" s="1305"/>
      <c r="BC768" s="169"/>
    </row>
    <row r="769" spans="19:55" ht="15.75" customHeight="1">
      <c r="S769" s="454"/>
      <c r="AY769" s="458"/>
      <c r="AZ769" s="458"/>
      <c r="BA769" s="1305"/>
      <c r="BC769" s="169"/>
    </row>
    <row r="770" spans="19:55" ht="15.75" customHeight="1">
      <c r="S770" s="454"/>
      <c r="AY770" s="458"/>
      <c r="AZ770" s="458"/>
      <c r="BA770" s="1305"/>
      <c r="BC770" s="169"/>
    </row>
    <row r="771" spans="19:55" ht="15.75" customHeight="1">
      <c r="S771" s="454"/>
      <c r="AY771" s="458"/>
      <c r="AZ771" s="458"/>
      <c r="BA771" s="1305"/>
      <c r="BC771" s="169"/>
    </row>
    <row r="772" spans="19:55" ht="15.75" customHeight="1">
      <c r="S772" s="454"/>
      <c r="AY772" s="458"/>
      <c r="AZ772" s="458"/>
      <c r="BA772" s="1305"/>
      <c r="BC772" s="169"/>
    </row>
    <row r="773" spans="19:55" ht="15.75" customHeight="1">
      <c r="S773" s="454"/>
      <c r="AY773" s="458"/>
      <c r="AZ773" s="458"/>
      <c r="BA773" s="1305"/>
      <c r="BC773" s="169"/>
    </row>
    <row r="774" spans="19:55" ht="15.75" customHeight="1">
      <c r="S774" s="454"/>
      <c r="AY774" s="458"/>
      <c r="AZ774" s="458"/>
      <c r="BA774" s="1305"/>
      <c r="BC774" s="169"/>
    </row>
    <row r="775" spans="19:55" ht="15.75" customHeight="1">
      <c r="S775" s="454"/>
      <c r="AY775" s="458"/>
      <c r="AZ775" s="458"/>
      <c r="BA775" s="1305"/>
      <c r="BC775" s="169"/>
    </row>
    <row r="776" spans="19:55" ht="15.75" customHeight="1">
      <c r="S776" s="454"/>
      <c r="AY776" s="458"/>
      <c r="AZ776" s="458"/>
      <c r="BA776" s="1305"/>
      <c r="BC776" s="169"/>
    </row>
    <row r="777" spans="19:55" ht="15.75" customHeight="1">
      <c r="S777" s="454"/>
      <c r="AY777" s="458"/>
      <c r="AZ777" s="458"/>
      <c r="BA777" s="1305"/>
      <c r="BC777" s="169"/>
    </row>
    <row r="778" spans="19:55" ht="15.75" customHeight="1">
      <c r="S778" s="454"/>
      <c r="AY778" s="458"/>
      <c r="AZ778" s="458"/>
      <c r="BA778" s="1305"/>
      <c r="BC778" s="169"/>
    </row>
    <row r="779" spans="19:55" ht="15.75" customHeight="1">
      <c r="S779" s="454"/>
      <c r="AY779" s="458"/>
      <c r="AZ779" s="458"/>
      <c r="BA779" s="1305"/>
      <c r="BC779" s="169"/>
    </row>
    <row r="780" spans="19:55" ht="15.75" customHeight="1">
      <c r="S780" s="454"/>
      <c r="AY780" s="458"/>
      <c r="AZ780" s="458"/>
      <c r="BA780" s="1305"/>
      <c r="BC780" s="169"/>
    </row>
    <row r="781" spans="19:55" ht="15.75" customHeight="1">
      <c r="S781" s="454"/>
      <c r="AY781" s="458"/>
      <c r="AZ781" s="458"/>
      <c r="BA781" s="1305"/>
      <c r="BC781" s="169"/>
    </row>
    <row r="782" spans="19:55" ht="15.75" customHeight="1">
      <c r="S782" s="454"/>
      <c r="AY782" s="458"/>
      <c r="AZ782" s="458"/>
      <c r="BA782" s="1305"/>
      <c r="BC782" s="169"/>
    </row>
    <row r="783" spans="19:55" ht="15.75" customHeight="1">
      <c r="S783" s="454"/>
      <c r="AY783" s="458"/>
      <c r="AZ783" s="458"/>
      <c r="BA783" s="1305"/>
      <c r="BC783" s="169"/>
    </row>
    <row r="784" spans="19:55" ht="15.75" customHeight="1">
      <c r="S784" s="454"/>
      <c r="AY784" s="458"/>
      <c r="AZ784" s="458"/>
      <c r="BA784" s="1305"/>
      <c r="BC784" s="169"/>
    </row>
    <row r="785" spans="19:55" ht="15.75" customHeight="1">
      <c r="S785" s="454"/>
      <c r="AY785" s="458"/>
      <c r="AZ785" s="458"/>
      <c r="BA785" s="1305"/>
      <c r="BC785" s="169"/>
    </row>
    <row r="786" spans="19:55" ht="15.75" customHeight="1">
      <c r="S786" s="454"/>
      <c r="AY786" s="458"/>
      <c r="AZ786" s="458"/>
      <c r="BA786" s="1305"/>
      <c r="BC786" s="169"/>
    </row>
    <row r="787" spans="19:55" ht="15.75" customHeight="1">
      <c r="S787" s="454"/>
      <c r="AY787" s="458"/>
      <c r="AZ787" s="458"/>
      <c r="BA787" s="1305"/>
      <c r="BC787" s="169"/>
    </row>
    <row r="788" spans="19:55" ht="15.75" customHeight="1">
      <c r="S788" s="454"/>
      <c r="AY788" s="458"/>
      <c r="AZ788" s="458"/>
      <c r="BA788" s="1305"/>
      <c r="BC788" s="169"/>
    </row>
    <row r="789" spans="19:55" ht="15.75" customHeight="1">
      <c r="S789" s="454"/>
      <c r="AY789" s="458"/>
      <c r="AZ789" s="458"/>
      <c r="BA789" s="1305"/>
      <c r="BC789" s="169"/>
    </row>
    <row r="790" spans="19:55" ht="15.75" customHeight="1">
      <c r="S790" s="454"/>
      <c r="AY790" s="458"/>
      <c r="AZ790" s="458"/>
      <c r="BA790" s="1305"/>
      <c r="BC790" s="169"/>
    </row>
    <row r="791" spans="19:55" ht="15.75" customHeight="1">
      <c r="S791" s="454"/>
      <c r="AY791" s="458"/>
      <c r="AZ791" s="458"/>
      <c r="BA791" s="1305"/>
      <c r="BC791" s="169"/>
    </row>
    <row r="792" spans="19:55" ht="15.75" customHeight="1">
      <c r="S792" s="454"/>
      <c r="AY792" s="458"/>
      <c r="AZ792" s="458"/>
      <c r="BA792" s="1305"/>
      <c r="BC792" s="169"/>
    </row>
    <row r="793" spans="19:55" ht="15.75" customHeight="1">
      <c r="S793" s="454"/>
      <c r="AY793" s="458"/>
      <c r="AZ793" s="458"/>
      <c r="BA793" s="1305"/>
      <c r="BC793" s="169"/>
    </row>
    <row r="794" spans="19:55" ht="15.75" customHeight="1">
      <c r="S794" s="454"/>
      <c r="AY794" s="458"/>
      <c r="AZ794" s="458"/>
      <c r="BA794" s="1305"/>
      <c r="BC794" s="169"/>
    </row>
    <row r="795" spans="19:55" ht="15.75" customHeight="1">
      <c r="S795" s="454"/>
      <c r="AY795" s="458"/>
      <c r="AZ795" s="458"/>
      <c r="BA795" s="1305"/>
      <c r="BC795" s="169"/>
    </row>
    <row r="796" spans="19:55" ht="15.75" customHeight="1">
      <c r="S796" s="454"/>
      <c r="AY796" s="458"/>
      <c r="AZ796" s="458"/>
      <c r="BA796" s="1305"/>
      <c r="BC796" s="169"/>
    </row>
    <row r="797" spans="19:55" ht="15.75" customHeight="1">
      <c r="S797" s="454"/>
      <c r="AY797" s="458"/>
      <c r="AZ797" s="458"/>
      <c r="BA797" s="1305"/>
      <c r="BC797" s="169"/>
    </row>
    <row r="798" spans="19:55" ht="15.75" customHeight="1">
      <c r="S798" s="454"/>
      <c r="AY798" s="458"/>
      <c r="AZ798" s="458"/>
      <c r="BA798" s="1305"/>
      <c r="BC798" s="169"/>
    </row>
    <row r="799" spans="19:55" ht="15.75" customHeight="1">
      <c r="S799" s="454"/>
      <c r="AY799" s="458"/>
      <c r="AZ799" s="458"/>
      <c r="BA799" s="1305"/>
      <c r="BC799" s="169"/>
    </row>
    <row r="800" spans="19:55" ht="15.75" customHeight="1">
      <c r="S800" s="454"/>
      <c r="AY800" s="458"/>
      <c r="AZ800" s="458"/>
      <c r="BA800" s="1305"/>
      <c r="BC800" s="169"/>
    </row>
    <row r="801" spans="19:55" ht="15.75" customHeight="1">
      <c r="S801" s="454"/>
      <c r="AY801" s="458"/>
      <c r="AZ801" s="458"/>
      <c r="BA801" s="1305"/>
      <c r="BC801" s="169"/>
    </row>
    <row r="802" spans="19:55" ht="15.75" customHeight="1">
      <c r="S802" s="454"/>
      <c r="AY802" s="458"/>
      <c r="AZ802" s="458"/>
      <c r="BA802" s="1305"/>
      <c r="BC802" s="169"/>
    </row>
    <row r="803" spans="19:55" ht="15.75" customHeight="1">
      <c r="S803" s="454"/>
      <c r="AY803" s="458"/>
      <c r="AZ803" s="458"/>
      <c r="BA803" s="1305"/>
      <c r="BC803" s="169"/>
    </row>
    <row r="804" spans="19:55" ht="15.75" customHeight="1">
      <c r="S804" s="454"/>
      <c r="AY804" s="458"/>
      <c r="AZ804" s="458"/>
      <c r="BA804" s="1305"/>
      <c r="BC804" s="169"/>
    </row>
    <row r="805" spans="19:55" ht="15.75" customHeight="1">
      <c r="S805" s="454"/>
      <c r="AY805" s="458"/>
      <c r="AZ805" s="458"/>
      <c r="BA805" s="1305"/>
      <c r="BC805" s="169"/>
    </row>
    <row r="806" spans="19:55" ht="15.75" customHeight="1">
      <c r="S806" s="454"/>
      <c r="AY806" s="458"/>
      <c r="AZ806" s="458"/>
      <c r="BA806" s="1305"/>
      <c r="BC806" s="169"/>
    </row>
    <row r="807" spans="19:55" ht="15.75" customHeight="1">
      <c r="S807" s="454"/>
      <c r="AY807" s="458"/>
      <c r="AZ807" s="458"/>
      <c r="BA807" s="1305"/>
      <c r="BC807" s="169"/>
    </row>
    <row r="808" spans="19:55" ht="15.75" customHeight="1">
      <c r="S808" s="454"/>
      <c r="AY808" s="458"/>
      <c r="AZ808" s="458"/>
      <c r="BA808" s="1305"/>
      <c r="BC808" s="169"/>
    </row>
    <row r="809" spans="19:55" ht="15.75" customHeight="1">
      <c r="S809" s="454"/>
      <c r="AY809" s="458"/>
      <c r="AZ809" s="458"/>
      <c r="BA809" s="1305"/>
      <c r="BC809" s="169"/>
    </row>
    <row r="810" spans="19:55" ht="15.75" customHeight="1">
      <c r="S810" s="454"/>
      <c r="AY810" s="458"/>
      <c r="AZ810" s="458"/>
      <c r="BA810" s="1305"/>
      <c r="BC810" s="169"/>
    </row>
    <row r="811" spans="19:55" ht="15.75" customHeight="1">
      <c r="S811" s="454"/>
      <c r="AY811" s="458"/>
      <c r="AZ811" s="458"/>
      <c r="BA811" s="1305"/>
      <c r="BC811" s="169"/>
    </row>
    <row r="812" spans="19:55" ht="15.75" customHeight="1">
      <c r="S812" s="454"/>
      <c r="AY812" s="458"/>
      <c r="AZ812" s="458"/>
      <c r="BA812" s="1305"/>
      <c r="BC812" s="169"/>
    </row>
    <row r="813" spans="19:55" ht="15.75" customHeight="1">
      <c r="S813" s="454"/>
      <c r="AY813" s="458"/>
      <c r="AZ813" s="458"/>
      <c r="BA813" s="1305"/>
      <c r="BC813" s="169"/>
    </row>
    <row r="814" spans="19:55" ht="15.75" customHeight="1">
      <c r="S814" s="454"/>
      <c r="AY814" s="458"/>
      <c r="AZ814" s="458"/>
      <c r="BA814" s="1305"/>
      <c r="BC814" s="169"/>
    </row>
    <row r="815" spans="19:55" ht="15.75" customHeight="1">
      <c r="S815" s="454"/>
      <c r="AY815" s="458"/>
      <c r="AZ815" s="458"/>
      <c r="BA815" s="1305"/>
      <c r="BC815" s="169"/>
    </row>
    <row r="816" spans="19:55" ht="15.75" customHeight="1">
      <c r="S816" s="454"/>
      <c r="AY816" s="458"/>
      <c r="AZ816" s="458"/>
      <c r="BA816" s="1305"/>
      <c r="BC816" s="169"/>
    </row>
    <row r="817" spans="19:55" ht="15.75" customHeight="1">
      <c r="S817" s="454"/>
      <c r="AY817" s="458"/>
      <c r="AZ817" s="458"/>
      <c r="BA817" s="1305"/>
      <c r="BC817" s="169"/>
    </row>
    <row r="818" spans="19:55" ht="15.75" customHeight="1">
      <c r="S818" s="454"/>
      <c r="AY818" s="458"/>
      <c r="AZ818" s="458"/>
      <c r="BA818" s="1305"/>
      <c r="BC818" s="169"/>
    </row>
    <row r="819" spans="19:55" ht="15.75" customHeight="1">
      <c r="S819" s="454"/>
      <c r="AY819" s="458"/>
      <c r="AZ819" s="458"/>
      <c r="BA819" s="1305"/>
      <c r="BC819" s="169"/>
    </row>
    <row r="820" spans="19:55" ht="15.75" customHeight="1">
      <c r="S820" s="454"/>
      <c r="AY820" s="458"/>
      <c r="AZ820" s="458"/>
      <c r="BA820" s="1305"/>
      <c r="BC820" s="169"/>
    </row>
    <row r="821" spans="19:55" ht="15.75" customHeight="1">
      <c r="S821" s="454"/>
      <c r="AY821" s="458"/>
      <c r="AZ821" s="458"/>
      <c r="BA821" s="1305"/>
      <c r="BC821" s="169"/>
    </row>
    <row r="822" spans="19:55" ht="15.75" customHeight="1">
      <c r="S822" s="454"/>
      <c r="AY822" s="458"/>
      <c r="AZ822" s="458"/>
      <c r="BA822" s="1305"/>
      <c r="BC822" s="169"/>
    </row>
    <row r="823" spans="19:55" ht="15.75" customHeight="1">
      <c r="S823" s="454"/>
      <c r="AY823" s="458"/>
      <c r="AZ823" s="458"/>
      <c r="BA823" s="1305"/>
      <c r="BC823" s="169"/>
    </row>
    <row r="824" spans="19:55" ht="15.75" customHeight="1">
      <c r="S824" s="454"/>
      <c r="AY824" s="458"/>
      <c r="AZ824" s="458"/>
      <c r="BA824" s="1305"/>
      <c r="BC824" s="169"/>
    </row>
    <row r="825" spans="19:55" ht="15.75" customHeight="1">
      <c r="S825" s="454"/>
      <c r="AY825" s="458"/>
      <c r="AZ825" s="458"/>
      <c r="BA825" s="1305"/>
      <c r="BC825" s="169"/>
    </row>
    <row r="826" spans="19:55" ht="15.75" customHeight="1">
      <c r="S826" s="454"/>
      <c r="AY826" s="458"/>
      <c r="AZ826" s="458"/>
      <c r="BA826" s="1305"/>
      <c r="BC826" s="169"/>
    </row>
    <row r="827" spans="19:55" ht="15.75" customHeight="1">
      <c r="S827" s="454"/>
      <c r="AY827" s="458"/>
      <c r="AZ827" s="458"/>
      <c r="BA827" s="1305"/>
      <c r="BC827" s="169"/>
    </row>
    <row r="828" spans="19:55" ht="15.75" customHeight="1">
      <c r="S828" s="454"/>
      <c r="AY828" s="458"/>
      <c r="AZ828" s="458"/>
      <c r="BA828" s="1305"/>
      <c r="BC828" s="169"/>
    </row>
    <row r="829" spans="19:55" ht="15.75" customHeight="1">
      <c r="S829" s="454"/>
      <c r="AY829" s="458"/>
      <c r="AZ829" s="458"/>
      <c r="BA829" s="1305"/>
      <c r="BC829" s="169"/>
    </row>
    <row r="830" spans="19:55" ht="15.75" customHeight="1">
      <c r="S830" s="454"/>
      <c r="AY830" s="458"/>
      <c r="AZ830" s="458"/>
      <c r="BA830" s="1305"/>
      <c r="BC830" s="169"/>
    </row>
    <row r="831" spans="19:55" ht="15.75" customHeight="1">
      <c r="S831" s="454"/>
      <c r="AY831" s="458"/>
      <c r="AZ831" s="458"/>
      <c r="BA831" s="1305"/>
      <c r="BC831" s="169"/>
    </row>
    <row r="832" spans="19:55" ht="15.75" customHeight="1">
      <c r="S832" s="454"/>
      <c r="AY832" s="458"/>
      <c r="AZ832" s="458"/>
      <c r="BA832" s="1305"/>
      <c r="BC832" s="169"/>
    </row>
    <row r="833" spans="19:55" ht="15.75" customHeight="1">
      <c r="S833" s="454"/>
      <c r="AY833" s="458"/>
      <c r="AZ833" s="458"/>
      <c r="BA833" s="1305"/>
      <c r="BC833" s="169"/>
    </row>
    <row r="834" spans="19:55" ht="15.75" customHeight="1">
      <c r="S834" s="454"/>
      <c r="AY834" s="458"/>
      <c r="AZ834" s="458"/>
      <c r="BA834" s="1305"/>
      <c r="BC834" s="169"/>
    </row>
    <row r="835" spans="19:55" ht="15.75" customHeight="1">
      <c r="S835" s="454"/>
      <c r="AY835" s="458"/>
      <c r="AZ835" s="458"/>
      <c r="BA835" s="1305"/>
      <c r="BC835" s="169"/>
    </row>
    <row r="836" spans="19:55" ht="15.75" customHeight="1">
      <c r="S836" s="454"/>
      <c r="AY836" s="458"/>
      <c r="AZ836" s="458"/>
      <c r="BA836" s="1305"/>
      <c r="BC836" s="169"/>
    </row>
    <row r="837" spans="19:55" ht="15.75" customHeight="1">
      <c r="S837" s="454"/>
      <c r="AY837" s="458"/>
      <c r="AZ837" s="458"/>
      <c r="BA837" s="1305"/>
      <c r="BC837" s="169"/>
    </row>
    <row r="838" spans="19:55" ht="15.75" customHeight="1">
      <c r="S838" s="454"/>
      <c r="AY838" s="458"/>
      <c r="AZ838" s="458"/>
      <c r="BA838" s="1305"/>
      <c r="BC838" s="169"/>
    </row>
    <row r="839" spans="19:55" ht="15.75" customHeight="1">
      <c r="S839" s="454"/>
      <c r="AY839" s="458"/>
      <c r="AZ839" s="458"/>
      <c r="BA839" s="1305"/>
      <c r="BC839" s="169"/>
    </row>
    <row r="840" spans="19:55" ht="15.75" customHeight="1">
      <c r="S840" s="454"/>
      <c r="AY840" s="458"/>
      <c r="AZ840" s="458"/>
      <c r="BA840" s="1305"/>
      <c r="BC840" s="169"/>
    </row>
    <row r="841" spans="19:55" ht="15.75" customHeight="1">
      <c r="S841" s="454"/>
      <c r="AY841" s="458"/>
      <c r="AZ841" s="458"/>
      <c r="BA841" s="1305"/>
      <c r="BC841" s="169"/>
    </row>
    <row r="842" spans="19:55" ht="15.75" customHeight="1">
      <c r="S842" s="454"/>
      <c r="AY842" s="458"/>
      <c r="AZ842" s="458"/>
      <c r="BA842" s="1305"/>
      <c r="BC842" s="169"/>
    </row>
    <row r="843" spans="19:55" ht="15.75" customHeight="1">
      <c r="S843" s="454"/>
      <c r="AY843" s="458"/>
      <c r="AZ843" s="458"/>
      <c r="BA843" s="1305"/>
      <c r="BC843" s="169"/>
    </row>
    <row r="844" spans="19:55" ht="15.75" customHeight="1">
      <c r="S844" s="454"/>
      <c r="AY844" s="458"/>
      <c r="AZ844" s="458"/>
      <c r="BA844" s="1305"/>
      <c r="BC844" s="169"/>
    </row>
    <row r="845" spans="19:55" ht="15.75" customHeight="1">
      <c r="S845" s="454"/>
      <c r="AY845" s="458"/>
      <c r="AZ845" s="458"/>
      <c r="BA845" s="1305"/>
      <c r="BC845" s="169"/>
    </row>
    <row r="846" spans="19:55" ht="15.75" customHeight="1">
      <c r="S846" s="454"/>
      <c r="AY846" s="458"/>
      <c r="AZ846" s="458"/>
      <c r="BA846" s="1305"/>
      <c r="BC846" s="169"/>
    </row>
    <row r="847" spans="19:55" ht="15.75" customHeight="1">
      <c r="S847" s="454"/>
      <c r="AY847" s="458"/>
      <c r="AZ847" s="458"/>
      <c r="BA847" s="1305"/>
      <c r="BC847" s="169"/>
    </row>
    <row r="848" spans="19:55" ht="15.75" customHeight="1">
      <c r="S848" s="454"/>
      <c r="AY848" s="458"/>
      <c r="AZ848" s="458"/>
      <c r="BA848" s="1305"/>
      <c r="BC848" s="169"/>
    </row>
    <row r="849" spans="19:55" ht="15.75" customHeight="1">
      <c r="S849" s="454"/>
      <c r="AY849" s="458"/>
      <c r="AZ849" s="458"/>
      <c r="BA849" s="1305"/>
      <c r="BC849" s="169"/>
    </row>
    <row r="850" spans="19:55" ht="15.75" customHeight="1">
      <c r="S850" s="454"/>
      <c r="AY850" s="458"/>
      <c r="AZ850" s="458"/>
      <c r="BA850" s="1305"/>
      <c r="BC850" s="169"/>
    </row>
    <row r="851" spans="19:55" ht="15.75" customHeight="1">
      <c r="S851" s="454"/>
      <c r="AY851" s="458"/>
      <c r="AZ851" s="458"/>
      <c r="BA851" s="1305"/>
      <c r="BC851" s="169"/>
    </row>
    <row r="852" spans="19:55" ht="15.75" customHeight="1">
      <c r="S852" s="454"/>
      <c r="AY852" s="458"/>
      <c r="AZ852" s="458"/>
      <c r="BA852" s="1305"/>
      <c r="BC852" s="169"/>
    </row>
    <row r="853" spans="19:55" ht="15.75" customHeight="1">
      <c r="S853" s="454"/>
      <c r="AY853" s="458"/>
      <c r="AZ853" s="458"/>
      <c r="BA853" s="1305"/>
      <c r="BC853" s="169"/>
    </row>
    <row r="854" spans="19:55" ht="15.75" customHeight="1">
      <c r="S854" s="454"/>
      <c r="AY854" s="458"/>
      <c r="AZ854" s="458"/>
      <c r="BA854" s="1305"/>
      <c r="BC854" s="169"/>
    </row>
    <row r="855" spans="19:55" ht="15.75" customHeight="1">
      <c r="S855" s="454"/>
      <c r="AY855" s="458"/>
      <c r="AZ855" s="458"/>
      <c r="BA855" s="1305"/>
      <c r="BC855" s="169"/>
    </row>
    <row r="856" spans="19:55" ht="15.75" customHeight="1">
      <c r="S856" s="454"/>
      <c r="AY856" s="458"/>
      <c r="AZ856" s="458"/>
      <c r="BA856" s="1305"/>
      <c r="BC856" s="169"/>
    </row>
    <row r="857" spans="19:55" ht="15.75" customHeight="1">
      <c r="S857" s="454"/>
      <c r="AY857" s="458"/>
      <c r="AZ857" s="458"/>
      <c r="BA857" s="1305"/>
      <c r="BC857" s="169"/>
    </row>
    <row r="858" spans="19:55" ht="15.75" customHeight="1">
      <c r="S858" s="454"/>
      <c r="AY858" s="458"/>
      <c r="AZ858" s="458"/>
      <c r="BA858" s="1305"/>
      <c r="BC858" s="169"/>
    </row>
    <row r="859" spans="19:55" ht="15.75" customHeight="1">
      <c r="S859" s="454"/>
      <c r="AY859" s="458"/>
      <c r="AZ859" s="458"/>
      <c r="BA859" s="1305"/>
      <c r="BC859" s="169"/>
    </row>
    <row r="860" spans="19:55" ht="15.75" customHeight="1">
      <c r="S860" s="454"/>
      <c r="AY860" s="458"/>
      <c r="AZ860" s="458"/>
      <c r="BA860" s="1305"/>
      <c r="BC860" s="169"/>
    </row>
    <row r="861" spans="19:55" ht="15.75" customHeight="1">
      <c r="S861" s="454"/>
      <c r="AY861" s="458"/>
      <c r="AZ861" s="458"/>
      <c r="BA861" s="1305"/>
      <c r="BC861" s="169"/>
    </row>
    <row r="862" spans="19:55" ht="15.75" customHeight="1">
      <c r="S862" s="454"/>
      <c r="AY862" s="458"/>
      <c r="AZ862" s="458"/>
      <c r="BA862" s="1305"/>
      <c r="BC862" s="169"/>
    </row>
    <row r="863" spans="19:55" ht="15.75" customHeight="1">
      <c r="S863" s="454"/>
      <c r="AY863" s="458"/>
      <c r="AZ863" s="458"/>
      <c r="BA863" s="1305"/>
      <c r="BC863" s="169"/>
    </row>
    <row r="864" spans="19:55" ht="15.75" customHeight="1">
      <c r="S864" s="454"/>
      <c r="AY864" s="458"/>
      <c r="AZ864" s="458"/>
      <c r="BA864" s="1305"/>
      <c r="BC864" s="169"/>
    </row>
    <row r="865" spans="19:55" ht="15.75" customHeight="1">
      <c r="S865" s="454"/>
      <c r="AY865" s="458"/>
      <c r="AZ865" s="458"/>
      <c r="BA865" s="1305"/>
      <c r="BC865" s="169"/>
    </row>
    <row r="866" spans="19:55" ht="15.75" customHeight="1">
      <c r="S866" s="454"/>
      <c r="AY866" s="458"/>
      <c r="AZ866" s="458"/>
      <c r="BA866" s="1305"/>
      <c r="BC866" s="169"/>
    </row>
    <row r="867" spans="19:55" ht="15.75" customHeight="1">
      <c r="S867" s="454"/>
      <c r="AY867" s="458"/>
      <c r="AZ867" s="458"/>
      <c r="BA867" s="1305"/>
      <c r="BC867" s="169"/>
    </row>
    <row r="868" spans="19:55" ht="15.75" customHeight="1">
      <c r="S868" s="454"/>
      <c r="AY868" s="458"/>
      <c r="AZ868" s="458"/>
      <c r="BA868" s="1305"/>
      <c r="BC868" s="169"/>
    </row>
    <row r="869" spans="19:55" ht="15.75" customHeight="1">
      <c r="S869" s="454"/>
      <c r="AY869" s="458"/>
      <c r="AZ869" s="458"/>
      <c r="BA869" s="1305"/>
      <c r="BC869" s="169"/>
    </row>
    <row r="870" spans="19:55" ht="15.75" customHeight="1">
      <c r="S870" s="454"/>
      <c r="AY870" s="458"/>
      <c r="AZ870" s="458"/>
      <c r="BA870" s="1305"/>
      <c r="BC870" s="169"/>
    </row>
    <row r="871" spans="19:55" ht="15.75" customHeight="1">
      <c r="S871" s="454"/>
      <c r="AY871" s="458"/>
      <c r="AZ871" s="458"/>
      <c r="BA871" s="1305"/>
      <c r="BC871" s="169"/>
    </row>
    <row r="872" spans="19:55" ht="15.75" customHeight="1">
      <c r="S872" s="454"/>
      <c r="AY872" s="458"/>
      <c r="AZ872" s="458"/>
      <c r="BA872" s="1305"/>
      <c r="BC872" s="169"/>
    </row>
    <row r="873" spans="19:55" ht="15.75" customHeight="1">
      <c r="S873" s="454"/>
      <c r="AY873" s="458"/>
      <c r="AZ873" s="458"/>
      <c r="BA873" s="1305"/>
      <c r="BC873" s="169"/>
    </row>
    <row r="874" spans="19:55" ht="15.75" customHeight="1">
      <c r="S874" s="454"/>
      <c r="AY874" s="458"/>
      <c r="AZ874" s="458"/>
      <c r="BA874" s="1305"/>
      <c r="BC874" s="169"/>
    </row>
    <row r="875" spans="19:55" ht="15.75" customHeight="1">
      <c r="S875" s="454"/>
      <c r="AY875" s="458"/>
      <c r="AZ875" s="458"/>
      <c r="BA875" s="1305"/>
      <c r="BC875" s="169"/>
    </row>
    <row r="876" spans="19:55" ht="15.75" customHeight="1">
      <c r="S876" s="454"/>
      <c r="AY876" s="458"/>
      <c r="AZ876" s="458"/>
      <c r="BA876" s="1305"/>
      <c r="BC876" s="169"/>
    </row>
    <row r="877" spans="19:55" ht="15.75" customHeight="1">
      <c r="S877" s="454"/>
      <c r="AY877" s="458"/>
      <c r="AZ877" s="458"/>
      <c r="BA877" s="1305"/>
      <c r="BC877" s="169"/>
    </row>
    <row r="878" spans="19:55" ht="15.75" customHeight="1">
      <c r="S878" s="454"/>
      <c r="AY878" s="458"/>
      <c r="AZ878" s="458"/>
      <c r="BA878" s="1305"/>
      <c r="BC878" s="169"/>
    </row>
    <row r="879" spans="19:55" ht="15.75" customHeight="1">
      <c r="S879" s="454"/>
      <c r="AY879" s="458"/>
      <c r="AZ879" s="458"/>
      <c r="BA879" s="1305"/>
      <c r="BC879" s="169"/>
    </row>
    <row r="880" spans="19:55" ht="15.75" customHeight="1">
      <c r="S880" s="454"/>
      <c r="AY880" s="458"/>
      <c r="AZ880" s="458"/>
      <c r="BA880" s="1305"/>
      <c r="BC880" s="169"/>
    </row>
    <row r="881" spans="19:55" ht="15.75" customHeight="1">
      <c r="S881" s="454"/>
      <c r="AY881" s="458"/>
      <c r="AZ881" s="458"/>
      <c r="BA881" s="1305"/>
      <c r="BC881" s="169"/>
    </row>
    <row r="882" spans="19:55" ht="15.75" customHeight="1">
      <c r="S882" s="454"/>
      <c r="AY882" s="458"/>
      <c r="AZ882" s="458"/>
      <c r="BA882" s="1305"/>
      <c r="BC882" s="169"/>
    </row>
    <row r="883" spans="19:55" ht="15.75" customHeight="1">
      <c r="S883" s="454"/>
      <c r="AY883" s="458"/>
      <c r="AZ883" s="458"/>
      <c r="BA883" s="1305"/>
      <c r="BC883" s="169"/>
    </row>
    <row r="884" spans="19:55" ht="15.75" customHeight="1">
      <c r="S884" s="454"/>
      <c r="AY884" s="458"/>
      <c r="AZ884" s="458"/>
      <c r="BA884" s="1305"/>
      <c r="BC884" s="169"/>
    </row>
    <row r="885" spans="19:55" ht="15.75" customHeight="1">
      <c r="S885" s="454"/>
      <c r="AY885" s="458"/>
      <c r="AZ885" s="458"/>
      <c r="BA885" s="1305"/>
      <c r="BC885" s="169"/>
    </row>
    <row r="886" spans="19:55" ht="15.75" customHeight="1">
      <c r="S886" s="454"/>
      <c r="AY886" s="458"/>
      <c r="AZ886" s="458"/>
      <c r="BA886" s="1305"/>
      <c r="BC886" s="169"/>
    </row>
    <row r="887" spans="19:55" ht="15.75" customHeight="1">
      <c r="S887" s="454"/>
      <c r="AY887" s="458"/>
      <c r="AZ887" s="458"/>
      <c r="BA887" s="1305"/>
      <c r="BC887" s="169"/>
    </row>
    <row r="888" spans="19:55" ht="15.75" customHeight="1">
      <c r="S888" s="454"/>
      <c r="AY888" s="458"/>
      <c r="AZ888" s="458"/>
      <c r="BA888" s="1305"/>
      <c r="BC888" s="169"/>
    </row>
    <row r="889" spans="19:55" ht="15.75" customHeight="1">
      <c r="S889" s="454"/>
      <c r="AY889" s="458"/>
      <c r="AZ889" s="458"/>
      <c r="BA889" s="1305"/>
      <c r="BC889" s="169"/>
    </row>
    <row r="890" spans="19:55" ht="15.75" customHeight="1">
      <c r="S890" s="454"/>
      <c r="AY890" s="458"/>
      <c r="AZ890" s="458"/>
      <c r="BA890" s="1305"/>
      <c r="BC890" s="169"/>
    </row>
    <row r="891" spans="19:55" ht="15.75" customHeight="1">
      <c r="S891" s="454"/>
      <c r="AY891" s="458"/>
      <c r="AZ891" s="458"/>
      <c r="BA891" s="1305"/>
      <c r="BC891" s="169"/>
    </row>
    <row r="892" spans="19:55" ht="15.75" customHeight="1">
      <c r="S892" s="454"/>
      <c r="AY892" s="458"/>
      <c r="AZ892" s="458"/>
      <c r="BA892" s="1305"/>
      <c r="BC892" s="169"/>
    </row>
    <row r="893" spans="19:55" ht="15.75" customHeight="1">
      <c r="S893" s="454"/>
      <c r="AY893" s="458"/>
      <c r="AZ893" s="458"/>
      <c r="BA893" s="1305"/>
      <c r="BC893" s="169"/>
    </row>
    <row r="894" spans="19:55" ht="15.75" customHeight="1">
      <c r="S894" s="454"/>
      <c r="AY894" s="458"/>
      <c r="AZ894" s="458"/>
      <c r="BA894" s="1305"/>
      <c r="BC894" s="169"/>
    </row>
    <row r="895" spans="19:55" ht="15.75" customHeight="1">
      <c r="S895" s="454"/>
      <c r="AY895" s="458"/>
      <c r="AZ895" s="458"/>
      <c r="BA895" s="1305"/>
      <c r="BC895" s="169"/>
    </row>
    <row r="896" spans="19:55" ht="15.75" customHeight="1">
      <c r="S896" s="454"/>
      <c r="AY896" s="458"/>
      <c r="AZ896" s="458"/>
      <c r="BA896" s="1305"/>
      <c r="BC896" s="169"/>
    </row>
    <row r="897" spans="19:55" ht="15.75" customHeight="1">
      <c r="S897" s="454"/>
      <c r="AY897" s="458"/>
      <c r="AZ897" s="458"/>
      <c r="BA897" s="1305"/>
      <c r="BC897" s="169"/>
    </row>
    <row r="898" spans="19:55" ht="15.75" customHeight="1">
      <c r="S898" s="454"/>
      <c r="AY898" s="458"/>
      <c r="AZ898" s="458"/>
      <c r="BA898" s="1305"/>
      <c r="BC898" s="169"/>
    </row>
    <row r="899" spans="19:55" ht="15.75" customHeight="1">
      <c r="S899" s="454"/>
      <c r="AY899" s="458"/>
      <c r="AZ899" s="458"/>
      <c r="BA899" s="1305"/>
      <c r="BC899" s="169"/>
    </row>
    <row r="900" spans="19:55" ht="15.75" customHeight="1">
      <c r="S900" s="454"/>
      <c r="AY900" s="458"/>
      <c r="AZ900" s="458"/>
      <c r="BA900" s="1305"/>
      <c r="BC900" s="169"/>
    </row>
    <row r="901" spans="19:55" ht="15.75" customHeight="1">
      <c r="S901" s="454"/>
      <c r="AY901" s="458"/>
      <c r="AZ901" s="458"/>
      <c r="BA901" s="1305"/>
      <c r="BC901" s="169"/>
    </row>
    <row r="902" spans="19:55" ht="15.75" customHeight="1">
      <c r="S902" s="454"/>
      <c r="AY902" s="458"/>
      <c r="AZ902" s="458"/>
      <c r="BA902" s="1305"/>
      <c r="BC902" s="169"/>
    </row>
    <row r="903" spans="19:55" ht="15.75" customHeight="1">
      <c r="S903" s="454"/>
      <c r="AY903" s="458"/>
      <c r="AZ903" s="458"/>
      <c r="BA903" s="1305"/>
      <c r="BC903" s="169"/>
    </row>
    <row r="904" spans="19:55" ht="15.75" customHeight="1">
      <c r="S904" s="454"/>
      <c r="AY904" s="458"/>
      <c r="AZ904" s="458"/>
      <c r="BA904" s="1305"/>
      <c r="BC904" s="169"/>
    </row>
    <row r="905" spans="19:55" ht="15.75" customHeight="1">
      <c r="S905" s="454"/>
      <c r="AY905" s="458"/>
      <c r="AZ905" s="458"/>
      <c r="BA905" s="1305"/>
      <c r="BC905" s="169"/>
    </row>
    <row r="906" spans="19:55" ht="15.75" customHeight="1">
      <c r="S906" s="454"/>
      <c r="AY906" s="458"/>
      <c r="AZ906" s="458"/>
      <c r="BA906" s="1305"/>
      <c r="BC906" s="169"/>
    </row>
    <row r="907" spans="19:55" ht="15.75" customHeight="1">
      <c r="S907" s="454"/>
      <c r="AY907" s="458"/>
      <c r="AZ907" s="458"/>
      <c r="BA907" s="1305"/>
      <c r="BC907" s="169"/>
    </row>
    <row r="908" spans="19:55" ht="15.75" customHeight="1">
      <c r="S908" s="454"/>
      <c r="AY908" s="458"/>
      <c r="AZ908" s="458"/>
      <c r="BA908" s="1305"/>
      <c r="BC908" s="169"/>
    </row>
    <row r="909" spans="19:55" ht="15.75" customHeight="1">
      <c r="S909" s="454"/>
      <c r="AY909" s="458"/>
      <c r="AZ909" s="458"/>
      <c r="BA909" s="1305"/>
      <c r="BC909" s="169"/>
    </row>
    <row r="910" spans="19:55" ht="15.75" customHeight="1">
      <c r="S910" s="454"/>
      <c r="AY910" s="458"/>
      <c r="AZ910" s="458"/>
      <c r="BA910" s="1305"/>
      <c r="BC910" s="169"/>
    </row>
    <row r="911" spans="19:55" ht="15.75" customHeight="1">
      <c r="S911" s="454"/>
      <c r="AY911" s="458"/>
      <c r="AZ911" s="458"/>
      <c r="BA911" s="1305"/>
      <c r="BC911" s="169"/>
    </row>
    <row r="912" spans="19:55" ht="15.75" customHeight="1">
      <c r="S912" s="454"/>
      <c r="AY912" s="458"/>
      <c r="AZ912" s="458"/>
      <c r="BA912" s="1305"/>
      <c r="BC912" s="169"/>
    </row>
    <row r="913" spans="19:55" ht="15.75" customHeight="1">
      <c r="S913" s="454"/>
      <c r="AY913" s="458"/>
      <c r="AZ913" s="458"/>
      <c r="BA913" s="1305"/>
      <c r="BC913" s="169"/>
    </row>
    <row r="914" spans="19:55" ht="15.75" customHeight="1">
      <c r="S914" s="454"/>
      <c r="AY914" s="458"/>
      <c r="AZ914" s="458"/>
      <c r="BA914" s="1305"/>
      <c r="BC914" s="169"/>
    </row>
    <row r="915" spans="19:55" ht="15.75" customHeight="1">
      <c r="S915" s="454"/>
      <c r="AY915" s="458"/>
      <c r="AZ915" s="458"/>
      <c r="BA915" s="1305"/>
      <c r="BC915" s="169"/>
    </row>
    <row r="916" spans="19:55" ht="15.75" customHeight="1">
      <c r="S916" s="454"/>
      <c r="AY916" s="458"/>
      <c r="AZ916" s="458"/>
      <c r="BA916" s="1305"/>
      <c r="BC916" s="169"/>
    </row>
    <row r="917" spans="19:55" ht="15.75" customHeight="1">
      <c r="S917" s="454"/>
      <c r="AY917" s="458"/>
      <c r="AZ917" s="458"/>
      <c r="BA917" s="1305"/>
      <c r="BC917" s="169"/>
    </row>
    <row r="918" spans="19:55" ht="15.75" customHeight="1">
      <c r="S918" s="454"/>
      <c r="AY918" s="458"/>
      <c r="AZ918" s="458"/>
      <c r="BA918" s="1305"/>
      <c r="BC918" s="169"/>
    </row>
    <row r="919" spans="19:55" ht="15.75" customHeight="1">
      <c r="S919" s="454"/>
      <c r="AY919" s="458"/>
      <c r="AZ919" s="458"/>
      <c r="BA919" s="1305"/>
      <c r="BC919" s="169"/>
    </row>
    <row r="920" spans="19:55" ht="15.75" customHeight="1">
      <c r="S920" s="454"/>
      <c r="AY920" s="458"/>
      <c r="AZ920" s="458"/>
      <c r="BA920" s="1305"/>
      <c r="BC920" s="169"/>
    </row>
    <row r="921" spans="19:55" ht="15.75" customHeight="1">
      <c r="S921" s="454"/>
      <c r="AY921" s="458"/>
      <c r="AZ921" s="458"/>
      <c r="BA921" s="1305"/>
      <c r="BC921" s="169"/>
    </row>
    <row r="922" spans="19:55" ht="15.75" customHeight="1">
      <c r="S922" s="454"/>
      <c r="AY922" s="458"/>
      <c r="AZ922" s="458"/>
      <c r="BA922" s="1305"/>
      <c r="BC922" s="169"/>
    </row>
    <row r="923" spans="19:55" ht="15.75" customHeight="1">
      <c r="S923" s="454"/>
      <c r="AY923" s="458"/>
      <c r="AZ923" s="458"/>
      <c r="BA923" s="1305"/>
      <c r="BC923" s="169"/>
    </row>
    <row r="924" spans="19:55" ht="15.75" customHeight="1">
      <c r="S924" s="454"/>
      <c r="AY924" s="458"/>
      <c r="AZ924" s="458"/>
      <c r="BA924" s="1305"/>
      <c r="BC924" s="169"/>
    </row>
    <row r="925" spans="19:55" ht="15.75" customHeight="1">
      <c r="S925" s="454"/>
      <c r="AY925" s="458"/>
      <c r="AZ925" s="458"/>
      <c r="BA925" s="1305"/>
      <c r="BC925" s="169"/>
    </row>
    <row r="926" spans="19:55" ht="15.75" customHeight="1">
      <c r="S926" s="454"/>
      <c r="AY926" s="458"/>
      <c r="AZ926" s="458"/>
      <c r="BA926" s="1305"/>
      <c r="BC926" s="169"/>
    </row>
    <row r="927" spans="19:55" ht="15.75" customHeight="1">
      <c r="S927" s="454"/>
      <c r="AY927" s="458"/>
      <c r="AZ927" s="458"/>
      <c r="BA927" s="1305"/>
      <c r="BC927" s="169"/>
    </row>
    <row r="928" spans="19:55" ht="15.75" customHeight="1">
      <c r="S928" s="454"/>
      <c r="AY928" s="458"/>
      <c r="AZ928" s="458"/>
      <c r="BA928" s="1305"/>
      <c r="BC928" s="169"/>
    </row>
    <row r="929" spans="19:55" ht="15.75" customHeight="1">
      <c r="S929" s="454"/>
      <c r="AY929" s="458"/>
      <c r="AZ929" s="458"/>
      <c r="BA929" s="1305"/>
      <c r="BC929" s="169"/>
    </row>
    <row r="930" spans="19:55" ht="15.75" customHeight="1">
      <c r="S930" s="454"/>
      <c r="AY930" s="458"/>
      <c r="AZ930" s="458"/>
      <c r="BA930" s="1305"/>
      <c r="BC930" s="169"/>
    </row>
    <row r="931" spans="19:55" ht="15.75" customHeight="1">
      <c r="S931" s="454"/>
      <c r="AY931" s="458"/>
      <c r="AZ931" s="458"/>
      <c r="BA931" s="1305"/>
      <c r="BC931" s="169"/>
    </row>
    <row r="932" spans="19:55" ht="15.75" customHeight="1">
      <c r="S932" s="454"/>
      <c r="AY932" s="458"/>
      <c r="AZ932" s="458"/>
      <c r="BA932" s="1305"/>
      <c r="BC932" s="169"/>
    </row>
    <row r="933" spans="19:55" ht="15.75" customHeight="1">
      <c r="S933" s="454"/>
      <c r="AY933" s="458"/>
      <c r="AZ933" s="458"/>
      <c r="BA933" s="1305"/>
      <c r="BC933" s="169"/>
    </row>
    <row r="934" spans="19:55" ht="15.75" customHeight="1">
      <c r="S934" s="454"/>
      <c r="AY934" s="458"/>
      <c r="AZ934" s="458"/>
      <c r="BA934" s="1305"/>
      <c r="BC934" s="169"/>
    </row>
    <row r="935" spans="19:55" ht="15.75" customHeight="1">
      <c r="S935" s="454"/>
      <c r="AY935" s="458"/>
      <c r="AZ935" s="458"/>
      <c r="BA935" s="1305"/>
      <c r="BC935" s="169"/>
    </row>
    <row r="936" spans="19:55" ht="15.75" customHeight="1">
      <c r="S936" s="454"/>
      <c r="AY936" s="458"/>
      <c r="AZ936" s="458"/>
      <c r="BA936" s="1305"/>
      <c r="BC936" s="169"/>
    </row>
    <row r="937" spans="19:55" ht="15.75" customHeight="1">
      <c r="S937" s="454"/>
      <c r="AY937" s="458"/>
      <c r="AZ937" s="458"/>
      <c r="BA937" s="1305"/>
      <c r="BC937" s="169"/>
    </row>
    <row r="938" spans="19:55" ht="15.75" customHeight="1">
      <c r="S938" s="454"/>
      <c r="AY938" s="458"/>
      <c r="AZ938" s="458"/>
      <c r="BA938" s="1305"/>
      <c r="BC938" s="169"/>
    </row>
    <row r="939" spans="19:55" ht="15.75" customHeight="1">
      <c r="S939" s="454"/>
      <c r="AY939" s="458"/>
      <c r="AZ939" s="458"/>
      <c r="BA939" s="1305"/>
      <c r="BC939" s="169"/>
    </row>
    <row r="940" spans="19:55" ht="15.75" customHeight="1">
      <c r="S940" s="454"/>
      <c r="AY940" s="458"/>
      <c r="AZ940" s="458"/>
      <c r="BA940" s="1305"/>
      <c r="BC940" s="169"/>
    </row>
    <row r="941" spans="19:55" ht="15.75" customHeight="1">
      <c r="S941" s="454"/>
      <c r="AY941" s="458"/>
      <c r="AZ941" s="458"/>
      <c r="BA941" s="1305"/>
      <c r="BC941" s="169"/>
    </row>
    <row r="942" spans="19:55" ht="15.75" customHeight="1">
      <c r="S942" s="454"/>
      <c r="AY942" s="458"/>
      <c r="AZ942" s="458"/>
      <c r="BA942" s="1305"/>
      <c r="BC942" s="169"/>
    </row>
    <row r="943" spans="19:55" ht="15.75" customHeight="1">
      <c r="S943" s="454"/>
      <c r="AY943" s="458"/>
      <c r="AZ943" s="458"/>
      <c r="BA943" s="1305"/>
      <c r="BC943" s="169"/>
    </row>
    <row r="944" spans="19:55" ht="15.75" customHeight="1">
      <c r="S944" s="454"/>
      <c r="AY944" s="458"/>
      <c r="AZ944" s="458"/>
      <c r="BA944" s="1305"/>
      <c r="BC944" s="169"/>
    </row>
    <row r="945" spans="19:55" ht="15.75" customHeight="1">
      <c r="S945" s="454"/>
      <c r="AY945" s="458"/>
      <c r="AZ945" s="458"/>
      <c r="BA945" s="1305"/>
      <c r="BC945" s="169"/>
    </row>
    <row r="946" spans="19:55" ht="15.75" customHeight="1">
      <c r="S946" s="454"/>
      <c r="AY946" s="458"/>
      <c r="AZ946" s="458"/>
      <c r="BA946" s="1305"/>
      <c r="BC946" s="169"/>
    </row>
    <row r="947" spans="19:55" ht="15.75" customHeight="1">
      <c r="S947" s="454"/>
      <c r="AY947" s="458"/>
      <c r="AZ947" s="458"/>
      <c r="BA947" s="1305"/>
      <c r="BC947" s="169"/>
    </row>
    <row r="948" spans="19:55" ht="15.75" customHeight="1">
      <c r="S948" s="454"/>
      <c r="AY948" s="458"/>
      <c r="AZ948" s="458"/>
      <c r="BA948" s="1305"/>
      <c r="BC948" s="169"/>
    </row>
    <row r="949" spans="19:55" ht="15.75" customHeight="1">
      <c r="S949" s="454"/>
      <c r="AY949" s="458"/>
      <c r="AZ949" s="458"/>
      <c r="BA949" s="1305"/>
      <c r="BC949" s="169"/>
    </row>
    <row r="950" spans="19:55" ht="15.75" customHeight="1">
      <c r="S950" s="454"/>
      <c r="AY950" s="458"/>
      <c r="AZ950" s="458"/>
      <c r="BA950" s="1305"/>
      <c r="BC950" s="169"/>
    </row>
    <row r="951" spans="19:55" ht="15.75" customHeight="1">
      <c r="S951" s="454"/>
      <c r="AY951" s="458"/>
      <c r="AZ951" s="458"/>
      <c r="BA951" s="1305"/>
      <c r="BC951" s="169"/>
    </row>
    <row r="952" spans="19:55" ht="15.75" customHeight="1">
      <c r="S952" s="454"/>
      <c r="AY952" s="458"/>
      <c r="AZ952" s="458"/>
      <c r="BA952" s="1305"/>
      <c r="BC952" s="169"/>
    </row>
    <row r="953" spans="19:55" ht="15.75" customHeight="1">
      <c r="S953" s="454"/>
      <c r="AY953" s="458"/>
      <c r="AZ953" s="458"/>
      <c r="BA953" s="1305"/>
      <c r="BC953" s="169"/>
    </row>
    <row r="954" spans="19:55" ht="15.75" customHeight="1">
      <c r="S954" s="454"/>
      <c r="AY954" s="458"/>
      <c r="AZ954" s="458"/>
      <c r="BA954" s="1305"/>
      <c r="BC954" s="169"/>
    </row>
    <row r="955" spans="19:55" ht="15.75" customHeight="1">
      <c r="S955" s="454"/>
      <c r="AY955" s="458"/>
      <c r="AZ955" s="458"/>
      <c r="BA955" s="1305"/>
      <c r="BC955" s="169"/>
    </row>
    <row r="956" spans="19:55" ht="15.75" customHeight="1">
      <c r="S956" s="454"/>
      <c r="AY956" s="458"/>
      <c r="AZ956" s="458"/>
      <c r="BA956" s="1305"/>
      <c r="BC956" s="169"/>
    </row>
    <row r="957" spans="19:55" ht="15.75" customHeight="1">
      <c r="S957" s="454"/>
      <c r="AY957" s="458"/>
      <c r="AZ957" s="458"/>
      <c r="BA957" s="1305"/>
      <c r="BC957" s="169"/>
    </row>
    <row r="958" spans="19:55" ht="15.75" customHeight="1">
      <c r="S958" s="454"/>
      <c r="AY958" s="458"/>
      <c r="AZ958" s="458"/>
      <c r="BA958" s="1305"/>
      <c r="BC958" s="169"/>
    </row>
    <row r="959" spans="19:55" ht="15.75" customHeight="1">
      <c r="S959" s="454"/>
      <c r="AY959" s="458"/>
      <c r="AZ959" s="458"/>
      <c r="BA959" s="1305"/>
      <c r="BC959" s="169"/>
    </row>
    <row r="960" spans="19:55" ht="15.75" customHeight="1">
      <c r="S960" s="454"/>
      <c r="AY960" s="458"/>
      <c r="AZ960" s="458"/>
      <c r="BA960" s="1305"/>
      <c r="BC960" s="169"/>
    </row>
    <row r="961" spans="19:55" ht="15.75" customHeight="1">
      <c r="S961" s="454"/>
      <c r="AY961" s="458"/>
      <c r="AZ961" s="458"/>
      <c r="BA961" s="1305"/>
      <c r="BC961" s="169"/>
    </row>
    <row r="962" spans="19:55" ht="15.75" customHeight="1">
      <c r="S962" s="454"/>
      <c r="AY962" s="458"/>
      <c r="AZ962" s="458"/>
      <c r="BA962" s="1305"/>
      <c r="BC962" s="169"/>
    </row>
    <row r="963" spans="19:55" ht="15.75" customHeight="1">
      <c r="S963" s="454"/>
      <c r="AY963" s="458"/>
      <c r="AZ963" s="458"/>
      <c r="BA963" s="1305"/>
      <c r="BC963" s="169"/>
    </row>
    <row r="964" spans="19:55" ht="15.75" customHeight="1">
      <c r="S964" s="454"/>
      <c r="AY964" s="458"/>
      <c r="AZ964" s="458"/>
      <c r="BA964" s="1305"/>
      <c r="BC964" s="169"/>
    </row>
    <row r="965" spans="19:55" ht="15.75" customHeight="1">
      <c r="S965" s="454"/>
      <c r="AY965" s="458"/>
      <c r="AZ965" s="458"/>
      <c r="BA965" s="1305"/>
      <c r="BC965" s="169"/>
    </row>
    <row r="966" spans="19:55" ht="15.75" customHeight="1">
      <c r="S966" s="454"/>
      <c r="AY966" s="458"/>
      <c r="AZ966" s="458"/>
      <c r="BA966" s="1305"/>
      <c r="BC966" s="169"/>
    </row>
    <row r="967" spans="19:55" ht="15.75" customHeight="1">
      <c r="S967" s="454"/>
      <c r="AY967" s="458"/>
      <c r="AZ967" s="458"/>
      <c r="BA967" s="1305"/>
      <c r="BC967" s="169"/>
    </row>
    <row r="968" spans="19:55" ht="15.75" customHeight="1">
      <c r="S968" s="454"/>
      <c r="AY968" s="458"/>
      <c r="AZ968" s="458"/>
      <c r="BA968" s="1305"/>
      <c r="BC968" s="169"/>
    </row>
    <row r="969" spans="19:55" ht="15.75" customHeight="1">
      <c r="S969" s="454"/>
      <c r="AY969" s="458"/>
      <c r="AZ969" s="458"/>
      <c r="BA969" s="1305"/>
      <c r="BC969" s="169"/>
    </row>
    <row r="970" spans="19:55" ht="15.75" customHeight="1">
      <c r="S970" s="454"/>
      <c r="AY970" s="458"/>
      <c r="AZ970" s="458"/>
      <c r="BA970" s="1305"/>
      <c r="BC970" s="169"/>
    </row>
    <row r="971" spans="19:55" ht="15.75" customHeight="1">
      <c r="S971" s="454"/>
      <c r="AY971" s="458"/>
      <c r="AZ971" s="458"/>
      <c r="BA971" s="1305"/>
      <c r="BC971" s="169"/>
    </row>
    <row r="972" spans="19:55" ht="15.75" customHeight="1">
      <c r="S972" s="454"/>
      <c r="AY972" s="458"/>
      <c r="AZ972" s="458"/>
      <c r="BA972" s="1305"/>
      <c r="BC972" s="169"/>
    </row>
    <row r="973" spans="19:55" ht="15.75" customHeight="1">
      <c r="S973" s="454"/>
      <c r="AY973" s="458"/>
      <c r="AZ973" s="458"/>
      <c r="BA973" s="1305"/>
      <c r="BC973" s="169"/>
    </row>
    <row r="974" spans="19:55" ht="15.75" customHeight="1">
      <c r="S974" s="454"/>
      <c r="AY974" s="458"/>
      <c r="AZ974" s="458"/>
      <c r="BA974" s="1305"/>
      <c r="BC974" s="169"/>
    </row>
    <row r="975" spans="19:55" ht="15.75" customHeight="1">
      <c r="S975" s="454"/>
      <c r="AY975" s="458"/>
      <c r="AZ975" s="458"/>
      <c r="BA975" s="1305"/>
      <c r="BC975" s="169"/>
    </row>
    <row r="976" spans="19:55" ht="15.75" customHeight="1">
      <c r="S976" s="454"/>
      <c r="AY976" s="458"/>
      <c r="AZ976" s="458"/>
      <c r="BA976" s="1305"/>
      <c r="BC976" s="169"/>
    </row>
    <row r="977" spans="19:55" ht="15.75" customHeight="1">
      <c r="S977" s="454"/>
      <c r="AY977" s="458"/>
      <c r="AZ977" s="458"/>
      <c r="BA977" s="1305"/>
      <c r="BC977" s="169"/>
    </row>
    <row r="978" spans="19:55" ht="15.75" customHeight="1">
      <c r="S978" s="454"/>
      <c r="AY978" s="458"/>
      <c r="AZ978" s="458"/>
      <c r="BA978" s="1305"/>
      <c r="BC978" s="169"/>
    </row>
    <row r="979" spans="19:55" ht="15.75" customHeight="1">
      <c r="S979" s="454"/>
      <c r="AY979" s="458"/>
      <c r="AZ979" s="458"/>
      <c r="BA979" s="1305"/>
      <c r="BC979" s="169"/>
    </row>
    <row r="980" spans="19:55" ht="15.75" customHeight="1">
      <c r="S980" s="454"/>
      <c r="AY980" s="458"/>
      <c r="AZ980" s="458"/>
      <c r="BA980" s="1305"/>
      <c r="BC980" s="169"/>
    </row>
    <row r="981" spans="19:55" ht="15.75" customHeight="1">
      <c r="S981" s="454"/>
      <c r="AY981" s="458"/>
      <c r="AZ981" s="458"/>
      <c r="BA981" s="1305"/>
      <c r="BC981" s="169"/>
    </row>
    <row r="982" spans="19:55" ht="15.75" customHeight="1">
      <c r="S982" s="454"/>
      <c r="AY982" s="458"/>
      <c r="AZ982" s="458"/>
      <c r="BA982" s="1305"/>
      <c r="BC982" s="169"/>
    </row>
    <row r="983" spans="19:55" ht="15.75" customHeight="1">
      <c r="S983" s="454"/>
      <c r="AY983" s="458"/>
      <c r="AZ983" s="458"/>
      <c r="BA983" s="1305"/>
      <c r="BC983" s="169"/>
    </row>
    <row r="984" spans="19:55" ht="15.75" customHeight="1">
      <c r="S984" s="454"/>
      <c r="AY984" s="458"/>
      <c r="AZ984" s="458"/>
      <c r="BA984" s="1305"/>
      <c r="BC984" s="169"/>
    </row>
    <row r="985" spans="19:55" ht="15.75" customHeight="1">
      <c r="S985" s="454"/>
      <c r="AY985" s="458"/>
      <c r="AZ985" s="458"/>
      <c r="BA985" s="1305"/>
      <c r="BC985" s="169"/>
    </row>
    <row r="986" spans="19:55" ht="15.75" customHeight="1">
      <c r="S986" s="454"/>
      <c r="AY986" s="458"/>
      <c r="AZ986" s="458"/>
      <c r="BA986" s="1305"/>
      <c r="BC986" s="169"/>
    </row>
    <row r="987" spans="19:55" ht="15.75" customHeight="1">
      <c r="S987" s="454"/>
      <c r="AY987" s="458"/>
      <c r="AZ987" s="458"/>
      <c r="BA987" s="1305"/>
      <c r="BC987" s="169"/>
    </row>
    <row r="988" spans="19:55" ht="15.75" customHeight="1">
      <c r="S988" s="454"/>
      <c r="AY988" s="458"/>
      <c r="AZ988" s="458"/>
      <c r="BA988" s="1305"/>
      <c r="BC988" s="169"/>
    </row>
    <row r="989" spans="19:55" ht="15.75" customHeight="1">
      <c r="S989" s="454"/>
      <c r="AY989" s="458"/>
      <c r="AZ989" s="458"/>
      <c r="BA989" s="1305"/>
      <c r="BC989" s="169"/>
    </row>
    <row r="990" spans="19:55" ht="15.75" customHeight="1">
      <c r="S990" s="454"/>
      <c r="AY990" s="458"/>
      <c r="AZ990" s="458"/>
      <c r="BA990" s="1305"/>
      <c r="BC990" s="169"/>
    </row>
    <row r="991" spans="19:55" ht="15.75" customHeight="1">
      <c r="S991" s="454"/>
      <c r="AY991" s="458"/>
      <c r="AZ991" s="458"/>
      <c r="BA991" s="1305"/>
      <c r="BC991" s="169"/>
    </row>
    <row r="992" spans="19:55" ht="15.75" customHeight="1">
      <c r="S992" s="454"/>
      <c r="AY992" s="458"/>
      <c r="AZ992" s="458"/>
      <c r="BA992" s="1305"/>
      <c r="BC992" s="169"/>
    </row>
    <row r="993" spans="19:55" ht="15.75" customHeight="1">
      <c r="S993" s="454"/>
      <c r="AY993" s="458"/>
      <c r="AZ993" s="458"/>
      <c r="BA993" s="1305"/>
      <c r="BC993" s="169"/>
    </row>
    <row r="994" spans="19:55" ht="15.75" customHeight="1">
      <c r="S994" s="454"/>
      <c r="AY994" s="458"/>
      <c r="AZ994" s="458"/>
      <c r="BA994" s="1305"/>
      <c r="BC994" s="169"/>
    </row>
    <row r="995" spans="19:55" ht="15.75" customHeight="1">
      <c r="S995" s="454"/>
      <c r="AY995" s="458"/>
      <c r="AZ995" s="458"/>
      <c r="BA995" s="1305"/>
      <c r="BC995" s="169"/>
    </row>
    <row r="996" spans="19:55" ht="15.75" customHeight="1">
      <c r="S996" s="454"/>
      <c r="AY996" s="458"/>
      <c r="AZ996" s="458"/>
      <c r="BA996" s="1305"/>
      <c r="BC996" s="169"/>
    </row>
    <row r="997" spans="19:55" ht="15.75" customHeight="1">
      <c r="S997" s="454"/>
      <c r="AY997" s="458"/>
      <c r="AZ997" s="458"/>
      <c r="BA997" s="1305"/>
      <c r="BC997" s="169"/>
    </row>
    <row r="998" spans="19:55" ht="15.75" customHeight="1">
      <c r="S998" s="454"/>
      <c r="AY998" s="458"/>
      <c r="AZ998" s="458"/>
      <c r="BA998" s="1305"/>
      <c r="BC998" s="169"/>
    </row>
    <row r="999" spans="19:55" ht="15.75" customHeight="1">
      <c r="S999" s="454"/>
      <c r="AY999" s="458"/>
      <c r="AZ999" s="458"/>
      <c r="BA999" s="1305"/>
      <c r="BC999" s="169"/>
    </row>
    <row r="1000" spans="19:55" ht="15.75" customHeight="1">
      <c r="S1000" s="454"/>
      <c r="AY1000" s="458"/>
      <c r="AZ1000" s="458"/>
      <c r="BA1000" s="1305"/>
      <c r="BC1000" s="169"/>
    </row>
    <row r="1001" spans="19:55" ht="15.75" customHeight="1">
      <c r="S1001" s="454"/>
      <c r="AY1001" s="458"/>
      <c r="AZ1001" s="458"/>
      <c r="BA1001" s="1305"/>
      <c r="BC1001" s="169"/>
    </row>
    <row r="1002" spans="19:55" ht="15.75" customHeight="1">
      <c r="S1002" s="454"/>
      <c r="AY1002" s="458"/>
      <c r="AZ1002" s="458"/>
      <c r="BA1002" s="1305"/>
      <c r="BC1002" s="169"/>
    </row>
    <row r="1003" spans="19:55" ht="15.75" customHeight="1">
      <c r="S1003" s="454"/>
      <c r="AY1003" s="458"/>
      <c r="AZ1003" s="458"/>
      <c r="BA1003" s="1305"/>
      <c r="BC1003" s="169"/>
    </row>
    <row r="1004" spans="19:55" ht="15.75" customHeight="1">
      <c r="S1004" s="454"/>
      <c r="AY1004" s="458"/>
      <c r="AZ1004" s="458"/>
      <c r="BA1004" s="1305"/>
      <c r="BC1004" s="169"/>
    </row>
    <row r="1005" spans="19:55" ht="15.75" customHeight="1">
      <c r="S1005" s="454"/>
      <c r="AY1005" s="458"/>
      <c r="AZ1005" s="458"/>
      <c r="BA1005" s="1305"/>
      <c r="BC1005" s="169"/>
    </row>
    <row r="1006" spans="19:55" ht="15.75" customHeight="1">
      <c r="S1006" s="454"/>
      <c r="AY1006" s="458"/>
      <c r="AZ1006" s="458"/>
      <c r="BA1006" s="1305"/>
      <c r="BC1006" s="169"/>
    </row>
    <row r="1007" spans="19:55" ht="15.75" customHeight="1">
      <c r="S1007" s="454"/>
      <c r="AY1007" s="458"/>
      <c r="AZ1007" s="458"/>
      <c r="BA1007" s="1305"/>
      <c r="BC1007" s="169"/>
    </row>
    <row r="1008" spans="19:55" ht="15.75" customHeight="1">
      <c r="S1008" s="454"/>
      <c r="AY1008" s="458"/>
      <c r="AZ1008" s="458"/>
      <c r="BA1008" s="1305"/>
      <c r="BC1008" s="169"/>
    </row>
    <row r="1009" spans="19:55" ht="15.75" customHeight="1">
      <c r="S1009" s="454"/>
      <c r="AY1009" s="458"/>
      <c r="AZ1009" s="458"/>
      <c r="BA1009" s="1305"/>
      <c r="BC1009" s="169"/>
    </row>
    <row r="1010" spans="19:55" ht="15.75" customHeight="1">
      <c r="S1010" s="454"/>
      <c r="AY1010" s="458"/>
      <c r="AZ1010" s="458"/>
      <c r="BA1010" s="1305"/>
      <c r="BC1010" s="169"/>
    </row>
    <row r="1011" spans="19:55" ht="15.75" customHeight="1">
      <c r="S1011" s="454"/>
      <c r="AY1011" s="458"/>
      <c r="AZ1011" s="458"/>
      <c r="BA1011" s="1305"/>
      <c r="BC1011" s="169"/>
    </row>
    <row r="1012" spans="19:55" ht="15.75" customHeight="1">
      <c r="S1012" s="454"/>
      <c r="AY1012" s="458"/>
      <c r="AZ1012" s="458"/>
      <c r="BA1012" s="1305"/>
      <c r="BC1012" s="169"/>
    </row>
    <row r="1013" spans="19:55" ht="15.75" customHeight="1">
      <c r="S1013" s="454"/>
      <c r="AY1013" s="458"/>
      <c r="AZ1013" s="458"/>
      <c r="BA1013" s="1305"/>
      <c r="BC1013" s="169"/>
    </row>
    <row r="1014" spans="19:55" ht="15.75" customHeight="1">
      <c r="S1014" s="454"/>
      <c r="AY1014" s="458"/>
      <c r="AZ1014" s="458"/>
      <c r="BA1014" s="1305"/>
      <c r="BC1014" s="169"/>
    </row>
    <row r="1015" spans="19:55" ht="15.75" customHeight="1">
      <c r="S1015" s="454"/>
      <c r="AY1015" s="458"/>
      <c r="AZ1015" s="458"/>
      <c r="BA1015" s="1305"/>
      <c r="BC1015" s="169"/>
    </row>
    <row r="1016" spans="19:55" ht="15.75" customHeight="1">
      <c r="S1016" s="454"/>
      <c r="AY1016" s="458"/>
      <c r="AZ1016" s="458"/>
      <c r="BA1016" s="1305"/>
      <c r="BC1016" s="169"/>
    </row>
    <row r="1017" spans="19:55" ht="15.75" customHeight="1">
      <c r="S1017" s="454"/>
      <c r="AY1017" s="458"/>
      <c r="AZ1017" s="458"/>
      <c r="BA1017" s="1305"/>
      <c r="BC1017" s="169"/>
    </row>
    <row r="1018" spans="19:55" ht="15.75" customHeight="1">
      <c r="S1018" s="454"/>
      <c r="AY1018" s="458"/>
      <c r="AZ1018" s="458"/>
      <c r="BA1018" s="1305"/>
      <c r="BC1018" s="169"/>
    </row>
    <row r="1019" spans="19:55" ht="15.75" customHeight="1">
      <c r="S1019" s="454"/>
      <c r="AY1019" s="458"/>
      <c r="AZ1019" s="458"/>
      <c r="BA1019" s="1305"/>
      <c r="BC1019" s="169"/>
    </row>
    <row r="1020" spans="19:55" ht="15.75" customHeight="1">
      <c r="S1020" s="454"/>
      <c r="AY1020" s="458"/>
      <c r="AZ1020" s="458"/>
      <c r="BA1020" s="1305"/>
      <c r="BC1020" s="169"/>
    </row>
    <row r="1021" spans="19:55" ht="15.75" customHeight="1">
      <c r="S1021" s="454"/>
      <c r="AY1021" s="458"/>
      <c r="AZ1021" s="458"/>
      <c r="BA1021" s="1305"/>
      <c r="BC1021" s="169"/>
    </row>
    <row r="1022" spans="19:55" ht="15.75" customHeight="1">
      <c r="S1022" s="454"/>
      <c r="AY1022" s="458"/>
      <c r="AZ1022" s="458"/>
      <c r="BA1022" s="1305"/>
      <c r="BC1022" s="169"/>
    </row>
    <row r="1023" spans="19:55" ht="15.75" customHeight="1">
      <c r="S1023" s="454"/>
      <c r="AY1023" s="458"/>
      <c r="AZ1023" s="458"/>
      <c r="BA1023" s="1305"/>
      <c r="BC1023" s="169"/>
    </row>
    <row r="1024" spans="19:55" ht="15.75" customHeight="1">
      <c r="S1024" s="454"/>
      <c r="AY1024" s="458"/>
      <c r="AZ1024" s="458"/>
      <c r="BA1024" s="1305"/>
      <c r="BC1024" s="169"/>
    </row>
    <row r="1025" spans="19:55" ht="15.75" customHeight="1">
      <c r="S1025" s="454"/>
      <c r="AY1025" s="458"/>
      <c r="AZ1025" s="458"/>
      <c r="BA1025" s="1305"/>
      <c r="BC1025" s="169"/>
    </row>
    <row r="1026" spans="19:55" ht="15.75" customHeight="1">
      <c r="S1026" s="454"/>
      <c r="AY1026" s="458"/>
      <c r="AZ1026" s="458"/>
      <c r="BA1026" s="1305"/>
      <c r="BC1026" s="169"/>
    </row>
    <row r="1027" spans="19:55" ht="15.75" customHeight="1">
      <c r="S1027" s="454"/>
      <c r="AY1027" s="458"/>
      <c r="AZ1027" s="458"/>
      <c r="BA1027" s="1305"/>
      <c r="BC1027" s="169"/>
    </row>
    <row r="1028" spans="19:55" ht="15.75" customHeight="1">
      <c r="S1028" s="454"/>
      <c r="AY1028" s="458"/>
      <c r="AZ1028" s="458"/>
      <c r="BA1028" s="1305"/>
      <c r="BC1028" s="169"/>
    </row>
    <row r="1029" spans="19:55" ht="15.75" customHeight="1">
      <c r="S1029" s="454"/>
      <c r="AY1029" s="458"/>
      <c r="AZ1029" s="458"/>
      <c r="BA1029" s="1305"/>
      <c r="BC1029" s="169"/>
    </row>
    <row r="1030" spans="19:55" ht="15.75" customHeight="1">
      <c r="S1030" s="454"/>
      <c r="AY1030" s="458"/>
      <c r="AZ1030" s="458"/>
      <c r="BA1030" s="1305"/>
      <c r="BC1030" s="169"/>
    </row>
    <row r="1031" spans="19:55" ht="15.75" customHeight="1">
      <c r="S1031" s="454"/>
      <c r="AY1031" s="458"/>
      <c r="AZ1031" s="458"/>
      <c r="BA1031" s="1305"/>
      <c r="BC1031" s="169"/>
    </row>
    <row r="1032" spans="19:55" ht="15.75" customHeight="1">
      <c r="S1032" s="454"/>
      <c r="AY1032" s="458"/>
      <c r="AZ1032" s="458"/>
      <c r="BA1032" s="1305"/>
      <c r="BC1032" s="169"/>
    </row>
    <row r="1033" spans="19:55" ht="15.75" customHeight="1">
      <c r="S1033" s="454"/>
      <c r="AY1033" s="458"/>
      <c r="AZ1033" s="458"/>
      <c r="BA1033" s="1305"/>
      <c r="BC1033" s="169"/>
    </row>
    <row r="1034" spans="19:55" ht="15.75" customHeight="1">
      <c r="S1034" s="454"/>
      <c r="AY1034" s="458"/>
      <c r="AZ1034" s="458"/>
      <c r="BA1034" s="1305"/>
      <c r="BC1034" s="169"/>
    </row>
    <row r="1035" spans="19:55" ht="15.75" customHeight="1">
      <c r="S1035" s="454"/>
      <c r="AY1035" s="458"/>
      <c r="AZ1035" s="458"/>
      <c r="BA1035" s="1305"/>
      <c r="BC1035" s="169"/>
    </row>
    <row r="1036" spans="19:55" ht="15.75" customHeight="1">
      <c r="S1036" s="454"/>
      <c r="AY1036" s="458"/>
      <c r="AZ1036" s="458"/>
      <c r="BA1036" s="1305"/>
      <c r="BC1036" s="169"/>
    </row>
    <row r="1037" spans="19:55" ht="15.75" customHeight="1">
      <c r="S1037" s="454"/>
      <c r="AY1037" s="458"/>
      <c r="AZ1037" s="458"/>
      <c r="BA1037" s="1305"/>
      <c r="BC1037" s="169"/>
    </row>
    <row r="1038" spans="19:55" ht="15.75" customHeight="1">
      <c r="S1038" s="454"/>
      <c r="AY1038" s="458"/>
      <c r="AZ1038" s="458"/>
      <c r="BA1038" s="1305"/>
      <c r="BC1038" s="169"/>
    </row>
    <row r="1039" spans="19:55" ht="15.75" customHeight="1">
      <c r="S1039" s="454"/>
      <c r="AY1039" s="458"/>
      <c r="AZ1039" s="458"/>
      <c r="BA1039" s="1305"/>
      <c r="BC1039" s="169"/>
    </row>
    <row r="1040" spans="19:55" ht="15.75" customHeight="1">
      <c r="S1040" s="454"/>
      <c r="AY1040" s="458"/>
      <c r="AZ1040" s="458"/>
      <c r="BA1040" s="1305"/>
      <c r="BC1040" s="169"/>
    </row>
    <row r="1041" spans="19:55" ht="15.75" customHeight="1">
      <c r="S1041" s="454"/>
      <c r="AY1041" s="458"/>
      <c r="AZ1041" s="458"/>
      <c r="BA1041" s="1305"/>
      <c r="BC1041" s="169"/>
    </row>
    <row r="1042" spans="19:55" ht="15.75" customHeight="1">
      <c r="S1042" s="454"/>
      <c r="AY1042" s="458"/>
      <c r="AZ1042" s="458"/>
      <c r="BA1042" s="1305"/>
      <c r="BC1042" s="169"/>
    </row>
    <row r="1043" spans="19:55" ht="15.75" customHeight="1">
      <c r="S1043" s="454"/>
      <c r="AY1043" s="458"/>
      <c r="AZ1043" s="458"/>
      <c r="BA1043" s="1305"/>
      <c r="BC1043" s="169"/>
    </row>
    <row r="1044" spans="19:55" ht="15.75" customHeight="1">
      <c r="S1044" s="454"/>
      <c r="AY1044" s="458"/>
      <c r="AZ1044" s="458"/>
      <c r="BA1044" s="1305"/>
      <c r="BC1044" s="169"/>
    </row>
    <row r="1045" spans="19:55" ht="15.75" customHeight="1">
      <c r="S1045" s="454"/>
      <c r="AY1045" s="458"/>
      <c r="AZ1045" s="458"/>
      <c r="BA1045" s="1305"/>
      <c r="BC1045" s="169"/>
    </row>
    <row r="1046" spans="19:55" ht="15.75" customHeight="1">
      <c r="S1046" s="454"/>
      <c r="AY1046" s="458"/>
      <c r="AZ1046" s="458"/>
      <c r="BA1046" s="1305"/>
      <c r="BC1046" s="169"/>
    </row>
    <row r="1047" spans="19:55" ht="15.75" customHeight="1">
      <c r="S1047" s="454"/>
      <c r="AY1047" s="458"/>
      <c r="AZ1047" s="458"/>
      <c r="BA1047" s="1305"/>
      <c r="BC1047" s="169"/>
    </row>
    <row r="1048" spans="19:55" ht="15.75" customHeight="1">
      <c r="S1048" s="454"/>
      <c r="AY1048" s="458"/>
      <c r="AZ1048" s="458"/>
      <c r="BA1048" s="1305"/>
      <c r="BC1048" s="169"/>
    </row>
    <row r="1049" spans="19:55" ht="15.75" customHeight="1">
      <c r="S1049" s="454"/>
      <c r="AY1049" s="458"/>
      <c r="AZ1049" s="458"/>
      <c r="BA1049" s="1305"/>
      <c r="BC1049" s="169"/>
    </row>
    <row r="1050" spans="19:55" ht="15.75" customHeight="1">
      <c r="S1050" s="454"/>
      <c r="AY1050" s="458"/>
      <c r="AZ1050" s="458"/>
      <c r="BA1050" s="1305"/>
      <c r="BC1050" s="169"/>
    </row>
    <row r="1051" spans="19:55" ht="15.75" customHeight="1">
      <c r="S1051" s="454"/>
      <c r="AY1051" s="458"/>
      <c r="AZ1051" s="458"/>
      <c r="BA1051" s="1305"/>
      <c r="BC1051" s="169"/>
    </row>
    <row r="1052" spans="19:55" ht="15.75" customHeight="1">
      <c r="S1052" s="454"/>
      <c r="AY1052" s="458"/>
      <c r="AZ1052" s="458"/>
      <c r="BA1052" s="1305"/>
      <c r="BC1052" s="169"/>
    </row>
    <row r="1053" spans="19:55" ht="15.75" customHeight="1">
      <c r="S1053" s="454"/>
      <c r="AY1053" s="458"/>
      <c r="AZ1053" s="458"/>
      <c r="BA1053" s="1305"/>
      <c r="BC1053" s="169"/>
    </row>
    <row r="1054" spans="19:55" ht="15.75" customHeight="1">
      <c r="S1054" s="454"/>
      <c r="AY1054" s="458"/>
      <c r="AZ1054" s="458"/>
      <c r="BA1054" s="1305"/>
      <c r="BC1054" s="169"/>
    </row>
    <row r="1055" spans="19:55" ht="15.75" customHeight="1">
      <c r="S1055" s="454"/>
      <c r="AY1055" s="458"/>
      <c r="AZ1055" s="458"/>
      <c r="BA1055" s="1305"/>
      <c r="BC1055" s="169"/>
    </row>
    <row r="1056" spans="19:55" ht="15.75" customHeight="1">
      <c r="S1056" s="454"/>
      <c r="AY1056" s="458"/>
      <c r="AZ1056" s="458"/>
      <c r="BA1056" s="1305"/>
      <c r="BC1056" s="169"/>
    </row>
    <row r="1057" spans="19:55" ht="15.75" customHeight="1">
      <c r="S1057" s="454"/>
      <c r="AY1057" s="458"/>
      <c r="AZ1057" s="458"/>
      <c r="BA1057" s="1305"/>
      <c r="BC1057" s="169"/>
    </row>
    <row r="1058" spans="19:55" ht="15.75" customHeight="1">
      <c r="S1058" s="454"/>
      <c r="AY1058" s="458"/>
      <c r="AZ1058" s="458"/>
      <c r="BA1058" s="1305"/>
      <c r="BC1058" s="169"/>
    </row>
    <row r="1059" spans="19:55" ht="15.75" customHeight="1">
      <c r="S1059" s="454"/>
      <c r="AY1059" s="458"/>
      <c r="AZ1059" s="458"/>
      <c r="BA1059" s="1305"/>
      <c r="BC1059" s="169"/>
    </row>
    <row r="1060" spans="19:55" ht="15.75" customHeight="1">
      <c r="S1060" s="454"/>
      <c r="AY1060" s="458"/>
      <c r="AZ1060" s="458"/>
      <c r="BA1060" s="1305"/>
      <c r="BC1060" s="169"/>
    </row>
    <row r="1061" spans="19:55" ht="15.75" customHeight="1">
      <c r="S1061" s="454"/>
      <c r="AY1061" s="458"/>
      <c r="AZ1061" s="458"/>
      <c r="BA1061" s="1305"/>
      <c r="BC1061" s="169"/>
    </row>
    <row r="1062" spans="19:55" ht="15.75" customHeight="1">
      <c r="S1062" s="454"/>
      <c r="AY1062" s="458"/>
      <c r="AZ1062" s="458"/>
      <c r="BA1062" s="1305"/>
      <c r="BC1062" s="169"/>
    </row>
    <row r="1063" spans="19:55" ht="15.75" customHeight="1">
      <c r="S1063" s="454"/>
      <c r="AY1063" s="458"/>
      <c r="AZ1063" s="458"/>
      <c r="BA1063" s="1305"/>
      <c r="BC1063" s="169"/>
    </row>
    <row r="1064" spans="19:55" ht="15.75" customHeight="1">
      <c r="S1064" s="454"/>
      <c r="AY1064" s="458"/>
      <c r="AZ1064" s="458"/>
      <c r="BA1064" s="1305"/>
      <c r="BC1064" s="169"/>
    </row>
    <row r="1065" spans="19:55" ht="15.75" customHeight="1">
      <c r="S1065" s="454"/>
      <c r="AY1065" s="458"/>
      <c r="AZ1065" s="458"/>
      <c r="BA1065" s="1305"/>
      <c r="BC1065" s="169"/>
    </row>
    <row r="1066" spans="19:55" ht="15.75" customHeight="1">
      <c r="S1066" s="454"/>
      <c r="AY1066" s="458"/>
      <c r="AZ1066" s="458"/>
      <c r="BA1066" s="1305"/>
      <c r="BC1066" s="169"/>
    </row>
    <row r="1067" spans="19:55" ht="15.75" customHeight="1">
      <c r="S1067" s="454"/>
      <c r="AY1067" s="458"/>
      <c r="AZ1067" s="458"/>
      <c r="BA1067" s="1305"/>
      <c r="BC1067" s="169"/>
    </row>
    <row r="1068" spans="19:55" ht="15.75" customHeight="1">
      <c r="S1068" s="454"/>
      <c r="AY1068" s="458"/>
      <c r="AZ1068" s="458"/>
      <c r="BA1068" s="1305"/>
      <c r="BC1068" s="169"/>
    </row>
    <row r="1069" spans="19:55" ht="15.75" customHeight="1">
      <c r="S1069" s="454"/>
      <c r="AY1069" s="458"/>
      <c r="AZ1069" s="458"/>
      <c r="BA1069" s="1305"/>
      <c r="BC1069" s="169"/>
    </row>
    <row r="1070" spans="19:55" ht="15.75" customHeight="1">
      <c r="S1070" s="454"/>
      <c r="AY1070" s="458"/>
      <c r="AZ1070" s="458"/>
      <c r="BA1070" s="1305"/>
      <c r="BC1070" s="169"/>
    </row>
    <row r="1071" spans="19:55" ht="15.75" customHeight="1">
      <c r="S1071" s="454"/>
      <c r="AY1071" s="458"/>
      <c r="AZ1071" s="458"/>
      <c r="BA1071" s="1305"/>
      <c r="BC1071" s="169"/>
    </row>
    <row r="1072" spans="19:55" ht="15.75" customHeight="1">
      <c r="S1072" s="454"/>
      <c r="AY1072" s="458"/>
      <c r="AZ1072" s="458"/>
      <c r="BA1072" s="1305"/>
      <c r="BC1072" s="169"/>
    </row>
    <row r="1073" spans="19:55" ht="15.75" customHeight="1">
      <c r="S1073" s="454"/>
      <c r="AY1073" s="458"/>
      <c r="AZ1073" s="458"/>
      <c r="BA1073" s="1305"/>
      <c r="BC1073" s="169"/>
    </row>
    <row r="1074" spans="19:55" ht="15.75" customHeight="1">
      <c r="S1074" s="454"/>
      <c r="AY1074" s="458"/>
      <c r="AZ1074" s="458"/>
      <c r="BA1074" s="1305"/>
      <c r="BC1074" s="169"/>
    </row>
    <row r="1075" spans="19:55" ht="15.75" customHeight="1">
      <c r="S1075" s="454"/>
      <c r="AY1075" s="458"/>
      <c r="AZ1075" s="458"/>
      <c r="BA1075" s="1305"/>
      <c r="BC1075" s="169"/>
    </row>
    <row r="1076" spans="19:55" ht="15.75" customHeight="1">
      <c r="S1076" s="454"/>
      <c r="AY1076" s="458"/>
      <c r="AZ1076" s="458"/>
      <c r="BA1076" s="1305"/>
      <c r="BC1076" s="169"/>
    </row>
    <row r="1077" spans="19:55" ht="15.75" customHeight="1">
      <c r="S1077" s="454"/>
      <c r="AY1077" s="458"/>
      <c r="AZ1077" s="458"/>
      <c r="BA1077" s="1305"/>
      <c r="BC1077" s="169"/>
    </row>
    <row r="1078" spans="19:55" ht="15.75" customHeight="1">
      <c r="S1078" s="454"/>
      <c r="AY1078" s="458"/>
      <c r="AZ1078" s="458"/>
      <c r="BA1078" s="1305"/>
      <c r="BC1078" s="169"/>
    </row>
    <row r="1079" spans="19:55" ht="15.75" customHeight="1">
      <c r="S1079" s="454"/>
      <c r="AY1079" s="458"/>
      <c r="AZ1079" s="458"/>
      <c r="BA1079" s="1305"/>
      <c r="BC1079" s="169"/>
    </row>
    <row r="1080" spans="19:55" ht="15.75" customHeight="1">
      <c r="S1080" s="454"/>
      <c r="AY1080" s="458"/>
      <c r="AZ1080" s="458"/>
      <c r="BA1080" s="1305"/>
      <c r="BC1080" s="169"/>
    </row>
    <row r="1081" spans="19:55" ht="15.75" customHeight="1">
      <c r="S1081" s="454"/>
      <c r="AY1081" s="458"/>
      <c r="AZ1081" s="458"/>
      <c r="BA1081" s="1305"/>
      <c r="BC1081" s="169"/>
    </row>
    <row r="1082" spans="19:55" ht="15.75" customHeight="1">
      <c r="S1082" s="454"/>
      <c r="AY1082" s="458"/>
      <c r="AZ1082" s="458"/>
      <c r="BA1082" s="1305"/>
      <c r="BC1082" s="169"/>
    </row>
    <row r="1083" spans="19:55" ht="15.75" customHeight="1">
      <c r="S1083" s="454"/>
      <c r="AY1083" s="458"/>
      <c r="AZ1083" s="458"/>
      <c r="BA1083" s="1305"/>
      <c r="BC1083" s="169"/>
    </row>
    <row r="1084" spans="19:55" ht="15.75" customHeight="1">
      <c r="S1084" s="454"/>
      <c r="AY1084" s="458"/>
      <c r="AZ1084" s="458"/>
      <c r="BA1084" s="1305"/>
      <c r="BC1084" s="169"/>
    </row>
    <row r="1085" spans="19:55" ht="15.75" customHeight="1">
      <c r="S1085" s="454"/>
      <c r="AY1085" s="458"/>
      <c r="AZ1085" s="458"/>
      <c r="BA1085" s="1305"/>
      <c r="BC1085" s="169"/>
    </row>
    <row r="1086" spans="19:55" ht="15.75" customHeight="1">
      <c r="S1086" s="454"/>
      <c r="AY1086" s="458"/>
      <c r="AZ1086" s="458"/>
      <c r="BA1086" s="1305"/>
      <c r="BC1086" s="169"/>
    </row>
    <row r="1087" spans="19:55" ht="15.75" customHeight="1">
      <c r="S1087" s="454"/>
      <c r="AY1087" s="458"/>
      <c r="AZ1087" s="458"/>
      <c r="BA1087" s="1305"/>
      <c r="BC1087" s="169"/>
    </row>
    <row r="1088" spans="19:55" ht="15.75" customHeight="1">
      <c r="S1088" s="454"/>
      <c r="AY1088" s="458"/>
      <c r="AZ1088" s="458"/>
      <c r="BA1088" s="1305"/>
      <c r="BC1088" s="169"/>
    </row>
    <row r="1089" spans="19:55" ht="15.75" customHeight="1">
      <c r="S1089" s="454"/>
      <c r="AY1089" s="458"/>
      <c r="AZ1089" s="458"/>
      <c r="BA1089" s="1305"/>
      <c r="BC1089" s="169"/>
    </row>
    <row r="1090" spans="19:55" ht="15.75" customHeight="1">
      <c r="S1090" s="454"/>
      <c r="AY1090" s="458"/>
      <c r="AZ1090" s="458"/>
      <c r="BA1090" s="1305"/>
      <c r="BC1090" s="169"/>
    </row>
    <row r="1091" spans="19:55" ht="15.75" customHeight="1">
      <c r="S1091" s="454"/>
      <c r="AY1091" s="458"/>
      <c r="AZ1091" s="458"/>
      <c r="BA1091" s="1305"/>
      <c r="BC1091" s="169"/>
    </row>
    <row r="1092" spans="19:55" ht="15.75" customHeight="1">
      <c r="S1092" s="454"/>
      <c r="AY1092" s="458"/>
      <c r="AZ1092" s="458"/>
      <c r="BA1092" s="1305"/>
      <c r="BC1092" s="169"/>
    </row>
    <row r="1093" spans="19:55" ht="15.75" customHeight="1">
      <c r="S1093" s="454"/>
      <c r="AY1093" s="458"/>
      <c r="AZ1093" s="458"/>
      <c r="BA1093" s="1305"/>
      <c r="BC1093" s="169"/>
    </row>
    <row r="1094" spans="19:55" ht="15.75" customHeight="1">
      <c r="S1094" s="454"/>
      <c r="AY1094" s="458"/>
      <c r="AZ1094" s="458"/>
      <c r="BA1094" s="1266"/>
      <c r="BC1094" s="169"/>
    </row>
    <row r="1095" spans="19:55" ht="15.75" customHeight="1">
      <c r="S1095" s="454"/>
      <c r="AY1095" s="458"/>
      <c r="AZ1095" s="458"/>
      <c r="BA1095" s="1266"/>
      <c r="BC1095" s="169"/>
    </row>
    <row r="1096" spans="19:55" ht="15.75" customHeight="1">
      <c r="S1096" s="454"/>
      <c r="AY1096" s="458"/>
      <c r="AZ1096" s="458"/>
      <c r="BA1096" s="1266"/>
      <c r="BC1096" s="169"/>
    </row>
    <row r="1097" spans="19:55" ht="15.75" customHeight="1">
      <c r="S1097" s="454"/>
      <c r="AY1097" s="458"/>
      <c r="AZ1097" s="458"/>
      <c r="BA1097" s="1266"/>
      <c r="BC1097" s="169"/>
    </row>
    <row r="1098" spans="19:55" ht="15.75" customHeight="1">
      <c r="S1098" s="454"/>
      <c r="AY1098" s="458"/>
      <c r="AZ1098" s="458"/>
      <c r="BA1098" s="1266"/>
      <c r="BC1098" s="169"/>
    </row>
    <row r="1099" spans="19:55" ht="15.75" customHeight="1">
      <c r="S1099" s="454"/>
      <c r="AY1099" s="458"/>
      <c r="AZ1099" s="458"/>
      <c r="BA1099" s="1266"/>
      <c r="BC1099" s="169"/>
    </row>
    <row r="1100" spans="19:55" ht="15.75" customHeight="1">
      <c r="S1100" s="454"/>
      <c r="AY1100" s="458"/>
      <c r="AZ1100" s="458"/>
      <c r="BA1100" s="1266"/>
      <c r="BC1100" s="169"/>
    </row>
    <row r="1101" spans="19:55" ht="15.75" customHeight="1">
      <c r="S1101" s="454"/>
      <c r="AY1101" s="458"/>
      <c r="AZ1101" s="458"/>
      <c r="BA1101" s="1266"/>
      <c r="BC1101" s="169"/>
    </row>
    <row r="1102" spans="19:55" ht="15.75" customHeight="1">
      <c r="S1102" s="454"/>
      <c r="AY1102" s="458"/>
      <c r="AZ1102" s="458"/>
      <c r="BA1102" s="1266"/>
      <c r="BC1102" s="169"/>
    </row>
    <row r="1103" spans="19:55" ht="15.75" customHeight="1">
      <c r="S1103" s="454"/>
      <c r="AY1103" s="458"/>
      <c r="AZ1103" s="458"/>
      <c r="BA1103" s="1266"/>
      <c r="BC1103" s="169"/>
    </row>
    <row r="1104" spans="19:55" ht="15.75" customHeight="1">
      <c r="S1104" s="454"/>
      <c r="AY1104" s="458"/>
      <c r="AZ1104" s="458"/>
      <c r="BA1104" s="1266"/>
      <c r="BC1104" s="169"/>
    </row>
    <row r="1105" spans="19:55" ht="15.75" customHeight="1">
      <c r="S1105" s="454"/>
      <c r="AY1105" s="458"/>
      <c r="AZ1105" s="458"/>
      <c r="BA1105" s="1266"/>
      <c r="BC1105" s="169"/>
    </row>
    <row r="1106" spans="19:55" ht="15.75" customHeight="1">
      <c r="S1106" s="454"/>
      <c r="AY1106" s="458"/>
      <c r="AZ1106" s="458"/>
      <c r="BA1106" s="1266"/>
      <c r="BC1106" s="169"/>
    </row>
    <row r="1107" spans="19:55" ht="15.75" customHeight="1">
      <c r="S1107" s="454"/>
      <c r="AY1107" s="458"/>
      <c r="AZ1107" s="458"/>
      <c r="BA1107" s="1266"/>
      <c r="BC1107" s="169"/>
    </row>
    <row r="1108" spans="19:55" ht="15.75" customHeight="1">
      <c r="S1108" s="454"/>
      <c r="AY1108" s="458"/>
      <c r="AZ1108" s="458"/>
      <c r="BA1108" s="1266"/>
      <c r="BC1108" s="169"/>
    </row>
    <row r="1109" spans="19:55" ht="15.75" customHeight="1">
      <c r="S1109" s="454"/>
      <c r="AY1109" s="458"/>
      <c r="AZ1109" s="458"/>
      <c r="BA1109" s="1266"/>
      <c r="BC1109" s="169"/>
    </row>
    <row r="1110" spans="19:55" ht="15.75" customHeight="1">
      <c r="S1110" s="454"/>
      <c r="AY1110" s="458"/>
      <c r="AZ1110" s="458"/>
      <c r="BA1110" s="1266"/>
      <c r="BC1110" s="169"/>
    </row>
    <row r="1111" spans="19:55" ht="15.75" customHeight="1">
      <c r="S1111" s="454"/>
      <c r="AY1111" s="458"/>
      <c r="AZ1111" s="458"/>
      <c r="BA1111" s="1266"/>
      <c r="BC1111" s="169"/>
    </row>
    <row r="1112" spans="19:55" ht="15.75" customHeight="1">
      <c r="S1112" s="454"/>
      <c r="AY1112" s="458"/>
      <c r="AZ1112" s="458"/>
      <c r="BA1112" s="1266"/>
      <c r="BC1112" s="169"/>
    </row>
    <row r="1113" spans="19:55" ht="15.75" customHeight="1">
      <c r="S1113" s="454"/>
      <c r="AY1113" s="458"/>
      <c r="AZ1113" s="458"/>
      <c r="BA1113" s="1266"/>
      <c r="BC1113" s="169"/>
    </row>
    <row r="1114" spans="19:55" ht="15.75" customHeight="1">
      <c r="S1114" s="454"/>
      <c r="AY1114" s="458"/>
      <c r="AZ1114" s="458"/>
      <c r="BA1114" s="1266"/>
      <c r="BC1114" s="169"/>
    </row>
    <row r="1115" spans="19:55" ht="15.75" customHeight="1">
      <c r="S1115" s="454"/>
      <c r="AY1115" s="458"/>
      <c r="AZ1115" s="458"/>
      <c r="BA1115" s="1266"/>
      <c r="BC1115" s="169"/>
    </row>
    <row r="1116" spans="19:55" ht="15.75" customHeight="1">
      <c r="S1116" s="454"/>
      <c r="AY1116" s="458"/>
      <c r="AZ1116" s="458"/>
      <c r="BA1116" s="1266"/>
      <c r="BC1116" s="169"/>
    </row>
    <row r="1117" spans="19:55" ht="15.75" customHeight="1">
      <c r="S1117" s="454"/>
      <c r="AY1117" s="458"/>
      <c r="AZ1117" s="458"/>
      <c r="BA1117" s="1266"/>
      <c r="BC1117" s="169"/>
    </row>
    <row r="1118" spans="19:55" ht="15.75" customHeight="1">
      <c r="S1118" s="454"/>
      <c r="AY1118" s="458"/>
      <c r="AZ1118" s="458"/>
      <c r="BA1118" s="1266"/>
      <c r="BC1118" s="169"/>
    </row>
    <row r="1119" spans="19:55" ht="15.75" customHeight="1">
      <c r="S1119" s="454"/>
      <c r="AY1119" s="458"/>
      <c r="AZ1119" s="458"/>
      <c r="BA1119" s="1266"/>
      <c r="BC1119" s="169"/>
    </row>
    <row r="1120" spans="19:55" ht="15.75" customHeight="1">
      <c r="S1120" s="454"/>
      <c r="AY1120" s="458"/>
      <c r="AZ1120" s="458"/>
      <c r="BA1120" s="1266"/>
      <c r="BC1120" s="169"/>
    </row>
    <row r="1121" spans="19:55" ht="15.75" customHeight="1">
      <c r="S1121" s="454"/>
      <c r="AY1121" s="458"/>
      <c r="AZ1121" s="458"/>
      <c r="BA1121" s="1266"/>
      <c r="BC1121" s="169"/>
    </row>
    <row r="1122" spans="19:55" ht="15.75" customHeight="1">
      <c r="S1122" s="454"/>
      <c r="AY1122" s="458"/>
      <c r="AZ1122" s="458"/>
      <c r="BA1122" s="1266"/>
      <c r="BC1122" s="169"/>
    </row>
    <row r="1123" spans="19:55" ht="15.75" customHeight="1">
      <c r="S1123" s="454"/>
      <c r="AY1123" s="458"/>
      <c r="AZ1123" s="458"/>
      <c r="BA1123" s="1266"/>
      <c r="BC1123" s="169"/>
    </row>
    <row r="1124" spans="19:55" ht="15.75" customHeight="1">
      <c r="S1124" s="454"/>
      <c r="AY1124" s="458"/>
      <c r="AZ1124" s="458"/>
      <c r="BA1124" s="1266"/>
      <c r="BC1124" s="169"/>
    </row>
    <row r="1125" spans="19:55" ht="15.75" customHeight="1">
      <c r="S1125" s="454"/>
      <c r="AY1125" s="458"/>
      <c r="AZ1125" s="458"/>
      <c r="BA1125" s="1266"/>
      <c r="BC1125" s="169"/>
    </row>
    <row r="1126" spans="19:55" ht="15.75" customHeight="1">
      <c r="S1126" s="454"/>
      <c r="AY1126" s="458"/>
      <c r="AZ1126" s="458"/>
      <c r="BA1126" s="1266"/>
      <c r="BC1126" s="169"/>
    </row>
    <row r="1127" spans="19:55" ht="15.75" customHeight="1">
      <c r="S1127" s="454"/>
      <c r="AY1127" s="458"/>
      <c r="AZ1127" s="458"/>
      <c r="BA1127" s="1266"/>
      <c r="BC1127" s="169"/>
    </row>
    <row r="1128" spans="19:55" ht="15.75" customHeight="1">
      <c r="S1128" s="454"/>
      <c r="AY1128" s="458"/>
      <c r="AZ1128" s="458"/>
      <c r="BA1128" s="1266"/>
      <c r="BC1128" s="169"/>
    </row>
    <row r="1129" spans="19:55" ht="15.75" customHeight="1">
      <c r="S1129" s="454"/>
      <c r="AY1129" s="458"/>
      <c r="AZ1129" s="458"/>
      <c r="BA1129" s="1266"/>
      <c r="BC1129" s="169"/>
    </row>
    <row r="1130" spans="19:55" ht="15.75" customHeight="1">
      <c r="S1130" s="454"/>
      <c r="AY1130" s="458"/>
      <c r="AZ1130" s="458"/>
      <c r="BA1130" s="1266"/>
      <c r="BC1130" s="169"/>
    </row>
    <row r="1131" spans="19:55" ht="15.75" customHeight="1">
      <c r="S1131" s="454"/>
      <c r="AY1131" s="458"/>
      <c r="AZ1131" s="458"/>
      <c r="BA1131" s="1266"/>
      <c r="BC1131" s="169"/>
    </row>
    <row r="1132" spans="19:55" ht="15.75" customHeight="1">
      <c r="S1132" s="454"/>
      <c r="AY1132" s="458"/>
      <c r="AZ1132" s="458"/>
      <c r="BA1132" s="1266"/>
      <c r="BC1132" s="169"/>
    </row>
    <row r="1133" spans="19:55" ht="15.75" customHeight="1">
      <c r="S1133" s="454"/>
      <c r="AY1133" s="458"/>
      <c r="AZ1133" s="458"/>
      <c r="BA1133" s="1266"/>
      <c r="BC1133" s="169"/>
    </row>
    <row r="1134" spans="19:55" ht="15.75" customHeight="1">
      <c r="S1134" s="454"/>
      <c r="AY1134" s="458"/>
      <c r="AZ1134" s="458"/>
      <c r="BA1134" s="1266"/>
      <c r="BC1134" s="169"/>
    </row>
    <row r="1135" spans="19:55" ht="15.75" customHeight="1">
      <c r="S1135" s="454"/>
      <c r="AY1135" s="458"/>
      <c r="AZ1135" s="458"/>
      <c r="BA1135" s="1266"/>
      <c r="BC1135" s="169"/>
    </row>
    <row r="1136" spans="19:55" ht="15.75" customHeight="1">
      <c r="S1136" s="454"/>
      <c r="AY1136" s="458"/>
      <c r="AZ1136" s="458"/>
      <c r="BA1136" s="1266"/>
      <c r="BC1136" s="169"/>
    </row>
    <row r="1137" spans="19:55" ht="15.75" customHeight="1">
      <c r="S1137" s="454"/>
      <c r="AY1137" s="458"/>
      <c r="AZ1137" s="458"/>
      <c r="BA1137" s="1266"/>
      <c r="BC1137" s="169"/>
    </row>
    <row r="1138" spans="19:55" ht="15.75" customHeight="1">
      <c r="S1138" s="454"/>
      <c r="AY1138" s="458"/>
      <c r="AZ1138" s="458"/>
      <c r="BA1138" s="1266"/>
      <c r="BC1138" s="169"/>
    </row>
    <row r="1139" spans="19:55" ht="15.75" customHeight="1">
      <c r="S1139" s="454"/>
      <c r="AY1139" s="458"/>
      <c r="AZ1139" s="458"/>
      <c r="BA1139" s="1266"/>
      <c r="BC1139" s="169"/>
    </row>
    <row r="1140" spans="19:55" ht="15.75" customHeight="1">
      <c r="S1140" s="454"/>
      <c r="AY1140" s="458"/>
      <c r="AZ1140" s="458"/>
      <c r="BA1140" s="1266"/>
      <c r="BC1140" s="169"/>
    </row>
    <row r="1141" spans="19:55" ht="15.75" customHeight="1">
      <c r="S1141" s="454"/>
      <c r="AY1141" s="458"/>
      <c r="AZ1141" s="458"/>
      <c r="BA1141" s="1266"/>
      <c r="BC1141" s="169"/>
    </row>
    <row r="1142" spans="19:55" ht="15.75" customHeight="1">
      <c r="S1142" s="454"/>
      <c r="AY1142" s="458"/>
      <c r="AZ1142" s="458"/>
      <c r="BA1142" s="1266"/>
      <c r="BC1142" s="169"/>
    </row>
    <row r="1143" spans="19:55" ht="15.75" customHeight="1">
      <c r="S1143" s="454"/>
      <c r="AY1143" s="458"/>
      <c r="AZ1143" s="458"/>
      <c r="BA1143" s="1266"/>
      <c r="BC1143" s="169"/>
    </row>
    <row r="1144" spans="19:55" ht="15.75" customHeight="1">
      <c r="S1144" s="454"/>
      <c r="AY1144" s="458"/>
      <c r="AZ1144" s="458"/>
      <c r="BA1144" s="1266"/>
      <c r="BC1144" s="169"/>
    </row>
    <row r="1145" spans="19:55" ht="15.75" customHeight="1">
      <c r="S1145" s="454"/>
      <c r="AY1145" s="458"/>
      <c r="AZ1145" s="458"/>
      <c r="BA1145" s="1266"/>
      <c r="BC1145" s="169"/>
    </row>
    <row r="1146" spans="19:55" ht="15.75" customHeight="1">
      <c r="S1146" s="454"/>
      <c r="AY1146" s="458"/>
      <c r="AZ1146" s="458"/>
      <c r="BA1146" s="1266"/>
      <c r="BC1146" s="169"/>
    </row>
    <row r="1147" spans="19:55" ht="15.75" customHeight="1">
      <c r="S1147" s="454"/>
      <c r="AY1147" s="458"/>
      <c r="AZ1147" s="458"/>
      <c r="BA1147" s="1266"/>
      <c r="BC1147" s="169"/>
    </row>
    <row r="1148" spans="19:55" ht="15.75" customHeight="1">
      <c r="S1148" s="454"/>
      <c r="AY1148" s="458"/>
      <c r="AZ1148" s="458"/>
      <c r="BA1148" s="1266"/>
      <c r="BC1148" s="169"/>
    </row>
    <row r="1149" spans="19:55" ht="15.75" customHeight="1">
      <c r="S1149" s="454"/>
      <c r="AY1149" s="458"/>
      <c r="AZ1149" s="458"/>
      <c r="BA1149" s="1266"/>
      <c r="BC1149" s="169"/>
    </row>
    <row r="1150" spans="19:55" ht="15.75" customHeight="1">
      <c r="S1150" s="454"/>
      <c r="AY1150" s="458"/>
      <c r="AZ1150" s="458"/>
      <c r="BA1150" s="1266"/>
      <c r="BC1150" s="169"/>
    </row>
    <row r="1151" spans="19:55" ht="15.75" customHeight="1">
      <c r="S1151" s="454"/>
      <c r="AY1151" s="458"/>
      <c r="AZ1151" s="458"/>
      <c r="BA1151" s="1266"/>
      <c r="BC1151" s="169"/>
    </row>
    <row r="1152" spans="19:55" ht="15.75" customHeight="1">
      <c r="S1152" s="454"/>
      <c r="AY1152" s="458"/>
      <c r="AZ1152" s="458"/>
      <c r="BA1152" s="1266"/>
      <c r="BC1152" s="169"/>
    </row>
    <row r="1153" spans="19:55" ht="15.75" customHeight="1">
      <c r="S1153" s="454"/>
      <c r="AY1153" s="458"/>
      <c r="AZ1153" s="458"/>
      <c r="BA1153" s="1266"/>
      <c r="BC1153" s="169"/>
    </row>
    <row r="1154" spans="19:55" ht="15.75" customHeight="1">
      <c r="S1154" s="454"/>
      <c r="AY1154" s="458"/>
      <c r="AZ1154" s="458"/>
      <c r="BA1154" s="1266"/>
      <c r="BC1154" s="169"/>
    </row>
    <row r="1155" spans="19:55" ht="15.75" customHeight="1">
      <c r="S1155" s="454"/>
      <c r="AY1155" s="458"/>
      <c r="AZ1155" s="458"/>
      <c r="BA1155" s="1266"/>
      <c r="BC1155" s="169"/>
    </row>
    <row r="1156" spans="19:55" ht="15.75" customHeight="1">
      <c r="S1156" s="454"/>
      <c r="AY1156" s="458"/>
      <c r="AZ1156" s="458"/>
      <c r="BA1156" s="1266"/>
      <c r="BC1156" s="169"/>
    </row>
    <row r="1157" spans="19:55" ht="15.75" customHeight="1">
      <c r="S1157" s="454"/>
      <c r="AY1157" s="458"/>
      <c r="AZ1157" s="458"/>
      <c r="BA1157" s="1266"/>
      <c r="BC1157" s="169"/>
    </row>
    <row r="1158" spans="19:55" ht="15.75" customHeight="1">
      <c r="S1158" s="454"/>
      <c r="AY1158" s="458"/>
      <c r="AZ1158" s="458"/>
      <c r="BA1158" s="1266"/>
      <c r="BC1158" s="169"/>
    </row>
    <row r="1159" spans="19:55" ht="15.75" customHeight="1">
      <c r="S1159" s="454"/>
      <c r="AY1159" s="458"/>
      <c r="AZ1159" s="458"/>
      <c r="BA1159" s="1266"/>
      <c r="BC1159" s="169"/>
    </row>
    <row r="1160" spans="19:55" ht="15.75" customHeight="1">
      <c r="S1160" s="454"/>
      <c r="AY1160" s="458"/>
      <c r="AZ1160" s="458"/>
      <c r="BA1160" s="1266"/>
      <c r="BC1160" s="169"/>
    </row>
    <row r="1161" spans="19:55" ht="15.75" customHeight="1">
      <c r="S1161" s="454"/>
      <c r="AY1161" s="458"/>
      <c r="AZ1161" s="458"/>
      <c r="BA1161" s="1266"/>
      <c r="BC1161" s="169"/>
    </row>
    <row r="1162" spans="19:55" ht="15.75" customHeight="1">
      <c r="S1162" s="454"/>
      <c r="AY1162" s="458"/>
      <c r="AZ1162" s="458"/>
      <c r="BA1162" s="1266"/>
      <c r="BC1162" s="169"/>
    </row>
    <row r="1163" spans="19:55" ht="15.75" customHeight="1">
      <c r="S1163" s="454"/>
      <c r="AY1163" s="458"/>
      <c r="AZ1163" s="458"/>
      <c r="BA1163" s="1266"/>
      <c r="BC1163" s="169"/>
    </row>
    <row r="1164" spans="19:55" ht="15.75" customHeight="1">
      <c r="S1164" s="454"/>
      <c r="AY1164" s="458"/>
      <c r="AZ1164" s="458"/>
      <c r="BA1164" s="1266"/>
      <c r="BC1164" s="169"/>
    </row>
    <row r="1165" spans="19:55" ht="15.75" customHeight="1">
      <c r="S1165" s="454"/>
      <c r="AY1165" s="458"/>
      <c r="AZ1165" s="458"/>
      <c r="BA1165" s="1266"/>
      <c r="BC1165" s="169"/>
    </row>
    <row r="1166" spans="19:55" ht="15.75" customHeight="1">
      <c r="S1166" s="454"/>
      <c r="AY1166" s="458"/>
      <c r="AZ1166" s="458"/>
      <c r="BA1166" s="1266"/>
      <c r="BC1166" s="169"/>
    </row>
    <row r="1167" spans="19:55" ht="15.75" customHeight="1">
      <c r="S1167" s="454"/>
      <c r="AY1167" s="458"/>
      <c r="AZ1167" s="458"/>
      <c r="BA1167" s="1266"/>
      <c r="BC1167" s="169"/>
    </row>
    <row r="1168" spans="19:55" ht="15.75" customHeight="1">
      <c r="S1168" s="454"/>
      <c r="AY1168" s="458"/>
      <c r="AZ1168" s="458"/>
      <c r="BA1168" s="1266"/>
      <c r="BC1168" s="169"/>
    </row>
    <row r="1169" spans="19:55" ht="15.75" customHeight="1">
      <c r="S1169" s="454"/>
      <c r="AY1169" s="458"/>
      <c r="AZ1169" s="458"/>
      <c r="BA1169" s="1266"/>
      <c r="BC1169" s="169"/>
    </row>
    <row r="1170" spans="19:55" ht="15.75" customHeight="1">
      <c r="S1170" s="454"/>
      <c r="AY1170" s="458"/>
      <c r="AZ1170" s="458"/>
      <c r="BA1170" s="1266"/>
      <c r="BC1170" s="169"/>
    </row>
    <row r="1171" spans="19:55" ht="15.75" customHeight="1">
      <c r="S1171" s="454"/>
      <c r="AY1171" s="458"/>
      <c r="AZ1171" s="458"/>
      <c r="BA1171" s="1266"/>
      <c r="BC1171" s="169"/>
    </row>
    <row r="1172" spans="19:55" ht="15.75" customHeight="1">
      <c r="S1172" s="454"/>
      <c r="AY1172" s="458"/>
      <c r="AZ1172" s="458"/>
      <c r="BA1172" s="1266"/>
      <c r="BC1172" s="169"/>
    </row>
    <row r="1173" spans="19:55" ht="15.75" customHeight="1">
      <c r="S1173" s="454"/>
      <c r="AY1173" s="458"/>
      <c r="AZ1173" s="458"/>
      <c r="BA1173" s="1266"/>
      <c r="BC1173" s="169"/>
    </row>
    <row r="1174" spans="19:55" ht="15.75" customHeight="1">
      <c r="S1174" s="454"/>
      <c r="AY1174" s="458"/>
      <c r="AZ1174" s="458"/>
      <c r="BA1174" s="1266"/>
      <c r="BC1174" s="169"/>
    </row>
    <row r="1175" spans="19:55" ht="15.75" customHeight="1">
      <c r="S1175" s="454"/>
      <c r="AY1175" s="458"/>
      <c r="AZ1175" s="458"/>
      <c r="BA1175" s="1266"/>
      <c r="BC1175" s="169"/>
    </row>
    <row r="1176" spans="19:55" ht="15.75" customHeight="1">
      <c r="S1176" s="454"/>
      <c r="AY1176" s="458"/>
      <c r="AZ1176" s="458"/>
      <c r="BA1176" s="1266"/>
      <c r="BC1176" s="169"/>
    </row>
    <row r="1177" spans="19:55" ht="15.75" customHeight="1">
      <c r="S1177" s="454"/>
      <c r="AY1177" s="458"/>
      <c r="AZ1177" s="458"/>
      <c r="BA1177" s="1266"/>
      <c r="BC1177" s="169"/>
    </row>
    <row r="1178" spans="19:55" ht="15.75" customHeight="1">
      <c r="S1178" s="454"/>
      <c r="AY1178" s="458"/>
      <c r="AZ1178" s="458"/>
      <c r="BA1178" s="1266"/>
      <c r="BC1178" s="169"/>
    </row>
    <row r="1179" spans="19:55" ht="15.75" customHeight="1">
      <c r="S1179" s="454"/>
      <c r="AY1179" s="458"/>
      <c r="AZ1179" s="458"/>
      <c r="BA1179" s="1266"/>
      <c r="BC1179" s="169"/>
    </row>
    <row r="1180" spans="19:55" ht="15.75" customHeight="1">
      <c r="S1180" s="454"/>
      <c r="AY1180" s="458"/>
      <c r="AZ1180" s="458"/>
      <c r="BA1180" s="1266"/>
      <c r="BC1180" s="169"/>
    </row>
    <row r="1181" spans="19:55" ht="15.75" customHeight="1">
      <c r="S1181" s="454"/>
      <c r="AY1181" s="458"/>
      <c r="AZ1181" s="458"/>
      <c r="BA1181" s="1266"/>
      <c r="BC1181" s="169"/>
    </row>
    <row r="1182" spans="19:55" ht="15.75" customHeight="1">
      <c r="S1182" s="454"/>
      <c r="AY1182" s="458"/>
      <c r="AZ1182" s="458"/>
      <c r="BA1182" s="1266"/>
      <c r="BC1182" s="169"/>
    </row>
    <row r="1183" spans="19:55" ht="15.75" customHeight="1">
      <c r="S1183" s="454"/>
      <c r="AY1183" s="458"/>
      <c r="AZ1183" s="458"/>
      <c r="BA1183" s="1266"/>
      <c r="BC1183" s="169"/>
    </row>
    <row r="1184" spans="19:55" ht="15.75" customHeight="1">
      <c r="S1184" s="454"/>
      <c r="AY1184" s="458"/>
      <c r="AZ1184" s="458"/>
      <c r="BA1184" s="1266"/>
      <c r="BC1184" s="169"/>
    </row>
    <row r="1185" spans="19:55" ht="15.75" customHeight="1">
      <c r="S1185" s="454"/>
      <c r="AY1185" s="458"/>
      <c r="AZ1185" s="458"/>
      <c r="BA1185" s="1266"/>
      <c r="BC1185" s="169"/>
    </row>
    <row r="1186" spans="19:55" ht="15.75" customHeight="1">
      <c r="S1186" s="454"/>
      <c r="AY1186" s="458"/>
      <c r="AZ1186" s="458"/>
      <c r="BA1186" s="1266"/>
      <c r="BC1186" s="169"/>
    </row>
    <row r="1187" spans="19:55" ht="15.75" customHeight="1">
      <c r="S1187" s="454"/>
      <c r="AY1187" s="458"/>
      <c r="AZ1187" s="458"/>
      <c r="BA1187" s="1266"/>
      <c r="BC1187" s="169"/>
    </row>
    <row r="1188" spans="19:55" ht="15.75" customHeight="1">
      <c r="S1188" s="454"/>
      <c r="AY1188" s="458"/>
      <c r="AZ1188" s="458"/>
      <c r="BA1188" s="1266"/>
      <c r="BC1188" s="169"/>
    </row>
    <row r="1189" spans="19:55" ht="15.75" customHeight="1">
      <c r="S1189" s="454"/>
      <c r="AY1189" s="458"/>
      <c r="AZ1189" s="458"/>
      <c r="BA1189" s="1266"/>
      <c r="BC1189" s="169"/>
    </row>
    <row r="1190" spans="19:55" ht="15.75" customHeight="1">
      <c r="S1190" s="454"/>
      <c r="AY1190" s="458"/>
      <c r="AZ1190" s="458"/>
      <c r="BA1190" s="1266"/>
      <c r="BC1190" s="169"/>
    </row>
    <row r="1191" spans="19:55" ht="15.75" customHeight="1">
      <c r="S1191" s="454"/>
      <c r="AY1191" s="458"/>
      <c r="AZ1191" s="458"/>
      <c r="BA1191" s="1266"/>
      <c r="BC1191" s="169"/>
    </row>
    <row r="1192" spans="19:55" ht="15.75" customHeight="1">
      <c r="S1192" s="454"/>
      <c r="AY1192" s="458"/>
      <c r="AZ1192" s="458"/>
      <c r="BA1192" s="1266"/>
      <c r="BC1192" s="169"/>
    </row>
    <row r="1193" spans="19:55" ht="15.75" customHeight="1">
      <c r="S1193" s="454"/>
      <c r="AY1193" s="458"/>
      <c r="AZ1193" s="458"/>
      <c r="BA1193" s="1266"/>
      <c r="BC1193" s="169"/>
    </row>
    <row r="1194" spans="19:55" ht="15.75" customHeight="1">
      <c r="S1194" s="454"/>
      <c r="AY1194" s="458"/>
      <c r="AZ1194" s="458"/>
      <c r="BA1194" s="1266"/>
      <c r="BC1194" s="169"/>
    </row>
    <row r="1195" spans="19:55" ht="15.75" customHeight="1">
      <c r="S1195" s="454"/>
      <c r="AY1195" s="458"/>
      <c r="AZ1195" s="458"/>
      <c r="BA1195" s="1266"/>
      <c r="BC1195" s="169"/>
    </row>
    <row r="1196" spans="19:55" ht="15.75" customHeight="1">
      <c r="S1196" s="454"/>
      <c r="AY1196" s="458"/>
      <c r="AZ1196" s="458"/>
      <c r="BA1196" s="1266"/>
      <c r="BC1196" s="169"/>
    </row>
    <row r="1197" spans="19:55" ht="15.75" customHeight="1">
      <c r="S1197" s="454"/>
      <c r="AY1197" s="458"/>
      <c r="AZ1197" s="458"/>
      <c r="BA1197" s="1266"/>
      <c r="BC1197" s="169"/>
    </row>
    <row r="1198" spans="19:55" ht="15.75" customHeight="1">
      <c r="S1198" s="454"/>
      <c r="AY1198" s="458"/>
      <c r="AZ1198" s="458"/>
      <c r="BA1198" s="1266"/>
      <c r="BC1198" s="169"/>
    </row>
    <row r="1199" spans="19:55" ht="15.75" customHeight="1">
      <c r="S1199" s="454"/>
      <c r="AY1199" s="458"/>
      <c r="AZ1199" s="458"/>
      <c r="BA1199" s="1266"/>
      <c r="BC1199" s="169"/>
    </row>
    <row r="1200" spans="19:55" ht="15.75" customHeight="1">
      <c r="S1200" s="454"/>
      <c r="AY1200" s="458"/>
      <c r="AZ1200" s="458"/>
      <c r="BA1200" s="1266"/>
      <c r="BC1200" s="169"/>
    </row>
    <row r="1201" spans="19:55" ht="15.75" customHeight="1">
      <c r="S1201" s="454"/>
      <c r="AY1201" s="458"/>
      <c r="AZ1201" s="458"/>
      <c r="BA1201" s="1266"/>
      <c r="BC1201" s="169"/>
    </row>
    <row r="1202" spans="19:55" ht="15.75" customHeight="1">
      <c r="S1202" s="454"/>
      <c r="AY1202" s="458"/>
      <c r="AZ1202" s="458"/>
      <c r="BA1202" s="1266"/>
      <c r="BC1202" s="169"/>
    </row>
    <row r="1203" spans="19:55" ht="15.75" customHeight="1">
      <c r="S1203" s="454"/>
      <c r="AY1203" s="458"/>
      <c r="AZ1203" s="458"/>
      <c r="BA1203" s="1266"/>
      <c r="BC1203" s="169"/>
    </row>
    <row r="1204" spans="19:55" ht="15.75" customHeight="1">
      <c r="S1204" s="454"/>
      <c r="AY1204" s="458"/>
      <c r="AZ1204" s="458"/>
      <c r="BA1204" s="1266"/>
      <c r="BC1204" s="169"/>
    </row>
    <row r="1205" spans="19:55" ht="15.75" customHeight="1">
      <c r="S1205" s="454"/>
      <c r="AY1205" s="458"/>
      <c r="AZ1205" s="458"/>
      <c r="BA1205" s="1266"/>
      <c r="BC1205" s="169"/>
    </row>
    <row r="1206" spans="19:55" ht="15.75" customHeight="1">
      <c r="S1206" s="454"/>
      <c r="AY1206" s="458"/>
      <c r="AZ1206" s="458"/>
      <c r="BA1206" s="1266"/>
      <c r="BC1206" s="169"/>
    </row>
    <row r="1207" spans="19:55" ht="15.75" customHeight="1">
      <c r="S1207" s="454"/>
      <c r="AY1207" s="458"/>
      <c r="AZ1207" s="458"/>
      <c r="BA1207" s="1266"/>
      <c r="BC1207" s="169"/>
    </row>
    <row r="1208" spans="19:55" ht="15.75" customHeight="1">
      <c r="S1208" s="454"/>
      <c r="AY1208" s="458"/>
      <c r="AZ1208" s="458"/>
      <c r="BA1208" s="1266"/>
      <c r="BC1208" s="169"/>
    </row>
    <row r="1209" spans="19:55" ht="15.75" customHeight="1">
      <c r="S1209" s="454"/>
      <c r="AY1209" s="458"/>
      <c r="AZ1209" s="458"/>
      <c r="BA1209" s="1266"/>
      <c r="BC1209" s="169"/>
    </row>
    <row r="1210" spans="19:55" ht="15.75" customHeight="1">
      <c r="S1210" s="454"/>
      <c r="AY1210" s="458"/>
      <c r="AZ1210" s="458"/>
      <c r="BA1210" s="1266"/>
      <c r="BC1210" s="169"/>
    </row>
    <row r="1211" spans="19:55" ht="15.75" customHeight="1">
      <c r="S1211" s="454"/>
      <c r="AY1211" s="458"/>
      <c r="AZ1211" s="458"/>
      <c r="BA1211" s="1266"/>
      <c r="BC1211" s="169"/>
    </row>
    <row r="1212" spans="19:55" ht="15.75" customHeight="1">
      <c r="S1212" s="454"/>
      <c r="AY1212" s="458"/>
      <c r="AZ1212" s="458"/>
      <c r="BA1212" s="1266"/>
      <c r="BC1212" s="169"/>
    </row>
    <row r="1213" spans="19:55" ht="15.75" customHeight="1">
      <c r="S1213" s="454"/>
      <c r="AY1213" s="458"/>
      <c r="AZ1213" s="458"/>
      <c r="BA1213" s="1266"/>
      <c r="BC1213" s="169"/>
    </row>
    <row r="1214" spans="19:55" ht="15.75" customHeight="1">
      <c r="S1214" s="454"/>
      <c r="AY1214" s="458"/>
      <c r="AZ1214" s="458"/>
      <c r="BA1214" s="1266"/>
      <c r="BC1214" s="169"/>
    </row>
    <row r="1215" spans="19:55" ht="15.75" customHeight="1">
      <c r="S1215" s="454"/>
      <c r="AY1215" s="458"/>
      <c r="AZ1215" s="458"/>
      <c r="BA1215" s="1266"/>
      <c r="BC1215" s="169"/>
    </row>
    <row r="1216" spans="19:55" ht="15.75" customHeight="1">
      <c r="S1216" s="454"/>
      <c r="AY1216" s="458"/>
      <c r="AZ1216" s="458"/>
      <c r="BA1216" s="1266"/>
      <c r="BC1216" s="169"/>
    </row>
    <row r="1217" spans="19:55" ht="15.75" customHeight="1">
      <c r="S1217" s="454"/>
      <c r="AY1217" s="458"/>
      <c r="AZ1217" s="458"/>
      <c r="BA1217" s="1266"/>
      <c r="BC1217" s="169"/>
    </row>
    <row r="1218" spans="19:55" ht="15.75" customHeight="1">
      <c r="S1218" s="454"/>
      <c r="AY1218" s="458"/>
      <c r="AZ1218" s="458"/>
      <c r="BA1218" s="1266"/>
      <c r="BC1218" s="169"/>
    </row>
    <row r="1219" spans="19:55" ht="15.75" customHeight="1">
      <c r="S1219" s="454"/>
      <c r="AY1219" s="458"/>
      <c r="AZ1219" s="458"/>
      <c r="BA1219" s="1266"/>
      <c r="BC1219" s="169"/>
    </row>
    <row r="1220" spans="19:55" ht="15.75" customHeight="1">
      <c r="S1220" s="454"/>
      <c r="AY1220" s="458"/>
      <c r="AZ1220" s="458"/>
      <c r="BA1220" s="1266"/>
      <c r="BC1220" s="169"/>
    </row>
    <row r="1221" spans="19:55" ht="15.75" customHeight="1">
      <c r="S1221" s="454"/>
      <c r="AY1221" s="458"/>
      <c r="AZ1221" s="458"/>
      <c r="BA1221" s="1266"/>
      <c r="BC1221" s="169"/>
    </row>
    <row r="1222" spans="19:55" ht="15.75" customHeight="1">
      <c r="S1222" s="454"/>
      <c r="AY1222" s="458"/>
      <c r="AZ1222" s="458"/>
      <c r="BA1222" s="1266"/>
      <c r="BC1222" s="169"/>
    </row>
    <row r="1223" spans="19:55" ht="15.75" customHeight="1">
      <c r="S1223" s="454"/>
      <c r="AY1223" s="458"/>
      <c r="AZ1223" s="458"/>
      <c r="BA1223" s="1266"/>
      <c r="BC1223" s="169"/>
    </row>
    <row r="1224" spans="19:55" ht="15.75" customHeight="1">
      <c r="S1224" s="454"/>
      <c r="AY1224" s="458"/>
      <c r="AZ1224" s="458"/>
      <c r="BA1224" s="1266"/>
      <c r="BC1224" s="169"/>
    </row>
    <row r="1225" spans="19:55" ht="15.75" customHeight="1">
      <c r="S1225" s="454"/>
      <c r="AY1225" s="458"/>
      <c r="AZ1225" s="458"/>
      <c r="BA1225" s="1266"/>
      <c r="BC1225" s="169"/>
    </row>
    <row r="1226" spans="19:55" ht="15.75" customHeight="1">
      <c r="S1226" s="454"/>
      <c r="AY1226" s="458"/>
      <c r="AZ1226" s="458"/>
      <c r="BA1226" s="1266"/>
      <c r="BC1226" s="169"/>
    </row>
    <row r="1227" spans="19:55" ht="15.75" customHeight="1">
      <c r="S1227" s="454"/>
      <c r="AY1227" s="458"/>
      <c r="AZ1227" s="458"/>
      <c r="BA1227" s="1266"/>
      <c r="BC1227" s="169"/>
    </row>
    <row r="1228" spans="19:55" ht="15.75" customHeight="1">
      <c r="S1228" s="454"/>
      <c r="AY1228" s="458"/>
      <c r="AZ1228" s="458"/>
      <c r="BA1228" s="1266"/>
      <c r="BC1228" s="169"/>
    </row>
    <row r="1229" spans="19:55" ht="15.75" customHeight="1">
      <c r="S1229" s="454"/>
      <c r="AY1229" s="458"/>
      <c r="AZ1229" s="458"/>
      <c r="BA1229" s="1266"/>
      <c r="BC1229" s="169"/>
    </row>
    <row r="1230" spans="19:55" ht="15.75" customHeight="1">
      <c r="S1230" s="454"/>
      <c r="AY1230" s="458"/>
      <c r="AZ1230" s="458"/>
      <c r="BA1230" s="1266"/>
      <c r="BC1230" s="169"/>
    </row>
    <row r="1231" spans="19:55" ht="15.75" customHeight="1">
      <c r="S1231" s="454"/>
      <c r="AY1231" s="458"/>
      <c r="AZ1231" s="458"/>
      <c r="BA1231" s="1266"/>
      <c r="BC1231" s="169"/>
    </row>
    <row r="1232" spans="19:55" ht="15.75" customHeight="1">
      <c r="S1232" s="454"/>
      <c r="AY1232" s="458"/>
      <c r="AZ1232" s="458"/>
      <c r="BA1232" s="1266"/>
      <c r="BC1232" s="169"/>
    </row>
    <row r="1233" spans="19:55" ht="15.75" customHeight="1">
      <c r="S1233" s="454"/>
      <c r="AY1233" s="458"/>
      <c r="AZ1233" s="458"/>
      <c r="BA1233" s="1266"/>
      <c r="BC1233" s="169"/>
    </row>
    <row r="1234" spans="19:55" ht="15.75" customHeight="1">
      <c r="S1234" s="454"/>
      <c r="AY1234" s="458"/>
      <c r="AZ1234" s="458"/>
      <c r="BA1234" s="1266"/>
      <c r="BC1234" s="169"/>
    </row>
    <row r="1235" spans="19:55" ht="15.75" customHeight="1">
      <c r="S1235" s="454"/>
      <c r="AY1235" s="458"/>
      <c r="AZ1235" s="458"/>
      <c r="BA1235" s="1266"/>
      <c r="BC1235" s="169"/>
    </row>
    <row r="1236" spans="19:55" ht="15.75" customHeight="1">
      <c r="S1236" s="454"/>
      <c r="AY1236" s="458"/>
      <c r="AZ1236" s="458"/>
      <c r="BA1236" s="1266"/>
      <c r="BC1236" s="169"/>
    </row>
    <row r="1237" spans="19:55" ht="15.75" customHeight="1">
      <c r="S1237" s="454"/>
      <c r="AY1237" s="458"/>
      <c r="AZ1237" s="458"/>
      <c r="BA1237" s="1266"/>
      <c r="BC1237" s="169"/>
    </row>
    <row r="1238" spans="19:55" ht="15.75" customHeight="1">
      <c r="S1238" s="454"/>
      <c r="AY1238" s="458"/>
      <c r="AZ1238" s="458"/>
      <c r="BA1238" s="1266"/>
      <c r="BC1238" s="169"/>
    </row>
    <row r="1239" spans="19:55" ht="15.75" customHeight="1">
      <c r="S1239" s="454"/>
      <c r="AY1239" s="458"/>
      <c r="AZ1239" s="458"/>
      <c r="BA1239" s="1266"/>
      <c r="BC1239" s="169"/>
    </row>
    <row r="1240" spans="19:55" ht="15.75" customHeight="1">
      <c r="S1240" s="454"/>
      <c r="AY1240" s="458"/>
      <c r="AZ1240" s="458"/>
      <c r="BA1240" s="1266"/>
      <c r="BC1240" s="169"/>
    </row>
    <row r="1241" spans="19:55" ht="15.75" customHeight="1">
      <c r="S1241" s="454"/>
      <c r="AY1241" s="458"/>
      <c r="AZ1241" s="458"/>
      <c r="BA1241" s="1266"/>
      <c r="BC1241" s="169"/>
    </row>
    <row r="1242" spans="19:55" ht="15.75" customHeight="1">
      <c r="S1242" s="454"/>
      <c r="AY1242" s="458"/>
      <c r="AZ1242" s="458"/>
      <c r="BA1242" s="1266"/>
      <c r="BC1242" s="169"/>
    </row>
    <row r="1243" spans="19:55" ht="15.75" customHeight="1">
      <c r="S1243" s="454"/>
      <c r="AY1243" s="458"/>
      <c r="AZ1243" s="458"/>
      <c r="BA1243" s="1266"/>
      <c r="BC1243" s="169"/>
    </row>
    <row r="1244" spans="19:55" ht="15.75" customHeight="1">
      <c r="S1244" s="454"/>
      <c r="AY1244" s="458"/>
      <c r="AZ1244" s="458"/>
      <c r="BA1244" s="1266"/>
      <c r="BC1244" s="169"/>
    </row>
    <row r="1245" spans="19:55" ht="15.75" customHeight="1">
      <c r="S1245" s="454"/>
      <c r="AY1245" s="458"/>
      <c r="AZ1245" s="458"/>
      <c r="BA1245" s="1266"/>
      <c r="BC1245" s="169"/>
    </row>
    <row r="1246" spans="19:55" ht="15.75" customHeight="1">
      <c r="S1246" s="454"/>
      <c r="AY1246" s="458"/>
      <c r="AZ1246" s="458"/>
      <c r="BA1246" s="1266"/>
      <c r="BC1246" s="169"/>
    </row>
    <row r="1247" spans="19:55" ht="15.75" customHeight="1">
      <c r="S1247" s="454"/>
      <c r="AY1247" s="458"/>
      <c r="AZ1247" s="458"/>
      <c r="BA1247" s="1266"/>
      <c r="BC1247" s="169"/>
    </row>
    <row r="1248" spans="19:55" ht="15.75" customHeight="1">
      <c r="S1248" s="454"/>
      <c r="AY1248" s="458"/>
      <c r="AZ1248" s="458"/>
      <c r="BA1248" s="1266"/>
      <c r="BC1248" s="169"/>
    </row>
    <row r="1249" spans="19:55" ht="15.75" customHeight="1">
      <c r="S1249" s="454"/>
      <c r="AY1249" s="458"/>
      <c r="AZ1249" s="458"/>
      <c r="BA1249" s="1266"/>
      <c r="BC1249" s="169"/>
    </row>
    <row r="1250" spans="19:55" ht="15.75" customHeight="1">
      <c r="S1250" s="454"/>
      <c r="AY1250" s="458"/>
      <c r="AZ1250" s="458"/>
      <c r="BA1250" s="1266"/>
      <c r="BC1250" s="169"/>
    </row>
    <row r="1251" spans="19:55" ht="15.75" customHeight="1">
      <c r="S1251" s="454"/>
      <c r="AY1251" s="458"/>
      <c r="AZ1251" s="458"/>
      <c r="BA1251" s="1266"/>
      <c r="BC1251" s="169"/>
    </row>
    <row r="1252" spans="19:55" ht="15.75" customHeight="1">
      <c r="S1252" s="454"/>
      <c r="AY1252" s="458"/>
      <c r="AZ1252" s="458"/>
      <c r="BA1252" s="1266"/>
      <c r="BC1252" s="169"/>
    </row>
    <row r="1253" spans="19:55" ht="15.75" customHeight="1">
      <c r="S1253" s="454"/>
      <c r="AY1253" s="458"/>
      <c r="AZ1253" s="458"/>
      <c r="BA1253" s="1266"/>
      <c r="BC1253" s="169"/>
    </row>
    <row r="1254" spans="19:55" ht="15.75" customHeight="1">
      <c r="S1254" s="454"/>
      <c r="AY1254" s="458"/>
      <c r="AZ1254" s="458"/>
      <c r="BA1254" s="1266"/>
      <c r="BC1254" s="169"/>
    </row>
    <row r="1255" spans="19:55" ht="15.75" customHeight="1">
      <c r="S1255" s="454"/>
      <c r="AY1255" s="458"/>
      <c r="AZ1255" s="458"/>
      <c r="BA1255" s="1266"/>
      <c r="BC1255" s="169"/>
    </row>
    <row r="1256" spans="19:55" ht="15.75" customHeight="1">
      <c r="S1256" s="454"/>
      <c r="AY1256" s="458"/>
      <c r="AZ1256" s="458"/>
      <c r="BA1256" s="1266"/>
      <c r="BC1256" s="169"/>
    </row>
    <row r="1257" spans="19:55" ht="15.75" customHeight="1">
      <c r="S1257" s="454"/>
      <c r="AY1257" s="458"/>
      <c r="AZ1257" s="458"/>
      <c r="BA1257" s="1266"/>
      <c r="BC1257" s="169"/>
    </row>
    <row r="1258" spans="19:55" ht="15.75" customHeight="1">
      <c r="S1258" s="454"/>
      <c r="AY1258" s="458"/>
      <c r="AZ1258" s="458"/>
      <c r="BA1258" s="1266"/>
      <c r="BC1258" s="169"/>
    </row>
    <row r="1259" spans="19:55" ht="15.75" customHeight="1">
      <c r="S1259" s="454"/>
      <c r="AY1259" s="458"/>
      <c r="AZ1259" s="458"/>
      <c r="BA1259" s="1266"/>
      <c r="BC1259" s="169"/>
    </row>
    <row r="1260" spans="19:55" ht="15.75" customHeight="1">
      <c r="S1260" s="454"/>
      <c r="AY1260" s="458"/>
      <c r="AZ1260" s="458"/>
      <c r="BA1260" s="1266"/>
      <c r="BC1260" s="169"/>
    </row>
    <row r="1261" spans="19:55" ht="15.75" customHeight="1">
      <c r="S1261" s="454"/>
      <c r="AY1261" s="458"/>
      <c r="AZ1261" s="458"/>
      <c r="BA1261" s="1266"/>
      <c r="BC1261" s="169"/>
    </row>
    <row r="1262" spans="19:55" ht="15.75" customHeight="1">
      <c r="S1262" s="454"/>
      <c r="AY1262" s="458"/>
      <c r="AZ1262" s="458"/>
      <c r="BA1262" s="1266"/>
      <c r="BC1262" s="169"/>
    </row>
    <row r="1263" spans="19:55" ht="15.75" customHeight="1">
      <c r="S1263" s="454"/>
      <c r="AY1263" s="458"/>
      <c r="AZ1263" s="458"/>
      <c r="BA1263" s="1266"/>
      <c r="BC1263" s="169"/>
    </row>
    <row r="1264" spans="19:55" ht="15.75" customHeight="1">
      <c r="S1264" s="454"/>
      <c r="AY1264" s="458"/>
      <c r="AZ1264" s="458"/>
      <c r="BA1264" s="1266"/>
      <c r="BC1264" s="169"/>
    </row>
    <row r="1265" spans="19:55" ht="15.75" customHeight="1">
      <c r="S1265" s="454"/>
      <c r="AY1265" s="458"/>
      <c r="AZ1265" s="458"/>
      <c r="BA1265" s="1266"/>
      <c r="BC1265" s="169"/>
    </row>
    <row r="1266" spans="19:55" ht="15.75" customHeight="1">
      <c r="S1266" s="454"/>
      <c r="AY1266" s="458"/>
      <c r="AZ1266" s="458"/>
      <c r="BA1266" s="1266"/>
      <c r="BC1266" s="169"/>
    </row>
    <row r="1267" spans="19:55" ht="15.75" customHeight="1">
      <c r="S1267" s="454"/>
      <c r="AY1267" s="458"/>
      <c r="AZ1267" s="458"/>
      <c r="BA1267" s="1266"/>
      <c r="BC1267" s="169"/>
    </row>
    <row r="1268" spans="19:55" ht="15.75" customHeight="1">
      <c r="S1268" s="454"/>
      <c r="AY1268" s="458"/>
      <c r="AZ1268" s="458"/>
      <c r="BA1268" s="1266"/>
      <c r="BC1268" s="169"/>
    </row>
    <row r="1269" spans="19:55" ht="15.75" customHeight="1">
      <c r="S1269" s="454"/>
      <c r="AY1269" s="458"/>
      <c r="AZ1269" s="458"/>
      <c r="BA1269" s="1266"/>
      <c r="BC1269" s="169"/>
    </row>
    <row r="1270" spans="19:55" ht="15.75" customHeight="1">
      <c r="S1270" s="454"/>
      <c r="AY1270" s="458"/>
      <c r="AZ1270" s="458"/>
      <c r="BA1270" s="1266"/>
      <c r="BC1270" s="169"/>
    </row>
    <row r="1271" spans="19:55" ht="15.75" customHeight="1">
      <c r="S1271" s="454"/>
      <c r="AY1271" s="458"/>
      <c r="AZ1271" s="458"/>
      <c r="BA1271" s="1266"/>
      <c r="BC1271" s="169"/>
    </row>
    <row r="1272" spans="19:55" ht="15.75" customHeight="1">
      <c r="S1272" s="454"/>
      <c r="AY1272" s="458"/>
      <c r="AZ1272" s="458"/>
      <c r="BA1272" s="1266"/>
      <c r="BC1272" s="169"/>
    </row>
    <row r="1273" spans="19:55" ht="15.75" customHeight="1">
      <c r="S1273" s="454"/>
      <c r="AY1273" s="458"/>
      <c r="AZ1273" s="458"/>
      <c r="BA1273" s="1266"/>
      <c r="BC1273" s="169"/>
    </row>
    <row r="1274" spans="19:55" ht="15.75" customHeight="1">
      <c r="S1274" s="454"/>
      <c r="AY1274" s="458"/>
      <c r="AZ1274" s="458"/>
      <c r="BA1274" s="1266"/>
      <c r="BC1274" s="169"/>
    </row>
    <row r="1275" spans="19:55" ht="15.75" customHeight="1">
      <c r="S1275" s="454"/>
      <c r="AY1275" s="458"/>
      <c r="AZ1275" s="458"/>
      <c r="BA1275" s="1266"/>
      <c r="BC1275" s="169"/>
    </row>
    <row r="1276" spans="19:55" ht="15.75" customHeight="1">
      <c r="S1276" s="454"/>
      <c r="AY1276" s="458"/>
      <c r="AZ1276" s="458"/>
      <c r="BA1276" s="1266"/>
      <c r="BC1276" s="169"/>
    </row>
    <row r="1277" spans="19:55" ht="15.75" customHeight="1">
      <c r="S1277" s="454"/>
      <c r="AY1277" s="458"/>
      <c r="AZ1277" s="458"/>
      <c r="BA1277" s="1266"/>
      <c r="BC1277" s="169"/>
    </row>
    <row r="1278" spans="19:55" ht="15.75" customHeight="1">
      <c r="S1278" s="454"/>
      <c r="AY1278" s="458"/>
      <c r="AZ1278" s="458"/>
      <c r="BA1278" s="1266"/>
      <c r="BC1278" s="169"/>
    </row>
    <row r="1279" spans="19:55" ht="15.75" customHeight="1">
      <c r="S1279" s="454"/>
      <c r="AY1279" s="458"/>
      <c r="AZ1279" s="458"/>
      <c r="BA1279" s="1266"/>
      <c r="BC1279" s="169"/>
    </row>
    <row r="1280" spans="19:55" ht="15.75" customHeight="1">
      <c r="S1280" s="454"/>
      <c r="AY1280" s="458"/>
      <c r="AZ1280" s="458"/>
      <c r="BA1280" s="1266"/>
      <c r="BC1280" s="169"/>
    </row>
    <row r="1281" spans="19:55" ht="15.75" customHeight="1">
      <c r="S1281" s="454"/>
      <c r="AY1281" s="458"/>
      <c r="AZ1281" s="458"/>
      <c r="BA1281" s="1266"/>
      <c r="BC1281" s="169"/>
    </row>
    <row r="1282" spans="19:55" ht="15.75" customHeight="1">
      <c r="S1282" s="454"/>
      <c r="AY1282" s="458"/>
      <c r="AZ1282" s="458"/>
      <c r="BA1282" s="1266"/>
      <c r="BC1282" s="169"/>
    </row>
    <row r="1283" spans="19:55" ht="15.75" customHeight="1">
      <c r="S1283" s="454"/>
      <c r="AY1283" s="458"/>
      <c r="AZ1283" s="458"/>
      <c r="BA1283" s="1266"/>
      <c r="BC1283" s="169"/>
    </row>
    <row r="1284" spans="19:55" ht="15.75" customHeight="1">
      <c r="S1284" s="454"/>
      <c r="AY1284" s="458"/>
      <c r="AZ1284" s="458"/>
      <c r="BA1284" s="1266"/>
      <c r="BC1284" s="169"/>
    </row>
    <row r="1285" spans="19:55" ht="15.75" customHeight="1">
      <c r="S1285" s="454"/>
      <c r="AY1285" s="458"/>
      <c r="AZ1285" s="458"/>
      <c r="BA1285" s="1266"/>
      <c r="BC1285" s="169"/>
    </row>
    <row r="1286" spans="19:55" ht="15.75" customHeight="1">
      <c r="S1286" s="454"/>
      <c r="AY1286" s="458"/>
      <c r="AZ1286" s="458"/>
      <c r="BA1286" s="1266"/>
      <c r="BC1286" s="169"/>
    </row>
    <row r="1287" spans="19:55" ht="15.75" customHeight="1">
      <c r="S1287" s="454"/>
      <c r="AY1287" s="458"/>
      <c r="AZ1287" s="458"/>
      <c r="BA1287" s="1266"/>
      <c r="BC1287" s="169"/>
    </row>
    <row r="1288" spans="19:55" ht="15.75" customHeight="1">
      <c r="S1288" s="454"/>
      <c r="AY1288" s="458"/>
      <c r="AZ1288" s="458"/>
      <c r="BA1288" s="1266"/>
      <c r="BC1288" s="169"/>
    </row>
    <row r="1289" spans="19:55" ht="15.75" customHeight="1">
      <c r="S1289" s="454"/>
      <c r="AY1289" s="458"/>
      <c r="AZ1289" s="458"/>
      <c r="BA1289" s="1266"/>
      <c r="BC1289" s="169"/>
    </row>
    <row r="1290" spans="19:55" ht="15.75" customHeight="1">
      <c r="S1290" s="454"/>
      <c r="AY1290" s="458"/>
      <c r="AZ1290" s="458"/>
      <c r="BA1290" s="1266"/>
      <c r="BC1290" s="169"/>
    </row>
    <row r="1291" spans="19:55" ht="15.75" customHeight="1">
      <c r="S1291" s="454"/>
      <c r="AY1291" s="458"/>
      <c r="AZ1291" s="458"/>
      <c r="BA1291" s="1266"/>
      <c r="BC1291" s="169"/>
    </row>
    <row r="1292" spans="19:55" ht="15.75" customHeight="1">
      <c r="S1292" s="454"/>
      <c r="AY1292" s="458"/>
      <c r="AZ1292" s="458"/>
      <c r="BA1292" s="1266"/>
      <c r="BC1292" s="169"/>
    </row>
    <row r="1293" spans="19:55" ht="15.75" customHeight="1">
      <c r="S1293" s="454"/>
      <c r="AY1293" s="458"/>
      <c r="AZ1293" s="458"/>
      <c r="BA1293" s="1266"/>
      <c r="BC1293" s="169"/>
    </row>
    <row r="1294" spans="19:55" ht="15.75" customHeight="1">
      <c r="S1294" s="454"/>
      <c r="AY1294" s="458"/>
      <c r="AZ1294" s="458"/>
      <c r="BA1294" s="1266"/>
      <c r="BC1294" s="169"/>
    </row>
    <row r="1295" spans="19:55" ht="15.75" customHeight="1">
      <c r="S1295" s="454"/>
      <c r="AY1295" s="458"/>
      <c r="AZ1295" s="458"/>
      <c r="BA1295" s="1266"/>
      <c r="BC1295" s="169"/>
    </row>
    <row r="1296" spans="19:55" ht="15.75" customHeight="1">
      <c r="S1296" s="454"/>
      <c r="AY1296" s="458"/>
      <c r="AZ1296" s="458"/>
      <c r="BA1296" s="1266"/>
      <c r="BC1296" s="169"/>
    </row>
    <row r="1297" spans="19:55" ht="15.75" customHeight="1">
      <c r="S1297" s="454"/>
      <c r="AY1297" s="458"/>
      <c r="AZ1297" s="458"/>
      <c r="BC1297" s="169"/>
    </row>
    <row r="1298" spans="19:55" ht="15.75" customHeight="1">
      <c r="S1298" s="454"/>
      <c r="AY1298" s="458"/>
      <c r="AZ1298" s="458"/>
      <c r="BC1298" s="169"/>
    </row>
    <row r="1299" spans="19:55" ht="15.75" customHeight="1">
      <c r="S1299" s="454"/>
      <c r="AY1299" s="458"/>
      <c r="AZ1299" s="458"/>
      <c r="BC1299" s="169"/>
    </row>
    <row r="1300" spans="19:55" ht="15.75" customHeight="1">
      <c r="S1300" s="454"/>
      <c r="AY1300" s="458"/>
      <c r="AZ1300" s="458"/>
      <c r="BC1300" s="169"/>
    </row>
    <row r="1301" spans="19:55" ht="15.75" customHeight="1">
      <c r="S1301" s="454"/>
      <c r="AY1301" s="458"/>
      <c r="AZ1301" s="458"/>
      <c r="BC1301" s="169"/>
    </row>
    <row r="1302" spans="19:55" ht="15.75" customHeight="1">
      <c r="S1302" s="454"/>
      <c r="AY1302" s="458"/>
      <c r="AZ1302" s="458"/>
      <c r="BC1302" s="169"/>
    </row>
    <row r="1303" spans="19:55" ht="15.75" customHeight="1">
      <c r="S1303" s="454"/>
      <c r="AY1303" s="458"/>
      <c r="AZ1303" s="458"/>
      <c r="BC1303" s="169"/>
    </row>
    <row r="1304" spans="19:55" ht="15.75" customHeight="1">
      <c r="S1304" s="454"/>
      <c r="AY1304" s="458"/>
      <c r="AZ1304" s="458"/>
      <c r="BC1304" s="169"/>
    </row>
    <row r="1305" spans="19:55" ht="15.75" customHeight="1">
      <c r="S1305" s="454"/>
      <c r="AY1305" s="458"/>
      <c r="AZ1305" s="458"/>
      <c r="BC1305" s="169"/>
    </row>
    <row r="1306" spans="19:55" ht="15.75" customHeight="1">
      <c r="S1306" s="454"/>
      <c r="AY1306" s="458"/>
      <c r="AZ1306" s="458"/>
      <c r="BC1306" s="169"/>
    </row>
    <row r="1307" spans="19:55" ht="15.75" customHeight="1">
      <c r="S1307" s="454"/>
      <c r="AY1307" s="458"/>
      <c r="AZ1307" s="458"/>
      <c r="BC1307" s="169"/>
    </row>
    <row r="1308" spans="19:55" ht="15.75" customHeight="1">
      <c r="S1308" s="454"/>
      <c r="AY1308" s="458"/>
      <c r="AZ1308" s="458"/>
      <c r="BC1308" s="169"/>
    </row>
    <row r="1309" spans="19:55" ht="15.75" customHeight="1">
      <c r="S1309" s="454"/>
      <c r="BC1309" s="169"/>
    </row>
    <row r="1310" spans="19:55" ht="15.75" customHeight="1">
      <c r="S1310" s="454"/>
      <c r="BC1310" s="169"/>
    </row>
    <row r="1311" spans="19:55" ht="15.75" customHeight="1">
      <c r="S1311" s="454"/>
      <c r="BC1311" s="169"/>
    </row>
    <row r="1312" spans="19:55" ht="15.75" customHeight="1">
      <c r="S1312" s="454"/>
      <c r="BC1312" s="169"/>
    </row>
    <row r="1313" spans="19:55" ht="15.75" customHeight="1">
      <c r="S1313" s="454"/>
      <c r="BC1313" s="169"/>
    </row>
    <row r="1314" spans="19:55" ht="15.75" customHeight="1">
      <c r="S1314" s="454"/>
      <c r="BC1314" s="169"/>
    </row>
    <row r="1315" spans="19:55" ht="15.75" customHeight="1">
      <c r="S1315" s="454"/>
      <c r="BC1315" s="169"/>
    </row>
    <row r="1316" spans="19:55" ht="15.75" customHeight="1">
      <c r="S1316" s="454"/>
      <c r="BC1316" s="169"/>
    </row>
    <row r="1317" spans="19:55" ht="15.75" customHeight="1">
      <c r="S1317" s="454"/>
      <c r="BC1317" s="169"/>
    </row>
    <row r="1318" spans="19:55" ht="15.75" customHeight="1">
      <c r="S1318" s="454"/>
      <c r="BC1318" s="169"/>
    </row>
    <row r="1319" spans="19:55" ht="15.75" customHeight="1">
      <c r="S1319" s="454"/>
      <c r="BC1319" s="169"/>
    </row>
    <row r="1320" spans="19:55" ht="15.75" customHeight="1">
      <c r="S1320" s="454"/>
      <c r="BC1320" s="169"/>
    </row>
    <row r="1321" spans="19:55" ht="15.75" customHeight="1">
      <c r="S1321" s="454"/>
      <c r="BC1321" s="169"/>
    </row>
    <row r="1322" spans="19:55" ht="15.75" customHeight="1">
      <c r="S1322" s="454"/>
      <c r="BC1322" s="169"/>
    </row>
    <row r="1323" spans="19:55" ht="15.75" customHeight="1">
      <c r="S1323" s="454"/>
      <c r="BC1323" s="169"/>
    </row>
    <row r="1324" spans="19:55" ht="15.75" customHeight="1">
      <c r="S1324" s="454"/>
      <c r="BC1324" s="169"/>
    </row>
    <row r="1325" spans="19:55" ht="15.75" customHeight="1">
      <c r="S1325" s="454"/>
      <c r="BC1325" s="169"/>
    </row>
    <row r="1326" spans="19:55" ht="15.75" customHeight="1">
      <c r="S1326" s="454"/>
      <c r="BC1326" s="169"/>
    </row>
    <row r="1327" spans="19:55" ht="15.75" customHeight="1">
      <c r="S1327" s="454"/>
      <c r="BC1327" s="169"/>
    </row>
    <row r="1328" spans="19:55" ht="15.75" customHeight="1">
      <c r="S1328" s="454"/>
      <c r="BC1328" s="169"/>
    </row>
    <row r="1329" spans="19:55" ht="15.75" customHeight="1">
      <c r="S1329" s="454"/>
      <c r="BC1329" s="169"/>
    </row>
    <row r="1330" spans="19:55" ht="15.75" customHeight="1">
      <c r="S1330" s="454"/>
      <c r="BC1330" s="169"/>
    </row>
    <row r="1331" spans="19:55" ht="15.75" customHeight="1">
      <c r="S1331" s="454"/>
      <c r="BC1331" s="169"/>
    </row>
    <row r="1332" spans="19:55" ht="15.75" customHeight="1">
      <c r="S1332" s="454"/>
      <c r="BC1332" s="169"/>
    </row>
    <row r="1333" spans="19:55" ht="15.75" customHeight="1">
      <c r="S1333" s="454"/>
      <c r="BC1333" s="169"/>
    </row>
    <row r="1334" spans="19:55" ht="15.75" customHeight="1">
      <c r="S1334" s="454"/>
      <c r="BC1334" s="169"/>
    </row>
    <row r="1335" spans="19:55" ht="15.75" customHeight="1">
      <c r="S1335" s="454"/>
      <c r="BC1335" s="169"/>
    </row>
    <row r="1336" spans="19:55" ht="15.75" customHeight="1">
      <c r="S1336" s="454"/>
      <c r="BC1336" s="169"/>
    </row>
    <row r="1337" spans="19:55" ht="15.75" customHeight="1">
      <c r="S1337" s="454"/>
      <c r="BC1337" s="169"/>
    </row>
    <row r="1338" spans="19:55" ht="15.75" customHeight="1">
      <c r="S1338" s="454"/>
      <c r="BC1338" s="169"/>
    </row>
    <row r="1339" spans="19:55" ht="15.75" customHeight="1">
      <c r="S1339" s="454"/>
      <c r="BC1339" s="169"/>
    </row>
    <row r="1340" spans="19:55" ht="15.75" customHeight="1">
      <c r="S1340" s="454"/>
      <c r="BC1340" s="169"/>
    </row>
    <row r="1341" spans="19:55" ht="15.75" customHeight="1">
      <c r="S1341" s="454"/>
      <c r="BC1341" s="169"/>
    </row>
    <row r="1342" spans="19:55" ht="15.75" customHeight="1">
      <c r="S1342" s="454"/>
      <c r="BC1342" s="169"/>
    </row>
    <row r="1343" spans="19:55" ht="15.75" customHeight="1">
      <c r="S1343" s="454"/>
      <c r="BC1343" s="169"/>
    </row>
    <row r="1344" spans="19:55" ht="15.75" customHeight="1">
      <c r="S1344" s="454"/>
      <c r="BC1344" s="169"/>
    </row>
    <row r="1345" spans="19:55" ht="15.75" customHeight="1">
      <c r="S1345" s="454"/>
      <c r="BC1345" s="169"/>
    </row>
    <row r="1346" spans="19:55" ht="15.75" customHeight="1">
      <c r="S1346" s="454"/>
      <c r="BC1346" s="169"/>
    </row>
    <row r="1347" spans="19:55" ht="15.75" customHeight="1">
      <c r="S1347" s="454"/>
      <c r="BC1347" s="169"/>
    </row>
    <row r="1348" spans="19:55" ht="15.75" customHeight="1">
      <c r="S1348" s="454"/>
      <c r="BC1348" s="169"/>
    </row>
    <row r="1349" spans="19:55" ht="15.75" customHeight="1">
      <c r="S1349" s="454"/>
      <c r="BC1349" s="169"/>
    </row>
    <row r="1350" spans="19:55" ht="15.75" customHeight="1">
      <c r="S1350" s="454"/>
      <c r="BC1350" s="169"/>
    </row>
    <row r="1351" spans="19:55" ht="15.75" customHeight="1">
      <c r="S1351" s="454"/>
      <c r="BC1351" s="169"/>
    </row>
    <row r="1352" spans="19:55" ht="15.75" customHeight="1">
      <c r="S1352" s="454"/>
      <c r="BC1352" s="169"/>
    </row>
    <row r="1353" spans="19:55" ht="15.75" customHeight="1">
      <c r="S1353" s="454"/>
      <c r="BC1353" s="169"/>
    </row>
    <row r="1354" spans="19:55" ht="15.75" customHeight="1">
      <c r="S1354" s="454"/>
      <c r="BC1354" s="169"/>
    </row>
    <row r="1355" spans="19:55" ht="15.75" customHeight="1">
      <c r="S1355" s="454"/>
      <c r="BC1355" s="169"/>
    </row>
    <row r="1356" spans="19:55" ht="15.75" customHeight="1">
      <c r="S1356" s="454"/>
      <c r="BC1356" s="169"/>
    </row>
    <row r="1357" spans="19:55" ht="15.75" customHeight="1">
      <c r="S1357" s="454"/>
      <c r="BC1357" s="169"/>
    </row>
    <row r="1358" spans="19:55" ht="15.75" customHeight="1">
      <c r="S1358" s="454"/>
      <c r="BC1358" s="169"/>
    </row>
    <row r="1359" spans="19:55" ht="15.75" customHeight="1">
      <c r="S1359" s="454"/>
      <c r="BC1359" s="169"/>
    </row>
    <row r="1360" spans="19:55" ht="15.75" customHeight="1">
      <c r="S1360" s="454"/>
      <c r="BC1360" s="169"/>
    </row>
    <row r="1361" spans="19:55" ht="15.75" customHeight="1">
      <c r="S1361" s="454"/>
      <c r="BC1361" s="169"/>
    </row>
    <row r="1362" spans="19:55" ht="15.75" customHeight="1">
      <c r="S1362" s="454"/>
      <c r="BC1362" s="169"/>
    </row>
    <row r="1363" spans="19:55" ht="15.75" customHeight="1">
      <c r="S1363" s="454"/>
      <c r="BC1363" s="169"/>
    </row>
    <row r="1364" spans="19:55" ht="15.75" customHeight="1">
      <c r="S1364" s="454"/>
      <c r="BC1364" s="169"/>
    </row>
    <row r="1365" spans="19:55" ht="15.75" customHeight="1">
      <c r="S1365" s="454"/>
      <c r="BC1365" s="169"/>
    </row>
    <row r="1366" spans="19:55" ht="15.75" customHeight="1">
      <c r="S1366" s="454"/>
      <c r="BC1366" s="169"/>
    </row>
    <row r="1367" spans="19:55" ht="15.75" customHeight="1">
      <c r="S1367" s="454"/>
      <c r="BC1367" s="169"/>
    </row>
    <row r="1368" spans="19:55" ht="15.75" customHeight="1">
      <c r="S1368" s="454"/>
      <c r="BC1368" s="169"/>
    </row>
    <row r="1369" spans="19:55" ht="15.75" customHeight="1">
      <c r="S1369" s="454"/>
      <c r="BC1369" s="169"/>
    </row>
    <row r="1370" spans="19:55" ht="15.75" customHeight="1">
      <c r="S1370" s="454"/>
      <c r="BC1370" s="169"/>
    </row>
    <row r="1371" spans="19:55" ht="15.75" customHeight="1">
      <c r="S1371" s="454"/>
      <c r="BC1371" s="169"/>
    </row>
    <row r="1372" spans="19:55" ht="15.75" customHeight="1">
      <c r="S1372" s="454"/>
      <c r="BC1372" s="169"/>
    </row>
    <row r="1373" spans="19:55" ht="15.75" customHeight="1">
      <c r="S1373" s="454"/>
      <c r="BC1373" s="169"/>
    </row>
    <row r="1374" spans="19:55" ht="15.75" customHeight="1">
      <c r="S1374" s="454"/>
      <c r="BC1374" s="169"/>
    </row>
    <row r="1375" spans="19:55" ht="15.75" customHeight="1">
      <c r="S1375" s="454"/>
      <c r="BC1375" s="169"/>
    </row>
    <row r="1376" spans="19:55" ht="15.75" customHeight="1">
      <c r="S1376" s="454"/>
      <c r="BC1376" s="169"/>
    </row>
    <row r="1377" spans="19:55" ht="15.75" customHeight="1">
      <c r="S1377" s="454"/>
      <c r="BC1377" s="169"/>
    </row>
    <row r="1378" spans="19:55" ht="15.75" customHeight="1">
      <c r="S1378" s="454"/>
      <c r="BC1378" s="169"/>
    </row>
    <row r="1379" spans="19:55" ht="15.75" customHeight="1">
      <c r="S1379" s="454"/>
      <c r="BC1379" s="169"/>
    </row>
    <row r="1380" spans="19:55" ht="15.75" customHeight="1">
      <c r="S1380" s="454"/>
      <c r="BC1380" s="169"/>
    </row>
    <row r="1381" spans="19:55" ht="15.75" customHeight="1">
      <c r="S1381" s="454"/>
      <c r="BC1381" s="169"/>
    </row>
    <row r="1382" spans="19:55" ht="15.75" customHeight="1">
      <c r="S1382" s="454"/>
      <c r="BC1382" s="169"/>
    </row>
    <row r="1383" spans="19:55" ht="15.75" customHeight="1">
      <c r="S1383" s="454"/>
      <c r="BC1383" s="169"/>
    </row>
    <row r="1384" spans="19:55" ht="15.75" customHeight="1">
      <c r="S1384" s="454"/>
      <c r="BC1384" s="169"/>
    </row>
    <row r="1385" spans="19:55" ht="15.75" customHeight="1">
      <c r="S1385" s="454"/>
      <c r="BC1385" s="169"/>
    </row>
    <row r="1386" spans="19:55" ht="15.75" customHeight="1">
      <c r="S1386" s="454"/>
      <c r="BC1386" s="169"/>
    </row>
    <row r="1387" spans="19:55" ht="15.75" customHeight="1">
      <c r="S1387" s="454"/>
      <c r="BC1387" s="169"/>
    </row>
    <row r="1388" spans="19:55" ht="15.75" customHeight="1">
      <c r="S1388" s="454"/>
      <c r="BC1388" s="169"/>
    </row>
    <row r="1389" spans="19:55" ht="15.75" customHeight="1">
      <c r="S1389" s="454"/>
      <c r="BC1389" s="169"/>
    </row>
    <row r="1390" spans="19:55" ht="15.75" customHeight="1">
      <c r="S1390" s="454"/>
      <c r="BC1390" s="169"/>
    </row>
    <row r="1391" spans="19:55" ht="15.75" customHeight="1">
      <c r="S1391" s="454"/>
      <c r="BC1391" s="169"/>
    </row>
    <row r="1392" spans="19:55" ht="15.75" customHeight="1">
      <c r="S1392" s="454"/>
      <c r="BC1392" s="169"/>
    </row>
    <row r="1393" spans="19:55" ht="15.75" customHeight="1">
      <c r="S1393" s="454"/>
      <c r="BC1393" s="169"/>
    </row>
    <row r="1394" spans="19:55" ht="15.75" customHeight="1">
      <c r="S1394" s="454"/>
      <c r="BC1394" s="169"/>
    </row>
    <row r="1395" spans="19:55" ht="15.75" customHeight="1">
      <c r="S1395" s="454"/>
      <c r="BC1395" s="169"/>
    </row>
    <row r="1396" spans="19:55" ht="15.75" customHeight="1">
      <c r="S1396" s="454"/>
      <c r="BC1396" s="169"/>
    </row>
    <row r="1397" spans="19:55" ht="15.75" customHeight="1">
      <c r="S1397" s="454"/>
      <c r="BC1397" s="169"/>
    </row>
    <row r="1398" spans="19:55" ht="15.75" customHeight="1">
      <c r="S1398" s="454"/>
      <c r="BC1398" s="169"/>
    </row>
    <row r="1399" spans="19:55" ht="15.75" customHeight="1">
      <c r="S1399" s="454"/>
      <c r="BC1399" s="169"/>
    </row>
    <row r="1400" spans="19:55" ht="15.75" customHeight="1">
      <c r="S1400" s="454"/>
      <c r="BC1400" s="169"/>
    </row>
    <row r="1401" spans="19:55" ht="15.75" customHeight="1">
      <c r="S1401" s="454"/>
      <c r="BC1401" s="169"/>
    </row>
    <row r="1402" spans="19:55" ht="15.75" customHeight="1">
      <c r="S1402" s="454"/>
      <c r="BC1402" s="169"/>
    </row>
    <row r="1403" spans="19:55" ht="15.75" customHeight="1">
      <c r="S1403" s="454"/>
      <c r="BC1403" s="169"/>
    </row>
    <row r="1404" spans="19:55" ht="15.75" customHeight="1">
      <c r="S1404" s="454"/>
      <c r="BC1404" s="169"/>
    </row>
    <row r="1405" spans="19:55" ht="15.75" customHeight="1">
      <c r="S1405" s="454"/>
      <c r="BC1405" s="169"/>
    </row>
    <row r="1406" spans="19:55" ht="15.75" customHeight="1">
      <c r="S1406" s="454"/>
      <c r="BC1406" s="169"/>
    </row>
    <row r="1407" spans="19:55" ht="15.75" customHeight="1">
      <c r="S1407" s="454"/>
      <c r="BC1407" s="169"/>
    </row>
    <row r="1408" spans="19:55" ht="15.75" customHeight="1">
      <c r="S1408" s="454"/>
      <c r="BC1408" s="169"/>
    </row>
    <row r="1409" spans="19:55" ht="15.75" customHeight="1">
      <c r="S1409" s="454"/>
      <c r="BC1409" s="169"/>
    </row>
    <row r="1410" spans="19:55" ht="15.75" customHeight="1">
      <c r="S1410" s="454"/>
      <c r="BC1410" s="169"/>
    </row>
    <row r="1411" spans="19:55" ht="15.75" customHeight="1">
      <c r="S1411" s="454"/>
      <c r="BC1411" s="169"/>
    </row>
    <row r="1412" spans="19:55" ht="15.75" customHeight="1">
      <c r="S1412" s="454"/>
      <c r="BC1412" s="169"/>
    </row>
    <row r="1413" spans="19:55" ht="15.75" customHeight="1">
      <c r="S1413" s="454"/>
      <c r="BC1413" s="169"/>
    </row>
    <row r="1414" spans="19:55" ht="15.75" customHeight="1">
      <c r="S1414" s="454"/>
      <c r="BC1414" s="169"/>
    </row>
    <row r="1415" spans="19:55" ht="15.75" customHeight="1">
      <c r="S1415" s="454"/>
      <c r="BC1415" s="169"/>
    </row>
    <row r="1416" spans="19:55" ht="15.75" customHeight="1">
      <c r="S1416" s="454"/>
      <c r="BC1416" s="169"/>
    </row>
    <row r="1417" spans="19:55" ht="15.75" customHeight="1">
      <c r="S1417" s="454"/>
      <c r="BC1417" s="169"/>
    </row>
    <row r="1418" spans="19:55" ht="15.75" customHeight="1">
      <c r="S1418" s="454"/>
      <c r="BC1418" s="169"/>
    </row>
    <row r="1419" spans="19:55" ht="15.75" customHeight="1">
      <c r="S1419" s="454"/>
      <c r="BC1419" s="169"/>
    </row>
    <row r="1420" spans="19:55" ht="15.75" customHeight="1">
      <c r="S1420" s="454"/>
      <c r="BC1420" s="169"/>
    </row>
    <row r="1421" spans="19:55" ht="15.75" customHeight="1">
      <c r="S1421" s="454"/>
      <c r="BC1421" s="169"/>
    </row>
    <row r="1422" spans="19:55" ht="15.75" customHeight="1">
      <c r="S1422" s="454"/>
      <c r="BC1422" s="169"/>
    </row>
    <row r="1423" spans="19:55" ht="15.75" customHeight="1">
      <c r="S1423" s="454"/>
      <c r="BC1423" s="169"/>
    </row>
    <row r="1424" spans="19:55" ht="15.75" customHeight="1">
      <c r="S1424" s="454"/>
      <c r="BC1424" s="169"/>
    </row>
    <row r="1425" spans="19:55" ht="15.75" customHeight="1">
      <c r="S1425" s="454"/>
      <c r="BC1425" s="169"/>
    </row>
    <row r="1426" spans="19:55" ht="15.75" customHeight="1">
      <c r="S1426" s="454"/>
      <c r="BC1426" s="169"/>
    </row>
    <row r="1427" spans="19:55" ht="15.75" customHeight="1">
      <c r="S1427" s="454"/>
      <c r="BC1427" s="169"/>
    </row>
    <row r="1428" spans="19:55" ht="15.75" customHeight="1">
      <c r="S1428" s="454"/>
      <c r="BC1428" s="169"/>
    </row>
    <row r="1429" spans="19:55" ht="15.75" customHeight="1">
      <c r="S1429" s="454"/>
      <c r="BC1429" s="169"/>
    </row>
    <row r="1430" spans="19:55" ht="15.75" customHeight="1">
      <c r="S1430" s="454"/>
      <c r="BC1430" s="169"/>
    </row>
    <row r="1431" spans="19:55" ht="15.75" customHeight="1">
      <c r="S1431" s="454"/>
      <c r="BC1431" s="169"/>
    </row>
    <row r="1432" spans="19:55" ht="15.75" customHeight="1">
      <c r="S1432" s="454"/>
      <c r="BC1432" s="169"/>
    </row>
    <row r="1433" spans="19:55" ht="15.75" customHeight="1">
      <c r="S1433" s="454"/>
      <c r="BC1433" s="169"/>
    </row>
    <row r="1434" spans="19:55" ht="15.75" customHeight="1">
      <c r="S1434" s="454"/>
      <c r="BC1434" s="169"/>
    </row>
    <row r="1435" spans="19:55" ht="15.75" customHeight="1">
      <c r="S1435" s="454"/>
      <c r="BC1435" s="169"/>
    </row>
    <row r="1436" spans="19:55" ht="15.75" customHeight="1">
      <c r="S1436" s="454"/>
      <c r="BC1436" s="169"/>
    </row>
    <row r="1437" spans="19:55" ht="15.75" customHeight="1">
      <c r="S1437" s="454"/>
      <c r="BC1437" s="169"/>
    </row>
    <row r="1438" spans="19:55" ht="15.75" customHeight="1">
      <c r="S1438" s="454"/>
      <c r="BC1438" s="169"/>
    </row>
    <row r="1439" spans="19:55" ht="15.75" customHeight="1">
      <c r="S1439" s="454"/>
      <c r="BC1439" s="169"/>
    </row>
    <row r="1440" spans="19:55" ht="15.75" customHeight="1">
      <c r="S1440" s="454"/>
      <c r="BC1440" s="169"/>
    </row>
    <row r="1441" spans="19:55" ht="15.75" customHeight="1">
      <c r="S1441" s="454"/>
      <c r="BC1441" s="169"/>
    </row>
    <row r="1442" spans="19:55" ht="15.75" customHeight="1">
      <c r="S1442" s="454"/>
      <c r="BC1442" s="169"/>
    </row>
    <row r="1443" spans="19:55" ht="15.75" customHeight="1">
      <c r="S1443" s="454"/>
      <c r="BC1443" s="169"/>
    </row>
    <row r="1444" spans="19:55" ht="15.75" customHeight="1">
      <c r="S1444" s="454"/>
      <c r="BC1444" s="169"/>
    </row>
    <row r="1445" spans="19:55" ht="15.75" customHeight="1">
      <c r="S1445" s="454"/>
      <c r="BC1445" s="169"/>
    </row>
    <row r="1446" spans="19:55" ht="15.75" customHeight="1">
      <c r="S1446" s="454"/>
      <c r="BC1446" s="169"/>
    </row>
    <row r="1447" spans="19:55" ht="15.75" customHeight="1">
      <c r="S1447" s="454"/>
      <c r="BC1447" s="169"/>
    </row>
    <row r="1448" spans="19:55" ht="15.75" customHeight="1">
      <c r="S1448" s="454"/>
      <c r="BC1448" s="169"/>
    </row>
    <row r="1449" spans="19:55" ht="15.75" customHeight="1">
      <c r="S1449" s="454"/>
      <c r="BC1449" s="169"/>
    </row>
    <row r="1450" spans="19:55" ht="15.75" customHeight="1">
      <c r="S1450" s="454"/>
      <c r="BC1450" s="169"/>
    </row>
    <row r="1451" spans="19:55" ht="15.75" customHeight="1">
      <c r="S1451" s="454"/>
      <c r="BC1451" s="169"/>
    </row>
    <row r="1452" spans="19:55" ht="15.75" customHeight="1">
      <c r="S1452" s="454"/>
      <c r="BC1452" s="169"/>
    </row>
    <row r="1453" spans="19:55" ht="15.75" customHeight="1">
      <c r="S1453" s="454"/>
      <c r="BC1453" s="169"/>
    </row>
    <row r="1454" spans="19:55" ht="15.75" customHeight="1">
      <c r="S1454" s="454"/>
      <c r="BC1454" s="169"/>
    </row>
    <row r="1455" spans="19:55" ht="15.75" customHeight="1">
      <c r="S1455" s="454"/>
      <c r="BC1455" s="169"/>
    </row>
    <row r="1456" spans="19:55" ht="15.75" customHeight="1">
      <c r="S1456" s="454"/>
      <c r="BC1456" s="169"/>
    </row>
    <row r="1457" spans="19:55" ht="15.75" customHeight="1">
      <c r="S1457" s="454"/>
      <c r="BC1457" s="169"/>
    </row>
    <row r="1458" spans="19:55" ht="15.75" customHeight="1">
      <c r="S1458" s="454"/>
      <c r="BC1458" s="169"/>
    </row>
    <row r="1459" spans="19:55" ht="15.75" customHeight="1">
      <c r="S1459" s="454"/>
      <c r="BC1459" s="169"/>
    </row>
    <row r="1460" spans="19:55" ht="15.75" customHeight="1">
      <c r="S1460" s="454"/>
      <c r="BC1460" s="169"/>
    </row>
    <row r="1461" spans="19:55" ht="15.75" customHeight="1">
      <c r="S1461" s="454"/>
      <c r="BC1461" s="169"/>
    </row>
    <row r="1462" spans="19:55" ht="15.75" customHeight="1">
      <c r="S1462" s="454"/>
      <c r="BC1462" s="169"/>
    </row>
    <row r="1463" spans="19:55" ht="15.75" customHeight="1">
      <c r="S1463" s="454"/>
      <c r="BC1463" s="169"/>
    </row>
    <row r="1464" spans="19:55" ht="15.75" customHeight="1">
      <c r="S1464" s="454"/>
      <c r="BC1464" s="169"/>
    </row>
    <row r="1465" spans="19:55" ht="15.75" customHeight="1">
      <c r="S1465" s="454"/>
      <c r="BC1465" s="169"/>
    </row>
    <row r="1466" spans="19:55" ht="15.75" customHeight="1">
      <c r="S1466" s="454"/>
      <c r="BC1466" s="169"/>
    </row>
    <row r="1467" spans="19:55" ht="15.75" customHeight="1">
      <c r="S1467" s="454"/>
      <c r="BC1467" s="169"/>
    </row>
    <row r="1468" spans="19:55" ht="15.75" customHeight="1">
      <c r="S1468" s="454"/>
      <c r="BC1468" s="169"/>
    </row>
    <row r="1469" spans="19:55" ht="15.75" customHeight="1">
      <c r="S1469" s="454"/>
      <c r="BC1469" s="169"/>
    </row>
    <row r="1470" spans="19:55" ht="15.75" customHeight="1">
      <c r="S1470" s="454"/>
      <c r="BC1470" s="169"/>
    </row>
    <row r="1471" spans="19:55" ht="15.75" customHeight="1">
      <c r="S1471" s="454"/>
      <c r="BC1471" s="169"/>
    </row>
    <row r="1472" spans="19:55" ht="15.75" customHeight="1">
      <c r="S1472" s="454"/>
      <c r="BC1472" s="169"/>
    </row>
    <row r="1473" spans="19:55" ht="15.75" customHeight="1">
      <c r="S1473" s="454"/>
      <c r="BC1473" s="169"/>
    </row>
    <row r="1474" spans="19:55" ht="15.75" customHeight="1">
      <c r="S1474" s="454"/>
      <c r="BC1474" s="169"/>
    </row>
    <row r="1475" spans="19:55" ht="15.75" customHeight="1">
      <c r="S1475" s="454"/>
      <c r="BC1475" s="169"/>
    </row>
    <row r="1476" spans="19:55" ht="15.75" customHeight="1">
      <c r="S1476" s="454"/>
      <c r="BC1476" s="169"/>
    </row>
    <row r="1477" spans="19:55" ht="15.75" customHeight="1">
      <c r="S1477" s="454"/>
      <c r="BC1477" s="169"/>
    </row>
    <row r="1478" spans="19:55" ht="15.75" customHeight="1">
      <c r="S1478" s="454"/>
      <c r="BC1478" s="169"/>
    </row>
    <row r="1479" spans="19:55" ht="15.75" customHeight="1">
      <c r="S1479" s="454"/>
      <c r="BC1479" s="169"/>
    </row>
    <row r="1480" spans="19:55" ht="15.75" customHeight="1">
      <c r="S1480" s="454"/>
      <c r="BC1480" s="169"/>
    </row>
    <row r="1481" spans="19:55" ht="15.75" customHeight="1">
      <c r="S1481" s="454"/>
      <c r="BC1481" s="169"/>
    </row>
    <row r="1482" spans="19:55" ht="15.75" customHeight="1">
      <c r="S1482" s="454"/>
      <c r="BC1482" s="169"/>
    </row>
    <row r="1483" spans="19:55" ht="15.75" customHeight="1">
      <c r="S1483" s="454"/>
      <c r="BC1483" s="169"/>
    </row>
    <row r="1484" spans="19:55" ht="15.75" customHeight="1">
      <c r="S1484" s="454"/>
      <c r="BC1484" s="169"/>
    </row>
    <row r="1485" spans="19:55" ht="15.75" customHeight="1">
      <c r="S1485" s="454"/>
      <c r="BC1485" s="169"/>
    </row>
    <row r="1486" spans="19:55" ht="15.75" customHeight="1">
      <c r="S1486" s="454"/>
      <c r="BC1486" s="169"/>
    </row>
    <row r="1487" spans="19:55" ht="15.75" customHeight="1">
      <c r="S1487" s="454"/>
      <c r="BC1487" s="169"/>
    </row>
    <row r="1488" spans="19:55" ht="15.75" customHeight="1">
      <c r="S1488" s="454"/>
      <c r="BC1488" s="169"/>
    </row>
    <row r="1489" spans="19:55" ht="15.75" customHeight="1">
      <c r="S1489" s="454"/>
      <c r="BC1489" s="169"/>
    </row>
    <row r="1490" spans="19:55" ht="15.75" customHeight="1">
      <c r="S1490" s="454"/>
      <c r="BC1490" s="169"/>
    </row>
    <row r="1491" spans="19:55" ht="15.75" customHeight="1">
      <c r="S1491" s="454"/>
      <c r="BC1491" s="169"/>
    </row>
    <row r="1492" spans="19:55" ht="15.75" customHeight="1">
      <c r="S1492" s="454"/>
      <c r="BC1492" s="169"/>
    </row>
    <row r="1493" spans="19:55" ht="15.75" customHeight="1">
      <c r="S1493" s="454"/>
      <c r="BC1493" s="169"/>
    </row>
    <row r="1494" spans="19:55" ht="15.75" customHeight="1">
      <c r="BC1494" s="169"/>
    </row>
    <row r="1495" spans="19:55" ht="15.75" customHeight="1">
      <c r="BC1495" s="169"/>
    </row>
    <row r="1496" spans="19:55" ht="15.75" customHeight="1">
      <c r="BC1496" s="169"/>
    </row>
    <row r="1497" spans="19:55" ht="15.75" customHeight="1">
      <c r="BC1497" s="169"/>
    </row>
    <row r="1498" spans="19:55" ht="15.75" customHeight="1">
      <c r="BC1498" s="169"/>
    </row>
    <row r="1499" spans="19:55" ht="15.75" customHeight="1">
      <c r="BC1499" s="169"/>
    </row>
    <row r="1500" spans="19:55" ht="15.75" customHeight="1">
      <c r="BC1500" s="169"/>
    </row>
    <row r="1501" spans="19:55" ht="15.75" customHeight="1">
      <c r="BC1501" s="169"/>
    </row>
    <row r="1502" spans="19:55" ht="15.75" customHeight="1">
      <c r="BC1502" s="169"/>
    </row>
    <row r="1503" spans="19:55" ht="15.75" customHeight="1">
      <c r="BC1503" s="169"/>
    </row>
    <row r="1504" spans="19:55" ht="15.75" customHeight="1">
      <c r="BC1504" s="169"/>
    </row>
    <row r="1505" spans="55:55" ht="15.75" customHeight="1">
      <c r="BC1505" s="169"/>
    </row>
    <row r="1506" spans="55:55" ht="15.75" customHeight="1">
      <c r="BC1506" s="169"/>
    </row>
    <row r="1507" spans="55:55" ht="15.75" customHeight="1">
      <c r="BC1507" s="169"/>
    </row>
    <row r="1508" spans="55:55" ht="15.75" customHeight="1">
      <c r="BC1508" s="169"/>
    </row>
    <row r="1509" spans="55:55" ht="15.75" customHeight="1">
      <c r="BC1509" s="169"/>
    </row>
    <row r="1510" spans="55:55" ht="15.75" customHeight="1">
      <c r="BC1510" s="169"/>
    </row>
    <row r="1511" spans="55:55" ht="15.75" customHeight="1">
      <c r="BC1511" s="169"/>
    </row>
    <row r="1512" spans="55:55" ht="15.75" customHeight="1">
      <c r="BC1512" s="169"/>
    </row>
    <row r="1513" spans="55:55" ht="15.75" customHeight="1">
      <c r="BC1513" s="169"/>
    </row>
    <row r="1514" spans="55:55" ht="15.75" customHeight="1">
      <c r="BC1514" s="169"/>
    </row>
    <row r="1515" spans="55:55" ht="15.75" customHeight="1">
      <c r="BC1515" s="169"/>
    </row>
    <row r="1516" spans="55:55" ht="15.75" customHeight="1">
      <c r="BC1516" s="169"/>
    </row>
    <row r="1517" spans="55:55" ht="15.75" customHeight="1">
      <c r="BC1517" s="169"/>
    </row>
    <row r="1518" spans="55:55" ht="15.75" customHeight="1">
      <c r="BC1518" s="169"/>
    </row>
    <row r="1519" spans="55:55" ht="15.75" customHeight="1">
      <c r="BC1519" s="169"/>
    </row>
    <row r="1520" spans="55:55" ht="15.75" customHeight="1">
      <c r="BC1520" s="169"/>
    </row>
    <row r="1521" spans="55:55" ht="15.75" customHeight="1">
      <c r="BC1521" s="169"/>
    </row>
    <row r="1522" spans="55:55" ht="15.75" customHeight="1">
      <c r="BC1522" s="169"/>
    </row>
    <row r="1523" spans="55:55" ht="15.75" customHeight="1">
      <c r="BC1523" s="169"/>
    </row>
    <row r="1524" spans="55:55" ht="15.75" customHeight="1">
      <c r="BC1524" s="169"/>
    </row>
    <row r="1525" spans="55:55" ht="15.75" customHeight="1">
      <c r="BC1525" s="169"/>
    </row>
    <row r="1526" spans="55:55" ht="15.75" customHeight="1">
      <c r="BC1526" s="169"/>
    </row>
    <row r="1527" spans="55:55" ht="15.75" customHeight="1">
      <c r="BC1527" s="169"/>
    </row>
    <row r="1528" spans="55:55" ht="15.75" customHeight="1">
      <c r="BC1528" s="169"/>
    </row>
    <row r="1529" spans="55:55" ht="15.75" customHeight="1">
      <c r="BC1529" s="169"/>
    </row>
    <row r="1530" spans="55:55" ht="15.75" customHeight="1">
      <c r="BC1530" s="169"/>
    </row>
    <row r="1531" spans="55:55" ht="15.75" customHeight="1">
      <c r="BC1531" s="169"/>
    </row>
    <row r="1532" spans="55:55" ht="15.75" customHeight="1">
      <c r="BC1532" s="169"/>
    </row>
    <row r="1533" spans="55:55" ht="15.75" customHeight="1">
      <c r="BC1533" s="169"/>
    </row>
    <row r="1534" spans="55:55" ht="15.75" customHeight="1">
      <c r="BC1534" s="169"/>
    </row>
    <row r="1535" spans="55:55" ht="15.75" customHeight="1">
      <c r="BC1535" s="169"/>
    </row>
    <row r="1536" spans="55:55" ht="15.75" customHeight="1">
      <c r="BC1536" s="169"/>
    </row>
    <row r="1537" spans="55:55" ht="15.75" customHeight="1">
      <c r="BC1537" s="169"/>
    </row>
    <row r="1538" spans="55:55" ht="15.75" customHeight="1">
      <c r="BC1538" s="169"/>
    </row>
    <row r="1539" spans="55:55" ht="15.75" customHeight="1">
      <c r="BC1539" s="169"/>
    </row>
    <row r="1540" spans="55:55" ht="15.75" customHeight="1">
      <c r="BC1540" s="169"/>
    </row>
    <row r="1541" spans="55:55" ht="15.75" customHeight="1">
      <c r="BC1541" s="169"/>
    </row>
    <row r="1542" spans="55:55" ht="15.75" customHeight="1">
      <c r="BC1542" s="169"/>
    </row>
    <row r="1543" spans="55:55" ht="15.75" customHeight="1">
      <c r="BC1543" s="169"/>
    </row>
    <row r="1544" spans="55:55" ht="15.75" customHeight="1">
      <c r="BC1544" s="169"/>
    </row>
    <row r="1545" spans="55:55" ht="15.75" customHeight="1">
      <c r="BC1545" s="169"/>
    </row>
    <row r="1546" spans="55:55" ht="15.75" customHeight="1">
      <c r="BC1546" s="169"/>
    </row>
    <row r="1547" spans="55:55" ht="15.75" customHeight="1">
      <c r="BC1547" s="169"/>
    </row>
    <row r="1548" spans="55:55" ht="15.75" customHeight="1">
      <c r="BC1548" s="169"/>
    </row>
    <row r="1549" spans="55:55" ht="15.75" customHeight="1">
      <c r="BC1549" s="169"/>
    </row>
    <row r="1550" spans="55:55" ht="15.75" customHeight="1">
      <c r="BC1550" s="169"/>
    </row>
    <row r="1551" spans="55:55" ht="15.75" customHeight="1">
      <c r="BC1551" s="169"/>
    </row>
    <row r="1552" spans="55:55" ht="15.75" customHeight="1">
      <c r="BC1552" s="169"/>
    </row>
    <row r="1553" spans="55:55" ht="15.75" customHeight="1">
      <c r="BC1553" s="169"/>
    </row>
    <row r="1554" spans="55:55" ht="15.75" customHeight="1">
      <c r="BC1554" s="169"/>
    </row>
    <row r="1555" spans="55:55" ht="15.75" customHeight="1">
      <c r="BC1555" s="169"/>
    </row>
    <row r="1556" spans="55:55" ht="15.75" customHeight="1">
      <c r="BC1556" s="169"/>
    </row>
    <row r="1557" spans="55:55" ht="15.75" customHeight="1">
      <c r="BC1557" s="169"/>
    </row>
    <row r="1558" spans="55:55" ht="15.75" customHeight="1">
      <c r="BC1558" s="169"/>
    </row>
    <row r="1559" spans="55:55" ht="15.75" customHeight="1">
      <c r="BC1559" s="169"/>
    </row>
    <row r="1560" spans="55:55" ht="15.75" customHeight="1">
      <c r="BC1560" s="169"/>
    </row>
    <row r="1561" spans="55:55" ht="15.75" customHeight="1">
      <c r="BC1561" s="169"/>
    </row>
    <row r="1562" spans="55:55" ht="15.75" customHeight="1">
      <c r="BC1562" s="169"/>
    </row>
    <row r="1563" spans="55:55" ht="15.75" customHeight="1">
      <c r="BC1563" s="169"/>
    </row>
    <row r="1564" spans="55:55" ht="15.75" customHeight="1">
      <c r="BC1564" s="169"/>
    </row>
    <row r="1565" spans="55:55" ht="15.75" customHeight="1">
      <c r="BC1565" s="169"/>
    </row>
    <row r="1566" spans="55:55" ht="15.75" customHeight="1">
      <c r="BC1566" s="169"/>
    </row>
    <row r="1567" spans="55:55" ht="15.75" customHeight="1">
      <c r="BC1567" s="169"/>
    </row>
    <row r="1568" spans="55:55" ht="15.75" customHeight="1">
      <c r="BC1568" s="169"/>
    </row>
    <row r="1569" spans="55:55" ht="15.75" customHeight="1">
      <c r="BC1569" s="169"/>
    </row>
    <row r="1570" spans="55:55" ht="15.75" customHeight="1">
      <c r="BC1570" s="169"/>
    </row>
    <row r="1571" spans="55:55" ht="15.75" customHeight="1">
      <c r="BC1571" s="169"/>
    </row>
    <row r="1572" spans="55:55" ht="15.75" customHeight="1">
      <c r="BC1572" s="169"/>
    </row>
    <row r="1573" spans="55:55" ht="15.75" customHeight="1">
      <c r="BC1573" s="169"/>
    </row>
    <row r="1574" spans="55:55" ht="15.75" customHeight="1">
      <c r="BC1574" s="169"/>
    </row>
    <row r="1575" spans="55:55" ht="15.75" customHeight="1">
      <c r="BC1575" s="169"/>
    </row>
    <row r="1576" spans="55:55" ht="15.75" customHeight="1">
      <c r="BC1576" s="169"/>
    </row>
    <row r="1577" spans="55:55" ht="15.75" customHeight="1">
      <c r="BC1577" s="169"/>
    </row>
    <row r="1578" spans="55:55" ht="15.75" customHeight="1">
      <c r="BC1578" s="169"/>
    </row>
    <row r="1579" spans="55:55" ht="15.75" customHeight="1">
      <c r="BC1579" s="169"/>
    </row>
    <row r="1580" spans="55:55" ht="15.75" customHeight="1">
      <c r="BC1580" s="169"/>
    </row>
    <row r="1581" spans="55:55" ht="15.75" customHeight="1">
      <c r="BC1581" s="169"/>
    </row>
    <row r="1582" spans="55:55" ht="15.75" customHeight="1">
      <c r="BC1582" s="169"/>
    </row>
    <row r="1583" spans="55:55" ht="15.75" customHeight="1">
      <c r="BC1583" s="169"/>
    </row>
    <row r="1584" spans="55:55" ht="15.75" customHeight="1">
      <c r="BC1584" s="169"/>
    </row>
    <row r="1585" spans="55:55" ht="15.75" customHeight="1">
      <c r="BC1585" s="169"/>
    </row>
    <row r="1586" spans="55:55" ht="15.75" customHeight="1">
      <c r="BC1586" s="169"/>
    </row>
    <row r="1587" spans="55:55" ht="15.75" customHeight="1">
      <c r="BC1587" s="169"/>
    </row>
    <row r="1588" spans="55:55" ht="15.75" customHeight="1">
      <c r="BC1588" s="169"/>
    </row>
    <row r="1589" spans="55:55" ht="15.75" customHeight="1">
      <c r="BC1589" s="169"/>
    </row>
    <row r="1590" spans="55:55" ht="15.75" customHeight="1">
      <c r="BC1590" s="169"/>
    </row>
    <row r="1591" spans="55:55" ht="15.75" customHeight="1">
      <c r="BC1591" s="169"/>
    </row>
    <row r="1592" spans="55:55" ht="15.75" customHeight="1">
      <c r="BC1592" s="169"/>
    </row>
    <row r="1593" spans="55:55" ht="15.75" customHeight="1">
      <c r="BC1593" s="169"/>
    </row>
    <row r="1594" spans="55:55" ht="15.75" customHeight="1">
      <c r="BC1594" s="169"/>
    </row>
    <row r="1595" spans="55:55" ht="15.75" customHeight="1">
      <c r="BC1595" s="169"/>
    </row>
    <row r="1596" spans="55:55" ht="15.75" customHeight="1">
      <c r="BC1596" s="169"/>
    </row>
    <row r="1597" spans="55:55" ht="15.75" customHeight="1">
      <c r="BC1597" s="169"/>
    </row>
    <row r="1598" spans="55:55" ht="15.75" customHeight="1">
      <c r="BC1598" s="169"/>
    </row>
    <row r="1599" spans="55:55" ht="15.75" customHeight="1">
      <c r="BC1599" s="169"/>
    </row>
    <row r="1600" spans="55:55" ht="15.75" customHeight="1">
      <c r="BC1600" s="169"/>
    </row>
    <row r="1601" spans="55:55" ht="15.75" customHeight="1">
      <c r="BC1601" s="169"/>
    </row>
    <row r="1602" spans="55:55" ht="15.75" customHeight="1">
      <c r="BC1602" s="169"/>
    </row>
    <row r="1603" spans="55:55" ht="15.75" customHeight="1">
      <c r="BC1603" s="169"/>
    </row>
    <row r="1604" spans="55:55" ht="15.75" customHeight="1">
      <c r="BC1604" s="169"/>
    </row>
    <row r="1605" spans="55:55" ht="15.75" customHeight="1">
      <c r="BC1605" s="169"/>
    </row>
    <row r="1606" spans="55:55" ht="15.75" customHeight="1">
      <c r="BC1606" s="169"/>
    </row>
    <row r="1607" spans="55:55" ht="15.75" customHeight="1">
      <c r="BC1607" s="169"/>
    </row>
    <row r="1608" spans="55:55" ht="15.75" customHeight="1">
      <c r="BC1608" s="169"/>
    </row>
    <row r="1609" spans="55:55" ht="15.75" customHeight="1">
      <c r="BC1609" s="169"/>
    </row>
    <row r="1610" spans="55:55" ht="15.75" customHeight="1">
      <c r="BC1610" s="169"/>
    </row>
    <row r="1611" spans="55:55" ht="15.75" customHeight="1">
      <c r="BC1611" s="169"/>
    </row>
    <row r="1612" spans="55:55" ht="15.75" customHeight="1">
      <c r="BC1612" s="169"/>
    </row>
    <row r="1613" spans="55:55" ht="15.75" customHeight="1">
      <c r="BC1613" s="169"/>
    </row>
    <row r="1614" spans="55:55" ht="15.75" customHeight="1">
      <c r="BC1614" s="169"/>
    </row>
    <row r="1615" spans="55:55" ht="15.75" customHeight="1">
      <c r="BC1615" s="169"/>
    </row>
    <row r="1616" spans="55:55" ht="15.75" customHeight="1">
      <c r="BC1616" s="169"/>
    </row>
    <row r="1617" spans="55:55" ht="15.75" customHeight="1">
      <c r="BC1617" s="169"/>
    </row>
    <row r="1618" spans="55:55" ht="15.75" customHeight="1">
      <c r="BC1618" s="169"/>
    </row>
    <row r="1619" spans="55:55" ht="15.75" customHeight="1">
      <c r="BC1619" s="169"/>
    </row>
    <row r="1620" spans="55:55" ht="15.75" customHeight="1">
      <c r="BC1620" s="169"/>
    </row>
    <row r="1621" spans="55:55" ht="15.75" customHeight="1">
      <c r="BC1621" s="169"/>
    </row>
    <row r="1622" spans="55:55" ht="15.75" customHeight="1">
      <c r="BC1622" s="169"/>
    </row>
    <row r="1623" spans="55:55" ht="15.75" customHeight="1">
      <c r="BC1623" s="169"/>
    </row>
    <row r="1624" spans="55:55" ht="15.75" customHeight="1">
      <c r="BC1624" s="169"/>
    </row>
    <row r="1625" spans="55:55" ht="15.75" customHeight="1">
      <c r="BC1625" s="169"/>
    </row>
    <row r="1626" spans="55:55" ht="15.75" customHeight="1">
      <c r="BC1626" s="169"/>
    </row>
    <row r="1627" spans="55:55" ht="15.75" customHeight="1">
      <c r="BC1627" s="169"/>
    </row>
    <row r="1628" spans="55:55" ht="15.75" customHeight="1">
      <c r="BC1628" s="169"/>
    </row>
    <row r="1629" spans="55:55" ht="15.75" customHeight="1">
      <c r="BC1629" s="169"/>
    </row>
    <row r="1630" spans="55:55" ht="15.75" customHeight="1">
      <c r="BC1630" s="169"/>
    </row>
    <row r="1631" spans="55:55" ht="15.75" customHeight="1">
      <c r="BC1631" s="169"/>
    </row>
    <row r="1632" spans="55:55" ht="15.75" customHeight="1">
      <c r="BC1632" s="169"/>
    </row>
    <row r="1633" spans="55:55" ht="15.75" customHeight="1">
      <c r="BC1633" s="169"/>
    </row>
    <row r="1634" spans="55:55" ht="15.75" customHeight="1">
      <c r="BC1634" s="169"/>
    </row>
    <row r="1635" spans="55:55" ht="15.75" customHeight="1">
      <c r="BC1635" s="169"/>
    </row>
    <row r="1636" spans="55:55" ht="15.75" customHeight="1">
      <c r="BC1636" s="169"/>
    </row>
    <row r="1637" spans="55:55" ht="15.75" customHeight="1">
      <c r="BC1637" s="169"/>
    </row>
    <row r="1638" spans="55:55" ht="15.75" customHeight="1">
      <c r="BC1638" s="169"/>
    </row>
    <row r="1639" spans="55:55" ht="15.75" customHeight="1">
      <c r="BC1639" s="169"/>
    </row>
    <row r="1640" spans="55:55" ht="15.75" customHeight="1">
      <c r="BC1640" s="169"/>
    </row>
    <row r="1641" spans="55:55" ht="15.75" customHeight="1">
      <c r="BC1641" s="169"/>
    </row>
    <row r="1642" spans="55:55" ht="15.75" customHeight="1">
      <c r="BC1642" s="169"/>
    </row>
    <row r="1643" spans="55:55" ht="15.75" customHeight="1">
      <c r="BC1643" s="169"/>
    </row>
    <row r="1644" spans="55:55" ht="15.75" customHeight="1">
      <c r="BC1644" s="169"/>
    </row>
    <row r="1645" spans="55:55" ht="15.75" customHeight="1">
      <c r="BC1645" s="169"/>
    </row>
    <row r="1646" spans="55:55" ht="15.75" customHeight="1">
      <c r="BC1646" s="169"/>
    </row>
    <row r="1647" spans="55:55" ht="15.75" customHeight="1">
      <c r="BC1647" s="169"/>
    </row>
    <row r="1648" spans="55:55" ht="15.75" customHeight="1">
      <c r="BC1648" s="169"/>
    </row>
    <row r="1649" spans="55:55" ht="15.75" customHeight="1">
      <c r="BC1649" s="169"/>
    </row>
    <row r="1650" spans="55:55" ht="15.75" customHeight="1">
      <c r="BC1650" s="169"/>
    </row>
    <row r="1651" spans="55:55" ht="15.75" customHeight="1">
      <c r="BC1651" s="169"/>
    </row>
    <row r="1652" spans="55:55" ht="15.75" customHeight="1">
      <c r="BC1652" s="169"/>
    </row>
    <row r="1653" spans="55:55" ht="15.75" customHeight="1">
      <c r="BC1653" s="169"/>
    </row>
    <row r="1654" spans="55:55" ht="15.75" customHeight="1">
      <c r="BC1654" s="169"/>
    </row>
    <row r="1655" spans="55:55" ht="15.75" customHeight="1">
      <c r="BC1655" s="169"/>
    </row>
    <row r="1656" spans="55:55" ht="15.75" customHeight="1">
      <c r="BC1656" s="169"/>
    </row>
    <row r="1657" spans="55:55" ht="15.75" customHeight="1">
      <c r="BC1657" s="169"/>
    </row>
    <row r="1658" spans="55:55" ht="15.75" customHeight="1">
      <c r="BC1658" s="169"/>
    </row>
    <row r="1659" spans="55:55" ht="15.75" customHeight="1">
      <c r="BC1659" s="169"/>
    </row>
    <row r="1660" spans="55:55" ht="15.75" customHeight="1">
      <c r="BC1660" s="169"/>
    </row>
    <row r="1661" spans="55:55" ht="15.75" customHeight="1">
      <c r="BC1661" s="169"/>
    </row>
    <row r="1662" spans="55:55" ht="15.75" customHeight="1">
      <c r="BC1662" s="169"/>
    </row>
    <row r="1663" spans="55:55" ht="15.75" customHeight="1">
      <c r="BC1663" s="169"/>
    </row>
    <row r="1664" spans="55:55" ht="15.75" customHeight="1">
      <c r="BC1664" s="169"/>
    </row>
    <row r="1665" spans="55:55" ht="15.75" customHeight="1">
      <c r="BC1665" s="169"/>
    </row>
    <row r="1666" spans="55:55" ht="15.75" customHeight="1">
      <c r="BC1666" s="169"/>
    </row>
    <row r="1667" spans="55:55" ht="15.75" customHeight="1">
      <c r="BC1667" s="169"/>
    </row>
    <row r="1668" spans="55:55" ht="15.75" customHeight="1">
      <c r="BC1668" s="169"/>
    </row>
    <row r="1669" spans="55:55" ht="15.75" customHeight="1">
      <c r="BC1669" s="169"/>
    </row>
    <row r="1670" spans="55:55" ht="15.75" customHeight="1">
      <c r="BC1670" s="169"/>
    </row>
    <row r="1671" spans="55:55" ht="15.75" customHeight="1">
      <c r="BC1671" s="169"/>
    </row>
    <row r="1672" spans="55:55" ht="15.75" customHeight="1">
      <c r="BC1672" s="169"/>
    </row>
    <row r="1673" spans="55:55" ht="15.75" customHeight="1">
      <c r="BC1673" s="169"/>
    </row>
    <row r="1674" spans="55:55" ht="15.75" customHeight="1">
      <c r="BC1674" s="169"/>
    </row>
    <row r="1675" spans="55:55" ht="15.75" customHeight="1">
      <c r="BC1675" s="169"/>
    </row>
    <row r="1676" spans="55:55" ht="15.75" customHeight="1">
      <c r="BC1676" s="169"/>
    </row>
    <row r="1677" spans="55:55" ht="15.75" customHeight="1">
      <c r="BC1677" s="169"/>
    </row>
    <row r="1678" spans="55:55" ht="15.75" customHeight="1">
      <c r="BC1678" s="169"/>
    </row>
    <row r="1679" spans="55:55" ht="15.75" customHeight="1">
      <c r="BC1679" s="169"/>
    </row>
    <row r="1680" spans="55:55" ht="15.75" customHeight="1">
      <c r="BC1680" s="169"/>
    </row>
    <row r="1681" spans="55:55" ht="15.75" customHeight="1">
      <c r="BC1681" s="169"/>
    </row>
    <row r="1682" spans="55:55" ht="15.75" customHeight="1">
      <c r="BC1682" s="169"/>
    </row>
    <row r="1683" spans="55:55" ht="15.75" customHeight="1">
      <c r="BC1683" s="169"/>
    </row>
    <row r="1684" spans="55:55" ht="15.75" customHeight="1">
      <c r="BC1684" s="169"/>
    </row>
    <row r="1685" spans="55:55" ht="15.75" customHeight="1">
      <c r="BC1685" s="169"/>
    </row>
    <row r="1686" spans="55:55" ht="15.75" customHeight="1">
      <c r="BC1686" s="169"/>
    </row>
    <row r="1687" spans="55:55" ht="15.75" customHeight="1">
      <c r="BC1687" s="169"/>
    </row>
    <row r="1688" spans="55:55" ht="15.75" customHeight="1">
      <c r="BC1688" s="169"/>
    </row>
    <row r="1689" spans="55:55" ht="15.75" customHeight="1">
      <c r="BC1689" s="169"/>
    </row>
    <row r="1690" spans="55:55" ht="15.75" customHeight="1">
      <c r="BC1690" s="169"/>
    </row>
    <row r="1691" spans="55:55" ht="15.75" customHeight="1">
      <c r="BC1691" s="169"/>
    </row>
    <row r="1692" spans="55:55" ht="15.75" customHeight="1">
      <c r="BC1692" s="169"/>
    </row>
    <row r="1693" spans="55:55" ht="15.75" customHeight="1">
      <c r="BC1693" s="169"/>
    </row>
    <row r="1694" spans="55:55" ht="15.75" customHeight="1">
      <c r="BC1694" s="169"/>
    </row>
    <row r="1695" spans="55:55" ht="15.75" customHeight="1">
      <c r="BC1695" s="169"/>
    </row>
    <row r="1696" spans="55:55" ht="15.75" customHeight="1">
      <c r="BC1696" s="169"/>
    </row>
    <row r="1697" spans="55:55" ht="15.75" customHeight="1">
      <c r="BC1697" s="169"/>
    </row>
    <row r="1698" spans="55:55" ht="15.75" customHeight="1">
      <c r="BC1698" s="169"/>
    </row>
    <row r="1699" spans="55:55" ht="15.75" customHeight="1">
      <c r="BC1699" s="169"/>
    </row>
    <row r="1700" spans="55:55" ht="15.75" customHeight="1">
      <c r="BC1700" s="169"/>
    </row>
    <row r="1701" spans="55:55" ht="15.75" customHeight="1">
      <c r="BC1701" s="169"/>
    </row>
    <row r="1702" spans="55:55" ht="15.75" customHeight="1">
      <c r="BC1702" s="169"/>
    </row>
    <row r="1703" spans="55:55" ht="15.75" customHeight="1">
      <c r="BC1703" s="169"/>
    </row>
    <row r="1704" spans="55:55" ht="15.75" customHeight="1">
      <c r="BC1704" s="169"/>
    </row>
    <row r="1705" spans="55:55" ht="15.75" customHeight="1">
      <c r="BC1705" s="169"/>
    </row>
    <row r="1706" spans="55:55" ht="15.75" customHeight="1">
      <c r="BC1706" s="169"/>
    </row>
    <row r="1707" spans="55:55" ht="15.75" customHeight="1">
      <c r="BC1707" s="169"/>
    </row>
    <row r="1708" spans="55:55" ht="15.75" customHeight="1">
      <c r="BC1708" s="169"/>
    </row>
    <row r="1709" spans="55:55" ht="15.75" customHeight="1">
      <c r="BC1709" s="169"/>
    </row>
    <row r="1710" spans="55:55" ht="15.75" customHeight="1">
      <c r="BC1710" s="169"/>
    </row>
    <row r="1711" spans="55:55" ht="15.75" customHeight="1">
      <c r="BC1711" s="169"/>
    </row>
    <row r="1712" spans="55:55" ht="15.75" customHeight="1">
      <c r="BC1712" s="169"/>
    </row>
    <row r="1713" spans="55:55" ht="15.75" customHeight="1">
      <c r="BC1713" s="169"/>
    </row>
    <row r="1714" spans="55:55" ht="15.75" customHeight="1">
      <c r="BC1714" s="169"/>
    </row>
    <row r="1715" spans="55:55" ht="15.75" customHeight="1">
      <c r="BC1715" s="169"/>
    </row>
    <row r="1716" spans="55:55" ht="15.75" customHeight="1">
      <c r="BC1716" s="169"/>
    </row>
    <row r="1717" spans="55:55" ht="15.75" customHeight="1">
      <c r="BC1717" s="169"/>
    </row>
    <row r="1718" spans="55:55" ht="15.75" customHeight="1">
      <c r="BC1718" s="169"/>
    </row>
    <row r="1719" spans="55:55" ht="15.75" customHeight="1">
      <c r="BC1719" s="169"/>
    </row>
    <row r="1720" spans="55:55" ht="15.75" customHeight="1">
      <c r="BC1720" s="169"/>
    </row>
    <row r="1721" spans="55:55" ht="15.75" customHeight="1">
      <c r="BC1721" s="169"/>
    </row>
    <row r="1722" spans="55:55" ht="15.75" customHeight="1">
      <c r="BC1722" s="169"/>
    </row>
    <row r="1723" spans="55:55" ht="15.75" customHeight="1">
      <c r="BC1723" s="169"/>
    </row>
    <row r="1724" spans="55:55" ht="15.75" customHeight="1">
      <c r="BC1724" s="169"/>
    </row>
    <row r="1725" spans="55:55" ht="15.75" customHeight="1">
      <c r="BC1725" s="169"/>
    </row>
    <row r="1726" spans="55:55" ht="15.75" customHeight="1">
      <c r="BC1726" s="169"/>
    </row>
    <row r="1727" spans="55:55" ht="15.75" customHeight="1">
      <c r="BC1727" s="169"/>
    </row>
    <row r="1728" spans="55:55" ht="15.75" customHeight="1">
      <c r="BC1728" s="169"/>
    </row>
    <row r="1729" spans="55:55" ht="15.75" customHeight="1">
      <c r="BC1729" s="169"/>
    </row>
    <row r="1730" spans="55:55" ht="15.75" customHeight="1">
      <c r="BC1730" s="169"/>
    </row>
    <row r="1731" spans="55:55" ht="15.75" customHeight="1">
      <c r="BC1731" s="169"/>
    </row>
    <row r="1732" spans="55:55" ht="15.75" customHeight="1">
      <c r="BC1732" s="169"/>
    </row>
    <row r="1733" spans="55:55" ht="15.75" customHeight="1">
      <c r="BC1733" s="169"/>
    </row>
    <row r="1734" spans="55:55" ht="15.75" customHeight="1">
      <c r="BC1734" s="169"/>
    </row>
    <row r="1735" spans="55:55" ht="15.75" customHeight="1">
      <c r="BC1735" s="169"/>
    </row>
    <row r="1736" spans="55:55" ht="15.75" customHeight="1">
      <c r="BC1736" s="169"/>
    </row>
    <row r="1737" spans="55:55" ht="15.75" customHeight="1">
      <c r="BC1737" s="169"/>
    </row>
    <row r="1738" spans="55:55" ht="15.75" customHeight="1">
      <c r="BC1738" s="169"/>
    </row>
    <row r="1739" spans="55:55" ht="15.75" customHeight="1">
      <c r="BC1739" s="169"/>
    </row>
    <row r="1740" spans="55:55" ht="15.75" customHeight="1">
      <c r="BC1740" s="169"/>
    </row>
    <row r="1741" spans="55:55" ht="15.75" customHeight="1">
      <c r="BC1741" s="169"/>
    </row>
    <row r="1742" spans="55:55" ht="15.75" customHeight="1">
      <c r="BC1742" s="169"/>
    </row>
    <row r="1743" spans="55:55" ht="15.75" customHeight="1">
      <c r="BC1743" s="169"/>
    </row>
    <row r="1744" spans="55:55" ht="15.75" customHeight="1">
      <c r="BC1744" s="169"/>
    </row>
    <row r="1745" spans="55:55" ht="15.75" customHeight="1">
      <c r="BC1745" s="169"/>
    </row>
    <row r="1746" spans="55:55" ht="15.75" customHeight="1">
      <c r="BC1746" s="169"/>
    </row>
    <row r="1747" spans="55:55" ht="15.75" customHeight="1">
      <c r="BC1747" s="169"/>
    </row>
    <row r="1748" spans="55:55" ht="15.75" customHeight="1">
      <c r="BC1748" s="169"/>
    </row>
    <row r="1749" spans="55:55" ht="15.75" customHeight="1">
      <c r="BC1749" s="169"/>
    </row>
    <row r="1750" spans="55:55" ht="15.75" customHeight="1">
      <c r="BC1750" s="169"/>
    </row>
    <row r="1751" spans="55:55" ht="15.75" customHeight="1">
      <c r="BC1751" s="169"/>
    </row>
    <row r="1752" spans="55:55" ht="15.75" customHeight="1">
      <c r="BC1752" s="169"/>
    </row>
    <row r="1753" spans="55:55" ht="15.75" customHeight="1">
      <c r="BC1753" s="169"/>
    </row>
    <row r="1754" spans="55:55" ht="15.75" customHeight="1">
      <c r="BC1754" s="169"/>
    </row>
    <row r="1755" spans="55:55" ht="15.75" customHeight="1">
      <c r="BC1755" s="169"/>
    </row>
    <row r="1756" spans="55:55" ht="15.75" customHeight="1">
      <c r="BC1756" s="169"/>
    </row>
    <row r="1757" spans="55:55" ht="15.75" customHeight="1">
      <c r="BC1757" s="169"/>
    </row>
    <row r="1758" spans="55:55" ht="15.75" customHeight="1">
      <c r="BC1758" s="169"/>
    </row>
    <row r="1759" spans="55:55" ht="15.75" customHeight="1">
      <c r="BC1759" s="169"/>
    </row>
    <row r="1760" spans="55:55" ht="15.75" customHeight="1">
      <c r="BC1760" s="169"/>
    </row>
    <row r="1761" spans="55:55" ht="15.75" customHeight="1">
      <c r="BC1761" s="169"/>
    </row>
    <row r="1762" spans="55:55" ht="15.75" customHeight="1">
      <c r="BC1762" s="169"/>
    </row>
    <row r="1763" spans="55:55" ht="15.75" customHeight="1">
      <c r="BC1763" s="169"/>
    </row>
    <row r="1764" spans="55:55" ht="15.75" customHeight="1">
      <c r="BC1764" s="169"/>
    </row>
    <row r="1765" spans="55:55" ht="15.75" customHeight="1">
      <c r="BC1765" s="169"/>
    </row>
    <row r="1766" spans="55:55" ht="15.75" customHeight="1">
      <c r="BC1766" s="169"/>
    </row>
    <row r="1767" spans="55:55" ht="15.75" customHeight="1">
      <c r="BC1767" s="169"/>
    </row>
    <row r="1768" spans="55:55" ht="15.75" customHeight="1">
      <c r="BC1768" s="169"/>
    </row>
    <row r="1769" spans="55:55" ht="15.75" customHeight="1">
      <c r="BC1769" s="169"/>
    </row>
    <row r="1770" spans="55:55" ht="15.75" customHeight="1">
      <c r="BC1770" s="169"/>
    </row>
    <row r="1771" spans="55:55" ht="15.75" customHeight="1">
      <c r="BC1771" s="169"/>
    </row>
    <row r="1772" spans="55:55" ht="15.75" customHeight="1">
      <c r="BC1772" s="169"/>
    </row>
    <row r="1773" spans="55:55" ht="15.75" customHeight="1">
      <c r="BC1773" s="169"/>
    </row>
    <row r="1774" spans="55:55" ht="15.75" customHeight="1">
      <c r="BC1774" s="169"/>
    </row>
    <row r="1775" spans="55:55" ht="15.75" customHeight="1">
      <c r="BC1775" s="169"/>
    </row>
    <row r="1776" spans="55:55" ht="15.75" customHeight="1">
      <c r="BC1776" s="169"/>
    </row>
    <row r="1777" spans="55:55" ht="15.75" customHeight="1">
      <c r="BC1777" s="169"/>
    </row>
    <row r="1778" spans="55:55" ht="15.75" customHeight="1">
      <c r="BC1778" s="169"/>
    </row>
    <row r="1779" spans="55:55" ht="15.75" customHeight="1">
      <c r="BC1779" s="169"/>
    </row>
    <row r="1780" spans="55:55" ht="15.75" customHeight="1">
      <c r="BC1780" s="169"/>
    </row>
    <row r="1781" spans="55:55" ht="15.75" customHeight="1">
      <c r="BC1781" s="169"/>
    </row>
    <row r="1782" spans="55:55" ht="15.75" customHeight="1">
      <c r="BC1782" s="169"/>
    </row>
    <row r="1783" spans="55:55" ht="15.75" customHeight="1">
      <c r="BC1783" s="169"/>
    </row>
    <row r="1784" spans="55:55" ht="15.75" customHeight="1">
      <c r="BC1784" s="169"/>
    </row>
    <row r="1785" spans="55:55" ht="15.75" customHeight="1">
      <c r="BC1785" s="169"/>
    </row>
    <row r="1786" spans="55:55" ht="15.75" customHeight="1">
      <c r="BC1786" s="169"/>
    </row>
    <row r="1787" spans="55:55" ht="15.75" customHeight="1">
      <c r="BC1787" s="169"/>
    </row>
    <row r="1788" spans="55:55" ht="15.75" customHeight="1">
      <c r="BC1788" s="169"/>
    </row>
    <row r="1789" spans="55:55" ht="15.75" customHeight="1">
      <c r="BC1789" s="169"/>
    </row>
    <row r="1790" spans="55:55" ht="15.75" customHeight="1">
      <c r="BC1790" s="169"/>
    </row>
    <row r="1791" spans="55:55" ht="15.75" customHeight="1">
      <c r="BC1791" s="169"/>
    </row>
    <row r="1792" spans="55:55" ht="15.75" customHeight="1">
      <c r="BC1792" s="169"/>
    </row>
    <row r="1793" spans="55:55" ht="15.75" customHeight="1">
      <c r="BC1793" s="169"/>
    </row>
    <row r="1794" spans="55:55" ht="15.75" customHeight="1">
      <c r="BC1794" s="169"/>
    </row>
    <row r="1795" spans="55:55" ht="15.75" customHeight="1">
      <c r="BC1795" s="169"/>
    </row>
    <row r="1796" spans="55:55" ht="15.75" customHeight="1">
      <c r="BC1796" s="169"/>
    </row>
    <row r="1797" spans="55:55" ht="15.75" customHeight="1">
      <c r="BC1797" s="169"/>
    </row>
    <row r="1798" spans="55:55" ht="15.75" customHeight="1">
      <c r="BC1798" s="169"/>
    </row>
    <row r="1799" spans="55:55" ht="15.75" customHeight="1">
      <c r="BC1799" s="169"/>
    </row>
    <row r="1800" spans="55:55" ht="15.75" customHeight="1">
      <c r="BC1800" s="169"/>
    </row>
    <row r="1801" spans="55:55" ht="15.75" customHeight="1">
      <c r="BC1801" s="169"/>
    </row>
    <row r="1802" spans="55:55" ht="15.75" customHeight="1">
      <c r="BC1802" s="169"/>
    </row>
    <row r="1803" spans="55:55" ht="15.75" customHeight="1">
      <c r="BC1803" s="169"/>
    </row>
    <row r="1804" spans="55:55" ht="15.75" customHeight="1">
      <c r="BC1804" s="169"/>
    </row>
    <row r="1805" spans="55:55" ht="15.75" customHeight="1">
      <c r="BC1805" s="169"/>
    </row>
    <row r="1806" spans="55:55" ht="15.75" customHeight="1">
      <c r="BC1806" s="169"/>
    </row>
    <row r="1807" spans="55:55" ht="15.75" customHeight="1">
      <c r="BC1807" s="169"/>
    </row>
    <row r="1808" spans="55:55" ht="15.75" customHeight="1">
      <c r="BC1808" s="169"/>
    </row>
    <row r="1809" spans="55:55" ht="15.75" customHeight="1">
      <c r="BC1809" s="169"/>
    </row>
    <row r="1810" spans="55:55" ht="15.75" customHeight="1">
      <c r="BC1810" s="169"/>
    </row>
    <row r="1811" spans="55:55" ht="15.75" customHeight="1">
      <c r="BC1811" s="169"/>
    </row>
    <row r="1812" spans="55:55" ht="15.75" customHeight="1">
      <c r="BC1812" s="169"/>
    </row>
    <row r="1813" spans="55:55" ht="15.75" customHeight="1">
      <c r="BC1813" s="169"/>
    </row>
    <row r="1814" spans="55:55" ht="15.75" customHeight="1">
      <c r="BC1814" s="169"/>
    </row>
    <row r="1815" spans="55:55" ht="15.75" customHeight="1">
      <c r="BC1815" s="169"/>
    </row>
    <row r="1816" spans="55:55" ht="15.75" customHeight="1">
      <c r="BC1816" s="169"/>
    </row>
    <row r="1817" spans="55:55" ht="15.75" customHeight="1">
      <c r="BC1817" s="169"/>
    </row>
    <row r="1818" spans="55:55" ht="15.75" customHeight="1">
      <c r="BC1818" s="169"/>
    </row>
    <row r="1819" spans="55:55" ht="15.75" customHeight="1">
      <c r="BC1819" s="169"/>
    </row>
    <row r="1820" spans="55:55" ht="15.75" customHeight="1">
      <c r="BC1820" s="169"/>
    </row>
    <row r="1821" spans="55:55" ht="15.75" customHeight="1">
      <c r="BC1821" s="169"/>
    </row>
    <row r="1822" spans="55:55" ht="15.75" customHeight="1">
      <c r="BC1822" s="169"/>
    </row>
    <row r="1823" spans="55:55" ht="15.75" customHeight="1">
      <c r="BC1823" s="169"/>
    </row>
    <row r="1824" spans="55:55" ht="15.75" customHeight="1">
      <c r="BC1824" s="169"/>
    </row>
    <row r="1825" spans="55:55" ht="15.75" customHeight="1">
      <c r="BC1825" s="169"/>
    </row>
    <row r="1826" spans="55:55" ht="15.75" customHeight="1">
      <c r="BC1826" s="169"/>
    </row>
    <row r="1827" spans="55:55" ht="15.75" customHeight="1">
      <c r="BC1827" s="169"/>
    </row>
    <row r="1828" spans="55:55" ht="15.75" customHeight="1">
      <c r="BC1828" s="169"/>
    </row>
    <row r="1829" spans="55:55" ht="15.75" customHeight="1">
      <c r="BC1829" s="169"/>
    </row>
    <row r="1830" spans="55:55" ht="15.75" customHeight="1">
      <c r="BC1830" s="169"/>
    </row>
    <row r="1831" spans="55:55" ht="15.75" customHeight="1">
      <c r="BC1831" s="169"/>
    </row>
    <row r="1832" spans="55:55" ht="15.75" customHeight="1">
      <c r="BC1832" s="169"/>
    </row>
    <row r="1833" spans="55:55" ht="15.75" customHeight="1">
      <c r="BC1833" s="169"/>
    </row>
    <row r="1834" spans="55:55" ht="15.75" customHeight="1">
      <c r="BC1834" s="169"/>
    </row>
    <row r="1835" spans="55:55" ht="15.75" customHeight="1">
      <c r="BC1835" s="169"/>
    </row>
    <row r="1836" spans="55:55" ht="15.75" customHeight="1">
      <c r="BC1836" s="169"/>
    </row>
    <row r="1837" spans="55:55" ht="15.75" customHeight="1">
      <c r="BC1837" s="169"/>
    </row>
    <row r="1838" spans="55:55" ht="15.75" customHeight="1">
      <c r="BC1838" s="169"/>
    </row>
    <row r="1839" spans="55:55" ht="15.75" customHeight="1">
      <c r="BC1839" s="169"/>
    </row>
    <row r="1840" spans="55:55" ht="15.75" customHeight="1">
      <c r="BC1840" s="169"/>
    </row>
    <row r="1841" spans="55:55" ht="15.75" customHeight="1">
      <c r="BC1841" s="169"/>
    </row>
    <row r="1842" spans="55:55" ht="15.75" customHeight="1">
      <c r="BC1842" s="169"/>
    </row>
    <row r="1843" spans="55:55" ht="15.75" customHeight="1">
      <c r="BC1843" s="169"/>
    </row>
    <row r="1844" spans="55:55" ht="15.75" customHeight="1">
      <c r="BC1844" s="169"/>
    </row>
    <row r="1845" spans="55:55" ht="15.75" customHeight="1">
      <c r="BC1845" s="169"/>
    </row>
    <row r="1846" spans="55:55" ht="15.75" customHeight="1">
      <c r="BC1846" s="169"/>
    </row>
    <row r="1847" spans="55:55" ht="15.75" customHeight="1">
      <c r="BC1847" s="169"/>
    </row>
    <row r="1848" spans="55:55" ht="15.75" customHeight="1">
      <c r="BC1848" s="169"/>
    </row>
    <row r="1849" spans="55:55" ht="15.75" customHeight="1">
      <c r="BC1849" s="169"/>
    </row>
    <row r="1850" spans="55:55" ht="15.75" customHeight="1">
      <c r="BC1850" s="169"/>
    </row>
    <row r="1851" spans="55:55" ht="15.75" customHeight="1">
      <c r="BC1851" s="169"/>
    </row>
    <row r="1852" spans="55:55" ht="15.75" customHeight="1">
      <c r="BC1852" s="169"/>
    </row>
    <row r="1853" spans="55:55" ht="15.75" customHeight="1">
      <c r="BC1853" s="169"/>
    </row>
    <row r="1854" spans="55:55" ht="15.75" customHeight="1">
      <c r="BC1854" s="169"/>
    </row>
    <row r="1855" spans="55:55" ht="15.75" customHeight="1">
      <c r="BC1855" s="169"/>
    </row>
    <row r="1856" spans="55:55" ht="15.75" customHeight="1">
      <c r="BC1856" s="169"/>
    </row>
    <row r="1857" spans="55:55" ht="15.75" customHeight="1">
      <c r="BC1857" s="169"/>
    </row>
    <row r="1858" spans="55:55" ht="15.75" customHeight="1">
      <c r="BC1858" s="169"/>
    </row>
    <row r="1859" spans="55:55" ht="15.75" customHeight="1">
      <c r="BC1859" s="169"/>
    </row>
    <row r="1860" spans="55:55" ht="15.75" customHeight="1">
      <c r="BC1860" s="169"/>
    </row>
    <row r="1861" spans="55:55" ht="15.75" customHeight="1">
      <c r="BC1861" s="169"/>
    </row>
    <row r="1862" spans="55:55" ht="15.75" customHeight="1">
      <c r="BC1862" s="169"/>
    </row>
    <row r="1863" spans="55:55" ht="15.75" customHeight="1">
      <c r="BC1863" s="169"/>
    </row>
    <row r="1864" spans="55:55" ht="15.75" customHeight="1">
      <c r="BC1864" s="169"/>
    </row>
    <row r="1865" spans="55:55" ht="15.75" customHeight="1">
      <c r="BC1865" s="169"/>
    </row>
    <row r="1866" spans="55:55" ht="15.75" customHeight="1">
      <c r="BC1866" s="169"/>
    </row>
    <row r="1867" spans="55:55" ht="15.75" customHeight="1">
      <c r="BC1867" s="169"/>
    </row>
    <row r="1868" spans="55:55" ht="15.75" customHeight="1">
      <c r="BC1868" s="169"/>
    </row>
    <row r="1869" spans="55:55" ht="15.75" customHeight="1">
      <c r="BC1869" s="169"/>
    </row>
    <row r="1870" spans="55:55" ht="15.75" customHeight="1">
      <c r="BC1870" s="169"/>
    </row>
    <row r="1871" spans="55:55" ht="15.75" customHeight="1">
      <c r="BC1871" s="169"/>
    </row>
    <row r="1872" spans="55:55" ht="15.75" customHeight="1">
      <c r="BC1872" s="169"/>
    </row>
    <row r="1873" spans="55:55" ht="15.75" customHeight="1">
      <c r="BC1873" s="169"/>
    </row>
    <row r="1874" spans="55:55" ht="15.75" customHeight="1">
      <c r="BC1874" s="169"/>
    </row>
    <row r="1875" spans="55:55" ht="15.75" customHeight="1">
      <c r="BC1875" s="169"/>
    </row>
    <row r="1876" spans="55:55" ht="15.75" customHeight="1">
      <c r="BC1876" s="169"/>
    </row>
    <row r="1877" spans="55:55" ht="15.75" customHeight="1">
      <c r="BC1877" s="169"/>
    </row>
    <row r="1878" spans="55:55" ht="15.75" customHeight="1">
      <c r="BC1878" s="169"/>
    </row>
    <row r="1879" spans="55:55" ht="15.75" customHeight="1">
      <c r="BC1879" s="169"/>
    </row>
    <row r="1880" spans="55:55" ht="15.75" customHeight="1">
      <c r="BC1880" s="169"/>
    </row>
    <row r="1881" spans="55:55" ht="15.75" customHeight="1">
      <c r="BC1881" s="169"/>
    </row>
    <row r="1882" spans="55:55" ht="15.75" customHeight="1">
      <c r="BC1882" s="169"/>
    </row>
    <row r="1883" spans="55:55" ht="15.75" customHeight="1">
      <c r="BC1883" s="169"/>
    </row>
    <row r="1884" spans="55:55" ht="15.75" customHeight="1">
      <c r="BC1884" s="169"/>
    </row>
    <row r="1885" spans="55:55" ht="15.75" customHeight="1">
      <c r="BC1885" s="169"/>
    </row>
    <row r="1886" spans="55:55" ht="15.75" customHeight="1">
      <c r="BC1886" s="169"/>
    </row>
    <row r="1887" spans="55:55" ht="15.75" customHeight="1">
      <c r="BC1887" s="169"/>
    </row>
    <row r="1888" spans="55:55" ht="15.75" customHeight="1">
      <c r="BC1888" s="169"/>
    </row>
    <row r="1889" spans="55:55" ht="15.75" customHeight="1">
      <c r="BC1889" s="169"/>
    </row>
    <row r="1890" spans="55:55" ht="15.75" customHeight="1">
      <c r="BC1890" s="169"/>
    </row>
    <row r="1891" spans="55:55" ht="15.75" customHeight="1">
      <c r="BC1891" s="169"/>
    </row>
    <row r="1892" spans="55:55" ht="15.75" customHeight="1">
      <c r="BC1892" s="169"/>
    </row>
    <row r="1893" spans="55:55" ht="15.75" customHeight="1">
      <c r="BC1893" s="169"/>
    </row>
    <row r="1894" spans="55:55" ht="15.75" customHeight="1">
      <c r="BC1894" s="169"/>
    </row>
    <row r="1895" spans="55:55" ht="15.75" customHeight="1">
      <c r="BC1895" s="169"/>
    </row>
    <row r="1896" spans="55:55" ht="15.75" customHeight="1">
      <c r="BC1896" s="169"/>
    </row>
    <row r="1897" spans="55:55" ht="15.75" customHeight="1">
      <c r="BC1897" s="169"/>
    </row>
    <row r="1898" spans="55:55" ht="15.75" customHeight="1">
      <c r="BC1898" s="169"/>
    </row>
    <row r="1899" spans="55:55" ht="15.75" customHeight="1">
      <c r="BC1899" s="169"/>
    </row>
    <row r="1900" spans="55:55" ht="15.75" customHeight="1">
      <c r="BC1900" s="169"/>
    </row>
    <row r="1901" spans="55:55" ht="15.75" customHeight="1">
      <c r="BC1901" s="169"/>
    </row>
    <row r="1902" spans="55:55" ht="15.75" customHeight="1">
      <c r="BC1902" s="169"/>
    </row>
    <row r="1903" spans="55:55" ht="15.75" customHeight="1">
      <c r="BC1903" s="169"/>
    </row>
    <row r="1904" spans="55:55" ht="15.75" customHeight="1">
      <c r="BC1904" s="169"/>
    </row>
    <row r="1905" spans="55:55" ht="15.75" customHeight="1">
      <c r="BC1905" s="169"/>
    </row>
    <row r="1906" spans="55:55" ht="15.75" customHeight="1">
      <c r="BC1906" s="169"/>
    </row>
    <row r="1907" spans="55:55" ht="15.75" customHeight="1">
      <c r="BC1907" s="169"/>
    </row>
    <row r="1908" spans="55:55" ht="15.75" customHeight="1">
      <c r="BC1908" s="169"/>
    </row>
    <row r="1909" spans="55:55" ht="15.75" customHeight="1">
      <c r="BC1909" s="169"/>
    </row>
    <row r="1910" spans="55:55" ht="15.75" customHeight="1">
      <c r="BC1910" s="169"/>
    </row>
    <row r="1911" spans="55:55" ht="15.75" customHeight="1">
      <c r="BC1911" s="169"/>
    </row>
    <row r="1912" spans="55:55" ht="15.75" customHeight="1">
      <c r="BC1912" s="169"/>
    </row>
    <row r="1913" spans="55:55" ht="15.75" customHeight="1">
      <c r="BC1913" s="169"/>
    </row>
    <row r="1914" spans="55:55" ht="15.75" customHeight="1">
      <c r="BC1914" s="169"/>
    </row>
    <row r="1915" spans="55:55" ht="15.75" customHeight="1">
      <c r="BC1915" s="169"/>
    </row>
    <row r="1916" spans="55:55" ht="15.75" customHeight="1">
      <c r="BC1916" s="169"/>
    </row>
    <row r="1917" spans="55:55" ht="15.75" customHeight="1">
      <c r="BC1917" s="169"/>
    </row>
    <row r="1918" spans="55:55" ht="15.75" customHeight="1">
      <c r="BC1918" s="169"/>
    </row>
    <row r="1919" spans="55:55" ht="15.75" customHeight="1">
      <c r="BC1919" s="169"/>
    </row>
    <row r="1920" spans="55:55" ht="15.75" customHeight="1">
      <c r="BC1920" s="169"/>
    </row>
    <row r="1921" spans="55:55" ht="15.75" customHeight="1">
      <c r="BC1921" s="169"/>
    </row>
    <row r="1922" spans="55:55" ht="15.75" customHeight="1">
      <c r="BC1922" s="169"/>
    </row>
    <row r="1923" spans="55:55" ht="15.75" customHeight="1">
      <c r="BC1923" s="169"/>
    </row>
    <row r="1924" spans="55:55" ht="15.75" customHeight="1">
      <c r="BC1924" s="169"/>
    </row>
    <row r="1925" spans="55:55" ht="15.75" customHeight="1">
      <c r="BC1925" s="169"/>
    </row>
    <row r="1926" spans="55:55" ht="15.75" customHeight="1">
      <c r="BC1926" s="169"/>
    </row>
    <row r="1927" spans="55:55" ht="15.75" customHeight="1">
      <c r="BC1927" s="169"/>
    </row>
    <row r="1928" spans="55:55" ht="15.75" customHeight="1">
      <c r="BC1928" s="169"/>
    </row>
    <row r="1929" spans="55:55" ht="15.75" customHeight="1">
      <c r="BC1929" s="169"/>
    </row>
    <row r="1930" spans="55:55" ht="15.75" customHeight="1">
      <c r="BC1930" s="169"/>
    </row>
    <row r="1931" spans="55:55" ht="15.75" customHeight="1">
      <c r="BC1931" s="169"/>
    </row>
    <row r="1932" spans="55:55" ht="15.75" customHeight="1">
      <c r="BC1932" s="169"/>
    </row>
    <row r="1933" spans="55:55" ht="15.75" customHeight="1">
      <c r="BC1933" s="169"/>
    </row>
    <row r="1934" spans="55:55" ht="15.75" customHeight="1">
      <c r="BC1934" s="169"/>
    </row>
    <row r="1935" spans="55:55" ht="15.75" customHeight="1">
      <c r="BC1935" s="169"/>
    </row>
    <row r="1936" spans="55:55" ht="15.75" customHeight="1">
      <c r="BC1936" s="169"/>
    </row>
    <row r="1937" spans="55:55" ht="15.75" customHeight="1">
      <c r="BC1937" s="169"/>
    </row>
    <row r="1938" spans="55:55" ht="15.75" customHeight="1">
      <c r="BC1938" s="169"/>
    </row>
    <row r="1939" spans="55:55" ht="15.75" customHeight="1">
      <c r="BC1939" s="169"/>
    </row>
    <row r="1940" spans="55:55" ht="15.75" customHeight="1">
      <c r="BC1940" s="169"/>
    </row>
    <row r="1941" spans="55:55" ht="15.75" customHeight="1">
      <c r="BC1941" s="169"/>
    </row>
    <row r="1942" spans="55:55" ht="15.75" customHeight="1">
      <c r="BC1942" s="169"/>
    </row>
    <row r="1943" spans="55:55" ht="15.75" customHeight="1">
      <c r="BC1943" s="169"/>
    </row>
    <row r="1944" spans="55:55" ht="15.75" customHeight="1">
      <c r="BC1944" s="169"/>
    </row>
    <row r="1945" spans="55:55" ht="15.75" customHeight="1">
      <c r="BC1945" s="169"/>
    </row>
    <row r="1946" spans="55:55" ht="15.75" customHeight="1">
      <c r="BC1946" s="169"/>
    </row>
    <row r="1947" spans="55:55" ht="15.75" customHeight="1">
      <c r="BC1947" s="169"/>
    </row>
    <row r="1948" spans="55:55" ht="15.75" customHeight="1">
      <c r="BC1948" s="169"/>
    </row>
    <row r="1949" spans="55:55" ht="15.75" customHeight="1">
      <c r="BC1949" s="169"/>
    </row>
    <row r="1950" spans="55:55" ht="15.75" customHeight="1">
      <c r="BC1950" s="169"/>
    </row>
    <row r="1951" spans="55:55" ht="15.75" customHeight="1">
      <c r="BC1951" s="169"/>
    </row>
    <row r="1952" spans="55:55" ht="15.75" customHeight="1">
      <c r="BC1952" s="169"/>
    </row>
    <row r="1953" spans="55:55" ht="15.75" customHeight="1">
      <c r="BC1953" s="169"/>
    </row>
    <row r="1954" spans="55:55" ht="15.75" customHeight="1">
      <c r="BC1954" s="169"/>
    </row>
    <row r="1955" spans="55:55" ht="15.75" customHeight="1">
      <c r="BC1955" s="169"/>
    </row>
    <row r="1956" spans="55:55" ht="15.75" customHeight="1">
      <c r="BC1956" s="169"/>
    </row>
    <row r="1957" spans="55:55" ht="15.75" customHeight="1">
      <c r="BC1957" s="169"/>
    </row>
    <row r="1958" spans="55:55" ht="15.75" customHeight="1">
      <c r="BC1958" s="169"/>
    </row>
    <row r="1959" spans="55:55" ht="15.75" customHeight="1">
      <c r="BC1959" s="169"/>
    </row>
    <row r="1960" spans="55:55" ht="15.75" customHeight="1">
      <c r="BC1960" s="169"/>
    </row>
    <row r="1961" spans="55:55" ht="15.75" customHeight="1">
      <c r="BC1961" s="169"/>
    </row>
    <row r="1962" spans="55:55" ht="15.75" customHeight="1">
      <c r="BC1962" s="169"/>
    </row>
    <row r="1963" spans="55:55" ht="15.75" customHeight="1">
      <c r="BC1963" s="169"/>
    </row>
    <row r="1964" spans="55:55" ht="15.75" customHeight="1">
      <c r="BC1964" s="169"/>
    </row>
    <row r="1965" spans="55:55" ht="15.75" customHeight="1">
      <c r="BC1965" s="169"/>
    </row>
    <row r="1966" spans="55:55" ht="15.75" customHeight="1">
      <c r="BC1966" s="169"/>
    </row>
    <row r="1967" spans="55:55" ht="15.75" customHeight="1">
      <c r="BC1967" s="169"/>
    </row>
    <row r="1968" spans="55:55" ht="15.75" customHeight="1">
      <c r="BC1968" s="169"/>
    </row>
    <row r="1969" spans="55:55" ht="15.75" customHeight="1">
      <c r="BC1969" s="169"/>
    </row>
    <row r="1970" spans="55:55" ht="15.75" customHeight="1">
      <c r="BC1970" s="169"/>
    </row>
    <row r="1971" spans="55:55" ht="15.75" customHeight="1">
      <c r="BC1971" s="169"/>
    </row>
    <row r="1972" spans="55:55" ht="15.75" customHeight="1">
      <c r="BC1972" s="169"/>
    </row>
    <row r="1973" spans="55:55" ht="15.75" customHeight="1">
      <c r="BC1973" s="169"/>
    </row>
    <row r="1974" spans="55:55" ht="15.75" customHeight="1">
      <c r="BC1974" s="169"/>
    </row>
    <row r="1975" spans="55:55" ht="15.75" customHeight="1">
      <c r="BC1975" s="169"/>
    </row>
    <row r="1976" spans="55:55" ht="15.75" customHeight="1">
      <c r="BC1976" s="169"/>
    </row>
    <row r="1977" spans="55:55" ht="15.75" customHeight="1">
      <c r="BC1977" s="169"/>
    </row>
    <row r="1978" spans="55:55" ht="15.75" customHeight="1">
      <c r="BC1978" s="169"/>
    </row>
    <row r="1979" spans="55:55" ht="15.75" customHeight="1">
      <c r="BC1979" s="169"/>
    </row>
    <row r="1980" spans="55:55" ht="15.75" customHeight="1">
      <c r="BC1980" s="169"/>
    </row>
    <row r="1981" spans="55:55" ht="15.75" customHeight="1">
      <c r="BC1981" s="169"/>
    </row>
    <row r="1982" spans="55:55" ht="15.75" customHeight="1">
      <c r="BC1982" s="169"/>
    </row>
    <row r="1983" spans="55:55" ht="15.75" customHeight="1">
      <c r="BC1983" s="169"/>
    </row>
    <row r="1984" spans="55:55" ht="15.75" customHeight="1">
      <c r="BC1984" s="169"/>
    </row>
    <row r="1985" spans="55:55" ht="15.75" customHeight="1">
      <c r="BC1985" s="169"/>
    </row>
    <row r="1986" spans="55:55" ht="15.75" customHeight="1">
      <c r="BC1986" s="169"/>
    </row>
    <row r="1987" spans="55:55" ht="15.75" customHeight="1">
      <c r="BC1987" s="169"/>
    </row>
    <row r="1988" spans="55:55" ht="15.75" customHeight="1">
      <c r="BC1988" s="169"/>
    </row>
    <row r="1989" spans="55:55" ht="15.75" customHeight="1">
      <c r="BC1989" s="169"/>
    </row>
    <row r="1990" spans="55:55" ht="15.75" customHeight="1">
      <c r="BC1990" s="169"/>
    </row>
    <row r="1991" spans="55:55" ht="15.75" customHeight="1">
      <c r="BC1991" s="169"/>
    </row>
    <row r="1992" spans="55:55" ht="15.75" customHeight="1">
      <c r="BC1992" s="169"/>
    </row>
    <row r="1993" spans="55:55" ht="15.75" customHeight="1">
      <c r="BC1993" s="169"/>
    </row>
    <row r="1994" spans="55:55" ht="15.75" customHeight="1">
      <c r="BC1994" s="169"/>
    </row>
    <row r="1995" spans="55:55" ht="15.75" customHeight="1">
      <c r="BC1995" s="169"/>
    </row>
    <row r="1996" spans="55:55" ht="15.75" customHeight="1">
      <c r="BC1996" s="169"/>
    </row>
    <row r="1997" spans="55:55" ht="15.75" customHeight="1">
      <c r="BC1997" s="169"/>
    </row>
    <row r="1998" spans="55:55" ht="15.75" customHeight="1">
      <c r="BC1998" s="169"/>
    </row>
    <row r="1999" spans="55:55" ht="15.75" customHeight="1">
      <c r="BC1999" s="169"/>
    </row>
  </sheetData>
  <autoFilter ref="A2:BG41" xr:uid="{00000000-0009-0000-0000-000015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autoFilter>
  <mergeCells count="10">
    <mergeCell ref="BD1:BG1"/>
    <mergeCell ref="AN2:AP2"/>
    <mergeCell ref="AQ2:AS2"/>
    <mergeCell ref="AT2:AV2"/>
    <mergeCell ref="A1:BB1"/>
    <mergeCell ref="N2:P2"/>
    <mergeCell ref="T2:V2"/>
    <mergeCell ref="W2:Y2"/>
    <mergeCell ref="Z2:AB2"/>
    <mergeCell ref="AC2:AE2"/>
  </mergeCells>
  <conditionalFormatting sqref="BC35:BG41 B10:BA41">
    <cfRule type="expression" dxfId="579" priority="19">
      <formula>$M10="NON DEFINED"</formula>
    </cfRule>
    <cfRule type="expression" dxfId="578" priority="20">
      <formula>$AY10="N.D."</formula>
    </cfRule>
  </conditionalFormatting>
  <conditionalFormatting sqref="BD15:BG15 BD19 BD21 BD23:BG23 BD25 BD27 BD29:BE29 BD31:BE31 BE33 BG11 BG33 BD17 BD11:BE11 BF17 BF21 BF19 BF25 BF27 BD13:BG13">
    <cfRule type="containsBlanks" dxfId="577" priority="18">
      <formula>LEN(TRIM(BD11))=0</formula>
    </cfRule>
  </conditionalFormatting>
  <conditionalFormatting sqref="BC10:BC34 BC42:BC1999">
    <cfRule type="containsText" dxfId="576" priority="16" operator="containsText" text="a">
      <formula>NOT(ISERROR(SEARCH("a",BC10)))</formula>
    </cfRule>
    <cfRule type="containsText" dxfId="575" priority="17" operator="containsText" text="R">
      <formula>NOT(ISERROR(SEARCH("R",BC10)))</formula>
    </cfRule>
  </conditionalFormatting>
  <conditionalFormatting sqref="BA10:BA41">
    <cfRule type="expression" dxfId="574" priority="15">
      <formula>$BC10="R"</formula>
    </cfRule>
  </conditionalFormatting>
  <conditionalFormatting sqref="BA4:BA9">
    <cfRule type="expression" dxfId="573" priority="14">
      <formula>$BC4="R"</formula>
    </cfRule>
  </conditionalFormatting>
  <conditionalFormatting sqref="A4:BG9">
    <cfRule type="cellIs" dxfId="572" priority="11" operator="equal">
      <formula>0</formula>
    </cfRule>
  </conditionalFormatting>
  <conditionalFormatting sqref="B4:BA9 BC4:BG9">
    <cfRule type="expression" dxfId="571" priority="12">
      <formula>$M4="NON DEFINED"</formula>
    </cfRule>
    <cfRule type="expression" dxfId="570" priority="13">
      <formula>$AY4="N.D."</formula>
    </cfRule>
  </conditionalFormatting>
  <conditionalFormatting sqref="A35:BG41">
    <cfRule type="cellIs" dxfId="569" priority="7" operator="equal">
      <formula>0</formula>
    </cfRule>
  </conditionalFormatting>
  <conditionalFormatting sqref="AN4:AN41">
    <cfRule type="cellIs" dxfId="568" priority="6" operator="notEqual">
      <formula>5.5</formula>
    </cfRule>
  </conditionalFormatting>
  <conditionalFormatting sqref="BE17 BE19 BE21">
    <cfRule type="containsBlanks" dxfId="567" priority="5">
      <formula>LEN(TRIM(BE17))=0</formula>
    </cfRule>
  </conditionalFormatting>
  <conditionalFormatting sqref="BE25">
    <cfRule type="containsBlanks" dxfId="566" priority="4">
      <formula>LEN(TRIM(BE25))=0</formula>
    </cfRule>
  </conditionalFormatting>
  <conditionalFormatting sqref="BE27">
    <cfRule type="containsBlanks" dxfId="565" priority="3">
      <formula>LEN(TRIM(BE27))=0</formula>
    </cfRule>
  </conditionalFormatting>
  <conditionalFormatting sqref="BG17 BG19 BG21">
    <cfRule type="containsBlanks" dxfId="564" priority="2">
      <formula>LEN(TRIM(BG17))=0</formula>
    </cfRule>
  </conditionalFormatting>
  <conditionalFormatting sqref="BG25 BG27 BG29 BG31">
    <cfRule type="containsBlanks" dxfId="563" priority="1">
      <formula>LEN(TRIM(BG25))=0</formula>
    </cfRule>
  </conditionalFormatting>
  <printOptions horizontalCentered="1" gridLines="1"/>
  <pageMargins left="0.39370078740157483" right="0.39370078740157483" top="0.78740157480314965" bottom="0.78740157480314965" header="0.31496062992125984" footer="0.31496062992125984"/>
  <pageSetup paperSize="8" scale="66" fitToHeight="0" orientation="landscape" r:id="rId1"/>
  <headerFooter alignWithMargins="0">
    <oddHeader>&amp;L&amp;G&amp;C
LAYOUT AND EQUIPMENT
EP06 TRACK 53 HER-TSA
KP93+400 - 97+400&amp;R&amp;G</oddHeader>
    <oddFooter>&amp;L&amp;G
&amp;F&amp;C&amp;D&amp;RPag &amp;P of &amp;N</oddFooter>
  </headerFooter>
  <legacyDrawingHF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27">
    <tabColor theme="4"/>
    <pageSetUpPr fitToPage="1"/>
  </sheetPr>
  <dimension ref="A1:BG2165"/>
  <sheetViews>
    <sheetView view="pageBreakPreview" zoomScale="80" zoomScaleNormal="85" zoomScaleSheetLayoutView="80" workbookViewId="0">
      <pane xSplit="2" ySplit="4" topLeftCell="C5" activePane="bottomRight" state="frozen"/>
      <selection activeCell="G124" sqref="G124"/>
      <selection pane="topRight" activeCell="G124" sqref="G124"/>
      <selection pane="bottomLeft" activeCell="G124" sqref="G124"/>
      <selection pane="bottomRight" activeCell="G124" sqref="G124"/>
    </sheetView>
  </sheetViews>
  <sheetFormatPr baseColWidth="10" defaultColWidth="11.453125" defaultRowHeight="15.75" customHeight="1"/>
  <cols>
    <col min="1" max="1" width="20.6328125" style="178" customWidth="1"/>
    <col min="2" max="2" width="12.6328125" style="178" customWidth="1"/>
    <col min="3" max="3" width="12.6328125" style="184" customWidth="1"/>
    <col min="4" max="5" width="12.6328125" style="178" hidden="1" customWidth="1"/>
    <col min="6" max="6" width="12.6328125" style="178" customWidth="1"/>
    <col min="7" max="7" width="12.6328125" style="454" customWidth="1"/>
    <col min="8" max="8" width="18.6328125" style="178" customWidth="1"/>
    <col min="9" max="9" width="12.6328125" style="178" customWidth="1"/>
    <col min="10" max="10" width="12.6328125" style="184" customWidth="1"/>
    <col min="11" max="11" width="12.6328125" style="178" customWidth="1"/>
    <col min="12" max="13" width="14.6328125" style="178" customWidth="1"/>
    <col min="14" max="16" width="8.6328125" style="178" hidden="1" customWidth="1"/>
    <col min="17" max="19" width="12.6328125" style="178" hidden="1" customWidth="1"/>
    <col min="20" max="28" width="8.6328125" style="178" hidden="1" customWidth="1"/>
    <col min="29" max="31" width="10.6328125" style="178" hidden="1" customWidth="1"/>
    <col min="32" max="32" width="13.54296875" style="178" hidden="1" customWidth="1"/>
    <col min="33" max="33" width="12.6328125" style="184" hidden="1" customWidth="1"/>
    <col min="34" max="36" width="12.6328125" style="178" hidden="1" customWidth="1"/>
    <col min="37" max="39" width="12.6328125" style="178" customWidth="1"/>
    <col min="40" max="42" width="8.6328125" style="169" hidden="1" customWidth="1"/>
    <col min="43" max="46" width="8.6328125" style="458" hidden="1" customWidth="1"/>
    <col min="47" max="48" width="8.6328125" style="169" hidden="1" customWidth="1"/>
    <col min="49" max="50" width="12.6328125" style="169" customWidth="1"/>
    <col min="51" max="52" width="12.6328125" style="458" customWidth="1"/>
    <col min="53" max="53" width="12.6328125" style="169" customWidth="1"/>
    <col min="54" max="54" width="21.6328125" style="178" hidden="1" customWidth="1"/>
    <col min="55" max="55" width="18" style="178" customWidth="1"/>
    <col min="56" max="59" width="14.54296875" style="1323" customWidth="1"/>
    <col min="60" max="60" width="11.453125" style="178" customWidth="1"/>
    <col min="61" max="16384" width="11.453125" style="178"/>
  </cols>
  <sheetData>
    <row r="1" spans="1:59" ht="35.25" customHeight="1">
      <c r="A1" s="1615" t="s">
        <v>2427</v>
      </c>
      <c r="B1" s="1615"/>
      <c r="C1" s="1615"/>
      <c r="D1" s="1615"/>
      <c r="E1" s="1615"/>
      <c r="F1" s="1615"/>
      <c r="G1" s="1615"/>
      <c r="H1" s="1615"/>
      <c r="I1" s="1615"/>
      <c r="J1" s="1615"/>
      <c r="K1" s="1615"/>
      <c r="L1" s="1615"/>
      <c r="M1" s="1615"/>
      <c r="N1" s="1615"/>
      <c r="O1" s="1615"/>
      <c r="P1" s="1615"/>
      <c r="Q1" s="1615"/>
      <c r="R1" s="1615"/>
      <c r="S1" s="1615"/>
      <c r="T1" s="1615"/>
      <c r="U1" s="1615"/>
      <c r="V1" s="1615"/>
      <c r="W1" s="1615"/>
      <c r="X1" s="1615"/>
      <c r="Y1" s="1615"/>
      <c r="Z1" s="1615"/>
      <c r="AA1" s="1615"/>
      <c r="AB1" s="1615"/>
      <c r="AC1" s="1615"/>
      <c r="AD1" s="1615"/>
      <c r="AE1" s="1615"/>
      <c r="AF1" s="1615"/>
      <c r="AG1" s="1615"/>
      <c r="AH1" s="1615"/>
      <c r="AI1" s="1615"/>
      <c r="AJ1" s="1615"/>
      <c r="AK1" s="1615"/>
      <c r="AL1" s="1615"/>
      <c r="AM1" s="1615"/>
      <c r="AN1" s="1615"/>
      <c r="AO1" s="1615"/>
      <c r="AP1" s="1615"/>
      <c r="AQ1" s="1615"/>
      <c r="AR1" s="1615"/>
      <c r="AS1" s="1615"/>
      <c r="AT1" s="1615"/>
      <c r="AU1" s="1615"/>
      <c r="AV1" s="1615"/>
      <c r="AW1" s="1615"/>
      <c r="AX1" s="1615"/>
      <c r="AY1" s="1615"/>
      <c r="AZ1" s="1615"/>
      <c r="BA1" s="1615"/>
      <c r="BB1" s="1615"/>
      <c r="BC1" s="693" t="s">
        <v>4947</v>
      </c>
      <c r="BD1" s="1599" t="s">
        <v>4916</v>
      </c>
      <c r="BE1" s="1599"/>
      <c r="BF1" s="1599"/>
      <c r="BG1" s="1599"/>
    </row>
    <row r="2" spans="1:59" s="699" customFormat="1" ht="42" customHeight="1">
      <c r="A2" s="1259" t="s">
        <v>4417</v>
      </c>
      <c r="B2" s="1259" t="s">
        <v>4418</v>
      </c>
      <c r="C2" s="954" t="s">
        <v>2315</v>
      </c>
      <c r="D2" s="1259" t="s">
        <v>4419</v>
      </c>
      <c r="E2" s="1259" t="s">
        <v>4855</v>
      </c>
      <c r="F2" s="1259" t="s">
        <v>4856</v>
      </c>
      <c r="G2" s="1259" t="s">
        <v>4857</v>
      </c>
      <c r="H2" s="1259" t="s">
        <v>455</v>
      </c>
      <c r="I2" s="1259" t="s">
        <v>454</v>
      </c>
      <c r="J2" s="1259" t="s">
        <v>4423</v>
      </c>
      <c r="K2" s="1259" t="s">
        <v>1362</v>
      </c>
      <c r="L2" s="1259" t="s">
        <v>456</v>
      </c>
      <c r="M2" s="1259" t="s">
        <v>453</v>
      </c>
      <c r="N2" s="1613" t="s">
        <v>457</v>
      </c>
      <c r="O2" s="1613"/>
      <c r="P2" s="1613"/>
      <c r="Q2" s="1259" t="s">
        <v>4858</v>
      </c>
      <c r="R2" s="1259" t="s">
        <v>4859</v>
      </c>
      <c r="S2" s="1259" t="s">
        <v>4860</v>
      </c>
      <c r="T2" s="1613" t="s">
        <v>4861</v>
      </c>
      <c r="U2" s="1613"/>
      <c r="V2" s="1613"/>
      <c r="W2" s="1613" t="s">
        <v>4862</v>
      </c>
      <c r="X2" s="1613"/>
      <c r="Y2" s="1613"/>
      <c r="Z2" s="1613" t="s">
        <v>4863</v>
      </c>
      <c r="AA2" s="1613"/>
      <c r="AB2" s="1613"/>
      <c r="AC2" s="1613" t="s">
        <v>628</v>
      </c>
      <c r="AD2" s="1613"/>
      <c r="AE2" s="1613"/>
      <c r="AF2" s="1259" t="s">
        <v>4872</v>
      </c>
      <c r="AG2" s="954" t="s">
        <v>4864</v>
      </c>
      <c r="AH2" s="1259" t="s">
        <v>4865</v>
      </c>
      <c r="AI2" s="1259" t="s">
        <v>4866</v>
      </c>
      <c r="AJ2" s="1259" t="s">
        <v>629</v>
      </c>
      <c r="AK2" s="1259" t="s">
        <v>458</v>
      </c>
      <c r="AL2" s="1259" t="s">
        <v>459</v>
      </c>
      <c r="AM2" s="1259" t="s">
        <v>631</v>
      </c>
      <c r="AN2" s="1613" t="s">
        <v>4867</v>
      </c>
      <c r="AO2" s="1613"/>
      <c r="AP2" s="1613"/>
      <c r="AQ2" s="1614" t="s">
        <v>460</v>
      </c>
      <c r="AR2" s="1614"/>
      <c r="AS2" s="1614"/>
      <c r="AT2" s="1613" t="s">
        <v>630</v>
      </c>
      <c r="AU2" s="1613"/>
      <c r="AV2" s="1613"/>
      <c r="AW2" s="1259" t="s">
        <v>4868</v>
      </c>
      <c r="AX2" s="1259" t="s">
        <v>4904</v>
      </c>
      <c r="AY2" s="1260" t="s">
        <v>4869</v>
      </c>
      <c r="AZ2" s="1260" t="s">
        <v>4870</v>
      </c>
      <c r="BA2" s="1259" t="s">
        <v>1670</v>
      </c>
      <c r="BB2" s="1259" t="s">
        <v>4871</v>
      </c>
      <c r="BC2" s="693" t="s">
        <v>4948</v>
      </c>
      <c r="BD2" s="1320" t="s">
        <v>453</v>
      </c>
      <c r="BE2" s="1320" t="s">
        <v>4922</v>
      </c>
      <c r="BF2" s="1320" t="s">
        <v>4915</v>
      </c>
      <c r="BG2" s="1320" t="s">
        <v>457</v>
      </c>
    </row>
    <row r="3" spans="1:59" ht="15.75" customHeight="1">
      <c r="A3" s="1239"/>
      <c r="B3" s="1239"/>
      <c r="C3" s="171"/>
      <c r="D3" s="1239"/>
      <c r="E3" s="1239"/>
      <c r="F3" s="172"/>
      <c r="G3" s="1239"/>
      <c r="H3" s="1239"/>
      <c r="I3" s="1239"/>
      <c r="J3" s="171"/>
      <c r="K3" s="1239"/>
      <c r="L3" s="1239"/>
      <c r="M3" s="1239"/>
      <c r="N3" s="694" t="s">
        <v>123</v>
      </c>
      <c r="O3" s="694" t="s">
        <v>124</v>
      </c>
      <c r="P3" s="694" t="s">
        <v>125</v>
      </c>
      <c r="Q3" s="1239"/>
      <c r="R3" s="1239"/>
      <c r="S3" s="1239"/>
      <c r="T3" s="695" t="s">
        <v>126</v>
      </c>
      <c r="U3" s="695" t="s">
        <v>127</v>
      </c>
      <c r="V3" s="695" t="s">
        <v>128</v>
      </c>
      <c r="W3" s="695" t="s">
        <v>129</v>
      </c>
      <c r="X3" s="695" t="s">
        <v>130</v>
      </c>
      <c r="Y3" s="695" t="s">
        <v>131</v>
      </c>
      <c r="Z3" s="695" t="s">
        <v>132</v>
      </c>
      <c r="AA3" s="695" t="s">
        <v>133</v>
      </c>
      <c r="AB3" s="695" t="s">
        <v>134</v>
      </c>
      <c r="AC3" s="695" t="s">
        <v>135</v>
      </c>
      <c r="AD3" s="695" t="s">
        <v>136</v>
      </c>
      <c r="AE3" s="695" t="s">
        <v>137</v>
      </c>
      <c r="AF3" s="1239"/>
      <c r="AG3" s="171"/>
      <c r="AH3" s="1239"/>
      <c r="AI3" s="1239"/>
      <c r="AJ3" s="1239"/>
      <c r="AK3" s="1239"/>
      <c r="AL3" s="1239"/>
      <c r="AM3" s="1239"/>
      <c r="AN3" s="695" t="s">
        <v>129</v>
      </c>
      <c r="AO3" s="695" t="s">
        <v>130</v>
      </c>
      <c r="AP3" s="695" t="s">
        <v>131</v>
      </c>
      <c r="AQ3" s="696" t="s">
        <v>613</v>
      </c>
      <c r="AR3" s="696" t="s">
        <v>614</v>
      </c>
      <c r="AS3" s="696" t="s">
        <v>615</v>
      </c>
      <c r="AT3" s="696" t="s">
        <v>616</v>
      </c>
      <c r="AU3" s="695" t="s">
        <v>617</v>
      </c>
      <c r="AV3" s="695" t="s">
        <v>618</v>
      </c>
      <c r="AW3" s="1239"/>
      <c r="AX3" s="1239"/>
      <c r="AY3" s="455"/>
      <c r="AZ3" s="455"/>
      <c r="BA3" s="1239"/>
      <c r="BB3" s="1239"/>
      <c r="BD3" s="1239"/>
      <c r="BE3" s="1239"/>
      <c r="BF3" s="1239"/>
      <c r="BG3" s="1239"/>
    </row>
    <row r="4" spans="1:59" ht="15.75" customHeight="1">
      <c r="A4" s="501">
        <f>'HR Track 1 HER-TSA'!A337</f>
        <v>0</v>
      </c>
      <c r="B4" s="716">
        <f>'HR Track 1 HER-TSA'!B337</f>
        <v>0</v>
      </c>
      <c r="C4" s="451">
        <f>'HR Track 1 HER-TSA'!C337</f>
        <v>0</v>
      </c>
      <c r="D4" s="453">
        <f>'HR Track 1 HER-TSA'!D337</f>
        <v>0</v>
      </c>
      <c r="E4" s="452">
        <f>'HR Track 1 HER-TSA'!E337</f>
        <v>0</v>
      </c>
      <c r="F4" s="453">
        <f>'HR Track 1 HER-TSA'!F337</f>
        <v>0</v>
      </c>
      <c r="G4" s="500">
        <f>'HR Track 1 HER-TSA'!G337</f>
        <v>46.8</v>
      </c>
      <c r="H4" s="453">
        <f>'HR Track 1 HER-TSA'!H337</f>
        <v>0</v>
      </c>
      <c r="I4" s="501">
        <f>'HR Track 1 HER-TSA'!I337</f>
        <v>0</v>
      </c>
      <c r="J4" s="583">
        <f>'HR Track 1 HER-TSA'!J337</f>
        <v>92607.550000000017</v>
      </c>
      <c r="K4" s="452" t="str">
        <f>'HR Track 1 HER-TSA'!K337</f>
        <v>AnMC-R</v>
      </c>
      <c r="L4" s="452">
        <f>'HR Track 1 HER-TSA'!L337</f>
        <v>0</v>
      </c>
      <c r="M4" s="452">
        <f>'HR Track 1 HER-TSA'!M337</f>
        <v>0</v>
      </c>
      <c r="N4" s="501">
        <f>'HR Track 1 HER-TSA'!N337</f>
        <v>0</v>
      </c>
      <c r="O4" s="501">
        <f>'HR Track 1 HER-TSA'!O337</f>
        <v>0</v>
      </c>
      <c r="P4" s="501">
        <f>'HR Track 1 HER-TSA'!P337</f>
        <v>0</v>
      </c>
      <c r="Q4" s="452">
        <f>'HR Track 1 HER-TSA'!Q337</f>
        <v>0</v>
      </c>
      <c r="R4" s="452">
        <f>'HR Track 1 HER-TSA'!R337</f>
        <v>0</v>
      </c>
      <c r="S4" s="500">
        <f>'HR Track 1 HER-TSA'!S337</f>
        <v>46.55000000000291</v>
      </c>
      <c r="T4" s="452">
        <f>'HR Track 1 HER-TSA'!T337</f>
        <v>0</v>
      </c>
      <c r="U4" s="452">
        <f>'HR Track 1 HER-TSA'!U337</f>
        <v>0</v>
      </c>
      <c r="V4" s="452">
        <f>'HR Track 1 HER-TSA'!V337</f>
        <v>0</v>
      </c>
      <c r="W4" s="452">
        <f>'HR Track 1 HER-TSA'!W337</f>
        <v>0</v>
      </c>
      <c r="X4" s="452">
        <f>'HR Track 1 HER-TSA'!X337</f>
        <v>0</v>
      </c>
      <c r="Y4" s="452">
        <f>'HR Track 1 HER-TSA'!Y337</f>
        <v>0</v>
      </c>
      <c r="Z4" s="452">
        <f>'HR Track 1 HER-TSA'!Z337</f>
        <v>0</v>
      </c>
      <c r="AA4" s="452">
        <f>'HR Track 1 HER-TSA'!AA337</f>
        <v>0</v>
      </c>
      <c r="AB4" s="452">
        <f>'HR Track 1 HER-TSA'!AB337</f>
        <v>0</v>
      </c>
      <c r="AC4" s="452">
        <f>'HR Track 1 HER-TSA'!AC337</f>
        <v>0</v>
      </c>
      <c r="AD4" s="452">
        <f>'HR Track 1 HER-TSA'!AD337</f>
        <v>0</v>
      </c>
      <c r="AE4" s="452">
        <f>'HR Track 1 HER-TSA'!AE337</f>
        <v>0</v>
      </c>
      <c r="AF4" s="452">
        <f>'HR Track 1 HER-TSA'!AF337</f>
        <v>0</v>
      </c>
      <c r="AG4" s="451">
        <f>'HR Track 1 HER-TSA'!AG337</f>
        <v>0</v>
      </c>
      <c r="AH4" s="452">
        <f>'HR Track 1 HER-TSA'!AH337</f>
        <v>0</v>
      </c>
      <c r="AI4" s="452">
        <f>'HR Track 1 HER-TSA'!AI337</f>
        <v>0</v>
      </c>
      <c r="AJ4" s="452">
        <f>'HR Track 1 HER-TSA'!AJ337</f>
        <v>0</v>
      </c>
      <c r="AK4" s="452">
        <f>'HR Track 1 HER-TSA'!AK337</f>
        <v>0</v>
      </c>
      <c r="AL4" s="452">
        <f>'HR Track 1 HER-TSA'!AL337</f>
        <v>0</v>
      </c>
      <c r="AM4" s="452">
        <f>'HR Track 1 HER-TSA'!AM337</f>
        <v>0</v>
      </c>
      <c r="AN4" s="500">
        <f>'HR Track 1 HER-TSA'!AN337</f>
        <v>0</v>
      </c>
      <c r="AO4" s="452">
        <f>'HR Track 1 HER-TSA'!AO337</f>
        <v>0</v>
      </c>
      <c r="AP4" s="452">
        <f>'HR Track 1 HER-TSA'!AP337</f>
        <v>0</v>
      </c>
      <c r="AQ4" s="452">
        <f>'HR Track 1 HER-TSA'!AQ337</f>
        <v>0.30000972354314592</v>
      </c>
      <c r="AR4" s="452">
        <f>'HR Track 1 HER-TSA'!AR337</f>
        <v>0</v>
      </c>
      <c r="AS4" s="452">
        <f>'HR Track 1 HER-TSA'!AS337</f>
        <v>0</v>
      </c>
      <c r="AT4" s="452">
        <f>'HR Track 1 HER-TSA'!AT337</f>
        <v>0</v>
      </c>
      <c r="AU4" s="452">
        <f>'HR Track 1 HER-TSA'!AU337</f>
        <v>0</v>
      </c>
      <c r="AV4" s="452">
        <f>'HR Track 1 HER-TSA'!AV337</f>
        <v>0</v>
      </c>
      <c r="AW4" s="452" t="str">
        <f>'HR Track 1 HER-TSA'!AW337</f>
        <v>Soil B</v>
      </c>
      <c r="AX4" s="452" t="str">
        <f>'HR Track 1 HER-TSA'!AX337</f>
        <v>PT</v>
      </c>
      <c r="AY4" s="500">
        <f>'HR Track 1 HER-TSA'!AY337</f>
        <v>0</v>
      </c>
      <c r="AZ4" s="500">
        <f>'HR Track 1 HER-TSA'!AZ337</f>
        <v>3.9</v>
      </c>
      <c r="BA4" s="1333" t="str">
        <f>'HR Track 1 HER-TSA'!BA337</f>
        <v>ü</v>
      </c>
      <c r="BB4" s="452">
        <f>'HR Track 1 HER-TSA'!BB337</f>
        <v>0</v>
      </c>
      <c r="BC4" s="1334">
        <f>'HR Track 1 HER-TSA'!BC337</f>
        <v>0</v>
      </c>
      <c r="BD4" s="1335">
        <f>'HR Track 1 HER-TSA'!BD337</f>
        <v>43764</v>
      </c>
      <c r="BE4" s="1335">
        <f>'HR Track 1 HER-TSA'!BE337</f>
        <v>0</v>
      </c>
      <c r="BF4" s="1335">
        <f>'HR Track 1 HER-TSA'!BF337</f>
        <v>0</v>
      </c>
      <c r="BG4" s="1335">
        <f>'HR Track 1 HER-TSA'!BG337</f>
        <v>0</v>
      </c>
    </row>
    <row r="5" spans="1:59" ht="15.75" customHeight="1">
      <c r="A5" s="501">
        <f>'HR Track 1 HER-TSA'!A338</f>
        <v>0</v>
      </c>
      <c r="B5" s="716" t="str">
        <f>'HR Track 1 HER-TSA'!B338</f>
        <v>92-1.19</v>
      </c>
      <c r="C5" s="451">
        <f>'HR Track 1 HER-TSA'!C338</f>
        <v>92615.050000000017</v>
      </c>
      <c r="D5" s="453">
        <f>'HR Track 1 HER-TSA'!D338</f>
        <v>0</v>
      </c>
      <c r="E5" s="452">
        <f>'HR Track 1 HER-TSA'!E338</f>
        <v>0</v>
      </c>
      <c r="F5" s="453">
        <f>'HR Track 1 HER-TSA'!F338</f>
        <v>1300</v>
      </c>
      <c r="G5" s="500">
        <f>'HR Track 1 HER-TSA'!G338</f>
        <v>0</v>
      </c>
      <c r="H5" s="453" t="str">
        <f>'HR Track 1 HER-TSA'!H338</f>
        <v>A/S S/A</v>
      </c>
      <c r="I5" s="501" t="str">
        <f>'HR Track 1 HER-TSA'!I338</f>
        <v>CP+AnMC</v>
      </c>
      <c r="J5" s="583">
        <f>'HR Track 1 HER-TSA'!J338</f>
        <v>0</v>
      </c>
      <c r="K5" s="452">
        <f>'HR Track 1 HER-TSA'!K338</f>
        <v>0</v>
      </c>
      <c r="L5" s="452" t="str">
        <f>'HR Track 1 HER-TSA'!L338</f>
        <v>HEB-320L</v>
      </c>
      <c r="M5" s="452" t="str">
        <f>'HR Track 1 HER-TSA'!M338</f>
        <v>C7R</v>
      </c>
      <c r="N5" s="501" t="str">
        <f>'HR Track 1 HER-TSA'!N338</f>
        <v>EMT-T</v>
      </c>
      <c r="O5" s="501" t="str">
        <f>'HR Track 1 HER-TSA'!O338</f>
        <v>EMT-2</v>
      </c>
      <c r="P5" s="501">
        <f>'HR Track 1 HER-TSA'!P338</f>
        <v>0</v>
      </c>
      <c r="Q5" s="452">
        <f>'HR Track 1 HER-TSA'!Q338</f>
        <v>30</v>
      </c>
      <c r="R5" s="452">
        <f>'HR Track 1 HER-TSA'!R338</f>
        <v>1319.5</v>
      </c>
      <c r="S5" s="500">
        <f>'HR Track 1 HER-TSA'!S338</f>
        <v>0</v>
      </c>
      <c r="T5" s="452">
        <f>'HR Track 1 HER-TSA'!T338</f>
        <v>55</v>
      </c>
      <c r="U5" s="452">
        <f>'HR Track 1 HER-TSA'!U338</f>
        <v>25</v>
      </c>
      <c r="V5" s="452">
        <f>'HR Track 1 HER-TSA'!V338</f>
        <v>0</v>
      </c>
      <c r="W5" s="452">
        <f>'HR Track 1 HER-TSA'!W338</f>
        <v>1</v>
      </c>
      <c r="X5" s="452">
        <f>'HR Track 1 HER-TSA'!X338</f>
        <v>1.9</v>
      </c>
      <c r="Y5" s="452">
        <f>'HR Track 1 HER-TSA'!Y338</f>
        <v>0</v>
      </c>
      <c r="Z5" s="452">
        <f>'HR Track 1 HER-TSA'!Z338</f>
        <v>0.45</v>
      </c>
      <c r="AA5" s="452">
        <f>'HR Track 1 HER-TSA'!AA338</f>
        <v>0</v>
      </c>
      <c r="AB5" s="452">
        <f>'HR Track 1 HER-TSA'!AB338</f>
        <v>0</v>
      </c>
      <c r="AC5" s="452" t="str">
        <f>'HR Track 1 HER-TSA'!AC338</f>
        <v>PHQ-1150</v>
      </c>
      <c r="AD5" s="452">
        <f>'HR Track 1 HER-TSA'!AD338</f>
        <v>0</v>
      </c>
      <c r="AE5" s="452">
        <f>'HR Track 1 HER-TSA'!AE338</f>
        <v>0</v>
      </c>
      <c r="AF5" s="452">
        <f>'HR Track 1 HER-TSA'!AF338</f>
        <v>5900</v>
      </c>
      <c r="AG5" s="451">
        <f>'HR Track 1 HER-TSA'!AG338</f>
        <v>92614.94</v>
      </c>
      <c r="AH5" s="452">
        <f>'HR Track 1 HER-TSA'!AH338</f>
        <v>2113</v>
      </c>
      <c r="AI5" s="452">
        <f>'HR Track 1 HER-TSA'!AI338</f>
        <v>320</v>
      </c>
      <c r="AJ5" s="452">
        <f>'HR Track 1 HER-TSA'!AJ338</f>
        <v>0</v>
      </c>
      <c r="AK5" s="452">
        <f>'HR Track 1 HER-TSA'!AK338</f>
        <v>0</v>
      </c>
      <c r="AL5" s="452" t="str">
        <f>'HR Track 1 HER-TSA'!AL338</f>
        <v>PR1D</v>
      </c>
      <c r="AM5" s="452" t="str">
        <f>'HR Track 1 HER-TSA'!AM338</f>
        <v>RW1</v>
      </c>
      <c r="AN5" s="500">
        <f>'HR Track 1 HER-TSA'!AN338</f>
        <v>5.32</v>
      </c>
      <c r="AO5" s="452">
        <f>'HR Track 1 HER-TSA'!AO338</f>
        <v>0</v>
      </c>
      <c r="AP5" s="452">
        <f>'HR Track 1 HER-TSA'!AP338</f>
        <v>0</v>
      </c>
      <c r="AQ5" s="452">
        <f>'HR Track 1 HER-TSA'!AQ338</f>
        <v>0</v>
      </c>
      <c r="AR5" s="452">
        <f>'HR Track 1 HER-TSA'!AR338</f>
        <v>0</v>
      </c>
      <c r="AS5" s="452">
        <f>'HR Track 1 HER-TSA'!AS338</f>
        <v>0</v>
      </c>
      <c r="AT5" s="452">
        <f>'HR Track 1 HER-TSA'!AT338</f>
        <v>4.766889892878214</v>
      </c>
      <c r="AU5" s="452">
        <f>'HR Track 1 HER-TSA'!AU338</f>
        <v>0</v>
      </c>
      <c r="AV5" s="452">
        <f>'HR Track 1 HER-TSA'!AV338</f>
        <v>0</v>
      </c>
      <c r="AW5" s="452" t="str">
        <f>'HR Track 1 HER-TSA'!AW338</f>
        <v>Soil B</v>
      </c>
      <c r="AX5" s="452" t="str">
        <f>'HR Track 1 HER-TSA'!AX338</f>
        <v>PT</v>
      </c>
      <c r="AY5" s="500">
        <f>'HR Track 1 HER-TSA'!AY338</f>
        <v>3.5</v>
      </c>
      <c r="AZ5" s="500">
        <f>'HR Track 1 HER-TSA'!AZ338</f>
        <v>0</v>
      </c>
      <c r="BA5" s="1333" t="str">
        <f>'HR Track 1 HER-TSA'!BA338</f>
        <v>ü</v>
      </c>
      <c r="BB5" s="452" t="str">
        <f>'HR Track 1 HER-TSA'!BB338</f>
        <v>App.8-V08F-P10.3</v>
      </c>
      <c r="BC5" s="1334">
        <f>'HR Track 1 HER-TSA'!BC338</f>
        <v>0</v>
      </c>
      <c r="BD5" s="1335">
        <f>'HR Track 1 HER-TSA'!BD338</f>
        <v>43764</v>
      </c>
      <c r="BE5" s="1335" t="str">
        <f>'HR Track 1 HER-TSA'!BE338</f>
        <v>Ejecutado</v>
      </c>
      <c r="BF5" s="1335">
        <f>'HR Track 1 HER-TSA'!BF338</f>
        <v>0</v>
      </c>
      <c r="BG5" s="1335">
        <f>'HR Track 1 HER-TSA'!BG338</f>
        <v>43814</v>
      </c>
    </row>
    <row r="6" spans="1:59" ht="15.75" customHeight="1">
      <c r="A6" s="501">
        <f>'HR Track 1 HER-TSA'!A339</f>
        <v>0</v>
      </c>
      <c r="B6" s="716">
        <f>'HR Track 1 HER-TSA'!B339</f>
        <v>0</v>
      </c>
      <c r="C6" s="451">
        <f>'HR Track 1 HER-TSA'!C339</f>
        <v>0</v>
      </c>
      <c r="D6" s="453">
        <f>'HR Track 1 HER-TSA'!D339</f>
        <v>0</v>
      </c>
      <c r="E6" s="452">
        <f>'HR Track 1 HER-TSA'!E339</f>
        <v>0</v>
      </c>
      <c r="F6" s="453">
        <f>'HR Track 1 HER-TSA'!F339</f>
        <v>0</v>
      </c>
      <c r="G6" s="500">
        <f>'HR Track 1 HER-TSA'!G339</f>
        <v>50</v>
      </c>
      <c r="H6" s="453">
        <f>'HR Track 1 HER-TSA'!H339</f>
        <v>0</v>
      </c>
      <c r="I6" s="501">
        <f>'HR Track 1 HER-TSA'!I339</f>
        <v>0</v>
      </c>
      <c r="J6" s="583">
        <f>'HR Track 1 HER-TSA'!J339</f>
        <v>92657.550000000017</v>
      </c>
      <c r="K6" s="452" t="str">
        <f>'HR Track 1 HER-TSA'!K339</f>
        <v>AnM-R</v>
      </c>
      <c r="L6" s="452">
        <f>'HR Track 1 HER-TSA'!L339</f>
        <v>0</v>
      </c>
      <c r="M6" s="452">
        <f>'HR Track 1 HER-TSA'!M339</f>
        <v>0</v>
      </c>
      <c r="N6" s="501">
        <f>'HR Track 1 HER-TSA'!N339</f>
        <v>0</v>
      </c>
      <c r="O6" s="501">
        <f>'HR Track 1 HER-TSA'!O339</f>
        <v>0</v>
      </c>
      <c r="P6" s="501">
        <f>'HR Track 1 HER-TSA'!P339</f>
        <v>0</v>
      </c>
      <c r="Q6" s="452">
        <f>'HR Track 1 HER-TSA'!Q339</f>
        <v>0</v>
      </c>
      <c r="R6" s="452">
        <f>'HR Track 1 HER-TSA'!R339</f>
        <v>0</v>
      </c>
      <c r="S6" s="500">
        <f>'HR Track 1 HER-TSA'!S339</f>
        <v>50.059999999997672</v>
      </c>
      <c r="T6" s="452">
        <f>'HR Track 1 HER-TSA'!T339</f>
        <v>0</v>
      </c>
      <c r="U6" s="452">
        <f>'HR Track 1 HER-TSA'!U339</f>
        <v>0</v>
      </c>
      <c r="V6" s="452">
        <f>'HR Track 1 HER-TSA'!V339</f>
        <v>0</v>
      </c>
      <c r="W6" s="452">
        <f>'HR Track 1 HER-TSA'!W339</f>
        <v>0</v>
      </c>
      <c r="X6" s="452">
        <f>'HR Track 1 HER-TSA'!X339</f>
        <v>0</v>
      </c>
      <c r="Y6" s="452">
        <f>'HR Track 1 HER-TSA'!Y339</f>
        <v>0</v>
      </c>
      <c r="Z6" s="452">
        <f>'HR Track 1 HER-TSA'!Z339</f>
        <v>0</v>
      </c>
      <c r="AA6" s="452">
        <f>'HR Track 1 HER-TSA'!AA339</f>
        <v>0</v>
      </c>
      <c r="AB6" s="452">
        <f>'HR Track 1 HER-TSA'!AB339</f>
        <v>0</v>
      </c>
      <c r="AC6" s="452">
        <f>'HR Track 1 HER-TSA'!AC339</f>
        <v>0</v>
      </c>
      <c r="AD6" s="452">
        <f>'HR Track 1 HER-TSA'!AD339</f>
        <v>0</v>
      </c>
      <c r="AE6" s="452">
        <f>'HR Track 1 HER-TSA'!AE339</f>
        <v>0</v>
      </c>
      <c r="AF6" s="452">
        <f>'HR Track 1 HER-TSA'!AF339</f>
        <v>0</v>
      </c>
      <c r="AG6" s="451">
        <f>'HR Track 1 HER-TSA'!AG339</f>
        <v>0</v>
      </c>
      <c r="AH6" s="452">
        <f>'HR Track 1 HER-TSA'!AH339</f>
        <v>0</v>
      </c>
      <c r="AI6" s="452">
        <f>'HR Track 1 HER-TSA'!AI339</f>
        <v>0</v>
      </c>
      <c r="AJ6" s="452">
        <f>'HR Track 1 HER-TSA'!AJ339</f>
        <v>0</v>
      </c>
      <c r="AK6" s="452">
        <f>'HR Track 1 HER-TSA'!AK339</f>
        <v>0</v>
      </c>
      <c r="AL6" s="452">
        <f>'HR Track 1 HER-TSA'!AL339</f>
        <v>0</v>
      </c>
      <c r="AM6" s="452">
        <f>'HR Track 1 HER-TSA'!AM339</f>
        <v>0</v>
      </c>
      <c r="AN6" s="500">
        <f>'HR Track 1 HER-TSA'!AN339</f>
        <v>0</v>
      </c>
      <c r="AO6" s="452">
        <f>'HR Track 1 HER-TSA'!AO339</f>
        <v>0</v>
      </c>
      <c r="AP6" s="452">
        <f>'HR Track 1 HER-TSA'!AP339</f>
        <v>0</v>
      </c>
      <c r="AQ6" s="452">
        <f>'HR Track 1 HER-TSA'!AQ339</f>
        <v>0.25003897413957743</v>
      </c>
      <c r="AR6" s="452">
        <f>'HR Track 1 HER-TSA'!AR339</f>
        <v>0</v>
      </c>
      <c r="AS6" s="452">
        <f>'HR Track 1 HER-TSA'!AS339</f>
        <v>0</v>
      </c>
      <c r="AT6" s="452">
        <f>'HR Track 1 HER-TSA'!AT339</f>
        <v>0</v>
      </c>
      <c r="AU6" s="452">
        <f>'HR Track 1 HER-TSA'!AU339</f>
        <v>0</v>
      </c>
      <c r="AV6" s="452">
        <f>'HR Track 1 HER-TSA'!AV339</f>
        <v>0</v>
      </c>
      <c r="AW6" s="452" t="str">
        <f>'HR Track 1 HER-TSA'!AW339</f>
        <v>Soil B</v>
      </c>
      <c r="AX6" s="452" t="str">
        <f>'HR Track 1 HER-TSA'!AX339</f>
        <v>PT</v>
      </c>
      <c r="AY6" s="500">
        <f>'HR Track 1 HER-TSA'!AY339</f>
        <v>0</v>
      </c>
      <c r="AZ6" s="500">
        <f>'HR Track 1 HER-TSA'!AZ339</f>
        <v>2.8</v>
      </c>
      <c r="BA6" s="1333" t="str">
        <f>'HR Track 1 HER-TSA'!BA339</f>
        <v>ü</v>
      </c>
      <c r="BB6" s="452">
        <f>'HR Track 1 HER-TSA'!BB339</f>
        <v>0</v>
      </c>
      <c r="BC6" s="1334">
        <f>'HR Track 1 HER-TSA'!BC339</f>
        <v>0</v>
      </c>
      <c r="BD6" s="1335">
        <f>'HR Track 1 HER-TSA'!BD339</f>
        <v>43764</v>
      </c>
      <c r="BE6" s="1335">
        <f>'HR Track 1 HER-TSA'!BE339</f>
        <v>0</v>
      </c>
      <c r="BF6" s="1335">
        <f>'HR Track 1 HER-TSA'!BF339</f>
        <v>0</v>
      </c>
      <c r="BG6" s="1335">
        <f>'HR Track 1 HER-TSA'!BG339</f>
        <v>0</v>
      </c>
    </row>
    <row r="7" spans="1:59" ht="15.75" customHeight="1">
      <c r="A7" s="501" t="str">
        <f>'HR Track 1 HER-TSA'!A340</f>
        <v>TSA-BF01</v>
      </c>
      <c r="B7" s="716" t="str">
        <f>'HR Track 1 HER-TSA'!B340</f>
        <v>92-1.20</v>
      </c>
      <c r="C7" s="451">
        <f>'HR Track 1 HER-TSA'!C340</f>
        <v>92665.050000000017</v>
      </c>
      <c r="D7" s="453">
        <f>'HR Track 1 HER-TSA'!D340</f>
        <v>0</v>
      </c>
      <c r="E7" s="452">
        <f>'HR Track 1 HER-TSA'!E340</f>
        <v>0</v>
      </c>
      <c r="F7" s="453">
        <f>'HR Track 1 HER-TSA'!F340</f>
        <v>1300</v>
      </c>
      <c r="G7" s="500">
        <f>'HR Track 1 HER-TSA'!G340</f>
        <v>0</v>
      </c>
      <c r="H7" s="453" t="str">
        <f>'HR Track 1 HER-TSA'!H340</f>
        <v xml:space="preserve">S/A </v>
      </c>
      <c r="I7" s="501" t="str">
        <f>'HR Track 1 HER-TSA'!I340</f>
        <v>AnRW AnRW</v>
      </c>
      <c r="J7" s="583">
        <f>'HR Track 1 HER-TSA'!J340</f>
        <v>0</v>
      </c>
      <c r="K7" s="452">
        <f>'HR Track 1 HER-TSA'!K340</f>
        <v>0</v>
      </c>
      <c r="L7" s="452" t="str">
        <f>'HR Track 1 HER-TSA'!L340</f>
        <v>HEB-320L</v>
      </c>
      <c r="M7" s="452" t="str">
        <f>'HR Track 1 HER-TSA'!M340</f>
        <v>C7R</v>
      </c>
      <c r="N7" s="501" t="str">
        <f>'HR Track 1 HER-TSA'!N340</f>
        <v>EMT-T</v>
      </c>
      <c r="O7" s="501" t="str">
        <f>'HR Track 1 HER-TSA'!O340</f>
        <v>EMT-2</v>
      </c>
      <c r="P7" s="501">
        <f>'HR Track 1 HER-TSA'!P340</f>
        <v>0</v>
      </c>
      <c r="Q7" s="452">
        <f>'HR Track 1 HER-TSA'!Q340</f>
        <v>60</v>
      </c>
      <c r="R7" s="452">
        <f>'HR Track 1 HER-TSA'!R340</f>
        <v>1319.5</v>
      </c>
      <c r="S7" s="500">
        <f>'HR Track 1 HER-TSA'!S340</f>
        <v>0</v>
      </c>
      <c r="T7" s="452">
        <f>'HR Track 1 HER-TSA'!T340</f>
        <v>50</v>
      </c>
      <c r="U7" s="452">
        <f>'HR Track 1 HER-TSA'!U340</f>
        <v>5</v>
      </c>
      <c r="V7" s="452">
        <f>'HR Track 1 HER-TSA'!V340</f>
        <v>0</v>
      </c>
      <c r="W7" s="452">
        <f>'HR Track 1 HER-TSA'!W340</f>
        <v>1.4</v>
      </c>
      <c r="X7" s="452">
        <f>'HR Track 1 HER-TSA'!X340</f>
        <v>2.2999999999999998</v>
      </c>
      <c r="Y7" s="452">
        <f>'HR Track 1 HER-TSA'!Y340</f>
        <v>0</v>
      </c>
      <c r="Z7" s="452">
        <f>'HR Track 1 HER-TSA'!Z340</f>
        <v>0.45</v>
      </c>
      <c r="AA7" s="452">
        <f>'HR Track 1 HER-TSA'!AA340</f>
        <v>0</v>
      </c>
      <c r="AB7" s="452">
        <f>'HR Track 1 HER-TSA'!AB340</f>
        <v>0</v>
      </c>
      <c r="AC7" s="452" t="str">
        <f>'HR Track 1 HER-TSA'!AC340</f>
        <v>PHQ-1150</v>
      </c>
      <c r="AD7" s="452">
        <f>'HR Track 1 HER-TSA'!AD340</f>
        <v>0</v>
      </c>
      <c r="AE7" s="452">
        <f>'HR Track 1 HER-TSA'!AE340</f>
        <v>0</v>
      </c>
      <c r="AF7" s="452">
        <f>'HR Track 1 HER-TSA'!AF340</f>
        <v>5800</v>
      </c>
      <c r="AG7" s="451">
        <f>'HR Track 1 HER-TSA'!AG340</f>
        <v>92665</v>
      </c>
      <c r="AH7" s="452">
        <f>'HR Track 1 HER-TSA'!AH340</f>
        <v>1943</v>
      </c>
      <c r="AI7" s="452">
        <f>'HR Track 1 HER-TSA'!AI340</f>
        <v>330</v>
      </c>
      <c r="AJ7" s="452" t="str">
        <f>'HR Track 1 HER-TSA'!AJ340</f>
        <v>FS-1</v>
      </c>
      <c r="AK7" s="452">
        <f>'HR Track 1 HER-TSA'!AK340</f>
        <v>0</v>
      </c>
      <c r="AL7" s="452" t="str">
        <f>'HR Track 1 HER-TSA'!AL340</f>
        <v>PR1D</v>
      </c>
      <c r="AM7" s="452" t="str">
        <f>'HR Track 1 HER-TSA'!AM340</f>
        <v>RW1</v>
      </c>
      <c r="AN7" s="500">
        <f>'HR Track 1 HER-TSA'!AN340</f>
        <v>5.44</v>
      </c>
      <c r="AO7" s="452">
        <f>'HR Track 1 HER-TSA'!AO340</f>
        <v>0</v>
      </c>
      <c r="AP7" s="452">
        <f>'HR Track 1 HER-TSA'!AP340</f>
        <v>0</v>
      </c>
      <c r="AQ7" s="452">
        <f>'HR Track 1 HER-TSA'!AQ340</f>
        <v>0</v>
      </c>
      <c r="AR7" s="452">
        <f>'HR Track 1 HER-TSA'!AR340</f>
        <v>0</v>
      </c>
      <c r="AS7" s="452">
        <f>'HR Track 1 HER-TSA'!AS340</f>
        <v>0</v>
      </c>
      <c r="AT7" s="452">
        <f>'HR Track 1 HER-TSA'!AT340</f>
        <v>4.1545706287529134</v>
      </c>
      <c r="AU7" s="452">
        <f>'HR Track 1 HER-TSA'!AU340</f>
        <v>0</v>
      </c>
      <c r="AV7" s="452">
        <f>'HR Track 1 HER-TSA'!AV340</f>
        <v>0</v>
      </c>
      <c r="AW7" s="452" t="str">
        <f>'HR Track 1 HER-TSA'!AW340</f>
        <v>Soil B</v>
      </c>
      <c r="AX7" s="452" t="str">
        <f>'HR Track 1 HER-TSA'!AX340</f>
        <v>PT</v>
      </c>
      <c r="AY7" s="500">
        <f>'HR Track 1 HER-TSA'!AY340</f>
        <v>3.5</v>
      </c>
      <c r="AZ7" s="500">
        <f>'HR Track 1 HER-TSA'!AZ340</f>
        <v>0</v>
      </c>
      <c r="BA7" s="1333" t="str">
        <f>'HR Track 1 HER-TSA'!BA340</f>
        <v>ü</v>
      </c>
      <c r="BB7" s="452" t="str">
        <f>'HR Track 1 HER-TSA'!BB340</f>
        <v>App.8-V08F-P10.3</v>
      </c>
      <c r="BC7" s="1334">
        <f>'HR Track 1 HER-TSA'!BC340</f>
        <v>0</v>
      </c>
      <c r="BD7" s="1335">
        <f>'HR Track 1 HER-TSA'!BD340</f>
        <v>43764</v>
      </c>
      <c r="BE7" s="1335" t="str">
        <f>'HR Track 1 HER-TSA'!BE340</f>
        <v>Ejecutado</v>
      </c>
      <c r="BF7" s="1335">
        <f>'HR Track 1 HER-TSA'!BF340</f>
        <v>0</v>
      </c>
      <c r="BG7" s="1335">
        <f>'HR Track 1 HER-TSA'!BG340</f>
        <v>43814</v>
      </c>
    </row>
    <row r="8" spans="1:59" ht="15.75" customHeight="1">
      <c r="A8" s="501">
        <f>'HR Track 1 HER-TSA'!A341</f>
        <v>0</v>
      </c>
      <c r="B8" s="716">
        <f>'HR Track 1 HER-TSA'!B341</f>
        <v>0</v>
      </c>
      <c r="C8" s="451">
        <f>'HR Track 1 HER-TSA'!C341</f>
        <v>0</v>
      </c>
      <c r="D8" s="453">
        <f>'HR Track 1 HER-TSA'!D341</f>
        <v>0</v>
      </c>
      <c r="E8" s="452">
        <f>'HR Track 1 HER-TSA'!E341</f>
        <v>0</v>
      </c>
      <c r="F8" s="453">
        <f>'HR Track 1 HER-TSA'!F341</f>
        <v>0</v>
      </c>
      <c r="G8" s="500">
        <f>'HR Track 1 HER-TSA'!G341</f>
        <v>53.6</v>
      </c>
      <c r="H8" s="453">
        <f>'HR Track 1 HER-TSA'!H341</f>
        <v>0</v>
      </c>
      <c r="I8" s="501">
        <f>'HR Track 1 HER-TSA'!I341</f>
        <v>0</v>
      </c>
      <c r="J8" s="583">
        <f>'HR Track 1 HER-TSA'!J341</f>
        <v>92672.550000000017</v>
      </c>
      <c r="K8" s="452" t="str">
        <f>'HR Track 1 HER-TSA'!K341</f>
        <v>AnM-R</v>
      </c>
      <c r="L8" s="452">
        <f>'HR Track 1 HER-TSA'!L341</f>
        <v>0</v>
      </c>
      <c r="M8" s="452">
        <f>'HR Track 1 HER-TSA'!M341</f>
        <v>0</v>
      </c>
      <c r="N8" s="501">
        <f>'HR Track 1 HER-TSA'!N341</f>
        <v>0</v>
      </c>
      <c r="O8" s="501">
        <f>'HR Track 1 HER-TSA'!O341</f>
        <v>0</v>
      </c>
      <c r="P8" s="501">
        <f>'HR Track 1 HER-TSA'!P341</f>
        <v>0</v>
      </c>
      <c r="Q8" s="452">
        <f>'HR Track 1 HER-TSA'!Q341</f>
        <v>0</v>
      </c>
      <c r="R8" s="452">
        <f>'HR Track 1 HER-TSA'!R341</f>
        <v>0</v>
      </c>
      <c r="S8" s="500">
        <f>'HR Track 1 HER-TSA'!S341</f>
        <v>53.630000000004657</v>
      </c>
      <c r="T8" s="452">
        <f>'HR Track 1 HER-TSA'!T341</f>
        <v>0</v>
      </c>
      <c r="U8" s="452">
        <f>'HR Track 1 HER-TSA'!U341</f>
        <v>0</v>
      </c>
      <c r="V8" s="452">
        <f>'HR Track 1 HER-TSA'!V341</f>
        <v>0</v>
      </c>
      <c r="W8" s="452">
        <f>'HR Track 1 HER-TSA'!W341</f>
        <v>0</v>
      </c>
      <c r="X8" s="452">
        <f>'HR Track 1 HER-TSA'!X341</f>
        <v>0</v>
      </c>
      <c r="Y8" s="452">
        <f>'HR Track 1 HER-TSA'!Y341</f>
        <v>0</v>
      </c>
      <c r="Z8" s="452">
        <f>'HR Track 1 HER-TSA'!Z341</f>
        <v>0</v>
      </c>
      <c r="AA8" s="452">
        <f>'HR Track 1 HER-TSA'!AA341</f>
        <v>0</v>
      </c>
      <c r="AB8" s="452">
        <f>'HR Track 1 HER-TSA'!AB341</f>
        <v>0</v>
      </c>
      <c r="AC8" s="452">
        <f>'HR Track 1 HER-TSA'!AC341</f>
        <v>0</v>
      </c>
      <c r="AD8" s="452">
        <f>'HR Track 1 HER-TSA'!AD341</f>
        <v>0</v>
      </c>
      <c r="AE8" s="452">
        <f>'HR Track 1 HER-TSA'!AE341</f>
        <v>0</v>
      </c>
      <c r="AF8" s="452">
        <f>'HR Track 1 HER-TSA'!AF341</f>
        <v>0</v>
      </c>
      <c r="AG8" s="451">
        <f>'HR Track 1 HER-TSA'!AG341</f>
        <v>0</v>
      </c>
      <c r="AH8" s="452">
        <f>'HR Track 1 HER-TSA'!AH341</f>
        <v>0</v>
      </c>
      <c r="AI8" s="452">
        <f>'HR Track 1 HER-TSA'!AI341</f>
        <v>0</v>
      </c>
      <c r="AJ8" s="452">
        <f>'HR Track 1 HER-TSA'!AJ341</f>
        <v>0</v>
      </c>
      <c r="AK8" s="452">
        <f>'HR Track 1 HER-TSA'!AK341</f>
        <v>0</v>
      </c>
      <c r="AL8" s="452">
        <f>'HR Track 1 HER-TSA'!AL341</f>
        <v>0</v>
      </c>
      <c r="AM8" s="452">
        <f>'HR Track 1 HER-TSA'!AM341</f>
        <v>0</v>
      </c>
      <c r="AN8" s="500">
        <f>'HR Track 1 HER-TSA'!AN341</f>
        <v>0</v>
      </c>
      <c r="AO8" s="452">
        <f>'HR Track 1 HER-TSA'!AO341</f>
        <v>0</v>
      </c>
      <c r="AP8" s="452">
        <f>'HR Track 1 HER-TSA'!AP341</f>
        <v>0</v>
      </c>
      <c r="AQ8" s="452">
        <f>'HR Track 1 HER-TSA'!AQ341</f>
        <v>0.27996993665671643</v>
      </c>
      <c r="AR8" s="452">
        <f>'HR Track 1 HER-TSA'!AR341</f>
        <v>0</v>
      </c>
      <c r="AS8" s="452">
        <f>'HR Track 1 HER-TSA'!AS341</f>
        <v>0</v>
      </c>
      <c r="AT8" s="452">
        <f>'HR Track 1 HER-TSA'!AT341</f>
        <v>0</v>
      </c>
      <c r="AU8" s="452">
        <f>'HR Track 1 HER-TSA'!AU341</f>
        <v>0</v>
      </c>
      <c r="AV8" s="452">
        <f>'HR Track 1 HER-TSA'!AV341</f>
        <v>0</v>
      </c>
      <c r="AW8" s="452" t="str">
        <f>'HR Track 1 HER-TSA'!AW341</f>
        <v>Soil B</v>
      </c>
      <c r="AX8" s="452" t="str">
        <f>'HR Track 1 HER-TSA'!AX341</f>
        <v>PT</v>
      </c>
      <c r="AY8" s="500">
        <f>'HR Track 1 HER-TSA'!AY341</f>
        <v>0</v>
      </c>
      <c r="AZ8" s="500">
        <f>'HR Track 1 HER-TSA'!AZ341</f>
        <v>2.8</v>
      </c>
      <c r="BA8" s="1333" t="str">
        <f>'HR Track 1 HER-TSA'!BA341</f>
        <v>ü</v>
      </c>
      <c r="BB8" s="452">
        <f>'HR Track 1 HER-TSA'!BB341</f>
        <v>0</v>
      </c>
      <c r="BC8" s="1334">
        <f>'HR Track 1 HER-TSA'!BC341</f>
        <v>0</v>
      </c>
      <c r="BD8" s="1335">
        <f>'HR Track 1 HER-TSA'!BD341</f>
        <v>43764</v>
      </c>
      <c r="BE8" s="1335">
        <f>'HR Track 1 HER-TSA'!BE341</f>
        <v>0</v>
      </c>
      <c r="BF8" s="1335">
        <f>'HR Track 1 HER-TSA'!BF341</f>
        <v>0</v>
      </c>
      <c r="BG8" s="1335">
        <f>'HR Track 1 HER-TSA'!BG341</f>
        <v>0</v>
      </c>
    </row>
    <row r="9" spans="1:59" ht="15.75" customHeight="1">
      <c r="A9" s="449" t="s">
        <v>2931</v>
      </c>
      <c r="B9" s="450" t="s">
        <v>2340</v>
      </c>
      <c r="C9" s="446">
        <f>+$C$7+$G$8</f>
        <v>92718.650000000023</v>
      </c>
      <c r="D9" s="638"/>
      <c r="E9" s="638"/>
      <c r="F9" s="447">
        <v>0</v>
      </c>
      <c r="G9" s="484"/>
      <c r="H9" s="1239" t="s">
        <v>2133</v>
      </c>
      <c r="I9" s="448" t="s">
        <v>3656</v>
      </c>
      <c r="J9" s="446">
        <f>C9-7.5</f>
        <v>92711.150000000023</v>
      </c>
      <c r="K9" s="638" t="s">
        <v>2787</v>
      </c>
      <c r="L9" s="638" t="s">
        <v>1698</v>
      </c>
      <c r="M9" s="638" t="str">
        <f>IF(AX9="PT",VLOOKUP(L9,'Foundation Calculation'!$V$2:$X$40,VLOOKUP(AX9,'Foundation Calculation'!$I$10:$J$13,2,FALSE),0),IF(AX9="K",VLOOKUP(L9,'Foundation Calculation'!$V$42:$X$80,VLOOKUP(AX9,'Foundation Calculation'!$I$10:$J$13,2,FALSE),0),""))</f>
        <v>2C4R</v>
      </c>
      <c r="N9" s="1239" t="s">
        <v>143</v>
      </c>
      <c r="O9" s="1239" t="s">
        <v>140</v>
      </c>
      <c r="P9" s="1239"/>
      <c r="Q9" s="638">
        <v>0</v>
      </c>
      <c r="R9" s="638">
        <v>0</v>
      </c>
      <c r="S9" s="1343"/>
      <c r="T9" s="638">
        <v>-5</v>
      </c>
      <c r="U9" s="638">
        <v>-50</v>
      </c>
      <c r="V9" s="638"/>
      <c r="W9" s="638">
        <v>1.4</v>
      </c>
      <c r="X9" s="638">
        <v>2.2999999999999998</v>
      </c>
      <c r="Y9" s="638"/>
      <c r="Z9" s="638"/>
      <c r="AA9" s="638">
        <v>0.39</v>
      </c>
      <c r="AB9" s="638"/>
      <c r="AC9" s="1239" t="s">
        <v>1421</v>
      </c>
      <c r="AD9" s="638"/>
      <c r="AE9" s="638"/>
      <c r="AF9" s="638">
        <v>5800</v>
      </c>
      <c r="AG9" s="446">
        <v>92718.63</v>
      </c>
      <c r="AH9" s="638">
        <v>2243</v>
      </c>
      <c r="AI9" s="638">
        <v>140</v>
      </c>
      <c r="AJ9" s="638" t="s">
        <v>877</v>
      </c>
      <c r="AK9" s="638"/>
      <c r="AL9" s="638"/>
      <c r="AM9" s="638" t="s">
        <v>1042</v>
      </c>
      <c r="AN9" s="484">
        <v>5.5</v>
      </c>
      <c r="AO9" s="638"/>
      <c r="AP9" s="638"/>
      <c r="AQ9" s="484"/>
      <c r="AR9" s="585"/>
      <c r="AS9" s="585"/>
      <c r="AT9" s="484">
        <f>+ab($T$9,$T$7,$U$11,$G$8,$G$10, 1*$F$9,1200)</f>
        <v>-11.466438686798345</v>
      </c>
      <c r="AU9" s="638"/>
      <c r="AV9" s="638"/>
      <c r="AW9" s="638" t="str">
        <f>VLOOKUP(C9,'Foundation Calculation'!$A$2:$C$33,3,1)</f>
        <v>Soil B</v>
      </c>
      <c r="AX9" s="638" t="s">
        <v>1371</v>
      </c>
      <c r="AY9" s="636">
        <f>IF(AX9="PT",VLOOKUP(L9,'Foundation Calculation'!$K$2:$R$40,VLOOKUP(AW9,'Foundation Calculation'!$I$2:$J$8,2,FALSE),0),IF(AX9="K",VLOOKUP(L9,'Foundation Calculation'!$K$42:$R$80,VLOOKUP(AW9,'Foundation Calculation'!$I$2:$J$8,2,FALSE),0),""))</f>
        <v>5.3</v>
      </c>
      <c r="AZ9" s="484">
        <f>IF(AX9="PT",VLOOKUP(K9,'Foundation Calculation'!$K$2:$R$40,VLOOKUP(AW9,'Foundation Calculation'!$I$2:$J$8,2,FALSE),0),IF(AX9="K",VLOOKUP(K9,'Foundation Calculation'!$K$42:$R$80,VLOOKUP(AW9,'Foundation Calculation'!$I$2:$J$8,2,FALSE),0),""))</f>
        <v>3.9</v>
      </c>
      <c r="BA9" s="671" t="s">
        <v>2809</v>
      </c>
      <c r="BB9" s="449" t="str">
        <f>Pole_Calculations!A22</f>
        <v>App.7-V11A-P9.5.1.8</v>
      </c>
      <c r="BC9" s="169"/>
      <c r="BD9" s="1329">
        <v>43736</v>
      </c>
      <c r="BE9" s="1329"/>
      <c r="BF9" s="1330"/>
      <c r="BG9" s="1329">
        <v>43893</v>
      </c>
    </row>
    <row r="10" spans="1:59" ht="15.75" customHeight="1">
      <c r="A10" s="449"/>
      <c r="B10" s="445"/>
      <c r="C10" s="446"/>
      <c r="D10" s="638"/>
      <c r="E10" s="638"/>
      <c r="F10" s="447"/>
      <c r="G10" s="484">
        <v>56</v>
      </c>
      <c r="H10" s="1239"/>
      <c r="I10" s="448"/>
      <c r="J10" s="446"/>
      <c r="K10" s="638"/>
      <c r="L10" s="638"/>
      <c r="M10" s="638"/>
      <c r="N10" s="1239"/>
      <c r="O10" s="1239"/>
      <c r="P10" s="1239"/>
      <c r="Q10" s="638"/>
      <c r="R10" s="638"/>
      <c r="S10" s="1343">
        <f>+AG11-AG9</f>
        <v>54.649999999994179</v>
      </c>
      <c r="T10" s="638"/>
      <c r="U10" s="638"/>
      <c r="V10" s="638"/>
      <c r="W10" s="638"/>
      <c r="X10" s="638"/>
      <c r="Y10" s="638"/>
      <c r="Z10" s="638"/>
      <c r="AA10" s="638"/>
      <c r="AB10" s="638"/>
      <c r="AC10" s="638"/>
      <c r="AD10" s="638"/>
      <c r="AE10" s="638"/>
      <c r="AF10" s="638"/>
      <c r="AG10" s="446"/>
      <c r="AH10" s="638"/>
      <c r="AI10" s="638"/>
      <c r="AJ10" s="638"/>
      <c r="AK10" s="638"/>
      <c r="AL10" s="638"/>
      <c r="AM10" s="638"/>
      <c r="AN10" s="484"/>
      <c r="AO10" s="638"/>
      <c r="AP10" s="638"/>
      <c r="AQ10" s="484">
        <f>+FL_1($U$11,$T$9,$G$10,1200,9.28, 1*$F$11)</f>
        <v>0.45340259199999999</v>
      </c>
      <c r="AR10" s="585"/>
      <c r="AS10" s="585"/>
      <c r="AT10" s="484"/>
      <c r="AU10" s="638"/>
      <c r="AV10" s="638"/>
      <c r="AW10" s="638"/>
      <c r="AX10" s="638"/>
      <c r="AY10" s="484" t="str">
        <f>IF(AX10="PT",VLOOKUP(M10,'Foundation Calculation'!$L$2:$R$37,VLOOKUP(AW10,'Foundation Calculation'!$I$2:$J$8,2,FALSE),0),IF(AX10="K",VLOOKUP(M10,'Foundation Calculation'!$L$41:$R$75,VLOOKUP(AW10,'Foundation Calculation'!$I$2:$J$8,2,FALSE),0),""))</f>
        <v/>
      </c>
      <c r="AZ10" s="689" t="str">
        <f>IF(AX10="PT",VLOOKUP(K10,'Foundation Calculation'!$L$2:$R$41,VLOOKUP(AW10,'Foundation Calculation'!$I$2:$J$8,2,FALSE),0),IF(AX10="K",VLOOKUP(K10,'Foundation Calculation'!$L$41:$R$79,VLOOKUP(AW10,'Foundation Calculation'!$I$2:$J$8,2,FALSE),0),""))</f>
        <v/>
      </c>
      <c r="BA10" s="671"/>
      <c r="BB10" s="449"/>
      <c r="BC10" s="169"/>
      <c r="BD10" s="1330"/>
      <c r="BE10" s="1330"/>
      <c r="BF10" s="1330"/>
      <c r="BG10" s="1330"/>
    </row>
    <row r="11" spans="1:59" ht="15.75" customHeight="1">
      <c r="A11" s="449"/>
      <c r="B11" s="485" t="s">
        <v>2341</v>
      </c>
      <c r="C11" s="446">
        <f>+$C$9+$G$10</f>
        <v>92774.650000000023</v>
      </c>
      <c r="D11" s="638"/>
      <c r="E11" s="638"/>
      <c r="F11" s="447">
        <v>0</v>
      </c>
      <c r="G11" s="484"/>
      <c r="H11" s="1239" t="s">
        <v>3657</v>
      </c>
      <c r="I11" s="1239" t="s">
        <v>623</v>
      </c>
      <c r="J11" s="446"/>
      <c r="K11" s="638"/>
      <c r="L11" s="638" t="s">
        <v>896</v>
      </c>
      <c r="M11" s="638" t="str">
        <f>IF(AX11="PT",VLOOKUP(L11,'Foundation Calculation'!$V$2:$X$40,VLOOKUP(AX11,'Foundation Calculation'!$I$10:$J$13,2,FALSE),0),IF(AX11="K",VLOOKUP(L11,'Foundation Calculation'!$V$42:$X$80,VLOOKUP(AX11,'Foundation Calculation'!$I$10:$J$13,2,FALSE),0),""))</f>
        <v>2C4R</v>
      </c>
      <c r="N11" s="1239" t="s">
        <v>140</v>
      </c>
      <c r="O11" s="1239" t="s">
        <v>144</v>
      </c>
      <c r="P11" s="1239" t="s">
        <v>2789</v>
      </c>
      <c r="Q11" s="638">
        <v>10</v>
      </c>
      <c r="R11" s="638">
        <v>0</v>
      </c>
      <c r="S11" s="1343"/>
      <c r="T11" s="638">
        <v>-45</v>
      </c>
      <c r="U11" s="638">
        <v>30</v>
      </c>
      <c r="V11" s="638">
        <v>15</v>
      </c>
      <c r="W11" s="638">
        <v>2.2999999999999998</v>
      </c>
      <c r="X11" s="638">
        <v>1.4</v>
      </c>
      <c r="Y11" s="638">
        <v>1.8</v>
      </c>
      <c r="Z11" s="638">
        <v>0.5</v>
      </c>
      <c r="AA11" s="638"/>
      <c r="AB11" s="638"/>
      <c r="AC11" s="638" t="s">
        <v>1427</v>
      </c>
      <c r="AD11" s="638" t="s">
        <v>4207</v>
      </c>
      <c r="AE11" s="638"/>
      <c r="AF11" s="638">
        <v>5400</v>
      </c>
      <c r="AG11" s="446">
        <v>92773.28</v>
      </c>
      <c r="AH11" s="638">
        <v>2003</v>
      </c>
      <c r="AI11" s="638">
        <v>-30</v>
      </c>
      <c r="AJ11" s="638"/>
      <c r="AK11" s="638"/>
      <c r="AL11" s="638"/>
      <c r="AM11" s="638" t="s">
        <v>1042</v>
      </c>
      <c r="AN11" s="484">
        <v>5.5</v>
      </c>
      <c r="AO11" s="638"/>
      <c r="AP11" s="638"/>
      <c r="AQ11" s="484"/>
      <c r="AR11" s="585"/>
      <c r="AS11" s="585"/>
      <c r="AT11" s="484">
        <f>+ab($U$11,$T$9,$U$13,$G$10,$G$12, 1*$F$11,1200)</f>
        <v>28.185109192983518</v>
      </c>
      <c r="AU11" s="638"/>
      <c r="AV11" s="638"/>
      <c r="AW11" s="638" t="str">
        <f>VLOOKUP(C11,'Foundation Calculation'!$A$2:$C$33,3,1)</f>
        <v>Soil B</v>
      </c>
      <c r="AX11" s="638" t="s">
        <v>1371</v>
      </c>
      <c r="AY11" s="636">
        <f>IF(AX11="PT",VLOOKUP(L11,'Foundation Calculation'!$K$2:$R$40,VLOOKUP(AW11,'Foundation Calculation'!$I$2:$J$8,2,FALSE),0),IF(AX11="K",VLOOKUP(L11,'Foundation Calculation'!$K$42:$R$80,VLOOKUP(AW11,'Foundation Calculation'!$I$2:$J$8,2,FALSE),0),""))</f>
        <v>4</v>
      </c>
      <c r="AZ11" s="484"/>
      <c r="BA11" s="671" t="s">
        <v>2809</v>
      </c>
      <c r="BB11" s="449" t="str">
        <f>Pole_Calculations!A23</f>
        <v>App.7-V11A-P9.5.1.9</v>
      </c>
      <c r="BC11" s="169"/>
      <c r="BD11" s="1329">
        <v>43736</v>
      </c>
      <c r="BE11" s="1329"/>
      <c r="BF11" s="1330"/>
      <c r="BG11" s="1329">
        <v>43893</v>
      </c>
    </row>
    <row r="12" spans="1:59" ht="15.75" customHeight="1">
      <c r="A12" s="449"/>
      <c r="B12" s="445"/>
      <c r="C12" s="446"/>
      <c r="D12" s="638"/>
      <c r="E12" s="638"/>
      <c r="F12" s="447"/>
      <c r="G12" s="484">
        <v>48</v>
      </c>
      <c r="H12" s="1239"/>
      <c r="I12" s="448"/>
      <c r="J12" s="446">
        <f>C11+7.5</f>
        <v>92782.150000000023</v>
      </c>
      <c r="K12" s="638" t="s">
        <v>2787</v>
      </c>
      <c r="L12" s="638"/>
      <c r="M12" s="638"/>
      <c r="N12" s="1239"/>
      <c r="O12" s="1239"/>
      <c r="P12" s="1239"/>
      <c r="Q12" s="638"/>
      <c r="R12" s="638"/>
      <c r="S12" s="1343">
        <f t="shared" ref="S12" si="0">+AG13-AG11</f>
        <v>50.19999999999709</v>
      </c>
      <c r="T12" s="638"/>
      <c r="U12" s="638"/>
      <c r="V12" s="638"/>
      <c r="W12" s="638"/>
      <c r="X12" s="638"/>
      <c r="Y12" s="638"/>
      <c r="Z12" s="638"/>
      <c r="AA12" s="638"/>
      <c r="AB12" s="638"/>
      <c r="AC12" s="638"/>
      <c r="AD12" s="638"/>
      <c r="AE12" s="638"/>
      <c r="AF12" s="638"/>
      <c r="AG12" s="446"/>
      <c r="AH12" s="638"/>
      <c r="AI12" s="638"/>
      <c r="AJ12" s="638"/>
      <c r="AK12" s="638"/>
      <c r="AL12" s="638"/>
      <c r="AM12" s="638"/>
      <c r="AN12" s="484"/>
      <c r="AO12" s="638"/>
      <c r="AP12" s="638"/>
      <c r="AQ12" s="484">
        <f>+FL_1($U$13,$U$11,$G$12,1200,9.28, 1*$F$13)</f>
        <v>0.52271999999999996</v>
      </c>
      <c r="AR12" s="484"/>
      <c r="AS12" s="484"/>
      <c r="AT12" s="484"/>
      <c r="AU12" s="638"/>
      <c r="AV12" s="638"/>
      <c r="AW12" s="638" t="str">
        <f>VLOOKUP(J12,'Foundation Calculation'!$A$2:$C$33,3,1)</f>
        <v>Soil B</v>
      </c>
      <c r="AX12" s="638" t="s">
        <v>1371</v>
      </c>
      <c r="AY12" s="484"/>
      <c r="AZ12" s="484">
        <f>IF(AX12="PT",VLOOKUP(K12,'Foundation Calculation'!$K$2:$R$40,VLOOKUP(AW12,'Foundation Calculation'!$I$2:$J$8,2,FALSE),0),IF(AX12="K",VLOOKUP(K12,'Foundation Calculation'!$K$42:$R$80,VLOOKUP(AW12,'Foundation Calculation'!$I$2:$J$8,2,FALSE),0),""))</f>
        <v>3.9</v>
      </c>
      <c r="BA12" s="671" t="s">
        <v>2809</v>
      </c>
      <c r="BB12" s="449"/>
      <c r="BC12" s="169"/>
      <c r="BD12" s="1329">
        <v>43736</v>
      </c>
      <c r="BE12" s="1330"/>
      <c r="BF12" s="1330"/>
      <c r="BG12" s="1330"/>
    </row>
    <row r="13" spans="1:59" ht="15.75" customHeight="1">
      <c r="A13" s="449"/>
      <c r="B13" s="450" t="s">
        <v>2586</v>
      </c>
      <c r="C13" s="446">
        <f>+$C$11+$G$12</f>
        <v>92822.650000000023</v>
      </c>
      <c r="D13" s="638"/>
      <c r="E13" s="638"/>
      <c r="F13" s="447">
        <v>0</v>
      </c>
      <c r="G13" s="484"/>
      <c r="H13" s="1239" t="s">
        <v>3658</v>
      </c>
      <c r="I13" s="448"/>
      <c r="J13" s="446"/>
      <c r="K13" s="638"/>
      <c r="L13" s="638" t="s">
        <v>896</v>
      </c>
      <c r="M13" s="638" t="str">
        <f>IF(AX13="PT",VLOOKUP(L13,'Foundation Calculation'!$V$2:$X$40,VLOOKUP(AX13,'Foundation Calculation'!$I$10:$J$13,2,FALSE),0),IF(AX13="K",VLOOKUP(L13,'Foundation Calculation'!$V$42:$X$80,VLOOKUP(AX13,'Foundation Calculation'!$I$10:$J$13,2,FALSE),0),""))</f>
        <v>2C4R</v>
      </c>
      <c r="N13" s="1239" t="s">
        <v>2789</v>
      </c>
      <c r="O13" s="1239" t="s">
        <v>144</v>
      </c>
      <c r="P13" s="1239" t="s">
        <v>140</v>
      </c>
      <c r="Q13" s="638">
        <v>10</v>
      </c>
      <c r="R13" s="638">
        <v>0</v>
      </c>
      <c r="S13" s="1343"/>
      <c r="T13" s="638">
        <v>15</v>
      </c>
      <c r="U13" s="638">
        <v>30</v>
      </c>
      <c r="V13" s="638">
        <v>-45</v>
      </c>
      <c r="W13" s="638">
        <v>1.8</v>
      </c>
      <c r="X13" s="638">
        <v>1.4</v>
      </c>
      <c r="Y13" s="638">
        <v>2.1</v>
      </c>
      <c r="Z13" s="638"/>
      <c r="AA13" s="638"/>
      <c r="AB13" s="638">
        <v>0.4</v>
      </c>
      <c r="AC13" s="638" t="s">
        <v>4207</v>
      </c>
      <c r="AD13" s="638" t="s">
        <v>1427</v>
      </c>
      <c r="AE13" s="638"/>
      <c r="AF13" s="638">
        <v>5700</v>
      </c>
      <c r="AG13" s="446">
        <v>92823.48</v>
      </c>
      <c r="AH13" s="638">
        <v>1953</v>
      </c>
      <c r="AI13" s="638">
        <v>180</v>
      </c>
      <c r="AJ13" s="638"/>
      <c r="AK13" s="638"/>
      <c r="AL13" s="638"/>
      <c r="AM13" s="638" t="s">
        <v>1042</v>
      </c>
      <c r="AN13" s="484">
        <v>5.5</v>
      </c>
      <c r="AO13" s="638"/>
      <c r="AP13" s="638"/>
      <c r="AQ13" s="484"/>
      <c r="AR13" s="484"/>
      <c r="AS13" s="484"/>
      <c r="AT13" s="484">
        <f>+ab($U$13,$U$11,$T$15,$G$12,$G$14, 1*$F$13,1200)</f>
        <v>26.454268711350611</v>
      </c>
      <c r="AU13" s="638"/>
      <c r="AV13" s="638"/>
      <c r="AW13" s="638" t="str">
        <f>VLOOKUP(C13,'Foundation Calculation'!$A$2:$C$33,3,1)</f>
        <v>Soil B</v>
      </c>
      <c r="AX13" s="638" t="s">
        <v>1371</v>
      </c>
      <c r="AY13" s="636">
        <f>IF(AX13="PT",VLOOKUP(L13,'Foundation Calculation'!$K$2:$R$40,VLOOKUP(AW13,'Foundation Calculation'!$I$2:$J$8,2,FALSE),0),IF(AX13="K",VLOOKUP(L13,'Foundation Calculation'!$K$42:$R$80,VLOOKUP(AW13,'Foundation Calculation'!$I$2:$J$8,2,FALSE),0),""))</f>
        <v>4</v>
      </c>
      <c r="AZ13" s="484"/>
      <c r="BA13" s="671" t="s">
        <v>2809</v>
      </c>
      <c r="BB13" s="449" t="str">
        <f>Pole_Calculations!A23</f>
        <v>App.7-V11A-P9.5.1.9</v>
      </c>
      <c r="BC13" s="169"/>
      <c r="BD13" s="1329">
        <v>43736</v>
      </c>
      <c r="BE13" s="1329"/>
      <c r="BF13" s="1330"/>
      <c r="BG13" s="1329">
        <v>43893</v>
      </c>
    </row>
    <row r="14" spans="1:59" ht="15.75" customHeight="1">
      <c r="A14" s="449"/>
      <c r="B14" s="445"/>
      <c r="C14" s="446"/>
      <c r="D14" s="638"/>
      <c r="E14" s="638"/>
      <c r="F14" s="447"/>
      <c r="G14" s="484">
        <v>52</v>
      </c>
      <c r="H14" s="1239"/>
      <c r="I14" s="448"/>
      <c r="J14" s="446"/>
      <c r="K14" s="638"/>
      <c r="L14" s="638"/>
      <c r="M14" s="638"/>
      <c r="N14" s="1239"/>
      <c r="O14" s="1239"/>
      <c r="P14" s="1239"/>
      <c r="Q14" s="638"/>
      <c r="R14" s="638"/>
      <c r="S14" s="1343">
        <f t="shared" ref="S14" si="1">+AG15-AG13</f>
        <v>52.580000000001746</v>
      </c>
      <c r="T14" s="638"/>
      <c r="U14" s="638"/>
      <c r="V14" s="638"/>
      <c r="W14" s="638"/>
      <c r="X14" s="638"/>
      <c r="Y14" s="638"/>
      <c r="Z14" s="638"/>
      <c r="AA14" s="638"/>
      <c r="AB14" s="638"/>
      <c r="AC14" s="638"/>
      <c r="AD14" s="638"/>
      <c r="AE14" s="638"/>
      <c r="AF14" s="638"/>
      <c r="AG14" s="446"/>
      <c r="AH14" s="638"/>
      <c r="AI14" s="638"/>
      <c r="AJ14" s="638"/>
      <c r="AK14" s="638"/>
      <c r="AL14" s="638"/>
      <c r="AM14" s="638"/>
      <c r="AN14" s="484"/>
      <c r="AO14" s="638"/>
      <c r="AP14" s="638"/>
      <c r="AQ14" s="484">
        <f>+FL_1($T$15,$U$13,$G$14,1200,9.28, 1*$F$15)</f>
        <v>0.41567755897435904</v>
      </c>
      <c r="AR14" s="484"/>
      <c r="AS14" s="484"/>
      <c r="AT14" s="484"/>
      <c r="AU14" s="638"/>
      <c r="AV14" s="638"/>
      <c r="AW14" s="638"/>
      <c r="AX14" s="638"/>
      <c r="AY14" s="484"/>
      <c r="AZ14" s="484"/>
      <c r="BA14" s="671"/>
      <c r="BB14" s="449"/>
      <c r="BC14" s="169"/>
      <c r="BD14" s="1330"/>
      <c r="BE14" s="1330"/>
      <c r="BF14" s="1330"/>
      <c r="BG14" s="1330"/>
    </row>
    <row r="15" spans="1:59" ht="15.75" customHeight="1">
      <c r="A15" s="449" t="s">
        <v>2932</v>
      </c>
      <c r="B15" s="450" t="s">
        <v>2587</v>
      </c>
      <c r="C15" s="446">
        <f>+$C$13+$G$14</f>
        <v>92874.650000000023</v>
      </c>
      <c r="D15" s="638"/>
      <c r="E15" s="638"/>
      <c r="F15" s="447">
        <v>0</v>
      </c>
      <c r="G15" s="484"/>
      <c r="H15" s="1239" t="s">
        <v>890</v>
      </c>
      <c r="I15" s="448" t="s">
        <v>624</v>
      </c>
      <c r="J15" s="446"/>
      <c r="K15" s="638"/>
      <c r="L15" s="638" t="s">
        <v>818</v>
      </c>
      <c r="M15" s="638" t="str">
        <f>IF(AX15="PT",VLOOKUP(L15,'Foundation Calculation'!$V$2:$X$40,VLOOKUP(AX15,'Foundation Calculation'!$I$10:$J$13,2,FALSE),0),IF(AX15="K",VLOOKUP(L15,'Foundation Calculation'!$V$42:$X$80,VLOOKUP(AX15,'Foundation Calculation'!$I$10:$J$13,2,FALSE),0),""))</f>
        <v>C4R</v>
      </c>
      <c r="N15" s="1239" t="s">
        <v>143</v>
      </c>
      <c r="O15" s="1239"/>
      <c r="P15" s="1239"/>
      <c r="Q15" s="638">
        <v>10</v>
      </c>
      <c r="R15" s="638">
        <v>0</v>
      </c>
      <c r="S15" s="1343"/>
      <c r="T15" s="638">
        <v>-5</v>
      </c>
      <c r="U15" s="638"/>
      <c r="V15" s="638"/>
      <c r="W15" s="638">
        <v>1.4</v>
      </c>
      <c r="X15" s="638"/>
      <c r="Y15" s="638"/>
      <c r="Z15" s="638"/>
      <c r="AA15" s="638"/>
      <c r="AB15" s="638"/>
      <c r="AC15" s="1239" t="s">
        <v>1421</v>
      </c>
      <c r="AD15" s="638"/>
      <c r="AE15" s="638"/>
      <c r="AF15" s="638">
        <v>5800</v>
      </c>
      <c r="AG15" s="446">
        <v>92876.06</v>
      </c>
      <c r="AH15" s="638">
        <v>1903</v>
      </c>
      <c r="AI15" s="638">
        <v>180</v>
      </c>
      <c r="AJ15" s="638" t="s">
        <v>877</v>
      </c>
      <c r="AK15" s="638"/>
      <c r="AL15" s="638"/>
      <c r="AM15" s="638" t="s">
        <v>1043</v>
      </c>
      <c r="AN15" s="484">
        <v>5.5</v>
      </c>
      <c r="AO15" s="638"/>
      <c r="AP15" s="638"/>
      <c r="AQ15" s="484"/>
      <c r="AR15" s="484"/>
      <c r="AS15" s="484"/>
      <c r="AT15" s="484">
        <f>+ab($T$15,$T$13,$T$17,$G$14,$G$16, 1*$F$15,1200)</f>
        <v>-18.717437968597441</v>
      </c>
      <c r="AU15" s="638"/>
      <c r="AV15" s="638"/>
      <c r="AW15" s="638" t="str">
        <f>VLOOKUP(C15,'Foundation Calculation'!$A$2:$C$33,3,1)</f>
        <v>Soil B</v>
      </c>
      <c r="AX15" s="638" t="s">
        <v>1371</v>
      </c>
      <c r="AY15" s="636">
        <f>IF(AX15="PT",VLOOKUP(L15,'Foundation Calculation'!$K$2:$R$40,VLOOKUP(AW15,'Foundation Calculation'!$I$2:$J$8,2,FALSE),0),IF(AX15="K",VLOOKUP(L15,'Foundation Calculation'!$K$42:$R$80,VLOOKUP(AW15,'Foundation Calculation'!$I$2:$J$8,2,FALSE),0),""))</f>
        <v>3.5</v>
      </c>
      <c r="AZ15" s="484"/>
      <c r="BA15" s="671" t="s">
        <v>2809</v>
      </c>
      <c r="BB15" s="449" t="str">
        <f>Pole_Calculations!A20</f>
        <v>App.7-V11A-P9.5.1.6</v>
      </c>
      <c r="BC15" s="169"/>
      <c r="BD15" s="1329">
        <v>43736</v>
      </c>
      <c r="BE15" s="1329" t="s">
        <v>4946</v>
      </c>
      <c r="BF15" s="1330"/>
      <c r="BG15" s="1329">
        <v>43870</v>
      </c>
    </row>
    <row r="16" spans="1:59" ht="15.75" customHeight="1">
      <c r="A16" s="1239"/>
      <c r="B16" s="1239"/>
      <c r="C16" s="171"/>
      <c r="D16" s="1239"/>
      <c r="E16" s="1239"/>
      <c r="F16" s="1239"/>
      <c r="G16" s="455">
        <v>41.4</v>
      </c>
      <c r="H16" s="1239"/>
      <c r="I16" s="1239"/>
      <c r="J16" s="171">
        <f>C15+7.5</f>
        <v>92882.150000000023</v>
      </c>
      <c r="K16" s="638" t="s">
        <v>2787</v>
      </c>
      <c r="L16" s="1239"/>
      <c r="M16" s="1239"/>
      <c r="N16" s="1239"/>
      <c r="O16" s="1239"/>
      <c r="P16" s="1239"/>
      <c r="Q16" s="1239"/>
      <c r="R16" s="1239"/>
      <c r="S16" s="455">
        <f t="shared" ref="S16" si="2">+AG17-AG15</f>
        <v>39.940000000002328</v>
      </c>
      <c r="T16" s="1239"/>
      <c r="U16" s="1239"/>
      <c r="V16" s="1239"/>
      <c r="W16" s="1239"/>
      <c r="X16" s="1239"/>
      <c r="Y16" s="1239"/>
      <c r="Z16" s="1239"/>
      <c r="AA16" s="1239"/>
      <c r="AB16" s="1239"/>
      <c r="AC16" s="638"/>
      <c r="AD16" s="1239"/>
      <c r="AE16" s="1239"/>
      <c r="AF16" s="1239"/>
      <c r="AG16" s="171"/>
      <c r="AH16" s="1239"/>
      <c r="AI16" s="1239"/>
      <c r="AJ16" s="638" t="s">
        <v>864</v>
      </c>
      <c r="AK16" s="1239"/>
      <c r="AL16" s="1239"/>
      <c r="AM16" s="1239"/>
      <c r="AN16" s="484"/>
      <c r="AO16" s="638"/>
      <c r="AP16" s="638"/>
      <c r="AQ16" s="484">
        <f>+FL_1($T$17,$T$15,$G$16,1200,9.28, 1*$F$17)</f>
        <v>0.2642594770821256</v>
      </c>
      <c r="AR16" s="484"/>
      <c r="AS16" s="484"/>
      <c r="AT16" s="484"/>
      <c r="AU16" s="638"/>
      <c r="AV16" s="638"/>
      <c r="AW16" s="638" t="str">
        <f>VLOOKUP(J16,'Foundation Calculation'!$A$2:$C$33,3,1)</f>
        <v>Soil B</v>
      </c>
      <c r="AX16" s="638" t="s">
        <v>1371</v>
      </c>
      <c r="AY16" s="484"/>
      <c r="AZ16" s="484">
        <f>IF(AX16="PT",VLOOKUP(K16,'Foundation Calculation'!$K$2:$R$40,VLOOKUP(AW16,'Foundation Calculation'!$I$2:$J$8,2,FALSE),0),IF(AX16="K",VLOOKUP(K16,'Foundation Calculation'!$K$42:$R$80,VLOOKUP(AW16,'Foundation Calculation'!$I$2:$J$8,2,FALSE),0),""))</f>
        <v>3.9</v>
      </c>
      <c r="BA16" s="671" t="s">
        <v>2809</v>
      </c>
      <c r="BB16" s="1239"/>
      <c r="BC16" s="169"/>
      <c r="BD16" s="1329">
        <v>43736</v>
      </c>
      <c r="BE16" s="1330"/>
      <c r="BF16" s="1330"/>
      <c r="BG16" s="1330"/>
    </row>
    <row r="17" spans="1:59" ht="15.75" customHeight="1">
      <c r="A17" s="420"/>
      <c r="B17" s="1528" t="s">
        <v>2588</v>
      </c>
      <c r="C17" s="432">
        <f>+$C$15+$G$16</f>
        <v>92916.050000000017</v>
      </c>
      <c r="D17" s="420"/>
      <c r="E17" s="420"/>
      <c r="F17" s="420">
        <v>0</v>
      </c>
      <c r="G17" s="444"/>
      <c r="H17" s="420"/>
      <c r="I17" s="420"/>
      <c r="J17" s="432"/>
      <c r="K17" s="420"/>
      <c r="L17" s="420" t="s">
        <v>821</v>
      </c>
      <c r="M17" s="420" t="str">
        <f>IF(AX17="PT",VLOOKUP(L17,'Foundation Calculation'!$V$2:$X$40,VLOOKUP(AX17,'Foundation Calculation'!$I$10:$J$13,2,FALSE),0),IF(AX17="K",VLOOKUP(L17,'Foundation Calculation'!$V$42:$X$80,VLOOKUP(AX17,'Foundation Calculation'!$I$10:$J$13,2,FALSE),0),""))</f>
        <v>C7R</v>
      </c>
      <c r="N17" s="420" t="s">
        <v>144</v>
      </c>
      <c r="O17" s="420"/>
      <c r="P17" s="420"/>
      <c r="Q17" s="420">
        <v>0</v>
      </c>
      <c r="R17" s="420">
        <v>0</v>
      </c>
      <c r="S17" s="444"/>
      <c r="T17" s="420">
        <v>20</v>
      </c>
      <c r="U17" s="420"/>
      <c r="V17" s="420"/>
      <c r="W17" s="420">
        <v>1.4</v>
      </c>
      <c r="X17" s="420"/>
      <c r="Y17" s="420"/>
      <c r="Z17" s="420"/>
      <c r="AA17" s="420"/>
      <c r="AB17" s="420"/>
      <c r="AC17" s="420" t="s">
        <v>1421</v>
      </c>
      <c r="AD17" s="420"/>
      <c r="AE17" s="420"/>
      <c r="AF17" s="420">
        <v>5800</v>
      </c>
      <c r="AG17" s="432">
        <v>92916</v>
      </c>
      <c r="AH17" s="420">
        <v>2693</v>
      </c>
      <c r="AI17" s="420">
        <v>200</v>
      </c>
      <c r="AJ17" s="420"/>
      <c r="AK17" s="420"/>
      <c r="AL17" s="420" t="s">
        <v>2135</v>
      </c>
      <c r="AM17" s="417" t="s">
        <v>1043</v>
      </c>
      <c r="AN17" s="422">
        <v>5.44</v>
      </c>
      <c r="AO17" s="417"/>
      <c r="AP17" s="417"/>
      <c r="AQ17" s="422"/>
      <c r="AR17" s="422"/>
      <c r="AS17" s="422"/>
      <c r="AT17" s="422">
        <f>+ab($T$17,$T$15,$T$19,$G$16,$G$18, 1*$F$17,1200)</f>
        <v>12.481976787894938</v>
      </c>
      <c r="AU17" s="417"/>
      <c r="AV17" s="417"/>
      <c r="AW17" s="417" t="str">
        <f>VLOOKUP(C17,'Foundation Calculation'!$A$2:$C$33,3,1)</f>
        <v>Soil B</v>
      </c>
      <c r="AX17" s="417" t="s">
        <v>1371</v>
      </c>
      <c r="AY17" s="422">
        <f>IF(AX17="PT",VLOOKUP(L17,'Foundation Calculation'!$K$2:$R$40,VLOOKUP(AW17,'Foundation Calculation'!$I$2:$J$8,2,FALSE),0),IF(AX17="K",VLOOKUP(L17,'Foundation Calculation'!$K$42:$R$80,VLOOKUP(AW17,'Foundation Calculation'!$I$2:$J$8,2,FALSE),0),""))</f>
        <v>3.5</v>
      </c>
      <c r="AZ17" s="422"/>
      <c r="BA17" s="604" t="s">
        <v>2809</v>
      </c>
      <c r="BB17" s="420" t="str">
        <f>Pole_Calculations!A178</f>
        <v>App.8-V08F-P10.3</v>
      </c>
      <c r="BC17" s="169"/>
      <c r="BD17" s="1329">
        <v>43736</v>
      </c>
      <c r="BE17" s="1329">
        <v>43840</v>
      </c>
      <c r="BF17" s="1329"/>
      <c r="BG17" s="1329">
        <v>43870</v>
      </c>
    </row>
    <row r="18" spans="1:59" ht="15.75" customHeight="1">
      <c r="A18" s="420"/>
      <c r="B18" s="420"/>
      <c r="C18" s="432"/>
      <c r="D18" s="420"/>
      <c r="E18" s="420"/>
      <c r="F18" s="420"/>
      <c r="G18" s="444">
        <v>44</v>
      </c>
      <c r="H18" s="420"/>
      <c r="I18" s="420"/>
      <c r="J18" s="432"/>
      <c r="K18" s="420"/>
      <c r="L18" s="420"/>
      <c r="M18" s="420"/>
      <c r="N18" s="420"/>
      <c r="O18" s="420"/>
      <c r="P18" s="420"/>
      <c r="Q18" s="420"/>
      <c r="R18" s="420"/>
      <c r="S18" s="444">
        <f t="shared" ref="S18" si="3">+AG19-AG17</f>
        <v>40.139999999999418</v>
      </c>
      <c r="T18" s="420"/>
      <c r="U18" s="420"/>
      <c r="V18" s="420"/>
      <c r="W18" s="420"/>
      <c r="X18" s="420"/>
      <c r="Y18" s="420"/>
      <c r="Z18" s="420"/>
      <c r="AA18" s="420"/>
      <c r="AB18" s="420"/>
      <c r="AC18" s="417"/>
      <c r="AD18" s="420"/>
      <c r="AE18" s="420"/>
      <c r="AF18" s="420"/>
      <c r="AG18" s="432"/>
      <c r="AH18" s="420"/>
      <c r="AI18" s="420"/>
      <c r="AJ18" s="420"/>
      <c r="AK18" s="420"/>
      <c r="AL18" s="420"/>
      <c r="AM18" s="420"/>
      <c r="AN18" s="422"/>
      <c r="AO18" s="417"/>
      <c r="AP18" s="417"/>
      <c r="AQ18" s="422">
        <f>+FL_2($T$19,$T$17,$G$18,1200,9.28, 1*$F$19)</f>
        <v>-0.24058068557575757</v>
      </c>
      <c r="AR18" s="422"/>
      <c r="AS18" s="422"/>
      <c r="AT18" s="422"/>
      <c r="AU18" s="417"/>
      <c r="AV18" s="417"/>
      <c r="AW18" s="417"/>
      <c r="AX18" s="417"/>
      <c r="AY18" s="422" t="str">
        <f>IF(AX18="PT",VLOOKUP(M18,'Foundation Calculation'!$L$2:$R$37,VLOOKUP(AW18,'Foundation Calculation'!$I$2:$J$8,2,FALSE),0),IF(AX18="K",VLOOKUP(M18,'Foundation Calculation'!$L$41:$R$75,VLOOKUP(AW18,'Foundation Calculation'!$I$2:$J$8,2,FALSE),0),""))</f>
        <v/>
      </c>
      <c r="AZ18" s="422" t="str">
        <f>IF(AX18="PT",VLOOKUP(K18,'Foundation Calculation'!$L$2:$R$41,VLOOKUP(AW18,'Foundation Calculation'!$I$2:$J$8,2,FALSE),0),IF(AX18="K",VLOOKUP(K18,'Foundation Calculation'!$L$41:$R$79,VLOOKUP(AW18,'Foundation Calculation'!$I$2:$J$8,2,FALSE),0),""))</f>
        <v/>
      </c>
      <c r="BA18" s="604"/>
      <c r="BB18" s="420"/>
      <c r="BC18" s="169"/>
      <c r="BD18" s="1330"/>
      <c r="BE18" s="1330"/>
      <c r="BF18" s="1330"/>
      <c r="BG18" s="1330"/>
    </row>
    <row r="19" spans="1:59" ht="15.75" customHeight="1">
      <c r="A19" s="420"/>
      <c r="B19" s="591" t="s">
        <v>2589</v>
      </c>
      <c r="C19" s="432">
        <f>+$C$17+$G$18</f>
        <v>92960.050000000017</v>
      </c>
      <c r="D19" s="420"/>
      <c r="E19" s="420"/>
      <c r="F19" s="420">
        <v>0</v>
      </c>
      <c r="G19" s="444"/>
      <c r="H19" s="420"/>
      <c r="I19" s="420"/>
      <c r="J19" s="432"/>
      <c r="K19" s="420"/>
      <c r="L19" s="420" t="s">
        <v>1451</v>
      </c>
      <c r="M19" s="420" t="s">
        <v>4074</v>
      </c>
      <c r="N19" s="420" t="s">
        <v>143</v>
      </c>
      <c r="O19" s="420"/>
      <c r="P19" s="420"/>
      <c r="Q19" s="420">
        <v>10</v>
      </c>
      <c r="R19" s="420">
        <v>0</v>
      </c>
      <c r="S19" s="444"/>
      <c r="T19" s="420">
        <v>-20</v>
      </c>
      <c r="U19" s="420"/>
      <c r="V19" s="420"/>
      <c r="W19" s="420">
        <v>1.4</v>
      </c>
      <c r="X19" s="420"/>
      <c r="Y19" s="420"/>
      <c r="Z19" s="420"/>
      <c r="AA19" s="420"/>
      <c r="AB19" s="420"/>
      <c r="AC19" s="420" t="s">
        <v>1421</v>
      </c>
      <c r="AD19" s="420"/>
      <c r="AE19" s="420"/>
      <c r="AF19" s="420">
        <v>5800</v>
      </c>
      <c r="AG19" s="432">
        <v>92956.14</v>
      </c>
      <c r="AH19" s="420">
        <v>2473</v>
      </c>
      <c r="AI19" s="420">
        <v>120</v>
      </c>
      <c r="AJ19" s="420"/>
      <c r="AK19" s="420"/>
      <c r="AL19" s="420" t="s">
        <v>2143</v>
      </c>
      <c r="AM19" s="417" t="s">
        <v>1043</v>
      </c>
      <c r="AN19" s="422">
        <v>5.37</v>
      </c>
      <c r="AO19" s="417"/>
      <c r="AP19" s="417"/>
      <c r="AQ19" s="422"/>
      <c r="AR19" s="422"/>
      <c r="AS19" s="422"/>
      <c r="AT19" s="422">
        <f>+ab($T$19,$T$17,$T$21,$G$18,$G$20, 1*$F$19,1200)</f>
        <v>-8.3263469298837514</v>
      </c>
      <c r="AU19" s="417"/>
      <c r="AV19" s="417"/>
      <c r="AW19" s="417" t="str">
        <f>VLOOKUP(C19,'Foundation Calculation'!$A$2:$C$33,3,1)</f>
        <v>Soil B</v>
      </c>
      <c r="AX19" s="417" t="s">
        <v>1371</v>
      </c>
      <c r="AY19" s="422">
        <f>IF(AX19="PT",VLOOKUP(L19,'Foundation Calculation'!$K$2:$R$40,VLOOKUP(AW19,'Foundation Calculation'!$I$2:$J$8,2,FALSE),0),IF(AX19="K",VLOOKUP(L19,'Foundation Calculation'!$K$42:$R$80,VLOOKUP(AW19,'Foundation Calculation'!$I$2:$J$8,2,FALSE),0),""))</f>
        <v>4.4000000000000004</v>
      </c>
      <c r="AZ19" s="422"/>
      <c r="BA19" s="604" t="s">
        <v>2809</v>
      </c>
      <c r="BB19" s="420" t="str">
        <f>Pole_Calculations!A178</f>
        <v>App.8-V08F-P10.3</v>
      </c>
      <c r="BC19" s="169"/>
      <c r="BD19" s="1329">
        <v>43736</v>
      </c>
      <c r="BE19" s="1329"/>
      <c r="BF19" s="1329"/>
      <c r="BG19" s="1329">
        <v>43898</v>
      </c>
    </row>
    <row r="20" spans="1:59" ht="15.75" customHeight="1">
      <c r="A20" s="420"/>
      <c r="B20" s="420"/>
      <c r="C20" s="432"/>
      <c r="D20" s="420"/>
      <c r="E20" s="420"/>
      <c r="F20" s="420"/>
      <c r="G20" s="444">
        <v>29</v>
      </c>
      <c r="H20" s="420"/>
      <c r="I20" s="420"/>
      <c r="J20" s="432"/>
      <c r="K20" s="420"/>
      <c r="L20" s="420"/>
      <c r="M20" s="420"/>
      <c r="N20" s="420"/>
      <c r="O20" s="420"/>
      <c r="P20" s="420"/>
      <c r="Q20" s="420"/>
      <c r="R20" s="420"/>
      <c r="S20" s="444">
        <f t="shared" ref="S20" si="4">+AG21-AG19</f>
        <v>32.860000000000582</v>
      </c>
      <c r="T20" s="420"/>
      <c r="U20" s="420"/>
      <c r="V20" s="420"/>
      <c r="W20" s="420"/>
      <c r="X20" s="420"/>
      <c r="Y20" s="420"/>
      <c r="Z20" s="420"/>
      <c r="AA20" s="420"/>
      <c r="AB20" s="420"/>
      <c r="AC20" s="417"/>
      <c r="AD20" s="420"/>
      <c r="AE20" s="420"/>
      <c r="AF20" s="420"/>
      <c r="AG20" s="432"/>
      <c r="AH20" s="420"/>
      <c r="AI20" s="420"/>
      <c r="AJ20" s="420"/>
      <c r="AK20" s="420"/>
      <c r="AL20" s="420"/>
      <c r="AM20" s="420"/>
      <c r="AN20" s="422"/>
      <c r="AO20" s="417"/>
      <c r="AP20" s="417"/>
      <c r="AQ20" s="422">
        <f>+FL_1($T$21,$T$19,$G$20,1200,9.28, 1*$F$21)</f>
        <v>0.2</v>
      </c>
      <c r="AR20" s="422"/>
      <c r="AS20" s="422"/>
      <c r="AT20" s="422"/>
      <c r="AU20" s="417"/>
      <c r="AV20" s="417"/>
      <c r="AW20" s="417"/>
      <c r="AX20" s="417"/>
      <c r="AY20" s="422" t="str">
        <f>IF(AX20="PT",VLOOKUP(M20,'Foundation Calculation'!$L$2:$R$37,VLOOKUP(AW20,'Foundation Calculation'!$I$2:$J$8,2,FALSE),0),IF(AX20="K",VLOOKUP(M20,'Foundation Calculation'!$L$41:$R$75,VLOOKUP(AW20,'Foundation Calculation'!$I$2:$J$8,2,FALSE),0),""))</f>
        <v/>
      </c>
      <c r="AZ20" s="422" t="str">
        <f>IF(AX20="PT",VLOOKUP(K20,'Foundation Calculation'!$L$2:$R$41,VLOOKUP(AW20,'Foundation Calculation'!$I$2:$J$8,2,FALSE),0),IF(AX20="K",VLOOKUP(K20,'Foundation Calculation'!$L$41:$R$79,VLOOKUP(AW20,'Foundation Calculation'!$I$2:$J$8,2,FALSE),0),""))</f>
        <v/>
      </c>
      <c r="BA20" s="604"/>
      <c r="BB20" s="420"/>
      <c r="BC20" s="169"/>
      <c r="BD20" s="1330"/>
      <c r="BE20" s="1330"/>
      <c r="BF20" s="1330"/>
      <c r="BG20" s="1330"/>
    </row>
    <row r="21" spans="1:59" ht="15.75" customHeight="1">
      <c r="A21" s="420"/>
      <c r="B21" s="590" t="s">
        <v>2590</v>
      </c>
      <c r="C21" s="432">
        <f>+$C$19+$G$20+2</f>
        <v>92991.050000000017</v>
      </c>
      <c r="D21" s="420"/>
      <c r="E21" s="420"/>
      <c r="F21" s="420">
        <v>0</v>
      </c>
      <c r="G21" s="444"/>
      <c r="H21" s="420"/>
      <c r="I21" s="420"/>
      <c r="J21" s="432"/>
      <c r="K21" s="420"/>
      <c r="L21" s="420" t="s">
        <v>4488</v>
      </c>
      <c r="M21" s="420" t="s">
        <v>4679</v>
      </c>
      <c r="N21" s="420" t="s">
        <v>144</v>
      </c>
      <c r="O21" s="420"/>
      <c r="P21" s="420"/>
      <c r="Q21" s="420">
        <v>10</v>
      </c>
      <c r="R21" s="420">
        <v>0</v>
      </c>
      <c r="S21" s="444"/>
      <c r="T21" s="420">
        <v>20</v>
      </c>
      <c r="U21" s="420"/>
      <c r="V21" s="420"/>
      <c r="W21" s="420">
        <v>1.1000000000000001</v>
      </c>
      <c r="X21" s="420"/>
      <c r="Y21" s="420"/>
      <c r="Z21" s="420"/>
      <c r="AA21" s="420"/>
      <c r="AB21" s="420"/>
      <c r="AC21" s="420" t="s">
        <v>4090</v>
      </c>
      <c r="AD21" s="420"/>
      <c r="AE21" s="420"/>
      <c r="AF21" s="420">
        <v>5000</v>
      </c>
      <c r="AG21" s="432">
        <v>92989</v>
      </c>
      <c r="AH21" s="420">
        <v>2603</v>
      </c>
      <c r="AI21" s="420">
        <v>-120</v>
      </c>
      <c r="AJ21" s="420"/>
      <c r="AK21" s="420"/>
      <c r="AL21" s="420" t="s">
        <v>4490</v>
      </c>
      <c r="AM21" s="417" t="s">
        <v>1043</v>
      </c>
      <c r="AN21" s="422">
        <v>5.26</v>
      </c>
      <c r="AO21" s="417"/>
      <c r="AP21" s="417"/>
      <c r="AQ21" s="422"/>
      <c r="AR21" s="422"/>
      <c r="AS21" s="422"/>
      <c r="AT21" s="422">
        <f>+ab($T$21,$T$19,$T$23,$G$20,$G$22, 1*$F$21,1200)</f>
        <v>7.7787751299943606</v>
      </c>
      <c r="AU21" s="417"/>
      <c r="AV21" s="417"/>
      <c r="AW21" s="417" t="str">
        <f>VLOOKUP(C21,'Foundation Calculation'!$A$2:$C$33,3,1)</f>
        <v>Soil B</v>
      </c>
      <c r="AX21" s="417" t="s">
        <v>1371</v>
      </c>
      <c r="AY21" s="422">
        <f>IF(AX21="PT",VLOOKUP(L21,'Foundation Calculation'!$K$2:$R$40,VLOOKUP(AW21,'Foundation Calculation'!$I$2:$J$8,2,FALSE),0),IF(AX21="K",VLOOKUP(L21,'Foundation Calculation'!$K$42:$R$80,VLOOKUP(AW21,'Foundation Calculation'!$I$2:$J$8,2,FALSE),0),""))</f>
        <v>4.5999999999999996</v>
      </c>
      <c r="AZ21" s="422" t="s">
        <v>638</v>
      </c>
      <c r="BA21" s="604" t="s">
        <v>2809</v>
      </c>
      <c r="BB21" s="420" t="str">
        <f>Pole_Calculations!A178</f>
        <v>App.8-V08F-P10.3</v>
      </c>
      <c r="BC21" s="169"/>
      <c r="BD21" s="1329">
        <v>43743</v>
      </c>
      <c r="BE21" s="1329"/>
      <c r="BF21" s="1329"/>
      <c r="BG21" s="1329">
        <v>43893</v>
      </c>
    </row>
    <row r="22" spans="1:59" ht="15.75" customHeight="1">
      <c r="A22" s="420"/>
      <c r="B22" s="420"/>
      <c r="C22" s="432"/>
      <c r="D22" s="420"/>
      <c r="E22" s="420"/>
      <c r="F22" s="420"/>
      <c r="G22" s="444">
        <v>37.299999999999997</v>
      </c>
      <c r="H22" s="420"/>
      <c r="I22" s="420"/>
      <c r="J22" s="432"/>
      <c r="K22" s="420"/>
      <c r="L22" s="420"/>
      <c r="M22" s="420"/>
      <c r="N22" s="420"/>
      <c r="O22" s="420"/>
      <c r="P22" s="420"/>
      <c r="Q22" s="420"/>
      <c r="R22" s="420"/>
      <c r="S22" s="444">
        <f t="shared" ref="S22" si="5">+AG23-AG21</f>
        <v>37</v>
      </c>
      <c r="T22" s="420"/>
      <c r="U22" s="420"/>
      <c r="V22" s="420"/>
      <c r="W22" s="420"/>
      <c r="X22" s="420"/>
      <c r="Y22" s="420"/>
      <c r="Z22" s="420"/>
      <c r="AA22" s="420"/>
      <c r="AB22" s="420"/>
      <c r="AC22" s="417"/>
      <c r="AD22" s="420"/>
      <c r="AE22" s="420"/>
      <c r="AF22" s="420"/>
      <c r="AG22" s="432"/>
      <c r="AH22" s="420"/>
      <c r="AI22" s="420"/>
      <c r="AJ22" s="420"/>
      <c r="AK22" s="420"/>
      <c r="AL22" s="420"/>
      <c r="AM22" s="420"/>
      <c r="AN22" s="422"/>
      <c r="AO22" s="417"/>
      <c r="AP22" s="417"/>
      <c r="AQ22" s="422">
        <f>+FL_1($T$23,$T$21,$G$22,1200,9.28, 1*$F$23)</f>
        <v>0.7050821522774311</v>
      </c>
      <c r="AR22" s="422"/>
      <c r="AS22" s="422"/>
      <c r="AT22" s="422"/>
      <c r="AU22" s="417"/>
      <c r="AV22" s="417"/>
      <c r="AW22" s="417"/>
      <c r="AX22" s="417"/>
      <c r="AY22" s="422" t="str">
        <f>IF(AX22="PT",VLOOKUP(M22,'Foundation Calculation'!$L$2:$R$37,VLOOKUP(AW22,'Foundation Calculation'!$I$2:$J$8,2,FALSE),0),IF(AX22="K",VLOOKUP(M22,'Foundation Calculation'!$L$41:$R$75,VLOOKUP(AW22,'Foundation Calculation'!$I$2:$J$8,2,FALSE),0),""))</f>
        <v/>
      </c>
      <c r="AZ22" s="422" t="str">
        <f>IF(AX22="PT",VLOOKUP(K22,'Foundation Calculation'!$L$2:$R$41,VLOOKUP(AW22,'Foundation Calculation'!$I$2:$J$8,2,FALSE),0),IF(AX22="K",VLOOKUP(K22,'Foundation Calculation'!$L$41:$R$79,VLOOKUP(AW22,'Foundation Calculation'!$I$2:$J$8,2,FALSE),0),""))</f>
        <v/>
      </c>
      <c r="BA22" s="604"/>
      <c r="BB22" s="420"/>
      <c r="BC22" s="169"/>
      <c r="BD22" s="1330"/>
      <c r="BE22" s="1330"/>
      <c r="BF22" s="1330"/>
      <c r="BG22" s="1330"/>
    </row>
    <row r="23" spans="1:59" ht="15.75" customHeight="1">
      <c r="A23" s="420"/>
      <c r="B23" s="589" t="s">
        <v>2591</v>
      </c>
      <c r="C23" s="432">
        <f>+$C$21+$G$22-2</f>
        <v>93026.35000000002</v>
      </c>
      <c r="D23" s="420"/>
      <c r="E23" s="420"/>
      <c r="F23" s="420">
        <v>-313</v>
      </c>
      <c r="G23" s="444"/>
      <c r="H23" s="420"/>
      <c r="I23" s="420"/>
      <c r="J23" s="432"/>
      <c r="K23" s="420"/>
      <c r="L23" s="420" t="s">
        <v>4488</v>
      </c>
      <c r="M23" s="420" t="str">
        <f>IF(AX23="PT",VLOOKUP(L23,'Foundation Calculation'!$V$2:$X$40,VLOOKUP(AX23,'Foundation Calculation'!$I$10:$J$13,2,FALSE),0),IF(AX23="K",VLOOKUP(L23,'Foundation Calculation'!$V$42:$X$80,VLOOKUP(AX23,'Foundation Calculation'!$I$10:$J$13,2,FALSE),0),""))</f>
        <v>C11R</v>
      </c>
      <c r="N23" s="420" t="s">
        <v>2789</v>
      </c>
      <c r="O23" s="420"/>
      <c r="P23" s="420"/>
      <c r="Q23" s="420">
        <v>60</v>
      </c>
      <c r="R23" s="420">
        <v>-312.74</v>
      </c>
      <c r="S23" s="444"/>
      <c r="T23" s="420">
        <v>-20</v>
      </c>
      <c r="U23" s="420"/>
      <c r="V23" s="420"/>
      <c r="W23" s="420">
        <v>0.75</v>
      </c>
      <c r="X23" s="420"/>
      <c r="Y23" s="420"/>
      <c r="Z23" s="420"/>
      <c r="AA23" s="420"/>
      <c r="AB23" s="420"/>
      <c r="AC23" s="420" t="s">
        <v>3050</v>
      </c>
      <c r="AD23" s="420"/>
      <c r="AE23" s="420"/>
      <c r="AF23" s="420">
        <v>5300</v>
      </c>
      <c r="AG23" s="432">
        <v>93026</v>
      </c>
      <c r="AH23" s="420">
        <v>2543</v>
      </c>
      <c r="AI23" s="420">
        <v>90</v>
      </c>
      <c r="AJ23" s="420"/>
      <c r="AK23" s="420"/>
      <c r="AL23" s="420" t="s">
        <v>4490</v>
      </c>
      <c r="AM23" s="417" t="s">
        <v>1043</v>
      </c>
      <c r="AN23" s="422">
        <v>5.19</v>
      </c>
      <c r="AO23" s="417"/>
      <c r="AP23" s="417"/>
      <c r="AQ23" s="422"/>
      <c r="AR23" s="422"/>
      <c r="AS23" s="422"/>
      <c r="AT23" s="422">
        <f>+ab($T$23,$T$21,$T$25,$G$22,$G$24, 1*$F$23,1200)</f>
        <v>-1.6676247119399588</v>
      </c>
      <c r="AU23" s="417"/>
      <c r="AV23" s="417"/>
      <c r="AW23" s="417" t="str">
        <f>VLOOKUP(C23,'Foundation Calculation'!$A$2:$C$33,3,1)</f>
        <v>Soil B</v>
      </c>
      <c r="AX23" s="417" t="s">
        <v>1371</v>
      </c>
      <c r="AY23" s="422">
        <f>IF(AX23="PT",VLOOKUP(L23,'Foundation Calculation'!$K$2:$R$40,VLOOKUP(AW23,'Foundation Calculation'!$I$2:$J$8,2,FALSE),0),IF(AX23="K",VLOOKUP(L23,'Foundation Calculation'!$K$42:$R$80,VLOOKUP(AW23,'Foundation Calculation'!$I$2:$J$8,2,FALSE),0),""))</f>
        <v>4.5999999999999996</v>
      </c>
      <c r="AZ23" s="422"/>
      <c r="BA23" s="604" t="s">
        <v>2809</v>
      </c>
      <c r="BB23" s="420" t="str">
        <f>Pole_Calculations!A178</f>
        <v>App.8-V08F-P10.3</v>
      </c>
      <c r="BC23" s="169"/>
      <c r="BD23" s="1329">
        <v>43743</v>
      </c>
      <c r="BE23" s="1329"/>
      <c r="BF23" s="1329"/>
      <c r="BG23" s="1329">
        <v>43893</v>
      </c>
    </row>
    <row r="24" spans="1:59" ht="15.75" customHeight="1">
      <c r="A24" s="420"/>
      <c r="B24" s="420"/>
      <c r="C24" s="432"/>
      <c r="D24" s="420"/>
      <c r="E24" s="420"/>
      <c r="F24" s="420"/>
      <c r="G24" s="444">
        <v>28</v>
      </c>
      <c r="H24" s="420"/>
      <c r="I24" s="420"/>
      <c r="J24" s="432"/>
      <c r="K24" s="420"/>
      <c r="L24" s="420"/>
      <c r="M24" s="420"/>
      <c r="N24" s="420"/>
      <c r="O24" s="420"/>
      <c r="P24" s="420"/>
      <c r="Q24" s="420"/>
      <c r="R24" s="420"/>
      <c r="S24" s="444">
        <f t="shared" ref="S24" si="6">+AG25-AG23</f>
        <v>28.779999999998836</v>
      </c>
      <c r="T24" s="420"/>
      <c r="U24" s="420"/>
      <c r="V24" s="420"/>
      <c r="W24" s="420"/>
      <c r="X24" s="420"/>
      <c r="Y24" s="420"/>
      <c r="Z24" s="420"/>
      <c r="AA24" s="420"/>
      <c r="AB24" s="420"/>
      <c r="AC24" s="417"/>
      <c r="AD24" s="420"/>
      <c r="AE24" s="420"/>
      <c r="AF24" s="420"/>
      <c r="AG24" s="432"/>
      <c r="AH24" s="420"/>
      <c r="AI24" s="420"/>
      <c r="AJ24" s="420"/>
      <c r="AK24" s="420"/>
      <c r="AL24" s="420"/>
      <c r="AM24" s="420"/>
      <c r="AN24" s="422"/>
      <c r="AO24" s="417"/>
      <c r="AP24" s="417"/>
      <c r="AQ24" s="422">
        <f>+FL_2($T$25,$T$23,$G$24,1200,9.28, 1*$F$25)</f>
        <v>-0.20000000000003978</v>
      </c>
      <c r="AR24" s="422"/>
      <c r="AS24" s="422"/>
      <c r="AT24" s="422"/>
      <c r="AU24" s="417"/>
      <c r="AV24" s="417"/>
      <c r="AW24" s="417"/>
      <c r="AX24" s="417"/>
      <c r="AY24" s="422"/>
      <c r="AZ24" s="422" t="str">
        <f>IF(AX24="PT",VLOOKUP(K24,'Foundation Calculation'!$L$2:$R$41,VLOOKUP(AW24,'Foundation Calculation'!$I$2:$J$8,2,FALSE),0),IF(AX24="K",VLOOKUP(K24,'Foundation Calculation'!$L$41:$R$79,VLOOKUP(AW24,'Foundation Calculation'!$I$2:$J$8,2,FALSE),0),""))</f>
        <v/>
      </c>
      <c r="BA24" s="604"/>
      <c r="BB24" s="420"/>
      <c r="BC24" s="169"/>
      <c r="BD24" s="1330"/>
      <c r="BE24" s="1330"/>
      <c r="BF24" s="1330"/>
      <c r="BG24" s="1330"/>
    </row>
    <row r="25" spans="1:59" ht="15.75" customHeight="1">
      <c r="A25" s="495" t="s">
        <v>1851</v>
      </c>
      <c r="B25" s="579" t="s">
        <v>2592</v>
      </c>
      <c r="C25" s="431">
        <f>+$C$23+$G$24</f>
        <v>93054.35000000002</v>
      </c>
      <c r="D25" s="495"/>
      <c r="E25" s="495"/>
      <c r="F25" s="495">
        <v>-313</v>
      </c>
      <c r="G25" s="457"/>
      <c r="H25" s="495"/>
      <c r="I25" s="495"/>
      <c r="J25" s="431"/>
      <c r="K25" s="495"/>
      <c r="L25" s="495" t="s">
        <v>834</v>
      </c>
      <c r="M25" s="495"/>
      <c r="N25" s="495" t="s">
        <v>2789</v>
      </c>
      <c r="O25" s="495"/>
      <c r="P25" s="495"/>
      <c r="Q25" s="495">
        <v>0</v>
      </c>
      <c r="R25" s="495">
        <v>-312.74</v>
      </c>
      <c r="S25" s="457"/>
      <c r="T25" s="495">
        <v>-20</v>
      </c>
      <c r="U25" s="495"/>
      <c r="V25" s="495"/>
      <c r="W25" s="495">
        <v>0.75</v>
      </c>
      <c r="X25" s="495"/>
      <c r="Y25" s="495"/>
      <c r="Z25" s="495"/>
      <c r="AA25" s="495"/>
      <c r="AB25" s="495"/>
      <c r="AC25" s="495" t="s">
        <v>3050</v>
      </c>
      <c r="AD25" s="495"/>
      <c r="AE25" s="495"/>
      <c r="AF25" s="495">
        <v>557</v>
      </c>
      <c r="AG25" s="431">
        <v>93054.78</v>
      </c>
      <c r="AH25" s="495">
        <v>2453</v>
      </c>
      <c r="AI25" s="495">
        <v>-4680</v>
      </c>
      <c r="AJ25" s="495"/>
      <c r="AK25" s="495"/>
      <c r="AL25" s="495"/>
      <c r="AM25" s="495" t="s">
        <v>2129</v>
      </c>
      <c r="AN25" s="493">
        <v>5.15</v>
      </c>
      <c r="AO25" s="490"/>
      <c r="AP25" s="490"/>
      <c r="AQ25" s="493"/>
      <c r="AR25" s="493"/>
      <c r="AS25" s="493"/>
      <c r="AT25" s="493">
        <f>+ab($T$25,$T$23,$T$27,$G$24,$G$26, 1*$F$25,1200)</f>
        <v>-2.1440844823075773</v>
      </c>
      <c r="AU25" s="490"/>
      <c r="AV25" s="490"/>
      <c r="AW25" s="490" t="s">
        <v>2846</v>
      </c>
      <c r="AX25" s="490"/>
      <c r="AY25" s="493"/>
      <c r="AZ25" s="493"/>
      <c r="BA25" s="602" t="s">
        <v>2809</v>
      </c>
      <c r="BB25" s="495"/>
      <c r="BC25" s="169"/>
      <c r="BD25" s="1330"/>
      <c r="BE25" s="1329"/>
      <c r="BF25" s="1330"/>
      <c r="BG25" s="1329">
        <v>43893</v>
      </c>
    </row>
    <row r="26" spans="1:59" ht="15.75" customHeight="1">
      <c r="A26" s="488"/>
      <c r="B26" s="495"/>
      <c r="C26" s="431"/>
      <c r="D26" s="495"/>
      <c r="E26" s="495"/>
      <c r="F26" s="495"/>
      <c r="G26" s="457">
        <v>28</v>
      </c>
      <c r="H26" s="495"/>
      <c r="I26" s="495"/>
      <c r="J26" s="431"/>
      <c r="K26" s="495"/>
      <c r="L26" s="495"/>
      <c r="M26" s="495"/>
      <c r="N26" s="495"/>
      <c r="O26" s="495"/>
      <c r="P26" s="495"/>
      <c r="Q26" s="495"/>
      <c r="R26" s="495"/>
      <c r="S26" s="457">
        <f t="shared" ref="S26" si="7">+AG27-AG25</f>
        <v>27.220000000001164</v>
      </c>
      <c r="T26" s="495"/>
      <c r="U26" s="495"/>
      <c r="V26" s="495"/>
      <c r="W26" s="495"/>
      <c r="X26" s="495"/>
      <c r="Y26" s="495"/>
      <c r="Z26" s="495"/>
      <c r="AA26" s="495"/>
      <c r="AB26" s="495"/>
      <c r="AC26" s="490"/>
      <c r="AD26" s="495"/>
      <c r="AE26" s="495"/>
      <c r="AF26" s="495"/>
      <c r="AG26" s="431"/>
      <c r="AH26" s="495"/>
      <c r="AI26" s="495"/>
      <c r="AJ26" s="495"/>
      <c r="AK26" s="495"/>
      <c r="AL26" s="495"/>
      <c r="AM26" s="495"/>
      <c r="AN26" s="493"/>
      <c r="AO26" s="490"/>
      <c r="AP26" s="490"/>
      <c r="AQ26" s="493">
        <f>+FL_2($T$27,$T$25,$G$26,1200,9.28, 1*$F$27)</f>
        <v>-0.20000000000003978</v>
      </c>
      <c r="AR26" s="493"/>
      <c r="AS26" s="493"/>
      <c r="AT26" s="493"/>
      <c r="AU26" s="490"/>
      <c r="AV26" s="490"/>
      <c r="AW26" s="490"/>
      <c r="AX26" s="490"/>
      <c r="AY26" s="493" t="str">
        <f>IF(AX26="PT",VLOOKUP(M26,'Foundation Calculation'!$L$2:$R$37,VLOOKUP(AW26,'Foundation Calculation'!$I$2:$J$8,2,FALSE),0),IF(AX26="K",VLOOKUP(M26,'Foundation Calculation'!$L$41:$R$75,VLOOKUP(AW26,'Foundation Calculation'!$I$2:$J$8,2,FALSE),0),""))</f>
        <v/>
      </c>
      <c r="AZ26" s="493" t="str">
        <f>IF(AX26="PT",VLOOKUP(K26,'Foundation Calculation'!$L$2:$R$41,VLOOKUP(AW26,'Foundation Calculation'!$I$2:$J$8,2,FALSE),0),IF(AX26="K",VLOOKUP(K26,'Foundation Calculation'!$L$41:$R$79,VLOOKUP(AW26,'Foundation Calculation'!$I$2:$J$8,2,FALSE),0),""))</f>
        <v/>
      </c>
      <c r="BA26" s="602"/>
      <c r="BB26" s="488"/>
      <c r="BC26" s="169"/>
      <c r="BD26" s="1330"/>
      <c r="BE26" s="1330"/>
      <c r="BF26" s="1330"/>
      <c r="BG26" s="1330"/>
    </row>
    <row r="27" spans="1:59" ht="15.75" customHeight="1">
      <c r="A27" s="414" t="s">
        <v>2605</v>
      </c>
      <c r="B27" s="578" t="s">
        <v>2593</v>
      </c>
      <c r="C27" s="432">
        <f>+$C$25+$G$26</f>
        <v>93082.35000000002</v>
      </c>
      <c r="D27" s="420"/>
      <c r="E27" s="420"/>
      <c r="F27" s="420">
        <v>-313</v>
      </c>
      <c r="G27" s="444"/>
      <c r="H27" s="420"/>
      <c r="I27" s="420"/>
      <c r="J27" s="432"/>
      <c r="K27" s="420"/>
      <c r="L27" s="420" t="s">
        <v>229</v>
      </c>
      <c r="M27" s="420" t="str">
        <f>IF(AX27="PT",VLOOKUP(L27,'Foundation Calculation'!$V$2:$X$40,VLOOKUP(AX27,'Foundation Calculation'!$I$10:$J$13,2,FALSE),0),IF(AX27="K",VLOOKUP(L27,'Foundation Calculation'!$V$42:$X$80,VLOOKUP(AX27,'Foundation Calculation'!$I$10:$J$13,2,FALSE),0),""))</f>
        <v>C3R</v>
      </c>
      <c r="N27" s="420" t="s">
        <v>143</v>
      </c>
      <c r="O27" s="420"/>
      <c r="P27" s="420"/>
      <c r="Q27" s="420">
        <v>0</v>
      </c>
      <c r="R27" s="420">
        <v>0</v>
      </c>
      <c r="S27" s="444"/>
      <c r="T27" s="420">
        <v>-20</v>
      </c>
      <c r="U27" s="420"/>
      <c r="V27" s="420"/>
      <c r="W27" s="420">
        <v>0.75</v>
      </c>
      <c r="X27" s="420"/>
      <c r="Y27" s="420"/>
      <c r="Z27" s="420"/>
      <c r="AA27" s="420"/>
      <c r="AB27" s="420"/>
      <c r="AC27" s="420" t="s">
        <v>1421</v>
      </c>
      <c r="AD27" s="420"/>
      <c r="AE27" s="420"/>
      <c r="AF27" s="420">
        <v>5400</v>
      </c>
      <c r="AG27" s="432">
        <v>93082</v>
      </c>
      <c r="AH27" s="420">
        <v>3013</v>
      </c>
      <c r="AI27" s="420">
        <v>150</v>
      </c>
      <c r="AJ27" s="420"/>
      <c r="AK27" s="420"/>
      <c r="AL27" s="420"/>
      <c r="AM27" s="420" t="s">
        <v>1043</v>
      </c>
      <c r="AN27" s="422">
        <v>5.15</v>
      </c>
      <c r="AO27" s="417"/>
      <c r="AP27" s="417"/>
      <c r="AQ27" s="422"/>
      <c r="AR27" s="422"/>
      <c r="AS27" s="422"/>
      <c r="AT27" s="422">
        <f>+ab($T$27,$T$25,$T$29,$G$26,$G$28, 1*$F$27,1200)</f>
        <v>-1.8701893099594848</v>
      </c>
      <c r="AU27" s="417"/>
      <c r="AV27" s="417"/>
      <c r="AW27" s="417" t="str">
        <f>VLOOKUP(C27,'Foundation Calculation'!$A$2:$C$33,3,1)</f>
        <v>Soil B</v>
      </c>
      <c r="AX27" s="417" t="s">
        <v>1371</v>
      </c>
      <c r="AY27" s="422">
        <f>IF(AX27="PT",VLOOKUP(L27,'Foundation Calculation'!$K$2:$R$40,VLOOKUP(AW27,'Foundation Calculation'!$I$2:$J$8,2,FALSE),0),IF(AX27="K",VLOOKUP(L27,'Foundation Calculation'!$K$42:$R$80,VLOOKUP(AW27,'Foundation Calculation'!$I$2:$J$8,2,FALSE),0),""))</f>
        <v>3.5</v>
      </c>
      <c r="AZ27" s="422"/>
      <c r="BA27" s="604" t="s">
        <v>2809</v>
      </c>
      <c r="BB27" s="414" t="str">
        <f>Pole_Calculations!A15</f>
        <v>App.7-V11A-P9.5.1.1</v>
      </c>
      <c r="BC27" s="169"/>
      <c r="BD27" s="1329">
        <v>43722</v>
      </c>
      <c r="BE27" s="1329" t="s">
        <v>4946</v>
      </c>
      <c r="BF27" s="1330"/>
      <c r="BG27" s="1329">
        <v>43808</v>
      </c>
    </row>
    <row r="28" spans="1:59" ht="15.75" customHeight="1">
      <c r="A28" s="414" t="s">
        <v>1854</v>
      </c>
      <c r="B28" s="420"/>
      <c r="C28" s="432"/>
      <c r="D28" s="420"/>
      <c r="E28" s="420"/>
      <c r="F28" s="420"/>
      <c r="G28" s="444">
        <v>26.9</v>
      </c>
      <c r="H28" s="420"/>
      <c r="I28" s="420"/>
      <c r="J28" s="432">
        <f>C29-7.5</f>
        <v>93101.750000000015</v>
      </c>
      <c r="K28" s="420" t="s">
        <v>2788</v>
      </c>
      <c r="L28" s="420"/>
      <c r="M28" s="420"/>
      <c r="N28" s="420"/>
      <c r="O28" s="420"/>
      <c r="P28" s="420"/>
      <c r="Q28" s="420"/>
      <c r="R28" s="420"/>
      <c r="S28" s="444">
        <f t="shared" ref="S28" si="8">+AG29-AG27</f>
        <v>27</v>
      </c>
      <c r="T28" s="420"/>
      <c r="U28" s="420"/>
      <c r="V28" s="420"/>
      <c r="W28" s="420"/>
      <c r="X28" s="420"/>
      <c r="Y28" s="420"/>
      <c r="Z28" s="420"/>
      <c r="AA28" s="420"/>
      <c r="AB28" s="420"/>
      <c r="AC28" s="417"/>
      <c r="AD28" s="420"/>
      <c r="AE28" s="420"/>
      <c r="AF28" s="420"/>
      <c r="AG28" s="432"/>
      <c r="AH28" s="420"/>
      <c r="AI28" s="420"/>
      <c r="AJ28" s="420"/>
      <c r="AK28" s="420"/>
      <c r="AL28" s="420"/>
      <c r="AM28" s="420"/>
      <c r="AN28" s="422"/>
      <c r="AO28" s="417"/>
      <c r="AP28" s="417"/>
      <c r="AQ28" s="422">
        <f>+FL_2($T$29,$T$27,$G$28,1200,9.28, 1*$F$29)</f>
        <v>-0.20000000000000623</v>
      </c>
      <c r="AR28" s="422"/>
      <c r="AS28" s="422"/>
      <c r="AT28" s="422"/>
      <c r="AU28" s="417"/>
      <c r="AV28" s="417"/>
      <c r="AW28" s="417" t="str">
        <f>VLOOKUP(J28,'Foundation Calculation'!$A$2:$C$33,3,1)</f>
        <v>Soil B</v>
      </c>
      <c r="AX28" s="417" t="s">
        <v>1371</v>
      </c>
      <c r="AY28" s="422"/>
      <c r="AZ28" s="422">
        <f>IF(AX28="PT",VLOOKUP(K28,'Foundation Calculation'!$K$2:$R$40,VLOOKUP(AW28,'Foundation Calculation'!$I$2:$J$8,2,FALSE),0),IF(AX28="K",VLOOKUP(K28,'Foundation Calculation'!$K$42:$R$80,VLOOKUP(AW28,'Foundation Calculation'!$I$2:$J$8,2,FALSE),0),""))</f>
        <v>2.8</v>
      </c>
      <c r="BA28" s="604" t="s">
        <v>2809</v>
      </c>
      <c r="BB28" s="414"/>
      <c r="BC28" s="169"/>
      <c r="BD28" s="1329">
        <v>43722</v>
      </c>
      <c r="BE28" s="1330"/>
      <c r="BF28" s="1330"/>
      <c r="BG28" s="1330"/>
    </row>
    <row r="29" spans="1:59" ht="15.75" customHeight="1">
      <c r="A29" s="420"/>
      <c r="B29" s="578" t="s">
        <v>2603</v>
      </c>
      <c r="C29" s="432">
        <f>+$C$27+$G$28</f>
        <v>93109.250000000015</v>
      </c>
      <c r="D29" s="420"/>
      <c r="E29" s="420"/>
      <c r="F29" s="420">
        <v>0</v>
      </c>
      <c r="G29" s="444"/>
      <c r="H29" s="420" t="s">
        <v>873</v>
      </c>
      <c r="I29" s="420"/>
      <c r="J29" s="432"/>
      <c r="K29" s="420"/>
      <c r="L29" s="420" t="s">
        <v>230</v>
      </c>
      <c r="M29" s="420" t="str">
        <f>IF(AX29="PT",VLOOKUP(L29,'Foundation Calculation'!$V$2:$X$40,VLOOKUP(AX29,'Foundation Calculation'!$I$10:$J$13,2,FALSE),0),IF(AX29="K",VLOOKUP(L29,'Foundation Calculation'!$V$42:$X$80,VLOOKUP(AX29,'Foundation Calculation'!$I$10:$J$13,2,FALSE),0),""))</f>
        <v>C4R</v>
      </c>
      <c r="N29" s="420" t="s">
        <v>2797</v>
      </c>
      <c r="O29" s="420"/>
      <c r="P29" s="420"/>
      <c r="Q29" s="420">
        <v>0</v>
      </c>
      <c r="R29" s="420">
        <v>0</v>
      </c>
      <c r="S29" s="444"/>
      <c r="T29" s="420">
        <v>20</v>
      </c>
      <c r="U29" s="420"/>
      <c r="V29" s="420"/>
      <c r="W29" s="420">
        <v>0.75</v>
      </c>
      <c r="X29" s="420"/>
      <c r="Y29" s="420"/>
      <c r="Z29" s="420"/>
      <c r="AA29" s="420"/>
      <c r="AB29" s="420"/>
      <c r="AC29" s="420" t="s">
        <v>4090</v>
      </c>
      <c r="AD29" s="420"/>
      <c r="AE29" s="420"/>
      <c r="AF29" s="420">
        <v>5800</v>
      </c>
      <c r="AG29" s="432">
        <v>93109</v>
      </c>
      <c r="AH29" s="420">
        <v>3093</v>
      </c>
      <c r="AI29" s="420">
        <v>590</v>
      </c>
      <c r="AJ29" s="420"/>
      <c r="AK29" s="420"/>
      <c r="AL29" s="420"/>
      <c r="AM29" s="420" t="s">
        <v>1043</v>
      </c>
      <c r="AN29" s="422">
        <v>5.15</v>
      </c>
      <c r="AO29" s="417"/>
      <c r="AP29" s="417"/>
      <c r="AQ29" s="422"/>
      <c r="AR29" s="422"/>
      <c r="AS29" s="422"/>
      <c r="AT29" s="422">
        <f>+ab($T$29,$T$27,$T$31,$G$28,$G$30, 1*$F$29,1200)</f>
        <v>7.2127062293840085</v>
      </c>
      <c r="AU29" s="417"/>
      <c r="AV29" s="417"/>
      <c r="AW29" s="417" t="str">
        <f>VLOOKUP(C29,'Foundation Calculation'!$A$2:$C$33,3,1)</f>
        <v>Soil B</v>
      </c>
      <c r="AX29" s="417" t="s">
        <v>1371</v>
      </c>
      <c r="AY29" s="422">
        <f>IF(AX29="PT",VLOOKUP(L29,'Foundation Calculation'!$K$2:$R$40,VLOOKUP(AW29,'Foundation Calculation'!$I$2:$J$8,2,FALSE),0),IF(AX29="K",VLOOKUP(L29,'Foundation Calculation'!$K$42:$R$80,VLOOKUP(AW29,'Foundation Calculation'!$I$2:$J$8,2,FALSE),0),""))</f>
        <v>3.5</v>
      </c>
      <c r="AZ29" s="422"/>
      <c r="BA29" s="604" t="s">
        <v>2809</v>
      </c>
      <c r="BB29" s="420" t="str">
        <f>Pole_Calculations!A17</f>
        <v>App.7-V11A-P9.5.1.3</v>
      </c>
      <c r="BC29" s="169"/>
      <c r="BD29" s="1329">
        <v>43722</v>
      </c>
      <c r="BE29" s="1329" t="s">
        <v>4946</v>
      </c>
      <c r="BF29" s="1330"/>
      <c r="BG29" s="1329">
        <v>43808</v>
      </c>
    </row>
    <row r="30" spans="1:59" ht="15.75" customHeight="1">
      <c r="A30" s="420"/>
      <c r="B30" s="420"/>
      <c r="C30" s="432"/>
      <c r="D30" s="420"/>
      <c r="E30" s="420"/>
      <c r="F30" s="420"/>
      <c r="G30" s="444">
        <v>34.5</v>
      </c>
      <c r="H30" s="420"/>
      <c r="I30" s="444">
        <f>SUM(G6:G30)</f>
        <v>528.70000000000005</v>
      </c>
      <c r="J30" s="432"/>
      <c r="K30" s="420"/>
      <c r="L30" s="420"/>
      <c r="M30" s="420"/>
      <c r="N30" s="420"/>
      <c r="O30" s="420"/>
      <c r="P30" s="420"/>
      <c r="Q30" s="420"/>
      <c r="R30" s="420"/>
      <c r="S30" s="444">
        <f t="shared" ref="S30" si="9">+AG31-AG29</f>
        <v>34.720000000001164</v>
      </c>
      <c r="T30" s="420"/>
      <c r="U30" s="420"/>
      <c r="V30" s="420"/>
      <c r="W30" s="420"/>
      <c r="X30" s="420"/>
      <c r="Y30" s="420"/>
      <c r="Z30" s="420"/>
      <c r="AA30" s="420"/>
      <c r="AB30" s="420"/>
      <c r="AC30" s="417"/>
      <c r="AD30" s="420"/>
      <c r="AE30" s="420"/>
      <c r="AF30" s="420"/>
      <c r="AG30" s="432"/>
      <c r="AH30" s="420"/>
      <c r="AI30" s="420"/>
      <c r="AJ30" s="420"/>
      <c r="AK30" s="420"/>
      <c r="AL30" s="420"/>
      <c r="AM30" s="420"/>
      <c r="AN30" s="422"/>
      <c r="AO30" s="417"/>
      <c r="AP30" s="417"/>
      <c r="AQ30" s="422">
        <f>+FL_1($T$31,$T$29,$G$30,1200,9.28, 1*$F$31)</f>
        <v>0.20197056278260875</v>
      </c>
      <c r="AR30" s="422"/>
      <c r="AS30" s="422"/>
      <c r="AT30" s="422"/>
      <c r="AU30" s="417"/>
      <c r="AV30" s="417"/>
      <c r="AW30" s="417"/>
      <c r="AX30" s="417"/>
      <c r="AY30" s="422" t="str">
        <f>IF(AX30="PT",VLOOKUP(M30,'Foundation Calculation'!$L$2:$R$37,VLOOKUP(AW30,'Foundation Calculation'!$I$2:$J$8,2,FALSE),0),IF(AX30="K",VLOOKUP(M30,'Foundation Calculation'!$L$41:$R$75,VLOOKUP(AW30,'Foundation Calculation'!$I$2:$J$8,2,FALSE),0),""))</f>
        <v/>
      </c>
      <c r="AZ30" s="422" t="str">
        <f>IF(AX30="PT",VLOOKUP(K30,'Foundation Calculation'!$L$2:$R$41,VLOOKUP(AW30,'Foundation Calculation'!$I$2:$J$8,2,FALSE),0),IF(AX30="K",VLOOKUP(K30,'Foundation Calculation'!$L$41:$R$79,VLOOKUP(AW30,'Foundation Calculation'!$I$2:$J$8,2,FALSE),0),""))</f>
        <v/>
      </c>
      <c r="BA30" s="604"/>
      <c r="BB30" s="420"/>
      <c r="BC30" s="169"/>
      <c r="BD30" s="1330"/>
      <c r="BE30" s="1330"/>
      <c r="BF30" s="1330"/>
      <c r="BG30" s="1330"/>
    </row>
    <row r="31" spans="1:59" ht="15.75" customHeight="1">
      <c r="A31" s="420"/>
      <c r="B31" s="420" t="s">
        <v>2594</v>
      </c>
      <c r="C31" s="432">
        <f>+$C$29+$G$30+0.6</f>
        <v>93144.35000000002</v>
      </c>
      <c r="D31" s="420"/>
      <c r="E31" s="420"/>
      <c r="F31" s="420">
        <v>0</v>
      </c>
      <c r="G31" s="444"/>
      <c r="H31" s="420" t="s">
        <v>874</v>
      </c>
      <c r="I31" s="444"/>
      <c r="J31" s="432"/>
      <c r="K31" s="420"/>
      <c r="L31" s="420" t="s">
        <v>229</v>
      </c>
      <c r="M31" s="420" t="str">
        <f>IF(AX31="PT",VLOOKUP(L31,'Foundation Calculation'!$V$2:$X$40,VLOOKUP(AX31,'Foundation Calculation'!$I$10:$J$13,2,FALSE),0),IF(AX31="K",VLOOKUP(L31,'Foundation Calculation'!$V$42:$X$80,VLOOKUP(AX31,'Foundation Calculation'!$I$10:$J$13,2,FALSE),0),""))</f>
        <v>C3R</v>
      </c>
      <c r="N31" s="420" t="s">
        <v>2789</v>
      </c>
      <c r="O31" s="420"/>
      <c r="P31" s="420"/>
      <c r="Q31" s="420">
        <v>0</v>
      </c>
      <c r="R31" s="420">
        <v>0</v>
      </c>
      <c r="S31" s="444"/>
      <c r="T31" s="420">
        <v>-20</v>
      </c>
      <c r="U31" s="420"/>
      <c r="V31" s="420"/>
      <c r="W31" s="420">
        <v>0.8</v>
      </c>
      <c r="X31" s="420"/>
      <c r="Y31" s="420"/>
      <c r="Z31" s="420"/>
      <c r="AA31" s="420"/>
      <c r="AB31" s="420"/>
      <c r="AC31" s="417" t="s">
        <v>1417</v>
      </c>
      <c r="AD31" s="420"/>
      <c r="AE31" s="420"/>
      <c r="AF31" s="420">
        <v>5800</v>
      </c>
      <c r="AG31" s="432">
        <v>93143.72</v>
      </c>
      <c r="AH31" s="420">
        <v>1933</v>
      </c>
      <c r="AI31" s="420">
        <v>360</v>
      </c>
      <c r="AJ31" s="420"/>
      <c r="AK31" s="420"/>
      <c r="AL31" s="420"/>
      <c r="AM31" s="420" t="s">
        <v>1043</v>
      </c>
      <c r="AN31" s="422">
        <v>5.15</v>
      </c>
      <c r="AO31" s="417"/>
      <c r="AP31" s="417"/>
      <c r="AQ31" s="422"/>
      <c r="AR31" s="422"/>
      <c r="AS31" s="422"/>
      <c r="AT31" s="422">
        <f>+ab($T$31,$T$29,$T$33,$G$30,$G$32, 1*$F$31,1200)</f>
        <v>-12.090884209920315</v>
      </c>
      <c r="AU31" s="417"/>
      <c r="AV31" s="417"/>
      <c r="AW31" s="417" t="str">
        <f>VLOOKUP(C31,'Foundation Calculation'!$A$2:$C$33,3,1)</f>
        <v>Soil B</v>
      </c>
      <c r="AX31" s="417" t="s">
        <v>1371</v>
      </c>
      <c r="AY31" s="422">
        <f>IF(AX31="PT",VLOOKUP(L31,'Foundation Calculation'!$K$2:$R$40,VLOOKUP(AW31,'Foundation Calculation'!$I$2:$J$8,2,FALSE),0),IF(AX31="K",VLOOKUP(L31,'Foundation Calculation'!$K$42:$R$80,VLOOKUP(AW31,'Foundation Calculation'!$I$2:$J$8,2,FALSE),0),""))</f>
        <v>3.5</v>
      </c>
      <c r="AZ31" s="422"/>
      <c r="BA31" s="604" t="s">
        <v>2809</v>
      </c>
      <c r="BB31" s="420" t="str">
        <f>Pole_Calculations!A16</f>
        <v>App.7-V11A-P9.5.1.2</v>
      </c>
      <c r="BC31" s="169"/>
      <c r="BD31" s="1330">
        <v>43722</v>
      </c>
      <c r="BE31" s="1330" t="s">
        <v>4946</v>
      </c>
      <c r="BF31" s="1330"/>
      <c r="BG31" s="1330">
        <v>43808</v>
      </c>
    </row>
    <row r="32" spans="1:59" ht="15.75" customHeight="1">
      <c r="A32" s="420"/>
      <c r="B32" s="420"/>
      <c r="C32" s="432"/>
      <c r="D32" s="420"/>
      <c r="E32" s="420"/>
      <c r="F32" s="420"/>
      <c r="G32" s="444">
        <v>49.5</v>
      </c>
      <c r="H32" s="420"/>
      <c r="I32" s="444">
        <v>547.07000000000005</v>
      </c>
      <c r="J32" s="432"/>
      <c r="K32" s="420"/>
      <c r="L32" s="420"/>
      <c r="M32" s="420"/>
      <c r="N32" s="420"/>
      <c r="O32" s="420"/>
      <c r="P32" s="420"/>
      <c r="Q32" s="420"/>
      <c r="R32" s="420"/>
      <c r="S32" s="444">
        <f t="shared" ref="S32" si="10">+AG33-AG31</f>
        <v>49.279999999998836</v>
      </c>
      <c r="T32" s="420"/>
      <c r="U32" s="420"/>
      <c r="V32" s="420"/>
      <c r="W32" s="420"/>
      <c r="X32" s="420"/>
      <c r="Y32" s="420"/>
      <c r="Z32" s="420"/>
      <c r="AA32" s="420"/>
      <c r="AB32" s="420"/>
      <c r="AC32" s="417"/>
      <c r="AD32" s="420"/>
      <c r="AE32" s="420"/>
      <c r="AF32" s="420"/>
      <c r="AG32" s="432"/>
      <c r="AH32" s="420"/>
      <c r="AI32" s="420"/>
      <c r="AJ32" s="420"/>
      <c r="AK32" s="420"/>
      <c r="AL32" s="420"/>
      <c r="AM32" s="420"/>
      <c r="AN32" s="422"/>
      <c r="AO32" s="417"/>
      <c r="AP32" s="417"/>
      <c r="AQ32" s="422">
        <f>+FL_1($T$33,$T$31,$G$32,1200,9.28, 1*$F$33)</f>
        <v>0.14741236109090902</v>
      </c>
      <c r="AR32" s="422"/>
      <c r="AS32" s="422"/>
      <c r="AT32" s="422"/>
      <c r="AU32" s="417"/>
      <c r="AV32" s="417"/>
      <c r="AW32" s="417"/>
      <c r="AX32" s="417"/>
      <c r="AY32" s="422" t="str">
        <f>IF(AX32="PT",VLOOKUP(M32,'Foundation Calculation'!$L$2:$R$37,VLOOKUP(AW32,'Foundation Calculation'!$I$2:$J$8,2,FALSE),0),IF(AX32="K",VLOOKUP(M32,'Foundation Calculation'!$L$41:$R$75,VLOOKUP(AW32,'Foundation Calculation'!$I$2:$J$8,2,FALSE),0),""))</f>
        <v/>
      </c>
      <c r="AZ32" s="422" t="str">
        <f>IF(AX32="PT",VLOOKUP(K32,'Foundation Calculation'!$L$2:$R$41,VLOOKUP(AW32,'Foundation Calculation'!$I$2:$J$8,2,FALSE),0),IF(AX32="K",VLOOKUP(K32,'Foundation Calculation'!$L$41:$R$79,VLOOKUP(AW32,'Foundation Calculation'!$I$2:$J$8,2,FALSE),0),""))</f>
        <v/>
      </c>
      <c r="BA32" s="604"/>
      <c r="BB32" s="420"/>
      <c r="BC32" s="169"/>
      <c r="BD32" s="1330"/>
      <c r="BE32" s="1330"/>
      <c r="BF32" s="1330"/>
      <c r="BG32" s="1330"/>
    </row>
    <row r="33" spans="1:59" ht="15.75" customHeight="1">
      <c r="A33" s="420"/>
      <c r="B33" s="420" t="s">
        <v>2595</v>
      </c>
      <c r="C33" s="432">
        <f>+$C$31+$G$32</f>
        <v>93193.85000000002</v>
      </c>
      <c r="D33" s="420"/>
      <c r="E33" s="420"/>
      <c r="F33" s="420">
        <v>0</v>
      </c>
      <c r="G33" s="444"/>
      <c r="H33" s="420" t="s">
        <v>873</v>
      </c>
      <c r="I33" s="444"/>
      <c r="J33" s="432"/>
      <c r="K33" s="420"/>
      <c r="L33" s="420" t="s">
        <v>230</v>
      </c>
      <c r="M33" s="420" t="str">
        <f>IF(AX33="PT",VLOOKUP(L33,'Foundation Calculation'!$V$2:$X$40,VLOOKUP(AX33,'Foundation Calculation'!$I$10:$J$13,2,FALSE),0),IF(AX33="K",VLOOKUP(L33,'Foundation Calculation'!$V$42:$X$80,VLOOKUP(AX33,'Foundation Calculation'!$I$10:$J$13,2,FALSE),0),""))</f>
        <v>C4R</v>
      </c>
      <c r="N33" s="420" t="s">
        <v>2789</v>
      </c>
      <c r="O33" s="420"/>
      <c r="P33" s="420"/>
      <c r="Q33" s="420">
        <v>0</v>
      </c>
      <c r="R33" s="420">
        <v>0</v>
      </c>
      <c r="S33" s="444"/>
      <c r="T33" s="420">
        <v>0</v>
      </c>
      <c r="U33" s="420"/>
      <c r="V33" s="420"/>
      <c r="W33" s="420">
        <v>0.8</v>
      </c>
      <c r="X33" s="420"/>
      <c r="Y33" s="420"/>
      <c r="Z33" s="420"/>
      <c r="AA33" s="420"/>
      <c r="AB33" s="420"/>
      <c r="AC33" s="417" t="s">
        <v>1417</v>
      </c>
      <c r="AD33" s="420"/>
      <c r="AE33" s="420"/>
      <c r="AF33" s="420">
        <v>5900</v>
      </c>
      <c r="AG33" s="432">
        <v>93193</v>
      </c>
      <c r="AH33" s="420">
        <v>1763</v>
      </c>
      <c r="AI33" s="420">
        <v>480</v>
      </c>
      <c r="AJ33" s="420"/>
      <c r="AK33" s="420"/>
      <c r="AL33" s="420"/>
      <c r="AM33" s="420" t="s">
        <v>1043</v>
      </c>
      <c r="AN33" s="422">
        <v>5.15</v>
      </c>
      <c r="AO33" s="417"/>
      <c r="AP33" s="417"/>
      <c r="AQ33" s="422"/>
      <c r="AR33" s="422"/>
      <c r="AS33" s="422"/>
      <c r="AT33" s="422">
        <f>+ab($T$33,$T$31,$T$35,$G$32,$G$34, 1*$F$33,1200)</f>
        <v>15.956987944538152</v>
      </c>
      <c r="AU33" s="417"/>
      <c r="AV33" s="417"/>
      <c r="AW33" s="417" t="str">
        <f>VLOOKUP(C33,'Foundation Calculation'!$A$2:$C$33,3,1)</f>
        <v>Soil D</v>
      </c>
      <c r="AX33" s="417" t="s">
        <v>1371</v>
      </c>
      <c r="AY33" s="422">
        <f>IF(AX33="PT",VLOOKUP(L33,'Foundation Calculation'!$K$2:$R$40,VLOOKUP(AW33,'Foundation Calculation'!$I$2:$J$8,2,FALSE),0),IF(AX33="K",VLOOKUP(L33,'Foundation Calculation'!$K$42:$R$80,VLOOKUP(AW33,'Foundation Calculation'!$I$2:$J$8,2,FALSE),0),""))</f>
        <v>3</v>
      </c>
      <c r="AZ33" s="422"/>
      <c r="BA33" s="604" t="s">
        <v>2809</v>
      </c>
      <c r="BB33" s="420" t="str">
        <f>Pole_Calculations!A17</f>
        <v>App.7-V11A-P9.5.1.3</v>
      </c>
      <c r="BC33" s="169"/>
      <c r="BD33" s="1330">
        <v>43722</v>
      </c>
      <c r="BE33" s="1330" t="s">
        <v>4946</v>
      </c>
      <c r="BF33" s="1330"/>
      <c r="BG33" s="1330">
        <v>43808</v>
      </c>
    </row>
    <row r="34" spans="1:59" ht="15.75" customHeight="1">
      <c r="A34" s="495" t="s">
        <v>2606</v>
      </c>
      <c r="B34" s="495"/>
      <c r="C34" s="431"/>
      <c r="D34" s="495"/>
      <c r="E34" s="495"/>
      <c r="F34" s="495"/>
      <c r="G34" s="457">
        <v>39.1</v>
      </c>
      <c r="H34" s="495"/>
      <c r="I34" s="495"/>
      <c r="J34" s="431">
        <f>C33+7.5</f>
        <v>93201.35000000002</v>
      </c>
      <c r="K34" s="495" t="s">
        <v>2788</v>
      </c>
      <c r="L34" s="495"/>
      <c r="M34" s="495"/>
      <c r="N34" s="495"/>
      <c r="O34" s="495"/>
      <c r="P34" s="495"/>
      <c r="Q34" s="495"/>
      <c r="R34" s="495"/>
      <c r="S34" s="457">
        <f t="shared" ref="S34" si="11">+AG35-AG33</f>
        <v>39.399999999994179</v>
      </c>
      <c r="T34" s="495"/>
      <c r="U34" s="495"/>
      <c r="V34" s="495"/>
      <c r="W34" s="495"/>
      <c r="X34" s="495"/>
      <c r="Y34" s="495"/>
      <c r="Z34" s="495"/>
      <c r="AA34" s="495"/>
      <c r="AB34" s="495"/>
      <c r="AC34" s="490"/>
      <c r="AD34" s="495"/>
      <c r="AE34" s="495"/>
      <c r="AF34" s="495"/>
      <c r="AG34" s="431"/>
      <c r="AH34" s="495"/>
      <c r="AI34" s="495"/>
      <c r="AJ34" s="495"/>
      <c r="AK34" s="495"/>
      <c r="AL34" s="495"/>
      <c r="AM34" s="495"/>
      <c r="AN34" s="493"/>
      <c r="AO34" s="490"/>
      <c r="AP34" s="490"/>
      <c r="AQ34" s="493">
        <f>+FL_1($T$35,$T$33,$G$34,1200,9.28, 1*$F$35)</f>
        <v>0.64262203062037526</v>
      </c>
      <c r="AR34" s="493"/>
      <c r="AS34" s="493"/>
      <c r="AT34" s="493"/>
      <c r="AU34" s="490"/>
      <c r="AV34" s="490"/>
      <c r="AW34" s="490" t="str">
        <f>VLOOKUP(J34,'Foundation Calculation'!$A$2:$C$33,3,1)</f>
        <v>Soil D</v>
      </c>
      <c r="AX34" s="490" t="s">
        <v>1371</v>
      </c>
      <c r="AY34" s="493"/>
      <c r="AZ34" s="493">
        <f>IF(AX34="PT",VLOOKUP(K34,'Foundation Calculation'!$K$2:$R$40,VLOOKUP(AW34,'Foundation Calculation'!$I$2:$J$8,2,FALSE),0),IF(AX34="K",VLOOKUP(K34,'Foundation Calculation'!$K$42:$R$80,VLOOKUP(AW34,'Foundation Calculation'!$I$2:$J$8,2,FALSE),0),""))</f>
        <v>2.8</v>
      </c>
      <c r="BA34" s="602" t="s">
        <v>2809</v>
      </c>
      <c r="BB34" s="495"/>
      <c r="BC34" s="169"/>
      <c r="BD34" s="1329">
        <v>43722</v>
      </c>
      <c r="BE34" s="1330"/>
      <c r="BF34" s="1330"/>
      <c r="BG34" s="1330"/>
    </row>
    <row r="35" spans="1:59" ht="15.75" customHeight="1">
      <c r="A35" s="420"/>
      <c r="B35" s="578" t="s">
        <v>2596</v>
      </c>
      <c r="C35" s="432">
        <f>+$C$33+$G$34</f>
        <v>93232.950000000026</v>
      </c>
      <c r="D35" s="420"/>
      <c r="E35" s="420"/>
      <c r="F35" s="420">
        <v>-300</v>
      </c>
      <c r="G35" s="444"/>
      <c r="H35" s="420"/>
      <c r="I35" s="420"/>
      <c r="J35" s="432"/>
      <c r="K35" s="420"/>
      <c r="L35" s="420" t="s">
        <v>230</v>
      </c>
      <c r="M35" s="420" t="str">
        <f>IF(AX35="PT",VLOOKUP(L35,'Foundation Calculation'!$V$2:$X$40,VLOOKUP(AX35,'Foundation Calculation'!$I$10:$J$13,2,FALSE),0),IF(AX35="K",VLOOKUP(L35,'Foundation Calculation'!$V$42:$X$80,VLOOKUP(AX35,'Foundation Calculation'!$I$10:$J$13,2,FALSE),0),""))</f>
        <v>C4R</v>
      </c>
      <c r="N35" s="420" t="s">
        <v>2796</v>
      </c>
      <c r="O35" s="420"/>
      <c r="P35" s="420"/>
      <c r="Q35" s="420">
        <v>0</v>
      </c>
      <c r="R35" s="420">
        <v>300</v>
      </c>
      <c r="S35" s="444"/>
      <c r="T35" s="420">
        <v>-30</v>
      </c>
      <c r="U35" s="420"/>
      <c r="V35" s="420"/>
      <c r="W35" s="420">
        <v>0.5</v>
      </c>
      <c r="X35" s="420"/>
      <c r="Y35" s="420"/>
      <c r="Z35" s="420"/>
      <c r="AA35" s="420"/>
      <c r="AB35" s="420"/>
      <c r="AC35" s="420" t="s">
        <v>1421</v>
      </c>
      <c r="AD35" s="420"/>
      <c r="AE35" s="420"/>
      <c r="AF35" s="420">
        <v>5200</v>
      </c>
      <c r="AG35" s="432">
        <v>93232.4</v>
      </c>
      <c r="AH35" s="420">
        <v>2453</v>
      </c>
      <c r="AI35" s="420">
        <v>10</v>
      </c>
      <c r="AJ35" s="420"/>
      <c r="AK35" s="420"/>
      <c r="AL35" s="420"/>
      <c r="AM35" s="420" t="s">
        <v>1043</v>
      </c>
      <c r="AN35" s="422">
        <v>5.15</v>
      </c>
      <c r="AO35" s="417"/>
      <c r="AP35" s="417"/>
      <c r="AQ35" s="422"/>
      <c r="AR35" s="422"/>
      <c r="AS35" s="422"/>
      <c r="AT35" s="422">
        <f>+ab($T$35,$T$33,$T$37,$G$34,$G$36, 1*$F$35,1200)</f>
        <v>-1.6279884607793149</v>
      </c>
      <c r="AU35" s="417"/>
      <c r="AV35" s="417"/>
      <c r="AW35" s="417" t="str">
        <f>VLOOKUP(C35,'Foundation Calculation'!$A$2:$C$33,3,1)</f>
        <v>Soil D</v>
      </c>
      <c r="AX35" s="417" t="s">
        <v>1371</v>
      </c>
      <c r="AY35" s="422">
        <f>IF(AX35="PT",VLOOKUP(L35,'Foundation Calculation'!$K$2:$R$40,VLOOKUP(AW35,'Foundation Calculation'!$I$2:$J$8,2,FALSE),0),IF(AX35="K",VLOOKUP(L35,'Foundation Calculation'!$K$42:$R$80,VLOOKUP(AW35,'Foundation Calculation'!$I$2:$J$8,2,FALSE),0),""))</f>
        <v>3</v>
      </c>
      <c r="AZ35" s="422"/>
      <c r="BA35" s="604" t="s">
        <v>2809</v>
      </c>
      <c r="BB35" s="420" t="str">
        <f>Pole_Calculations!A15</f>
        <v>App.7-V11A-P9.5.1.1</v>
      </c>
      <c r="BC35" s="169"/>
      <c r="BD35" s="1329">
        <v>43722</v>
      </c>
      <c r="BE35" s="1329" t="s">
        <v>4946</v>
      </c>
      <c r="BF35" s="1330"/>
      <c r="BG35" s="1329">
        <v>43808</v>
      </c>
    </row>
    <row r="36" spans="1:59" ht="15.75" customHeight="1">
      <c r="A36" s="420"/>
      <c r="B36" s="420"/>
      <c r="C36" s="432"/>
      <c r="D36" s="420"/>
      <c r="E36" s="420"/>
      <c r="F36" s="420"/>
      <c r="G36" s="444">
        <v>27</v>
      </c>
      <c r="H36" s="420"/>
      <c r="I36" s="420"/>
      <c r="J36" s="432"/>
      <c r="K36" s="420"/>
      <c r="L36" s="420"/>
      <c r="M36" s="420"/>
      <c r="N36" s="420"/>
      <c r="O36" s="420"/>
      <c r="P36" s="420"/>
      <c r="Q36" s="420"/>
      <c r="R36" s="420"/>
      <c r="S36" s="444">
        <f t="shared" ref="S36" si="12">+AG37-AG35</f>
        <v>26.889999999999418</v>
      </c>
      <c r="T36" s="420"/>
      <c r="U36" s="420"/>
      <c r="V36" s="420"/>
      <c r="W36" s="420"/>
      <c r="X36" s="420"/>
      <c r="Y36" s="420"/>
      <c r="Z36" s="420"/>
      <c r="AA36" s="420"/>
      <c r="AB36" s="420"/>
      <c r="AC36" s="417"/>
      <c r="AD36" s="420"/>
      <c r="AE36" s="420"/>
      <c r="AF36" s="420"/>
      <c r="AG36" s="432"/>
      <c r="AH36" s="420"/>
      <c r="AI36" s="420"/>
      <c r="AJ36" s="420"/>
      <c r="AK36" s="420"/>
      <c r="AL36" s="420"/>
      <c r="AM36" s="420"/>
      <c r="AN36" s="422"/>
      <c r="AO36" s="417"/>
      <c r="AP36" s="417"/>
      <c r="AQ36" s="422">
        <f>+FL_2($T$37,$T$35,$G$36,1200,9.28, 1*$F$37)</f>
        <v>-0.30000000000004196</v>
      </c>
      <c r="AR36" s="422"/>
      <c r="AS36" s="422"/>
      <c r="AT36" s="422"/>
      <c r="AU36" s="417"/>
      <c r="AV36" s="417"/>
      <c r="AW36" s="417"/>
      <c r="AX36" s="417"/>
      <c r="AY36" s="422" t="str">
        <f>IF(AX36="PT",VLOOKUP(M36,'Foundation Calculation'!$L$2:$R$37,VLOOKUP(AW36,'Foundation Calculation'!$I$2:$J$8,2,FALSE),0),IF(AX36="K",VLOOKUP(M36,'Foundation Calculation'!$L$41:$R$75,VLOOKUP(AW36,'Foundation Calculation'!$I$2:$J$8,2,FALSE),0),""))</f>
        <v/>
      </c>
      <c r="AZ36" s="422" t="str">
        <f>IF(AX36="PT",VLOOKUP(K36,'Foundation Calculation'!$L$2:$R$41,VLOOKUP(AW36,'Foundation Calculation'!$I$2:$J$8,2,FALSE),0),IF(AX36="K",VLOOKUP(K36,'Foundation Calculation'!$L$41:$R$79,VLOOKUP(AW36,'Foundation Calculation'!$I$2:$J$8,2,FALSE),0),""))</f>
        <v/>
      </c>
      <c r="BA36" s="604"/>
      <c r="BB36" s="420"/>
      <c r="BC36" s="169"/>
      <c r="BD36" s="1330"/>
      <c r="BE36" s="1330"/>
      <c r="BF36" s="1330"/>
      <c r="BG36" s="1330"/>
    </row>
    <row r="37" spans="1:59" ht="15.75" customHeight="1">
      <c r="A37" s="420"/>
      <c r="B37" s="578" t="s">
        <v>2604</v>
      </c>
      <c r="C37" s="432">
        <f>+$C$35+$G$36</f>
        <v>93259.950000000026</v>
      </c>
      <c r="D37" s="420"/>
      <c r="E37" s="420"/>
      <c r="F37" s="420">
        <v>-300</v>
      </c>
      <c r="G37" s="444"/>
      <c r="H37" s="420"/>
      <c r="I37" s="420"/>
      <c r="J37" s="432"/>
      <c r="K37" s="420"/>
      <c r="L37" s="420" t="s">
        <v>230</v>
      </c>
      <c r="M37" s="420" t="s">
        <v>3667</v>
      </c>
      <c r="N37" s="420" t="s">
        <v>143</v>
      </c>
      <c r="O37" s="420"/>
      <c r="P37" s="420"/>
      <c r="Q37" s="420">
        <v>20</v>
      </c>
      <c r="R37" s="420">
        <v>-304.5</v>
      </c>
      <c r="S37" s="444"/>
      <c r="T37" s="420">
        <v>-30</v>
      </c>
      <c r="U37" s="420"/>
      <c r="V37" s="420"/>
      <c r="W37" s="420">
        <v>0.5</v>
      </c>
      <c r="X37" s="420"/>
      <c r="Y37" s="420"/>
      <c r="Z37" s="420"/>
      <c r="AA37" s="420"/>
      <c r="AB37" s="420"/>
      <c r="AC37" s="420" t="s">
        <v>3050</v>
      </c>
      <c r="AD37" s="420"/>
      <c r="AE37" s="420"/>
      <c r="AF37" s="420">
        <v>5300</v>
      </c>
      <c r="AG37" s="432">
        <v>93259.29</v>
      </c>
      <c r="AH37" s="420">
        <v>2263</v>
      </c>
      <c r="AI37" s="420">
        <v>-260</v>
      </c>
      <c r="AJ37" s="420"/>
      <c r="AK37" s="420"/>
      <c r="AL37" s="420"/>
      <c r="AM37" s="420" t="s">
        <v>1043</v>
      </c>
      <c r="AN37" s="422">
        <v>5.15</v>
      </c>
      <c r="AO37" s="417"/>
      <c r="AP37" s="417"/>
      <c r="AQ37" s="422"/>
      <c r="AR37" s="422"/>
      <c r="AS37" s="422"/>
      <c r="AT37" s="422">
        <f>+ab($T$37,$T$35,$T$39,$G$36,$G$38, 1*$F$37,1200)</f>
        <v>-1.7094272587585591</v>
      </c>
      <c r="AU37" s="417"/>
      <c r="AV37" s="417"/>
      <c r="AW37" s="417" t="str">
        <f>VLOOKUP(C37,'Foundation Calculation'!$A$2:$C$33,3,1)</f>
        <v>Soil D</v>
      </c>
      <c r="AX37" s="417" t="s">
        <v>1371</v>
      </c>
      <c r="AY37" s="422">
        <f>IF(AX37="PT",VLOOKUP(L37,'Foundation Calculation'!$K$2:$R$40,VLOOKUP(AW37,'Foundation Calculation'!$I$2:$J$8,2,FALSE),0),IF(AX37="K",VLOOKUP(L37,'Foundation Calculation'!$K$42:$R$80,VLOOKUP(AW37,'Foundation Calculation'!$I$2:$J$8,2,FALSE),0),""))</f>
        <v>3</v>
      </c>
      <c r="AZ37" s="422"/>
      <c r="BA37" s="604" t="s">
        <v>2809</v>
      </c>
      <c r="BB37" s="420" t="str">
        <f>Pole_Calculations!A15</f>
        <v>App.7-V11A-P9.5.1.1</v>
      </c>
      <c r="BC37" s="169"/>
      <c r="BD37" s="1329">
        <v>43736</v>
      </c>
      <c r="BE37" s="1329" t="s">
        <v>4946</v>
      </c>
      <c r="BF37" s="1330"/>
      <c r="BG37" s="1329">
        <v>43870</v>
      </c>
    </row>
    <row r="38" spans="1:59" ht="15.75" customHeight="1">
      <c r="A38" s="420"/>
      <c r="B38" s="420"/>
      <c r="C38" s="432"/>
      <c r="D38" s="420"/>
      <c r="E38" s="420"/>
      <c r="F38" s="420"/>
      <c r="G38" s="444">
        <v>27</v>
      </c>
      <c r="H38" s="420"/>
      <c r="I38" s="420"/>
      <c r="J38" s="432"/>
      <c r="K38" s="420"/>
      <c r="L38" s="420"/>
      <c r="M38" s="420"/>
      <c r="N38" s="420"/>
      <c r="O38" s="420"/>
      <c r="P38" s="420"/>
      <c r="Q38" s="420"/>
      <c r="R38" s="420"/>
      <c r="S38" s="444">
        <f t="shared" ref="S38" si="13">+AG39-AG37</f>
        <v>27.160000000003492</v>
      </c>
      <c r="T38" s="420"/>
      <c r="U38" s="420"/>
      <c r="V38" s="420"/>
      <c r="W38" s="420"/>
      <c r="X38" s="420"/>
      <c r="Y38" s="420"/>
      <c r="Z38" s="420"/>
      <c r="AA38" s="420"/>
      <c r="AB38" s="420"/>
      <c r="AC38" s="417"/>
      <c r="AD38" s="420"/>
      <c r="AE38" s="420"/>
      <c r="AF38" s="420"/>
      <c r="AG38" s="432"/>
      <c r="AH38" s="420"/>
      <c r="AI38" s="420"/>
      <c r="AJ38" s="420"/>
      <c r="AK38" s="420"/>
      <c r="AL38" s="420"/>
      <c r="AM38" s="420"/>
      <c r="AN38" s="422"/>
      <c r="AO38" s="417"/>
      <c r="AP38" s="417"/>
      <c r="AQ38" s="422">
        <f>+FL_1($T$39,$T$37,$G$38,1200,9.28, 1*$F$39)</f>
        <v>0.43445349843273584</v>
      </c>
      <c r="AR38" s="422"/>
      <c r="AS38" s="422"/>
      <c r="AT38" s="422"/>
      <c r="AU38" s="417"/>
      <c r="AV38" s="417"/>
      <c r="AW38" s="417"/>
      <c r="AX38" s="417"/>
      <c r="AY38" s="422" t="str">
        <f>IF(AX38="PT",VLOOKUP(M38,'Foundation Calculation'!$L$2:$R$37,VLOOKUP(AW38,'Foundation Calculation'!$I$2:$J$8,2,FALSE),0),IF(AX38="K",VLOOKUP(M38,'Foundation Calculation'!$L$41:$R$75,VLOOKUP(AW38,'Foundation Calculation'!$I$2:$J$8,2,FALSE),0),""))</f>
        <v/>
      </c>
      <c r="AZ38" s="422" t="str">
        <f>IF(AX38="PT",VLOOKUP(K38,'Foundation Calculation'!$L$2:$R$41,VLOOKUP(AW38,'Foundation Calculation'!$I$2:$J$8,2,FALSE),0),IF(AX38="K",VLOOKUP(K38,'Foundation Calculation'!$L$41:$R$79,VLOOKUP(AW38,'Foundation Calculation'!$I$2:$J$8,2,FALSE),0),""))</f>
        <v/>
      </c>
      <c r="BA38" s="604"/>
      <c r="BB38" s="420"/>
      <c r="BC38" s="169"/>
      <c r="BD38" s="1330"/>
      <c r="BE38" s="1330"/>
      <c r="BF38" s="1330"/>
      <c r="BG38" s="1330"/>
    </row>
    <row r="39" spans="1:59" ht="15.75" customHeight="1">
      <c r="A39" s="1239"/>
      <c r="B39" s="572" t="s">
        <v>2597</v>
      </c>
      <c r="C39" s="171">
        <f>+$C$37+$G$38</f>
        <v>93286.950000000026</v>
      </c>
      <c r="D39" s="1239"/>
      <c r="E39" s="1239"/>
      <c r="F39" s="1239">
        <v>-300</v>
      </c>
      <c r="G39" s="455"/>
      <c r="H39" s="1239"/>
      <c r="I39" s="1239"/>
      <c r="J39" s="171"/>
      <c r="K39" s="1239"/>
      <c r="L39" s="1239" t="s">
        <v>2607</v>
      </c>
      <c r="M39" s="1239"/>
      <c r="N39" s="1239" t="s">
        <v>2797</v>
      </c>
      <c r="O39" s="1239"/>
      <c r="P39" s="1239"/>
      <c r="Q39" s="1239">
        <v>30</v>
      </c>
      <c r="R39" s="1239">
        <v>-300</v>
      </c>
      <c r="S39" s="455"/>
      <c r="T39" s="1239">
        <v>30</v>
      </c>
      <c r="U39" s="1239"/>
      <c r="V39" s="1239"/>
      <c r="W39" s="1239">
        <v>0.75</v>
      </c>
      <c r="X39" s="1239"/>
      <c r="Y39" s="1239"/>
      <c r="Z39" s="1239"/>
      <c r="AA39" s="1239"/>
      <c r="AB39" s="1239"/>
      <c r="AC39" s="1239" t="s">
        <v>3050</v>
      </c>
      <c r="AD39" s="1239"/>
      <c r="AE39" s="1239"/>
      <c r="AF39" s="1239">
        <v>6100</v>
      </c>
      <c r="AG39" s="171">
        <v>93286.45</v>
      </c>
      <c r="AH39" s="1239">
        <v>2593</v>
      </c>
      <c r="AI39" s="1239">
        <v>0</v>
      </c>
      <c r="AJ39" s="1239"/>
      <c r="AK39" s="1239"/>
      <c r="AL39" s="1239"/>
      <c r="AM39" s="1239"/>
      <c r="AN39" s="484">
        <v>5.15</v>
      </c>
      <c r="AO39" s="638"/>
      <c r="AP39" s="638"/>
      <c r="AQ39" s="484"/>
      <c r="AR39" s="484"/>
      <c r="AS39" s="484"/>
      <c r="AT39" s="484">
        <f>+ab($T$39,$T$37,$T$41,$G$38,$G$40, 1*$F$39,1200)</f>
        <v>-2.985599429123206</v>
      </c>
      <c r="AU39" s="638"/>
      <c r="AV39" s="638"/>
      <c r="AW39" s="638"/>
      <c r="AX39" s="638"/>
      <c r="AY39" s="484" t="str">
        <f>IF(AX39="PT",VLOOKUP(M39,'Foundation Calculation'!$L$2:$R$37,VLOOKUP(AW39,'Foundation Calculation'!$I$2:$J$8,2,FALSE),0),IF(AX39="K",VLOOKUP(M39,'Foundation Calculation'!$L$41:$R$75,VLOOKUP(AW39,'Foundation Calculation'!$I$2:$J$8,2,FALSE),0),""))</f>
        <v/>
      </c>
      <c r="AZ39" s="484" t="str">
        <f>IF(AX39="PT",VLOOKUP(K39,'Foundation Calculation'!$L$2:$R$41,VLOOKUP(AW39,'Foundation Calculation'!$I$2:$J$8,2,FALSE),0),IF(AX39="K",VLOOKUP(K39,'Foundation Calculation'!$L$41:$R$79,VLOOKUP(AW39,'Foundation Calculation'!$I$2:$J$8,2,FALSE),0),""))</f>
        <v/>
      </c>
      <c r="BA39" s="671"/>
      <c r="BB39" s="1239"/>
      <c r="BC39" s="169"/>
      <c r="BD39" s="1330"/>
      <c r="BE39" s="1330"/>
      <c r="BF39" s="1330"/>
      <c r="BG39" s="1329">
        <v>43898</v>
      </c>
    </row>
    <row r="40" spans="1:59" ht="15.75" customHeight="1">
      <c r="A40" s="1239"/>
      <c r="B40" s="1239"/>
      <c r="C40" s="171"/>
      <c r="D40" s="1239"/>
      <c r="E40" s="1239"/>
      <c r="F40" s="1239"/>
      <c r="G40" s="455">
        <v>29</v>
      </c>
      <c r="H40" s="1239"/>
      <c r="I40" s="1239"/>
      <c r="J40" s="171"/>
      <c r="K40" s="1239"/>
      <c r="L40" s="1239"/>
      <c r="M40" s="1239"/>
      <c r="N40" s="1239"/>
      <c r="O40" s="1239"/>
      <c r="P40" s="1239"/>
      <c r="Q40" s="1239"/>
      <c r="R40" s="1239"/>
      <c r="S40" s="455">
        <f t="shared" ref="S40" si="14">+AG41-AG39</f>
        <v>28.55000000000291</v>
      </c>
      <c r="T40" s="1239"/>
      <c r="U40" s="1239"/>
      <c r="V40" s="1239"/>
      <c r="W40" s="1239"/>
      <c r="X40" s="1239"/>
      <c r="Y40" s="1239"/>
      <c r="Z40" s="1239"/>
      <c r="AA40" s="1239"/>
      <c r="AB40" s="1239"/>
      <c r="AC40" s="638"/>
      <c r="AD40" s="1239"/>
      <c r="AE40" s="1239"/>
      <c r="AF40" s="1239"/>
      <c r="AG40" s="171"/>
      <c r="AH40" s="1239"/>
      <c r="AI40" s="1239"/>
      <c r="AJ40" s="1239"/>
      <c r="AK40" s="1239"/>
      <c r="AL40" s="1239"/>
      <c r="AM40" s="1239"/>
      <c r="AN40" s="484"/>
      <c r="AO40" s="638"/>
      <c r="AP40" s="638"/>
      <c r="AQ40" s="484">
        <f>+FL_1($T$41,$T$39,$G$40,1200,9.28, 1*$F$41)</f>
        <v>0.30000000000004939</v>
      </c>
      <c r="AR40" s="484"/>
      <c r="AS40" s="484"/>
      <c r="AT40" s="484"/>
      <c r="AU40" s="638"/>
      <c r="AV40" s="638"/>
      <c r="AW40" s="638"/>
      <c r="AX40" s="638"/>
      <c r="AY40" s="484" t="str">
        <f>IF(AX40="PT",VLOOKUP(M40,'Foundation Calculation'!$L$2:$R$37,VLOOKUP(AW40,'Foundation Calculation'!$I$2:$J$8,2,FALSE),0),IF(AX40="K",VLOOKUP(M40,'Foundation Calculation'!$L$41:$R$75,VLOOKUP(AW40,'Foundation Calculation'!$I$2:$J$8,2,FALSE),0),""))</f>
        <v/>
      </c>
      <c r="AZ40" s="484" t="str">
        <f>IF(AX40="PT",VLOOKUP(K40,'Foundation Calculation'!$L$2:$R$41,VLOOKUP(AW40,'Foundation Calculation'!$I$2:$J$8,2,FALSE),0),IF(AX40="K",VLOOKUP(K40,'Foundation Calculation'!$L$41:$R$79,VLOOKUP(AW40,'Foundation Calculation'!$I$2:$J$8,2,FALSE),0),""))</f>
        <v/>
      </c>
      <c r="BA40" s="671"/>
      <c r="BB40" s="1239"/>
      <c r="BC40" s="169"/>
      <c r="BD40" s="1330"/>
      <c r="BE40" s="1330"/>
      <c r="BF40" s="1330"/>
      <c r="BG40" s="1330"/>
    </row>
    <row r="41" spans="1:59" ht="12.5">
      <c r="A41" s="1239" t="s">
        <v>4227</v>
      </c>
      <c r="B41" s="435" t="s">
        <v>2598</v>
      </c>
      <c r="C41" s="446">
        <f>+$C$39+$G$40</f>
        <v>93315.950000000026</v>
      </c>
      <c r="D41" s="173"/>
      <c r="E41" s="447"/>
      <c r="F41" s="447">
        <v>500</v>
      </c>
      <c r="G41" s="484"/>
      <c r="H41" s="1239"/>
      <c r="I41" s="1239"/>
      <c r="J41" s="171"/>
      <c r="K41" s="638"/>
      <c r="L41" s="638" t="s">
        <v>1451</v>
      </c>
      <c r="M41" s="638" t="str">
        <f>IF(AX41="PT",VLOOKUP(L41,'Foundation Calculation'!$V$2:$X$40,VLOOKUP(AX41,'Foundation Calculation'!$I$10:$J$13,2,FALSE),0),IF(AX41="K",VLOOKUP(L41,'Foundation Calculation'!$V$42:$X$80,VLOOKUP(AX41,'Foundation Calculation'!$I$10:$J$13,2,FALSE),0),""))</f>
        <v>C8R</v>
      </c>
      <c r="N41" s="1239" t="s">
        <v>144</v>
      </c>
      <c r="O41" s="1239"/>
      <c r="P41" s="1239"/>
      <c r="Q41" s="638">
        <v>10</v>
      </c>
      <c r="R41" s="638">
        <v>550</v>
      </c>
      <c r="S41" s="484"/>
      <c r="T41" s="638">
        <v>10</v>
      </c>
      <c r="U41" s="638"/>
      <c r="V41" s="638"/>
      <c r="W41" s="638">
        <v>1</v>
      </c>
      <c r="X41" s="638"/>
      <c r="Y41" s="638"/>
      <c r="Z41" s="638"/>
      <c r="AA41" s="638"/>
      <c r="AB41" s="638"/>
      <c r="AC41" s="638" t="s">
        <v>3050</v>
      </c>
      <c r="AD41" s="638"/>
      <c r="AE41" s="638"/>
      <c r="AF41" s="638">
        <v>5000</v>
      </c>
      <c r="AG41" s="446">
        <v>93315</v>
      </c>
      <c r="AH41" s="638">
        <v>2113</v>
      </c>
      <c r="AI41" s="638">
        <v>20</v>
      </c>
      <c r="AJ41" s="638" t="s">
        <v>2154</v>
      </c>
      <c r="AK41" s="638"/>
      <c r="AL41" s="638" t="s">
        <v>2143</v>
      </c>
      <c r="AM41" s="638" t="s">
        <v>1043</v>
      </c>
      <c r="AN41" s="455">
        <v>5.15</v>
      </c>
      <c r="AO41" s="1239"/>
      <c r="AP41" s="1239"/>
      <c r="AQ41" s="484"/>
      <c r="AR41" s="484"/>
      <c r="AS41" s="484"/>
      <c r="AT41" s="484">
        <f>+ab($T$41,$T$39,$T$43,$G$40,$G$42, 1*$F$41,1200)</f>
        <v>4.457697690226099</v>
      </c>
      <c r="AU41" s="638"/>
      <c r="AV41" s="638"/>
      <c r="AW41" s="638" t="str">
        <f>VLOOKUP(C41,'Foundation Calculation'!$A$2:$C$33,3,1)</f>
        <v>Soil D</v>
      </c>
      <c r="AX41" s="638" t="s">
        <v>1371</v>
      </c>
      <c r="AY41" s="636">
        <f>IF(AX41="PT",VLOOKUP(L41,'Foundation Calculation'!$K$2:$R$40,VLOOKUP(AW41,'Foundation Calculation'!$I$2:$J$8,2,FALSE),0),IF(AX41="K",VLOOKUP(L41,'Foundation Calculation'!$K$42:$R$80,VLOOKUP(AW41,'Foundation Calculation'!$I$2:$J$8,2,FALSE),0),""))</f>
        <v>3.9</v>
      </c>
      <c r="AZ41" s="484"/>
      <c r="BA41" s="671" t="s">
        <v>2809</v>
      </c>
      <c r="BB41" s="1239" t="str">
        <f>Pole_Calculations!A178</f>
        <v>App.8-V08F-P10.3</v>
      </c>
      <c r="BC41" s="169"/>
      <c r="BD41" s="1329">
        <v>43847</v>
      </c>
      <c r="BE41" s="1329"/>
      <c r="BF41" s="1329"/>
      <c r="BG41" s="1329">
        <v>43893</v>
      </c>
    </row>
    <row r="42" spans="1:59" ht="15.75" customHeight="1">
      <c r="A42" s="1239"/>
      <c r="B42" s="1239"/>
      <c r="C42" s="171"/>
      <c r="D42" s="1239"/>
      <c r="E42" s="1239"/>
      <c r="F42" s="1239"/>
      <c r="G42" s="455">
        <v>28</v>
      </c>
      <c r="H42" s="1239"/>
      <c r="I42" s="1239"/>
      <c r="J42" s="171"/>
      <c r="K42" s="1239"/>
      <c r="L42" s="1239"/>
      <c r="M42" s="1239"/>
      <c r="N42" s="1239"/>
      <c r="O42" s="1239"/>
      <c r="P42" s="1239"/>
      <c r="Q42" s="1239"/>
      <c r="R42" s="1239"/>
      <c r="S42" s="455">
        <f t="shared" ref="S42" si="15">+AG43-AG41</f>
        <v>28</v>
      </c>
      <c r="T42" s="1239"/>
      <c r="U42" s="1239"/>
      <c r="V42" s="1239"/>
      <c r="W42" s="1239"/>
      <c r="X42" s="1239"/>
      <c r="Y42" s="1239"/>
      <c r="Z42" s="1239"/>
      <c r="AA42" s="1239"/>
      <c r="AB42" s="1239"/>
      <c r="AC42" s="1239"/>
      <c r="AD42" s="1239"/>
      <c r="AE42" s="1239"/>
      <c r="AF42" s="1239"/>
      <c r="AG42" s="171"/>
      <c r="AH42" s="1239"/>
      <c r="AI42" s="1239"/>
      <c r="AJ42" s="638" t="s">
        <v>864</v>
      </c>
      <c r="AK42" s="1239"/>
      <c r="AL42" s="1239"/>
      <c r="AM42" s="1239"/>
      <c r="AN42" s="484"/>
      <c r="AO42" s="638"/>
      <c r="AP42" s="638"/>
      <c r="AQ42" s="484">
        <f>+FL_1($T$43,$T$41,$G$42,1200,9.28, 1*$F$43)</f>
        <v>0.30877399466666666</v>
      </c>
      <c r="AR42" s="484"/>
      <c r="AS42" s="484"/>
      <c r="AT42" s="484"/>
      <c r="AU42" s="638"/>
      <c r="AV42" s="638"/>
      <c r="AW42" s="638"/>
      <c r="AX42" s="638"/>
      <c r="AY42" s="484"/>
      <c r="AZ42" s="484"/>
      <c r="BA42" s="671"/>
      <c r="BB42" s="1239"/>
      <c r="BC42" s="169"/>
      <c r="BD42" s="1330"/>
      <c r="BE42" s="1330"/>
      <c r="BF42" s="1330"/>
      <c r="BG42" s="1330"/>
    </row>
    <row r="43" spans="1:59" ht="12.5">
      <c r="A43" s="1239"/>
      <c r="B43" s="435" t="s">
        <v>2599</v>
      </c>
      <c r="C43" s="446">
        <f>+$C$41+$G$42</f>
        <v>93343.950000000026</v>
      </c>
      <c r="D43" s="173"/>
      <c r="E43" s="447"/>
      <c r="F43" s="447">
        <v>0</v>
      </c>
      <c r="G43" s="484"/>
      <c r="H43" s="1239" t="s">
        <v>4980</v>
      </c>
      <c r="I43" s="1239"/>
      <c r="J43" s="171"/>
      <c r="K43" s="638"/>
      <c r="L43" s="638" t="s">
        <v>821</v>
      </c>
      <c r="M43" s="638" t="str">
        <f>IF(AX43="PT",VLOOKUP(L43,'Foundation Calculation'!$V$2:$X$40,VLOOKUP(AX43,'Foundation Calculation'!$I$10:$J$13,2,FALSE),0),IF(AX43="K",VLOOKUP(L43,'Foundation Calculation'!$V$42:$X$80,VLOOKUP(AX43,'Foundation Calculation'!$I$10:$J$13,2,FALSE),0),""))</f>
        <v>C7R</v>
      </c>
      <c r="N43" s="1239" t="s">
        <v>144</v>
      </c>
      <c r="O43" s="1239" t="s">
        <v>143</v>
      </c>
      <c r="P43" s="1239"/>
      <c r="Q43" s="638">
        <v>10</v>
      </c>
      <c r="R43" s="638">
        <v>0</v>
      </c>
      <c r="S43" s="484"/>
      <c r="T43" s="638">
        <v>30</v>
      </c>
      <c r="U43" s="638">
        <v>15</v>
      </c>
      <c r="V43" s="638"/>
      <c r="W43" s="638">
        <v>1.4</v>
      </c>
      <c r="X43" s="638">
        <v>1.7</v>
      </c>
      <c r="Y43" s="638"/>
      <c r="Z43" s="638"/>
      <c r="AA43" s="638"/>
      <c r="AB43" s="638"/>
      <c r="AC43" s="638" t="s">
        <v>4124</v>
      </c>
      <c r="AD43" s="638" t="s">
        <v>4207</v>
      </c>
      <c r="AE43" s="638"/>
      <c r="AF43" s="638">
        <v>5300</v>
      </c>
      <c r="AG43" s="446">
        <v>93343</v>
      </c>
      <c r="AH43" s="638">
        <v>2093</v>
      </c>
      <c r="AI43" s="638">
        <v>40</v>
      </c>
      <c r="AJ43" s="638"/>
      <c r="AK43" s="638"/>
      <c r="AL43" s="638" t="s">
        <v>2142</v>
      </c>
      <c r="AM43" s="638" t="s">
        <v>1043</v>
      </c>
      <c r="AN43" s="455">
        <v>5.15</v>
      </c>
      <c r="AO43" s="1239"/>
      <c r="AP43" s="1239"/>
      <c r="AQ43" s="484"/>
      <c r="AR43" s="484"/>
      <c r="AS43" s="484"/>
      <c r="AT43" s="484">
        <f>+ab($T$43,$T$41,$T$45,$G$42,$G$44, 1*$F$43,1200)</f>
        <v>7.4194488697429462</v>
      </c>
      <c r="AU43" s="638"/>
      <c r="AV43" s="638"/>
      <c r="AW43" s="638" t="str">
        <f>VLOOKUP(C43,'Foundation Calculation'!$A$2:$C$33,3,1)</f>
        <v>Soil D</v>
      </c>
      <c r="AX43" s="638" t="s">
        <v>1371</v>
      </c>
      <c r="AY43" s="636">
        <f>IF(AX43="PT",VLOOKUP(L43,'Foundation Calculation'!$K$2:$R$40,VLOOKUP(AW43,'Foundation Calculation'!$I$2:$J$8,2,FALSE),0),IF(AX43="K",VLOOKUP(L43,'Foundation Calculation'!$K$42:$R$80,VLOOKUP(AW43,'Foundation Calculation'!$I$2:$J$8,2,FALSE),0),""))</f>
        <v>3.5</v>
      </c>
      <c r="AZ43" s="484"/>
      <c r="BA43" s="671" t="s">
        <v>2809</v>
      </c>
      <c r="BB43" s="1239" t="str">
        <f>Pole_Calculations!A178</f>
        <v>App.8-V08F-P10.3</v>
      </c>
      <c r="BC43" s="169" t="s">
        <v>4954</v>
      </c>
      <c r="BD43" s="1329">
        <v>43841</v>
      </c>
      <c r="BE43" s="1329" t="s">
        <v>4946</v>
      </c>
      <c r="BF43" s="1329">
        <v>43854</v>
      </c>
      <c r="BG43" s="1329">
        <v>43870</v>
      </c>
    </row>
    <row r="44" spans="1:59" ht="15.75" customHeight="1">
      <c r="A44" s="1239"/>
      <c r="B44" s="1239"/>
      <c r="C44" s="171"/>
      <c r="D44" s="1239"/>
      <c r="E44" s="1239"/>
      <c r="F44" s="1239"/>
      <c r="G44" s="455">
        <v>32.299999999999997</v>
      </c>
      <c r="H44" s="1239"/>
      <c r="I44" s="1239"/>
      <c r="J44" s="171"/>
      <c r="K44" s="1239"/>
      <c r="L44" s="1239"/>
      <c r="M44" s="1239"/>
      <c r="N44" s="1239"/>
      <c r="O44" s="1239"/>
      <c r="P44" s="1239"/>
      <c r="Q44" s="1239"/>
      <c r="R44" s="1239"/>
      <c r="S44" s="455">
        <f t="shared" ref="S44" si="16">+AG45-AG43</f>
        <v>32.619999999995343</v>
      </c>
      <c r="T44" s="1239"/>
      <c r="U44" s="1239"/>
      <c r="V44" s="1239"/>
      <c r="W44" s="1239"/>
      <c r="X44" s="1239"/>
      <c r="Y44" s="1239"/>
      <c r="Z44" s="1239"/>
      <c r="AA44" s="1239"/>
      <c r="AB44" s="1239"/>
      <c r="AC44" s="1239"/>
      <c r="AD44" s="1239"/>
      <c r="AE44" s="1239"/>
      <c r="AF44" s="1239"/>
      <c r="AG44" s="171"/>
      <c r="AH44" s="1239"/>
      <c r="AI44" s="1239"/>
      <c r="AJ44" s="1239"/>
      <c r="AK44" s="1239"/>
      <c r="AL44" s="1239"/>
      <c r="AM44" s="1239"/>
      <c r="AN44" s="484"/>
      <c r="AO44" s="638"/>
      <c r="AP44" s="638"/>
      <c r="AQ44" s="484">
        <f>+FL_2($T$45,$T$43,$G$44,1200,9.28, 1*$F$45)</f>
        <v>-0.47409163447713953</v>
      </c>
      <c r="AR44" s="484"/>
      <c r="AS44" s="484"/>
      <c r="AT44" s="484"/>
      <c r="AU44" s="638"/>
      <c r="AV44" s="638"/>
      <c r="AW44" s="638"/>
      <c r="AX44" s="638"/>
      <c r="AY44" s="484"/>
      <c r="AZ44" s="484"/>
      <c r="BA44" s="671"/>
      <c r="BB44" s="1239"/>
      <c r="BC44" s="169"/>
      <c r="BD44" s="1330"/>
      <c r="BE44" s="1330"/>
      <c r="BF44" s="1330"/>
      <c r="BG44" s="1330"/>
    </row>
    <row r="45" spans="1:59" ht="15.75" customHeight="1">
      <c r="A45" s="1239"/>
      <c r="B45" s="435" t="s">
        <v>2602</v>
      </c>
      <c r="C45" s="446">
        <f>+$C$43+$G$44</f>
        <v>93376.250000000029</v>
      </c>
      <c r="D45" s="173"/>
      <c r="E45" s="447"/>
      <c r="F45" s="447">
        <v>408</v>
      </c>
      <c r="G45" s="484"/>
      <c r="H45" s="1239" t="s">
        <v>619</v>
      </c>
      <c r="I45" s="1239"/>
      <c r="J45" s="171"/>
      <c r="K45" s="638"/>
      <c r="L45" s="638" t="s">
        <v>819</v>
      </c>
      <c r="M45" s="638" t="s">
        <v>3292</v>
      </c>
      <c r="N45" s="1239" t="s">
        <v>143</v>
      </c>
      <c r="O45" s="1239" t="s">
        <v>140</v>
      </c>
      <c r="P45" s="1239"/>
      <c r="Q45" s="638">
        <v>10</v>
      </c>
      <c r="R45" s="638">
        <v>407.5</v>
      </c>
      <c r="S45" s="484"/>
      <c r="T45" s="638">
        <v>-30</v>
      </c>
      <c r="U45" s="638">
        <v>-45</v>
      </c>
      <c r="V45" s="638"/>
      <c r="W45" s="638">
        <v>1.4</v>
      </c>
      <c r="X45" s="638">
        <v>1.7</v>
      </c>
      <c r="Y45" s="638"/>
      <c r="Z45" s="638"/>
      <c r="AA45" s="638">
        <v>0.25</v>
      </c>
      <c r="AB45" s="638"/>
      <c r="AC45" s="638" t="s">
        <v>3050</v>
      </c>
      <c r="AD45" s="638"/>
      <c r="AE45" s="638"/>
      <c r="AF45" s="638">
        <v>5000</v>
      </c>
      <c r="AG45" s="446">
        <v>93375.62</v>
      </c>
      <c r="AH45" s="638">
        <v>2273</v>
      </c>
      <c r="AI45" s="638">
        <v>-180</v>
      </c>
      <c r="AJ45" s="638"/>
      <c r="AK45" s="638"/>
      <c r="AL45" s="638" t="s">
        <v>2127</v>
      </c>
      <c r="AM45" s="638" t="s">
        <v>1043</v>
      </c>
      <c r="AN45" s="455">
        <v>5.15</v>
      </c>
      <c r="AO45" s="1239"/>
      <c r="AP45" s="1239"/>
      <c r="AQ45" s="484"/>
      <c r="AR45" s="484"/>
      <c r="AS45" s="484"/>
      <c r="AT45" s="484">
        <f>+ab($T$45,$T$43,$T$47,$G$44,$G$46, 1*$F$45,1200)</f>
        <v>7.0747539431227668</v>
      </c>
      <c r="AU45" s="638"/>
      <c r="AV45" s="638"/>
      <c r="AW45" s="638" t="s">
        <v>4876</v>
      </c>
      <c r="AX45" s="638"/>
      <c r="AY45" s="484"/>
      <c r="AZ45" s="484"/>
      <c r="BA45" s="671" t="s">
        <v>2809</v>
      </c>
      <c r="BB45" s="1239" t="str">
        <f>Pole_Calculations!A178</f>
        <v>App.8-V08F-P10.3</v>
      </c>
      <c r="BC45" s="169"/>
      <c r="BD45" s="1329">
        <v>43847</v>
      </c>
      <c r="BE45" s="1329">
        <v>43854</v>
      </c>
      <c r="BF45" s="1329">
        <v>43854</v>
      </c>
      <c r="BG45" s="1329">
        <v>43870</v>
      </c>
    </row>
    <row r="46" spans="1:59" ht="15.75" customHeight="1">
      <c r="A46" s="1239"/>
      <c r="B46" s="1239"/>
      <c r="C46" s="171"/>
      <c r="D46" s="1239"/>
      <c r="E46" s="1239"/>
      <c r="F46" s="1239"/>
      <c r="G46" s="455">
        <v>24.7</v>
      </c>
      <c r="H46" s="1239"/>
      <c r="I46" s="1239"/>
      <c r="J46" s="171"/>
      <c r="K46" s="1239"/>
      <c r="L46" s="1239"/>
      <c r="M46" s="1239"/>
      <c r="N46" s="1239"/>
      <c r="O46" s="1239"/>
      <c r="P46" s="1239"/>
      <c r="Q46" s="1239"/>
      <c r="R46" s="1239"/>
      <c r="S46" s="455">
        <f t="shared" ref="S46" si="17">+AG47-AG45</f>
        <v>24.760000000009313</v>
      </c>
      <c r="T46" s="1239"/>
      <c r="U46" s="1239"/>
      <c r="V46" s="1239"/>
      <c r="W46" s="1239"/>
      <c r="X46" s="1239"/>
      <c r="Y46" s="1239"/>
      <c r="Z46" s="1239"/>
      <c r="AA46" s="1239"/>
      <c r="AB46" s="1239"/>
      <c r="AC46" s="1239"/>
      <c r="AD46" s="1239"/>
      <c r="AE46" s="1239"/>
      <c r="AF46" s="1239"/>
      <c r="AG46" s="171"/>
      <c r="AH46" s="1239"/>
      <c r="AI46" s="1239"/>
      <c r="AJ46" s="1239"/>
      <c r="AK46" s="1239"/>
      <c r="AL46" s="1239"/>
      <c r="AM46" s="1239"/>
      <c r="AN46" s="484"/>
      <c r="AO46" s="638"/>
      <c r="AP46" s="638"/>
      <c r="AQ46" s="484">
        <f>+FL_2($T$47,$T$45,$G$46,1200,9.28, 1*$F$47)</f>
        <v>-0.30628196784744671</v>
      </c>
      <c r="AR46" s="484"/>
      <c r="AS46" s="484"/>
      <c r="AT46" s="484"/>
      <c r="AU46" s="638"/>
      <c r="AV46" s="638"/>
      <c r="AW46" s="638"/>
      <c r="AX46" s="638"/>
      <c r="AY46" s="484"/>
      <c r="AZ46" s="484"/>
      <c r="BA46" s="671"/>
      <c r="BB46" s="1239"/>
      <c r="BC46" s="169"/>
      <c r="BD46" s="1330"/>
      <c r="BE46" s="1330"/>
      <c r="BF46" s="1330"/>
      <c r="BG46" s="1330"/>
    </row>
    <row r="47" spans="1:59" ht="15.75" customHeight="1">
      <c r="A47" s="638"/>
      <c r="B47" s="435" t="s">
        <v>2600</v>
      </c>
      <c r="C47" s="446">
        <f>+$C$45+$G$46</f>
        <v>93400.950000000026</v>
      </c>
      <c r="D47" s="173"/>
      <c r="E47" s="447"/>
      <c r="F47" s="447">
        <v>610</v>
      </c>
      <c r="G47" s="484"/>
      <c r="H47" s="1239" t="s">
        <v>619</v>
      </c>
      <c r="I47" s="1239"/>
      <c r="J47" s="171"/>
      <c r="K47" s="638"/>
      <c r="L47" s="638" t="s">
        <v>895</v>
      </c>
      <c r="M47" s="638" t="s">
        <v>1686</v>
      </c>
      <c r="N47" s="1239" t="s">
        <v>144</v>
      </c>
      <c r="O47" s="1239" t="s">
        <v>140</v>
      </c>
      <c r="P47" s="1239"/>
      <c r="Q47" s="638">
        <v>30</v>
      </c>
      <c r="R47" s="638">
        <v>610</v>
      </c>
      <c r="S47" s="484"/>
      <c r="T47" s="638">
        <v>30</v>
      </c>
      <c r="U47" s="638">
        <v>-45</v>
      </c>
      <c r="V47" s="638"/>
      <c r="W47" s="638">
        <v>1.2</v>
      </c>
      <c r="X47" s="638">
        <v>1.7</v>
      </c>
      <c r="Y47" s="638"/>
      <c r="Z47" s="638"/>
      <c r="AA47" s="638">
        <v>0.45</v>
      </c>
      <c r="AB47" s="638"/>
      <c r="AC47" s="638" t="s">
        <v>3050</v>
      </c>
      <c r="AD47" s="638"/>
      <c r="AE47" s="638"/>
      <c r="AF47" s="638">
        <v>4400</v>
      </c>
      <c r="AG47" s="446">
        <v>93400.38</v>
      </c>
      <c r="AH47" s="638">
        <v>2113</v>
      </c>
      <c r="AI47" s="638">
        <v>-900</v>
      </c>
      <c r="AJ47" s="638"/>
      <c r="AK47" s="638"/>
      <c r="AL47" s="638"/>
      <c r="AM47" s="638" t="s">
        <v>1043</v>
      </c>
      <c r="AN47" s="455">
        <v>5.15</v>
      </c>
      <c r="AO47" s="1239"/>
      <c r="AP47" s="1239"/>
      <c r="AQ47" s="484"/>
      <c r="AR47" s="484"/>
      <c r="AS47" s="484"/>
      <c r="AT47" s="484">
        <f>+ab($T$47,$T$45,$T$49,$G$46,$G$48, 1*$F$47,1200)</f>
        <v>2.9482641881664269</v>
      </c>
      <c r="AU47" s="638"/>
      <c r="AV47" s="638"/>
      <c r="AW47" s="638" t="s">
        <v>4876</v>
      </c>
      <c r="AX47" s="638"/>
      <c r="AY47" s="484"/>
      <c r="AZ47" s="484"/>
      <c r="BA47" s="671" t="s">
        <v>2809</v>
      </c>
      <c r="BB47" s="638" t="str">
        <f>Pole_Calculations!A19</f>
        <v>App.7-V11A-P9.5.1.5</v>
      </c>
      <c r="BC47" s="169"/>
      <c r="BD47" s="1329">
        <v>43847</v>
      </c>
      <c r="BE47" s="1329"/>
      <c r="BF47" s="1330"/>
      <c r="BG47" s="1329">
        <v>43893</v>
      </c>
    </row>
    <row r="48" spans="1:59" ht="15.75" customHeight="1">
      <c r="A48" s="638"/>
      <c r="B48" s="1239"/>
      <c r="C48" s="171"/>
      <c r="D48" s="1239"/>
      <c r="E48" s="1239"/>
      <c r="F48" s="1239"/>
      <c r="G48" s="455">
        <v>25</v>
      </c>
      <c r="H48" s="638"/>
      <c r="I48" s="638"/>
      <c r="J48" s="446"/>
      <c r="K48" s="638"/>
      <c r="L48" s="638"/>
      <c r="M48" s="638"/>
      <c r="N48" s="1239"/>
      <c r="O48" s="1239"/>
      <c r="P48" s="638"/>
      <c r="Q48" s="638"/>
      <c r="R48" s="638"/>
      <c r="S48" s="484">
        <f t="shared" ref="S48" si="18">+AG49-AG47</f>
        <v>24.619999999995343</v>
      </c>
      <c r="T48" s="638"/>
      <c r="U48" s="638"/>
      <c r="V48" s="638"/>
      <c r="W48" s="638"/>
      <c r="X48" s="638"/>
      <c r="Y48" s="638"/>
      <c r="Z48" s="638"/>
      <c r="AA48" s="638"/>
      <c r="AB48" s="638"/>
      <c r="AC48" s="638"/>
      <c r="AD48" s="638"/>
      <c r="AE48" s="638"/>
      <c r="AF48" s="638"/>
      <c r="AG48" s="446"/>
      <c r="AH48" s="638"/>
      <c r="AI48" s="185"/>
      <c r="AJ48" s="638"/>
      <c r="AK48" s="1239"/>
      <c r="AL48" s="638"/>
      <c r="AM48" s="638"/>
      <c r="AN48" s="455"/>
      <c r="AO48" s="1239"/>
      <c r="AP48" s="1239"/>
      <c r="AQ48" s="484">
        <f>+FL_1($T$49,$T$47,$G$48,1200,9.28, 1*$F$49)</f>
        <v>0.3</v>
      </c>
      <c r="AR48" s="484"/>
      <c r="AS48" s="484"/>
      <c r="AT48" s="484"/>
      <c r="AU48" s="638"/>
      <c r="AV48" s="638"/>
      <c r="AW48" s="638"/>
      <c r="AX48" s="638"/>
      <c r="AY48" s="484" t="str">
        <f>IF(AX48="PT",VLOOKUP(M48,'Foundation Calculation'!$L$2:$R$37,VLOOKUP(AW48,'Foundation Calculation'!$I$2:$J$8,2,FALSE),0),IF(AX48="K",VLOOKUP(M48,'Foundation Calculation'!$L$41:$R$75,VLOOKUP(AW48,'Foundation Calculation'!$I$2:$J$8,2,FALSE),0),""))</f>
        <v/>
      </c>
      <c r="AZ48" s="484" t="str">
        <f>IF(AX48="PT",VLOOKUP(K48,'Foundation Calculation'!$L$2:$R$41,VLOOKUP(AW48,'Foundation Calculation'!$I$2:$J$8,2,FALSE),0),IF(AX48="K",VLOOKUP(K48,'Foundation Calculation'!$L$41:$R$79,VLOOKUP(AW48,'Foundation Calculation'!$I$2:$J$8,2,FALSE),0),""))</f>
        <v/>
      </c>
      <c r="BA48" s="671"/>
      <c r="BB48" s="638"/>
      <c r="BC48" s="169"/>
      <c r="BD48" s="1330"/>
      <c r="BE48" s="1330"/>
      <c r="BF48" s="1330"/>
      <c r="BG48" s="1330"/>
    </row>
    <row r="49" spans="1:59" ht="15.75" customHeight="1">
      <c r="A49" s="638"/>
      <c r="B49" s="435" t="s">
        <v>2601</v>
      </c>
      <c r="C49" s="446">
        <f>+$C$47+$G$48</f>
        <v>93425.950000000026</v>
      </c>
      <c r="D49" s="173"/>
      <c r="E49" s="447"/>
      <c r="F49" s="447">
        <v>610</v>
      </c>
      <c r="G49" s="484"/>
      <c r="H49" s="1239" t="s">
        <v>890</v>
      </c>
      <c r="I49" s="1239" t="s">
        <v>623</v>
      </c>
      <c r="J49" s="171"/>
      <c r="K49" s="638"/>
      <c r="L49" s="638" t="s">
        <v>899</v>
      </c>
      <c r="M49" s="638" t="s">
        <v>3292</v>
      </c>
      <c r="N49" s="1239" t="s">
        <v>144</v>
      </c>
      <c r="O49" s="1239"/>
      <c r="P49" s="1239"/>
      <c r="Q49" s="638">
        <v>30</v>
      </c>
      <c r="R49" s="638">
        <v>610</v>
      </c>
      <c r="S49" s="484"/>
      <c r="T49" s="638">
        <v>30</v>
      </c>
      <c r="U49" s="638"/>
      <c r="V49" s="638"/>
      <c r="W49" s="638">
        <v>0.9</v>
      </c>
      <c r="X49" s="638"/>
      <c r="Y49" s="638"/>
      <c r="Z49" s="638"/>
      <c r="AA49" s="638"/>
      <c r="AB49" s="638"/>
      <c r="AC49" s="638" t="s">
        <v>4090</v>
      </c>
      <c r="AD49" s="638"/>
      <c r="AE49" s="638"/>
      <c r="AF49" s="638">
        <v>4800</v>
      </c>
      <c r="AG49" s="446">
        <v>93425</v>
      </c>
      <c r="AH49" s="638">
        <v>2563</v>
      </c>
      <c r="AI49" s="638">
        <v>-620</v>
      </c>
      <c r="AJ49" s="638"/>
      <c r="AK49" s="638"/>
      <c r="AL49" s="638"/>
      <c r="AM49" s="638" t="s">
        <v>1043</v>
      </c>
      <c r="AN49" s="455">
        <v>5.15</v>
      </c>
      <c r="AO49" s="1239"/>
      <c r="AP49" s="1239"/>
      <c r="AQ49" s="484"/>
      <c r="AR49" s="484"/>
      <c r="AS49" s="484"/>
      <c r="AT49" s="484">
        <f>+ab($T$49,$T$47,$T$51,$G$48,$G$50, 1*$F$49,1200)</f>
        <v>4.5805896950649068</v>
      </c>
      <c r="AU49" s="638"/>
      <c r="AV49" s="638"/>
      <c r="AW49" s="638" t="s">
        <v>4876</v>
      </c>
      <c r="AX49" s="638"/>
      <c r="AY49" s="484" t="str">
        <f>IF(AX49="PT",VLOOKUP(M49,'Foundation Calculation'!$L$2:$R$37,VLOOKUP(AW49,'Foundation Calculation'!$I$2:$J$8,2,FALSE),0),IF(AX49="K",VLOOKUP(M49,'Foundation Calculation'!$L$41:$R$75,VLOOKUP(AW49,'Foundation Calculation'!$I$2:$J$8,2,FALSE),0),""))</f>
        <v/>
      </c>
      <c r="AZ49" s="484" t="str">
        <f>IF(AX49="PT",VLOOKUP(K49,'Foundation Calculation'!$L$2:$R$41,VLOOKUP(AW49,'Foundation Calculation'!$I$2:$J$8,2,FALSE),0),IF(AX49="K",VLOOKUP(K49,'Foundation Calculation'!$L$41:$R$79,VLOOKUP(AW49,'Foundation Calculation'!$I$2:$J$8,2,FALSE),0),""))</f>
        <v/>
      </c>
      <c r="BA49" s="671" t="s">
        <v>2809</v>
      </c>
      <c r="BB49" s="638" t="str">
        <f>Pole_Calculations!A20</f>
        <v>App.7-V11A-P9.5.1.6</v>
      </c>
      <c r="BC49" s="169"/>
      <c r="BD49" s="1329">
        <v>43847</v>
      </c>
      <c r="BE49" s="1329">
        <v>43859</v>
      </c>
      <c r="BF49" s="1330"/>
      <c r="BG49" s="1329">
        <v>43870</v>
      </c>
    </row>
    <row r="50" spans="1:59" ht="15.75" customHeight="1">
      <c r="A50" s="1239"/>
      <c r="B50" s="1239"/>
      <c r="C50" s="171"/>
      <c r="D50" s="1239"/>
      <c r="E50" s="1239"/>
      <c r="F50" s="1239"/>
      <c r="G50" s="455">
        <v>26</v>
      </c>
      <c r="H50" s="638"/>
      <c r="I50" s="447"/>
      <c r="J50" s="446">
        <f>C49+7.5</f>
        <v>93433.450000000026</v>
      </c>
      <c r="K50" s="638" t="s">
        <v>4913</v>
      </c>
      <c r="L50" s="638"/>
      <c r="M50" s="638"/>
      <c r="N50" s="1239"/>
      <c r="O50" s="1239"/>
      <c r="P50" s="638"/>
      <c r="Q50" s="638"/>
      <c r="R50" s="638"/>
      <c r="S50" s="484">
        <f t="shared" ref="S50" si="19">+AG51-AG49</f>
        <v>26.410000000003492</v>
      </c>
      <c r="T50" s="638"/>
      <c r="U50" s="638"/>
      <c r="V50" s="638"/>
      <c r="W50" s="638"/>
      <c r="X50" s="638"/>
      <c r="Y50" s="638"/>
      <c r="Z50" s="638"/>
      <c r="AA50" s="638"/>
      <c r="AB50" s="638"/>
      <c r="AC50" s="638"/>
      <c r="AD50" s="638"/>
      <c r="AE50" s="638"/>
      <c r="AF50" s="638"/>
      <c r="AG50" s="446"/>
      <c r="AH50" s="638"/>
      <c r="AI50" s="185"/>
      <c r="AJ50" s="638"/>
      <c r="AK50" s="1239"/>
      <c r="AL50" s="638"/>
      <c r="AM50" s="638"/>
      <c r="AN50" s="455"/>
      <c r="AO50" s="1239"/>
      <c r="AP50" s="1239"/>
      <c r="AQ50" s="484">
        <f>+FL_1($T$51,$T$49,$G$50,1200,9.28, 1*$F$51)</f>
        <v>0.3</v>
      </c>
      <c r="AR50" s="484"/>
      <c r="AS50" s="484"/>
      <c r="AT50" s="484"/>
      <c r="AU50" s="638"/>
      <c r="AV50" s="638"/>
      <c r="AW50" s="638" t="s">
        <v>2846</v>
      </c>
      <c r="AX50" s="638"/>
      <c r="AY50" s="484" t="str">
        <f>IF(AX50="PT",VLOOKUP(M50,'Foundation Calculation'!$L$2:$R$37,VLOOKUP(AW50,'Foundation Calculation'!$I$2:$J$8,2,FALSE),0),IF(AX50="K",VLOOKUP(M50,'Foundation Calculation'!$L$41:$R$75,VLOOKUP(AW50,'Foundation Calculation'!$I$2:$J$8,2,FALSE),0),""))</f>
        <v/>
      </c>
      <c r="AZ50" s="484" t="str">
        <f>IF(AX50="PT",VLOOKUP(K50,'Foundation Calculation'!$L$2:$R$41,VLOOKUP(AW50,'Foundation Calculation'!$I$2:$J$8,2,FALSE),0),IF(AX50="K",VLOOKUP(K50,'Foundation Calculation'!$L$41:$R$79,VLOOKUP(AW50,'Foundation Calculation'!$I$2:$J$8,2,FALSE),0),""))</f>
        <v/>
      </c>
      <c r="BA50" s="671" t="s">
        <v>2809</v>
      </c>
      <c r="BB50" s="1239"/>
      <c r="BC50" s="169"/>
      <c r="BD50" s="1329"/>
      <c r="BE50" s="1330"/>
      <c r="BF50" s="1330"/>
      <c r="BG50" s="1330"/>
    </row>
    <row r="51" spans="1:59" ht="25">
      <c r="A51" s="449" t="s">
        <v>3281</v>
      </c>
      <c r="B51" s="435" t="s">
        <v>1856</v>
      </c>
      <c r="C51" s="446">
        <v>93451.35</v>
      </c>
      <c r="D51" s="173"/>
      <c r="E51" s="447"/>
      <c r="F51" s="447">
        <v>610</v>
      </c>
      <c r="G51" s="484"/>
      <c r="H51" s="1239" t="s">
        <v>619</v>
      </c>
      <c r="I51" s="168" t="s">
        <v>3055</v>
      </c>
      <c r="J51" s="770" t="s">
        <v>3282</v>
      </c>
      <c r="K51" s="644" t="s">
        <v>4892</v>
      </c>
      <c r="L51" s="638" t="s">
        <v>819</v>
      </c>
      <c r="M51" s="638" t="s">
        <v>3292</v>
      </c>
      <c r="N51" s="1239" t="s">
        <v>2797</v>
      </c>
      <c r="O51" s="1239" t="s">
        <v>4982</v>
      </c>
      <c r="P51" s="1239"/>
      <c r="Q51" s="638">
        <v>40</v>
      </c>
      <c r="R51" s="638">
        <v>610</v>
      </c>
      <c r="S51" s="484"/>
      <c r="T51" s="638">
        <v>30</v>
      </c>
      <c r="U51" s="638">
        <v>55</v>
      </c>
      <c r="V51" s="638"/>
      <c r="W51" s="638">
        <v>0.7</v>
      </c>
      <c r="X51" s="638">
        <v>0.7</v>
      </c>
      <c r="Y51" s="638"/>
      <c r="Z51" s="638"/>
      <c r="AA51" s="638">
        <v>0.5</v>
      </c>
      <c r="AB51" s="638"/>
      <c r="AC51" s="638" t="s">
        <v>3050</v>
      </c>
      <c r="AD51" s="638"/>
      <c r="AE51" s="638"/>
      <c r="AF51" s="638">
        <v>5500</v>
      </c>
      <c r="AG51" s="446">
        <v>93451.41</v>
      </c>
      <c r="AH51" s="638">
        <v>2843</v>
      </c>
      <c r="AI51" s="638">
        <v>-350</v>
      </c>
      <c r="AJ51" s="638" t="s">
        <v>884</v>
      </c>
      <c r="AK51" s="638"/>
      <c r="AL51" s="638" t="s">
        <v>2127</v>
      </c>
      <c r="AM51" s="638" t="s">
        <v>1043</v>
      </c>
      <c r="AN51" s="455">
        <v>5.15</v>
      </c>
      <c r="AO51" s="1239"/>
      <c r="AP51" s="1239"/>
      <c r="AQ51" s="484"/>
      <c r="AR51" s="484"/>
      <c r="AS51" s="484"/>
      <c r="AT51" s="484">
        <f>+ab($T$51,$T$49,$T$53,$G$50,$G$52, 1*$F$51,1200)</f>
        <v>3.5055002231215893</v>
      </c>
      <c r="AU51" s="638"/>
      <c r="AV51" s="638"/>
      <c r="AW51" s="644" t="s">
        <v>4914</v>
      </c>
      <c r="AX51" s="638"/>
      <c r="AY51" s="484" t="str">
        <f>IF(AX51="PT",VLOOKUP(M51,'Foundation Calculation'!$L$2:$R$37,VLOOKUP(AW51,'Foundation Calculation'!$I$2:$J$8,2,FALSE),0),IF(AX51="K",VLOOKUP(M51,'Foundation Calculation'!$L$41:$R$75,VLOOKUP(AW51,'Foundation Calculation'!$I$2:$J$8,2,FALSE),0),""))</f>
        <v/>
      </c>
      <c r="AZ51" s="484" t="str">
        <f>IF(AX51="PT",VLOOKUP(K51,'Foundation Calculation'!$L$2:$R$41,VLOOKUP(AW51,'Foundation Calculation'!$I$2:$J$8,2,FALSE),0),IF(AX51="K",VLOOKUP(K51,'Foundation Calculation'!$L$41:$R$79,VLOOKUP(AW51,'Foundation Calculation'!$I$2:$J$8,2,FALSE),0),""))</f>
        <v/>
      </c>
      <c r="BA51" s="671" t="s">
        <v>2809</v>
      </c>
      <c r="BB51" s="1239" t="str">
        <f>Pole_Calculations!A178</f>
        <v>App.8-V08F-P10.3</v>
      </c>
      <c r="BC51" s="169"/>
      <c r="BD51" s="1329">
        <v>43844</v>
      </c>
      <c r="BE51" s="1329">
        <v>43847</v>
      </c>
      <c r="BF51" s="1329">
        <v>43853</v>
      </c>
      <c r="BG51" s="1329">
        <v>43870</v>
      </c>
    </row>
    <row r="52" spans="1:59" ht="15.75" customHeight="1">
      <c r="A52" s="488"/>
      <c r="B52" s="494"/>
      <c r="C52" s="489"/>
      <c r="D52" s="490"/>
      <c r="E52" s="490"/>
      <c r="F52" s="491"/>
      <c r="G52" s="493">
        <v>40.700000000000003</v>
      </c>
      <c r="H52" s="495"/>
      <c r="I52" s="492"/>
      <c r="J52" s="489">
        <f>C53-10</f>
        <v>93482.05</v>
      </c>
      <c r="K52" s="490" t="s">
        <v>894</v>
      </c>
      <c r="L52" s="490"/>
      <c r="M52" s="490"/>
      <c r="N52" s="495"/>
      <c r="O52" s="495"/>
      <c r="P52" s="495"/>
      <c r="Q52" s="490"/>
      <c r="R52" s="490"/>
      <c r="S52" s="790"/>
      <c r="T52" s="490"/>
      <c r="U52" s="490"/>
      <c r="V52" s="490"/>
      <c r="W52" s="490"/>
      <c r="X52" s="490"/>
      <c r="Y52" s="490"/>
      <c r="Z52" s="490"/>
      <c r="AA52" s="490"/>
      <c r="AB52" s="490"/>
      <c r="AC52" s="490"/>
      <c r="AD52" s="490"/>
      <c r="AE52" s="490"/>
      <c r="AF52" s="490"/>
      <c r="AG52" s="489"/>
      <c r="AH52" s="490"/>
      <c r="AI52" s="490"/>
      <c r="AJ52" s="490"/>
      <c r="AK52" s="490"/>
      <c r="AL52" s="490"/>
      <c r="AM52" s="490"/>
      <c r="AN52" s="493"/>
      <c r="AO52" s="493"/>
      <c r="AP52" s="493"/>
      <c r="AQ52" s="493">
        <f>+FL_1($T$53,$T$51,$G$52,1200,9.28, 1*$F$53)</f>
        <v>0.3</v>
      </c>
      <c r="AR52" s="493"/>
      <c r="AS52" s="493"/>
      <c r="AT52" s="493"/>
      <c r="AU52" s="493"/>
      <c r="AV52" s="493"/>
      <c r="AW52" s="493"/>
      <c r="AX52" s="493"/>
      <c r="AY52" s="493" t="str">
        <f>IF(AX52="PT",VLOOKUP(M52,'Foundation Calculation'!$L$2:$R$37,VLOOKUP(AW52,'Foundation Calculation'!$I$2:$J$8,2,FALSE),0),IF(AX52="K",VLOOKUP(M52,'Foundation Calculation'!$L$41:$R$75,VLOOKUP(AW52,'Foundation Calculation'!$I$2:$J$8,2,FALSE),0),""))</f>
        <v/>
      </c>
      <c r="AZ52" s="493" t="str">
        <f>IF(AX52="PT",VLOOKUP(K52,'Foundation Calculation'!$L$2:$R$41,VLOOKUP(AW52,'Foundation Calculation'!$I$2:$J$8,2,FALSE),0),IF(AX52="K",VLOOKUP(K52,'Foundation Calculation'!$L$41:$R$79,VLOOKUP(AW52,'Foundation Calculation'!$I$2:$J$8,2,FALSE),0),""))</f>
        <v/>
      </c>
      <c r="BA52" s="1309"/>
      <c r="BB52" s="488"/>
      <c r="BC52" s="169"/>
      <c r="BD52" s="1330"/>
      <c r="BE52" s="1330"/>
      <c r="BF52" s="1330"/>
      <c r="BG52" s="1330"/>
    </row>
    <row r="53" spans="1:59" ht="15.75" customHeight="1">
      <c r="A53" s="501" t="str">
        <f>'HR Track 1 TSA-THA'!A6</f>
        <v>Overcrossing</v>
      </c>
      <c r="B53" s="716" t="str">
        <f>'HR Track 1 TSA-THA'!B6</f>
        <v>93-1.12</v>
      </c>
      <c r="C53" s="451">
        <f>'HR Track 1 TSA-THA'!C6</f>
        <v>93492.05</v>
      </c>
      <c r="D53" s="453">
        <f>'HR Track 1 TSA-THA'!D6</f>
        <v>0</v>
      </c>
      <c r="E53" s="452">
        <f>'HR Track 1 TSA-THA'!E6</f>
        <v>0</v>
      </c>
      <c r="F53" s="453">
        <f>'HR Track 1 TSA-THA'!F6</f>
        <v>610</v>
      </c>
      <c r="G53" s="500">
        <f>'HR Track 1 TSA-THA'!G6</f>
        <v>0</v>
      </c>
      <c r="H53" s="453" t="str">
        <f>'HR Track 1 TSA-THA'!H6</f>
        <v xml:space="preserve">A/S-Diag </v>
      </c>
      <c r="I53" s="501" t="str">
        <f>'HR Track 1 TSA-THA'!I6</f>
        <v>CP/TX-W/1350</v>
      </c>
      <c r="J53" s="583">
        <f>'HR Track 1 TSA-THA'!J6</f>
        <v>0</v>
      </c>
      <c r="K53" s="452">
        <f>'HR Track 1 TSA-THA'!K6</f>
        <v>0</v>
      </c>
      <c r="L53" s="452" t="str">
        <f>'HR Track 1 TSA-THA'!L6</f>
        <v>S-1T-W</v>
      </c>
      <c r="M53" s="452">
        <f>'HR Track 1 TSA-THA'!M6</f>
        <v>0</v>
      </c>
      <c r="N53" s="501" t="str">
        <f>'HR Track 1 TSA-THA'!N6</f>
        <v>EMT-2RH</v>
      </c>
      <c r="O53" s="501">
        <f>'HR Track 1 TSA-THA'!O6</f>
        <v>0</v>
      </c>
      <c r="P53" s="501">
        <f>'HR Track 1 TSA-THA'!P6</f>
        <v>0</v>
      </c>
      <c r="Q53" s="452">
        <f>'HR Track 1 TSA-THA'!Q6</f>
        <v>40</v>
      </c>
      <c r="R53" s="452">
        <f>'HR Track 1 TSA-THA'!R6</f>
        <v>610</v>
      </c>
      <c r="S53" s="500">
        <f>'HR Track 1 TSA-THA'!S6</f>
        <v>0</v>
      </c>
      <c r="T53" s="452">
        <f>'HR Track 1 TSA-THA'!T6</f>
        <v>30</v>
      </c>
      <c r="U53" s="452">
        <f>'HR Track 1 TSA-THA'!U6</f>
        <v>0</v>
      </c>
      <c r="V53" s="452">
        <f>'HR Track 1 TSA-THA'!V6</f>
        <v>0</v>
      </c>
      <c r="W53" s="452">
        <f>'HR Track 1 TSA-THA'!W6</f>
        <v>0.4</v>
      </c>
      <c r="X53" s="452">
        <f>'HR Track 1 TSA-THA'!X6</f>
        <v>0</v>
      </c>
      <c r="Y53" s="452">
        <f>'HR Track 1 TSA-THA'!Y6</f>
        <v>0</v>
      </c>
      <c r="Z53" s="452">
        <f>'HR Track 1 TSA-THA'!Z6</f>
        <v>0</v>
      </c>
      <c r="AA53" s="452">
        <f>'HR Track 1 TSA-THA'!AA6</f>
        <v>0</v>
      </c>
      <c r="AB53" s="452">
        <f>'HR Track 1 TSA-THA'!AB6</f>
        <v>0</v>
      </c>
      <c r="AC53" s="452" t="str">
        <f>'HR Track 1 TSA-THA'!AC6</f>
        <v>PH-1150</v>
      </c>
      <c r="AD53" s="452">
        <f>'HR Track 1 TSA-THA'!AD6</f>
        <v>0</v>
      </c>
      <c r="AE53" s="452">
        <f>'HR Track 1 TSA-THA'!AE6</f>
        <v>0</v>
      </c>
      <c r="AF53" s="452">
        <f>'HR Track 1 TSA-THA'!AF6</f>
        <v>1100</v>
      </c>
      <c r="AG53" s="451">
        <f>'HR Track 1 TSA-THA'!AG6</f>
        <v>93493.57</v>
      </c>
      <c r="AH53" s="452">
        <f>'HR Track 1 TSA-THA'!AH6</f>
        <v>2093</v>
      </c>
      <c r="AI53" s="452">
        <f>'HR Track 1 TSA-THA'!AI6</f>
        <v>-3580</v>
      </c>
      <c r="AJ53" s="452">
        <f>'HR Track 1 TSA-THA'!AJ6</f>
        <v>0</v>
      </c>
      <c r="AK53" s="452">
        <f>'HR Track 1 TSA-THA'!AK6</f>
        <v>0</v>
      </c>
      <c r="AL53" s="452">
        <f>'HR Track 1 TSA-THA'!AL6</f>
        <v>0</v>
      </c>
      <c r="AM53" s="452" t="str">
        <f>'HR Track 1 TSA-THA'!AM6</f>
        <v>RW2T-C</v>
      </c>
      <c r="AN53" s="500">
        <f>'HR Track 1 TSA-THA'!AN6</f>
        <v>5.15</v>
      </c>
      <c r="AO53" s="452">
        <f>'HR Track 1 TSA-THA'!AO6</f>
        <v>0</v>
      </c>
      <c r="AP53" s="452">
        <f>'HR Track 1 TSA-THA'!AP6</f>
        <v>0</v>
      </c>
      <c r="AQ53" s="452">
        <f>'HR Track 1 TSA-THA'!AQ6</f>
        <v>0</v>
      </c>
      <c r="AR53" s="452">
        <f>'HR Track 1 TSA-THA'!AR6</f>
        <v>0</v>
      </c>
      <c r="AS53" s="452">
        <f>'HR Track 1 TSA-THA'!AS6</f>
        <v>0</v>
      </c>
      <c r="AT53" s="452">
        <f>'HR Track 1 TSA-THA'!AT6</f>
        <v>2.8561063439800658</v>
      </c>
      <c r="AU53" s="452">
        <f>'HR Track 1 TSA-THA'!AU6</f>
        <v>0</v>
      </c>
      <c r="AV53" s="452">
        <f>'HR Track 1 TSA-THA'!AV6</f>
        <v>0</v>
      </c>
      <c r="AW53" s="452" t="str">
        <f>'HR Track 1 TSA-THA'!AW6</f>
        <v>DW6999</v>
      </c>
      <c r="AX53" s="452">
        <f>'HR Track 1 TSA-THA'!AX6</f>
        <v>0</v>
      </c>
      <c r="AY53" s="500">
        <f>'HR Track 1 TSA-THA'!AY6</f>
        <v>0</v>
      </c>
      <c r="AZ53" s="500">
        <f>'HR Track 1 TSA-THA'!AZ6</f>
        <v>0</v>
      </c>
      <c r="BA53" s="1333">
        <f>'HR Track 1 TSA-THA'!BA6</f>
        <v>0</v>
      </c>
      <c r="BB53" s="452">
        <f>'HR Track 1 TSA-THA'!BB6</f>
        <v>0</v>
      </c>
      <c r="BC53" s="1334">
        <f>'HR Track 1 TSA-THA'!BC6</f>
        <v>0</v>
      </c>
      <c r="BD53" s="1335" t="str">
        <f>'HR Track 1 TSA-THA'!BD6</f>
        <v>Ejecutado</v>
      </c>
      <c r="BE53" s="1335" t="str">
        <f>'HR Track 1 TSA-THA'!BE6</f>
        <v>Ejecutado</v>
      </c>
      <c r="BF53" s="1335">
        <f>'HR Track 1 TSA-THA'!BF6</f>
        <v>0</v>
      </c>
      <c r="BG53" s="1335">
        <f>'HR Track 1 TSA-THA'!BG6</f>
        <v>43808</v>
      </c>
    </row>
    <row r="54" spans="1:59" ht="15.75" customHeight="1">
      <c r="A54" s="501">
        <f>'HR Track 1 TSA-THA'!A7</f>
        <v>0</v>
      </c>
      <c r="B54" s="716">
        <f>'HR Track 1 TSA-THA'!B7</f>
        <v>0</v>
      </c>
      <c r="C54" s="451">
        <f>'HR Track 1 TSA-THA'!C7</f>
        <v>0</v>
      </c>
      <c r="D54" s="453">
        <f>'HR Track 1 TSA-THA'!D7</f>
        <v>0</v>
      </c>
      <c r="E54" s="452">
        <f>'HR Track 1 TSA-THA'!E7</f>
        <v>0</v>
      </c>
      <c r="F54" s="453">
        <f>'HR Track 1 TSA-THA'!F7</f>
        <v>0</v>
      </c>
      <c r="G54" s="500">
        <f>'HR Track 1 TSA-THA'!G7</f>
        <v>41.2</v>
      </c>
      <c r="H54" s="453">
        <f>'HR Track 1 TSA-THA'!H7</f>
        <v>0</v>
      </c>
      <c r="I54" s="501">
        <f>'HR Track 1 TSA-THA'!I7</f>
        <v>0</v>
      </c>
      <c r="J54" s="583">
        <f>'HR Track 1 TSA-THA'!J7</f>
        <v>0</v>
      </c>
      <c r="K54" s="452">
        <f>'HR Track 1 TSA-THA'!K7</f>
        <v>0</v>
      </c>
      <c r="L54" s="452">
        <f>'HR Track 1 TSA-THA'!L7</f>
        <v>0</v>
      </c>
      <c r="M54" s="452">
        <f>'HR Track 1 TSA-THA'!M7</f>
        <v>0</v>
      </c>
      <c r="N54" s="501">
        <f>'HR Track 1 TSA-THA'!N7</f>
        <v>0</v>
      </c>
      <c r="O54" s="501">
        <f>'HR Track 1 TSA-THA'!O7</f>
        <v>0</v>
      </c>
      <c r="P54" s="501">
        <f>'HR Track 1 TSA-THA'!P7</f>
        <v>0</v>
      </c>
      <c r="Q54" s="452">
        <f>'HR Track 1 TSA-THA'!Q7</f>
        <v>0</v>
      </c>
      <c r="R54" s="452">
        <f>'HR Track 1 TSA-THA'!R7</f>
        <v>0</v>
      </c>
      <c r="S54" s="500">
        <f>'HR Track 1 TSA-THA'!S7</f>
        <v>39.599999999991269</v>
      </c>
      <c r="T54" s="452">
        <f>'HR Track 1 TSA-THA'!T7</f>
        <v>0</v>
      </c>
      <c r="U54" s="452">
        <f>'HR Track 1 TSA-THA'!U7</f>
        <v>0</v>
      </c>
      <c r="V54" s="452">
        <f>'HR Track 1 TSA-THA'!V7</f>
        <v>0</v>
      </c>
      <c r="W54" s="452">
        <f>'HR Track 1 TSA-THA'!W7</f>
        <v>0</v>
      </c>
      <c r="X54" s="452">
        <f>'HR Track 1 TSA-THA'!X7</f>
        <v>0</v>
      </c>
      <c r="Y54" s="452">
        <f>'HR Track 1 TSA-THA'!Y7</f>
        <v>0</v>
      </c>
      <c r="Z54" s="452">
        <f>'HR Track 1 TSA-THA'!Z7</f>
        <v>0</v>
      </c>
      <c r="AA54" s="452">
        <f>'HR Track 1 TSA-THA'!AA7</f>
        <v>0</v>
      </c>
      <c r="AB54" s="452">
        <f>'HR Track 1 TSA-THA'!AB7</f>
        <v>0</v>
      </c>
      <c r="AC54" s="452">
        <f>'HR Track 1 TSA-THA'!AC7</f>
        <v>0</v>
      </c>
      <c r="AD54" s="452">
        <f>'HR Track 1 TSA-THA'!AD7</f>
        <v>0</v>
      </c>
      <c r="AE54" s="452">
        <f>'HR Track 1 TSA-THA'!AE7</f>
        <v>0</v>
      </c>
      <c r="AF54" s="452">
        <f>'HR Track 1 TSA-THA'!AF7</f>
        <v>0</v>
      </c>
      <c r="AG54" s="451">
        <f>'HR Track 1 TSA-THA'!AG7</f>
        <v>0</v>
      </c>
      <c r="AH54" s="452">
        <f>'HR Track 1 TSA-THA'!AH7</f>
        <v>0</v>
      </c>
      <c r="AI54" s="452">
        <f>'HR Track 1 TSA-THA'!AI7</f>
        <v>0</v>
      </c>
      <c r="AJ54" s="452">
        <f>'HR Track 1 TSA-THA'!AJ7</f>
        <v>0</v>
      </c>
      <c r="AK54" s="452">
        <f>'HR Track 1 TSA-THA'!AK7</f>
        <v>0</v>
      </c>
      <c r="AL54" s="452">
        <f>'HR Track 1 TSA-THA'!AL7</f>
        <v>0</v>
      </c>
      <c r="AM54" s="452" t="str">
        <f>'HR Track 1 TSA-THA'!AM7</f>
        <v>RW2T-C</v>
      </c>
      <c r="AN54" s="500">
        <f>'HR Track 1 TSA-THA'!AN7</f>
        <v>0</v>
      </c>
      <c r="AO54" s="452">
        <f>'HR Track 1 TSA-THA'!AO7</f>
        <v>0</v>
      </c>
      <c r="AP54" s="452">
        <f>'HR Track 1 TSA-THA'!AP7</f>
        <v>0</v>
      </c>
      <c r="AQ54" s="452">
        <f>'HR Track 1 TSA-THA'!AQ7</f>
        <v>0.3</v>
      </c>
      <c r="AR54" s="452">
        <f>'HR Track 1 TSA-THA'!AR7</f>
        <v>0</v>
      </c>
      <c r="AS54" s="452">
        <f>'HR Track 1 TSA-THA'!AS7</f>
        <v>0</v>
      </c>
      <c r="AT54" s="452">
        <f>'HR Track 1 TSA-THA'!AT7</f>
        <v>0</v>
      </c>
      <c r="AU54" s="452">
        <f>'HR Track 1 TSA-THA'!AU7</f>
        <v>0</v>
      </c>
      <c r="AV54" s="452">
        <f>'HR Track 1 TSA-THA'!AV7</f>
        <v>0</v>
      </c>
      <c r="AW54" s="452">
        <f>'HR Track 1 TSA-THA'!AW7</f>
        <v>0</v>
      </c>
      <c r="AX54" s="452">
        <f>'HR Track 1 TSA-THA'!AX7</f>
        <v>0</v>
      </c>
      <c r="AY54" s="500">
        <f>'HR Track 1 TSA-THA'!AY7</f>
        <v>0</v>
      </c>
      <c r="AZ54" s="500">
        <f>'HR Track 1 TSA-THA'!AZ7</f>
        <v>0</v>
      </c>
      <c r="BA54" s="1333">
        <f>'HR Track 1 TSA-THA'!BA7</f>
        <v>0</v>
      </c>
      <c r="BB54" s="452">
        <f>'HR Track 1 TSA-THA'!BB7</f>
        <v>0</v>
      </c>
      <c r="BC54" s="1334">
        <f>'HR Track 1 TSA-THA'!BC7</f>
        <v>0</v>
      </c>
      <c r="BD54" s="1335">
        <f>'HR Track 1 TSA-THA'!BD7</f>
        <v>0</v>
      </c>
      <c r="BE54" s="1335">
        <f>'HR Track 1 TSA-THA'!BE7</f>
        <v>0</v>
      </c>
      <c r="BF54" s="1335">
        <f>'HR Track 1 TSA-THA'!BF7</f>
        <v>0</v>
      </c>
      <c r="BG54" s="1335">
        <f>'HR Track 1 TSA-THA'!BG7</f>
        <v>0</v>
      </c>
    </row>
    <row r="55" spans="1:59" ht="15.75" customHeight="1">
      <c r="A55" s="501">
        <f>'HR Track 1 TSA-THA'!A8</f>
        <v>0</v>
      </c>
      <c r="B55" s="716" t="str">
        <f>'HR Track 1 TSA-THA'!B8</f>
        <v>93-1.13</v>
      </c>
      <c r="C55" s="451">
        <f>'HR Track 1 TSA-THA'!C8</f>
        <v>93533.25</v>
      </c>
      <c r="D55" s="453">
        <f>'HR Track 1 TSA-THA'!D8</f>
        <v>0</v>
      </c>
      <c r="E55" s="452">
        <f>'HR Track 1 TSA-THA'!E8</f>
        <v>0</v>
      </c>
      <c r="F55" s="453">
        <f>'HR Track 1 TSA-THA'!F8</f>
        <v>610</v>
      </c>
      <c r="G55" s="500">
        <f>'HR Track 1 TSA-THA'!G8</f>
        <v>0</v>
      </c>
      <c r="H55" s="453">
        <f>'HR Track 1 TSA-THA'!H8</f>
        <v>0</v>
      </c>
      <c r="I55" s="501">
        <f>'HR Track 1 TSA-THA'!I8</f>
        <v>0</v>
      </c>
      <c r="J55" s="583">
        <f>'HR Track 1 TSA-THA'!J8</f>
        <v>0</v>
      </c>
      <c r="K55" s="452">
        <f>'HR Track 1 TSA-THA'!K8</f>
        <v>0</v>
      </c>
      <c r="L55" s="452" t="str">
        <f>'HR Track 1 TSA-THA'!L8</f>
        <v>HEB-280L</v>
      </c>
      <c r="M55" s="452" t="str">
        <f>'HR Track 1 TSA-THA'!M8</f>
        <v>C5R</v>
      </c>
      <c r="N55" s="501" t="str">
        <f>'HR Track 1 TSA-THA'!N8</f>
        <v>EMT-2RH</v>
      </c>
      <c r="O55" s="501">
        <f>'HR Track 1 TSA-THA'!O8</f>
        <v>0</v>
      </c>
      <c r="P55" s="501">
        <f>'HR Track 1 TSA-THA'!P8</f>
        <v>0</v>
      </c>
      <c r="Q55" s="452">
        <f>'HR Track 1 TSA-THA'!Q8</f>
        <v>30</v>
      </c>
      <c r="R55" s="452">
        <f>'HR Track 1 TSA-THA'!R8</f>
        <v>610</v>
      </c>
      <c r="S55" s="500">
        <f>'HR Track 1 TSA-THA'!S8</f>
        <v>0</v>
      </c>
      <c r="T55" s="452">
        <f>'HR Track 1 TSA-THA'!T8</f>
        <v>30</v>
      </c>
      <c r="U55" s="452">
        <f>'HR Track 1 TSA-THA'!U8</f>
        <v>0</v>
      </c>
      <c r="V55" s="452">
        <f>'HR Track 1 TSA-THA'!V8</f>
        <v>0</v>
      </c>
      <c r="W55" s="452">
        <f>'HR Track 1 TSA-THA'!W8</f>
        <v>0.6</v>
      </c>
      <c r="X55" s="452">
        <f>'HR Track 1 TSA-THA'!X8</f>
        <v>0</v>
      </c>
      <c r="Y55" s="452">
        <f>'HR Track 1 TSA-THA'!Y8</f>
        <v>0</v>
      </c>
      <c r="Z55" s="452">
        <f>'HR Track 1 TSA-THA'!Z8</f>
        <v>0</v>
      </c>
      <c r="AA55" s="452">
        <f>'HR Track 1 TSA-THA'!AA8</f>
        <v>0</v>
      </c>
      <c r="AB55" s="452">
        <f>'HR Track 1 TSA-THA'!AB8</f>
        <v>0</v>
      </c>
      <c r="AC55" s="452" t="str">
        <f>'HR Track 1 TSA-THA'!AC8</f>
        <v>PHC-1150</v>
      </c>
      <c r="AD55" s="452">
        <f>'HR Track 1 TSA-THA'!AD8</f>
        <v>0</v>
      </c>
      <c r="AE55" s="452">
        <f>'HR Track 1 TSA-THA'!AE8</f>
        <v>0</v>
      </c>
      <c r="AF55" s="452">
        <f>'HR Track 1 TSA-THA'!AF8</f>
        <v>5700</v>
      </c>
      <c r="AG55" s="451">
        <f>'HR Track 1 TSA-THA'!AG8</f>
        <v>93533.17</v>
      </c>
      <c r="AH55" s="452">
        <f>'HR Track 1 TSA-THA'!AH8</f>
        <v>2813</v>
      </c>
      <c r="AI55" s="452">
        <f>'HR Track 1 TSA-THA'!AI8</f>
        <v>40</v>
      </c>
      <c r="AJ55" s="452">
        <f>'HR Track 1 TSA-THA'!AJ8</f>
        <v>0</v>
      </c>
      <c r="AK55" s="452">
        <f>'HR Track 1 TSA-THA'!AK8</f>
        <v>0</v>
      </c>
      <c r="AL55" s="452" t="str">
        <f>'HR Track 1 TSA-THA'!AL8</f>
        <v>PR1B</v>
      </c>
      <c r="AM55" s="452" t="str">
        <f>'HR Track 1 TSA-THA'!AM8</f>
        <v>RW2</v>
      </c>
      <c r="AN55" s="500">
        <f>'HR Track 1 TSA-THA'!AN8</f>
        <v>5.15</v>
      </c>
      <c r="AO55" s="452">
        <f>'HR Track 1 TSA-THA'!AO8</f>
        <v>0</v>
      </c>
      <c r="AP55" s="452">
        <f>'HR Track 1 TSA-THA'!AP8</f>
        <v>0</v>
      </c>
      <c r="AQ55" s="452">
        <f>'HR Track 1 TSA-THA'!AQ8</f>
        <v>0</v>
      </c>
      <c r="AR55" s="452">
        <f>'HR Track 1 TSA-THA'!AR8</f>
        <v>0</v>
      </c>
      <c r="AS55" s="452">
        <f>'HR Track 1 TSA-THA'!AS8</f>
        <v>0</v>
      </c>
      <c r="AT55" s="452">
        <f>'HR Track 1 TSA-THA'!AT8</f>
        <v>3.2798496305934957</v>
      </c>
      <c r="AU55" s="452">
        <f>'HR Track 1 TSA-THA'!AU8</f>
        <v>0</v>
      </c>
      <c r="AV55" s="452">
        <f>'HR Track 1 TSA-THA'!AV8</f>
        <v>0</v>
      </c>
      <c r="AW55" s="452" t="str">
        <f>'HR Track 1 TSA-THA'!AW8</f>
        <v>Soil A</v>
      </c>
      <c r="AX55" s="452" t="str">
        <f>'HR Track 1 TSA-THA'!AX8</f>
        <v>PT</v>
      </c>
      <c r="AY55" s="500">
        <f>'HR Track 1 TSA-THA'!AY8</f>
        <v>3.5</v>
      </c>
      <c r="AZ55" s="500" t="str">
        <f>'HR Track 1 TSA-THA'!AZ8</f>
        <v/>
      </c>
      <c r="BA55" s="1333" t="str">
        <f>'HR Track 1 TSA-THA'!BA8</f>
        <v>ü</v>
      </c>
      <c r="BB55" s="452" t="str">
        <f>'HR Track 1 TSA-THA'!BB8</f>
        <v>App.8-V08F-P10.3</v>
      </c>
      <c r="BC55" s="1334">
        <f>'HR Track 1 TSA-THA'!BC8</f>
        <v>0</v>
      </c>
      <c r="BD55" s="1335">
        <f>'HR Track 1 TSA-THA'!BD8</f>
        <v>43722</v>
      </c>
      <c r="BE55" s="1335" t="str">
        <f>'HR Track 1 TSA-THA'!BE8</f>
        <v>Ejecutado</v>
      </c>
      <c r="BF55" s="1335">
        <f>'HR Track 1 TSA-THA'!BF8</f>
        <v>43815</v>
      </c>
      <c r="BG55" s="1335">
        <f>'HR Track 1 TSA-THA'!BG8</f>
        <v>43808</v>
      </c>
    </row>
    <row r="56" spans="1:59" ht="15.75" customHeight="1">
      <c r="A56" s="501">
        <f>'HR Track 1 TSA-THA'!A9</f>
        <v>0</v>
      </c>
      <c r="B56" s="716">
        <f>'HR Track 1 TSA-THA'!B9</f>
        <v>0</v>
      </c>
      <c r="C56" s="451">
        <f>'HR Track 1 TSA-THA'!C9</f>
        <v>0</v>
      </c>
      <c r="D56" s="453">
        <f>'HR Track 1 TSA-THA'!D9</f>
        <v>0</v>
      </c>
      <c r="E56" s="452">
        <f>'HR Track 1 TSA-THA'!E9</f>
        <v>0</v>
      </c>
      <c r="F56" s="453">
        <f>'HR Track 1 TSA-THA'!F9</f>
        <v>0</v>
      </c>
      <c r="G56" s="500">
        <f>'HR Track 1 TSA-THA'!G9</f>
        <v>30.1</v>
      </c>
      <c r="H56" s="453">
        <f>'HR Track 1 TSA-THA'!H9</f>
        <v>0</v>
      </c>
      <c r="I56" s="501">
        <f>'HR Track 1 TSA-THA'!I9</f>
        <v>0</v>
      </c>
      <c r="J56" s="583">
        <f>'HR Track 1 TSA-THA'!J9</f>
        <v>0</v>
      </c>
      <c r="K56" s="452">
        <f>'HR Track 1 TSA-THA'!K9</f>
        <v>0</v>
      </c>
      <c r="L56" s="452">
        <f>'HR Track 1 TSA-THA'!L9</f>
        <v>0</v>
      </c>
      <c r="M56" s="452">
        <f>'HR Track 1 TSA-THA'!M9</f>
        <v>0</v>
      </c>
      <c r="N56" s="501">
        <f>'HR Track 1 TSA-THA'!N9</f>
        <v>0</v>
      </c>
      <c r="O56" s="501">
        <f>'HR Track 1 TSA-THA'!O9</f>
        <v>0</v>
      </c>
      <c r="P56" s="501">
        <f>'HR Track 1 TSA-THA'!P9</f>
        <v>0</v>
      </c>
      <c r="Q56" s="452">
        <f>'HR Track 1 TSA-THA'!Q9</f>
        <v>0</v>
      </c>
      <c r="R56" s="452">
        <f>'HR Track 1 TSA-THA'!R9</f>
        <v>0</v>
      </c>
      <c r="S56" s="500">
        <f>'HR Track 1 TSA-THA'!S9</f>
        <v>30.139999999999418</v>
      </c>
      <c r="T56" s="452">
        <f>'HR Track 1 TSA-THA'!T9</f>
        <v>0</v>
      </c>
      <c r="U56" s="452">
        <f>'HR Track 1 TSA-THA'!U9</f>
        <v>0</v>
      </c>
      <c r="V56" s="452">
        <f>'HR Track 1 TSA-THA'!V9</f>
        <v>0</v>
      </c>
      <c r="W56" s="452">
        <f>'HR Track 1 TSA-THA'!W9</f>
        <v>0</v>
      </c>
      <c r="X56" s="452">
        <f>'HR Track 1 TSA-THA'!X9</f>
        <v>0</v>
      </c>
      <c r="Y56" s="452">
        <f>'HR Track 1 TSA-THA'!Y9</f>
        <v>0</v>
      </c>
      <c r="Z56" s="452">
        <f>'HR Track 1 TSA-THA'!Z9</f>
        <v>0</v>
      </c>
      <c r="AA56" s="452">
        <f>'HR Track 1 TSA-THA'!AA9</f>
        <v>0</v>
      </c>
      <c r="AB56" s="452">
        <f>'HR Track 1 TSA-THA'!AB9</f>
        <v>0</v>
      </c>
      <c r="AC56" s="452">
        <f>'HR Track 1 TSA-THA'!AC9</f>
        <v>0</v>
      </c>
      <c r="AD56" s="452">
        <f>'HR Track 1 TSA-THA'!AD9</f>
        <v>0</v>
      </c>
      <c r="AE56" s="452">
        <f>'HR Track 1 TSA-THA'!AE9</f>
        <v>0</v>
      </c>
      <c r="AF56" s="452">
        <f>'HR Track 1 TSA-THA'!AF9</f>
        <v>0</v>
      </c>
      <c r="AG56" s="451">
        <f>'HR Track 1 TSA-THA'!AG9</f>
        <v>0</v>
      </c>
      <c r="AH56" s="452">
        <f>'HR Track 1 TSA-THA'!AH9</f>
        <v>0</v>
      </c>
      <c r="AI56" s="452">
        <f>'HR Track 1 TSA-THA'!AI9</f>
        <v>0</v>
      </c>
      <c r="AJ56" s="452">
        <f>'HR Track 1 TSA-THA'!AJ9</f>
        <v>0</v>
      </c>
      <c r="AK56" s="452">
        <f>'HR Track 1 TSA-THA'!AK9</f>
        <v>0</v>
      </c>
      <c r="AL56" s="452">
        <f>'HR Track 1 TSA-THA'!AL9</f>
        <v>0</v>
      </c>
      <c r="AM56" s="452">
        <f>'HR Track 1 TSA-THA'!AM9</f>
        <v>0</v>
      </c>
      <c r="AN56" s="500">
        <f>'HR Track 1 TSA-THA'!AN9</f>
        <v>0</v>
      </c>
      <c r="AO56" s="452">
        <f>'HR Track 1 TSA-THA'!AO9</f>
        <v>0</v>
      </c>
      <c r="AP56" s="452">
        <f>'HR Track 1 TSA-THA'!AP9</f>
        <v>0</v>
      </c>
      <c r="AQ56" s="452">
        <f>'HR Track 1 TSA-THA'!AQ9</f>
        <v>-0.30019668847991182</v>
      </c>
      <c r="AR56" s="452">
        <f>'HR Track 1 TSA-THA'!AR9</f>
        <v>0</v>
      </c>
      <c r="AS56" s="452">
        <f>'HR Track 1 TSA-THA'!AS9</f>
        <v>0</v>
      </c>
      <c r="AT56" s="452">
        <f>'HR Track 1 TSA-THA'!AT9</f>
        <v>0</v>
      </c>
      <c r="AU56" s="452">
        <f>'HR Track 1 TSA-THA'!AU9</f>
        <v>0</v>
      </c>
      <c r="AV56" s="452">
        <f>'HR Track 1 TSA-THA'!AV9</f>
        <v>0</v>
      </c>
      <c r="AW56" s="452">
        <f>'HR Track 1 TSA-THA'!AW9</f>
        <v>0</v>
      </c>
      <c r="AX56" s="452">
        <f>'HR Track 1 TSA-THA'!AX9</f>
        <v>0</v>
      </c>
      <c r="AY56" s="500">
        <f>'HR Track 1 TSA-THA'!AY9</f>
        <v>0</v>
      </c>
      <c r="AZ56" s="500">
        <f>'HR Track 1 TSA-THA'!AZ9</f>
        <v>0</v>
      </c>
      <c r="BA56" s="1333">
        <f>'HR Track 1 TSA-THA'!BA9</f>
        <v>0</v>
      </c>
      <c r="BB56" s="452">
        <f>'HR Track 1 TSA-THA'!BB9</f>
        <v>0</v>
      </c>
      <c r="BC56" s="1334">
        <f>'HR Track 1 TSA-THA'!BC9</f>
        <v>0</v>
      </c>
      <c r="BD56" s="1335">
        <f>'HR Track 1 TSA-THA'!BD9</f>
        <v>43722</v>
      </c>
      <c r="BE56" s="1335">
        <f>'HR Track 1 TSA-THA'!BE9</f>
        <v>0</v>
      </c>
      <c r="BF56" s="1335">
        <f>'HR Track 1 TSA-THA'!BF9</f>
        <v>0</v>
      </c>
      <c r="BG56" s="1335">
        <f>'HR Track 1 TSA-THA'!BG9</f>
        <v>0</v>
      </c>
    </row>
    <row r="57" spans="1:59" ht="15.75" customHeight="1">
      <c r="A57" s="501">
        <f>'HR Track 1 TSA-THA'!A10</f>
        <v>0</v>
      </c>
      <c r="B57" s="716" t="str">
        <f>'HR Track 1 TSA-THA'!B10</f>
        <v>93-1.14</v>
      </c>
      <c r="C57" s="451">
        <f>'HR Track 1 TSA-THA'!C10</f>
        <v>93563.450000000012</v>
      </c>
      <c r="D57" s="453">
        <f>'HR Track 1 TSA-THA'!D10</f>
        <v>0</v>
      </c>
      <c r="E57" s="452">
        <f>'HR Track 1 TSA-THA'!E10</f>
        <v>0</v>
      </c>
      <c r="F57" s="453">
        <f>'HR Track 1 TSA-THA'!F10</f>
        <v>610</v>
      </c>
      <c r="G57" s="500">
        <f>'HR Track 1 TSA-THA'!G10</f>
        <v>0</v>
      </c>
      <c r="H57" s="453" t="str">
        <f>'HR Track 1 TSA-THA'!H10</f>
        <v>A/S</v>
      </c>
      <c r="I57" s="501" t="str">
        <f>'HR Track 1 TSA-THA'!I10</f>
        <v>CP/TX-T/1100</v>
      </c>
      <c r="J57" s="583">
        <f>'HR Track 1 TSA-THA'!J10</f>
        <v>0</v>
      </c>
      <c r="K57" s="452">
        <f>'HR Track 1 TSA-THA'!K10</f>
        <v>0</v>
      </c>
      <c r="L57" s="452" t="str">
        <f>'HR Track 1 TSA-THA'!L10</f>
        <v>HEB-280L</v>
      </c>
      <c r="M57" s="452" t="str">
        <f>'HR Track 1 TSA-THA'!M10</f>
        <v>C5R</v>
      </c>
      <c r="N57" s="501" t="str">
        <f>'HR Track 1 TSA-THA'!N10</f>
        <v>EMT-2RH</v>
      </c>
      <c r="O57" s="501">
        <f>'HR Track 1 TSA-THA'!O10</f>
        <v>0</v>
      </c>
      <c r="P57" s="501">
        <f>'HR Track 1 TSA-THA'!P10</f>
        <v>0</v>
      </c>
      <c r="Q57" s="452">
        <f>'HR Track 1 TSA-THA'!Q10</f>
        <v>30</v>
      </c>
      <c r="R57" s="452">
        <f>'HR Track 1 TSA-THA'!R10</f>
        <v>610</v>
      </c>
      <c r="S57" s="500">
        <f>'HR Track 1 TSA-THA'!S10</f>
        <v>0</v>
      </c>
      <c r="T57" s="452">
        <f>'HR Track 1 TSA-THA'!T10</f>
        <v>30</v>
      </c>
      <c r="U57" s="452">
        <f>'HR Track 1 TSA-THA'!U10</f>
        <v>0</v>
      </c>
      <c r="V57" s="452">
        <f>'HR Track 1 TSA-THA'!V10</f>
        <v>0</v>
      </c>
      <c r="W57" s="452">
        <f>'HR Track 1 TSA-THA'!W10</f>
        <v>0.6</v>
      </c>
      <c r="X57" s="452">
        <f>'HR Track 1 TSA-THA'!X10</f>
        <v>0</v>
      </c>
      <c r="Y57" s="452">
        <f>'HR Track 1 TSA-THA'!Y10</f>
        <v>0</v>
      </c>
      <c r="Z57" s="452">
        <f>'HR Track 1 TSA-THA'!Z10</f>
        <v>0</v>
      </c>
      <c r="AA57" s="452">
        <f>'HR Track 1 TSA-THA'!AA10</f>
        <v>0</v>
      </c>
      <c r="AB57" s="452">
        <f>'HR Track 1 TSA-THA'!AB10</f>
        <v>0</v>
      </c>
      <c r="AC57" s="452" t="str">
        <f>'HR Track 1 TSA-THA'!AC10</f>
        <v>PHC-1150</v>
      </c>
      <c r="AD57" s="452">
        <f>'HR Track 1 TSA-THA'!AD10</f>
        <v>0</v>
      </c>
      <c r="AE57" s="452">
        <f>'HR Track 1 TSA-THA'!AE10</f>
        <v>0</v>
      </c>
      <c r="AF57" s="452">
        <f>'HR Track 1 TSA-THA'!AF10</f>
        <v>5700</v>
      </c>
      <c r="AG57" s="451">
        <f>'HR Track 1 TSA-THA'!AG10</f>
        <v>93563.31</v>
      </c>
      <c r="AH57" s="452">
        <f>'HR Track 1 TSA-THA'!AH10</f>
        <v>2823</v>
      </c>
      <c r="AI57" s="452">
        <f>'HR Track 1 TSA-THA'!AI10</f>
        <v>20</v>
      </c>
      <c r="AJ57" s="452">
        <f>'HR Track 1 TSA-THA'!AJ10</f>
        <v>0</v>
      </c>
      <c r="AK57" s="452">
        <f>'HR Track 1 TSA-THA'!AK10</f>
        <v>0</v>
      </c>
      <c r="AL57" s="452" t="str">
        <f>'HR Track 1 TSA-THA'!AL10</f>
        <v>PR1B</v>
      </c>
      <c r="AM57" s="452" t="str">
        <f>'HR Track 1 TSA-THA'!AM10</f>
        <v>RW2</v>
      </c>
      <c r="AN57" s="500">
        <f>'HR Track 1 TSA-THA'!AN10</f>
        <v>5.15</v>
      </c>
      <c r="AO57" s="452">
        <f>'HR Track 1 TSA-THA'!AO10</f>
        <v>0</v>
      </c>
      <c r="AP57" s="452">
        <f>'HR Track 1 TSA-THA'!AP10</f>
        <v>0</v>
      </c>
      <c r="AQ57" s="452">
        <f>'HR Track 1 TSA-THA'!AQ10</f>
        <v>0</v>
      </c>
      <c r="AR57" s="452">
        <f>'HR Track 1 TSA-THA'!AR10</f>
        <v>0</v>
      </c>
      <c r="AS57" s="452">
        <f>'HR Track 1 TSA-THA'!AS10</f>
        <v>0</v>
      </c>
      <c r="AT57" s="452">
        <f>'HR Track 1 TSA-THA'!AT10</f>
        <v>3.6365000752027585</v>
      </c>
      <c r="AU57" s="452">
        <f>'HR Track 1 TSA-THA'!AU10</f>
        <v>0</v>
      </c>
      <c r="AV57" s="452">
        <f>'HR Track 1 TSA-THA'!AV10</f>
        <v>0</v>
      </c>
      <c r="AW57" s="452" t="str">
        <f>'HR Track 1 TSA-THA'!AW10</f>
        <v>Soil A</v>
      </c>
      <c r="AX57" s="452" t="str">
        <f>'HR Track 1 TSA-THA'!AX10</f>
        <v>PT</v>
      </c>
      <c r="AY57" s="500">
        <f>'HR Track 1 TSA-THA'!AY10</f>
        <v>3.5</v>
      </c>
      <c r="AZ57" s="500" t="str">
        <f>'HR Track 1 TSA-THA'!AZ10</f>
        <v/>
      </c>
      <c r="BA57" s="1333" t="str">
        <f>'HR Track 1 TSA-THA'!BA10</f>
        <v>ü</v>
      </c>
      <c r="BB57" s="452" t="str">
        <f>'HR Track 1 TSA-THA'!BB10</f>
        <v>App.8-V08F-P10.3</v>
      </c>
      <c r="BC57" s="1334">
        <f>'HR Track 1 TSA-THA'!BC10</f>
        <v>0</v>
      </c>
      <c r="BD57" s="1335">
        <f>'HR Track 1 TSA-THA'!BD10</f>
        <v>43722</v>
      </c>
      <c r="BE57" s="1335" t="str">
        <f>'HR Track 1 TSA-THA'!BE10</f>
        <v>Ejecutado</v>
      </c>
      <c r="BF57" s="1335">
        <f>'HR Track 1 TSA-THA'!BF10</f>
        <v>43815</v>
      </c>
      <c r="BG57" s="1335">
        <f>'HR Track 1 TSA-THA'!BG10</f>
        <v>43808</v>
      </c>
    </row>
    <row r="58" spans="1:59" ht="15.75" customHeight="1">
      <c r="A58" s="501" t="str">
        <f>'HR Track 1 TSA-THA'!A11</f>
        <v>Overcrossing</v>
      </c>
      <c r="B58" s="716">
        <f>'HR Track 1 TSA-THA'!B11</f>
        <v>0</v>
      </c>
      <c r="C58" s="451">
        <f>'HR Track 1 TSA-THA'!C11</f>
        <v>0</v>
      </c>
      <c r="D58" s="453">
        <f>'HR Track 1 TSA-THA'!D11</f>
        <v>0</v>
      </c>
      <c r="E58" s="452">
        <f>'HR Track 1 TSA-THA'!E11</f>
        <v>0</v>
      </c>
      <c r="F58" s="453">
        <f>'HR Track 1 TSA-THA'!F11</f>
        <v>0</v>
      </c>
      <c r="G58" s="500">
        <f>'HR Track 1 TSA-THA'!G11</f>
        <v>46.1</v>
      </c>
      <c r="H58" s="453">
        <f>'HR Track 1 TSA-THA'!H11</f>
        <v>0</v>
      </c>
      <c r="I58" s="501">
        <f>'HR Track 1 TSA-THA'!I11</f>
        <v>0</v>
      </c>
      <c r="J58" s="583">
        <f>'HR Track 1 TSA-THA'!J11</f>
        <v>0</v>
      </c>
      <c r="K58" s="452">
        <f>'HR Track 1 TSA-THA'!K11</f>
        <v>0</v>
      </c>
      <c r="L58" s="452">
        <f>'HR Track 1 TSA-THA'!L11</f>
        <v>0</v>
      </c>
      <c r="M58" s="452">
        <f>'HR Track 1 TSA-THA'!M11</f>
        <v>0</v>
      </c>
      <c r="N58" s="501">
        <f>'HR Track 1 TSA-THA'!N11</f>
        <v>0</v>
      </c>
      <c r="O58" s="501">
        <f>'HR Track 1 TSA-THA'!O11</f>
        <v>0</v>
      </c>
      <c r="P58" s="501">
        <f>'HR Track 1 TSA-THA'!P11</f>
        <v>0</v>
      </c>
      <c r="Q58" s="452">
        <f>'HR Track 1 TSA-THA'!Q11</f>
        <v>0</v>
      </c>
      <c r="R58" s="452">
        <f>'HR Track 1 TSA-THA'!R11</f>
        <v>0</v>
      </c>
      <c r="S58" s="500">
        <f>'HR Track 1 TSA-THA'!S11</f>
        <v>47.990000000005239</v>
      </c>
      <c r="T58" s="452">
        <f>'HR Track 1 TSA-THA'!T11</f>
        <v>0</v>
      </c>
      <c r="U58" s="452">
        <f>'HR Track 1 TSA-THA'!U11</f>
        <v>0</v>
      </c>
      <c r="V58" s="452">
        <f>'HR Track 1 TSA-THA'!V11</f>
        <v>0</v>
      </c>
      <c r="W58" s="452">
        <f>'HR Track 1 TSA-THA'!W11</f>
        <v>0</v>
      </c>
      <c r="X58" s="452">
        <f>'HR Track 1 TSA-THA'!X11</f>
        <v>0</v>
      </c>
      <c r="Y58" s="452">
        <f>'HR Track 1 TSA-THA'!Y11</f>
        <v>0</v>
      </c>
      <c r="Z58" s="452">
        <f>'HR Track 1 TSA-THA'!Z11</f>
        <v>0</v>
      </c>
      <c r="AA58" s="452">
        <f>'HR Track 1 TSA-THA'!AA11</f>
        <v>0</v>
      </c>
      <c r="AB58" s="452">
        <f>'HR Track 1 TSA-THA'!AB11</f>
        <v>0</v>
      </c>
      <c r="AC58" s="452">
        <f>'HR Track 1 TSA-THA'!AC11</f>
        <v>0</v>
      </c>
      <c r="AD58" s="452">
        <f>'HR Track 1 TSA-THA'!AD11</f>
        <v>0</v>
      </c>
      <c r="AE58" s="452">
        <f>'HR Track 1 TSA-THA'!AE11</f>
        <v>0</v>
      </c>
      <c r="AF58" s="452">
        <f>'HR Track 1 TSA-THA'!AF11</f>
        <v>0</v>
      </c>
      <c r="AG58" s="451">
        <f>'HR Track 1 TSA-THA'!AG11</f>
        <v>0</v>
      </c>
      <c r="AH58" s="452">
        <f>'HR Track 1 TSA-THA'!AH11</f>
        <v>0</v>
      </c>
      <c r="AI58" s="452">
        <f>'HR Track 1 TSA-THA'!AI11</f>
        <v>0</v>
      </c>
      <c r="AJ58" s="452">
        <f>'HR Track 1 TSA-THA'!AJ11</f>
        <v>0</v>
      </c>
      <c r="AK58" s="452">
        <f>'HR Track 1 TSA-THA'!AK11</f>
        <v>0</v>
      </c>
      <c r="AL58" s="452">
        <f>'HR Track 1 TSA-THA'!AL11</f>
        <v>0</v>
      </c>
      <c r="AM58" s="452" t="str">
        <f>'HR Track 1 TSA-THA'!AM11</f>
        <v>RW2T-C
RW2T-C</v>
      </c>
      <c r="AN58" s="500">
        <f>'HR Track 1 TSA-THA'!AN11</f>
        <v>0</v>
      </c>
      <c r="AO58" s="452">
        <f>'HR Track 1 TSA-THA'!AO11</f>
        <v>0</v>
      </c>
      <c r="AP58" s="452">
        <f>'HR Track 1 TSA-THA'!AP11</f>
        <v>0</v>
      </c>
      <c r="AQ58" s="452">
        <f>'HR Track 1 TSA-THA'!AQ11</f>
        <v>-0.34108638504015337</v>
      </c>
      <c r="AR58" s="452">
        <f>'HR Track 1 TSA-THA'!AR11</f>
        <v>0</v>
      </c>
      <c r="AS58" s="452">
        <f>'HR Track 1 TSA-THA'!AS11</f>
        <v>0</v>
      </c>
      <c r="AT58" s="452">
        <f>'HR Track 1 TSA-THA'!AT11</f>
        <v>0</v>
      </c>
      <c r="AU58" s="452">
        <f>'HR Track 1 TSA-THA'!AU11</f>
        <v>0</v>
      </c>
      <c r="AV58" s="452">
        <f>'HR Track 1 TSA-THA'!AV11</f>
        <v>0</v>
      </c>
      <c r="AW58" s="452">
        <f>'HR Track 1 TSA-THA'!AW11</f>
        <v>0</v>
      </c>
      <c r="AX58" s="452">
        <f>'HR Track 1 TSA-THA'!AX11</f>
        <v>0</v>
      </c>
      <c r="AY58" s="500">
        <f>'HR Track 1 TSA-THA'!AY11</f>
        <v>0</v>
      </c>
      <c r="AZ58" s="500">
        <f>'HR Track 1 TSA-THA'!AZ11</f>
        <v>0</v>
      </c>
      <c r="BA58" s="1333">
        <f>'HR Track 1 TSA-THA'!BA11</f>
        <v>0</v>
      </c>
      <c r="BB58" s="452">
        <f>'HR Track 1 TSA-THA'!BB11</f>
        <v>0</v>
      </c>
      <c r="BC58" s="1334">
        <f>'HR Track 1 TSA-THA'!BC11</f>
        <v>0</v>
      </c>
      <c r="BD58" s="1335">
        <f>'HR Track 1 TSA-THA'!BD11</f>
        <v>0</v>
      </c>
      <c r="BE58" s="1335">
        <f>'HR Track 1 TSA-THA'!BE11</f>
        <v>0</v>
      </c>
      <c r="BF58" s="1335">
        <f>'HR Track 1 TSA-THA'!BF11</f>
        <v>0</v>
      </c>
      <c r="BG58" s="1335">
        <f>'HR Track 1 TSA-THA'!BG11</f>
        <v>0</v>
      </c>
    </row>
    <row r="59" spans="1:59" ht="15.75" customHeight="1">
      <c r="A59" s="501">
        <f>'HR Track 1 TSA-THA'!A12</f>
        <v>0</v>
      </c>
      <c r="B59" s="716" t="str">
        <f>'HR Track 1 TSA-THA'!B12</f>
        <v>93-1.15</v>
      </c>
      <c r="C59" s="451">
        <f>'HR Track 1 TSA-THA'!C12</f>
        <v>93609.550000000017</v>
      </c>
      <c r="D59" s="453">
        <f>'HR Track 1 TSA-THA'!D12</f>
        <v>0</v>
      </c>
      <c r="E59" s="452">
        <f>'HR Track 1 TSA-THA'!E12</f>
        <v>0</v>
      </c>
      <c r="F59" s="453">
        <f>'HR Track 1 TSA-THA'!F12</f>
        <v>610</v>
      </c>
      <c r="G59" s="500">
        <f>'HR Track 1 TSA-THA'!G12</f>
        <v>0</v>
      </c>
      <c r="H59" s="453" t="str">
        <f>'HR Track 1 TSA-THA'!H12</f>
        <v>S/A</v>
      </c>
      <c r="I59" s="501">
        <f>'HR Track 1 TSA-THA'!I12</f>
        <v>0</v>
      </c>
      <c r="J59" s="583">
        <f>'HR Track 1 TSA-THA'!J12</f>
        <v>0</v>
      </c>
      <c r="K59" s="452">
        <f>'HR Track 1 TSA-THA'!K12</f>
        <v>0</v>
      </c>
      <c r="L59" s="452" t="str">
        <f>'HR Track 1 TSA-THA'!L12</f>
        <v>HEB-280L</v>
      </c>
      <c r="M59" s="452" t="str">
        <f>'HR Track 1 TSA-THA'!M12</f>
        <v>C5R</v>
      </c>
      <c r="N59" s="501" t="str">
        <f>'HR Track 1 TSA-THA'!N12</f>
        <v>EMT-2RH</v>
      </c>
      <c r="O59" s="501" t="str">
        <f>'HR Track 1 TSA-THA'!O12</f>
        <v>EMT-2RH</v>
      </c>
      <c r="P59" s="501">
        <f>'HR Track 1 TSA-THA'!P12</f>
        <v>0</v>
      </c>
      <c r="Q59" s="452">
        <f>'HR Track 1 TSA-THA'!Q12</f>
        <v>20</v>
      </c>
      <c r="R59" s="452">
        <f>'HR Track 1 TSA-THA'!R12</f>
        <v>610</v>
      </c>
      <c r="S59" s="500">
        <f>'HR Track 1 TSA-THA'!S12</f>
        <v>0</v>
      </c>
      <c r="T59" s="452">
        <f>'HR Track 1 TSA-THA'!T12</f>
        <v>75</v>
      </c>
      <c r="U59" s="452">
        <f>'HR Track 1 TSA-THA'!U12</f>
        <v>30</v>
      </c>
      <c r="V59" s="452">
        <f>'HR Track 1 TSA-THA'!V12</f>
        <v>0</v>
      </c>
      <c r="W59" s="452">
        <f>'HR Track 1 TSA-THA'!W12</f>
        <v>0.7</v>
      </c>
      <c r="X59" s="452">
        <f>'HR Track 1 TSA-THA'!X12</f>
        <v>0.7</v>
      </c>
      <c r="Y59" s="452">
        <f>'HR Track 1 TSA-THA'!Y12</f>
        <v>0</v>
      </c>
      <c r="Z59" s="452">
        <f>'HR Track 1 TSA-THA'!Z12</f>
        <v>0.25</v>
      </c>
      <c r="AA59" s="452">
        <f>'HR Track 1 TSA-THA'!AA12</f>
        <v>0</v>
      </c>
      <c r="AB59" s="452">
        <f>'HR Track 1 TSA-THA'!AB12</f>
        <v>0</v>
      </c>
      <c r="AC59" s="452" t="str">
        <f>'HR Track 1 TSA-THA'!AC12</f>
        <v>PH-1150</v>
      </c>
      <c r="AD59" s="452" t="str">
        <f>'HR Track 1 TSA-THA'!AD12</f>
        <v>PH-1150</v>
      </c>
      <c r="AE59" s="452">
        <f>'HR Track 1 TSA-THA'!AE12</f>
        <v>0</v>
      </c>
      <c r="AF59" s="452">
        <f>'HR Track 1 TSA-THA'!AF12</f>
        <v>5850</v>
      </c>
      <c r="AG59" s="451">
        <f>'HR Track 1 TSA-THA'!AG12</f>
        <v>93611.3</v>
      </c>
      <c r="AH59" s="452">
        <f>'HR Track 1 TSA-THA'!AH12</f>
        <v>2013</v>
      </c>
      <c r="AI59" s="452">
        <f>'HR Track 1 TSA-THA'!AI12</f>
        <v>80</v>
      </c>
      <c r="AJ59" s="452">
        <f>'HR Track 1 TSA-THA'!AJ12</f>
        <v>0</v>
      </c>
      <c r="AK59" s="452">
        <f>'HR Track 1 TSA-THA'!AK12</f>
        <v>0</v>
      </c>
      <c r="AL59" s="452" t="str">
        <f>'HR Track 1 TSA-THA'!AL12</f>
        <v>PR1B</v>
      </c>
      <c r="AM59" s="452" t="str">
        <f>'HR Track 1 TSA-THA'!AM12</f>
        <v>RW2</v>
      </c>
      <c r="AN59" s="500">
        <f>'HR Track 1 TSA-THA'!AN12</f>
        <v>5.15</v>
      </c>
      <c r="AO59" s="452">
        <f>'HR Track 1 TSA-THA'!AO12</f>
        <v>0</v>
      </c>
      <c r="AP59" s="452">
        <f>'HR Track 1 TSA-THA'!AP12</f>
        <v>0</v>
      </c>
      <c r="AQ59" s="452">
        <f>'HR Track 1 TSA-THA'!AQ12</f>
        <v>0</v>
      </c>
      <c r="AR59" s="452">
        <f>'HR Track 1 TSA-THA'!AR12</f>
        <v>0</v>
      </c>
      <c r="AS59" s="452">
        <f>'HR Track 1 TSA-THA'!AS12</f>
        <v>0</v>
      </c>
      <c r="AT59" s="452">
        <f>'HR Track 1 TSA-THA'!AT12</f>
        <v>2.2969421705323159</v>
      </c>
      <c r="AU59" s="452">
        <f>'HR Track 1 TSA-THA'!AU12</f>
        <v>0</v>
      </c>
      <c r="AV59" s="452">
        <f>'HR Track 1 TSA-THA'!AV12</f>
        <v>0</v>
      </c>
      <c r="AW59" s="452" t="str">
        <f>'HR Track 1 TSA-THA'!AW12</f>
        <v>Soil A</v>
      </c>
      <c r="AX59" s="452" t="str">
        <f>'HR Track 1 TSA-THA'!AX12</f>
        <v>PT</v>
      </c>
      <c r="AY59" s="500">
        <f>'HR Track 1 TSA-THA'!AY12</f>
        <v>3.5</v>
      </c>
      <c r="AZ59" s="500" t="str">
        <f>'HR Track 1 TSA-THA'!AZ12</f>
        <v/>
      </c>
      <c r="BA59" s="1333" t="str">
        <f>'HR Track 1 TSA-THA'!BA12</f>
        <v>ü</v>
      </c>
      <c r="BB59" s="452" t="str">
        <f>'HR Track 1 TSA-THA'!BB12</f>
        <v>App.8-V08F-P10.3</v>
      </c>
      <c r="BC59" s="1334">
        <f>'HR Track 1 TSA-THA'!BC12</f>
        <v>0</v>
      </c>
      <c r="BD59" s="1335">
        <f>'HR Track 1 TSA-THA'!BD12</f>
        <v>43722</v>
      </c>
      <c r="BE59" s="1335" t="str">
        <f>'HR Track 1 TSA-THA'!BE12</f>
        <v>Ejecutado</v>
      </c>
      <c r="BF59" s="1335" t="str">
        <f>'HR Track 1 TSA-THA'!BF12</f>
        <v>Ejecutado</v>
      </c>
      <c r="BG59" s="1335">
        <f>'HR Track 1 TSA-THA'!BG12</f>
        <v>43808</v>
      </c>
    </row>
    <row r="60" spans="1:59" ht="15.75" customHeight="1">
      <c r="A60" s="501">
        <f>'HR Track 1 TSA-THA'!A13</f>
        <v>0</v>
      </c>
      <c r="B60" s="716">
        <f>'HR Track 1 TSA-THA'!B13</f>
        <v>0</v>
      </c>
      <c r="C60" s="451">
        <f>'HR Track 1 TSA-THA'!C13</f>
        <v>0</v>
      </c>
      <c r="D60" s="453">
        <f>'HR Track 1 TSA-THA'!D13</f>
        <v>0</v>
      </c>
      <c r="E60" s="452">
        <f>'HR Track 1 TSA-THA'!E13</f>
        <v>0</v>
      </c>
      <c r="F60" s="453">
        <f>'HR Track 1 TSA-THA'!F13</f>
        <v>0</v>
      </c>
      <c r="G60" s="500">
        <f>'HR Track 1 TSA-THA'!G13</f>
        <v>43</v>
      </c>
      <c r="H60" s="453">
        <f>'HR Track 1 TSA-THA'!H13</f>
        <v>0</v>
      </c>
      <c r="I60" s="501">
        <f>'HR Track 1 TSA-THA'!I13</f>
        <v>0</v>
      </c>
      <c r="J60" s="583">
        <f>'HR Track 1 TSA-THA'!J13</f>
        <v>0</v>
      </c>
      <c r="K60" s="452">
        <f>'HR Track 1 TSA-THA'!K13</f>
        <v>0</v>
      </c>
      <c r="L60" s="452">
        <f>'HR Track 1 TSA-THA'!L13</f>
        <v>0</v>
      </c>
      <c r="M60" s="452">
        <f>'HR Track 1 TSA-THA'!M13</f>
        <v>0</v>
      </c>
      <c r="N60" s="501">
        <f>'HR Track 1 TSA-THA'!N13</f>
        <v>0</v>
      </c>
      <c r="O60" s="501">
        <f>'HR Track 1 TSA-THA'!O13</f>
        <v>0</v>
      </c>
      <c r="P60" s="501">
        <f>'HR Track 1 TSA-THA'!P13</f>
        <v>0</v>
      </c>
      <c r="Q60" s="452">
        <f>'HR Track 1 TSA-THA'!Q13</f>
        <v>0</v>
      </c>
      <c r="R60" s="452">
        <f>'HR Track 1 TSA-THA'!R13</f>
        <v>0</v>
      </c>
      <c r="S60" s="500">
        <f>'HR Track 1 TSA-THA'!S13</f>
        <v>39.039999999993597</v>
      </c>
      <c r="T60" s="452">
        <f>'HR Track 1 TSA-THA'!T13</f>
        <v>0</v>
      </c>
      <c r="U60" s="452">
        <f>'HR Track 1 TSA-THA'!U13</f>
        <v>0</v>
      </c>
      <c r="V60" s="452">
        <f>'HR Track 1 TSA-THA'!V13</f>
        <v>0</v>
      </c>
      <c r="W60" s="452">
        <f>'HR Track 1 TSA-THA'!W13</f>
        <v>0</v>
      </c>
      <c r="X60" s="452">
        <f>'HR Track 1 TSA-THA'!X13</f>
        <v>0</v>
      </c>
      <c r="Y60" s="452">
        <f>'HR Track 1 TSA-THA'!Y13</f>
        <v>0</v>
      </c>
      <c r="Z60" s="452">
        <f>'HR Track 1 TSA-THA'!Z13</f>
        <v>0</v>
      </c>
      <c r="AA60" s="452">
        <f>'HR Track 1 TSA-THA'!AA13</f>
        <v>0</v>
      </c>
      <c r="AB60" s="452">
        <f>'HR Track 1 TSA-THA'!AB13</f>
        <v>0</v>
      </c>
      <c r="AC60" s="452">
        <f>'HR Track 1 TSA-THA'!AC13</f>
        <v>0</v>
      </c>
      <c r="AD60" s="452">
        <f>'HR Track 1 TSA-THA'!AD13</f>
        <v>0</v>
      </c>
      <c r="AE60" s="452">
        <f>'HR Track 1 TSA-THA'!AE13</f>
        <v>0</v>
      </c>
      <c r="AF60" s="452">
        <f>'HR Track 1 TSA-THA'!AF13</f>
        <v>0</v>
      </c>
      <c r="AG60" s="451">
        <f>'HR Track 1 TSA-THA'!AG13</f>
        <v>0</v>
      </c>
      <c r="AH60" s="452">
        <f>'HR Track 1 TSA-THA'!AH13</f>
        <v>0</v>
      </c>
      <c r="AI60" s="452">
        <f>'HR Track 1 TSA-THA'!AI13</f>
        <v>0</v>
      </c>
      <c r="AJ60" s="452">
        <f>'HR Track 1 TSA-THA'!AJ13</f>
        <v>0</v>
      </c>
      <c r="AK60" s="452">
        <f>'HR Track 1 TSA-THA'!AK13</f>
        <v>0</v>
      </c>
      <c r="AL60" s="452">
        <f>'HR Track 1 TSA-THA'!AL13</f>
        <v>0</v>
      </c>
      <c r="AM60" s="452">
        <f>'HR Track 1 TSA-THA'!AM13</f>
        <v>0</v>
      </c>
      <c r="AN60" s="500">
        <f>'HR Track 1 TSA-THA'!AN13</f>
        <v>0</v>
      </c>
      <c r="AO60" s="452">
        <f>'HR Track 1 TSA-THA'!AO13</f>
        <v>0</v>
      </c>
      <c r="AP60" s="452">
        <f>'HR Track 1 TSA-THA'!AP13</f>
        <v>0</v>
      </c>
      <c r="AQ60" s="452">
        <f>'HR Track 1 TSA-THA'!AQ13</f>
        <v>-0.25774785476562373</v>
      </c>
      <c r="AR60" s="452">
        <f>'HR Track 1 TSA-THA'!AR13</f>
        <v>0</v>
      </c>
      <c r="AS60" s="452">
        <f>'HR Track 1 TSA-THA'!AS13</f>
        <v>0</v>
      </c>
      <c r="AT60" s="452">
        <f>'HR Track 1 TSA-THA'!AT13</f>
        <v>0</v>
      </c>
      <c r="AU60" s="452">
        <f>'HR Track 1 TSA-THA'!AU13</f>
        <v>0</v>
      </c>
      <c r="AV60" s="452">
        <f>'HR Track 1 TSA-THA'!AV13</f>
        <v>0</v>
      </c>
      <c r="AW60" s="452">
        <f>'HR Track 1 TSA-THA'!AW13</f>
        <v>0</v>
      </c>
      <c r="AX60" s="452">
        <f>'HR Track 1 TSA-THA'!AX13</f>
        <v>0</v>
      </c>
      <c r="AY60" s="500">
        <f>'HR Track 1 TSA-THA'!AY13</f>
        <v>0</v>
      </c>
      <c r="AZ60" s="500">
        <f>'HR Track 1 TSA-THA'!AZ13</f>
        <v>0</v>
      </c>
      <c r="BA60" s="1333">
        <f>'HR Track 1 TSA-THA'!BA13</f>
        <v>0</v>
      </c>
      <c r="BB60" s="452">
        <f>'HR Track 1 TSA-THA'!BB13</f>
        <v>0</v>
      </c>
      <c r="BC60" s="1334">
        <f>'HR Track 1 TSA-THA'!BC13</f>
        <v>0</v>
      </c>
      <c r="BD60" s="1335">
        <f>'HR Track 1 TSA-THA'!BD13</f>
        <v>0</v>
      </c>
      <c r="BE60" s="1335">
        <f>'HR Track 1 TSA-THA'!BE13</f>
        <v>0</v>
      </c>
      <c r="BF60" s="1335">
        <f>'HR Track 1 TSA-THA'!BF13</f>
        <v>0</v>
      </c>
      <c r="BG60" s="1335">
        <f>'HR Track 1 TSA-THA'!BG13</f>
        <v>0</v>
      </c>
    </row>
    <row r="61" spans="1:59" ht="15.75" customHeight="1">
      <c r="A61" s="501" t="str">
        <f>'HR Track 1 TSA-THA'!A14</f>
        <v>TSA-21</v>
      </c>
      <c r="B61" s="716" t="str">
        <f>'HR Track 1 TSA-THA'!B14</f>
        <v>93-1.16</v>
      </c>
      <c r="C61" s="451">
        <f>'HR Track 1 TSA-THA'!C14</f>
        <v>93652.550000000017</v>
      </c>
      <c r="D61" s="453">
        <f>'HR Track 1 TSA-THA'!D14</f>
        <v>0</v>
      </c>
      <c r="E61" s="452">
        <f>'HR Track 1 TSA-THA'!E14</f>
        <v>0</v>
      </c>
      <c r="F61" s="453">
        <f>'HR Track 1 TSA-THA'!F14</f>
        <v>610</v>
      </c>
      <c r="G61" s="500">
        <f>'HR Track 1 TSA-THA'!G14</f>
        <v>0</v>
      </c>
      <c r="H61" s="453" t="str">
        <f>'HR Track 1 TSA-THA'!H14</f>
        <v>S/A</v>
      </c>
      <c r="I61" s="501" t="str">
        <f>'HR Track 1 TSA-THA'!I14</f>
        <v>IO</v>
      </c>
      <c r="J61" s="583">
        <f>'HR Track 1 TSA-THA'!J14</f>
        <v>0</v>
      </c>
      <c r="K61" s="452">
        <f>'HR Track 1 TSA-THA'!K14</f>
        <v>0</v>
      </c>
      <c r="L61" s="452" t="str">
        <f>'HR Track 1 TSA-THA'!L14</f>
        <v>HEB-280L</v>
      </c>
      <c r="M61" s="452" t="str">
        <f>'HR Track 1 TSA-THA'!M14</f>
        <v>C5R</v>
      </c>
      <c r="N61" s="501" t="str">
        <f>'HR Track 1 TSA-THA'!N14</f>
        <v>EMT-2</v>
      </c>
      <c r="O61" s="501" t="str">
        <f>'HR Track 1 TSA-THA'!O14</f>
        <v>EMT-T</v>
      </c>
      <c r="P61" s="501">
        <f>'HR Track 1 TSA-THA'!P14</f>
        <v>0</v>
      </c>
      <c r="Q61" s="452">
        <f>'HR Track 1 TSA-THA'!Q14</f>
        <v>30</v>
      </c>
      <c r="R61" s="452">
        <f>'HR Track 1 TSA-THA'!R14</f>
        <v>610</v>
      </c>
      <c r="S61" s="500">
        <f>'HR Track 1 TSA-THA'!S14</f>
        <v>0</v>
      </c>
      <c r="T61" s="452">
        <f>'HR Track 1 TSA-THA'!T14</f>
        <v>30</v>
      </c>
      <c r="U61" s="452">
        <f>'HR Track 1 TSA-THA'!U14</f>
        <v>-15</v>
      </c>
      <c r="V61" s="452">
        <f>'HR Track 1 TSA-THA'!V14</f>
        <v>0</v>
      </c>
      <c r="W61" s="452">
        <f>'HR Track 1 TSA-THA'!W14</f>
        <v>0.9</v>
      </c>
      <c r="X61" s="452">
        <f>'HR Track 1 TSA-THA'!X14</f>
        <v>1.2</v>
      </c>
      <c r="Y61" s="452">
        <f>'HR Track 1 TSA-THA'!Y14</f>
        <v>0</v>
      </c>
      <c r="Z61" s="452">
        <f>'HR Track 1 TSA-THA'!Z14</f>
        <v>0</v>
      </c>
      <c r="AA61" s="452">
        <f>'HR Track 1 TSA-THA'!AA14</f>
        <v>0.24</v>
      </c>
      <c r="AB61" s="452">
        <f>'HR Track 1 TSA-THA'!AB14</f>
        <v>0</v>
      </c>
      <c r="AC61" s="452" t="str">
        <f>'HR Track 1 TSA-THA'!AC14</f>
        <v>PHC-1150</v>
      </c>
      <c r="AD61" s="452">
        <f>'HR Track 1 TSA-THA'!AD14</f>
        <v>0</v>
      </c>
      <c r="AE61" s="452">
        <f>'HR Track 1 TSA-THA'!AE14</f>
        <v>0</v>
      </c>
      <c r="AF61" s="452">
        <f>'HR Track 1 TSA-THA'!AF14</f>
        <v>5100</v>
      </c>
      <c r="AG61" s="451">
        <f>'HR Track 1 TSA-THA'!AG14</f>
        <v>93650.34</v>
      </c>
      <c r="AH61" s="452">
        <f>'HR Track 1 TSA-THA'!AH14</f>
        <v>2073</v>
      </c>
      <c r="AI61" s="452">
        <f>'HR Track 1 TSA-THA'!AI14</f>
        <v>90</v>
      </c>
      <c r="AJ61" s="452" t="str">
        <f>'HR Track 1 TSA-THA'!AJ14</f>
        <v>Disc/IO-pr</v>
      </c>
      <c r="AK61" s="452">
        <f>'HR Track 1 TSA-THA'!AK14</f>
        <v>0</v>
      </c>
      <c r="AL61" s="452" t="str">
        <f>'HR Track 1 TSA-THA'!AL14</f>
        <v>PR1B</v>
      </c>
      <c r="AM61" s="452" t="str">
        <f>'HR Track 1 TSA-THA'!AM14</f>
        <v>RW2</v>
      </c>
      <c r="AN61" s="500">
        <f>'HR Track 1 TSA-THA'!AN14</f>
        <v>5.21</v>
      </c>
      <c r="AO61" s="452">
        <f>'HR Track 1 TSA-THA'!AO14</f>
        <v>0</v>
      </c>
      <c r="AP61" s="452">
        <f>'HR Track 1 TSA-THA'!AP14</f>
        <v>0</v>
      </c>
      <c r="AQ61" s="452">
        <f>'HR Track 1 TSA-THA'!AQ14</f>
        <v>0</v>
      </c>
      <c r="AR61" s="452">
        <f>'HR Track 1 TSA-THA'!AR14</f>
        <v>0</v>
      </c>
      <c r="AS61" s="452">
        <f>'HR Track 1 TSA-THA'!AS14</f>
        <v>0</v>
      </c>
      <c r="AT61" s="452">
        <f>'HR Track 1 TSA-THA'!AT14</f>
        <v>3.411987757464785</v>
      </c>
      <c r="AU61" s="452">
        <f>'HR Track 1 TSA-THA'!AU14</f>
        <v>0</v>
      </c>
      <c r="AV61" s="452">
        <f>'HR Track 1 TSA-THA'!AV14</f>
        <v>0</v>
      </c>
      <c r="AW61" s="452" t="str">
        <f>'HR Track 1 TSA-THA'!AW14</f>
        <v>Soil A</v>
      </c>
      <c r="AX61" s="452" t="str">
        <f>'HR Track 1 TSA-THA'!AX14</f>
        <v>PT</v>
      </c>
      <c r="AY61" s="500">
        <f>'HR Track 1 TSA-THA'!AY14</f>
        <v>3.5</v>
      </c>
      <c r="AZ61" s="500" t="str">
        <f>'HR Track 1 TSA-THA'!AZ14</f>
        <v/>
      </c>
      <c r="BA61" s="1333" t="str">
        <f>'HR Track 1 TSA-THA'!BA14</f>
        <v>ü</v>
      </c>
      <c r="BB61" s="452" t="str">
        <f>'HR Track 1 TSA-THA'!BB14</f>
        <v>App.8-V08F-P10.3</v>
      </c>
      <c r="BC61" s="1334">
        <f>'HR Track 1 TSA-THA'!BC14</f>
        <v>0</v>
      </c>
      <c r="BD61" s="1335">
        <f>'HR Track 1 TSA-THA'!BD14</f>
        <v>43722</v>
      </c>
      <c r="BE61" s="1335" t="str">
        <f>'HR Track 1 TSA-THA'!BE14</f>
        <v>Ejecutado</v>
      </c>
      <c r="BF61" s="1335" t="str">
        <f>'HR Track 1 TSA-THA'!BF14</f>
        <v>Ejecutado</v>
      </c>
      <c r="BG61" s="1335">
        <f>'HR Track 1 TSA-THA'!BG14</f>
        <v>43808</v>
      </c>
    </row>
    <row r="62" spans="1:59" ht="15.75" customHeight="1">
      <c r="A62" s="501">
        <f>'HR Track 1 TSA-THA'!A15</f>
        <v>0</v>
      </c>
      <c r="B62" s="716">
        <f>'HR Track 1 TSA-THA'!B15</f>
        <v>0</v>
      </c>
      <c r="C62" s="451">
        <f>'HR Track 1 TSA-THA'!C15</f>
        <v>0</v>
      </c>
      <c r="D62" s="453">
        <f>'HR Track 1 TSA-THA'!D15</f>
        <v>0</v>
      </c>
      <c r="E62" s="452">
        <f>'HR Track 1 TSA-THA'!E15</f>
        <v>0</v>
      </c>
      <c r="F62" s="453">
        <f>'HR Track 1 TSA-THA'!F15</f>
        <v>0</v>
      </c>
      <c r="G62" s="500">
        <f>'HR Track 1 TSA-THA'!G15</f>
        <v>38.299999999999997</v>
      </c>
      <c r="H62" s="453">
        <f>'HR Track 1 TSA-THA'!H15</f>
        <v>0</v>
      </c>
      <c r="I62" s="501">
        <f>'HR Track 1 TSA-THA'!I15</f>
        <v>0</v>
      </c>
      <c r="J62" s="583">
        <f>'HR Track 1 TSA-THA'!J15</f>
        <v>0</v>
      </c>
      <c r="K62" s="452">
        <f>'HR Track 1 TSA-THA'!K15</f>
        <v>0</v>
      </c>
      <c r="L62" s="452">
        <f>'HR Track 1 TSA-THA'!L15</f>
        <v>0</v>
      </c>
      <c r="M62" s="452">
        <f>'HR Track 1 TSA-THA'!M15</f>
        <v>0</v>
      </c>
      <c r="N62" s="501">
        <f>'HR Track 1 TSA-THA'!N15</f>
        <v>0</v>
      </c>
      <c r="O62" s="501">
        <f>'HR Track 1 TSA-THA'!O15</f>
        <v>0</v>
      </c>
      <c r="P62" s="501">
        <f>'HR Track 1 TSA-THA'!P15</f>
        <v>0</v>
      </c>
      <c r="Q62" s="452">
        <f>'HR Track 1 TSA-THA'!Q15</f>
        <v>0</v>
      </c>
      <c r="R62" s="452">
        <f>'HR Track 1 TSA-THA'!R15</f>
        <v>0</v>
      </c>
      <c r="S62" s="500">
        <f>'HR Track 1 TSA-THA'!S15</f>
        <v>40.470000000001164</v>
      </c>
      <c r="T62" s="452">
        <f>'HR Track 1 TSA-THA'!T15</f>
        <v>0</v>
      </c>
      <c r="U62" s="452">
        <f>'HR Track 1 TSA-THA'!U15</f>
        <v>0</v>
      </c>
      <c r="V62" s="452">
        <f>'HR Track 1 TSA-THA'!V15</f>
        <v>0</v>
      </c>
      <c r="W62" s="452">
        <f>'HR Track 1 TSA-THA'!W15</f>
        <v>0</v>
      </c>
      <c r="X62" s="452">
        <f>'HR Track 1 TSA-THA'!X15</f>
        <v>0</v>
      </c>
      <c r="Y62" s="452">
        <f>'HR Track 1 TSA-THA'!Y15</f>
        <v>0</v>
      </c>
      <c r="Z62" s="452">
        <f>'HR Track 1 TSA-THA'!Z15</f>
        <v>0</v>
      </c>
      <c r="AA62" s="452">
        <f>'HR Track 1 TSA-THA'!AA15</f>
        <v>0</v>
      </c>
      <c r="AB62" s="452">
        <f>'HR Track 1 TSA-THA'!AB15</f>
        <v>0</v>
      </c>
      <c r="AC62" s="452">
        <f>'HR Track 1 TSA-THA'!AC15</f>
        <v>0</v>
      </c>
      <c r="AD62" s="452">
        <f>'HR Track 1 TSA-THA'!AD15</f>
        <v>0</v>
      </c>
      <c r="AE62" s="452">
        <f>'HR Track 1 TSA-THA'!AE15</f>
        <v>0</v>
      </c>
      <c r="AF62" s="452">
        <f>'HR Track 1 TSA-THA'!AF15</f>
        <v>0</v>
      </c>
      <c r="AG62" s="451">
        <f>'HR Track 1 TSA-THA'!AG15</f>
        <v>0</v>
      </c>
      <c r="AH62" s="452">
        <f>'HR Track 1 TSA-THA'!AH15</f>
        <v>0</v>
      </c>
      <c r="AI62" s="452">
        <f>'HR Track 1 TSA-THA'!AI15</f>
        <v>0</v>
      </c>
      <c r="AJ62" s="452">
        <f>'HR Track 1 TSA-THA'!AJ15</f>
        <v>0</v>
      </c>
      <c r="AK62" s="452">
        <f>'HR Track 1 TSA-THA'!AK15</f>
        <v>0</v>
      </c>
      <c r="AL62" s="452">
        <f>'HR Track 1 TSA-THA'!AL15</f>
        <v>0</v>
      </c>
      <c r="AM62" s="452">
        <f>'HR Track 1 TSA-THA'!AM15</f>
        <v>0</v>
      </c>
      <c r="AN62" s="500">
        <f>'HR Track 1 TSA-THA'!AN15</f>
        <v>0</v>
      </c>
      <c r="AO62" s="452">
        <f>'HR Track 1 TSA-THA'!AO15</f>
        <v>0</v>
      </c>
      <c r="AP62" s="452">
        <f>'HR Track 1 TSA-THA'!AP15</f>
        <v>0</v>
      </c>
      <c r="AQ62" s="452">
        <f>'HR Track 1 TSA-THA'!AQ15</f>
        <v>-0.14246567833137991</v>
      </c>
      <c r="AR62" s="452">
        <f>'HR Track 1 TSA-THA'!AR15</f>
        <v>0</v>
      </c>
      <c r="AS62" s="452">
        <f>'HR Track 1 TSA-THA'!AS15</f>
        <v>0</v>
      </c>
      <c r="AT62" s="452">
        <f>'HR Track 1 TSA-THA'!AT15</f>
        <v>0</v>
      </c>
      <c r="AU62" s="452">
        <f>'HR Track 1 TSA-THA'!AU15</f>
        <v>0</v>
      </c>
      <c r="AV62" s="452">
        <f>'HR Track 1 TSA-THA'!AV15</f>
        <v>0</v>
      </c>
      <c r="AW62" s="452">
        <f>'HR Track 1 TSA-THA'!AW15</f>
        <v>0</v>
      </c>
      <c r="AX62" s="452">
        <f>'HR Track 1 TSA-THA'!AX15</f>
        <v>0</v>
      </c>
      <c r="AY62" s="500">
        <f>'HR Track 1 TSA-THA'!AY15</f>
        <v>0</v>
      </c>
      <c r="AZ62" s="500">
        <f>'HR Track 1 TSA-THA'!AZ15</f>
        <v>0</v>
      </c>
      <c r="BA62" s="1333">
        <f>'HR Track 1 TSA-THA'!BA15</f>
        <v>0</v>
      </c>
      <c r="BB62" s="452">
        <f>'HR Track 1 TSA-THA'!BB15</f>
        <v>0</v>
      </c>
      <c r="BC62" s="1334">
        <f>'HR Track 1 TSA-THA'!BC15</f>
        <v>0</v>
      </c>
      <c r="BD62" s="1335">
        <f>'HR Track 1 TSA-THA'!BD15</f>
        <v>0</v>
      </c>
      <c r="BE62" s="1335">
        <f>'HR Track 1 TSA-THA'!BE15</f>
        <v>0</v>
      </c>
      <c r="BF62" s="1335">
        <f>'HR Track 1 TSA-THA'!BF15</f>
        <v>0</v>
      </c>
      <c r="BG62" s="1335">
        <f>'HR Track 1 TSA-THA'!BG15</f>
        <v>0</v>
      </c>
    </row>
    <row r="63" spans="1:59" ht="15.75" customHeight="1">
      <c r="A63" s="501">
        <f>'HR Track 1 TSA-THA'!A16</f>
        <v>0</v>
      </c>
      <c r="B63" s="716" t="str">
        <f>'HR Track 1 TSA-THA'!B16</f>
        <v>93-1.17</v>
      </c>
      <c r="C63" s="451">
        <f>'HR Track 1 TSA-THA'!C16</f>
        <v>93690.85000000002</v>
      </c>
      <c r="D63" s="453">
        <f>'HR Track 1 TSA-THA'!D16</f>
        <v>0</v>
      </c>
      <c r="E63" s="452">
        <f>'HR Track 1 TSA-THA'!E16</f>
        <v>0</v>
      </c>
      <c r="F63" s="453">
        <f>'HR Track 1 TSA-THA'!F16</f>
        <v>610</v>
      </c>
      <c r="G63" s="500">
        <f>'HR Track 1 TSA-THA'!G16</f>
        <v>0</v>
      </c>
      <c r="H63" s="453" t="str">
        <f>'HR Track 1 TSA-THA'!H16</f>
        <v>A/S</v>
      </c>
      <c r="I63" s="501" t="str">
        <f>'HR Track 1 TSA-THA'!I16</f>
        <v>CP+AnMC</v>
      </c>
      <c r="J63" s="583">
        <f>'HR Track 1 TSA-THA'!J16</f>
        <v>0</v>
      </c>
      <c r="K63" s="452">
        <f>'HR Track 1 TSA-THA'!K16</f>
        <v>0</v>
      </c>
      <c r="L63" s="452" t="str">
        <f>'HR Track 1 TSA-THA'!L16</f>
        <v>HEB-280L</v>
      </c>
      <c r="M63" s="452" t="str">
        <f>'HR Track 1 TSA-THA'!M16</f>
        <v>C5R</v>
      </c>
      <c r="N63" s="501" t="str">
        <f>'HR Track 1 TSA-THA'!N16</f>
        <v>EMT-2</v>
      </c>
      <c r="O63" s="501">
        <f>'HR Track 1 TSA-THA'!O16</f>
        <v>0</v>
      </c>
      <c r="P63" s="501">
        <f>'HR Track 1 TSA-THA'!P16</f>
        <v>0</v>
      </c>
      <c r="Q63" s="452">
        <f>'HR Track 1 TSA-THA'!Q16</f>
        <v>40</v>
      </c>
      <c r="R63" s="452">
        <f>'HR Track 1 TSA-THA'!R16</f>
        <v>610</v>
      </c>
      <c r="S63" s="500">
        <f>'HR Track 1 TSA-THA'!S16</f>
        <v>0</v>
      </c>
      <c r="T63" s="452">
        <f>'HR Track 1 TSA-THA'!T16</f>
        <v>30</v>
      </c>
      <c r="U63" s="452">
        <f>'HR Track 1 TSA-THA'!U16</f>
        <v>0</v>
      </c>
      <c r="V63" s="452">
        <f>'HR Track 1 TSA-THA'!V16</f>
        <v>0</v>
      </c>
      <c r="W63" s="452">
        <f>'HR Track 1 TSA-THA'!W16</f>
        <v>1.4</v>
      </c>
      <c r="X63" s="452">
        <f>'HR Track 1 TSA-THA'!X16</f>
        <v>0</v>
      </c>
      <c r="Y63" s="452">
        <f>'HR Track 1 TSA-THA'!Y16</f>
        <v>0</v>
      </c>
      <c r="Z63" s="452">
        <f>'HR Track 1 TSA-THA'!Z16</f>
        <v>0</v>
      </c>
      <c r="AA63" s="452">
        <f>'HR Track 1 TSA-THA'!AA16</f>
        <v>0</v>
      </c>
      <c r="AB63" s="452">
        <f>'HR Track 1 TSA-THA'!AB16</f>
        <v>0</v>
      </c>
      <c r="AC63" s="452" t="str">
        <f>'HR Track 1 TSA-THA'!AC16</f>
        <v>PHC-1150</v>
      </c>
      <c r="AD63" s="452">
        <f>'HR Track 1 TSA-THA'!AD16</f>
        <v>0</v>
      </c>
      <c r="AE63" s="452">
        <f>'HR Track 1 TSA-THA'!AE16</f>
        <v>0</v>
      </c>
      <c r="AF63" s="452">
        <f>'HR Track 1 TSA-THA'!AF16</f>
        <v>5300</v>
      </c>
      <c r="AG63" s="451">
        <f>'HR Track 1 TSA-THA'!AG16</f>
        <v>93690.81</v>
      </c>
      <c r="AH63" s="452">
        <f>'HR Track 1 TSA-THA'!AH16</f>
        <v>1863</v>
      </c>
      <c r="AI63" s="452">
        <f>'HR Track 1 TSA-THA'!AI16</f>
        <v>50</v>
      </c>
      <c r="AJ63" s="452">
        <f>'HR Track 1 TSA-THA'!AJ16</f>
        <v>0</v>
      </c>
      <c r="AK63" s="452">
        <f>'HR Track 1 TSA-THA'!AK16</f>
        <v>0</v>
      </c>
      <c r="AL63" s="452" t="str">
        <f>'HR Track 1 TSA-THA'!AL16</f>
        <v>PR1B</v>
      </c>
      <c r="AM63" s="452" t="str">
        <f>'HR Track 1 TSA-THA'!AM16</f>
        <v>RW2</v>
      </c>
      <c r="AN63" s="500">
        <f>'HR Track 1 TSA-THA'!AN16</f>
        <v>5.32</v>
      </c>
      <c r="AO63" s="452">
        <f>'HR Track 1 TSA-THA'!AO16</f>
        <v>0</v>
      </c>
      <c r="AP63" s="452">
        <f>'HR Track 1 TSA-THA'!AP16</f>
        <v>0</v>
      </c>
      <c r="AQ63" s="452">
        <f>'HR Track 1 TSA-THA'!AQ16</f>
        <v>0</v>
      </c>
      <c r="AR63" s="452">
        <f>'HR Track 1 TSA-THA'!AR16</f>
        <v>0</v>
      </c>
      <c r="AS63" s="452">
        <f>'HR Track 1 TSA-THA'!AS16</f>
        <v>0</v>
      </c>
      <c r="AT63" s="452">
        <f>'HR Track 1 TSA-THA'!AT16</f>
        <v>3.0335959943981821</v>
      </c>
      <c r="AU63" s="452">
        <f>'HR Track 1 TSA-THA'!AU16</f>
        <v>0</v>
      </c>
      <c r="AV63" s="452">
        <f>'HR Track 1 TSA-THA'!AV16</f>
        <v>0</v>
      </c>
      <c r="AW63" s="452" t="str">
        <f>'HR Track 1 TSA-THA'!AW16</f>
        <v>Soil A</v>
      </c>
      <c r="AX63" s="452" t="str">
        <f>'HR Track 1 TSA-THA'!AX16</f>
        <v>PT</v>
      </c>
      <c r="AY63" s="500">
        <f>'HR Track 1 TSA-THA'!AY16</f>
        <v>3.5</v>
      </c>
      <c r="AZ63" s="500" t="str">
        <f>'HR Track 1 TSA-THA'!AZ16</f>
        <v/>
      </c>
      <c r="BA63" s="1333" t="str">
        <f>'HR Track 1 TSA-THA'!BA16</f>
        <v>ü</v>
      </c>
      <c r="BB63" s="452" t="str">
        <f>'HR Track 1 TSA-THA'!BB16</f>
        <v>App.8-V08F-P10.3</v>
      </c>
      <c r="BC63" s="1334">
        <f>'HR Track 1 TSA-THA'!BC16</f>
        <v>0</v>
      </c>
      <c r="BD63" s="1335">
        <f>'HR Track 1 TSA-THA'!BD16</f>
        <v>43722</v>
      </c>
      <c r="BE63" s="1335" t="str">
        <f>'HR Track 1 TSA-THA'!BE16</f>
        <v>Ejecutado</v>
      </c>
      <c r="BF63" s="1335" t="str">
        <f>'HR Track 1 TSA-THA'!BF16</f>
        <v>Ejecutado</v>
      </c>
      <c r="BG63" s="1335">
        <f>'HR Track 1 TSA-THA'!BG16</f>
        <v>43808</v>
      </c>
    </row>
    <row r="64" spans="1:59" ht="15.75" customHeight="1">
      <c r="A64" s="501">
        <f>'HR Track 1 TSA-THA'!A17</f>
        <v>0</v>
      </c>
      <c r="B64" s="716">
        <f>'HR Track 1 TSA-THA'!B17</f>
        <v>0</v>
      </c>
      <c r="C64" s="451">
        <f>'HR Track 1 TSA-THA'!C17</f>
        <v>0</v>
      </c>
      <c r="D64" s="453">
        <f>'HR Track 1 TSA-THA'!D17</f>
        <v>0</v>
      </c>
      <c r="E64" s="452">
        <f>'HR Track 1 TSA-THA'!E17</f>
        <v>0</v>
      </c>
      <c r="F64" s="453">
        <f>'HR Track 1 TSA-THA'!F17</f>
        <v>0</v>
      </c>
      <c r="G64" s="500">
        <f>'HR Track 1 TSA-THA'!G17</f>
        <v>38.799999999999997</v>
      </c>
      <c r="H64" s="453">
        <f>'HR Track 1 TSA-THA'!H17</f>
        <v>0</v>
      </c>
      <c r="I64" s="501">
        <f>'HR Track 1 TSA-THA'!I17</f>
        <v>0</v>
      </c>
      <c r="J64" s="583">
        <f>'HR Track 1 TSA-THA'!J17</f>
        <v>93698.35000000002</v>
      </c>
      <c r="K64" s="452" t="str">
        <f>'HR Track 1 TSA-THA'!K17</f>
        <v>AnMC-R</v>
      </c>
      <c r="L64" s="452">
        <f>'HR Track 1 TSA-THA'!L17</f>
        <v>0</v>
      </c>
      <c r="M64" s="452">
        <f>'HR Track 1 TSA-THA'!M17</f>
        <v>0</v>
      </c>
      <c r="N64" s="501">
        <f>'HR Track 1 TSA-THA'!N17</f>
        <v>0</v>
      </c>
      <c r="O64" s="501">
        <f>'HR Track 1 TSA-THA'!O17</f>
        <v>0</v>
      </c>
      <c r="P64" s="501">
        <f>'HR Track 1 TSA-THA'!P17</f>
        <v>0</v>
      </c>
      <c r="Q64" s="452">
        <f>'HR Track 1 TSA-THA'!Q17</f>
        <v>0</v>
      </c>
      <c r="R64" s="452">
        <f>'HR Track 1 TSA-THA'!R17</f>
        <v>0</v>
      </c>
      <c r="S64" s="500">
        <f>'HR Track 1 TSA-THA'!S17</f>
        <v>38.720000000001164</v>
      </c>
      <c r="T64" s="452">
        <f>'HR Track 1 TSA-THA'!T17</f>
        <v>0</v>
      </c>
      <c r="U64" s="452">
        <f>'HR Track 1 TSA-THA'!U17</f>
        <v>0</v>
      </c>
      <c r="V64" s="452">
        <f>'HR Track 1 TSA-THA'!V17</f>
        <v>0</v>
      </c>
      <c r="W64" s="452">
        <f>'HR Track 1 TSA-THA'!W17</f>
        <v>0</v>
      </c>
      <c r="X64" s="452">
        <f>'HR Track 1 TSA-THA'!X17</f>
        <v>0</v>
      </c>
      <c r="Y64" s="452">
        <f>'HR Track 1 TSA-THA'!Y17</f>
        <v>0</v>
      </c>
      <c r="Z64" s="452">
        <f>'HR Track 1 TSA-THA'!Z17</f>
        <v>0</v>
      </c>
      <c r="AA64" s="452">
        <f>'HR Track 1 TSA-THA'!AA17</f>
        <v>0</v>
      </c>
      <c r="AB64" s="452">
        <f>'HR Track 1 TSA-THA'!AB17</f>
        <v>0</v>
      </c>
      <c r="AC64" s="452">
        <f>'HR Track 1 TSA-THA'!AC17</f>
        <v>0</v>
      </c>
      <c r="AD64" s="452">
        <f>'HR Track 1 TSA-THA'!AD17</f>
        <v>0</v>
      </c>
      <c r="AE64" s="452">
        <f>'HR Track 1 TSA-THA'!AE17</f>
        <v>0</v>
      </c>
      <c r="AF64" s="452">
        <f>'HR Track 1 TSA-THA'!AF17</f>
        <v>0</v>
      </c>
      <c r="AG64" s="451">
        <f>'HR Track 1 TSA-THA'!AG17</f>
        <v>0</v>
      </c>
      <c r="AH64" s="452">
        <f>'HR Track 1 TSA-THA'!AH17</f>
        <v>0</v>
      </c>
      <c r="AI64" s="452">
        <f>'HR Track 1 TSA-THA'!AI17</f>
        <v>0</v>
      </c>
      <c r="AJ64" s="452">
        <f>'HR Track 1 TSA-THA'!AJ17</f>
        <v>0</v>
      </c>
      <c r="AK64" s="452">
        <f>'HR Track 1 TSA-THA'!AK17</f>
        <v>0</v>
      </c>
      <c r="AL64" s="452">
        <f>'HR Track 1 TSA-THA'!AL17</f>
        <v>0</v>
      </c>
      <c r="AM64" s="452">
        <f>'HR Track 1 TSA-THA'!AM17</f>
        <v>0</v>
      </c>
      <c r="AN64" s="500">
        <f>'HR Track 1 TSA-THA'!AN17</f>
        <v>0</v>
      </c>
      <c r="AO64" s="452">
        <f>'HR Track 1 TSA-THA'!AO17</f>
        <v>0</v>
      </c>
      <c r="AP64" s="452">
        <f>'HR Track 1 TSA-THA'!AP17</f>
        <v>0</v>
      </c>
      <c r="AQ64" s="452">
        <f>'HR Track 1 TSA-THA'!AQ17</f>
        <v>-0.15409571531541114</v>
      </c>
      <c r="AR64" s="452">
        <f>'HR Track 1 TSA-THA'!AR17</f>
        <v>0</v>
      </c>
      <c r="AS64" s="452">
        <f>'HR Track 1 TSA-THA'!AS17</f>
        <v>0</v>
      </c>
      <c r="AT64" s="452">
        <f>'HR Track 1 TSA-THA'!AT17</f>
        <v>0</v>
      </c>
      <c r="AU64" s="452">
        <f>'HR Track 1 TSA-THA'!AU17</f>
        <v>0</v>
      </c>
      <c r="AV64" s="452">
        <f>'HR Track 1 TSA-THA'!AV17</f>
        <v>0</v>
      </c>
      <c r="AW64" s="452" t="str">
        <f>'HR Track 1 TSA-THA'!AW17</f>
        <v>Soil A</v>
      </c>
      <c r="AX64" s="452" t="str">
        <f>'HR Track 1 TSA-THA'!AX17</f>
        <v>PT</v>
      </c>
      <c r="AY64" s="500">
        <f>'HR Track 1 TSA-THA'!AY17</f>
        <v>0</v>
      </c>
      <c r="AZ64" s="500">
        <f>'HR Track 1 TSA-THA'!AZ17</f>
        <v>3.3</v>
      </c>
      <c r="BA64" s="1333" t="str">
        <f>'HR Track 1 TSA-THA'!BA17</f>
        <v>ü</v>
      </c>
      <c r="BB64" s="452">
        <f>'HR Track 1 TSA-THA'!BB17</f>
        <v>0</v>
      </c>
      <c r="BC64" s="1334">
        <f>'HR Track 1 TSA-THA'!BC17</f>
        <v>0</v>
      </c>
      <c r="BD64" s="1335">
        <f>'HR Track 1 TSA-THA'!BD17</f>
        <v>43722</v>
      </c>
      <c r="BE64" s="1335">
        <f>'HR Track 1 TSA-THA'!BE17</f>
        <v>0</v>
      </c>
      <c r="BF64" s="1335">
        <f>'HR Track 1 TSA-THA'!BF17</f>
        <v>0</v>
      </c>
      <c r="BG64" s="1335">
        <f>'HR Track 1 TSA-THA'!BG17</f>
        <v>0</v>
      </c>
    </row>
    <row r="65" spans="19:55" ht="15.75" customHeight="1">
      <c r="S65" s="454"/>
      <c r="AN65" s="458"/>
      <c r="BA65" s="1305"/>
      <c r="BC65" s="169"/>
    </row>
    <row r="66" spans="19:55" ht="15.75" customHeight="1">
      <c r="S66" s="454"/>
      <c r="AN66" s="458"/>
      <c r="BA66" s="1305"/>
      <c r="BC66" s="169"/>
    </row>
    <row r="67" spans="19:55" ht="15.75" customHeight="1">
      <c r="S67" s="454"/>
      <c r="AN67" s="458"/>
      <c r="BA67" s="1305"/>
      <c r="BC67" s="169"/>
    </row>
    <row r="68" spans="19:55" ht="15.75" customHeight="1">
      <c r="S68" s="454"/>
      <c r="AN68" s="458"/>
      <c r="BA68" s="1305"/>
      <c r="BC68" s="169"/>
    </row>
    <row r="69" spans="19:55" ht="15.75" customHeight="1">
      <c r="S69" s="454"/>
      <c r="AN69" s="458"/>
      <c r="BA69" s="1305"/>
      <c r="BC69" s="169"/>
    </row>
    <row r="70" spans="19:55" ht="15.75" customHeight="1">
      <c r="S70" s="454"/>
      <c r="AN70" s="458"/>
      <c r="BA70" s="1305"/>
      <c r="BC70" s="169"/>
    </row>
    <row r="71" spans="19:55" ht="15.75" customHeight="1">
      <c r="S71" s="454"/>
      <c r="AN71" s="458"/>
      <c r="BA71" s="1305"/>
      <c r="BC71" s="169"/>
    </row>
    <row r="72" spans="19:55" ht="15.75" customHeight="1">
      <c r="S72" s="454"/>
      <c r="AN72" s="458"/>
      <c r="BA72" s="1305"/>
      <c r="BC72" s="169"/>
    </row>
    <row r="73" spans="19:55" ht="15.75" customHeight="1">
      <c r="S73" s="454"/>
      <c r="AN73" s="458"/>
      <c r="BA73" s="1305"/>
      <c r="BC73" s="169"/>
    </row>
    <row r="74" spans="19:55" ht="15.75" customHeight="1">
      <c r="S74" s="454"/>
      <c r="AN74" s="458"/>
      <c r="BA74" s="1305"/>
      <c r="BC74" s="169"/>
    </row>
    <row r="75" spans="19:55" ht="15.75" customHeight="1">
      <c r="S75" s="454"/>
      <c r="AN75" s="458"/>
      <c r="BA75" s="1305"/>
      <c r="BC75" s="169"/>
    </row>
    <row r="76" spans="19:55" ht="15.75" customHeight="1">
      <c r="S76" s="454"/>
      <c r="AN76" s="458"/>
      <c r="BA76" s="1305"/>
      <c r="BC76" s="169"/>
    </row>
    <row r="77" spans="19:55" ht="15.75" customHeight="1">
      <c r="S77" s="454"/>
      <c r="AN77" s="458"/>
      <c r="BA77" s="1305"/>
      <c r="BC77" s="169"/>
    </row>
    <row r="78" spans="19:55" ht="15.75" customHeight="1">
      <c r="S78" s="454"/>
      <c r="AN78" s="458"/>
      <c r="BA78" s="1305"/>
      <c r="BC78" s="169"/>
    </row>
    <row r="79" spans="19:55" ht="15.75" customHeight="1">
      <c r="S79" s="454"/>
      <c r="AN79" s="458"/>
      <c r="BA79" s="1305"/>
      <c r="BC79" s="169"/>
    </row>
    <row r="80" spans="19:55" ht="15.75" customHeight="1">
      <c r="S80" s="454"/>
      <c r="AN80" s="458"/>
      <c r="BA80" s="1305"/>
      <c r="BC80" s="169"/>
    </row>
    <row r="81" spans="19:55" ht="15.75" customHeight="1">
      <c r="S81" s="454"/>
      <c r="AN81" s="458"/>
      <c r="BA81" s="1305"/>
      <c r="BC81" s="169"/>
    </row>
    <row r="82" spans="19:55" ht="15.75" customHeight="1">
      <c r="S82" s="454"/>
      <c r="AN82" s="458"/>
      <c r="BA82" s="1305"/>
      <c r="BC82" s="169"/>
    </row>
    <row r="83" spans="19:55" ht="15.75" customHeight="1">
      <c r="S83" s="454"/>
      <c r="AN83" s="458"/>
      <c r="BA83" s="1305"/>
      <c r="BC83" s="169"/>
    </row>
    <row r="84" spans="19:55" ht="15.75" customHeight="1">
      <c r="S84" s="454"/>
      <c r="AN84" s="458"/>
      <c r="BA84" s="1305"/>
      <c r="BC84" s="169"/>
    </row>
    <row r="85" spans="19:55" ht="15.75" customHeight="1">
      <c r="S85" s="454"/>
      <c r="AN85" s="458"/>
      <c r="BA85" s="1305"/>
      <c r="BC85" s="169"/>
    </row>
    <row r="86" spans="19:55" ht="15.75" customHeight="1">
      <c r="S86" s="454"/>
      <c r="AN86" s="458"/>
      <c r="BA86" s="1305"/>
      <c r="BC86" s="169"/>
    </row>
    <row r="87" spans="19:55" ht="15.75" customHeight="1">
      <c r="S87" s="454"/>
      <c r="AN87" s="458"/>
      <c r="BA87" s="1305"/>
      <c r="BC87" s="169"/>
    </row>
    <row r="88" spans="19:55" ht="15.75" customHeight="1">
      <c r="S88" s="454"/>
      <c r="AN88" s="458"/>
      <c r="BA88" s="1305"/>
      <c r="BC88" s="169"/>
    </row>
    <row r="89" spans="19:55" ht="15.75" customHeight="1">
      <c r="S89" s="454"/>
      <c r="AN89" s="458"/>
      <c r="BA89" s="1305"/>
      <c r="BC89" s="169"/>
    </row>
    <row r="90" spans="19:55" ht="15.75" customHeight="1">
      <c r="S90" s="454"/>
      <c r="AN90" s="458"/>
      <c r="BA90" s="1305"/>
      <c r="BC90" s="169"/>
    </row>
    <row r="91" spans="19:55" ht="15.75" customHeight="1">
      <c r="S91" s="454"/>
      <c r="AN91" s="458"/>
      <c r="BA91" s="1305"/>
      <c r="BC91" s="169"/>
    </row>
    <row r="92" spans="19:55" ht="15.75" customHeight="1">
      <c r="S92" s="454"/>
      <c r="AN92" s="458"/>
      <c r="BA92" s="1305"/>
      <c r="BC92" s="169"/>
    </row>
    <row r="93" spans="19:55" ht="15.75" customHeight="1">
      <c r="S93" s="454"/>
      <c r="AN93" s="458"/>
      <c r="BA93" s="1305"/>
      <c r="BC93" s="169"/>
    </row>
    <row r="94" spans="19:55" ht="15.75" customHeight="1">
      <c r="S94" s="454"/>
      <c r="AN94" s="458"/>
      <c r="BA94" s="1305"/>
      <c r="BC94" s="169"/>
    </row>
    <row r="95" spans="19:55" ht="15.75" customHeight="1">
      <c r="S95" s="454"/>
      <c r="AN95" s="458"/>
      <c r="BA95" s="1305"/>
      <c r="BC95" s="169"/>
    </row>
    <row r="96" spans="19:55" ht="15.75" customHeight="1">
      <c r="S96" s="454"/>
      <c r="AN96" s="458"/>
      <c r="BA96" s="1305"/>
      <c r="BC96" s="169"/>
    </row>
    <row r="97" spans="19:55" ht="15.75" customHeight="1">
      <c r="S97" s="454"/>
      <c r="AN97" s="458"/>
      <c r="BA97" s="1305"/>
      <c r="BC97" s="169"/>
    </row>
    <row r="98" spans="19:55" ht="15.75" customHeight="1">
      <c r="S98" s="454"/>
      <c r="AN98" s="458"/>
      <c r="BA98" s="1305"/>
      <c r="BC98" s="169"/>
    </row>
    <row r="99" spans="19:55" ht="15.75" customHeight="1">
      <c r="S99" s="454"/>
      <c r="AN99" s="458"/>
      <c r="BA99" s="1305"/>
      <c r="BC99" s="169"/>
    </row>
    <row r="100" spans="19:55" ht="15.75" customHeight="1">
      <c r="S100" s="454"/>
      <c r="AN100" s="458"/>
      <c r="BA100" s="1305"/>
      <c r="BC100" s="169"/>
    </row>
    <row r="101" spans="19:55" ht="15.75" customHeight="1">
      <c r="S101" s="454"/>
      <c r="AN101" s="458"/>
      <c r="BA101" s="1305"/>
      <c r="BC101" s="169"/>
    </row>
    <row r="102" spans="19:55" ht="15.75" customHeight="1">
      <c r="S102" s="454"/>
      <c r="AN102" s="458"/>
      <c r="BA102" s="1305"/>
      <c r="BC102" s="169"/>
    </row>
    <row r="103" spans="19:55" ht="15.75" customHeight="1">
      <c r="S103" s="454"/>
      <c r="AN103" s="458"/>
      <c r="BA103" s="1305"/>
      <c r="BC103" s="169"/>
    </row>
    <row r="104" spans="19:55" ht="15.75" customHeight="1">
      <c r="S104" s="454"/>
      <c r="AN104" s="458"/>
      <c r="BA104" s="1305"/>
      <c r="BC104" s="169"/>
    </row>
    <row r="105" spans="19:55" ht="15.75" customHeight="1">
      <c r="S105" s="454"/>
      <c r="AN105" s="458"/>
      <c r="BA105" s="1305"/>
      <c r="BC105" s="169"/>
    </row>
    <row r="106" spans="19:55" ht="15.75" customHeight="1">
      <c r="S106" s="454"/>
      <c r="AN106" s="458"/>
      <c r="BA106" s="1305"/>
      <c r="BC106" s="169"/>
    </row>
    <row r="107" spans="19:55" ht="15.75" customHeight="1">
      <c r="S107" s="454"/>
      <c r="AN107" s="458"/>
      <c r="BA107" s="1305"/>
      <c r="BC107" s="169"/>
    </row>
    <row r="108" spans="19:55" ht="15.75" customHeight="1">
      <c r="S108" s="454"/>
      <c r="AN108" s="458"/>
      <c r="BA108" s="1305"/>
      <c r="BC108" s="169"/>
    </row>
    <row r="109" spans="19:55" ht="15.75" customHeight="1">
      <c r="S109" s="454"/>
      <c r="AN109" s="458"/>
      <c r="BA109" s="1305"/>
      <c r="BC109" s="169"/>
    </row>
    <row r="110" spans="19:55" ht="15.75" customHeight="1">
      <c r="S110" s="454"/>
      <c r="AN110" s="458"/>
      <c r="BA110" s="1305"/>
      <c r="BC110" s="169"/>
    </row>
    <row r="111" spans="19:55" ht="15.75" customHeight="1">
      <c r="S111" s="454"/>
      <c r="AN111" s="458"/>
      <c r="BA111" s="1305"/>
      <c r="BC111" s="169"/>
    </row>
    <row r="112" spans="19:55" ht="15.75" customHeight="1">
      <c r="S112" s="454"/>
      <c r="AN112" s="458"/>
      <c r="BA112" s="1305"/>
      <c r="BC112" s="169"/>
    </row>
    <row r="113" spans="19:55" ht="15.75" customHeight="1">
      <c r="S113" s="454"/>
      <c r="AN113" s="458"/>
      <c r="BA113" s="1305"/>
      <c r="BC113" s="169"/>
    </row>
    <row r="114" spans="19:55" ht="15.75" customHeight="1">
      <c r="S114" s="454"/>
      <c r="AN114" s="458"/>
      <c r="BA114" s="1305"/>
      <c r="BC114" s="169"/>
    </row>
    <row r="115" spans="19:55" ht="15.75" customHeight="1">
      <c r="S115" s="454"/>
      <c r="AN115" s="458"/>
      <c r="BA115" s="1305"/>
      <c r="BC115" s="169"/>
    </row>
    <row r="116" spans="19:55" ht="15.75" customHeight="1">
      <c r="S116" s="454"/>
      <c r="AN116" s="458"/>
      <c r="BA116" s="1305"/>
      <c r="BC116" s="169"/>
    </row>
    <row r="117" spans="19:55" ht="15.75" customHeight="1">
      <c r="S117" s="454"/>
      <c r="AN117" s="458"/>
      <c r="BA117" s="1305"/>
      <c r="BC117" s="169"/>
    </row>
    <row r="118" spans="19:55" ht="15.75" customHeight="1">
      <c r="S118" s="454"/>
      <c r="AN118" s="458"/>
      <c r="BA118" s="1305"/>
      <c r="BC118" s="169"/>
    </row>
    <row r="119" spans="19:55" ht="15.75" customHeight="1">
      <c r="S119" s="454"/>
      <c r="AN119" s="458"/>
      <c r="BA119" s="1305"/>
      <c r="BC119" s="169"/>
    </row>
    <row r="120" spans="19:55" ht="15.75" customHeight="1">
      <c r="S120" s="454"/>
      <c r="AN120" s="458"/>
      <c r="BA120" s="1305"/>
      <c r="BC120" s="169"/>
    </row>
    <row r="121" spans="19:55" ht="15.75" customHeight="1">
      <c r="S121" s="454"/>
      <c r="AN121" s="458"/>
      <c r="BA121" s="1305"/>
      <c r="BC121" s="169"/>
    </row>
    <row r="122" spans="19:55" ht="15.75" customHeight="1">
      <c r="S122" s="454"/>
      <c r="AN122" s="458"/>
      <c r="BA122" s="1305"/>
      <c r="BC122" s="169"/>
    </row>
    <row r="123" spans="19:55" ht="15.75" customHeight="1">
      <c r="S123" s="454"/>
      <c r="AN123" s="458"/>
      <c r="BA123" s="1305"/>
      <c r="BC123" s="169"/>
    </row>
    <row r="124" spans="19:55" ht="15.75" customHeight="1">
      <c r="S124" s="454"/>
      <c r="AN124" s="458"/>
      <c r="BA124" s="1305"/>
      <c r="BC124" s="169"/>
    </row>
    <row r="125" spans="19:55" ht="15.75" customHeight="1">
      <c r="S125" s="454"/>
      <c r="AN125" s="458"/>
      <c r="BA125" s="1305"/>
      <c r="BC125" s="169"/>
    </row>
    <row r="126" spans="19:55" ht="15.75" customHeight="1">
      <c r="S126" s="454"/>
      <c r="AN126" s="458"/>
      <c r="BA126" s="1305"/>
      <c r="BC126" s="169"/>
    </row>
    <row r="127" spans="19:55" ht="15.75" customHeight="1">
      <c r="S127" s="454"/>
      <c r="AN127" s="458"/>
      <c r="BA127" s="1305"/>
      <c r="BC127" s="169"/>
    </row>
    <row r="128" spans="19:55" ht="15.75" customHeight="1">
      <c r="S128" s="454"/>
      <c r="AN128" s="458"/>
      <c r="BA128" s="1305"/>
      <c r="BC128" s="169"/>
    </row>
    <row r="129" spans="19:55" ht="15.75" customHeight="1">
      <c r="S129" s="454"/>
      <c r="AN129" s="458"/>
      <c r="BA129" s="1305"/>
      <c r="BC129" s="169"/>
    </row>
    <row r="130" spans="19:55" ht="15.75" customHeight="1">
      <c r="S130" s="454"/>
      <c r="AN130" s="458"/>
      <c r="BA130" s="1305"/>
      <c r="BC130" s="169"/>
    </row>
    <row r="131" spans="19:55" ht="15.75" customHeight="1">
      <c r="S131" s="454"/>
      <c r="AN131" s="458"/>
      <c r="BA131" s="1305"/>
      <c r="BC131" s="169"/>
    </row>
    <row r="132" spans="19:55" ht="15.75" customHeight="1">
      <c r="S132" s="454"/>
      <c r="AN132" s="458"/>
      <c r="BA132" s="1305"/>
      <c r="BC132" s="169"/>
    </row>
    <row r="133" spans="19:55" ht="15.75" customHeight="1">
      <c r="S133" s="454"/>
      <c r="AN133" s="458"/>
      <c r="BA133" s="1305"/>
      <c r="BC133" s="169"/>
    </row>
    <row r="134" spans="19:55" ht="15.75" customHeight="1">
      <c r="S134" s="454"/>
      <c r="AN134" s="458"/>
      <c r="BA134" s="1305"/>
      <c r="BC134" s="169"/>
    </row>
    <row r="135" spans="19:55" ht="15.75" customHeight="1">
      <c r="S135" s="454"/>
      <c r="AN135" s="458"/>
      <c r="BA135" s="1305"/>
      <c r="BC135" s="169"/>
    </row>
    <row r="136" spans="19:55" ht="15.75" customHeight="1">
      <c r="S136" s="454"/>
      <c r="AN136" s="458"/>
      <c r="BA136" s="1305"/>
      <c r="BC136" s="169"/>
    </row>
    <row r="137" spans="19:55" ht="15.75" customHeight="1">
      <c r="S137" s="454"/>
      <c r="AN137" s="458"/>
      <c r="BA137" s="1305"/>
      <c r="BC137" s="169"/>
    </row>
    <row r="138" spans="19:55" ht="15.75" customHeight="1">
      <c r="S138" s="454"/>
      <c r="AN138" s="458"/>
      <c r="BA138" s="1305"/>
      <c r="BC138" s="169"/>
    </row>
    <row r="139" spans="19:55" ht="15.75" customHeight="1">
      <c r="S139" s="454"/>
      <c r="AN139" s="458"/>
      <c r="BA139" s="1305"/>
      <c r="BC139" s="169"/>
    </row>
    <row r="140" spans="19:55" ht="15.75" customHeight="1">
      <c r="S140" s="454"/>
      <c r="AN140" s="458"/>
      <c r="BA140" s="1305"/>
      <c r="BC140" s="169"/>
    </row>
    <row r="141" spans="19:55" ht="15.75" customHeight="1">
      <c r="S141" s="454"/>
      <c r="AN141" s="458"/>
      <c r="BA141" s="1305"/>
      <c r="BC141" s="169"/>
    </row>
    <row r="142" spans="19:55" ht="15.75" customHeight="1">
      <c r="S142" s="454"/>
      <c r="AN142" s="458"/>
      <c r="BA142" s="1305"/>
      <c r="BC142" s="169"/>
    </row>
    <row r="143" spans="19:55" ht="15.75" customHeight="1">
      <c r="S143" s="454"/>
      <c r="AN143" s="458"/>
      <c r="BA143" s="1305"/>
      <c r="BC143" s="169"/>
    </row>
    <row r="144" spans="19:55" ht="15.75" customHeight="1">
      <c r="S144" s="454"/>
      <c r="AN144" s="458"/>
      <c r="BA144" s="1305"/>
      <c r="BC144" s="169"/>
    </row>
    <row r="145" spans="19:55" ht="15.75" customHeight="1">
      <c r="S145" s="454"/>
      <c r="AN145" s="458"/>
      <c r="BA145" s="1305"/>
      <c r="BC145" s="169"/>
    </row>
    <row r="146" spans="19:55" ht="15.75" customHeight="1">
      <c r="S146" s="454"/>
      <c r="AN146" s="458"/>
      <c r="BA146" s="1305"/>
      <c r="BC146" s="169"/>
    </row>
    <row r="147" spans="19:55" ht="15.75" customHeight="1">
      <c r="S147" s="454"/>
      <c r="AN147" s="458"/>
      <c r="BA147" s="1305"/>
      <c r="BC147" s="169"/>
    </row>
    <row r="148" spans="19:55" ht="15.75" customHeight="1">
      <c r="S148" s="454"/>
      <c r="AN148" s="458"/>
      <c r="BA148" s="1305"/>
      <c r="BC148" s="169"/>
    </row>
    <row r="149" spans="19:55" ht="15.75" customHeight="1">
      <c r="S149" s="454"/>
      <c r="AN149" s="458"/>
      <c r="BA149" s="1305"/>
      <c r="BC149" s="169"/>
    </row>
    <row r="150" spans="19:55" ht="15.75" customHeight="1">
      <c r="S150" s="454"/>
      <c r="AN150" s="458"/>
      <c r="BA150" s="1305"/>
      <c r="BC150" s="169"/>
    </row>
    <row r="151" spans="19:55" ht="15.75" customHeight="1">
      <c r="S151" s="454"/>
      <c r="AN151" s="458"/>
      <c r="BA151" s="1305"/>
      <c r="BC151" s="169"/>
    </row>
    <row r="152" spans="19:55" ht="15.75" customHeight="1">
      <c r="S152" s="454"/>
      <c r="AN152" s="458"/>
      <c r="BA152" s="1305"/>
      <c r="BC152" s="169"/>
    </row>
    <row r="153" spans="19:55" ht="15.75" customHeight="1">
      <c r="S153" s="454"/>
      <c r="AN153" s="458"/>
      <c r="BA153" s="1305"/>
      <c r="BC153" s="169"/>
    </row>
    <row r="154" spans="19:55" ht="15.75" customHeight="1">
      <c r="S154" s="454"/>
      <c r="AN154" s="458"/>
      <c r="BA154" s="1305"/>
      <c r="BC154" s="169"/>
    </row>
    <row r="155" spans="19:55" ht="15.75" customHeight="1">
      <c r="S155" s="454"/>
      <c r="AN155" s="458"/>
      <c r="BA155" s="1305"/>
      <c r="BC155" s="169"/>
    </row>
    <row r="156" spans="19:55" ht="15.75" customHeight="1">
      <c r="S156" s="454"/>
      <c r="AN156" s="458"/>
      <c r="BA156" s="1305"/>
      <c r="BC156" s="169"/>
    </row>
    <row r="157" spans="19:55" ht="15.75" customHeight="1">
      <c r="S157" s="454"/>
      <c r="AN157" s="458"/>
      <c r="BA157" s="1305"/>
      <c r="BC157" s="169"/>
    </row>
    <row r="158" spans="19:55" ht="15.75" customHeight="1">
      <c r="S158" s="454"/>
      <c r="AN158" s="458"/>
      <c r="BA158" s="1305"/>
      <c r="BC158" s="169"/>
    </row>
    <row r="159" spans="19:55" ht="15.75" customHeight="1">
      <c r="S159" s="454"/>
      <c r="AN159" s="458"/>
      <c r="BA159" s="1305"/>
      <c r="BC159" s="169"/>
    </row>
    <row r="160" spans="19:55" ht="15.75" customHeight="1">
      <c r="S160" s="454"/>
      <c r="AN160" s="458"/>
      <c r="BA160" s="1305"/>
      <c r="BC160" s="169"/>
    </row>
    <row r="161" spans="19:55" ht="15.75" customHeight="1">
      <c r="S161" s="454"/>
      <c r="AN161" s="458"/>
      <c r="BA161" s="1305"/>
      <c r="BC161" s="169"/>
    </row>
    <row r="162" spans="19:55" ht="15.75" customHeight="1">
      <c r="S162" s="454"/>
      <c r="AN162" s="458"/>
      <c r="BA162" s="1305"/>
      <c r="BC162" s="169"/>
    </row>
    <row r="163" spans="19:55" ht="15.75" customHeight="1">
      <c r="S163" s="454"/>
      <c r="AN163" s="458"/>
      <c r="BA163" s="1305"/>
      <c r="BC163" s="169"/>
    </row>
    <row r="164" spans="19:55" ht="15.75" customHeight="1">
      <c r="S164" s="454"/>
      <c r="AN164" s="458"/>
      <c r="BA164" s="1305"/>
      <c r="BC164" s="169"/>
    </row>
    <row r="165" spans="19:55" ht="15.75" customHeight="1">
      <c r="S165" s="454"/>
      <c r="AN165" s="458"/>
      <c r="BA165" s="1305"/>
      <c r="BC165" s="169"/>
    </row>
    <row r="166" spans="19:55" ht="15.75" customHeight="1">
      <c r="S166" s="454"/>
      <c r="AN166" s="458"/>
      <c r="BA166" s="1305"/>
      <c r="BC166" s="169"/>
    </row>
    <row r="167" spans="19:55" ht="15.75" customHeight="1">
      <c r="S167" s="454"/>
      <c r="AN167" s="458"/>
      <c r="BA167" s="1305"/>
      <c r="BC167" s="169"/>
    </row>
    <row r="168" spans="19:55" ht="15.75" customHeight="1">
      <c r="S168" s="454"/>
      <c r="AN168" s="458"/>
      <c r="BA168" s="1305"/>
      <c r="BC168" s="169"/>
    </row>
    <row r="169" spans="19:55" ht="15.75" customHeight="1">
      <c r="S169" s="454"/>
      <c r="AN169" s="458"/>
      <c r="BA169" s="1305"/>
      <c r="BC169" s="169"/>
    </row>
    <row r="170" spans="19:55" ht="15.75" customHeight="1">
      <c r="S170" s="454"/>
      <c r="AN170" s="458"/>
      <c r="BA170" s="1305"/>
      <c r="BC170" s="169"/>
    </row>
    <row r="171" spans="19:55" ht="15.75" customHeight="1">
      <c r="S171" s="454"/>
      <c r="AN171" s="458"/>
      <c r="BA171" s="1305"/>
      <c r="BC171" s="169"/>
    </row>
    <row r="172" spans="19:55" ht="15.75" customHeight="1">
      <c r="S172" s="454"/>
      <c r="AN172" s="458"/>
      <c r="BA172" s="1305"/>
      <c r="BC172" s="169"/>
    </row>
    <row r="173" spans="19:55" ht="15.75" customHeight="1">
      <c r="S173" s="454"/>
      <c r="AN173" s="458"/>
      <c r="BA173" s="1305"/>
      <c r="BC173" s="169"/>
    </row>
    <row r="174" spans="19:55" ht="15.75" customHeight="1">
      <c r="S174" s="454"/>
      <c r="AN174" s="458"/>
      <c r="BA174" s="1305"/>
      <c r="BC174" s="169"/>
    </row>
    <row r="175" spans="19:55" ht="15.75" customHeight="1">
      <c r="S175" s="454"/>
      <c r="AN175" s="458"/>
      <c r="BA175" s="1305"/>
      <c r="BC175" s="169"/>
    </row>
    <row r="176" spans="19:55" ht="15.75" customHeight="1">
      <c r="S176" s="454"/>
      <c r="AN176" s="458"/>
      <c r="BA176" s="1305"/>
      <c r="BC176" s="169"/>
    </row>
    <row r="177" spans="19:55" ht="15.75" customHeight="1">
      <c r="S177" s="454"/>
      <c r="AN177" s="458"/>
      <c r="BA177" s="1305"/>
      <c r="BC177" s="169"/>
    </row>
    <row r="178" spans="19:55" ht="15.75" customHeight="1">
      <c r="S178" s="454"/>
      <c r="AN178" s="458"/>
      <c r="BA178" s="1305"/>
      <c r="BC178" s="169"/>
    </row>
    <row r="179" spans="19:55" ht="15.75" customHeight="1">
      <c r="S179" s="454"/>
      <c r="AN179" s="458"/>
      <c r="BA179" s="1305"/>
      <c r="BC179" s="169"/>
    </row>
    <row r="180" spans="19:55" ht="15.75" customHeight="1">
      <c r="S180" s="454"/>
      <c r="AN180" s="458"/>
      <c r="BA180" s="1305"/>
      <c r="BC180" s="169"/>
    </row>
    <row r="181" spans="19:55" ht="15.75" customHeight="1">
      <c r="S181" s="454"/>
      <c r="AN181" s="458"/>
      <c r="BA181" s="1305"/>
      <c r="BC181" s="169"/>
    </row>
    <row r="182" spans="19:55" ht="15.75" customHeight="1">
      <c r="S182" s="454"/>
      <c r="AN182" s="458"/>
      <c r="BA182" s="1305"/>
      <c r="BC182" s="169"/>
    </row>
    <row r="183" spans="19:55" ht="15.75" customHeight="1">
      <c r="S183" s="454"/>
      <c r="AN183" s="458"/>
      <c r="BA183" s="1305"/>
      <c r="BC183" s="169"/>
    </row>
    <row r="184" spans="19:55" ht="15.75" customHeight="1">
      <c r="S184" s="454"/>
      <c r="AN184" s="458"/>
      <c r="BA184" s="1305"/>
      <c r="BC184" s="169"/>
    </row>
    <row r="185" spans="19:55" ht="15.75" customHeight="1">
      <c r="S185" s="454"/>
      <c r="AN185" s="458"/>
      <c r="BA185" s="1305"/>
      <c r="BC185" s="169"/>
    </row>
    <row r="186" spans="19:55" ht="15.75" customHeight="1">
      <c r="S186" s="454"/>
      <c r="AN186" s="458"/>
      <c r="BA186" s="1305"/>
      <c r="BC186" s="169"/>
    </row>
    <row r="187" spans="19:55" ht="15.75" customHeight="1">
      <c r="S187" s="454"/>
      <c r="AN187" s="458"/>
      <c r="BA187" s="1305"/>
      <c r="BC187" s="169"/>
    </row>
    <row r="188" spans="19:55" ht="15.75" customHeight="1">
      <c r="S188" s="454"/>
      <c r="AN188" s="458"/>
      <c r="BA188" s="1305"/>
      <c r="BC188" s="169"/>
    </row>
    <row r="189" spans="19:55" ht="15.75" customHeight="1">
      <c r="S189" s="454"/>
      <c r="AN189" s="458"/>
      <c r="BA189" s="1305"/>
      <c r="BC189" s="169"/>
    </row>
    <row r="190" spans="19:55" ht="15.75" customHeight="1">
      <c r="S190" s="454"/>
      <c r="AN190" s="458"/>
      <c r="BA190" s="1305"/>
      <c r="BC190" s="169"/>
    </row>
    <row r="191" spans="19:55" ht="15.75" customHeight="1">
      <c r="S191" s="454"/>
      <c r="AN191" s="458"/>
      <c r="BA191" s="1305"/>
      <c r="BC191" s="169"/>
    </row>
    <row r="192" spans="19:55" ht="15.75" customHeight="1">
      <c r="S192" s="454"/>
      <c r="AN192" s="458"/>
      <c r="BA192" s="1305"/>
      <c r="BC192" s="169"/>
    </row>
    <row r="193" spans="19:55" ht="15.75" customHeight="1">
      <c r="S193" s="454"/>
      <c r="AN193" s="458"/>
      <c r="BA193" s="1305"/>
      <c r="BC193" s="169"/>
    </row>
    <row r="194" spans="19:55" ht="15.75" customHeight="1">
      <c r="S194" s="454"/>
      <c r="AN194" s="458"/>
      <c r="BA194" s="1305"/>
      <c r="BC194" s="169"/>
    </row>
    <row r="195" spans="19:55" ht="15.75" customHeight="1">
      <c r="S195" s="454"/>
      <c r="AN195" s="458"/>
      <c r="BA195" s="1305"/>
      <c r="BC195" s="169"/>
    </row>
    <row r="196" spans="19:55" ht="15.75" customHeight="1">
      <c r="S196" s="454"/>
      <c r="AN196" s="458"/>
      <c r="BA196" s="1305"/>
      <c r="BC196" s="169"/>
    </row>
    <row r="197" spans="19:55" ht="15.75" customHeight="1">
      <c r="S197" s="454"/>
      <c r="AN197" s="458"/>
      <c r="BA197" s="1305"/>
      <c r="BC197" s="169"/>
    </row>
    <row r="198" spans="19:55" ht="15.75" customHeight="1">
      <c r="S198" s="454"/>
      <c r="AN198" s="458"/>
      <c r="BA198" s="1305"/>
      <c r="BC198" s="169"/>
    </row>
    <row r="199" spans="19:55" ht="15.75" customHeight="1">
      <c r="S199" s="454"/>
      <c r="AN199" s="458"/>
      <c r="BA199" s="1305"/>
      <c r="BC199" s="169"/>
    </row>
    <row r="200" spans="19:55" ht="15.75" customHeight="1">
      <c r="S200" s="454"/>
      <c r="AN200" s="458"/>
      <c r="BA200" s="1305"/>
      <c r="BC200" s="169"/>
    </row>
    <row r="201" spans="19:55" ht="15.75" customHeight="1">
      <c r="S201" s="454"/>
      <c r="AN201" s="458"/>
      <c r="BA201" s="1305"/>
      <c r="BC201" s="169"/>
    </row>
    <row r="202" spans="19:55" ht="15.75" customHeight="1">
      <c r="S202" s="454"/>
      <c r="AN202" s="458"/>
      <c r="BA202" s="1305"/>
      <c r="BC202" s="169"/>
    </row>
    <row r="203" spans="19:55" ht="15.75" customHeight="1">
      <c r="S203" s="454"/>
      <c r="AN203" s="458"/>
      <c r="BA203" s="1305"/>
      <c r="BC203" s="169"/>
    </row>
    <row r="204" spans="19:55" ht="15.75" customHeight="1">
      <c r="S204" s="454"/>
      <c r="AN204" s="458"/>
      <c r="BA204" s="1305"/>
      <c r="BC204" s="169"/>
    </row>
    <row r="205" spans="19:55" ht="15.75" customHeight="1">
      <c r="S205" s="454"/>
      <c r="AN205" s="458"/>
      <c r="BA205" s="1305"/>
      <c r="BC205" s="169"/>
    </row>
    <row r="206" spans="19:55" ht="15.75" customHeight="1">
      <c r="S206" s="454"/>
      <c r="AN206" s="458"/>
      <c r="BA206" s="1305"/>
      <c r="BC206" s="169"/>
    </row>
    <row r="207" spans="19:55" ht="15.75" customHeight="1">
      <c r="S207" s="454"/>
      <c r="AN207" s="458"/>
      <c r="BA207" s="1305"/>
      <c r="BC207" s="169"/>
    </row>
    <row r="208" spans="19:55" ht="15.75" customHeight="1">
      <c r="S208" s="454"/>
      <c r="AN208" s="458"/>
      <c r="BA208" s="1305"/>
      <c r="BC208" s="169"/>
    </row>
    <row r="209" spans="19:55" ht="15.75" customHeight="1">
      <c r="S209" s="454"/>
      <c r="AN209" s="458"/>
      <c r="BA209" s="1305"/>
      <c r="BC209" s="169"/>
    </row>
    <row r="210" spans="19:55" ht="15.75" customHeight="1">
      <c r="S210" s="454"/>
      <c r="AN210" s="458"/>
      <c r="BA210" s="1305"/>
      <c r="BC210" s="169"/>
    </row>
    <row r="211" spans="19:55" ht="15.75" customHeight="1">
      <c r="S211" s="454"/>
      <c r="AN211" s="458"/>
      <c r="BA211" s="1305"/>
      <c r="BC211" s="169"/>
    </row>
    <row r="212" spans="19:55" ht="15.75" customHeight="1">
      <c r="S212" s="454"/>
      <c r="AN212" s="458"/>
      <c r="BA212" s="1305"/>
      <c r="BC212" s="169"/>
    </row>
    <row r="213" spans="19:55" ht="15.75" customHeight="1">
      <c r="S213" s="454"/>
      <c r="AN213" s="458"/>
      <c r="BA213" s="1305"/>
      <c r="BC213" s="169"/>
    </row>
    <row r="214" spans="19:55" ht="15.75" customHeight="1">
      <c r="S214" s="454"/>
      <c r="AN214" s="458"/>
      <c r="BA214" s="1305"/>
      <c r="BC214" s="169"/>
    </row>
    <row r="215" spans="19:55" ht="15.75" customHeight="1">
      <c r="S215" s="454"/>
      <c r="AN215" s="458"/>
      <c r="BA215" s="1305"/>
      <c r="BC215" s="169"/>
    </row>
    <row r="216" spans="19:55" ht="15.75" customHeight="1">
      <c r="S216" s="454"/>
      <c r="AN216" s="458"/>
      <c r="BA216" s="1305"/>
      <c r="BC216" s="169"/>
    </row>
    <row r="217" spans="19:55" ht="15.75" customHeight="1">
      <c r="S217" s="454"/>
      <c r="AN217" s="458"/>
      <c r="BA217" s="1305"/>
      <c r="BC217" s="169"/>
    </row>
    <row r="218" spans="19:55" ht="15.75" customHeight="1">
      <c r="S218" s="454"/>
      <c r="AN218" s="458"/>
      <c r="BA218" s="1305"/>
      <c r="BC218" s="169"/>
    </row>
    <row r="219" spans="19:55" ht="15.75" customHeight="1">
      <c r="S219" s="454"/>
      <c r="AN219" s="458"/>
      <c r="BA219" s="1305"/>
      <c r="BC219" s="169"/>
    </row>
    <row r="220" spans="19:55" ht="15.75" customHeight="1">
      <c r="S220" s="454"/>
      <c r="AN220" s="458"/>
      <c r="BA220" s="1305"/>
      <c r="BC220" s="169"/>
    </row>
    <row r="221" spans="19:55" ht="15.75" customHeight="1">
      <c r="S221" s="454"/>
      <c r="AN221" s="458"/>
      <c r="BA221" s="1305"/>
      <c r="BC221" s="169"/>
    </row>
    <row r="222" spans="19:55" ht="15.75" customHeight="1">
      <c r="S222" s="454"/>
      <c r="AN222" s="458"/>
      <c r="BA222" s="1305"/>
      <c r="BC222" s="169"/>
    </row>
    <row r="223" spans="19:55" ht="15.75" customHeight="1">
      <c r="S223" s="454"/>
      <c r="AN223" s="458"/>
      <c r="BA223" s="1305"/>
      <c r="BC223" s="169"/>
    </row>
    <row r="224" spans="19:55" ht="15.75" customHeight="1">
      <c r="S224" s="454"/>
      <c r="AN224" s="458"/>
      <c r="BA224" s="1305"/>
      <c r="BC224" s="169"/>
    </row>
    <row r="225" spans="19:55" ht="15.75" customHeight="1">
      <c r="S225" s="454"/>
      <c r="AN225" s="458"/>
      <c r="BA225" s="1305"/>
      <c r="BC225" s="169"/>
    </row>
    <row r="226" spans="19:55" ht="15.75" customHeight="1">
      <c r="S226" s="454"/>
      <c r="AN226" s="458"/>
      <c r="BA226" s="1305"/>
      <c r="BC226" s="169"/>
    </row>
    <row r="227" spans="19:55" ht="15.75" customHeight="1">
      <c r="S227" s="454"/>
      <c r="AN227" s="458"/>
      <c r="BA227" s="1305"/>
      <c r="BC227" s="169"/>
    </row>
    <row r="228" spans="19:55" ht="15.75" customHeight="1">
      <c r="S228" s="454"/>
      <c r="AN228" s="458"/>
      <c r="BA228" s="1305"/>
      <c r="BC228" s="169"/>
    </row>
    <row r="229" spans="19:55" ht="15.75" customHeight="1">
      <c r="S229" s="454"/>
      <c r="AN229" s="458"/>
      <c r="BA229" s="1305"/>
      <c r="BC229" s="169"/>
    </row>
    <row r="230" spans="19:55" ht="15.75" customHeight="1">
      <c r="S230" s="454"/>
      <c r="AN230" s="458"/>
      <c r="BA230" s="1305"/>
      <c r="BC230" s="169"/>
    </row>
    <row r="231" spans="19:55" ht="15.75" customHeight="1">
      <c r="S231" s="454"/>
      <c r="AN231" s="458"/>
      <c r="BA231" s="1305"/>
      <c r="BC231" s="169"/>
    </row>
    <row r="232" spans="19:55" ht="15.75" customHeight="1">
      <c r="S232" s="454"/>
      <c r="AN232" s="458"/>
      <c r="BA232" s="1305"/>
      <c r="BC232" s="169"/>
    </row>
    <row r="233" spans="19:55" ht="15.75" customHeight="1">
      <c r="S233" s="454"/>
      <c r="AN233" s="458"/>
      <c r="BA233" s="1305"/>
      <c r="BC233" s="169"/>
    </row>
    <row r="234" spans="19:55" ht="15.75" customHeight="1">
      <c r="S234" s="454"/>
      <c r="AN234" s="458"/>
      <c r="BA234" s="1305"/>
      <c r="BC234" s="169"/>
    </row>
    <row r="235" spans="19:55" ht="15.75" customHeight="1">
      <c r="S235" s="454"/>
      <c r="AN235" s="458"/>
      <c r="BA235" s="1305"/>
      <c r="BC235" s="169"/>
    </row>
    <row r="236" spans="19:55" ht="15.75" customHeight="1">
      <c r="S236" s="454"/>
      <c r="AN236" s="458"/>
      <c r="BA236" s="1305"/>
      <c r="BC236" s="169"/>
    </row>
    <row r="237" spans="19:55" ht="15.75" customHeight="1">
      <c r="S237" s="454"/>
      <c r="AN237" s="458"/>
      <c r="BA237" s="1305"/>
      <c r="BC237" s="169"/>
    </row>
    <row r="238" spans="19:55" ht="15.75" customHeight="1">
      <c r="S238" s="454"/>
      <c r="AN238" s="458"/>
      <c r="BA238" s="1305"/>
      <c r="BC238" s="169"/>
    </row>
    <row r="239" spans="19:55" ht="15.75" customHeight="1">
      <c r="S239" s="454"/>
      <c r="AN239" s="458"/>
      <c r="BA239" s="1305"/>
      <c r="BC239" s="169"/>
    </row>
    <row r="240" spans="19:55" ht="15.75" customHeight="1">
      <c r="S240" s="454"/>
      <c r="AN240" s="458"/>
      <c r="BA240" s="1305"/>
      <c r="BC240" s="169"/>
    </row>
    <row r="241" spans="19:55" ht="15.75" customHeight="1">
      <c r="S241" s="454"/>
      <c r="AN241" s="458"/>
      <c r="BA241" s="1305"/>
      <c r="BC241" s="169"/>
    </row>
    <row r="242" spans="19:55" ht="15.75" customHeight="1">
      <c r="S242" s="454"/>
      <c r="AN242" s="458"/>
      <c r="BA242" s="1305"/>
      <c r="BC242" s="169"/>
    </row>
    <row r="243" spans="19:55" ht="15.75" customHeight="1">
      <c r="S243" s="454"/>
      <c r="AN243" s="458"/>
      <c r="BA243" s="1305"/>
      <c r="BC243" s="169"/>
    </row>
    <row r="244" spans="19:55" ht="15.75" customHeight="1">
      <c r="S244" s="454"/>
      <c r="AN244" s="458"/>
      <c r="BA244" s="1305"/>
      <c r="BC244" s="169"/>
    </row>
    <row r="245" spans="19:55" ht="15.75" customHeight="1">
      <c r="S245" s="454"/>
      <c r="AN245" s="458"/>
      <c r="BA245" s="1305"/>
      <c r="BC245" s="169"/>
    </row>
    <row r="246" spans="19:55" ht="15.75" customHeight="1">
      <c r="S246" s="454"/>
      <c r="AN246" s="458"/>
      <c r="BA246" s="1305"/>
      <c r="BC246" s="169"/>
    </row>
    <row r="247" spans="19:55" ht="15.75" customHeight="1">
      <c r="S247" s="454"/>
      <c r="AN247" s="458"/>
      <c r="BA247" s="1305"/>
      <c r="BC247" s="169"/>
    </row>
    <row r="248" spans="19:55" ht="15.75" customHeight="1">
      <c r="S248" s="454"/>
      <c r="AN248" s="458"/>
      <c r="BA248" s="1305"/>
      <c r="BC248" s="169"/>
    </row>
    <row r="249" spans="19:55" ht="15.75" customHeight="1">
      <c r="S249" s="454"/>
      <c r="AN249" s="458"/>
      <c r="BA249" s="1305"/>
      <c r="BC249" s="169"/>
    </row>
    <row r="250" spans="19:55" ht="15.75" customHeight="1">
      <c r="S250" s="454"/>
      <c r="AN250" s="458"/>
      <c r="BA250" s="1305"/>
      <c r="BC250" s="169"/>
    </row>
    <row r="251" spans="19:55" ht="15.75" customHeight="1">
      <c r="S251" s="454"/>
      <c r="AN251" s="458"/>
      <c r="BA251" s="1305"/>
      <c r="BC251" s="169"/>
    </row>
    <row r="252" spans="19:55" ht="15.75" customHeight="1">
      <c r="S252" s="454"/>
      <c r="AN252" s="458"/>
      <c r="BA252" s="1305"/>
      <c r="BC252" s="169"/>
    </row>
    <row r="253" spans="19:55" ht="15.75" customHeight="1">
      <c r="S253" s="454"/>
      <c r="AN253" s="458"/>
      <c r="BA253" s="1305"/>
      <c r="BC253" s="169"/>
    </row>
    <row r="254" spans="19:55" ht="15.75" customHeight="1">
      <c r="S254" s="454"/>
      <c r="AN254" s="458"/>
      <c r="BA254" s="1305"/>
      <c r="BC254" s="169"/>
    </row>
    <row r="255" spans="19:55" ht="15.75" customHeight="1">
      <c r="S255" s="454"/>
      <c r="AN255" s="458"/>
      <c r="BA255" s="1305"/>
      <c r="BC255" s="169"/>
    </row>
    <row r="256" spans="19:55" ht="15.75" customHeight="1">
      <c r="S256" s="454"/>
      <c r="AN256" s="458"/>
      <c r="BA256" s="1305"/>
      <c r="BC256" s="169"/>
    </row>
    <row r="257" spans="19:55" ht="15.75" customHeight="1">
      <c r="S257" s="454"/>
      <c r="AN257" s="458"/>
      <c r="BA257" s="1305"/>
      <c r="BC257" s="169"/>
    </row>
    <row r="258" spans="19:55" ht="15.75" customHeight="1">
      <c r="S258" s="454"/>
      <c r="AN258" s="458"/>
      <c r="BA258" s="1305"/>
      <c r="BC258" s="169"/>
    </row>
    <row r="259" spans="19:55" ht="15.75" customHeight="1">
      <c r="S259" s="454"/>
      <c r="AN259" s="458"/>
      <c r="BA259" s="1305"/>
      <c r="BC259" s="169"/>
    </row>
    <row r="260" spans="19:55" ht="15.75" customHeight="1">
      <c r="S260" s="454"/>
      <c r="AN260" s="458"/>
      <c r="BA260" s="1305"/>
      <c r="BC260" s="169"/>
    </row>
    <row r="261" spans="19:55" ht="15.75" customHeight="1">
      <c r="S261" s="454"/>
      <c r="AN261" s="458"/>
      <c r="BA261" s="1305"/>
      <c r="BC261" s="169"/>
    </row>
    <row r="262" spans="19:55" ht="15.75" customHeight="1">
      <c r="S262" s="454"/>
      <c r="AN262" s="458"/>
      <c r="BA262" s="1305"/>
      <c r="BC262" s="169"/>
    </row>
    <row r="263" spans="19:55" ht="15.75" customHeight="1">
      <c r="S263" s="454"/>
      <c r="AN263" s="458"/>
      <c r="BA263" s="1305"/>
      <c r="BC263" s="169"/>
    </row>
    <row r="264" spans="19:55" ht="15.75" customHeight="1">
      <c r="S264" s="454"/>
      <c r="AN264" s="458"/>
      <c r="BA264" s="1305"/>
      <c r="BC264" s="169"/>
    </row>
    <row r="265" spans="19:55" ht="15.75" customHeight="1">
      <c r="S265" s="454"/>
      <c r="AN265" s="458"/>
      <c r="BA265" s="1305"/>
      <c r="BC265" s="169"/>
    </row>
    <row r="266" spans="19:55" ht="15.75" customHeight="1">
      <c r="S266" s="454"/>
      <c r="AN266" s="458"/>
      <c r="BA266" s="1305"/>
      <c r="BC266" s="169"/>
    </row>
    <row r="267" spans="19:55" ht="15.75" customHeight="1">
      <c r="S267" s="454"/>
      <c r="AN267" s="458"/>
      <c r="BA267" s="1305"/>
      <c r="BC267" s="169"/>
    </row>
    <row r="268" spans="19:55" ht="15.75" customHeight="1">
      <c r="S268" s="454"/>
      <c r="AN268" s="458"/>
      <c r="BA268" s="1305"/>
      <c r="BC268" s="169"/>
    </row>
    <row r="269" spans="19:55" ht="15.75" customHeight="1">
      <c r="S269" s="454"/>
      <c r="AN269" s="458"/>
      <c r="BA269" s="1305"/>
      <c r="BC269" s="169"/>
    </row>
    <row r="270" spans="19:55" ht="15.75" customHeight="1">
      <c r="S270" s="454"/>
      <c r="AN270" s="458"/>
      <c r="BA270" s="1305"/>
      <c r="BC270" s="169"/>
    </row>
    <row r="271" spans="19:55" ht="15.75" customHeight="1">
      <c r="S271" s="454"/>
      <c r="AN271" s="458"/>
      <c r="BA271" s="1305"/>
      <c r="BC271" s="169"/>
    </row>
    <row r="272" spans="19:55" ht="15.75" customHeight="1">
      <c r="S272" s="454"/>
      <c r="AN272" s="458"/>
      <c r="BA272" s="1305"/>
      <c r="BC272" s="169"/>
    </row>
    <row r="273" spans="19:55" ht="15.75" customHeight="1">
      <c r="S273" s="454"/>
      <c r="AN273" s="458"/>
      <c r="BA273" s="1305"/>
      <c r="BC273" s="169"/>
    </row>
    <row r="274" spans="19:55" ht="15.75" customHeight="1">
      <c r="S274" s="454"/>
      <c r="AN274" s="458"/>
      <c r="BA274" s="1305"/>
      <c r="BC274" s="169"/>
    </row>
    <row r="275" spans="19:55" ht="15.75" customHeight="1">
      <c r="S275" s="454"/>
      <c r="AN275" s="458"/>
      <c r="BA275" s="1305"/>
      <c r="BC275" s="169"/>
    </row>
    <row r="276" spans="19:55" ht="15.75" customHeight="1">
      <c r="S276" s="454"/>
      <c r="AN276" s="458"/>
      <c r="BA276" s="1305"/>
      <c r="BC276" s="169"/>
    </row>
    <row r="277" spans="19:55" ht="15.75" customHeight="1">
      <c r="S277" s="454"/>
      <c r="AN277" s="458"/>
      <c r="BA277" s="1305"/>
      <c r="BC277" s="169"/>
    </row>
    <row r="278" spans="19:55" ht="15.75" customHeight="1">
      <c r="S278" s="454"/>
      <c r="AN278" s="458"/>
      <c r="BA278" s="1305"/>
      <c r="BC278" s="169"/>
    </row>
    <row r="279" spans="19:55" ht="15.75" customHeight="1">
      <c r="S279" s="454"/>
      <c r="AN279" s="458"/>
      <c r="BA279" s="1305"/>
      <c r="BC279" s="169"/>
    </row>
    <row r="280" spans="19:55" ht="15.75" customHeight="1">
      <c r="S280" s="454"/>
      <c r="AN280" s="458"/>
      <c r="BA280" s="1305"/>
      <c r="BC280" s="169"/>
    </row>
    <row r="281" spans="19:55" ht="15.75" customHeight="1">
      <c r="S281" s="454"/>
      <c r="AN281" s="458"/>
      <c r="BA281" s="1305"/>
      <c r="BC281" s="169"/>
    </row>
    <row r="282" spans="19:55" ht="15.75" customHeight="1">
      <c r="S282" s="454"/>
      <c r="AN282" s="458"/>
      <c r="BA282" s="1305"/>
      <c r="BC282" s="169"/>
    </row>
    <row r="283" spans="19:55" ht="15.75" customHeight="1">
      <c r="S283" s="454"/>
      <c r="AN283" s="458"/>
      <c r="BA283" s="1305"/>
      <c r="BC283" s="169"/>
    </row>
    <row r="284" spans="19:55" ht="15.75" customHeight="1">
      <c r="S284" s="454"/>
      <c r="AN284" s="458"/>
      <c r="BA284" s="1305"/>
      <c r="BC284" s="169"/>
    </row>
    <row r="285" spans="19:55" ht="15.75" customHeight="1">
      <c r="S285" s="454"/>
      <c r="AN285" s="458"/>
      <c r="BA285" s="1305"/>
      <c r="BC285" s="169"/>
    </row>
    <row r="286" spans="19:55" ht="15.75" customHeight="1">
      <c r="S286" s="454"/>
      <c r="AN286" s="458"/>
      <c r="BA286" s="1305"/>
      <c r="BC286" s="169"/>
    </row>
    <row r="287" spans="19:55" ht="15.75" customHeight="1">
      <c r="S287" s="454"/>
      <c r="AN287" s="458"/>
      <c r="BA287" s="1305"/>
      <c r="BC287" s="169"/>
    </row>
    <row r="288" spans="19:55" ht="15.75" customHeight="1">
      <c r="S288" s="454"/>
      <c r="AN288" s="458"/>
      <c r="BA288" s="1305"/>
      <c r="BC288" s="169"/>
    </row>
    <row r="289" spans="19:55" ht="15.75" customHeight="1">
      <c r="S289" s="454"/>
      <c r="AN289" s="458"/>
      <c r="BA289" s="1305"/>
      <c r="BC289" s="169"/>
    </row>
    <row r="290" spans="19:55" ht="15.75" customHeight="1">
      <c r="S290" s="454"/>
      <c r="AN290" s="458"/>
      <c r="BA290" s="1305"/>
      <c r="BC290" s="169"/>
    </row>
    <row r="291" spans="19:55" ht="15.75" customHeight="1">
      <c r="S291" s="454"/>
      <c r="AN291" s="458"/>
      <c r="BA291" s="1305"/>
      <c r="BC291" s="169"/>
    </row>
    <row r="292" spans="19:55" ht="15.75" customHeight="1">
      <c r="S292" s="454"/>
      <c r="AN292" s="458"/>
      <c r="BA292" s="1305"/>
      <c r="BC292" s="169"/>
    </row>
    <row r="293" spans="19:55" ht="15.75" customHeight="1">
      <c r="S293" s="454"/>
      <c r="AN293" s="458"/>
      <c r="BA293" s="1305"/>
      <c r="BC293" s="169"/>
    </row>
    <row r="294" spans="19:55" ht="15.75" customHeight="1">
      <c r="S294" s="454"/>
      <c r="AN294" s="458"/>
      <c r="BA294" s="1305"/>
      <c r="BC294" s="169"/>
    </row>
    <row r="295" spans="19:55" ht="15.75" customHeight="1">
      <c r="S295" s="454"/>
      <c r="AN295" s="458"/>
      <c r="BA295" s="1305"/>
      <c r="BC295" s="169"/>
    </row>
    <row r="296" spans="19:55" ht="15.75" customHeight="1">
      <c r="S296" s="454"/>
      <c r="AN296" s="458"/>
      <c r="BA296" s="1305"/>
      <c r="BC296" s="169"/>
    </row>
    <row r="297" spans="19:55" ht="15.75" customHeight="1">
      <c r="S297" s="454"/>
      <c r="AN297" s="458"/>
      <c r="BA297" s="1305"/>
      <c r="BC297" s="169"/>
    </row>
    <row r="298" spans="19:55" ht="15.75" customHeight="1">
      <c r="S298" s="454"/>
      <c r="AN298" s="458"/>
      <c r="BA298" s="1305"/>
      <c r="BC298" s="169"/>
    </row>
    <row r="299" spans="19:55" ht="15.75" customHeight="1">
      <c r="S299" s="454"/>
      <c r="AN299" s="458"/>
      <c r="BA299" s="1305"/>
      <c r="BC299" s="169"/>
    </row>
    <row r="300" spans="19:55" ht="15.75" customHeight="1">
      <c r="S300" s="454"/>
      <c r="AN300" s="458"/>
      <c r="BA300" s="1305"/>
      <c r="BC300" s="169"/>
    </row>
    <row r="301" spans="19:55" ht="15.75" customHeight="1">
      <c r="S301" s="454"/>
      <c r="AN301" s="458"/>
      <c r="BA301" s="1305"/>
      <c r="BC301" s="169"/>
    </row>
    <row r="302" spans="19:55" ht="15.75" customHeight="1">
      <c r="S302" s="454"/>
      <c r="AN302" s="458"/>
      <c r="BA302" s="1305"/>
      <c r="BC302" s="169"/>
    </row>
    <row r="303" spans="19:55" ht="15.75" customHeight="1">
      <c r="S303" s="454"/>
      <c r="AN303" s="458"/>
      <c r="BA303" s="1305"/>
      <c r="BC303" s="169"/>
    </row>
    <row r="304" spans="19:55" ht="15.75" customHeight="1">
      <c r="S304" s="454"/>
      <c r="AN304" s="458"/>
      <c r="BA304" s="1305"/>
      <c r="BC304" s="169"/>
    </row>
    <row r="305" spans="19:55" ht="15.75" customHeight="1">
      <c r="S305" s="454"/>
      <c r="AN305" s="458"/>
      <c r="BA305" s="1305"/>
      <c r="BC305" s="169"/>
    </row>
    <row r="306" spans="19:55" ht="15.75" customHeight="1">
      <c r="S306" s="454"/>
      <c r="AN306" s="458"/>
      <c r="BA306" s="1305"/>
      <c r="BC306" s="169"/>
    </row>
    <row r="307" spans="19:55" ht="15.75" customHeight="1">
      <c r="S307" s="454"/>
      <c r="AN307" s="458"/>
      <c r="BA307" s="1305"/>
      <c r="BC307" s="169"/>
    </row>
    <row r="308" spans="19:55" ht="15.75" customHeight="1">
      <c r="S308" s="454"/>
      <c r="AN308" s="458"/>
      <c r="BA308" s="1305"/>
      <c r="BC308" s="169"/>
    </row>
    <row r="309" spans="19:55" ht="15.75" customHeight="1">
      <c r="S309" s="454"/>
      <c r="AN309" s="458"/>
      <c r="BA309" s="1305"/>
      <c r="BC309" s="169"/>
    </row>
    <row r="310" spans="19:55" ht="15.75" customHeight="1">
      <c r="S310" s="454"/>
      <c r="AN310" s="458"/>
      <c r="BA310" s="1305"/>
      <c r="BC310" s="169"/>
    </row>
    <row r="311" spans="19:55" ht="15.75" customHeight="1">
      <c r="S311" s="454"/>
      <c r="AN311" s="458"/>
      <c r="BA311" s="1305"/>
      <c r="BC311" s="169"/>
    </row>
    <row r="312" spans="19:55" ht="15.75" customHeight="1">
      <c r="S312" s="454"/>
      <c r="AN312" s="458"/>
      <c r="BA312" s="1305"/>
      <c r="BC312" s="169"/>
    </row>
    <row r="313" spans="19:55" ht="15.75" customHeight="1">
      <c r="S313" s="454"/>
      <c r="AN313" s="458"/>
      <c r="BA313" s="1305"/>
      <c r="BC313" s="169"/>
    </row>
    <row r="314" spans="19:55" ht="15.75" customHeight="1">
      <c r="S314" s="454"/>
      <c r="AN314" s="458"/>
      <c r="BA314" s="1305"/>
      <c r="BC314" s="169"/>
    </row>
    <row r="315" spans="19:55" ht="15.75" customHeight="1">
      <c r="S315" s="454"/>
      <c r="AN315" s="458"/>
      <c r="BA315" s="1305"/>
      <c r="BC315" s="169"/>
    </row>
    <row r="316" spans="19:55" ht="15.75" customHeight="1">
      <c r="S316" s="454"/>
      <c r="AN316" s="458"/>
      <c r="BA316" s="1305"/>
      <c r="BC316" s="169"/>
    </row>
    <row r="317" spans="19:55" ht="15.75" customHeight="1">
      <c r="S317" s="454"/>
      <c r="AN317" s="458"/>
      <c r="BA317" s="1305"/>
      <c r="BC317" s="169"/>
    </row>
    <row r="318" spans="19:55" ht="15.75" customHeight="1">
      <c r="S318" s="454"/>
      <c r="AN318" s="458"/>
      <c r="BA318" s="1305"/>
      <c r="BC318" s="169"/>
    </row>
    <row r="319" spans="19:55" ht="15.75" customHeight="1">
      <c r="S319" s="454"/>
      <c r="AN319" s="458"/>
      <c r="BA319" s="1305"/>
      <c r="BC319" s="169"/>
    </row>
    <row r="320" spans="19:55" ht="15.75" customHeight="1">
      <c r="S320" s="454"/>
      <c r="AN320" s="458"/>
      <c r="BA320" s="1305"/>
      <c r="BC320" s="169"/>
    </row>
    <row r="321" spans="19:55" ht="15.75" customHeight="1">
      <c r="S321" s="454"/>
      <c r="AN321" s="458"/>
      <c r="BA321" s="1305"/>
      <c r="BC321" s="169"/>
    </row>
    <row r="322" spans="19:55" ht="15.75" customHeight="1">
      <c r="S322" s="454"/>
      <c r="AN322" s="458"/>
      <c r="BA322" s="1305"/>
      <c r="BC322" s="169"/>
    </row>
    <row r="323" spans="19:55" ht="15.75" customHeight="1">
      <c r="S323" s="454"/>
      <c r="AN323" s="458"/>
      <c r="BA323" s="1305"/>
      <c r="BC323" s="169"/>
    </row>
    <row r="324" spans="19:55" ht="15.75" customHeight="1">
      <c r="S324" s="454"/>
      <c r="AN324" s="458"/>
      <c r="BA324" s="1305"/>
      <c r="BC324" s="169"/>
    </row>
    <row r="325" spans="19:55" ht="15.75" customHeight="1">
      <c r="S325" s="454"/>
      <c r="AN325" s="458"/>
      <c r="BA325" s="1305"/>
      <c r="BC325" s="169"/>
    </row>
    <row r="326" spans="19:55" ht="15.75" customHeight="1">
      <c r="S326" s="454"/>
      <c r="AN326" s="458"/>
      <c r="BA326" s="1305"/>
      <c r="BC326" s="169"/>
    </row>
    <row r="327" spans="19:55" ht="15.75" customHeight="1">
      <c r="S327" s="454"/>
      <c r="AN327" s="458"/>
      <c r="BA327" s="1305"/>
      <c r="BC327" s="169"/>
    </row>
    <row r="328" spans="19:55" ht="15.75" customHeight="1">
      <c r="S328" s="454"/>
      <c r="AN328" s="458"/>
      <c r="BA328" s="1305"/>
      <c r="BC328" s="169"/>
    </row>
    <row r="329" spans="19:55" ht="15.75" customHeight="1">
      <c r="S329" s="454"/>
      <c r="AN329" s="458"/>
      <c r="BA329" s="1305"/>
      <c r="BC329" s="169"/>
    </row>
    <row r="330" spans="19:55" ht="15.75" customHeight="1">
      <c r="S330" s="454"/>
      <c r="AN330" s="458"/>
      <c r="BA330" s="1305"/>
      <c r="BC330" s="169"/>
    </row>
    <row r="331" spans="19:55" ht="15.75" customHeight="1">
      <c r="S331" s="454"/>
      <c r="AN331" s="458"/>
      <c r="BA331" s="1305"/>
      <c r="BC331" s="169"/>
    </row>
    <row r="332" spans="19:55" ht="15.75" customHeight="1">
      <c r="S332" s="454"/>
      <c r="AN332" s="458"/>
      <c r="BA332" s="1305"/>
      <c r="BC332" s="169"/>
    </row>
    <row r="333" spans="19:55" ht="15.75" customHeight="1">
      <c r="S333" s="454"/>
      <c r="AN333" s="458"/>
      <c r="BA333" s="1305"/>
      <c r="BC333" s="169"/>
    </row>
    <row r="334" spans="19:55" ht="15.75" customHeight="1">
      <c r="S334" s="454"/>
      <c r="AN334" s="458"/>
      <c r="BA334" s="1305"/>
      <c r="BC334" s="169"/>
    </row>
    <row r="335" spans="19:55" ht="15.75" customHeight="1">
      <c r="S335" s="454"/>
      <c r="AN335" s="458"/>
      <c r="BA335" s="1305"/>
      <c r="BC335" s="169"/>
    </row>
    <row r="336" spans="19:55" ht="15.75" customHeight="1">
      <c r="S336" s="454"/>
      <c r="AN336" s="458"/>
      <c r="BA336" s="1305"/>
      <c r="BC336" s="169"/>
    </row>
    <row r="337" spans="19:55" ht="15.75" customHeight="1">
      <c r="S337" s="454"/>
      <c r="AN337" s="458"/>
      <c r="BA337" s="1305"/>
      <c r="BC337" s="169"/>
    </row>
    <row r="338" spans="19:55" ht="15.75" customHeight="1">
      <c r="S338" s="454"/>
      <c r="AN338" s="458"/>
      <c r="BA338" s="1305"/>
      <c r="BC338" s="169"/>
    </row>
    <row r="339" spans="19:55" ht="15.75" customHeight="1">
      <c r="S339" s="454"/>
      <c r="AN339" s="458"/>
      <c r="BA339" s="1305"/>
      <c r="BC339" s="169"/>
    </row>
    <row r="340" spans="19:55" ht="15.75" customHeight="1">
      <c r="S340" s="454"/>
      <c r="AN340" s="458"/>
      <c r="BA340" s="1305"/>
      <c r="BC340" s="169"/>
    </row>
    <row r="341" spans="19:55" ht="15.75" customHeight="1">
      <c r="S341" s="454"/>
      <c r="AN341" s="458"/>
      <c r="BA341" s="1305"/>
      <c r="BC341" s="169"/>
    </row>
    <row r="342" spans="19:55" ht="15.75" customHeight="1">
      <c r="S342" s="454"/>
      <c r="AN342" s="458"/>
      <c r="BA342" s="1305"/>
      <c r="BC342" s="169"/>
    </row>
    <row r="343" spans="19:55" ht="15.75" customHeight="1">
      <c r="S343" s="454"/>
      <c r="AN343" s="458"/>
      <c r="BA343" s="1305"/>
      <c r="BC343" s="169"/>
    </row>
    <row r="344" spans="19:55" ht="15.75" customHeight="1">
      <c r="S344" s="454"/>
      <c r="AN344" s="458"/>
      <c r="BA344" s="1305"/>
      <c r="BC344" s="169"/>
    </row>
    <row r="345" spans="19:55" ht="15.75" customHeight="1">
      <c r="S345" s="454"/>
      <c r="AN345" s="458"/>
      <c r="BA345" s="1305"/>
      <c r="BC345" s="169"/>
    </row>
    <row r="346" spans="19:55" ht="15.75" customHeight="1">
      <c r="S346" s="454"/>
      <c r="AN346" s="458"/>
      <c r="BA346" s="1305"/>
      <c r="BC346" s="169"/>
    </row>
    <row r="347" spans="19:55" ht="15.75" customHeight="1">
      <c r="S347" s="454"/>
      <c r="AN347" s="458"/>
      <c r="BA347" s="1305"/>
      <c r="BC347" s="169"/>
    </row>
    <row r="348" spans="19:55" ht="15.75" customHeight="1">
      <c r="S348" s="454"/>
      <c r="AN348" s="458"/>
      <c r="BA348" s="1305"/>
      <c r="BC348" s="169"/>
    </row>
    <row r="349" spans="19:55" ht="15.75" customHeight="1">
      <c r="S349" s="454"/>
      <c r="AN349" s="458"/>
      <c r="BA349" s="1305"/>
      <c r="BC349" s="169"/>
    </row>
    <row r="350" spans="19:55" ht="15.75" customHeight="1">
      <c r="S350" s="454"/>
      <c r="AN350" s="458"/>
      <c r="BA350" s="1305"/>
      <c r="BC350" s="169"/>
    </row>
    <row r="351" spans="19:55" ht="15.75" customHeight="1">
      <c r="S351" s="454"/>
      <c r="AN351" s="458"/>
      <c r="BA351" s="1305"/>
      <c r="BC351" s="169"/>
    </row>
    <row r="352" spans="19:55" ht="15.75" customHeight="1">
      <c r="S352" s="454"/>
      <c r="AN352" s="458"/>
      <c r="BA352" s="1305"/>
      <c r="BC352" s="169"/>
    </row>
    <row r="353" spans="19:55" ht="15.75" customHeight="1">
      <c r="S353" s="454"/>
      <c r="AN353" s="458"/>
      <c r="BA353" s="1305"/>
      <c r="BC353" s="169"/>
    </row>
    <row r="354" spans="19:55" ht="15.75" customHeight="1">
      <c r="S354" s="454"/>
      <c r="AN354" s="458"/>
      <c r="BA354" s="1305"/>
      <c r="BC354" s="169"/>
    </row>
    <row r="355" spans="19:55" ht="15.75" customHeight="1">
      <c r="S355" s="454"/>
      <c r="AN355" s="458"/>
      <c r="BA355" s="1305"/>
      <c r="BC355" s="169"/>
    </row>
    <row r="356" spans="19:55" ht="15.75" customHeight="1">
      <c r="S356" s="454"/>
      <c r="AN356" s="458"/>
      <c r="BA356" s="1305"/>
      <c r="BC356" s="169"/>
    </row>
    <row r="357" spans="19:55" ht="15.75" customHeight="1">
      <c r="S357" s="454"/>
      <c r="AN357" s="458"/>
      <c r="BA357" s="1305"/>
      <c r="BC357" s="169"/>
    </row>
    <row r="358" spans="19:55" ht="15.75" customHeight="1">
      <c r="S358" s="454"/>
      <c r="AN358" s="458"/>
      <c r="BA358" s="1305"/>
      <c r="BC358" s="169"/>
    </row>
    <row r="359" spans="19:55" ht="15.75" customHeight="1">
      <c r="S359" s="454"/>
      <c r="AN359" s="458"/>
      <c r="BA359" s="1305"/>
      <c r="BC359" s="169"/>
    </row>
    <row r="360" spans="19:55" ht="15.75" customHeight="1">
      <c r="S360" s="454"/>
      <c r="AN360" s="458"/>
      <c r="BA360" s="1305"/>
      <c r="BC360" s="169"/>
    </row>
    <row r="361" spans="19:55" ht="15.75" customHeight="1">
      <c r="S361" s="454"/>
      <c r="AN361" s="458"/>
      <c r="BA361" s="1305"/>
      <c r="BC361" s="169"/>
    </row>
    <row r="362" spans="19:55" ht="15.75" customHeight="1">
      <c r="S362" s="454"/>
      <c r="AN362" s="458"/>
      <c r="BA362" s="1305"/>
      <c r="BC362" s="169"/>
    </row>
    <row r="363" spans="19:55" ht="15.75" customHeight="1">
      <c r="S363" s="454"/>
      <c r="AN363" s="458"/>
      <c r="BA363" s="1305"/>
      <c r="BC363" s="169"/>
    </row>
    <row r="364" spans="19:55" ht="15.75" customHeight="1">
      <c r="S364" s="454"/>
      <c r="AN364" s="458"/>
      <c r="BA364" s="1305"/>
      <c r="BC364" s="169"/>
    </row>
    <row r="365" spans="19:55" ht="15.75" customHeight="1">
      <c r="S365" s="454"/>
      <c r="AN365" s="458"/>
      <c r="BA365" s="1305"/>
      <c r="BC365" s="169"/>
    </row>
    <row r="366" spans="19:55" ht="15.75" customHeight="1">
      <c r="S366" s="454"/>
      <c r="AN366" s="458"/>
      <c r="BA366" s="1305"/>
      <c r="BC366" s="169"/>
    </row>
    <row r="367" spans="19:55" ht="15.75" customHeight="1">
      <c r="S367" s="454"/>
      <c r="AN367" s="458"/>
      <c r="BA367" s="1305"/>
      <c r="BC367" s="169"/>
    </row>
    <row r="368" spans="19:55" ht="15.75" customHeight="1">
      <c r="S368" s="454"/>
      <c r="AN368" s="458"/>
      <c r="BA368" s="1305"/>
      <c r="BC368" s="169"/>
    </row>
    <row r="369" spans="19:55" ht="15.75" customHeight="1">
      <c r="S369" s="454"/>
      <c r="AN369" s="458"/>
      <c r="BA369" s="1305"/>
      <c r="BC369" s="169"/>
    </row>
    <row r="370" spans="19:55" ht="15.75" customHeight="1">
      <c r="S370" s="454"/>
      <c r="AN370" s="458"/>
      <c r="BA370" s="1305"/>
      <c r="BC370" s="169"/>
    </row>
    <row r="371" spans="19:55" ht="15.75" customHeight="1">
      <c r="S371" s="454"/>
      <c r="AN371" s="458"/>
      <c r="BA371" s="1305"/>
      <c r="BC371" s="169"/>
    </row>
    <row r="372" spans="19:55" ht="15.75" customHeight="1">
      <c r="S372" s="454"/>
      <c r="AN372" s="458"/>
      <c r="BA372" s="1305"/>
      <c r="BC372" s="169"/>
    </row>
    <row r="373" spans="19:55" ht="15.75" customHeight="1">
      <c r="S373" s="454"/>
      <c r="AN373" s="458"/>
      <c r="BA373" s="1305"/>
      <c r="BC373" s="169"/>
    </row>
    <row r="374" spans="19:55" ht="15.75" customHeight="1">
      <c r="S374" s="454"/>
      <c r="AN374" s="458"/>
      <c r="BA374" s="1305"/>
      <c r="BC374" s="169"/>
    </row>
    <row r="375" spans="19:55" ht="15.75" customHeight="1">
      <c r="S375" s="454"/>
      <c r="AN375" s="458"/>
      <c r="BA375" s="1305"/>
      <c r="BC375" s="169"/>
    </row>
    <row r="376" spans="19:55" ht="15.75" customHeight="1">
      <c r="S376" s="454"/>
      <c r="AN376" s="458"/>
      <c r="BA376" s="1305"/>
      <c r="BC376" s="169"/>
    </row>
    <row r="377" spans="19:55" ht="15.75" customHeight="1">
      <c r="S377" s="454"/>
      <c r="AN377" s="458"/>
      <c r="BA377" s="1305"/>
      <c r="BC377" s="169"/>
    </row>
    <row r="378" spans="19:55" ht="15.75" customHeight="1">
      <c r="S378" s="454"/>
      <c r="AN378" s="458"/>
      <c r="BA378" s="1305"/>
      <c r="BC378" s="169"/>
    </row>
    <row r="379" spans="19:55" ht="15.75" customHeight="1">
      <c r="S379" s="454"/>
      <c r="AN379" s="458"/>
      <c r="BA379" s="1305"/>
      <c r="BC379" s="169"/>
    </row>
    <row r="380" spans="19:55" ht="15.75" customHeight="1">
      <c r="S380" s="454"/>
      <c r="AN380" s="458"/>
      <c r="BA380" s="1305"/>
      <c r="BC380" s="169"/>
    </row>
    <row r="381" spans="19:55" ht="15.75" customHeight="1">
      <c r="S381" s="454"/>
      <c r="AN381" s="458"/>
      <c r="BA381" s="1305"/>
      <c r="BC381" s="169"/>
    </row>
    <row r="382" spans="19:55" ht="15.75" customHeight="1">
      <c r="S382" s="454"/>
      <c r="AN382" s="458"/>
      <c r="BA382" s="1305"/>
      <c r="BC382" s="169"/>
    </row>
    <row r="383" spans="19:55" ht="15.75" customHeight="1">
      <c r="S383" s="454"/>
      <c r="AN383" s="458"/>
      <c r="BA383" s="1305"/>
      <c r="BC383" s="169"/>
    </row>
    <row r="384" spans="19:55" ht="15.75" customHeight="1">
      <c r="S384" s="454"/>
      <c r="AN384" s="458"/>
      <c r="BA384" s="1305"/>
      <c r="BC384" s="169"/>
    </row>
    <row r="385" spans="19:55" ht="15.75" customHeight="1">
      <c r="S385" s="454"/>
      <c r="AN385" s="458"/>
      <c r="BA385" s="1305"/>
      <c r="BC385" s="169"/>
    </row>
    <row r="386" spans="19:55" ht="15.75" customHeight="1">
      <c r="S386" s="454"/>
      <c r="AN386" s="458"/>
      <c r="BA386" s="1305"/>
      <c r="BC386" s="169"/>
    </row>
    <row r="387" spans="19:55" ht="15.75" customHeight="1">
      <c r="S387" s="454"/>
      <c r="AN387" s="458"/>
      <c r="BA387" s="1305"/>
      <c r="BC387" s="169"/>
    </row>
    <row r="388" spans="19:55" ht="15.75" customHeight="1">
      <c r="S388" s="454"/>
      <c r="AN388" s="458"/>
      <c r="BA388" s="1305"/>
      <c r="BC388" s="169"/>
    </row>
    <row r="389" spans="19:55" ht="15.75" customHeight="1">
      <c r="S389" s="454"/>
      <c r="AN389" s="458"/>
      <c r="BA389" s="1305"/>
      <c r="BC389" s="169"/>
    </row>
    <row r="390" spans="19:55" ht="15.75" customHeight="1">
      <c r="S390" s="454"/>
      <c r="AN390" s="458"/>
      <c r="BA390" s="1305"/>
      <c r="BC390" s="169"/>
    </row>
    <row r="391" spans="19:55" ht="15.75" customHeight="1">
      <c r="S391" s="454"/>
      <c r="AN391" s="458"/>
      <c r="BA391" s="1305"/>
      <c r="BC391" s="169"/>
    </row>
    <row r="392" spans="19:55" ht="15.75" customHeight="1">
      <c r="S392" s="454"/>
      <c r="AN392" s="458"/>
      <c r="BA392" s="1305"/>
      <c r="BC392" s="169"/>
    </row>
    <row r="393" spans="19:55" ht="15.75" customHeight="1">
      <c r="S393" s="454"/>
      <c r="AN393" s="458"/>
      <c r="BA393" s="1305"/>
      <c r="BC393" s="169"/>
    </row>
    <row r="394" spans="19:55" ht="15.75" customHeight="1">
      <c r="S394" s="454"/>
      <c r="AN394" s="458"/>
      <c r="BA394" s="1305"/>
      <c r="BC394" s="169"/>
    </row>
    <row r="395" spans="19:55" ht="15.75" customHeight="1">
      <c r="S395" s="454"/>
      <c r="AN395" s="458"/>
      <c r="BA395" s="1305"/>
      <c r="BC395" s="169"/>
    </row>
    <row r="396" spans="19:55" ht="15.75" customHeight="1">
      <c r="S396" s="454"/>
      <c r="AN396" s="458"/>
      <c r="BA396" s="1305"/>
      <c r="BC396" s="169"/>
    </row>
    <row r="397" spans="19:55" ht="15.75" customHeight="1">
      <c r="S397" s="454"/>
      <c r="AN397" s="458"/>
      <c r="BA397" s="1305"/>
      <c r="BC397" s="169"/>
    </row>
    <row r="398" spans="19:55" ht="15.75" customHeight="1">
      <c r="S398" s="454"/>
      <c r="AN398" s="458"/>
      <c r="BA398" s="1305"/>
      <c r="BC398" s="169"/>
    </row>
    <row r="399" spans="19:55" ht="15.75" customHeight="1">
      <c r="S399" s="454"/>
      <c r="AN399" s="458"/>
      <c r="BA399" s="1305"/>
      <c r="BC399" s="169"/>
    </row>
    <row r="400" spans="19:55" ht="15.75" customHeight="1">
      <c r="S400" s="454"/>
      <c r="AN400" s="458"/>
      <c r="BA400" s="1305"/>
      <c r="BC400" s="169"/>
    </row>
    <row r="401" spans="19:55" ht="15.75" customHeight="1">
      <c r="S401" s="454"/>
      <c r="AN401" s="458"/>
      <c r="BA401" s="1305"/>
      <c r="BC401" s="169"/>
    </row>
    <row r="402" spans="19:55" ht="15.75" customHeight="1">
      <c r="S402" s="454"/>
      <c r="AN402" s="458"/>
      <c r="BA402" s="1305"/>
      <c r="BC402" s="169"/>
    </row>
    <row r="403" spans="19:55" ht="15.75" customHeight="1">
      <c r="S403" s="454"/>
      <c r="AN403" s="458"/>
      <c r="BA403" s="1305"/>
      <c r="BC403" s="169"/>
    </row>
    <row r="404" spans="19:55" ht="15.75" customHeight="1">
      <c r="S404" s="454"/>
      <c r="AN404" s="458"/>
      <c r="BA404" s="1305"/>
      <c r="BC404" s="169"/>
    </row>
    <row r="405" spans="19:55" ht="15.75" customHeight="1">
      <c r="S405" s="454"/>
      <c r="AN405" s="458"/>
      <c r="BA405" s="1305"/>
      <c r="BC405" s="169"/>
    </row>
    <row r="406" spans="19:55" ht="15.75" customHeight="1">
      <c r="S406" s="454"/>
      <c r="AN406" s="458"/>
      <c r="BA406" s="1305"/>
      <c r="BC406" s="169"/>
    </row>
    <row r="407" spans="19:55" ht="15.75" customHeight="1">
      <c r="S407" s="454"/>
      <c r="AN407" s="458"/>
      <c r="BA407" s="1305"/>
      <c r="BC407" s="169"/>
    </row>
    <row r="408" spans="19:55" ht="15.75" customHeight="1">
      <c r="S408" s="454"/>
      <c r="AN408" s="458"/>
      <c r="BA408" s="1305"/>
      <c r="BC408" s="169"/>
    </row>
    <row r="409" spans="19:55" ht="15.75" customHeight="1">
      <c r="S409" s="454"/>
      <c r="AN409" s="458"/>
      <c r="BA409" s="1305"/>
      <c r="BC409" s="169"/>
    </row>
    <row r="410" spans="19:55" ht="15.75" customHeight="1">
      <c r="S410" s="454"/>
      <c r="AN410" s="458"/>
      <c r="BA410" s="1305"/>
      <c r="BC410" s="169"/>
    </row>
    <row r="411" spans="19:55" ht="15.75" customHeight="1">
      <c r="S411" s="454"/>
      <c r="AN411" s="458"/>
      <c r="BA411" s="1305"/>
      <c r="BC411" s="169"/>
    </row>
    <row r="412" spans="19:55" ht="15.75" customHeight="1">
      <c r="S412" s="454"/>
      <c r="AN412" s="458"/>
      <c r="BA412" s="1305"/>
      <c r="BC412" s="169"/>
    </row>
    <row r="413" spans="19:55" ht="15.75" customHeight="1">
      <c r="S413" s="454"/>
      <c r="AN413" s="458"/>
      <c r="BA413" s="1305"/>
      <c r="BC413" s="169"/>
    </row>
    <row r="414" spans="19:55" ht="15.75" customHeight="1">
      <c r="S414" s="454"/>
      <c r="AN414" s="458"/>
      <c r="BA414" s="1305"/>
      <c r="BC414" s="169"/>
    </row>
    <row r="415" spans="19:55" ht="15.75" customHeight="1">
      <c r="S415" s="454"/>
      <c r="AN415" s="458"/>
      <c r="BA415" s="1305"/>
      <c r="BC415" s="169"/>
    </row>
    <row r="416" spans="19:55" ht="15.75" customHeight="1">
      <c r="S416" s="454"/>
      <c r="AN416" s="458"/>
      <c r="BA416" s="1305"/>
      <c r="BC416" s="169"/>
    </row>
    <row r="417" spans="19:55" ht="15.75" customHeight="1">
      <c r="S417" s="454"/>
      <c r="AN417" s="458"/>
      <c r="BA417" s="1305"/>
      <c r="BC417" s="169"/>
    </row>
    <row r="418" spans="19:55" ht="15.75" customHeight="1">
      <c r="S418" s="454"/>
      <c r="AN418" s="458"/>
      <c r="BA418" s="1305"/>
      <c r="BC418" s="169"/>
    </row>
    <row r="419" spans="19:55" ht="15.75" customHeight="1">
      <c r="S419" s="454"/>
      <c r="AN419" s="458"/>
      <c r="BA419" s="1305"/>
      <c r="BC419" s="169"/>
    </row>
    <row r="420" spans="19:55" ht="15.75" customHeight="1">
      <c r="S420" s="454"/>
      <c r="AN420" s="458"/>
      <c r="BA420" s="1305"/>
      <c r="BC420" s="169"/>
    </row>
    <row r="421" spans="19:55" ht="15.75" customHeight="1">
      <c r="S421" s="454"/>
      <c r="AN421" s="458"/>
      <c r="BA421" s="1305"/>
      <c r="BC421" s="169"/>
    </row>
    <row r="422" spans="19:55" ht="15.75" customHeight="1">
      <c r="S422" s="454"/>
      <c r="AN422" s="458"/>
      <c r="BA422" s="1305"/>
      <c r="BC422" s="169"/>
    </row>
    <row r="423" spans="19:55" ht="15.75" customHeight="1">
      <c r="S423" s="454"/>
      <c r="AN423" s="458"/>
      <c r="BA423" s="1305"/>
      <c r="BC423" s="169"/>
    </row>
    <row r="424" spans="19:55" ht="15.75" customHeight="1">
      <c r="S424" s="454"/>
      <c r="AN424" s="458"/>
      <c r="BA424" s="1305"/>
      <c r="BC424" s="169"/>
    </row>
    <row r="425" spans="19:55" ht="15.75" customHeight="1">
      <c r="S425" s="454"/>
      <c r="AN425" s="458"/>
      <c r="BA425" s="1305"/>
      <c r="BC425" s="169"/>
    </row>
    <row r="426" spans="19:55" ht="15.75" customHeight="1">
      <c r="S426" s="454"/>
      <c r="AN426" s="458"/>
      <c r="BA426" s="1305"/>
      <c r="BC426" s="169"/>
    </row>
    <row r="427" spans="19:55" ht="15.75" customHeight="1">
      <c r="S427" s="454"/>
      <c r="AN427" s="458"/>
      <c r="BA427" s="1305"/>
      <c r="BC427" s="169"/>
    </row>
    <row r="428" spans="19:55" ht="15.75" customHeight="1">
      <c r="S428" s="454"/>
      <c r="AN428" s="458"/>
      <c r="BA428" s="1305"/>
      <c r="BC428" s="169"/>
    </row>
    <row r="429" spans="19:55" ht="15.75" customHeight="1">
      <c r="S429" s="454"/>
      <c r="AN429" s="458"/>
      <c r="BA429" s="1305"/>
      <c r="BC429" s="169"/>
    </row>
    <row r="430" spans="19:55" ht="15.75" customHeight="1">
      <c r="S430" s="454"/>
      <c r="AN430" s="458"/>
      <c r="BA430" s="1305"/>
      <c r="BC430" s="169"/>
    </row>
    <row r="431" spans="19:55" ht="15.75" customHeight="1">
      <c r="S431" s="454"/>
      <c r="AN431" s="458"/>
      <c r="BA431" s="1305"/>
      <c r="BC431" s="169"/>
    </row>
    <row r="432" spans="19:55" ht="15.75" customHeight="1">
      <c r="S432" s="454"/>
      <c r="AN432" s="458"/>
      <c r="BA432" s="1305"/>
      <c r="BC432" s="169"/>
    </row>
    <row r="433" spans="19:55" ht="15.75" customHeight="1">
      <c r="S433" s="454"/>
      <c r="AN433" s="458"/>
      <c r="BA433" s="1305"/>
      <c r="BC433" s="169"/>
    </row>
    <row r="434" spans="19:55" ht="15.75" customHeight="1">
      <c r="S434" s="454"/>
      <c r="AN434" s="458"/>
      <c r="BA434" s="1305"/>
      <c r="BC434" s="169"/>
    </row>
    <row r="435" spans="19:55" ht="15.75" customHeight="1">
      <c r="S435" s="454"/>
      <c r="AN435" s="458"/>
      <c r="BA435" s="1305"/>
      <c r="BC435" s="169"/>
    </row>
    <row r="436" spans="19:55" ht="15.75" customHeight="1">
      <c r="S436" s="454"/>
      <c r="AN436" s="458"/>
      <c r="BA436" s="1305"/>
      <c r="BC436" s="169"/>
    </row>
    <row r="437" spans="19:55" ht="15.75" customHeight="1">
      <c r="S437" s="454"/>
      <c r="AN437" s="458"/>
      <c r="BA437" s="1305"/>
      <c r="BC437" s="169"/>
    </row>
    <row r="438" spans="19:55" ht="15.75" customHeight="1">
      <c r="S438" s="454"/>
      <c r="AN438" s="458"/>
      <c r="BA438" s="1305"/>
      <c r="BC438" s="169"/>
    </row>
    <row r="439" spans="19:55" ht="15.75" customHeight="1">
      <c r="S439" s="454"/>
      <c r="AN439" s="458"/>
      <c r="BA439" s="1305"/>
      <c r="BC439" s="169"/>
    </row>
    <row r="440" spans="19:55" ht="15.75" customHeight="1">
      <c r="S440" s="454"/>
      <c r="AN440" s="458"/>
      <c r="BA440" s="1305"/>
      <c r="BC440" s="169"/>
    </row>
    <row r="441" spans="19:55" ht="15.75" customHeight="1">
      <c r="S441" s="454"/>
      <c r="AN441" s="458"/>
      <c r="BA441" s="1305"/>
      <c r="BC441" s="169"/>
    </row>
    <row r="442" spans="19:55" ht="15.75" customHeight="1">
      <c r="S442" s="454"/>
      <c r="AN442" s="458"/>
      <c r="BA442" s="1305"/>
      <c r="BC442" s="169"/>
    </row>
    <row r="443" spans="19:55" ht="15.75" customHeight="1">
      <c r="S443" s="454"/>
      <c r="AN443" s="458"/>
      <c r="BA443" s="1305"/>
      <c r="BC443" s="169"/>
    </row>
    <row r="444" spans="19:55" ht="15.75" customHeight="1">
      <c r="S444" s="454"/>
      <c r="AN444" s="458"/>
      <c r="BA444" s="1305"/>
      <c r="BC444" s="169"/>
    </row>
    <row r="445" spans="19:55" ht="15.75" customHeight="1">
      <c r="S445" s="454"/>
      <c r="AN445" s="458"/>
      <c r="BA445" s="1305"/>
      <c r="BC445" s="169"/>
    </row>
    <row r="446" spans="19:55" ht="15.75" customHeight="1">
      <c r="S446" s="454"/>
      <c r="AN446" s="458"/>
      <c r="BA446" s="1305"/>
      <c r="BC446" s="169"/>
    </row>
    <row r="447" spans="19:55" ht="15.75" customHeight="1">
      <c r="S447" s="454"/>
      <c r="AN447" s="458"/>
      <c r="BA447" s="1305"/>
      <c r="BC447" s="169"/>
    </row>
    <row r="448" spans="19:55" ht="15.75" customHeight="1">
      <c r="S448" s="454"/>
      <c r="AN448" s="458"/>
      <c r="BA448" s="1305"/>
      <c r="BC448" s="169"/>
    </row>
    <row r="449" spans="19:55" ht="15.75" customHeight="1">
      <c r="S449" s="454"/>
      <c r="AN449" s="458"/>
      <c r="BA449" s="1305"/>
      <c r="BC449" s="169"/>
    </row>
    <row r="450" spans="19:55" ht="15.75" customHeight="1">
      <c r="S450" s="454"/>
      <c r="AN450" s="458"/>
      <c r="BA450" s="1305"/>
      <c r="BC450" s="169"/>
    </row>
    <row r="451" spans="19:55" ht="15.75" customHeight="1">
      <c r="S451" s="454"/>
      <c r="AN451" s="458"/>
      <c r="BA451" s="1305"/>
      <c r="BC451" s="169"/>
    </row>
    <row r="452" spans="19:55" ht="15.75" customHeight="1">
      <c r="S452" s="454"/>
      <c r="AN452" s="458"/>
      <c r="BA452" s="1305"/>
      <c r="BC452" s="169"/>
    </row>
    <row r="453" spans="19:55" ht="15.75" customHeight="1">
      <c r="S453" s="454"/>
      <c r="AN453" s="458"/>
      <c r="BA453" s="1305"/>
      <c r="BC453" s="169"/>
    </row>
    <row r="454" spans="19:55" ht="15.75" customHeight="1">
      <c r="S454" s="454"/>
      <c r="AN454" s="458"/>
      <c r="BA454" s="1305"/>
      <c r="BC454" s="169"/>
    </row>
    <row r="455" spans="19:55" ht="15.75" customHeight="1">
      <c r="S455" s="454"/>
      <c r="AN455" s="458"/>
      <c r="BA455" s="1305"/>
      <c r="BC455" s="169"/>
    </row>
    <row r="456" spans="19:55" ht="15.75" customHeight="1">
      <c r="S456" s="454"/>
      <c r="AN456" s="458"/>
      <c r="BA456" s="1305"/>
      <c r="BC456" s="169"/>
    </row>
    <row r="457" spans="19:55" ht="15.75" customHeight="1">
      <c r="S457" s="454"/>
      <c r="AN457" s="458"/>
      <c r="BA457" s="1305"/>
      <c r="BC457" s="169"/>
    </row>
    <row r="458" spans="19:55" ht="15.75" customHeight="1">
      <c r="S458" s="454"/>
      <c r="AN458" s="458"/>
      <c r="BA458" s="1305"/>
      <c r="BC458" s="169"/>
    </row>
    <row r="459" spans="19:55" ht="15.75" customHeight="1">
      <c r="S459" s="454"/>
      <c r="AN459" s="458"/>
      <c r="BA459" s="1305"/>
      <c r="BC459" s="169"/>
    </row>
    <row r="460" spans="19:55" ht="15.75" customHeight="1">
      <c r="S460" s="454"/>
      <c r="AN460" s="458"/>
      <c r="BA460" s="1305"/>
      <c r="BC460" s="169"/>
    </row>
    <row r="461" spans="19:55" ht="15.75" customHeight="1">
      <c r="S461" s="454"/>
      <c r="AN461" s="458"/>
      <c r="BA461" s="1305"/>
      <c r="BC461" s="169"/>
    </row>
    <row r="462" spans="19:55" ht="15.75" customHeight="1">
      <c r="S462" s="454"/>
      <c r="AN462" s="458"/>
      <c r="BA462" s="1305"/>
      <c r="BC462" s="169"/>
    </row>
    <row r="463" spans="19:55" ht="15.75" customHeight="1">
      <c r="S463" s="454"/>
      <c r="AN463" s="458"/>
      <c r="BA463" s="1305"/>
      <c r="BC463" s="169"/>
    </row>
    <row r="464" spans="19:55" ht="15.75" customHeight="1">
      <c r="S464" s="454"/>
      <c r="AN464" s="458"/>
      <c r="BA464" s="1305"/>
      <c r="BC464" s="169"/>
    </row>
    <row r="465" spans="19:55" ht="15.75" customHeight="1">
      <c r="S465" s="454"/>
      <c r="AN465" s="458"/>
      <c r="BA465" s="1305"/>
      <c r="BC465" s="169"/>
    </row>
    <row r="466" spans="19:55" ht="15.75" customHeight="1">
      <c r="S466" s="454"/>
      <c r="AN466" s="458"/>
      <c r="BA466" s="1305"/>
      <c r="BC466" s="169"/>
    </row>
    <row r="467" spans="19:55" ht="15.75" customHeight="1">
      <c r="S467" s="454"/>
      <c r="AN467" s="458"/>
      <c r="BA467" s="1305"/>
      <c r="BC467" s="169"/>
    </row>
    <row r="468" spans="19:55" ht="15.75" customHeight="1">
      <c r="S468" s="454"/>
      <c r="AN468" s="458"/>
      <c r="BA468" s="1305"/>
      <c r="BC468" s="169"/>
    </row>
    <row r="469" spans="19:55" ht="15.75" customHeight="1">
      <c r="S469" s="454"/>
      <c r="AN469" s="458"/>
      <c r="BA469" s="1305"/>
      <c r="BC469" s="169"/>
    </row>
    <row r="470" spans="19:55" ht="15.75" customHeight="1">
      <c r="S470" s="454"/>
      <c r="AN470" s="458"/>
      <c r="BA470" s="1305"/>
      <c r="BC470" s="169"/>
    </row>
    <row r="471" spans="19:55" ht="15.75" customHeight="1">
      <c r="S471" s="454"/>
      <c r="AN471" s="458"/>
      <c r="BA471" s="1305"/>
      <c r="BC471" s="169"/>
    </row>
    <row r="472" spans="19:55" ht="15.75" customHeight="1">
      <c r="S472" s="454"/>
      <c r="AN472" s="458"/>
      <c r="BA472" s="1305"/>
      <c r="BC472" s="169"/>
    </row>
    <row r="473" spans="19:55" ht="15.75" customHeight="1">
      <c r="S473" s="454"/>
      <c r="AN473" s="458"/>
      <c r="BA473" s="1305"/>
      <c r="BC473" s="169"/>
    </row>
    <row r="474" spans="19:55" ht="15.75" customHeight="1">
      <c r="S474" s="454"/>
      <c r="AN474" s="458"/>
      <c r="BA474" s="1305"/>
      <c r="BC474" s="169"/>
    </row>
    <row r="475" spans="19:55" ht="15.75" customHeight="1">
      <c r="S475" s="454"/>
      <c r="AN475" s="458"/>
      <c r="BA475" s="1305"/>
      <c r="BC475" s="169"/>
    </row>
    <row r="476" spans="19:55" ht="15.75" customHeight="1">
      <c r="S476" s="454"/>
      <c r="AN476" s="458"/>
      <c r="BA476" s="1305"/>
      <c r="BC476" s="169"/>
    </row>
    <row r="477" spans="19:55" ht="15.75" customHeight="1">
      <c r="S477" s="454"/>
      <c r="AN477" s="458"/>
      <c r="BA477" s="1305"/>
      <c r="BC477" s="169"/>
    </row>
    <row r="478" spans="19:55" ht="15.75" customHeight="1">
      <c r="S478" s="454"/>
      <c r="AN478" s="458"/>
      <c r="BA478" s="1305"/>
      <c r="BC478" s="169"/>
    </row>
    <row r="479" spans="19:55" ht="15.75" customHeight="1">
      <c r="S479" s="454"/>
      <c r="AN479" s="458"/>
      <c r="BA479" s="1305"/>
      <c r="BC479" s="169"/>
    </row>
    <row r="480" spans="19:55" ht="15.75" customHeight="1">
      <c r="S480" s="454"/>
      <c r="AN480" s="458"/>
      <c r="BA480" s="1305"/>
      <c r="BC480" s="169"/>
    </row>
    <row r="481" spans="19:55" ht="15.75" customHeight="1">
      <c r="S481" s="454"/>
      <c r="AN481" s="458"/>
      <c r="BA481" s="1305"/>
      <c r="BC481" s="169"/>
    </row>
    <row r="482" spans="19:55" ht="15.75" customHeight="1">
      <c r="S482" s="454"/>
      <c r="AN482" s="458"/>
      <c r="BA482" s="1305"/>
      <c r="BC482" s="169"/>
    </row>
    <row r="483" spans="19:55" ht="15.75" customHeight="1">
      <c r="S483" s="454"/>
      <c r="AN483" s="458"/>
      <c r="BA483" s="1305"/>
      <c r="BC483" s="169"/>
    </row>
    <row r="484" spans="19:55" ht="15.75" customHeight="1">
      <c r="S484" s="454"/>
      <c r="AN484" s="458"/>
      <c r="BA484" s="1305"/>
      <c r="BC484" s="169"/>
    </row>
    <row r="485" spans="19:55" ht="15.75" customHeight="1">
      <c r="S485" s="454"/>
      <c r="AN485" s="458"/>
      <c r="BA485" s="1305"/>
      <c r="BC485" s="169"/>
    </row>
    <row r="486" spans="19:55" ht="15.75" customHeight="1">
      <c r="S486" s="454"/>
      <c r="AN486" s="458"/>
      <c r="BA486" s="1305"/>
      <c r="BC486" s="169"/>
    </row>
    <row r="487" spans="19:55" ht="15.75" customHeight="1">
      <c r="S487" s="454"/>
      <c r="AN487" s="458"/>
      <c r="BA487" s="1305"/>
      <c r="BC487" s="169"/>
    </row>
    <row r="488" spans="19:55" ht="15.75" customHeight="1">
      <c r="S488" s="454"/>
      <c r="AN488" s="458"/>
      <c r="BA488" s="1305"/>
      <c r="BC488" s="169"/>
    </row>
    <row r="489" spans="19:55" ht="15.75" customHeight="1">
      <c r="S489" s="454"/>
      <c r="AN489" s="458"/>
      <c r="BA489" s="1305"/>
      <c r="BC489" s="169"/>
    </row>
    <row r="490" spans="19:55" ht="15.75" customHeight="1">
      <c r="S490" s="454"/>
      <c r="AN490" s="458"/>
      <c r="BA490" s="1305"/>
      <c r="BC490" s="169"/>
    </row>
    <row r="491" spans="19:55" ht="15.75" customHeight="1">
      <c r="S491" s="454"/>
      <c r="AN491" s="458"/>
      <c r="BA491" s="1305"/>
      <c r="BC491" s="169"/>
    </row>
    <row r="492" spans="19:55" ht="15.75" customHeight="1">
      <c r="S492" s="454"/>
      <c r="AN492" s="458"/>
      <c r="BA492" s="1305"/>
      <c r="BC492" s="169"/>
    </row>
    <row r="493" spans="19:55" ht="15.75" customHeight="1">
      <c r="S493" s="454"/>
      <c r="AN493" s="458"/>
      <c r="BA493" s="1305"/>
      <c r="BC493" s="169"/>
    </row>
    <row r="494" spans="19:55" ht="15.75" customHeight="1">
      <c r="S494" s="454"/>
      <c r="AN494" s="458"/>
      <c r="BA494" s="1305"/>
      <c r="BC494" s="169"/>
    </row>
    <row r="495" spans="19:55" ht="15.75" customHeight="1">
      <c r="S495" s="454"/>
      <c r="AN495" s="458"/>
      <c r="BA495" s="1305"/>
      <c r="BC495" s="169"/>
    </row>
    <row r="496" spans="19:55" ht="15.75" customHeight="1">
      <c r="S496" s="454"/>
      <c r="AN496" s="458"/>
      <c r="BA496" s="1305"/>
      <c r="BC496" s="169"/>
    </row>
    <row r="497" spans="19:55" ht="15.75" customHeight="1">
      <c r="S497" s="454"/>
      <c r="AN497" s="458"/>
      <c r="BA497" s="1305"/>
      <c r="BC497" s="169"/>
    </row>
    <row r="498" spans="19:55" ht="15.75" customHeight="1">
      <c r="S498" s="454"/>
      <c r="AN498" s="458"/>
      <c r="BA498" s="1305"/>
      <c r="BC498" s="169"/>
    </row>
    <row r="499" spans="19:55" ht="15.75" customHeight="1">
      <c r="S499" s="454"/>
      <c r="AN499" s="458"/>
      <c r="BA499" s="1305"/>
      <c r="BC499" s="169"/>
    </row>
    <row r="500" spans="19:55" ht="15.75" customHeight="1">
      <c r="S500" s="454"/>
      <c r="AN500" s="458"/>
      <c r="BA500" s="1305"/>
      <c r="BC500" s="169"/>
    </row>
    <row r="501" spans="19:55" ht="15.75" customHeight="1">
      <c r="S501" s="454"/>
      <c r="AN501" s="458"/>
      <c r="BA501" s="1305"/>
      <c r="BC501" s="169"/>
    </row>
    <row r="502" spans="19:55" ht="15.75" customHeight="1">
      <c r="S502" s="454"/>
      <c r="AN502" s="458"/>
      <c r="BA502" s="1305"/>
      <c r="BC502" s="169"/>
    </row>
    <row r="503" spans="19:55" ht="15.75" customHeight="1">
      <c r="S503" s="454"/>
      <c r="AN503" s="458"/>
      <c r="BA503" s="1305"/>
      <c r="BC503" s="169"/>
    </row>
    <row r="504" spans="19:55" ht="15.75" customHeight="1">
      <c r="S504" s="454"/>
      <c r="AN504" s="458"/>
      <c r="BA504" s="1305"/>
      <c r="BC504" s="169"/>
    </row>
    <row r="505" spans="19:55" ht="15.75" customHeight="1">
      <c r="S505" s="454"/>
      <c r="AN505" s="458"/>
      <c r="BA505" s="1305"/>
      <c r="BC505" s="169"/>
    </row>
    <row r="506" spans="19:55" ht="15.75" customHeight="1">
      <c r="S506" s="454"/>
      <c r="AN506" s="458"/>
      <c r="BA506" s="1305"/>
      <c r="BC506" s="169"/>
    </row>
    <row r="507" spans="19:55" ht="15.75" customHeight="1">
      <c r="S507" s="454"/>
      <c r="AN507" s="458"/>
      <c r="BA507" s="1305"/>
      <c r="BC507" s="169"/>
    </row>
    <row r="508" spans="19:55" ht="15.75" customHeight="1">
      <c r="S508" s="454"/>
      <c r="AN508" s="458"/>
      <c r="BA508" s="1305"/>
      <c r="BC508" s="169"/>
    </row>
    <row r="509" spans="19:55" ht="15.75" customHeight="1">
      <c r="S509" s="454"/>
      <c r="AN509" s="458"/>
      <c r="BA509" s="1305"/>
      <c r="BC509" s="169"/>
    </row>
    <row r="510" spans="19:55" ht="15.75" customHeight="1">
      <c r="S510" s="454"/>
      <c r="AN510" s="458"/>
      <c r="BA510" s="1305"/>
      <c r="BC510" s="169"/>
    </row>
    <row r="511" spans="19:55" ht="15.75" customHeight="1">
      <c r="S511" s="454"/>
      <c r="AN511" s="458"/>
      <c r="BA511" s="1305"/>
      <c r="BC511" s="169"/>
    </row>
    <row r="512" spans="19:55" ht="15.75" customHeight="1">
      <c r="S512" s="454"/>
      <c r="AN512" s="458"/>
      <c r="BA512" s="1305"/>
      <c r="BC512" s="169"/>
    </row>
    <row r="513" spans="19:55" ht="15.75" customHeight="1">
      <c r="S513" s="454"/>
      <c r="AN513" s="458"/>
      <c r="BA513" s="1305"/>
      <c r="BC513" s="169"/>
    </row>
    <row r="514" spans="19:55" ht="15.75" customHeight="1">
      <c r="S514" s="454"/>
      <c r="AN514" s="458"/>
      <c r="BA514" s="1305"/>
      <c r="BC514" s="169"/>
    </row>
    <row r="515" spans="19:55" ht="15.75" customHeight="1">
      <c r="S515" s="454"/>
      <c r="AN515" s="458"/>
      <c r="BA515" s="1305"/>
      <c r="BC515" s="169"/>
    </row>
    <row r="516" spans="19:55" ht="15.75" customHeight="1">
      <c r="S516" s="454"/>
      <c r="AN516" s="458"/>
      <c r="BA516" s="1305"/>
      <c r="BC516" s="169"/>
    </row>
    <row r="517" spans="19:55" ht="15.75" customHeight="1">
      <c r="S517" s="454"/>
      <c r="AN517" s="458"/>
      <c r="BA517" s="1305"/>
      <c r="BC517" s="169"/>
    </row>
    <row r="518" spans="19:55" ht="15.75" customHeight="1">
      <c r="S518" s="454"/>
      <c r="AN518" s="458"/>
      <c r="BA518" s="1305"/>
      <c r="BC518" s="169"/>
    </row>
    <row r="519" spans="19:55" ht="15.75" customHeight="1">
      <c r="S519" s="454"/>
      <c r="AN519" s="458"/>
      <c r="BA519" s="1305"/>
      <c r="BC519" s="169"/>
    </row>
    <row r="520" spans="19:55" ht="15.75" customHeight="1">
      <c r="S520" s="454"/>
      <c r="AN520" s="458"/>
      <c r="BA520" s="1305"/>
      <c r="BC520" s="169"/>
    </row>
    <row r="521" spans="19:55" ht="15.75" customHeight="1">
      <c r="S521" s="454"/>
      <c r="AN521" s="458"/>
      <c r="BA521" s="1305"/>
      <c r="BC521" s="169"/>
    </row>
    <row r="522" spans="19:55" ht="15.75" customHeight="1">
      <c r="S522" s="454"/>
      <c r="AN522" s="458"/>
      <c r="BA522" s="1305"/>
      <c r="BC522" s="169"/>
    </row>
    <row r="523" spans="19:55" ht="15.75" customHeight="1">
      <c r="S523" s="454"/>
      <c r="AN523" s="458"/>
      <c r="BA523" s="1305"/>
      <c r="BC523" s="169"/>
    </row>
    <row r="524" spans="19:55" ht="15.75" customHeight="1">
      <c r="S524" s="454"/>
      <c r="AN524" s="458"/>
      <c r="BA524" s="1305"/>
      <c r="BC524" s="169"/>
    </row>
    <row r="525" spans="19:55" ht="15.75" customHeight="1">
      <c r="S525" s="454"/>
      <c r="AN525" s="458"/>
      <c r="BA525" s="1305"/>
      <c r="BC525" s="169"/>
    </row>
    <row r="526" spans="19:55" ht="15.75" customHeight="1">
      <c r="S526" s="454"/>
      <c r="AN526" s="458"/>
      <c r="BA526" s="1305"/>
      <c r="BC526" s="169"/>
    </row>
    <row r="527" spans="19:55" ht="15.75" customHeight="1">
      <c r="S527" s="454"/>
      <c r="AN527" s="458"/>
      <c r="BA527" s="1305"/>
      <c r="BC527" s="169"/>
    </row>
    <row r="528" spans="19:55" ht="15.75" customHeight="1">
      <c r="S528" s="454"/>
      <c r="AN528" s="458"/>
      <c r="BA528" s="1305"/>
      <c r="BC528" s="169"/>
    </row>
    <row r="529" spans="19:55" ht="15.75" customHeight="1">
      <c r="S529" s="454"/>
      <c r="AN529" s="458"/>
      <c r="BA529" s="1305"/>
      <c r="BC529" s="169"/>
    </row>
    <row r="530" spans="19:55" ht="15.75" customHeight="1">
      <c r="S530" s="454"/>
      <c r="AN530" s="458"/>
      <c r="BA530" s="1305"/>
      <c r="BC530" s="169"/>
    </row>
    <row r="531" spans="19:55" ht="15.75" customHeight="1">
      <c r="S531" s="454"/>
      <c r="AN531" s="458"/>
      <c r="BA531" s="1305"/>
      <c r="BC531" s="169"/>
    </row>
    <row r="532" spans="19:55" ht="15.75" customHeight="1">
      <c r="S532" s="454"/>
      <c r="AN532" s="458"/>
      <c r="BA532" s="1305"/>
      <c r="BC532" s="169"/>
    </row>
    <row r="533" spans="19:55" ht="15.75" customHeight="1">
      <c r="S533" s="454"/>
      <c r="AN533" s="458"/>
      <c r="BA533" s="1305"/>
      <c r="BC533" s="169"/>
    </row>
    <row r="534" spans="19:55" ht="15.75" customHeight="1">
      <c r="S534" s="454"/>
      <c r="AN534" s="458"/>
      <c r="BA534" s="1305"/>
      <c r="BC534" s="169"/>
    </row>
    <row r="535" spans="19:55" ht="15.75" customHeight="1">
      <c r="S535" s="454"/>
      <c r="AN535" s="458"/>
      <c r="BA535" s="1305"/>
      <c r="BC535" s="169"/>
    </row>
    <row r="536" spans="19:55" ht="15.75" customHeight="1">
      <c r="S536" s="454"/>
      <c r="AN536" s="458"/>
      <c r="BA536" s="1305"/>
      <c r="BC536" s="169"/>
    </row>
    <row r="537" spans="19:55" ht="15.75" customHeight="1">
      <c r="S537" s="454"/>
      <c r="AN537" s="458"/>
      <c r="BA537" s="1305"/>
      <c r="BC537" s="169"/>
    </row>
    <row r="538" spans="19:55" ht="15.75" customHeight="1">
      <c r="S538" s="454"/>
      <c r="AN538" s="458"/>
      <c r="BA538" s="1305"/>
      <c r="BC538" s="169"/>
    </row>
    <row r="539" spans="19:55" ht="15.75" customHeight="1">
      <c r="S539" s="454"/>
      <c r="AN539" s="458"/>
      <c r="BA539" s="1305"/>
      <c r="BC539" s="169"/>
    </row>
    <row r="540" spans="19:55" ht="15.75" customHeight="1">
      <c r="S540" s="454"/>
      <c r="AN540" s="458"/>
      <c r="BA540" s="1305"/>
      <c r="BC540" s="169"/>
    </row>
    <row r="541" spans="19:55" ht="15.75" customHeight="1">
      <c r="S541" s="454"/>
      <c r="AN541" s="458"/>
      <c r="BA541" s="1305"/>
      <c r="BC541" s="169"/>
    </row>
    <row r="542" spans="19:55" ht="15.75" customHeight="1">
      <c r="S542" s="454"/>
      <c r="AN542" s="458"/>
      <c r="BA542" s="1305"/>
      <c r="BC542" s="169"/>
    </row>
    <row r="543" spans="19:55" ht="15.75" customHeight="1">
      <c r="S543" s="454"/>
      <c r="AN543" s="458"/>
      <c r="BA543" s="1305"/>
      <c r="BC543" s="169"/>
    </row>
    <row r="544" spans="19:55" ht="15.75" customHeight="1">
      <c r="S544" s="454"/>
      <c r="AN544" s="458"/>
      <c r="BA544" s="1305"/>
      <c r="BC544" s="169"/>
    </row>
    <row r="545" spans="19:55" ht="15.75" customHeight="1">
      <c r="S545" s="454"/>
      <c r="AN545" s="458"/>
      <c r="BA545" s="1305"/>
      <c r="BC545" s="169"/>
    </row>
    <row r="546" spans="19:55" ht="15.75" customHeight="1">
      <c r="S546" s="454"/>
      <c r="AN546" s="458"/>
      <c r="BA546" s="1305"/>
      <c r="BC546" s="169"/>
    </row>
    <row r="547" spans="19:55" ht="15.75" customHeight="1">
      <c r="S547" s="454"/>
      <c r="AN547" s="458"/>
      <c r="BA547" s="1305"/>
      <c r="BC547" s="169"/>
    </row>
    <row r="548" spans="19:55" ht="15.75" customHeight="1">
      <c r="S548" s="454"/>
      <c r="AN548" s="458"/>
      <c r="BA548" s="1305"/>
      <c r="BC548" s="169"/>
    </row>
    <row r="549" spans="19:55" ht="15.75" customHeight="1">
      <c r="S549" s="454"/>
      <c r="AN549" s="458"/>
      <c r="BA549" s="1305"/>
      <c r="BC549" s="169"/>
    </row>
    <row r="550" spans="19:55" ht="15.75" customHeight="1">
      <c r="S550" s="454"/>
      <c r="AN550" s="458"/>
      <c r="BA550" s="1305"/>
      <c r="BC550" s="169"/>
    </row>
    <row r="551" spans="19:55" ht="15.75" customHeight="1">
      <c r="S551" s="454"/>
      <c r="AN551" s="458"/>
      <c r="BA551" s="1305"/>
      <c r="BC551" s="169"/>
    </row>
    <row r="552" spans="19:55" ht="15.75" customHeight="1">
      <c r="S552" s="454"/>
      <c r="AN552" s="458"/>
      <c r="BA552" s="1305"/>
      <c r="BC552" s="169"/>
    </row>
    <row r="553" spans="19:55" ht="15.75" customHeight="1">
      <c r="S553" s="454"/>
      <c r="AN553" s="458"/>
      <c r="BA553" s="1305"/>
      <c r="BC553" s="169"/>
    </row>
    <row r="554" spans="19:55" ht="15.75" customHeight="1">
      <c r="S554" s="454"/>
      <c r="AN554" s="458"/>
      <c r="BA554" s="1305"/>
      <c r="BC554" s="169"/>
    </row>
    <row r="555" spans="19:55" ht="15.75" customHeight="1">
      <c r="S555" s="454"/>
      <c r="AN555" s="458"/>
      <c r="BA555" s="1305"/>
      <c r="BC555" s="169"/>
    </row>
    <row r="556" spans="19:55" ht="15.75" customHeight="1">
      <c r="S556" s="454"/>
      <c r="AN556" s="458"/>
      <c r="BA556" s="1305"/>
      <c r="BC556" s="169"/>
    </row>
    <row r="557" spans="19:55" ht="15.75" customHeight="1">
      <c r="S557" s="454"/>
      <c r="AN557" s="458"/>
      <c r="BA557" s="1305"/>
      <c r="BC557" s="169"/>
    </row>
    <row r="558" spans="19:55" ht="15.75" customHeight="1">
      <c r="S558" s="454"/>
      <c r="AN558" s="458"/>
      <c r="BA558" s="1305"/>
      <c r="BC558" s="169"/>
    </row>
    <row r="559" spans="19:55" ht="15.75" customHeight="1">
      <c r="S559" s="454"/>
      <c r="AN559" s="458"/>
      <c r="BA559" s="1305"/>
      <c r="BC559" s="169"/>
    </row>
    <row r="560" spans="19:55" ht="15.75" customHeight="1">
      <c r="S560" s="454"/>
      <c r="AN560" s="458"/>
      <c r="BA560" s="1305"/>
      <c r="BC560" s="169"/>
    </row>
    <row r="561" spans="19:55" ht="15.75" customHeight="1">
      <c r="S561" s="454"/>
      <c r="AN561" s="458"/>
      <c r="BA561" s="1305"/>
      <c r="BC561" s="169"/>
    </row>
    <row r="562" spans="19:55" ht="15.75" customHeight="1">
      <c r="S562" s="454"/>
      <c r="AN562" s="458"/>
      <c r="BA562" s="1305"/>
      <c r="BC562" s="169"/>
    </row>
    <row r="563" spans="19:55" ht="15.75" customHeight="1">
      <c r="S563" s="454"/>
      <c r="AN563" s="458"/>
      <c r="BA563" s="1305"/>
      <c r="BC563" s="169"/>
    </row>
    <row r="564" spans="19:55" ht="15.75" customHeight="1">
      <c r="S564" s="454"/>
      <c r="AN564" s="458"/>
      <c r="BA564" s="1305"/>
      <c r="BC564" s="169"/>
    </row>
    <row r="565" spans="19:55" ht="15.75" customHeight="1">
      <c r="S565" s="454"/>
      <c r="AN565" s="458"/>
      <c r="BA565" s="1305"/>
      <c r="BC565" s="169"/>
    </row>
    <row r="566" spans="19:55" ht="15.75" customHeight="1">
      <c r="S566" s="454"/>
      <c r="AN566" s="458"/>
      <c r="BA566" s="1305"/>
      <c r="BC566" s="169"/>
    </row>
    <row r="567" spans="19:55" ht="15.75" customHeight="1">
      <c r="S567" s="454"/>
      <c r="AN567" s="458"/>
      <c r="BA567" s="1305"/>
      <c r="BC567" s="169"/>
    </row>
    <row r="568" spans="19:55" ht="15.75" customHeight="1">
      <c r="S568" s="454"/>
      <c r="AN568" s="458"/>
      <c r="BA568" s="1305"/>
      <c r="BC568" s="169"/>
    </row>
    <row r="569" spans="19:55" ht="15.75" customHeight="1">
      <c r="S569" s="454"/>
      <c r="AN569" s="458"/>
      <c r="BA569" s="1305"/>
      <c r="BC569" s="169"/>
    </row>
    <row r="570" spans="19:55" ht="15.75" customHeight="1">
      <c r="S570" s="454"/>
      <c r="AN570" s="458"/>
      <c r="BA570" s="1305"/>
      <c r="BC570" s="169"/>
    </row>
    <row r="571" spans="19:55" ht="15.75" customHeight="1">
      <c r="S571" s="454"/>
      <c r="AN571" s="458"/>
      <c r="BA571" s="1305"/>
      <c r="BC571" s="169"/>
    </row>
    <row r="572" spans="19:55" ht="15.75" customHeight="1">
      <c r="S572" s="454"/>
      <c r="AN572" s="458"/>
      <c r="BA572" s="1305"/>
      <c r="BC572" s="169"/>
    </row>
    <row r="573" spans="19:55" ht="15.75" customHeight="1">
      <c r="S573" s="454"/>
      <c r="AN573" s="458"/>
      <c r="BA573" s="1305"/>
      <c r="BC573" s="169"/>
    </row>
    <row r="574" spans="19:55" ht="15.75" customHeight="1">
      <c r="S574" s="454"/>
      <c r="AN574" s="458"/>
      <c r="BA574" s="1305"/>
      <c r="BC574" s="169"/>
    </row>
    <row r="575" spans="19:55" ht="15.75" customHeight="1">
      <c r="S575" s="454"/>
      <c r="AN575" s="458"/>
      <c r="BA575" s="1305"/>
      <c r="BC575" s="169"/>
    </row>
    <row r="576" spans="19:55" ht="15.75" customHeight="1">
      <c r="S576" s="454"/>
      <c r="AN576" s="458"/>
      <c r="BA576" s="1305"/>
      <c r="BC576" s="169"/>
    </row>
    <row r="577" spans="19:55" ht="15.75" customHeight="1">
      <c r="S577" s="454"/>
      <c r="AN577" s="458"/>
      <c r="BA577" s="1305"/>
      <c r="BC577" s="169"/>
    </row>
    <row r="578" spans="19:55" ht="15.75" customHeight="1">
      <c r="S578" s="454"/>
      <c r="AN578" s="458"/>
      <c r="BA578" s="1305"/>
      <c r="BC578" s="169"/>
    </row>
    <row r="579" spans="19:55" ht="15.75" customHeight="1">
      <c r="S579" s="454"/>
      <c r="AN579" s="458"/>
      <c r="BA579" s="1305"/>
      <c r="BC579" s="169"/>
    </row>
    <row r="580" spans="19:55" ht="15.75" customHeight="1">
      <c r="S580" s="454"/>
      <c r="AN580" s="458"/>
      <c r="BA580" s="1305"/>
      <c r="BC580" s="169"/>
    </row>
    <row r="581" spans="19:55" ht="15.75" customHeight="1">
      <c r="S581" s="454"/>
      <c r="AN581" s="458"/>
      <c r="BA581" s="1305"/>
      <c r="BC581" s="169"/>
    </row>
    <row r="582" spans="19:55" ht="15.75" customHeight="1">
      <c r="S582" s="454"/>
      <c r="AN582" s="458"/>
      <c r="BA582" s="1305"/>
      <c r="BC582" s="169"/>
    </row>
    <row r="583" spans="19:55" ht="15.75" customHeight="1">
      <c r="S583" s="454"/>
      <c r="AN583" s="458"/>
      <c r="BA583" s="1305"/>
      <c r="BC583" s="169"/>
    </row>
    <row r="584" spans="19:55" ht="15.75" customHeight="1">
      <c r="S584" s="454"/>
      <c r="AN584" s="458"/>
      <c r="BA584" s="1305"/>
      <c r="BC584" s="169"/>
    </row>
    <row r="585" spans="19:55" ht="15.75" customHeight="1">
      <c r="S585" s="454"/>
      <c r="AN585" s="458"/>
      <c r="BA585" s="1305"/>
      <c r="BC585" s="169"/>
    </row>
    <row r="586" spans="19:55" ht="15.75" customHeight="1">
      <c r="S586" s="454"/>
      <c r="AN586" s="458"/>
      <c r="BA586" s="1305"/>
      <c r="BC586" s="169"/>
    </row>
    <row r="587" spans="19:55" ht="15.75" customHeight="1">
      <c r="S587" s="454"/>
      <c r="AN587" s="458"/>
      <c r="BA587" s="1305"/>
      <c r="BC587" s="169"/>
    </row>
    <row r="588" spans="19:55" ht="15.75" customHeight="1">
      <c r="S588" s="454"/>
      <c r="AN588" s="458"/>
      <c r="BA588" s="1305"/>
      <c r="BC588" s="169"/>
    </row>
    <row r="589" spans="19:55" ht="15.75" customHeight="1">
      <c r="S589" s="454"/>
      <c r="AN589" s="458"/>
      <c r="BA589" s="1305"/>
      <c r="BC589" s="169"/>
    </row>
    <row r="590" spans="19:55" ht="15.75" customHeight="1">
      <c r="S590" s="454"/>
      <c r="AN590" s="458"/>
      <c r="BA590" s="1305"/>
      <c r="BC590" s="169"/>
    </row>
    <row r="591" spans="19:55" ht="15.75" customHeight="1">
      <c r="S591" s="454"/>
      <c r="AN591" s="458"/>
      <c r="BA591" s="1305"/>
      <c r="BC591" s="169"/>
    </row>
    <row r="592" spans="19:55" ht="15.75" customHeight="1">
      <c r="S592" s="454"/>
      <c r="AN592" s="458"/>
      <c r="BA592" s="1305"/>
      <c r="BC592" s="169"/>
    </row>
    <row r="593" spans="19:55" ht="15.75" customHeight="1">
      <c r="S593" s="454"/>
      <c r="AN593" s="458"/>
      <c r="BA593" s="1305"/>
      <c r="BC593" s="169"/>
    </row>
    <row r="594" spans="19:55" ht="15.75" customHeight="1">
      <c r="S594" s="454"/>
      <c r="AN594" s="458"/>
      <c r="BA594" s="1305"/>
      <c r="BC594" s="169"/>
    </row>
    <row r="595" spans="19:55" ht="15.75" customHeight="1">
      <c r="S595" s="454"/>
      <c r="AN595" s="458"/>
      <c r="BA595" s="1305"/>
      <c r="BC595" s="169"/>
    </row>
    <row r="596" spans="19:55" ht="15.75" customHeight="1">
      <c r="S596" s="454"/>
      <c r="AN596" s="458"/>
      <c r="BA596" s="1305"/>
      <c r="BC596" s="169"/>
    </row>
    <row r="597" spans="19:55" ht="15.75" customHeight="1">
      <c r="S597" s="454"/>
      <c r="AN597" s="458"/>
      <c r="BA597" s="1305"/>
      <c r="BC597" s="169"/>
    </row>
    <row r="598" spans="19:55" ht="15.75" customHeight="1">
      <c r="S598" s="454"/>
      <c r="AN598" s="458"/>
      <c r="BA598" s="1305"/>
      <c r="BC598" s="169"/>
    </row>
    <row r="599" spans="19:55" ht="15.75" customHeight="1">
      <c r="S599" s="454"/>
      <c r="AN599" s="458"/>
      <c r="BA599" s="1305"/>
      <c r="BC599" s="169"/>
    </row>
    <row r="600" spans="19:55" ht="15.75" customHeight="1">
      <c r="S600" s="454"/>
      <c r="AN600" s="458"/>
      <c r="BA600" s="1305"/>
      <c r="BC600" s="169"/>
    </row>
    <row r="601" spans="19:55" ht="15.75" customHeight="1">
      <c r="S601" s="454"/>
      <c r="AN601" s="458"/>
      <c r="BA601" s="1305"/>
      <c r="BC601" s="169"/>
    </row>
    <row r="602" spans="19:55" ht="15.75" customHeight="1">
      <c r="S602" s="454"/>
      <c r="AN602" s="458"/>
      <c r="BA602" s="1305"/>
      <c r="BC602" s="169"/>
    </row>
    <row r="603" spans="19:55" ht="15.75" customHeight="1">
      <c r="S603" s="454"/>
      <c r="AN603" s="458"/>
      <c r="BA603" s="1305"/>
      <c r="BC603" s="169"/>
    </row>
    <row r="604" spans="19:55" ht="15.75" customHeight="1">
      <c r="S604" s="454"/>
      <c r="AN604" s="458"/>
      <c r="BA604" s="1305"/>
      <c r="BC604" s="169"/>
    </row>
    <row r="605" spans="19:55" ht="15.75" customHeight="1">
      <c r="S605" s="454"/>
      <c r="AN605" s="458"/>
      <c r="BA605" s="1305"/>
      <c r="BC605" s="169"/>
    </row>
    <row r="606" spans="19:55" ht="15.75" customHeight="1">
      <c r="S606" s="454"/>
      <c r="AN606" s="458"/>
      <c r="BA606" s="1305"/>
      <c r="BC606" s="169"/>
    </row>
    <row r="607" spans="19:55" ht="15.75" customHeight="1">
      <c r="S607" s="454"/>
      <c r="AN607" s="458"/>
      <c r="BA607" s="1305"/>
      <c r="BC607" s="169"/>
    </row>
    <row r="608" spans="19:55" ht="15.75" customHeight="1">
      <c r="S608" s="454"/>
      <c r="AN608" s="458"/>
      <c r="BA608" s="1305"/>
      <c r="BC608" s="169"/>
    </row>
    <row r="609" spans="19:55" ht="15.75" customHeight="1">
      <c r="S609" s="454"/>
      <c r="AN609" s="458"/>
      <c r="BA609" s="1305"/>
      <c r="BC609" s="169"/>
    </row>
    <row r="610" spans="19:55" ht="15.75" customHeight="1">
      <c r="S610" s="454"/>
      <c r="AN610" s="458"/>
      <c r="BA610" s="1305"/>
      <c r="BC610" s="169"/>
    </row>
    <row r="611" spans="19:55" ht="15.75" customHeight="1">
      <c r="S611" s="454"/>
      <c r="AN611" s="458"/>
      <c r="BA611" s="1305"/>
      <c r="BC611" s="169"/>
    </row>
    <row r="612" spans="19:55" ht="15.75" customHeight="1">
      <c r="S612" s="454"/>
      <c r="AN612" s="458"/>
      <c r="BA612" s="1305"/>
      <c r="BC612" s="169"/>
    </row>
    <row r="613" spans="19:55" ht="15.75" customHeight="1">
      <c r="S613" s="454"/>
      <c r="AN613" s="458"/>
      <c r="BA613" s="1305"/>
      <c r="BC613" s="169"/>
    </row>
    <row r="614" spans="19:55" ht="15.75" customHeight="1">
      <c r="S614" s="454"/>
      <c r="AN614" s="458"/>
      <c r="BA614" s="1305"/>
      <c r="BC614" s="169"/>
    </row>
    <row r="615" spans="19:55" ht="15.75" customHeight="1">
      <c r="S615" s="454"/>
      <c r="AN615" s="458"/>
      <c r="BA615" s="1305"/>
      <c r="BC615" s="169"/>
    </row>
    <row r="616" spans="19:55" ht="15.75" customHeight="1">
      <c r="S616" s="454"/>
      <c r="AN616" s="458"/>
      <c r="BA616" s="1305"/>
      <c r="BC616" s="169"/>
    </row>
    <row r="617" spans="19:55" ht="15.75" customHeight="1">
      <c r="S617" s="454"/>
      <c r="AN617" s="458"/>
      <c r="BA617" s="1305"/>
      <c r="BC617" s="169"/>
    </row>
    <row r="618" spans="19:55" ht="15.75" customHeight="1">
      <c r="S618" s="454"/>
      <c r="AN618" s="458"/>
      <c r="BA618" s="1305"/>
      <c r="BC618" s="169"/>
    </row>
    <row r="619" spans="19:55" ht="15.75" customHeight="1">
      <c r="S619" s="454"/>
      <c r="AN619" s="458"/>
      <c r="BA619" s="1305"/>
      <c r="BC619" s="169"/>
    </row>
    <row r="620" spans="19:55" ht="15.75" customHeight="1">
      <c r="S620" s="454"/>
      <c r="AN620" s="458"/>
      <c r="BA620" s="1305"/>
      <c r="BC620" s="169"/>
    </row>
    <row r="621" spans="19:55" ht="15.75" customHeight="1">
      <c r="S621" s="454"/>
      <c r="AN621" s="458"/>
      <c r="BA621" s="1305"/>
      <c r="BC621" s="169"/>
    </row>
    <row r="622" spans="19:55" ht="15.75" customHeight="1">
      <c r="S622" s="454"/>
      <c r="AN622" s="458"/>
      <c r="BA622" s="1305"/>
      <c r="BC622" s="169"/>
    </row>
    <row r="623" spans="19:55" ht="15.75" customHeight="1">
      <c r="S623" s="454"/>
      <c r="AN623" s="458"/>
      <c r="BA623" s="1305"/>
      <c r="BC623" s="169"/>
    </row>
    <row r="624" spans="19:55" ht="15.75" customHeight="1">
      <c r="S624" s="454"/>
      <c r="AN624" s="458"/>
      <c r="BA624" s="1305"/>
      <c r="BC624" s="169"/>
    </row>
    <row r="625" spans="19:55" ht="15.75" customHeight="1">
      <c r="S625" s="454"/>
      <c r="AN625" s="458"/>
      <c r="BA625" s="1305"/>
      <c r="BC625" s="169"/>
    </row>
    <row r="626" spans="19:55" ht="15.75" customHeight="1">
      <c r="S626" s="454"/>
      <c r="AN626" s="458"/>
      <c r="BA626" s="1305"/>
      <c r="BC626" s="169"/>
    </row>
    <row r="627" spans="19:55" ht="15.75" customHeight="1">
      <c r="S627" s="454"/>
      <c r="AN627" s="458"/>
      <c r="BA627" s="1305"/>
      <c r="BC627" s="169"/>
    </row>
    <row r="628" spans="19:55" ht="15.75" customHeight="1">
      <c r="S628" s="454"/>
      <c r="AN628" s="458"/>
      <c r="BA628" s="1305"/>
      <c r="BC628" s="169"/>
    </row>
    <row r="629" spans="19:55" ht="15.75" customHeight="1">
      <c r="S629" s="454"/>
      <c r="AN629" s="458"/>
      <c r="BA629" s="1305"/>
      <c r="BC629" s="169"/>
    </row>
    <row r="630" spans="19:55" ht="15.75" customHeight="1">
      <c r="S630" s="454"/>
      <c r="AN630" s="458"/>
      <c r="BA630" s="1305"/>
      <c r="BC630" s="169"/>
    </row>
    <row r="631" spans="19:55" ht="15.75" customHeight="1">
      <c r="S631" s="454"/>
      <c r="AN631" s="458"/>
      <c r="BA631" s="1305"/>
      <c r="BC631" s="169"/>
    </row>
    <row r="632" spans="19:55" ht="15.75" customHeight="1">
      <c r="S632" s="454"/>
      <c r="AN632" s="458"/>
      <c r="BA632" s="1305"/>
      <c r="BC632" s="169"/>
    </row>
    <row r="633" spans="19:55" ht="15.75" customHeight="1">
      <c r="S633" s="454"/>
      <c r="AN633" s="458"/>
      <c r="BA633" s="1305"/>
      <c r="BC633" s="169"/>
    </row>
    <row r="634" spans="19:55" ht="15.75" customHeight="1">
      <c r="S634" s="454"/>
      <c r="AN634" s="458"/>
      <c r="BA634" s="1305"/>
      <c r="BC634" s="169"/>
    </row>
    <row r="635" spans="19:55" ht="15.75" customHeight="1">
      <c r="S635" s="454"/>
      <c r="AN635" s="458"/>
      <c r="BA635" s="1305"/>
      <c r="BC635" s="169"/>
    </row>
    <row r="636" spans="19:55" ht="15.75" customHeight="1">
      <c r="S636" s="454"/>
      <c r="AN636" s="458"/>
      <c r="BA636" s="1305"/>
      <c r="BC636" s="169"/>
    </row>
    <row r="637" spans="19:55" ht="15.75" customHeight="1">
      <c r="S637" s="454"/>
      <c r="AN637" s="458"/>
      <c r="BA637" s="1305"/>
      <c r="BC637" s="169"/>
    </row>
    <row r="638" spans="19:55" ht="15.75" customHeight="1">
      <c r="S638" s="454"/>
      <c r="AN638" s="458"/>
      <c r="BA638" s="1305"/>
      <c r="BC638" s="169"/>
    </row>
    <row r="639" spans="19:55" ht="15.75" customHeight="1">
      <c r="S639" s="454"/>
      <c r="AN639" s="458"/>
      <c r="BA639" s="1305"/>
      <c r="BC639" s="169"/>
    </row>
    <row r="640" spans="19:55" ht="15.75" customHeight="1">
      <c r="S640" s="454"/>
      <c r="AN640" s="458"/>
      <c r="BA640" s="1305"/>
      <c r="BC640" s="169"/>
    </row>
    <row r="641" spans="19:55" ht="15.75" customHeight="1">
      <c r="S641" s="454"/>
      <c r="AN641" s="458"/>
      <c r="BA641" s="1305"/>
      <c r="BC641" s="169"/>
    </row>
    <row r="642" spans="19:55" ht="15.75" customHeight="1">
      <c r="S642" s="454"/>
      <c r="AN642" s="458"/>
      <c r="BA642" s="1305"/>
      <c r="BC642" s="169"/>
    </row>
    <row r="643" spans="19:55" ht="15.75" customHeight="1">
      <c r="S643" s="454"/>
      <c r="AN643" s="458"/>
      <c r="BA643" s="1305"/>
      <c r="BC643" s="169"/>
    </row>
    <row r="644" spans="19:55" ht="15.75" customHeight="1">
      <c r="S644" s="454"/>
      <c r="AN644" s="458"/>
      <c r="BA644" s="1305"/>
      <c r="BC644" s="169"/>
    </row>
    <row r="645" spans="19:55" ht="15.75" customHeight="1">
      <c r="S645" s="454"/>
      <c r="AN645" s="458"/>
      <c r="BA645" s="1305"/>
      <c r="BC645" s="169"/>
    </row>
    <row r="646" spans="19:55" ht="15.75" customHeight="1">
      <c r="S646" s="454"/>
      <c r="AN646" s="458"/>
      <c r="BA646" s="1305"/>
      <c r="BC646" s="169"/>
    </row>
    <row r="647" spans="19:55" ht="15.75" customHeight="1">
      <c r="S647" s="454"/>
      <c r="AN647" s="458"/>
      <c r="BA647" s="1305"/>
      <c r="BC647" s="169"/>
    </row>
    <row r="648" spans="19:55" ht="15.75" customHeight="1">
      <c r="S648" s="454"/>
      <c r="AN648" s="458"/>
      <c r="BA648" s="1305"/>
      <c r="BC648" s="169"/>
    </row>
    <row r="649" spans="19:55" ht="15.75" customHeight="1">
      <c r="S649" s="454"/>
      <c r="AN649" s="458"/>
      <c r="BA649" s="1305"/>
      <c r="BC649" s="169"/>
    </row>
    <row r="650" spans="19:55" ht="15.75" customHeight="1">
      <c r="S650" s="454"/>
      <c r="AN650" s="458"/>
      <c r="BA650" s="1305"/>
      <c r="BC650" s="169"/>
    </row>
    <row r="651" spans="19:55" ht="15.75" customHeight="1">
      <c r="S651" s="454"/>
      <c r="AN651" s="458"/>
      <c r="BA651" s="1305"/>
      <c r="BC651" s="169"/>
    </row>
    <row r="652" spans="19:55" ht="15.75" customHeight="1">
      <c r="S652" s="454"/>
      <c r="AN652" s="458"/>
      <c r="BA652" s="1305"/>
      <c r="BC652" s="169"/>
    </row>
    <row r="653" spans="19:55" ht="15.75" customHeight="1">
      <c r="S653" s="454"/>
      <c r="AN653" s="458"/>
      <c r="BA653" s="1305"/>
      <c r="BC653" s="169"/>
    </row>
    <row r="654" spans="19:55" ht="15.75" customHeight="1">
      <c r="S654" s="454"/>
      <c r="AN654" s="458"/>
      <c r="BA654" s="1305"/>
      <c r="BC654" s="169"/>
    </row>
    <row r="655" spans="19:55" ht="15.75" customHeight="1">
      <c r="S655" s="454"/>
      <c r="AN655" s="458"/>
      <c r="BA655" s="1305"/>
      <c r="BC655" s="169"/>
    </row>
    <row r="656" spans="19:55" ht="15.75" customHeight="1">
      <c r="S656" s="454"/>
      <c r="AN656" s="458"/>
      <c r="BA656" s="1305"/>
      <c r="BC656" s="169"/>
    </row>
    <row r="657" spans="19:55" ht="15.75" customHeight="1">
      <c r="S657" s="454"/>
      <c r="AN657" s="458"/>
      <c r="BA657" s="1305"/>
      <c r="BC657" s="169"/>
    </row>
    <row r="658" spans="19:55" ht="15.75" customHeight="1">
      <c r="S658" s="454"/>
      <c r="AN658" s="458"/>
      <c r="BA658" s="1305"/>
      <c r="BC658" s="169"/>
    </row>
    <row r="659" spans="19:55" ht="15.75" customHeight="1">
      <c r="S659" s="454"/>
      <c r="AN659" s="458"/>
      <c r="BA659" s="1305"/>
      <c r="BC659" s="169"/>
    </row>
    <row r="660" spans="19:55" ht="15.75" customHeight="1">
      <c r="S660" s="454"/>
      <c r="AN660" s="458"/>
      <c r="BA660" s="1305"/>
      <c r="BC660" s="169"/>
    </row>
    <row r="661" spans="19:55" ht="15.75" customHeight="1">
      <c r="S661" s="454"/>
      <c r="AN661" s="458"/>
      <c r="BA661" s="1305"/>
      <c r="BC661" s="169"/>
    </row>
    <row r="662" spans="19:55" ht="15.75" customHeight="1">
      <c r="S662" s="454"/>
      <c r="AN662" s="458"/>
      <c r="BA662" s="1305"/>
      <c r="BC662" s="169"/>
    </row>
    <row r="663" spans="19:55" ht="15.75" customHeight="1">
      <c r="S663" s="454"/>
      <c r="AN663" s="458"/>
      <c r="BA663" s="1305"/>
      <c r="BC663" s="169"/>
    </row>
    <row r="664" spans="19:55" ht="15.75" customHeight="1">
      <c r="S664" s="454"/>
      <c r="AN664" s="458"/>
      <c r="BA664" s="1305"/>
      <c r="BC664" s="169"/>
    </row>
    <row r="665" spans="19:55" ht="15.75" customHeight="1">
      <c r="S665" s="454"/>
      <c r="AN665" s="458"/>
      <c r="BA665" s="1305"/>
      <c r="BC665" s="169"/>
    </row>
    <row r="666" spans="19:55" ht="15.75" customHeight="1">
      <c r="S666" s="454"/>
      <c r="AN666" s="458"/>
      <c r="BA666" s="1305"/>
      <c r="BC666" s="169"/>
    </row>
    <row r="667" spans="19:55" ht="15.75" customHeight="1">
      <c r="S667" s="454"/>
      <c r="AN667" s="458"/>
      <c r="BA667" s="1305"/>
      <c r="BC667" s="169"/>
    </row>
    <row r="668" spans="19:55" ht="15.75" customHeight="1">
      <c r="S668" s="454"/>
      <c r="AN668" s="458"/>
      <c r="BA668" s="1305"/>
      <c r="BC668" s="169"/>
    </row>
    <row r="669" spans="19:55" ht="15.75" customHeight="1">
      <c r="S669" s="454"/>
      <c r="AN669" s="458"/>
      <c r="BA669" s="1305"/>
      <c r="BC669" s="169"/>
    </row>
    <row r="670" spans="19:55" ht="15.75" customHeight="1">
      <c r="S670" s="454"/>
      <c r="AN670" s="458"/>
      <c r="BA670" s="1305"/>
      <c r="BC670" s="169"/>
    </row>
    <row r="671" spans="19:55" ht="15.75" customHeight="1">
      <c r="S671" s="454"/>
      <c r="AN671" s="458"/>
      <c r="BA671" s="1305"/>
      <c r="BC671" s="169"/>
    </row>
    <row r="672" spans="19:55" ht="15.75" customHeight="1">
      <c r="S672" s="454"/>
      <c r="AN672" s="458"/>
      <c r="BA672" s="1305"/>
      <c r="BC672" s="169"/>
    </row>
    <row r="673" spans="19:55" ht="15.75" customHeight="1">
      <c r="S673" s="454"/>
      <c r="AN673" s="458"/>
      <c r="BA673" s="1305"/>
      <c r="BC673" s="169"/>
    </row>
    <row r="674" spans="19:55" ht="15.75" customHeight="1">
      <c r="S674" s="454"/>
      <c r="AN674" s="458"/>
      <c r="BA674" s="1305"/>
      <c r="BC674" s="169"/>
    </row>
    <row r="675" spans="19:55" ht="15.75" customHeight="1">
      <c r="S675" s="454"/>
      <c r="AN675" s="458"/>
      <c r="BA675" s="1305"/>
      <c r="BC675" s="169"/>
    </row>
    <row r="676" spans="19:55" ht="15.75" customHeight="1">
      <c r="S676" s="454"/>
      <c r="AN676" s="458"/>
      <c r="BA676" s="1305"/>
      <c r="BC676" s="169"/>
    </row>
    <row r="677" spans="19:55" ht="15.75" customHeight="1">
      <c r="S677" s="454"/>
      <c r="AN677" s="458"/>
      <c r="BA677" s="1305"/>
      <c r="BC677" s="169"/>
    </row>
    <row r="678" spans="19:55" ht="15.75" customHeight="1">
      <c r="S678" s="454"/>
      <c r="AN678" s="458"/>
      <c r="BA678" s="1305"/>
      <c r="BC678" s="169"/>
    </row>
    <row r="679" spans="19:55" ht="15.75" customHeight="1">
      <c r="S679" s="454"/>
      <c r="AN679" s="458"/>
      <c r="BA679" s="1305"/>
      <c r="BC679" s="169"/>
    </row>
    <row r="680" spans="19:55" ht="15.75" customHeight="1">
      <c r="S680" s="454"/>
      <c r="AN680" s="458"/>
      <c r="BA680" s="1305"/>
      <c r="BC680" s="169"/>
    </row>
    <row r="681" spans="19:55" ht="15.75" customHeight="1">
      <c r="S681" s="454"/>
      <c r="AN681" s="458"/>
      <c r="BA681" s="1305"/>
      <c r="BC681" s="169"/>
    </row>
    <row r="682" spans="19:55" ht="15.75" customHeight="1">
      <c r="S682" s="454"/>
      <c r="AN682" s="458"/>
      <c r="BA682" s="1305"/>
      <c r="BC682" s="169"/>
    </row>
    <row r="683" spans="19:55" ht="15.75" customHeight="1">
      <c r="S683" s="454"/>
      <c r="AN683" s="458"/>
      <c r="BA683" s="1305"/>
      <c r="BC683" s="169"/>
    </row>
    <row r="684" spans="19:55" ht="15.75" customHeight="1">
      <c r="S684" s="454"/>
      <c r="AN684" s="458"/>
      <c r="BA684" s="1305"/>
      <c r="BC684" s="169"/>
    </row>
    <row r="685" spans="19:55" ht="15.75" customHeight="1">
      <c r="S685" s="454"/>
      <c r="AN685" s="458"/>
      <c r="BA685" s="1305"/>
      <c r="BC685" s="169"/>
    </row>
    <row r="686" spans="19:55" ht="15.75" customHeight="1">
      <c r="S686" s="454"/>
      <c r="AN686" s="458"/>
      <c r="BA686" s="1305"/>
      <c r="BC686" s="169"/>
    </row>
    <row r="687" spans="19:55" ht="15.75" customHeight="1">
      <c r="S687" s="454"/>
      <c r="AN687" s="458"/>
      <c r="BA687" s="1305"/>
      <c r="BC687" s="169"/>
    </row>
    <row r="688" spans="19:55" ht="15.75" customHeight="1">
      <c r="S688" s="454"/>
      <c r="AN688" s="458"/>
      <c r="BA688" s="1305"/>
      <c r="BC688" s="169"/>
    </row>
    <row r="689" spans="19:55" ht="15.75" customHeight="1">
      <c r="S689" s="454"/>
      <c r="AN689" s="458"/>
      <c r="BA689" s="1305"/>
      <c r="BC689" s="169"/>
    </row>
    <row r="690" spans="19:55" ht="15.75" customHeight="1">
      <c r="S690" s="454"/>
      <c r="AN690" s="458"/>
      <c r="BA690" s="1305"/>
      <c r="BC690" s="169"/>
    </row>
    <row r="691" spans="19:55" ht="15.75" customHeight="1">
      <c r="S691" s="454"/>
      <c r="AN691" s="458"/>
      <c r="BA691" s="1305"/>
      <c r="BC691" s="169"/>
    </row>
    <row r="692" spans="19:55" ht="15.75" customHeight="1">
      <c r="S692" s="454"/>
      <c r="AN692" s="458"/>
      <c r="BA692" s="1305"/>
      <c r="BC692" s="169"/>
    </row>
    <row r="693" spans="19:55" ht="15.75" customHeight="1">
      <c r="S693" s="454"/>
      <c r="AN693" s="458"/>
      <c r="BA693" s="1305"/>
      <c r="BC693" s="169"/>
    </row>
    <row r="694" spans="19:55" ht="15.75" customHeight="1">
      <c r="S694" s="454"/>
      <c r="AN694" s="458"/>
      <c r="BA694" s="1305"/>
      <c r="BC694" s="169"/>
    </row>
    <row r="695" spans="19:55" ht="15.75" customHeight="1">
      <c r="S695" s="454"/>
      <c r="AN695" s="458"/>
      <c r="BA695" s="1305"/>
      <c r="BC695" s="169"/>
    </row>
    <row r="696" spans="19:55" ht="15.75" customHeight="1">
      <c r="S696" s="454"/>
      <c r="AN696" s="458"/>
      <c r="BA696" s="1305"/>
      <c r="BC696" s="169"/>
    </row>
    <row r="697" spans="19:55" ht="15.75" customHeight="1">
      <c r="S697" s="454"/>
      <c r="AN697" s="458"/>
      <c r="BA697" s="1305"/>
      <c r="BC697" s="169"/>
    </row>
    <row r="698" spans="19:55" ht="15.75" customHeight="1">
      <c r="S698" s="454"/>
      <c r="AN698" s="458"/>
      <c r="BA698" s="1305"/>
      <c r="BC698" s="169"/>
    </row>
    <row r="699" spans="19:55" ht="15.75" customHeight="1">
      <c r="S699" s="454"/>
      <c r="AN699" s="458"/>
      <c r="BA699" s="1305"/>
      <c r="BC699" s="169"/>
    </row>
    <row r="700" spans="19:55" ht="15.75" customHeight="1">
      <c r="S700" s="454"/>
      <c r="AN700" s="458"/>
      <c r="BA700" s="1305"/>
      <c r="BC700" s="169"/>
    </row>
    <row r="701" spans="19:55" ht="15.75" customHeight="1">
      <c r="S701" s="454"/>
      <c r="AN701" s="458"/>
      <c r="BA701" s="1305"/>
      <c r="BC701" s="169"/>
    </row>
    <row r="702" spans="19:55" ht="15.75" customHeight="1">
      <c r="S702" s="454"/>
      <c r="AN702" s="458"/>
      <c r="BA702" s="1305"/>
      <c r="BC702" s="169"/>
    </row>
    <row r="703" spans="19:55" ht="15.75" customHeight="1">
      <c r="S703" s="454"/>
      <c r="AN703" s="458"/>
      <c r="BA703" s="1305"/>
      <c r="BC703" s="169"/>
    </row>
    <row r="704" spans="19:55" ht="15.75" customHeight="1">
      <c r="S704" s="454"/>
      <c r="AN704" s="458"/>
      <c r="BA704" s="1305"/>
      <c r="BC704" s="169"/>
    </row>
    <row r="705" spans="19:55" ht="15.75" customHeight="1">
      <c r="S705" s="454"/>
      <c r="AN705" s="458"/>
      <c r="BA705" s="1305"/>
      <c r="BC705" s="169"/>
    </row>
    <row r="706" spans="19:55" ht="15.75" customHeight="1">
      <c r="S706" s="454"/>
      <c r="AN706" s="458"/>
      <c r="BA706" s="1305"/>
      <c r="BC706" s="169"/>
    </row>
    <row r="707" spans="19:55" ht="15.75" customHeight="1">
      <c r="S707" s="454"/>
      <c r="AN707" s="458"/>
      <c r="BA707" s="1305"/>
      <c r="BC707" s="169"/>
    </row>
    <row r="708" spans="19:55" ht="15.75" customHeight="1">
      <c r="S708" s="454"/>
      <c r="AN708" s="458"/>
      <c r="BA708" s="1305"/>
      <c r="BC708" s="169"/>
    </row>
    <row r="709" spans="19:55" ht="15.75" customHeight="1">
      <c r="S709" s="454"/>
      <c r="AN709" s="458"/>
      <c r="BA709" s="1305"/>
      <c r="BC709" s="169"/>
    </row>
    <row r="710" spans="19:55" ht="15.75" customHeight="1">
      <c r="S710" s="454"/>
      <c r="AN710" s="458"/>
      <c r="BA710" s="1305"/>
      <c r="BC710" s="169"/>
    </row>
    <row r="711" spans="19:55" ht="15.75" customHeight="1">
      <c r="S711" s="454"/>
      <c r="AN711" s="458"/>
      <c r="BA711" s="1305"/>
      <c r="BC711" s="169"/>
    </row>
    <row r="712" spans="19:55" ht="15.75" customHeight="1">
      <c r="S712" s="454"/>
      <c r="AN712" s="458"/>
      <c r="BA712" s="1305"/>
      <c r="BC712" s="169"/>
    </row>
    <row r="713" spans="19:55" ht="15.75" customHeight="1">
      <c r="S713" s="454"/>
      <c r="AN713" s="458"/>
      <c r="BA713" s="1305"/>
      <c r="BC713" s="169"/>
    </row>
    <row r="714" spans="19:55" ht="15.75" customHeight="1">
      <c r="S714" s="454"/>
      <c r="AN714" s="458"/>
      <c r="BA714" s="1305"/>
      <c r="BC714" s="169"/>
    </row>
    <row r="715" spans="19:55" ht="15.75" customHeight="1">
      <c r="S715" s="454"/>
      <c r="AN715" s="458"/>
      <c r="BA715" s="1305"/>
      <c r="BC715" s="169"/>
    </row>
    <row r="716" spans="19:55" ht="15.75" customHeight="1">
      <c r="S716" s="454"/>
      <c r="AN716" s="458"/>
      <c r="BA716" s="1305"/>
      <c r="BC716" s="169"/>
    </row>
    <row r="717" spans="19:55" ht="15.75" customHeight="1">
      <c r="S717" s="454"/>
      <c r="AN717" s="458"/>
      <c r="BA717" s="1305"/>
      <c r="BC717" s="169"/>
    </row>
    <row r="718" spans="19:55" ht="15.75" customHeight="1">
      <c r="S718" s="454"/>
      <c r="AN718" s="458"/>
      <c r="BA718" s="1305"/>
      <c r="BC718" s="169"/>
    </row>
    <row r="719" spans="19:55" ht="15.75" customHeight="1">
      <c r="S719" s="454"/>
      <c r="AN719" s="458"/>
      <c r="BA719" s="1305"/>
      <c r="BC719" s="169"/>
    </row>
    <row r="720" spans="19:55" ht="15.75" customHeight="1">
      <c r="S720" s="454"/>
      <c r="AN720" s="458"/>
      <c r="BA720" s="1305"/>
      <c r="BC720" s="169"/>
    </row>
    <row r="721" spans="19:55" ht="15.75" customHeight="1">
      <c r="S721" s="454"/>
      <c r="AN721" s="458"/>
      <c r="BA721" s="1305"/>
      <c r="BC721" s="169"/>
    </row>
    <row r="722" spans="19:55" ht="15.75" customHeight="1">
      <c r="S722" s="454"/>
      <c r="AN722" s="458"/>
      <c r="BA722" s="1305"/>
      <c r="BC722" s="169"/>
    </row>
    <row r="723" spans="19:55" ht="15.75" customHeight="1">
      <c r="S723" s="454"/>
      <c r="AN723" s="458"/>
      <c r="BA723" s="1305"/>
      <c r="BC723" s="169"/>
    </row>
    <row r="724" spans="19:55" ht="15.75" customHeight="1">
      <c r="S724" s="454"/>
      <c r="AN724" s="458"/>
      <c r="BA724" s="1305"/>
      <c r="BC724" s="169"/>
    </row>
    <row r="725" spans="19:55" ht="15.75" customHeight="1">
      <c r="S725" s="454"/>
      <c r="AN725" s="458"/>
      <c r="BA725" s="1305"/>
      <c r="BC725" s="169"/>
    </row>
    <row r="726" spans="19:55" ht="15.75" customHeight="1">
      <c r="S726" s="454"/>
      <c r="AN726" s="458"/>
      <c r="BA726" s="1305"/>
      <c r="BC726" s="169"/>
    </row>
    <row r="727" spans="19:55" ht="15.75" customHeight="1">
      <c r="S727" s="454"/>
      <c r="AN727" s="458"/>
      <c r="BA727" s="1305"/>
      <c r="BC727" s="169"/>
    </row>
    <row r="728" spans="19:55" ht="15.75" customHeight="1">
      <c r="S728" s="454"/>
      <c r="AN728" s="458"/>
      <c r="BA728" s="1305"/>
      <c r="BC728" s="169"/>
    </row>
    <row r="729" spans="19:55" ht="15.75" customHeight="1">
      <c r="S729" s="454"/>
      <c r="AN729" s="458"/>
      <c r="BA729" s="1305"/>
      <c r="BC729" s="169"/>
    </row>
    <row r="730" spans="19:55" ht="15.75" customHeight="1">
      <c r="S730" s="454"/>
      <c r="AN730" s="458"/>
      <c r="BA730" s="1305"/>
      <c r="BC730" s="169"/>
    </row>
    <row r="731" spans="19:55" ht="15.75" customHeight="1">
      <c r="S731" s="454"/>
      <c r="AN731" s="458"/>
      <c r="BA731" s="1305"/>
      <c r="BC731" s="169"/>
    </row>
    <row r="732" spans="19:55" ht="15.75" customHeight="1">
      <c r="S732" s="454"/>
      <c r="AN732" s="458"/>
      <c r="BA732" s="1305"/>
      <c r="BC732" s="169"/>
    </row>
    <row r="733" spans="19:55" ht="15.75" customHeight="1">
      <c r="S733" s="454"/>
      <c r="AN733" s="458"/>
      <c r="BA733" s="1305"/>
      <c r="BC733" s="169"/>
    </row>
    <row r="734" spans="19:55" ht="15.75" customHeight="1">
      <c r="S734" s="454"/>
      <c r="AN734" s="458"/>
      <c r="BA734" s="1305"/>
      <c r="BC734" s="169"/>
    </row>
    <row r="735" spans="19:55" ht="15.75" customHeight="1">
      <c r="S735" s="454"/>
      <c r="AN735" s="458"/>
      <c r="BA735" s="1305"/>
      <c r="BC735" s="169"/>
    </row>
    <row r="736" spans="19:55" ht="15.75" customHeight="1">
      <c r="S736" s="454"/>
      <c r="AN736" s="458"/>
      <c r="BA736" s="1305"/>
      <c r="BC736" s="169"/>
    </row>
    <row r="737" spans="19:55" ht="15.75" customHeight="1">
      <c r="S737" s="454"/>
      <c r="AN737" s="458"/>
      <c r="BA737" s="1305"/>
      <c r="BC737" s="169"/>
    </row>
    <row r="738" spans="19:55" ht="15.75" customHeight="1">
      <c r="S738" s="454"/>
      <c r="AN738" s="458"/>
      <c r="BA738" s="1305"/>
      <c r="BC738" s="169"/>
    </row>
    <row r="739" spans="19:55" ht="15.75" customHeight="1">
      <c r="S739" s="454"/>
      <c r="AN739" s="458"/>
      <c r="BA739" s="1305"/>
      <c r="BC739" s="169"/>
    </row>
    <row r="740" spans="19:55" ht="15.75" customHeight="1">
      <c r="S740" s="454"/>
      <c r="AN740" s="458"/>
      <c r="BA740" s="1305"/>
      <c r="BC740" s="169"/>
    </row>
    <row r="741" spans="19:55" ht="15.75" customHeight="1">
      <c r="S741" s="454"/>
      <c r="AN741" s="458"/>
      <c r="BA741" s="1305"/>
      <c r="BC741" s="169"/>
    </row>
    <row r="742" spans="19:55" ht="15.75" customHeight="1">
      <c r="S742" s="454"/>
      <c r="AN742" s="458"/>
      <c r="BA742" s="1305"/>
      <c r="BC742" s="169"/>
    </row>
    <row r="743" spans="19:55" ht="15.75" customHeight="1">
      <c r="S743" s="454"/>
      <c r="AN743" s="458"/>
      <c r="BA743" s="1305"/>
      <c r="BC743" s="169"/>
    </row>
    <row r="744" spans="19:55" ht="15.75" customHeight="1">
      <c r="S744" s="454"/>
      <c r="AN744" s="458"/>
      <c r="BA744" s="1305"/>
      <c r="BC744" s="169"/>
    </row>
    <row r="745" spans="19:55" ht="15.75" customHeight="1">
      <c r="S745" s="454"/>
      <c r="AN745" s="458"/>
      <c r="BA745" s="1305"/>
      <c r="BC745" s="169"/>
    </row>
    <row r="746" spans="19:55" ht="15.75" customHeight="1">
      <c r="S746" s="454"/>
      <c r="AN746" s="458"/>
      <c r="BA746" s="1305"/>
      <c r="BC746" s="169"/>
    </row>
    <row r="747" spans="19:55" ht="15.75" customHeight="1">
      <c r="S747" s="454"/>
      <c r="AN747" s="458"/>
      <c r="BA747" s="1305"/>
      <c r="BC747" s="169"/>
    </row>
    <row r="748" spans="19:55" ht="15.75" customHeight="1">
      <c r="S748" s="454"/>
      <c r="AN748" s="458"/>
      <c r="BA748" s="1305"/>
      <c r="BC748" s="169"/>
    </row>
    <row r="749" spans="19:55" ht="15.75" customHeight="1">
      <c r="S749" s="454"/>
      <c r="AN749" s="458"/>
      <c r="BA749" s="1305"/>
      <c r="BC749" s="169"/>
    </row>
    <row r="750" spans="19:55" ht="15.75" customHeight="1">
      <c r="S750" s="454"/>
      <c r="AN750" s="458"/>
      <c r="BA750" s="1305"/>
      <c r="BC750" s="169"/>
    </row>
    <row r="751" spans="19:55" ht="15.75" customHeight="1">
      <c r="S751" s="454"/>
      <c r="AN751" s="458"/>
      <c r="BA751" s="1305"/>
      <c r="BC751" s="169"/>
    </row>
    <row r="752" spans="19:55" ht="15.75" customHeight="1">
      <c r="S752" s="454"/>
      <c r="AN752" s="458"/>
      <c r="BA752" s="1305"/>
      <c r="BC752" s="169"/>
    </row>
    <row r="753" spans="19:55" ht="15.75" customHeight="1">
      <c r="S753" s="454"/>
      <c r="AN753" s="458"/>
      <c r="BA753" s="1305"/>
      <c r="BC753" s="169"/>
    </row>
    <row r="754" spans="19:55" ht="15.75" customHeight="1">
      <c r="S754" s="454"/>
      <c r="AN754" s="458"/>
      <c r="BA754" s="1305"/>
      <c r="BC754" s="169"/>
    </row>
    <row r="755" spans="19:55" ht="15.75" customHeight="1">
      <c r="S755" s="454"/>
      <c r="AN755" s="458"/>
      <c r="BA755" s="1305"/>
      <c r="BC755" s="169"/>
    </row>
    <row r="756" spans="19:55" ht="15.75" customHeight="1">
      <c r="S756" s="454"/>
      <c r="AN756" s="458"/>
      <c r="BA756" s="1305"/>
      <c r="BC756" s="169"/>
    </row>
    <row r="757" spans="19:55" ht="15.75" customHeight="1">
      <c r="S757" s="454"/>
      <c r="AN757" s="458"/>
      <c r="BA757" s="1305"/>
      <c r="BC757" s="169"/>
    </row>
    <row r="758" spans="19:55" ht="15.75" customHeight="1">
      <c r="S758" s="454"/>
      <c r="AN758" s="458"/>
      <c r="BA758" s="1305"/>
      <c r="BC758" s="169"/>
    </row>
    <row r="759" spans="19:55" ht="15.75" customHeight="1">
      <c r="S759" s="454"/>
      <c r="AN759" s="458"/>
      <c r="BA759" s="1305"/>
      <c r="BC759" s="169"/>
    </row>
    <row r="760" spans="19:55" ht="15.75" customHeight="1">
      <c r="S760" s="454"/>
      <c r="AN760" s="458"/>
      <c r="BA760" s="1305"/>
      <c r="BC760" s="169"/>
    </row>
    <row r="761" spans="19:55" ht="15.75" customHeight="1">
      <c r="S761" s="454"/>
      <c r="AN761" s="458"/>
      <c r="BA761" s="1305"/>
      <c r="BC761" s="169"/>
    </row>
    <row r="762" spans="19:55" ht="15.75" customHeight="1">
      <c r="S762" s="454"/>
      <c r="AN762" s="458"/>
      <c r="BA762" s="1305"/>
      <c r="BC762" s="169"/>
    </row>
    <row r="763" spans="19:55" ht="15.75" customHeight="1">
      <c r="S763" s="454"/>
      <c r="AN763" s="458"/>
      <c r="BA763" s="1305"/>
      <c r="BC763" s="169"/>
    </row>
    <row r="764" spans="19:55" ht="15.75" customHeight="1">
      <c r="S764" s="454"/>
      <c r="AN764" s="458"/>
      <c r="BA764" s="1305"/>
      <c r="BC764" s="169"/>
    </row>
    <row r="765" spans="19:55" ht="15.75" customHeight="1">
      <c r="S765" s="454"/>
      <c r="AN765" s="458"/>
      <c r="BA765" s="1305"/>
      <c r="BC765" s="169"/>
    </row>
    <row r="766" spans="19:55" ht="15.75" customHeight="1">
      <c r="S766" s="454"/>
      <c r="AN766" s="458"/>
      <c r="BA766" s="1305"/>
      <c r="BC766" s="169"/>
    </row>
    <row r="767" spans="19:55" ht="15.75" customHeight="1">
      <c r="S767" s="454"/>
      <c r="AN767" s="458"/>
      <c r="BA767" s="1305"/>
      <c r="BC767" s="169"/>
    </row>
    <row r="768" spans="19:55" ht="15.75" customHeight="1">
      <c r="S768" s="454"/>
      <c r="AN768" s="458"/>
      <c r="BA768" s="1305"/>
      <c r="BC768" s="169"/>
    </row>
    <row r="769" spans="19:55" ht="15.75" customHeight="1">
      <c r="S769" s="454"/>
      <c r="AN769" s="458"/>
      <c r="BA769" s="1305"/>
      <c r="BC769" s="169"/>
    </row>
    <row r="770" spans="19:55" ht="15.75" customHeight="1">
      <c r="S770" s="454"/>
      <c r="AN770" s="458"/>
      <c r="BA770" s="1305"/>
      <c r="BC770" s="169"/>
    </row>
    <row r="771" spans="19:55" ht="15.75" customHeight="1">
      <c r="S771" s="454"/>
      <c r="AN771" s="458"/>
      <c r="BA771" s="1305"/>
      <c r="BC771" s="169"/>
    </row>
    <row r="772" spans="19:55" ht="15.75" customHeight="1">
      <c r="S772" s="454"/>
      <c r="AN772" s="458"/>
      <c r="BA772" s="1305"/>
      <c r="BC772" s="169"/>
    </row>
    <row r="773" spans="19:55" ht="15.75" customHeight="1">
      <c r="S773" s="454"/>
      <c r="AN773" s="458"/>
      <c r="BA773" s="1305"/>
      <c r="BC773" s="169"/>
    </row>
    <row r="774" spans="19:55" ht="15.75" customHeight="1">
      <c r="S774" s="454"/>
      <c r="AN774" s="458"/>
      <c r="BA774" s="1305"/>
      <c r="BC774" s="169"/>
    </row>
    <row r="775" spans="19:55" ht="15.75" customHeight="1">
      <c r="S775" s="454"/>
      <c r="AN775" s="458"/>
      <c r="BA775" s="1305"/>
      <c r="BC775" s="169"/>
    </row>
    <row r="776" spans="19:55" ht="15.75" customHeight="1">
      <c r="S776" s="454"/>
      <c r="AN776" s="458"/>
      <c r="BA776" s="1305"/>
      <c r="BC776" s="169"/>
    </row>
    <row r="777" spans="19:55" ht="15.75" customHeight="1">
      <c r="S777" s="454"/>
      <c r="AN777" s="458"/>
      <c r="BA777" s="1305"/>
      <c r="BC777" s="169"/>
    </row>
    <row r="778" spans="19:55" ht="15.75" customHeight="1">
      <c r="S778" s="454"/>
      <c r="AN778" s="458"/>
      <c r="BA778" s="1305"/>
      <c r="BC778" s="169"/>
    </row>
    <row r="779" spans="19:55" ht="15.75" customHeight="1">
      <c r="S779" s="454"/>
      <c r="AN779" s="458"/>
      <c r="BA779" s="1305"/>
      <c r="BC779" s="169"/>
    </row>
    <row r="780" spans="19:55" ht="15.75" customHeight="1">
      <c r="S780" s="454"/>
      <c r="AN780" s="458"/>
      <c r="BA780" s="1305"/>
      <c r="BC780" s="169"/>
    </row>
    <row r="781" spans="19:55" ht="15.75" customHeight="1">
      <c r="S781" s="454"/>
      <c r="AN781" s="458"/>
      <c r="BA781" s="1305"/>
      <c r="BC781" s="169"/>
    </row>
    <row r="782" spans="19:55" ht="15.75" customHeight="1">
      <c r="S782" s="454"/>
      <c r="AN782" s="458"/>
      <c r="BA782" s="1305"/>
      <c r="BC782" s="169"/>
    </row>
    <row r="783" spans="19:55" ht="15.75" customHeight="1">
      <c r="S783" s="454"/>
      <c r="AN783" s="458"/>
      <c r="BA783" s="1305"/>
      <c r="BC783" s="169"/>
    </row>
    <row r="784" spans="19:55" ht="15.75" customHeight="1">
      <c r="S784" s="454"/>
      <c r="AN784" s="458"/>
      <c r="BA784" s="1305"/>
      <c r="BC784" s="169"/>
    </row>
    <row r="785" spans="19:55" ht="15.75" customHeight="1">
      <c r="S785" s="454"/>
      <c r="AN785" s="458"/>
      <c r="BA785" s="1305"/>
      <c r="BC785" s="169"/>
    </row>
    <row r="786" spans="19:55" ht="15.75" customHeight="1">
      <c r="S786" s="454"/>
      <c r="AN786" s="458"/>
      <c r="BA786" s="1305"/>
      <c r="BC786" s="169"/>
    </row>
    <row r="787" spans="19:55" ht="15.75" customHeight="1">
      <c r="S787" s="454"/>
      <c r="AN787" s="458"/>
      <c r="BA787" s="1305"/>
      <c r="BC787" s="169"/>
    </row>
    <row r="788" spans="19:55" ht="15.75" customHeight="1">
      <c r="S788" s="454"/>
      <c r="AN788" s="458"/>
      <c r="BA788" s="1305"/>
      <c r="BC788" s="169"/>
    </row>
    <row r="789" spans="19:55" ht="15.75" customHeight="1">
      <c r="S789" s="454"/>
      <c r="AN789" s="458"/>
      <c r="BA789" s="1305"/>
      <c r="BC789" s="169"/>
    </row>
    <row r="790" spans="19:55" ht="15.75" customHeight="1">
      <c r="S790" s="454"/>
      <c r="AN790" s="458"/>
      <c r="BA790" s="1305"/>
      <c r="BC790" s="169"/>
    </row>
    <row r="791" spans="19:55" ht="15.75" customHeight="1">
      <c r="S791" s="454"/>
      <c r="AN791" s="458"/>
      <c r="BA791" s="1305"/>
      <c r="BC791" s="169"/>
    </row>
    <row r="792" spans="19:55" ht="15.75" customHeight="1">
      <c r="S792" s="454"/>
      <c r="AN792" s="458"/>
      <c r="BA792" s="1305"/>
      <c r="BC792" s="169"/>
    </row>
    <row r="793" spans="19:55" ht="15.75" customHeight="1">
      <c r="S793" s="454"/>
      <c r="AN793" s="458"/>
      <c r="BA793" s="1305"/>
      <c r="BC793" s="169"/>
    </row>
    <row r="794" spans="19:55" ht="15.75" customHeight="1">
      <c r="S794" s="454"/>
      <c r="AN794" s="458"/>
      <c r="BA794" s="1305"/>
      <c r="BC794" s="169"/>
    </row>
    <row r="795" spans="19:55" ht="15.75" customHeight="1">
      <c r="S795" s="454"/>
      <c r="AN795" s="458"/>
      <c r="BA795" s="1305"/>
      <c r="BC795" s="169"/>
    </row>
    <row r="796" spans="19:55" ht="15.75" customHeight="1">
      <c r="S796" s="454"/>
      <c r="AN796" s="458"/>
      <c r="BA796" s="1305"/>
      <c r="BC796" s="169"/>
    </row>
    <row r="797" spans="19:55" ht="15.75" customHeight="1">
      <c r="S797" s="454"/>
      <c r="AN797" s="458"/>
      <c r="BA797" s="1305"/>
      <c r="BC797" s="169"/>
    </row>
    <row r="798" spans="19:55" ht="15.75" customHeight="1">
      <c r="S798" s="454"/>
      <c r="AN798" s="458"/>
      <c r="BA798" s="1305"/>
      <c r="BC798" s="169"/>
    </row>
    <row r="799" spans="19:55" ht="15.75" customHeight="1">
      <c r="S799" s="454"/>
      <c r="AN799" s="458"/>
      <c r="BA799" s="1305"/>
      <c r="BC799" s="169"/>
    </row>
    <row r="800" spans="19:55" ht="15.75" customHeight="1">
      <c r="S800" s="454"/>
      <c r="AN800" s="458"/>
      <c r="BA800" s="1305"/>
      <c r="BC800" s="169"/>
    </row>
    <row r="801" spans="19:55" ht="15.75" customHeight="1">
      <c r="S801" s="454"/>
      <c r="AN801" s="458"/>
      <c r="BA801" s="1305"/>
      <c r="BC801" s="169"/>
    </row>
    <row r="802" spans="19:55" ht="15.75" customHeight="1">
      <c r="S802" s="454"/>
      <c r="AN802" s="458"/>
      <c r="BA802" s="1305"/>
      <c r="BC802" s="169"/>
    </row>
    <row r="803" spans="19:55" ht="15.75" customHeight="1">
      <c r="S803" s="454"/>
      <c r="AN803" s="458"/>
      <c r="BA803" s="1305"/>
      <c r="BC803" s="169"/>
    </row>
    <row r="804" spans="19:55" ht="15.75" customHeight="1">
      <c r="S804" s="454"/>
      <c r="AN804" s="458"/>
      <c r="BA804" s="1305"/>
      <c r="BC804" s="169"/>
    </row>
    <row r="805" spans="19:55" ht="15.75" customHeight="1">
      <c r="S805" s="454"/>
      <c r="AN805" s="458"/>
      <c r="BA805" s="1305"/>
      <c r="BC805" s="169"/>
    </row>
    <row r="806" spans="19:55" ht="15.75" customHeight="1">
      <c r="S806" s="454"/>
      <c r="AN806" s="458"/>
      <c r="BA806" s="1305"/>
      <c r="BC806" s="169"/>
    </row>
    <row r="807" spans="19:55" ht="15.75" customHeight="1">
      <c r="S807" s="454"/>
      <c r="AN807" s="458"/>
      <c r="BA807" s="1305"/>
      <c r="BC807" s="169"/>
    </row>
    <row r="808" spans="19:55" ht="15.75" customHeight="1">
      <c r="S808" s="454"/>
      <c r="AN808" s="458"/>
      <c r="BA808" s="1305"/>
      <c r="BC808" s="169"/>
    </row>
    <row r="809" spans="19:55" ht="15.75" customHeight="1">
      <c r="S809" s="454"/>
      <c r="AN809" s="458"/>
      <c r="BA809" s="1305"/>
      <c r="BC809" s="169"/>
    </row>
    <row r="810" spans="19:55" ht="15.75" customHeight="1">
      <c r="S810" s="454"/>
      <c r="AN810" s="458"/>
      <c r="BA810" s="1305"/>
      <c r="BC810" s="169"/>
    </row>
    <row r="811" spans="19:55" ht="15.75" customHeight="1">
      <c r="S811" s="454"/>
      <c r="AN811" s="458"/>
      <c r="BA811" s="1305"/>
      <c r="BC811" s="169"/>
    </row>
    <row r="812" spans="19:55" ht="15.75" customHeight="1">
      <c r="S812" s="454"/>
      <c r="AN812" s="458"/>
      <c r="BA812" s="1305"/>
      <c r="BC812" s="169"/>
    </row>
    <row r="813" spans="19:55" ht="15.75" customHeight="1">
      <c r="S813" s="454"/>
      <c r="AN813" s="458"/>
      <c r="BA813" s="1305"/>
      <c r="BC813" s="169"/>
    </row>
    <row r="814" spans="19:55" ht="15.75" customHeight="1">
      <c r="S814" s="454"/>
      <c r="AN814" s="458"/>
      <c r="BA814" s="1305"/>
      <c r="BC814" s="169"/>
    </row>
    <row r="815" spans="19:55" ht="15.75" customHeight="1">
      <c r="S815" s="454"/>
      <c r="AN815" s="458"/>
      <c r="BA815" s="1305"/>
      <c r="BC815" s="169"/>
    </row>
    <row r="816" spans="19:55" ht="15.75" customHeight="1">
      <c r="S816" s="454"/>
      <c r="AN816" s="458"/>
      <c r="BA816" s="1305"/>
      <c r="BC816" s="169"/>
    </row>
    <row r="817" spans="19:55" ht="15.75" customHeight="1">
      <c r="S817" s="454"/>
      <c r="AN817" s="458"/>
      <c r="BA817" s="1305"/>
      <c r="BC817" s="169"/>
    </row>
    <row r="818" spans="19:55" ht="15.75" customHeight="1">
      <c r="S818" s="454"/>
      <c r="AN818" s="458"/>
      <c r="BA818" s="1305"/>
      <c r="BC818" s="169"/>
    </row>
    <row r="819" spans="19:55" ht="15.75" customHeight="1">
      <c r="S819" s="454"/>
      <c r="AN819" s="458"/>
      <c r="BA819" s="1305"/>
      <c r="BC819" s="169"/>
    </row>
    <row r="820" spans="19:55" ht="15.75" customHeight="1">
      <c r="S820" s="454"/>
      <c r="AN820" s="458"/>
      <c r="BA820" s="1305"/>
      <c r="BC820" s="169"/>
    </row>
    <row r="821" spans="19:55" ht="15.75" customHeight="1">
      <c r="S821" s="454"/>
      <c r="AN821" s="458"/>
      <c r="BA821" s="1305"/>
      <c r="BC821" s="169"/>
    </row>
    <row r="822" spans="19:55" ht="15.75" customHeight="1">
      <c r="S822" s="454"/>
      <c r="AN822" s="458"/>
      <c r="BA822" s="1305"/>
      <c r="BC822" s="169"/>
    </row>
    <row r="823" spans="19:55" ht="15.75" customHeight="1">
      <c r="S823" s="454"/>
      <c r="AN823" s="458"/>
      <c r="BA823" s="1305"/>
      <c r="BC823" s="169"/>
    </row>
    <row r="824" spans="19:55" ht="15.75" customHeight="1">
      <c r="S824" s="454"/>
      <c r="AN824" s="458"/>
      <c r="BA824" s="1305"/>
      <c r="BC824" s="169"/>
    </row>
    <row r="825" spans="19:55" ht="15.75" customHeight="1">
      <c r="S825" s="454"/>
      <c r="AN825" s="458"/>
      <c r="BA825" s="1305"/>
      <c r="BC825" s="169"/>
    </row>
    <row r="826" spans="19:55" ht="15.75" customHeight="1">
      <c r="S826" s="454"/>
      <c r="AN826" s="458"/>
      <c r="BA826" s="1305"/>
      <c r="BC826" s="169"/>
    </row>
    <row r="827" spans="19:55" ht="15.75" customHeight="1">
      <c r="S827" s="454"/>
      <c r="AN827" s="458"/>
      <c r="BA827" s="1305"/>
      <c r="BC827" s="169"/>
    </row>
    <row r="828" spans="19:55" ht="15.75" customHeight="1">
      <c r="S828" s="454"/>
      <c r="AN828" s="458"/>
      <c r="BA828" s="1305"/>
      <c r="BC828" s="169"/>
    </row>
    <row r="829" spans="19:55" ht="15.75" customHeight="1">
      <c r="S829" s="454"/>
      <c r="AN829" s="458"/>
      <c r="BA829" s="1305"/>
      <c r="BC829" s="169"/>
    </row>
    <row r="830" spans="19:55" ht="15.75" customHeight="1">
      <c r="S830" s="454"/>
      <c r="AN830" s="458"/>
      <c r="BA830" s="1305"/>
      <c r="BC830" s="169"/>
    </row>
    <row r="831" spans="19:55" ht="15.75" customHeight="1">
      <c r="S831" s="454"/>
      <c r="AN831" s="458"/>
      <c r="BA831" s="1305"/>
      <c r="BC831" s="169"/>
    </row>
    <row r="832" spans="19:55" ht="15.75" customHeight="1">
      <c r="S832" s="454"/>
      <c r="AN832" s="458"/>
      <c r="BA832" s="1305"/>
      <c r="BC832" s="169"/>
    </row>
    <row r="833" spans="19:55" ht="15.75" customHeight="1">
      <c r="S833" s="454"/>
      <c r="AN833" s="458"/>
      <c r="BA833" s="1305"/>
      <c r="BC833" s="169"/>
    </row>
    <row r="834" spans="19:55" ht="15.75" customHeight="1">
      <c r="S834" s="454"/>
      <c r="AN834" s="458"/>
      <c r="BA834" s="1305"/>
      <c r="BC834" s="169"/>
    </row>
    <row r="835" spans="19:55" ht="15.75" customHeight="1">
      <c r="S835" s="454"/>
      <c r="AN835" s="458"/>
      <c r="BA835" s="1305"/>
      <c r="BC835" s="169"/>
    </row>
    <row r="836" spans="19:55" ht="15.75" customHeight="1">
      <c r="S836" s="454"/>
      <c r="AN836" s="458"/>
      <c r="BA836" s="1305"/>
      <c r="BC836" s="169"/>
    </row>
    <row r="837" spans="19:55" ht="15.75" customHeight="1">
      <c r="S837" s="454"/>
      <c r="AN837" s="458"/>
      <c r="BA837" s="1305"/>
      <c r="BC837" s="169"/>
    </row>
    <row r="838" spans="19:55" ht="15.75" customHeight="1">
      <c r="S838" s="454"/>
      <c r="AN838" s="458"/>
      <c r="BA838" s="1305"/>
      <c r="BC838" s="169"/>
    </row>
    <row r="839" spans="19:55" ht="15.75" customHeight="1">
      <c r="S839" s="454"/>
      <c r="AN839" s="458"/>
      <c r="BA839" s="1305"/>
      <c r="BC839" s="169"/>
    </row>
    <row r="840" spans="19:55" ht="15.75" customHeight="1">
      <c r="S840" s="454"/>
      <c r="AN840" s="458"/>
      <c r="BA840" s="1305"/>
      <c r="BC840" s="169"/>
    </row>
    <row r="841" spans="19:55" ht="15.75" customHeight="1">
      <c r="S841" s="454"/>
      <c r="AN841" s="458"/>
      <c r="BA841" s="1305"/>
      <c r="BC841" s="169"/>
    </row>
    <row r="842" spans="19:55" ht="15.75" customHeight="1">
      <c r="S842" s="454"/>
      <c r="AN842" s="458"/>
      <c r="BA842" s="1305"/>
      <c r="BC842" s="169"/>
    </row>
    <row r="843" spans="19:55" ht="15.75" customHeight="1">
      <c r="S843" s="454"/>
      <c r="AN843" s="458"/>
      <c r="BA843" s="1305"/>
      <c r="BC843" s="169"/>
    </row>
    <row r="844" spans="19:55" ht="15.75" customHeight="1">
      <c r="S844" s="454"/>
      <c r="AN844" s="458"/>
      <c r="BA844" s="1305"/>
      <c r="BC844" s="169"/>
    </row>
    <row r="845" spans="19:55" ht="15.75" customHeight="1">
      <c r="S845" s="454"/>
      <c r="AN845" s="458"/>
      <c r="BA845" s="1305"/>
      <c r="BC845" s="169"/>
    </row>
    <row r="846" spans="19:55" ht="15.75" customHeight="1">
      <c r="S846" s="454"/>
      <c r="AN846" s="458"/>
      <c r="BA846" s="1305"/>
      <c r="BC846" s="169"/>
    </row>
    <row r="847" spans="19:55" ht="15.75" customHeight="1">
      <c r="S847" s="454"/>
      <c r="AN847" s="458"/>
      <c r="BA847" s="1305"/>
      <c r="BC847" s="169"/>
    </row>
    <row r="848" spans="19:55" ht="15.75" customHeight="1">
      <c r="S848" s="454"/>
      <c r="AN848" s="458"/>
      <c r="BA848" s="1305"/>
      <c r="BC848" s="169"/>
    </row>
    <row r="849" spans="19:55" ht="15.75" customHeight="1">
      <c r="S849" s="454"/>
      <c r="AN849" s="458"/>
      <c r="BA849" s="1305"/>
      <c r="BC849" s="169"/>
    </row>
    <row r="850" spans="19:55" ht="15.75" customHeight="1">
      <c r="S850" s="454"/>
      <c r="AN850" s="458"/>
      <c r="BA850" s="1305"/>
      <c r="BC850" s="169"/>
    </row>
    <row r="851" spans="19:55" ht="15.75" customHeight="1">
      <c r="S851" s="454"/>
      <c r="AN851" s="458"/>
      <c r="BA851" s="1305"/>
      <c r="BC851" s="169"/>
    </row>
    <row r="852" spans="19:55" ht="15.75" customHeight="1">
      <c r="S852" s="454"/>
      <c r="AN852" s="458"/>
      <c r="BA852" s="1305"/>
      <c r="BC852" s="169"/>
    </row>
    <row r="853" spans="19:55" ht="15.75" customHeight="1">
      <c r="S853" s="454"/>
      <c r="AN853" s="458"/>
      <c r="BA853" s="1305"/>
      <c r="BC853" s="169"/>
    </row>
    <row r="854" spans="19:55" ht="15.75" customHeight="1">
      <c r="S854" s="454"/>
      <c r="AN854" s="458"/>
      <c r="BA854" s="1305"/>
      <c r="BC854" s="169"/>
    </row>
    <row r="855" spans="19:55" ht="15.75" customHeight="1">
      <c r="S855" s="454"/>
      <c r="AN855" s="458"/>
      <c r="BA855" s="1305"/>
      <c r="BC855" s="169"/>
    </row>
    <row r="856" spans="19:55" ht="15.75" customHeight="1">
      <c r="S856" s="454"/>
      <c r="AN856" s="458"/>
      <c r="BA856" s="1305"/>
      <c r="BC856" s="169"/>
    </row>
    <row r="857" spans="19:55" ht="15.75" customHeight="1">
      <c r="S857" s="454"/>
      <c r="AN857" s="458"/>
      <c r="BA857" s="1305"/>
      <c r="BC857" s="169"/>
    </row>
    <row r="858" spans="19:55" ht="15.75" customHeight="1">
      <c r="S858" s="454"/>
      <c r="AN858" s="458"/>
      <c r="BA858" s="1305"/>
      <c r="BC858" s="169"/>
    </row>
    <row r="859" spans="19:55" ht="15.75" customHeight="1">
      <c r="S859" s="454"/>
      <c r="AN859" s="458"/>
      <c r="BA859" s="1305"/>
      <c r="BC859" s="169"/>
    </row>
    <row r="860" spans="19:55" ht="15.75" customHeight="1">
      <c r="S860" s="454"/>
      <c r="AN860" s="458"/>
      <c r="BA860" s="1305"/>
      <c r="BC860" s="169"/>
    </row>
    <row r="861" spans="19:55" ht="15.75" customHeight="1">
      <c r="S861" s="454"/>
      <c r="AN861" s="458"/>
      <c r="BA861" s="1305"/>
      <c r="BC861" s="169"/>
    </row>
    <row r="862" spans="19:55" ht="15.75" customHeight="1">
      <c r="S862" s="454"/>
      <c r="AN862" s="458"/>
      <c r="BA862" s="1305"/>
      <c r="BC862" s="169"/>
    </row>
    <row r="863" spans="19:55" ht="15.75" customHeight="1">
      <c r="S863" s="454"/>
      <c r="AN863" s="458"/>
      <c r="BA863" s="1305"/>
      <c r="BC863" s="169"/>
    </row>
    <row r="864" spans="19:55" ht="15.75" customHeight="1">
      <c r="S864" s="454"/>
      <c r="AN864" s="458"/>
      <c r="BA864" s="1305"/>
      <c r="BC864" s="169"/>
    </row>
    <row r="865" spans="19:55" ht="15.75" customHeight="1">
      <c r="S865" s="454"/>
      <c r="AN865" s="458"/>
      <c r="BA865" s="1305"/>
      <c r="BC865" s="169"/>
    </row>
    <row r="866" spans="19:55" ht="15.75" customHeight="1">
      <c r="S866" s="454"/>
      <c r="AN866" s="458"/>
      <c r="BA866" s="1305"/>
      <c r="BC866" s="169"/>
    </row>
    <row r="867" spans="19:55" ht="15.75" customHeight="1">
      <c r="S867" s="454"/>
      <c r="AN867" s="458"/>
      <c r="BA867" s="1305"/>
      <c r="BC867" s="169"/>
    </row>
    <row r="868" spans="19:55" ht="15.75" customHeight="1">
      <c r="S868" s="454"/>
      <c r="AN868" s="458"/>
      <c r="BA868" s="1305"/>
      <c r="BC868" s="169"/>
    </row>
    <row r="869" spans="19:55" ht="15.75" customHeight="1">
      <c r="S869" s="454"/>
      <c r="AN869" s="458"/>
      <c r="BA869" s="1305"/>
      <c r="BC869" s="169"/>
    </row>
    <row r="870" spans="19:55" ht="15.75" customHeight="1">
      <c r="S870" s="454"/>
      <c r="AN870" s="458"/>
      <c r="BA870" s="1305"/>
      <c r="BC870" s="169"/>
    </row>
    <row r="871" spans="19:55" ht="15.75" customHeight="1">
      <c r="S871" s="454"/>
      <c r="AN871" s="458"/>
      <c r="BA871" s="1305"/>
      <c r="BC871" s="169"/>
    </row>
    <row r="872" spans="19:55" ht="15.75" customHeight="1">
      <c r="S872" s="454"/>
      <c r="AN872" s="458"/>
      <c r="BA872" s="1305"/>
      <c r="BC872" s="169"/>
    </row>
    <row r="873" spans="19:55" ht="15.75" customHeight="1">
      <c r="S873" s="454"/>
      <c r="AN873" s="458"/>
      <c r="BA873" s="1305"/>
      <c r="BC873" s="169"/>
    </row>
    <row r="874" spans="19:55" ht="15.75" customHeight="1">
      <c r="S874" s="454"/>
      <c r="AN874" s="458"/>
      <c r="BA874" s="1305"/>
      <c r="BC874" s="169"/>
    </row>
    <row r="875" spans="19:55" ht="15.75" customHeight="1">
      <c r="S875" s="454"/>
      <c r="AN875" s="458"/>
      <c r="BA875" s="1305"/>
      <c r="BC875" s="169"/>
    </row>
    <row r="876" spans="19:55" ht="15.75" customHeight="1">
      <c r="S876" s="454"/>
      <c r="AN876" s="458"/>
      <c r="BA876" s="1305"/>
      <c r="BC876" s="169"/>
    </row>
    <row r="877" spans="19:55" ht="15.75" customHeight="1">
      <c r="S877" s="454"/>
      <c r="AN877" s="458"/>
      <c r="BA877" s="1305"/>
      <c r="BC877" s="169"/>
    </row>
    <row r="878" spans="19:55" ht="15.75" customHeight="1">
      <c r="S878" s="454"/>
      <c r="AN878" s="458"/>
      <c r="BA878" s="1305"/>
      <c r="BC878" s="169"/>
    </row>
    <row r="879" spans="19:55" ht="15.75" customHeight="1">
      <c r="S879" s="454"/>
      <c r="AN879" s="458"/>
      <c r="BA879" s="1305"/>
      <c r="BC879" s="169"/>
    </row>
    <row r="880" spans="19:55" ht="15.75" customHeight="1">
      <c r="S880" s="454"/>
      <c r="AN880" s="458"/>
      <c r="BA880" s="1305"/>
      <c r="BC880" s="169"/>
    </row>
    <row r="881" spans="19:55" ht="15.75" customHeight="1">
      <c r="S881" s="454"/>
      <c r="AN881" s="458"/>
      <c r="BA881" s="1305"/>
      <c r="BC881" s="169"/>
    </row>
    <row r="882" spans="19:55" ht="15.75" customHeight="1">
      <c r="S882" s="454"/>
      <c r="AN882" s="458"/>
      <c r="BA882" s="1305"/>
      <c r="BC882" s="169"/>
    </row>
    <row r="883" spans="19:55" ht="15.75" customHeight="1">
      <c r="S883" s="454"/>
      <c r="AN883" s="458"/>
      <c r="BA883" s="1305"/>
      <c r="BC883" s="169"/>
    </row>
    <row r="884" spans="19:55" ht="15.75" customHeight="1">
      <c r="S884" s="454"/>
      <c r="AN884" s="458"/>
      <c r="BA884" s="1305"/>
      <c r="BC884" s="169"/>
    </row>
    <row r="885" spans="19:55" ht="15.75" customHeight="1">
      <c r="S885" s="454"/>
      <c r="AN885" s="458"/>
      <c r="BA885" s="1305"/>
      <c r="BC885" s="169"/>
    </row>
    <row r="886" spans="19:55" ht="15.75" customHeight="1">
      <c r="S886" s="454"/>
      <c r="AN886" s="458"/>
      <c r="BA886" s="1305"/>
      <c r="BC886" s="169"/>
    </row>
    <row r="887" spans="19:55" ht="15.75" customHeight="1">
      <c r="S887" s="454"/>
      <c r="AN887" s="458"/>
      <c r="BA887" s="1305"/>
      <c r="BC887" s="169"/>
    </row>
    <row r="888" spans="19:55" ht="15.75" customHeight="1">
      <c r="S888" s="454"/>
      <c r="AN888" s="458"/>
      <c r="BA888" s="1305"/>
      <c r="BC888" s="169"/>
    </row>
    <row r="889" spans="19:55" ht="15.75" customHeight="1">
      <c r="S889" s="454"/>
      <c r="AN889" s="458"/>
      <c r="BA889" s="1305"/>
      <c r="BC889" s="169"/>
    </row>
    <row r="890" spans="19:55" ht="15.75" customHeight="1">
      <c r="S890" s="454"/>
      <c r="AN890" s="458"/>
      <c r="BA890" s="1305"/>
      <c r="BC890" s="169"/>
    </row>
    <row r="891" spans="19:55" ht="15.75" customHeight="1">
      <c r="S891" s="454"/>
      <c r="AN891" s="458"/>
      <c r="BA891" s="1305"/>
      <c r="BC891" s="169"/>
    </row>
    <row r="892" spans="19:55" ht="15.75" customHeight="1">
      <c r="S892" s="454"/>
      <c r="AN892" s="458"/>
      <c r="BA892" s="1305"/>
      <c r="BC892" s="169"/>
    </row>
    <row r="893" spans="19:55" ht="15.75" customHeight="1">
      <c r="S893" s="454"/>
      <c r="AN893" s="458"/>
      <c r="BA893" s="1305"/>
      <c r="BC893" s="169"/>
    </row>
    <row r="894" spans="19:55" ht="15.75" customHeight="1">
      <c r="S894" s="454"/>
      <c r="AN894" s="458"/>
      <c r="BA894" s="1305"/>
      <c r="BC894" s="169"/>
    </row>
    <row r="895" spans="19:55" ht="15.75" customHeight="1">
      <c r="S895" s="454"/>
      <c r="AN895" s="458"/>
      <c r="BA895" s="1305"/>
      <c r="BC895" s="169"/>
    </row>
    <row r="896" spans="19:55" ht="15.75" customHeight="1">
      <c r="S896" s="454"/>
      <c r="AN896" s="458"/>
      <c r="BA896" s="1305"/>
      <c r="BC896" s="169"/>
    </row>
    <row r="897" spans="19:55" ht="15.75" customHeight="1">
      <c r="S897" s="454"/>
      <c r="AN897" s="458"/>
      <c r="BA897" s="1305"/>
      <c r="BC897" s="169"/>
    </row>
    <row r="898" spans="19:55" ht="15.75" customHeight="1">
      <c r="S898" s="454"/>
      <c r="AN898" s="458"/>
      <c r="BA898" s="1305"/>
      <c r="BC898" s="169"/>
    </row>
    <row r="899" spans="19:55" ht="15.75" customHeight="1">
      <c r="S899" s="454"/>
      <c r="AN899" s="458"/>
      <c r="BA899" s="1305"/>
      <c r="BC899" s="169"/>
    </row>
    <row r="900" spans="19:55" ht="15.75" customHeight="1">
      <c r="S900" s="454"/>
      <c r="AN900" s="458"/>
      <c r="BA900" s="1305"/>
      <c r="BC900" s="169"/>
    </row>
    <row r="901" spans="19:55" ht="15.75" customHeight="1">
      <c r="S901" s="454"/>
      <c r="AN901" s="458"/>
      <c r="BA901" s="1305"/>
      <c r="BC901" s="169"/>
    </row>
    <row r="902" spans="19:55" ht="15.75" customHeight="1">
      <c r="S902" s="454"/>
      <c r="AN902" s="458"/>
      <c r="BA902" s="1305"/>
      <c r="BC902" s="169"/>
    </row>
    <row r="903" spans="19:55" ht="15.75" customHeight="1">
      <c r="S903" s="454"/>
      <c r="AN903" s="458"/>
      <c r="BA903" s="1305"/>
      <c r="BC903" s="169"/>
    </row>
    <row r="904" spans="19:55" ht="15.75" customHeight="1">
      <c r="S904" s="454"/>
      <c r="AN904" s="458"/>
      <c r="BA904" s="1305"/>
      <c r="BC904" s="169"/>
    </row>
    <row r="905" spans="19:55" ht="15.75" customHeight="1">
      <c r="S905" s="454"/>
      <c r="AN905" s="458"/>
      <c r="BA905" s="1305"/>
      <c r="BC905" s="169"/>
    </row>
    <row r="906" spans="19:55" ht="15.75" customHeight="1">
      <c r="S906" s="454"/>
      <c r="AN906" s="458"/>
      <c r="BA906" s="1305"/>
      <c r="BC906" s="169"/>
    </row>
    <row r="907" spans="19:55" ht="15.75" customHeight="1">
      <c r="S907" s="454"/>
      <c r="AN907" s="458"/>
      <c r="BA907" s="1305"/>
      <c r="BC907" s="169"/>
    </row>
    <row r="908" spans="19:55" ht="15.75" customHeight="1">
      <c r="S908" s="454"/>
      <c r="AN908" s="458"/>
      <c r="BA908" s="1305"/>
      <c r="BC908" s="169"/>
    </row>
    <row r="909" spans="19:55" ht="15.75" customHeight="1">
      <c r="S909" s="454"/>
      <c r="AN909" s="458"/>
      <c r="BA909" s="1305"/>
      <c r="BC909" s="169"/>
    </row>
    <row r="910" spans="19:55" ht="15.75" customHeight="1">
      <c r="S910" s="454"/>
      <c r="AN910" s="458"/>
      <c r="BA910" s="1305"/>
      <c r="BC910" s="169"/>
    </row>
    <row r="911" spans="19:55" ht="15.75" customHeight="1">
      <c r="S911" s="454"/>
      <c r="AN911" s="458"/>
      <c r="BA911" s="1305"/>
      <c r="BC911" s="169"/>
    </row>
    <row r="912" spans="19:55" ht="15.75" customHeight="1">
      <c r="S912" s="454"/>
      <c r="AN912" s="458"/>
      <c r="BA912" s="1305"/>
      <c r="BC912" s="169"/>
    </row>
    <row r="913" spans="19:55" ht="15.75" customHeight="1">
      <c r="S913" s="454"/>
      <c r="AN913" s="458"/>
      <c r="BA913" s="1305"/>
      <c r="BC913" s="169"/>
    </row>
    <row r="914" spans="19:55" ht="15.75" customHeight="1">
      <c r="S914" s="454"/>
      <c r="AN914" s="458"/>
      <c r="BA914" s="1305"/>
      <c r="BC914" s="169"/>
    </row>
    <row r="915" spans="19:55" ht="15.75" customHeight="1">
      <c r="S915" s="454"/>
      <c r="AN915" s="458"/>
      <c r="BA915" s="1305"/>
      <c r="BC915" s="169"/>
    </row>
    <row r="916" spans="19:55" ht="15.75" customHeight="1">
      <c r="S916" s="454"/>
      <c r="AN916" s="458"/>
      <c r="BA916" s="1305"/>
      <c r="BC916" s="169"/>
    </row>
    <row r="917" spans="19:55" ht="15.75" customHeight="1">
      <c r="S917" s="454"/>
      <c r="AN917" s="458"/>
      <c r="BA917" s="1305"/>
      <c r="BC917" s="169"/>
    </row>
    <row r="918" spans="19:55" ht="15.75" customHeight="1">
      <c r="S918" s="454"/>
      <c r="AN918" s="458"/>
      <c r="BA918" s="1305"/>
      <c r="BC918" s="169"/>
    </row>
    <row r="919" spans="19:55" ht="15.75" customHeight="1">
      <c r="S919" s="454"/>
      <c r="AN919" s="458"/>
      <c r="BA919" s="1305"/>
      <c r="BC919" s="169"/>
    </row>
    <row r="920" spans="19:55" ht="15.75" customHeight="1">
      <c r="S920" s="454"/>
      <c r="AN920" s="458"/>
      <c r="BA920" s="1305"/>
      <c r="BC920" s="169"/>
    </row>
    <row r="921" spans="19:55" ht="15.75" customHeight="1">
      <c r="S921" s="454"/>
      <c r="AN921" s="458"/>
      <c r="BA921" s="1305"/>
      <c r="BC921" s="169"/>
    </row>
    <row r="922" spans="19:55" ht="15.75" customHeight="1">
      <c r="S922" s="454"/>
      <c r="AN922" s="458"/>
      <c r="BA922" s="1305"/>
      <c r="BC922" s="169"/>
    </row>
    <row r="923" spans="19:55" ht="15.75" customHeight="1">
      <c r="S923" s="454"/>
      <c r="AN923" s="458"/>
      <c r="BA923" s="1305"/>
      <c r="BC923" s="169"/>
    </row>
    <row r="924" spans="19:55" ht="15.75" customHeight="1">
      <c r="S924" s="454"/>
      <c r="AN924" s="458"/>
      <c r="BA924" s="1305"/>
      <c r="BC924" s="169"/>
    </row>
    <row r="925" spans="19:55" ht="15.75" customHeight="1">
      <c r="S925" s="454"/>
      <c r="AN925" s="458"/>
      <c r="BA925" s="1305"/>
      <c r="BC925" s="169"/>
    </row>
    <row r="926" spans="19:55" ht="15.75" customHeight="1">
      <c r="S926" s="454"/>
      <c r="AN926" s="458"/>
      <c r="BA926" s="1305"/>
      <c r="BC926" s="169"/>
    </row>
    <row r="927" spans="19:55" ht="15.75" customHeight="1">
      <c r="S927" s="454"/>
      <c r="AN927" s="458"/>
      <c r="BA927" s="1305"/>
      <c r="BC927" s="169"/>
    </row>
    <row r="928" spans="19:55" ht="15.75" customHeight="1">
      <c r="S928" s="454"/>
      <c r="AN928" s="458"/>
      <c r="BA928" s="1305"/>
      <c r="BC928" s="169"/>
    </row>
    <row r="929" spans="19:55" ht="15.75" customHeight="1">
      <c r="S929" s="454"/>
      <c r="AN929" s="458"/>
      <c r="BA929" s="1305"/>
      <c r="BC929" s="169"/>
    </row>
    <row r="930" spans="19:55" ht="15.75" customHeight="1">
      <c r="S930" s="454"/>
      <c r="AN930" s="458"/>
      <c r="BA930" s="1305"/>
      <c r="BC930" s="169"/>
    </row>
    <row r="931" spans="19:55" ht="15.75" customHeight="1">
      <c r="S931" s="454"/>
      <c r="AN931" s="458"/>
      <c r="BA931" s="1305"/>
      <c r="BC931" s="169"/>
    </row>
    <row r="932" spans="19:55" ht="15.75" customHeight="1">
      <c r="S932" s="454"/>
      <c r="AN932" s="458"/>
      <c r="BA932" s="1305"/>
      <c r="BC932" s="169"/>
    </row>
    <row r="933" spans="19:55" ht="15.75" customHeight="1">
      <c r="S933" s="454"/>
      <c r="AN933" s="458"/>
      <c r="BA933" s="1305"/>
      <c r="BC933" s="169"/>
    </row>
    <row r="934" spans="19:55" ht="15.75" customHeight="1">
      <c r="S934" s="454"/>
      <c r="AN934" s="458"/>
      <c r="BA934" s="1305"/>
      <c r="BC934" s="169"/>
    </row>
    <row r="935" spans="19:55" ht="15.75" customHeight="1">
      <c r="S935" s="454"/>
      <c r="AN935" s="458"/>
      <c r="BA935" s="1305"/>
      <c r="BC935" s="169"/>
    </row>
    <row r="936" spans="19:55" ht="15.75" customHeight="1">
      <c r="S936" s="454"/>
      <c r="AN936" s="458"/>
      <c r="BA936" s="1305"/>
      <c r="BC936" s="169"/>
    </row>
    <row r="937" spans="19:55" ht="15.75" customHeight="1">
      <c r="S937" s="454"/>
      <c r="AN937" s="458"/>
      <c r="BA937" s="1305"/>
      <c r="BC937" s="169"/>
    </row>
    <row r="938" spans="19:55" ht="15.75" customHeight="1">
      <c r="S938" s="454"/>
      <c r="AN938" s="458"/>
      <c r="BA938" s="1305"/>
      <c r="BC938" s="169"/>
    </row>
    <row r="939" spans="19:55" ht="15.75" customHeight="1">
      <c r="S939" s="454"/>
      <c r="AN939" s="458"/>
      <c r="BA939" s="1305"/>
      <c r="BC939" s="169"/>
    </row>
    <row r="940" spans="19:55" ht="15.75" customHeight="1">
      <c r="S940" s="454"/>
      <c r="AN940" s="458"/>
      <c r="BA940" s="1305"/>
      <c r="BC940" s="169"/>
    </row>
    <row r="941" spans="19:55" ht="15.75" customHeight="1">
      <c r="S941" s="454"/>
      <c r="AN941" s="458"/>
      <c r="BA941" s="1305"/>
      <c r="BC941" s="169"/>
    </row>
    <row r="942" spans="19:55" ht="15.75" customHeight="1">
      <c r="S942" s="454"/>
      <c r="AN942" s="458"/>
      <c r="BA942" s="1305"/>
      <c r="BC942" s="169"/>
    </row>
    <row r="943" spans="19:55" ht="15.75" customHeight="1">
      <c r="S943" s="454"/>
      <c r="AN943" s="458"/>
      <c r="BA943" s="1305"/>
      <c r="BC943" s="169"/>
    </row>
    <row r="944" spans="19:55" ht="15.75" customHeight="1">
      <c r="S944" s="454"/>
      <c r="AN944" s="458"/>
      <c r="BA944" s="1305"/>
      <c r="BC944" s="169"/>
    </row>
    <row r="945" spans="19:55" ht="15.75" customHeight="1">
      <c r="S945" s="454"/>
      <c r="AN945" s="458"/>
      <c r="BA945" s="1305"/>
      <c r="BC945" s="169"/>
    </row>
    <row r="946" spans="19:55" ht="15.75" customHeight="1">
      <c r="S946" s="454"/>
      <c r="AN946" s="458"/>
      <c r="BA946" s="1305"/>
      <c r="BC946" s="169"/>
    </row>
    <row r="947" spans="19:55" ht="15.75" customHeight="1">
      <c r="S947" s="454"/>
      <c r="AN947" s="458"/>
      <c r="BA947" s="1305"/>
      <c r="BC947" s="169"/>
    </row>
    <row r="948" spans="19:55" ht="15.75" customHeight="1">
      <c r="S948" s="454"/>
      <c r="AN948" s="458"/>
      <c r="BA948" s="1305"/>
      <c r="BC948" s="169"/>
    </row>
    <row r="949" spans="19:55" ht="15.75" customHeight="1">
      <c r="S949" s="454"/>
      <c r="AN949" s="458"/>
      <c r="BA949" s="1305"/>
      <c r="BC949" s="169"/>
    </row>
    <row r="950" spans="19:55" ht="15.75" customHeight="1">
      <c r="S950" s="454"/>
      <c r="AN950" s="458"/>
      <c r="BA950" s="1305"/>
      <c r="BC950" s="169"/>
    </row>
    <row r="951" spans="19:55" ht="15.75" customHeight="1">
      <c r="S951" s="454"/>
      <c r="AN951" s="458"/>
      <c r="BA951" s="1305"/>
      <c r="BC951" s="169"/>
    </row>
    <row r="952" spans="19:55" ht="15.75" customHeight="1">
      <c r="S952" s="454"/>
      <c r="AN952" s="458"/>
      <c r="BA952" s="1305"/>
      <c r="BC952" s="169"/>
    </row>
    <row r="953" spans="19:55" ht="15.75" customHeight="1">
      <c r="S953" s="454"/>
      <c r="AN953" s="458"/>
      <c r="BA953" s="1305"/>
      <c r="BC953" s="169"/>
    </row>
    <row r="954" spans="19:55" ht="15.75" customHeight="1">
      <c r="S954" s="454"/>
      <c r="AN954" s="458"/>
      <c r="BA954" s="1305"/>
      <c r="BC954" s="169"/>
    </row>
    <row r="955" spans="19:55" ht="15.75" customHeight="1">
      <c r="S955" s="454"/>
      <c r="AN955" s="458"/>
      <c r="BA955" s="1305"/>
      <c r="BC955" s="169"/>
    </row>
    <row r="956" spans="19:55" ht="15.75" customHeight="1">
      <c r="S956" s="454"/>
      <c r="AN956" s="458"/>
      <c r="BA956" s="1305"/>
      <c r="BC956" s="169"/>
    </row>
    <row r="957" spans="19:55" ht="15.75" customHeight="1">
      <c r="S957" s="454"/>
      <c r="AN957" s="458"/>
      <c r="BA957" s="1305"/>
      <c r="BC957" s="169"/>
    </row>
    <row r="958" spans="19:55" ht="15.75" customHeight="1">
      <c r="S958" s="454"/>
      <c r="AN958" s="458"/>
      <c r="BA958" s="1305"/>
      <c r="BC958" s="169"/>
    </row>
    <row r="959" spans="19:55" ht="15.75" customHeight="1">
      <c r="S959" s="454"/>
      <c r="AN959" s="458"/>
      <c r="BA959" s="1305"/>
      <c r="BC959" s="169"/>
    </row>
    <row r="960" spans="19:55" ht="15.75" customHeight="1">
      <c r="S960" s="454"/>
      <c r="AN960" s="458"/>
      <c r="BA960" s="1305"/>
      <c r="BC960" s="169"/>
    </row>
    <row r="961" spans="19:55" ht="15.75" customHeight="1">
      <c r="S961" s="454"/>
      <c r="AN961" s="458"/>
      <c r="BA961" s="1305"/>
      <c r="BC961" s="169"/>
    </row>
    <row r="962" spans="19:55" ht="15.75" customHeight="1">
      <c r="S962" s="454"/>
      <c r="AN962" s="458"/>
      <c r="BA962" s="1305"/>
      <c r="BC962" s="169"/>
    </row>
    <row r="963" spans="19:55" ht="15.75" customHeight="1">
      <c r="S963" s="454"/>
      <c r="AN963" s="458"/>
      <c r="BA963" s="1305"/>
      <c r="BC963" s="169"/>
    </row>
    <row r="964" spans="19:55" ht="15.75" customHeight="1">
      <c r="S964" s="454"/>
      <c r="AN964" s="458"/>
      <c r="BA964" s="1305"/>
      <c r="BC964" s="169"/>
    </row>
    <row r="965" spans="19:55" ht="15.75" customHeight="1">
      <c r="S965" s="454"/>
      <c r="AN965" s="458"/>
      <c r="BA965" s="1305"/>
      <c r="BC965" s="169"/>
    </row>
    <row r="966" spans="19:55" ht="15.75" customHeight="1">
      <c r="S966" s="454"/>
      <c r="AN966" s="458"/>
      <c r="BA966" s="1305"/>
      <c r="BC966" s="169"/>
    </row>
    <row r="967" spans="19:55" ht="15.75" customHeight="1">
      <c r="S967" s="454"/>
      <c r="AN967" s="458"/>
      <c r="BA967" s="1305"/>
      <c r="BC967" s="169"/>
    </row>
    <row r="968" spans="19:55" ht="15.75" customHeight="1">
      <c r="S968" s="454"/>
      <c r="AN968" s="458"/>
      <c r="BA968" s="1305"/>
      <c r="BC968" s="169"/>
    </row>
    <row r="969" spans="19:55" ht="15.75" customHeight="1">
      <c r="S969" s="454"/>
      <c r="AN969" s="458"/>
      <c r="BA969" s="1305"/>
      <c r="BC969" s="169"/>
    </row>
    <row r="970" spans="19:55" ht="15.75" customHeight="1">
      <c r="S970" s="454"/>
      <c r="AN970" s="458"/>
      <c r="BA970" s="1305"/>
      <c r="BC970" s="169"/>
    </row>
    <row r="971" spans="19:55" ht="15.75" customHeight="1">
      <c r="S971" s="454"/>
      <c r="AN971" s="458"/>
      <c r="BA971" s="1305"/>
      <c r="BC971" s="169"/>
    </row>
    <row r="972" spans="19:55" ht="15.75" customHeight="1">
      <c r="S972" s="454"/>
      <c r="AN972" s="458"/>
      <c r="BA972" s="1305"/>
      <c r="BC972" s="169"/>
    </row>
    <row r="973" spans="19:55" ht="15.75" customHeight="1">
      <c r="S973" s="454"/>
      <c r="AN973" s="458"/>
      <c r="BA973" s="1305"/>
      <c r="BC973" s="169"/>
    </row>
    <row r="974" spans="19:55" ht="15.75" customHeight="1">
      <c r="S974" s="454"/>
      <c r="AN974" s="458"/>
      <c r="BA974" s="1305"/>
      <c r="BC974" s="169"/>
    </row>
    <row r="975" spans="19:55" ht="15.75" customHeight="1">
      <c r="S975" s="454"/>
      <c r="AN975" s="458"/>
      <c r="BA975" s="1305"/>
      <c r="BC975" s="169"/>
    </row>
    <row r="976" spans="19:55" ht="15.75" customHeight="1">
      <c r="S976" s="454"/>
      <c r="AN976" s="458"/>
      <c r="BA976" s="1305"/>
      <c r="BC976" s="169"/>
    </row>
    <row r="977" spans="19:55" ht="15.75" customHeight="1">
      <c r="S977" s="454"/>
      <c r="AN977" s="458"/>
      <c r="BA977" s="1305"/>
      <c r="BC977" s="169"/>
    </row>
    <row r="978" spans="19:55" ht="15.75" customHeight="1">
      <c r="S978" s="454"/>
      <c r="AN978" s="458"/>
      <c r="BA978" s="1305"/>
      <c r="BC978" s="169"/>
    </row>
    <row r="979" spans="19:55" ht="15.75" customHeight="1">
      <c r="S979" s="454"/>
      <c r="AN979" s="458"/>
      <c r="BA979" s="1305"/>
      <c r="BC979" s="169"/>
    </row>
    <row r="980" spans="19:55" ht="15.75" customHeight="1">
      <c r="S980" s="454"/>
      <c r="AN980" s="458"/>
      <c r="BA980" s="1305"/>
      <c r="BC980" s="169"/>
    </row>
    <row r="981" spans="19:55" ht="15.75" customHeight="1">
      <c r="S981" s="454"/>
      <c r="AN981" s="458"/>
      <c r="BA981" s="1305"/>
      <c r="BC981" s="169"/>
    </row>
    <row r="982" spans="19:55" ht="15.75" customHeight="1">
      <c r="S982" s="454"/>
      <c r="AN982" s="458"/>
      <c r="BA982" s="1305"/>
      <c r="BC982" s="169"/>
    </row>
    <row r="983" spans="19:55" ht="15.75" customHeight="1">
      <c r="S983" s="454"/>
      <c r="AN983" s="458"/>
      <c r="BA983" s="1305"/>
      <c r="BC983" s="169"/>
    </row>
    <row r="984" spans="19:55" ht="15.75" customHeight="1">
      <c r="S984" s="454"/>
      <c r="AN984" s="458"/>
      <c r="BA984" s="1305"/>
      <c r="BC984" s="169"/>
    </row>
    <row r="985" spans="19:55" ht="15.75" customHeight="1">
      <c r="S985" s="454"/>
      <c r="AN985" s="458"/>
      <c r="BA985" s="1305"/>
      <c r="BC985" s="169"/>
    </row>
    <row r="986" spans="19:55" ht="15.75" customHeight="1">
      <c r="S986" s="454"/>
      <c r="AN986" s="458"/>
      <c r="BA986" s="1305"/>
      <c r="BC986" s="169"/>
    </row>
    <row r="987" spans="19:55" ht="15.75" customHeight="1">
      <c r="S987" s="454"/>
      <c r="AN987" s="458"/>
      <c r="BA987" s="1305"/>
      <c r="BC987" s="169"/>
    </row>
    <row r="988" spans="19:55" ht="15.75" customHeight="1">
      <c r="S988" s="454"/>
      <c r="AN988" s="458"/>
      <c r="BA988" s="1305"/>
      <c r="BC988" s="169"/>
    </row>
    <row r="989" spans="19:55" ht="15.75" customHeight="1">
      <c r="S989" s="454"/>
      <c r="AN989" s="458"/>
      <c r="BA989" s="1305"/>
      <c r="BC989" s="169"/>
    </row>
    <row r="990" spans="19:55" ht="15.75" customHeight="1">
      <c r="S990" s="454"/>
      <c r="AN990" s="458"/>
      <c r="BA990" s="1305"/>
      <c r="BC990" s="169"/>
    </row>
    <row r="991" spans="19:55" ht="15.75" customHeight="1">
      <c r="S991" s="454"/>
      <c r="AN991" s="458"/>
      <c r="BA991" s="1305"/>
      <c r="BC991" s="169"/>
    </row>
    <row r="992" spans="19:55" ht="15.75" customHeight="1">
      <c r="S992" s="454"/>
      <c r="AN992" s="458"/>
      <c r="BA992" s="1305"/>
      <c r="BC992" s="169"/>
    </row>
    <row r="993" spans="19:55" ht="15.75" customHeight="1">
      <c r="S993" s="454"/>
      <c r="AN993" s="458"/>
      <c r="BA993" s="1305"/>
      <c r="BC993" s="169"/>
    </row>
    <row r="994" spans="19:55" ht="15.75" customHeight="1">
      <c r="S994" s="454"/>
      <c r="AN994" s="458"/>
      <c r="BA994" s="1305"/>
      <c r="BC994" s="169"/>
    </row>
    <row r="995" spans="19:55" ht="15.75" customHeight="1">
      <c r="S995" s="454"/>
      <c r="AN995" s="458"/>
      <c r="BA995" s="1305"/>
      <c r="BC995" s="169"/>
    </row>
    <row r="996" spans="19:55" ht="15.75" customHeight="1">
      <c r="S996" s="454"/>
      <c r="AN996" s="458"/>
      <c r="BA996" s="1305"/>
      <c r="BC996" s="169"/>
    </row>
    <row r="997" spans="19:55" ht="15.75" customHeight="1">
      <c r="S997" s="454"/>
      <c r="AN997" s="458"/>
      <c r="BA997" s="1305"/>
      <c r="BC997" s="169"/>
    </row>
    <row r="998" spans="19:55" ht="15.75" customHeight="1">
      <c r="S998" s="454"/>
      <c r="AN998" s="458"/>
      <c r="BA998" s="1305"/>
      <c r="BC998" s="169"/>
    </row>
    <row r="999" spans="19:55" ht="15.75" customHeight="1">
      <c r="S999" s="454"/>
      <c r="AN999" s="458"/>
      <c r="BA999" s="1305"/>
      <c r="BC999" s="169"/>
    </row>
    <row r="1000" spans="19:55" ht="15.75" customHeight="1">
      <c r="S1000" s="454"/>
      <c r="AN1000" s="458"/>
      <c r="BA1000" s="1305"/>
      <c r="BC1000" s="169"/>
    </row>
    <row r="1001" spans="19:55" ht="15.75" customHeight="1">
      <c r="S1001" s="454"/>
      <c r="AN1001" s="458"/>
      <c r="BA1001" s="1305"/>
      <c r="BC1001" s="169"/>
    </row>
    <row r="1002" spans="19:55" ht="15.75" customHeight="1">
      <c r="S1002" s="454"/>
      <c r="AN1002" s="458"/>
      <c r="BA1002" s="1305"/>
      <c r="BC1002" s="169"/>
    </row>
    <row r="1003" spans="19:55" ht="15.75" customHeight="1">
      <c r="S1003" s="454"/>
      <c r="AN1003" s="458"/>
      <c r="BA1003" s="1305"/>
      <c r="BC1003" s="169"/>
    </row>
    <row r="1004" spans="19:55" ht="15.75" customHeight="1">
      <c r="S1004" s="454"/>
      <c r="AN1004" s="458"/>
      <c r="BA1004" s="1305"/>
      <c r="BC1004" s="169"/>
    </row>
    <row r="1005" spans="19:55" ht="15.75" customHeight="1">
      <c r="S1005" s="454"/>
      <c r="AN1005" s="458"/>
      <c r="BA1005" s="1305"/>
      <c r="BC1005" s="169"/>
    </row>
    <row r="1006" spans="19:55" ht="15.75" customHeight="1">
      <c r="S1006" s="454"/>
      <c r="AN1006" s="458"/>
      <c r="BA1006" s="1305"/>
      <c r="BC1006" s="169"/>
    </row>
    <row r="1007" spans="19:55" ht="15.75" customHeight="1">
      <c r="S1007" s="454"/>
      <c r="AN1007" s="458"/>
      <c r="BA1007" s="1305"/>
      <c r="BC1007" s="169"/>
    </row>
    <row r="1008" spans="19:55" ht="15.75" customHeight="1">
      <c r="S1008" s="454"/>
      <c r="AN1008" s="458"/>
      <c r="BA1008" s="1305"/>
      <c r="BC1008" s="169"/>
    </row>
    <row r="1009" spans="19:55" ht="15.75" customHeight="1">
      <c r="S1009" s="454"/>
      <c r="AN1009" s="458"/>
      <c r="BA1009" s="1305"/>
      <c r="BC1009" s="169"/>
    </row>
    <row r="1010" spans="19:55" ht="15.75" customHeight="1">
      <c r="S1010" s="454"/>
      <c r="AN1010" s="458"/>
      <c r="BA1010" s="1305"/>
      <c r="BC1010" s="169"/>
    </row>
    <row r="1011" spans="19:55" ht="15.75" customHeight="1">
      <c r="S1011" s="454"/>
      <c r="AN1011" s="458"/>
      <c r="BA1011" s="1305"/>
      <c r="BC1011" s="169"/>
    </row>
    <row r="1012" spans="19:55" ht="15.75" customHeight="1">
      <c r="S1012" s="454"/>
      <c r="AN1012" s="458"/>
      <c r="BA1012" s="1305"/>
      <c r="BC1012" s="169"/>
    </row>
    <row r="1013" spans="19:55" ht="15.75" customHeight="1">
      <c r="S1013" s="454"/>
      <c r="AN1013" s="458"/>
      <c r="BA1013" s="1305"/>
      <c r="BC1013" s="169"/>
    </row>
    <row r="1014" spans="19:55" ht="15.75" customHeight="1">
      <c r="S1014" s="454"/>
      <c r="AN1014" s="458"/>
      <c r="BA1014" s="1305"/>
      <c r="BC1014" s="169"/>
    </row>
    <row r="1015" spans="19:55" ht="15.75" customHeight="1">
      <c r="S1015" s="454"/>
      <c r="AN1015" s="458"/>
      <c r="BA1015" s="1305"/>
      <c r="BC1015" s="169"/>
    </row>
    <row r="1016" spans="19:55" ht="15.75" customHeight="1">
      <c r="S1016" s="454"/>
      <c r="AN1016" s="458"/>
      <c r="BA1016" s="1305"/>
      <c r="BC1016" s="169"/>
    </row>
    <row r="1017" spans="19:55" ht="15.75" customHeight="1">
      <c r="S1017" s="454"/>
      <c r="AN1017" s="458"/>
      <c r="BA1017" s="1305"/>
      <c r="BC1017" s="169"/>
    </row>
    <row r="1018" spans="19:55" ht="15.75" customHeight="1">
      <c r="S1018" s="454"/>
      <c r="AN1018" s="458"/>
      <c r="BA1018" s="1305"/>
      <c r="BC1018" s="169"/>
    </row>
    <row r="1019" spans="19:55" ht="15.75" customHeight="1">
      <c r="S1019" s="454"/>
      <c r="AN1019" s="458"/>
      <c r="BA1019" s="1305"/>
      <c r="BC1019" s="169"/>
    </row>
    <row r="1020" spans="19:55" ht="15.75" customHeight="1">
      <c r="S1020" s="454"/>
      <c r="AN1020" s="458"/>
      <c r="BA1020" s="1305"/>
      <c r="BC1020" s="169"/>
    </row>
    <row r="1021" spans="19:55" ht="15.75" customHeight="1">
      <c r="S1021" s="454"/>
      <c r="AN1021" s="458"/>
      <c r="BA1021" s="1305"/>
      <c r="BC1021" s="169"/>
    </row>
    <row r="1022" spans="19:55" ht="15.75" customHeight="1">
      <c r="S1022" s="454"/>
      <c r="AN1022" s="458"/>
      <c r="BA1022" s="1305"/>
      <c r="BC1022" s="169"/>
    </row>
    <row r="1023" spans="19:55" ht="15.75" customHeight="1">
      <c r="S1023" s="454"/>
      <c r="AN1023" s="458"/>
      <c r="BA1023" s="1305"/>
      <c r="BC1023" s="169"/>
    </row>
    <row r="1024" spans="19:55" ht="15.75" customHeight="1">
      <c r="S1024" s="454"/>
      <c r="AN1024" s="458"/>
      <c r="BA1024" s="1305"/>
      <c r="BC1024" s="169"/>
    </row>
    <row r="1025" spans="19:55" ht="15.75" customHeight="1">
      <c r="S1025" s="454"/>
      <c r="AN1025" s="458"/>
      <c r="BA1025" s="1305"/>
      <c r="BC1025" s="169"/>
    </row>
    <row r="1026" spans="19:55" ht="15.75" customHeight="1">
      <c r="S1026" s="454"/>
      <c r="AN1026" s="458"/>
      <c r="BA1026" s="1305"/>
      <c r="BC1026" s="169"/>
    </row>
    <row r="1027" spans="19:55" ht="15.75" customHeight="1">
      <c r="S1027" s="454"/>
      <c r="AN1027" s="458"/>
      <c r="BA1027" s="1305"/>
      <c r="BC1027" s="169"/>
    </row>
    <row r="1028" spans="19:55" ht="15.75" customHeight="1">
      <c r="S1028" s="454"/>
      <c r="AN1028" s="458"/>
      <c r="BA1028" s="1305"/>
      <c r="BC1028" s="169"/>
    </row>
    <row r="1029" spans="19:55" ht="15.75" customHeight="1">
      <c r="S1029" s="454"/>
      <c r="AN1029" s="458"/>
      <c r="BA1029" s="1305"/>
      <c r="BC1029" s="169"/>
    </row>
    <row r="1030" spans="19:55" ht="15.75" customHeight="1">
      <c r="S1030" s="454"/>
      <c r="AN1030" s="458"/>
      <c r="BA1030" s="1305"/>
      <c r="BC1030" s="169"/>
    </row>
    <row r="1031" spans="19:55" ht="15.75" customHeight="1">
      <c r="S1031" s="454"/>
      <c r="AN1031" s="458"/>
      <c r="BA1031" s="1305"/>
      <c r="BC1031" s="169"/>
    </row>
    <row r="1032" spans="19:55" ht="15.75" customHeight="1">
      <c r="S1032" s="454"/>
      <c r="AN1032" s="458"/>
      <c r="BA1032" s="1305"/>
      <c r="BC1032" s="169"/>
    </row>
    <row r="1033" spans="19:55" ht="15.75" customHeight="1">
      <c r="S1033" s="454"/>
      <c r="AN1033" s="458"/>
      <c r="BA1033" s="1305"/>
      <c r="BC1033" s="169"/>
    </row>
    <row r="1034" spans="19:55" ht="15.75" customHeight="1">
      <c r="S1034" s="454"/>
      <c r="AN1034" s="458"/>
      <c r="BA1034" s="1305"/>
      <c r="BC1034" s="169"/>
    </row>
    <row r="1035" spans="19:55" ht="15.75" customHeight="1">
      <c r="S1035" s="454"/>
      <c r="AN1035" s="458"/>
      <c r="BA1035" s="1305"/>
      <c r="BC1035" s="169"/>
    </row>
    <row r="1036" spans="19:55" ht="15.75" customHeight="1">
      <c r="S1036" s="454"/>
      <c r="AN1036" s="458"/>
      <c r="BA1036" s="1305"/>
      <c r="BC1036" s="169"/>
    </row>
    <row r="1037" spans="19:55" ht="15.75" customHeight="1">
      <c r="S1037" s="454"/>
      <c r="AN1037" s="458"/>
      <c r="BA1037" s="1305"/>
      <c r="BC1037" s="169"/>
    </row>
    <row r="1038" spans="19:55" ht="15.75" customHeight="1">
      <c r="S1038" s="454"/>
      <c r="AN1038" s="458"/>
      <c r="BA1038" s="1305"/>
      <c r="BC1038" s="169"/>
    </row>
    <row r="1039" spans="19:55" ht="15.75" customHeight="1">
      <c r="S1039" s="454"/>
      <c r="AN1039" s="458"/>
      <c r="BA1039" s="1305"/>
      <c r="BC1039" s="169"/>
    </row>
    <row r="1040" spans="19:55" ht="15.75" customHeight="1">
      <c r="S1040" s="454"/>
      <c r="AN1040" s="458"/>
      <c r="BA1040" s="1305"/>
      <c r="BC1040" s="169"/>
    </row>
    <row r="1041" spans="19:55" ht="15.75" customHeight="1">
      <c r="S1041" s="454"/>
      <c r="AN1041" s="458"/>
      <c r="BA1041" s="1305"/>
      <c r="BC1041" s="169"/>
    </row>
    <row r="1042" spans="19:55" ht="15.75" customHeight="1">
      <c r="S1042" s="454"/>
      <c r="AN1042" s="458"/>
      <c r="BA1042" s="1305"/>
      <c r="BC1042" s="169"/>
    </row>
    <row r="1043" spans="19:55" ht="15.75" customHeight="1">
      <c r="S1043" s="454"/>
      <c r="AN1043" s="458"/>
      <c r="BA1043" s="1305"/>
      <c r="BC1043" s="169"/>
    </row>
    <row r="1044" spans="19:55" ht="15.75" customHeight="1">
      <c r="S1044" s="454"/>
      <c r="AN1044" s="458"/>
      <c r="BA1044" s="1305"/>
      <c r="BC1044" s="169"/>
    </row>
    <row r="1045" spans="19:55" ht="15.75" customHeight="1">
      <c r="S1045" s="454"/>
      <c r="AN1045" s="458"/>
      <c r="BA1045" s="1305"/>
      <c r="BC1045" s="169"/>
    </row>
    <row r="1046" spans="19:55" ht="15.75" customHeight="1">
      <c r="S1046" s="454"/>
      <c r="AN1046" s="458"/>
      <c r="BA1046" s="1305"/>
      <c r="BC1046" s="169"/>
    </row>
    <row r="1047" spans="19:55" ht="15.75" customHeight="1">
      <c r="S1047" s="454"/>
      <c r="AN1047" s="458"/>
      <c r="BA1047" s="1305"/>
      <c r="BC1047" s="169"/>
    </row>
    <row r="1048" spans="19:55" ht="15.75" customHeight="1">
      <c r="S1048" s="454"/>
      <c r="AN1048" s="458"/>
      <c r="BA1048" s="1305"/>
      <c r="BC1048" s="169"/>
    </row>
    <row r="1049" spans="19:55" ht="15.75" customHeight="1">
      <c r="S1049" s="454"/>
      <c r="AN1049" s="458"/>
      <c r="BA1049" s="1305"/>
      <c r="BC1049" s="169"/>
    </row>
    <row r="1050" spans="19:55" ht="15.75" customHeight="1">
      <c r="S1050" s="454"/>
      <c r="AN1050" s="458"/>
      <c r="BA1050" s="1305"/>
      <c r="BC1050" s="169"/>
    </row>
    <row r="1051" spans="19:55" ht="15.75" customHeight="1">
      <c r="S1051" s="454"/>
      <c r="AN1051" s="458"/>
      <c r="BA1051" s="1305"/>
      <c r="BC1051" s="169"/>
    </row>
    <row r="1052" spans="19:55" ht="15.75" customHeight="1">
      <c r="S1052" s="454"/>
      <c r="AN1052" s="458"/>
      <c r="BA1052" s="1305"/>
      <c r="BC1052" s="169"/>
    </row>
    <row r="1053" spans="19:55" ht="15.75" customHeight="1">
      <c r="S1053" s="454"/>
      <c r="AN1053" s="458"/>
      <c r="BA1053" s="1305"/>
      <c r="BC1053" s="169"/>
    </row>
    <row r="1054" spans="19:55" ht="15.75" customHeight="1">
      <c r="S1054" s="454"/>
      <c r="AN1054" s="458"/>
      <c r="BA1054" s="1305"/>
      <c r="BC1054" s="169"/>
    </row>
    <row r="1055" spans="19:55" ht="15.75" customHeight="1">
      <c r="S1055" s="454"/>
      <c r="AN1055" s="458"/>
      <c r="BA1055" s="1305"/>
      <c r="BC1055" s="169"/>
    </row>
    <row r="1056" spans="19:55" ht="15.75" customHeight="1">
      <c r="S1056" s="454"/>
      <c r="AN1056" s="458"/>
      <c r="BA1056" s="1305"/>
      <c r="BC1056" s="169"/>
    </row>
    <row r="1057" spans="19:55" ht="15.75" customHeight="1">
      <c r="S1057" s="454"/>
      <c r="AN1057" s="458"/>
      <c r="BA1057" s="1305"/>
      <c r="BC1057" s="169"/>
    </row>
    <row r="1058" spans="19:55" ht="15.75" customHeight="1">
      <c r="S1058" s="454"/>
      <c r="AN1058" s="458"/>
      <c r="BA1058" s="1305"/>
      <c r="BC1058" s="169"/>
    </row>
    <row r="1059" spans="19:55" ht="15.75" customHeight="1">
      <c r="S1059" s="454"/>
      <c r="AN1059" s="458"/>
      <c r="BA1059" s="1305"/>
      <c r="BC1059" s="169"/>
    </row>
    <row r="1060" spans="19:55" ht="15.75" customHeight="1">
      <c r="S1060" s="454"/>
      <c r="AN1060" s="458"/>
      <c r="BA1060" s="1305"/>
      <c r="BC1060" s="169"/>
    </row>
    <row r="1061" spans="19:55" ht="15.75" customHeight="1">
      <c r="S1061" s="454"/>
      <c r="AN1061" s="458"/>
      <c r="BA1061" s="1305"/>
      <c r="BC1061" s="169"/>
    </row>
    <row r="1062" spans="19:55" ht="15.75" customHeight="1">
      <c r="S1062" s="454"/>
      <c r="AN1062" s="458"/>
      <c r="BA1062" s="1305"/>
      <c r="BC1062" s="169"/>
    </row>
    <row r="1063" spans="19:55" ht="15.75" customHeight="1">
      <c r="S1063" s="454"/>
      <c r="AN1063" s="458"/>
      <c r="BA1063" s="1305"/>
      <c r="BC1063" s="169"/>
    </row>
    <row r="1064" spans="19:55" ht="15.75" customHeight="1">
      <c r="S1064" s="454"/>
      <c r="AN1064" s="458"/>
      <c r="BA1064" s="1305"/>
      <c r="BC1064" s="169"/>
    </row>
    <row r="1065" spans="19:55" ht="15.75" customHeight="1">
      <c r="S1065" s="454"/>
      <c r="AN1065" s="458"/>
      <c r="BA1065" s="1305"/>
      <c r="BC1065" s="169"/>
    </row>
    <row r="1066" spans="19:55" ht="15.75" customHeight="1">
      <c r="S1066" s="454"/>
      <c r="AN1066" s="458"/>
      <c r="BA1066" s="1305"/>
      <c r="BC1066" s="169"/>
    </row>
    <row r="1067" spans="19:55" ht="15.75" customHeight="1">
      <c r="S1067" s="454"/>
      <c r="AN1067" s="458"/>
      <c r="BA1067" s="1305"/>
      <c r="BC1067" s="169"/>
    </row>
    <row r="1068" spans="19:55" ht="15.75" customHeight="1">
      <c r="S1068" s="454"/>
      <c r="AN1068" s="458"/>
      <c r="BA1068" s="1305"/>
      <c r="BC1068" s="169"/>
    </row>
    <row r="1069" spans="19:55" ht="15.75" customHeight="1">
      <c r="S1069" s="454"/>
      <c r="AN1069" s="458"/>
      <c r="BA1069" s="1305"/>
      <c r="BC1069" s="169"/>
    </row>
    <row r="1070" spans="19:55" ht="15.75" customHeight="1">
      <c r="S1070" s="454"/>
      <c r="AN1070" s="458"/>
      <c r="BA1070" s="1305"/>
      <c r="BC1070" s="169"/>
    </row>
    <row r="1071" spans="19:55" ht="15.75" customHeight="1">
      <c r="S1071" s="454"/>
      <c r="AN1071" s="458"/>
      <c r="BA1071" s="1305"/>
      <c r="BC1071" s="169"/>
    </row>
    <row r="1072" spans="19:55" ht="15.75" customHeight="1">
      <c r="S1072" s="454"/>
      <c r="AN1072" s="458"/>
      <c r="BA1072" s="1305"/>
      <c r="BC1072" s="169"/>
    </row>
    <row r="1073" spans="19:55" ht="15.75" customHeight="1">
      <c r="S1073" s="454"/>
      <c r="AN1073" s="458"/>
      <c r="BA1073" s="1305"/>
      <c r="BC1073" s="169"/>
    </row>
    <row r="1074" spans="19:55" ht="15.75" customHeight="1">
      <c r="S1074" s="454"/>
      <c r="AN1074" s="458"/>
      <c r="BA1074" s="1305"/>
      <c r="BC1074" s="169"/>
    </row>
    <row r="1075" spans="19:55" ht="15.75" customHeight="1">
      <c r="S1075" s="454"/>
      <c r="AN1075" s="458"/>
      <c r="BA1075" s="1305"/>
      <c r="BC1075" s="169"/>
    </row>
    <row r="1076" spans="19:55" ht="15.75" customHeight="1">
      <c r="S1076" s="454"/>
      <c r="AN1076" s="458"/>
      <c r="BA1076" s="1305"/>
      <c r="BC1076" s="169"/>
    </row>
    <row r="1077" spans="19:55" ht="15.75" customHeight="1">
      <c r="S1077" s="454"/>
      <c r="AN1077" s="458"/>
      <c r="BA1077" s="1266"/>
      <c r="BC1077" s="169"/>
    </row>
    <row r="1078" spans="19:55" ht="15.75" customHeight="1">
      <c r="S1078" s="454"/>
      <c r="AN1078" s="458"/>
      <c r="BA1078" s="1266"/>
      <c r="BC1078" s="169"/>
    </row>
    <row r="1079" spans="19:55" ht="15.75" customHeight="1">
      <c r="S1079" s="454"/>
      <c r="AN1079" s="458"/>
      <c r="BA1079" s="1266"/>
      <c r="BC1079" s="169"/>
    </row>
    <row r="1080" spans="19:55" ht="15.75" customHeight="1">
      <c r="S1080" s="454"/>
      <c r="AN1080" s="458"/>
      <c r="BA1080" s="1266"/>
      <c r="BC1080" s="169"/>
    </row>
    <row r="1081" spans="19:55" ht="15.75" customHeight="1">
      <c r="S1081" s="454"/>
      <c r="AN1081" s="458"/>
      <c r="BA1081" s="1266"/>
      <c r="BC1081" s="169"/>
    </row>
    <row r="1082" spans="19:55" ht="15.75" customHeight="1">
      <c r="S1082" s="454"/>
      <c r="AN1082" s="458"/>
      <c r="BA1082" s="1266"/>
      <c r="BC1082" s="169"/>
    </row>
    <row r="1083" spans="19:55" ht="15.75" customHeight="1">
      <c r="S1083" s="454"/>
      <c r="AN1083" s="458"/>
      <c r="BA1083" s="1266"/>
      <c r="BC1083" s="169"/>
    </row>
    <row r="1084" spans="19:55" ht="15.75" customHeight="1">
      <c r="S1084" s="454"/>
      <c r="AN1084" s="458"/>
      <c r="BA1084" s="1266"/>
      <c r="BC1084" s="169"/>
    </row>
    <row r="1085" spans="19:55" ht="15.75" customHeight="1">
      <c r="S1085" s="454"/>
      <c r="AN1085" s="458"/>
      <c r="BA1085" s="1266"/>
      <c r="BC1085" s="169"/>
    </row>
    <row r="1086" spans="19:55" ht="15.75" customHeight="1">
      <c r="S1086" s="454"/>
      <c r="AN1086" s="458"/>
      <c r="BA1086" s="1266"/>
      <c r="BC1086" s="169"/>
    </row>
    <row r="1087" spans="19:55" ht="15.75" customHeight="1">
      <c r="S1087" s="454"/>
      <c r="AN1087" s="458"/>
      <c r="BA1087" s="1266"/>
      <c r="BC1087" s="169"/>
    </row>
    <row r="1088" spans="19:55" ht="15.75" customHeight="1">
      <c r="S1088" s="454"/>
      <c r="AN1088" s="458"/>
      <c r="BA1088" s="1266"/>
      <c r="BC1088" s="169"/>
    </row>
    <row r="1089" spans="19:55" ht="15.75" customHeight="1">
      <c r="S1089" s="454"/>
      <c r="AN1089" s="458"/>
      <c r="BA1089" s="1266"/>
      <c r="BC1089" s="169"/>
    </row>
    <row r="1090" spans="19:55" ht="15.75" customHeight="1">
      <c r="S1090" s="454"/>
      <c r="AN1090" s="458"/>
      <c r="BA1090" s="1266"/>
      <c r="BC1090" s="169"/>
    </row>
    <row r="1091" spans="19:55" ht="15.75" customHeight="1">
      <c r="S1091" s="454"/>
      <c r="AN1091" s="458"/>
      <c r="BA1091" s="1266"/>
      <c r="BC1091" s="169"/>
    </row>
    <row r="1092" spans="19:55" ht="15.75" customHeight="1">
      <c r="S1092" s="454"/>
      <c r="AN1092" s="458"/>
      <c r="BA1092" s="1266"/>
      <c r="BC1092" s="169"/>
    </row>
    <row r="1093" spans="19:55" ht="15.75" customHeight="1">
      <c r="S1093" s="454"/>
      <c r="AN1093" s="458"/>
      <c r="BA1093" s="1266"/>
      <c r="BC1093" s="169"/>
    </row>
    <row r="1094" spans="19:55" ht="15.75" customHeight="1">
      <c r="S1094" s="454"/>
      <c r="AN1094" s="458"/>
      <c r="BA1094" s="1266"/>
      <c r="BC1094" s="169"/>
    </row>
    <row r="1095" spans="19:55" ht="15.75" customHeight="1">
      <c r="S1095" s="454"/>
      <c r="AN1095" s="458"/>
      <c r="BA1095" s="1266"/>
      <c r="BC1095" s="169"/>
    </row>
    <row r="1096" spans="19:55" ht="15.75" customHeight="1">
      <c r="S1096" s="454"/>
      <c r="AN1096" s="458"/>
      <c r="BA1096" s="1266"/>
      <c r="BC1096" s="169"/>
    </row>
    <row r="1097" spans="19:55" ht="15.75" customHeight="1">
      <c r="S1097" s="454"/>
      <c r="AN1097" s="458"/>
      <c r="BA1097" s="1266"/>
      <c r="BC1097" s="169"/>
    </row>
    <row r="1098" spans="19:55" ht="15.75" customHeight="1">
      <c r="S1098" s="454"/>
      <c r="AN1098" s="458"/>
      <c r="BA1098" s="1266"/>
      <c r="BC1098" s="169"/>
    </row>
    <row r="1099" spans="19:55" ht="15.75" customHeight="1">
      <c r="S1099" s="454"/>
      <c r="AN1099" s="458"/>
      <c r="BA1099" s="1266"/>
      <c r="BC1099" s="169"/>
    </row>
    <row r="1100" spans="19:55" ht="15.75" customHeight="1">
      <c r="S1100" s="454"/>
      <c r="AN1100" s="458"/>
      <c r="BA1100" s="1266"/>
      <c r="BC1100" s="169"/>
    </row>
    <row r="1101" spans="19:55" ht="15.75" customHeight="1">
      <c r="S1101" s="454"/>
      <c r="AN1101" s="458"/>
      <c r="BA1101" s="1266"/>
      <c r="BC1101" s="169"/>
    </row>
    <row r="1102" spans="19:55" ht="15.75" customHeight="1">
      <c r="S1102" s="454"/>
      <c r="AN1102" s="458"/>
      <c r="BA1102" s="1266"/>
      <c r="BC1102" s="169"/>
    </row>
    <row r="1103" spans="19:55" ht="15.75" customHeight="1">
      <c r="S1103" s="454"/>
      <c r="AN1103" s="458"/>
      <c r="BA1103" s="1266"/>
      <c r="BC1103" s="169"/>
    </row>
    <row r="1104" spans="19:55" ht="15.75" customHeight="1">
      <c r="S1104" s="454"/>
      <c r="AN1104" s="458"/>
      <c r="BA1104" s="1266"/>
      <c r="BC1104" s="169"/>
    </row>
    <row r="1105" spans="19:55" ht="15.75" customHeight="1">
      <c r="S1105" s="454"/>
      <c r="AN1105" s="458"/>
      <c r="BA1105" s="1266"/>
      <c r="BC1105" s="169"/>
    </row>
    <row r="1106" spans="19:55" ht="15.75" customHeight="1">
      <c r="S1106" s="454"/>
      <c r="AN1106" s="458"/>
      <c r="BA1106" s="1266"/>
      <c r="BC1106" s="169"/>
    </row>
    <row r="1107" spans="19:55" ht="15.75" customHeight="1">
      <c r="S1107" s="454"/>
      <c r="AN1107" s="458"/>
      <c r="BA1107" s="1266"/>
      <c r="BC1107" s="169"/>
    </row>
    <row r="1108" spans="19:55" ht="15.75" customHeight="1">
      <c r="S1108" s="454"/>
      <c r="AN1108" s="458"/>
      <c r="BA1108" s="1266"/>
      <c r="BC1108" s="169"/>
    </row>
    <row r="1109" spans="19:55" ht="15.75" customHeight="1">
      <c r="S1109" s="454"/>
      <c r="AN1109" s="458"/>
      <c r="BA1109" s="1266"/>
      <c r="BC1109" s="169"/>
    </row>
    <row r="1110" spans="19:55" ht="15.75" customHeight="1">
      <c r="S1110" s="454"/>
      <c r="AN1110" s="458"/>
      <c r="BA1110" s="1266"/>
      <c r="BC1110" s="169"/>
    </row>
    <row r="1111" spans="19:55" ht="15.75" customHeight="1">
      <c r="S1111" s="454"/>
      <c r="AN1111" s="458"/>
      <c r="BA1111" s="1266"/>
      <c r="BC1111" s="169"/>
    </row>
    <row r="1112" spans="19:55" ht="15.75" customHeight="1">
      <c r="S1112" s="454"/>
      <c r="AN1112" s="458"/>
      <c r="BA1112" s="1266"/>
      <c r="BC1112" s="169"/>
    </row>
    <row r="1113" spans="19:55" ht="15.75" customHeight="1">
      <c r="S1113" s="454"/>
      <c r="AN1113" s="458"/>
      <c r="BA1113" s="1266"/>
      <c r="BC1113" s="169"/>
    </row>
    <row r="1114" spans="19:55" ht="15.75" customHeight="1">
      <c r="S1114" s="454"/>
      <c r="AN1114" s="458"/>
      <c r="BA1114" s="1266"/>
      <c r="BC1114" s="169"/>
    </row>
    <row r="1115" spans="19:55" ht="15.75" customHeight="1">
      <c r="S1115" s="454"/>
      <c r="AN1115" s="458"/>
      <c r="BA1115" s="1266"/>
      <c r="BC1115" s="169"/>
    </row>
    <row r="1116" spans="19:55" ht="15.75" customHeight="1">
      <c r="S1116" s="454"/>
      <c r="AN1116" s="458"/>
      <c r="BA1116" s="1266"/>
      <c r="BC1116" s="169"/>
    </row>
    <row r="1117" spans="19:55" ht="15.75" customHeight="1">
      <c r="S1117" s="454"/>
      <c r="AN1117" s="458"/>
      <c r="BA1117" s="1266"/>
      <c r="BC1117" s="169"/>
    </row>
    <row r="1118" spans="19:55" ht="15.75" customHeight="1">
      <c r="S1118" s="454"/>
      <c r="AN1118" s="458"/>
      <c r="BA1118" s="1266"/>
      <c r="BC1118" s="169"/>
    </row>
    <row r="1119" spans="19:55" ht="15.75" customHeight="1">
      <c r="S1119" s="454"/>
      <c r="AN1119" s="458"/>
      <c r="BA1119" s="1266"/>
      <c r="BC1119" s="169"/>
    </row>
    <row r="1120" spans="19:55" ht="15.75" customHeight="1">
      <c r="S1120" s="454"/>
      <c r="AN1120" s="458"/>
      <c r="BA1120" s="1266"/>
      <c r="BC1120" s="169"/>
    </row>
    <row r="1121" spans="19:55" ht="15.75" customHeight="1">
      <c r="S1121" s="454"/>
      <c r="AN1121" s="458"/>
      <c r="BA1121" s="1266"/>
      <c r="BC1121" s="169"/>
    </row>
    <row r="1122" spans="19:55" ht="15.75" customHeight="1">
      <c r="S1122" s="454"/>
      <c r="AN1122" s="458"/>
      <c r="BA1122" s="1266"/>
      <c r="BC1122" s="169"/>
    </row>
    <row r="1123" spans="19:55" ht="15.75" customHeight="1">
      <c r="S1123" s="454"/>
      <c r="AN1123" s="458"/>
      <c r="BA1123" s="1266"/>
      <c r="BC1123" s="169"/>
    </row>
    <row r="1124" spans="19:55" ht="15.75" customHeight="1">
      <c r="S1124" s="454"/>
      <c r="AN1124" s="458"/>
      <c r="BA1124" s="1266"/>
      <c r="BC1124" s="169"/>
    </row>
    <row r="1125" spans="19:55" ht="15.75" customHeight="1">
      <c r="S1125" s="454"/>
      <c r="AN1125" s="458"/>
      <c r="BA1125" s="1266"/>
      <c r="BC1125" s="169"/>
    </row>
    <row r="1126" spans="19:55" ht="15.75" customHeight="1">
      <c r="S1126" s="454"/>
      <c r="AN1126" s="458"/>
      <c r="BA1126" s="1266"/>
      <c r="BC1126" s="169"/>
    </row>
    <row r="1127" spans="19:55" ht="15.75" customHeight="1">
      <c r="S1127" s="454"/>
      <c r="AN1127" s="458"/>
      <c r="BA1127" s="1266"/>
      <c r="BC1127" s="169"/>
    </row>
    <row r="1128" spans="19:55" ht="15.75" customHeight="1">
      <c r="S1128" s="454"/>
      <c r="AN1128" s="458"/>
      <c r="BA1128" s="1266"/>
      <c r="BC1128" s="169"/>
    </row>
    <row r="1129" spans="19:55" ht="15.75" customHeight="1">
      <c r="S1129" s="454"/>
      <c r="AN1129" s="458"/>
      <c r="BA1129" s="1266"/>
      <c r="BC1129" s="169"/>
    </row>
    <row r="1130" spans="19:55" ht="15.75" customHeight="1">
      <c r="S1130" s="454"/>
      <c r="AN1130" s="458"/>
      <c r="BA1130" s="1266"/>
      <c r="BC1130" s="169"/>
    </row>
    <row r="1131" spans="19:55" ht="15.75" customHeight="1">
      <c r="S1131" s="454"/>
      <c r="AN1131" s="458"/>
      <c r="BA1131" s="1266"/>
      <c r="BC1131" s="169"/>
    </row>
    <row r="1132" spans="19:55" ht="15.75" customHeight="1">
      <c r="S1132" s="454"/>
      <c r="AN1132" s="458"/>
      <c r="BA1132" s="1266"/>
      <c r="BC1132" s="169"/>
    </row>
    <row r="1133" spans="19:55" ht="15.75" customHeight="1">
      <c r="S1133" s="454"/>
      <c r="AN1133" s="458"/>
      <c r="BA1133" s="1266"/>
      <c r="BC1133" s="169"/>
    </row>
    <row r="1134" spans="19:55" ht="15.75" customHeight="1">
      <c r="S1134" s="454"/>
      <c r="AN1134" s="458"/>
      <c r="BA1134" s="1266"/>
      <c r="BC1134" s="169"/>
    </row>
    <row r="1135" spans="19:55" ht="15.75" customHeight="1">
      <c r="S1135" s="454"/>
      <c r="AN1135" s="458"/>
      <c r="BA1135" s="1266"/>
      <c r="BC1135" s="169"/>
    </row>
    <row r="1136" spans="19:55" ht="15.75" customHeight="1">
      <c r="S1136" s="454"/>
      <c r="AN1136" s="458"/>
      <c r="BA1136" s="1266"/>
      <c r="BC1136" s="169"/>
    </row>
    <row r="1137" spans="19:55" ht="15.75" customHeight="1">
      <c r="S1137" s="454"/>
      <c r="AN1137" s="458"/>
      <c r="BA1137" s="1266"/>
      <c r="BC1137" s="169"/>
    </row>
    <row r="1138" spans="19:55" ht="15.75" customHeight="1">
      <c r="S1138" s="454"/>
      <c r="AN1138" s="458"/>
      <c r="BA1138" s="1266"/>
      <c r="BC1138" s="169"/>
    </row>
    <row r="1139" spans="19:55" ht="15.75" customHeight="1">
      <c r="S1139" s="454"/>
      <c r="AN1139" s="458"/>
      <c r="BA1139" s="1266"/>
      <c r="BC1139" s="169"/>
    </row>
    <row r="1140" spans="19:55" ht="15.75" customHeight="1">
      <c r="S1140" s="454"/>
      <c r="AN1140" s="458"/>
      <c r="BA1140" s="1266"/>
      <c r="BC1140" s="169"/>
    </row>
    <row r="1141" spans="19:55" ht="15.75" customHeight="1">
      <c r="S1141" s="454"/>
      <c r="AN1141" s="458"/>
      <c r="BA1141" s="1266"/>
      <c r="BC1141" s="169"/>
    </row>
    <row r="1142" spans="19:55" ht="15.75" customHeight="1">
      <c r="S1142" s="454"/>
      <c r="AN1142" s="458"/>
      <c r="BA1142" s="1266"/>
      <c r="BC1142" s="169"/>
    </row>
    <row r="1143" spans="19:55" ht="15.75" customHeight="1">
      <c r="S1143" s="454"/>
      <c r="AN1143" s="458"/>
      <c r="BA1143" s="1266"/>
      <c r="BC1143" s="169"/>
    </row>
    <row r="1144" spans="19:55" ht="15.75" customHeight="1">
      <c r="S1144" s="454"/>
      <c r="AN1144" s="458"/>
      <c r="BA1144" s="1266"/>
      <c r="BC1144" s="169"/>
    </row>
    <row r="1145" spans="19:55" ht="15.75" customHeight="1">
      <c r="S1145" s="454"/>
      <c r="AN1145" s="458"/>
      <c r="BA1145" s="1266"/>
      <c r="BC1145" s="169"/>
    </row>
    <row r="1146" spans="19:55" ht="15.75" customHeight="1">
      <c r="S1146" s="454"/>
      <c r="AN1146" s="458"/>
      <c r="BA1146" s="1266"/>
      <c r="BC1146" s="169"/>
    </row>
    <row r="1147" spans="19:55" ht="15.75" customHeight="1">
      <c r="S1147" s="454"/>
      <c r="AN1147" s="458"/>
      <c r="BA1147" s="1266"/>
      <c r="BC1147" s="169"/>
    </row>
    <row r="1148" spans="19:55" ht="15.75" customHeight="1">
      <c r="S1148" s="454"/>
      <c r="AN1148" s="458"/>
      <c r="BA1148" s="1266"/>
      <c r="BC1148" s="169"/>
    </row>
    <row r="1149" spans="19:55" ht="15.75" customHeight="1">
      <c r="S1149" s="454"/>
      <c r="AN1149" s="458"/>
      <c r="BA1149" s="1266"/>
      <c r="BC1149" s="169"/>
    </row>
    <row r="1150" spans="19:55" ht="15.75" customHeight="1">
      <c r="S1150" s="454"/>
      <c r="AN1150" s="458"/>
      <c r="BA1150" s="1266"/>
      <c r="BC1150" s="169"/>
    </row>
    <row r="1151" spans="19:55" ht="15.75" customHeight="1">
      <c r="S1151" s="454"/>
      <c r="AN1151" s="458"/>
      <c r="BA1151" s="1266"/>
      <c r="BC1151" s="169"/>
    </row>
    <row r="1152" spans="19:55" ht="15.75" customHeight="1">
      <c r="S1152" s="454"/>
      <c r="AN1152" s="458"/>
      <c r="BA1152" s="1266"/>
      <c r="BC1152" s="169"/>
    </row>
    <row r="1153" spans="19:55" ht="15.75" customHeight="1">
      <c r="S1153" s="454"/>
      <c r="AN1153" s="458"/>
      <c r="BA1153" s="1266"/>
      <c r="BC1153" s="169"/>
    </row>
    <row r="1154" spans="19:55" ht="15.75" customHeight="1">
      <c r="S1154" s="454"/>
      <c r="AN1154" s="458"/>
      <c r="BA1154" s="1266"/>
      <c r="BC1154" s="169"/>
    </row>
    <row r="1155" spans="19:55" ht="15.75" customHeight="1">
      <c r="S1155" s="454"/>
      <c r="AN1155" s="458"/>
      <c r="BA1155" s="1266"/>
      <c r="BC1155" s="169"/>
    </row>
    <row r="1156" spans="19:55" ht="15.75" customHeight="1">
      <c r="S1156" s="454"/>
      <c r="AN1156" s="458"/>
      <c r="BA1156" s="1266"/>
      <c r="BC1156" s="169"/>
    </row>
    <row r="1157" spans="19:55" ht="15.75" customHeight="1">
      <c r="S1157" s="454"/>
      <c r="AN1157" s="458"/>
      <c r="BA1157" s="1266"/>
      <c r="BC1157" s="169"/>
    </row>
    <row r="1158" spans="19:55" ht="15.75" customHeight="1">
      <c r="S1158" s="454"/>
      <c r="AN1158" s="458"/>
      <c r="BA1158" s="1266"/>
      <c r="BC1158" s="169"/>
    </row>
    <row r="1159" spans="19:55" ht="15.75" customHeight="1">
      <c r="S1159" s="454"/>
      <c r="AN1159" s="458"/>
      <c r="BA1159" s="1266"/>
      <c r="BC1159" s="169"/>
    </row>
    <row r="1160" spans="19:55" ht="15.75" customHeight="1">
      <c r="S1160" s="454"/>
      <c r="AN1160" s="458"/>
      <c r="BA1160" s="1266"/>
      <c r="BC1160" s="169"/>
    </row>
    <row r="1161" spans="19:55" ht="15.75" customHeight="1">
      <c r="S1161" s="454"/>
      <c r="AN1161" s="458"/>
      <c r="BA1161" s="1266"/>
      <c r="BC1161" s="169"/>
    </row>
    <row r="1162" spans="19:55" ht="15.75" customHeight="1">
      <c r="S1162" s="454"/>
      <c r="AN1162" s="458"/>
      <c r="BA1162" s="1266"/>
      <c r="BC1162" s="169"/>
    </row>
    <row r="1163" spans="19:55" ht="15.75" customHeight="1">
      <c r="S1163" s="454"/>
      <c r="AN1163" s="458"/>
      <c r="BA1163" s="1266"/>
      <c r="BC1163" s="169"/>
    </row>
    <row r="1164" spans="19:55" ht="15.75" customHeight="1">
      <c r="S1164" s="454"/>
      <c r="AN1164" s="458"/>
      <c r="BA1164" s="1266"/>
      <c r="BC1164" s="169"/>
    </row>
    <row r="1165" spans="19:55" ht="15.75" customHeight="1">
      <c r="S1165" s="454"/>
      <c r="AN1165" s="458"/>
      <c r="BA1165" s="1266"/>
      <c r="BC1165" s="169"/>
    </row>
    <row r="1166" spans="19:55" ht="15.75" customHeight="1">
      <c r="S1166" s="454"/>
      <c r="AN1166" s="458"/>
      <c r="BA1166" s="1266"/>
      <c r="BC1166" s="169"/>
    </row>
    <row r="1167" spans="19:55" ht="15.75" customHeight="1">
      <c r="S1167" s="454"/>
      <c r="AN1167" s="458"/>
      <c r="BA1167" s="1266"/>
      <c r="BC1167" s="169"/>
    </row>
    <row r="1168" spans="19:55" ht="15.75" customHeight="1">
      <c r="S1168" s="454"/>
      <c r="AN1168" s="458"/>
      <c r="BA1168" s="1266"/>
      <c r="BC1168" s="169"/>
    </row>
    <row r="1169" spans="19:55" ht="15.75" customHeight="1">
      <c r="S1169" s="454"/>
      <c r="AN1169" s="458"/>
      <c r="BA1169" s="1266"/>
      <c r="BC1169" s="169"/>
    </row>
    <row r="1170" spans="19:55" ht="15.75" customHeight="1">
      <c r="S1170" s="454"/>
      <c r="AN1170" s="458"/>
      <c r="BA1170" s="1266"/>
      <c r="BC1170" s="169"/>
    </row>
    <row r="1171" spans="19:55" ht="15.75" customHeight="1">
      <c r="S1171" s="454"/>
      <c r="AN1171" s="458"/>
      <c r="BA1171" s="1266"/>
      <c r="BC1171" s="169"/>
    </row>
    <row r="1172" spans="19:55" ht="15.75" customHeight="1">
      <c r="S1172" s="454"/>
      <c r="AN1172" s="458"/>
      <c r="BA1172" s="1266"/>
      <c r="BC1172" s="169"/>
    </row>
    <row r="1173" spans="19:55" ht="15.75" customHeight="1">
      <c r="S1173" s="454"/>
      <c r="AN1173" s="458"/>
      <c r="BA1173" s="1266"/>
      <c r="BC1173" s="169"/>
    </row>
    <row r="1174" spans="19:55" ht="15.75" customHeight="1">
      <c r="S1174" s="454"/>
      <c r="AN1174" s="458"/>
      <c r="BA1174" s="1266"/>
      <c r="BC1174" s="169"/>
    </row>
    <row r="1175" spans="19:55" ht="15.75" customHeight="1">
      <c r="S1175" s="454"/>
      <c r="AN1175" s="458"/>
      <c r="BA1175" s="1266"/>
      <c r="BC1175" s="169"/>
    </row>
    <row r="1176" spans="19:55" ht="15.75" customHeight="1">
      <c r="S1176" s="454"/>
      <c r="AN1176" s="458"/>
      <c r="BA1176" s="1266"/>
      <c r="BC1176" s="169"/>
    </row>
    <row r="1177" spans="19:55" ht="15.75" customHeight="1">
      <c r="S1177" s="454"/>
      <c r="AN1177" s="458"/>
      <c r="BA1177" s="1266"/>
      <c r="BC1177" s="169"/>
    </row>
    <row r="1178" spans="19:55" ht="15.75" customHeight="1">
      <c r="S1178" s="454"/>
      <c r="AN1178" s="458"/>
      <c r="BA1178" s="1266"/>
      <c r="BC1178" s="169"/>
    </row>
    <row r="1179" spans="19:55" ht="15.75" customHeight="1">
      <c r="S1179" s="454"/>
      <c r="AN1179" s="458"/>
      <c r="BA1179" s="1266"/>
      <c r="BC1179" s="169"/>
    </row>
    <row r="1180" spans="19:55" ht="15.75" customHeight="1">
      <c r="S1180" s="454"/>
      <c r="AN1180" s="458"/>
      <c r="BA1180" s="1266"/>
      <c r="BC1180" s="169"/>
    </row>
    <row r="1181" spans="19:55" ht="15.75" customHeight="1">
      <c r="S1181" s="454"/>
      <c r="AN1181" s="458"/>
      <c r="BA1181" s="1266"/>
      <c r="BC1181" s="169"/>
    </row>
    <row r="1182" spans="19:55" ht="15.75" customHeight="1">
      <c r="S1182" s="454"/>
      <c r="AN1182" s="458"/>
      <c r="BA1182" s="1266"/>
      <c r="BC1182" s="169"/>
    </row>
    <row r="1183" spans="19:55" ht="15.75" customHeight="1">
      <c r="S1183" s="454"/>
      <c r="AN1183" s="458"/>
      <c r="BA1183" s="1266"/>
      <c r="BC1183" s="169"/>
    </row>
    <row r="1184" spans="19:55" ht="15.75" customHeight="1">
      <c r="S1184" s="454"/>
      <c r="AN1184" s="458"/>
      <c r="BA1184" s="1266"/>
      <c r="BC1184" s="169"/>
    </row>
    <row r="1185" spans="19:55" ht="15.75" customHeight="1">
      <c r="S1185" s="454"/>
      <c r="AN1185" s="458"/>
      <c r="BA1185" s="1266"/>
      <c r="BC1185" s="169"/>
    </row>
    <row r="1186" spans="19:55" ht="15.75" customHeight="1">
      <c r="S1186" s="454"/>
      <c r="AN1186" s="458"/>
      <c r="BA1186" s="1266"/>
      <c r="BC1186" s="169"/>
    </row>
    <row r="1187" spans="19:55" ht="15.75" customHeight="1">
      <c r="S1187" s="454"/>
      <c r="AN1187" s="458"/>
      <c r="BA1187" s="1266"/>
      <c r="BC1187" s="169"/>
    </row>
    <row r="1188" spans="19:55" ht="15.75" customHeight="1">
      <c r="S1188" s="454"/>
      <c r="AN1188" s="458"/>
      <c r="BA1188" s="1266"/>
      <c r="BC1188" s="169"/>
    </row>
    <row r="1189" spans="19:55" ht="15.75" customHeight="1">
      <c r="S1189" s="454"/>
      <c r="AN1189" s="458"/>
      <c r="BA1189" s="1266"/>
      <c r="BC1189" s="169"/>
    </row>
    <row r="1190" spans="19:55" ht="15.75" customHeight="1">
      <c r="S1190" s="454"/>
      <c r="AN1190" s="458"/>
      <c r="BA1190" s="1266"/>
      <c r="BC1190" s="169"/>
    </row>
    <row r="1191" spans="19:55" ht="15.75" customHeight="1">
      <c r="S1191" s="454"/>
      <c r="AN1191" s="458"/>
      <c r="BA1191" s="1266"/>
      <c r="BC1191" s="169"/>
    </row>
    <row r="1192" spans="19:55" ht="15.75" customHeight="1">
      <c r="S1192" s="454"/>
      <c r="AN1192" s="458"/>
      <c r="BA1192" s="1266"/>
      <c r="BC1192" s="169"/>
    </row>
    <row r="1193" spans="19:55" ht="15.75" customHeight="1">
      <c r="S1193" s="454"/>
      <c r="AN1193" s="458"/>
      <c r="BA1193" s="1266"/>
      <c r="BC1193" s="169"/>
    </row>
    <row r="1194" spans="19:55" ht="15.75" customHeight="1">
      <c r="S1194" s="454"/>
      <c r="AN1194" s="458"/>
      <c r="BA1194" s="1266"/>
      <c r="BC1194" s="169"/>
    </row>
    <row r="1195" spans="19:55" ht="15.75" customHeight="1">
      <c r="S1195" s="454"/>
      <c r="AN1195" s="458"/>
      <c r="BA1195" s="1266"/>
      <c r="BC1195" s="169"/>
    </row>
    <row r="1196" spans="19:55" ht="15.75" customHeight="1">
      <c r="S1196" s="454"/>
      <c r="AN1196" s="458"/>
      <c r="BA1196" s="1266"/>
      <c r="BC1196" s="169"/>
    </row>
    <row r="1197" spans="19:55" ht="15.75" customHeight="1">
      <c r="S1197" s="454"/>
      <c r="AN1197" s="458"/>
      <c r="BA1197" s="1266"/>
      <c r="BC1197" s="169"/>
    </row>
    <row r="1198" spans="19:55" ht="15.75" customHeight="1">
      <c r="S1198" s="454"/>
      <c r="AN1198" s="458"/>
      <c r="BA1198" s="1266"/>
      <c r="BC1198" s="169"/>
    </row>
    <row r="1199" spans="19:55" ht="15.75" customHeight="1">
      <c r="S1199" s="454"/>
      <c r="AN1199" s="458"/>
      <c r="BA1199" s="1266"/>
      <c r="BC1199" s="169"/>
    </row>
    <row r="1200" spans="19:55" ht="15.75" customHeight="1">
      <c r="S1200" s="454"/>
      <c r="AN1200" s="458"/>
      <c r="BA1200" s="1266"/>
      <c r="BC1200" s="169"/>
    </row>
    <row r="1201" spans="19:55" ht="15.75" customHeight="1">
      <c r="S1201" s="454"/>
      <c r="AN1201" s="458"/>
      <c r="BA1201" s="1266"/>
      <c r="BC1201" s="169"/>
    </row>
    <row r="1202" spans="19:55" ht="15.75" customHeight="1">
      <c r="S1202" s="454"/>
      <c r="AN1202" s="458"/>
      <c r="BA1202" s="1266"/>
      <c r="BC1202" s="169"/>
    </row>
    <row r="1203" spans="19:55" ht="15.75" customHeight="1">
      <c r="S1203" s="454"/>
      <c r="AN1203" s="458"/>
      <c r="BA1203" s="1266"/>
      <c r="BC1203" s="169"/>
    </row>
    <row r="1204" spans="19:55" ht="15.75" customHeight="1">
      <c r="S1204" s="454"/>
      <c r="AN1204" s="458"/>
      <c r="BA1204" s="1266"/>
      <c r="BC1204" s="169"/>
    </row>
    <row r="1205" spans="19:55" ht="15.75" customHeight="1">
      <c r="S1205" s="454"/>
      <c r="AN1205" s="458"/>
      <c r="BA1205" s="1266"/>
      <c r="BC1205" s="169"/>
    </row>
    <row r="1206" spans="19:55" ht="15.75" customHeight="1">
      <c r="S1206" s="454"/>
      <c r="AN1206" s="458"/>
      <c r="BA1206" s="1266"/>
      <c r="BC1206" s="169"/>
    </row>
    <row r="1207" spans="19:55" ht="15.75" customHeight="1">
      <c r="S1207" s="454"/>
      <c r="AN1207" s="458"/>
      <c r="BA1207" s="1266"/>
      <c r="BC1207" s="169"/>
    </row>
    <row r="1208" spans="19:55" ht="15.75" customHeight="1">
      <c r="S1208" s="454"/>
      <c r="AN1208" s="458"/>
      <c r="BA1208" s="1266"/>
      <c r="BC1208" s="169"/>
    </row>
    <row r="1209" spans="19:55" ht="15.75" customHeight="1">
      <c r="S1209" s="454"/>
      <c r="AN1209" s="458"/>
      <c r="BA1209" s="1266"/>
      <c r="BC1209" s="169"/>
    </row>
    <row r="1210" spans="19:55" ht="15.75" customHeight="1">
      <c r="S1210" s="454"/>
      <c r="AN1210" s="458"/>
      <c r="BA1210" s="1266"/>
      <c r="BC1210" s="169"/>
    </row>
    <row r="1211" spans="19:55" ht="15.75" customHeight="1">
      <c r="S1211" s="454"/>
      <c r="AN1211" s="458"/>
      <c r="BA1211" s="1266"/>
      <c r="BC1211" s="169"/>
    </row>
    <row r="1212" spans="19:55" ht="15.75" customHeight="1">
      <c r="S1212" s="454"/>
      <c r="AN1212" s="458"/>
      <c r="BA1212" s="1266"/>
      <c r="BC1212" s="169"/>
    </row>
    <row r="1213" spans="19:55" ht="15.75" customHeight="1">
      <c r="S1213" s="454"/>
      <c r="AN1213" s="458"/>
      <c r="BA1213" s="1266"/>
      <c r="BC1213" s="169"/>
    </row>
    <row r="1214" spans="19:55" ht="15.75" customHeight="1">
      <c r="S1214" s="454"/>
      <c r="AN1214" s="458"/>
      <c r="BA1214" s="1266"/>
      <c r="BC1214" s="169"/>
    </row>
    <row r="1215" spans="19:55" ht="15.75" customHeight="1">
      <c r="S1215" s="454"/>
      <c r="AN1215" s="458"/>
      <c r="BA1215" s="1266"/>
      <c r="BC1215" s="169"/>
    </row>
    <row r="1216" spans="19:55" ht="15.75" customHeight="1">
      <c r="S1216" s="454"/>
      <c r="AN1216" s="458"/>
      <c r="BA1216" s="1266"/>
      <c r="BC1216" s="169"/>
    </row>
    <row r="1217" spans="19:55" ht="15.75" customHeight="1">
      <c r="S1217" s="454"/>
      <c r="AN1217" s="458"/>
      <c r="BA1217" s="1266"/>
      <c r="BC1217" s="169"/>
    </row>
    <row r="1218" spans="19:55" ht="15.75" customHeight="1">
      <c r="S1218" s="454"/>
      <c r="AN1218" s="458"/>
      <c r="BA1218" s="1266"/>
      <c r="BC1218" s="169"/>
    </row>
    <row r="1219" spans="19:55" ht="15.75" customHeight="1">
      <c r="S1219" s="454"/>
      <c r="AN1219" s="458"/>
      <c r="BA1219" s="1266"/>
      <c r="BC1219" s="169"/>
    </row>
    <row r="1220" spans="19:55" ht="15.75" customHeight="1">
      <c r="S1220" s="454"/>
      <c r="AN1220" s="458"/>
      <c r="BA1220" s="1266"/>
      <c r="BC1220" s="169"/>
    </row>
    <row r="1221" spans="19:55" ht="15.75" customHeight="1">
      <c r="S1221" s="454"/>
      <c r="AN1221" s="458"/>
      <c r="BA1221" s="1266"/>
      <c r="BC1221" s="169"/>
    </row>
    <row r="1222" spans="19:55" ht="15.75" customHeight="1">
      <c r="S1222" s="454"/>
      <c r="AN1222" s="458"/>
      <c r="BA1222" s="1266"/>
      <c r="BC1222" s="169"/>
    </row>
    <row r="1223" spans="19:55" ht="15.75" customHeight="1">
      <c r="S1223" s="454"/>
      <c r="AN1223" s="458"/>
      <c r="BA1223" s="1266"/>
      <c r="BC1223" s="169"/>
    </row>
    <row r="1224" spans="19:55" ht="15.75" customHeight="1">
      <c r="S1224" s="454"/>
      <c r="AN1224" s="458"/>
      <c r="BA1224" s="1266"/>
      <c r="BC1224" s="169"/>
    </row>
    <row r="1225" spans="19:55" ht="15.75" customHeight="1">
      <c r="S1225" s="454"/>
      <c r="AN1225" s="458"/>
      <c r="BA1225" s="1266"/>
      <c r="BC1225" s="169"/>
    </row>
    <row r="1226" spans="19:55" ht="15.75" customHeight="1">
      <c r="S1226" s="454"/>
      <c r="AN1226" s="458"/>
      <c r="BA1226" s="1266"/>
      <c r="BC1226" s="169"/>
    </row>
    <row r="1227" spans="19:55" ht="15.75" customHeight="1">
      <c r="S1227" s="454"/>
      <c r="AN1227" s="458"/>
      <c r="BA1227" s="1266"/>
      <c r="BC1227" s="169"/>
    </row>
    <row r="1228" spans="19:55" ht="15.75" customHeight="1">
      <c r="S1228" s="454"/>
      <c r="AN1228" s="458"/>
      <c r="BA1228" s="1266"/>
      <c r="BC1228" s="169"/>
    </row>
    <row r="1229" spans="19:55" ht="15.75" customHeight="1">
      <c r="S1229" s="454"/>
      <c r="AN1229" s="458"/>
      <c r="BA1229" s="1266"/>
      <c r="BC1229" s="169"/>
    </row>
    <row r="1230" spans="19:55" ht="15.75" customHeight="1">
      <c r="S1230" s="454"/>
      <c r="AN1230" s="458"/>
      <c r="BA1230" s="1266"/>
      <c r="BC1230" s="169"/>
    </row>
    <row r="1231" spans="19:55" ht="15.75" customHeight="1">
      <c r="S1231" s="454"/>
      <c r="AN1231" s="458"/>
      <c r="BA1231" s="1266"/>
      <c r="BC1231" s="169"/>
    </row>
    <row r="1232" spans="19:55" ht="15.75" customHeight="1">
      <c r="S1232" s="454"/>
      <c r="AN1232" s="458"/>
      <c r="BA1232" s="1266"/>
      <c r="BC1232" s="169"/>
    </row>
    <row r="1233" spans="19:55" ht="15.75" customHeight="1">
      <c r="S1233" s="454"/>
      <c r="AN1233" s="458"/>
      <c r="BA1233" s="1266"/>
      <c r="BC1233" s="169"/>
    </row>
    <row r="1234" spans="19:55" ht="15.75" customHeight="1">
      <c r="S1234" s="454"/>
      <c r="AN1234" s="458"/>
      <c r="BA1234" s="1266"/>
      <c r="BC1234" s="169"/>
    </row>
    <row r="1235" spans="19:55" ht="15.75" customHeight="1">
      <c r="S1235" s="454"/>
      <c r="AN1235" s="458"/>
      <c r="BA1235" s="1266"/>
      <c r="BC1235" s="169"/>
    </row>
    <row r="1236" spans="19:55" ht="15.75" customHeight="1">
      <c r="S1236" s="454"/>
      <c r="AN1236" s="458"/>
      <c r="BA1236" s="1266"/>
      <c r="BC1236" s="169"/>
    </row>
    <row r="1237" spans="19:55" ht="15.75" customHeight="1">
      <c r="S1237" s="454"/>
      <c r="AN1237" s="458"/>
      <c r="BA1237" s="1266"/>
      <c r="BC1237" s="169"/>
    </row>
    <row r="1238" spans="19:55" ht="15.75" customHeight="1">
      <c r="S1238" s="454"/>
      <c r="AN1238" s="458"/>
      <c r="BA1238" s="1266"/>
      <c r="BC1238" s="169"/>
    </row>
    <row r="1239" spans="19:55" ht="15.75" customHeight="1">
      <c r="S1239" s="454"/>
      <c r="AN1239" s="458"/>
      <c r="BA1239" s="1266"/>
      <c r="BC1239" s="169"/>
    </row>
    <row r="1240" spans="19:55" ht="15.75" customHeight="1">
      <c r="S1240" s="454"/>
      <c r="AN1240" s="458"/>
      <c r="BA1240" s="1266"/>
      <c r="BC1240" s="169"/>
    </row>
    <row r="1241" spans="19:55" ht="15.75" customHeight="1">
      <c r="S1241" s="454"/>
      <c r="AN1241" s="458"/>
      <c r="BA1241" s="1266"/>
      <c r="BC1241" s="169"/>
    </row>
    <row r="1242" spans="19:55" ht="15.75" customHeight="1">
      <c r="S1242" s="454"/>
      <c r="AN1242" s="458"/>
      <c r="BA1242" s="1266"/>
      <c r="BC1242" s="169"/>
    </row>
    <row r="1243" spans="19:55" ht="15.75" customHeight="1">
      <c r="S1243" s="454"/>
      <c r="AN1243" s="458"/>
      <c r="BA1243" s="1266"/>
      <c r="BC1243" s="169"/>
    </row>
    <row r="1244" spans="19:55" ht="15.75" customHeight="1">
      <c r="S1244" s="454"/>
      <c r="AN1244" s="458"/>
      <c r="BA1244" s="1266"/>
      <c r="BC1244" s="169"/>
    </row>
    <row r="1245" spans="19:55" ht="15.75" customHeight="1">
      <c r="S1245" s="454"/>
      <c r="AN1245" s="458"/>
      <c r="BA1245" s="1266"/>
      <c r="BC1245" s="169"/>
    </row>
    <row r="1246" spans="19:55" ht="15.75" customHeight="1">
      <c r="S1246" s="454"/>
      <c r="AN1246" s="458"/>
      <c r="BA1246" s="1266"/>
      <c r="BC1246" s="169"/>
    </row>
    <row r="1247" spans="19:55" ht="15.75" customHeight="1">
      <c r="S1247" s="454"/>
      <c r="AN1247" s="458"/>
      <c r="BA1247" s="1266"/>
      <c r="BC1247" s="169"/>
    </row>
    <row r="1248" spans="19:55" ht="15.75" customHeight="1">
      <c r="S1248" s="454"/>
      <c r="AN1248" s="458"/>
      <c r="BA1248" s="1266"/>
      <c r="BC1248" s="169"/>
    </row>
    <row r="1249" spans="19:55" ht="15.75" customHeight="1">
      <c r="S1249" s="454"/>
      <c r="AN1249" s="458"/>
      <c r="BA1249" s="1266"/>
      <c r="BC1249" s="169"/>
    </row>
    <row r="1250" spans="19:55" ht="15.75" customHeight="1">
      <c r="S1250" s="454"/>
      <c r="AN1250" s="458"/>
      <c r="BA1250" s="1266"/>
      <c r="BC1250" s="169"/>
    </row>
    <row r="1251" spans="19:55" ht="15.75" customHeight="1">
      <c r="S1251" s="454"/>
      <c r="AN1251" s="458"/>
      <c r="BA1251" s="1266"/>
      <c r="BC1251" s="169"/>
    </row>
    <row r="1252" spans="19:55" ht="15.75" customHeight="1">
      <c r="S1252" s="454"/>
      <c r="AN1252" s="458"/>
      <c r="BA1252" s="1266"/>
      <c r="BC1252" s="169"/>
    </row>
    <row r="1253" spans="19:55" ht="15.75" customHeight="1">
      <c r="S1253" s="454"/>
      <c r="AN1253" s="458"/>
      <c r="BA1253" s="1266"/>
      <c r="BC1253" s="169"/>
    </row>
    <row r="1254" spans="19:55" ht="15.75" customHeight="1">
      <c r="S1254" s="454"/>
      <c r="AN1254" s="458"/>
      <c r="BA1254" s="1266"/>
      <c r="BC1254" s="169"/>
    </row>
    <row r="1255" spans="19:55" ht="15.75" customHeight="1">
      <c r="S1255" s="454"/>
      <c r="AN1255" s="458"/>
      <c r="BA1255" s="1266"/>
      <c r="BC1255" s="169"/>
    </row>
    <row r="1256" spans="19:55" ht="15.75" customHeight="1">
      <c r="S1256" s="454"/>
      <c r="AN1256" s="458"/>
      <c r="BA1256" s="1266"/>
      <c r="BC1256" s="169"/>
    </row>
    <row r="1257" spans="19:55" ht="15.75" customHeight="1">
      <c r="S1257" s="454"/>
      <c r="AN1257" s="458"/>
      <c r="BA1257" s="1266"/>
      <c r="BC1257" s="169"/>
    </row>
    <row r="1258" spans="19:55" ht="15.75" customHeight="1">
      <c r="S1258" s="454"/>
      <c r="AN1258" s="458"/>
      <c r="BA1258" s="1266"/>
      <c r="BC1258" s="169"/>
    </row>
    <row r="1259" spans="19:55" ht="15.75" customHeight="1">
      <c r="S1259" s="454"/>
      <c r="AN1259" s="458"/>
      <c r="BA1259" s="1266"/>
      <c r="BC1259" s="169"/>
    </row>
    <row r="1260" spans="19:55" ht="15.75" customHeight="1">
      <c r="S1260" s="454"/>
      <c r="AN1260" s="458"/>
      <c r="BA1260" s="1266"/>
      <c r="BC1260" s="169"/>
    </row>
    <row r="1261" spans="19:55" ht="15.75" customHeight="1">
      <c r="S1261" s="454"/>
      <c r="AN1261" s="458"/>
      <c r="BA1261" s="1266"/>
      <c r="BC1261" s="169"/>
    </row>
    <row r="1262" spans="19:55" ht="15.75" customHeight="1">
      <c r="S1262" s="454"/>
      <c r="AN1262" s="458"/>
      <c r="BA1262" s="1266"/>
      <c r="BC1262" s="169"/>
    </row>
    <row r="1263" spans="19:55" ht="15.75" customHeight="1">
      <c r="S1263" s="454"/>
      <c r="AN1263" s="458"/>
      <c r="BA1263" s="1266"/>
      <c r="BC1263" s="169"/>
    </row>
    <row r="1264" spans="19:55" ht="15.75" customHeight="1">
      <c r="S1264" s="454"/>
      <c r="AN1264" s="458"/>
      <c r="BA1264" s="1266"/>
      <c r="BC1264" s="169"/>
    </row>
    <row r="1265" spans="19:55" ht="15.75" customHeight="1">
      <c r="S1265" s="454"/>
      <c r="AN1265" s="458"/>
      <c r="BA1265" s="1266"/>
      <c r="BC1265" s="169"/>
    </row>
    <row r="1266" spans="19:55" ht="15.75" customHeight="1">
      <c r="S1266" s="454"/>
      <c r="AN1266" s="458"/>
      <c r="BA1266" s="1266"/>
      <c r="BC1266" s="169"/>
    </row>
    <row r="1267" spans="19:55" ht="15.75" customHeight="1">
      <c r="S1267" s="454"/>
      <c r="AN1267" s="458"/>
      <c r="BA1267" s="1266"/>
      <c r="BC1267" s="169"/>
    </row>
    <row r="1268" spans="19:55" ht="15.75" customHeight="1">
      <c r="S1268" s="454"/>
      <c r="AN1268" s="458"/>
      <c r="BA1268" s="1266"/>
      <c r="BC1268" s="169"/>
    </row>
    <row r="1269" spans="19:55" ht="15.75" customHeight="1">
      <c r="S1269" s="454"/>
      <c r="AN1269" s="458"/>
      <c r="BA1269" s="1266"/>
      <c r="BC1269" s="169"/>
    </row>
    <row r="1270" spans="19:55" ht="15.75" customHeight="1">
      <c r="S1270" s="454"/>
      <c r="AN1270" s="458"/>
      <c r="BA1270" s="1266"/>
      <c r="BC1270" s="169"/>
    </row>
    <row r="1271" spans="19:55" ht="15.75" customHeight="1">
      <c r="S1271" s="454"/>
      <c r="AN1271" s="458"/>
      <c r="BA1271" s="1266"/>
      <c r="BC1271" s="169"/>
    </row>
    <row r="1272" spans="19:55" ht="15.75" customHeight="1">
      <c r="S1272" s="454"/>
      <c r="AN1272" s="458"/>
      <c r="BA1272" s="1266"/>
      <c r="BC1272" s="169"/>
    </row>
    <row r="1273" spans="19:55" ht="15.75" customHeight="1">
      <c r="S1273" s="454"/>
      <c r="AN1273" s="458"/>
      <c r="BA1273" s="1266"/>
      <c r="BC1273" s="169"/>
    </row>
    <row r="1274" spans="19:55" ht="15.75" customHeight="1">
      <c r="S1274" s="454"/>
      <c r="AN1274" s="458"/>
      <c r="BA1274" s="1266"/>
      <c r="BC1274" s="169"/>
    </row>
    <row r="1275" spans="19:55" ht="15.75" customHeight="1">
      <c r="S1275" s="454"/>
      <c r="AN1275" s="458"/>
      <c r="BA1275" s="1266"/>
      <c r="BC1275" s="169"/>
    </row>
    <row r="1276" spans="19:55" ht="15.75" customHeight="1">
      <c r="S1276" s="454"/>
      <c r="AN1276" s="458"/>
      <c r="BA1276" s="1266"/>
      <c r="BC1276" s="169"/>
    </row>
    <row r="1277" spans="19:55" ht="15.75" customHeight="1">
      <c r="S1277" s="454"/>
      <c r="AN1277" s="458"/>
      <c r="BA1277" s="1266"/>
      <c r="BC1277" s="169"/>
    </row>
    <row r="1278" spans="19:55" ht="15.75" customHeight="1">
      <c r="S1278" s="454"/>
      <c r="AN1278" s="458"/>
      <c r="BA1278" s="1266"/>
      <c r="BC1278" s="169"/>
    </row>
    <row r="1279" spans="19:55" ht="15.75" customHeight="1">
      <c r="S1279" s="454"/>
      <c r="AN1279" s="458"/>
      <c r="BA1279" s="1266"/>
      <c r="BC1279" s="169"/>
    </row>
    <row r="1280" spans="19:55" ht="15.75" customHeight="1">
      <c r="S1280" s="454"/>
      <c r="AN1280" s="458"/>
      <c r="BC1280" s="169"/>
    </row>
    <row r="1281" spans="19:55" ht="15.75" customHeight="1">
      <c r="S1281" s="454"/>
      <c r="AN1281" s="458"/>
      <c r="BC1281" s="169"/>
    </row>
    <row r="1282" spans="19:55" ht="15.75" customHeight="1">
      <c r="S1282" s="454"/>
      <c r="AN1282" s="458"/>
      <c r="BC1282" s="169"/>
    </row>
    <row r="1283" spans="19:55" ht="15.75" customHeight="1">
      <c r="S1283" s="454"/>
      <c r="AN1283" s="458"/>
      <c r="BC1283" s="169"/>
    </row>
    <row r="1284" spans="19:55" ht="15.75" customHeight="1">
      <c r="S1284" s="454"/>
      <c r="AN1284" s="458"/>
      <c r="BC1284" s="169"/>
    </row>
    <row r="1285" spans="19:55" ht="15.75" customHeight="1">
      <c r="S1285" s="454"/>
      <c r="AN1285" s="458"/>
      <c r="BC1285" s="169"/>
    </row>
    <row r="1286" spans="19:55" ht="15.75" customHeight="1">
      <c r="S1286" s="454"/>
      <c r="AN1286" s="458"/>
      <c r="BC1286" s="169"/>
    </row>
    <row r="1287" spans="19:55" ht="15.75" customHeight="1">
      <c r="S1287" s="454"/>
      <c r="AN1287" s="458"/>
      <c r="BC1287" s="169"/>
    </row>
    <row r="1288" spans="19:55" ht="15.75" customHeight="1">
      <c r="S1288" s="454"/>
      <c r="AN1288" s="458"/>
      <c r="BC1288" s="169"/>
    </row>
    <row r="1289" spans="19:55" ht="15.75" customHeight="1">
      <c r="S1289" s="454"/>
      <c r="AN1289" s="458"/>
      <c r="BC1289" s="169"/>
    </row>
    <row r="1290" spans="19:55" ht="15.75" customHeight="1">
      <c r="S1290" s="454"/>
      <c r="AN1290" s="458"/>
      <c r="BC1290" s="169"/>
    </row>
    <row r="1291" spans="19:55" ht="15.75" customHeight="1">
      <c r="S1291" s="454"/>
      <c r="AN1291" s="458"/>
      <c r="BC1291" s="169"/>
    </row>
    <row r="1292" spans="19:55" ht="15.75" customHeight="1">
      <c r="S1292" s="454"/>
      <c r="AN1292" s="458"/>
      <c r="BC1292" s="169"/>
    </row>
    <row r="1293" spans="19:55" ht="15.75" customHeight="1">
      <c r="S1293" s="454"/>
      <c r="AN1293" s="458"/>
      <c r="BC1293" s="169"/>
    </row>
    <row r="1294" spans="19:55" ht="15.75" customHeight="1">
      <c r="S1294" s="454"/>
      <c r="AN1294" s="458"/>
      <c r="BC1294" s="169"/>
    </row>
    <row r="1295" spans="19:55" ht="15.75" customHeight="1">
      <c r="S1295" s="454"/>
      <c r="AN1295" s="458"/>
      <c r="BC1295" s="169"/>
    </row>
    <row r="1296" spans="19:55" ht="15.75" customHeight="1">
      <c r="S1296" s="454"/>
      <c r="AN1296" s="458"/>
      <c r="BC1296" s="169"/>
    </row>
    <row r="1297" spans="19:55" ht="15.75" customHeight="1">
      <c r="S1297" s="454"/>
      <c r="AN1297" s="458"/>
      <c r="BC1297" s="169"/>
    </row>
    <row r="1298" spans="19:55" ht="15.75" customHeight="1">
      <c r="S1298" s="454"/>
      <c r="AN1298" s="458"/>
      <c r="BC1298" s="169"/>
    </row>
    <row r="1299" spans="19:55" ht="15.75" customHeight="1">
      <c r="S1299" s="454"/>
      <c r="AN1299" s="458"/>
      <c r="BC1299" s="169"/>
    </row>
    <row r="1300" spans="19:55" ht="15.75" customHeight="1">
      <c r="S1300" s="454"/>
      <c r="AN1300" s="458"/>
      <c r="BC1300" s="169"/>
    </row>
    <row r="1301" spans="19:55" ht="15.75" customHeight="1">
      <c r="S1301" s="454"/>
      <c r="AN1301" s="458"/>
      <c r="BC1301" s="169"/>
    </row>
    <row r="1302" spans="19:55" ht="15.75" customHeight="1">
      <c r="S1302" s="454"/>
      <c r="AN1302" s="458"/>
      <c r="BC1302" s="169"/>
    </row>
    <row r="1303" spans="19:55" ht="15.75" customHeight="1">
      <c r="S1303" s="454"/>
      <c r="AN1303" s="458"/>
      <c r="BC1303" s="169"/>
    </row>
    <row r="1304" spans="19:55" ht="15.75" customHeight="1">
      <c r="S1304" s="454"/>
      <c r="AN1304" s="458"/>
      <c r="BC1304" s="169"/>
    </row>
    <row r="1305" spans="19:55" ht="15.75" customHeight="1">
      <c r="S1305" s="454"/>
      <c r="AN1305" s="458"/>
      <c r="BC1305" s="169"/>
    </row>
    <row r="1306" spans="19:55" ht="15.75" customHeight="1">
      <c r="S1306" s="454"/>
      <c r="AN1306" s="458"/>
      <c r="BC1306" s="169"/>
    </row>
    <row r="1307" spans="19:55" ht="15.75" customHeight="1">
      <c r="S1307" s="454"/>
      <c r="AN1307" s="458"/>
      <c r="BC1307" s="169"/>
    </row>
    <row r="1308" spans="19:55" ht="15.75" customHeight="1">
      <c r="S1308" s="454"/>
      <c r="AN1308" s="458"/>
      <c r="BC1308" s="169"/>
    </row>
    <row r="1309" spans="19:55" ht="15.75" customHeight="1">
      <c r="S1309" s="454"/>
      <c r="AN1309" s="458"/>
      <c r="BC1309" s="169"/>
    </row>
    <row r="1310" spans="19:55" ht="15.75" customHeight="1">
      <c r="S1310" s="454"/>
      <c r="AN1310" s="458"/>
      <c r="BC1310" s="169"/>
    </row>
    <row r="1311" spans="19:55" ht="15.75" customHeight="1">
      <c r="S1311" s="454"/>
      <c r="AN1311" s="458"/>
      <c r="BC1311" s="169"/>
    </row>
    <row r="1312" spans="19:55" ht="15.75" customHeight="1">
      <c r="S1312" s="454"/>
      <c r="AN1312" s="458"/>
      <c r="BC1312" s="169"/>
    </row>
    <row r="1313" spans="19:55" ht="15.75" customHeight="1">
      <c r="S1313" s="454"/>
      <c r="AN1313" s="458"/>
      <c r="BC1313" s="169"/>
    </row>
    <row r="1314" spans="19:55" ht="15.75" customHeight="1">
      <c r="S1314" s="454"/>
      <c r="AN1314" s="458"/>
      <c r="BC1314" s="169"/>
    </row>
    <row r="1315" spans="19:55" ht="15.75" customHeight="1">
      <c r="S1315" s="454"/>
      <c r="AN1315" s="458"/>
      <c r="BC1315" s="169"/>
    </row>
    <row r="1316" spans="19:55" ht="15.75" customHeight="1">
      <c r="S1316" s="454"/>
      <c r="AN1316" s="458"/>
      <c r="BC1316" s="169"/>
    </row>
    <row r="1317" spans="19:55" ht="15.75" customHeight="1">
      <c r="S1317" s="454"/>
      <c r="AN1317" s="458"/>
      <c r="BC1317" s="169"/>
    </row>
    <row r="1318" spans="19:55" ht="15.75" customHeight="1">
      <c r="S1318" s="454"/>
      <c r="AN1318" s="458"/>
      <c r="BC1318" s="169"/>
    </row>
    <row r="1319" spans="19:55" ht="15.75" customHeight="1">
      <c r="S1319" s="454"/>
      <c r="AN1319" s="458"/>
      <c r="BC1319" s="169"/>
    </row>
    <row r="1320" spans="19:55" ht="15.75" customHeight="1">
      <c r="S1320" s="454"/>
      <c r="AN1320" s="458"/>
      <c r="BC1320" s="169"/>
    </row>
    <row r="1321" spans="19:55" ht="15.75" customHeight="1">
      <c r="S1321" s="454"/>
      <c r="AN1321" s="458"/>
      <c r="BC1321" s="169"/>
    </row>
    <row r="1322" spans="19:55" ht="15.75" customHeight="1">
      <c r="S1322" s="454"/>
      <c r="AN1322" s="458"/>
      <c r="BC1322" s="169"/>
    </row>
    <row r="1323" spans="19:55" ht="15.75" customHeight="1">
      <c r="S1323" s="454"/>
      <c r="AN1323" s="458"/>
      <c r="BC1323" s="169"/>
    </row>
    <row r="1324" spans="19:55" ht="15.75" customHeight="1">
      <c r="S1324" s="454"/>
      <c r="AN1324" s="458"/>
      <c r="BC1324" s="169"/>
    </row>
    <row r="1325" spans="19:55" ht="15.75" customHeight="1">
      <c r="S1325" s="454"/>
      <c r="AN1325" s="458"/>
      <c r="BC1325" s="169"/>
    </row>
    <row r="1326" spans="19:55" ht="15.75" customHeight="1">
      <c r="S1326" s="454"/>
      <c r="AN1326" s="458"/>
      <c r="BC1326" s="169"/>
    </row>
    <row r="1327" spans="19:55" ht="15.75" customHeight="1">
      <c r="S1327" s="454"/>
      <c r="AN1327" s="458"/>
      <c r="BC1327" s="169"/>
    </row>
    <row r="1328" spans="19:55" ht="15.75" customHeight="1">
      <c r="S1328" s="454"/>
      <c r="AN1328" s="458"/>
      <c r="BC1328" s="169"/>
    </row>
    <row r="1329" spans="19:55" ht="15.75" customHeight="1">
      <c r="S1329" s="454"/>
      <c r="AN1329" s="458"/>
      <c r="BC1329" s="169"/>
    </row>
    <row r="1330" spans="19:55" ht="15.75" customHeight="1">
      <c r="S1330" s="454"/>
      <c r="AN1330" s="458"/>
      <c r="BC1330" s="169"/>
    </row>
    <row r="1331" spans="19:55" ht="15.75" customHeight="1">
      <c r="S1331" s="454"/>
      <c r="AN1331" s="458"/>
      <c r="BC1331" s="169"/>
    </row>
    <row r="1332" spans="19:55" ht="15.75" customHeight="1">
      <c r="S1332" s="454"/>
      <c r="AN1332" s="458"/>
      <c r="BC1332" s="169"/>
    </row>
    <row r="1333" spans="19:55" ht="15.75" customHeight="1">
      <c r="S1333" s="454"/>
      <c r="AN1333" s="458"/>
      <c r="BC1333" s="169"/>
    </row>
    <row r="1334" spans="19:55" ht="15.75" customHeight="1">
      <c r="S1334" s="454"/>
      <c r="AN1334" s="458"/>
      <c r="BC1334" s="169"/>
    </row>
    <row r="1335" spans="19:55" ht="15.75" customHeight="1">
      <c r="S1335" s="454"/>
      <c r="AN1335" s="458"/>
      <c r="BC1335" s="169"/>
    </row>
    <row r="1336" spans="19:55" ht="15.75" customHeight="1">
      <c r="S1336" s="454"/>
      <c r="AN1336" s="458"/>
      <c r="BC1336" s="169"/>
    </row>
    <row r="1337" spans="19:55" ht="15.75" customHeight="1">
      <c r="S1337" s="454"/>
      <c r="AN1337" s="458"/>
      <c r="BC1337" s="169"/>
    </row>
    <row r="1338" spans="19:55" ht="15.75" customHeight="1">
      <c r="S1338" s="454"/>
      <c r="AN1338" s="458"/>
      <c r="BC1338" s="169"/>
    </row>
    <row r="1339" spans="19:55" ht="15.75" customHeight="1">
      <c r="S1339" s="454"/>
      <c r="AN1339" s="458"/>
      <c r="BC1339" s="169"/>
    </row>
    <row r="1340" spans="19:55" ht="15.75" customHeight="1">
      <c r="S1340" s="454"/>
      <c r="AN1340" s="458"/>
      <c r="BC1340" s="169"/>
    </row>
    <row r="1341" spans="19:55" ht="15.75" customHeight="1">
      <c r="S1341" s="454"/>
      <c r="AN1341" s="458"/>
      <c r="BC1341" s="169"/>
    </row>
    <row r="1342" spans="19:55" ht="15.75" customHeight="1">
      <c r="S1342" s="454"/>
      <c r="AN1342" s="458"/>
      <c r="BC1342" s="169"/>
    </row>
    <row r="1343" spans="19:55" ht="15.75" customHeight="1">
      <c r="S1343" s="454"/>
      <c r="AN1343" s="458"/>
      <c r="BC1343" s="169"/>
    </row>
    <row r="1344" spans="19:55" ht="15.75" customHeight="1">
      <c r="S1344" s="454"/>
      <c r="AN1344" s="458"/>
      <c r="BC1344" s="169"/>
    </row>
    <row r="1345" spans="19:55" ht="15.75" customHeight="1">
      <c r="S1345" s="454"/>
      <c r="AN1345" s="458"/>
      <c r="BC1345" s="169"/>
    </row>
    <row r="1346" spans="19:55" ht="15.75" customHeight="1">
      <c r="S1346" s="454"/>
      <c r="AN1346" s="458"/>
      <c r="BC1346" s="169"/>
    </row>
    <row r="1347" spans="19:55" ht="15.75" customHeight="1">
      <c r="S1347" s="454"/>
      <c r="AN1347" s="458"/>
      <c r="BC1347" s="169"/>
    </row>
    <row r="1348" spans="19:55" ht="15.75" customHeight="1">
      <c r="S1348" s="454"/>
      <c r="AN1348" s="458"/>
      <c r="BC1348" s="169"/>
    </row>
    <row r="1349" spans="19:55" ht="15.75" customHeight="1">
      <c r="S1349" s="454"/>
      <c r="AN1349" s="458"/>
      <c r="BC1349" s="169"/>
    </row>
    <row r="1350" spans="19:55" ht="15.75" customHeight="1">
      <c r="S1350" s="454"/>
      <c r="AN1350" s="458"/>
      <c r="BC1350" s="169"/>
    </row>
    <row r="1351" spans="19:55" ht="15.75" customHeight="1">
      <c r="S1351" s="454"/>
      <c r="AN1351" s="458"/>
      <c r="BC1351" s="169"/>
    </row>
    <row r="1352" spans="19:55" ht="15.75" customHeight="1">
      <c r="S1352" s="454"/>
      <c r="AN1352" s="458"/>
      <c r="BC1352" s="169"/>
    </row>
    <row r="1353" spans="19:55" ht="15.75" customHeight="1">
      <c r="S1353" s="454"/>
      <c r="AN1353" s="458"/>
      <c r="BC1353" s="169"/>
    </row>
    <row r="1354" spans="19:55" ht="15.75" customHeight="1">
      <c r="S1354" s="454"/>
      <c r="AN1354" s="458"/>
      <c r="BC1354" s="169"/>
    </row>
    <row r="1355" spans="19:55" ht="15.75" customHeight="1">
      <c r="S1355" s="454"/>
      <c r="AN1355" s="458"/>
      <c r="BC1355" s="169"/>
    </row>
    <row r="1356" spans="19:55" ht="15.75" customHeight="1">
      <c r="S1356" s="454"/>
      <c r="AN1356" s="458"/>
      <c r="BC1356" s="169"/>
    </row>
    <row r="1357" spans="19:55" ht="15.75" customHeight="1">
      <c r="S1357" s="454"/>
      <c r="AN1357" s="458"/>
      <c r="BC1357" s="169"/>
    </row>
    <row r="1358" spans="19:55" ht="15.75" customHeight="1">
      <c r="S1358" s="454"/>
      <c r="AN1358" s="458"/>
      <c r="BC1358" s="169"/>
    </row>
    <row r="1359" spans="19:55" ht="15.75" customHeight="1">
      <c r="S1359" s="454"/>
      <c r="AN1359" s="458"/>
      <c r="BC1359" s="169"/>
    </row>
    <row r="1360" spans="19:55" ht="15.75" customHeight="1">
      <c r="S1360" s="454"/>
      <c r="AN1360" s="458"/>
      <c r="BC1360" s="169"/>
    </row>
    <row r="1361" spans="19:55" ht="15.75" customHeight="1">
      <c r="S1361" s="454"/>
      <c r="AN1361" s="458"/>
      <c r="BC1361" s="169"/>
    </row>
    <row r="1362" spans="19:55" ht="15.75" customHeight="1">
      <c r="S1362" s="454"/>
      <c r="AN1362" s="458"/>
      <c r="BC1362" s="169"/>
    </row>
    <row r="1363" spans="19:55" ht="15.75" customHeight="1">
      <c r="S1363" s="454"/>
      <c r="AN1363" s="458"/>
      <c r="BC1363" s="169"/>
    </row>
    <row r="1364" spans="19:55" ht="15.75" customHeight="1">
      <c r="S1364" s="454"/>
      <c r="AN1364" s="458"/>
      <c r="BC1364" s="169"/>
    </row>
    <row r="1365" spans="19:55" ht="15.75" customHeight="1">
      <c r="S1365" s="454"/>
      <c r="AN1365" s="458"/>
      <c r="BC1365" s="169"/>
    </row>
    <row r="1366" spans="19:55" ht="15.75" customHeight="1">
      <c r="S1366" s="454"/>
      <c r="AN1366" s="458"/>
      <c r="BC1366" s="169"/>
    </row>
    <row r="1367" spans="19:55" ht="15.75" customHeight="1">
      <c r="S1367" s="454"/>
      <c r="AN1367" s="458"/>
      <c r="BC1367" s="169"/>
    </row>
    <row r="1368" spans="19:55" ht="15.75" customHeight="1">
      <c r="S1368" s="454"/>
      <c r="AN1368" s="458"/>
      <c r="BC1368" s="169"/>
    </row>
    <row r="1369" spans="19:55" ht="15.75" customHeight="1">
      <c r="S1369" s="454"/>
      <c r="AN1369" s="458"/>
      <c r="BC1369" s="169"/>
    </row>
    <row r="1370" spans="19:55" ht="15.75" customHeight="1">
      <c r="S1370" s="454"/>
      <c r="AN1370" s="458"/>
      <c r="BC1370" s="169"/>
    </row>
    <row r="1371" spans="19:55" ht="15.75" customHeight="1">
      <c r="S1371" s="454"/>
      <c r="AN1371" s="458"/>
      <c r="BC1371" s="169"/>
    </row>
    <row r="1372" spans="19:55" ht="15.75" customHeight="1">
      <c r="S1372" s="454"/>
      <c r="AN1372" s="458"/>
      <c r="BC1372" s="169"/>
    </row>
    <row r="1373" spans="19:55" ht="15.75" customHeight="1">
      <c r="S1373" s="454"/>
      <c r="AN1373" s="458"/>
      <c r="BC1373" s="169"/>
    </row>
    <row r="1374" spans="19:55" ht="15.75" customHeight="1">
      <c r="S1374" s="454"/>
      <c r="AN1374" s="458"/>
      <c r="BC1374" s="169"/>
    </row>
    <row r="1375" spans="19:55" ht="15.75" customHeight="1">
      <c r="S1375" s="454"/>
      <c r="AN1375" s="458"/>
      <c r="BC1375" s="169"/>
    </row>
    <row r="1376" spans="19:55" ht="15.75" customHeight="1">
      <c r="S1376" s="454"/>
      <c r="AN1376" s="458"/>
      <c r="BC1376" s="169"/>
    </row>
    <row r="1377" spans="19:55" ht="15.75" customHeight="1">
      <c r="S1377" s="454"/>
      <c r="AN1377" s="458"/>
      <c r="BC1377" s="169"/>
    </row>
    <row r="1378" spans="19:55" ht="15.75" customHeight="1">
      <c r="S1378" s="454"/>
      <c r="AN1378" s="458"/>
      <c r="BC1378" s="169"/>
    </row>
    <row r="1379" spans="19:55" ht="15.75" customHeight="1">
      <c r="S1379" s="454"/>
      <c r="AN1379" s="458"/>
      <c r="BC1379" s="169"/>
    </row>
    <row r="1380" spans="19:55" ht="15.75" customHeight="1">
      <c r="S1380" s="454"/>
      <c r="AN1380" s="458"/>
      <c r="BC1380" s="169"/>
    </row>
    <row r="1381" spans="19:55" ht="15.75" customHeight="1">
      <c r="S1381" s="454"/>
      <c r="AN1381" s="458"/>
      <c r="BC1381" s="169"/>
    </row>
    <row r="1382" spans="19:55" ht="15.75" customHeight="1">
      <c r="S1382" s="454"/>
      <c r="AN1382" s="458"/>
      <c r="BC1382" s="169"/>
    </row>
    <row r="1383" spans="19:55" ht="15.75" customHeight="1">
      <c r="S1383" s="454"/>
      <c r="AN1383" s="458"/>
      <c r="BC1383" s="169"/>
    </row>
    <row r="1384" spans="19:55" ht="15.75" customHeight="1">
      <c r="S1384" s="454"/>
      <c r="AN1384" s="458"/>
      <c r="BC1384" s="169"/>
    </row>
    <row r="1385" spans="19:55" ht="15.75" customHeight="1">
      <c r="S1385" s="454"/>
      <c r="AN1385" s="458"/>
      <c r="BC1385" s="169"/>
    </row>
    <row r="1386" spans="19:55" ht="15.75" customHeight="1">
      <c r="S1386" s="454"/>
      <c r="AN1386" s="458"/>
      <c r="BC1386" s="169"/>
    </row>
    <row r="1387" spans="19:55" ht="15.75" customHeight="1">
      <c r="S1387" s="454"/>
      <c r="AN1387" s="458"/>
      <c r="BC1387" s="169"/>
    </row>
    <row r="1388" spans="19:55" ht="15.75" customHeight="1">
      <c r="S1388" s="454"/>
      <c r="AN1388" s="458"/>
      <c r="BC1388" s="169"/>
    </row>
    <row r="1389" spans="19:55" ht="15.75" customHeight="1">
      <c r="S1389" s="454"/>
      <c r="AN1389" s="458"/>
      <c r="BC1389" s="169"/>
    </row>
    <row r="1390" spans="19:55" ht="15.75" customHeight="1">
      <c r="S1390" s="454"/>
      <c r="AN1390" s="458"/>
      <c r="BC1390" s="169"/>
    </row>
    <row r="1391" spans="19:55" ht="15.75" customHeight="1">
      <c r="S1391" s="454"/>
      <c r="AN1391" s="458"/>
      <c r="BC1391" s="169"/>
    </row>
    <row r="1392" spans="19:55" ht="15.75" customHeight="1">
      <c r="S1392" s="454"/>
      <c r="AN1392" s="458"/>
      <c r="BC1392" s="169"/>
    </row>
    <row r="1393" spans="19:55" ht="15.75" customHeight="1">
      <c r="S1393" s="454"/>
      <c r="AN1393" s="458"/>
      <c r="BC1393" s="169"/>
    </row>
    <row r="1394" spans="19:55" ht="15.75" customHeight="1">
      <c r="S1394" s="454"/>
      <c r="AN1394" s="458"/>
      <c r="BC1394" s="169"/>
    </row>
    <row r="1395" spans="19:55" ht="15.75" customHeight="1">
      <c r="S1395" s="454"/>
      <c r="AN1395" s="458"/>
      <c r="BC1395" s="169"/>
    </row>
    <row r="1396" spans="19:55" ht="15.75" customHeight="1">
      <c r="S1396" s="454"/>
      <c r="AN1396" s="458"/>
      <c r="BC1396" s="169"/>
    </row>
    <row r="1397" spans="19:55" ht="15.75" customHeight="1">
      <c r="S1397" s="454"/>
      <c r="AN1397" s="458"/>
      <c r="BC1397" s="169"/>
    </row>
    <row r="1398" spans="19:55" ht="15.75" customHeight="1">
      <c r="S1398" s="454"/>
      <c r="AN1398" s="458"/>
      <c r="BC1398" s="169"/>
    </row>
    <row r="1399" spans="19:55" ht="15.75" customHeight="1">
      <c r="S1399" s="454"/>
      <c r="AN1399" s="458"/>
      <c r="BC1399" s="169"/>
    </row>
    <row r="1400" spans="19:55" ht="15.75" customHeight="1">
      <c r="S1400" s="454"/>
      <c r="AN1400" s="458"/>
      <c r="BC1400" s="169"/>
    </row>
    <row r="1401" spans="19:55" ht="15.75" customHeight="1">
      <c r="S1401" s="454"/>
      <c r="AN1401" s="458"/>
      <c r="BC1401" s="169"/>
    </row>
    <row r="1402" spans="19:55" ht="15.75" customHeight="1">
      <c r="S1402" s="454"/>
      <c r="AN1402" s="458"/>
      <c r="BC1402" s="169"/>
    </row>
    <row r="1403" spans="19:55" ht="15.75" customHeight="1">
      <c r="S1403" s="454"/>
      <c r="AN1403" s="458"/>
      <c r="BC1403" s="169"/>
    </row>
    <row r="1404" spans="19:55" ht="15.75" customHeight="1">
      <c r="S1404" s="454"/>
      <c r="AN1404" s="458"/>
      <c r="BC1404" s="169"/>
    </row>
    <row r="1405" spans="19:55" ht="15.75" customHeight="1">
      <c r="S1405" s="454"/>
      <c r="AN1405" s="458"/>
      <c r="BC1405" s="169"/>
    </row>
    <row r="1406" spans="19:55" ht="15.75" customHeight="1">
      <c r="S1406" s="454"/>
      <c r="AN1406" s="458"/>
      <c r="BC1406" s="169"/>
    </row>
    <row r="1407" spans="19:55" ht="15.75" customHeight="1">
      <c r="S1407" s="454"/>
      <c r="AN1407" s="458"/>
      <c r="BC1407" s="169"/>
    </row>
    <row r="1408" spans="19:55" ht="15.75" customHeight="1">
      <c r="S1408" s="454"/>
      <c r="AN1408" s="458"/>
      <c r="BC1408" s="169"/>
    </row>
    <row r="1409" spans="19:55" ht="15.75" customHeight="1">
      <c r="S1409" s="454"/>
      <c r="AN1409" s="458"/>
      <c r="BC1409" s="169"/>
    </row>
    <row r="1410" spans="19:55" ht="15.75" customHeight="1">
      <c r="S1410" s="454"/>
      <c r="AN1410" s="458"/>
      <c r="BC1410" s="169"/>
    </row>
    <row r="1411" spans="19:55" ht="15.75" customHeight="1">
      <c r="S1411" s="454"/>
      <c r="AN1411" s="458"/>
      <c r="BC1411" s="169"/>
    </row>
    <row r="1412" spans="19:55" ht="15.75" customHeight="1">
      <c r="S1412" s="454"/>
      <c r="AN1412" s="458"/>
      <c r="BC1412" s="169"/>
    </row>
    <row r="1413" spans="19:55" ht="15.75" customHeight="1">
      <c r="S1413" s="454"/>
      <c r="AN1413" s="458"/>
      <c r="BC1413" s="169"/>
    </row>
    <row r="1414" spans="19:55" ht="15.75" customHeight="1">
      <c r="S1414" s="454"/>
      <c r="AN1414" s="458"/>
      <c r="BC1414" s="169"/>
    </row>
    <row r="1415" spans="19:55" ht="15.75" customHeight="1">
      <c r="S1415" s="454"/>
      <c r="AN1415" s="458"/>
      <c r="BC1415" s="169"/>
    </row>
    <row r="1416" spans="19:55" ht="15.75" customHeight="1">
      <c r="S1416" s="454"/>
      <c r="AN1416" s="458"/>
      <c r="BC1416" s="169"/>
    </row>
    <row r="1417" spans="19:55" ht="15.75" customHeight="1">
      <c r="S1417" s="454"/>
      <c r="AN1417" s="458"/>
      <c r="BC1417" s="169"/>
    </row>
    <row r="1418" spans="19:55" ht="15.75" customHeight="1">
      <c r="S1418" s="454"/>
      <c r="AN1418" s="458"/>
      <c r="BC1418" s="169"/>
    </row>
    <row r="1419" spans="19:55" ht="15.75" customHeight="1">
      <c r="S1419" s="454"/>
      <c r="AN1419" s="458"/>
      <c r="BC1419" s="169"/>
    </row>
    <row r="1420" spans="19:55" ht="15.75" customHeight="1">
      <c r="S1420" s="454"/>
      <c r="AN1420" s="458"/>
      <c r="BC1420" s="169"/>
    </row>
    <row r="1421" spans="19:55" ht="15.75" customHeight="1">
      <c r="S1421" s="454"/>
      <c r="AN1421" s="458"/>
      <c r="BC1421" s="169"/>
    </row>
    <row r="1422" spans="19:55" ht="15.75" customHeight="1">
      <c r="S1422" s="454"/>
      <c r="AN1422" s="458"/>
      <c r="BC1422" s="169"/>
    </row>
    <row r="1423" spans="19:55" ht="15.75" customHeight="1">
      <c r="S1423" s="454"/>
      <c r="AN1423" s="458"/>
      <c r="BC1423" s="169"/>
    </row>
    <row r="1424" spans="19:55" ht="15.75" customHeight="1">
      <c r="S1424" s="454"/>
      <c r="AN1424" s="458"/>
      <c r="BC1424" s="169"/>
    </row>
    <row r="1425" spans="19:55" ht="15.75" customHeight="1">
      <c r="S1425" s="454"/>
      <c r="AN1425" s="458"/>
      <c r="BC1425" s="169"/>
    </row>
    <row r="1426" spans="19:55" ht="15.75" customHeight="1">
      <c r="S1426" s="454"/>
      <c r="AN1426" s="458"/>
      <c r="BC1426" s="169"/>
    </row>
    <row r="1427" spans="19:55" ht="15.75" customHeight="1">
      <c r="S1427" s="454"/>
      <c r="AN1427" s="458"/>
      <c r="BC1427" s="169"/>
    </row>
    <row r="1428" spans="19:55" ht="15.75" customHeight="1">
      <c r="S1428" s="454"/>
      <c r="AN1428" s="458"/>
      <c r="BC1428" s="169"/>
    </row>
    <row r="1429" spans="19:55" ht="15.75" customHeight="1">
      <c r="S1429" s="454"/>
      <c r="AN1429" s="458"/>
      <c r="BC1429" s="169"/>
    </row>
    <row r="1430" spans="19:55" ht="15.75" customHeight="1">
      <c r="S1430" s="454"/>
      <c r="AN1430" s="458"/>
      <c r="BC1430" s="169"/>
    </row>
    <row r="1431" spans="19:55" ht="15.75" customHeight="1">
      <c r="S1431" s="454"/>
      <c r="AN1431" s="458"/>
      <c r="BC1431" s="169"/>
    </row>
    <row r="1432" spans="19:55" ht="15.75" customHeight="1">
      <c r="S1432" s="454"/>
      <c r="AN1432" s="458"/>
      <c r="BC1432" s="169"/>
    </row>
    <row r="1433" spans="19:55" ht="15.75" customHeight="1">
      <c r="S1433" s="454"/>
      <c r="AN1433" s="458"/>
      <c r="BC1433" s="169"/>
    </row>
    <row r="1434" spans="19:55" ht="15.75" customHeight="1">
      <c r="S1434" s="454"/>
      <c r="AN1434" s="458"/>
      <c r="BC1434" s="169"/>
    </row>
    <row r="1435" spans="19:55" ht="15.75" customHeight="1">
      <c r="S1435" s="454"/>
      <c r="AN1435" s="458"/>
      <c r="BC1435" s="169"/>
    </row>
    <row r="1436" spans="19:55" ht="15.75" customHeight="1">
      <c r="S1436" s="454"/>
      <c r="AN1436" s="458"/>
      <c r="BC1436" s="169"/>
    </row>
    <row r="1437" spans="19:55" ht="15.75" customHeight="1">
      <c r="S1437" s="454"/>
      <c r="AN1437" s="458"/>
      <c r="BC1437" s="169"/>
    </row>
    <row r="1438" spans="19:55" ht="15.75" customHeight="1">
      <c r="S1438" s="454"/>
      <c r="AN1438" s="458"/>
      <c r="BC1438" s="169"/>
    </row>
    <row r="1439" spans="19:55" ht="15.75" customHeight="1">
      <c r="S1439" s="454"/>
      <c r="AN1439" s="458"/>
      <c r="BC1439" s="169"/>
    </row>
    <row r="1440" spans="19:55" ht="15.75" customHeight="1">
      <c r="S1440" s="454"/>
      <c r="AN1440" s="458"/>
      <c r="BC1440" s="169"/>
    </row>
    <row r="1441" spans="19:55" ht="15.75" customHeight="1">
      <c r="S1441" s="454"/>
      <c r="AN1441" s="458"/>
      <c r="BC1441" s="169"/>
    </row>
    <row r="1442" spans="19:55" ht="15.75" customHeight="1">
      <c r="S1442" s="454"/>
      <c r="AN1442" s="458"/>
      <c r="BC1442" s="169"/>
    </row>
    <row r="1443" spans="19:55" ht="15.75" customHeight="1">
      <c r="S1443" s="454"/>
      <c r="AN1443" s="458"/>
      <c r="BC1443" s="169"/>
    </row>
    <row r="1444" spans="19:55" ht="15.75" customHeight="1">
      <c r="S1444" s="454"/>
      <c r="AN1444" s="458"/>
      <c r="BC1444" s="169"/>
    </row>
    <row r="1445" spans="19:55" ht="15.75" customHeight="1">
      <c r="S1445" s="454"/>
      <c r="AN1445" s="458"/>
      <c r="BC1445" s="169"/>
    </row>
    <row r="1446" spans="19:55" ht="15.75" customHeight="1">
      <c r="S1446" s="454"/>
      <c r="AN1446" s="458"/>
      <c r="BC1446" s="169"/>
    </row>
    <row r="1447" spans="19:55" ht="15.75" customHeight="1">
      <c r="S1447" s="454"/>
      <c r="AN1447" s="458"/>
      <c r="BC1447" s="169"/>
    </row>
    <row r="1448" spans="19:55" ht="15.75" customHeight="1">
      <c r="S1448" s="454"/>
      <c r="AN1448" s="458"/>
      <c r="BC1448" s="169"/>
    </row>
    <row r="1449" spans="19:55" ht="15.75" customHeight="1">
      <c r="S1449" s="454"/>
      <c r="AN1449" s="458"/>
      <c r="BC1449" s="169"/>
    </row>
    <row r="1450" spans="19:55" ht="15.75" customHeight="1">
      <c r="S1450" s="454"/>
      <c r="AN1450" s="458"/>
      <c r="BC1450" s="169"/>
    </row>
    <row r="1451" spans="19:55" ht="15.75" customHeight="1">
      <c r="S1451" s="454"/>
      <c r="AN1451" s="458"/>
      <c r="BC1451" s="169"/>
    </row>
    <row r="1452" spans="19:55" ht="15.75" customHeight="1">
      <c r="S1452" s="454"/>
      <c r="AN1452" s="458"/>
      <c r="BC1452" s="169"/>
    </row>
    <row r="1453" spans="19:55" ht="15.75" customHeight="1">
      <c r="S1453" s="454"/>
      <c r="AN1453" s="458"/>
      <c r="BC1453" s="169"/>
    </row>
    <row r="1454" spans="19:55" ht="15.75" customHeight="1">
      <c r="S1454" s="454"/>
      <c r="AN1454" s="458"/>
      <c r="BC1454" s="169"/>
    </row>
    <row r="1455" spans="19:55" ht="15.75" customHeight="1">
      <c r="S1455" s="454"/>
      <c r="AN1455" s="458"/>
      <c r="BC1455" s="169"/>
    </row>
    <row r="1456" spans="19:55" ht="15.75" customHeight="1">
      <c r="S1456" s="454"/>
      <c r="AN1456" s="458"/>
      <c r="BC1456" s="169"/>
    </row>
    <row r="1457" spans="19:55" ht="15.75" customHeight="1">
      <c r="S1457" s="454"/>
      <c r="AN1457" s="458"/>
      <c r="BC1457" s="169"/>
    </row>
    <row r="1458" spans="19:55" ht="15.75" customHeight="1">
      <c r="S1458" s="454"/>
      <c r="AN1458" s="458"/>
      <c r="BC1458" s="169"/>
    </row>
    <row r="1459" spans="19:55" ht="15.75" customHeight="1">
      <c r="S1459" s="454"/>
      <c r="AN1459" s="458"/>
      <c r="BC1459" s="169"/>
    </row>
    <row r="1460" spans="19:55" ht="15.75" customHeight="1">
      <c r="S1460" s="454"/>
      <c r="AN1460" s="458"/>
      <c r="BC1460" s="169"/>
    </row>
    <row r="1461" spans="19:55" ht="15.75" customHeight="1">
      <c r="S1461" s="454"/>
      <c r="AN1461" s="458"/>
      <c r="BC1461" s="169"/>
    </row>
    <row r="1462" spans="19:55" ht="15.75" customHeight="1">
      <c r="S1462" s="454"/>
      <c r="AN1462" s="458"/>
      <c r="BC1462" s="169"/>
    </row>
    <row r="1463" spans="19:55" ht="15.75" customHeight="1">
      <c r="S1463" s="454"/>
      <c r="AN1463" s="458"/>
      <c r="BC1463" s="169"/>
    </row>
    <row r="1464" spans="19:55" ht="15.75" customHeight="1">
      <c r="S1464" s="454"/>
      <c r="AN1464" s="458"/>
      <c r="BC1464" s="169"/>
    </row>
    <row r="1465" spans="19:55" ht="15.75" customHeight="1">
      <c r="S1465" s="454"/>
      <c r="AN1465" s="458"/>
      <c r="BC1465" s="169"/>
    </row>
    <row r="1466" spans="19:55" ht="15.75" customHeight="1">
      <c r="S1466" s="454"/>
      <c r="AN1466" s="458"/>
      <c r="BC1466" s="169"/>
    </row>
    <row r="1467" spans="19:55" ht="15.75" customHeight="1">
      <c r="S1467" s="454"/>
      <c r="AN1467" s="458"/>
      <c r="BC1467" s="169"/>
    </row>
    <row r="1468" spans="19:55" ht="15.75" customHeight="1">
      <c r="S1468" s="454"/>
      <c r="AN1468" s="458"/>
      <c r="BC1468" s="169"/>
    </row>
    <row r="1469" spans="19:55" ht="15.75" customHeight="1">
      <c r="S1469" s="454"/>
      <c r="AN1469" s="458"/>
      <c r="BC1469" s="169"/>
    </row>
    <row r="1470" spans="19:55" ht="15.75" customHeight="1">
      <c r="S1470" s="454"/>
      <c r="AN1470" s="458"/>
      <c r="BC1470" s="169"/>
    </row>
    <row r="1471" spans="19:55" ht="15.75" customHeight="1">
      <c r="S1471" s="454"/>
      <c r="AN1471" s="458"/>
      <c r="BC1471" s="169"/>
    </row>
    <row r="1472" spans="19:55" ht="15.75" customHeight="1">
      <c r="S1472" s="454"/>
      <c r="AN1472" s="458"/>
      <c r="BC1472" s="169"/>
    </row>
    <row r="1473" spans="19:55" ht="15.75" customHeight="1">
      <c r="S1473" s="454"/>
      <c r="AN1473" s="458"/>
      <c r="BC1473" s="169"/>
    </row>
    <row r="1474" spans="19:55" ht="15.75" customHeight="1">
      <c r="S1474" s="454"/>
      <c r="AN1474" s="458"/>
      <c r="BC1474" s="169"/>
    </row>
    <row r="1475" spans="19:55" ht="15.75" customHeight="1">
      <c r="S1475" s="454"/>
      <c r="AN1475" s="458"/>
      <c r="BC1475" s="169"/>
    </row>
    <row r="1476" spans="19:55" ht="15.75" customHeight="1">
      <c r="S1476" s="454"/>
      <c r="AN1476" s="458"/>
      <c r="BC1476" s="169"/>
    </row>
    <row r="1477" spans="19:55" ht="15.75" customHeight="1">
      <c r="S1477" s="454"/>
      <c r="AN1477" s="458"/>
      <c r="BC1477" s="169"/>
    </row>
    <row r="1478" spans="19:55" ht="15.75" customHeight="1">
      <c r="S1478" s="454"/>
      <c r="AN1478" s="458"/>
      <c r="BC1478" s="169"/>
    </row>
    <row r="1479" spans="19:55" ht="15.75" customHeight="1">
      <c r="S1479" s="454"/>
      <c r="AN1479" s="458"/>
      <c r="BC1479" s="169"/>
    </row>
    <row r="1480" spans="19:55" ht="15.75" customHeight="1">
      <c r="S1480" s="454"/>
      <c r="AN1480" s="458"/>
      <c r="BC1480" s="169"/>
    </row>
    <row r="1481" spans="19:55" ht="15.75" customHeight="1">
      <c r="S1481" s="454"/>
      <c r="AN1481" s="458"/>
      <c r="BC1481" s="169"/>
    </row>
    <row r="1482" spans="19:55" ht="15.75" customHeight="1">
      <c r="S1482" s="454"/>
      <c r="AN1482" s="458"/>
      <c r="BC1482" s="169"/>
    </row>
    <row r="1483" spans="19:55" ht="15.75" customHeight="1">
      <c r="S1483" s="454"/>
      <c r="AN1483" s="458"/>
      <c r="BC1483" s="169"/>
    </row>
    <row r="1484" spans="19:55" ht="15.75" customHeight="1">
      <c r="S1484" s="454"/>
      <c r="AN1484" s="458"/>
      <c r="BC1484" s="169"/>
    </row>
    <row r="1485" spans="19:55" ht="15.75" customHeight="1">
      <c r="S1485" s="454"/>
      <c r="AN1485" s="458"/>
      <c r="BC1485" s="169"/>
    </row>
    <row r="1486" spans="19:55" ht="15.75" customHeight="1">
      <c r="S1486" s="454"/>
      <c r="AN1486" s="458"/>
      <c r="BC1486" s="169"/>
    </row>
    <row r="1487" spans="19:55" ht="15.75" customHeight="1">
      <c r="S1487" s="454"/>
      <c r="AN1487" s="458"/>
      <c r="BC1487" s="169"/>
    </row>
    <row r="1488" spans="19:55" ht="15.75" customHeight="1">
      <c r="S1488" s="454"/>
      <c r="AN1488" s="458"/>
      <c r="BC1488" s="169"/>
    </row>
    <row r="1489" spans="19:55" ht="15.75" customHeight="1">
      <c r="S1489" s="454"/>
      <c r="AN1489" s="458"/>
      <c r="BC1489" s="169"/>
    </row>
    <row r="1490" spans="19:55" ht="15.75" customHeight="1">
      <c r="S1490" s="454"/>
      <c r="AN1490" s="458"/>
      <c r="BC1490" s="169"/>
    </row>
    <row r="1491" spans="19:55" ht="15.75" customHeight="1">
      <c r="S1491" s="454"/>
      <c r="AN1491" s="458"/>
      <c r="BC1491" s="169"/>
    </row>
    <row r="1492" spans="19:55" ht="15.75" customHeight="1">
      <c r="S1492" s="454"/>
      <c r="AN1492" s="458"/>
      <c r="BC1492" s="169"/>
    </row>
    <row r="1493" spans="19:55" ht="15.75" customHeight="1">
      <c r="S1493" s="454"/>
      <c r="AN1493" s="458"/>
      <c r="BC1493" s="169"/>
    </row>
    <row r="1494" spans="19:55" ht="15.75" customHeight="1">
      <c r="AN1494" s="458"/>
      <c r="BC1494" s="169"/>
    </row>
    <row r="1495" spans="19:55" ht="15.75" customHeight="1">
      <c r="AN1495" s="458"/>
      <c r="BC1495" s="169"/>
    </row>
    <row r="1496" spans="19:55" ht="15.75" customHeight="1">
      <c r="AN1496" s="458"/>
      <c r="BC1496" s="169"/>
    </row>
    <row r="1497" spans="19:55" ht="15.75" customHeight="1">
      <c r="AN1497" s="458"/>
      <c r="BC1497" s="169"/>
    </row>
    <row r="1498" spans="19:55" ht="15.75" customHeight="1">
      <c r="AN1498" s="458"/>
      <c r="BC1498" s="169"/>
    </row>
    <row r="1499" spans="19:55" ht="15.75" customHeight="1">
      <c r="AN1499" s="458"/>
      <c r="BC1499" s="169"/>
    </row>
    <row r="1500" spans="19:55" ht="15.75" customHeight="1">
      <c r="AN1500" s="458"/>
      <c r="BC1500" s="169"/>
    </row>
    <row r="1501" spans="19:55" ht="15.75" customHeight="1">
      <c r="AN1501" s="458"/>
      <c r="BC1501" s="169"/>
    </row>
    <row r="1502" spans="19:55" ht="15.75" customHeight="1">
      <c r="AN1502" s="458"/>
      <c r="BC1502" s="169"/>
    </row>
    <row r="1503" spans="19:55" ht="15.75" customHeight="1">
      <c r="AN1503" s="458"/>
      <c r="BC1503" s="169"/>
    </row>
    <row r="1504" spans="19:55" ht="15.75" customHeight="1">
      <c r="AN1504" s="458"/>
      <c r="BC1504" s="169"/>
    </row>
    <row r="1505" spans="40:55" ht="15.75" customHeight="1">
      <c r="AN1505" s="458"/>
      <c r="BC1505" s="169"/>
    </row>
    <row r="1506" spans="40:55" ht="15.75" customHeight="1">
      <c r="AN1506" s="458"/>
      <c r="BC1506" s="169"/>
    </row>
    <row r="1507" spans="40:55" ht="15.75" customHeight="1">
      <c r="AN1507" s="458"/>
      <c r="BC1507" s="169"/>
    </row>
    <row r="1508" spans="40:55" ht="15.75" customHeight="1">
      <c r="AN1508" s="458"/>
      <c r="BC1508" s="169"/>
    </row>
    <row r="1509" spans="40:55" ht="15.75" customHeight="1">
      <c r="AN1509" s="458"/>
      <c r="BC1509" s="169"/>
    </row>
    <row r="1510" spans="40:55" ht="15.75" customHeight="1">
      <c r="AN1510" s="458"/>
      <c r="BC1510" s="169"/>
    </row>
    <row r="1511" spans="40:55" ht="15.75" customHeight="1">
      <c r="AN1511" s="458"/>
      <c r="BC1511" s="169"/>
    </row>
    <row r="1512" spans="40:55" ht="15.75" customHeight="1">
      <c r="AN1512" s="458"/>
      <c r="BC1512" s="169"/>
    </row>
    <row r="1513" spans="40:55" ht="15.75" customHeight="1">
      <c r="AN1513" s="458"/>
      <c r="BC1513" s="169"/>
    </row>
    <row r="1514" spans="40:55" ht="15.75" customHeight="1">
      <c r="AN1514" s="458"/>
      <c r="BC1514" s="169"/>
    </row>
    <row r="1515" spans="40:55" ht="15.75" customHeight="1">
      <c r="AN1515" s="458"/>
      <c r="BC1515" s="169"/>
    </row>
    <row r="1516" spans="40:55" ht="15.75" customHeight="1">
      <c r="AN1516" s="458"/>
      <c r="BC1516" s="169"/>
    </row>
    <row r="1517" spans="40:55" ht="15.75" customHeight="1">
      <c r="AN1517" s="458"/>
      <c r="BC1517" s="169"/>
    </row>
    <row r="1518" spans="40:55" ht="15.75" customHeight="1">
      <c r="AN1518" s="458"/>
      <c r="BC1518" s="169"/>
    </row>
    <row r="1519" spans="40:55" ht="15.75" customHeight="1">
      <c r="AN1519" s="458"/>
      <c r="BC1519" s="169"/>
    </row>
    <row r="1520" spans="40:55" ht="15.75" customHeight="1">
      <c r="AN1520" s="458"/>
      <c r="BC1520" s="169"/>
    </row>
    <row r="1521" spans="40:55" ht="15.75" customHeight="1">
      <c r="AN1521" s="458"/>
      <c r="BC1521" s="169"/>
    </row>
    <row r="1522" spans="40:55" ht="15.75" customHeight="1">
      <c r="AN1522" s="458"/>
      <c r="BC1522" s="169"/>
    </row>
    <row r="1523" spans="40:55" ht="15.75" customHeight="1">
      <c r="AN1523" s="458"/>
      <c r="BC1523" s="169"/>
    </row>
    <row r="1524" spans="40:55" ht="15.75" customHeight="1">
      <c r="AN1524" s="458"/>
      <c r="BC1524" s="169"/>
    </row>
    <row r="1525" spans="40:55" ht="15.75" customHeight="1">
      <c r="AN1525" s="458"/>
      <c r="BC1525" s="169"/>
    </row>
    <row r="1526" spans="40:55" ht="15.75" customHeight="1">
      <c r="AN1526" s="458"/>
      <c r="BC1526" s="169"/>
    </row>
    <row r="1527" spans="40:55" ht="15.75" customHeight="1">
      <c r="AN1527" s="458"/>
      <c r="BC1527" s="169"/>
    </row>
    <row r="1528" spans="40:55" ht="15.75" customHeight="1">
      <c r="AN1528" s="458"/>
      <c r="BC1528" s="169"/>
    </row>
    <row r="1529" spans="40:55" ht="15.75" customHeight="1">
      <c r="AN1529" s="458"/>
      <c r="BC1529" s="169"/>
    </row>
    <row r="1530" spans="40:55" ht="15.75" customHeight="1">
      <c r="AN1530" s="458"/>
      <c r="BC1530" s="169"/>
    </row>
    <row r="1531" spans="40:55" ht="15.75" customHeight="1">
      <c r="AN1531" s="458"/>
      <c r="BC1531" s="169"/>
    </row>
    <row r="1532" spans="40:55" ht="15.75" customHeight="1">
      <c r="AN1532" s="458"/>
      <c r="BC1532" s="169"/>
    </row>
    <row r="1533" spans="40:55" ht="15.75" customHeight="1">
      <c r="AN1533" s="458"/>
      <c r="BC1533" s="169"/>
    </row>
    <row r="1534" spans="40:55" ht="15.75" customHeight="1">
      <c r="AN1534" s="458"/>
      <c r="BC1534" s="169"/>
    </row>
    <row r="1535" spans="40:55" ht="15.75" customHeight="1">
      <c r="AN1535" s="458"/>
      <c r="BC1535" s="169"/>
    </row>
    <row r="1536" spans="40:55" ht="15.75" customHeight="1">
      <c r="AN1536" s="458"/>
      <c r="BC1536" s="169"/>
    </row>
    <row r="1537" spans="40:55" ht="15.75" customHeight="1">
      <c r="AN1537" s="458"/>
      <c r="BC1537" s="169"/>
    </row>
    <row r="1538" spans="40:55" ht="15.75" customHeight="1">
      <c r="AN1538" s="458"/>
      <c r="BC1538" s="169"/>
    </row>
    <row r="1539" spans="40:55" ht="15.75" customHeight="1">
      <c r="AN1539" s="458"/>
      <c r="BC1539" s="169"/>
    </row>
    <row r="1540" spans="40:55" ht="15.75" customHeight="1">
      <c r="AN1540" s="458"/>
      <c r="BC1540" s="169"/>
    </row>
    <row r="1541" spans="40:55" ht="15.75" customHeight="1">
      <c r="AN1541" s="458"/>
      <c r="BC1541" s="169"/>
    </row>
    <row r="1542" spans="40:55" ht="15.75" customHeight="1">
      <c r="AN1542" s="458"/>
      <c r="BC1542" s="169"/>
    </row>
    <row r="1543" spans="40:55" ht="15.75" customHeight="1">
      <c r="AN1543" s="458"/>
      <c r="BC1543" s="169"/>
    </row>
    <row r="1544" spans="40:55" ht="15.75" customHeight="1">
      <c r="AN1544" s="458"/>
      <c r="BC1544" s="169"/>
    </row>
    <row r="1545" spans="40:55" ht="15.75" customHeight="1">
      <c r="AN1545" s="458"/>
      <c r="BC1545" s="169"/>
    </row>
    <row r="1546" spans="40:55" ht="15.75" customHeight="1">
      <c r="AN1546" s="458"/>
      <c r="BC1546" s="169"/>
    </row>
    <row r="1547" spans="40:55" ht="15.75" customHeight="1">
      <c r="AN1547" s="458"/>
      <c r="BC1547" s="169"/>
    </row>
    <row r="1548" spans="40:55" ht="15.75" customHeight="1">
      <c r="AN1548" s="458"/>
      <c r="BC1548" s="169"/>
    </row>
    <row r="1549" spans="40:55" ht="15.75" customHeight="1">
      <c r="AN1549" s="458"/>
      <c r="BC1549" s="169"/>
    </row>
    <row r="1550" spans="40:55" ht="15.75" customHeight="1">
      <c r="AN1550" s="458"/>
      <c r="BC1550" s="169"/>
    </row>
    <row r="1551" spans="40:55" ht="15.75" customHeight="1">
      <c r="AN1551" s="458"/>
      <c r="BC1551" s="169"/>
    </row>
    <row r="1552" spans="40:55" ht="15.75" customHeight="1">
      <c r="AN1552" s="458"/>
      <c r="BC1552" s="169"/>
    </row>
    <row r="1553" spans="40:55" ht="15.75" customHeight="1">
      <c r="AN1553" s="458"/>
      <c r="BC1553" s="169"/>
    </row>
    <row r="1554" spans="40:55" ht="15.75" customHeight="1">
      <c r="AN1554" s="458"/>
      <c r="BC1554" s="169"/>
    </row>
    <row r="1555" spans="40:55" ht="15.75" customHeight="1">
      <c r="AN1555" s="458"/>
      <c r="BC1555" s="169"/>
    </row>
    <row r="1556" spans="40:55" ht="15.75" customHeight="1">
      <c r="AN1556" s="458"/>
      <c r="BC1556" s="169"/>
    </row>
    <row r="1557" spans="40:55" ht="15.75" customHeight="1">
      <c r="AN1557" s="458"/>
      <c r="BC1557" s="169"/>
    </row>
    <row r="1558" spans="40:55" ht="15.75" customHeight="1">
      <c r="AN1558" s="458"/>
      <c r="BC1558" s="169"/>
    </row>
    <row r="1559" spans="40:55" ht="15.75" customHeight="1">
      <c r="AN1559" s="458"/>
      <c r="BC1559" s="169"/>
    </row>
    <row r="1560" spans="40:55" ht="15.75" customHeight="1">
      <c r="AN1560" s="458"/>
      <c r="BC1560" s="169"/>
    </row>
    <row r="1561" spans="40:55" ht="15.75" customHeight="1">
      <c r="AN1561" s="458"/>
      <c r="BC1561" s="169"/>
    </row>
    <row r="1562" spans="40:55" ht="15.75" customHeight="1">
      <c r="AN1562" s="458"/>
      <c r="BC1562" s="169"/>
    </row>
    <row r="1563" spans="40:55" ht="15.75" customHeight="1">
      <c r="AN1563" s="458"/>
      <c r="BC1563" s="169"/>
    </row>
    <row r="1564" spans="40:55" ht="15.75" customHeight="1">
      <c r="AN1564" s="458"/>
      <c r="BC1564" s="169"/>
    </row>
    <row r="1565" spans="40:55" ht="15.75" customHeight="1">
      <c r="AN1565" s="458"/>
      <c r="BC1565" s="169"/>
    </row>
    <row r="1566" spans="40:55" ht="15.75" customHeight="1">
      <c r="AN1566" s="458"/>
      <c r="BC1566" s="169"/>
    </row>
    <row r="1567" spans="40:55" ht="15.75" customHeight="1">
      <c r="AN1567" s="458"/>
      <c r="BC1567" s="169"/>
    </row>
    <row r="1568" spans="40:55" ht="15.75" customHeight="1">
      <c r="AN1568" s="458"/>
      <c r="BC1568" s="169"/>
    </row>
    <row r="1569" spans="40:55" ht="15.75" customHeight="1">
      <c r="AN1569" s="458"/>
      <c r="BC1569" s="169"/>
    </row>
    <row r="1570" spans="40:55" ht="15.75" customHeight="1">
      <c r="AN1570" s="458"/>
      <c r="BC1570" s="169"/>
    </row>
    <row r="1571" spans="40:55" ht="15.75" customHeight="1">
      <c r="AN1571" s="458"/>
      <c r="BC1571" s="169"/>
    </row>
    <row r="1572" spans="40:55" ht="15.75" customHeight="1">
      <c r="AN1572" s="458"/>
      <c r="BC1572" s="169"/>
    </row>
    <row r="1573" spans="40:55" ht="15.75" customHeight="1">
      <c r="AN1573" s="458"/>
      <c r="BC1573" s="169"/>
    </row>
    <row r="1574" spans="40:55" ht="15.75" customHeight="1">
      <c r="AN1574" s="458"/>
      <c r="BC1574" s="169"/>
    </row>
    <row r="1575" spans="40:55" ht="15.75" customHeight="1">
      <c r="AN1575" s="458"/>
      <c r="BC1575" s="169"/>
    </row>
    <row r="1576" spans="40:55" ht="15.75" customHeight="1">
      <c r="AN1576" s="458"/>
      <c r="BC1576" s="169"/>
    </row>
    <row r="1577" spans="40:55" ht="15.75" customHeight="1">
      <c r="AN1577" s="458"/>
      <c r="BC1577" s="169"/>
    </row>
    <row r="1578" spans="40:55" ht="15.75" customHeight="1">
      <c r="AN1578" s="458"/>
      <c r="BC1578" s="169"/>
    </row>
    <row r="1579" spans="40:55" ht="15.75" customHeight="1">
      <c r="AN1579" s="458"/>
      <c r="BC1579" s="169"/>
    </row>
    <row r="1580" spans="40:55" ht="15.75" customHeight="1">
      <c r="AN1580" s="458"/>
      <c r="BC1580" s="169"/>
    </row>
    <row r="1581" spans="40:55" ht="15.75" customHeight="1">
      <c r="AN1581" s="458"/>
      <c r="BC1581" s="169"/>
    </row>
    <row r="1582" spans="40:55" ht="15.75" customHeight="1">
      <c r="AN1582" s="458"/>
      <c r="BC1582" s="169"/>
    </row>
    <row r="1583" spans="40:55" ht="15.75" customHeight="1">
      <c r="AN1583" s="458"/>
      <c r="BC1583" s="169"/>
    </row>
    <row r="1584" spans="40:55" ht="15.75" customHeight="1">
      <c r="AN1584" s="458"/>
      <c r="BC1584" s="169"/>
    </row>
    <row r="1585" spans="40:55" ht="15.75" customHeight="1">
      <c r="AN1585" s="458"/>
      <c r="BC1585" s="169"/>
    </row>
    <row r="1586" spans="40:55" ht="15.75" customHeight="1">
      <c r="AN1586" s="458"/>
      <c r="BC1586" s="169"/>
    </row>
    <row r="1587" spans="40:55" ht="15.75" customHeight="1">
      <c r="AN1587" s="458"/>
      <c r="BC1587" s="169"/>
    </row>
    <row r="1588" spans="40:55" ht="15.75" customHeight="1">
      <c r="AN1588" s="458"/>
      <c r="BC1588" s="169"/>
    </row>
    <row r="1589" spans="40:55" ht="15.75" customHeight="1">
      <c r="AN1589" s="458"/>
      <c r="BC1589" s="169"/>
    </row>
    <row r="1590" spans="40:55" ht="15.75" customHeight="1">
      <c r="AN1590" s="458"/>
      <c r="BC1590" s="169"/>
    </row>
    <row r="1591" spans="40:55" ht="15.75" customHeight="1">
      <c r="AN1591" s="458"/>
      <c r="BC1591" s="169"/>
    </row>
    <row r="1592" spans="40:55" ht="15.75" customHeight="1">
      <c r="AN1592" s="458"/>
      <c r="BC1592" s="169"/>
    </row>
    <row r="1593" spans="40:55" ht="15.75" customHeight="1">
      <c r="AN1593" s="458"/>
      <c r="BC1593" s="169"/>
    </row>
    <row r="1594" spans="40:55" ht="15.75" customHeight="1">
      <c r="AN1594" s="458"/>
      <c r="BC1594" s="169"/>
    </row>
    <row r="1595" spans="40:55" ht="15.75" customHeight="1">
      <c r="AN1595" s="458"/>
      <c r="BC1595" s="169"/>
    </row>
    <row r="1596" spans="40:55" ht="15.75" customHeight="1">
      <c r="AN1596" s="458"/>
      <c r="BC1596" s="169"/>
    </row>
    <row r="1597" spans="40:55" ht="15.75" customHeight="1">
      <c r="AN1597" s="458"/>
      <c r="BC1597" s="169"/>
    </row>
    <row r="1598" spans="40:55" ht="15.75" customHeight="1">
      <c r="AN1598" s="458"/>
      <c r="BC1598" s="169"/>
    </row>
    <row r="1599" spans="40:55" ht="15.75" customHeight="1">
      <c r="AN1599" s="458"/>
      <c r="BC1599" s="169"/>
    </row>
    <row r="1600" spans="40:55" ht="15.75" customHeight="1">
      <c r="AN1600" s="458"/>
      <c r="BC1600" s="169"/>
    </row>
    <row r="1601" spans="40:55" ht="15.75" customHeight="1">
      <c r="AN1601" s="458"/>
      <c r="BC1601" s="169"/>
    </row>
    <row r="1602" spans="40:55" ht="15.75" customHeight="1">
      <c r="AN1602" s="458"/>
      <c r="BC1602" s="169"/>
    </row>
    <row r="1603" spans="40:55" ht="15.75" customHeight="1">
      <c r="AN1603" s="458"/>
      <c r="BC1603" s="169"/>
    </row>
    <row r="1604" spans="40:55" ht="15.75" customHeight="1">
      <c r="AN1604" s="458"/>
      <c r="BC1604" s="169"/>
    </row>
    <row r="1605" spans="40:55" ht="15.75" customHeight="1">
      <c r="AN1605" s="458"/>
      <c r="BC1605" s="169"/>
    </row>
    <row r="1606" spans="40:55" ht="15.75" customHeight="1">
      <c r="AN1606" s="458"/>
      <c r="BC1606" s="169"/>
    </row>
    <row r="1607" spans="40:55" ht="15.75" customHeight="1">
      <c r="AN1607" s="458"/>
      <c r="BC1607" s="169"/>
    </row>
    <row r="1608" spans="40:55" ht="15.75" customHeight="1">
      <c r="AN1608" s="458"/>
      <c r="BC1608" s="169"/>
    </row>
    <row r="1609" spans="40:55" ht="15.75" customHeight="1">
      <c r="AN1609" s="458"/>
      <c r="BC1609" s="169"/>
    </row>
    <row r="1610" spans="40:55" ht="15.75" customHeight="1">
      <c r="AN1610" s="458"/>
      <c r="BC1610" s="169"/>
    </row>
    <row r="1611" spans="40:55" ht="15.75" customHeight="1">
      <c r="AN1611" s="458"/>
      <c r="BC1611" s="169"/>
    </row>
    <row r="1612" spans="40:55" ht="15.75" customHeight="1">
      <c r="AN1612" s="458"/>
      <c r="BC1612" s="169"/>
    </row>
    <row r="1613" spans="40:55" ht="15.75" customHeight="1">
      <c r="AN1613" s="458"/>
      <c r="BC1613" s="169"/>
    </row>
    <row r="1614" spans="40:55" ht="15.75" customHeight="1">
      <c r="AN1614" s="458"/>
      <c r="BC1614" s="169"/>
    </row>
    <row r="1615" spans="40:55" ht="15.75" customHeight="1">
      <c r="AN1615" s="458"/>
      <c r="BC1615" s="169"/>
    </row>
    <row r="1616" spans="40:55" ht="15.75" customHeight="1">
      <c r="AN1616" s="458"/>
      <c r="BC1616" s="169"/>
    </row>
    <row r="1617" spans="40:55" ht="15.75" customHeight="1">
      <c r="AN1617" s="458"/>
      <c r="BC1617" s="169"/>
    </row>
    <row r="1618" spans="40:55" ht="15.75" customHeight="1">
      <c r="AN1618" s="458"/>
      <c r="BC1618" s="169"/>
    </row>
    <row r="1619" spans="40:55" ht="15.75" customHeight="1">
      <c r="AN1619" s="458"/>
      <c r="BC1619" s="169"/>
    </row>
    <row r="1620" spans="40:55" ht="15.75" customHeight="1">
      <c r="AN1620" s="458"/>
      <c r="BC1620" s="169"/>
    </row>
    <row r="1621" spans="40:55" ht="15.75" customHeight="1">
      <c r="AN1621" s="458"/>
      <c r="BC1621" s="169"/>
    </row>
    <row r="1622" spans="40:55" ht="15.75" customHeight="1">
      <c r="AN1622" s="458"/>
      <c r="BC1622" s="169"/>
    </row>
    <row r="1623" spans="40:55" ht="15.75" customHeight="1">
      <c r="AN1623" s="458"/>
      <c r="BC1623" s="169"/>
    </row>
    <row r="1624" spans="40:55" ht="15.75" customHeight="1">
      <c r="AN1624" s="458"/>
      <c r="BC1624" s="169"/>
    </row>
    <row r="1625" spans="40:55" ht="15.75" customHeight="1">
      <c r="AN1625" s="458"/>
      <c r="BC1625" s="169"/>
    </row>
    <row r="1626" spans="40:55" ht="15.75" customHeight="1">
      <c r="AN1626" s="458"/>
      <c r="BC1626" s="169"/>
    </row>
    <row r="1627" spans="40:55" ht="15.75" customHeight="1">
      <c r="AN1627" s="458"/>
      <c r="BC1627" s="169"/>
    </row>
    <row r="1628" spans="40:55" ht="15.75" customHeight="1">
      <c r="AN1628" s="458"/>
      <c r="BC1628" s="169"/>
    </row>
    <row r="1629" spans="40:55" ht="15.75" customHeight="1">
      <c r="AN1629" s="458"/>
      <c r="BC1629" s="169"/>
    </row>
    <row r="1630" spans="40:55" ht="15.75" customHeight="1">
      <c r="AN1630" s="458"/>
      <c r="BC1630" s="169"/>
    </row>
    <row r="1631" spans="40:55" ht="15.75" customHeight="1">
      <c r="AN1631" s="458"/>
      <c r="BC1631" s="169"/>
    </row>
    <row r="1632" spans="40:55" ht="15.75" customHeight="1">
      <c r="AN1632" s="458"/>
      <c r="BC1632" s="169"/>
    </row>
    <row r="1633" spans="40:55" ht="15.75" customHeight="1">
      <c r="AN1633" s="458"/>
      <c r="BC1633" s="169"/>
    </row>
    <row r="1634" spans="40:55" ht="15.75" customHeight="1">
      <c r="AN1634" s="458"/>
      <c r="BC1634" s="169"/>
    </row>
    <row r="1635" spans="40:55" ht="15.75" customHeight="1">
      <c r="AN1635" s="458"/>
      <c r="BC1635" s="169"/>
    </row>
    <row r="1636" spans="40:55" ht="15.75" customHeight="1">
      <c r="AN1636" s="458"/>
      <c r="BC1636" s="169"/>
    </row>
    <row r="1637" spans="40:55" ht="15.75" customHeight="1">
      <c r="AN1637" s="458"/>
      <c r="BC1637" s="169"/>
    </row>
    <row r="1638" spans="40:55" ht="15.75" customHeight="1">
      <c r="AN1638" s="458"/>
      <c r="BC1638" s="169"/>
    </row>
    <row r="1639" spans="40:55" ht="15.75" customHeight="1">
      <c r="AN1639" s="458"/>
      <c r="BC1639" s="169"/>
    </row>
    <row r="1640" spans="40:55" ht="15.75" customHeight="1">
      <c r="AN1640" s="458"/>
      <c r="BC1640" s="169"/>
    </row>
    <row r="1641" spans="40:55" ht="15.75" customHeight="1">
      <c r="AN1641" s="458"/>
      <c r="BC1641" s="169"/>
    </row>
    <row r="1642" spans="40:55" ht="15.75" customHeight="1">
      <c r="AN1642" s="458"/>
      <c r="BC1642" s="169"/>
    </row>
    <row r="1643" spans="40:55" ht="15.75" customHeight="1">
      <c r="AN1643" s="458"/>
      <c r="BC1643" s="169"/>
    </row>
    <row r="1644" spans="40:55" ht="15.75" customHeight="1">
      <c r="AN1644" s="458"/>
      <c r="BC1644" s="169"/>
    </row>
    <row r="1645" spans="40:55" ht="15.75" customHeight="1">
      <c r="AN1645" s="458"/>
      <c r="BC1645" s="169"/>
    </row>
    <row r="1646" spans="40:55" ht="15.75" customHeight="1">
      <c r="AN1646" s="458"/>
      <c r="BC1646" s="169"/>
    </row>
    <row r="1647" spans="40:55" ht="15.75" customHeight="1">
      <c r="AN1647" s="458"/>
      <c r="BC1647" s="169"/>
    </row>
    <row r="1648" spans="40:55" ht="15.75" customHeight="1">
      <c r="AN1648" s="458"/>
      <c r="BC1648" s="169"/>
    </row>
    <row r="1649" spans="40:55" ht="15.75" customHeight="1">
      <c r="AN1649" s="458"/>
      <c r="BC1649" s="169"/>
    </row>
    <row r="1650" spans="40:55" ht="15.75" customHeight="1">
      <c r="AN1650" s="458"/>
      <c r="BC1650" s="169"/>
    </row>
    <row r="1651" spans="40:55" ht="15.75" customHeight="1">
      <c r="AN1651" s="458"/>
      <c r="BC1651" s="169"/>
    </row>
    <row r="1652" spans="40:55" ht="15.75" customHeight="1">
      <c r="AN1652" s="458"/>
      <c r="BC1652" s="169"/>
    </row>
    <row r="1653" spans="40:55" ht="15.75" customHeight="1">
      <c r="AN1653" s="458"/>
      <c r="BC1653" s="169"/>
    </row>
    <row r="1654" spans="40:55" ht="15.75" customHeight="1">
      <c r="AN1654" s="458"/>
      <c r="BC1654" s="169"/>
    </row>
    <row r="1655" spans="40:55" ht="15.75" customHeight="1">
      <c r="AN1655" s="458"/>
      <c r="BC1655" s="169"/>
    </row>
    <row r="1656" spans="40:55" ht="15.75" customHeight="1">
      <c r="AN1656" s="458"/>
      <c r="BC1656" s="169"/>
    </row>
    <row r="1657" spans="40:55" ht="15.75" customHeight="1">
      <c r="AN1657" s="458"/>
      <c r="BC1657" s="169"/>
    </row>
    <row r="1658" spans="40:55" ht="15.75" customHeight="1">
      <c r="AN1658" s="458"/>
      <c r="BC1658" s="169"/>
    </row>
    <row r="1659" spans="40:55" ht="15.75" customHeight="1">
      <c r="AN1659" s="458"/>
      <c r="BC1659" s="169"/>
    </row>
    <row r="1660" spans="40:55" ht="15.75" customHeight="1">
      <c r="AN1660" s="458"/>
      <c r="BC1660" s="169"/>
    </row>
    <row r="1661" spans="40:55" ht="15.75" customHeight="1">
      <c r="AN1661" s="458"/>
      <c r="BC1661" s="169"/>
    </row>
    <row r="1662" spans="40:55" ht="15.75" customHeight="1">
      <c r="AN1662" s="458"/>
      <c r="BC1662" s="169"/>
    </row>
    <row r="1663" spans="40:55" ht="15.75" customHeight="1">
      <c r="AN1663" s="458"/>
      <c r="BC1663" s="169"/>
    </row>
    <row r="1664" spans="40:55" ht="15.75" customHeight="1">
      <c r="AN1664" s="458"/>
      <c r="BC1664" s="169"/>
    </row>
    <row r="1665" spans="40:55" ht="15.75" customHeight="1">
      <c r="AN1665" s="458"/>
      <c r="BC1665" s="169"/>
    </row>
    <row r="1666" spans="40:55" ht="15.75" customHeight="1">
      <c r="AN1666" s="458"/>
      <c r="BC1666" s="169"/>
    </row>
    <row r="1667" spans="40:55" ht="15.75" customHeight="1">
      <c r="AN1667" s="458"/>
      <c r="BC1667" s="169"/>
    </row>
    <row r="1668" spans="40:55" ht="15.75" customHeight="1">
      <c r="AN1668" s="458"/>
      <c r="BC1668" s="169"/>
    </row>
    <row r="1669" spans="40:55" ht="15.75" customHeight="1">
      <c r="AN1669" s="458"/>
      <c r="BC1669" s="169"/>
    </row>
    <row r="1670" spans="40:55" ht="15.75" customHeight="1">
      <c r="AN1670" s="458"/>
      <c r="BC1670" s="169"/>
    </row>
    <row r="1671" spans="40:55" ht="15.75" customHeight="1">
      <c r="AN1671" s="458"/>
      <c r="BC1671" s="169"/>
    </row>
    <row r="1672" spans="40:55" ht="15.75" customHeight="1">
      <c r="AN1672" s="458"/>
      <c r="BC1672" s="169"/>
    </row>
    <row r="1673" spans="40:55" ht="15.75" customHeight="1">
      <c r="AN1673" s="458"/>
      <c r="BC1673" s="169"/>
    </row>
    <row r="1674" spans="40:55" ht="15.75" customHeight="1">
      <c r="AN1674" s="458"/>
      <c r="BC1674" s="169"/>
    </row>
    <row r="1675" spans="40:55" ht="15.75" customHeight="1">
      <c r="AN1675" s="458"/>
      <c r="BC1675" s="169"/>
    </row>
    <row r="1676" spans="40:55" ht="15.75" customHeight="1">
      <c r="AN1676" s="458"/>
      <c r="BC1676" s="169"/>
    </row>
    <row r="1677" spans="40:55" ht="15.75" customHeight="1">
      <c r="AN1677" s="458"/>
      <c r="BC1677" s="169"/>
    </row>
    <row r="1678" spans="40:55" ht="15.75" customHeight="1">
      <c r="AN1678" s="458"/>
      <c r="BC1678" s="169"/>
    </row>
    <row r="1679" spans="40:55" ht="15.75" customHeight="1">
      <c r="AN1679" s="458"/>
      <c r="BC1679" s="169"/>
    </row>
    <row r="1680" spans="40:55" ht="15.75" customHeight="1">
      <c r="AN1680" s="458"/>
      <c r="BC1680" s="169"/>
    </row>
    <row r="1681" spans="40:55" ht="15.75" customHeight="1">
      <c r="AN1681" s="458"/>
      <c r="BC1681" s="169"/>
    </row>
    <row r="1682" spans="40:55" ht="15.75" customHeight="1">
      <c r="AN1682" s="458"/>
      <c r="BC1682" s="169"/>
    </row>
    <row r="1683" spans="40:55" ht="15.75" customHeight="1">
      <c r="AN1683" s="458"/>
      <c r="BC1683" s="169"/>
    </row>
    <row r="1684" spans="40:55" ht="15.75" customHeight="1">
      <c r="AN1684" s="458"/>
      <c r="BC1684" s="169"/>
    </row>
    <row r="1685" spans="40:55" ht="15.75" customHeight="1">
      <c r="AN1685" s="458"/>
      <c r="BC1685" s="169"/>
    </row>
    <row r="1686" spans="40:55" ht="15.75" customHeight="1">
      <c r="AN1686" s="458"/>
      <c r="BC1686" s="169"/>
    </row>
    <row r="1687" spans="40:55" ht="15.75" customHeight="1">
      <c r="AN1687" s="458"/>
      <c r="BC1687" s="169"/>
    </row>
    <row r="1688" spans="40:55" ht="15.75" customHeight="1">
      <c r="AN1688" s="458"/>
      <c r="BC1688" s="169"/>
    </row>
    <row r="1689" spans="40:55" ht="15.75" customHeight="1">
      <c r="AN1689" s="458"/>
      <c r="BC1689" s="169"/>
    </row>
    <row r="1690" spans="40:55" ht="15.75" customHeight="1">
      <c r="AN1690" s="458"/>
      <c r="BC1690" s="169"/>
    </row>
    <row r="1691" spans="40:55" ht="15.75" customHeight="1">
      <c r="AN1691" s="458"/>
      <c r="BC1691" s="169"/>
    </row>
    <row r="1692" spans="40:55" ht="15.75" customHeight="1">
      <c r="AN1692" s="458"/>
      <c r="BC1692" s="169"/>
    </row>
    <row r="1693" spans="40:55" ht="15.75" customHeight="1">
      <c r="AN1693" s="458"/>
      <c r="BC1693" s="169"/>
    </row>
    <row r="1694" spans="40:55" ht="15.75" customHeight="1">
      <c r="AN1694" s="458"/>
      <c r="BC1694" s="169"/>
    </row>
    <row r="1695" spans="40:55" ht="15.75" customHeight="1">
      <c r="AN1695" s="458"/>
      <c r="BC1695" s="169"/>
    </row>
    <row r="1696" spans="40:55" ht="15.75" customHeight="1">
      <c r="AN1696" s="458"/>
      <c r="BC1696" s="169"/>
    </row>
    <row r="1697" spans="40:55" ht="15.75" customHeight="1">
      <c r="AN1697" s="458"/>
      <c r="BC1697" s="169"/>
    </row>
    <row r="1698" spans="40:55" ht="15.75" customHeight="1">
      <c r="AN1698" s="458"/>
      <c r="BC1698" s="169"/>
    </row>
    <row r="1699" spans="40:55" ht="15.75" customHeight="1">
      <c r="AN1699" s="458"/>
      <c r="BC1699" s="169"/>
    </row>
    <row r="1700" spans="40:55" ht="15.75" customHeight="1">
      <c r="AN1700" s="458"/>
      <c r="BC1700" s="169"/>
    </row>
    <row r="1701" spans="40:55" ht="15.75" customHeight="1">
      <c r="AN1701" s="458"/>
      <c r="BC1701" s="169"/>
    </row>
    <row r="1702" spans="40:55" ht="15.75" customHeight="1">
      <c r="AN1702" s="458"/>
      <c r="BC1702" s="169"/>
    </row>
    <row r="1703" spans="40:55" ht="15.75" customHeight="1">
      <c r="AN1703" s="458"/>
      <c r="BC1703" s="169"/>
    </row>
    <row r="1704" spans="40:55" ht="15.75" customHeight="1">
      <c r="AN1704" s="458"/>
      <c r="BC1704" s="169"/>
    </row>
    <row r="1705" spans="40:55" ht="15.75" customHeight="1">
      <c r="AN1705" s="458"/>
      <c r="BC1705" s="169"/>
    </row>
    <row r="1706" spans="40:55" ht="15.75" customHeight="1">
      <c r="AN1706" s="458"/>
      <c r="BC1706" s="169"/>
    </row>
    <row r="1707" spans="40:55" ht="15.75" customHeight="1">
      <c r="AN1707" s="458"/>
      <c r="BC1707" s="169"/>
    </row>
    <row r="1708" spans="40:55" ht="15.75" customHeight="1">
      <c r="AN1708" s="458"/>
      <c r="BC1708" s="169"/>
    </row>
    <row r="1709" spans="40:55" ht="15.75" customHeight="1">
      <c r="AN1709" s="458"/>
      <c r="BC1709" s="169"/>
    </row>
    <row r="1710" spans="40:55" ht="15.75" customHeight="1">
      <c r="AN1710" s="458"/>
      <c r="BC1710" s="169"/>
    </row>
    <row r="1711" spans="40:55" ht="15.75" customHeight="1">
      <c r="AN1711" s="458"/>
      <c r="BC1711" s="169"/>
    </row>
    <row r="1712" spans="40:55" ht="15.75" customHeight="1">
      <c r="AN1712" s="458"/>
      <c r="BC1712" s="169"/>
    </row>
    <row r="1713" spans="40:55" ht="15.75" customHeight="1">
      <c r="AN1713" s="458"/>
      <c r="BC1713" s="169"/>
    </row>
    <row r="1714" spans="40:55" ht="15.75" customHeight="1">
      <c r="AN1714" s="458"/>
      <c r="BC1714" s="169"/>
    </row>
    <row r="1715" spans="40:55" ht="15.75" customHeight="1">
      <c r="AN1715" s="458"/>
      <c r="BC1715" s="169"/>
    </row>
    <row r="1716" spans="40:55" ht="15.75" customHeight="1">
      <c r="AN1716" s="458"/>
      <c r="BC1716" s="169"/>
    </row>
    <row r="1717" spans="40:55" ht="15.75" customHeight="1">
      <c r="AN1717" s="458"/>
      <c r="BC1717" s="169"/>
    </row>
    <row r="1718" spans="40:55" ht="15.75" customHeight="1">
      <c r="AN1718" s="458"/>
      <c r="BC1718" s="169"/>
    </row>
    <row r="1719" spans="40:55" ht="15.75" customHeight="1">
      <c r="AN1719" s="458"/>
      <c r="BC1719" s="169"/>
    </row>
    <row r="1720" spans="40:55" ht="15.75" customHeight="1">
      <c r="AN1720" s="458"/>
      <c r="BC1720" s="169"/>
    </row>
    <row r="1721" spans="40:55" ht="15.75" customHeight="1">
      <c r="AN1721" s="458"/>
      <c r="BC1721" s="169"/>
    </row>
    <row r="1722" spans="40:55" ht="15.75" customHeight="1">
      <c r="AN1722" s="458"/>
      <c r="BC1722" s="169"/>
    </row>
    <row r="1723" spans="40:55" ht="15.75" customHeight="1">
      <c r="AN1723" s="458"/>
      <c r="BC1723" s="169"/>
    </row>
    <row r="1724" spans="40:55" ht="15.75" customHeight="1">
      <c r="AN1724" s="458"/>
      <c r="BC1724" s="169"/>
    </row>
    <row r="1725" spans="40:55" ht="15.75" customHeight="1">
      <c r="AN1725" s="458"/>
      <c r="BC1725" s="169"/>
    </row>
    <row r="1726" spans="40:55" ht="15.75" customHeight="1">
      <c r="AN1726" s="458"/>
      <c r="BC1726" s="169"/>
    </row>
    <row r="1727" spans="40:55" ht="15.75" customHeight="1">
      <c r="AN1727" s="458"/>
      <c r="BC1727" s="169"/>
    </row>
    <row r="1728" spans="40:55" ht="15.75" customHeight="1">
      <c r="AN1728" s="458"/>
      <c r="BC1728" s="169"/>
    </row>
    <row r="1729" spans="40:55" ht="15.75" customHeight="1">
      <c r="AN1729" s="458"/>
      <c r="BC1729" s="169"/>
    </row>
    <row r="1730" spans="40:55" ht="15.75" customHeight="1">
      <c r="AN1730" s="458"/>
      <c r="BC1730" s="169"/>
    </row>
    <row r="1731" spans="40:55" ht="15.75" customHeight="1">
      <c r="AN1731" s="458"/>
      <c r="BC1731" s="169"/>
    </row>
    <row r="1732" spans="40:55" ht="15.75" customHeight="1">
      <c r="AN1732" s="458"/>
      <c r="BC1732" s="169"/>
    </row>
    <row r="1733" spans="40:55" ht="15.75" customHeight="1">
      <c r="AN1733" s="458"/>
      <c r="BC1733" s="169"/>
    </row>
    <row r="1734" spans="40:55" ht="15.75" customHeight="1">
      <c r="AN1734" s="458"/>
      <c r="BC1734" s="169"/>
    </row>
    <row r="1735" spans="40:55" ht="15.75" customHeight="1">
      <c r="AN1735" s="458"/>
      <c r="BC1735" s="169"/>
    </row>
    <row r="1736" spans="40:55" ht="15.75" customHeight="1">
      <c r="AN1736" s="458"/>
      <c r="BC1736" s="169"/>
    </row>
    <row r="1737" spans="40:55" ht="15.75" customHeight="1">
      <c r="AN1737" s="458"/>
      <c r="BC1737" s="169"/>
    </row>
    <row r="1738" spans="40:55" ht="15.75" customHeight="1">
      <c r="AN1738" s="458"/>
      <c r="BC1738" s="169"/>
    </row>
    <row r="1739" spans="40:55" ht="15.75" customHeight="1">
      <c r="AN1739" s="458"/>
      <c r="BC1739" s="169"/>
    </row>
    <row r="1740" spans="40:55" ht="15.75" customHeight="1">
      <c r="AN1740" s="458"/>
      <c r="BC1740" s="169"/>
    </row>
    <row r="1741" spans="40:55" ht="15.75" customHeight="1">
      <c r="AN1741" s="458"/>
      <c r="BC1741" s="169"/>
    </row>
    <row r="1742" spans="40:55" ht="15.75" customHeight="1">
      <c r="AN1742" s="458"/>
      <c r="BC1742" s="169"/>
    </row>
    <row r="1743" spans="40:55" ht="15.75" customHeight="1">
      <c r="AN1743" s="458"/>
      <c r="BC1743" s="169"/>
    </row>
    <row r="1744" spans="40:55" ht="15.75" customHeight="1">
      <c r="AN1744" s="458"/>
      <c r="BC1744" s="169"/>
    </row>
    <row r="1745" spans="40:55" ht="15.75" customHeight="1">
      <c r="AN1745" s="458"/>
      <c r="BC1745" s="169"/>
    </row>
    <row r="1746" spans="40:55" ht="15.75" customHeight="1">
      <c r="AN1746" s="458"/>
      <c r="BC1746" s="169"/>
    </row>
    <row r="1747" spans="40:55" ht="15.75" customHeight="1">
      <c r="AN1747" s="458"/>
      <c r="BC1747" s="169"/>
    </row>
    <row r="1748" spans="40:55" ht="15.75" customHeight="1">
      <c r="AN1748" s="458"/>
      <c r="BC1748" s="169"/>
    </row>
    <row r="1749" spans="40:55" ht="15.75" customHeight="1">
      <c r="AN1749" s="458"/>
      <c r="BC1749" s="169"/>
    </row>
    <row r="1750" spans="40:55" ht="15.75" customHeight="1">
      <c r="AN1750" s="458"/>
      <c r="BC1750" s="169"/>
    </row>
    <row r="1751" spans="40:55" ht="15.75" customHeight="1">
      <c r="AN1751" s="458"/>
      <c r="BC1751" s="169"/>
    </row>
    <row r="1752" spans="40:55" ht="15.75" customHeight="1">
      <c r="AN1752" s="458"/>
      <c r="BC1752" s="169"/>
    </row>
    <row r="1753" spans="40:55" ht="15.75" customHeight="1">
      <c r="AN1753" s="458"/>
      <c r="BC1753" s="169"/>
    </row>
    <row r="1754" spans="40:55" ht="15.75" customHeight="1">
      <c r="AN1754" s="458"/>
      <c r="BC1754" s="169"/>
    </row>
    <row r="1755" spans="40:55" ht="15.75" customHeight="1">
      <c r="AN1755" s="458"/>
      <c r="BC1755" s="169"/>
    </row>
    <row r="1756" spans="40:55" ht="15.75" customHeight="1">
      <c r="AN1756" s="458"/>
      <c r="BC1756" s="169"/>
    </row>
    <row r="1757" spans="40:55" ht="15.75" customHeight="1">
      <c r="AN1757" s="458"/>
      <c r="BC1757" s="169"/>
    </row>
    <row r="1758" spans="40:55" ht="15.75" customHeight="1">
      <c r="AN1758" s="458"/>
      <c r="BC1758" s="169"/>
    </row>
    <row r="1759" spans="40:55" ht="15.75" customHeight="1">
      <c r="AN1759" s="458"/>
      <c r="BC1759" s="169"/>
    </row>
    <row r="1760" spans="40:55" ht="15.75" customHeight="1">
      <c r="AN1760" s="458"/>
      <c r="BC1760" s="169"/>
    </row>
    <row r="1761" spans="40:55" ht="15.75" customHeight="1">
      <c r="AN1761" s="458"/>
      <c r="BC1761" s="169"/>
    </row>
    <row r="1762" spans="40:55" ht="15.75" customHeight="1">
      <c r="AN1762" s="458"/>
      <c r="BC1762" s="169"/>
    </row>
    <row r="1763" spans="40:55" ht="15.75" customHeight="1">
      <c r="AN1763" s="458"/>
      <c r="BC1763" s="169"/>
    </row>
    <row r="1764" spans="40:55" ht="15.75" customHeight="1">
      <c r="AN1764" s="458"/>
      <c r="BC1764" s="169"/>
    </row>
    <row r="1765" spans="40:55" ht="15.75" customHeight="1">
      <c r="AN1765" s="458"/>
      <c r="BC1765" s="169"/>
    </row>
    <row r="1766" spans="40:55" ht="15.75" customHeight="1">
      <c r="AN1766" s="458"/>
      <c r="BC1766" s="169"/>
    </row>
    <row r="1767" spans="40:55" ht="15.75" customHeight="1">
      <c r="AN1767" s="458"/>
      <c r="BC1767" s="169"/>
    </row>
    <row r="1768" spans="40:55" ht="15.75" customHeight="1">
      <c r="AN1768" s="458"/>
      <c r="BC1768" s="169"/>
    </row>
    <row r="1769" spans="40:55" ht="15.75" customHeight="1">
      <c r="AN1769" s="458"/>
      <c r="BC1769" s="169"/>
    </row>
    <row r="1770" spans="40:55" ht="15.75" customHeight="1">
      <c r="AN1770" s="458"/>
      <c r="BC1770" s="169"/>
    </row>
    <row r="1771" spans="40:55" ht="15.75" customHeight="1">
      <c r="AN1771" s="458"/>
      <c r="BC1771" s="169"/>
    </row>
    <row r="1772" spans="40:55" ht="15.75" customHeight="1">
      <c r="AN1772" s="458"/>
      <c r="BC1772" s="169"/>
    </row>
    <row r="1773" spans="40:55" ht="15.75" customHeight="1">
      <c r="AN1773" s="458"/>
      <c r="BC1773" s="169"/>
    </row>
    <row r="1774" spans="40:55" ht="15.75" customHeight="1">
      <c r="AN1774" s="458"/>
      <c r="BC1774" s="169"/>
    </row>
    <row r="1775" spans="40:55" ht="15.75" customHeight="1">
      <c r="AN1775" s="458"/>
      <c r="BC1775" s="169"/>
    </row>
    <row r="1776" spans="40:55" ht="15.75" customHeight="1">
      <c r="AN1776" s="458"/>
      <c r="BC1776" s="169"/>
    </row>
    <row r="1777" spans="40:55" ht="15.75" customHeight="1">
      <c r="AN1777" s="458"/>
      <c r="BC1777" s="169"/>
    </row>
    <row r="1778" spans="40:55" ht="15.75" customHeight="1">
      <c r="AN1778" s="458"/>
      <c r="BC1778" s="169"/>
    </row>
    <row r="1779" spans="40:55" ht="15.75" customHeight="1">
      <c r="AN1779" s="458"/>
      <c r="BC1779" s="169"/>
    </row>
    <row r="1780" spans="40:55" ht="15.75" customHeight="1">
      <c r="AN1780" s="458"/>
      <c r="BC1780" s="169"/>
    </row>
    <row r="1781" spans="40:55" ht="15.75" customHeight="1">
      <c r="AN1781" s="458"/>
      <c r="BC1781" s="169"/>
    </row>
    <row r="1782" spans="40:55" ht="15.75" customHeight="1">
      <c r="AN1782" s="458"/>
      <c r="BC1782" s="169"/>
    </row>
    <row r="1783" spans="40:55" ht="15.75" customHeight="1">
      <c r="AN1783" s="458"/>
      <c r="BC1783" s="169"/>
    </row>
    <row r="1784" spans="40:55" ht="15.75" customHeight="1">
      <c r="AN1784" s="458"/>
      <c r="BC1784" s="169"/>
    </row>
    <row r="1785" spans="40:55" ht="15.75" customHeight="1">
      <c r="AN1785" s="458"/>
      <c r="BC1785" s="169"/>
    </row>
    <row r="1786" spans="40:55" ht="15.75" customHeight="1">
      <c r="AN1786" s="458"/>
      <c r="BC1786" s="169"/>
    </row>
    <row r="1787" spans="40:55" ht="15.75" customHeight="1">
      <c r="AN1787" s="458"/>
      <c r="BC1787" s="169"/>
    </row>
    <row r="1788" spans="40:55" ht="15.75" customHeight="1">
      <c r="AN1788" s="458"/>
      <c r="BC1788" s="169"/>
    </row>
    <row r="1789" spans="40:55" ht="15.75" customHeight="1">
      <c r="AN1789" s="458"/>
      <c r="BC1789" s="169"/>
    </row>
    <row r="1790" spans="40:55" ht="15.75" customHeight="1">
      <c r="AN1790" s="458"/>
      <c r="BC1790" s="169"/>
    </row>
    <row r="1791" spans="40:55" ht="15.75" customHeight="1">
      <c r="AN1791" s="458"/>
      <c r="BC1791" s="169"/>
    </row>
    <row r="1792" spans="40:55" ht="15.75" customHeight="1">
      <c r="AN1792" s="458"/>
      <c r="BC1792" s="169"/>
    </row>
    <row r="1793" spans="40:55" ht="15.75" customHeight="1">
      <c r="AN1793" s="458"/>
      <c r="BC1793" s="169"/>
    </row>
    <row r="1794" spans="40:55" ht="15.75" customHeight="1">
      <c r="AN1794" s="458"/>
      <c r="BC1794" s="169"/>
    </row>
    <row r="1795" spans="40:55" ht="15.75" customHeight="1">
      <c r="AN1795" s="458"/>
      <c r="BC1795" s="169"/>
    </row>
    <row r="1796" spans="40:55" ht="15.75" customHeight="1">
      <c r="AN1796" s="458"/>
      <c r="BC1796" s="169"/>
    </row>
    <row r="1797" spans="40:55" ht="15.75" customHeight="1">
      <c r="AN1797" s="458"/>
      <c r="BC1797" s="169"/>
    </row>
    <row r="1798" spans="40:55" ht="15.75" customHeight="1">
      <c r="AN1798" s="458"/>
      <c r="BC1798" s="169"/>
    </row>
    <row r="1799" spans="40:55" ht="15.75" customHeight="1">
      <c r="AN1799" s="458"/>
      <c r="BC1799" s="169"/>
    </row>
    <row r="1800" spans="40:55" ht="15.75" customHeight="1">
      <c r="AN1800" s="458"/>
      <c r="BC1800" s="169"/>
    </row>
    <row r="1801" spans="40:55" ht="15.75" customHeight="1">
      <c r="AN1801" s="458"/>
      <c r="BC1801" s="169"/>
    </row>
    <row r="1802" spans="40:55" ht="15.75" customHeight="1">
      <c r="AN1802" s="458"/>
      <c r="BC1802" s="169"/>
    </row>
    <row r="1803" spans="40:55" ht="15.75" customHeight="1">
      <c r="AN1803" s="458"/>
      <c r="BC1803" s="169"/>
    </row>
    <row r="1804" spans="40:55" ht="15.75" customHeight="1">
      <c r="AN1804" s="458"/>
      <c r="BC1804" s="169"/>
    </row>
    <row r="1805" spans="40:55" ht="15.75" customHeight="1">
      <c r="AN1805" s="458"/>
      <c r="BC1805" s="169"/>
    </row>
    <row r="1806" spans="40:55" ht="15.75" customHeight="1">
      <c r="AN1806" s="458"/>
      <c r="BC1806" s="169"/>
    </row>
    <row r="1807" spans="40:55" ht="15.75" customHeight="1">
      <c r="AN1807" s="458"/>
      <c r="BC1807" s="169"/>
    </row>
    <row r="1808" spans="40:55" ht="15.75" customHeight="1">
      <c r="AN1808" s="458"/>
      <c r="BC1808" s="169"/>
    </row>
    <row r="1809" spans="40:55" ht="15.75" customHeight="1">
      <c r="AN1809" s="458"/>
      <c r="BC1809" s="169"/>
    </row>
    <row r="1810" spans="40:55" ht="15.75" customHeight="1">
      <c r="AN1810" s="458"/>
      <c r="BC1810" s="169"/>
    </row>
    <row r="1811" spans="40:55" ht="15.75" customHeight="1">
      <c r="AN1811" s="458"/>
      <c r="BC1811" s="169"/>
    </row>
    <row r="1812" spans="40:55" ht="15.75" customHeight="1">
      <c r="AN1812" s="458"/>
      <c r="BC1812" s="169"/>
    </row>
    <row r="1813" spans="40:55" ht="15.75" customHeight="1">
      <c r="AN1813" s="458"/>
      <c r="BC1813" s="169"/>
    </row>
    <row r="1814" spans="40:55" ht="15.75" customHeight="1">
      <c r="AN1814" s="458"/>
      <c r="BC1814" s="169"/>
    </row>
    <row r="1815" spans="40:55" ht="15.75" customHeight="1">
      <c r="AN1815" s="458"/>
      <c r="BC1815" s="169"/>
    </row>
    <row r="1816" spans="40:55" ht="15.75" customHeight="1">
      <c r="AN1816" s="458"/>
      <c r="BC1816" s="169"/>
    </row>
    <row r="1817" spans="40:55" ht="15.75" customHeight="1">
      <c r="AN1817" s="458"/>
      <c r="BC1817" s="169"/>
    </row>
    <row r="1818" spans="40:55" ht="15.75" customHeight="1">
      <c r="AN1818" s="458"/>
      <c r="BC1818" s="169"/>
    </row>
    <row r="1819" spans="40:55" ht="15.75" customHeight="1">
      <c r="AN1819" s="458"/>
      <c r="BC1819" s="169"/>
    </row>
    <row r="1820" spans="40:55" ht="15.75" customHeight="1">
      <c r="AN1820" s="458"/>
      <c r="BC1820" s="169"/>
    </row>
    <row r="1821" spans="40:55" ht="15.75" customHeight="1">
      <c r="AN1821" s="458"/>
      <c r="BC1821" s="169"/>
    </row>
    <row r="1822" spans="40:55" ht="15.75" customHeight="1">
      <c r="AN1822" s="458"/>
      <c r="BC1822" s="169"/>
    </row>
    <row r="1823" spans="40:55" ht="15.75" customHeight="1">
      <c r="AN1823" s="458"/>
      <c r="BC1823" s="169"/>
    </row>
    <row r="1824" spans="40:55" ht="15.75" customHeight="1">
      <c r="AN1824" s="458"/>
      <c r="BC1824" s="169"/>
    </row>
    <row r="1825" spans="40:55" ht="15.75" customHeight="1">
      <c r="AN1825" s="458"/>
      <c r="BC1825" s="169"/>
    </row>
    <row r="1826" spans="40:55" ht="15.75" customHeight="1">
      <c r="AN1826" s="458"/>
      <c r="BC1826" s="169"/>
    </row>
    <row r="1827" spans="40:55" ht="15.75" customHeight="1">
      <c r="AN1827" s="458"/>
      <c r="BC1827" s="169"/>
    </row>
    <row r="1828" spans="40:55" ht="15.75" customHeight="1">
      <c r="AN1828" s="458"/>
      <c r="BC1828" s="169"/>
    </row>
    <row r="1829" spans="40:55" ht="15.75" customHeight="1">
      <c r="AN1829" s="458"/>
      <c r="BC1829" s="169"/>
    </row>
    <row r="1830" spans="40:55" ht="15.75" customHeight="1">
      <c r="AN1830" s="458"/>
      <c r="BC1830" s="169"/>
    </row>
    <row r="1831" spans="40:55" ht="15.75" customHeight="1">
      <c r="AN1831" s="458"/>
      <c r="BC1831" s="169"/>
    </row>
    <row r="1832" spans="40:55" ht="15.75" customHeight="1">
      <c r="AN1832" s="458"/>
      <c r="BC1832" s="169"/>
    </row>
    <row r="1833" spans="40:55" ht="15.75" customHeight="1">
      <c r="AN1833" s="458"/>
      <c r="BC1833" s="169"/>
    </row>
    <row r="1834" spans="40:55" ht="15.75" customHeight="1">
      <c r="AN1834" s="458"/>
      <c r="BC1834" s="169"/>
    </row>
    <row r="1835" spans="40:55" ht="15.75" customHeight="1">
      <c r="AN1835" s="458"/>
      <c r="BC1835" s="169"/>
    </row>
    <row r="1836" spans="40:55" ht="15.75" customHeight="1">
      <c r="AN1836" s="458"/>
      <c r="BC1836" s="169"/>
    </row>
    <row r="1837" spans="40:55" ht="15.75" customHeight="1">
      <c r="AN1837" s="458"/>
      <c r="BC1837" s="169"/>
    </row>
    <row r="1838" spans="40:55" ht="15.75" customHeight="1">
      <c r="AN1838" s="458"/>
      <c r="BC1838" s="169"/>
    </row>
    <row r="1839" spans="40:55" ht="15.75" customHeight="1">
      <c r="AN1839" s="458"/>
      <c r="BC1839" s="169"/>
    </row>
    <row r="1840" spans="40:55" ht="15.75" customHeight="1">
      <c r="AN1840" s="458"/>
      <c r="BC1840" s="169"/>
    </row>
    <row r="1841" spans="40:55" ht="15.75" customHeight="1">
      <c r="AN1841" s="458"/>
      <c r="BC1841" s="169"/>
    </row>
    <row r="1842" spans="40:55" ht="15.75" customHeight="1">
      <c r="AN1842" s="458"/>
      <c r="BC1842" s="169"/>
    </row>
    <row r="1843" spans="40:55" ht="15.75" customHeight="1">
      <c r="AN1843" s="458"/>
      <c r="BC1843" s="169"/>
    </row>
    <row r="1844" spans="40:55" ht="15.75" customHeight="1">
      <c r="AN1844" s="458"/>
      <c r="BC1844" s="169"/>
    </row>
    <row r="1845" spans="40:55" ht="15.75" customHeight="1">
      <c r="AN1845" s="458"/>
      <c r="BC1845" s="169"/>
    </row>
    <row r="1846" spans="40:55" ht="15.75" customHeight="1">
      <c r="AN1846" s="458"/>
      <c r="BC1846" s="169"/>
    </row>
    <row r="1847" spans="40:55" ht="15.75" customHeight="1">
      <c r="AN1847" s="458"/>
      <c r="BC1847" s="169"/>
    </row>
    <row r="1848" spans="40:55" ht="15.75" customHeight="1">
      <c r="AN1848" s="458"/>
      <c r="BC1848" s="169"/>
    </row>
    <row r="1849" spans="40:55" ht="15.75" customHeight="1">
      <c r="AN1849" s="458"/>
      <c r="BC1849" s="169"/>
    </row>
    <row r="1850" spans="40:55" ht="15.75" customHeight="1">
      <c r="AN1850" s="458"/>
      <c r="BC1850" s="169"/>
    </row>
    <row r="1851" spans="40:55" ht="15.75" customHeight="1">
      <c r="AN1851" s="458"/>
      <c r="BC1851" s="169"/>
    </row>
    <row r="1852" spans="40:55" ht="15.75" customHeight="1">
      <c r="AN1852" s="458"/>
      <c r="BC1852" s="169"/>
    </row>
    <row r="1853" spans="40:55" ht="15.75" customHeight="1">
      <c r="AN1853" s="458"/>
      <c r="BC1853" s="169"/>
    </row>
    <row r="1854" spans="40:55" ht="15.75" customHeight="1">
      <c r="AN1854" s="458"/>
      <c r="BC1854" s="169"/>
    </row>
    <row r="1855" spans="40:55" ht="15.75" customHeight="1">
      <c r="AN1855" s="458"/>
      <c r="BC1855" s="169"/>
    </row>
    <row r="1856" spans="40:55" ht="15.75" customHeight="1">
      <c r="AN1856" s="458"/>
      <c r="BC1856" s="169"/>
    </row>
    <row r="1857" spans="40:55" ht="15.75" customHeight="1">
      <c r="AN1857" s="458"/>
      <c r="BC1857" s="169"/>
    </row>
    <row r="1858" spans="40:55" ht="15.75" customHeight="1">
      <c r="AN1858" s="458"/>
      <c r="BC1858" s="169"/>
    </row>
    <row r="1859" spans="40:55" ht="15.75" customHeight="1">
      <c r="AN1859" s="458"/>
      <c r="BC1859" s="169"/>
    </row>
    <row r="1860" spans="40:55" ht="15.75" customHeight="1">
      <c r="AN1860" s="458"/>
      <c r="BC1860" s="169"/>
    </row>
    <row r="1861" spans="40:55" ht="15.75" customHeight="1">
      <c r="AN1861" s="458"/>
      <c r="BC1861" s="169"/>
    </row>
    <row r="1862" spans="40:55" ht="15.75" customHeight="1">
      <c r="AN1862" s="458"/>
      <c r="BC1862" s="169"/>
    </row>
    <row r="1863" spans="40:55" ht="15.75" customHeight="1">
      <c r="AN1863" s="458"/>
      <c r="BC1863" s="169"/>
    </row>
    <row r="1864" spans="40:55" ht="15.75" customHeight="1">
      <c r="AN1864" s="458"/>
      <c r="BC1864" s="169"/>
    </row>
    <row r="1865" spans="40:55" ht="15.75" customHeight="1">
      <c r="AN1865" s="458"/>
      <c r="BC1865" s="169"/>
    </row>
    <row r="1866" spans="40:55" ht="15.75" customHeight="1">
      <c r="AN1866" s="458"/>
      <c r="BC1866" s="169"/>
    </row>
    <row r="1867" spans="40:55" ht="15.75" customHeight="1">
      <c r="AN1867" s="458"/>
      <c r="BC1867" s="169"/>
    </row>
    <row r="1868" spans="40:55" ht="15.75" customHeight="1">
      <c r="AN1868" s="458"/>
      <c r="BC1868" s="169"/>
    </row>
    <row r="1869" spans="40:55" ht="15.75" customHeight="1">
      <c r="AN1869" s="458"/>
      <c r="BC1869" s="169"/>
    </row>
    <row r="1870" spans="40:55" ht="15.75" customHeight="1">
      <c r="AN1870" s="458"/>
      <c r="BC1870" s="169"/>
    </row>
    <row r="1871" spans="40:55" ht="15.75" customHeight="1">
      <c r="AN1871" s="458"/>
      <c r="BC1871" s="169"/>
    </row>
    <row r="1872" spans="40:55" ht="15.75" customHeight="1">
      <c r="AN1872" s="458"/>
      <c r="BC1872" s="169"/>
    </row>
    <row r="1873" spans="40:55" ht="15.75" customHeight="1">
      <c r="AN1873" s="458"/>
      <c r="BC1873" s="169"/>
    </row>
    <row r="1874" spans="40:55" ht="15.75" customHeight="1">
      <c r="AN1874" s="458"/>
      <c r="BC1874" s="169"/>
    </row>
    <row r="1875" spans="40:55" ht="15.75" customHeight="1">
      <c r="AN1875" s="458"/>
      <c r="BC1875" s="169"/>
    </row>
    <row r="1876" spans="40:55" ht="15.75" customHeight="1">
      <c r="AN1876" s="458"/>
      <c r="BC1876" s="169"/>
    </row>
    <row r="1877" spans="40:55" ht="15.75" customHeight="1">
      <c r="AN1877" s="458"/>
      <c r="BC1877" s="169"/>
    </row>
    <row r="1878" spans="40:55" ht="15.75" customHeight="1">
      <c r="AN1878" s="458"/>
      <c r="BC1878" s="169"/>
    </row>
    <row r="1879" spans="40:55" ht="15.75" customHeight="1">
      <c r="AN1879" s="458"/>
      <c r="BC1879" s="169"/>
    </row>
    <row r="1880" spans="40:55" ht="15.75" customHeight="1">
      <c r="AN1880" s="458"/>
      <c r="BC1880" s="169"/>
    </row>
    <row r="1881" spans="40:55" ht="15.75" customHeight="1">
      <c r="AN1881" s="458"/>
      <c r="BC1881" s="169"/>
    </row>
    <row r="1882" spans="40:55" ht="15.75" customHeight="1">
      <c r="AN1882" s="458"/>
      <c r="BC1882" s="169"/>
    </row>
    <row r="1883" spans="40:55" ht="15.75" customHeight="1">
      <c r="AN1883" s="458"/>
      <c r="BC1883" s="169"/>
    </row>
    <row r="1884" spans="40:55" ht="15.75" customHeight="1">
      <c r="AN1884" s="458"/>
      <c r="BC1884" s="169"/>
    </row>
    <row r="1885" spans="40:55" ht="15.75" customHeight="1">
      <c r="AN1885" s="458"/>
      <c r="BC1885" s="169"/>
    </row>
    <row r="1886" spans="40:55" ht="15.75" customHeight="1">
      <c r="AN1886" s="458"/>
      <c r="BC1886" s="169"/>
    </row>
    <row r="1887" spans="40:55" ht="15.75" customHeight="1">
      <c r="AN1887" s="458"/>
      <c r="BC1887" s="169"/>
    </row>
    <row r="1888" spans="40:55" ht="15.75" customHeight="1">
      <c r="AN1888" s="458"/>
      <c r="BC1888" s="169"/>
    </row>
    <row r="1889" spans="40:55" ht="15.75" customHeight="1">
      <c r="AN1889" s="458"/>
      <c r="BC1889" s="169"/>
    </row>
    <row r="1890" spans="40:55" ht="15.75" customHeight="1">
      <c r="AN1890" s="458"/>
      <c r="BC1890" s="169"/>
    </row>
    <row r="1891" spans="40:55" ht="15.75" customHeight="1">
      <c r="AN1891" s="458"/>
      <c r="BC1891" s="169"/>
    </row>
    <row r="1892" spans="40:55" ht="15.75" customHeight="1">
      <c r="AN1892" s="458"/>
      <c r="BC1892" s="169"/>
    </row>
    <row r="1893" spans="40:55" ht="15.75" customHeight="1">
      <c r="AN1893" s="458"/>
      <c r="BC1893" s="169"/>
    </row>
    <row r="1894" spans="40:55" ht="15.75" customHeight="1">
      <c r="AN1894" s="458"/>
      <c r="BC1894" s="169"/>
    </row>
    <row r="1895" spans="40:55" ht="15.75" customHeight="1">
      <c r="AN1895" s="458"/>
      <c r="BC1895" s="169"/>
    </row>
    <row r="1896" spans="40:55" ht="15.75" customHeight="1">
      <c r="AN1896" s="458"/>
      <c r="BC1896" s="169"/>
    </row>
    <row r="1897" spans="40:55" ht="15.75" customHeight="1">
      <c r="AN1897" s="458"/>
      <c r="BC1897" s="169"/>
    </row>
    <row r="1898" spans="40:55" ht="15.75" customHeight="1">
      <c r="AN1898" s="458"/>
      <c r="BC1898" s="169"/>
    </row>
    <row r="1899" spans="40:55" ht="15.75" customHeight="1">
      <c r="AN1899" s="458"/>
      <c r="BC1899" s="169"/>
    </row>
    <row r="1900" spans="40:55" ht="15.75" customHeight="1">
      <c r="AN1900" s="458"/>
      <c r="BC1900" s="169"/>
    </row>
    <row r="1901" spans="40:55" ht="15.75" customHeight="1">
      <c r="AN1901" s="458"/>
      <c r="BC1901" s="169"/>
    </row>
    <row r="1902" spans="40:55" ht="15.75" customHeight="1">
      <c r="AN1902" s="458"/>
      <c r="BC1902" s="169"/>
    </row>
    <row r="1903" spans="40:55" ht="15.75" customHeight="1">
      <c r="AN1903" s="458"/>
      <c r="BC1903" s="169"/>
    </row>
    <row r="1904" spans="40:55" ht="15.75" customHeight="1">
      <c r="AN1904" s="458"/>
      <c r="BC1904" s="169"/>
    </row>
    <row r="1905" spans="40:55" ht="15.75" customHeight="1">
      <c r="AN1905" s="458"/>
      <c r="BC1905" s="169"/>
    </row>
    <row r="1906" spans="40:55" ht="15.75" customHeight="1">
      <c r="AN1906" s="458"/>
      <c r="BC1906" s="169"/>
    </row>
    <row r="1907" spans="40:55" ht="15.75" customHeight="1">
      <c r="AN1907" s="458"/>
      <c r="BC1907" s="169"/>
    </row>
    <row r="1908" spans="40:55" ht="15.75" customHeight="1">
      <c r="AN1908" s="458"/>
      <c r="BC1908" s="169"/>
    </row>
    <row r="1909" spans="40:55" ht="15.75" customHeight="1">
      <c r="AN1909" s="458"/>
      <c r="BC1909" s="169"/>
    </row>
    <row r="1910" spans="40:55" ht="15.75" customHeight="1">
      <c r="AN1910" s="458"/>
      <c r="BC1910" s="169"/>
    </row>
    <row r="1911" spans="40:55" ht="15.75" customHeight="1">
      <c r="AN1911" s="458"/>
      <c r="BC1911" s="169"/>
    </row>
    <row r="1912" spans="40:55" ht="15.75" customHeight="1">
      <c r="AN1912" s="458"/>
      <c r="BC1912" s="169"/>
    </row>
    <row r="1913" spans="40:55" ht="15.75" customHeight="1">
      <c r="AN1913" s="458"/>
      <c r="BC1913" s="169"/>
    </row>
    <row r="1914" spans="40:55" ht="15.75" customHeight="1">
      <c r="AN1914" s="458"/>
      <c r="BC1914" s="169"/>
    </row>
    <row r="1915" spans="40:55" ht="15.75" customHeight="1">
      <c r="AN1915" s="458"/>
      <c r="BC1915" s="169"/>
    </row>
    <row r="1916" spans="40:55" ht="15.75" customHeight="1">
      <c r="AN1916" s="458"/>
      <c r="BC1916" s="169"/>
    </row>
    <row r="1917" spans="40:55" ht="15.75" customHeight="1">
      <c r="AN1917" s="458"/>
      <c r="BC1917" s="169"/>
    </row>
    <row r="1918" spans="40:55" ht="15.75" customHeight="1">
      <c r="AN1918" s="458"/>
      <c r="BC1918" s="169"/>
    </row>
    <row r="1919" spans="40:55" ht="15.75" customHeight="1">
      <c r="AN1919" s="458"/>
      <c r="BC1919" s="169"/>
    </row>
    <row r="1920" spans="40:55" ht="15.75" customHeight="1">
      <c r="AN1920" s="458"/>
      <c r="BC1920" s="169"/>
    </row>
    <row r="1921" spans="40:55" ht="15.75" customHeight="1">
      <c r="AN1921" s="458"/>
      <c r="BC1921" s="169"/>
    </row>
    <row r="1922" spans="40:55" ht="15.75" customHeight="1">
      <c r="AN1922" s="458"/>
      <c r="BC1922" s="169"/>
    </row>
    <row r="1923" spans="40:55" ht="15.75" customHeight="1">
      <c r="AN1923" s="458"/>
      <c r="BC1923" s="169"/>
    </row>
    <row r="1924" spans="40:55" ht="15.75" customHeight="1">
      <c r="AN1924" s="458"/>
      <c r="BC1924" s="169"/>
    </row>
    <row r="1925" spans="40:55" ht="15.75" customHeight="1">
      <c r="AN1925" s="458"/>
      <c r="BC1925" s="169"/>
    </row>
    <row r="1926" spans="40:55" ht="15.75" customHeight="1">
      <c r="AN1926" s="458"/>
      <c r="BC1926" s="169"/>
    </row>
    <row r="1927" spans="40:55" ht="15.75" customHeight="1">
      <c r="AN1927" s="458"/>
      <c r="BC1927" s="169"/>
    </row>
    <row r="1928" spans="40:55" ht="15.75" customHeight="1">
      <c r="AN1928" s="458"/>
      <c r="BC1928" s="169"/>
    </row>
    <row r="1929" spans="40:55" ht="15.75" customHeight="1">
      <c r="AN1929" s="458"/>
      <c r="BC1929" s="169"/>
    </row>
    <row r="1930" spans="40:55" ht="15.75" customHeight="1">
      <c r="AN1930" s="458"/>
      <c r="BC1930" s="169"/>
    </row>
    <row r="1931" spans="40:55" ht="15.75" customHeight="1">
      <c r="AN1931" s="458"/>
      <c r="BC1931" s="169"/>
    </row>
    <row r="1932" spans="40:55" ht="15.75" customHeight="1">
      <c r="AN1932" s="458"/>
      <c r="BC1932" s="169"/>
    </row>
    <row r="1933" spans="40:55" ht="15.75" customHeight="1">
      <c r="AN1933" s="458"/>
      <c r="BC1933" s="169"/>
    </row>
    <row r="1934" spans="40:55" ht="15.75" customHeight="1">
      <c r="AN1934" s="458"/>
      <c r="BC1934" s="169"/>
    </row>
    <row r="1935" spans="40:55" ht="15.75" customHeight="1">
      <c r="AN1935" s="458"/>
      <c r="BC1935" s="169"/>
    </row>
    <row r="1936" spans="40:55" ht="15.75" customHeight="1">
      <c r="AN1936" s="458"/>
      <c r="BC1936" s="169"/>
    </row>
    <row r="1937" spans="40:55" ht="15.75" customHeight="1">
      <c r="AN1937" s="458"/>
      <c r="BC1937" s="169"/>
    </row>
    <row r="1938" spans="40:55" ht="15.75" customHeight="1">
      <c r="AN1938" s="458"/>
      <c r="BC1938" s="169"/>
    </row>
    <row r="1939" spans="40:55" ht="15.75" customHeight="1">
      <c r="AN1939" s="458"/>
      <c r="BC1939" s="169"/>
    </row>
    <row r="1940" spans="40:55" ht="15.75" customHeight="1">
      <c r="AN1940" s="458"/>
      <c r="BC1940" s="169"/>
    </row>
    <row r="1941" spans="40:55" ht="15.75" customHeight="1">
      <c r="AN1941" s="458"/>
      <c r="BC1941" s="169"/>
    </row>
    <row r="1942" spans="40:55" ht="15.75" customHeight="1">
      <c r="AN1942" s="458"/>
      <c r="BC1942" s="169"/>
    </row>
    <row r="1943" spans="40:55" ht="15.75" customHeight="1">
      <c r="AN1943" s="458"/>
      <c r="BC1943" s="169"/>
    </row>
    <row r="1944" spans="40:55" ht="15.75" customHeight="1">
      <c r="AN1944" s="458"/>
      <c r="BC1944" s="169"/>
    </row>
    <row r="1945" spans="40:55" ht="15.75" customHeight="1">
      <c r="AN1945" s="458"/>
      <c r="BC1945" s="169"/>
    </row>
    <row r="1946" spans="40:55" ht="15.75" customHeight="1">
      <c r="AN1946" s="458"/>
      <c r="BC1946" s="169"/>
    </row>
    <row r="1947" spans="40:55" ht="15.75" customHeight="1">
      <c r="AN1947" s="458"/>
      <c r="BC1947" s="169"/>
    </row>
    <row r="1948" spans="40:55" ht="15.75" customHeight="1">
      <c r="AN1948" s="458"/>
      <c r="BC1948" s="169"/>
    </row>
    <row r="1949" spans="40:55" ht="15.75" customHeight="1">
      <c r="AN1949" s="458"/>
      <c r="BC1949" s="169"/>
    </row>
    <row r="1950" spans="40:55" ht="15.75" customHeight="1">
      <c r="AN1950" s="458"/>
      <c r="BC1950" s="169"/>
    </row>
    <row r="1951" spans="40:55" ht="15.75" customHeight="1">
      <c r="AN1951" s="458"/>
      <c r="BC1951" s="169"/>
    </row>
    <row r="1952" spans="40:55" ht="15.75" customHeight="1">
      <c r="AN1952" s="458"/>
      <c r="BC1952" s="169"/>
    </row>
    <row r="1953" spans="40:55" ht="15.75" customHeight="1">
      <c r="AN1953" s="458"/>
      <c r="BC1953" s="169"/>
    </row>
    <row r="1954" spans="40:55" ht="15.75" customHeight="1">
      <c r="AN1954" s="458"/>
      <c r="BC1954" s="169"/>
    </row>
    <row r="1955" spans="40:55" ht="15.75" customHeight="1">
      <c r="AN1955" s="458"/>
      <c r="BC1955" s="169"/>
    </row>
    <row r="1956" spans="40:55" ht="15.75" customHeight="1">
      <c r="AN1956" s="458"/>
      <c r="BC1956" s="169"/>
    </row>
    <row r="1957" spans="40:55" ht="15.75" customHeight="1">
      <c r="AN1957" s="458"/>
      <c r="BC1957" s="169"/>
    </row>
    <row r="1958" spans="40:55" ht="15.75" customHeight="1">
      <c r="AN1958" s="458"/>
      <c r="BC1958" s="169"/>
    </row>
    <row r="1959" spans="40:55" ht="15.75" customHeight="1">
      <c r="AN1959" s="458"/>
      <c r="BC1959" s="169"/>
    </row>
    <row r="1960" spans="40:55" ht="15.75" customHeight="1">
      <c r="AN1960" s="458"/>
      <c r="BC1960" s="169"/>
    </row>
    <row r="1961" spans="40:55" ht="15.75" customHeight="1">
      <c r="AN1961" s="458"/>
      <c r="BC1961" s="169"/>
    </row>
    <row r="1962" spans="40:55" ht="15.75" customHeight="1">
      <c r="AN1962" s="458"/>
      <c r="BC1962" s="169"/>
    </row>
    <row r="1963" spans="40:55" ht="15.75" customHeight="1">
      <c r="AN1963" s="458"/>
      <c r="BC1963" s="169"/>
    </row>
    <row r="1964" spans="40:55" ht="15.75" customHeight="1">
      <c r="AN1964" s="458"/>
      <c r="BC1964" s="169"/>
    </row>
    <row r="1965" spans="40:55" ht="15.75" customHeight="1">
      <c r="AN1965" s="458"/>
      <c r="BC1965" s="169"/>
    </row>
    <row r="1966" spans="40:55" ht="15.75" customHeight="1">
      <c r="AN1966" s="458"/>
      <c r="BC1966" s="169"/>
    </row>
    <row r="1967" spans="40:55" ht="15.75" customHeight="1">
      <c r="AN1967" s="458"/>
      <c r="BC1967" s="169"/>
    </row>
    <row r="1968" spans="40:55" ht="15.75" customHeight="1">
      <c r="AN1968" s="458"/>
      <c r="BC1968" s="169"/>
    </row>
    <row r="1969" spans="40:55" ht="15.75" customHeight="1">
      <c r="AN1969" s="458"/>
      <c r="BC1969" s="169"/>
    </row>
    <row r="1970" spans="40:55" ht="15.75" customHeight="1">
      <c r="AN1970" s="458"/>
      <c r="BC1970" s="169"/>
    </row>
    <row r="1971" spans="40:55" ht="15.75" customHeight="1">
      <c r="AN1971" s="458"/>
      <c r="BC1971" s="169"/>
    </row>
    <row r="1972" spans="40:55" ht="15.75" customHeight="1">
      <c r="AN1972" s="458"/>
      <c r="BC1972" s="169"/>
    </row>
    <row r="1973" spans="40:55" ht="15.75" customHeight="1">
      <c r="AN1973" s="458"/>
      <c r="BC1973" s="169"/>
    </row>
    <row r="1974" spans="40:55" ht="15.75" customHeight="1">
      <c r="AN1974" s="458"/>
      <c r="BC1974" s="169"/>
    </row>
    <row r="1975" spans="40:55" ht="15.75" customHeight="1">
      <c r="AN1975" s="458"/>
      <c r="BC1975" s="169"/>
    </row>
    <row r="1976" spans="40:55" ht="15.75" customHeight="1">
      <c r="AN1976" s="458"/>
      <c r="BC1976" s="169"/>
    </row>
    <row r="1977" spans="40:55" ht="15.75" customHeight="1">
      <c r="AN1977" s="458"/>
      <c r="BC1977" s="169"/>
    </row>
    <row r="1978" spans="40:55" ht="15.75" customHeight="1">
      <c r="AN1978" s="458"/>
      <c r="BC1978" s="169"/>
    </row>
    <row r="1979" spans="40:55" ht="15.75" customHeight="1">
      <c r="AN1979" s="458"/>
      <c r="BC1979" s="169"/>
    </row>
    <row r="1980" spans="40:55" ht="15.75" customHeight="1">
      <c r="AN1980" s="458"/>
      <c r="BC1980" s="169"/>
    </row>
    <row r="1981" spans="40:55" ht="15.75" customHeight="1">
      <c r="AN1981" s="458"/>
      <c r="BC1981" s="169"/>
    </row>
    <row r="1982" spans="40:55" ht="15.75" customHeight="1">
      <c r="AN1982" s="458"/>
      <c r="BC1982" s="169"/>
    </row>
    <row r="1983" spans="40:55" ht="15.75" customHeight="1">
      <c r="AN1983" s="458"/>
    </row>
    <row r="1984" spans="40:55" ht="15.75" customHeight="1">
      <c r="AN1984" s="458"/>
    </row>
    <row r="1985" spans="40:40" ht="15.75" customHeight="1">
      <c r="AN1985" s="458"/>
    </row>
    <row r="1986" spans="40:40" ht="15.75" customHeight="1">
      <c r="AN1986" s="458"/>
    </row>
    <row r="1987" spans="40:40" ht="15.75" customHeight="1">
      <c r="AN1987" s="458"/>
    </row>
    <row r="1988" spans="40:40" ht="15.75" customHeight="1">
      <c r="AN1988" s="458"/>
    </row>
    <row r="1989" spans="40:40" ht="15.75" customHeight="1">
      <c r="AN1989" s="458"/>
    </row>
    <row r="1990" spans="40:40" ht="15.75" customHeight="1">
      <c r="AN1990" s="458"/>
    </row>
    <row r="1991" spans="40:40" ht="15.75" customHeight="1">
      <c r="AN1991" s="458"/>
    </row>
    <row r="1992" spans="40:40" ht="15.75" customHeight="1">
      <c r="AN1992" s="458"/>
    </row>
    <row r="1993" spans="40:40" ht="15.75" customHeight="1">
      <c r="AN1993" s="458"/>
    </row>
    <row r="1994" spans="40:40" ht="15.75" customHeight="1">
      <c r="AN1994" s="458"/>
    </row>
    <row r="1995" spans="40:40" ht="15.75" customHeight="1">
      <c r="AN1995" s="458"/>
    </row>
    <row r="1996" spans="40:40" ht="15.75" customHeight="1">
      <c r="AN1996" s="458"/>
    </row>
    <row r="1997" spans="40:40" ht="15.75" customHeight="1">
      <c r="AN1997" s="458"/>
    </row>
    <row r="1998" spans="40:40" ht="15.75" customHeight="1">
      <c r="AN1998" s="458"/>
    </row>
    <row r="1999" spans="40:40" ht="15.75" customHeight="1">
      <c r="AN1999" s="458"/>
    </row>
    <row r="2000" spans="40:40" ht="15.75" customHeight="1">
      <c r="AN2000" s="458"/>
    </row>
    <row r="2001" spans="40:40" ht="15.75" customHeight="1">
      <c r="AN2001" s="458"/>
    </row>
    <row r="2002" spans="40:40" ht="15.75" customHeight="1">
      <c r="AN2002" s="458"/>
    </row>
    <row r="2003" spans="40:40" ht="15.75" customHeight="1">
      <c r="AN2003" s="458"/>
    </row>
    <row r="2004" spans="40:40" ht="15.75" customHeight="1">
      <c r="AN2004" s="458"/>
    </row>
    <row r="2005" spans="40:40" ht="15.75" customHeight="1">
      <c r="AN2005" s="458"/>
    </row>
    <row r="2006" spans="40:40" ht="15.75" customHeight="1">
      <c r="AN2006" s="458"/>
    </row>
    <row r="2007" spans="40:40" ht="15.75" customHeight="1">
      <c r="AN2007" s="458"/>
    </row>
    <row r="2008" spans="40:40" ht="15.75" customHeight="1">
      <c r="AN2008" s="458"/>
    </row>
    <row r="2009" spans="40:40" ht="15.75" customHeight="1">
      <c r="AN2009" s="458"/>
    </row>
    <row r="2010" spans="40:40" ht="15.75" customHeight="1">
      <c r="AN2010" s="458"/>
    </row>
    <row r="2011" spans="40:40" ht="15.75" customHeight="1">
      <c r="AN2011" s="458"/>
    </row>
    <row r="2012" spans="40:40" ht="15.75" customHeight="1">
      <c r="AN2012" s="458"/>
    </row>
    <row r="2013" spans="40:40" ht="15.75" customHeight="1">
      <c r="AN2013" s="458"/>
    </row>
    <row r="2014" spans="40:40" ht="15.75" customHeight="1">
      <c r="AN2014" s="458"/>
    </row>
    <row r="2015" spans="40:40" ht="15.75" customHeight="1">
      <c r="AN2015" s="458"/>
    </row>
    <row r="2016" spans="40:40" ht="15.75" customHeight="1">
      <c r="AN2016" s="458"/>
    </row>
    <row r="2017" spans="40:40" ht="15.75" customHeight="1">
      <c r="AN2017" s="458"/>
    </row>
    <row r="2018" spans="40:40" ht="15.75" customHeight="1">
      <c r="AN2018" s="458"/>
    </row>
    <row r="2019" spans="40:40" ht="15.75" customHeight="1">
      <c r="AN2019" s="458"/>
    </row>
    <row r="2020" spans="40:40" ht="15.75" customHeight="1">
      <c r="AN2020" s="458"/>
    </row>
    <row r="2021" spans="40:40" ht="15.75" customHeight="1">
      <c r="AN2021" s="458"/>
    </row>
    <row r="2022" spans="40:40" ht="15.75" customHeight="1">
      <c r="AN2022" s="458"/>
    </row>
    <row r="2023" spans="40:40" ht="15.75" customHeight="1">
      <c r="AN2023" s="458"/>
    </row>
    <row r="2024" spans="40:40" ht="15.75" customHeight="1">
      <c r="AN2024" s="458"/>
    </row>
    <row r="2025" spans="40:40" ht="15.75" customHeight="1">
      <c r="AN2025" s="458"/>
    </row>
    <row r="2026" spans="40:40" ht="15.75" customHeight="1">
      <c r="AN2026" s="458"/>
    </row>
    <row r="2027" spans="40:40" ht="15.75" customHeight="1">
      <c r="AN2027" s="458"/>
    </row>
    <row r="2028" spans="40:40" ht="15.75" customHeight="1">
      <c r="AN2028" s="458"/>
    </row>
    <row r="2029" spans="40:40" ht="15.75" customHeight="1">
      <c r="AN2029" s="458"/>
    </row>
    <row r="2030" spans="40:40" ht="15.75" customHeight="1">
      <c r="AN2030" s="458"/>
    </row>
    <row r="2031" spans="40:40" ht="15.75" customHeight="1">
      <c r="AN2031" s="458"/>
    </row>
    <row r="2032" spans="40:40" ht="15.75" customHeight="1">
      <c r="AN2032" s="458"/>
    </row>
    <row r="2033" spans="40:40" ht="15.75" customHeight="1">
      <c r="AN2033" s="458"/>
    </row>
    <row r="2034" spans="40:40" ht="15.75" customHeight="1">
      <c r="AN2034" s="458"/>
    </row>
    <row r="2035" spans="40:40" ht="15.75" customHeight="1">
      <c r="AN2035" s="458"/>
    </row>
    <row r="2036" spans="40:40" ht="15.75" customHeight="1">
      <c r="AN2036" s="458"/>
    </row>
    <row r="2037" spans="40:40" ht="15.75" customHeight="1">
      <c r="AN2037" s="458"/>
    </row>
    <row r="2038" spans="40:40" ht="15.75" customHeight="1">
      <c r="AN2038" s="458"/>
    </row>
    <row r="2039" spans="40:40" ht="15.75" customHeight="1">
      <c r="AN2039" s="458"/>
    </row>
    <row r="2040" spans="40:40" ht="15.75" customHeight="1">
      <c r="AN2040" s="458"/>
    </row>
    <row r="2041" spans="40:40" ht="15.75" customHeight="1">
      <c r="AN2041" s="458"/>
    </row>
    <row r="2042" spans="40:40" ht="15.75" customHeight="1">
      <c r="AN2042" s="458"/>
    </row>
    <row r="2043" spans="40:40" ht="15.75" customHeight="1">
      <c r="AN2043" s="458"/>
    </row>
    <row r="2044" spans="40:40" ht="15.75" customHeight="1">
      <c r="AN2044" s="458"/>
    </row>
    <row r="2045" spans="40:40" ht="15.75" customHeight="1">
      <c r="AN2045" s="458"/>
    </row>
    <row r="2046" spans="40:40" ht="15.75" customHeight="1">
      <c r="AN2046" s="458"/>
    </row>
    <row r="2047" spans="40:40" ht="15.75" customHeight="1">
      <c r="AN2047" s="458"/>
    </row>
    <row r="2048" spans="40:40" ht="15.75" customHeight="1">
      <c r="AN2048" s="458"/>
    </row>
    <row r="2049" spans="40:40" ht="15.75" customHeight="1">
      <c r="AN2049" s="458"/>
    </row>
    <row r="2050" spans="40:40" ht="15.75" customHeight="1">
      <c r="AN2050" s="458"/>
    </row>
    <row r="2051" spans="40:40" ht="15.75" customHeight="1">
      <c r="AN2051" s="458"/>
    </row>
    <row r="2052" spans="40:40" ht="15.75" customHeight="1">
      <c r="AN2052" s="458"/>
    </row>
    <row r="2053" spans="40:40" ht="15.75" customHeight="1">
      <c r="AN2053" s="458"/>
    </row>
    <row r="2054" spans="40:40" ht="15.75" customHeight="1">
      <c r="AN2054" s="458"/>
    </row>
    <row r="2055" spans="40:40" ht="15.75" customHeight="1">
      <c r="AN2055" s="458"/>
    </row>
    <row r="2056" spans="40:40" ht="15.75" customHeight="1">
      <c r="AN2056" s="458"/>
    </row>
    <row r="2057" spans="40:40" ht="15.75" customHeight="1">
      <c r="AN2057" s="458"/>
    </row>
    <row r="2058" spans="40:40" ht="15.75" customHeight="1">
      <c r="AN2058" s="458"/>
    </row>
    <row r="2059" spans="40:40" ht="15.75" customHeight="1">
      <c r="AN2059" s="458"/>
    </row>
    <row r="2060" spans="40:40" ht="15.75" customHeight="1">
      <c r="AN2060" s="458"/>
    </row>
    <row r="2061" spans="40:40" ht="15.75" customHeight="1">
      <c r="AN2061" s="458"/>
    </row>
    <row r="2062" spans="40:40" ht="15.75" customHeight="1">
      <c r="AN2062" s="458"/>
    </row>
    <row r="2063" spans="40:40" ht="15.75" customHeight="1">
      <c r="AN2063" s="458"/>
    </row>
    <row r="2064" spans="40:40" ht="15.75" customHeight="1">
      <c r="AN2064" s="458"/>
    </row>
    <row r="2065" spans="40:40" ht="15.75" customHeight="1">
      <c r="AN2065" s="458"/>
    </row>
    <row r="2066" spans="40:40" ht="15.75" customHeight="1">
      <c r="AN2066" s="458"/>
    </row>
    <row r="2067" spans="40:40" ht="15.75" customHeight="1">
      <c r="AN2067" s="458"/>
    </row>
    <row r="2068" spans="40:40" ht="15.75" customHeight="1">
      <c r="AN2068" s="458"/>
    </row>
    <row r="2069" spans="40:40" ht="15.75" customHeight="1">
      <c r="AN2069" s="458"/>
    </row>
    <row r="2070" spans="40:40" ht="15.75" customHeight="1">
      <c r="AN2070" s="458"/>
    </row>
    <row r="2071" spans="40:40" ht="15.75" customHeight="1">
      <c r="AN2071" s="458"/>
    </row>
    <row r="2072" spans="40:40" ht="15.75" customHeight="1">
      <c r="AN2072" s="458"/>
    </row>
    <row r="2073" spans="40:40" ht="15.75" customHeight="1">
      <c r="AN2073" s="458"/>
    </row>
    <row r="2074" spans="40:40" ht="15.75" customHeight="1">
      <c r="AN2074" s="458"/>
    </row>
    <row r="2075" spans="40:40" ht="15.75" customHeight="1">
      <c r="AN2075" s="458"/>
    </row>
    <row r="2076" spans="40:40" ht="15.75" customHeight="1">
      <c r="AN2076" s="458"/>
    </row>
    <row r="2077" spans="40:40" ht="15.75" customHeight="1">
      <c r="AN2077" s="458"/>
    </row>
    <row r="2078" spans="40:40" ht="15.75" customHeight="1">
      <c r="AN2078" s="458"/>
    </row>
    <row r="2079" spans="40:40" ht="15.75" customHeight="1">
      <c r="AN2079" s="458"/>
    </row>
    <row r="2080" spans="40:40" ht="15.75" customHeight="1">
      <c r="AN2080" s="458"/>
    </row>
    <row r="2081" spans="40:40" ht="15.75" customHeight="1">
      <c r="AN2081" s="458"/>
    </row>
    <row r="2082" spans="40:40" ht="15.75" customHeight="1">
      <c r="AN2082" s="458"/>
    </row>
    <row r="2083" spans="40:40" ht="15.75" customHeight="1">
      <c r="AN2083" s="458"/>
    </row>
    <row r="2084" spans="40:40" ht="15.75" customHeight="1">
      <c r="AN2084" s="458"/>
    </row>
    <row r="2085" spans="40:40" ht="15.75" customHeight="1">
      <c r="AN2085" s="458"/>
    </row>
    <row r="2086" spans="40:40" ht="15.75" customHeight="1">
      <c r="AN2086" s="458"/>
    </row>
    <row r="2087" spans="40:40" ht="15.75" customHeight="1">
      <c r="AN2087" s="458"/>
    </row>
    <row r="2088" spans="40:40" ht="15.75" customHeight="1">
      <c r="AN2088" s="458"/>
    </row>
    <row r="2089" spans="40:40" ht="15.75" customHeight="1">
      <c r="AN2089" s="458"/>
    </row>
    <row r="2090" spans="40:40" ht="15.75" customHeight="1">
      <c r="AN2090" s="458"/>
    </row>
    <row r="2091" spans="40:40" ht="15.75" customHeight="1">
      <c r="AN2091" s="458"/>
    </row>
    <row r="2092" spans="40:40" ht="15.75" customHeight="1">
      <c r="AN2092" s="458"/>
    </row>
    <row r="2093" spans="40:40" ht="15.75" customHeight="1">
      <c r="AN2093" s="458"/>
    </row>
    <row r="2094" spans="40:40" ht="15.75" customHeight="1">
      <c r="AN2094" s="458"/>
    </row>
    <row r="2095" spans="40:40" ht="15.75" customHeight="1">
      <c r="AN2095" s="458"/>
    </row>
    <row r="2096" spans="40:40" ht="15.75" customHeight="1">
      <c r="AN2096" s="458"/>
    </row>
    <row r="2097" spans="40:40" ht="15.75" customHeight="1">
      <c r="AN2097" s="458"/>
    </row>
    <row r="2098" spans="40:40" ht="15.75" customHeight="1">
      <c r="AN2098" s="458"/>
    </row>
    <row r="2099" spans="40:40" ht="15.75" customHeight="1">
      <c r="AN2099" s="458"/>
    </row>
    <row r="2100" spans="40:40" ht="15.75" customHeight="1">
      <c r="AN2100" s="458"/>
    </row>
    <row r="2101" spans="40:40" ht="15.75" customHeight="1">
      <c r="AN2101" s="458"/>
    </row>
    <row r="2102" spans="40:40" ht="15.75" customHeight="1">
      <c r="AN2102" s="458"/>
    </row>
    <row r="2103" spans="40:40" ht="15.75" customHeight="1">
      <c r="AN2103" s="458"/>
    </row>
    <row r="2104" spans="40:40" ht="15.75" customHeight="1">
      <c r="AN2104" s="458"/>
    </row>
    <row r="2105" spans="40:40" ht="15.75" customHeight="1">
      <c r="AN2105" s="458"/>
    </row>
    <row r="2106" spans="40:40" ht="15.75" customHeight="1">
      <c r="AN2106" s="458"/>
    </row>
    <row r="2107" spans="40:40" ht="15.75" customHeight="1">
      <c r="AN2107" s="458"/>
    </row>
    <row r="2108" spans="40:40" ht="15.75" customHeight="1">
      <c r="AN2108" s="458"/>
    </row>
    <row r="2109" spans="40:40" ht="15.75" customHeight="1">
      <c r="AN2109" s="458"/>
    </row>
    <row r="2110" spans="40:40" ht="15.75" customHeight="1">
      <c r="AN2110" s="458"/>
    </row>
    <row r="2111" spans="40:40" ht="15.75" customHeight="1">
      <c r="AN2111" s="458"/>
    </row>
    <row r="2112" spans="40:40" ht="15.75" customHeight="1">
      <c r="AN2112" s="458"/>
    </row>
    <row r="2113" spans="40:40" ht="15.75" customHeight="1">
      <c r="AN2113" s="458"/>
    </row>
    <row r="2114" spans="40:40" ht="15.75" customHeight="1">
      <c r="AN2114" s="458"/>
    </row>
    <row r="2115" spans="40:40" ht="15.75" customHeight="1">
      <c r="AN2115" s="458"/>
    </row>
    <row r="2116" spans="40:40" ht="15.75" customHeight="1">
      <c r="AN2116" s="458"/>
    </row>
    <row r="2117" spans="40:40" ht="15.75" customHeight="1">
      <c r="AN2117" s="458"/>
    </row>
    <row r="2118" spans="40:40" ht="15.75" customHeight="1">
      <c r="AN2118" s="458"/>
    </row>
    <row r="2119" spans="40:40" ht="15.75" customHeight="1">
      <c r="AN2119" s="458"/>
    </row>
    <row r="2120" spans="40:40" ht="15.75" customHeight="1">
      <c r="AN2120" s="458"/>
    </row>
    <row r="2121" spans="40:40" ht="15.75" customHeight="1">
      <c r="AN2121" s="458"/>
    </row>
    <row r="2122" spans="40:40" ht="15.75" customHeight="1">
      <c r="AN2122" s="458"/>
    </row>
    <row r="2123" spans="40:40" ht="15.75" customHeight="1">
      <c r="AN2123" s="458"/>
    </row>
    <row r="2124" spans="40:40" ht="15.75" customHeight="1">
      <c r="AN2124" s="458"/>
    </row>
    <row r="2125" spans="40:40" ht="15.75" customHeight="1">
      <c r="AN2125" s="458"/>
    </row>
    <row r="2126" spans="40:40" ht="15.75" customHeight="1">
      <c r="AN2126" s="458"/>
    </row>
    <row r="2127" spans="40:40" ht="15.75" customHeight="1">
      <c r="AN2127" s="458"/>
    </row>
    <row r="2128" spans="40:40" ht="15.75" customHeight="1">
      <c r="AN2128" s="458"/>
    </row>
    <row r="2129" spans="40:40" ht="15.75" customHeight="1">
      <c r="AN2129" s="458"/>
    </row>
    <row r="2130" spans="40:40" ht="15.75" customHeight="1">
      <c r="AN2130" s="458"/>
    </row>
    <row r="2131" spans="40:40" ht="15.75" customHeight="1">
      <c r="AN2131" s="458"/>
    </row>
    <row r="2132" spans="40:40" ht="15.75" customHeight="1">
      <c r="AN2132" s="458"/>
    </row>
    <row r="2133" spans="40:40" ht="15.75" customHeight="1">
      <c r="AN2133" s="458"/>
    </row>
    <row r="2134" spans="40:40" ht="15.75" customHeight="1">
      <c r="AN2134" s="458"/>
    </row>
    <row r="2135" spans="40:40" ht="15.75" customHeight="1">
      <c r="AN2135" s="458"/>
    </row>
    <row r="2136" spans="40:40" ht="15.75" customHeight="1">
      <c r="AN2136" s="458"/>
    </row>
    <row r="2137" spans="40:40" ht="15.75" customHeight="1">
      <c r="AN2137" s="458"/>
    </row>
    <row r="2138" spans="40:40" ht="15.75" customHeight="1">
      <c r="AN2138" s="458"/>
    </row>
    <row r="2139" spans="40:40" ht="15.75" customHeight="1">
      <c r="AN2139" s="458"/>
    </row>
    <row r="2140" spans="40:40" ht="15.75" customHeight="1">
      <c r="AN2140" s="458"/>
    </row>
    <row r="2141" spans="40:40" ht="15.75" customHeight="1">
      <c r="AN2141" s="458"/>
    </row>
    <row r="2142" spans="40:40" ht="15.75" customHeight="1">
      <c r="AN2142" s="458"/>
    </row>
    <row r="2143" spans="40:40" ht="15.75" customHeight="1">
      <c r="AN2143" s="458"/>
    </row>
    <row r="2144" spans="40:40" ht="15.75" customHeight="1">
      <c r="AN2144" s="458"/>
    </row>
    <row r="2145" spans="40:40" ht="15.75" customHeight="1">
      <c r="AN2145" s="458"/>
    </row>
    <row r="2146" spans="40:40" ht="15.75" customHeight="1">
      <c r="AN2146" s="458"/>
    </row>
    <row r="2147" spans="40:40" ht="15.75" customHeight="1">
      <c r="AN2147" s="458"/>
    </row>
    <row r="2148" spans="40:40" ht="15.75" customHeight="1">
      <c r="AN2148" s="458"/>
    </row>
    <row r="2149" spans="40:40" ht="15.75" customHeight="1">
      <c r="AN2149" s="458"/>
    </row>
    <row r="2150" spans="40:40" ht="15.75" customHeight="1">
      <c r="AN2150" s="458"/>
    </row>
    <row r="2151" spans="40:40" ht="15.75" customHeight="1">
      <c r="AN2151" s="458"/>
    </row>
    <row r="2152" spans="40:40" ht="15.75" customHeight="1">
      <c r="AN2152" s="458"/>
    </row>
    <row r="2153" spans="40:40" ht="15.75" customHeight="1">
      <c r="AN2153" s="458"/>
    </row>
    <row r="2154" spans="40:40" ht="15.75" customHeight="1">
      <c r="AN2154" s="458"/>
    </row>
    <row r="2155" spans="40:40" ht="15.75" customHeight="1">
      <c r="AN2155" s="458"/>
    </row>
    <row r="2156" spans="40:40" ht="15.75" customHeight="1">
      <c r="AN2156" s="458"/>
    </row>
    <row r="2157" spans="40:40" ht="15.75" customHeight="1">
      <c r="AN2157" s="458"/>
    </row>
    <row r="2158" spans="40:40" ht="15.75" customHeight="1">
      <c r="AN2158" s="458"/>
    </row>
    <row r="2159" spans="40:40" ht="15.75" customHeight="1">
      <c r="AN2159" s="458"/>
    </row>
    <row r="2160" spans="40:40" ht="15.75" customHeight="1">
      <c r="AN2160" s="458"/>
    </row>
    <row r="2161" spans="40:40" ht="15.75" customHeight="1">
      <c r="AN2161" s="458"/>
    </row>
    <row r="2162" spans="40:40" ht="15.75" customHeight="1">
      <c r="AN2162" s="458"/>
    </row>
    <row r="2163" spans="40:40" ht="15.75" customHeight="1">
      <c r="AN2163" s="458"/>
    </row>
    <row r="2164" spans="40:40" ht="15.75" customHeight="1">
      <c r="AN2164" s="458"/>
    </row>
    <row r="2165" spans="40:40" ht="15.75" customHeight="1">
      <c r="AN2165" s="458"/>
    </row>
  </sheetData>
  <autoFilter ref="A2:BG64" xr:uid="{00000000-0009-0000-0000-000016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autoFilter>
  <mergeCells count="10">
    <mergeCell ref="BD1:BG1"/>
    <mergeCell ref="AN2:AP2"/>
    <mergeCell ref="AQ2:AS2"/>
    <mergeCell ref="AT2:AV2"/>
    <mergeCell ref="A1:BB1"/>
    <mergeCell ref="N2:P2"/>
    <mergeCell ref="T2:V2"/>
    <mergeCell ref="W2:Y2"/>
    <mergeCell ref="Z2:AB2"/>
    <mergeCell ref="AC2:AE2"/>
  </mergeCells>
  <conditionalFormatting sqref="BC53:BG64 B9:BA30 B34:BA64">
    <cfRule type="expression" dxfId="562" priority="30">
      <formula>$M9="NON DEFINED"</formula>
    </cfRule>
    <cfRule type="expression" dxfId="561" priority="31">
      <formula>$AY9="N.D."</formula>
    </cfRule>
  </conditionalFormatting>
  <conditionalFormatting sqref="BD9:BE9 BD11:BE11 BD15:BE15 BD19:BG19 BD21:BF21 BD23:BF23 BD27:BE27 BE25 BD41:BF41 BE43:BF43 BD47:BE47 BD49:BE49 BD13:BE13 BD12 BD17:BF17 BD16 BD29:BE29 BD28 BD35:BE35 BD34 BD50 BG9 BG15 BD37:BE37 BD51:BF51 BD45:BF45 BG39">
    <cfRule type="containsBlanks" dxfId="560" priority="29">
      <formula>LEN(TRIM(BD9))=0</formula>
    </cfRule>
  </conditionalFormatting>
  <conditionalFormatting sqref="BC9:BC30 BC65:BC1982 BC34:BC52">
    <cfRule type="containsText" dxfId="559" priority="27" operator="containsText" text="a">
      <formula>NOT(ISERROR(SEARCH("a",BC9)))</formula>
    </cfRule>
    <cfRule type="containsText" dxfId="558" priority="28" operator="containsText" text="R">
      <formula>NOT(ISERROR(SEARCH("R",BC9)))</formula>
    </cfRule>
  </conditionalFormatting>
  <conditionalFormatting sqref="BA9:BA30 BA34:BA64">
    <cfRule type="expression" dxfId="557" priority="26">
      <formula>$BC9="R"</formula>
    </cfRule>
  </conditionalFormatting>
  <conditionalFormatting sqref="BA4:BA8">
    <cfRule type="expression" dxfId="556" priority="25">
      <formula>$BC4="R"</formula>
    </cfRule>
  </conditionalFormatting>
  <conditionalFormatting sqref="A4:BG8">
    <cfRule type="cellIs" dxfId="555" priority="22" operator="equal">
      <formula>0</formula>
    </cfRule>
  </conditionalFormatting>
  <conditionalFormatting sqref="B4:BA8 BC4:BG8">
    <cfRule type="expression" dxfId="554" priority="23">
      <formula>$M4="NON DEFINED"</formula>
    </cfRule>
    <cfRule type="expression" dxfId="553" priority="24">
      <formula>$AY4="N.D."</formula>
    </cfRule>
  </conditionalFormatting>
  <conditionalFormatting sqref="A53:BG64">
    <cfRule type="cellIs" dxfId="552" priority="18" operator="equal">
      <formula>0</formula>
    </cfRule>
  </conditionalFormatting>
  <conditionalFormatting sqref="AN4:AN30 AN34:AN64">
    <cfRule type="cellIs" dxfId="551" priority="17" operator="notEqual">
      <formula>5.5</formula>
    </cfRule>
  </conditionalFormatting>
  <conditionalFormatting sqref="BG27 BG29 BG35">
    <cfRule type="containsBlanks" dxfId="550" priority="16">
      <formula>LEN(TRIM(BG27))=0</formula>
    </cfRule>
  </conditionalFormatting>
  <conditionalFormatting sqref="BD43">
    <cfRule type="containsBlanks" dxfId="549" priority="15">
      <formula>LEN(TRIM(BD43))=0</formula>
    </cfRule>
  </conditionalFormatting>
  <conditionalFormatting sqref="BG17">
    <cfRule type="containsBlanks" dxfId="548" priority="14">
      <formula>LEN(TRIM(BG17))=0</formula>
    </cfRule>
  </conditionalFormatting>
  <conditionalFormatting sqref="BG37">
    <cfRule type="containsBlanks" dxfId="547" priority="13">
      <formula>LEN(TRIM(BG37))=0</formula>
    </cfRule>
  </conditionalFormatting>
  <conditionalFormatting sqref="BG43 BG45">
    <cfRule type="containsBlanks" dxfId="546" priority="12">
      <formula>LEN(TRIM(BG43))=0</formula>
    </cfRule>
  </conditionalFormatting>
  <conditionalFormatting sqref="BG49 BG51">
    <cfRule type="containsBlanks" dxfId="545" priority="11">
      <formula>LEN(TRIM(BG49))=0</formula>
    </cfRule>
  </conditionalFormatting>
  <conditionalFormatting sqref="BG11 BG13">
    <cfRule type="containsBlanks" dxfId="544" priority="10">
      <formula>LEN(TRIM(BG11))=0</formula>
    </cfRule>
  </conditionalFormatting>
  <conditionalFormatting sqref="BG21 BG23 BG25">
    <cfRule type="containsBlanks" dxfId="543" priority="9">
      <formula>LEN(TRIM(BG21))=0</formula>
    </cfRule>
  </conditionalFormatting>
  <conditionalFormatting sqref="BG47">
    <cfRule type="containsBlanks" dxfId="542" priority="8">
      <formula>LEN(TRIM(BG47))=0</formula>
    </cfRule>
  </conditionalFormatting>
  <conditionalFormatting sqref="BG41">
    <cfRule type="containsBlanks" dxfId="541" priority="7">
      <formula>LEN(TRIM(BG41))=0</formula>
    </cfRule>
  </conditionalFormatting>
  <conditionalFormatting sqref="B31:BA33">
    <cfRule type="expression" dxfId="540" priority="5">
      <formula>$M31="NON DEFINED"</formula>
    </cfRule>
    <cfRule type="expression" dxfId="539" priority="6">
      <formula>$AY31="N.D."</formula>
    </cfRule>
  </conditionalFormatting>
  <conditionalFormatting sqref="BC31:BC33">
    <cfRule type="containsText" dxfId="538" priority="3" operator="containsText" text="a">
      <formula>NOT(ISERROR(SEARCH("a",BC31)))</formula>
    </cfRule>
    <cfRule type="containsText" dxfId="537" priority="4" operator="containsText" text="R">
      <formula>NOT(ISERROR(SEARCH("R",BC31)))</formula>
    </cfRule>
  </conditionalFormatting>
  <conditionalFormatting sqref="BA31:BA33">
    <cfRule type="expression" dxfId="536" priority="2">
      <formula>$BC31="R"</formula>
    </cfRule>
  </conditionalFormatting>
  <conditionalFormatting sqref="AN31:AN33">
    <cfRule type="cellIs" dxfId="535" priority="1" operator="notEqual">
      <formula>5.5</formula>
    </cfRule>
  </conditionalFormatting>
  <printOptions horizontalCentered="1" gridLines="1"/>
  <pageMargins left="0.39370078740157483" right="0.39370078740157483" top="0.78740157480314965" bottom="0.78740157480314965" header="0.31496062992125984" footer="0.31496062992125984"/>
  <pageSetup paperSize="8" scale="79" fitToHeight="0" orientation="landscape" r:id="rId1"/>
  <headerFooter alignWithMargins="0">
    <oddHeader>&amp;L&amp;G&amp;C
LAYOUT AND EQUIPMENT
EP06 TRACK 1 TSA
KP92+700 - 93+478&amp;R&amp;G</oddHeader>
    <oddFooter>&amp;L&amp;G
&amp;F&amp;C&amp;D&amp;RPag &amp;P of &amp;N</oddFooter>
  </headerFooter>
  <legacyDrawingHF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26">
    <tabColor theme="4"/>
    <pageSetUpPr fitToPage="1"/>
  </sheetPr>
  <dimension ref="A1:BG2165"/>
  <sheetViews>
    <sheetView view="pageBreakPreview" zoomScale="80" zoomScaleNormal="85" zoomScaleSheetLayoutView="80" workbookViewId="0">
      <pane xSplit="2" ySplit="3" topLeftCell="C4" activePane="bottomRight" state="frozen"/>
      <selection activeCell="G124" sqref="G124"/>
      <selection pane="topRight" activeCell="G124" sqref="G124"/>
      <selection pane="bottomLeft" activeCell="G124" sqref="G124"/>
      <selection pane="bottomRight" activeCell="G124" sqref="G124"/>
    </sheetView>
  </sheetViews>
  <sheetFormatPr baseColWidth="10" defaultColWidth="11.453125" defaultRowHeight="15.75" customHeight="1"/>
  <cols>
    <col min="1" max="1" width="20.6328125" style="178" customWidth="1"/>
    <col min="2" max="2" width="12.6328125" style="178" customWidth="1"/>
    <col min="3" max="3" width="12.6328125" style="184" customWidth="1"/>
    <col min="4" max="5" width="12.6328125" style="178" hidden="1" customWidth="1"/>
    <col min="6" max="6" width="12.6328125" style="178" customWidth="1"/>
    <col min="7" max="7" width="12.6328125" style="454" customWidth="1"/>
    <col min="8" max="8" width="18.6328125" style="178" customWidth="1"/>
    <col min="9" max="9" width="12.6328125" style="178" customWidth="1"/>
    <col min="10" max="10" width="12.6328125" style="184" customWidth="1"/>
    <col min="11" max="11" width="12.6328125" style="178" customWidth="1"/>
    <col min="12" max="13" width="14.6328125" style="178" customWidth="1"/>
    <col min="14" max="16" width="8.6328125" style="178" hidden="1" customWidth="1"/>
    <col min="17" max="19" width="12.6328125" style="178" hidden="1" customWidth="1"/>
    <col min="20" max="28" width="8.6328125" style="178" hidden="1" customWidth="1"/>
    <col min="29" max="31" width="10.6328125" style="178" hidden="1" customWidth="1"/>
    <col min="32" max="32" width="13.54296875" style="178" hidden="1" customWidth="1"/>
    <col min="33" max="33" width="12.6328125" style="184" hidden="1" customWidth="1"/>
    <col min="34" max="36" width="12.6328125" style="178" hidden="1" customWidth="1"/>
    <col min="37" max="39" width="12.6328125" style="178" customWidth="1"/>
    <col min="40" max="42" width="8.6328125" style="169" hidden="1" customWidth="1"/>
    <col min="43" max="46" width="8.6328125" style="458" hidden="1" customWidth="1"/>
    <col min="47" max="48" width="8.6328125" style="169" hidden="1" customWidth="1"/>
    <col min="49" max="50" width="12.6328125" style="169" customWidth="1"/>
    <col min="51" max="52" width="12.6328125" style="458" customWidth="1"/>
    <col min="53" max="53" width="12.6328125" style="169" customWidth="1"/>
    <col min="54" max="54" width="21.6328125" style="178" hidden="1" customWidth="1"/>
    <col min="55" max="55" width="18" style="178" customWidth="1"/>
    <col min="56" max="59" width="14.54296875" style="1323" customWidth="1"/>
    <col min="60" max="60" width="11.453125" style="178" customWidth="1"/>
    <col min="61" max="16384" width="11.453125" style="178"/>
  </cols>
  <sheetData>
    <row r="1" spans="1:59" ht="35.25" customHeight="1">
      <c r="A1" s="1615" t="s">
        <v>2428</v>
      </c>
      <c r="B1" s="1615"/>
      <c r="C1" s="1615"/>
      <c r="D1" s="1615"/>
      <c r="E1" s="1615"/>
      <c r="F1" s="1615"/>
      <c r="G1" s="1615"/>
      <c r="H1" s="1615"/>
      <c r="I1" s="1615"/>
      <c r="J1" s="1615"/>
      <c r="K1" s="1615"/>
      <c r="L1" s="1615"/>
      <c r="M1" s="1615"/>
      <c r="N1" s="1615"/>
      <c r="O1" s="1615"/>
      <c r="P1" s="1615"/>
      <c r="Q1" s="1615"/>
      <c r="R1" s="1615"/>
      <c r="S1" s="1615"/>
      <c r="T1" s="1615"/>
      <c r="U1" s="1615"/>
      <c r="V1" s="1615"/>
      <c r="W1" s="1615"/>
      <c r="X1" s="1615"/>
      <c r="Y1" s="1615"/>
      <c r="Z1" s="1615"/>
      <c r="AA1" s="1615"/>
      <c r="AB1" s="1615"/>
      <c r="AC1" s="1615"/>
      <c r="AD1" s="1615"/>
      <c r="AE1" s="1615"/>
      <c r="AF1" s="1615"/>
      <c r="AG1" s="1615"/>
      <c r="AH1" s="1615"/>
      <c r="AI1" s="1615"/>
      <c r="AJ1" s="1615"/>
      <c r="AK1" s="1615"/>
      <c r="AL1" s="1615"/>
      <c r="AM1" s="1615"/>
      <c r="AN1" s="1615"/>
      <c r="AO1" s="1615"/>
      <c r="AP1" s="1615"/>
      <c r="AQ1" s="1615"/>
      <c r="AR1" s="1615"/>
      <c r="AS1" s="1615"/>
      <c r="AT1" s="1615"/>
      <c r="AU1" s="1615"/>
      <c r="AV1" s="1615"/>
      <c r="AW1" s="1615"/>
      <c r="AX1" s="1615"/>
      <c r="AY1" s="1615"/>
      <c r="AZ1" s="1615"/>
      <c r="BA1" s="1615"/>
      <c r="BB1" s="1615"/>
      <c r="BC1" s="693" t="s">
        <v>4947</v>
      </c>
      <c r="BD1" s="1599" t="s">
        <v>4916</v>
      </c>
      <c r="BE1" s="1599"/>
      <c r="BF1" s="1599"/>
      <c r="BG1" s="1599"/>
    </row>
    <row r="2" spans="1:59" s="699" customFormat="1" ht="42" customHeight="1">
      <c r="A2" s="1259" t="s">
        <v>4417</v>
      </c>
      <c r="B2" s="1259" t="s">
        <v>4418</v>
      </c>
      <c r="C2" s="954" t="s">
        <v>2315</v>
      </c>
      <c r="D2" s="1259" t="s">
        <v>4419</v>
      </c>
      <c r="E2" s="1259" t="s">
        <v>4855</v>
      </c>
      <c r="F2" s="1259" t="s">
        <v>4856</v>
      </c>
      <c r="G2" s="955" t="s">
        <v>4857</v>
      </c>
      <c r="H2" s="1259" t="s">
        <v>455</v>
      </c>
      <c r="I2" s="1259" t="s">
        <v>454</v>
      </c>
      <c r="J2" s="1259" t="s">
        <v>4423</v>
      </c>
      <c r="K2" s="1259" t="s">
        <v>1362</v>
      </c>
      <c r="L2" s="1259" t="s">
        <v>456</v>
      </c>
      <c r="M2" s="1259" t="s">
        <v>453</v>
      </c>
      <c r="N2" s="1613" t="s">
        <v>457</v>
      </c>
      <c r="O2" s="1613"/>
      <c r="P2" s="1613"/>
      <c r="Q2" s="1259" t="s">
        <v>4858</v>
      </c>
      <c r="R2" s="1259" t="s">
        <v>4859</v>
      </c>
      <c r="S2" s="1259" t="s">
        <v>4860</v>
      </c>
      <c r="T2" s="1613" t="s">
        <v>4861</v>
      </c>
      <c r="U2" s="1613"/>
      <c r="V2" s="1613"/>
      <c r="W2" s="1613" t="s">
        <v>4862</v>
      </c>
      <c r="X2" s="1613"/>
      <c r="Y2" s="1613"/>
      <c r="Z2" s="1613" t="s">
        <v>4863</v>
      </c>
      <c r="AA2" s="1613"/>
      <c r="AB2" s="1613"/>
      <c r="AC2" s="1613" t="s">
        <v>628</v>
      </c>
      <c r="AD2" s="1613"/>
      <c r="AE2" s="1613"/>
      <c r="AF2" s="1259" t="s">
        <v>4872</v>
      </c>
      <c r="AG2" s="954" t="s">
        <v>4864</v>
      </c>
      <c r="AH2" s="1259" t="s">
        <v>4865</v>
      </c>
      <c r="AI2" s="1259" t="s">
        <v>4866</v>
      </c>
      <c r="AJ2" s="1259" t="s">
        <v>629</v>
      </c>
      <c r="AK2" s="1259" t="s">
        <v>458</v>
      </c>
      <c r="AL2" s="1259" t="s">
        <v>459</v>
      </c>
      <c r="AM2" s="1259" t="s">
        <v>631</v>
      </c>
      <c r="AN2" s="1613" t="s">
        <v>4867</v>
      </c>
      <c r="AO2" s="1613"/>
      <c r="AP2" s="1613"/>
      <c r="AQ2" s="1614" t="s">
        <v>460</v>
      </c>
      <c r="AR2" s="1614"/>
      <c r="AS2" s="1614"/>
      <c r="AT2" s="1613" t="s">
        <v>630</v>
      </c>
      <c r="AU2" s="1613"/>
      <c r="AV2" s="1613"/>
      <c r="AW2" s="1259" t="s">
        <v>4868</v>
      </c>
      <c r="AX2" s="1259" t="s">
        <v>4904</v>
      </c>
      <c r="AY2" s="1260" t="s">
        <v>4869</v>
      </c>
      <c r="AZ2" s="1260" t="s">
        <v>4870</v>
      </c>
      <c r="BA2" s="1259" t="s">
        <v>1670</v>
      </c>
      <c r="BB2" s="1259" t="s">
        <v>4871</v>
      </c>
      <c r="BC2" s="693" t="s">
        <v>4948</v>
      </c>
      <c r="BD2" s="1320" t="s">
        <v>453</v>
      </c>
      <c r="BE2" s="1320" t="s">
        <v>4922</v>
      </c>
      <c r="BF2" s="1320" t="s">
        <v>4915</v>
      </c>
      <c r="BG2" s="1320" t="s">
        <v>457</v>
      </c>
    </row>
    <row r="3" spans="1:59" ht="15.75" customHeight="1">
      <c r="A3" s="1239"/>
      <c r="B3" s="1239"/>
      <c r="C3" s="171"/>
      <c r="D3" s="1239"/>
      <c r="E3" s="1239"/>
      <c r="F3" s="172"/>
      <c r="G3" s="680"/>
      <c r="H3" s="1239"/>
      <c r="I3" s="1239"/>
      <c r="J3" s="171"/>
      <c r="K3" s="1239"/>
      <c r="L3" s="1239"/>
      <c r="M3" s="1239"/>
      <c r="N3" s="694" t="s">
        <v>123</v>
      </c>
      <c r="O3" s="694" t="s">
        <v>124</v>
      </c>
      <c r="P3" s="694" t="s">
        <v>125</v>
      </c>
      <c r="Q3" s="1239"/>
      <c r="R3" s="1239"/>
      <c r="S3" s="1239"/>
      <c r="T3" s="695" t="s">
        <v>126</v>
      </c>
      <c r="U3" s="695" t="s">
        <v>127</v>
      </c>
      <c r="V3" s="695" t="s">
        <v>128</v>
      </c>
      <c r="W3" s="695" t="s">
        <v>129</v>
      </c>
      <c r="X3" s="695" t="s">
        <v>130</v>
      </c>
      <c r="Y3" s="695" t="s">
        <v>131</v>
      </c>
      <c r="Z3" s="695" t="s">
        <v>132</v>
      </c>
      <c r="AA3" s="695" t="s">
        <v>133</v>
      </c>
      <c r="AB3" s="695" t="s">
        <v>134</v>
      </c>
      <c r="AC3" s="695" t="s">
        <v>135</v>
      </c>
      <c r="AD3" s="695" t="s">
        <v>136</v>
      </c>
      <c r="AE3" s="695" t="s">
        <v>137</v>
      </c>
      <c r="AF3" s="1239"/>
      <c r="AG3" s="171"/>
      <c r="AH3" s="1239"/>
      <c r="AI3" s="1239"/>
      <c r="AJ3" s="1239"/>
      <c r="AK3" s="1239"/>
      <c r="AL3" s="1239"/>
      <c r="AM3" s="1239"/>
      <c r="AN3" s="695" t="s">
        <v>129</v>
      </c>
      <c r="AO3" s="695" t="s">
        <v>130</v>
      </c>
      <c r="AP3" s="695" t="s">
        <v>131</v>
      </c>
      <c r="AQ3" s="696" t="s">
        <v>613</v>
      </c>
      <c r="AR3" s="696" t="s">
        <v>614</v>
      </c>
      <c r="AS3" s="696" t="s">
        <v>615</v>
      </c>
      <c r="AT3" s="696" t="s">
        <v>616</v>
      </c>
      <c r="AU3" s="695" t="s">
        <v>617</v>
      </c>
      <c r="AV3" s="695" t="s">
        <v>618</v>
      </c>
      <c r="AW3" s="1239"/>
      <c r="AX3" s="1239"/>
      <c r="AY3" s="455"/>
      <c r="AZ3" s="455"/>
      <c r="BA3" s="1239"/>
      <c r="BB3" s="1239"/>
      <c r="BD3" s="1239"/>
      <c r="BE3" s="1239"/>
      <c r="BF3" s="1239"/>
      <c r="BG3" s="1239"/>
    </row>
    <row r="4" spans="1:59" ht="15.75" customHeight="1">
      <c r="A4" s="501">
        <f>'HR Track 1 TSA'!A8</f>
        <v>0</v>
      </c>
      <c r="B4" s="716">
        <f>'HR Track 1 TSA'!B8</f>
        <v>0</v>
      </c>
      <c r="C4" s="451">
        <f>'HR Track 1 TSA'!C8</f>
        <v>0</v>
      </c>
      <c r="D4" s="453">
        <f>'HR Track 1 TSA'!D8</f>
        <v>0</v>
      </c>
      <c r="E4" s="452">
        <f>'HR Track 1 TSA'!E8</f>
        <v>0</v>
      </c>
      <c r="F4" s="453">
        <f>'HR Track 1 TSA'!F8</f>
        <v>0</v>
      </c>
      <c r="G4" s="500">
        <f>'HR Track 1 TSA'!G8</f>
        <v>53.6</v>
      </c>
      <c r="H4" s="453">
        <f>'HR Track 1 TSA'!H8</f>
        <v>0</v>
      </c>
      <c r="I4" s="501">
        <f>'HR Track 1 TSA'!I8</f>
        <v>0</v>
      </c>
      <c r="J4" s="583">
        <f>'HR Track 1 TSA'!J8</f>
        <v>92672.550000000017</v>
      </c>
      <c r="K4" s="452" t="str">
        <f>'HR Track 1 TSA'!K8</f>
        <v>AnM-R</v>
      </c>
      <c r="L4" s="452">
        <f>'HR Track 1 TSA'!L8</f>
        <v>0</v>
      </c>
      <c r="M4" s="452">
        <f>'HR Track 1 TSA'!M8</f>
        <v>0</v>
      </c>
      <c r="N4" s="501">
        <f>'HR Track 1 TSA'!N8</f>
        <v>0</v>
      </c>
      <c r="O4" s="501">
        <f>'HR Track 1 TSA'!O8</f>
        <v>0</v>
      </c>
      <c r="P4" s="501">
        <f>'HR Track 1 TSA'!P8</f>
        <v>0</v>
      </c>
      <c r="Q4" s="452">
        <f>'HR Track 1 TSA'!Q8</f>
        <v>0</v>
      </c>
      <c r="R4" s="452">
        <f>'HR Track 1 TSA'!R8</f>
        <v>0</v>
      </c>
      <c r="S4" s="500">
        <f>'HR Track 1 TSA'!S8</f>
        <v>53.630000000004657</v>
      </c>
      <c r="T4" s="452">
        <f>'HR Track 1 TSA'!T8</f>
        <v>0</v>
      </c>
      <c r="U4" s="452">
        <f>'HR Track 1 TSA'!U8</f>
        <v>0</v>
      </c>
      <c r="V4" s="452">
        <f>'HR Track 1 TSA'!V8</f>
        <v>0</v>
      </c>
      <c r="W4" s="452">
        <f>'HR Track 1 TSA'!W8</f>
        <v>0</v>
      </c>
      <c r="X4" s="452">
        <f>'HR Track 1 TSA'!X8</f>
        <v>0</v>
      </c>
      <c r="Y4" s="452">
        <f>'HR Track 1 TSA'!Y8</f>
        <v>0</v>
      </c>
      <c r="Z4" s="452">
        <f>'HR Track 1 TSA'!Z8</f>
        <v>0</v>
      </c>
      <c r="AA4" s="452">
        <f>'HR Track 1 TSA'!AA8</f>
        <v>0</v>
      </c>
      <c r="AB4" s="452">
        <f>'HR Track 1 TSA'!AB8</f>
        <v>0</v>
      </c>
      <c r="AC4" s="452">
        <f>'HR Track 1 TSA'!AC8</f>
        <v>0</v>
      </c>
      <c r="AD4" s="452">
        <f>'HR Track 1 TSA'!AD8</f>
        <v>0</v>
      </c>
      <c r="AE4" s="452">
        <f>'HR Track 1 TSA'!AE8</f>
        <v>0</v>
      </c>
      <c r="AF4" s="452">
        <f>'HR Track 1 TSA'!AF8</f>
        <v>0</v>
      </c>
      <c r="AG4" s="451">
        <f>'HR Track 1 TSA'!AG8</f>
        <v>0</v>
      </c>
      <c r="AH4" s="452">
        <f>'HR Track 1 TSA'!AH8</f>
        <v>0</v>
      </c>
      <c r="AI4" s="452">
        <f>'HR Track 1 TSA'!AI8</f>
        <v>0</v>
      </c>
      <c r="AJ4" s="452">
        <f>'HR Track 1 TSA'!AJ8</f>
        <v>0</v>
      </c>
      <c r="AK4" s="452">
        <f>'HR Track 1 TSA'!AK8</f>
        <v>0</v>
      </c>
      <c r="AL4" s="452">
        <f>'HR Track 1 TSA'!AL8</f>
        <v>0</v>
      </c>
      <c r="AM4" s="452">
        <f>'HR Track 1 TSA'!AM8</f>
        <v>0</v>
      </c>
      <c r="AN4" s="500">
        <f>'HR Track 1 TSA'!AN8</f>
        <v>0</v>
      </c>
      <c r="AO4" s="452">
        <f>'HR Track 1 TSA'!AO8</f>
        <v>0</v>
      </c>
      <c r="AP4" s="452">
        <f>'HR Track 1 TSA'!AP8</f>
        <v>0</v>
      </c>
      <c r="AQ4" s="452">
        <f>'HR Track 1 TSA'!AQ8</f>
        <v>0.27996993665671643</v>
      </c>
      <c r="AR4" s="452">
        <f>'HR Track 1 TSA'!AR8</f>
        <v>0</v>
      </c>
      <c r="AS4" s="452">
        <f>'HR Track 1 TSA'!AS8</f>
        <v>0</v>
      </c>
      <c r="AT4" s="452">
        <f>'HR Track 1 TSA'!AT8</f>
        <v>0</v>
      </c>
      <c r="AU4" s="452">
        <f>'HR Track 1 TSA'!AU8</f>
        <v>0</v>
      </c>
      <c r="AV4" s="452">
        <f>'HR Track 1 TSA'!AV8</f>
        <v>0</v>
      </c>
      <c r="AW4" s="452" t="str">
        <f>'HR Track 1 TSA'!AW8</f>
        <v>Soil B</v>
      </c>
      <c r="AX4" s="452" t="str">
        <f>'HR Track 1 TSA'!AX8</f>
        <v>PT</v>
      </c>
      <c r="AY4" s="500">
        <f>'HR Track 1 TSA'!AY8</f>
        <v>0</v>
      </c>
      <c r="AZ4" s="500">
        <f>'HR Track 1 TSA'!AZ8</f>
        <v>2.8</v>
      </c>
      <c r="BA4" s="1333" t="str">
        <f>'HR Track 1 TSA'!BA8</f>
        <v>ü</v>
      </c>
      <c r="BB4" s="452">
        <f>'HR Track 1 TSA'!BB8</f>
        <v>0</v>
      </c>
      <c r="BC4" s="1334">
        <f>'HR Track 1 TSA'!BC8</f>
        <v>0</v>
      </c>
      <c r="BD4" s="1335">
        <f>'HR Track 1 TSA'!BD8</f>
        <v>43764</v>
      </c>
      <c r="BE4" s="1335">
        <f>'HR Track 1 TSA'!BE8</f>
        <v>0</v>
      </c>
      <c r="BF4" s="1335">
        <f>'HR Track 1 TSA'!BF8</f>
        <v>0</v>
      </c>
      <c r="BG4" s="1335">
        <f>'HR Track 1 TSA'!BG8</f>
        <v>0</v>
      </c>
    </row>
    <row r="5" spans="1:59" ht="15.75" customHeight="1">
      <c r="A5" s="501" t="str">
        <f>'HR Track 1 TSA'!A9</f>
        <v>TSA-07</v>
      </c>
      <c r="B5" s="716" t="str">
        <f>'HR Track 1 TSA'!B9</f>
        <v>92-1.21</v>
      </c>
      <c r="C5" s="451">
        <f>'HR Track 1 TSA'!C9</f>
        <v>92718.650000000023</v>
      </c>
      <c r="D5" s="453">
        <f>'HR Track 1 TSA'!D9</f>
        <v>0</v>
      </c>
      <c r="E5" s="452">
        <f>'HR Track 1 TSA'!E9</f>
        <v>0</v>
      </c>
      <c r="F5" s="453">
        <f>'HR Track 1 TSA'!F9</f>
        <v>0</v>
      </c>
      <c r="G5" s="500">
        <f>'HR Track 1 TSA'!G9</f>
        <v>0</v>
      </c>
      <c r="H5" s="453" t="str">
        <f>'HR Track 1 TSA'!H9</f>
        <v>S/A A/S</v>
      </c>
      <c r="I5" s="501" t="str">
        <f>'HR Track 1 TSA'!I9</f>
        <v>CP+AnMC IO</v>
      </c>
      <c r="J5" s="583">
        <f>'HR Track 1 TSA'!J9</f>
        <v>92711.150000000023</v>
      </c>
      <c r="K5" s="452" t="str">
        <f>'HR Track 1 TSA'!K9</f>
        <v>AnMC-R</v>
      </c>
      <c r="L5" s="452" t="str">
        <f>'HR Track 1 TSA'!L9</f>
        <v>2HEB-260L</v>
      </c>
      <c r="M5" s="452" t="str">
        <f>'HR Track 1 TSA'!M9</f>
        <v>2C4R</v>
      </c>
      <c r="N5" s="501" t="str">
        <f>'HR Track 1 TSA'!N9</f>
        <v>EMT-1</v>
      </c>
      <c r="O5" s="501" t="str">
        <f>'HR Track 1 TSA'!O9</f>
        <v>EMT-T</v>
      </c>
      <c r="P5" s="501">
        <f>'HR Track 1 TSA'!P9</f>
        <v>0</v>
      </c>
      <c r="Q5" s="452">
        <f>'HR Track 1 TSA'!Q9</f>
        <v>0</v>
      </c>
      <c r="R5" s="452">
        <f>'HR Track 1 TSA'!R9</f>
        <v>0</v>
      </c>
      <c r="S5" s="500">
        <f>'HR Track 1 TSA'!S9</f>
        <v>0</v>
      </c>
      <c r="T5" s="452">
        <f>'HR Track 1 TSA'!T9</f>
        <v>-5</v>
      </c>
      <c r="U5" s="452">
        <f>'HR Track 1 TSA'!U9</f>
        <v>-50</v>
      </c>
      <c r="V5" s="452">
        <f>'HR Track 1 TSA'!V9</f>
        <v>0</v>
      </c>
      <c r="W5" s="452">
        <f>'HR Track 1 TSA'!W9</f>
        <v>1.4</v>
      </c>
      <c r="X5" s="452">
        <f>'HR Track 1 TSA'!X9</f>
        <v>2.2999999999999998</v>
      </c>
      <c r="Y5" s="452">
        <f>'HR Track 1 TSA'!Y9</f>
        <v>0</v>
      </c>
      <c r="Z5" s="452">
        <f>'HR Track 1 TSA'!Z9</f>
        <v>0</v>
      </c>
      <c r="AA5" s="452">
        <f>'HR Track 1 TSA'!AA9</f>
        <v>0.39</v>
      </c>
      <c r="AB5" s="452">
        <f>'HR Track 1 TSA'!AB9</f>
        <v>0</v>
      </c>
      <c r="AC5" s="452" t="str">
        <f>'HR Track 1 TSA'!AC9</f>
        <v>PH-1150</v>
      </c>
      <c r="AD5" s="452">
        <f>'HR Track 1 TSA'!AD9</f>
        <v>0</v>
      </c>
      <c r="AE5" s="452">
        <f>'HR Track 1 TSA'!AE9</f>
        <v>0</v>
      </c>
      <c r="AF5" s="452">
        <f>'HR Track 1 TSA'!AF9</f>
        <v>5800</v>
      </c>
      <c r="AG5" s="451">
        <f>'HR Track 1 TSA'!AG9</f>
        <v>92718.63</v>
      </c>
      <c r="AH5" s="452">
        <f>'HR Track 1 TSA'!AH9</f>
        <v>2243</v>
      </c>
      <c r="AI5" s="452">
        <f>'HR Track 1 TSA'!AI9</f>
        <v>140</v>
      </c>
      <c r="AJ5" s="452" t="str">
        <f>'HR Track 1 TSA'!AJ9</f>
        <v>Disc/IO</v>
      </c>
      <c r="AK5" s="452">
        <f>'HR Track 1 TSA'!AK9</f>
        <v>0</v>
      </c>
      <c r="AL5" s="452">
        <f>'HR Track 1 TSA'!AL9</f>
        <v>0</v>
      </c>
      <c r="AM5" s="452" t="str">
        <f>'HR Track 1 TSA'!AM9</f>
        <v>RW1</v>
      </c>
      <c r="AN5" s="500">
        <f>'HR Track 1 TSA'!AN9</f>
        <v>5.5</v>
      </c>
      <c r="AO5" s="452">
        <f>'HR Track 1 TSA'!AO9</f>
        <v>0</v>
      </c>
      <c r="AP5" s="452">
        <f>'HR Track 1 TSA'!AP9</f>
        <v>0</v>
      </c>
      <c r="AQ5" s="452">
        <f>'HR Track 1 TSA'!AQ9</f>
        <v>0</v>
      </c>
      <c r="AR5" s="452">
        <f>'HR Track 1 TSA'!AR9</f>
        <v>0</v>
      </c>
      <c r="AS5" s="452">
        <f>'HR Track 1 TSA'!AS9</f>
        <v>0</v>
      </c>
      <c r="AT5" s="452">
        <f>'HR Track 1 TSA'!AT9</f>
        <v>-11.466438686798345</v>
      </c>
      <c r="AU5" s="452">
        <f>'HR Track 1 TSA'!AU9</f>
        <v>0</v>
      </c>
      <c r="AV5" s="452">
        <f>'HR Track 1 TSA'!AV9</f>
        <v>0</v>
      </c>
      <c r="AW5" s="452" t="str">
        <f>'HR Track 1 TSA'!AW9</f>
        <v>Soil B</v>
      </c>
      <c r="AX5" s="452" t="str">
        <f>'HR Track 1 TSA'!AX9</f>
        <v>PT</v>
      </c>
      <c r="AY5" s="500">
        <f>'HR Track 1 TSA'!AY9</f>
        <v>5.3</v>
      </c>
      <c r="AZ5" s="500">
        <f>'HR Track 1 TSA'!AZ9</f>
        <v>3.9</v>
      </c>
      <c r="BA5" s="1333" t="str">
        <f>'HR Track 1 TSA'!BA9</f>
        <v>ü</v>
      </c>
      <c r="BB5" s="452" t="str">
        <f>'HR Track 1 TSA'!BB9</f>
        <v>App.7-V11A-P9.5.1.8</v>
      </c>
      <c r="BC5" s="1334">
        <f>'HR Track 1 TSA'!BC9</f>
        <v>0</v>
      </c>
      <c r="BD5" s="1335">
        <f>'HR Track 1 TSA'!BD9</f>
        <v>43736</v>
      </c>
      <c r="BE5" s="1335">
        <f>'HR Track 1 TSA'!BE9</f>
        <v>0</v>
      </c>
      <c r="BF5" s="1335">
        <f>'HR Track 1 TSA'!BF9</f>
        <v>0</v>
      </c>
      <c r="BG5" s="1335">
        <f>'HR Track 1 TSA'!BG9</f>
        <v>43893</v>
      </c>
    </row>
    <row r="6" spans="1:59" ht="15.75" customHeight="1">
      <c r="A6" s="501">
        <f>'HR Track 1 TSA'!A10</f>
        <v>0</v>
      </c>
      <c r="B6" s="716">
        <f>'HR Track 1 TSA'!B10</f>
        <v>0</v>
      </c>
      <c r="C6" s="451">
        <f>'HR Track 1 TSA'!C10</f>
        <v>0</v>
      </c>
      <c r="D6" s="453">
        <f>'HR Track 1 TSA'!D10</f>
        <v>0</v>
      </c>
      <c r="E6" s="452">
        <f>'HR Track 1 TSA'!E10</f>
        <v>0</v>
      </c>
      <c r="F6" s="453">
        <f>'HR Track 1 TSA'!F10</f>
        <v>0</v>
      </c>
      <c r="G6" s="500">
        <f>'HR Track 1 TSA'!G10</f>
        <v>56</v>
      </c>
      <c r="H6" s="453">
        <f>'HR Track 1 TSA'!H10</f>
        <v>0</v>
      </c>
      <c r="I6" s="501">
        <f>'HR Track 1 TSA'!I10</f>
        <v>0</v>
      </c>
      <c r="J6" s="583">
        <f>'HR Track 1 TSA'!J10</f>
        <v>0</v>
      </c>
      <c r="K6" s="452">
        <f>'HR Track 1 TSA'!K10</f>
        <v>0</v>
      </c>
      <c r="L6" s="452">
        <f>'HR Track 1 TSA'!L10</f>
        <v>0</v>
      </c>
      <c r="M6" s="452">
        <f>'HR Track 1 TSA'!M10</f>
        <v>0</v>
      </c>
      <c r="N6" s="501">
        <f>'HR Track 1 TSA'!N10</f>
        <v>0</v>
      </c>
      <c r="O6" s="501">
        <f>'HR Track 1 TSA'!O10</f>
        <v>0</v>
      </c>
      <c r="P6" s="501">
        <f>'HR Track 1 TSA'!P10</f>
        <v>0</v>
      </c>
      <c r="Q6" s="452">
        <f>'HR Track 1 TSA'!Q10</f>
        <v>0</v>
      </c>
      <c r="R6" s="452">
        <f>'HR Track 1 TSA'!R10</f>
        <v>0</v>
      </c>
      <c r="S6" s="500">
        <f>'HR Track 1 TSA'!S10</f>
        <v>54.649999999994179</v>
      </c>
      <c r="T6" s="452">
        <f>'HR Track 1 TSA'!T10</f>
        <v>0</v>
      </c>
      <c r="U6" s="452">
        <f>'HR Track 1 TSA'!U10</f>
        <v>0</v>
      </c>
      <c r="V6" s="452">
        <f>'HR Track 1 TSA'!V10</f>
        <v>0</v>
      </c>
      <c r="W6" s="452">
        <f>'HR Track 1 TSA'!W10</f>
        <v>0</v>
      </c>
      <c r="X6" s="452">
        <f>'HR Track 1 TSA'!X10</f>
        <v>0</v>
      </c>
      <c r="Y6" s="452">
        <f>'HR Track 1 TSA'!Y10</f>
        <v>0</v>
      </c>
      <c r="Z6" s="452">
        <f>'HR Track 1 TSA'!Z10</f>
        <v>0</v>
      </c>
      <c r="AA6" s="452">
        <f>'HR Track 1 TSA'!AA10</f>
        <v>0</v>
      </c>
      <c r="AB6" s="452">
        <f>'HR Track 1 TSA'!AB10</f>
        <v>0</v>
      </c>
      <c r="AC6" s="452">
        <f>'HR Track 1 TSA'!AC10</f>
        <v>0</v>
      </c>
      <c r="AD6" s="452">
        <f>'HR Track 1 TSA'!AD10</f>
        <v>0</v>
      </c>
      <c r="AE6" s="452">
        <f>'HR Track 1 TSA'!AE10</f>
        <v>0</v>
      </c>
      <c r="AF6" s="452">
        <f>'HR Track 1 TSA'!AF10</f>
        <v>0</v>
      </c>
      <c r="AG6" s="451">
        <f>'HR Track 1 TSA'!AG10</f>
        <v>0</v>
      </c>
      <c r="AH6" s="452">
        <f>'HR Track 1 TSA'!AH10</f>
        <v>0</v>
      </c>
      <c r="AI6" s="452">
        <f>'HR Track 1 TSA'!AI10</f>
        <v>0</v>
      </c>
      <c r="AJ6" s="452">
        <f>'HR Track 1 TSA'!AJ10</f>
        <v>0</v>
      </c>
      <c r="AK6" s="452">
        <f>'HR Track 1 TSA'!AK10</f>
        <v>0</v>
      </c>
      <c r="AL6" s="452">
        <f>'HR Track 1 TSA'!AL10</f>
        <v>0</v>
      </c>
      <c r="AM6" s="452">
        <f>'HR Track 1 TSA'!AM10</f>
        <v>0</v>
      </c>
      <c r="AN6" s="500">
        <f>'HR Track 1 TSA'!AN10</f>
        <v>0</v>
      </c>
      <c r="AO6" s="452">
        <f>'HR Track 1 TSA'!AO10</f>
        <v>0</v>
      </c>
      <c r="AP6" s="452">
        <f>'HR Track 1 TSA'!AP10</f>
        <v>0</v>
      </c>
      <c r="AQ6" s="452">
        <f>'HR Track 1 TSA'!AQ10</f>
        <v>0.45340259199999999</v>
      </c>
      <c r="AR6" s="452">
        <f>'HR Track 1 TSA'!AR10</f>
        <v>0</v>
      </c>
      <c r="AS6" s="452">
        <f>'HR Track 1 TSA'!AS10</f>
        <v>0</v>
      </c>
      <c r="AT6" s="452">
        <f>'HR Track 1 TSA'!AT10</f>
        <v>0</v>
      </c>
      <c r="AU6" s="452">
        <f>'HR Track 1 TSA'!AU10</f>
        <v>0</v>
      </c>
      <c r="AV6" s="452">
        <f>'HR Track 1 TSA'!AV10</f>
        <v>0</v>
      </c>
      <c r="AW6" s="452">
        <f>'HR Track 1 TSA'!AW10</f>
        <v>0</v>
      </c>
      <c r="AX6" s="452">
        <f>'HR Track 1 TSA'!AX10</f>
        <v>0</v>
      </c>
      <c r="AY6" s="500" t="str">
        <f>'HR Track 1 TSA'!AY10</f>
        <v/>
      </c>
      <c r="AZ6" s="500" t="str">
        <f>'HR Track 1 TSA'!AZ10</f>
        <v/>
      </c>
      <c r="BA6" s="1333">
        <f>'HR Track 1 TSA'!BA10</f>
        <v>0</v>
      </c>
      <c r="BB6" s="452">
        <f>'HR Track 1 TSA'!BB10</f>
        <v>0</v>
      </c>
      <c r="BC6" s="1334">
        <f>'HR Track 1 TSA'!BC10</f>
        <v>0</v>
      </c>
      <c r="BD6" s="1335">
        <f>'HR Track 1 TSA'!BD10</f>
        <v>0</v>
      </c>
      <c r="BE6" s="1335">
        <f>'HR Track 1 TSA'!BE10</f>
        <v>0</v>
      </c>
      <c r="BF6" s="1335">
        <f>'HR Track 1 TSA'!BF10</f>
        <v>0</v>
      </c>
      <c r="BG6" s="1335">
        <f>'HR Track 1 TSA'!BG10</f>
        <v>0</v>
      </c>
    </row>
    <row r="7" spans="1:59" ht="15.75" customHeight="1">
      <c r="A7" s="501">
        <f>'HR Track 1 TSA'!A11</f>
        <v>0</v>
      </c>
      <c r="B7" s="716" t="str">
        <f>'HR Track 1 TSA'!B11</f>
        <v>92-1.22</v>
      </c>
      <c r="C7" s="451">
        <f>'HR Track 1 TSA'!C11</f>
        <v>92774.650000000023</v>
      </c>
      <c r="D7" s="453">
        <f>'HR Track 1 TSA'!D11</f>
        <v>0</v>
      </c>
      <c r="E7" s="452">
        <f>'HR Track 1 TSA'!E11</f>
        <v>0</v>
      </c>
      <c r="F7" s="453">
        <f>'HR Track 1 TSA'!F11</f>
        <v>0</v>
      </c>
      <c r="G7" s="500">
        <f>'HR Track 1 TSA'!G11</f>
        <v>0</v>
      </c>
      <c r="H7" s="453" t="str">
        <f>'HR Track 1 TSA'!H11</f>
        <v>P50(CS) S/A A/S</v>
      </c>
      <c r="I7" s="501" t="str">
        <f>'HR Track 1 TSA'!I11</f>
        <v>CP+AnMC</v>
      </c>
      <c r="J7" s="583">
        <f>'HR Track 1 TSA'!J11</f>
        <v>0</v>
      </c>
      <c r="K7" s="452">
        <f>'HR Track 1 TSA'!K11</f>
        <v>0</v>
      </c>
      <c r="L7" s="452" t="str">
        <f>'HR Track 1 TSA'!L11</f>
        <v>2HEB-260</v>
      </c>
      <c r="M7" s="452" t="str">
        <f>'HR Track 1 TSA'!M11</f>
        <v>2C4R</v>
      </c>
      <c r="N7" s="501" t="str">
        <f>'HR Track 1 TSA'!N11</f>
        <v>EMT-T</v>
      </c>
      <c r="O7" s="501" t="str">
        <f>'HR Track 1 TSA'!O11</f>
        <v>EMT-2</v>
      </c>
      <c r="P7" s="501" t="str">
        <f>'HR Track 1 TSA'!P11</f>
        <v>EMT-E</v>
      </c>
      <c r="Q7" s="452">
        <f>'HR Track 1 TSA'!Q11</f>
        <v>10</v>
      </c>
      <c r="R7" s="452">
        <f>'HR Track 1 TSA'!R11</f>
        <v>0</v>
      </c>
      <c r="S7" s="500">
        <f>'HR Track 1 TSA'!S11</f>
        <v>0</v>
      </c>
      <c r="T7" s="452">
        <f>'HR Track 1 TSA'!T11</f>
        <v>-45</v>
      </c>
      <c r="U7" s="452">
        <f>'HR Track 1 TSA'!U11</f>
        <v>30</v>
      </c>
      <c r="V7" s="452">
        <f>'HR Track 1 TSA'!V11</f>
        <v>15</v>
      </c>
      <c r="W7" s="452">
        <f>'HR Track 1 TSA'!W11</f>
        <v>2.2999999999999998</v>
      </c>
      <c r="X7" s="452">
        <f>'HR Track 1 TSA'!X11</f>
        <v>1.4</v>
      </c>
      <c r="Y7" s="452">
        <f>'HR Track 1 TSA'!Y11</f>
        <v>1.8</v>
      </c>
      <c r="Z7" s="452">
        <f>'HR Track 1 TSA'!Z11</f>
        <v>0.5</v>
      </c>
      <c r="AA7" s="452">
        <f>'HR Track 1 TSA'!AA11</f>
        <v>0</v>
      </c>
      <c r="AB7" s="452">
        <f>'HR Track 1 TSA'!AB11</f>
        <v>0</v>
      </c>
      <c r="AC7" s="452" t="str">
        <f>'HR Track 1 TSA'!AC11</f>
        <v>PH-1450</v>
      </c>
      <c r="AD7" s="452" t="str">
        <f>'HR Track 1 TSA'!AD11</f>
        <v>BTC-1651</v>
      </c>
      <c r="AE7" s="452">
        <f>'HR Track 1 TSA'!AE11</f>
        <v>0</v>
      </c>
      <c r="AF7" s="452">
        <f>'HR Track 1 TSA'!AF11</f>
        <v>5400</v>
      </c>
      <c r="AG7" s="451">
        <f>'HR Track 1 TSA'!AG11</f>
        <v>92773.28</v>
      </c>
      <c r="AH7" s="452">
        <f>'HR Track 1 TSA'!AH11</f>
        <v>2003</v>
      </c>
      <c r="AI7" s="452">
        <f>'HR Track 1 TSA'!AI11</f>
        <v>-30</v>
      </c>
      <c r="AJ7" s="452">
        <f>'HR Track 1 TSA'!AJ11</f>
        <v>0</v>
      </c>
      <c r="AK7" s="452">
        <f>'HR Track 1 TSA'!AK11</f>
        <v>0</v>
      </c>
      <c r="AL7" s="452">
        <f>'HR Track 1 TSA'!AL11</f>
        <v>0</v>
      </c>
      <c r="AM7" s="452" t="str">
        <f>'HR Track 1 TSA'!AM11</f>
        <v>RW1</v>
      </c>
      <c r="AN7" s="500">
        <f>'HR Track 1 TSA'!AN11</f>
        <v>5.5</v>
      </c>
      <c r="AO7" s="452">
        <f>'HR Track 1 TSA'!AO11</f>
        <v>0</v>
      </c>
      <c r="AP7" s="452">
        <f>'HR Track 1 TSA'!AP11</f>
        <v>0</v>
      </c>
      <c r="AQ7" s="452">
        <f>'HR Track 1 TSA'!AQ11</f>
        <v>0</v>
      </c>
      <c r="AR7" s="452">
        <f>'HR Track 1 TSA'!AR11</f>
        <v>0</v>
      </c>
      <c r="AS7" s="452">
        <f>'HR Track 1 TSA'!AS11</f>
        <v>0</v>
      </c>
      <c r="AT7" s="452">
        <f>'HR Track 1 TSA'!AT11</f>
        <v>28.185109192983518</v>
      </c>
      <c r="AU7" s="452">
        <f>'HR Track 1 TSA'!AU11</f>
        <v>0</v>
      </c>
      <c r="AV7" s="452">
        <f>'HR Track 1 TSA'!AV11</f>
        <v>0</v>
      </c>
      <c r="AW7" s="452" t="str">
        <f>'HR Track 1 TSA'!AW11</f>
        <v>Soil B</v>
      </c>
      <c r="AX7" s="452" t="str">
        <f>'HR Track 1 TSA'!AX11</f>
        <v>PT</v>
      </c>
      <c r="AY7" s="500">
        <f>'HR Track 1 TSA'!AY11</f>
        <v>4</v>
      </c>
      <c r="AZ7" s="500">
        <f>'HR Track 1 TSA'!AZ11</f>
        <v>0</v>
      </c>
      <c r="BA7" s="1333" t="str">
        <f>'HR Track 1 TSA'!BA11</f>
        <v>ü</v>
      </c>
      <c r="BB7" s="452" t="str">
        <f>'HR Track 1 TSA'!BB11</f>
        <v>App.7-V11A-P9.5.1.9</v>
      </c>
      <c r="BC7" s="1334">
        <f>'HR Track 1 TSA'!BC11</f>
        <v>0</v>
      </c>
      <c r="BD7" s="1335">
        <f>'HR Track 1 TSA'!BD11</f>
        <v>43736</v>
      </c>
      <c r="BE7" s="1335">
        <f>'HR Track 1 TSA'!BE11</f>
        <v>0</v>
      </c>
      <c r="BF7" s="1335">
        <f>'HR Track 1 TSA'!BF11</f>
        <v>0</v>
      </c>
      <c r="BG7" s="1335">
        <f>'HR Track 1 TSA'!BG11</f>
        <v>43893</v>
      </c>
    </row>
    <row r="8" spans="1:59" ht="15.75" customHeight="1">
      <c r="A8" s="501">
        <f>'HR Track 1 TSA'!A12</f>
        <v>0</v>
      </c>
      <c r="B8" s="716">
        <f>'HR Track 1 TSA'!B12</f>
        <v>0</v>
      </c>
      <c r="C8" s="451">
        <f>'HR Track 1 TSA'!C12</f>
        <v>0</v>
      </c>
      <c r="D8" s="453">
        <f>'HR Track 1 TSA'!D12</f>
        <v>0</v>
      </c>
      <c r="E8" s="452">
        <f>'HR Track 1 TSA'!E12</f>
        <v>0</v>
      </c>
      <c r="F8" s="453">
        <f>'HR Track 1 TSA'!F12</f>
        <v>0</v>
      </c>
      <c r="G8" s="500">
        <f>'HR Track 1 TSA'!G12</f>
        <v>48</v>
      </c>
      <c r="H8" s="453">
        <f>'HR Track 1 TSA'!H12</f>
        <v>0</v>
      </c>
      <c r="I8" s="501">
        <f>'HR Track 1 TSA'!I12</f>
        <v>0</v>
      </c>
      <c r="J8" s="583">
        <f>'HR Track 1 TSA'!J12</f>
        <v>92782.150000000023</v>
      </c>
      <c r="K8" s="452" t="str">
        <f>'HR Track 1 TSA'!K12</f>
        <v>AnMC-R</v>
      </c>
      <c r="L8" s="452">
        <f>'HR Track 1 TSA'!L12</f>
        <v>0</v>
      </c>
      <c r="M8" s="452">
        <f>'HR Track 1 TSA'!M12</f>
        <v>0</v>
      </c>
      <c r="N8" s="501">
        <f>'HR Track 1 TSA'!N12</f>
        <v>0</v>
      </c>
      <c r="O8" s="501">
        <f>'HR Track 1 TSA'!O12</f>
        <v>0</v>
      </c>
      <c r="P8" s="501">
        <f>'HR Track 1 TSA'!P12</f>
        <v>0</v>
      </c>
      <c r="Q8" s="452">
        <f>'HR Track 1 TSA'!Q12</f>
        <v>0</v>
      </c>
      <c r="R8" s="452">
        <f>'HR Track 1 TSA'!R12</f>
        <v>0</v>
      </c>
      <c r="S8" s="500">
        <f>'HR Track 1 TSA'!S12</f>
        <v>50.19999999999709</v>
      </c>
      <c r="T8" s="452">
        <f>'HR Track 1 TSA'!T12</f>
        <v>0</v>
      </c>
      <c r="U8" s="452">
        <f>'HR Track 1 TSA'!U12</f>
        <v>0</v>
      </c>
      <c r="V8" s="452">
        <f>'HR Track 1 TSA'!V12</f>
        <v>0</v>
      </c>
      <c r="W8" s="452">
        <f>'HR Track 1 TSA'!W12</f>
        <v>0</v>
      </c>
      <c r="X8" s="452">
        <f>'HR Track 1 TSA'!X12</f>
        <v>0</v>
      </c>
      <c r="Y8" s="452">
        <f>'HR Track 1 TSA'!Y12</f>
        <v>0</v>
      </c>
      <c r="Z8" s="452">
        <f>'HR Track 1 TSA'!Z12</f>
        <v>0</v>
      </c>
      <c r="AA8" s="452">
        <f>'HR Track 1 TSA'!AA12</f>
        <v>0</v>
      </c>
      <c r="AB8" s="452">
        <f>'HR Track 1 TSA'!AB12</f>
        <v>0</v>
      </c>
      <c r="AC8" s="452">
        <f>'HR Track 1 TSA'!AC12</f>
        <v>0</v>
      </c>
      <c r="AD8" s="452">
        <f>'HR Track 1 TSA'!AD12</f>
        <v>0</v>
      </c>
      <c r="AE8" s="452">
        <f>'HR Track 1 TSA'!AE12</f>
        <v>0</v>
      </c>
      <c r="AF8" s="452">
        <f>'HR Track 1 TSA'!AF12</f>
        <v>0</v>
      </c>
      <c r="AG8" s="451">
        <f>'HR Track 1 TSA'!AG12</f>
        <v>0</v>
      </c>
      <c r="AH8" s="452">
        <f>'HR Track 1 TSA'!AH12</f>
        <v>0</v>
      </c>
      <c r="AI8" s="452">
        <f>'HR Track 1 TSA'!AI12</f>
        <v>0</v>
      </c>
      <c r="AJ8" s="452">
        <f>'HR Track 1 TSA'!AJ12</f>
        <v>0</v>
      </c>
      <c r="AK8" s="452">
        <f>'HR Track 1 TSA'!AK12</f>
        <v>0</v>
      </c>
      <c r="AL8" s="452">
        <f>'HR Track 1 TSA'!AL12</f>
        <v>0</v>
      </c>
      <c r="AM8" s="452">
        <f>'HR Track 1 TSA'!AM12</f>
        <v>0</v>
      </c>
      <c r="AN8" s="500">
        <f>'HR Track 1 TSA'!AN12</f>
        <v>0</v>
      </c>
      <c r="AO8" s="452">
        <f>'HR Track 1 TSA'!AO12</f>
        <v>0</v>
      </c>
      <c r="AP8" s="452">
        <f>'HR Track 1 TSA'!AP12</f>
        <v>0</v>
      </c>
      <c r="AQ8" s="452">
        <f>'HR Track 1 TSA'!AQ12</f>
        <v>0.52271999999999996</v>
      </c>
      <c r="AR8" s="452">
        <f>'HR Track 1 TSA'!AR12</f>
        <v>0</v>
      </c>
      <c r="AS8" s="452">
        <f>'HR Track 1 TSA'!AS12</f>
        <v>0</v>
      </c>
      <c r="AT8" s="452">
        <f>'HR Track 1 TSA'!AT12</f>
        <v>0</v>
      </c>
      <c r="AU8" s="452">
        <f>'HR Track 1 TSA'!AU12</f>
        <v>0</v>
      </c>
      <c r="AV8" s="452">
        <f>'HR Track 1 TSA'!AV12</f>
        <v>0</v>
      </c>
      <c r="AW8" s="452" t="str">
        <f>'HR Track 1 TSA'!AW12</f>
        <v>Soil B</v>
      </c>
      <c r="AX8" s="452" t="str">
        <f>'HR Track 1 TSA'!AX12</f>
        <v>PT</v>
      </c>
      <c r="AY8" s="500">
        <f>'HR Track 1 TSA'!AY12</f>
        <v>0</v>
      </c>
      <c r="AZ8" s="500">
        <f>'HR Track 1 TSA'!AZ12</f>
        <v>3.9</v>
      </c>
      <c r="BA8" s="1333" t="str">
        <f>'HR Track 1 TSA'!BA12</f>
        <v>ü</v>
      </c>
      <c r="BB8" s="452">
        <f>'HR Track 1 TSA'!BB12</f>
        <v>0</v>
      </c>
      <c r="BC8" s="1334">
        <f>'HR Track 1 TSA'!BC12</f>
        <v>0</v>
      </c>
      <c r="BD8" s="1335">
        <f>'HR Track 1 TSA'!BD12</f>
        <v>43736</v>
      </c>
      <c r="BE8" s="1335">
        <f>'HR Track 1 TSA'!BE12</f>
        <v>0</v>
      </c>
      <c r="BF8" s="1335">
        <f>'HR Track 1 TSA'!BF12</f>
        <v>0</v>
      </c>
      <c r="BG8" s="1335">
        <f>'HR Track 1 TSA'!BG12</f>
        <v>0</v>
      </c>
    </row>
    <row r="9" spans="1:59" ht="15.75" customHeight="1">
      <c r="A9" s="501">
        <f>'HR Track 1 TSA'!A13</f>
        <v>0</v>
      </c>
      <c r="B9" s="716" t="str">
        <f>'HR Track 1 TSA'!B13</f>
        <v>92-1.23</v>
      </c>
      <c r="C9" s="451">
        <f>'HR Track 1 TSA'!C13</f>
        <v>92822.650000000023</v>
      </c>
      <c r="D9" s="453">
        <f>'HR Track 1 TSA'!D13</f>
        <v>0</v>
      </c>
      <c r="E9" s="452">
        <f>'HR Track 1 TSA'!E13</f>
        <v>0</v>
      </c>
      <c r="F9" s="453">
        <f>'HR Track 1 TSA'!F13</f>
        <v>0</v>
      </c>
      <c r="G9" s="500">
        <f>'HR Track 1 TSA'!G13</f>
        <v>0</v>
      </c>
      <c r="H9" s="453" t="str">
        <f>'HR Track 1 TSA'!H13</f>
        <v xml:space="preserve">S/A P50(CS) </v>
      </c>
      <c r="I9" s="501">
        <f>'HR Track 1 TSA'!I13</f>
        <v>0</v>
      </c>
      <c r="J9" s="583">
        <f>'HR Track 1 TSA'!J13</f>
        <v>0</v>
      </c>
      <c r="K9" s="452">
        <f>'HR Track 1 TSA'!K13</f>
        <v>0</v>
      </c>
      <c r="L9" s="452" t="str">
        <f>'HR Track 1 TSA'!L13</f>
        <v>2HEB-260</v>
      </c>
      <c r="M9" s="452" t="str">
        <f>'HR Track 1 TSA'!M13</f>
        <v>2C4R</v>
      </c>
      <c r="N9" s="501" t="str">
        <f>'HR Track 1 TSA'!N13</f>
        <v>EMT-E</v>
      </c>
      <c r="O9" s="501" t="str">
        <f>'HR Track 1 TSA'!O13</f>
        <v>EMT-2</v>
      </c>
      <c r="P9" s="501" t="str">
        <f>'HR Track 1 TSA'!P13</f>
        <v>EMT-T</v>
      </c>
      <c r="Q9" s="452">
        <f>'HR Track 1 TSA'!Q13</f>
        <v>10</v>
      </c>
      <c r="R9" s="452">
        <f>'HR Track 1 TSA'!R13</f>
        <v>0</v>
      </c>
      <c r="S9" s="500">
        <f>'HR Track 1 TSA'!S13</f>
        <v>0</v>
      </c>
      <c r="T9" s="452">
        <f>'HR Track 1 TSA'!T13</f>
        <v>15</v>
      </c>
      <c r="U9" s="452">
        <f>'HR Track 1 TSA'!U13</f>
        <v>30</v>
      </c>
      <c r="V9" s="452">
        <f>'HR Track 1 TSA'!V13</f>
        <v>-45</v>
      </c>
      <c r="W9" s="452">
        <f>'HR Track 1 TSA'!W13</f>
        <v>1.8</v>
      </c>
      <c r="X9" s="452">
        <f>'HR Track 1 TSA'!X13</f>
        <v>1.4</v>
      </c>
      <c r="Y9" s="452">
        <f>'HR Track 1 TSA'!Y13</f>
        <v>2.1</v>
      </c>
      <c r="Z9" s="452">
        <f>'HR Track 1 TSA'!Z13</f>
        <v>0</v>
      </c>
      <c r="AA9" s="452">
        <f>'HR Track 1 TSA'!AA13</f>
        <v>0</v>
      </c>
      <c r="AB9" s="452">
        <f>'HR Track 1 TSA'!AB13</f>
        <v>0.4</v>
      </c>
      <c r="AC9" s="452" t="str">
        <f>'HR Track 1 TSA'!AC13</f>
        <v>BTC-1651</v>
      </c>
      <c r="AD9" s="452" t="str">
        <f>'HR Track 1 TSA'!AD13</f>
        <v>PH-1450</v>
      </c>
      <c r="AE9" s="452">
        <f>'HR Track 1 TSA'!AE13</f>
        <v>0</v>
      </c>
      <c r="AF9" s="452">
        <f>'HR Track 1 TSA'!AF13</f>
        <v>5700</v>
      </c>
      <c r="AG9" s="451">
        <f>'HR Track 1 TSA'!AG13</f>
        <v>92823.48</v>
      </c>
      <c r="AH9" s="452">
        <f>'HR Track 1 TSA'!AH13</f>
        <v>1953</v>
      </c>
      <c r="AI9" s="452">
        <f>'HR Track 1 TSA'!AI13</f>
        <v>180</v>
      </c>
      <c r="AJ9" s="452">
        <f>'HR Track 1 TSA'!AJ13</f>
        <v>0</v>
      </c>
      <c r="AK9" s="452">
        <f>'HR Track 1 TSA'!AK13</f>
        <v>0</v>
      </c>
      <c r="AL9" s="452">
        <f>'HR Track 1 TSA'!AL13</f>
        <v>0</v>
      </c>
      <c r="AM9" s="452" t="str">
        <f>'HR Track 1 TSA'!AM13</f>
        <v>RW1</v>
      </c>
      <c r="AN9" s="500">
        <f>'HR Track 1 TSA'!AN13</f>
        <v>5.5</v>
      </c>
      <c r="AO9" s="452">
        <f>'HR Track 1 TSA'!AO13</f>
        <v>0</v>
      </c>
      <c r="AP9" s="452">
        <f>'HR Track 1 TSA'!AP13</f>
        <v>0</v>
      </c>
      <c r="AQ9" s="452">
        <f>'HR Track 1 TSA'!AQ13</f>
        <v>0</v>
      </c>
      <c r="AR9" s="452">
        <f>'HR Track 1 TSA'!AR13</f>
        <v>0</v>
      </c>
      <c r="AS9" s="452">
        <f>'HR Track 1 TSA'!AS13</f>
        <v>0</v>
      </c>
      <c r="AT9" s="452">
        <f>'HR Track 1 TSA'!AT13</f>
        <v>26.454268711350611</v>
      </c>
      <c r="AU9" s="452">
        <f>'HR Track 1 TSA'!AU13</f>
        <v>0</v>
      </c>
      <c r="AV9" s="452">
        <f>'HR Track 1 TSA'!AV13</f>
        <v>0</v>
      </c>
      <c r="AW9" s="452" t="str">
        <f>'HR Track 1 TSA'!AW13</f>
        <v>Soil B</v>
      </c>
      <c r="AX9" s="452" t="str">
        <f>'HR Track 1 TSA'!AX13</f>
        <v>PT</v>
      </c>
      <c r="AY9" s="500">
        <f>'HR Track 1 TSA'!AY13</f>
        <v>4</v>
      </c>
      <c r="AZ9" s="500">
        <f>'HR Track 1 TSA'!AZ13</f>
        <v>0</v>
      </c>
      <c r="BA9" s="1333" t="str">
        <f>'HR Track 1 TSA'!BA13</f>
        <v>ü</v>
      </c>
      <c r="BB9" s="452" t="str">
        <f>'HR Track 1 TSA'!BB13</f>
        <v>App.7-V11A-P9.5.1.9</v>
      </c>
      <c r="BC9" s="1334">
        <f>'HR Track 1 TSA'!BC13</f>
        <v>0</v>
      </c>
      <c r="BD9" s="1335">
        <f>'HR Track 1 TSA'!BD13</f>
        <v>43736</v>
      </c>
      <c r="BE9" s="1335">
        <f>'HR Track 1 TSA'!BE13</f>
        <v>0</v>
      </c>
      <c r="BF9" s="1335">
        <f>'HR Track 1 TSA'!BF13</f>
        <v>0</v>
      </c>
      <c r="BG9" s="1335">
        <f>'HR Track 1 TSA'!BG13</f>
        <v>43893</v>
      </c>
    </row>
    <row r="10" spans="1:59" ht="15.75" customHeight="1">
      <c r="A10" s="501">
        <f>'HR Track 1 TSA'!A14</f>
        <v>0</v>
      </c>
      <c r="B10" s="716">
        <f>'HR Track 1 TSA'!B14</f>
        <v>0</v>
      </c>
      <c r="C10" s="451">
        <f>'HR Track 1 TSA'!C14</f>
        <v>0</v>
      </c>
      <c r="D10" s="453">
        <f>'HR Track 1 TSA'!D14</f>
        <v>0</v>
      </c>
      <c r="E10" s="452">
        <f>'HR Track 1 TSA'!E14</f>
        <v>0</v>
      </c>
      <c r="F10" s="453">
        <f>'HR Track 1 TSA'!F14</f>
        <v>0</v>
      </c>
      <c r="G10" s="500">
        <f>'HR Track 1 TSA'!G14</f>
        <v>52</v>
      </c>
      <c r="H10" s="453">
        <f>'HR Track 1 TSA'!H14</f>
        <v>0</v>
      </c>
      <c r="I10" s="501">
        <f>'HR Track 1 TSA'!I14</f>
        <v>0</v>
      </c>
      <c r="J10" s="583">
        <f>'HR Track 1 TSA'!J14</f>
        <v>0</v>
      </c>
      <c r="K10" s="452">
        <f>'HR Track 1 TSA'!K14</f>
        <v>0</v>
      </c>
      <c r="L10" s="452">
        <f>'HR Track 1 TSA'!L14</f>
        <v>0</v>
      </c>
      <c r="M10" s="452">
        <f>'HR Track 1 TSA'!M14</f>
        <v>0</v>
      </c>
      <c r="N10" s="501">
        <f>'HR Track 1 TSA'!N14</f>
        <v>0</v>
      </c>
      <c r="O10" s="501">
        <f>'HR Track 1 TSA'!O14</f>
        <v>0</v>
      </c>
      <c r="P10" s="501">
        <f>'HR Track 1 TSA'!P14</f>
        <v>0</v>
      </c>
      <c r="Q10" s="452">
        <f>'HR Track 1 TSA'!Q14</f>
        <v>0</v>
      </c>
      <c r="R10" s="452">
        <f>'HR Track 1 TSA'!R14</f>
        <v>0</v>
      </c>
      <c r="S10" s="500">
        <f>'HR Track 1 TSA'!S14</f>
        <v>52.580000000001746</v>
      </c>
      <c r="T10" s="452">
        <f>'HR Track 1 TSA'!T14</f>
        <v>0</v>
      </c>
      <c r="U10" s="452">
        <f>'HR Track 1 TSA'!U14</f>
        <v>0</v>
      </c>
      <c r="V10" s="452">
        <f>'HR Track 1 TSA'!V14</f>
        <v>0</v>
      </c>
      <c r="W10" s="452">
        <f>'HR Track 1 TSA'!W14</f>
        <v>0</v>
      </c>
      <c r="X10" s="452">
        <f>'HR Track 1 TSA'!X14</f>
        <v>0</v>
      </c>
      <c r="Y10" s="452">
        <f>'HR Track 1 TSA'!Y14</f>
        <v>0</v>
      </c>
      <c r="Z10" s="452">
        <f>'HR Track 1 TSA'!Z14</f>
        <v>0</v>
      </c>
      <c r="AA10" s="452">
        <f>'HR Track 1 TSA'!AA14</f>
        <v>0</v>
      </c>
      <c r="AB10" s="452">
        <f>'HR Track 1 TSA'!AB14</f>
        <v>0</v>
      </c>
      <c r="AC10" s="452">
        <f>'HR Track 1 TSA'!AC14</f>
        <v>0</v>
      </c>
      <c r="AD10" s="452">
        <f>'HR Track 1 TSA'!AD14</f>
        <v>0</v>
      </c>
      <c r="AE10" s="452">
        <f>'HR Track 1 TSA'!AE14</f>
        <v>0</v>
      </c>
      <c r="AF10" s="452">
        <f>'HR Track 1 TSA'!AF14</f>
        <v>0</v>
      </c>
      <c r="AG10" s="451">
        <f>'HR Track 1 TSA'!AG14</f>
        <v>0</v>
      </c>
      <c r="AH10" s="452">
        <f>'HR Track 1 TSA'!AH14</f>
        <v>0</v>
      </c>
      <c r="AI10" s="452">
        <f>'HR Track 1 TSA'!AI14</f>
        <v>0</v>
      </c>
      <c r="AJ10" s="452">
        <f>'HR Track 1 TSA'!AJ14</f>
        <v>0</v>
      </c>
      <c r="AK10" s="452">
        <f>'HR Track 1 TSA'!AK14</f>
        <v>0</v>
      </c>
      <c r="AL10" s="452">
        <f>'HR Track 1 TSA'!AL14</f>
        <v>0</v>
      </c>
      <c r="AM10" s="452">
        <f>'HR Track 1 TSA'!AM14</f>
        <v>0</v>
      </c>
      <c r="AN10" s="500">
        <f>'HR Track 1 TSA'!AN14</f>
        <v>0</v>
      </c>
      <c r="AO10" s="452">
        <f>'HR Track 1 TSA'!AO14</f>
        <v>0</v>
      </c>
      <c r="AP10" s="452">
        <f>'HR Track 1 TSA'!AP14</f>
        <v>0</v>
      </c>
      <c r="AQ10" s="452">
        <f>'HR Track 1 TSA'!AQ14</f>
        <v>0.41567755897435904</v>
      </c>
      <c r="AR10" s="452">
        <f>'HR Track 1 TSA'!AR14</f>
        <v>0</v>
      </c>
      <c r="AS10" s="452">
        <f>'HR Track 1 TSA'!AS14</f>
        <v>0</v>
      </c>
      <c r="AT10" s="452">
        <f>'HR Track 1 TSA'!AT14</f>
        <v>0</v>
      </c>
      <c r="AU10" s="452">
        <f>'HR Track 1 TSA'!AU14</f>
        <v>0</v>
      </c>
      <c r="AV10" s="452">
        <f>'HR Track 1 TSA'!AV14</f>
        <v>0</v>
      </c>
      <c r="AW10" s="452">
        <f>'HR Track 1 TSA'!AW14</f>
        <v>0</v>
      </c>
      <c r="AX10" s="452">
        <f>'HR Track 1 TSA'!AX14</f>
        <v>0</v>
      </c>
      <c r="AY10" s="500">
        <f>'HR Track 1 TSA'!AY14</f>
        <v>0</v>
      </c>
      <c r="AZ10" s="500">
        <f>'HR Track 1 TSA'!AZ14</f>
        <v>0</v>
      </c>
      <c r="BA10" s="1333">
        <f>'HR Track 1 TSA'!BA14</f>
        <v>0</v>
      </c>
      <c r="BB10" s="452">
        <f>'HR Track 1 TSA'!BB14</f>
        <v>0</v>
      </c>
      <c r="BC10" s="1334">
        <f>'HR Track 1 TSA'!BC14</f>
        <v>0</v>
      </c>
      <c r="BD10" s="1335">
        <f>'HR Track 1 TSA'!BD14</f>
        <v>0</v>
      </c>
      <c r="BE10" s="1335">
        <f>'HR Track 1 TSA'!BE14</f>
        <v>0</v>
      </c>
      <c r="BF10" s="1335">
        <f>'HR Track 1 TSA'!BF14</f>
        <v>0</v>
      </c>
      <c r="BG10" s="1335">
        <f>'HR Track 1 TSA'!BG14</f>
        <v>0</v>
      </c>
    </row>
    <row r="11" spans="1:59" ht="15.75" customHeight="1">
      <c r="A11" s="449" t="s">
        <v>2933</v>
      </c>
      <c r="B11" s="445" t="s">
        <v>2709</v>
      </c>
      <c r="C11" s="446">
        <v>92874.650000000009</v>
      </c>
      <c r="D11" s="445"/>
      <c r="E11" s="445"/>
      <c r="F11" s="445" t="s">
        <v>2777</v>
      </c>
      <c r="G11" s="484"/>
      <c r="H11" s="445"/>
      <c r="I11" s="445"/>
      <c r="J11" s="446"/>
      <c r="K11" s="445"/>
      <c r="L11" s="445" t="s">
        <v>818</v>
      </c>
      <c r="M11" s="445" t="str">
        <f>IF(AX11="PT",VLOOKUP(L11,'Foundation Calculation'!$V$2:$X$40,VLOOKUP(AX11,'Foundation Calculation'!$I$10:$J$13,2,FALSE),0),IF(AX11="K",VLOOKUP(L11,'Foundation Calculation'!$V$42:$X$80,VLOOKUP(AX11,'Foundation Calculation'!$I$10:$J$13,2,FALSE),0),""))</f>
        <v>C4R</v>
      </c>
      <c r="N11" s="445" t="s">
        <v>143</v>
      </c>
      <c r="O11" s="445"/>
      <c r="P11" s="445"/>
      <c r="Q11" s="638">
        <v>10</v>
      </c>
      <c r="R11" s="638">
        <v>-791.51</v>
      </c>
      <c r="S11" s="484"/>
      <c r="T11" s="638">
        <v>-5</v>
      </c>
      <c r="U11" s="638"/>
      <c r="V11" s="638"/>
      <c r="W11" s="638">
        <v>1.4</v>
      </c>
      <c r="X11" s="638"/>
      <c r="Y11" s="638"/>
      <c r="Z11" s="1239"/>
      <c r="AA11" s="638"/>
      <c r="AB11" s="638"/>
      <c r="AC11" s="1239" t="s">
        <v>4130</v>
      </c>
      <c r="AD11" s="638"/>
      <c r="AE11" s="638"/>
      <c r="AF11" s="638">
        <v>5500</v>
      </c>
      <c r="AG11" s="446">
        <v>92876.06</v>
      </c>
      <c r="AH11" s="638">
        <v>2473</v>
      </c>
      <c r="AI11" s="185">
        <v>10</v>
      </c>
      <c r="AJ11" s="445" t="s">
        <v>877</v>
      </c>
      <c r="AK11" s="445"/>
      <c r="AL11" s="445"/>
      <c r="AM11" s="445"/>
      <c r="AN11" s="484">
        <v>5.5</v>
      </c>
      <c r="AO11" s="445"/>
      <c r="AP11" s="445"/>
      <c r="AQ11" s="484"/>
      <c r="AR11" s="484"/>
      <c r="AS11" s="484"/>
      <c r="AT11" s="484"/>
      <c r="AU11" s="638"/>
      <c r="AV11" s="638"/>
      <c r="AW11" s="484" t="str">
        <f>VLOOKUP(C11,'Foundation Calculation'!$A$2:$C$33,3,1)</f>
        <v>Soil B</v>
      </c>
      <c r="AX11" s="484" t="s">
        <v>1371</v>
      </c>
      <c r="AY11" s="484">
        <f>IF(AX11="PT",VLOOKUP(L11,'Foundation Calculation'!$K$2:$R$40,VLOOKUP(AW11,'Foundation Calculation'!$I$2:$J$8,2,FALSE),0),IF(AX11="K",VLOOKUP(L11,'Foundation Calculation'!$K$42:$R$80,VLOOKUP(AW11,'Foundation Calculation'!$I$2:$J$8,2,FALSE),0),""))</f>
        <v>3.5</v>
      </c>
      <c r="AZ11" s="484"/>
      <c r="BA11" s="671" t="s">
        <v>2809</v>
      </c>
      <c r="BB11" s="449" t="str">
        <f>Pole_Calculations!A15</f>
        <v>App.7-V11A-P9.5.1.1</v>
      </c>
      <c r="BC11" s="169"/>
      <c r="BD11" s="1329">
        <v>43750</v>
      </c>
      <c r="BE11" s="1329" t="s">
        <v>4946</v>
      </c>
      <c r="BF11" s="1330"/>
      <c r="BG11" s="1329">
        <v>43870</v>
      </c>
    </row>
    <row r="12" spans="1:59" ht="15.75" customHeight="1">
      <c r="A12" s="449"/>
      <c r="B12" s="445"/>
      <c r="C12" s="446"/>
      <c r="D12" s="445"/>
      <c r="E12" s="445"/>
      <c r="F12" s="445"/>
      <c r="G12" s="484">
        <v>41</v>
      </c>
      <c r="H12" s="445"/>
      <c r="I12" s="445"/>
      <c r="J12" s="446"/>
      <c r="K12" s="445"/>
      <c r="L12" s="445"/>
      <c r="M12" s="445"/>
      <c r="N12" s="445"/>
      <c r="O12" s="445"/>
      <c r="P12" s="445"/>
      <c r="Q12" s="638"/>
      <c r="R12" s="638"/>
      <c r="S12" s="484">
        <f>AG13-AG11</f>
        <v>39.970000000001164</v>
      </c>
      <c r="T12" s="638"/>
      <c r="U12" s="638"/>
      <c r="V12" s="638"/>
      <c r="W12" s="638"/>
      <c r="X12" s="638"/>
      <c r="Y12" s="638"/>
      <c r="Z12" s="638"/>
      <c r="AA12" s="638"/>
      <c r="AB12" s="638"/>
      <c r="AC12" s="638"/>
      <c r="AD12" s="638"/>
      <c r="AE12" s="638"/>
      <c r="AF12" s="638"/>
      <c r="AG12" s="446"/>
      <c r="AH12" s="638"/>
      <c r="AI12" s="185"/>
      <c r="AJ12" s="445" t="s">
        <v>864</v>
      </c>
      <c r="AK12" s="445"/>
      <c r="AL12" s="445"/>
      <c r="AM12" s="445"/>
      <c r="AN12" s="484"/>
      <c r="AO12" s="445"/>
      <c r="AP12" s="445"/>
      <c r="AQ12" s="484">
        <f>+FL_2($T$13,$T$11,$G$12,1200,9.28,-1*$F$13)</f>
        <v>-4.9999999999995964E-2</v>
      </c>
      <c r="AR12" s="484"/>
      <c r="AS12" s="484"/>
      <c r="AT12" s="484"/>
      <c r="AU12" s="638"/>
      <c r="AV12" s="638"/>
      <c r="AW12" s="445"/>
      <c r="AX12" s="484"/>
      <c r="AY12" s="484" t="str">
        <f>IF(AX12="PT",VLOOKUP(M12,'Foundation Calculation'!$L$2:$R$37,VLOOKUP(AW12,'Foundation Calculation'!$I$2:$J$8,2,FALSE),0),IF(AX12="K",VLOOKUP(M12,'Foundation Calculation'!$L$41:$R$75,VLOOKUP(AW12,'Foundation Calculation'!$I$2:$J$8,2,FALSE),0),""))</f>
        <v/>
      </c>
      <c r="AZ12" s="484" t="str">
        <f>IF(AX12="PT",VLOOKUP(K12,'Foundation Calculation'!$L$2:$R$41,VLOOKUP(AW12,'Foundation Calculation'!$I$2:$J$8,2,FALSE),0),IF(AX12="K",VLOOKUP(K12,'Foundation Calculation'!$L$41:$R$79,VLOOKUP(AW12,'Foundation Calculation'!$I$2:$J$8,2,FALSE),0),""))</f>
        <v/>
      </c>
      <c r="BA12" s="1304"/>
      <c r="BB12" s="449"/>
      <c r="BC12" s="169"/>
      <c r="BD12" s="1330"/>
      <c r="BE12" s="1330"/>
      <c r="BF12" s="1330"/>
      <c r="BG12" s="1330"/>
    </row>
    <row r="13" spans="1:59" ht="15.75" customHeight="1">
      <c r="A13" s="414"/>
      <c r="B13" s="415" t="s">
        <v>2710</v>
      </c>
      <c r="C13" s="416">
        <f>+$C$11+$G$12+0.4</f>
        <v>92916.05</v>
      </c>
      <c r="D13" s="415"/>
      <c r="E13" s="415"/>
      <c r="F13" s="415" t="s">
        <v>2778</v>
      </c>
      <c r="G13" s="422"/>
      <c r="H13" s="415"/>
      <c r="I13" s="415"/>
      <c r="J13" s="416"/>
      <c r="K13" s="415"/>
      <c r="L13" s="415"/>
      <c r="M13" s="415"/>
      <c r="N13" s="415" t="s">
        <v>844</v>
      </c>
      <c r="O13" s="415"/>
      <c r="P13" s="415"/>
      <c r="Q13" s="417">
        <v>10</v>
      </c>
      <c r="R13" s="417">
        <v>600</v>
      </c>
      <c r="S13" s="422"/>
      <c r="T13" s="417">
        <v>20</v>
      </c>
      <c r="U13" s="417"/>
      <c r="V13" s="417"/>
      <c r="W13" s="420">
        <v>1.4</v>
      </c>
      <c r="X13" s="417"/>
      <c r="Y13" s="417"/>
      <c r="Z13" s="420"/>
      <c r="AA13" s="417"/>
      <c r="AB13" s="417"/>
      <c r="AC13" s="420" t="s">
        <v>3050</v>
      </c>
      <c r="AD13" s="417"/>
      <c r="AE13" s="417"/>
      <c r="AF13" s="417">
        <v>100</v>
      </c>
      <c r="AG13" s="416">
        <v>92916.03</v>
      </c>
      <c r="AH13" s="417">
        <v>1703</v>
      </c>
      <c r="AI13" s="607">
        <v>-5370</v>
      </c>
      <c r="AJ13" s="415"/>
      <c r="AK13" s="415" t="s">
        <v>139</v>
      </c>
      <c r="AL13" s="415"/>
      <c r="AM13" s="415"/>
      <c r="AN13" s="422">
        <v>5.44</v>
      </c>
      <c r="AO13" s="415"/>
      <c r="AP13" s="415"/>
      <c r="AQ13" s="422"/>
      <c r="AR13" s="422"/>
      <c r="AS13" s="422"/>
      <c r="AT13" s="422">
        <f>+ab($T$13,$T$11,$T$15,$G$12,$G$14,-1*$F$13,1200)</f>
        <v>-3.4443691453804575</v>
      </c>
      <c r="AU13" s="417"/>
      <c r="AV13" s="417"/>
      <c r="AW13" s="415"/>
      <c r="AX13" s="417"/>
      <c r="AY13" s="422" t="str">
        <f>IF(AX13="PT",VLOOKUP(M13,'Foundation Calculation'!$L$2:$R$37,VLOOKUP(AW13,'Foundation Calculation'!$I$2:$J$8,2,FALSE),0),IF(AX13="K",VLOOKUP(M13,'Foundation Calculation'!$L$41:$R$75,VLOOKUP(AW13,'Foundation Calculation'!$I$2:$J$8,2,FALSE),0),""))</f>
        <v/>
      </c>
      <c r="AZ13" s="422" t="str">
        <f>IF(AX13="PT",VLOOKUP(K13,'Foundation Calculation'!$L$2:$R$41,VLOOKUP(AW13,'Foundation Calculation'!$I$2:$J$8,2,FALSE),0),IF(AX13="K",VLOOKUP(K13,'Foundation Calculation'!$L$41:$R$79,VLOOKUP(AW13,'Foundation Calculation'!$I$2:$J$8,2,FALSE),0),""))</f>
        <v/>
      </c>
      <c r="BA13" s="604"/>
      <c r="BB13" s="414"/>
      <c r="BC13" s="169"/>
      <c r="BD13" s="1330"/>
      <c r="BE13" s="1329"/>
      <c r="BF13" s="1330"/>
      <c r="BG13" s="1329">
        <v>43893</v>
      </c>
    </row>
    <row r="14" spans="1:59" ht="15.75" customHeight="1">
      <c r="A14" s="414"/>
      <c r="B14" s="415"/>
      <c r="C14" s="416"/>
      <c r="D14" s="415"/>
      <c r="E14" s="415"/>
      <c r="F14" s="415"/>
      <c r="G14" s="422">
        <v>44</v>
      </c>
      <c r="H14" s="415"/>
      <c r="I14" s="415"/>
      <c r="J14" s="416"/>
      <c r="K14" s="415"/>
      <c r="L14" s="415"/>
      <c r="M14" s="415"/>
      <c r="N14" s="415"/>
      <c r="O14" s="415"/>
      <c r="P14" s="415"/>
      <c r="Q14" s="417"/>
      <c r="R14" s="417"/>
      <c r="S14" s="422">
        <f t="shared" ref="S14" si="0">AG15-AG13</f>
        <v>40.110000000000582</v>
      </c>
      <c r="T14" s="417"/>
      <c r="U14" s="417"/>
      <c r="V14" s="417"/>
      <c r="W14" s="420"/>
      <c r="X14" s="417"/>
      <c r="Y14" s="417"/>
      <c r="Z14" s="417"/>
      <c r="AA14" s="417"/>
      <c r="AB14" s="417"/>
      <c r="AC14" s="417"/>
      <c r="AD14" s="417"/>
      <c r="AE14" s="417"/>
      <c r="AF14" s="417"/>
      <c r="AG14" s="416"/>
      <c r="AH14" s="417"/>
      <c r="AI14" s="607"/>
      <c r="AJ14" s="415"/>
      <c r="AK14" s="415"/>
      <c r="AL14" s="415"/>
      <c r="AM14" s="415"/>
      <c r="AN14" s="422"/>
      <c r="AO14" s="415"/>
      <c r="AP14" s="415"/>
      <c r="AQ14" s="422">
        <f>+FL_2(-$T$15,$T$13,$G$14,1200,9.28,-1*$F$15)</f>
        <v>1.2853333333333357E-2</v>
      </c>
      <c r="AR14" s="422"/>
      <c r="AS14" s="422"/>
      <c r="AT14" s="422"/>
      <c r="AU14" s="417"/>
      <c r="AV14" s="417"/>
      <c r="AW14" s="415"/>
      <c r="AX14" s="422"/>
      <c r="AY14" s="422" t="str">
        <f>IF(AX14="PT",VLOOKUP(M14,'Foundation Calculation'!$L$2:$R$37,VLOOKUP(AW14,'Foundation Calculation'!$I$2:$J$8,2,FALSE),0),IF(AX14="K",VLOOKUP(M14,'Foundation Calculation'!$L$41:$R$75,VLOOKUP(AW14,'Foundation Calculation'!$I$2:$J$8,2,FALSE),0),""))</f>
        <v/>
      </c>
      <c r="AZ14" s="422" t="str">
        <f>IF(AX14="PT",VLOOKUP(K14,'Foundation Calculation'!$L$2:$R$41,VLOOKUP(AW14,'Foundation Calculation'!$I$2:$J$8,2,FALSE),0),IF(AX14="K",VLOOKUP(K14,'Foundation Calculation'!$L$41:$R$79,VLOOKUP(AW14,'Foundation Calculation'!$I$2:$J$8,2,FALSE),0),""))</f>
        <v/>
      </c>
      <c r="BA14" s="1311"/>
      <c r="BB14" s="414"/>
      <c r="BC14" s="169"/>
      <c r="BD14" s="1330"/>
      <c r="BE14" s="1330"/>
      <c r="BF14" s="1330"/>
      <c r="BG14" s="1330"/>
    </row>
    <row r="15" spans="1:59" ht="15.75" customHeight="1">
      <c r="A15" s="414"/>
      <c r="B15" s="415" t="s">
        <v>2711</v>
      </c>
      <c r="C15" s="416">
        <f>+$C$13+$G$14</f>
        <v>92960.05</v>
      </c>
      <c r="D15" s="415"/>
      <c r="E15" s="415"/>
      <c r="F15" s="415" t="s">
        <v>2312</v>
      </c>
      <c r="G15" s="422"/>
      <c r="H15" s="415"/>
      <c r="I15" s="415"/>
      <c r="J15" s="416"/>
      <c r="K15" s="415"/>
      <c r="L15" s="415"/>
      <c r="M15" s="415"/>
      <c r="N15" s="415" t="s">
        <v>2794</v>
      </c>
      <c r="O15" s="415"/>
      <c r="P15" s="415"/>
      <c r="Q15" s="417">
        <v>10</v>
      </c>
      <c r="R15" s="417">
        <v>0</v>
      </c>
      <c r="S15" s="422"/>
      <c r="T15" s="417">
        <v>-20</v>
      </c>
      <c r="U15" s="417"/>
      <c r="V15" s="417"/>
      <c r="W15" s="420">
        <v>1.4</v>
      </c>
      <c r="X15" s="417"/>
      <c r="Y15" s="417"/>
      <c r="Z15" s="417"/>
      <c r="AA15" s="417"/>
      <c r="AB15" s="417"/>
      <c r="AC15" s="420" t="s">
        <v>4983</v>
      </c>
      <c r="AD15" s="417"/>
      <c r="AE15" s="417"/>
      <c r="AF15" s="417">
        <v>200</v>
      </c>
      <c r="AG15" s="416">
        <v>92956.14</v>
      </c>
      <c r="AH15" s="417">
        <v>1063</v>
      </c>
      <c r="AI15" s="607">
        <v>-5000</v>
      </c>
      <c r="AJ15" s="415"/>
      <c r="AK15" s="415" t="s">
        <v>139</v>
      </c>
      <c r="AL15" s="415"/>
      <c r="AM15" s="415"/>
      <c r="AN15" s="422">
        <v>5.37</v>
      </c>
      <c r="AO15" s="415"/>
      <c r="AP15" s="415"/>
      <c r="AQ15" s="422"/>
      <c r="AR15" s="422"/>
      <c r="AS15" s="422"/>
      <c r="AT15" s="422">
        <f>+ab($T$15,-$T$13,$T$17,$G$14,$G$16, 1*$F$15,1200)</f>
        <v>89.999142880361802</v>
      </c>
      <c r="AU15" s="417"/>
      <c r="AV15" s="417"/>
      <c r="AW15" s="415"/>
      <c r="AX15" s="417"/>
      <c r="AY15" s="422" t="str">
        <f>IF(AX15="PT",VLOOKUP(M15,'Foundation Calculation'!$L$2:$R$37,VLOOKUP(AW15,'Foundation Calculation'!$I$2:$J$8,2,FALSE),0),IF(AX15="K",VLOOKUP(M15,'Foundation Calculation'!$L$41:$R$75,VLOOKUP(AW15,'Foundation Calculation'!$I$2:$J$8,2,FALSE),0),""))</f>
        <v/>
      </c>
      <c r="AZ15" s="422" t="str">
        <f>IF(AX15="PT",VLOOKUP(K15,'Foundation Calculation'!$L$2:$R$41,VLOOKUP(AW15,'Foundation Calculation'!$I$2:$J$8,2,FALSE),0),IF(AX15="K",VLOOKUP(K15,'Foundation Calculation'!$L$41:$R$79,VLOOKUP(AW15,'Foundation Calculation'!$I$2:$J$8,2,FALSE),0),""))</f>
        <v/>
      </c>
      <c r="BA15" s="604"/>
      <c r="BB15" s="414"/>
      <c r="BC15" s="169"/>
      <c r="BD15" s="1330"/>
      <c r="BE15" s="1329"/>
      <c r="BF15" s="1330"/>
      <c r="BG15" s="1329"/>
    </row>
    <row r="16" spans="1:59" ht="15.75" customHeight="1">
      <c r="A16" s="414"/>
      <c r="B16" s="415"/>
      <c r="C16" s="416"/>
      <c r="D16" s="417"/>
      <c r="E16" s="417"/>
      <c r="F16" s="418"/>
      <c r="G16" s="422">
        <v>31.6</v>
      </c>
      <c r="H16" s="417"/>
      <c r="I16" s="417"/>
      <c r="J16" s="416"/>
      <c r="K16" s="417"/>
      <c r="L16" s="415"/>
      <c r="M16" s="415"/>
      <c r="N16" s="415"/>
      <c r="O16" s="415"/>
      <c r="P16" s="415"/>
      <c r="Q16" s="417"/>
      <c r="R16" s="417"/>
      <c r="S16" s="422">
        <f t="shared" ref="S16" si="1">AG17-AG15</f>
        <v>32.860000000000582</v>
      </c>
      <c r="T16" s="417"/>
      <c r="U16" s="417"/>
      <c r="V16" s="417"/>
      <c r="W16" s="420"/>
      <c r="X16" s="417"/>
      <c r="Y16" s="417"/>
      <c r="Z16" s="417"/>
      <c r="AA16" s="417"/>
      <c r="AB16" s="417"/>
      <c r="AC16" s="420"/>
      <c r="AD16" s="417"/>
      <c r="AE16" s="417"/>
      <c r="AF16" s="417"/>
      <c r="AG16" s="416"/>
      <c r="AH16" s="417"/>
      <c r="AI16" s="607"/>
      <c r="AJ16" s="415"/>
      <c r="AK16" s="415"/>
      <c r="AL16" s="417"/>
      <c r="AM16" s="415"/>
      <c r="AN16" s="422"/>
      <c r="AO16" s="415"/>
      <c r="AP16" s="415"/>
      <c r="AQ16" s="422">
        <f>+FL_2($T$17,$T$15,$G$16,1200,9.28, 1*$F$17)</f>
        <v>-0.20000000000008758</v>
      </c>
      <c r="AR16" s="422"/>
      <c r="AS16" s="422"/>
      <c r="AT16" s="422"/>
      <c r="AU16" s="417"/>
      <c r="AV16" s="417"/>
      <c r="AW16" s="422"/>
      <c r="AX16" s="422"/>
      <c r="AY16" s="422" t="str">
        <f>IF(AX16="PT",VLOOKUP(M16,'Foundation Calculation'!$L$2:$R$37,VLOOKUP(AW16,'Foundation Calculation'!$I$2:$J$8,2,FALSE),0),IF(AX16="K",VLOOKUP(M16,'Foundation Calculation'!$L$41:$R$75,VLOOKUP(AW16,'Foundation Calculation'!$I$2:$J$8,2,FALSE),0),""))</f>
        <v/>
      </c>
      <c r="AZ16" s="422" t="str">
        <f>IF(AX16="PT",VLOOKUP(K16,'Foundation Calculation'!$L$2:$R$41,VLOOKUP(AW16,'Foundation Calculation'!$I$2:$J$8,2,FALSE),0),IF(AX16="K",VLOOKUP(K16,'Foundation Calculation'!$L$41:$R$79,VLOOKUP(AW16,'Foundation Calculation'!$I$2:$J$8,2,FALSE),0),""))</f>
        <v/>
      </c>
      <c r="BA16" s="1311"/>
      <c r="BB16" s="414"/>
      <c r="BC16" s="169"/>
      <c r="BD16" s="1330"/>
      <c r="BE16" s="1330"/>
      <c r="BF16" s="1330"/>
      <c r="BG16" s="1330"/>
    </row>
    <row r="17" spans="1:59" ht="15.75" customHeight="1">
      <c r="A17" s="414"/>
      <c r="B17" s="415" t="s">
        <v>2712</v>
      </c>
      <c r="C17" s="416">
        <f>+$C$15+$G$16</f>
        <v>92991.650000000009</v>
      </c>
      <c r="D17" s="417"/>
      <c r="E17" s="417"/>
      <c r="F17" s="418">
        <v>-800</v>
      </c>
      <c r="G17" s="422"/>
      <c r="H17" s="417"/>
      <c r="I17" s="417"/>
      <c r="J17" s="416"/>
      <c r="K17" s="417"/>
      <c r="L17" s="417"/>
      <c r="M17" s="417"/>
      <c r="N17" s="415" t="s">
        <v>2794</v>
      </c>
      <c r="O17" s="415"/>
      <c r="P17" s="415"/>
      <c r="Q17" s="417">
        <v>0</v>
      </c>
      <c r="R17" s="417">
        <v>-800</v>
      </c>
      <c r="S17" s="422"/>
      <c r="T17" s="417">
        <v>-20</v>
      </c>
      <c r="U17" s="417"/>
      <c r="V17" s="417"/>
      <c r="W17" s="420">
        <v>1.1000000000000001</v>
      </c>
      <c r="X17" s="417"/>
      <c r="Y17" s="417"/>
      <c r="Z17" s="417"/>
      <c r="AA17" s="417"/>
      <c r="AB17" s="417"/>
      <c r="AC17" s="420" t="s">
        <v>4984</v>
      </c>
      <c r="AD17" s="417"/>
      <c r="AE17" s="417"/>
      <c r="AF17" s="417">
        <v>200</v>
      </c>
      <c r="AG17" s="416">
        <v>92989</v>
      </c>
      <c r="AH17" s="417">
        <v>1043</v>
      </c>
      <c r="AI17" s="607">
        <v>-5140</v>
      </c>
      <c r="AJ17" s="417"/>
      <c r="AK17" s="420" t="s">
        <v>139</v>
      </c>
      <c r="AL17" s="417"/>
      <c r="AM17" s="417"/>
      <c r="AN17" s="422">
        <v>5.26</v>
      </c>
      <c r="AO17" s="420"/>
      <c r="AP17" s="415"/>
      <c r="AQ17" s="422"/>
      <c r="AR17" s="422"/>
      <c r="AS17" s="422"/>
      <c r="AT17" s="422">
        <f>+ab($T$17,$T$15,$T$19,$G$16,$G$18, 1*$F$17,1200)</f>
        <v>-4.4471907664641552</v>
      </c>
      <c r="AU17" s="417"/>
      <c r="AV17" s="417"/>
      <c r="AW17" s="417"/>
      <c r="AX17" s="417"/>
      <c r="AY17" s="422" t="str">
        <f>IF(AX17="PT",VLOOKUP(M17,'Foundation Calculation'!$L$2:$R$37,VLOOKUP(AW17,'Foundation Calculation'!$I$2:$J$8,2,FALSE),0),IF(AX17="K",VLOOKUP(M17,'Foundation Calculation'!$L$41:$R$75,VLOOKUP(AW17,'Foundation Calculation'!$I$2:$J$8,2,FALSE),0),""))</f>
        <v/>
      </c>
      <c r="AZ17" s="422" t="str">
        <f>IF(AX17="PT",VLOOKUP(K17,'Foundation Calculation'!$L$2:$R$41,VLOOKUP(AW17,'Foundation Calculation'!$I$2:$J$8,2,FALSE),0),IF(AX17="K",VLOOKUP(K17,'Foundation Calculation'!$L$41:$R$79,VLOOKUP(AW17,'Foundation Calculation'!$I$2:$J$8,2,FALSE),0),""))</f>
        <v/>
      </c>
      <c r="BA17" s="604"/>
      <c r="BB17" s="414"/>
      <c r="BC17" s="169"/>
      <c r="BD17" s="1330"/>
      <c r="BE17" s="1329"/>
      <c r="BF17" s="1330"/>
      <c r="BG17" s="1329"/>
    </row>
    <row r="18" spans="1:59" ht="15.75" customHeight="1">
      <c r="A18" s="414"/>
      <c r="B18" s="415"/>
      <c r="C18" s="416"/>
      <c r="D18" s="417"/>
      <c r="E18" s="417"/>
      <c r="F18" s="418"/>
      <c r="G18" s="422">
        <v>37.299999999999997</v>
      </c>
      <c r="H18" s="417"/>
      <c r="I18" s="420"/>
      <c r="J18" s="416"/>
      <c r="K18" s="417"/>
      <c r="L18" s="415"/>
      <c r="M18" s="415"/>
      <c r="N18" s="415"/>
      <c r="O18" s="420"/>
      <c r="P18" s="417"/>
      <c r="Q18" s="417"/>
      <c r="R18" s="417"/>
      <c r="S18" s="422">
        <f t="shared" ref="S18" si="2">AG19-AG17</f>
        <v>37</v>
      </c>
      <c r="T18" s="417"/>
      <c r="U18" s="417"/>
      <c r="V18" s="417"/>
      <c r="W18" s="420"/>
      <c r="X18" s="417"/>
      <c r="Y18" s="417"/>
      <c r="Z18" s="417"/>
      <c r="AA18" s="417"/>
      <c r="AB18" s="417"/>
      <c r="AC18" s="420"/>
      <c r="AD18" s="417"/>
      <c r="AE18" s="417"/>
      <c r="AF18" s="417"/>
      <c r="AG18" s="416"/>
      <c r="AH18" s="417"/>
      <c r="AI18" s="607"/>
      <c r="AJ18" s="417"/>
      <c r="AK18" s="420"/>
      <c r="AL18" s="417"/>
      <c r="AM18" s="417"/>
      <c r="AN18" s="422"/>
      <c r="AO18" s="420"/>
      <c r="AP18" s="415"/>
      <c r="AQ18" s="422">
        <f>+FL_2($T$19,$T$17,$G$18,1200,9.28, 1*$F$19)</f>
        <v>-0.19999999999999998</v>
      </c>
      <c r="AR18" s="422"/>
      <c r="AS18" s="422"/>
      <c r="AT18" s="422"/>
      <c r="AU18" s="417"/>
      <c r="AV18" s="417"/>
      <c r="AW18" s="422"/>
      <c r="AX18" s="422"/>
      <c r="AY18" s="422" t="str">
        <f>IF(AX18="PT",VLOOKUP(M18,'Foundation Calculation'!$L$2:$R$37,VLOOKUP(AW18,'Foundation Calculation'!$I$2:$J$8,2,FALSE),0),IF(AX18="K",VLOOKUP(M18,'Foundation Calculation'!$L$41:$R$75,VLOOKUP(AW18,'Foundation Calculation'!$I$2:$J$8,2,FALSE),0),""))</f>
        <v/>
      </c>
      <c r="AZ18" s="422" t="str">
        <f>IF(AX18="PT",VLOOKUP(K18,'Foundation Calculation'!$L$2:$R$41,VLOOKUP(AW18,'Foundation Calculation'!$I$2:$J$8,2,FALSE),0),IF(AX18="K",VLOOKUP(K18,'Foundation Calculation'!$L$41:$R$79,VLOOKUP(AW18,'Foundation Calculation'!$I$2:$J$8,2,FALSE),0),""))</f>
        <v/>
      </c>
      <c r="BA18" s="1311"/>
      <c r="BB18" s="414"/>
      <c r="BC18" s="169"/>
      <c r="BD18" s="1330"/>
      <c r="BE18" s="1330"/>
      <c r="BF18" s="1330"/>
      <c r="BG18" s="1330"/>
    </row>
    <row r="19" spans="1:59" ht="15.75" customHeight="1">
      <c r="A19" s="414"/>
      <c r="B19" s="415" t="s">
        <v>2713</v>
      </c>
      <c r="C19" s="416">
        <f>+$C$17+$G$18-2</f>
        <v>93026.950000000012</v>
      </c>
      <c r="D19" s="417"/>
      <c r="E19" s="417"/>
      <c r="F19" s="418">
        <v>-800</v>
      </c>
      <c r="G19" s="422"/>
      <c r="H19" s="420"/>
      <c r="I19" s="420"/>
      <c r="J19" s="416"/>
      <c r="K19" s="417"/>
      <c r="L19" s="417"/>
      <c r="M19" s="417"/>
      <c r="N19" s="415" t="s">
        <v>2796</v>
      </c>
      <c r="O19" s="415"/>
      <c r="P19" s="415"/>
      <c r="Q19" s="417">
        <v>10</v>
      </c>
      <c r="R19" s="417">
        <v>-800</v>
      </c>
      <c r="S19" s="422"/>
      <c r="T19" s="417">
        <v>-20</v>
      </c>
      <c r="U19" s="417"/>
      <c r="V19" s="417"/>
      <c r="W19" s="420">
        <v>0.75</v>
      </c>
      <c r="X19" s="417"/>
      <c r="Y19" s="417"/>
      <c r="Z19" s="417"/>
      <c r="AA19" s="417"/>
      <c r="AB19" s="417"/>
      <c r="AC19" s="420" t="s">
        <v>4985</v>
      </c>
      <c r="AD19" s="417"/>
      <c r="AE19" s="417"/>
      <c r="AF19" s="417">
        <v>500</v>
      </c>
      <c r="AG19" s="416">
        <v>93026</v>
      </c>
      <c r="AH19" s="417">
        <v>1043</v>
      </c>
      <c r="AI19" s="417">
        <v>-5350</v>
      </c>
      <c r="AJ19" s="417"/>
      <c r="AK19" s="420" t="s">
        <v>139</v>
      </c>
      <c r="AL19" s="417"/>
      <c r="AM19" s="417"/>
      <c r="AN19" s="422">
        <v>5.19</v>
      </c>
      <c r="AO19" s="420"/>
      <c r="AP19" s="415"/>
      <c r="AQ19" s="422"/>
      <c r="AR19" s="422"/>
      <c r="AS19" s="422"/>
      <c r="AT19" s="422">
        <f>+ab($T$19,$T$17,$T$21,$G$18,$G$20, 1*$F$19,1200)</f>
        <v>-3.3519896231797741</v>
      </c>
      <c r="AU19" s="417"/>
      <c r="AV19" s="417"/>
      <c r="AW19" s="417"/>
      <c r="AX19" s="417"/>
      <c r="AY19" s="422" t="str">
        <f>IF(AX19="PT",VLOOKUP(M19,'Foundation Calculation'!$L$2:$R$37,VLOOKUP(AW19,'Foundation Calculation'!$I$2:$J$8,2,FALSE),0),IF(AX19="K",VLOOKUP(M19,'Foundation Calculation'!$L$41:$R$75,VLOOKUP(AW19,'Foundation Calculation'!$I$2:$J$8,2,FALSE),0),""))</f>
        <v/>
      </c>
      <c r="AZ19" s="422" t="str">
        <f>IF(AX19="PT",VLOOKUP(K19,'Foundation Calculation'!$L$2:$R$41,VLOOKUP(AW19,'Foundation Calculation'!$I$2:$J$8,2,FALSE),0),IF(AX19="K",VLOOKUP(K19,'Foundation Calculation'!$L$41:$R$79,VLOOKUP(AW19,'Foundation Calculation'!$I$2:$J$8,2,FALSE),0),""))</f>
        <v/>
      </c>
      <c r="BA19" s="604"/>
      <c r="BB19" s="414"/>
      <c r="BC19" s="169"/>
      <c r="BD19" s="1330"/>
      <c r="BE19" s="1329"/>
      <c r="BF19" s="1330"/>
      <c r="BG19" s="1329"/>
    </row>
    <row r="20" spans="1:59" ht="15.75" customHeight="1">
      <c r="A20" s="418"/>
      <c r="B20" s="415"/>
      <c r="C20" s="416"/>
      <c r="D20" s="417"/>
      <c r="E20" s="417"/>
      <c r="F20" s="418"/>
      <c r="G20" s="422">
        <v>36.799999999999997</v>
      </c>
      <c r="H20" s="420"/>
      <c r="I20" s="420"/>
      <c r="J20" s="416"/>
      <c r="K20" s="417"/>
      <c r="L20" s="415"/>
      <c r="M20" s="415"/>
      <c r="N20" s="420"/>
      <c r="O20" s="420"/>
      <c r="P20" s="417"/>
      <c r="Q20" s="417"/>
      <c r="R20" s="417"/>
      <c r="S20" s="422">
        <f t="shared" ref="S20" si="3">AG21-AG19</f>
        <v>34</v>
      </c>
      <c r="T20" s="417"/>
      <c r="U20" s="417"/>
      <c r="V20" s="417"/>
      <c r="W20" s="420"/>
      <c r="X20" s="417"/>
      <c r="Y20" s="417"/>
      <c r="Z20" s="417"/>
      <c r="AA20" s="417"/>
      <c r="AB20" s="417"/>
      <c r="AC20" s="417"/>
      <c r="AD20" s="417"/>
      <c r="AE20" s="417"/>
      <c r="AF20" s="417"/>
      <c r="AG20" s="416"/>
      <c r="AH20" s="417"/>
      <c r="AI20" s="417"/>
      <c r="AJ20" s="417"/>
      <c r="AK20" s="420"/>
      <c r="AL20" s="417"/>
      <c r="AM20" s="417"/>
      <c r="AN20" s="422"/>
      <c r="AO20" s="420"/>
      <c r="AP20" s="415"/>
      <c r="AQ20" s="422">
        <f>+FL_2($T$21,$T$19,$G$20,1200,9.28, 1*$F$21)</f>
        <v>-0.19999999999999579</v>
      </c>
      <c r="AR20" s="422"/>
      <c r="AS20" s="422"/>
      <c r="AT20" s="422"/>
      <c r="AU20" s="417"/>
      <c r="AV20" s="417"/>
      <c r="AW20" s="422"/>
      <c r="AX20" s="422"/>
      <c r="AY20" s="422" t="str">
        <f>IF(AX20="PT",VLOOKUP(M20,'Foundation Calculation'!$L$2:$R$37,VLOOKUP(AW20,'Foundation Calculation'!$I$2:$J$8,2,FALSE),0),IF(AX20="K",VLOOKUP(M20,'Foundation Calculation'!$L$41:$R$75,VLOOKUP(AW20,'Foundation Calculation'!$I$2:$J$8,2,FALSE),0),""))</f>
        <v/>
      </c>
      <c r="AZ20" s="422" t="str">
        <f>IF(AX20="PT",VLOOKUP(K20,'Foundation Calculation'!$L$2:$R$41,VLOOKUP(AW20,'Foundation Calculation'!$I$2:$J$8,2,FALSE),0),IF(AX20="K",VLOOKUP(K20,'Foundation Calculation'!$L$41:$R$79,VLOOKUP(AW20,'Foundation Calculation'!$I$2:$J$8,2,FALSE),0),""))</f>
        <v/>
      </c>
      <c r="BA20" s="604"/>
      <c r="BB20" s="418"/>
      <c r="BC20" s="169"/>
      <c r="BD20" s="1330"/>
      <c r="BE20" s="1330"/>
      <c r="BF20" s="1330"/>
      <c r="BG20" s="1330"/>
    </row>
    <row r="21" spans="1:59" ht="15.75" customHeight="1">
      <c r="A21" s="495" t="s">
        <v>1851</v>
      </c>
      <c r="B21" s="494" t="s">
        <v>2714</v>
      </c>
      <c r="C21" s="489">
        <f>+$C$19+$G$20</f>
        <v>93063.750000000015</v>
      </c>
      <c r="D21" s="490"/>
      <c r="E21" s="490"/>
      <c r="F21" s="491">
        <v>-800</v>
      </c>
      <c r="G21" s="493"/>
      <c r="H21" s="490"/>
      <c r="I21" s="495"/>
      <c r="J21" s="489"/>
      <c r="K21" s="490"/>
      <c r="L21" s="490" t="s">
        <v>2398</v>
      </c>
      <c r="M21" s="490"/>
      <c r="N21" s="495" t="s">
        <v>634</v>
      </c>
      <c r="O21" s="495"/>
      <c r="P21" s="490"/>
      <c r="Q21" s="490">
        <v>20</v>
      </c>
      <c r="R21" s="490">
        <v>800</v>
      </c>
      <c r="S21" s="493"/>
      <c r="T21" s="490">
        <v>20</v>
      </c>
      <c r="U21" s="490"/>
      <c r="V21" s="490"/>
      <c r="W21" s="495">
        <v>0.75</v>
      </c>
      <c r="X21" s="490"/>
      <c r="Y21" s="490"/>
      <c r="Z21" s="490"/>
      <c r="AA21" s="490"/>
      <c r="AB21" s="490"/>
      <c r="AC21" s="495" t="s">
        <v>3050</v>
      </c>
      <c r="AD21" s="490"/>
      <c r="AE21" s="490"/>
      <c r="AF21" s="490">
        <v>200</v>
      </c>
      <c r="AG21" s="489">
        <v>93060</v>
      </c>
      <c r="AH21" s="490">
        <v>1693</v>
      </c>
      <c r="AI21" s="640">
        <v>-5040</v>
      </c>
      <c r="AJ21" s="490"/>
      <c r="AK21" s="495"/>
      <c r="AL21" s="490"/>
      <c r="AM21" s="490"/>
      <c r="AN21" s="493">
        <v>5.15</v>
      </c>
      <c r="AO21" s="495"/>
      <c r="AP21" s="495"/>
      <c r="AQ21" s="493"/>
      <c r="AR21" s="493"/>
      <c r="AS21" s="493"/>
      <c r="AT21" s="493">
        <f>+ab($T$21,$T$19,$T$23,$G$20,$G$22,-1*$F$21,1200)</f>
        <v>3.0923083224611112</v>
      </c>
      <c r="AU21" s="490"/>
      <c r="AV21" s="490"/>
      <c r="AW21" s="494" t="s">
        <v>4682</v>
      </c>
      <c r="AX21" s="493"/>
      <c r="AY21" s="493"/>
      <c r="AZ21" s="493"/>
      <c r="BA21" s="602" t="s">
        <v>2809</v>
      </c>
      <c r="BB21" s="491"/>
      <c r="BC21" s="169"/>
      <c r="BD21" s="1330"/>
      <c r="BE21" s="1329">
        <v>43857</v>
      </c>
      <c r="BF21" s="1330"/>
      <c r="BG21" s="1329">
        <v>43870</v>
      </c>
    </row>
    <row r="22" spans="1:59" ht="15.75" customHeight="1">
      <c r="A22" s="488"/>
      <c r="B22" s="494"/>
      <c r="C22" s="489"/>
      <c r="D22" s="490"/>
      <c r="E22" s="490"/>
      <c r="F22" s="491"/>
      <c r="G22" s="493">
        <v>45</v>
      </c>
      <c r="H22" s="495"/>
      <c r="I22" s="495"/>
      <c r="J22" s="489"/>
      <c r="K22" s="490"/>
      <c r="L22" s="494"/>
      <c r="M22" s="494"/>
      <c r="N22" s="495"/>
      <c r="O22" s="495"/>
      <c r="P22" s="490"/>
      <c r="Q22" s="490"/>
      <c r="R22" s="490"/>
      <c r="S22" s="493">
        <f t="shared" ref="S22" si="4">AG23-AG21</f>
        <v>46.470000000001164</v>
      </c>
      <c r="T22" s="490"/>
      <c r="U22" s="490"/>
      <c r="V22" s="490"/>
      <c r="W22" s="495"/>
      <c r="X22" s="490"/>
      <c r="Y22" s="490"/>
      <c r="Z22" s="490"/>
      <c r="AA22" s="490"/>
      <c r="AB22" s="490"/>
      <c r="AC22" s="490"/>
      <c r="AD22" s="490"/>
      <c r="AE22" s="490"/>
      <c r="AF22" s="490"/>
      <c r="AG22" s="489"/>
      <c r="AH22" s="490"/>
      <c r="AI22" s="640"/>
      <c r="AJ22" s="490"/>
      <c r="AK22" s="495"/>
      <c r="AL22" s="490"/>
      <c r="AM22" s="490"/>
      <c r="AN22" s="457"/>
      <c r="AO22" s="495"/>
      <c r="AP22" s="495"/>
      <c r="AQ22" s="493">
        <f>+FL_2($T$23,$T$21,$G$22,1200,9.28,-1*$F$23)</f>
        <v>4.2500000000000246E-3</v>
      </c>
      <c r="AR22" s="493"/>
      <c r="AS22" s="493"/>
      <c r="AT22" s="493"/>
      <c r="AU22" s="490"/>
      <c r="AV22" s="490"/>
      <c r="AW22" s="490"/>
      <c r="AX22" s="490"/>
      <c r="AY22" s="493"/>
      <c r="AZ22" s="493"/>
      <c r="BA22" s="1312"/>
      <c r="BB22" s="488"/>
      <c r="BC22" s="169"/>
      <c r="BD22" s="1330"/>
      <c r="BE22" s="1330"/>
      <c r="BF22" s="1330"/>
      <c r="BG22" s="1330"/>
    </row>
    <row r="23" spans="1:59" ht="15.75" customHeight="1">
      <c r="A23" s="414" t="s">
        <v>2605</v>
      </c>
      <c r="B23" s="415" t="s">
        <v>2715</v>
      </c>
      <c r="C23" s="416">
        <f>+$C$21+$G$22-0.4</f>
        <v>93108.35000000002</v>
      </c>
      <c r="D23" s="417"/>
      <c r="E23" s="417"/>
      <c r="F23" s="418">
        <v>0</v>
      </c>
      <c r="G23" s="422"/>
      <c r="H23" s="417"/>
      <c r="I23" s="420"/>
      <c r="J23" s="416"/>
      <c r="K23" s="417"/>
      <c r="L23" s="417" t="s">
        <v>2398</v>
      </c>
      <c r="M23" s="417"/>
      <c r="N23" s="420" t="s">
        <v>634</v>
      </c>
      <c r="O23" s="417"/>
      <c r="P23" s="417"/>
      <c r="Q23" s="417">
        <v>0</v>
      </c>
      <c r="R23" s="417">
        <v>0</v>
      </c>
      <c r="S23" s="422"/>
      <c r="T23" s="417">
        <v>20</v>
      </c>
      <c r="U23" s="417"/>
      <c r="V23" s="417"/>
      <c r="W23" s="420">
        <v>0.75</v>
      </c>
      <c r="X23" s="417"/>
      <c r="Y23" s="417"/>
      <c r="Z23" s="417"/>
      <c r="AA23" s="417"/>
      <c r="AB23" s="417"/>
      <c r="AC23" s="420" t="s">
        <v>1417</v>
      </c>
      <c r="AD23" s="417"/>
      <c r="AE23" s="417"/>
      <c r="AF23" s="417">
        <v>500</v>
      </c>
      <c r="AG23" s="416">
        <v>93106.47</v>
      </c>
      <c r="AH23" s="417">
        <v>893</v>
      </c>
      <c r="AI23" s="607">
        <v>-4890</v>
      </c>
      <c r="AJ23" s="417"/>
      <c r="AK23" s="420"/>
      <c r="AL23" s="417"/>
      <c r="AM23" s="417"/>
      <c r="AN23" s="444">
        <v>5.15</v>
      </c>
      <c r="AO23" s="420"/>
      <c r="AP23" s="420"/>
      <c r="AQ23" s="422"/>
      <c r="AR23" s="422"/>
      <c r="AS23" s="422"/>
      <c r="AT23" s="422">
        <f>+ab($T$23,$T$21,$T$25,$G$22,$G$24,-1*$F$23,1200)</f>
        <v>89.999099256406765</v>
      </c>
      <c r="AU23" s="417"/>
      <c r="AV23" s="417"/>
      <c r="AW23" s="415" t="s">
        <v>4682</v>
      </c>
      <c r="AX23" s="422"/>
      <c r="AY23" s="422"/>
      <c r="AZ23" s="422"/>
      <c r="BA23" s="604" t="s">
        <v>2809</v>
      </c>
      <c r="BB23" s="418"/>
      <c r="BC23" s="169"/>
      <c r="BD23" s="1330"/>
      <c r="BE23" s="1329">
        <v>43805</v>
      </c>
      <c r="BF23" s="1330"/>
      <c r="BG23" s="1329">
        <v>43838</v>
      </c>
    </row>
    <row r="24" spans="1:59" ht="15.75" customHeight="1">
      <c r="A24" s="414" t="s">
        <v>1854</v>
      </c>
      <c r="B24" s="415"/>
      <c r="C24" s="416"/>
      <c r="D24" s="418"/>
      <c r="E24" s="418"/>
      <c r="F24" s="420"/>
      <c r="G24" s="422">
        <v>35.700000000000003</v>
      </c>
      <c r="H24" s="420"/>
      <c r="I24" s="420"/>
      <c r="J24" s="416"/>
      <c r="K24" s="417"/>
      <c r="L24" s="415"/>
      <c r="M24" s="415"/>
      <c r="N24" s="420"/>
      <c r="O24" s="420"/>
      <c r="P24" s="417"/>
      <c r="Q24" s="417"/>
      <c r="R24" s="417"/>
      <c r="S24" s="422">
        <f t="shared" ref="S24" si="5">AG25-AG23</f>
        <v>36.419999999998254</v>
      </c>
      <c r="T24" s="417"/>
      <c r="U24" s="417"/>
      <c r="V24" s="417"/>
      <c r="W24" s="420"/>
      <c r="X24" s="417"/>
      <c r="Y24" s="417"/>
      <c r="Z24" s="417"/>
      <c r="AA24" s="417"/>
      <c r="AB24" s="417"/>
      <c r="AC24" s="417"/>
      <c r="AD24" s="417"/>
      <c r="AE24" s="417"/>
      <c r="AF24" s="417"/>
      <c r="AG24" s="416"/>
      <c r="AH24" s="417"/>
      <c r="AI24" s="607"/>
      <c r="AJ24" s="417"/>
      <c r="AK24" s="420"/>
      <c r="AL24" s="417"/>
      <c r="AM24" s="417"/>
      <c r="AN24" s="444"/>
      <c r="AO24" s="420"/>
      <c r="AP24" s="420"/>
      <c r="AQ24" s="422">
        <f>+FL_1($T$25,$T$23,$G$24,1200,9.28,-1*$F$25)</f>
        <v>0.32320070000000001</v>
      </c>
      <c r="AR24" s="422"/>
      <c r="AS24" s="422"/>
      <c r="AT24" s="422"/>
      <c r="AU24" s="417"/>
      <c r="AV24" s="417"/>
      <c r="AW24" s="422"/>
      <c r="AX24" s="422"/>
      <c r="AY24" s="422" t="str">
        <f>IF(AX24="PT",VLOOKUP(M24,'Foundation Calculation'!$L$2:$R$37,VLOOKUP(AW24,'Foundation Calculation'!$I$2:$J$8,2,FALSE),0),IF(AX24="K",VLOOKUP(M24,'Foundation Calculation'!$L$41:$R$75,VLOOKUP(AW24,'Foundation Calculation'!$I$2:$J$8,2,FALSE),0),""))</f>
        <v/>
      </c>
      <c r="AZ24" s="422" t="str">
        <f>IF(AX24="PT",VLOOKUP(K24,'Foundation Calculation'!$L$2:$R$41,VLOOKUP(AW24,'Foundation Calculation'!$I$2:$J$8,2,FALSE),0),IF(AX24="K",VLOOKUP(K24,'Foundation Calculation'!$L$41:$R$79,VLOOKUP(AW24,'Foundation Calculation'!$I$2:$J$8,2,FALSE),0),""))</f>
        <v/>
      </c>
      <c r="BA24" s="604"/>
      <c r="BB24" s="414"/>
      <c r="BC24" s="169"/>
      <c r="BD24" s="1330"/>
      <c r="BE24" s="1330"/>
      <c r="BF24" s="1330"/>
      <c r="BG24" s="1330"/>
    </row>
    <row r="25" spans="1:59" ht="15.75" customHeight="1">
      <c r="A25" s="420"/>
      <c r="B25" s="415" t="s">
        <v>2716</v>
      </c>
      <c r="C25" s="416">
        <f>+$C$23+$G$24+0.3</f>
        <v>93144.35000000002</v>
      </c>
      <c r="D25" s="418"/>
      <c r="E25" s="418"/>
      <c r="F25" s="420">
        <v>0</v>
      </c>
      <c r="G25" s="422"/>
      <c r="H25" s="417"/>
      <c r="I25" s="444"/>
      <c r="J25" s="416"/>
      <c r="K25" s="417"/>
      <c r="L25" s="417"/>
      <c r="M25" s="417"/>
      <c r="N25" s="420" t="s">
        <v>844</v>
      </c>
      <c r="O25" s="420"/>
      <c r="P25" s="417"/>
      <c r="Q25" s="417">
        <v>0</v>
      </c>
      <c r="R25" s="417">
        <v>0</v>
      </c>
      <c r="S25" s="422"/>
      <c r="T25" s="417">
        <v>20</v>
      </c>
      <c r="U25" s="417"/>
      <c r="V25" s="417"/>
      <c r="W25" s="420">
        <v>0.5</v>
      </c>
      <c r="X25" s="417"/>
      <c r="Y25" s="417"/>
      <c r="Z25" s="417"/>
      <c r="AA25" s="417"/>
      <c r="AB25" s="417"/>
      <c r="AC25" s="420" t="s">
        <v>1417</v>
      </c>
      <c r="AD25" s="417"/>
      <c r="AE25" s="417"/>
      <c r="AF25" s="417">
        <v>200</v>
      </c>
      <c r="AG25" s="416">
        <v>93142.89</v>
      </c>
      <c r="AH25" s="417">
        <v>1853</v>
      </c>
      <c r="AI25" s="607">
        <v>-4850</v>
      </c>
      <c r="AJ25" s="417"/>
      <c r="AK25" s="420" t="s">
        <v>139</v>
      </c>
      <c r="AL25" s="417"/>
      <c r="AM25" s="417"/>
      <c r="AN25" s="444">
        <v>5.15</v>
      </c>
      <c r="AO25" s="420"/>
      <c r="AP25" s="420"/>
      <c r="AQ25" s="422"/>
      <c r="AR25" s="422"/>
      <c r="AS25" s="422"/>
      <c r="AT25" s="422">
        <f>+ab($T$25,$T$23,$T$27,$G$24,$G$26,-1*$F$25,1200)</f>
        <v>22.511860946062566</v>
      </c>
      <c r="AU25" s="417"/>
      <c r="AV25" s="417"/>
      <c r="AW25" s="422" t="s">
        <v>4682</v>
      </c>
      <c r="AX25" s="422"/>
      <c r="AY25" s="422" t="str">
        <f>IF(AX25="PT",VLOOKUP(M25,'Foundation Calculation'!$L$2:$R$37,VLOOKUP(AW25,'Foundation Calculation'!$I$2:$J$8,2,FALSE),0),IF(AX25="K",VLOOKUP(M25,'Foundation Calculation'!$L$41:$R$75,VLOOKUP(AW25,'Foundation Calculation'!$I$2:$J$8,2,FALSE),0),""))</f>
        <v/>
      </c>
      <c r="AZ25" s="422" t="str">
        <f>IF(AX25="PT",VLOOKUP(K25,'Foundation Calculation'!$L$2:$R$41,VLOOKUP(AW25,'Foundation Calculation'!$I$2:$J$8,2,FALSE),0),IF(AX25="K",VLOOKUP(K25,'Foundation Calculation'!$L$41:$R$79,VLOOKUP(AW25,'Foundation Calculation'!$I$2:$J$8,2,FALSE),0),""))</f>
        <v/>
      </c>
      <c r="BA25" s="604" t="s">
        <v>2809</v>
      </c>
      <c r="BB25" s="420"/>
      <c r="BC25" s="169"/>
      <c r="BD25" s="1330"/>
      <c r="BE25" s="1329">
        <v>43812</v>
      </c>
      <c r="BF25" s="1330"/>
      <c r="BG25" s="1329">
        <v>43838</v>
      </c>
    </row>
    <row r="26" spans="1:59" ht="15.75" customHeight="1">
      <c r="A26" s="420"/>
      <c r="B26" s="415"/>
      <c r="C26" s="416"/>
      <c r="D26" s="418"/>
      <c r="E26" s="418"/>
      <c r="F26" s="420"/>
      <c r="G26" s="422">
        <v>49.5</v>
      </c>
      <c r="H26" s="677"/>
      <c r="I26" s="420">
        <v>473</v>
      </c>
      <c r="J26" s="416"/>
      <c r="K26" s="417"/>
      <c r="L26" s="415"/>
      <c r="M26" s="415"/>
      <c r="N26" s="420"/>
      <c r="O26" s="420"/>
      <c r="P26" s="417"/>
      <c r="Q26" s="417"/>
      <c r="R26" s="417"/>
      <c r="S26" s="422">
        <f t="shared" ref="S26" si="6">AG27-AG25</f>
        <v>49.570000000006985</v>
      </c>
      <c r="T26" s="417"/>
      <c r="U26" s="417"/>
      <c r="V26" s="417"/>
      <c r="W26" s="417"/>
      <c r="X26" s="417"/>
      <c r="Y26" s="417"/>
      <c r="Z26" s="417"/>
      <c r="AA26" s="417"/>
      <c r="AB26" s="417"/>
      <c r="AC26" s="417"/>
      <c r="AD26" s="417"/>
      <c r="AE26" s="417"/>
      <c r="AF26" s="417"/>
      <c r="AG26" s="416"/>
      <c r="AH26" s="417"/>
      <c r="AI26" s="607"/>
      <c r="AJ26" s="417"/>
      <c r="AK26" s="420"/>
      <c r="AL26" s="417"/>
      <c r="AM26" s="417"/>
      <c r="AN26" s="444"/>
      <c r="AO26" s="420"/>
      <c r="AP26" s="420"/>
      <c r="AQ26" s="422">
        <f>+FL_1($T$27,$T$25,$G$26,1200,9.28,-1*$F$27)</f>
        <v>0.27907697777777785</v>
      </c>
      <c r="AR26" s="422"/>
      <c r="AS26" s="422"/>
      <c r="AT26" s="422"/>
      <c r="AU26" s="417"/>
      <c r="AV26" s="417"/>
      <c r="AW26" s="417"/>
      <c r="AX26" s="417"/>
      <c r="AY26" s="422" t="str">
        <f>IF(AX26="PT",VLOOKUP(M26,'Foundation Calculation'!$L$2:$R$37,VLOOKUP(AW26,'Foundation Calculation'!$I$2:$J$8,2,FALSE),0),IF(AX26="K",VLOOKUP(M26,'Foundation Calculation'!$L$41:$R$75,VLOOKUP(AW26,'Foundation Calculation'!$I$2:$J$8,2,FALSE),0),""))</f>
        <v/>
      </c>
      <c r="AZ26" s="422" t="str">
        <f>IF(AX26="PT",VLOOKUP(K26,'Foundation Calculation'!$L$2:$R$41,VLOOKUP(AW26,'Foundation Calculation'!$I$2:$J$8,2,FALSE),0),IF(AX26="K",VLOOKUP(K26,'Foundation Calculation'!$L$41:$R$79,VLOOKUP(AW26,'Foundation Calculation'!$I$2:$J$8,2,FALSE),0),""))</f>
        <v/>
      </c>
      <c r="BA26" s="604"/>
      <c r="BB26" s="420"/>
      <c r="BC26" s="169"/>
      <c r="BD26" s="1330"/>
      <c r="BE26" s="1330"/>
      <c r="BF26" s="1330"/>
      <c r="BG26" s="1330"/>
    </row>
    <row r="27" spans="1:59" ht="15.75" customHeight="1">
      <c r="A27" s="420"/>
      <c r="B27" s="415" t="s">
        <v>2717</v>
      </c>
      <c r="C27" s="416">
        <f>+$C$25+$G$26</f>
        <v>93193.85000000002</v>
      </c>
      <c r="D27" s="418"/>
      <c r="E27" s="418"/>
      <c r="F27" s="420">
        <v>0</v>
      </c>
      <c r="G27" s="422"/>
      <c r="H27" s="417" t="s">
        <v>874</v>
      </c>
      <c r="I27" s="420"/>
      <c r="J27" s="416"/>
      <c r="K27" s="417"/>
      <c r="L27" s="417"/>
      <c r="M27" s="417"/>
      <c r="N27" s="415" t="s">
        <v>843</v>
      </c>
      <c r="O27" s="415"/>
      <c r="P27" s="415"/>
      <c r="Q27" s="417">
        <v>0</v>
      </c>
      <c r="R27" s="417">
        <v>0</v>
      </c>
      <c r="S27" s="422"/>
      <c r="T27" s="417">
        <v>-20</v>
      </c>
      <c r="U27" s="417"/>
      <c r="V27" s="417"/>
      <c r="W27" s="420">
        <v>0.5</v>
      </c>
      <c r="X27" s="417"/>
      <c r="Y27" s="417"/>
      <c r="Z27" s="417"/>
      <c r="AA27" s="417"/>
      <c r="AB27" s="417"/>
      <c r="AC27" s="420" t="s">
        <v>1417</v>
      </c>
      <c r="AD27" s="417"/>
      <c r="AE27" s="417"/>
      <c r="AF27" s="417">
        <v>200</v>
      </c>
      <c r="AG27" s="416">
        <v>93192.46</v>
      </c>
      <c r="AH27" s="417">
        <v>1813</v>
      </c>
      <c r="AI27" s="607">
        <v>-4480</v>
      </c>
      <c r="AJ27" s="417"/>
      <c r="AK27" s="420" t="s">
        <v>139</v>
      </c>
      <c r="AL27" s="417"/>
      <c r="AM27" s="417"/>
      <c r="AN27" s="444">
        <v>5.15</v>
      </c>
      <c r="AO27" s="420"/>
      <c r="AP27" s="420"/>
      <c r="AQ27" s="422"/>
      <c r="AR27" s="422"/>
      <c r="AS27" s="422"/>
      <c r="AT27" s="422">
        <f>+ab($T$27,$T$25,$T$29,$G$26,$G$28,-1*$F$27,1200)</f>
        <v>-11.764876232112407</v>
      </c>
      <c r="AU27" s="417"/>
      <c r="AV27" s="417"/>
      <c r="AW27" s="422" t="s">
        <v>4682</v>
      </c>
      <c r="AX27" s="417"/>
      <c r="AY27" s="422" t="str">
        <f>IF(AX27="PT",VLOOKUP(M27,'Foundation Calculation'!$L$2:$R$37,VLOOKUP(AW27,'Foundation Calculation'!$I$2:$J$8,2,FALSE),0),IF(AX27="K",VLOOKUP(M27,'Foundation Calculation'!$L$41:$R$75,VLOOKUP(AW27,'Foundation Calculation'!$I$2:$J$8,2,FALSE),0),""))</f>
        <v/>
      </c>
      <c r="AZ27" s="422" t="str">
        <f>IF(AX27="PT",VLOOKUP(K27,'Foundation Calculation'!$L$2:$R$41,VLOOKUP(AW27,'Foundation Calculation'!$I$2:$J$8,2,FALSE),0),IF(AX27="K",VLOOKUP(K27,'Foundation Calculation'!$L$41:$R$79,VLOOKUP(AW27,'Foundation Calculation'!$I$2:$J$8,2,FALSE),0),""))</f>
        <v/>
      </c>
      <c r="BA27" s="604" t="s">
        <v>2809</v>
      </c>
      <c r="BB27" s="420"/>
      <c r="BC27" s="169"/>
      <c r="BD27" s="1330"/>
      <c r="BE27" s="1329">
        <v>43812</v>
      </c>
      <c r="BF27" s="1330"/>
      <c r="BG27" s="1329">
        <v>43838</v>
      </c>
    </row>
    <row r="28" spans="1:59" ht="15.75" customHeight="1">
      <c r="A28" s="495" t="s">
        <v>2606</v>
      </c>
      <c r="B28" s="494"/>
      <c r="C28" s="489"/>
      <c r="D28" s="491"/>
      <c r="E28" s="491"/>
      <c r="F28" s="495"/>
      <c r="G28" s="493">
        <v>50</v>
      </c>
      <c r="H28" s="495"/>
      <c r="I28" s="495">
        <v>226</v>
      </c>
      <c r="J28" s="489"/>
      <c r="K28" s="490"/>
      <c r="L28" s="490"/>
      <c r="M28" s="490"/>
      <c r="N28" s="495"/>
      <c r="O28" s="495"/>
      <c r="P28" s="490"/>
      <c r="Q28" s="490"/>
      <c r="R28" s="490"/>
      <c r="S28" s="493">
        <f t="shared" ref="S28" si="7">AG29-AG27</f>
        <v>51.529999999998836</v>
      </c>
      <c r="T28" s="490"/>
      <c r="U28" s="490"/>
      <c r="V28" s="490"/>
      <c r="W28" s="490"/>
      <c r="X28" s="490"/>
      <c r="Y28" s="490"/>
      <c r="Z28" s="490"/>
      <c r="AA28" s="490"/>
      <c r="AB28" s="490"/>
      <c r="AC28" s="490"/>
      <c r="AD28" s="490"/>
      <c r="AE28" s="490"/>
      <c r="AF28" s="490"/>
      <c r="AG28" s="489"/>
      <c r="AH28" s="490"/>
      <c r="AI28" s="640"/>
      <c r="AJ28" s="490"/>
      <c r="AK28" s="495"/>
      <c r="AL28" s="490"/>
      <c r="AM28" s="490"/>
      <c r="AN28" s="457"/>
      <c r="AO28" s="495"/>
      <c r="AP28" s="495"/>
      <c r="AQ28" s="493">
        <f>+FL_1($T$29,$T$27,$G$28,1200,9.28,-1*$F$29)</f>
        <v>0.28304596799999998</v>
      </c>
      <c r="AR28" s="493"/>
      <c r="AS28" s="493"/>
      <c r="AT28" s="493"/>
      <c r="AU28" s="490"/>
      <c r="AV28" s="490"/>
      <c r="AW28" s="490"/>
      <c r="AX28" s="490"/>
      <c r="AY28" s="493" t="str">
        <f>IF(AX28="PT",VLOOKUP(M28,'Foundation Calculation'!$L$2:$R$37,VLOOKUP(AW28,'Foundation Calculation'!$I$2:$J$8,2,FALSE),0),IF(AX28="K",VLOOKUP(M28,'Foundation Calculation'!$L$41:$R$75,VLOOKUP(AW28,'Foundation Calculation'!$I$2:$J$8,2,FALSE),0),""))</f>
        <v/>
      </c>
      <c r="AZ28" s="493" t="str">
        <f>IF(AX28="PT",VLOOKUP(K28,'Foundation Calculation'!$L$2:$R$41,VLOOKUP(AW28,'Foundation Calculation'!$I$2:$J$8,2,FALSE),0),IF(AX28="K",VLOOKUP(K28,'Foundation Calculation'!$L$41:$R$79,VLOOKUP(AW28,'Foundation Calculation'!$I$2:$J$8,2,FALSE),0),""))</f>
        <v/>
      </c>
      <c r="BA28" s="602"/>
      <c r="BB28" s="495"/>
      <c r="BC28" s="169"/>
      <c r="BD28" s="1330"/>
      <c r="BE28" s="1330"/>
      <c r="BF28" s="1330"/>
      <c r="BG28" s="1330"/>
    </row>
    <row r="29" spans="1:59" ht="15.75" customHeight="1">
      <c r="A29" s="420"/>
      <c r="B29" s="415" t="s">
        <v>2718</v>
      </c>
      <c r="C29" s="416">
        <f>+$C$27+$G$28</f>
        <v>93243.85000000002</v>
      </c>
      <c r="D29" s="418"/>
      <c r="E29" s="418"/>
      <c r="F29" s="420">
        <v>0</v>
      </c>
      <c r="G29" s="422"/>
      <c r="H29" s="417"/>
      <c r="I29" s="420"/>
      <c r="J29" s="416"/>
      <c r="K29" s="417"/>
      <c r="L29" s="417"/>
      <c r="M29" s="417"/>
      <c r="N29" s="420" t="s">
        <v>844</v>
      </c>
      <c r="O29" s="420"/>
      <c r="P29" s="417"/>
      <c r="Q29" s="417">
        <v>0</v>
      </c>
      <c r="R29" s="417">
        <v>0</v>
      </c>
      <c r="S29" s="422"/>
      <c r="T29" s="417">
        <v>20</v>
      </c>
      <c r="U29" s="417"/>
      <c r="V29" s="417"/>
      <c r="W29" s="420">
        <v>0.5</v>
      </c>
      <c r="X29" s="417"/>
      <c r="Y29" s="417"/>
      <c r="Z29" s="417"/>
      <c r="AA29" s="417"/>
      <c r="AB29" s="417"/>
      <c r="AC29" s="420" t="s">
        <v>1417</v>
      </c>
      <c r="AD29" s="417"/>
      <c r="AE29" s="417"/>
      <c r="AF29" s="417">
        <v>100</v>
      </c>
      <c r="AG29" s="416">
        <v>93243.99</v>
      </c>
      <c r="AH29" s="417">
        <v>1873</v>
      </c>
      <c r="AI29" s="607">
        <v>-4560</v>
      </c>
      <c r="AJ29" s="417"/>
      <c r="AK29" s="420" t="s">
        <v>139</v>
      </c>
      <c r="AL29" s="417"/>
      <c r="AM29" s="417"/>
      <c r="AN29" s="444">
        <v>5.15</v>
      </c>
      <c r="AO29" s="420"/>
      <c r="AP29" s="420"/>
      <c r="AQ29" s="422"/>
      <c r="AR29" s="422"/>
      <c r="AS29" s="422"/>
      <c r="AT29" s="422">
        <f>+ab($T$29,$T$27,-$T$31,$G$28,$G$30,-1*$F$29,1200)</f>
        <v>30.597861738945156</v>
      </c>
      <c r="AU29" s="417"/>
      <c r="AV29" s="417"/>
      <c r="AW29" s="422" t="s">
        <v>4682</v>
      </c>
      <c r="AX29" s="417"/>
      <c r="AY29" s="422" t="str">
        <f>IF(AX29="PT",VLOOKUP(M29,'Foundation Calculation'!$L$2:$R$37,VLOOKUP(AW29,'Foundation Calculation'!$I$2:$J$8,2,FALSE),0),IF(AX29="K",VLOOKUP(M29,'Foundation Calculation'!$L$41:$R$75,VLOOKUP(AW29,'Foundation Calculation'!$I$2:$J$8,2,FALSE),0),""))</f>
        <v/>
      </c>
      <c r="AZ29" s="422" t="str">
        <f>IF(AX29="PT",VLOOKUP(K29,'Foundation Calculation'!$L$2:$R$41,VLOOKUP(AW29,'Foundation Calculation'!$I$2:$J$8,2,FALSE),0),IF(AX29="K",VLOOKUP(K29,'Foundation Calculation'!$L$41:$R$79,VLOOKUP(AW29,'Foundation Calculation'!$I$2:$J$8,2,FALSE),0),""))</f>
        <v/>
      </c>
      <c r="BA29" s="604" t="s">
        <v>2809</v>
      </c>
      <c r="BB29" s="420"/>
      <c r="BC29" s="169"/>
      <c r="BD29" s="1330"/>
      <c r="BE29" s="1329">
        <v>43812</v>
      </c>
      <c r="BF29" s="1330"/>
      <c r="BG29" s="1329">
        <v>43838</v>
      </c>
    </row>
    <row r="30" spans="1:59" ht="15.75" customHeight="1">
      <c r="A30" s="420"/>
      <c r="B30" s="415"/>
      <c r="C30" s="416"/>
      <c r="D30" s="418"/>
      <c r="E30" s="418"/>
      <c r="F30" s="420"/>
      <c r="G30" s="422">
        <v>42.8</v>
      </c>
      <c r="H30" s="417"/>
      <c r="I30" s="433"/>
      <c r="J30" s="416"/>
      <c r="K30" s="417"/>
      <c r="L30" s="417"/>
      <c r="M30" s="417"/>
      <c r="N30" s="420"/>
      <c r="O30" s="420"/>
      <c r="P30" s="417"/>
      <c r="Q30" s="417"/>
      <c r="R30" s="417"/>
      <c r="S30" s="422">
        <f t="shared" ref="S30" si="8">AG31-AG29</f>
        <v>42.459999999991851</v>
      </c>
      <c r="T30" s="417"/>
      <c r="U30" s="417"/>
      <c r="V30" s="417"/>
      <c r="W30" s="417"/>
      <c r="X30" s="417"/>
      <c r="Y30" s="417"/>
      <c r="Z30" s="417"/>
      <c r="AA30" s="417"/>
      <c r="AB30" s="417"/>
      <c r="AC30" s="417"/>
      <c r="AD30" s="417"/>
      <c r="AE30" s="417"/>
      <c r="AF30" s="417"/>
      <c r="AG30" s="416"/>
      <c r="AH30" s="417"/>
      <c r="AI30" s="607"/>
      <c r="AJ30" s="417"/>
      <c r="AK30" s="420"/>
      <c r="AL30" s="417"/>
      <c r="AM30" s="417"/>
      <c r="AN30" s="444"/>
      <c r="AO30" s="420"/>
      <c r="AP30" s="420"/>
      <c r="AQ30" s="422">
        <f>+FL_2(-$T$31,$T$29,$G$30,1200,9.28,-1*$F$31)</f>
        <v>-0.40531159988963805</v>
      </c>
      <c r="AR30" s="422"/>
      <c r="AS30" s="422"/>
      <c r="AT30" s="422"/>
      <c r="AU30" s="417"/>
      <c r="AV30" s="417"/>
      <c r="AW30" s="417"/>
      <c r="AX30" s="417"/>
      <c r="AY30" s="422" t="str">
        <f>IF(AX30="PT",VLOOKUP(M30,'Foundation Calculation'!$L$2:$R$37,VLOOKUP(AW30,'Foundation Calculation'!$I$2:$J$8,2,FALSE),0),IF(AX30="K",VLOOKUP(M30,'Foundation Calculation'!$L$41:$R$75,VLOOKUP(AW30,'Foundation Calculation'!$I$2:$J$8,2,FALSE),0),""))</f>
        <v/>
      </c>
      <c r="AZ30" s="422" t="str">
        <f>IF(AX30="PT",VLOOKUP(K30,'Foundation Calculation'!$L$2:$R$41,VLOOKUP(AW30,'Foundation Calculation'!$I$2:$J$8,2,FALSE),0),IF(AX30="K",VLOOKUP(K30,'Foundation Calculation'!$L$41:$R$79,VLOOKUP(AW30,'Foundation Calculation'!$I$2:$J$8,2,FALSE),0),""))</f>
        <v/>
      </c>
      <c r="BA30" s="604"/>
      <c r="BB30" s="420"/>
      <c r="BC30" s="169"/>
      <c r="BD30" s="1330"/>
      <c r="BE30" s="1330"/>
      <c r="BF30" s="1330"/>
      <c r="BG30" s="1330"/>
    </row>
    <row r="31" spans="1:59" ht="15.75" customHeight="1">
      <c r="A31" s="420"/>
      <c r="B31" s="442" t="s">
        <v>2719</v>
      </c>
      <c r="C31" s="416">
        <f>+$C$29+$G$30</f>
        <v>93286.650000000023</v>
      </c>
      <c r="D31" s="418"/>
      <c r="E31" s="418"/>
      <c r="F31" s="420">
        <v>-480</v>
      </c>
      <c r="G31" s="422"/>
      <c r="H31" s="417"/>
      <c r="I31" s="420"/>
      <c r="J31" s="416"/>
      <c r="K31" s="417"/>
      <c r="L31" s="420" t="s">
        <v>1451</v>
      </c>
      <c r="M31" s="417" t="str">
        <f>IF(AX31="PT",VLOOKUP(L31,'Foundation Calculation'!$V$2:$X$40,VLOOKUP(AX31,'Foundation Calculation'!$I$10:$J$13,2,FALSE),0),IF(AX31="K",VLOOKUP(L31,'Foundation Calculation'!$V$42:$X$80,VLOOKUP(AX31,'Foundation Calculation'!$I$10:$J$13,2,FALSE),0),""))</f>
        <v>C8R</v>
      </c>
      <c r="N31" s="420" t="s">
        <v>2796</v>
      </c>
      <c r="O31" s="420"/>
      <c r="P31" s="417"/>
      <c r="Q31" s="417">
        <v>0</v>
      </c>
      <c r="R31" s="417">
        <v>-480.34</v>
      </c>
      <c r="S31" s="422"/>
      <c r="T31" s="417">
        <v>-30</v>
      </c>
      <c r="U31" s="417"/>
      <c r="V31" s="417"/>
      <c r="W31" s="417">
        <v>0.5</v>
      </c>
      <c r="X31" s="417"/>
      <c r="Y31" s="417"/>
      <c r="Z31" s="417"/>
      <c r="AA31" s="417"/>
      <c r="AB31" s="417"/>
      <c r="AC31" s="420" t="s">
        <v>1417</v>
      </c>
      <c r="AD31" s="417"/>
      <c r="AE31" s="417"/>
      <c r="AF31" s="417">
        <v>5700</v>
      </c>
      <c r="AG31" s="416">
        <v>93286.45</v>
      </c>
      <c r="AH31" s="417">
        <v>1833</v>
      </c>
      <c r="AI31" s="607">
        <v>-10</v>
      </c>
      <c r="AJ31" s="417"/>
      <c r="AK31" s="420"/>
      <c r="AL31" s="417" t="s">
        <v>2143</v>
      </c>
      <c r="AM31" s="417"/>
      <c r="AN31" s="444">
        <v>5.15</v>
      </c>
      <c r="AO31" s="420"/>
      <c r="AP31" s="420"/>
      <c r="AQ31" s="422"/>
      <c r="AR31" s="422"/>
      <c r="AS31" s="422"/>
      <c r="AT31" s="422">
        <f>+ab($T$31,$T$29,$T$33,$G$30,$G$32,-1*$F$31,1200)</f>
        <v>3.4096476961752802</v>
      </c>
      <c r="AU31" s="417"/>
      <c r="AV31" s="417"/>
      <c r="AW31" s="417" t="str">
        <f>VLOOKUP(C31,'Foundation Calculation'!$A$2:$C$33,3,1)</f>
        <v>Soil D</v>
      </c>
      <c r="AX31" s="417" t="s">
        <v>1371</v>
      </c>
      <c r="AY31" s="422">
        <f>IF(AX31="PT",VLOOKUP(L31,'Foundation Calculation'!$K$2:$R$40,VLOOKUP(AW31,'Foundation Calculation'!$I$2:$J$8,2,FALSE),0),IF(AX31="K",VLOOKUP(L31,'Foundation Calculation'!$K$42:$R$80,VLOOKUP(AW31,'Foundation Calculation'!$I$2:$J$8,2,FALSE),0),""))</f>
        <v>3.9</v>
      </c>
      <c r="AZ31" s="422"/>
      <c r="BA31" s="604" t="s">
        <v>2809</v>
      </c>
      <c r="BB31" s="420" t="str">
        <f>Pole_Calculations!A178</f>
        <v>App.8-V08F-P10.3</v>
      </c>
      <c r="BC31" s="169"/>
      <c r="BD31" s="1329">
        <v>43750</v>
      </c>
      <c r="BE31" s="1329"/>
      <c r="BF31" s="1329"/>
      <c r="BG31" s="1329">
        <v>43893</v>
      </c>
    </row>
    <row r="32" spans="1:59" ht="15.75" customHeight="1">
      <c r="A32" s="420"/>
      <c r="B32" s="415"/>
      <c r="C32" s="416"/>
      <c r="D32" s="418"/>
      <c r="E32" s="418"/>
      <c r="F32" s="420"/>
      <c r="G32" s="422">
        <v>29</v>
      </c>
      <c r="H32" s="417"/>
      <c r="I32" s="433"/>
      <c r="J32" s="416"/>
      <c r="K32" s="417"/>
      <c r="L32" s="417"/>
      <c r="M32" s="417"/>
      <c r="N32" s="420"/>
      <c r="O32" s="420"/>
      <c r="P32" s="417"/>
      <c r="Q32" s="417"/>
      <c r="R32" s="417"/>
      <c r="S32" s="422">
        <f t="shared" ref="S32" si="9">AG33-AG31</f>
        <v>28.55000000000291</v>
      </c>
      <c r="T32" s="417"/>
      <c r="U32" s="417"/>
      <c r="V32" s="417"/>
      <c r="W32" s="417"/>
      <c r="X32" s="417"/>
      <c r="Y32" s="417"/>
      <c r="Z32" s="417"/>
      <c r="AA32" s="417"/>
      <c r="AB32" s="417"/>
      <c r="AC32" s="417"/>
      <c r="AD32" s="417"/>
      <c r="AE32" s="417"/>
      <c r="AF32" s="417"/>
      <c r="AG32" s="416"/>
      <c r="AH32" s="417"/>
      <c r="AI32" s="607"/>
      <c r="AJ32" s="417"/>
      <c r="AK32" s="420"/>
      <c r="AL32" s="417"/>
      <c r="AM32" s="417"/>
      <c r="AN32" s="444"/>
      <c r="AO32" s="420"/>
      <c r="AP32" s="420"/>
      <c r="AQ32" s="422">
        <f>+FL_2($T$33,$T$31,$G$32,1200,9.28,-1*$F$33)</f>
        <v>-0.31204823337931037</v>
      </c>
      <c r="AR32" s="422"/>
      <c r="AS32" s="422"/>
      <c r="AT32" s="422"/>
      <c r="AU32" s="417"/>
      <c r="AV32" s="417"/>
      <c r="AW32" s="417"/>
      <c r="AX32" s="417"/>
      <c r="AY32" s="422" t="str">
        <f>IF(AX32="PT",VLOOKUP(M32,'Foundation Calculation'!$L$2:$R$37,VLOOKUP(AW32,'Foundation Calculation'!$I$2:$J$8,2,FALSE),0),IF(AX32="K",VLOOKUP(M32,'Foundation Calculation'!$L$41:$R$75,VLOOKUP(AW32,'Foundation Calculation'!$I$2:$J$8,2,FALSE),0),""))</f>
        <v/>
      </c>
      <c r="AZ32" s="422" t="str">
        <f>IF(AX32="PT",VLOOKUP(K32,'Foundation Calculation'!$L$2:$R$41,VLOOKUP(AW32,'Foundation Calculation'!$I$2:$J$8,2,FALSE),0),IF(AX32="K",VLOOKUP(K32,'Foundation Calculation'!$L$41:$R$79,VLOOKUP(AW32,'Foundation Calculation'!$I$2:$J$8,2,FALSE),0),""))</f>
        <v/>
      </c>
      <c r="BA32" s="604"/>
      <c r="BB32" s="420"/>
      <c r="BC32" s="169"/>
      <c r="BD32" s="1330"/>
      <c r="BE32" s="1330"/>
      <c r="BF32" s="1330"/>
      <c r="BG32" s="1330"/>
    </row>
    <row r="33" spans="1:59" ht="15.75" customHeight="1">
      <c r="A33" s="420"/>
      <c r="B33" s="415" t="s">
        <v>2720</v>
      </c>
      <c r="C33" s="416">
        <f>+$C$31+$G$32</f>
        <v>93315.650000000023</v>
      </c>
      <c r="D33" s="418"/>
      <c r="E33" s="418"/>
      <c r="F33" s="420">
        <v>0</v>
      </c>
      <c r="G33" s="422"/>
      <c r="H33" s="417"/>
      <c r="I33" s="417"/>
      <c r="J33" s="416"/>
      <c r="K33" s="417"/>
      <c r="L33" s="417"/>
      <c r="M33" s="417"/>
      <c r="N33" s="420" t="s">
        <v>2794</v>
      </c>
      <c r="O33" s="420"/>
      <c r="P33" s="417"/>
      <c r="Q33" s="417">
        <v>10</v>
      </c>
      <c r="R33" s="417">
        <v>550</v>
      </c>
      <c r="S33" s="422"/>
      <c r="T33" s="417">
        <v>-10</v>
      </c>
      <c r="U33" s="417"/>
      <c r="V33" s="417"/>
      <c r="W33" s="417">
        <v>0.8</v>
      </c>
      <c r="X33" s="417"/>
      <c r="Y33" s="417"/>
      <c r="Z33" s="417"/>
      <c r="AA33" s="417"/>
      <c r="AB33" s="417"/>
      <c r="AC33" s="420" t="s">
        <v>3050</v>
      </c>
      <c r="AD33" s="417"/>
      <c r="AE33" s="417"/>
      <c r="AF33" s="417">
        <v>200</v>
      </c>
      <c r="AG33" s="416">
        <v>93315</v>
      </c>
      <c r="AH33" s="417">
        <v>1613</v>
      </c>
      <c r="AI33" s="607">
        <v>-5510</v>
      </c>
      <c r="AJ33" s="415" t="s">
        <v>864</v>
      </c>
      <c r="AK33" s="420" t="s">
        <v>139</v>
      </c>
      <c r="AL33" s="417"/>
      <c r="AM33" s="417"/>
      <c r="AN33" s="444">
        <v>5.15</v>
      </c>
      <c r="AO33" s="420"/>
      <c r="AP33" s="420"/>
      <c r="AQ33" s="422"/>
      <c r="AR33" s="422"/>
      <c r="AS33" s="422"/>
      <c r="AT33" s="422"/>
      <c r="AU33" s="417"/>
      <c r="AV33" s="417"/>
      <c r="AW33" s="417"/>
      <c r="AX33" s="417"/>
      <c r="AY33" s="422" t="str">
        <f>IF(AX33="PT",VLOOKUP(M33,'Foundation Calculation'!$L$2:$R$37,VLOOKUP(AW33,'Foundation Calculation'!$I$2:$J$8,2,FALSE),0),IF(AX33="K",VLOOKUP(M33,'Foundation Calculation'!$L$41:$R$75,VLOOKUP(AW33,'Foundation Calculation'!$I$2:$J$8,2,FALSE),0),""))</f>
        <v/>
      </c>
      <c r="AZ33" s="422" t="str">
        <f>IF(AX33="PT",VLOOKUP(K33,'Foundation Calculation'!$L$2:$R$41,VLOOKUP(AW33,'Foundation Calculation'!$I$2:$J$8,2,FALSE),0),IF(AX33="K",VLOOKUP(K33,'Foundation Calculation'!$L$41:$R$79,VLOOKUP(AW33,'Foundation Calculation'!$I$2:$J$8,2,FALSE),0),""))</f>
        <v/>
      </c>
      <c r="BA33" s="604"/>
      <c r="BB33" s="420"/>
      <c r="BC33" s="169"/>
      <c r="BD33" s="1330"/>
      <c r="BE33" s="1329"/>
      <c r="BF33" s="1330"/>
      <c r="BG33" s="1329">
        <v>43893</v>
      </c>
    </row>
    <row r="34" spans="1:59" ht="15.75" customHeight="1">
      <c r="A34" s="501">
        <f>'HR Track 1 TSA'!A42</f>
        <v>0</v>
      </c>
      <c r="B34" s="716">
        <f>'HR Track 1 TSA'!B42</f>
        <v>0</v>
      </c>
      <c r="C34" s="451">
        <f>'HR Track 1 TSA'!C42</f>
        <v>0</v>
      </c>
      <c r="D34" s="453">
        <f>'HR Track 1 TSA'!D42</f>
        <v>0</v>
      </c>
      <c r="E34" s="452">
        <f>'HR Track 1 TSA'!E42</f>
        <v>0</v>
      </c>
      <c r="F34" s="453">
        <f>'HR Track 1 TSA'!F42</f>
        <v>0</v>
      </c>
      <c r="G34" s="500">
        <f>'HR Track 1 TSA'!G42</f>
        <v>28</v>
      </c>
      <c r="H34" s="453">
        <f>'HR Track 1 TSA'!H42</f>
        <v>0</v>
      </c>
      <c r="I34" s="501">
        <f>'HR Track 1 TSA'!I42</f>
        <v>0</v>
      </c>
      <c r="J34" s="583">
        <f>'HR Track 1 TSA'!J42</f>
        <v>0</v>
      </c>
      <c r="K34" s="452">
        <f>'HR Track 1 TSA'!K42</f>
        <v>0</v>
      </c>
      <c r="L34" s="452">
        <f>'HR Track 1 TSA'!L42</f>
        <v>0</v>
      </c>
      <c r="M34" s="452">
        <f>'HR Track 1 TSA'!M42</f>
        <v>0</v>
      </c>
      <c r="N34" s="501">
        <f>'HR Track 1 TSA'!N42</f>
        <v>0</v>
      </c>
      <c r="O34" s="501">
        <f>'HR Track 1 TSA'!O42</f>
        <v>0</v>
      </c>
      <c r="P34" s="501">
        <f>'HR Track 1 TSA'!P42</f>
        <v>0</v>
      </c>
      <c r="Q34" s="452">
        <f>'HR Track 1 TSA'!Q42</f>
        <v>0</v>
      </c>
      <c r="R34" s="452">
        <f>'HR Track 1 TSA'!R42</f>
        <v>0</v>
      </c>
      <c r="S34" s="500">
        <f>'HR Track 1 TSA'!S42</f>
        <v>28</v>
      </c>
      <c r="T34" s="452">
        <f>'HR Track 1 TSA'!T42</f>
        <v>0</v>
      </c>
      <c r="U34" s="452">
        <f>'HR Track 1 TSA'!U42</f>
        <v>0</v>
      </c>
      <c r="V34" s="452">
        <f>'HR Track 1 TSA'!V42</f>
        <v>0</v>
      </c>
      <c r="W34" s="452">
        <f>'HR Track 1 TSA'!W42</f>
        <v>0</v>
      </c>
      <c r="X34" s="452">
        <f>'HR Track 1 TSA'!X42</f>
        <v>0</v>
      </c>
      <c r="Y34" s="452">
        <f>'HR Track 1 TSA'!Y42</f>
        <v>0</v>
      </c>
      <c r="Z34" s="452">
        <f>'HR Track 1 TSA'!Z42</f>
        <v>0</v>
      </c>
      <c r="AA34" s="452">
        <f>'HR Track 1 TSA'!AA42</f>
        <v>0</v>
      </c>
      <c r="AB34" s="452">
        <f>'HR Track 1 TSA'!AB42</f>
        <v>0</v>
      </c>
      <c r="AC34" s="452">
        <f>'HR Track 1 TSA'!AC42</f>
        <v>0</v>
      </c>
      <c r="AD34" s="452">
        <f>'HR Track 1 TSA'!AD42</f>
        <v>0</v>
      </c>
      <c r="AE34" s="452">
        <f>'HR Track 1 TSA'!AE42</f>
        <v>0</v>
      </c>
      <c r="AF34" s="452">
        <f>'HR Track 1 TSA'!AF42</f>
        <v>0</v>
      </c>
      <c r="AG34" s="451">
        <f>'HR Track 1 TSA'!AG42</f>
        <v>0</v>
      </c>
      <c r="AH34" s="452">
        <f>'HR Track 1 TSA'!AH42</f>
        <v>0</v>
      </c>
      <c r="AI34" s="452">
        <f>'HR Track 1 TSA'!AI42</f>
        <v>0</v>
      </c>
      <c r="AJ34" s="452" t="str">
        <f>'HR Track 1 TSA'!AJ42</f>
        <v>SECT-I</v>
      </c>
      <c r="AK34" s="452">
        <f>'HR Track 1 TSA'!AK42</f>
        <v>0</v>
      </c>
      <c r="AL34" s="452">
        <f>'HR Track 1 TSA'!AL42</f>
        <v>0</v>
      </c>
      <c r="AM34" s="452">
        <f>'HR Track 1 TSA'!AM42</f>
        <v>0</v>
      </c>
      <c r="AN34" s="500">
        <f>'HR Track 1 TSA'!AN42</f>
        <v>0</v>
      </c>
      <c r="AO34" s="452">
        <f>'HR Track 1 TSA'!AO42</f>
        <v>0</v>
      </c>
      <c r="AP34" s="452">
        <f>'HR Track 1 TSA'!AP42</f>
        <v>0</v>
      </c>
      <c r="AQ34" s="452">
        <f>'HR Track 1 TSA'!AQ42</f>
        <v>0.30877399466666666</v>
      </c>
      <c r="AR34" s="452">
        <f>'HR Track 1 TSA'!AR42</f>
        <v>0</v>
      </c>
      <c r="AS34" s="452">
        <f>'HR Track 1 TSA'!AS42</f>
        <v>0</v>
      </c>
      <c r="AT34" s="452">
        <f>'HR Track 1 TSA'!AT42</f>
        <v>0</v>
      </c>
      <c r="AU34" s="452">
        <f>'HR Track 1 TSA'!AU42</f>
        <v>0</v>
      </c>
      <c r="AV34" s="452">
        <f>'HR Track 1 TSA'!AV42</f>
        <v>0</v>
      </c>
      <c r="AW34" s="452">
        <f>'HR Track 1 TSA'!AW42</f>
        <v>0</v>
      </c>
      <c r="AX34" s="452">
        <f>'HR Track 1 TSA'!AX42</f>
        <v>0</v>
      </c>
      <c r="AY34" s="500">
        <f>'HR Track 1 TSA'!AY42</f>
        <v>0</v>
      </c>
      <c r="AZ34" s="500">
        <f>'HR Track 1 TSA'!AZ42</f>
        <v>0</v>
      </c>
      <c r="BA34" s="1333">
        <f>'HR Track 1 TSA'!BA42</f>
        <v>0</v>
      </c>
      <c r="BB34" s="452">
        <f>'HR Track 1 TSA'!BB42</f>
        <v>0</v>
      </c>
      <c r="BC34" s="1334">
        <f>'HR Track 1 TSA'!BC42</f>
        <v>0</v>
      </c>
      <c r="BD34" s="1335">
        <f>'HR Track 1 TSA'!BD42</f>
        <v>0</v>
      </c>
      <c r="BE34" s="1335">
        <f>'HR Track 1 TSA'!BE42</f>
        <v>0</v>
      </c>
      <c r="BF34" s="1335">
        <f>'HR Track 1 TSA'!BF42</f>
        <v>0</v>
      </c>
      <c r="BG34" s="1335">
        <f>'HR Track 1 TSA'!BG42</f>
        <v>0</v>
      </c>
    </row>
    <row r="35" spans="1:59" ht="15.75" customHeight="1">
      <c r="A35" s="501">
        <f>'HR Track 1 TSA'!A43</f>
        <v>0</v>
      </c>
      <c r="B35" s="716" t="str">
        <f>'HR Track 1 TSA'!B43</f>
        <v>93-1.09</v>
      </c>
      <c r="C35" s="451">
        <f>'HR Track 1 TSA'!C43</f>
        <v>93343.950000000026</v>
      </c>
      <c r="D35" s="453">
        <f>'HR Track 1 TSA'!D43</f>
        <v>0</v>
      </c>
      <c r="E35" s="452">
        <f>'HR Track 1 TSA'!E43</f>
        <v>0</v>
      </c>
      <c r="F35" s="453">
        <f>'HR Track 1 TSA'!F43</f>
        <v>0</v>
      </c>
      <c r="G35" s="500">
        <f>'HR Track 1 TSA'!G43</f>
        <v>0</v>
      </c>
      <c r="H35" s="453" t="str">
        <f>'HR Track 1 TSA'!H43</f>
        <v>P51(CS)</v>
      </c>
      <c r="I35" s="501">
        <f>'HR Track 1 TSA'!I43</f>
        <v>0</v>
      </c>
      <c r="J35" s="583">
        <f>'HR Track 1 TSA'!J43</f>
        <v>0</v>
      </c>
      <c r="K35" s="452">
        <f>'HR Track 1 TSA'!K43</f>
        <v>0</v>
      </c>
      <c r="L35" s="452" t="str">
        <f>'HR Track 1 TSA'!L43</f>
        <v>HEB-320L</v>
      </c>
      <c r="M35" s="452" t="str">
        <f>'HR Track 1 TSA'!M43</f>
        <v>C7R</v>
      </c>
      <c r="N35" s="501" t="str">
        <f>'HR Track 1 TSA'!N43</f>
        <v>EMT-2</v>
      </c>
      <c r="O35" s="501" t="str">
        <f>'HR Track 1 TSA'!O43</f>
        <v>EMT-1</v>
      </c>
      <c r="P35" s="501">
        <f>'HR Track 1 TSA'!P43</f>
        <v>0</v>
      </c>
      <c r="Q35" s="452">
        <f>'HR Track 1 TSA'!Q43</f>
        <v>10</v>
      </c>
      <c r="R35" s="452">
        <f>'HR Track 1 TSA'!R43</f>
        <v>0</v>
      </c>
      <c r="S35" s="500">
        <f>'HR Track 1 TSA'!S43</f>
        <v>0</v>
      </c>
      <c r="T35" s="452">
        <f>'HR Track 1 TSA'!T43</f>
        <v>30</v>
      </c>
      <c r="U35" s="452">
        <f>'HR Track 1 TSA'!U43</f>
        <v>15</v>
      </c>
      <c r="V35" s="452">
        <f>'HR Track 1 TSA'!V43</f>
        <v>0</v>
      </c>
      <c r="W35" s="452">
        <f>'HR Track 1 TSA'!W43</f>
        <v>1.4</v>
      </c>
      <c r="X35" s="452">
        <f>'HR Track 1 TSA'!X43</f>
        <v>1.7</v>
      </c>
      <c r="Y35" s="452">
        <f>'HR Track 1 TSA'!Y43</f>
        <v>0</v>
      </c>
      <c r="Z35" s="452">
        <f>'HR Track 1 TSA'!Z43</f>
        <v>0</v>
      </c>
      <c r="AA35" s="452">
        <f>'HR Track 1 TSA'!AA43</f>
        <v>0</v>
      </c>
      <c r="AB35" s="452">
        <f>'HR Track 1 TSA'!AB43</f>
        <v>0</v>
      </c>
      <c r="AC35" s="452" t="str">
        <f>'HR Track 1 TSA'!AC43</f>
        <v>PHQ-1450</v>
      </c>
      <c r="AD35" s="452" t="str">
        <f>'HR Track 1 TSA'!AD43</f>
        <v>BTC-1651</v>
      </c>
      <c r="AE35" s="452">
        <f>'HR Track 1 TSA'!AE43</f>
        <v>0</v>
      </c>
      <c r="AF35" s="452">
        <f>'HR Track 1 TSA'!AF43</f>
        <v>5300</v>
      </c>
      <c r="AG35" s="451">
        <f>'HR Track 1 TSA'!AG43</f>
        <v>93343</v>
      </c>
      <c r="AH35" s="452">
        <f>'HR Track 1 TSA'!AH43</f>
        <v>2093</v>
      </c>
      <c r="AI35" s="452">
        <f>'HR Track 1 TSA'!AI43</f>
        <v>40</v>
      </c>
      <c r="AJ35" s="452">
        <f>'HR Track 1 TSA'!AJ43</f>
        <v>0</v>
      </c>
      <c r="AK35" s="452">
        <f>'HR Track 1 TSA'!AK43</f>
        <v>0</v>
      </c>
      <c r="AL35" s="452" t="str">
        <f>'HR Track 1 TSA'!AL43</f>
        <v>PR1C</v>
      </c>
      <c r="AM35" s="452" t="str">
        <f>'HR Track 1 TSA'!AM43</f>
        <v>RW2</v>
      </c>
      <c r="AN35" s="500">
        <f>'HR Track 1 TSA'!AN43</f>
        <v>5.15</v>
      </c>
      <c r="AO35" s="452">
        <f>'HR Track 1 TSA'!AO43</f>
        <v>0</v>
      </c>
      <c r="AP35" s="452">
        <f>'HR Track 1 TSA'!AP43</f>
        <v>0</v>
      </c>
      <c r="AQ35" s="452">
        <f>'HR Track 1 TSA'!AQ43</f>
        <v>0</v>
      </c>
      <c r="AR35" s="452">
        <f>'HR Track 1 TSA'!AR43</f>
        <v>0</v>
      </c>
      <c r="AS35" s="452">
        <f>'HR Track 1 TSA'!AS43</f>
        <v>0</v>
      </c>
      <c r="AT35" s="452">
        <f>'HR Track 1 TSA'!AT43</f>
        <v>7.4194488697429462</v>
      </c>
      <c r="AU35" s="452">
        <f>'HR Track 1 TSA'!AU43</f>
        <v>0</v>
      </c>
      <c r="AV35" s="452">
        <f>'HR Track 1 TSA'!AV43</f>
        <v>0</v>
      </c>
      <c r="AW35" s="452" t="str">
        <f>'HR Track 1 TSA'!AW43</f>
        <v>Soil D</v>
      </c>
      <c r="AX35" s="452" t="str">
        <f>'HR Track 1 TSA'!AX43</f>
        <v>PT</v>
      </c>
      <c r="AY35" s="500">
        <f>'HR Track 1 TSA'!AY43</f>
        <v>3.5</v>
      </c>
      <c r="AZ35" s="500">
        <f>'HR Track 1 TSA'!AZ43</f>
        <v>0</v>
      </c>
      <c r="BA35" s="1333" t="str">
        <f>'HR Track 1 TSA'!BA43</f>
        <v>ü</v>
      </c>
      <c r="BB35" s="452" t="str">
        <f>'HR Track 1 TSA'!BB43</f>
        <v>App.8-V08F-P10.3</v>
      </c>
      <c r="BC35" s="1334" t="str">
        <f>'HR Track 1 TSA'!BC43</f>
        <v>r</v>
      </c>
      <c r="BD35" s="1335">
        <f>'HR Track 1 TSA'!BD43</f>
        <v>43841</v>
      </c>
      <c r="BE35" s="1335" t="str">
        <f>'HR Track 1 TSA'!BE43</f>
        <v>Ejecutado</v>
      </c>
      <c r="BF35" s="1335">
        <f>'HR Track 1 TSA'!BF43</f>
        <v>43854</v>
      </c>
      <c r="BG35" s="1335">
        <f>'HR Track 1 TSA'!BG43</f>
        <v>43870</v>
      </c>
    </row>
    <row r="36" spans="1:59" ht="15.75" customHeight="1">
      <c r="A36" s="501">
        <f>'HR Track 1 TSA'!A44</f>
        <v>0</v>
      </c>
      <c r="B36" s="716">
        <f>'HR Track 1 TSA'!B44</f>
        <v>0</v>
      </c>
      <c r="C36" s="451">
        <f>'HR Track 1 TSA'!C44</f>
        <v>0</v>
      </c>
      <c r="D36" s="453">
        <f>'HR Track 1 TSA'!D44</f>
        <v>0</v>
      </c>
      <c r="E36" s="452">
        <f>'HR Track 1 TSA'!E44</f>
        <v>0</v>
      </c>
      <c r="F36" s="453">
        <f>'HR Track 1 TSA'!F44</f>
        <v>0</v>
      </c>
      <c r="G36" s="500">
        <f>'HR Track 1 TSA'!G44</f>
        <v>32.299999999999997</v>
      </c>
      <c r="H36" s="453">
        <f>'HR Track 1 TSA'!H44</f>
        <v>0</v>
      </c>
      <c r="I36" s="501">
        <f>'HR Track 1 TSA'!I44</f>
        <v>0</v>
      </c>
      <c r="J36" s="583">
        <f>'HR Track 1 TSA'!J44</f>
        <v>0</v>
      </c>
      <c r="K36" s="452">
        <f>'HR Track 1 TSA'!K44</f>
        <v>0</v>
      </c>
      <c r="L36" s="452">
        <f>'HR Track 1 TSA'!L44</f>
        <v>0</v>
      </c>
      <c r="M36" s="452">
        <f>'HR Track 1 TSA'!M44</f>
        <v>0</v>
      </c>
      <c r="N36" s="501">
        <f>'HR Track 1 TSA'!N44</f>
        <v>0</v>
      </c>
      <c r="O36" s="501">
        <f>'HR Track 1 TSA'!O44</f>
        <v>0</v>
      </c>
      <c r="P36" s="501">
        <f>'HR Track 1 TSA'!P44</f>
        <v>0</v>
      </c>
      <c r="Q36" s="452">
        <f>'HR Track 1 TSA'!Q44</f>
        <v>0</v>
      </c>
      <c r="R36" s="452">
        <f>'HR Track 1 TSA'!R44</f>
        <v>0</v>
      </c>
      <c r="S36" s="500">
        <f>'HR Track 1 TSA'!S44</f>
        <v>32.619999999995343</v>
      </c>
      <c r="T36" s="452">
        <f>'HR Track 1 TSA'!T44</f>
        <v>0</v>
      </c>
      <c r="U36" s="452">
        <f>'HR Track 1 TSA'!U44</f>
        <v>0</v>
      </c>
      <c r="V36" s="452">
        <f>'HR Track 1 TSA'!V44</f>
        <v>0</v>
      </c>
      <c r="W36" s="452">
        <f>'HR Track 1 TSA'!W44</f>
        <v>0</v>
      </c>
      <c r="X36" s="452">
        <f>'HR Track 1 TSA'!X44</f>
        <v>0</v>
      </c>
      <c r="Y36" s="452">
        <f>'HR Track 1 TSA'!Y44</f>
        <v>0</v>
      </c>
      <c r="Z36" s="452">
        <f>'HR Track 1 TSA'!Z44</f>
        <v>0</v>
      </c>
      <c r="AA36" s="452">
        <f>'HR Track 1 TSA'!AA44</f>
        <v>0</v>
      </c>
      <c r="AB36" s="452">
        <f>'HR Track 1 TSA'!AB44</f>
        <v>0</v>
      </c>
      <c r="AC36" s="452">
        <f>'HR Track 1 TSA'!AC44</f>
        <v>0</v>
      </c>
      <c r="AD36" s="452">
        <f>'HR Track 1 TSA'!AD44</f>
        <v>0</v>
      </c>
      <c r="AE36" s="452">
        <f>'HR Track 1 TSA'!AE44</f>
        <v>0</v>
      </c>
      <c r="AF36" s="452">
        <f>'HR Track 1 TSA'!AF44</f>
        <v>0</v>
      </c>
      <c r="AG36" s="451">
        <f>'HR Track 1 TSA'!AG44</f>
        <v>0</v>
      </c>
      <c r="AH36" s="452">
        <f>'HR Track 1 TSA'!AH44</f>
        <v>0</v>
      </c>
      <c r="AI36" s="452">
        <f>'HR Track 1 TSA'!AI44</f>
        <v>0</v>
      </c>
      <c r="AJ36" s="452">
        <f>'HR Track 1 TSA'!AJ44</f>
        <v>0</v>
      </c>
      <c r="AK36" s="452">
        <f>'HR Track 1 TSA'!AK44</f>
        <v>0</v>
      </c>
      <c r="AL36" s="452">
        <f>'HR Track 1 TSA'!AL44</f>
        <v>0</v>
      </c>
      <c r="AM36" s="452">
        <f>'HR Track 1 TSA'!AM44</f>
        <v>0</v>
      </c>
      <c r="AN36" s="500">
        <f>'HR Track 1 TSA'!AN44</f>
        <v>0</v>
      </c>
      <c r="AO36" s="452">
        <f>'HR Track 1 TSA'!AO44</f>
        <v>0</v>
      </c>
      <c r="AP36" s="452">
        <f>'HR Track 1 TSA'!AP44</f>
        <v>0</v>
      </c>
      <c r="AQ36" s="452">
        <f>'HR Track 1 TSA'!AQ44</f>
        <v>-0.47409163447713953</v>
      </c>
      <c r="AR36" s="452">
        <f>'HR Track 1 TSA'!AR44</f>
        <v>0</v>
      </c>
      <c r="AS36" s="452">
        <f>'HR Track 1 TSA'!AS44</f>
        <v>0</v>
      </c>
      <c r="AT36" s="452">
        <f>'HR Track 1 TSA'!AT44</f>
        <v>0</v>
      </c>
      <c r="AU36" s="452">
        <f>'HR Track 1 TSA'!AU44</f>
        <v>0</v>
      </c>
      <c r="AV36" s="452">
        <f>'HR Track 1 TSA'!AV44</f>
        <v>0</v>
      </c>
      <c r="AW36" s="452">
        <f>'HR Track 1 TSA'!AW44</f>
        <v>0</v>
      </c>
      <c r="AX36" s="452">
        <f>'HR Track 1 TSA'!AX44</f>
        <v>0</v>
      </c>
      <c r="AY36" s="500">
        <f>'HR Track 1 TSA'!AY44</f>
        <v>0</v>
      </c>
      <c r="AZ36" s="500">
        <f>'HR Track 1 TSA'!AZ44</f>
        <v>0</v>
      </c>
      <c r="BA36" s="1333">
        <f>'HR Track 1 TSA'!BA44</f>
        <v>0</v>
      </c>
      <c r="BB36" s="452">
        <f>'HR Track 1 TSA'!BB44</f>
        <v>0</v>
      </c>
      <c r="BC36" s="1334">
        <f>'HR Track 1 TSA'!BC44</f>
        <v>0</v>
      </c>
      <c r="BD36" s="1335">
        <f>'HR Track 1 TSA'!BD44</f>
        <v>0</v>
      </c>
      <c r="BE36" s="1335">
        <f>'HR Track 1 TSA'!BE44</f>
        <v>0</v>
      </c>
      <c r="BF36" s="1335">
        <f>'HR Track 1 TSA'!BF44</f>
        <v>0</v>
      </c>
      <c r="BG36" s="1335">
        <f>'HR Track 1 TSA'!BG44</f>
        <v>0</v>
      </c>
    </row>
    <row r="37" spans="1:59" ht="15.75" customHeight="1">
      <c r="A37" s="501">
        <f>'HR Track 1 TSA'!A45</f>
        <v>0</v>
      </c>
      <c r="B37" s="716" t="str">
        <f>'HR Track 1 TSA'!B45</f>
        <v>93-1.09BIS</v>
      </c>
      <c r="C37" s="451">
        <f>'HR Track 1 TSA'!C45</f>
        <v>93376.250000000029</v>
      </c>
      <c r="D37" s="453">
        <f>'HR Track 1 TSA'!D45</f>
        <v>0</v>
      </c>
      <c r="E37" s="452">
        <f>'HR Track 1 TSA'!E45</f>
        <v>0</v>
      </c>
      <c r="F37" s="453">
        <f>'HR Track 1 TSA'!F45</f>
        <v>408</v>
      </c>
      <c r="G37" s="500">
        <f>'HR Track 1 TSA'!G45</f>
        <v>0</v>
      </c>
      <c r="H37" s="453" t="str">
        <f>'HR Track 1 TSA'!H45</f>
        <v>S/A</v>
      </c>
      <c r="I37" s="501">
        <f>'HR Track 1 TSA'!I45</f>
        <v>0</v>
      </c>
      <c r="J37" s="583">
        <f>'HR Track 1 TSA'!J45</f>
        <v>0</v>
      </c>
      <c r="K37" s="452">
        <f>'HR Track 1 TSA'!K45</f>
        <v>0</v>
      </c>
      <c r="L37" s="452" t="str">
        <f>'HR Track 1 TSA'!L45</f>
        <v>HEB-280L</v>
      </c>
      <c r="M37" s="452" t="str">
        <f>'HR Track 1 TSA'!M45</f>
        <v>WS5</v>
      </c>
      <c r="N37" s="501" t="str">
        <f>'HR Track 1 TSA'!N45</f>
        <v>EMT-1</v>
      </c>
      <c r="O37" s="501" t="str">
        <f>'HR Track 1 TSA'!O45</f>
        <v>EMT-T</v>
      </c>
      <c r="P37" s="501">
        <f>'HR Track 1 TSA'!P45</f>
        <v>0</v>
      </c>
      <c r="Q37" s="452">
        <f>'HR Track 1 TSA'!Q45</f>
        <v>10</v>
      </c>
      <c r="R37" s="452">
        <f>'HR Track 1 TSA'!R45</f>
        <v>407.5</v>
      </c>
      <c r="S37" s="500">
        <f>'HR Track 1 TSA'!S45</f>
        <v>0</v>
      </c>
      <c r="T37" s="452">
        <f>'HR Track 1 TSA'!T45</f>
        <v>-30</v>
      </c>
      <c r="U37" s="452">
        <f>'HR Track 1 TSA'!U45</f>
        <v>-45</v>
      </c>
      <c r="V37" s="452">
        <f>'HR Track 1 TSA'!V45</f>
        <v>0</v>
      </c>
      <c r="W37" s="452">
        <f>'HR Track 1 TSA'!W45</f>
        <v>1.4</v>
      </c>
      <c r="X37" s="452">
        <f>'HR Track 1 TSA'!X45</f>
        <v>1.7</v>
      </c>
      <c r="Y37" s="452">
        <f>'HR Track 1 TSA'!Y45</f>
        <v>0</v>
      </c>
      <c r="Z37" s="452">
        <f>'HR Track 1 TSA'!Z45</f>
        <v>0</v>
      </c>
      <c r="AA37" s="452">
        <f>'HR Track 1 TSA'!AA45</f>
        <v>0.25</v>
      </c>
      <c r="AB37" s="452">
        <f>'HR Track 1 TSA'!AB45</f>
        <v>0</v>
      </c>
      <c r="AC37" s="452" t="str">
        <f>'HR Track 1 TSA'!AC45</f>
        <v>PHC-1150</v>
      </c>
      <c r="AD37" s="452">
        <f>'HR Track 1 TSA'!AD45</f>
        <v>0</v>
      </c>
      <c r="AE37" s="452">
        <f>'HR Track 1 TSA'!AE45</f>
        <v>0</v>
      </c>
      <c r="AF37" s="452">
        <f>'HR Track 1 TSA'!AF45</f>
        <v>5000</v>
      </c>
      <c r="AG37" s="451">
        <f>'HR Track 1 TSA'!AG45</f>
        <v>93375.62</v>
      </c>
      <c r="AH37" s="452">
        <f>'HR Track 1 TSA'!AH45</f>
        <v>2273</v>
      </c>
      <c r="AI37" s="452">
        <f>'HR Track 1 TSA'!AI45</f>
        <v>-180</v>
      </c>
      <c r="AJ37" s="452">
        <f>'HR Track 1 TSA'!AJ45</f>
        <v>0</v>
      </c>
      <c r="AK37" s="452">
        <f>'HR Track 1 TSA'!AK45</f>
        <v>0</v>
      </c>
      <c r="AL37" s="452" t="str">
        <f>'HR Track 1 TSA'!AL45</f>
        <v>PR1B</v>
      </c>
      <c r="AM37" s="452" t="str">
        <f>'HR Track 1 TSA'!AM45</f>
        <v>RW2</v>
      </c>
      <c r="AN37" s="500">
        <f>'HR Track 1 TSA'!AN45</f>
        <v>5.15</v>
      </c>
      <c r="AO37" s="452">
        <f>'HR Track 1 TSA'!AO45</f>
        <v>0</v>
      </c>
      <c r="AP37" s="452">
        <f>'HR Track 1 TSA'!AP45</f>
        <v>0</v>
      </c>
      <c r="AQ37" s="452">
        <f>'HR Track 1 TSA'!AQ45</f>
        <v>0</v>
      </c>
      <c r="AR37" s="452">
        <f>'HR Track 1 TSA'!AR45</f>
        <v>0</v>
      </c>
      <c r="AS37" s="452">
        <f>'HR Track 1 TSA'!AS45</f>
        <v>0</v>
      </c>
      <c r="AT37" s="452">
        <f>'HR Track 1 TSA'!AT45</f>
        <v>7.0747539431227668</v>
      </c>
      <c r="AU37" s="452">
        <f>'HR Track 1 TSA'!AU45</f>
        <v>0</v>
      </c>
      <c r="AV37" s="452">
        <f>'HR Track 1 TSA'!AV45</f>
        <v>0</v>
      </c>
      <c r="AW37" s="452" t="str">
        <f>'HR Track 1 TSA'!AW45</f>
        <v>DW6927</v>
      </c>
      <c r="AX37" s="452">
        <f>'HR Track 1 TSA'!AX45</f>
        <v>0</v>
      </c>
      <c r="AY37" s="500">
        <f>'HR Track 1 TSA'!AY45</f>
        <v>0</v>
      </c>
      <c r="AZ37" s="500">
        <f>'HR Track 1 TSA'!AZ45</f>
        <v>0</v>
      </c>
      <c r="BA37" s="1333" t="str">
        <f>'HR Track 1 TSA'!BA45</f>
        <v>ü</v>
      </c>
      <c r="BB37" s="452" t="str">
        <f>'HR Track 1 TSA'!BB45</f>
        <v>App.8-V08F-P10.3</v>
      </c>
      <c r="BC37" s="1334">
        <f>'HR Track 1 TSA'!BC45</f>
        <v>0</v>
      </c>
      <c r="BD37" s="1335">
        <f>'HR Track 1 TSA'!BD45</f>
        <v>43847</v>
      </c>
      <c r="BE37" s="1335">
        <f>'HR Track 1 TSA'!BE45</f>
        <v>43854</v>
      </c>
      <c r="BF37" s="1335">
        <f>'HR Track 1 TSA'!BF45</f>
        <v>43854</v>
      </c>
      <c r="BG37" s="1335">
        <f>'HR Track 1 TSA'!BG45</f>
        <v>43870</v>
      </c>
    </row>
    <row r="38" spans="1:59" ht="15.75" customHeight="1">
      <c r="A38" s="501">
        <f>'HR Track 1 TSA'!A46</f>
        <v>0</v>
      </c>
      <c r="B38" s="716">
        <f>'HR Track 1 TSA'!B46</f>
        <v>0</v>
      </c>
      <c r="C38" s="451">
        <f>'HR Track 1 TSA'!C46</f>
        <v>0</v>
      </c>
      <c r="D38" s="453">
        <f>'HR Track 1 TSA'!D46</f>
        <v>0</v>
      </c>
      <c r="E38" s="452">
        <f>'HR Track 1 TSA'!E46</f>
        <v>0</v>
      </c>
      <c r="F38" s="453">
        <f>'HR Track 1 TSA'!F46</f>
        <v>0</v>
      </c>
      <c r="G38" s="500">
        <f>'HR Track 1 TSA'!G46</f>
        <v>24.7</v>
      </c>
      <c r="H38" s="453">
        <f>'HR Track 1 TSA'!H46</f>
        <v>0</v>
      </c>
      <c r="I38" s="501">
        <f>'HR Track 1 TSA'!I46</f>
        <v>0</v>
      </c>
      <c r="J38" s="583">
        <f>'HR Track 1 TSA'!J46</f>
        <v>0</v>
      </c>
      <c r="K38" s="452">
        <f>'HR Track 1 TSA'!K46</f>
        <v>0</v>
      </c>
      <c r="L38" s="452">
        <f>'HR Track 1 TSA'!L46</f>
        <v>0</v>
      </c>
      <c r="M38" s="452">
        <f>'HR Track 1 TSA'!M46</f>
        <v>0</v>
      </c>
      <c r="N38" s="501">
        <f>'HR Track 1 TSA'!N46</f>
        <v>0</v>
      </c>
      <c r="O38" s="501">
        <f>'HR Track 1 TSA'!O46</f>
        <v>0</v>
      </c>
      <c r="P38" s="501">
        <f>'HR Track 1 TSA'!P46</f>
        <v>0</v>
      </c>
      <c r="Q38" s="452">
        <f>'HR Track 1 TSA'!Q46</f>
        <v>0</v>
      </c>
      <c r="R38" s="452">
        <f>'HR Track 1 TSA'!R46</f>
        <v>0</v>
      </c>
      <c r="S38" s="500">
        <f>'HR Track 1 TSA'!S46</f>
        <v>24.760000000009313</v>
      </c>
      <c r="T38" s="452">
        <f>'HR Track 1 TSA'!T46</f>
        <v>0</v>
      </c>
      <c r="U38" s="452">
        <f>'HR Track 1 TSA'!U46</f>
        <v>0</v>
      </c>
      <c r="V38" s="452">
        <f>'HR Track 1 TSA'!V46</f>
        <v>0</v>
      </c>
      <c r="W38" s="452">
        <f>'HR Track 1 TSA'!W46</f>
        <v>0</v>
      </c>
      <c r="X38" s="452">
        <f>'HR Track 1 TSA'!X46</f>
        <v>0</v>
      </c>
      <c r="Y38" s="452">
        <f>'HR Track 1 TSA'!Y46</f>
        <v>0</v>
      </c>
      <c r="Z38" s="452">
        <f>'HR Track 1 TSA'!Z46</f>
        <v>0</v>
      </c>
      <c r="AA38" s="452">
        <f>'HR Track 1 TSA'!AA46</f>
        <v>0</v>
      </c>
      <c r="AB38" s="452">
        <f>'HR Track 1 TSA'!AB46</f>
        <v>0</v>
      </c>
      <c r="AC38" s="452">
        <f>'HR Track 1 TSA'!AC46</f>
        <v>0</v>
      </c>
      <c r="AD38" s="452">
        <f>'HR Track 1 TSA'!AD46</f>
        <v>0</v>
      </c>
      <c r="AE38" s="452">
        <f>'HR Track 1 TSA'!AE46</f>
        <v>0</v>
      </c>
      <c r="AF38" s="452">
        <f>'HR Track 1 TSA'!AF46</f>
        <v>0</v>
      </c>
      <c r="AG38" s="451">
        <f>'HR Track 1 TSA'!AG46</f>
        <v>0</v>
      </c>
      <c r="AH38" s="452">
        <f>'HR Track 1 TSA'!AH46</f>
        <v>0</v>
      </c>
      <c r="AI38" s="452">
        <f>'HR Track 1 TSA'!AI46</f>
        <v>0</v>
      </c>
      <c r="AJ38" s="452">
        <f>'HR Track 1 TSA'!AJ46</f>
        <v>0</v>
      </c>
      <c r="AK38" s="452">
        <f>'HR Track 1 TSA'!AK46</f>
        <v>0</v>
      </c>
      <c r="AL38" s="452">
        <f>'HR Track 1 TSA'!AL46</f>
        <v>0</v>
      </c>
      <c r="AM38" s="452">
        <f>'HR Track 1 TSA'!AM46</f>
        <v>0</v>
      </c>
      <c r="AN38" s="500">
        <f>'HR Track 1 TSA'!AN46</f>
        <v>0</v>
      </c>
      <c r="AO38" s="452">
        <f>'HR Track 1 TSA'!AO46</f>
        <v>0</v>
      </c>
      <c r="AP38" s="452">
        <f>'HR Track 1 TSA'!AP46</f>
        <v>0</v>
      </c>
      <c r="AQ38" s="452">
        <f>'HR Track 1 TSA'!AQ46</f>
        <v>-0.30628196784744671</v>
      </c>
      <c r="AR38" s="452">
        <f>'HR Track 1 TSA'!AR46</f>
        <v>0</v>
      </c>
      <c r="AS38" s="452">
        <f>'HR Track 1 TSA'!AS46</f>
        <v>0</v>
      </c>
      <c r="AT38" s="452">
        <f>'HR Track 1 TSA'!AT46</f>
        <v>0</v>
      </c>
      <c r="AU38" s="452">
        <f>'HR Track 1 TSA'!AU46</f>
        <v>0</v>
      </c>
      <c r="AV38" s="452">
        <f>'HR Track 1 TSA'!AV46</f>
        <v>0</v>
      </c>
      <c r="AW38" s="452">
        <f>'HR Track 1 TSA'!AW46</f>
        <v>0</v>
      </c>
      <c r="AX38" s="452">
        <f>'HR Track 1 TSA'!AX46</f>
        <v>0</v>
      </c>
      <c r="AY38" s="500">
        <f>'HR Track 1 TSA'!AY46</f>
        <v>0</v>
      </c>
      <c r="AZ38" s="500">
        <f>'HR Track 1 TSA'!AZ46</f>
        <v>0</v>
      </c>
      <c r="BA38" s="1333">
        <f>'HR Track 1 TSA'!BA46</f>
        <v>0</v>
      </c>
      <c r="BB38" s="452">
        <f>'HR Track 1 TSA'!BB46</f>
        <v>0</v>
      </c>
      <c r="BC38" s="1334">
        <f>'HR Track 1 TSA'!BC46</f>
        <v>0</v>
      </c>
      <c r="BD38" s="1335">
        <f>'HR Track 1 TSA'!BD46</f>
        <v>0</v>
      </c>
      <c r="BE38" s="1335">
        <f>'HR Track 1 TSA'!BE46</f>
        <v>0</v>
      </c>
      <c r="BF38" s="1335">
        <f>'HR Track 1 TSA'!BF46</f>
        <v>0</v>
      </c>
      <c r="BG38" s="1335">
        <f>'HR Track 1 TSA'!BG46</f>
        <v>0</v>
      </c>
    </row>
    <row r="39" spans="1:59" ht="15.75" customHeight="1">
      <c r="A39" s="501">
        <f>'HR Track 1 TSA'!A47</f>
        <v>0</v>
      </c>
      <c r="B39" s="716" t="str">
        <f>'HR Track 1 TSA'!B47</f>
        <v>93-1.10</v>
      </c>
      <c r="C39" s="451">
        <f>'HR Track 1 TSA'!C47</f>
        <v>93400.950000000026</v>
      </c>
      <c r="D39" s="453">
        <f>'HR Track 1 TSA'!D47</f>
        <v>0</v>
      </c>
      <c r="E39" s="452">
        <f>'HR Track 1 TSA'!E47</f>
        <v>0</v>
      </c>
      <c r="F39" s="453">
        <f>'HR Track 1 TSA'!F47</f>
        <v>610</v>
      </c>
      <c r="G39" s="500">
        <f>'HR Track 1 TSA'!G47</f>
        <v>0</v>
      </c>
      <c r="H39" s="453" t="str">
        <f>'HR Track 1 TSA'!H47</f>
        <v>S/A</v>
      </c>
      <c r="I39" s="501">
        <f>'HR Track 1 TSA'!I47</f>
        <v>0</v>
      </c>
      <c r="J39" s="583">
        <f>'HR Track 1 TSA'!J47</f>
        <v>0</v>
      </c>
      <c r="K39" s="452">
        <f>'HR Track 1 TSA'!K47</f>
        <v>0</v>
      </c>
      <c r="L39" s="452" t="str">
        <f>'HR Track 1 TSA'!L47</f>
        <v>2HEB-240</v>
      </c>
      <c r="M39" s="452" t="str">
        <f>'HR Track 1 TSA'!M47</f>
        <v>2W3</v>
      </c>
      <c r="N39" s="501" t="str">
        <f>'HR Track 1 TSA'!N47</f>
        <v>EMT-2</v>
      </c>
      <c r="O39" s="501" t="str">
        <f>'HR Track 1 TSA'!O47</f>
        <v>EMT-T</v>
      </c>
      <c r="P39" s="501">
        <f>'HR Track 1 TSA'!P47</f>
        <v>0</v>
      </c>
      <c r="Q39" s="452">
        <f>'HR Track 1 TSA'!Q47</f>
        <v>30</v>
      </c>
      <c r="R39" s="452">
        <f>'HR Track 1 TSA'!R47</f>
        <v>610</v>
      </c>
      <c r="S39" s="500">
        <f>'HR Track 1 TSA'!S47</f>
        <v>0</v>
      </c>
      <c r="T39" s="452">
        <f>'HR Track 1 TSA'!T47</f>
        <v>30</v>
      </c>
      <c r="U39" s="452">
        <f>'HR Track 1 TSA'!U47</f>
        <v>-45</v>
      </c>
      <c r="V39" s="452">
        <f>'HR Track 1 TSA'!V47</f>
        <v>0</v>
      </c>
      <c r="W39" s="452">
        <f>'HR Track 1 TSA'!W47</f>
        <v>1.2</v>
      </c>
      <c r="X39" s="452">
        <f>'HR Track 1 TSA'!X47</f>
        <v>1.7</v>
      </c>
      <c r="Y39" s="452">
        <f>'HR Track 1 TSA'!Y47</f>
        <v>0</v>
      </c>
      <c r="Z39" s="452">
        <f>'HR Track 1 TSA'!Z47</f>
        <v>0</v>
      </c>
      <c r="AA39" s="452">
        <f>'HR Track 1 TSA'!AA47</f>
        <v>0.45</v>
      </c>
      <c r="AB39" s="452">
        <f>'HR Track 1 TSA'!AB47</f>
        <v>0</v>
      </c>
      <c r="AC39" s="452" t="str">
        <f>'HR Track 1 TSA'!AC47</f>
        <v>PHC-1150</v>
      </c>
      <c r="AD39" s="452">
        <f>'HR Track 1 TSA'!AD47</f>
        <v>0</v>
      </c>
      <c r="AE39" s="452">
        <f>'HR Track 1 TSA'!AE47</f>
        <v>0</v>
      </c>
      <c r="AF39" s="452">
        <f>'HR Track 1 TSA'!AF47</f>
        <v>4400</v>
      </c>
      <c r="AG39" s="451">
        <f>'HR Track 1 TSA'!AG47</f>
        <v>93400.38</v>
      </c>
      <c r="AH39" s="452">
        <f>'HR Track 1 TSA'!AH47</f>
        <v>2113</v>
      </c>
      <c r="AI39" s="452">
        <f>'HR Track 1 TSA'!AI47</f>
        <v>-900</v>
      </c>
      <c r="AJ39" s="452">
        <f>'HR Track 1 TSA'!AJ47</f>
        <v>0</v>
      </c>
      <c r="AK39" s="452">
        <f>'HR Track 1 TSA'!AK47</f>
        <v>0</v>
      </c>
      <c r="AL39" s="452">
        <f>'HR Track 1 TSA'!AL47</f>
        <v>0</v>
      </c>
      <c r="AM39" s="452" t="str">
        <f>'HR Track 1 TSA'!AM47</f>
        <v>RW2</v>
      </c>
      <c r="AN39" s="500">
        <f>'HR Track 1 TSA'!AN47</f>
        <v>5.15</v>
      </c>
      <c r="AO39" s="452">
        <f>'HR Track 1 TSA'!AO47</f>
        <v>0</v>
      </c>
      <c r="AP39" s="452">
        <f>'HR Track 1 TSA'!AP47</f>
        <v>0</v>
      </c>
      <c r="AQ39" s="452">
        <f>'HR Track 1 TSA'!AQ47</f>
        <v>0</v>
      </c>
      <c r="AR39" s="452">
        <f>'HR Track 1 TSA'!AR47</f>
        <v>0</v>
      </c>
      <c r="AS39" s="452">
        <f>'HR Track 1 TSA'!AS47</f>
        <v>0</v>
      </c>
      <c r="AT39" s="452">
        <f>'HR Track 1 TSA'!AT47</f>
        <v>2.9482641881664269</v>
      </c>
      <c r="AU39" s="452">
        <f>'HR Track 1 TSA'!AU47</f>
        <v>0</v>
      </c>
      <c r="AV39" s="452">
        <f>'HR Track 1 TSA'!AV47</f>
        <v>0</v>
      </c>
      <c r="AW39" s="452" t="str">
        <f>'HR Track 1 TSA'!AW47</f>
        <v>DW6927</v>
      </c>
      <c r="AX39" s="452">
        <f>'HR Track 1 TSA'!AX47</f>
        <v>0</v>
      </c>
      <c r="AY39" s="500">
        <f>'HR Track 1 TSA'!AY47</f>
        <v>0</v>
      </c>
      <c r="AZ39" s="500">
        <f>'HR Track 1 TSA'!AZ47</f>
        <v>0</v>
      </c>
      <c r="BA39" s="1333" t="str">
        <f>'HR Track 1 TSA'!BA47</f>
        <v>ü</v>
      </c>
      <c r="BB39" s="452" t="str">
        <f>'HR Track 1 TSA'!BB47</f>
        <v>App.7-V11A-P9.5.1.5</v>
      </c>
      <c r="BC39" s="1334">
        <f>'HR Track 1 TSA'!BC47</f>
        <v>0</v>
      </c>
      <c r="BD39" s="1335">
        <f>'HR Track 1 TSA'!BD47</f>
        <v>43847</v>
      </c>
      <c r="BE39" s="1335">
        <f>'HR Track 1 TSA'!BE47</f>
        <v>0</v>
      </c>
      <c r="BF39" s="1335">
        <f>'HR Track 1 TSA'!BF47</f>
        <v>0</v>
      </c>
      <c r="BG39" s="1335">
        <f>'HR Track 1 TSA'!BG47</f>
        <v>43893</v>
      </c>
    </row>
    <row r="40" spans="1:59" ht="15.75" customHeight="1">
      <c r="A40" s="501">
        <f>'HR Track 1 TSA'!A48</f>
        <v>0</v>
      </c>
      <c r="B40" s="716">
        <f>'HR Track 1 TSA'!B48</f>
        <v>0</v>
      </c>
      <c r="C40" s="451">
        <f>'HR Track 1 TSA'!C48</f>
        <v>0</v>
      </c>
      <c r="D40" s="453">
        <f>'HR Track 1 TSA'!D48</f>
        <v>0</v>
      </c>
      <c r="E40" s="452">
        <f>'HR Track 1 TSA'!E48</f>
        <v>0</v>
      </c>
      <c r="F40" s="453">
        <f>'HR Track 1 TSA'!F48</f>
        <v>0</v>
      </c>
      <c r="G40" s="500">
        <f>'HR Track 1 TSA'!G48</f>
        <v>25</v>
      </c>
      <c r="H40" s="453">
        <f>'HR Track 1 TSA'!H48</f>
        <v>0</v>
      </c>
      <c r="I40" s="501">
        <f>'HR Track 1 TSA'!I48</f>
        <v>0</v>
      </c>
      <c r="J40" s="583">
        <f>'HR Track 1 TSA'!J48</f>
        <v>0</v>
      </c>
      <c r="K40" s="452">
        <f>'HR Track 1 TSA'!K48</f>
        <v>0</v>
      </c>
      <c r="L40" s="452">
        <f>'HR Track 1 TSA'!L48</f>
        <v>0</v>
      </c>
      <c r="M40" s="452">
        <f>'HR Track 1 TSA'!M48</f>
        <v>0</v>
      </c>
      <c r="N40" s="501">
        <f>'HR Track 1 TSA'!N48</f>
        <v>0</v>
      </c>
      <c r="O40" s="501">
        <f>'HR Track 1 TSA'!O48</f>
        <v>0</v>
      </c>
      <c r="P40" s="501">
        <f>'HR Track 1 TSA'!P48</f>
        <v>0</v>
      </c>
      <c r="Q40" s="452">
        <f>'HR Track 1 TSA'!Q48</f>
        <v>0</v>
      </c>
      <c r="R40" s="452">
        <f>'HR Track 1 TSA'!R48</f>
        <v>0</v>
      </c>
      <c r="S40" s="500">
        <f>'HR Track 1 TSA'!S48</f>
        <v>24.619999999995343</v>
      </c>
      <c r="T40" s="452">
        <f>'HR Track 1 TSA'!T48</f>
        <v>0</v>
      </c>
      <c r="U40" s="452">
        <f>'HR Track 1 TSA'!U48</f>
        <v>0</v>
      </c>
      <c r="V40" s="452">
        <f>'HR Track 1 TSA'!V48</f>
        <v>0</v>
      </c>
      <c r="W40" s="452">
        <f>'HR Track 1 TSA'!W48</f>
        <v>0</v>
      </c>
      <c r="X40" s="452">
        <f>'HR Track 1 TSA'!X48</f>
        <v>0</v>
      </c>
      <c r="Y40" s="452">
        <f>'HR Track 1 TSA'!Y48</f>
        <v>0</v>
      </c>
      <c r="Z40" s="452">
        <f>'HR Track 1 TSA'!Z48</f>
        <v>0</v>
      </c>
      <c r="AA40" s="452">
        <f>'HR Track 1 TSA'!AA48</f>
        <v>0</v>
      </c>
      <c r="AB40" s="452">
        <f>'HR Track 1 TSA'!AB48</f>
        <v>0</v>
      </c>
      <c r="AC40" s="452">
        <f>'HR Track 1 TSA'!AC48</f>
        <v>0</v>
      </c>
      <c r="AD40" s="452">
        <f>'HR Track 1 TSA'!AD48</f>
        <v>0</v>
      </c>
      <c r="AE40" s="452">
        <f>'HR Track 1 TSA'!AE48</f>
        <v>0</v>
      </c>
      <c r="AF40" s="452">
        <f>'HR Track 1 TSA'!AF48</f>
        <v>0</v>
      </c>
      <c r="AG40" s="451">
        <f>'HR Track 1 TSA'!AG48</f>
        <v>0</v>
      </c>
      <c r="AH40" s="452">
        <f>'HR Track 1 TSA'!AH48</f>
        <v>0</v>
      </c>
      <c r="AI40" s="452">
        <f>'HR Track 1 TSA'!AI48</f>
        <v>0</v>
      </c>
      <c r="AJ40" s="452">
        <f>'HR Track 1 TSA'!AJ48</f>
        <v>0</v>
      </c>
      <c r="AK40" s="452">
        <f>'HR Track 1 TSA'!AK48</f>
        <v>0</v>
      </c>
      <c r="AL40" s="452">
        <f>'HR Track 1 TSA'!AL48</f>
        <v>0</v>
      </c>
      <c r="AM40" s="452">
        <f>'HR Track 1 TSA'!AM48</f>
        <v>0</v>
      </c>
      <c r="AN40" s="500">
        <f>'HR Track 1 TSA'!AN48</f>
        <v>0</v>
      </c>
      <c r="AO40" s="452">
        <f>'HR Track 1 TSA'!AO48</f>
        <v>0</v>
      </c>
      <c r="AP40" s="452">
        <f>'HR Track 1 TSA'!AP48</f>
        <v>0</v>
      </c>
      <c r="AQ40" s="452">
        <f>'HR Track 1 TSA'!AQ48</f>
        <v>0.3</v>
      </c>
      <c r="AR40" s="452">
        <f>'HR Track 1 TSA'!AR48</f>
        <v>0</v>
      </c>
      <c r="AS40" s="452">
        <f>'HR Track 1 TSA'!AS48</f>
        <v>0</v>
      </c>
      <c r="AT40" s="452">
        <f>'HR Track 1 TSA'!AT48</f>
        <v>0</v>
      </c>
      <c r="AU40" s="452">
        <f>'HR Track 1 TSA'!AU48</f>
        <v>0</v>
      </c>
      <c r="AV40" s="452">
        <f>'HR Track 1 TSA'!AV48</f>
        <v>0</v>
      </c>
      <c r="AW40" s="452">
        <f>'HR Track 1 TSA'!AW48</f>
        <v>0</v>
      </c>
      <c r="AX40" s="452">
        <f>'HR Track 1 TSA'!AX48</f>
        <v>0</v>
      </c>
      <c r="AY40" s="500" t="str">
        <f>'HR Track 1 TSA'!AY48</f>
        <v/>
      </c>
      <c r="AZ40" s="500" t="str">
        <f>'HR Track 1 TSA'!AZ48</f>
        <v/>
      </c>
      <c r="BA40" s="1333">
        <f>'HR Track 1 TSA'!BA48</f>
        <v>0</v>
      </c>
      <c r="BB40" s="452">
        <f>'HR Track 1 TSA'!BB48</f>
        <v>0</v>
      </c>
      <c r="BC40" s="1334">
        <f>'HR Track 1 TSA'!BC48</f>
        <v>0</v>
      </c>
      <c r="BD40" s="1335">
        <f>'HR Track 1 TSA'!BD48</f>
        <v>0</v>
      </c>
      <c r="BE40" s="1335">
        <f>'HR Track 1 TSA'!BE48</f>
        <v>0</v>
      </c>
      <c r="BF40" s="1335">
        <f>'HR Track 1 TSA'!BF48</f>
        <v>0</v>
      </c>
      <c r="BG40" s="1335">
        <f>'HR Track 1 TSA'!BG48</f>
        <v>0</v>
      </c>
    </row>
    <row r="41" spans="1:59" ht="15.75" customHeight="1">
      <c r="A41" s="501">
        <f>'HR Track 1 TSA'!A49</f>
        <v>0</v>
      </c>
      <c r="B41" s="716" t="str">
        <f>'HR Track 1 TSA'!B49</f>
        <v>93-1.10BIS</v>
      </c>
      <c r="C41" s="451">
        <f>'HR Track 1 TSA'!C49</f>
        <v>93425.950000000026</v>
      </c>
      <c r="D41" s="453">
        <f>'HR Track 1 TSA'!D49</f>
        <v>0</v>
      </c>
      <c r="E41" s="452">
        <f>'HR Track 1 TSA'!E49</f>
        <v>0</v>
      </c>
      <c r="F41" s="453">
        <f>'HR Track 1 TSA'!F49</f>
        <v>610</v>
      </c>
      <c r="G41" s="500">
        <f>'HR Track 1 TSA'!G49</f>
        <v>0</v>
      </c>
      <c r="H41" s="453" t="str">
        <f>'HR Track 1 TSA'!H49</f>
        <v>A/S-Diag</v>
      </c>
      <c r="I41" s="501" t="str">
        <f>'HR Track 1 TSA'!I49</f>
        <v>CP+AnMC</v>
      </c>
      <c r="J41" s="583">
        <f>'HR Track 1 TSA'!J49</f>
        <v>0</v>
      </c>
      <c r="K41" s="452">
        <f>'HR Track 1 TSA'!K49</f>
        <v>0</v>
      </c>
      <c r="L41" s="452" t="str">
        <f>'HR Track 1 TSA'!L49</f>
        <v>HEB-280 (CP)</v>
      </c>
      <c r="M41" s="452" t="str">
        <f>'HR Track 1 TSA'!M49</f>
        <v>WS5</v>
      </c>
      <c r="N41" s="501" t="str">
        <f>'HR Track 1 TSA'!N49</f>
        <v>EMT-2</v>
      </c>
      <c r="O41" s="501">
        <f>'HR Track 1 TSA'!O49</f>
        <v>0</v>
      </c>
      <c r="P41" s="501">
        <f>'HR Track 1 TSA'!P49</f>
        <v>0</v>
      </c>
      <c r="Q41" s="452">
        <f>'HR Track 1 TSA'!Q49</f>
        <v>30</v>
      </c>
      <c r="R41" s="452">
        <f>'HR Track 1 TSA'!R49</f>
        <v>610</v>
      </c>
      <c r="S41" s="500">
        <f>'HR Track 1 TSA'!S49</f>
        <v>0</v>
      </c>
      <c r="T41" s="452">
        <f>'HR Track 1 TSA'!T49</f>
        <v>30</v>
      </c>
      <c r="U41" s="452">
        <f>'HR Track 1 TSA'!U49</f>
        <v>0</v>
      </c>
      <c r="V41" s="452">
        <f>'HR Track 1 TSA'!V49</f>
        <v>0</v>
      </c>
      <c r="W41" s="452">
        <f>'HR Track 1 TSA'!W49</f>
        <v>0.9</v>
      </c>
      <c r="X41" s="452">
        <f>'HR Track 1 TSA'!X49</f>
        <v>0</v>
      </c>
      <c r="Y41" s="452">
        <f>'HR Track 1 TSA'!Y49</f>
        <v>0</v>
      </c>
      <c r="Z41" s="452">
        <f>'HR Track 1 TSA'!Z49</f>
        <v>0</v>
      </c>
      <c r="AA41" s="452">
        <f>'HR Track 1 TSA'!AA49</f>
        <v>0</v>
      </c>
      <c r="AB41" s="452">
        <f>'HR Track 1 TSA'!AB49</f>
        <v>0</v>
      </c>
      <c r="AC41" s="452" t="str">
        <f>'HR Track 1 TSA'!AC49</f>
        <v>PHQ-1150</v>
      </c>
      <c r="AD41" s="452">
        <f>'HR Track 1 TSA'!AD49</f>
        <v>0</v>
      </c>
      <c r="AE41" s="452">
        <f>'HR Track 1 TSA'!AE49</f>
        <v>0</v>
      </c>
      <c r="AF41" s="452">
        <f>'HR Track 1 TSA'!AF49</f>
        <v>4800</v>
      </c>
      <c r="AG41" s="451">
        <f>'HR Track 1 TSA'!AG49</f>
        <v>93425</v>
      </c>
      <c r="AH41" s="452">
        <f>'HR Track 1 TSA'!AH49</f>
        <v>2563</v>
      </c>
      <c r="AI41" s="452">
        <f>'HR Track 1 TSA'!AI49</f>
        <v>-620</v>
      </c>
      <c r="AJ41" s="452">
        <f>'HR Track 1 TSA'!AJ49</f>
        <v>0</v>
      </c>
      <c r="AK41" s="452">
        <f>'HR Track 1 TSA'!AK49</f>
        <v>0</v>
      </c>
      <c r="AL41" s="452">
        <f>'HR Track 1 TSA'!AL49</f>
        <v>0</v>
      </c>
      <c r="AM41" s="452" t="str">
        <f>'HR Track 1 TSA'!AM49</f>
        <v>RW2</v>
      </c>
      <c r="AN41" s="500">
        <f>'HR Track 1 TSA'!AN49</f>
        <v>5.15</v>
      </c>
      <c r="AO41" s="452">
        <f>'HR Track 1 TSA'!AO49</f>
        <v>0</v>
      </c>
      <c r="AP41" s="452">
        <f>'HR Track 1 TSA'!AP49</f>
        <v>0</v>
      </c>
      <c r="AQ41" s="452">
        <f>'HR Track 1 TSA'!AQ49</f>
        <v>0</v>
      </c>
      <c r="AR41" s="452">
        <f>'HR Track 1 TSA'!AR49</f>
        <v>0</v>
      </c>
      <c r="AS41" s="452">
        <f>'HR Track 1 TSA'!AS49</f>
        <v>0</v>
      </c>
      <c r="AT41" s="452">
        <f>'HR Track 1 TSA'!AT49</f>
        <v>4.5805896950649068</v>
      </c>
      <c r="AU41" s="452">
        <f>'HR Track 1 TSA'!AU49</f>
        <v>0</v>
      </c>
      <c r="AV41" s="452">
        <f>'HR Track 1 TSA'!AV49</f>
        <v>0</v>
      </c>
      <c r="AW41" s="452" t="str">
        <f>'HR Track 1 TSA'!AW49</f>
        <v>DW6927</v>
      </c>
      <c r="AX41" s="452">
        <f>'HR Track 1 TSA'!AX49</f>
        <v>0</v>
      </c>
      <c r="AY41" s="500" t="str">
        <f>'HR Track 1 TSA'!AY49</f>
        <v/>
      </c>
      <c r="AZ41" s="500" t="str">
        <f>'HR Track 1 TSA'!AZ49</f>
        <v/>
      </c>
      <c r="BA41" s="1333" t="str">
        <f>'HR Track 1 TSA'!BA49</f>
        <v>ü</v>
      </c>
      <c r="BB41" s="452" t="str">
        <f>'HR Track 1 TSA'!BB49</f>
        <v>App.7-V11A-P9.5.1.6</v>
      </c>
      <c r="BC41" s="1334">
        <f>'HR Track 1 TSA'!BC49</f>
        <v>0</v>
      </c>
      <c r="BD41" s="1335">
        <f>'HR Track 1 TSA'!BD49</f>
        <v>43847</v>
      </c>
      <c r="BE41" s="1335">
        <f>'HR Track 1 TSA'!BE49</f>
        <v>43859</v>
      </c>
      <c r="BF41" s="1335">
        <f>'HR Track 1 TSA'!BF49</f>
        <v>0</v>
      </c>
      <c r="BG41" s="1335">
        <f>'HR Track 1 TSA'!BG49</f>
        <v>43870</v>
      </c>
    </row>
    <row r="42" spans="1:59" ht="15.75" customHeight="1">
      <c r="A42" s="501">
        <f>'HR Track 1 TSA'!A50</f>
        <v>0</v>
      </c>
      <c r="B42" s="716">
        <f>'HR Track 1 TSA'!B50</f>
        <v>0</v>
      </c>
      <c r="C42" s="451">
        <f>'HR Track 1 TSA'!C50</f>
        <v>0</v>
      </c>
      <c r="D42" s="453">
        <f>'HR Track 1 TSA'!D50</f>
        <v>0</v>
      </c>
      <c r="E42" s="452">
        <f>'HR Track 1 TSA'!E50</f>
        <v>0</v>
      </c>
      <c r="F42" s="453">
        <f>'HR Track 1 TSA'!F50</f>
        <v>0</v>
      </c>
      <c r="G42" s="500">
        <f>'HR Track 1 TSA'!G50</f>
        <v>26</v>
      </c>
      <c r="H42" s="453">
        <f>'HR Track 1 TSA'!H50</f>
        <v>0</v>
      </c>
      <c r="I42" s="501">
        <f>'HR Track 1 TSA'!I50</f>
        <v>0</v>
      </c>
      <c r="J42" s="583">
        <f>'HR Track 1 TSA'!J50</f>
        <v>93433.450000000026</v>
      </c>
      <c r="K42" s="452" t="str">
        <f>'HR Track 1 TSA'!K50</f>
        <v>AnMC-W</v>
      </c>
      <c r="L42" s="452">
        <f>'HR Track 1 TSA'!L50</f>
        <v>0</v>
      </c>
      <c r="M42" s="452">
        <f>'HR Track 1 TSA'!M50</f>
        <v>0</v>
      </c>
      <c r="N42" s="501">
        <f>'HR Track 1 TSA'!N50</f>
        <v>0</v>
      </c>
      <c r="O42" s="501">
        <f>'HR Track 1 TSA'!O50</f>
        <v>0</v>
      </c>
      <c r="P42" s="501">
        <f>'HR Track 1 TSA'!P50</f>
        <v>0</v>
      </c>
      <c r="Q42" s="452">
        <f>'HR Track 1 TSA'!Q50</f>
        <v>0</v>
      </c>
      <c r="R42" s="452">
        <f>'HR Track 1 TSA'!R50</f>
        <v>0</v>
      </c>
      <c r="S42" s="500">
        <f>'HR Track 1 TSA'!S50</f>
        <v>26.410000000003492</v>
      </c>
      <c r="T42" s="452">
        <f>'HR Track 1 TSA'!T50</f>
        <v>0</v>
      </c>
      <c r="U42" s="452">
        <f>'HR Track 1 TSA'!U50</f>
        <v>0</v>
      </c>
      <c r="V42" s="452">
        <f>'HR Track 1 TSA'!V50</f>
        <v>0</v>
      </c>
      <c r="W42" s="452">
        <f>'HR Track 1 TSA'!W50</f>
        <v>0</v>
      </c>
      <c r="X42" s="452">
        <f>'HR Track 1 TSA'!X50</f>
        <v>0</v>
      </c>
      <c r="Y42" s="452">
        <f>'HR Track 1 TSA'!Y50</f>
        <v>0</v>
      </c>
      <c r="Z42" s="452">
        <f>'HR Track 1 TSA'!Z50</f>
        <v>0</v>
      </c>
      <c r="AA42" s="452">
        <f>'HR Track 1 TSA'!AA50</f>
        <v>0</v>
      </c>
      <c r="AB42" s="452">
        <f>'HR Track 1 TSA'!AB50</f>
        <v>0</v>
      </c>
      <c r="AC42" s="452">
        <f>'HR Track 1 TSA'!AC50</f>
        <v>0</v>
      </c>
      <c r="AD42" s="452">
        <f>'HR Track 1 TSA'!AD50</f>
        <v>0</v>
      </c>
      <c r="AE42" s="452">
        <f>'HR Track 1 TSA'!AE50</f>
        <v>0</v>
      </c>
      <c r="AF42" s="452">
        <f>'HR Track 1 TSA'!AF50</f>
        <v>0</v>
      </c>
      <c r="AG42" s="451">
        <f>'HR Track 1 TSA'!AG50</f>
        <v>0</v>
      </c>
      <c r="AH42" s="452">
        <f>'HR Track 1 TSA'!AH50</f>
        <v>0</v>
      </c>
      <c r="AI42" s="452">
        <f>'HR Track 1 TSA'!AI50</f>
        <v>0</v>
      </c>
      <c r="AJ42" s="452">
        <f>'HR Track 1 TSA'!AJ50</f>
        <v>0</v>
      </c>
      <c r="AK42" s="452">
        <f>'HR Track 1 TSA'!AK50</f>
        <v>0</v>
      </c>
      <c r="AL42" s="452">
        <f>'HR Track 1 TSA'!AL50</f>
        <v>0</v>
      </c>
      <c r="AM42" s="452">
        <f>'HR Track 1 TSA'!AM50</f>
        <v>0</v>
      </c>
      <c r="AN42" s="500">
        <f>'HR Track 1 TSA'!AN50</f>
        <v>0</v>
      </c>
      <c r="AO42" s="452">
        <f>'HR Track 1 TSA'!AO50</f>
        <v>0</v>
      </c>
      <c r="AP42" s="452">
        <f>'HR Track 1 TSA'!AP50</f>
        <v>0</v>
      </c>
      <c r="AQ42" s="452">
        <f>'HR Track 1 TSA'!AQ50</f>
        <v>0.3</v>
      </c>
      <c r="AR42" s="452">
        <f>'HR Track 1 TSA'!AR50</f>
        <v>0</v>
      </c>
      <c r="AS42" s="452">
        <f>'HR Track 1 TSA'!AS50</f>
        <v>0</v>
      </c>
      <c r="AT42" s="452">
        <f>'HR Track 1 TSA'!AT50</f>
        <v>0</v>
      </c>
      <c r="AU42" s="452">
        <f>'HR Track 1 TSA'!AU50</f>
        <v>0</v>
      </c>
      <c r="AV42" s="452">
        <f>'HR Track 1 TSA'!AV50</f>
        <v>0</v>
      </c>
      <c r="AW42" s="452" t="str">
        <f>'HR Track 1 TSA'!AW50</f>
        <v>DW6999</v>
      </c>
      <c r="AX42" s="452">
        <f>'HR Track 1 TSA'!AX50</f>
        <v>0</v>
      </c>
      <c r="AY42" s="500" t="str">
        <f>'HR Track 1 TSA'!AY50</f>
        <v/>
      </c>
      <c r="AZ42" s="500" t="str">
        <f>'HR Track 1 TSA'!AZ50</f>
        <v/>
      </c>
      <c r="BA42" s="1333" t="str">
        <f>'HR Track 1 TSA'!BA50</f>
        <v>ü</v>
      </c>
      <c r="BB42" s="452">
        <f>'HR Track 1 TSA'!BB50</f>
        <v>0</v>
      </c>
      <c r="BC42" s="1334">
        <f>'HR Track 1 TSA'!BC50</f>
        <v>0</v>
      </c>
      <c r="BD42" s="1335">
        <f>'HR Track 1 TSA'!BD50</f>
        <v>0</v>
      </c>
      <c r="BE42" s="1335">
        <f>'HR Track 1 TSA'!BE50</f>
        <v>0</v>
      </c>
      <c r="BF42" s="1335">
        <f>'HR Track 1 TSA'!BF50</f>
        <v>0</v>
      </c>
      <c r="BG42" s="1335">
        <f>'HR Track 1 TSA'!BG50</f>
        <v>0</v>
      </c>
    </row>
    <row r="43" spans="1:59" ht="15.75" customHeight="1">
      <c r="S43" s="454"/>
      <c r="AN43" s="458"/>
      <c r="BA43" s="1305"/>
      <c r="BC43" s="169"/>
    </row>
    <row r="44" spans="1:59" ht="15.75" customHeight="1">
      <c r="S44" s="454"/>
      <c r="AN44" s="458"/>
      <c r="BA44" s="1305"/>
      <c r="BC44" s="169"/>
    </row>
    <row r="45" spans="1:59" ht="15.75" customHeight="1">
      <c r="S45" s="454"/>
      <c r="AN45" s="458"/>
      <c r="BA45" s="1305"/>
      <c r="BC45" s="169"/>
    </row>
    <row r="46" spans="1:59" ht="15.75" customHeight="1">
      <c r="S46" s="454"/>
      <c r="AN46" s="458"/>
      <c r="BA46" s="1305"/>
      <c r="BC46" s="169"/>
    </row>
    <row r="47" spans="1:59" ht="15.75" customHeight="1">
      <c r="S47" s="454"/>
      <c r="AN47" s="458"/>
      <c r="BA47" s="1305"/>
      <c r="BC47" s="169"/>
    </row>
    <row r="48" spans="1:59" ht="15.75" customHeight="1">
      <c r="S48" s="454"/>
      <c r="AN48" s="458"/>
      <c r="BA48" s="1305"/>
      <c r="BC48" s="169"/>
    </row>
    <row r="49" spans="19:55" ht="15.75" customHeight="1">
      <c r="S49" s="454"/>
      <c r="AN49" s="458"/>
      <c r="BA49" s="1305"/>
      <c r="BC49" s="169"/>
    </row>
    <row r="50" spans="19:55" ht="15.75" customHeight="1">
      <c r="S50" s="454"/>
      <c r="AN50" s="458"/>
      <c r="BA50" s="1305"/>
      <c r="BC50" s="169"/>
    </row>
    <row r="51" spans="19:55" ht="15.75" customHeight="1">
      <c r="S51" s="454"/>
      <c r="AN51" s="458"/>
      <c r="BA51" s="1305"/>
      <c r="BC51" s="169"/>
    </row>
    <row r="52" spans="19:55" ht="15.75" customHeight="1">
      <c r="S52" s="454"/>
      <c r="AN52" s="458"/>
      <c r="BA52" s="1305"/>
      <c r="BC52" s="169"/>
    </row>
    <row r="53" spans="19:55" ht="15.75" customHeight="1">
      <c r="S53" s="454"/>
      <c r="AN53" s="458"/>
      <c r="BA53" s="1305"/>
      <c r="BC53" s="169"/>
    </row>
    <row r="54" spans="19:55" ht="15.75" customHeight="1">
      <c r="S54" s="454"/>
      <c r="AN54" s="458"/>
      <c r="BA54" s="1305"/>
      <c r="BC54" s="169"/>
    </row>
    <row r="55" spans="19:55" ht="15.75" customHeight="1">
      <c r="S55" s="454"/>
      <c r="AN55" s="458"/>
      <c r="BA55" s="1305"/>
      <c r="BC55" s="169"/>
    </row>
    <row r="56" spans="19:55" ht="15.75" customHeight="1">
      <c r="S56" s="454"/>
      <c r="AN56" s="458"/>
      <c r="BA56" s="1305"/>
      <c r="BC56" s="169"/>
    </row>
    <row r="57" spans="19:55" ht="15.75" customHeight="1">
      <c r="S57" s="454"/>
      <c r="AN57" s="458"/>
      <c r="BA57" s="1305"/>
      <c r="BC57" s="169"/>
    </row>
    <row r="58" spans="19:55" ht="15.75" customHeight="1">
      <c r="S58" s="454"/>
      <c r="AN58" s="458"/>
      <c r="BA58" s="1305"/>
      <c r="BC58" s="169"/>
    </row>
    <row r="59" spans="19:55" ht="15.75" customHeight="1">
      <c r="S59" s="454"/>
      <c r="AN59" s="458"/>
      <c r="BA59" s="1305"/>
      <c r="BC59" s="169"/>
    </row>
    <row r="60" spans="19:55" ht="15.75" customHeight="1">
      <c r="S60" s="454"/>
      <c r="AN60" s="458"/>
      <c r="BA60" s="1305"/>
      <c r="BC60" s="169"/>
    </row>
    <row r="61" spans="19:55" ht="15.75" customHeight="1">
      <c r="S61" s="454"/>
      <c r="AN61" s="458"/>
      <c r="BA61" s="1305"/>
      <c r="BC61" s="169"/>
    </row>
    <row r="62" spans="19:55" ht="15.75" customHeight="1">
      <c r="S62" s="454"/>
      <c r="AN62" s="458"/>
      <c r="BA62" s="1305"/>
      <c r="BC62" s="169"/>
    </row>
    <row r="63" spans="19:55" ht="15.75" customHeight="1">
      <c r="S63" s="454"/>
      <c r="AN63" s="458"/>
      <c r="BA63" s="1305"/>
      <c r="BC63" s="169"/>
    </row>
    <row r="64" spans="19:55" ht="15.75" customHeight="1">
      <c r="S64" s="454"/>
      <c r="AN64" s="458"/>
      <c r="BA64" s="1305"/>
      <c r="BC64" s="169"/>
    </row>
    <row r="65" spans="19:55" ht="15.75" customHeight="1">
      <c r="S65" s="454"/>
      <c r="AN65" s="458"/>
      <c r="BA65" s="1305"/>
      <c r="BC65" s="169"/>
    </row>
    <row r="66" spans="19:55" ht="15.75" customHeight="1">
      <c r="S66" s="454"/>
      <c r="AN66" s="458"/>
      <c r="BA66" s="1305"/>
      <c r="BC66" s="169"/>
    </row>
    <row r="67" spans="19:55" ht="15.75" customHeight="1">
      <c r="S67" s="454"/>
      <c r="AN67" s="458"/>
      <c r="BA67" s="1305"/>
      <c r="BC67" s="169"/>
    </row>
    <row r="68" spans="19:55" ht="15.75" customHeight="1">
      <c r="S68" s="454"/>
      <c r="AN68" s="458"/>
      <c r="BA68" s="1305"/>
      <c r="BC68" s="169"/>
    </row>
    <row r="69" spans="19:55" ht="15.75" customHeight="1">
      <c r="S69" s="454"/>
      <c r="AN69" s="458"/>
      <c r="BA69" s="1305"/>
      <c r="BC69" s="169"/>
    </row>
    <row r="70" spans="19:55" ht="15.75" customHeight="1">
      <c r="S70" s="454"/>
      <c r="AN70" s="458"/>
      <c r="BA70" s="1305"/>
      <c r="BC70" s="169"/>
    </row>
    <row r="71" spans="19:55" ht="15.75" customHeight="1">
      <c r="S71" s="454"/>
      <c r="AN71" s="458"/>
      <c r="BA71" s="1305"/>
      <c r="BC71" s="169"/>
    </row>
    <row r="72" spans="19:55" ht="15.75" customHeight="1">
      <c r="S72" s="454"/>
      <c r="AN72" s="458"/>
      <c r="BA72" s="1305"/>
      <c r="BC72" s="169"/>
    </row>
    <row r="73" spans="19:55" ht="15.75" customHeight="1">
      <c r="S73" s="454"/>
      <c r="AN73" s="458"/>
      <c r="BA73" s="1305"/>
      <c r="BC73" s="169"/>
    </row>
    <row r="74" spans="19:55" ht="15.75" customHeight="1">
      <c r="S74" s="454"/>
      <c r="AN74" s="458"/>
      <c r="BA74" s="1305"/>
      <c r="BC74" s="169"/>
    </row>
    <row r="75" spans="19:55" ht="15.75" customHeight="1">
      <c r="S75" s="454"/>
      <c r="AN75" s="458"/>
      <c r="BA75" s="1305"/>
      <c r="BC75" s="169"/>
    </row>
    <row r="76" spans="19:55" ht="15.75" customHeight="1">
      <c r="S76" s="454"/>
      <c r="AN76" s="458"/>
      <c r="BA76" s="1305"/>
      <c r="BC76" s="169"/>
    </row>
    <row r="77" spans="19:55" ht="15.75" customHeight="1">
      <c r="S77" s="454"/>
      <c r="AN77" s="458"/>
      <c r="BA77" s="1305"/>
      <c r="BC77" s="169"/>
    </row>
    <row r="78" spans="19:55" ht="15.75" customHeight="1">
      <c r="S78" s="454"/>
      <c r="AN78" s="458"/>
      <c r="BA78" s="1305"/>
      <c r="BC78" s="169"/>
    </row>
    <row r="79" spans="19:55" ht="15.75" customHeight="1">
      <c r="S79" s="454"/>
      <c r="AN79" s="458"/>
      <c r="BA79" s="1305"/>
      <c r="BC79" s="169"/>
    </row>
    <row r="80" spans="19:55" ht="15.75" customHeight="1">
      <c r="S80" s="454"/>
      <c r="AN80" s="458"/>
      <c r="BA80" s="1305"/>
      <c r="BC80" s="169"/>
    </row>
    <row r="81" spans="19:55" ht="15.75" customHeight="1">
      <c r="S81" s="454"/>
      <c r="AN81" s="458"/>
      <c r="BA81" s="1305"/>
      <c r="BC81" s="169"/>
    </row>
    <row r="82" spans="19:55" ht="15.75" customHeight="1">
      <c r="S82" s="454"/>
      <c r="AN82" s="458"/>
      <c r="BA82" s="1305"/>
      <c r="BC82" s="169"/>
    </row>
    <row r="83" spans="19:55" ht="15.75" customHeight="1">
      <c r="S83" s="454"/>
      <c r="AN83" s="458"/>
      <c r="BA83" s="1305"/>
      <c r="BC83" s="169"/>
    </row>
    <row r="84" spans="19:55" ht="15.75" customHeight="1">
      <c r="S84" s="454"/>
      <c r="AN84" s="458"/>
      <c r="BA84" s="1305"/>
      <c r="BC84" s="169"/>
    </row>
    <row r="85" spans="19:55" ht="15.75" customHeight="1">
      <c r="S85" s="454"/>
      <c r="AN85" s="458"/>
      <c r="BA85" s="1305"/>
      <c r="BC85" s="169"/>
    </row>
    <row r="86" spans="19:55" ht="15.75" customHeight="1">
      <c r="S86" s="454"/>
      <c r="AN86" s="458"/>
      <c r="BA86" s="1305"/>
      <c r="BC86" s="169"/>
    </row>
    <row r="87" spans="19:55" ht="15.75" customHeight="1">
      <c r="S87" s="454"/>
      <c r="AN87" s="458"/>
      <c r="BA87" s="1305"/>
      <c r="BC87" s="169"/>
    </row>
    <row r="88" spans="19:55" ht="15.75" customHeight="1">
      <c r="S88" s="454"/>
      <c r="AN88" s="458"/>
      <c r="BA88" s="1305"/>
      <c r="BC88" s="169"/>
    </row>
    <row r="89" spans="19:55" ht="15.75" customHeight="1">
      <c r="S89" s="454"/>
      <c r="AN89" s="458"/>
      <c r="BA89" s="1305"/>
      <c r="BC89" s="169"/>
    </row>
    <row r="90" spans="19:55" ht="15.75" customHeight="1">
      <c r="S90" s="454"/>
      <c r="AN90" s="458"/>
      <c r="BA90" s="1305"/>
      <c r="BC90" s="169"/>
    </row>
    <row r="91" spans="19:55" ht="15.75" customHeight="1">
      <c r="S91" s="454"/>
      <c r="AN91" s="458"/>
      <c r="BA91" s="1305"/>
      <c r="BC91" s="169"/>
    </row>
    <row r="92" spans="19:55" ht="15.75" customHeight="1">
      <c r="S92" s="454"/>
      <c r="AN92" s="458"/>
      <c r="BA92" s="1305"/>
      <c r="BC92" s="169"/>
    </row>
    <row r="93" spans="19:55" ht="15.75" customHeight="1">
      <c r="S93" s="454"/>
      <c r="AN93" s="458"/>
      <c r="BA93" s="1305"/>
      <c r="BC93" s="169"/>
    </row>
    <row r="94" spans="19:55" ht="15.75" customHeight="1">
      <c r="S94" s="454"/>
      <c r="AN94" s="458"/>
      <c r="BA94" s="1305"/>
      <c r="BC94" s="169"/>
    </row>
    <row r="95" spans="19:55" ht="15.75" customHeight="1">
      <c r="S95" s="454"/>
      <c r="AN95" s="458"/>
      <c r="BA95" s="1305"/>
      <c r="BC95" s="169"/>
    </row>
    <row r="96" spans="19:55" ht="15.75" customHeight="1">
      <c r="S96" s="454"/>
      <c r="AN96" s="458"/>
      <c r="BA96" s="1305"/>
      <c r="BC96" s="169"/>
    </row>
    <row r="97" spans="19:55" ht="15.75" customHeight="1">
      <c r="S97" s="454"/>
      <c r="AN97" s="458"/>
      <c r="BA97" s="1305"/>
      <c r="BC97" s="169"/>
    </row>
    <row r="98" spans="19:55" ht="15.75" customHeight="1">
      <c r="S98" s="454"/>
      <c r="AN98" s="458"/>
      <c r="BA98" s="1305"/>
      <c r="BC98" s="169"/>
    </row>
    <row r="99" spans="19:55" ht="15.75" customHeight="1">
      <c r="S99" s="454"/>
      <c r="AN99" s="458"/>
      <c r="BA99" s="1305"/>
      <c r="BC99" s="169"/>
    </row>
    <row r="100" spans="19:55" ht="15.75" customHeight="1">
      <c r="S100" s="454"/>
      <c r="AN100" s="458"/>
      <c r="BA100" s="1305"/>
      <c r="BC100" s="169"/>
    </row>
    <row r="101" spans="19:55" ht="15.75" customHeight="1">
      <c r="S101" s="454"/>
      <c r="AN101" s="458"/>
      <c r="BA101" s="1305"/>
      <c r="BC101" s="169"/>
    </row>
    <row r="102" spans="19:55" ht="15.75" customHeight="1">
      <c r="S102" s="454"/>
      <c r="AN102" s="458"/>
      <c r="BA102" s="1305"/>
      <c r="BC102" s="169"/>
    </row>
    <row r="103" spans="19:55" ht="15.75" customHeight="1">
      <c r="S103" s="454"/>
      <c r="AN103" s="458"/>
      <c r="BA103" s="1305"/>
      <c r="BC103" s="169"/>
    </row>
    <row r="104" spans="19:55" ht="15.75" customHeight="1">
      <c r="S104" s="454"/>
      <c r="AN104" s="458"/>
      <c r="BA104" s="1305"/>
      <c r="BC104" s="169"/>
    </row>
    <row r="105" spans="19:55" ht="15.75" customHeight="1">
      <c r="S105" s="454"/>
      <c r="AN105" s="458"/>
      <c r="BA105" s="1305"/>
      <c r="BC105" s="169"/>
    </row>
    <row r="106" spans="19:55" ht="15.75" customHeight="1">
      <c r="S106" s="454"/>
      <c r="AN106" s="458"/>
      <c r="BA106" s="1305"/>
      <c r="BC106" s="169"/>
    </row>
    <row r="107" spans="19:55" ht="15.75" customHeight="1">
      <c r="S107" s="454"/>
      <c r="AN107" s="458"/>
      <c r="BA107" s="1305"/>
      <c r="BC107" s="169"/>
    </row>
    <row r="108" spans="19:55" ht="15.75" customHeight="1">
      <c r="S108" s="454"/>
      <c r="AN108" s="458"/>
      <c r="BA108" s="1305"/>
      <c r="BC108" s="169"/>
    </row>
    <row r="109" spans="19:55" ht="15.75" customHeight="1">
      <c r="S109" s="454"/>
      <c r="AN109" s="458"/>
      <c r="BA109" s="1305"/>
      <c r="BC109" s="169"/>
    </row>
    <row r="110" spans="19:55" ht="15.75" customHeight="1">
      <c r="S110" s="454"/>
      <c r="AN110" s="458"/>
      <c r="BA110" s="1305"/>
      <c r="BC110" s="169"/>
    </row>
    <row r="111" spans="19:55" ht="15.75" customHeight="1">
      <c r="S111" s="454"/>
      <c r="AN111" s="458"/>
      <c r="BA111" s="1305"/>
      <c r="BC111" s="169"/>
    </row>
    <row r="112" spans="19:55" ht="15.75" customHeight="1">
      <c r="S112" s="454"/>
      <c r="AN112" s="458"/>
      <c r="BA112" s="1305"/>
      <c r="BC112" s="169"/>
    </row>
    <row r="113" spans="19:55" ht="15.75" customHeight="1">
      <c r="S113" s="454"/>
      <c r="AN113" s="458"/>
      <c r="BA113" s="1305"/>
      <c r="BC113" s="169"/>
    </row>
    <row r="114" spans="19:55" ht="15.75" customHeight="1">
      <c r="S114" s="454"/>
      <c r="AN114" s="458"/>
      <c r="BA114" s="1305"/>
      <c r="BC114" s="169"/>
    </row>
    <row r="115" spans="19:55" ht="15.75" customHeight="1">
      <c r="S115" s="454"/>
      <c r="AN115" s="458"/>
      <c r="BA115" s="1305"/>
      <c r="BC115" s="169"/>
    </row>
    <row r="116" spans="19:55" ht="15.75" customHeight="1">
      <c r="S116" s="454"/>
      <c r="AN116" s="458"/>
      <c r="BA116" s="1305"/>
      <c r="BC116" s="169"/>
    </row>
    <row r="117" spans="19:55" ht="15.75" customHeight="1">
      <c r="S117" s="454"/>
      <c r="AN117" s="458"/>
      <c r="BA117" s="1305"/>
      <c r="BC117" s="169"/>
    </row>
    <row r="118" spans="19:55" ht="15.75" customHeight="1">
      <c r="S118" s="454"/>
      <c r="AN118" s="458"/>
      <c r="BA118" s="1305"/>
      <c r="BC118" s="169"/>
    </row>
    <row r="119" spans="19:55" ht="15.75" customHeight="1">
      <c r="S119" s="454"/>
      <c r="AN119" s="458"/>
      <c r="BA119" s="1305"/>
      <c r="BC119" s="169"/>
    </row>
    <row r="120" spans="19:55" ht="15.75" customHeight="1">
      <c r="S120" s="454"/>
      <c r="AN120" s="458"/>
      <c r="BA120" s="1305"/>
      <c r="BC120" s="169"/>
    </row>
    <row r="121" spans="19:55" ht="15.75" customHeight="1">
      <c r="S121" s="454"/>
      <c r="AN121" s="458"/>
      <c r="BA121" s="1305"/>
      <c r="BC121" s="169"/>
    </row>
    <row r="122" spans="19:55" ht="15.75" customHeight="1">
      <c r="S122" s="454"/>
      <c r="AN122" s="458"/>
      <c r="BA122" s="1305"/>
      <c r="BC122" s="169"/>
    </row>
    <row r="123" spans="19:55" ht="15.75" customHeight="1">
      <c r="S123" s="454"/>
      <c r="AN123" s="458"/>
      <c r="BA123" s="1305"/>
      <c r="BC123" s="169"/>
    </row>
    <row r="124" spans="19:55" ht="15.75" customHeight="1">
      <c r="S124" s="454"/>
      <c r="AN124" s="458"/>
      <c r="BA124" s="1305"/>
      <c r="BC124" s="169"/>
    </row>
    <row r="125" spans="19:55" ht="15.75" customHeight="1">
      <c r="S125" s="454"/>
      <c r="AN125" s="458"/>
      <c r="BA125" s="1305"/>
      <c r="BC125" s="169"/>
    </row>
    <row r="126" spans="19:55" ht="15.75" customHeight="1">
      <c r="S126" s="454"/>
      <c r="AN126" s="458"/>
      <c r="BA126" s="1305"/>
      <c r="BC126" s="169"/>
    </row>
    <row r="127" spans="19:55" ht="15.75" customHeight="1">
      <c r="S127" s="454"/>
      <c r="AN127" s="458"/>
      <c r="BA127" s="1305"/>
      <c r="BC127" s="169"/>
    </row>
    <row r="128" spans="19:55" ht="15.75" customHeight="1">
      <c r="S128" s="454"/>
      <c r="AN128" s="458"/>
      <c r="BA128" s="1305"/>
      <c r="BC128" s="169"/>
    </row>
    <row r="129" spans="19:55" ht="15.75" customHeight="1">
      <c r="S129" s="454"/>
      <c r="AN129" s="458"/>
      <c r="BA129" s="1305"/>
      <c r="BC129" s="169"/>
    </row>
    <row r="130" spans="19:55" ht="15.75" customHeight="1">
      <c r="S130" s="454"/>
      <c r="AN130" s="458"/>
      <c r="BA130" s="1305"/>
      <c r="BC130" s="169"/>
    </row>
    <row r="131" spans="19:55" ht="15.75" customHeight="1">
      <c r="S131" s="454"/>
      <c r="AN131" s="458"/>
      <c r="BA131" s="1305"/>
      <c r="BC131" s="169"/>
    </row>
    <row r="132" spans="19:55" ht="15.75" customHeight="1">
      <c r="S132" s="454"/>
      <c r="AN132" s="458"/>
      <c r="BA132" s="1305"/>
      <c r="BC132" s="169"/>
    </row>
    <row r="133" spans="19:55" ht="15.75" customHeight="1">
      <c r="S133" s="454"/>
      <c r="AN133" s="458"/>
      <c r="BA133" s="1305"/>
      <c r="BC133" s="169"/>
    </row>
    <row r="134" spans="19:55" ht="15.75" customHeight="1">
      <c r="S134" s="454"/>
      <c r="AN134" s="458"/>
      <c r="BA134" s="1305"/>
      <c r="BC134" s="169"/>
    </row>
    <row r="135" spans="19:55" ht="15.75" customHeight="1">
      <c r="S135" s="454"/>
      <c r="AN135" s="458"/>
      <c r="BA135" s="1305"/>
      <c r="BC135" s="169"/>
    </row>
    <row r="136" spans="19:55" ht="15.75" customHeight="1">
      <c r="S136" s="454"/>
      <c r="AN136" s="458"/>
      <c r="BA136" s="1305"/>
      <c r="BC136" s="169"/>
    </row>
    <row r="137" spans="19:55" ht="15.75" customHeight="1">
      <c r="S137" s="454"/>
      <c r="AN137" s="458"/>
      <c r="BA137" s="1305"/>
      <c r="BC137" s="169"/>
    </row>
    <row r="138" spans="19:55" ht="15.75" customHeight="1">
      <c r="S138" s="454"/>
      <c r="AN138" s="458"/>
      <c r="BA138" s="1305"/>
      <c r="BC138" s="169"/>
    </row>
    <row r="139" spans="19:55" ht="15.75" customHeight="1">
      <c r="S139" s="454"/>
      <c r="AN139" s="458"/>
      <c r="BA139" s="1305"/>
      <c r="BC139" s="169"/>
    </row>
    <row r="140" spans="19:55" ht="15.75" customHeight="1">
      <c r="S140" s="454"/>
      <c r="AN140" s="458"/>
      <c r="BA140" s="1305"/>
      <c r="BC140" s="169"/>
    </row>
    <row r="141" spans="19:55" ht="15.75" customHeight="1">
      <c r="S141" s="454"/>
      <c r="AN141" s="458"/>
      <c r="BA141" s="1305"/>
      <c r="BC141" s="169"/>
    </row>
    <row r="142" spans="19:55" ht="15.75" customHeight="1">
      <c r="S142" s="454"/>
      <c r="AN142" s="458"/>
      <c r="BA142" s="1305"/>
      <c r="BC142" s="169"/>
    </row>
    <row r="143" spans="19:55" ht="15.75" customHeight="1">
      <c r="S143" s="454"/>
      <c r="AN143" s="458"/>
      <c r="BA143" s="1305"/>
      <c r="BC143" s="169"/>
    </row>
    <row r="144" spans="19:55" ht="15.75" customHeight="1">
      <c r="S144" s="454"/>
      <c r="AN144" s="458"/>
      <c r="BA144" s="1305"/>
      <c r="BC144" s="169"/>
    </row>
    <row r="145" spans="19:55" ht="15.75" customHeight="1">
      <c r="S145" s="454"/>
      <c r="AN145" s="458"/>
      <c r="BA145" s="1305"/>
      <c r="BC145" s="169"/>
    </row>
    <row r="146" spans="19:55" ht="15.75" customHeight="1">
      <c r="S146" s="454"/>
      <c r="AN146" s="458"/>
      <c r="BA146" s="1305"/>
      <c r="BC146" s="169"/>
    </row>
    <row r="147" spans="19:55" ht="15.75" customHeight="1">
      <c r="S147" s="454"/>
      <c r="AN147" s="458"/>
      <c r="BA147" s="1305"/>
      <c r="BC147" s="169"/>
    </row>
    <row r="148" spans="19:55" ht="15.75" customHeight="1">
      <c r="S148" s="454"/>
      <c r="AN148" s="458"/>
      <c r="BA148" s="1305"/>
      <c r="BC148" s="169"/>
    </row>
    <row r="149" spans="19:55" ht="15.75" customHeight="1">
      <c r="S149" s="454"/>
      <c r="AN149" s="458"/>
      <c r="BA149" s="1305"/>
      <c r="BC149" s="169"/>
    </row>
    <row r="150" spans="19:55" ht="15.75" customHeight="1">
      <c r="S150" s="454"/>
      <c r="AN150" s="458"/>
      <c r="BA150" s="1305"/>
      <c r="BC150" s="169"/>
    </row>
    <row r="151" spans="19:55" ht="15.75" customHeight="1">
      <c r="S151" s="454"/>
      <c r="AN151" s="458"/>
      <c r="BA151" s="1305"/>
      <c r="BC151" s="169"/>
    </row>
    <row r="152" spans="19:55" ht="15.75" customHeight="1">
      <c r="S152" s="454"/>
      <c r="AN152" s="458"/>
      <c r="BA152" s="1305"/>
      <c r="BC152" s="169"/>
    </row>
    <row r="153" spans="19:55" ht="15.75" customHeight="1">
      <c r="S153" s="454"/>
      <c r="AN153" s="458"/>
      <c r="BA153" s="1305"/>
      <c r="BC153" s="169"/>
    </row>
    <row r="154" spans="19:55" ht="15.75" customHeight="1">
      <c r="S154" s="454"/>
      <c r="AN154" s="458"/>
      <c r="BA154" s="1305"/>
      <c r="BC154" s="169"/>
    </row>
    <row r="155" spans="19:55" ht="15.75" customHeight="1">
      <c r="S155" s="454"/>
      <c r="AN155" s="458"/>
      <c r="BA155" s="1305"/>
      <c r="BC155" s="169"/>
    </row>
    <row r="156" spans="19:55" ht="15.75" customHeight="1">
      <c r="S156" s="454"/>
      <c r="AN156" s="458"/>
      <c r="BA156" s="1305"/>
      <c r="BC156" s="169"/>
    </row>
    <row r="157" spans="19:55" ht="15.75" customHeight="1">
      <c r="S157" s="454"/>
      <c r="AN157" s="458"/>
      <c r="BA157" s="1305"/>
      <c r="BC157" s="169"/>
    </row>
    <row r="158" spans="19:55" ht="15.75" customHeight="1">
      <c r="S158" s="454"/>
      <c r="AN158" s="458"/>
      <c r="BA158" s="1305"/>
      <c r="BC158" s="169"/>
    </row>
    <row r="159" spans="19:55" ht="15.75" customHeight="1">
      <c r="S159" s="454"/>
      <c r="AN159" s="458"/>
      <c r="BA159" s="1305"/>
      <c r="BC159" s="169"/>
    </row>
    <row r="160" spans="19:55" ht="15.75" customHeight="1">
      <c r="S160" s="454"/>
      <c r="AN160" s="458"/>
      <c r="BA160" s="1305"/>
      <c r="BC160" s="169"/>
    </row>
    <row r="161" spans="19:55" ht="15.75" customHeight="1">
      <c r="S161" s="454"/>
      <c r="AN161" s="458"/>
      <c r="BA161" s="1305"/>
      <c r="BC161" s="169"/>
    </row>
    <row r="162" spans="19:55" ht="15.75" customHeight="1">
      <c r="S162" s="454"/>
      <c r="AN162" s="458"/>
      <c r="BA162" s="1305"/>
      <c r="BC162" s="169"/>
    </row>
    <row r="163" spans="19:55" ht="15.75" customHeight="1">
      <c r="S163" s="454"/>
      <c r="AN163" s="458"/>
      <c r="BA163" s="1305"/>
      <c r="BC163" s="169"/>
    </row>
    <row r="164" spans="19:55" ht="15.75" customHeight="1">
      <c r="S164" s="454"/>
      <c r="AN164" s="458"/>
      <c r="BA164" s="1305"/>
      <c r="BC164" s="169"/>
    </row>
    <row r="165" spans="19:55" ht="15.75" customHeight="1">
      <c r="S165" s="454"/>
      <c r="AN165" s="458"/>
      <c r="BA165" s="1305"/>
      <c r="BC165" s="169"/>
    </row>
    <row r="166" spans="19:55" ht="15.75" customHeight="1">
      <c r="S166" s="454"/>
      <c r="AN166" s="458"/>
      <c r="BA166" s="1305"/>
      <c r="BC166" s="169"/>
    </row>
    <row r="167" spans="19:55" ht="15.75" customHeight="1">
      <c r="S167" s="454"/>
      <c r="AN167" s="458"/>
      <c r="BA167" s="1305"/>
      <c r="BC167" s="169"/>
    </row>
    <row r="168" spans="19:55" ht="15.75" customHeight="1">
      <c r="S168" s="454"/>
      <c r="AN168" s="458"/>
      <c r="BA168" s="1305"/>
      <c r="BC168" s="169"/>
    </row>
    <row r="169" spans="19:55" ht="15.75" customHeight="1">
      <c r="S169" s="454"/>
      <c r="AN169" s="458"/>
      <c r="BA169" s="1305"/>
      <c r="BC169" s="169"/>
    </row>
    <row r="170" spans="19:55" ht="15.75" customHeight="1">
      <c r="S170" s="454"/>
      <c r="AN170" s="458"/>
      <c r="BA170" s="1305"/>
      <c r="BC170" s="169"/>
    </row>
    <row r="171" spans="19:55" ht="15.75" customHeight="1">
      <c r="S171" s="454"/>
      <c r="AN171" s="458"/>
      <c r="BA171" s="1305"/>
      <c r="BC171" s="169"/>
    </row>
    <row r="172" spans="19:55" ht="15.75" customHeight="1">
      <c r="S172" s="454"/>
      <c r="AN172" s="458"/>
      <c r="BA172" s="1305"/>
      <c r="BC172" s="169"/>
    </row>
    <row r="173" spans="19:55" ht="15.75" customHeight="1">
      <c r="S173" s="454"/>
      <c r="AN173" s="458"/>
      <c r="BA173" s="1305"/>
      <c r="BC173" s="169"/>
    </row>
    <row r="174" spans="19:55" ht="15.75" customHeight="1">
      <c r="S174" s="454"/>
      <c r="AN174" s="458"/>
      <c r="BA174" s="1305"/>
      <c r="BC174" s="169"/>
    </row>
    <row r="175" spans="19:55" ht="15.75" customHeight="1">
      <c r="S175" s="454"/>
      <c r="AN175" s="458"/>
      <c r="BA175" s="1305"/>
      <c r="BC175" s="169"/>
    </row>
    <row r="176" spans="19:55" ht="15.75" customHeight="1">
      <c r="S176" s="454"/>
      <c r="AN176" s="458"/>
      <c r="BA176" s="1305"/>
      <c r="BC176" s="169"/>
    </row>
    <row r="177" spans="19:55" ht="15.75" customHeight="1">
      <c r="S177" s="454"/>
      <c r="AN177" s="458"/>
      <c r="BA177" s="1305"/>
      <c r="BC177" s="169"/>
    </row>
    <row r="178" spans="19:55" ht="15.75" customHeight="1">
      <c r="S178" s="454"/>
      <c r="AN178" s="458"/>
      <c r="BA178" s="1305"/>
      <c r="BC178" s="169"/>
    </row>
    <row r="179" spans="19:55" ht="15.75" customHeight="1">
      <c r="S179" s="454"/>
      <c r="AN179" s="458"/>
      <c r="BA179" s="1305"/>
      <c r="BC179" s="169"/>
    </row>
    <row r="180" spans="19:55" ht="15.75" customHeight="1">
      <c r="S180" s="454"/>
      <c r="AN180" s="458"/>
      <c r="BA180" s="1305"/>
      <c r="BC180" s="169"/>
    </row>
    <row r="181" spans="19:55" ht="15.75" customHeight="1">
      <c r="S181" s="454"/>
      <c r="AN181" s="458"/>
      <c r="BA181" s="1305"/>
      <c r="BC181" s="169"/>
    </row>
    <row r="182" spans="19:55" ht="15.75" customHeight="1">
      <c r="S182" s="454"/>
      <c r="AN182" s="458"/>
      <c r="BA182" s="1305"/>
      <c r="BC182" s="169"/>
    </row>
    <row r="183" spans="19:55" ht="15.75" customHeight="1">
      <c r="S183" s="454"/>
      <c r="AN183" s="458"/>
      <c r="BA183" s="1305"/>
      <c r="BC183" s="169"/>
    </row>
    <row r="184" spans="19:55" ht="15.75" customHeight="1">
      <c r="S184" s="454"/>
      <c r="AN184" s="458"/>
      <c r="BA184" s="1305"/>
      <c r="BC184" s="169"/>
    </row>
    <row r="185" spans="19:55" ht="15.75" customHeight="1">
      <c r="S185" s="454"/>
      <c r="AN185" s="458"/>
      <c r="BA185" s="1305"/>
      <c r="BC185" s="169"/>
    </row>
    <row r="186" spans="19:55" ht="15.75" customHeight="1">
      <c r="S186" s="454"/>
      <c r="AN186" s="458"/>
      <c r="BA186" s="1305"/>
      <c r="BC186" s="169"/>
    </row>
    <row r="187" spans="19:55" ht="15.75" customHeight="1">
      <c r="S187" s="454"/>
      <c r="AN187" s="458"/>
      <c r="BA187" s="1305"/>
      <c r="BC187" s="169"/>
    </row>
    <row r="188" spans="19:55" ht="15.75" customHeight="1">
      <c r="S188" s="454"/>
      <c r="AN188" s="458"/>
      <c r="BA188" s="1305"/>
      <c r="BC188" s="169"/>
    </row>
    <row r="189" spans="19:55" ht="15.75" customHeight="1">
      <c r="S189" s="454"/>
      <c r="AN189" s="458"/>
      <c r="BA189" s="1305"/>
      <c r="BC189" s="169"/>
    </row>
    <row r="190" spans="19:55" ht="15.75" customHeight="1">
      <c r="S190" s="454"/>
      <c r="AN190" s="458"/>
      <c r="BA190" s="1305"/>
      <c r="BC190" s="169"/>
    </row>
    <row r="191" spans="19:55" ht="15.75" customHeight="1">
      <c r="S191" s="454"/>
      <c r="AN191" s="458"/>
      <c r="BA191" s="1305"/>
      <c r="BC191" s="169"/>
    </row>
    <row r="192" spans="19:55" ht="15.75" customHeight="1">
      <c r="S192" s="454"/>
      <c r="AN192" s="458"/>
      <c r="BA192" s="1305"/>
      <c r="BC192" s="169"/>
    </row>
    <row r="193" spans="19:55" ht="15.75" customHeight="1">
      <c r="S193" s="454"/>
      <c r="AN193" s="458"/>
      <c r="BA193" s="1305"/>
      <c r="BC193" s="169"/>
    </row>
    <row r="194" spans="19:55" ht="15.75" customHeight="1">
      <c r="S194" s="454"/>
      <c r="AN194" s="458"/>
      <c r="BA194" s="1305"/>
      <c r="BC194" s="169"/>
    </row>
    <row r="195" spans="19:55" ht="15.75" customHeight="1">
      <c r="S195" s="454"/>
      <c r="AN195" s="458"/>
      <c r="BA195" s="1305"/>
      <c r="BC195" s="169"/>
    </row>
    <row r="196" spans="19:55" ht="15.75" customHeight="1">
      <c r="S196" s="454"/>
      <c r="AN196" s="458"/>
      <c r="BA196" s="1305"/>
      <c r="BC196" s="169"/>
    </row>
    <row r="197" spans="19:55" ht="15.75" customHeight="1">
      <c r="S197" s="454"/>
      <c r="AN197" s="458"/>
      <c r="BA197" s="1305"/>
      <c r="BC197" s="169"/>
    </row>
    <row r="198" spans="19:55" ht="15.75" customHeight="1">
      <c r="S198" s="454"/>
      <c r="AN198" s="458"/>
      <c r="BA198" s="1305"/>
      <c r="BC198" s="169"/>
    </row>
    <row r="199" spans="19:55" ht="15.75" customHeight="1">
      <c r="S199" s="454"/>
      <c r="AN199" s="458"/>
      <c r="BA199" s="1305"/>
      <c r="BC199" s="169"/>
    </row>
    <row r="200" spans="19:55" ht="15.75" customHeight="1">
      <c r="S200" s="454"/>
      <c r="AN200" s="458"/>
      <c r="BA200" s="1305"/>
      <c r="BC200" s="169"/>
    </row>
    <row r="201" spans="19:55" ht="15.75" customHeight="1">
      <c r="S201" s="454"/>
      <c r="AN201" s="458"/>
      <c r="BA201" s="1305"/>
      <c r="BC201" s="169"/>
    </row>
    <row r="202" spans="19:55" ht="15.75" customHeight="1">
      <c r="S202" s="454"/>
      <c r="AN202" s="458"/>
      <c r="BA202" s="1305"/>
      <c r="BC202" s="169"/>
    </row>
    <row r="203" spans="19:55" ht="15.75" customHeight="1">
      <c r="S203" s="454"/>
      <c r="AN203" s="458"/>
      <c r="BA203" s="1305"/>
      <c r="BC203" s="169"/>
    </row>
    <row r="204" spans="19:55" ht="15.75" customHeight="1">
      <c r="S204" s="454"/>
      <c r="AN204" s="458"/>
      <c r="BA204" s="1305"/>
      <c r="BC204" s="169"/>
    </row>
    <row r="205" spans="19:55" ht="15.75" customHeight="1">
      <c r="S205" s="454"/>
      <c r="AN205" s="458"/>
      <c r="BA205" s="1305"/>
      <c r="BC205" s="169"/>
    </row>
    <row r="206" spans="19:55" ht="15.75" customHeight="1">
      <c r="S206" s="454"/>
      <c r="AN206" s="458"/>
      <c r="BA206" s="1305"/>
      <c r="BC206" s="169"/>
    </row>
    <row r="207" spans="19:55" ht="15.75" customHeight="1">
      <c r="S207" s="454"/>
      <c r="AN207" s="458"/>
      <c r="BA207" s="1305"/>
      <c r="BC207" s="169"/>
    </row>
    <row r="208" spans="19:55" ht="15.75" customHeight="1">
      <c r="S208" s="454"/>
      <c r="AN208" s="458"/>
      <c r="BA208" s="1305"/>
      <c r="BC208" s="169"/>
    </row>
    <row r="209" spans="19:55" ht="15.75" customHeight="1">
      <c r="S209" s="454"/>
      <c r="AN209" s="458"/>
      <c r="BA209" s="1305"/>
      <c r="BC209" s="169"/>
    </row>
    <row r="210" spans="19:55" ht="15.75" customHeight="1">
      <c r="S210" s="454"/>
      <c r="AN210" s="458"/>
      <c r="BA210" s="1305"/>
      <c r="BC210" s="169"/>
    </row>
    <row r="211" spans="19:55" ht="15.75" customHeight="1">
      <c r="S211" s="454"/>
      <c r="AN211" s="458"/>
      <c r="BA211" s="1305"/>
      <c r="BC211" s="169"/>
    </row>
    <row r="212" spans="19:55" ht="15.75" customHeight="1">
      <c r="S212" s="454"/>
      <c r="AN212" s="458"/>
      <c r="BA212" s="1305"/>
      <c r="BC212" s="169"/>
    </row>
    <row r="213" spans="19:55" ht="15.75" customHeight="1">
      <c r="S213" s="454"/>
      <c r="AN213" s="458"/>
      <c r="BA213" s="1305"/>
      <c r="BC213" s="169"/>
    </row>
    <row r="214" spans="19:55" ht="15.75" customHeight="1">
      <c r="S214" s="454"/>
      <c r="AN214" s="458"/>
      <c r="BA214" s="1305"/>
      <c r="BC214" s="169"/>
    </row>
    <row r="215" spans="19:55" ht="15.75" customHeight="1">
      <c r="S215" s="454"/>
      <c r="AN215" s="458"/>
      <c r="BA215" s="1305"/>
      <c r="BC215" s="169"/>
    </row>
    <row r="216" spans="19:55" ht="15.75" customHeight="1">
      <c r="S216" s="454"/>
      <c r="AN216" s="458"/>
      <c r="BA216" s="1305"/>
      <c r="BC216" s="169"/>
    </row>
    <row r="217" spans="19:55" ht="15.75" customHeight="1">
      <c r="S217" s="454"/>
      <c r="AN217" s="458"/>
      <c r="BA217" s="1305"/>
      <c r="BC217" s="169"/>
    </row>
    <row r="218" spans="19:55" ht="15.75" customHeight="1">
      <c r="S218" s="454"/>
      <c r="AN218" s="458"/>
      <c r="BA218" s="1305"/>
      <c r="BC218" s="169"/>
    </row>
    <row r="219" spans="19:55" ht="15.75" customHeight="1">
      <c r="S219" s="454"/>
      <c r="AN219" s="458"/>
      <c r="BA219" s="1305"/>
      <c r="BC219" s="169"/>
    </row>
    <row r="220" spans="19:55" ht="15.75" customHeight="1">
      <c r="S220" s="454"/>
      <c r="AN220" s="458"/>
      <c r="BA220" s="1305"/>
      <c r="BC220" s="169"/>
    </row>
    <row r="221" spans="19:55" ht="15.75" customHeight="1">
      <c r="S221" s="454"/>
      <c r="AN221" s="458"/>
      <c r="BA221" s="1305"/>
      <c r="BC221" s="169"/>
    </row>
    <row r="222" spans="19:55" ht="15.75" customHeight="1">
      <c r="S222" s="454"/>
      <c r="AN222" s="458"/>
      <c r="BA222" s="1305"/>
      <c r="BC222" s="169"/>
    </row>
    <row r="223" spans="19:55" ht="15.75" customHeight="1">
      <c r="S223" s="454"/>
      <c r="AN223" s="458"/>
      <c r="BA223" s="1305"/>
      <c r="BC223" s="169"/>
    </row>
    <row r="224" spans="19:55" ht="15.75" customHeight="1">
      <c r="S224" s="454"/>
      <c r="AN224" s="458"/>
      <c r="BA224" s="1305"/>
      <c r="BC224" s="169"/>
    </row>
    <row r="225" spans="19:55" ht="15.75" customHeight="1">
      <c r="S225" s="454"/>
      <c r="AN225" s="458"/>
      <c r="BA225" s="1305"/>
      <c r="BC225" s="169"/>
    </row>
    <row r="226" spans="19:55" ht="15.75" customHeight="1">
      <c r="S226" s="454"/>
      <c r="AN226" s="458"/>
      <c r="BA226" s="1305"/>
      <c r="BC226" s="169"/>
    </row>
    <row r="227" spans="19:55" ht="15.75" customHeight="1">
      <c r="S227" s="454"/>
      <c r="AN227" s="458"/>
      <c r="BA227" s="1305"/>
      <c r="BC227" s="169"/>
    </row>
    <row r="228" spans="19:55" ht="15.75" customHeight="1">
      <c r="S228" s="454"/>
      <c r="AN228" s="458"/>
      <c r="BA228" s="1305"/>
      <c r="BC228" s="169"/>
    </row>
    <row r="229" spans="19:55" ht="15.75" customHeight="1">
      <c r="S229" s="454"/>
      <c r="AN229" s="458"/>
      <c r="BA229" s="1305"/>
      <c r="BC229" s="169"/>
    </row>
    <row r="230" spans="19:55" ht="15.75" customHeight="1">
      <c r="S230" s="454"/>
      <c r="AN230" s="458"/>
      <c r="BA230" s="1305"/>
      <c r="BC230" s="169"/>
    </row>
    <row r="231" spans="19:55" ht="15.75" customHeight="1">
      <c r="S231" s="454"/>
      <c r="AN231" s="458"/>
      <c r="BA231" s="1305"/>
      <c r="BC231" s="169"/>
    </row>
    <row r="232" spans="19:55" ht="15.75" customHeight="1">
      <c r="S232" s="454"/>
      <c r="AN232" s="458"/>
      <c r="BA232" s="1305"/>
      <c r="BC232" s="169"/>
    </row>
    <row r="233" spans="19:55" ht="15.75" customHeight="1">
      <c r="S233" s="454"/>
      <c r="AN233" s="458"/>
      <c r="BA233" s="1305"/>
      <c r="BC233" s="169"/>
    </row>
    <row r="234" spans="19:55" ht="15.75" customHeight="1">
      <c r="S234" s="454"/>
      <c r="AN234" s="458"/>
      <c r="BA234" s="1305"/>
      <c r="BC234" s="169"/>
    </row>
    <row r="235" spans="19:55" ht="15.75" customHeight="1">
      <c r="S235" s="454"/>
      <c r="AN235" s="458"/>
      <c r="BA235" s="1305"/>
      <c r="BC235" s="169"/>
    </row>
    <row r="236" spans="19:55" ht="15.75" customHeight="1">
      <c r="S236" s="454"/>
      <c r="AN236" s="458"/>
      <c r="BA236" s="1305"/>
      <c r="BC236" s="169"/>
    </row>
    <row r="237" spans="19:55" ht="15.75" customHeight="1">
      <c r="S237" s="454"/>
      <c r="AN237" s="458"/>
      <c r="BA237" s="1305"/>
      <c r="BC237" s="169"/>
    </row>
    <row r="238" spans="19:55" ht="15.75" customHeight="1">
      <c r="S238" s="454"/>
      <c r="AN238" s="458"/>
      <c r="BA238" s="1305"/>
      <c r="BC238" s="169"/>
    </row>
    <row r="239" spans="19:55" ht="15.75" customHeight="1">
      <c r="S239" s="454"/>
      <c r="AN239" s="458"/>
      <c r="BA239" s="1305"/>
      <c r="BC239" s="169"/>
    </row>
    <row r="240" spans="19:55" ht="15.75" customHeight="1">
      <c r="S240" s="454"/>
      <c r="AN240" s="458"/>
      <c r="BA240" s="1305"/>
      <c r="BC240" s="169"/>
    </row>
    <row r="241" spans="19:55" ht="15.75" customHeight="1">
      <c r="S241" s="454"/>
      <c r="AN241" s="458"/>
      <c r="BA241" s="1305"/>
      <c r="BC241" s="169"/>
    </row>
    <row r="242" spans="19:55" ht="15.75" customHeight="1">
      <c r="S242" s="454"/>
      <c r="AN242" s="458"/>
      <c r="BA242" s="1305"/>
      <c r="BC242" s="169"/>
    </row>
    <row r="243" spans="19:55" ht="15.75" customHeight="1">
      <c r="S243" s="454"/>
      <c r="AN243" s="458"/>
      <c r="BA243" s="1305"/>
      <c r="BC243" s="169"/>
    </row>
    <row r="244" spans="19:55" ht="15.75" customHeight="1">
      <c r="S244" s="454"/>
      <c r="AN244" s="458"/>
      <c r="BA244" s="1305"/>
      <c r="BC244" s="169"/>
    </row>
    <row r="245" spans="19:55" ht="15.75" customHeight="1">
      <c r="S245" s="454"/>
      <c r="AN245" s="458"/>
      <c r="BA245" s="1305"/>
      <c r="BC245" s="169"/>
    </row>
    <row r="246" spans="19:55" ht="15.75" customHeight="1">
      <c r="S246" s="454"/>
      <c r="AN246" s="458"/>
      <c r="BA246" s="1305"/>
      <c r="BC246" s="169"/>
    </row>
    <row r="247" spans="19:55" ht="15.75" customHeight="1">
      <c r="S247" s="454"/>
      <c r="AN247" s="458"/>
      <c r="BA247" s="1305"/>
      <c r="BC247" s="169"/>
    </row>
    <row r="248" spans="19:55" ht="15.75" customHeight="1">
      <c r="S248" s="454"/>
      <c r="AN248" s="458"/>
      <c r="BA248" s="1305"/>
      <c r="BC248" s="169"/>
    </row>
    <row r="249" spans="19:55" ht="15.75" customHeight="1">
      <c r="S249" s="454"/>
      <c r="AN249" s="458"/>
      <c r="BA249" s="1305"/>
      <c r="BC249" s="169"/>
    </row>
    <row r="250" spans="19:55" ht="15.75" customHeight="1">
      <c r="S250" s="454"/>
      <c r="AN250" s="458"/>
      <c r="BA250" s="1305"/>
      <c r="BC250" s="169"/>
    </row>
    <row r="251" spans="19:55" ht="15.75" customHeight="1">
      <c r="S251" s="454"/>
      <c r="AN251" s="458"/>
      <c r="BA251" s="1305"/>
      <c r="BC251" s="169"/>
    </row>
    <row r="252" spans="19:55" ht="15.75" customHeight="1">
      <c r="S252" s="454"/>
      <c r="AN252" s="458"/>
      <c r="BA252" s="1305"/>
      <c r="BC252" s="169"/>
    </row>
    <row r="253" spans="19:55" ht="15.75" customHeight="1">
      <c r="S253" s="454"/>
      <c r="AN253" s="458"/>
      <c r="BA253" s="1305"/>
      <c r="BC253" s="169"/>
    </row>
    <row r="254" spans="19:55" ht="15.75" customHeight="1">
      <c r="S254" s="454"/>
      <c r="AN254" s="458"/>
      <c r="BA254" s="1305"/>
      <c r="BC254" s="169"/>
    </row>
    <row r="255" spans="19:55" ht="15.75" customHeight="1">
      <c r="S255" s="454"/>
      <c r="AN255" s="458"/>
      <c r="BA255" s="1305"/>
      <c r="BC255" s="169"/>
    </row>
    <row r="256" spans="19:55" ht="15.75" customHeight="1">
      <c r="S256" s="454"/>
      <c r="AN256" s="458"/>
      <c r="BA256" s="1305"/>
      <c r="BC256" s="169"/>
    </row>
    <row r="257" spans="19:55" ht="15.75" customHeight="1">
      <c r="S257" s="454"/>
      <c r="AN257" s="458"/>
      <c r="BA257" s="1305"/>
      <c r="BC257" s="169"/>
    </row>
    <row r="258" spans="19:55" ht="15.75" customHeight="1">
      <c r="S258" s="454"/>
      <c r="AN258" s="458"/>
      <c r="BA258" s="1305"/>
      <c r="BC258" s="169"/>
    </row>
    <row r="259" spans="19:55" ht="15.75" customHeight="1">
      <c r="S259" s="454"/>
      <c r="AN259" s="458"/>
      <c r="BA259" s="1305"/>
      <c r="BC259" s="169"/>
    </row>
    <row r="260" spans="19:55" ht="15.75" customHeight="1">
      <c r="S260" s="454"/>
      <c r="AN260" s="458"/>
      <c r="BA260" s="1305"/>
      <c r="BC260" s="169"/>
    </row>
    <row r="261" spans="19:55" ht="15.75" customHeight="1">
      <c r="S261" s="454"/>
      <c r="AN261" s="458"/>
      <c r="BA261" s="1305"/>
      <c r="BC261" s="169"/>
    </row>
    <row r="262" spans="19:55" ht="15.75" customHeight="1">
      <c r="S262" s="454"/>
      <c r="AN262" s="458"/>
      <c r="BA262" s="1305"/>
      <c r="BC262" s="169"/>
    </row>
    <row r="263" spans="19:55" ht="15.75" customHeight="1">
      <c r="S263" s="454"/>
      <c r="AN263" s="458"/>
      <c r="BA263" s="1305"/>
      <c r="BC263" s="169"/>
    </row>
    <row r="264" spans="19:55" ht="15.75" customHeight="1">
      <c r="S264" s="454"/>
      <c r="AN264" s="458"/>
      <c r="BA264" s="1305"/>
      <c r="BC264" s="169"/>
    </row>
    <row r="265" spans="19:55" ht="15.75" customHeight="1">
      <c r="S265" s="454"/>
      <c r="AN265" s="458"/>
      <c r="BA265" s="1305"/>
      <c r="BC265" s="169"/>
    </row>
    <row r="266" spans="19:55" ht="15.75" customHeight="1">
      <c r="S266" s="454"/>
      <c r="AN266" s="458"/>
      <c r="BA266" s="1305"/>
      <c r="BC266" s="169"/>
    </row>
    <row r="267" spans="19:55" ht="15.75" customHeight="1">
      <c r="S267" s="454"/>
      <c r="AN267" s="458"/>
      <c r="BA267" s="1305"/>
      <c r="BC267" s="169"/>
    </row>
    <row r="268" spans="19:55" ht="15.75" customHeight="1">
      <c r="S268" s="454"/>
      <c r="AN268" s="458"/>
      <c r="BA268" s="1305"/>
      <c r="BC268" s="169"/>
    </row>
    <row r="269" spans="19:55" ht="15.75" customHeight="1">
      <c r="S269" s="454"/>
      <c r="AN269" s="458"/>
      <c r="BA269" s="1305"/>
      <c r="BC269" s="169"/>
    </row>
    <row r="270" spans="19:55" ht="15.75" customHeight="1">
      <c r="S270" s="454"/>
      <c r="AN270" s="458"/>
      <c r="BA270" s="1305"/>
      <c r="BC270" s="169"/>
    </row>
    <row r="271" spans="19:55" ht="15.75" customHeight="1">
      <c r="S271" s="454"/>
      <c r="AN271" s="458"/>
      <c r="BA271" s="1305"/>
      <c r="BC271" s="169"/>
    </row>
    <row r="272" spans="19:55" ht="15.75" customHeight="1">
      <c r="S272" s="454"/>
      <c r="AN272" s="458"/>
      <c r="BA272" s="1305"/>
      <c r="BC272" s="169"/>
    </row>
    <row r="273" spans="19:55" ht="15.75" customHeight="1">
      <c r="S273" s="454"/>
      <c r="AN273" s="458"/>
      <c r="BA273" s="1305"/>
      <c r="BC273" s="169"/>
    </row>
    <row r="274" spans="19:55" ht="15.75" customHeight="1">
      <c r="S274" s="454"/>
      <c r="AN274" s="458"/>
      <c r="BA274" s="1305"/>
      <c r="BC274" s="169"/>
    </row>
    <row r="275" spans="19:55" ht="15.75" customHeight="1">
      <c r="S275" s="454"/>
      <c r="AN275" s="458"/>
      <c r="BA275" s="1305"/>
      <c r="BC275" s="169"/>
    </row>
    <row r="276" spans="19:55" ht="15.75" customHeight="1">
      <c r="S276" s="454"/>
      <c r="AN276" s="458"/>
      <c r="BA276" s="1305"/>
      <c r="BC276" s="169"/>
    </row>
    <row r="277" spans="19:55" ht="15.75" customHeight="1">
      <c r="S277" s="454"/>
      <c r="AN277" s="458"/>
      <c r="BA277" s="1305"/>
      <c r="BC277" s="169"/>
    </row>
    <row r="278" spans="19:55" ht="15.75" customHeight="1">
      <c r="S278" s="454"/>
      <c r="AN278" s="458"/>
      <c r="BA278" s="1305"/>
      <c r="BC278" s="169"/>
    </row>
    <row r="279" spans="19:55" ht="15.75" customHeight="1">
      <c r="S279" s="454"/>
      <c r="AN279" s="458"/>
      <c r="BA279" s="1305"/>
      <c r="BC279" s="169"/>
    </row>
    <row r="280" spans="19:55" ht="15.75" customHeight="1">
      <c r="S280" s="454"/>
      <c r="AN280" s="458"/>
      <c r="BA280" s="1305"/>
      <c r="BC280" s="169"/>
    </row>
    <row r="281" spans="19:55" ht="15.75" customHeight="1">
      <c r="S281" s="454"/>
      <c r="AN281" s="458"/>
      <c r="BA281" s="1305"/>
      <c r="BC281" s="169"/>
    </row>
    <row r="282" spans="19:55" ht="15.75" customHeight="1">
      <c r="S282" s="454"/>
      <c r="AN282" s="458"/>
      <c r="BA282" s="1305"/>
      <c r="BC282" s="169"/>
    </row>
    <row r="283" spans="19:55" ht="15.75" customHeight="1">
      <c r="S283" s="454"/>
      <c r="AN283" s="458"/>
      <c r="BA283" s="1305"/>
      <c r="BC283" s="169"/>
    </row>
    <row r="284" spans="19:55" ht="15.75" customHeight="1">
      <c r="S284" s="454"/>
      <c r="AN284" s="458"/>
      <c r="BA284" s="1305"/>
      <c r="BC284" s="169"/>
    </row>
    <row r="285" spans="19:55" ht="15.75" customHeight="1">
      <c r="S285" s="454"/>
      <c r="AN285" s="458"/>
      <c r="BA285" s="1305"/>
      <c r="BC285" s="169"/>
    </row>
    <row r="286" spans="19:55" ht="15.75" customHeight="1">
      <c r="S286" s="454"/>
      <c r="AN286" s="458"/>
      <c r="BA286" s="1305"/>
      <c r="BC286" s="169"/>
    </row>
    <row r="287" spans="19:55" ht="15.75" customHeight="1">
      <c r="S287" s="454"/>
      <c r="AN287" s="458"/>
      <c r="BA287" s="1305"/>
      <c r="BC287" s="169"/>
    </row>
    <row r="288" spans="19:55" ht="15.75" customHeight="1">
      <c r="S288" s="454"/>
      <c r="AN288" s="458"/>
      <c r="BA288" s="1305"/>
      <c r="BC288" s="169"/>
    </row>
    <row r="289" spans="19:55" ht="15.75" customHeight="1">
      <c r="S289" s="454"/>
      <c r="AN289" s="458"/>
      <c r="BA289" s="1305"/>
      <c r="BC289" s="169"/>
    </row>
    <row r="290" spans="19:55" ht="15.75" customHeight="1">
      <c r="S290" s="454"/>
      <c r="AN290" s="458"/>
      <c r="BA290" s="1305"/>
      <c r="BC290" s="169"/>
    </row>
    <row r="291" spans="19:55" ht="15.75" customHeight="1">
      <c r="S291" s="454"/>
      <c r="AN291" s="458"/>
      <c r="BA291" s="1305"/>
      <c r="BC291" s="169"/>
    </row>
    <row r="292" spans="19:55" ht="15.75" customHeight="1">
      <c r="S292" s="454"/>
      <c r="AN292" s="458"/>
      <c r="BA292" s="1305"/>
      <c r="BC292" s="169"/>
    </row>
    <row r="293" spans="19:55" ht="15.75" customHeight="1">
      <c r="S293" s="454"/>
      <c r="AN293" s="458"/>
      <c r="BA293" s="1305"/>
      <c r="BC293" s="169"/>
    </row>
    <row r="294" spans="19:55" ht="15.75" customHeight="1">
      <c r="S294" s="454"/>
      <c r="AN294" s="458"/>
      <c r="BA294" s="1305"/>
      <c r="BC294" s="169"/>
    </row>
    <row r="295" spans="19:55" ht="15.75" customHeight="1">
      <c r="S295" s="454"/>
      <c r="AN295" s="458"/>
      <c r="BA295" s="1305"/>
      <c r="BC295" s="169"/>
    </row>
    <row r="296" spans="19:55" ht="15.75" customHeight="1">
      <c r="S296" s="454"/>
      <c r="AN296" s="458"/>
      <c r="BA296" s="1305"/>
      <c r="BC296" s="169"/>
    </row>
    <row r="297" spans="19:55" ht="15.75" customHeight="1">
      <c r="S297" s="454"/>
      <c r="AN297" s="458"/>
      <c r="BA297" s="1305"/>
      <c r="BC297" s="169"/>
    </row>
    <row r="298" spans="19:55" ht="15.75" customHeight="1">
      <c r="S298" s="454"/>
      <c r="AN298" s="458"/>
      <c r="BA298" s="1305"/>
      <c r="BC298" s="169"/>
    </row>
    <row r="299" spans="19:55" ht="15.75" customHeight="1">
      <c r="S299" s="454"/>
      <c r="AN299" s="458"/>
      <c r="BA299" s="1305"/>
      <c r="BC299" s="169"/>
    </row>
    <row r="300" spans="19:55" ht="15.75" customHeight="1">
      <c r="S300" s="454"/>
      <c r="AN300" s="458"/>
      <c r="BA300" s="1305"/>
      <c r="BC300" s="169"/>
    </row>
    <row r="301" spans="19:55" ht="15.75" customHeight="1">
      <c r="S301" s="454"/>
      <c r="AN301" s="458"/>
      <c r="BA301" s="1305"/>
      <c r="BC301" s="169"/>
    </row>
    <row r="302" spans="19:55" ht="15.75" customHeight="1">
      <c r="S302" s="454"/>
      <c r="AN302" s="458"/>
      <c r="BA302" s="1305"/>
      <c r="BC302" s="169"/>
    </row>
    <row r="303" spans="19:55" ht="15.75" customHeight="1">
      <c r="S303" s="454"/>
      <c r="AN303" s="458"/>
      <c r="BA303" s="1305"/>
      <c r="BC303" s="169"/>
    </row>
    <row r="304" spans="19:55" ht="15.75" customHeight="1">
      <c r="S304" s="454"/>
      <c r="AN304" s="458"/>
      <c r="BA304" s="1305"/>
      <c r="BC304" s="169"/>
    </row>
    <row r="305" spans="19:55" ht="15.75" customHeight="1">
      <c r="S305" s="454"/>
      <c r="AN305" s="458"/>
      <c r="BA305" s="1305"/>
      <c r="BC305" s="169"/>
    </row>
    <row r="306" spans="19:55" ht="15.75" customHeight="1">
      <c r="S306" s="454"/>
      <c r="AN306" s="458"/>
      <c r="BA306" s="1305"/>
      <c r="BC306" s="169"/>
    </row>
    <row r="307" spans="19:55" ht="15.75" customHeight="1">
      <c r="S307" s="454"/>
      <c r="AN307" s="458"/>
      <c r="BA307" s="1305"/>
      <c r="BC307" s="169"/>
    </row>
    <row r="308" spans="19:55" ht="15.75" customHeight="1">
      <c r="S308" s="454"/>
      <c r="AN308" s="458"/>
      <c r="BA308" s="1305"/>
      <c r="BC308" s="169"/>
    </row>
    <row r="309" spans="19:55" ht="15.75" customHeight="1">
      <c r="S309" s="454"/>
      <c r="AN309" s="458"/>
      <c r="BA309" s="1305"/>
      <c r="BC309" s="169"/>
    </row>
    <row r="310" spans="19:55" ht="15.75" customHeight="1">
      <c r="S310" s="454"/>
      <c r="AN310" s="458"/>
      <c r="BA310" s="1305"/>
      <c r="BC310" s="169"/>
    </row>
    <row r="311" spans="19:55" ht="15.75" customHeight="1">
      <c r="S311" s="454"/>
      <c r="AN311" s="458"/>
      <c r="BA311" s="1305"/>
      <c r="BC311" s="169"/>
    </row>
    <row r="312" spans="19:55" ht="15.75" customHeight="1">
      <c r="S312" s="454"/>
      <c r="AN312" s="458"/>
      <c r="BA312" s="1305"/>
      <c r="BC312" s="169"/>
    </row>
    <row r="313" spans="19:55" ht="15.75" customHeight="1">
      <c r="S313" s="454"/>
      <c r="AN313" s="458"/>
      <c r="BA313" s="1305"/>
      <c r="BC313" s="169"/>
    </row>
    <row r="314" spans="19:55" ht="15.75" customHeight="1">
      <c r="S314" s="454"/>
      <c r="AN314" s="458"/>
      <c r="BA314" s="1305"/>
      <c r="BC314" s="169"/>
    </row>
    <row r="315" spans="19:55" ht="15.75" customHeight="1">
      <c r="S315" s="454"/>
      <c r="AN315" s="458"/>
      <c r="BA315" s="1305"/>
      <c r="BC315" s="169"/>
    </row>
    <row r="316" spans="19:55" ht="15.75" customHeight="1">
      <c r="S316" s="454"/>
      <c r="AN316" s="458"/>
      <c r="BA316" s="1305"/>
      <c r="BC316" s="169"/>
    </row>
    <row r="317" spans="19:55" ht="15.75" customHeight="1">
      <c r="S317" s="454"/>
      <c r="AN317" s="458"/>
      <c r="BA317" s="1305"/>
      <c r="BC317" s="169"/>
    </row>
    <row r="318" spans="19:55" ht="15.75" customHeight="1">
      <c r="S318" s="454"/>
      <c r="AN318" s="458"/>
      <c r="BA318" s="1305"/>
      <c r="BC318" s="169"/>
    </row>
    <row r="319" spans="19:55" ht="15.75" customHeight="1">
      <c r="S319" s="454"/>
      <c r="AN319" s="458"/>
      <c r="BA319" s="1305"/>
      <c r="BC319" s="169"/>
    </row>
    <row r="320" spans="19:55" ht="15.75" customHeight="1">
      <c r="S320" s="454"/>
      <c r="AN320" s="458"/>
      <c r="BA320" s="1305"/>
      <c r="BC320" s="169"/>
    </row>
    <row r="321" spans="19:55" ht="15.75" customHeight="1">
      <c r="S321" s="454"/>
      <c r="AN321" s="458"/>
      <c r="BA321" s="1305"/>
      <c r="BC321" s="169"/>
    </row>
    <row r="322" spans="19:55" ht="15.75" customHeight="1">
      <c r="S322" s="454"/>
      <c r="AN322" s="458"/>
      <c r="BA322" s="1305"/>
      <c r="BC322" s="169"/>
    </row>
    <row r="323" spans="19:55" ht="15.75" customHeight="1">
      <c r="S323" s="454"/>
      <c r="AN323" s="458"/>
      <c r="BA323" s="1305"/>
      <c r="BC323" s="169"/>
    </row>
    <row r="324" spans="19:55" ht="15.75" customHeight="1">
      <c r="S324" s="454"/>
      <c r="AN324" s="458"/>
      <c r="BA324" s="1305"/>
      <c r="BC324" s="169"/>
    </row>
    <row r="325" spans="19:55" ht="15.75" customHeight="1">
      <c r="S325" s="454"/>
      <c r="AN325" s="458"/>
      <c r="BA325" s="1305"/>
      <c r="BC325" s="169"/>
    </row>
    <row r="326" spans="19:55" ht="15.75" customHeight="1">
      <c r="S326" s="454"/>
      <c r="AN326" s="458"/>
      <c r="BA326" s="1305"/>
      <c r="BC326" s="169"/>
    </row>
    <row r="327" spans="19:55" ht="15.75" customHeight="1">
      <c r="S327" s="454"/>
      <c r="AN327" s="458"/>
      <c r="BA327" s="1305"/>
      <c r="BC327" s="169"/>
    </row>
    <row r="328" spans="19:55" ht="15.75" customHeight="1">
      <c r="S328" s="454"/>
      <c r="AN328" s="458"/>
      <c r="BA328" s="1305"/>
      <c r="BC328" s="169"/>
    </row>
    <row r="329" spans="19:55" ht="15.75" customHeight="1">
      <c r="S329" s="454"/>
      <c r="AN329" s="458"/>
      <c r="BA329" s="1305"/>
      <c r="BC329" s="169"/>
    </row>
    <row r="330" spans="19:55" ht="15.75" customHeight="1">
      <c r="S330" s="454"/>
      <c r="AN330" s="458"/>
      <c r="BA330" s="1305"/>
      <c r="BC330" s="169"/>
    </row>
    <row r="331" spans="19:55" ht="15.75" customHeight="1">
      <c r="S331" s="454"/>
      <c r="AN331" s="458"/>
      <c r="BA331" s="1305"/>
      <c r="BC331" s="169"/>
    </row>
    <row r="332" spans="19:55" ht="15.75" customHeight="1">
      <c r="S332" s="454"/>
      <c r="AN332" s="458"/>
      <c r="BA332" s="1305"/>
      <c r="BC332" s="169"/>
    </row>
    <row r="333" spans="19:55" ht="15.75" customHeight="1">
      <c r="S333" s="454"/>
      <c r="AN333" s="458"/>
      <c r="BA333" s="1305"/>
      <c r="BC333" s="169"/>
    </row>
    <row r="334" spans="19:55" ht="15.75" customHeight="1">
      <c r="S334" s="454"/>
      <c r="AN334" s="458"/>
      <c r="BA334" s="1305"/>
      <c r="BC334" s="169"/>
    </row>
    <row r="335" spans="19:55" ht="15.75" customHeight="1">
      <c r="S335" s="454"/>
      <c r="AN335" s="458"/>
      <c r="BA335" s="1305"/>
      <c r="BC335" s="169"/>
    </row>
    <row r="336" spans="19:55" ht="15.75" customHeight="1">
      <c r="S336" s="454"/>
      <c r="AN336" s="458"/>
      <c r="BA336" s="1305"/>
      <c r="BC336" s="169"/>
    </row>
    <row r="337" spans="19:55" ht="15.75" customHeight="1">
      <c r="S337" s="454"/>
      <c r="AN337" s="458"/>
      <c r="BA337" s="1305"/>
      <c r="BC337" s="169"/>
    </row>
    <row r="338" spans="19:55" ht="15.75" customHeight="1">
      <c r="S338" s="454"/>
      <c r="AN338" s="458"/>
      <c r="BA338" s="1305"/>
      <c r="BC338" s="169"/>
    </row>
    <row r="339" spans="19:55" ht="15.75" customHeight="1">
      <c r="S339" s="454"/>
      <c r="AN339" s="458"/>
      <c r="BA339" s="1305"/>
      <c r="BC339" s="169"/>
    </row>
    <row r="340" spans="19:55" ht="15.75" customHeight="1">
      <c r="S340" s="454"/>
      <c r="AN340" s="458"/>
      <c r="BA340" s="1305"/>
      <c r="BC340" s="169"/>
    </row>
    <row r="341" spans="19:55" ht="15.75" customHeight="1">
      <c r="S341" s="454"/>
      <c r="AN341" s="458"/>
      <c r="BA341" s="1305"/>
      <c r="BC341" s="169"/>
    </row>
    <row r="342" spans="19:55" ht="15.75" customHeight="1">
      <c r="S342" s="454"/>
      <c r="AN342" s="458"/>
      <c r="BA342" s="1305"/>
      <c r="BC342" s="169"/>
    </row>
    <row r="343" spans="19:55" ht="15.75" customHeight="1">
      <c r="S343" s="454"/>
      <c r="AN343" s="458"/>
      <c r="BA343" s="1305"/>
      <c r="BC343" s="169"/>
    </row>
    <row r="344" spans="19:55" ht="15.75" customHeight="1">
      <c r="S344" s="454"/>
      <c r="AN344" s="458"/>
      <c r="BA344" s="1305"/>
      <c r="BC344" s="169"/>
    </row>
    <row r="345" spans="19:55" ht="15.75" customHeight="1">
      <c r="S345" s="454"/>
      <c r="AN345" s="458"/>
      <c r="BA345" s="1305"/>
      <c r="BC345" s="169"/>
    </row>
    <row r="346" spans="19:55" ht="15.75" customHeight="1">
      <c r="S346" s="454"/>
      <c r="AN346" s="458"/>
      <c r="BA346" s="1305"/>
      <c r="BC346" s="169"/>
    </row>
    <row r="347" spans="19:55" ht="15.75" customHeight="1">
      <c r="S347" s="454"/>
      <c r="AN347" s="458"/>
      <c r="BA347" s="1305"/>
      <c r="BC347" s="169"/>
    </row>
    <row r="348" spans="19:55" ht="15.75" customHeight="1">
      <c r="S348" s="454"/>
      <c r="AN348" s="458"/>
      <c r="BA348" s="1305"/>
      <c r="BC348" s="169"/>
    </row>
    <row r="349" spans="19:55" ht="15.75" customHeight="1">
      <c r="S349" s="454"/>
      <c r="AN349" s="458"/>
      <c r="BA349" s="1305"/>
      <c r="BC349" s="169"/>
    </row>
    <row r="350" spans="19:55" ht="15.75" customHeight="1">
      <c r="S350" s="454"/>
      <c r="AN350" s="458"/>
      <c r="BA350" s="1305"/>
      <c r="BC350" s="169"/>
    </row>
    <row r="351" spans="19:55" ht="15.75" customHeight="1">
      <c r="S351" s="454"/>
      <c r="AN351" s="458"/>
      <c r="BA351" s="1305"/>
      <c r="BC351" s="169"/>
    </row>
    <row r="352" spans="19:55" ht="15.75" customHeight="1">
      <c r="S352" s="454"/>
      <c r="AN352" s="458"/>
      <c r="BA352" s="1305"/>
      <c r="BC352" s="169"/>
    </row>
    <row r="353" spans="19:55" ht="15.75" customHeight="1">
      <c r="S353" s="454"/>
      <c r="AN353" s="458"/>
      <c r="BA353" s="1305"/>
      <c r="BC353" s="169"/>
    </row>
    <row r="354" spans="19:55" ht="15.75" customHeight="1">
      <c r="S354" s="454"/>
      <c r="AN354" s="458"/>
      <c r="BA354" s="1305"/>
      <c r="BC354" s="169"/>
    </row>
    <row r="355" spans="19:55" ht="15.75" customHeight="1">
      <c r="S355" s="454"/>
      <c r="AN355" s="458"/>
      <c r="BA355" s="1305"/>
      <c r="BC355" s="169"/>
    </row>
    <row r="356" spans="19:55" ht="15.75" customHeight="1">
      <c r="S356" s="454"/>
      <c r="AN356" s="458"/>
      <c r="BA356" s="1305"/>
      <c r="BC356" s="169"/>
    </row>
    <row r="357" spans="19:55" ht="15.75" customHeight="1">
      <c r="S357" s="454"/>
      <c r="AN357" s="458"/>
      <c r="BA357" s="1305"/>
      <c r="BC357" s="169"/>
    </row>
    <row r="358" spans="19:55" ht="15.75" customHeight="1">
      <c r="S358" s="454"/>
      <c r="AN358" s="458"/>
      <c r="BA358" s="1305"/>
      <c r="BC358" s="169"/>
    </row>
    <row r="359" spans="19:55" ht="15.75" customHeight="1">
      <c r="S359" s="454"/>
      <c r="AN359" s="458"/>
      <c r="BA359" s="1305"/>
      <c r="BC359" s="169"/>
    </row>
    <row r="360" spans="19:55" ht="15.75" customHeight="1">
      <c r="S360" s="454"/>
      <c r="AN360" s="458"/>
      <c r="BA360" s="1305"/>
      <c r="BC360" s="169"/>
    </row>
    <row r="361" spans="19:55" ht="15.75" customHeight="1">
      <c r="S361" s="454"/>
      <c r="AN361" s="458"/>
      <c r="BA361" s="1305"/>
      <c r="BC361" s="169"/>
    </row>
    <row r="362" spans="19:55" ht="15.75" customHeight="1">
      <c r="S362" s="454"/>
      <c r="AN362" s="458"/>
      <c r="BA362" s="1305"/>
      <c r="BC362" s="169"/>
    </row>
    <row r="363" spans="19:55" ht="15.75" customHeight="1">
      <c r="S363" s="454"/>
      <c r="AN363" s="458"/>
      <c r="BA363" s="1305"/>
      <c r="BC363" s="169"/>
    </row>
    <row r="364" spans="19:55" ht="15.75" customHeight="1">
      <c r="S364" s="454"/>
      <c r="AN364" s="458"/>
      <c r="BA364" s="1305"/>
      <c r="BC364" s="169"/>
    </row>
    <row r="365" spans="19:55" ht="15.75" customHeight="1">
      <c r="S365" s="454"/>
      <c r="AN365" s="458"/>
      <c r="BA365" s="1305"/>
      <c r="BC365" s="169"/>
    </row>
    <row r="366" spans="19:55" ht="15.75" customHeight="1">
      <c r="S366" s="454"/>
      <c r="AN366" s="458"/>
      <c r="BA366" s="1305"/>
      <c r="BC366" s="169"/>
    </row>
    <row r="367" spans="19:55" ht="15.75" customHeight="1">
      <c r="S367" s="454"/>
      <c r="AN367" s="458"/>
      <c r="BA367" s="1305"/>
      <c r="BC367" s="169"/>
    </row>
    <row r="368" spans="19:55" ht="15.75" customHeight="1">
      <c r="S368" s="454"/>
      <c r="AN368" s="458"/>
      <c r="BA368" s="1305"/>
      <c r="BC368" s="169"/>
    </row>
    <row r="369" spans="19:55" ht="15.75" customHeight="1">
      <c r="S369" s="454"/>
      <c r="AN369" s="458"/>
      <c r="BA369" s="1305"/>
      <c r="BC369" s="169"/>
    </row>
    <row r="370" spans="19:55" ht="15.75" customHeight="1">
      <c r="S370" s="454"/>
      <c r="AN370" s="458"/>
      <c r="BA370" s="1305"/>
      <c r="BC370" s="169"/>
    </row>
    <row r="371" spans="19:55" ht="15.75" customHeight="1">
      <c r="S371" s="454"/>
      <c r="AN371" s="458"/>
      <c r="BA371" s="1305"/>
      <c r="BC371" s="169"/>
    </row>
    <row r="372" spans="19:55" ht="15.75" customHeight="1">
      <c r="S372" s="454"/>
      <c r="AN372" s="458"/>
      <c r="BA372" s="1305"/>
      <c r="BC372" s="169"/>
    </row>
    <row r="373" spans="19:55" ht="15.75" customHeight="1">
      <c r="S373" s="454"/>
      <c r="AN373" s="458"/>
      <c r="BA373" s="1305"/>
      <c r="BC373" s="169"/>
    </row>
    <row r="374" spans="19:55" ht="15.75" customHeight="1">
      <c r="S374" s="454"/>
      <c r="AN374" s="458"/>
      <c r="BA374" s="1305"/>
      <c r="BC374" s="169"/>
    </row>
    <row r="375" spans="19:55" ht="15.75" customHeight="1">
      <c r="S375" s="454"/>
      <c r="AN375" s="458"/>
      <c r="BA375" s="1305"/>
      <c r="BC375" s="169"/>
    </row>
    <row r="376" spans="19:55" ht="15.75" customHeight="1">
      <c r="S376" s="454"/>
      <c r="AN376" s="458"/>
      <c r="BA376" s="1305"/>
      <c r="BC376" s="169"/>
    </row>
    <row r="377" spans="19:55" ht="15.75" customHeight="1">
      <c r="S377" s="454"/>
      <c r="AN377" s="458"/>
      <c r="BA377" s="1305"/>
      <c r="BC377" s="169"/>
    </row>
    <row r="378" spans="19:55" ht="15.75" customHeight="1">
      <c r="S378" s="454"/>
      <c r="AN378" s="458"/>
      <c r="BA378" s="1305"/>
      <c r="BC378" s="169"/>
    </row>
    <row r="379" spans="19:55" ht="15.75" customHeight="1">
      <c r="S379" s="454"/>
      <c r="AN379" s="458"/>
      <c r="BA379" s="1305"/>
      <c r="BC379" s="169"/>
    </row>
    <row r="380" spans="19:55" ht="15.75" customHeight="1">
      <c r="S380" s="454"/>
      <c r="AN380" s="458"/>
      <c r="BA380" s="1305"/>
      <c r="BC380" s="169"/>
    </row>
    <row r="381" spans="19:55" ht="15.75" customHeight="1">
      <c r="S381" s="454"/>
      <c r="AN381" s="458"/>
      <c r="BA381" s="1305"/>
      <c r="BC381" s="169"/>
    </row>
    <row r="382" spans="19:55" ht="15.75" customHeight="1">
      <c r="S382" s="454"/>
      <c r="AN382" s="458"/>
      <c r="BA382" s="1305"/>
      <c r="BC382" s="169"/>
    </row>
    <row r="383" spans="19:55" ht="15.75" customHeight="1">
      <c r="S383" s="454"/>
      <c r="AN383" s="458"/>
      <c r="BA383" s="1305"/>
      <c r="BC383" s="169"/>
    </row>
    <row r="384" spans="19:55" ht="15.75" customHeight="1">
      <c r="S384" s="454"/>
      <c r="AN384" s="458"/>
      <c r="BA384" s="1305"/>
      <c r="BC384" s="169"/>
    </row>
    <row r="385" spans="19:55" ht="15.75" customHeight="1">
      <c r="S385" s="454"/>
      <c r="AN385" s="458"/>
      <c r="BA385" s="1305"/>
      <c r="BC385" s="169"/>
    </row>
    <row r="386" spans="19:55" ht="15.75" customHeight="1">
      <c r="S386" s="454"/>
      <c r="AN386" s="458"/>
      <c r="BA386" s="1305"/>
      <c r="BC386" s="169"/>
    </row>
    <row r="387" spans="19:55" ht="15.75" customHeight="1">
      <c r="S387" s="454"/>
      <c r="AN387" s="458"/>
      <c r="BA387" s="1305"/>
      <c r="BC387" s="169"/>
    </row>
    <row r="388" spans="19:55" ht="15.75" customHeight="1">
      <c r="S388" s="454"/>
      <c r="AN388" s="458"/>
      <c r="BA388" s="1305"/>
      <c r="BC388" s="169"/>
    </row>
    <row r="389" spans="19:55" ht="15.75" customHeight="1">
      <c r="S389" s="454"/>
      <c r="AN389" s="458"/>
      <c r="BA389" s="1305"/>
      <c r="BC389" s="169"/>
    </row>
    <row r="390" spans="19:55" ht="15.75" customHeight="1">
      <c r="S390" s="454"/>
      <c r="AN390" s="458"/>
      <c r="BA390" s="1305"/>
      <c r="BC390" s="169"/>
    </row>
    <row r="391" spans="19:55" ht="15.75" customHeight="1">
      <c r="S391" s="454"/>
      <c r="AN391" s="458"/>
      <c r="BA391" s="1305"/>
      <c r="BC391" s="169"/>
    </row>
    <row r="392" spans="19:55" ht="15.75" customHeight="1">
      <c r="S392" s="454"/>
      <c r="AN392" s="458"/>
      <c r="BA392" s="1305"/>
      <c r="BC392" s="169"/>
    </row>
    <row r="393" spans="19:55" ht="15.75" customHeight="1">
      <c r="S393" s="454"/>
      <c r="AN393" s="458"/>
      <c r="BA393" s="1305"/>
      <c r="BC393" s="169"/>
    </row>
    <row r="394" spans="19:55" ht="15.75" customHeight="1">
      <c r="S394" s="454"/>
      <c r="AN394" s="458"/>
      <c r="BA394" s="1305"/>
      <c r="BC394" s="169"/>
    </row>
    <row r="395" spans="19:55" ht="15.75" customHeight="1">
      <c r="S395" s="454"/>
      <c r="AN395" s="458"/>
      <c r="BA395" s="1305"/>
      <c r="BC395" s="169"/>
    </row>
    <row r="396" spans="19:55" ht="15.75" customHeight="1">
      <c r="S396" s="454"/>
      <c r="AN396" s="458"/>
      <c r="BA396" s="1305"/>
      <c r="BC396" s="169"/>
    </row>
    <row r="397" spans="19:55" ht="15.75" customHeight="1">
      <c r="S397" s="454"/>
      <c r="AN397" s="458"/>
      <c r="BA397" s="1305"/>
      <c r="BC397" s="169"/>
    </row>
    <row r="398" spans="19:55" ht="15.75" customHeight="1">
      <c r="S398" s="454"/>
      <c r="AN398" s="458"/>
      <c r="BA398" s="1305"/>
      <c r="BC398" s="169"/>
    </row>
    <row r="399" spans="19:55" ht="15.75" customHeight="1">
      <c r="S399" s="454"/>
      <c r="AN399" s="458"/>
      <c r="BA399" s="1305"/>
      <c r="BC399" s="169"/>
    </row>
    <row r="400" spans="19:55" ht="15.75" customHeight="1">
      <c r="S400" s="454"/>
      <c r="AN400" s="458"/>
      <c r="BA400" s="1305"/>
      <c r="BC400" s="169"/>
    </row>
    <row r="401" spans="19:55" ht="15.75" customHeight="1">
      <c r="S401" s="454"/>
      <c r="AN401" s="458"/>
      <c r="BA401" s="1305"/>
      <c r="BC401" s="169"/>
    </row>
    <row r="402" spans="19:55" ht="15.75" customHeight="1">
      <c r="S402" s="454"/>
      <c r="AN402" s="458"/>
      <c r="BA402" s="1305"/>
      <c r="BC402" s="169"/>
    </row>
    <row r="403" spans="19:55" ht="15.75" customHeight="1">
      <c r="S403" s="454"/>
      <c r="AN403" s="458"/>
      <c r="BA403" s="1305"/>
      <c r="BC403" s="169"/>
    </row>
    <row r="404" spans="19:55" ht="15.75" customHeight="1">
      <c r="S404" s="454"/>
      <c r="AN404" s="458"/>
      <c r="BA404" s="1305"/>
      <c r="BC404" s="169"/>
    </row>
    <row r="405" spans="19:55" ht="15.75" customHeight="1">
      <c r="S405" s="454"/>
      <c r="AN405" s="458"/>
      <c r="BA405" s="1305"/>
      <c r="BC405" s="169"/>
    </row>
    <row r="406" spans="19:55" ht="15.75" customHeight="1">
      <c r="S406" s="454"/>
      <c r="AN406" s="458"/>
      <c r="BA406" s="1305"/>
      <c r="BC406" s="169"/>
    </row>
    <row r="407" spans="19:55" ht="15.75" customHeight="1">
      <c r="S407" s="454"/>
      <c r="AN407" s="458"/>
      <c r="BA407" s="1305"/>
      <c r="BC407" s="169"/>
    </row>
    <row r="408" spans="19:55" ht="15.75" customHeight="1">
      <c r="S408" s="454"/>
      <c r="AN408" s="458"/>
      <c r="BA408" s="1305"/>
      <c r="BC408" s="169"/>
    </row>
    <row r="409" spans="19:55" ht="15.75" customHeight="1">
      <c r="S409" s="454"/>
      <c r="AN409" s="458"/>
      <c r="BA409" s="1305"/>
      <c r="BC409" s="169"/>
    </row>
    <row r="410" spans="19:55" ht="15.75" customHeight="1">
      <c r="S410" s="454"/>
      <c r="AN410" s="458"/>
      <c r="BA410" s="1305"/>
      <c r="BC410" s="169"/>
    </row>
    <row r="411" spans="19:55" ht="15.75" customHeight="1">
      <c r="S411" s="454"/>
      <c r="AN411" s="458"/>
      <c r="BA411" s="1305"/>
      <c r="BC411" s="169"/>
    </row>
    <row r="412" spans="19:55" ht="15.75" customHeight="1">
      <c r="S412" s="454"/>
      <c r="AN412" s="458"/>
      <c r="BA412" s="1305"/>
      <c r="BC412" s="169"/>
    </row>
    <row r="413" spans="19:55" ht="15.75" customHeight="1">
      <c r="S413" s="454"/>
      <c r="AN413" s="458"/>
      <c r="BA413" s="1305"/>
      <c r="BC413" s="169"/>
    </row>
    <row r="414" spans="19:55" ht="15.75" customHeight="1">
      <c r="S414" s="454"/>
      <c r="AN414" s="458"/>
      <c r="BA414" s="1305"/>
      <c r="BC414" s="169"/>
    </row>
    <row r="415" spans="19:55" ht="15.75" customHeight="1">
      <c r="S415" s="454"/>
      <c r="AN415" s="458"/>
      <c r="BA415" s="1305"/>
      <c r="BC415" s="169"/>
    </row>
    <row r="416" spans="19:55" ht="15.75" customHeight="1">
      <c r="S416" s="454"/>
      <c r="AN416" s="458"/>
      <c r="BA416" s="1305"/>
      <c r="BC416" s="169"/>
    </row>
    <row r="417" spans="19:55" ht="15.75" customHeight="1">
      <c r="S417" s="454"/>
      <c r="AN417" s="458"/>
      <c r="BA417" s="1305"/>
      <c r="BC417" s="169"/>
    </row>
    <row r="418" spans="19:55" ht="15.75" customHeight="1">
      <c r="S418" s="454"/>
      <c r="AN418" s="458"/>
      <c r="BA418" s="1305"/>
      <c r="BC418" s="169"/>
    </row>
    <row r="419" spans="19:55" ht="15.75" customHeight="1">
      <c r="S419" s="454"/>
      <c r="AN419" s="458"/>
      <c r="BA419" s="1305"/>
      <c r="BC419" s="169"/>
    </row>
    <row r="420" spans="19:55" ht="15.75" customHeight="1">
      <c r="S420" s="454"/>
      <c r="AN420" s="458"/>
      <c r="BA420" s="1305"/>
      <c r="BC420" s="169"/>
    </row>
    <row r="421" spans="19:55" ht="15.75" customHeight="1">
      <c r="S421" s="454"/>
      <c r="AN421" s="458"/>
      <c r="BA421" s="1305"/>
      <c r="BC421" s="169"/>
    </row>
    <row r="422" spans="19:55" ht="15.75" customHeight="1">
      <c r="S422" s="454"/>
      <c r="AN422" s="458"/>
      <c r="BA422" s="1305"/>
      <c r="BC422" s="169"/>
    </row>
    <row r="423" spans="19:55" ht="15.75" customHeight="1">
      <c r="S423" s="454"/>
      <c r="AN423" s="458"/>
      <c r="BA423" s="1305"/>
      <c r="BC423" s="169"/>
    </row>
    <row r="424" spans="19:55" ht="15.75" customHeight="1">
      <c r="S424" s="454"/>
      <c r="AN424" s="458"/>
      <c r="BA424" s="1305"/>
      <c r="BC424" s="169"/>
    </row>
    <row r="425" spans="19:55" ht="15.75" customHeight="1">
      <c r="S425" s="454"/>
      <c r="AN425" s="458"/>
      <c r="BA425" s="1305"/>
      <c r="BC425" s="169"/>
    </row>
    <row r="426" spans="19:55" ht="15.75" customHeight="1">
      <c r="S426" s="454"/>
      <c r="AN426" s="458"/>
      <c r="BA426" s="1305"/>
      <c r="BC426" s="169"/>
    </row>
    <row r="427" spans="19:55" ht="15.75" customHeight="1">
      <c r="S427" s="454"/>
      <c r="AN427" s="458"/>
      <c r="BA427" s="1305"/>
      <c r="BC427" s="169"/>
    </row>
    <row r="428" spans="19:55" ht="15.75" customHeight="1">
      <c r="S428" s="454"/>
      <c r="AN428" s="458"/>
      <c r="BA428" s="1305"/>
      <c r="BC428" s="169"/>
    </row>
    <row r="429" spans="19:55" ht="15.75" customHeight="1">
      <c r="S429" s="454"/>
      <c r="AN429" s="458"/>
      <c r="BA429" s="1305"/>
      <c r="BC429" s="169"/>
    </row>
    <row r="430" spans="19:55" ht="15.75" customHeight="1">
      <c r="S430" s="454"/>
      <c r="AN430" s="458"/>
      <c r="BA430" s="1305"/>
      <c r="BC430" s="169"/>
    </row>
    <row r="431" spans="19:55" ht="15.75" customHeight="1">
      <c r="S431" s="454"/>
      <c r="AN431" s="458"/>
      <c r="BA431" s="1305"/>
      <c r="BC431" s="169"/>
    </row>
    <row r="432" spans="19:55" ht="15.75" customHeight="1">
      <c r="S432" s="454"/>
      <c r="AN432" s="458"/>
      <c r="BA432" s="1305"/>
      <c r="BC432" s="169"/>
    </row>
    <row r="433" spans="19:55" ht="15.75" customHeight="1">
      <c r="S433" s="454"/>
      <c r="AN433" s="458"/>
      <c r="BA433" s="1305"/>
      <c r="BC433" s="169"/>
    </row>
    <row r="434" spans="19:55" ht="15.75" customHeight="1">
      <c r="S434" s="454"/>
      <c r="AN434" s="458"/>
      <c r="BA434" s="1305"/>
      <c r="BC434" s="169"/>
    </row>
    <row r="435" spans="19:55" ht="15.75" customHeight="1">
      <c r="S435" s="454"/>
      <c r="AN435" s="458"/>
      <c r="BA435" s="1305"/>
      <c r="BC435" s="169"/>
    </row>
    <row r="436" spans="19:55" ht="15.75" customHeight="1">
      <c r="S436" s="454"/>
      <c r="AN436" s="458"/>
      <c r="BA436" s="1305"/>
      <c r="BC436" s="169"/>
    </row>
    <row r="437" spans="19:55" ht="15.75" customHeight="1">
      <c r="S437" s="454"/>
      <c r="AN437" s="458"/>
      <c r="BA437" s="1305"/>
      <c r="BC437" s="169"/>
    </row>
    <row r="438" spans="19:55" ht="15.75" customHeight="1">
      <c r="S438" s="454"/>
      <c r="AN438" s="458"/>
      <c r="BA438" s="1305"/>
      <c r="BC438" s="169"/>
    </row>
    <row r="439" spans="19:55" ht="15.75" customHeight="1">
      <c r="S439" s="454"/>
      <c r="AN439" s="458"/>
      <c r="BA439" s="1305"/>
      <c r="BC439" s="169"/>
    </row>
    <row r="440" spans="19:55" ht="15.75" customHeight="1">
      <c r="S440" s="454"/>
      <c r="AN440" s="458"/>
      <c r="BA440" s="1305"/>
      <c r="BC440" s="169"/>
    </row>
    <row r="441" spans="19:55" ht="15.75" customHeight="1">
      <c r="S441" s="454"/>
      <c r="AN441" s="458"/>
      <c r="BA441" s="1305"/>
      <c r="BC441" s="169"/>
    </row>
    <row r="442" spans="19:55" ht="15.75" customHeight="1">
      <c r="S442" s="454"/>
      <c r="AN442" s="458"/>
      <c r="BA442" s="1305"/>
      <c r="BC442" s="169"/>
    </row>
    <row r="443" spans="19:55" ht="15.75" customHeight="1">
      <c r="S443" s="454"/>
      <c r="AN443" s="458"/>
      <c r="BA443" s="1305"/>
      <c r="BC443" s="169"/>
    </row>
    <row r="444" spans="19:55" ht="15.75" customHeight="1">
      <c r="S444" s="454"/>
      <c r="AN444" s="458"/>
      <c r="BA444" s="1305"/>
      <c r="BC444" s="169"/>
    </row>
    <row r="445" spans="19:55" ht="15.75" customHeight="1">
      <c r="S445" s="454"/>
      <c r="AN445" s="458"/>
      <c r="BA445" s="1305"/>
      <c r="BC445" s="169"/>
    </row>
    <row r="446" spans="19:55" ht="15.75" customHeight="1">
      <c r="S446" s="454"/>
      <c r="AN446" s="458"/>
      <c r="BA446" s="1305"/>
      <c r="BC446" s="169"/>
    </row>
    <row r="447" spans="19:55" ht="15.75" customHeight="1">
      <c r="S447" s="454"/>
      <c r="AN447" s="458"/>
      <c r="BA447" s="1305"/>
      <c r="BC447" s="169"/>
    </row>
    <row r="448" spans="19:55" ht="15.75" customHeight="1">
      <c r="S448" s="454"/>
      <c r="AN448" s="458"/>
      <c r="BA448" s="1305"/>
      <c r="BC448" s="169"/>
    </row>
    <row r="449" spans="19:55" ht="15.75" customHeight="1">
      <c r="S449" s="454"/>
      <c r="AN449" s="458"/>
      <c r="BA449" s="1305"/>
      <c r="BC449" s="169"/>
    </row>
    <row r="450" spans="19:55" ht="15.75" customHeight="1">
      <c r="S450" s="454"/>
      <c r="AN450" s="458"/>
      <c r="BA450" s="1305"/>
      <c r="BC450" s="169"/>
    </row>
    <row r="451" spans="19:55" ht="15.75" customHeight="1">
      <c r="S451" s="454"/>
      <c r="AN451" s="458"/>
      <c r="BA451" s="1305"/>
      <c r="BC451" s="169"/>
    </row>
    <row r="452" spans="19:55" ht="15.75" customHeight="1">
      <c r="S452" s="454"/>
      <c r="AN452" s="458"/>
      <c r="BA452" s="1305"/>
      <c r="BC452" s="169"/>
    </row>
    <row r="453" spans="19:55" ht="15.75" customHeight="1">
      <c r="S453" s="454"/>
      <c r="AN453" s="458"/>
      <c r="BA453" s="1305"/>
      <c r="BC453" s="169"/>
    </row>
    <row r="454" spans="19:55" ht="15.75" customHeight="1">
      <c r="S454" s="454"/>
      <c r="AN454" s="458"/>
      <c r="BA454" s="1305"/>
      <c r="BC454" s="169"/>
    </row>
    <row r="455" spans="19:55" ht="15.75" customHeight="1">
      <c r="S455" s="454"/>
      <c r="AN455" s="458"/>
      <c r="BA455" s="1305"/>
      <c r="BC455" s="169"/>
    </row>
    <row r="456" spans="19:55" ht="15.75" customHeight="1">
      <c r="S456" s="454"/>
      <c r="AN456" s="458"/>
      <c r="BA456" s="1305"/>
      <c r="BC456" s="169"/>
    </row>
    <row r="457" spans="19:55" ht="15.75" customHeight="1">
      <c r="S457" s="454"/>
      <c r="AN457" s="458"/>
      <c r="BA457" s="1305"/>
      <c r="BC457" s="169"/>
    </row>
    <row r="458" spans="19:55" ht="15.75" customHeight="1">
      <c r="S458" s="454"/>
      <c r="AN458" s="458"/>
      <c r="BA458" s="1305"/>
      <c r="BC458" s="169"/>
    </row>
    <row r="459" spans="19:55" ht="15.75" customHeight="1">
      <c r="S459" s="454"/>
      <c r="AN459" s="458"/>
      <c r="BA459" s="1305"/>
      <c r="BC459" s="169"/>
    </row>
    <row r="460" spans="19:55" ht="15.75" customHeight="1">
      <c r="S460" s="454"/>
      <c r="AN460" s="458"/>
      <c r="BA460" s="1305"/>
      <c r="BC460" s="169"/>
    </row>
    <row r="461" spans="19:55" ht="15.75" customHeight="1">
      <c r="S461" s="454"/>
      <c r="AN461" s="458"/>
      <c r="BA461" s="1305"/>
      <c r="BC461" s="169"/>
    </row>
    <row r="462" spans="19:55" ht="15.75" customHeight="1">
      <c r="S462" s="454"/>
      <c r="AN462" s="458"/>
      <c r="BA462" s="1305"/>
      <c r="BC462" s="169"/>
    </row>
    <row r="463" spans="19:55" ht="15.75" customHeight="1">
      <c r="S463" s="454"/>
      <c r="AN463" s="458"/>
      <c r="BA463" s="1305"/>
      <c r="BC463" s="169"/>
    </row>
    <row r="464" spans="19:55" ht="15.75" customHeight="1">
      <c r="S464" s="454"/>
      <c r="AN464" s="458"/>
      <c r="BA464" s="1305"/>
      <c r="BC464" s="169"/>
    </row>
    <row r="465" spans="19:55" ht="15.75" customHeight="1">
      <c r="S465" s="454"/>
      <c r="AN465" s="458"/>
      <c r="BA465" s="1305"/>
      <c r="BC465" s="169"/>
    </row>
    <row r="466" spans="19:55" ht="15.75" customHeight="1">
      <c r="S466" s="454"/>
      <c r="AN466" s="458"/>
      <c r="BA466" s="1305"/>
      <c r="BC466" s="169"/>
    </row>
    <row r="467" spans="19:55" ht="15.75" customHeight="1">
      <c r="S467" s="454"/>
      <c r="AN467" s="458"/>
      <c r="BA467" s="1305"/>
      <c r="BC467" s="169"/>
    </row>
    <row r="468" spans="19:55" ht="15.75" customHeight="1">
      <c r="S468" s="454"/>
      <c r="AN468" s="458"/>
      <c r="BA468" s="1305"/>
      <c r="BC468" s="169"/>
    </row>
    <row r="469" spans="19:55" ht="15.75" customHeight="1">
      <c r="S469" s="454"/>
      <c r="AN469" s="458"/>
      <c r="BA469" s="1305"/>
      <c r="BC469" s="169"/>
    </row>
    <row r="470" spans="19:55" ht="15.75" customHeight="1">
      <c r="S470" s="454"/>
      <c r="AN470" s="458"/>
      <c r="BA470" s="1305"/>
      <c r="BC470" s="169"/>
    </row>
    <row r="471" spans="19:55" ht="15.75" customHeight="1">
      <c r="S471" s="454"/>
      <c r="AN471" s="458"/>
      <c r="BA471" s="1305"/>
      <c r="BC471" s="169"/>
    </row>
    <row r="472" spans="19:55" ht="15.75" customHeight="1">
      <c r="S472" s="454"/>
      <c r="AN472" s="458"/>
      <c r="BA472" s="1305"/>
      <c r="BC472" s="169"/>
    </row>
    <row r="473" spans="19:55" ht="15.75" customHeight="1">
      <c r="S473" s="454"/>
      <c r="AN473" s="458"/>
      <c r="BA473" s="1305"/>
      <c r="BC473" s="169"/>
    </row>
    <row r="474" spans="19:55" ht="15.75" customHeight="1">
      <c r="S474" s="454"/>
      <c r="AN474" s="458"/>
      <c r="BA474" s="1305"/>
      <c r="BC474" s="169"/>
    </row>
    <row r="475" spans="19:55" ht="15.75" customHeight="1">
      <c r="S475" s="454"/>
      <c r="AN475" s="458"/>
      <c r="BA475" s="1305"/>
      <c r="BC475" s="169"/>
    </row>
    <row r="476" spans="19:55" ht="15.75" customHeight="1">
      <c r="S476" s="454"/>
      <c r="AN476" s="458"/>
      <c r="BA476" s="1305"/>
      <c r="BC476" s="169"/>
    </row>
    <row r="477" spans="19:55" ht="15.75" customHeight="1">
      <c r="S477" s="454"/>
      <c r="AN477" s="458"/>
      <c r="BA477" s="1305"/>
      <c r="BC477" s="169"/>
    </row>
    <row r="478" spans="19:55" ht="15.75" customHeight="1">
      <c r="S478" s="454"/>
      <c r="AN478" s="458"/>
      <c r="BA478" s="1305"/>
      <c r="BC478" s="169"/>
    </row>
    <row r="479" spans="19:55" ht="15.75" customHeight="1">
      <c r="S479" s="454"/>
      <c r="AN479" s="458"/>
      <c r="BA479" s="1305"/>
      <c r="BC479" s="169"/>
    </row>
    <row r="480" spans="19:55" ht="15.75" customHeight="1">
      <c r="S480" s="454"/>
      <c r="AN480" s="458"/>
      <c r="BA480" s="1305"/>
      <c r="BC480" s="169"/>
    </row>
    <row r="481" spans="19:55" ht="15.75" customHeight="1">
      <c r="S481" s="454"/>
      <c r="AN481" s="458"/>
      <c r="BA481" s="1305"/>
      <c r="BC481" s="169"/>
    </row>
    <row r="482" spans="19:55" ht="15.75" customHeight="1">
      <c r="S482" s="454"/>
      <c r="AN482" s="458"/>
      <c r="BA482" s="1305"/>
      <c r="BC482" s="169"/>
    </row>
    <row r="483" spans="19:55" ht="15.75" customHeight="1">
      <c r="S483" s="454"/>
      <c r="AN483" s="458"/>
      <c r="BA483" s="1305"/>
      <c r="BC483" s="169"/>
    </row>
    <row r="484" spans="19:55" ht="15.75" customHeight="1">
      <c r="S484" s="454"/>
      <c r="AN484" s="458"/>
      <c r="BA484" s="1305"/>
      <c r="BC484" s="169"/>
    </row>
    <row r="485" spans="19:55" ht="15.75" customHeight="1">
      <c r="S485" s="454"/>
      <c r="AN485" s="458"/>
      <c r="BA485" s="1305"/>
      <c r="BC485" s="169"/>
    </row>
    <row r="486" spans="19:55" ht="15.75" customHeight="1">
      <c r="S486" s="454"/>
      <c r="AN486" s="458"/>
      <c r="BA486" s="1305"/>
      <c r="BC486" s="169"/>
    </row>
    <row r="487" spans="19:55" ht="15.75" customHeight="1">
      <c r="S487" s="454"/>
      <c r="AN487" s="458"/>
      <c r="BA487" s="1305"/>
      <c r="BC487" s="169"/>
    </row>
    <row r="488" spans="19:55" ht="15.75" customHeight="1">
      <c r="S488" s="454"/>
      <c r="AN488" s="458"/>
      <c r="BA488" s="1305"/>
      <c r="BC488" s="169"/>
    </row>
    <row r="489" spans="19:55" ht="15.75" customHeight="1">
      <c r="S489" s="454"/>
      <c r="AN489" s="458"/>
      <c r="BA489" s="1305"/>
      <c r="BC489" s="169"/>
    </row>
    <row r="490" spans="19:55" ht="15.75" customHeight="1">
      <c r="S490" s="454"/>
      <c r="AN490" s="458"/>
      <c r="BA490" s="1305"/>
      <c r="BC490" s="169"/>
    </row>
    <row r="491" spans="19:55" ht="15.75" customHeight="1">
      <c r="S491" s="454"/>
      <c r="AN491" s="458"/>
      <c r="BA491" s="1305"/>
      <c r="BC491" s="169"/>
    </row>
    <row r="492" spans="19:55" ht="15.75" customHeight="1">
      <c r="S492" s="454"/>
      <c r="AN492" s="458"/>
      <c r="BA492" s="1305"/>
      <c r="BC492" s="169"/>
    </row>
    <row r="493" spans="19:55" ht="15.75" customHeight="1">
      <c r="S493" s="454"/>
      <c r="AN493" s="458"/>
      <c r="BA493" s="1305"/>
      <c r="BC493" s="169"/>
    </row>
    <row r="494" spans="19:55" ht="15.75" customHeight="1">
      <c r="S494" s="454"/>
      <c r="AN494" s="458"/>
      <c r="BA494" s="1305"/>
      <c r="BC494" s="169"/>
    </row>
    <row r="495" spans="19:55" ht="15.75" customHeight="1">
      <c r="S495" s="454"/>
      <c r="AN495" s="458"/>
      <c r="BA495" s="1305"/>
      <c r="BC495" s="169"/>
    </row>
    <row r="496" spans="19:55" ht="15.75" customHeight="1">
      <c r="S496" s="454"/>
      <c r="AN496" s="458"/>
      <c r="BA496" s="1305"/>
      <c r="BC496" s="169"/>
    </row>
    <row r="497" spans="19:55" ht="15.75" customHeight="1">
      <c r="S497" s="454"/>
      <c r="AN497" s="458"/>
      <c r="BA497" s="1305"/>
      <c r="BC497" s="169"/>
    </row>
    <row r="498" spans="19:55" ht="15.75" customHeight="1">
      <c r="S498" s="454"/>
      <c r="AN498" s="458"/>
      <c r="BA498" s="1305"/>
      <c r="BC498" s="169"/>
    </row>
    <row r="499" spans="19:55" ht="15.75" customHeight="1">
      <c r="S499" s="454"/>
      <c r="AN499" s="458"/>
      <c r="BA499" s="1305"/>
      <c r="BC499" s="169"/>
    </row>
    <row r="500" spans="19:55" ht="15.75" customHeight="1">
      <c r="S500" s="454"/>
      <c r="AN500" s="458"/>
      <c r="BA500" s="1305"/>
      <c r="BC500" s="169"/>
    </row>
    <row r="501" spans="19:55" ht="15.75" customHeight="1">
      <c r="S501" s="454"/>
      <c r="AN501" s="458"/>
      <c r="BA501" s="1305"/>
      <c r="BC501" s="169"/>
    </row>
    <row r="502" spans="19:55" ht="15.75" customHeight="1">
      <c r="S502" s="454"/>
      <c r="AN502" s="458"/>
      <c r="BA502" s="1305"/>
      <c r="BC502" s="169"/>
    </row>
    <row r="503" spans="19:55" ht="15.75" customHeight="1">
      <c r="S503" s="454"/>
      <c r="AN503" s="458"/>
      <c r="BA503" s="1305"/>
      <c r="BC503" s="169"/>
    </row>
    <row r="504" spans="19:55" ht="15.75" customHeight="1">
      <c r="S504" s="454"/>
      <c r="AN504" s="458"/>
      <c r="BA504" s="1305"/>
      <c r="BC504" s="169"/>
    </row>
    <row r="505" spans="19:55" ht="15.75" customHeight="1">
      <c r="S505" s="454"/>
      <c r="AN505" s="458"/>
      <c r="BA505" s="1305"/>
      <c r="BC505" s="169"/>
    </row>
    <row r="506" spans="19:55" ht="15.75" customHeight="1">
      <c r="S506" s="454"/>
      <c r="AN506" s="458"/>
      <c r="BA506" s="1305"/>
      <c r="BC506" s="169"/>
    </row>
    <row r="507" spans="19:55" ht="15.75" customHeight="1">
      <c r="S507" s="454"/>
      <c r="AN507" s="458"/>
      <c r="BA507" s="1305"/>
      <c r="BC507" s="169"/>
    </row>
    <row r="508" spans="19:55" ht="15.75" customHeight="1">
      <c r="S508" s="454"/>
      <c r="AN508" s="458"/>
      <c r="BA508" s="1305"/>
      <c r="BC508" s="169"/>
    </row>
    <row r="509" spans="19:55" ht="15.75" customHeight="1">
      <c r="S509" s="454"/>
      <c r="AN509" s="458"/>
      <c r="BA509" s="1305"/>
      <c r="BC509" s="169"/>
    </row>
    <row r="510" spans="19:55" ht="15.75" customHeight="1">
      <c r="S510" s="454"/>
      <c r="AN510" s="458"/>
      <c r="BA510" s="1305"/>
      <c r="BC510" s="169"/>
    </row>
    <row r="511" spans="19:55" ht="15.75" customHeight="1">
      <c r="S511" s="454"/>
      <c r="AN511" s="458"/>
      <c r="BA511" s="1305"/>
      <c r="BC511" s="169"/>
    </row>
    <row r="512" spans="19:55" ht="15.75" customHeight="1">
      <c r="S512" s="454"/>
      <c r="AN512" s="458"/>
      <c r="BA512" s="1305"/>
      <c r="BC512" s="169"/>
    </row>
    <row r="513" spans="19:55" ht="15.75" customHeight="1">
      <c r="S513" s="454"/>
      <c r="AN513" s="458"/>
      <c r="BA513" s="1305"/>
      <c r="BC513" s="169"/>
    </row>
    <row r="514" spans="19:55" ht="15.75" customHeight="1">
      <c r="S514" s="454"/>
      <c r="AN514" s="458"/>
      <c r="BA514" s="1305"/>
      <c r="BC514" s="169"/>
    </row>
    <row r="515" spans="19:55" ht="15.75" customHeight="1">
      <c r="S515" s="454"/>
      <c r="AN515" s="458"/>
      <c r="BA515" s="1305"/>
      <c r="BC515" s="169"/>
    </row>
    <row r="516" spans="19:55" ht="15.75" customHeight="1">
      <c r="S516" s="454"/>
      <c r="AN516" s="458"/>
      <c r="BA516" s="1305"/>
      <c r="BC516" s="169"/>
    </row>
    <row r="517" spans="19:55" ht="15.75" customHeight="1">
      <c r="S517" s="454"/>
      <c r="AN517" s="458"/>
      <c r="BA517" s="1305"/>
      <c r="BC517" s="169"/>
    </row>
    <row r="518" spans="19:55" ht="15.75" customHeight="1">
      <c r="S518" s="454"/>
      <c r="AN518" s="458"/>
      <c r="BA518" s="1305"/>
      <c r="BC518" s="169"/>
    </row>
    <row r="519" spans="19:55" ht="15.75" customHeight="1">
      <c r="S519" s="454"/>
      <c r="AN519" s="458"/>
      <c r="BA519" s="1305"/>
      <c r="BC519" s="169"/>
    </row>
    <row r="520" spans="19:55" ht="15.75" customHeight="1">
      <c r="S520" s="454"/>
      <c r="AN520" s="458"/>
      <c r="BA520" s="1305"/>
      <c r="BC520" s="169"/>
    </row>
    <row r="521" spans="19:55" ht="15.75" customHeight="1">
      <c r="S521" s="454"/>
      <c r="AN521" s="458"/>
      <c r="BA521" s="1305"/>
      <c r="BC521" s="169"/>
    </row>
    <row r="522" spans="19:55" ht="15.75" customHeight="1">
      <c r="S522" s="454"/>
      <c r="AN522" s="458"/>
      <c r="BA522" s="1305"/>
      <c r="BC522" s="169"/>
    </row>
    <row r="523" spans="19:55" ht="15.75" customHeight="1">
      <c r="S523" s="454"/>
      <c r="AN523" s="458"/>
      <c r="BA523" s="1305"/>
      <c r="BC523" s="169"/>
    </row>
    <row r="524" spans="19:55" ht="15.75" customHeight="1">
      <c r="S524" s="454"/>
      <c r="AN524" s="458"/>
      <c r="BA524" s="1305"/>
      <c r="BC524" s="169"/>
    </row>
    <row r="525" spans="19:55" ht="15.75" customHeight="1">
      <c r="S525" s="454"/>
      <c r="AN525" s="458"/>
      <c r="BA525" s="1305"/>
      <c r="BC525" s="169"/>
    </row>
    <row r="526" spans="19:55" ht="15.75" customHeight="1">
      <c r="S526" s="454"/>
      <c r="AN526" s="458"/>
      <c r="BA526" s="1305"/>
      <c r="BC526" s="169"/>
    </row>
    <row r="527" spans="19:55" ht="15.75" customHeight="1">
      <c r="S527" s="454"/>
      <c r="AN527" s="458"/>
      <c r="BA527" s="1305"/>
      <c r="BC527" s="169"/>
    </row>
    <row r="528" spans="19:55" ht="15.75" customHeight="1">
      <c r="S528" s="454"/>
      <c r="AN528" s="458"/>
      <c r="BA528" s="1305"/>
      <c r="BC528" s="169"/>
    </row>
    <row r="529" spans="19:55" ht="15.75" customHeight="1">
      <c r="S529" s="454"/>
      <c r="AN529" s="458"/>
      <c r="BA529" s="1305"/>
      <c r="BC529" s="169"/>
    </row>
    <row r="530" spans="19:55" ht="15.75" customHeight="1">
      <c r="S530" s="454"/>
      <c r="AN530" s="458"/>
      <c r="BA530" s="1305"/>
      <c r="BC530" s="169"/>
    </row>
    <row r="531" spans="19:55" ht="15.75" customHeight="1">
      <c r="S531" s="454"/>
      <c r="AN531" s="458"/>
      <c r="BA531" s="1305"/>
      <c r="BC531" s="169"/>
    </row>
    <row r="532" spans="19:55" ht="15.75" customHeight="1">
      <c r="S532" s="454"/>
      <c r="AN532" s="458"/>
      <c r="BA532" s="1305"/>
      <c r="BC532" s="169"/>
    </row>
    <row r="533" spans="19:55" ht="15.75" customHeight="1">
      <c r="S533" s="454"/>
      <c r="AN533" s="458"/>
      <c r="BA533" s="1305"/>
      <c r="BC533" s="169"/>
    </row>
    <row r="534" spans="19:55" ht="15.75" customHeight="1">
      <c r="S534" s="454"/>
      <c r="AN534" s="458"/>
      <c r="BA534" s="1305"/>
      <c r="BC534" s="169"/>
    </row>
    <row r="535" spans="19:55" ht="15.75" customHeight="1">
      <c r="S535" s="454"/>
      <c r="AN535" s="458"/>
      <c r="BA535" s="1305"/>
      <c r="BC535" s="169"/>
    </row>
    <row r="536" spans="19:55" ht="15.75" customHeight="1">
      <c r="S536" s="454"/>
      <c r="AN536" s="458"/>
      <c r="BA536" s="1305"/>
      <c r="BC536" s="169"/>
    </row>
    <row r="537" spans="19:55" ht="15.75" customHeight="1">
      <c r="S537" s="454"/>
      <c r="AN537" s="458"/>
      <c r="BA537" s="1305"/>
      <c r="BC537" s="169"/>
    </row>
    <row r="538" spans="19:55" ht="15.75" customHeight="1">
      <c r="S538" s="454"/>
      <c r="AN538" s="458"/>
      <c r="BA538" s="1305"/>
      <c r="BC538" s="169"/>
    </row>
    <row r="539" spans="19:55" ht="15.75" customHeight="1">
      <c r="S539" s="454"/>
      <c r="AN539" s="458"/>
      <c r="BA539" s="1305"/>
      <c r="BC539" s="169"/>
    </row>
    <row r="540" spans="19:55" ht="15.75" customHeight="1">
      <c r="S540" s="454"/>
      <c r="AN540" s="458"/>
      <c r="BA540" s="1305"/>
      <c r="BC540" s="169"/>
    </row>
    <row r="541" spans="19:55" ht="15.75" customHeight="1">
      <c r="S541" s="454"/>
      <c r="AN541" s="458"/>
      <c r="BA541" s="1305"/>
      <c r="BC541" s="169"/>
    </row>
    <row r="542" spans="19:55" ht="15.75" customHeight="1">
      <c r="S542" s="454"/>
      <c r="AN542" s="458"/>
      <c r="BA542" s="1305"/>
      <c r="BC542" s="169"/>
    </row>
    <row r="543" spans="19:55" ht="15.75" customHeight="1">
      <c r="S543" s="454"/>
      <c r="AN543" s="458"/>
      <c r="BA543" s="1305"/>
      <c r="BC543" s="169"/>
    </row>
    <row r="544" spans="19:55" ht="15.75" customHeight="1">
      <c r="S544" s="454"/>
      <c r="AN544" s="458"/>
      <c r="BA544" s="1305"/>
      <c r="BC544" s="169"/>
    </row>
    <row r="545" spans="19:55" ht="15.75" customHeight="1">
      <c r="S545" s="454"/>
      <c r="AN545" s="458"/>
      <c r="BA545" s="1305"/>
      <c r="BC545" s="169"/>
    </row>
    <row r="546" spans="19:55" ht="15.75" customHeight="1">
      <c r="S546" s="454"/>
      <c r="AN546" s="458"/>
      <c r="BA546" s="1305"/>
      <c r="BC546" s="169"/>
    </row>
    <row r="547" spans="19:55" ht="15.75" customHeight="1">
      <c r="S547" s="454"/>
      <c r="AN547" s="458"/>
      <c r="BA547" s="1305"/>
      <c r="BC547" s="169"/>
    </row>
    <row r="548" spans="19:55" ht="15.75" customHeight="1">
      <c r="S548" s="454"/>
      <c r="AN548" s="458"/>
      <c r="BA548" s="1305"/>
      <c r="BC548" s="169"/>
    </row>
    <row r="549" spans="19:55" ht="15.75" customHeight="1">
      <c r="S549" s="454"/>
      <c r="AN549" s="458"/>
      <c r="BA549" s="1305"/>
      <c r="BC549" s="169"/>
    </row>
    <row r="550" spans="19:55" ht="15.75" customHeight="1">
      <c r="S550" s="454"/>
      <c r="AN550" s="458"/>
      <c r="BA550" s="1305"/>
      <c r="BC550" s="169"/>
    </row>
    <row r="551" spans="19:55" ht="15.75" customHeight="1">
      <c r="S551" s="454"/>
      <c r="AN551" s="458"/>
      <c r="BA551" s="1305"/>
      <c r="BC551" s="169"/>
    </row>
    <row r="552" spans="19:55" ht="15.75" customHeight="1">
      <c r="S552" s="454"/>
      <c r="AN552" s="458"/>
      <c r="BA552" s="1305"/>
      <c r="BC552" s="169"/>
    </row>
    <row r="553" spans="19:55" ht="15.75" customHeight="1">
      <c r="S553" s="454"/>
      <c r="AN553" s="458"/>
      <c r="BA553" s="1305"/>
      <c r="BC553" s="169"/>
    </row>
    <row r="554" spans="19:55" ht="15.75" customHeight="1">
      <c r="S554" s="454"/>
      <c r="AN554" s="458"/>
      <c r="BA554" s="1305"/>
      <c r="BC554" s="169"/>
    </row>
    <row r="555" spans="19:55" ht="15.75" customHeight="1">
      <c r="S555" s="454"/>
      <c r="AN555" s="458"/>
      <c r="BA555" s="1305"/>
      <c r="BC555" s="169"/>
    </row>
    <row r="556" spans="19:55" ht="15.75" customHeight="1">
      <c r="S556" s="454"/>
      <c r="AN556" s="458"/>
      <c r="BA556" s="1305"/>
      <c r="BC556" s="169"/>
    </row>
    <row r="557" spans="19:55" ht="15.75" customHeight="1">
      <c r="S557" s="454"/>
      <c r="AN557" s="458"/>
      <c r="BA557" s="1305"/>
      <c r="BC557" s="169"/>
    </row>
    <row r="558" spans="19:55" ht="15.75" customHeight="1">
      <c r="S558" s="454"/>
      <c r="AN558" s="458"/>
      <c r="BA558" s="1305"/>
      <c r="BC558" s="169"/>
    </row>
    <row r="559" spans="19:55" ht="15.75" customHeight="1">
      <c r="S559" s="454"/>
      <c r="AN559" s="458"/>
      <c r="BA559" s="1305"/>
      <c r="BC559" s="169"/>
    </row>
    <row r="560" spans="19:55" ht="15.75" customHeight="1">
      <c r="S560" s="454"/>
      <c r="AN560" s="458"/>
      <c r="BA560" s="1305"/>
      <c r="BC560" s="169"/>
    </row>
    <row r="561" spans="19:55" ht="15.75" customHeight="1">
      <c r="S561" s="454"/>
      <c r="AN561" s="458"/>
      <c r="BA561" s="1305"/>
      <c r="BC561" s="169"/>
    </row>
    <row r="562" spans="19:55" ht="15.75" customHeight="1">
      <c r="S562" s="454"/>
      <c r="AN562" s="458"/>
      <c r="BA562" s="1305"/>
      <c r="BC562" s="169"/>
    </row>
    <row r="563" spans="19:55" ht="15.75" customHeight="1">
      <c r="S563" s="454"/>
      <c r="AN563" s="458"/>
      <c r="BA563" s="1305"/>
      <c r="BC563" s="169"/>
    </row>
    <row r="564" spans="19:55" ht="15.75" customHeight="1">
      <c r="S564" s="454"/>
      <c r="AN564" s="458"/>
      <c r="BA564" s="1305"/>
      <c r="BC564" s="169"/>
    </row>
    <row r="565" spans="19:55" ht="15.75" customHeight="1">
      <c r="S565" s="454"/>
      <c r="AN565" s="458"/>
      <c r="BA565" s="1305"/>
      <c r="BC565" s="169"/>
    </row>
    <row r="566" spans="19:55" ht="15.75" customHeight="1">
      <c r="S566" s="454"/>
      <c r="AN566" s="458"/>
      <c r="BA566" s="1305"/>
      <c r="BC566" s="169"/>
    </row>
    <row r="567" spans="19:55" ht="15.75" customHeight="1">
      <c r="S567" s="454"/>
      <c r="AN567" s="458"/>
      <c r="BA567" s="1305"/>
      <c r="BC567" s="169"/>
    </row>
    <row r="568" spans="19:55" ht="15.75" customHeight="1">
      <c r="S568" s="454"/>
      <c r="AN568" s="458"/>
      <c r="BA568" s="1305"/>
      <c r="BC568" s="169"/>
    </row>
    <row r="569" spans="19:55" ht="15.75" customHeight="1">
      <c r="S569" s="454"/>
      <c r="AN569" s="458"/>
      <c r="BA569" s="1305"/>
      <c r="BC569" s="169"/>
    </row>
    <row r="570" spans="19:55" ht="15.75" customHeight="1">
      <c r="S570" s="454"/>
      <c r="AN570" s="458"/>
      <c r="BA570" s="1305"/>
      <c r="BC570" s="169"/>
    </row>
    <row r="571" spans="19:55" ht="15.75" customHeight="1">
      <c r="S571" s="454"/>
      <c r="AN571" s="458"/>
      <c r="BA571" s="1305"/>
      <c r="BC571" s="169"/>
    </row>
    <row r="572" spans="19:55" ht="15.75" customHeight="1">
      <c r="S572" s="454"/>
      <c r="AN572" s="458"/>
      <c r="BA572" s="1305"/>
      <c r="BC572" s="169"/>
    </row>
    <row r="573" spans="19:55" ht="15.75" customHeight="1">
      <c r="S573" s="454"/>
      <c r="AN573" s="458"/>
      <c r="BA573" s="1305"/>
      <c r="BC573" s="169"/>
    </row>
    <row r="574" spans="19:55" ht="15.75" customHeight="1">
      <c r="S574" s="454"/>
      <c r="AN574" s="458"/>
      <c r="BA574" s="1305"/>
      <c r="BC574" s="169"/>
    </row>
    <row r="575" spans="19:55" ht="15.75" customHeight="1">
      <c r="S575" s="454"/>
      <c r="AN575" s="458"/>
      <c r="BA575" s="1305"/>
      <c r="BC575" s="169"/>
    </row>
    <row r="576" spans="19:55" ht="15.75" customHeight="1">
      <c r="S576" s="454"/>
      <c r="AN576" s="458"/>
      <c r="BA576" s="1305"/>
      <c r="BC576" s="169"/>
    </row>
    <row r="577" spans="19:55" ht="15.75" customHeight="1">
      <c r="S577" s="454"/>
      <c r="AN577" s="458"/>
      <c r="BA577" s="1305"/>
      <c r="BC577" s="169"/>
    </row>
    <row r="578" spans="19:55" ht="15.75" customHeight="1">
      <c r="S578" s="454"/>
      <c r="AN578" s="458"/>
      <c r="BA578" s="1305"/>
      <c r="BC578" s="169"/>
    </row>
    <row r="579" spans="19:55" ht="15.75" customHeight="1">
      <c r="S579" s="454"/>
      <c r="AN579" s="458"/>
      <c r="BA579" s="1305"/>
      <c r="BC579" s="169"/>
    </row>
    <row r="580" spans="19:55" ht="15.75" customHeight="1">
      <c r="S580" s="454"/>
      <c r="AN580" s="458"/>
      <c r="BA580" s="1305"/>
      <c r="BC580" s="169"/>
    </row>
    <row r="581" spans="19:55" ht="15.75" customHeight="1">
      <c r="S581" s="454"/>
      <c r="AN581" s="458"/>
      <c r="BA581" s="1305"/>
      <c r="BC581" s="169"/>
    </row>
    <row r="582" spans="19:55" ht="15.75" customHeight="1">
      <c r="S582" s="454"/>
      <c r="AN582" s="458"/>
      <c r="BA582" s="1305"/>
      <c r="BC582" s="169"/>
    </row>
    <row r="583" spans="19:55" ht="15.75" customHeight="1">
      <c r="S583" s="454"/>
      <c r="AN583" s="458"/>
      <c r="BA583" s="1305"/>
      <c r="BC583" s="169"/>
    </row>
    <row r="584" spans="19:55" ht="15.75" customHeight="1">
      <c r="S584" s="454"/>
      <c r="AN584" s="458"/>
      <c r="BA584" s="1305"/>
      <c r="BC584" s="169"/>
    </row>
    <row r="585" spans="19:55" ht="15.75" customHeight="1">
      <c r="S585" s="454"/>
      <c r="AN585" s="458"/>
      <c r="BA585" s="1305"/>
      <c r="BC585" s="169"/>
    </row>
    <row r="586" spans="19:55" ht="15.75" customHeight="1">
      <c r="S586" s="454"/>
      <c r="AN586" s="458"/>
      <c r="BA586" s="1305"/>
      <c r="BC586" s="169"/>
    </row>
    <row r="587" spans="19:55" ht="15.75" customHeight="1">
      <c r="S587" s="454"/>
      <c r="AN587" s="458"/>
      <c r="BA587" s="1305"/>
      <c r="BC587" s="169"/>
    </row>
    <row r="588" spans="19:55" ht="15.75" customHeight="1">
      <c r="S588" s="454"/>
      <c r="AN588" s="458"/>
      <c r="BA588" s="1305"/>
      <c r="BC588" s="169"/>
    </row>
    <row r="589" spans="19:55" ht="15.75" customHeight="1">
      <c r="S589" s="454"/>
      <c r="AN589" s="458"/>
      <c r="BA589" s="1305"/>
      <c r="BC589" s="169"/>
    </row>
    <row r="590" spans="19:55" ht="15.75" customHeight="1">
      <c r="S590" s="454"/>
      <c r="AN590" s="458"/>
      <c r="BA590" s="1305"/>
      <c r="BC590" s="169"/>
    </row>
    <row r="591" spans="19:55" ht="15.75" customHeight="1">
      <c r="S591" s="454"/>
      <c r="AN591" s="458"/>
      <c r="BA591" s="1305"/>
      <c r="BC591" s="169"/>
    </row>
    <row r="592" spans="19:55" ht="15.75" customHeight="1">
      <c r="S592" s="454"/>
      <c r="AN592" s="458"/>
      <c r="BA592" s="1305"/>
      <c r="BC592" s="169"/>
    </row>
    <row r="593" spans="19:55" ht="15.75" customHeight="1">
      <c r="S593" s="454"/>
      <c r="AN593" s="458"/>
      <c r="BA593" s="1305"/>
      <c r="BC593" s="169"/>
    </row>
    <row r="594" spans="19:55" ht="15.75" customHeight="1">
      <c r="S594" s="454"/>
      <c r="AN594" s="458"/>
      <c r="BA594" s="1305"/>
      <c r="BC594" s="169"/>
    </row>
    <row r="595" spans="19:55" ht="15.75" customHeight="1">
      <c r="S595" s="454"/>
      <c r="AN595" s="458"/>
      <c r="BA595" s="1305"/>
      <c r="BC595" s="169"/>
    </row>
    <row r="596" spans="19:55" ht="15.75" customHeight="1">
      <c r="S596" s="454"/>
      <c r="AN596" s="458"/>
      <c r="BA596" s="1305"/>
      <c r="BC596" s="169"/>
    </row>
    <row r="597" spans="19:55" ht="15.75" customHeight="1">
      <c r="S597" s="454"/>
      <c r="AN597" s="458"/>
      <c r="BA597" s="1305"/>
      <c r="BC597" s="169"/>
    </row>
    <row r="598" spans="19:55" ht="15.75" customHeight="1">
      <c r="S598" s="454"/>
      <c r="AN598" s="458"/>
      <c r="BA598" s="1305"/>
      <c r="BC598" s="169"/>
    </row>
    <row r="599" spans="19:55" ht="15.75" customHeight="1">
      <c r="S599" s="454"/>
      <c r="AN599" s="458"/>
      <c r="BA599" s="1305"/>
      <c r="BC599" s="169"/>
    </row>
    <row r="600" spans="19:55" ht="15.75" customHeight="1">
      <c r="S600" s="454"/>
      <c r="AN600" s="458"/>
      <c r="BA600" s="1305"/>
      <c r="BC600" s="169"/>
    </row>
    <row r="601" spans="19:55" ht="15.75" customHeight="1">
      <c r="S601" s="454"/>
      <c r="AN601" s="458"/>
      <c r="BA601" s="1305"/>
      <c r="BC601" s="169"/>
    </row>
    <row r="602" spans="19:55" ht="15.75" customHeight="1">
      <c r="S602" s="454"/>
      <c r="AN602" s="458"/>
      <c r="BA602" s="1305"/>
      <c r="BC602" s="169"/>
    </row>
    <row r="603" spans="19:55" ht="15.75" customHeight="1">
      <c r="S603" s="454"/>
      <c r="AN603" s="458"/>
      <c r="BA603" s="1305"/>
      <c r="BC603" s="169"/>
    </row>
    <row r="604" spans="19:55" ht="15.75" customHeight="1">
      <c r="S604" s="454"/>
      <c r="AN604" s="458"/>
      <c r="BA604" s="1305"/>
      <c r="BC604" s="169"/>
    </row>
    <row r="605" spans="19:55" ht="15.75" customHeight="1">
      <c r="S605" s="454"/>
      <c r="AN605" s="458"/>
      <c r="BA605" s="1305"/>
      <c r="BC605" s="169"/>
    </row>
    <row r="606" spans="19:55" ht="15.75" customHeight="1">
      <c r="S606" s="454"/>
      <c r="AN606" s="458"/>
      <c r="BA606" s="1305"/>
      <c r="BC606" s="169"/>
    </row>
    <row r="607" spans="19:55" ht="15.75" customHeight="1">
      <c r="S607" s="454"/>
      <c r="AN607" s="458"/>
      <c r="BA607" s="1305"/>
      <c r="BC607" s="169"/>
    </row>
    <row r="608" spans="19:55" ht="15.75" customHeight="1">
      <c r="S608" s="454"/>
      <c r="AN608" s="458"/>
      <c r="BA608" s="1305"/>
      <c r="BC608" s="169"/>
    </row>
    <row r="609" spans="19:55" ht="15.75" customHeight="1">
      <c r="S609" s="454"/>
      <c r="AN609" s="458"/>
      <c r="BA609" s="1305"/>
      <c r="BC609" s="169"/>
    </row>
    <row r="610" spans="19:55" ht="15.75" customHeight="1">
      <c r="S610" s="454"/>
      <c r="AN610" s="458"/>
      <c r="BA610" s="1305"/>
      <c r="BC610" s="169"/>
    </row>
    <row r="611" spans="19:55" ht="15.75" customHeight="1">
      <c r="S611" s="454"/>
      <c r="AN611" s="458"/>
      <c r="BA611" s="1305"/>
      <c r="BC611" s="169"/>
    </row>
    <row r="612" spans="19:55" ht="15.75" customHeight="1">
      <c r="S612" s="454"/>
      <c r="AN612" s="458"/>
      <c r="BA612" s="1305"/>
      <c r="BC612" s="169"/>
    </row>
    <row r="613" spans="19:55" ht="15.75" customHeight="1">
      <c r="S613" s="454"/>
      <c r="AN613" s="458"/>
      <c r="BA613" s="1305"/>
      <c r="BC613" s="169"/>
    </row>
    <row r="614" spans="19:55" ht="15.75" customHeight="1">
      <c r="S614" s="454"/>
      <c r="AN614" s="458"/>
      <c r="BA614" s="1305"/>
      <c r="BC614" s="169"/>
    </row>
    <row r="615" spans="19:55" ht="15.75" customHeight="1">
      <c r="S615" s="454"/>
      <c r="AN615" s="458"/>
      <c r="BA615" s="1305"/>
      <c r="BC615" s="169"/>
    </row>
    <row r="616" spans="19:55" ht="15.75" customHeight="1">
      <c r="S616" s="454"/>
      <c r="AN616" s="458"/>
      <c r="BA616" s="1305"/>
      <c r="BC616" s="169"/>
    </row>
    <row r="617" spans="19:55" ht="15.75" customHeight="1">
      <c r="S617" s="454"/>
      <c r="AN617" s="458"/>
      <c r="BA617" s="1305"/>
      <c r="BC617" s="169"/>
    </row>
    <row r="618" spans="19:55" ht="15.75" customHeight="1">
      <c r="S618" s="454"/>
      <c r="AN618" s="458"/>
      <c r="BA618" s="1305"/>
      <c r="BC618" s="169"/>
    </row>
    <row r="619" spans="19:55" ht="15.75" customHeight="1">
      <c r="S619" s="454"/>
      <c r="AN619" s="458"/>
      <c r="BA619" s="1305"/>
      <c r="BC619" s="169"/>
    </row>
    <row r="620" spans="19:55" ht="15.75" customHeight="1">
      <c r="S620" s="454"/>
      <c r="AN620" s="458"/>
      <c r="BA620" s="1305"/>
      <c r="BC620" s="169"/>
    </row>
    <row r="621" spans="19:55" ht="15.75" customHeight="1">
      <c r="S621" s="454"/>
      <c r="AN621" s="458"/>
      <c r="BA621" s="1305"/>
      <c r="BC621" s="169"/>
    </row>
    <row r="622" spans="19:55" ht="15.75" customHeight="1">
      <c r="S622" s="454"/>
      <c r="AN622" s="458"/>
      <c r="BA622" s="1305"/>
      <c r="BC622" s="169"/>
    </row>
    <row r="623" spans="19:55" ht="15.75" customHeight="1">
      <c r="S623" s="454"/>
      <c r="AN623" s="458"/>
      <c r="BA623" s="1305"/>
      <c r="BC623" s="169"/>
    </row>
    <row r="624" spans="19:55" ht="15.75" customHeight="1">
      <c r="S624" s="454"/>
      <c r="AN624" s="458"/>
      <c r="BA624" s="1305"/>
      <c r="BC624" s="169"/>
    </row>
    <row r="625" spans="19:55" ht="15.75" customHeight="1">
      <c r="S625" s="454"/>
      <c r="AN625" s="458"/>
      <c r="BA625" s="1305"/>
      <c r="BC625" s="169"/>
    </row>
    <row r="626" spans="19:55" ht="15.75" customHeight="1">
      <c r="S626" s="454"/>
      <c r="AN626" s="458"/>
      <c r="BA626" s="1305"/>
      <c r="BC626" s="169"/>
    </row>
    <row r="627" spans="19:55" ht="15.75" customHeight="1">
      <c r="S627" s="454"/>
      <c r="AN627" s="458"/>
      <c r="BA627" s="1305"/>
      <c r="BC627" s="169"/>
    </row>
    <row r="628" spans="19:55" ht="15.75" customHeight="1">
      <c r="S628" s="454"/>
      <c r="AN628" s="458"/>
      <c r="BA628" s="1305"/>
      <c r="BC628" s="169"/>
    </row>
    <row r="629" spans="19:55" ht="15.75" customHeight="1">
      <c r="S629" s="454"/>
      <c r="AN629" s="458"/>
      <c r="BA629" s="1305"/>
      <c r="BC629" s="169"/>
    </row>
    <row r="630" spans="19:55" ht="15.75" customHeight="1">
      <c r="S630" s="454"/>
      <c r="AN630" s="458"/>
      <c r="BA630" s="1305"/>
      <c r="BC630" s="169"/>
    </row>
    <row r="631" spans="19:55" ht="15.75" customHeight="1">
      <c r="S631" s="454"/>
      <c r="AN631" s="458"/>
      <c r="BA631" s="1305"/>
      <c r="BC631" s="169"/>
    </row>
    <row r="632" spans="19:55" ht="15.75" customHeight="1">
      <c r="S632" s="454"/>
      <c r="AN632" s="458"/>
      <c r="BA632" s="1305"/>
      <c r="BC632" s="169"/>
    </row>
    <row r="633" spans="19:55" ht="15.75" customHeight="1">
      <c r="S633" s="454"/>
      <c r="AN633" s="458"/>
      <c r="BA633" s="1305"/>
      <c r="BC633" s="169"/>
    </row>
    <row r="634" spans="19:55" ht="15.75" customHeight="1">
      <c r="S634" s="454"/>
      <c r="AN634" s="458"/>
      <c r="BA634" s="1305"/>
      <c r="BC634" s="169"/>
    </row>
    <row r="635" spans="19:55" ht="15.75" customHeight="1">
      <c r="S635" s="454"/>
      <c r="AN635" s="458"/>
      <c r="BA635" s="1305"/>
      <c r="BC635" s="169"/>
    </row>
    <row r="636" spans="19:55" ht="15.75" customHeight="1">
      <c r="S636" s="454"/>
      <c r="AN636" s="458"/>
      <c r="BA636" s="1305"/>
      <c r="BC636" s="169"/>
    </row>
    <row r="637" spans="19:55" ht="15.75" customHeight="1">
      <c r="S637" s="454"/>
      <c r="AN637" s="458"/>
      <c r="BA637" s="1305"/>
      <c r="BC637" s="169"/>
    </row>
    <row r="638" spans="19:55" ht="15.75" customHeight="1">
      <c r="S638" s="454"/>
      <c r="AN638" s="458"/>
      <c r="BA638" s="1305"/>
      <c r="BC638" s="169"/>
    </row>
    <row r="639" spans="19:55" ht="15.75" customHeight="1">
      <c r="S639" s="454"/>
      <c r="AN639" s="458"/>
      <c r="BA639" s="1305"/>
      <c r="BC639" s="169"/>
    </row>
    <row r="640" spans="19:55" ht="15.75" customHeight="1">
      <c r="S640" s="454"/>
      <c r="AN640" s="458"/>
      <c r="BA640" s="1305"/>
      <c r="BC640" s="169"/>
    </row>
    <row r="641" spans="19:55" ht="15.75" customHeight="1">
      <c r="S641" s="454"/>
      <c r="AN641" s="458"/>
      <c r="BA641" s="1305"/>
      <c r="BC641" s="169"/>
    </row>
    <row r="642" spans="19:55" ht="15.75" customHeight="1">
      <c r="S642" s="454"/>
      <c r="AN642" s="458"/>
      <c r="BA642" s="1305"/>
      <c r="BC642" s="169"/>
    </row>
    <row r="643" spans="19:55" ht="15.75" customHeight="1">
      <c r="S643" s="454"/>
      <c r="AN643" s="458"/>
      <c r="BA643" s="1305"/>
      <c r="BC643" s="169"/>
    </row>
    <row r="644" spans="19:55" ht="15.75" customHeight="1">
      <c r="S644" s="454"/>
      <c r="AN644" s="458"/>
      <c r="BA644" s="1305"/>
      <c r="BC644" s="169"/>
    </row>
    <row r="645" spans="19:55" ht="15.75" customHeight="1">
      <c r="S645" s="454"/>
      <c r="AN645" s="458"/>
      <c r="BA645" s="1305"/>
      <c r="BC645" s="169"/>
    </row>
    <row r="646" spans="19:55" ht="15.75" customHeight="1">
      <c r="S646" s="454"/>
      <c r="AN646" s="458"/>
      <c r="BA646" s="1305"/>
      <c r="BC646" s="169"/>
    </row>
    <row r="647" spans="19:55" ht="15.75" customHeight="1">
      <c r="S647" s="454"/>
      <c r="AN647" s="458"/>
      <c r="BA647" s="1305"/>
      <c r="BC647" s="169"/>
    </row>
    <row r="648" spans="19:55" ht="15.75" customHeight="1">
      <c r="S648" s="454"/>
      <c r="AN648" s="458"/>
      <c r="BA648" s="1305"/>
      <c r="BC648" s="169"/>
    </row>
    <row r="649" spans="19:55" ht="15.75" customHeight="1">
      <c r="S649" s="454"/>
      <c r="AN649" s="458"/>
      <c r="BA649" s="1305"/>
      <c r="BC649" s="169"/>
    </row>
    <row r="650" spans="19:55" ht="15.75" customHeight="1">
      <c r="S650" s="454"/>
      <c r="AN650" s="458"/>
      <c r="BA650" s="1305"/>
      <c r="BC650" s="169"/>
    </row>
    <row r="651" spans="19:55" ht="15.75" customHeight="1">
      <c r="S651" s="454"/>
      <c r="AN651" s="458"/>
      <c r="BA651" s="1305"/>
      <c r="BC651" s="169"/>
    </row>
    <row r="652" spans="19:55" ht="15.75" customHeight="1">
      <c r="S652" s="454"/>
      <c r="AN652" s="458"/>
      <c r="BA652" s="1305"/>
      <c r="BC652" s="169"/>
    </row>
    <row r="653" spans="19:55" ht="15.75" customHeight="1">
      <c r="S653" s="454"/>
      <c r="AN653" s="458"/>
      <c r="BA653" s="1305"/>
      <c r="BC653" s="169"/>
    </row>
    <row r="654" spans="19:55" ht="15.75" customHeight="1">
      <c r="S654" s="454"/>
      <c r="AN654" s="458"/>
      <c r="BA654" s="1305"/>
      <c r="BC654" s="169"/>
    </row>
    <row r="655" spans="19:55" ht="15.75" customHeight="1">
      <c r="S655" s="454"/>
      <c r="AN655" s="458"/>
      <c r="BA655" s="1305"/>
      <c r="BC655" s="169"/>
    </row>
    <row r="656" spans="19:55" ht="15.75" customHeight="1">
      <c r="S656" s="454"/>
      <c r="AN656" s="458"/>
      <c r="BA656" s="1305"/>
      <c r="BC656" s="169"/>
    </row>
    <row r="657" spans="19:55" ht="15.75" customHeight="1">
      <c r="S657" s="454"/>
      <c r="AN657" s="458"/>
      <c r="BA657" s="1305"/>
      <c r="BC657" s="169"/>
    </row>
    <row r="658" spans="19:55" ht="15.75" customHeight="1">
      <c r="S658" s="454"/>
      <c r="AN658" s="458"/>
      <c r="BA658" s="1305"/>
      <c r="BC658" s="169"/>
    </row>
    <row r="659" spans="19:55" ht="15.75" customHeight="1">
      <c r="S659" s="454"/>
      <c r="AN659" s="458"/>
      <c r="BA659" s="1305"/>
      <c r="BC659" s="169"/>
    </row>
    <row r="660" spans="19:55" ht="15.75" customHeight="1">
      <c r="S660" s="454"/>
      <c r="AN660" s="458"/>
      <c r="BA660" s="1305"/>
      <c r="BC660" s="169"/>
    </row>
    <row r="661" spans="19:55" ht="15.75" customHeight="1">
      <c r="S661" s="454"/>
      <c r="AN661" s="458"/>
      <c r="BA661" s="1305"/>
      <c r="BC661" s="169"/>
    </row>
    <row r="662" spans="19:55" ht="15.75" customHeight="1">
      <c r="S662" s="454"/>
      <c r="AN662" s="458"/>
      <c r="BA662" s="1305"/>
      <c r="BC662" s="169"/>
    </row>
    <row r="663" spans="19:55" ht="15.75" customHeight="1">
      <c r="S663" s="454"/>
      <c r="AN663" s="458"/>
      <c r="BA663" s="1305"/>
      <c r="BC663" s="169"/>
    </row>
    <row r="664" spans="19:55" ht="15.75" customHeight="1">
      <c r="S664" s="454"/>
      <c r="AN664" s="458"/>
      <c r="BA664" s="1305"/>
      <c r="BC664" s="169"/>
    </row>
    <row r="665" spans="19:55" ht="15.75" customHeight="1">
      <c r="S665" s="454"/>
      <c r="AN665" s="458"/>
      <c r="BA665" s="1305"/>
      <c r="BC665" s="169"/>
    </row>
    <row r="666" spans="19:55" ht="15.75" customHeight="1">
      <c r="S666" s="454"/>
      <c r="AN666" s="458"/>
      <c r="BA666" s="1305"/>
      <c r="BC666" s="169"/>
    </row>
    <row r="667" spans="19:55" ht="15.75" customHeight="1">
      <c r="S667" s="454"/>
      <c r="AN667" s="458"/>
      <c r="BA667" s="1305"/>
      <c r="BC667" s="169"/>
    </row>
    <row r="668" spans="19:55" ht="15.75" customHeight="1">
      <c r="S668" s="454"/>
      <c r="AN668" s="458"/>
      <c r="BA668" s="1305"/>
      <c r="BC668" s="169"/>
    </row>
    <row r="669" spans="19:55" ht="15.75" customHeight="1">
      <c r="S669" s="454"/>
      <c r="AN669" s="458"/>
      <c r="BA669" s="1305"/>
      <c r="BC669" s="169"/>
    </row>
    <row r="670" spans="19:55" ht="15.75" customHeight="1">
      <c r="S670" s="454"/>
      <c r="AN670" s="458"/>
      <c r="BA670" s="1305"/>
      <c r="BC670" s="169"/>
    </row>
    <row r="671" spans="19:55" ht="15.75" customHeight="1">
      <c r="S671" s="454"/>
      <c r="AN671" s="458"/>
      <c r="BA671" s="1305"/>
      <c r="BC671" s="169"/>
    </row>
    <row r="672" spans="19:55" ht="15.75" customHeight="1">
      <c r="S672" s="454"/>
      <c r="AN672" s="458"/>
      <c r="BA672" s="1305"/>
      <c r="BC672" s="169"/>
    </row>
    <row r="673" spans="19:55" ht="15.75" customHeight="1">
      <c r="S673" s="454"/>
      <c r="AN673" s="458"/>
      <c r="BA673" s="1305"/>
      <c r="BC673" s="169"/>
    </row>
    <row r="674" spans="19:55" ht="15.75" customHeight="1">
      <c r="S674" s="454"/>
      <c r="AN674" s="458"/>
      <c r="BA674" s="1305"/>
      <c r="BC674" s="169"/>
    </row>
    <row r="675" spans="19:55" ht="15.75" customHeight="1">
      <c r="S675" s="454"/>
      <c r="AN675" s="458"/>
      <c r="BA675" s="1305"/>
      <c r="BC675" s="169"/>
    </row>
    <row r="676" spans="19:55" ht="15.75" customHeight="1">
      <c r="S676" s="454"/>
      <c r="AN676" s="458"/>
      <c r="BA676" s="1305"/>
      <c r="BC676" s="169"/>
    </row>
    <row r="677" spans="19:55" ht="15.75" customHeight="1">
      <c r="S677" s="454"/>
      <c r="AN677" s="458"/>
      <c r="BA677" s="1305"/>
      <c r="BC677" s="169"/>
    </row>
    <row r="678" spans="19:55" ht="15.75" customHeight="1">
      <c r="S678" s="454"/>
      <c r="AN678" s="458"/>
      <c r="BA678" s="1305"/>
      <c r="BC678" s="169"/>
    </row>
    <row r="679" spans="19:55" ht="15.75" customHeight="1">
      <c r="S679" s="454"/>
      <c r="AN679" s="458"/>
      <c r="BA679" s="1305"/>
      <c r="BC679" s="169"/>
    </row>
    <row r="680" spans="19:55" ht="15.75" customHeight="1">
      <c r="S680" s="454"/>
      <c r="AN680" s="458"/>
      <c r="BA680" s="1305"/>
      <c r="BC680" s="169"/>
    </row>
    <row r="681" spans="19:55" ht="15.75" customHeight="1">
      <c r="S681" s="454"/>
      <c r="AN681" s="458"/>
      <c r="BA681" s="1305"/>
      <c r="BC681" s="169"/>
    </row>
    <row r="682" spans="19:55" ht="15.75" customHeight="1">
      <c r="S682" s="454"/>
      <c r="AN682" s="458"/>
      <c r="BA682" s="1305"/>
      <c r="BC682" s="169"/>
    </row>
    <row r="683" spans="19:55" ht="15.75" customHeight="1">
      <c r="S683" s="454"/>
      <c r="AN683" s="458"/>
      <c r="BA683" s="1305"/>
      <c r="BC683" s="169"/>
    </row>
    <row r="684" spans="19:55" ht="15.75" customHeight="1">
      <c r="S684" s="454"/>
      <c r="AN684" s="458"/>
      <c r="BA684" s="1305"/>
      <c r="BC684" s="169"/>
    </row>
    <row r="685" spans="19:55" ht="15.75" customHeight="1">
      <c r="S685" s="454"/>
      <c r="AN685" s="458"/>
      <c r="BA685" s="1305"/>
      <c r="BC685" s="169"/>
    </row>
    <row r="686" spans="19:55" ht="15.75" customHeight="1">
      <c r="S686" s="454"/>
      <c r="AN686" s="458"/>
      <c r="BA686" s="1305"/>
      <c r="BC686" s="169"/>
    </row>
    <row r="687" spans="19:55" ht="15.75" customHeight="1">
      <c r="S687" s="454"/>
      <c r="AN687" s="458"/>
      <c r="BA687" s="1305"/>
      <c r="BC687" s="169"/>
    </row>
    <row r="688" spans="19:55" ht="15.75" customHeight="1">
      <c r="S688" s="454"/>
      <c r="AN688" s="458"/>
      <c r="BA688" s="1305"/>
      <c r="BC688" s="169"/>
    </row>
    <row r="689" spans="19:55" ht="15.75" customHeight="1">
      <c r="S689" s="454"/>
      <c r="AN689" s="458"/>
      <c r="BA689" s="1305"/>
      <c r="BC689" s="169"/>
    </row>
    <row r="690" spans="19:55" ht="15.75" customHeight="1">
      <c r="S690" s="454"/>
      <c r="AN690" s="458"/>
      <c r="BA690" s="1305"/>
      <c r="BC690" s="169"/>
    </row>
    <row r="691" spans="19:55" ht="15.75" customHeight="1">
      <c r="S691" s="454"/>
      <c r="AN691" s="458"/>
      <c r="BA691" s="1305"/>
      <c r="BC691" s="169"/>
    </row>
    <row r="692" spans="19:55" ht="15.75" customHeight="1">
      <c r="S692" s="454"/>
      <c r="AN692" s="458"/>
      <c r="BA692" s="1305"/>
      <c r="BC692" s="169"/>
    </row>
    <row r="693" spans="19:55" ht="15.75" customHeight="1">
      <c r="S693" s="454"/>
      <c r="AN693" s="458"/>
      <c r="BA693" s="1305"/>
      <c r="BC693" s="169"/>
    </row>
    <row r="694" spans="19:55" ht="15.75" customHeight="1">
      <c r="S694" s="454"/>
      <c r="AN694" s="458"/>
      <c r="BA694" s="1305"/>
      <c r="BC694" s="169"/>
    </row>
    <row r="695" spans="19:55" ht="15.75" customHeight="1">
      <c r="S695" s="454"/>
      <c r="AN695" s="458"/>
      <c r="BA695" s="1305"/>
      <c r="BC695" s="169"/>
    </row>
    <row r="696" spans="19:55" ht="15.75" customHeight="1">
      <c r="S696" s="454"/>
      <c r="AN696" s="458"/>
      <c r="BA696" s="1305"/>
      <c r="BC696" s="169"/>
    </row>
    <row r="697" spans="19:55" ht="15.75" customHeight="1">
      <c r="S697" s="454"/>
      <c r="AN697" s="458"/>
      <c r="BA697" s="1305"/>
      <c r="BC697" s="169"/>
    </row>
    <row r="698" spans="19:55" ht="15.75" customHeight="1">
      <c r="S698" s="454"/>
      <c r="AN698" s="458"/>
      <c r="BA698" s="1305"/>
      <c r="BC698" s="169"/>
    </row>
    <row r="699" spans="19:55" ht="15.75" customHeight="1">
      <c r="S699" s="454"/>
      <c r="AN699" s="458"/>
      <c r="BA699" s="1305"/>
      <c r="BC699" s="169"/>
    </row>
    <row r="700" spans="19:55" ht="15.75" customHeight="1">
      <c r="S700" s="454"/>
      <c r="AN700" s="458"/>
      <c r="BA700" s="1305"/>
      <c r="BC700" s="169"/>
    </row>
    <row r="701" spans="19:55" ht="15.75" customHeight="1">
      <c r="S701" s="454"/>
      <c r="AN701" s="458"/>
      <c r="BA701" s="1305"/>
      <c r="BC701" s="169"/>
    </row>
    <row r="702" spans="19:55" ht="15.75" customHeight="1">
      <c r="S702" s="454"/>
      <c r="AN702" s="458"/>
      <c r="BA702" s="1305"/>
      <c r="BC702" s="169"/>
    </row>
    <row r="703" spans="19:55" ht="15.75" customHeight="1">
      <c r="S703" s="454"/>
      <c r="AN703" s="458"/>
      <c r="BA703" s="1305"/>
      <c r="BC703" s="169"/>
    </row>
    <row r="704" spans="19:55" ht="15.75" customHeight="1">
      <c r="S704" s="454"/>
      <c r="AN704" s="458"/>
      <c r="BA704" s="1305"/>
      <c r="BC704" s="169"/>
    </row>
    <row r="705" spans="19:55" ht="15.75" customHeight="1">
      <c r="S705" s="454"/>
      <c r="AN705" s="458"/>
      <c r="BA705" s="1305"/>
      <c r="BC705" s="169"/>
    </row>
    <row r="706" spans="19:55" ht="15.75" customHeight="1">
      <c r="S706" s="454"/>
      <c r="AN706" s="458"/>
      <c r="BA706" s="1305"/>
      <c r="BC706" s="169"/>
    </row>
    <row r="707" spans="19:55" ht="15.75" customHeight="1">
      <c r="S707" s="454"/>
      <c r="AN707" s="458"/>
      <c r="BA707" s="1305"/>
      <c r="BC707" s="169"/>
    </row>
    <row r="708" spans="19:55" ht="15.75" customHeight="1">
      <c r="S708" s="454"/>
      <c r="AN708" s="458"/>
      <c r="BA708" s="1305"/>
      <c r="BC708" s="169"/>
    </row>
    <row r="709" spans="19:55" ht="15.75" customHeight="1">
      <c r="S709" s="454"/>
      <c r="AN709" s="458"/>
      <c r="BA709" s="1305"/>
      <c r="BC709" s="169"/>
    </row>
    <row r="710" spans="19:55" ht="15.75" customHeight="1">
      <c r="S710" s="454"/>
      <c r="AN710" s="458"/>
      <c r="BA710" s="1305"/>
      <c r="BC710" s="169"/>
    </row>
    <row r="711" spans="19:55" ht="15.75" customHeight="1">
      <c r="S711" s="454"/>
      <c r="AN711" s="458"/>
      <c r="BA711" s="1305"/>
      <c r="BC711" s="169"/>
    </row>
    <row r="712" spans="19:55" ht="15.75" customHeight="1">
      <c r="S712" s="454"/>
      <c r="AN712" s="458"/>
      <c r="BA712" s="1305"/>
      <c r="BC712" s="169"/>
    </row>
    <row r="713" spans="19:55" ht="15.75" customHeight="1">
      <c r="S713" s="454"/>
      <c r="AN713" s="458"/>
      <c r="BA713" s="1305"/>
      <c r="BC713" s="169"/>
    </row>
    <row r="714" spans="19:55" ht="15.75" customHeight="1">
      <c r="S714" s="454"/>
      <c r="AN714" s="458"/>
      <c r="BA714" s="1305"/>
      <c r="BC714" s="169"/>
    </row>
    <row r="715" spans="19:55" ht="15.75" customHeight="1">
      <c r="S715" s="454"/>
      <c r="AN715" s="458"/>
      <c r="BA715" s="1305"/>
      <c r="BC715" s="169"/>
    </row>
    <row r="716" spans="19:55" ht="15.75" customHeight="1">
      <c r="S716" s="454"/>
      <c r="AN716" s="458"/>
      <c r="BA716" s="1305"/>
      <c r="BC716" s="169"/>
    </row>
    <row r="717" spans="19:55" ht="15.75" customHeight="1">
      <c r="S717" s="454"/>
      <c r="AN717" s="458"/>
      <c r="BA717" s="1305"/>
      <c r="BC717" s="169"/>
    </row>
    <row r="718" spans="19:55" ht="15.75" customHeight="1">
      <c r="S718" s="454"/>
      <c r="AN718" s="458"/>
      <c r="BA718" s="1305"/>
      <c r="BC718" s="169"/>
    </row>
    <row r="719" spans="19:55" ht="15.75" customHeight="1">
      <c r="S719" s="454"/>
      <c r="AN719" s="458"/>
      <c r="BA719" s="1305"/>
      <c r="BC719" s="169"/>
    </row>
    <row r="720" spans="19:55" ht="15.75" customHeight="1">
      <c r="S720" s="454"/>
      <c r="AN720" s="458"/>
      <c r="BA720" s="1305"/>
      <c r="BC720" s="169"/>
    </row>
    <row r="721" spans="19:55" ht="15.75" customHeight="1">
      <c r="S721" s="454"/>
      <c r="AN721" s="458"/>
      <c r="BA721" s="1305"/>
      <c r="BC721" s="169"/>
    </row>
    <row r="722" spans="19:55" ht="15.75" customHeight="1">
      <c r="S722" s="454"/>
      <c r="AN722" s="458"/>
      <c r="BA722" s="1305"/>
      <c r="BC722" s="169"/>
    </row>
    <row r="723" spans="19:55" ht="15.75" customHeight="1">
      <c r="S723" s="454"/>
      <c r="AN723" s="458"/>
      <c r="BA723" s="1305"/>
      <c r="BC723" s="169"/>
    </row>
    <row r="724" spans="19:55" ht="15.75" customHeight="1">
      <c r="S724" s="454"/>
      <c r="AN724" s="458"/>
      <c r="BA724" s="1305"/>
      <c r="BC724" s="169"/>
    </row>
    <row r="725" spans="19:55" ht="15.75" customHeight="1">
      <c r="S725" s="454"/>
      <c r="AN725" s="458"/>
      <c r="BA725" s="1305"/>
      <c r="BC725" s="169"/>
    </row>
    <row r="726" spans="19:55" ht="15.75" customHeight="1">
      <c r="S726" s="454"/>
      <c r="AN726" s="458"/>
      <c r="BA726" s="1305"/>
      <c r="BC726" s="169"/>
    </row>
    <row r="727" spans="19:55" ht="15.75" customHeight="1">
      <c r="S727" s="454"/>
      <c r="AN727" s="458"/>
      <c r="BA727" s="1305"/>
      <c r="BC727" s="169"/>
    </row>
    <row r="728" spans="19:55" ht="15.75" customHeight="1">
      <c r="S728" s="454"/>
      <c r="AN728" s="458"/>
      <c r="BA728" s="1305"/>
      <c r="BC728" s="169"/>
    </row>
    <row r="729" spans="19:55" ht="15.75" customHeight="1">
      <c r="S729" s="454"/>
      <c r="AN729" s="458"/>
      <c r="BA729" s="1305"/>
      <c r="BC729" s="169"/>
    </row>
    <row r="730" spans="19:55" ht="15.75" customHeight="1">
      <c r="S730" s="454"/>
      <c r="AN730" s="458"/>
      <c r="BA730" s="1305"/>
      <c r="BC730" s="169"/>
    </row>
    <row r="731" spans="19:55" ht="15.75" customHeight="1">
      <c r="S731" s="454"/>
      <c r="AN731" s="458"/>
      <c r="BA731" s="1305"/>
      <c r="BC731" s="169"/>
    </row>
    <row r="732" spans="19:55" ht="15.75" customHeight="1">
      <c r="S732" s="454"/>
      <c r="AN732" s="458"/>
      <c r="BA732" s="1305"/>
      <c r="BC732" s="169"/>
    </row>
    <row r="733" spans="19:55" ht="15.75" customHeight="1">
      <c r="S733" s="454"/>
      <c r="AN733" s="458"/>
      <c r="BA733" s="1305"/>
      <c r="BC733" s="169"/>
    </row>
    <row r="734" spans="19:55" ht="15.75" customHeight="1">
      <c r="S734" s="454"/>
      <c r="AN734" s="458"/>
      <c r="BA734" s="1305"/>
      <c r="BC734" s="169"/>
    </row>
    <row r="735" spans="19:55" ht="15.75" customHeight="1">
      <c r="S735" s="454"/>
      <c r="AN735" s="458"/>
      <c r="BA735" s="1305"/>
      <c r="BC735" s="169"/>
    </row>
    <row r="736" spans="19:55" ht="15.75" customHeight="1">
      <c r="S736" s="454"/>
      <c r="AN736" s="458"/>
      <c r="BA736" s="1305"/>
      <c r="BC736" s="169"/>
    </row>
    <row r="737" spans="19:55" ht="15.75" customHeight="1">
      <c r="S737" s="454"/>
      <c r="AN737" s="458"/>
      <c r="BA737" s="1305"/>
      <c r="BC737" s="169"/>
    </row>
    <row r="738" spans="19:55" ht="15.75" customHeight="1">
      <c r="S738" s="454"/>
      <c r="AN738" s="458"/>
      <c r="BA738" s="1305"/>
      <c r="BC738" s="169"/>
    </row>
    <row r="739" spans="19:55" ht="15.75" customHeight="1">
      <c r="S739" s="454"/>
      <c r="AN739" s="458"/>
      <c r="BA739" s="1305"/>
      <c r="BC739" s="169"/>
    </row>
    <row r="740" spans="19:55" ht="15.75" customHeight="1">
      <c r="S740" s="454"/>
      <c r="AN740" s="458"/>
      <c r="BA740" s="1305"/>
      <c r="BC740" s="169"/>
    </row>
    <row r="741" spans="19:55" ht="15.75" customHeight="1">
      <c r="S741" s="454"/>
      <c r="AN741" s="458"/>
      <c r="BA741" s="1305"/>
      <c r="BC741" s="169"/>
    </row>
    <row r="742" spans="19:55" ht="15.75" customHeight="1">
      <c r="S742" s="454"/>
      <c r="AN742" s="458"/>
      <c r="BA742" s="1305"/>
      <c r="BC742" s="169"/>
    </row>
    <row r="743" spans="19:55" ht="15.75" customHeight="1">
      <c r="S743" s="454"/>
      <c r="AN743" s="458"/>
      <c r="BA743" s="1305"/>
      <c r="BC743" s="169"/>
    </row>
    <row r="744" spans="19:55" ht="15.75" customHeight="1">
      <c r="S744" s="454"/>
      <c r="AN744" s="458"/>
      <c r="BA744" s="1305"/>
      <c r="BC744" s="169"/>
    </row>
    <row r="745" spans="19:55" ht="15.75" customHeight="1">
      <c r="S745" s="454"/>
      <c r="AN745" s="458"/>
      <c r="BA745" s="1305"/>
      <c r="BC745" s="169"/>
    </row>
    <row r="746" spans="19:55" ht="15.75" customHeight="1">
      <c r="S746" s="454"/>
      <c r="AN746" s="458"/>
      <c r="BA746" s="1305"/>
      <c r="BC746" s="169"/>
    </row>
    <row r="747" spans="19:55" ht="15.75" customHeight="1">
      <c r="S747" s="454"/>
      <c r="AN747" s="458"/>
      <c r="BA747" s="1305"/>
      <c r="BC747" s="169"/>
    </row>
    <row r="748" spans="19:55" ht="15.75" customHeight="1">
      <c r="S748" s="454"/>
      <c r="AN748" s="458"/>
      <c r="BA748" s="1305"/>
      <c r="BC748" s="169"/>
    </row>
    <row r="749" spans="19:55" ht="15.75" customHeight="1">
      <c r="S749" s="454"/>
      <c r="AN749" s="458"/>
      <c r="BA749" s="1305"/>
      <c r="BC749" s="169"/>
    </row>
    <row r="750" spans="19:55" ht="15.75" customHeight="1">
      <c r="S750" s="454"/>
      <c r="AN750" s="458"/>
      <c r="BA750" s="1305"/>
      <c r="BC750" s="169"/>
    </row>
    <row r="751" spans="19:55" ht="15.75" customHeight="1">
      <c r="S751" s="454"/>
      <c r="AN751" s="458"/>
      <c r="BA751" s="1305"/>
      <c r="BC751" s="169"/>
    </row>
    <row r="752" spans="19:55" ht="15.75" customHeight="1">
      <c r="S752" s="454"/>
      <c r="AN752" s="458"/>
      <c r="BA752" s="1305"/>
      <c r="BC752" s="169"/>
    </row>
    <row r="753" spans="19:55" ht="15.75" customHeight="1">
      <c r="S753" s="454"/>
      <c r="AN753" s="458"/>
      <c r="BA753" s="1305"/>
      <c r="BC753" s="169"/>
    </row>
    <row r="754" spans="19:55" ht="15.75" customHeight="1">
      <c r="S754" s="454"/>
      <c r="AN754" s="458"/>
      <c r="BA754" s="1305"/>
      <c r="BC754" s="169"/>
    </row>
    <row r="755" spans="19:55" ht="15.75" customHeight="1">
      <c r="S755" s="454"/>
      <c r="AN755" s="458"/>
      <c r="BA755" s="1305"/>
      <c r="BC755" s="169"/>
    </row>
    <row r="756" spans="19:55" ht="15.75" customHeight="1">
      <c r="S756" s="454"/>
      <c r="AN756" s="458"/>
      <c r="BA756" s="1305"/>
      <c r="BC756" s="169"/>
    </row>
    <row r="757" spans="19:55" ht="15.75" customHeight="1">
      <c r="S757" s="454"/>
      <c r="AN757" s="458"/>
      <c r="BA757" s="1305"/>
      <c r="BC757" s="169"/>
    </row>
    <row r="758" spans="19:55" ht="15.75" customHeight="1">
      <c r="S758" s="454"/>
      <c r="AN758" s="458"/>
      <c r="BA758" s="1305"/>
      <c r="BC758" s="169"/>
    </row>
    <row r="759" spans="19:55" ht="15.75" customHeight="1">
      <c r="S759" s="454"/>
      <c r="AN759" s="458"/>
      <c r="BA759" s="1305"/>
      <c r="BC759" s="169"/>
    </row>
    <row r="760" spans="19:55" ht="15.75" customHeight="1">
      <c r="S760" s="454"/>
      <c r="AN760" s="458"/>
      <c r="BA760" s="1305"/>
      <c r="BC760" s="169"/>
    </row>
    <row r="761" spans="19:55" ht="15.75" customHeight="1">
      <c r="S761" s="454"/>
      <c r="AN761" s="458"/>
      <c r="BA761" s="1305"/>
      <c r="BC761" s="169"/>
    </row>
    <row r="762" spans="19:55" ht="15.75" customHeight="1">
      <c r="S762" s="454"/>
      <c r="AN762" s="458"/>
      <c r="BA762" s="1305"/>
      <c r="BC762" s="169"/>
    </row>
    <row r="763" spans="19:55" ht="15.75" customHeight="1">
      <c r="S763" s="454"/>
      <c r="AN763" s="458"/>
      <c r="BA763" s="1305"/>
      <c r="BC763" s="169"/>
    </row>
    <row r="764" spans="19:55" ht="15.75" customHeight="1">
      <c r="S764" s="454"/>
      <c r="AN764" s="458"/>
      <c r="BA764" s="1305"/>
      <c r="BC764" s="169"/>
    </row>
    <row r="765" spans="19:55" ht="15.75" customHeight="1">
      <c r="S765" s="454"/>
      <c r="AN765" s="458"/>
      <c r="BA765" s="1305"/>
      <c r="BC765" s="169"/>
    </row>
    <row r="766" spans="19:55" ht="15.75" customHeight="1">
      <c r="S766" s="454"/>
      <c r="AN766" s="458"/>
      <c r="BA766" s="1305"/>
      <c r="BC766" s="169"/>
    </row>
    <row r="767" spans="19:55" ht="15.75" customHeight="1">
      <c r="S767" s="454"/>
      <c r="AN767" s="458"/>
      <c r="BA767" s="1305"/>
      <c r="BC767" s="169"/>
    </row>
    <row r="768" spans="19:55" ht="15.75" customHeight="1">
      <c r="S768" s="454"/>
      <c r="AN768" s="458"/>
      <c r="BA768" s="1305"/>
      <c r="BC768" s="169"/>
    </row>
    <row r="769" spans="19:55" ht="15.75" customHeight="1">
      <c r="S769" s="454"/>
      <c r="AN769" s="458"/>
      <c r="BA769" s="1305"/>
      <c r="BC769" s="169"/>
    </row>
    <row r="770" spans="19:55" ht="15.75" customHeight="1">
      <c r="S770" s="454"/>
      <c r="AN770" s="458"/>
      <c r="BA770" s="1305"/>
      <c r="BC770" s="169"/>
    </row>
    <row r="771" spans="19:55" ht="15.75" customHeight="1">
      <c r="S771" s="454"/>
      <c r="AN771" s="458"/>
      <c r="BA771" s="1305"/>
      <c r="BC771" s="169"/>
    </row>
    <row r="772" spans="19:55" ht="15.75" customHeight="1">
      <c r="S772" s="454"/>
      <c r="AN772" s="458"/>
      <c r="BA772" s="1305"/>
      <c r="BC772" s="169"/>
    </row>
    <row r="773" spans="19:55" ht="15.75" customHeight="1">
      <c r="S773" s="454"/>
      <c r="AN773" s="458"/>
      <c r="BA773" s="1305"/>
      <c r="BC773" s="169"/>
    </row>
    <row r="774" spans="19:55" ht="15.75" customHeight="1">
      <c r="S774" s="454"/>
      <c r="AN774" s="458"/>
      <c r="BA774" s="1305"/>
      <c r="BC774" s="169"/>
    </row>
    <row r="775" spans="19:55" ht="15.75" customHeight="1">
      <c r="S775" s="454"/>
      <c r="AN775" s="458"/>
      <c r="BA775" s="1305"/>
      <c r="BC775" s="169"/>
    </row>
    <row r="776" spans="19:55" ht="15.75" customHeight="1">
      <c r="S776" s="454"/>
      <c r="AN776" s="458"/>
      <c r="BA776" s="1305"/>
      <c r="BC776" s="169"/>
    </row>
    <row r="777" spans="19:55" ht="15.75" customHeight="1">
      <c r="S777" s="454"/>
      <c r="AN777" s="458"/>
      <c r="BA777" s="1305"/>
      <c r="BC777" s="169"/>
    </row>
    <row r="778" spans="19:55" ht="15.75" customHeight="1">
      <c r="S778" s="454"/>
      <c r="AN778" s="458"/>
      <c r="BA778" s="1305"/>
      <c r="BC778" s="169"/>
    </row>
    <row r="779" spans="19:55" ht="15.75" customHeight="1">
      <c r="S779" s="454"/>
      <c r="AN779" s="458"/>
      <c r="BA779" s="1305"/>
      <c r="BC779" s="169"/>
    </row>
    <row r="780" spans="19:55" ht="15.75" customHeight="1">
      <c r="S780" s="454"/>
      <c r="AN780" s="458"/>
      <c r="BA780" s="1305"/>
      <c r="BC780" s="169"/>
    </row>
    <row r="781" spans="19:55" ht="15.75" customHeight="1">
      <c r="S781" s="454"/>
      <c r="AN781" s="458"/>
      <c r="BA781" s="1305"/>
      <c r="BC781" s="169"/>
    </row>
    <row r="782" spans="19:55" ht="15.75" customHeight="1">
      <c r="S782" s="454"/>
      <c r="AN782" s="458"/>
      <c r="BA782" s="1305"/>
      <c r="BC782" s="169"/>
    </row>
    <row r="783" spans="19:55" ht="15.75" customHeight="1">
      <c r="S783" s="454"/>
      <c r="AN783" s="458"/>
      <c r="BA783" s="1305"/>
      <c r="BC783" s="169"/>
    </row>
    <row r="784" spans="19:55" ht="15.75" customHeight="1">
      <c r="S784" s="454"/>
      <c r="AN784" s="458"/>
      <c r="BA784" s="1305"/>
      <c r="BC784" s="169"/>
    </row>
    <row r="785" spans="19:55" ht="15.75" customHeight="1">
      <c r="S785" s="454"/>
      <c r="AN785" s="458"/>
      <c r="BA785" s="1305"/>
      <c r="BC785" s="169"/>
    </row>
    <row r="786" spans="19:55" ht="15.75" customHeight="1">
      <c r="S786" s="454"/>
      <c r="AN786" s="458"/>
      <c r="BA786" s="1305"/>
      <c r="BC786" s="169"/>
    </row>
    <row r="787" spans="19:55" ht="15.75" customHeight="1">
      <c r="S787" s="454"/>
      <c r="AN787" s="458"/>
      <c r="BA787" s="1305"/>
      <c r="BC787" s="169"/>
    </row>
    <row r="788" spans="19:55" ht="15.75" customHeight="1">
      <c r="S788" s="454"/>
      <c r="AN788" s="458"/>
      <c r="BA788" s="1305"/>
      <c r="BC788" s="169"/>
    </row>
    <row r="789" spans="19:55" ht="15.75" customHeight="1">
      <c r="S789" s="454"/>
      <c r="AN789" s="458"/>
      <c r="BA789" s="1305"/>
      <c r="BC789" s="169"/>
    </row>
    <row r="790" spans="19:55" ht="15.75" customHeight="1">
      <c r="S790" s="454"/>
      <c r="AN790" s="458"/>
      <c r="BA790" s="1305"/>
      <c r="BC790" s="169"/>
    </row>
    <row r="791" spans="19:55" ht="15.75" customHeight="1">
      <c r="S791" s="454"/>
      <c r="AN791" s="458"/>
      <c r="BA791" s="1305"/>
      <c r="BC791" s="169"/>
    </row>
    <row r="792" spans="19:55" ht="15.75" customHeight="1">
      <c r="S792" s="454"/>
      <c r="AN792" s="458"/>
      <c r="BA792" s="1305"/>
      <c r="BC792" s="169"/>
    </row>
    <row r="793" spans="19:55" ht="15.75" customHeight="1">
      <c r="S793" s="454"/>
      <c r="AN793" s="458"/>
      <c r="BA793" s="1305"/>
      <c r="BC793" s="169"/>
    </row>
    <row r="794" spans="19:55" ht="15.75" customHeight="1">
      <c r="S794" s="454"/>
      <c r="AN794" s="458"/>
      <c r="BA794" s="1305"/>
      <c r="BC794" s="169"/>
    </row>
    <row r="795" spans="19:55" ht="15.75" customHeight="1">
      <c r="S795" s="454"/>
      <c r="AN795" s="458"/>
      <c r="BA795" s="1305"/>
      <c r="BC795" s="169"/>
    </row>
    <row r="796" spans="19:55" ht="15.75" customHeight="1">
      <c r="S796" s="454"/>
      <c r="AN796" s="458"/>
      <c r="BA796" s="1305"/>
      <c r="BC796" s="169"/>
    </row>
    <row r="797" spans="19:55" ht="15.75" customHeight="1">
      <c r="S797" s="454"/>
      <c r="AN797" s="458"/>
      <c r="BA797" s="1305"/>
      <c r="BC797" s="169"/>
    </row>
    <row r="798" spans="19:55" ht="15.75" customHeight="1">
      <c r="S798" s="454"/>
      <c r="AN798" s="458"/>
      <c r="BA798" s="1305"/>
      <c r="BC798" s="169"/>
    </row>
    <row r="799" spans="19:55" ht="15.75" customHeight="1">
      <c r="S799" s="454"/>
      <c r="AN799" s="458"/>
      <c r="BA799" s="1305"/>
      <c r="BC799" s="169"/>
    </row>
    <row r="800" spans="19:55" ht="15.75" customHeight="1">
      <c r="S800" s="454"/>
      <c r="AN800" s="458"/>
      <c r="BA800" s="1305"/>
      <c r="BC800" s="169"/>
    </row>
    <row r="801" spans="19:55" ht="15.75" customHeight="1">
      <c r="S801" s="454"/>
      <c r="AN801" s="458"/>
      <c r="BA801" s="1305"/>
      <c r="BC801" s="169"/>
    </row>
    <row r="802" spans="19:55" ht="15.75" customHeight="1">
      <c r="S802" s="454"/>
      <c r="AN802" s="458"/>
      <c r="BA802" s="1305"/>
      <c r="BC802" s="169"/>
    </row>
    <row r="803" spans="19:55" ht="15.75" customHeight="1">
      <c r="S803" s="454"/>
      <c r="AN803" s="458"/>
      <c r="BA803" s="1305"/>
      <c r="BC803" s="169"/>
    </row>
    <row r="804" spans="19:55" ht="15.75" customHeight="1">
      <c r="S804" s="454"/>
      <c r="AN804" s="458"/>
      <c r="BA804" s="1305"/>
      <c r="BC804" s="169"/>
    </row>
    <row r="805" spans="19:55" ht="15.75" customHeight="1">
      <c r="S805" s="454"/>
      <c r="AN805" s="458"/>
      <c r="BA805" s="1305"/>
      <c r="BC805" s="169"/>
    </row>
    <row r="806" spans="19:55" ht="15.75" customHeight="1">
      <c r="S806" s="454"/>
      <c r="AN806" s="458"/>
      <c r="BA806" s="1305"/>
      <c r="BC806" s="169"/>
    </row>
    <row r="807" spans="19:55" ht="15.75" customHeight="1">
      <c r="S807" s="454"/>
      <c r="AN807" s="458"/>
      <c r="BA807" s="1305"/>
      <c r="BC807" s="169"/>
    </row>
    <row r="808" spans="19:55" ht="15.75" customHeight="1">
      <c r="S808" s="454"/>
      <c r="AN808" s="458"/>
      <c r="BA808" s="1305"/>
      <c r="BC808" s="169"/>
    </row>
    <row r="809" spans="19:55" ht="15.75" customHeight="1">
      <c r="S809" s="454"/>
      <c r="AN809" s="458"/>
      <c r="BA809" s="1305"/>
      <c r="BC809" s="169"/>
    </row>
    <row r="810" spans="19:55" ht="15.75" customHeight="1">
      <c r="S810" s="454"/>
      <c r="AN810" s="458"/>
      <c r="BA810" s="1305"/>
      <c r="BC810" s="169"/>
    </row>
    <row r="811" spans="19:55" ht="15.75" customHeight="1">
      <c r="S811" s="454"/>
      <c r="AN811" s="458"/>
      <c r="BA811" s="1305"/>
      <c r="BC811" s="169"/>
    </row>
    <row r="812" spans="19:55" ht="15.75" customHeight="1">
      <c r="S812" s="454"/>
      <c r="AN812" s="458"/>
      <c r="BA812" s="1305"/>
      <c r="BC812" s="169"/>
    </row>
    <row r="813" spans="19:55" ht="15.75" customHeight="1">
      <c r="S813" s="454"/>
      <c r="AN813" s="458"/>
      <c r="BA813" s="1305"/>
      <c r="BC813" s="169"/>
    </row>
    <row r="814" spans="19:55" ht="15.75" customHeight="1">
      <c r="S814" s="454"/>
      <c r="AN814" s="458"/>
      <c r="BA814" s="1305"/>
      <c r="BC814" s="169"/>
    </row>
    <row r="815" spans="19:55" ht="15.75" customHeight="1">
      <c r="S815" s="454"/>
      <c r="AN815" s="458"/>
      <c r="BA815" s="1305"/>
      <c r="BC815" s="169"/>
    </row>
    <row r="816" spans="19:55" ht="15.75" customHeight="1">
      <c r="S816" s="454"/>
      <c r="AN816" s="458"/>
      <c r="BA816" s="1305"/>
      <c r="BC816" s="169"/>
    </row>
    <row r="817" spans="19:55" ht="15.75" customHeight="1">
      <c r="S817" s="454"/>
      <c r="AN817" s="458"/>
      <c r="BA817" s="1305"/>
      <c r="BC817" s="169"/>
    </row>
    <row r="818" spans="19:55" ht="15.75" customHeight="1">
      <c r="S818" s="454"/>
      <c r="AN818" s="458"/>
      <c r="BA818" s="1305"/>
      <c r="BC818" s="169"/>
    </row>
    <row r="819" spans="19:55" ht="15.75" customHeight="1">
      <c r="S819" s="454"/>
      <c r="AN819" s="458"/>
      <c r="BA819" s="1305"/>
      <c r="BC819" s="169"/>
    </row>
    <row r="820" spans="19:55" ht="15.75" customHeight="1">
      <c r="S820" s="454"/>
      <c r="AN820" s="458"/>
      <c r="BA820" s="1305"/>
      <c r="BC820" s="169"/>
    </row>
    <row r="821" spans="19:55" ht="15.75" customHeight="1">
      <c r="S821" s="454"/>
      <c r="AN821" s="458"/>
      <c r="BA821" s="1305"/>
      <c r="BC821" s="169"/>
    </row>
    <row r="822" spans="19:55" ht="15.75" customHeight="1">
      <c r="S822" s="454"/>
      <c r="AN822" s="458"/>
      <c r="BA822" s="1305"/>
      <c r="BC822" s="169"/>
    </row>
    <row r="823" spans="19:55" ht="15.75" customHeight="1">
      <c r="S823" s="454"/>
      <c r="AN823" s="458"/>
      <c r="BA823" s="1305"/>
      <c r="BC823" s="169"/>
    </row>
    <row r="824" spans="19:55" ht="15.75" customHeight="1">
      <c r="S824" s="454"/>
      <c r="AN824" s="458"/>
      <c r="BA824" s="1305"/>
      <c r="BC824" s="169"/>
    </row>
    <row r="825" spans="19:55" ht="15.75" customHeight="1">
      <c r="S825" s="454"/>
      <c r="AN825" s="458"/>
      <c r="BA825" s="1305"/>
      <c r="BC825" s="169"/>
    </row>
    <row r="826" spans="19:55" ht="15.75" customHeight="1">
      <c r="S826" s="454"/>
      <c r="AN826" s="458"/>
      <c r="BA826" s="1305"/>
      <c r="BC826" s="169"/>
    </row>
    <row r="827" spans="19:55" ht="15.75" customHeight="1">
      <c r="S827" s="454"/>
      <c r="AN827" s="458"/>
      <c r="BA827" s="1305"/>
      <c r="BC827" s="169"/>
    </row>
    <row r="828" spans="19:55" ht="15.75" customHeight="1">
      <c r="S828" s="454"/>
      <c r="AN828" s="458"/>
      <c r="BA828" s="1305"/>
      <c r="BC828" s="169"/>
    </row>
    <row r="829" spans="19:55" ht="15.75" customHeight="1">
      <c r="S829" s="454"/>
      <c r="AN829" s="458"/>
      <c r="BA829" s="1305"/>
      <c r="BC829" s="169"/>
    </row>
    <row r="830" spans="19:55" ht="15.75" customHeight="1">
      <c r="S830" s="454"/>
      <c r="AN830" s="458"/>
      <c r="BA830" s="1305"/>
      <c r="BC830" s="169"/>
    </row>
    <row r="831" spans="19:55" ht="15.75" customHeight="1">
      <c r="S831" s="454"/>
      <c r="AN831" s="458"/>
      <c r="BA831" s="1305"/>
      <c r="BC831" s="169"/>
    </row>
    <row r="832" spans="19:55" ht="15.75" customHeight="1">
      <c r="S832" s="454"/>
      <c r="AN832" s="458"/>
      <c r="BA832" s="1305"/>
      <c r="BC832" s="169"/>
    </row>
    <row r="833" spans="19:55" ht="15.75" customHeight="1">
      <c r="S833" s="454"/>
      <c r="AN833" s="458"/>
      <c r="BA833" s="1305"/>
      <c r="BC833" s="169"/>
    </row>
    <row r="834" spans="19:55" ht="15.75" customHeight="1">
      <c r="S834" s="454"/>
      <c r="AN834" s="458"/>
      <c r="BA834" s="1305"/>
      <c r="BC834" s="169"/>
    </row>
    <row r="835" spans="19:55" ht="15.75" customHeight="1">
      <c r="S835" s="454"/>
      <c r="AN835" s="458"/>
      <c r="BA835" s="1305"/>
      <c r="BC835" s="169"/>
    </row>
    <row r="836" spans="19:55" ht="15.75" customHeight="1">
      <c r="S836" s="454"/>
      <c r="AN836" s="458"/>
      <c r="BA836" s="1305"/>
      <c r="BC836" s="169"/>
    </row>
    <row r="837" spans="19:55" ht="15.75" customHeight="1">
      <c r="S837" s="454"/>
      <c r="AN837" s="458"/>
      <c r="BA837" s="1305"/>
      <c r="BC837" s="169"/>
    </row>
    <row r="838" spans="19:55" ht="15.75" customHeight="1">
      <c r="S838" s="454"/>
      <c r="AN838" s="458"/>
      <c r="BA838" s="1305"/>
      <c r="BC838" s="169"/>
    </row>
    <row r="839" spans="19:55" ht="15.75" customHeight="1">
      <c r="S839" s="454"/>
      <c r="AN839" s="458"/>
      <c r="BA839" s="1305"/>
      <c r="BC839" s="169"/>
    </row>
    <row r="840" spans="19:55" ht="15.75" customHeight="1">
      <c r="S840" s="454"/>
      <c r="AN840" s="458"/>
      <c r="BA840" s="1305"/>
      <c r="BC840" s="169"/>
    </row>
    <row r="841" spans="19:55" ht="15.75" customHeight="1">
      <c r="S841" s="454"/>
      <c r="AN841" s="458"/>
      <c r="BA841" s="1305"/>
      <c r="BC841" s="169"/>
    </row>
    <row r="842" spans="19:55" ht="15.75" customHeight="1">
      <c r="S842" s="454"/>
      <c r="AN842" s="458"/>
      <c r="BA842" s="1305"/>
      <c r="BC842" s="169"/>
    </row>
    <row r="843" spans="19:55" ht="15.75" customHeight="1">
      <c r="S843" s="454"/>
      <c r="AN843" s="458"/>
      <c r="BA843" s="1305"/>
      <c r="BC843" s="169"/>
    </row>
    <row r="844" spans="19:55" ht="15.75" customHeight="1">
      <c r="S844" s="454"/>
      <c r="AN844" s="458"/>
      <c r="BA844" s="1305"/>
      <c r="BC844" s="169"/>
    </row>
    <row r="845" spans="19:55" ht="15.75" customHeight="1">
      <c r="S845" s="454"/>
      <c r="AN845" s="458"/>
      <c r="BA845" s="1305"/>
      <c r="BC845" s="169"/>
    </row>
    <row r="846" spans="19:55" ht="15.75" customHeight="1">
      <c r="S846" s="454"/>
      <c r="AN846" s="458"/>
      <c r="BA846" s="1305"/>
      <c r="BC846" s="169"/>
    </row>
    <row r="847" spans="19:55" ht="15.75" customHeight="1">
      <c r="S847" s="454"/>
      <c r="AN847" s="458"/>
      <c r="BA847" s="1305"/>
      <c r="BC847" s="169"/>
    </row>
    <row r="848" spans="19:55" ht="15.75" customHeight="1">
      <c r="S848" s="454"/>
      <c r="AN848" s="458"/>
      <c r="BA848" s="1305"/>
      <c r="BC848" s="169"/>
    </row>
    <row r="849" spans="19:55" ht="15.75" customHeight="1">
      <c r="S849" s="454"/>
      <c r="AN849" s="458"/>
      <c r="BA849" s="1305"/>
      <c r="BC849" s="169"/>
    </row>
    <row r="850" spans="19:55" ht="15.75" customHeight="1">
      <c r="S850" s="454"/>
      <c r="AN850" s="458"/>
      <c r="BA850" s="1305"/>
      <c r="BC850" s="169"/>
    </row>
    <row r="851" spans="19:55" ht="15.75" customHeight="1">
      <c r="S851" s="454"/>
      <c r="AN851" s="458"/>
      <c r="BA851" s="1305"/>
      <c r="BC851" s="169"/>
    </row>
    <row r="852" spans="19:55" ht="15.75" customHeight="1">
      <c r="S852" s="454"/>
      <c r="AN852" s="458"/>
      <c r="BA852" s="1305"/>
      <c r="BC852" s="169"/>
    </row>
    <row r="853" spans="19:55" ht="15.75" customHeight="1">
      <c r="S853" s="454"/>
      <c r="AN853" s="458"/>
      <c r="BA853" s="1305"/>
      <c r="BC853" s="169"/>
    </row>
    <row r="854" spans="19:55" ht="15.75" customHeight="1">
      <c r="S854" s="454"/>
      <c r="AN854" s="458"/>
      <c r="BA854" s="1305"/>
      <c r="BC854" s="169"/>
    </row>
    <row r="855" spans="19:55" ht="15.75" customHeight="1">
      <c r="S855" s="454"/>
      <c r="AN855" s="458"/>
      <c r="BA855" s="1305"/>
      <c r="BC855" s="169"/>
    </row>
    <row r="856" spans="19:55" ht="15.75" customHeight="1">
      <c r="S856" s="454"/>
      <c r="AN856" s="458"/>
      <c r="BA856" s="1305"/>
      <c r="BC856" s="169"/>
    </row>
    <row r="857" spans="19:55" ht="15.75" customHeight="1">
      <c r="S857" s="454"/>
      <c r="AN857" s="458"/>
      <c r="BA857" s="1305"/>
      <c r="BC857" s="169"/>
    </row>
    <row r="858" spans="19:55" ht="15.75" customHeight="1">
      <c r="S858" s="454"/>
      <c r="AN858" s="458"/>
      <c r="BA858" s="1305"/>
      <c r="BC858" s="169"/>
    </row>
    <row r="859" spans="19:55" ht="15.75" customHeight="1">
      <c r="S859" s="454"/>
      <c r="AN859" s="458"/>
      <c r="BA859" s="1305"/>
      <c r="BC859" s="169"/>
    </row>
    <row r="860" spans="19:55" ht="15.75" customHeight="1">
      <c r="S860" s="454"/>
      <c r="AN860" s="458"/>
      <c r="BA860" s="1305"/>
      <c r="BC860" s="169"/>
    </row>
    <row r="861" spans="19:55" ht="15.75" customHeight="1">
      <c r="S861" s="454"/>
      <c r="AN861" s="458"/>
      <c r="BA861" s="1305"/>
      <c r="BC861" s="169"/>
    </row>
    <row r="862" spans="19:55" ht="15.75" customHeight="1">
      <c r="S862" s="454"/>
      <c r="AN862" s="458"/>
      <c r="BA862" s="1305"/>
      <c r="BC862" s="169"/>
    </row>
    <row r="863" spans="19:55" ht="15.75" customHeight="1">
      <c r="S863" s="454"/>
      <c r="AN863" s="458"/>
      <c r="BA863" s="1305"/>
      <c r="BC863" s="169"/>
    </row>
    <row r="864" spans="19:55" ht="15.75" customHeight="1">
      <c r="S864" s="454"/>
      <c r="AN864" s="458"/>
      <c r="BA864" s="1305"/>
      <c r="BC864" s="169"/>
    </row>
    <row r="865" spans="19:55" ht="15.75" customHeight="1">
      <c r="S865" s="454"/>
      <c r="AN865" s="458"/>
      <c r="BA865" s="1305"/>
      <c r="BC865" s="169"/>
    </row>
    <row r="866" spans="19:55" ht="15.75" customHeight="1">
      <c r="S866" s="454"/>
      <c r="AN866" s="458"/>
      <c r="BA866" s="1305"/>
      <c r="BC866" s="169"/>
    </row>
    <row r="867" spans="19:55" ht="15.75" customHeight="1">
      <c r="S867" s="454"/>
      <c r="AN867" s="458"/>
      <c r="BA867" s="1305"/>
      <c r="BC867" s="169"/>
    </row>
    <row r="868" spans="19:55" ht="15.75" customHeight="1">
      <c r="S868" s="454"/>
      <c r="AN868" s="458"/>
      <c r="BA868" s="1305"/>
      <c r="BC868" s="169"/>
    </row>
    <row r="869" spans="19:55" ht="15.75" customHeight="1">
      <c r="S869" s="454"/>
      <c r="AN869" s="458"/>
      <c r="BA869" s="1305"/>
      <c r="BC869" s="169"/>
    </row>
    <row r="870" spans="19:55" ht="15.75" customHeight="1">
      <c r="S870" s="454"/>
      <c r="AN870" s="458"/>
      <c r="BA870" s="1305"/>
      <c r="BC870" s="169"/>
    </row>
    <row r="871" spans="19:55" ht="15.75" customHeight="1">
      <c r="S871" s="454"/>
      <c r="AN871" s="458"/>
      <c r="BA871" s="1305"/>
      <c r="BC871" s="169"/>
    </row>
    <row r="872" spans="19:55" ht="15.75" customHeight="1">
      <c r="S872" s="454"/>
      <c r="AN872" s="458"/>
      <c r="BA872" s="1305"/>
      <c r="BC872" s="169"/>
    </row>
    <row r="873" spans="19:55" ht="15.75" customHeight="1">
      <c r="S873" s="454"/>
      <c r="AN873" s="458"/>
      <c r="BA873" s="1305"/>
      <c r="BC873" s="169"/>
    </row>
    <row r="874" spans="19:55" ht="15.75" customHeight="1">
      <c r="S874" s="454"/>
      <c r="AN874" s="458"/>
      <c r="BA874" s="1305"/>
      <c r="BC874" s="169"/>
    </row>
    <row r="875" spans="19:55" ht="15.75" customHeight="1">
      <c r="S875" s="454"/>
      <c r="AN875" s="458"/>
      <c r="BA875" s="1305"/>
      <c r="BC875" s="169"/>
    </row>
    <row r="876" spans="19:55" ht="15.75" customHeight="1">
      <c r="S876" s="454"/>
      <c r="AN876" s="458"/>
      <c r="BA876" s="1305"/>
      <c r="BC876" s="169"/>
    </row>
    <row r="877" spans="19:55" ht="15.75" customHeight="1">
      <c r="S877" s="454"/>
      <c r="AN877" s="458"/>
      <c r="BA877" s="1305"/>
      <c r="BC877" s="169"/>
    </row>
    <row r="878" spans="19:55" ht="15.75" customHeight="1">
      <c r="S878" s="454"/>
      <c r="AN878" s="458"/>
      <c r="BA878" s="1305"/>
      <c r="BC878" s="169"/>
    </row>
    <row r="879" spans="19:55" ht="15.75" customHeight="1">
      <c r="S879" s="454"/>
      <c r="AN879" s="458"/>
      <c r="BA879" s="1305"/>
      <c r="BC879" s="169"/>
    </row>
    <row r="880" spans="19:55" ht="15.75" customHeight="1">
      <c r="S880" s="454"/>
      <c r="AN880" s="458"/>
      <c r="BA880" s="1305"/>
      <c r="BC880" s="169"/>
    </row>
    <row r="881" spans="19:55" ht="15.75" customHeight="1">
      <c r="S881" s="454"/>
      <c r="AN881" s="458"/>
      <c r="BA881" s="1305"/>
      <c r="BC881" s="169"/>
    </row>
    <row r="882" spans="19:55" ht="15.75" customHeight="1">
      <c r="S882" s="454"/>
      <c r="AN882" s="458"/>
      <c r="BA882" s="1305"/>
      <c r="BC882" s="169"/>
    </row>
    <row r="883" spans="19:55" ht="15.75" customHeight="1">
      <c r="S883" s="454"/>
      <c r="AN883" s="458"/>
      <c r="BA883" s="1305"/>
      <c r="BC883" s="169"/>
    </row>
    <row r="884" spans="19:55" ht="15.75" customHeight="1">
      <c r="S884" s="454"/>
      <c r="AN884" s="458"/>
      <c r="BA884" s="1305"/>
      <c r="BC884" s="169"/>
    </row>
    <row r="885" spans="19:55" ht="15.75" customHeight="1">
      <c r="S885" s="454"/>
      <c r="AN885" s="458"/>
      <c r="BA885" s="1305"/>
      <c r="BC885" s="169"/>
    </row>
    <row r="886" spans="19:55" ht="15.75" customHeight="1">
      <c r="S886" s="454"/>
      <c r="AN886" s="458"/>
      <c r="BA886" s="1305"/>
      <c r="BC886" s="169"/>
    </row>
    <row r="887" spans="19:55" ht="15.75" customHeight="1">
      <c r="S887" s="454"/>
      <c r="AN887" s="458"/>
      <c r="BA887" s="1305"/>
      <c r="BC887" s="169"/>
    </row>
    <row r="888" spans="19:55" ht="15.75" customHeight="1">
      <c r="S888" s="454"/>
      <c r="AN888" s="458"/>
      <c r="BA888" s="1305"/>
      <c r="BC888" s="169"/>
    </row>
    <row r="889" spans="19:55" ht="15.75" customHeight="1">
      <c r="S889" s="454"/>
      <c r="AN889" s="458"/>
      <c r="BA889" s="1305"/>
      <c r="BC889" s="169"/>
    </row>
    <row r="890" spans="19:55" ht="15.75" customHeight="1">
      <c r="S890" s="454"/>
      <c r="AN890" s="458"/>
      <c r="BA890" s="1305"/>
      <c r="BC890" s="169"/>
    </row>
    <row r="891" spans="19:55" ht="15.75" customHeight="1">
      <c r="S891" s="454"/>
      <c r="AN891" s="458"/>
      <c r="BA891" s="1305"/>
      <c r="BC891" s="169"/>
    </row>
    <row r="892" spans="19:55" ht="15.75" customHeight="1">
      <c r="S892" s="454"/>
      <c r="AN892" s="458"/>
      <c r="BA892" s="1305"/>
      <c r="BC892" s="169"/>
    </row>
    <row r="893" spans="19:55" ht="15.75" customHeight="1">
      <c r="S893" s="454"/>
      <c r="AN893" s="458"/>
      <c r="BA893" s="1305"/>
      <c r="BC893" s="169"/>
    </row>
    <row r="894" spans="19:55" ht="15.75" customHeight="1">
      <c r="S894" s="454"/>
      <c r="AN894" s="458"/>
      <c r="BA894" s="1305"/>
      <c r="BC894" s="169"/>
    </row>
    <row r="895" spans="19:55" ht="15.75" customHeight="1">
      <c r="S895" s="454"/>
      <c r="AN895" s="458"/>
      <c r="BA895" s="1305"/>
      <c r="BC895" s="169"/>
    </row>
    <row r="896" spans="19:55" ht="15.75" customHeight="1">
      <c r="S896" s="454"/>
      <c r="AN896" s="458"/>
      <c r="BA896" s="1305"/>
      <c r="BC896" s="169"/>
    </row>
    <row r="897" spans="19:55" ht="15.75" customHeight="1">
      <c r="S897" s="454"/>
      <c r="AN897" s="458"/>
      <c r="BA897" s="1305"/>
      <c r="BC897" s="169"/>
    </row>
    <row r="898" spans="19:55" ht="15.75" customHeight="1">
      <c r="S898" s="454"/>
      <c r="AN898" s="458"/>
      <c r="BA898" s="1305"/>
      <c r="BC898" s="169"/>
    </row>
    <row r="899" spans="19:55" ht="15.75" customHeight="1">
      <c r="S899" s="454"/>
      <c r="AN899" s="458"/>
      <c r="BA899" s="1305"/>
      <c r="BC899" s="169"/>
    </row>
    <row r="900" spans="19:55" ht="15.75" customHeight="1">
      <c r="S900" s="454"/>
      <c r="AN900" s="458"/>
      <c r="BA900" s="1305"/>
      <c r="BC900" s="169"/>
    </row>
    <row r="901" spans="19:55" ht="15.75" customHeight="1">
      <c r="S901" s="454"/>
      <c r="AN901" s="458"/>
      <c r="BA901" s="1305"/>
      <c r="BC901" s="169"/>
    </row>
    <row r="902" spans="19:55" ht="15.75" customHeight="1">
      <c r="S902" s="454"/>
      <c r="AN902" s="458"/>
      <c r="BA902" s="1305"/>
      <c r="BC902" s="169"/>
    </row>
    <row r="903" spans="19:55" ht="15.75" customHeight="1">
      <c r="S903" s="454"/>
      <c r="AN903" s="458"/>
      <c r="BA903" s="1305"/>
      <c r="BC903" s="169"/>
    </row>
    <row r="904" spans="19:55" ht="15.75" customHeight="1">
      <c r="S904" s="454"/>
      <c r="AN904" s="458"/>
      <c r="BA904" s="1305"/>
      <c r="BC904" s="169"/>
    </row>
    <row r="905" spans="19:55" ht="15.75" customHeight="1">
      <c r="S905" s="454"/>
      <c r="AN905" s="458"/>
      <c r="BA905" s="1305"/>
      <c r="BC905" s="169"/>
    </row>
    <row r="906" spans="19:55" ht="15.75" customHeight="1">
      <c r="S906" s="454"/>
      <c r="AN906" s="458"/>
      <c r="BA906" s="1305"/>
      <c r="BC906" s="169"/>
    </row>
    <row r="907" spans="19:55" ht="15.75" customHeight="1">
      <c r="S907" s="454"/>
      <c r="AN907" s="458"/>
      <c r="BA907" s="1305"/>
      <c r="BC907" s="169"/>
    </row>
    <row r="908" spans="19:55" ht="15.75" customHeight="1">
      <c r="S908" s="454"/>
      <c r="AN908" s="458"/>
      <c r="BA908" s="1305"/>
      <c r="BC908" s="169"/>
    </row>
    <row r="909" spans="19:55" ht="15.75" customHeight="1">
      <c r="S909" s="454"/>
      <c r="AN909" s="458"/>
      <c r="BA909" s="1305"/>
      <c r="BC909" s="169"/>
    </row>
    <row r="910" spans="19:55" ht="15.75" customHeight="1">
      <c r="S910" s="454"/>
      <c r="AN910" s="458"/>
      <c r="BA910" s="1305"/>
      <c r="BC910" s="169"/>
    </row>
    <row r="911" spans="19:55" ht="15.75" customHeight="1">
      <c r="S911" s="454"/>
      <c r="AN911" s="458"/>
      <c r="BA911" s="1305"/>
      <c r="BC911" s="169"/>
    </row>
    <row r="912" spans="19:55" ht="15.75" customHeight="1">
      <c r="S912" s="454"/>
      <c r="AN912" s="458"/>
      <c r="BA912" s="1305"/>
      <c r="BC912" s="169"/>
    </row>
    <row r="913" spans="19:55" ht="15.75" customHeight="1">
      <c r="S913" s="454"/>
      <c r="AN913" s="458"/>
      <c r="BA913" s="1305"/>
      <c r="BC913" s="169"/>
    </row>
    <row r="914" spans="19:55" ht="15.75" customHeight="1">
      <c r="S914" s="454"/>
      <c r="AN914" s="458"/>
      <c r="BA914" s="1305"/>
      <c r="BC914" s="169"/>
    </row>
    <row r="915" spans="19:55" ht="15.75" customHeight="1">
      <c r="S915" s="454"/>
      <c r="AN915" s="458"/>
      <c r="BA915" s="1305"/>
      <c r="BC915" s="169"/>
    </row>
    <row r="916" spans="19:55" ht="15.75" customHeight="1">
      <c r="S916" s="454"/>
      <c r="AN916" s="458"/>
      <c r="BA916" s="1305"/>
      <c r="BC916" s="169"/>
    </row>
    <row r="917" spans="19:55" ht="15.75" customHeight="1">
      <c r="S917" s="454"/>
      <c r="AN917" s="458"/>
      <c r="BA917" s="1305"/>
      <c r="BC917" s="169"/>
    </row>
    <row r="918" spans="19:55" ht="15.75" customHeight="1">
      <c r="S918" s="454"/>
      <c r="AN918" s="458"/>
      <c r="BA918" s="1305"/>
      <c r="BC918" s="169"/>
    </row>
    <row r="919" spans="19:55" ht="15.75" customHeight="1">
      <c r="S919" s="454"/>
      <c r="AN919" s="458"/>
      <c r="BA919" s="1305"/>
      <c r="BC919" s="169"/>
    </row>
    <row r="920" spans="19:55" ht="15.75" customHeight="1">
      <c r="S920" s="454"/>
      <c r="AN920" s="458"/>
      <c r="BA920" s="1305"/>
      <c r="BC920" s="169"/>
    </row>
    <row r="921" spans="19:55" ht="15.75" customHeight="1">
      <c r="S921" s="454"/>
      <c r="AN921" s="458"/>
      <c r="BA921" s="1305"/>
      <c r="BC921" s="169"/>
    </row>
    <row r="922" spans="19:55" ht="15.75" customHeight="1">
      <c r="S922" s="454"/>
      <c r="AN922" s="458"/>
      <c r="BA922" s="1305"/>
      <c r="BC922" s="169"/>
    </row>
    <row r="923" spans="19:55" ht="15.75" customHeight="1">
      <c r="S923" s="454"/>
      <c r="AN923" s="458"/>
      <c r="BA923" s="1305"/>
      <c r="BC923" s="169"/>
    </row>
    <row r="924" spans="19:55" ht="15.75" customHeight="1">
      <c r="S924" s="454"/>
      <c r="AN924" s="458"/>
      <c r="BA924" s="1305"/>
      <c r="BC924" s="169"/>
    </row>
    <row r="925" spans="19:55" ht="15.75" customHeight="1">
      <c r="S925" s="454"/>
      <c r="AN925" s="458"/>
      <c r="BA925" s="1305"/>
      <c r="BC925" s="169"/>
    </row>
    <row r="926" spans="19:55" ht="15.75" customHeight="1">
      <c r="S926" s="454"/>
      <c r="AN926" s="458"/>
      <c r="BA926" s="1305"/>
      <c r="BC926" s="169"/>
    </row>
    <row r="927" spans="19:55" ht="15.75" customHeight="1">
      <c r="S927" s="454"/>
      <c r="AN927" s="458"/>
      <c r="BA927" s="1305"/>
      <c r="BC927" s="169"/>
    </row>
    <row r="928" spans="19:55" ht="15.75" customHeight="1">
      <c r="S928" s="454"/>
      <c r="AN928" s="458"/>
      <c r="BA928" s="1305"/>
      <c r="BC928" s="169"/>
    </row>
    <row r="929" spans="19:55" ht="15.75" customHeight="1">
      <c r="S929" s="454"/>
      <c r="AN929" s="458"/>
      <c r="BA929" s="1305"/>
      <c r="BC929" s="169"/>
    </row>
    <row r="930" spans="19:55" ht="15.75" customHeight="1">
      <c r="S930" s="454"/>
      <c r="AN930" s="458"/>
      <c r="BA930" s="1305"/>
      <c r="BC930" s="169"/>
    </row>
    <row r="931" spans="19:55" ht="15.75" customHeight="1">
      <c r="S931" s="454"/>
      <c r="AN931" s="458"/>
      <c r="BA931" s="1305"/>
      <c r="BC931" s="169"/>
    </row>
    <row r="932" spans="19:55" ht="15.75" customHeight="1">
      <c r="S932" s="454"/>
      <c r="AN932" s="458"/>
      <c r="BA932" s="1305"/>
      <c r="BC932" s="169"/>
    </row>
    <row r="933" spans="19:55" ht="15.75" customHeight="1">
      <c r="S933" s="454"/>
      <c r="AN933" s="458"/>
      <c r="BA933" s="1305"/>
      <c r="BC933" s="169"/>
    </row>
    <row r="934" spans="19:55" ht="15.75" customHeight="1">
      <c r="S934" s="454"/>
      <c r="AN934" s="458"/>
      <c r="BA934" s="1305"/>
      <c r="BC934" s="169"/>
    </row>
    <row r="935" spans="19:55" ht="15.75" customHeight="1">
      <c r="S935" s="454"/>
      <c r="AN935" s="458"/>
      <c r="BA935" s="1305"/>
      <c r="BC935" s="169"/>
    </row>
    <row r="936" spans="19:55" ht="15.75" customHeight="1">
      <c r="S936" s="454"/>
      <c r="AN936" s="458"/>
      <c r="BA936" s="1305"/>
      <c r="BC936" s="169"/>
    </row>
    <row r="937" spans="19:55" ht="15.75" customHeight="1">
      <c r="S937" s="454"/>
      <c r="AN937" s="458"/>
      <c r="BA937" s="1305"/>
      <c r="BC937" s="169"/>
    </row>
    <row r="938" spans="19:55" ht="15.75" customHeight="1">
      <c r="S938" s="454"/>
      <c r="AN938" s="458"/>
      <c r="BA938" s="1305"/>
      <c r="BC938" s="169"/>
    </row>
    <row r="939" spans="19:55" ht="15.75" customHeight="1">
      <c r="S939" s="454"/>
      <c r="AN939" s="458"/>
      <c r="BA939" s="1305"/>
      <c r="BC939" s="169"/>
    </row>
    <row r="940" spans="19:55" ht="15.75" customHeight="1">
      <c r="S940" s="454"/>
      <c r="AN940" s="458"/>
      <c r="BA940" s="1305"/>
      <c r="BC940" s="169"/>
    </row>
    <row r="941" spans="19:55" ht="15.75" customHeight="1">
      <c r="S941" s="454"/>
      <c r="AN941" s="458"/>
      <c r="BA941" s="1305"/>
      <c r="BC941" s="169"/>
    </row>
    <row r="942" spans="19:55" ht="15.75" customHeight="1">
      <c r="S942" s="454"/>
      <c r="AN942" s="458"/>
      <c r="BA942" s="1305"/>
      <c r="BC942" s="169"/>
    </row>
    <row r="943" spans="19:55" ht="15.75" customHeight="1">
      <c r="S943" s="454"/>
      <c r="AN943" s="458"/>
      <c r="BA943" s="1305"/>
      <c r="BC943" s="169"/>
    </row>
    <row r="944" spans="19:55" ht="15.75" customHeight="1">
      <c r="S944" s="454"/>
      <c r="AN944" s="458"/>
      <c r="BA944" s="1305"/>
      <c r="BC944" s="169"/>
    </row>
    <row r="945" spans="19:55" ht="15.75" customHeight="1">
      <c r="S945" s="454"/>
      <c r="AN945" s="458"/>
      <c r="BA945" s="1305"/>
      <c r="BC945" s="169"/>
    </row>
    <row r="946" spans="19:55" ht="15.75" customHeight="1">
      <c r="S946" s="454"/>
      <c r="AN946" s="458"/>
      <c r="BA946" s="1305"/>
      <c r="BC946" s="169"/>
    </row>
    <row r="947" spans="19:55" ht="15.75" customHeight="1">
      <c r="S947" s="454"/>
      <c r="AN947" s="458"/>
      <c r="BA947" s="1305"/>
      <c r="BC947" s="169"/>
    </row>
    <row r="948" spans="19:55" ht="15.75" customHeight="1">
      <c r="S948" s="454"/>
      <c r="AN948" s="458"/>
      <c r="BA948" s="1305"/>
      <c r="BC948" s="169"/>
    </row>
    <row r="949" spans="19:55" ht="15.75" customHeight="1">
      <c r="S949" s="454"/>
      <c r="AN949" s="458"/>
      <c r="BA949" s="1305"/>
      <c r="BC949" s="169"/>
    </row>
    <row r="950" spans="19:55" ht="15.75" customHeight="1">
      <c r="S950" s="454"/>
      <c r="AN950" s="458"/>
      <c r="BA950" s="1305"/>
      <c r="BC950" s="169"/>
    </row>
    <row r="951" spans="19:55" ht="15.75" customHeight="1">
      <c r="S951" s="454"/>
      <c r="AN951" s="458"/>
      <c r="BA951" s="1305"/>
      <c r="BC951" s="169"/>
    </row>
    <row r="952" spans="19:55" ht="15.75" customHeight="1">
      <c r="S952" s="454"/>
      <c r="AN952" s="458"/>
      <c r="BA952" s="1305"/>
      <c r="BC952" s="169"/>
    </row>
    <row r="953" spans="19:55" ht="15.75" customHeight="1">
      <c r="S953" s="454"/>
      <c r="AN953" s="458"/>
      <c r="BA953" s="1305"/>
      <c r="BC953" s="169"/>
    </row>
    <row r="954" spans="19:55" ht="15.75" customHeight="1">
      <c r="S954" s="454"/>
      <c r="AN954" s="458"/>
      <c r="BA954" s="1305"/>
      <c r="BC954" s="169"/>
    </row>
    <row r="955" spans="19:55" ht="15.75" customHeight="1">
      <c r="S955" s="454"/>
      <c r="AN955" s="458"/>
      <c r="BA955" s="1305"/>
      <c r="BC955" s="169"/>
    </row>
    <row r="956" spans="19:55" ht="15.75" customHeight="1">
      <c r="S956" s="454"/>
      <c r="AN956" s="458"/>
      <c r="BA956" s="1305"/>
      <c r="BC956" s="169"/>
    </row>
    <row r="957" spans="19:55" ht="15.75" customHeight="1">
      <c r="S957" s="454"/>
      <c r="AN957" s="458"/>
      <c r="BA957" s="1305"/>
      <c r="BC957" s="169"/>
    </row>
    <row r="958" spans="19:55" ht="15.75" customHeight="1">
      <c r="S958" s="454"/>
      <c r="AN958" s="458"/>
      <c r="BA958" s="1305"/>
      <c r="BC958" s="169"/>
    </row>
    <row r="959" spans="19:55" ht="15.75" customHeight="1">
      <c r="S959" s="454"/>
      <c r="AN959" s="458"/>
      <c r="BA959" s="1305"/>
      <c r="BC959" s="169"/>
    </row>
    <row r="960" spans="19:55" ht="15.75" customHeight="1">
      <c r="S960" s="454"/>
      <c r="AN960" s="458"/>
      <c r="BA960" s="1305"/>
      <c r="BC960" s="169"/>
    </row>
    <row r="961" spans="19:55" ht="15.75" customHeight="1">
      <c r="S961" s="454"/>
      <c r="AN961" s="458"/>
      <c r="BA961" s="1305"/>
      <c r="BC961" s="169"/>
    </row>
    <row r="962" spans="19:55" ht="15.75" customHeight="1">
      <c r="S962" s="454"/>
      <c r="AN962" s="458"/>
      <c r="BA962" s="1305"/>
      <c r="BC962" s="169"/>
    </row>
    <row r="963" spans="19:55" ht="15.75" customHeight="1">
      <c r="S963" s="454"/>
      <c r="AN963" s="458"/>
      <c r="BA963" s="1305"/>
      <c r="BC963" s="169"/>
    </row>
    <row r="964" spans="19:55" ht="15.75" customHeight="1">
      <c r="S964" s="454"/>
      <c r="AN964" s="458"/>
      <c r="BA964" s="1305"/>
      <c r="BC964" s="169"/>
    </row>
    <row r="965" spans="19:55" ht="15.75" customHeight="1">
      <c r="S965" s="454"/>
      <c r="AN965" s="458"/>
      <c r="BA965" s="1305"/>
      <c r="BC965" s="169"/>
    </row>
    <row r="966" spans="19:55" ht="15.75" customHeight="1">
      <c r="S966" s="454"/>
      <c r="AN966" s="458"/>
      <c r="BA966" s="1305"/>
      <c r="BC966" s="169"/>
    </row>
    <row r="967" spans="19:55" ht="15.75" customHeight="1">
      <c r="S967" s="454"/>
      <c r="AN967" s="458"/>
      <c r="BA967" s="1305"/>
      <c r="BC967" s="169"/>
    </row>
    <row r="968" spans="19:55" ht="15.75" customHeight="1">
      <c r="S968" s="454"/>
      <c r="AN968" s="458"/>
      <c r="BA968" s="1305"/>
      <c r="BC968" s="169"/>
    </row>
    <row r="969" spans="19:55" ht="15.75" customHeight="1">
      <c r="S969" s="454"/>
      <c r="AN969" s="458"/>
      <c r="BA969" s="1305"/>
      <c r="BC969" s="169"/>
    </row>
    <row r="970" spans="19:55" ht="15.75" customHeight="1">
      <c r="S970" s="454"/>
      <c r="AN970" s="458"/>
      <c r="BA970" s="1305"/>
      <c r="BC970" s="169"/>
    </row>
    <row r="971" spans="19:55" ht="15.75" customHeight="1">
      <c r="S971" s="454"/>
      <c r="AN971" s="458"/>
      <c r="BA971" s="1305"/>
      <c r="BC971" s="169"/>
    </row>
    <row r="972" spans="19:55" ht="15.75" customHeight="1">
      <c r="S972" s="454"/>
      <c r="AN972" s="458"/>
      <c r="BA972" s="1305"/>
      <c r="BC972" s="169"/>
    </row>
    <row r="973" spans="19:55" ht="15.75" customHeight="1">
      <c r="S973" s="454"/>
      <c r="AN973" s="458"/>
      <c r="BA973" s="1305"/>
      <c r="BC973" s="169"/>
    </row>
    <row r="974" spans="19:55" ht="15.75" customHeight="1">
      <c r="S974" s="454"/>
      <c r="AN974" s="458"/>
      <c r="BA974" s="1305"/>
      <c r="BC974" s="169"/>
    </row>
    <row r="975" spans="19:55" ht="15.75" customHeight="1">
      <c r="S975" s="454"/>
      <c r="AN975" s="458"/>
      <c r="BA975" s="1305"/>
      <c r="BC975" s="169"/>
    </row>
    <row r="976" spans="19:55" ht="15.75" customHeight="1">
      <c r="S976" s="454"/>
      <c r="AN976" s="458"/>
      <c r="BA976" s="1305"/>
      <c r="BC976" s="169"/>
    </row>
    <row r="977" spans="19:55" ht="15.75" customHeight="1">
      <c r="S977" s="454"/>
      <c r="AN977" s="458"/>
      <c r="BA977" s="1305"/>
      <c r="BC977" s="169"/>
    </row>
    <row r="978" spans="19:55" ht="15.75" customHeight="1">
      <c r="S978" s="454"/>
      <c r="AN978" s="458"/>
      <c r="BA978" s="1305"/>
      <c r="BC978" s="169"/>
    </row>
    <row r="979" spans="19:55" ht="15.75" customHeight="1">
      <c r="S979" s="454"/>
      <c r="AN979" s="458"/>
      <c r="BA979" s="1305"/>
      <c r="BC979" s="169"/>
    </row>
    <row r="980" spans="19:55" ht="15.75" customHeight="1">
      <c r="S980" s="454"/>
      <c r="AN980" s="458"/>
      <c r="BA980" s="1305"/>
      <c r="BC980" s="169"/>
    </row>
    <row r="981" spans="19:55" ht="15.75" customHeight="1">
      <c r="S981" s="454"/>
      <c r="AN981" s="458"/>
      <c r="BA981" s="1305"/>
      <c r="BC981" s="169"/>
    </row>
    <row r="982" spans="19:55" ht="15.75" customHeight="1">
      <c r="S982" s="454"/>
      <c r="AN982" s="458"/>
      <c r="BA982" s="1305"/>
      <c r="BC982" s="169"/>
    </row>
    <row r="983" spans="19:55" ht="15.75" customHeight="1">
      <c r="S983" s="454"/>
      <c r="AN983" s="458"/>
      <c r="BA983" s="1305"/>
      <c r="BC983" s="169"/>
    </row>
    <row r="984" spans="19:55" ht="15.75" customHeight="1">
      <c r="S984" s="454"/>
      <c r="AN984" s="458"/>
      <c r="BA984" s="1305"/>
      <c r="BC984" s="169"/>
    </row>
    <row r="985" spans="19:55" ht="15.75" customHeight="1">
      <c r="S985" s="454"/>
      <c r="AN985" s="458"/>
      <c r="BA985" s="1305"/>
      <c r="BC985" s="169"/>
    </row>
    <row r="986" spans="19:55" ht="15.75" customHeight="1">
      <c r="S986" s="454"/>
      <c r="AN986" s="458"/>
      <c r="BA986" s="1305"/>
      <c r="BC986" s="169"/>
    </row>
    <row r="987" spans="19:55" ht="15.75" customHeight="1">
      <c r="S987" s="454"/>
      <c r="AN987" s="458"/>
      <c r="BA987" s="1305"/>
      <c r="BC987" s="169"/>
    </row>
    <row r="988" spans="19:55" ht="15.75" customHeight="1">
      <c r="S988" s="454"/>
      <c r="AN988" s="458"/>
      <c r="BA988" s="1305"/>
      <c r="BC988" s="169"/>
    </row>
    <row r="989" spans="19:55" ht="15.75" customHeight="1">
      <c r="S989" s="454"/>
      <c r="AN989" s="458"/>
      <c r="BA989" s="1305"/>
      <c r="BC989" s="169"/>
    </row>
    <row r="990" spans="19:55" ht="15.75" customHeight="1">
      <c r="S990" s="454"/>
      <c r="AN990" s="458"/>
      <c r="BA990" s="1305"/>
      <c r="BC990" s="169"/>
    </row>
    <row r="991" spans="19:55" ht="15.75" customHeight="1">
      <c r="S991" s="454"/>
      <c r="AN991" s="458"/>
      <c r="BA991" s="1305"/>
      <c r="BC991" s="169"/>
    </row>
    <row r="992" spans="19:55" ht="15.75" customHeight="1">
      <c r="S992" s="454"/>
      <c r="AN992" s="458"/>
      <c r="BA992" s="1305"/>
      <c r="BC992" s="169"/>
    </row>
    <row r="993" spans="19:55" ht="15.75" customHeight="1">
      <c r="S993" s="454"/>
      <c r="AN993" s="458"/>
      <c r="BA993" s="1305"/>
      <c r="BC993" s="169"/>
    </row>
    <row r="994" spans="19:55" ht="15.75" customHeight="1">
      <c r="S994" s="454"/>
      <c r="AN994" s="458"/>
      <c r="BA994" s="1305"/>
      <c r="BC994" s="169"/>
    </row>
    <row r="995" spans="19:55" ht="15.75" customHeight="1">
      <c r="S995" s="454"/>
      <c r="AN995" s="458"/>
      <c r="BA995" s="1305"/>
      <c r="BC995" s="169"/>
    </row>
    <row r="996" spans="19:55" ht="15.75" customHeight="1">
      <c r="S996" s="454"/>
      <c r="AN996" s="458"/>
      <c r="BA996" s="1305"/>
      <c r="BC996" s="169"/>
    </row>
    <row r="997" spans="19:55" ht="15.75" customHeight="1">
      <c r="S997" s="454"/>
      <c r="AN997" s="458"/>
      <c r="BA997" s="1305"/>
      <c r="BC997" s="169"/>
    </row>
    <row r="998" spans="19:55" ht="15.75" customHeight="1">
      <c r="S998" s="454"/>
      <c r="AN998" s="458"/>
      <c r="BA998" s="1305"/>
      <c r="BC998" s="169"/>
    </row>
    <row r="999" spans="19:55" ht="15.75" customHeight="1">
      <c r="S999" s="454"/>
      <c r="AN999" s="458"/>
      <c r="BA999" s="1305"/>
      <c r="BC999" s="169"/>
    </row>
    <row r="1000" spans="19:55" ht="15.75" customHeight="1">
      <c r="S1000" s="454"/>
      <c r="AN1000" s="458"/>
      <c r="BA1000" s="1305"/>
      <c r="BC1000" s="169"/>
    </row>
    <row r="1001" spans="19:55" ht="15.75" customHeight="1">
      <c r="S1001" s="454"/>
      <c r="AN1001" s="458"/>
      <c r="BA1001" s="1305"/>
      <c r="BC1001" s="169"/>
    </row>
    <row r="1002" spans="19:55" ht="15.75" customHeight="1">
      <c r="S1002" s="454"/>
      <c r="AN1002" s="458"/>
      <c r="BA1002" s="1305"/>
      <c r="BC1002" s="169"/>
    </row>
    <row r="1003" spans="19:55" ht="15.75" customHeight="1">
      <c r="S1003" s="454"/>
      <c r="AN1003" s="458"/>
      <c r="BA1003" s="1305"/>
      <c r="BC1003" s="169"/>
    </row>
    <row r="1004" spans="19:55" ht="15.75" customHeight="1">
      <c r="S1004" s="454"/>
      <c r="AN1004" s="458"/>
      <c r="BA1004" s="1305"/>
      <c r="BC1004" s="169"/>
    </row>
    <row r="1005" spans="19:55" ht="15.75" customHeight="1">
      <c r="S1005" s="454"/>
      <c r="AN1005" s="458"/>
      <c r="BA1005" s="1305"/>
      <c r="BC1005" s="169"/>
    </row>
    <row r="1006" spans="19:55" ht="15.75" customHeight="1">
      <c r="S1006" s="454"/>
      <c r="AN1006" s="458"/>
      <c r="BA1006" s="1305"/>
      <c r="BC1006" s="169"/>
    </row>
    <row r="1007" spans="19:55" ht="15.75" customHeight="1">
      <c r="S1007" s="454"/>
      <c r="AN1007" s="458"/>
      <c r="BA1007" s="1305"/>
      <c r="BC1007" s="169"/>
    </row>
    <row r="1008" spans="19:55" ht="15.75" customHeight="1">
      <c r="S1008" s="454"/>
      <c r="AN1008" s="458"/>
      <c r="BA1008" s="1305"/>
      <c r="BC1008" s="169"/>
    </row>
    <row r="1009" spans="19:55" ht="15.75" customHeight="1">
      <c r="S1009" s="454"/>
      <c r="AN1009" s="458"/>
      <c r="BA1009" s="1305"/>
      <c r="BC1009" s="169"/>
    </row>
    <row r="1010" spans="19:55" ht="15.75" customHeight="1">
      <c r="S1010" s="454"/>
      <c r="AN1010" s="458"/>
      <c r="BA1010" s="1305"/>
      <c r="BC1010" s="169"/>
    </row>
    <row r="1011" spans="19:55" ht="15.75" customHeight="1">
      <c r="S1011" s="454"/>
      <c r="AN1011" s="458"/>
      <c r="BA1011" s="1305"/>
      <c r="BC1011" s="169"/>
    </row>
    <row r="1012" spans="19:55" ht="15.75" customHeight="1">
      <c r="S1012" s="454"/>
      <c r="AN1012" s="458"/>
      <c r="BA1012" s="1305"/>
      <c r="BC1012" s="169"/>
    </row>
    <row r="1013" spans="19:55" ht="15.75" customHeight="1">
      <c r="S1013" s="454"/>
      <c r="AN1013" s="458"/>
      <c r="BA1013" s="1305"/>
      <c r="BC1013" s="169"/>
    </row>
    <row r="1014" spans="19:55" ht="15.75" customHeight="1">
      <c r="S1014" s="454"/>
      <c r="AN1014" s="458"/>
      <c r="BA1014" s="1305"/>
      <c r="BC1014" s="169"/>
    </row>
    <row r="1015" spans="19:55" ht="15.75" customHeight="1">
      <c r="S1015" s="454"/>
      <c r="AN1015" s="458"/>
      <c r="BA1015" s="1305"/>
      <c r="BC1015" s="169"/>
    </row>
    <row r="1016" spans="19:55" ht="15.75" customHeight="1">
      <c r="S1016" s="454"/>
      <c r="AN1016" s="458"/>
      <c r="BA1016" s="1305"/>
      <c r="BC1016" s="169"/>
    </row>
    <row r="1017" spans="19:55" ht="15.75" customHeight="1">
      <c r="S1017" s="454"/>
      <c r="AN1017" s="458"/>
      <c r="BA1017" s="1305"/>
      <c r="BC1017" s="169"/>
    </row>
    <row r="1018" spans="19:55" ht="15.75" customHeight="1">
      <c r="S1018" s="454"/>
      <c r="AN1018" s="458"/>
      <c r="BA1018" s="1305"/>
      <c r="BC1018" s="169"/>
    </row>
    <row r="1019" spans="19:55" ht="15.75" customHeight="1">
      <c r="S1019" s="454"/>
      <c r="AN1019" s="458"/>
      <c r="BA1019" s="1305"/>
      <c r="BC1019" s="169"/>
    </row>
    <row r="1020" spans="19:55" ht="15.75" customHeight="1">
      <c r="S1020" s="454"/>
      <c r="AN1020" s="458"/>
      <c r="BA1020" s="1305"/>
      <c r="BC1020" s="169"/>
    </row>
    <row r="1021" spans="19:55" ht="15.75" customHeight="1">
      <c r="S1021" s="454"/>
      <c r="AN1021" s="458"/>
      <c r="BA1021" s="1305"/>
      <c r="BC1021" s="169"/>
    </row>
    <row r="1022" spans="19:55" ht="15.75" customHeight="1">
      <c r="S1022" s="454"/>
      <c r="AN1022" s="458"/>
      <c r="BA1022" s="1305"/>
      <c r="BC1022" s="169"/>
    </row>
    <row r="1023" spans="19:55" ht="15.75" customHeight="1">
      <c r="S1023" s="454"/>
      <c r="AN1023" s="458"/>
      <c r="BA1023" s="1305"/>
      <c r="BC1023" s="169"/>
    </row>
    <row r="1024" spans="19:55" ht="15.75" customHeight="1">
      <c r="S1024" s="454"/>
      <c r="AN1024" s="458"/>
      <c r="BA1024" s="1305"/>
      <c r="BC1024" s="169"/>
    </row>
    <row r="1025" spans="19:55" ht="15.75" customHeight="1">
      <c r="S1025" s="454"/>
      <c r="AN1025" s="458"/>
      <c r="BA1025" s="1305"/>
      <c r="BC1025" s="169"/>
    </row>
    <row r="1026" spans="19:55" ht="15.75" customHeight="1">
      <c r="S1026" s="454"/>
      <c r="AN1026" s="458"/>
      <c r="BA1026" s="1305"/>
      <c r="BC1026" s="169"/>
    </row>
    <row r="1027" spans="19:55" ht="15.75" customHeight="1">
      <c r="S1027" s="454"/>
      <c r="AN1027" s="458"/>
      <c r="BA1027" s="1305"/>
      <c r="BC1027" s="169"/>
    </row>
    <row r="1028" spans="19:55" ht="15.75" customHeight="1">
      <c r="S1028" s="454"/>
      <c r="AN1028" s="458"/>
      <c r="BA1028" s="1305"/>
      <c r="BC1028" s="169"/>
    </row>
    <row r="1029" spans="19:55" ht="15.75" customHeight="1">
      <c r="S1029" s="454"/>
      <c r="AN1029" s="458"/>
      <c r="BA1029" s="1305"/>
      <c r="BC1029" s="169"/>
    </row>
    <row r="1030" spans="19:55" ht="15.75" customHeight="1">
      <c r="S1030" s="454"/>
      <c r="AN1030" s="458"/>
      <c r="BA1030" s="1305"/>
      <c r="BC1030" s="169"/>
    </row>
    <row r="1031" spans="19:55" ht="15.75" customHeight="1">
      <c r="S1031" s="454"/>
      <c r="AN1031" s="458"/>
      <c r="BA1031" s="1305"/>
      <c r="BC1031" s="169"/>
    </row>
    <row r="1032" spans="19:55" ht="15.75" customHeight="1">
      <c r="S1032" s="454"/>
      <c r="AN1032" s="458"/>
      <c r="BA1032" s="1305"/>
      <c r="BC1032" s="169"/>
    </row>
    <row r="1033" spans="19:55" ht="15.75" customHeight="1">
      <c r="S1033" s="454"/>
      <c r="AN1033" s="458"/>
      <c r="BA1033" s="1305"/>
      <c r="BC1033" s="169"/>
    </row>
    <row r="1034" spans="19:55" ht="15.75" customHeight="1">
      <c r="S1034" s="454"/>
      <c r="AN1034" s="458"/>
      <c r="BA1034" s="1305"/>
      <c r="BC1034" s="169"/>
    </row>
    <row r="1035" spans="19:55" ht="15.75" customHeight="1">
      <c r="S1035" s="454"/>
      <c r="AN1035" s="458"/>
      <c r="BA1035" s="1305"/>
      <c r="BC1035" s="169"/>
    </row>
    <row r="1036" spans="19:55" ht="15.75" customHeight="1">
      <c r="S1036" s="454"/>
      <c r="AN1036" s="458"/>
      <c r="BA1036" s="1305"/>
      <c r="BC1036" s="169"/>
    </row>
    <row r="1037" spans="19:55" ht="15.75" customHeight="1">
      <c r="S1037" s="454"/>
      <c r="AN1037" s="458"/>
      <c r="BA1037" s="1305"/>
      <c r="BC1037" s="169"/>
    </row>
    <row r="1038" spans="19:55" ht="15.75" customHeight="1">
      <c r="S1038" s="454"/>
      <c r="AN1038" s="458"/>
      <c r="BA1038" s="1305"/>
      <c r="BC1038" s="169"/>
    </row>
    <row r="1039" spans="19:55" ht="15.75" customHeight="1">
      <c r="S1039" s="454"/>
      <c r="AN1039" s="458"/>
      <c r="BA1039" s="1305"/>
      <c r="BC1039" s="169"/>
    </row>
    <row r="1040" spans="19:55" ht="15.75" customHeight="1">
      <c r="S1040" s="454"/>
      <c r="AN1040" s="458"/>
      <c r="BA1040" s="1305"/>
      <c r="BC1040" s="169"/>
    </row>
    <row r="1041" spans="19:55" ht="15.75" customHeight="1">
      <c r="S1041" s="454"/>
      <c r="AN1041" s="458"/>
      <c r="BA1041" s="1305"/>
      <c r="BC1041" s="169"/>
    </row>
    <row r="1042" spans="19:55" ht="15.75" customHeight="1">
      <c r="S1042" s="454"/>
      <c r="AN1042" s="458"/>
      <c r="BA1042" s="1305"/>
      <c r="BC1042" s="169"/>
    </row>
    <row r="1043" spans="19:55" ht="15.75" customHeight="1">
      <c r="S1043" s="454"/>
      <c r="AN1043" s="458"/>
      <c r="BA1043" s="1305"/>
      <c r="BC1043" s="169"/>
    </row>
    <row r="1044" spans="19:55" ht="15.75" customHeight="1">
      <c r="S1044" s="454"/>
      <c r="AN1044" s="458"/>
      <c r="BA1044" s="1305"/>
      <c r="BC1044" s="169"/>
    </row>
    <row r="1045" spans="19:55" ht="15.75" customHeight="1">
      <c r="S1045" s="454"/>
      <c r="AN1045" s="458"/>
      <c r="BA1045" s="1305"/>
      <c r="BC1045" s="169"/>
    </row>
    <row r="1046" spans="19:55" ht="15.75" customHeight="1">
      <c r="S1046" s="454"/>
      <c r="AN1046" s="458"/>
      <c r="BA1046" s="1305"/>
      <c r="BC1046" s="169"/>
    </row>
    <row r="1047" spans="19:55" ht="15.75" customHeight="1">
      <c r="S1047" s="454"/>
      <c r="AN1047" s="458"/>
      <c r="BA1047" s="1305"/>
      <c r="BC1047" s="169"/>
    </row>
    <row r="1048" spans="19:55" ht="15.75" customHeight="1">
      <c r="S1048" s="454"/>
      <c r="AN1048" s="458"/>
      <c r="BA1048" s="1305"/>
      <c r="BC1048" s="169"/>
    </row>
    <row r="1049" spans="19:55" ht="15.75" customHeight="1">
      <c r="S1049" s="454"/>
      <c r="AN1049" s="458"/>
      <c r="BA1049" s="1305"/>
      <c r="BC1049" s="169"/>
    </row>
    <row r="1050" spans="19:55" ht="15.75" customHeight="1">
      <c r="S1050" s="454"/>
      <c r="AN1050" s="458"/>
      <c r="BA1050" s="1305"/>
      <c r="BC1050" s="169"/>
    </row>
    <row r="1051" spans="19:55" ht="15.75" customHeight="1">
      <c r="S1051" s="454"/>
      <c r="AN1051" s="458"/>
      <c r="BA1051" s="1305"/>
      <c r="BC1051" s="169"/>
    </row>
    <row r="1052" spans="19:55" ht="15.75" customHeight="1">
      <c r="S1052" s="454"/>
      <c r="AN1052" s="458"/>
      <c r="BA1052" s="1305"/>
      <c r="BC1052" s="169"/>
    </row>
    <row r="1053" spans="19:55" ht="15.75" customHeight="1">
      <c r="S1053" s="454"/>
      <c r="AN1053" s="458"/>
      <c r="BA1053" s="1305"/>
      <c r="BC1053" s="169"/>
    </row>
    <row r="1054" spans="19:55" ht="15.75" customHeight="1">
      <c r="S1054" s="454"/>
      <c r="AN1054" s="458"/>
      <c r="BA1054" s="1305"/>
      <c r="BC1054" s="169"/>
    </row>
    <row r="1055" spans="19:55" ht="15.75" customHeight="1">
      <c r="S1055" s="454"/>
      <c r="AN1055" s="458"/>
      <c r="BA1055" s="1305"/>
      <c r="BC1055" s="169"/>
    </row>
    <row r="1056" spans="19:55" ht="15.75" customHeight="1">
      <c r="S1056" s="454"/>
      <c r="AN1056" s="458"/>
      <c r="BA1056" s="1305"/>
      <c r="BC1056" s="169"/>
    </row>
    <row r="1057" spans="19:55" ht="15.75" customHeight="1">
      <c r="S1057" s="454"/>
      <c r="AN1057" s="458"/>
      <c r="BA1057" s="1305"/>
      <c r="BC1057" s="169"/>
    </row>
    <row r="1058" spans="19:55" ht="15.75" customHeight="1">
      <c r="S1058" s="454"/>
      <c r="AN1058" s="458"/>
      <c r="BA1058" s="1305"/>
      <c r="BC1058" s="169"/>
    </row>
    <row r="1059" spans="19:55" ht="15.75" customHeight="1">
      <c r="S1059" s="454"/>
      <c r="AN1059" s="458"/>
      <c r="BA1059" s="1305"/>
      <c r="BC1059" s="169"/>
    </row>
    <row r="1060" spans="19:55" ht="15.75" customHeight="1">
      <c r="S1060" s="454"/>
      <c r="AN1060" s="458"/>
      <c r="BA1060" s="1305"/>
      <c r="BC1060" s="169"/>
    </row>
    <row r="1061" spans="19:55" ht="15.75" customHeight="1">
      <c r="S1061" s="454"/>
      <c r="AN1061" s="458"/>
      <c r="BA1061" s="1305"/>
      <c r="BC1061" s="169"/>
    </row>
    <row r="1062" spans="19:55" ht="15.75" customHeight="1">
      <c r="S1062" s="454"/>
      <c r="AN1062" s="458"/>
      <c r="BA1062" s="1305"/>
      <c r="BC1062" s="169"/>
    </row>
    <row r="1063" spans="19:55" ht="15.75" customHeight="1">
      <c r="S1063" s="454"/>
      <c r="AN1063" s="458"/>
      <c r="BA1063" s="1305"/>
      <c r="BC1063" s="169"/>
    </row>
    <row r="1064" spans="19:55" ht="15.75" customHeight="1">
      <c r="S1064" s="454"/>
      <c r="AN1064" s="458"/>
      <c r="BA1064" s="1305"/>
      <c r="BC1064" s="169"/>
    </row>
    <row r="1065" spans="19:55" ht="15.75" customHeight="1">
      <c r="S1065" s="454"/>
      <c r="AN1065" s="458"/>
      <c r="BA1065" s="1305"/>
      <c r="BC1065" s="169"/>
    </row>
    <row r="1066" spans="19:55" ht="15.75" customHeight="1">
      <c r="S1066" s="454"/>
      <c r="AN1066" s="458"/>
      <c r="BA1066" s="1305"/>
      <c r="BC1066" s="169"/>
    </row>
    <row r="1067" spans="19:55" ht="15.75" customHeight="1">
      <c r="S1067" s="454"/>
      <c r="AN1067" s="458"/>
      <c r="BA1067" s="1305"/>
      <c r="BC1067" s="169"/>
    </row>
    <row r="1068" spans="19:55" ht="15.75" customHeight="1">
      <c r="S1068" s="454"/>
      <c r="AN1068" s="458"/>
      <c r="BA1068" s="1305"/>
      <c r="BC1068" s="169"/>
    </row>
    <row r="1069" spans="19:55" ht="15.75" customHeight="1">
      <c r="S1069" s="454"/>
      <c r="AN1069" s="458"/>
      <c r="BA1069" s="1305"/>
      <c r="BC1069" s="169"/>
    </row>
    <row r="1070" spans="19:55" ht="15.75" customHeight="1">
      <c r="S1070" s="454"/>
      <c r="AN1070" s="458"/>
      <c r="BA1070" s="1305"/>
      <c r="BC1070" s="169"/>
    </row>
    <row r="1071" spans="19:55" ht="15.75" customHeight="1">
      <c r="S1071" s="454"/>
      <c r="AN1071" s="458"/>
      <c r="BA1071" s="1305"/>
      <c r="BC1071" s="169"/>
    </row>
    <row r="1072" spans="19:55" ht="15.75" customHeight="1">
      <c r="S1072" s="454"/>
      <c r="AN1072" s="458"/>
      <c r="BA1072" s="1305"/>
      <c r="BC1072" s="169"/>
    </row>
    <row r="1073" spans="19:55" ht="15.75" customHeight="1">
      <c r="S1073" s="454"/>
      <c r="AN1073" s="458"/>
      <c r="BA1073" s="1305"/>
      <c r="BC1073" s="169"/>
    </row>
    <row r="1074" spans="19:55" ht="15.75" customHeight="1">
      <c r="S1074" s="454"/>
      <c r="AN1074" s="458"/>
      <c r="BA1074" s="1305"/>
      <c r="BC1074" s="169"/>
    </row>
    <row r="1075" spans="19:55" ht="15.75" customHeight="1">
      <c r="S1075" s="454"/>
      <c r="AN1075" s="458"/>
      <c r="BA1075" s="1305"/>
      <c r="BC1075" s="169"/>
    </row>
    <row r="1076" spans="19:55" ht="15.75" customHeight="1">
      <c r="S1076" s="454"/>
      <c r="AN1076" s="458"/>
      <c r="BA1076" s="1305"/>
      <c r="BC1076" s="169"/>
    </row>
    <row r="1077" spans="19:55" ht="15.75" customHeight="1">
      <c r="S1077" s="454"/>
      <c r="AN1077" s="458"/>
      <c r="BA1077" s="1305"/>
      <c r="BC1077" s="169"/>
    </row>
    <row r="1078" spans="19:55" ht="15.75" customHeight="1">
      <c r="S1078" s="454"/>
      <c r="AN1078" s="458"/>
      <c r="BA1078" s="1305"/>
      <c r="BC1078" s="169"/>
    </row>
    <row r="1079" spans="19:55" ht="15.75" customHeight="1">
      <c r="S1079" s="454"/>
      <c r="AN1079" s="458"/>
      <c r="BA1079" s="1305"/>
      <c r="BC1079" s="169"/>
    </row>
    <row r="1080" spans="19:55" ht="15.75" customHeight="1">
      <c r="S1080" s="454"/>
      <c r="AN1080" s="458"/>
      <c r="BA1080" s="1305"/>
      <c r="BC1080" s="169"/>
    </row>
    <row r="1081" spans="19:55" ht="15.75" customHeight="1">
      <c r="S1081" s="454"/>
      <c r="AN1081" s="458"/>
      <c r="BA1081" s="1305"/>
      <c r="BC1081" s="169"/>
    </row>
    <row r="1082" spans="19:55" ht="15.75" customHeight="1">
      <c r="S1082" s="454"/>
      <c r="AN1082" s="458"/>
      <c r="BA1082" s="1305"/>
      <c r="BC1082" s="169"/>
    </row>
    <row r="1083" spans="19:55" ht="15.75" customHeight="1">
      <c r="S1083" s="454"/>
      <c r="AN1083" s="458"/>
      <c r="BA1083" s="1305"/>
      <c r="BC1083" s="169"/>
    </row>
    <row r="1084" spans="19:55" ht="15.75" customHeight="1">
      <c r="S1084" s="454"/>
      <c r="AN1084" s="458"/>
      <c r="BA1084" s="1305"/>
      <c r="BC1084" s="169"/>
    </row>
    <row r="1085" spans="19:55" ht="15.75" customHeight="1">
      <c r="S1085" s="454"/>
      <c r="AN1085" s="458"/>
      <c r="BA1085" s="1305"/>
      <c r="BC1085" s="169"/>
    </row>
    <row r="1086" spans="19:55" ht="15.75" customHeight="1">
      <c r="S1086" s="454"/>
      <c r="AN1086" s="458"/>
      <c r="BA1086" s="1305"/>
      <c r="BC1086" s="169"/>
    </row>
    <row r="1087" spans="19:55" ht="15.75" customHeight="1">
      <c r="S1087" s="454"/>
      <c r="AN1087" s="458"/>
      <c r="BA1087" s="1305"/>
      <c r="BC1087" s="169"/>
    </row>
    <row r="1088" spans="19:55" ht="15.75" customHeight="1">
      <c r="S1088" s="454"/>
      <c r="AN1088" s="458"/>
      <c r="BA1088" s="1305"/>
      <c r="BC1088" s="169"/>
    </row>
    <row r="1089" spans="19:55" ht="15.75" customHeight="1">
      <c r="S1089" s="454"/>
      <c r="AN1089" s="458"/>
      <c r="BA1089" s="1305"/>
      <c r="BC1089" s="169"/>
    </row>
    <row r="1090" spans="19:55" ht="15.75" customHeight="1">
      <c r="S1090" s="454"/>
      <c r="AN1090" s="458"/>
      <c r="BA1090" s="1305"/>
      <c r="BC1090" s="169"/>
    </row>
    <row r="1091" spans="19:55" ht="15.75" customHeight="1">
      <c r="S1091" s="454"/>
      <c r="AN1091" s="458"/>
      <c r="BA1091" s="1305"/>
      <c r="BC1091" s="169"/>
    </row>
    <row r="1092" spans="19:55" ht="15.75" customHeight="1">
      <c r="S1092" s="454"/>
      <c r="AN1092" s="458"/>
      <c r="BA1092" s="1266"/>
      <c r="BC1092" s="169"/>
    </row>
    <row r="1093" spans="19:55" ht="15.75" customHeight="1">
      <c r="S1093" s="454"/>
      <c r="AN1093" s="458"/>
      <c r="BA1093" s="1266"/>
      <c r="BC1093" s="169"/>
    </row>
    <row r="1094" spans="19:55" ht="15.75" customHeight="1">
      <c r="S1094" s="454"/>
      <c r="AN1094" s="458"/>
      <c r="BA1094" s="1266"/>
      <c r="BC1094" s="169"/>
    </row>
    <row r="1095" spans="19:55" ht="15.75" customHeight="1">
      <c r="S1095" s="454"/>
      <c r="AN1095" s="458"/>
      <c r="BA1095" s="1266"/>
      <c r="BC1095" s="169"/>
    </row>
    <row r="1096" spans="19:55" ht="15.75" customHeight="1">
      <c r="S1096" s="454"/>
      <c r="AN1096" s="458"/>
      <c r="BA1096" s="1266"/>
      <c r="BC1096" s="169"/>
    </row>
    <row r="1097" spans="19:55" ht="15.75" customHeight="1">
      <c r="S1097" s="454"/>
      <c r="AN1097" s="458"/>
      <c r="BA1097" s="1266"/>
      <c r="BC1097" s="169"/>
    </row>
    <row r="1098" spans="19:55" ht="15.75" customHeight="1">
      <c r="S1098" s="454"/>
      <c r="AN1098" s="458"/>
      <c r="BA1098" s="1266"/>
      <c r="BC1098" s="169"/>
    </row>
    <row r="1099" spans="19:55" ht="15.75" customHeight="1">
      <c r="S1099" s="454"/>
      <c r="AN1099" s="458"/>
      <c r="BA1099" s="1266"/>
      <c r="BC1099" s="169"/>
    </row>
    <row r="1100" spans="19:55" ht="15.75" customHeight="1">
      <c r="S1100" s="454"/>
      <c r="AN1100" s="458"/>
      <c r="BA1100" s="1266"/>
      <c r="BC1100" s="169"/>
    </row>
    <row r="1101" spans="19:55" ht="15.75" customHeight="1">
      <c r="S1101" s="454"/>
      <c r="AN1101" s="458"/>
      <c r="BA1101" s="1266"/>
      <c r="BC1101" s="169"/>
    </row>
    <row r="1102" spans="19:55" ht="15.75" customHeight="1">
      <c r="S1102" s="454"/>
      <c r="AN1102" s="458"/>
      <c r="BA1102" s="1266"/>
      <c r="BC1102" s="169"/>
    </row>
    <row r="1103" spans="19:55" ht="15.75" customHeight="1">
      <c r="S1103" s="454"/>
      <c r="AN1103" s="458"/>
      <c r="BA1103" s="1266"/>
      <c r="BC1103" s="169"/>
    </row>
    <row r="1104" spans="19:55" ht="15.75" customHeight="1">
      <c r="S1104" s="454"/>
      <c r="AN1104" s="458"/>
      <c r="BA1104" s="1266"/>
      <c r="BC1104" s="169"/>
    </row>
    <row r="1105" spans="19:55" ht="15.75" customHeight="1">
      <c r="S1105" s="454"/>
      <c r="AN1105" s="458"/>
      <c r="BA1105" s="1266"/>
      <c r="BC1105" s="169"/>
    </row>
    <row r="1106" spans="19:55" ht="15.75" customHeight="1">
      <c r="S1106" s="454"/>
      <c r="AN1106" s="458"/>
      <c r="BA1106" s="1266"/>
      <c r="BC1106" s="169"/>
    </row>
    <row r="1107" spans="19:55" ht="15.75" customHeight="1">
      <c r="S1107" s="454"/>
      <c r="AN1107" s="458"/>
      <c r="BA1107" s="1266"/>
      <c r="BC1107" s="169"/>
    </row>
    <row r="1108" spans="19:55" ht="15.75" customHeight="1">
      <c r="S1108" s="454"/>
      <c r="AN1108" s="458"/>
      <c r="BA1108" s="1266"/>
      <c r="BC1108" s="169"/>
    </row>
    <row r="1109" spans="19:55" ht="15.75" customHeight="1">
      <c r="S1109" s="454"/>
      <c r="AN1109" s="458"/>
      <c r="BA1109" s="1266"/>
      <c r="BC1109" s="169"/>
    </row>
    <row r="1110" spans="19:55" ht="15.75" customHeight="1">
      <c r="S1110" s="454"/>
      <c r="AN1110" s="458"/>
      <c r="BA1110" s="1266"/>
      <c r="BC1110" s="169"/>
    </row>
    <row r="1111" spans="19:55" ht="15.75" customHeight="1">
      <c r="S1111" s="454"/>
      <c r="AN1111" s="458"/>
      <c r="BA1111" s="1266"/>
      <c r="BC1111" s="169"/>
    </row>
    <row r="1112" spans="19:55" ht="15.75" customHeight="1">
      <c r="S1112" s="454"/>
      <c r="AN1112" s="458"/>
      <c r="BA1112" s="1266"/>
      <c r="BC1112" s="169"/>
    </row>
    <row r="1113" spans="19:55" ht="15.75" customHeight="1">
      <c r="S1113" s="454"/>
      <c r="AN1113" s="458"/>
      <c r="BA1113" s="1266"/>
      <c r="BC1113" s="169"/>
    </row>
    <row r="1114" spans="19:55" ht="15.75" customHeight="1">
      <c r="S1114" s="454"/>
      <c r="AN1114" s="458"/>
      <c r="BA1114" s="1266"/>
      <c r="BC1114" s="169"/>
    </row>
    <row r="1115" spans="19:55" ht="15.75" customHeight="1">
      <c r="S1115" s="454"/>
      <c r="AN1115" s="458"/>
      <c r="BA1115" s="1266"/>
      <c r="BC1115" s="169"/>
    </row>
    <row r="1116" spans="19:55" ht="15.75" customHeight="1">
      <c r="S1116" s="454"/>
      <c r="AN1116" s="458"/>
      <c r="BA1116" s="1266"/>
      <c r="BC1116" s="169"/>
    </row>
    <row r="1117" spans="19:55" ht="15.75" customHeight="1">
      <c r="S1117" s="454"/>
      <c r="AN1117" s="458"/>
      <c r="BA1117" s="1266"/>
      <c r="BC1117" s="169"/>
    </row>
    <row r="1118" spans="19:55" ht="15.75" customHeight="1">
      <c r="S1118" s="454"/>
      <c r="AN1118" s="458"/>
      <c r="BA1118" s="1266"/>
      <c r="BC1118" s="169"/>
    </row>
    <row r="1119" spans="19:55" ht="15.75" customHeight="1">
      <c r="S1119" s="454"/>
      <c r="AN1119" s="458"/>
      <c r="BA1119" s="1266"/>
      <c r="BC1119" s="169"/>
    </row>
    <row r="1120" spans="19:55" ht="15.75" customHeight="1">
      <c r="S1120" s="454"/>
      <c r="AN1120" s="458"/>
      <c r="BA1120" s="1266"/>
      <c r="BC1120" s="169"/>
    </row>
    <row r="1121" spans="19:55" ht="15.75" customHeight="1">
      <c r="S1121" s="454"/>
      <c r="AN1121" s="458"/>
      <c r="BA1121" s="1266"/>
      <c r="BC1121" s="169"/>
    </row>
    <row r="1122" spans="19:55" ht="15.75" customHeight="1">
      <c r="S1122" s="454"/>
      <c r="AN1122" s="458"/>
      <c r="BA1122" s="1266"/>
      <c r="BC1122" s="169"/>
    </row>
    <row r="1123" spans="19:55" ht="15.75" customHeight="1">
      <c r="S1123" s="454"/>
      <c r="AN1123" s="458"/>
      <c r="BA1123" s="1266"/>
      <c r="BC1123" s="169"/>
    </row>
    <row r="1124" spans="19:55" ht="15.75" customHeight="1">
      <c r="S1124" s="454"/>
      <c r="AN1124" s="458"/>
      <c r="BA1124" s="1266"/>
      <c r="BC1124" s="169"/>
    </row>
    <row r="1125" spans="19:55" ht="15.75" customHeight="1">
      <c r="S1125" s="454"/>
      <c r="AN1125" s="458"/>
      <c r="BA1125" s="1266"/>
      <c r="BC1125" s="169"/>
    </row>
    <row r="1126" spans="19:55" ht="15.75" customHeight="1">
      <c r="S1126" s="454"/>
      <c r="AN1126" s="458"/>
      <c r="BA1126" s="1266"/>
      <c r="BC1126" s="169"/>
    </row>
    <row r="1127" spans="19:55" ht="15.75" customHeight="1">
      <c r="S1127" s="454"/>
      <c r="AN1127" s="458"/>
      <c r="BA1127" s="1266"/>
      <c r="BC1127" s="169"/>
    </row>
    <row r="1128" spans="19:55" ht="15.75" customHeight="1">
      <c r="S1128" s="454"/>
      <c r="AN1128" s="458"/>
      <c r="BA1128" s="1266"/>
      <c r="BC1128" s="169"/>
    </row>
    <row r="1129" spans="19:55" ht="15.75" customHeight="1">
      <c r="S1129" s="454"/>
      <c r="AN1129" s="458"/>
      <c r="BA1129" s="1266"/>
      <c r="BC1129" s="169"/>
    </row>
    <row r="1130" spans="19:55" ht="15.75" customHeight="1">
      <c r="S1130" s="454"/>
      <c r="AN1130" s="458"/>
      <c r="BA1130" s="1266"/>
      <c r="BC1130" s="169"/>
    </row>
    <row r="1131" spans="19:55" ht="15.75" customHeight="1">
      <c r="S1131" s="454"/>
      <c r="AN1131" s="458"/>
      <c r="BA1131" s="1266"/>
      <c r="BC1131" s="169"/>
    </row>
    <row r="1132" spans="19:55" ht="15.75" customHeight="1">
      <c r="S1132" s="454"/>
      <c r="AN1132" s="458"/>
      <c r="BA1132" s="1266"/>
      <c r="BC1132" s="169"/>
    </row>
    <row r="1133" spans="19:55" ht="15.75" customHeight="1">
      <c r="S1133" s="454"/>
      <c r="AN1133" s="458"/>
      <c r="BA1133" s="1266"/>
      <c r="BC1133" s="169"/>
    </row>
    <row r="1134" spans="19:55" ht="15.75" customHeight="1">
      <c r="S1134" s="454"/>
      <c r="AN1134" s="458"/>
      <c r="BA1134" s="1266"/>
      <c r="BC1134" s="169"/>
    </row>
    <row r="1135" spans="19:55" ht="15.75" customHeight="1">
      <c r="S1135" s="454"/>
      <c r="AN1135" s="458"/>
      <c r="BA1135" s="1266"/>
      <c r="BC1135" s="169"/>
    </row>
    <row r="1136" spans="19:55" ht="15.75" customHeight="1">
      <c r="S1136" s="454"/>
      <c r="AN1136" s="458"/>
      <c r="BA1136" s="1266"/>
      <c r="BC1136" s="169"/>
    </row>
    <row r="1137" spans="19:55" ht="15.75" customHeight="1">
      <c r="S1137" s="454"/>
      <c r="AN1137" s="458"/>
      <c r="BA1137" s="1266"/>
      <c r="BC1137" s="169"/>
    </row>
    <row r="1138" spans="19:55" ht="15.75" customHeight="1">
      <c r="S1138" s="454"/>
      <c r="AN1138" s="458"/>
      <c r="BA1138" s="1266"/>
      <c r="BC1138" s="169"/>
    </row>
    <row r="1139" spans="19:55" ht="15.75" customHeight="1">
      <c r="S1139" s="454"/>
      <c r="AN1139" s="458"/>
      <c r="BA1139" s="1266"/>
      <c r="BC1139" s="169"/>
    </row>
    <row r="1140" spans="19:55" ht="15.75" customHeight="1">
      <c r="S1140" s="454"/>
      <c r="AN1140" s="458"/>
      <c r="BA1140" s="1266"/>
      <c r="BC1140" s="169"/>
    </row>
    <row r="1141" spans="19:55" ht="15.75" customHeight="1">
      <c r="S1141" s="454"/>
      <c r="AN1141" s="458"/>
      <c r="BA1141" s="1266"/>
      <c r="BC1141" s="169"/>
    </row>
    <row r="1142" spans="19:55" ht="15.75" customHeight="1">
      <c r="S1142" s="454"/>
      <c r="AN1142" s="458"/>
      <c r="BA1142" s="1266"/>
      <c r="BC1142" s="169"/>
    </row>
    <row r="1143" spans="19:55" ht="15.75" customHeight="1">
      <c r="S1143" s="454"/>
      <c r="AN1143" s="458"/>
      <c r="BA1143" s="1266"/>
      <c r="BC1143" s="169"/>
    </row>
    <row r="1144" spans="19:55" ht="15.75" customHeight="1">
      <c r="S1144" s="454"/>
      <c r="AN1144" s="458"/>
      <c r="BA1144" s="1266"/>
      <c r="BC1144" s="169"/>
    </row>
    <row r="1145" spans="19:55" ht="15.75" customHeight="1">
      <c r="S1145" s="454"/>
      <c r="AN1145" s="458"/>
      <c r="BA1145" s="1266"/>
      <c r="BC1145" s="169"/>
    </row>
    <row r="1146" spans="19:55" ht="15.75" customHeight="1">
      <c r="S1146" s="454"/>
      <c r="AN1146" s="458"/>
      <c r="BA1146" s="1266"/>
      <c r="BC1146" s="169"/>
    </row>
    <row r="1147" spans="19:55" ht="15.75" customHeight="1">
      <c r="S1147" s="454"/>
      <c r="AN1147" s="458"/>
      <c r="BA1147" s="1266"/>
      <c r="BC1147" s="169"/>
    </row>
    <row r="1148" spans="19:55" ht="15.75" customHeight="1">
      <c r="S1148" s="454"/>
      <c r="AN1148" s="458"/>
      <c r="BA1148" s="1266"/>
      <c r="BC1148" s="169"/>
    </row>
    <row r="1149" spans="19:55" ht="15.75" customHeight="1">
      <c r="S1149" s="454"/>
      <c r="AN1149" s="458"/>
      <c r="BA1149" s="1266"/>
      <c r="BC1149" s="169"/>
    </row>
    <row r="1150" spans="19:55" ht="15.75" customHeight="1">
      <c r="S1150" s="454"/>
      <c r="AN1150" s="458"/>
      <c r="BA1150" s="1266"/>
      <c r="BC1150" s="169"/>
    </row>
    <row r="1151" spans="19:55" ht="15.75" customHeight="1">
      <c r="S1151" s="454"/>
      <c r="AN1151" s="458"/>
      <c r="BA1151" s="1266"/>
      <c r="BC1151" s="169"/>
    </row>
    <row r="1152" spans="19:55" ht="15.75" customHeight="1">
      <c r="S1152" s="454"/>
      <c r="AN1152" s="458"/>
      <c r="BA1152" s="1266"/>
      <c r="BC1152" s="169"/>
    </row>
    <row r="1153" spans="19:55" ht="15.75" customHeight="1">
      <c r="S1153" s="454"/>
      <c r="AN1153" s="458"/>
      <c r="BA1153" s="1266"/>
      <c r="BC1153" s="169"/>
    </row>
    <row r="1154" spans="19:55" ht="15.75" customHeight="1">
      <c r="S1154" s="454"/>
      <c r="AN1154" s="458"/>
      <c r="BA1154" s="1266"/>
      <c r="BC1154" s="169"/>
    </row>
    <row r="1155" spans="19:55" ht="15.75" customHeight="1">
      <c r="S1155" s="454"/>
      <c r="AN1155" s="458"/>
      <c r="BA1155" s="1266"/>
      <c r="BC1155" s="169"/>
    </row>
    <row r="1156" spans="19:55" ht="15.75" customHeight="1">
      <c r="S1156" s="454"/>
      <c r="AN1156" s="458"/>
      <c r="BA1156" s="1266"/>
      <c r="BC1156" s="169"/>
    </row>
    <row r="1157" spans="19:55" ht="15.75" customHeight="1">
      <c r="S1157" s="454"/>
      <c r="AN1157" s="458"/>
      <c r="BA1157" s="1266"/>
      <c r="BC1157" s="169"/>
    </row>
    <row r="1158" spans="19:55" ht="15.75" customHeight="1">
      <c r="S1158" s="454"/>
      <c r="AN1158" s="458"/>
      <c r="BA1158" s="1266"/>
      <c r="BC1158" s="169"/>
    </row>
    <row r="1159" spans="19:55" ht="15.75" customHeight="1">
      <c r="S1159" s="454"/>
      <c r="AN1159" s="458"/>
      <c r="BA1159" s="1266"/>
      <c r="BC1159" s="169"/>
    </row>
    <row r="1160" spans="19:55" ht="15.75" customHeight="1">
      <c r="S1160" s="454"/>
      <c r="AN1160" s="458"/>
      <c r="BA1160" s="1266"/>
      <c r="BC1160" s="169"/>
    </row>
    <row r="1161" spans="19:55" ht="15.75" customHeight="1">
      <c r="S1161" s="454"/>
      <c r="AN1161" s="458"/>
      <c r="BA1161" s="1266"/>
      <c r="BC1161" s="169"/>
    </row>
    <row r="1162" spans="19:55" ht="15.75" customHeight="1">
      <c r="S1162" s="454"/>
      <c r="AN1162" s="458"/>
      <c r="BA1162" s="1266"/>
      <c r="BC1162" s="169"/>
    </row>
    <row r="1163" spans="19:55" ht="15.75" customHeight="1">
      <c r="S1163" s="454"/>
      <c r="AN1163" s="458"/>
      <c r="BA1163" s="1266"/>
      <c r="BC1163" s="169"/>
    </row>
    <row r="1164" spans="19:55" ht="15.75" customHeight="1">
      <c r="S1164" s="454"/>
      <c r="AN1164" s="458"/>
      <c r="BA1164" s="1266"/>
      <c r="BC1164" s="169"/>
    </row>
    <row r="1165" spans="19:55" ht="15.75" customHeight="1">
      <c r="S1165" s="454"/>
      <c r="AN1165" s="458"/>
      <c r="BA1165" s="1266"/>
      <c r="BC1165" s="169"/>
    </row>
    <row r="1166" spans="19:55" ht="15.75" customHeight="1">
      <c r="S1166" s="454"/>
      <c r="AN1166" s="458"/>
      <c r="BA1166" s="1266"/>
      <c r="BC1166" s="169"/>
    </row>
    <row r="1167" spans="19:55" ht="15.75" customHeight="1">
      <c r="S1167" s="454"/>
      <c r="AN1167" s="458"/>
      <c r="BA1167" s="1266"/>
      <c r="BC1167" s="169"/>
    </row>
    <row r="1168" spans="19:55" ht="15.75" customHeight="1">
      <c r="S1168" s="454"/>
      <c r="AN1168" s="458"/>
      <c r="BA1168" s="1266"/>
      <c r="BC1168" s="169"/>
    </row>
    <row r="1169" spans="19:55" ht="15.75" customHeight="1">
      <c r="S1169" s="454"/>
      <c r="AN1169" s="458"/>
      <c r="BA1169" s="1266"/>
      <c r="BC1169" s="169"/>
    </row>
    <row r="1170" spans="19:55" ht="15.75" customHeight="1">
      <c r="S1170" s="454"/>
      <c r="AN1170" s="458"/>
      <c r="BA1170" s="1266"/>
      <c r="BC1170" s="169"/>
    </row>
    <row r="1171" spans="19:55" ht="15.75" customHeight="1">
      <c r="S1171" s="454"/>
      <c r="AN1171" s="458"/>
      <c r="BA1171" s="1266"/>
      <c r="BC1171" s="169"/>
    </row>
    <row r="1172" spans="19:55" ht="15.75" customHeight="1">
      <c r="S1172" s="454"/>
      <c r="AN1172" s="458"/>
      <c r="BA1172" s="1266"/>
      <c r="BC1172" s="169"/>
    </row>
    <row r="1173" spans="19:55" ht="15.75" customHeight="1">
      <c r="S1173" s="454"/>
      <c r="AN1173" s="458"/>
      <c r="BA1173" s="1266"/>
      <c r="BC1173" s="169"/>
    </row>
    <row r="1174" spans="19:55" ht="15.75" customHeight="1">
      <c r="S1174" s="454"/>
      <c r="AN1174" s="458"/>
      <c r="BA1174" s="1266"/>
      <c r="BC1174" s="169"/>
    </row>
    <row r="1175" spans="19:55" ht="15.75" customHeight="1">
      <c r="S1175" s="454"/>
      <c r="AN1175" s="458"/>
      <c r="BA1175" s="1266"/>
      <c r="BC1175" s="169"/>
    </row>
    <row r="1176" spans="19:55" ht="15.75" customHeight="1">
      <c r="S1176" s="454"/>
      <c r="AN1176" s="458"/>
      <c r="BA1176" s="1266"/>
      <c r="BC1176" s="169"/>
    </row>
    <row r="1177" spans="19:55" ht="15.75" customHeight="1">
      <c r="S1177" s="454"/>
      <c r="AN1177" s="458"/>
      <c r="BA1177" s="1266"/>
      <c r="BC1177" s="169"/>
    </row>
    <row r="1178" spans="19:55" ht="15.75" customHeight="1">
      <c r="S1178" s="454"/>
      <c r="AN1178" s="458"/>
      <c r="BA1178" s="1266"/>
      <c r="BC1178" s="169"/>
    </row>
    <row r="1179" spans="19:55" ht="15.75" customHeight="1">
      <c r="S1179" s="454"/>
      <c r="AN1179" s="458"/>
      <c r="BA1179" s="1266"/>
      <c r="BC1179" s="169"/>
    </row>
    <row r="1180" spans="19:55" ht="15.75" customHeight="1">
      <c r="S1180" s="454"/>
      <c r="AN1180" s="458"/>
      <c r="BA1180" s="1266"/>
      <c r="BC1180" s="169"/>
    </row>
    <row r="1181" spans="19:55" ht="15.75" customHeight="1">
      <c r="S1181" s="454"/>
      <c r="AN1181" s="458"/>
      <c r="BA1181" s="1266"/>
      <c r="BC1181" s="169"/>
    </row>
    <row r="1182" spans="19:55" ht="15.75" customHeight="1">
      <c r="S1182" s="454"/>
      <c r="AN1182" s="458"/>
      <c r="BA1182" s="1266"/>
      <c r="BC1182" s="169"/>
    </row>
    <row r="1183" spans="19:55" ht="15.75" customHeight="1">
      <c r="S1183" s="454"/>
      <c r="AN1183" s="458"/>
      <c r="BA1183" s="1266"/>
      <c r="BC1183" s="169"/>
    </row>
    <row r="1184" spans="19:55" ht="15.75" customHeight="1">
      <c r="S1184" s="454"/>
      <c r="AN1184" s="458"/>
      <c r="BA1184" s="1266"/>
      <c r="BC1184" s="169"/>
    </row>
    <row r="1185" spans="19:55" ht="15.75" customHeight="1">
      <c r="S1185" s="454"/>
      <c r="AN1185" s="458"/>
      <c r="BA1185" s="1266"/>
      <c r="BC1185" s="169"/>
    </row>
    <row r="1186" spans="19:55" ht="15.75" customHeight="1">
      <c r="S1186" s="454"/>
      <c r="AN1186" s="458"/>
      <c r="BA1186" s="1266"/>
      <c r="BC1186" s="169"/>
    </row>
    <row r="1187" spans="19:55" ht="15.75" customHeight="1">
      <c r="S1187" s="454"/>
      <c r="AN1187" s="458"/>
      <c r="BA1187" s="1266"/>
      <c r="BC1187" s="169"/>
    </row>
    <row r="1188" spans="19:55" ht="15.75" customHeight="1">
      <c r="S1188" s="454"/>
      <c r="AN1188" s="458"/>
      <c r="BA1188" s="1266"/>
      <c r="BC1188" s="169"/>
    </row>
    <row r="1189" spans="19:55" ht="15.75" customHeight="1">
      <c r="S1189" s="454"/>
      <c r="AN1189" s="458"/>
      <c r="BA1189" s="1266"/>
      <c r="BC1189" s="169"/>
    </row>
    <row r="1190" spans="19:55" ht="15.75" customHeight="1">
      <c r="S1190" s="454"/>
      <c r="AN1190" s="458"/>
      <c r="BA1190" s="1266"/>
      <c r="BC1190" s="169"/>
    </row>
    <row r="1191" spans="19:55" ht="15.75" customHeight="1">
      <c r="S1191" s="454"/>
      <c r="AN1191" s="458"/>
      <c r="BA1191" s="1266"/>
      <c r="BC1191" s="169"/>
    </row>
    <row r="1192" spans="19:55" ht="15.75" customHeight="1">
      <c r="S1192" s="454"/>
      <c r="AN1192" s="458"/>
      <c r="BA1192" s="1266"/>
      <c r="BC1192" s="169"/>
    </row>
    <row r="1193" spans="19:55" ht="15.75" customHeight="1">
      <c r="S1193" s="454"/>
      <c r="AN1193" s="458"/>
      <c r="BA1193" s="1266"/>
      <c r="BC1193" s="169"/>
    </row>
    <row r="1194" spans="19:55" ht="15.75" customHeight="1">
      <c r="S1194" s="454"/>
      <c r="AN1194" s="458"/>
      <c r="BA1194" s="1266"/>
      <c r="BC1194" s="169"/>
    </row>
    <row r="1195" spans="19:55" ht="15.75" customHeight="1">
      <c r="S1195" s="454"/>
      <c r="AN1195" s="458"/>
      <c r="BA1195" s="1266"/>
      <c r="BC1195" s="169"/>
    </row>
    <row r="1196" spans="19:55" ht="15.75" customHeight="1">
      <c r="S1196" s="454"/>
      <c r="AN1196" s="458"/>
      <c r="BA1196" s="1266"/>
      <c r="BC1196" s="169"/>
    </row>
    <row r="1197" spans="19:55" ht="15.75" customHeight="1">
      <c r="S1197" s="454"/>
      <c r="AN1197" s="458"/>
      <c r="BA1197" s="1266"/>
      <c r="BC1197" s="169"/>
    </row>
    <row r="1198" spans="19:55" ht="15.75" customHeight="1">
      <c r="S1198" s="454"/>
      <c r="AN1198" s="458"/>
      <c r="BA1198" s="1266"/>
      <c r="BC1198" s="169"/>
    </row>
    <row r="1199" spans="19:55" ht="15.75" customHeight="1">
      <c r="S1199" s="454"/>
      <c r="AN1199" s="458"/>
      <c r="BA1199" s="1266"/>
      <c r="BC1199" s="169"/>
    </row>
    <row r="1200" spans="19:55" ht="15.75" customHeight="1">
      <c r="S1200" s="454"/>
      <c r="AN1200" s="458"/>
      <c r="BA1200" s="1266"/>
      <c r="BC1200" s="169"/>
    </row>
    <row r="1201" spans="19:55" ht="15.75" customHeight="1">
      <c r="S1201" s="454"/>
      <c r="AN1201" s="458"/>
      <c r="BA1201" s="1266"/>
      <c r="BC1201" s="169"/>
    </row>
    <row r="1202" spans="19:55" ht="15.75" customHeight="1">
      <c r="S1202" s="454"/>
      <c r="AN1202" s="458"/>
      <c r="BA1202" s="1266"/>
      <c r="BC1202" s="169"/>
    </row>
    <row r="1203" spans="19:55" ht="15.75" customHeight="1">
      <c r="S1203" s="454"/>
      <c r="AN1203" s="458"/>
      <c r="BA1203" s="1266"/>
      <c r="BC1203" s="169"/>
    </row>
    <row r="1204" spans="19:55" ht="15.75" customHeight="1">
      <c r="S1204" s="454"/>
      <c r="AN1204" s="458"/>
      <c r="BA1204" s="1266"/>
      <c r="BC1204" s="169"/>
    </row>
    <row r="1205" spans="19:55" ht="15.75" customHeight="1">
      <c r="S1205" s="454"/>
      <c r="AN1205" s="458"/>
      <c r="BA1205" s="1266"/>
      <c r="BC1205" s="169"/>
    </row>
    <row r="1206" spans="19:55" ht="15.75" customHeight="1">
      <c r="S1206" s="454"/>
      <c r="AN1206" s="458"/>
      <c r="BA1206" s="1266"/>
      <c r="BC1206" s="169"/>
    </row>
    <row r="1207" spans="19:55" ht="15.75" customHeight="1">
      <c r="S1207" s="454"/>
      <c r="AN1207" s="458"/>
      <c r="BA1207" s="1266"/>
      <c r="BC1207" s="169"/>
    </row>
    <row r="1208" spans="19:55" ht="15.75" customHeight="1">
      <c r="S1208" s="454"/>
      <c r="AN1208" s="458"/>
      <c r="BA1208" s="1266"/>
      <c r="BC1208" s="169"/>
    </row>
    <row r="1209" spans="19:55" ht="15.75" customHeight="1">
      <c r="S1209" s="454"/>
      <c r="AN1209" s="458"/>
      <c r="BA1209" s="1266"/>
      <c r="BC1209" s="169"/>
    </row>
    <row r="1210" spans="19:55" ht="15.75" customHeight="1">
      <c r="S1210" s="454"/>
      <c r="AN1210" s="458"/>
      <c r="BA1210" s="1266"/>
      <c r="BC1210" s="169"/>
    </row>
    <row r="1211" spans="19:55" ht="15.75" customHeight="1">
      <c r="S1211" s="454"/>
      <c r="AN1211" s="458"/>
      <c r="BA1211" s="1266"/>
      <c r="BC1211" s="169"/>
    </row>
    <row r="1212" spans="19:55" ht="15.75" customHeight="1">
      <c r="S1212" s="454"/>
      <c r="AN1212" s="458"/>
      <c r="BA1212" s="1266"/>
      <c r="BC1212" s="169"/>
    </row>
    <row r="1213" spans="19:55" ht="15.75" customHeight="1">
      <c r="S1213" s="454"/>
      <c r="AN1213" s="458"/>
      <c r="BA1213" s="1266"/>
      <c r="BC1213" s="169"/>
    </row>
    <row r="1214" spans="19:55" ht="15.75" customHeight="1">
      <c r="S1214" s="454"/>
      <c r="AN1214" s="458"/>
      <c r="BA1214" s="1266"/>
      <c r="BC1214" s="169"/>
    </row>
    <row r="1215" spans="19:55" ht="15.75" customHeight="1">
      <c r="S1215" s="454"/>
      <c r="AN1215" s="458"/>
      <c r="BA1215" s="1266"/>
      <c r="BC1215" s="169"/>
    </row>
    <row r="1216" spans="19:55" ht="15.75" customHeight="1">
      <c r="S1216" s="454"/>
      <c r="AN1216" s="458"/>
      <c r="BA1216" s="1266"/>
      <c r="BC1216" s="169"/>
    </row>
    <row r="1217" spans="19:55" ht="15.75" customHeight="1">
      <c r="S1217" s="454"/>
      <c r="AN1217" s="458"/>
      <c r="BA1217" s="1266"/>
      <c r="BC1217" s="169"/>
    </row>
    <row r="1218" spans="19:55" ht="15.75" customHeight="1">
      <c r="S1218" s="454"/>
      <c r="AN1218" s="458"/>
      <c r="BA1218" s="1266"/>
      <c r="BC1218" s="169"/>
    </row>
    <row r="1219" spans="19:55" ht="15.75" customHeight="1">
      <c r="S1219" s="454"/>
      <c r="AN1219" s="458"/>
      <c r="BA1219" s="1266"/>
      <c r="BC1219" s="169"/>
    </row>
    <row r="1220" spans="19:55" ht="15.75" customHeight="1">
      <c r="S1220" s="454"/>
      <c r="AN1220" s="458"/>
      <c r="BA1220" s="1266"/>
      <c r="BC1220" s="169"/>
    </row>
    <row r="1221" spans="19:55" ht="15.75" customHeight="1">
      <c r="S1221" s="454"/>
      <c r="AN1221" s="458"/>
      <c r="BA1221" s="1266"/>
      <c r="BC1221" s="169"/>
    </row>
    <row r="1222" spans="19:55" ht="15.75" customHeight="1">
      <c r="S1222" s="454"/>
      <c r="AN1222" s="458"/>
      <c r="BA1222" s="1266"/>
      <c r="BC1222" s="169"/>
    </row>
    <row r="1223" spans="19:55" ht="15.75" customHeight="1">
      <c r="S1223" s="454"/>
      <c r="AN1223" s="458"/>
      <c r="BA1223" s="1266"/>
      <c r="BC1223" s="169"/>
    </row>
    <row r="1224" spans="19:55" ht="15.75" customHeight="1">
      <c r="S1224" s="454"/>
      <c r="AN1224" s="458"/>
      <c r="BA1224" s="1266"/>
      <c r="BC1224" s="169"/>
    </row>
    <row r="1225" spans="19:55" ht="15.75" customHeight="1">
      <c r="S1225" s="454"/>
      <c r="AN1225" s="458"/>
      <c r="BA1225" s="1266"/>
      <c r="BC1225" s="169"/>
    </row>
    <row r="1226" spans="19:55" ht="15.75" customHeight="1">
      <c r="S1226" s="454"/>
      <c r="AN1226" s="458"/>
      <c r="BA1226" s="1266"/>
      <c r="BC1226" s="169"/>
    </row>
    <row r="1227" spans="19:55" ht="15.75" customHeight="1">
      <c r="S1227" s="454"/>
      <c r="AN1227" s="458"/>
      <c r="BA1227" s="1266"/>
      <c r="BC1227" s="169"/>
    </row>
    <row r="1228" spans="19:55" ht="15.75" customHeight="1">
      <c r="S1228" s="454"/>
      <c r="AN1228" s="458"/>
      <c r="BA1228" s="1266"/>
      <c r="BC1228" s="169"/>
    </row>
    <row r="1229" spans="19:55" ht="15.75" customHeight="1">
      <c r="S1229" s="454"/>
      <c r="AN1229" s="458"/>
      <c r="BA1229" s="1266"/>
      <c r="BC1229" s="169"/>
    </row>
    <row r="1230" spans="19:55" ht="15.75" customHeight="1">
      <c r="S1230" s="454"/>
      <c r="AN1230" s="458"/>
      <c r="BA1230" s="1266"/>
      <c r="BC1230" s="169"/>
    </row>
    <row r="1231" spans="19:55" ht="15.75" customHeight="1">
      <c r="S1231" s="454"/>
      <c r="AN1231" s="458"/>
      <c r="BA1231" s="1266"/>
      <c r="BC1231" s="169"/>
    </row>
    <row r="1232" spans="19:55" ht="15.75" customHeight="1">
      <c r="S1232" s="454"/>
      <c r="AN1232" s="458"/>
      <c r="BA1232" s="1266"/>
      <c r="BC1232" s="169"/>
    </row>
    <row r="1233" spans="19:55" ht="15.75" customHeight="1">
      <c r="S1233" s="454"/>
      <c r="AN1233" s="458"/>
      <c r="BA1233" s="1266"/>
      <c r="BC1233" s="169"/>
    </row>
    <row r="1234" spans="19:55" ht="15.75" customHeight="1">
      <c r="S1234" s="454"/>
      <c r="AN1234" s="458"/>
      <c r="BA1234" s="1266"/>
      <c r="BC1234" s="169"/>
    </row>
    <row r="1235" spans="19:55" ht="15.75" customHeight="1">
      <c r="S1235" s="454"/>
      <c r="AN1235" s="458"/>
      <c r="BA1235" s="1266"/>
      <c r="BC1235" s="169"/>
    </row>
    <row r="1236" spans="19:55" ht="15.75" customHeight="1">
      <c r="S1236" s="454"/>
      <c r="AN1236" s="458"/>
      <c r="BA1236" s="1266"/>
      <c r="BC1236" s="169"/>
    </row>
    <row r="1237" spans="19:55" ht="15.75" customHeight="1">
      <c r="S1237" s="454"/>
      <c r="AN1237" s="458"/>
      <c r="BA1237" s="1266"/>
      <c r="BC1237" s="169"/>
    </row>
    <row r="1238" spans="19:55" ht="15.75" customHeight="1">
      <c r="S1238" s="454"/>
      <c r="AN1238" s="458"/>
      <c r="BA1238" s="1266"/>
      <c r="BC1238" s="169"/>
    </row>
    <row r="1239" spans="19:55" ht="15.75" customHeight="1">
      <c r="S1239" s="454"/>
      <c r="AN1239" s="458"/>
      <c r="BA1239" s="1266"/>
      <c r="BC1239" s="169"/>
    </row>
    <row r="1240" spans="19:55" ht="15.75" customHeight="1">
      <c r="S1240" s="454"/>
      <c r="AN1240" s="458"/>
      <c r="BA1240" s="1266"/>
      <c r="BC1240" s="169"/>
    </row>
    <row r="1241" spans="19:55" ht="15.75" customHeight="1">
      <c r="S1241" s="454"/>
      <c r="AN1241" s="458"/>
      <c r="BA1241" s="1266"/>
      <c r="BC1241" s="169"/>
    </row>
    <row r="1242" spans="19:55" ht="15.75" customHeight="1">
      <c r="S1242" s="454"/>
      <c r="AN1242" s="458"/>
      <c r="BA1242" s="1266"/>
      <c r="BC1242" s="169"/>
    </row>
    <row r="1243" spans="19:55" ht="15.75" customHeight="1">
      <c r="S1243" s="454"/>
      <c r="AN1243" s="458"/>
      <c r="BA1243" s="1266"/>
      <c r="BC1243" s="169"/>
    </row>
    <row r="1244" spans="19:55" ht="15.75" customHeight="1">
      <c r="S1244" s="454"/>
      <c r="AN1244" s="458"/>
      <c r="BA1244" s="1266"/>
      <c r="BC1244" s="169"/>
    </row>
    <row r="1245" spans="19:55" ht="15.75" customHeight="1">
      <c r="S1245" s="454"/>
      <c r="AN1245" s="458"/>
      <c r="BA1245" s="1266"/>
      <c r="BC1245" s="169"/>
    </row>
    <row r="1246" spans="19:55" ht="15.75" customHeight="1">
      <c r="S1246" s="454"/>
      <c r="AN1246" s="458"/>
      <c r="BA1246" s="1266"/>
      <c r="BC1246" s="169"/>
    </row>
    <row r="1247" spans="19:55" ht="15.75" customHeight="1">
      <c r="S1247" s="454"/>
      <c r="AN1247" s="458"/>
      <c r="BA1247" s="1266"/>
      <c r="BC1247" s="169"/>
    </row>
    <row r="1248" spans="19:55" ht="15.75" customHeight="1">
      <c r="S1248" s="454"/>
      <c r="AN1248" s="458"/>
      <c r="BA1248" s="1266"/>
      <c r="BC1248" s="169"/>
    </row>
    <row r="1249" spans="19:55" ht="15.75" customHeight="1">
      <c r="S1249" s="454"/>
      <c r="AN1249" s="458"/>
      <c r="BA1249" s="1266"/>
      <c r="BC1249" s="169"/>
    </row>
    <row r="1250" spans="19:55" ht="15.75" customHeight="1">
      <c r="S1250" s="454"/>
      <c r="AN1250" s="458"/>
      <c r="BA1250" s="1266"/>
      <c r="BC1250" s="169"/>
    </row>
    <row r="1251" spans="19:55" ht="15.75" customHeight="1">
      <c r="S1251" s="454"/>
      <c r="AN1251" s="458"/>
      <c r="BA1251" s="1266"/>
      <c r="BC1251" s="169"/>
    </row>
    <row r="1252" spans="19:55" ht="15.75" customHeight="1">
      <c r="S1252" s="454"/>
      <c r="AN1252" s="458"/>
      <c r="BA1252" s="1266"/>
      <c r="BC1252" s="169"/>
    </row>
    <row r="1253" spans="19:55" ht="15.75" customHeight="1">
      <c r="S1253" s="454"/>
      <c r="AN1253" s="458"/>
      <c r="BA1253" s="1266"/>
      <c r="BC1253" s="169"/>
    </row>
    <row r="1254" spans="19:55" ht="15.75" customHeight="1">
      <c r="S1254" s="454"/>
      <c r="AN1254" s="458"/>
      <c r="BA1254" s="1266"/>
      <c r="BC1254" s="169"/>
    </row>
    <row r="1255" spans="19:55" ht="15.75" customHeight="1">
      <c r="S1255" s="454"/>
      <c r="AN1255" s="458"/>
      <c r="BA1255" s="1266"/>
      <c r="BC1255" s="169"/>
    </row>
    <row r="1256" spans="19:55" ht="15.75" customHeight="1">
      <c r="S1256" s="454"/>
      <c r="AN1256" s="458"/>
      <c r="BA1256" s="1266"/>
      <c r="BC1256" s="169"/>
    </row>
    <row r="1257" spans="19:55" ht="15.75" customHeight="1">
      <c r="S1257" s="454"/>
      <c r="AN1257" s="458"/>
      <c r="BA1257" s="1266"/>
      <c r="BC1257" s="169"/>
    </row>
    <row r="1258" spans="19:55" ht="15.75" customHeight="1">
      <c r="S1258" s="454"/>
      <c r="AN1258" s="458"/>
      <c r="BA1258" s="1266"/>
      <c r="BC1258" s="169"/>
    </row>
    <row r="1259" spans="19:55" ht="15.75" customHeight="1">
      <c r="S1259" s="454"/>
      <c r="AN1259" s="458"/>
      <c r="BA1259" s="1266"/>
      <c r="BC1259" s="169"/>
    </row>
    <row r="1260" spans="19:55" ht="15.75" customHeight="1">
      <c r="S1260" s="454"/>
      <c r="AN1260" s="458"/>
      <c r="BA1260" s="1266"/>
      <c r="BC1260" s="169"/>
    </row>
    <row r="1261" spans="19:55" ht="15.75" customHeight="1">
      <c r="S1261" s="454"/>
      <c r="AN1261" s="458"/>
      <c r="BA1261" s="1266"/>
      <c r="BC1261" s="169"/>
    </row>
    <row r="1262" spans="19:55" ht="15.75" customHeight="1">
      <c r="S1262" s="454"/>
      <c r="AN1262" s="458"/>
      <c r="BA1262" s="1266"/>
      <c r="BC1262" s="169"/>
    </row>
    <row r="1263" spans="19:55" ht="15.75" customHeight="1">
      <c r="S1263" s="454"/>
      <c r="AN1263" s="458"/>
      <c r="BA1263" s="1266"/>
      <c r="BC1263" s="169"/>
    </row>
    <row r="1264" spans="19:55" ht="15.75" customHeight="1">
      <c r="S1264" s="454"/>
      <c r="AN1264" s="458"/>
      <c r="BA1264" s="1266"/>
      <c r="BC1264" s="169"/>
    </row>
    <row r="1265" spans="19:55" ht="15.75" customHeight="1">
      <c r="S1265" s="454"/>
      <c r="AN1265" s="458"/>
      <c r="BA1265" s="1266"/>
      <c r="BC1265" s="169"/>
    </row>
    <row r="1266" spans="19:55" ht="15.75" customHeight="1">
      <c r="S1266" s="454"/>
      <c r="AN1266" s="458"/>
      <c r="BA1266" s="1266"/>
      <c r="BC1266" s="169"/>
    </row>
    <row r="1267" spans="19:55" ht="15.75" customHeight="1">
      <c r="S1267" s="454"/>
      <c r="AN1267" s="458"/>
      <c r="BA1267" s="1266"/>
      <c r="BC1267" s="169"/>
    </row>
    <row r="1268" spans="19:55" ht="15.75" customHeight="1">
      <c r="S1268" s="454"/>
      <c r="AN1268" s="458"/>
      <c r="BA1268" s="1266"/>
      <c r="BC1268" s="169"/>
    </row>
    <row r="1269" spans="19:55" ht="15.75" customHeight="1">
      <c r="S1269" s="454"/>
      <c r="AN1269" s="458"/>
      <c r="BA1269" s="1266"/>
      <c r="BC1269" s="169"/>
    </row>
    <row r="1270" spans="19:55" ht="15.75" customHeight="1">
      <c r="S1270" s="454"/>
      <c r="AN1270" s="458"/>
      <c r="BA1270" s="1266"/>
      <c r="BC1270" s="169"/>
    </row>
    <row r="1271" spans="19:55" ht="15.75" customHeight="1">
      <c r="S1271" s="454"/>
      <c r="AN1271" s="458"/>
      <c r="BA1271" s="1266"/>
      <c r="BC1271" s="169"/>
    </row>
    <row r="1272" spans="19:55" ht="15.75" customHeight="1">
      <c r="S1272" s="454"/>
      <c r="AN1272" s="458"/>
      <c r="BA1272" s="1266"/>
      <c r="BC1272" s="169"/>
    </row>
    <row r="1273" spans="19:55" ht="15.75" customHeight="1">
      <c r="S1273" s="454"/>
      <c r="AN1273" s="458"/>
      <c r="BA1273" s="1266"/>
      <c r="BC1273" s="169"/>
    </row>
    <row r="1274" spans="19:55" ht="15.75" customHeight="1">
      <c r="S1274" s="454"/>
      <c r="AN1274" s="458"/>
      <c r="BA1274" s="1266"/>
      <c r="BC1274" s="169"/>
    </row>
    <row r="1275" spans="19:55" ht="15.75" customHeight="1">
      <c r="S1275" s="454"/>
      <c r="AN1275" s="458"/>
      <c r="BA1275" s="1266"/>
      <c r="BC1275" s="169"/>
    </row>
    <row r="1276" spans="19:55" ht="15.75" customHeight="1">
      <c r="S1276" s="454"/>
      <c r="AN1276" s="458"/>
      <c r="BA1276" s="1266"/>
      <c r="BC1276" s="169"/>
    </row>
    <row r="1277" spans="19:55" ht="15.75" customHeight="1">
      <c r="S1277" s="454"/>
      <c r="AN1277" s="458"/>
      <c r="BA1277" s="1266"/>
      <c r="BC1277" s="169"/>
    </row>
    <row r="1278" spans="19:55" ht="15.75" customHeight="1">
      <c r="S1278" s="454"/>
      <c r="AN1278" s="458"/>
      <c r="BA1278" s="1266"/>
      <c r="BC1278" s="169"/>
    </row>
    <row r="1279" spans="19:55" ht="15.75" customHeight="1">
      <c r="S1279" s="454"/>
      <c r="AN1279" s="458"/>
      <c r="BA1279" s="1266"/>
      <c r="BC1279" s="169"/>
    </row>
    <row r="1280" spans="19:55" ht="15.75" customHeight="1">
      <c r="S1280" s="454"/>
      <c r="AN1280" s="458"/>
      <c r="BA1280" s="1266"/>
      <c r="BC1280" s="169"/>
    </row>
    <row r="1281" spans="19:55" ht="15.75" customHeight="1">
      <c r="S1281" s="454"/>
      <c r="AN1281" s="458"/>
      <c r="BA1281" s="1266"/>
      <c r="BC1281" s="169"/>
    </row>
    <row r="1282" spans="19:55" ht="15.75" customHeight="1">
      <c r="S1282" s="454"/>
      <c r="AN1282" s="458"/>
      <c r="BA1282" s="1266"/>
      <c r="BC1282" s="169"/>
    </row>
    <row r="1283" spans="19:55" ht="15.75" customHeight="1">
      <c r="S1283" s="454"/>
      <c r="AN1283" s="458"/>
      <c r="BA1283" s="1266"/>
      <c r="BC1283" s="169"/>
    </row>
    <row r="1284" spans="19:55" ht="15.75" customHeight="1">
      <c r="S1284" s="454"/>
      <c r="AN1284" s="458"/>
      <c r="BA1284" s="1266"/>
      <c r="BC1284" s="169"/>
    </row>
    <row r="1285" spans="19:55" ht="15.75" customHeight="1">
      <c r="S1285" s="454"/>
      <c r="AN1285" s="458"/>
      <c r="BA1285" s="1266"/>
      <c r="BC1285" s="169"/>
    </row>
    <row r="1286" spans="19:55" ht="15.75" customHeight="1">
      <c r="S1286" s="454"/>
      <c r="AN1286" s="458"/>
      <c r="BA1286" s="1266"/>
      <c r="BC1286" s="169"/>
    </row>
    <row r="1287" spans="19:55" ht="15.75" customHeight="1">
      <c r="S1287" s="454"/>
      <c r="AN1287" s="458"/>
      <c r="BA1287" s="1266"/>
      <c r="BC1287" s="169"/>
    </row>
    <row r="1288" spans="19:55" ht="15.75" customHeight="1">
      <c r="S1288" s="454"/>
      <c r="AN1288" s="458"/>
      <c r="BA1288" s="1266"/>
      <c r="BC1288" s="169"/>
    </row>
    <row r="1289" spans="19:55" ht="15.75" customHeight="1">
      <c r="S1289" s="454"/>
      <c r="AN1289" s="458"/>
      <c r="BA1289" s="1266"/>
      <c r="BC1289" s="169"/>
    </row>
    <row r="1290" spans="19:55" ht="15.75" customHeight="1">
      <c r="S1290" s="454"/>
      <c r="AN1290" s="458"/>
      <c r="BA1290" s="1266"/>
      <c r="BC1290" s="169"/>
    </row>
    <row r="1291" spans="19:55" ht="15.75" customHeight="1">
      <c r="S1291" s="454"/>
      <c r="AN1291" s="458"/>
      <c r="BA1291" s="1266"/>
      <c r="BC1291" s="169"/>
    </row>
    <row r="1292" spans="19:55" ht="15.75" customHeight="1">
      <c r="S1292" s="454"/>
      <c r="AN1292" s="458"/>
      <c r="BA1292" s="1266"/>
      <c r="BC1292" s="169"/>
    </row>
    <row r="1293" spans="19:55" ht="15.75" customHeight="1">
      <c r="S1293" s="454"/>
      <c r="AN1293" s="458"/>
      <c r="BA1293" s="1266"/>
      <c r="BC1293" s="169"/>
    </row>
    <row r="1294" spans="19:55" ht="15.75" customHeight="1">
      <c r="S1294" s="454"/>
      <c r="AN1294" s="458"/>
      <c r="BA1294" s="1266"/>
      <c r="BC1294" s="169"/>
    </row>
    <row r="1295" spans="19:55" ht="15.75" customHeight="1">
      <c r="S1295" s="454"/>
      <c r="AN1295" s="458"/>
      <c r="BC1295" s="169"/>
    </row>
    <row r="1296" spans="19:55" ht="15.75" customHeight="1">
      <c r="S1296" s="454"/>
      <c r="AN1296" s="458"/>
      <c r="BC1296" s="169"/>
    </row>
    <row r="1297" spans="19:55" ht="15.75" customHeight="1">
      <c r="S1297" s="454"/>
      <c r="AN1297" s="458"/>
      <c r="BC1297" s="169"/>
    </row>
    <row r="1298" spans="19:55" ht="15.75" customHeight="1">
      <c r="S1298" s="454"/>
      <c r="AN1298" s="458"/>
      <c r="BC1298" s="169"/>
    </row>
    <row r="1299" spans="19:55" ht="15.75" customHeight="1">
      <c r="S1299" s="454"/>
      <c r="AN1299" s="458"/>
      <c r="BC1299" s="169"/>
    </row>
    <row r="1300" spans="19:55" ht="15.75" customHeight="1">
      <c r="S1300" s="454"/>
      <c r="AN1300" s="458"/>
      <c r="BC1300" s="169"/>
    </row>
    <row r="1301" spans="19:55" ht="15.75" customHeight="1">
      <c r="S1301" s="454"/>
      <c r="AN1301" s="458"/>
      <c r="BC1301" s="169"/>
    </row>
    <row r="1302" spans="19:55" ht="15.75" customHeight="1">
      <c r="S1302" s="454"/>
      <c r="AN1302" s="458"/>
      <c r="BC1302" s="169"/>
    </row>
    <row r="1303" spans="19:55" ht="15.75" customHeight="1">
      <c r="S1303" s="454"/>
      <c r="AN1303" s="458"/>
      <c r="BC1303" s="169"/>
    </row>
    <row r="1304" spans="19:55" ht="15.75" customHeight="1">
      <c r="S1304" s="454"/>
      <c r="AN1304" s="458"/>
      <c r="BC1304" s="169"/>
    </row>
    <row r="1305" spans="19:55" ht="15.75" customHeight="1">
      <c r="S1305" s="454"/>
      <c r="AN1305" s="458"/>
      <c r="BC1305" s="169"/>
    </row>
    <row r="1306" spans="19:55" ht="15.75" customHeight="1">
      <c r="S1306" s="454"/>
      <c r="AN1306" s="458"/>
      <c r="BC1306" s="169"/>
    </row>
    <row r="1307" spans="19:55" ht="15.75" customHeight="1">
      <c r="S1307" s="454"/>
      <c r="AN1307" s="458"/>
      <c r="BC1307" s="169"/>
    </row>
    <row r="1308" spans="19:55" ht="15.75" customHeight="1">
      <c r="S1308" s="454"/>
      <c r="AN1308" s="458"/>
      <c r="BC1308" s="169"/>
    </row>
    <row r="1309" spans="19:55" ht="15.75" customHeight="1">
      <c r="S1309" s="454"/>
      <c r="AN1309" s="458"/>
      <c r="BC1309" s="169"/>
    </row>
    <row r="1310" spans="19:55" ht="15.75" customHeight="1">
      <c r="S1310" s="454"/>
      <c r="AN1310" s="458"/>
      <c r="BC1310" s="169"/>
    </row>
    <row r="1311" spans="19:55" ht="15.75" customHeight="1">
      <c r="S1311" s="454"/>
      <c r="AN1311" s="458"/>
      <c r="BC1311" s="169"/>
    </row>
    <row r="1312" spans="19:55" ht="15.75" customHeight="1">
      <c r="S1312" s="454"/>
      <c r="AN1312" s="458"/>
      <c r="BC1312" s="169"/>
    </row>
    <row r="1313" spans="19:55" ht="15.75" customHeight="1">
      <c r="S1313" s="454"/>
      <c r="AN1313" s="458"/>
      <c r="BC1313" s="169"/>
    </row>
    <row r="1314" spans="19:55" ht="15.75" customHeight="1">
      <c r="S1314" s="454"/>
      <c r="AN1314" s="458"/>
      <c r="BC1314" s="169"/>
    </row>
    <row r="1315" spans="19:55" ht="15.75" customHeight="1">
      <c r="S1315" s="454"/>
      <c r="AN1315" s="458"/>
      <c r="BC1315" s="169"/>
    </row>
    <row r="1316" spans="19:55" ht="15.75" customHeight="1">
      <c r="S1316" s="454"/>
      <c r="AN1316" s="458"/>
      <c r="BC1316" s="169"/>
    </row>
    <row r="1317" spans="19:55" ht="15.75" customHeight="1">
      <c r="S1317" s="454"/>
      <c r="AN1317" s="458"/>
      <c r="BC1317" s="169"/>
    </row>
    <row r="1318" spans="19:55" ht="15.75" customHeight="1">
      <c r="S1318" s="454"/>
      <c r="AN1318" s="458"/>
      <c r="BC1318" s="169"/>
    </row>
    <row r="1319" spans="19:55" ht="15.75" customHeight="1">
      <c r="S1319" s="454"/>
      <c r="AN1319" s="458"/>
      <c r="BC1319" s="169"/>
    </row>
    <row r="1320" spans="19:55" ht="15.75" customHeight="1">
      <c r="S1320" s="454"/>
      <c r="AN1320" s="458"/>
      <c r="BC1320" s="169"/>
    </row>
    <row r="1321" spans="19:55" ht="15.75" customHeight="1">
      <c r="S1321" s="454"/>
      <c r="AN1321" s="458"/>
      <c r="BC1321" s="169"/>
    </row>
    <row r="1322" spans="19:55" ht="15.75" customHeight="1">
      <c r="S1322" s="454"/>
      <c r="AN1322" s="458"/>
      <c r="BC1322" s="169"/>
    </row>
    <row r="1323" spans="19:55" ht="15.75" customHeight="1">
      <c r="S1323" s="454"/>
      <c r="AN1323" s="458"/>
      <c r="BC1323" s="169"/>
    </row>
    <row r="1324" spans="19:55" ht="15.75" customHeight="1">
      <c r="S1324" s="454"/>
      <c r="AN1324" s="458"/>
      <c r="BC1324" s="169"/>
    </row>
    <row r="1325" spans="19:55" ht="15.75" customHeight="1">
      <c r="S1325" s="454"/>
      <c r="AN1325" s="458"/>
      <c r="BC1325" s="169"/>
    </row>
    <row r="1326" spans="19:55" ht="15.75" customHeight="1">
      <c r="S1326" s="454"/>
      <c r="AN1326" s="458"/>
      <c r="BC1326" s="169"/>
    </row>
    <row r="1327" spans="19:55" ht="15.75" customHeight="1">
      <c r="S1327" s="454"/>
      <c r="AN1327" s="458"/>
      <c r="BC1327" s="169"/>
    </row>
    <row r="1328" spans="19:55" ht="15.75" customHeight="1">
      <c r="S1328" s="454"/>
      <c r="AN1328" s="458"/>
      <c r="BC1328" s="169"/>
    </row>
    <row r="1329" spans="19:55" ht="15.75" customHeight="1">
      <c r="S1329" s="454"/>
      <c r="AN1329" s="458"/>
      <c r="BC1329" s="169"/>
    </row>
    <row r="1330" spans="19:55" ht="15.75" customHeight="1">
      <c r="S1330" s="454"/>
      <c r="AN1330" s="458"/>
      <c r="BC1330" s="169"/>
    </row>
    <row r="1331" spans="19:55" ht="15.75" customHeight="1">
      <c r="S1331" s="454"/>
      <c r="AN1331" s="458"/>
      <c r="BC1331" s="169"/>
    </row>
    <row r="1332" spans="19:55" ht="15.75" customHeight="1">
      <c r="S1332" s="454"/>
      <c r="AN1332" s="458"/>
      <c r="BC1332" s="169"/>
    </row>
    <row r="1333" spans="19:55" ht="15.75" customHeight="1">
      <c r="S1333" s="454"/>
      <c r="AN1333" s="458"/>
      <c r="BC1333" s="169"/>
    </row>
    <row r="1334" spans="19:55" ht="15.75" customHeight="1">
      <c r="S1334" s="454"/>
      <c r="AN1334" s="458"/>
      <c r="BC1334" s="169"/>
    </row>
    <row r="1335" spans="19:55" ht="15.75" customHeight="1">
      <c r="S1335" s="454"/>
      <c r="AN1335" s="458"/>
      <c r="BC1335" s="169"/>
    </row>
    <row r="1336" spans="19:55" ht="15.75" customHeight="1">
      <c r="S1336" s="454"/>
      <c r="AN1336" s="458"/>
      <c r="BC1336" s="169"/>
    </row>
    <row r="1337" spans="19:55" ht="15.75" customHeight="1">
      <c r="S1337" s="454"/>
      <c r="AN1337" s="458"/>
      <c r="BC1337" s="169"/>
    </row>
    <row r="1338" spans="19:55" ht="15.75" customHeight="1">
      <c r="S1338" s="454"/>
      <c r="AN1338" s="458"/>
      <c r="BC1338" s="169"/>
    </row>
    <row r="1339" spans="19:55" ht="15.75" customHeight="1">
      <c r="S1339" s="454"/>
      <c r="AN1339" s="458"/>
      <c r="BC1339" s="169"/>
    </row>
    <row r="1340" spans="19:55" ht="15.75" customHeight="1">
      <c r="S1340" s="454"/>
      <c r="AN1340" s="458"/>
      <c r="BC1340" s="169"/>
    </row>
    <row r="1341" spans="19:55" ht="15.75" customHeight="1">
      <c r="S1341" s="454"/>
      <c r="AN1341" s="458"/>
      <c r="BC1341" s="169"/>
    </row>
    <row r="1342" spans="19:55" ht="15.75" customHeight="1">
      <c r="S1342" s="454"/>
      <c r="AN1342" s="458"/>
      <c r="BC1342" s="169"/>
    </row>
    <row r="1343" spans="19:55" ht="15.75" customHeight="1">
      <c r="S1343" s="454"/>
      <c r="AN1343" s="458"/>
      <c r="BC1343" s="169"/>
    </row>
    <row r="1344" spans="19:55" ht="15.75" customHeight="1">
      <c r="S1344" s="454"/>
      <c r="AN1344" s="458"/>
      <c r="BC1344" s="169"/>
    </row>
    <row r="1345" spans="19:55" ht="15.75" customHeight="1">
      <c r="S1345" s="454"/>
      <c r="AN1345" s="458"/>
      <c r="BC1345" s="169"/>
    </row>
    <row r="1346" spans="19:55" ht="15.75" customHeight="1">
      <c r="S1346" s="454"/>
      <c r="AN1346" s="458"/>
      <c r="BC1346" s="169"/>
    </row>
    <row r="1347" spans="19:55" ht="15.75" customHeight="1">
      <c r="S1347" s="454"/>
      <c r="AN1347" s="458"/>
      <c r="BC1347" s="169"/>
    </row>
    <row r="1348" spans="19:55" ht="15.75" customHeight="1">
      <c r="S1348" s="454"/>
      <c r="AN1348" s="458"/>
      <c r="BC1348" s="169"/>
    </row>
    <row r="1349" spans="19:55" ht="15.75" customHeight="1">
      <c r="S1349" s="454"/>
      <c r="AN1349" s="458"/>
      <c r="BC1349" s="169"/>
    </row>
    <row r="1350" spans="19:55" ht="15.75" customHeight="1">
      <c r="S1350" s="454"/>
      <c r="AN1350" s="458"/>
      <c r="BC1350" s="169"/>
    </row>
    <row r="1351" spans="19:55" ht="15.75" customHeight="1">
      <c r="S1351" s="454"/>
      <c r="AN1351" s="458"/>
      <c r="BC1351" s="169"/>
    </row>
    <row r="1352" spans="19:55" ht="15.75" customHeight="1">
      <c r="S1352" s="454"/>
      <c r="AN1352" s="458"/>
      <c r="BC1352" s="169"/>
    </row>
    <row r="1353" spans="19:55" ht="15.75" customHeight="1">
      <c r="S1353" s="454"/>
      <c r="AN1353" s="458"/>
      <c r="BC1353" s="169"/>
    </row>
    <row r="1354" spans="19:55" ht="15.75" customHeight="1">
      <c r="S1354" s="454"/>
      <c r="AN1354" s="458"/>
      <c r="BC1354" s="169"/>
    </row>
    <row r="1355" spans="19:55" ht="15.75" customHeight="1">
      <c r="S1355" s="454"/>
      <c r="AN1355" s="458"/>
      <c r="BC1355" s="169"/>
    </row>
    <row r="1356" spans="19:55" ht="15.75" customHeight="1">
      <c r="S1356" s="454"/>
      <c r="AN1356" s="458"/>
      <c r="BC1356" s="169"/>
    </row>
    <row r="1357" spans="19:55" ht="15.75" customHeight="1">
      <c r="S1357" s="454"/>
      <c r="AN1357" s="458"/>
      <c r="BC1357" s="169"/>
    </row>
    <row r="1358" spans="19:55" ht="15.75" customHeight="1">
      <c r="S1358" s="454"/>
      <c r="AN1358" s="458"/>
      <c r="BC1358" s="169"/>
    </row>
    <row r="1359" spans="19:55" ht="15.75" customHeight="1">
      <c r="S1359" s="454"/>
      <c r="AN1359" s="458"/>
      <c r="BC1359" s="169"/>
    </row>
    <row r="1360" spans="19:55" ht="15.75" customHeight="1">
      <c r="S1360" s="454"/>
      <c r="AN1360" s="458"/>
      <c r="BC1360" s="169"/>
    </row>
    <row r="1361" spans="19:55" ht="15.75" customHeight="1">
      <c r="S1361" s="454"/>
      <c r="AN1361" s="458"/>
      <c r="BC1361" s="169"/>
    </row>
    <row r="1362" spans="19:55" ht="15.75" customHeight="1">
      <c r="S1362" s="454"/>
      <c r="AN1362" s="458"/>
      <c r="BC1362" s="169"/>
    </row>
    <row r="1363" spans="19:55" ht="15.75" customHeight="1">
      <c r="S1363" s="454"/>
      <c r="AN1363" s="458"/>
      <c r="BC1363" s="169"/>
    </row>
    <row r="1364" spans="19:55" ht="15.75" customHeight="1">
      <c r="S1364" s="454"/>
      <c r="AN1364" s="458"/>
      <c r="BC1364" s="169"/>
    </row>
    <row r="1365" spans="19:55" ht="15.75" customHeight="1">
      <c r="S1365" s="454"/>
      <c r="AN1365" s="458"/>
      <c r="BC1365" s="169"/>
    </row>
    <row r="1366" spans="19:55" ht="15.75" customHeight="1">
      <c r="S1366" s="454"/>
      <c r="AN1366" s="458"/>
      <c r="BC1366" s="169"/>
    </row>
    <row r="1367" spans="19:55" ht="15.75" customHeight="1">
      <c r="S1367" s="454"/>
      <c r="AN1367" s="458"/>
      <c r="BC1367" s="169"/>
    </row>
    <row r="1368" spans="19:55" ht="15.75" customHeight="1">
      <c r="S1368" s="454"/>
      <c r="AN1368" s="458"/>
      <c r="BC1368" s="169"/>
    </row>
    <row r="1369" spans="19:55" ht="15.75" customHeight="1">
      <c r="S1369" s="454"/>
      <c r="AN1369" s="458"/>
      <c r="BC1369" s="169"/>
    </row>
    <row r="1370" spans="19:55" ht="15.75" customHeight="1">
      <c r="S1370" s="454"/>
      <c r="AN1370" s="458"/>
      <c r="BC1370" s="169"/>
    </row>
    <row r="1371" spans="19:55" ht="15.75" customHeight="1">
      <c r="S1371" s="454"/>
      <c r="AN1371" s="458"/>
      <c r="BC1371" s="169"/>
    </row>
    <row r="1372" spans="19:55" ht="15.75" customHeight="1">
      <c r="S1372" s="454"/>
      <c r="AN1372" s="458"/>
      <c r="BC1372" s="169"/>
    </row>
    <row r="1373" spans="19:55" ht="15.75" customHeight="1">
      <c r="S1373" s="454"/>
      <c r="AN1373" s="458"/>
      <c r="BC1373" s="169"/>
    </row>
    <row r="1374" spans="19:55" ht="15.75" customHeight="1">
      <c r="S1374" s="454"/>
      <c r="AN1374" s="458"/>
      <c r="BC1374" s="169"/>
    </row>
    <row r="1375" spans="19:55" ht="15.75" customHeight="1">
      <c r="S1375" s="454"/>
      <c r="AN1375" s="458"/>
      <c r="BC1375" s="169"/>
    </row>
    <row r="1376" spans="19:55" ht="15.75" customHeight="1">
      <c r="S1376" s="454"/>
      <c r="AN1376" s="458"/>
      <c r="BC1376" s="169"/>
    </row>
    <row r="1377" spans="19:55" ht="15.75" customHeight="1">
      <c r="S1377" s="454"/>
      <c r="AN1377" s="458"/>
      <c r="BC1377" s="169"/>
    </row>
    <row r="1378" spans="19:55" ht="15.75" customHeight="1">
      <c r="S1378" s="454"/>
      <c r="AN1378" s="458"/>
      <c r="BC1378" s="169"/>
    </row>
    <row r="1379" spans="19:55" ht="15.75" customHeight="1">
      <c r="S1379" s="454"/>
      <c r="AN1379" s="458"/>
      <c r="BC1379" s="169"/>
    </row>
    <row r="1380" spans="19:55" ht="15.75" customHeight="1">
      <c r="S1380" s="454"/>
      <c r="AN1380" s="458"/>
      <c r="BC1380" s="169"/>
    </row>
    <row r="1381" spans="19:55" ht="15.75" customHeight="1">
      <c r="S1381" s="454"/>
      <c r="AN1381" s="458"/>
      <c r="BC1381" s="169"/>
    </row>
    <row r="1382" spans="19:55" ht="15.75" customHeight="1">
      <c r="S1382" s="454"/>
      <c r="AN1382" s="458"/>
      <c r="BC1382" s="169"/>
    </row>
    <row r="1383" spans="19:55" ht="15.75" customHeight="1">
      <c r="S1383" s="454"/>
      <c r="AN1383" s="458"/>
      <c r="BC1383" s="169"/>
    </row>
    <row r="1384" spans="19:55" ht="15.75" customHeight="1">
      <c r="S1384" s="454"/>
      <c r="AN1384" s="458"/>
      <c r="BC1384" s="169"/>
    </row>
    <row r="1385" spans="19:55" ht="15.75" customHeight="1">
      <c r="S1385" s="454"/>
      <c r="AN1385" s="458"/>
      <c r="BC1385" s="169"/>
    </row>
    <row r="1386" spans="19:55" ht="15.75" customHeight="1">
      <c r="S1386" s="454"/>
      <c r="AN1386" s="458"/>
      <c r="BC1386" s="169"/>
    </row>
    <row r="1387" spans="19:55" ht="15.75" customHeight="1">
      <c r="S1387" s="454"/>
      <c r="AN1387" s="458"/>
      <c r="BC1387" s="169"/>
    </row>
    <row r="1388" spans="19:55" ht="15.75" customHeight="1">
      <c r="S1388" s="454"/>
      <c r="AN1388" s="458"/>
      <c r="BC1388" s="169"/>
    </row>
    <row r="1389" spans="19:55" ht="15.75" customHeight="1">
      <c r="S1389" s="454"/>
      <c r="AN1389" s="458"/>
      <c r="BC1389" s="169"/>
    </row>
    <row r="1390" spans="19:55" ht="15.75" customHeight="1">
      <c r="S1390" s="454"/>
      <c r="AN1390" s="458"/>
      <c r="BC1390" s="169"/>
    </row>
    <row r="1391" spans="19:55" ht="15.75" customHeight="1">
      <c r="S1391" s="454"/>
      <c r="AN1391" s="458"/>
      <c r="BC1391" s="169"/>
    </row>
    <row r="1392" spans="19:55" ht="15.75" customHeight="1">
      <c r="S1392" s="454"/>
      <c r="AN1392" s="458"/>
      <c r="BC1392" s="169"/>
    </row>
    <row r="1393" spans="19:55" ht="15.75" customHeight="1">
      <c r="S1393" s="454"/>
      <c r="AN1393" s="458"/>
      <c r="BC1393" s="169"/>
    </row>
    <row r="1394" spans="19:55" ht="15.75" customHeight="1">
      <c r="S1394" s="454"/>
      <c r="AN1394" s="458"/>
      <c r="BC1394" s="169"/>
    </row>
    <row r="1395" spans="19:55" ht="15.75" customHeight="1">
      <c r="S1395" s="454"/>
      <c r="AN1395" s="458"/>
      <c r="BC1395" s="169"/>
    </row>
    <row r="1396" spans="19:55" ht="15.75" customHeight="1">
      <c r="S1396" s="454"/>
      <c r="AN1396" s="458"/>
      <c r="BC1396" s="169"/>
    </row>
    <row r="1397" spans="19:55" ht="15.75" customHeight="1">
      <c r="S1397" s="454"/>
      <c r="AN1397" s="458"/>
      <c r="BC1397" s="169"/>
    </row>
    <row r="1398" spans="19:55" ht="15.75" customHeight="1">
      <c r="S1398" s="454"/>
      <c r="AN1398" s="458"/>
      <c r="BC1398" s="169"/>
    </row>
    <row r="1399" spans="19:55" ht="15.75" customHeight="1">
      <c r="S1399" s="454"/>
      <c r="AN1399" s="458"/>
      <c r="BC1399" s="169"/>
    </row>
    <row r="1400" spans="19:55" ht="15.75" customHeight="1">
      <c r="S1400" s="454"/>
      <c r="AN1400" s="458"/>
      <c r="BC1400" s="169"/>
    </row>
    <row r="1401" spans="19:55" ht="15.75" customHeight="1">
      <c r="S1401" s="454"/>
      <c r="AN1401" s="458"/>
      <c r="BC1401" s="169"/>
    </row>
    <row r="1402" spans="19:55" ht="15.75" customHeight="1">
      <c r="S1402" s="454"/>
      <c r="AN1402" s="458"/>
      <c r="BC1402" s="169"/>
    </row>
    <row r="1403" spans="19:55" ht="15.75" customHeight="1">
      <c r="S1403" s="454"/>
      <c r="AN1403" s="458"/>
      <c r="BC1403" s="169"/>
    </row>
    <row r="1404" spans="19:55" ht="15.75" customHeight="1">
      <c r="S1404" s="454"/>
      <c r="AN1404" s="458"/>
      <c r="BC1404" s="169"/>
    </row>
    <row r="1405" spans="19:55" ht="15.75" customHeight="1">
      <c r="S1405" s="454"/>
      <c r="AN1405" s="458"/>
      <c r="BC1405" s="169"/>
    </row>
    <row r="1406" spans="19:55" ht="15.75" customHeight="1">
      <c r="S1406" s="454"/>
      <c r="AN1406" s="458"/>
      <c r="BC1406" s="169"/>
    </row>
    <row r="1407" spans="19:55" ht="15.75" customHeight="1">
      <c r="S1407" s="454"/>
      <c r="AN1407" s="458"/>
      <c r="BC1407" s="169"/>
    </row>
    <row r="1408" spans="19:55" ht="15.75" customHeight="1">
      <c r="S1408" s="454"/>
      <c r="AN1408" s="458"/>
      <c r="BC1408" s="169"/>
    </row>
    <row r="1409" spans="19:55" ht="15.75" customHeight="1">
      <c r="S1409" s="454"/>
      <c r="AN1409" s="458"/>
      <c r="BC1409" s="169"/>
    </row>
    <row r="1410" spans="19:55" ht="15.75" customHeight="1">
      <c r="S1410" s="454"/>
      <c r="AN1410" s="458"/>
      <c r="BC1410" s="169"/>
    </row>
    <row r="1411" spans="19:55" ht="15.75" customHeight="1">
      <c r="S1411" s="454"/>
      <c r="AN1411" s="458"/>
      <c r="BC1411" s="169"/>
    </row>
    <row r="1412" spans="19:55" ht="15.75" customHeight="1">
      <c r="S1412" s="454"/>
      <c r="AN1412" s="458"/>
      <c r="BC1412" s="169"/>
    </row>
    <row r="1413" spans="19:55" ht="15.75" customHeight="1">
      <c r="S1413" s="454"/>
      <c r="AN1413" s="458"/>
      <c r="BC1413" s="169"/>
    </row>
    <row r="1414" spans="19:55" ht="15.75" customHeight="1">
      <c r="S1414" s="454"/>
      <c r="AN1414" s="458"/>
      <c r="BC1414" s="169"/>
    </row>
    <row r="1415" spans="19:55" ht="15.75" customHeight="1">
      <c r="S1415" s="454"/>
      <c r="AN1415" s="458"/>
      <c r="BC1415" s="169"/>
    </row>
    <row r="1416" spans="19:55" ht="15.75" customHeight="1">
      <c r="S1416" s="454"/>
      <c r="AN1416" s="458"/>
      <c r="BC1416" s="169"/>
    </row>
    <row r="1417" spans="19:55" ht="15.75" customHeight="1">
      <c r="S1417" s="454"/>
      <c r="AN1417" s="458"/>
      <c r="BC1417" s="169"/>
    </row>
    <row r="1418" spans="19:55" ht="15.75" customHeight="1">
      <c r="S1418" s="454"/>
      <c r="AN1418" s="458"/>
      <c r="BC1418" s="169"/>
    </row>
    <row r="1419" spans="19:55" ht="15.75" customHeight="1">
      <c r="S1419" s="454"/>
      <c r="AN1419" s="458"/>
      <c r="BC1419" s="169"/>
    </row>
    <row r="1420" spans="19:55" ht="15.75" customHeight="1">
      <c r="S1420" s="454"/>
      <c r="AN1420" s="458"/>
      <c r="BC1420" s="169"/>
    </row>
    <row r="1421" spans="19:55" ht="15.75" customHeight="1">
      <c r="S1421" s="454"/>
      <c r="AN1421" s="458"/>
      <c r="BC1421" s="169"/>
    </row>
    <row r="1422" spans="19:55" ht="15.75" customHeight="1">
      <c r="S1422" s="454"/>
      <c r="AN1422" s="458"/>
      <c r="BC1422" s="169"/>
    </row>
    <row r="1423" spans="19:55" ht="15.75" customHeight="1">
      <c r="S1423" s="454"/>
      <c r="AN1423" s="458"/>
      <c r="BC1423" s="169"/>
    </row>
    <row r="1424" spans="19:55" ht="15.75" customHeight="1">
      <c r="S1424" s="454"/>
      <c r="AN1424" s="458"/>
      <c r="BC1424" s="169"/>
    </row>
    <row r="1425" spans="19:55" ht="15.75" customHeight="1">
      <c r="S1425" s="454"/>
      <c r="AN1425" s="458"/>
      <c r="BC1425" s="169"/>
    </row>
    <row r="1426" spans="19:55" ht="15.75" customHeight="1">
      <c r="S1426" s="454"/>
      <c r="AN1426" s="458"/>
      <c r="BC1426" s="169"/>
    </row>
    <row r="1427" spans="19:55" ht="15.75" customHeight="1">
      <c r="S1427" s="454"/>
      <c r="AN1427" s="458"/>
      <c r="BC1427" s="169"/>
    </row>
    <row r="1428" spans="19:55" ht="15.75" customHeight="1">
      <c r="S1428" s="454"/>
      <c r="AN1428" s="458"/>
      <c r="BC1428" s="169"/>
    </row>
    <row r="1429" spans="19:55" ht="15.75" customHeight="1">
      <c r="S1429" s="454"/>
      <c r="AN1429" s="458"/>
      <c r="BC1429" s="169"/>
    </row>
    <row r="1430" spans="19:55" ht="15.75" customHeight="1">
      <c r="S1430" s="454"/>
      <c r="AN1430" s="458"/>
      <c r="BC1430" s="169"/>
    </row>
    <row r="1431" spans="19:55" ht="15.75" customHeight="1">
      <c r="S1431" s="454"/>
      <c r="AN1431" s="458"/>
      <c r="BC1431" s="169"/>
    </row>
    <row r="1432" spans="19:55" ht="15.75" customHeight="1">
      <c r="S1432" s="454"/>
      <c r="AN1432" s="458"/>
      <c r="BC1432" s="169"/>
    </row>
    <row r="1433" spans="19:55" ht="15.75" customHeight="1">
      <c r="S1433" s="454"/>
      <c r="AN1433" s="458"/>
      <c r="BC1433" s="169"/>
    </row>
    <row r="1434" spans="19:55" ht="15.75" customHeight="1">
      <c r="S1434" s="454"/>
      <c r="AN1434" s="458"/>
      <c r="BC1434" s="169"/>
    </row>
    <row r="1435" spans="19:55" ht="15.75" customHeight="1">
      <c r="S1435" s="454"/>
      <c r="AN1435" s="458"/>
      <c r="BC1435" s="169"/>
    </row>
    <row r="1436" spans="19:55" ht="15.75" customHeight="1">
      <c r="S1436" s="454"/>
      <c r="AN1436" s="458"/>
      <c r="BC1436" s="169"/>
    </row>
    <row r="1437" spans="19:55" ht="15.75" customHeight="1">
      <c r="S1437" s="454"/>
      <c r="AN1437" s="458"/>
      <c r="BC1437" s="169"/>
    </row>
    <row r="1438" spans="19:55" ht="15.75" customHeight="1">
      <c r="S1438" s="454"/>
      <c r="AN1438" s="458"/>
      <c r="BC1438" s="169"/>
    </row>
    <row r="1439" spans="19:55" ht="15.75" customHeight="1">
      <c r="S1439" s="454"/>
      <c r="AN1439" s="458"/>
      <c r="BC1439" s="169"/>
    </row>
    <row r="1440" spans="19:55" ht="15.75" customHeight="1">
      <c r="S1440" s="454"/>
      <c r="AN1440" s="458"/>
      <c r="BC1440" s="169"/>
    </row>
    <row r="1441" spans="19:55" ht="15.75" customHeight="1">
      <c r="S1441" s="454"/>
      <c r="AN1441" s="458"/>
      <c r="BC1441" s="169"/>
    </row>
    <row r="1442" spans="19:55" ht="15.75" customHeight="1">
      <c r="S1442" s="454"/>
      <c r="AN1442" s="458"/>
      <c r="BC1442" s="169"/>
    </row>
    <row r="1443" spans="19:55" ht="15.75" customHeight="1">
      <c r="S1443" s="454"/>
      <c r="AN1443" s="458"/>
      <c r="BC1443" s="169"/>
    </row>
    <row r="1444" spans="19:55" ht="15.75" customHeight="1">
      <c r="S1444" s="454"/>
      <c r="AN1444" s="458"/>
      <c r="BC1444" s="169"/>
    </row>
    <row r="1445" spans="19:55" ht="15.75" customHeight="1">
      <c r="S1445" s="454"/>
      <c r="AN1445" s="458"/>
      <c r="BC1445" s="169"/>
    </row>
    <row r="1446" spans="19:55" ht="15.75" customHeight="1">
      <c r="S1446" s="454"/>
      <c r="AN1446" s="458"/>
      <c r="BC1446" s="169"/>
    </row>
    <row r="1447" spans="19:55" ht="15.75" customHeight="1">
      <c r="S1447" s="454"/>
      <c r="AN1447" s="458"/>
      <c r="BC1447" s="169"/>
    </row>
    <row r="1448" spans="19:55" ht="15.75" customHeight="1">
      <c r="S1448" s="454"/>
      <c r="AN1448" s="458"/>
      <c r="BC1448" s="169"/>
    </row>
    <row r="1449" spans="19:55" ht="15.75" customHeight="1">
      <c r="S1449" s="454"/>
      <c r="AN1449" s="458"/>
      <c r="BC1449" s="169"/>
    </row>
    <row r="1450" spans="19:55" ht="15.75" customHeight="1">
      <c r="S1450" s="454"/>
      <c r="AN1450" s="458"/>
      <c r="BC1450" s="169"/>
    </row>
    <row r="1451" spans="19:55" ht="15.75" customHeight="1">
      <c r="S1451" s="454"/>
      <c r="AN1451" s="458"/>
      <c r="BC1451" s="169"/>
    </row>
    <row r="1452" spans="19:55" ht="15.75" customHeight="1">
      <c r="S1452" s="454"/>
      <c r="AN1452" s="458"/>
      <c r="BC1452" s="169"/>
    </row>
    <row r="1453" spans="19:55" ht="15.75" customHeight="1">
      <c r="S1453" s="454"/>
      <c r="AN1453" s="458"/>
      <c r="BC1453" s="169"/>
    </row>
    <row r="1454" spans="19:55" ht="15.75" customHeight="1">
      <c r="S1454" s="454"/>
      <c r="AN1454" s="458"/>
      <c r="BC1454" s="169"/>
    </row>
    <row r="1455" spans="19:55" ht="15.75" customHeight="1">
      <c r="S1455" s="454"/>
      <c r="AN1455" s="458"/>
      <c r="BC1455" s="169"/>
    </row>
    <row r="1456" spans="19:55" ht="15.75" customHeight="1">
      <c r="S1456" s="454"/>
      <c r="AN1456" s="458"/>
      <c r="BC1456" s="169"/>
    </row>
    <row r="1457" spans="19:55" ht="15.75" customHeight="1">
      <c r="S1457" s="454"/>
      <c r="AN1457" s="458"/>
      <c r="BC1457" s="169"/>
    </row>
    <row r="1458" spans="19:55" ht="15.75" customHeight="1">
      <c r="S1458" s="454"/>
      <c r="AN1458" s="458"/>
      <c r="BC1458" s="169"/>
    </row>
    <row r="1459" spans="19:55" ht="15.75" customHeight="1">
      <c r="S1459" s="454"/>
      <c r="AN1459" s="458"/>
      <c r="BC1459" s="169"/>
    </row>
    <row r="1460" spans="19:55" ht="15.75" customHeight="1">
      <c r="S1460" s="454"/>
      <c r="AN1460" s="458"/>
      <c r="BC1460" s="169"/>
    </row>
    <row r="1461" spans="19:55" ht="15.75" customHeight="1">
      <c r="S1461" s="454"/>
      <c r="AN1461" s="458"/>
      <c r="BC1461" s="169"/>
    </row>
    <row r="1462" spans="19:55" ht="15.75" customHeight="1">
      <c r="S1462" s="454"/>
      <c r="AN1462" s="458"/>
      <c r="BC1462" s="169"/>
    </row>
    <row r="1463" spans="19:55" ht="15.75" customHeight="1">
      <c r="S1463" s="454"/>
      <c r="AN1463" s="458"/>
      <c r="BC1463" s="169"/>
    </row>
    <row r="1464" spans="19:55" ht="15.75" customHeight="1">
      <c r="S1464" s="454"/>
      <c r="AN1464" s="458"/>
      <c r="BC1464" s="169"/>
    </row>
    <row r="1465" spans="19:55" ht="15.75" customHeight="1">
      <c r="S1465" s="454"/>
      <c r="AN1465" s="458"/>
      <c r="BC1465" s="169"/>
    </row>
    <row r="1466" spans="19:55" ht="15.75" customHeight="1">
      <c r="S1466" s="454"/>
      <c r="AN1466" s="458"/>
      <c r="BC1466" s="169"/>
    </row>
    <row r="1467" spans="19:55" ht="15.75" customHeight="1">
      <c r="S1467" s="454"/>
      <c r="AN1467" s="458"/>
      <c r="BC1467" s="169"/>
    </row>
    <row r="1468" spans="19:55" ht="15.75" customHeight="1">
      <c r="S1468" s="454"/>
      <c r="AN1468" s="458"/>
      <c r="BC1468" s="169"/>
    </row>
    <row r="1469" spans="19:55" ht="15.75" customHeight="1">
      <c r="S1469" s="454"/>
      <c r="AN1469" s="458"/>
      <c r="BC1469" s="169"/>
    </row>
    <row r="1470" spans="19:55" ht="15.75" customHeight="1">
      <c r="S1470" s="454"/>
      <c r="AN1470" s="458"/>
      <c r="BC1470" s="169"/>
    </row>
    <row r="1471" spans="19:55" ht="15.75" customHeight="1">
      <c r="S1471" s="454"/>
      <c r="AN1471" s="458"/>
      <c r="BC1471" s="169"/>
    </row>
    <row r="1472" spans="19:55" ht="15.75" customHeight="1">
      <c r="S1472" s="454"/>
      <c r="AN1472" s="458"/>
      <c r="BC1472" s="169"/>
    </row>
    <row r="1473" spans="19:55" ht="15.75" customHeight="1">
      <c r="S1473" s="454"/>
      <c r="AN1473" s="458"/>
      <c r="BC1473" s="169"/>
    </row>
    <row r="1474" spans="19:55" ht="15.75" customHeight="1">
      <c r="S1474" s="454"/>
      <c r="AN1474" s="458"/>
      <c r="BC1474" s="169"/>
    </row>
    <row r="1475" spans="19:55" ht="15.75" customHeight="1">
      <c r="S1475" s="454"/>
      <c r="AN1475" s="458"/>
      <c r="BC1475" s="169"/>
    </row>
    <row r="1476" spans="19:55" ht="15.75" customHeight="1">
      <c r="S1476" s="454"/>
      <c r="AN1476" s="458"/>
      <c r="BC1476" s="169"/>
    </row>
    <row r="1477" spans="19:55" ht="15.75" customHeight="1">
      <c r="S1477" s="454"/>
      <c r="AN1477" s="458"/>
      <c r="BC1477" s="169"/>
    </row>
    <row r="1478" spans="19:55" ht="15.75" customHeight="1">
      <c r="S1478" s="454"/>
      <c r="AN1478" s="458"/>
      <c r="BC1478" s="169"/>
    </row>
    <row r="1479" spans="19:55" ht="15.75" customHeight="1">
      <c r="S1479" s="454"/>
      <c r="AN1479" s="458"/>
      <c r="BC1479" s="169"/>
    </row>
    <row r="1480" spans="19:55" ht="15.75" customHeight="1">
      <c r="S1480" s="454"/>
      <c r="AN1480" s="458"/>
      <c r="BC1480" s="169"/>
    </row>
    <row r="1481" spans="19:55" ht="15.75" customHeight="1">
      <c r="S1481" s="454"/>
      <c r="AN1481" s="458"/>
      <c r="BC1481" s="169"/>
    </row>
    <row r="1482" spans="19:55" ht="15.75" customHeight="1">
      <c r="S1482" s="454"/>
      <c r="AN1482" s="458"/>
      <c r="BC1482" s="169"/>
    </row>
    <row r="1483" spans="19:55" ht="15.75" customHeight="1">
      <c r="S1483" s="454"/>
      <c r="AN1483" s="458"/>
      <c r="BC1483" s="169"/>
    </row>
    <row r="1484" spans="19:55" ht="15.75" customHeight="1">
      <c r="S1484" s="454"/>
      <c r="AN1484" s="458"/>
      <c r="BC1484" s="169"/>
    </row>
    <row r="1485" spans="19:55" ht="15.75" customHeight="1">
      <c r="S1485" s="454"/>
      <c r="AN1485" s="458"/>
      <c r="BC1485" s="169"/>
    </row>
    <row r="1486" spans="19:55" ht="15.75" customHeight="1">
      <c r="S1486" s="454"/>
      <c r="AN1486" s="458"/>
      <c r="BC1486" s="169"/>
    </row>
    <row r="1487" spans="19:55" ht="15.75" customHeight="1">
      <c r="S1487" s="454"/>
      <c r="AN1487" s="458"/>
      <c r="BC1487" s="169"/>
    </row>
    <row r="1488" spans="19:55" ht="15.75" customHeight="1">
      <c r="S1488" s="454"/>
      <c r="AN1488" s="458"/>
      <c r="BC1488" s="169"/>
    </row>
    <row r="1489" spans="19:55" ht="15.75" customHeight="1">
      <c r="S1489" s="454"/>
      <c r="AN1489" s="458"/>
      <c r="BC1489" s="169"/>
    </row>
    <row r="1490" spans="19:55" ht="15.75" customHeight="1">
      <c r="S1490" s="454"/>
      <c r="AN1490" s="458"/>
      <c r="BC1490" s="169"/>
    </row>
    <row r="1491" spans="19:55" ht="15.75" customHeight="1">
      <c r="S1491" s="454"/>
      <c r="AN1491" s="458"/>
      <c r="BC1491" s="169"/>
    </row>
    <row r="1492" spans="19:55" ht="15.75" customHeight="1">
      <c r="S1492" s="454"/>
      <c r="AN1492" s="458"/>
      <c r="BC1492" s="169"/>
    </row>
    <row r="1493" spans="19:55" ht="15.75" customHeight="1">
      <c r="S1493" s="454"/>
      <c r="AN1493" s="458"/>
      <c r="BC1493" s="169"/>
    </row>
    <row r="1494" spans="19:55" ht="15.75" customHeight="1">
      <c r="AN1494" s="458"/>
      <c r="BC1494" s="169"/>
    </row>
    <row r="1495" spans="19:55" ht="15.75" customHeight="1">
      <c r="AN1495" s="458"/>
      <c r="BC1495" s="169"/>
    </row>
    <row r="1496" spans="19:55" ht="15.75" customHeight="1">
      <c r="AN1496" s="458"/>
      <c r="BC1496" s="169"/>
    </row>
    <row r="1497" spans="19:55" ht="15.75" customHeight="1">
      <c r="AN1497" s="458"/>
      <c r="BC1497" s="169"/>
    </row>
    <row r="1498" spans="19:55" ht="15.75" customHeight="1">
      <c r="AN1498" s="458"/>
      <c r="BC1498" s="169"/>
    </row>
    <row r="1499" spans="19:55" ht="15.75" customHeight="1">
      <c r="AN1499" s="458"/>
      <c r="BC1499" s="169"/>
    </row>
    <row r="1500" spans="19:55" ht="15.75" customHeight="1">
      <c r="AN1500" s="458"/>
      <c r="BC1500" s="169"/>
    </row>
    <row r="1501" spans="19:55" ht="15.75" customHeight="1">
      <c r="AN1501" s="458"/>
      <c r="BC1501" s="169"/>
    </row>
    <row r="1502" spans="19:55" ht="15.75" customHeight="1">
      <c r="AN1502" s="458"/>
      <c r="BC1502" s="169"/>
    </row>
    <row r="1503" spans="19:55" ht="15.75" customHeight="1">
      <c r="AN1503" s="458"/>
      <c r="BC1503" s="169"/>
    </row>
    <row r="1504" spans="19:55" ht="15.75" customHeight="1">
      <c r="AN1504" s="458"/>
      <c r="BC1504" s="169"/>
    </row>
    <row r="1505" spans="40:55" ht="15.75" customHeight="1">
      <c r="AN1505" s="458"/>
      <c r="BC1505" s="169"/>
    </row>
    <row r="1506" spans="40:55" ht="15.75" customHeight="1">
      <c r="AN1506" s="458"/>
      <c r="BC1506" s="169"/>
    </row>
    <row r="1507" spans="40:55" ht="15.75" customHeight="1">
      <c r="AN1507" s="458"/>
      <c r="BC1507" s="169"/>
    </row>
    <row r="1508" spans="40:55" ht="15.75" customHeight="1">
      <c r="AN1508" s="458"/>
      <c r="BC1508" s="169"/>
    </row>
    <row r="1509" spans="40:55" ht="15.75" customHeight="1">
      <c r="AN1509" s="458"/>
      <c r="BC1509" s="169"/>
    </row>
    <row r="1510" spans="40:55" ht="15.75" customHeight="1">
      <c r="AN1510" s="458"/>
      <c r="BC1510" s="169"/>
    </row>
    <row r="1511" spans="40:55" ht="15.75" customHeight="1">
      <c r="AN1511" s="458"/>
      <c r="BC1511" s="169"/>
    </row>
    <row r="1512" spans="40:55" ht="15.75" customHeight="1">
      <c r="AN1512" s="458"/>
      <c r="BC1512" s="169"/>
    </row>
    <row r="1513" spans="40:55" ht="15.75" customHeight="1">
      <c r="AN1513" s="458"/>
      <c r="BC1513" s="169"/>
    </row>
    <row r="1514" spans="40:55" ht="15.75" customHeight="1">
      <c r="AN1514" s="458"/>
      <c r="BC1514" s="169"/>
    </row>
    <row r="1515" spans="40:55" ht="15.75" customHeight="1">
      <c r="AN1515" s="458"/>
      <c r="BC1515" s="169"/>
    </row>
    <row r="1516" spans="40:55" ht="15.75" customHeight="1">
      <c r="AN1516" s="458"/>
      <c r="BC1516" s="169"/>
    </row>
    <row r="1517" spans="40:55" ht="15.75" customHeight="1">
      <c r="AN1517" s="458"/>
      <c r="BC1517" s="169"/>
    </row>
    <row r="1518" spans="40:55" ht="15.75" customHeight="1">
      <c r="AN1518" s="458"/>
      <c r="BC1518" s="169"/>
    </row>
    <row r="1519" spans="40:55" ht="15.75" customHeight="1">
      <c r="AN1519" s="458"/>
      <c r="BC1519" s="169"/>
    </row>
    <row r="1520" spans="40:55" ht="15.75" customHeight="1">
      <c r="AN1520" s="458"/>
      <c r="BC1520" s="169"/>
    </row>
    <row r="1521" spans="40:55" ht="15.75" customHeight="1">
      <c r="AN1521" s="458"/>
      <c r="BC1521" s="169"/>
    </row>
    <row r="1522" spans="40:55" ht="15.75" customHeight="1">
      <c r="AN1522" s="458"/>
      <c r="BC1522" s="169"/>
    </row>
    <row r="1523" spans="40:55" ht="15.75" customHeight="1">
      <c r="AN1523" s="458"/>
      <c r="BC1523" s="169"/>
    </row>
    <row r="1524" spans="40:55" ht="15.75" customHeight="1">
      <c r="AN1524" s="458"/>
      <c r="BC1524" s="169"/>
    </row>
    <row r="1525" spans="40:55" ht="15.75" customHeight="1">
      <c r="AN1525" s="458"/>
      <c r="BC1525" s="169"/>
    </row>
    <row r="1526" spans="40:55" ht="15.75" customHeight="1">
      <c r="AN1526" s="458"/>
      <c r="BC1526" s="169"/>
    </row>
    <row r="1527" spans="40:55" ht="15.75" customHeight="1">
      <c r="AN1527" s="458"/>
      <c r="BC1527" s="169"/>
    </row>
    <row r="1528" spans="40:55" ht="15.75" customHeight="1">
      <c r="AN1528" s="458"/>
      <c r="BC1528" s="169"/>
    </row>
    <row r="1529" spans="40:55" ht="15.75" customHeight="1">
      <c r="AN1529" s="458"/>
      <c r="BC1529" s="169"/>
    </row>
    <row r="1530" spans="40:55" ht="15.75" customHeight="1">
      <c r="AN1530" s="458"/>
      <c r="BC1530" s="169"/>
    </row>
    <row r="1531" spans="40:55" ht="15.75" customHeight="1">
      <c r="AN1531" s="458"/>
      <c r="BC1531" s="169"/>
    </row>
    <row r="1532" spans="40:55" ht="15.75" customHeight="1">
      <c r="AN1532" s="458"/>
      <c r="BC1532" s="169"/>
    </row>
    <row r="1533" spans="40:55" ht="15.75" customHeight="1">
      <c r="AN1533" s="458"/>
      <c r="BC1533" s="169"/>
    </row>
    <row r="1534" spans="40:55" ht="15.75" customHeight="1">
      <c r="AN1534" s="458"/>
      <c r="BC1534" s="169"/>
    </row>
    <row r="1535" spans="40:55" ht="15.75" customHeight="1">
      <c r="AN1535" s="458"/>
      <c r="BC1535" s="169"/>
    </row>
    <row r="1536" spans="40:55" ht="15.75" customHeight="1">
      <c r="AN1536" s="458"/>
      <c r="BC1536" s="169"/>
    </row>
    <row r="1537" spans="40:55" ht="15.75" customHeight="1">
      <c r="AN1537" s="458"/>
      <c r="BC1537" s="169"/>
    </row>
    <row r="1538" spans="40:55" ht="15.75" customHeight="1">
      <c r="AN1538" s="458"/>
      <c r="BC1538" s="169"/>
    </row>
    <row r="1539" spans="40:55" ht="15.75" customHeight="1">
      <c r="AN1539" s="458"/>
      <c r="BC1539" s="169"/>
    </row>
    <row r="1540" spans="40:55" ht="15.75" customHeight="1">
      <c r="AN1540" s="458"/>
      <c r="BC1540" s="169"/>
    </row>
    <row r="1541" spans="40:55" ht="15.75" customHeight="1">
      <c r="AN1541" s="458"/>
      <c r="BC1541" s="169"/>
    </row>
    <row r="1542" spans="40:55" ht="15.75" customHeight="1">
      <c r="AN1542" s="458"/>
      <c r="BC1542" s="169"/>
    </row>
    <row r="1543" spans="40:55" ht="15.75" customHeight="1">
      <c r="AN1543" s="458"/>
      <c r="BC1543" s="169"/>
    </row>
    <row r="1544" spans="40:55" ht="15.75" customHeight="1">
      <c r="AN1544" s="458"/>
      <c r="BC1544" s="169"/>
    </row>
    <row r="1545" spans="40:55" ht="15.75" customHeight="1">
      <c r="AN1545" s="458"/>
      <c r="BC1545" s="169"/>
    </row>
    <row r="1546" spans="40:55" ht="15.75" customHeight="1">
      <c r="AN1546" s="458"/>
      <c r="BC1546" s="169"/>
    </row>
    <row r="1547" spans="40:55" ht="15.75" customHeight="1">
      <c r="AN1547" s="458"/>
      <c r="BC1547" s="169"/>
    </row>
    <row r="1548" spans="40:55" ht="15.75" customHeight="1">
      <c r="AN1548" s="458"/>
      <c r="BC1548" s="169"/>
    </row>
    <row r="1549" spans="40:55" ht="15.75" customHeight="1">
      <c r="AN1549" s="458"/>
      <c r="BC1549" s="169"/>
    </row>
    <row r="1550" spans="40:55" ht="15.75" customHeight="1">
      <c r="AN1550" s="458"/>
      <c r="BC1550" s="169"/>
    </row>
    <row r="1551" spans="40:55" ht="15.75" customHeight="1">
      <c r="AN1551" s="458"/>
      <c r="BC1551" s="169"/>
    </row>
    <row r="1552" spans="40:55" ht="15.75" customHeight="1">
      <c r="AN1552" s="458"/>
      <c r="BC1552" s="169"/>
    </row>
    <row r="1553" spans="40:55" ht="15.75" customHeight="1">
      <c r="AN1553" s="458"/>
      <c r="BC1553" s="169"/>
    </row>
    <row r="1554" spans="40:55" ht="15.75" customHeight="1">
      <c r="AN1554" s="458"/>
      <c r="BC1554" s="169"/>
    </row>
    <row r="1555" spans="40:55" ht="15.75" customHeight="1">
      <c r="AN1555" s="458"/>
      <c r="BC1555" s="169"/>
    </row>
    <row r="1556" spans="40:55" ht="15.75" customHeight="1">
      <c r="AN1556" s="458"/>
      <c r="BC1556" s="169"/>
    </row>
    <row r="1557" spans="40:55" ht="15.75" customHeight="1">
      <c r="AN1557" s="458"/>
      <c r="BC1557" s="169"/>
    </row>
    <row r="1558" spans="40:55" ht="15.75" customHeight="1">
      <c r="AN1558" s="458"/>
      <c r="BC1558" s="169"/>
    </row>
    <row r="1559" spans="40:55" ht="15.75" customHeight="1">
      <c r="AN1559" s="458"/>
      <c r="BC1559" s="169"/>
    </row>
    <row r="1560" spans="40:55" ht="15.75" customHeight="1">
      <c r="AN1560" s="458"/>
      <c r="BC1560" s="169"/>
    </row>
    <row r="1561" spans="40:55" ht="15.75" customHeight="1">
      <c r="AN1561" s="458"/>
      <c r="BC1561" s="169"/>
    </row>
    <row r="1562" spans="40:55" ht="15.75" customHeight="1">
      <c r="AN1562" s="458"/>
      <c r="BC1562" s="169"/>
    </row>
    <row r="1563" spans="40:55" ht="15.75" customHeight="1">
      <c r="AN1563" s="458"/>
      <c r="BC1563" s="169"/>
    </row>
    <row r="1564" spans="40:55" ht="15.75" customHeight="1">
      <c r="AN1564" s="458"/>
      <c r="BC1564" s="169"/>
    </row>
    <row r="1565" spans="40:55" ht="15.75" customHeight="1">
      <c r="AN1565" s="458"/>
      <c r="BC1565" s="169"/>
    </row>
    <row r="1566" spans="40:55" ht="15.75" customHeight="1">
      <c r="AN1566" s="458"/>
      <c r="BC1566" s="169"/>
    </row>
    <row r="1567" spans="40:55" ht="15.75" customHeight="1">
      <c r="AN1567" s="458"/>
      <c r="BC1567" s="169"/>
    </row>
    <row r="1568" spans="40:55" ht="15.75" customHeight="1">
      <c r="AN1568" s="458"/>
      <c r="BC1568" s="169"/>
    </row>
    <row r="1569" spans="40:55" ht="15.75" customHeight="1">
      <c r="AN1569" s="458"/>
      <c r="BC1569" s="169"/>
    </row>
    <row r="1570" spans="40:55" ht="15.75" customHeight="1">
      <c r="AN1570" s="458"/>
      <c r="BC1570" s="169"/>
    </row>
    <row r="1571" spans="40:55" ht="15.75" customHeight="1">
      <c r="AN1571" s="458"/>
      <c r="BC1571" s="169"/>
    </row>
    <row r="1572" spans="40:55" ht="15.75" customHeight="1">
      <c r="AN1572" s="458"/>
      <c r="BC1572" s="169"/>
    </row>
    <row r="1573" spans="40:55" ht="15.75" customHeight="1">
      <c r="AN1573" s="458"/>
      <c r="BC1573" s="169"/>
    </row>
    <row r="1574" spans="40:55" ht="15.75" customHeight="1">
      <c r="AN1574" s="458"/>
      <c r="BC1574" s="169"/>
    </row>
    <row r="1575" spans="40:55" ht="15.75" customHeight="1">
      <c r="AN1575" s="458"/>
      <c r="BC1575" s="169"/>
    </row>
    <row r="1576" spans="40:55" ht="15.75" customHeight="1">
      <c r="AN1576" s="458"/>
      <c r="BC1576" s="169"/>
    </row>
    <row r="1577" spans="40:55" ht="15.75" customHeight="1">
      <c r="AN1577" s="458"/>
      <c r="BC1577" s="169"/>
    </row>
    <row r="1578" spans="40:55" ht="15.75" customHeight="1">
      <c r="AN1578" s="458"/>
      <c r="BC1578" s="169"/>
    </row>
    <row r="1579" spans="40:55" ht="15.75" customHeight="1">
      <c r="AN1579" s="458"/>
      <c r="BC1579" s="169"/>
    </row>
    <row r="1580" spans="40:55" ht="15.75" customHeight="1">
      <c r="AN1580" s="458"/>
      <c r="BC1580" s="169"/>
    </row>
    <row r="1581" spans="40:55" ht="15.75" customHeight="1">
      <c r="AN1581" s="458"/>
      <c r="BC1581" s="169"/>
    </row>
    <row r="1582" spans="40:55" ht="15.75" customHeight="1">
      <c r="AN1582" s="458"/>
      <c r="BC1582" s="169"/>
    </row>
    <row r="1583" spans="40:55" ht="15.75" customHeight="1">
      <c r="AN1583" s="458"/>
      <c r="BC1583" s="169"/>
    </row>
    <row r="1584" spans="40:55" ht="15.75" customHeight="1">
      <c r="AN1584" s="458"/>
      <c r="BC1584" s="169"/>
    </row>
    <row r="1585" spans="40:55" ht="15.75" customHeight="1">
      <c r="AN1585" s="458"/>
      <c r="BC1585" s="169"/>
    </row>
    <row r="1586" spans="40:55" ht="15.75" customHeight="1">
      <c r="AN1586" s="458"/>
      <c r="BC1586" s="169"/>
    </row>
    <row r="1587" spans="40:55" ht="15.75" customHeight="1">
      <c r="AN1587" s="458"/>
      <c r="BC1587" s="169"/>
    </row>
    <row r="1588" spans="40:55" ht="15.75" customHeight="1">
      <c r="AN1588" s="458"/>
      <c r="BC1588" s="169"/>
    </row>
    <row r="1589" spans="40:55" ht="15.75" customHeight="1">
      <c r="AN1589" s="458"/>
      <c r="BC1589" s="169"/>
    </row>
    <row r="1590" spans="40:55" ht="15.75" customHeight="1">
      <c r="AN1590" s="458"/>
      <c r="BC1590" s="169"/>
    </row>
    <row r="1591" spans="40:55" ht="15.75" customHeight="1">
      <c r="AN1591" s="458"/>
      <c r="BC1591" s="169"/>
    </row>
    <row r="1592" spans="40:55" ht="15.75" customHeight="1">
      <c r="AN1592" s="458"/>
      <c r="BC1592" s="169"/>
    </row>
    <row r="1593" spans="40:55" ht="15.75" customHeight="1">
      <c r="AN1593" s="458"/>
      <c r="BC1593" s="169"/>
    </row>
    <row r="1594" spans="40:55" ht="15.75" customHeight="1">
      <c r="AN1594" s="458"/>
      <c r="BC1594" s="169"/>
    </row>
    <row r="1595" spans="40:55" ht="15.75" customHeight="1">
      <c r="AN1595" s="458"/>
      <c r="BC1595" s="169"/>
    </row>
    <row r="1596" spans="40:55" ht="15.75" customHeight="1">
      <c r="AN1596" s="458"/>
      <c r="BC1596" s="169"/>
    </row>
    <row r="1597" spans="40:55" ht="15.75" customHeight="1">
      <c r="AN1597" s="458"/>
      <c r="BC1597" s="169"/>
    </row>
    <row r="1598" spans="40:55" ht="15.75" customHeight="1">
      <c r="AN1598" s="458"/>
      <c r="BC1598" s="169"/>
    </row>
    <row r="1599" spans="40:55" ht="15.75" customHeight="1">
      <c r="AN1599" s="458"/>
      <c r="BC1599" s="169"/>
    </row>
    <row r="1600" spans="40:55" ht="15.75" customHeight="1">
      <c r="AN1600" s="458"/>
      <c r="BC1600" s="169"/>
    </row>
    <row r="1601" spans="40:55" ht="15.75" customHeight="1">
      <c r="AN1601" s="458"/>
      <c r="BC1601" s="169"/>
    </row>
    <row r="1602" spans="40:55" ht="15.75" customHeight="1">
      <c r="AN1602" s="458"/>
      <c r="BC1602" s="169"/>
    </row>
    <row r="1603" spans="40:55" ht="15.75" customHeight="1">
      <c r="AN1603" s="458"/>
      <c r="BC1603" s="169"/>
    </row>
    <row r="1604" spans="40:55" ht="15.75" customHeight="1">
      <c r="AN1604" s="458"/>
      <c r="BC1604" s="169"/>
    </row>
    <row r="1605" spans="40:55" ht="15.75" customHeight="1">
      <c r="AN1605" s="458"/>
      <c r="BC1605" s="169"/>
    </row>
    <row r="1606" spans="40:55" ht="15.75" customHeight="1">
      <c r="AN1606" s="458"/>
      <c r="BC1606" s="169"/>
    </row>
    <row r="1607" spans="40:55" ht="15.75" customHeight="1">
      <c r="AN1607" s="458"/>
      <c r="BC1607" s="169"/>
    </row>
    <row r="1608" spans="40:55" ht="15.75" customHeight="1">
      <c r="AN1608" s="458"/>
      <c r="BC1608" s="169"/>
    </row>
    <row r="1609" spans="40:55" ht="15.75" customHeight="1">
      <c r="AN1609" s="458"/>
      <c r="BC1609" s="169"/>
    </row>
    <row r="1610" spans="40:55" ht="15.75" customHeight="1">
      <c r="AN1610" s="458"/>
      <c r="BC1610" s="169"/>
    </row>
    <row r="1611" spans="40:55" ht="15.75" customHeight="1">
      <c r="AN1611" s="458"/>
      <c r="BC1611" s="169"/>
    </row>
    <row r="1612" spans="40:55" ht="15.75" customHeight="1">
      <c r="AN1612" s="458"/>
      <c r="BC1612" s="169"/>
    </row>
    <row r="1613" spans="40:55" ht="15.75" customHeight="1">
      <c r="AN1613" s="458"/>
      <c r="BC1613" s="169"/>
    </row>
    <row r="1614" spans="40:55" ht="15.75" customHeight="1">
      <c r="AN1614" s="458"/>
      <c r="BC1614" s="169"/>
    </row>
    <row r="1615" spans="40:55" ht="15.75" customHeight="1">
      <c r="AN1615" s="458"/>
      <c r="BC1615" s="169"/>
    </row>
    <row r="1616" spans="40:55" ht="15.75" customHeight="1">
      <c r="AN1616" s="458"/>
      <c r="BC1616" s="169"/>
    </row>
    <row r="1617" spans="40:55" ht="15.75" customHeight="1">
      <c r="AN1617" s="458"/>
      <c r="BC1617" s="169"/>
    </row>
    <row r="1618" spans="40:55" ht="15.75" customHeight="1">
      <c r="AN1618" s="458"/>
      <c r="BC1618" s="169"/>
    </row>
    <row r="1619" spans="40:55" ht="15.75" customHeight="1">
      <c r="AN1619" s="458"/>
      <c r="BC1619" s="169"/>
    </row>
    <row r="1620" spans="40:55" ht="15.75" customHeight="1">
      <c r="AN1620" s="458"/>
      <c r="BC1620" s="169"/>
    </row>
    <row r="1621" spans="40:55" ht="15.75" customHeight="1">
      <c r="AN1621" s="458"/>
      <c r="BC1621" s="169"/>
    </row>
    <row r="1622" spans="40:55" ht="15.75" customHeight="1">
      <c r="AN1622" s="458"/>
      <c r="BC1622" s="169"/>
    </row>
    <row r="1623" spans="40:55" ht="15.75" customHeight="1">
      <c r="AN1623" s="458"/>
      <c r="BC1623" s="169"/>
    </row>
    <row r="1624" spans="40:55" ht="15.75" customHeight="1">
      <c r="AN1624" s="458"/>
      <c r="BC1624" s="169"/>
    </row>
    <row r="1625" spans="40:55" ht="15.75" customHeight="1">
      <c r="AN1625" s="458"/>
      <c r="BC1625" s="169"/>
    </row>
    <row r="1626" spans="40:55" ht="15.75" customHeight="1">
      <c r="AN1626" s="458"/>
      <c r="BC1626" s="169"/>
    </row>
    <row r="1627" spans="40:55" ht="15.75" customHeight="1">
      <c r="AN1627" s="458"/>
      <c r="BC1627" s="169"/>
    </row>
    <row r="1628" spans="40:55" ht="15.75" customHeight="1">
      <c r="AN1628" s="458"/>
      <c r="BC1628" s="169"/>
    </row>
    <row r="1629" spans="40:55" ht="15.75" customHeight="1">
      <c r="AN1629" s="458"/>
      <c r="BC1629" s="169"/>
    </row>
    <row r="1630" spans="40:55" ht="15.75" customHeight="1">
      <c r="AN1630" s="458"/>
      <c r="BC1630" s="169"/>
    </row>
    <row r="1631" spans="40:55" ht="15.75" customHeight="1">
      <c r="AN1631" s="458"/>
      <c r="BC1631" s="169"/>
    </row>
    <row r="1632" spans="40:55" ht="15.75" customHeight="1">
      <c r="AN1632" s="458"/>
      <c r="BC1632" s="169"/>
    </row>
    <row r="1633" spans="40:55" ht="15.75" customHeight="1">
      <c r="AN1633" s="458"/>
      <c r="BC1633" s="169"/>
    </row>
    <row r="1634" spans="40:55" ht="15.75" customHeight="1">
      <c r="AN1634" s="458"/>
      <c r="BC1634" s="169"/>
    </row>
    <row r="1635" spans="40:55" ht="15.75" customHeight="1">
      <c r="AN1635" s="458"/>
      <c r="BC1635" s="169"/>
    </row>
    <row r="1636" spans="40:55" ht="15.75" customHeight="1">
      <c r="AN1636" s="458"/>
      <c r="BC1636" s="169"/>
    </row>
    <row r="1637" spans="40:55" ht="15.75" customHeight="1">
      <c r="AN1637" s="458"/>
      <c r="BC1637" s="169"/>
    </row>
    <row r="1638" spans="40:55" ht="15.75" customHeight="1">
      <c r="AN1638" s="458"/>
      <c r="BC1638" s="169"/>
    </row>
    <row r="1639" spans="40:55" ht="15.75" customHeight="1">
      <c r="AN1639" s="458"/>
      <c r="BC1639" s="169"/>
    </row>
    <row r="1640" spans="40:55" ht="15.75" customHeight="1">
      <c r="AN1640" s="458"/>
      <c r="BC1640" s="169"/>
    </row>
    <row r="1641" spans="40:55" ht="15.75" customHeight="1">
      <c r="AN1641" s="458"/>
      <c r="BC1641" s="169"/>
    </row>
    <row r="1642" spans="40:55" ht="15.75" customHeight="1">
      <c r="AN1642" s="458"/>
      <c r="BC1642" s="169"/>
    </row>
    <row r="1643" spans="40:55" ht="15.75" customHeight="1">
      <c r="AN1643" s="458"/>
      <c r="BC1643" s="169"/>
    </row>
    <row r="1644" spans="40:55" ht="15.75" customHeight="1">
      <c r="AN1644" s="458"/>
      <c r="BC1644" s="169"/>
    </row>
    <row r="1645" spans="40:55" ht="15.75" customHeight="1">
      <c r="AN1645" s="458"/>
      <c r="BC1645" s="169"/>
    </row>
    <row r="1646" spans="40:55" ht="15.75" customHeight="1">
      <c r="AN1646" s="458"/>
      <c r="BC1646" s="169"/>
    </row>
    <row r="1647" spans="40:55" ht="15.75" customHeight="1">
      <c r="AN1647" s="458"/>
      <c r="BC1647" s="169"/>
    </row>
    <row r="1648" spans="40:55" ht="15.75" customHeight="1">
      <c r="AN1648" s="458"/>
      <c r="BC1648" s="169"/>
    </row>
    <row r="1649" spans="40:55" ht="15.75" customHeight="1">
      <c r="AN1649" s="458"/>
      <c r="BC1649" s="169"/>
    </row>
    <row r="1650" spans="40:55" ht="15.75" customHeight="1">
      <c r="AN1650" s="458"/>
      <c r="BC1650" s="169"/>
    </row>
    <row r="1651" spans="40:55" ht="15.75" customHeight="1">
      <c r="AN1651" s="458"/>
      <c r="BC1651" s="169"/>
    </row>
    <row r="1652" spans="40:55" ht="15.75" customHeight="1">
      <c r="AN1652" s="458"/>
      <c r="BC1652" s="169"/>
    </row>
    <row r="1653" spans="40:55" ht="15.75" customHeight="1">
      <c r="AN1653" s="458"/>
      <c r="BC1653" s="169"/>
    </row>
    <row r="1654" spans="40:55" ht="15.75" customHeight="1">
      <c r="AN1654" s="458"/>
      <c r="BC1654" s="169"/>
    </row>
    <row r="1655" spans="40:55" ht="15.75" customHeight="1">
      <c r="AN1655" s="458"/>
      <c r="BC1655" s="169"/>
    </row>
    <row r="1656" spans="40:55" ht="15.75" customHeight="1">
      <c r="AN1656" s="458"/>
      <c r="BC1656" s="169"/>
    </row>
    <row r="1657" spans="40:55" ht="15.75" customHeight="1">
      <c r="AN1657" s="458"/>
      <c r="BC1657" s="169"/>
    </row>
    <row r="1658" spans="40:55" ht="15.75" customHeight="1">
      <c r="AN1658" s="458"/>
      <c r="BC1658" s="169"/>
    </row>
    <row r="1659" spans="40:55" ht="15.75" customHeight="1">
      <c r="AN1659" s="458"/>
      <c r="BC1659" s="169"/>
    </row>
    <row r="1660" spans="40:55" ht="15.75" customHeight="1">
      <c r="AN1660" s="458"/>
      <c r="BC1660" s="169"/>
    </row>
    <row r="1661" spans="40:55" ht="15.75" customHeight="1">
      <c r="AN1661" s="458"/>
      <c r="BC1661" s="169"/>
    </row>
    <row r="1662" spans="40:55" ht="15.75" customHeight="1">
      <c r="AN1662" s="458"/>
      <c r="BC1662" s="169"/>
    </row>
    <row r="1663" spans="40:55" ht="15.75" customHeight="1">
      <c r="AN1663" s="458"/>
      <c r="BC1663" s="169"/>
    </row>
    <row r="1664" spans="40:55" ht="15.75" customHeight="1">
      <c r="AN1664" s="458"/>
      <c r="BC1664" s="169"/>
    </row>
    <row r="1665" spans="40:55" ht="15.75" customHeight="1">
      <c r="AN1665" s="458"/>
      <c r="BC1665" s="169"/>
    </row>
    <row r="1666" spans="40:55" ht="15.75" customHeight="1">
      <c r="AN1666" s="458"/>
      <c r="BC1666" s="169"/>
    </row>
    <row r="1667" spans="40:55" ht="15.75" customHeight="1">
      <c r="AN1667" s="458"/>
      <c r="BC1667" s="169"/>
    </row>
    <row r="1668" spans="40:55" ht="15.75" customHeight="1">
      <c r="AN1668" s="458"/>
      <c r="BC1668" s="169"/>
    </row>
    <row r="1669" spans="40:55" ht="15.75" customHeight="1">
      <c r="AN1669" s="458"/>
      <c r="BC1669" s="169"/>
    </row>
    <row r="1670" spans="40:55" ht="15.75" customHeight="1">
      <c r="AN1670" s="458"/>
      <c r="BC1670" s="169"/>
    </row>
    <row r="1671" spans="40:55" ht="15.75" customHeight="1">
      <c r="AN1671" s="458"/>
      <c r="BC1671" s="169"/>
    </row>
    <row r="1672" spans="40:55" ht="15.75" customHeight="1">
      <c r="AN1672" s="458"/>
      <c r="BC1672" s="169"/>
    </row>
    <row r="1673" spans="40:55" ht="15.75" customHeight="1">
      <c r="AN1673" s="458"/>
      <c r="BC1673" s="169"/>
    </row>
    <row r="1674" spans="40:55" ht="15.75" customHeight="1">
      <c r="AN1674" s="458"/>
      <c r="BC1674" s="169"/>
    </row>
    <row r="1675" spans="40:55" ht="15.75" customHeight="1">
      <c r="AN1675" s="458"/>
      <c r="BC1675" s="169"/>
    </row>
    <row r="1676" spans="40:55" ht="15.75" customHeight="1">
      <c r="AN1676" s="458"/>
      <c r="BC1676" s="169"/>
    </row>
    <row r="1677" spans="40:55" ht="15.75" customHeight="1">
      <c r="AN1677" s="458"/>
      <c r="BC1677" s="169"/>
    </row>
    <row r="1678" spans="40:55" ht="15.75" customHeight="1">
      <c r="AN1678" s="458"/>
      <c r="BC1678" s="169"/>
    </row>
    <row r="1679" spans="40:55" ht="15.75" customHeight="1">
      <c r="AN1679" s="458"/>
      <c r="BC1679" s="169"/>
    </row>
    <row r="1680" spans="40:55" ht="15.75" customHeight="1">
      <c r="AN1680" s="458"/>
      <c r="BC1680" s="169"/>
    </row>
    <row r="1681" spans="40:55" ht="15.75" customHeight="1">
      <c r="AN1681" s="458"/>
      <c r="BC1681" s="169"/>
    </row>
    <row r="1682" spans="40:55" ht="15.75" customHeight="1">
      <c r="AN1682" s="458"/>
      <c r="BC1682" s="169"/>
    </row>
    <row r="1683" spans="40:55" ht="15.75" customHeight="1">
      <c r="AN1683" s="458"/>
      <c r="BC1683" s="169"/>
    </row>
    <row r="1684" spans="40:55" ht="15.75" customHeight="1">
      <c r="AN1684" s="458"/>
      <c r="BC1684" s="169"/>
    </row>
    <row r="1685" spans="40:55" ht="15.75" customHeight="1">
      <c r="AN1685" s="458"/>
      <c r="BC1685" s="169"/>
    </row>
    <row r="1686" spans="40:55" ht="15.75" customHeight="1">
      <c r="AN1686" s="458"/>
      <c r="BC1686" s="169"/>
    </row>
    <row r="1687" spans="40:55" ht="15.75" customHeight="1">
      <c r="AN1687" s="458"/>
      <c r="BC1687" s="169"/>
    </row>
    <row r="1688" spans="40:55" ht="15.75" customHeight="1">
      <c r="AN1688" s="458"/>
      <c r="BC1688" s="169"/>
    </row>
    <row r="1689" spans="40:55" ht="15.75" customHeight="1">
      <c r="AN1689" s="458"/>
      <c r="BC1689" s="169"/>
    </row>
    <row r="1690" spans="40:55" ht="15.75" customHeight="1">
      <c r="AN1690" s="458"/>
      <c r="BC1690" s="169"/>
    </row>
    <row r="1691" spans="40:55" ht="15.75" customHeight="1">
      <c r="AN1691" s="458"/>
      <c r="BC1691" s="169"/>
    </row>
    <row r="1692" spans="40:55" ht="15.75" customHeight="1">
      <c r="AN1692" s="458"/>
      <c r="BC1692" s="169"/>
    </row>
    <row r="1693" spans="40:55" ht="15.75" customHeight="1">
      <c r="AN1693" s="458"/>
      <c r="BC1693" s="169"/>
    </row>
    <row r="1694" spans="40:55" ht="15.75" customHeight="1">
      <c r="AN1694" s="458"/>
      <c r="BC1694" s="169"/>
    </row>
    <row r="1695" spans="40:55" ht="15.75" customHeight="1">
      <c r="AN1695" s="458"/>
      <c r="BC1695" s="169"/>
    </row>
    <row r="1696" spans="40:55" ht="15.75" customHeight="1">
      <c r="AN1696" s="458"/>
      <c r="BC1696" s="169"/>
    </row>
    <row r="1697" spans="40:55" ht="15.75" customHeight="1">
      <c r="AN1697" s="458"/>
      <c r="BC1697" s="169"/>
    </row>
    <row r="1698" spans="40:55" ht="15.75" customHeight="1">
      <c r="AN1698" s="458"/>
      <c r="BC1698" s="169"/>
    </row>
    <row r="1699" spans="40:55" ht="15.75" customHeight="1">
      <c r="AN1699" s="458"/>
      <c r="BC1699" s="169"/>
    </row>
    <row r="1700" spans="40:55" ht="15.75" customHeight="1">
      <c r="AN1700" s="458"/>
      <c r="BC1700" s="169"/>
    </row>
    <row r="1701" spans="40:55" ht="15.75" customHeight="1">
      <c r="AN1701" s="458"/>
      <c r="BC1701" s="169"/>
    </row>
    <row r="1702" spans="40:55" ht="15.75" customHeight="1">
      <c r="AN1702" s="458"/>
      <c r="BC1702" s="169"/>
    </row>
    <row r="1703" spans="40:55" ht="15.75" customHeight="1">
      <c r="AN1703" s="458"/>
      <c r="BC1703" s="169"/>
    </row>
    <row r="1704" spans="40:55" ht="15.75" customHeight="1">
      <c r="AN1704" s="458"/>
      <c r="BC1704" s="169"/>
    </row>
    <row r="1705" spans="40:55" ht="15.75" customHeight="1">
      <c r="AN1705" s="458"/>
      <c r="BC1705" s="169"/>
    </row>
    <row r="1706" spans="40:55" ht="15.75" customHeight="1">
      <c r="AN1706" s="458"/>
      <c r="BC1706" s="169"/>
    </row>
    <row r="1707" spans="40:55" ht="15.75" customHeight="1">
      <c r="AN1707" s="458"/>
      <c r="BC1707" s="169"/>
    </row>
    <row r="1708" spans="40:55" ht="15.75" customHeight="1">
      <c r="AN1708" s="458"/>
      <c r="BC1708" s="169"/>
    </row>
    <row r="1709" spans="40:55" ht="15.75" customHeight="1">
      <c r="AN1709" s="458"/>
      <c r="BC1709" s="169"/>
    </row>
    <row r="1710" spans="40:55" ht="15.75" customHeight="1">
      <c r="AN1710" s="458"/>
      <c r="BC1710" s="169"/>
    </row>
    <row r="1711" spans="40:55" ht="15.75" customHeight="1">
      <c r="AN1711" s="458"/>
      <c r="BC1711" s="169"/>
    </row>
    <row r="1712" spans="40:55" ht="15.75" customHeight="1">
      <c r="AN1712" s="458"/>
      <c r="BC1712" s="169"/>
    </row>
    <row r="1713" spans="40:55" ht="15.75" customHeight="1">
      <c r="AN1713" s="458"/>
      <c r="BC1713" s="169"/>
    </row>
    <row r="1714" spans="40:55" ht="15.75" customHeight="1">
      <c r="AN1714" s="458"/>
      <c r="BC1714" s="169"/>
    </row>
    <row r="1715" spans="40:55" ht="15.75" customHeight="1">
      <c r="AN1715" s="458"/>
      <c r="BC1715" s="169"/>
    </row>
    <row r="1716" spans="40:55" ht="15.75" customHeight="1">
      <c r="AN1716" s="458"/>
      <c r="BC1716" s="169"/>
    </row>
    <row r="1717" spans="40:55" ht="15.75" customHeight="1">
      <c r="AN1717" s="458"/>
      <c r="BC1717" s="169"/>
    </row>
    <row r="1718" spans="40:55" ht="15.75" customHeight="1">
      <c r="AN1718" s="458"/>
      <c r="BC1718" s="169"/>
    </row>
    <row r="1719" spans="40:55" ht="15.75" customHeight="1">
      <c r="AN1719" s="458"/>
      <c r="BC1719" s="169"/>
    </row>
    <row r="1720" spans="40:55" ht="15.75" customHeight="1">
      <c r="AN1720" s="458"/>
      <c r="BC1720" s="169"/>
    </row>
    <row r="1721" spans="40:55" ht="15.75" customHeight="1">
      <c r="AN1721" s="458"/>
      <c r="BC1721" s="169"/>
    </row>
    <row r="1722" spans="40:55" ht="15.75" customHeight="1">
      <c r="AN1722" s="458"/>
      <c r="BC1722" s="169"/>
    </row>
    <row r="1723" spans="40:55" ht="15.75" customHeight="1">
      <c r="AN1723" s="458"/>
      <c r="BC1723" s="169"/>
    </row>
    <row r="1724" spans="40:55" ht="15.75" customHeight="1">
      <c r="AN1724" s="458"/>
      <c r="BC1724" s="169"/>
    </row>
    <row r="1725" spans="40:55" ht="15.75" customHeight="1">
      <c r="AN1725" s="458"/>
      <c r="BC1725" s="169"/>
    </row>
    <row r="1726" spans="40:55" ht="15.75" customHeight="1">
      <c r="AN1726" s="458"/>
      <c r="BC1726" s="169"/>
    </row>
    <row r="1727" spans="40:55" ht="15.75" customHeight="1">
      <c r="AN1727" s="458"/>
      <c r="BC1727" s="169"/>
    </row>
    <row r="1728" spans="40:55" ht="15.75" customHeight="1">
      <c r="AN1728" s="458"/>
      <c r="BC1728" s="169"/>
    </row>
    <row r="1729" spans="40:55" ht="15.75" customHeight="1">
      <c r="AN1729" s="458"/>
      <c r="BC1729" s="169"/>
    </row>
    <row r="1730" spans="40:55" ht="15.75" customHeight="1">
      <c r="AN1730" s="458"/>
      <c r="BC1730" s="169"/>
    </row>
    <row r="1731" spans="40:55" ht="15.75" customHeight="1">
      <c r="AN1731" s="458"/>
      <c r="BC1731" s="169"/>
    </row>
    <row r="1732" spans="40:55" ht="15.75" customHeight="1">
      <c r="AN1732" s="458"/>
      <c r="BC1732" s="169"/>
    </row>
    <row r="1733" spans="40:55" ht="15.75" customHeight="1">
      <c r="AN1733" s="458"/>
      <c r="BC1733" s="169"/>
    </row>
    <row r="1734" spans="40:55" ht="15.75" customHeight="1">
      <c r="AN1734" s="458"/>
      <c r="BC1734" s="169"/>
    </row>
    <row r="1735" spans="40:55" ht="15.75" customHeight="1">
      <c r="AN1735" s="458"/>
      <c r="BC1735" s="169"/>
    </row>
    <row r="1736" spans="40:55" ht="15.75" customHeight="1">
      <c r="AN1736" s="458"/>
      <c r="BC1736" s="169"/>
    </row>
    <row r="1737" spans="40:55" ht="15.75" customHeight="1">
      <c r="AN1737" s="458"/>
      <c r="BC1737" s="169"/>
    </row>
    <row r="1738" spans="40:55" ht="15.75" customHeight="1">
      <c r="AN1738" s="458"/>
      <c r="BC1738" s="169"/>
    </row>
    <row r="1739" spans="40:55" ht="15.75" customHeight="1">
      <c r="AN1739" s="458"/>
      <c r="BC1739" s="169"/>
    </row>
    <row r="1740" spans="40:55" ht="15.75" customHeight="1">
      <c r="AN1740" s="458"/>
      <c r="BC1740" s="169"/>
    </row>
    <row r="1741" spans="40:55" ht="15.75" customHeight="1">
      <c r="AN1741" s="458"/>
      <c r="BC1741" s="169"/>
    </row>
    <row r="1742" spans="40:55" ht="15.75" customHeight="1">
      <c r="AN1742" s="458"/>
      <c r="BC1742" s="169"/>
    </row>
    <row r="1743" spans="40:55" ht="15.75" customHeight="1">
      <c r="AN1743" s="458"/>
      <c r="BC1743" s="169"/>
    </row>
    <row r="1744" spans="40:55" ht="15.75" customHeight="1">
      <c r="AN1744" s="458"/>
      <c r="BC1744" s="169"/>
    </row>
    <row r="1745" spans="40:55" ht="15.75" customHeight="1">
      <c r="AN1745" s="458"/>
      <c r="BC1745" s="169"/>
    </row>
    <row r="1746" spans="40:55" ht="15.75" customHeight="1">
      <c r="AN1746" s="458"/>
      <c r="BC1746" s="169"/>
    </row>
    <row r="1747" spans="40:55" ht="15.75" customHeight="1">
      <c r="AN1747" s="458"/>
      <c r="BC1747" s="169"/>
    </row>
    <row r="1748" spans="40:55" ht="15.75" customHeight="1">
      <c r="AN1748" s="458"/>
      <c r="BC1748" s="169"/>
    </row>
    <row r="1749" spans="40:55" ht="15.75" customHeight="1">
      <c r="AN1749" s="458"/>
      <c r="BC1749" s="169"/>
    </row>
    <row r="1750" spans="40:55" ht="15.75" customHeight="1">
      <c r="AN1750" s="458"/>
      <c r="BC1750" s="169"/>
    </row>
    <row r="1751" spans="40:55" ht="15.75" customHeight="1">
      <c r="AN1751" s="458"/>
      <c r="BC1751" s="169"/>
    </row>
    <row r="1752" spans="40:55" ht="15.75" customHeight="1">
      <c r="AN1752" s="458"/>
      <c r="BC1752" s="169"/>
    </row>
    <row r="1753" spans="40:55" ht="15.75" customHeight="1">
      <c r="AN1753" s="458"/>
      <c r="BC1753" s="169"/>
    </row>
    <row r="1754" spans="40:55" ht="15.75" customHeight="1">
      <c r="AN1754" s="458"/>
      <c r="BC1754" s="169"/>
    </row>
    <row r="1755" spans="40:55" ht="15.75" customHeight="1">
      <c r="AN1755" s="458"/>
      <c r="BC1755" s="169"/>
    </row>
    <row r="1756" spans="40:55" ht="15.75" customHeight="1">
      <c r="AN1756" s="458"/>
      <c r="BC1756" s="169"/>
    </row>
    <row r="1757" spans="40:55" ht="15.75" customHeight="1">
      <c r="AN1757" s="458"/>
      <c r="BC1757" s="169"/>
    </row>
    <row r="1758" spans="40:55" ht="15.75" customHeight="1">
      <c r="AN1758" s="458"/>
      <c r="BC1758" s="169"/>
    </row>
    <row r="1759" spans="40:55" ht="15.75" customHeight="1">
      <c r="AN1759" s="458"/>
      <c r="BC1759" s="169"/>
    </row>
    <row r="1760" spans="40:55" ht="15.75" customHeight="1">
      <c r="AN1760" s="458"/>
      <c r="BC1760" s="169"/>
    </row>
    <row r="1761" spans="40:55" ht="15.75" customHeight="1">
      <c r="AN1761" s="458"/>
      <c r="BC1761" s="169"/>
    </row>
    <row r="1762" spans="40:55" ht="15.75" customHeight="1">
      <c r="AN1762" s="458"/>
      <c r="BC1762" s="169"/>
    </row>
    <row r="1763" spans="40:55" ht="15.75" customHeight="1">
      <c r="AN1763" s="458"/>
      <c r="BC1763" s="169"/>
    </row>
    <row r="1764" spans="40:55" ht="15.75" customHeight="1">
      <c r="AN1764" s="458"/>
      <c r="BC1764" s="169"/>
    </row>
    <row r="1765" spans="40:55" ht="15.75" customHeight="1">
      <c r="AN1765" s="458"/>
      <c r="BC1765" s="169"/>
    </row>
    <row r="1766" spans="40:55" ht="15.75" customHeight="1">
      <c r="AN1766" s="458"/>
      <c r="BC1766" s="169"/>
    </row>
    <row r="1767" spans="40:55" ht="15.75" customHeight="1">
      <c r="AN1767" s="458"/>
      <c r="BC1767" s="169"/>
    </row>
    <row r="1768" spans="40:55" ht="15.75" customHeight="1">
      <c r="AN1768" s="458"/>
      <c r="BC1768" s="169"/>
    </row>
    <row r="1769" spans="40:55" ht="15.75" customHeight="1">
      <c r="AN1769" s="458"/>
      <c r="BC1769" s="169"/>
    </row>
    <row r="1770" spans="40:55" ht="15.75" customHeight="1">
      <c r="AN1770" s="458"/>
      <c r="BC1770" s="169"/>
    </row>
    <row r="1771" spans="40:55" ht="15.75" customHeight="1">
      <c r="AN1771" s="458"/>
      <c r="BC1771" s="169"/>
    </row>
    <row r="1772" spans="40:55" ht="15.75" customHeight="1">
      <c r="AN1772" s="458"/>
      <c r="BC1772" s="169"/>
    </row>
    <row r="1773" spans="40:55" ht="15.75" customHeight="1">
      <c r="AN1773" s="458"/>
      <c r="BC1773" s="169"/>
    </row>
    <row r="1774" spans="40:55" ht="15.75" customHeight="1">
      <c r="AN1774" s="458"/>
      <c r="BC1774" s="169"/>
    </row>
    <row r="1775" spans="40:55" ht="15.75" customHeight="1">
      <c r="AN1775" s="458"/>
      <c r="BC1775" s="169"/>
    </row>
    <row r="1776" spans="40:55" ht="15.75" customHeight="1">
      <c r="AN1776" s="458"/>
      <c r="BC1776" s="169"/>
    </row>
    <row r="1777" spans="40:55" ht="15.75" customHeight="1">
      <c r="AN1777" s="458"/>
      <c r="BC1777" s="169"/>
    </row>
    <row r="1778" spans="40:55" ht="15.75" customHeight="1">
      <c r="AN1778" s="458"/>
      <c r="BC1778" s="169"/>
    </row>
    <row r="1779" spans="40:55" ht="15.75" customHeight="1">
      <c r="AN1779" s="458"/>
      <c r="BC1779" s="169"/>
    </row>
    <row r="1780" spans="40:55" ht="15.75" customHeight="1">
      <c r="AN1780" s="458"/>
      <c r="BC1780" s="169"/>
    </row>
    <row r="1781" spans="40:55" ht="15.75" customHeight="1">
      <c r="AN1781" s="458"/>
      <c r="BC1781" s="169"/>
    </row>
    <row r="1782" spans="40:55" ht="15.75" customHeight="1">
      <c r="AN1782" s="458"/>
      <c r="BC1782" s="169"/>
    </row>
    <row r="1783" spans="40:55" ht="15.75" customHeight="1">
      <c r="AN1783" s="458"/>
      <c r="BC1783" s="169"/>
    </row>
    <row r="1784" spans="40:55" ht="15.75" customHeight="1">
      <c r="AN1784" s="458"/>
      <c r="BC1784" s="169"/>
    </row>
    <row r="1785" spans="40:55" ht="15.75" customHeight="1">
      <c r="AN1785" s="458"/>
      <c r="BC1785" s="169"/>
    </row>
    <row r="1786" spans="40:55" ht="15.75" customHeight="1">
      <c r="AN1786" s="458"/>
      <c r="BC1786" s="169"/>
    </row>
    <row r="1787" spans="40:55" ht="15.75" customHeight="1">
      <c r="AN1787" s="458"/>
      <c r="BC1787" s="169"/>
    </row>
    <row r="1788" spans="40:55" ht="15.75" customHeight="1">
      <c r="AN1788" s="458"/>
      <c r="BC1788" s="169"/>
    </row>
    <row r="1789" spans="40:55" ht="15.75" customHeight="1">
      <c r="AN1789" s="458"/>
      <c r="BC1789" s="169"/>
    </row>
    <row r="1790" spans="40:55" ht="15.75" customHeight="1">
      <c r="AN1790" s="458"/>
      <c r="BC1790" s="169"/>
    </row>
    <row r="1791" spans="40:55" ht="15.75" customHeight="1">
      <c r="AN1791" s="458"/>
      <c r="BC1791" s="169"/>
    </row>
    <row r="1792" spans="40:55" ht="15.75" customHeight="1">
      <c r="AN1792" s="458"/>
      <c r="BC1792" s="169"/>
    </row>
    <row r="1793" spans="40:55" ht="15.75" customHeight="1">
      <c r="AN1793" s="458"/>
      <c r="BC1793" s="169"/>
    </row>
    <row r="1794" spans="40:55" ht="15.75" customHeight="1">
      <c r="AN1794" s="458"/>
      <c r="BC1794" s="169"/>
    </row>
    <row r="1795" spans="40:55" ht="15.75" customHeight="1">
      <c r="AN1795" s="458"/>
      <c r="BC1795" s="169"/>
    </row>
    <row r="1796" spans="40:55" ht="15.75" customHeight="1">
      <c r="AN1796" s="458"/>
      <c r="BC1796" s="169"/>
    </row>
    <row r="1797" spans="40:55" ht="15.75" customHeight="1">
      <c r="AN1797" s="458"/>
      <c r="BC1797" s="169"/>
    </row>
    <row r="1798" spans="40:55" ht="15.75" customHeight="1">
      <c r="AN1798" s="458"/>
      <c r="BC1798" s="169"/>
    </row>
    <row r="1799" spans="40:55" ht="15.75" customHeight="1">
      <c r="AN1799" s="458"/>
      <c r="BC1799" s="169"/>
    </row>
    <row r="1800" spans="40:55" ht="15.75" customHeight="1">
      <c r="AN1800" s="458"/>
      <c r="BC1800" s="169"/>
    </row>
    <row r="1801" spans="40:55" ht="15.75" customHeight="1">
      <c r="AN1801" s="458"/>
      <c r="BC1801" s="169"/>
    </row>
    <row r="1802" spans="40:55" ht="15.75" customHeight="1">
      <c r="AN1802" s="458"/>
      <c r="BC1802" s="169"/>
    </row>
    <row r="1803" spans="40:55" ht="15.75" customHeight="1">
      <c r="AN1803" s="458"/>
      <c r="BC1803" s="169"/>
    </row>
    <row r="1804" spans="40:55" ht="15.75" customHeight="1">
      <c r="AN1804" s="458"/>
      <c r="BC1804" s="169"/>
    </row>
    <row r="1805" spans="40:55" ht="15.75" customHeight="1">
      <c r="AN1805" s="458"/>
      <c r="BC1805" s="169"/>
    </row>
    <row r="1806" spans="40:55" ht="15.75" customHeight="1">
      <c r="AN1806" s="458"/>
      <c r="BC1806" s="169"/>
    </row>
    <row r="1807" spans="40:55" ht="15.75" customHeight="1">
      <c r="AN1807" s="458"/>
      <c r="BC1807" s="169"/>
    </row>
    <row r="1808" spans="40:55" ht="15.75" customHeight="1">
      <c r="AN1808" s="458"/>
      <c r="BC1808" s="169"/>
    </row>
    <row r="1809" spans="40:55" ht="15.75" customHeight="1">
      <c r="AN1809" s="458"/>
      <c r="BC1809" s="169"/>
    </row>
    <row r="1810" spans="40:55" ht="15.75" customHeight="1">
      <c r="AN1810" s="458"/>
      <c r="BC1810" s="169"/>
    </row>
    <row r="1811" spans="40:55" ht="15.75" customHeight="1">
      <c r="AN1811" s="458"/>
      <c r="BC1811" s="169"/>
    </row>
    <row r="1812" spans="40:55" ht="15.75" customHeight="1">
      <c r="AN1812" s="458"/>
      <c r="BC1812" s="169"/>
    </row>
    <row r="1813" spans="40:55" ht="15.75" customHeight="1">
      <c r="AN1813" s="458"/>
      <c r="BC1813" s="169"/>
    </row>
    <row r="1814" spans="40:55" ht="15.75" customHeight="1">
      <c r="AN1814" s="458"/>
      <c r="BC1814" s="169"/>
    </row>
    <row r="1815" spans="40:55" ht="15.75" customHeight="1">
      <c r="AN1815" s="458"/>
      <c r="BC1815" s="169"/>
    </row>
    <row r="1816" spans="40:55" ht="15.75" customHeight="1">
      <c r="AN1816" s="458"/>
      <c r="BC1816" s="169"/>
    </row>
    <row r="1817" spans="40:55" ht="15.75" customHeight="1">
      <c r="AN1817" s="458"/>
      <c r="BC1817" s="169"/>
    </row>
    <row r="1818" spans="40:55" ht="15.75" customHeight="1">
      <c r="AN1818" s="458"/>
      <c r="BC1818" s="169"/>
    </row>
    <row r="1819" spans="40:55" ht="15.75" customHeight="1">
      <c r="AN1819" s="458"/>
      <c r="BC1819" s="169"/>
    </row>
    <row r="1820" spans="40:55" ht="15.75" customHeight="1">
      <c r="AN1820" s="458"/>
      <c r="BC1820" s="169"/>
    </row>
    <row r="1821" spans="40:55" ht="15.75" customHeight="1">
      <c r="AN1821" s="458"/>
      <c r="BC1821" s="169"/>
    </row>
    <row r="1822" spans="40:55" ht="15.75" customHeight="1">
      <c r="AN1822" s="458"/>
      <c r="BC1822" s="169"/>
    </row>
    <row r="1823" spans="40:55" ht="15.75" customHeight="1">
      <c r="AN1823" s="458"/>
      <c r="BC1823" s="169"/>
    </row>
    <row r="1824" spans="40:55" ht="15.75" customHeight="1">
      <c r="AN1824" s="458"/>
      <c r="BC1824" s="169"/>
    </row>
    <row r="1825" spans="40:55" ht="15.75" customHeight="1">
      <c r="AN1825" s="458"/>
      <c r="BC1825" s="169"/>
    </row>
    <row r="1826" spans="40:55" ht="15.75" customHeight="1">
      <c r="AN1826" s="458"/>
      <c r="BC1826" s="169"/>
    </row>
    <row r="1827" spans="40:55" ht="15.75" customHeight="1">
      <c r="AN1827" s="458"/>
      <c r="BC1827" s="169"/>
    </row>
    <row r="1828" spans="40:55" ht="15.75" customHeight="1">
      <c r="AN1828" s="458"/>
      <c r="BC1828" s="169"/>
    </row>
    <row r="1829" spans="40:55" ht="15.75" customHeight="1">
      <c r="AN1829" s="458"/>
      <c r="BC1829" s="169"/>
    </row>
    <row r="1830" spans="40:55" ht="15.75" customHeight="1">
      <c r="AN1830" s="458"/>
      <c r="BC1830" s="169"/>
    </row>
    <row r="1831" spans="40:55" ht="15.75" customHeight="1">
      <c r="AN1831" s="458"/>
      <c r="BC1831" s="169"/>
    </row>
    <row r="1832" spans="40:55" ht="15.75" customHeight="1">
      <c r="AN1832" s="458"/>
      <c r="BC1832" s="169"/>
    </row>
    <row r="1833" spans="40:55" ht="15.75" customHeight="1">
      <c r="AN1833" s="458"/>
      <c r="BC1833" s="169"/>
    </row>
    <row r="1834" spans="40:55" ht="15.75" customHeight="1">
      <c r="AN1834" s="458"/>
      <c r="BC1834" s="169"/>
    </row>
    <row r="1835" spans="40:55" ht="15.75" customHeight="1">
      <c r="AN1835" s="458"/>
      <c r="BC1835" s="169"/>
    </row>
    <row r="1836" spans="40:55" ht="15.75" customHeight="1">
      <c r="AN1836" s="458"/>
      <c r="BC1836" s="169"/>
    </row>
    <row r="1837" spans="40:55" ht="15.75" customHeight="1">
      <c r="AN1837" s="458"/>
      <c r="BC1837" s="169"/>
    </row>
    <row r="1838" spans="40:55" ht="15.75" customHeight="1">
      <c r="AN1838" s="458"/>
      <c r="BC1838" s="169"/>
    </row>
    <row r="1839" spans="40:55" ht="15.75" customHeight="1">
      <c r="AN1839" s="458"/>
      <c r="BC1839" s="169"/>
    </row>
    <row r="1840" spans="40:55" ht="15.75" customHeight="1">
      <c r="AN1840" s="458"/>
      <c r="BC1840" s="169"/>
    </row>
    <row r="1841" spans="40:55" ht="15.75" customHeight="1">
      <c r="AN1841" s="458"/>
      <c r="BC1841" s="169"/>
    </row>
    <row r="1842" spans="40:55" ht="15.75" customHeight="1">
      <c r="AN1842" s="458"/>
      <c r="BC1842" s="169"/>
    </row>
    <row r="1843" spans="40:55" ht="15.75" customHeight="1">
      <c r="AN1843" s="458"/>
      <c r="BC1843" s="169"/>
    </row>
    <row r="1844" spans="40:55" ht="15.75" customHeight="1">
      <c r="AN1844" s="458"/>
      <c r="BC1844" s="169"/>
    </row>
    <row r="1845" spans="40:55" ht="15.75" customHeight="1">
      <c r="AN1845" s="458"/>
      <c r="BC1845" s="169"/>
    </row>
    <row r="1846" spans="40:55" ht="15.75" customHeight="1">
      <c r="AN1846" s="458"/>
      <c r="BC1846" s="169"/>
    </row>
    <row r="1847" spans="40:55" ht="15.75" customHeight="1">
      <c r="AN1847" s="458"/>
      <c r="BC1847" s="169"/>
    </row>
    <row r="1848" spans="40:55" ht="15.75" customHeight="1">
      <c r="AN1848" s="458"/>
      <c r="BC1848" s="169"/>
    </row>
    <row r="1849" spans="40:55" ht="15.75" customHeight="1">
      <c r="AN1849" s="458"/>
      <c r="BC1849" s="169"/>
    </row>
    <row r="1850" spans="40:55" ht="15.75" customHeight="1">
      <c r="AN1850" s="458"/>
      <c r="BC1850" s="169"/>
    </row>
    <row r="1851" spans="40:55" ht="15.75" customHeight="1">
      <c r="AN1851" s="458"/>
      <c r="BC1851" s="169"/>
    </row>
    <row r="1852" spans="40:55" ht="15.75" customHeight="1">
      <c r="AN1852" s="458"/>
      <c r="BC1852" s="169"/>
    </row>
    <row r="1853" spans="40:55" ht="15.75" customHeight="1">
      <c r="AN1853" s="458"/>
      <c r="BC1853" s="169"/>
    </row>
    <row r="1854" spans="40:55" ht="15.75" customHeight="1">
      <c r="AN1854" s="458"/>
      <c r="BC1854" s="169"/>
    </row>
    <row r="1855" spans="40:55" ht="15.75" customHeight="1">
      <c r="AN1855" s="458"/>
      <c r="BC1855" s="169"/>
    </row>
    <row r="1856" spans="40:55" ht="15.75" customHeight="1">
      <c r="AN1856" s="458"/>
      <c r="BC1856" s="169"/>
    </row>
    <row r="1857" spans="40:55" ht="15.75" customHeight="1">
      <c r="AN1857" s="458"/>
      <c r="BC1857" s="169"/>
    </row>
    <row r="1858" spans="40:55" ht="15.75" customHeight="1">
      <c r="AN1858" s="458"/>
      <c r="BC1858" s="169"/>
    </row>
    <row r="1859" spans="40:55" ht="15.75" customHeight="1">
      <c r="AN1859" s="458"/>
      <c r="BC1859" s="169"/>
    </row>
    <row r="1860" spans="40:55" ht="15.75" customHeight="1">
      <c r="AN1860" s="458"/>
      <c r="BC1860" s="169"/>
    </row>
    <row r="1861" spans="40:55" ht="15.75" customHeight="1">
      <c r="AN1861" s="458"/>
      <c r="BC1861" s="169"/>
    </row>
    <row r="1862" spans="40:55" ht="15.75" customHeight="1">
      <c r="AN1862" s="458"/>
      <c r="BC1862" s="169"/>
    </row>
    <row r="1863" spans="40:55" ht="15.75" customHeight="1">
      <c r="AN1863" s="458"/>
      <c r="BC1863" s="169"/>
    </row>
    <row r="1864" spans="40:55" ht="15.75" customHeight="1">
      <c r="AN1864" s="458"/>
      <c r="BC1864" s="169"/>
    </row>
    <row r="1865" spans="40:55" ht="15.75" customHeight="1">
      <c r="AN1865" s="458"/>
      <c r="BC1865" s="169"/>
    </row>
    <row r="1866" spans="40:55" ht="15.75" customHeight="1">
      <c r="AN1866" s="458"/>
      <c r="BC1866" s="169"/>
    </row>
    <row r="1867" spans="40:55" ht="15.75" customHeight="1">
      <c r="AN1867" s="458"/>
      <c r="BC1867" s="169"/>
    </row>
    <row r="1868" spans="40:55" ht="15.75" customHeight="1">
      <c r="AN1868" s="458"/>
      <c r="BC1868" s="169"/>
    </row>
    <row r="1869" spans="40:55" ht="15.75" customHeight="1">
      <c r="AN1869" s="458"/>
      <c r="BC1869" s="169"/>
    </row>
    <row r="1870" spans="40:55" ht="15.75" customHeight="1">
      <c r="AN1870" s="458"/>
      <c r="BC1870" s="169"/>
    </row>
    <row r="1871" spans="40:55" ht="15.75" customHeight="1">
      <c r="AN1871" s="458"/>
      <c r="BC1871" s="169"/>
    </row>
    <row r="1872" spans="40:55" ht="15.75" customHeight="1">
      <c r="AN1872" s="458"/>
      <c r="BC1872" s="169"/>
    </row>
    <row r="1873" spans="40:55" ht="15.75" customHeight="1">
      <c r="AN1873" s="458"/>
      <c r="BC1873" s="169"/>
    </row>
    <row r="1874" spans="40:55" ht="15.75" customHeight="1">
      <c r="AN1874" s="458"/>
      <c r="BC1874" s="169"/>
    </row>
    <row r="1875" spans="40:55" ht="15.75" customHeight="1">
      <c r="AN1875" s="458"/>
      <c r="BC1875" s="169"/>
    </row>
    <row r="1876" spans="40:55" ht="15.75" customHeight="1">
      <c r="AN1876" s="458"/>
      <c r="BC1876" s="169"/>
    </row>
    <row r="1877" spans="40:55" ht="15.75" customHeight="1">
      <c r="AN1877" s="458"/>
      <c r="BC1877" s="169"/>
    </row>
    <row r="1878" spans="40:55" ht="15.75" customHeight="1">
      <c r="AN1878" s="458"/>
      <c r="BC1878" s="169"/>
    </row>
    <row r="1879" spans="40:55" ht="15.75" customHeight="1">
      <c r="AN1879" s="458"/>
      <c r="BC1879" s="169"/>
    </row>
    <row r="1880" spans="40:55" ht="15.75" customHeight="1">
      <c r="AN1880" s="458"/>
      <c r="BC1880" s="169"/>
    </row>
    <row r="1881" spans="40:55" ht="15.75" customHeight="1">
      <c r="AN1881" s="458"/>
      <c r="BC1881" s="169"/>
    </row>
    <row r="1882" spans="40:55" ht="15.75" customHeight="1">
      <c r="AN1882" s="458"/>
      <c r="BC1882" s="169"/>
    </row>
    <row r="1883" spans="40:55" ht="15.75" customHeight="1">
      <c r="AN1883" s="458"/>
      <c r="BC1883" s="169"/>
    </row>
    <row r="1884" spans="40:55" ht="15.75" customHeight="1">
      <c r="AN1884" s="458"/>
      <c r="BC1884" s="169"/>
    </row>
    <row r="1885" spans="40:55" ht="15.75" customHeight="1">
      <c r="AN1885" s="458"/>
      <c r="BC1885" s="169"/>
    </row>
    <row r="1886" spans="40:55" ht="15.75" customHeight="1">
      <c r="AN1886" s="458"/>
      <c r="BC1886" s="169"/>
    </row>
    <row r="1887" spans="40:55" ht="15.75" customHeight="1">
      <c r="AN1887" s="458"/>
      <c r="BC1887" s="169"/>
    </row>
    <row r="1888" spans="40:55" ht="15.75" customHeight="1">
      <c r="AN1888" s="458"/>
      <c r="BC1888" s="169"/>
    </row>
    <row r="1889" spans="40:55" ht="15.75" customHeight="1">
      <c r="AN1889" s="458"/>
      <c r="BC1889" s="169"/>
    </row>
    <row r="1890" spans="40:55" ht="15.75" customHeight="1">
      <c r="AN1890" s="458"/>
      <c r="BC1890" s="169"/>
    </row>
    <row r="1891" spans="40:55" ht="15.75" customHeight="1">
      <c r="AN1891" s="458"/>
      <c r="BC1891" s="169"/>
    </row>
    <row r="1892" spans="40:55" ht="15.75" customHeight="1">
      <c r="AN1892" s="458"/>
      <c r="BC1892" s="169"/>
    </row>
    <row r="1893" spans="40:55" ht="15.75" customHeight="1">
      <c r="AN1893" s="458"/>
      <c r="BC1893" s="169"/>
    </row>
    <row r="1894" spans="40:55" ht="15.75" customHeight="1">
      <c r="AN1894" s="458"/>
      <c r="BC1894" s="169"/>
    </row>
    <row r="1895" spans="40:55" ht="15.75" customHeight="1">
      <c r="AN1895" s="458"/>
      <c r="BC1895" s="169"/>
    </row>
    <row r="1896" spans="40:55" ht="15.75" customHeight="1">
      <c r="AN1896" s="458"/>
      <c r="BC1896" s="169"/>
    </row>
    <row r="1897" spans="40:55" ht="15.75" customHeight="1">
      <c r="AN1897" s="458"/>
      <c r="BC1897" s="169"/>
    </row>
    <row r="1898" spans="40:55" ht="15.75" customHeight="1">
      <c r="AN1898" s="458"/>
      <c r="BC1898" s="169"/>
    </row>
    <row r="1899" spans="40:55" ht="15.75" customHeight="1">
      <c r="AN1899" s="458"/>
      <c r="BC1899" s="169"/>
    </row>
    <row r="1900" spans="40:55" ht="15.75" customHeight="1">
      <c r="AN1900" s="458"/>
      <c r="BC1900" s="169"/>
    </row>
    <row r="1901" spans="40:55" ht="15.75" customHeight="1">
      <c r="AN1901" s="458"/>
      <c r="BC1901" s="169"/>
    </row>
    <row r="1902" spans="40:55" ht="15.75" customHeight="1">
      <c r="AN1902" s="458"/>
      <c r="BC1902" s="169"/>
    </row>
    <row r="1903" spans="40:55" ht="15.75" customHeight="1">
      <c r="AN1903" s="458"/>
      <c r="BC1903" s="169"/>
    </row>
    <row r="1904" spans="40:55" ht="15.75" customHeight="1">
      <c r="AN1904" s="458"/>
      <c r="BC1904" s="169"/>
    </row>
    <row r="1905" spans="40:55" ht="15.75" customHeight="1">
      <c r="AN1905" s="458"/>
      <c r="BC1905" s="169"/>
    </row>
    <row r="1906" spans="40:55" ht="15.75" customHeight="1">
      <c r="AN1906" s="458"/>
      <c r="BC1906" s="169"/>
    </row>
    <row r="1907" spans="40:55" ht="15.75" customHeight="1">
      <c r="AN1907" s="458"/>
      <c r="BC1907" s="169"/>
    </row>
    <row r="1908" spans="40:55" ht="15.75" customHeight="1">
      <c r="AN1908" s="458"/>
      <c r="BC1908" s="169"/>
    </row>
    <row r="1909" spans="40:55" ht="15.75" customHeight="1">
      <c r="AN1909" s="458"/>
      <c r="BC1909" s="169"/>
    </row>
    <row r="1910" spans="40:55" ht="15.75" customHeight="1">
      <c r="AN1910" s="458"/>
      <c r="BC1910" s="169"/>
    </row>
    <row r="1911" spans="40:55" ht="15.75" customHeight="1">
      <c r="AN1911" s="458"/>
      <c r="BC1911" s="169"/>
    </row>
    <row r="1912" spans="40:55" ht="15.75" customHeight="1">
      <c r="AN1912" s="458"/>
      <c r="BC1912" s="169"/>
    </row>
    <row r="1913" spans="40:55" ht="15.75" customHeight="1">
      <c r="AN1913" s="458"/>
      <c r="BC1913" s="169"/>
    </row>
    <row r="1914" spans="40:55" ht="15.75" customHeight="1">
      <c r="AN1914" s="458"/>
      <c r="BC1914" s="169"/>
    </row>
    <row r="1915" spans="40:55" ht="15.75" customHeight="1">
      <c r="AN1915" s="458"/>
      <c r="BC1915" s="169"/>
    </row>
    <row r="1916" spans="40:55" ht="15.75" customHeight="1">
      <c r="AN1916" s="458"/>
      <c r="BC1916" s="169"/>
    </row>
    <row r="1917" spans="40:55" ht="15.75" customHeight="1">
      <c r="AN1917" s="458"/>
      <c r="BC1917" s="169"/>
    </row>
    <row r="1918" spans="40:55" ht="15.75" customHeight="1">
      <c r="AN1918" s="458"/>
      <c r="BC1918" s="169"/>
    </row>
    <row r="1919" spans="40:55" ht="15.75" customHeight="1">
      <c r="AN1919" s="458"/>
      <c r="BC1919" s="169"/>
    </row>
    <row r="1920" spans="40:55" ht="15.75" customHeight="1">
      <c r="AN1920" s="458"/>
      <c r="BC1920" s="169"/>
    </row>
    <row r="1921" spans="40:55" ht="15.75" customHeight="1">
      <c r="AN1921" s="458"/>
      <c r="BC1921" s="169"/>
    </row>
    <row r="1922" spans="40:55" ht="15.75" customHeight="1">
      <c r="AN1922" s="458"/>
      <c r="BC1922" s="169"/>
    </row>
    <row r="1923" spans="40:55" ht="15.75" customHeight="1">
      <c r="AN1923" s="458"/>
      <c r="BC1923" s="169"/>
    </row>
    <row r="1924" spans="40:55" ht="15.75" customHeight="1">
      <c r="AN1924" s="458"/>
      <c r="BC1924" s="169"/>
    </row>
    <row r="1925" spans="40:55" ht="15.75" customHeight="1">
      <c r="AN1925" s="458"/>
      <c r="BC1925" s="169"/>
    </row>
    <row r="1926" spans="40:55" ht="15.75" customHeight="1">
      <c r="AN1926" s="458"/>
      <c r="BC1926" s="169"/>
    </row>
    <row r="1927" spans="40:55" ht="15.75" customHeight="1">
      <c r="AN1927" s="458"/>
      <c r="BC1927" s="169"/>
    </row>
    <row r="1928" spans="40:55" ht="15.75" customHeight="1">
      <c r="AN1928" s="458"/>
      <c r="BC1928" s="169"/>
    </row>
    <row r="1929" spans="40:55" ht="15.75" customHeight="1">
      <c r="AN1929" s="458"/>
      <c r="BC1929" s="169"/>
    </row>
    <row r="1930" spans="40:55" ht="15.75" customHeight="1">
      <c r="AN1930" s="458"/>
      <c r="BC1930" s="169"/>
    </row>
    <row r="1931" spans="40:55" ht="15.75" customHeight="1">
      <c r="AN1931" s="458"/>
      <c r="BC1931" s="169"/>
    </row>
    <row r="1932" spans="40:55" ht="15.75" customHeight="1">
      <c r="AN1932" s="458"/>
      <c r="BC1932" s="169"/>
    </row>
    <row r="1933" spans="40:55" ht="15.75" customHeight="1">
      <c r="AN1933" s="458"/>
      <c r="BC1933" s="169"/>
    </row>
    <row r="1934" spans="40:55" ht="15.75" customHeight="1">
      <c r="AN1934" s="458"/>
      <c r="BC1934" s="169"/>
    </row>
    <row r="1935" spans="40:55" ht="15.75" customHeight="1">
      <c r="AN1935" s="458"/>
      <c r="BC1935" s="169"/>
    </row>
    <row r="1936" spans="40:55" ht="15.75" customHeight="1">
      <c r="AN1936" s="458"/>
      <c r="BC1936" s="169"/>
    </row>
    <row r="1937" spans="40:55" ht="15.75" customHeight="1">
      <c r="AN1937" s="458"/>
      <c r="BC1937" s="169"/>
    </row>
    <row r="1938" spans="40:55" ht="15.75" customHeight="1">
      <c r="AN1938" s="458"/>
      <c r="BC1938" s="169"/>
    </row>
    <row r="1939" spans="40:55" ht="15.75" customHeight="1">
      <c r="AN1939" s="458"/>
      <c r="BC1939" s="169"/>
    </row>
    <row r="1940" spans="40:55" ht="15.75" customHeight="1">
      <c r="AN1940" s="458"/>
      <c r="BC1940" s="169"/>
    </row>
    <row r="1941" spans="40:55" ht="15.75" customHeight="1">
      <c r="AN1941" s="458"/>
      <c r="BC1941" s="169"/>
    </row>
    <row r="1942" spans="40:55" ht="15.75" customHeight="1">
      <c r="AN1942" s="458"/>
      <c r="BC1942" s="169"/>
    </row>
    <row r="1943" spans="40:55" ht="15.75" customHeight="1">
      <c r="AN1943" s="458"/>
      <c r="BC1943" s="169"/>
    </row>
    <row r="1944" spans="40:55" ht="15.75" customHeight="1">
      <c r="AN1944" s="458"/>
      <c r="BC1944" s="169"/>
    </row>
    <row r="1945" spans="40:55" ht="15.75" customHeight="1">
      <c r="AN1945" s="458"/>
      <c r="BC1945" s="169"/>
    </row>
    <row r="1946" spans="40:55" ht="15.75" customHeight="1">
      <c r="AN1946" s="458"/>
      <c r="BC1946" s="169"/>
    </row>
    <row r="1947" spans="40:55" ht="15.75" customHeight="1">
      <c r="AN1947" s="458"/>
      <c r="BC1947" s="169"/>
    </row>
    <row r="1948" spans="40:55" ht="15.75" customHeight="1">
      <c r="AN1948" s="458"/>
      <c r="BC1948" s="169"/>
    </row>
    <row r="1949" spans="40:55" ht="15.75" customHeight="1">
      <c r="AN1949" s="458"/>
      <c r="BC1949" s="169"/>
    </row>
    <row r="1950" spans="40:55" ht="15.75" customHeight="1">
      <c r="AN1950" s="458"/>
      <c r="BC1950" s="169"/>
    </row>
    <row r="1951" spans="40:55" ht="15.75" customHeight="1">
      <c r="AN1951" s="458"/>
      <c r="BC1951" s="169"/>
    </row>
    <row r="1952" spans="40:55" ht="15.75" customHeight="1">
      <c r="AN1952" s="458"/>
      <c r="BC1952" s="169"/>
    </row>
    <row r="1953" spans="40:55" ht="15.75" customHeight="1">
      <c r="AN1953" s="458"/>
      <c r="BC1953" s="169"/>
    </row>
    <row r="1954" spans="40:55" ht="15.75" customHeight="1">
      <c r="AN1954" s="458"/>
      <c r="BC1954" s="169"/>
    </row>
    <row r="1955" spans="40:55" ht="15.75" customHeight="1">
      <c r="AN1955" s="458"/>
      <c r="BC1955" s="169"/>
    </row>
    <row r="1956" spans="40:55" ht="15.75" customHeight="1">
      <c r="AN1956" s="458"/>
      <c r="BC1956" s="169"/>
    </row>
    <row r="1957" spans="40:55" ht="15.75" customHeight="1">
      <c r="AN1957" s="458"/>
      <c r="BC1957" s="169"/>
    </row>
    <row r="1958" spans="40:55" ht="15.75" customHeight="1">
      <c r="AN1958" s="458"/>
      <c r="BC1958" s="169"/>
    </row>
    <row r="1959" spans="40:55" ht="15.75" customHeight="1">
      <c r="AN1959" s="458"/>
      <c r="BC1959" s="169"/>
    </row>
    <row r="1960" spans="40:55" ht="15.75" customHeight="1">
      <c r="AN1960" s="458"/>
      <c r="BC1960" s="169"/>
    </row>
    <row r="1961" spans="40:55" ht="15.75" customHeight="1">
      <c r="AN1961" s="458"/>
      <c r="BC1961" s="169"/>
    </row>
    <row r="1962" spans="40:55" ht="15.75" customHeight="1">
      <c r="AN1962" s="458"/>
      <c r="BC1962" s="169"/>
    </row>
    <row r="1963" spans="40:55" ht="15.75" customHeight="1">
      <c r="AN1963" s="458"/>
      <c r="BC1963" s="169"/>
    </row>
    <row r="1964" spans="40:55" ht="15.75" customHeight="1">
      <c r="AN1964" s="458"/>
      <c r="BC1964" s="169"/>
    </row>
    <row r="1965" spans="40:55" ht="15.75" customHeight="1">
      <c r="AN1965" s="458"/>
      <c r="BC1965" s="169"/>
    </row>
    <row r="1966" spans="40:55" ht="15.75" customHeight="1">
      <c r="AN1966" s="458"/>
      <c r="BC1966" s="169"/>
    </row>
    <row r="1967" spans="40:55" ht="15.75" customHeight="1">
      <c r="AN1967" s="458"/>
      <c r="BC1967" s="169"/>
    </row>
    <row r="1968" spans="40:55" ht="15.75" customHeight="1">
      <c r="AN1968" s="458"/>
      <c r="BC1968" s="169"/>
    </row>
    <row r="1969" spans="40:55" ht="15.75" customHeight="1">
      <c r="AN1969" s="458"/>
      <c r="BC1969" s="169"/>
    </row>
    <row r="1970" spans="40:55" ht="15.75" customHeight="1">
      <c r="AN1970" s="458"/>
      <c r="BC1970" s="169"/>
    </row>
    <row r="1971" spans="40:55" ht="15.75" customHeight="1">
      <c r="AN1971" s="458"/>
      <c r="BC1971" s="169"/>
    </row>
    <row r="1972" spans="40:55" ht="15.75" customHeight="1">
      <c r="AN1972" s="458"/>
      <c r="BC1972" s="169"/>
    </row>
    <row r="1973" spans="40:55" ht="15.75" customHeight="1">
      <c r="AN1973" s="458"/>
      <c r="BC1973" s="169"/>
    </row>
    <row r="1974" spans="40:55" ht="15.75" customHeight="1">
      <c r="AN1974" s="458"/>
      <c r="BC1974" s="169"/>
    </row>
    <row r="1975" spans="40:55" ht="15.75" customHeight="1">
      <c r="AN1975" s="458"/>
      <c r="BC1975" s="169"/>
    </row>
    <row r="1976" spans="40:55" ht="15.75" customHeight="1">
      <c r="AN1976" s="458"/>
      <c r="BC1976" s="169"/>
    </row>
    <row r="1977" spans="40:55" ht="15.75" customHeight="1">
      <c r="AN1977" s="458"/>
      <c r="BC1977" s="169"/>
    </row>
    <row r="1978" spans="40:55" ht="15.75" customHeight="1">
      <c r="AN1978" s="458"/>
      <c r="BC1978" s="169"/>
    </row>
    <row r="1979" spans="40:55" ht="15.75" customHeight="1">
      <c r="AN1979" s="458"/>
      <c r="BC1979" s="169"/>
    </row>
    <row r="1980" spans="40:55" ht="15.75" customHeight="1">
      <c r="AN1980" s="458"/>
      <c r="BC1980" s="169"/>
    </row>
    <row r="1981" spans="40:55" ht="15.75" customHeight="1">
      <c r="AN1981" s="458"/>
      <c r="BC1981" s="169"/>
    </row>
    <row r="1982" spans="40:55" ht="15.75" customHeight="1">
      <c r="AN1982" s="458"/>
      <c r="BC1982" s="169"/>
    </row>
    <row r="1983" spans="40:55" ht="15.75" customHeight="1">
      <c r="AN1983" s="458"/>
      <c r="BC1983" s="169"/>
    </row>
    <row r="1984" spans="40:55" ht="15.75" customHeight="1">
      <c r="AN1984" s="458"/>
      <c r="BC1984" s="169"/>
    </row>
    <row r="1985" spans="40:55" ht="15.75" customHeight="1">
      <c r="AN1985" s="458"/>
      <c r="BC1985" s="169"/>
    </row>
    <row r="1986" spans="40:55" ht="15.75" customHeight="1">
      <c r="AN1986" s="458"/>
      <c r="BC1986" s="169"/>
    </row>
    <row r="1987" spans="40:55" ht="15.75" customHeight="1">
      <c r="AN1987" s="458"/>
      <c r="BC1987" s="169"/>
    </row>
    <row r="1988" spans="40:55" ht="15.75" customHeight="1">
      <c r="AN1988" s="458"/>
      <c r="BC1988" s="169"/>
    </row>
    <row r="1989" spans="40:55" ht="15.75" customHeight="1">
      <c r="AN1989" s="458"/>
      <c r="BC1989" s="169"/>
    </row>
    <row r="1990" spans="40:55" ht="15.75" customHeight="1">
      <c r="AN1990" s="458"/>
      <c r="BC1990" s="169"/>
    </row>
    <row r="1991" spans="40:55" ht="15.75" customHeight="1">
      <c r="AN1991" s="458"/>
      <c r="BC1991" s="169"/>
    </row>
    <row r="1992" spans="40:55" ht="15.75" customHeight="1">
      <c r="AN1992" s="458"/>
      <c r="BC1992" s="169"/>
    </row>
    <row r="1993" spans="40:55" ht="15.75" customHeight="1">
      <c r="AN1993" s="458"/>
      <c r="BC1993" s="169"/>
    </row>
    <row r="1994" spans="40:55" ht="15.75" customHeight="1">
      <c r="AN1994" s="458"/>
      <c r="BC1994" s="169"/>
    </row>
    <row r="1995" spans="40:55" ht="15.75" customHeight="1">
      <c r="AN1995" s="458"/>
      <c r="BC1995" s="169"/>
    </row>
    <row r="1996" spans="40:55" ht="15.75" customHeight="1">
      <c r="AN1996" s="458"/>
      <c r="BC1996" s="169"/>
    </row>
    <row r="1997" spans="40:55" ht="15.75" customHeight="1">
      <c r="AN1997" s="458"/>
      <c r="BC1997" s="169"/>
    </row>
    <row r="1998" spans="40:55" ht="15.75" customHeight="1">
      <c r="AN1998" s="458"/>
    </row>
    <row r="1999" spans="40:55" ht="15.75" customHeight="1">
      <c r="AN1999" s="458"/>
    </row>
    <row r="2000" spans="40:55" ht="15.75" customHeight="1">
      <c r="AN2000" s="458"/>
    </row>
    <row r="2001" spans="40:40" ht="15.75" customHeight="1">
      <c r="AN2001" s="458"/>
    </row>
    <row r="2002" spans="40:40" ht="15.75" customHeight="1">
      <c r="AN2002" s="458"/>
    </row>
    <row r="2003" spans="40:40" ht="15.75" customHeight="1">
      <c r="AN2003" s="458"/>
    </row>
    <row r="2004" spans="40:40" ht="15.75" customHeight="1">
      <c r="AN2004" s="458"/>
    </row>
    <row r="2005" spans="40:40" ht="15.75" customHeight="1">
      <c r="AN2005" s="458"/>
    </row>
    <row r="2006" spans="40:40" ht="15.75" customHeight="1">
      <c r="AN2006" s="458"/>
    </row>
    <row r="2007" spans="40:40" ht="15.75" customHeight="1">
      <c r="AN2007" s="458"/>
    </row>
    <row r="2008" spans="40:40" ht="15.75" customHeight="1">
      <c r="AN2008" s="458"/>
    </row>
    <row r="2009" spans="40:40" ht="15.75" customHeight="1">
      <c r="AN2009" s="458"/>
    </row>
    <row r="2010" spans="40:40" ht="15.75" customHeight="1">
      <c r="AN2010" s="458"/>
    </row>
    <row r="2011" spans="40:40" ht="15.75" customHeight="1">
      <c r="AN2011" s="458"/>
    </row>
    <row r="2012" spans="40:40" ht="15.75" customHeight="1">
      <c r="AN2012" s="458"/>
    </row>
    <row r="2013" spans="40:40" ht="15.75" customHeight="1">
      <c r="AN2013" s="458"/>
    </row>
    <row r="2014" spans="40:40" ht="15.75" customHeight="1">
      <c r="AN2014" s="458"/>
    </row>
    <row r="2015" spans="40:40" ht="15.75" customHeight="1">
      <c r="AN2015" s="458"/>
    </row>
    <row r="2016" spans="40:40" ht="15.75" customHeight="1">
      <c r="AN2016" s="458"/>
    </row>
    <row r="2017" spans="40:40" ht="15.75" customHeight="1">
      <c r="AN2017" s="458"/>
    </row>
    <row r="2018" spans="40:40" ht="15.75" customHeight="1">
      <c r="AN2018" s="458"/>
    </row>
    <row r="2019" spans="40:40" ht="15.75" customHeight="1">
      <c r="AN2019" s="458"/>
    </row>
    <row r="2020" spans="40:40" ht="15.75" customHeight="1">
      <c r="AN2020" s="458"/>
    </row>
    <row r="2021" spans="40:40" ht="15.75" customHeight="1">
      <c r="AN2021" s="458"/>
    </row>
    <row r="2022" spans="40:40" ht="15.75" customHeight="1">
      <c r="AN2022" s="458"/>
    </row>
    <row r="2023" spans="40:40" ht="15.75" customHeight="1">
      <c r="AN2023" s="458"/>
    </row>
    <row r="2024" spans="40:40" ht="15.75" customHeight="1">
      <c r="AN2024" s="458"/>
    </row>
    <row r="2025" spans="40:40" ht="15.75" customHeight="1">
      <c r="AN2025" s="458"/>
    </row>
    <row r="2026" spans="40:40" ht="15.75" customHeight="1">
      <c r="AN2026" s="458"/>
    </row>
    <row r="2027" spans="40:40" ht="15.75" customHeight="1">
      <c r="AN2027" s="458"/>
    </row>
    <row r="2028" spans="40:40" ht="15.75" customHeight="1">
      <c r="AN2028" s="458"/>
    </row>
    <row r="2029" spans="40:40" ht="15.75" customHeight="1">
      <c r="AN2029" s="458"/>
    </row>
    <row r="2030" spans="40:40" ht="15.75" customHeight="1">
      <c r="AN2030" s="458"/>
    </row>
    <row r="2031" spans="40:40" ht="15.75" customHeight="1">
      <c r="AN2031" s="458"/>
    </row>
    <row r="2032" spans="40:40" ht="15.75" customHeight="1">
      <c r="AN2032" s="458"/>
    </row>
    <row r="2033" spans="40:40" ht="15.75" customHeight="1">
      <c r="AN2033" s="458"/>
    </row>
    <row r="2034" spans="40:40" ht="15.75" customHeight="1">
      <c r="AN2034" s="458"/>
    </row>
    <row r="2035" spans="40:40" ht="15.75" customHeight="1">
      <c r="AN2035" s="458"/>
    </row>
    <row r="2036" spans="40:40" ht="15.75" customHeight="1">
      <c r="AN2036" s="458"/>
    </row>
    <row r="2037" spans="40:40" ht="15.75" customHeight="1">
      <c r="AN2037" s="458"/>
    </row>
    <row r="2038" spans="40:40" ht="15.75" customHeight="1">
      <c r="AN2038" s="458"/>
    </row>
    <row r="2039" spans="40:40" ht="15.75" customHeight="1">
      <c r="AN2039" s="458"/>
    </row>
    <row r="2040" spans="40:40" ht="15.75" customHeight="1">
      <c r="AN2040" s="458"/>
    </row>
    <row r="2041" spans="40:40" ht="15.75" customHeight="1">
      <c r="AN2041" s="458"/>
    </row>
    <row r="2042" spans="40:40" ht="15.75" customHeight="1">
      <c r="AN2042" s="458"/>
    </row>
    <row r="2043" spans="40:40" ht="15.75" customHeight="1">
      <c r="AN2043" s="458"/>
    </row>
    <row r="2044" spans="40:40" ht="15.75" customHeight="1">
      <c r="AN2044" s="458"/>
    </row>
    <row r="2045" spans="40:40" ht="15.75" customHeight="1">
      <c r="AN2045" s="458"/>
    </row>
    <row r="2046" spans="40:40" ht="15.75" customHeight="1">
      <c r="AN2046" s="458"/>
    </row>
    <row r="2047" spans="40:40" ht="15.75" customHeight="1">
      <c r="AN2047" s="458"/>
    </row>
    <row r="2048" spans="40:40" ht="15.75" customHeight="1">
      <c r="AN2048" s="458"/>
    </row>
    <row r="2049" spans="40:40" ht="15.75" customHeight="1">
      <c r="AN2049" s="458"/>
    </row>
    <row r="2050" spans="40:40" ht="15.75" customHeight="1">
      <c r="AN2050" s="458"/>
    </row>
    <row r="2051" spans="40:40" ht="15.75" customHeight="1">
      <c r="AN2051" s="458"/>
    </row>
    <row r="2052" spans="40:40" ht="15.75" customHeight="1">
      <c r="AN2052" s="458"/>
    </row>
    <row r="2053" spans="40:40" ht="15.75" customHeight="1">
      <c r="AN2053" s="458"/>
    </row>
    <row r="2054" spans="40:40" ht="15.75" customHeight="1">
      <c r="AN2054" s="458"/>
    </row>
    <row r="2055" spans="40:40" ht="15.75" customHeight="1">
      <c r="AN2055" s="458"/>
    </row>
    <row r="2056" spans="40:40" ht="15.75" customHeight="1">
      <c r="AN2056" s="458"/>
    </row>
    <row r="2057" spans="40:40" ht="15.75" customHeight="1">
      <c r="AN2057" s="458"/>
    </row>
    <row r="2058" spans="40:40" ht="15.75" customHeight="1">
      <c r="AN2058" s="458"/>
    </row>
    <row r="2059" spans="40:40" ht="15.75" customHeight="1">
      <c r="AN2059" s="458"/>
    </row>
    <row r="2060" spans="40:40" ht="15.75" customHeight="1">
      <c r="AN2060" s="458"/>
    </row>
    <row r="2061" spans="40:40" ht="15.75" customHeight="1">
      <c r="AN2061" s="458"/>
    </row>
    <row r="2062" spans="40:40" ht="15.75" customHeight="1">
      <c r="AN2062" s="458"/>
    </row>
    <row r="2063" spans="40:40" ht="15.75" customHeight="1">
      <c r="AN2063" s="458"/>
    </row>
    <row r="2064" spans="40:40" ht="15.75" customHeight="1">
      <c r="AN2064" s="458"/>
    </row>
    <row r="2065" spans="40:40" ht="15.75" customHeight="1">
      <c r="AN2065" s="458"/>
    </row>
    <row r="2066" spans="40:40" ht="15.75" customHeight="1">
      <c r="AN2066" s="458"/>
    </row>
    <row r="2067" spans="40:40" ht="15.75" customHeight="1">
      <c r="AN2067" s="458"/>
    </row>
    <row r="2068" spans="40:40" ht="15.75" customHeight="1">
      <c r="AN2068" s="458"/>
    </row>
    <row r="2069" spans="40:40" ht="15.75" customHeight="1">
      <c r="AN2069" s="458"/>
    </row>
    <row r="2070" spans="40:40" ht="15.75" customHeight="1">
      <c r="AN2070" s="458"/>
    </row>
    <row r="2071" spans="40:40" ht="15.75" customHeight="1">
      <c r="AN2071" s="458"/>
    </row>
    <row r="2072" spans="40:40" ht="15.75" customHeight="1">
      <c r="AN2072" s="458"/>
    </row>
    <row r="2073" spans="40:40" ht="15.75" customHeight="1">
      <c r="AN2073" s="458"/>
    </row>
    <row r="2074" spans="40:40" ht="15.75" customHeight="1">
      <c r="AN2074" s="458"/>
    </row>
    <row r="2075" spans="40:40" ht="15.75" customHeight="1">
      <c r="AN2075" s="458"/>
    </row>
    <row r="2076" spans="40:40" ht="15.75" customHeight="1">
      <c r="AN2076" s="458"/>
    </row>
    <row r="2077" spans="40:40" ht="15.75" customHeight="1">
      <c r="AN2077" s="458"/>
    </row>
    <row r="2078" spans="40:40" ht="15.75" customHeight="1">
      <c r="AN2078" s="458"/>
    </row>
    <row r="2079" spans="40:40" ht="15.75" customHeight="1">
      <c r="AN2079" s="458"/>
    </row>
    <row r="2080" spans="40:40" ht="15.75" customHeight="1">
      <c r="AN2080" s="458"/>
    </row>
    <row r="2081" spans="40:40" ht="15.75" customHeight="1">
      <c r="AN2081" s="458"/>
    </row>
    <row r="2082" spans="40:40" ht="15.75" customHeight="1">
      <c r="AN2082" s="458"/>
    </row>
    <row r="2083" spans="40:40" ht="15.75" customHeight="1">
      <c r="AN2083" s="458"/>
    </row>
    <row r="2084" spans="40:40" ht="15.75" customHeight="1">
      <c r="AN2084" s="458"/>
    </row>
    <row r="2085" spans="40:40" ht="15.75" customHeight="1">
      <c r="AN2085" s="458"/>
    </row>
    <row r="2086" spans="40:40" ht="15.75" customHeight="1">
      <c r="AN2086" s="458"/>
    </row>
    <row r="2087" spans="40:40" ht="15.75" customHeight="1">
      <c r="AN2087" s="458"/>
    </row>
    <row r="2088" spans="40:40" ht="15.75" customHeight="1">
      <c r="AN2088" s="458"/>
    </row>
    <row r="2089" spans="40:40" ht="15.75" customHeight="1">
      <c r="AN2089" s="458"/>
    </row>
    <row r="2090" spans="40:40" ht="15.75" customHeight="1">
      <c r="AN2090" s="458"/>
    </row>
    <row r="2091" spans="40:40" ht="15.75" customHeight="1">
      <c r="AN2091" s="458"/>
    </row>
    <row r="2092" spans="40:40" ht="15.75" customHeight="1">
      <c r="AN2092" s="458"/>
    </row>
    <row r="2093" spans="40:40" ht="15.75" customHeight="1">
      <c r="AN2093" s="458"/>
    </row>
    <row r="2094" spans="40:40" ht="15.75" customHeight="1">
      <c r="AN2094" s="458"/>
    </row>
    <row r="2095" spans="40:40" ht="15.75" customHeight="1">
      <c r="AN2095" s="458"/>
    </row>
    <row r="2096" spans="40:40" ht="15.75" customHeight="1">
      <c r="AN2096" s="458"/>
    </row>
    <row r="2097" spans="40:40" ht="15.75" customHeight="1">
      <c r="AN2097" s="458"/>
    </row>
    <row r="2098" spans="40:40" ht="15.75" customHeight="1">
      <c r="AN2098" s="458"/>
    </row>
    <row r="2099" spans="40:40" ht="15.75" customHeight="1">
      <c r="AN2099" s="458"/>
    </row>
    <row r="2100" spans="40:40" ht="15.75" customHeight="1">
      <c r="AN2100" s="458"/>
    </row>
    <row r="2101" spans="40:40" ht="15.75" customHeight="1">
      <c r="AN2101" s="458"/>
    </row>
    <row r="2102" spans="40:40" ht="15.75" customHeight="1">
      <c r="AN2102" s="458"/>
    </row>
    <row r="2103" spans="40:40" ht="15.75" customHeight="1">
      <c r="AN2103" s="458"/>
    </row>
    <row r="2104" spans="40:40" ht="15.75" customHeight="1">
      <c r="AN2104" s="458"/>
    </row>
    <row r="2105" spans="40:40" ht="15.75" customHeight="1">
      <c r="AN2105" s="458"/>
    </row>
    <row r="2106" spans="40:40" ht="15.75" customHeight="1">
      <c r="AN2106" s="458"/>
    </row>
    <row r="2107" spans="40:40" ht="15.75" customHeight="1">
      <c r="AN2107" s="458"/>
    </row>
    <row r="2108" spans="40:40" ht="15.75" customHeight="1">
      <c r="AN2108" s="458"/>
    </row>
    <row r="2109" spans="40:40" ht="15.75" customHeight="1">
      <c r="AN2109" s="458"/>
    </row>
    <row r="2110" spans="40:40" ht="15.75" customHeight="1">
      <c r="AN2110" s="458"/>
    </row>
    <row r="2111" spans="40:40" ht="15.75" customHeight="1">
      <c r="AN2111" s="458"/>
    </row>
    <row r="2112" spans="40:40" ht="15.75" customHeight="1">
      <c r="AN2112" s="458"/>
    </row>
    <row r="2113" spans="40:40" ht="15.75" customHeight="1">
      <c r="AN2113" s="458"/>
    </row>
    <row r="2114" spans="40:40" ht="15.75" customHeight="1">
      <c r="AN2114" s="458"/>
    </row>
    <row r="2115" spans="40:40" ht="15.75" customHeight="1">
      <c r="AN2115" s="458"/>
    </row>
    <row r="2116" spans="40:40" ht="15.75" customHeight="1">
      <c r="AN2116" s="458"/>
    </row>
    <row r="2117" spans="40:40" ht="15.75" customHeight="1">
      <c r="AN2117" s="458"/>
    </row>
    <row r="2118" spans="40:40" ht="15.75" customHeight="1">
      <c r="AN2118" s="458"/>
    </row>
    <row r="2119" spans="40:40" ht="15.75" customHeight="1">
      <c r="AN2119" s="458"/>
    </row>
    <row r="2120" spans="40:40" ht="15.75" customHeight="1">
      <c r="AN2120" s="458"/>
    </row>
    <row r="2121" spans="40:40" ht="15.75" customHeight="1">
      <c r="AN2121" s="458"/>
    </row>
    <row r="2122" spans="40:40" ht="15.75" customHeight="1">
      <c r="AN2122" s="458"/>
    </row>
    <row r="2123" spans="40:40" ht="15.75" customHeight="1">
      <c r="AN2123" s="458"/>
    </row>
    <row r="2124" spans="40:40" ht="15.75" customHeight="1">
      <c r="AN2124" s="458"/>
    </row>
    <row r="2125" spans="40:40" ht="15.75" customHeight="1">
      <c r="AN2125" s="458"/>
    </row>
    <row r="2126" spans="40:40" ht="15.75" customHeight="1">
      <c r="AN2126" s="458"/>
    </row>
    <row r="2127" spans="40:40" ht="15.75" customHeight="1">
      <c r="AN2127" s="458"/>
    </row>
    <row r="2128" spans="40:40" ht="15.75" customHeight="1">
      <c r="AN2128" s="458"/>
    </row>
    <row r="2129" spans="40:40" ht="15.75" customHeight="1">
      <c r="AN2129" s="458"/>
    </row>
    <row r="2130" spans="40:40" ht="15.75" customHeight="1">
      <c r="AN2130" s="458"/>
    </row>
    <row r="2131" spans="40:40" ht="15.75" customHeight="1">
      <c r="AN2131" s="458"/>
    </row>
    <row r="2132" spans="40:40" ht="15.75" customHeight="1">
      <c r="AN2132" s="458"/>
    </row>
    <row r="2133" spans="40:40" ht="15.75" customHeight="1">
      <c r="AN2133" s="458"/>
    </row>
    <row r="2134" spans="40:40" ht="15.75" customHeight="1">
      <c r="AN2134" s="458"/>
    </row>
    <row r="2135" spans="40:40" ht="15.75" customHeight="1">
      <c r="AN2135" s="458"/>
    </row>
    <row r="2136" spans="40:40" ht="15.75" customHeight="1">
      <c r="AN2136" s="458"/>
    </row>
    <row r="2137" spans="40:40" ht="15.75" customHeight="1">
      <c r="AN2137" s="458"/>
    </row>
    <row r="2138" spans="40:40" ht="15.75" customHeight="1">
      <c r="AN2138" s="458"/>
    </row>
    <row r="2139" spans="40:40" ht="15.75" customHeight="1">
      <c r="AN2139" s="458"/>
    </row>
    <row r="2140" spans="40:40" ht="15.75" customHeight="1">
      <c r="AN2140" s="458"/>
    </row>
    <row r="2141" spans="40:40" ht="15.75" customHeight="1">
      <c r="AN2141" s="458"/>
    </row>
    <row r="2142" spans="40:40" ht="15.75" customHeight="1">
      <c r="AN2142" s="458"/>
    </row>
    <row r="2143" spans="40:40" ht="15.75" customHeight="1">
      <c r="AN2143" s="458"/>
    </row>
    <row r="2144" spans="40:40" ht="15.75" customHeight="1">
      <c r="AN2144" s="458"/>
    </row>
    <row r="2145" spans="40:40" ht="15.75" customHeight="1">
      <c r="AN2145" s="458"/>
    </row>
    <row r="2146" spans="40:40" ht="15.75" customHeight="1">
      <c r="AN2146" s="458"/>
    </row>
    <row r="2147" spans="40:40" ht="15.75" customHeight="1">
      <c r="AN2147" s="458"/>
    </row>
    <row r="2148" spans="40:40" ht="15.75" customHeight="1">
      <c r="AN2148" s="458"/>
    </row>
    <row r="2149" spans="40:40" ht="15.75" customHeight="1">
      <c r="AN2149" s="458"/>
    </row>
    <row r="2150" spans="40:40" ht="15.75" customHeight="1">
      <c r="AN2150" s="458"/>
    </row>
    <row r="2151" spans="40:40" ht="15.75" customHeight="1">
      <c r="AN2151" s="458"/>
    </row>
    <row r="2152" spans="40:40" ht="15.75" customHeight="1">
      <c r="AN2152" s="458"/>
    </row>
    <row r="2153" spans="40:40" ht="15.75" customHeight="1">
      <c r="AN2153" s="458"/>
    </row>
    <row r="2154" spans="40:40" ht="15.75" customHeight="1">
      <c r="AN2154" s="458"/>
    </row>
    <row r="2155" spans="40:40" ht="15.75" customHeight="1">
      <c r="AN2155" s="458"/>
    </row>
    <row r="2156" spans="40:40" ht="15.75" customHeight="1">
      <c r="AN2156" s="458"/>
    </row>
    <row r="2157" spans="40:40" ht="15.75" customHeight="1">
      <c r="AN2157" s="458"/>
    </row>
    <row r="2158" spans="40:40" ht="15.75" customHeight="1">
      <c r="AN2158" s="458"/>
    </row>
    <row r="2159" spans="40:40" ht="15.75" customHeight="1">
      <c r="AN2159" s="458"/>
    </row>
    <row r="2160" spans="40:40" ht="15.75" customHeight="1">
      <c r="AN2160" s="458"/>
    </row>
    <row r="2161" spans="40:40" ht="15.75" customHeight="1">
      <c r="AN2161" s="458"/>
    </row>
    <row r="2162" spans="40:40" ht="15.75" customHeight="1">
      <c r="AN2162" s="458"/>
    </row>
    <row r="2163" spans="40:40" ht="15.75" customHeight="1">
      <c r="AN2163" s="458"/>
    </row>
    <row r="2164" spans="40:40" ht="15.75" customHeight="1">
      <c r="AN2164" s="458"/>
    </row>
    <row r="2165" spans="40:40" ht="15.75" customHeight="1">
      <c r="AN2165" s="458"/>
    </row>
  </sheetData>
  <autoFilter ref="A2:BG42" xr:uid="{00000000-0009-0000-0000-000017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autoFilter>
  <mergeCells count="10">
    <mergeCell ref="BD1:BG1"/>
    <mergeCell ref="AN2:AP2"/>
    <mergeCell ref="AQ2:AS2"/>
    <mergeCell ref="AT2:AV2"/>
    <mergeCell ref="A1:BB1"/>
    <mergeCell ref="N2:P2"/>
    <mergeCell ref="T2:V2"/>
    <mergeCell ref="W2:Y2"/>
    <mergeCell ref="Z2:AB2"/>
    <mergeCell ref="AC2:AE2"/>
  </mergeCells>
  <conditionalFormatting sqref="BC4:BG10 BC34:BG42 B4:BA42">
    <cfRule type="expression" dxfId="534" priority="14">
      <formula>$M4="NON DEFINED"</formula>
    </cfRule>
    <cfRule type="expression" dxfId="533" priority="15">
      <formula>$AY4="N.D."</formula>
    </cfRule>
  </conditionalFormatting>
  <conditionalFormatting sqref="BD11:BE11 BE13 BE33 BE15 BE17 BE19 BE21 BE23 BE25 BE27 BE29 BG21 BG19 BG17 BG15 BG13 BG11 BG25 BG27 BG29 BG23 BG33 BD31:BG31">
    <cfRule type="containsBlanks" dxfId="532" priority="13">
      <formula>LEN(TRIM(BD11))=0</formula>
    </cfRule>
  </conditionalFormatting>
  <conditionalFormatting sqref="BC11:BC33 BC43:BC1997">
    <cfRule type="containsText" dxfId="531" priority="11" operator="containsText" text="a">
      <formula>NOT(ISERROR(SEARCH("a",BC11)))</formula>
    </cfRule>
    <cfRule type="containsText" dxfId="530" priority="12" operator="containsText" text="R">
      <formula>NOT(ISERROR(SEARCH("R",BC11)))</formula>
    </cfRule>
  </conditionalFormatting>
  <conditionalFormatting sqref="BA4:BA42">
    <cfRule type="expression" dxfId="529" priority="10">
      <formula>$BC4="R"</formula>
    </cfRule>
  </conditionalFormatting>
  <conditionalFormatting sqref="A4:BG10">
    <cfRule type="cellIs" dxfId="528" priority="6" operator="equal">
      <formula>0</formula>
    </cfRule>
  </conditionalFormatting>
  <conditionalFormatting sqref="A34:BG42">
    <cfRule type="cellIs" dxfId="527" priority="2" operator="equal">
      <formula>0</formula>
    </cfRule>
  </conditionalFormatting>
  <conditionalFormatting sqref="AN4:AN42">
    <cfRule type="cellIs" dxfId="526" priority="1" operator="notEqual">
      <formula>5.5</formula>
    </cfRule>
  </conditionalFormatting>
  <printOptions horizontalCentered="1" gridLines="1"/>
  <pageMargins left="0.39370078740157483" right="0.39370078740157483" top="0.78740157480314965" bottom="0.78740157480314965" header="0.31496062992125984" footer="0.31496062992125984"/>
  <pageSetup paperSize="8" scale="79" fitToHeight="0" orientation="landscape" r:id="rId1"/>
  <headerFooter alignWithMargins="0">
    <oddHeader>&amp;L&amp;G&amp;C
LAYOUT AND EQUIPMENT
EP06 TRACK 2 TSA
KP92+700 - 93+478&amp;R&amp;G</oddHeader>
    <oddFooter>&amp;L&amp;G
&amp;F&amp;C&amp;D&amp;RPag &amp;P of &amp;N</oddFooter>
  </headerFooter>
  <legacyDrawingHF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25">
    <tabColor theme="4"/>
    <pageSetUpPr fitToPage="1"/>
  </sheetPr>
  <dimension ref="A1:BG2165"/>
  <sheetViews>
    <sheetView view="pageBreakPreview" zoomScale="80" zoomScaleNormal="85" zoomScaleSheetLayoutView="80" workbookViewId="0">
      <pane xSplit="2" ySplit="3" topLeftCell="C4" activePane="bottomRight" state="frozen"/>
      <selection activeCell="G124" sqref="G124"/>
      <selection pane="topRight" activeCell="G124" sqref="G124"/>
      <selection pane="bottomLeft" activeCell="G124" sqref="G124"/>
      <selection pane="bottomRight" activeCell="G124" sqref="G124"/>
    </sheetView>
  </sheetViews>
  <sheetFormatPr baseColWidth="10" defaultColWidth="11.453125" defaultRowHeight="15.75" customHeight="1"/>
  <cols>
    <col min="1" max="1" width="20.6328125" style="178" customWidth="1"/>
    <col min="2" max="2" width="12.6328125" style="178" customWidth="1"/>
    <col min="3" max="3" width="12.6328125" style="779" customWidth="1"/>
    <col min="4" max="5" width="12.6328125" style="178" hidden="1" customWidth="1"/>
    <col min="6" max="6" width="12.6328125" style="178" customWidth="1"/>
    <col min="7" max="7" width="12.6328125" style="454" customWidth="1"/>
    <col min="8" max="8" width="18.6328125" style="178" customWidth="1"/>
    <col min="9" max="9" width="12.6328125" style="178" customWidth="1"/>
    <col min="10" max="10" width="12.6328125" style="184" customWidth="1"/>
    <col min="11" max="11" width="12.6328125" style="178" customWidth="1"/>
    <col min="12" max="13" width="14.6328125" style="178" customWidth="1"/>
    <col min="14" max="16" width="8.6328125" style="178" hidden="1" customWidth="1"/>
    <col min="17" max="19" width="12.6328125" style="178" hidden="1" customWidth="1"/>
    <col min="20" max="28" width="8.6328125" style="178" hidden="1" customWidth="1"/>
    <col min="29" max="31" width="10.6328125" style="178" hidden="1" customWidth="1"/>
    <col min="32" max="32" width="13.54296875" style="178" hidden="1" customWidth="1"/>
    <col min="33" max="33" width="12.6328125" style="184" hidden="1" customWidth="1"/>
    <col min="34" max="36" width="12.6328125" style="178" hidden="1" customWidth="1"/>
    <col min="37" max="39" width="12.6328125" style="178" customWidth="1"/>
    <col min="40" max="42" width="8.6328125" style="169" hidden="1" customWidth="1"/>
    <col min="43" max="46" width="8.6328125" style="458" hidden="1" customWidth="1"/>
    <col min="47" max="48" width="8.6328125" style="169" hidden="1" customWidth="1"/>
    <col min="49" max="50" width="12.6328125" style="169" customWidth="1"/>
    <col min="51" max="52" width="12.6328125" style="458" customWidth="1"/>
    <col min="53" max="53" width="12.6328125" style="169" customWidth="1"/>
    <col min="54" max="54" width="21.6328125" style="178" hidden="1" customWidth="1"/>
    <col min="55" max="55" width="18" style="178" customWidth="1"/>
    <col min="56" max="59" width="14.54296875" style="1323" customWidth="1"/>
    <col min="60" max="60" width="11.453125" style="178" customWidth="1"/>
    <col min="61" max="16384" width="11.453125" style="178"/>
  </cols>
  <sheetData>
    <row r="1" spans="1:59" ht="35.25" customHeight="1">
      <c r="A1" s="1615" t="s">
        <v>2877</v>
      </c>
      <c r="B1" s="1615"/>
      <c r="C1" s="1615"/>
      <c r="D1" s="1615"/>
      <c r="E1" s="1615"/>
      <c r="F1" s="1615"/>
      <c r="G1" s="1615"/>
      <c r="H1" s="1615"/>
      <c r="I1" s="1615"/>
      <c r="J1" s="1615"/>
      <c r="K1" s="1615"/>
      <c r="L1" s="1615"/>
      <c r="M1" s="1615"/>
      <c r="N1" s="1615"/>
      <c r="O1" s="1615"/>
      <c r="P1" s="1615"/>
      <c r="Q1" s="1615"/>
      <c r="R1" s="1615"/>
      <c r="S1" s="1615"/>
      <c r="T1" s="1615"/>
      <c r="U1" s="1615"/>
      <c r="V1" s="1615"/>
      <c r="W1" s="1615"/>
      <c r="X1" s="1615"/>
      <c r="Y1" s="1615"/>
      <c r="Z1" s="1615"/>
      <c r="AA1" s="1615"/>
      <c r="AB1" s="1615"/>
      <c r="AC1" s="1615"/>
      <c r="AD1" s="1615"/>
      <c r="AE1" s="1615"/>
      <c r="AF1" s="1615"/>
      <c r="AG1" s="1615"/>
      <c r="AH1" s="1615"/>
      <c r="AI1" s="1615"/>
      <c r="AJ1" s="1615"/>
      <c r="AK1" s="1615"/>
      <c r="AL1" s="1615"/>
      <c r="AM1" s="1615"/>
      <c r="AN1" s="1615"/>
      <c r="AO1" s="1615"/>
      <c r="AP1" s="1615"/>
      <c r="AQ1" s="1615"/>
      <c r="AR1" s="1615"/>
      <c r="AS1" s="1615"/>
      <c r="AT1" s="1615"/>
      <c r="AU1" s="1615"/>
      <c r="AV1" s="1615"/>
      <c r="AW1" s="1615"/>
      <c r="AX1" s="1615"/>
      <c r="AY1" s="1615"/>
      <c r="AZ1" s="1615"/>
      <c r="BA1" s="1615"/>
      <c r="BB1" s="1615"/>
      <c r="BC1" s="693" t="s">
        <v>4947</v>
      </c>
      <c r="BD1" s="1599" t="s">
        <v>4916</v>
      </c>
      <c r="BE1" s="1599"/>
      <c r="BF1" s="1599"/>
      <c r="BG1" s="1599"/>
    </row>
    <row r="2" spans="1:59" s="699" customFormat="1" ht="42" customHeight="1">
      <c r="A2" s="1259" t="s">
        <v>4417</v>
      </c>
      <c r="B2" s="1259" t="s">
        <v>4418</v>
      </c>
      <c r="C2" s="956" t="s">
        <v>2315</v>
      </c>
      <c r="D2" s="1259" t="s">
        <v>4419</v>
      </c>
      <c r="E2" s="1259" t="s">
        <v>4855</v>
      </c>
      <c r="F2" s="1259" t="s">
        <v>4856</v>
      </c>
      <c r="G2" s="1259" t="s">
        <v>4857</v>
      </c>
      <c r="H2" s="1259" t="s">
        <v>455</v>
      </c>
      <c r="I2" s="1259" t="s">
        <v>454</v>
      </c>
      <c r="J2" s="1259" t="s">
        <v>4423</v>
      </c>
      <c r="K2" s="1259" t="s">
        <v>1362</v>
      </c>
      <c r="L2" s="1259" t="s">
        <v>456</v>
      </c>
      <c r="M2" s="1259" t="s">
        <v>453</v>
      </c>
      <c r="N2" s="1613" t="s">
        <v>457</v>
      </c>
      <c r="O2" s="1613"/>
      <c r="P2" s="1613"/>
      <c r="Q2" s="1259" t="s">
        <v>4858</v>
      </c>
      <c r="R2" s="1259" t="s">
        <v>4859</v>
      </c>
      <c r="S2" s="1259" t="s">
        <v>4860</v>
      </c>
      <c r="T2" s="1613" t="s">
        <v>4861</v>
      </c>
      <c r="U2" s="1613"/>
      <c r="V2" s="1613"/>
      <c r="W2" s="1613" t="s">
        <v>4862</v>
      </c>
      <c r="X2" s="1613"/>
      <c r="Y2" s="1613"/>
      <c r="Z2" s="1613" t="s">
        <v>4863</v>
      </c>
      <c r="AA2" s="1613"/>
      <c r="AB2" s="1613"/>
      <c r="AC2" s="1613" t="s">
        <v>628</v>
      </c>
      <c r="AD2" s="1613"/>
      <c r="AE2" s="1613"/>
      <c r="AF2" s="1259" t="s">
        <v>4872</v>
      </c>
      <c r="AG2" s="954" t="s">
        <v>4864</v>
      </c>
      <c r="AH2" s="1259" t="s">
        <v>4865</v>
      </c>
      <c r="AI2" s="1259" t="s">
        <v>4866</v>
      </c>
      <c r="AJ2" s="1259" t="s">
        <v>629</v>
      </c>
      <c r="AK2" s="1259" t="s">
        <v>458</v>
      </c>
      <c r="AL2" s="1259" t="s">
        <v>459</v>
      </c>
      <c r="AM2" s="1259" t="s">
        <v>631</v>
      </c>
      <c r="AN2" s="1613" t="s">
        <v>4867</v>
      </c>
      <c r="AO2" s="1613"/>
      <c r="AP2" s="1613"/>
      <c r="AQ2" s="1614" t="s">
        <v>460</v>
      </c>
      <c r="AR2" s="1614"/>
      <c r="AS2" s="1614"/>
      <c r="AT2" s="1613" t="s">
        <v>630</v>
      </c>
      <c r="AU2" s="1613"/>
      <c r="AV2" s="1613"/>
      <c r="AW2" s="1259" t="s">
        <v>4868</v>
      </c>
      <c r="AX2" s="1259" t="s">
        <v>4904</v>
      </c>
      <c r="AY2" s="1260" t="s">
        <v>4869</v>
      </c>
      <c r="AZ2" s="1260" t="s">
        <v>4870</v>
      </c>
      <c r="BA2" s="1259" t="s">
        <v>1670</v>
      </c>
      <c r="BB2" s="1259" t="s">
        <v>4871</v>
      </c>
      <c r="BC2" s="693" t="s">
        <v>4948</v>
      </c>
      <c r="BD2" s="1320" t="s">
        <v>453</v>
      </c>
      <c r="BE2" s="1320" t="s">
        <v>4922</v>
      </c>
      <c r="BF2" s="1320" t="s">
        <v>4915</v>
      </c>
      <c r="BG2" s="1320" t="s">
        <v>457</v>
      </c>
    </row>
    <row r="3" spans="1:59" ht="15.75" customHeight="1">
      <c r="A3" s="1239"/>
      <c r="B3" s="1239"/>
      <c r="C3" s="679"/>
      <c r="D3" s="1239"/>
      <c r="E3" s="1239"/>
      <c r="F3" s="172"/>
      <c r="G3" s="1239"/>
      <c r="H3" s="1239"/>
      <c r="I3" s="1239"/>
      <c r="J3" s="171"/>
      <c r="K3" s="1239"/>
      <c r="L3" s="1239"/>
      <c r="M3" s="1239"/>
      <c r="N3" s="694" t="s">
        <v>123</v>
      </c>
      <c r="O3" s="694" t="s">
        <v>124</v>
      </c>
      <c r="P3" s="694" t="s">
        <v>125</v>
      </c>
      <c r="Q3" s="1239"/>
      <c r="R3" s="1239"/>
      <c r="S3" s="1239"/>
      <c r="T3" s="695" t="s">
        <v>126</v>
      </c>
      <c r="U3" s="695" t="s">
        <v>127</v>
      </c>
      <c r="V3" s="695" t="s">
        <v>128</v>
      </c>
      <c r="W3" s="695" t="s">
        <v>129</v>
      </c>
      <c r="X3" s="695" t="s">
        <v>130</v>
      </c>
      <c r="Y3" s="695" t="s">
        <v>131</v>
      </c>
      <c r="Z3" s="695" t="s">
        <v>132</v>
      </c>
      <c r="AA3" s="695" t="s">
        <v>133</v>
      </c>
      <c r="AB3" s="695" t="s">
        <v>134</v>
      </c>
      <c r="AC3" s="695" t="s">
        <v>135</v>
      </c>
      <c r="AD3" s="695" t="s">
        <v>136</v>
      </c>
      <c r="AE3" s="695" t="s">
        <v>137</v>
      </c>
      <c r="AF3" s="1239"/>
      <c r="AG3" s="171"/>
      <c r="AH3" s="1239"/>
      <c r="AI3" s="1239"/>
      <c r="AJ3" s="1239"/>
      <c r="AK3" s="1239"/>
      <c r="AL3" s="1239"/>
      <c r="AM3" s="1239"/>
      <c r="AN3" s="695" t="s">
        <v>129</v>
      </c>
      <c r="AO3" s="695" t="s">
        <v>130</v>
      </c>
      <c r="AP3" s="695" t="s">
        <v>131</v>
      </c>
      <c r="AQ3" s="696" t="s">
        <v>613</v>
      </c>
      <c r="AR3" s="696" t="s">
        <v>614</v>
      </c>
      <c r="AS3" s="696" t="s">
        <v>615</v>
      </c>
      <c r="AT3" s="696" t="s">
        <v>616</v>
      </c>
      <c r="AU3" s="695" t="s">
        <v>617</v>
      </c>
      <c r="AV3" s="695" t="s">
        <v>618</v>
      </c>
      <c r="AW3" s="1239"/>
      <c r="AX3" s="1239"/>
      <c r="AY3" s="455"/>
      <c r="AZ3" s="455"/>
      <c r="BA3" s="1239"/>
      <c r="BB3" s="1239"/>
      <c r="BD3" s="1239"/>
      <c r="BE3" s="1239"/>
      <c r="BF3" s="1239"/>
      <c r="BG3" s="1239"/>
    </row>
    <row r="4" spans="1:59" ht="15.75" customHeight="1">
      <c r="A4" s="501">
        <f>'HR Track 4 TSA'!A9</f>
        <v>0</v>
      </c>
      <c r="B4" s="716">
        <f>'HR Track 4 TSA'!B9</f>
        <v>0</v>
      </c>
      <c r="C4" s="451">
        <f>'HR Track 4 TSA'!C9</f>
        <v>0</v>
      </c>
      <c r="D4" s="453">
        <f>'HR Track 4 TSA'!D9</f>
        <v>0</v>
      </c>
      <c r="E4" s="452">
        <f>'HR Track 4 TSA'!E9</f>
        <v>0</v>
      </c>
      <c r="F4" s="453">
        <f>'HR Track 4 TSA'!F9</f>
        <v>0</v>
      </c>
      <c r="G4" s="500">
        <f>'HR Track 4 TSA'!G9</f>
        <v>38</v>
      </c>
      <c r="H4" s="453">
        <f>'HR Track 4 TSA'!H9</f>
        <v>0</v>
      </c>
      <c r="I4" s="501">
        <f>'HR Track 4 TSA'!I9</f>
        <v>0</v>
      </c>
      <c r="J4" s="583">
        <f>'HR Track 4 TSA'!J9</f>
        <v>92789.150000000023</v>
      </c>
      <c r="K4" s="452" t="str">
        <f>'HR Track 4 TSA'!K9</f>
        <v>AnMC-R</v>
      </c>
      <c r="L4" s="452">
        <f>'HR Track 4 TSA'!L9</f>
        <v>0</v>
      </c>
      <c r="M4" s="452">
        <f>'HR Track 4 TSA'!M9</f>
        <v>0</v>
      </c>
      <c r="N4" s="501">
        <f>'HR Track 4 TSA'!N9</f>
        <v>0</v>
      </c>
      <c r="O4" s="501">
        <f>'HR Track 4 TSA'!O9</f>
        <v>0</v>
      </c>
      <c r="P4" s="501">
        <f>'HR Track 4 TSA'!P9</f>
        <v>0</v>
      </c>
      <c r="Q4" s="452">
        <f>'HR Track 4 TSA'!Q9</f>
        <v>0</v>
      </c>
      <c r="R4" s="452">
        <f>'HR Track 4 TSA'!R9</f>
        <v>0</v>
      </c>
      <c r="S4" s="500">
        <f>'HR Track 4 TSA'!S9</f>
        <v>37.529999999998836</v>
      </c>
      <c r="T4" s="452">
        <f>'HR Track 4 TSA'!T9</f>
        <v>0</v>
      </c>
      <c r="U4" s="452">
        <f>'HR Track 4 TSA'!U9</f>
        <v>0</v>
      </c>
      <c r="V4" s="452">
        <f>'HR Track 4 TSA'!V9</f>
        <v>0</v>
      </c>
      <c r="W4" s="452">
        <f>'HR Track 4 TSA'!W9</f>
        <v>0</v>
      </c>
      <c r="X4" s="452">
        <f>'HR Track 4 TSA'!X9</f>
        <v>0</v>
      </c>
      <c r="Y4" s="452">
        <f>'HR Track 4 TSA'!Y9</f>
        <v>0</v>
      </c>
      <c r="Z4" s="452">
        <f>'HR Track 4 TSA'!Z9</f>
        <v>0</v>
      </c>
      <c r="AA4" s="452">
        <f>'HR Track 4 TSA'!AA9</f>
        <v>0</v>
      </c>
      <c r="AB4" s="452">
        <f>'HR Track 4 TSA'!AB9</f>
        <v>0</v>
      </c>
      <c r="AC4" s="452">
        <f>'HR Track 4 TSA'!AC9</f>
        <v>0</v>
      </c>
      <c r="AD4" s="452">
        <f>'HR Track 4 TSA'!AD9</f>
        <v>0</v>
      </c>
      <c r="AE4" s="452">
        <f>'HR Track 4 TSA'!AE9</f>
        <v>0</v>
      </c>
      <c r="AF4" s="452">
        <f>'HR Track 4 TSA'!AF9</f>
        <v>0</v>
      </c>
      <c r="AG4" s="451">
        <f>'HR Track 4 TSA'!AG9</f>
        <v>0</v>
      </c>
      <c r="AH4" s="452">
        <f>'HR Track 4 TSA'!AH9</f>
        <v>0</v>
      </c>
      <c r="AI4" s="452">
        <f>'HR Track 4 TSA'!AI9</f>
        <v>0</v>
      </c>
      <c r="AJ4" s="452">
        <f>'HR Track 4 TSA'!AJ9</f>
        <v>0</v>
      </c>
      <c r="AK4" s="452">
        <f>'HR Track 4 TSA'!AK9</f>
        <v>0</v>
      </c>
      <c r="AL4" s="452">
        <f>'HR Track 4 TSA'!AL9</f>
        <v>0</v>
      </c>
      <c r="AM4" s="452">
        <f>'HR Track 4 TSA'!AM9</f>
        <v>0</v>
      </c>
      <c r="AN4" s="500">
        <f>'HR Track 4 TSA'!AN9</f>
        <v>0</v>
      </c>
      <c r="AO4" s="452">
        <f>'HR Track 4 TSA'!AO9</f>
        <v>0</v>
      </c>
      <c r="AP4" s="452">
        <f>'HR Track 4 TSA'!AP9</f>
        <v>0</v>
      </c>
      <c r="AQ4" s="452">
        <f>'HR Track 4 TSA'!AQ9</f>
        <v>-0.46231700515334478</v>
      </c>
      <c r="AR4" s="452">
        <f>'HR Track 4 TSA'!AR9</f>
        <v>0</v>
      </c>
      <c r="AS4" s="452">
        <f>'HR Track 4 TSA'!AS9</f>
        <v>0</v>
      </c>
      <c r="AT4" s="452">
        <f>'HR Track 4 TSA'!AT9</f>
        <v>0</v>
      </c>
      <c r="AU4" s="452">
        <f>'HR Track 4 TSA'!AU9</f>
        <v>0</v>
      </c>
      <c r="AV4" s="452">
        <f>'HR Track 4 TSA'!AV9</f>
        <v>0</v>
      </c>
      <c r="AW4" s="452" t="str">
        <f>'HR Track 4 TSA'!AW9</f>
        <v>Soil B</v>
      </c>
      <c r="AX4" s="452" t="str">
        <f>'HR Track 4 TSA'!AX9</f>
        <v>PT</v>
      </c>
      <c r="AY4" s="500">
        <f>'HR Track 4 TSA'!AY9</f>
        <v>0</v>
      </c>
      <c r="AZ4" s="500">
        <f>'HR Track 4 TSA'!AZ9</f>
        <v>3.9</v>
      </c>
      <c r="BA4" s="1333" t="str">
        <f>'HR Track 4 TSA'!BA9</f>
        <v>ü</v>
      </c>
      <c r="BB4" s="452">
        <f>'HR Track 4 TSA'!BB9</f>
        <v>0</v>
      </c>
      <c r="BC4" s="1334">
        <f>'HR Track 4 TSA'!BC9</f>
        <v>0</v>
      </c>
      <c r="BD4" s="1335">
        <f>'HR Track 4 TSA'!BD9</f>
        <v>43743</v>
      </c>
      <c r="BE4" s="1335">
        <f>'HR Track 4 TSA'!BE9</f>
        <v>0</v>
      </c>
      <c r="BF4" s="1335">
        <f>'HR Track 4 TSA'!BF9</f>
        <v>0</v>
      </c>
      <c r="BG4" s="1335">
        <f>'HR Track 4 TSA'!BG9</f>
        <v>0</v>
      </c>
    </row>
    <row r="5" spans="1:59" ht="15.75" customHeight="1">
      <c r="A5" s="501" t="str">
        <f>'HR Track 4 TSA'!A10</f>
        <v xml:space="preserve">TSA-BF02 </v>
      </c>
      <c r="B5" s="716" t="str">
        <f>'HR Track 4 TSA'!B10</f>
        <v>92-4.23</v>
      </c>
      <c r="C5" s="451">
        <f>'HR Track 4 TSA'!C10</f>
        <v>92796.650000000023</v>
      </c>
      <c r="D5" s="453">
        <f>'HR Track 4 TSA'!D10</f>
        <v>0</v>
      </c>
      <c r="E5" s="452">
        <f>'HR Track 4 TSA'!E10</f>
        <v>0</v>
      </c>
      <c r="F5" s="453">
        <f>'HR Track 4 TSA'!F10</f>
        <v>-675</v>
      </c>
      <c r="G5" s="500">
        <f>'HR Track 4 TSA'!G10</f>
        <v>0</v>
      </c>
      <c r="H5" s="453" t="str">
        <f>'HR Track 4 TSA'!H10</f>
        <v>S/A A/S-Diag</v>
      </c>
      <c r="I5" s="501" t="str">
        <f>'HR Track 4 TSA'!I10</f>
        <v>CP/TX-P/1350</v>
      </c>
      <c r="J5" s="583">
        <f>'HR Track 4 TSA'!J10</f>
        <v>0</v>
      </c>
      <c r="K5" s="452">
        <f>'HR Track 4 TSA'!K10</f>
        <v>0</v>
      </c>
      <c r="L5" s="452" t="str">
        <f>'HR Track 4 TSA'!L10</f>
        <v>HEB-320L</v>
      </c>
      <c r="M5" s="452" t="str">
        <f>'HR Track 4 TSA'!M10</f>
        <v>C7R</v>
      </c>
      <c r="N5" s="501" t="str">
        <f>'HR Track 4 TSA'!N10</f>
        <v>EMT-T</v>
      </c>
      <c r="O5" s="501" t="str">
        <f>'HR Track 4 TSA'!O10</f>
        <v>EMT-2</v>
      </c>
      <c r="P5" s="501">
        <f>'HR Track 4 TSA'!P10</f>
        <v>0</v>
      </c>
      <c r="Q5" s="452">
        <f>'HR Track 4 TSA'!Q10</f>
        <v>30</v>
      </c>
      <c r="R5" s="452">
        <f>'HR Track 4 TSA'!R10</f>
        <v>-675</v>
      </c>
      <c r="S5" s="500">
        <f>'HR Track 4 TSA'!S10</f>
        <v>0</v>
      </c>
      <c r="T5" s="452">
        <f>'HR Track 4 TSA'!T10</f>
        <v>-10</v>
      </c>
      <c r="U5" s="452">
        <f>'HR Track 4 TSA'!U10</f>
        <v>30</v>
      </c>
      <c r="V5" s="452">
        <f>'HR Track 4 TSA'!V10</f>
        <v>0</v>
      </c>
      <c r="W5" s="452">
        <f>'HR Track 4 TSA'!W10</f>
        <v>2.2999999999999998</v>
      </c>
      <c r="X5" s="452">
        <f>'HR Track 4 TSA'!X10</f>
        <v>1.4</v>
      </c>
      <c r="Y5" s="452">
        <f>'HR Track 4 TSA'!Y10</f>
        <v>0</v>
      </c>
      <c r="Z5" s="452">
        <f>'HR Track 4 TSA'!Z10</f>
        <v>0.45</v>
      </c>
      <c r="AA5" s="452">
        <f>'HR Track 4 TSA'!AA10</f>
        <v>0</v>
      </c>
      <c r="AB5" s="452">
        <f>'HR Track 4 TSA'!AB10</f>
        <v>0</v>
      </c>
      <c r="AC5" s="452" t="str">
        <f>'HR Track 4 TSA'!AC10</f>
        <v>PHC-1150</v>
      </c>
      <c r="AD5" s="452">
        <f>'HR Track 4 TSA'!AD10</f>
        <v>0</v>
      </c>
      <c r="AE5" s="452">
        <f>'HR Track 4 TSA'!AE10</f>
        <v>0</v>
      </c>
      <c r="AF5" s="452">
        <f>'HR Track 4 TSA'!AF10</f>
        <v>5800</v>
      </c>
      <c r="AG5" s="451">
        <f>'HR Track 4 TSA'!AG10</f>
        <v>92796</v>
      </c>
      <c r="AH5" s="452">
        <f>'HR Track 4 TSA'!AH10</f>
        <v>2353</v>
      </c>
      <c r="AI5" s="452">
        <f>'HR Track 4 TSA'!AI10</f>
        <v>220</v>
      </c>
      <c r="AJ5" s="452" t="str">
        <f>'HR Track 4 TSA'!AJ10</f>
        <v>FS-1</v>
      </c>
      <c r="AK5" s="452">
        <f>'HR Track 4 TSA'!AK10</f>
        <v>0</v>
      </c>
      <c r="AL5" s="452">
        <f>'HR Track 4 TSA'!AL10</f>
        <v>0</v>
      </c>
      <c r="AM5" s="452" t="str">
        <f>'HR Track 4 TSA'!AM10</f>
        <v>RW1</v>
      </c>
      <c r="AN5" s="500">
        <f>'HR Track 4 TSA'!AN10</f>
        <v>5.5</v>
      </c>
      <c r="AO5" s="452">
        <f>'HR Track 4 TSA'!AO10</f>
        <v>0</v>
      </c>
      <c r="AP5" s="452">
        <f>'HR Track 4 TSA'!AP10</f>
        <v>0</v>
      </c>
      <c r="AQ5" s="452">
        <f>'HR Track 4 TSA'!AQ10</f>
        <v>0</v>
      </c>
      <c r="AR5" s="452">
        <f>'HR Track 4 TSA'!AR10</f>
        <v>0</v>
      </c>
      <c r="AS5" s="452">
        <f>'HR Track 4 TSA'!AS10</f>
        <v>0</v>
      </c>
      <c r="AT5" s="452">
        <f>'HR Track 4 TSA'!AT10</f>
        <v>2.4818204458188045</v>
      </c>
      <c r="AU5" s="452">
        <f>'HR Track 4 TSA'!AU10</f>
        <v>0</v>
      </c>
      <c r="AV5" s="452">
        <f>'HR Track 4 TSA'!AV10</f>
        <v>0</v>
      </c>
      <c r="AW5" s="452" t="str">
        <f>'HR Track 4 TSA'!AW10</f>
        <v>Soil B</v>
      </c>
      <c r="AX5" s="452" t="str">
        <f>'HR Track 4 TSA'!AX10</f>
        <v>PT</v>
      </c>
      <c r="AY5" s="500">
        <f>'HR Track 4 TSA'!AY10</f>
        <v>3.5</v>
      </c>
      <c r="AZ5" s="500">
        <f>'HR Track 4 TSA'!AZ10</f>
        <v>0</v>
      </c>
      <c r="BA5" s="1333" t="str">
        <f>'HR Track 4 TSA'!BA10</f>
        <v>ü</v>
      </c>
      <c r="BB5" s="452" t="str">
        <f>'HR Track 4 TSA'!BB10</f>
        <v>App.8-V08F-P10.3</v>
      </c>
      <c r="BC5" s="1334">
        <f>'HR Track 4 TSA'!BC10</f>
        <v>0</v>
      </c>
      <c r="BD5" s="1335">
        <f>'HR Track 4 TSA'!BD10</f>
        <v>43743</v>
      </c>
      <c r="BE5" s="1335" t="str">
        <f>'HR Track 4 TSA'!BE10</f>
        <v>Ejecutado</v>
      </c>
      <c r="BF5" s="1335">
        <f>'HR Track 4 TSA'!BF10</f>
        <v>0</v>
      </c>
      <c r="BG5" s="1335">
        <f>'HR Track 4 TSA'!BG10</f>
        <v>43870</v>
      </c>
    </row>
    <row r="6" spans="1:59" ht="15.75" customHeight="1">
      <c r="A6" s="501">
        <f>'HR Track 4 TSA'!A11</f>
        <v>0</v>
      </c>
      <c r="B6" s="716">
        <f>'HR Track 4 TSA'!B11</f>
        <v>0</v>
      </c>
      <c r="C6" s="451">
        <f>'HR Track 4 TSA'!C11</f>
        <v>0</v>
      </c>
      <c r="D6" s="453">
        <f>'HR Track 4 TSA'!D11</f>
        <v>0</v>
      </c>
      <c r="E6" s="452">
        <f>'HR Track 4 TSA'!E11</f>
        <v>0</v>
      </c>
      <c r="F6" s="453">
        <f>'HR Track 4 TSA'!F11</f>
        <v>0</v>
      </c>
      <c r="G6" s="500">
        <f>'HR Track 4 TSA'!G11</f>
        <v>45</v>
      </c>
      <c r="H6" s="453">
        <f>'HR Track 4 TSA'!H11</f>
        <v>0</v>
      </c>
      <c r="I6" s="501">
        <f>'HR Track 4 TSA'!I11</f>
        <v>0</v>
      </c>
      <c r="J6" s="583">
        <f>'HR Track 4 TSA'!J11</f>
        <v>0</v>
      </c>
      <c r="K6" s="452">
        <f>'HR Track 4 TSA'!K11</f>
        <v>0</v>
      </c>
      <c r="L6" s="452">
        <f>'HR Track 4 TSA'!L11</f>
        <v>0</v>
      </c>
      <c r="M6" s="452">
        <f>'HR Track 4 TSA'!M11</f>
        <v>0</v>
      </c>
      <c r="N6" s="501">
        <f>'HR Track 4 TSA'!N11</f>
        <v>0</v>
      </c>
      <c r="O6" s="501">
        <f>'HR Track 4 TSA'!O11</f>
        <v>0</v>
      </c>
      <c r="P6" s="501">
        <f>'HR Track 4 TSA'!P11</f>
        <v>0</v>
      </c>
      <c r="Q6" s="452">
        <f>'HR Track 4 TSA'!Q11</f>
        <v>0</v>
      </c>
      <c r="R6" s="452">
        <f>'HR Track 4 TSA'!R11</f>
        <v>0</v>
      </c>
      <c r="S6" s="500">
        <f>'HR Track 4 TSA'!S11</f>
        <v>46.789999999993597</v>
      </c>
      <c r="T6" s="452">
        <f>'HR Track 4 TSA'!T11</f>
        <v>0</v>
      </c>
      <c r="U6" s="452">
        <f>'HR Track 4 TSA'!U11</f>
        <v>0</v>
      </c>
      <c r="V6" s="452">
        <f>'HR Track 4 TSA'!V11</f>
        <v>0</v>
      </c>
      <c r="W6" s="452">
        <f>'HR Track 4 TSA'!W11</f>
        <v>0</v>
      </c>
      <c r="X6" s="452">
        <f>'HR Track 4 TSA'!X11</f>
        <v>0</v>
      </c>
      <c r="Y6" s="452">
        <f>'HR Track 4 TSA'!Y11</f>
        <v>0</v>
      </c>
      <c r="Z6" s="452">
        <f>'HR Track 4 TSA'!Z11</f>
        <v>0</v>
      </c>
      <c r="AA6" s="452">
        <f>'HR Track 4 TSA'!AA11</f>
        <v>0</v>
      </c>
      <c r="AB6" s="452">
        <f>'HR Track 4 TSA'!AB11</f>
        <v>0</v>
      </c>
      <c r="AC6" s="452">
        <f>'HR Track 4 TSA'!AC11</f>
        <v>0</v>
      </c>
      <c r="AD6" s="452">
        <f>'HR Track 4 TSA'!AD11</f>
        <v>0</v>
      </c>
      <c r="AE6" s="452">
        <f>'HR Track 4 TSA'!AE11</f>
        <v>0</v>
      </c>
      <c r="AF6" s="452">
        <f>'HR Track 4 TSA'!AF11</f>
        <v>0</v>
      </c>
      <c r="AG6" s="451">
        <f>'HR Track 4 TSA'!AG11</f>
        <v>0</v>
      </c>
      <c r="AH6" s="452">
        <f>'HR Track 4 TSA'!AH11</f>
        <v>0</v>
      </c>
      <c r="AI6" s="452">
        <f>'HR Track 4 TSA'!AI11</f>
        <v>0</v>
      </c>
      <c r="AJ6" s="452">
        <f>'HR Track 4 TSA'!AJ11</f>
        <v>0</v>
      </c>
      <c r="AK6" s="452">
        <f>'HR Track 4 TSA'!AK11</f>
        <v>0</v>
      </c>
      <c r="AL6" s="452">
        <f>'HR Track 4 TSA'!AL11</f>
        <v>0</v>
      </c>
      <c r="AM6" s="452">
        <f>'HR Track 4 TSA'!AM11</f>
        <v>0</v>
      </c>
      <c r="AN6" s="500">
        <f>'HR Track 4 TSA'!AN11</f>
        <v>0</v>
      </c>
      <c r="AO6" s="452">
        <f>'HR Track 4 TSA'!AO11</f>
        <v>0</v>
      </c>
      <c r="AP6" s="452">
        <f>'HR Track 4 TSA'!AP11</f>
        <v>0</v>
      </c>
      <c r="AQ6" s="452">
        <f>'HR Track 4 TSA'!AQ11</f>
        <v>-9.2902986487481021E-2</v>
      </c>
      <c r="AR6" s="452">
        <f>'HR Track 4 TSA'!AR11</f>
        <v>0</v>
      </c>
      <c r="AS6" s="452">
        <f>'HR Track 4 TSA'!AS11</f>
        <v>0</v>
      </c>
      <c r="AT6" s="452">
        <f>'HR Track 4 TSA'!AT11</f>
        <v>0</v>
      </c>
      <c r="AU6" s="452">
        <f>'HR Track 4 TSA'!AU11</f>
        <v>0</v>
      </c>
      <c r="AV6" s="452">
        <f>'HR Track 4 TSA'!AV11</f>
        <v>0</v>
      </c>
      <c r="AW6" s="452">
        <f>'HR Track 4 TSA'!AW11</f>
        <v>0</v>
      </c>
      <c r="AX6" s="452">
        <f>'HR Track 4 TSA'!AX11</f>
        <v>0</v>
      </c>
      <c r="AY6" s="500" t="str">
        <f>'HR Track 4 TSA'!AY11</f>
        <v/>
      </c>
      <c r="AZ6" s="500" t="str">
        <f>'HR Track 4 TSA'!AZ11</f>
        <v/>
      </c>
      <c r="BA6" s="1333">
        <f>'HR Track 4 TSA'!BA11</f>
        <v>0</v>
      </c>
      <c r="BB6" s="452">
        <f>'HR Track 4 TSA'!BB11</f>
        <v>0</v>
      </c>
      <c r="BC6" s="1334">
        <f>'HR Track 4 TSA'!BC11</f>
        <v>0</v>
      </c>
      <c r="BD6" s="1335">
        <f>'HR Track 4 TSA'!BD11</f>
        <v>0</v>
      </c>
      <c r="BE6" s="1335">
        <f>'HR Track 4 TSA'!BE11</f>
        <v>0</v>
      </c>
      <c r="BF6" s="1335">
        <f>'HR Track 4 TSA'!BF11</f>
        <v>0</v>
      </c>
      <c r="BG6" s="1335">
        <f>'HR Track 4 TSA'!BG11</f>
        <v>0</v>
      </c>
    </row>
    <row r="7" spans="1:59" ht="15.75" customHeight="1">
      <c r="A7" s="501">
        <f>'HR Track 4 TSA'!A12</f>
        <v>0</v>
      </c>
      <c r="B7" s="716" t="str">
        <f>'HR Track 4 TSA'!B12</f>
        <v>92-4.23BIS</v>
      </c>
      <c r="C7" s="451">
        <f>'HR Track 4 TSA'!C12</f>
        <v>92841.650000000023</v>
      </c>
      <c r="D7" s="453">
        <f>'HR Track 4 TSA'!D12</f>
        <v>0</v>
      </c>
      <c r="E7" s="452">
        <f>'HR Track 4 TSA'!E12</f>
        <v>0</v>
      </c>
      <c r="F7" s="453">
        <f>'HR Track 4 TSA'!F12</f>
        <v>-1284</v>
      </c>
      <c r="G7" s="500">
        <f>'HR Track 4 TSA'!G12</f>
        <v>0</v>
      </c>
      <c r="H7" s="453" t="str">
        <f>'HR Track 4 TSA'!H12</f>
        <v>S/A S/A</v>
      </c>
      <c r="I7" s="501">
        <f>'HR Track 4 TSA'!I12</f>
        <v>0</v>
      </c>
      <c r="J7" s="583">
        <f>'HR Track 4 TSA'!J12</f>
        <v>0</v>
      </c>
      <c r="K7" s="452">
        <f>'HR Track 4 TSA'!K12</f>
        <v>0</v>
      </c>
      <c r="L7" s="452" t="str">
        <f>'HR Track 4 TSA'!L12</f>
        <v>2HEB-260</v>
      </c>
      <c r="M7" s="452" t="str">
        <f>'HR Track 4 TSA'!M12</f>
        <v>2C4R</v>
      </c>
      <c r="N7" s="501" t="str">
        <f>'HR Track 4 TSA'!N12</f>
        <v>EMT-T</v>
      </c>
      <c r="O7" s="501" t="str">
        <f>'HR Track 4 TSA'!O12</f>
        <v>EMT-2</v>
      </c>
      <c r="P7" s="501" t="str">
        <f>'HR Track 4 TSA'!P12</f>
        <v>EMT-T</v>
      </c>
      <c r="Q7" s="452">
        <f>'HR Track 4 TSA'!Q12</f>
        <v>30</v>
      </c>
      <c r="R7" s="452">
        <f>'HR Track 4 TSA'!R12</f>
        <v>-1284.43</v>
      </c>
      <c r="S7" s="500">
        <f>'HR Track 4 TSA'!S12</f>
        <v>0</v>
      </c>
      <c r="T7" s="452">
        <f>'HR Track 4 TSA'!T12</f>
        <v>15</v>
      </c>
      <c r="U7" s="452">
        <f>'HR Track 4 TSA'!U12</f>
        <v>30</v>
      </c>
      <c r="V7" s="452">
        <f>'HR Track 4 TSA'!V12</f>
        <v>50</v>
      </c>
      <c r="W7" s="452">
        <f>'HR Track 4 TSA'!W12</f>
        <v>2.2999999999999998</v>
      </c>
      <c r="X7" s="452">
        <f>'HR Track 4 TSA'!X12</f>
        <v>1.8</v>
      </c>
      <c r="Y7" s="452">
        <f>'HR Track 4 TSA'!Y12</f>
        <v>1.4</v>
      </c>
      <c r="Z7" s="452">
        <f>'HR Track 4 TSA'!Z12</f>
        <v>0.3</v>
      </c>
      <c r="AA7" s="452">
        <f>'HR Track 4 TSA'!AA12</f>
        <v>0</v>
      </c>
      <c r="AB7" s="452">
        <f>'HR Track 4 TSA'!AB12</f>
        <v>0.45</v>
      </c>
      <c r="AC7" s="452" t="str">
        <f>'HR Track 4 TSA'!AC12</f>
        <v>PHQ-1150</v>
      </c>
      <c r="AD7" s="452">
        <f>'HR Track 4 TSA'!AD12</f>
        <v>0</v>
      </c>
      <c r="AE7" s="452">
        <f>'HR Track 4 TSA'!AE12</f>
        <v>0</v>
      </c>
      <c r="AF7" s="452">
        <f>'HR Track 4 TSA'!AF12</f>
        <v>5800</v>
      </c>
      <c r="AG7" s="451">
        <f>'HR Track 4 TSA'!AG12</f>
        <v>92842.79</v>
      </c>
      <c r="AH7" s="452">
        <f>'HR Track 4 TSA'!AH12</f>
        <v>2563</v>
      </c>
      <c r="AI7" s="452">
        <f>'HR Track 4 TSA'!AI12</f>
        <v>270</v>
      </c>
      <c r="AJ7" s="452">
        <f>'HR Track 4 TSA'!AJ12</f>
        <v>0</v>
      </c>
      <c r="AK7" s="452">
        <f>'HR Track 4 TSA'!AK12</f>
        <v>0</v>
      </c>
      <c r="AL7" s="452">
        <f>'HR Track 4 TSA'!AL12</f>
        <v>0</v>
      </c>
      <c r="AM7" s="452" t="str">
        <f>'HR Track 4 TSA'!AM12</f>
        <v>RW1</v>
      </c>
      <c r="AN7" s="500">
        <f>'HR Track 4 TSA'!AN12</f>
        <v>5.5</v>
      </c>
      <c r="AO7" s="452">
        <f>'HR Track 4 TSA'!AO12</f>
        <v>0</v>
      </c>
      <c r="AP7" s="452">
        <f>'HR Track 4 TSA'!AP12</f>
        <v>0</v>
      </c>
      <c r="AQ7" s="452">
        <f>'HR Track 4 TSA'!AQ12</f>
        <v>0</v>
      </c>
      <c r="AR7" s="452">
        <f>'HR Track 4 TSA'!AR12</f>
        <v>0</v>
      </c>
      <c r="AS7" s="452">
        <f>'HR Track 4 TSA'!AS12</f>
        <v>0</v>
      </c>
      <c r="AT7" s="452">
        <f>'HR Track 4 TSA'!AT12</f>
        <v>4.8804155687836941</v>
      </c>
      <c r="AU7" s="452">
        <f>'HR Track 4 TSA'!AU12</f>
        <v>0</v>
      </c>
      <c r="AV7" s="452">
        <f>'HR Track 4 TSA'!AV12</f>
        <v>0</v>
      </c>
      <c r="AW7" s="452" t="str">
        <f>'HR Track 4 TSA'!AW12</f>
        <v>Soil B</v>
      </c>
      <c r="AX7" s="452" t="str">
        <f>'HR Track 4 TSA'!AX12</f>
        <v>PT</v>
      </c>
      <c r="AY7" s="500">
        <f>'HR Track 4 TSA'!AY12</f>
        <v>4</v>
      </c>
      <c r="AZ7" s="500">
        <f>'HR Track 4 TSA'!AZ12</f>
        <v>0</v>
      </c>
      <c r="BA7" s="1333" t="str">
        <f>'HR Track 4 TSA'!BA12</f>
        <v>ü</v>
      </c>
      <c r="BB7" s="452" t="str">
        <f>'HR Track 4 TSA'!BB12</f>
        <v>App.7-V11A-P9.5.1.9</v>
      </c>
      <c r="BC7" s="1334">
        <f>'HR Track 4 TSA'!BC12</f>
        <v>0</v>
      </c>
      <c r="BD7" s="1335">
        <f>'HR Track 4 TSA'!BD12</f>
        <v>43750</v>
      </c>
      <c r="BE7" s="1335">
        <f>'HR Track 4 TSA'!BE12</f>
        <v>0</v>
      </c>
      <c r="BF7" s="1335">
        <f>'HR Track 4 TSA'!BF12</f>
        <v>0</v>
      </c>
      <c r="BG7" s="1335">
        <f>'HR Track 4 TSA'!BG12</f>
        <v>43893</v>
      </c>
    </row>
    <row r="8" spans="1:59" ht="15.75" customHeight="1">
      <c r="A8" s="501">
        <f>'HR Track 4 TSA'!A13</f>
        <v>0</v>
      </c>
      <c r="B8" s="716">
        <f>'HR Track 4 TSA'!B13</f>
        <v>0</v>
      </c>
      <c r="C8" s="451">
        <f>'HR Track 4 TSA'!C13</f>
        <v>0</v>
      </c>
      <c r="D8" s="453">
        <f>'HR Track 4 TSA'!D13</f>
        <v>0</v>
      </c>
      <c r="E8" s="452">
        <f>'HR Track 4 TSA'!E13</f>
        <v>0</v>
      </c>
      <c r="F8" s="453">
        <f>'HR Track 4 TSA'!F13</f>
        <v>0</v>
      </c>
      <c r="G8" s="500">
        <f>'HR Track 4 TSA'!G13</f>
        <v>32.9</v>
      </c>
      <c r="H8" s="453">
        <f>'HR Track 4 TSA'!H13</f>
        <v>0</v>
      </c>
      <c r="I8" s="501">
        <f>'HR Track 4 TSA'!I13</f>
        <v>0</v>
      </c>
      <c r="J8" s="583">
        <f>'HR Track 4 TSA'!J13</f>
        <v>0</v>
      </c>
      <c r="K8" s="452">
        <f>'HR Track 4 TSA'!K13</f>
        <v>0</v>
      </c>
      <c r="L8" s="452">
        <f>'HR Track 4 TSA'!L13</f>
        <v>0</v>
      </c>
      <c r="M8" s="452">
        <f>'HR Track 4 TSA'!M13</f>
        <v>0</v>
      </c>
      <c r="N8" s="501">
        <f>'HR Track 4 TSA'!N13</f>
        <v>0</v>
      </c>
      <c r="O8" s="501">
        <f>'HR Track 4 TSA'!O13</f>
        <v>0</v>
      </c>
      <c r="P8" s="501">
        <f>'HR Track 4 TSA'!P13</f>
        <v>0</v>
      </c>
      <c r="Q8" s="452">
        <f>'HR Track 4 TSA'!Q13</f>
        <v>0</v>
      </c>
      <c r="R8" s="452">
        <f>'HR Track 4 TSA'!R13</f>
        <v>0</v>
      </c>
      <c r="S8" s="500">
        <f>'HR Track 4 TSA'!S13</f>
        <v>33.270000000004075</v>
      </c>
      <c r="T8" s="452">
        <f>'HR Track 4 TSA'!T13</f>
        <v>0</v>
      </c>
      <c r="U8" s="452">
        <f>'HR Track 4 TSA'!U13</f>
        <v>0</v>
      </c>
      <c r="V8" s="452">
        <f>'HR Track 4 TSA'!V13</f>
        <v>0</v>
      </c>
      <c r="W8" s="452">
        <f>'HR Track 4 TSA'!W13</f>
        <v>0</v>
      </c>
      <c r="X8" s="452">
        <f>'HR Track 4 TSA'!X13</f>
        <v>0</v>
      </c>
      <c r="Y8" s="452">
        <f>'HR Track 4 TSA'!Y13</f>
        <v>0</v>
      </c>
      <c r="Z8" s="452">
        <f>'HR Track 4 TSA'!Z13</f>
        <v>0</v>
      </c>
      <c r="AA8" s="452">
        <f>'HR Track 4 TSA'!AA13</f>
        <v>0</v>
      </c>
      <c r="AB8" s="452">
        <f>'HR Track 4 TSA'!AB13</f>
        <v>0</v>
      </c>
      <c r="AC8" s="452">
        <f>'HR Track 4 TSA'!AC13</f>
        <v>0</v>
      </c>
      <c r="AD8" s="452">
        <f>'HR Track 4 TSA'!AD13</f>
        <v>0</v>
      </c>
      <c r="AE8" s="452">
        <f>'HR Track 4 TSA'!AE13</f>
        <v>0</v>
      </c>
      <c r="AF8" s="452">
        <f>'HR Track 4 TSA'!AF13</f>
        <v>0</v>
      </c>
      <c r="AG8" s="451">
        <f>'HR Track 4 TSA'!AG13</f>
        <v>0</v>
      </c>
      <c r="AH8" s="452">
        <f>'HR Track 4 TSA'!AH13</f>
        <v>0</v>
      </c>
      <c r="AI8" s="452">
        <f>'HR Track 4 TSA'!AI13</f>
        <v>0</v>
      </c>
      <c r="AJ8" s="452">
        <f>'HR Track 4 TSA'!AJ13</f>
        <v>0</v>
      </c>
      <c r="AK8" s="452">
        <f>'HR Track 4 TSA'!AK13</f>
        <v>0</v>
      </c>
      <c r="AL8" s="452">
        <f>'HR Track 4 TSA'!AL13</f>
        <v>0</v>
      </c>
      <c r="AM8" s="452">
        <f>'HR Track 4 TSA'!AM13</f>
        <v>0</v>
      </c>
      <c r="AN8" s="500">
        <f>'HR Track 4 TSA'!AN13</f>
        <v>0</v>
      </c>
      <c r="AO8" s="452">
        <f>'HR Track 4 TSA'!AO13</f>
        <v>0</v>
      </c>
      <c r="AP8" s="452">
        <f>'HR Track 4 TSA'!AP13</f>
        <v>0</v>
      </c>
      <c r="AQ8" s="452">
        <f>'HR Track 4 TSA'!AQ13</f>
        <v>0.40463296666666665</v>
      </c>
      <c r="AR8" s="452">
        <f>'HR Track 4 TSA'!AR13</f>
        <v>0</v>
      </c>
      <c r="AS8" s="452">
        <f>'HR Track 4 TSA'!AS13</f>
        <v>0</v>
      </c>
      <c r="AT8" s="452">
        <f>'HR Track 4 TSA'!AT13</f>
        <v>0</v>
      </c>
      <c r="AU8" s="452">
        <f>'HR Track 4 TSA'!AU13</f>
        <v>0</v>
      </c>
      <c r="AV8" s="452">
        <f>'HR Track 4 TSA'!AV13</f>
        <v>0</v>
      </c>
      <c r="AW8" s="452">
        <f>'HR Track 4 TSA'!AW13</f>
        <v>0</v>
      </c>
      <c r="AX8" s="452">
        <f>'HR Track 4 TSA'!AX13</f>
        <v>0</v>
      </c>
      <c r="AY8" s="500" t="str">
        <f>'HR Track 4 TSA'!AY13</f>
        <v/>
      </c>
      <c r="AZ8" s="500" t="str">
        <f>'HR Track 4 TSA'!AZ13</f>
        <v/>
      </c>
      <c r="BA8" s="1333">
        <f>'HR Track 4 TSA'!BA13</f>
        <v>0</v>
      </c>
      <c r="BB8" s="452">
        <f>'HR Track 4 TSA'!BB13</f>
        <v>0</v>
      </c>
      <c r="BC8" s="1334">
        <f>'HR Track 4 TSA'!BC13</f>
        <v>0</v>
      </c>
      <c r="BD8" s="1335">
        <f>'HR Track 4 TSA'!BD13</f>
        <v>0</v>
      </c>
      <c r="BE8" s="1335">
        <f>'HR Track 4 TSA'!BE13</f>
        <v>0</v>
      </c>
      <c r="BF8" s="1335">
        <f>'HR Track 4 TSA'!BF13</f>
        <v>0</v>
      </c>
      <c r="BG8" s="1335">
        <f>'HR Track 4 TSA'!BG13</f>
        <v>0</v>
      </c>
    </row>
    <row r="9" spans="1:59" ht="15.75" customHeight="1">
      <c r="A9" s="501">
        <f>'HR Track 4 TSA'!A14</f>
        <v>0</v>
      </c>
      <c r="B9" s="716" t="str">
        <f>'HR Track 4 TSA'!B14</f>
        <v>92-4.24</v>
      </c>
      <c r="C9" s="451">
        <f>'HR Track 4 TSA'!C14</f>
        <v>92874.550000000017</v>
      </c>
      <c r="D9" s="453">
        <f>'HR Track 4 TSA'!D14</f>
        <v>0</v>
      </c>
      <c r="E9" s="452">
        <f>'HR Track 4 TSA'!E14</f>
        <v>0</v>
      </c>
      <c r="F9" s="453">
        <f>'HR Track 4 TSA'!F14</f>
        <v>0</v>
      </c>
      <c r="G9" s="500">
        <f>'HR Track 4 TSA'!G14</f>
        <v>0</v>
      </c>
      <c r="H9" s="453" t="str">
        <f>'HR Track 4 TSA'!H14</f>
        <v>A/S P59(CS)</v>
      </c>
      <c r="I9" s="501" t="str">
        <f>'HR Track 4 TSA'!I14</f>
        <v>CP+AnMC</v>
      </c>
      <c r="J9" s="583">
        <f>'HR Track 4 TSA'!J14</f>
        <v>0</v>
      </c>
      <c r="K9" s="452">
        <f>'HR Track 4 TSA'!K14</f>
        <v>0</v>
      </c>
      <c r="L9" s="452" t="str">
        <f>'HR Track 4 TSA'!L14</f>
        <v>2HEB-240</v>
      </c>
      <c r="M9" s="452" t="str">
        <f>'HR Track 4 TSA'!M14</f>
        <v>2C3R</v>
      </c>
      <c r="N9" s="501" t="str">
        <f>'HR Track 4 TSA'!N14</f>
        <v>EMT-1</v>
      </c>
      <c r="O9" s="501" t="str">
        <f>'HR Track 4 TSA'!O14</f>
        <v>EMT-2</v>
      </c>
      <c r="P9" s="501">
        <f>'HR Track 4 TSA'!P14</f>
        <v>0</v>
      </c>
      <c r="Q9" s="452">
        <f>'HR Track 4 TSA'!Q14</f>
        <v>0</v>
      </c>
      <c r="R9" s="452">
        <f>'HR Track 4 TSA'!R14</f>
        <v>0</v>
      </c>
      <c r="S9" s="500">
        <f>'HR Track 4 TSA'!S14</f>
        <v>0</v>
      </c>
      <c r="T9" s="452">
        <f>'HR Track 4 TSA'!T14</f>
        <v>15</v>
      </c>
      <c r="U9" s="452">
        <f>'HR Track 4 TSA'!U14</f>
        <v>30</v>
      </c>
      <c r="V9" s="452">
        <f>'HR Track 4 TSA'!V14</f>
        <v>0</v>
      </c>
      <c r="W9" s="452">
        <f>'HR Track 4 TSA'!W14</f>
        <v>2.2999999999999998</v>
      </c>
      <c r="X9" s="452">
        <f>'HR Track 4 TSA'!X14</f>
        <v>1.4</v>
      </c>
      <c r="Y9" s="452">
        <f>'HR Track 4 TSA'!Y14</f>
        <v>0</v>
      </c>
      <c r="Z9" s="452">
        <f>'HR Track 4 TSA'!Z14</f>
        <v>0</v>
      </c>
      <c r="AA9" s="452">
        <f>'HR Track 4 TSA'!AA14</f>
        <v>0</v>
      </c>
      <c r="AB9" s="452">
        <f>'HR Track 4 TSA'!AB14</f>
        <v>0</v>
      </c>
      <c r="AC9" s="452" t="str">
        <f>'HR Track 4 TSA'!AC14</f>
        <v>BTC-1651</v>
      </c>
      <c r="AD9" s="452" t="str">
        <f>'HR Track 4 TSA'!AD14</f>
        <v>PH-1150</v>
      </c>
      <c r="AE9" s="452">
        <f>'HR Track 4 TSA'!AE14</f>
        <v>0</v>
      </c>
      <c r="AF9" s="452">
        <f>'HR Track 4 TSA'!AF14</f>
        <v>5500</v>
      </c>
      <c r="AG9" s="451">
        <f>'HR Track 4 TSA'!AG14</f>
        <v>92876.06</v>
      </c>
      <c r="AH9" s="452">
        <f>'HR Track 4 TSA'!AH14</f>
        <v>2393</v>
      </c>
      <c r="AI9" s="452">
        <f>'HR Track 4 TSA'!AI14</f>
        <v>70</v>
      </c>
      <c r="AJ9" s="452">
        <f>'HR Track 4 TSA'!AJ14</f>
        <v>0</v>
      </c>
      <c r="AK9" s="452">
        <f>'HR Track 4 TSA'!AK14</f>
        <v>0</v>
      </c>
      <c r="AL9" s="452">
        <f>'HR Track 4 TSA'!AL14</f>
        <v>0</v>
      </c>
      <c r="AM9" s="452" t="str">
        <f>'HR Track 4 TSA'!AM14</f>
        <v>RW1</v>
      </c>
      <c r="AN9" s="500">
        <f>'HR Track 4 TSA'!AN14</f>
        <v>5.5</v>
      </c>
      <c r="AO9" s="452">
        <f>'HR Track 4 TSA'!AO14</f>
        <v>0</v>
      </c>
      <c r="AP9" s="452">
        <f>'HR Track 4 TSA'!AP14</f>
        <v>0</v>
      </c>
      <c r="AQ9" s="452">
        <f>'HR Track 4 TSA'!AQ14</f>
        <v>0</v>
      </c>
      <c r="AR9" s="452">
        <f>'HR Track 4 TSA'!AR14</f>
        <v>0</v>
      </c>
      <c r="AS9" s="452">
        <f>'HR Track 4 TSA'!AS14</f>
        <v>0</v>
      </c>
      <c r="AT9" s="452">
        <f>'HR Track 4 TSA'!AT14</f>
        <v>19.118185532329861</v>
      </c>
      <c r="AU9" s="452">
        <f>'HR Track 4 TSA'!AU14</f>
        <v>0</v>
      </c>
      <c r="AV9" s="452">
        <f>'HR Track 4 TSA'!AV14</f>
        <v>0</v>
      </c>
      <c r="AW9" s="452" t="str">
        <f>'HR Track 4 TSA'!AW14</f>
        <v>Soil B</v>
      </c>
      <c r="AX9" s="452" t="str">
        <f>'HR Track 4 TSA'!AX14</f>
        <v>PT</v>
      </c>
      <c r="AY9" s="500">
        <f>'HR Track 4 TSA'!AY14</f>
        <v>3.5</v>
      </c>
      <c r="AZ9" s="500">
        <f>'HR Track 4 TSA'!AZ14</f>
        <v>0</v>
      </c>
      <c r="BA9" s="1333" t="str">
        <f>'HR Track 4 TSA'!BA14</f>
        <v>ü</v>
      </c>
      <c r="BB9" s="452" t="str">
        <f>'HR Track 4 TSA'!BB14</f>
        <v>App.7-V11A-P9.5.1.8</v>
      </c>
      <c r="BC9" s="1334">
        <f>'HR Track 4 TSA'!BC14</f>
        <v>0</v>
      </c>
      <c r="BD9" s="1335">
        <f>'HR Track 4 TSA'!BD14</f>
        <v>43745</v>
      </c>
      <c r="BE9" s="1335">
        <f>'HR Track 4 TSA'!BE14</f>
        <v>43812</v>
      </c>
      <c r="BF9" s="1335">
        <f>'HR Track 4 TSA'!BF14</f>
        <v>0</v>
      </c>
      <c r="BG9" s="1335">
        <f>'HR Track 4 TSA'!BG14</f>
        <v>43870</v>
      </c>
    </row>
    <row r="10" spans="1:59" ht="15.75" customHeight="1">
      <c r="A10" s="501">
        <f>'HR Track 4 TSA'!A15</f>
        <v>0</v>
      </c>
      <c r="B10" s="716">
        <f>'HR Track 4 TSA'!B15</f>
        <v>0</v>
      </c>
      <c r="C10" s="451">
        <f>'HR Track 4 TSA'!C15</f>
        <v>0</v>
      </c>
      <c r="D10" s="453">
        <f>'HR Track 4 TSA'!D15</f>
        <v>0</v>
      </c>
      <c r="E10" s="452">
        <f>'HR Track 4 TSA'!E15</f>
        <v>0</v>
      </c>
      <c r="F10" s="453">
        <f>'HR Track 4 TSA'!F15</f>
        <v>0</v>
      </c>
      <c r="G10" s="500">
        <f>'HR Track 4 TSA'!G15</f>
        <v>41.4</v>
      </c>
      <c r="H10" s="453">
        <f>'HR Track 4 TSA'!H15</f>
        <v>0</v>
      </c>
      <c r="I10" s="501">
        <f>'HR Track 4 TSA'!I15</f>
        <v>0</v>
      </c>
      <c r="J10" s="583">
        <f>'HR Track 4 TSA'!J15</f>
        <v>92882.050000000017</v>
      </c>
      <c r="K10" s="452" t="str">
        <f>'HR Track 4 TSA'!K15</f>
        <v>AnMC-R</v>
      </c>
      <c r="L10" s="452">
        <f>'HR Track 4 TSA'!L15</f>
        <v>0</v>
      </c>
      <c r="M10" s="452">
        <f>'HR Track 4 TSA'!M15</f>
        <v>0</v>
      </c>
      <c r="N10" s="501">
        <f>'HR Track 4 TSA'!N15</f>
        <v>0</v>
      </c>
      <c r="O10" s="501">
        <f>'HR Track 4 TSA'!O15</f>
        <v>0</v>
      </c>
      <c r="P10" s="501">
        <f>'HR Track 4 TSA'!P15</f>
        <v>0</v>
      </c>
      <c r="Q10" s="452">
        <f>'HR Track 4 TSA'!Q15</f>
        <v>0</v>
      </c>
      <c r="R10" s="452">
        <f>'HR Track 4 TSA'!R15</f>
        <v>0</v>
      </c>
      <c r="S10" s="500">
        <f>'HR Track 4 TSA'!S15</f>
        <v>40.119999999995343</v>
      </c>
      <c r="T10" s="452">
        <f>'HR Track 4 TSA'!T15</f>
        <v>0</v>
      </c>
      <c r="U10" s="452">
        <f>'HR Track 4 TSA'!U15</f>
        <v>0</v>
      </c>
      <c r="V10" s="452">
        <f>'HR Track 4 TSA'!V15</f>
        <v>0</v>
      </c>
      <c r="W10" s="452">
        <f>'HR Track 4 TSA'!W15</f>
        <v>0</v>
      </c>
      <c r="X10" s="452">
        <f>'HR Track 4 TSA'!X15</f>
        <v>0</v>
      </c>
      <c r="Y10" s="452">
        <f>'HR Track 4 TSA'!Y15</f>
        <v>0</v>
      </c>
      <c r="Z10" s="452">
        <f>'HR Track 4 TSA'!Z15</f>
        <v>0</v>
      </c>
      <c r="AA10" s="452">
        <f>'HR Track 4 TSA'!AA15</f>
        <v>0</v>
      </c>
      <c r="AB10" s="452">
        <f>'HR Track 4 TSA'!AB15</f>
        <v>0</v>
      </c>
      <c r="AC10" s="452">
        <f>'HR Track 4 TSA'!AC15</f>
        <v>0</v>
      </c>
      <c r="AD10" s="452">
        <f>'HR Track 4 TSA'!AD15</f>
        <v>0</v>
      </c>
      <c r="AE10" s="452">
        <f>'HR Track 4 TSA'!AE15</f>
        <v>0</v>
      </c>
      <c r="AF10" s="452">
        <f>'HR Track 4 TSA'!AF15</f>
        <v>0</v>
      </c>
      <c r="AG10" s="451">
        <f>'HR Track 4 TSA'!AG15</f>
        <v>0</v>
      </c>
      <c r="AH10" s="452">
        <f>'HR Track 4 TSA'!AH15</f>
        <v>0</v>
      </c>
      <c r="AI10" s="452">
        <f>'HR Track 4 TSA'!AI15</f>
        <v>0</v>
      </c>
      <c r="AJ10" s="452">
        <f>'HR Track 4 TSA'!AJ15</f>
        <v>0</v>
      </c>
      <c r="AK10" s="452">
        <f>'HR Track 4 TSA'!AK15</f>
        <v>0</v>
      </c>
      <c r="AL10" s="452">
        <f>'HR Track 4 TSA'!AL15</f>
        <v>0</v>
      </c>
      <c r="AM10" s="452">
        <f>'HR Track 4 TSA'!AM15</f>
        <v>0</v>
      </c>
      <c r="AN10" s="500">
        <f>'HR Track 4 TSA'!AN15</f>
        <v>0</v>
      </c>
      <c r="AO10" s="452">
        <f>'HR Track 4 TSA'!AO15</f>
        <v>0</v>
      </c>
      <c r="AP10" s="452">
        <f>'HR Track 4 TSA'!AP15</f>
        <v>0</v>
      </c>
      <c r="AQ10" s="452">
        <f>'HR Track 4 TSA'!AQ15</f>
        <v>-0.1260390898357488</v>
      </c>
      <c r="AR10" s="452">
        <f>'HR Track 4 TSA'!AR15</f>
        <v>0</v>
      </c>
      <c r="AS10" s="452">
        <f>'HR Track 4 TSA'!AS15</f>
        <v>0</v>
      </c>
      <c r="AT10" s="452">
        <f>'HR Track 4 TSA'!AT15</f>
        <v>0</v>
      </c>
      <c r="AU10" s="452">
        <f>'HR Track 4 TSA'!AU15</f>
        <v>0</v>
      </c>
      <c r="AV10" s="452">
        <f>'HR Track 4 TSA'!AV15</f>
        <v>0</v>
      </c>
      <c r="AW10" s="452" t="str">
        <f>'HR Track 4 TSA'!AW15</f>
        <v>Soil B</v>
      </c>
      <c r="AX10" s="452" t="str">
        <f>'HR Track 4 TSA'!AX15</f>
        <v>PT</v>
      </c>
      <c r="AY10" s="500">
        <f>'HR Track 4 TSA'!AY15</f>
        <v>0</v>
      </c>
      <c r="AZ10" s="500">
        <f>'HR Track 4 TSA'!AZ15</f>
        <v>3.9</v>
      </c>
      <c r="BA10" s="1333" t="str">
        <f>'HR Track 4 TSA'!BA15</f>
        <v>ü</v>
      </c>
      <c r="BB10" s="452">
        <f>'HR Track 4 TSA'!BB15</f>
        <v>0</v>
      </c>
      <c r="BC10" s="1334">
        <f>'HR Track 4 TSA'!BC15</f>
        <v>0</v>
      </c>
      <c r="BD10" s="1335">
        <f>'HR Track 4 TSA'!BD15</f>
        <v>43745</v>
      </c>
      <c r="BE10" s="1335">
        <f>'HR Track 4 TSA'!BE15</f>
        <v>0</v>
      </c>
      <c r="BF10" s="1335">
        <f>'HR Track 4 TSA'!BF15</f>
        <v>0</v>
      </c>
      <c r="BG10" s="1335">
        <f>'HR Track 4 TSA'!BG15</f>
        <v>0</v>
      </c>
    </row>
    <row r="11" spans="1:59" ht="15.75" customHeight="1">
      <c r="A11" s="1239"/>
      <c r="B11" s="173" t="s">
        <v>2721</v>
      </c>
      <c r="C11" s="446">
        <v>92916.05</v>
      </c>
      <c r="D11" s="447"/>
      <c r="E11" s="447"/>
      <c r="F11" s="1239">
        <v>0</v>
      </c>
      <c r="G11" s="484"/>
      <c r="H11" s="1239"/>
      <c r="I11" s="1239"/>
      <c r="J11" s="446"/>
      <c r="K11" s="638"/>
      <c r="L11" s="638"/>
      <c r="M11" s="638"/>
      <c r="N11" s="1239" t="s">
        <v>843</v>
      </c>
      <c r="O11" s="1239"/>
      <c r="P11" s="638"/>
      <c r="Q11" s="638">
        <v>0</v>
      </c>
      <c r="R11" s="638">
        <v>0</v>
      </c>
      <c r="S11" s="484"/>
      <c r="T11" s="638">
        <v>-10</v>
      </c>
      <c r="U11" s="638"/>
      <c r="V11" s="638"/>
      <c r="W11" s="1239">
        <v>1.4</v>
      </c>
      <c r="X11" s="638"/>
      <c r="Y11" s="638"/>
      <c r="Z11" s="638"/>
      <c r="AA11" s="638"/>
      <c r="AB11" s="638"/>
      <c r="AC11" s="638" t="s">
        <v>4117</v>
      </c>
      <c r="AD11" s="638"/>
      <c r="AE11" s="638"/>
      <c r="AF11" s="638">
        <v>100</v>
      </c>
      <c r="AG11" s="446">
        <v>92916</v>
      </c>
      <c r="AH11" s="638">
        <v>1653</v>
      </c>
      <c r="AI11" s="185">
        <v>-5420</v>
      </c>
      <c r="AJ11" s="638" t="s">
        <v>864</v>
      </c>
      <c r="AK11" s="1239" t="s">
        <v>139</v>
      </c>
      <c r="AL11" s="638"/>
      <c r="AM11" s="638"/>
      <c r="AN11" s="484">
        <v>5.44</v>
      </c>
      <c r="AO11" s="1239"/>
      <c r="AP11" s="1239"/>
      <c r="AQ11" s="484"/>
      <c r="AR11" s="484"/>
      <c r="AS11" s="484"/>
      <c r="AT11" s="484"/>
      <c r="AU11" s="638"/>
      <c r="AV11" s="638"/>
      <c r="AW11" s="638"/>
      <c r="AX11" s="638"/>
      <c r="AY11" s="484" t="str">
        <f>IF(AX11="PT",VLOOKUP(M11,'Foundation Calculation'!$L$2:$R$37,VLOOKUP(AW11,'Foundation Calculation'!$I$2:$J$8,2,FALSE),0),IF(AX11="K",VLOOKUP(M11,'Foundation Calculation'!$L$41:$R$75,VLOOKUP(AW11,'Foundation Calculation'!$I$2:$J$8,2,FALSE),0),""))</f>
        <v/>
      </c>
      <c r="AZ11" s="484" t="str">
        <f>IF(AX11="PT",VLOOKUP(K11,'Foundation Calculation'!$L$2:$R$41,VLOOKUP(AW11,'Foundation Calculation'!$I$2:$J$8,2,FALSE),0),IF(AX11="K",VLOOKUP(K11,'Foundation Calculation'!$L$41:$R$79,VLOOKUP(AW11,'Foundation Calculation'!$I$2:$J$8,2,FALSE),0),""))</f>
        <v/>
      </c>
      <c r="BA11" s="671"/>
      <c r="BB11" s="1239"/>
      <c r="BC11" s="169"/>
      <c r="BD11" s="1330"/>
      <c r="BE11" s="1329">
        <v>43861</v>
      </c>
      <c r="BF11" s="1329"/>
      <c r="BG11" s="1329">
        <v>43893</v>
      </c>
    </row>
    <row r="12" spans="1:59" ht="15.75" customHeight="1">
      <c r="A12" s="1239"/>
      <c r="B12" s="173"/>
      <c r="C12" s="446"/>
      <c r="D12" s="447"/>
      <c r="E12" s="447"/>
      <c r="F12" s="1239"/>
      <c r="G12" s="484">
        <v>44</v>
      </c>
      <c r="H12" s="1239"/>
      <c r="I12" s="172"/>
      <c r="J12" s="446"/>
      <c r="K12" s="638"/>
      <c r="L12" s="638"/>
      <c r="M12" s="638"/>
      <c r="N12" s="1239"/>
      <c r="O12" s="1239"/>
      <c r="P12" s="638"/>
      <c r="Q12" s="638"/>
      <c r="R12" s="638"/>
      <c r="S12" s="484">
        <f>AG13-AG11</f>
        <v>40.139999999999418</v>
      </c>
      <c r="T12" s="638"/>
      <c r="U12" s="638"/>
      <c r="V12" s="638"/>
      <c r="W12" s="1239"/>
      <c r="X12" s="638"/>
      <c r="Y12" s="638"/>
      <c r="Z12" s="638"/>
      <c r="AA12" s="638"/>
      <c r="AB12" s="638"/>
      <c r="AC12" s="638"/>
      <c r="AD12" s="638"/>
      <c r="AE12" s="638"/>
      <c r="AF12" s="638"/>
      <c r="AG12" s="446"/>
      <c r="AH12" s="638"/>
      <c r="AI12" s="185"/>
      <c r="AJ12" s="638"/>
      <c r="AK12" s="1239"/>
      <c r="AL12" s="638"/>
      <c r="AM12" s="445"/>
      <c r="AN12" s="484"/>
      <c r="AO12" s="1239"/>
      <c r="AP12" s="1239"/>
      <c r="AQ12" s="484">
        <f>+FL_2($T$13,-$T$11,$G$12,1200,9.28,-1*$F$13)</f>
        <v>-0.2672033023030303</v>
      </c>
      <c r="AR12" s="484"/>
      <c r="AS12" s="484"/>
      <c r="AT12" s="484"/>
      <c r="AU12" s="638"/>
      <c r="AV12" s="638"/>
      <c r="AW12" s="484"/>
      <c r="AX12" s="484"/>
      <c r="AY12" s="484" t="str">
        <f>IF(AX12="PT",VLOOKUP(M12,'Foundation Calculation'!$L$2:$R$37,VLOOKUP(AW12,'Foundation Calculation'!$I$2:$J$8,2,FALSE),0),IF(AX12="K",VLOOKUP(M12,'Foundation Calculation'!$L$41:$R$75,VLOOKUP(AW12,'Foundation Calculation'!$I$2:$J$8,2,FALSE),0),""))</f>
        <v/>
      </c>
      <c r="AZ12" s="484" t="str">
        <f>IF(AX12="PT",VLOOKUP(K12,'Foundation Calculation'!$L$2:$R$41,VLOOKUP(AW12,'Foundation Calculation'!$I$2:$J$8,2,FALSE),0),IF(AX12="K",VLOOKUP(K12,'Foundation Calculation'!$L$41:$R$79,VLOOKUP(AW12,'Foundation Calculation'!$I$2:$J$8,2,FALSE),0),""))</f>
        <v/>
      </c>
      <c r="BA12" s="671"/>
      <c r="BB12" s="1239"/>
      <c r="BC12" s="169"/>
      <c r="BD12" s="1330"/>
      <c r="BE12" s="1330"/>
      <c r="BF12" s="1330"/>
      <c r="BG12" s="1330"/>
    </row>
    <row r="13" spans="1:59" ht="15.75" customHeight="1">
      <c r="A13" s="414"/>
      <c r="B13" s="437" t="s">
        <v>2722</v>
      </c>
      <c r="C13" s="416">
        <f>+$C$11+$G$12</f>
        <v>92960.05</v>
      </c>
      <c r="D13" s="415"/>
      <c r="E13" s="415"/>
      <c r="F13" s="415">
        <v>0</v>
      </c>
      <c r="G13" s="422"/>
      <c r="H13" s="420"/>
      <c r="I13" s="420"/>
      <c r="J13" s="416"/>
      <c r="K13" s="415"/>
      <c r="L13" s="415"/>
      <c r="M13" s="415"/>
      <c r="N13" s="415" t="s">
        <v>843</v>
      </c>
      <c r="O13" s="415"/>
      <c r="P13" s="415"/>
      <c r="Q13" s="417">
        <v>10</v>
      </c>
      <c r="R13" s="417">
        <v>0</v>
      </c>
      <c r="S13" s="422"/>
      <c r="T13" s="417">
        <v>-20</v>
      </c>
      <c r="U13" s="417"/>
      <c r="V13" s="417"/>
      <c r="W13" s="420">
        <v>1.4</v>
      </c>
      <c r="X13" s="417"/>
      <c r="Y13" s="417"/>
      <c r="Z13" s="417"/>
      <c r="AA13" s="417"/>
      <c r="AB13" s="417"/>
      <c r="AC13" s="417" t="s">
        <v>1417</v>
      </c>
      <c r="AD13" s="417"/>
      <c r="AE13" s="417"/>
      <c r="AF13" s="417">
        <v>100</v>
      </c>
      <c r="AG13" s="416">
        <v>92956.14</v>
      </c>
      <c r="AH13" s="417">
        <v>1633</v>
      </c>
      <c r="AI13" s="607">
        <v>-5480</v>
      </c>
      <c r="AJ13" s="415"/>
      <c r="AK13" s="415" t="s">
        <v>139</v>
      </c>
      <c r="AL13" s="415"/>
      <c r="AM13" s="417"/>
      <c r="AN13" s="422">
        <v>5.37</v>
      </c>
      <c r="AO13" s="415"/>
      <c r="AP13" s="415"/>
      <c r="AQ13" s="422"/>
      <c r="AR13" s="422"/>
      <c r="AS13" s="422"/>
      <c r="AT13" s="422">
        <f>+ab($T$13,$T$11,$T$15,$G$12,$G$14,-1*$F$13,1200)</f>
        <v>-12.642765301500667</v>
      </c>
      <c r="AU13" s="417"/>
      <c r="AV13" s="417"/>
      <c r="AW13" s="422"/>
      <c r="AX13" s="422"/>
      <c r="AY13" s="422" t="str">
        <f>IF(AX13="PT",VLOOKUP(M13,'Foundation Calculation'!$L$2:$R$37,VLOOKUP(AW13,'Foundation Calculation'!$I$2:$J$8,2,FALSE),0),IF(AX13="K",VLOOKUP(M13,'Foundation Calculation'!$L$41:$R$75,VLOOKUP(AW13,'Foundation Calculation'!$I$2:$J$8,2,FALSE),0),""))</f>
        <v/>
      </c>
      <c r="AZ13" s="422" t="str">
        <f>IF(AX13="PT",VLOOKUP(K13,'Foundation Calculation'!$L$2:$R$41,VLOOKUP(AW13,'Foundation Calculation'!$I$2:$J$8,2,FALSE),0),IF(AX13="K",VLOOKUP(K13,'Foundation Calculation'!$L$41:$R$79,VLOOKUP(AW13,'Foundation Calculation'!$I$2:$J$8,2,FALSE),0),""))</f>
        <v/>
      </c>
      <c r="BA13" s="604"/>
      <c r="BB13" s="414"/>
      <c r="BC13" s="169"/>
      <c r="BD13" s="1330"/>
      <c r="BE13" s="1329"/>
      <c r="BF13" s="1330"/>
      <c r="BG13" s="1329"/>
    </row>
    <row r="14" spans="1:59" ht="15.75" customHeight="1">
      <c r="A14" s="414"/>
      <c r="B14" s="437"/>
      <c r="C14" s="416"/>
      <c r="D14" s="415"/>
      <c r="E14" s="415"/>
      <c r="F14" s="415"/>
      <c r="G14" s="422">
        <v>31.6</v>
      </c>
      <c r="H14" s="415"/>
      <c r="I14" s="415"/>
      <c r="J14" s="416"/>
      <c r="K14" s="415"/>
      <c r="L14" s="415"/>
      <c r="M14" s="415"/>
      <c r="N14" s="415"/>
      <c r="O14" s="415"/>
      <c r="P14" s="415"/>
      <c r="Q14" s="417"/>
      <c r="R14" s="417"/>
      <c r="S14" s="422">
        <f t="shared" ref="S14" si="0">AG15-AG13</f>
        <v>32.960000000006403</v>
      </c>
      <c r="T14" s="417"/>
      <c r="U14" s="417"/>
      <c r="V14" s="417"/>
      <c r="W14" s="420"/>
      <c r="X14" s="417"/>
      <c r="Y14" s="417"/>
      <c r="Z14" s="417"/>
      <c r="AA14" s="417"/>
      <c r="AB14" s="417"/>
      <c r="AC14" s="417"/>
      <c r="AD14" s="417"/>
      <c r="AE14" s="417"/>
      <c r="AF14" s="417"/>
      <c r="AG14" s="416"/>
      <c r="AH14" s="417"/>
      <c r="AI14" s="607"/>
      <c r="AJ14" s="415"/>
      <c r="AK14" s="415"/>
      <c r="AL14" s="415"/>
      <c r="AM14" s="415"/>
      <c r="AN14" s="422"/>
      <c r="AO14" s="415"/>
      <c r="AP14" s="415"/>
      <c r="AQ14" s="422">
        <f>+FL_2($T$15,$T$13,$G$14,1200,9.28,-1*$F$15)</f>
        <v>-0.29215899914746291</v>
      </c>
      <c r="AR14" s="422"/>
      <c r="AS14" s="422"/>
      <c r="AT14" s="422"/>
      <c r="AU14" s="417"/>
      <c r="AV14" s="417"/>
      <c r="AW14" s="422"/>
      <c r="AX14" s="422"/>
      <c r="AY14" s="422" t="str">
        <f>IF(AX14="PT",VLOOKUP(M14,'Foundation Calculation'!$L$2:$R$37,VLOOKUP(AW14,'Foundation Calculation'!$I$2:$J$8,2,FALSE),0),IF(AX14="K",VLOOKUP(M14,'Foundation Calculation'!$L$41:$R$75,VLOOKUP(AW14,'Foundation Calculation'!$I$2:$J$8,2,FALSE),0),""))</f>
        <v/>
      </c>
      <c r="AZ14" s="422" t="str">
        <f>IF(AX14="PT",VLOOKUP(K14,'Foundation Calculation'!$L$2:$R$41,VLOOKUP(AW14,'Foundation Calculation'!$I$2:$J$8,2,FALSE),0),IF(AX14="K",VLOOKUP(K14,'Foundation Calculation'!$L$41:$R$79,VLOOKUP(AW14,'Foundation Calculation'!$I$2:$J$8,2,FALSE),0),""))</f>
        <v/>
      </c>
      <c r="BA14" s="1311"/>
      <c r="BB14" s="414"/>
      <c r="BC14" s="169"/>
      <c r="BD14" s="1330"/>
      <c r="BE14" s="1330"/>
      <c r="BF14" s="1330"/>
      <c r="BG14" s="1330"/>
    </row>
    <row r="15" spans="1:59" ht="25">
      <c r="A15" s="414"/>
      <c r="B15" s="416" t="s">
        <v>2723</v>
      </c>
      <c r="C15" s="416">
        <f>+$C$13+$G$14</f>
        <v>92991.650000000009</v>
      </c>
      <c r="D15" s="420"/>
      <c r="E15" s="420"/>
      <c r="F15" s="444">
        <v>-800</v>
      </c>
      <c r="G15" s="444"/>
      <c r="H15" s="421"/>
      <c r="I15" s="416"/>
      <c r="J15" s="416"/>
      <c r="K15" s="417"/>
      <c r="L15" s="417" t="s">
        <v>4488</v>
      </c>
      <c r="M15" s="420" t="s">
        <v>2811</v>
      </c>
      <c r="N15" s="420" t="s">
        <v>844</v>
      </c>
      <c r="O15" s="417"/>
      <c r="P15" s="417"/>
      <c r="Q15" s="417">
        <v>0</v>
      </c>
      <c r="R15" s="417">
        <v>-800</v>
      </c>
      <c r="S15" s="422"/>
      <c r="T15" s="417">
        <v>20</v>
      </c>
      <c r="U15" s="417"/>
      <c r="V15" s="417"/>
      <c r="W15" s="417">
        <v>1.1000000000000001</v>
      </c>
      <c r="X15" s="417"/>
      <c r="Y15" s="417"/>
      <c r="Z15" s="417"/>
      <c r="AA15" s="417"/>
      <c r="AB15" s="417"/>
      <c r="AC15" s="417" t="s">
        <v>3050</v>
      </c>
      <c r="AD15" s="417"/>
      <c r="AE15" s="417"/>
      <c r="AF15" s="417">
        <v>200</v>
      </c>
      <c r="AG15" s="416">
        <v>92989.1</v>
      </c>
      <c r="AH15" s="607">
        <v>903</v>
      </c>
      <c r="AI15" s="417">
        <v>-5200</v>
      </c>
      <c r="AJ15" s="420"/>
      <c r="AK15" s="417" t="s">
        <v>139</v>
      </c>
      <c r="AL15" s="417" t="s">
        <v>4490</v>
      </c>
      <c r="AM15" s="697"/>
      <c r="AN15" s="444">
        <v>5.26</v>
      </c>
      <c r="AO15" s="420"/>
      <c r="AP15" s="422"/>
      <c r="AQ15" s="422"/>
      <c r="AR15" s="422"/>
      <c r="AS15" s="422"/>
      <c r="AT15" s="417">
        <f>+ab($T$15,$T$13,$T$17,$G$14,$G$16,-1*$F$15,1200)</f>
        <v>3.4396908539526283</v>
      </c>
      <c r="AU15" s="417"/>
      <c r="AV15" s="417"/>
      <c r="AW15" s="645" t="s">
        <v>4962</v>
      </c>
      <c r="AX15" s="422"/>
      <c r="AY15" s="422"/>
      <c r="AZ15" s="422"/>
      <c r="BA15" s="604" t="s">
        <v>2809</v>
      </c>
      <c r="BB15" s="414" t="str">
        <f>Pole_Calculations!A178</f>
        <v>App.8-V08F-P10.3</v>
      </c>
      <c r="BC15" s="169" t="s">
        <v>4954</v>
      </c>
      <c r="BD15" s="1329"/>
      <c r="BE15" s="1329"/>
      <c r="BF15" s="1329"/>
      <c r="BG15" s="1329">
        <v>43898</v>
      </c>
    </row>
    <row r="16" spans="1:59" ht="15.75" customHeight="1">
      <c r="A16" s="414"/>
      <c r="B16" s="415"/>
      <c r="C16" s="416"/>
      <c r="D16" s="415"/>
      <c r="E16" s="415"/>
      <c r="F16" s="415"/>
      <c r="G16" s="422">
        <v>37.299999999999997</v>
      </c>
      <c r="H16" s="415"/>
      <c r="I16" s="415"/>
      <c r="J16" s="416"/>
      <c r="K16" s="415"/>
      <c r="L16" s="415"/>
      <c r="M16" s="415"/>
      <c r="N16" s="415"/>
      <c r="O16" s="415"/>
      <c r="P16" s="415"/>
      <c r="Q16" s="417"/>
      <c r="R16" s="417"/>
      <c r="S16" s="422">
        <f t="shared" ref="S16" si="1">AG17-AG15</f>
        <v>36.899999999994179</v>
      </c>
      <c r="T16" s="417"/>
      <c r="U16" s="417"/>
      <c r="V16" s="417"/>
      <c r="W16" s="420"/>
      <c r="X16" s="417"/>
      <c r="Y16" s="417"/>
      <c r="Z16" s="417"/>
      <c r="AA16" s="417"/>
      <c r="AB16" s="417"/>
      <c r="AC16" s="417"/>
      <c r="AD16" s="417"/>
      <c r="AE16" s="417"/>
      <c r="AF16" s="417"/>
      <c r="AG16" s="416"/>
      <c r="AH16" s="417"/>
      <c r="AI16" s="607"/>
      <c r="AJ16" s="415"/>
      <c r="AK16" s="415"/>
      <c r="AL16" s="415"/>
      <c r="AM16" s="415"/>
      <c r="AN16" s="422"/>
      <c r="AO16" s="415"/>
      <c r="AP16" s="415"/>
      <c r="AQ16" s="422">
        <f>+FL_1($T$17,$T$15,$G$16,1200,9.28,-1*$F$17)</f>
        <v>0.19999999999999998</v>
      </c>
      <c r="AR16" s="422"/>
      <c r="AS16" s="422"/>
      <c r="AT16" s="422"/>
      <c r="AU16" s="417"/>
      <c r="AV16" s="417"/>
      <c r="AW16" s="415"/>
      <c r="AX16" s="417"/>
      <c r="AY16" s="422" t="str">
        <f>IF(AX16="PT",VLOOKUP(M16,'Foundation Calculation'!$L$2:$R$37,VLOOKUP(AW16,'Foundation Calculation'!$I$2:$J$8,2,FALSE),0),IF(AX16="K",VLOOKUP(M16,'Foundation Calculation'!$L$41:$R$75,VLOOKUP(AW16,'Foundation Calculation'!$I$2:$J$8,2,FALSE),0),""))</f>
        <v/>
      </c>
      <c r="AZ16" s="422" t="str">
        <f>IF(AX16="PT",VLOOKUP(K16,'Foundation Calculation'!$L$2:$R$41,VLOOKUP(AW16,'Foundation Calculation'!$I$2:$J$8,2,FALSE),0),IF(AX16="K",VLOOKUP(K16,'Foundation Calculation'!$L$41:$R$79,VLOOKUP(AW16,'Foundation Calculation'!$I$2:$J$8,2,FALSE),0),""))</f>
        <v/>
      </c>
      <c r="BA16" s="1311"/>
      <c r="BB16" s="414"/>
      <c r="BC16" s="169"/>
      <c r="BD16" s="1330"/>
      <c r="BE16" s="1330"/>
      <c r="BF16" s="1330"/>
      <c r="BG16" s="1330"/>
    </row>
    <row r="17" spans="1:59" ht="25">
      <c r="A17" s="414"/>
      <c r="B17" s="416" t="s">
        <v>2831</v>
      </c>
      <c r="C17" s="416">
        <f>+$C$15+$G$16-2</f>
        <v>93026.950000000012</v>
      </c>
      <c r="D17" s="420"/>
      <c r="E17" s="420"/>
      <c r="F17" s="444" t="s">
        <v>2707</v>
      </c>
      <c r="G17" s="444"/>
      <c r="H17" s="421"/>
      <c r="I17" s="416"/>
      <c r="J17" s="416"/>
      <c r="K17" s="417"/>
      <c r="L17" s="417" t="s">
        <v>4488</v>
      </c>
      <c r="M17" s="420" t="s">
        <v>2811</v>
      </c>
      <c r="N17" s="420" t="s">
        <v>844</v>
      </c>
      <c r="O17" s="417"/>
      <c r="P17" s="417"/>
      <c r="Q17" s="417">
        <v>20</v>
      </c>
      <c r="R17" s="417">
        <v>-800</v>
      </c>
      <c r="S17" s="422"/>
      <c r="T17" s="417">
        <v>20</v>
      </c>
      <c r="U17" s="417"/>
      <c r="V17" s="417"/>
      <c r="W17" s="417">
        <v>0.75</v>
      </c>
      <c r="X17" s="417"/>
      <c r="Y17" s="417"/>
      <c r="Z17" s="417"/>
      <c r="AA17" s="417"/>
      <c r="AB17" s="417"/>
      <c r="AC17" s="417" t="s">
        <v>4117</v>
      </c>
      <c r="AD17" s="417"/>
      <c r="AE17" s="417"/>
      <c r="AF17" s="417">
        <v>100</v>
      </c>
      <c r="AG17" s="416">
        <v>93026</v>
      </c>
      <c r="AH17" s="607">
        <v>1043</v>
      </c>
      <c r="AI17" s="417">
        <v>-5220</v>
      </c>
      <c r="AJ17" s="420"/>
      <c r="AK17" s="417" t="s">
        <v>139</v>
      </c>
      <c r="AL17" s="417" t="s">
        <v>4490</v>
      </c>
      <c r="AM17" s="697"/>
      <c r="AN17" s="444">
        <v>5.19</v>
      </c>
      <c r="AO17" s="420"/>
      <c r="AP17" s="422"/>
      <c r="AQ17" s="422"/>
      <c r="AR17" s="422"/>
      <c r="AS17" s="422"/>
      <c r="AT17" s="417">
        <f>+ab($T$17,$T$15,$T$19,$G$16,$G$18,-1*$F$17,1200)</f>
        <v>4.1362309955099112</v>
      </c>
      <c r="AU17" s="417"/>
      <c r="AV17" s="417"/>
      <c r="AW17" s="645" t="s">
        <v>4962</v>
      </c>
      <c r="AX17" s="422"/>
      <c r="AY17" s="422" t="str">
        <f>IF(AX17="PT",VLOOKUP(M17,'Foundation Calculation'!$L$2:$R$37,VLOOKUP(AW17,'Foundation Calculation'!$I$2:$J$8,2,FALSE),0),IF(AX17="K",VLOOKUP(M17,'Foundation Calculation'!$L$41:$R$75,VLOOKUP(AW17,'Foundation Calculation'!$I$2:$J$8,2,FALSE),0),""))</f>
        <v/>
      </c>
      <c r="AZ17" s="422" t="str">
        <f>IF(AX17="PT",VLOOKUP(K17,'Foundation Calculation'!$L$2:$R$41,VLOOKUP(AW17,'Foundation Calculation'!$I$2:$J$8,2,FALSE),0),IF(AX17="K",VLOOKUP(K17,'Foundation Calculation'!$L$41:$R$79,VLOOKUP(AW17,'Foundation Calculation'!$I$2:$J$8,2,FALSE),0),""))</f>
        <v/>
      </c>
      <c r="BA17" s="604" t="s">
        <v>2809</v>
      </c>
      <c r="BB17" s="414" t="str">
        <f>Pole_Calculations!A178</f>
        <v>App.8-V08F-P10.3</v>
      </c>
      <c r="BC17" s="169" t="s">
        <v>4954</v>
      </c>
      <c r="BD17" s="1329">
        <v>43870</v>
      </c>
      <c r="BE17" s="1329"/>
      <c r="BF17" s="1329"/>
      <c r="BG17" s="1329">
        <v>43893</v>
      </c>
    </row>
    <row r="18" spans="1:59" ht="15.75" customHeight="1">
      <c r="A18" s="414"/>
      <c r="B18" s="415"/>
      <c r="C18" s="416"/>
      <c r="D18" s="415"/>
      <c r="E18" s="415"/>
      <c r="F18" s="415"/>
      <c r="G18" s="422">
        <v>36.799999999999997</v>
      </c>
      <c r="H18" s="415"/>
      <c r="I18" s="415"/>
      <c r="J18" s="416"/>
      <c r="K18" s="415"/>
      <c r="L18" s="415"/>
      <c r="M18" s="415"/>
      <c r="N18" s="415"/>
      <c r="O18" s="415"/>
      <c r="P18" s="415"/>
      <c r="Q18" s="417"/>
      <c r="R18" s="417"/>
      <c r="S18" s="422">
        <f t="shared" ref="S18" si="2">AG19-AG17</f>
        <v>34</v>
      </c>
      <c r="T18" s="417"/>
      <c r="U18" s="417"/>
      <c r="V18" s="417"/>
      <c r="W18" s="420"/>
      <c r="X18" s="417"/>
      <c r="Y18" s="417"/>
      <c r="Z18" s="417"/>
      <c r="AA18" s="417"/>
      <c r="AB18" s="417"/>
      <c r="AC18" s="417"/>
      <c r="AD18" s="417"/>
      <c r="AE18" s="417"/>
      <c r="AF18" s="417"/>
      <c r="AG18" s="416"/>
      <c r="AH18" s="417"/>
      <c r="AI18" s="607"/>
      <c r="AJ18" s="415"/>
      <c r="AK18" s="415"/>
      <c r="AL18" s="415"/>
      <c r="AM18" s="415"/>
      <c r="AN18" s="422"/>
      <c r="AO18" s="415"/>
      <c r="AP18" s="415"/>
      <c r="AQ18" s="422">
        <f>+FL_1($T$19,$T$17,$G$18,1200,9.28,-1*$F$19)</f>
        <v>0.20000000000000004</v>
      </c>
      <c r="AR18" s="422"/>
      <c r="AS18" s="422"/>
      <c r="AT18" s="422"/>
      <c r="AU18" s="417"/>
      <c r="AV18" s="417"/>
      <c r="AW18" s="415"/>
      <c r="AX18" s="417"/>
      <c r="AY18" s="422" t="str">
        <f>IF(AX18="PT",VLOOKUP(M18,'Foundation Calculation'!$L$2:$R$37,VLOOKUP(AW18,'Foundation Calculation'!$I$2:$J$8,2,FALSE),0),IF(AX18="K",VLOOKUP(M18,'Foundation Calculation'!$L$41:$R$75,VLOOKUP(AW18,'Foundation Calculation'!$I$2:$J$8,2,FALSE),0),""))</f>
        <v/>
      </c>
      <c r="AZ18" s="422" t="str">
        <f>IF(AX18="PT",VLOOKUP(K18,'Foundation Calculation'!$L$2:$R$41,VLOOKUP(AW18,'Foundation Calculation'!$I$2:$J$8,2,FALSE),0),IF(AX18="K",VLOOKUP(K18,'Foundation Calculation'!$L$41:$R$79,VLOOKUP(AW18,'Foundation Calculation'!$I$2:$J$8,2,FALSE),0),""))</f>
        <v/>
      </c>
      <c r="BA18" s="1311"/>
      <c r="BB18" s="414"/>
      <c r="BC18" s="169"/>
      <c r="BD18" s="1330"/>
      <c r="BE18" s="1330"/>
      <c r="BF18" s="1330"/>
      <c r="BG18" s="1330"/>
    </row>
    <row r="19" spans="1:59" ht="15.75" customHeight="1">
      <c r="A19" s="495" t="s">
        <v>1851</v>
      </c>
      <c r="B19" s="494" t="s">
        <v>2832</v>
      </c>
      <c r="C19" s="489">
        <f>+$C$17+$G$18</f>
        <v>93063.750000000015</v>
      </c>
      <c r="D19" s="490"/>
      <c r="E19" s="490"/>
      <c r="F19" s="491" t="s">
        <v>2707</v>
      </c>
      <c r="G19" s="493"/>
      <c r="H19" s="490"/>
      <c r="I19" s="490"/>
      <c r="J19" s="489"/>
      <c r="K19" s="490"/>
      <c r="L19" s="494" t="s">
        <v>2398</v>
      </c>
      <c r="M19" s="494"/>
      <c r="N19" s="494" t="s">
        <v>634</v>
      </c>
      <c r="O19" s="494"/>
      <c r="P19" s="494"/>
      <c r="Q19" s="490">
        <v>20</v>
      </c>
      <c r="R19" s="490">
        <v>797.84</v>
      </c>
      <c r="S19" s="493"/>
      <c r="T19" s="490">
        <v>20</v>
      </c>
      <c r="U19" s="490"/>
      <c r="V19" s="490"/>
      <c r="W19" s="495">
        <v>0.75</v>
      </c>
      <c r="X19" s="490"/>
      <c r="Y19" s="490"/>
      <c r="Z19" s="490"/>
      <c r="AA19" s="490"/>
      <c r="AB19" s="490"/>
      <c r="AC19" s="490" t="s">
        <v>3050</v>
      </c>
      <c r="AD19" s="490"/>
      <c r="AE19" s="490"/>
      <c r="AF19" s="490">
        <v>400</v>
      </c>
      <c r="AG19" s="489">
        <v>93060</v>
      </c>
      <c r="AH19" s="490">
        <v>1123</v>
      </c>
      <c r="AI19" s="640">
        <v>-4910</v>
      </c>
      <c r="AJ19" s="494"/>
      <c r="AK19" s="494"/>
      <c r="AL19" s="490"/>
      <c r="AM19" s="494"/>
      <c r="AN19" s="493">
        <v>5.15</v>
      </c>
      <c r="AO19" s="494"/>
      <c r="AP19" s="494"/>
      <c r="AQ19" s="493"/>
      <c r="AR19" s="493"/>
      <c r="AS19" s="493"/>
      <c r="AT19" s="493">
        <f>+ab($T$19,$T$17,$T$21,$G$18,$G$20,-1*$F$19,1200)</f>
        <v>3.7480463523337626</v>
      </c>
      <c r="AU19" s="490"/>
      <c r="AV19" s="490"/>
      <c r="AW19" s="494" t="s">
        <v>4682</v>
      </c>
      <c r="AX19" s="493"/>
      <c r="AY19" s="493"/>
      <c r="AZ19" s="493"/>
      <c r="BA19" s="602" t="s">
        <v>2809</v>
      </c>
      <c r="BB19" s="491"/>
      <c r="BC19" s="169"/>
      <c r="BD19" s="1330"/>
      <c r="BE19" s="1329">
        <v>43854</v>
      </c>
      <c r="BF19" s="1330"/>
      <c r="BG19" s="1329">
        <v>43870</v>
      </c>
    </row>
    <row r="20" spans="1:59" ht="15.75" customHeight="1">
      <c r="A20" s="488"/>
      <c r="B20" s="494"/>
      <c r="C20" s="489"/>
      <c r="D20" s="490"/>
      <c r="E20" s="490"/>
      <c r="F20" s="491"/>
      <c r="G20" s="493">
        <v>45</v>
      </c>
      <c r="H20" s="490"/>
      <c r="I20" s="490"/>
      <c r="J20" s="489"/>
      <c r="K20" s="490"/>
      <c r="L20" s="490"/>
      <c r="M20" s="490"/>
      <c r="N20" s="495"/>
      <c r="O20" s="495"/>
      <c r="P20" s="490"/>
      <c r="Q20" s="490"/>
      <c r="R20" s="490"/>
      <c r="S20" s="493">
        <f t="shared" ref="S20" si="3">AG21-AG19</f>
        <v>46.19999999999709</v>
      </c>
      <c r="T20" s="490"/>
      <c r="U20" s="490"/>
      <c r="V20" s="490"/>
      <c r="W20" s="495"/>
      <c r="X20" s="490"/>
      <c r="Y20" s="490"/>
      <c r="Z20" s="490"/>
      <c r="AA20" s="490"/>
      <c r="AB20" s="490"/>
      <c r="AC20" s="490"/>
      <c r="AD20" s="490"/>
      <c r="AE20" s="490"/>
      <c r="AF20" s="490"/>
      <c r="AG20" s="489"/>
      <c r="AH20" s="490"/>
      <c r="AI20" s="640"/>
      <c r="AJ20" s="490"/>
      <c r="AK20" s="495"/>
      <c r="AL20" s="490"/>
      <c r="AM20" s="490"/>
      <c r="AN20" s="457"/>
      <c r="AO20" s="495"/>
      <c r="AP20" s="494"/>
      <c r="AQ20" s="493">
        <f>+FL_1($T$21,$T$19,$G$20,1200,9.28,-1*$F$21)</f>
        <v>0.39574999999999999</v>
      </c>
      <c r="AR20" s="493"/>
      <c r="AS20" s="493"/>
      <c r="AT20" s="493"/>
      <c r="AU20" s="490"/>
      <c r="AV20" s="490"/>
      <c r="AW20" s="490"/>
      <c r="AX20" s="490"/>
      <c r="AY20" s="493"/>
      <c r="AZ20" s="493"/>
      <c r="BA20" s="1312"/>
      <c r="BB20" s="488"/>
      <c r="BC20" s="169"/>
      <c r="BD20" s="1330"/>
      <c r="BE20" s="1330"/>
      <c r="BF20" s="1330"/>
      <c r="BG20" s="1330"/>
    </row>
    <row r="21" spans="1:59" ht="15.75" customHeight="1">
      <c r="A21" s="414" t="s">
        <v>2605</v>
      </c>
      <c r="B21" s="415" t="s">
        <v>2833</v>
      </c>
      <c r="C21" s="416">
        <f>+$C$19+$G$20</f>
        <v>93108.750000000015</v>
      </c>
      <c r="D21" s="417"/>
      <c r="E21" s="417"/>
      <c r="F21" s="418" t="s">
        <v>2312</v>
      </c>
      <c r="G21" s="422"/>
      <c r="H21" s="417"/>
      <c r="I21" s="420"/>
      <c r="J21" s="416"/>
      <c r="K21" s="417"/>
      <c r="L21" s="415" t="s">
        <v>2398</v>
      </c>
      <c r="M21" s="415"/>
      <c r="N21" s="420" t="s">
        <v>634</v>
      </c>
      <c r="O21" s="420"/>
      <c r="P21" s="417"/>
      <c r="Q21" s="417">
        <v>0</v>
      </c>
      <c r="R21" s="417">
        <v>0</v>
      </c>
      <c r="S21" s="422"/>
      <c r="T21" s="417">
        <v>20</v>
      </c>
      <c r="U21" s="417"/>
      <c r="V21" s="417"/>
      <c r="W21" s="420">
        <v>0.75</v>
      </c>
      <c r="X21" s="417"/>
      <c r="Y21" s="417"/>
      <c r="Z21" s="417"/>
      <c r="AA21" s="417"/>
      <c r="AB21" s="417"/>
      <c r="AC21" s="417" t="s">
        <v>1417</v>
      </c>
      <c r="AD21" s="417"/>
      <c r="AE21" s="417"/>
      <c r="AF21" s="417">
        <v>200</v>
      </c>
      <c r="AG21" s="416">
        <v>93106.2</v>
      </c>
      <c r="AH21" s="417">
        <v>1393</v>
      </c>
      <c r="AI21" s="607">
        <v>-4910</v>
      </c>
      <c r="AJ21" s="417"/>
      <c r="AK21" s="420"/>
      <c r="AL21" s="417"/>
      <c r="AM21" s="417"/>
      <c r="AN21" s="444">
        <v>5.15</v>
      </c>
      <c r="AO21" s="420"/>
      <c r="AP21" s="415"/>
      <c r="AQ21" s="422"/>
      <c r="AR21" s="422"/>
      <c r="AS21" s="422"/>
      <c r="AT21" s="422">
        <f>+ab($T$21,-$T$19,$T$23,$G$20,$G$22, 1*$F$21,1200)</f>
        <v>9.463034817873945</v>
      </c>
      <c r="AU21" s="417"/>
      <c r="AV21" s="417"/>
      <c r="AW21" s="415" t="s">
        <v>4682</v>
      </c>
      <c r="AX21" s="422"/>
      <c r="AY21" s="422"/>
      <c r="AZ21" s="422"/>
      <c r="BA21" s="604" t="s">
        <v>2809</v>
      </c>
      <c r="BB21" s="418"/>
      <c r="BC21" s="169"/>
      <c r="BD21" s="1330"/>
      <c r="BE21" s="1329">
        <v>43805</v>
      </c>
      <c r="BF21" s="1330"/>
      <c r="BG21" s="1329">
        <v>43838</v>
      </c>
    </row>
    <row r="22" spans="1:59" ht="15.75" customHeight="1">
      <c r="A22" s="414" t="s">
        <v>1854</v>
      </c>
      <c r="B22" s="415"/>
      <c r="C22" s="416"/>
      <c r="D22" s="417"/>
      <c r="E22" s="417"/>
      <c r="F22" s="418"/>
      <c r="G22" s="422">
        <v>35.700000000000003</v>
      </c>
      <c r="H22" s="420"/>
      <c r="I22" s="420"/>
      <c r="J22" s="416"/>
      <c r="K22" s="417"/>
      <c r="L22" s="417"/>
      <c r="M22" s="417"/>
      <c r="N22" s="420"/>
      <c r="O22" s="420"/>
      <c r="P22" s="417"/>
      <c r="Q22" s="417"/>
      <c r="R22" s="417"/>
      <c r="S22" s="422">
        <f t="shared" ref="S22" si="4">AG23-AG21</f>
        <v>36.690000000002328</v>
      </c>
      <c r="T22" s="417"/>
      <c r="U22" s="417"/>
      <c r="V22" s="417"/>
      <c r="W22" s="420"/>
      <c r="X22" s="417"/>
      <c r="Y22" s="417"/>
      <c r="Z22" s="417"/>
      <c r="AA22" s="417"/>
      <c r="AB22" s="417"/>
      <c r="AC22" s="417"/>
      <c r="AD22" s="417"/>
      <c r="AE22" s="417"/>
      <c r="AF22" s="417"/>
      <c r="AG22" s="416"/>
      <c r="AH22" s="417"/>
      <c r="AI22" s="417"/>
      <c r="AJ22" s="417"/>
      <c r="AK22" s="420"/>
      <c r="AL22" s="417"/>
      <c r="AM22" s="417"/>
      <c r="AN22" s="444"/>
      <c r="AO22" s="420"/>
      <c r="AP22" s="415"/>
      <c r="AQ22" s="422">
        <f>+FL_2($T$23,$T$21,$G$22,1200,9.28, 1*$F$23)</f>
        <v>-0.2043690691764706</v>
      </c>
      <c r="AR22" s="422"/>
      <c r="AS22" s="422"/>
      <c r="AT22" s="422"/>
      <c r="AU22" s="417"/>
      <c r="AV22" s="417"/>
      <c r="AW22" s="417"/>
      <c r="AX22" s="417"/>
      <c r="AY22" s="422" t="str">
        <f>IF(AX22="PT",VLOOKUP(M22,'Foundation Calculation'!$L$2:$R$37,VLOOKUP(AW22,'Foundation Calculation'!$I$2:$J$8,2,FALSE),0),IF(AX22="K",VLOOKUP(M22,'Foundation Calculation'!$L$41:$R$75,VLOOKUP(AW22,'Foundation Calculation'!$I$2:$J$8,2,FALSE),0),""))</f>
        <v/>
      </c>
      <c r="AZ22" s="422" t="str">
        <f>IF(AX22="PT",VLOOKUP(K22,'Foundation Calculation'!$L$2:$R$41,VLOOKUP(AW22,'Foundation Calculation'!$I$2:$J$8,2,FALSE),0),IF(AX22="K",VLOOKUP(K22,'Foundation Calculation'!$L$41:$R$79,VLOOKUP(AW22,'Foundation Calculation'!$I$2:$J$8,2,FALSE),0),""))</f>
        <v/>
      </c>
      <c r="BA22" s="604"/>
      <c r="BB22" s="414"/>
      <c r="BC22" s="169"/>
      <c r="BD22" s="1330"/>
      <c r="BE22" s="1330"/>
      <c r="BF22" s="1330"/>
      <c r="BG22" s="1330"/>
    </row>
    <row r="23" spans="1:59" ht="15.75" customHeight="1">
      <c r="A23" s="418"/>
      <c r="B23" s="415" t="s">
        <v>2834</v>
      </c>
      <c r="C23" s="416">
        <f>+$C$21+$G$22-0.1</f>
        <v>93144.35</v>
      </c>
      <c r="D23" s="417"/>
      <c r="E23" s="417"/>
      <c r="F23" s="418" t="s">
        <v>2312</v>
      </c>
      <c r="G23" s="422"/>
      <c r="H23" s="420"/>
      <c r="I23" s="420"/>
      <c r="J23" s="416"/>
      <c r="K23" s="417"/>
      <c r="L23" s="415"/>
      <c r="M23" s="415"/>
      <c r="N23" s="420" t="s">
        <v>843</v>
      </c>
      <c r="O23" s="420"/>
      <c r="P23" s="417"/>
      <c r="Q23" s="417">
        <v>0</v>
      </c>
      <c r="R23" s="417">
        <v>0</v>
      </c>
      <c r="S23" s="422"/>
      <c r="T23" s="417">
        <v>-20</v>
      </c>
      <c r="U23" s="417"/>
      <c r="V23" s="417"/>
      <c r="W23" s="420">
        <v>0.5</v>
      </c>
      <c r="X23" s="417"/>
      <c r="Y23" s="417"/>
      <c r="Z23" s="417"/>
      <c r="AA23" s="417"/>
      <c r="AB23" s="417"/>
      <c r="AC23" s="417" t="s">
        <v>1417</v>
      </c>
      <c r="AD23" s="417"/>
      <c r="AE23" s="417"/>
      <c r="AF23" s="417">
        <v>200</v>
      </c>
      <c r="AG23" s="416">
        <v>93142.89</v>
      </c>
      <c r="AH23" s="417">
        <v>1903</v>
      </c>
      <c r="AI23" s="417">
        <v>-4850</v>
      </c>
      <c r="AJ23" s="417"/>
      <c r="AK23" s="420" t="s">
        <v>139</v>
      </c>
      <c r="AL23" s="417"/>
      <c r="AM23" s="417"/>
      <c r="AN23" s="444">
        <v>5.15</v>
      </c>
      <c r="AO23" s="420"/>
      <c r="AP23" s="415"/>
      <c r="AQ23" s="422"/>
      <c r="AR23" s="422"/>
      <c r="AS23" s="422"/>
      <c r="AT23" s="422">
        <f>+ab($T$23,$T$21,$T$25,$G$22,$G$24, 1*$F$23,1200)</f>
        <v>-9.8519719812938966</v>
      </c>
      <c r="AU23" s="417"/>
      <c r="AV23" s="417"/>
      <c r="AW23" s="422" t="s">
        <v>4682</v>
      </c>
      <c r="AX23" s="422"/>
      <c r="AY23" s="422" t="str">
        <f>IF(AX23="PT",VLOOKUP(M23,'Foundation Calculation'!$L$2:$R$37,VLOOKUP(AW23,'Foundation Calculation'!$I$2:$J$8,2,FALSE),0),IF(AX23="K",VLOOKUP(M23,'Foundation Calculation'!$L$41:$R$75,VLOOKUP(AW23,'Foundation Calculation'!$I$2:$J$8,2,FALSE),0),""))</f>
        <v/>
      </c>
      <c r="AZ23" s="422" t="str">
        <f>IF(AX23="PT",VLOOKUP(K23,'Foundation Calculation'!$L$2:$R$41,VLOOKUP(AW23,'Foundation Calculation'!$I$2:$J$8,2,FALSE),0),IF(AX23="K",VLOOKUP(K23,'Foundation Calculation'!$L$41:$R$79,VLOOKUP(AW23,'Foundation Calculation'!$I$2:$J$8,2,FALSE),0),""))</f>
        <v/>
      </c>
      <c r="BA23" s="604" t="s">
        <v>2809</v>
      </c>
      <c r="BB23" s="418"/>
      <c r="BC23" s="169"/>
      <c r="BD23" s="1330"/>
      <c r="BE23" s="1329">
        <v>43812</v>
      </c>
      <c r="BF23" s="1330"/>
      <c r="BG23" s="1329">
        <v>43838</v>
      </c>
    </row>
    <row r="24" spans="1:59" ht="15.75" customHeight="1">
      <c r="A24" s="420"/>
      <c r="B24" s="415"/>
      <c r="C24" s="416"/>
      <c r="D24" s="417"/>
      <c r="E24" s="417"/>
      <c r="F24" s="418"/>
      <c r="G24" s="422">
        <v>49.5</v>
      </c>
      <c r="H24" s="417"/>
      <c r="I24" s="420">
        <v>387</v>
      </c>
      <c r="J24" s="416"/>
      <c r="K24" s="417"/>
      <c r="L24" s="417"/>
      <c r="M24" s="417"/>
      <c r="N24" s="420"/>
      <c r="O24" s="420"/>
      <c r="P24" s="417"/>
      <c r="Q24" s="417"/>
      <c r="R24" s="417"/>
      <c r="S24" s="422">
        <f t="shared" ref="S24" si="5">AG25-AG23</f>
        <v>49.570000000006985</v>
      </c>
      <c r="T24" s="417"/>
      <c r="U24" s="417"/>
      <c r="V24" s="417"/>
      <c r="W24" s="420"/>
      <c r="X24" s="417"/>
      <c r="Y24" s="417"/>
      <c r="Z24" s="417"/>
      <c r="AA24" s="417"/>
      <c r="AB24" s="417"/>
      <c r="AC24" s="417"/>
      <c r="AD24" s="417"/>
      <c r="AE24" s="417"/>
      <c r="AF24" s="417"/>
      <c r="AG24" s="416"/>
      <c r="AH24" s="417"/>
      <c r="AI24" s="607"/>
      <c r="AJ24" s="417"/>
      <c r="AK24" s="420"/>
      <c r="AL24" s="417"/>
      <c r="AM24" s="417"/>
      <c r="AN24" s="444"/>
      <c r="AO24" s="420"/>
      <c r="AP24" s="420"/>
      <c r="AQ24" s="422">
        <f>+FL_1($T$25,$T$23,$G$24,1200,9.28, 1*$F$25)</f>
        <v>0.27907697777777773</v>
      </c>
      <c r="AR24" s="422"/>
      <c r="AS24" s="422"/>
      <c r="AT24" s="422"/>
      <c r="AU24" s="417"/>
      <c r="AV24" s="417"/>
      <c r="AW24" s="417"/>
      <c r="AX24" s="417"/>
      <c r="AY24" s="422" t="str">
        <f>IF(AX24="PT",VLOOKUP(M24,'Foundation Calculation'!$L$2:$R$37,VLOOKUP(AW24,'Foundation Calculation'!$I$2:$J$8,2,FALSE),0),IF(AX24="K",VLOOKUP(M24,'Foundation Calculation'!$L$41:$R$75,VLOOKUP(AW24,'Foundation Calculation'!$I$2:$J$8,2,FALSE),0),""))</f>
        <v/>
      </c>
      <c r="AZ24" s="422" t="str">
        <f>IF(AX24="PT",VLOOKUP(K24,'Foundation Calculation'!$L$2:$R$41,VLOOKUP(AW24,'Foundation Calculation'!$I$2:$J$8,2,FALSE),0),IF(AX24="K",VLOOKUP(K24,'Foundation Calculation'!$L$41:$R$79,VLOOKUP(AW24,'Foundation Calculation'!$I$2:$J$8,2,FALSE),0),""))</f>
        <v/>
      </c>
      <c r="BA24" s="604"/>
      <c r="BB24" s="420"/>
      <c r="BC24" s="169"/>
      <c r="BD24" s="1330"/>
      <c r="BE24" s="1330"/>
      <c r="BF24" s="1330"/>
      <c r="BG24" s="1330"/>
    </row>
    <row r="25" spans="1:59" ht="15.75" customHeight="1">
      <c r="A25" s="420"/>
      <c r="B25" s="415" t="s">
        <v>2835</v>
      </c>
      <c r="C25" s="416">
        <f>+$C$23+$G$24</f>
        <v>93193.85</v>
      </c>
      <c r="D25" s="417"/>
      <c r="E25" s="417"/>
      <c r="F25" s="418" t="s">
        <v>2312</v>
      </c>
      <c r="G25" s="422"/>
      <c r="H25" s="420" t="s">
        <v>874</v>
      </c>
      <c r="I25" s="420"/>
      <c r="J25" s="416"/>
      <c r="K25" s="417"/>
      <c r="L25" s="415"/>
      <c r="M25" s="415"/>
      <c r="N25" s="420" t="s">
        <v>844</v>
      </c>
      <c r="O25" s="420"/>
      <c r="P25" s="417"/>
      <c r="Q25" s="417">
        <v>0</v>
      </c>
      <c r="R25" s="417">
        <v>0</v>
      </c>
      <c r="S25" s="422"/>
      <c r="T25" s="417">
        <v>20</v>
      </c>
      <c r="U25" s="417"/>
      <c r="V25" s="417"/>
      <c r="W25" s="420">
        <v>0.5</v>
      </c>
      <c r="X25" s="417"/>
      <c r="Y25" s="417"/>
      <c r="Z25" s="417"/>
      <c r="AA25" s="417"/>
      <c r="AB25" s="417"/>
      <c r="AC25" s="417" t="s">
        <v>1417</v>
      </c>
      <c r="AD25" s="417"/>
      <c r="AE25" s="417"/>
      <c r="AF25" s="417">
        <v>200</v>
      </c>
      <c r="AG25" s="416">
        <v>93192.46</v>
      </c>
      <c r="AH25" s="417">
        <v>1943</v>
      </c>
      <c r="AI25" s="607">
        <v>-4470</v>
      </c>
      <c r="AJ25" s="417"/>
      <c r="AK25" s="420" t="s">
        <v>139</v>
      </c>
      <c r="AL25" s="417"/>
      <c r="AM25" s="417"/>
      <c r="AN25" s="444">
        <v>5.15</v>
      </c>
      <c r="AO25" s="420"/>
      <c r="AP25" s="420"/>
      <c r="AQ25" s="422"/>
      <c r="AR25" s="422"/>
      <c r="AS25" s="422"/>
      <c r="AT25" s="422">
        <f>+ab($T$25,$T$23,$T$27,$G$24,$G$26, 1*$F$25,1200)</f>
        <v>11.764805466131151</v>
      </c>
      <c r="AU25" s="417"/>
      <c r="AV25" s="417"/>
      <c r="AW25" s="422" t="s">
        <v>4682</v>
      </c>
      <c r="AX25" s="422"/>
      <c r="AY25" s="422" t="str">
        <f>IF(AX25="PT",VLOOKUP(M25,'Foundation Calculation'!$L$2:$R$37,VLOOKUP(AW25,'Foundation Calculation'!$I$2:$J$8,2,FALSE),0),IF(AX25="K",VLOOKUP(M25,'Foundation Calculation'!$L$41:$R$75,VLOOKUP(AW25,'Foundation Calculation'!$I$2:$J$8,2,FALSE),0),""))</f>
        <v/>
      </c>
      <c r="AZ25" s="422" t="str">
        <f>IF(AX25="PT",VLOOKUP(K25,'Foundation Calculation'!$L$2:$R$41,VLOOKUP(AW25,'Foundation Calculation'!$I$2:$J$8,2,FALSE),0),IF(AX25="K",VLOOKUP(K25,'Foundation Calculation'!$L$41:$R$79,VLOOKUP(AW25,'Foundation Calculation'!$I$2:$J$8,2,FALSE),0),""))</f>
        <v/>
      </c>
      <c r="BA25" s="604" t="s">
        <v>2809</v>
      </c>
      <c r="BB25" s="420"/>
      <c r="BC25" s="169"/>
      <c r="BD25" s="1330"/>
      <c r="BE25" s="1329">
        <v>43812</v>
      </c>
      <c r="BF25" s="1330"/>
      <c r="BG25" s="1329">
        <v>43838</v>
      </c>
    </row>
    <row r="26" spans="1:59" ht="15.75" customHeight="1">
      <c r="A26" s="495" t="s">
        <v>2606</v>
      </c>
      <c r="B26" s="494"/>
      <c r="C26" s="489"/>
      <c r="D26" s="490"/>
      <c r="E26" s="490"/>
      <c r="F26" s="491"/>
      <c r="G26" s="493">
        <v>50</v>
      </c>
      <c r="H26" s="490"/>
      <c r="I26" s="492">
        <v>290</v>
      </c>
      <c r="J26" s="489"/>
      <c r="K26" s="490"/>
      <c r="L26" s="490"/>
      <c r="M26" s="490"/>
      <c r="N26" s="495"/>
      <c r="O26" s="490"/>
      <c r="P26" s="490"/>
      <c r="Q26" s="490"/>
      <c r="R26" s="490"/>
      <c r="S26" s="493">
        <f t="shared" ref="S26" si="6">AG27-AG25</f>
        <v>51.529999999998836</v>
      </c>
      <c r="T26" s="490"/>
      <c r="U26" s="490"/>
      <c r="V26" s="490"/>
      <c r="W26" s="495"/>
      <c r="X26" s="490"/>
      <c r="Y26" s="490"/>
      <c r="Z26" s="490"/>
      <c r="AA26" s="490"/>
      <c r="AB26" s="490"/>
      <c r="AC26" s="490"/>
      <c r="AD26" s="490"/>
      <c r="AE26" s="490"/>
      <c r="AF26" s="490"/>
      <c r="AG26" s="489"/>
      <c r="AH26" s="490"/>
      <c r="AI26" s="640"/>
      <c r="AJ26" s="490"/>
      <c r="AK26" s="495"/>
      <c r="AL26" s="490"/>
      <c r="AM26" s="490"/>
      <c r="AN26" s="457"/>
      <c r="AO26" s="495"/>
      <c r="AP26" s="495"/>
      <c r="AQ26" s="493">
        <f>+FL_2($T$27,$T$25,$G$26,1200,9.28, 1*$F$27)</f>
        <v>-0.28304596799999998</v>
      </c>
      <c r="AR26" s="493"/>
      <c r="AS26" s="493"/>
      <c r="AT26" s="493"/>
      <c r="AU26" s="490"/>
      <c r="AV26" s="490"/>
      <c r="AW26" s="493"/>
      <c r="AX26" s="493"/>
      <c r="AY26" s="493" t="str">
        <f>IF(AX26="PT",VLOOKUP(M26,'Foundation Calculation'!$L$2:$R$37,VLOOKUP(AW26,'Foundation Calculation'!$I$2:$J$8,2,FALSE),0),IF(AX26="K",VLOOKUP(M26,'Foundation Calculation'!$L$41:$R$75,VLOOKUP(AW26,'Foundation Calculation'!$I$2:$J$8,2,FALSE),0),""))</f>
        <v/>
      </c>
      <c r="AZ26" s="493" t="str">
        <f>IF(AX26="PT",VLOOKUP(K26,'Foundation Calculation'!$L$2:$R$41,VLOOKUP(AW26,'Foundation Calculation'!$I$2:$J$8,2,FALSE),0),IF(AX26="K",VLOOKUP(K26,'Foundation Calculation'!$L$41:$R$79,VLOOKUP(AW26,'Foundation Calculation'!$I$2:$J$8,2,FALSE),0),""))</f>
        <v/>
      </c>
      <c r="BA26" s="602"/>
      <c r="BB26" s="495"/>
      <c r="BC26" s="169"/>
      <c r="BD26" s="1330"/>
      <c r="BE26" s="1330"/>
      <c r="BF26" s="1330"/>
      <c r="BG26" s="1330"/>
    </row>
    <row r="27" spans="1:59" ht="15.75" customHeight="1">
      <c r="A27" s="420"/>
      <c r="B27" s="415" t="s">
        <v>2836</v>
      </c>
      <c r="C27" s="416">
        <f>+$C$25+$G$26</f>
        <v>93243.85</v>
      </c>
      <c r="D27" s="418"/>
      <c r="E27" s="418"/>
      <c r="F27" s="420" t="s">
        <v>2312</v>
      </c>
      <c r="G27" s="422"/>
      <c r="H27" s="420"/>
      <c r="I27" s="420"/>
      <c r="J27" s="416"/>
      <c r="K27" s="417"/>
      <c r="L27" s="415"/>
      <c r="M27" s="415"/>
      <c r="N27" s="420" t="s">
        <v>843</v>
      </c>
      <c r="O27" s="420"/>
      <c r="P27" s="417"/>
      <c r="Q27" s="417">
        <v>0</v>
      </c>
      <c r="R27" s="417">
        <v>0</v>
      </c>
      <c r="S27" s="422"/>
      <c r="T27" s="417">
        <v>-20</v>
      </c>
      <c r="U27" s="417"/>
      <c r="V27" s="417"/>
      <c r="W27" s="420">
        <v>0.5</v>
      </c>
      <c r="X27" s="417"/>
      <c r="Y27" s="417"/>
      <c r="Z27" s="417"/>
      <c r="AA27" s="417"/>
      <c r="AB27" s="417"/>
      <c r="AC27" s="417" t="s">
        <v>1417</v>
      </c>
      <c r="AD27" s="417"/>
      <c r="AE27" s="417"/>
      <c r="AF27" s="417">
        <v>100</v>
      </c>
      <c r="AG27" s="416">
        <v>93243.99</v>
      </c>
      <c r="AH27" s="417">
        <v>1953</v>
      </c>
      <c r="AI27" s="607">
        <v>-4550</v>
      </c>
      <c r="AJ27" s="417"/>
      <c r="AK27" s="420" t="s">
        <v>139</v>
      </c>
      <c r="AL27" s="417"/>
      <c r="AM27" s="417"/>
      <c r="AN27" s="444">
        <v>5.15</v>
      </c>
      <c r="AO27" s="420"/>
      <c r="AP27" s="420"/>
      <c r="AQ27" s="422"/>
      <c r="AR27" s="422"/>
      <c r="AS27" s="422"/>
      <c r="AT27" s="422">
        <f>+ab($T$27,$T$25,-$T$29,$G$26,$G$28, 1*$F$27,1200)</f>
        <v>-30.598273069869819</v>
      </c>
      <c r="AU27" s="417"/>
      <c r="AV27" s="417"/>
      <c r="AW27" s="422" t="s">
        <v>4682</v>
      </c>
      <c r="AX27" s="422"/>
      <c r="AY27" s="422" t="str">
        <f>IF(AX27="PT",VLOOKUP(M27,'Foundation Calculation'!$L$2:$R$37,VLOOKUP(AW27,'Foundation Calculation'!$I$2:$J$8,2,FALSE),0),IF(AX27="K",VLOOKUP(M27,'Foundation Calculation'!$L$41:$R$75,VLOOKUP(AW27,'Foundation Calculation'!$I$2:$J$8,2,FALSE),0),""))</f>
        <v/>
      </c>
      <c r="AZ27" s="422" t="str">
        <f>IF(AX27="PT",VLOOKUP(K27,'Foundation Calculation'!$L$2:$R$41,VLOOKUP(AW27,'Foundation Calculation'!$I$2:$J$8,2,FALSE),0),IF(AX27="K",VLOOKUP(K27,'Foundation Calculation'!$L$41:$R$79,VLOOKUP(AW27,'Foundation Calculation'!$I$2:$J$8,2,FALSE),0),""))</f>
        <v/>
      </c>
      <c r="BA27" s="604" t="s">
        <v>2809</v>
      </c>
      <c r="BB27" s="420"/>
      <c r="BC27" s="169"/>
      <c r="BD27" s="1330"/>
      <c r="BE27" s="1329">
        <v>43812</v>
      </c>
      <c r="BF27" s="1330"/>
      <c r="BG27" s="1329">
        <v>43838</v>
      </c>
    </row>
    <row r="28" spans="1:59" ht="15.75" customHeight="1">
      <c r="A28" s="420"/>
      <c r="B28" s="415"/>
      <c r="C28" s="416"/>
      <c r="D28" s="418"/>
      <c r="E28" s="418"/>
      <c r="F28" s="420"/>
      <c r="G28" s="422">
        <v>42.8</v>
      </c>
      <c r="H28" s="417"/>
      <c r="I28" s="444"/>
      <c r="J28" s="416"/>
      <c r="K28" s="417"/>
      <c r="L28" s="417"/>
      <c r="M28" s="417"/>
      <c r="N28" s="420"/>
      <c r="O28" s="420"/>
      <c r="P28" s="417"/>
      <c r="Q28" s="417"/>
      <c r="R28" s="417"/>
      <c r="S28" s="422">
        <f t="shared" ref="S28" si="7">AG29-AG27</f>
        <v>42.459999999991851</v>
      </c>
      <c r="T28" s="417"/>
      <c r="U28" s="417"/>
      <c r="V28" s="417"/>
      <c r="W28" s="420"/>
      <c r="X28" s="417"/>
      <c r="Y28" s="417"/>
      <c r="Z28" s="417"/>
      <c r="AA28" s="417"/>
      <c r="AB28" s="417"/>
      <c r="AC28" s="417"/>
      <c r="AD28" s="417"/>
      <c r="AE28" s="417"/>
      <c r="AF28" s="417"/>
      <c r="AG28" s="416"/>
      <c r="AH28" s="417"/>
      <c r="AI28" s="607"/>
      <c r="AJ28" s="417"/>
      <c r="AK28" s="420"/>
      <c r="AL28" s="417"/>
      <c r="AM28" s="417"/>
      <c r="AN28" s="444"/>
      <c r="AO28" s="420"/>
      <c r="AP28" s="420"/>
      <c r="AQ28" s="422">
        <f>+FL_2($T$29,$T$27,-$G$28,1200,9.28,-1*$F$29)</f>
        <v>0.3</v>
      </c>
      <c r="AR28" s="422"/>
      <c r="AS28" s="422"/>
      <c r="AT28" s="422"/>
      <c r="AU28" s="417"/>
      <c r="AV28" s="417"/>
      <c r="AW28" s="422"/>
      <c r="AX28" s="422"/>
      <c r="AY28" s="422" t="str">
        <f>IF(AX28="PT",VLOOKUP(M28,'Foundation Calculation'!$L$2:$R$37,VLOOKUP(AW28,'Foundation Calculation'!$I$2:$J$8,2,FALSE),0),IF(AX28="K",VLOOKUP(M28,'Foundation Calculation'!$L$41:$R$75,VLOOKUP(AW28,'Foundation Calculation'!$I$2:$J$8,2,FALSE),0),""))</f>
        <v/>
      </c>
      <c r="AZ28" s="422" t="str">
        <f>IF(AX28="PT",VLOOKUP(K28,'Foundation Calculation'!$L$2:$R$41,VLOOKUP(AW28,'Foundation Calculation'!$I$2:$J$8,2,FALSE),0),IF(AX28="K",VLOOKUP(K28,'Foundation Calculation'!$L$41:$R$79,VLOOKUP(AW28,'Foundation Calculation'!$I$2:$J$8,2,FALSE),0),""))</f>
        <v/>
      </c>
      <c r="BA28" s="604"/>
      <c r="BB28" s="420"/>
      <c r="BC28" s="169"/>
      <c r="BD28" s="1330"/>
      <c r="BE28" s="1330"/>
      <c r="BF28" s="1330"/>
      <c r="BG28" s="1330"/>
    </row>
    <row r="29" spans="1:59" ht="15.75" customHeight="1">
      <c r="A29" s="420"/>
      <c r="B29" s="415" t="s">
        <v>2837</v>
      </c>
      <c r="C29" s="416">
        <f>+$C$27+$G$28+0.3</f>
        <v>93286.950000000012</v>
      </c>
      <c r="D29" s="418"/>
      <c r="E29" s="418"/>
      <c r="F29" s="420" t="s">
        <v>2779</v>
      </c>
      <c r="G29" s="422"/>
      <c r="H29" s="677"/>
      <c r="I29" s="420"/>
      <c r="J29" s="416"/>
      <c r="K29" s="417"/>
      <c r="L29" s="415"/>
      <c r="M29" s="415"/>
      <c r="N29" s="1347" t="s">
        <v>2797</v>
      </c>
      <c r="O29" s="420"/>
      <c r="P29" s="417"/>
      <c r="Q29" s="417">
        <v>10</v>
      </c>
      <c r="R29" s="417">
        <v>-400</v>
      </c>
      <c r="S29" s="422"/>
      <c r="T29" s="417">
        <v>30</v>
      </c>
      <c r="U29" s="417"/>
      <c r="V29" s="417"/>
      <c r="W29" s="420">
        <v>0.5</v>
      </c>
      <c r="X29" s="417"/>
      <c r="Y29" s="417"/>
      <c r="Z29" s="417"/>
      <c r="AA29" s="417"/>
      <c r="AB29" s="417"/>
      <c r="AC29" s="417" t="s">
        <v>1421</v>
      </c>
      <c r="AD29" s="417"/>
      <c r="AE29" s="417"/>
      <c r="AF29" s="417">
        <v>400</v>
      </c>
      <c r="AG29" s="416">
        <v>93286.45</v>
      </c>
      <c r="AH29" s="417">
        <v>913</v>
      </c>
      <c r="AI29" s="607">
        <v>-5180</v>
      </c>
      <c r="AJ29" s="417"/>
      <c r="AK29" s="420" t="s">
        <v>139</v>
      </c>
      <c r="AL29" s="417"/>
      <c r="AM29" s="417"/>
      <c r="AN29" s="444">
        <v>5.15</v>
      </c>
      <c r="AO29" s="420"/>
      <c r="AP29" s="420"/>
      <c r="AQ29" s="422"/>
      <c r="AR29" s="422"/>
      <c r="AS29" s="422"/>
      <c r="AT29" s="422">
        <f>+ab($T$29,$T$27,$T$31,$G$28,$G$30,-1*$F$29,1200)</f>
        <v>1.891143977837149</v>
      </c>
      <c r="AU29" s="417"/>
      <c r="AV29" s="417"/>
      <c r="AW29" s="422"/>
      <c r="AX29" s="422"/>
      <c r="AY29" s="422" t="str">
        <f>IF(AX29="PT",VLOOKUP(M29,'Foundation Calculation'!$L$2:$R$37,VLOOKUP(AW29,'Foundation Calculation'!$I$2:$J$8,2,FALSE),0),IF(AX29="K",VLOOKUP(M29,'Foundation Calculation'!$L$41:$R$75,VLOOKUP(AW29,'Foundation Calculation'!$I$2:$J$8,2,FALSE),0),""))</f>
        <v/>
      </c>
      <c r="AZ29" s="422" t="str">
        <f>IF(AX29="PT",VLOOKUP(K29,'Foundation Calculation'!$L$2:$R$41,VLOOKUP(AW29,'Foundation Calculation'!$I$2:$J$8,2,FALSE),0),IF(AX29="K",VLOOKUP(K29,'Foundation Calculation'!$L$41:$R$79,VLOOKUP(AW29,'Foundation Calculation'!$I$2:$J$8,2,FALSE),0),""))</f>
        <v/>
      </c>
      <c r="BA29" s="604"/>
      <c r="BB29" s="420"/>
      <c r="BC29" s="169"/>
      <c r="BD29" s="1330"/>
      <c r="BE29" s="1329"/>
      <c r="BF29" s="1330"/>
      <c r="BG29" s="1329"/>
    </row>
    <row r="30" spans="1:59" ht="15.75" customHeight="1">
      <c r="A30" s="420"/>
      <c r="B30" s="415"/>
      <c r="C30" s="416"/>
      <c r="D30" s="418"/>
      <c r="E30" s="418"/>
      <c r="F30" s="420"/>
      <c r="G30" s="422">
        <v>29</v>
      </c>
      <c r="H30" s="417"/>
      <c r="I30" s="420"/>
      <c r="J30" s="416"/>
      <c r="K30" s="417"/>
      <c r="L30" s="417"/>
      <c r="M30" s="417"/>
      <c r="N30" s="420"/>
      <c r="O30" s="417"/>
      <c r="P30" s="417"/>
      <c r="Q30" s="417"/>
      <c r="R30" s="417"/>
      <c r="S30" s="422">
        <f t="shared" ref="S30" si="8">AG31-AG29</f>
        <v>28.55000000000291</v>
      </c>
      <c r="T30" s="417"/>
      <c r="U30" s="417"/>
      <c r="V30" s="417"/>
      <c r="W30" s="420"/>
      <c r="X30" s="417"/>
      <c r="Y30" s="417"/>
      <c r="Z30" s="417"/>
      <c r="AA30" s="417"/>
      <c r="AB30" s="417"/>
      <c r="AC30" s="417"/>
      <c r="AD30" s="417"/>
      <c r="AE30" s="417"/>
      <c r="AF30" s="417"/>
      <c r="AG30" s="416"/>
      <c r="AH30" s="417"/>
      <c r="AI30" s="607"/>
      <c r="AJ30" s="417"/>
      <c r="AK30" s="420"/>
      <c r="AL30" s="417"/>
      <c r="AM30" s="417"/>
      <c r="AN30" s="444"/>
      <c r="AO30" s="420"/>
      <c r="AP30" s="420"/>
      <c r="AQ30" s="422">
        <f>+FL_1($T$31,$T$29,$G$30,1200,9.28,-1*$F$31)</f>
        <v>0.3000000000000374</v>
      </c>
      <c r="AR30" s="422"/>
      <c r="AS30" s="422"/>
      <c r="AT30" s="422"/>
      <c r="AU30" s="417"/>
      <c r="AV30" s="417"/>
      <c r="AW30" s="417"/>
      <c r="AX30" s="417"/>
      <c r="AY30" s="422" t="str">
        <f>IF(AX30="PT",VLOOKUP(M30,'Foundation Calculation'!$L$2:$R$37,VLOOKUP(AW30,'Foundation Calculation'!$I$2:$J$8,2,FALSE),0),IF(AX30="K",VLOOKUP(M30,'Foundation Calculation'!$L$41:$R$75,VLOOKUP(AW30,'Foundation Calculation'!$I$2:$J$8,2,FALSE),0),""))</f>
        <v/>
      </c>
      <c r="AZ30" s="422" t="str">
        <f>IF(AX30="PT",VLOOKUP(K30,'Foundation Calculation'!$L$2:$R$41,VLOOKUP(AW30,'Foundation Calculation'!$I$2:$J$8,2,FALSE),0),IF(AX30="K",VLOOKUP(K30,'Foundation Calculation'!$L$41:$R$79,VLOOKUP(AW30,'Foundation Calculation'!$I$2:$J$8,2,FALSE),0),""))</f>
        <v/>
      </c>
      <c r="BA30" s="604"/>
      <c r="BB30" s="420"/>
      <c r="BC30" s="169"/>
      <c r="BD30" s="1330"/>
      <c r="BE30" s="1330"/>
      <c r="BF30" s="1330"/>
      <c r="BG30" s="1330"/>
    </row>
    <row r="31" spans="1:59" ht="15.75" customHeight="1">
      <c r="A31" s="420"/>
      <c r="B31" s="415" t="s">
        <v>2838</v>
      </c>
      <c r="C31" s="416">
        <f>+$C$29+$G$30</f>
        <v>93315.950000000012</v>
      </c>
      <c r="D31" s="418"/>
      <c r="E31" s="418"/>
      <c r="F31" s="420">
        <v>-400</v>
      </c>
      <c r="G31" s="422"/>
      <c r="H31" s="420"/>
      <c r="I31" s="420"/>
      <c r="J31" s="416"/>
      <c r="K31" s="417"/>
      <c r="L31" s="417"/>
      <c r="M31" s="417"/>
      <c r="N31" s="420" t="s">
        <v>844</v>
      </c>
      <c r="O31" s="420"/>
      <c r="P31" s="417"/>
      <c r="Q31" s="417">
        <v>10</v>
      </c>
      <c r="R31" s="417">
        <v>-400</v>
      </c>
      <c r="S31" s="422"/>
      <c r="T31" s="417">
        <v>30</v>
      </c>
      <c r="U31" s="417"/>
      <c r="V31" s="417"/>
      <c r="W31" s="420">
        <v>0.8</v>
      </c>
      <c r="X31" s="417"/>
      <c r="Y31" s="417"/>
      <c r="Z31" s="417"/>
      <c r="AA31" s="417"/>
      <c r="AB31" s="417"/>
      <c r="AC31" s="417" t="s">
        <v>3050</v>
      </c>
      <c r="AD31" s="417"/>
      <c r="AE31" s="417"/>
      <c r="AF31" s="417">
        <v>200</v>
      </c>
      <c r="AG31" s="416">
        <v>93315</v>
      </c>
      <c r="AH31" s="417">
        <v>1673</v>
      </c>
      <c r="AI31" s="607">
        <v>-5200</v>
      </c>
      <c r="AJ31" s="417"/>
      <c r="AK31" s="420" t="s">
        <v>139</v>
      </c>
      <c r="AL31" s="417"/>
      <c r="AM31" s="417"/>
      <c r="AN31" s="444">
        <v>5.15</v>
      </c>
      <c r="AO31" s="420"/>
      <c r="AP31" s="420"/>
      <c r="AQ31" s="422"/>
      <c r="AR31" s="422"/>
      <c r="AS31" s="422"/>
      <c r="AT31" s="422">
        <f>+ab($T$31,$T$29,$T$33,$G$30,$G$32,-1*$F$31,1200)</f>
        <v>2.5629644054903382</v>
      </c>
      <c r="AU31" s="417"/>
      <c r="AV31" s="417"/>
      <c r="AW31" s="422"/>
      <c r="AX31" s="422"/>
      <c r="AY31" s="422" t="str">
        <f>IF(AX31="PT",VLOOKUP(M31,'Foundation Calculation'!$L$2:$R$37,VLOOKUP(AW31,'Foundation Calculation'!$I$2:$J$8,2,FALSE),0),IF(AX31="K",VLOOKUP(M31,'Foundation Calculation'!$L$41:$R$75,VLOOKUP(AW31,'Foundation Calculation'!$I$2:$J$8,2,FALSE),0),""))</f>
        <v/>
      </c>
      <c r="AZ31" s="422" t="str">
        <f>IF(AX31="PT",VLOOKUP(K31,'Foundation Calculation'!$L$2:$R$41,VLOOKUP(AW31,'Foundation Calculation'!$I$2:$J$8,2,FALSE),0),IF(AX31="K",VLOOKUP(K31,'Foundation Calculation'!$L$41:$R$79,VLOOKUP(AW31,'Foundation Calculation'!$I$2:$J$8,2,FALSE),0),""))</f>
        <v/>
      </c>
      <c r="BA31" s="604"/>
      <c r="BB31" s="420"/>
      <c r="BC31" s="169"/>
      <c r="BD31" s="1330"/>
      <c r="BE31" s="1329">
        <v>43864</v>
      </c>
      <c r="BF31" s="1330"/>
      <c r="BG31" s="1329"/>
    </row>
    <row r="32" spans="1:59" ht="15.75" customHeight="1">
      <c r="A32" s="420"/>
      <c r="B32" s="415"/>
      <c r="C32" s="416"/>
      <c r="D32" s="418"/>
      <c r="E32" s="418"/>
      <c r="F32" s="420"/>
      <c r="G32" s="422">
        <v>28</v>
      </c>
      <c r="H32" s="417"/>
      <c r="I32" s="420"/>
      <c r="J32" s="416"/>
      <c r="K32" s="417"/>
      <c r="L32" s="417"/>
      <c r="M32" s="417"/>
      <c r="N32" s="420"/>
      <c r="O32" s="417"/>
      <c r="P32" s="417"/>
      <c r="Q32" s="417"/>
      <c r="R32" s="417"/>
      <c r="S32" s="422">
        <f t="shared" ref="S32" si="9">AG33-AG31</f>
        <v>28.410000000003492</v>
      </c>
      <c r="T32" s="417"/>
      <c r="U32" s="417"/>
      <c r="V32" s="417"/>
      <c r="W32" s="420"/>
      <c r="X32" s="417"/>
      <c r="Y32" s="417"/>
      <c r="Z32" s="417"/>
      <c r="AA32" s="417"/>
      <c r="AB32" s="417"/>
      <c r="AC32" s="417"/>
      <c r="AD32" s="417"/>
      <c r="AE32" s="417"/>
      <c r="AF32" s="417"/>
      <c r="AG32" s="416"/>
      <c r="AH32" s="417"/>
      <c r="AI32" s="607"/>
      <c r="AJ32" s="417"/>
      <c r="AK32" s="420"/>
      <c r="AL32" s="417"/>
      <c r="AM32" s="417"/>
      <c r="AN32" s="444"/>
      <c r="AO32" s="420"/>
      <c r="AP32" s="420"/>
      <c r="AQ32" s="422">
        <f>+FL_1($T$33,$T$31,$G$32,1200,9.28,-1*$F$33)</f>
        <v>0.3000000000000454</v>
      </c>
      <c r="AR32" s="422"/>
      <c r="AS32" s="422"/>
      <c r="AT32" s="422"/>
      <c r="AU32" s="417"/>
      <c r="AV32" s="417"/>
      <c r="AW32" s="417"/>
      <c r="AX32" s="417"/>
      <c r="AY32" s="422" t="str">
        <f>IF(AX32="PT",VLOOKUP(M32,'Foundation Calculation'!$L$2:$R$37,VLOOKUP(AW32,'Foundation Calculation'!$I$2:$J$8,2,FALSE),0),IF(AX32="K",VLOOKUP(M32,'Foundation Calculation'!$L$41:$R$75,VLOOKUP(AW32,'Foundation Calculation'!$I$2:$J$8,2,FALSE),0),""))</f>
        <v/>
      </c>
      <c r="AZ32" s="422" t="str">
        <f>IF(AX32="PT",VLOOKUP(K32,'Foundation Calculation'!$L$2:$R$41,VLOOKUP(AW32,'Foundation Calculation'!$I$2:$J$8,2,FALSE),0),IF(AX32="K",VLOOKUP(K32,'Foundation Calculation'!$L$41:$R$79,VLOOKUP(AW32,'Foundation Calculation'!$I$2:$J$8,2,FALSE),0),""))</f>
        <v/>
      </c>
      <c r="BA32" s="604"/>
      <c r="BB32" s="420"/>
      <c r="BC32" s="169"/>
      <c r="BD32" s="1330"/>
      <c r="BE32" s="1330"/>
      <c r="BF32" s="1330"/>
      <c r="BG32" s="1330"/>
    </row>
    <row r="33" spans="1:59" ht="15.75" customHeight="1">
      <c r="A33" s="449"/>
      <c r="B33" s="445" t="s">
        <v>2839</v>
      </c>
      <c r="C33" s="446">
        <f>+$C$31+$G$32</f>
        <v>93343.950000000012</v>
      </c>
      <c r="D33" s="638"/>
      <c r="E33" s="638"/>
      <c r="F33" s="447">
        <v>-400</v>
      </c>
      <c r="G33" s="484"/>
      <c r="H33" s="1239"/>
      <c r="I33" s="1239"/>
      <c r="J33" s="446"/>
      <c r="K33" s="638"/>
      <c r="L33" s="638"/>
      <c r="M33" s="638"/>
      <c r="N33" s="1239" t="s">
        <v>844</v>
      </c>
      <c r="O33" s="1239"/>
      <c r="P33" s="638"/>
      <c r="Q33" s="638">
        <v>0</v>
      </c>
      <c r="R33" s="638">
        <v>400</v>
      </c>
      <c r="S33" s="484"/>
      <c r="T33" s="638">
        <v>20</v>
      </c>
      <c r="U33" s="638"/>
      <c r="V33" s="638"/>
      <c r="W33" s="638">
        <v>1.2</v>
      </c>
      <c r="X33" s="638"/>
      <c r="Y33" s="638"/>
      <c r="Z33" s="638"/>
      <c r="AA33" s="638"/>
      <c r="AB33" s="638"/>
      <c r="AC33" s="638" t="s">
        <v>3050</v>
      </c>
      <c r="AD33" s="638"/>
      <c r="AE33" s="638"/>
      <c r="AF33" s="638">
        <v>100</v>
      </c>
      <c r="AG33" s="446">
        <v>93343.41</v>
      </c>
      <c r="AH33" s="638">
        <v>1923</v>
      </c>
      <c r="AI33" s="638">
        <v>-5100</v>
      </c>
      <c r="AJ33" s="638"/>
      <c r="AK33" s="1239" t="s">
        <v>139</v>
      </c>
      <c r="AL33" s="638"/>
      <c r="AM33" s="638"/>
      <c r="AN33" s="455">
        <v>5.15</v>
      </c>
      <c r="AO33" s="1239"/>
      <c r="AP33" s="445"/>
      <c r="AQ33" s="484"/>
      <c r="AR33" s="484"/>
      <c r="AS33" s="484"/>
      <c r="AT33" s="484">
        <f>+ab($T$33,$T$31,-$T$35,$G$32,$G$34,-1*$F$33,1200)</f>
        <v>2.3233410909939902</v>
      </c>
      <c r="AU33" s="638"/>
      <c r="AV33" s="638"/>
      <c r="AW33" s="638"/>
      <c r="AX33" s="638"/>
      <c r="AY33" s="484" t="str">
        <f>IF(AX33="PT",VLOOKUP(M33,'Foundation Calculation'!$L$2:$R$37,VLOOKUP(AW33,'Foundation Calculation'!$I$2:$J$8,2,FALSE),0),IF(AX33="K",VLOOKUP(M33,'Foundation Calculation'!$L$41:$R$75,VLOOKUP(AW33,'Foundation Calculation'!$I$2:$J$8,2,FALSE),0),""))</f>
        <v/>
      </c>
      <c r="AZ33" s="484" t="str">
        <f>IF(AX33="PT",VLOOKUP(K33,'Foundation Calculation'!$L$2:$R$41,VLOOKUP(AW33,'Foundation Calculation'!$I$2:$J$8,2,FALSE),0),IF(AX33="K",VLOOKUP(K33,'Foundation Calculation'!$L$41:$R$79,VLOOKUP(AW33,'Foundation Calculation'!$I$2:$J$8,2,FALSE),0),""))</f>
        <v/>
      </c>
      <c r="BA33" s="671"/>
      <c r="BB33" s="449"/>
      <c r="BC33" s="169"/>
      <c r="BD33" s="1330"/>
      <c r="BE33" s="1329">
        <v>43861</v>
      </c>
      <c r="BF33" s="1330"/>
      <c r="BG33" s="1329">
        <v>43870</v>
      </c>
    </row>
    <row r="34" spans="1:59" ht="15.75" customHeight="1">
      <c r="A34" s="447"/>
      <c r="B34" s="173"/>
      <c r="C34" s="446"/>
      <c r="D34" s="638"/>
      <c r="E34" s="638"/>
      <c r="F34" s="447"/>
      <c r="G34" s="484">
        <v>32.200000000000003</v>
      </c>
      <c r="H34" s="1239"/>
      <c r="I34" s="1239"/>
      <c r="J34" s="446"/>
      <c r="K34" s="638"/>
      <c r="L34" s="445"/>
      <c r="M34" s="445"/>
      <c r="N34" s="1239"/>
      <c r="O34" s="1239"/>
      <c r="P34" s="638"/>
      <c r="Q34" s="638"/>
      <c r="R34" s="638"/>
      <c r="S34" s="484">
        <f t="shared" ref="S34" si="10">AG35-AG33</f>
        <v>32.229999999995925</v>
      </c>
      <c r="T34" s="638"/>
      <c r="U34" s="638"/>
      <c r="V34" s="638"/>
      <c r="W34" s="638"/>
      <c r="X34" s="638"/>
      <c r="Y34" s="638"/>
      <c r="Z34" s="638"/>
      <c r="AA34" s="638"/>
      <c r="AB34" s="638"/>
      <c r="AC34" s="638"/>
      <c r="AD34" s="638"/>
      <c r="AE34" s="638"/>
      <c r="AF34" s="638"/>
      <c r="AG34" s="446"/>
      <c r="AH34" s="638"/>
      <c r="AI34" s="638"/>
      <c r="AJ34" s="638"/>
      <c r="AK34" s="1239"/>
      <c r="AL34" s="638"/>
      <c r="AM34" s="638"/>
      <c r="AN34" s="455"/>
      <c r="AO34" s="1239"/>
      <c r="AP34" s="445"/>
      <c r="AQ34" s="484">
        <f>+FL_1(-$T$35,$T$33,$G$34,1200,9.28,-1*$F$35)</f>
        <v>0.36547989520416557</v>
      </c>
      <c r="AR34" s="484"/>
      <c r="AS34" s="484"/>
      <c r="AT34" s="484"/>
      <c r="AU34" s="638"/>
      <c r="AV34" s="638"/>
      <c r="AW34" s="484"/>
      <c r="AX34" s="484"/>
      <c r="AY34" s="484" t="str">
        <f>IF(AX34="PT",VLOOKUP(M34,'Foundation Calculation'!$L$2:$R$37,VLOOKUP(AW34,'Foundation Calculation'!$I$2:$J$8,2,FALSE),0),IF(AX34="K",VLOOKUP(M34,'Foundation Calculation'!$L$41:$R$75,VLOOKUP(AW34,'Foundation Calculation'!$I$2:$J$8,2,FALSE),0),""))</f>
        <v/>
      </c>
      <c r="AZ34" s="484" t="str">
        <f>IF(AX34="PT",VLOOKUP(K34,'Foundation Calculation'!$L$2:$R$41,VLOOKUP(AW34,'Foundation Calculation'!$I$2:$J$8,2,FALSE),0),IF(AX34="K",VLOOKUP(K34,'Foundation Calculation'!$L$41:$R$79,VLOOKUP(AW34,'Foundation Calculation'!$I$2:$J$8,2,FALSE),0),""))</f>
        <v/>
      </c>
      <c r="BA34" s="671"/>
      <c r="BB34" s="447"/>
      <c r="BC34" s="169"/>
      <c r="BD34" s="1330"/>
      <c r="BE34" s="1330"/>
      <c r="BF34" s="1330"/>
      <c r="BG34" s="1330"/>
    </row>
    <row r="35" spans="1:59" ht="15.75" customHeight="1">
      <c r="A35" s="1239" t="s">
        <v>2934</v>
      </c>
      <c r="B35" s="445" t="s">
        <v>2840</v>
      </c>
      <c r="C35" s="446">
        <f>+$C$33+$G$34</f>
        <v>93376.150000000009</v>
      </c>
      <c r="D35" s="638"/>
      <c r="E35" s="638"/>
      <c r="F35" s="447">
        <v>600</v>
      </c>
      <c r="G35" s="484"/>
      <c r="H35" s="638"/>
      <c r="I35" s="1239"/>
      <c r="J35" s="446"/>
      <c r="K35" s="638"/>
      <c r="L35" s="638"/>
      <c r="M35" s="638"/>
      <c r="N35" s="1239" t="s">
        <v>844</v>
      </c>
      <c r="O35" s="1239"/>
      <c r="P35" s="638"/>
      <c r="Q35" s="638">
        <v>0</v>
      </c>
      <c r="R35" s="638">
        <v>600</v>
      </c>
      <c r="S35" s="484"/>
      <c r="T35" s="638">
        <v>15</v>
      </c>
      <c r="U35" s="638"/>
      <c r="V35" s="638"/>
      <c r="W35" s="638">
        <v>1.4</v>
      </c>
      <c r="X35" s="638"/>
      <c r="Y35" s="638"/>
      <c r="Z35" s="638"/>
      <c r="AA35" s="638"/>
      <c r="AB35" s="638"/>
      <c r="AC35" s="638" t="s">
        <v>3050</v>
      </c>
      <c r="AD35" s="638"/>
      <c r="AE35" s="638"/>
      <c r="AF35" s="638">
        <v>200</v>
      </c>
      <c r="AG35" s="446">
        <v>93375.64</v>
      </c>
      <c r="AH35" s="638">
        <v>1913</v>
      </c>
      <c r="AI35" s="185">
        <v>-5200</v>
      </c>
      <c r="AJ35" s="638" t="s">
        <v>2154</v>
      </c>
      <c r="AK35" s="1239" t="s">
        <v>139</v>
      </c>
      <c r="AL35" s="638"/>
      <c r="AM35" s="638"/>
      <c r="AN35" s="455">
        <v>5.15</v>
      </c>
      <c r="AO35" s="1239"/>
      <c r="AP35" s="1239"/>
      <c r="AQ35" s="484"/>
      <c r="AR35" s="484"/>
      <c r="AS35" s="484"/>
      <c r="AT35" s="484"/>
      <c r="AU35" s="638"/>
      <c r="AV35" s="638"/>
      <c r="AW35" s="638"/>
      <c r="AX35" s="638"/>
      <c r="AY35" s="484" t="str">
        <f>IF(AX35="PT",VLOOKUP(M35,'Foundation Calculation'!$L$2:$R$37,VLOOKUP(AW35,'Foundation Calculation'!$I$2:$J$8,2,FALSE),0),IF(AX35="K",VLOOKUP(M35,'Foundation Calculation'!$L$41:$R$75,VLOOKUP(AW35,'Foundation Calculation'!$I$2:$J$8,2,FALSE),0),""))</f>
        <v/>
      </c>
      <c r="AZ35" s="484" t="str">
        <f>IF(AX35="PT",VLOOKUP(K35,'Foundation Calculation'!$L$2:$R$41,VLOOKUP(AW35,'Foundation Calculation'!$I$2:$J$8,2,FALSE),0),IF(AX35="K",VLOOKUP(K35,'Foundation Calculation'!$L$41:$R$79,VLOOKUP(AW35,'Foundation Calculation'!$I$2:$J$8,2,FALSE),0),""))</f>
        <v/>
      </c>
      <c r="BA35" s="671"/>
      <c r="BB35" s="1239"/>
      <c r="BC35" s="169"/>
      <c r="BD35" s="1330"/>
      <c r="BE35" s="1329">
        <v>43861</v>
      </c>
      <c r="BF35" s="1330"/>
      <c r="BG35" s="1329">
        <v>43870</v>
      </c>
    </row>
    <row r="36" spans="1:59" ht="15.75" customHeight="1">
      <c r="A36" s="501">
        <f>'HR Track 4 TSA'!A41</f>
        <v>0</v>
      </c>
      <c r="B36" s="716">
        <f>'HR Track 4 TSA'!B41</f>
        <v>0</v>
      </c>
      <c r="C36" s="451">
        <f>'HR Track 4 TSA'!C41</f>
        <v>0</v>
      </c>
      <c r="D36" s="453">
        <f>'HR Track 4 TSA'!D41</f>
        <v>0</v>
      </c>
      <c r="E36" s="452">
        <f>'HR Track 4 TSA'!E41</f>
        <v>0</v>
      </c>
      <c r="F36" s="453">
        <f>'HR Track 4 TSA'!F41</f>
        <v>0</v>
      </c>
      <c r="G36" s="500">
        <f>'HR Track 4 TSA'!G41</f>
        <v>28.5</v>
      </c>
      <c r="H36" s="453">
        <f>'HR Track 4 TSA'!H41</f>
        <v>0</v>
      </c>
      <c r="I36" s="501">
        <f>'HR Track 4 TSA'!I41</f>
        <v>0</v>
      </c>
      <c r="J36" s="583">
        <f>'HR Track 4 TSA'!J41</f>
        <v>0</v>
      </c>
      <c r="K36" s="452">
        <f>'HR Track 4 TSA'!K41</f>
        <v>0</v>
      </c>
      <c r="L36" s="452">
        <f>'HR Track 4 TSA'!L41</f>
        <v>0</v>
      </c>
      <c r="M36" s="452">
        <f>'HR Track 4 TSA'!M41</f>
        <v>0</v>
      </c>
      <c r="N36" s="501">
        <f>'HR Track 4 TSA'!N41</f>
        <v>0</v>
      </c>
      <c r="O36" s="501">
        <f>'HR Track 4 TSA'!O41</f>
        <v>0</v>
      </c>
      <c r="P36" s="501">
        <f>'HR Track 4 TSA'!P41</f>
        <v>0</v>
      </c>
      <c r="Q36" s="452">
        <f>'HR Track 4 TSA'!Q41</f>
        <v>0</v>
      </c>
      <c r="R36" s="452">
        <f>'HR Track 4 TSA'!R41</f>
        <v>0</v>
      </c>
      <c r="S36" s="500">
        <f>'HR Track 4 TSA'!S41</f>
        <v>28.919999999998254</v>
      </c>
      <c r="T36" s="452">
        <f>'HR Track 4 TSA'!T41</f>
        <v>0</v>
      </c>
      <c r="U36" s="452">
        <f>'HR Track 4 TSA'!U41</f>
        <v>0</v>
      </c>
      <c r="V36" s="452">
        <f>'HR Track 4 TSA'!V41</f>
        <v>0</v>
      </c>
      <c r="W36" s="452">
        <f>'HR Track 4 TSA'!W41</f>
        <v>0</v>
      </c>
      <c r="X36" s="452">
        <f>'HR Track 4 TSA'!X41</f>
        <v>0</v>
      </c>
      <c r="Y36" s="452">
        <f>'HR Track 4 TSA'!Y41</f>
        <v>0</v>
      </c>
      <c r="Z36" s="452">
        <f>'HR Track 4 TSA'!Z41</f>
        <v>0</v>
      </c>
      <c r="AA36" s="452">
        <f>'HR Track 4 TSA'!AA41</f>
        <v>0</v>
      </c>
      <c r="AB36" s="452">
        <f>'HR Track 4 TSA'!AB41</f>
        <v>0</v>
      </c>
      <c r="AC36" s="452">
        <f>'HR Track 4 TSA'!AC41</f>
        <v>0</v>
      </c>
      <c r="AD36" s="452">
        <f>'HR Track 4 TSA'!AD41</f>
        <v>0</v>
      </c>
      <c r="AE36" s="452">
        <f>'HR Track 4 TSA'!AE41</f>
        <v>0</v>
      </c>
      <c r="AF36" s="452">
        <f>'HR Track 4 TSA'!AF41</f>
        <v>0</v>
      </c>
      <c r="AG36" s="451">
        <f>'HR Track 4 TSA'!AG41</f>
        <v>0</v>
      </c>
      <c r="AH36" s="452">
        <f>'HR Track 4 TSA'!AH41</f>
        <v>0</v>
      </c>
      <c r="AI36" s="452">
        <f>'HR Track 4 TSA'!AI41</f>
        <v>0</v>
      </c>
      <c r="AJ36" s="452" t="str">
        <f>'HR Track 4 TSA'!AJ41</f>
        <v>SECT-I</v>
      </c>
      <c r="AK36" s="452">
        <f>'HR Track 4 TSA'!AK41</f>
        <v>0</v>
      </c>
      <c r="AL36" s="452">
        <f>'HR Track 4 TSA'!AL41</f>
        <v>0</v>
      </c>
      <c r="AM36" s="452">
        <f>'HR Track 4 TSA'!AM41</f>
        <v>0</v>
      </c>
      <c r="AN36" s="500">
        <f>'HR Track 4 TSA'!AN41</f>
        <v>0</v>
      </c>
      <c r="AO36" s="452">
        <f>'HR Track 4 TSA'!AO41</f>
        <v>0</v>
      </c>
      <c r="AP36" s="452">
        <f>'HR Track 4 TSA'!AP41</f>
        <v>0</v>
      </c>
      <c r="AQ36" s="452">
        <f>'HR Track 4 TSA'!AQ41</f>
        <v>0.3</v>
      </c>
      <c r="AR36" s="452">
        <f>'HR Track 4 TSA'!AR41</f>
        <v>0</v>
      </c>
      <c r="AS36" s="452">
        <f>'HR Track 4 TSA'!AS41</f>
        <v>0</v>
      </c>
      <c r="AT36" s="452">
        <f>'HR Track 4 TSA'!AT41</f>
        <v>0</v>
      </c>
      <c r="AU36" s="452">
        <f>'HR Track 4 TSA'!AU41</f>
        <v>0</v>
      </c>
      <c r="AV36" s="452">
        <f>'HR Track 4 TSA'!AV41</f>
        <v>0</v>
      </c>
      <c r="AW36" s="452">
        <f>'HR Track 4 TSA'!AW41</f>
        <v>0</v>
      </c>
      <c r="AX36" s="452">
        <f>'HR Track 4 TSA'!AX41</f>
        <v>0</v>
      </c>
      <c r="AY36" s="500" t="str">
        <f>'HR Track 4 TSA'!AY41</f>
        <v/>
      </c>
      <c r="AZ36" s="500" t="str">
        <f>'HR Track 4 TSA'!AZ41</f>
        <v/>
      </c>
      <c r="BA36" s="1333">
        <f>'HR Track 4 TSA'!BA41</f>
        <v>0</v>
      </c>
      <c r="BB36" s="452">
        <f>'HR Track 4 TSA'!BB41</f>
        <v>0</v>
      </c>
      <c r="BC36" s="1334">
        <f>'HR Track 4 TSA'!BC41</f>
        <v>0</v>
      </c>
      <c r="BD36" s="1335">
        <f>'HR Track 4 TSA'!BD41</f>
        <v>0</v>
      </c>
      <c r="BE36" s="1335">
        <f>'HR Track 4 TSA'!BE41</f>
        <v>0</v>
      </c>
      <c r="BF36" s="1335">
        <f>'HR Track 4 TSA'!BF41</f>
        <v>0</v>
      </c>
      <c r="BG36" s="1335">
        <f>'HR Track 4 TSA'!BG41</f>
        <v>0</v>
      </c>
    </row>
    <row r="37" spans="1:59" ht="15.75" customHeight="1">
      <c r="A37" s="501">
        <f>'HR Track 4 TSA'!A42</f>
        <v>0</v>
      </c>
      <c r="B37" s="716" t="str">
        <f>'HR Track 4 TSA'!B42</f>
        <v>93-4.10</v>
      </c>
      <c r="C37" s="451">
        <f>'HR Track 4 TSA'!C42</f>
        <v>93404.750000000029</v>
      </c>
      <c r="D37" s="453">
        <f>'HR Track 4 TSA'!D42</f>
        <v>0</v>
      </c>
      <c r="E37" s="452">
        <f>'HR Track 4 TSA'!E42</f>
        <v>0</v>
      </c>
      <c r="F37" s="453">
        <f>'HR Track 4 TSA'!F42</f>
        <v>0</v>
      </c>
      <c r="G37" s="500">
        <f>'HR Track 4 TSA'!G42</f>
        <v>0</v>
      </c>
      <c r="H37" s="453" t="str">
        <f>'HR Track 4 TSA'!H42</f>
        <v>P50(CS)</v>
      </c>
      <c r="I37" s="501">
        <f>'HR Track 4 TSA'!I42</f>
        <v>0</v>
      </c>
      <c r="J37" s="583">
        <f>'HR Track 4 TSA'!J42</f>
        <v>0</v>
      </c>
      <c r="K37" s="452">
        <f>'HR Track 4 TSA'!K42</f>
        <v>0</v>
      </c>
      <c r="L37" s="452" t="str">
        <f>'HR Track 4 TSA'!L42</f>
        <v>2HEB-240</v>
      </c>
      <c r="M37" s="452" t="str">
        <f>'HR Track 4 TSA'!M42</f>
        <v>2C3R</v>
      </c>
      <c r="N37" s="501" t="str">
        <f>'HR Track 4 TSA'!N42</f>
        <v>EMT-2</v>
      </c>
      <c r="O37" s="501" t="str">
        <f>'HR Track 4 TSA'!O42</f>
        <v>EMT-1</v>
      </c>
      <c r="P37" s="501">
        <f>'HR Track 4 TSA'!P42</f>
        <v>0</v>
      </c>
      <c r="Q37" s="452">
        <f>'HR Track 4 TSA'!Q42</f>
        <v>10</v>
      </c>
      <c r="R37" s="452">
        <f>'HR Track 4 TSA'!R42</f>
        <v>0</v>
      </c>
      <c r="S37" s="500">
        <f>'HR Track 4 TSA'!S42</f>
        <v>0</v>
      </c>
      <c r="T37" s="452">
        <f>'HR Track 4 TSA'!T42</f>
        <v>30</v>
      </c>
      <c r="U37" s="452">
        <f>'HR Track 4 TSA'!U42</f>
        <v>15</v>
      </c>
      <c r="V37" s="452">
        <f>'HR Track 4 TSA'!V42</f>
        <v>0</v>
      </c>
      <c r="W37" s="452">
        <f>'HR Track 4 TSA'!W42</f>
        <v>1</v>
      </c>
      <c r="X37" s="452">
        <f>'HR Track 4 TSA'!X42</f>
        <v>1.8</v>
      </c>
      <c r="Y37" s="452">
        <f>'HR Track 4 TSA'!Y42</f>
        <v>0</v>
      </c>
      <c r="Z37" s="452">
        <f>'HR Track 4 TSA'!Z42</f>
        <v>0</v>
      </c>
      <c r="AA37" s="452">
        <f>'HR Track 4 TSA'!AA42</f>
        <v>0</v>
      </c>
      <c r="AB37" s="452">
        <f>'HR Track 4 TSA'!AB42</f>
        <v>0</v>
      </c>
      <c r="AC37" s="452" t="str">
        <f>'HR Track 4 TSA'!AC42</f>
        <v>PHQ-1450</v>
      </c>
      <c r="AD37" s="452" t="str">
        <f>'HR Track 4 TSA'!AD42</f>
        <v>BTC-1651</v>
      </c>
      <c r="AE37" s="452">
        <f>'HR Track 4 TSA'!AE42</f>
        <v>0</v>
      </c>
      <c r="AF37" s="452">
        <f>'HR Track 4 TSA'!AF42</f>
        <v>5300</v>
      </c>
      <c r="AG37" s="451">
        <f>'HR Track 4 TSA'!AG42</f>
        <v>93404.79</v>
      </c>
      <c r="AH37" s="452">
        <f>'HR Track 4 TSA'!AH42</f>
        <v>2613</v>
      </c>
      <c r="AI37" s="452">
        <f>'HR Track 4 TSA'!AI42</f>
        <v>150</v>
      </c>
      <c r="AJ37" s="452">
        <f>'HR Track 4 TSA'!AJ42</f>
        <v>0</v>
      </c>
      <c r="AK37" s="452">
        <f>'HR Track 4 TSA'!AK42</f>
        <v>0</v>
      </c>
      <c r="AL37" s="452">
        <f>'HR Track 4 TSA'!AL42</f>
        <v>0</v>
      </c>
      <c r="AM37" s="452" t="str">
        <f>'HR Track 4 TSA'!AM42</f>
        <v>RW1</v>
      </c>
      <c r="AN37" s="500">
        <f>'HR Track 4 TSA'!AN42</f>
        <v>5.15</v>
      </c>
      <c r="AO37" s="452">
        <f>'HR Track 4 TSA'!AO42</f>
        <v>0</v>
      </c>
      <c r="AP37" s="452">
        <f>'HR Track 4 TSA'!AP42</f>
        <v>0</v>
      </c>
      <c r="AQ37" s="452">
        <f>'HR Track 4 TSA'!AQ42</f>
        <v>0</v>
      </c>
      <c r="AR37" s="452">
        <f>'HR Track 4 TSA'!AR42</f>
        <v>0</v>
      </c>
      <c r="AS37" s="452">
        <f>'HR Track 4 TSA'!AS42</f>
        <v>0</v>
      </c>
      <c r="AT37" s="452">
        <f>'HR Track 4 TSA'!AT42</f>
        <v>4.7594354086183115</v>
      </c>
      <c r="AU37" s="452">
        <f>'HR Track 4 TSA'!AU42</f>
        <v>0</v>
      </c>
      <c r="AV37" s="452">
        <f>'HR Track 4 TSA'!AV42</f>
        <v>0</v>
      </c>
      <c r="AW37" s="452" t="str">
        <f>'HR Track 4 TSA'!AW42</f>
        <v>Soil D</v>
      </c>
      <c r="AX37" s="452" t="str">
        <f>'HR Track 4 TSA'!AX42</f>
        <v>PT</v>
      </c>
      <c r="AY37" s="500">
        <f>'HR Track 4 TSA'!AY42</f>
        <v>3</v>
      </c>
      <c r="AZ37" s="500">
        <f>'HR Track 4 TSA'!AZ42</f>
        <v>0</v>
      </c>
      <c r="BA37" s="1333" t="str">
        <f>'HR Track 4 TSA'!BA42</f>
        <v>ü</v>
      </c>
      <c r="BB37" s="452" t="str">
        <f>'HR Track 4 TSA'!BB42</f>
        <v>App.7-V11A-P9.5.1.5</v>
      </c>
      <c r="BC37" s="1334">
        <f>'HR Track 4 TSA'!BC42</f>
        <v>0</v>
      </c>
      <c r="BD37" s="1335">
        <f>'HR Track 4 TSA'!BD42</f>
        <v>43750</v>
      </c>
      <c r="BE37" s="1335" t="str">
        <f>'HR Track 4 TSA'!BE42</f>
        <v>Ejecutado</v>
      </c>
      <c r="BF37" s="1335">
        <f>'HR Track 4 TSA'!BF42</f>
        <v>0</v>
      </c>
      <c r="BG37" s="1335">
        <f>'HR Track 4 TSA'!BG42</f>
        <v>43870</v>
      </c>
    </row>
    <row r="38" spans="1:59" ht="15.75" customHeight="1">
      <c r="A38" s="501">
        <f>'HR Track 4 TSA'!A43</f>
        <v>0</v>
      </c>
      <c r="B38" s="716">
        <f>'HR Track 4 TSA'!B43</f>
        <v>0</v>
      </c>
      <c r="C38" s="451">
        <f>'HR Track 4 TSA'!C43</f>
        <v>0</v>
      </c>
      <c r="D38" s="453">
        <f>'HR Track 4 TSA'!D43</f>
        <v>0</v>
      </c>
      <c r="E38" s="452">
        <f>'HR Track 4 TSA'!E43</f>
        <v>0</v>
      </c>
      <c r="F38" s="453">
        <f>'HR Track 4 TSA'!F43</f>
        <v>0</v>
      </c>
      <c r="G38" s="500">
        <f>'HR Track 4 TSA'!G43</f>
        <v>21</v>
      </c>
      <c r="H38" s="453">
        <f>'HR Track 4 TSA'!H43</f>
        <v>0</v>
      </c>
      <c r="I38" s="501">
        <f>'HR Track 4 TSA'!I43</f>
        <v>0</v>
      </c>
      <c r="J38" s="583">
        <f>'HR Track 4 TSA'!J43</f>
        <v>0</v>
      </c>
      <c r="K38" s="452">
        <f>'HR Track 4 TSA'!K43</f>
        <v>0</v>
      </c>
      <c r="L38" s="452">
        <f>'HR Track 4 TSA'!L43</f>
        <v>0</v>
      </c>
      <c r="M38" s="452">
        <f>'HR Track 4 TSA'!M43</f>
        <v>0</v>
      </c>
      <c r="N38" s="501">
        <f>'HR Track 4 TSA'!N43</f>
        <v>0</v>
      </c>
      <c r="O38" s="501">
        <f>'HR Track 4 TSA'!O43</f>
        <v>0</v>
      </c>
      <c r="P38" s="501">
        <f>'HR Track 4 TSA'!P43</f>
        <v>0</v>
      </c>
      <c r="Q38" s="452">
        <f>'HR Track 4 TSA'!Q43</f>
        <v>0</v>
      </c>
      <c r="R38" s="452">
        <f>'HR Track 4 TSA'!R43</f>
        <v>0</v>
      </c>
      <c r="S38" s="500">
        <f>'HR Track 4 TSA'!S43</f>
        <v>22.570000000006985</v>
      </c>
      <c r="T38" s="452">
        <f>'HR Track 4 TSA'!T43</f>
        <v>0</v>
      </c>
      <c r="U38" s="452">
        <f>'HR Track 4 TSA'!U43</f>
        <v>0</v>
      </c>
      <c r="V38" s="452">
        <f>'HR Track 4 TSA'!V43</f>
        <v>0</v>
      </c>
      <c r="W38" s="452">
        <f>'HR Track 4 TSA'!W43</f>
        <v>0</v>
      </c>
      <c r="X38" s="452">
        <f>'HR Track 4 TSA'!X43</f>
        <v>0</v>
      </c>
      <c r="Y38" s="452">
        <f>'HR Track 4 TSA'!Y43</f>
        <v>0</v>
      </c>
      <c r="Z38" s="452">
        <f>'HR Track 4 TSA'!Z43</f>
        <v>0</v>
      </c>
      <c r="AA38" s="452">
        <f>'HR Track 4 TSA'!AA43</f>
        <v>0</v>
      </c>
      <c r="AB38" s="452">
        <f>'HR Track 4 TSA'!AB43</f>
        <v>0</v>
      </c>
      <c r="AC38" s="452">
        <f>'HR Track 4 TSA'!AC43</f>
        <v>0</v>
      </c>
      <c r="AD38" s="452">
        <f>'HR Track 4 TSA'!AD43</f>
        <v>0</v>
      </c>
      <c r="AE38" s="452">
        <f>'HR Track 4 TSA'!AE43</f>
        <v>0</v>
      </c>
      <c r="AF38" s="452">
        <f>'HR Track 4 TSA'!AF43</f>
        <v>0</v>
      </c>
      <c r="AG38" s="451">
        <f>'HR Track 4 TSA'!AG43</f>
        <v>0</v>
      </c>
      <c r="AH38" s="452">
        <f>'HR Track 4 TSA'!AH43</f>
        <v>0</v>
      </c>
      <c r="AI38" s="452">
        <f>'HR Track 4 TSA'!AI43</f>
        <v>0</v>
      </c>
      <c r="AJ38" s="452">
        <f>'HR Track 4 TSA'!AJ43</f>
        <v>0</v>
      </c>
      <c r="AK38" s="452">
        <f>'HR Track 4 TSA'!AK43</f>
        <v>0</v>
      </c>
      <c r="AL38" s="452">
        <f>'HR Track 4 TSA'!AL43</f>
        <v>0</v>
      </c>
      <c r="AM38" s="452">
        <f>'HR Track 4 TSA'!AM43</f>
        <v>0</v>
      </c>
      <c r="AN38" s="500">
        <f>'HR Track 4 TSA'!AN43</f>
        <v>0</v>
      </c>
      <c r="AO38" s="452">
        <f>'HR Track 4 TSA'!AO43</f>
        <v>0</v>
      </c>
      <c r="AP38" s="452">
        <f>'HR Track 4 TSA'!AP43</f>
        <v>0</v>
      </c>
      <c r="AQ38" s="452">
        <f>'HR Track 4 TSA'!AQ43</f>
        <v>0.30000000000000876</v>
      </c>
      <c r="AR38" s="452">
        <f>'HR Track 4 TSA'!AR43</f>
        <v>0</v>
      </c>
      <c r="AS38" s="452">
        <f>'HR Track 4 TSA'!AS43</f>
        <v>0</v>
      </c>
      <c r="AT38" s="452">
        <f>'HR Track 4 TSA'!AT43</f>
        <v>0</v>
      </c>
      <c r="AU38" s="452">
        <f>'HR Track 4 TSA'!AU43</f>
        <v>0</v>
      </c>
      <c r="AV38" s="452">
        <f>'HR Track 4 TSA'!AV43</f>
        <v>0</v>
      </c>
      <c r="AW38" s="452">
        <f>'HR Track 4 TSA'!AW43</f>
        <v>0</v>
      </c>
      <c r="AX38" s="452">
        <f>'HR Track 4 TSA'!AX43</f>
        <v>0</v>
      </c>
      <c r="AY38" s="500" t="str">
        <f>'HR Track 4 TSA'!AY43</f>
        <v/>
      </c>
      <c r="AZ38" s="500" t="str">
        <f>'HR Track 4 TSA'!AZ43</f>
        <v/>
      </c>
      <c r="BA38" s="1333">
        <f>'HR Track 4 TSA'!BA43</f>
        <v>0</v>
      </c>
      <c r="BB38" s="452">
        <f>'HR Track 4 TSA'!BB43</f>
        <v>0</v>
      </c>
      <c r="BC38" s="1334">
        <f>'HR Track 4 TSA'!BC43</f>
        <v>0</v>
      </c>
      <c r="BD38" s="1335">
        <f>'HR Track 4 TSA'!BD43</f>
        <v>0</v>
      </c>
      <c r="BE38" s="1335">
        <f>'HR Track 4 TSA'!BE43</f>
        <v>0</v>
      </c>
      <c r="BF38" s="1335">
        <f>'HR Track 4 TSA'!BF43</f>
        <v>0</v>
      </c>
      <c r="BG38" s="1335">
        <f>'HR Track 4 TSA'!BG43</f>
        <v>0</v>
      </c>
    </row>
    <row r="39" spans="1:59" ht="15.75" customHeight="1">
      <c r="A39" s="501">
        <f>'HR Track 4 TSA'!A44</f>
        <v>0</v>
      </c>
      <c r="B39" s="716" t="str">
        <f>'HR Track 4 TSA'!B44</f>
        <v>93-4.10BIS</v>
      </c>
      <c r="C39" s="451">
        <f>'HR Track 4 TSA'!C44</f>
        <v>93425.950000000026</v>
      </c>
      <c r="D39" s="453">
        <f>'HR Track 4 TSA'!D44</f>
        <v>0</v>
      </c>
      <c r="E39" s="452">
        <f>'HR Track 4 TSA'!E44</f>
        <v>0</v>
      </c>
      <c r="F39" s="453">
        <f>'HR Track 4 TSA'!F44</f>
        <v>1123</v>
      </c>
      <c r="G39" s="500">
        <f>'HR Track 4 TSA'!G44</f>
        <v>0</v>
      </c>
      <c r="H39" s="453" t="str">
        <f>'HR Track 4 TSA'!H44</f>
        <v xml:space="preserve">S/A </v>
      </c>
      <c r="I39" s="501" t="str">
        <f>'HR Track 4 TSA'!I44</f>
        <v>AnRW</v>
      </c>
      <c r="J39" s="583">
        <f>'HR Track 4 TSA'!J44</f>
        <v>0</v>
      </c>
      <c r="K39" s="452">
        <f>'HR Track 4 TSA'!K44</f>
        <v>0</v>
      </c>
      <c r="L39" s="452" t="str">
        <f>'HR Track 4 TSA'!L44</f>
        <v>2HEB-240</v>
      </c>
      <c r="M39" s="452" t="str">
        <f>'HR Track 4 TSA'!M44</f>
        <v>2C3R</v>
      </c>
      <c r="N39" s="501" t="str">
        <f>'HR Track 4 TSA'!N44</f>
        <v>EMT-1</v>
      </c>
      <c r="O39" s="501" t="str">
        <f>'HR Track 4 TSA'!O44</f>
        <v>EMT-T</v>
      </c>
      <c r="P39" s="501">
        <f>'HR Track 4 TSA'!P44</f>
        <v>0</v>
      </c>
      <c r="Q39" s="452">
        <f>'HR Track 4 TSA'!Q44</f>
        <v>4.8499999999999996</v>
      </c>
      <c r="R39" s="452">
        <f>'HR Track 4 TSA'!R44</f>
        <v>1123.27</v>
      </c>
      <c r="S39" s="500">
        <f>'HR Track 4 TSA'!S44</f>
        <v>0</v>
      </c>
      <c r="T39" s="452">
        <f>'HR Track 4 TSA'!T44</f>
        <v>-25</v>
      </c>
      <c r="U39" s="452">
        <f>'HR Track 4 TSA'!U44</f>
        <v>-40</v>
      </c>
      <c r="V39" s="452">
        <f>'HR Track 4 TSA'!V44</f>
        <v>0</v>
      </c>
      <c r="W39" s="452">
        <f>'HR Track 4 TSA'!W44</f>
        <v>0.9</v>
      </c>
      <c r="X39" s="452">
        <f>'HR Track 4 TSA'!X44</f>
        <v>1.8</v>
      </c>
      <c r="Y39" s="452">
        <f>'HR Track 4 TSA'!Y44</f>
        <v>0</v>
      </c>
      <c r="Z39" s="452">
        <f>'HR Track 4 TSA'!Z44</f>
        <v>0</v>
      </c>
      <c r="AA39" s="452">
        <f>'HR Track 4 TSA'!AA44</f>
        <v>0.25</v>
      </c>
      <c r="AB39" s="452">
        <f>'HR Track 4 TSA'!AB44</f>
        <v>0</v>
      </c>
      <c r="AC39" s="452" t="str">
        <f>'HR Track 4 TSA'!AC44</f>
        <v>PHQ-1150</v>
      </c>
      <c r="AD39" s="452">
        <f>'HR Track 4 TSA'!AD44</f>
        <v>0</v>
      </c>
      <c r="AE39" s="452">
        <f>'HR Track 4 TSA'!AE44</f>
        <v>0</v>
      </c>
      <c r="AF39" s="452">
        <f>'HR Track 4 TSA'!AF44</f>
        <v>5000</v>
      </c>
      <c r="AG39" s="451">
        <f>'HR Track 4 TSA'!AG44</f>
        <v>93427.36</v>
      </c>
      <c r="AH39" s="452">
        <f>'HR Track 4 TSA'!AH44</f>
        <v>2493</v>
      </c>
      <c r="AI39" s="452">
        <f>'HR Track 4 TSA'!AI44</f>
        <v>80</v>
      </c>
      <c r="AJ39" s="452">
        <f>'HR Track 4 TSA'!AJ44</f>
        <v>0</v>
      </c>
      <c r="AK39" s="452">
        <f>'HR Track 4 TSA'!AK44</f>
        <v>0</v>
      </c>
      <c r="AL39" s="452">
        <f>'HR Track 4 TSA'!AL44</f>
        <v>0</v>
      </c>
      <c r="AM39" s="452" t="str">
        <f>'HR Track 4 TSA'!AM44</f>
        <v>RW1</v>
      </c>
      <c r="AN39" s="500">
        <f>'HR Track 4 TSA'!AN44</f>
        <v>5.15</v>
      </c>
      <c r="AO39" s="452">
        <f>'HR Track 4 TSA'!AO44</f>
        <v>0</v>
      </c>
      <c r="AP39" s="452">
        <f>'HR Track 4 TSA'!AP44</f>
        <v>0</v>
      </c>
      <c r="AQ39" s="452">
        <f>'HR Track 4 TSA'!AQ44</f>
        <v>0</v>
      </c>
      <c r="AR39" s="452">
        <f>'HR Track 4 TSA'!AR44</f>
        <v>0</v>
      </c>
      <c r="AS39" s="452">
        <f>'HR Track 4 TSA'!AS44</f>
        <v>0</v>
      </c>
      <c r="AT39" s="452">
        <f>'HR Track 4 TSA'!AT44</f>
        <v>-4.2382771135185058</v>
      </c>
      <c r="AU39" s="452">
        <f>'HR Track 4 TSA'!AU44</f>
        <v>0</v>
      </c>
      <c r="AV39" s="452">
        <f>'HR Track 4 TSA'!AV44</f>
        <v>0</v>
      </c>
      <c r="AW39" s="452" t="str">
        <f>'HR Track 4 TSA'!AW44</f>
        <v>Soil A</v>
      </c>
      <c r="AX39" s="452" t="str">
        <f>'HR Track 4 TSA'!AX44</f>
        <v>PT</v>
      </c>
      <c r="AY39" s="500">
        <f>'HR Track 4 TSA'!AY44</f>
        <v>3.7</v>
      </c>
      <c r="AZ39" s="500">
        <f>'HR Track 4 TSA'!AZ44</f>
        <v>0</v>
      </c>
      <c r="BA39" s="1333" t="str">
        <f>'HR Track 4 TSA'!BA44</f>
        <v>ü</v>
      </c>
      <c r="BB39" s="452" t="str">
        <f>'HR Track 4 TSA'!BB44</f>
        <v>App.7-V11A-P9.5.1.5</v>
      </c>
      <c r="BC39" s="1334">
        <f>'HR Track 4 TSA'!BC44</f>
        <v>0</v>
      </c>
      <c r="BD39" s="1335">
        <f>'HR Track 4 TSA'!BD44</f>
        <v>43750</v>
      </c>
      <c r="BE39" s="1335" t="str">
        <f>'HR Track 4 TSA'!BE44</f>
        <v>Ejecutado</v>
      </c>
      <c r="BF39" s="1335">
        <f>'HR Track 4 TSA'!BF44</f>
        <v>0</v>
      </c>
      <c r="BG39" s="1335">
        <f>'HR Track 4 TSA'!BG44</f>
        <v>43870</v>
      </c>
    </row>
    <row r="40" spans="1:59" ht="15.75" customHeight="1">
      <c r="A40" s="501">
        <f>'HR Track 4 TSA'!A45</f>
        <v>0</v>
      </c>
      <c r="B40" s="716">
        <f>'HR Track 4 TSA'!B45</f>
        <v>0</v>
      </c>
      <c r="C40" s="451">
        <f>'HR Track 4 TSA'!C45</f>
        <v>0</v>
      </c>
      <c r="D40" s="453">
        <f>'HR Track 4 TSA'!D45</f>
        <v>0</v>
      </c>
      <c r="E40" s="452">
        <f>'HR Track 4 TSA'!E45</f>
        <v>0</v>
      </c>
      <c r="F40" s="453">
        <f>'HR Track 4 TSA'!F45</f>
        <v>0</v>
      </c>
      <c r="G40" s="500">
        <f>'HR Track 4 TSA'!G45</f>
        <v>26</v>
      </c>
      <c r="H40" s="453">
        <f>'HR Track 4 TSA'!H45</f>
        <v>0</v>
      </c>
      <c r="I40" s="501">
        <f>'HR Track 4 TSA'!I45</f>
        <v>0</v>
      </c>
      <c r="J40" s="583">
        <f>'HR Track 4 TSA'!J45</f>
        <v>0</v>
      </c>
      <c r="K40" s="452">
        <f>'HR Track 4 TSA'!K45</f>
        <v>0</v>
      </c>
      <c r="L40" s="452">
        <f>'HR Track 4 TSA'!L45</f>
        <v>0</v>
      </c>
      <c r="M40" s="452">
        <f>'HR Track 4 TSA'!M45</f>
        <v>0</v>
      </c>
      <c r="N40" s="501">
        <f>'HR Track 4 TSA'!N45</f>
        <v>0</v>
      </c>
      <c r="O40" s="501">
        <f>'HR Track 4 TSA'!O45</f>
        <v>0</v>
      </c>
      <c r="P40" s="501">
        <f>'HR Track 4 TSA'!P45</f>
        <v>0</v>
      </c>
      <c r="Q40" s="452">
        <f>'HR Track 4 TSA'!Q45</f>
        <v>0</v>
      </c>
      <c r="R40" s="452">
        <f>'HR Track 4 TSA'!R45</f>
        <v>0</v>
      </c>
      <c r="S40" s="500">
        <f>'HR Track 4 TSA'!S45</f>
        <v>23.639999999999418</v>
      </c>
      <c r="T40" s="452">
        <f>'HR Track 4 TSA'!T45</f>
        <v>0</v>
      </c>
      <c r="U40" s="452">
        <f>'HR Track 4 TSA'!U45</f>
        <v>0</v>
      </c>
      <c r="V40" s="452">
        <f>'HR Track 4 TSA'!V45</f>
        <v>0</v>
      </c>
      <c r="W40" s="452">
        <f>'HR Track 4 TSA'!W45</f>
        <v>0</v>
      </c>
      <c r="X40" s="452">
        <f>'HR Track 4 TSA'!X45</f>
        <v>0</v>
      </c>
      <c r="Y40" s="452">
        <f>'HR Track 4 TSA'!Y45</f>
        <v>0</v>
      </c>
      <c r="Z40" s="452">
        <f>'HR Track 4 TSA'!Z45</f>
        <v>0</v>
      </c>
      <c r="AA40" s="452">
        <f>'HR Track 4 TSA'!AA45</f>
        <v>0</v>
      </c>
      <c r="AB40" s="452">
        <f>'HR Track 4 TSA'!AB45</f>
        <v>0</v>
      </c>
      <c r="AC40" s="452">
        <f>'HR Track 4 TSA'!AC45</f>
        <v>0</v>
      </c>
      <c r="AD40" s="452">
        <f>'HR Track 4 TSA'!AD45</f>
        <v>0</v>
      </c>
      <c r="AE40" s="452">
        <f>'HR Track 4 TSA'!AE45</f>
        <v>0</v>
      </c>
      <c r="AF40" s="452">
        <f>'HR Track 4 TSA'!AF45</f>
        <v>0</v>
      </c>
      <c r="AG40" s="451">
        <f>'HR Track 4 TSA'!AG45</f>
        <v>0</v>
      </c>
      <c r="AH40" s="452">
        <f>'HR Track 4 TSA'!AH45</f>
        <v>0</v>
      </c>
      <c r="AI40" s="452">
        <f>'HR Track 4 TSA'!AI45</f>
        <v>0</v>
      </c>
      <c r="AJ40" s="452">
        <f>'HR Track 4 TSA'!AJ45</f>
        <v>0</v>
      </c>
      <c r="AK40" s="452">
        <f>'HR Track 4 TSA'!AK45</f>
        <v>0</v>
      </c>
      <c r="AL40" s="452">
        <f>'HR Track 4 TSA'!AL45</f>
        <v>0</v>
      </c>
      <c r="AM40" s="452">
        <f>'HR Track 4 TSA'!AM45</f>
        <v>0</v>
      </c>
      <c r="AN40" s="500">
        <f>'HR Track 4 TSA'!AN45</f>
        <v>0</v>
      </c>
      <c r="AO40" s="452">
        <f>'HR Track 4 TSA'!AO45</f>
        <v>0</v>
      </c>
      <c r="AP40" s="452">
        <f>'HR Track 4 TSA'!AP45</f>
        <v>0</v>
      </c>
      <c r="AQ40" s="452">
        <f>'HR Track 4 TSA'!AQ45</f>
        <v>-0.13329461149514701</v>
      </c>
      <c r="AR40" s="452">
        <f>'HR Track 4 TSA'!AR45</f>
        <v>0</v>
      </c>
      <c r="AS40" s="452">
        <f>'HR Track 4 TSA'!AS45</f>
        <v>0</v>
      </c>
      <c r="AT40" s="452">
        <f>'HR Track 4 TSA'!AT45</f>
        <v>0</v>
      </c>
      <c r="AU40" s="452">
        <f>'HR Track 4 TSA'!AU45</f>
        <v>0</v>
      </c>
      <c r="AV40" s="452">
        <f>'HR Track 4 TSA'!AV45</f>
        <v>0</v>
      </c>
      <c r="AW40" s="452">
        <f>'HR Track 4 TSA'!AW45</f>
        <v>0</v>
      </c>
      <c r="AX40" s="452">
        <f>'HR Track 4 TSA'!AX45</f>
        <v>0</v>
      </c>
      <c r="AY40" s="500">
        <f>'HR Track 4 TSA'!AY45</f>
        <v>0</v>
      </c>
      <c r="AZ40" s="500" t="str">
        <f>'HR Track 4 TSA'!AZ45</f>
        <v/>
      </c>
      <c r="BA40" s="1333">
        <f>'HR Track 4 TSA'!BA45</f>
        <v>0</v>
      </c>
      <c r="BB40" s="452">
        <f>'HR Track 4 TSA'!BB45</f>
        <v>0</v>
      </c>
      <c r="BC40" s="1334">
        <f>'HR Track 4 TSA'!BC45</f>
        <v>0</v>
      </c>
      <c r="BD40" s="1335">
        <f>'HR Track 4 TSA'!BD45</f>
        <v>0</v>
      </c>
      <c r="BE40" s="1335">
        <f>'HR Track 4 TSA'!BE45</f>
        <v>0</v>
      </c>
      <c r="BF40" s="1335">
        <f>'HR Track 4 TSA'!BF45</f>
        <v>0</v>
      </c>
      <c r="BG40" s="1335">
        <f>'HR Track 4 TSA'!BG45</f>
        <v>0</v>
      </c>
    </row>
    <row r="41" spans="1:59" ht="15.75" customHeight="1">
      <c r="A41" s="501" t="str">
        <f>'HR Track 1 TSA'!A51</f>
        <v>TSA-BF05</v>
      </c>
      <c r="B41" s="716" t="str">
        <f>'HR Track 1 TSA'!B51</f>
        <v>93-1.11</v>
      </c>
      <c r="C41" s="451">
        <f>'HR Track 1 TSA'!C51</f>
        <v>93451.35</v>
      </c>
      <c r="D41" s="453">
        <f>'HR Track 1 TSA'!D51</f>
        <v>0</v>
      </c>
      <c r="E41" s="452">
        <f>'HR Track 1 TSA'!E51</f>
        <v>0</v>
      </c>
      <c r="F41" s="453">
        <f>'HR Track 1 TSA'!F51</f>
        <v>610</v>
      </c>
      <c r="G41" s="500">
        <f>'HR Track 1 TSA'!G51</f>
        <v>0</v>
      </c>
      <c r="H41" s="453" t="str">
        <f>'HR Track 1 TSA'!H51</f>
        <v>S/A</v>
      </c>
      <c r="I41" s="501" t="str">
        <f>'HR Track 1 TSA'!I51</f>
        <v>AnRW 
AnRW</v>
      </c>
      <c r="J41" s="583" t="str">
        <f>'HR Track 1 TSA'!J51</f>
        <v>93+443,45
93+458,45</v>
      </c>
      <c r="K41" s="452" t="str">
        <f>'HR Track 1 TSA'!K51</f>
        <v>AnM-R
AnM-R</v>
      </c>
      <c r="L41" s="452" t="str">
        <f>'HR Track 1 TSA'!L51</f>
        <v>HEB-280L</v>
      </c>
      <c r="M41" s="452" t="str">
        <f>'HR Track 1 TSA'!M51</f>
        <v>WS5</v>
      </c>
      <c r="N41" s="501" t="str">
        <f>'HR Track 1 TSA'!N51</f>
        <v>EMT-2RH</v>
      </c>
      <c r="O41" s="501" t="str">
        <f>'HR Track 1 TSA'!O51</f>
        <v>EMT-TRH</v>
      </c>
      <c r="P41" s="501">
        <f>'HR Track 1 TSA'!P51</f>
        <v>0</v>
      </c>
      <c r="Q41" s="452">
        <f>'HR Track 1 TSA'!Q51</f>
        <v>40</v>
      </c>
      <c r="R41" s="452">
        <f>'HR Track 1 TSA'!R51</f>
        <v>610</v>
      </c>
      <c r="S41" s="500">
        <f>'HR Track 1 TSA'!S51</f>
        <v>0</v>
      </c>
      <c r="T41" s="452">
        <f>'HR Track 1 TSA'!T51</f>
        <v>30</v>
      </c>
      <c r="U41" s="452">
        <f>'HR Track 1 TSA'!U51</f>
        <v>55</v>
      </c>
      <c r="V41" s="452">
        <f>'HR Track 1 TSA'!V51</f>
        <v>0</v>
      </c>
      <c r="W41" s="452">
        <f>'HR Track 1 TSA'!W51</f>
        <v>0.7</v>
      </c>
      <c r="X41" s="452">
        <f>'HR Track 1 TSA'!X51</f>
        <v>0.7</v>
      </c>
      <c r="Y41" s="452">
        <f>'HR Track 1 TSA'!Y51</f>
        <v>0</v>
      </c>
      <c r="Z41" s="452">
        <f>'HR Track 1 TSA'!Z51</f>
        <v>0</v>
      </c>
      <c r="AA41" s="452">
        <f>'HR Track 1 TSA'!AA51</f>
        <v>0.5</v>
      </c>
      <c r="AB41" s="452">
        <f>'HR Track 1 TSA'!AB51</f>
        <v>0</v>
      </c>
      <c r="AC41" s="452" t="str">
        <f>'HR Track 1 TSA'!AC51</f>
        <v>PHC-1150</v>
      </c>
      <c r="AD41" s="452">
        <f>'HR Track 1 TSA'!AD51</f>
        <v>0</v>
      </c>
      <c r="AE41" s="452">
        <f>'HR Track 1 TSA'!AE51</f>
        <v>0</v>
      </c>
      <c r="AF41" s="452">
        <f>'HR Track 1 TSA'!AF51</f>
        <v>5500</v>
      </c>
      <c r="AG41" s="451">
        <f>'HR Track 1 TSA'!AG51</f>
        <v>93451.41</v>
      </c>
      <c r="AH41" s="452">
        <f>'HR Track 1 TSA'!AH51</f>
        <v>2843</v>
      </c>
      <c r="AI41" s="452">
        <f>'HR Track 1 TSA'!AI51</f>
        <v>-350</v>
      </c>
      <c r="AJ41" s="452" t="str">
        <f>'HR Track 1 TSA'!AJ51</f>
        <v>FS-1</v>
      </c>
      <c r="AK41" s="452">
        <f>'HR Track 1 TSA'!AK51</f>
        <v>0</v>
      </c>
      <c r="AL41" s="452" t="str">
        <f>'HR Track 1 TSA'!AL51</f>
        <v>PR1B</v>
      </c>
      <c r="AM41" s="452" t="str">
        <f>'HR Track 1 TSA'!AM51</f>
        <v>RW2</v>
      </c>
      <c r="AN41" s="500">
        <f>'HR Track 1 TSA'!AN51</f>
        <v>5.15</v>
      </c>
      <c r="AO41" s="452">
        <f>'HR Track 1 TSA'!AO51</f>
        <v>0</v>
      </c>
      <c r="AP41" s="452">
        <f>'HR Track 1 TSA'!AP51</f>
        <v>0</v>
      </c>
      <c r="AQ41" s="452">
        <f>'HR Track 1 TSA'!AQ51</f>
        <v>0</v>
      </c>
      <c r="AR41" s="452">
        <f>'HR Track 1 TSA'!AR51</f>
        <v>0</v>
      </c>
      <c r="AS41" s="452">
        <f>'HR Track 1 TSA'!AS51</f>
        <v>0</v>
      </c>
      <c r="AT41" s="452">
        <f>'HR Track 1 TSA'!AT51</f>
        <v>3.5055002231215893</v>
      </c>
      <c r="AU41" s="452">
        <f>'HR Track 1 TSA'!AU51</f>
        <v>0</v>
      </c>
      <c r="AV41" s="452">
        <f>'HR Track 1 TSA'!AV51</f>
        <v>0</v>
      </c>
      <c r="AW41" s="452" t="str">
        <f>'HR Track 1 TSA'!AW51</f>
        <v>DW6927
DW6999</v>
      </c>
      <c r="AX41" s="452">
        <f>'HR Track 1 TSA'!AX51</f>
        <v>0</v>
      </c>
      <c r="AY41" s="500" t="str">
        <f>'HR Track 1 TSA'!AY51</f>
        <v/>
      </c>
      <c r="AZ41" s="500" t="str">
        <f>'HR Track 1 TSA'!AZ51</f>
        <v/>
      </c>
      <c r="BA41" s="1333" t="str">
        <f>'HR Track 1 TSA'!BA51</f>
        <v>ü</v>
      </c>
      <c r="BB41" s="452" t="str">
        <f>'HR Track 1 TSA'!BB51</f>
        <v>App.8-V08F-P10.3</v>
      </c>
      <c r="BC41" s="1334">
        <f>'HR Track 1 TSA'!BC51</f>
        <v>0</v>
      </c>
      <c r="BD41" s="1335">
        <f>'HR Track 1 TSA'!BD51</f>
        <v>43844</v>
      </c>
      <c r="BE41" s="1335">
        <f>'HR Track 1 TSA'!BE51</f>
        <v>43847</v>
      </c>
      <c r="BF41" s="1335">
        <f>'HR Track 1 TSA'!BF51</f>
        <v>43853</v>
      </c>
      <c r="BG41" s="1335">
        <f>'HR Track 4 TSA'!BG46</f>
        <v>43893</v>
      </c>
    </row>
    <row r="42" spans="1:59" ht="15.75" customHeight="1">
      <c r="A42" s="501">
        <f>'HR Track 1 TSA'!A52</f>
        <v>0</v>
      </c>
      <c r="B42" s="716">
        <f>'HR Track 1 TSA'!B52</f>
        <v>0</v>
      </c>
      <c r="C42" s="451">
        <f>'HR Track 1 TSA'!C52</f>
        <v>0</v>
      </c>
      <c r="D42" s="453">
        <f>'HR Track 1 TSA'!D52</f>
        <v>0</v>
      </c>
      <c r="E42" s="452">
        <f>'HR Track 1 TSA'!E52</f>
        <v>0</v>
      </c>
      <c r="F42" s="453">
        <f>'HR Track 1 TSA'!F52</f>
        <v>0</v>
      </c>
      <c r="G42" s="500">
        <f>'HR Track 1 TSA'!G52</f>
        <v>40.700000000000003</v>
      </c>
      <c r="H42" s="453">
        <f>'HR Track 1 TSA'!H52</f>
        <v>0</v>
      </c>
      <c r="I42" s="501">
        <f>'HR Track 1 TSA'!I52</f>
        <v>0</v>
      </c>
      <c r="J42" s="583">
        <f>'HR Track 1 TSA'!J52</f>
        <v>93482.05</v>
      </c>
      <c r="K42" s="452" t="str">
        <f>'HR Track 1 TSA'!K52</f>
        <v>AnMC/Tunnel</v>
      </c>
      <c r="L42" s="452">
        <f>'HR Track 1 TSA'!L52</f>
        <v>0</v>
      </c>
      <c r="M42" s="452">
        <f>'HR Track 1 TSA'!M52</f>
        <v>0</v>
      </c>
      <c r="N42" s="501">
        <f>'HR Track 1 TSA'!N52</f>
        <v>0</v>
      </c>
      <c r="O42" s="501">
        <f>'HR Track 1 TSA'!O52</f>
        <v>0</v>
      </c>
      <c r="P42" s="501">
        <f>'HR Track 1 TSA'!P52</f>
        <v>0</v>
      </c>
      <c r="Q42" s="452">
        <f>'HR Track 1 TSA'!Q52</f>
        <v>0</v>
      </c>
      <c r="R42" s="452">
        <f>'HR Track 1 TSA'!R52</f>
        <v>0</v>
      </c>
      <c r="S42" s="500">
        <f>'HR Track 1 TSA'!S52</f>
        <v>0</v>
      </c>
      <c r="T42" s="452">
        <f>'HR Track 1 TSA'!T52</f>
        <v>0</v>
      </c>
      <c r="U42" s="452">
        <f>'HR Track 1 TSA'!U52</f>
        <v>0</v>
      </c>
      <c r="V42" s="452">
        <f>'HR Track 1 TSA'!V52</f>
        <v>0</v>
      </c>
      <c r="W42" s="452">
        <f>'HR Track 1 TSA'!W52</f>
        <v>0</v>
      </c>
      <c r="X42" s="452">
        <f>'HR Track 1 TSA'!X52</f>
        <v>0</v>
      </c>
      <c r="Y42" s="452">
        <f>'HR Track 1 TSA'!Y52</f>
        <v>0</v>
      </c>
      <c r="Z42" s="452">
        <f>'HR Track 1 TSA'!Z52</f>
        <v>0</v>
      </c>
      <c r="AA42" s="452">
        <f>'HR Track 1 TSA'!AA52</f>
        <v>0</v>
      </c>
      <c r="AB42" s="452">
        <f>'HR Track 1 TSA'!AB52</f>
        <v>0</v>
      </c>
      <c r="AC42" s="452">
        <f>'HR Track 1 TSA'!AC52</f>
        <v>0</v>
      </c>
      <c r="AD42" s="452">
        <f>'HR Track 1 TSA'!AD52</f>
        <v>0</v>
      </c>
      <c r="AE42" s="452">
        <f>'HR Track 1 TSA'!AE52</f>
        <v>0</v>
      </c>
      <c r="AF42" s="452">
        <f>'HR Track 1 TSA'!AF52</f>
        <v>0</v>
      </c>
      <c r="AG42" s="451">
        <f>'HR Track 1 TSA'!AG52</f>
        <v>0</v>
      </c>
      <c r="AH42" s="452">
        <f>'HR Track 1 TSA'!AH52</f>
        <v>0</v>
      </c>
      <c r="AI42" s="452">
        <f>'HR Track 1 TSA'!AI52</f>
        <v>0</v>
      </c>
      <c r="AJ42" s="452">
        <f>'HR Track 1 TSA'!AJ52</f>
        <v>0</v>
      </c>
      <c r="AK42" s="452">
        <f>'HR Track 1 TSA'!AK52</f>
        <v>0</v>
      </c>
      <c r="AL42" s="452">
        <f>'HR Track 1 TSA'!AL52</f>
        <v>0</v>
      </c>
      <c r="AM42" s="452">
        <f>'HR Track 1 TSA'!AM52</f>
        <v>0</v>
      </c>
      <c r="AN42" s="500">
        <f>'HR Track 1 TSA'!AN52</f>
        <v>0</v>
      </c>
      <c r="AO42" s="452">
        <f>'HR Track 1 TSA'!AO52</f>
        <v>0</v>
      </c>
      <c r="AP42" s="452">
        <f>'HR Track 1 TSA'!AP52</f>
        <v>0</v>
      </c>
      <c r="AQ42" s="452">
        <f>'HR Track 1 TSA'!AQ52</f>
        <v>0.3</v>
      </c>
      <c r="AR42" s="452">
        <f>'HR Track 1 TSA'!AR52</f>
        <v>0</v>
      </c>
      <c r="AS42" s="452">
        <f>'HR Track 1 TSA'!AS52</f>
        <v>0</v>
      </c>
      <c r="AT42" s="452">
        <f>'HR Track 1 TSA'!AT52</f>
        <v>0</v>
      </c>
      <c r="AU42" s="452">
        <f>'HR Track 1 TSA'!AU52</f>
        <v>0</v>
      </c>
      <c r="AV42" s="452">
        <f>'HR Track 1 TSA'!AV52</f>
        <v>0</v>
      </c>
      <c r="AW42" s="452">
        <f>'HR Track 1 TSA'!AW52</f>
        <v>0</v>
      </c>
      <c r="AX42" s="452">
        <f>'HR Track 1 TSA'!AX52</f>
        <v>0</v>
      </c>
      <c r="AY42" s="500" t="str">
        <f>'HR Track 1 TSA'!AY52</f>
        <v/>
      </c>
      <c r="AZ42" s="500" t="str">
        <f>'HR Track 1 TSA'!AZ52</f>
        <v/>
      </c>
      <c r="BA42" s="1333">
        <f>'HR Track 1 TSA'!BA52</f>
        <v>0</v>
      </c>
      <c r="BB42" s="452">
        <f>'HR Track 1 TSA'!BB52</f>
        <v>0</v>
      </c>
      <c r="BC42" s="1334">
        <f>'HR Track 1 TSA'!BC52</f>
        <v>0</v>
      </c>
      <c r="BD42" s="1335">
        <f>'HR Track 1 TSA'!BD52</f>
        <v>0</v>
      </c>
      <c r="BE42" s="1335">
        <f>'HR Track 1 TSA'!BE52</f>
        <v>0</v>
      </c>
      <c r="BF42" s="1335">
        <f>'HR Track 1 TSA'!BF52</f>
        <v>0</v>
      </c>
      <c r="BG42" s="1335">
        <f>'HR Track 4 TSA'!BG47</f>
        <v>0</v>
      </c>
    </row>
    <row r="43" spans="1:59" ht="15.75" customHeight="1">
      <c r="A43" s="501" t="str">
        <f>'HR Track 1 TSA'!A53</f>
        <v>Overcrossing</v>
      </c>
      <c r="B43" s="716" t="str">
        <f>'HR Track 1 TSA'!B53</f>
        <v>93-1.12</v>
      </c>
      <c r="C43" s="451">
        <f>'HR Track 1 TSA'!C53</f>
        <v>93492.05</v>
      </c>
      <c r="D43" s="453">
        <f>'HR Track 1 TSA'!D53</f>
        <v>0</v>
      </c>
      <c r="E43" s="452">
        <f>'HR Track 1 TSA'!E53</f>
        <v>0</v>
      </c>
      <c r="F43" s="453">
        <f>'HR Track 1 TSA'!F53</f>
        <v>610</v>
      </c>
      <c r="G43" s="500">
        <f>'HR Track 1 TSA'!G53</f>
        <v>0</v>
      </c>
      <c r="H43" s="453" t="str">
        <f>'HR Track 1 TSA'!H53</f>
        <v xml:space="preserve">A/S-Diag </v>
      </c>
      <c r="I43" s="501" t="str">
        <f>'HR Track 1 TSA'!I53</f>
        <v>CP/TX-W/1350</v>
      </c>
      <c r="J43" s="583">
        <f>'HR Track 1 TSA'!J53</f>
        <v>0</v>
      </c>
      <c r="K43" s="452">
        <f>'HR Track 1 TSA'!K53</f>
        <v>0</v>
      </c>
      <c r="L43" s="452" t="str">
        <f>'HR Track 1 TSA'!L53</f>
        <v>S-1T-W</v>
      </c>
      <c r="M43" s="452">
        <f>'HR Track 1 TSA'!M53</f>
        <v>0</v>
      </c>
      <c r="N43" s="501" t="str">
        <f>'HR Track 1 TSA'!N53</f>
        <v>EMT-2RH</v>
      </c>
      <c r="O43" s="501">
        <f>'HR Track 1 TSA'!O53</f>
        <v>0</v>
      </c>
      <c r="P43" s="501">
        <f>'HR Track 1 TSA'!P53</f>
        <v>0</v>
      </c>
      <c r="Q43" s="452">
        <f>'HR Track 1 TSA'!Q53</f>
        <v>40</v>
      </c>
      <c r="R43" s="452">
        <f>'HR Track 1 TSA'!R53</f>
        <v>610</v>
      </c>
      <c r="S43" s="500">
        <f>'HR Track 1 TSA'!S53</f>
        <v>0</v>
      </c>
      <c r="T43" s="452">
        <f>'HR Track 1 TSA'!T53</f>
        <v>30</v>
      </c>
      <c r="U43" s="452">
        <f>'HR Track 1 TSA'!U53</f>
        <v>0</v>
      </c>
      <c r="V43" s="452">
        <f>'HR Track 1 TSA'!V53</f>
        <v>0</v>
      </c>
      <c r="W43" s="452">
        <f>'HR Track 1 TSA'!W53</f>
        <v>0.4</v>
      </c>
      <c r="X43" s="452">
        <f>'HR Track 1 TSA'!X53</f>
        <v>0</v>
      </c>
      <c r="Y43" s="452">
        <f>'HR Track 1 TSA'!Y53</f>
        <v>0</v>
      </c>
      <c r="Z43" s="452">
        <f>'HR Track 1 TSA'!Z53</f>
        <v>0</v>
      </c>
      <c r="AA43" s="452">
        <f>'HR Track 1 TSA'!AA53</f>
        <v>0</v>
      </c>
      <c r="AB43" s="452">
        <f>'HR Track 1 TSA'!AB53</f>
        <v>0</v>
      </c>
      <c r="AC43" s="452" t="str">
        <f>'HR Track 1 TSA'!AC53</f>
        <v>PH-1150</v>
      </c>
      <c r="AD43" s="452">
        <f>'HR Track 1 TSA'!AD53</f>
        <v>0</v>
      </c>
      <c r="AE43" s="452">
        <f>'HR Track 1 TSA'!AE53</f>
        <v>0</v>
      </c>
      <c r="AF43" s="452">
        <f>'HR Track 1 TSA'!AF53</f>
        <v>1100</v>
      </c>
      <c r="AG43" s="451">
        <f>'HR Track 1 TSA'!AG53</f>
        <v>93493.57</v>
      </c>
      <c r="AH43" s="452">
        <f>'HR Track 1 TSA'!AH53</f>
        <v>2093</v>
      </c>
      <c r="AI43" s="452">
        <f>'HR Track 1 TSA'!AI53</f>
        <v>-3580</v>
      </c>
      <c r="AJ43" s="452">
        <f>'HR Track 1 TSA'!AJ53</f>
        <v>0</v>
      </c>
      <c r="AK43" s="452">
        <f>'HR Track 1 TSA'!AK53</f>
        <v>0</v>
      </c>
      <c r="AL43" s="452">
        <f>'HR Track 1 TSA'!AL53</f>
        <v>0</v>
      </c>
      <c r="AM43" s="452" t="str">
        <f>'HR Track 1 TSA'!AM53</f>
        <v>RW2T-C</v>
      </c>
      <c r="AN43" s="500">
        <f>'HR Track 1 TSA'!AN53</f>
        <v>5.15</v>
      </c>
      <c r="AO43" s="452">
        <f>'HR Track 1 TSA'!AO53</f>
        <v>0</v>
      </c>
      <c r="AP43" s="452">
        <f>'HR Track 1 TSA'!AP53</f>
        <v>0</v>
      </c>
      <c r="AQ43" s="452">
        <f>'HR Track 1 TSA'!AQ53</f>
        <v>0</v>
      </c>
      <c r="AR43" s="452">
        <f>'HR Track 1 TSA'!AR53</f>
        <v>0</v>
      </c>
      <c r="AS43" s="452">
        <f>'HR Track 1 TSA'!AS53</f>
        <v>0</v>
      </c>
      <c r="AT43" s="452">
        <f>'HR Track 1 TSA'!AT53</f>
        <v>2.8561063439800658</v>
      </c>
      <c r="AU43" s="452">
        <f>'HR Track 1 TSA'!AU53</f>
        <v>0</v>
      </c>
      <c r="AV43" s="452">
        <f>'HR Track 1 TSA'!AV53</f>
        <v>0</v>
      </c>
      <c r="AW43" s="452" t="str">
        <f>'HR Track 1 TSA'!AW53</f>
        <v>DW6999</v>
      </c>
      <c r="AX43" s="452">
        <f>'HR Track 1 TSA'!AX53</f>
        <v>0</v>
      </c>
      <c r="AY43" s="500">
        <f>'HR Track 1 TSA'!AY53</f>
        <v>0</v>
      </c>
      <c r="AZ43" s="500">
        <f>'HR Track 1 TSA'!AZ53</f>
        <v>0</v>
      </c>
      <c r="BA43" s="1333">
        <f>'HR Track 1 TSA'!BA53</f>
        <v>0</v>
      </c>
      <c r="BB43" s="452">
        <f>'HR Track 1 TSA'!BB53</f>
        <v>0</v>
      </c>
      <c r="BC43" s="1334">
        <f>'HR Track 1 TSA'!BC53</f>
        <v>0</v>
      </c>
      <c r="BD43" s="1335" t="str">
        <f>'HR Track 1 TSA'!BD53</f>
        <v>Ejecutado</v>
      </c>
      <c r="BE43" s="1335" t="str">
        <f>'HR Track 1 TSA'!BE53</f>
        <v>Ejecutado</v>
      </c>
      <c r="BF43" s="1335">
        <f>'HR Track 1 TSA'!BF53</f>
        <v>0</v>
      </c>
      <c r="BG43" s="1335">
        <f>'HR Track 4 TSA'!BG48</f>
        <v>43808</v>
      </c>
    </row>
    <row r="44" spans="1:59" ht="15.75" customHeight="1">
      <c r="S44" s="454"/>
      <c r="AN44" s="458"/>
      <c r="BA44" s="1305"/>
      <c r="BC44" s="169"/>
    </row>
    <row r="45" spans="1:59" ht="15.75" customHeight="1">
      <c r="S45" s="454"/>
      <c r="AN45" s="458"/>
      <c r="BA45" s="1305"/>
      <c r="BC45" s="169"/>
    </row>
    <row r="46" spans="1:59" ht="15.75" customHeight="1">
      <c r="S46" s="454"/>
      <c r="AN46" s="458"/>
      <c r="BA46" s="1305"/>
      <c r="BC46" s="169"/>
    </row>
    <row r="47" spans="1:59" ht="15.75" customHeight="1">
      <c r="S47" s="454"/>
      <c r="AN47" s="458"/>
      <c r="BA47" s="1305"/>
      <c r="BC47" s="169"/>
    </row>
    <row r="48" spans="1:59" ht="15.75" customHeight="1">
      <c r="S48" s="454"/>
      <c r="AN48" s="458"/>
      <c r="BA48" s="1305"/>
      <c r="BC48" s="169"/>
    </row>
    <row r="49" spans="19:55" ht="15.75" customHeight="1">
      <c r="S49" s="454"/>
      <c r="AN49" s="458"/>
      <c r="BA49" s="1305"/>
      <c r="BC49" s="169"/>
    </row>
    <row r="50" spans="19:55" ht="15.75" customHeight="1">
      <c r="S50" s="454"/>
      <c r="AN50" s="458"/>
      <c r="BA50" s="1305"/>
      <c r="BC50" s="169"/>
    </row>
    <row r="51" spans="19:55" ht="15.75" customHeight="1">
      <c r="S51" s="454"/>
      <c r="AN51" s="458"/>
      <c r="BA51" s="1305"/>
      <c r="BC51" s="169"/>
    </row>
    <row r="52" spans="19:55" ht="15.75" customHeight="1">
      <c r="S52" s="454"/>
      <c r="AN52" s="458"/>
      <c r="BA52" s="1305"/>
      <c r="BC52" s="169"/>
    </row>
    <row r="53" spans="19:55" ht="15.75" customHeight="1">
      <c r="S53" s="454"/>
      <c r="AN53" s="458"/>
      <c r="BA53" s="1305"/>
      <c r="BC53" s="169"/>
    </row>
    <row r="54" spans="19:55" ht="15.75" customHeight="1">
      <c r="S54" s="454"/>
      <c r="AN54" s="458"/>
      <c r="BA54" s="1305"/>
      <c r="BC54" s="169"/>
    </row>
    <row r="55" spans="19:55" ht="15.75" customHeight="1">
      <c r="S55" s="454"/>
      <c r="AN55" s="458"/>
      <c r="BA55" s="1305"/>
      <c r="BC55" s="169"/>
    </row>
    <row r="56" spans="19:55" ht="15.75" customHeight="1">
      <c r="S56" s="454"/>
      <c r="AN56" s="458"/>
      <c r="BA56" s="1305"/>
      <c r="BC56" s="169"/>
    </row>
    <row r="57" spans="19:55" ht="15.75" customHeight="1">
      <c r="S57" s="454"/>
      <c r="AN57" s="458"/>
      <c r="BA57" s="1305"/>
      <c r="BC57" s="169"/>
    </row>
    <row r="58" spans="19:55" ht="15.75" customHeight="1">
      <c r="S58" s="454"/>
      <c r="AN58" s="458"/>
      <c r="BA58" s="1305"/>
      <c r="BC58" s="169"/>
    </row>
    <row r="59" spans="19:55" ht="15.75" customHeight="1">
      <c r="S59" s="454"/>
      <c r="AN59" s="458"/>
      <c r="BA59" s="1305"/>
      <c r="BC59" s="169"/>
    </row>
    <row r="60" spans="19:55" ht="15.75" customHeight="1">
      <c r="S60" s="454"/>
      <c r="AN60" s="458"/>
      <c r="BA60" s="1305"/>
      <c r="BC60" s="169"/>
    </row>
    <row r="61" spans="19:55" ht="15.75" customHeight="1">
      <c r="S61" s="454"/>
      <c r="AN61" s="458"/>
      <c r="BA61" s="1305"/>
      <c r="BC61" s="169"/>
    </row>
    <row r="62" spans="19:55" ht="15.75" customHeight="1">
      <c r="S62" s="454"/>
      <c r="AN62" s="458"/>
      <c r="BA62" s="1305"/>
      <c r="BC62" s="169"/>
    </row>
    <row r="63" spans="19:55" ht="15.75" customHeight="1">
      <c r="S63" s="454"/>
      <c r="AN63" s="458"/>
      <c r="BA63" s="1305"/>
      <c r="BC63" s="169"/>
    </row>
    <row r="64" spans="19:55" ht="15.75" customHeight="1">
      <c r="S64" s="454"/>
      <c r="AN64" s="458"/>
      <c r="BA64" s="1305"/>
      <c r="BC64" s="169"/>
    </row>
    <row r="65" spans="19:55" ht="15.75" customHeight="1">
      <c r="S65" s="454"/>
      <c r="AN65" s="458"/>
      <c r="BA65" s="1305"/>
      <c r="BC65" s="169"/>
    </row>
    <row r="66" spans="19:55" ht="15.75" customHeight="1">
      <c r="S66" s="454"/>
      <c r="AN66" s="458"/>
      <c r="BA66" s="1305"/>
      <c r="BC66" s="169"/>
    </row>
    <row r="67" spans="19:55" ht="15.75" customHeight="1">
      <c r="S67" s="454"/>
      <c r="AN67" s="458"/>
      <c r="BA67" s="1305"/>
      <c r="BC67" s="169"/>
    </row>
    <row r="68" spans="19:55" ht="15.75" customHeight="1">
      <c r="S68" s="454"/>
      <c r="AN68" s="458"/>
      <c r="BA68" s="1305"/>
      <c r="BC68" s="169"/>
    </row>
    <row r="69" spans="19:55" ht="15.75" customHeight="1">
      <c r="S69" s="454"/>
      <c r="AN69" s="458"/>
      <c r="BA69" s="1305"/>
      <c r="BC69" s="169"/>
    </row>
    <row r="70" spans="19:55" ht="15.75" customHeight="1">
      <c r="S70" s="454"/>
      <c r="AN70" s="458"/>
      <c r="BA70" s="1305"/>
      <c r="BC70" s="169"/>
    </row>
    <row r="71" spans="19:55" ht="15.75" customHeight="1">
      <c r="S71" s="454"/>
      <c r="AN71" s="458"/>
      <c r="BA71" s="1305"/>
      <c r="BC71" s="169"/>
    </row>
    <row r="72" spans="19:55" ht="15.75" customHeight="1">
      <c r="S72" s="454"/>
      <c r="AN72" s="458"/>
      <c r="BA72" s="1305"/>
      <c r="BC72" s="169"/>
    </row>
    <row r="73" spans="19:55" ht="15.75" customHeight="1">
      <c r="S73" s="454"/>
      <c r="AN73" s="458"/>
      <c r="BA73" s="1305"/>
      <c r="BC73" s="169"/>
    </row>
    <row r="74" spans="19:55" ht="15.75" customHeight="1">
      <c r="S74" s="454"/>
      <c r="AN74" s="458"/>
      <c r="BA74" s="1305"/>
      <c r="BC74" s="169"/>
    </row>
    <row r="75" spans="19:55" ht="15.75" customHeight="1">
      <c r="S75" s="454"/>
      <c r="AN75" s="458"/>
      <c r="BA75" s="1305"/>
      <c r="BC75" s="169"/>
    </row>
    <row r="76" spans="19:55" ht="15.75" customHeight="1">
      <c r="S76" s="454"/>
      <c r="AN76" s="458"/>
      <c r="BA76" s="1305"/>
      <c r="BC76" s="169"/>
    </row>
    <row r="77" spans="19:55" ht="15.75" customHeight="1">
      <c r="S77" s="454"/>
      <c r="AN77" s="458"/>
      <c r="BA77" s="1305"/>
      <c r="BC77" s="169"/>
    </row>
    <row r="78" spans="19:55" ht="15.75" customHeight="1">
      <c r="S78" s="454"/>
      <c r="AN78" s="458"/>
      <c r="BA78" s="1305"/>
      <c r="BC78" s="169"/>
    </row>
    <row r="79" spans="19:55" ht="15.75" customHeight="1">
      <c r="S79" s="454"/>
      <c r="AN79" s="458"/>
      <c r="BA79" s="1305"/>
      <c r="BC79" s="169"/>
    </row>
    <row r="80" spans="19:55" ht="15.75" customHeight="1">
      <c r="S80" s="454"/>
      <c r="AN80" s="458"/>
      <c r="BA80" s="1305"/>
      <c r="BC80" s="169"/>
    </row>
    <row r="81" spans="19:55" ht="15.75" customHeight="1">
      <c r="S81" s="454"/>
      <c r="AN81" s="458"/>
      <c r="BA81" s="1305"/>
      <c r="BC81" s="169"/>
    </row>
    <row r="82" spans="19:55" ht="15.75" customHeight="1">
      <c r="S82" s="454"/>
      <c r="AN82" s="458"/>
      <c r="BA82" s="1305"/>
      <c r="BC82" s="169"/>
    </row>
    <row r="83" spans="19:55" ht="15.75" customHeight="1">
      <c r="S83" s="454"/>
      <c r="AN83" s="458"/>
      <c r="BA83" s="1305"/>
      <c r="BC83" s="169"/>
    </row>
    <row r="84" spans="19:55" ht="15.75" customHeight="1">
      <c r="S84" s="454"/>
      <c r="AN84" s="458"/>
      <c r="BA84" s="1305"/>
      <c r="BC84" s="169"/>
    </row>
    <row r="85" spans="19:55" ht="15.75" customHeight="1">
      <c r="S85" s="454"/>
      <c r="AN85" s="458"/>
      <c r="BA85" s="1305"/>
      <c r="BC85" s="169"/>
    </row>
    <row r="86" spans="19:55" ht="15.75" customHeight="1">
      <c r="S86" s="454"/>
      <c r="AN86" s="458"/>
      <c r="BA86" s="1305"/>
      <c r="BC86" s="169"/>
    </row>
    <row r="87" spans="19:55" ht="15.75" customHeight="1">
      <c r="S87" s="454"/>
      <c r="AN87" s="458"/>
      <c r="BA87" s="1305"/>
      <c r="BC87" s="169"/>
    </row>
    <row r="88" spans="19:55" ht="15.75" customHeight="1">
      <c r="S88" s="454"/>
      <c r="AN88" s="458"/>
      <c r="BA88" s="1305"/>
      <c r="BC88" s="169"/>
    </row>
    <row r="89" spans="19:55" ht="15.75" customHeight="1">
      <c r="S89" s="454"/>
      <c r="AN89" s="458"/>
      <c r="BA89" s="1305"/>
      <c r="BC89" s="169"/>
    </row>
    <row r="90" spans="19:55" ht="15.75" customHeight="1">
      <c r="S90" s="454"/>
      <c r="AN90" s="458"/>
      <c r="BA90" s="1305"/>
      <c r="BC90" s="169"/>
    </row>
    <row r="91" spans="19:55" ht="15.75" customHeight="1">
      <c r="S91" s="454"/>
      <c r="AN91" s="458"/>
      <c r="BA91" s="1305"/>
      <c r="BC91" s="169"/>
    </row>
    <row r="92" spans="19:55" ht="15.75" customHeight="1">
      <c r="S92" s="454"/>
      <c r="AN92" s="458"/>
      <c r="BA92" s="1305"/>
      <c r="BC92" s="169"/>
    </row>
    <row r="93" spans="19:55" ht="15.75" customHeight="1">
      <c r="S93" s="454"/>
      <c r="AN93" s="458"/>
      <c r="BA93" s="1305"/>
      <c r="BC93" s="169"/>
    </row>
    <row r="94" spans="19:55" ht="15.75" customHeight="1">
      <c r="S94" s="454"/>
      <c r="AN94" s="458"/>
      <c r="BA94" s="1305"/>
      <c r="BC94" s="169"/>
    </row>
    <row r="95" spans="19:55" ht="15.75" customHeight="1">
      <c r="S95" s="454"/>
      <c r="AN95" s="458"/>
      <c r="BA95" s="1305"/>
      <c r="BC95" s="169"/>
    </row>
    <row r="96" spans="19:55" ht="15.75" customHeight="1">
      <c r="S96" s="454"/>
      <c r="AN96" s="458"/>
      <c r="BA96" s="1305"/>
      <c r="BC96" s="169"/>
    </row>
    <row r="97" spans="19:55" ht="15.75" customHeight="1">
      <c r="S97" s="454"/>
      <c r="AN97" s="458"/>
      <c r="BA97" s="1305"/>
      <c r="BC97" s="169"/>
    </row>
    <row r="98" spans="19:55" ht="15.75" customHeight="1">
      <c r="S98" s="454"/>
      <c r="AN98" s="458"/>
      <c r="BA98" s="1305"/>
      <c r="BC98" s="169"/>
    </row>
    <row r="99" spans="19:55" ht="15.75" customHeight="1">
      <c r="S99" s="454"/>
      <c r="AN99" s="458"/>
      <c r="BA99" s="1305"/>
      <c r="BC99" s="169"/>
    </row>
    <row r="100" spans="19:55" ht="15.75" customHeight="1">
      <c r="S100" s="454"/>
      <c r="AN100" s="458"/>
      <c r="BA100" s="1305"/>
      <c r="BC100" s="169"/>
    </row>
    <row r="101" spans="19:55" ht="15.75" customHeight="1">
      <c r="S101" s="454"/>
      <c r="AN101" s="458"/>
      <c r="BA101" s="1305"/>
      <c r="BC101" s="169"/>
    </row>
    <row r="102" spans="19:55" ht="15.75" customHeight="1">
      <c r="S102" s="454"/>
      <c r="AN102" s="458"/>
      <c r="BA102" s="1305"/>
      <c r="BC102" s="169"/>
    </row>
    <row r="103" spans="19:55" ht="15.75" customHeight="1">
      <c r="S103" s="454"/>
      <c r="AN103" s="458"/>
      <c r="BA103" s="1305"/>
      <c r="BC103" s="169"/>
    </row>
    <row r="104" spans="19:55" ht="15.75" customHeight="1">
      <c r="S104" s="454"/>
      <c r="AN104" s="458"/>
      <c r="BA104" s="1305"/>
      <c r="BC104" s="169"/>
    </row>
    <row r="105" spans="19:55" ht="15.75" customHeight="1">
      <c r="S105" s="454"/>
      <c r="AN105" s="458"/>
      <c r="BA105" s="1305"/>
      <c r="BC105" s="169"/>
    </row>
    <row r="106" spans="19:55" ht="15.75" customHeight="1">
      <c r="S106" s="454"/>
      <c r="AN106" s="458"/>
      <c r="BA106" s="1305"/>
      <c r="BC106" s="169"/>
    </row>
    <row r="107" spans="19:55" ht="15.75" customHeight="1">
      <c r="S107" s="454"/>
      <c r="AN107" s="458"/>
      <c r="BA107" s="1305"/>
      <c r="BC107" s="169"/>
    </row>
    <row r="108" spans="19:55" ht="15.75" customHeight="1">
      <c r="S108" s="454"/>
      <c r="AN108" s="458"/>
      <c r="BA108" s="1305"/>
      <c r="BC108" s="169"/>
    </row>
    <row r="109" spans="19:55" ht="15.75" customHeight="1">
      <c r="S109" s="454"/>
      <c r="AN109" s="458"/>
      <c r="BA109" s="1305"/>
      <c r="BC109" s="169"/>
    </row>
    <row r="110" spans="19:55" ht="15.75" customHeight="1">
      <c r="S110" s="454"/>
      <c r="AN110" s="458"/>
      <c r="BA110" s="1305"/>
      <c r="BC110" s="169"/>
    </row>
    <row r="111" spans="19:55" ht="15.75" customHeight="1">
      <c r="S111" s="454"/>
      <c r="AN111" s="458"/>
      <c r="BA111" s="1305"/>
      <c r="BC111" s="169"/>
    </row>
    <row r="112" spans="19:55" ht="15.75" customHeight="1">
      <c r="S112" s="454"/>
      <c r="AN112" s="458"/>
      <c r="BA112" s="1305"/>
      <c r="BC112" s="169"/>
    </row>
    <row r="113" spans="19:55" ht="15.75" customHeight="1">
      <c r="S113" s="454"/>
      <c r="AN113" s="458"/>
      <c r="BA113" s="1305"/>
      <c r="BC113" s="169"/>
    </row>
    <row r="114" spans="19:55" ht="15.75" customHeight="1">
      <c r="S114" s="454"/>
      <c r="AN114" s="458"/>
      <c r="BA114" s="1305"/>
      <c r="BC114" s="169"/>
    </row>
    <row r="115" spans="19:55" ht="15.75" customHeight="1">
      <c r="S115" s="454"/>
      <c r="AN115" s="458"/>
      <c r="BA115" s="1305"/>
      <c r="BC115" s="169"/>
    </row>
    <row r="116" spans="19:55" ht="15.75" customHeight="1">
      <c r="S116" s="454"/>
      <c r="AN116" s="458"/>
      <c r="BA116" s="1305"/>
      <c r="BC116" s="169"/>
    </row>
    <row r="117" spans="19:55" ht="15.75" customHeight="1">
      <c r="S117" s="454"/>
      <c r="AN117" s="458"/>
      <c r="BA117" s="1305"/>
      <c r="BC117" s="169"/>
    </row>
    <row r="118" spans="19:55" ht="15.75" customHeight="1">
      <c r="S118" s="454"/>
      <c r="AN118" s="458"/>
      <c r="BA118" s="1305"/>
      <c r="BC118" s="169"/>
    </row>
    <row r="119" spans="19:55" ht="15.75" customHeight="1">
      <c r="S119" s="454"/>
      <c r="AN119" s="458"/>
      <c r="BA119" s="1305"/>
      <c r="BC119" s="169"/>
    </row>
    <row r="120" spans="19:55" ht="15.75" customHeight="1">
      <c r="S120" s="454"/>
      <c r="AN120" s="458"/>
      <c r="BA120" s="1305"/>
      <c r="BC120" s="169"/>
    </row>
    <row r="121" spans="19:55" ht="15.75" customHeight="1">
      <c r="S121" s="454"/>
      <c r="AN121" s="458"/>
      <c r="BA121" s="1305"/>
      <c r="BC121" s="169"/>
    </row>
    <row r="122" spans="19:55" ht="15.75" customHeight="1">
      <c r="S122" s="454"/>
      <c r="AN122" s="458"/>
      <c r="BA122" s="1305"/>
      <c r="BC122" s="169"/>
    </row>
    <row r="123" spans="19:55" ht="15.75" customHeight="1">
      <c r="S123" s="454"/>
      <c r="AN123" s="458"/>
      <c r="BA123" s="1305"/>
      <c r="BC123" s="169"/>
    </row>
    <row r="124" spans="19:55" ht="15.75" customHeight="1">
      <c r="S124" s="454"/>
      <c r="AN124" s="458"/>
      <c r="BA124" s="1305"/>
      <c r="BC124" s="169"/>
    </row>
    <row r="125" spans="19:55" ht="15.75" customHeight="1">
      <c r="S125" s="454"/>
      <c r="AN125" s="458"/>
      <c r="BA125" s="1305"/>
      <c r="BC125" s="169"/>
    </row>
    <row r="126" spans="19:55" ht="15.75" customHeight="1">
      <c r="S126" s="454"/>
      <c r="AN126" s="458"/>
      <c r="BA126" s="1305"/>
      <c r="BC126" s="169"/>
    </row>
    <row r="127" spans="19:55" ht="15.75" customHeight="1">
      <c r="S127" s="454"/>
      <c r="AN127" s="458"/>
      <c r="BA127" s="1305"/>
      <c r="BC127" s="169"/>
    </row>
    <row r="128" spans="19:55" ht="15.75" customHeight="1">
      <c r="S128" s="454"/>
      <c r="AN128" s="458"/>
      <c r="BA128" s="1305"/>
      <c r="BC128" s="169"/>
    </row>
    <row r="129" spans="19:55" ht="15.75" customHeight="1">
      <c r="S129" s="454"/>
      <c r="AN129" s="458"/>
      <c r="BA129" s="1305"/>
      <c r="BC129" s="169"/>
    </row>
    <row r="130" spans="19:55" ht="15.75" customHeight="1">
      <c r="S130" s="454"/>
      <c r="AN130" s="458"/>
      <c r="BA130" s="1305"/>
      <c r="BC130" s="169"/>
    </row>
    <row r="131" spans="19:55" ht="15.75" customHeight="1">
      <c r="S131" s="454"/>
      <c r="AN131" s="458"/>
      <c r="BA131" s="1305"/>
      <c r="BC131" s="169"/>
    </row>
    <row r="132" spans="19:55" ht="15.75" customHeight="1">
      <c r="S132" s="454"/>
      <c r="AN132" s="458"/>
      <c r="BA132" s="1305"/>
      <c r="BC132" s="169"/>
    </row>
    <row r="133" spans="19:55" ht="15.75" customHeight="1">
      <c r="S133" s="454"/>
      <c r="AN133" s="458"/>
      <c r="BA133" s="1305"/>
      <c r="BC133" s="169"/>
    </row>
    <row r="134" spans="19:55" ht="15.75" customHeight="1">
      <c r="S134" s="454"/>
      <c r="AN134" s="458"/>
      <c r="BA134" s="1305"/>
      <c r="BC134" s="169"/>
    </row>
    <row r="135" spans="19:55" ht="15.75" customHeight="1">
      <c r="S135" s="454"/>
      <c r="AN135" s="458"/>
      <c r="BA135" s="1305"/>
      <c r="BC135" s="169"/>
    </row>
    <row r="136" spans="19:55" ht="15.75" customHeight="1">
      <c r="S136" s="454"/>
      <c r="AN136" s="458"/>
      <c r="BA136" s="1305"/>
      <c r="BC136" s="169"/>
    </row>
    <row r="137" spans="19:55" ht="15.75" customHeight="1">
      <c r="S137" s="454"/>
      <c r="AN137" s="458"/>
      <c r="BA137" s="1305"/>
      <c r="BC137" s="169"/>
    </row>
    <row r="138" spans="19:55" ht="15.75" customHeight="1">
      <c r="S138" s="454"/>
      <c r="AN138" s="458"/>
      <c r="BA138" s="1305"/>
      <c r="BC138" s="169"/>
    </row>
    <row r="139" spans="19:55" ht="15.75" customHeight="1">
      <c r="S139" s="454"/>
      <c r="AN139" s="458"/>
      <c r="BA139" s="1305"/>
      <c r="BC139" s="169"/>
    </row>
    <row r="140" spans="19:55" ht="15.75" customHeight="1">
      <c r="S140" s="454"/>
      <c r="AN140" s="458"/>
      <c r="BA140" s="1305"/>
      <c r="BC140" s="169"/>
    </row>
    <row r="141" spans="19:55" ht="15.75" customHeight="1">
      <c r="S141" s="454"/>
      <c r="AN141" s="458"/>
      <c r="BA141" s="1305"/>
      <c r="BC141" s="169"/>
    </row>
    <row r="142" spans="19:55" ht="15.75" customHeight="1">
      <c r="S142" s="454"/>
      <c r="AN142" s="458"/>
      <c r="BA142" s="1305"/>
      <c r="BC142" s="169"/>
    </row>
    <row r="143" spans="19:55" ht="15.75" customHeight="1">
      <c r="S143" s="454"/>
      <c r="AN143" s="458"/>
      <c r="BA143" s="1305"/>
      <c r="BC143" s="169"/>
    </row>
    <row r="144" spans="19:55" ht="15.75" customHeight="1">
      <c r="S144" s="454"/>
      <c r="AN144" s="458"/>
      <c r="BA144" s="1305"/>
      <c r="BC144" s="169"/>
    </row>
    <row r="145" spans="19:55" ht="15.75" customHeight="1">
      <c r="S145" s="454"/>
      <c r="AN145" s="458"/>
      <c r="BA145" s="1305"/>
      <c r="BC145" s="169"/>
    </row>
    <row r="146" spans="19:55" ht="15.75" customHeight="1">
      <c r="S146" s="454"/>
      <c r="AN146" s="458"/>
      <c r="BA146" s="1305"/>
      <c r="BC146" s="169"/>
    </row>
    <row r="147" spans="19:55" ht="15.75" customHeight="1">
      <c r="S147" s="454"/>
      <c r="AN147" s="458"/>
      <c r="BA147" s="1305"/>
      <c r="BC147" s="169"/>
    </row>
    <row r="148" spans="19:55" ht="15.75" customHeight="1">
      <c r="S148" s="454"/>
      <c r="AN148" s="458"/>
      <c r="BA148" s="1305"/>
      <c r="BC148" s="169"/>
    </row>
    <row r="149" spans="19:55" ht="15.75" customHeight="1">
      <c r="S149" s="454"/>
      <c r="AN149" s="458"/>
      <c r="BA149" s="1305"/>
      <c r="BC149" s="169"/>
    </row>
    <row r="150" spans="19:55" ht="15.75" customHeight="1">
      <c r="S150" s="454"/>
      <c r="AN150" s="458"/>
      <c r="BA150" s="1305"/>
      <c r="BC150" s="169"/>
    </row>
    <row r="151" spans="19:55" ht="15.75" customHeight="1">
      <c r="S151" s="454"/>
      <c r="AN151" s="458"/>
      <c r="BA151" s="1305"/>
      <c r="BC151" s="169"/>
    </row>
    <row r="152" spans="19:55" ht="15.75" customHeight="1">
      <c r="S152" s="454"/>
      <c r="AN152" s="458"/>
      <c r="BA152" s="1305"/>
      <c r="BC152" s="169"/>
    </row>
    <row r="153" spans="19:55" ht="15.75" customHeight="1">
      <c r="S153" s="454"/>
      <c r="AN153" s="458"/>
      <c r="BA153" s="1305"/>
      <c r="BC153" s="169"/>
    </row>
    <row r="154" spans="19:55" ht="15.75" customHeight="1">
      <c r="S154" s="454"/>
      <c r="AN154" s="458"/>
      <c r="BA154" s="1305"/>
      <c r="BC154" s="169"/>
    </row>
    <row r="155" spans="19:55" ht="15.75" customHeight="1">
      <c r="S155" s="454"/>
      <c r="AN155" s="458"/>
      <c r="BA155" s="1305"/>
      <c r="BC155" s="169"/>
    </row>
    <row r="156" spans="19:55" ht="15.75" customHeight="1">
      <c r="S156" s="454"/>
      <c r="AN156" s="458"/>
      <c r="BA156" s="1305"/>
      <c r="BC156" s="169"/>
    </row>
    <row r="157" spans="19:55" ht="15.75" customHeight="1">
      <c r="S157" s="454"/>
      <c r="AN157" s="458"/>
      <c r="BA157" s="1305"/>
      <c r="BC157" s="169"/>
    </row>
    <row r="158" spans="19:55" ht="15.75" customHeight="1">
      <c r="S158" s="454"/>
      <c r="AN158" s="458"/>
      <c r="BA158" s="1305"/>
      <c r="BC158" s="169"/>
    </row>
    <row r="159" spans="19:55" ht="15.75" customHeight="1">
      <c r="S159" s="454"/>
      <c r="AN159" s="458"/>
      <c r="BA159" s="1305"/>
      <c r="BC159" s="169"/>
    </row>
    <row r="160" spans="19:55" ht="15.75" customHeight="1">
      <c r="S160" s="454"/>
      <c r="AN160" s="458"/>
      <c r="BA160" s="1305"/>
      <c r="BC160" s="169"/>
    </row>
    <row r="161" spans="19:55" ht="15.75" customHeight="1">
      <c r="S161" s="454"/>
      <c r="AN161" s="458"/>
      <c r="BA161" s="1305"/>
      <c r="BC161" s="169"/>
    </row>
    <row r="162" spans="19:55" ht="15.75" customHeight="1">
      <c r="S162" s="454"/>
      <c r="AN162" s="458"/>
      <c r="BA162" s="1305"/>
      <c r="BC162" s="169"/>
    </row>
    <row r="163" spans="19:55" ht="15.75" customHeight="1">
      <c r="S163" s="454"/>
      <c r="AN163" s="458"/>
      <c r="BA163" s="1305"/>
      <c r="BC163" s="169"/>
    </row>
    <row r="164" spans="19:55" ht="15.75" customHeight="1">
      <c r="S164" s="454"/>
      <c r="AN164" s="458"/>
      <c r="BA164" s="1305"/>
      <c r="BC164" s="169"/>
    </row>
    <row r="165" spans="19:55" ht="15.75" customHeight="1">
      <c r="S165" s="454"/>
      <c r="AN165" s="458"/>
      <c r="BA165" s="1305"/>
      <c r="BC165" s="169"/>
    </row>
    <row r="166" spans="19:55" ht="15.75" customHeight="1">
      <c r="S166" s="454"/>
      <c r="AN166" s="458"/>
      <c r="BA166" s="1305"/>
      <c r="BC166" s="169"/>
    </row>
    <row r="167" spans="19:55" ht="15.75" customHeight="1">
      <c r="S167" s="454"/>
      <c r="AN167" s="458"/>
      <c r="BA167" s="1305"/>
      <c r="BC167" s="169"/>
    </row>
    <row r="168" spans="19:55" ht="15.75" customHeight="1">
      <c r="S168" s="454"/>
      <c r="AN168" s="458"/>
      <c r="BA168" s="1305"/>
      <c r="BC168" s="169"/>
    </row>
    <row r="169" spans="19:55" ht="15.75" customHeight="1">
      <c r="S169" s="454"/>
      <c r="AN169" s="458"/>
      <c r="BA169" s="1305"/>
      <c r="BC169" s="169"/>
    </row>
    <row r="170" spans="19:55" ht="15.75" customHeight="1">
      <c r="S170" s="454"/>
      <c r="AN170" s="458"/>
      <c r="BA170" s="1305"/>
      <c r="BC170" s="169"/>
    </row>
    <row r="171" spans="19:55" ht="15.75" customHeight="1">
      <c r="S171" s="454"/>
      <c r="AN171" s="458"/>
      <c r="BA171" s="1305"/>
      <c r="BC171" s="169"/>
    </row>
    <row r="172" spans="19:55" ht="15.75" customHeight="1">
      <c r="S172" s="454"/>
      <c r="AN172" s="458"/>
      <c r="BA172" s="1305"/>
      <c r="BC172" s="169"/>
    </row>
    <row r="173" spans="19:55" ht="15.75" customHeight="1">
      <c r="S173" s="454"/>
      <c r="AN173" s="458"/>
      <c r="BA173" s="1305"/>
      <c r="BC173" s="169"/>
    </row>
    <row r="174" spans="19:55" ht="15.75" customHeight="1">
      <c r="S174" s="454"/>
      <c r="AN174" s="458"/>
      <c r="BA174" s="1305"/>
      <c r="BC174" s="169"/>
    </row>
    <row r="175" spans="19:55" ht="15.75" customHeight="1">
      <c r="S175" s="454"/>
      <c r="AN175" s="458"/>
      <c r="BA175" s="1305"/>
      <c r="BC175" s="169"/>
    </row>
    <row r="176" spans="19:55" ht="15.75" customHeight="1">
      <c r="S176" s="454"/>
      <c r="AN176" s="458"/>
      <c r="BA176" s="1305"/>
      <c r="BC176" s="169"/>
    </row>
    <row r="177" spans="19:55" ht="15.75" customHeight="1">
      <c r="S177" s="454"/>
      <c r="AN177" s="458"/>
      <c r="BA177" s="1305"/>
      <c r="BC177" s="169"/>
    </row>
    <row r="178" spans="19:55" ht="15.75" customHeight="1">
      <c r="S178" s="454"/>
      <c r="AN178" s="458"/>
      <c r="BA178" s="1305"/>
      <c r="BC178" s="169"/>
    </row>
    <row r="179" spans="19:55" ht="15.75" customHeight="1">
      <c r="S179" s="454"/>
      <c r="AN179" s="458"/>
      <c r="BA179" s="1305"/>
      <c r="BC179" s="169"/>
    </row>
    <row r="180" spans="19:55" ht="15.75" customHeight="1">
      <c r="S180" s="454"/>
      <c r="AN180" s="458"/>
      <c r="BA180" s="1305"/>
      <c r="BC180" s="169"/>
    </row>
    <row r="181" spans="19:55" ht="15.75" customHeight="1">
      <c r="S181" s="454"/>
      <c r="AN181" s="458"/>
      <c r="BA181" s="1305"/>
      <c r="BC181" s="169"/>
    </row>
    <row r="182" spans="19:55" ht="15.75" customHeight="1">
      <c r="S182" s="454"/>
      <c r="AN182" s="458"/>
      <c r="BA182" s="1305"/>
      <c r="BC182" s="169"/>
    </row>
    <row r="183" spans="19:55" ht="15.75" customHeight="1">
      <c r="S183" s="454"/>
      <c r="AN183" s="458"/>
      <c r="BA183" s="1305"/>
      <c r="BC183" s="169"/>
    </row>
    <row r="184" spans="19:55" ht="15.75" customHeight="1">
      <c r="S184" s="454"/>
      <c r="AN184" s="458"/>
      <c r="BA184" s="1305"/>
      <c r="BC184" s="169"/>
    </row>
    <row r="185" spans="19:55" ht="15.75" customHeight="1">
      <c r="S185" s="454"/>
      <c r="AN185" s="458"/>
      <c r="BA185" s="1305"/>
      <c r="BC185" s="169"/>
    </row>
    <row r="186" spans="19:55" ht="15.75" customHeight="1">
      <c r="S186" s="454"/>
      <c r="AN186" s="458"/>
      <c r="BA186" s="1305"/>
      <c r="BC186" s="169"/>
    </row>
    <row r="187" spans="19:55" ht="15.75" customHeight="1">
      <c r="S187" s="454"/>
      <c r="AN187" s="458"/>
      <c r="BA187" s="1305"/>
      <c r="BC187" s="169"/>
    </row>
    <row r="188" spans="19:55" ht="15.75" customHeight="1">
      <c r="S188" s="454"/>
      <c r="AN188" s="458"/>
      <c r="BA188" s="1305"/>
      <c r="BC188" s="169"/>
    </row>
    <row r="189" spans="19:55" ht="15.75" customHeight="1">
      <c r="S189" s="454"/>
      <c r="AN189" s="458"/>
      <c r="BA189" s="1305"/>
      <c r="BC189" s="169"/>
    </row>
    <row r="190" spans="19:55" ht="15.75" customHeight="1">
      <c r="S190" s="454"/>
      <c r="AN190" s="458"/>
      <c r="BA190" s="1305"/>
      <c r="BC190" s="169"/>
    </row>
    <row r="191" spans="19:55" ht="15.75" customHeight="1">
      <c r="S191" s="454"/>
      <c r="AN191" s="458"/>
      <c r="BA191" s="1305"/>
      <c r="BC191" s="169"/>
    </row>
    <row r="192" spans="19:55" ht="15.75" customHeight="1">
      <c r="S192" s="454"/>
      <c r="AN192" s="458"/>
      <c r="BA192" s="1305"/>
      <c r="BC192" s="169"/>
    </row>
    <row r="193" spans="19:55" ht="15.75" customHeight="1">
      <c r="S193" s="454"/>
      <c r="AN193" s="458"/>
      <c r="BA193" s="1305"/>
      <c r="BC193" s="169"/>
    </row>
    <row r="194" spans="19:55" ht="15.75" customHeight="1">
      <c r="S194" s="454"/>
      <c r="AN194" s="458"/>
      <c r="BA194" s="1305"/>
      <c r="BC194" s="169"/>
    </row>
    <row r="195" spans="19:55" ht="15.75" customHeight="1">
      <c r="S195" s="454"/>
      <c r="AN195" s="458"/>
      <c r="BA195" s="1305"/>
      <c r="BC195" s="169"/>
    </row>
    <row r="196" spans="19:55" ht="15.75" customHeight="1">
      <c r="S196" s="454"/>
      <c r="AN196" s="458"/>
      <c r="BA196" s="1305"/>
      <c r="BC196" s="169"/>
    </row>
    <row r="197" spans="19:55" ht="15.75" customHeight="1">
      <c r="S197" s="454"/>
      <c r="AN197" s="458"/>
      <c r="BA197" s="1305"/>
      <c r="BC197" s="169"/>
    </row>
    <row r="198" spans="19:55" ht="15.75" customHeight="1">
      <c r="S198" s="454"/>
      <c r="AN198" s="458"/>
      <c r="BA198" s="1305"/>
      <c r="BC198" s="169"/>
    </row>
    <row r="199" spans="19:55" ht="15.75" customHeight="1">
      <c r="S199" s="454"/>
      <c r="AN199" s="458"/>
      <c r="BA199" s="1305"/>
      <c r="BC199" s="169"/>
    </row>
    <row r="200" spans="19:55" ht="15.75" customHeight="1">
      <c r="S200" s="454"/>
      <c r="AN200" s="458"/>
      <c r="BA200" s="1305"/>
      <c r="BC200" s="169"/>
    </row>
    <row r="201" spans="19:55" ht="15.75" customHeight="1">
      <c r="S201" s="454"/>
      <c r="AN201" s="458"/>
      <c r="BA201" s="1305"/>
      <c r="BC201" s="169"/>
    </row>
    <row r="202" spans="19:55" ht="15.75" customHeight="1">
      <c r="S202" s="454"/>
      <c r="AN202" s="458"/>
      <c r="BA202" s="1305"/>
      <c r="BC202" s="169"/>
    </row>
    <row r="203" spans="19:55" ht="15.75" customHeight="1">
      <c r="S203" s="454"/>
      <c r="AN203" s="458"/>
      <c r="BA203" s="1305"/>
      <c r="BC203" s="169"/>
    </row>
    <row r="204" spans="19:55" ht="15.75" customHeight="1">
      <c r="S204" s="454"/>
      <c r="AN204" s="458"/>
      <c r="BA204" s="1305"/>
      <c r="BC204" s="169"/>
    </row>
    <row r="205" spans="19:55" ht="15.75" customHeight="1">
      <c r="S205" s="454"/>
      <c r="AN205" s="458"/>
      <c r="BA205" s="1305"/>
      <c r="BC205" s="169"/>
    </row>
    <row r="206" spans="19:55" ht="15.75" customHeight="1">
      <c r="S206" s="454"/>
      <c r="AN206" s="458"/>
      <c r="BA206" s="1305"/>
      <c r="BC206" s="169"/>
    </row>
    <row r="207" spans="19:55" ht="15.75" customHeight="1">
      <c r="S207" s="454"/>
      <c r="AN207" s="458"/>
      <c r="BA207" s="1305"/>
      <c r="BC207" s="169"/>
    </row>
    <row r="208" spans="19:55" ht="15.75" customHeight="1">
      <c r="S208" s="454"/>
      <c r="AN208" s="458"/>
      <c r="BA208" s="1305"/>
      <c r="BC208" s="169"/>
    </row>
    <row r="209" spans="19:55" ht="15.75" customHeight="1">
      <c r="S209" s="454"/>
      <c r="AN209" s="458"/>
      <c r="BA209" s="1305"/>
      <c r="BC209" s="169"/>
    </row>
    <row r="210" spans="19:55" ht="15.75" customHeight="1">
      <c r="S210" s="454"/>
      <c r="AN210" s="458"/>
      <c r="BA210" s="1305"/>
      <c r="BC210" s="169"/>
    </row>
    <row r="211" spans="19:55" ht="15.75" customHeight="1">
      <c r="S211" s="454"/>
      <c r="AN211" s="458"/>
      <c r="BA211" s="1305"/>
      <c r="BC211" s="169"/>
    </row>
    <row r="212" spans="19:55" ht="15.75" customHeight="1">
      <c r="S212" s="454"/>
      <c r="AN212" s="458"/>
      <c r="BA212" s="1305"/>
      <c r="BC212" s="169"/>
    </row>
    <row r="213" spans="19:55" ht="15.75" customHeight="1">
      <c r="S213" s="454"/>
      <c r="AN213" s="458"/>
      <c r="BA213" s="1305"/>
      <c r="BC213" s="169"/>
    </row>
    <row r="214" spans="19:55" ht="15.75" customHeight="1">
      <c r="S214" s="454"/>
      <c r="AN214" s="458"/>
      <c r="BA214" s="1305"/>
      <c r="BC214" s="169"/>
    </row>
    <row r="215" spans="19:55" ht="15.75" customHeight="1">
      <c r="S215" s="454"/>
      <c r="AN215" s="458"/>
      <c r="BA215" s="1305"/>
      <c r="BC215" s="169"/>
    </row>
    <row r="216" spans="19:55" ht="15.75" customHeight="1">
      <c r="S216" s="454"/>
      <c r="AN216" s="458"/>
      <c r="BA216" s="1305"/>
      <c r="BC216" s="169"/>
    </row>
    <row r="217" spans="19:55" ht="15.75" customHeight="1">
      <c r="S217" s="454"/>
      <c r="AN217" s="458"/>
      <c r="BA217" s="1305"/>
      <c r="BC217" s="169"/>
    </row>
    <row r="218" spans="19:55" ht="15.75" customHeight="1">
      <c r="S218" s="454"/>
      <c r="AN218" s="458"/>
      <c r="BA218" s="1305"/>
      <c r="BC218" s="169"/>
    </row>
    <row r="219" spans="19:55" ht="15.75" customHeight="1">
      <c r="S219" s="454"/>
      <c r="AN219" s="458"/>
      <c r="BA219" s="1305"/>
      <c r="BC219" s="169"/>
    </row>
    <row r="220" spans="19:55" ht="15.75" customHeight="1">
      <c r="S220" s="454"/>
      <c r="AN220" s="458"/>
      <c r="BA220" s="1305"/>
      <c r="BC220" s="169"/>
    </row>
    <row r="221" spans="19:55" ht="15.75" customHeight="1">
      <c r="S221" s="454"/>
      <c r="AN221" s="458"/>
      <c r="BA221" s="1305"/>
      <c r="BC221" s="169"/>
    </row>
    <row r="222" spans="19:55" ht="15.75" customHeight="1">
      <c r="S222" s="454"/>
      <c r="AN222" s="458"/>
      <c r="BA222" s="1305"/>
      <c r="BC222" s="169"/>
    </row>
    <row r="223" spans="19:55" ht="15.75" customHeight="1">
      <c r="S223" s="454"/>
      <c r="AN223" s="458"/>
      <c r="BA223" s="1305"/>
      <c r="BC223" s="169"/>
    </row>
    <row r="224" spans="19:55" ht="15.75" customHeight="1">
      <c r="S224" s="454"/>
      <c r="AN224" s="458"/>
      <c r="BA224" s="1305"/>
      <c r="BC224" s="169"/>
    </row>
    <row r="225" spans="19:55" ht="15.75" customHeight="1">
      <c r="S225" s="454"/>
      <c r="AN225" s="458"/>
      <c r="BA225" s="1305"/>
      <c r="BC225" s="169"/>
    </row>
    <row r="226" spans="19:55" ht="15.75" customHeight="1">
      <c r="S226" s="454"/>
      <c r="AN226" s="458"/>
      <c r="BA226" s="1305"/>
      <c r="BC226" s="169"/>
    </row>
    <row r="227" spans="19:55" ht="15.75" customHeight="1">
      <c r="S227" s="454"/>
      <c r="AN227" s="458"/>
      <c r="BA227" s="1305"/>
      <c r="BC227" s="169"/>
    </row>
    <row r="228" spans="19:55" ht="15.75" customHeight="1">
      <c r="S228" s="454"/>
      <c r="AN228" s="458"/>
      <c r="BA228" s="1305"/>
      <c r="BC228" s="169"/>
    </row>
    <row r="229" spans="19:55" ht="15.75" customHeight="1">
      <c r="S229" s="454"/>
      <c r="AN229" s="458"/>
      <c r="BA229" s="1305"/>
      <c r="BC229" s="169"/>
    </row>
    <row r="230" spans="19:55" ht="15.75" customHeight="1">
      <c r="S230" s="454"/>
      <c r="AN230" s="458"/>
      <c r="BA230" s="1305"/>
      <c r="BC230" s="169"/>
    </row>
    <row r="231" spans="19:55" ht="15.75" customHeight="1">
      <c r="S231" s="454"/>
      <c r="AN231" s="458"/>
      <c r="BA231" s="1305"/>
      <c r="BC231" s="169"/>
    </row>
    <row r="232" spans="19:55" ht="15.75" customHeight="1">
      <c r="S232" s="454"/>
      <c r="AN232" s="458"/>
      <c r="BA232" s="1305"/>
      <c r="BC232" s="169"/>
    </row>
    <row r="233" spans="19:55" ht="15.75" customHeight="1">
      <c r="S233" s="454"/>
      <c r="AN233" s="458"/>
      <c r="BA233" s="1305"/>
      <c r="BC233" s="169"/>
    </row>
    <row r="234" spans="19:55" ht="15.75" customHeight="1">
      <c r="S234" s="454"/>
      <c r="AN234" s="458"/>
      <c r="BA234" s="1305"/>
      <c r="BC234" s="169"/>
    </row>
    <row r="235" spans="19:55" ht="15.75" customHeight="1">
      <c r="S235" s="454"/>
      <c r="AN235" s="458"/>
      <c r="BA235" s="1305"/>
      <c r="BC235" s="169"/>
    </row>
    <row r="236" spans="19:55" ht="15.75" customHeight="1">
      <c r="S236" s="454"/>
      <c r="AN236" s="458"/>
      <c r="BA236" s="1305"/>
      <c r="BC236" s="169"/>
    </row>
    <row r="237" spans="19:55" ht="15.75" customHeight="1">
      <c r="S237" s="454"/>
      <c r="AN237" s="458"/>
      <c r="BA237" s="1305"/>
      <c r="BC237" s="169"/>
    </row>
    <row r="238" spans="19:55" ht="15.75" customHeight="1">
      <c r="S238" s="454"/>
      <c r="AN238" s="458"/>
      <c r="BA238" s="1305"/>
      <c r="BC238" s="169"/>
    </row>
    <row r="239" spans="19:55" ht="15.75" customHeight="1">
      <c r="S239" s="454"/>
      <c r="AN239" s="458"/>
      <c r="BA239" s="1305"/>
      <c r="BC239" s="169"/>
    </row>
    <row r="240" spans="19:55" ht="15.75" customHeight="1">
      <c r="S240" s="454"/>
      <c r="AN240" s="458"/>
      <c r="BA240" s="1305"/>
      <c r="BC240" s="169"/>
    </row>
    <row r="241" spans="19:55" ht="15.75" customHeight="1">
      <c r="S241" s="454"/>
      <c r="AN241" s="458"/>
      <c r="BA241" s="1305"/>
      <c r="BC241" s="169"/>
    </row>
    <row r="242" spans="19:55" ht="15.75" customHeight="1">
      <c r="S242" s="454"/>
      <c r="AN242" s="458"/>
      <c r="BA242" s="1305"/>
      <c r="BC242" s="169"/>
    </row>
    <row r="243" spans="19:55" ht="15.75" customHeight="1">
      <c r="S243" s="454"/>
      <c r="AN243" s="458"/>
      <c r="BA243" s="1305"/>
      <c r="BC243" s="169"/>
    </row>
    <row r="244" spans="19:55" ht="15.75" customHeight="1">
      <c r="S244" s="454"/>
      <c r="AN244" s="458"/>
      <c r="BA244" s="1305"/>
      <c r="BC244" s="169"/>
    </row>
    <row r="245" spans="19:55" ht="15.75" customHeight="1">
      <c r="S245" s="454"/>
      <c r="AN245" s="458"/>
      <c r="BA245" s="1305"/>
      <c r="BC245" s="169"/>
    </row>
    <row r="246" spans="19:55" ht="15.75" customHeight="1">
      <c r="S246" s="454"/>
      <c r="AN246" s="458"/>
      <c r="BA246" s="1305"/>
      <c r="BC246" s="169"/>
    </row>
    <row r="247" spans="19:55" ht="15.75" customHeight="1">
      <c r="S247" s="454"/>
      <c r="AN247" s="458"/>
      <c r="BA247" s="1305"/>
      <c r="BC247" s="169"/>
    </row>
    <row r="248" spans="19:55" ht="15.75" customHeight="1">
      <c r="S248" s="454"/>
      <c r="AN248" s="458"/>
      <c r="BA248" s="1305"/>
      <c r="BC248" s="169"/>
    </row>
    <row r="249" spans="19:55" ht="15.75" customHeight="1">
      <c r="S249" s="454"/>
      <c r="AN249" s="458"/>
      <c r="BA249" s="1305"/>
      <c r="BC249" s="169"/>
    </row>
    <row r="250" spans="19:55" ht="15.75" customHeight="1">
      <c r="S250" s="454"/>
      <c r="AN250" s="458"/>
      <c r="BA250" s="1305"/>
      <c r="BC250" s="169"/>
    </row>
    <row r="251" spans="19:55" ht="15.75" customHeight="1">
      <c r="S251" s="454"/>
      <c r="AN251" s="458"/>
      <c r="BA251" s="1305"/>
      <c r="BC251" s="169"/>
    </row>
    <row r="252" spans="19:55" ht="15.75" customHeight="1">
      <c r="S252" s="454"/>
      <c r="AN252" s="458"/>
      <c r="BA252" s="1305"/>
      <c r="BC252" s="169"/>
    </row>
    <row r="253" spans="19:55" ht="15.75" customHeight="1">
      <c r="S253" s="454"/>
      <c r="AN253" s="458"/>
      <c r="BA253" s="1305"/>
      <c r="BC253" s="169"/>
    </row>
    <row r="254" spans="19:55" ht="15.75" customHeight="1">
      <c r="S254" s="454"/>
      <c r="AN254" s="458"/>
      <c r="BA254" s="1305"/>
      <c r="BC254" s="169"/>
    </row>
    <row r="255" spans="19:55" ht="15.75" customHeight="1">
      <c r="S255" s="454"/>
      <c r="AN255" s="458"/>
      <c r="BA255" s="1305"/>
      <c r="BC255" s="169"/>
    </row>
    <row r="256" spans="19:55" ht="15.75" customHeight="1">
      <c r="S256" s="454"/>
      <c r="AN256" s="458"/>
      <c r="BA256" s="1305"/>
      <c r="BC256" s="169"/>
    </row>
    <row r="257" spans="19:55" ht="15.75" customHeight="1">
      <c r="S257" s="454"/>
      <c r="AN257" s="458"/>
      <c r="BA257" s="1305"/>
      <c r="BC257" s="169"/>
    </row>
    <row r="258" spans="19:55" ht="15.75" customHeight="1">
      <c r="S258" s="454"/>
      <c r="AN258" s="458"/>
      <c r="BA258" s="1305"/>
      <c r="BC258" s="169"/>
    </row>
    <row r="259" spans="19:55" ht="15.75" customHeight="1">
      <c r="S259" s="454"/>
      <c r="AN259" s="458"/>
      <c r="BA259" s="1305"/>
      <c r="BC259" s="169"/>
    </row>
    <row r="260" spans="19:55" ht="15.75" customHeight="1">
      <c r="S260" s="454"/>
      <c r="AN260" s="458"/>
      <c r="BA260" s="1305"/>
      <c r="BC260" s="169"/>
    </row>
    <row r="261" spans="19:55" ht="15.75" customHeight="1">
      <c r="S261" s="454"/>
      <c r="AN261" s="458"/>
      <c r="BA261" s="1305"/>
      <c r="BC261" s="169"/>
    </row>
    <row r="262" spans="19:55" ht="15.75" customHeight="1">
      <c r="S262" s="454"/>
      <c r="AN262" s="458"/>
      <c r="BA262" s="1305"/>
      <c r="BC262" s="169"/>
    </row>
    <row r="263" spans="19:55" ht="15.75" customHeight="1">
      <c r="S263" s="454"/>
      <c r="AN263" s="458"/>
      <c r="BA263" s="1305"/>
      <c r="BC263" s="169"/>
    </row>
    <row r="264" spans="19:55" ht="15.75" customHeight="1">
      <c r="S264" s="454"/>
      <c r="AN264" s="458"/>
      <c r="BA264" s="1305"/>
      <c r="BC264" s="169"/>
    </row>
    <row r="265" spans="19:55" ht="15.75" customHeight="1">
      <c r="S265" s="454"/>
      <c r="AN265" s="458"/>
      <c r="BA265" s="1305"/>
      <c r="BC265" s="169"/>
    </row>
    <row r="266" spans="19:55" ht="15.75" customHeight="1">
      <c r="S266" s="454"/>
      <c r="AN266" s="458"/>
      <c r="BA266" s="1305"/>
      <c r="BC266" s="169"/>
    </row>
    <row r="267" spans="19:55" ht="15.75" customHeight="1">
      <c r="S267" s="454"/>
      <c r="AN267" s="458"/>
      <c r="BA267" s="1305"/>
      <c r="BC267" s="169"/>
    </row>
    <row r="268" spans="19:55" ht="15.75" customHeight="1">
      <c r="S268" s="454"/>
      <c r="AN268" s="458"/>
      <c r="BA268" s="1305"/>
      <c r="BC268" s="169"/>
    </row>
    <row r="269" spans="19:55" ht="15.75" customHeight="1">
      <c r="S269" s="454"/>
      <c r="AN269" s="458"/>
      <c r="BA269" s="1305"/>
      <c r="BC269" s="169"/>
    </row>
    <row r="270" spans="19:55" ht="15.75" customHeight="1">
      <c r="S270" s="454"/>
      <c r="AN270" s="458"/>
      <c r="BA270" s="1305"/>
      <c r="BC270" s="169"/>
    </row>
    <row r="271" spans="19:55" ht="15.75" customHeight="1">
      <c r="S271" s="454"/>
      <c r="AN271" s="458"/>
      <c r="BA271" s="1305"/>
      <c r="BC271" s="169"/>
    </row>
    <row r="272" spans="19:55" ht="15.75" customHeight="1">
      <c r="S272" s="454"/>
      <c r="AN272" s="458"/>
      <c r="BA272" s="1305"/>
      <c r="BC272" s="169"/>
    </row>
    <row r="273" spans="19:55" ht="15.75" customHeight="1">
      <c r="S273" s="454"/>
      <c r="AN273" s="458"/>
      <c r="BA273" s="1305"/>
      <c r="BC273" s="169"/>
    </row>
    <row r="274" spans="19:55" ht="15.75" customHeight="1">
      <c r="S274" s="454"/>
      <c r="AN274" s="458"/>
      <c r="BA274" s="1305"/>
      <c r="BC274" s="169"/>
    </row>
    <row r="275" spans="19:55" ht="15.75" customHeight="1">
      <c r="S275" s="454"/>
      <c r="AN275" s="458"/>
      <c r="BA275" s="1305"/>
      <c r="BC275" s="169"/>
    </row>
    <row r="276" spans="19:55" ht="15.75" customHeight="1">
      <c r="S276" s="454"/>
      <c r="AN276" s="458"/>
      <c r="BA276" s="1305"/>
      <c r="BC276" s="169"/>
    </row>
    <row r="277" spans="19:55" ht="15.75" customHeight="1">
      <c r="S277" s="454"/>
      <c r="AN277" s="458"/>
      <c r="BA277" s="1305"/>
      <c r="BC277" s="169"/>
    </row>
    <row r="278" spans="19:55" ht="15.75" customHeight="1">
      <c r="S278" s="454"/>
      <c r="AN278" s="458"/>
      <c r="BA278" s="1305"/>
      <c r="BC278" s="169"/>
    </row>
    <row r="279" spans="19:55" ht="15.75" customHeight="1">
      <c r="S279" s="454"/>
      <c r="AN279" s="458"/>
      <c r="BA279" s="1305"/>
      <c r="BC279" s="169"/>
    </row>
    <row r="280" spans="19:55" ht="15.75" customHeight="1">
      <c r="S280" s="454"/>
      <c r="AN280" s="458"/>
      <c r="BA280" s="1305"/>
      <c r="BC280" s="169"/>
    </row>
    <row r="281" spans="19:55" ht="15.75" customHeight="1">
      <c r="S281" s="454"/>
      <c r="AN281" s="458"/>
      <c r="BA281" s="1305"/>
      <c r="BC281" s="169"/>
    </row>
    <row r="282" spans="19:55" ht="15.75" customHeight="1">
      <c r="S282" s="454"/>
      <c r="AN282" s="458"/>
      <c r="BA282" s="1305"/>
      <c r="BC282" s="169"/>
    </row>
    <row r="283" spans="19:55" ht="15.75" customHeight="1">
      <c r="S283" s="454"/>
      <c r="AN283" s="458"/>
      <c r="BA283" s="1305"/>
      <c r="BC283" s="169"/>
    </row>
    <row r="284" spans="19:55" ht="15.75" customHeight="1">
      <c r="S284" s="454"/>
      <c r="AN284" s="458"/>
      <c r="BA284" s="1305"/>
      <c r="BC284" s="169"/>
    </row>
    <row r="285" spans="19:55" ht="15.75" customHeight="1">
      <c r="S285" s="454"/>
      <c r="AN285" s="458"/>
      <c r="BA285" s="1305"/>
      <c r="BC285" s="169"/>
    </row>
    <row r="286" spans="19:55" ht="15.75" customHeight="1">
      <c r="S286" s="454"/>
      <c r="AN286" s="458"/>
      <c r="BA286" s="1305"/>
      <c r="BC286" s="169"/>
    </row>
    <row r="287" spans="19:55" ht="15.75" customHeight="1">
      <c r="S287" s="454"/>
      <c r="AN287" s="458"/>
      <c r="BA287" s="1305"/>
      <c r="BC287" s="169"/>
    </row>
    <row r="288" spans="19:55" ht="15.75" customHeight="1">
      <c r="S288" s="454"/>
      <c r="AN288" s="458"/>
      <c r="BA288" s="1305"/>
      <c r="BC288" s="169"/>
    </row>
    <row r="289" spans="19:55" ht="15.75" customHeight="1">
      <c r="S289" s="454"/>
      <c r="AN289" s="458"/>
      <c r="BA289" s="1305"/>
      <c r="BC289" s="169"/>
    </row>
    <row r="290" spans="19:55" ht="15.75" customHeight="1">
      <c r="S290" s="454"/>
      <c r="AN290" s="458"/>
      <c r="BA290" s="1305"/>
      <c r="BC290" s="169"/>
    </row>
    <row r="291" spans="19:55" ht="15.75" customHeight="1">
      <c r="S291" s="454"/>
      <c r="AN291" s="458"/>
      <c r="BA291" s="1305"/>
      <c r="BC291" s="169"/>
    </row>
    <row r="292" spans="19:55" ht="15.75" customHeight="1">
      <c r="S292" s="454"/>
      <c r="AN292" s="458"/>
      <c r="BA292" s="1305"/>
      <c r="BC292" s="169"/>
    </row>
    <row r="293" spans="19:55" ht="15.75" customHeight="1">
      <c r="S293" s="454"/>
      <c r="AN293" s="458"/>
      <c r="BA293" s="1305"/>
      <c r="BC293" s="169"/>
    </row>
    <row r="294" spans="19:55" ht="15.75" customHeight="1">
      <c r="S294" s="454"/>
      <c r="AN294" s="458"/>
      <c r="BA294" s="1305"/>
      <c r="BC294" s="169"/>
    </row>
    <row r="295" spans="19:55" ht="15.75" customHeight="1">
      <c r="S295" s="454"/>
      <c r="AN295" s="458"/>
      <c r="BA295" s="1305"/>
      <c r="BC295" s="169"/>
    </row>
    <row r="296" spans="19:55" ht="15.75" customHeight="1">
      <c r="S296" s="454"/>
      <c r="AN296" s="458"/>
      <c r="BA296" s="1305"/>
      <c r="BC296" s="169"/>
    </row>
    <row r="297" spans="19:55" ht="15.75" customHeight="1">
      <c r="S297" s="454"/>
      <c r="AN297" s="458"/>
      <c r="BA297" s="1305"/>
      <c r="BC297" s="169"/>
    </row>
    <row r="298" spans="19:55" ht="15.75" customHeight="1">
      <c r="S298" s="454"/>
      <c r="AN298" s="458"/>
      <c r="BA298" s="1305"/>
      <c r="BC298" s="169"/>
    </row>
    <row r="299" spans="19:55" ht="15.75" customHeight="1">
      <c r="S299" s="454"/>
      <c r="AN299" s="458"/>
      <c r="BA299" s="1305"/>
      <c r="BC299" s="169"/>
    </row>
    <row r="300" spans="19:55" ht="15.75" customHeight="1">
      <c r="S300" s="454"/>
      <c r="AN300" s="458"/>
      <c r="BA300" s="1305"/>
      <c r="BC300" s="169"/>
    </row>
    <row r="301" spans="19:55" ht="15.75" customHeight="1">
      <c r="S301" s="454"/>
      <c r="AN301" s="458"/>
      <c r="BA301" s="1305"/>
      <c r="BC301" s="169"/>
    </row>
    <row r="302" spans="19:55" ht="15.75" customHeight="1">
      <c r="S302" s="454"/>
      <c r="AN302" s="458"/>
      <c r="BA302" s="1305"/>
      <c r="BC302" s="169"/>
    </row>
    <row r="303" spans="19:55" ht="15.75" customHeight="1">
      <c r="S303" s="454"/>
      <c r="AN303" s="458"/>
      <c r="BA303" s="1305"/>
      <c r="BC303" s="169"/>
    </row>
    <row r="304" spans="19:55" ht="15.75" customHeight="1">
      <c r="S304" s="454"/>
      <c r="AN304" s="458"/>
      <c r="BA304" s="1305"/>
      <c r="BC304" s="169"/>
    </row>
    <row r="305" spans="19:55" ht="15.75" customHeight="1">
      <c r="S305" s="454"/>
      <c r="AN305" s="458"/>
      <c r="BA305" s="1305"/>
      <c r="BC305" s="169"/>
    </row>
    <row r="306" spans="19:55" ht="15.75" customHeight="1">
      <c r="S306" s="454"/>
      <c r="AN306" s="458"/>
      <c r="BA306" s="1305"/>
      <c r="BC306" s="169"/>
    </row>
    <row r="307" spans="19:55" ht="15.75" customHeight="1">
      <c r="S307" s="454"/>
      <c r="AN307" s="458"/>
      <c r="BA307" s="1305"/>
      <c r="BC307" s="169"/>
    </row>
    <row r="308" spans="19:55" ht="15.75" customHeight="1">
      <c r="S308" s="454"/>
      <c r="AN308" s="458"/>
      <c r="BA308" s="1305"/>
      <c r="BC308" s="169"/>
    </row>
    <row r="309" spans="19:55" ht="15.75" customHeight="1">
      <c r="S309" s="454"/>
      <c r="AN309" s="458"/>
      <c r="BA309" s="1305"/>
      <c r="BC309" s="169"/>
    </row>
    <row r="310" spans="19:55" ht="15.75" customHeight="1">
      <c r="S310" s="454"/>
      <c r="AN310" s="458"/>
      <c r="BA310" s="1305"/>
      <c r="BC310" s="169"/>
    </row>
    <row r="311" spans="19:55" ht="15.75" customHeight="1">
      <c r="S311" s="454"/>
      <c r="AN311" s="458"/>
      <c r="BA311" s="1305"/>
      <c r="BC311" s="169"/>
    </row>
    <row r="312" spans="19:55" ht="15.75" customHeight="1">
      <c r="S312" s="454"/>
      <c r="AN312" s="458"/>
      <c r="BA312" s="1305"/>
      <c r="BC312" s="169"/>
    </row>
    <row r="313" spans="19:55" ht="15.75" customHeight="1">
      <c r="S313" s="454"/>
      <c r="AN313" s="458"/>
      <c r="BA313" s="1305"/>
      <c r="BC313" s="169"/>
    </row>
    <row r="314" spans="19:55" ht="15.75" customHeight="1">
      <c r="S314" s="454"/>
      <c r="AN314" s="458"/>
      <c r="BA314" s="1305"/>
      <c r="BC314" s="169"/>
    </row>
    <row r="315" spans="19:55" ht="15.75" customHeight="1">
      <c r="S315" s="454"/>
      <c r="AN315" s="458"/>
      <c r="BA315" s="1305"/>
      <c r="BC315" s="169"/>
    </row>
    <row r="316" spans="19:55" ht="15.75" customHeight="1">
      <c r="S316" s="454"/>
      <c r="AN316" s="458"/>
      <c r="BA316" s="1305"/>
      <c r="BC316" s="169"/>
    </row>
    <row r="317" spans="19:55" ht="15.75" customHeight="1">
      <c r="S317" s="454"/>
      <c r="AN317" s="458"/>
      <c r="BA317" s="1305"/>
      <c r="BC317" s="169"/>
    </row>
    <row r="318" spans="19:55" ht="15.75" customHeight="1">
      <c r="S318" s="454"/>
      <c r="AN318" s="458"/>
      <c r="BA318" s="1305"/>
      <c r="BC318" s="169"/>
    </row>
    <row r="319" spans="19:55" ht="15.75" customHeight="1">
      <c r="S319" s="454"/>
      <c r="AN319" s="458"/>
      <c r="BA319" s="1305"/>
      <c r="BC319" s="169"/>
    </row>
    <row r="320" spans="19:55" ht="15.75" customHeight="1">
      <c r="S320" s="454"/>
      <c r="AN320" s="458"/>
      <c r="BA320" s="1305"/>
      <c r="BC320" s="169"/>
    </row>
    <row r="321" spans="19:55" ht="15.75" customHeight="1">
      <c r="S321" s="454"/>
      <c r="AN321" s="458"/>
      <c r="BA321" s="1305"/>
      <c r="BC321" s="169"/>
    </row>
    <row r="322" spans="19:55" ht="15.75" customHeight="1">
      <c r="S322" s="454"/>
      <c r="AN322" s="458"/>
      <c r="BA322" s="1305"/>
      <c r="BC322" s="169"/>
    </row>
    <row r="323" spans="19:55" ht="15.75" customHeight="1">
      <c r="S323" s="454"/>
      <c r="AN323" s="458"/>
      <c r="BA323" s="1305"/>
      <c r="BC323" s="169"/>
    </row>
    <row r="324" spans="19:55" ht="15.75" customHeight="1">
      <c r="S324" s="454"/>
      <c r="AN324" s="458"/>
      <c r="BA324" s="1305"/>
      <c r="BC324" s="169"/>
    </row>
    <row r="325" spans="19:55" ht="15.75" customHeight="1">
      <c r="S325" s="454"/>
      <c r="AN325" s="458"/>
      <c r="BA325" s="1305"/>
      <c r="BC325" s="169"/>
    </row>
    <row r="326" spans="19:55" ht="15.75" customHeight="1">
      <c r="S326" s="454"/>
      <c r="AN326" s="458"/>
      <c r="BA326" s="1305"/>
      <c r="BC326" s="169"/>
    </row>
    <row r="327" spans="19:55" ht="15.75" customHeight="1">
      <c r="S327" s="454"/>
      <c r="AN327" s="458"/>
      <c r="BA327" s="1305"/>
      <c r="BC327" s="169"/>
    </row>
    <row r="328" spans="19:55" ht="15.75" customHeight="1">
      <c r="S328" s="454"/>
      <c r="AN328" s="458"/>
      <c r="BA328" s="1305"/>
      <c r="BC328" s="169"/>
    </row>
    <row r="329" spans="19:55" ht="15.75" customHeight="1">
      <c r="S329" s="454"/>
      <c r="AN329" s="458"/>
      <c r="BA329" s="1305"/>
      <c r="BC329" s="169"/>
    </row>
    <row r="330" spans="19:55" ht="15.75" customHeight="1">
      <c r="S330" s="454"/>
      <c r="AN330" s="458"/>
      <c r="BA330" s="1305"/>
      <c r="BC330" s="169"/>
    </row>
    <row r="331" spans="19:55" ht="15.75" customHeight="1">
      <c r="S331" s="454"/>
      <c r="AN331" s="458"/>
      <c r="BA331" s="1305"/>
      <c r="BC331" s="169"/>
    </row>
    <row r="332" spans="19:55" ht="15.75" customHeight="1">
      <c r="S332" s="454"/>
      <c r="AN332" s="458"/>
      <c r="BA332" s="1305"/>
      <c r="BC332" s="169"/>
    </row>
    <row r="333" spans="19:55" ht="15.75" customHeight="1">
      <c r="S333" s="454"/>
      <c r="AN333" s="458"/>
      <c r="BA333" s="1305"/>
      <c r="BC333" s="169"/>
    </row>
    <row r="334" spans="19:55" ht="15.75" customHeight="1">
      <c r="S334" s="454"/>
      <c r="AN334" s="458"/>
      <c r="BA334" s="1305"/>
      <c r="BC334" s="169"/>
    </row>
    <row r="335" spans="19:55" ht="15.75" customHeight="1">
      <c r="S335" s="454"/>
      <c r="AN335" s="458"/>
      <c r="BA335" s="1305"/>
      <c r="BC335" s="169"/>
    </row>
    <row r="336" spans="19:55" ht="15.75" customHeight="1">
      <c r="S336" s="454"/>
      <c r="AN336" s="458"/>
      <c r="BA336" s="1305"/>
      <c r="BC336" s="169"/>
    </row>
    <row r="337" spans="19:55" ht="15.75" customHeight="1">
      <c r="S337" s="454"/>
      <c r="AN337" s="458"/>
      <c r="BA337" s="1305"/>
      <c r="BC337" s="169"/>
    </row>
    <row r="338" spans="19:55" ht="15.75" customHeight="1">
      <c r="S338" s="454"/>
      <c r="AN338" s="458"/>
      <c r="BA338" s="1305"/>
      <c r="BC338" s="169"/>
    </row>
    <row r="339" spans="19:55" ht="15.75" customHeight="1">
      <c r="S339" s="454"/>
      <c r="AN339" s="458"/>
      <c r="BA339" s="1305"/>
      <c r="BC339" s="169"/>
    </row>
    <row r="340" spans="19:55" ht="15.75" customHeight="1">
      <c r="S340" s="454"/>
      <c r="AN340" s="458"/>
      <c r="BA340" s="1305"/>
      <c r="BC340" s="169"/>
    </row>
    <row r="341" spans="19:55" ht="15.75" customHeight="1">
      <c r="S341" s="454"/>
      <c r="AN341" s="458"/>
      <c r="BA341" s="1305"/>
      <c r="BC341" s="169"/>
    </row>
    <row r="342" spans="19:55" ht="15.75" customHeight="1">
      <c r="S342" s="454"/>
      <c r="AN342" s="458"/>
      <c r="BA342" s="1305"/>
      <c r="BC342" s="169"/>
    </row>
    <row r="343" spans="19:55" ht="15.75" customHeight="1">
      <c r="S343" s="454"/>
      <c r="AN343" s="458"/>
      <c r="BA343" s="1305"/>
      <c r="BC343" s="169"/>
    </row>
    <row r="344" spans="19:55" ht="15.75" customHeight="1">
      <c r="S344" s="454"/>
      <c r="AN344" s="458"/>
      <c r="BA344" s="1305"/>
      <c r="BC344" s="169"/>
    </row>
    <row r="345" spans="19:55" ht="15.75" customHeight="1">
      <c r="S345" s="454"/>
      <c r="AN345" s="458"/>
      <c r="BA345" s="1305"/>
      <c r="BC345" s="169"/>
    </row>
    <row r="346" spans="19:55" ht="15.75" customHeight="1">
      <c r="S346" s="454"/>
      <c r="AN346" s="458"/>
      <c r="BA346" s="1305"/>
      <c r="BC346" s="169"/>
    </row>
    <row r="347" spans="19:55" ht="15.75" customHeight="1">
      <c r="S347" s="454"/>
      <c r="AN347" s="458"/>
      <c r="BA347" s="1305"/>
      <c r="BC347" s="169"/>
    </row>
    <row r="348" spans="19:55" ht="15.75" customHeight="1">
      <c r="S348" s="454"/>
      <c r="AN348" s="458"/>
      <c r="BA348" s="1305"/>
      <c r="BC348" s="169"/>
    </row>
    <row r="349" spans="19:55" ht="15.75" customHeight="1">
      <c r="S349" s="454"/>
      <c r="AN349" s="458"/>
      <c r="BA349" s="1305"/>
      <c r="BC349" s="169"/>
    </row>
    <row r="350" spans="19:55" ht="15.75" customHeight="1">
      <c r="S350" s="454"/>
      <c r="AN350" s="458"/>
      <c r="BA350" s="1305"/>
      <c r="BC350" s="169"/>
    </row>
    <row r="351" spans="19:55" ht="15.75" customHeight="1">
      <c r="S351" s="454"/>
      <c r="AN351" s="458"/>
      <c r="BA351" s="1305"/>
      <c r="BC351" s="169"/>
    </row>
    <row r="352" spans="19:55" ht="15.75" customHeight="1">
      <c r="S352" s="454"/>
      <c r="AN352" s="458"/>
      <c r="BA352" s="1305"/>
      <c r="BC352" s="169"/>
    </row>
    <row r="353" spans="19:55" ht="15.75" customHeight="1">
      <c r="S353" s="454"/>
      <c r="AN353" s="458"/>
      <c r="BA353" s="1305"/>
      <c r="BC353" s="169"/>
    </row>
    <row r="354" spans="19:55" ht="15.75" customHeight="1">
      <c r="S354" s="454"/>
      <c r="AN354" s="458"/>
      <c r="BA354" s="1305"/>
      <c r="BC354" s="169"/>
    </row>
    <row r="355" spans="19:55" ht="15.75" customHeight="1">
      <c r="S355" s="454"/>
      <c r="AN355" s="458"/>
      <c r="BA355" s="1305"/>
      <c r="BC355" s="169"/>
    </row>
    <row r="356" spans="19:55" ht="15.75" customHeight="1">
      <c r="S356" s="454"/>
      <c r="AN356" s="458"/>
      <c r="BA356" s="1305"/>
      <c r="BC356" s="169"/>
    </row>
    <row r="357" spans="19:55" ht="15.75" customHeight="1">
      <c r="S357" s="454"/>
      <c r="AN357" s="458"/>
      <c r="BA357" s="1305"/>
      <c r="BC357" s="169"/>
    </row>
    <row r="358" spans="19:55" ht="15.75" customHeight="1">
      <c r="S358" s="454"/>
      <c r="AN358" s="458"/>
      <c r="BA358" s="1305"/>
      <c r="BC358" s="169"/>
    </row>
    <row r="359" spans="19:55" ht="15.75" customHeight="1">
      <c r="S359" s="454"/>
      <c r="AN359" s="458"/>
      <c r="BA359" s="1305"/>
      <c r="BC359" s="169"/>
    </row>
    <row r="360" spans="19:55" ht="15.75" customHeight="1">
      <c r="S360" s="454"/>
      <c r="AN360" s="458"/>
      <c r="BA360" s="1305"/>
      <c r="BC360" s="169"/>
    </row>
    <row r="361" spans="19:55" ht="15.75" customHeight="1">
      <c r="S361" s="454"/>
      <c r="AN361" s="458"/>
      <c r="BA361" s="1305"/>
      <c r="BC361" s="169"/>
    </row>
    <row r="362" spans="19:55" ht="15.75" customHeight="1">
      <c r="S362" s="454"/>
      <c r="AN362" s="458"/>
      <c r="BA362" s="1305"/>
      <c r="BC362" s="169"/>
    </row>
    <row r="363" spans="19:55" ht="15.75" customHeight="1">
      <c r="S363" s="454"/>
      <c r="AN363" s="458"/>
      <c r="BA363" s="1305"/>
      <c r="BC363" s="169"/>
    </row>
    <row r="364" spans="19:55" ht="15.75" customHeight="1">
      <c r="S364" s="454"/>
      <c r="AN364" s="458"/>
      <c r="BA364" s="1305"/>
      <c r="BC364" s="169"/>
    </row>
    <row r="365" spans="19:55" ht="15.75" customHeight="1">
      <c r="S365" s="454"/>
      <c r="AN365" s="458"/>
      <c r="BA365" s="1305"/>
      <c r="BC365" s="169"/>
    </row>
    <row r="366" spans="19:55" ht="15.75" customHeight="1">
      <c r="S366" s="454"/>
      <c r="AN366" s="458"/>
      <c r="BA366" s="1305"/>
      <c r="BC366" s="169"/>
    </row>
    <row r="367" spans="19:55" ht="15.75" customHeight="1">
      <c r="S367" s="454"/>
      <c r="AN367" s="458"/>
      <c r="BA367" s="1305"/>
      <c r="BC367" s="169"/>
    </row>
    <row r="368" spans="19:55" ht="15.75" customHeight="1">
      <c r="S368" s="454"/>
      <c r="AN368" s="458"/>
      <c r="BA368" s="1305"/>
      <c r="BC368" s="169"/>
    </row>
    <row r="369" spans="19:55" ht="15.75" customHeight="1">
      <c r="S369" s="454"/>
      <c r="AN369" s="458"/>
      <c r="BA369" s="1305"/>
      <c r="BC369" s="169"/>
    </row>
    <row r="370" spans="19:55" ht="15.75" customHeight="1">
      <c r="S370" s="454"/>
      <c r="AN370" s="458"/>
      <c r="BA370" s="1305"/>
      <c r="BC370" s="169"/>
    </row>
    <row r="371" spans="19:55" ht="15.75" customHeight="1">
      <c r="S371" s="454"/>
      <c r="AN371" s="458"/>
      <c r="BA371" s="1305"/>
      <c r="BC371" s="169"/>
    </row>
    <row r="372" spans="19:55" ht="15.75" customHeight="1">
      <c r="S372" s="454"/>
      <c r="AN372" s="458"/>
      <c r="BA372" s="1305"/>
      <c r="BC372" s="169"/>
    </row>
    <row r="373" spans="19:55" ht="15.75" customHeight="1">
      <c r="S373" s="454"/>
      <c r="AN373" s="458"/>
      <c r="BA373" s="1305"/>
      <c r="BC373" s="169"/>
    </row>
    <row r="374" spans="19:55" ht="15.75" customHeight="1">
      <c r="S374" s="454"/>
      <c r="AN374" s="458"/>
      <c r="BA374" s="1305"/>
      <c r="BC374" s="169"/>
    </row>
    <row r="375" spans="19:55" ht="15.75" customHeight="1">
      <c r="S375" s="454"/>
      <c r="AN375" s="458"/>
      <c r="BA375" s="1305"/>
      <c r="BC375" s="169"/>
    </row>
    <row r="376" spans="19:55" ht="15.75" customHeight="1">
      <c r="S376" s="454"/>
      <c r="AN376" s="458"/>
      <c r="BA376" s="1305"/>
      <c r="BC376" s="169"/>
    </row>
    <row r="377" spans="19:55" ht="15.75" customHeight="1">
      <c r="S377" s="454"/>
      <c r="AN377" s="458"/>
      <c r="BA377" s="1305"/>
      <c r="BC377" s="169"/>
    </row>
    <row r="378" spans="19:55" ht="15.75" customHeight="1">
      <c r="S378" s="454"/>
      <c r="AN378" s="458"/>
      <c r="BA378" s="1305"/>
      <c r="BC378" s="169"/>
    </row>
    <row r="379" spans="19:55" ht="15.75" customHeight="1">
      <c r="S379" s="454"/>
      <c r="AN379" s="458"/>
      <c r="BA379" s="1305"/>
      <c r="BC379" s="169"/>
    </row>
    <row r="380" spans="19:55" ht="15.75" customHeight="1">
      <c r="S380" s="454"/>
      <c r="AN380" s="458"/>
      <c r="BA380" s="1305"/>
      <c r="BC380" s="169"/>
    </row>
    <row r="381" spans="19:55" ht="15.75" customHeight="1">
      <c r="S381" s="454"/>
      <c r="AN381" s="458"/>
      <c r="BA381" s="1305"/>
      <c r="BC381" s="169"/>
    </row>
    <row r="382" spans="19:55" ht="15.75" customHeight="1">
      <c r="S382" s="454"/>
      <c r="AN382" s="458"/>
      <c r="BA382" s="1305"/>
      <c r="BC382" s="169"/>
    </row>
    <row r="383" spans="19:55" ht="15.75" customHeight="1">
      <c r="S383" s="454"/>
      <c r="AN383" s="458"/>
      <c r="BA383" s="1305"/>
      <c r="BC383" s="169"/>
    </row>
    <row r="384" spans="19:55" ht="15.75" customHeight="1">
      <c r="S384" s="454"/>
      <c r="AN384" s="458"/>
      <c r="BA384" s="1305"/>
      <c r="BC384" s="169"/>
    </row>
    <row r="385" spans="19:55" ht="15.75" customHeight="1">
      <c r="S385" s="454"/>
      <c r="AN385" s="458"/>
      <c r="BA385" s="1305"/>
      <c r="BC385" s="169"/>
    </row>
    <row r="386" spans="19:55" ht="15.75" customHeight="1">
      <c r="S386" s="454"/>
      <c r="AN386" s="458"/>
      <c r="BA386" s="1305"/>
      <c r="BC386" s="169"/>
    </row>
    <row r="387" spans="19:55" ht="15.75" customHeight="1">
      <c r="S387" s="454"/>
      <c r="AN387" s="458"/>
      <c r="BA387" s="1305"/>
      <c r="BC387" s="169"/>
    </row>
    <row r="388" spans="19:55" ht="15.75" customHeight="1">
      <c r="S388" s="454"/>
      <c r="AN388" s="458"/>
      <c r="BA388" s="1305"/>
      <c r="BC388" s="169"/>
    </row>
    <row r="389" spans="19:55" ht="15.75" customHeight="1">
      <c r="S389" s="454"/>
      <c r="AN389" s="458"/>
      <c r="BA389" s="1305"/>
      <c r="BC389" s="169"/>
    </row>
    <row r="390" spans="19:55" ht="15.75" customHeight="1">
      <c r="S390" s="454"/>
      <c r="AN390" s="458"/>
      <c r="BA390" s="1305"/>
      <c r="BC390" s="169"/>
    </row>
    <row r="391" spans="19:55" ht="15.75" customHeight="1">
      <c r="S391" s="454"/>
      <c r="AN391" s="458"/>
      <c r="BA391" s="1305"/>
      <c r="BC391" s="169"/>
    </row>
    <row r="392" spans="19:55" ht="15.75" customHeight="1">
      <c r="S392" s="454"/>
      <c r="AN392" s="458"/>
      <c r="BA392" s="1305"/>
      <c r="BC392" s="169"/>
    </row>
    <row r="393" spans="19:55" ht="15.75" customHeight="1">
      <c r="S393" s="454"/>
      <c r="AN393" s="458"/>
      <c r="BA393" s="1305"/>
      <c r="BC393" s="169"/>
    </row>
    <row r="394" spans="19:55" ht="15.75" customHeight="1">
      <c r="S394" s="454"/>
      <c r="AN394" s="458"/>
      <c r="BA394" s="1305"/>
      <c r="BC394" s="169"/>
    </row>
    <row r="395" spans="19:55" ht="15.75" customHeight="1">
      <c r="S395" s="454"/>
      <c r="AN395" s="458"/>
      <c r="BA395" s="1305"/>
      <c r="BC395" s="169"/>
    </row>
    <row r="396" spans="19:55" ht="15.75" customHeight="1">
      <c r="S396" s="454"/>
      <c r="AN396" s="458"/>
      <c r="BA396" s="1305"/>
      <c r="BC396" s="169"/>
    </row>
    <row r="397" spans="19:55" ht="15.75" customHeight="1">
      <c r="S397" s="454"/>
      <c r="AN397" s="458"/>
      <c r="BA397" s="1305"/>
      <c r="BC397" s="169"/>
    </row>
    <row r="398" spans="19:55" ht="15.75" customHeight="1">
      <c r="S398" s="454"/>
      <c r="AN398" s="458"/>
      <c r="BA398" s="1305"/>
      <c r="BC398" s="169"/>
    </row>
    <row r="399" spans="19:55" ht="15.75" customHeight="1">
      <c r="S399" s="454"/>
      <c r="AN399" s="458"/>
      <c r="BA399" s="1305"/>
      <c r="BC399" s="169"/>
    </row>
    <row r="400" spans="19:55" ht="15.75" customHeight="1">
      <c r="S400" s="454"/>
      <c r="AN400" s="458"/>
      <c r="BA400" s="1305"/>
      <c r="BC400" s="169"/>
    </row>
    <row r="401" spans="19:55" ht="15.75" customHeight="1">
      <c r="S401" s="454"/>
      <c r="AN401" s="458"/>
      <c r="BA401" s="1305"/>
      <c r="BC401" s="169"/>
    </row>
    <row r="402" spans="19:55" ht="15.75" customHeight="1">
      <c r="S402" s="454"/>
      <c r="AN402" s="458"/>
      <c r="BA402" s="1305"/>
      <c r="BC402" s="169"/>
    </row>
    <row r="403" spans="19:55" ht="15.75" customHeight="1">
      <c r="S403" s="454"/>
      <c r="AN403" s="458"/>
      <c r="BA403" s="1305"/>
      <c r="BC403" s="169"/>
    </row>
    <row r="404" spans="19:55" ht="15.75" customHeight="1">
      <c r="S404" s="454"/>
      <c r="AN404" s="458"/>
      <c r="BA404" s="1305"/>
      <c r="BC404" s="169"/>
    </row>
    <row r="405" spans="19:55" ht="15.75" customHeight="1">
      <c r="S405" s="454"/>
      <c r="AN405" s="458"/>
      <c r="BA405" s="1305"/>
      <c r="BC405" s="169"/>
    </row>
    <row r="406" spans="19:55" ht="15.75" customHeight="1">
      <c r="S406" s="454"/>
      <c r="AN406" s="458"/>
      <c r="BA406" s="1305"/>
      <c r="BC406" s="169"/>
    </row>
    <row r="407" spans="19:55" ht="15.75" customHeight="1">
      <c r="S407" s="454"/>
      <c r="AN407" s="458"/>
      <c r="BA407" s="1305"/>
      <c r="BC407" s="169"/>
    </row>
    <row r="408" spans="19:55" ht="15.75" customHeight="1">
      <c r="S408" s="454"/>
      <c r="AN408" s="458"/>
      <c r="BA408" s="1305"/>
      <c r="BC408" s="169"/>
    </row>
    <row r="409" spans="19:55" ht="15.75" customHeight="1">
      <c r="S409" s="454"/>
      <c r="AN409" s="458"/>
      <c r="BA409" s="1305"/>
      <c r="BC409" s="169"/>
    </row>
    <row r="410" spans="19:55" ht="15.75" customHeight="1">
      <c r="S410" s="454"/>
      <c r="AN410" s="458"/>
      <c r="BA410" s="1305"/>
      <c r="BC410" s="169"/>
    </row>
    <row r="411" spans="19:55" ht="15.75" customHeight="1">
      <c r="S411" s="454"/>
      <c r="AN411" s="458"/>
      <c r="BA411" s="1305"/>
      <c r="BC411" s="169"/>
    </row>
    <row r="412" spans="19:55" ht="15.75" customHeight="1">
      <c r="S412" s="454"/>
      <c r="AN412" s="458"/>
      <c r="BA412" s="1305"/>
      <c r="BC412" s="169"/>
    </row>
    <row r="413" spans="19:55" ht="15.75" customHeight="1">
      <c r="S413" s="454"/>
      <c r="AN413" s="458"/>
      <c r="BA413" s="1305"/>
      <c r="BC413" s="169"/>
    </row>
    <row r="414" spans="19:55" ht="15.75" customHeight="1">
      <c r="S414" s="454"/>
      <c r="AN414" s="458"/>
      <c r="BA414" s="1305"/>
      <c r="BC414" s="169"/>
    </row>
    <row r="415" spans="19:55" ht="15.75" customHeight="1">
      <c r="S415" s="454"/>
      <c r="AN415" s="458"/>
      <c r="BA415" s="1305"/>
      <c r="BC415" s="169"/>
    </row>
    <row r="416" spans="19:55" ht="15.75" customHeight="1">
      <c r="S416" s="454"/>
      <c r="AN416" s="458"/>
      <c r="BA416" s="1305"/>
      <c r="BC416" s="169"/>
    </row>
    <row r="417" spans="19:55" ht="15.75" customHeight="1">
      <c r="S417" s="454"/>
      <c r="AN417" s="458"/>
      <c r="BA417" s="1305"/>
      <c r="BC417" s="169"/>
    </row>
    <row r="418" spans="19:55" ht="15.75" customHeight="1">
      <c r="S418" s="454"/>
      <c r="AN418" s="458"/>
      <c r="BA418" s="1305"/>
      <c r="BC418" s="169"/>
    </row>
    <row r="419" spans="19:55" ht="15.75" customHeight="1">
      <c r="S419" s="454"/>
      <c r="AN419" s="458"/>
      <c r="BA419" s="1305"/>
      <c r="BC419" s="169"/>
    </row>
    <row r="420" spans="19:55" ht="15.75" customHeight="1">
      <c r="S420" s="454"/>
      <c r="AN420" s="458"/>
      <c r="BA420" s="1305"/>
      <c r="BC420" s="169"/>
    </row>
    <row r="421" spans="19:55" ht="15.75" customHeight="1">
      <c r="S421" s="454"/>
      <c r="AN421" s="458"/>
      <c r="BA421" s="1305"/>
      <c r="BC421" s="169"/>
    </row>
    <row r="422" spans="19:55" ht="15.75" customHeight="1">
      <c r="S422" s="454"/>
      <c r="AN422" s="458"/>
      <c r="BA422" s="1305"/>
      <c r="BC422" s="169"/>
    </row>
    <row r="423" spans="19:55" ht="15.75" customHeight="1">
      <c r="S423" s="454"/>
      <c r="AN423" s="458"/>
      <c r="BA423" s="1305"/>
      <c r="BC423" s="169"/>
    </row>
    <row r="424" spans="19:55" ht="15.75" customHeight="1">
      <c r="S424" s="454"/>
      <c r="AN424" s="458"/>
      <c r="BA424" s="1305"/>
      <c r="BC424" s="169"/>
    </row>
    <row r="425" spans="19:55" ht="15.75" customHeight="1">
      <c r="S425" s="454"/>
      <c r="AN425" s="458"/>
      <c r="BA425" s="1305"/>
      <c r="BC425" s="169"/>
    </row>
    <row r="426" spans="19:55" ht="15.75" customHeight="1">
      <c r="S426" s="454"/>
      <c r="AN426" s="458"/>
      <c r="BA426" s="1305"/>
      <c r="BC426" s="169"/>
    </row>
    <row r="427" spans="19:55" ht="15.75" customHeight="1">
      <c r="S427" s="454"/>
      <c r="AN427" s="458"/>
      <c r="BA427" s="1305"/>
      <c r="BC427" s="169"/>
    </row>
    <row r="428" spans="19:55" ht="15.75" customHeight="1">
      <c r="S428" s="454"/>
      <c r="AN428" s="458"/>
      <c r="BA428" s="1305"/>
      <c r="BC428" s="169"/>
    </row>
    <row r="429" spans="19:55" ht="15.75" customHeight="1">
      <c r="S429" s="454"/>
      <c r="AN429" s="458"/>
      <c r="BA429" s="1305"/>
      <c r="BC429" s="169"/>
    </row>
    <row r="430" spans="19:55" ht="15.75" customHeight="1">
      <c r="S430" s="454"/>
      <c r="AN430" s="458"/>
      <c r="BA430" s="1305"/>
      <c r="BC430" s="169"/>
    </row>
    <row r="431" spans="19:55" ht="15.75" customHeight="1">
      <c r="S431" s="454"/>
      <c r="AN431" s="458"/>
      <c r="BA431" s="1305"/>
      <c r="BC431" s="169"/>
    </row>
    <row r="432" spans="19:55" ht="15.75" customHeight="1">
      <c r="S432" s="454"/>
      <c r="AN432" s="458"/>
      <c r="BA432" s="1305"/>
      <c r="BC432" s="169"/>
    </row>
    <row r="433" spans="19:55" ht="15.75" customHeight="1">
      <c r="S433" s="454"/>
      <c r="AN433" s="458"/>
      <c r="BA433" s="1305"/>
      <c r="BC433" s="169"/>
    </row>
    <row r="434" spans="19:55" ht="15.75" customHeight="1">
      <c r="S434" s="454"/>
      <c r="AN434" s="458"/>
      <c r="BA434" s="1305"/>
      <c r="BC434" s="169"/>
    </row>
    <row r="435" spans="19:55" ht="15.75" customHeight="1">
      <c r="S435" s="454"/>
      <c r="AN435" s="458"/>
      <c r="BA435" s="1305"/>
      <c r="BC435" s="169"/>
    </row>
    <row r="436" spans="19:55" ht="15.75" customHeight="1">
      <c r="S436" s="454"/>
      <c r="AN436" s="458"/>
      <c r="BA436" s="1305"/>
      <c r="BC436" s="169"/>
    </row>
    <row r="437" spans="19:55" ht="15.75" customHeight="1">
      <c r="S437" s="454"/>
      <c r="AN437" s="458"/>
      <c r="BA437" s="1305"/>
      <c r="BC437" s="169"/>
    </row>
    <row r="438" spans="19:55" ht="15.75" customHeight="1">
      <c r="S438" s="454"/>
      <c r="AN438" s="458"/>
      <c r="BA438" s="1305"/>
      <c r="BC438" s="169"/>
    </row>
    <row r="439" spans="19:55" ht="15.75" customHeight="1">
      <c r="S439" s="454"/>
      <c r="AN439" s="458"/>
      <c r="BA439" s="1305"/>
      <c r="BC439" s="169"/>
    </row>
    <row r="440" spans="19:55" ht="15.75" customHeight="1">
      <c r="S440" s="454"/>
      <c r="AN440" s="458"/>
      <c r="BA440" s="1305"/>
      <c r="BC440" s="169"/>
    </row>
    <row r="441" spans="19:55" ht="15.75" customHeight="1">
      <c r="S441" s="454"/>
      <c r="AN441" s="458"/>
      <c r="BA441" s="1305"/>
      <c r="BC441" s="169"/>
    </row>
    <row r="442" spans="19:55" ht="15.75" customHeight="1">
      <c r="S442" s="454"/>
      <c r="AN442" s="458"/>
      <c r="BA442" s="1305"/>
      <c r="BC442" s="169"/>
    </row>
    <row r="443" spans="19:55" ht="15.75" customHeight="1">
      <c r="S443" s="454"/>
      <c r="AN443" s="458"/>
      <c r="BA443" s="1305"/>
      <c r="BC443" s="169"/>
    </row>
    <row r="444" spans="19:55" ht="15.75" customHeight="1">
      <c r="S444" s="454"/>
      <c r="AN444" s="458"/>
      <c r="BA444" s="1305"/>
      <c r="BC444" s="169"/>
    </row>
    <row r="445" spans="19:55" ht="15.75" customHeight="1">
      <c r="S445" s="454"/>
      <c r="AN445" s="458"/>
      <c r="BA445" s="1305"/>
      <c r="BC445" s="169"/>
    </row>
    <row r="446" spans="19:55" ht="15.75" customHeight="1">
      <c r="S446" s="454"/>
      <c r="AN446" s="458"/>
      <c r="BA446" s="1305"/>
      <c r="BC446" s="169"/>
    </row>
    <row r="447" spans="19:55" ht="15.75" customHeight="1">
      <c r="S447" s="454"/>
      <c r="AN447" s="458"/>
      <c r="BA447" s="1305"/>
      <c r="BC447" s="169"/>
    </row>
    <row r="448" spans="19:55" ht="15.75" customHeight="1">
      <c r="S448" s="454"/>
      <c r="AN448" s="458"/>
      <c r="BA448" s="1305"/>
      <c r="BC448" s="169"/>
    </row>
    <row r="449" spans="19:55" ht="15.75" customHeight="1">
      <c r="S449" s="454"/>
      <c r="AN449" s="458"/>
      <c r="BA449" s="1305"/>
      <c r="BC449" s="169"/>
    </row>
    <row r="450" spans="19:55" ht="15.75" customHeight="1">
      <c r="S450" s="454"/>
      <c r="AN450" s="458"/>
      <c r="BA450" s="1305"/>
      <c r="BC450" s="169"/>
    </row>
    <row r="451" spans="19:55" ht="15.75" customHeight="1">
      <c r="S451" s="454"/>
      <c r="AN451" s="458"/>
      <c r="BA451" s="1305"/>
      <c r="BC451" s="169"/>
    </row>
    <row r="452" spans="19:55" ht="15.75" customHeight="1">
      <c r="S452" s="454"/>
      <c r="AN452" s="458"/>
      <c r="BA452" s="1305"/>
      <c r="BC452" s="169"/>
    </row>
    <row r="453" spans="19:55" ht="15.75" customHeight="1">
      <c r="S453" s="454"/>
      <c r="AN453" s="458"/>
      <c r="BA453" s="1305"/>
      <c r="BC453" s="169"/>
    </row>
    <row r="454" spans="19:55" ht="15.75" customHeight="1">
      <c r="S454" s="454"/>
      <c r="AN454" s="458"/>
      <c r="BA454" s="1305"/>
      <c r="BC454" s="169"/>
    </row>
    <row r="455" spans="19:55" ht="15.75" customHeight="1">
      <c r="S455" s="454"/>
      <c r="AN455" s="458"/>
      <c r="BA455" s="1305"/>
      <c r="BC455" s="169"/>
    </row>
    <row r="456" spans="19:55" ht="15.75" customHeight="1">
      <c r="S456" s="454"/>
      <c r="AN456" s="458"/>
      <c r="BA456" s="1305"/>
      <c r="BC456" s="169"/>
    </row>
    <row r="457" spans="19:55" ht="15.75" customHeight="1">
      <c r="S457" s="454"/>
      <c r="AN457" s="458"/>
      <c r="BA457" s="1305"/>
      <c r="BC457" s="169"/>
    </row>
    <row r="458" spans="19:55" ht="15.75" customHeight="1">
      <c r="S458" s="454"/>
      <c r="AN458" s="458"/>
      <c r="BA458" s="1305"/>
      <c r="BC458" s="169"/>
    </row>
    <row r="459" spans="19:55" ht="15.75" customHeight="1">
      <c r="S459" s="454"/>
      <c r="AN459" s="458"/>
      <c r="BA459" s="1305"/>
      <c r="BC459" s="169"/>
    </row>
    <row r="460" spans="19:55" ht="15.75" customHeight="1">
      <c r="S460" s="454"/>
      <c r="AN460" s="458"/>
      <c r="BA460" s="1305"/>
      <c r="BC460" s="169"/>
    </row>
    <row r="461" spans="19:55" ht="15.75" customHeight="1">
      <c r="S461" s="454"/>
      <c r="AN461" s="458"/>
      <c r="BA461" s="1305"/>
      <c r="BC461" s="169"/>
    </row>
    <row r="462" spans="19:55" ht="15.75" customHeight="1">
      <c r="S462" s="454"/>
      <c r="AN462" s="458"/>
      <c r="BA462" s="1305"/>
      <c r="BC462" s="169"/>
    </row>
    <row r="463" spans="19:55" ht="15.75" customHeight="1">
      <c r="S463" s="454"/>
      <c r="AN463" s="458"/>
      <c r="BA463" s="1305"/>
      <c r="BC463" s="169"/>
    </row>
    <row r="464" spans="19:55" ht="15.75" customHeight="1">
      <c r="S464" s="454"/>
      <c r="AN464" s="458"/>
      <c r="BA464" s="1305"/>
      <c r="BC464" s="169"/>
    </row>
    <row r="465" spans="19:55" ht="15.75" customHeight="1">
      <c r="S465" s="454"/>
      <c r="AN465" s="458"/>
      <c r="BA465" s="1305"/>
      <c r="BC465" s="169"/>
    </row>
    <row r="466" spans="19:55" ht="15.75" customHeight="1">
      <c r="S466" s="454"/>
      <c r="AN466" s="458"/>
      <c r="BA466" s="1305"/>
      <c r="BC466" s="169"/>
    </row>
    <row r="467" spans="19:55" ht="15.75" customHeight="1">
      <c r="S467" s="454"/>
      <c r="AN467" s="458"/>
      <c r="BA467" s="1305"/>
      <c r="BC467" s="169"/>
    </row>
    <row r="468" spans="19:55" ht="15.75" customHeight="1">
      <c r="S468" s="454"/>
      <c r="AN468" s="458"/>
      <c r="BA468" s="1305"/>
      <c r="BC468" s="169"/>
    </row>
    <row r="469" spans="19:55" ht="15.75" customHeight="1">
      <c r="S469" s="454"/>
      <c r="AN469" s="458"/>
      <c r="BA469" s="1305"/>
      <c r="BC469" s="169"/>
    </row>
    <row r="470" spans="19:55" ht="15.75" customHeight="1">
      <c r="S470" s="454"/>
      <c r="AN470" s="458"/>
      <c r="BA470" s="1305"/>
      <c r="BC470" s="169"/>
    </row>
    <row r="471" spans="19:55" ht="15.75" customHeight="1">
      <c r="S471" s="454"/>
      <c r="AN471" s="458"/>
      <c r="BA471" s="1305"/>
      <c r="BC471" s="169"/>
    </row>
    <row r="472" spans="19:55" ht="15.75" customHeight="1">
      <c r="S472" s="454"/>
      <c r="AN472" s="458"/>
      <c r="BA472" s="1305"/>
      <c r="BC472" s="169"/>
    </row>
    <row r="473" spans="19:55" ht="15.75" customHeight="1">
      <c r="S473" s="454"/>
      <c r="AN473" s="458"/>
      <c r="BA473" s="1305"/>
      <c r="BC473" s="169"/>
    </row>
    <row r="474" spans="19:55" ht="15.75" customHeight="1">
      <c r="S474" s="454"/>
      <c r="AN474" s="458"/>
      <c r="BA474" s="1305"/>
      <c r="BC474" s="169"/>
    </row>
    <row r="475" spans="19:55" ht="15.75" customHeight="1">
      <c r="S475" s="454"/>
      <c r="AN475" s="458"/>
      <c r="BA475" s="1305"/>
      <c r="BC475" s="169"/>
    </row>
    <row r="476" spans="19:55" ht="15.75" customHeight="1">
      <c r="S476" s="454"/>
      <c r="AN476" s="458"/>
      <c r="BA476" s="1305"/>
      <c r="BC476" s="169"/>
    </row>
    <row r="477" spans="19:55" ht="15.75" customHeight="1">
      <c r="S477" s="454"/>
      <c r="AN477" s="458"/>
      <c r="BA477" s="1305"/>
      <c r="BC477" s="169"/>
    </row>
    <row r="478" spans="19:55" ht="15.75" customHeight="1">
      <c r="S478" s="454"/>
      <c r="AN478" s="458"/>
      <c r="BA478" s="1305"/>
      <c r="BC478" s="169"/>
    </row>
    <row r="479" spans="19:55" ht="15.75" customHeight="1">
      <c r="S479" s="454"/>
      <c r="AN479" s="458"/>
      <c r="BA479" s="1305"/>
      <c r="BC479" s="169"/>
    </row>
    <row r="480" spans="19:55" ht="15.75" customHeight="1">
      <c r="S480" s="454"/>
      <c r="AN480" s="458"/>
      <c r="BA480" s="1305"/>
      <c r="BC480" s="169"/>
    </row>
    <row r="481" spans="19:55" ht="15.75" customHeight="1">
      <c r="S481" s="454"/>
      <c r="AN481" s="458"/>
      <c r="BA481" s="1305"/>
      <c r="BC481" s="169"/>
    </row>
    <row r="482" spans="19:55" ht="15.75" customHeight="1">
      <c r="S482" s="454"/>
      <c r="AN482" s="458"/>
      <c r="BA482" s="1305"/>
      <c r="BC482" s="169"/>
    </row>
    <row r="483" spans="19:55" ht="15.75" customHeight="1">
      <c r="S483" s="454"/>
      <c r="AN483" s="458"/>
      <c r="BA483" s="1305"/>
      <c r="BC483" s="169"/>
    </row>
    <row r="484" spans="19:55" ht="15.75" customHeight="1">
      <c r="S484" s="454"/>
      <c r="AN484" s="458"/>
      <c r="BA484" s="1305"/>
      <c r="BC484" s="169"/>
    </row>
    <row r="485" spans="19:55" ht="15.75" customHeight="1">
      <c r="S485" s="454"/>
      <c r="AN485" s="458"/>
      <c r="BA485" s="1305"/>
      <c r="BC485" s="169"/>
    </row>
    <row r="486" spans="19:55" ht="15.75" customHeight="1">
      <c r="S486" s="454"/>
      <c r="AN486" s="458"/>
      <c r="BA486" s="1305"/>
      <c r="BC486" s="169"/>
    </row>
    <row r="487" spans="19:55" ht="15.75" customHeight="1">
      <c r="S487" s="454"/>
      <c r="AN487" s="458"/>
      <c r="BA487" s="1305"/>
      <c r="BC487" s="169"/>
    </row>
    <row r="488" spans="19:55" ht="15.75" customHeight="1">
      <c r="S488" s="454"/>
      <c r="AN488" s="458"/>
      <c r="BA488" s="1305"/>
      <c r="BC488" s="169"/>
    </row>
    <row r="489" spans="19:55" ht="15.75" customHeight="1">
      <c r="S489" s="454"/>
      <c r="AN489" s="458"/>
      <c r="BA489" s="1305"/>
      <c r="BC489" s="169"/>
    </row>
    <row r="490" spans="19:55" ht="15.75" customHeight="1">
      <c r="S490" s="454"/>
      <c r="AN490" s="458"/>
      <c r="BA490" s="1305"/>
      <c r="BC490" s="169"/>
    </row>
    <row r="491" spans="19:55" ht="15.75" customHeight="1">
      <c r="S491" s="454"/>
      <c r="AN491" s="458"/>
      <c r="BA491" s="1305"/>
      <c r="BC491" s="169"/>
    </row>
    <row r="492" spans="19:55" ht="15.75" customHeight="1">
      <c r="S492" s="454"/>
      <c r="AN492" s="458"/>
      <c r="BA492" s="1305"/>
      <c r="BC492" s="169"/>
    </row>
    <row r="493" spans="19:55" ht="15.75" customHeight="1">
      <c r="S493" s="454"/>
      <c r="AN493" s="458"/>
      <c r="BA493" s="1305"/>
      <c r="BC493" s="169"/>
    </row>
    <row r="494" spans="19:55" ht="15.75" customHeight="1">
      <c r="S494" s="454"/>
      <c r="AN494" s="458"/>
      <c r="BA494" s="1305"/>
      <c r="BC494" s="169"/>
    </row>
    <row r="495" spans="19:55" ht="15.75" customHeight="1">
      <c r="S495" s="454"/>
      <c r="AN495" s="458"/>
      <c r="BA495" s="1305"/>
      <c r="BC495" s="169"/>
    </row>
    <row r="496" spans="19:55" ht="15.75" customHeight="1">
      <c r="S496" s="454"/>
      <c r="AN496" s="458"/>
      <c r="BA496" s="1305"/>
      <c r="BC496" s="169"/>
    </row>
    <row r="497" spans="19:55" ht="15.75" customHeight="1">
      <c r="S497" s="454"/>
      <c r="AN497" s="458"/>
      <c r="BA497" s="1305"/>
      <c r="BC497" s="169"/>
    </row>
    <row r="498" spans="19:55" ht="15.75" customHeight="1">
      <c r="S498" s="454"/>
      <c r="AN498" s="458"/>
      <c r="BA498" s="1305"/>
      <c r="BC498" s="169"/>
    </row>
    <row r="499" spans="19:55" ht="15.75" customHeight="1">
      <c r="S499" s="454"/>
      <c r="AN499" s="458"/>
      <c r="BA499" s="1305"/>
      <c r="BC499" s="169"/>
    </row>
    <row r="500" spans="19:55" ht="15.75" customHeight="1">
      <c r="S500" s="454"/>
      <c r="AN500" s="458"/>
      <c r="BA500" s="1305"/>
      <c r="BC500" s="169"/>
    </row>
    <row r="501" spans="19:55" ht="15.75" customHeight="1">
      <c r="S501" s="454"/>
      <c r="AN501" s="458"/>
      <c r="BA501" s="1305"/>
      <c r="BC501" s="169"/>
    </row>
    <row r="502" spans="19:55" ht="15.75" customHeight="1">
      <c r="S502" s="454"/>
      <c r="AN502" s="458"/>
      <c r="BA502" s="1305"/>
      <c r="BC502" s="169"/>
    </row>
    <row r="503" spans="19:55" ht="15.75" customHeight="1">
      <c r="S503" s="454"/>
      <c r="AN503" s="458"/>
      <c r="BA503" s="1305"/>
      <c r="BC503" s="169"/>
    </row>
    <row r="504" spans="19:55" ht="15.75" customHeight="1">
      <c r="S504" s="454"/>
      <c r="AN504" s="458"/>
      <c r="BA504" s="1305"/>
      <c r="BC504" s="169"/>
    </row>
    <row r="505" spans="19:55" ht="15.75" customHeight="1">
      <c r="S505" s="454"/>
      <c r="AN505" s="458"/>
      <c r="BA505" s="1305"/>
      <c r="BC505" s="169"/>
    </row>
    <row r="506" spans="19:55" ht="15.75" customHeight="1">
      <c r="S506" s="454"/>
      <c r="AN506" s="458"/>
      <c r="BA506" s="1305"/>
      <c r="BC506" s="169"/>
    </row>
    <row r="507" spans="19:55" ht="15.75" customHeight="1">
      <c r="S507" s="454"/>
      <c r="AN507" s="458"/>
      <c r="BA507" s="1305"/>
      <c r="BC507" s="169"/>
    </row>
    <row r="508" spans="19:55" ht="15.75" customHeight="1">
      <c r="S508" s="454"/>
      <c r="AN508" s="458"/>
      <c r="BA508" s="1305"/>
      <c r="BC508" s="169"/>
    </row>
    <row r="509" spans="19:55" ht="15.75" customHeight="1">
      <c r="S509" s="454"/>
      <c r="AN509" s="458"/>
      <c r="BA509" s="1305"/>
      <c r="BC509" s="169"/>
    </row>
    <row r="510" spans="19:55" ht="15.75" customHeight="1">
      <c r="S510" s="454"/>
      <c r="AN510" s="458"/>
      <c r="BA510" s="1305"/>
      <c r="BC510" s="169"/>
    </row>
    <row r="511" spans="19:55" ht="15.75" customHeight="1">
      <c r="S511" s="454"/>
      <c r="AN511" s="458"/>
      <c r="BA511" s="1305"/>
      <c r="BC511" s="169"/>
    </row>
    <row r="512" spans="19:55" ht="15.75" customHeight="1">
      <c r="S512" s="454"/>
      <c r="AN512" s="458"/>
      <c r="BA512" s="1305"/>
      <c r="BC512" s="169"/>
    </row>
    <row r="513" spans="19:55" ht="15.75" customHeight="1">
      <c r="S513" s="454"/>
      <c r="AN513" s="458"/>
      <c r="BA513" s="1305"/>
      <c r="BC513" s="169"/>
    </row>
    <row r="514" spans="19:55" ht="15.75" customHeight="1">
      <c r="S514" s="454"/>
      <c r="AN514" s="458"/>
      <c r="BA514" s="1305"/>
      <c r="BC514" s="169"/>
    </row>
    <row r="515" spans="19:55" ht="15.75" customHeight="1">
      <c r="S515" s="454"/>
      <c r="AN515" s="458"/>
      <c r="BA515" s="1305"/>
      <c r="BC515" s="169"/>
    </row>
    <row r="516" spans="19:55" ht="15.75" customHeight="1">
      <c r="S516" s="454"/>
      <c r="AN516" s="458"/>
      <c r="BA516" s="1305"/>
      <c r="BC516" s="169"/>
    </row>
    <row r="517" spans="19:55" ht="15.75" customHeight="1">
      <c r="S517" s="454"/>
      <c r="AN517" s="458"/>
      <c r="BA517" s="1305"/>
      <c r="BC517" s="169"/>
    </row>
    <row r="518" spans="19:55" ht="15.75" customHeight="1">
      <c r="S518" s="454"/>
      <c r="AN518" s="458"/>
      <c r="BA518" s="1305"/>
      <c r="BC518" s="169"/>
    </row>
    <row r="519" spans="19:55" ht="15.75" customHeight="1">
      <c r="S519" s="454"/>
      <c r="AN519" s="458"/>
      <c r="BA519" s="1305"/>
      <c r="BC519" s="169"/>
    </row>
    <row r="520" spans="19:55" ht="15.75" customHeight="1">
      <c r="S520" s="454"/>
      <c r="AN520" s="458"/>
      <c r="BA520" s="1305"/>
      <c r="BC520" s="169"/>
    </row>
    <row r="521" spans="19:55" ht="15.75" customHeight="1">
      <c r="S521" s="454"/>
      <c r="AN521" s="458"/>
      <c r="BA521" s="1305"/>
      <c r="BC521" s="169"/>
    </row>
    <row r="522" spans="19:55" ht="15.75" customHeight="1">
      <c r="S522" s="454"/>
      <c r="AN522" s="458"/>
      <c r="BA522" s="1305"/>
      <c r="BC522" s="169"/>
    </row>
    <row r="523" spans="19:55" ht="15.75" customHeight="1">
      <c r="S523" s="454"/>
      <c r="AN523" s="458"/>
      <c r="BA523" s="1305"/>
      <c r="BC523" s="169"/>
    </row>
    <row r="524" spans="19:55" ht="15.75" customHeight="1">
      <c r="S524" s="454"/>
      <c r="AN524" s="458"/>
      <c r="BA524" s="1305"/>
      <c r="BC524" s="169"/>
    </row>
    <row r="525" spans="19:55" ht="15.75" customHeight="1">
      <c r="S525" s="454"/>
      <c r="AN525" s="458"/>
      <c r="BA525" s="1305"/>
      <c r="BC525" s="169"/>
    </row>
    <row r="526" spans="19:55" ht="15.75" customHeight="1">
      <c r="S526" s="454"/>
      <c r="AN526" s="458"/>
      <c r="BA526" s="1305"/>
      <c r="BC526" s="169"/>
    </row>
    <row r="527" spans="19:55" ht="15.75" customHeight="1">
      <c r="S527" s="454"/>
      <c r="AN527" s="458"/>
      <c r="BA527" s="1305"/>
      <c r="BC527" s="169"/>
    </row>
    <row r="528" spans="19:55" ht="15.75" customHeight="1">
      <c r="S528" s="454"/>
      <c r="AN528" s="458"/>
      <c r="BA528" s="1305"/>
      <c r="BC528" s="169"/>
    </row>
    <row r="529" spans="19:55" ht="15.75" customHeight="1">
      <c r="S529" s="454"/>
      <c r="AN529" s="458"/>
      <c r="BA529" s="1305"/>
      <c r="BC529" s="169"/>
    </row>
    <row r="530" spans="19:55" ht="15.75" customHeight="1">
      <c r="S530" s="454"/>
      <c r="AN530" s="458"/>
      <c r="BA530" s="1305"/>
      <c r="BC530" s="169"/>
    </row>
    <row r="531" spans="19:55" ht="15.75" customHeight="1">
      <c r="S531" s="454"/>
      <c r="AN531" s="458"/>
      <c r="BA531" s="1305"/>
      <c r="BC531" s="169"/>
    </row>
    <row r="532" spans="19:55" ht="15.75" customHeight="1">
      <c r="S532" s="454"/>
      <c r="AN532" s="458"/>
      <c r="BA532" s="1305"/>
      <c r="BC532" s="169"/>
    </row>
    <row r="533" spans="19:55" ht="15.75" customHeight="1">
      <c r="S533" s="454"/>
      <c r="AN533" s="458"/>
      <c r="BA533" s="1305"/>
      <c r="BC533" s="169"/>
    </row>
    <row r="534" spans="19:55" ht="15.75" customHeight="1">
      <c r="S534" s="454"/>
      <c r="AN534" s="458"/>
      <c r="BA534" s="1305"/>
      <c r="BC534" s="169"/>
    </row>
    <row r="535" spans="19:55" ht="15.75" customHeight="1">
      <c r="S535" s="454"/>
      <c r="AN535" s="458"/>
      <c r="BA535" s="1305"/>
      <c r="BC535" s="169"/>
    </row>
    <row r="536" spans="19:55" ht="15.75" customHeight="1">
      <c r="S536" s="454"/>
      <c r="AN536" s="458"/>
      <c r="BA536" s="1305"/>
      <c r="BC536" s="169"/>
    </row>
    <row r="537" spans="19:55" ht="15.75" customHeight="1">
      <c r="S537" s="454"/>
      <c r="AN537" s="458"/>
      <c r="BA537" s="1305"/>
      <c r="BC537" s="169"/>
    </row>
    <row r="538" spans="19:55" ht="15.75" customHeight="1">
      <c r="S538" s="454"/>
      <c r="AN538" s="458"/>
      <c r="BA538" s="1305"/>
      <c r="BC538" s="169"/>
    </row>
    <row r="539" spans="19:55" ht="15.75" customHeight="1">
      <c r="S539" s="454"/>
      <c r="AN539" s="458"/>
      <c r="BA539" s="1305"/>
      <c r="BC539" s="169"/>
    </row>
    <row r="540" spans="19:55" ht="15.75" customHeight="1">
      <c r="S540" s="454"/>
      <c r="AN540" s="458"/>
      <c r="BA540" s="1305"/>
      <c r="BC540" s="169"/>
    </row>
    <row r="541" spans="19:55" ht="15.75" customHeight="1">
      <c r="S541" s="454"/>
      <c r="AN541" s="458"/>
      <c r="BA541" s="1305"/>
      <c r="BC541" s="169"/>
    </row>
    <row r="542" spans="19:55" ht="15.75" customHeight="1">
      <c r="S542" s="454"/>
      <c r="AN542" s="458"/>
      <c r="BA542" s="1305"/>
      <c r="BC542" s="169"/>
    </row>
    <row r="543" spans="19:55" ht="15.75" customHeight="1">
      <c r="S543" s="454"/>
      <c r="AN543" s="458"/>
      <c r="BA543" s="1305"/>
      <c r="BC543" s="169"/>
    </row>
    <row r="544" spans="19:55" ht="15.75" customHeight="1">
      <c r="S544" s="454"/>
      <c r="AN544" s="458"/>
      <c r="BA544" s="1305"/>
      <c r="BC544" s="169"/>
    </row>
    <row r="545" spans="19:55" ht="15.75" customHeight="1">
      <c r="S545" s="454"/>
      <c r="AN545" s="458"/>
      <c r="BA545" s="1305"/>
      <c r="BC545" s="169"/>
    </row>
    <row r="546" spans="19:55" ht="15.75" customHeight="1">
      <c r="S546" s="454"/>
      <c r="AN546" s="458"/>
      <c r="BA546" s="1305"/>
      <c r="BC546" s="169"/>
    </row>
    <row r="547" spans="19:55" ht="15.75" customHeight="1">
      <c r="S547" s="454"/>
      <c r="AN547" s="458"/>
      <c r="BA547" s="1305"/>
      <c r="BC547" s="169"/>
    </row>
    <row r="548" spans="19:55" ht="15.75" customHeight="1">
      <c r="S548" s="454"/>
      <c r="AN548" s="458"/>
      <c r="BA548" s="1305"/>
      <c r="BC548" s="169"/>
    </row>
    <row r="549" spans="19:55" ht="15.75" customHeight="1">
      <c r="S549" s="454"/>
      <c r="AN549" s="458"/>
      <c r="BA549" s="1305"/>
      <c r="BC549" s="169"/>
    </row>
    <row r="550" spans="19:55" ht="15.75" customHeight="1">
      <c r="S550" s="454"/>
      <c r="AN550" s="458"/>
      <c r="BA550" s="1305"/>
      <c r="BC550" s="169"/>
    </row>
    <row r="551" spans="19:55" ht="15.75" customHeight="1">
      <c r="S551" s="454"/>
      <c r="AN551" s="458"/>
      <c r="BA551" s="1305"/>
      <c r="BC551" s="169"/>
    </row>
    <row r="552" spans="19:55" ht="15.75" customHeight="1">
      <c r="S552" s="454"/>
      <c r="AN552" s="458"/>
      <c r="BA552" s="1305"/>
      <c r="BC552" s="169"/>
    </row>
    <row r="553" spans="19:55" ht="15.75" customHeight="1">
      <c r="S553" s="454"/>
      <c r="AN553" s="458"/>
      <c r="BA553" s="1305"/>
      <c r="BC553" s="169"/>
    </row>
    <row r="554" spans="19:55" ht="15.75" customHeight="1">
      <c r="S554" s="454"/>
      <c r="AN554" s="458"/>
      <c r="BA554" s="1305"/>
      <c r="BC554" s="169"/>
    </row>
    <row r="555" spans="19:55" ht="15.75" customHeight="1">
      <c r="S555" s="454"/>
      <c r="AN555" s="458"/>
      <c r="BA555" s="1305"/>
      <c r="BC555" s="169"/>
    </row>
    <row r="556" spans="19:55" ht="15.75" customHeight="1">
      <c r="S556" s="454"/>
      <c r="AN556" s="458"/>
      <c r="BA556" s="1305"/>
      <c r="BC556" s="169"/>
    </row>
    <row r="557" spans="19:55" ht="15.75" customHeight="1">
      <c r="S557" s="454"/>
      <c r="AN557" s="458"/>
      <c r="BA557" s="1305"/>
      <c r="BC557" s="169"/>
    </row>
    <row r="558" spans="19:55" ht="15.75" customHeight="1">
      <c r="S558" s="454"/>
      <c r="AN558" s="458"/>
      <c r="BA558" s="1305"/>
      <c r="BC558" s="169"/>
    </row>
    <row r="559" spans="19:55" ht="15.75" customHeight="1">
      <c r="S559" s="454"/>
      <c r="AN559" s="458"/>
      <c r="BA559" s="1305"/>
      <c r="BC559" s="169"/>
    </row>
    <row r="560" spans="19:55" ht="15.75" customHeight="1">
      <c r="S560" s="454"/>
      <c r="AN560" s="458"/>
      <c r="BA560" s="1305"/>
      <c r="BC560" s="169"/>
    </row>
    <row r="561" spans="19:55" ht="15.75" customHeight="1">
      <c r="S561" s="454"/>
      <c r="AN561" s="458"/>
      <c r="BA561" s="1305"/>
      <c r="BC561" s="169"/>
    </row>
    <row r="562" spans="19:55" ht="15.75" customHeight="1">
      <c r="S562" s="454"/>
      <c r="AN562" s="458"/>
      <c r="BA562" s="1305"/>
      <c r="BC562" s="169"/>
    </row>
    <row r="563" spans="19:55" ht="15.75" customHeight="1">
      <c r="S563" s="454"/>
      <c r="AN563" s="458"/>
      <c r="BA563" s="1305"/>
      <c r="BC563" s="169"/>
    </row>
    <row r="564" spans="19:55" ht="15.75" customHeight="1">
      <c r="S564" s="454"/>
      <c r="AN564" s="458"/>
      <c r="BA564" s="1305"/>
      <c r="BC564" s="169"/>
    </row>
    <row r="565" spans="19:55" ht="15.75" customHeight="1">
      <c r="S565" s="454"/>
      <c r="AN565" s="458"/>
      <c r="BA565" s="1305"/>
      <c r="BC565" s="169"/>
    </row>
    <row r="566" spans="19:55" ht="15.75" customHeight="1">
      <c r="S566" s="454"/>
      <c r="AN566" s="458"/>
      <c r="BA566" s="1305"/>
      <c r="BC566" s="169"/>
    </row>
    <row r="567" spans="19:55" ht="15.75" customHeight="1">
      <c r="S567" s="454"/>
      <c r="AN567" s="458"/>
      <c r="BA567" s="1305"/>
      <c r="BC567" s="169"/>
    </row>
    <row r="568" spans="19:55" ht="15.75" customHeight="1">
      <c r="S568" s="454"/>
      <c r="AN568" s="458"/>
      <c r="BA568" s="1305"/>
      <c r="BC568" s="169"/>
    </row>
    <row r="569" spans="19:55" ht="15.75" customHeight="1">
      <c r="S569" s="454"/>
      <c r="AN569" s="458"/>
      <c r="BA569" s="1305"/>
      <c r="BC569" s="169"/>
    </row>
    <row r="570" spans="19:55" ht="15.75" customHeight="1">
      <c r="S570" s="454"/>
      <c r="AN570" s="458"/>
      <c r="BA570" s="1305"/>
      <c r="BC570" s="169"/>
    </row>
    <row r="571" spans="19:55" ht="15.75" customHeight="1">
      <c r="S571" s="454"/>
      <c r="AN571" s="458"/>
      <c r="BA571" s="1305"/>
      <c r="BC571" s="169"/>
    </row>
    <row r="572" spans="19:55" ht="15.75" customHeight="1">
      <c r="S572" s="454"/>
      <c r="AN572" s="458"/>
      <c r="BA572" s="1305"/>
      <c r="BC572" s="169"/>
    </row>
    <row r="573" spans="19:55" ht="15.75" customHeight="1">
      <c r="S573" s="454"/>
      <c r="AN573" s="458"/>
      <c r="BA573" s="1305"/>
      <c r="BC573" s="169"/>
    </row>
    <row r="574" spans="19:55" ht="15.75" customHeight="1">
      <c r="S574" s="454"/>
      <c r="AN574" s="458"/>
      <c r="BA574" s="1305"/>
      <c r="BC574" s="169"/>
    </row>
    <row r="575" spans="19:55" ht="15.75" customHeight="1">
      <c r="S575" s="454"/>
      <c r="AN575" s="458"/>
      <c r="BA575" s="1305"/>
      <c r="BC575" s="169"/>
    </row>
    <row r="576" spans="19:55" ht="15.75" customHeight="1">
      <c r="S576" s="454"/>
      <c r="AN576" s="458"/>
      <c r="BA576" s="1305"/>
      <c r="BC576" s="169"/>
    </row>
    <row r="577" spans="19:55" ht="15.75" customHeight="1">
      <c r="S577" s="454"/>
      <c r="AN577" s="458"/>
      <c r="BA577" s="1305"/>
      <c r="BC577" s="169"/>
    </row>
    <row r="578" spans="19:55" ht="15.75" customHeight="1">
      <c r="S578" s="454"/>
      <c r="AN578" s="458"/>
      <c r="BA578" s="1305"/>
      <c r="BC578" s="169"/>
    </row>
    <row r="579" spans="19:55" ht="15.75" customHeight="1">
      <c r="S579" s="454"/>
      <c r="AN579" s="458"/>
      <c r="BA579" s="1305"/>
      <c r="BC579" s="169"/>
    </row>
    <row r="580" spans="19:55" ht="15.75" customHeight="1">
      <c r="S580" s="454"/>
      <c r="AN580" s="458"/>
      <c r="BA580" s="1305"/>
      <c r="BC580" s="169"/>
    </row>
    <row r="581" spans="19:55" ht="15.75" customHeight="1">
      <c r="S581" s="454"/>
      <c r="AN581" s="458"/>
      <c r="BA581" s="1305"/>
      <c r="BC581" s="169"/>
    </row>
    <row r="582" spans="19:55" ht="15.75" customHeight="1">
      <c r="S582" s="454"/>
      <c r="AN582" s="458"/>
      <c r="BA582" s="1305"/>
      <c r="BC582" s="169"/>
    </row>
    <row r="583" spans="19:55" ht="15.75" customHeight="1">
      <c r="S583" s="454"/>
      <c r="AN583" s="458"/>
      <c r="BA583" s="1305"/>
      <c r="BC583" s="169"/>
    </row>
    <row r="584" spans="19:55" ht="15.75" customHeight="1">
      <c r="S584" s="454"/>
      <c r="AN584" s="458"/>
      <c r="BA584" s="1305"/>
      <c r="BC584" s="169"/>
    </row>
    <row r="585" spans="19:55" ht="15.75" customHeight="1">
      <c r="S585" s="454"/>
      <c r="AN585" s="458"/>
      <c r="BA585" s="1305"/>
      <c r="BC585" s="169"/>
    </row>
    <row r="586" spans="19:55" ht="15.75" customHeight="1">
      <c r="S586" s="454"/>
      <c r="AN586" s="458"/>
      <c r="BA586" s="1305"/>
      <c r="BC586" s="169"/>
    </row>
    <row r="587" spans="19:55" ht="15.75" customHeight="1">
      <c r="S587" s="454"/>
      <c r="AN587" s="458"/>
      <c r="BA587" s="1305"/>
      <c r="BC587" s="169"/>
    </row>
    <row r="588" spans="19:55" ht="15.75" customHeight="1">
      <c r="S588" s="454"/>
      <c r="AN588" s="458"/>
      <c r="BA588" s="1305"/>
      <c r="BC588" s="169"/>
    </row>
    <row r="589" spans="19:55" ht="15.75" customHeight="1">
      <c r="S589" s="454"/>
      <c r="AN589" s="458"/>
      <c r="BA589" s="1305"/>
      <c r="BC589" s="169"/>
    </row>
    <row r="590" spans="19:55" ht="15.75" customHeight="1">
      <c r="S590" s="454"/>
      <c r="AN590" s="458"/>
      <c r="BA590" s="1305"/>
      <c r="BC590" s="169"/>
    </row>
    <row r="591" spans="19:55" ht="15.75" customHeight="1">
      <c r="S591" s="454"/>
      <c r="AN591" s="458"/>
      <c r="BA591" s="1305"/>
      <c r="BC591" s="169"/>
    </row>
    <row r="592" spans="19:55" ht="15.75" customHeight="1">
      <c r="S592" s="454"/>
      <c r="AN592" s="458"/>
      <c r="BA592" s="1305"/>
      <c r="BC592" s="169"/>
    </row>
    <row r="593" spans="19:55" ht="15.75" customHeight="1">
      <c r="S593" s="454"/>
      <c r="AN593" s="458"/>
      <c r="BA593" s="1305"/>
      <c r="BC593" s="169"/>
    </row>
    <row r="594" spans="19:55" ht="15.75" customHeight="1">
      <c r="S594" s="454"/>
      <c r="AN594" s="458"/>
      <c r="BA594" s="1305"/>
      <c r="BC594" s="169"/>
    </row>
    <row r="595" spans="19:55" ht="15.75" customHeight="1">
      <c r="S595" s="454"/>
      <c r="AN595" s="458"/>
      <c r="BA595" s="1305"/>
      <c r="BC595" s="169"/>
    </row>
    <row r="596" spans="19:55" ht="15.75" customHeight="1">
      <c r="S596" s="454"/>
      <c r="AN596" s="458"/>
      <c r="BA596" s="1305"/>
      <c r="BC596" s="169"/>
    </row>
    <row r="597" spans="19:55" ht="15.75" customHeight="1">
      <c r="S597" s="454"/>
      <c r="AN597" s="458"/>
      <c r="BA597" s="1305"/>
      <c r="BC597" s="169"/>
    </row>
    <row r="598" spans="19:55" ht="15.75" customHeight="1">
      <c r="S598" s="454"/>
      <c r="AN598" s="458"/>
      <c r="BA598" s="1305"/>
      <c r="BC598" s="169"/>
    </row>
    <row r="599" spans="19:55" ht="15.75" customHeight="1">
      <c r="S599" s="454"/>
      <c r="AN599" s="458"/>
      <c r="BA599" s="1305"/>
      <c r="BC599" s="169"/>
    </row>
    <row r="600" spans="19:55" ht="15.75" customHeight="1">
      <c r="S600" s="454"/>
      <c r="AN600" s="458"/>
      <c r="BA600" s="1305"/>
      <c r="BC600" s="169"/>
    </row>
    <row r="601" spans="19:55" ht="15.75" customHeight="1">
      <c r="S601" s="454"/>
      <c r="AN601" s="458"/>
      <c r="BA601" s="1305"/>
      <c r="BC601" s="169"/>
    </row>
    <row r="602" spans="19:55" ht="15.75" customHeight="1">
      <c r="S602" s="454"/>
      <c r="AN602" s="458"/>
      <c r="BA602" s="1305"/>
      <c r="BC602" s="169"/>
    </row>
    <row r="603" spans="19:55" ht="15.75" customHeight="1">
      <c r="S603" s="454"/>
      <c r="AN603" s="458"/>
      <c r="BA603" s="1305"/>
      <c r="BC603" s="169"/>
    </row>
    <row r="604" spans="19:55" ht="15.75" customHeight="1">
      <c r="S604" s="454"/>
      <c r="AN604" s="458"/>
      <c r="BA604" s="1305"/>
      <c r="BC604" s="169"/>
    </row>
    <row r="605" spans="19:55" ht="15.75" customHeight="1">
      <c r="S605" s="454"/>
      <c r="AN605" s="458"/>
      <c r="BA605" s="1305"/>
      <c r="BC605" s="169"/>
    </row>
    <row r="606" spans="19:55" ht="15.75" customHeight="1">
      <c r="S606" s="454"/>
      <c r="AN606" s="458"/>
      <c r="BA606" s="1305"/>
      <c r="BC606" s="169"/>
    </row>
    <row r="607" spans="19:55" ht="15.75" customHeight="1">
      <c r="S607" s="454"/>
      <c r="AN607" s="458"/>
      <c r="BA607" s="1305"/>
      <c r="BC607" s="169"/>
    </row>
    <row r="608" spans="19:55" ht="15.75" customHeight="1">
      <c r="S608" s="454"/>
      <c r="AN608" s="458"/>
      <c r="BA608" s="1305"/>
      <c r="BC608" s="169"/>
    </row>
    <row r="609" spans="19:55" ht="15.75" customHeight="1">
      <c r="S609" s="454"/>
      <c r="AN609" s="458"/>
      <c r="BA609" s="1305"/>
      <c r="BC609" s="169"/>
    </row>
    <row r="610" spans="19:55" ht="15.75" customHeight="1">
      <c r="S610" s="454"/>
      <c r="AN610" s="458"/>
      <c r="BA610" s="1305"/>
      <c r="BC610" s="169"/>
    </row>
    <row r="611" spans="19:55" ht="15.75" customHeight="1">
      <c r="S611" s="454"/>
      <c r="AN611" s="458"/>
      <c r="BA611" s="1305"/>
      <c r="BC611" s="169"/>
    </row>
    <row r="612" spans="19:55" ht="15.75" customHeight="1">
      <c r="S612" s="454"/>
      <c r="AN612" s="458"/>
      <c r="BA612" s="1305"/>
      <c r="BC612" s="169"/>
    </row>
    <row r="613" spans="19:55" ht="15.75" customHeight="1">
      <c r="S613" s="454"/>
      <c r="AN613" s="458"/>
      <c r="BA613" s="1305"/>
      <c r="BC613" s="169"/>
    </row>
    <row r="614" spans="19:55" ht="15.75" customHeight="1">
      <c r="S614" s="454"/>
      <c r="AN614" s="458"/>
      <c r="BA614" s="1305"/>
      <c r="BC614" s="169"/>
    </row>
    <row r="615" spans="19:55" ht="15.75" customHeight="1">
      <c r="S615" s="454"/>
      <c r="AN615" s="458"/>
      <c r="BA615" s="1305"/>
      <c r="BC615" s="169"/>
    </row>
    <row r="616" spans="19:55" ht="15.75" customHeight="1">
      <c r="S616" s="454"/>
      <c r="AN616" s="458"/>
      <c r="BA616" s="1305"/>
      <c r="BC616" s="169"/>
    </row>
    <row r="617" spans="19:55" ht="15.75" customHeight="1">
      <c r="S617" s="454"/>
      <c r="AN617" s="458"/>
      <c r="BA617" s="1305"/>
      <c r="BC617" s="169"/>
    </row>
    <row r="618" spans="19:55" ht="15.75" customHeight="1">
      <c r="S618" s="454"/>
      <c r="AN618" s="458"/>
      <c r="BA618" s="1305"/>
      <c r="BC618" s="169"/>
    </row>
    <row r="619" spans="19:55" ht="15.75" customHeight="1">
      <c r="S619" s="454"/>
      <c r="AN619" s="458"/>
      <c r="BA619" s="1305"/>
      <c r="BC619" s="169"/>
    </row>
    <row r="620" spans="19:55" ht="15.75" customHeight="1">
      <c r="S620" s="454"/>
      <c r="AN620" s="458"/>
      <c r="BA620" s="1305"/>
      <c r="BC620" s="169"/>
    </row>
    <row r="621" spans="19:55" ht="15.75" customHeight="1">
      <c r="S621" s="454"/>
      <c r="AN621" s="458"/>
      <c r="BA621" s="1305"/>
      <c r="BC621" s="169"/>
    </row>
    <row r="622" spans="19:55" ht="15.75" customHeight="1">
      <c r="S622" s="454"/>
      <c r="AN622" s="458"/>
      <c r="BA622" s="1305"/>
      <c r="BC622" s="169"/>
    </row>
    <row r="623" spans="19:55" ht="15.75" customHeight="1">
      <c r="S623" s="454"/>
      <c r="AN623" s="458"/>
      <c r="BA623" s="1305"/>
      <c r="BC623" s="169"/>
    </row>
    <row r="624" spans="19:55" ht="15.75" customHeight="1">
      <c r="S624" s="454"/>
      <c r="AN624" s="458"/>
      <c r="BA624" s="1305"/>
      <c r="BC624" s="169"/>
    </row>
    <row r="625" spans="19:55" ht="15.75" customHeight="1">
      <c r="S625" s="454"/>
      <c r="AN625" s="458"/>
      <c r="BA625" s="1305"/>
      <c r="BC625" s="169"/>
    </row>
    <row r="626" spans="19:55" ht="15.75" customHeight="1">
      <c r="S626" s="454"/>
      <c r="AN626" s="458"/>
      <c r="BA626" s="1305"/>
      <c r="BC626" s="169"/>
    </row>
    <row r="627" spans="19:55" ht="15.75" customHeight="1">
      <c r="S627" s="454"/>
      <c r="AN627" s="458"/>
      <c r="BA627" s="1305"/>
      <c r="BC627" s="169"/>
    </row>
    <row r="628" spans="19:55" ht="15.75" customHeight="1">
      <c r="S628" s="454"/>
      <c r="AN628" s="458"/>
      <c r="BA628" s="1305"/>
      <c r="BC628" s="169"/>
    </row>
    <row r="629" spans="19:55" ht="15.75" customHeight="1">
      <c r="S629" s="454"/>
      <c r="AN629" s="458"/>
      <c r="BA629" s="1305"/>
      <c r="BC629" s="169"/>
    </row>
    <row r="630" spans="19:55" ht="15.75" customHeight="1">
      <c r="S630" s="454"/>
      <c r="AN630" s="458"/>
      <c r="BA630" s="1305"/>
      <c r="BC630" s="169"/>
    </row>
    <row r="631" spans="19:55" ht="15.75" customHeight="1">
      <c r="S631" s="454"/>
      <c r="AN631" s="458"/>
      <c r="BA631" s="1305"/>
      <c r="BC631" s="169"/>
    </row>
    <row r="632" spans="19:55" ht="15.75" customHeight="1">
      <c r="S632" s="454"/>
      <c r="AN632" s="458"/>
      <c r="BA632" s="1305"/>
      <c r="BC632" s="169"/>
    </row>
    <row r="633" spans="19:55" ht="15.75" customHeight="1">
      <c r="S633" s="454"/>
      <c r="AN633" s="458"/>
      <c r="BA633" s="1305"/>
      <c r="BC633" s="169"/>
    </row>
    <row r="634" spans="19:55" ht="15.75" customHeight="1">
      <c r="S634" s="454"/>
      <c r="AN634" s="458"/>
      <c r="BA634" s="1305"/>
      <c r="BC634" s="169"/>
    </row>
    <row r="635" spans="19:55" ht="15.75" customHeight="1">
      <c r="S635" s="454"/>
      <c r="AN635" s="458"/>
      <c r="BA635" s="1305"/>
      <c r="BC635" s="169"/>
    </row>
    <row r="636" spans="19:55" ht="15.75" customHeight="1">
      <c r="S636" s="454"/>
      <c r="AN636" s="458"/>
      <c r="BA636" s="1305"/>
      <c r="BC636" s="169"/>
    </row>
    <row r="637" spans="19:55" ht="15.75" customHeight="1">
      <c r="S637" s="454"/>
      <c r="AN637" s="458"/>
      <c r="BA637" s="1305"/>
      <c r="BC637" s="169"/>
    </row>
    <row r="638" spans="19:55" ht="15.75" customHeight="1">
      <c r="S638" s="454"/>
      <c r="AN638" s="458"/>
      <c r="BA638" s="1305"/>
      <c r="BC638" s="169"/>
    </row>
    <row r="639" spans="19:55" ht="15.75" customHeight="1">
      <c r="S639" s="454"/>
      <c r="AN639" s="458"/>
      <c r="BA639" s="1305"/>
      <c r="BC639" s="169"/>
    </row>
    <row r="640" spans="19:55" ht="15.75" customHeight="1">
      <c r="S640" s="454"/>
      <c r="AN640" s="458"/>
      <c r="BA640" s="1305"/>
      <c r="BC640" s="169"/>
    </row>
    <row r="641" spans="19:55" ht="15.75" customHeight="1">
      <c r="S641" s="454"/>
      <c r="AN641" s="458"/>
      <c r="BA641" s="1305"/>
      <c r="BC641" s="169"/>
    </row>
    <row r="642" spans="19:55" ht="15.75" customHeight="1">
      <c r="S642" s="454"/>
      <c r="AN642" s="458"/>
      <c r="BA642" s="1305"/>
      <c r="BC642" s="169"/>
    </row>
    <row r="643" spans="19:55" ht="15.75" customHeight="1">
      <c r="S643" s="454"/>
      <c r="AN643" s="458"/>
      <c r="BA643" s="1305"/>
      <c r="BC643" s="169"/>
    </row>
    <row r="644" spans="19:55" ht="15.75" customHeight="1">
      <c r="S644" s="454"/>
      <c r="AN644" s="458"/>
      <c r="BA644" s="1305"/>
      <c r="BC644" s="169"/>
    </row>
    <row r="645" spans="19:55" ht="15.75" customHeight="1">
      <c r="S645" s="454"/>
      <c r="AN645" s="458"/>
      <c r="BA645" s="1305"/>
      <c r="BC645" s="169"/>
    </row>
    <row r="646" spans="19:55" ht="15.75" customHeight="1">
      <c r="S646" s="454"/>
      <c r="AN646" s="458"/>
      <c r="BA646" s="1305"/>
      <c r="BC646" s="169"/>
    </row>
    <row r="647" spans="19:55" ht="15.75" customHeight="1">
      <c r="S647" s="454"/>
      <c r="AN647" s="458"/>
      <c r="BA647" s="1305"/>
      <c r="BC647" s="169"/>
    </row>
    <row r="648" spans="19:55" ht="15.75" customHeight="1">
      <c r="S648" s="454"/>
      <c r="AN648" s="458"/>
      <c r="BA648" s="1305"/>
      <c r="BC648" s="169"/>
    </row>
    <row r="649" spans="19:55" ht="15.75" customHeight="1">
      <c r="S649" s="454"/>
      <c r="AN649" s="458"/>
      <c r="BA649" s="1305"/>
      <c r="BC649" s="169"/>
    </row>
    <row r="650" spans="19:55" ht="15.75" customHeight="1">
      <c r="S650" s="454"/>
      <c r="AN650" s="458"/>
      <c r="BA650" s="1305"/>
      <c r="BC650" s="169"/>
    </row>
    <row r="651" spans="19:55" ht="15.75" customHeight="1">
      <c r="S651" s="454"/>
      <c r="AN651" s="458"/>
      <c r="BA651" s="1305"/>
      <c r="BC651" s="169"/>
    </row>
    <row r="652" spans="19:55" ht="15.75" customHeight="1">
      <c r="S652" s="454"/>
      <c r="AN652" s="458"/>
      <c r="BA652" s="1305"/>
      <c r="BC652" s="169"/>
    </row>
    <row r="653" spans="19:55" ht="15.75" customHeight="1">
      <c r="S653" s="454"/>
      <c r="AN653" s="458"/>
      <c r="BA653" s="1305"/>
      <c r="BC653" s="169"/>
    </row>
    <row r="654" spans="19:55" ht="15.75" customHeight="1">
      <c r="S654" s="454"/>
      <c r="AN654" s="458"/>
      <c r="BA654" s="1305"/>
      <c r="BC654" s="169"/>
    </row>
    <row r="655" spans="19:55" ht="15.75" customHeight="1">
      <c r="S655" s="454"/>
      <c r="AN655" s="458"/>
      <c r="BA655" s="1305"/>
      <c r="BC655" s="169"/>
    </row>
    <row r="656" spans="19:55" ht="15.75" customHeight="1">
      <c r="S656" s="454"/>
      <c r="AN656" s="458"/>
      <c r="BA656" s="1305"/>
      <c r="BC656" s="169"/>
    </row>
    <row r="657" spans="19:55" ht="15.75" customHeight="1">
      <c r="S657" s="454"/>
      <c r="AN657" s="458"/>
      <c r="BA657" s="1305"/>
      <c r="BC657" s="169"/>
    </row>
    <row r="658" spans="19:55" ht="15.75" customHeight="1">
      <c r="S658" s="454"/>
      <c r="AN658" s="458"/>
      <c r="BA658" s="1305"/>
      <c r="BC658" s="169"/>
    </row>
    <row r="659" spans="19:55" ht="15.75" customHeight="1">
      <c r="S659" s="454"/>
      <c r="AN659" s="458"/>
      <c r="BA659" s="1305"/>
      <c r="BC659" s="169"/>
    </row>
    <row r="660" spans="19:55" ht="15.75" customHeight="1">
      <c r="S660" s="454"/>
      <c r="AN660" s="458"/>
      <c r="BA660" s="1305"/>
      <c r="BC660" s="169"/>
    </row>
    <row r="661" spans="19:55" ht="15.75" customHeight="1">
      <c r="S661" s="454"/>
      <c r="AN661" s="458"/>
      <c r="BA661" s="1305"/>
      <c r="BC661" s="169"/>
    </row>
    <row r="662" spans="19:55" ht="15.75" customHeight="1">
      <c r="S662" s="454"/>
      <c r="AN662" s="458"/>
      <c r="BA662" s="1305"/>
      <c r="BC662" s="169"/>
    </row>
    <row r="663" spans="19:55" ht="15.75" customHeight="1">
      <c r="S663" s="454"/>
      <c r="AN663" s="458"/>
      <c r="BA663" s="1305"/>
      <c r="BC663" s="169"/>
    </row>
    <row r="664" spans="19:55" ht="15.75" customHeight="1">
      <c r="S664" s="454"/>
      <c r="AN664" s="458"/>
      <c r="BA664" s="1305"/>
      <c r="BC664" s="169"/>
    </row>
    <row r="665" spans="19:55" ht="15.75" customHeight="1">
      <c r="S665" s="454"/>
      <c r="AN665" s="458"/>
      <c r="BA665" s="1305"/>
      <c r="BC665" s="169"/>
    </row>
    <row r="666" spans="19:55" ht="15.75" customHeight="1">
      <c r="S666" s="454"/>
      <c r="AN666" s="458"/>
      <c r="BA666" s="1305"/>
      <c r="BC666" s="169"/>
    </row>
    <row r="667" spans="19:55" ht="15.75" customHeight="1">
      <c r="S667" s="454"/>
      <c r="AN667" s="458"/>
      <c r="BA667" s="1305"/>
      <c r="BC667" s="169"/>
    </row>
    <row r="668" spans="19:55" ht="15.75" customHeight="1">
      <c r="S668" s="454"/>
      <c r="AN668" s="458"/>
      <c r="BA668" s="1305"/>
      <c r="BC668" s="169"/>
    </row>
    <row r="669" spans="19:55" ht="15.75" customHeight="1">
      <c r="S669" s="454"/>
      <c r="AN669" s="458"/>
      <c r="BA669" s="1305"/>
      <c r="BC669" s="169"/>
    </row>
    <row r="670" spans="19:55" ht="15.75" customHeight="1">
      <c r="S670" s="454"/>
      <c r="AN670" s="458"/>
      <c r="BA670" s="1305"/>
      <c r="BC670" s="169"/>
    </row>
    <row r="671" spans="19:55" ht="15.75" customHeight="1">
      <c r="S671" s="454"/>
      <c r="AN671" s="458"/>
      <c r="BA671" s="1305"/>
      <c r="BC671" s="169"/>
    </row>
    <row r="672" spans="19:55" ht="15.75" customHeight="1">
      <c r="S672" s="454"/>
      <c r="AN672" s="458"/>
      <c r="BA672" s="1305"/>
      <c r="BC672" s="169"/>
    </row>
    <row r="673" spans="19:55" ht="15.75" customHeight="1">
      <c r="S673" s="454"/>
      <c r="AN673" s="458"/>
      <c r="BA673" s="1305"/>
      <c r="BC673" s="169"/>
    </row>
    <row r="674" spans="19:55" ht="15.75" customHeight="1">
      <c r="S674" s="454"/>
      <c r="AN674" s="458"/>
      <c r="BA674" s="1305"/>
      <c r="BC674" s="169"/>
    </row>
    <row r="675" spans="19:55" ht="15.75" customHeight="1">
      <c r="S675" s="454"/>
      <c r="AN675" s="458"/>
      <c r="BA675" s="1305"/>
      <c r="BC675" s="169"/>
    </row>
    <row r="676" spans="19:55" ht="15.75" customHeight="1">
      <c r="S676" s="454"/>
      <c r="AN676" s="458"/>
      <c r="BA676" s="1305"/>
      <c r="BC676" s="169"/>
    </row>
    <row r="677" spans="19:55" ht="15.75" customHeight="1">
      <c r="S677" s="454"/>
      <c r="AN677" s="458"/>
      <c r="BA677" s="1305"/>
      <c r="BC677" s="169"/>
    </row>
    <row r="678" spans="19:55" ht="15.75" customHeight="1">
      <c r="S678" s="454"/>
      <c r="AN678" s="458"/>
      <c r="BA678" s="1305"/>
      <c r="BC678" s="169"/>
    </row>
    <row r="679" spans="19:55" ht="15.75" customHeight="1">
      <c r="S679" s="454"/>
      <c r="AN679" s="458"/>
      <c r="BA679" s="1305"/>
      <c r="BC679" s="169"/>
    </row>
    <row r="680" spans="19:55" ht="15.75" customHeight="1">
      <c r="S680" s="454"/>
      <c r="AN680" s="458"/>
      <c r="BA680" s="1305"/>
      <c r="BC680" s="169"/>
    </row>
    <row r="681" spans="19:55" ht="15.75" customHeight="1">
      <c r="S681" s="454"/>
      <c r="AN681" s="458"/>
      <c r="BA681" s="1305"/>
      <c r="BC681" s="169"/>
    </row>
    <row r="682" spans="19:55" ht="15.75" customHeight="1">
      <c r="S682" s="454"/>
      <c r="AN682" s="458"/>
      <c r="BA682" s="1305"/>
      <c r="BC682" s="169"/>
    </row>
    <row r="683" spans="19:55" ht="15.75" customHeight="1">
      <c r="S683" s="454"/>
      <c r="AN683" s="458"/>
      <c r="BA683" s="1305"/>
      <c r="BC683" s="169"/>
    </row>
    <row r="684" spans="19:55" ht="15.75" customHeight="1">
      <c r="S684" s="454"/>
      <c r="AN684" s="458"/>
      <c r="BA684" s="1305"/>
      <c r="BC684" s="169"/>
    </row>
    <row r="685" spans="19:55" ht="15.75" customHeight="1">
      <c r="S685" s="454"/>
      <c r="AN685" s="458"/>
      <c r="BA685" s="1305"/>
      <c r="BC685" s="169"/>
    </row>
    <row r="686" spans="19:55" ht="15.75" customHeight="1">
      <c r="S686" s="454"/>
      <c r="AN686" s="458"/>
      <c r="BA686" s="1305"/>
      <c r="BC686" s="169"/>
    </row>
    <row r="687" spans="19:55" ht="15.75" customHeight="1">
      <c r="S687" s="454"/>
      <c r="AN687" s="458"/>
      <c r="BA687" s="1305"/>
      <c r="BC687" s="169"/>
    </row>
    <row r="688" spans="19:55" ht="15.75" customHeight="1">
      <c r="S688" s="454"/>
      <c r="AN688" s="458"/>
      <c r="BA688" s="1305"/>
      <c r="BC688" s="169"/>
    </row>
    <row r="689" spans="19:55" ht="15.75" customHeight="1">
      <c r="S689" s="454"/>
      <c r="AN689" s="458"/>
      <c r="BA689" s="1305"/>
      <c r="BC689" s="169"/>
    </row>
    <row r="690" spans="19:55" ht="15.75" customHeight="1">
      <c r="S690" s="454"/>
      <c r="AN690" s="458"/>
      <c r="BA690" s="1305"/>
      <c r="BC690" s="169"/>
    </row>
    <row r="691" spans="19:55" ht="15.75" customHeight="1">
      <c r="S691" s="454"/>
      <c r="AN691" s="458"/>
      <c r="BA691" s="1305"/>
      <c r="BC691" s="169"/>
    </row>
    <row r="692" spans="19:55" ht="15.75" customHeight="1">
      <c r="S692" s="454"/>
      <c r="AN692" s="458"/>
      <c r="BA692" s="1305"/>
      <c r="BC692" s="169"/>
    </row>
    <row r="693" spans="19:55" ht="15.75" customHeight="1">
      <c r="S693" s="454"/>
      <c r="AN693" s="458"/>
      <c r="BA693" s="1305"/>
      <c r="BC693" s="169"/>
    </row>
    <row r="694" spans="19:55" ht="15.75" customHeight="1">
      <c r="S694" s="454"/>
      <c r="AN694" s="458"/>
      <c r="BA694" s="1305"/>
      <c r="BC694" s="169"/>
    </row>
    <row r="695" spans="19:55" ht="15.75" customHeight="1">
      <c r="S695" s="454"/>
      <c r="AN695" s="458"/>
      <c r="BA695" s="1305"/>
      <c r="BC695" s="169"/>
    </row>
    <row r="696" spans="19:55" ht="15.75" customHeight="1">
      <c r="S696" s="454"/>
      <c r="AN696" s="458"/>
      <c r="BA696" s="1305"/>
      <c r="BC696" s="169"/>
    </row>
    <row r="697" spans="19:55" ht="15.75" customHeight="1">
      <c r="S697" s="454"/>
      <c r="AN697" s="458"/>
      <c r="BA697" s="1305"/>
      <c r="BC697" s="169"/>
    </row>
    <row r="698" spans="19:55" ht="15.75" customHeight="1">
      <c r="S698" s="454"/>
      <c r="AN698" s="458"/>
      <c r="BA698" s="1305"/>
      <c r="BC698" s="169"/>
    </row>
    <row r="699" spans="19:55" ht="15.75" customHeight="1">
      <c r="S699" s="454"/>
      <c r="AN699" s="458"/>
      <c r="BA699" s="1305"/>
      <c r="BC699" s="169"/>
    </row>
    <row r="700" spans="19:55" ht="15.75" customHeight="1">
      <c r="S700" s="454"/>
      <c r="AN700" s="458"/>
      <c r="BA700" s="1305"/>
      <c r="BC700" s="169"/>
    </row>
    <row r="701" spans="19:55" ht="15.75" customHeight="1">
      <c r="S701" s="454"/>
      <c r="AN701" s="458"/>
      <c r="BA701" s="1305"/>
      <c r="BC701" s="169"/>
    </row>
    <row r="702" spans="19:55" ht="15.75" customHeight="1">
      <c r="S702" s="454"/>
      <c r="AN702" s="458"/>
      <c r="BA702" s="1305"/>
      <c r="BC702" s="169"/>
    </row>
    <row r="703" spans="19:55" ht="15.75" customHeight="1">
      <c r="S703" s="454"/>
      <c r="AN703" s="458"/>
      <c r="BA703" s="1305"/>
      <c r="BC703" s="169"/>
    </row>
    <row r="704" spans="19:55" ht="15.75" customHeight="1">
      <c r="S704" s="454"/>
      <c r="AN704" s="458"/>
      <c r="BA704" s="1305"/>
      <c r="BC704" s="169"/>
    </row>
    <row r="705" spans="19:55" ht="15.75" customHeight="1">
      <c r="S705" s="454"/>
      <c r="AN705" s="458"/>
      <c r="BA705" s="1305"/>
      <c r="BC705" s="169"/>
    </row>
    <row r="706" spans="19:55" ht="15.75" customHeight="1">
      <c r="S706" s="454"/>
      <c r="AN706" s="458"/>
      <c r="BA706" s="1305"/>
      <c r="BC706" s="169"/>
    </row>
    <row r="707" spans="19:55" ht="15.75" customHeight="1">
      <c r="S707" s="454"/>
      <c r="AN707" s="458"/>
      <c r="BA707" s="1305"/>
      <c r="BC707" s="169"/>
    </row>
    <row r="708" spans="19:55" ht="15.75" customHeight="1">
      <c r="S708" s="454"/>
      <c r="AN708" s="458"/>
      <c r="BA708" s="1305"/>
      <c r="BC708" s="169"/>
    </row>
    <row r="709" spans="19:55" ht="15.75" customHeight="1">
      <c r="S709" s="454"/>
      <c r="AN709" s="458"/>
      <c r="BA709" s="1305"/>
      <c r="BC709" s="169"/>
    </row>
    <row r="710" spans="19:55" ht="15.75" customHeight="1">
      <c r="S710" s="454"/>
      <c r="AN710" s="458"/>
      <c r="BA710" s="1305"/>
      <c r="BC710" s="169"/>
    </row>
    <row r="711" spans="19:55" ht="15.75" customHeight="1">
      <c r="S711" s="454"/>
      <c r="AN711" s="458"/>
      <c r="BA711" s="1305"/>
      <c r="BC711" s="169"/>
    </row>
    <row r="712" spans="19:55" ht="15.75" customHeight="1">
      <c r="S712" s="454"/>
      <c r="AN712" s="458"/>
      <c r="BA712" s="1305"/>
      <c r="BC712" s="169"/>
    </row>
    <row r="713" spans="19:55" ht="15.75" customHeight="1">
      <c r="S713" s="454"/>
      <c r="AN713" s="458"/>
      <c r="BA713" s="1305"/>
      <c r="BC713" s="169"/>
    </row>
    <row r="714" spans="19:55" ht="15.75" customHeight="1">
      <c r="S714" s="454"/>
      <c r="AN714" s="458"/>
      <c r="BA714" s="1305"/>
      <c r="BC714" s="169"/>
    </row>
    <row r="715" spans="19:55" ht="15.75" customHeight="1">
      <c r="S715" s="454"/>
      <c r="AN715" s="458"/>
      <c r="BA715" s="1305"/>
      <c r="BC715" s="169"/>
    </row>
    <row r="716" spans="19:55" ht="15.75" customHeight="1">
      <c r="S716" s="454"/>
      <c r="AN716" s="458"/>
      <c r="BA716" s="1305"/>
      <c r="BC716" s="169"/>
    </row>
    <row r="717" spans="19:55" ht="15.75" customHeight="1">
      <c r="S717" s="454"/>
      <c r="AN717" s="458"/>
      <c r="BA717" s="1305"/>
      <c r="BC717" s="169"/>
    </row>
    <row r="718" spans="19:55" ht="15.75" customHeight="1">
      <c r="S718" s="454"/>
      <c r="AN718" s="458"/>
      <c r="BA718" s="1305"/>
      <c r="BC718" s="169"/>
    </row>
    <row r="719" spans="19:55" ht="15.75" customHeight="1">
      <c r="S719" s="454"/>
      <c r="AN719" s="458"/>
      <c r="BA719" s="1305"/>
      <c r="BC719" s="169"/>
    </row>
    <row r="720" spans="19:55" ht="15.75" customHeight="1">
      <c r="S720" s="454"/>
      <c r="AN720" s="458"/>
      <c r="BA720" s="1305"/>
      <c r="BC720" s="169"/>
    </row>
    <row r="721" spans="19:55" ht="15.75" customHeight="1">
      <c r="S721" s="454"/>
      <c r="AN721" s="458"/>
      <c r="BA721" s="1305"/>
      <c r="BC721" s="169"/>
    </row>
    <row r="722" spans="19:55" ht="15.75" customHeight="1">
      <c r="S722" s="454"/>
      <c r="AN722" s="458"/>
      <c r="BA722" s="1305"/>
      <c r="BC722" s="169"/>
    </row>
    <row r="723" spans="19:55" ht="15.75" customHeight="1">
      <c r="S723" s="454"/>
      <c r="AN723" s="458"/>
      <c r="BA723" s="1305"/>
      <c r="BC723" s="169"/>
    </row>
    <row r="724" spans="19:55" ht="15.75" customHeight="1">
      <c r="S724" s="454"/>
      <c r="AN724" s="458"/>
      <c r="BA724" s="1305"/>
      <c r="BC724" s="169"/>
    </row>
    <row r="725" spans="19:55" ht="15.75" customHeight="1">
      <c r="S725" s="454"/>
      <c r="AN725" s="458"/>
      <c r="BA725" s="1305"/>
      <c r="BC725" s="169"/>
    </row>
    <row r="726" spans="19:55" ht="15.75" customHeight="1">
      <c r="S726" s="454"/>
      <c r="AN726" s="458"/>
      <c r="BA726" s="1305"/>
      <c r="BC726" s="169"/>
    </row>
    <row r="727" spans="19:55" ht="15.75" customHeight="1">
      <c r="S727" s="454"/>
      <c r="AN727" s="458"/>
      <c r="BA727" s="1305"/>
      <c r="BC727" s="169"/>
    </row>
    <row r="728" spans="19:55" ht="15.75" customHeight="1">
      <c r="S728" s="454"/>
      <c r="AN728" s="458"/>
      <c r="BA728" s="1305"/>
      <c r="BC728" s="169"/>
    </row>
    <row r="729" spans="19:55" ht="15.75" customHeight="1">
      <c r="S729" s="454"/>
      <c r="AN729" s="458"/>
      <c r="BA729" s="1305"/>
      <c r="BC729" s="169"/>
    </row>
    <row r="730" spans="19:55" ht="15.75" customHeight="1">
      <c r="S730" s="454"/>
      <c r="AN730" s="458"/>
      <c r="BA730" s="1305"/>
      <c r="BC730" s="169"/>
    </row>
    <row r="731" spans="19:55" ht="15.75" customHeight="1">
      <c r="S731" s="454"/>
      <c r="AN731" s="458"/>
      <c r="BA731" s="1305"/>
      <c r="BC731" s="169"/>
    </row>
    <row r="732" spans="19:55" ht="15.75" customHeight="1">
      <c r="S732" s="454"/>
      <c r="AN732" s="458"/>
      <c r="BA732" s="1305"/>
      <c r="BC732" s="169"/>
    </row>
    <row r="733" spans="19:55" ht="15.75" customHeight="1">
      <c r="S733" s="454"/>
      <c r="AN733" s="458"/>
      <c r="BA733" s="1305"/>
      <c r="BC733" s="169"/>
    </row>
    <row r="734" spans="19:55" ht="15.75" customHeight="1">
      <c r="S734" s="454"/>
      <c r="AN734" s="458"/>
      <c r="BA734" s="1305"/>
      <c r="BC734" s="169"/>
    </row>
    <row r="735" spans="19:55" ht="15.75" customHeight="1">
      <c r="S735" s="454"/>
      <c r="AN735" s="458"/>
      <c r="BA735" s="1305"/>
      <c r="BC735" s="169"/>
    </row>
    <row r="736" spans="19:55" ht="15.75" customHeight="1">
      <c r="S736" s="454"/>
      <c r="AN736" s="458"/>
      <c r="BA736" s="1305"/>
      <c r="BC736" s="169"/>
    </row>
    <row r="737" spans="19:55" ht="15.75" customHeight="1">
      <c r="S737" s="454"/>
      <c r="AN737" s="458"/>
      <c r="BA737" s="1305"/>
      <c r="BC737" s="169"/>
    </row>
    <row r="738" spans="19:55" ht="15.75" customHeight="1">
      <c r="S738" s="454"/>
      <c r="AN738" s="458"/>
      <c r="BA738" s="1305"/>
      <c r="BC738" s="169"/>
    </row>
    <row r="739" spans="19:55" ht="15.75" customHeight="1">
      <c r="S739" s="454"/>
      <c r="AN739" s="458"/>
      <c r="BA739" s="1305"/>
      <c r="BC739" s="169"/>
    </row>
    <row r="740" spans="19:55" ht="15.75" customHeight="1">
      <c r="S740" s="454"/>
      <c r="AN740" s="458"/>
      <c r="BA740" s="1305"/>
      <c r="BC740" s="169"/>
    </row>
    <row r="741" spans="19:55" ht="15.75" customHeight="1">
      <c r="S741" s="454"/>
      <c r="AN741" s="458"/>
      <c r="BA741" s="1305"/>
      <c r="BC741" s="169"/>
    </row>
    <row r="742" spans="19:55" ht="15.75" customHeight="1">
      <c r="S742" s="454"/>
      <c r="AN742" s="458"/>
      <c r="BA742" s="1305"/>
      <c r="BC742" s="169"/>
    </row>
    <row r="743" spans="19:55" ht="15.75" customHeight="1">
      <c r="S743" s="454"/>
      <c r="AN743" s="458"/>
      <c r="BA743" s="1305"/>
      <c r="BC743" s="169"/>
    </row>
    <row r="744" spans="19:55" ht="15.75" customHeight="1">
      <c r="S744" s="454"/>
      <c r="AN744" s="458"/>
      <c r="BA744" s="1305"/>
      <c r="BC744" s="169"/>
    </row>
    <row r="745" spans="19:55" ht="15.75" customHeight="1">
      <c r="S745" s="454"/>
      <c r="AN745" s="458"/>
      <c r="BA745" s="1305"/>
      <c r="BC745" s="169"/>
    </row>
    <row r="746" spans="19:55" ht="15.75" customHeight="1">
      <c r="S746" s="454"/>
      <c r="AN746" s="458"/>
      <c r="BA746" s="1305"/>
      <c r="BC746" s="169"/>
    </row>
    <row r="747" spans="19:55" ht="15.75" customHeight="1">
      <c r="S747" s="454"/>
      <c r="AN747" s="458"/>
      <c r="BA747" s="1305"/>
      <c r="BC747" s="169"/>
    </row>
    <row r="748" spans="19:55" ht="15.75" customHeight="1">
      <c r="S748" s="454"/>
      <c r="AN748" s="458"/>
      <c r="BA748" s="1305"/>
      <c r="BC748" s="169"/>
    </row>
    <row r="749" spans="19:55" ht="15.75" customHeight="1">
      <c r="S749" s="454"/>
      <c r="AN749" s="458"/>
      <c r="BA749" s="1305"/>
      <c r="BC749" s="169"/>
    </row>
    <row r="750" spans="19:55" ht="15.75" customHeight="1">
      <c r="S750" s="454"/>
      <c r="AN750" s="458"/>
      <c r="BA750" s="1305"/>
      <c r="BC750" s="169"/>
    </row>
    <row r="751" spans="19:55" ht="15.75" customHeight="1">
      <c r="S751" s="454"/>
      <c r="AN751" s="458"/>
      <c r="BA751" s="1305"/>
      <c r="BC751" s="169"/>
    </row>
    <row r="752" spans="19:55" ht="15.75" customHeight="1">
      <c r="S752" s="454"/>
      <c r="AN752" s="458"/>
      <c r="BA752" s="1305"/>
      <c r="BC752" s="169"/>
    </row>
    <row r="753" spans="19:55" ht="15.75" customHeight="1">
      <c r="S753" s="454"/>
      <c r="AN753" s="458"/>
      <c r="BA753" s="1305"/>
      <c r="BC753" s="169"/>
    </row>
    <row r="754" spans="19:55" ht="15.75" customHeight="1">
      <c r="S754" s="454"/>
      <c r="AN754" s="458"/>
      <c r="BA754" s="1305"/>
      <c r="BC754" s="169"/>
    </row>
    <row r="755" spans="19:55" ht="15.75" customHeight="1">
      <c r="S755" s="454"/>
      <c r="AN755" s="458"/>
      <c r="BA755" s="1305"/>
      <c r="BC755" s="169"/>
    </row>
    <row r="756" spans="19:55" ht="15.75" customHeight="1">
      <c r="S756" s="454"/>
      <c r="AN756" s="458"/>
      <c r="BA756" s="1305"/>
      <c r="BC756" s="169"/>
    </row>
    <row r="757" spans="19:55" ht="15.75" customHeight="1">
      <c r="S757" s="454"/>
      <c r="AN757" s="458"/>
      <c r="BA757" s="1305"/>
      <c r="BC757" s="169"/>
    </row>
    <row r="758" spans="19:55" ht="15.75" customHeight="1">
      <c r="S758" s="454"/>
      <c r="AN758" s="458"/>
      <c r="BA758" s="1305"/>
      <c r="BC758" s="169"/>
    </row>
    <row r="759" spans="19:55" ht="15.75" customHeight="1">
      <c r="S759" s="454"/>
      <c r="AN759" s="458"/>
      <c r="BA759" s="1305"/>
      <c r="BC759" s="169"/>
    </row>
    <row r="760" spans="19:55" ht="15.75" customHeight="1">
      <c r="S760" s="454"/>
      <c r="AN760" s="458"/>
      <c r="BA760" s="1305"/>
      <c r="BC760" s="169"/>
    </row>
    <row r="761" spans="19:55" ht="15.75" customHeight="1">
      <c r="S761" s="454"/>
      <c r="AN761" s="458"/>
      <c r="BA761" s="1305"/>
      <c r="BC761" s="169"/>
    </row>
    <row r="762" spans="19:55" ht="15.75" customHeight="1">
      <c r="S762" s="454"/>
      <c r="AN762" s="458"/>
      <c r="BA762" s="1305"/>
      <c r="BC762" s="169"/>
    </row>
    <row r="763" spans="19:55" ht="15.75" customHeight="1">
      <c r="S763" s="454"/>
      <c r="AN763" s="458"/>
      <c r="BA763" s="1305"/>
      <c r="BC763" s="169"/>
    </row>
    <row r="764" spans="19:55" ht="15.75" customHeight="1">
      <c r="S764" s="454"/>
      <c r="AN764" s="458"/>
      <c r="BA764" s="1305"/>
      <c r="BC764" s="169"/>
    </row>
    <row r="765" spans="19:55" ht="15.75" customHeight="1">
      <c r="S765" s="454"/>
      <c r="AN765" s="458"/>
      <c r="BA765" s="1305"/>
      <c r="BC765" s="169"/>
    </row>
    <row r="766" spans="19:55" ht="15.75" customHeight="1">
      <c r="S766" s="454"/>
      <c r="AN766" s="458"/>
      <c r="BA766" s="1305"/>
      <c r="BC766" s="169"/>
    </row>
    <row r="767" spans="19:55" ht="15.75" customHeight="1">
      <c r="S767" s="454"/>
      <c r="AN767" s="458"/>
      <c r="BA767" s="1305"/>
      <c r="BC767" s="169"/>
    </row>
    <row r="768" spans="19:55" ht="15.75" customHeight="1">
      <c r="S768" s="454"/>
      <c r="AN768" s="458"/>
      <c r="BA768" s="1305"/>
      <c r="BC768" s="169"/>
    </row>
    <row r="769" spans="19:55" ht="15.75" customHeight="1">
      <c r="S769" s="454"/>
      <c r="AN769" s="458"/>
      <c r="BA769" s="1305"/>
      <c r="BC769" s="169"/>
    </row>
    <row r="770" spans="19:55" ht="15.75" customHeight="1">
      <c r="S770" s="454"/>
      <c r="AN770" s="458"/>
      <c r="BA770" s="1305"/>
      <c r="BC770" s="169"/>
    </row>
    <row r="771" spans="19:55" ht="15.75" customHeight="1">
      <c r="S771" s="454"/>
      <c r="AN771" s="458"/>
      <c r="BA771" s="1305"/>
      <c r="BC771" s="169"/>
    </row>
    <row r="772" spans="19:55" ht="15.75" customHeight="1">
      <c r="S772" s="454"/>
      <c r="AN772" s="458"/>
      <c r="BA772" s="1305"/>
      <c r="BC772" s="169"/>
    </row>
    <row r="773" spans="19:55" ht="15.75" customHeight="1">
      <c r="S773" s="454"/>
      <c r="AN773" s="458"/>
      <c r="BA773" s="1305"/>
      <c r="BC773" s="169"/>
    </row>
    <row r="774" spans="19:55" ht="15.75" customHeight="1">
      <c r="S774" s="454"/>
      <c r="AN774" s="458"/>
      <c r="BA774" s="1305"/>
      <c r="BC774" s="169"/>
    </row>
    <row r="775" spans="19:55" ht="15.75" customHeight="1">
      <c r="S775" s="454"/>
      <c r="AN775" s="458"/>
      <c r="BA775" s="1305"/>
      <c r="BC775" s="169"/>
    </row>
    <row r="776" spans="19:55" ht="15.75" customHeight="1">
      <c r="S776" s="454"/>
      <c r="AN776" s="458"/>
      <c r="BA776" s="1305"/>
      <c r="BC776" s="169"/>
    </row>
    <row r="777" spans="19:55" ht="15.75" customHeight="1">
      <c r="S777" s="454"/>
      <c r="AN777" s="458"/>
      <c r="BA777" s="1305"/>
      <c r="BC777" s="169"/>
    </row>
    <row r="778" spans="19:55" ht="15.75" customHeight="1">
      <c r="S778" s="454"/>
      <c r="AN778" s="458"/>
      <c r="BA778" s="1305"/>
      <c r="BC778" s="169"/>
    </row>
    <row r="779" spans="19:55" ht="15.75" customHeight="1">
      <c r="S779" s="454"/>
      <c r="AN779" s="458"/>
      <c r="BA779" s="1305"/>
      <c r="BC779" s="169"/>
    </row>
    <row r="780" spans="19:55" ht="15.75" customHeight="1">
      <c r="S780" s="454"/>
      <c r="AN780" s="458"/>
      <c r="BA780" s="1305"/>
      <c r="BC780" s="169"/>
    </row>
    <row r="781" spans="19:55" ht="15.75" customHeight="1">
      <c r="S781" s="454"/>
      <c r="AN781" s="458"/>
      <c r="BA781" s="1305"/>
      <c r="BC781" s="169"/>
    </row>
    <row r="782" spans="19:55" ht="15.75" customHeight="1">
      <c r="S782" s="454"/>
      <c r="AN782" s="458"/>
      <c r="BA782" s="1305"/>
      <c r="BC782" s="169"/>
    </row>
    <row r="783" spans="19:55" ht="15.75" customHeight="1">
      <c r="S783" s="454"/>
      <c r="AN783" s="458"/>
      <c r="BA783" s="1305"/>
      <c r="BC783" s="169"/>
    </row>
    <row r="784" spans="19:55" ht="15.75" customHeight="1">
      <c r="S784" s="454"/>
      <c r="AN784" s="458"/>
      <c r="BA784" s="1305"/>
      <c r="BC784" s="169"/>
    </row>
    <row r="785" spans="19:55" ht="15.75" customHeight="1">
      <c r="S785" s="454"/>
      <c r="AN785" s="458"/>
      <c r="BA785" s="1305"/>
      <c r="BC785" s="169"/>
    </row>
    <row r="786" spans="19:55" ht="15.75" customHeight="1">
      <c r="S786" s="454"/>
      <c r="AN786" s="458"/>
      <c r="BA786" s="1305"/>
      <c r="BC786" s="169"/>
    </row>
    <row r="787" spans="19:55" ht="15.75" customHeight="1">
      <c r="S787" s="454"/>
      <c r="AN787" s="458"/>
      <c r="BA787" s="1305"/>
      <c r="BC787" s="169"/>
    </row>
    <row r="788" spans="19:55" ht="15.75" customHeight="1">
      <c r="S788" s="454"/>
      <c r="AN788" s="458"/>
      <c r="BA788" s="1305"/>
      <c r="BC788" s="169"/>
    </row>
    <row r="789" spans="19:55" ht="15.75" customHeight="1">
      <c r="S789" s="454"/>
      <c r="AN789" s="458"/>
      <c r="BA789" s="1305"/>
      <c r="BC789" s="169"/>
    </row>
    <row r="790" spans="19:55" ht="15.75" customHeight="1">
      <c r="S790" s="454"/>
      <c r="AN790" s="458"/>
      <c r="BA790" s="1305"/>
      <c r="BC790" s="169"/>
    </row>
    <row r="791" spans="19:55" ht="15.75" customHeight="1">
      <c r="S791" s="454"/>
      <c r="AN791" s="458"/>
      <c r="BA791" s="1305"/>
      <c r="BC791" s="169"/>
    </row>
    <row r="792" spans="19:55" ht="15.75" customHeight="1">
      <c r="S792" s="454"/>
      <c r="AN792" s="458"/>
      <c r="BA792" s="1305"/>
      <c r="BC792" s="169"/>
    </row>
    <row r="793" spans="19:55" ht="15.75" customHeight="1">
      <c r="S793" s="454"/>
      <c r="AN793" s="458"/>
      <c r="BA793" s="1305"/>
      <c r="BC793" s="169"/>
    </row>
    <row r="794" spans="19:55" ht="15.75" customHeight="1">
      <c r="S794" s="454"/>
      <c r="AN794" s="458"/>
      <c r="BA794" s="1305"/>
      <c r="BC794" s="169"/>
    </row>
    <row r="795" spans="19:55" ht="15.75" customHeight="1">
      <c r="S795" s="454"/>
      <c r="AN795" s="458"/>
      <c r="BA795" s="1305"/>
      <c r="BC795" s="169"/>
    </row>
    <row r="796" spans="19:55" ht="15.75" customHeight="1">
      <c r="S796" s="454"/>
      <c r="AN796" s="458"/>
      <c r="BA796" s="1305"/>
      <c r="BC796" s="169"/>
    </row>
    <row r="797" spans="19:55" ht="15.75" customHeight="1">
      <c r="S797" s="454"/>
      <c r="AN797" s="458"/>
      <c r="BA797" s="1305"/>
      <c r="BC797" s="169"/>
    </row>
    <row r="798" spans="19:55" ht="15.75" customHeight="1">
      <c r="S798" s="454"/>
      <c r="AN798" s="458"/>
      <c r="BA798" s="1305"/>
      <c r="BC798" s="169"/>
    </row>
    <row r="799" spans="19:55" ht="15.75" customHeight="1">
      <c r="S799" s="454"/>
      <c r="AN799" s="458"/>
      <c r="BA799" s="1305"/>
      <c r="BC799" s="169"/>
    </row>
    <row r="800" spans="19:55" ht="15.75" customHeight="1">
      <c r="S800" s="454"/>
      <c r="AN800" s="458"/>
      <c r="BA800" s="1305"/>
      <c r="BC800" s="169"/>
    </row>
    <row r="801" spans="19:55" ht="15.75" customHeight="1">
      <c r="S801" s="454"/>
      <c r="AN801" s="458"/>
      <c r="BA801" s="1305"/>
      <c r="BC801" s="169"/>
    </row>
    <row r="802" spans="19:55" ht="15.75" customHeight="1">
      <c r="S802" s="454"/>
      <c r="AN802" s="458"/>
      <c r="BA802" s="1305"/>
      <c r="BC802" s="169"/>
    </row>
    <row r="803" spans="19:55" ht="15.75" customHeight="1">
      <c r="S803" s="454"/>
      <c r="AN803" s="458"/>
      <c r="BA803" s="1305"/>
      <c r="BC803" s="169"/>
    </row>
    <row r="804" spans="19:55" ht="15.75" customHeight="1">
      <c r="S804" s="454"/>
      <c r="AN804" s="458"/>
      <c r="BA804" s="1305"/>
      <c r="BC804" s="169"/>
    </row>
    <row r="805" spans="19:55" ht="15.75" customHeight="1">
      <c r="S805" s="454"/>
      <c r="AN805" s="458"/>
      <c r="BA805" s="1305"/>
      <c r="BC805" s="169"/>
    </row>
    <row r="806" spans="19:55" ht="15.75" customHeight="1">
      <c r="S806" s="454"/>
      <c r="AN806" s="458"/>
      <c r="BA806" s="1305"/>
      <c r="BC806" s="169"/>
    </row>
    <row r="807" spans="19:55" ht="15.75" customHeight="1">
      <c r="S807" s="454"/>
      <c r="AN807" s="458"/>
      <c r="BA807" s="1305"/>
      <c r="BC807" s="169"/>
    </row>
    <row r="808" spans="19:55" ht="15.75" customHeight="1">
      <c r="S808" s="454"/>
      <c r="AN808" s="458"/>
      <c r="BA808" s="1305"/>
      <c r="BC808" s="169"/>
    </row>
    <row r="809" spans="19:55" ht="15.75" customHeight="1">
      <c r="S809" s="454"/>
      <c r="AN809" s="458"/>
      <c r="BA809" s="1305"/>
      <c r="BC809" s="169"/>
    </row>
    <row r="810" spans="19:55" ht="15.75" customHeight="1">
      <c r="S810" s="454"/>
      <c r="AN810" s="458"/>
      <c r="BA810" s="1305"/>
      <c r="BC810" s="169"/>
    </row>
    <row r="811" spans="19:55" ht="15.75" customHeight="1">
      <c r="S811" s="454"/>
      <c r="AN811" s="458"/>
      <c r="BA811" s="1305"/>
      <c r="BC811" s="169"/>
    </row>
    <row r="812" spans="19:55" ht="15.75" customHeight="1">
      <c r="S812" s="454"/>
      <c r="AN812" s="458"/>
      <c r="BA812" s="1305"/>
      <c r="BC812" s="169"/>
    </row>
    <row r="813" spans="19:55" ht="15.75" customHeight="1">
      <c r="S813" s="454"/>
      <c r="AN813" s="458"/>
      <c r="BA813" s="1305"/>
      <c r="BC813" s="169"/>
    </row>
    <row r="814" spans="19:55" ht="15.75" customHeight="1">
      <c r="S814" s="454"/>
      <c r="AN814" s="458"/>
      <c r="BA814" s="1305"/>
      <c r="BC814" s="169"/>
    </row>
    <row r="815" spans="19:55" ht="15.75" customHeight="1">
      <c r="S815" s="454"/>
      <c r="AN815" s="458"/>
      <c r="BA815" s="1305"/>
      <c r="BC815" s="169"/>
    </row>
    <row r="816" spans="19:55" ht="15.75" customHeight="1">
      <c r="S816" s="454"/>
      <c r="AN816" s="458"/>
      <c r="BA816" s="1305"/>
      <c r="BC816" s="169"/>
    </row>
    <row r="817" spans="19:55" ht="15.75" customHeight="1">
      <c r="S817" s="454"/>
      <c r="AN817" s="458"/>
      <c r="BA817" s="1305"/>
      <c r="BC817" s="169"/>
    </row>
    <row r="818" spans="19:55" ht="15.75" customHeight="1">
      <c r="S818" s="454"/>
      <c r="AN818" s="458"/>
      <c r="BA818" s="1305"/>
      <c r="BC818" s="169"/>
    </row>
    <row r="819" spans="19:55" ht="15.75" customHeight="1">
      <c r="S819" s="454"/>
      <c r="AN819" s="458"/>
      <c r="BA819" s="1305"/>
      <c r="BC819" s="169"/>
    </row>
    <row r="820" spans="19:55" ht="15.75" customHeight="1">
      <c r="S820" s="454"/>
      <c r="AN820" s="458"/>
      <c r="BA820" s="1305"/>
      <c r="BC820" s="169"/>
    </row>
    <row r="821" spans="19:55" ht="15.75" customHeight="1">
      <c r="S821" s="454"/>
      <c r="AN821" s="458"/>
      <c r="BA821" s="1305"/>
      <c r="BC821" s="169"/>
    </row>
    <row r="822" spans="19:55" ht="15.75" customHeight="1">
      <c r="S822" s="454"/>
      <c r="AN822" s="458"/>
      <c r="BA822" s="1305"/>
      <c r="BC822" s="169"/>
    </row>
    <row r="823" spans="19:55" ht="15.75" customHeight="1">
      <c r="S823" s="454"/>
      <c r="AN823" s="458"/>
      <c r="BA823" s="1305"/>
      <c r="BC823" s="169"/>
    </row>
    <row r="824" spans="19:55" ht="15.75" customHeight="1">
      <c r="S824" s="454"/>
      <c r="AN824" s="458"/>
      <c r="BA824" s="1305"/>
      <c r="BC824" s="169"/>
    </row>
    <row r="825" spans="19:55" ht="15.75" customHeight="1">
      <c r="S825" s="454"/>
      <c r="AN825" s="458"/>
      <c r="BA825" s="1305"/>
      <c r="BC825" s="169"/>
    </row>
    <row r="826" spans="19:55" ht="15.75" customHeight="1">
      <c r="S826" s="454"/>
      <c r="AN826" s="458"/>
      <c r="BA826" s="1305"/>
      <c r="BC826" s="169"/>
    </row>
    <row r="827" spans="19:55" ht="15.75" customHeight="1">
      <c r="S827" s="454"/>
      <c r="AN827" s="458"/>
      <c r="BA827" s="1305"/>
      <c r="BC827" s="169"/>
    </row>
    <row r="828" spans="19:55" ht="15.75" customHeight="1">
      <c r="S828" s="454"/>
      <c r="AN828" s="458"/>
      <c r="BA828" s="1305"/>
      <c r="BC828" s="169"/>
    </row>
    <row r="829" spans="19:55" ht="15.75" customHeight="1">
      <c r="S829" s="454"/>
      <c r="AN829" s="458"/>
      <c r="BA829" s="1305"/>
      <c r="BC829" s="169"/>
    </row>
    <row r="830" spans="19:55" ht="15.75" customHeight="1">
      <c r="S830" s="454"/>
      <c r="AN830" s="458"/>
      <c r="BA830" s="1305"/>
      <c r="BC830" s="169"/>
    </row>
    <row r="831" spans="19:55" ht="15.75" customHeight="1">
      <c r="S831" s="454"/>
      <c r="AN831" s="458"/>
      <c r="BA831" s="1305"/>
      <c r="BC831" s="169"/>
    </row>
    <row r="832" spans="19:55" ht="15.75" customHeight="1">
      <c r="S832" s="454"/>
      <c r="AN832" s="458"/>
      <c r="BA832" s="1305"/>
      <c r="BC832" s="169"/>
    </row>
    <row r="833" spans="19:55" ht="15.75" customHeight="1">
      <c r="S833" s="454"/>
      <c r="AN833" s="458"/>
      <c r="BA833" s="1305"/>
      <c r="BC833" s="169"/>
    </row>
    <row r="834" spans="19:55" ht="15.75" customHeight="1">
      <c r="S834" s="454"/>
      <c r="AN834" s="458"/>
      <c r="BA834" s="1305"/>
      <c r="BC834" s="169"/>
    </row>
    <row r="835" spans="19:55" ht="15.75" customHeight="1">
      <c r="S835" s="454"/>
      <c r="AN835" s="458"/>
      <c r="BA835" s="1305"/>
      <c r="BC835" s="169"/>
    </row>
    <row r="836" spans="19:55" ht="15.75" customHeight="1">
      <c r="S836" s="454"/>
      <c r="AN836" s="458"/>
      <c r="BA836" s="1305"/>
      <c r="BC836" s="169"/>
    </row>
    <row r="837" spans="19:55" ht="15.75" customHeight="1">
      <c r="S837" s="454"/>
      <c r="AN837" s="458"/>
      <c r="BA837" s="1305"/>
      <c r="BC837" s="169"/>
    </row>
    <row r="838" spans="19:55" ht="15.75" customHeight="1">
      <c r="S838" s="454"/>
      <c r="AN838" s="458"/>
      <c r="BA838" s="1305"/>
      <c r="BC838" s="169"/>
    </row>
    <row r="839" spans="19:55" ht="15.75" customHeight="1">
      <c r="S839" s="454"/>
      <c r="AN839" s="458"/>
      <c r="BA839" s="1305"/>
      <c r="BC839" s="169"/>
    </row>
    <row r="840" spans="19:55" ht="15.75" customHeight="1">
      <c r="S840" s="454"/>
      <c r="AN840" s="458"/>
      <c r="BA840" s="1305"/>
      <c r="BC840" s="169"/>
    </row>
    <row r="841" spans="19:55" ht="15.75" customHeight="1">
      <c r="S841" s="454"/>
      <c r="AN841" s="458"/>
      <c r="BA841" s="1305"/>
      <c r="BC841" s="169"/>
    </row>
    <row r="842" spans="19:55" ht="15.75" customHeight="1">
      <c r="S842" s="454"/>
      <c r="AN842" s="458"/>
      <c r="BA842" s="1305"/>
      <c r="BC842" s="169"/>
    </row>
    <row r="843" spans="19:55" ht="15.75" customHeight="1">
      <c r="S843" s="454"/>
      <c r="AN843" s="458"/>
      <c r="BA843" s="1305"/>
      <c r="BC843" s="169"/>
    </row>
    <row r="844" spans="19:55" ht="15.75" customHeight="1">
      <c r="S844" s="454"/>
      <c r="AN844" s="458"/>
      <c r="BA844" s="1305"/>
      <c r="BC844" s="169"/>
    </row>
    <row r="845" spans="19:55" ht="15.75" customHeight="1">
      <c r="S845" s="454"/>
      <c r="AN845" s="458"/>
      <c r="BA845" s="1305"/>
      <c r="BC845" s="169"/>
    </row>
    <row r="846" spans="19:55" ht="15.75" customHeight="1">
      <c r="S846" s="454"/>
      <c r="AN846" s="458"/>
      <c r="BA846" s="1305"/>
      <c r="BC846" s="169"/>
    </row>
    <row r="847" spans="19:55" ht="15.75" customHeight="1">
      <c r="S847" s="454"/>
      <c r="AN847" s="458"/>
      <c r="BA847" s="1305"/>
      <c r="BC847" s="169"/>
    </row>
    <row r="848" spans="19:55" ht="15.75" customHeight="1">
      <c r="S848" s="454"/>
      <c r="AN848" s="458"/>
      <c r="BA848" s="1305"/>
      <c r="BC848" s="169"/>
    </row>
    <row r="849" spans="19:55" ht="15.75" customHeight="1">
      <c r="S849" s="454"/>
      <c r="AN849" s="458"/>
      <c r="BA849" s="1305"/>
      <c r="BC849" s="169"/>
    </row>
    <row r="850" spans="19:55" ht="15.75" customHeight="1">
      <c r="S850" s="454"/>
      <c r="AN850" s="458"/>
      <c r="BA850" s="1305"/>
      <c r="BC850" s="169"/>
    </row>
    <row r="851" spans="19:55" ht="15.75" customHeight="1">
      <c r="S851" s="454"/>
      <c r="AN851" s="458"/>
      <c r="BA851" s="1305"/>
      <c r="BC851" s="169"/>
    </row>
    <row r="852" spans="19:55" ht="15.75" customHeight="1">
      <c r="S852" s="454"/>
      <c r="AN852" s="458"/>
      <c r="BA852" s="1305"/>
      <c r="BC852" s="169"/>
    </row>
    <row r="853" spans="19:55" ht="15.75" customHeight="1">
      <c r="S853" s="454"/>
      <c r="AN853" s="458"/>
      <c r="BA853" s="1305"/>
      <c r="BC853" s="169"/>
    </row>
    <row r="854" spans="19:55" ht="15.75" customHeight="1">
      <c r="S854" s="454"/>
      <c r="AN854" s="458"/>
      <c r="BA854" s="1305"/>
      <c r="BC854" s="169"/>
    </row>
    <row r="855" spans="19:55" ht="15.75" customHeight="1">
      <c r="S855" s="454"/>
      <c r="AN855" s="458"/>
      <c r="BA855" s="1305"/>
      <c r="BC855" s="169"/>
    </row>
    <row r="856" spans="19:55" ht="15.75" customHeight="1">
      <c r="S856" s="454"/>
      <c r="AN856" s="458"/>
      <c r="BA856" s="1305"/>
      <c r="BC856" s="169"/>
    </row>
    <row r="857" spans="19:55" ht="15.75" customHeight="1">
      <c r="S857" s="454"/>
      <c r="AN857" s="458"/>
      <c r="BA857" s="1305"/>
      <c r="BC857" s="169"/>
    </row>
    <row r="858" spans="19:55" ht="15.75" customHeight="1">
      <c r="S858" s="454"/>
      <c r="AN858" s="458"/>
      <c r="BA858" s="1305"/>
      <c r="BC858" s="169"/>
    </row>
    <row r="859" spans="19:55" ht="15.75" customHeight="1">
      <c r="S859" s="454"/>
      <c r="AN859" s="458"/>
      <c r="BA859" s="1305"/>
      <c r="BC859" s="169"/>
    </row>
    <row r="860" spans="19:55" ht="15.75" customHeight="1">
      <c r="S860" s="454"/>
      <c r="AN860" s="458"/>
      <c r="BA860" s="1305"/>
      <c r="BC860" s="169"/>
    </row>
    <row r="861" spans="19:55" ht="15.75" customHeight="1">
      <c r="S861" s="454"/>
      <c r="AN861" s="458"/>
      <c r="BA861" s="1305"/>
      <c r="BC861" s="169"/>
    </row>
    <row r="862" spans="19:55" ht="15.75" customHeight="1">
      <c r="S862" s="454"/>
      <c r="AN862" s="458"/>
      <c r="BA862" s="1305"/>
      <c r="BC862" s="169"/>
    </row>
    <row r="863" spans="19:55" ht="15.75" customHeight="1">
      <c r="S863" s="454"/>
      <c r="AN863" s="458"/>
      <c r="BA863" s="1305"/>
      <c r="BC863" s="169"/>
    </row>
    <row r="864" spans="19:55" ht="15.75" customHeight="1">
      <c r="S864" s="454"/>
      <c r="AN864" s="458"/>
      <c r="BA864" s="1305"/>
      <c r="BC864" s="169"/>
    </row>
    <row r="865" spans="19:55" ht="15.75" customHeight="1">
      <c r="S865" s="454"/>
      <c r="AN865" s="458"/>
      <c r="BA865" s="1305"/>
      <c r="BC865" s="169"/>
    </row>
    <row r="866" spans="19:55" ht="15.75" customHeight="1">
      <c r="S866" s="454"/>
      <c r="AN866" s="458"/>
      <c r="BA866" s="1305"/>
      <c r="BC866" s="169"/>
    </row>
    <row r="867" spans="19:55" ht="15.75" customHeight="1">
      <c r="S867" s="454"/>
      <c r="AN867" s="458"/>
      <c r="BA867" s="1305"/>
      <c r="BC867" s="169"/>
    </row>
    <row r="868" spans="19:55" ht="15.75" customHeight="1">
      <c r="S868" s="454"/>
      <c r="AN868" s="458"/>
      <c r="BA868" s="1305"/>
      <c r="BC868" s="169"/>
    </row>
    <row r="869" spans="19:55" ht="15.75" customHeight="1">
      <c r="S869" s="454"/>
      <c r="AN869" s="458"/>
      <c r="BA869" s="1305"/>
      <c r="BC869" s="169"/>
    </row>
    <row r="870" spans="19:55" ht="15.75" customHeight="1">
      <c r="S870" s="454"/>
      <c r="AN870" s="458"/>
      <c r="BA870" s="1305"/>
      <c r="BC870" s="169"/>
    </row>
    <row r="871" spans="19:55" ht="15.75" customHeight="1">
      <c r="S871" s="454"/>
      <c r="AN871" s="458"/>
      <c r="BA871" s="1305"/>
      <c r="BC871" s="169"/>
    </row>
    <row r="872" spans="19:55" ht="15.75" customHeight="1">
      <c r="S872" s="454"/>
      <c r="AN872" s="458"/>
      <c r="BA872" s="1305"/>
      <c r="BC872" s="169"/>
    </row>
    <row r="873" spans="19:55" ht="15.75" customHeight="1">
      <c r="S873" s="454"/>
      <c r="AN873" s="458"/>
      <c r="BA873" s="1305"/>
      <c r="BC873" s="169"/>
    </row>
    <row r="874" spans="19:55" ht="15.75" customHeight="1">
      <c r="S874" s="454"/>
      <c r="AN874" s="458"/>
      <c r="BA874" s="1305"/>
      <c r="BC874" s="169"/>
    </row>
    <row r="875" spans="19:55" ht="15.75" customHeight="1">
      <c r="S875" s="454"/>
      <c r="AN875" s="458"/>
      <c r="BA875" s="1305"/>
      <c r="BC875" s="169"/>
    </row>
    <row r="876" spans="19:55" ht="15.75" customHeight="1">
      <c r="S876" s="454"/>
      <c r="AN876" s="458"/>
      <c r="BA876" s="1305"/>
      <c r="BC876" s="169"/>
    </row>
    <row r="877" spans="19:55" ht="15.75" customHeight="1">
      <c r="S877" s="454"/>
      <c r="AN877" s="458"/>
      <c r="BA877" s="1305"/>
      <c r="BC877" s="169"/>
    </row>
    <row r="878" spans="19:55" ht="15.75" customHeight="1">
      <c r="S878" s="454"/>
      <c r="AN878" s="458"/>
      <c r="BA878" s="1305"/>
      <c r="BC878" s="169"/>
    </row>
    <row r="879" spans="19:55" ht="15.75" customHeight="1">
      <c r="S879" s="454"/>
      <c r="AN879" s="458"/>
      <c r="BA879" s="1305"/>
      <c r="BC879" s="169"/>
    </row>
    <row r="880" spans="19:55" ht="15.75" customHeight="1">
      <c r="S880" s="454"/>
      <c r="AN880" s="458"/>
      <c r="BA880" s="1305"/>
      <c r="BC880" s="169"/>
    </row>
    <row r="881" spans="19:55" ht="15.75" customHeight="1">
      <c r="S881" s="454"/>
      <c r="AN881" s="458"/>
      <c r="BA881" s="1305"/>
      <c r="BC881" s="169"/>
    </row>
    <row r="882" spans="19:55" ht="15.75" customHeight="1">
      <c r="S882" s="454"/>
      <c r="AN882" s="458"/>
      <c r="BA882" s="1305"/>
      <c r="BC882" s="169"/>
    </row>
    <row r="883" spans="19:55" ht="15.75" customHeight="1">
      <c r="S883" s="454"/>
      <c r="AN883" s="458"/>
      <c r="BA883" s="1305"/>
      <c r="BC883" s="169"/>
    </row>
    <row r="884" spans="19:55" ht="15.75" customHeight="1">
      <c r="S884" s="454"/>
      <c r="AN884" s="458"/>
      <c r="BA884" s="1305"/>
      <c r="BC884" s="169"/>
    </row>
    <row r="885" spans="19:55" ht="15.75" customHeight="1">
      <c r="S885" s="454"/>
      <c r="AN885" s="458"/>
      <c r="BA885" s="1305"/>
      <c r="BC885" s="169"/>
    </row>
    <row r="886" spans="19:55" ht="15.75" customHeight="1">
      <c r="S886" s="454"/>
      <c r="AN886" s="458"/>
      <c r="BA886" s="1305"/>
      <c r="BC886" s="169"/>
    </row>
    <row r="887" spans="19:55" ht="15.75" customHeight="1">
      <c r="S887" s="454"/>
      <c r="AN887" s="458"/>
      <c r="BA887" s="1305"/>
      <c r="BC887" s="169"/>
    </row>
    <row r="888" spans="19:55" ht="15.75" customHeight="1">
      <c r="S888" s="454"/>
      <c r="AN888" s="458"/>
      <c r="BA888" s="1305"/>
      <c r="BC888" s="169"/>
    </row>
    <row r="889" spans="19:55" ht="15.75" customHeight="1">
      <c r="S889" s="454"/>
      <c r="AN889" s="458"/>
      <c r="BA889" s="1305"/>
      <c r="BC889" s="169"/>
    </row>
    <row r="890" spans="19:55" ht="15.75" customHeight="1">
      <c r="S890" s="454"/>
      <c r="AN890" s="458"/>
      <c r="BA890" s="1305"/>
      <c r="BC890" s="169"/>
    </row>
    <row r="891" spans="19:55" ht="15.75" customHeight="1">
      <c r="S891" s="454"/>
      <c r="AN891" s="458"/>
      <c r="BA891" s="1305"/>
      <c r="BC891" s="169"/>
    </row>
    <row r="892" spans="19:55" ht="15.75" customHeight="1">
      <c r="S892" s="454"/>
      <c r="AN892" s="458"/>
      <c r="BA892" s="1305"/>
      <c r="BC892" s="169"/>
    </row>
    <row r="893" spans="19:55" ht="15.75" customHeight="1">
      <c r="S893" s="454"/>
      <c r="AN893" s="458"/>
      <c r="BA893" s="1305"/>
      <c r="BC893" s="169"/>
    </row>
    <row r="894" spans="19:55" ht="15.75" customHeight="1">
      <c r="S894" s="454"/>
      <c r="AN894" s="458"/>
      <c r="BA894" s="1305"/>
      <c r="BC894" s="169"/>
    </row>
    <row r="895" spans="19:55" ht="15.75" customHeight="1">
      <c r="S895" s="454"/>
      <c r="AN895" s="458"/>
      <c r="BA895" s="1305"/>
      <c r="BC895" s="169"/>
    </row>
    <row r="896" spans="19:55" ht="15.75" customHeight="1">
      <c r="S896" s="454"/>
      <c r="AN896" s="458"/>
      <c r="BA896" s="1305"/>
      <c r="BC896" s="169"/>
    </row>
    <row r="897" spans="19:55" ht="15.75" customHeight="1">
      <c r="S897" s="454"/>
      <c r="AN897" s="458"/>
      <c r="BA897" s="1305"/>
      <c r="BC897" s="169"/>
    </row>
    <row r="898" spans="19:55" ht="15.75" customHeight="1">
      <c r="S898" s="454"/>
      <c r="AN898" s="458"/>
      <c r="BA898" s="1305"/>
      <c r="BC898" s="169"/>
    </row>
    <row r="899" spans="19:55" ht="15.75" customHeight="1">
      <c r="S899" s="454"/>
      <c r="AN899" s="458"/>
      <c r="BA899" s="1305"/>
      <c r="BC899" s="169"/>
    </row>
    <row r="900" spans="19:55" ht="15.75" customHeight="1">
      <c r="S900" s="454"/>
      <c r="AN900" s="458"/>
      <c r="BA900" s="1305"/>
      <c r="BC900" s="169"/>
    </row>
    <row r="901" spans="19:55" ht="15.75" customHeight="1">
      <c r="S901" s="454"/>
      <c r="AN901" s="458"/>
      <c r="BA901" s="1305"/>
      <c r="BC901" s="169"/>
    </row>
    <row r="902" spans="19:55" ht="15.75" customHeight="1">
      <c r="S902" s="454"/>
      <c r="AN902" s="458"/>
      <c r="BA902" s="1305"/>
      <c r="BC902" s="169"/>
    </row>
    <row r="903" spans="19:55" ht="15.75" customHeight="1">
      <c r="S903" s="454"/>
      <c r="AN903" s="458"/>
      <c r="BA903" s="1305"/>
      <c r="BC903" s="169"/>
    </row>
    <row r="904" spans="19:55" ht="15.75" customHeight="1">
      <c r="S904" s="454"/>
      <c r="AN904" s="458"/>
      <c r="BA904" s="1305"/>
      <c r="BC904" s="169"/>
    </row>
    <row r="905" spans="19:55" ht="15.75" customHeight="1">
      <c r="S905" s="454"/>
      <c r="AN905" s="458"/>
      <c r="BA905" s="1305"/>
      <c r="BC905" s="169"/>
    </row>
    <row r="906" spans="19:55" ht="15.75" customHeight="1">
      <c r="S906" s="454"/>
      <c r="AN906" s="458"/>
      <c r="BA906" s="1305"/>
      <c r="BC906" s="169"/>
    </row>
    <row r="907" spans="19:55" ht="15.75" customHeight="1">
      <c r="S907" s="454"/>
      <c r="AN907" s="458"/>
      <c r="BA907" s="1305"/>
      <c r="BC907" s="169"/>
    </row>
    <row r="908" spans="19:55" ht="15.75" customHeight="1">
      <c r="S908" s="454"/>
      <c r="AN908" s="458"/>
      <c r="BA908" s="1305"/>
      <c r="BC908" s="169"/>
    </row>
    <row r="909" spans="19:55" ht="15.75" customHeight="1">
      <c r="S909" s="454"/>
      <c r="AN909" s="458"/>
      <c r="BA909" s="1305"/>
      <c r="BC909" s="169"/>
    </row>
    <row r="910" spans="19:55" ht="15.75" customHeight="1">
      <c r="S910" s="454"/>
      <c r="AN910" s="458"/>
      <c r="BA910" s="1305"/>
      <c r="BC910" s="169"/>
    </row>
    <row r="911" spans="19:55" ht="15.75" customHeight="1">
      <c r="S911" s="454"/>
      <c r="AN911" s="458"/>
      <c r="BA911" s="1305"/>
      <c r="BC911" s="169"/>
    </row>
    <row r="912" spans="19:55" ht="15.75" customHeight="1">
      <c r="S912" s="454"/>
      <c r="AN912" s="458"/>
      <c r="BA912" s="1305"/>
      <c r="BC912" s="169"/>
    </row>
    <row r="913" spans="19:55" ht="15.75" customHeight="1">
      <c r="S913" s="454"/>
      <c r="AN913" s="458"/>
      <c r="BA913" s="1305"/>
      <c r="BC913" s="169"/>
    </row>
    <row r="914" spans="19:55" ht="15.75" customHeight="1">
      <c r="S914" s="454"/>
      <c r="AN914" s="458"/>
      <c r="BA914" s="1305"/>
      <c r="BC914" s="169"/>
    </row>
    <row r="915" spans="19:55" ht="15.75" customHeight="1">
      <c r="S915" s="454"/>
      <c r="AN915" s="458"/>
      <c r="BA915" s="1305"/>
      <c r="BC915" s="169"/>
    </row>
    <row r="916" spans="19:55" ht="15.75" customHeight="1">
      <c r="S916" s="454"/>
      <c r="AN916" s="458"/>
      <c r="BA916" s="1305"/>
      <c r="BC916" s="169"/>
    </row>
    <row r="917" spans="19:55" ht="15.75" customHeight="1">
      <c r="S917" s="454"/>
      <c r="AN917" s="458"/>
      <c r="BA917" s="1305"/>
      <c r="BC917" s="169"/>
    </row>
    <row r="918" spans="19:55" ht="15.75" customHeight="1">
      <c r="S918" s="454"/>
      <c r="AN918" s="458"/>
      <c r="BA918" s="1305"/>
      <c r="BC918" s="169"/>
    </row>
    <row r="919" spans="19:55" ht="15.75" customHeight="1">
      <c r="S919" s="454"/>
      <c r="AN919" s="458"/>
      <c r="BA919" s="1305"/>
      <c r="BC919" s="169"/>
    </row>
    <row r="920" spans="19:55" ht="15.75" customHeight="1">
      <c r="S920" s="454"/>
      <c r="AN920" s="458"/>
      <c r="BA920" s="1305"/>
      <c r="BC920" s="169"/>
    </row>
    <row r="921" spans="19:55" ht="15.75" customHeight="1">
      <c r="S921" s="454"/>
      <c r="AN921" s="458"/>
      <c r="BA921" s="1305"/>
      <c r="BC921" s="169"/>
    </row>
    <row r="922" spans="19:55" ht="15.75" customHeight="1">
      <c r="S922" s="454"/>
      <c r="AN922" s="458"/>
      <c r="BA922" s="1305"/>
      <c r="BC922" s="169"/>
    </row>
    <row r="923" spans="19:55" ht="15.75" customHeight="1">
      <c r="S923" s="454"/>
      <c r="AN923" s="458"/>
      <c r="BA923" s="1305"/>
      <c r="BC923" s="169"/>
    </row>
    <row r="924" spans="19:55" ht="15.75" customHeight="1">
      <c r="S924" s="454"/>
      <c r="AN924" s="458"/>
      <c r="BA924" s="1305"/>
      <c r="BC924" s="169"/>
    </row>
    <row r="925" spans="19:55" ht="15.75" customHeight="1">
      <c r="S925" s="454"/>
      <c r="AN925" s="458"/>
      <c r="BA925" s="1305"/>
      <c r="BC925" s="169"/>
    </row>
    <row r="926" spans="19:55" ht="15.75" customHeight="1">
      <c r="S926" s="454"/>
      <c r="AN926" s="458"/>
      <c r="BA926" s="1305"/>
      <c r="BC926" s="169"/>
    </row>
    <row r="927" spans="19:55" ht="15.75" customHeight="1">
      <c r="S927" s="454"/>
      <c r="AN927" s="458"/>
      <c r="BA927" s="1305"/>
      <c r="BC927" s="169"/>
    </row>
    <row r="928" spans="19:55" ht="15.75" customHeight="1">
      <c r="S928" s="454"/>
      <c r="AN928" s="458"/>
      <c r="BA928" s="1305"/>
      <c r="BC928" s="169"/>
    </row>
    <row r="929" spans="19:55" ht="15.75" customHeight="1">
      <c r="S929" s="454"/>
      <c r="AN929" s="458"/>
      <c r="BA929" s="1305"/>
      <c r="BC929" s="169"/>
    </row>
    <row r="930" spans="19:55" ht="15.75" customHeight="1">
      <c r="S930" s="454"/>
      <c r="AN930" s="458"/>
      <c r="BA930" s="1305"/>
      <c r="BC930" s="169"/>
    </row>
    <row r="931" spans="19:55" ht="15.75" customHeight="1">
      <c r="S931" s="454"/>
      <c r="AN931" s="458"/>
      <c r="BA931" s="1305"/>
      <c r="BC931" s="169"/>
    </row>
    <row r="932" spans="19:55" ht="15.75" customHeight="1">
      <c r="S932" s="454"/>
      <c r="AN932" s="458"/>
      <c r="BA932" s="1305"/>
      <c r="BC932" s="169"/>
    </row>
    <row r="933" spans="19:55" ht="15.75" customHeight="1">
      <c r="S933" s="454"/>
      <c r="AN933" s="458"/>
      <c r="BA933" s="1305"/>
      <c r="BC933" s="169"/>
    </row>
    <row r="934" spans="19:55" ht="15.75" customHeight="1">
      <c r="S934" s="454"/>
      <c r="AN934" s="458"/>
      <c r="BA934" s="1305"/>
      <c r="BC934" s="169"/>
    </row>
    <row r="935" spans="19:55" ht="15.75" customHeight="1">
      <c r="S935" s="454"/>
      <c r="AN935" s="458"/>
      <c r="BA935" s="1305"/>
      <c r="BC935" s="169"/>
    </row>
    <row r="936" spans="19:55" ht="15.75" customHeight="1">
      <c r="S936" s="454"/>
      <c r="AN936" s="458"/>
      <c r="BA936" s="1305"/>
      <c r="BC936" s="169"/>
    </row>
    <row r="937" spans="19:55" ht="15.75" customHeight="1">
      <c r="S937" s="454"/>
      <c r="AN937" s="458"/>
      <c r="BA937" s="1305"/>
      <c r="BC937" s="169"/>
    </row>
    <row r="938" spans="19:55" ht="15.75" customHeight="1">
      <c r="S938" s="454"/>
      <c r="AN938" s="458"/>
      <c r="BA938" s="1305"/>
      <c r="BC938" s="169"/>
    </row>
    <row r="939" spans="19:55" ht="15.75" customHeight="1">
      <c r="S939" s="454"/>
      <c r="AN939" s="458"/>
      <c r="BA939" s="1305"/>
      <c r="BC939" s="169"/>
    </row>
    <row r="940" spans="19:55" ht="15.75" customHeight="1">
      <c r="S940" s="454"/>
      <c r="AN940" s="458"/>
      <c r="BA940" s="1305"/>
      <c r="BC940" s="169"/>
    </row>
    <row r="941" spans="19:55" ht="15.75" customHeight="1">
      <c r="S941" s="454"/>
      <c r="AN941" s="458"/>
      <c r="BA941" s="1305"/>
      <c r="BC941" s="169"/>
    </row>
    <row r="942" spans="19:55" ht="15.75" customHeight="1">
      <c r="S942" s="454"/>
      <c r="AN942" s="458"/>
      <c r="BA942" s="1305"/>
      <c r="BC942" s="169"/>
    </row>
    <row r="943" spans="19:55" ht="15.75" customHeight="1">
      <c r="S943" s="454"/>
      <c r="AN943" s="458"/>
      <c r="BA943" s="1305"/>
      <c r="BC943" s="169"/>
    </row>
    <row r="944" spans="19:55" ht="15.75" customHeight="1">
      <c r="S944" s="454"/>
      <c r="AN944" s="458"/>
      <c r="BA944" s="1305"/>
      <c r="BC944" s="169"/>
    </row>
    <row r="945" spans="19:55" ht="15.75" customHeight="1">
      <c r="S945" s="454"/>
      <c r="AN945" s="458"/>
      <c r="BA945" s="1305"/>
      <c r="BC945" s="169"/>
    </row>
    <row r="946" spans="19:55" ht="15.75" customHeight="1">
      <c r="S946" s="454"/>
      <c r="AN946" s="458"/>
      <c r="BA946" s="1305"/>
      <c r="BC946" s="169"/>
    </row>
    <row r="947" spans="19:55" ht="15.75" customHeight="1">
      <c r="S947" s="454"/>
      <c r="AN947" s="458"/>
      <c r="BA947" s="1305"/>
      <c r="BC947" s="169"/>
    </row>
    <row r="948" spans="19:55" ht="15.75" customHeight="1">
      <c r="S948" s="454"/>
      <c r="AN948" s="458"/>
      <c r="BA948" s="1305"/>
      <c r="BC948" s="169"/>
    </row>
    <row r="949" spans="19:55" ht="15.75" customHeight="1">
      <c r="S949" s="454"/>
      <c r="AN949" s="458"/>
      <c r="BA949" s="1305"/>
      <c r="BC949" s="169"/>
    </row>
    <row r="950" spans="19:55" ht="15.75" customHeight="1">
      <c r="S950" s="454"/>
      <c r="AN950" s="458"/>
      <c r="BA950" s="1305"/>
      <c r="BC950" s="169"/>
    </row>
    <row r="951" spans="19:55" ht="15.75" customHeight="1">
      <c r="S951" s="454"/>
      <c r="AN951" s="458"/>
      <c r="BA951" s="1305"/>
      <c r="BC951" s="169"/>
    </row>
    <row r="952" spans="19:55" ht="15.75" customHeight="1">
      <c r="S952" s="454"/>
      <c r="AN952" s="458"/>
      <c r="BA952" s="1305"/>
      <c r="BC952" s="169"/>
    </row>
    <row r="953" spans="19:55" ht="15.75" customHeight="1">
      <c r="S953" s="454"/>
      <c r="AN953" s="458"/>
      <c r="BA953" s="1305"/>
      <c r="BC953" s="169"/>
    </row>
    <row r="954" spans="19:55" ht="15.75" customHeight="1">
      <c r="S954" s="454"/>
      <c r="AN954" s="458"/>
      <c r="BA954" s="1305"/>
      <c r="BC954" s="169"/>
    </row>
    <row r="955" spans="19:55" ht="15.75" customHeight="1">
      <c r="S955" s="454"/>
      <c r="AN955" s="458"/>
      <c r="BA955" s="1305"/>
      <c r="BC955" s="169"/>
    </row>
    <row r="956" spans="19:55" ht="15.75" customHeight="1">
      <c r="S956" s="454"/>
      <c r="AN956" s="458"/>
      <c r="BA956" s="1305"/>
      <c r="BC956" s="169"/>
    </row>
    <row r="957" spans="19:55" ht="15.75" customHeight="1">
      <c r="S957" s="454"/>
      <c r="AN957" s="458"/>
      <c r="BA957" s="1305"/>
      <c r="BC957" s="169"/>
    </row>
    <row r="958" spans="19:55" ht="15.75" customHeight="1">
      <c r="S958" s="454"/>
      <c r="AN958" s="458"/>
      <c r="BA958" s="1305"/>
      <c r="BC958" s="169"/>
    </row>
    <row r="959" spans="19:55" ht="15.75" customHeight="1">
      <c r="S959" s="454"/>
      <c r="AN959" s="458"/>
      <c r="BA959" s="1305"/>
      <c r="BC959" s="169"/>
    </row>
    <row r="960" spans="19:55" ht="15.75" customHeight="1">
      <c r="S960" s="454"/>
      <c r="AN960" s="458"/>
      <c r="BA960" s="1305"/>
      <c r="BC960" s="169"/>
    </row>
    <row r="961" spans="19:55" ht="15.75" customHeight="1">
      <c r="S961" s="454"/>
      <c r="AN961" s="458"/>
      <c r="BA961" s="1305"/>
      <c r="BC961" s="169"/>
    </row>
    <row r="962" spans="19:55" ht="15.75" customHeight="1">
      <c r="S962" s="454"/>
      <c r="AN962" s="458"/>
      <c r="BA962" s="1305"/>
      <c r="BC962" s="169"/>
    </row>
    <row r="963" spans="19:55" ht="15.75" customHeight="1">
      <c r="S963" s="454"/>
      <c r="AN963" s="458"/>
      <c r="BA963" s="1305"/>
      <c r="BC963" s="169"/>
    </row>
    <row r="964" spans="19:55" ht="15.75" customHeight="1">
      <c r="S964" s="454"/>
      <c r="AN964" s="458"/>
      <c r="BA964" s="1305"/>
      <c r="BC964" s="169"/>
    </row>
    <row r="965" spans="19:55" ht="15.75" customHeight="1">
      <c r="S965" s="454"/>
      <c r="AN965" s="458"/>
      <c r="BA965" s="1305"/>
      <c r="BC965" s="169"/>
    </row>
    <row r="966" spans="19:55" ht="15.75" customHeight="1">
      <c r="S966" s="454"/>
      <c r="AN966" s="458"/>
      <c r="BA966" s="1305"/>
      <c r="BC966" s="169"/>
    </row>
    <row r="967" spans="19:55" ht="15.75" customHeight="1">
      <c r="S967" s="454"/>
      <c r="AN967" s="458"/>
      <c r="BA967" s="1305"/>
      <c r="BC967" s="169"/>
    </row>
    <row r="968" spans="19:55" ht="15.75" customHeight="1">
      <c r="S968" s="454"/>
      <c r="AN968" s="458"/>
      <c r="BA968" s="1305"/>
      <c r="BC968" s="169"/>
    </row>
    <row r="969" spans="19:55" ht="15.75" customHeight="1">
      <c r="S969" s="454"/>
      <c r="AN969" s="458"/>
      <c r="BA969" s="1305"/>
      <c r="BC969" s="169"/>
    </row>
    <row r="970" spans="19:55" ht="15.75" customHeight="1">
      <c r="S970" s="454"/>
      <c r="AN970" s="458"/>
      <c r="BA970" s="1305"/>
      <c r="BC970" s="169"/>
    </row>
    <row r="971" spans="19:55" ht="15.75" customHeight="1">
      <c r="S971" s="454"/>
      <c r="AN971" s="458"/>
      <c r="BA971" s="1305"/>
      <c r="BC971" s="169"/>
    </row>
    <row r="972" spans="19:55" ht="15.75" customHeight="1">
      <c r="S972" s="454"/>
      <c r="AN972" s="458"/>
      <c r="BA972" s="1305"/>
      <c r="BC972" s="169"/>
    </row>
    <row r="973" spans="19:55" ht="15.75" customHeight="1">
      <c r="S973" s="454"/>
      <c r="AN973" s="458"/>
      <c r="BA973" s="1305"/>
      <c r="BC973" s="169"/>
    </row>
    <row r="974" spans="19:55" ht="15.75" customHeight="1">
      <c r="S974" s="454"/>
      <c r="AN974" s="458"/>
      <c r="BA974" s="1305"/>
      <c r="BC974" s="169"/>
    </row>
    <row r="975" spans="19:55" ht="15.75" customHeight="1">
      <c r="S975" s="454"/>
      <c r="AN975" s="458"/>
      <c r="BA975" s="1305"/>
      <c r="BC975" s="169"/>
    </row>
    <row r="976" spans="19:55" ht="15.75" customHeight="1">
      <c r="S976" s="454"/>
      <c r="AN976" s="458"/>
      <c r="BA976" s="1305"/>
      <c r="BC976" s="169"/>
    </row>
    <row r="977" spans="19:55" ht="15.75" customHeight="1">
      <c r="S977" s="454"/>
      <c r="AN977" s="458"/>
      <c r="BA977" s="1305"/>
      <c r="BC977" s="169"/>
    </row>
    <row r="978" spans="19:55" ht="15.75" customHeight="1">
      <c r="S978" s="454"/>
      <c r="AN978" s="458"/>
      <c r="BA978" s="1305"/>
      <c r="BC978" s="169"/>
    </row>
    <row r="979" spans="19:55" ht="15.75" customHeight="1">
      <c r="S979" s="454"/>
      <c r="AN979" s="458"/>
      <c r="BA979" s="1305"/>
      <c r="BC979" s="169"/>
    </row>
    <row r="980" spans="19:55" ht="15.75" customHeight="1">
      <c r="S980" s="454"/>
      <c r="AN980" s="458"/>
      <c r="BA980" s="1305"/>
      <c r="BC980" s="169"/>
    </row>
    <row r="981" spans="19:55" ht="15.75" customHeight="1">
      <c r="S981" s="454"/>
      <c r="AN981" s="458"/>
      <c r="BA981" s="1305"/>
      <c r="BC981" s="169"/>
    </row>
    <row r="982" spans="19:55" ht="15.75" customHeight="1">
      <c r="S982" s="454"/>
      <c r="AN982" s="458"/>
      <c r="BA982" s="1305"/>
      <c r="BC982" s="169"/>
    </row>
    <row r="983" spans="19:55" ht="15.75" customHeight="1">
      <c r="S983" s="454"/>
      <c r="AN983" s="458"/>
      <c r="BA983" s="1305"/>
      <c r="BC983" s="169"/>
    </row>
    <row r="984" spans="19:55" ht="15.75" customHeight="1">
      <c r="S984" s="454"/>
      <c r="AN984" s="458"/>
      <c r="BA984" s="1305"/>
      <c r="BC984" s="169"/>
    </row>
    <row r="985" spans="19:55" ht="15.75" customHeight="1">
      <c r="S985" s="454"/>
      <c r="AN985" s="458"/>
      <c r="BA985" s="1305"/>
      <c r="BC985" s="169"/>
    </row>
    <row r="986" spans="19:55" ht="15.75" customHeight="1">
      <c r="S986" s="454"/>
      <c r="AN986" s="458"/>
      <c r="BA986" s="1305"/>
      <c r="BC986" s="169"/>
    </row>
    <row r="987" spans="19:55" ht="15.75" customHeight="1">
      <c r="S987" s="454"/>
      <c r="AN987" s="458"/>
      <c r="BA987" s="1305"/>
      <c r="BC987" s="169"/>
    </row>
    <row r="988" spans="19:55" ht="15.75" customHeight="1">
      <c r="S988" s="454"/>
      <c r="AN988" s="458"/>
      <c r="BA988" s="1305"/>
      <c r="BC988" s="169"/>
    </row>
    <row r="989" spans="19:55" ht="15.75" customHeight="1">
      <c r="S989" s="454"/>
      <c r="AN989" s="458"/>
      <c r="BA989" s="1305"/>
      <c r="BC989" s="169"/>
    </row>
    <row r="990" spans="19:55" ht="15.75" customHeight="1">
      <c r="S990" s="454"/>
      <c r="AN990" s="458"/>
      <c r="BA990" s="1305"/>
      <c r="BC990" s="169"/>
    </row>
    <row r="991" spans="19:55" ht="15.75" customHeight="1">
      <c r="S991" s="454"/>
      <c r="AN991" s="458"/>
      <c r="BA991" s="1305"/>
      <c r="BC991" s="169"/>
    </row>
    <row r="992" spans="19:55" ht="15.75" customHeight="1">
      <c r="S992" s="454"/>
      <c r="AN992" s="458"/>
      <c r="BA992" s="1305"/>
      <c r="BC992" s="169"/>
    </row>
    <row r="993" spans="19:55" ht="15.75" customHeight="1">
      <c r="S993" s="454"/>
      <c r="AN993" s="458"/>
      <c r="BA993" s="1305"/>
      <c r="BC993" s="169"/>
    </row>
    <row r="994" spans="19:55" ht="15.75" customHeight="1">
      <c r="S994" s="454"/>
      <c r="AN994" s="458"/>
      <c r="BA994" s="1305"/>
      <c r="BC994" s="169"/>
    </row>
    <row r="995" spans="19:55" ht="15.75" customHeight="1">
      <c r="S995" s="454"/>
      <c r="AN995" s="458"/>
      <c r="BA995" s="1305"/>
      <c r="BC995" s="169"/>
    </row>
    <row r="996" spans="19:55" ht="15.75" customHeight="1">
      <c r="S996" s="454"/>
      <c r="AN996" s="458"/>
      <c r="BA996" s="1305"/>
      <c r="BC996" s="169"/>
    </row>
    <row r="997" spans="19:55" ht="15.75" customHeight="1">
      <c r="S997" s="454"/>
      <c r="AN997" s="458"/>
      <c r="BA997" s="1305"/>
      <c r="BC997" s="169"/>
    </row>
    <row r="998" spans="19:55" ht="15.75" customHeight="1">
      <c r="S998" s="454"/>
      <c r="AN998" s="458"/>
      <c r="BA998" s="1305"/>
      <c r="BC998" s="169"/>
    </row>
    <row r="999" spans="19:55" ht="15.75" customHeight="1">
      <c r="S999" s="454"/>
      <c r="AN999" s="458"/>
      <c r="BA999" s="1305"/>
      <c r="BC999" s="169"/>
    </row>
    <row r="1000" spans="19:55" ht="15.75" customHeight="1">
      <c r="S1000" s="454"/>
      <c r="AN1000" s="458"/>
      <c r="BA1000" s="1305"/>
      <c r="BC1000" s="169"/>
    </row>
    <row r="1001" spans="19:55" ht="15.75" customHeight="1">
      <c r="S1001" s="454"/>
      <c r="AN1001" s="458"/>
      <c r="BA1001" s="1305"/>
      <c r="BC1001" s="169"/>
    </row>
    <row r="1002" spans="19:55" ht="15.75" customHeight="1">
      <c r="S1002" s="454"/>
      <c r="AN1002" s="458"/>
      <c r="BA1002" s="1305"/>
      <c r="BC1002" s="169"/>
    </row>
    <row r="1003" spans="19:55" ht="15.75" customHeight="1">
      <c r="S1003" s="454"/>
      <c r="AN1003" s="458"/>
      <c r="BA1003" s="1305"/>
      <c r="BC1003" s="169"/>
    </row>
    <row r="1004" spans="19:55" ht="15.75" customHeight="1">
      <c r="S1004" s="454"/>
      <c r="AN1004" s="458"/>
      <c r="BA1004" s="1305"/>
      <c r="BC1004" s="169"/>
    </row>
    <row r="1005" spans="19:55" ht="15.75" customHeight="1">
      <c r="S1005" s="454"/>
      <c r="AN1005" s="458"/>
      <c r="BA1005" s="1305"/>
      <c r="BC1005" s="169"/>
    </row>
    <row r="1006" spans="19:55" ht="15.75" customHeight="1">
      <c r="S1006" s="454"/>
      <c r="AN1006" s="458"/>
      <c r="BA1006" s="1305"/>
      <c r="BC1006" s="169"/>
    </row>
    <row r="1007" spans="19:55" ht="15.75" customHeight="1">
      <c r="S1007" s="454"/>
      <c r="AN1007" s="458"/>
      <c r="BA1007" s="1305"/>
      <c r="BC1007" s="169"/>
    </row>
    <row r="1008" spans="19:55" ht="15.75" customHeight="1">
      <c r="S1008" s="454"/>
      <c r="AN1008" s="458"/>
      <c r="BA1008" s="1305"/>
      <c r="BC1008" s="169"/>
    </row>
    <row r="1009" spans="19:55" ht="15.75" customHeight="1">
      <c r="S1009" s="454"/>
      <c r="AN1009" s="458"/>
      <c r="BA1009" s="1305"/>
      <c r="BC1009" s="169"/>
    </row>
    <row r="1010" spans="19:55" ht="15.75" customHeight="1">
      <c r="S1010" s="454"/>
      <c r="AN1010" s="458"/>
      <c r="BA1010" s="1305"/>
      <c r="BC1010" s="169"/>
    </row>
    <row r="1011" spans="19:55" ht="15.75" customHeight="1">
      <c r="S1011" s="454"/>
      <c r="AN1011" s="458"/>
      <c r="BA1011" s="1305"/>
      <c r="BC1011" s="169"/>
    </row>
    <row r="1012" spans="19:55" ht="15.75" customHeight="1">
      <c r="S1012" s="454"/>
      <c r="AN1012" s="458"/>
      <c r="BA1012" s="1305"/>
      <c r="BC1012" s="169"/>
    </row>
    <row r="1013" spans="19:55" ht="15.75" customHeight="1">
      <c r="S1013" s="454"/>
      <c r="AN1013" s="458"/>
      <c r="BA1013" s="1305"/>
      <c r="BC1013" s="169"/>
    </row>
    <row r="1014" spans="19:55" ht="15.75" customHeight="1">
      <c r="S1014" s="454"/>
      <c r="AN1014" s="458"/>
      <c r="BA1014" s="1305"/>
      <c r="BC1014" s="169"/>
    </row>
    <row r="1015" spans="19:55" ht="15.75" customHeight="1">
      <c r="S1015" s="454"/>
      <c r="AN1015" s="458"/>
      <c r="BA1015" s="1305"/>
      <c r="BC1015" s="169"/>
    </row>
    <row r="1016" spans="19:55" ht="15.75" customHeight="1">
      <c r="S1016" s="454"/>
      <c r="AN1016" s="458"/>
      <c r="BA1016" s="1305"/>
      <c r="BC1016" s="169"/>
    </row>
    <row r="1017" spans="19:55" ht="15.75" customHeight="1">
      <c r="S1017" s="454"/>
      <c r="AN1017" s="458"/>
      <c r="BA1017" s="1305"/>
      <c r="BC1017" s="169"/>
    </row>
    <row r="1018" spans="19:55" ht="15.75" customHeight="1">
      <c r="S1018" s="454"/>
      <c r="AN1018" s="458"/>
      <c r="BA1018" s="1305"/>
      <c r="BC1018" s="169"/>
    </row>
    <row r="1019" spans="19:55" ht="15.75" customHeight="1">
      <c r="S1019" s="454"/>
      <c r="AN1019" s="458"/>
      <c r="BA1019" s="1305"/>
      <c r="BC1019" s="169"/>
    </row>
    <row r="1020" spans="19:55" ht="15.75" customHeight="1">
      <c r="S1020" s="454"/>
      <c r="AN1020" s="458"/>
      <c r="BA1020" s="1305"/>
      <c r="BC1020" s="169"/>
    </row>
    <row r="1021" spans="19:55" ht="15.75" customHeight="1">
      <c r="S1021" s="454"/>
      <c r="AN1021" s="458"/>
      <c r="BA1021" s="1305"/>
      <c r="BC1021" s="169"/>
    </row>
    <row r="1022" spans="19:55" ht="15.75" customHeight="1">
      <c r="S1022" s="454"/>
      <c r="AN1022" s="458"/>
      <c r="BA1022" s="1305"/>
      <c r="BC1022" s="169"/>
    </row>
    <row r="1023" spans="19:55" ht="15.75" customHeight="1">
      <c r="S1023" s="454"/>
      <c r="AN1023" s="458"/>
      <c r="BA1023" s="1305"/>
      <c r="BC1023" s="169"/>
    </row>
    <row r="1024" spans="19:55" ht="15.75" customHeight="1">
      <c r="S1024" s="454"/>
      <c r="AN1024" s="458"/>
      <c r="BA1024" s="1305"/>
      <c r="BC1024" s="169"/>
    </row>
    <row r="1025" spans="19:55" ht="15.75" customHeight="1">
      <c r="S1025" s="454"/>
      <c r="AN1025" s="458"/>
      <c r="BA1025" s="1305"/>
      <c r="BC1025" s="169"/>
    </row>
    <row r="1026" spans="19:55" ht="15.75" customHeight="1">
      <c r="S1026" s="454"/>
      <c r="AN1026" s="458"/>
      <c r="BA1026" s="1305"/>
      <c r="BC1026" s="169"/>
    </row>
    <row r="1027" spans="19:55" ht="15.75" customHeight="1">
      <c r="S1027" s="454"/>
      <c r="AN1027" s="458"/>
      <c r="BA1027" s="1305"/>
      <c r="BC1027" s="169"/>
    </row>
    <row r="1028" spans="19:55" ht="15.75" customHeight="1">
      <c r="S1028" s="454"/>
      <c r="AN1028" s="458"/>
      <c r="BA1028" s="1305"/>
      <c r="BC1028" s="169"/>
    </row>
    <row r="1029" spans="19:55" ht="15.75" customHeight="1">
      <c r="S1029" s="454"/>
      <c r="AN1029" s="458"/>
      <c r="BA1029" s="1305"/>
      <c r="BC1029" s="169"/>
    </row>
    <row r="1030" spans="19:55" ht="15.75" customHeight="1">
      <c r="S1030" s="454"/>
      <c r="AN1030" s="458"/>
      <c r="BA1030" s="1305"/>
      <c r="BC1030" s="169"/>
    </row>
    <row r="1031" spans="19:55" ht="15.75" customHeight="1">
      <c r="S1031" s="454"/>
      <c r="AN1031" s="458"/>
      <c r="BA1031" s="1305"/>
      <c r="BC1031" s="169"/>
    </row>
    <row r="1032" spans="19:55" ht="15.75" customHeight="1">
      <c r="S1032" s="454"/>
      <c r="AN1032" s="458"/>
      <c r="BA1032" s="1305"/>
      <c r="BC1032" s="169"/>
    </row>
    <row r="1033" spans="19:55" ht="15.75" customHeight="1">
      <c r="S1033" s="454"/>
      <c r="AN1033" s="458"/>
      <c r="BA1033" s="1305"/>
      <c r="BC1033" s="169"/>
    </row>
    <row r="1034" spans="19:55" ht="15.75" customHeight="1">
      <c r="S1034" s="454"/>
      <c r="AN1034" s="458"/>
      <c r="BA1034" s="1305"/>
      <c r="BC1034" s="169"/>
    </row>
    <row r="1035" spans="19:55" ht="15.75" customHeight="1">
      <c r="S1035" s="454"/>
      <c r="AN1035" s="458"/>
      <c r="BA1035" s="1305"/>
      <c r="BC1035" s="169"/>
    </row>
    <row r="1036" spans="19:55" ht="15.75" customHeight="1">
      <c r="S1036" s="454"/>
      <c r="AN1036" s="458"/>
      <c r="BA1036" s="1305"/>
      <c r="BC1036" s="169"/>
    </row>
    <row r="1037" spans="19:55" ht="15.75" customHeight="1">
      <c r="S1037" s="454"/>
      <c r="AN1037" s="458"/>
      <c r="BA1037" s="1305"/>
      <c r="BC1037" s="169"/>
    </row>
    <row r="1038" spans="19:55" ht="15.75" customHeight="1">
      <c r="S1038" s="454"/>
      <c r="AN1038" s="458"/>
      <c r="BA1038" s="1305"/>
      <c r="BC1038" s="169"/>
    </row>
    <row r="1039" spans="19:55" ht="15.75" customHeight="1">
      <c r="S1039" s="454"/>
      <c r="AN1039" s="458"/>
      <c r="BA1039" s="1305"/>
      <c r="BC1039" s="169"/>
    </row>
    <row r="1040" spans="19:55" ht="15.75" customHeight="1">
      <c r="S1040" s="454"/>
      <c r="AN1040" s="458"/>
      <c r="BA1040" s="1305"/>
      <c r="BC1040" s="169"/>
    </row>
    <row r="1041" spans="19:55" ht="15.75" customHeight="1">
      <c r="S1041" s="454"/>
      <c r="AN1041" s="458"/>
      <c r="BA1041" s="1305"/>
      <c r="BC1041" s="169"/>
    </row>
    <row r="1042" spans="19:55" ht="15.75" customHeight="1">
      <c r="S1042" s="454"/>
      <c r="AN1042" s="458"/>
      <c r="BA1042" s="1305"/>
      <c r="BC1042" s="169"/>
    </row>
    <row r="1043" spans="19:55" ht="15.75" customHeight="1">
      <c r="S1043" s="454"/>
      <c r="AN1043" s="458"/>
      <c r="BA1043" s="1305"/>
      <c r="BC1043" s="169"/>
    </row>
    <row r="1044" spans="19:55" ht="15.75" customHeight="1">
      <c r="S1044" s="454"/>
      <c r="AN1044" s="458"/>
      <c r="BA1044" s="1305"/>
      <c r="BC1044" s="169"/>
    </row>
    <row r="1045" spans="19:55" ht="15.75" customHeight="1">
      <c r="S1045" s="454"/>
      <c r="AN1045" s="458"/>
      <c r="BA1045" s="1305"/>
      <c r="BC1045" s="169"/>
    </row>
    <row r="1046" spans="19:55" ht="15.75" customHeight="1">
      <c r="S1046" s="454"/>
      <c r="AN1046" s="458"/>
      <c r="BA1046" s="1305"/>
      <c r="BC1046" s="169"/>
    </row>
    <row r="1047" spans="19:55" ht="15.75" customHeight="1">
      <c r="S1047" s="454"/>
      <c r="AN1047" s="458"/>
      <c r="BA1047" s="1305"/>
      <c r="BC1047" s="169"/>
    </row>
    <row r="1048" spans="19:55" ht="15.75" customHeight="1">
      <c r="S1048" s="454"/>
      <c r="AN1048" s="458"/>
      <c r="BA1048" s="1305"/>
      <c r="BC1048" s="169"/>
    </row>
    <row r="1049" spans="19:55" ht="15.75" customHeight="1">
      <c r="S1049" s="454"/>
      <c r="AN1049" s="458"/>
      <c r="BA1049" s="1305"/>
      <c r="BC1049" s="169"/>
    </row>
    <row r="1050" spans="19:55" ht="15.75" customHeight="1">
      <c r="S1050" s="454"/>
      <c r="AN1050" s="458"/>
      <c r="BA1050" s="1305"/>
      <c r="BC1050" s="169"/>
    </row>
    <row r="1051" spans="19:55" ht="15.75" customHeight="1">
      <c r="S1051" s="454"/>
      <c r="AN1051" s="458"/>
      <c r="BA1051" s="1305"/>
      <c r="BC1051" s="169"/>
    </row>
    <row r="1052" spans="19:55" ht="15.75" customHeight="1">
      <c r="S1052" s="454"/>
      <c r="AN1052" s="458"/>
      <c r="BA1052" s="1305"/>
      <c r="BC1052" s="169"/>
    </row>
    <row r="1053" spans="19:55" ht="15.75" customHeight="1">
      <c r="S1053" s="454"/>
      <c r="AN1053" s="458"/>
      <c r="BA1053" s="1305"/>
      <c r="BC1053" s="169"/>
    </row>
    <row r="1054" spans="19:55" ht="15.75" customHeight="1">
      <c r="S1054" s="454"/>
      <c r="AN1054" s="458"/>
      <c r="BA1054" s="1305"/>
      <c r="BC1054" s="169"/>
    </row>
    <row r="1055" spans="19:55" ht="15.75" customHeight="1">
      <c r="S1055" s="454"/>
      <c r="AN1055" s="458"/>
      <c r="BA1055" s="1305"/>
      <c r="BC1055" s="169"/>
    </row>
    <row r="1056" spans="19:55" ht="15.75" customHeight="1">
      <c r="S1056" s="454"/>
      <c r="AN1056" s="458"/>
      <c r="BA1056" s="1305"/>
      <c r="BC1056" s="169"/>
    </row>
    <row r="1057" spans="19:55" ht="15.75" customHeight="1">
      <c r="S1057" s="454"/>
      <c r="AN1057" s="458"/>
      <c r="BA1057" s="1305"/>
      <c r="BC1057" s="169"/>
    </row>
    <row r="1058" spans="19:55" ht="15.75" customHeight="1">
      <c r="S1058" s="454"/>
      <c r="AN1058" s="458"/>
      <c r="BA1058" s="1305"/>
      <c r="BC1058" s="169"/>
    </row>
    <row r="1059" spans="19:55" ht="15.75" customHeight="1">
      <c r="S1059" s="454"/>
      <c r="AN1059" s="458"/>
      <c r="BA1059" s="1305"/>
      <c r="BC1059" s="169"/>
    </row>
    <row r="1060" spans="19:55" ht="15.75" customHeight="1">
      <c r="S1060" s="454"/>
      <c r="AN1060" s="458"/>
      <c r="BA1060" s="1305"/>
      <c r="BC1060" s="169"/>
    </row>
    <row r="1061" spans="19:55" ht="15.75" customHeight="1">
      <c r="S1061" s="454"/>
      <c r="AN1061" s="458"/>
      <c r="BA1061" s="1305"/>
      <c r="BC1061" s="169"/>
    </row>
    <row r="1062" spans="19:55" ht="15.75" customHeight="1">
      <c r="S1062" s="454"/>
      <c r="AN1062" s="458"/>
      <c r="BA1062" s="1305"/>
      <c r="BC1062" s="169"/>
    </row>
    <row r="1063" spans="19:55" ht="15.75" customHeight="1">
      <c r="S1063" s="454"/>
      <c r="AN1063" s="458"/>
      <c r="BA1063" s="1305"/>
      <c r="BC1063" s="169"/>
    </row>
    <row r="1064" spans="19:55" ht="15.75" customHeight="1">
      <c r="S1064" s="454"/>
      <c r="AN1064" s="458"/>
      <c r="BA1064" s="1305"/>
      <c r="BC1064" s="169"/>
    </row>
    <row r="1065" spans="19:55" ht="15.75" customHeight="1">
      <c r="S1065" s="454"/>
      <c r="AN1065" s="458"/>
      <c r="BA1065" s="1305"/>
      <c r="BC1065" s="169"/>
    </row>
    <row r="1066" spans="19:55" ht="15.75" customHeight="1">
      <c r="S1066" s="454"/>
      <c r="AN1066" s="458"/>
      <c r="BA1066" s="1305"/>
      <c r="BC1066" s="169"/>
    </row>
    <row r="1067" spans="19:55" ht="15.75" customHeight="1">
      <c r="S1067" s="454"/>
      <c r="AN1067" s="458"/>
      <c r="BA1067" s="1305"/>
      <c r="BC1067" s="169"/>
    </row>
    <row r="1068" spans="19:55" ht="15.75" customHeight="1">
      <c r="S1068" s="454"/>
      <c r="AN1068" s="458"/>
      <c r="BA1068" s="1305"/>
      <c r="BC1068" s="169"/>
    </row>
    <row r="1069" spans="19:55" ht="15.75" customHeight="1">
      <c r="S1069" s="454"/>
      <c r="AN1069" s="458"/>
      <c r="BA1069" s="1305"/>
      <c r="BC1069" s="169"/>
    </row>
    <row r="1070" spans="19:55" ht="15.75" customHeight="1">
      <c r="S1070" s="454"/>
      <c r="AN1070" s="458"/>
      <c r="BA1070" s="1305"/>
      <c r="BC1070" s="169"/>
    </row>
    <row r="1071" spans="19:55" ht="15.75" customHeight="1">
      <c r="S1071" s="454"/>
      <c r="AN1071" s="458"/>
      <c r="BA1071" s="1305"/>
      <c r="BC1071" s="169"/>
    </row>
    <row r="1072" spans="19:55" ht="15.75" customHeight="1">
      <c r="S1072" s="454"/>
      <c r="AN1072" s="458"/>
      <c r="BA1072" s="1305"/>
      <c r="BC1072" s="169"/>
    </row>
    <row r="1073" spans="19:55" ht="15.75" customHeight="1">
      <c r="S1073" s="454"/>
      <c r="AN1073" s="458"/>
      <c r="BA1073" s="1305"/>
      <c r="BC1073" s="169"/>
    </row>
    <row r="1074" spans="19:55" ht="15.75" customHeight="1">
      <c r="S1074" s="454"/>
      <c r="AN1074" s="458"/>
      <c r="BA1074" s="1305"/>
      <c r="BC1074" s="169"/>
    </row>
    <row r="1075" spans="19:55" ht="15.75" customHeight="1">
      <c r="S1075" s="454"/>
      <c r="AN1075" s="458"/>
      <c r="BA1075" s="1305"/>
      <c r="BC1075" s="169"/>
    </row>
    <row r="1076" spans="19:55" ht="15.75" customHeight="1">
      <c r="S1076" s="454"/>
      <c r="AN1076" s="458"/>
      <c r="BA1076" s="1305"/>
      <c r="BC1076" s="169"/>
    </row>
    <row r="1077" spans="19:55" ht="15.75" customHeight="1">
      <c r="S1077" s="454"/>
      <c r="AN1077" s="458"/>
      <c r="BA1077" s="1305"/>
      <c r="BC1077" s="169"/>
    </row>
    <row r="1078" spans="19:55" ht="15.75" customHeight="1">
      <c r="S1078" s="454"/>
      <c r="AN1078" s="458"/>
      <c r="BA1078" s="1305"/>
      <c r="BC1078" s="169"/>
    </row>
    <row r="1079" spans="19:55" ht="15.75" customHeight="1">
      <c r="S1079" s="454"/>
      <c r="AN1079" s="458"/>
      <c r="BA1079" s="1305"/>
      <c r="BC1079" s="169"/>
    </row>
    <row r="1080" spans="19:55" ht="15.75" customHeight="1">
      <c r="S1080" s="454"/>
      <c r="AN1080" s="458"/>
      <c r="BA1080" s="1305"/>
      <c r="BC1080" s="169"/>
    </row>
    <row r="1081" spans="19:55" ht="15.75" customHeight="1">
      <c r="S1081" s="454"/>
      <c r="AN1081" s="458"/>
      <c r="BA1081" s="1305"/>
      <c r="BC1081" s="169"/>
    </row>
    <row r="1082" spans="19:55" ht="15.75" customHeight="1">
      <c r="S1082" s="454"/>
      <c r="AN1082" s="458"/>
      <c r="BA1082" s="1305"/>
      <c r="BC1082" s="169"/>
    </row>
    <row r="1083" spans="19:55" ht="15.75" customHeight="1">
      <c r="S1083" s="454"/>
      <c r="AN1083" s="458"/>
      <c r="BA1083" s="1305"/>
      <c r="BC1083" s="169"/>
    </row>
    <row r="1084" spans="19:55" ht="15.75" customHeight="1">
      <c r="S1084" s="454"/>
      <c r="AN1084" s="458"/>
      <c r="BA1084" s="1305"/>
      <c r="BC1084" s="169"/>
    </row>
    <row r="1085" spans="19:55" ht="15.75" customHeight="1">
      <c r="S1085" s="454"/>
      <c r="AN1085" s="458"/>
      <c r="BA1085" s="1305"/>
      <c r="BC1085" s="169"/>
    </row>
    <row r="1086" spans="19:55" ht="15.75" customHeight="1">
      <c r="S1086" s="454"/>
      <c r="AN1086" s="458"/>
      <c r="BA1086" s="1305"/>
      <c r="BC1086" s="169"/>
    </row>
    <row r="1087" spans="19:55" ht="15.75" customHeight="1">
      <c r="S1087" s="454"/>
      <c r="AN1087" s="458"/>
      <c r="BA1087" s="1305"/>
      <c r="BC1087" s="169"/>
    </row>
    <row r="1088" spans="19:55" ht="15.75" customHeight="1">
      <c r="S1088" s="454"/>
      <c r="AN1088" s="458"/>
      <c r="BA1088" s="1305"/>
      <c r="BC1088" s="169"/>
    </row>
    <row r="1089" spans="19:55" ht="15.75" customHeight="1">
      <c r="S1089" s="454"/>
      <c r="AN1089" s="458"/>
      <c r="BA1089" s="1305"/>
      <c r="BC1089" s="169"/>
    </row>
    <row r="1090" spans="19:55" ht="15.75" customHeight="1">
      <c r="S1090" s="454"/>
      <c r="AN1090" s="458"/>
      <c r="BA1090" s="1305"/>
      <c r="BC1090" s="169"/>
    </row>
    <row r="1091" spans="19:55" ht="15.75" customHeight="1">
      <c r="S1091" s="454"/>
      <c r="AN1091" s="458"/>
      <c r="BA1091" s="1305"/>
      <c r="BC1091" s="169"/>
    </row>
    <row r="1092" spans="19:55" ht="15.75" customHeight="1">
      <c r="S1092" s="454"/>
      <c r="AN1092" s="458"/>
      <c r="BA1092" s="1305"/>
      <c r="BC1092" s="169"/>
    </row>
    <row r="1093" spans="19:55" ht="15.75" customHeight="1">
      <c r="S1093" s="454"/>
      <c r="AN1093" s="458"/>
      <c r="BA1093" s="1305"/>
      <c r="BC1093" s="169"/>
    </row>
    <row r="1094" spans="19:55" ht="15.75" customHeight="1">
      <c r="S1094" s="454"/>
      <c r="AN1094" s="458"/>
      <c r="BA1094" s="1266"/>
      <c r="BC1094" s="169"/>
    </row>
    <row r="1095" spans="19:55" ht="15.75" customHeight="1">
      <c r="S1095" s="454"/>
      <c r="AN1095" s="458"/>
      <c r="BA1095" s="1266"/>
      <c r="BC1095" s="169"/>
    </row>
    <row r="1096" spans="19:55" ht="15.75" customHeight="1">
      <c r="S1096" s="454"/>
      <c r="AN1096" s="458"/>
      <c r="BA1096" s="1266"/>
      <c r="BC1096" s="169"/>
    </row>
    <row r="1097" spans="19:55" ht="15.75" customHeight="1">
      <c r="S1097" s="454"/>
      <c r="AN1097" s="458"/>
      <c r="BA1097" s="1266"/>
      <c r="BC1097" s="169"/>
    </row>
    <row r="1098" spans="19:55" ht="15.75" customHeight="1">
      <c r="S1098" s="454"/>
      <c r="AN1098" s="458"/>
      <c r="BA1098" s="1266"/>
      <c r="BC1098" s="169"/>
    </row>
    <row r="1099" spans="19:55" ht="15.75" customHeight="1">
      <c r="S1099" s="454"/>
      <c r="AN1099" s="458"/>
      <c r="BA1099" s="1266"/>
      <c r="BC1099" s="169"/>
    </row>
    <row r="1100" spans="19:55" ht="15.75" customHeight="1">
      <c r="S1100" s="454"/>
      <c r="AN1100" s="458"/>
      <c r="BA1100" s="1266"/>
      <c r="BC1100" s="169"/>
    </row>
    <row r="1101" spans="19:55" ht="15.75" customHeight="1">
      <c r="S1101" s="454"/>
      <c r="AN1101" s="458"/>
      <c r="BA1101" s="1266"/>
      <c r="BC1101" s="169"/>
    </row>
    <row r="1102" spans="19:55" ht="15.75" customHeight="1">
      <c r="S1102" s="454"/>
      <c r="AN1102" s="458"/>
      <c r="BA1102" s="1266"/>
      <c r="BC1102" s="169"/>
    </row>
    <row r="1103" spans="19:55" ht="15.75" customHeight="1">
      <c r="S1103" s="454"/>
      <c r="AN1103" s="458"/>
      <c r="BA1103" s="1266"/>
      <c r="BC1103" s="169"/>
    </row>
    <row r="1104" spans="19:55" ht="15.75" customHeight="1">
      <c r="S1104" s="454"/>
      <c r="AN1104" s="458"/>
      <c r="BA1104" s="1266"/>
      <c r="BC1104" s="169"/>
    </row>
    <row r="1105" spans="19:55" ht="15.75" customHeight="1">
      <c r="S1105" s="454"/>
      <c r="AN1105" s="458"/>
      <c r="BA1105" s="1266"/>
      <c r="BC1105" s="169"/>
    </row>
    <row r="1106" spans="19:55" ht="15.75" customHeight="1">
      <c r="S1106" s="454"/>
      <c r="AN1106" s="458"/>
      <c r="BA1106" s="1266"/>
      <c r="BC1106" s="169"/>
    </row>
    <row r="1107" spans="19:55" ht="15.75" customHeight="1">
      <c r="S1107" s="454"/>
      <c r="AN1107" s="458"/>
      <c r="BA1107" s="1266"/>
      <c r="BC1107" s="169"/>
    </row>
    <row r="1108" spans="19:55" ht="15.75" customHeight="1">
      <c r="S1108" s="454"/>
      <c r="AN1108" s="458"/>
      <c r="BA1108" s="1266"/>
      <c r="BC1108" s="169"/>
    </row>
    <row r="1109" spans="19:55" ht="15.75" customHeight="1">
      <c r="S1109" s="454"/>
      <c r="AN1109" s="458"/>
      <c r="BA1109" s="1266"/>
      <c r="BC1109" s="169"/>
    </row>
    <row r="1110" spans="19:55" ht="15.75" customHeight="1">
      <c r="S1110" s="454"/>
      <c r="AN1110" s="458"/>
      <c r="BA1110" s="1266"/>
      <c r="BC1110" s="169"/>
    </row>
    <row r="1111" spans="19:55" ht="15.75" customHeight="1">
      <c r="S1111" s="454"/>
      <c r="AN1111" s="458"/>
      <c r="BA1111" s="1266"/>
      <c r="BC1111" s="169"/>
    </row>
    <row r="1112" spans="19:55" ht="15.75" customHeight="1">
      <c r="S1112" s="454"/>
      <c r="AN1112" s="458"/>
      <c r="BA1112" s="1266"/>
      <c r="BC1112" s="169"/>
    </row>
    <row r="1113" spans="19:55" ht="15.75" customHeight="1">
      <c r="S1113" s="454"/>
      <c r="AN1113" s="458"/>
      <c r="BA1113" s="1266"/>
      <c r="BC1113" s="169"/>
    </row>
    <row r="1114" spans="19:55" ht="15.75" customHeight="1">
      <c r="S1114" s="454"/>
      <c r="AN1114" s="458"/>
      <c r="BA1114" s="1266"/>
      <c r="BC1114" s="169"/>
    </row>
    <row r="1115" spans="19:55" ht="15.75" customHeight="1">
      <c r="S1115" s="454"/>
      <c r="AN1115" s="458"/>
      <c r="BA1115" s="1266"/>
      <c r="BC1115" s="169"/>
    </row>
    <row r="1116" spans="19:55" ht="15.75" customHeight="1">
      <c r="S1116" s="454"/>
      <c r="AN1116" s="458"/>
      <c r="BA1116" s="1266"/>
      <c r="BC1116" s="169"/>
    </row>
    <row r="1117" spans="19:55" ht="15.75" customHeight="1">
      <c r="S1117" s="454"/>
      <c r="AN1117" s="458"/>
      <c r="BA1117" s="1266"/>
      <c r="BC1117" s="169"/>
    </row>
    <row r="1118" spans="19:55" ht="15.75" customHeight="1">
      <c r="S1118" s="454"/>
      <c r="AN1118" s="458"/>
      <c r="BA1118" s="1266"/>
      <c r="BC1118" s="169"/>
    </row>
    <row r="1119" spans="19:55" ht="15.75" customHeight="1">
      <c r="S1119" s="454"/>
      <c r="AN1119" s="458"/>
      <c r="BA1119" s="1266"/>
      <c r="BC1119" s="169"/>
    </row>
    <row r="1120" spans="19:55" ht="15.75" customHeight="1">
      <c r="S1120" s="454"/>
      <c r="AN1120" s="458"/>
      <c r="BA1120" s="1266"/>
      <c r="BC1120" s="169"/>
    </row>
    <row r="1121" spans="19:55" ht="15.75" customHeight="1">
      <c r="S1121" s="454"/>
      <c r="AN1121" s="458"/>
      <c r="BA1121" s="1266"/>
      <c r="BC1121" s="169"/>
    </row>
    <row r="1122" spans="19:55" ht="15.75" customHeight="1">
      <c r="S1122" s="454"/>
      <c r="AN1122" s="458"/>
      <c r="BA1122" s="1266"/>
      <c r="BC1122" s="169"/>
    </row>
    <row r="1123" spans="19:55" ht="15.75" customHeight="1">
      <c r="S1123" s="454"/>
      <c r="AN1123" s="458"/>
      <c r="BA1123" s="1266"/>
      <c r="BC1123" s="169"/>
    </row>
    <row r="1124" spans="19:55" ht="15.75" customHeight="1">
      <c r="S1124" s="454"/>
      <c r="AN1124" s="458"/>
      <c r="BA1124" s="1266"/>
      <c r="BC1124" s="169"/>
    </row>
    <row r="1125" spans="19:55" ht="15.75" customHeight="1">
      <c r="S1125" s="454"/>
      <c r="AN1125" s="458"/>
      <c r="BA1125" s="1266"/>
      <c r="BC1125" s="169"/>
    </row>
    <row r="1126" spans="19:55" ht="15.75" customHeight="1">
      <c r="S1126" s="454"/>
      <c r="AN1126" s="458"/>
      <c r="BA1126" s="1266"/>
      <c r="BC1126" s="169"/>
    </row>
    <row r="1127" spans="19:55" ht="15.75" customHeight="1">
      <c r="S1127" s="454"/>
      <c r="AN1127" s="458"/>
      <c r="BA1127" s="1266"/>
      <c r="BC1127" s="169"/>
    </row>
    <row r="1128" spans="19:55" ht="15.75" customHeight="1">
      <c r="S1128" s="454"/>
      <c r="AN1128" s="458"/>
      <c r="BA1128" s="1266"/>
      <c r="BC1128" s="169"/>
    </row>
    <row r="1129" spans="19:55" ht="15.75" customHeight="1">
      <c r="S1129" s="454"/>
      <c r="AN1129" s="458"/>
      <c r="BA1129" s="1266"/>
      <c r="BC1129" s="169"/>
    </row>
    <row r="1130" spans="19:55" ht="15.75" customHeight="1">
      <c r="S1130" s="454"/>
      <c r="AN1130" s="458"/>
      <c r="BA1130" s="1266"/>
      <c r="BC1130" s="169"/>
    </row>
    <row r="1131" spans="19:55" ht="15.75" customHeight="1">
      <c r="S1131" s="454"/>
      <c r="AN1131" s="458"/>
      <c r="BA1131" s="1266"/>
      <c r="BC1131" s="169"/>
    </row>
    <row r="1132" spans="19:55" ht="15.75" customHeight="1">
      <c r="S1132" s="454"/>
      <c r="AN1132" s="458"/>
      <c r="BA1132" s="1266"/>
      <c r="BC1132" s="169"/>
    </row>
    <row r="1133" spans="19:55" ht="15.75" customHeight="1">
      <c r="S1133" s="454"/>
      <c r="AN1133" s="458"/>
      <c r="BA1133" s="1266"/>
      <c r="BC1133" s="169"/>
    </row>
    <row r="1134" spans="19:55" ht="15.75" customHeight="1">
      <c r="S1134" s="454"/>
      <c r="AN1134" s="458"/>
      <c r="BA1134" s="1266"/>
      <c r="BC1134" s="169"/>
    </row>
    <row r="1135" spans="19:55" ht="15.75" customHeight="1">
      <c r="S1135" s="454"/>
      <c r="AN1135" s="458"/>
      <c r="BA1135" s="1266"/>
      <c r="BC1135" s="169"/>
    </row>
    <row r="1136" spans="19:55" ht="15.75" customHeight="1">
      <c r="S1136" s="454"/>
      <c r="AN1136" s="458"/>
      <c r="BA1136" s="1266"/>
      <c r="BC1136" s="169"/>
    </row>
    <row r="1137" spans="19:55" ht="15.75" customHeight="1">
      <c r="S1137" s="454"/>
      <c r="AN1137" s="458"/>
      <c r="BA1137" s="1266"/>
      <c r="BC1137" s="169"/>
    </row>
    <row r="1138" spans="19:55" ht="15.75" customHeight="1">
      <c r="S1138" s="454"/>
      <c r="AN1138" s="458"/>
      <c r="BA1138" s="1266"/>
      <c r="BC1138" s="169"/>
    </row>
    <row r="1139" spans="19:55" ht="15.75" customHeight="1">
      <c r="S1139" s="454"/>
      <c r="AN1139" s="458"/>
      <c r="BA1139" s="1266"/>
      <c r="BC1139" s="169"/>
    </row>
    <row r="1140" spans="19:55" ht="15.75" customHeight="1">
      <c r="S1140" s="454"/>
      <c r="AN1140" s="458"/>
      <c r="BA1140" s="1266"/>
      <c r="BC1140" s="169"/>
    </row>
    <row r="1141" spans="19:55" ht="15.75" customHeight="1">
      <c r="S1141" s="454"/>
      <c r="AN1141" s="458"/>
      <c r="BA1141" s="1266"/>
      <c r="BC1141" s="169"/>
    </row>
    <row r="1142" spans="19:55" ht="15.75" customHeight="1">
      <c r="S1142" s="454"/>
      <c r="AN1142" s="458"/>
      <c r="BA1142" s="1266"/>
      <c r="BC1142" s="169"/>
    </row>
    <row r="1143" spans="19:55" ht="15.75" customHeight="1">
      <c r="S1143" s="454"/>
      <c r="AN1143" s="458"/>
      <c r="BA1143" s="1266"/>
      <c r="BC1143" s="169"/>
    </row>
    <row r="1144" spans="19:55" ht="15.75" customHeight="1">
      <c r="S1144" s="454"/>
      <c r="AN1144" s="458"/>
      <c r="BA1144" s="1266"/>
      <c r="BC1144" s="169"/>
    </row>
    <row r="1145" spans="19:55" ht="15.75" customHeight="1">
      <c r="S1145" s="454"/>
      <c r="AN1145" s="458"/>
      <c r="BA1145" s="1266"/>
      <c r="BC1145" s="169"/>
    </row>
    <row r="1146" spans="19:55" ht="15.75" customHeight="1">
      <c r="S1146" s="454"/>
      <c r="AN1146" s="458"/>
      <c r="BA1146" s="1266"/>
      <c r="BC1146" s="169"/>
    </row>
    <row r="1147" spans="19:55" ht="15.75" customHeight="1">
      <c r="S1147" s="454"/>
      <c r="AN1147" s="458"/>
      <c r="BA1147" s="1266"/>
      <c r="BC1147" s="169"/>
    </row>
    <row r="1148" spans="19:55" ht="15.75" customHeight="1">
      <c r="S1148" s="454"/>
      <c r="AN1148" s="458"/>
      <c r="BA1148" s="1266"/>
      <c r="BC1148" s="169"/>
    </row>
    <row r="1149" spans="19:55" ht="15.75" customHeight="1">
      <c r="S1149" s="454"/>
      <c r="AN1149" s="458"/>
      <c r="BA1149" s="1266"/>
      <c r="BC1149" s="169"/>
    </row>
    <row r="1150" spans="19:55" ht="15.75" customHeight="1">
      <c r="S1150" s="454"/>
      <c r="AN1150" s="458"/>
      <c r="BA1150" s="1266"/>
      <c r="BC1150" s="169"/>
    </row>
    <row r="1151" spans="19:55" ht="15.75" customHeight="1">
      <c r="S1151" s="454"/>
      <c r="AN1151" s="458"/>
      <c r="BA1151" s="1266"/>
      <c r="BC1151" s="169"/>
    </row>
    <row r="1152" spans="19:55" ht="15.75" customHeight="1">
      <c r="S1152" s="454"/>
      <c r="AN1152" s="458"/>
      <c r="BA1152" s="1266"/>
      <c r="BC1152" s="169"/>
    </row>
    <row r="1153" spans="19:55" ht="15.75" customHeight="1">
      <c r="S1153" s="454"/>
      <c r="AN1153" s="458"/>
      <c r="BA1153" s="1266"/>
      <c r="BC1153" s="169"/>
    </row>
    <row r="1154" spans="19:55" ht="15.75" customHeight="1">
      <c r="S1154" s="454"/>
      <c r="AN1154" s="458"/>
      <c r="BA1154" s="1266"/>
      <c r="BC1154" s="169"/>
    </row>
    <row r="1155" spans="19:55" ht="15.75" customHeight="1">
      <c r="S1155" s="454"/>
      <c r="AN1155" s="458"/>
      <c r="BA1155" s="1266"/>
      <c r="BC1155" s="169"/>
    </row>
    <row r="1156" spans="19:55" ht="15.75" customHeight="1">
      <c r="S1156" s="454"/>
      <c r="AN1156" s="458"/>
      <c r="BA1156" s="1266"/>
      <c r="BC1156" s="169"/>
    </row>
    <row r="1157" spans="19:55" ht="15.75" customHeight="1">
      <c r="S1157" s="454"/>
      <c r="AN1157" s="458"/>
      <c r="BA1157" s="1266"/>
      <c r="BC1157" s="169"/>
    </row>
    <row r="1158" spans="19:55" ht="15.75" customHeight="1">
      <c r="S1158" s="454"/>
      <c r="AN1158" s="458"/>
      <c r="BA1158" s="1266"/>
      <c r="BC1158" s="169"/>
    </row>
    <row r="1159" spans="19:55" ht="15.75" customHeight="1">
      <c r="S1159" s="454"/>
      <c r="AN1159" s="458"/>
      <c r="BA1159" s="1266"/>
      <c r="BC1159" s="169"/>
    </row>
    <row r="1160" spans="19:55" ht="15.75" customHeight="1">
      <c r="S1160" s="454"/>
      <c r="AN1160" s="458"/>
      <c r="BA1160" s="1266"/>
      <c r="BC1160" s="169"/>
    </row>
    <row r="1161" spans="19:55" ht="15.75" customHeight="1">
      <c r="S1161" s="454"/>
      <c r="AN1161" s="458"/>
      <c r="BA1161" s="1266"/>
      <c r="BC1161" s="169"/>
    </row>
    <row r="1162" spans="19:55" ht="15.75" customHeight="1">
      <c r="S1162" s="454"/>
      <c r="AN1162" s="458"/>
      <c r="BA1162" s="1266"/>
      <c r="BC1162" s="169"/>
    </row>
    <row r="1163" spans="19:55" ht="15.75" customHeight="1">
      <c r="S1163" s="454"/>
      <c r="AN1163" s="458"/>
      <c r="BA1163" s="1266"/>
      <c r="BC1163" s="169"/>
    </row>
    <row r="1164" spans="19:55" ht="15.75" customHeight="1">
      <c r="S1164" s="454"/>
      <c r="AN1164" s="458"/>
      <c r="BA1164" s="1266"/>
      <c r="BC1164" s="169"/>
    </row>
    <row r="1165" spans="19:55" ht="15.75" customHeight="1">
      <c r="S1165" s="454"/>
      <c r="AN1165" s="458"/>
      <c r="BA1165" s="1266"/>
      <c r="BC1165" s="169"/>
    </row>
    <row r="1166" spans="19:55" ht="15.75" customHeight="1">
      <c r="S1166" s="454"/>
      <c r="AN1166" s="458"/>
      <c r="BA1166" s="1266"/>
      <c r="BC1166" s="169"/>
    </row>
    <row r="1167" spans="19:55" ht="15.75" customHeight="1">
      <c r="S1167" s="454"/>
      <c r="AN1167" s="458"/>
      <c r="BA1167" s="1266"/>
      <c r="BC1167" s="169"/>
    </row>
    <row r="1168" spans="19:55" ht="15.75" customHeight="1">
      <c r="S1168" s="454"/>
      <c r="AN1168" s="458"/>
      <c r="BA1168" s="1266"/>
      <c r="BC1168" s="169"/>
    </row>
    <row r="1169" spans="19:55" ht="15.75" customHeight="1">
      <c r="S1169" s="454"/>
      <c r="AN1169" s="458"/>
      <c r="BA1169" s="1266"/>
      <c r="BC1169" s="169"/>
    </row>
    <row r="1170" spans="19:55" ht="15.75" customHeight="1">
      <c r="S1170" s="454"/>
      <c r="AN1170" s="458"/>
      <c r="BA1170" s="1266"/>
      <c r="BC1170" s="169"/>
    </row>
    <row r="1171" spans="19:55" ht="15.75" customHeight="1">
      <c r="S1171" s="454"/>
      <c r="AN1171" s="458"/>
      <c r="BA1171" s="1266"/>
      <c r="BC1171" s="169"/>
    </row>
    <row r="1172" spans="19:55" ht="15.75" customHeight="1">
      <c r="S1172" s="454"/>
      <c r="AN1172" s="458"/>
      <c r="BA1172" s="1266"/>
      <c r="BC1172" s="169"/>
    </row>
    <row r="1173" spans="19:55" ht="15.75" customHeight="1">
      <c r="S1173" s="454"/>
      <c r="AN1173" s="458"/>
      <c r="BA1173" s="1266"/>
      <c r="BC1173" s="169"/>
    </row>
    <row r="1174" spans="19:55" ht="15.75" customHeight="1">
      <c r="S1174" s="454"/>
      <c r="AN1174" s="458"/>
      <c r="BA1174" s="1266"/>
      <c r="BC1174" s="169"/>
    </row>
    <row r="1175" spans="19:55" ht="15.75" customHeight="1">
      <c r="S1175" s="454"/>
      <c r="AN1175" s="458"/>
      <c r="BA1175" s="1266"/>
      <c r="BC1175" s="169"/>
    </row>
    <row r="1176" spans="19:55" ht="15.75" customHeight="1">
      <c r="S1176" s="454"/>
      <c r="AN1176" s="458"/>
      <c r="BA1176" s="1266"/>
      <c r="BC1176" s="169"/>
    </row>
    <row r="1177" spans="19:55" ht="15.75" customHeight="1">
      <c r="S1177" s="454"/>
      <c r="AN1177" s="458"/>
      <c r="BA1177" s="1266"/>
      <c r="BC1177" s="169"/>
    </row>
    <row r="1178" spans="19:55" ht="15.75" customHeight="1">
      <c r="S1178" s="454"/>
      <c r="AN1178" s="458"/>
      <c r="BA1178" s="1266"/>
      <c r="BC1178" s="169"/>
    </row>
    <row r="1179" spans="19:55" ht="15.75" customHeight="1">
      <c r="S1179" s="454"/>
      <c r="AN1179" s="458"/>
      <c r="BA1179" s="1266"/>
      <c r="BC1179" s="169"/>
    </row>
    <row r="1180" spans="19:55" ht="15.75" customHeight="1">
      <c r="S1180" s="454"/>
      <c r="AN1180" s="458"/>
      <c r="BA1180" s="1266"/>
      <c r="BC1180" s="169"/>
    </row>
    <row r="1181" spans="19:55" ht="15.75" customHeight="1">
      <c r="S1181" s="454"/>
      <c r="AN1181" s="458"/>
      <c r="BA1181" s="1266"/>
      <c r="BC1181" s="169"/>
    </row>
    <row r="1182" spans="19:55" ht="15.75" customHeight="1">
      <c r="S1182" s="454"/>
      <c r="AN1182" s="458"/>
      <c r="BA1182" s="1266"/>
      <c r="BC1182" s="169"/>
    </row>
    <row r="1183" spans="19:55" ht="15.75" customHeight="1">
      <c r="S1183" s="454"/>
      <c r="AN1183" s="458"/>
      <c r="BA1183" s="1266"/>
      <c r="BC1183" s="169"/>
    </row>
    <row r="1184" spans="19:55" ht="15.75" customHeight="1">
      <c r="S1184" s="454"/>
      <c r="AN1184" s="458"/>
      <c r="BA1184" s="1266"/>
      <c r="BC1184" s="169"/>
    </row>
    <row r="1185" spans="19:55" ht="15.75" customHeight="1">
      <c r="S1185" s="454"/>
      <c r="AN1185" s="458"/>
      <c r="BA1185" s="1266"/>
      <c r="BC1185" s="169"/>
    </row>
    <row r="1186" spans="19:55" ht="15.75" customHeight="1">
      <c r="S1186" s="454"/>
      <c r="AN1186" s="458"/>
      <c r="BA1186" s="1266"/>
      <c r="BC1186" s="169"/>
    </row>
    <row r="1187" spans="19:55" ht="15.75" customHeight="1">
      <c r="S1187" s="454"/>
      <c r="AN1187" s="458"/>
      <c r="BA1187" s="1266"/>
      <c r="BC1187" s="169"/>
    </row>
    <row r="1188" spans="19:55" ht="15.75" customHeight="1">
      <c r="S1188" s="454"/>
      <c r="AN1188" s="458"/>
      <c r="BA1188" s="1266"/>
      <c r="BC1188" s="169"/>
    </row>
    <row r="1189" spans="19:55" ht="15.75" customHeight="1">
      <c r="S1189" s="454"/>
      <c r="AN1189" s="458"/>
      <c r="BA1189" s="1266"/>
      <c r="BC1189" s="169"/>
    </row>
    <row r="1190" spans="19:55" ht="15.75" customHeight="1">
      <c r="S1190" s="454"/>
      <c r="AN1190" s="458"/>
      <c r="BA1190" s="1266"/>
      <c r="BC1190" s="169"/>
    </row>
    <row r="1191" spans="19:55" ht="15.75" customHeight="1">
      <c r="S1191" s="454"/>
      <c r="AN1191" s="458"/>
      <c r="BA1191" s="1266"/>
      <c r="BC1191" s="169"/>
    </row>
    <row r="1192" spans="19:55" ht="15.75" customHeight="1">
      <c r="S1192" s="454"/>
      <c r="AN1192" s="458"/>
      <c r="BA1192" s="1266"/>
      <c r="BC1192" s="169"/>
    </row>
    <row r="1193" spans="19:55" ht="15.75" customHeight="1">
      <c r="S1193" s="454"/>
      <c r="AN1193" s="458"/>
      <c r="BA1193" s="1266"/>
      <c r="BC1193" s="169"/>
    </row>
    <row r="1194" spans="19:55" ht="15.75" customHeight="1">
      <c r="S1194" s="454"/>
      <c r="AN1194" s="458"/>
      <c r="BA1194" s="1266"/>
      <c r="BC1194" s="169"/>
    </row>
    <row r="1195" spans="19:55" ht="15.75" customHeight="1">
      <c r="S1195" s="454"/>
      <c r="AN1195" s="458"/>
      <c r="BA1195" s="1266"/>
      <c r="BC1195" s="169"/>
    </row>
    <row r="1196" spans="19:55" ht="15.75" customHeight="1">
      <c r="S1196" s="454"/>
      <c r="AN1196" s="458"/>
      <c r="BA1196" s="1266"/>
      <c r="BC1196" s="169"/>
    </row>
    <row r="1197" spans="19:55" ht="15.75" customHeight="1">
      <c r="S1197" s="454"/>
      <c r="AN1197" s="458"/>
      <c r="BA1197" s="1266"/>
      <c r="BC1197" s="169"/>
    </row>
    <row r="1198" spans="19:55" ht="15.75" customHeight="1">
      <c r="S1198" s="454"/>
      <c r="AN1198" s="458"/>
      <c r="BA1198" s="1266"/>
      <c r="BC1198" s="169"/>
    </row>
    <row r="1199" spans="19:55" ht="15.75" customHeight="1">
      <c r="S1199" s="454"/>
      <c r="AN1199" s="458"/>
      <c r="BA1199" s="1266"/>
      <c r="BC1199" s="169"/>
    </row>
    <row r="1200" spans="19:55" ht="15.75" customHeight="1">
      <c r="S1200" s="454"/>
      <c r="AN1200" s="458"/>
      <c r="BA1200" s="1266"/>
      <c r="BC1200" s="169"/>
    </row>
    <row r="1201" spans="19:55" ht="15.75" customHeight="1">
      <c r="S1201" s="454"/>
      <c r="AN1201" s="458"/>
      <c r="BA1201" s="1266"/>
      <c r="BC1201" s="169"/>
    </row>
    <row r="1202" spans="19:55" ht="15.75" customHeight="1">
      <c r="S1202" s="454"/>
      <c r="AN1202" s="458"/>
      <c r="BA1202" s="1266"/>
      <c r="BC1202" s="169"/>
    </row>
    <row r="1203" spans="19:55" ht="15.75" customHeight="1">
      <c r="S1203" s="454"/>
      <c r="AN1203" s="458"/>
      <c r="BA1203" s="1266"/>
      <c r="BC1203" s="169"/>
    </row>
    <row r="1204" spans="19:55" ht="15.75" customHeight="1">
      <c r="S1204" s="454"/>
      <c r="AN1204" s="458"/>
      <c r="BA1204" s="1266"/>
      <c r="BC1204" s="169"/>
    </row>
    <row r="1205" spans="19:55" ht="15.75" customHeight="1">
      <c r="S1205" s="454"/>
      <c r="AN1205" s="458"/>
      <c r="BA1205" s="1266"/>
      <c r="BC1205" s="169"/>
    </row>
    <row r="1206" spans="19:55" ht="15.75" customHeight="1">
      <c r="S1206" s="454"/>
      <c r="AN1206" s="458"/>
      <c r="BA1206" s="1266"/>
      <c r="BC1206" s="169"/>
    </row>
    <row r="1207" spans="19:55" ht="15.75" customHeight="1">
      <c r="S1207" s="454"/>
      <c r="AN1207" s="458"/>
      <c r="BA1207" s="1266"/>
      <c r="BC1207" s="169"/>
    </row>
    <row r="1208" spans="19:55" ht="15.75" customHeight="1">
      <c r="S1208" s="454"/>
      <c r="AN1208" s="458"/>
      <c r="BA1208" s="1266"/>
      <c r="BC1208" s="169"/>
    </row>
    <row r="1209" spans="19:55" ht="15.75" customHeight="1">
      <c r="S1209" s="454"/>
      <c r="AN1209" s="458"/>
      <c r="BA1209" s="1266"/>
      <c r="BC1209" s="169"/>
    </row>
    <row r="1210" spans="19:55" ht="15.75" customHeight="1">
      <c r="S1210" s="454"/>
      <c r="AN1210" s="458"/>
      <c r="BA1210" s="1266"/>
      <c r="BC1210" s="169"/>
    </row>
    <row r="1211" spans="19:55" ht="15.75" customHeight="1">
      <c r="S1211" s="454"/>
      <c r="AN1211" s="458"/>
      <c r="BA1211" s="1266"/>
      <c r="BC1211" s="169"/>
    </row>
    <row r="1212" spans="19:55" ht="15.75" customHeight="1">
      <c r="S1212" s="454"/>
      <c r="AN1212" s="458"/>
      <c r="BA1212" s="1266"/>
      <c r="BC1212" s="169"/>
    </row>
    <row r="1213" spans="19:55" ht="15.75" customHeight="1">
      <c r="S1213" s="454"/>
      <c r="AN1213" s="458"/>
      <c r="BA1213" s="1266"/>
      <c r="BC1213" s="169"/>
    </row>
    <row r="1214" spans="19:55" ht="15.75" customHeight="1">
      <c r="S1214" s="454"/>
      <c r="AN1214" s="458"/>
      <c r="BA1214" s="1266"/>
      <c r="BC1214" s="169"/>
    </row>
    <row r="1215" spans="19:55" ht="15.75" customHeight="1">
      <c r="S1215" s="454"/>
      <c r="AN1215" s="458"/>
      <c r="BA1215" s="1266"/>
      <c r="BC1215" s="169"/>
    </row>
    <row r="1216" spans="19:55" ht="15.75" customHeight="1">
      <c r="S1216" s="454"/>
      <c r="AN1216" s="458"/>
      <c r="BA1216" s="1266"/>
      <c r="BC1216" s="169"/>
    </row>
    <row r="1217" spans="19:55" ht="15.75" customHeight="1">
      <c r="S1217" s="454"/>
      <c r="AN1217" s="458"/>
      <c r="BA1217" s="1266"/>
      <c r="BC1217" s="169"/>
    </row>
    <row r="1218" spans="19:55" ht="15.75" customHeight="1">
      <c r="S1218" s="454"/>
      <c r="AN1218" s="458"/>
      <c r="BA1218" s="1266"/>
      <c r="BC1218" s="169"/>
    </row>
    <row r="1219" spans="19:55" ht="15.75" customHeight="1">
      <c r="S1219" s="454"/>
      <c r="AN1219" s="458"/>
      <c r="BA1219" s="1266"/>
      <c r="BC1219" s="169"/>
    </row>
    <row r="1220" spans="19:55" ht="15.75" customHeight="1">
      <c r="S1220" s="454"/>
      <c r="AN1220" s="458"/>
      <c r="BA1220" s="1266"/>
      <c r="BC1220" s="169"/>
    </row>
    <row r="1221" spans="19:55" ht="15.75" customHeight="1">
      <c r="S1221" s="454"/>
      <c r="AN1221" s="458"/>
      <c r="BA1221" s="1266"/>
      <c r="BC1221" s="169"/>
    </row>
    <row r="1222" spans="19:55" ht="15.75" customHeight="1">
      <c r="S1222" s="454"/>
      <c r="AN1222" s="458"/>
      <c r="BA1222" s="1266"/>
      <c r="BC1222" s="169"/>
    </row>
    <row r="1223" spans="19:55" ht="15.75" customHeight="1">
      <c r="S1223" s="454"/>
      <c r="AN1223" s="458"/>
      <c r="BA1223" s="1266"/>
      <c r="BC1223" s="169"/>
    </row>
    <row r="1224" spans="19:55" ht="15.75" customHeight="1">
      <c r="S1224" s="454"/>
      <c r="AN1224" s="458"/>
      <c r="BA1224" s="1266"/>
      <c r="BC1224" s="169"/>
    </row>
    <row r="1225" spans="19:55" ht="15.75" customHeight="1">
      <c r="S1225" s="454"/>
      <c r="AN1225" s="458"/>
      <c r="BA1225" s="1266"/>
      <c r="BC1225" s="169"/>
    </row>
    <row r="1226" spans="19:55" ht="15.75" customHeight="1">
      <c r="S1226" s="454"/>
      <c r="AN1226" s="458"/>
      <c r="BA1226" s="1266"/>
      <c r="BC1226" s="169"/>
    </row>
    <row r="1227" spans="19:55" ht="15.75" customHeight="1">
      <c r="S1227" s="454"/>
      <c r="AN1227" s="458"/>
      <c r="BA1227" s="1266"/>
      <c r="BC1227" s="169"/>
    </row>
    <row r="1228" spans="19:55" ht="15.75" customHeight="1">
      <c r="S1228" s="454"/>
      <c r="AN1228" s="458"/>
      <c r="BA1228" s="1266"/>
      <c r="BC1228" s="169"/>
    </row>
    <row r="1229" spans="19:55" ht="15.75" customHeight="1">
      <c r="S1229" s="454"/>
      <c r="AN1229" s="458"/>
      <c r="BA1229" s="1266"/>
      <c r="BC1229" s="169"/>
    </row>
    <row r="1230" spans="19:55" ht="15.75" customHeight="1">
      <c r="S1230" s="454"/>
      <c r="AN1230" s="458"/>
      <c r="BA1230" s="1266"/>
      <c r="BC1230" s="169"/>
    </row>
    <row r="1231" spans="19:55" ht="15.75" customHeight="1">
      <c r="S1231" s="454"/>
      <c r="AN1231" s="458"/>
      <c r="BA1231" s="1266"/>
      <c r="BC1231" s="169"/>
    </row>
    <row r="1232" spans="19:55" ht="15.75" customHeight="1">
      <c r="S1232" s="454"/>
      <c r="AN1232" s="458"/>
      <c r="BA1232" s="1266"/>
      <c r="BC1232" s="169"/>
    </row>
    <row r="1233" spans="19:55" ht="15.75" customHeight="1">
      <c r="S1233" s="454"/>
      <c r="AN1233" s="458"/>
      <c r="BA1233" s="1266"/>
      <c r="BC1233" s="169"/>
    </row>
    <row r="1234" spans="19:55" ht="15.75" customHeight="1">
      <c r="S1234" s="454"/>
      <c r="AN1234" s="458"/>
      <c r="BA1234" s="1266"/>
      <c r="BC1234" s="169"/>
    </row>
    <row r="1235" spans="19:55" ht="15.75" customHeight="1">
      <c r="S1235" s="454"/>
      <c r="AN1235" s="458"/>
      <c r="BA1235" s="1266"/>
      <c r="BC1235" s="169"/>
    </row>
    <row r="1236" spans="19:55" ht="15.75" customHeight="1">
      <c r="S1236" s="454"/>
      <c r="AN1236" s="458"/>
      <c r="BA1236" s="1266"/>
      <c r="BC1236" s="169"/>
    </row>
    <row r="1237" spans="19:55" ht="15.75" customHeight="1">
      <c r="S1237" s="454"/>
      <c r="AN1237" s="458"/>
      <c r="BA1237" s="1266"/>
      <c r="BC1237" s="169"/>
    </row>
    <row r="1238" spans="19:55" ht="15.75" customHeight="1">
      <c r="S1238" s="454"/>
      <c r="AN1238" s="458"/>
      <c r="BA1238" s="1266"/>
      <c r="BC1238" s="169"/>
    </row>
    <row r="1239" spans="19:55" ht="15.75" customHeight="1">
      <c r="S1239" s="454"/>
      <c r="AN1239" s="458"/>
      <c r="BA1239" s="1266"/>
      <c r="BC1239" s="169"/>
    </row>
    <row r="1240" spans="19:55" ht="15.75" customHeight="1">
      <c r="S1240" s="454"/>
      <c r="AN1240" s="458"/>
      <c r="BA1240" s="1266"/>
      <c r="BC1240" s="169"/>
    </row>
    <row r="1241" spans="19:55" ht="15.75" customHeight="1">
      <c r="S1241" s="454"/>
      <c r="AN1241" s="458"/>
      <c r="BA1241" s="1266"/>
      <c r="BC1241" s="169"/>
    </row>
    <row r="1242" spans="19:55" ht="15.75" customHeight="1">
      <c r="S1242" s="454"/>
      <c r="AN1242" s="458"/>
      <c r="BA1242" s="1266"/>
      <c r="BC1242" s="169"/>
    </row>
    <row r="1243" spans="19:55" ht="15.75" customHeight="1">
      <c r="S1243" s="454"/>
      <c r="AN1243" s="458"/>
      <c r="BA1243" s="1266"/>
      <c r="BC1243" s="169"/>
    </row>
    <row r="1244" spans="19:55" ht="15.75" customHeight="1">
      <c r="S1244" s="454"/>
      <c r="AN1244" s="458"/>
      <c r="BA1244" s="1266"/>
      <c r="BC1244" s="169"/>
    </row>
    <row r="1245" spans="19:55" ht="15.75" customHeight="1">
      <c r="S1245" s="454"/>
      <c r="AN1245" s="458"/>
      <c r="BA1245" s="1266"/>
      <c r="BC1245" s="169"/>
    </row>
    <row r="1246" spans="19:55" ht="15.75" customHeight="1">
      <c r="S1246" s="454"/>
      <c r="AN1246" s="458"/>
      <c r="BA1246" s="1266"/>
      <c r="BC1246" s="169"/>
    </row>
    <row r="1247" spans="19:55" ht="15.75" customHeight="1">
      <c r="S1247" s="454"/>
      <c r="AN1247" s="458"/>
      <c r="BA1247" s="1266"/>
      <c r="BC1247" s="169"/>
    </row>
    <row r="1248" spans="19:55" ht="15.75" customHeight="1">
      <c r="S1248" s="454"/>
      <c r="AN1248" s="458"/>
      <c r="BA1248" s="1266"/>
      <c r="BC1248" s="169"/>
    </row>
    <row r="1249" spans="19:55" ht="15.75" customHeight="1">
      <c r="S1249" s="454"/>
      <c r="AN1249" s="458"/>
      <c r="BA1249" s="1266"/>
      <c r="BC1249" s="169"/>
    </row>
    <row r="1250" spans="19:55" ht="15.75" customHeight="1">
      <c r="S1250" s="454"/>
      <c r="AN1250" s="458"/>
      <c r="BA1250" s="1266"/>
      <c r="BC1250" s="169"/>
    </row>
    <row r="1251" spans="19:55" ht="15.75" customHeight="1">
      <c r="S1251" s="454"/>
      <c r="AN1251" s="458"/>
      <c r="BA1251" s="1266"/>
      <c r="BC1251" s="169"/>
    </row>
    <row r="1252" spans="19:55" ht="15.75" customHeight="1">
      <c r="S1252" s="454"/>
      <c r="AN1252" s="458"/>
      <c r="BA1252" s="1266"/>
      <c r="BC1252" s="169"/>
    </row>
    <row r="1253" spans="19:55" ht="15.75" customHeight="1">
      <c r="S1253" s="454"/>
      <c r="AN1253" s="458"/>
      <c r="BA1253" s="1266"/>
      <c r="BC1253" s="169"/>
    </row>
    <row r="1254" spans="19:55" ht="15.75" customHeight="1">
      <c r="S1254" s="454"/>
      <c r="AN1254" s="458"/>
      <c r="BA1254" s="1266"/>
      <c r="BC1254" s="169"/>
    </row>
    <row r="1255" spans="19:55" ht="15.75" customHeight="1">
      <c r="S1255" s="454"/>
      <c r="AN1255" s="458"/>
      <c r="BA1255" s="1266"/>
      <c r="BC1255" s="169"/>
    </row>
    <row r="1256" spans="19:55" ht="15.75" customHeight="1">
      <c r="S1256" s="454"/>
      <c r="AN1256" s="458"/>
      <c r="BA1256" s="1266"/>
      <c r="BC1256" s="169"/>
    </row>
    <row r="1257" spans="19:55" ht="15.75" customHeight="1">
      <c r="S1257" s="454"/>
      <c r="AN1257" s="458"/>
      <c r="BA1257" s="1266"/>
      <c r="BC1257" s="169"/>
    </row>
    <row r="1258" spans="19:55" ht="15.75" customHeight="1">
      <c r="S1258" s="454"/>
      <c r="AN1258" s="458"/>
      <c r="BA1258" s="1266"/>
      <c r="BC1258" s="169"/>
    </row>
    <row r="1259" spans="19:55" ht="15.75" customHeight="1">
      <c r="S1259" s="454"/>
      <c r="AN1259" s="458"/>
      <c r="BA1259" s="1266"/>
      <c r="BC1259" s="169"/>
    </row>
    <row r="1260" spans="19:55" ht="15.75" customHeight="1">
      <c r="S1260" s="454"/>
      <c r="AN1260" s="458"/>
      <c r="BA1260" s="1266"/>
      <c r="BC1260" s="169"/>
    </row>
    <row r="1261" spans="19:55" ht="15.75" customHeight="1">
      <c r="S1261" s="454"/>
      <c r="AN1261" s="458"/>
      <c r="BA1261" s="1266"/>
      <c r="BC1261" s="169"/>
    </row>
    <row r="1262" spans="19:55" ht="15.75" customHeight="1">
      <c r="S1262" s="454"/>
      <c r="AN1262" s="458"/>
      <c r="BA1262" s="1266"/>
      <c r="BC1262" s="169"/>
    </row>
    <row r="1263" spans="19:55" ht="15.75" customHeight="1">
      <c r="S1263" s="454"/>
      <c r="AN1263" s="458"/>
      <c r="BA1263" s="1266"/>
      <c r="BC1263" s="169"/>
    </row>
    <row r="1264" spans="19:55" ht="15.75" customHeight="1">
      <c r="S1264" s="454"/>
      <c r="AN1264" s="458"/>
      <c r="BA1264" s="1266"/>
      <c r="BC1264" s="169"/>
    </row>
    <row r="1265" spans="19:55" ht="15.75" customHeight="1">
      <c r="S1265" s="454"/>
      <c r="AN1265" s="458"/>
      <c r="BA1265" s="1266"/>
      <c r="BC1265" s="169"/>
    </row>
    <row r="1266" spans="19:55" ht="15.75" customHeight="1">
      <c r="S1266" s="454"/>
      <c r="AN1266" s="458"/>
      <c r="BA1266" s="1266"/>
      <c r="BC1266" s="169"/>
    </row>
    <row r="1267" spans="19:55" ht="15.75" customHeight="1">
      <c r="S1267" s="454"/>
      <c r="AN1267" s="458"/>
      <c r="BA1267" s="1266"/>
      <c r="BC1267" s="169"/>
    </row>
    <row r="1268" spans="19:55" ht="15.75" customHeight="1">
      <c r="S1268" s="454"/>
      <c r="AN1268" s="458"/>
      <c r="BA1268" s="1266"/>
      <c r="BC1268" s="169"/>
    </row>
    <row r="1269" spans="19:55" ht="15.75" customHeight="1">
      <c r="S1269" s="454"/>
      <c r="AN1269" s="458"/>
      <c r="BA1269" s="1266"/>
      <c r="BC1269" s="169"/>
    </row>
    <row r="1270" spans="19:55" ht="15.75" customHeight="1">
      <c r="S1270" s="454"/>
      <c r="AN1270" s="458"/>
      <c r="BA1270" s="1266"/>
      <c r="BC1270" s="169"/>
    </row>
    <row r="1271" spans="19:55" ht="15.75" customHeight="1">
      <c r="S1271" s="454"/>
      <c r="AN1271" s="458"/>
      <c r="BA1271" s="1266"/>
      <c r="BC1271" s="169"/>
    </row>
    <row r="1272" spans="19:55" ht="15.75" customHeight="1">
      <c r="S1272" s="454"/>
      <c r="AN1272" s="458"/>
      <c r="BA1272" s="1266"/>
      <c r="BC1272" s="169"/>
    </row>
    <row r="1273" spans="19:55" ht="15.75" customHeight="1">
      <c r="S1273" s="454"/>
      <c r="AN1273" s="458"/>
      <c r="BA1273" s="1266"/>
      <c r="BC1273" s="169"/>
    </row>
    <row r="1274" spans="19:55" ht="15.75" customHeight="1">
      <c r="S1274" s="454"/>
      <c r="AN1274" s="458"/>
      <c r="BA1274" s="1266"/>
      <c r="BC1274" s="169"/>
    </row>
    <row r="1275" spans="19:55" ht="15.75" customHeight="1">
      <c r="S1275" s="454"/>
      <c r="AN1275" s="458"/>
      <c r="BA1275" s="1266"/>
      <c r="BC1275" s="169"/>
    </row>
    <row r="1276" spans="19:55" ht="15.75" customHeight="1">
      <c r="S1276" s="454"/>
      <c r="AN1276" s="458"/>
      <c r="BA1276" s="1266"/>
      <c r="BC1276" s="169"/>
    </row>
    <row r="1277" spans="19:55" ht="15.75" customHeight="1">
      <c r="S1277" s="454"/>
      <c r="AN1277" s="458"/>
      <c r="BA1277" s="1266"/>
      <c r="BC1277" s="169"/>
    </row>
    <row r="1278" spans="19:55" ht="15.75" customHeight="1">
      <c r="S1278" s="454"/>
      <c r="AN1278" s="458"/>
      <c r="BA1278" s="1266"/>
      <c r="BC1278" s="169"/>
    </row>
    <row r="1279" spans="19:55" ht="15.75" customHeight="1">
      <c r="S1279" s="454"/>
      <c r="AN1279" s="458"/>
      <c r="BA1279" s="1266"/>
      <c r="BC1279" s="169"/>
    </row>
    <row r="1280" spans="19:55" ht="15.75" customHeight="1">
      <c r="S1280" s="454"/>
      <c r="AN1280" s="458"/>
      <c r="BA1280" s="1266"/>
      <c r="BC1280" s="169"/>
    </row>
    <row r="1281" spans="19:55" ht="15.75" customHeight="1">
      <c r="S1281" s="454"/>
      <c r="AN1281" s="458"/>
      <c r="BA1281" s="1266"/>
      <c r="BC1281" s="169"/>
    </row>
    <row r="1282" spans="19:55" ht="15.75" customHeight="1">
      <c r="S1282" s="454"/>
      <c r="AN1282" s="458"/>
      <c r="BA1282" s="1266"/>
      <c r="BC1282" s="169"/>
    </row>
    <row r="1283" spans="19:55" ht="15.75" customHeight="1">
      <c r="S1283" s="454"/>
      <c r="AN1283" s="458"/>
      <c r="BA1283" s="1266"/>
      <c r="BC1283" s="169"/>
    </row>
    <row r="1284" spans="19:55" ht="15.75" customHeight="1">
      <c r="S1284" s="454"/>
      <c r="AN1284" s="458"/>
      <c r="BA1284" s="1266"/>
      <c r="BC1284" s="169"/>
    </row>
    <row r="1285" spans="19:55" ht="15.75" customHeight="1">
      <c r="S1285" s="454"/>
      <c r="AN1285" s="458"/>
      <c r="BA1285" s="1266"/>
      <c r="BC1285" s="169"/>
    </row>
    <row r="1286" spans="19:55" ht="15.75" customHeight="1">
      <c r="S1286" s="454"/>
      <c r="AN1286" s="458"/>
      <c r="BA1286" s="1266"/>
      <c r="BC1286" s="169"/>
    </row>
    <row r="1287" spans="19:55" ht="15.75" customHeight="1">
      <c r="S1287" s="454"/>
      <c r="AN1287" s="458"/>
      <c r="BA1287" s="1266"/>
      <c r="BC1287" s="169"/>
    </row>
    <row r="1288" spans="19:55" ht="15.75" customHeight="1">
      <c r="S1288" s="454"/>
      <c r="AN1288" s="458"/>
      <c r="BA1288" s="1266"/>
      <c r="BC1288" s="169"/>
    </row>
    <row r="1289" spans="19:55" ht="15.75" customHeight="1">
      <c r="S1289" s="454"/>
      <c r="AN1289" s="458"/>
      <c r="BA1289" s="1266"/>
      <c r="BC1289" s="169"/>
    </row>
    <row r="1290" spans="19:55" ht="15.75" customHeight="1">
      <c r="S1290" s="454"/>
      <c r="AN1290" s="458"/>
      <c r="BA1290" s="1266"/>
      <c r="BC1290" s="169"/>
    </row>
    <row r="1291" spans="19:55" ht="15.75" customHeight="1">
      <c r="S1291" s="454"/>
      <c r="AN1291" s="458"/>
      <c r="BA1291" s="1266"/>
      <c r="BC1291" s="169"/>
    </row>
    <row r="1292" spans="19:55" ht="15.75" customHeight="1">
      <c r="S1292" s="454"/>
      <c r="AN1292" s="458"/>
      <c r="BA1292" s="1266"/>
      <c r="BC1292" s="169"/>
    </row>
    <row r="1293" spans="19:55" ht="15.75" customHeight="1">
      <c r="S1293" s="454"/>
      <c r="AN1293" s="458"/>
      <c r="BA1293" s="1266"/>
      <c r="BC1293" s="169"/>
    </row>
    <row r="1294" spans="19:55" ht="15.75" customHeight="1">
      <c r="S1294" s="454"/>
      <c r="AN1294" s="458"/>
      <c r="BA1294" s="1266"/>
      <c r="BC1294" s="169"/>
    </row>
    <row r="1295" spans="19:55" ht="15.75" customHeight="1">
      <c r="S1295" s="454"/>
      <c r="AN1295" s="458"/>
      <c r="BA1295" s="1266"/>
      <c r="BC1295" s="169"/>
    </row>
    <row r="1296" spans="19:55" ht="15.75" customHeight="1">
      <c r="S1296" s="454"/>
      <c r="AN1296" s="458"/>
      <c r="BA1296" s="1266"/>
      <c r="BC1296" s="169"/>
    </row>
    <row r="1297" spans="19:55" ht="15.75" customHeight="1">
      <c r="S1297" s="454"/>
      <c r="AN1297" s="458"/>
      <c r="BC1297" s="169"/>
    </row>
    <row r="1298" spans="19:55" ht="15.75" customHeight="1">
      <c r="S1298" s="454"/>
      <c r="AN1298" s="458"/>
      <c r="BC1298" s="169"/>
    </row>
    <row r="1299" spans="19:55" ht="15.75" customHeight="1">
      <c r="S1299" s="454"/>
      <c r="AN1299" s="458"/>
      <c r="BC1299" s="169"/>
    </row>
    <row r="1300" spans="19:55" ht="15.75" customHeight="1">
      <c r="S1300" s="454"/>
      <c r="AN1300" s="458"/>
      <c r="BC1300" s="169"/>
    </row>
    <row r="1301" spans="19:55" ht="15.75" customHeight="1">
      <c r="S1301" s="454"/>
      <c r="AN1301" s="458"/>
      <c r="BC1301" s="169"/>
    </row>
    <row r="1302" spans="19:55" ht="15.75" customHeight="1">
      <c r="S1302" s="454"/>
      <c r="AN1302" s="458"/>
      <c r="BC1302" s="169"/>
    </row>
    <row r="1303" spans="19:55" ht="15.75" customHeight="1">
      <c r="S1303" s="454"/>
      <c r="AN1303" s="458"/>
      <c r="BC1303" s="169"/>
    </row>
    <row r="1304" spans="19:55" ht="15.75" customHeight="1">
      <c r="S1304" s="454"/>
      <c r="AN1304" s="458"/>
      <c r="BC1304" s="169"/>
    </row>
    <row r="1305" spans="19:55" ht="15.75" customHeight="1">
      <c r="S1305" s="454"/>
      <c r="AN1305" s="458"/>
      <c r="BC1305" s="169"/>
    </row>
    <row r="1306" spans="19:55" ht="15.75" customHeight="1">
      <c r="S1306" s="454"/>
      <c r="AN1306" s="458"/>
      <c r="BC1306" s="169"/>
    </row>
    <row r="1307" spans="19:55" ht="15.75" customHeight="1">
      <c r="S1307" s="454"/>
      <c r="AN1307" s="458"/>
      <c r="BC1307" s="169"/>
    </row>
    <row r="1308" spans="19:55" ht="15.75" customHeight="1">
      <c r="S1308" s="454"/>
      <c r="AN1308" s="458"/>
      <c r="BC1308" s="169"/>
    </row>
    <row r="1309" spans="19:55" ht="15.75" customHeight="1">
      <c r="S1309" s="454"/>
      <c r="AN1309" s="458"/>
      <c r="BC1309" s="169"/>
    </row>
    <row r="1310" spans="19:55" ht="15.75" customHeight="1">
      <c r="S1310" s="454"/>
      <c r="AN1310" s="458"/>
      <c r="BC1310" s="169"/>
    </row>
    <row r="1311" spans="19:55" ht="15.75" customHeight="1">
      <c r="S1311" s="454"/>
      <c r="AN1311" s="458"/>
      <c r="BC1311" s="169"/>
    </row>
    <row r="1312" spans="19:55" ht="15.75" customHeight="1">
      <c r="S1312" s="454"/>
      <c r="AN1312" s="458"/>
      <c r="BC1312" s="169"/>
    </row>
    <row r="1313" spans="19:55" ht="15.75" customHeight="1">
      <c r="S1313" s="454"/>
      <c r="AN1313" s="458"/>
      <c r="BC1313" s="169"/>
    </row>
    <row r="1314" spans="19:55" ht="15.75" customHeight="1">
      <c r="S1314" s="454"/>
      <c r="AN1314" s="458"/>
      <c r="BC1314" s="169"/>
    </row>
    <row r="1315" spans="19:55" ht="15.75" customHeight="1">
      <c r="S1315" s="454"/>
      <c r="AN1315" s="458"/>
      <c r="BC1315" s="169"/>
    </row>
    <row r="1316" spans="19:55" ht="15.75" customHeight="1">
      <c r="S1316" s="454"/>
      <c r="AN1316" s="458"/>
      <c r="BC1316" s="169"/>
    </row>
    <row r="1317" spans="19:55" ht="15.75" customHeight="1">
      <c r="S1317" s="454"/>
      <c r="AN1317" s="458"/>
      <c r="BC1317" s="169"/>
    </row>
    <row r="1318" spans="19:55" ht="15.75" customHeight="1">
      <c r="S1318" s="454"/>
      <c r="AN1318" s="458"/>
      <c r="BC1318" s="169"/>
    </row>
    <row r="1319" spans="19:55" ht="15.75" customHeight="1">
      <c r="S1319" s="454"/>
      <c r="AN1319" s="458"/>
      <c r="BC1319" s="169"/>
    </row>
    <row r="1320" spans="19:55" ht="15.75" customHeight="1">
      <c r="S1320" s="454"/>
      <c r="AN1320" s="458"/>
      <c r="BC1320" s="169"/>
    </row>
    <row r="1321" spans="19:55" ht="15.75" customHeight="1">
      <c r="S1321" s="454"/>
      <c r="AN1321" s="458"/>
      <c r="BC1321" s="169"/>
    </row>
    <row r="1322" spans="19:55" ht="15.75" customHeight="1">
      <c r="S1322" s="454"/>
      <c r="AN1322" s="458"/>
      <c r="BC1322" s="169"/>
    </row>
    <row r="1323" spans="19:55" ht="15.75" customHeight="1">
      <c r="S1323" s="454"/>
      <c r="AN1323" s="458"/>
      <c r="BC1323" s="169"/>
    </row>
    <row r="1324" spans="19:55" ht="15.75" customHeight="1">
      <c r="S1324" s="454"/>
      <c r="AN1324" s="458"/>
      <c r="BC1324" s="169"/>
    </row>
    <row r="1325" spans="19:55" ht="15.75" customHeight="1">
      <c r="S1325" s="454"/>
      <c r="AN1325" s="458"/>
      <c r="BC1325" s="169"/>
    </row>
    <row r="1326" spans="19:55" ht="15.75" customHeight="1">
      <c r="S1326" s="454"/>
      <c r="AN1326" s="458"/>
      <c r="BC1326" s="169"/>
    </row>
    <row r="1327" spans="19:55" ht="15.75" customHeight="1">
      <c r="S1327" s="454"/>
      <c r="AN1327" s="458"/>
      <c r="BC1327" s="169"/>
    </row>
    <row r="1328" spans="19:55" ht="15.75" customHeight="1">
      <c r="S1328" s="454"/>
      <c r="AN1328" s="458"/>
      <c r="BC1328" s="169"/>
    </row>
    <row r="1329" spans="19:55" ht="15.75" customHeight="1">
      <c r="S1329" s="454"/>
      <c r="AN1329" s="458"/>
      <c r="BC1329" s="169"/>
    </row>
    <row r="1330" spans="19:55" ht="15.75" customHeight="1">
      <c r="S1330" s="454"/>
      <c r="AN1330" s="458"/>
      <c r="BC1330" s="169"/>
    </row>
    <row r="1331" spans="19:55" ht="15.75" customHeight="1">
      <c r="S1331" s="454"/>
      <c r="AN1331" s="458"/>
      <c r="BC1331" s="169"/>
    </row>
    <row r="1332" spans="19:55" ht="15.75" customHeight="1">
      <c r="S1332" s="454"/>
      <c r="AN1332" s="458"/>
      <c r="BC1332" s="169"/>
    </row>
    <row r="1333" spans="19:55" ht="15.75" customHeight="1">
      <c r="S1333" s="454"/>
      <c r="AN1333" s="458"/>
      <c r="BC1333" s="169"/>
    </row>
    <row r="1334" spans="19:55" ht="15.75" customHeight="1">
      <c r="S1334" s="454"/>
      <c r="AN1334" s="458"/>
      <c r="BC1334" s="169"/>
    </row>
    <row r="1335" spans="19:55" ht="15.75" customHeight="1">
      <c r="S1335" s="454"/>
      <c r="AN1335" s="458"/>
      <c r="BC1335" s="169"/>
    </row>
    <row r="1336" spans="19:55" ht="15.75" customHeight="1">
      <c r="S1336" s="454"/>
      <c r="AN1336" s="458"/>
      <c r="BC1336" s="169"/>
    </row>
    <row r="1337" spans="19:55" ht="15.75" customHeight="1">
      <c r="S1337" s="454"/>
      <c r="AN1337" s="458"/>
      <c r="BC1337" s="169"/>
    </row>
    <row r="1338" spans="19:55" ht="15.75" customHeight="1">
      <c r="S1338" s="454"/>
      <c r="AN1338" s="458"/>
      <c r="BC1338" s="169"/>
    </row>
    <row r="1339" spans="19:55" ht="15.75" customHeight="1">
      <c r="S1339" s="454"/>
      <c r="AN1339" s="458"/>
      <c r="BC1339" s="169"/>
    </row>
    <row r="1340" spans="19:55" ht="15.75" customHeight="1">
      <c r="S1340" s="454"/>
      <c r="AN1340" s="458"/>
      <c r="BC1340" s="169"/>
    </row>
    <row r="1341" spans="19:55" ht="15.75" customHeight="1">
      <c r="S1341" s="454"/>
      <c r="AN1341" s="458"/>
      <c r="BC1341" s="169"/>
    </row>
    <row r="1342" spans="19:55" ht="15.75" customHeight="1">
      <c r="S1342" s="454"/>
      <c r="AN1342" s="458"/>
      <c r="BC1342" s="169"/>
    </row>
    <row r="1343" spans="19:55" ht="15.75" customHeight="1">
      <c r="S1343" s="454"/>
      <c r="AN1343" s="458"/>
      <c r="BC1343" s="169"/>
    </row>
    <row r="1344" spans="19:55" ht="15.75" customHeight="1">
      <c r="S1344" s="454"/>
      <c r="AN1344" s="458"/>
      <c r="BC1344" s="169"/>
    </row>
    <row r="1345" spans="19:55" ht="15.75" customHeight="1">
      <c r="S1345" s="454"/>
      <c r="AN1345" s="458"/>
      <c r="BC1345" s="169"/>
    </row>
    <row r="1346" spans="19:55" ht="15.75" customHeight="1">
      <c r="S1346" s="454"/>
      <c r="AN1346" s="458"/>
      <c r="BC1346" s="169"/>
    </row>
    <row r="1347" spans="19:55" ht="15.75" customHeight="1">
      <c r="S1347" s="454"/>
      <c r="AN1347" s="458"/>
      <c r="BC1347" s="169"/>
    </row>
    <row r="1348" spans="19:55" ht="15.75" customHeight="1">
      <c r="S1348" s="454"/>
      <c r="AN1348" s="458"/>
      <c r="BC1348" s="169"/>
    </row>
    <row r="1349" spans="19:55" ht="15.75" customHeight="1">
      <c r="S1349" s="454"/>
      <c r="AN1349" s="458"/>
      <c r="BC1349" s="169"/>
    </row>
    <row r="1350" spans="19:55" ht="15.75" customHeight="1">
      <c r="S1350" s="454"/>
      <c r="AN1350" s="458"/>
      <c r="BC1350" s="169"/>
    </row>
    <row r="1351" spans="19:55" ht="15.75" customHeight="1">
      <c r="S1351" s="454"/>
      <c r="AN1351" s="458"/>
      <c r="BC1351" s="169"/>
    </row>
    <row r="1352" spans="19:55" ht="15.75" customHeight="1">
      <c r="S1352" s="454"/>
      <c r="AN1352" s="458"/>
      <c r="BC1352" s="169"/>
    </row>
    <row r="1353" spans="19:55" ht="15.75" customHeight="1">
      <c r="S1353" s="454"/>
      <c r="AN1353" s="458"/>
      <c r="BC1353" s="169"/>
    </row>
    <row r="1354" spans="19:55" ht="15.75" customHeight="1">
      <c r="S1354" s="454"/>
      <c r="AN1354" s="458"/>
      <c r="BC1354" s="169"/>
    </row>
    <row r="1355" spans="19:55" ht="15.75" customHeight="1">
      <c r="S1355" s="454"/>
      <c r="AN1355" s="458"/>
      <c r="BC1355" s="169"/>
    </row>
    <row r="1356" spans="19:55" ht="15.75" customHeight="1">
      <c r="S1356" s="454"/>
      <c r="AN1356" s="458"/>
      <c r="BC1356" s="169"/>
    </row>
    <row r="1357" spans="19:55" ht="15.75" customHeight="1">
      <c r="S1357" s="454"/>
      <c r="AN1357" s="458"/>
      <c r="BC1357" s="169"/>
    </row>
    <row r="1358" spans="19:55" ht="15.75" customHeight="1">
      <c r="S1358" s="454"/>
      <c r="AN1358" s="458"/>
      <c r="BC1358" s="169"/>
    </row>
    <row r="1359" spans="19:55" ht="15.75" customHeight="1">
      <c r="S1359" s="454"/>
      <c r="AN1359" s="458"/>
      <c r="BC1359" s="169"/>
    </row>
    <row r="1360" spans="19:55" ht="15.75" customHeight="1">
      <c r="S1360" s="454"/>
      <c r="AN1360" s="458"/>
      <c r="BC1360" s="169"/>
    </row>
    <row r="1361" spans="19:55" ht="15.75" customHeight="1">
      <c r="S1361" s="454"/>
      <c r="AN1361" s="458"/>
      <c r="BC1361" s="169"/>
    </row>
    <row r="1362" spans="19:55" ht="15.75" customHeight="1">
      <c r="S1362" s="454"/>
      <c r="AN1362" s="458"/>
      <c r="BC1362" s="169"/>
    </row>
    <row r="1363" spans="19:55" ht="15.75" customHeight="1">
      <c r="S1363" s="454"/>
      <c r="AN1363" s="458"/>
      <c r="BC1363" s="169"/>
    </row>
    <row r="1364" spans="19:55" ht="15.75" customHeight="1">
      <c r="S1364" s="454"/>
      <c r="AN1364" s="458"/>
      <c r="BC1364" s="169"/>
    </row>
    <row r="1365" spans="19:55" ht="15.75" customHeight="1">
      <c r="S1365" s="454"/>
      <c r="AN1365" s="458"/>
      <c r="BC1365" s="169"/>
    </row>
    <row r="1366" spans="19:55" ht="15.75" customHeight="1">
      <c r="S1366" s="454"/>
      <c r="AN1366" s="458"/>
      <c r="BC1366" s="169"/>
    </row>
    <row r="1367" spans="19:55" ht="15.75" customHeight="1">
      <c r="S1367" s="454"/>
      <c r="AN1367" s="458"/>
      <c r="BC1367" s="169"/>
    </row>
    <row r="1368" spans="19:55" ht="15.75" customHeight="1">
      <c r="S1368" s="454"/>
      <c r="AN1368" s="458"/>
      <c r="BC1368" s="169"/>
    </row>
    <row r="1369" spans="19:55" ht="15.75" customHeight="1">
      <c r="S1369" s="454"/>
      <c r="AN1369" s="458"/>
      <c r="BC1369" s="169"/>
    </row>
    <row r="1370" spans="19:55" ht="15.75" customHeight="1">
      <c r="S1370" s="454"/>
      <c r="AN1370" s="458"/>
      <c r="BC1370" s="169"/>
    </row>
    <row r="1371" spans="19:55" ht="15.75" customHeight="1">
      <c r="S1371" s="454"/>
      <c r="AN1371" s="458"/>
      <c r="BC1371" s="169"/>
    </row>
    <row r="1372" spans="19:55" ht="15.75" customHeight="1">
      <c r="S1372" s="454"/>
      <c r="AN1372" s="458"/>
      <c r="BC1372" s="169"/>
    </row>
    <row r="1373" spans="19:55" ht="15.75" customHeight="1">
      <c r="S1373" s="454"/>
      <c r="AN1373" s="458"/>
      <c r="BC1373" s="169"/>
    </row>
    <row r="1374" spans="19:55" ht="15.75" customHeight="1">
      <c r="S1374" s="454"/>
      <c r="AN1374" s="458"/>
      <c r="BC1374" s="169"/>
    </row>
    <row r="1375" spans="19:55" ht="15.75" customHeight="1">
      <c r="S1375" s="454"/>
      <c r="AN1375" s="458"/>
      <c r="BC1375" s="169"/>
    </row>
    <row r="1376" spans="19:55" ht="15.75" customHeight="1">
      <c r="S1376" s="454"/>
      <c r="AN1376" s="458"/>
      <c r="BC1376" s="169"/>
    </row>
    <row r="1377" spans="19:55" ht="15.75" customHeight="1">
      <c r="S1377" s="454"/>
      <c r="AN1377" s="458"/>
      <c r="BC1377" s="169"/>
    </row>
    <row r="1378" spans="19:55" ht="15.75" customHeight="1">
      <c r="S1378" s="454"/>
      <c r="AN1378" s="458"/>
      <c r="BC1378" s="169"/>
    </row>
    <row r="1379" spans="19:55" ht="15.75" customHeight="1">
      <c r="S1379" s="454"/>
      <c r="AN1379" s="458"/>
      <c r="BC1379" s="169"/>
    </row>
    <row r="1380" spans="19:55" ht="15.75" customHeight="1">
      <c r="S1380" s="454"/>
      <c r="AN1380" s="458"/>
      <c r="BC1380" s="169"/>
    </row>
    <row r="1381" spans="19:55" ht="15.75" customHeight="1">
      <c r="S1381" s="454"/>
      <c r="AN1381" s="458"/>
      <c r="BC1381" s="169"/>
    </row>
    <row r="1382" spans="19:55" ht="15.75" customHeight="1">
      <c r="S1382" s="454"/>
      <c r="AN1382" s="458"/>
      <c r="BC1382" s="169"/>
    </row>
    <row r="1383" spans="19:55" ht="15.75" customHeight="1">
      <c r="S1383" s="454"/>
      <c r="AN1383" s="458"/>
      <c r="BC1383" s="169"/>
    </row>
    <row r="1384" spans="19:55" ht="15.75" customHeight="1">
      <c r="S1384" s="454"/>
      <c r="AN1384" s="458"/>
      <c r="BC1384" s="169"/>
    </row>
    <row r="1385" spans="19:55" ht="15.75" customHeight="1">
      <c r="S1385" s="454"/>
      <c r="AN1385" s="458"/>
      <c r="BC1385" s="169"/>
    </row>
    <row r="1386" spans="19:55" ht="15.75" customHeight="1">
      <c r="S1386" s="454"/>
      <c r="AN1386" s="458"/>
      <c r="BC1386" s="169"/>
    </row>
    <row r="1387" spans="19:55" ht="15.75" customHeight="1">
      <c r="S1387" s="454"/>
      <c r="AN1387" s="458"/>
      <c r="BC1387" s="169"/>
    </row>
    <row r="1388" spans="19:55" ht="15.75" customHeight="1">
      <c r="S1388" s="454"/>
      <c r="AN1388" s="458"/>
      <c r="BC1388" s="169"/>
    </row>
    <row r="1389" spans="19:55" ht="15.75" customHeight="1">
      <c r="S1389" s="454"/>
      <c r="AN1389" s="458"/>
      <c r="BC1389" s="169"/>
    </row>
    <row r="1390" spans="19:55" ht="15.75" customHeight="1">
      <c r="S1390" s="454"/>
      <c r="AN1390" s="458"/>
      <c r="BC1390" s="169"/>
    </row>
    <row r="1391" spans="19:55" ht="15.75" customHeight="1">
      <c r="S1391" s="454"/>
      <c r="AN1391" s="458"/>
      <c r="BC1391" s="169"/>
    </row>
    <row r="1392" spans="19:55" ht="15.75" customHeight="1">
      <c r="S1392" s="454"/>
      <c r="AN1392" s="458"/>
      <c r="BC1392" s="169"/>
    </row>
    <row r="1393" spans="19:55" ht="15.75" customHeight="1">
      <c r="S1393" s="454"/>
      <c r="AN1393" s="458"/>
      <c r="BC1393" s="169"/>
    </row>
    <row r="1394" spans="19:55" ht="15.75" customHeight="1">
      <c r="S1394" s="454"/>
      <c r="AN1394" s="458"/>
      <c r="BC1394" s="169"/>
    </row>
    <row r="1395" spans="19:55" ht="15.75" customHeight="1">
      <c r="S1395" s="454"/>
      <c r="AN1395" s="458"/>
      <c r="BC1395" s="169"/>
    </row>
    <row r="1396" spans="19:55" ht="15.75" customHeight="1">
      <c r="S1396" s="454"/>
      <c r="AN1396" s="458"/>
      <c r="BC1396" s="169"/>
    </row>
    <row r="1397" spans="19:55" ht="15.75" customHeight="1">
      <c r="S1397" s="454"/>
      <c r="AN1397" s="458"/>
      <c r="BC1397" s="169"/>
    </row>
    <row r="1398" spans="19:55" ht="15.75" customHeight="1">
      <c r="S1398" s="454"/>
      <c r="AN1398" s="458"/>
      <c r="BC1398" s="169"/>
    </row>
    <row r="1399" spans="19:55" ht="15.75" customHeight="1">
      <c r="S1399" s="454"/>
      <c r="AN1399" s="458"/>
      <c r="BC1399" s="169"/>
    </row>
    <row r="1400" spans="19:55" ht="15.75" customHeight="1">
      <c r="S1400" s="454"/>
      <c r="AN1400" s="458"/>
      <c r="BC1400" s="169"/>
    </row>
    <row r="1401" spans="19:55" ht="15.75" customHeight="1">
      <c r="S1401" s="454"/>
      <c r="AN1401" s="458"/>
      <c r="BC1401" s="169"/>
    </row>
    <row r="1402" spans="19:55" ht="15.75" customHeight="1">
      <c r="S1402" s="454"/>
      <c r="AN1402" s="458"/>
      <c r="BC1402" s="169"/>
    </row>
    <row r="1403" spans="19:55" ht="15.75" customHeight="1">
      <c r="S1403" s="454"/>
      <c r="AN1403" s="458"/>
      <c r="BC1403" s="169"/>
    </row>
    <row r="1404" spans="19:55" ht="15.75" customHeight="1">
      <c r="S1404" s="454"/>
      <c r="AN1404" s="458"/>
      <c r="BC1404" s="169"/>
    </row>
    <row r="1405" spans="19:55" ht="15.75" customHeight="1">
      <c r="S1405" s="454"/>
      <c r="AN1405" s="458"/>
      <c r="BC1405" s="169"/>
    </row>
    <row r="1406" spans="19:55" ht="15.75" customHeight="1">
      <c r="S1406" s="454"/>
      <c r="AN1406" s="458"/>
      <c r="BC1406" s="169"/>
    </row>
    <row r="1407" spans="19:55" ht="15.75" customHeight="1">
      <c r="S1407" s="454"/>
      <c r="AN1407" s="458"/>
      <c r="BC1407" s="169"/>
    </row>
    <row r="1408" spans="19:55" ht="15.75" customHeight="1">
      <c r="S1408" s="454"/>
      <c r="AN1408" s="458"/>
      <c r="BC1408" s="169"/>
    </row>
    <row r="1409" spans="19:55" ht="15.75" customHeight="1">
      <c r="S1409" s="454"/>
      <c r="AN1409" s="458"/>
      <c r="BC1409" s="169"/>
    </row>
    <row r="1410" spans="19:55" ht="15.75" customHeight="1">
      <c r="S1410" s="454"/>
      <c r="AN1410" s="458"/>
      <c r="BC1410" s="169"/>
    </row>
    <row r="1411" spans="19:55" ht="15.75" customHeight="1">
      <c r="S1411" s="454"/>
      <c r="AN1411" s="458"/>
      <c r="BC1411" s="169"/>
    </row>
    <row r="1412" spans="19:55" ht="15.75" customHeight="1">
      <c r="S1412" s="454"/>
      <c r="AN1412" s="458"/>
      <c r="BC1412" s="169"/>
    </row>
    <row r="1413" spans="19:55" ht="15.75" customHeight="1">
      <c r="S1413" s="454"/>
      <c r="AN1413" s="458"/>
      <c r="BC1413" s="169"/>
    </row>
    <row r="1414" spans="19:55" ht="15.75" customHeight="1">
      <c r="S1414" s="454"/>
      <c r="AN1414" s="458"/>
      <c r="BC1414" s="169"/>
    </row>
    <row r="1415" spans="19:55" ht="15.75" customHeight="1">
      <c r="S1415" s="454"/>
      <c r="AN1415" s="458"/>
      <c r="BC1415" s="169"/>
    </row>
    <row r="1416" spans="19:55" ht="15.75" customHeight="1">
      <c r="S1416" s="454"/>
      <c r="AN1416" s="458"/>
      <c r="BC1416" s="169"/>
    </row>
    <row r="1417" spans="19:55" ht="15.75" customHeight="1">
      <c r="S1417" s="454"/>
      <c r="AN1417" s="458"/>
      <c r="BC1417" s="169"/>
    </row>
    <row r="1418" spans="19:55" ht="15.75" customHeight="1">
      <c r="S1418" s="454"/>
      <c r="AN1418" s="458"/>
      <c r="BC1418" s="169"/>
    </row>
    <row r="1419" spans="19:55" ht="15.75" customHeight="1">
      <c r="S1419" s="454"/>
      <c r="AN1419" s="458"/>
      <c r="BC1419" s="169"/>
    </row>
    <row r="1420" spans="19:55" ht="15.75" customHeight="1">
      <c r="S1420" s="454"/>
      <c r="AN1420" s="458"/>
      <c r="BC1420" s="169"/>
    </row>
    <row r="1421" spans="19:55" ht="15.75" customHeight="1">
      <c r="S1421" s="454"/>
      <c r="AN1421" s="458"/>
      <c r="BC1421" s="169"/>
    </row>
    <row r="1422" spans="19:55" ht="15.75" customHeight="1">
      <c r="S1422" s="454"/>
      <c r="AN1422" s="458"/>
      <c r="BC1422" s="169"/>
    </row>
    <row r="1423" spans="19:55" ht="15.75" customHeight="1">
      <c r="S1423" s="454"/>
      <c r="AN1423" s="458"/>
      <c r="BC1423" s="169"/>
    </row>
    <row r="1424" spans="19:55" ht="15.75" customHeight="1">
      <c r="S1424" s="454"/>
      <c r="AN1424" s="458"/>
      <c r="BC1424" s="169"/>
    </row>
    <row r="1425" spans="19:55" ht="15.75" customHeight="1">
      <c r="S1425" s="454"/>
      <c r="AN1425" s="458"/>
      <c r="BC1425" s="169"/>
    </row>
    <row r="1426" spans="19:55" ht="15.75" customHeight="1">
      <c r="S1426" s="454"/>
      <c r="AN1426" s="458"/>
      <c r="BC1426" s="169"/>
    </row>
    <row r="1427" spans="19:55" ht="15.75" customHeight="1">
      <c r="S1427" s="454"/>
      <c r="AN1427" s="458"/>
      <c r="BC1427" s="169"/>
    </row>
    <row r="1428" spans="19:55" ht="15.75" customHeight="1">
      <c r="S1428" s="454"/>
      <c r="AN1428" s="458"/>
      <c r="BC1428" s="169"/>
    </row>
    <row r="1429" spans="19:55" ht="15.75" customHeight="1">
      <c r="S1429" s="454"/>
      <c r="AN1429" s="458"/>
      <c r="BC1429" s="169"/>
    </row>
    <row r="1430" spans="19:55" ht="15.75" customHeight="1">
      <c r="S1430" s="454"/>
      <c r="AN1430" s="458"/>
      <c r="BC1430" s="169"/>
    </row>
    <row r="1431" spans="19:55" ht="15.75" customHeight="1">
      <c r="S1431" s="454"/>
      <c r="AN1431" s="458"/>
      <c r="BC1431" s="169"/>
    </row>
    <row r="1432" spans="19:55" ht="15.75" customHeight="1">
      <c r="S1432" s="454"/>
      <c r="AN1432" s="458"/>
      <c r="BC1432" s="169"/>
    </row>
    <row r="1433" spans="19:55" ht="15.75" customHeight="1">
      <c r="S1433" s="454"/>
      <c r="AN1433" s="458"/>
      <c r="BC1433" s="169"/>
    </row>
    <row r="1434" spans="19:55" ht="15.75" customHeight="1">
      <c r="S1434" s="454"/>
      <c r="AN1434" s="458"/>
      <c r="BC1434" s="169"/>
    </row>
    <row r="1435" spans="19:55" ht="15.75" customHeight="1">
      <c r="S1435" s="454"/>
      <c r="AN1435" s="458"/>
      <c r="BC1435" s="169"/>
    </row>
    <row r="1436" spans="19:55" ht="15.75" customHeight="1">
      <c r="S1436" s="454"/>
      <c r="AN1436" s="458"/>
      <c r="BC1436" s="169"/>
    </row>
    <row r="1437" spans="19:55" ht="15.75" customHeight="1">
      <c r="S1437" s="454"/>
      <c r="AN1437" s="458"/>
      <c r="BC1437" s="169"/>
    </row>
    <row r="1438" spans="19:55" ht="15.75" customHeight="1">
      <c r="S1438" s="454"/>
      <c r="AN1438" s="458"/>
      <c r="BC1438" s="169"/>
    </row>
    <row r="1439" spans="19:55" ht="15.75" customHeight="1">
      <c r="S1439" s="454"/>
      <c r="AN1439" s="458"/>
      <c r="BC1439" s="169"/>
    </row>
    <row r="1440" spans="19:55" ht="15.75" customHeight="1">
      <c r="S1440" s="454"/>
      <c r="AN1440" s="458"/>
      <c r="BC1440" s="169"/>
    </row>
    <row r="1441" spans="19:55" ht="15.75" customHeight="1">
      <c r="S1441" s="454"/>
      <c r="AN1441" s="458"/>
      <c r="BC1441" s="169"/>
    </row>
    <row r="1442" spans="19:55" ht="15.75" customHeight="1">
      <c r="S1442" s="454"/>
      <c r="AN1442" s="458"/>
      <c r="BC1442" s="169"/>
    </row>
    <row r="1443" spans="19:55" ht="15.75" customHeight="1">
      <c r="S1443" s="454"/>
      <c r="AN1443" s="458"/>
      <c r="BC1443" s="169"/>
    </row>
    <row r="1444" spans="19:55" ht="15.75" customHeight="1">
      <c r="S1444" s="454"/>
      <c r="AN1444" s="458"/>
      <c r="BC1444" s="169"/>
    </row>
    <row r="1445" spans="19:55" ht="15.75" customHeight="1">
      <c r="S1445" s="454"/>
      <c r="AN1445" s="458"/>
      <c r="BC1445" s="169"/>
    </row>
    <row r="1446" spans="19:55" ht="15.75" customHeight="1">
      <c r="S1446" s="454"/>
      <c r="AN1446" s="458"/>
      <c r="BC1446" s="169"/>
    </row>
    <row r="1447" spans="19:55" ht="15.75" customHeight="1">
      <c r="S1447" s="454"/>
      <c r="AN1447" s="458"/>
      <c r="BC1447" s="169"/>
    </row>
    <row r="1448" spans="19:55" ht="15.75" customHeight="1">
      <c r="S1448" s="454"/>
      <c r="AN1448" s="458"/>
      <c r="BC1448" s="169"/>
    </row>
    <row r="1449" spans="19:55" ht="15.75" customHeight="1">
      <c r="S1449" s="454"/>
      <c r="AN1449" s="458"/>
      <c r="BC1449" s="169"/>
    </row>
    <row r="1450" spans="19:55" ht="15.75" customHeight="1">
      <c r="S1450" s="454"/>
      <c r="AN1450" s="458"/>
      <c r="BC1450" s="169"/>
    </row>
    <row r="1451" spans="19:55" ht="15.75" customHeight="1">
      <c r="S1451" s="454"/>
      <c r="AN1451" s="458"/>
      <c r="BC1451" s="169"/>
    </row>
    <row r="1452" spans="19:55" ht="15.75" customHeight="1">
      <c r="S1452" s="454"/>
      <c r="AN1452" s="458"/>
      <c r="BC1452" s="169"/>
    </row>
    <row r="1453" spans="19:55" ht="15.75" customHeight="1">
      <c r="S1453" s="454"/>
      <c r="AN1453" s="458"/>
      <c r="BC1453" s="169"/>
    </row>
    <row r="1454" spans="19:55" ht="15.75" customHeight="1">
      <c r="S1454" s="454"/>
      <c r="AN1454" s="458"/>
      <c r="BC1454" s="169"/>
    </row>
    <row r="1455" spans="19:55" ht="15.75" customHeight="1">
      <c r="S1455" s="454"/>
      <c r="AN1455" s="458"/>
      <c r="BC1455" s="169"/>
    </row>
    <row r="1456" spans="19:55" ht="15.75" customHeight="1">
      <c r="S1456" s="454"/>
      <c r="AN1456" s="458"/>
      <c r="BC1456" s="169"/>
    </row>
    <row r="1457" spans="19:55" ht="15.75" customHeight="1">
      <c r="S1457" s="454"/>
      <c r="AN1457" s="458"/>
      <c r="BC1457" s="169"/>
    </row>
    <row r="1458" spans="19:55" ht="15.75" customHeight="1">
      <c r="S1458" s="454"/>
      <c r="AN1458" s="458"/>
      <c r="BC1458" s="169"/>
    </row>
    <row r="1459" spans="19:55" ht="15.75" customHeight="1">
      <c r="S1459" s="454"/>
      <c r="AN1459" s="458"/>
      <c r="BC1459" s="169"/>
    </row>
    <row r="1460" spans="19:55" ht="15.75" customHeight="1">
      <c r="S1460" s="454"/>
      <c r="AN1460" s="458"/>
      <c r="BC1460" s="169"/>
    </row>
    <row r="1461" spans="19:55" ht="15.75" customHeight="1">
      <c r="S1461" s="454"/>
      <c r="AN1461" s="458"/>
      <c r="BC1461" s="169"/>
    </row>
    <row r="1462" spans="19:55" ht="15.75" customHeight="1">
      <c r="S1462" s="454"/>
      <c r="AN1462" s="458"/>
      <c r="BC1462" s="169"/>
    </row>
    <row r="1463" spans="19:55" ht="15.75" customHeight="1">
      <c r="S1463" s="454"/>
      <c r="AN1463" s="458"/>
      <c r="BC1463" s="169"/>
    </row>
    <row r="1464" spans="19:55" ht="15.75" customHeight="1">
      <c r="S1464" s="454"/>
      <c r="AN1464" s="458"/>
      <c r="BC1464" s="169"/>
    </row>
    <row r="1465" spans="19:55" ht="15.75" customHeight="1">
      <c r="S1465" s="454"/>
      <c r="AN1465" s="458"/>
      <c r="BC1465" s="169"/>
    </row>
    <row r="1466" spans="19:55" ht="15.75" customHeight="1">
      <c r="S1466" s="454"/>
      <c r="AN1466" s="458"/>
      <c r="BC1466" s="169"/>
    </row>
    <row r="1467" spans="19:55" ht="15.75" customHeight="1">
      <c r="S1467" s="454"/>
      <c r="AN1467" s="458"/>
      <c r="BC1467" s="169"/>
    </row>
    <row r="1468" spans="19:55" ht="15.75" customHeight="1">
      <c r="S1468" s="454"/>
      <c r="AN1468" s="458"/>
      <c r="BC1468" s="169"/>
    </row>
    <row r="1469" spans="19:55" ht="15.75" customHeight="1">
      <c r="S1469" s="454"/>
      <c r="AN1469" s="458"/>
      <c r="BC1469" s="169"/>
    </row>
    <row r="1470" spans="19:55" ht="15.75" customHeight="1">
      <c r="S1470" s="454"/>
      <c r="AN1470" s="458"/>
      <c r="BC1470" s="169"/>
    </row>
    <row r="1471" spans="19:55" ht="15.75" customHeight="1">
      <c r="S1471" s="454"/>
      <c r="AN1471" s="458"/>
      <c r="BC1471" s="169"/>
    </row>
    <row r="1472" spans="19:55" ht="15.75" customHeight="1">
      <c r="S1472" s="454"/>
      <c r="AN1472" s="458"/>
      <c r="BC1472" s="169"/>
    </row>
    <row r="1473" spans="19:55" ht="15.75" customHeight="1">
      <c r="S1473" s="454"/>
      <c r="AN1473" s="458"/>
      <c r="BC1473" s="169"/>
    </row>
    <row r="1474" spans="19:55" ht="15.75" customHeight="1">
      <c r="S1474" s="454"/>
      <c r="AN1474" s="458"/>
      <c r="BC1474" s="169"/>
    </row>
    <row r="1475" spans="19:55" ht="15.75" customHeight="1">
      <c r="S1475" s="454"/>
      <c r="AN1475" s="458"/>
      <c r="BC1475" s="169"/>
    </row>
    <row r="1476" spans="19:55" ht="15.75" customHeight="1">
      <c r="S1476" s="454"/>
      <c r="AN1476" s="458"/>
      <c r="BC1476" s="169"/>
    </row>
    <row r="1477" spans="19:55" ht="15.75" customHeight="1">
      <c r="S1477" s="454"/>
      <c r="AN1477" s="458"/>
      <c r="BC1477" s="169"/>
    </row>
    <row r="1478" spans="19:55" ht="15.75" customHeight="1">
      <c r="S1478" s="454"/>
      <c r="AN1478" s="458"/>
      <c r="BC1478" s="169"/>
    </row>
    <row r="1479" spans="19:55" ht="15.75" customHeight="1">
      <c r="S1479" s="454"/>
      <c r="AN1479" s="458"/>
      <c r="BC1479" s="169"/>
    </row>
    <row r="1480" spans="19:55" ht="15.75" customHeight="1">
      <c r="S1480" s="454"/>
      <c r="AN1480" s="458"/>
      <c r="BC1480" s="169"/>
    </row>
    <row r="1481" spans="19:55" ht="15.75" customHeight="1">
      <c r="S1481" s="454"/>
      <c r="AN1481" s="458"/>
      <c r="BC1481" s="169"/>
    </row>
    <row r="1482" spans="19:55" ht="15.75" customHeight="1">
      <c r="S1482" s="454"/>
      <c r="AN1482" s="458"/>
      <c r="BC1482" s="169"/>
    </row>
    <row r="1483" spans="19:55" ht="15.75" customHeight="1">
      <c r="S1483" s="454"/>
      <c r="AN1483" s="458"/>
      <c r="BC1483" s="169"/>
    </row>
    <row r="1484" spans="19:55" ht="15.75" customHeight="1">
      <c r="S1484" s="454"/>
      <c r="AN1484" s="458"/>
      <c r="BC1484" s="169"/>
    </row>
    <row r="1485" spans="19:55" ht="15.75" customHeight="1">
      <c r="S1485" s="454"/>
      <c r="AN1485" s="458"/>
      <c r="BC1485" s="169"/>
    </row>
    <row r="1486" spans="19:55" ht="15.75" customHeight="1">
      <c r="S1486" s="454"/>
      <c r="AN1486" s="458"/>
      <c r="BC1486" s="169"/>
    </row>
    <row r="1487" spans="19:55" ht="15.75" customHeight="1">
      <c r="S1487" s="454"/>
      <c r="AN1487" s="458"/>
      <c r="BC1487" s="169"/>
    </row>
    <row r="1488" spans="19:55" ht="15.75" customHeight="1">
      <c r="S1488" s="454"/>
      <c r="AN1488" s="458"/>
      <c r="BC1488" s="169"/>
    </row>
    <row r="1489" spans="19:55" ht="15.75" customHeight="1">
      <c r="S1489" s="454"/>
      <c r="AN1489" s="458"/>
      <c r="BC1489" s="169"/>
    </row>
    <row r="1490" spans="19:55" ht="15.75" customHeight="1">
      <c r="S1490" s="454"/>
      <c r="AN1490" s="458"/>
      <c r="BC1490" s="169"/>
    </row>
    <row r="1491" spans="19:55" ht="15.75" customHeight="1">
      <c r="S1491" s="454"/>
      <c r="AN1491" s="458"/>
      <c r="BC1491" s="169"/>
    </row>
    <row r="1492" spans="19:55" ht="15.75" customHeight="1">
      <c r="S1492" s="454"/>
      <c r="AN1492" s="458"/>
      <c r="BC1492" s="169"/>
    </row>
    <row r="1493" spans="19:55" ht="15.75" customHeight="1">
      <c r="S1493" s="454"/>
      <c r="AN1493" s="458"/>
      <c r="BC1493" s="169"/>
    </row>
    <row r="1494" spans="19:55" ht="15.75" customHeight="1">
      <c r="AN1494" s="458"/>
      <c r="BC1494" s="169"/>
    </row>
    <row r="1495" spans="19:55" ht="15.75" customHeight="1">
      <c r="AN1495" s="458"/>
      <c r="BC1495" s="169"/>
    </row>
    <row r="1496" spans="19:55" ht="15.75" customHeight="1">
      <c r="AN1496" s="458"/>
      <c r="BC1496" s="169"/>
    </row>
    <row r="1497" spans="19:55" ht="15.75" customHeight="1">
      <c r="AN1497" s="458"/>
      <c r="BC1497" s="169"/>
    </row>
    <row r="1498" spans="19:55" ht="15.75" customHeight="1">
      <c r="AN1498" s="458"/>
      <c r="BC1498" s="169"/>
    </row>
    <row r="1499" spans="19:55" ht="15.75" customHeight="1">
      <c r="AN1499" s="458"/>
      <c r="BC1499" s="169"/>
    </row>
    <row r="1500" spans="19:55" ht="15.75" customHeight="1">
      <c r="AN1500" s="458"/>
      <c r="BC1500" s="169"/>
    </row>
    <row r="1501" spans="19:55" ht="15.75" customHeight="1">
      <c r="AN1501" s="458"/>
      <c r="BC1501" s="169"/>
    </row>
    <row r="1502" spans="19:55" ht="15.75" customHeight="1">
      <c r="AN1502" s="458"/>
      <c r="BC1502" s="169"/>
    </row>
    <row r="1503" spans="19:55" ht="15.75" customHeight="1">
      <c r="AN1503" s="458"/>
      <c r="BC1503" s="169"/>
    </row>
    <row r="1504" spans="19:55" ht="15.75" customHeight="1">
      <c r="AN1504" s="458"/>
      <c r="BC1504" s="169"/>
    </row>
    <row r="1505" spans="40:55" ht="15.75" customHeight="1">
      <c r="AN1505" s="458"/>
      <c r="BC1505" s="169"/>
    </row>
    <row r="1506" spans="40:55" ht="15.75" customHeight="1">
      <c r="AN1506" s="458"/>
      <c r="BC1506" s="169"/>
    </row>
    <row r="1507" spans="40:55" ht="15.75" customHeight="1">
      <c r="AN1507" s="458"/>
      <c r="BC1507" s="169"/>
    </row>
    <row r="1508" spans="40:55" ht="15.75" customHeight="1">
      <c r="AN1508" s="458"/>
      <c r="BC1508" s="169"/>
    </row>
    <row r="1509" spans="40:55" ht="15.75" customHeight="1">
      <c r="AN1509" s="458"/>
      <c r="BC1509" s="169"/>
    </row>
    <row r="1510" spans="40:55" ht="15.75" customHeight="1">
      <c r="AN1510" s="458"/>
      <c r="BC1510" s="169"/>
    </row>
    <row r="1511" spans="40:55" ht="15.75" customHeight="1">
      <c r="AN1511" s="458"/>
      <c r="BC1511" s="169"/>
    </row>
    <row r="1512" spans="40:55" ht="15.75" customHeight="1">
      <c r="AN1512" s="458"/>
      <c r="BC1512" s="169"/>
    </row>
    <row r="1513" spans="40:55" ht="15.75" customHeight="1">
      <c r="AN1513" s="458"/>
      <c r="BC1513" s="169"/>
    </row>
    <row r="1514" spans="40:55" ht="15.75" customHeight="1">
      <c r="AN1514" s="458"/>
      <c r="BC1514" s="169"/>
    </row>
    <row r="1515" spans="40:55" ht="15.75" customHeight="1">
      <c r="AN1515" s="458"/>
      <c r="BC1515" s="169"/>
    </row>
    <row r="1516" spans="40:55" ht="15.75" customHeight="1">
      <c r="AN1516" s="458"/>
      <c r="BC1516" s="169"/>
    </row>
    <row r="1517" spans="40:55" ht="15.75" customHeight="1">
      <c r="AN1517" s="458"/>
      <c r="BC1517" s="169"/>
    </row>
    <row r="1518" spans="40:55" ht="15.75" customHeight="1">
      <c r="AN1518" s="458"/>
      <c r="BC1518" s="169"/>
    </row>
    <row r="1519" spans="40:55" ht="15.75" customHeight="1">
      <c r="AN1519" s="458"/>
      <c r="BC1519" s="169"/>
    </row>
    <row r="1520" spans="40:55" ht="15.75" customHeight="1">
      <c r="AN1520" s="458"/>
      <c r="BC1520" s="169"/>
    </row>
    <row r="1521" spans="40:55" ht="15.75" customHeight="1">
      <c r="AN1521" s="458"/>
      <c r="BC1521" s="169"/>
    </row>
    <row r="1522" spans="40:55" ht="15.75" customHeight="1">
      <c r="AN1522" s="458"/>
      <c r="BC1522" s="169"/>
    </row>
    <row r="1523" spans="40:55" ht="15.75" customHeight="1">
      <c r="AN1523" s="458"/>
      <c r="BC1523" s="169"/>
    </row>
    <row r="1524" spans="40:55" ht="15.75" customHeight="1">
      <c r="AN1524" s="458"/>
      <c r="BC1524" s="169"/>
    </row>
    <row r="1525" spans="40:55" ht="15.75" customHeight="1">
      <c r="AN1525" s="458"/>
      <c r="BC1525" s="169"/>
    </row>
    <row r="1526" spans="40:55" ht="15.75" customHeight="1">
      <c r="AN1526" s="458"/>
      <c r="BC1526" s="169"/>
    </row>
    <row r="1527" spans="40:55" ht="15.75" customHeight="1">
      <c r="AN1527" s="458"/>
      <c r="BC1527" s="169"/>
    </row>
    <row r="1528" spans="40:55" ht="15.75" customHeight="1">
      <c r="AN1528" s="458"/>
      <c r="BC1528" s="169"/>
    </row>
    <row r="1529" spans="40:55" ht="15.75" customHeight="1">
      <c r="AN1529" s="458"/>
      <c r="BC1529" s="169"/>
    </row>
    <row r="1530" spans="40:55" ht="15.75" customHeight="1">
      <c r="AN1530" s="458"/>
      <c r="BC1530" s="169"/>
    </row>
    <row r="1531" spans="40:55" ht="15.75" customHeight="1">
      <c r="AN1531" s="458"/>
      <c r="BC1531" s="169"/>
    </row>
    <row r="1532" spans="40:55" ht="15.75" customHeight="1">
      <c r="AN1532" s="458"/>
      <c r="BC1532" s="169"/>
    </row>
    <row r="1533" spans="40:55" ht="15.75" customHeight="1">
      <c r="AN1533" s="458"/>
      <c r="BC1533" s="169"/>
    </row>
    <row r="1534" spans="40:55" ht="15.75" customHeight="1">
      <c r="AN1534" s="458"/>
      <c r="BC1534" s="169"/>
    </row>
    <row r="1535" spans="40:55" ht="15.75" customHeight="1">
      <c r="AN1535" s="458"/>
      <c r="BC1535" s="169"/>
    </row>
    <row r="1536" spans="40:55" ht="15.75" customHeight="1">
      <c r="AN1536" s="458"/>
      <c r="BC1536" s="169"/>
    </row>
    <row r="1537" spans="40:55" ht="15.75" customHeight="1">
      <c r="AN1537" s="458"/>
      <c r="BC1537" s="169"/>
    </row>
    <row r="1538" spans="40:55" ht="15.75" customHeight="1">
      <c r="AN1538" s="458"/>
      <c r="BC1538" s="169"/>
    </row>
    <row r="1539" spans="40:55" ht="15.75" customHeight="1">
      <c r="AN1539" s="458"/>
      <c r="BC1539" s="169"/>
    </row>
    <row r="1540" spans="40:55" ht="15.75" customHeight="1">
      <c r="AN1540" s="458"/>
      <c r="BC1540" s="169"/>
    </row>
    <row r="1541" spans="40:55" ht="15.75" customHeight="1">
      <c r="AN1541" s="458"/>
      <c r="BC1541" s="169"/>
    </row>
    <row r="1542" spans="40:55" ht="15.75" customHeight="1">
      <c r="AN1542" s="458"/>
      <c r="BC1542" s="169"/>
    </row>
    <row r="1543" spans="40:55" ht="15.75" customHeight="1">
      <c r="AN1543" s="458"/>
      <c r="BC1543" s="169"/>
    </row>
    <row r="1544" spans="40:55" ht="15.75" customHeight="1">
      <c r="AN1544" s="458"/>
      <c r="BC1544" s="169"/>
    </row>
    <row r="1545" spans="40:55" ht="15.75" customHeight="1">
      <c r="AN1545" s="458"/>
      <c r="BC1545" s="169"/>
    </row>
    <row r="1546" spans="40:55" ht="15.75" customHeight="1">
      <c r="AN1546" s="458"/>
      <c r="BC1546" s="169"/>
    </row>
    <row r="1547" spans="40:55" ht="15.75" customHeight="1">
      <c r="AN1547" s="458"/>
      <c r="BC1547" s="169"/>
    </row>
    <row r="1548" spans="40:55" ht="15.75" customHeight="1">
      <c r="AN1548" s="458"/>
      <c r="BC1548" s="169"/>
    </row>
    <row r="1549" spans="40:55" ht="15.75" customHeight="1">
      <c r="AN1549" s="458"/>
      <c r="BC1549" s="169"/>
    </row>
    <row r="1550" spans="40:55" ht="15.75" customHeight="1">
      <c r="AN1550" s="458"/>
      <c r="BC1550" s="169"/>
    </row>
    <row r="1551" spans="40:55" ht="15.75" customHeight="1">
      <c r="AN1551" s="458"/>
      <c r="BC1551" s="169"/>
    </row>
    <row r="1552" spans="40:55" ht="15.75" customHeight="1">
      <c r="AN1552" s="458"/>
      <c r="BC1552" s="169"/>
    </row>
    <row r="1553" spans="40:55" ht="15.75" customHeight="1">
      <c r="AN1553" s="458"/>
      <c r="BC1553" s="169"/>
    </row>
    <row r="1554" spans="40:55" ht="15.75" customHeight="1">
      <c r="AN1554" s="458"/>
      <c r="BC1554" s="169"/>
    </row>
    <row r="1555" spans="40:55" ht="15.75" customHeight="1">
      <c r="AN1555" s="458"/>
      <c r="BC1555" s="169"/>
    </row>
    <row r="1556" spans="40:55" ht="15.75" customHeight="1">
      <c r="AN1556" s="458"/>
      <c r="BC1556" s="169"/>
    </row>
    <row r="1557" spans="40:55" ht="15.75" customHeight="1">
      <c r="AN1557" s="458"/>
      <c r="BC1557" s="169"/>
    </row>
    <row r="1558" spans="40:55" ht="15.75" customHeight="1">
      <c r="AN1558" s="458"/>
      <c r="BC1558" s="169"/>
    </row>
    <row r="1559" spans="40:55" ht="15.75" customHeight="1">
      <c r="AN1559" s="458"/>
      <c r="BC1559" s="169"/>
    </row>
    <row r="1560" spans="40:55" ht="15.75" customHeight="1">
      <c r="AN1560" s="458"/>
      <c r="BC1560" s="169"/>
    </row>
    <row r="1561" spans="40:55" ht="15.75" customHeight="1">
      <c r="AN1561" s="458"/>
      <c r="BC1561" s="169"/>
    </row>
    <row r="1562" spans="40:55" ht="15.75" customHeight="1">
      <c r="AN1562" s="458"/>
      <c r="BC1562" s="169"/>
    </row>
    <row r="1563" spans="40:55" ht="15.75" customHeight="1">
      <c r="AN1563" s="458"/>
      <c r="BC1563" s="169"/>
    </row>
    <row r="1564" spans="40:55" ht="15.75" customHeight="1">
      <c r="AN1564" s="458"/>
      <c r="BC1564" s="169"/>
    </row>
    <row r="1565" spans="40:55" ht="15.75" customHeight="1">
      <c r="AN1565" s="458"/>
      <c r="BC1565" s="169"/>
    </row>
    <row r="1566" spans="40:55" ht="15.75" customHeight="1">
      <c r="AN1566" s="458"/>
      <c r="BC1566" s="169"/>
    </row>
    <row r="1567" spans="40:55" ht="15.75" customHeight="1">
      <c r="AN1567" s="458"/>
      <c r="BC1567" s="169"/>
    </row>
    <row r="1568" spans="40:55" ht="15.75" customHeight="1">
      <c r="AN1568" s="458"/>
      <c r="BC1568" s="169"/>
    </row>
    <row r="1569" spans="40:55" ht="15.75" customHeight="1">
      <c r="AN1569" s="458"/>
      <c r="BC1569" s="169"/>
    </row>
    <row r="1570" spans="40:55" ht="15.75" customHeight="1">
      <c r="AN1570" s="458"/>
      <c r="BC1570" s="169"/>
    </row>
    <row r="1571" spans="40:55" ht="15.75" customHeight="1">
      <c r="AN1571" s="458"/>
      <c r="BC1571" s="169"/>
    </row>
    <row r="1572" spans="40:55" ht="15.75" customHeight="1">
      <c r="AN1572" s="458"/>
      <c r="BC1572" s="169"/>
    </row>
    <row r="1573" spans="40:55" ht="15.75" customHeight="1">
      <c r="AN1573" s="458"/>
      <c r="BC1573" s="169"/>
    </row>
    <row r="1574" spans="40:55" ht="15.75" customHeight="1">
      <c r="AN1574" s="458"/>
      <c r="BC1574" s="169"/>
    </row>
    <row r="1575" spans="40:55" ht="15.75" customHeight="1">
      <c r="AN1575" s="458"/>
      <c r="BC1575" s="169"/>
    </row>
    <row r="1576" spans="40:55" ht="15.75" customHeight="1">
      <c r="AN1576" s="458"/>
      <c r="BC1576" s="169"/>
    </row>
    <row r="1577" spans="40:55" ht="15.75" customHeight="1">
      <c r="AN1577" s="458"/>
      <c r="BC1577" s="169"/>
    </row>
    <row r="1578" spans="40:55" ht="15.75" customHeight="1">
      <c r="AN1578" s="458"/>
      <c r="BC1578" s="169"/>
    </row>
    <row r="1579" spans="40:55" ht="15.75" customHeight="1">
      <c r="AN1579" s="458"/>
      <c r="BC1579" s="169"/>
    </row>
    <row r="1580" spans="40:55" ht="15.75" customHeight="1">
      <c r="AN1580" s="458"/>
      <c r="BC1580" s="169"/>
    </row>
    <row r="1581" spans="40:55" ht="15.75" customHeight="1">
      <c r="AN1581" s="458"/>
      <c r="BC1581" s="169"/>
    </row>
    <row r="1582" spans="40:55" ht="15.75" customHeight="1">
      <c r="AN1582" s="458"/>
      <c r="BC1582" s="169"/>
    </row>
    <row r="1583" spans="40:55" ht="15.75" customHeight="1">
      <c r="AN1583" s="458"/>
      <c r="BC1583" s="169"/>
    </row>
    <row r="1584" spans="40:55" ht="15.75" customHeight="1">
      <c r="AN1584" s="458"/>
      <c r="BC1584" s="169"/>
    </row>
    <row r="1585" spans="40:55" ht="15.75" customHeight="1">
      <c r="AN1585" s="458"/>
      <c r="BC1585" s="169"/>
    </row>
    <row r="1586" spans="40:55" ht="15.75" customHeight="1">
      <c r="AN1586" s="458"/>
      <c r="BC1586" s="169"/>
    </row>
    <row r="1587" spans="40:55" ht="15.75" customHeight="1">
      <c r="AN1587" s="458"/>
      <c r="BC1587" s="169"/>
    </row>
    <row r="1588" spans="40:55" ht="15.75" customHeight="1">
      <c r="AN1588" s="458"/>
      <c r="BC1588" s="169"/>
    </row>
    <row r="1589" spans="40:55" ht="15.75" customHeight="1">
      <c r="AN1589" s="458"/>
      <c r="BC1589" s="169"/>
    </row>
    <row r="1590" spans="40:55" ht="15.75" customHeight="1">
      <c r="AN1590" s="458"/>
      <c r="BC1590" s="169"/>
    </row>
    <row r="1591" spans="40:55" ht="15.75" customHeight="1">
      <c r="AN1591" s="458"/>
      <c r="BC1591" s="169"/>
    </row>
    <row r="1592" spans="40:55" ht="15.75" customHeight="1">
      <c r="AN1592" s="458"/>
      <c r="BC1592" s="169"/>
    </row>
    <row r="1593" spans="40:55" ht="15.75" customHeight="1">
      <c r="AN1593" s="458"/>
      <c r="BC1593" s="169"/>
    </row>
    <row r="1594" spans="40:55" ht="15.75" customHeight="1">
      <c r="AN1594" s="458"/>
      <c r="BC1594" s="169"/>
    </row>
    <row r="1595" spans="40:55" ht="15.75" customHeight="1">
      <c r="AN1595" s="458"/>
      <c r="BC1595" s="169"/>
    </row>
    <row r="1596" spans="40:55" ht="15.75" customHeight="1">
      <c r="AN1596" s="458"/>
      <c r="BC1596" s="169"/>
    </row>
    <row r="1597" spans="40:55" ht="15.75" customHeight="1">
      <c r="AN1597" s="458"/>
      <c r="BC1597" s="169"/>
    </row>
    <row r="1598" spans="40:55" ht="15.75" customHeight="1">
      <c r="AN1598" s="458"/>
      <c r="BC1598" s="169"/>
    </row>
    <row r="1599" spans="40:55" ht="15.75" customHeight="1">
      <c r="AN1599" s="458"/>
      <c r="BC1599" s="169"/>
    </row>
    <row r="1600" spans="40:55" ht="15.75" customHeight="1">
      <c r="AN1600" s="458"/>
      <c r="BC1600" s="169"/>
    </row>
    <row r="1601" spans="40:55" ht="15.75" customHeight="1">
      <c r="AN1601" s="458"/>
      <c r="BC1601" s="169"/>
    </row>
    <row r="1602" spans="40:55" ht="15.75" customHeight="1">
      <c r="AN1602" s="458"/>
      <c r="BC1602" s="169"/>
    </row>
    <row r="1603" spans="40:55" ht="15.75" customHeight="1">
      <c r="AN1603" s="458"/>
      <c r="BC1603" s="169"/>
    </row>
    <row r="1604" spans="40:55" ht="15.75" customHeight="1">
      <c r="AN1604" s="458"/>
      <c r="BC1604" s="169"/>
    </row>
    <row r="1605" spans="40:55" ht="15.75" customHeight="1">
      <c r="AN1605" s="458"/>
      <c r="BC1605" s="169"/>
    </row>
    <row r="1606" spans="40:55" ht="15.75" customHeight="1">
      <c r="AN1606" s="458"/>
      <c r="BC1606" s="169"/>
    </row>
    <row r="1607" spans="40:55" ht="15.75" customHeight="1">
      <c r="AN1607" s="458"/>
      <c r="BC1607" s="169"/>
    </row>
    <row r="1608" spans="40:55" ht="15.75" customHeight="1">
      <c r="AN1608" s="458"/>
      <c r="BC1608" s="169"/>
    </row>
    <row r="1609" spans="40:55" ht="15.75" customHeight="1">
      <c r="AN1609" s="458"/>
      <c r="BC1609" s="169"/>
    </row>
    <row r="1610" spans="40:55" ht="15.75" customHeight="1">
      <c r="AN1610" s="458"/>
      <c r="BC1610" s="169"/>
    </row>
    <row r="1611" spans="40:55" ht="15.75" customHeight="1">
      <c r="AN1611" s="458"/>
      <c r="BC1611" s="169"/>
    </row>
    <row r="1612" spans="40:55" ht="15.75" customHeight="1">
      <c r="AN1612" s="458"/>
      <c r="BC1612" s="169"/>
    </row>
    <row r="1613" spans="40:55" ht="15.75" customHeight="1">
      <c r="AN1613" s="458"/>
      <c r="BC1613" s="169"/>
    </row>
    <row r="1614" spans="40:55" ht="15.75" customHeight="1">
      <c r="AN1614" s="458"/>
      <c r="BC1614" s="169"/>
    </row>
    <row r="1615" spans="40:55" ht="15.75" customHeight="1">
      <c r="AN1615" s="458"/>
      <c r="BC1615" s="169"/>
    </row>
    <row r="1616" spans="40:55" ht="15.75" customHeight="1">
      <c r="AN1616" s="458"/>
      <c r="BC1616" s="169"/>
    </row>
    <row r="1617" spans="40:55" ht="15.75" customHeight="1">
      <c r="AN1617" s="458"/>
      <c r="BC1617" s="169"/>
    </row>
    <row r="1618" spans="40:55" ht="15.75" customHeight="1">
      <c r="AN1618" s="458"/>
      <c r="BC1618" s="169"/>
    </row>
    <row r="1619" spans="40:55" ht="15.75" customHeight="1">
      <c r="AN1619" s="458"/>
      <c r="BC1619" s="169"/>
    </row>
    <row r="1620" spans="40:55" ht="15.75" customHeight="1">
      <c r="AN1620" s="458"/>
      <c r="BC1620" s="169"/>
    </row>
    <row r="1621" spans="40:55" ht="15.75" customHeight="1">
      <c r="AN1621" s="458"/>
      <c r="BC1621" s="169"/>
    </row>
    <row r="1622" spans="40:55" ht="15.75" customHeight="1">
      <c r="AN1622" s="458"/>
      <c r="BC1622" s="169"/>
    </row>
    <row r="1623" spans="40:55" ht="15.75" customHeight="1">
      <c r="AN1623" s="458"/>
      <c r="BC1623" s="169"/>
    </row>
    <row r="1624" spans="40:55" ht="15.75" customHeight="1">
      <c r="AN1624" s="458"/>
      <c r="BC1624" s="169"/>
    </row>
    <row r="1625" spans="40:55" ht="15.75" customHeight="1">
      <c r="AN1625" s="458"/>
      <c r="BC1625" s="169"/>
    </row>
    <row r="1626" spans="40:55" ht="15.75" customHeight="1">
      <c r="AN1626" s="458"/>
      <c r="BC1626" s="169"/>
    </row>
    <row r="1627" spans="40:55" ht="15.75" customHeight="1">
      <c r="AN1627" s="458"/>
      <c r="BC1627" s="169"/>
    </row>
    <row r="1628" spans="40:55" ht="15.75" customHeight="1">
      <c r="AN1628" s="458"/>
      <c r="BC1628" s="169"/>
    </row>
    <row r="1629" spans="40:55" ht="15.75" customHeight="1">
      <c r="AN1629" s="458"/>
      <c r="BC1629" s="169"/>
    </row>
    <row r="1630" spans="40:55" ht="15.75" customHeight="1">
      <c r="AN1630" s="458"/>
      <c r="BC1630" s="169"/>
    </row>
    <row r="1631" spans="40:55" ht="15.75" customHeight="1">
      <c r="AN1631" s="458"/>
      <c r="BC1631" s="169"/>
    </row>
    <row r="1632" spans="40:55" ht="15.75" customHeight="1">
      <c r="AN1632" s="458"/>
      <c r="BC1632" s="169"/>
    </row>
    <row r="1633" spans="40:55" ht="15.75" customHeight="1">
      <c r="AN1633" s="458"/>
      <c r="BC1633" s="169"/>
    </row>
    <row r="1634" spans="40:55" ht="15.75" customHeight="1">
      <c r="AN1634" s="458"/>
      <c r="BC1634" s="169"/>
    </row>
    <row r="1635" spans="40:55" ht="15.75" customHeight="1">
      <c r="AN1635" s="458"/>
      <c r="BC1635" s="169"/>
    </row>
    <row r="1636" spans="40:55" ht="15.75" customHeight="1">
      <c r="AN1636" s="458"/>
      <c r="BC1636" s="169"/>
    </row>
    <row r="1637" spans="40:55" ht="15.75" customHeight="1">
      <c r="AN1637" s="458"/>
      <c r="BC1637" s="169"/>
    </row>
    <row r="1638" spans="40:55" ht="15.75" customHeight="1">
      <c r="AN1638" s="458"/>
      <c r="BC1638" s="169"/>
    </row>
    <row r="1639" spans="40:55" ht="15.75" customHeight="1">
      <c r="AN1639" s="458"/>
      <c r="BC1639" s="169"/>
    </row>
    <row r="1640" spans="40:55" ht="15.75" customHeight="1">
      <c r="AN1640" s="458"/>
      <c r="BC1640" s="169"/>
    </row>
    <row r="1641" spans="40:55" ht="15.75" customHeight="1">
      <c r="AN1641" s="458"/>
      <c r="BC1641" s="169"/>
    </row>
    <row r="1642" spans="40:55" ht="15.75" customHeight="1">
      <c r="AN1642" s="458"/>
      <c r="BC1642" s="169"/>
    </row>
    <row r="1643" spans="40:55" ht="15.75" customHeight="1">
      <c r="AN1643" s="458"/>
      <c r="BC1643" s="169"/>
    </row>
    <row r="1644" spans="40:55" ht="15.75" customHeight="1">
      <c r="AN1644" s="458"/>
      <c r="BC1644" s="169"/>
    </row>
    <row r="1645" spans="40:55" ht="15.75" customHeight="1">
      <c r="AN1645" s="458"/>
      <c r="BC1645" s="169"/>
    </row>
    <row r="1646" spans="40:55" ht="15.75" customHeight="1">
      <c r="AN1646" s="458"/>
      <c r="BC1646" s="169"/>
    </row>
    <row r="1647" spans="40:55" ht="15.75" customHeight="1">
      <c r="AN1647" s="458"/>
      <c r="BC1647" s="169"/>
    </row>
    <row r="1648" spans="40:55" ht="15.75" customHeight="1">
      <c r="AN1648" s="458"/>
      <c r="BC1648" s="169"/>
    </row>
    <row r="1649" spans="40:55" ht="15.75" customHeight="1">
      <c r="AN1649" s="458"/>
      <c r="BC1649" s="169"/>
    </row>
    <row r="1650" spans="40:55" ht="15.75" customHeight="1">
      <c r="AN1650" s="458"/>
      <c r="BC1650" s="169"/>
    </row>
    <row r="1651" spans="40:55" ht="15.75" customHeight="1">
      <c r="AN1651" s="458"/>
      <c r="BC1651" s="169"/>
    </row>
    <row r="1652" spans="40:55" ht="15.75" customHeight="1">
      <c r="AN1652" s="458"/>
      <c r="BC1652" s="169"/>
    </row>
    <row r="1653" spans="40:55" ht="15.75" customHeight="1">
      <c r="AN1653" s="458"/>
      <c r="BC1653" s="169"/>
    </row>
    <row r="1654" spans="40:55" ht="15.75" customHeight="1">
      <c r="AN1654" s="458"/>
      <c r="BC1654" s="169"/>
    </row>
    <row r="1655" spans="40:55" ht="15.75" customHeight="1">
      <c r="AN1655" s="458"/>
      <c r="BC1655" s="169"/>
    </row>
    <row r="1656" spans="40:55" ht="15.75" customHeight="1">
      <c r="AN1656" s="458"/>
      <c r="BC1656" s="169"/>
    </row>
    <row r="1657" spans="40:55" ht="15.75" customHeight="1">
      <c r="AN1657" s="458"/>
      <c r="BC1657" s="169"/>
    </row>
    <row r="1658" spans="40:55" ht="15.75" customHeight="1">
      <c r="AN1658" s="458"/>
      <c r="BC1658" s="169"/>
    </row>
    <row r="1659" spans="40:55" ht="15.75" customHeight="1">
      <c r="AN1659" s="458"/>
      <c r="BC1659" s="169"/>
    </row>
    <row r="1660" spans="40:55" ht="15.75" customHeight="1">
      <c r="AN1660" s="458"/>
      <c r="BC1660" s="169"/>
    </row>
    <row r="1661" spans="40:55" ht="15.75" customHeight="1">
      <c r="AN1661" s="458"/>
      <c r="BC1661" s="169"/>
    </row>
    <row r="1662" spans="40:55" ht="15.75" customHeight="1">
      <c r="AN1662" s="458"/>
      <c r="BC1662" s="169"/>
    </row>
    <row r="1663" spans="40:55" ht="15.75" customHeight="1">
      <c r="AN1663" s="458"/>
      <c r="BC1663" s="169"/>
    </row>
    <row r="1664" spans="40:55" ht="15.75" customHeight="1">
      <c r="AN1664" s="458"/>
      <c r="BC1664" s="169"/>
    </row>
    <row r="1665" spans="40:55" ht="15.75" customHeight="1">
      <c r="AN1665" s="458"/>
      <c r="BC1665" s="169"/>
    </row>
    <row r="1666" spans="40:55" ht="15.75" customHeight="1">
      <c r="AN1666" s="458"/>
      <c r="BC1666" s="169"/>
    </row>
    <row r="1667" spans="40:55" ht="15.75" customHeight="1">
      <c r="AN1667" s="458"/>
      <c r="BC1667" s="169"/>
    </row>
    <row r="1668" spans="40:55" ht="15.75" customHeight="1">
      <c r="AN1668" s="458"/>
      <c r="BC1668" s="169"/>
    </row>
    <row r="1669" spans="40:55" ht="15.75" customHeight="1">
      <c r="AN1669" s="458"/>
      <c r="BC1669" s="169"/>
    </row>
    <row r="1670" spans="40:55" ht="15.75" customHeight="1">
      <c r="AN1670" s="458"/>
      <c r="BC1670" s="169"/>
    </row>
    <row r="1671" spans="40:55" ht="15.75" customHeight="1">
      <c r="AN1671" s="458"/>
      <c r="BC1671" s="169"/>
    </row>
    <row r="1672" spans="40:55" ht="15.75" customHeight="1">
      <c r="AN1672" s="458"/>
      <c r="BC1672" s="169"/>
    </row>
    <row r="1673" spans="40:55" ht="15.75" customHeight="1">
      <c r="AN1673" s="458"/>
      <c r="BC1673" s="169"/>
    </row>
    <row r="1674" spans="40:55" ht="15.75" customHeight="1">
      <c r="AN1674" s="458"/>
      <c r="BC1674" s="169"/>
    </row>
    <row r="1675" spans="40:55" ht="15.75" customHeight="1">
      <c r="AN1675" s="458"/>
      <c r="BC1675" s="169"/>
    </row>
    <row r="1676" spans="40:55" ht="15.75" customHeight="1">
      <c r="AN1676" s="458"/>
      <c r="BC1676" s="169"/>
    </row>
    <row r="1677" spans="40:55" ht="15.75" customHeight="1">
      <c r="AN1677" s="458"/>
      <c r="BC1677" s="169"/>
    </row>
    <row r="1678" spans="40:55" ht="15.75" customHeight="1">
      <c r="AN1678" s="458"/>
      <c r="BC1678" s="169"/>
    </row>
    <row r="1679" spans="40:55" ht="15.75" customHeight="1">
      <c r="AN1679" s="458"/>
      <c r="BC1679" s="169"/>
    </row>
    <row r="1680" spans="40:55" ht="15.75" customHeight="1">
      <c r="AN1680" s="458"/>
      <c r="BC1680" s="169"/>
    </row>
    <row r="1681" spans="40:55" ht="15.75" customHeight="1">
      <c r="AN1681" s="458"/>
      <c r="BC1681" s="169"/>
    </row>
    <row r="1682" spans="40:55" ht="15.75" customHeight="1">
      <c r="AN1682" s="458"/>
      <c r="BC1682" s="169"/>
    </row>
    <row r="1683" spans="40:55" ht="15.75" customHeight="1">
      <c r="AN1683" s="458"/>
      <c r="BC1683" s="169"/>
    </row>
    <row r="1684" spans="40:55" ht="15.75" customHeight="1">
      <c r="AN1684" s="458"/>
      <c r="BC1684" s="169"/>
    </row>
    <row r="1685" spans="40:55" ht="15.75" customHeight="1">
      <c r="AN1685" s="458"/>
      <c r="BC1685" s="169"/>
    </row>
    <row r="1686" spans="40:55" ht="15.75" customHeight="1">
      <c r="AN1686" s="458"/>
      <c r="BC1686" s="169"/>
    </row>
    <row r="1687" spans="40:55" ht="15.75" customHeight="1">
      <c r="AN1687" s="458"/>
      <c r="BC1687" s="169"/>
    </row>
    <row r="1688" spans="40:55" ht="15.75" customHeight="1">
      <c r="AN1688" s="458"/>
      <c r="BC1688" s="169"/>
    </row>
    <row r="1689" spans="40:55" ht="15.75" customHeight="1">
      <c r="AN1689" s="458"/>
      <c r="BC1689" s="169"/>
    </row>
    <row r="1690" spans="40:55" ht="15.75" customHeight="1">
      <c r="AN1690" s="458"/>
      <c r="BC1690" s="169"/>
    </row>
    <row r="1691" spans="40:55" ht="15.75" customHeight="1">
      <c r="AN1691" s="458"/>
      <c r="BC1691" s="169"/>
    </row>
    <row r="1692" spans="40:55" ht="15.75" customHeight="1">
      <c r="AN1692" s="458"/>
      <c r="BC1692" s="169"/>
    </row>
    <row r="1693" spans="40:55" ht="15.75" customHeight="1">
      <c r="AN1693" s="458"/>
      <c r="BC1693" s="169"/>
    </row>
    <row r="1694" spans="40:55" ht="15.75" customHeight="1">
      <c r="AN1694" s="458"/>
      <c r="BC1694" s="169"/>
    </row>
    <row r="1695" spans="40:55" ht="15.75" customHeight="1">
      <c r="AN1695" s="458"/>
      <c r="BC1695" s="169"/>
    </row>
    <row r="1696" spans="40:55" ht="15.75" customHeight="1">
      <c r="AN1696" s="458"/>
      <c r="BC1696" s="169"/>
    </row>
    <row r="1697" spans="40:55" ht="15.75" customHeight="1">
      <c r="AN1697" s="458"/>
      <c r="BC1697" s="169"/>
    </row>
    <row r="1698" spans="40:55" ht="15.75" customHeight="1">
      <c r="AN1698" s="458"/>
      <c r="BC1698" s="169"/>
    </row>
    <row r="1699" spans="40:55" ht="15.75" customHeight="1">
      <c r="AN1699" s="458"/>
      <c r="BC1699" s="169"/>
    </row>
    <row r="1700" spans="40:55" ht="15.75" customHeight="1">
      <c r="AN1700" s="458"/>
      <c r="BC1700" s="169"/>
    </row>
    <row r="1701" spans="40:55" ht="15.75" customHeight="1">
      <c r="AN1701" s="458"/>
      <c r="BC1701" s="169"/>
    </row>
    <row r="1702" spans="40:55" ht="15.75" customHeight="1">
      <c r="AN1702" s="458"/>
      <c r="BC1702" s="169"/>
    </row>
    <row r="1703" spans="40:55" ht="15.75" customHeight="1">
      <c r="AN1703" s="458"/>
      <c r="BC1703" s="169"/>
    </row>
    <row r="1704" spans="40:55" ht="15.75" customHeight="1">
      <c r="AN1704" s="458"/>
      <c r="BC1704" s="169"/>
    </row>
    <row r="1705" spans="40:55" ht="15.75" customHeight="1">
      <c r="AN1705" s="458"/>
      <c r="BC1705" s="169"/>
    </row>
    <row r="1706" spans="40:55" ht="15.75" customHeight="1">
      <c r="AN1706" s="458"/>
      <c r="BC1706" s="169"/>
    </row>
    <row r="1707" spans="40:55" ht="15.75" customHeight="1">
      <c r="AN1707" s="458"/>
      <c r="BC1707" s="169"/>
    </row>
    <row r="1708" spans="40:55" ht="15.75" customHeight="1">
      <c r="AN1708" s="458"/>
      <c r="BC1708" s="169"/>
    </row>
    <row r="1709" spans="40:55" ht="15.75" customHeight="1">
      <c r="AN1709" s="458"/>
      <c r="BC1709" s="169"/>
    </row>
    <row r="1710" spans="40:55" ht="15.75" customHeight="1">
      <c r="AN1710" s="458"/>
      <c r="BC1710" s="169"/>
    </row>
    <row r="1711" spans="40:55" ht="15.75" customHeight="1">
      <c r="AN1711" s="458"/>
      <c r="BC1711" s="169"/>
    </row>
    <row r="1712" spans="40:55" ht="15.75" customHeight="1">
      <c r="AN1712" s="458"/>
      <c r="BC1712" s="169"/>
    </row>
    <row r="1713" spans="40:55" ht="15.75" customHeight="1">
      <c r="AN1713" s="458"/>
      <c r="BC1713" s="169"/>
    </row>
    <row r="1714" spans="40:55" ht="15.75" customHeight="1">
      <c r="AN1714" s="458"/>
      <c r="BC1714" s="169"/>
    </row>
    <row r="1715" spans="40:55" ht="15.75" customHeight="1">
      <c r="AN1715" s="458"/>
      <c r="BC1715" s="169"/>
    </row>
    <row r="1716" spans="40:55" ht="15.75" customHeight="1">
      <c r="AN1716" s="458"/>
      <c r="BC1716" s="169"/>
    </row>
    <row r="1717" spans="40:55" ht="15.75" customHeight="1">
      <c r="AN1717" s="458"/>
      <c r="BC1717" s="169"/>
    </row>
    <row r="1718" spans="40:55" ht="15.75" customHeight="1">
      <c r="AN1718" s="458"/>
      <c r="BC1718" s="169"/>
    </row>
    <row r="1719" spans="40:55" ht="15.75" customHeight="1">
      <c r="AN1719" s="458"/>
      <c r="BC1719" s="169"/>
    </row>
    <row r="1720" spans="40:55" ht="15.75" customHeight="1">
      <c r="AN1720" s="458"/>
      <c r="BC1720" s="169"/>
    </row>
    <row r="1721" spans="40:55" ht="15.75" customHeight="1">
      <c r="AN1721" s="458"/>
      <c r="BC1721" s="169"/>
    </row>
    <row r="1722" spans="40:55" ht="15.75" customHeight="1">
      <c r="AN1722" s="458"/>
      <c r="BC1722" s="169"/>
    </row>
    <row r="1723" spans="40:55" ht="15.75" customHeight="1">
      <c r="AN1723" s="458"/>
      <c r="BC1723" s="169"/>
    </row>
    <row r="1724" spans="40:55" ht="15.75" customHeight="1">
      <c r="AN1724" s="458"/>
      <c r="BC1724" s="169"/>
    </row>
    <row r="1725" spans="40:55" ht="15.75" customHeight="1">
      <c r="AN1725" s="458"/>
      <c r="BC1725" s="169"/>
    </row>
    <row r="1726" spans="40:55" ht="15.75" customHeight="1">
      <c r="AN1726" s="458"/>
      <c r="BC1726" s="169"/>
    </row>
    <row r="1727" spans="40:55" ht="15.75" customHeight="1">
      <c r="AN1727" s="458"/>
      <c r="BC1727" s="169"/>
    </row>
    <row r="1728" spans="40:55" ht="15.75" customHeight="1">
      <c r="AN1728" s="458"/>
      <c r="BC1728" s="169"/>
    </row>
    <row r="1729" spans="40:55" ht="15.75" customHeight="1">
      <c r="AN1729" s="458"/>
      <c r="BC1729" s="169"/>
    </row>
    <row r="1730" spans="40:55" ht="15.75" customHeight="1">
      <c r="AN1730" s="458"/>
      <c r="BC1730" s="169"/>
    </row>
    <row r="1731" spans="40:55" ht="15.75" customHeight="1">
      <c r="AN1731" s="458"/>
      <c r="BC1731" s="169"/>
    </row>
    <row r="1732" spans="40:55" ht="15.75" customHeight="1">
      <c r="AN1732" s="458"/>
      <c r="BC1732" s="169"/>
    </row>
    <row r="1733" spans="40:55" ht="15.75" customHeight="1">
      <c r="AN1733" s="458"/>
      <c r="BC1733" s="169"/>
    </row>
    <row r="1734" spans="40:55" ht="15.75" customHeight="1">
      <c r="AN1734" s="458"/>
      <c r="BC1734" s="169"/>
    </row>
    <row r="1735" spans="40:55" ht="15.75" customHeight="1">
      <c r="AN1735" s="458"/>
      <c r="BC1735" s="169"/>
    </row>
    <row r="1736" spans="40:55" ht="15.75" customHeight="1">
      <c r="AN1736" s="458"/>
      <c r="BC1736" s="169"/>
    </row>
    <row r="1737" spans="40:55" ht="15.75" customHeight="1">
      <c r="AN1737" s="458"/>
      <c r="BC1737" s="169"/>
    </row>
    <row r="1738" spans="40:55" ht="15.75" customHeight="1">
      <c r="AN1738" s="458"/>
      <c r="BC1738" s="169"/>
    </row>
    <row r="1739" spans="40:55" ht="15.75" customHeight="1">
      <c r="AN1739" s="458"/>
      <c r="BC1739" s="169"/>
    </row>
    <row r="1740" spans="40:55" ht="15.75" customHeight="1">
      <c r="AN1740" s="458"/>
      <c r="BC1740" s="169"/>
    </row>
    <row r="1741" spans="40:55" ht="15.75" customHeight="1">
      <c r="AN1741" s="458"/>
      <c r="BC1741" s="169"/>
    </row>
    <row r="1742" spans="40:55" ht="15.75" customHeight="1">
      <c r="AN1742" s="458"/>
      <c r="BC1742" s="169"/>
    </row>
    <row r="1743" spans="40:55" ht="15.75" customHeight="1">
      <c r="AN1743" s="458"/>
      <c r="BC1743" s="169"/>
    </row>
    <row r="1744" spans="40:55" ht="15.75" customHeight="1">
      <c r="AN1744" s="458"/>
      <c r="BC1744" s="169"/>
    </row>
    <row r="1745" spans="40:55" ht="15.75" customHeight="1">
      <c r="AN1745" s="458"/>
      <c r="BC1745" s="169"/>
    </row>
    <row r="1746" spans="40:55" ht="15.75" customHeight="1">
      <c r="AN1746" s="458"/>
      <c r="BC1746" s="169"/>
    </row>
    <row r="1747" spans="40:55" ht="15.75" customHeight="1">
      <c r="AN1747" s="458"/>
      <c r="BC1747" s="169"/>
    </row>
    <row r="1748" spans="40:55" ht="15.75" customHeight="1">
      <c r="AN1748" s="458"/>
      <c r="BC1748" s="169"/>
    </row>
    <row r="1749" spans="40:55" ht="15.75" customHeight="1">
      <c r="AN1749" s="458"/>
      <c r="BC1749" s="169"/>
    </row>
    <row r="1750" spans="40:55" ht="15.75" customHeight="1">
      <c r="AN1750" s="458"/>
      <c r="BC1750" s="169"/>
    </row>
    <row r="1751" spans="40:55" ht="15.75" customHeight="1">
      <c r="AN1751" s="458"/>
      <c r="BC1751" s="169"/>
    </row>
    <row r="1752" spans="40:55" ht="15.75" customHeight="1">
      <c r="AN1752" s="458"/>
      <c r="BC1752" s="169"/>
    </row>
    <row r="1753" spans="40:55" ht="15.75" customHeight="1">
      <c r="AN1753" s="458"/>
      <c r="BC1753" s="169"/>
    </row>
    <row r="1754" spans="40:55" ht="15.75" customHeight="1">
      <c r="AN1754" s="458"/>
      <c r="BC1754" s="169"/>
    </row>
    <row r="1755" spans="40:55" ht="15.75" customHeight="1">
      <c r="AN1755" s="458"/>
      <c r="BC1755" s="169"/>
    </row>
    <row r="1756" spans="40:55" ht="15.75" customHeight="1">
      <c r="AN1756" s="458"/>
      <c r="BC1756" s="169"/>
    </row>
    <row r="1757" spans="40:55" ht="15.75" customHeight="1">
      <c r="AN1757" s="458"/>
      <c r="BC1757" s="169"/>
    </row>
    <row r="1758" spans="40:55" ht="15.75" customHeight="1">
      <c r="AN1758" s="458"/>
      <c r="BC1758" s="169"/>
    </row>
    <row r="1759" spans="40:55" ht="15.75" customHeight="1">
      <c r="AN1759" s="458"/>
      <c r="BC1759" s="169"/>
    </row>
    <row r="1760" spans="40:55" ht="15.75" customHeight="1">
      <c r="AN1760" s="458"/>
      <c r="BC1760" s="169"/>
    </row>
    <row r="1761" spans="40:55" ht="15.75" customHeight="1">
      <c r="AN1761" s="458"/>
      <c r="BC1761" s="169"/>
    </row>
    <row r="1762" spans="40:55" ht="15.75" customHeight="1">
      <c r="AN1762" s="458"/>
      <c r="BC1762" s="169"/>
    </row>
    <row r="1763" spans="40:55" ht="15.75" customHeight="1">
      <c r="AN1763" s="458"/>
      <c r="BC1763" s="169"/>
    </row>
    <row r="1764" spans="40:55" ht="15.75" customHeight="1">
      <c r="AN1764" s="458"/>
      <c r="BC1764" s="169"/>
    </row>
    <row r="1765" spans="40:55" ht="15.75" customHeight="1">
      <c r="AN1765" s="458"/>
      <c r="BC1765" s="169"/>
    </row>
    <row r="1766" spans="40:55" ht="15.75" customHeight="1">
      <c r="AN1766" s="458"/>
      <c r="BC1766" s="169"/>
    </row>
    <row r="1767" spans="40:55" ht="15.75" customHeight="1">
      <c r="AN1767" s="458"/>
      <c r="BC1767" s="169"/>
    </row>
    <row r="1768" spans="40:55" ht="15.75" customHeight="1">
      <c r="AN1768" s="458"/>
      <c r="BC1768" s="169"/>
    </row>
    <row r="1769" spans="40:55" ht="15.75" customHeight="1">
      <c r="AN1769" s="458"/>
      <c r="BC1769" s="169"/>
    </row>
    <row r="1770" spans="40:55" ht="15.75" customHeight="1">
      <c r="AN1770" s="458"/>
      <c r="BC1770" s="169"/>
    </row>
    <row r="1771" spans="40:55" ht="15.75" customHeight="1">
      <c r="AN1771" s="458"/>
      <c r="BC1771" s="169"/>
    </row>
    <row r="1772" spans="40:55" ht="15.75" customHeight="1">
      <c r="AN1772" s="458"/>
      <c r="BC1772" s="169"/>
    </row>
    <row r="1773" spans="40:55" ht="15.75" customHeight="1">
      <c r="AN1773" s="458"/>
      <c r="BC1773" s="169"/>
    </row>
    <row r="1774" spans="40:55" ht="15.75" customHeight="1">
      <c r="AN1774" s="458"/>
      <c r="BC1774" s="169"/>
    </row>
    <row r="1775" spans="40:55" ht="15.75" customHeight="1">
      <c r="AN1775" s="458"/>
      <c r="BC1775" s="169"/>
    </row>
    <row r="1776" spans="40:55" ht="15.75" customHeight="1">
      <c r="AN1776" s="458"/>
      <c r="BC1776" s="169"/>
    </row>
    <row r="1777" spans="40:55" ht="15.75" customHeight="1">
      <c r="AN1777" s="458"/>
      <c r="BC1777" s="169"/>
    </row>
    <row r="1778" spans="40:55" ht="15.75" customHeight="1">
      <c r="AN1778" s="458"/>
      <c r="BC1778" s="169"/>
    </row>
    <row r="1779" spans="40:55" ht="15.75" customHeight="1">
      <c r="AN1779" s="458"/>
      <c r="BC1779" s="169"/>
    </row>
    <row r="1780" spans="40:55" ht="15.75" customHeight="1">
      <c r="AN1780" s="458"/>
      <c r="BC1780" s="169"/>
    </row>
    <row r="1781" spans="40:55" ht="15.75" customHeight="1">
      <c r="AN1781" s="458"/>
      <c r="BC1781" s="169"/>
    </row>
    <row r="1782" spans="40:55" ht="15.75" customHeight="1">
      <c r="AN1782" s="458"/>
      <c r="BC1782" s="169"/>
    </row>
    <row r="1783" spans="40:55" ht="15.75" customHeight="1">
      <c r="AN1783" s="458"/>
      <c r="BC1783" s="169"/>
    </row>
    <row r="1784" spans="40:55" ht="15.75" customHeight="1">
      <c r="AN1784" s="458"/>
      <c r="BC1784" s="169"/>
    </row>
    <row r="1785" spans="40:55" ht="15.75" customHeight="1">
      <c r="AN1785" s="458"/>
      <c r="BC1785" s="169"/>
    </row>
    <row r="1786" spans="40:55" ht="15.75" customHeight="1">
      <c r="AN1786" s="458"/>
      <c r="BC1786" s="169"/>
    </row>
    <row r="1787" spans="40:55" ht="15.75" customHeight="1">
      <c r="AN1787" s="458"/>
      <c r="BC1787" s="169"/>
    </row>
    <row r="1788" spans="40:55" ht="15.75" customHeight="1">
      <c r="AN1788" s="458"/>
      <c r="BC1788" s="169"/>
    </row>
    <row r="1789" spans="40:55" ht="15.75" customHeight="1">
      <c r="AN1789" s="458"/>
      <c r="BC1789" s="169"/>
    </row>
    <row r="1790" spans="40:55" ht="15.75" customHeight="1">
      <c r="AN1790" s="458"/>
      <c r="BC1790" s="169"/>
    </row>
    <row r="1791" spans="40:55" ht="15.75" customHeight="1">
      <c r="AN1791" s="458"/>
      <c r="BC1791" s="169"/>
    </row>
    <row r="1792" spans="40:55" ht="15.75" customHeight="1">
      <c r="AN1792" s="458"/>
      <c r="BC1792" s="169"/>
    </row>
    <row r="1793" spans="40:55" ht="15.75" customHeight="1">
      <c r="AN1793" s="458"/>
      <c r="BC1793" s="169"/>
    </row>
    <row r="1794" spans="40:55" ht="15.75" customHeight="1">
      <c r="AN1794" s="458"/>
      <c r="BC1794" s="169"/>
    </row>
    <row r="1795" spans="40:55" ht="15.75" customHeight="1">
      <c r="AN1795" s="458"/>
      <c r="BC1795" s="169"/>
    </row>
    <row r="1796" spans="40:55" ht="15.75" customHeight="1">
      <c r="AN1796" s="458"/>
      <c r="BC1796" s="169"/>
    </row>
    <row r="1797" spans="40:55" ht="15.75" customHeight="1">
      <c r="AN1797" s="458"/>
      <c r="BC1797" s="169"/>
    </row>
    <row r="1798" spans="40:55" ht="15.75" customHeight="1">
      <c r="AN1798" s="458"/>
      <c r="BC1798" s="169"/>
    </row>
    <row r="1799" spans="40:55" ht="15.75" customHeight="1">
      <c r="AN1799" s="458"/>
      <c r="BC1799" s="169"/>
    </row>
    <row r="1800" spans="40:55" ht="15.75" customHeight="1">
      <c r="AN1800" s="458"/>
      <c r="BC1800" s="169"/>
    </row>
    <row r="1801" spans="40:55" ht="15.75" customHeight="1">
      <c r="AN1801" s="458"/>
      <c r="BC1801" s="169"/>
    </row>
    <row r="1802" spans="40:55" ht="15.75" customHeight="1">
      <c r="AN1802" s="458"/>
      <c r="BC1802" s="169"/>
    </row>
    <row r="1803" spans="40:55" ht="15.75" customHeight="1">
      <c r="AN1803" s="458"/>
      <c r="BC1803" s="169"/>
    </row>
    <row r="1804" spans="40:55" ht="15.75" customHeight="1">
      <c r="AN1804" s="458"/>
      <c r="BC1804" s="169"/>
    </row>
    <row r="1805" spans="40:55" ht="15.75" customHeight="1">
      <c r="AN1805" s="458"/>
      <c r="BC1805" s="169"/>
    </row>
    <row r="1806" spans="40:55" ht="15.75" customHeight="1">
      <c r="AN1806" s="458"/>
      <c r="BC1806" s="169"/>
    </row>
    <row r="1807" spans="40:55" ht="15.75" customHeight="1">
      <c r="AN1807" s="458"/>
      <c r="BC1807" s="169"/>
    </row>
    <row r="1808" spans="40:55" ht="15.75" customHeight="1">
      <c r="AN1808" s="458"/>
      <c r="BC1808" s="169"/>
    </row>
    <row r="1809" spans="40:55" ht="15.75" customHeight="1">
      <c r="AN1809" s="458"/>
      <c r="BC1809" s="169"/>
    </row>
    <row r="1810" spans="40:55" ht="15.75" customHeight="1">
      <c r="AN1810" s="458"/>
      <c r="BC1810" s="169"/>
    </row>
    <row r="1811" spans="40:55" ht="15.75" customHeight="1">
      <c r="AN1811" s="458"/>
      <c r="BC1811" s="169"/>
    </row>
    <row r="1812" spans="40:55" ht="15.75" customHeight="1">
      <c r="AN1812" s="458"/>
      <c r="BC1812" s="169"/>
    </row>
    <row r="1813" spans="40:55" ht="15.75" customHeight="1">
      <c r="AN1813" s="458"/>
      <c r="BC1813" s="169"/>
    </row>
    <row r="1814" spans="40:55" ht="15.75" customHeight="1">
      <c r="AN1814" s="458"/>
      <c r="BC1814" s="169"/>
    </row>
    <row r="1815" spans="40:55" ht="15.75" customHeight="1">
      <c r="AN1815" s="458"/>
      <c r="BC1815" s="169"/>
    </row>
    <row r="1816" spans="40:55" ht="15.75" customHeight="1">
      <c r="AN1816" s="458"/>
      <c r="BC1816" s="169"/>
    </row>
    <row r="1817" spans="40:55" ht="15.75" customHeight="1">
      <c r="AN1817" s="458"/>
      <c r="BC1817" s="169"/>
    </row>
    <row r="1818" spans="40:55" ht="15.75" customHeight="1">
      <c r="AN1818" s="458"/>
      <c r="BC1818" s="169"/>
    </row>
    <row r="1819" spans="40:55" ht="15.75" customHeight="1">
      <c r="AN1819" s="458"/>
      <c r="BC1819" s="169"/>
    </row>
    <row r="1820" spans="40:55" ht="15.75" customHeight="1">
      <c r="AN1820" s="458"/>
      <c r="BC1820" s="169"/>
    </row>
    <row r="1821" spans="40:55" ht="15.75" customHeight="1">
      <c r="AN1821" s="458"/>
      <c r="BC1821" s="169"/>
    </row>
    <row r="1822" spans="40:55" ht="15.75" customHeight="1">
      <c r="AN1822" s="458"/>
      <c r="BC1822" s="169"/>
    </row>
    <row r="1823" spans="40:55" ht="15.75" customHeight="1">
      <c r="AN1823" s="458"/>
      <c r="BC1823" s="169"/>
    </row>
    <row r="1824" spans="40:55" ht="15.75" customHeight="1">
      <c r="AN1824" s="458"/>
      <c r="BC1824" s="169"/>
    </row>
    <row r="1825" spans="40:55" ht="15.75" customHeight="1">
      <c r="AN1825" s="458"/>
      <c r="BC1825" s="169"/>
    </row>
    <row r="1826" spans="40:55" ht="15.75" customHeight="1">
      <c r="AN1826" s="458"/>
      <c r="BC1826" s="169"/>
    </row>
    <row r="1827" spans="40:55" ht="15.75" customHeight="1">
      <c r="AN1827" s="458"/>
      <c r="BC1827" s="169"/>
    </row>
    <row r="1828" spans="40:55" ht="15.75" customHeight="1">
      <c r="AN1828" s="458"/>
      <c r="BC1828" s="169"/>
    </row>
    <row r="1829" spans="40:55" ht="15.75" customHeight="1">
      <c r="AN1829" s="458"/>
      <c r="BC1829" s="169"/>
    </row>
    <row r="1830" spans="40:55" ht="15.75" customHeight="1">
      <c r="AN1830" s="458"/>
      <c r="BC1830" s="169"/>
    </row>
    <row r="1831" spans="40:55" ht="15.75" customHeight="1">
      <c r="AN1831" s="458"/>
      <c r="BC1831" s="169"/>
    </row>
    <row r="1832" spans="40:55" ht="15.75" customHeight="1">
      <c r="AN1832" s="458"/>
      <c r="BC1832" s="169"/>
    </row>
    <row r="1833" spans="40:55" ht="15.75" customHeight="1">
      <c r="AN1833" s="458"/>
      <c r="BC1833" s="169"/>
    </row>
    <row r="1834" spans="40:55" ht="15.75" customHeight="1">
      <c r="AN1834" s="458"/>
      <c r="BC1834" s="169"/>
    </row>
    <row r="1835" spans="40:55" ht="15.75" customHeight="1">
      <c r="AN1835" s="458"/>
      <c r="BC1835" s="169"/>
    </row>
    <row r="1836" spans="40:55" ht="15.75" customHeight="1">
      <c r="AN1836" s="458"/>
      <c r="BC1836" s="169"/>
    </row>
    <row r="1837" spans="40:55" ht="15.75" customHeight="1">
      <c r="AN1837" s="458"/>
      <c r="BC1837" s="169"/>
    </row>
    <row r="1838" spans="40:55" ht="15.75" customHeight="1">
      <c r="AN1838" s="458"/>
      <c r="BC1838" s="169"/>
    </row>
    <row r="1839" spans="40:55" ht="15.75" customHeight="1">
      <c r="AN1839" s="458"/>
      <c r="BC1839" s="169"/>
    </row>
    <row r="1840" spans="40:55" ht="15.75" customHeight="1">
      <c r="AN1840" s="458"/>
      <c r="BC1840" s="169"/>
    </row>
    <row r="1841" spans="40:55" ht="15.75" customHeight="1">
      <c r="AN1841" s="458"/>
      <c r="BC1841" s="169"/>
    </row>
    <row r="1842" spans="40:55" ht="15.75" customHeight="1">
      <c r="AN1842" s="458"/>
      <c r="BC1842" s="169"/>
    </row>
    <row r="1843" spans="40:55" ht="15.75" customHeight="1">
      <c r="AN1843" s="458"/>
      <c r="BC1843" s="169"/>
    </row>
    <row r="1844" spans="40:55" ht="15.75" customHeight="1">
      <c r="AN1844" s="458"/>
      <c r="BC1844" s="169"/>
    </row>
    <row r="1845" spans="40:55" ht="15.75" customHeight="1">
      <c r="AN1845" s="458"/>
      <c r="BC1845" s="169"/>
    </row>
    <row r="1846" spans="40:55" ht="15.75" customHeight="1">
      <c r="AN1846" s="458"/>
      <c r="BC1846" s="169"/>
    </row>
    <row r="1847" spans="40:55" ht="15.75" customHeight="1">
      <c r="AN1847" s="458"/>
      <c r="BC1847" s="169"/>
    </row>
    <row r="1848" spans="40:55" ht="15.75" customHeight="1">
      <c r="AN1848" s="458"/>
      <c r="BC1848" s="169"/>
    </row>
    <row r="1849" spans="40:55" ht="15.75" customHeight="1">
      <c r="AN1849" s="458"/>
      <c r="BC1849" s="169"/>
    </row>
    <row r="1850" spans="40:55" ht="15.75" customHeight="1">
      <c r="AN1850" s="458"/>
      <c r="BC1850" s="169"/>
    </row>
    <row r="1851" spans="40:55" ht="15.75" customHeight="1">
      <c r="AN1851" s="458"/>
      <c r="BC1851" s="169"/>
    </row>
    <row r="1852" spans="40:55" ht="15.75" customHeight="1">
      <c r="AN1852" s="458"/>
      <c r="BC1852" s="169"/>
    </row>
    <row r="1853" spans="40:55" ht="15.75" customHeight="1">
      <c r="AN1853" s="458"/>
      <c r="BC1853" s="169"/>
    </row>
    <row r="1854" spans="40:55" ht="15.75" customHeight="1">
      <c r="AN1854" s="458"/>
      <c r="BC1854" s="169"/>
    </row>
    <row r="1855" spans="40:55" ht="15.75" customHeight="1">
      <c r="AN1855" s="458"/>
      <c r="BC1855" s="169"/>
    </row>
    <row r="1856" spans="40:55" ht="15.75" customHeight="1">
      <c r="AN1856" s="458"/>
      <c r="BC1856" s="169"/>
    </row>
    <row r="1857" spans="40:55" ht="15.75" customHeight="1">
      <c r="AN1857" s="458"/>
      <c r="BC1857" s="169"/>
    </row>
    <row r="1858" spans="40:55" ht="15.75" customHeight="1">
      <c r="AN1858" s="458"/>
      <c r="BC1858" s="169"/>
    </row>
    <row r="1859" spans="40:55" ht="15.75" customHeight="1">
      <c r="AN1859" s="458"/>
      <c r="BC1859" s="169"/>
    </row>
    <row r="1860" spans="40:55" ht="15.75" customHeight="1">
      <c r="AN1860" s="458"/>
      <c r="BC1860" s="169"/>
    </row>
    <row r="1861" spans="40:55" ht="15.75" customHeight="1">
      <c r="AN1861" s="458"/>
      <c r="BC1861" s="169"/>
    </row>
    <row r="1862" spans="40:55" ht="15.75" customHeight="1">
      <c r="AN1862" s="458"/>
      <c r="BC1862" s="169"/>
    </row>
    <row r="1863" spans="40:55" ht="15.75" customHeight="1">
      <c r="AN1863" s="458"/>
      <c r="BC1863" s="169"/>
    </row>
    <row r="1864" spans="40:55" ht="15.75" customHeight="1">
      <c r="AN1864" s="458"/>
      <c r="BC1864" s="169"/>
    </row>
    <row r="1865" spans="40:55" ht="15.75" customHeight="1">
      <c r="AN1865" s="458"/>
      <c r="BC1865" s="169"/>
    </row>
    <row r="1866" spans="40:55" ht="15.75" customHeight="1">
      <c r="AN1866" s="458"/>
      <c r="BC1866" s="169"/>
    </row>
    <row r="1867" spans="40:55" ht="15.75" customHeight="1">
      <c r="AN1867" s="458"/>
      <c r="BC1867" s="169"/>
    </row>
    <row r="1868" spans="40:55" ht="15.75" customHeight="1">
      <c r="AN1868" s="458"/>
      <c r="BC1868" s="169"/>
    </row>
    <row r="1869" spans="40:55" ht="15.75" customHeight="1">
      <c r="AN1869" s="458"/>
      <c r="BC1869" s="169"/>
    </row>
    <row r="1870" spans="40:55" ht="15.75" customHeight="1">
      <c r="AN1870" s="458"/>
      <c r="BC1870" s="169"/>
    </row>
    <row r="1871" spans="40:55" ht="15.75" customHeight="1">
      <c r="AN1871" s="458"/>
      <c r="BC1871" s="169"/>
    </row>
    <row r="1872" spans="40:55" ht="15.75" customHeight="1">
      <c r="AN1872" s="458"/>
      <c r="BC1872" s="169"/>
    </row>
    <row r="1873" spans="40:55" ht="15.75" customHeight="1">
      <c r="AN1873" s="458"/>
      <c r="BC1873" s="169"/>
    </row>
    <row r="1874" spans="40:55" ht="15.75" customHeight="1">
      <c r="AN1874" s="458"/>
      <c r="BC1874" s="169"/>
    </row>
    <row r="1875" spans="40:55" ht="15.75" customHeight="1">
      <c r="AN1875" s="458"/>
      <c r="BC1875" s="169"/>
    </row>
    <row r="1876" spans="40:55" ht="15.75" customHeight="1">
      <c r="AN1876" s="458"/>
      <c r="BC1876" s="169"/>
    </row>
    <row r="1877" spans="40:55" ht="15.75" customHeight="1">
      <c r="AN1877" s="458"/>
      <c r="BC1877" s="169"/>
    </row>
    <row r="1878" spans="40:55" ht="15.75" customHeight="1">
      <c r="AN1878" s="458"/>
      <c r="BC1878" s="169"/>
    </row>
    <row r="1879" spans="40:55" ht="15.75" customHeight="1">
      <c r="AN1879" s="458"/>
      <c r="BC1879" s="169"/>
    </row>
    <row r="1880" spans="40:55" ht="15.75" customHeight="1">
      <c r="AN1880" s="458"/>
      <c r="BC1880" s="169"/>
    </row>
    <row r="1881" spans="40:55" ht="15.75" customHeight="1">
      <c r="AN1881" s="458"/>
      <c r="BC1881" s="169"/>
    </row>
    <row r="1882" spans="40:55" ht="15.75" customHeight="1">
      <c r="AN1882" s="458"/>
      <c r="BC1882" s="169"/>
    </row>
    <row r="1883" spans="40:55" ht="15.75" customHeight="1">
      <c r="AN1883" s="458"/>
      <c r="BC1883" s="169"/>
    </row>
    <row r="1884" spans="40:55" ht="15.75" customHeight="1">
      <c r="AN1884" s="458"/>
      <c r="BC1884" s="169"/>
    </row>
    <row r="1885" spans="40:55" ht="15.75" customHeight="1">
      <c r="AN1885" s="458"/>
      <c r="BC1885" s="169"/>
    </row>
    <row r="1886" spans="40:55" ht="15.75" customHeight="1">
      <c r="AN1886" s="458"/>
      <c r="BC1886" s="169"/>
    </row>
    <row r="1887" spans="40:55" ht="15.75" customHeight="1">
      <c r="AN1887" s="458"/>
      <c r="BC1887" s="169"/>
    </row>
    <row r="1888" spans="40:55" ht="15.75" customHeight="1">
      <c r="AN1888" s="458"/>
      <c r="BC1888" s="169"/>
    </row>
    <row r="1889" spans="40:55" ht="15.75" customHeight="1">
      <c r="AN1889" s="458"/>
      <c r="BC1889" s="169"/>
    </row>
    <row r="1890" spans="40:55" ht="15.75" customHeight="1">
      <c r="AN1890" s="458"/>
      <c r="BC1890" s="169"/>
    </row>
    <row r="1891" spans="40:55" ht="15.75" customHeight="1">
      <c r="AN1891" s="458"/>
      <c r="BC1891" s="169"/>
    </row>
    <row r="1892" spans="40:55" ht="15.75" customHeight="1">
      <c r="AN1892" s="458"/>
      <c r="BC1892" s="169"/>
    </row>
    <row r="1893" spans="40:55" ht="15.75" customHeight="1">
      <c r="AN1893" s="458"/>
      <c r="BC1893" s="169"/>
    </row>
    <row r="1894" spans="40:55" ht="15.75" customHeight="1">
      <c r="AN1894" s="458"/>
      <c r="BC1894" s="169"/>
    </row>
    <row r="1895" spans="40:55" ht="15.75" customHeight="1">
      <c r="AN1895" s="458"/>
      <c r="BC1895" s="169"/>
    </row>
    <row r="1896" spans="40:55" ht="15.75" customHeight="1">
      <c r="AN1896" s="458"/>
      <c r="BC1896" s="169"/>
    </row>
    <row r="1897" spans="40:55" ht="15.75" customHeight="1">
      <c r="AN1897" s="458"/>
      <c r="BC1897" s="169"/>
    </row>
    <row r="1898" spans="40:55" ht="15.75" customHeight="1">
      <c r="AN1898" s="458"/>
      <c r="BC1898" s="169"/>
    </row>
    <row r="1899" spans="40:55" ht="15.75" customHeight="1">
      <c r="AN1899" s="458"/>
      <c r="BC1899" s="169"/>
    </row>
    <row r="1900" spans="40:55" ht="15.75" customHeight="1">
      <c r="AN1900" s="458"/>
      <c r="BC1900" s="169"/>
    </row>
    <row r="1901" spans="40:55" ht="15.75" customHeight="1">
      <c r="AN1901" s="458"/>
      <c r="BC1901" s="169"/>
    </row>
    <row r="1902" spans="40:55" ht="15.75" customHeight="1">
      <c r="AN1902" s="458"/>
      <c r="BC1902" s="169"/>
    </row>
    <row r="1903" spans="40:55" ht="15.75" customHeight="1">
      <c r="AN1903" s="458"/>
      <c r="BC1903" s="169"/>
    </row>
    <row r="1904" spans="40:55" ht="15.75" customHeight="1">
      <c r="AN1904" s="458"/>
      <c r="BC1904" s="169"/>
    </row>
    <row r="1905" spans="40:55" ht="15.75" customHeight="1">
      <c r="AN1905" s="458"/>
      <c r="BC1905" s="169"/>
    </row>
    <row r="1906" spans="40:55" ht="15.75" customHeight="1">
      <c r="AN1906" s="458"/>
      <c r="BC1906" s="169"/>
    </row>
    <row r="1907" spans="40:55" ht="15.75" customHeight="1">
      <c r="AN1907" s="458"/>
      <c r="BC1907" s="169"/>
    </row>
    <row r="1908" spans="40:55" ht="15.75" customHeight="1">
      <c r="AN1908" s="458"/>
      <c r="BC1908" s="169"/>
    </row>
    <row r="1909" spans="40:55" ht="15.75" customHeight="1">
      <c r="AN1909" s="458"/>
      <c r="BC1909" s="169"/>
    </row>
    <row r="1910" spans="40:55" ht="15.75" customHeight="1">
      <c r="AN1910" s="458"/>
      <c r="BC1910" s="169"/>
    </row>
    <row r="1911" spans="40:55" ht="15.75" customHeight="1">
      <c r="AN1911" s="458"/>
      <c r="BC1911" s="169"/>
    </row>
    <row r="1912" spans="40:55" ht="15.75" customHeight="1">
      <c r="AN1912" s="458"/>
      <c r="BC1912" s="169"/>
    </row>
    <row r="1913" spans="40:55" ht="15.75" customHeight="1">
      <c r="AN1913" s="458"/>
      <c r="BC1913" s="169"/>
    </row>
    <row r="1914" spans="40:55" ht="15.75" customHeight="1">
      <c r="AN1914" s="458"/>
      <c r="BC1914" s="169"/>
    </row>
    <row r="1915" spans="40:55" ht="15.75" customHeight="1">
      <c r="AN1915" s="458"/>
      <c r="BC1915" s="169"/>
    </row>
    <row r="1916" spans="40:55" ht="15.75" customHeight="1">
      <c r="AN1916" s="458"/>
      <c r="BC1916" s="169"/>
    </row>
    <row r="1917" spans="40:55" ht="15.75" customHeight="1">
      <c r="AN1917" s="458"/>
      <c r="BC1917" s="169"/>
    </row>
    <row r="1918" spans="40:55" ht="15.75" customHeight="1">
      <c r="AN1918" s="458"/>
      <c r="BC1918" s="169"/>
    </row>
    <row r="1919" spans="40:55" ht="15.75" customHeight="1">
      <c r="AN1919" s="458"/>
      <c r="BC1919" s="169"/>
    </row>
    <row r="1920" spans="40:55" ht="15.75" customHeight="1">
      <c r="AN1920" s="458"/>
      <c r="BC1920" s="169"/>
    </row>
    <row r="1921" spans="40:55" ht="15.75" customHeight="1">
      <c r="AN1921" s="458"/>
      <c r="BC1921" s="169"/>
    </row>
    <row r="1922" spans="40:55" ht="15.75" customHeight="1">
      <c r="AN1922" s="458"/>
      <c r="BC1922" s="169"/>
    </row>
    <row r="1923" spans="40:55" ht="15.75" customHeight="1">
      <c r="AN1923" s="458"/>
      <c r="BC1923" s="169"/>
    </row>
    <row r="1924" spans="40:55" ht="15.75" customHeight="1">
      <c r="AN1924" s="458"/>
      <c r="BC1924" s="169"/>
    </row>
    <row r="1925" spans="40:55" ht="15.75" customHeight="1">
      <c r="AN1925" s="458"/>
      <c r="BC1925" s="169"/>
    </row>
    <row r="1926" spans="40:55" ht="15.75" customHeight="1">
      <c r="AN1926" s="458"/>
      <c r="BC1926" s="169"/>
    </row>
    <row r="1927" spans="40:55" ht="15.75" customHeight="1">
      <c r="AN1927" s="458"/>
      <c r="BC1927" s="169"/>
    </row>
    <row r="1928" spans="40:55" ht="15.75" customHeight="1">
      <c r="AN1928" s="458"/>
      <c r="BC1928" s="169"/>
    </row>
    <row r="1929" spans="40:55" ht="15.75" customHeight="1">
      <c r="AN1929" s="458"/>
      <c r="BC1929" s="169"/>
    </row>
    <row r="1930" spans="40:55" ht="15.75" customHeight="1">
      <c r="AN1930" s="458"/>
      <c r="BC1930" s="169"/>
    </row>
    <row r="1931" spans="40:55" ht="15.75" customHeight="1">
      <c r="AN1931" s="458"/>
      <c r="BC1931" s="169"/>
    </row>
    <row r="1932" spans="40:55" ht="15.75" customHeight="1">
      <c r="AN1932" s="458"/>
      <c r="BC1932" s="169"/>
    </row>
    <row r="1933" spans="40:55" ht="15.75" customHeight="1">
      <c r="AN1933" s="458"/>
      <c r="BC1933" s="169"/>
    </row>
    <row r="1934" spans="40:55" ht="15.75" customHeight="1">
      <c r="AN1934" s="458"/>
      <c r="BC1934" s="169"/>
    </row>
    <row r="1935" spans="40:55" ht="15.75" customHeight="1">
      <c r="AN1935" s="458"/>
      <c r="BC1935" s="169"/>
    </row>
    <row r="1936" spans="40:55" ht="15.75" customHeight="1">
      <c r="AN1936" s="458"/>
      <c r="BC1936" s="169"/>
    </row>
    <row r="1937" spans="40:55" ht="15.75" customHeight="1">
      <c r="AN1937" s="458"/>
      <c r="BC1937" s="169"/>
    </row>
    <row r="1938" spans="40:55" ht="15.75" customHeight="1">
      <c r="AN1938" s="458"/>
      <c r="BC1938" s="169"/>
    </row>
    <row r="1939" spans="40:55" ht="15.75" customHeight="1">
      <c r="AN1939" s="458"/>
      <c r="BC1939" s="169"/>
    </row>
    <row r="1940" spans="40:55" ht="15.75" customHeight="1">
      <c r="AN1940" s="458"/>
      <c r="BC1940" s="169"/>
    </row>
    <row r="1941" spans="40:55" ht="15.75" customHeight="1">
      <c r="AN1941" s="458"/>
      <c r="BC1941" s="169"/>
    </row>
    <row r="1942" spans="40:55" ht="15.75" customHeight="1">
      <c r="AN1942" s="458"/>
      <c r="BC1942" s="169"/>
    </row>
    <row r="1943" spans="40:55" ht="15.75" customHeight="1">
      <c r="AN1943" s="458"/>
      <c r="BC1943" s="169"/>
    </row>
    <row r="1944" spans="40:55" ht="15.75" customHeight="1">
      <c r="AN1944" s="458"/>
      <c r="BC1944" s="169"/>
    </row>
    <row r="1945" spans="40:55" ht="15.75" customHeight="1">
      <c r="AN1945" s="458"/>
      <c r="BC1945" s="169"/>
    </row>
    <row r="1946" spans="40:55" ht="15.75" customHeight="1">
      <c r="AN1946" s="458"/>
      <c r="BC1946" s="169"/>
    </row>
    <row r="1947" spans="40:55" ht="15.75" customHeight="1">
      <c r="AN1947" s="458"/>
      <c r="BC1947" s="169"/>
    </row>
    <row r="1948" spans="40:55" ht="15.75" customHeight="1">
      <c r="AN1948" s="458"/>
      <c r="BC1948" s="169"/>
    </row>
    <row r="1949" spans="40:55" ht="15.75" customHeight="1">
      <c r="AN1949" s="458"/>
      <c r="BC1949" s="169"/>
    </row>
    <row r="1950" spans="40:55" ht="15.75" customHeight="1">
      <c r="AN1950" s="458"/>
      <c r="BC1950" s="169"/>
    </row>
    <row r="1951" spans="40:55" ht="15.75" customHeight="1">
      <c r="AN1951" s="458"/>
      <c r="BC1951" s="169"/>
    </row>
    <row r="1952" spans="40:55" ht="15.75" customHeight="1">
      <c r="AN1952" s="458"/>
      <c r="BC1952" s="169"/>
    </row>
    <row r="1953" spans="40:55" ht="15.75" customHeight="1">
      <c r="AN1953" s="458"/>
      <c r="BC1953" s="169"/>
    </row>
    <row r="1954" spans="40:55" ht="15.75" customHeight="1">
      <c r="AN1954" s="458"/>
      <c r="BC1954" s="169"/>
    </row>
    <row r="1955" spans="40:55" ht="15.75" customHeight="1">
      <c r="AN1955" s="458"/>
      <c r="BC1955" s="169"/>
    </row>
    <row r="1956" spans="40:55" ht="15.75" customHeight="1">
      <c r="AN1956" s="458"/>
      <c r="BC1956" s="169"/>
    </row>
    <row r="1957" spans="40:55" ht="15.75" customHeight="1">
      <c r="AN1957" s="458"/>
      <c r="BC1957" s="169"/>
    </row>
    <row r="1958" spans="40:55" ht="15.75" customHeight="1">
      <c r="AN1958" s="458"/>
      <c r="BC1958" s="169"/>
    </row>
    <row r="1959" spans="40:55" ht="15.75" customHeight="1">
      <c r="AN1959" s="458"/>
      <c r="BC1959" s="169"/>
    </row>
    <row r="1960" spans="40:55" ht="15.75" customHeight="1">
      <c r="AN1960" s="458"/>
      <c r="BC1960" s="169"/>
    </row>
    <row r="1961" spans="40:55" ht="15.75" customHeight="1">
      <c r="AN1961" s="458"/>
      <c r="BC1961" s="169"/>
    </row>
    <row r="1962" spans="40:55" ht="15.75" customHeight="1">
      <c r="AN1962" s="458"/>
      <c r="BC1962" s="169"/>
    </row>
    <row r="1963" spans="40:55" ht="15.75" customHeight="1">
      <c r="AN1963" s="458"/>
      <c r="BC1963" s="169"/>
    </row>
    <row r="1964" spans="40:55" ht="15.75" customHeight="1">
      <c r="AN1964" s="458"/>
      <c r="BC1964" s="169"/>
    </row>
    <row r="1965" spans="40:55" ht="15.75" customHeight="1">
      <c r="AN1965" s="458"/>
      <c r="BC1965" s="169"/>
    </row>
    <row r="1966" spans="40:55" ht="15.75" customHeight="1">
      <c r="AN1966" s="458"/>
      <c r="BC1966" s="169"/>
    </row>
    <row r="1967" spans="40:55" ht="15.75" customHeight="1">
      <c r="AN1967" s="458"/>
      <c r="BC1967" s="169"/>
    </row>
    <row r="1968" spans="40:55" ht="15.75" customHeight="1">
      <c r="AN1968" s="458"/>
      <c r="BC1968" s="169"/>
    </row>
    <row r="1969" spans="40:55" ht="15.75" customHeight="1">
      <c r="AN1969" s="458"/>
      <c r="BC1969" s="169"/>
    </row>
    <row r="1970" spans="40:55" ht="15.75" customHeight="1">
      <c r="AN1970" s="458"/>
      <c r="BC1970" s="169"/>
    </row>
    <row r="1971" spans="40:55" ht="15.75" customHeight="1">
      <c r="AN1971" s="458"/>
      <c r="BC1971" s="169"/>
    </row>
    <row r="1972" spans="40:55" ht="15.75" customHeight="1">
      <c r="AN1972" s="458"/>
      <c r="BC1972" s="169"/>
    </row>
    <row r="1973" spans="40:55" ht="15.75" customHeight="1">
      <c r="AN1973" s="458"/>
      <c r="BC1973" s="169"/>
    </row>
    <row r="1974" spans="40:55" ht="15.75" customHeight="1">
      <c r="AN1974" s="458"/>
      <c r="BC1974" s="169"/>
    </row>
    <row r="1975" spans="40:55" ht="15.75" customHeight="1">
      <c r="AN1975" s="458"/>
      <c r="BC1975" s="169"/>
    </row>
    <row r="1976" spans="40:55" ht="15.75" customHeight="1">
      <c r="AN1976" s="458"/>
      <c r="BC1976" s="169"/>
    </row>
    <row r="1977" spans="40:55" ht="15.75" customHeight="1">
      <c r="AN1977" s="458"/>
      <c r="BC1977" s="169"/>
    </row>
    <row r="1978" spans="40:55" ht="15.75" customHeight="1">
      <c r="AN1978" s="458"/>
      <c r="BC1978" s="169"/>
    </row>
    <row r="1979" spans="40:55" ht="15.75" customHeight="1">
      <c r="AN1979" s="458"/>
      <c r="BC1979" s="169"/>
    </row>
    <row r="1980" spans="40:55" ht="15.75" customHeight="1">
      <c r="AN1980" s="458"/>
      <c r="BC1980" s="169"/>
    </row>
    <row r="1981" spans="40:55" ht="15.75" customHeight="1">
      <c r="AN1981" s="458"/>
      <c r="BC1981" s="169"/>
    </row>
    <row r="1982" spans="40:55" ht="15.75" customHeight="1">
      <c r="AN1982" s="458"/>
      <c r="BC1982" s="169"/>
    </row>
    <row r="1983" spans="40:55" ht="15.75" customHeight="1">
      <c r="AN1983" s="458"/>
      <c r="BC1983" s="169"/>
    </row>
    <row r="1984" spans="40:55" ht="15.75" customHeight="1">
      <c r="AN1984" s="458"/>
      <c r="BC1984" s="169"/>
    </row>
    <row r="1985" spans="40:55" ht="15.75" customHeight="1">
      <c r="AN1985" s="458"/>
      <c r="BC1985" s="169"/>
    </row>
    <row r="1986" spans="40:55" ht="15.75" customHeight="1">
      <c r="AN1986" s="458"/>
      <c r="BC1986" s="169"/>
    </row>
    <row r="1987" spans="40:55" ht="15.75" customHeight="1">
      <c r="AN1987" s="458"/>
      <c r="BC1987" s="169"/>
    </row>
    <row r="1988" spans="40:55" ht="15.75" customHeight="1">
      <c r="AN1988" s="458"/>
      <c r="BC1988" s="169"/>
    </row>
    <row r="1989" spans="40:55" ht="15.75" customHeight="1">
      <c r="AN1989" s="458"/>
      <c r="BC1989" s="169"/>
    </row>
    <row r="1990" spans="40:55" ht="15.75" customHeight="1">
      <c r="AN1990" s="458"/>
      <c r="BC1990" s="169"/>
    </row>
    <row r="1991" spans="40:55" ht="15.75" customHeight="1">
      <c r="AN1991" s="458"/>
      <c r="BC1991" s="169"/>
    </row>
    <row r="1992" spans="40:55" ht="15.75" customHeight="1">
      <c r="AN1992" s="458"/>
      <c r="BC1992" s="169"/>
    </row>
    <row r="1993" spans="40:55" ht="15.75" customHeight="1">
      <c r="AN1993" s="458"/>
      <c r="BC1993" s="169"/>
    </row>
    <row r="1994" spans="40:55" ht="15.75" customHeight="1">
      <c r="AN1994" s="458"/>
      <c r="BC1994" s="169"/>
    </row>
    <row r="1995" spans="40:55" ht="15.75" customHeight="1">
      <c r="AN1995" s="458"/>
      <c r="BC1995" s="169"/>
    </row>
    <row r="1996" spans="40:55" ht="15.75" customHeight="1">
      <c r="AN1996" s="458"/>
      <c r="BC1996" s="169"/>
    </row>
    <row r="1997" spans="40:55" ht="15.75" customHeight="1">
      <c r="AN1997" s="458"/>
      <c r="BC1997" s="169"/>
    </row>
    <row r="1998" spans="40:55" ht="15.75" customHeight="1">
      <c r="AN1998" s="458"/>
      <c r="BC1998" s="169"/>
    </row>
    <row r="1999" spans="40:55" ht="15.75" customHeight="1">
      <c r="AN1999" s="458"/>
      <c r="BC1999" s="169"/>
    </row>
    <row r="2000" spans="40:55" ht="15.75" customHeight="1">
      <c r="AN2000" s="458"/>
    </row>
    <row r="2001" spans="40:40" ht="15.75" customHeight="1">
      <c r="AN2001" s="458"/>
    </row>
    <row r="2002" spans="40:40" ht="15.75" customHeight="1">
      <c r="AN2002" s="458"/>
    </row>
    <row r="2003" spans="40:40" ht="15.75" customHeight="1">
      <c r="AN2003" s="458"/>
    </row>
    <row r="2004" spans="40:40" ht="15.75" customHeight="1">
      <c r="AN2004" s="458"/>
    </row>
    <row r="2005" spans="40:40" ht="15.75" customHeight="1">
      <c r="AN2005" s="458"/>
    </row>
    <row r="2006" spans="40:40" ht="15.75" customHeight="1">
      <c r="AN2006" s="458"/>
    </row>
    <row r="2007" spans="40:40" ht="15.75" customHeight="1">
      <c r="AN2007" s="458"/>
    </row>
    <row r="2008" spans="40:40" ht="15.75" customHeight="1">
      <c r="AN2008" s="458"/>
    </row>
    <row r="2009" spans="40:40" ht="15.75" customHeight="1">
      <c r="AN2009" s="458"/>
    </row>
    <row r="2010" spans="40:40" ht="15.75" customHeight="1">
      <c r="AN2010" s="458"/>
    </row>
    <row r="2011" spans="40:40" ht="15.75" customHeight="1">
      <c r="AN2011" s="458"/>
    </row>
    <row r="2012" spans="40:40" ht="15.75" customHeight="1">
      <c r="AN2012" s="458"/>
    </row>
    <row r="2013" spans="40:40" ht="15.75" customHeight="1">
      <c r="AN2013" s="458"/>
    </row>
    <row r="2014" spans="40:40" ht="15.75" customHeight="1">
      <c r="AN2014" s="458"/>
    </row>
    <row r="2015" spans="40:40" ht="15.75" customHeight="1">
      <c r="AN2015" s="458"/>
    </row>
    <row r="2016" spans="40:40" ht="15.75" customHeight="1">
      <c r="AN2016" s="458"/>
    </row>
    <row r="2017" spans="40:40" ht="15.75" customHeight="1">
      <c r="AN2017" s="458"/>
    </row>
    <row r="2018" spans="40:40" ht="15.75" customHeight="1">
      <c r="AN2018" s="458"/>
    </row>
    <row r="2019" spans="40:40" ht="15.75" customHeight="1">
      <c r="AN2019" s="458"/>
    </row>
    <row r="2020" spans="40:40" ht="15.75" customHeight="1">
      <c r="AN2020" s="458"/>
    </row>
    <row r="2021" spans="40:40" ht="15.75" customHeight="1">
      <c r="AN2021" s="458"/>
    </row>
    <row r="2022" spans="40:40" ht="15.75" customHeight="1">
      <c r="AN2022" s="458"/>
    </row>
    <row r="2023" spans="40:40" ht="15.75" customHeight="1">
      <c r="AN2023" s="458"/>
    </row>
    <row r="2024" spans="40:40" ht="15.75" customHeight="1">
      <c r="AN2024" s="458"/>
    </row>
    <row r="2025" spans="40:40" ht="15.75" customHeight="1">
      <c r="AN2025" s="458"/>
    </row>
    <row r="2026" spans="40:40" ht="15.75" customHeight="1">
      <c r="AN2026" s="458"/>
    </row>
    <row r="2027" spans="40:40" ht="15.75" customHeight="1">
      <c r="AN2027" s="458"/>
    </row>
    <row r="2028" spans="40:40" ht="15.75" customHeight="1">
      <c r="AN2028" s="458"/>
    </row>
    <row r="2029" spans="40:40" ht="15.75" customHeight="1">
      <c r="AN2029" s="458"/>
    </row>
    <row r="2030" spans="40:40" ht="15.75" customHeight="1">
      <c r="AN2030" s="458"/>
    </row>
    <row r="2031" spans="40:40" ht="15.75" customHeight="1">
      <c r="AN2031" s="458"/>
    </row>
    <row r="2032" spans="40:40" ht="15.75" customHeight="1">
      <c r="AN2032" s="458"/>
    </row>
    <row r="2033" spans="40:40" ht="15.75" customHeight="1">
      <c r="AN2033" s="458"/>
    </row>
    <row r="2034" spans="40:40" ht="15.75" customHeight="1">
      <c r="AN2034" s="458"/>
    </row>
    <row r="2035" spans="40:40" ht="15.75" customHeight="1">
      <c r="AN2035" s="458"/>
    </row>
    <row r="2036" spans="40:40" ht="15.75" customHeight="1">
      <c r="AN2036" s="458"/>
    </row>
    <row r="2037" spans="40:40" ht="15.75" customHeight="1">
      <c r="AN2037" s="458"/>
    </row>
    <row r="2038" spans="40:40" ht="15.75" customHeight="1">
      <c r="AN2038" s="458"/>
    </row>
    <row r="2039" spans="40:40" ht="15.75" customHeight="1">
      <c r="AN2039" s="458"/>
    </row>
    <row r="2040" spans="40:40" ht="15.75" customHeight="1">
      <c r="AN2040" s="458"/>
    </row>
    <row r="2041" spans="40:40" ht="15.75" customHeight="1">
      <c r="AN2041" s="458"/>
    </row>
    <row r="2042" spans="40:40" ht="15.75" customHeight="1">
      <c r="AN2042" s="458"/>
    </row>
    <row r="2043" spans="40:40" ht="15.75" customHeight="1">
      <c r="AN2043" s="458"/>
    </row>
    <row r="2044" spans="40:40" ht="15.75" customHeight="1">
      <c r="AN2044" s="458"/>
    </row>
    <row r="2045" spans="40:40" ht="15.75" customHeight="1">
      <c r="AN2045" s="458"/>
    </row>
    <row r="2046" spans="40:40" ht="15.75" customHeight="1">
      <c r="AN2046" s="458"/>
    </row>
    <row r="2047" spans="40:40" ht="15.75" customHeight="1">
      <c r="AN2047" s="458"/>
    </row>
    <row r="2048" spans="40:40" ht="15.75" customHeight="1">
      <c r="AN2048" s="458"/>
    </row>
    <row r="2049" spans="40:40" ht="15.75" customHeight="1">
      <c r="AN2049" s="458"/>
    </row>
    <row r="2050" spans="40:40" ht="15.75" customHeight="1">
      <c r="AN2050" s="458"/>
    </row>
    <row r="2051" spans="40:40" ht="15.75" customHeight="1">
      <c r="AN2051" s="458"/>
    </row>
    <row r="2052" spans="40:40" ht="15.75" customHeight="1">
      <c r="AN2052" s="458"/>
    </row>
    <row r="2053" spans="40:40" ht="15.75" customHeight="1">
      <c r="AN2053" s="458"/>
    </row>
    <row r="2054" spans="40:40" ht="15.75" customHeight="1">
      <c r="AN2054" s="458"/>
    </row>
    <row r="2055" spans="40:40" ht="15.75" customHeight="1">
      <c r="AN2055" s="458"/>
    </row>
    <row r="2056" spans="40:40" ht="15.75" customHeight="1">
      <c r="AN2056" s="458"/>
    </row>
    <row r="2057" spans="40:40" ht="15.75" customHeight="1">
      <c r="AN2057" s="458"/>
    </row>
    <row r="2058" spans="40:40" ht="15.75" customHeight="1">
      <c r="AN2058" s="458"/>
    </row>
    <row r="2059" spans="40:40" ht="15.75" customHeight="1">
      <c r="AN2059" s="458"/>
    </row>
    <row r="2060" spans="40:40" ht="15.75" customHeight="1">
      <c r="AN2060" s="458"/>
    </row>
    <row r="2061" spans="40:40" ht="15.75" customHeight="1">
      <c r="AN2061" s="458"/>
    </row>
    <row r="2062" spans="40:40" ht="15.75" customHeight="1">
      <c r="AN2062" s="458"/>
    </row>
    <row r="2063" spans="40:40" ht="15.75" customHeight="1">
      <c r="AN2063" s="458"/>
    </row>
    <row r="2064" spans="40:40" ht="15.75" customHeight="1">
      <c r="AN2064" s="458"/>
    </row>
    <row r="2065" spans="40:40" ht="15.75" customHeight="1">
      <c r="AN2065" s="458"/>
    </row>
    <row r="2066" spans="40:40" ht="15.75" customHeight="1">
      <c r="AN2066" s="458"/>
    </row>
    <row r="2067" spans="40:40" ht="15.75" customHeight="1">
      <c r="AN2067" s="458"/>
    </row>
    <row r="2068" spans="40:40" ht="15.75" customHeight="1">
      <c r="AN2068" s="458"/>
    </row>
    <row r="2069" spans="40:40" ht="15.75" customHeight="1">
      <c r="AN2069" s="458"/>
    </row>
    <row r="2070" spans="40:40" ht="15.75" customHeight="1">
      <c r="AN2070" s="458"/>
    </row>
    <row r="2071" spans="40:40" ht="15.75" customHeight="1">
      <c r="AN2071" s="458"/>
    </row>
    <row r="2072" spans="40:40" ht="15.75" customHeight="1">
      <c r="AN2072" s="458"/>
    </row>
    <row r="2073" spans="40:40" ht="15.75" customHeight="1">
      <c r="AN2073" s="458"/>
    </row>
    <row r="2074" spans="40:40" ht="15.75" customHeight="1">
      <c r="AN2074" s="458"/>
    </row>
    <row r="2075" spans="40:40" ht="15.75" customHeight="1">
      <c r="AN2075" s="458"/>
    </row>
    <row r="2076" spans="40:40" ht="15.75" customHeight="1">
      <c r="AN2076" s="458"/>
    </row>
    <row r="2077" spans="40:40" ht="15.75" customHeight="1">
      <c r="AN2077" s="458"/>
    </row>
    <row r="2078" spans="40:40" ht="15.75" customHeight="1">
      <c r="AN2078" s="458"/>
    </row>
    <row r="2079" spans="40:40" ht="15.75" customHeight="1">
      <c r="AN2079" s="458"/>
    </row>
    <row r="2080" spans="40:40" ht="15.75" customHeight="1">
      <c r="AN2080" s="458"/>
    </row>
    <row r="2081" spans="40:40" ht="15.75" customHeight="1">
      <c r="AN2081" s="458"/>
    </row>
    <row r="2082" spans="40:40" ht="15.75" customHeight="1">
      <c r="AN2082" s="458"/>
    </row>
    <row r="2083" spans="40:40" ht="15.75" customHeight="1">
      <c r="AN2083" s="458"/>
    </row>
    <row r="2084" spans="40:40" ht="15.75" customHeight="1">
      <c r="AN2084" s="458"/>
    </row>
    <row r="2085" spans="40:40" ht="15.75" customHeight="1">
      <c r="AN2085" s="458"/>
    </row>
    <row r="2086" spans="40:40" ht="15.75" customHeight="1">
      <c r="AN2086" s="458"/>
    </row>
    <row r="2087" spans="40:40" ht="15.75" customHeight="1">
      <c r="AN2087" s="458"/>
    </row>
    <row r="2088" spans="40:40" ht="15.75" customHeight="1">
      <c r="AN2088" s="458"/>
    </row>
    <row r="2089" spans="40:40" ht="15.75" customHeight="1">
      <c r="AN2089" s="458"/>
    </row>
    <row r="2090" spans="40:40" ht="15.75" customHeight="1">
      <c r="AN2090" s="458"/>
    </row>
    <row r="2091" spans="40:40" ht="15.75" customHeight="1">
      <c r="AN2091" s="458"/>
    </row>
    <row r="2092" spans="40:40" ht="15.75" customHeight="1">
      <c r="AN2092" s="458"/>
    </row>
    <row r="2093" spans="40:40" ht="15.75" customHeight="1">
      <c r="AN2093" s="458"/>
    </row>
    <row r="2094" spans="40:40" ht="15.75" customHeight="1">
      <c r="AN2094" s="458"/>
    </row>
    <row r="2095" spans="40:40" ht="15.75" customHeight="1">
      <c r="AN2095" s="458"/>
    </row>
    <row r="2096" spans="40:40" ht="15.75" customHeight="1">
      <c r="AN2096" s="458"/>
    </row>
    <row r="2097" spans="40:40" ht="15.75" customHeight="1">
      <c r="AN2097" s="458"/>
    </row>
    <row r="2098" spans="40:40" ht="15.75" customHeight="1">
      <c r="AN2098" s="458"/>
    </row>
    <row r="2099" spans="40:40" ht="15.75" customHeight="1">
      <c r="AN2099" s="458"/>
    </row>
    <row r="2100" spans="40:40" ht="15.75" customHeight="1">
      <c r="AN2100" s="458"/>
    </row>
    <row r="2101" spans="40:40" ht="15.75" customHeight="1">
      <c r="AN2101" s="458"/>
    </row>
    <row r="2102" spans="40:40" ht="15.75" customHeight="1">
      <c r="AN2102" s="458"/>
    </row>
    <row r="2103" spans="40:40" ht="15.75" customHeight="1">
      <c r="AN2103" s="458"/>
    </row>
    <row r="2104" spans="40:40" ht="15.75" customHeight="1">
      <c r="AN2104" s="458"/>
    </row>
    <row r="2105" spans="40:40" ht="15.75" customHeight="1">
      <c r="AN2105" s="458"/>
    </row>
    <row r="2106" spans="40:40" ht="15.75" customHeight="1">
      <c r="AN2106" s="458"/>
    </row>
    <row r="2107" spans="40:40" ht="15.75" customHeight="1">
      <c r="AN2107" s="458"/>
    </row>
    <row r="2108" spans="40:40" ht="15.75" customHeight="1">
      <c r="AN2108" s="458"/>
    </row>
    <row r="2109" spans="40:40" ht="15.75" customHeight="1">
      <c r="AN2109" s="458"/>
    </row>
    <row r="2110" spans="40:40" ht="15.75" customHeight="1">
      <c r="AN2110" s="458"/>
    </row>
    <row r="2111" spans="40:40" ht="15.75" customHeight="1">
      <c r="AN2111" s="458"/>
    </row>
    <row r="2112" spans="40:40" ht="15.75" customHeight="1">
      <c r="AN2112" s="458"/>
    </row>
    <row r="2113" spans="40:40" ht="15.75" customHeight="1">
      <c r="AN2113" s="458"/>
    </row>
    <row r="2114" spans="40:40" ht="15.75" customHeight="1">
      <c r="AN2114" s="458"/>
    </row>
    <row r="2115" spans="40:40" ht="15.75" customHeight="1">
      <c r="AN2115" s="458"/>
    </row>
    <row r="2116" spans="40:40" ht="15.75" customHeight="1">
      <c r="AN2116" s="458"/>
    </row>
    <row r="2117" spans="40:40" ht="15.75" customHeight="1">
      <c r="AN2117" s="458"/>
    </row>
    <row r="2118" spans="40:40" ht="15.75" customHeight="1">
      <c r="AN2118" s="458"/>
    </row>
    <row r="2119" spans="40:40" ht="15.75" customHeight="1">
      <c r="AN2119" s="458"/>
    </row>
    <row r="2120" spans="40:40" ht="15.75" customHeight="1">
      <c r="AN2120" s="458"/>
    </row>
    <row r="2121" spans="40:40" ht="15.75" customHeight="1">
      <c r="AN2121" s="458"/>
    </row>
    <row r="2122" spans="40:40" ht="15.75" customHeight="1">
      <c r="AN2122" s="458"/>
    </row>
    <row r="2123" spans="40:40" ht="15.75" customHeight="1">
      <c r="AN2123" s="458"/>
    </row>
    <row r="2124" spans="40:40" ht="15.75" customHeight="1">
      <c r="AN2124" s="458"/>
    </row>
    <row r="2125" spans="40:40" ht="15.75" customHeight="1">
      <c r="AN2125" s="458"/>
    </row>
    <row r="2126" spans="40:40" ht="15.75" customHeight="1">
      <c r="AN2126" s="458"/>
    </row>
    <row r="2127" spans="40:40" ht="15.75" customHeight="1">
      <c r="AN2127" s="458"/>
    </row>
    <row r="2128" spans="40:40" ht="15.75" customHeight="1">
      <c r="AN2128" s="458"/>
    </row>
    <row r="2129" spans="40:40" ht="15.75" customHeight="1">
      <c r="AN2129" s="458"/>
    </row>
    <row r="2130" spans="40:40" ht="15.75" customHeight="1">
      <c r="AN2130" s="458"/>
    </row>
    <row r="2131" spans="40:40" ht="15.75" customHeight="1">
      <c r="AN2131" s="458"/>
    </row>
    <row r="2132" spans="40:40" ht="15.75" customHeight="1">
      <c r="AN2132" s="458"/>
    </row>
    <row r="2133" spans="40:40" ht="15.75" customHeight="1">
      <c r="AN2133" s="458"/>
    </row>
    <row r="2134" spans="40:40" ht="15.75" customHeight="1">
      <c r="AN2134" s="458"/>
    </row>
    <row r="2135" spans="40:40" ht="15.75" customHeight="1">
      <c r="AN2135" s="458"/>
    </row>
    <row r="2136" spans="40:40" ht="15.75" customHeight="1">
      <c r="AN2136" s="458"/>
    </row>
    <row r="2137" spans="40:40" ht="15.75" customHeight="1">
      <c r="AN2137" s="458"/>
    </row>
    <row r="2138" spans="40:40" ht="15.75" customHeight="1">
      <c r="AN2138" s="458"/>
    </row>
    <row r="2139" spans="40:40" ht="15.75" customHeight="1">
      <c r="AN2139" s="458"/>
    </row>
    <row r="2140" spans="40:40" ht="15.75" customHeight="1">
      <c r="AN2140" s="458"/>
    </row>
    <row r="2141" spans="40:40" ht="15.75" customHeight="1">
      <c r="AN2141" s="458"/>
    </row>
    <row r="2142" spans="40:40" ht="15.75" customHeight="1">
      <c r="AN2142" s="458"/>
    </row>
    <row r="2143" spans="40:40" ht="15.75" customHeight="1">
      <c r="AN2143" s="458"/>
    </row>
    <row r="2144" spans="40:40" ht="15.75" customHeight="1">
      <c r="AN2144" s="458"/>
    </row>
    <row r="2145" spans="40:40" ht="15.75" customHeight="1">
      <c r="AN2145" s="458"/>
    </row>
    <row r="2146" spans="40:40" ht="15.75" customHeight="1">
      <c r="AN2146" s="458"/>
    </row>
    <row r="2147" spans="40:40" ht="15.75" customHeight="1">
      <c r="AN2147" s="458"/>
    </row>
    <row r="2148" spans="40:40" ht="15.75" customHeight="1">
      <c r="AN2148" s="458"/>
    </row>
    <row r="2149" spans="40:40" ht="15.75" customHeight="1">
      <c r="AN2149" s="458"/>
    </row>
    <row r="2150" spans="40:40" ht="15.75" customHeight="1">
      <c r="AN2150" s="458"/>
    </row>
    <row r="2151" spans="40:40" ht="15.75" customHeight="1">
      <c r="AN2151" s="458"/>
    </row>
    <row r="2152" spans="40:40" ht="15.75" customHeight="1">
      <c r="AN2152" s="458"/>
    </row>
    <row r="2153" spans="40:40" ht="15.75" customHeight="1">
      <c r="AN2153" s="458"/>
    </row>
    <row r="2154" spans="40:40" ht="15.75" customHeight="1">
      <c r="AN2154" s="458"/>
    </row>
    <row r="2155" spans="40:40" ht="15.75" customHeight="1">
      <c r="AN2155" s="458"/>
    </row>
    <row r="2156" spans="40:40" ht="15.75" customHeight="1">
      <c r="AN2156" s="458"/>
    </row>
    <row r="2157" spans="40:40" ht="15.75" customHeight="1">
      <c r="AN2157" s="458"/>
    </row>
    <row r="2158" spans="40:40" ht="15.75" customHeight="1">
      <c r="AN2158" s="458"/>
    </row>
    <row r="2159" spans="40:40" ht="15.75" customHeight="1">
      <c r="AN2159" s="458"/>
    </row>
    <row r="2160" spans="40:40" ht="15.75" customHeight="1">
      <c r="AN2160" s="458"/>
    </row>
    <row r="2161" spans="40:40" ht="15.75" customHeight="1">
      <c r="AN2161" s="458"/>
    </row>
    <row r="2162" spans="40:40" ht="15.75" customHeight="1">
      <c r="AN2162" s="458"/>
    </row>
    <row r="2163" spans="40:40" ht="15.75" customHeight="1">
      <c r="AN2163" s="458"/>
    </row>
    <row r="2164" spans="40:40" ht="15.75" customHeight="1">
      <c r="AN2164" s="458"/>
    </row>
    <row r="2165" spans="40:40" ht="15.75" customHeight="1">
      <c r="AN2165" s="458"/>
    </row>
  </sheetData>
  <autoFilter ref="A2:BG43" xr:uid="{00000000-0009-0000-0000-000018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autoFilter>
  <mergeCells count="10">
    <mergeCell ref="BD1:BG1"/>
    <mergeCell ref="AN2:AP2"/>
    <mergeCell ref="AQ2:AS2"/>
    <mergeCell ref="AT2:AV2"/>
    <mergeCell ref="A1:BB1"/>
    <mergeCell ref="N2:P2"/>
    <mergeCell ref="T2:V2"/>
    <mergeCell ref="W2:Y2"/>
    <mergeCell ref="Z2:AB2"/>
    <mergeCell ref="AC2:AE2"/>
  </mergeCells>
  <conditionalFormatting sqref="B11:BA35">
    <cfRule type="expression" dxfId="525" priority="21">
      <formula>$AY11="N.D."</formula>
    </cfRule>
  </conditionalFormatting>
  <conditionalFormatting sqref="B11:BA35">
    <cfRule type="expression" dxfId="524" priority="20">
      <formula>$M11="NON DEFINED"</formula>
    </cfRule>
  </conditionalFormatting>
  <conditionalFormatting sqref="BE11:BG11 BD15:BG15 BE13 BG13 BD17:BG17 BE19 BG19 BG21 BG29 BG31 BE21 BE29 BE31 BE33 BE35">
    <cfRule type="containsBlanks" dxfId="523" priority="19">
      <formula>LEN(TRIM(BD11))=0</formula>
    </cfRule>
  </conditionalFormatting>
  <conditionalFormatting sqref="BC11:BC35 BC44:BC1999">
    <cfRule type="containsText" dxfId="522" priority="17" operator="containsText" text="a">
      <formula>NOT(ISERROR(SEARCH("a",BC11)))</formula>
    </cfRule>
    <cfRule type="containsText" dxfId="521" priority="18" operator="containsText" text="R">
      <formula>NOT(ISERROR(SEARCH("R",BC11)))</formula>
    </cfRule>
  </conditionalFormatting>
  <conditionalFormatting sqref="BA4:BA43">
    <cfRule type="expression" dxfId="520" priority="16">
      <formula>$BC4="R"</formula>
    </cfRule>
  </conditionalFormatting>
  <conditionalFormatting sqref="B4:BA10 BC4:BG10 B36:BA43 BC36:BG43">
    <cfRule type="expression" dxfId="519" priority="14">
      <formula>$M4="NON DEFINED"</formula>
    </cfRule>
    <cfRule type="expression" dxfId="518" priority="15">
      <formula>$AY4="N.D."</formula>
    </cfRule>
  </conditionalFormatting>
  <conditionalFormatting sqref="A4:BG10">
    <cfRule type="cellIs" dxfId="517" priority="12" operator="equal">
      <formula>0</formula>
    </cfRule>
  </conditionalFormatting>
  <conditionalFormatting sqref="A36:BG43">
    <cfRule type="cellIs" dxfId="516" priority="8" operator="equal">
      <formula>0</formula>
    </cfRule>
  </conditionalFormatting>
  <conditionalFormatting sqref="AN4:AN43">
    <cfRule type="cellIs" dxfId="515" priority="7" operator="notEqual">
      <formula>5.5</formula>
    </cfRule>
  </conditionalFormatting>
  <conditionalFormatting sqref="BE23">
    <cfRule type="containsBlanks" dxfId="514" priority="6">
      <formula>LEN(TRIM(BE23))=0</formula>
    </cfRule>
  </conditionalFormatting>
  <conditionalFormatting sqref="BE25">
    <cfRule type="containsBlanks" dxfId="513" priority="5">
      <formula>LEN(TRIM(BE25))=0</formula>
    </cfRule>
  </conditionalFormatting>
  <conditionalFormatting sqref="BE27">
    <cfRule type="containsBlanks" dxfId="512" priority="4">
      <formula>LEN(TRIM(BE27))=0</formula>
    </cfRule>
  </conditionalFormatting>
  <conditionalFormatting sqref="BG23 BG25 BG27">
    <cfRule type="containsBlanks" dxfId="511" priority="3">
      <formula>LEN(TRIM(BG23))=0</formula>
    </cfRule>
  </conditionalFormatting>
  <conditionalFormatting sqref="BG33">
    <cfRule type="containsBlanks" dxfId="510" priority="2">
      <formula>LEN(TRIM(BG33))=0</formula>
    </cfRule>
  </conditionalFormatting>
  <conditionalFormatting sqref="BG35">
    <cfRule type="containsBlanks" dxfId="509" priority="1">
      <formula>LEN(TRIM(BG35))=0</formula>
    </cfRule>
  </conditionalFormatting>
  <printOptions horizontalCentered="1" gridLines="1"/>
  <pageMargins left="0.39370078740157483" right="0.39370078740157483" top="0.78740157480314965" bottom="0.78740157480314965" header="0.31496062992125984" footer="0.31496062992125984"/>
  <pageSetup paperSize="8" scale="79" fitToHeight="0" orientation="landscape" r:id="rId1"/>
  <headerFooter alignWithMargins="0">
    <oddHeader>&amp;L&amp;G&amp;C
LAYOUT AND EQUIPMENT
EP06 TRACK 3 TSA
KP92+700 - 93+478&amp;R&amp;G</oddHeader>
    <oddFooter>&amp;L&amp;G
&amp;F&amp;C&amp;D&amp;RPag &amp;P of &amp;N</oddFooter>
  </headerFooter>
  <legacyDrawingHF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24">
    <tabColor theme="4"/>
    <pageSetUpPr fitToPage="1"/>
  </sheetPr>
  <dimension ref="A1:BG2165"/>
  <sheetViews>
    <sheetView view="pageBreakPreview" zoomScale="80" zoomScaleNormal="85" zoomScaleSheetLayoutView="80" workbookViewId="0">
      <pane xSplit="5" ySplit="3" topLeftCell="F4" activePane="bottomRight" state="frozen"/>
      <selection activeCell="G124" sqref="G124"/>
      <selection pane="topRight" activeCell="G124" sqref="G124"/>
      <selection pane="bottomLeft" activeCell="G124" sqref="G124"/>
      <selection pane="bottomRight" activeCell="G124" sqref="G124"/>
    </sheetView>
  </sheetViews>
  <sheetFormatPr baseColWidth="10" defaultColWidth="11.453125" defaultRowHeight="15.75" customHeight="1"/>
  <cols>
    <col min="1" max="1" width="20.6328125" style="178" customWidth="1"/>
    <col min="2" max="2" width="12.6328125" style="178" customWidth="1"/>
    <col min="3" max="3" width="12.6328125" style="184" customWidth="1"/>
    <col min="4" max="5" width="12.6328125" style="178" hidden="1" customWidth="1"/>
    <col min="6" max="6" width="12.6328125" style="178" customWidth="1"/>
    <col min="7" max="7" width="12.6328125" style="454" customWidth="1"/>
    <col min="8" max="8" width="18.6328125" style="178" customWidth="1"/>
    <col min="9" max="9" width="12.6328125" style="178" customWidth="1"/>
    <col min="10" max="10" width="12.6328125" style="184" customWidth="1"/>
    <col min="11" max="11" width="12.6328125" style="178" customWidth="1"/>
    <col min="12" max="13" width="14.6328125" style="178" customWidth="1"/>
    <col min="14" max="16" width="8.6328125" style="178" hidden="1" customWidth="1"/>
    <col min="17" max="19" width="12.6328125" style="178" hidden="1" customWidth="1"/>
    <col min="20" max="28" width="8.6328125" style="178" hidden="1" customWidth="1"/>
    <col min="29" max="31" width="10.6328125" style="178" hidden="1" customWidth="1"/>
    <col min="32" max="32" width="13.54296875" style="178" hidden="1" customWidth="1"/>
    <col min="33" max="33" width="12.6328125" style="184" hidden="1" customWidth="1"/>
    <col min="34" max="36" width="12.6328125" style="178" hidden="1" customWidth="1"/>
    <col min="37" max="39" width="12.6328125" style="178" customWidth="1"/>
    <col min="40" max="42" width="8.6328125" style="169" hidden="1" customWidth="1"/>
    <col min="43" max="46" width="8.6328125" style="458" hidden="1" customWidth="1"/>
    <col min="47" max="48" width="8.6328125" style="169" hidden="1" customWidth="1"/>
    <col min="49" max="50" width="12.6328125" style="169" customWidth="1"/>
    <col min="51" max="52" width="12.6328125" style="458" customWidth="1"/>
    <col min="53" max="53" width="12.6328125" style="169" customWidth="1"/>
    <col min="54" max="54" width="21.6328125" style="178" hidden="1" customWidth="1"/>
    <col min="55" max="55" width="18" style="178" customWidth="1"/>
    <col min="56" max="59" width="14.54296875" style="1323" customWidth="1"/>
    <col min="60" max="60" width="11.453125" style="178" customWidth="1"/>
    <col min="61" max="16384" width="11.453125" style="178"/>
  </cols>
  <sheetData>
    <row r="1" spans="1:59" ht="35.25" customHeight="1">
      <c r="A1" s="1615" t="s">
        <v>2429</v>
      </c>
      <c r="B1" s="1615"/>
      <c r="C1" s="1615"/>
      <c r="D1" s="1615"/>
      <c r="E1" s="1615"/>
      <c r="F1" s="1615"/>
      <c r="G1" s="1615"/>
      <c r="H1" s="1615"/>
      <c r="I1" s="1615"/>
      <c r="J1" s="1615"/>
      <c r="K1" s="1615"/>
      <c r="L1" s="1615"/>
      <c r="M1" s="1615"/>
      <c r="N1" s="1615"/>
      <c r="O1" s="1615"/>
      <c r="P1" s="1615"/>
      <c r="Q1" s="1615"/>
      <c r="R1" s="1615"/>
      <c r="S1" s="1615"/>
      <c r="T1" s="1615"/>
      <c r="U1" s="1615"/>
      <c r="V1" s="1615"/>
      <c r="W1" s="1615"/>
      <c r="X1" s="1615"/>
      <c r="Y1" s="1615"/>
      <c r="Z1" s="1615"/>
      <c r="AA1" s="1615"/>
      <c r="AB1" s="1615"/>
      <c r="AC1" s="1615"/>
      <c r="AD1" s="1615"/>
      <c r="AE1" s="1615"/>
      <c r="AF1" s="1615"/>
      <c r="AG1" s="1615"/>
      <c r="AH1" s="1615"/>
      <c r="AI1" s="1615"/>
      <c r="AJ1" s="1615"/>
      <c r="AK1" s="1615"/>
      <c r="AL1" s="1615"/>
      <c r="AM1" s="1615"/>
      <c r="AN1" s="1615"/>
      <c r="AO1" s="1615"/>
      <c r="AP1" s="1615"/>
      <c r="AQ1" s="1615"/>
      <c r="AR1" s="1615"/>
      <c r="AS1" s="1615"/>
      <c r="AT1" s="1615"/>
      <c r="AU1" s="1615"/>
      <c r="AV1" s="1615"/>
      <c r="AW1" s="1615"/>
      <c r="AX1" s="1615"/>
      <c r="AY1" s="1615"/>
      <c r="AZ1" s="1615"/>
      <c r="BA1" s="1615"/>
      <c r="BB1" s="1615"/>
      <c r="BC1" s="693" t="s">
        <v>4947</v>
      </c>
      <c r="BD1" s="1599" t="s">
        <v>4916</v>
      </c>
      <c r="BE1" s="1599"/>
      <c r="BF1" s="1599"/>
      <c r="BG1" s="1599"/>
    </row>
    <row r="2" spans="1:59" s="699" customFormat="1" ht="42" customHeight="1">
      <c r="A2" s="1259" t="s">
        <v>4417</v>
      </c>
      <c r="B2" s="1259" t="s">
        <v>4418</v>
      </c>
      <c r="C2" s="954" t="s">
        <v>2315</v>
      </c>
      <c r="D2" s="1259" t="s">
        <v>4419</v>
      </c>
      <c r="E2" s="1259" t="s">
        <v>4855</v>
      </c>
      <c r="F2" s="1259" t="s">
        <v>4856</v>
      </c>
      <c r="G2" s="1260" t="s">
        <v>4857</v>
      </c>
      <c r="H2" s="1259" t="s">
        <v>455</v>
      </c>
      <c r="I2" s="1259" t="s">
        <v>454</v>
      </c>
      <c r="J2" s="1259" t="s">
        <v>4423</v>
      </c>
      <c r="K2" s="1259" t="s">
        <v>1362</v>
      </c>
      <c r="L2" s="1259" t="s">
        <v>456</v>
      </c>
      <c r="M2" s="1259" t="s">
        <v>453</v>
      </c>
      <c r="N2" s="1613" t="s">
        <v>457</v>
      </c>
      <c r="O2" s="1613"/>
      <c r="P2" s="1613"/>
      <c r="Q2" s="1259" t="s">
        <v>4858</v>
      </c>
      <c r="R2" s="1259" t="s">
        <v>4859</v>
      </c>
      <c r="S2" s="1259" t="s">
        <v>4860</v>
      </c>
      <c r="T2" s="1613" t="s">
        <v>4861</v>
      </c>
      <c r="U2" s="1613"/>
      <c r="V2" s="1613"/>
      <c r="W2" s="1613" t="s">
        <v>4862</v>
      </c>
      <c r="X2" s="1613"/>
      <c r="Y2" s="1613"/>
      <c r="Z2" s="1613" t="s">
        <v>4863</v>
      </c>
      <c r="AA2" s="1613"/>
      <c r="AB2" s="1613"/>
      <c r="AC2" s="1613" t="s">
        <v>628</v>
      </c>
      <c r="AD2" s="1613"/>
      <c r="AE2" s="1613"/>
      <c r="AF2" s="1259" t="s">
        <v>4872</v>
      </c>
      <c r="AG2" s="954" t="s">
        <v>4864</v>
      </c>
      <c r="AH2" s="1259" t="s">
        <v>4865</v>
      </c>
      <c r="AI2" s="1259" t="s">
        <v>4866</v>
      </c>
      <c r="AJ2" s="1259" t="s">
        <v>629</v>
      </c>
      <c r="AK2" s="1259" t="s">
        <v>458</v>
      </c>
      <c r="AL2" s="1259" t="s">
        <v>459</v>
      </c>
      <c r="AM2" s="1259" t="s">
        <v>631</v>
      </c>
      <c r="AN2" s="1613" t="s">
        <v>4867</v>
      </c>
      <c r="AO2" s="1613"/>
      <c r="AP2" s="1613"/>
      <c r="AQ2" s="1614" t="s">
        <v>460</v>
      </c>
      <c r="AR2" s="1614"/>
      <c r="AS2" s="1614"/>
      <c r="AT2" s="1613" t="s">
        <v>630</v>
      </c>
      <c r="AU2" s="1613"/>
      <c r="AV2" s="1613"/>
      <c r="AW2" s="1259" t="s">
        <v>4868</v>
      </c>
      <c r="AX2" s="1259" t="s">
        <v>4904</v>
      </c>
      <c r="AY2" s="1260" t="s">
        <v>4869</v>
      </c>
      <c r="AZ2" s="1260" t="s">
        <v>4870</v>
      </c>
      <c r="BA2" s="1259" t="s">
        <v>1670</v>
      </c>
      <c r="BB2" s="1259" t="s">
        <v>4871</v>
      </c>
      <c r="BC2" s="693" t="s">
        <v>4948</v>
      </c>
      <c r="BD2" s="1320" t="s">
        <v>453</v>
      </c>
      <c r="BE2" s="1320" t="s">
        <v>4922</v>
      </c>
      <c r="BF2" s="1320" t="s">
        <v>4915</v>
      </c>
      <c r="BG2" s="1320" t="s">
        <v>457</v>
      </c>
    </row>
    <row r="3" spans="1:59" ht="15.75" customHeight="1">
      <c r="A3" s="1239"/>
      <c r="B3" s="1239"/>
      <c r="C3" s="171"/>
      <c r="D3" s="1239"/>
      <c r="E3" s="1239"/>
      <c r="F3" s="172"/>
      <c r="G3" s="455"/>
      <c r="H3" s="1239"/>
      <c r="I3" s="1239"/>
      <c r="J3" s="171"/>
      <c r="K3" s="1239"/>
      <c r="L3" s="1239"/>
      <c r="M3" s="1239"/>
      <c r="N3" s="694" t="s">
        <v>123</v>
      </c>
      <c r="O3" s="694" t="s">
        <v>124</v>
      </c>
      <c r="P3" s="694" t="s">
        <v>125</v>
      </c>
      <c r="Q3" s="1239"/>
      <c r="R3" s="1239"/>
      <c r="S3" s="1239"/>
      <c r="T3" s="695" t="s">
        <v>126</v>
      </c>
      <c r="U3" s="695" t="s">
        <v>127</v>
      </c>
      <c r="V3" s="695" t="s">
        <v>128</v>
      </c>
      <c r="W3" s="695" t="s">
        <v>129</v>
      </c>
      <c r="X3" s="695" t="s">
        <v>130</v>
      </c>
      <c r="Y3" s="695" t="s">
        <v>131</v>
      </c>
      <c r="Z3" s="695" t="s">
        <v>132</v>
      </c>
      <c r="AA3" s="695" t="s">
        <v>133</v>
      </c>
      <c r="AB3" s="695" t="s">
        <v>134</v>
      </c>
      <c r="AC3" s="695" t="s">
        <v>135</v>
      </c>
      <c r="AD3" s="695" t="s">
        <v>136</v>
      </c>
      <c r="AE3" s="695" t="s">
        <v>137</v>
      </c>
      <c r="AF3" s="1239"/>
      <c r="AG3" s="171"/>
      <c r="AH3" s="1239"/>
      <c r="AI3" s="1239"/>
      <c r="AJ3" s="1239"/>
      <c r="AK3" s="1239"/>
      <c r="AL3" s="1239"/>
      <c r="AM3" s="1239"/>
      <c r="AN3" s="695" t="s">
        <v>129</v>
      </c>
      <c r="AO3" s="695" t="s">
        <v>130</v>
      </c>
      <c r="AP3" s="695" t="s">
        <v>131</v>
      </c>
      <c r="AQ3" s="696" t="s">
        <v>613</v>
      </c>
      <c r="AR3" s="696" t="s">
        <v>614</v>
      </c>
      <c r="AS3" s="696" t="s">
        <v>615</v>
      </c>
      <c r="AT3" s="696" t="s">
        <v>616</v>
      </c>
      <c r="AU3" s="695" t="s">
        <v>617</v>
      </c>
      <c r="AV3" s="695" t="s">
        <v>618</v>
      </c>
      <c r="AW3" s="1239"/>
      <c r="AX3" s="1239"/>
      <c r="AY3" s="455"/>
      <c r="AZ3" s="455"/>
      <c r="BA3" s="1239"/>
      <c r="BB3" s="1239"/>
      <c r="BD3" s="1239"/>
      <c r="BE3" s="1239"/>
      <c r="BF3" s="1239"/>
      <c r="BG3" s="1239"/>
    </row>
    <row r="4" spans="1:59" ht="15.75" customHeight="1">
      <c r="A4" s="501">
        <f>'HR Track 2 HER-TSA '!A343</f>
        <v>0</v>
      </c>
      <c r="B4" s="716" t="str">
        <f>'HR Track 2 HER-TSA '!B343</f>
        <v>92-2.20</v>
      </c>
      <c r="C4" s="451">
        <f>'HR Track 2 HER-TSA '!C343</f>
        <v>92665.050000000017</v>
      </c>
      <c r="D4" s="453">
        <f>'HR Track 2 HER-TSA '!D343</f>
        <v>0</v>
      </c>
      <c r="E4" s="452">
        <f>'HR Track 2 HER-TSA '!E343</f>
        <v>0</v>
      </c>
      <c r="F4" s="453">
        <f>'HR Track 2 HER-TSA '!F343</f>
        <v>1150</v>
      </c>
      <c r="G4" s="500">
        <f>'HR Track 2 HER-TSA '!G343</f>
        <v>0</v>
      </c>
      <c r="H4" s="453" t="str">
        <f>'HR Track 2 HER-TSA '!H343</f>
        <v>S/A</v>
      </c>
      <c r="I4" s="501">
        <f>'HR Track 2 HER-TSA '!I343</f>
        <v>0</v>
      </c>
      <c r="J4" s="583">
        <f>'HR Track 2 HER-TSA '!J343</f>
        <v>0</v>
      </c>
      <c r="K4" s="452">
        <f>'HR Track 2 HER-TSA '!K343</f>
        <v>0</v>
      </c>
      <c r="L4" s="452">
        <f>'HR Track 2 HER-TSA '!L343</f>
        <v>0</v>
      </c>
      <c r="M4" s="452">
        <f>'HR Track 2 HER-TSA '!M343</f>
        <v>0</v>
      </c>
      <c r="N4" s="501" t="str">
        <f>'HR Track 2 HER-TSA '!N343</f>
        <v>EMT-TP</v>
      </c>
      <c r="O4" s="501" t="str">
        <f>'HR Track 2 HER-TSA '!O343</f>
        <v>EMT-2P</v>
      </c>
      <c r="P4" s="501">
        <f>'HR Track 2 HER-TSA '!P343</f>
        <v>0</v>
      </c>
      <c r="Q4" s="452">
        <f>'HR Track 2 HER-TSA '!Q343</f>
        <v>20</v>
      </c>
      <c r="R4" s="452">
        <f>'HR Track 2 HER-TSA '!R343</f>
        <v>1150</v>
      </c>
      <c r="S4" s="500">
        <f>'HR Track 2 HER-TSA '!S343</f>
        <v>0</v>
      </c>
      <c r="T4" s="452">
        <f>'HR Track 2 HER-TSA '!T343</f>
        <v>45</v>
      </c>
      <c r="U4" s="452">
        <f>'HR Track 2 HER-TSA '!U343</f>
        <v>30</v>
      </c>
      <c r="V4" s="452">
        <f>'HR Track 2 HER-TSA '!V343</f>
        <v>0</v>
      </c>
      <c r="W4" s="452">
        <f>'HR Track 2 HER-TSA '!W343</f>
        <v>1.4</v>
      </c>
      <c r="X4" s="452">
        <f>'HR Track 2 HER-TSA '!X343</f>
        <v>2.2999999999999998</v>
      </c>
      <c r="Y4" s="452">
        <f>'HR Track 2 HER-TSA '!Y343</f>
        <v>0</v>
      </c>
      <c r="Z4" s="452">
        <f>'HR Track 2 HER-TSA '!Z343</f>
        <v>0.51</v>
      </c>
      <c r="AA4" s="452">
        <f>'HR Track 2 HER-TSA '!AA343</f>
        <v>0</v>
      </c>
      <c r="AB4" s="452">
        <f>'HR Track 2 HER-TSA '!AB343</f>
        <v>0</v>
      </c>
      <c r="AC4" s="452" t="str">
        <f>'HR Track 2 HER-TSA '!AC343</f>
        <v>PHC-1150</v>
      </c>
      <c r="AD4" s="452">
        <f>'HR Track 2 HER-TSA '!AD343</f>
        <v>0</v>
      </c>
      <c r="AE4" s="452">
        <f>'HR Track 2 HER-TSA '!AE343</f>
        <v>0</v>
      </c>
      <c r="AF4" s="452">
        <f>'HR Track 2 HER-TSA '!AF343</f>
        <v>200</v>
      </c>
      <c r="AG4" s="451">
        <f>'HR Track 2 HER-TSA '!AG343</f>
        <v>92665</v>
      </c>
      <c r="AH4" s="452">
        <f>'HR Track 2 HER-TSA '!AH343</f>
        <v>1833</v>
      </c>
      <c r="AI4" s="452">
        <f>'HR Track 2 HER-TSA '!AI343</f>
        <v>-5110</v>
      </c>
      <c r="AJ4" s="452">
        <f>'HR Track 2 HER-TSA '!AJ343</f>
        <v>0</v>
      </c>
      <c r="AK4" s="452" t="str">
        <f>'HR Track 2 HER-TSA '!AK343</f>
        <v>S2</v>
      </c>
      <c r="AL4" s="452">
        <f>'HR Track 2 HER-TSA '!AL343</f>
        <v>0</v>
      </c>
      <c r="AM4" s="452">
        <f>'HR Track 2 HER-TSA '!AM343</f>
        <v>0</v>
      </c>
      <c r="AN4" s="500">
        <f>'HR Track 2 HER-TSA '!AN343</f>
        <v>5.44</v>
      </c>
      <c r="AO4" s="452">
        <f>'HR Track 2 HER-TSA '!AO343</f>
        <v>0</v>
      </c>
      <c r="AP4" s="452">
        <f>'HR Track 2 HER-TSA '!AP343</f>
        <v>0</v>
      </c>
      <c r="AQ4" s="452">
        <f>'HR Track 2 HER-TSA '!AQ343</f>
        <v>0</v>
      </c>
      <c r="AR4" s="452">
        <f>'HR Track 2 HER-TSA '!AR343</f>
        <v>0</v>
      </c>
      <c r="AS4" s="452">
        <f>'HR Track 2 HER-TSA '!AS343</f>
        <v>0</v>
      </c>
      <c r="AT4" s="452">
        <f>'HR Track 2 HER-TSA '!AT343</f>
        <v>3.5727465833543457</v>
      </c>
      <c r="AU4" s="452">
        <f>'HR Track 2 HER-TSA '!AU343</f>
        <v>0</v>
      </c>
      <c r="AV4" s="452">
        <f>'HR Track 2 HER-TSA '!AV343</f>
        <v>0</v>
      </c>
      <c r="AW4" s="452">
        <f>'HR Track 2 HER-TSA '!AW343</f>
        <v>0</v>
      </c>
      <c r="AX4" s="452">
        <f>'HR Track 2 HER-TSA '!AX343</f>
        <v>0</v>
      </c>
      <c r="AY4" s="500">
        <f>'HR Track 2 HER-TSA '!AY343</f>
        <v>0</v>
      </c>
      <c r="AZ4" s="500">
        <f>'HR Track 2 HER-TSA '!AZ343</f>
        <v>0</v>
      </c>
      <c r="BA4" s="1333">
        <f>'HR Track 2 HER-TSA '!BA343</f>
        <v>0</v>
      </c>
      <c r="BB4" s="452">
        <f>'HR Track 2 HER-TSA '!BB343</f>
        <v>0</v>
      </c>
      <c r="BC4" s="1334">
        <f>'HR Track 2 HER-TSA '!BC343</f>
        <v>0</v>
      </c>
      <c r="BD4" s="1335">
        <f>'HR Track 2 HER-TSA '!BD343</f>
        <v>0</v>
      </c>
      <c r="BE4" s="1335">
        <f>'HR Track 2 HER-TSA '!BE343</f>
        <v>0</v>
      </c>
      <c r="BF4" s="1335">
        <f>'HR Track 2 HER-TSA '!BF343</f>
        <v>0</v>
      </c>
      <c r="BG4" s="1335">
        <v>0</v>
      </c>
    </row>
    <row r="5" spans="1:59" ht="15.75" customHeight="1">
      <c r="A5" s="449"/>
      <c r="B5" s="485"/>
      <c r="C5" s="446"/>
      <c r="D5" s="638"/>
      <c r="E5" s="638"/>
      <c r="F5" s="447"/>
      <c r="G5" s="484">
        <v>53.6</v>
      </c>
      <c r="H5" s="1239"/>
      <c r="I5" s="172"/>
      <c r="J5" s="446"/>
      <c r="K5" s="638"/>
      <c r="L5" s="638"/>
      <c r="M5" s="638"/>
      <c r="N5" s="577"/>
      <c r="O5" s="577"/>
      <c r="P5" s="577"/>
      <c r="Q5" s="574"/>
      <c r="R5" s="574"/>
      <c r="S5" s="576">
        <f>AG6-AG4</f>
        <v>53</v>
      </c>
      <c r="T5" s="574"/>
      <c r="U5" s="574"/>
      <c r="V5" s="574"/>
      <c r="W5" s="574"/>
      <c r="X5" s="574"/>
      <c r="Y5" s="574"/>
      <c r="Z5" s="574"/>
      <c r="AA5" s="574"/>
      <c r="AB5" s="638"/>
      <c r="AC5" s="638"/>
      <c r="AD5" s="638"/>
      <c r="AE5" s="638"/>
      <c r="AF5" s="638"/>
      <c r="AG5" s="446"/>
      <c r="AH5" s="638"/>
      <c r="AI5" s="638"/>
      <c r="AJ5" s="638"/>
      <c r="AK5" s="638"/>
      <c r="AL5" s="638"/>
      <c r="AM5" s="638"/>
      <c r="AN5" s="484"/>
      <c r="AO5" s="1239"/>
      <c r="AP5" s="1239"/>
      <c r="AQ5" s="484">
        <f>+FL_1($U$6,$U$4,$G$5,1200,9.28,-1*$F$6)</f>
        <v>0.57771946666666663</v>
      </c>
      <c r="AR5" s="484"/>
      <c r="AS5" s="484"/>
      <c r="AT5" s="484"/>
      <c r="AU5" s="638"/>
      <c r="AV5" s="638"/>
      <c r="AW5" s="638"/>
      <c r="AX5" s="638"/>
      <c r="AY5" s="484"/>
      <c r="AZ5" s="484"/>
      <c r="BA5" s="671"/>
      <c r="BB5" s="449"/>
      <c r="BC5" s="169"/>
      <c r="BD5" s="1330"/>
      <c r="BE5" s="1330"/>
      <c r="BF5" s="1330"/>
      <c r="BG5" s="1330"/>
    </row>
    <row r="6" spans="1:59" ht="15.75" customHeight="1">
      <c r="A6" s="449" t="s">
        <v>2935</v>
      </c>
      <c r="B6" s="485" t="s">
        <v>2390</v>
      </c>
      <c r="C6" s="446">
        <f>+$C$4+$G$5</f>
        <v>92718.650000000023</v>
      </c>
      <c r="D6" s="638"/>
      <c r="E6" s="638"/>
      <c r="F6" s="447">
        <v>0</v>
      </c>
      <c r="G6" s="484"/>
      <c r="H6" s="1239" t="s">
        <v>2505</v>
      </c>
      <c r="I6" s="172"/>
      <c r="J6" s="446"/>
      <c r="K6" s="638"/>
      <c r="L6" s="638" t="s">
        <v>1698</v>
      </c>
      <c r="M6" s="638" t="str">
        <f>IF(AX6="PT",VLOOKUP(L6,'Foundation Calculation'!$V$2:$X$40,VLOOKUP(AX6,'Foundation Calculation'!$I$10:$J$13,2,FALSE),0),IF(AX6="K",VLOOKUP(L6,'Foundation Calculation'!$V$42:$X$80,VLOOKUP(AX6,'Foundation Calculation'!$I$10:$J$13,2,FALSE),0),""))</f>
        <v>2C4R</v>
      </c>
      <c r="N6" s="1239" t="s">
        <v>143</v>
      </c>
      <c r="O6" s="1239" t="s">
        <v>144</v>
      </c>
      <c r="P6" s="1239"/>
      <c r="Q6" s="638">
        <v>0</v>
      </c>
      <c r="R6" s="638">
        <v>0</v>
      </c>
      <c r="S6" s="484"/>
      <c r="T6" s="638">
        <v>15</v>
      </c>
      <c r="U6" s="638">
        <v>30</v>
      </c>
      <c r="V6" s="638"/>
      <c r="W6" s="638">
        <v>2.2999999999999998</v>
      </c>
      <c r="X6" s="638">
        <v>1.4</v>
      </c>
      <c r="Y6" s="638"/>
      <c r="Z6" s="638"/>
      <c r="AA6" s="638"/>
      <c r="AB6" s="638"/>
      <c r="AC6" s="638" t="s">
        <v>4207</v>
      </c>
      <c r="AD6" s="638" t="s">
        <v>4124</v>
      </c>
      <c r="AE6" s="638"/>
      <c r="AF6" s="638">
        <v>5700</v>
      </c>
      <c r="AG6" s="446">
        <v>92718</v>
      </c>
      <c r="AH6" s="638">
        <v>2393</v>
      </c>
      <c r="AI6" s="638">
        <v>180</v>
      </c>
      <c r="AJ6" s="638" t="s">
        <v>2816</v>
      </c>
      <c r="AK6" s="638"/>
      <c r="AL6" s="638"/>
      <c r="AM6" s="638" t="s">
        <v>1042</v>
      </c>
      <c r="AN6" s="484">
        <v>5.5</v>
      </c>
      <c r="AO6" s="1239"/>
      <c r="AP6" s="1239"/>
      <c r="AQ6" s="484"/>
      <c r="AR6" s="484"/>
      <c r="AS6" s="484"/>
      <c r="AT6" s="484">
        <f>+ab($U$6,$U$4,$T$8,$G$5,$G$7,-1*$F$6,1200)</f>
        <v>12.586360172779036</v>
      </c>
      <c r="AU6" s="638"/>
      <c r="AV6" s="638"/>
      <c r="AW6" s="638" t="str">
        <f>VLOOKUP(C6,'Foundation Calculation'!$A$2:$C$33,3,1)</f>
        <v>Soil B</v>
      </c>
      <c r="AX6" s="484" t="s">
        <v>1371</v>
      </c>
      <c r="AY6" s="484">
        <f>IF(AX6="PT",VLOOKUP(L6,'Foundation Calculation'!$K$2:$R$40,VLOOKUP(AW6,'Foundation Calculation'!$I$2:$J$8,2,FALSE),0),IF(AX6="K",VLOOKUP(L6,'Foundation Calculation'!$K$42:$R$80,VLOOKUP(AW6,'Foundation Calculation'!$I$2:$J$8,2,FALSE),0),""))</f>
        <v>5.3</v>
      </c>
      <c r="AZ6" s="484"/>
      <c r="BA6" s="671" t="s">
        <v>2809</v>
      </c>
      <c r="BB6" s="449" t="str">
        <f>Pole_Calculations!A19</f>
        <v>App.7-V11A-P9.5.1.5</v>
      </c>
      <c r="BC6" s="169"/>
      <c r="BD6" s="1329">
        <v>43743</v>
      </c>
      <c r="BE6" s="1329"/>
      <c r="BF6" s="1330"/>
      <c r="BG6" s="1329">
        <v>43893</v>
      </c>
    </row>
    <row r="7" spans="1:59" ht="15.75" customHeight="1">
      <c r="A7" s="449"/>
      <c r="B7" s="485"/>
      <c r="C7" s="446"/>
      <c r="D7" s="638"/>
      <c r="E7" s="638"/>
      <c r="F7" s="447"/>
      <c r="G7" s="484">
        <v>40</v>
      </c>
      <c r="H7" s="1239"/>
      <c r="I7" s="172"/>
      <c r="J7" s="446">
        <f>C8-7.5</f>
        <v>92751.150000000023</v>
      </c>
      <c r="K7" s="638" t="s">
        <v>2787</v>
      </c>
      <c r="L7" s="638"/>
      <c r="M7" s="638"/>
      <c r="N7" s="1239"/>
      <c r="O7" s="1239"/>
      <c r="P7" s="1239"/>
      <c r="Q7" s="638"/>
      <c r="R7" s="638"/>
      <c r="S7" s="484">
        <f t="shared" ref="S7" si="0">AG8-AG6</f>
        <v>40.470000000001164</v>
      </c>
      <c r="T7" s="638"/>
      <c r="U7" s="638"/>
      <c r="V7" s="638"/>
      <c r="W7" s="638"/>
      <c r="X7" s="638"/>
      <c r="Y7" s="638"/>
      <c r="Z7" s="638"/>
      <c r="AA7" s="638"/>
      <c r="AB7" s="638"/>
      <c r="AC7" s="638"/>
      <c r="AD7" s="638"/>
      <c r="AE7" s="638"/>
      <c r="AF7" s="638"/>
      <c r="AG7" s="446"/>
      <c r="AH7" s="638"/>
      <c r="AI7" s="638"/>
      <c r="AJ7" s="638"/>
      <c r="AK7" s="638"/>
      <c r="AL7" s="638"/>
      <c r="AM7" s="638"/>
      <c r="AN7" s="484"/>
      <c r="AO7" s="1239"/>
      <c r="AP7" s="1239"/>
      <c r="AQ7" s="484">
        <f>+FL_2($T$8,$U$6,$G$7,1200,9.28,-1*$F$8)</f>
        <v>-0.30014079999999999</v>
      </c>
      <c r="AR7" s="484"/>
      <c r="AS7" s="484"/>
      <c r="AT7" s="484"/>
      <c r="AU7" s="638"/>
      <c r="AV7" s="638"/>
      <c r="AW7" s="638" t="str">
        <f>VLOOKUP(J7,'Foundation Calculation'!$A$2:$C$33,3,1)</f>
        <v>Soil B</v>
      </c>
      <c r="AX7" s="484" t="s">
        <v>1371</v>
      </c>
      <c r="AY7" s="484"/>
      <c r="AZ7" s="484">
        <f>IF(AX7="PT",VLOOKUP(K7,'Foundation Calculation'!$K$2:$R$40,VLOOKUP(AW7,'Foundation Calculation'!$I$2:$J$8,2,FALSE),0),IF(AX7="K",VLOOKUP(K7,'Foundation Calculation'!$K$42:$R$80,VLOOKUP(AW7,'Foundation Calculation'!$I$2:$J$8,2,FALSE),0),""))</f>
        <v>3.9</v>
      </c>
      <c r="BA7" s="671" t="s">
        <v>2809</v>
      </c>
      <c r="BB7" s="449"/>
      <c r="BC7" s="169"/>
      <c r="BD7" s="1329">
        <v>43750</v>
      </c>
      <c r="BE7" s="1330"/>
      <c r="BF7" s="1330"/>
      <c r="BG7" s="1330"/>
    </row>
    <row r="8" spans="1:59" ht="15.75" customHeight="1">
      <c r="A8" s="449"/>
      <c r="B8" s="485" t="s">
        <v>2621</v>
      </c>
      <c r="C8" s="446">
        <f>+$C$6+$G$7</f>
        <v>92758.650000000023</v>
      </c>
      <c r="D8" s="638"/>
      <c r="E8" s="638"/>
      <c r="F8" s="447">
        <v>0</v>
      </c>
      <c r="G8" s="484"/>
      <c r="H8" s="1239" t="s">
        <v>138</v>
      </c>
      <c r="I8" s="172" t="s">
        <v>4231</v>
      </c>
      <c r="J8" s="446"/>
      <c r="K8" s="638"/>
      <c r="L8" s="638" t="s">
        <v>898</v>
      </c>
      <c r="M8" s="638" t="str">
        <f>IF(AX8="PT",VLOOKUP(L8,'Foundation Calculation'!$V$2:$X$40,VLOOKUP(AX8,'Foundation Calculation'!$I$10:$J$13,2,FALSE),0),IF(AX8="K",VLOOKUP(L8,'Foundation Calculation'!$V$42:$X$80,VLOOKUP(AX8,'Foundation Calculation'!$I$10:$J$13,2,FALSE),0),""))</f>
        <v>C4R</v>
      </c>
      <c r="N8" s="1239" t="s">
        <v>143</v>
      </c>
      <c r="O8" s="1239"/>
      <c r="P8" s="1239"/>
      <c r="Q8" s="638">
        <v>0</v>
      </c>
      <c r="R8" s="638">
        <v>0</v>
      </c>
      <c r="S8" s="484"/>
      <c r="T8" s="638">
        <v>-30</v>
      </c>
      <c r="U8" s="638"/>
      <c r="V8" s="638"/>
      <c r="W8" s="638">
        <v>1.4</v>
      </c>
      <c r="X8" s="638"/>
      <c r="Y8" s="638"/>
      <c r="Z8" s="638"/>
      <c r="AA8" s="638"/>
      <c r="AB8" s="638"/>
      <c r="AC8" s="638" t="s">
        <v>4090</v>
      </c>
      <c r="AD8" s="638"/>
      <c r="AE8" s="638"/>
      <c r="AF8" s="638">
        <v>5800</v>
      </c>
      <c r="AG8" s="446">
        <v>92758.47</v>
      </c>
      <c r="AH8" s="638">
        <v>2483</v>
      </c>
      <c r="AI8" s="638">
        <v>240</v>
      </c>
      <c r="AJ8" s="638"/>
      <c r="AK8" s="638"/>
      <c r="AL8" s="638"/>
      <c r="AM8" s="638" t="s">
        <v>1042</v>
      </c>
      <c r="AN8" s="484">
        <v>5.5</v>
      </c>
      <c r="AO8" s="1239"/>
      <c r="AP8" s="1239"/>
      <c r="AQ8" s="484"/>
      <c r="AR8" s="484"/>
      <c r="AS8" s="484"/>
      <c r="AT8" s="484">
        <f>+ab($T$8,$U$6,$U$10,$G$7,$G$9,-1*$F$8,1200)</f>
        <v>-6.2080109881996579</v>
      </c>
      <c r="AU8" s="638"/>
      <c r="AV8" s="638"/>
      <c r="AW8" s="638" t="str">
        <f>VLOOKUP(C8,'Foundation Calculation'!$A$2:$C$33,3,1)</f>
        <v>Soil B</v>
      </c>
      <c r="AX8" s="484" t="s">
        <v>1371</v>
      </c>
      <c r="AY8" s="484">
        <f>IF(AX8="PT",VLOOKUP(L8,'Foundation Calculation'!$K$2:$R$40,VLOOKUP(AW8,'Foundation Calculation'!$I$2:$J$8,2,FALSE),0),IF(AX8="K",VLOOKUP(L8,'Foundation Calculation'!$K$42:$R$80,VLOOKUP(AW8,'Foundation Calculation'!$I$2:$J$8,2,FALSE),0),""))</f>
        <v>3.5</v>
      </c>
      <c r="AZ8" s="484"/>
      <c r="BA8" s="671" t="s">
        <v>2809</v>
      </c>
      <c r="BB8" s="449" t="str">
        <f>Pole_Calculations!A20</f>
        <v>App.7-V11A-P9.5.1.6</v>
      </c>
      <c r="BC8" s="169"/>
      <c r="BD8" s="1329">
        <v>43750</v>
      </c>
      <c r="BE8" s="1329">
        <v>43858</v>
      </c>
      <c r="BF8" s="1330"/>
      <c r="BG8" s="1329">
        <v>43893</v>
      </c>
    </row>
    <row r="9" spans="1:59" ht="15.75" customHeight="1">
      <c r="A9" s="449"/>
      <c r="B9" s="485"/>
      <c r="C9" s="446"/>
      <c r="D9" s="638"/>
      <c r="E9" s="638"/>
      <c r="F9" s="447"/>
      <c r="G9" s="484">
        <v>38</v>
      </c>
      <c r="H9" s="1239"/>
      <c r="I9" s="172"/>
      <c r="J9" s="446">
        <f>C10-7.5</f>
        <v>92789.150000000023</v>
      </c>
      <c r="K9" s="638" t="s">
        <v>2787</v>
      </c>
      <c r="L9" s="638"/>
      <c r="M9" s="638"/>
      <c r="N9" s="1239"/>
      <c r="O9" s="1239"/>
      <c r="P9" s="1239"/>
      <c r="Q9" s="638"/>
      <c r="R9" s="638"/>
      <c r="S9" s="484">
        <f t="shared" ref="S9" si="1">AG10-AG8</f>
        <v>37.529999999998836</v>
      </c>
      <c r="T9" s="638"/>
      <c r="U9" s="638"/>
      <c r="V9" s="638"/>
      <c r="W9" s="638"/>
      <c r="X9" s="638"/>
      <c r="Y9" s="638"/>
      <c r="Z9" s="638"/>
      <c r="AA9" s="638"/>
      <c r="AB9" s="638"/>
      <c r="AC9" s="638"/>
      <c r="AD9" s="638"/>
      <c r="AE9" s="638"/>
      <c r="AF9" s="638"/>
      <c r="AG9" s="446"/>
      <c r="AH9" s="638"/>
      <c r="AI9" s="638"/>
      <c r="AJ9" s="638"/>
      <c r="AK9" s="638"/>
      <c r="AL9" s="638"/>
      <c r="AM9" s="638"/>
      <c r="AN9" s="484"/>
      <c r="AO9" s="1239"/>
      <c r="AP9" s="1239"/>
      <c r="AQ9" s="484">
        <f>+FL_2($U$10,$T$8,$G$9,1200,9.28,-1*$F$10)</f>
        <v>-0.46231700515334478</v>
      </c>
      <c r="AR9" s="484"/>
      <c r="AS9" s="484"/>
      <c r="AT9" s="484"/>
      <c r="AU9" s="638"/>
      <c r="AV9" s="638"/>
      <c r="AW9" s="638" t="str">
        <f>VLOOKUP(J9,'Foundation Calculation'!$A$2:$C$33,3,1)</f>
        <v>Soil B</v>
      </c>
      <c r="AX9" s="484" t="s">
        <v>1371</v>
      </c>
      <c r="AY9" s="484"/>
      <c r="AZ9" s="484">
        <f>IF(AX9="PT",VLOOKUP(K9,'Foundation Calculation'!$K$2:$R$40,VLOOKUP(AW9,'Foundation Calculation'!$I$2:$J$8,2,FALSE),0),IF(AX9="K",VLOOKUP(K9,'Foundation Calculation'!$K$42:$R$80,VLOOKUP(AW9,'Foundation Calculation'!$I$2:$J$8,2,FALSE),0),""))</f>
        <v>3.9</v>
      </c>
      <c r="BA9" s="671" t="s">
        <v>2809</v>
      </c>
      <c r="BB9" s="449"/>
      <c r="BC9" s="169"/>
      <c r="BD9" s="1329">
        <v>43743</v>
      </c>
      <c r="BE9" s="1330"/>
      <c r="BF9" s="1330"/>
      <c r="BG9" s="1330"/>
    </row>
    <row r="10" spans="1:59" ht="15.75" customHeight="1">
      <c r="A10" s="1239" t="s">
        <v>4224</v>
      </c>
      <c r="B10" s="485" t="s">
        <v>2622</v>
      </c>
      <c r="C10" s="446">
        <f>+$C$8+$G$9</f>
        <v>92796.650000000023</v>
      </c>
      <c r="D10" s="638"/>
      <c r="E10" s="638"/>
      <c r="F10" s="447">
        <v>-675</v>
      </c>
      <c r="G10" s="484"/>
      <c r="H10" s="1239" t="s">
        <v>2130</v>
      </c>
      <c r="I10" s="172" t="s">
        <v>4232</v>
      </c>
      <c r="J10" s="446"/>
      <c r="K10" s="638"/>
      <c r="L10" s="638" t="s">
        <v>821</v>
      </c>
      <c r="M10" s="638" t="str">
        <f>IF(AX10="PT",VLOOKUP(L10,'Foundation Calculation'!$V$2:$X$40,VLOOKUP(AX10,'Foundation Calculation'!$I$10:$J$13,2,FALSE),0),IF(AX10="K",VLOOKUP(L10,'Foundation Calculation'!$V$42:$X$80,VLOOKUP(AX10,'Foundation Calculation'!$I$10:$J$13,2,FALSE),0),""))</f>
        <v>C7R</v>
      </c>
      <c r="N10" s="1239" t="s">
        <v>140</v>
      </c>
      <c r="O10" s="1239" t="s">
        <v>144</v>
      </c>
      <c r="P10" s="1239"/>
      <c r="Q10" s="638">
        <v>30</v>
      </c>
      <c r="R10" s="638">
        <v>-675</v>
      </c>
      <c r="S10" s="484"/>
      <c r="T10" s="638">
        <v>-10</v>
      </c>
      <c r="U10" s="638">
        <v>30</v>
      </c>
      <c r="V10" s="638"/>
      <c r="W10" s="638">
        <v>2.2999999999999998</v>
      </c>
      <c r="X10" s="638">
        <v>1.4</v>
      </c>
      <c r="Y10" s="638"/>
      <c r="Z10" s="638">
        <v>0.45</v>
      </c>
      <c r="AA10" s="638"/>
      <c r="AB10" s="638"/>
      <c r="AC10" s="638" t="s">
        <v>3050</v>
      </c>
      <c r="AD10" s="638"/>
      <c r="AE10" s="638"/>
      <c r="AF10" s="638">
        <v>5800</v>
      </c>
      <c r="AG10" s="446">
        <v>92796</v>
      </c>
      <c r="AH10" s="638">
        <v>2353</v>
      </c>
      <c r="AI10" s="638">
        <v>220</v>
      </c>
      <c r="AJ10" s="1239" t="s">
        <v>884</v>
      </c>
      <c r="AK10" s="638"/>
      <c r="AL10" s="638"/>
      <c r="AM10" s="638" t="s">
        <v>1042</v>
      </c>
      <c r="AN10" s="484">
        <v>5.5</v>
      </c>
      <c r="AO10" s="445"/>
      <c r="AP10" s="445"/>
      <c r="AQ10" s="484"/>
      <c r="AR10" s="484"/>
      <c r="AS10" s="484"/>
      <c r="AT10" s="484">
        <f>+ab($U$10,$T$8,$U$12,$G$9,$G$11,-1*$F$10,1200)</f>
        <v>2.4818204458188045</v>
      </c>
      <c r="AU10" s="638"/>
      <c r="AV10" s="638"/>
      <c r="AW10" s="638" t="str">
        <f>VLOOKUP(C10,'Foundation Calculation'!$A$2:$C$33,3,1)</f>
        <v>Soil B</v>
      </c>
      <c r="AX10" s="484" t="s">
        <v>1371</v>
      </c>
      <c r="AY10" s="484">
        <f>IF(AX10="PT",VLOOKUP(L10,'Foundation Calculation'!$K$2:$R$40,VLOOKUP(AW10,'Foundation Calculation'!$I$2:$J$8,2,FALSE),0),IF(AX10="K",VLOOKUP(L10,'Foundation Calculation'!$K$42:$R$80,VLOOKUP(AW10,'Foundation Calculation'!$I$2:$J$8,2,FALSE),0),""))</f>
        <v>3.5</v>
      </c>
      <c r="AZ10" s="484"/>
      <c r="BA10" s="671" t="s">
        <v>2809</v>
      </c>
      <c r="BB10" s="1239" t="str">
        <f>Pole_Calculations!A178</f>
        <v>App.8-V08F-P10.3</v>
      </c>
      <c r="BC10" s="169"/>
      <c r="BD10" s="1329">
        <v>43743</v>
      </c>
      <c r="BE10" s="1329" t="s">
        <v>4946</v>
      </c>
      <c r="BF10" s="1330"/>
      <c r="BG10" s="1329">
        <v>43870</v>
      </c>
    </row>
    <row r="11" spans="1:59" ht="15.75" customHeight="1">
      <c r="A11" s="449"/>
      <c r="B11" s="485"/>
      <c r="C11" s="446"/>
      <c r="D11" s="638"/>
      <c r="E11" s="638"/>
      <c r="F11" s="447"/>
      <c r="G11" s="484">
        <v>45</v>
      </c>
      <c r="H11" s="1239"/>
      <c r="I11" s="172"/>
      <c r="J11" s="446"/>
      <c r="K11" s="638"/>
      <c r="L11" s="638"/>
      <c r="M11" s="638"/>
      <c r="N11" s="1239"/>
      <c r="O11" s="1239"/>
      <c r="P11" s="1239"/>
      <c r="Q11" s="638"/>
      <c r="R11" s="638"/>
      <c r="S11" s="484">
        <f t="shared" ref="S11" si="2">AG12-AG10</f>
        <v>46.789999999993597</v>
      </c>
      <c r="T11" s="638"/>
      <c r="U11" s="638"/>
      <c r="V11" s="638"/>
      <c r="W11" s="638"/>
      <c r="X11" s="638"/>
      <c r="Y11" s="638"/>
      <c r="Z11" s="638"/>
      <c r="AA11" s="638"/>
      <c r="AB11" s="638"/>
      <c r="AC11" s="638"/>
      <c r="AD11" s="638"/>
      <c r="AE11" s="638"/>
      <c r="AF11" s="638"/>
      <c r="AG11" s="446"/>
      <c r="AH11" s="638"/>
      <c r="AI11" s="638"/>
      <c r="AJ11" s="638"/>
      <c r="AK11" s="638"/>
      <c r="AL11" s="638"/>
      <c r="AM11" s="638"/>
      <c r="AN11" s="484"/>
      <c r="AO11" s="445"/>
      <c r="AP11" s="445"/>
      <c r="AQ11" s="484">
        <f>+FL_2($U$12,$U$10,$G$11,1200,9.28,-1*$F$12)</f>
        <v>-9.2902986487481021E-2</v>
      </c>
      <c r="AR11" s="484"/>
      <c r="AS11" s="484"/>
      <c r="AT11" s="484"/>
      <c r="AU11" s="638"/>
      <c r="AV11" s="638"/>
      <c r="AW11" s="638"/>
      <c r="AX11" s="638"/>
      <c r="AY11" s="484" t="str">
        <f>IF(AX11="PT",VLOOKUP(M11,'Foundation Calculation'!$L$2:$R$37,VLOOKUP(AW11,'Foundation Calculation'!$I$2:$J$8,2,FALSE),0),IF(AX11="K",VLOOKUP(M11,'Foundation Calculation'!$L$41:$R$75,VLOOKUP(AW11,'Foundation Calculation'!$I$2:$J$8,2,FALSE),0),""))</f>
        <v/>
      </c>
      <c r="AZ11" s="484" t="str">
        <f>IF(AX11="PT",VLOOKUP(K11,'Foundation Calculation'!$L$2:$R$41,VLOOKUP(AW11,'Foundation Calculation'!$I$2:$J$8,2,FALSE),0),IF(AX11="K",VLOOKUP(K11,'Foundation Calculation'!$L$41:$R$79,VLOOKUP(AW11,'Foundation Calculation'!$I$2:$J$8,2,FALSE),0),""))</f>
        <v/>
      </c>
      <c r="BA11" s="1304"/>
      <c r="BB11" s="449"/>
      <c r="BC11" s="169"/>
      <c r="BD11" s="1330"/>
      <c r="BE11" s="1330"/>
      <c r="BF11" s="1330"/>
      <c r="BG11" s="1330"/>
    </row>
    <row r="12" spans="1:59" ht="15.75" customHeight="1">
      <c r="A12" s="449"/>
      <c r="B12" s="485" t="s">
        <v>2623</v>
      </c>
      <c r="C12" s="446">
        <f>+$C$10+$G$11</f>
        <v>92841.650000000023</v>
      </c>
      <c r="D12" s="638"/>
      <c r="E12" s="638"/>
      <c r="F12" s="447">
        <v>-1284</v>
      </c>
      <c r="G12" s="484"/>
      <c r="H12" s="1239" t="s">
        <v>2551</v>
      </c>
      <c r="I12" s="172"/>
      <c r="J12" s="446"/>
      <c r="K12" s="638"/>
      <c r="L12" s="638" t="s">
        <v>896</v>
      </c>
      <c r="M12" s="638" t="str">
        <f>IF(AX12="PT",VLOOKUP(L12,'Foundation Calculation'!$V$2:$X$40,VLOOKUP(AX12,'Foundation Calculation'!$I$10:$J$13,2,FALSE),0),IF(AX12="K",VLOOKUP(L12,'Foundation Calculation'!$V$42:$X$80,VLOOKUP(AX12,'Foundation Calculation'!$I$10:$J$13,2,FALSE),0),""))</f>
        <v>2C4R</v>
      </c>
      <c r="N12" s="1239" t="s">
        <v>140</v>
      </c>
      <c r="O12" s="1239" t="s">
        <v>144</v>
      </c>
      <c r="P12" s="1239" t="s">
        <v>140</v>
      </c>
      <c r="Q12" s="638">
        <v>30</v>
      </c>
      <c r="R12" s="638">
        <v>-1284.43</v>
      </c>
      <c r="S12" s="484"/>
      <c r="T12" s="638">
        <v>15</v>
      </c>
      <c r="U12" s="638">
        <v>30</v>
      </c>
      <c r="V12" s="638">
        <v>50</v>
      </c>
      <c r="W12" s="638">
        <v>2.2999999999999998</v>
      </c>
      <c r="X12" s="638">
        <v>1.8</v>
      </c>
      <c r="Y12" s="638">
        <v>1.4</v>
      </c>
      <c r="Z12" s="638">
        <v>0.3</v>
      </c>
      <c r="AA12" s="638"/>
      <c r="AB12" s="638">
        <v>0.45</v>
      </c>
      <c r="AC12" s="638" t="s">
        <v>4090</v>
      </c>
      <c r="AD12" s="638"/>
      <c r="AE12" s="638"/>
      <c r="AF12" s="638">
        <v>5800</v>
      </c>
      <c r="AG12" s="446">
        <v>92842.79</v>
      </c>
      <c r="AH12" s="638">
        <v>2563</v>
      </c>
      <c r="AI12" s="638">
        <v>270</v>
      </c>
      <c r="AJ12" s="638"/>
      <c r="AK12" s="638"/>
      <c r="AL12" s="638"/>
      <c r="AM12" s="638" t="s">
        <v>1042</v>
      </c>
      <c r="AN12" s="484">
        <v>5.5</v>
      </c>
      <c r="AO12" s="445"/>
      <c r="AP12" s="445"/>
      <c r="AQ12" s="484"/>
      <c r="AR12" s="484"/>
      <c r="AS12" s="484"/>
      <c r="AT12" s="484">
        <f>+ab($U$12,$T$10,$U$14,$G$11,$G$13,-1*$F$12,1200)</f>
        <v>4.8804155687836941</v>
      </c>
      <c r="AU12" s="638"/>
      <c r="AV12" s="638"/>
      <c r="AW12" s="638" t="str">
        <f>VLOOKUP(C12,'Foundation Calculation'!$A$2:$C$33,3,1)</f>
        <v>Soil B</v>
      </c>
      <c r="AX12" s="484" t="s">
        <v>1371</v>
      </c>
      <c r="AY12" s="484">
        <f>IF(AX12="PT",VLOOKUP(L12,'Foundation Calculation'!$K$2:$R$40,VLOOKUP(AW12,'Foundation Calculation'!$I$2:$J$8,2,FALSE),0),IF(AX12="K",VLOOKUP(L12,'Foundation Calculation'!$K$42:$R$80,VLOOKUP(AW12,'Foundation Calculation'!$I$2:$J$8,2,FALSE),0),""))</f>
        <v>4</v>
      </c>
      <c r="AZ12" s="484"/>
      <c r="BA12" s="671" t="s">
        <v>2809</v>
      </c>
      <c r="BB12" s="449" t="str">
        <f>Pole_Calculations!A23</f>
        <v>App.7-V11A-P9.5.1.9</v>
      </c>
      <c r="BC12" s="169"/>
      <c r="BD12" s="1329">
        <v>43750</v>
      </c>
      <c r="BE12" s="1329"/>
      <c r="BF12" s="1330"/>
      <c r="BG12" s="1329">
        <v>43893</v>
      </c>
    </row>
    <row r="13" spans="1:59" ht="15.75" customHeight="1">
      <c r="A13" s="449"/>
      <c r="B13" s="485"/>
      <c r="C13" s="446"/>
      <c r="D13" s="638"/>
      <c r="E13" s="638"/>
      <c r="F13" s="447"/>
      <c r="G13" s="484">
        <v>32.9</v>
      </c>
      <c r="H13" s="1239"/>
      <c r="I13" s="172"/>
      <c r="J13" s="446"/>
      <c r="K13" s="638"/>
      <c r="L13" s="638"/>
      <c r="M13" s="638"/>
      <c r="N13" s="1239"/>
      <c r="O13" s="1239"/>
      <c r="P13" s="1239"/>
      <c r="Q13" s="638"/>
      <c r="R13" s="638"/>
      <c r="S13" s="484">
        <f t="shared" ref="S13" si="3">AG14-AG12</f>
        <v>33.270000000004075</v>
      </c>
      <c r="T13" s="638"/>
      <c r="U13" s="638"/>
      <c r="V13" s="638"/>
      <c r="W13" s="638"/>
      <c r="X13" s="638"/>
      <c r="Y13" s="638"/>
      <c r="Z13" s="638"/>
      <c r="AA13" s="638"/>
      <c r="AB13" s="638"/>
      <c r="AC13" s="638"/>
      <c r="AD13" s="638"/>
      <c r="AE13" s="638"/>
      <c r="AF13" s="638"/>
      <c r="AG13" s="446"/>
      <c r="AH13" s="638"/>
      <c r="AI13" s="638"/>
      <c r="AJ13" s="638"/>
      <c r="AK13" s="638"/>
      <c r="AL13" s="638"/>
      <c r="AM13" s="638"/>
      <c r="AN13" s="484"/>
      <c r="AO13" s="445"/>
      <c r="AP13" s="445"/>
      <c r="AQ13" s="484">
        <f>+FL_1($U$14,$U$12,$G$13,1200,9.28,-1*$F$14)</f>
        <v>0.40463296666666665</v>
      </c>
      <c r="AR13" s="484"/>
      <c r="AS13" s="484"/>
      <c r="AT13" s="484"/>
      <c r="AU13" s="638"/>
      <c r="AV13" s="638"/>
      <c r="AW13" s="638"/>
      <c r="AX13" s="638"/>
      <c r="AY13" s="484" t="str">
        <f>IF(AX13="PT",VLOOKUP(M13,'Foundation Calculation'!$L$2:$R$37,VLOOKUP(AW13,'Foundation Calculation'!$I$2:$J$8,2,FALSE),0),IF(AX13="K",VLOOKUP(M13,'Foundation Calculation'!$L$41:$R$75,VLOOKUP(AW13,'Foundation Calculation'!$I$2:$J$8,2,FALSE),0),""))</f>
        <v/>
      </c>
      <c r="AZ13" s="484" t="str">
        <f>IF(AX13="PT",VLOOKUP(K13,'Foundation Calculation'!$L$2:$R$41,VLOOKUP(AW13,'Foundation Calculation'!$I$2:$J$8,2,FALSE),0),IF(AX13="K",VLOOKUP(K13,'Foundation Calculation'!$L$41:$R$79,VLOOKUP(AW13,'Foundation Calculation'!$I$2:$J$8,2,FALSE),0),""))</f>
        <v/>
      </c>
      <c r="BA13" s="1304"/>
      <c r="BB13" s="449"/>
      <c r="BC13" s="169"/>
      <c r="BD13" s="1330"/>
      <c r="BE13" s="1330"/>
      <c r="BF13" s="1330"/>
      <c r="BG13" s="1330"/>
    </row>
    <row r="14" spans="1:59" ht="15.75" customHeight="1">
      <c r="A14" s="449"/>
      <c r="B14" s="485" t="s">
        <v>2624</v>
      </c>
      <c r="C14" s="446">
        <f>+$C$12+$G$13</f>
        <v>92874.550000000017</v>
      </c>
      <c r="D14" s="638"/>
      <c r="E14" s="638"/>
      <c r="F14" s="447">
        <v>0</v>
      </c>
      <c r="G14" s="484"/>
      <c r="H14" s="1239" t="s">
        <v>4981</v>
      </c>
      <c r="I14" s="172" t="s">
        <v>623</v>
      </c>
      <c r="J14" s="446"/>
      <c r="K14" s="638"/>
      <c r="L14" s="638" t="s">
        <v>895</v>
      </c>
      <c r="M14" s="638" t="str">
        <f>IF(AX14="PT",VLOOKUP(L14,'Foundation Calculation'!$V$2:$X$40,VLOOKUP(AX14,'Foundation Calculation'!$I$10:$J$13,2,FALSE),0),IF(AX14="K",VLOOKUP(L14,'Foundation Calculation'!$V$42:$X$80,VLOOKUP(AX14,'Foundation Calculation'!$I$10:$J$13,2,FALSE),0),""))</f>
        <v>2C3R</v>
      </c>
      <c r="N14" s="1239" t="s">
        <v>143</v>
      </c>
      <c r="O14" s="1239" t="s">
        <v>144</v>
      </c>
      <c r="P14" s="1239"/>
      <c r="Q14" s="638">
        <v>0</v>
      </c>
      <c r="R14" s="638">
        <v>0</v>
      </c>
      <c r="S14" s="484"/>
      <c r="T14" s="638">
        <v>15</v>
      </c>
      <c r="U14" s="638">
        <v>30</v>
      </c>
      <c r="V14" s="638"/>
      <c r="W14" s="638">
        <v>2.2999999999999998</v>
      </c>
      <c r="X14" s="638">
        <v>1.4</v>
      </c>
      <c r="Y14" s="638"/>
      <c r="Z14" s="638"/>
      <c r="AA14" s="638"/>
      <c r="AB14" s="638"/>
      <c r="AC14" s="638" t="s">
        <v>4207</v>
      </c>
      <c r="AD14" s="638" t="s">
        <v>1421</v>
      </c>
      <c r="AE14" s="638"/>
      <c r="AF14" s="638">
        <v>5500</v>
      </c>
      <c r="AG14" s="446">
        <v>92876.06</v>
      </c>
      <c r="AH14" s="638">
        <v>2393</v>
      </c>
      <c r="AI14" s="638">
        <v>70</v>
      </c>
      <c r="AJ14" s="638"/>
      <c r="AK14" s="638"/>
      <c r="AL14" s="638"/>
      <c r="AM14" s="638" t="s">
        <v>1042</v>
      </c>
      <c r="AN14" s="484">
        <v>5.5</v>
      </c>
      <c r="AO14" s="445"/>
      <c r="AP14" s="445"/>
      <c r="AQ14" s="484"/>
      <c r="AR14" s="484"/>
      <c r="AS14" s="484"/>
      <c r="AT14" s="484">
        <f>+ab($U$14,$U$12,$T$16,$G$13,$G$15,-1*$F$14,1200)</f>
        <v>19.118185532329861</v>
      </c>
      <c r="AU14" s="638"/>
      <c r="AV14" s="638"/>
      <c r="AW14" s="638" t="str">
        <f>VLOOKUP(C14,'Foundation Calculation'!$A$2:$C$33,3,1)</f>
        <v>Soil B</v>
      </c>
      <c r="AX14" s="484" t="s">
        <v>1371</v>
      </c>
      <c r="AY14" s="484">
        <f>IF(AX14="PT",VLOOKUP(L14,'Foundation Calculation'!$K$2:$R$40,VLOOKUP(AW14,'Foundation Calculation'!$I$2:$J$8,2,FALSE),0),IF(AX14="K",VLOOKUP(L14,'Foundation Calculation'!$K$42:$R$80,VLOOKUP(AW14,'Foundation Calculation'!$I$2:$J$8,2,FALSE),0),""))</f>
        <v>3.5</v>
      </c>
      <c r="AZ14" s="484"/>
      <c r="BA14" s="671" t="s">
        <v>2809</v>
      </c>
      <c r="BB14" s="449" t="str">
        <f>Pole_Calculations!A22</f>
        <v>App.7-V11A-P9.5.1.8</v>
      </c>
      <c r="BC14" s="169"/>
      <c r="BD14" s="1329">
        <v>43745</v>
      </c>
      <c r="BE14" s="1329">
        <v>43812</v>
      </c>
      <c r="BF14" s="1330"/>
      <c r="BG14" s="1329">
        <v>43870</v>
      </c>
    </row>
    <row r="15" spans="1:59" ht="15.75" customHeight="1">
      <c r="A15" s="449"/>
      <c r="B15" s="485"/>
      <c r="C15" s="446"/>
      <c r="D15" s="638"/>
      <c r="E15" s="638"/>
      <c r="F15" s="447"/>
      <c r="G15" s="484">
        <v>41.4</v>
      </c>
      <c r="H15" s="1239"/>
      <c r="I15" s="172"/>
      <c r="J15" s="446">
        <f>C14+7.5</f>
        <v>92882.050000000017</v>
      </c>
      <c r="K15" s="638" t="s">
        <v>2787</v>
      </c>
      <c r="L15" s="638"/>
      <c r="M15" s="638"/>
      <c r="N15" s="1239"/>
      <c r="O15" s="1239"/>
      <c r="P15" s="1239"/>
      <c r="Q15" s="638"/>
      <c r="R15" s="638"/>
      <c r="S15" s="484">
        <f t="shared" ref="S15" si="4">AG16-AG14</f>
        <v>40.119999999995343</v>
      </c>
      <c r="T15" s="638"/>
      <c r="U15" s="638"/>
      <c r="V15" s="638"/>
      <c r="W15" s="638"/>
      <c r="X15" s="638"/>
      <c r="Y15" s="638"/>
      <c r="Z15" s="638"/>
      <c r="AA15" s="638"/>
      <c r="AB15" s="638"/>
      <c r="AC15" s="638"/>
      <c r="AD15" s="638"/>
      <c r="AE15" s="638"/>
      <c r="AF15" s="638"/>
      <c r="AG15" s="446"/>
      <c r="AH15" s="638"/>
      <c r="AI15" s="638"/>
      <c r="AJ15" s="638"/>
      <c r="AK15" s="638"/>
      <c r="AL15" s="638"/>
      <c r="AM15" s="638"/>
      <c r="AN15" s="484"/>
      <c r="AO15" s="445"/>
      <c r="AP15" s="445"/>
      <c r="AQ15" s="484">
        <f>+FL_2($T$16,$U$14,$G$15,1200,9.28,-1*$F$16)</f>
        <v>-0.1260390898357488</v>
      </c>
      <c r="AR15" s="484"/>
      <c r="AS15" s="484"/>
      <c r="AT15" s="484"/>
      <c r="AU15" s="638"/>
      <c r="AV15" s="638"/>
      <c r="AW15" s="638" t="str">
        <f>VLOOKUP(J15,'Foundation Calculation'!$A$2:$C$33,3,1)</f>
        <v>Soil B</v>
      </c>
      <c r="AX15" s="484" t="s">
        <v>1371</v>
      </c>
      <c r="AY15" s="484"/>
      <c r="AZ15" s="484">
        <f>IF(AX15="PT",VLOOKUP(K15,'Foundation Calculation'!$K$2:$R$40,VLOOKUP(AW15,'Foundation Calculation'!$I$2:$J$8,2,FALSE),0),IF(AX15="K",VLOOKUP(K15,'Foundation Calculation'!$K$42:$R$80,VLOOKUP(AW15,'Foundation Calculation'!$I$2:$J$8,2,FALSE),0),""))</f>
        <v>3.9</v>
      </c>
      <c r="BA15" s="671" t="s">
        <v>2809</v>
      </c>
      <c r="BB15" s="449"/>
      <c r="BC15" s="169"/>
      <c r="BD15" s="1329">
        <v>43745</v>
      </c>
      <c r="BE15" s="1330"/>
      <c r="BF15" s="1330"/>
      <c r="BG15" s="1330"/>
    </row>
    <row r="16" spans="1:59" ht="15.75" customHeight="1">
      <c r="A16" s="449" t="s">
        <v>2936</v>
      </c>
      <c r="B16" s="450" t="s">
        <v>2630</v>
      </c>
      <c r="C16" s="446">
        <f>+$C$14+$G$15+0.1</f>
        <v>92916.050000000017</v>
      </c>
      <c r="D16" s="638"/>
      <c r="E16" s="638"/>
      <c r="F16" s="447">
        <v>0</v>
      </c>
      <c r="G16" s="484"/>
      <c r="H16" s="1239" t="s">
        <v>1429</v>
      </c>
      <c r="I16" s="1239" t="s">
        <v>1039</v>
      </c>
      <c r="J16" s="446"/>
      <c r="K16" s="638"/>
      <c r="L16" s="638" t="s">
        <v>821</v>
      </c>
      <c r="M16" s="638" t="str">
        <f>IF(AX16="PT",VLOOKUP(L16,'Foundation Calculation'!$V$2:$X$40,VLOOKUP(AX16,'Foundation Calculation'!$I$10:$J$13,2,FALSE),0),IF(AX16="K",VLOOKUP(L16,'Foundation Calculation'!$V$42:$X$80,VLOOKUP(AX16,'Foundation Calculation'!$I$10:$J$13,2,FALSE),0),""))</f>
        <v>C7R</v>
      </c>
      <c r="N16" s="1239" t="s">
        <v>143</v>
      </c>
      <c r="O16" s="1239"/>
      <c r="P16" s="1239"/>
      <c r="Q16" s="638">
        <v>0</v>
      </c>
      <c r="R16" s="638">
        <v>0</v>
      </c>
      <c r="S16" s="484"/>
      <c r="T16" s="638">
        <v>-10</v>
      </c>
      <c r="U16" s="638"/>
      <c r="V16" s="638"/>
      <c r="W16" s="1239">
        <v>1.4</v>
      </c>
      <c r="X16" s="638"/>
      <c r="Y16" s="638"/>
      <c r="Z16" s="638"/>
      <c r="AA16" s="638"/>
      <c r="AB16" s="638"/>
      <c r="AC16" s="638" t="s">
        <v>1421</v>
      </c>
      <c r="AD16" s="638"/>
      <c r="AE16" s="638"/>
      <c r="AF16" s="638">
        <v>5800</v>
      </c>
      <c r="AG16" s="446">
        <v>92916.18</v>
      </c>
      <c r="AH16" s="638">
        <v>2223</v>
      </c>
      <c r="AI16" s="638">
        <v>240</v>
      </c>
      <c r="AJ16" s="638" t="s">
        <v>2154</v>
      </c>
      <c r="AK16" s="638"/>
      <c r="AL16" s="638" t="s">
        <v>2135</v>
      </c>
      <c r="AM16" s="638" t="s">
        <v>1042</v>
      </c>
      <c r="AN16" s="484">
        <v>5.44</v>
      </c>
      <c r="AO16" s="445"/>
      <c r="AP16" s="445"/>
      <c r="AQ16" s="484"/>
      <c r="AR16" s="484"/>
      <c r="AS16" s="484"/>
      <c r="AT16" s="484">
        <f>+ab($T$16,$U$14,$T$18,$G$15,$G$17,-1*$F$16,1200)</f>
        <v>-11.487546306408344</v>
      </c>
      <c r="AU16" s="638"/>
      <c r="AV16" s="638"/>
      <c r="AW16" s="638" t="str">
        <f>VLOOKUP(C16,'Foundation Calculation'!$A$2:$C$33,3,1)</f>
        <v>Soil B</v>
      </c>
      <c r="AX16" s="484" t="s">
        <v>1371</v>
      </c>
      <c r="AY16" s="484">
        <f>IF(AX16="PT",VLOOKUP(L16,'Foundation Calculation'!$K$2:$R$40,VLOOKUP(AW16,'Foundation Calculation'!$I$2:$J$8,2,FALSE),0),IF(AX16="K",VLOOKUP(L16,'Foundation Calculation'!$K$42:$R$80,VLOOKUP(AW16,'Foundation Calculation'!$I$2:$J$8,2,FALSE),0),""))</f>
        <v>3.5</v>
      </c>
      <c r="AZ16" s="484"/>
      <c r="BA16" s="671" t="s">
        <v>2809</v>
      </c>
      <c r="BB16" s="449" t="str">
        <f>Pole_Calculations!A178</f>
        <v>App.8-V08F-P10.3</v>
      </c>
      <c r="BC16" s="169"/>
      <c r="BD16" s="1329">
        <v>43743</v>
      </c>
      <c r="BE16" s="1329">
        <v>43841</v>
      </c>
      <c r="BF16" s="1329"/>
      <c r="BG16" s="1329">
        <v>43870</v>
      </c>
    </row>
    <row r="17" spans="1:59" ht="15.75" customHeight="1">
      <c r="A17" s="449"/>
      <c r="B17" s="485"/>
      <c r="C17" s="446"/>
      <c r="D17" s="445"/>
      <c r="E17" s="445"/>
      <c r="F17" s="445"/>
      <c r="G17" s="484">
        <v>44</v>
      </c>
      <c r="H17" s="445"/>
      <c r="I17" s="445"/>
      <c r="J17" s="446"/>
      <c r="K17" s="445"/>
      <c r="L17" s="445"/>
      <c r="M17" s="445"/>
      <c r="N17" s="445"/>
      <c r="O17" s="445"/>
      <c r="P17" s="445"/>
      <c r="Q17" s="638"/>
      <c r="R17" s="638"/>
      <c r="S17" s="484">
        <f t="shared" ref="S17" si="5">AG18-AG16</f>
        <v>39.960000000006403</v>
      </c>
      <c r="T17" s="638"/>
      <c r="U17" s="638"/>
      <c r="V17" s="638"/>
      <c r="W17" s="1239"/>
      <c r="X17" s="638"/>
      <c r="Y17" s="638"/>
      <c r="Z17" s="638"/>
      <c r="AA17" s="638"/>
      <c r="AB17" s="638"/>
      <c r="AC17" s="638"/>
      <c r="AD17" s="638"/>
      <c r="AE17" s="638"/>
      <c r="AF17" s="638"/>
      <c r="AG17" s="446"/>
      <c r="AH17" s="638"/>
      <c r="AI17" s="185"/>
      <c r="AJ17" s="445" t="s">
        <v>864</v>
      </c>
      <c r="AK17" s="445"/>
      <c r="AL17" s="445"/>
      <c r="AM17" s="445"/>
      <c r="AN17" s="484"/>
      <c r="AO17" s="445"/>
      <c r="AP17" s="445"/>
      <c r="AQ17" s="484">
        <f>+FL_1($T$18,$T$16,$G$17,1200,9.28,-1*$F$18)</f>
        <v>0.2672033023030303</v>
      </c>
      <c r="AR17" s="484"/>
      <c r="AS17" s="484"/>
      <c r="AT17" s="484"/>
      <c r="AU17" s="638"/>
      <c r="AV17" s="638"/>
      <c r="AW17" s="638"/>
      <c r="AX17" s="484"/>
      <c r="AY17" s="484"/>
      <c r="AZ17" s="484" t="str">
        <f>IF(AX17="PT",VLOOKUP(K17,'Foundation Calculation'!$L$2:$R$41,VLOOKUP(AW17,'Foundation Calculation'!$I$2:$J$8,2,FALSE),0),IF(AX17="K",VLOOKUP(K17,'Foundation Calculation'!$L$41:$R$79,VLOOKUP(AW17,'Foundation Calculation'!$I$2:$J$8,2,FALSE),0),""))</f>
        <v/>
      </c>
      <c r="BA17" s="671"/>
      <c r="BB17" s="449"/>
      <c r="BC17" s="169"/>
      <c r="BD17" s="1330"/>
      <c r="BE17" s="1330"/>
      <c r="BF17" s="1330"/>
      <c r="BG17" s="1330"/>
    </row>
    <row r="18" spans="1:59" ht="15.75" customHeight="1">
      <c r="A18" s="414"/>
      <c r="B18" s="437" t="s">
        <v>2631</v>
      </c>
      <c r="C18" s="416">
        <f>+$C$16+$G$17</f>
        <v>92960.050000000017</v>
      </c>
      <c r="D18" s="415"/>
      <c r="E18" s="415"/>
      <c r="F18" s="415" t="s">
        <v>2312</v>
      </c>
      <c r="G18" s="422"/>
      <c r="H18" s="420"/>
      <c r="I18" s="420"/>
      <c r="J18" s="416"/>
      <c r="K18" s="415"/>
      <c r="L18" s="415"/>
      <c r="M18" s="415"/>
      <c r="N18" s="415" t="s">
        <v>844</v>
      </c>
      <c r="O18" s="415"/>
      <c r="P18" s="415"/>
      <c r="Q18" s="417">
        <v>0</v>
      </c>
      <c r="R18" s="417">
        <v>0</v>
      </c>
      <c r="S18" s="422"/>
      <c r="T18" s="417">
        <v>20</v>
      </c>
      <c r="U18" s="417"/>
      <c r="V18" s="417"/>
      <c r="W18" s="420">
        <v>1.4</v>
      </c>
      <c r="X18" s="417"/>
      <c r="Y18" s="417"/>
      <c r="Z18" s="417"/>
      <c r="AA18" s="417"/>
      <c r="AB18" s="417"/>
      <c r="AC18" s="417" t="s">
        <v>1421</v>
      </c>
      <c r="AD18" s="417"/>
      <c r="AE18" s="417"/>
      <c r="AF18" s="417">
        <v>200</v>
      </c>
      <c r="AG18" s="416">
        <v>92956.14</v>
      </c>
      <c r="AH18" s="417">
        <v>1593</v>
      </c>
      <c r="AI18" s="607">
        <v>-5470</v>
      </c>
      <c r="AJ18" s="415"/>
      <c r="AK18" s="415" t="s">
        <v>139</v>
      </c>
      <c r="AL18" s="415"/>
      <c r="AM18" s="417"/>
      <c r="AN18" s="422">
        <v>5.37</v>
      </c>
      <c r="AO18" s="415"/>
      <c r="AP18" s="415"/>
      <c r="AQ18" s="422"/>
      <c r="AR18" s="422"/>
      <c r="AS18" s="422"/>
      <c r="AT18" s="422">
        <f>+ab($T$18,$T$16,$T$20,$G$17,$G$19,-1*$F$18,1200)</f>
        <v>9.7571232019129699</v>
      </c>
      <c r="AU18" s="417"/>
      <c r="AV18" s="417"/>
      <c r="AW18" s="422"/>
      <c r="AX18" s="422"/>
      <c r="AY18" s="422"/>
      <c r="AZ18" s="422"/>
      <c r="BA18" s="604"/>
      <c r="BB18" s="414"/>
      <c r="BC18" s="169"/>
      <c r="BD18" s="1330"/>
      <c r="BE18" s="1329"/>
      <c r="BF18" s="1330"/>
      <c r="BG18" s="1329"/>
    </row>
    <row r="19" spans="1:59" ht="15.75" customHeight="1">
      <c r="A19" s="414"/>
      <c r="B19" s="437"/>
      <c r="C19" s="416"/>
      <c r="D19" s="415"/>
      <c r="E19" s="415"/>
      <c r="F19" s="415"/>
      <c r="G19" s="422">
        <v>31.6</v>
      </c>
      <c r="H19" s="415"/>
      <c r="I19" s="415"/>
      <c r="J19" s="416"/>
      <c r="K19" s="415"/>
      <c r="L19" s="415"/>
      <c r="M19" s="415"/>
      <c r="N19" s="415"/>
      <c r="O19" s="415"/>
      <c r="P19" s="415"/>
      <c r="Q19" s="417"/>
      <c r="R19" s="417"/>
      <c r="S19" s="422">
        <f t="shared" ref="S19" si="6">AG20-AG18</f>
        <v>32.960000000006403</v>
      </c>
      <c r="T19" s="417"/>
      <c r="U19" s="417"/>
      <c r="V19" s="417"/>
      <c r="W19" s="420"/>
      <c r="X19" s="417"/>
      <c r="Y19" s="417"/>
      <c r="Z19" s="417"/>
      <c r="AA19" s="417"/>
      <c r="AB19" s="417"/>
      <c r="AC19" s="417"/>
      <c r="AD19" s="417"/>
      <c r="AE19" s="417"/>
      <c r="AF19" s="417"/>
      <c r="AG19" s="416"/>
      <c r="AH19" s="417"/>
      <c r="AI19" s="607"/>
      <c r="AJ19" s="415"/>
      <c r="AK19" s="415"/>
      <c r="AL19" s="415"/>
      <c r="AM19" s="415"/>
      <c r="AN19" s="422"/>
      <c r="AO19" s="415"/>
      <c r="AP19" s="415"/>
      <c r="AQ19" s="422">
        <f>+FL_1($T$20,$T$18,$G$19,1200,9.28,-1*$F$20)</f>
        <v>0.20000000000000101</v>
      </c>
      <c r="AR19" s="422"/>
      <c r="AS19" s="422"/>
      <c r="AT19" s="422"/>
      <c r="AU19" s="417"/>
      <c r="AV19" s="417"/>
      <c r="AW19" s="422"/>
      <c r="AX19" s="422"/>
      <c r="AY19" s="422"/>
      <c r="AZ19" s="422"/>
      <c r="BA19" s="1311"/>
      <c r="BB19" s="414"/>
      <c r="BC19" s="169"/>
      <c r="BD19" s="1330"/>
      <c r="BE19" s="1330"/>
      <c r="BF19" s="1330"/>
      <c r="BG19" s="1330"/>
    </row>
    <row r="20" spans="1:59" ht="15.75" customHeight="1">
      <c r="A20" s="414"/>
      <c r="B20" s="437" t="s">
        <v>2632</v>
      </c>
      <c r="C20" s="416">
        <f>+$C$18+$G$19</f>
        <v>92991.650000000023</v>
      </c>
      <c r="D20" s="415"/>
      <c r="E20" s="415"/>
      <c r="F20" s="415" t="s">
        <v>2312</v>
      </c>
      <c r="G20" s="422"/>
      <c r="H20" s="415"/>
      <c r="I20" s="415"/>
      <c r="J20" s="416"/>
      <c r="K20" s="415"/>
      <c r="L20" s="415"/>
      <c r="M20" s="415"/>
      <c r="N20" s="415" t="s">
        <v>2794</v>
      </c>
      <c r="O20" s="415"/>
      <c r="P20" s="415"/>
      <c r="Q20" s="417">
        <v>0</v>
      </c>
      <c r="R20" s="417">
        <v>0</v>
      </c>
      <c r="S20" s="422"/>
      <c r="T20" s="417">
        <v>-20</v>
      </c>
      <c r="U20" s="417"/>
      <c r="V20" s="417"/>
      <c r="W20" s="420">
        <v>1.1000000000000001</v>
      </c>
      <c r="X20" s="417"/>
      <c r="Y20" s="417"/>
      <c r="Z20" s="417"/>
      <c r="AA20" s="417"/>
      <c r="AB20" s="417"/>
      <c r="AC20" s="417" t="s">
        <v>1421</v>
      </c>
      <c r="AD20" s="417"/>
      <c r="AE20" s="417"/>
      <c r="AF20" s="417">
        <v>400</v>
      </c>
      <c r="AG20" s="416">
        <v>92989.1</v>
      </c>
      <c r="AH20" s="417">
        <v>1753</v>
      </c>
      <c r="AI20" s="607">
        <v>-4960</v>
      </c>
      <c r="AJ20" s="415"/>
      <c r="AK20" s="415" t="s">
        <v>139</v>
      </c>
      <c r="AL20" s="415"/>
      <c r="AM20" s="415"/>
      <c r="AN20" s="422">
        <v>5.26</v>
      </c>
      <c r="AO20" s="415"/>
      <c r="AP20" s="415"/>
      <c r="AQ20" s="422"/>
      <c r="AR20" s="422"/>
      <c r="AS20" s="422"/>
      <c r="AT20" s="422">
        <f>+ab($T$20,$T$18,$T$22,$G$19,$G$21,-1*$F$20,1200)</f>
        <v>-14.819966532922763</v>
      </c>
      <c r="AU20" s="417"/>
      <c r="AV20" s="417"/>
      <c r="AW20" s="422"/>
      <c r="AX20" s="422"/>
      <c r="AY20" s="422"/>
      <c r="AZ20" s="422"/>
      <c r="BA20" s="604"/>
      <c r="BB20" s="414"/>
      <c r="BC20" s="169"/>
      <c r="BD20" s="1330"/>
      <c r="BE20" s="1329"/>
      <c r="BF20" s="1330"/>
      <c r="BG20" s="1329"/>
    </row>
    <row r="21" spans="1:59" ht="15.75" customHeight="1">
      <c r="A21" s="414"/>
      <c r="B21" s="415"/>
      <c r="C21" s="416"/>
      <c r="D21" s="415"/>
      <c r="E21" s="415"/>
      <c r="F21" s="415"/>
      <c r="G21" s="422">
        <v>37.299999999999997</v>
      </c>
      <c r="H21" s="415"/>
      <c r="I21" s="415"/>
      <c r="J21" s="416"/>
      <c r="K21" s="415"/>
      <c r="L21" s="415"/>
      <c r="M21" s="415"/>
      <c r="N21" s="415"/>
      <c r="O21" s="415"/>
      <c r="P21" s="415"/>
      <c r="Q21" s="417"/>
      <c r="R21" s="417"/>
      <c r="S21" s="422">
        <f t="shared" ref="S21" si="7">AG22-AG20</f>
        <v>36.899999999994179</v>
      </c>
      <c r="T21" s="417"/>
      <c r="U21" s="417"/>
      <c r="V21" s="417"/>
      <c r="W21" s="420"/>
      <c r="X21" s="417"/>
      <c r="Y21" s="417"/>
      <c r="Z21" s="417"/>
      <c r="AA21" s="417"/>
      <c r="AB21" s="417"/>
      <c r="AC21" s="417"/>
      <c r="AD21" s="417"/>
      <c r="AE21" s="417"/>
      <c r="AF21" s="417"/>
      <c r="AG21" s="416"/>
      <c r="AH21" s="417"/>
      <c r="AI21" s="607"/>
      <c r="AJ21" s="415"/>
      <c r="AK21" s="415"/>
      <c r="AL21" s="415"/>
      <c r="AM21" s="415"/>
      <c r="AN21" s="422"/>
      <c r="AO21" s="415"/>
      <c r="AP21" s="415"/>
      <c r="AQ21" s="422">
        <f>+FL_2($T$22,$T$20,$G$21,1200,9.28,-1*$F$22)</f>
        <v>-0.33449136666666662</v>
      </c>
      <c r="AR21" s="422"/>
      <c r="AS21" s="422"/>
      <c r="AT21" s="422"/>
      <c r="AU21" s="417"/>
      <c r="AV21" s="417"/>
      <c r="AW21" s="415"/>
      <c r="AX21" s="417"/>
      <c r="AY21" s="422"/>
      <c r="AZ21" s="422"/>
      <c r="BA21" s="1311"/>
      <c r="BB21" s="414"/>
      <c r="BC21" s="169"/>
      <c r="BD21" s="1330"/>
      <c r="BE21" s="1330"/>
      <c r="BF21" s="1330"/>
      <c r="BG21" s="1330"/>
    </row>
    <row r="22" spans="1:59" ht="15.75" customHeight="1">
      <c r="A22" s="414"/>
      <c r="B22" s="415" t="s">
        <v>2633</v>
      </c>
      <c r="C22" s="416">
        <f>+$C$20+$G$21-2</f>
        <v>93026.950000000026</v>
      </c>
      <c r="D22" s="415"/>
      <c r="E22" s="415"/>
      <c r="F22" s="415" t="s">
        <v>2312</v>
      </c>
      <c r="G22" s="422"/>
      <c r="H22" s="415"/>
      <c r="I22" s="415"/>
      <c r="J22" s="416"/>
      <c r="K22" s="415"/>
      <c r="L22" s="415"/>
      <c r="M22" s="415"/>
      <c r="N22" s="415" t="s">
        <v>2796</v>
      </c>
      <c r="O22" s="415"/>
      <c r="P22" s="415"/>
      <c r="Q22" s="417">
        <v>10</v>
      </c>
      <c r="R22" s="417">
        <v>0</v>
      </c>
      <c r="S22" s="422"/>
      <c r="T22" s="417">
        <v>-20</v>
      </c>
      <c r="U22" s="417"/>
      <c r="V22" s="417"/>
      <c r="W22" s="420">
        <v>0.75</v>
      </c>
      <c r="X22" s="417"/>
      <c r="Y22" s="417"/>
      <c r="Z22" s="417"/>
      <c r="AA22" s="417"/>
      <c r="AB22" s="417"/>
      <c r="AC22" s="417" t="s">
        <v>4212</v>
      </c>
      <c r="AD22" s="417"/>
      <c r="AE22" s="417"/>
      <c r="AF22" s="417">
        <v>700</v>
      </c>
      <c r="AG22" s="416">
        <v>93026</v>
      </c>
      <c r="AH22" s="417">
        <v>943</v>
      </c>
      <c r="AI22" s="607">
        <v>-5150</v>
      </c>
      <c r="AJ22" s="415"/>
      <c r="AK22" s="415" t="s">
        <v>139</v>
      </c>
      <c r="AL22" s="415"/>
      <c r="AM22" s="415"/>
      <c r="AN22" s="422">
        <v>5.19</v>
      </c>
      <c r="AO22" s="415"/>
      <c r="AP22" s="415"/>
      <c r="AQ22" s="422"/>
      <c r="AR22" s="422"/>
      <c r="AS22" s="422"/>
      <c r="AT22" s="422">
        <f>+ab($T$22,$T$20,$T$24,$G$21,$G$23,-1*$F$22,1200)</f>
        <v>-17.12530123115474</v>
      </c>
      <c r="AU22" s="417"/>
      <c r="AV22" s="417"/>
      <c r="AW22" s="422"/>
      <c r="AX22" s="422"/>
      <c r="AY22" s="422"/>
      <c r="AZ22" s="422"/>
      <c r="BA22" s="604"/>
      <c r="BB22" s="414"/>
      <c r="BC22" s="169"/>
      <c r="BD22" s="1330"/>
      <c r="BE22" s="1329"/>
      <c r="BF22" s="1330"/>
      <c r="BG22" s="1329"/>
    </row>
    <row r="23" spans="1:59" ht="15.75" customHeight="1">
      <c r="A23" s="414"/>
      <c r="B23" s="415"/>
      <c r="C23" s="416"/>
      <c r="D23" s="415"/>
      <c r="E23" s="415"/>
      <c r="F23" s="415"/>
      <c r="G23" s="422">
        <v>36.799999999999997</v>
      </c>
      <c r="H23" s="415"/>
      <c r="I23" s="415"/>
      <c r="J23" s="416"/>
      <c r="K23" s="415"/>
      <c r="L23" s="415"/>
      <c r="M23" s="415"/>
      <c r="N23" s="415"/>
      <c r="O23" s="415"/>
      <c r="P23" s="415"/>
      <c r="Q23" s="417"/>
      <c r="R23" s="417"/>
      <c r="S23" s="422">
        <f t="shared" ref="S23" si="8">AG24-AG22</f>
        <v>34</v>
      </c>
      <c r="T23" s="417"/>
      <c r="U23" s="417"/>
      <c r="V23" s="417"/>
      <c r="W23" s="420"/>
      <c r="X23" s="417"/>
      <c r="Y23" s="417"/>
      <c r="Z23" s="417"/>
      <c r="AA23" s="417"/>
      <c r="AB23" s="417"/>
      <c r="AC23" s="417"/>
      <c r="AD23" s="417"/>
      <c r="AE23" s="417"/>
      <c r="AF23" s="417"/>
      <c r="AG23" s="416"/>
      <c r="AH23" s="417"/>
      <c r="AI23" s="607"/>
      <c r="AJ23" s="415"/>
      <c r="AK23" s="415"/>
      <c r="AL23" s="415"/>
      <c r="AM23" s="415"/>
      <c r="AN23" s="422"/>
      <c r="AO23" s="415"/>
      <c r="AP23" s="415"/>
      <c r="AQ23" s="422">
        <f>+FL_2($T$24,$T$22,$G$23,1200,9.28,-1*$F$24)</f>
        <v>-0.20729829495652172</v>
      </c>
      <c r="AR23" s="422"/>
      <c r="AS23" s="422"/>
      <c r="AT23" s="422"/>
      <c r="AU23" s="417"/>
      <c r="AV23" s="417"/>
      <c r="AW23" s="415"/>
      <c r="AX23" s="417"/>
      <c r="AY23" s="422"/>
      <c r="AZ23" s="422"/>
      <c r="BA23" s="1311"/>
      <c r="BB23" s="414"/>
      <c r="BC23" s="169"/>
      <c r="BD23" s="1330"/>
      <c r="BE23" s="1330"/>
      <c r="BF23" s="1330"/>
      <c r="BG23" s="1330"/>
    </row>
    <row r="24" spans="1:59" ht="15.75" customHeight="1">
      <c r="A24" s="495" t="s">
        <v>1851</v>
      </c>
      <c r="B24" s="494" t="s">
        <v>2634</v>
      </c>
      <c r="C24" s="489">
        <f>+$C$22+$G$23</f>
        <v>93063.750000000029</v>
      </c>
      <c r="D24" s="490"/>
      <c r="E24" s="490"/>
      <c r="F24" s="491">
        <v>0</v>
      </c>
      <c r="G24" s="493"/>
      <c r="H24" s="490"/>
      <c r="I24" s="490"/>
      <c r="J24" s="489"/>
      <c r="K24" s="490"/>
      <c r="L24" s="494" t="s">
        <v>2398</v>
      </c>
      <c r="M24" s="494"/>
      <c r="N24" s="494" t="s">
        <v>634</v>
      </c>
      <c r="O24" s="494"/>
      <c r="P24" s="494"/>
      <c r="Q24" s="490">
        <v>20</v>
      </c>
      <c r="R24" s="490">
        <v>634.34</v>
      </c>
      <c r="S24" s="493"/>
      <c r="T24" s="490">
        <v>20</v>
      </c>
      <c r="U24" s="490"/>
      <c r="V24" s="490"/>
      <c r="W24" s="495">
        <v>0.75</v>
      </c>
      <c r="X24" s="490"/>
      <c r="Y24" s="490"/>
      <c r="Z24" s="490"/>
      <c r="AA24" s="490"/>
      <c r="AB24" s="490"/>
      <c r="AC24" s="490" t="s">
        <v>1417</v>
      </c>
      <c r="AD24" s="490"/>
      <c r="AE24" s="490"/>
      <c r="AF24" s="490">
        <v>400</v>
      </c>
      <c r="AG24" s="489">
        <v>93060</v>
      </c>
      <c r="AH24" s="490">
        <v>1003</v>
      </c>
      <c r="AI24" s="640">
        <v>-4930</v>
      </c>
      <c r="AJ24" s="494"/>
      <c r="AK24" s="494"/>
      <c r="AL24" s="490"/>
      <c r="AM24" s="494"/>
      <c r="AN24" s="493">
        <v>5.15</v>
      </c>
      <c r="AO24" s="494"/>
      <c r="AP24" s="494"/>
      <c r="AQ24" s="493"/>
      <c r="AR24" s="493"/>
      <c r="AS24" s="493"/>
      <c r="AT24" s="493">
        <f>+ab($T$24,$T$22,$T$26,$G$23,$G$25,-1*$F$24,1200)</f>
        <v>17.125185604038684</v>
      </c>
      <c r="AU24" s="490"/>
      <c r="AV24" s="490"/>
      <c r="AW24" s="494" t="s">
        <v>4682</v>
      </c>
      <c r="AX24" s="493"/>
      <c r="AY24" s="493"/>
      <c r="AZ24" s="493"/>
      <c r="BA24" s="602" t="s">
        <v>2809</v>
      </c>
      <c r="BB24" s="491"/>
      <c r="BC24" s="169"/>
      <c r="BD24" s="1330"/>
      <c r="BE24" s="1329">
        <v>43854</v>
      </c>
      <c r="BF24" s="1330"/>
      <c r="BG24" s="1329">
        <v>43870</v>
      </c>
    </row>
    <row r="25" spans="1:59" ht="15.75" customHeight="1">
      <c r="A25" s="488"/>
      <c r="B25" s="494"/>
      <c r="C25" s="489"/>
      <c r="D25" s="490"/>
      <c r="E25" s="490"/>
      <c r="F25" s="491"/>
      <c r="G25" s="493">
        <v>45</v>
      </c>
      <c r="H25" s="490"/>
      <c r="I25" s="490"/>
      <c r="J25" s="489"/>
      <c r="K25" s="490"/>
      <c r="L25" s="490"/>
      <c r="M25" s="490"/>
      <c r="N25" s="495"/>
      <c r="O25" s="495"/>
      <c r="P25" s="490"/>
      <c r="Q25" s="490"/>
      <c r="R25" s="490"/>
      <c r="S25" s="493">
        <f t="shared" ref="S25" si="9">AG26-AG24</f>
        <v>47.330000000001746</v>
      </c>
      <c r="T25" s="490"/>
      <c r="U25" s="490"/>
      <c r="V25" s="490"/>
      <c r="W25" s="495"/>
      <c r="X25" s="490"/>
      <c r="Y25" s="490"/>
      <c r="Z25" s="490"/>
      <c r="AA25" s="490"/>
      <c r="AB25" s="490"/>
      <c r="AC25" s="490"/>
      <c r="AD25" s="490"/>
      <c r="AE25" s="490"/>
      <c r="AF25" s="490"/>
      <c r="AG25" s="489"/>
      <c r="AH25" s="490"/>
      <c r="AI25" s="640"/>
      <c r="AJ25" s="490"/>
      <c r="AK25" s="495"/>
      <c r="AL25" s="490"/>
      <c r="AM25" s="490"/>
      <c r="AN25" s="457"/>
      <c r="AO25" s="495"/>
      <c r="AP25" s="494"/>
      <c r="AQ25" s="493">
        <f>+FL_1(-$T$26,$T$24,$G$25,1200,9.28,-1*$F$26)</f>
        <v>0.24683556133333331</v>
      </c>
      <c r="AR25" s="493"/>
      <c r="AS25" s="493"/>
      <c r="AT25" s="493"/>
      <c r="AU25" s="490"/>
      <c r="AV25" s="490"/>
      <c r="AW25" s="490"/>
      <c r="AX25" s="490"/>
      <c r="AY25" s="493"/>
      <c r="AZ25" s="493"/>
      <c r="BA25" s="1312"/>
      <c r="BB25" s="488"/>
      <c r="BC25" s="169"/>
      <c r="BD25" s="1330"/>
      <c r="BE25" s="1330"/>
      <c r="BF25" s="1330"/>
      <c r="BG25" s="1330"/>
    </row>
    <row r="26" spans="1:59" ht="15.75" customHeight="1">
      <c r="A26" s="414" t="s">
        <v>2605</v>
      </c>
      <c r="B26" s="415" t="s">
        <v>2635</v>
      </c>
      <c r="C26" s="416">
        <f>+$C$24+$G$25</f>
        <v>93108.750000000029</v>
      </c>
      <c r="D26" s="417"/>
      <c r="E26" s="417"/>
      <c r="F26" s="418">
        <v>0</v>
      </c>
      <c r="G26" s="422"/>
      <c r="H26" s="417"/>
      <c r="I26" s="420"/>
      <c r="J26" s="416"/>
      <c r="K26" s="417"/>
      <c r="L26" s="415" t="s">
        <v>2398</v>
      </c>
      <c r="M26" s="415"/>
      <c r="N26" s="415" t="s">
        <v>634</v>
      </c>
      <c r="O26" s="420"/>
      <c r="P26" s="417"/>
      <c r="Q26" s="417">
        <v>0</v>
      </c>
      <c r="R26" s="417">
        <v>0</v>
      </c>
      <c r="S26" s="422"/>
      <c r="T26" s="417">
        <v>20</v>
      </c>
      <c r="U26" s="417"/>
      <c r="V26" s="417"/>
      <c r="W26" s="420">
        <v>0.75</v>
      </c>
      <c r="X26" s="417"/>
      <c r="Y26" s="417"/>
      <c r="Z26" s="417"/>
      <c r="AA26" s="417"/>
      <c r="AB26" s="417"/>
      <c r="AC26" s="417" t="s">
        <v>1417</v>
      </c>
      <c r="AD26" s="417"/>
      <c r="AE26" s="417"/>
      <c r="AF26" s="417">
        <v>200</v>
      </c>
      <c r="AG26" s="416">
        <v>93107.33</v>
      </c>
      <c r="AH26" s="417">
        <v>1503</v>
      </c>
      <c r="AI26" s="607">
        <v>-4880</v>
      </c>
      <c r="AJ26" s="417"/>
      <c r="AK26" s="420"/>
      <c r="AL26" s="417"/>
      <c r="AM26" s="417"/>
      <c r="AN26" s="444">
        <v>5.15</v>
      </c>
      <c r="AO26" s="420"/>
      <c r="AP26" s="415"/>
      <c r="AQ26" s="422"/>
      <c r="AR26" s="422"/>
      <c r="AS26" s="422"/>
      <c r="AT26" s="422">
        <f>+ab(-$T$26,$T$24,$T$28,$G$25,$G$27,-1*$F$26,1200)</f>
        <v>-20.645505915792633</v>
      </c>
      <c r="AU26" s="417"/>
      <c r="AV26" s="417"/>
      <c r="AW26" s="415" t="s">
        <v>4682</v>
      </c>
      <c r="AX26" s="422"/>
      <c r="AY26" s="422"/>
      <c r="AZ26" s="422"/>
      <c r="BA26" s="604" t="s">
        <v>2809</v>
      </c>
      <c r="BB26" s="418"/>
      <c r="BC26" s="169"/>
      <c r="BD26" s="1330"/>
      <c r="BE26" s="1329">
        <v>43806</v>
      </c>
      <c r="BF26" s="1330"/>
      <c r="BG26" s="1329">
        <v>43838</v>
      </c>
    </row>
    <row r="27" spans="1:59" ht="15.75" customHeight="1">
      <c r="A27" s="414" t="s">
        <v>1854</v>
      </c>
      <c r="B27" s="415"/>
      <c r="C27" s="416"/>
      <c r="D27" s="417"/>
      <c r="E27" s="417"/>
      <c r="F27" s="418"/>
      <c r="G27" s="422">
        <v>35.700000000000003</v>
      </c>
      <c r="H27" s="420"/>
      <c r="I27" s="420"/>
      <c r="J27" s="416"/>
      <c r="K27" s="417"/>
      <c r="L27" s="417"/>
      <c r="M27" s="417"/>
      <c r="N27" s="420"/>
      <c r="O27" s="420"/>
      <c r="P27" s="417"/>
      <c r="Q27" s="417"/>
      <c r="R27" s="417"/>
      <c r="S27" s="422">
        <f t="shared" ref="S27" si="10">AG28-AG26</f>
        <v>35.669999999998254</v>
      </c>
      <c r="T27" s="417"/>
      <c r="U27" s="417"/>
      <c r="V27" s="417"/>
      <c r="W27" s="420"/>
      <c r="X27" s="417"/>
      <c r="Y27" s="417"/>
      <c r="Z27" s="417"/>
      <c r="AA27" s="417"/>
      <c r="AB27" s="417"/>
      <c r="AC27" s="417"/>
      <c r="AD27" s="417"/>
      <c r="AE27" s="417"/>
      <c r="AF27" s="417"/>
      <c r="AG27" s="416"/>
      <c r="AH27" s="417"/>
      <c r="AI27" s="417"/>
      <c r="AJ27" s="417"/>
      <c r="AK27" s="420"/>
      <c r="AL27" s="417"/>
      <c r="AM27" s="417"/>
      <c r="AN27" s="444"/>
      <c r="AO27" s="420"/>
      <c r="AP27" s="415"/>
      <c r="AQ27" s="422">
        <f>+FL_2($T$28,$T$26,$G$27,1200,9.28,-1*$F$28)</f>
        <v>-0.2043690691764706</v>
      </c>
      <c r="AR27" s="422"/>
      <c r="AS27" s="422"/>
      <c r="AT27" s="422"/>
      <c r="AU27" s="417"/>
      <c r="AV27" s="417"/>
      <c r="AW27" s="417"/>
      <c r="AX27" s="417"/>
      <c r="AY27" s="422"/>
      <c r="AZ27" s="422"/>
      <c r="BA27" s="604"/>
      <c r="BB27" s="414"/>
      <c r="BC27" s="169"/>
      <c r="BD27" s="1330"/>
      <c r="BE27" s="1330"/>
      <c r="BF27" s="1330"/>
      <c r="BG27" s="1330"/>
    </row>
    <row r="28" spans="1:59" ht="15.75" customHeight="1">
      <c r="A28" s="418"/>
      <c r="B28" s="415" t="s">
        <v>2636</v>
      </c>
      <c r="C28" s="416">
        <f>+$C$26+$G$27-0.1</f>
        <v>93144.35000000002</v>
      </c>
      <c r="D28" s="417"/>
      <c r="E28" s="417"/>
      <c r="F28" s="418">
        <v>0</v>
      </c>
      <c r="G28" s="422"/>
      <c r="H28" s="420"/>
      <c r="I28" s="420"/>
      <c r="J28" s="416"/>
      <c r="K28" s="417"/>
      <c r="L28" s="415"/>
      <c r="M28" s="415"/>
      <c r="N28" s="420" t="s">
        <v>843</v>
      </c>
      <c r="O28" s="420"/>
      <c r="P28" s="417"/>
      <c r="Q28" s="417">
        <v>0</v>
      </c>
      <c r="R28" s="417">
        <v>0</v>
      </c>
      <c r="S28" s="422"/>
      <c r="T28" s="417">
        <v>-20</v>
      </c>
      <c r="U28" s="417"/>
      <c r="V28" s="417"/>
      <c r="W28" s="420">
        <v>0.5</v>
      </c>
      <c r="X28" s="417"/>
      <c r="Y28" s="417"/>
      <c r="Z28" s="417"/>
      <c r="AA28" s="417"/>
      <c r="AB28" s="417"/>
      <c r="AC28" s="417" t="s">
        <v>1417</v>
      </c>
      <c r="AD28" s="417"/>
      <c r="AE28" s="417"/>
      <c r="AF28" s="417">
        <v>100</v>
      </c>
      <c r="AG28" s="416">
        <v>93143</v>
      </c>
      <c r="AH28" s="417">
        <v>1583</v>
      </c>
      <c r="AI28" s="417">
        <v>-4850</v>
      </c>
      <c r="AJ28" s="417"/>
      <c r="AK28" s="420" t="s">
        <v>139</v>
      </c>
      <c r="AL28" s="417"/>
      <c r="AM28" s="417"/>
      <c r="AN28" s="444">
        <v>5.15</v>
      </c>
      <c r="AO28" s="420"/>
      <c r="AP28" s="415"/>
      <c r="AQ28" s="422"/>
      <c r="AR28" s="422"/>
      <c r="AS28" s="422"/>
      <c r="AT28" s="422">
        <f>+ab($T$28,$T$26,$T$30,$G$27,$G$29,-1*$F$28,1200)</f>
        <v>-9.8519719812938966</v>
      </c>
      <c r="AU28" s="417"/>
      <c r="AV28" s="417"/>
      <c r="AW28" s="422" t="s">
        <v>4682</v>
      </c>
      <c r="AX28" s="422"/>
      <c r="AY28" s="422"/>
      <c r="AZ28" s="422"/>
      <c r="BA28" s="604" t="s">
        <v>2809</v>
      </c>
      <c r="BB28" s="418"/>
      <c r="BC28" s="169"/>
      <c r="BD28" s="1330"/>
      <c r="BE28" s="1329">
        <v>43812</v>
      </c>
      <c r="BF28" s="1330"/>
      <c r="BG28" s="1329">
        <v>43838</v>
      </c>
    </row>
    <row r="29" spans="1:59" ht="15.75" customHeight="1">
      <c r="A29" s="420"/>
      <c r="B29" s="415"/>
      <c r="C29" s="416"/>
      <c r="D29" s="417"/>
      <c r="E29" s="417"/>
      <c r="F29" s="418"/>
      <c r="G29" s="422">
        <v>49.5</v>
      </c>
      <c r="H29" s="417"/>
      <c r="I29" s="420"/>
      <c r="J29" s="416"/>
      <c r="K29" s="417"/>
      <c r="L29" s="417"/>
      <c r="M29" s="417"/>
      <c r="N29" s="420"/>
      <c r="O29" s="420"/>
      <c r="P29" s="417"/>
      <c r="Q29" s="417"/>
      <c r="R29" s="417"/>
      <c r="S29" s="422">
        <f t="shared" ref="S29" si="11">AG30-AG28</f>
        <v>49.770000000004075</v>
      </c>
      <c r="T29" s="417"/>
      <c r="U29" s="417"/>
      <c r="V29" s="417"/>
      <c r="W29" s="420"/>
      <c r="X29" s="417"/>
      <c r="Y29" s="417"/>
      <c r="Z29" s="417"/>
      <c r="AA29" s="417"/>
      <c r="AB29" s="417"/>
      <c r="AC29" s="417"/>
      <c r="AD29" s="417"/>
      <c r="AE29" s="417"/>
      <c r="AF29" s="417"/>
      <c r="AG29" s="416"/>
      <c r="AH29" s="417"/>
      <c r="AI29" s="607"/>
      <c r="AJ29" s="417"/>
      <c r="AK29" s="420"/>
      <c r="AL29" s="417"/>
      <c r="AM29" s="417"/>
      <c r="AN29" s="444"/>
      <c r="AO29" s="420"/>
      <c r="AP29" s="420"/>
      <c r="AQ29" s="422">
        <f>+FL_1($T$30,$T$28,$G$29,1200,9.28,-1*$F$30)</f>
        <v>0.27907697777777773</v>
      </c>
      <c r="AR29" s="422"/>
      <c r="AS29" s="422"/>
      <c r="AT29" s="422"/>
      <c r="AU29" s="417"/>
      <c r="AV29" s="417"/>
      <c r="AW29" s="417"/>
      <c r="AX29" s="417"/>
      <c r="AY29" s="422"/>
      <c r="AZ29" s="422"/>
      <c r="BA29" s="604"/>
      <c r="BB29" s="420"/>
      <c r="BC29" s="169"/>
      <c r="BD29" s="1330"/>
      <c r="BE29" s="1330"/>
      <c r="BF29" s="1330"/>
      <c r="BG29" s="1330"/>
    </row>
    <row r="30" spans="1:59" ht="15.75" customHeight="1">
      <c r="A30" s="420"/>
      <c r="B30" s="415" t="s">
        <v>2637</v>
      </c>
      <c r="C30" s="416">
        <f>+$C$28+$G$29</f>
        <v>93193.85000000002</v>
      </c>
      <c r="D30" s="417"/>
      <c r="E30" s="417"/>
      <c r="F30" s="418">
        <v>0</v>
      </c>
      <c r="G30" s="422"/>
      <c r="H30" s="420"/>
      <c r="I30" s="420"/>
      <c r="J30" s="416"/>
      <c r="K30" s="417"/>
      <c r="L30" s="415"/>
      <c r="M30" s="415"/>
      <c r="N30" s="420" t="s">
        <v>844</v>
      </c>
      <c r="O30" s="420"/>
      <c r="P30" s="417"/>
      <c r="Q30" s="417">
        <v>0</v>
      </c>
      <c r="R30" s="417">
        <v>0</v>
      </c>
      <c r="S30" s="422"/>
      <c r="T30" s="417">
        <v>20</v>
      </c>
      <c r="U30" s="417"/>
      <c r="V30" s="417"/>
      <c r="W30" s="420">
        <v>0.5</v>
      </c>
      <c r="X30" s="417"/>
      <c r="Y30" s="417"/>
      <c r="Z30" s="417"/>
      <c r="AA30" s="417"/>
      <c r="AB30" s="417"/>
      <c r="AC30" s="417" t="s">
        <v>1417</v>
      </c>
      <c r="AD30" s="417"/>
      <c r="AE30" s="417"/>
      <c r="AF30" s="417">
        <v>100</v>
      </c>
      <c r="AG30" s="416">
        <v>93192.77</v>
      </c>
      <c r="AH30" s="417">
        <v>1653</v>
      </c>
      <c r="AI30" s="607">
        <v>-4880</v>
      </c>
      <c r="AJ30" s="417"/>
      <c r="AK30" s="420" t="s">
        <v>139</v>
      </c>
      <c r="AL30" s="417"/>
      <c r="AM30" s="417"/>
      <c r="AN30" s="444">
        <v>5.15</v>
      </c>
      <c r="AO30" s="420"/>
      <c r="AP30" s="420"/>
      <c r="AQ30" s="422"/>
      <c r="AR30" s="422"/>
      <c r="AS30" s="422"/>
      <c r="AT30" s="422">
        <f>+ab($T$30,$T$28,$T$32,$G$29,$G$31,-1*$F$30,1200)</f>
        <v>11.764805466131151</v>
      </c>
      <c r="AU30" s="417"/>
      <c r="AV30" s="417"/>
      <c r="AW30" s="422" t="s">
        <v>4682</v>
      </c>
      <c r="AX30" s="422"/>
      <c r="AY30" s="422"/>
      <c r="AZ30" s="422"/>
      <c r="BA30" s="604" t="s">
        <v>2809</v>
      </c>
      <c r="BB30" s="420"/>
      <c r="BC30" s="169"/>
      <c r="BD30" s="1330"/>
      <c r="BE30" s="1329">
        <v>43812</v>
      </c>
      <c r="BF30" s="1330"/>
      <c r="BG30" s="1329">
        <v>43838</v>
      </c>
    </row>
    <row r="31" spans="1:59" ht="15.75" customHeight="1">
      <c r="A31" s="495" t="s">
        <v>2606</v>
      </c>
      <c r="B31" s="494"/>
      <c r="C31" s="489"/>
      <c r="D31" s="490"/>
      <c r="E31" s="490"/>
      <c r="F31" s="491"/>
      <c r="G31" s="493">
        <v>50</v>
      </c>
      <c r="H31" s="490" t="s">
        <v>873</v>
      </c>
      <c r="I31" s="457">
        <f>SUM(G10:G31)</f>
        <v>449.2</v>
      </c>
      <c r="J31" s="489">
        <f>C32-12</f>
        <v>93231.85000000002</v>
      </c>
      <c r="K31" s="490" t="s">
        <v>897</v>
      </c>
      <c r="L31" s="490"/>
      <c r="M31" s="490"/>
      <c r="N31" s="495"/>
      <c r="O31" s="490"/>
      <c r="P31" s="490"/>
      <c r="Q31" s="490"/>
      <c r="R31" s="490"/>
      <c r="S31" s="493">
        <f t="shared" ref="S31" si="12">AG32-AG30</f>
        <v>39.139999999999418</v>
      </c>
      <c r="T31" s="490"/>
      <c r="U31" s="490"/>
      <c r="V31" s="490"/>
      <c r="W31" s="495"/>
      <c r="X31" s="490"/>
      <c r="Y31" s="490"/>
      <c r="Z31" s="490"/>
      <c r="AA31" s="490"/>
      <c r="AB31" s="490"/>
      <c r="AC31" s="490"/>
      <c r="AD31" s="490"/>
      <c r="AE31" s="490"/>
      <c r="AF31" s="490"/>
      <c r="AG31" s="489"/>
      <c r="AH31" s="490"/>
      <c r="AI31" s="640"/>
      <c r="AJ31" s="490"/>
      <c r="AK31" s="495"/>
      <c r="AL31" s="490"/>
      <c r="AM31" s="490"/>
      <c r="AN31" s="457"/>
      <c r="AO31" s="495"/>
      <c r="AP31" s="495"/>
      <c r="AQ31" s="493">
        <f>+FL_2($T$32,$T$30,$G$31,1200,9.28,-1*$F$32)</f>
        <v>-0.28304596799999998</v>
      </c>
      <c r="AR31" s="493"/>
      <c r="AS31" s="493"/>
      <c r="AT31" s="493"/>
      <c r="AU31" s="490"/>
      <c r="AV31" s="490"/>
      <c r="AW31" s="493"/>
      <c r="AX31" s="493"/>
      <c r="AY31" s="493"/>
      <c r="AZ31" s="493"/>
      <c r="BA31" s="602"/>
      <c r="BB31" s="495"/>
      <c r="BC31" s="169"/>
      <c r="BD31" s="1330"/>
      <c r="BE31" s="1330"/>
      <c r="BF31" s="1330"/>
      <c r="BG31" s="1330"/>
    </row>
    <row r="32" spans="1:59" ht="15.75" customHeight="1">
      <c r="A32" s="420"/>
      <c r="B32" s="415" t="s">
        <v>2638</v>
      </c>
      <c r="C32" s="416">
        <f>+$C$30+$G$31</f>
        <v>93243.85000000002</v>
      </c>
      <c r="D32" s="418"/>
      <c r="E32" s="418"/>
      <c r="F32" s="420">
        <v>0</v>
      </c>
      <c r="G32" s="422"/>
      <c r="H32" s="420" t="s">
        <v>874</v>
      </c>
      <c r="I32" s="420"/>
      <c r="J32" s="416"/>
      <c r="K32" s="417"/>
      <c r="L32" s="415"/>
      <c r="M32" s="415"/>
      <c r="N32" s="420" t="s">
        <v>843</v>
      </c>
      <c r="O32" s="420"/>
      <c r="P32" s="417"/>
      <c r="Q32" s="417">
        <v>0</v>
      </c>
      <c r="R32" s="417">
        <v>0</v>
      </c>
      <c r="S32" s="422"/>
      <c r="T32" s="417">
        <v>-20</v>
      </c>
      <c r="U32" s="417"/>
      <c r="V32" s="417"/>
      <c r="W32" s="420">
        <v>0.5</v>
      </c>
      <c r="X32" s="417"/>
      <c r="Y32" s="417"/>
      <c r="Z32" s="417"/>
      <c r="AA32" s="417"/>
      <c r="AB32" s="417"/>
      <c r="AC32" s="417" t="s">
        <v>1419</v>
      </c>
      <c r="AD32" s="417"/>
      <c r="AE32" s="417"/>
      <c r="AF32" s="417">
        <v>100</v>
      </c>
      <c r="AG32" s="416">
        <v>93231.91</v>
      </c>
      <c r="AH32" s="417">
        <v>1933</v>
      </c>
      <c r="AI32" s="607">
        <v>-4530</v>
      </c>
      <c r="AJ32" s="417"/>
      <c r="AK32" s="420" t="s">
        <v>139</v>
      </c>
      <c r="AL32" s="417"/>
      <c r="AM32" s="417"/>
      <c r="AN32" s="444">
        <v>5.15</v>
      </c>
      <c r="AO32" s="420"/>
      <c r="AP32" s="420"/>
      <c r="AQ32" s="422"/>
      <c r="AR32" s="422"/>
      <c r="AS32" s="422"/>
      <c r="AT32" s="422">
        <f>+ab($T$32,$T$30,$T$34,$G$31,$G$33,-1*$F$32,1200)</f>
        <v>-22.716485326077681</v>
      </c>
      <c r="AU32" s="417"/>
      <c r="AV32" s="417"/>
      <c r="AW32" s="422" t="s">
        <v>4682</v>
      </c>
      <c r="AX32" s="422"/>
      <c r="AY32" s="422"/>
      <c r="AZ32" s="422"/>
      <c r="BA32" s="604" t="s">
        <v>2809</v>
      </c>
      <c r="BB32" s="420"/>
      <c r="BC32" s="169"/>
      <c r="BD32" s="1330"/>
      <c r="BE32" s="1329">
        <v>43812</v>
      </c>
      <c r="BF32" s="1330"/>
      <c r="BG32" s="1329">
        <v>43870</v>
      </c>
    </row>
    <row r="33" spans="1:59" ht="15.75" customHeight="1">
      <c r="A33" s="420"/>
      <c r="B33" s="415"/>
      <c r="C33" s="416"/>
      <c r="D33" s="418"/>
      <c r="E33" s="418"/>
      <c r="F33" s="420"/>
      <c r="G33" s="422">
        <v>42.8</v>
      </c>
      <c r="H33" s="417" t="s">
        <v>873</v>
      </c>
      <c r="I33" s="444">
        <v>527</v>
      </c>
      <c r="J33" s="416">
        <f>C32+12</f>
        <v>93255.85000000002</v>
      </c>
      <c r="K33" s="417" t="s">
        <v>897</v>
      </c>
      <c r="L33" s="417"/>
      <c r="M33" s="417"/>
      <c r="N33" s="420"/>
      <c r="O33" s="420"/>
      <c r="P33" s="417"/>
      <c r="Q33" s="417"/>
      <c r="R33" s="417"/>
      <c r="S33" s="422">
        <f t="shared" ref="S33" si="13">AG34-AG32</f>
        <v>54.539999999993597</v>
      </c>
      <c r="T33" s="417"/>
      <c r="U33" s="417"/>
      <c r="V33" s="417"/>
      <c r="W33" s="420"/>
      <c r="X33" s="417"/>
      <c r="Y33" s="417"/>
      <c r="Z33" s="417"/>
      <c r="AA33" s="417"/>
      <c r="AB33" s="417"/>
      <c r="AC33" s="417"/>
      <c r="AD33" s="417"/>
      <c r="AE33" s="417"/>
      <c r="AF33" s="417"/>
      <c r="AG33" s="416"/>
      <c r="AH33" s="417"/>
      <c r="AI33" s="607"/>
      <c r="AJ33" s="417"/>
      <c r="AK33" s="420"/>
      <c r="AL33" s="417"/>
      <c r="AM33" s="417"/>
      <c r="AN33" s="444"/>
      <c r="AO33" s="420"/>
      <c r="AP33" s="420"/>
      <c r="AQ33" s="422">
        <f>+FL_2($T$34,$T$32,$G$33,1200,9.28,-1*$F$34)</f>
        <v>-0.69785020202456793</v>
      </c>
      <c r="AR33" s="422"/>
      <c r="AS33" s="422"/>
      <c r="AT33" s="422"/>
      <c r="AU33" s="417"/>
      <c r="AV33" s="417"/>
      <c r="AW33" s="422"/>
      <c r="AX33" s="422"/>
      <c r="AY33" s="422"/>
      <c r="AZ33" s="422"/>
      <c r="BA33" s="604"/>
      <c r="BB33" s="420"/>
      <c r="BC33" s="169"/>
      <c r="BD33" s="1330"/>
      <c r="BE33" s="1330"/>
      <c r="BF33" s="1330"/>
      <c r="BG33" s="1330"/>
    </row>
    <row r="34" spans="1:59" ht="15.75" customHeight="1">
      <c r="A34" s="420"/>
      <c r="B34" s="415" t="s">
        <v>2639</v>
      </c>
      <c r="C34" s="416">
        <f>+$C$32+$G$33+0.3</f>
        <v>93286.950000000026</v>
      </c>
      <c r="D34" s="418"/>
      <c r="E34" s="418"/>
      <c r="F34" s="420">
        <v>-714</v>
      </c>
      <c r="G34" s="422"/>
      <c r="H34" s="677"/>
      <c r="I34" s="420"/>
      <c r="J34" s="416"/>
      <c r="K34" s="417"/>
      <c r="L34" s="415"/>
      <c r="M34" s="415"/>
      <c r="N34" s="415" t="s">
        <v>2796</v>
      </c>
      <c r="O34" s="420"/>
      <c r="P34" s="417"/>
      <c r="Q34" s="417">
        <v>0</v>
      </c>
      <c r="R34" s="417">
        <v>-714.23</v>
      </c>
      <c r="S34" s="422"/>
      <c r="T34" s="417">
        <v>-20</v>
      </c>
      <c r="U34" s="417"/>
      <c r="V34" s="417"/>
      <c r="W34" s="420">
        <v>0.5</v>
      </c>
      <c r="X34" s="417"/>
      <c r="Y34" s="417"/>
      <c r="Z34" s="417"/>
      <c r="AA34" s="417"/>
      <c r="AB34" s="417"/>
      <c r="AC34" s="417" t="s">
        <v>4213</v>
      </c>
      <c r="AD34" s="417"/>
      <c r="AE34" s="417"/>
      <c r="AF34" s="417">
        <v>100</v>
      </c>
      <c r="AG34" s="416">
        <v>93286.45</v>
      </c>
      <c r="AH34" s="417">
        <v>1003</v>
      </c>
      <c r="AI34" s="607">
        <v>-5450</v>
      </c>
      <c r="AJ34" s="417"/>
      <c r="AK34" s="420" t="s">
        <v>139</v>
      </c>
      <c r="AL34" s="417"/>
      <c r="AM34" s="417"/>
      <c r="AN34" s="444">
        <v>5.15</v>
      </c>
      <c r="AO34" s="420"/>
      <c r="AP34" s="420"/>
      <c r="AQ34" s="422"/>
      <c r="AR34" s="422"/>
      <c r="AS34" s="422"/>
      <c r="AT34" s="422">
        <f>+ab($T$34,$T$32,$T$36,$G$33,$G$35,-1*$F$34,1200)</f>
        <v>3.8108430496837262</v>
      </c>
      <c r="AU34" s="417"/>
      <c r="AV34" s="417"/>
      <c r="AW34" s="422"/>
      <c r="AX34" s="422"/>
      <c r="AY34" s="422"/>
      <c r="AZ34" s="422"/>
      <c r="BA34" s="604"/>
      <c r="BB34" s="420"/>
      <c r="BC34" s="169"/>
      <c r="BD34" s="1330"/>
      <c r="BE34" s="1329"/>
      <c r="BF34" s="1330"/>
      <c r="BG34" s="1329"/>
    </row>
    <row r="35" spans="1:59" ht="15.75" customHeight="1">
      <c r="A35" s="420"/>
      <c r="B35" s="415"/>
      <c r="C35" s="416"/>
      <c r="D35" s="418"/>
      <c r="E35" s="418"/>
      <c r="F35" s="420"/>
      <c r="G35" s="422">
        <v>29</v>
      </c>
      <c r="H35" s="417"/>
      <c r="I35" s="420"/>
      <c r="J35" s="416"/>
      <c r="K35" s="417"/>
      <c r="L35" s="417"/>
      <c r="M35" s="417"/>
      <c r="N35" s="415"/>
      <c r="O35" s="417"/>
      <c r="P35" s="417"/>
      <c r="Q35" s="417"/>
      <c r="R35" s="417"/>
      <c r="S35" s="422">
        <f t="shared" ref="S35" si="14">AG36-AG34</f>
        <v>28.55000000000291</v>
      </c>
      <c r="T35" s="417"/>
      <c r="U35" s="417"/>
      <c r="V35" s="417"/>
      <c r="W35" s="420"/>
      <c r="X35" s="417"/>
      <c r="Y35" s="417"/>
      <c r="Z35" s="417"/>
      <c r="AA35" s="417"/>
      <c r="AB35" s="417"/>
      <c r="AC35" s="417"/>
      <c r="AD35" s="417"/>
      <c r="AE35" s="417"/>
      <c r="AF35" s="417"/>
      <c r="AG35" s="416"/>
      <c r="AH35" s="417"/>
      <c r="AI35" s="607"/>
      <c r="AJ35" s="417"/>
      <c r="AK35" s="420"/>
      <c r="AL35" s="417"/>
      <c r="AM35" s="417"/>
      <c r="AN35" s="444"/>
      <c r="AO35" s="420"/>
      <c r="AP35" s="420"/>
      <c r="AQ35" s="422">
        <f>+FL_2(-$T$36,$T$34,$G$35,1200,9.28,-1*$F$36)</f>
        <v>-0.27229829076202328</v>
      </c>
      <c r="AR35" s="422"/>
      <c r="AS35" s="422"/>
      <c r="AT35" s="422"/>
      <c r="AU35" s="417"/>
      <c r="AV35" s="417"/>
      <c r="AW35" s="417"/>
      <c r="AX35" s="417"/>
      <c r="AY35" s="422"/>
      <c r="AZ35" s="422"/>
      <c r="BA35" s="604"/>
      <c r="BB35" s="420"/>
      <c r="BC35" s="169"/>
      <c r="BD35" s="1330"/>
      <c r="BE35" s="1330"/>
      <c r="BF35" s="1330"/>
      <c r="BG35" s="1330"/>
    </row>
    <row r="36" spans="1:59" ht="15.75" customHeight="1">
      <c r="A36" s="420"/>
      <c r="B36" s="415" t="s">
        <v>2640</v>
      </c>
      <c r="C36" s="416">
        <f>+$C$34+$G$35</f>
        <v>93315.950000000026</v>
      </c>
      <c r="D36" s="418"/>
      <c r="E36" s="418"/>
      <c r="F36" s="420">
        <v>-714</v>
      </c>
      <c r="G36" s="422"/>
      <c r="H36" s="420"/>
      <c r="I36" s="420"/>
      <c r="J36" s="416"/>
      <c r="K36" s="417"/>
      <c r="L36" s="417"/>
      <c r="M36" s="417"/>
      <c r="N36" s="415" t="s">
        <v>2794</v>
      </c>
      <c r="O36" s="420"/>
      <c r="P36" s="417"/>
      <c r="Q36" s="417">
        <v>0</v>
      </c>
      <c r="R36" s="417">
        <v>-714.23</v>
      </c>
      <c r="S36" s="422"/>
      <c r="T36" s="417">
        <v>-20</v>
      </c>
      <c r="U36" s="417"/>
      <c r="V36" s="417"/>
      <c r="W36" s="420">
        <v>0.8</v>
      </c>
      <c r="X36" s="417"/>
      <c r="Y36" s="417"/>
      <c r="Z36" s="417"/>
      <c r="AA36" s="417"/>
      <c r="AB36" s="417"/>
      <c r="AC36" s="417" t="s">
        <v>4090</v>
      </c>
      <c r="AD36" s="417"/>
      <c r="AE36" s="417"/>
      <c r="AF36" s="417">
        <v>200</v>
      </c>
      <c r="AG36" s="416">
        <v>93315</v>
      </c>
      <c r="AH36" s="417">
        <v>1883</v>
      </c>
      <c r="AI36" s="607">
        <v>-5200</v>
      </c>
      <c r="AJ36" s="417"/>
      <c r="AK36" s="420" t="s">
        <v>139</v>
      </c>
      <c r="AL36" s="417"/>
      <c r="AM36" s="417"/>
      <c r="AN36" s="444">
        <v>5.15</v>
      </c>
      <c r="AO36" s="420"/>
      <c r="AP36" s="420"/>
      <c r="AQ36" s="422"/>
      <c r="AR36" s="422"/>
      <c r="AS36" s="422"/>
      <c r="AT36" s="422">
        <f>+ab(-$T$36,$T$34,$T$38,$G$35,$G$37,-1*$F$36,1200)</f>
        <v>3.6905781958987376</v>
      </c>
      <c r="AU36" s="417"/>
      <c r="AV36" s="417"/>
      <c r="AW36" s="422"/>
      <c r="AX36" s="422"/>
      <c r="AY36" s="422"/>
      <c r="AZ36" s="422"/>
      <c r="BA36" s="604"/>
      <c r="BB36" s="420"/>
      <c r="BC36" s="169"/>
      <c r="BD36" s="1330"/>
      <c r="BE36" s="1329"/>
      <c r="BF36" s="1330"/>
      <c r="BG36" s="1329"/>
    </row>
    <row r="37" spans="1:59" ht="15.75" customHeight="1">
      <c r="A37" s="420"/>
      <c r="B37" s="415"/>
      <c r="C37" s="416"/>
      <c r="D37" s="418"/>
      <c r="E37" s="418"/>
      <c r="F37" s="420"/>
      <c r="G37" s="422">
        <v>28</v>
      </c>
      <c r="H37" s="417"/>
      <c r="I37" s="420"/>
      <c r="J37" s="416"/>
      <c r="K37" s="417"/>
      <c r="L37" s="417"/>
      <c r="M37" s="417"/>
      <c r="N37" s="420"/>
      <c r="O37" s="417"/>
      <c r="P37" s="417"/>
      <c r="Q37" s="417"/>
      <c r="R37" s="417"/>
      <c r="S37" s="422">
        <f t="shared" ref="S37" si="15">AG38-AG36</f>
        <v>28.350000000005821</v>
      </c>
      <c r="T37" s="417"/>
      <c r="U37" s="417"/>
      <c r="V37" s="417"/>
      <c r="W37" s="420"/>
      <c r="X37" s="417"/>
      <c r="Y37" s="417"/>
      <c r="Z37" s="417"/>
      <c r="AA37" s="417"/>
      <c r="AB37" s="417"/>
      <c r="AC37" s="417"/>
      <c r="AD37" s="417"/>
      <c r="AE37" s="417"/>
      <c r="AF37" s="417"/>
      <c r="AG37" s="416"/>
      <c r="AH37" s="417"/>
      <c r="AI37" s="607"/>
      <c r="AJ37" s="417"/>
      <c r="AK37" s="420"/>
      <c r="AL37" s="417"/>
      <c r="AM37" s="417"/>
      <c r="AN37" s="444"/>
      <c r="AO37" s="420"/>
      <c r="AP37" s="420"/>
      <c r="AQ37" s="422">
        <f>+FL_2($T$38,$T$36,$G$37,1200,9.28,-1*$F$38)</f>
        <v>-0.2474558455380392</v>
      </c>
      <c r="AR37" s="422"/>
      <c r="AS37" s="422"/>
      <c r="AT37" s="422"/>
      <c r="AU37" s="417"/>
      <c r="AV37" s="417"/>
      <c r="AW37" s="417"/>
      <c r="AX37" s="417"/>
      <c r="AY37" s="422"/>
      <c r="AZ37" s="422"/>
      <c r="BA37" s="604"/>
      <c r="BB37" s="420"/>
      <c r="BC37" s="169"/>
      <c r="BD37" s="1330"/>
      <c r="BE37" s="1330"/>
      <c r="BF37" s="1330"/>
      <c r="BG37" s="1330"/>
    </row>
    <row r="38" spans="1:59" ht="15.75" customHeight="1">
      <c r="A38" s="1239"/>
      <c r="B38" s="445" t="s">
        <v>2641</v>
      </c>
      <c r="C38" s="446">
        <f>+$C$36+$G$37</f>
        <v>93343.950000000026</v>
      </c>
      <c r="D38" s="447"/>
      <c r="E38" s="447"/>
      <c r="F38" s="1239">
        <v>-714</v>
      </c>
      <c r="G38" s="484"/>
      <c r="H38" s="638"/>
      <c r="I38" s="638" t="s">
        <v>1039</v>
      </c>
      <c r="J38" s="446"/>
      <c r="K38" s="638"/>
      <c r="L38" s="638" t="s">
        <v>821</v>
      </c>
      <c r="M38" s="638" t="str">
        <f>IF(AX38="PT",VLOOKUP(L38,'Foundation Calculation'!$V$2:$X$40,VLOOKUP(AX38,'Foundation Calculation'!$I$10:$J$13,2,FALSE),0),IF(AX38="K",VLOOKUP(L38,'Foundation Calculation'!$V$42:$X$80,VLOOKUP(AX38,'Foundation Calculation'!$I$10:$J$13,2,FALSE),0),""))</f>
        <v>C7R</v>
      </c>
      <c r="N38" s="1239" t="s">
        <v>144</v>
      </c>
      <c r="O38" s="1239"/>
      <c r="P38" s="638"/>
      <c r="Q38" s="638">
        <v>10</v>
      </c>
      <c r="R38" s="638">
        <v>1015.19</v>
      </c>
      <c r="S38" s="484"/>
      <c r="T38" s="638">
        <v>25</v>
      </c>
      <c r="U38" s="638"/>
      <c r="V38" s="638"/>
      <c r="W38" s="1239">
        <v>1</v>
      </c>
      <c r="X38" s="638"/>
      <c r="Y38" s="638"/>
      <c r="Z38" s="638"/>
      <c r="AA38" s="638"/>
      <c r="AB38" s="638"/>
      <c r="AC38" s="638" t="s">
        <v>4090</v>
      </c>
      <c r="AD38" s="638"/>
      <c r="AE38" s="638"/>
      <c r="AF38" s="638">
        <v>4900</v>
      </c>
      <c r="AG38" s="446">
        <v>93343.35</v>
      </c>
      <c r="AH38" s="638">
        <v>2433</v>
      </c>
      <c r="AI38" s="185">
        <v>10</v>
      </c>
      <c r="AJ38" s="638"/>
      <c r="AK38" s="1239"/>
      <c r="AL38" s="638" t="s">
        <v>2142</v>
      </c>
      <c r="AM38" s="638" t="s">
        <v>1042</v>
      </c>
      <c r="AN38" s="455">
        <v>5.15</v>
      </c>
      <c r="AO38" s="1239"/>
      <c r="AP38" s="1239"/>
      <c r="AQ38" s="484"/>
      <c r="AR38" s="484"/>
      <c r="AS38" s="484"/>
      <c r="AT38" s="484">
        <f>+ab($T$38,$T$36,$T$40,$G$37,$G$39,-1*$F$38,1200)</f>
        <v>2.7734850705739382</v>
      </c>
      <c r="AU38" s="638"/>
      <c r="AV38" s="638"/>
      <c r="AW38" s="638" t="str">
        <f>VLOOKUP(C38,'Foundation Calculation'!$A$2:$C$33,3,1)</f>
        <v>Soil D</v>
      </c>
      <c r="AX38" s="638" t="s">
        <v>1371</v>
      </c>
      <c r="AY38" s="484">
        <f>IF(AX38="PT",VLOOKUP(L38,'Foundation Calculation'!$K$2:$R$40,VLOOKUP(AW38,'Foundation Calculation'!$I$2:$J$8,2,FALSE),0),IF(AX38="K",VLOOKUP(L38,'Foundation Calculation'!$K$42:$R$80,VLOOKUP(AW38,'Foundation Calculation'!$I$2:$J$8,2,FALSE),0),""))</f>
        <v>3.5</v>
      </c>
      <c r="AZ38" s="484"/>
      <c r="BA38" s="671" t="s">
        <v>2809</v>
      </c>
      <c r="BB38" s="1239" t="str">
        <f>Pole_Calculations!A178</f>
        <v>App.8-V08F-P10.3</v>
      </c>
      <c r="BC38" s="169"/>
      <c r="BD38" s="1329">
        <v>43743</v>
      </c>
      <c r="BE38" s="1329" t="s">
        <v>4946</v>
      </c>
      <c r="BF38" s="1329">
        <v>43854</v>
      </c>
      <c r="BG38" s="1329">
        <v>43838</v>
      </c>
    </row>
    <row r="39" spans="1:59" ht="15.75" customHeight="1">
      <c r="A39" s="1239"/>
      <c r="B39" s="173"/>
      <c r="C39" s="446"/>
      <c r="D39" s="447"/>
      <c r="E39" s="447"/>
      <c r="F39" s="1239"/>
      <c r="G39" s="484">
        <v>32.299999999999997</v>
      </c>
      <c r="H39" s="638"/>
      <c r="I39" s="1239"/>
      <c r="J39" s="446"/>
      <c r="K39" s="445"/>
      <c r="L39" s="638"/>
      <c r="M39" s="638"/>
      <c r="N39" s="1239"/>
      <c r="O39" s="1239"/>
      <c r="P39" s="638"/>
      <c r="Q39" s="638"/>
      <c r="R39" s="638"/>
      <c r="S39" s="484">
        <f t="shared" ref="S39" si="16">AG40-AG38</f>
        <v>32.519999999989523</v>
      </c>
      <c r="T39" s="638"/>
      <c r="U39" s="638"/>
      <c r="V39" s="638"/>
      <c r="W39" s="1239"/>
      <c r="X39" s="638"/>
      <c r="Y39" s="638"/>
      <c r="Z39" s="638"/>
      <c r="AA39" s="638"/>
      <c r="AB39" s="638"/>
      <c r="AC39" s="638"/>
      <c r="AD39" s="638"/>
      <c r="AE39" s="638"/>
      <c r="AF39" s="638"/>
      <c r="AG39" s="446"/>
      <c r="AH39" s="638"/>
      <c r="AI39" s="185"/>
      <c r="AJ39" s="638"/>
      <c r="AK39" s="1239"/>
      <c r="AL39" s="638"/>
      <c r="AM39" s="638"/>
      <c r="AN39" s="455"/>
      <c r="AO39" s="1239"/>
      <c r="AP39" s="1239"/>
      <c r="AQ39" s="484">
        <f>+FL_1($T$40,$T$38,$G$39,1200,9.28,-1*$F$40)</f>
        <v>0.25176754017750252</v>
      </c>
      <c r="AR39" s="484"/>
      <c r="AS39" s="484"/>
      <c r="AT39" s="484"/>
      <c r="AU39" s="638"/>
      <c r="AV39" s="638"/>
      <c r="AW39" s="638"/>
      <c r="AX39" s="638"/>
      <c r="AY39" s="484"/>
      <c r="AZ39" s="484"/>
      <c r="BA39" s="671"/>
      <c r="BB39" s="1239"/>
      <c r="BC39" s="169"/>
      <c r="BD39" s="1330"/>
      <c r="BE39" s="1330"/>
      <c r="BF39" s="1330"/>
      <c r="BG39" s="1330"/>
    </row>
    <row r="40" spans="1:59" ht="15.75" customHeight="1">
      <c r="A40" s="1239" t="s">
        <v>2937</v>
      </c>
      <c r="B40" s="173" t="s">
        <v>2625</v>
      </c>
      <c r="C40" s="446">
        <f>+$C$38+$G$39</f>
        <v>93376.250000000029</v>
      </c>
      <c r="D40" s="447"/>
      <c r="E40" s="447"/>
      <c r="F40" s="1239">
        <v>0</v>
      </c>
      <c r="G40" s="484"/>
      <c r="H40" s="638"/>
      <c r="I40" s="172"/>
      <c r="J40" s="446"/>
      <c r="K40" s="638"/>
      <c r="L40" s="638" t="s">
        <v>819</v>
      </c>
      <c r="M40" s="638" t="str">
        <f>IF(AX40="PT",VLOOKUP(L40,'Foundation Calculation'!$V$2:$X$40,VLOOKUP(AX40,'Foundation Calculation'!$I$10:$J$13,2,FALSE),0),IF(AX40="K",VLOOKUP(L40,'Foundation Calculation'!$V$42:$X$80,VLOOKUP(AX40,'Foundation Calculation'!$I$10:$J$13,2,FALSE),0),""))</f>
        <v>C5R</v>
      </c>
      <c r="N40" s="1239" t="s">
        <v>2789</v>
      </c>
      <c r="O40" s="1239"/>
      <c r="P40" s="638"/>
      <c r="Q40" s="638">
        <v>20</v>
      </c>
      <c r="R40" s="638">
        <v>0</v>
      </c>
      <c r="S40" s="484"/>
      <c r="T40" s="638">
        <v>-10</v>
      </c>
      <c r="U40" s="638"/>
      <c r="V40" s="638"/>
      <c r="W40" s="1239">
        <v>1</v>
      </c>
      <c r="X40" s="638"/>
      <c r="Y40" s="638"/>
      <c r="Z40" s="638"/>
      <c r="AA40" s="638"/>
      <c r="AB40" s="638"/>
      <c r="AC40" s="638" t="s">
        <v>4090</v>
      </c>
      <c r="AD40" s="638"/>
      <c r="AE40" s="638"/>
      <c r="AF40" s="638">
        <v>4900</v>
      </c>
      <c r="AG40" s="446">
        <v>93375.87</v>
      </c>
      <c r="AH40" s="638">
        <v>2773</v>
      </c>
      <c r="AI40" s="185">
        <v>20</v>
      </c>
      <c r="AJ40" s="638" t="s">
        <v>877</v>
      </c>
      <c r="AK40" s="1239"/>
      <c r="AL40" s="638" t="s">
        <v>2127</v>
      </c>
      <c r="AM40" s="638" t="s">
        <v>1042</v>
      </c>
      <c r="AN40" s="455">
        <v>5.15</v>
      </c>
      <c r="AO40" s="1239"/>
      <c r="AP40" s="1239"/>
      <c r="AQ40" s="484"/>
      <c r="AR40" s="484"/>
      <c r="AS40" s="484"/>
      <c r="AT40" s="484">
        <f>+ab($T$40,$T$38,$T$42,$G$39,$G$41,-1*$F$40,1200)</f>
        <v>-7.6693915803994077</v>
      </c>
      <c r="AU40" s="638"/>
      <c r="AV40" s="638"/>
      <c r="AW40" s="638" t="str">
        <f>VLOOKUP(C40,'Foundation Calculation'!$A$2:$C$33,3,1)</f>
        <v>Soil D</v>
      </c>
      <c r="AX40" s="638" t="s">
        <v>1371</v>
      </c>
      <c r="AY40" s="484">
        <f>IF(AX40="PT",VLOOKUP(L40,'Foundation Calculation'!$K$2:$R$40,VLOOKUP(AW40,'Foundation Calculation'!$I$2:$J$8,2,FALSE),0),IF(AX40="K",VLOOKUP(L40,'Foundation Calculation'!$K$42:$R$80,VLOOKUP(AW40,'Foundation Calculation'!$I$2:$J$8,2,FALSE),0),""))</f>
        <v>3</v>
      </c>
      <c r="AZ40" s="484"/>
      <c r="BA40" s="671" t="s">
        <v>2809</v>
      </c>
      <c r="BB40" s="1239" t="str">
        <f>Pole_Calculations!A178</f>
        <v>App.8-V08F-P10.3</v>
      </c>
      <c r="BC40" s="169"/>
      <c r="BD40" s="1329">
        <v>43743</v>
      </c>
      <c r="BE40" s="1329" t="s">
        <v>4946</v>
      </c>
      <c r="BF40" s="1329">
        <v>43854</v>
      </c>
      <c r="BG40" s="1329">
        <v>43838</v>
      </c>
    </row>
    <row r="41" spans="1:59" ht="15.75" customHeight="1">
      <c r="A41" s="1239"/>
      <c r="B41" s="173"/>
      <c r="C41" s="446"/>
      <c r="D41" s="447"/>
      <c r="E41" s="447"/>
      <c r="F41" s="1239"/>
      <c r="G41" s="484">
        <v>28.5</v>
      </c>
      <c r="H41" s="638"/>
      <c r="I41" s="638"/>
      <c r="J41" s="446"/>
      <c r="K41" s="638"/>
      <c r="L41" s="638"/>
      <c r="M41" s="638"/>
      <c r="N41" s="1239"/>
      <c r="O41" s="1239"/>
      <c r="P41" s="638"/>
      <c r="Q41" s="638"/>
      <c r="R41" s="638"/>
      <c r="S41" s="484">
        <f t="shared" ref="S41" si="17">AG42-AG40</f>
        <v>28.919999999998254</v>
      </c>
      <c r="T41" s="638"/>
      <c r="U41" s="638"/>
      <c r="V41" s="638"/>
      <c r="W41" s="1239"/>
      <c r="X41" s="638"/>
      <c r="Y41" s="638"/>
      <c r="Z41" s="638"/>
      <c r="AA41" s="638"/>
      <c r="AB41" s="638"/>
      <c r="AC41" s="638"/>
      <c r="AD41" s="638"/>
      <c r="AE41" s="638"/>
      <c r="AF41" s="638"/>
      <c r="AG41" s="446"/>
      <c r="AH41" s="638"/>
      <c r="AI41" s="185"/>
      <c r="AJ41" s="638" t="s">
        <v>864</v>
      </c>
      <c r="AK41" s="1239"/>
      <c r="AL41" s="638"/>
      <c r="AM41" s="638"/>
      <c r="AN41" s="455"/>
      <c r="AO41" s="1239"/>
      <c r="AP41" s="1239"/>
      <c r="AQ41" s="484">
        <f>+FL_1($T$42,$T$40,$G$41,1200,9.28,-1*$F$42)</f>
        <v>0.3</v>
      </c>
      <c r="AR41" s="484"/>
      <c r="AS41" s="484"/>
      <c r="AT41" s="484"/>
      <c r="AU41" s="638"/>
      <c r="AV41" s="638"/>
      <c r="AW41" s="638"/>
      <c r="AX41" s="638"/>
      <c r="AY41" s="484" t="str">
        <f>IF(AX41="PT",VLOOKUP(M41,'Foundation Calculation'!$L$2:$R$37,VLOOKUP(AW41,'Foundation Calculation'!$I$2:$J$8,2,FALSE),0),IF(AX41="K",VLOOKUP(M41,'Foundation Calculation'!$L$41:$R$75,VLOOKUP(AW41,'Foundation Calculation'!$I$2:$J$8,2,FALSE),0),""))</f>
        <v/>
      </c>
      <c r="AZ41" s="484" t="str">
        <f>IF(AX41="PT",VLOOKUP(K41,'Foundation Calculation'!$L$2:$R$41,VLOOKUP(AW41,'Foundation Calculation'!$I$2:$J$8,2,FALSE),0),IF(AX41="K",VLOOKUP(K41,'Foundation Calculation'!$L$41:$R$79,VLOOKUP(AW41,'Foundation Calculation'!$I$2:$J$8,2,FALSE),0),""))</f>
        <v/>
      </c>
      <c r="BA41" s="671"/>
      <c r="BB41" s="1239"/>
      <c r="BC41" s="169"/>
      <c r="BD41" s="1330"/>
      <c r="BE41" s="1330"/>
      <c r="BF41" s="1330"/>
      <c r="BG41" s="1330"/>
    </row>
    <row r="42" spans="1:59" ht="15.75" customHeight="1">
      <c r="A42" s="1239"/>
      <c r="B42" s="1239" t="s">
        <v>2627</v>
      </c>
      <c r="C42" s="171">
        <f>+$C$40+$G$41</f>
        <v>93404.750000000029</v>
      </c>
      <c r="D42" s="1239"/>
      <c r="E42" s="1239"/>
      <c r="F42" s="1239">
        <v>0</v>
      </c>
      <c r="G42" s="455"/>
      <c r="H42" s="1239" t="s">
        <v>2505</v>
      </c>
      <c r="I42" s="1239"/>
      <c r="J42" s="446"/>
      <c r="K42" s="638"/>
      <c r="L42" s="638" t="s">
        <v>895</v>
      </c>
      <c r="M42" s="638" t="str">
        <f>IF(AX42="PT",VLOOKUP(L42,'Foundation Calculation'!$V$2:$X$40,VLOOKUP(AX42,'Foundation Calculation'!$I$10:$J$13,2,FALSE),0),IF(AX42="K",VLOOKUP(L42,'Foundation Calculation'!$V$42:$X$80,VLOOKUP(AX42,'Foundation Calculation'!$I$10:$J$13,2,FALSE),0),""))</f>
        <v>2C3R</v>
      </c>
      <c r="N42" s="1239" t="s">
        <v>144</v>
      </c>
      <c r="O42" s="1239" t="s">
        <v>143</v>
      </c>
      <c r="P42" s="638"/>
      <c r="Q42" s="638">
        <v>10</v>
      </c>
      <c r="R42" s="638">
        <v>0</v>
      </c>
      <c r="S42" s="484"/>
      <c r="T42" s="638">
        <v>30</v>
      </c>
      <c r="U42" s="638">
        <v>15</v>
      </c>
      <c r="V42" s="638"/>
      <c r="W42" s="1239">
        <v>1</v>
      </c>
      <c r="X42" s="638">
        <v>1.8</v>
      </c>
      <c r="Y42" s="638"/>
      <c r="Z42" s="638"/>
      <c r="AA42" s="638"/>
      <c r="AB42" s="638"/>
      <c r="AC42" s="638" t="s">
        <v>4124</v>
      </c>
      <c r="AD42" s="638" t="s">
        <v>4207</v>
      </c>
      <c r="AE42" s="638"/>
      <c r="AF42" s="638">
        <v>5300</v>
      </c>
      <c r="AG42" s="446">
        <v>93404.79</v>
      </c>
      <c r="AH42" s="638">
        <v>2613</v>
      </c>
      <c r="AI42" s="185">
        <v>150</v>
      </c>
      <c r="AJ42" s="638"/>
      <c r="AK42" s="1239"/>
      <c r="AL42" s="638"/>
      <c r="AM42" s="638" t="s">
        <v>1042</v>
      </c>
      <c r="AN42" s="455">
        <v>5.15</v>
      </c>
      <c r="AO42" s="1239"/>
      <c r="AP42" s="1239"/>
      <c r="AQ42" s="484"/>
      <c r="AR42" s="484"/>
      <c r="AS42" s="484"/>
      <c r="AT42" s="484">
        <f>+ab($T$42,$T$40,$T$44,$G$41,$G$43,-1*$F$42,1200)</f>
        <v>4.7594354086183115</v>
      </c>
      <c r="AU42" s="638"/>
      <c r="AV42" s="638"/>
      <c r="AW42" s="638" t="str">
        <f>VLOOKUP(C42,'Foundation Calculation'!$A$2:$C$33,3,1)</f>
        <v>Soil D</v>
      </c>
      <c r="AX42" s="638" t="s">
        <v>1371</v>
      </c>
      <c r="AY42" s="484">
        <f>IF(AX42="PT",VLOOKUP(L42,'Foundation Calculation'!$K$2:$R$40,VLOOKUP(AW42,'Foundation Calculation'!$I$2:$J$8,2,FALSE),0),IF(AX42="K",VLOOKUP(L42,'Foundation Calculation'!$K$42:$R$80,VLOOKUP(AW42,'Foundation Calculation'!$I$2:$J$8,2,FALSE),0),""))</f>
        <v>3</v>
      </c>
      <c r="AZ42" s="484"/>
      <c r="BA42" s="671" t="s">
        <v>2809</v>
      </c>
      <c r="BB42" s="1239" t="str">
        <f>Pole_Calculations!A19</f>
        <v>App.7-V11A-P9.5.1.5</v>
      </c>
      <c r="BC42" s="169"/>
      <c r="BD42" s="1329">
        <v>43750</v>
      </c>
      <c r="BE42" s="1329" t="s">
        <v>4946</v>
      </c>
      <c r="BF42" s="1330"/>
      <c r="BG42" s="1329">
        <v>43870</v>
      </c>
    </row>
    <row r="43" spans="1:59" ht="15.75" customHeight="1">
      <c r="A43" s="1239"/>
      <c r="B43" s="1239"/>
      <c r="C43" s="1239"/>
      <c r="D43" s="1239"/>
      <c r="E43" s="1239"/>
      <c r="F43" s="1239"/>
      <c r="G43" s="455">
        <v>21</v>
      </c>
      <c r="H43" s="1239"/>
      <c r="I43" s="1239"/>
      <c r="J43" s="446"/>
      <c r="K43" s="638"/>
      <c r="L43" s="638"/>
      <c r="M43" s="638"/>
      <c r="N43" s="1239"/>
      <c r="O43" s="1239"/>
      <c r="P43" s="638"/>
      <c r="Q43" s="638"/>
      <c r="R43" s="638"/>
      <c r="S43" s="484">
        <f t="shared" ref="S43" si="18">AG44-AG42</f>
        <v>22.570000000006985</v>
      </c>
      <c r="T43" s="638"/>
      <c r="U43" s="638"/>
      <c r="V43" s="638"/>
      <c r="W43" s="1239"/>
      <c r="X43" s="638"/>
      <c r="Y43" s="638"/>
      <c r="Z43" s="638"/>
      <c r="AA43" s="638"/>
      <c r="AB43" s="638"/>
      <c r="AC43" s="638"/>
      <c r="AD43" s="638"/>
      <c r="AE43" s="638"/>
      <c r="AF43" s="638"/>
      <c r="AG43" s="446"/>
      <c r="AH43" s="638"/>
      <c r="AI43" s="185"/>
      <c r="AJ43" s="638"/>
      <c r="AK43" s="1239"/>
      <c r="AL43" s="638"/>
      <c r="AM43" s="638"/>
      <c r="AN43" s="455"/>
      <c r="AO43" s="1239"/>
      <c r="AP43" s="1239"/>
      <c r="AQ43" s="484">
        <f>+FL_1($T$44,$T$42,$G$43,1200,9.28,-1*$F$44)</f>
        <v>0.30000000000000876</v>
      </c>
      <c r="AR43" s="484"/>
      <c r="AS43" s="484"/>
      <c r="AT43" s="484"/>
      <c r="AU43" s="638"/>
      <c r="AV43" s="638"/>
      <c r="AW43" s="638"/>
      <c r="AX43" s="638"/>
      <c r="AY43" s="484" t="str">
        <f>IF(AX43="PT",VLOOKUP(M43,'Foundation Calculation'!$L$2:$R$37,VLOOKUP(AW43,'Foundation Calculation'!$I$2:$J$8,2,FALSE),0),IF(AX43="K",VLOOKUP(M43,'Foundation Calculation'!$L$41:$R$75,VLOOKUP(AW43,'Foundation Calculation'!$I$2:$J$8,2,FALSE),0),""))</f>
        <v/>
      </c>
      <c r="AZ43" s="484" t="str">
        <f>IF(AX43="PT",VLOOKUP(K43,'Foundation Calculation'!$L$2:$R$41,VLOOKUP(AW43,'Foundation Calculation'!$I$2:$J$8,2,FALSE),0),IF(AX43="K",VLOOKUP(K43,'Foundation Calculation'!$L$41:$R$79,VLOOKUP(AW43,'Foundation Calculation'!$I$2:$J$8,2,FALSE),0),""))</f>
        <v/>
      </c>
      <c r="BA43" s="671"/>
      <c r="BB43" s="1239"/>
      <c r="BC43" s="169"/>
      <c r="BD43" s="1330"/>
      <c r="BE43" s="1330"/>
      <c r="BF43" s="1330"/>
      <c r="BG43" s="1330"/>
    </row>
    <row r="44" spans="1:59" ht="15.75" customHeight="1">
      <c r="A44" s="638"/>
      <c r="B44" s="638" t="s">
        <v>2626</v>
      </c>
      <c r="C44" s="446">
        <f>+$C$42+$G$43+0.2</f>
        <v>93425.950000000026</v>
      </c>
      <c r="D44" s="638"/>
      <c r="E44" s="638"/>
      <c r="F44" s="638">
        <v>1123</v>
      </c>
      <c r="G44" s="484"/>
      <c r="H44" s="638" t="s">
        <v>2157</v>
      </c>
      <c r="I44" s="638" t="s">
        <v>1039</v>
      </c>
      <c r="J44" s="446"/>
      <c r="K44" s="638"/>
      <c r="L44" s="638" t="s">
        <v>895</v>
      </c>
      <c r="M44" s="638" t="str">
        <f>IF(AX44="PT",VLOOKUP(L44,'Foundation Calculation'!$V$2:$X$40,VLOOKUP(AX44,'Foundation Calculation'!$I$10:$J$13,2,FALSE),0),IF(AX44="K",VLOOKUP(L44,'Foundation Calculation'!$V$42:$X$80,VLOOKUP(AX44,'Foundation Calculation'!$I$10:$J$13,2,FALSE),0),""))</f>
        <v>2C3R</v>
      </c>
      <c r="N44" s="638" t="s">
        <v>143</v>
      </c>
      <c r="O44" s="1239" t="s">
        <v>140</v>
      </c>
      <c r="P44" s="638"/>
      <c r="Q44" s="638">
        <v>4.8499999999999996</v>
      </c>
      <c r="R44" s="638">
        <v>1123.27</v>
      </c>
      <c r="S44" s="484"/>
      <c r="T44" s="638">
        <v>-25</v>
      </c>
      <c r="U44" s="638">
        <v>-40</v>
      </c>
      <c r="V44" s="638"/>
      <c r="W44" s="1239">
        <v>0.9</v>
      </c>
      <c r="X44" s="638">
        <v>1.8</v>
      </c>
      <c r="Y44" s="638"/>
      <c r="Z44" s="638"/>
      <c r="AA44" s="638">
        <v>0.25</v>
      </c>
      <c r="AB44" s="638"/>
      <c r="AC44" s="638" t="s">
        <v>4090</v>
      </c>
      <c r="AD44" s="638"/>
      <c r="AE44" s="638"/>
      <c r="AF44" s="638">
        <v>5000</v>
      </c>
      <c r="AG44" s="446">
        <v>93427.36</v>
      </c>
      <c r="AH44" s="638">
        <v>2493</v>
      </c>
      <c r="AI44" s="185">
        <v>80</v>
      </c>
      <c r="AJ44" s="638"/>
      <c r="AK44" s="1239"/>
      <c r="AL44" s="638"/>
      <c r="AM44" s="638" t="s">
        <v>1042</v>
      </c>
      <c r="AN44" s="455">
        <v>5.15</v>
      </c>
      <c r="AO44" s="1239"/>
      <c r="AP44" s="1239"/>
      <c r="AQ44" s="484"/>
      <c r="AR44" s="484"/>
      <c r="AS44" s="484"/>
      <c r="AT44" s="484">
        <f>+ab($T$44,$T$42,$T$46,$G$43,$G$45,-1*$F$44,1200)</f>
        <v>-4.2382771135185058</v>
      </c>
      <c r="AU44" s="638"/>
      <c r="AV44" s="638"/>
      <c r="AW44" s="638" t="str">
        <f>VLOOKUP(C44,'Foundation Calculation'!$A$2:$C$33,3,1)</f>
        <v>Soil A</v>
      </c>
      <c r="AX44" s="638" t="s">
        <v>1371</v>
      </c>
      <c r="AY44" s="484">
        <f>IF(AX44="PT",VLOOKUP(L44,'Foundation Calculation'!$K$2:$R$40,VLOOKUP(AW44,'Foundation Calculation'!$I$2:$J$8,2,FALSE),0),IF(AX44="K",VLOOKUP(L44,'Foundation Calculation'!$K$42:$R$80,VLOOKUP(AW44,'Foundation Calculation'!$I$2:$J$8,2,FALSE),0),""))</f>
        <v>3.7</v>
      </c>
      <c r="AZ44" s="484"/>
      <c r="BA44" s="671" t="s">
        <v>2809</v>
      </c>
      <c r="BB44" s="638" t="str">
        <f>Pole_Calculations!A19</f>
        <v>App.7-V11A-P9.5.1.5</v>
      </c>
      <c r="BC44" s="169"/>
      <c r="BD44" s="1329">
        <v>43750</v>
      </c>
      <c r="BE44" s="1329" t="s">
        <v>4946</v>
      </c>
      <c r="BF44" s="1330"/>
      <c r="BG44" s="1329">
        <v>43870</v>
      </c>
    </row>
    <row r="45" spans="1:59" ht="15.75" customHeight="1">
      <c r="A45" s="638"/>
      <c r="B45" s="638"/>
      <c r="C45" s="638"/>
      <c r="D45" s="638"/>
      <c r="E45" s="638"/>
      <c r="F45" s="638"/>
      <c r="G45" s="484">
        <v>26</v>
      </c>
      <c r="H45" s="638"/>
      <c r="I45" s="638"/>
      <c r="J45" s="446"/>
      <c r="K45" s="445"/>
      <c r="L45" s="638"/>
      <c r="M45" s="638"/>
      <c r="N45" s="1239"/>
      <c r="O45" s="1239"/>
      <c r="P45" s="638"/>
      <c r="Q45" s="638"/>
      <c r="R45" s="638"/>
      <c r="S45" s="484">
        <f t="shared" ref="S45:S47" si="19">AG46-AG44</f>
        <v>23.639999999999418</v>
      </c>
      <c r="T45" s="638"/>
      <c r="U45" s="638"/>
      <c r="V45" s="638"/>
      <c r="W45" s="1239"/>
      <c r="X45" s="638"/>
      <c r="Y45" s="638"/>
      <c r="Z45" s="638"/>
      <c r="AA45" s="638"/>
      <c r="AB45" s="638"/>
      <c r="AC45" s="638"/>
      <c r="AD45" s="638"/>
      <c r="AE45" s="638"/>
      <c r="AF45" s="638"/>
      <c r="AG45" s="446"/>
      <c r="AH45" s="638"/>
      <c r="AI45" s="185"/>
      <c r="AJ45" s="638"/>
      <c r="AK45" s="1239"/>
      <c r="AL45" s="638"/>
      <c r="AM45" s="638"/>
      <c r="AN45" s="455"/>
      <c r="AO45" s="1239"/>
      <c r="AP45" s="1239"/>
      <c r="AQ45" s="484">
        <f>+FL_1($T$46,$T$44,$G$45,1200,9.28,-1*$F$46)</f>
        <v>-0.13329461149514701</v>
      </c>
      <c r="AR45" s="484"/>
      <c r="AS45" s="484"/>
      <c r="AT45" s="484"/>
      <c r="AU45" s="638"/>
      <c r="AV45" s="638"/>
      <c r="AW45" s="638"/>
      <c r="AX45" s="638"/>
      <c r="AY45" s="484"/>
      <c r="AZ45" s="484" t="str">
        <f>IF(AX45="PT",VLOOKUP(K45,'Foundation Calculation'!$L$2:$R$41,VLOOKUP(AW45,'Foundation Calculation'!$I$2:$J$8,2,FALSE),0),IF(AX45="K",VLOOKUP(K45,'Foundation Calculation'!$L$41:$R$79,VLOOKUP(AW45,'Foundation Calculation'!$I$2:$J$8,2,FALSE),0),""))</f>
        <v/>
      </c>
      <c r="BA45" s="671"/>
      <c r="BB45" s="638"/>
      <c r="BC45" s="169"/>
      <c r="BD45" s="1330"/>
      <c r="BE45" s="1330"/>
      <c r="BF45" s="1330"/>
      <c r="BG45" s="1330"/>
    </row>
    <row r="46" spans="1:59" ht="15.75" customHeight="1">
      <c r="A46" s="638" t="s">
        <v>3284</v>
      </c>
      <c r="B46" s="638" t="s">
        <v>2628</v>
      </c>
      <c r="C46" s="446">
        <f>+$C$44+$G$45-0.6</f>
        <v>93451.35000000002</v>
      </c>
      <c r="D46" s="638"/>
      <c r="E46" s="638"/>
      <c r="F46" s="638">
        <v>1123</v>
      </c>
      <c r="G46" s="484"/>
      <c r="H46" s="638"/>
      <c r="I46" s="638"/>
      <c r="J46" s="446"/>
      <c r="K46" s="638"/>
      <c r="L46" s="638"/>
      <c r="M46" s="638"/>
      <c r="N46" s="1239" t="s">
        <v>2796</v>
      </c>
      <c r="O46" s="1239"/>
      <c r="P46" s="638"/>
      <c r="Q46" s="638">
        <v>40</v>
      </c>
      <c r="R46" s="638">
        <v>1123.27</v>
      </c>
      <c r="S46" s="484"/>
      <c r="T46" s="638">
        <v>-30</v>
      </c>
      <c r="U46" s="638"/>
      <c r="V46" s="638"/>
      <c r="W46" s="638">
        <v>0.6</v>
      </c>
      <c r="X46" s="638"/>
      <c r="Y46" s="638"/>
      <c r="Z46" s="638"/>
      <c r="AA46" s="638"/>
      <c r="AB46" s="638"/>
      <c r="AC46" s="638" t="s">
        <v>4115</v>
      </c>
      <c r="AD46" s="638"/>
      <c r="AE46" s="638"/>
      <c r="AF46" s="638">
        <v>100</v>
      </c>
      <c r="AG46" s="446">
        <v>93451</v>
      </c>
      <c r="AH46" s="638">
        <v>1793</v>
      </c>
      <c r="AI46" s="185">
        <v>-5550</v>
      </c>
      <c r="AJ46" s="1239" t="s">
        <v>884</v>
      </c>
      <c r="AK46" s="1239" t="s">
        <v>139</v>
      </c>
      <c r="AL46" s="638"/>
      <c r="AM46" s="638"/>
      <c r="AN46" s="455">
        <v>5.15</v>
      </c>
      <c r="AO46" s="1239"/>
      <c r="AP46" s="1239"/>
      <c r="AQ46" s="484"/>
      <c r="AR46" s="484"/>
      <c r="AS46" s="484"/>
      <c r="AT46" s="484">
        <f>+ab($T$46,$T$44,$T$48,$G$45,$G$47,-1*$F$46,1200)</f>
        <v>-6.0461085279425255</v>
      </c>
      <c r="AU46" s="638"/>
      <c r="AV46" s="638"/>
      <c r="AW46" s="638"/>
      <c r="AX46" s="638"/>
      <c r="AY46" s="484"/>
      <c r="AZ46" s="484"/>
      <c r="BA46" s="671"/>
      <c r="BB46" s="638"/>
      <c r="BC46" s="169"/>
      <c r="BD46" s="1330"/>
      <c r="BE46" s="1329"/>
      <c r="BF46" s="1330"/>
      <c r="BG46" s="1329">
        <v>43893</v>
      </c>
    </row>
    <row r="47" spans="1:59" ht="15.75" customHeight="1">
      <c r="A47" s="495"/>
      <c r="B47" s="639"/>
      <c r="C47" s="489"/>
      <c r="D47" s="491"/>
      <c r="E47" s="491"/>
      <c r="F47" s="495"/>
      <c r="G47" s="493">
        <v>40.700000000000003</v>
      </c>
      <c r="H47" s="490"/>
      <c r="I47" s="491"/>
      <c r="J47" s="489"/>
      <c r="K47" s="490"/>
      <c r="L47" s="490"/>
      <c r="M47" s="490"/>
      <c r="N47" s="495"/>
      <c r="O47" s="495"/>
      <c r="P47" s="490"/>
      <c r="Q47" s="490"/>
      <c r="R47" s="490"/>
      <c r="S47" s="493">
        <f t="shared" si="19"/>
        <v>42.570000000006985</v>
      </c>
      <c r="T47" s="490"/>
      <c r="U47" s="490"/>
      <c r="V47" s="490"/>
      <c r="W47" s="490"/>
      <c r="X47" s="490"/>
      <c r="Y47" s="490"/>
      <c r="Z47" s="490"/>
      <c r="AA47" s="490"/>
      <c r="AB47" s="490"/>
      <c r="AC47" s="490"/>
      <c r="AD47" s="490"/>
      <c r="AE47" s="490"/>
      <c r="AF47" s="490"/>
      <c r="AG47" s="489"/>
      <c r="AH47" s="490"/>
      <c r="AI47" s="640"/>
      <c r="AJ47" s="490"/>
      <c r="AK47" s="495"/>
      <c r="AL47" s="490"/>
      <c r="AM47" s="490"/>
      <c r="AN47" s="457"/>
      <c r="AO47" s="495"/>
      <c r="AP47" s="495"/>
      <c r="AQ47" s="493">
        <f>+FL_2($T$48,$T$46,$G$47,1200,9.28,-1*$F$48)</f>
        <v>-0.3</v>
      </c>
      <c r="AR47" s="493"/>
      <c r="AS47" s="493"/>
      <c r="AT47" s="493"/>
      <c r="AU47" s="490"/>
      <c r="AV47" s="490"/>
      <c r="AW47" s="490"/>
      <c r="AX47" s="490"/>
      <c r="AY47" s="493"/>
      <c r="AZ47" s="493"/>
      <c r="BA47" s="602"/>
      <c r="BB47" s="495"/>
      <c r="BC47" s="169"/>
      <c r="BD47" s="1330"/>
      <c r="BE47" s="1330"/>
      <c r="BF47" s="1330"/>
      <c r="BG47" s="1330"/>
    </row>
    <row r="48" spans="1:59" ht="15.75" customHeight="1">
      <c r="A48" s="501" t="str">
        <f>'HR Track 2 TSA-THA'!A6</f>
        <v>Overcrossing</v>
      </c>
      <c r="B48" s="716" t="str">
        <f>'HR Track 2 TSA-THA'!B6</f>
        <v>93-2.12</v>
      </c>
      <c r="C48" s="451">
        <f>'HR Track 2 TSA-THA'!C6</f>
        <v>93492.050000000017</v>
      </c>
      <c r="D48" s="453">
        <f>'HR Track 2 TSA-THA'!D6</f>
        <v>0</v>
      </c>
      <c r="E48" s="452">
        <f>'HR Track 2 TSA-THA'!E6</f>
        <v>0</v>
      </c>
      <c r="F48" s="453">
        <f>'HR Track 2 TSA-THA'!F6</f>
        <v>617</v>
      </c>
      <c r="G48" s="500">
        <f>'HR Track 2 TSA-THA'!G6</f>
        <v>0</v>
      </c>
      <c r="H48" s="453">
        <f>'HR Track 2 TSA-THA'!H6</f>
        <v>0</v>
      </c>
      <c r="I48" s="501">
        <f>'HR Track 2 TSA-THA'!I6</f>
        <v>0</v>
      </c>
      <c r="J48" s="583">
        <f>'HR Track 2 TSA-THA'!J6</f>
        <v>0</v>
      </c>
      <c r="K48" s="452">
        <f>'HR Track 2 TSA-THA'!K6</f>
        <v>0</v>
      </c>
      <c r="L48" s="452" t="str">
        <f>'HR Track 2 TSA-THA'!L6</f>
        <v>S1T</v>
      </c>
      <c r="M48" s="452">
        <f>'HR Track 2 TSA-THA'!M6</f>
        <v>0</v>
      </c>
      <c r="N48" s="501" t="str">
        <f>'HR Track 2 TSA-THA'!N6</f>
        <v>EMT-1RH</v>
      </c>
      <c r="O48" s="501">
        <f>'HR Track 2 TSA-THA'!O6</f>
        <v>0</v>
      </c>
      <c r="P48" s="501">
        <f>'HR Track 2 TSA-THA'!P6</f>
        <v>0</v>
      </c>
      <c r="Q48" s="452">
        <f>'HR Track 2 TSA-THA'!Q6</f>
        <v>50</v>
      </c>
      <c r="R48" s="452">
        <f>'HR Track 2 TSA-THA'!R6</f>
        <v>610</v>
      </c>
      <c r="S48" s="500">
        <f>'HR Track 2 TSA-THA'!S6</f>
        <v>0</v>
      </c>
      <c r="T48" s="452">
        <f>'HR Track 2 TSA-THA'!T6</f>
        <v>-30</v>
      </c>
      <c r="U48" s="452">
        <f>'HR Track 2 TSA-THA'!U6</f>
        <v>0</v>
      </c>
      <c r="V48" s="452">
        <f>'HR Track 2 TSA-THA'!V6</f>
        <v>0</v>
      </c>
      <c r="W48" s="452">
        <f>'HR Track 2 TSA-THA'!W6</f>
        <v>0.4</v>
      </c>
      <c r="X48" s="452">
        <f>'HR Track 2 TSA-THA'!X6</f>
        <v>0</v>
      </c>
      <c r="Y48" s="452">
        <f>'HR Track 2 TSA-THA'!Y6</f>
        <v>0</v>
      </c>
      <c r="Z48" s="452">
        <f>'HR Track 2 TSA-THA'!Z6</f>
        <v>0</v>
      </c>
      <c r="AA48" s="452">
        <f>'HR Track 2 TSA-THA'!AA6</f>
        <v>0</v>
      </c>
      <c r="AB48" s="452">
        <f>'HR Track 2 TSA-THA'!AB6</f>
        <v>0</v>
      </c>
      <c r="AC48" s="452" t="str">
        <f>'HR Track 2 TSA-THA'!AC6</f>
        <v>PH-1000</v>
      </c>
      <c r="AD48" s="452">
        <f>'HR Track 2 TSA-THA'!AD6</f>
        <v>0</v>
      </c>
      <c r="AE48" s="452">
        <f>'HR Track 2 TSA-THA'!AE6</f>
        <v>0</v>
      </c>
      <c r="AF48" s="452">
        <f>'HR Track 2 TSA-THA'!AF6</f>
        <v>100</v>
      </c>
      <c r="AG48" s="451">
        <f>'HR Track 2 TSA-THA'!AG6</f>
        <v>93493.57</v>
      </c>
      <c r="AH48" s="452">
        <f>'HR Track 2 TSA-THA'!AH6</f>
        <v>1673</v>
      </c>
      <c r="AI48" s="452">
        <f>'HR Track 2 TSA-THA'!AI6</f>
        <v>-4890</v>
      </c>
      <c r="AJ48" s="452">
        <f>'HR Track 2 TSA-THA'!AJ6</f>
        <v>0</v>
      </c>
      <c r="AK48" s="452">
        <f>'HR Track 2 TSA-THA'!AK6</f>
        <v>0</v>
      </c>
      <c r="AL48" s="452">
        <f>'HR Track 2 TSA-THA'!AL6</f>
        <v>0</v>
      </c>
      <c r="AM48" s="452">
        <f>'HR Track 2 TSA-THA'!AM6</f>
        <v>0</v>
      </c>
      <c r="AN48" s="500">
        <f>'HR Track 2 TSA-THA'!AN6</f>
        <v>5.15</v>
      </c>
      <c r="AO48" s="452">
        <f>'HR Track 2 TSA-THA'!AO6</f>
        <v>0</v>
      </c>
      <c r="AP48" s="452">
        <f>'HR Track 2 TSA-THA'!AP6</f>
        <v>0</v>
      </c>
      <c r="AQ48" s="452">
        <f>'HR Track 2 TSA-THA'!AQ6</f>
        <v>0</v>
      </c>
      <c r="AR48" s="452">
        <f>'HR Track 2 TSA-THA'!AR6</f>
        <v>0</v>
      </c>
      <c r="AS48" s="452">
        <f>'HR Track 2 TSA-THA'!AS6</f>
        <v>0</v>
      </c>
      <c r="AT48" s="452">
        <f>'HR Track 2 TSA-THA'!AT6</f>
        <v>-2.8888261313749783</v>
      </c>
      <c r="AU48" s="452">
        <f>'HR Track 2 TSA-THA'!AU6</f>
        <v>0</v>
      </c>
      <c r="AV48" s="452">
        <f>'HR Track 2 TSA-THA'!AV6</f>
        <v>0</v>
      </c>
      <c r="AW48" s="452" t="str">
        <f>'HR Track 2 TSA-THA'!AW6</f>
        <v>DW6950</v>
      </c>
      <c r="AX48" s="452">
        <f>'HR Track 2 TSA-THA'!AX6</f>
        <v>0</v>
      </c>
      <c r="AY48" s="500">
        <f>'HR Track 2 TSA-THA'!AY6</f>
        <v>0</v>
      </c>
      <c r="AZ48" s="500">
        <f>'HR Track 2 TSA-THA'!AZ6</f>
        <v>0</v>
      </c>
      <c r="BA48" s="1333" t="str">
        <f>'HR Track 2 TSA-THA'!BA6</f>
        <v>ü</v>
      </c>
      <c r="BB48" s="452">
        <f>'HR Track 2 TSA-THA'!BB6</f>
        <v>0</v>
      </c>
      <c r="BC48" s="1334">
        <f>'HR Track 2 TSA-THA'!BC6</f>
        <v>0</v>
      </c>
      <c r="BD48" s="1335">
        <f>'HR Track 2 TSA-THA'!BD6</f>
        <v>0</v>
      </c>
      <c r="BE48" s="1335" t="str">
        <f>'HR Track 2 TSA-THA'!BE6</f>
        <v>Ejecutado</v>
      </c>
      <c r="BF48" s="1335">
        <f>'HR Track 2 TSA-THA'!BF6</f>
        <v>0</v>
      </c>
      <c r="BG48" s="1335">
        <f>'HR Track 2 TSA-THA'!BG6</f>
        <v>43808</v>
      </c>
    </row>
    <row r="49" spans="1:59" ht="15.75" customHeight="1">
      <c r="A49" s="501">
        <f>'HR Track 2 TSA-THA'!A7</f>
        <v>0</v>
      </c>
      <c r="B49" s="716">
        <f>'HR Track 2 TSA-THA'!B7</f>
        <v>0</v>
      </c>
      <c r="C49" s="451">
        <f>'HR Track 2 TSA-THA'!C7</f>
        <v>0</v>
      </c>
      <c r="D49" s="453">
        <f>'HR Track 2 TSA-THA'!D7</f>
        <v>0</v>
      </c>
      <c r="E49" s="452">
        <f>'HR Track 2 TSA-THA'!E7</f>
        <v>0</v>
      </c>
      <c r="F49" s="453">
        <f>'HR Track 2 TSA-THA'!F7</f>
        <v>0</v>
      </c>
      <c r="G49" s="500">
        <f>'HR Track 2 TSA-THA'!G7</f>
        <v>41.2</v>
      </c>
      <c r="H49" s="453">
        <f>'HR Track 2 TSA-THA'!H7</f>
        <v>0</v>
      </c>
      <c r="I49" s="501">
        <f>'HR Track 2 TSA-THA'!I7</f>
        <v>0</v>
      </c>
      <c r="J49" s="583">
        <f>'HR Track 2 TSA-THA'!J7</f>
        <v>0</v>
      </c>
      <c r="K49" s="452">
        <f>'HR Track 2 TSA-THA'!K7</f>
        <v>0</v>
      </c>
      <c r="L49" s="452">
        <f>'HR Track 2 TSA-THA'!L7</f>
        <v>0</v>
      </c>
      <c r="M49" s="452">
        <f>'HR Track 2 TSA-THA'!M7</f>
        <v>0</v>
      </c>
      <c r="N49" s="501">
        <f>'HR Track 2 TSA-THA'!N7</f>
        <v>0</v>
      </c>
      <c r="O49" s="501">
        <f>'HR Track 2 TSA-THA'!O7</f>
        <v>0</v>
      </c>
      <c r="P49" s="501">
        <f>'HR Track 2 TSA-THA'!P7</f>
        <v>0</v>
      </c>
      <c r="Q49" s="452">
        <f>'HR Track 2 TSA-THA'!Q7</f>
        <v>0</v>
      </c>
      <c r="R49" s="452">
        <f>'HR Track 2 TSA-THA'!R7</f>
        <v>0</v>
      </c>
      <c r="S49" s="500">
        <f>'HR Track 2 TSA-THA'!S7</f>
        <v>39.599999999991269</v>
      </c>
      <c r="T49" s="452">
        <f>'HR Track 2 TSA-THA'!T7</f>
        <v>0</v>
      </c>
      <c r="U49" s="452">
        <f>'HR Track 2 TSA-THA'!U7</f>
        <v>0</v>
      </c>
      <c r="V49" s="452">
        <f>'HR Track 2 TSA-THA'!V7</f>
        <v>0</v>
      </c>
      <c r="W49" s="452">
        <f>'HR Track 2 TSA-THA'!W7</f>
        <v>0</v>
      </c>
      <c r="X49" s="452">
        <f>'HR Track 2 TSA-THA'!X7</f>
        <v>0</v>
      </c>
      <c r="Y49" s="452">
        <f>'HR Track 2 TSA-THA'!Y7</f>
        <v>0</v>
      </c>
      <c r="Z49" s="452">
        <f>'HR Track 2 TSA-THA'!Z7</f>
        <v>0</v>
      </c>
      <c r="AA49" s="452">
        <f>'HR Track 2 TSA-THA'!AA7</f>
        <v>0</v>
      </c>
      <c r="AB49" s="452">
        <f>'HR Track 2 TSA-THA'!AB7</f>
        <v>0</v>
      </c>
      <c r="AC49" s="452">
        <f>'HR Track 2 TSA-THA'!AC7</f>
        <v>0</v>
      </c>
      <c r="AD49" s="452">
        <f>'HR Track 2 TSA-THA'!AD7</f>
        <v>0</v>
      </c>
      <c r="AE49" s="452">
        <f>'HR Track 2 TSA-THA'!AE7</f>
        <v>0</v>
      </c>
      <c r="AF49" s="452">
        <f>'HR Track 2 TSA-THA'!AF7</f>
        <v>0</v>
      </c>
      <c r="AG49" s="451">
        <f>'HR Track 2 TSA-THA'!AG7</f>
        <v>0</v>
      </c>
      <c r="AH49" s="452">
        <f>'HR Track 2 TSA-THA'!AH7</f>
        <v>0</v>
      </c>
      <c r="AI49" s="452">
        <f>'HR Track 2 TSA-THA'!AI7</f>
        <v>0</v>
      </c>
      <c r="AJ49" s="452">
        <f>'HR Track 2 TSA-THA'!AJ7</f>
        <v>0</v>
      </c>
      <c r="AK49" s="452">
        <f>'HR Track 2 TSA-THA'!AK7</f>
        <v>0</v>
      </c>
      <c r="AL49" s="452">
        <f>'HR Track 2 TSA-THA'!AL7</f>
        <v>0</v>
      </c>
      <c r="AM49" s="452">
        <f>'HR Track 2 TSA-THA'!AM7</f>
        <v>0</v>
      </c>
      <c r="AN49" s="500">
        <f>'HR Track 2 TSA-THA'!AN7</f>
        <v>0</v>
      </c>
      <c r="AO49" s="452">
        <f>'HR Track 2 TSA-THA'!AO7</f>
        <v>0</v>
      </c>
      <c r="AP49" s="452">
        <f>'HR Track 2 TSA-THA'!AP7</f>
        <v>0</v>
      </c>
      <c r="AQ49" s="452">
        <f>'HR Track 2 TSA-THA'!AQ7</f>
        <v>-0.3</v>
      </c>
      <c r="AR49" s="452">
        <f>'HR Track 2 TSA-THA'!AR7</f>
        <v>0</v>
      </c>
      <c r="AS49" s="452">
        <f>'HR Track 2 TSA-THA'!AS7</f>
        <v>0</v>
      </c>
      <c r="AT49" s="452">
        <f>'HR Track 2 TSA-THA'!AT7</f>
        <v>0</v>
      </c>
      <c r="AU49" s="452">
        <f>'HR Track 2 TSA-THA'!AU7</f>
        <v>0</v>
      </c>
      <c r="AV49" s="452">
        <f>'HR Track 2 TSA-THA'!AV7</f>
        <v>0</v>
      </c>
      <c r="AW49" s="452">
        <f>'HR Track 2 TSA-THA'!AW7</f>
        <v>0</v>
      </c>
      <c r="AX49" s="452">
        <f>'HR Track 2 TSA-THA'!AX7</f>
        <v>0</v>
      </c>
      <c r="AY49" s="500">
        <f>'HR Track 2 TSA-THA'!AY7</f>
        <v>0</v>
      </c>
      <c r="AZ49" s="500">
        <f>'HR Track 2 TSA-THA'!AZ7</f>
        <v>0</v>
      </c>
      <c r="BA49" s="1333">
        <f>'HR Track 2 TSA-THA'!BA7</f>
        <v>0</v>
      </c>
      <c r="BB49" s="452">
        <f>'HR Track 2 TSA-THA'!BB7</f>
        <v>0</v>
      </c>
      <c r="BC49" s="1334">
        <f>'HR Track 2 TSA-THA'!BC7</f>
        <v>0</v>
      </c>
      <c r="BD49" s="1335">
        <f>'HR Track 2 TSA-THA'!BD7</f>
        <v>0</v>
      </c>
      <c r="BE49" s="1335">
        <f>'HR Track 2 TSA-THA'!BE7</f>
        <v>0</v>
      </c>
      <c r="BF49" s="1335">
        <f>'HR Track 2 TSA-THA'!BF7</f>
        <v>0</v>
      </c>
      <c r="BG49" s="1335">
        <f>'HR Track 2 TSA-THA'!BG7</f>
        <v>0</v>
      </c>
    </row>
    <row r="50" spans="1:59" ht="15.75" customHeight="1">
      <c r="A50" s="501">
        <f>'HR Track 2 TSA-THA'!A8</f>
        <v>0</v>
      </c>
      <c r="B50" s="716" t="str">
        <f>'HR Track 2 TSA-THA'!B8</f>
        <v>93-2.13</v>
      </c>
      <c r="C50" s="451">
        <f>'HR Track 2 TSA-THA'!C8</f>
        <v>93533.250000000015</v>
      </c>
      <c r="D50" s="453">
        <f>'HR Track 2 TSA-THA'!D8</f>
        <v>0</v>
      </c>
      <c r="E50" s="452">
        <f>'HR Track 2 TSA-THA'!E8</f>
        <v>0</v>
      </c>
      <c r="F50" s="453">
        <f>'HR Track 2 TSA-THA'!F8</f>
        <v>617</v>
      </c>
      <c r="G50" s="500">
        <f>'HR Track 2 TSA-THA'!G8</f>
        <v>0</v>
      </c>
      <c r="H50" s="453">
        <f>'HR Track 2 TSA-THA'!H8</f>
        <v>0</v>
      </c>
      <c r="I50" s="501">
        <f>'HR Track 2 TSA-THA'!I8</f>
        <v>0</v>
      </c>
      <c r="J50" s="583">
        <f>'HR Track 2 TSA-THA'!J8</f>
        <v>0</v>
      </c>
      <c r="K50" s="452">
        <f>'HR Track 2 TSA-THA'!K8</f>
        <v>0</v>
      </c>
      <c r="L50" s="452">
        <f>'HR Track 2 TSA-THA'!L8</f>
        <v>0</v>
      </c>
      <c r="M50" s="452">
        <f>'HR Track 2 TSA-THA'!M8</f>
        <v>0</v>
      </c>
      <c r="N50" s="501" t="str">
        <f>'HR Track 2 TSA-THA'!N8</f>
        <v>EMT-1P</v>
      </c>
      <c r="O50" s="501">
        <f>'HR Track 2 TSA-THA'!O8</f>
        <v>0</v>
      </c>
      <c r="P50" s="501">
        <f>'HR Track 2 TSA-THA'!P8</f>
        <v>0</v>
      </c>
      <c r="Q50" s="452">
        <f>'HR Track 2 TSA-THA'!Q8</f>
        <v>60</v>
      </c>
      <c r="R50" s="452">
        <f>'HR Track 2 TSA-THA'!R8</f>
        <v>626.25</v>
      </c>
      <c r="S50" s="500">
        <f>'HR Track 2 TSA-THA'!S8</f>
        <v>0</v>
      </c>
      <c r="T50" s="452">
        <f>'HR Track 2 TSA-THA'!T8</f>
        <v>-30</v>
      </c>
      <c r="U50" s="452">
        <f>'HR Track 2 TSA-THA'!U8</f>
        <v>0</v>
      </c>
      <c r="V50" s="452">
        <f>'HR Track 2 TSA-THA'!V8</f>
        <v>0</v>
      </c>
      <c r="W50" s="452">
        <f>'HR Track 2 TSA-THA'!W8</f>
        <v>0.6</v>
      </c>
      <c r="X50" s="452">
        <f>'HR Track 2 TSA-THA'!X8</f>
        <v>0</v>
      </c>
      <c r="Y50" s="452">
        <f>'HR Track 2 TSA-THA'!Y8</f>
        <v>0</v>
      </c>
      <c r="Z50" s="452">
        <f>'HR Track 2 TSA-THA'!Z8</f>
        <v>0</v>
      </c>
      <c r="AA50" s="452">
        <f>'HR Track 2 TSA-THA'!AA8</f>
        <v>0</v>
      </c>
      <c r="AB50" s="452">
        <f>'HR Track 2 TSA-THA'!AB8</f>
        <v>0</v>
      </c>
      <c r="AC50" s="452" t="str">
        <f>'HR Track 2 TSA-THA'!AC8</f>
        <v>PHC-1150</v>
      </c>
      <c r="AD50" s="452">
        <f>'HR Track 2 TSA-THA'!AD8</f>
        <v>0</v>
      </c>
      <c r="AE50" s="452">
        <f>'HR Track 2 TSA-THA'!AE8</f>
        <v>0</v>
      </c>
      <c r="AF50" s="452">
        <f>'HR Track 2 TSA-THA'!AF8</f>
        <v>600</v>
      </c>
      <c r="AG50" s="451">
        <f>'HR Track 2 TSA-THA'!AG8</f>
        <v>93533.17</v>
      </c>
      <c r="AH50" s="452">
        <f>'HR Track 2 TSA-THA'!AH8</f>
        <v>1913</v>
      </c>
      <c r="AI50" s="452">
        <f>'HR Track 2 TSA-THA'!AI8</f>
        <v>-5160</v>
      </c>
      <c r="AJ50" s="452">
        <f>'HR Track 2 TSA-THA'!AJ8</f>
        <v>0</v>
      </c>
      <c r="AK50" s="452" t="str">
        <f>'HR Track 2 TSA-THA'!AK8</f>
        <v>S1</v>
      </c>
      <c r="AL50" s="452">
        <f>'HR Track 2 TSA-THA'!AL8</f>
        <v>0</v>
      </c>
      <c r="AM50" s="452">
        <f>'HR Track 2 TSA-THA'!AM8</f>
        <v>0</v>
      </c>
      <c r="AN50" s="500">
        <f>'HR Track 2 TSA-THA'!AN8</f>
        <v>5.15</v>
      </c>
      <c r="AO50" s="452">
        <f>'HR Track 2 TSA-THA'!AO8</f>
        <v>0</v>
      </c>
      <c r="AP50" s="452">
        <f>'HR Track 2 TSA-THA'!AP8</f>
        <v>0</v>
      </c>
      <c r="AQ50" s="452">
        <f>'HR Track 2 TSA-THA'!AQ8</f>
        <v>0</v>
      </c>
      <c r="AR50" s="452">
        <f>'HR Track 2 TSA-THA'!AR8</f>
        <v>0</v>
      </c>
      <c r="AS50" s="452">
        <f>'HR Track 2 TSA-THA'!AS8</f>
        <v>0</v>
      </c>
      <c r="AT50" s="452">
        <f>'HR Track 2 TSA-THA'!AT8</f>
        <v>-3.317403663746739</v>
      </c>
      <c r="AU50" s="452">
        <f>'HR Track 2 TSA-THA'!AU8</f>
        <v>0</v>
      </c>
      <c r="AV50" s="452">
        <f>'HR Track 2 TSA-THA'!AV8</f>
        <v>0</v>
      </c>
      <c r="AW50" s="452">
        <f>'HR Track 2 TSA-THA'!AW8</f>
        <v>0</v>
      </c>
      <c r="AX50" s="452">
        <f>'HR Track 2 TSA-THA'!AX8</f>
        <v>0</v>
      </c>
      <c r="AY50" s="500">
        <f>'HR Track 2 TSA-THA'!AY8</f>
        <v>0</v>
      </c>
      <c r="AZ50" s="500">
        <f>'HR Track 2 TSA-THA'!AZ8</f>
        <v>0</v>
      </c>
      <c r="BA50" s="1333">
        <f>'HR Track 2 TSA-THA'!BA8</f>
        <v>0</v>
      </c>
      <c r="BB50" s="452">
        <f>'HR Track 2 TSA-THA'!BB8</f>
        <v>0</v>
      </c>
      <c r="BC50" s="1334">
        <f>'HR Track 2 TSA-THA'!BC8</f>
        <v>0</v>
      </c>
      <c r="BD50" s="1335">
        <f>'HR Track 2 TSA-THA'!BD8</f>
        <v>0</v>
      </c>
      <c r="BE50" s="1335" t="str">
        <f>'HR Track 2 TSA-THA'!BE8</f>
        <v>Ejecutado</v>
      </c>
      <c r="BF50" s="1335">
        <f>'HR Track 2 TSA-THA'!BF8</f>
        <v>0</v>
      </c>
      <c r="BG50" s="1335">
        <f>'HR Track 2 TSA-THA'!BG8</f>
        <v>43838</v>
      </c>
    </row>
    <row r="51" spans="1:59" ht="15.75" customHeight="1">
      <c r="A51" s="501">
        <f>'HR Track 2 TSA-THA'!A9</f>
        <v>0</v>
      </c>
      <c r="B51" s="716">
        <f>'HR Track 2 TSA-THA'!B9</f>
        <v>0</v>
      </c>
      <c r="C51" s="451">
        <f>'HR Track 2 TSA-THA'!C9</f>
        <v>0</v>
      </c>
      <c r="D51" s="453">
        <f>'HR Track 2 TSA-THA'!D9</f>
        <v>0</v>
      </c>
      <c r="E51" s="452">
        <f>'HR Track 2 TSA-THA'!E9</f>
        <v>0</v>
      </c>
      <c r="F51" s="453">
        <f>'HR Track 2 TSA-THA'!F9</f>
        <v>0</v>
      </c>
      <c r="G51" s="500">
        <f>'HR Track 2 TSA-THA'!G9</f>
        <v>30.1</v>
      </c>
      <c r="H51" s="453">
        <f>'HR Track 2 TSA-THA'!H9</f>
        <v>0</v>
      </c>
      <c r="I51" s="501">
        <f>'HR Track 2 TSA-THA'!I9</f>
        <v>0</v>
      </c>
      <c r="J51" s="583">
        <f>'HR Track 2 TSA-THA'!J9</f>
        <v>0</v>
      </c>
      <c r="K51" s="452">
        <f>'HR Track 2 TSA-THA'!K9</f>
        <v>0</v>
      </c>
      <c r="L51" s="452">
        <f>'HR Track 2 TSA-THA'!L9</f>
        <v>0</v>
      </c>
      <c r="M51" s="452">
        <f>'HR Track 2 TSA-THA'!M9</f>
        <v>0</v>
      </c>
      <c r="N51" s="501">
        <f>'HR Track 2 TSA-THA'!N9</f>
        <v>0</v>
      </c>
      <c r="O51" s="501">
        <f>'HR Track 2 TSA-THA'!O9</f>
        <v>0</v>
      </c>
      <c r="P51" s="501">
        <f>'HR Track 2 TSA-THA'!P9</f>
        <v>0</v>
      </c>
      <c r="Q51" s="452">
        <f>'HR Track 2 TSA-THA'!Q9</f>
        <v>0</v>
      </c>
      <c r="R51" s="452">
        <f>'HR Track 2 TSA-THA'!R9</f>
        <v>0</v>
      </c>
      <c r="S51" s="500">
        <f>'HR Track 2 TSA-THA'!S9</f>
        <v>30.139999999999418</v>
      </c>
      <c r="T51" s="452">
        <f>'HR Track 2 TSA-THA'!T9</f>
        <v>0</v>
      </c>
      <c r="U51" s="452">
        <f>'HR Track 2 TSA-THA'!U9</f>
        <v>0</v>
      </c>
      <c r="V51" s="452">
        <f>'HR Track 2 TSA-THA'!V9</f>
        <v>0</v>
      </c>
      <c r="W51" s="452">
        <f>'HR Track 2 TSA-THA'!W9</f>
        <v>0</v>
      </c>
      <c r="X51" s="452">
        <f>'HR Track 2 TSA-THA'!X9</f>
        <v>0</v>
      </c>
      <c r="Y51" s="452">
        <f>'HR Track 2 TSA-THA'!Y9</f>
        <v>0</v>
      </c>
      <c r="Z51" s="452">
        <f>'HR Track 2 TSA-THA'!Z9</f>
        <v>0</v>
      </c>
      <c r="AA51" s="452">
        <f>'HR Track 2 TSA-THA'!AA9</f>
        <v>0</v>
      </c>
      <c r="AB51" s="452">
        <f>'HR Track 2 TSA-THA'!AB9</f>
        <v>0</v>
      </c>
      <c r="AC51" s="452">
        <f>'HR Track 2 TSA-THA'!AC9</f>
        <v>0</v>
      </c>
      <c r="AD51" s="452">
        <f>'HR Track 2 TSA-THA'!AD9</f>
        <v>0</v>
      </c>
      <c r="AE51" s="452">
        <f>'HR Track 2 TSA-THA'!AE9</f>
        <v>0</v>
      </c>
      <c r="AF51" s="452">
        <f>'HR Track 2 TSA-THA'!AF9</f>
        <v>0</v>
      </c>
      <c r="AG51" s="451">
        <f>'HR Track 2 TSA-THA'!AG9</f>
        <v>0</v>
      </c>
      <c r="AH51" s="452">
        <f>'HR Track 2 TSA-THA'!AH9</f>
        <v>0</v>
      </c>
      <c r="AI51" s="452">
        <f>'HR Track 2 TSA-THA'!AI9</f>
        <v>0</v>
      </c>
      <c r="AJ51" s="452">
        <f>'HR Track 2 TSA-THA'!AJ9</f>
        <v>0</v>
      </c>
      <c r="AK51" s="452">
        <f>'HR Track 2 TSA-THA'!AK9</f>
        <v>0</v>
      </c>
      <c r="AL51" s="452">
        <f>'HR Track 2 TSA-THA'!AL9</f>
        <v>0</v>
      </c>
      <c r="AM51" s="452">
        <f>'HR Track 2 TSA-THA'!AM9</f>
        <v>0</v>
      </c>
      <c r="AN51" s="500">
        <f>'HR Track 2 TSA-THA'!AN9</f>
        <v>0</v>
      </c>
      <c r="AO51" s="452">
        <f>'HR Track 2 TSA-THA'!AO9</f>
        <v>0</v>
      </c>
      <c r="AP51" s="452">
        <f>'HR Track 2 TSA-THA'!AP9</f>
        <v>0</v>
      </c>
      <c r="AQ51" s="452">
        <f>'HR Track 2 TSA-THA'!AQ9</f>
        <v>-0.3</v>
      </c>
      <c r="AR51" s="452">
        <f>'HR Track 2 TSA-THA'!AR9</f>
        <v>0</v>
      </c>
      <c r="AS51" s="452">
        <f>'HR Track 2 TSA-THA'!AS9</f>
        <v>0</v>
      </c>
      <c r="AT51" s="452">
        <f>'HR Track 2 TSA-THA'!AT9</f>
        <v>0</v>
      </c>
      <c r="AU51" s="452">
        <f>'HR Track 2 TSA-THA'!AU9</f>
        <v>0</v>
      </c>
      <c r="AV51" s="452">
        <f>'HR Track 2 TSA-THA'!AV9</f>
        <v>0</v>
      </c>
      <c r="AW51" s="452">
        <f>'HR Track 2 TSA-THA'!AW9</f>
        <v>0</v>
      </c>
      <c r="AX51" s="452">
        <f>'HR Track 2 TSA-THA'!AX9</f>
        <v>0</v>
      </c>
      <c r="AY51" s="500">
        <f>'HR Track 2 TSA-THA'!AY9</f>
        <v>0</v>
      </c>
      <c r="AZ51" s="500">
        <f>'HR Track 2 TSA-THA'!AZ9</f>
        <v>0</v>
      </c>
      <c r="BA51" s="1333">
        <f>'HR Track 2 TSA-THA'!BA9</f>
        <v>0</v>
      </c>
      <c r="BB51" s="452">
        <f>'HR Track 2 TSA-THA'!BB9</f>
        <v>0</v>
      </c>
      <c r="BC51" s="1334">
        <f>'HR Track 2 TSA-THA'!BC9</f>
        <v>0</v>
      </c>
      <c r="BD51" s="1335">
        <f>'HR Track 2 TSA-THA'!BD9</f>
        <v>0</v>
      </c>
      <c r="BE51" s="1335">
        <f>'HR Track 2 TSA-THA'!BE9</f>
        <v>0</v>
      </c>
      <c r="BF51" s="1335">
        <f>'HR Track 2 TSA-THA'!BF9</f>
        <v>0</v>
      </c>
      <c r="BG51" s="1335">
        <f>'HR Track 2 TSA-THA'!BG9</f>
        <v>0</v>
      </c>
    </row>
    <row r="52" spans="1:59" ht="15.75" customHeight="1">
      <c r="A52" s="501">
        <f>'HR Track 2 TSA-THA'!A10</f>
        <v>0</v>
      </c>
      <c r="B52" s="716" t="str">
        <f>'HR Track 2 TSA-THA'!B10</f>
        <v>93-2.14</v>
      </c>
      <c r="C52" s="451">
        <f>'HR Track 2 TSA-THA'!C10</f>
        <v>93563.450000000026</v>
      </c>
      <c r="D52" s="453">
        <f>'HR Track 2 TSA-THA'!D10</f>
        <v>0</v>
      </c>
      <c r="E52" s="452">
        <f>'HR Track 2 TSA-THA'!E10</f>
        <v>0</v>
      </c>
      <c r="F52" s="453">
        <f>'HR Track 2 TSA-THA'!F10</f>
        <v>617</v>
      </c>
      <c r="G52" s="500">
        <f>'HR Track 2 TSA-THA'!G10</f>
        <v>0</v>
      </c>
      <c r="H52" s="453">
        <f>'HR Track 2 TSA-THA'!H10</f>
        <v>0</v>
      </c>
      <c r="I52" s="501">
        <f>'HR Track 2 TSA-THA'!I10</f>
        <v>0</v>
      </c>
      <c r="J52" s="583">
        <f>'HR Track 2 TSA-THA'!J10</f>
        <v>0</v>
      </c>
      <c r="K52" s="452">
        <f>'HR Track 2 TSA-THA'!K10</f>
        <v>0</v>
      </c>
      <c r="L52" s="452">
        <f>'HR Track 2 TSA-THA'!L10</f>
        <v>0</v>
      </c>
      <c r="M52" s="452">
        <f>'HR Track 2 TSA-THA'!M10</f>
        <v>0</v>
      </c>
      <c r="N52" s="501" t="str">
        <f>'HR Track 2 TSA-THA'!N10</f>
        <v>EMT-1P</v>
      </c>
      <c r="O52" s="501">
        <f>'HR Track 2 TSA-THA'!O10</f>
        <v>0</v>
      </c>
      <c r="P52" s="501">
        <f>'HR Track 2 TSA-THA'!P10</f>
        <v>0</v>
      </c>
      <c r="Q52" s="452">
        <f>'HR Track 2 TSA-THA'!Q10</f>
        <v>40</v>
      </c>
      <c r="R52" s="452">
        <f>'HR Track 2 TSA-THA'!R10</f>
        <v>626.25</v>
      </c>
      <c r="S52" s="500">
        <f>'HR Track 2 TSA-THA'!S10</f>
        <v>0</v>
      </c>
      <c r="T52" s="452">
        <f>'HR Track 2 TSA-THA'!T10</f>
        <v>-30</v>
      </c>
      <c r="U52" s="452">
        <f>'HR Track 2 TSA-THA'!U10</f>
        <v>0</v>
      </c>
      <c r="V52" s="452">
        <f>'HR Track 2 TSA-THA'!V10</f>
        <v>0</v>
      </c>
      <c r="W52" s="452">
        <f>'HR Track 2 TSA-THA'!W10</f>
        <v>0.6</v>
      </c>
      <c r="X52" s="452">
        <f>'HR Track 2 TSA-THA'!X10</f>
        <v>0</v>
      </c>
      <c r="Y52" s="452">
        <f>'HR Track 2 TSA-THA'!Y10</f>
        <v>0</v>
      </c>
      <c r="Z52" s="452">
        <f>'HR Track 2 TSA-THA'!Z10</f>
        <v>0</v>
      </c>
      <c r="AA52" s="452">
        <f>'HR Track 2 TSA-THA'!AA10</f>
        <v>0</v>
      </c>
      <c r="AB52" s="452">
        <f>'HR Track 2 TSA-THA'!AB10</f>
        <v>0</v>
      </c>
      <c r="AC52" s="452" t="str">
        <f>'HR Track 2 TSA-THA'!AC10</f>
        <v>PHC-1050</v>
      </c>
      <c r="AD52" s="452">
        <f>'HR Track 2 TSA-THA'!AD10</f>
        <v>0</v>
      </c>
      <c r="AE52" s="452">
        <f>'HR Track 2 TSA-THA'!AE10</f>
        <v>0</v>
      </c>
      <c r="AF52" s="452">
        <f>'HR Track 2 TSA-THA'!AF10</f>
        <v>700</v>
      </c>
      <c r="AG52" s="451">
        <f>'HR Track 2 TSA-THA'!AG10</f>
        <v>93563.31</v>
      </c>
      <c r="AH52" s="452">
        <f>'HR Track 2 TSA-THA'!AH10</f>
        <v>1803</v>
      </c>
      <c r="AI52" s="452">
        <f>'HR Track 2 TSA-THA'!AI10</f>
        <v>-5030</v>
      </c>
      <c r="AJ52" s="452">
        <f>'HR Track 2 TSA-THA'!AJ10</f>
        <v>0</v>
      </c>
      <c r="AK52" s="452" t="str">
        <f>'HR Track 2 TSA-THA'!AK10</f>
        <v>S1</v>
      </c>
      <c r="AL52" s="452">
        <f>'HR Track 2 TSA-THA'!AL10</f>
        <v>0</v>
      </c>
      <c r="AM52" s="452">
        <f>'HR Track 2 TSA-THA'!AM10</f>
        <v>0</v>
      </c>
      <c r="AN52" s="500">
        <f>'HR Track 2 TSA-THA'!AN10</f>
        <v>5.15</v>
      </c>
      <c r="AO52" s="452">
        <f>'HR Track 2 TSA-THA'!AO10</f>
        <v>0</v>
      </c>
      <c r="AP52" s="452">
        <f>'HR Track 2 TSA-THA'!AP10</f>
        <v>0</v>
      </c>
      <c r="AQ52" s="452">
        <f>'HR Track 2 TSA-THA'!AQ10</f>
        <v>0</v>
      </c>
      <c r="AR52" s="452">
        <f>'HR Track 2 TSA-THA'!AR10</f>
        <v>0</v>
      </c>
      <c r="AS52" s="452">
        <f>'HR Track 2 TSA-THA'!AS10</f>
        <v>0</v>
      </c>
      <c r="AT52" s="452">
        <f>'HR Track 2 TSA-THA'!AT10</f>
        <v>-3.1045113854491069</v>
      </c>
      <c r="AU52" s="452">
        <f>'HR Track 2 TSA-THA'!AU10</f>
        <v>0</v>
      </c>
      <c r="AV52" s="452">
        <f>'HR Track 2 TSA-THA'!AV10</f>
        <v>0</v>
      </c>
      <c r="AW52" s="452">
        <f>'HR Track 2 TSA-THA'!AW10</f>
        <v>0</v>
      </c>
      <c r="AX52" s="452">
        <f>'HR Track 2 TSA-THA'!AX10</f>
        <v>0</v>
      </c>
      <c r="AY52" s="500">
        <f>'HR Track 2 TSA-THA'!AY10</f>
        <v>0</v>
      </c>
      <c r="AZ52" s="500">
        <f>'HR Track 2 TSA-THA'!AZ10</f>
        <v>0</v>
      </c>
      <c r="BA52" s="1333">
        <f>'HR Track 2 TSA-THA'!BA10</f>
        <v>0</v>
      </c>
      <c r="BB52" s="452">
        <f>'HR Track 2 TSA-THA'!BB10</f>
        <v>0</v>
      </c>
      <c r="BC52" s="1334">
        <f>'HR Track 2 TSA-THA'!BC10</f>
        <v>0</v>
      </c>
      <c r="BD52" s="1335">
        <f>'HR Track 2 TSA-THA'!BD10</f>
        <v>0</v>
      </c>
      <c r="BE52" s="1335" t="str">
        <f>'HR Track 2 TSA-THA'!BE10</f>
        <v>Ejecutado</v>
      </c>
      <c r="BF52" s="1335">
        <f>'HR Track 2 TSA-THA'!BF10</f>
        <v>0</v>
      </c>
      <c r="BG52" s="1335">
        <f>'HR Track 2 TSA-THA'!BG10</f>
        <v>43838</v>
      </c>
    </row>
    <row r="53" spans="1:59" ht="15.75" customHeight="1">
      <c r="A53" s="501" t="str">
        <f>'HR Track 2 TSA-THA'!A11</f>
        <v>Overcrossing</v>
      </c>
      <c r="B53" s="716">
        <f>'HR Track 2 TSA-THA'!B11</f>
        <v>0</v>
      </c>
      <c r="C53" s="451">
        <f>'HR Track 2 TSA-THA'!C11</f>
        <v>0</v>
      </c>
      <c r="D53" s="453">
        <f>'HR Track 2 TSA-THA'!D11</f>
        <v>0</v>
      </c>
      <c r="E53" s="452">
        <f>'HR Track 2 TSA-THA'!E11</f>
        <v>0</v>
      </c>
      <c r="F53" s="453">
        <f>'HR Track 2 TSA-THA'!F11</f>
        <v>0</v>
      </c>
      <c r="G53" s="500">
        <f>'HR Track 2 TSA-THA'!G11</f>
        <v>46.1</v>
      </c>
      <c r="H53" s="453">
        <f>'HR Track 2 TSA-THA'!H11</f>
        <v>0</v>
      </c>
      <c r="I53" s="501">
        <f>'HR Track 2 TSA-THA'!I11</f>
        <v>0</v>
      </c>
      <c r="J53" s="583">
        <f>'HR Track 2 TSA-THA'!J11</f>
        <v>0</v>
      </c>
      <c r="K53" s="452">
        <f>'HR Track 2 TSA-THA'!K11</f>
        <v>0</v>
      </c>
      <c r="L53" s="452">
        <f>'HR Track 2 TSA-THA'!L11</f>
        <v>0</v>
      </c>
      <c r="M53" s="452">
        <f>'HR Track 2 TSA-THA'!M11</f>
        <v>0</v>
      </c>
      <c r="N53" s="501">
        <f>'HR Track 2 TSA-THA'!N11</f>
        <v>0</v>
      </c>
      <c r="O53" s="501">
        <f>'HR Track 2 TSA-THA'!O11</f>
        <v>0</v>
      </c>
      <c r="P53" s="501">
        <f>'HR Track 2 TSA-THA'!P11</f>
        <v>0</v>
      </c>
      <c r="Q53" s="452">
        <f>'HR Track 2 TSA-THA'!Q11</f>
        <v>0</v>
      </c>
      <c r="R53" s="452">
        <f>'HR Track 2 TSA-THA'!R11</f>
        <v>0</v>
      </c>
      <c r="S53" s="500">
        <f>'HR Track 2 TSA-THA'!S11</f>
        <v>47.990000000005239</v>
      </c>
      <c r="T53" s="452">
        <f>'HR Track 2 TSA-THA'!T11</f>
        <v>0</v>
      </c>
      <c r="U53" s="452">
        <f>'HR Track 2 TSA-THA'!U11</f>
        <v>0</v>
      </c>
      <c r="V53" s="452">
        <f>'HR Track 2 TSA-THA'!V11</f>
        <v>0</v>
      </c>
      <c r="W53" s="452">
        <f>'HR Track 2 TSA-THA'!W11</f>
        <v>0</v>
      </c>
      <c r="X53" s="452">
        <f>'HR Track 2 TSA-THA'!X11</f>
        <v>0</v>
      </c>
      <c r="Y53" s="452">
        <f>'HR Track 2 TSA-THA'!Y11</f>
        <v>0</v>
      </c>
      <c r="Z53" s="452">
        <f>'HR Track 2 TSA-THA'!Z11</f>
        <v>0</v>
      </c>
      <c r="AA53" s="452">
        <f>'HR Track 2 TSA-THA'!AA11</f>
        <v>0</v>
      </c>
      <c r="AB53" s="452">
        <f>'HR Track 2 TSA-THA'!AB11</f>
        <v>0</v>
      </c>
      <c r="AC53" s="452">
        <f>'HR Track 2 TSA-THA'!AC11</f>
        <v>0</v>
      </c>
      <c r="AD53" s="452">
        <f>'HR Track 2 TSA-THA'!AD11</f>
        <v>0</v>
      </c>
      <c r="AE53" s="452">
        <f>'HR Track 2 TSA-THA'!AE11</f>
        <v>0</v>
      </c>
      <c r="AF53" s="452">
        <f>'HR Track 2 TSA-THA'!AF11</f>
        <v>0</v>
      </c>
      <c r="AG53" s="451">
        <f>'HR Track 2 TSA-THA'!AG11</f>
        <v>0</v>
      </c>
      <c r="AH53" s="452">
        <f>'HR Track 2 TSA-THA'!AH11</f>
        <v>0</v>
      </c>
      <c r="AI53" s="452">
        <f>'HR Track 2 TSA-THA'!AI11</f>
        <v>0</v>
      </c>
      <c r="AJ53" s="452">
        <f>'HR Track 2 TSA-THA'!AJ11</f>
        <v>0</v>
      </c>
      <c r="AK53" s="452">
        <f>'HR Track 2 TSA-THA'!AK11</f>
        <v>0</v>
      </c>
      <c r="AL53" s="452">
        <f>'HR Track 2 TSA-THA'!AL11</f>
        <v>0</v>
      </c>
      <c r="AM53" s="452">
        <f>'HR Track 2 TSA-THA'!AM11</f>
        <v>0</v>
      </c>
      <c r="AN53" s="500">
        <f>'HR Track 2 TSA-THA'!AN11</f>
        <v>0</v>
      </c>
      <c r="AO53" s="452">
        <f>'HR Track 2 TSA-THA'!AO11</f>
        <v>0</v>
      </c>
      <c r="AP53" s="452">
        <f>'HR Track 2 TSA-THA'!AP11</f>
        <v>0</v>
      </c>
      <c r="AQ53" s="452">
        <f>'HR Track 2 TSA-THA'!AQ11</f>
        <v>0.33614037462903573</v>
      </c>
      <c r="AR53" s="452">
        <f>'HR Track 2 TSA-THA'!AR11</f>
        <v>0</v>
      </c>
      <c r="AS53" s="452">
        <f>'HR Track 2 TSA-THA'!AS11</f>
        <v>0</v>
      </c>
      <c r="AT53" s="452">
        <f>'HR Track 2 TSA-THA'!AT11</f>
        <v>0</v>
      </c>
      <c r="AU53" s="452">
        <f>'HR Track 2 TSA-THA'!AU11</f>
        <v>0</v>
      </c>
      <c r="AV53" s="452">
        <f>'HR Track 2 TSA-THA'!AV11</f>
        <v>0</v>
      </c>
      <c r="AW53" s="452">
        <f>'HR Track 2 TSA-THA'!AW11</f>
        <v>0</v>
      </c>
      <c r="AX53" s="452">
        <f>'HR Track 2 TSA-THA'!AX11</f>
        <v>0</v>
      </c>
      <c r="AY53" s="500">
        <f>'HR Track 2 TSA-THA'!AY11</f>
        <v>0</v>
      </c>
      <c r="AZ53" s="500">
        <f>'HR Track 2 TSA-THA'!AZ11</f>
        <v>0</v>
      </c>
      <c r="BA53" s="1333">
        <f>'HR Track 2 TSA-THA'!BA11</f>
        <v>0</v>
      </c>
      <c r="BB53" s="452">
        <f>'HR Track 2 TSA-THA'!BB11</f>
        <v>0</v>
      </c>
      <c r="BC53" s="1334">
        <f>'HR Track 2 TSA-THA'!BC11</f>
        <v>0</v>
      </c>
      <c r="BD53" s="1335">
        <f>'HR Track 2 TSA-THA'!BD11</f>
        <v>0</v>
      </c>
      <c r="BE53" s="1335">
        <f>'HR Track 2 TSA-THA'!BE11</f>
        <v>0</v>
      </c>
      <c r="BF53" s="1335">
        <f>'HR Track 2 TSA-THA'!BF11</f>
        <v>0</v>
      </c>
      <c r="BG53" s="1335">
        <f>'HR Track 2 TSA-THA'!BG11</f>
        <v>0</v>
      </c>
    </row>
    <row r="54" spans="1:59" ht="15.75" customHeight="1">
      <c r="A54" s="501" t="str">
        <f>'HR Track 2 TSA-THA'!A12</f>
        <v>TSA-20</v>
      </c>
      <c r="B54" s="716" t="str">
        <f>'HR Track 2 TSA-THA'!B12</f>
        <v>93-2.15</v>
      </c>
      <c r="C54" s="451">
        <f>'HR Track 2 TSA-THA'!C12</f>
        <v>93609.550000000032</v>
      </c>
      <c r="D54" s="453">
        <f>'HR Track 2 TSA-THA'!D12</f>
        <v>0</v>
      </c>
      <c r="E54" s="452">
        <f>'HR Track 2 TSA-THA'!E12</f>
        <v>0</v>
      </c>
      <c r="F54" s="453">
        <f>'HR Track 2 TSA-THA'!F12</f>
        <v>617</v>
      </c>
      <c r="G54" s="500">
        <f>'HR Track 2 TSA-THA'!G12</f>
        <v>0</v>
      </c>
      <c r="H54" s="453" t="str">
        <f>'HR Track 2 TSA-THA'!H12</f>
        <v>S/A</v>
      </c>
      <c r="I54" s="501" t="str">
        <f>'HR Track 2 TSA-THA'!I12</f>
        <v>IO</v>
      </c>
      <c r="J54" s="583">
        <f>'HR Track 2 TSA-THA'!J12</f>
        <v>0</v>
      </c>
      <c r="K54" s="452">
        <f>'HR Track 2 TSA-THA'!K12</f>
        <v>0</v>
      </c>
      <c r="L54" s="452">
        <f>'HR Track 2 TSA-THA'!L12</f>
        <v>0</v>
      </c>
      <c r="M54" s="452">
        <f>'HR Track 2 TSA-THA'!M12</f>
        <v>0</v>
      </c>
      <c r="N54" s="501" t="str">
        <f>'HR Track 2 TSA-THA'!N12</f>
        <v>EMT-TP</v>
      </c>
      <c r="O54" s="501" t="str">
        <f>'HR Track 2 TSA-THA'!O12</f>
        <v>EMT-EP</v>
      </c>
      <c r="P54" s="501">
        <f>'HR Track 2 TSA-THA'!P12</f>
        <v>0</v>
      </c>
      <c r="Q54" s="452">
        <f>'HR Track 2 TSA-THA'!Q12</f>
        <v>80</v>
      </c>
      <c r="R54" s="452">
        <f>'HR Track 2 TSA-THA'!R12</f>
        <v>626.25</v>
      </c>
      <c r="S54" s="500">
        <f>'HR Track 2 TSA-THA'!S12</f>
        <v>0</v>
      </c>
      <c r="T54" s="452">
        <f>'HR Track 2 TSA-THA'!T12</f>
        <v>15</v>
      </c>
      <c r="U54" s="452">
        <f>'HR Track 2 TSA-THA'!U12</f>
        <v>-30</v>
      </c>
      <c r="V54" s="452">
        <f>'HR Track 2 TSA-THA'!V12</f>
        <v>0</v>
      </c>
      <c r="W54" s="452">
        <f>'HR Track 2 TSA-THA'!W12</f>
        <v>0.65</v>
      </c>
      <c r="X54" s="452">
        <f>'HR Track 2 TSA-THA'!X12</f>
        <v>0.7</v>
      </c>
      <c r="Y54" s="452">
        <f>'HR Track 2 TSA-THA'!Y12</f>
        <v>0</v>
      </c>
      <c r="Z54" s="452">
        <f>'HR Track 2 TSA-THA'!Z12</f>
        <v>0.25</v>
      </c>
      <c r="AA54" s="452">
        <f>'HR Track 2 TSA-THA'!AA12</f>
        <v>0</v>
      </c>
      <c r="AB54" s="452">
        <f>'HR Track 2 TSA-THA'!AB12</f>
        <v>0</v>
      </c>
      <c r="AC54" s="452" t="str">
        <f>'HR Track 2 TSA-THA'!AC12</f>
        <v>PHC-1150</v>
      </c>
      <c r="AD54" s="452">
        <f>'HR Track 2 TSA-THA'!AD12</f>
        <v>0</v>
      </c>
      <c r="AE54" s="452">
        <f>'HR Track 2 TSA-THA'!AE12</f>
        <v>0</v>
      </c>
      <c r="AF54" s="452">
        <f>'HR Track 2 TSA-THA'!AF12</f>
        <v>200</v>
      </c>
      <c r="AG54" s="451">
        <f>'HR Track 2 TSA-THA'!AG12</f>
        <v>93611.3</v>
      </c>
      <c r="AH54" s="452">
        <f>'HR Track 2 TSA-THA'!AH12</f>
        <v>1713</v>
      </c>
      <c r="AI54" s="452">
        <f>'HR Track 2 TSA-THA'!AI12</f>
        <v>-5230</v>
      </c>
      <c r="AJ54" s="452" t="str">
        <f>'HR Track 2 TSA-THA'!AJ12</f>
        <v>Disc/IO-pr</v>
      </c>
      <c r="AK54" s="452" t="str">
        <f>'HR Track 2 TSA-THA'!AK12</f>
        <v>S2</v>
      </c>
      <c r="AL54" s="452">
        <f>'HR Track 2 TSA-THA'!AL12</f>
        <v>0</v>
      </c>
      <c r="AM54" s="452">
        <f>'HR Track 2 TSA-THA'!AM12</f>
        <v>0</v>
      </c>
      <c r="AN54" s="500">
        <f>'HR Track 2 TSA-THA'!AN12</f>
        <v>5.15</v>
      </c>
      <c r="AO54" s="452">
        <f>'HR Track 2 TSA-THA'!AO12</f>
        <v>0</v>
      </c>
      <c r="AP54" s="452">
        <f>'HR Track 2 TSA-THA'!AP12</f>
        <v>0</v>
      </c>
      <c r="AQ54" s="452">
        <f>'HR Track 2 TSA-THA'!AQ12</f>
        <v>0</v>
      </c>
      <c r="AR54" s="452">
        <f>'HR Track 2 TSA-THA'!AR12</f>
        <v>0</v>
      </c>
      <c r="AS54" s="452">
        <f>'HR Track 2 TSA-THA'!AS12</f>
        <v>0</v>
      </c>
      <c r="AT54" s="452">
        <f>'HR Track 2 TSA-THA'!AT12</f>
        <v>-2.3529986192021628</v>
      </c>
      <c r="AU54" s="452">
        <f>'HR Track 2 TSA-THA'!AU12</f>
        <v>0</v>
      </c>
      <c r="AV54" s="452">
        <f>'HR Track 2 TSA-THA'!AV12</f>
        <v>0</v>
      </c>
      <c r="AW54" s="452">
        <f>'HR Track 2 TSA-THA'!AW12</f>
        <v>0</v>
      </c>
      <c r="AX54" s="452">
        <f>'HR Track 2 TSA-THA'!AX12</f>
        <v>0</v>
      </c>
      <c r="AY54" s="500">
        <f>'HR Track 2 TSA-THA'!AY12</f>
        <v>0</v>
      </c>
      <c r="AZ54" s="500">
        <f>'HR Track 2 TSA-THA'!AZ12</f>
        <v>0</v>
      </c>
      <c r="BA54" s="1333">
        <f>'HR Track 2 TSA-THA'!BA12</f>
        <v>0</v>
      </c>
      <c r="BB54" s="452">
        <f>'HR Track 2 TSA-THA'!BB12</f>
        <v>0</v>
      </c>
      <c r="BC54" s="1334">
        <f>'HR Track 2 TSA-THA'!BC12</f>
        <v>0</v>
      </c>
      <c r="BD54" s="1335">
        <f>'HR Track 2 TSA-THA'!BD12</f>
        <v>0</v>
      </c>
      <c r="BE54" s="1335" t="str">
        <f>'HR Track 2 TSA-THA'!BE12</f>
        <v>Ejecutado</v>
      </c>
      <c r="BF54" s="1335">
        <f>'HR Track 2 TSA-THA'!BF12</f>
        <v>0</v>
      </c>
      <c r="BG54" s="1335">
        <f>'HR Track 2 TSA-THA'!BG12</f>
        <v>43838</v>
      </c>
    </row>
    <row r="55" spans="1:59" ht="15.75" customHeight="1">
      <c r="A55" s="501">
        <f>'HR Track 2 TSA-THA'!A13</f>
        <v>0</v>
      </c>
      <c r="B55" s="716">
        <f>'HR Track 2 TSA-THA'!B13</f>
        <v>0</v>
      </c>
      <c r="C55" s="451">
        <f>'HR Track 2 TSA-THA'!C13</f>
        <v>0</v>
      </c>
      <c r="D55" s="453">
        <f>'HR Track 2 TSA-THA'!D13</f>
        <v>0</v>
      </c>
      <c r="E55" s="452">
        <f>'HR Track 2 TSA-THA'!E13</f>
        <v>0</v>
      </c>
      <c r="F55" s="453">
        <f>'HR Track 2 TSA-THA'!F13</f>
        <v>0</v>
      </c>
      <c r="G55" s="500">
        <f>'HR Track 2 TSA-THA'!G13</f>
        <v>43</v>
      </c>
      <c r="H55" s="453">
        <f>'HR Track 2 TSA-THA'!H13</f>
        <v>0</v>
      </c>
      <c r="I55" s="501">
        <f>'HR Track 2 TSA-THA'!I13</f>
        <v>0</v>
      </c>
      <c r="J55" s="583">
        <f>'HR Track 2 TSA-THA'!J13</f>
        <v>0</v>
      </c>
      <c r="K55" s="452">
        <f>'HR Track 2 TSA-THA'!K13</f>
        <v>0</v>
      </c>
      <c r="L55" s="452">
        <f>'HR Track 2 TSA-THA'!L13</f>
        <v>0</v>
      </c>
      <c r="M55" s="452">
        <f>'HR Track 2 TSA-THA'!M13</f>
        <v>0</v>
      </c>
      <c r="N55" s="501">
        <f>'HR Track 2 TSA-THA'!N13</f>
        <v>0</v>
      </c>
      <c r="O55" s="501">
        <f>'HR Track 2 TSA-THA'!O13</f>
        <v>0</v>
      </c>
      <c r="P55" s="501">
        <f>'HR Track 2 TSA-THA'!P13</f>
        <v>0</v>
      </c>
      <c r="Q55" s="452">
        <f>'HR Track 2 TSA-THA'!Q13</f>
        <v>0</v>
      </c>
      <c r="R55" s="452">
        <f>'HR Track 2 TSA-THA'!R13</f>
        <v>0</v>
      </c>
      <c r="S55" s="500">
        <f>'HR Track 2 TSA-THA'!S13</f>
        <v>39.039999999993597</v>
      </c>
      <c r="T55" s="452">
        <f>'HR Track 2 TSA-THA'!T13</f>
        <v>0</v>
      </c>
      <c r="U55" s="452">
        <f>'HR Track 2 TSA-THA'!U13</f>
        <v>0</v>
      </c>
      <c r="V55" s="452">
        <f>'HR Track 2 TSA-THA'!V13</f>
        <v>0</v>
      </c>
      <c r="W55" s="452">
        <f>'HR Track 2 TSA-THA'!W13</f>
        <v>0</v>
      </c>
      <c r="X55" s="452">
        <f>'HR Track 2 TSA-THA'!X13</f>
        <v>0</v>
      </c>
      <c r="Y55" s="452">
        <f>'HR Track 2 TSA-THA'!Y13</f>
        <v>0</v>
      </c>
      <c r="Z55" s="452">
        <f>'HR Track 2 TSA-THA'!Z13</f>
        <v>0</v>
      </c>
      <c r="AA55" s="452">
        <f>'HR Track 2 TSA-THA'!AA13</f>
        <v>0</v>
      </c>
      <c r="AB55" s="452">
        <f>'HR Track 2 TSA-THA'!AB13</f>
        <v>0</v>
      </c>
      <c r="AC55" s="452">
        <f>'HR Track 2 TSA-THA'!AC13</f>
        <v>0</v>
      </c>
      <c r="AD55" s="452">
        <f>'HR Track 2 TSA-THA'!AD13</f>
        <v>0</v>
      </c>
      <c r="AE55" s="452">
        <f>'HR Track 2 TSA-THA'!AE13</f>
        <v>0</v>
      </c>
      <c r="AF55" s="452">
        <f>'HR Track 2 TSA-THA'!AF13</f>
        <v>0</v>
      </c>
      <c r="AG55" s="451">
        <f>'HR Track 2 TSA-THA'!AG13</f>
        <v>0</v>
      </c>
      <c r="AH55" s="452">
        <f>'HR Track 2 TSA-THA'!AH13</f>
        <v>0</v>
      </c>
      <c r="AI55" s="452">
        <f>'HR Track 2 TSA-THA'!AI13</f>
        <v>0</v>
      </c>
      <c r="AJ55" s="452">
        <f>'HR Track 2 TSA-THA'!AJ13</f>
        <v>0</v>
      </c>
      <c r="AK55" s="452">
        <f>'HR Track 2 TSA-THA'!AK13</f>
        <v>0</v>
      </c>
      <c r="AL55" s="452">
        <f>'HR Track 2 TSA-THA'!AL13</f>
        <v>0</v>
      </c>
      <c r="AM55" s="452">
        <f>'HR Track 2 TSA-THA'!AM13</f>
        <v>0</v>
      </c>
      <c r="AN55" s="500">
        <f>'HR Track 2 TSA-THA'!AN13</f>
        <v>0</v>
      </c>
      <c r="AO55" s="452">
        <f>'HR Track 2 TSA-THA'!AO13</f>
        <v>0</v>
      </c>
      <c r="AP55" s="452">
        <f>'HR Track 2 TSA-THA'!AP13</f>
        <v>0</v>
      </c>
      <c r="AQ55" s="452">
        <f>'HR Track 2 TSA-THA'!AQ13</f>
        <v>0.47151028202187545</v>
      </c>
      <c r="AR55" s="452">
        <f>'HR Track 2 TSA-THA'!AR13</f>
        <v>0</v>
      </c>
      <c r="AS55" s="452">
        <f>'HR Track 2 TSA-THA'!AS13</f>
        <v>0</v>
      </c>
      <c r="AT55" s="452">
        <f>'HR Track 2 TSA-THA'!AT13</f>
        <v>0</v>
      </c>
      <c r="AU55" s="452">
        <f>'HR Track 2 TSA-THA'!AU13</f>
        <v>0</v>
      </c>
      <c r="AV55" s="452">
        <f>'HR Track 2 TSA-THA'!AV13</f>
        <v>0</v>
      </c>
      <c r="AW55" s="452">
        <f>'HR Track 2 TSA-THA'!AW13</f>
        <v>0</v>
      </c>
      <c r="AX55" s="452">
        <f>'HR Track 2 TSA-THA'!AX13</f>
        <v>0</v>
      </c>
      <c r="AY55" s="500">
        <f>'HR Track 2 TSA-THA'!AY13</f>
        <v>0</v>
      </c>
      <c r="AZ55" s="500">
        <f>'HR Track 2 TSA-THA'!AZ13</f>
        <v>0</v>
      </c>
      <c r="BA55" s="1333">
        <f>'HR Track 2 TSA-THA'!BA13</f>
        <v>0</v>
      </c>
      <c r="BB55" s="452">
        <f>'HR Track 2 TSA-THA'!BB13</f>
        <v>0</v>
      </c>
      <c r="BC55" s="1334">
        <f>'HR Track 2 TSA-THA'!BC13</f>
        <v>0</v>
      </c>
      <c r="BD55" s="1335">
        <f>'HR Track 2 TSA-THA'!BD13</f>
        <v>0</v>
      </c>
      <c r="BE55" s="1335">
        <f>'HR Track 2 TSA-THA'!BE13</f>
        <v>0</v>
      </c>
      <c r="BF55" s="1335">
        <f>'HR Track 2 TSA-THA'!BF13</f>
        <v>0</v>
      </c>
      <c r="BG55" s="1335">
        <f>'HR Track 2 TSA-THA'!BG13</f>
        <v>0</v>
      </c>
    </row>
    <row r="56" spans="1:59" ht="15.75" customHeight="1">
      <c r="A56" s="501">
        <f>'HR Track 2 TSA-THA'!A14</f>
        <v>0</v>
      </c>
      <c r="B56" s="716" t="str">
        <f>'HR Track 2 TSA-THA'!B14</f>
        <v>93-2.16</v>
      </c>
      <c r="C56" s="451">
        <f>'HR Track 2 TSA-THA'!C14</f>
        <v>93652.550000000032</v>
      </c>
      <c r="D56" s="453">
        <f>'HR Track 2 TSA-THA'!D14</f>
        <v>0</v>
      </c>
      <c r="E56" s="452">
        <f>'HR Track 2 TSA-THA'!E14</f>
        <v>0</v>
      </c>
      <c r="F56" s="453">
        <f>'HR Track 2 TSA-THA'!F14</f>
        <v>617</v>
      </c>
      <c r="G56" s="500">
        <f>'HR Track 2 TSA-THA'!G14</f>
        <v>0</v>
      </c>
      <c r="H56" s="453" t="str">
        <f>'HR Track 2 TSA-THA'!H14</f>
        <v>S/A</v>
      </c>
      <c r="I56" s="501">
        <f>'HR Track 2 TSA-THA'!I14</f>
        <v>0</v>
      </c>
      <c r="J56" s="583">
        <f>'HR Track 2 TSA-THA'!J14</f>
        <v>0</v>
      </c>
      <c r="K56" s="452">
        <f>'HR Track 2 TSA-THA'!K14</f>
        <v>0</v>
      </c>
      <c r="L56" s="452">
        <f>'HR Track 2 TSA-THA'!L14</f>
        <v>0</v>
      </c>
      <c r="M56" s="452">
        <f>'HR Track 2 TSA-THA'!M14</f>
        <v>0</v>
      </c>
      <c r="N56" s="501" t="str">
        <f>'HR Track 2 TSA-THA'!N14</f>
        <v>EMT-EP</v>
      </c>
      <c r="O56" s="501" t="str">
        <f>'HR Track 2 TSA-THA'!O14</f>
        <v>EMT-TP</v>
      </c>
      <c r="P56" s="501">
        <f>'HR Track 2 TSA-THA'!P14</f>
        <v>0</v>
      </c>
      <c r="Q56" s="452">
        <f>'HR Track 2 TSA-THA'!Q14</f>
        <v>60</v>
      </c>
      <c r="R56" s="452">
        <f>'HR Track 2 TSA-THA'!R14</f>
        <v>626.25</v>
      </c>
      <c r="S56" s="500">
        <f>'HR Track 2 TSA-THA'!S14</f>
        <v>0</v>
      </c>
      <c r="T56" s="452">
        <f>'HR Track 2 TSA-THA'!T14</f>
        <v>10</v>
      </c>
      <c r="U56" s="452">
        <f>'HR Track 2 TSA-THA'!U14</f>
        <v>-35</v>
      </c>
      <c r="V56" s="452">
        <f>'HR Track 2 TSA-THA'!V14</f>
        <v>0</v>
      </c>
      <c r="W56" s="452">
        <f>'HR Track 2 TSA-THA'!W14</f>
        <v>0.9</v>
      </c>
      <c r="X56" s="452">
        <f>'HR Track 2 TSA-THA'!X14</f>
        <v>1.2</v>
      </c>
      <c r="Y56" s="452">
        <f>'HR Track 2 TSA-THA'!Y14</f>
        <v>0</v>
      </c>
      <c r="Z56" s="452">
        <f>'HR Track 2 TSA-THA'!Z14</f>
        <v>0</v>
      </c>
      <c r="AA56" s="452">
        <f>'HR Track 2 TSA-THA'!AA14</f>
        <v>0.24</v>
      </c>
      <c r="AB56" s="452">
        <f>'HR Track 2 TSA-THA'!AB14</f>
        <v>0</v>
      </c>
      <c r="AC56" s="452" t="str">
        <f>'HR Track 2 TSA-THA'!AC14</f>
        <v>BC-1500</v>
      </c>
      <c r="AD56" s="452">
        <f>'HR Track 2 TSA-THA'!AD14</f>
        <v>0</v>
      </c>
      <c r="AE56" s="452">
        <f>'HR Track 2 TSA-THA'!AE14</f>
        <v>0</v>
      </c>
      <c r="AF56" s="452">
        <f>'HR Track 2 TSA-THA'!AF14</f>
        <v>200</v>
      </c>
      <c r="AG56" s="451">
        <f>'HR Track 2 TSA-THA'!AG14</f>
        <v>93650.34</v>
      </c>
      <c r="AH56" s="452">
        <f>'HR Track 2 TSA-THA'!AH14</f>
        <v>1793</v>
      </c>
      <c r="AI56" s="452">
        <f>'HR Track 2 TSA-THA'!AI14</f>
        <v>-5150</v>
      </c>
      <c r="AJ56" s="452">
        <f>'HR Track 2 TSA-THA'!AJ14</f>
        <v>0</v>
      </c>
      <c r="AK56" s="452" t="str">
        <f>'HR Track 2 TSA-THA'!AK14</f>
        <v>S2</v>
      </c>
      <c r="AL56" s="452">
        <f>'HR Track 2 TSA-THA'!AL14</f>
        <v>0</v>
      </c>
      <c r="AM56" s="452">
        <f>'HR Track 2 TSA-THA'!AM14</f>
        <v>0</v>
      </c>
      <c r="AN56" s="500">
        <f>'HR Track 2 TSA-THA'!AN14</f>
        <v>5.21</v>
      </c>
      <c r="AO56" s="452">
        <f>'HR Track 2 TSA-THA'!AO14</f>
        <v>0</v>
      </c>
      <c r="AP56" s="452">
        <f>'HR Track 2 TSA-THA'!AP14</f>
        <v>0</v>
      </c>
      <c r="AQ56" s="452">
        <f>'HR Track 2 TSA-THA'!AQ14</f>
        <v>0</v>
      </c>
      <c r="AR56" s="452">
        <f>'HR Track 2 TSA-THA'!AR14</f>
        <v>0</v>
      </c>
      <c r="AS56" s="452">
        <f>'HR Track 2 TSA-THA'!AS14</f>
        <v>0</v>
      </c>
      <c r="AT56" s="452">
        <f>'HR Track 2 TSA-THA'!AT14</f>
        <v>-4.1518993900642496</v>
      </c>
      <c r="AU56" s="452">
        <f>'HR Track 2 TSA-THA'!AU14</f>
        <v>0</v>
      </c>
      <c r="AV56" s="452">
        <f>'HR Track 2 TSA-THA'!AV14</f>
        <v>0</v>
      </c>
      <c r="AW56" s="452">
        <f>'HR Track 2 TSA-THA'!AW14</f>
        <v>0</v>
      </c>
      <c r="AX56" s="452">
        <f>'HR Track 2 TSA-THA'!AX14</f>
        <v>0</v>
      </c>
      <c r="AY56" s="500">
        <f>'HR Track 2 TSA-THA'!AY14</f>
        <v>0</v>
      </c>
      <c r="AZ56" s="500">
        <f>'HR Track 2 TSA-THA'!AZ14</f>
        <v>0</v>
      </c>
      <c r="BA56" s="1333">
        <f>'HR Track 2 TSA-THA'!BA14</f>
        <v>0</v>
      </c>
      <c r="BB56" s="452">
        <f>'HR Track 2 TSA-THA'!BB14</f>
        <v>0</v>
      </c>
      <c r="BC56" s="1334">
        <f>'HR Track 2 TSA-THA'!BC14</f>
        <v>0</v>
      </c>
      <c r="BD56" s="1335">
        <f>'HR Track 2 TSA-THA'!BD14</f>
        <v>0</v>
      </c>
      <c r="BE56" s="1335" t="str">
        <f>'HR Track 2 TSA-THA'!BE14</f>
        <v>Ejecutado</v>
      </c>
      <c r="BF56" s="1335">
        <f>'HR Track 2 TSA-THA'!BF14</f>
        <v>0</v>
      </c>
      <c r="BG56" s="1335">
        <f>'HR Track 2 TSA-THA'!BG14</f>
        <v>43838</v>
      </c>
    </row>
    <row r="57" spans="1:59" ht="15.75" customHeight="1">
      <c r="A57" s="501">
        <f>'HR Track 2 TSA-THA'!A15</f>
        <v>0</v>
      </c>
      <c r="B57" s="716">
        <f>'HR Track 2 TSA-THA'!B15</f>
        <v>0</v>
      </c>
      <c r="C57" s="451">
        <f>'HR Track 2 TSA-THA'!C15</f>
        <v>0</v>
      </c>
      <c r="D57" s="453">
        <f>'HR Track 2 TSA-THA'!D15</f>
        <v>0</v>
      </c>
      <c r="E57" s="452">
        <f>'HR Track 2 TSA-THA'!E15</f>
        <v>0</v>
      </c>
      <c r="F57" s="453">
        <f>'HR Track 2 TSA-THA'!F15</f>
        <v>0</v>
      </c>
      <c r="G57" s="500">
        <f>'HR Track 2 TSA-THA'!G15</f>
        <v>38.299999999999997</v>
      </c>
      <c r="H57" s="453">
        <f>'HR Track 2 TSA-THA'!H15</f>
        <v>0</v>
      </c>
      <c r="I57" s="501">
        <f>'HR Track 2 TSA-THA'!I15</f>
        <v>0</v>
      </c>
      <c r="J57" s="583">
        <f>'HR Track 2 TSA-THA'!J15</f>
        <v>0</v>
      </c>
      <c r="K57" s="452">
        <f>'HR Track 2 TSA-THA'!K15</f>
        <v>0</v>
      </c>
      <c r="L57" s="452">
        <f>'HR Track 2 TSA-THA'!L15</f>
        <v>0</v>
      </c>
      <c r="M57" s="452">
        <f>'HR Track 2 TSA-THA'!M15</f>
        <v>0</v>
      </c>
      <c r="N57" s="501">
        <f>'HR Track 2 TSA-THA'!N15</f>
        <v>0</v>
      </c>
      <c r="O57" s="501">
        <f>'HR Track 2 TSA-THA'!O15</f>
        <v>0</v>
      </c>
      <c r="P57" s="501">
        <f>'HR Track 2 TSA-THA'!P15</f>
        <v>0</v>
      </c>
      <c r="Q57" s="452">
        <f>'HR Track 2 TSA-THA'!Q15</f>
        <v>0</v>
      </c>
      <c r="R57" s="452">
        <f>'HR Track 2 TSA-THA'!R15</f>
        <v>0</v>
      </c>
      <c r="S57" s="500">
        <f>'HR Track 2 TSA-THA'!S15</f>
        <v>40.470000000001164</v>
      </c>
      <c r="T57" s="452">
        <f>'HR Track 2 TSA-THA'!T15</f>
        <v>0</v>
      </c>
      <c r="U57" s="452">
        <f>'HR Track 2 TSA-THA'!U15</f>
        <v>0</v>
      </c>
      <c r="V57" s="452">
        <f>'HR Track 2 TSA-THA'!V15</f>
        <v>0</v>
      </c>
      <c r="W57" s="452">
        <f>'HR Track 2 TSA-THA'!W15</f>
        <v>0</v>
      </c>
      <c r="X57" s="452">
        <f>'HR Track 2 TSA-THA'!X15</f>
        <v>0</v>
      </c>
      <c r="Y57" s="452">
        <f>'HR Track 2 TSA-THA'!Y15</f>
        <v>0</v>
      </c>
      <c r="Z57" s="452">
        <f>'HR Track 2 TSA-THA'!Z15</f>
        <v>0</v>
      </c>
      <c r="AA57" s="452">
        <f>'HR Track 2 TSA-THA'!AA15</f>
        <v>0</v>
      </c>
      <c r="AB57" s="452">
        <f>'HR Track 2 TSA-THA'!AB15</f>
        <v>0</v>
      </c>
      <c r="AC57" s="452">
        <f>'HR Track 2 TSA-THA'!AC15</f>
        <v>0</v>
      </c>
      <c r="AD57" s="452">
        <f>'HR Track 2 TSA-THA'!AD15</f>
        <v>0</v>
      </c>
      <c r="AE57" s="452">
        <f>'HR Track 2 TSA-THA'!AE15</f>
        <v>0</v>
      </c>
      <c r="AF57" s="452">
        <f>'HR Track 2 TSA-THA'!AF15</f>
        <v>0</v>
      </c>
      <c r="AG57" s="451">
        <f>'HR Track 2 TSA-THA'!AG15</f>
        <v>0</v>
      </c>
      <c r="AH57" s="452">
        <f>'HR Track 2 TSA-THA'!AH15</f>
        <v>0</v>
      </c>
      <c r="AI57" s="452">
        <f>'HR Track 2 TSA-THA'!AI15</f>
        <v>0</v>
      </c>
      <c r="AJ57" s="452">
        <f>'HR Track 2 TSA-THA'!AJ15</f>
        <v>0</v>
      </c>
      <c r="AK57" s="452">
        <f>'HR Track 2 TSA-THA'!AK15</f>
        <v>0</v>
      </c>
      <c r="AL57" s="452">
        <f>'HR Track 2 TSA-THA'!AL15</f>
        <v>0</v>
      </c>
      <c r="AM57" s="452">
        <f>'HR Track 2 TSA-THA'!AM15</f>
        <v>0</v>
      </c>
      <c r="AN57" s="500">
        <f>'HR Track 2 TSA-THA'!AN15</f>
        <v>0</v>
      </c>
      <c r="AO57" s="452">
        <f>'HR Track 2 TSA-THA'!AO15</f>
        <v>0</v>
      </c>
      <c r="AP57" s="452">
        <f>'HR Track 2 TSA-THA'!AP15</f>
        <v>0</v>
      </c>
      <c r="AQ57" s="452">
        <f>'HR Track 2 TSA-THA'!AQ15</f>
        <v>0.36182567412626587</v>
      </c>
      <c r="AR57" s="452">
        <f>'HR Track 2 TSA-THA'!AR15</f>
        <v>0</v>
      </c>
      <c r="AS57" s="452">
        <f>'HR Track 2 TSA-THA'!AS15</f>
        <v>0</v>
      </c>
      <c r="AT57" s="452">
        <f>'HR Track 2 TSA-THA'!AT15</f>
        <v>0</v>
      </c>
      <c r="AU57" s="452">
        <f>'HR Track 2 TSA-THA'!AU15</f>
        <v>0</v>
      </c>
      <c r="AV57" s="452">
        <f>'HR Track 2 TSA-THA'!AV15</f>
        <v>0</v>
      </c>
      <c r="AW57" s="452">
        <f>'HR Track 2 TSA-THA'!AW15</f>
        <v>0</v>
      </c>
      <c r="AX57" s="452">
        <f>'HR Track 2 TSA-THA'!AX15</f>
        <v>0</v>
      </c>
      <c r="AY57" s="500">
        <f>'HR Track 2 TSA-THA'!AY15</f>
        <v>0</v>
      </c>
      <c r="AZ57" s="500">
        <f>'HR Track 2 TSA-THA'!AZ15</f>
        <v>0</v>
      </c>
      <c r="BA57" s="1333">
        <f>'HR Track 2 TSA-THA'!BA15</f>
        <v>0</v>
      </c>
      <c r="BB57" s="452">
        <f>'HR Track 2 TSA-THA'!BB15</f>
        <v>0</v>
      </c>
      <c r="BC57" s="1334">
        <f>'HR Track 2 TSA-THA'!BC15</f>
        <v>0</v>
      </c>
      <c r="BD57" s="1335">
        <f>'HR Track 2 TSA-THA'!BD15</f>
        <v>0</v>
      </c>
      <c r="BE57" s="1335">
        <f>'HR Track 2 TSA-THA'!BE15</f>
        <v>0</v>
      </c>
      <c r="BF57" s="1335">
        <f>'HR Track 2 TSA-THA'!BF15</f>
        <v>0</v>
      </c>
      <c r="BG57" s="1335">
        <f>'HR Track 2 TSA-THA'!BG15</f>
        <v>0</v>
      </c>
    </row>
    <row r="58" spans="1:59" ht="15.75" customHeight="1">
      <c r="A58" s="501">
        <f>'HR Track 3 TSA-THA'!A16</f>
        <v>0</v>
      </c>
      <c r="B58" s="716" t="str">
        <f>'HR Track 3 TSA-THA'!B16</f>
        <v>93-3.17</v>
      </c>
      <c r="C58" s="451">
        <f>'HR Track 3 TSA-THA'!C16</f>
        <v>93690.85000000002</v>
      </c>
      <c r="D58" s="453">
        <f>'HR Track 3 TSA-THA'!D16</f>
        <v>0</v>
      </c>
      <c r="E58" s="452">
        <f>'HR Track 3 TSA-THA'!E16</f>
        <v>0</v>
      </c>
      <c r="F58" s="453">
        <f>'HR Track 3 TSA-THA'!F16</f>
        <v>622</v>
      </c>
      <c r="G58" s="500">
        <f>'HR Track 3 TSA-THA'!G16</f>
        <v>0</v>
      </c>
      <c r="H58" s="453" t="str">
        <f>'HR Track 3 TSA-THA'!H16</f>
        <v>S/A A/S</v>
      </c>
      <c r="I58" s="501" t="str">
        <f>'HR Track 3 TSA-THA'!I16</f>
        <v>CP/TX-P/1100</v>
      </c>
      <c r="J58" s="583">
        <f>'HR Track 3 TSA-THA'!J16</f>
        <v>93698.35000000002</v>
      </c>
      <c r="K58" s="452" t="str">
        <f>'HR Track 3 TSA-THA'!K16</f>
        <v>AnMC/W</v>
      </c>
      <c r="L58" s="452" t="str">
        <f>'HR Track 3 TSA-THA'!L16</f>
        <v>HEB-280L</v>
      </c>
      <c r="M58" s="452" t="str">
        <f>'HR Track 3 TSA-THA'!M16</f>
        <v>Unique Solution</v>
      </c>
      <c r="N58" s="501" t="str">
        <f>'HR Track 3 TSA-THA'!N16</f>
        <v>EMT-E</v>
      </c>
      <c r="O58" s="501" t="str">
        <f>'HR Track 3 TSA-THA'!O16</f>
        <v>EMT-T</v>
      </c>
      <c r="P58" s="501">
        <f>'HR Track 3 TSA-THA'!P16</f>
        <v>0</v>
      </c>
      <c r="Q58" s="452">
        <f>'HR Track 3 TSA-THA'!Q16</f>
        <v>30</v>
      </c>
      <c r="R58" s="452">
        <f>'HR Track 3 TSA-THA'!R16</f>
        <v>631.33000000000004</v>
      </c>
      <c r="S58" s="500">
        <f>'HR Track 3 TSA-THA'!S16</f>
        <v>0</v>
      </c>
      <c r="T58" s="452">
        <f>'HR Track 3 TSA-THA'!T16</f>
        <v>-30</v>
      </c>
      <c r="U58" s="452">
        <f>'HR Track 3 TSA-THA'!U16</f>
        <v>15</v>
      </c>
      <c r="V58" s="452">
        <f>'HR Track 3 TSA-THA'!V16</f>
        <v>0</v>
      </c>
      <c r="W58" s="452">
        <f>'HR Track 3 TSA-THA'!W16</f>
        <v>1.4</v>
      </c>
      <c r="X58" s="452">
        <f>'HR Track 3 TSA-THA'!X16</f>
        <v>1.2</v>
      </c>
      <c r="Y58" s="452">
        <f>'HR Track 3 TSA-THA'!Y16</f>
        <v>0</v>
      </c>
      <c r="Z58" s="452">
        <f>'HR Track 3 TSA-THA'!Z16</f>
        <v>0</v>
      </c>
      <c r="AA58" s="452">
        <f>'HR Track 3 TSA-THA'!AA16</f>
        <v>0.45</v>
      </c>
      <c r="AB58" s="452">
        <f>'HR Track 3 TSA-THA'!AB16</f>
        <v>0</v>
      </c>
      <c r="AC58" s="452" t="str">
        <f>'HR Track 3 TSA-THA'!AC16</f>
        <v>PHC-1150</v>
      </c>
      <c r="AD58" s="452">
        <f>'HR Track 3 TSA-THA'!AD16</f>
        <v>0</v>
      </c>
      <c r="AE58" s="452">
        <f>'HR Track 3 TSA-THA'!AE16</f>
        <v>0</v>
      </c>
      <c r="AF58" s="452">
        <f>'HR Track 3 TSA-THA'!AF16</f>
        <v>4500</v>
      </c>
      <c r="AG58" s="451">
        <f>'HR Track 3 TSA-THA'!AG16</f>
        <v>93690.81</v>
      </c>
      <c r="AH58" s="452">
        <f>'HR Track 3 TSA-THA'!AH16</f>
        <v>1803</v>
      </c>
      <c r="AI58" s="452">
        <f>'HR Track 3 TSA-THA'!AI16</f>
        <v>-730</v>
      </c>
      <c r="AJ58" s="452">
        <f>'HR Track 3 TSA-THA'!AJ16</f>
        <v>0</v>
      </c>
      <c r="AK58" s="452">
        <f>'HR Track 3 TSA-THA'!AK16</f>
        <v>0</v>
      </c>
      <c r="AL58" s="452" t="str">
        <f>'HR Track 3 TSA-THA'!AL16</f>
        <v>PR1B</v>
      </c>
      <c r="AM58" s="452" t="str">
        <f>'HR Track 3 TSA-THA'!AM16</f>
        <v>RW2</v>
      </c>
      <c r="AN58" s="500">
        <f>'HR Track 3 TSA-THA'!AN16</f>
        <v>5.32</v>
      </c>
      <c r="AO58" s="452">
        <f>'HR Track 3 TSA-THA'!AO16</f>
        <v>0</v>
      </c>
      <c r="AP58" s="452">
        <f>'HR Track 3 TSA-THA'!AP16</f>
        <v>0</v>
      </c>
      <c r="AQ58" s="452">
        <f>'HR Track 3 TSA-THA'!AQ16</f>
        <v>0</v>
      </c>
      <c r="AR58" s="452">
        <f>'HR Track 3 TSA-THA'!AR16</f>
        <v>0</v>
      </c>
      <c r="AS58" s="452">
        <f>'HR Track 3 TSA-THA'!AS16</f>
        <v>0</v>
      </c>
      <c r="AT58" s="452">
        <f>'HR Track 3 TSA-THA'!AT16</f>
        <v>-2.6477831163545087</v>
      </c>
      <c r="AU58" s="452">
        <f>'HR Track 3 TSA-THA'!AU16</f>
        <v>0</v>
      </c>
      <c r="AV58" s="452">
        <f>'HR Track 3 TSA-THA'!AV16</f>
        <v>0</v>
      </c>
      <c r="AW58" s="452" t="str">
        <f>'HR Track 3 TSA-THA'!AW16</f>
        <v>DW6928
DW6999</v>
      </c>
      <c r="AX58" s="452">
        <f>'HR Track 3 TSA-THA'!AX16</f>
        <v>0</v>
      </c>
      <c r="AY58" s="500">
        <f>'HR Track 3 TSA-THA'!AY16</f>
        <v>0</v>
      </c>
      <c r="AZ58" s="500">
        <f>'HR Track 3 TSA-THA'!AZ16</f>
        <v>0</v>
      </c>
      <c r="BA58" s="1333" t="str">
        <f>'HR Track 3 TSA-THA'!BA16</f>
        <v>ü</v>
      </c>
      <c r="BB58" s="452" t="str">
        <f>'HR Track 3 TSA-THA'!BB16</f>
        <v>App.8-V08F-P10.3</v>
      </c>
      <c r="BC58" s="1334">
        <f>'HR Track 3 TSA-THA'!BC16</f>
        <v>0</v>
      </c>
      <c r="BD58" s="1335">
        <f>'HR Track 3 TSA-THA'!BD16</f>
        <v>43808</v>
      </c>
      <c r="BE58" s="1335" t="str">
        <f>'HR Track 3 TSA-THA'!BE16</f>
        <v>Ejecutado</v>
      </c>
      <c r="BF58" s="1335" t="str">
        <f>'HR Track 3 TSA-THA'!BF16</f>
        <v>Ejecutado</v>
      </c>
      <c r="BG58" s="1335">
        <f>'HR Track 3 TSA-THA'!BG16</f>
        <v>43838</v>
      </c>
    </row>
    <row r="59" spans="1:59" ht="15.75" customHeight="1">
      <c r="A59" s="501">
        <f>'HR Track 3 TSA-THA'!A17</f>
        <v>0</v>
      </c>
      <c r="B59" s="716">
        <f>'HR Track 3 TSA-THA'!B17</f>
        <v>0</v>
      </c>
      <c r="C59" s="451">
        <f>'HR Track 3 TSA-THA'!C17</f>
        <v>0</v>
      </c>
      <c r="D59" s="453">
        <f>'HR Track 3 TSA-THA'!D17</f>
        <v>0</v>
      </c>
      <c r="E59" s="452">
        <f>'HR Track 3 TSA-THA'!E17</f>
        <v>0</v>
      </c>
      <c r="F59" s="453">
        <f>'HR Track 3 TSA-THA'!F17</f>
        <v>0</v>
      </c>
      <c r="G59" s="500">
        <f>'HR Track 3 TSA-THA'!G17</f>
        <v>38.799999999999997</v>
      </c>
      <c r="H59" s="453">
        <f>'HR Track 3 TSA-THA'!H17</f>
        <v>0</v>
      </c>
      <c r="I59" s="501">
        <f>'HR Track 3 TSA-THA'!I17</f>
        <v>0</v>
      </c>
      <c r="J59" s="583">
        <f>'HR Track 3 TSA-THA'!J17</f>
        <v>93722.150000000023</v>
      </c>
      <c r="K59" s="452" t="str">
        <f>'HR Track 3 TSA-THA'!K17</f>
        <v>AnMC/W</v>
      </c>
      <c r="L59" s="452">
        <f>'HR Track 3 TSA-THA'!L17</f>
        <v>0</v>
      </c>
      <c r="M59" s="452">
        <f>'HR Track 3 TSA-THA'!M17</f>
        <v>0</v>
      </c>
      <c r="N59" s="501">
        <f>'HR Track 3 TSA-THA'!N17</f>
        <v>0</v>
      </c>
      <c r="O59" s="501">
        <f>'HR Track 3 TSA-THA'!O17</f>
        <v>0</v>
      </c>
      <c r="P59" s="501">
        <f>'HR Track 3 TSA-THA'!P17</f>
        <v>0</v>
      </c>
      <c r="Q59" s="452">
        <f>'HR Track 3 TSA-THA'!Q17</f>
        <v>0</v>
      </c>
      <c r="R59" s="452">
        <f>'HR Track 3 TSA-THA'!R17</f>
        <v>0</v>
      </c>
      <c r="S59" s="500">
        <f>'HR Track 3 TSA-THA'!S17</f>
        <v>38.720000000001164</v>
      </c>
      <c r="T59" s="452">
        <f>'HR Track 3 TSA-THA'!T17</f>
        <v>0</v>
      </c>
      <c r="U59" s="452">
        <f>'HR Track 3 TSA-THA'!U17</f>
        <v>0</v>
      </c>
      <c r="V59" s="452">
        <f>'HR Track 3 TSA-THA'!V17</f>
        <v>0</v>
      </c>
      <c r="W59" s="452">
        <f>'HR Track 3 TSA-THA'!W17</f>
        <v>0</v>
      </c>
      <c r="X59" s="452">
        <f>'HR Track 3 TSA-THA'!X17</f>
        <v>0</v>
      </c>
      <c r="Y59" s="452">
        <f>'HR Track 3 TSA-THA'!Y17</f>
        <v>0</v>
      </c>
      <c r="Z59" s="452">
        <f>'HR Track 3 TSA-THA'!Z17</f>
        <v>0</v>
      </c>
      <c r="AA59" s="452">
        <f>'HR Track 3 TSA-THA'!AA17</f>
        <v>0</v>
      </c>
      <c r="AB59" s="452">
        <f>'HR Track 3 TSA-THA'!AB17</f>
        <v>0</v>
      </c>
      <c r="AC59" s="452">
        <f>'HR Track 3 TSA-THA'!AC17</f>
        <v>0</v>
      </c>
      <c r="AD59" s="452">
        <f>'HR Track 3 TSA-THA'!AD17</f>
        <v>0</v>
      </c>
      <c r="AE59" s="452">
        <f>'HR Track 3 TSA-THA'!AE17</f>
        <v>0</v>
      </c>
      <c r="AF59" s="452">
        <f>'HR Track 3 TSA-THA'!AF17</f>
        <v>0</v>
      </c>
      <c r="AG59" s="451">
        <f>'HR Track 3 TSA-THA'!AG17</f>
        <v>0</v>
      </c>
      <c r="AH59" s="452">
        <f>'HR Track 3 TSA-THA'!AH17</f>
        <v>0</v>
      </c>
      <c r="AI59" s="452">
        <f>'HR Track 3 TSA-THA'!AI17</f>
        <v>0</v>
      </c>
      <c r="AJ59" s="452">
        <f>'HR Track 3 TSA-THA'!AJ17</f>
        <v>0</v>
      </c>
      <c r="AK59" s="452">
        <f>'HR Track 3 TSA-THA'!AK17</f>
        <v>0</v>
      </c>
      <c r="AL59" s="452">
        <f>'HR Track 3 TSA-THA'!AL17</f>
        <v>0</v>
      </c>
      <c r="AM59" s="452">
        <f>'HR Track 3 TSA-THA'!AM17</f>
        <v>0</v>
      </c>
      <c r="AN59" s="500">
        <f>'HR Track 3 TSA-THA'!AN17</f>
        <v>0</v>
      </c>
      <c r="AO59" s="452">
        <f>'HR Track 3 TSA-THA'!AO17</f>
        <v>0</v>
      </c>
      <c r="AP59" s="452">
        <f>'HR Track 3 TSA-THA'!AP17</f>
        <v>0</v>
      </c>
      <c r="AQ59" s="452">
        <f>'HR Track 3 TSA-THA'!AQ17</f>
        <v>-0.3</v>
      </c>
      <c r="AR59" s="452">
        <f>'HR Track 3 TSA-THA'!AR17</f>
        <v>0</v>
      </c>
      <c r="AS59" s="452">
        <f>'HR Track 3 TSA-THA'!AS17</f>
        <v>0</v>
      </c>
      <c r="AT59" s="452">
        <f>'HR Track 3 TSA-THA'!AT17</f>
        <v>0</v>
      </c>
      <c r="AU59" s="452">
        <f>'HR Track 3 TSA-THA'!AU17</f>
        <v>0</v>
      </c>
      <c r="AV59" s="452">
        <f>'HR Track 3 TSA-THA'!AV17</f>
        <v>0</v>
      </c>
      <c r="AW59" s="452" t="str">
        <f>'HR Track 3 TSA-THA'!AW17</f>
        <v>DW6999</v>
      </c>
      <c r="AX59" s="452">
        <f>'HR Track 3 TSA-THA'!AX17</f>
        <v>0</v>
      </c>
      <c r="AY59" s="500">
        <f>'HR Track 3 TSA-THA'!AY17</f>
        <v>0</v>
      </c>
      <c r="AZ59" s="500">
        <f>'HR Track 3 TSA-THA'!AZ17</f>
        <v>0</v>
      </c>
      <c r="BA59" s="1333" t="str">
        <f>'HR Track 3 TSA-THA'!BA17</f>
        <v>ü</v>
      </c>
      <c r="BB59" s="452">
        <f>'HR Track 3 TSA-THA'!BB17</f>
        <v>0</v>
      </c>
      <c r="BC59" s="1334">
        <f>'HR Track 3 TSA-THA'!BC17</f>
        <v>0</v>
      </c>
      <c r="BD59" s="1335" t="str">
        <f>'HR Track 3 TSA-THA'!BD17</f>
        <v>Ejecutado</v>
      </c>
      <c r="BE59" s="1335">
        <f>'HR Track 3 TSA-THA'!BE17</f>
        <v>0</v>
      </c>
      <c r="BF59" s="1335">
        <f>'HR Track 3 TSA-THA'!BF17</f>
        <v>0</v>
      </c>
      <c r="BG59" s="1335">
        <f>'HR Track 3 TSA-THA'!BG17</f>
        <v>0</v>
      </c>
    </row>
    <row r="60" spans="1:59" ht="15.75" customHeight="1">
      <c r="A60" s="501">
        <f>'HR Track 3 TSA-THA'!A18</f>
        <v>0</v>
      </c>
      <c r="B60" s="716" t="str">
        <f>'HR Track 3 TSA-THA'!B18</f>
        <v>93-3.18</v>
      </c>
      <c r="C60" s="451">
        <f>'HR Track 3 TSA-THA'!C18</f>
        <v>93729.650000000023</v>
      </c>
      <c r="D60" s="453">
        <f>'HR Track 3 TSA-THA'!D18</f>
        <v>0</v>
      </c>
      <c r="E60" s="452">
        <f>'HR Track 3 TSA-THA'!E18</f>
        <v>0</v>
      </c>
      <c r="F60" s="453">
        <f>'HR Track 3 TSA-THA'!F18</f>
        <v>622</v>
      </c>
      <c r="G60" s="500">
        <f>'HR Track 3 TSA-THA'!G18</f>
        <v>0</v>
      </c>
      <c r="H60" s="453" t="str">
        <f>'HR Track 3 TSA-THA'!H18</f>
        <v>S/A A/S-Diag</v>
      </c>
      <c r="I60" s="501" t="str">
        <f>'HR Track 3 TSA-THA'!I18</f>
        <v>CP/TX-P/1100</v>
      </c>
      <c r="J60" s="583">
        <f>'HR Track 3 TSA-THA'!J18</f>
        <v>0</v>
      </c>
      <c r="K60" s="452">
        <f>'HR Track 3 TSA-THA'!K18</f>
        <v>0</v>
      </c>
      <c r="L60" s="452" t="str">
        <f>'HR Track 3 TSA-THA'!L18</f>
        <v>HEB-280L</v>
      </c>
      <c r="M60" s="452" t="str">
        <f>'HR Track 3 TSA-THA'!M18</f>
        <v>WT5</v>
      </c>
      <c r="N60" s="501" t="str">
        <f>'HR Track 3 TSA-THA'!N18</f>
        <v>EMT-1</v>
      </c>
      <c r="O60" s="501" t="str">
        <f>'HR Track 3 TSA-THA'!O18</f>
        <v>EMT-T</v>
      </c>
      <c r="P60" s="501">
        <f>'HR Track 3 TSA-THA'!P18</f>
        <v>0</v>
      </c>
      <c r="Q60" s="452">
        <f>'HR Track 3 TSA-THA'!Q18</f>
        <v>20</v>
      </c>
      <c r="R60" s="452">
        <f>'HR Track 3 TSA-THA'!R18</f>
        <v>631.54999999999995</v>
      </c>
      <c r="S60" s="500">
        <f>'HR Track 3 TSA-THA'!S18</f>
        <v>0</v>
      </c>
      <c r="T60" s="452">
        <f>'HR Track 3 TSA-THA'!T18</f>
        <v>-30</v>
      </c>
      <c r="U60" s="452">
        <f>'HR Track 3 TSA-THA'!U18</f>
        <v>15</v>
      </c>
      <c r="V60" s="452">
        <f>'HR Track 3 TSA-THA'!V18</f>
        <v>0</v>
      </c>
      <c r="W60" s="452">
        <f>'HR Track 3 TSA-THA'!W18</f>
        <v>1.4</v>
      </c>
      <c r="X60" s="452">
        <f>'HR Track 3 TSA-THA'!X18</f>
        <v>1.2</v>
      </c>
      <c r="Y60" s="452">
        <f>'HR Track 3 TSA-THA'!Y18</f>
        <v>0</v>
      </c>
      <c r="Z60" s="452">
        <f>'HR Track 3 TSA-THA'!Z18</f>
        <v>0</v>
      </c>
      <c r="AA60" s="452">
        <f>'HR Track 3 TSA-THA'!AA18</f>
        <v>0.6</v>
      </c>
      <c r="AB60" s="452">
        <f>'HR Track 3 TSA-THA'!AB18</f>
        <v>0</v>
      </c>
      <c r="AC60" s="452" t="str">
        <f>'HR Track 3 TSA-THA'!AC18</f>
        <v>PHC-1150</v>
      </c>
      <c r="AD60" s="452">
        <f>'HR Track 3 TSA-THA'!AD18</f>
        <v>0</v>
      </c>
      <c r="AE60" s="452">
        <f>'HR Track 3 TSA-THA'!AE18</f>
        <v>0</v>
      </c>
      <c r="AF60" s="452">
        <f>'HR Track 3 TSA-THA'!AF18</f>
        <v>3300</v>
      </c>
      <c r="AG60" s="451">
        <f>'HR Track 3 TSA-THA'!AG18</f>
        <v>93729.53</v>
      </c>
      <c r="AH60" s="452">
        <f>'HR Track 3 TSA-THA'!AH18</f>
        <v>2693</v>
      </c>
      <c r="AI60" s="452">
        <f>'HR Track 3 TSA-THA'!AI18</f>
        <v>-2070</v>
      </c>
      <c r="AJ60" s="452">
        <f>'HR Track 3 TSA-THA'!AJ18</f>
        <v>0</v>
      </c>
      <c r="AK60" s="452">
        <f>'HR Track 3 TSA-THA'!AK18</f>
        <v>0</v>
      </c>
      <c r="AL60" s="452" t="str">
        <f>'HR Track 3 TSA-THA'!AL18</f>
        <v>PR1B</v>
      </c>
      <c r="AM60" s="452" t="str">
        <f>'HR Track 3 TSA-THA'!AM18</f>
        <v>RW2</v>
      </c>
      <c r="AN60" s="500">
        <f>'HR Track 3 TSA-THA'!AN18</f>
        <v>5.44</v>
      </c>
      <c r="AO60" s="452">
        <f>'HR Track 3 TSA-THA'!AO18</f>
        <v>0</v>
      </c>
      <c r="AP60" s="452">
        <f>'HR Track 3 TSA-THA'!AP18</f>
        <v>0</v>
      </c>
      <c r="AQ60" s="452">
        <f>'HR Track 3 TSA-THA'!AQ18</f>
        <v>0</v>
      </c>
      <c r="AR60" s="452">
        <f>'HR Track 3 TSA-THA'!AR18</f>
        <v>0</v>
      </c>
      <c r="AS60" s="452">
        <f>'HR Track 3 TSA-THA'!AS18</f>
        <v>0</v>
      </c>
      <c r="AT60" s="452">
        <f>'HR Track 3 TSA-THA'!AT18</f>
        <v>-3.0380981913290537</v>
      </c>
      <c r="AU60" s="452">
        <f>'HR Track 3 TSA-THA'!AU18</f>
        <v>0</v>
      </c>
      <c r="AV60" s="452">
        <f>'HR Track 3 TSA-THA'!AV18</f>
        <v>0</v>
      </c>
      <c r="AW60" s="452" t="str">
        <f>'HR Track 3 TSA-THA'!AW18</f>
        <v>DW6933</v>
      </c>
      <c r="AX60" s="452">
        <f>'HR Track 3 TSA-THA'!AX18</f>
        <v>0</v>
      </c>
      <c r="AY60" s="500">
        <f>'HR Track 3 TSA-THA'!AY18</f>
        <v>0</v>
      </c>
      <c r="AZ60" s="500">
        <f>'HR Track 3 TSA-THA'!AZ18</f>
        <v>0</v>
      </c>
      <c r="BA60" s="1333" t="str">
        <f>'HR Track 3 TSA-THA'!BA18</f>
        <v>ü</v>
      </c>
      <c r="BB60" s="452" t="str">
        <f>'HR Track 3 TSA-THA'!BB18</f>
        <v>App.8-V08F-P10.3</v>
      </c>
      <c r="BC60" s="1334">
        <f>'HR Track 3 TSA-THA'!BC18</f>
        <v>0</v>
      </c>
      <c r="BD60" s="1335">
        <f>'HR Track 3 TSA-THA'!BD18</f>
        <v>43804</v>
      </c>
      <c r="BE60" s="1335" t="str">
        <f>'HR Track 3 TSA-THA'!BE18</f>
        <v>Ejecutado</v>
      </c>
      <c r="BF60" s="1335" t="str">
        <f>'HR Track 3 TSA-THA'!BF18</f>
        <v>Ejecutado</v>
      </c>
      <c r="BG60" s="1335">
        <f>'HR Track 3 TSA-THA'!BG18</f>
        <v>43814</v>
      </c>
    </row>
    <row r="61" spans="1:59" ht="15.75" customHeight="1">
      <c r="A61" s="501">
        <f>'HR Track 3 TSA-THA'!A19</f>
        <v>0</v>
      </c>
      <c r="B61" s="716">
        <f>'HR Track 3 TSA-THA'!B19</f>
        <v>0</v>
      </c>
      <c r="C61" s="451">
        <f>'HR Track 3 TSA-THA'!C19</f>
        <v>0</v>
      </c>
      <c r="D61" s="453">
        <f>'HR Track 3 TSA-THA'!D19</f>
        <v>0</v>
      </c>
      <c r="E61" s="452">
        <f>'HR Track 3 TSA-THA'!E19</f>
        <v>0</v>
      </c>
      <c r="F61" s="453">
        <f>'HR Track 3 TSA-THA'!F19</f>
        <v>0</v>
      </c>
      <c r="G61" s="500">
        <f>'HR Track 3 TSA-THA'!G19</f>
        <v>39.700000000000003</v>
      </c>
      <c r="H61" s="453">
        <f>'HR Track 3 TSA-THA'!H19</f>
        <v>0</v>
      </c>
      <c r="I61" s="501">
        <f>'HR Track 3 TSA-THA'!I19</f>
        <v>324</v>
      </c>
      <c r="J61" s="583">
        <f>'HR Track 3 TSA-THA'!J19</f>
        <v>0</v>
      </c>
      <c r="K61" s="452">
        <f>'HR Track 3 TSA-THA'!K19</f>
        <v>0</v>
      </c>
      <c r="L61" s="452">
        <f>'HR Track 3 TSA-THA'!L19</f>
        <v>0</v>
      </c>
      <c r="M61" s="452">
        <f>'HR Track 3 TSA-THA'!M19</f>
        <v>0</v>
      </c>
      <c r="N61" s="501">
        <f>'HR Track 3 TSA-THA'!N19</f>
        <v>0</v>
      </c>
      <c r="O61" s="501">
        <f>'HR Track 3 TSA-THA'!O19</f>
        <v>0</v>
      </c>
      <c r="P61" s="501">
        <f>'HR Track 3 TSA-THA'!P19</f>
        <v>0</v>
      </c>
      <c r="Q61" s="452">
        <f>'HR Track 3 TSA-THA'!Q19</f>
        <v>0</v>
      </c>
      <c r="R61" s="452">
        <f>'HR Track 3 TSA-THA'!R19</f>
        <v>0</v>
      </c>
      <c r="S61" s="500">
        <f>'HR Track 3 TSA-THA'!S19</f>
        <v>37.589999999996508</v>
      </c>
      <c r="T61" s="452">
        <f>'HR Track 3 TSA-THA'!T19</f>
        <v>0</v>
      </c>
      <c r="U61" s="452">
        <f>'HR Track 3 TSA-THA'!U19</f>
        <v>0</v>
      </c>
      <c r="V61" s="452">
        <f>'HR Track 3 TSA-THA'!V19</f>
        <v>0</v>
      </c>
      <c r="W61" s="452">
        <f>'HR Track 3 TSA-THA'!W19</f>
        <v>0</v>
      </c>
      <c r="X61" s="452">
        <f>'HR Track 3 TSA-THA'!X19</f>
        <v>0</v>
      </c>
      <c r="Y61" s="452">
        <f>'HR Track 3 TSA-THA'!Y19</f>
        <v>0</v>
      </c>
      <c r="Z61" s="452">
        <f>'HR Track 3 TSA-THA'!Z19</f>
        <v>0</v>
      </c>
      <c r="AA61" s="452">
        <f>'HR Track 3 TSA-THA'!AA19</f>
        <v>0</v>
      </c>
      <c r="AB61" s="452">
        <f>'HR Track 3 TSA-THA'!AB19</f>
        <v>0</v>
      </c>
      <c r="AC61" s="452">
        <f>'HR Track 3 TSA-THA'!AC19</f>
        <v>0</v>
      </c>
      <c r="AD61" s="452">
        <f>'HR Track 3 TSA-THA'!AD19</f>
        <v>0</v>
      </c>
      <c r="AE61" s="452">
        <f>'HR Track 3 TSA-THA'!AE19</f>
        <v>0</v>
      </c>
      <c r="AF61" s="452">
        <f>'HR Track 3 TSA-THA'!AF19</f>
        <v>0</v>
      </c>
      <c r="AG61" s="451">
        <f>'HR Track 3 TSA-THA'!AG19</f>
        <v>0</v>
      </c>
      <c r="AH61" s="452">
        <f>'HR Track 3 TSA-THA'!AH19</f>
        <v>0</v>
      </c>
      <c r="AI61" s="452">
        <f>'HR Track 3 TSA-THA'!AI19</f>
        <v>0</v>
      </c>
      <c r="AJ61" s="452">
        <f>'HR Track 3 TSA-THA'!AJ19</f>
        <v>0</v>
      </c>
      <c r="AK61" s="452">
        <f>'HR Track 3 TSA-THA'!AK19</f>
        <v>0</v>
      </c>
      <c r="AL61" s="452">
        <f>'HR Track 3 TSA-THA'!AL19</f>
        <v>0</v>
      </c>
      <c r="AM61" s="452">
        <f>'HR Track 3 TSA-THA'!AM19</f>
        <v>0</v>
      </c>
      <c r="AN61" s="500">
        <f>'HR Track 3 TSA-THA'!AN19</f>
        <v>0</v>
      </c>
      <c r="AO61" s="452">
        <f>'HR Track 3 TSA-THA'!AO19</f>
        <v>0</v>
      </c>
      <c r="AP61" s="452">
        <f>'HR Track 3 TSA-THA'!AP19</f>
        <v>0</v>
      </c>
      <c r="AQ61" s="452">
        <f>'HR Track 3 TSA-THA'!AQ19</f>
        <v>-0.3</v>
      </c>
      <c r="AR61" s="452">
        <f>'HR Track 3 TSA-THA'!AR19</f>
        <v>0</v>
      </c>
      <c r="AS61" s="452">
        <f>'HR Track 3 TSA-THA'!AS19</f>
        <v>0</v>
      </c>
      <c r="AT61" s="452">
        <f>'HR Track 3 TSA-THA'!AT19</f>
        <v>0</v>
      </c>
      <c r="AU61" s="452">
        <f>'HR Track 3 TSA-THA'!AU19</f>
        <v>0</v>
      </c>
      <c r="AV61" s="452">
        <f>'HR Track 3 TSA-THA'!AV19</f>
        <v>0</v>
      </c>
      <c r="AW61" s="452">
        <f>'HR Track 3 TSA-THA'!AW19</f>
        <v>0</v>
      </c>
      <c r="AX61" s="452">
        <f>'HR Track 3 TSA-THA'!AX19</f>
        <v>0</v>
      </c>
      <c r="AY61" s="500">
        <f>'HR Track 3 TSA-THA'!AY19</f>
        <v>0</v>
      </c>
      <c r="AZ61" s="500">
        <f>'HR Track 3 TSA-THA'!AZ19</f>
        <v>0</v>
      </c>
      <c r="BA61" s="1333">
        <f>'HR Track 3 TSA-THA'!BA19</f>
        <v>0</v>
      </c>
      <c r="BB61" s="452">
        <f>'HR Track 3 TSA-THA'!BB19</f>
        <v>0</v>
      </c>
      <c r="BC61" s="1334">
        <f>'HR Track 3 TSA-THA'!BC19</f>
        <v>0</v>
      </c>
      <c r="BD61" s="1335">
        <f>'HR Track 3 TSA-THA'!BD19</f>
        <v>0</v>
      </c>
      <c r="BE61" s="1335">
        <f>'HR Track 3 TSA-THA'!BE19</f>
        <v>0</v>
      </c>
      <c r="BF61" s="1335">
        <f>'HR Track 3 TSA-THA'!BF19</f>
        <v>0</v>
      </c>
      <c r="BG61" s="1335">
        <f>'HR Track 3 TSA-THA'!BG19</f>
        <v>0</v>
      </c>
    </row>
    <row r="62" spans="1:59" ht="15.75" customHeight="1">
      <c r="A62" s="501">
        <f>'HR Track 3 TSA-THA'!A20</f>
        <v>0</v>
      </c>
      <c r="B62" s="716" t="str">
        <f>'HR Track 3 TSA-THA'!B20</f>
        <v>93-3.19</v>
      </c>
      <c r="C62" s="451">
        <f>'HR Track 3 TSA-THA'!C20</f>
        <v>93769.35000000002</v>
      </c>
      <c r="D62" s="453">
        <f>'HR Track 3 TSA-THA'!D20</f>
        <v>0</v>
      </c>
      <c r="E62" s="452">
        <f>'HR Track 3 TSA-THA'!E20</f>
        <v>0</v>
      </c>
      <c r="F62" s="453">
        <f>'HR Track 3 TSA-THA'!F20</f>
        <v>622</v>
      </c>
      <c r="G62" s="500">
        <f>'HR Track 3 TSA-THA'!G20</f>
        <v>0</v>
      </c>
      <c r="H62" s="453" t="str">
        <f>'HR Track 3 TSA-THA'!H20</f>
        <v>S/A A/S</v>
      </c>
      <c r="I62" s="501" t="str">
        <f>'HR Track 3 TSA-THA'!I20</f>
        <v>CP/TX-P/1100</v>
      </c>
      <c r="J62" s="583">
        <f>'HR Track 3 TSA-THA'!J20</f>
        <v>0</v>
      </c>
      <c r="K62" s="452">
        <f>'HR Track 3 TSA-THA'!K20</f>
        <v>0</v>
      </c>
      <c r="L62" s="452" t="str">
        <f>'HR Track 3 TSA-THA'!L20</f>
        <v>HEB-280L</v>
      </c>
      <c r="M62" s="452" t="str">
        <f>'HR Track 3 TSA-THA'!M20</f>
        <v>WT5</v>
      </c>
      <c r="N62" s="501" t="str">
        <f>'HR Track 3 TSA-THA'!N20</f>
        <v>EMT-T</v>
      </c>
      <c r="O62" s="501" t="str">
        <f>'HR Track 3 TSA-THA'!O20</f>
        <v>EMT-1</v>
      </c>
      <c r="P62" s="501">
        <f>'HR Track 3 TSA-THA'!P20</f>
        <v>0</v>
      </c>
      <c r="Q62" s="452">
        <f>'HR Track 3 TSA-THA'!Q20</f>
        <v>30</v>
      </c>
      <c r="R62" s="452">
        <f>'HR Track 3 TSA-THA'!R20</f>
        <v>1369.11</v>
      </c>
      <c r="S62" s="500">
        <f>'HR Track 3 TSA-THA'!S20</f>
        <v>0</v>
      </c>
      <c r="T62" s="452">
        <f>'HR Track 3 TSA-THA'!T20</f>
        <v>-45</v>
      </c>
      <c r="U62" s="452">
        <f>'HR Track 3 TSA-THA'!U20</f>
        <v>-30</v>
      </c>
      <c r="V62" s="452">
        <f>'HR Track 3 TSA-THA'!V20</f>
        <v>0</v>
      </c>
      <c r="W62" s="452">
        <f>'HR Track 3 TSA-THA'!W20</f>
        <v>2.2999999999999998</v>
      </c>
      <c r="X62" s="452">
        <f>'HR Track 3 TSA-THA'!X20</f>
        <v>1.4</v>
      </c>
      <c r="Y62" s="452">
        <f>'HR Track 3 TSA-THA'!Y20</f>
        <v>0</v>
      </c>
      <c r="Z62" s="452">
        <f>'HR Track 3 TSA-THA'!Z20</f>
        <v>0.45</v>
      </c>
      <c r="AA62" s="452">
        <f>'HR Track 3 TSA-THA'!AA20</f>
        <v>0</v>
      </c>
      <c r="AB62" s="452">
        <f>'HR Track 3 TSA-THA'!AB20</f>
        <v>0</v>
      </c>
      <c r="AC62" s="452" t="str">
        <f>'HR Track 3 TSA-THA'!AC20</f>
        <v>PHQ-1150</v>
      </c>
      <c r="AD62" s="452">
        <f>'HR Track 3 TSA-THA'!AD20</f>
        <v>0</v>
      </c>
      <c r="AE62" s="452">
        <f>'HR Track 3 TSA-THA'!AE20</f>
        <v>0</v>
      </c>
      <c r="AF62" s="452">
        <f>'HR Track 3 TSA-THA'!AF20</f>
        <v>3500</v>
      </c>
      <c r="AG62" s="451">
        <f>'HR Track 3 TSA-THA'!AG20</f>
        <v>93767.12</v>
      </c>
      <c r="AH62" s="452">
        <f>'HR Track 3 TSA-THA'!AH20</f>
        <v>2543</v>
      </c>
      <c r="AI62" s="452">
        <f>'HR Track 3 TSA-THA'!AI20</f>
        <v>-2130</v>
      </c>
      <c r="AJ62" s="452">
        <f>'HR Track 3 TSA-THA'!AJ20</f>
        <v>0</v>
      </c>
      <c r="AK62" s="452">
        <f>'HR Track 3 TSA-THA'!AK20</f>
        <v>0</v>
      </c>
      <c r="AL62" s="452" t="str">
        <f>'HR Track 3 TSA-THA'!AL20</f>
        <v>PR1B</v>
      </c>
      <c r="AM62" s="452" t="str">
        <f>'HR Track 3 TSA-THA'!AM20</f>
        <v>RW2</v>
      </c>
      <c r="AN62" s="500">
        <f>'HR Track 3 TSA-THA'!AN20</f>
        <v>5.5</v>
      </c>
      <c r="AO62" s="452">
        <f>'HR Track 3 TSA-THA'!AO20</f>
        <v>0</v>
      </c>
      <c r="AP62" s="452">
        <f>'HR Track 3 TSA-THA'!AP20</f>
        <v>0</v>
      </c>
      <c r="AQ62" s="452">
        <f>'HR Track 3 TSA-THA'!AQ20</f>
        <v>0</v>
      </c>
      <c r="AR62" s="452">
        <f>'HR Track 3 TSA-THA'!AR20</f>
        <v>0</v>
      </c>
      <c r="AS62" s="452">
        <f>'HR Track 3 TSA-THA'!AS20</f>
        <v>0</v>
      </c>
      <c r="AT62" s="452">
        <f>'HR Track 3 TSA-THA'!AT20</f>
        <v>-2.5311700546090767</v>
      </c>
      <c r="AU62" s="452">
        <f>'HR Track 3 TSA-THA'!AU20</f>
        <v>0</v>
      </c>
      <c r="AV62" s="452">
        <f>'HR Track 3 TSA-THA'!AV20</f>
        <v>0</v>
      </c>
      <c r="AW62" s="452" t="str">
        <f>'HR Track 3 TSA-THA'!AW20</f>
        <v>DW6930</v>
      </c>
      <c r="AX62" s="452">
        <f>'HR Track 3 TSA-THA'!AX20</f>
        <v>0</v>
      </c>
      <c r="AY62" s="500">
        <f>'HR Track 3 TSA-THA'!AY20</f>
        <v>0</v>
      </c>
      <c r="AZ62" s="500">
        <f>'HR Track 3 TSA-THA'!AZ20</f>
        <v>0</v>
      </c>
      <c r="BA62" s="1333" t="str">
        <f>'HR Track 3 TSA-THA'!BA20</f>
        <v>ü</v>
      </c>
      <c r="BB62" s="452" t="str">
        <f>'HR Track 3 TSA-THA'!BB20</f>
        <v>App.8-V08F-P10.3</v>
      </c>
      <c r="BC62" s="1334">
        <f>'HR Track 3 TSA-THA'!BC20</f>
        <v>0</v>
      </c>
      <c r="BD62" s="1335" t="str">
        <f>'HR Track 3 TSA-THA'!BD20</f>
        <v>Ejecutado</v>
      </c>
      <c r="BE62" s="1335">
        <f>'HR Track 3 TSA-THA'!BE20</f>
        <v>43801</v>
      </c>
      <c r="BF62" s="1335">
        <f>'HR Track 3 TSA-THA'!BF20</f>
        <v>43810</v>
      </c>
      <c r="BG62" s="1335">
        <f>'HR Track 3 TSA-THA'!BG20</f>
        <v>43808</v>
      </c>
    </row>
    <row r="63" spans="1:59" ht="15.75" customHeight="1">
      <c r="A63" s="501">
        <f>'HR Track 3 TSA-THA'!A21</f>
        <v>0</v>
      </c>
      <c r="B63" s="716">
        <f>'HR Track 3 TSA-THA'!B21</f>
        <v>0</v>
      </c>
      <c r="C63" s="451">
        <f>'HR Track 3 TSA-THA'!C21</f>
        <v>0</v>
      </c>
      <c r="D63" s="453">
        <f>'HR Track 3 TSA-THA'!D21</f>
        <v>0</v>
      </c>
      <c r="E63" s="452">
        <f>'HR Track 3 TSA-THA'!E21</f>
        <v>0</v>
      </c>
      <c r="F63" s="453">
        <f>'HR Track 3 TSA-THA'!F21</f>
        <v>0</v>
      </c>
      <c r="G63" s="500">
        <f>'HR Track 3 TSA-THA'!G21</f>
        <v>35</v>
      </c>
      <c r="H63" s="453">
        <f>'HR Track 3 TSA-THA'!H21</f>
        <v>0</v>
      </c>
      <c r="I63" s="501">
        <f>'HR Track 3 TSA-THA'!I21</f>
        <v>0</v>
      </c>
      <c r="J63" s="583">
        <f>'HR Track 3 TSA-THA'!J21</f>
        <v>93776.85000000002</v>
      </c>
      <c r="K63" s="452" t="str">
        <f>'HR Track 3 TSA-THA'!K21</f>
        <v>AnMC/WT</v>
      </c>
      <c r="L63" s="452">
        <f>'HR Track 3 TSA-THA'!L21</f>
        <v>0</v>
      </c>
      <c r="M63" s="452">
        <f>'HR Track 3 TSA-THA'!M21</f>
        <v>0</v>
      </c>
      <c r="N63" s="501">
        <f>'HR Track 3 TSA-THA'!N21</f>
        <v>0</v>
      </c>
      <c r="O63" s="501">
        <f>'HR Track 3 TSA-THA'!O21</f>
        <v>0</v>
      </c>
      <c r="P63" s="501">
        <f>'HR Track 3 TSA-THA'!P21</f>
        <v>0</v>
      </c>
      <c r="Q63" s="452">
        <f>'HR Track 3 TSA-THA'!Q21</f>
        <v>0</v>
      </c>
      <c r="R63" s="452">
        <f>'HR Track 3 TSA-THA'!R21</f>
        <v>0</v>
      </c>
      <c r="S63" s="500">
        <f>'HR Track 3 TSA-THA'!S21</f>
        <v>37.139999999999418</v>
      </c>
      <c r="T63" s="452">
        <f>'HR Track 3 TSA-THA'!T21</f>
        <v>0</v>
      </c>
      <c r="U63" s="452">
        <f>'HR Track 3 TSA-THA'!U21</f>
        <v>0</v>
      </c>
      <c r="V63" s="452">
        <f>'HR Track 3 TSA-THA'!V21</f>
        <v>0</v>
      </c>
      <c r="W63" s="452">
        <f>'HR Track 3 TSA-THA'!W21</f>
        <v>0</v>
      </c>
      <c r="X63" s="452">
        <f>'HR Track 3 TSA-THA'!X21</f>
        <v>0</v>
      </c>
      <c r="Y63" s="452">
        <f>'HR Track 3 TSA-THA'!Y21</f>
        <v>0</v>
      </c>
      <c r="Z63" s="452">
        <f>'HR Track 3 TSA-THA'!Z21</f>
        <v>0</v>
      </c>
      <c r="AA63" s="452">
        <f>'HR Track 3 TSA-THA'!AA21</f>
        <v>0</v>
      </c>
      <c r="AB63" s="452">
        <f>'HR Track 3 TSA-THA'!AB21</f>
        <v>0</v>
      </c>
      <c r="AC63" s="452">
        <f>'HR Track 3 TSA-THA'!AC21</f>
        <v>0</v>
      </c>
      <c r="AD63" s="452">
        <f>'HR Track 3 TSA-THA'!AD21</f>
        <v>0</v>
      </c>
      <c r="AE63" s="452">
        <f>'HR Track 3 TSA-THA'!AE21</f>
        <v>0</v>
      </c>
      <c r="AF63" s="452">
        <f>'HR Track 3 TSA-THA'!AF21</f>
        <v>0</v>
      </c>
      <c r="AG63" s="451">
        <f>'HR Track 3 TSA-THA'!AG21</f>
        <v>0</v>
      </c>
      <c r="AH63" s="452">
        <f>'HR Track 3 TSA-THA'!AH21</f>
        <v>0</v>
      </c>
      <c r="AI63" s="452">
        <f>'HR Track 3 TSA-THA'!AI21</f>
        <v>0</v>
      </c>
      <c r="AJ63" s="452">
        <f>'HR Track 3 TSA-THA'!AJ21</f>
        <v>0</v>
      </c>
      <c r="AK63" s="452">
        <f>'HR Track 3 TSA-THA'!AK21</f>
        <v>0</v>
      </c>
      <c r="AL63" s="452">
        <f>'HR Track 3 TSA-THA'!AL21</f>
        <v>0</v>
      </c>
      <c r="AM63" s="452">
        <f>'HR Track 3 TSA-THA'!AM21</f>
        <v>0</v>
      </c>
      <c r="AN63" s="500">
        <f>'HR Track 3 TSA-THA'!AN21</f>
        <v>0</v>
      </c>
      <c r="AO63" s="452">
        <f>'HR Track 3 TSA-THA'!AO21</f>
        <v>0</v>
      </c>
      <c r="AP63" s="452">
        <f>'HR Track 3 TSA-THA'!AP21</f>
        <v>0</v>
      </c>
      <c r="AQ63" s="452">
        <f>'HR Track 3 TSA-THA'!AQ21</f>
        <v>-0.30000000000000343</v>
      </c>
      <c r="AR63" s="452">
        <f>'HR Track 3 TSA-THA'!AR21</f>
        <v>0</v>
      </c>
      <c r="AS63" s="452">
        <f>'HR Track 3 TSA-THA'!AS21</f>
        <v>0</v>
      </c>
      <c r="AT63" s="452">
        <f>'HR Track 3 TSA-THA'!AT21</f>
        <v>0</v>
      </c>
      <c r="AU63" s="452">
        <f>'HR Track 3 TSA-THA'!AU21</f>
        <v>0</v>
      </c>
      <c r="AV63" s="452">
        <f>'HR Track 3 TSA-THA'!AV21</f>
        <v>0</v>
      </c>
      <c r="AW63" s="452" t="str">
        <f>'HR Track 3 TSA-THA'!AW21</f>
        <v>DW6965</v>
      </c>
      <c r="AX63" s="452">
        <f>'HR Track 3 TSA-THA'!AX21</f>
        <v>0</v>
      </c>
      <c r="AY63" s="500">
        <f>'HR Track 3 TSA-THA'!AY21</f>
        <v>0</v>
      </c>
      <c r="AZ63" s="500">
        <f>'HR Track 3 TSA-THA'!AZ21</f>
        <v>0</v>
      </c>
      <c r="BA63" s="1333" t="str">
        <f>'HR Track 3 TSA-THA'!BA21</f>
        <v>ü</v>
      </c>
      <c r="BB63" s="452">
        <f>'HR Track 3 TSA-THA'!BB21</f>
        <v>0</v>
      </c>
      <c r="BC63" s="1334">
        <f>'HR Track 3 TSA-THA'!BC21</f>
        <v>0</v>
      </c>
      <c r="BD63" s="1335" t="str">
        <f>'HR Track 3 TSA-THA'!BD21</f>
        <v>Ejecutado</v>
      </c>
      <c r="BE63" s="1335">
        <f>'HR Track 3 TSA-THA'!BE21</f>
        <v>0</v>
      </c>
      <c r="BF63" s="1335">
        <f>'HR Track 3 TSA-THA'!BF21</f>
        <v>0</v>
      </c>
      <c r="BG63" s="1335">
        <f>'HR Track 3 TSA-THA'!BG21</f>
        <v>0</v>
      </c>
    </row>
    <row r="64" spans="1:59" ht="15.75" customHeight="1">
      <c r="S64" s="454"/>
      <c r="AN64" s="458"/>
      <c r="BA64" s="1305"/>
      <c r="BC64" s="169"/>
    </row>
    <row r="65" spans="19:55" ht="15.75" customHeight="1">
      <c r="S65" s="454"/>
      <c r="AN65" s="458"/>
      <c r="BA65" s="1305"/>
      <c r="BC65" s="169"/>
    </row>
    <row r="66" spans="19:55" ht="15.75" customHeight="1">
      <c r="S66" s="454"/>
      <c r="AN66" s="458"/>
      <c r="BA66" s="1305"/>
      <c r="BC66" s="169"/>
    </row>
    <row r="67" spans="19:55" ht="15.75" customHeight="1">
      <c r="S67" s="454"/>
      <c r="AN67" s="458"/>
      <c r="BA67" s="1305"/>
      <c r="BC67" s="169"/>
    </row>
    <row r="68" spans="19:55" ht="15.75" customHeight="1">
      <c r="S68" s="454"/>
      <c r="AN68" s="458"/>
      <c r="BA68" s="1305"/>
      <c r="BC68" s="169"/>
    </row>
    <row r="69" spans="19:55" ht="15.75" customHeight="1">
      <c r="S69" s="454"/>
      <c r="AN69" s="458"/>
      <c r="BA69" s="1305"/>
      <c r="BC69" s="169"/>
    </row>
    <row r="70" spans="19:55" ht="15.75" customHeight="1">
      <c r="S70" s="454"/>
      <c r="AN70" s="458"/>
      <c r="BA70" s="1305"/>
      <c r="BC70" s="169"/>
    </row>
    <row r="71" spans="19:55" ht="15.75" customHeight="1">
      <c r="S71" s="454"/>
      <c r="AN71" s="458"/>
      <c r="BA71" s="1305"/>
      <c r="BC71" s="169"/>
    </row>
    <row r="72" spans="19:55" ht="15.75" customHeight="1">
      <c r="S72" s="454"/>
      <c r="AN72" s="458"/>
      <c r="BA72" s="1305"/>
      <c r="BC72" s="169"/>
    </row>
    <row r="73" spans="19:55" ht="15.75" customHeight="1">
      <c r="S73" s="454"/>
      <c r="AN73" s="458"/>
      <c r="BA73" s="1305"/>
      <c r="BC73" s="169"/>
    </row>
    <row r="74" spans="19:55" ht="15.75" customHeight="1">
      <c r="S74" s="454"/>
      <c r="AN74" s="458"/>
      <c r="BA74" s="1305"/>
      <c r="BC74" s="169"/>
    </row>
    <row r="75" spans="19:55" ht="15.75" customHeight="1">
      <c r="S75" s="454"/>
      <c r="AN75" s="458"/>
      <c r="BA75" s="1305"/>
      <c r="BC75" s="169"/>
    </row>
    <row r="76" spans="19:55" ht="15.75" customHeight="1">
      <c r="S76" s="454"/>
      <c r="AN76" s="458"/>
      <c r="BA76" s="1305"/>
      <c r="BC76" s="169"/>
    </row>
    <row r="77" spans="19:55" ht="15.75" customHeight="1">
      <c r="S77" s="454"/>
      <c r="AN77" s="458"/>
      <c r="BA77" s="1305"/>
      <c r="BC77" s="169"/>
    </row>
    <row r="78" spans="19:55" ht="15.75" customHeight="1">
      <c r="S78" s="454"/>
      <c r="AN78" s="458"/>
      <c r="BA78" s="1305"/>
      <c r="BC78" s="169"/>
    </row>
    <row r="79" spans="19:55" ht="15.75" customHeight="1">
      <c r="S79" s="454"/>
      <c r="AN79" s="458"/>
      <c r="BA79" s="1305"/>
      <c r="BC79" s="169"/>
    </row>
    <row r="80" spans="19:55" ht="15.75" customHeight="1">
      <c r="S80" s="454"/>
      <c r="AN80" s="458"/>
      <c r="BA80" s="1305"/>
      <c r="BC80" s="169"/>
    </row>
    <row r="81" spans="19:55" ht="15.75" customHeight="1">
      <c r="S81" s="454"/>
      <c r="AN81" s="458"/>
      <c r="BA81" s="1305"/>
      <c r="BC81" s="169"/>
    </row>
    <row r="82" spans="19:55" ht="15.75" customHeight="1">
      <c r="S82" s="454"/>
      <c r="AN82" s="458"/>
      <c r="BA82" s="1305"/>
      <c r="BC82" s="169"/>
    </row>
    <row r="83" spans="19:55" ht="15.75" customHeight="1">
      <c r="S83" s="454"/>
      <c r="AN83" s="458"/>
      <c r="BA83" s="1305"/>
      <c r="BC83" s="169"/>
    </row>
    <row r="84" spans="19:55" ht="15.75" customHeight="1">
      <c r="S84" s="454"/>
      <c r="AN84" s="458"/>
      <c r="BA84" s="1305"/>
      <c r="BC84" s="169"/>
    </row>
    <row r="85" spans="19:55" ht="15.75" customHeight="1">
      <c r="S85" s="454"/>
      <c r="AN85" s="458"/>
      <c r="BA85" s="1305"/>
      <c r="BC85" s="169"/>
    </row>
    <row r="86" spans="19:55" ht="15.75" customHeight="1">
      <c r="S86" s="454"/>
      <c r="AN86" s="458"/>
      <c r="BA86" s="1305"/>
      <c r="BC86" s="169"/>
    </row>
    <row r="87" spans="19:55" ht="15.75" customHeight="1">
      <c r="S87" s="454"/>
      <c r="AN87" s="458"/>
      <c r="BA87" s="1305"/>
      <c r="BC87" s="169"/>
    </row>
    <row r="88" spans="19:55" ht="15.75" customHeight="1">
      <c r="S88" s="454"/>
      <c r="AN88" s="458"/>
      <c r="BA88" s="1305"/>
      <c r="BC88" s="169"/>
    </row>
    <row r="89" spans="19:55" ht="15.75" customHeight="1">
      <c r="S89" s="454"/>
      <c r="AN89" s="458"/>
      <c r="BA89" s="1305"/>
      <c r="BC89" s="169"/>
    </row>
    <row r="90" spans="19:55" ht="15.75" customHeight="1">
      <c r="S90" s="454"/>
      <c r="AN90" s="458"/>
      <c r="BA90" s="1305"/>
      <c r="BC90" s="169"/>
    </row>
    <row r="91" spans="19:55" ht="15.75" customHeight="1">
      <c r="S91" s="454"/>
      <c r="AN91" s="458"/>
      <c r="BA91" s="1305"/>
      <c r="BC91" s="169"/>
    </row>
    <row r="92" spans="19:55" ht="15.75" customHeight="1">
      <c r="S92" s="454"/>
      <c r="AN92" s="458"/>
      <c r="BA92" s="1305"/>
      <c r="BC92" s="169"/>
    </row>
    <row r="93" spans="19:55" ht="15.75" customHeight="1">
      <c r="S93" s="454"/>
      <c r="AN93" s="458"/>
      <c r="BA93" s="1305"/>
      <c r="BC93" s="169"/>
    </row>
    <row r="94" spans="19:55" ht="15.75" customHeight="1">
      <c r="S94" s="454"/>
      <c r="AN94" s="458"/>
      <c r="BA94" s="1305"/>
      <c r="BC94" s="169"/>
    </row>
    <row r="95" spans="19:55" ht="15.75" customHeight="1">
      <c r="S95" s="454"/>
      <c r="AN95" s="458"/>
      <c r="BA95" s="1305"/>
      <c r="BC95" s="169"/>
    </row>
    <row r="96" spans="19:55" ht="15.75" customHeight="1">
      <c r="S96" s="454"/>
      <c r="AN96" s="458"/>
      <c r="BA96" s="1305"/>
      <c r="BC96" s="169"/>
    </row>
    <row r="97" spans="19:55" ht="15.75" customHeight="1">
      <c r="S97" s="454"/>
      <c r="AN97" s="458"/>
      <c r="BA97" s="1305"/>
      <c r="BC97" s="169"/>
    </row>
    <row r="98" spans="19:55" ht="15.75" customHeight="1">
      <c r="S98" s="454"/>
      <c r="AN98" s="458"/>
      <c r="BA98" s="1305"/>
      <c r="BC98" s="169"/>
    </row>
    <row r="99" spans="19:55" ht="15.75" customHeight="1">
      <c r="S99" s="454"/>
      <c r="AN99" s="458"/>
      <c r="BA99" s="1305"/>
      <c r="BC99" s="169"/>
    </row>
    <row r="100" spans="19:55" ht="15.75" customHeight="1">
      <c r="S100" s="454"/>
      <c r="AN100" s="458"/>
      <c r="BA100" s="1305"/>
      <c r="BC100" s="169"/>
    </row>
    <row r="101" spans="19:55" ht="15.75" customHeight="1">
      <c r="S101" s="454"/>
      <c r="AN101" s="458"/>
      <c r="BA101" s="1305"/>
      <c r="BC101" s="169"/>
    </row>
    <row r="102" spans="19:55" ht="15.75" customHeight="1">
      <c r="S102" s="454"/>
      <c r="AN102" s="458"/>
      <c r="BA102" s="1305"/>
      <c r="BC102" s="169"/>
    </row>
    <row r="103" spans="19:55" ht="15.75" customHeight="1">
      <c r="S103" s="454"/>
      <c r="AN103" s="458"/>
      <c r="BA103" s="1305"/>
      <c r="BC103" s="169"/>
    </row>
    <row r="104" spans="19:55" ht="15.75" customHeight="1">
      <c r="S104" s="454"/>
      <c r="AN104" s="458"/>
      <c r="BA104" s="1305"/>
      <c r="BC104" s="169"/>
    </row>
    <row r="105" spans="19:55" ht="15.75" customHeight="1">
      <c r="S105" s="454"/>
      <c r="AN105" s="458"/>
      <c r="BA105" s="1305"/>
      <c r="BC105" s="169"/>
    </row>
    <row r="106" spans="19:55" ht="15.75" customHeight="1">
      <c r="S106" s="454"/>
      <c r="AN106" s="458"/>
      <c r="BA106" s="1305"/>
      <c r="BC106" s="169"/>
    </row>
    <row r="107" spans="19:55" ht="15.75" customHeight="1">
      <c r="S107" s="454"/>
      <c r="AN107" s="458"/>
      <c r="BA107" s="1305"/>
      <c r="BC107" s="169"/>
    </row>
    <row r="108" spans="19:55" ht="15.75" customHeight="1">
      <c r="S108" s="454"/>
      <c r="AN108" s="458"/>
      <c r="BA108" s="1305"/>
      <c r="BC108" s="169"/>
    </row>
    <row r="109" spans="19:55" ht="15.75" customHeight="1">
      <c r="S109" s="454"/>
      <c r="AN109" s="458"/>
      <c r="BA109" s="1305"/>
      <c r="BC109" s="169"/>
    </row>
    <row r="110" spans="19:55" ht="15.75" customHeight="1">
      <c r="S110" s="454"/>
      <c r="AN110" s="458"/>
      <c r="BA110" s="1305"/>
      <c r="BC110" s="169"/>
    </row>
    <row r="111" spans="19:55" ht="15.75" customHeight="1">
      <c r="S111" s="454"/>
      <c r="AN111" s="458"/>
      <c r="BA111" s="1305"/>
      <c r="BC111" s="169"/>
    </row>
    <row r="112" spans="19:55" ht="15.75" customHeight="1">
      <c r="S112" s="454"/>
      <c r="AN112" s="458"/>
      <c r="BA112" s="1305"/>
      <c r="BC112" s="169"/>
    </row>
    <row r="113" spans="19:55" ht="15.75" customHeight="1">
      <c r="S113" s="454"/>
      <c r="AN113" s="458"/>
      <c r="BA113" s="1305"/>
      <c r="BC113" s="169"/>
    </row>
    <row r="114" spans="19:55" ht="15.75" customHeight="1">
      <c r="S114" s="454"/>
      <c r="AN114" s="458"/>
      <c r="BA114" s="1305"/>
      <c r="BC114" s="169"/>
    </row>
    <row r="115" spans="19:55" ht="15.75" customHeight="1">
      <c r="S115" s="454"/>
      <c r="AN115" s="458"/>
      <c r="BA115" s="1305"/>
      <c r="BC115" s="169"/>
    </row>
    <row r="116" spans="19:55" ht="15.75" customHeight="1">
      <c r="S116" s="454"/>
      <c r="AN116" s="458"/>
      <c r="BA116" s="1305"/>
      <c r="BC116" s="169"/>
    </row>
    <row r="117" spans="19:55" ht="15.75" customHeight="1">
      <c r="S117" s="454"/>
      <c r="AN117" s="458"/>
      <c r="BA117" s="1305"/>
      <c r="BC117" s="169"/>
    </row>
    <row r="118" spans="19:55" ht="15.75" customHeight="1">
      <c r="S118" s="454"/>
      <c r="AN118" s="458"/>
      <c r="BA118" s="1305"/>
      <c r="BC118" s="169"/>
    </row>
    <row r="119" spans="19:55" ht="15.75" customHeight="1">
      <c r="S119" s="454"/>
      <c r="AN119" s="458"/>
      <c r="BA119" s="1305"/>
      <c r="BC119" s="169"/>
    </row>
    <row r="120" spans="19:55" ht="15.75" customHeight="1">
      <c r="S120" s="454"/>
      <c r="AN120" s="458"/>
      <c r="BA120" s="1305"/>
      <c r="BC120" s="169"/>
    </row>
    <row r="121" spans="19:55" ht="15.75" customHeight="1">
      <c r="S121" s="454"/>
      <c r="AN121" s="458"/>
      <c r="BA121" s="1305"/>
      <c r="BC121" s="169"/>
    </row>
    <row r="122" spans="19:55" ht="15.75" customHeight="1">
      <c r="S122" s="454"/>
      <c r="AN122" s="458"/>
      <c r="BA122" s="1305"/>
      <c r="BC122" s="169"/>
    </row>
    <row r="123" spans="19:55" ht="15.75" customHeight="1">
      <c r="S123" s="454"/>
      <c r="AN123" s="458"/>
      <c r="BA123" s="1305"/>
      <c r="BC123" s="169"/>
    </row>
    <row r="124" spans="19:55" ht="15.75" customHeight="1">
      <c r="S124" s="454"/>
      <c r="AN124" s="458"/>
      <c r="BA124" s="1305"/>
      <c r="BC124" s="169"/>
    </row>
    <row r="125" spans="19:55" ht="15.75" customHeight="1">
      <c r="S125" s="454"/>
      <c r="AN125" s="458"/>
      <c r="BA125" s="1305"/>
      <c r="BC125" s="169"/>
    </row>
    <row r="126" spans="19:55" ht="15.75" customHeight="1">
      <c r="S126" s="454"/>
      <c r="AN126" s="458"/>
      <c r="BA126" s="1305"/>
      <c r="BC126" s="169"/>
    </row>
    <row r="127" spans="19:55" ht="15.75" customHeight="1">
      <c r="S127" s="454"/>
      <c r="AN127" s="458"/>
      <c r="BA127" s="1305"/>
      <c r="BC127" s="169"/>
    </row>
    <row r="128" spans="19:55" ht="15.75" customHeight="1">
      <c r="S128" s="454"/>
      <c r="AN128" s="458"/>
      <c r="BA128" s="1305"/>
      <c r="BC128" s="169"/>
    </row>
    <row r="129" spans="19:55" ht="15.75" customHeight="1">
      <c r="S129" s="454"/>
      <c r="AN129" s="458"/>
      <c r="BA129" s="1305"/>
      <c r="BC129" s="169"/>
    </row>
    <row r="130" spans="19:55" ht="15.75" customHeight="1">
      <c r="S130" s="454"/>
      <c r="AN130" s="458"/>
      <c r="BA130" s="1305"/>
      <c r="BC130" s="169"/>
    </row>
    <row r="131" spans="19:55" ht="15.75" customHeight="1">
      <c r="S131" s="454"/>
      <c r="AN131" s="458"/>
      <c r="BA131" s="1305"/>
      <c r="BC131" s="169"/>
    </row>
    <row r="132" spans="19:55" ht="15.75" customHeight="1">
      <c r="S132" s="454"/>
      <c r="AN132" s="458"/>
      <c r="BA132" s="1305"/>
      <c r="BC132" s="169"/>
    </row>
    <row r="133" spans="19:55" ht="15.75" customHeight="1">
      <c r="S133" s="454"/>
      <c r="AN133" s="458"/>
      <c r="BA133" s="1305"/>
      <c r="BC133" s="169"/>
    </row>
    <row r="134" spans="19:55" ht="15.75" customHeight="1">
      <c r="S134" s="454"/>
      <c r="AN134" s="458"/>
      <c r="BA134" s="1305"/>
      <c r="BC134" s="169"/>
    </row>
    <row r="135" spans="19:55" ht="15.75" customHeight="1">
      <c r="S135" s="454"/>
      <c r="AN135" s="458"/>
      <c r="BA135" s="1305"/>
      <c r="BC135" s="169"/>
    </row>
    <row r="136" spans="19:55" ht="15.75" customHeight="1">
      <c r="S136" s="454"/>
      <c r="AN136" s="458"/>
      <c r="BA136" s="1305"/>
      <c r="BC136" s="169"/>
    </row>
    <row r="137" spans="19:55" ht="15.75" customHeight="1">
      <c r="S137" s="454"/>
      <c r="AN137" s="458"/>
      <c r="BA137" s="1305"/>
      <c r="BC137" s="169"/>
    </row>
    <row r="138" spans="19:55" ht="15.75" customHeight="1">
      <c r="S138" s="454"/>
      <c r="AN138" s="458"/>
      <c r="BA138" s="1305"/>
      <c r="BC138" s="169"/>
    </row>
    <row r="139" spans="19:55" ht="15.75" customHeight="1">
      <c r="S139" s="454"/>
      <c r="AN139" s="458"/>
      <c r="BA139" s="1305"/>
      <c r="BC139" s="169"/>
    </row>
    <row r="140" spans="19:55" ht="15.75" customHeight="1">
      <c r="S140" s="454"/>
      <c r="AN140" s="458"/>
      <c r="BA140" s="1305"/>
      <c r="BC140" s="169"/>
    </row>
    <row r="141" spans="19:55" ht="15.75" customHeight="1">
      <c r="S141" s="454"/>
      <c r="AN141" s="458"/>
      <c r="BA141" s="1305"/>
      <c r="BC141" s="169"/>
    </row>
    <row r="142" spans="19:55" ht="15.75" customHeight="1">
      <c r="S142" s="454"/>
      <c r="AN142" s="458"/>
      <c r="BA142" s="1305"/>
      <c r="BC142" s="169"/>
    </row>
    <row r="143" spans="19:55" ht="15.75" customHeight="1">
      <c r="S143" s="454"/>
      <c r="AN143" s="458"/>
      <c r="BA143" s="1305"/>
      <c r="BC143" s="169"/>
    </row>
    <row r="144" spans="19:55" ht="15.75" customHeight="1">
      <c r="S144" s="454"/>
      <c r="AN144" s="458"/>
      <c r="BA144" s="1305"/>
      <c r="BC144" s="169"/>
    </row>
    <row r="145" spans="19:55" ht="15.75" customHeight="1">
      <c r="S145" s="454"/>
      <c r="AN145" s="458"/>
      <c r="BA145" s="1305"/>
      <c r="BC145" s="169"/>
    </row>
    <row r="146" spans="19:55" ht="15.75" customHeight="1">
      <c r="S146" s="454"/>
      <c r="AN146" s="458"/>
      <c r="BA146" s="1305"/>
      <c r="BC146" s="169"/>
    </row>
    <row r="147" spans="19:55" ht="15.75" customHeight="1">
      <c r="S147" s="454"/>
      <c r="AN147" s="458"/>
      <c r="BA147" s="1305"/>
      <c r="BC147" s="169"/>
    </row>
    <row r="148" spans="19:55" ht="15.75" customHeight="1">
      <c r="S148" s="454"/>
      <c r="AN148" s="458"/>
      <c r="BA148" s="1305"/>
      <c r="BC148" s="169"/>
    </row>
    <row r="149" spans="19:55" ht="15.75" customHeight="1">
      <c r="S149" s="454"/>
      <c r="AN149" s="458"/>
      <c r="BA149" s="1305"/>
      <c r="BC149" s="169"/>
    </row>
    <row r="150" spans="19:55" ht="15.75" customHeight="1">
      <c r="S150" s="454"/>
      <c r="AN150" s="458"/>
      <c r="BA150" s="1305"/>
      <c r="BC150" s="169"/>
    </row>
    <row r="151" spans="19:55" ht="15.75" customHeight="1">
      <c r="S151" s="454"/>
      <c r="AN151" s="458"/>
      <c r="BA151" s="1305"/>
      <c r="BC151" s="169"/>
    </row>
    <row r="152" spans="19:55" ht="15.75" customHeight="1">
      <c r="S152" s="454"/>
      <c r="AN152" s="458"/>
      <c r="BA152" s="1305"/>
      <c r="BC152" s="169"/>
    </row>
    <row r="153" spans="19:55" ht="15.75" customHeight="1">
      <c r="S153" s="454"/>
      <c r="AN153" s="458"/>
      <c r="BA153" s="1305"/>
      <c r="BC153" s="169"/>
    </row>
    <row r="154" spans="19:55" ht="15.75" customHeight="1">
      <c r="S154" s="454"/>
      <c r="AN154" s="458"/>
      <c r="BA154" s="1305"/>
      <c r="BC154" s="169"/>
    </row>
    <row r="155" spans="19:55" ht="15.75" customHeight="1">
      <c r="S155" s="454"/>
      <c r="AN155" s="458"/>
      <c r="BA155" s="1305"/>
      <c r="BC155" s="169"/>
    </row>
    <row r="156" spans="19:55" ht="15.75" customHeight="1">
      <c r="S156" s="454"/>
      <c r="AN156" s="458"/>
      <c r="BA156" s="1305"/>
      <c r="BC156" s="169"/>
    </row>
    <row r="157" spans="19:55" ht="15.75" customHeight="1">
      <c r="S157" s="454"/>
      <c r="AN157" s="458"/>
      <c r="BA157" s="1305"/>
      <c r="BC157" s="169"/>
    </row>
    <row r="158" spans="19:55" ht="15.75" customHeight="1">
      <c r="S158" s="454"/>
      <c r="AN158" s="458"/>
      <c r="BA158" s="1305"/>
      <c r="BC158" s="169"/>
    </row>
    <row r="159" spans="19:55" ht="15.75" customHeight="1">
      <c r="S159" s="454"/>
      <c r="AN159" s="458"/>
      <c r="BA159" s="1305"/>
      <c r="BC159" s="169"/>
    </row>
    <row r="160" spans="19:55" ht="15.75" customHeight="1">
      <c r="S160" s="454"/>
      <c r="AN160" s="458"/>
      <c r="BA160" s="1305"/>
      <c r="BC160" s="169"/>
    </row>
    <row r="161" spans="19:55" ht="15.75" customHeight="1">
      <c r="S161" s="454"/>
      <c r="AN161" s="458"/>
      <c r="BA161" s="1305"/>
      <c r="BC161" s="169"/>
    </row>
    <row r="162" spans="19:55" ht="15.75" customHeight="1">
      <c r="S162" s="454"/>
      <c r="AN162" s="458"/>
      <c r="BA162" s="1305"/>
      <c r="BC162" s="169"/>
    </row>
    <row r="163" spans="19:55" ht="15.75" customHeight="1">
      <c r="S163" s="454"/>
      <c r="AN163" s="458"/>
      <c r="BA163" s="1305"/>
      <c r="BC163" s="169"/>
    </row>
    <row r="164" spans="19:55" ht="15.75" customHeight="1">
      <c r="S164" s="454"/>
      <c r="AN164" s="458"/>
      <c r="BA164" s="1305"/>
      <c r="BC164" s="169"/>
    </row>
    <row r="165" spans="19:55" ht="15.75" customHeight="1">
      <c r="S165" s="454"/>
      <c r="AN165" s="458"/>
      <c r="BA165" s="1305"/>
      <c r="BC165" s="169"/>
    </row>
    <row r="166" spans="19:55" ht="15.75" customHeight="1">
      <c r="S166" s="454"/>
      <c r="AN166" s="458"/>
      <c r="BA166" s="1305"/>
      <c r="BC166" s="169"/>
    </row>
    <row r="167" spans="19:55" ht="15.75" customHeight="1">
      <c r="S167" s="454"/>
      <c r="AN167" s="458"/>
      <c r="BA167" s="1305"/>
      <c r="BC167" s="169"/>
    </row>
    <row r="168" spans="19:55" ht="15.75" customHeight="1">
      <c r="S168" s="454"/>
      <c r="AN168" s="458"/>
      <c r="BA168" s="1305"/>
      <c r="BC168" s="169"/>
    </row>
    <row r="169" spans="19:55" ht="15.75" customHeight="1">
      <c r="S169" s="454"/>
      <c r="AN169" s="458"/>
      <c r="BA169" s="1305"/>
      <c r="BC169" s="169"/>
    </row>
    <row r="170" spans="19:55" ht="15.75" customHeight="1">
      <c r="S170" s="454"/>
      <c r="AN170" s="458"/>
      <c r="BA170" s="1305"/>
      <c r="BC170" s="169"/>
    </row>
    <row r="171" spans="19:55" ht="15.75" customHeight="1">
      <c r="S171" s="454"/>
      <c r="AN171" s="458"/>
      <c r="BA171" s="1305"/>
      <c r="BC171" s="169"/>
    </row>
    <row r="172" spans="19:55" ht="15.75" customHeight="1">
      <c r="S172" s="454"/>
      <c r="AN172" s="458"/>
      <c r="BA172" s="1305"/>
      <c r="BC172" s="169"/>
    </row>
    <row r="173" spans="19:55" ht="15.75" customHeight="1">
      <c r="S173" s="454"/>
      <c r="AN173" s="458"/>
      <c r="BA173" s="1305"/>
      <c r="BC173" s="169"/>
    </row>
    <row r="174" spans="19:55" ht="15.75" customHeight="1">
      <c r="S174" s="454"/>
      <c r="AN174" s="458"/>
      <c r="BA174" s="1305"/>
      <c r="BC174" s="169"/>
    </row>
    <row r="175" spans="19:55" ht="15.75" customHeight="1">
      <c r="S175" s="454"/>
      <c r="AN175" s="458"/>
      <c r="BA175" s="1305"/>
      <c r="BC175" s="169"/>
    </row>
    <row r="176" spans="19:55" ht="15.75" customHeight="1">
      <c r="S176" s="454"/>
      <c r="AN176" s="458"/>
      <c r="BA176" s="1305"/>
      <c r="BC176" s="169"/>
    </row>
    <row r="177" spans="19:55" ht="15.75" customHeight="1">
      <c r="S177" s="454"/>
      <c r="AN177" s="458"/>
      <c r="BA177" s="1305"/>
      <c r="BC177" s="169"/>
    </row>
    <row r="178" spans="19:55" ht="15.75" customHeight="1">
      <c r="S178" s="454"/>
      <c r="AN178" s="458"/>
      <c r="BA178" s="1305"/>
      <c r="BC178" s="169"/>
    </row>
    <row r="179" spans="19:55" ht="15.75" customHeight="1">
      <c r="S179" s="454"/>
      <c r="AN179" s="458"/>
      <c r="BA179" s="1305"/>
      <c r="BC179" s="169"/>
    </row>
    <row r="180" spans="19:55" ht="15.75" customHeight="1">
      <c r="S180" s="454"/>
      <c r="AN180" s="458"/>
      <c r="BA180" s="1305"/>
      <c r="BC180" s="169"/>
    </row>
    <row r="181" spans="19:55" ht="15.75" customHeight="1">
      <c r="S181" s="454"/>
      <c r="AN181" s="458"/>
      <c r="BA181" s="1305"/>
      <c r="BC181" s="169"/>
    </row>
    <row r="182" spans="19:55" ht="15.75" customHeight="1">
      <c r="S182" s="454"/>
      <c r="AN182" s="458"/>
      <c r="BA182" s="1305"/>
      <c r="BC182" s="169"/>
    </row>
    <row r="183" spans="19:55" ht="15.75" customHeight="1">
      <c r="S183" s="454"/>
      <c r="AN183" s="458"/>
      <c r="BA183" s="1305"/>
      <c r="BC183" s="169"/>
    </row>
    <row r="184" spans="19:55" ht="15.75" customHeight="1">
      <c r="S184" s="454"/>
      <c r="AN184" s="458"/>
      <c r="BA184" s="1305"/>
      <c r="BC184" s="169"/>
    </row>
    <row r="185" spans="19:55" ht="15.75" customHeight="1">
      <c r="S185" s="454"/>
      <c r="AN185" s="458"/>
      <c r="BA185" s="1305"/>
      <c r="BC185" s="169"/>
    </row>
    <row r="186" spans="19:55" ht="15.75" customHeight="1">
      <c r="S186" s="454"/>
      <c r="AN186" s="458"/>
      <c r="BA186" s="1305"/>
      <c r="BC186" s="169"/>
    </row>
    <row r="187" spans="19:55" ht="15.75" customHeight="1">
      <c r="S187" s="454"/>
      <c r="AN187" s="458"/>
      <c r="BA187" s="1305"/>
      <c r="BC187" s="169"/>
    </row>
    <row r="188" spans="19:55" ht="15.75" customHeight="1">
      <c r="S188" s="454"/>
      <c r="AN188" s="458"/>
      <c r="BA188" s="1305"/>
      <c r="BC188" s="169"/>
    </row>
    <row r="189" spans="19:55" ht="15.75" customHeight="1">
      <c r="S189" s="454"/>
      <c r="AN189" s="458"/>
      <c r="BA189" s="1305"/>
      <c r="BC189" s="169"/>
    </row>
    <row r="190" spans="19:55" ht="15.75" customHeight="1">
      <c r="S190" s="454"/>
      <c r="AN190" s="458"/>
      <c r="BA190" s="1305"/>
      <c r="BC190" s="169"/>
    </row>
    <row r="191" spans="19:55" ht="15.75" customHeight="1">
      <c r="S191" s="454"/>
      <c r="AN191" s="458"/>
      <c r="BA191" s="1305"/>
      <c r="BC191" s="169"/>
    </row>
    <row r="192" spans="19:55" ht="15.75" customHeight="1">
      <c r="S192" s="454"/>
      <c r="AN192" s="458"/>
      <c r="BA192" s="1305"/>
      <c r="BC192" s="169"/>
    </row>
    <row r="193" spans="19:55" ht="15.75" customHeight="1">
      <c r="S193" s="454"/>
      <c r="AN193" s="458"/>
      <c r="BA193" s="1305"/>
      <c r="BC193" s="169"/>
    </row>
    <row r="194" spans="19:55" ht="15.75" customHeight="1">
      <c r="S194" s="454"/>
      <c r="AN194" s="458"/>
      <c r="BA194" s="1305"/>
      <c r="BC194" s="169"/>
    </row>
    <row r="195" spans="19:55" ht="15.75" customHeight="1">
      <c r="S195" s="454"/>
      <c r="AN195" s="458"/>
      <c r="BA195" s="1305"/>
      <c r="BC195" s="169"/>
    </row>
    <row r="196" spans="19:55" ht="15.75" customHeight="1">
      <c r="S196" s="454"/>
      <c r="AN196" s="458"/>
      <c r="BA196" s="1305"/>
      <c r="BC196" s="169"/>
    </row>
    <row r="197" spans="19:55" ht="15.75" customHeight="1">
      <c r="S197" s="454"/>
      <c r="AN197" s="458"/>
      <c r="BA197" s="1305"/>
      <c r="BC197" s="169"/>
    </row>
    <row r="198" spans="19:55" ht="15.75" customHeight="1">
      <c r="S198" s="454"/>
      <c r="AN198" s="458"/>
      <c r="BA198" s="1305"/>
      <c r="BC198" s="169"/>
    </row>
    <row r="199" spans="19:55" ht="15.75" customHeight="1">
      <c r="S199" s="454"/>
      <c r="AN199" s="458"/>
      <c r="BA199" s="1305"/>
      <c r="BC199" s="169"/>
    </row>
    <row r="200" spans="19:55" ht="15.75" customHeight="1">
      <c r="S200" s="454"/>
      <c r="AN200" s="458"/>
      <c r="BA200" s="1305"/>
      <c r="BC200" s="169"/>
    </row>
    <row r="201" spans="19:55" ht="15.75" customHeight="1">
      <c r="S201" s="454"/>
      <c r="AN201" s="458"/>
      <c r="BA201" s="1305"/>
      <c r="BC201" s="169"/>
    </row>
    <row r="202" spans="19:55" ht="15.75" customHeight="1">
      <c r="S202" s="454"/>
      <c r="AN202" s="458"/>
      <c r="BA202" s="1305"/>
      <c r="BC202" s="169"/>
    </row>
    <row r="203" spans="19:55" ht="15.75" customHeight="1">
      <c r="S203" s="454"/>
      <c r="AN203" s="458"/>
      <c r="BA203" s="1305"/>
      <c r="BC203" s="169"/>
    </row>
    <row r="204" spans="19:55" ht="15.75" customHeight="1">
      <c r="S204" s="454"/>
      <c r="AN204" s="458"/>
      <c r="BA204" s="1305"/>
      <c r="BC204" s="169"/>
    </row>
    <row r="205" spans="19:55" ht="15.75" customHeight="1">
      <c r="S205" s="454"/>
      <c r="AN205" s="458"/>
      <c r="BA205" s="1305"/>
      <c r="BC205" s="169"/>
    </row>
    <row r="206" spans="19:55" ht="15.75" customHeight="1">
      <c r="S206" s="454"/>
      <c r="AN206" s="458"/>
      <c r="BA206" s="1305"/>
      <c r="BC206" s="169"/>
    </row>
    <row r="207" spans="19:55" ht="15.75" customHeight="1">
      <c r="S207" s="454"/>
      <c r="AN207" s="458"/>
      <c r="BA207" s="1305"/>
      <c r="BC207" s="169"/>
    </row>
    <row r="208" spans="19:55" ht="15.75" customHeight="1">
      <c r="S208" s="454"/>
      <c r="AN208" s="458"/>
      <c r="BA208" s="1305"/>
      <c r="BC208" s="169"/>
    </row>
    <row r="209" spans="19:55" ht="15.75" customHeight="1">
      <c r="S209" s="454"/>
      <c r="AN209" s="458"/>
      <c r="BA209" s="1305"/>
      <c r="BC209" s="169"/>
    </row>
    <row r="210" spans="19:55" ht="15.75" customHeight="1">
      <c r="S210" s="454"/>
      <c r="AN210" s="458"/>
      <c r="BA210" s="1305"/>
      <c r="BC210" s="169"/>
    </row>
    <row r="211" spans="19:55" ht="15.75" customHeight="1">
      <c r="S211" s="454"/>
      <c r="AN211" s="458"/>
      <c r="BA211" s="1305"/>
      <c r="BC211" s="169"/>
    </row>
    <row r="212" spans="19:55" ht="15.75" customHeight="1">
      <c r="S212" s="454"/>
      <c r="AN212" s="458"/>
      <c r="BA212" s="1305"/>
      <c r="BC212" s="169"/>
    </row>
    <row r="213" spans="19:55" ht="15.75" customHeight="1">
      <c r="S213" s="454"/>
      <c r="AN213" s="458"/>
      <c r="BA213" s="1305"/>
      <c r="BC213" s="169"/>
    </row>
    <row r="214" spans="19:55" ht="15.75" customHeight="1">
      <c r="S214" s="454"/>
      <c r="AN214" s="458"/>
      <c r="BA214" s="1305"/>
      <c r="BC214" s="169"/>
    </row>
    <row r="215" spans="19:55" ht="15.75" customHeight="1">
      <c r="S215" s="454"/>
      <c r="AN215" s="458"/>
      <c r="BA215" s="1305"/>
      <c r="BC215" s="169"/>
    </row>
    <row r="216" spans="19:55" ht="15.75" customHeight="1">
      <c r="S216" s="454"/>
      <c r="AN216" s="458"/>
      <c r="BA216" s="1305"/>
      <c r="BC216" s="169"/>
    </row>
    <row r="217" spans="19:55" ht="15.75" customHeight="1">
      <c r="S217" s="454"/>
      <c r="AN217" s="458"/>
      <c r="BA217" s="1305"/>
      <c r="BC217" s="169"/>
    </row>
    <row r="218" spans="19:55" ht="15.75" customHeight="1">
      <c r="S218" s="454"/>
      <c r="AN218" s="458"/>
      <c r="BA218" s="1305"/>
      <c r="BC218" s="169"/>
    </row>
    <row r="219" spans="19:55" ht="15.75" customHeight="1">
      <c r="S219" s="454"/>
      <c r="AN219" s="458"/>
      <c r="BA219" s="1305"/>
      <c r="BC219" s="169"/>
    </row>
    <row r="220" spans="19:55" ht="15.75" customHeight="1">
      <c r="S220" s="454"/>
      <c r="AN220" s="458"/>
      <c r="BA220" s="1305"/>
      <c r="BC220" s="169"/>
    </row>
    <row r="221" spans="19:55" ht="15.75" customHeight="1">
      <c r="S221" s="454"/>
      <c r="AN221" s="458"/>
      <c r="BA221" s="1305"/>
      <c r="BC221" s="169"/>
    </row>
    <row r="222" spans="19:55" ht="15.75" customHeight="1">
      <c r="S222" s="454"/>
      <c r="AN222" s="458"/>
      <c r="BA222" s="1305"/>
      <c r="BC222" s="169"/>
    </row>
    <row r="223" spans="19:55" ht="15.75" customHeight="1">
      <c r="S223" s="454"/>
      <c r="AN223" s="458"/>
      <c r="BA223" s="1305"/>
      <c r="BC223" s="169"/>
    </row>
    <row r="224" spans="19:55" ht="15.75" customHeight="1">
      <c r="S224" s="454"/>
      <c r="AN224" s="458"/>
      <c r="BA224" s="1305"/>
      <c r="BC224" s="169"/>
    </row>
    <row r="225" spans="19:55" ht="15.75" customHeight="1">
      <c r="S225" s="454"/>
      <c r="AN225" s="458"/>
      <c r="BA225" s="1305"/>
      <c r="BC225" s="169"/>
    </row>
    <row r="226" spans="19:55" ht="15.75" customHeight="1">
      <c r="S226" s="454"/>
      <c r="AN226" s="458"/>
      <c r="BA226" s="1305"/>
      <c r="BC226" s="169"/>
    </row>
    <row r="227" spans="19:55" ht="15.75" customHeight="1">
      <c r="S227" s="454"/>
      <c r="AN227" s="458"/>
      <c r="BA227" s="1305"/>
      <c r="BC227" s="169"/>
    </row>
    <row r="228" spans="19:55" ht="15.75" customHeight="1">
      <c r="S228" s="454"/>
      <c r="AN228" s="458"/>
      <c r="BA228" s="1305"/>
      <c r="BC228" s="169"/>
    </row>
    <row r="229" spans="19:55" ht="15.75" customHeight="1">
      <c r="S229" s="454"/>
      <c r="AN229" s="458"/>
      <c r="BA229" s="1305"/>
      <c r="BC229" s="169"/>
    </row>
    <row r="230" spans="19:55" ht="15.75" customHeight="1">
      <c r="S230" s="454"/>
      <c r="AN230" s="458"/>
      <c r="BA230" s="1305"/>
      <c r="BC230" s="169"/>
    </row>
    <row r="231" spans="19:55" ht="15.75" customHeight="1">
      <c r="S231" s="454"/>
      <c r="AN231" s="458"/>
      <c r="BA231" s="1305"/>
      <c r="BC231" s="169"/>
    </row>
    <row r="232" spans="19:55" ht="15.75" customHeight="1">
      <c r="S232" s="454"/>
      <c r="AN232" s="458"/>
      <c r="BA232" s="1305"/>
      <c r="BC232" s="169"/>
    </row>
    <row r="233" spans="19:55" ht="15.75" customHeight="1">
      <c r="S233" s="454"/>
      <c r="AN233" s="458"/>
      <c r="BA233" s="1305"/>
      <c r="BC233" s="169"/>
    </row>
    <row r="234" spans="19:55" ht="15.75" customHeight="1">
      <c r="S234" s="454"/>
      <c r="AN234" s="458"/>
      <c r="BA234" s="1305"/>
      <c r="BC234" s="169"/>
    </row>
    <row r="235" spans="19:55" ht="15.75" customHeight="1">
      <c r="S235" s="454"/>
      <c r="AN235" s="458"/>
      <c r="BA235" s="1305"/>
      <c r="BC235" s="169"/>
    </row>
    <row r="236" spans="19:55" ht="15.75" customHeight="1">
      <c r="S236" s="454"/>
      <c r="AN236" s="458"/>
      <c r="BA236" s="1305"/>
      <c r="BC236" s="169"/>
    </row>
    <row r="237" spans="19:55" ht="15.75" customHeight="1">
      <c r="S237" s="454"/>
      <c r="AN237" s="458"/>
      <c r="BA237" s="1305"/>
      <c r="BC237" s="169"/>
    </row>
    <row r="238" spans="19:55" ht="15.75" customHeight="1">
      <c r="S238" s="454"/>
      <c r="AN238" s="458"/>
      <c r="BA238" s="1305"/>
      <c r="BC238" s="169"/>
    </row>
    <row r="239" spans="19:55" ht="15.75" customHeight="1">
      <c r="S239" s="454"/>
      <c r="AN239" s="458"/>
      <c r="BA239" s="1305"/>
      <c r="BC239" s="169"/>
    </row>
    <row r="240" spans="19:55" ht="15.75" customHeight="1">
      <c r="S240" s="454"/>
      <c r="AN240" s="458"/>
      <c r="BA240" s="1305"/>
      <c r="BC240" s="169"/>
    </row>
    <row r="241" spans="19:55" ht="15.75" customHeight="1">
      <c r="S241" s="454"/>
      <c r="AN241" s="458"/>
      <c r="BA241" s="1305"/>
      <c r="BC241" s="169"/>
    </row>
    <row r="242" spans="19:55" ht="15.75" customHeight="1">
      <c r="S242" s="454"/>
      <c r="AN242" s="458"/>
      <c r="BA242" s="1305"/>
      <c r="BC242" s="169"/>
    </row>
    <row r="243" spans="19:55" ht="15.75" customHeight="1">
      <c r="S243" s="454"/>
      <c r="AN243" s="458"/>
      <c r="BA243" s="1305"/>
      <c r="BC243" s="169"/>
    </row>
    <row r="244" spans="19:55" ht="15.75" customHeight="1">
      <c r="S244" s="454"/>
      <c r="AN244" s="458"/>
      <c r="BA244" s="1305"/>
      <c r="BC244" s="169"/>
    </row>
    <row r="245" spans="19:55" ht="15.75" customHeight="1">
      <c r="S245" s="454"/>
      <c r="AN245" s="458"/>
      <c r="BA245" s="1305"/>
      <c r="BC245" s="169"/>
    </row>
    <row r="246" spans="19:55" ht="15.75" customHeight="1">
      <c r="S246" s="454"/>
      <c r="AN246" s="458"/>
      <c r="BA246" s="1305"/>
      <c r="BC246" s="169"/>
    </row>
    <row r="247" spans="19:55" ht="15.75" customHeight="1">
      <c r="S247" s="454"/>
      <c r="AN247" s="458"/>
      <c r="BA247" s="1305"/>
      <c r="BC247" s="169"/>
    </row>
    <row r="248" spans="19:55" ht="15.75" customHeight="1">
      <c r="S248" s="454"/>
      <c r="AN248" s="458"/>
      <c r="BA248" s="1305"/>
      <c r="BC248" s="169"/>
    </row>
    <row r="249" spans="19:55" ht="15.75" customHeight="1">
      <c r="S249" s="454"/>
      <c r="AN249" s="458"/>
      <c r="BA249" s="1305"/>
      <c r="BC249" s="169"/>
    </row>
    <row r="250" spans="19:55" ht="15.75" customHeight="1">
      <c r="S250" s="454"/>
      <c r="AN250" s="458"/>
      <c r="BA250" s="1305"/>
      <c r="BC250" s="169"/>
    </row>
    <row r="251" spans="19:55" ht="15.75" customHeight="1">
      <c r="S251" s="454"/>
      <c r="AN251" s="458"/>
      <c r="BA251" s="1305"/>
      <c r="BC251" s="169"/>
    </row>
    <row r="252" spans="19:55" ht="15.75" customHeight="1">
      <c r="S252" s="454"/>
      <c r="AN252" s="458"/>
      <c r="BA252" s="1305"/>
      <c r="BC252" s="169"/>
    </row>
    <row r="253" spans="19:55" ht="15.75" customHeight="1">
      <c r="S253" s="454"/>
      <c r="AN253" s="458"/>
      <c r="BA253" s="1305"/>
      <c r="BC253" s="169"/>
    </row>
    <row r="254" spans="19:55" ht="15.75" customHeight="1">
      <c r="S254" s="454"/>
      <c r="AN254" s="458"/>
      <c r="BA254" s="1305"/>
      <c r="BC254" s="169"/>
    </row>
    <row r="255" spans="19:55" ht="15.75" customHeight="1">
      <c r="S255" s="454"/>
      <c r="AN255" s="458"/>
      <c r="BA255" s="1305"/>
      <c r="BC255" s="169"/>
    </row>
    <row r="256" spans="19:55" ht="15.75" customHeight="1">
      <c r="S256" s="454"/>
      <c r="AN256" s="458"/>
      <c r="BA256" s="1305"/>
      <c r="BC256" s="169"/>
    </row>
    <row r="257" spans="19:55" ht="15.75" customHeight="1">
      <c r="S257" s="454"/>
      <c r="AN257" s="458"/>
      <c r="BA257" s="1305"/>
      <c r="BC257" s="169"/>
    </row>
    <row r="258" spans="19:55" ht="15.75" customHeight="1">
      <c r="S258" s="454"/>
      <c r="AN258" s="458"/>
      <c r="BA258" s="1305"/>
      <c r="BC258" s="169"/>
    </row>
    <row r="259" spans="19:55" ht="15.75" customHeight="1">
      <c r="S259" s="454"/>
      <c r="AN259" s="458"/>
      <c r="BA259" s="1305"/>
      <c r="BC259" s="169"/>
    </row>
    <row r="260" spans="19:55" ht="15.75" customHeight="1">
      <c r="S260" s="454"/>
      <c r="AN260" s="458"/>
      <c r="BA260" s="1305"/>
      <c r="BC260" s="169"/>
    </row>
    <row r="261" spans="19:55" ht="15.75" customHeight="1">
      <c r="S261" s="454"/>
      <c r="AN261" s="458"/>
      <c r="BA261" s="1305"/>
      <c r="BC261" s="169"/>
    </row>
    <row r="262" spans="19:55" ht="15.75" customHeight="1">
      <c r="S262" s="454"/>
      <c r="AN262" s="458"/>
      <c r="BA262" s="1305"/>
      <c r="BC262" s="169"/>
    </row>
    <row r="263" spans="19:55" ht="15.75" customHeight="1">
      <c r="S263" s="454"/>
      <c r="AN263" s="458"/>
      <c r="BA263" s="1305"/>
      <c r="BC263" s="169"/>
    </row>
    <row r="264" spans="19:55" ht="15.75" customHeight="1">
      <c r="S264" s="454"/>
      <c r="AN264" s="458"/>
      <c r="BA264" s="1305"/>
      <c r="BC264" s="169"/>
    </row>
    <row r="265" spans="19:55" ht="15.75" customHeight="1">
      <c r="S265" s="454"/>
      <c r="AN265" s="458"/>
      <c r="BA265" s="1305"/>
      <c r="BC265" s="169"/>
    </row>
    <row r="266" spans="19:55" ht="15.75" customHeight="1">
      <c r="S266" s="454"/>
      <c r="AN266" s="458"/>
      <c r="BA266" s="1305"/>
      <c r="BC266" s="169"/>
    </row>
    <row r="267" spans="19:55" ht="15.75" customHeight="1">
      <c r="S267" s="454"/>
      <c r="AN267" s="458"/>
      <c r="BA267" s="1305"/>
      <c r="BC267" s="169"/>
    </row>
    <row r="268" spans="19:55" ht="15.75" customHeight="1">
      <c r="S268" s="454"/>
      <c r="AN268" s="458"/>
      <c r="BA268" s="1305"/>
      <c r="BC268" s="169"/>
    </row>
    <row r="269" spans="19:55" ht="15.75" customHeight="1">
      <c r="S269" s="454"/>
      <c r="AN269" s="458"/>
      <c r="BA269" s="1305"/>
      <c r="BC269" s="169"/>
    </row>
    <row r="270" spans="19:55" ht="15.75" customHeight="1">
      <c r="S270" s="454"/>
      <c r="AN270" s="458"/>
      <c r="BA270" s="1305"/>
      <c r="BC270" s="169"/>
    </row>
    <row r="271" spans="19:55" ht="15.75" customHeight="1">
      <c r="S271" s="454"/>
      <c r="AN271" s="458"/>
      <c r="BA271" s="1305"/>
      <c r="BC271" s="169"/>
    </row>
    <row r="272" spans="19:55" ht="15.75" customHeight="1">
      <c r="S272" s="454"/>
      <c r="AN272" s="458"/>
      <c r="BA272" s="1305"/>
      <c r="BC272" s="169"/>
    </row>
    <row r="273" spans="19:55" ht="15.75" customHeight="1">
      <c r="S273" s="454"/>
      <c r="AN273" s="458"/>
      <c r="BA273" s="1305"/>
      <c r="BC273" s="169"/>
    </row>
    <row r="274" spans="19:55" ht="15.75" customHeight="1">
      <c r="S274" s="454"/>
      <c r="AN274" s="458"/>
      <c r="BA274" s="1305"/>
      <c r="BC274" s="169"/>
    </row>
    <row r="275" spans="19:55" ht="15.75" customHeight="1">
      <c r="S275" s="454"/>
      <c r="AN275" s="458"/>
      <c r="BA275" s="1305"/>
      <c r="BC275" s="169"/>
    </row>
    <row r="276" spans="19:55" ht="15.75" customHeight="1">
      <c r="S276" s="454"/>
      <c r="AN276" s="458"/>
      <c r="BA276" s="1305"/>
      <c r="BC276" s="169"/>
    </row>
    <row r="277" spans="19:55" ht="15.75" customHeight="1">
      <c r="S277" s="454"/>
      <c r="AN277" s="458"/>
      <c r="BA277" s="1305"/>
      <c r="BC277" s="169"/>
    </row>
    <row r="278" spans="19:55" ht="15.75" customHeight="1">
      <c r="S278" s="454"/>
      <c r="AN278" s="458"/>
      <c r="BA278" s="1305"/>
      <c r="BC278" s="169"/>
    </row>
    <row r="279" spans="19:55" ht="15.75" customHeight="1">
      <c r="S279" s="454"/>
      <c r="AN279" s="458"/>
      <c r="BA279" s="1305"/>
      <c r="BC279" s="169"/>
    </row>
    <row r="280" spans="19:55" ht="15.75" customHeight="1">
      <c r="S280" s="454"/>
      <c r="AN280" s="458"/>
      <c r="BA280" s="1305"/>
      <c r="BC280" s="169"/>
    </row>
    <row r="281" spans="19:55" ht="15.75" customHeight="1">
      <c r="S281" s="454"/>
      <c r="AN281" s="458"/>
      <c r="BA281" s="1305"/>
      <c r="BC281" s="169"/>
    </row>
    <row r="282" spans="19:55" ht="15.75" customHeight="1">
      <c r="S282" s="454"/>
      <c r="AN282" s="458"/>
      <c r="BA282" s="1305"/>
      <c r="BC282" s="169"/>
    </row>
    <row r="283" spans="19:55" ht="15.75" customHeight="1">
      <c r="S283" s="454"/>
      <c r="AN283" s="458"/>
      <c r="BA283" s="1305"/>
      <c r="BC283" s="169"/>
    </row>
    <row r="284" spans="19:55" ht="15.75" customHeight="1">
      <c r="S284" s="454"/>
      <c r="AN284" s="458"/>
      <c r="BA284" s="1305"/>
      <c r="BC284" s="169"/>
    </row>
    <row r="285" spans="19:55" ht="15.75" customHeight="1">
      <c r="S285" s="454"/>
      <c r="AN285" s="458"/>
      <c r="BA285" s="1305"/>
      <c r="BC285" s="169"/>
    </row>
    <row r="286" spans="19:55" ht="15.75" customHeight="1">
      <c r="S286" s="454"/>
      <c r="AN286" s="458"/>
      <c r="BA286" s="1305"/>
      <c r="BC286" s="169"/>
    </row>
    <row r="287" spans="19:55" ht="15.75" customHeight="1">
      <c r="S287" s="454"/>
      <c r="AN287" s="458"/>
      <c r="BA287" s="1305"/>
      <c r="BC287" s="169"/>
    </row>
    <row r="288" spans="19:55" ht="15.75" customHeight="1">
      <c r="S288" s="454"/>
      <c r="AN288" s="458"/>
      <c r="BA288" s="1305"/>
      <c r="BC288" s="169"/>
    </row>
    <row r="289" spans="19:55" ht="15.75" customHeight="1">
      <c r="S289" s="454"/>
      <c r="AN289" s="458"/>
      <c r="BA289" s="1305"/>
      <c r="BC289" s="169"/>
    </row>
    <row r="290" spans="19:55" ht="15.75" customHeight="1">
      <c r="S290" s="454"/>
      <c r="AN290" s="458"/>
      <c r="BA290" s="1305"/>
      <c r="BC290" s="169"/>
    </row>
    <row r="291" spans="19:55" ht="15.75" customHeight="1">
      <c r="S291" s="454"/>
      <c r="AN291" s="458"/>
      <c r="BA291" s="1305"/>
      <c r="BC291" s="169"/>
    </row>
    <row r="292" spans="19:55" ht="15.75" customHeight="1">
      <c r="S292" s="454"/>
      <c r="AN292" s="458"/>
      <c r="BA292" s="1305"/>
      <c r="BC292" s="169"/>
    </row>
    <row r="293" spans="19:55" ht="15.75" customHeight="1">
      <c r="S293" s="454"/>
      <c r="AN293" s="458"/>
      <c r="BA293" s="1305"/>
      <c r="BC293" s="169"/>
    </row>
    <row r="294" spans="19:55" ht="15.75" customHeight="1">
      <c r="S294" s="454"/>
      <c r="AN294" s="458"/>
      <c r="BA294" s="1305"/>
      <c r="BC294" s="169"/>
    </row>
    <row r="295" spans="19:55" ht="15.75" customHeight="1">
      <c r="S295" s="454"/>
      <c r="AN295" s="458"/>
      <c r="BA295" s="1305"/>
      <c r="BC295" s="169"/>
    </row>
    <row r="296" spans="19:55" ht="15.75" customHeight="1">
      <c r="S296" s="454"/>
      <c r="AN296" s="458"/>
      <c r="BA296" s="1305"/>
      <c r="BC296" s="169"/>
    </row>
    <row r="297" spans="19:55" ht="15.75" customHeight="1">
      <c r="S297" s="454"/>
      <c r="AN297" s="458"/>
      <c r="BA297" s="1305"/>
      <c r="BC297" s="169"/>
    </row>
    <row r="298" spans="19:55" ht="15.75" customHeight="1">
      <c r="S298" s="454"/>
      <c r="AN298" s="458"/>
      <c r="BA298" s="1305"/>
      <c r="BC298" s="169"/>
    </row>
    <row r="299" spans="19:55" ht="15.75" customHeight="1">
      <c r="S299" s="454"/>
      <c r="AN299" s="458"/>
      <c r="BA299" s="1305"/>
      <c r="BC299" s="169"/>
    </row>
    <row r="300" spans="19:55" ht="15.75" customHeight="1">
      <c r="S300" s="454"/>
      <c r="AN300" s="458"/>
      <c r="BA300" s="1305"/>
      <c r="BC300" s="169"/>
    </row>
    <row r="301" spans="19:55" ht="15.75" customHeight="1">
      <c r="S301" s="454"/>
      <c r="AN301" s="458"/>
      <c r="BA301" s="1305"/>
      <c r="BC301" s="169"/>
    </row>
    <row r="302" spans="19:55" ht="15.75" customHeight="1">
      <c r="S302" s="454"/>
      <c r="AN302" s="458"/>
      <c r="BA302" s="1305"/>
      <c r="BC302" s="169"/>
    </row>
    <row r="303" spans="19:55" ht="15.75" customHeight="1">
      <c r="S303" s="454"/>
      <c r="AN303" s="458"/>
      <c r="BA303" s="1305"/>
      <c r="BC303" s="169"/>
    </row>
    <row r="304" spans="19:55" ht="15.75" customHeight="1">
      <c r="S304" s="454"/>
      <c r="AN304" s="458"/>
      <c r="BA304" s="1305"/>
      <c r="BC304" s="169"/>
    </row>
    <row r="305" spans="19:55" ht="15.75" customHeight="1">
      <c r="S305" s="454"/>
      <c r="AN305" s="458"/>
      <c r="BA305" s="1305"/>
      <c r="BC305" s="169"/>
    </row>
    <row r="306" spans="19:55" ht="15.75" customHeight="1">
      <c r="S306" s="454"/>
      <c r="AN306" s="458"/>
      <c r="BA306" s="1305"/>
      <c r="BC306" s="169"/>
    </row>
    <row r="307" spans="19:55" ht="15.75" customHeight="1">
      <c r="S307" s="454"/>
      <c r="AN307" s="458"/>
      <c r="BA307" s="1305"/>
      <c r="BC307" s="169"/>
    </row>
    <row r="308" spans="19:55" ht="15.75" customHeight="1">
      <c r="S308" s="454"/>
      <c r="AN308" s="458"/>
      <c r="BA308" s="1305"/>
      <c r="BC308" s="169"/>
    </row>
    <row r="309" spans="19:55" ht="15.75" customHeight="1">
      <c r="S309" s="454"/>
      <c r="AN309" s="458"/>
      <c r="BA309" s="1305"/>
      <c r="BC309" s="169"/>
    </row>
    <row r="310" spans="19:55" ht="15.75" customHeight="1">
      <c r="S310" s="454"/>
      <c r="AN310" s="458"/>
      <c r="BA310" s="1305"/>
      <c r="BC310" s="169"/>
    </row>
    <row r="311" spans="19:55" ht="15.75" customHeight="1">
      <c r="S311" s="454"/>
      <c r="AN311" s="458"/>
      <c r="BA311" s="1305"/>
      <c r="BC311" s="169"/>
    </row>
    <row r="312" spans="19:55" ht="15.75" customHeight="1">
      <c r="S312" s="454"/>
      <c r="AN312" s="458"/>
      <c r="BA312" s="1305"/>
      <c r="BC312" s="169"/>
    </row>
    <row r="313" spans="19:55" ht="15.75" customHeight="1">
      <c r="S313" s="454"/>
      <c r="AN313" s="458"/>
      <c r="BA313" s="1305"/>
      <c r="BC313" s="169"/>
    </row>
    <row r="314" spans="19:55" ht="15.75" customHeight="1">
      <c r="S314" s="454"/>
      <c r="AN314" s="458"/>
      <c r="BA314" s="1305"/>
      <c r="BC314" s="169"/>
    </row>
    <row r="315" spans="19:55" ht="15.75" customHeight="1">
      <c r="S315" s="454"/>
      <c r="AN315" s="458"/>
      <c r="BA315" s="1305"/>
      <c r="BC315" s="169"/>
    </row>
    <row r="316" spans="19:55" ht="15.75" customHeight="1">
      <c r="S316" s="454"/>
      <c r="AN316" s="458"/>
      <c r="BA316" s="1305"/>
      <c r="BC316" s="169"/>
    </row>
    <row r="317" spans="19:55" ht="15.75" customHeight="1">
      <c r="S317" s="454"/>
      <c r="AN317" s="458"/>
      <c r="BA317" s="1305"/>
      <c r="BC317" s="169"/>
    </row>
    <row r="318" spans="19:55" ht="15.75" customHeight="1">
      <c r="S318" s="454"/>
      <c r="AN318" s="458"/>
      <c r="BA318" s="1305"/>
      <c r="BC318" s="169"/>
    </row>
    <row r="319" spans="19:55" ht="15.75" customHeight="1">
      <c r="S319" s="454"/>
      <c r="AN319" s="458"/>
      <c r="BA319" s="1305"/>
      <c r="BC319" s="169"/>
    </row>
    <row r="320" spans="19:55" ht="15.75" customHeight="1">
      <c r="S320" s="454"/>
      <c r="AN320" s="458"/>
      <c r="BA320" s="1305"/>
      <c r="BC320" s="169"/>
    </row>
    <row r="321" spans="19:55" ht="15.75" customHeight="1">
      <c r="S321" s="454"/>
      <c r="AN321" s="458"/>
      <c r="BA321" s="1305"/>
      <c r="BC321" s="169"/>
    </row>
    <row r="322" spans="19:55" ht="15.75" customHeight="1">
      <c r="S322" s="454"/>
      <c r="AN322" s="458"/>
      <c r="BA322" s="1305"/>
      <c r="BC322" s="169"/>
    </row>
    <row r="323" spans="19:55" ht="15.75" customHeight="1">
      <c r="S323" s="454"/>
      <c r="AN323" s="458"/>
      <c r="BA323" s="1305"/>
      <c r="BC323" s="169"/>
    </row>
    <row r="324" spans="19:55" ht="15.75" customHeight="1">
      <c r="S324" s="454"/>
      <c r="AN324" s="458"/>
      <c r="BA324" s="1305"/>
      <c r="BC324" s="169"/>
    </row>
    <row r="325" spans="19:55" ht="15.75" customHeight="1">
      <c r="S325" s="454"/>
      <c r="AN325" s="458"/>
      <c r="BA325" s="1305"/>
      <c r="BC325" s="169"/>
    </row>
    <row r="326" spans="19:55" ht="15.75" customHeight="1">
      <c r="S326" s="454"/>
      <c r="AN326" s="458"/>
      <c r="BA326" s="1305"/>
      <c r="BC326" s="169"/>
    </row>
    <row r="327" spans="19:55" ht="15.75" customHeight="1">
      <c r="S327" s="454"/>
      <c r="AN327" s="458"/>
      <c r="BA327" s="1305"/>
      <c r="BC327" s="169"/>
    </row>
    <row r="328" spans="19:55" ht="15.75" customHeight="1">
      <c r="S328" s="454"/>
      <c r="AN328" s="458"/>
      <c r="BA328" s="1305"/>
      <c r="BC328" s="169"/>
    </row>
    <row r="329" spans="19:55" ht="15.75" customHeight="1">
      <c r="S329" s="454"/>
      <c r="AN329" s="458"/>
      <c r="BA329" s="1305"/>
      <c r="BC329" s="169"/>
    </row>
    <row r="330" spans="19:55" ht="15.75" customHeight="1">
      <c r="S330" s="454"/>
      <c r="AN330" s="458"/>
      <c r="BA330" s="1305"/>
      <c r="BC330" s="169"/>
    </row>
    <row r="331" spans="19:55" ht="15.75" customHeight="1">
      <c r="S331" s="454"/>
      <c r="AN331" s="458"/>
      <c r="BA331" s="1305"/>
      <c r="BC331" s="169"/>
    </row>
    <row r="332" spans="19:55" ht="15.75" customHeight="1">
      <c r="S332" s="454"/>
      <c r="AN332" s="458"/>
      <c r="BA332" s="1305"/>
      <c r="BC332" s="169"/>
    </row>
    <row r="333" spans="19:55" ht="15.75" customHeight="1">
      <c r="S333" s="454"/>
      <c r="AN333" s="458"/>
      <c r="BA333" s="1305"/>
      <c r="BC333" s="169"/>
    </row>
    <row r="334" spans="19:55" ht="15.75" customHeight="1">
      <c r="S334" s="454"/>
      <c r="AN334" s="458"/>
      <c r="BA334" s="1305"/>
      <c r="BC334" s="169"/>
    </row>
    <row r="335" spans="19:55" ht="15.75" customHeight="1">
      <c r="S335" s="454"/>
      <c r="AN335" s="458"/>
      <c r="BA335" s="1305"/>
      <c r="BC335" s="169"/>
    </row>
    <row r="336" spans="19:55" ht="15.75" customHeight="1">
      <c r="S336" s="454"/>
      <c r="AN336" s="458"/>
      <c r="BA336" s="1305"/>
      <c r="BC336" s="169"/>
    </row>
    <row r="337" spans="19:55" ht="15.75" customHeight="1">
      <c r="S337" s="454"/>
      <c r="AN337" s="458"/>
      <c r="BA337" s="1305"/>
      <c r="BC337" s="169"/>
    </row>
    <row r="338" spans="19:55" ht="15.75" customHeight="1">
      <c r="S338" s="454"/>
      <c r="AN338" s="458"/>
      <c r="BA338" s="1305"/>
      <c r="BC338" s="169"/>
    </row>
    <row r="339" spans="19:55" ht="15.75" customHeight="1">
      <c r="S339" s="454"/>
      <c r="AN339" s="458"/>
      <c r="BA339" s="1305"/>
      <c r="BC339" s="169"/>
    </row>
    <row r="340" spans="19:55" ht="15.75" customHeight="1">
      <c r="S340" s="454"/>
      <c r="AN340" s="458"/>
      <c r="BA340" s="1305"/>
      <c r="BC340" s="169"/>
    </row>
    <row r="341" spans="19:55" ht="15.75" customHeight="1">
      <c r="S341" s="454"/>
      <c r="AN341" s="458"/>
      <c r="BA341" s="1305"/>
      <c r="BC341" s="169"/>
    </row>
    <row r="342" spans="19:55" ht="15.75" customHeight="1">
      <c r="S342" s="454"/>
      <c r="AN342" s="458"/>
      <c r="BA342" s="1305"/>
      <c r="BC342" s="169"/>
    </row>
    <row r="343" spans="19:55" ht="15.75" customHeight="1">
      <c r="S343" s="454"/>
      <c r="AN343" s="458"/>
      <c r="BA343" s="1305"/>
      <c r="BC343" s="169"/>
    </row>
    <row r="344" spans="19:55" ht="15.75" customHeight="1">
      <c r="S344" s="454"/>
      <c r="AN344" s="458"/>
      <c r="BA344" s="1305"/>
      <c r="BC344" s="169"/>
    </row>
    <row r="345" spans="19:55" ht="15.75" customHeight="1">
      <c r="S345" s="454"/>
      <c r="AN345" s="458"/>
      <c r="BA345" s="1305"/>
      <c r="BC345" s="169"/>
    </row>
    <row r="346" spans="19:55" ht="15.75" customHeight="1">
      <c r="S346" s="454"/>
      <c r="AN346" s="458"/>
      <c r="BA346" s="1305"/>
      <c r="BC346" s="169"/>
    </row>
    <row r="347" spans="19:55" ht="15.75" customHeight="1">
      <c r="S347" s="454"/>
      <c r="AN347" s="458"/>
      <c r="BA347" s="1305"/>
      <c r="BC347" s="169"/>
    </row>
    <row r="348" spans="19:55" ht="15.75" customHeight="1">
      <c r="S348" s="454"/>
      <c r="AN348" s="458"/>
      <c r="BA348" s="1305"/>
      <c r="BC348" s="169"/>
    </row>
    <row r="349" spans="19:55" ht="15.75" customHeight="1">
      <c r="S349" s="454"/>
      <c r="AN349" s="458"/>
      <c r="BA349" s="1305"/>
      <c r="BC349" s="169"/>
    </row>
    <row r="350" spans="19:55" ht="15.75" customHeight="1">
      <c r="S350" s="454"/>
      <c r="AN350" s="458"/>
      <c r="BA350" s="1305"/>
      <c r="BC350" s="169"/>
    </row>
    <row r="351" spans="19:55" ht="15.75" customHeight="1">
      <c r="S351" s="454"/>
      <c r="AN351" s="458"/>
      <c r="BA351" s="1305"/>
      <c r="BC351" s="169"/>
    </row>
    <row r="352" spans="19:55" ht="15.75" customHeight="1">
      <c r="S352" s="454"/>
      <c r="AN352" s="458"/>
      <c r="BA352" s="1305"/>
      <c r="BC352" s="169"/>
    </row>
    <row r="353" spans="19:55" ht="15.75" customHeight="1">
      <c r="S353" s="454"/>
      <c r="AN353" s="458"/>
      <c r="BA353" s="1305"/>
      <c r="BC353" s="169"/>
    </row>
    <row r="354" spans="19:55" ht="15.75" customHeight="1">
      <c r="S354" s="454"/>
      <c r="AN354" s="458"/>
      <c r="BA354" s="1305"/>
      <c r="BC354" s="169"/>
    </row>
    <row r="355" spans="19:55" ht="15.75" customHeight="1">
      <c r="S355" s="454"/>
      <c r="AN355" s="458"/>
      <c r="BA355" s="1305"/>
      <c r="BC355" s="169"/>
    </row>
    <row r="356" spans="19:55" ht="15.75" customHeight="1">
      <c r="S356" s="454"/>
      <c r="AN356" s="458"/>
      <c r="BA356" s="1305"/>
      <c r="BC356" s="169"/>
    </row>
    <row r="357" spans="19:55" ht="15.75" customHeight="1">
      <c r="S357" s="454"/>
      <c r="AN357" s="458"/>
      <c r="BA357" s="1305"/>
      <c r="BC357" s="169"/>
    </row>
    <row r="358" spans="19:55" ht="15.75" customHeight="1">
      <c r="S358" s="454"/>
      <c r="AN358" s="458"/>
      <c r="BA358" s="1305"/>
      <c r="BC358" s="169"/>
    </row>
    <row r="359" spans="19:55" ht="15.75" customHeight="1">
      <c r="S359" s="454"/>
      <c r="AN359" s="458"/>
      <c r="BA359" s="1305"/>
      <c r="BC359" s="169"/>
    </row>
    <row r="360" spans="19:55" ht="15.75" customHeight="1">
      <c r="S360" s="454"/>
      <c r="AN360" s="458"/>
      <c r="BA360" s="1305"/>
      <c r="BC360" s="169"/>
    </row>
    <row r="361" spans="19:55" ht="15.75" customHeight="1">
      <c r="S361" s="454"/>
      <c r="AN361" s="458"/>
      <c r="BA361" s="1305"/>
      <c r="BC361" s="169"/>
    </row>
    <row r="362" spans="19:55" ht="15.75" customHeight="1">
      <c r="S362" s="454"/>
      <c r="AN362" s="458"/>
      <c r="BA362" s="1305"/>
      <c r="BC362" s="169"/>
    </row>
    <row r="363" spans="19:55" ht="15.75" customHeight="1">
      <c r="S363" s="454"/>
      <c r="AN363" s="458"/>
      <c r="BA363" s="1305"/>
      <c r="BC363" s="169"/>
    </row>
    <row r="364" spans="19:55" ht="15.75" customHeight="1">
      <c r="S364" s="454"/>
      <c r="AN364" s="458"/>
      <c r="BA364" s="1305"/>
      <c r="BC364" s="169"/>
    </row>
    <row r="365" spans="19:55" ht="15.75" customHeight="1">
      <c r="S365" s="454"/>
      <c r="AN365" s="458"/>
      <c r="BA365" s="1305"/>
      <c r="BC365" s="169"/>
    </row>
    <row r="366" spans="19:55" ht="15.75" customHeight="1">
      <c r="S366" s="454"/>
      <c r="AN366" s="458"/>
      <c r="BA366" s="1305"/>
      <c r="BC366" s="169"/>
    </row>
    <row r="367" spans="19:55" ht="15.75" customHeight="1">
      <c r="S367" s="454"/>
      <c r="AN367" s="458"/>
      <c r="BA367" s="1305"/>
      <c r="BC367" s="169"/>
    </row>
    <row r="368" spans="19:55" ht="15.75" customHeight="1">
      <c r="S368" s="454"/>
      <c r="AN368" s="458"/>
      <c r="BA368" s="1305"/>
      <c r="BC368" s="169"/>
    </row>
    <row r="369" spans="19:55" ht="15.75" customHeight="1">
      <c r="S369" s="454"/>
      <c r="AN369" s="458"/>
      <c r="BA369" s="1305"/>
      <c r="BC369" s="169"/>
    </row>
    <row r="370" spans="19:55" ht="15.75" customHeight="1">
      <c r="S370" s="454"/>
      <c r="AN370" s="458"/>
      <c r="BA370" s="1305"/>
      <c r="BC370" s="169"/>
    </row>
    <row r="371" spans="19:55" ht="15.75" customHeight="1">
      <c r="S371" s="454"/>
      <c r="AN371" s="458"/>
      <c r="BA371" s="1305"/>
      <c r="BC371" s="169"/>
    </row>
    <row r="372" spans="19:55" ht="15.75" customHeight="1">
      <c r="S372" s="454"/>
      <c r="AN372" s="458"/>
      <c r="BA372" s="1305"/>
      <c r="BC372" s="169"/>
    </row>
    <row r="373" spans="19:55" ht="15.75" customHeight="1">
      <c r="S373" s="454"/>
      <c r="AN373" s="458"/>
      <c r="BA373" s="1305"/>
      <c r="BC373" s="169"/>
    </row>
    <row r="374" spans="19:55" ht="15.75" customHeight="1">
      <c r="S374" s="454"/>
      <c r="AN374" s="458"/>
      <c r="BA374" s="1305"/>
      <c r="BC374" s="169"/>
    </row>
    <row r="375" spans="19:55" ht="15.75" customHeight="1">
      <c r="S375" s="454"/>
      <c r="AN375" s="458"/>
      <c r="BA375" s="1305"/>
      <c r="BC375" s="169"/>
    </row>
    <row r="376" spans="19:55" ht="15.75" customHeight="1">
      <c r="S376" s="454"/>
      <c r="AN376" s="458"/>
      <c r="BA376" s="1305"/>
      <c r="BC376" s="169"/>
    </row>
    <row r="377" spans="19:55" ht="15.75" customHeight="1">
      <c r="S377" s="454"/>
      <c r="AN377" s="458"/>
      <c r="BA377" s="1305"/>
      <c r="BC377" s="169"/>
    </row>
    <row r="378" spans="19:55" ht="15.75" customHeight="1">
      <c r="S378" s="454"/>
      <c r="AN378" s="458"/>
      <c r="BA378" s="1305"/>
      <c r="BC378" s="169"/>
    </row>
    <row r="379" spans="19:55" ht="15.75" customHeight="1">
      <c r="S379" s="454"/>
      <c r="AN379" s="458"/>
      <c r="BA379" s="1305"/>
      <c r="BC379" s="169"/>
    </row>
    <row r="380" spans="19:55" ht="15.75" customHeight="1">
      <c r="S380" s="454"/>
      <c r="AN380" s="458"/>
      <c r="BA380" s="1305"/>
      <c r="BC380" s="169"/>
    </row>
    <row r="381" spans="19:55" ht="15.75" customHeight="1">
      <c r="S381" s="454"/>
      <c r="AN381" s="458"/>
      <c r="BA381" s="1305"/>
      <c r="BC381" s="169"/>
    </row>
    <row r="382" spans="19:55" ht="15.75" customHeight="1">
      <c r="S382" s="454"/>
      <c r="AN382" s="458"/>
      <c r="BA382" s="1305"/>
      <c r="BC382" s="169"/>
    </row>
    <row r="383" spans="19:55" ht="15.75" customHeight="1">
      <c r="S383" s="454"/>
      <c r="AN383" s="458"/>
      <c r="BA383" s="1305"/>
      <c r="BC383" s="169"/>
    </row>
    <row r="384" spans="19:55" ht="15.75" customHeight="1">
      <c r="S384" s="454"/>
      <c r="AN384" s="458"/>
      <c r="BA384" s="1305"/>
      <c r="BC384" s="169"/>
    </row>
    <row r="385" spans="19:55" ht="15.75" customHeight="1">
      <c r="S385" s="454"/>
      <c r="AN385" s="458"/>
      <c r="BA385" s="1305"/>
      <c r="BC385" s="169"/>
    </row>
    <row r="386" spans="19:55" ht="15.75" customHeight="1">
      <c r="S386" s="454"/>
      <c r="AN386" s="458"/>
      <c r="BA386" s="1305"/>
      <c r="BC386" s="169"/>
    </row>
    <row r="387" spans="19:55" ht="15.75" customHeight="1">
      <c r="S387" s="454"/>
      <c r="AN387" s="458"/>
      <c r="BA387" s="1305"/>
      <c r="BC387" s="169"/>
    </row>
    <row r="388" spans="19:55" ht="15.75" customHeight="1">
      <c r="S388" s="454"/>
      <c r="AN388" s="458"/>
      <c r="BA388" s="1305"/>
      <c r="BC388" s="169"/>
    </row>
    <row r="389" spans="19:55" ht="15.75" customHeight="1">
      <c r="S389" s="454"/>
      <c r="AN389" s="458"/>
      <c r="BA389" s="1305"/>
      <c r="BC389" s="169"/>
    </row>
    <row r="390" spans="19:55" ht="15.75" customHeight="1">
      <c r="S390" s="454"/>
      <c r="AN390" s="458"/>
      <c r="BA390" s="1305"/>
      <c r="BC390" s="169"/>
    </row>
    <row r="391" spans="19:55" ht="15.75" customHeight="1">
      <c r="S391" s="454"/>
      <c r="AN391" s="458"/>
      <c r="BA391" s="1305"/>
      <c r="BC391" s="169"/>
    </row>
    <row r="392" spans="19:55" ht="15.75" customHeight="1">
      <c r="S392" s="454"/>
      <c r="AN392" s="458"/>
      <c r="BA392" s="1305"/>
      <c r="BC392" s="169"/>
    </row>
    <row r="393" spans="19:55" ht="15.75" customHeight="1">
      <c r="S393" s="454"/>
      <c r="AN393" s="458"/>
      <c r="BA393" s="1305"/>
      <c r="BC393" s="169"/>
    </row>
    <row r="394" spans="19:55" ht="15.75" customHeight="1">
      <c r="S394" s="454"/>
      <c r="AN394" s="458"/>
      <c r="BA394" s="1305"/>
      <c r="BC394" s="169"/>
    </row>
    <row r="395" spans="19:55" ht="15.75" customHeight="1">
      <c r="S395" s="454"/>
      <c r="AN395" s="458"/>
      <c r="BA395" s="1305"/>
      <c r="BC395" s="169"/>
    </row>
    <row r="396" spans="19:55" ht="15.75" customHeight="1">
      <c r="S396" s="454"/>
      <c r="AN396" s="458"/>
      <c r="BA396" s="1305"/>
      <c r="BC396" s="169"/>
    </row>
    <row r="397" spans="19:55" ht="15.75" customHeight="1">
      <c r="S397" s="454"/>
      <c r="AN397" s="458"/>
      <c r="BA397" s="1305"/>
      <c r="BC397" s="169"/>
    </row>
    <row r="398" spans="19:55" ht="15.75" customHeight="1">
      <c r="S398" s="454"/>
      <c r="AN398" s="458"/>
      <c r="BA398" s="1305"/>
      <c r="BC398" s="169"/>
    </row>
    <row r="399" spans="19:55" ht="15.75" customHeight="1">
      <c r="S399" s="454"/>
      <c r="AN399" s="458"/>
      <c r="BA399" s="1305"/>
      <c r="BC399" s="169"/>
    </row>
    <row r="400" spans="19:55" ht="15.75" customHeight="1">
      <c r="S400" s="454"/>
      <c r="AN400" s="458"/>
      <c r="BA400" s="1305"/>
      <c r="BC400" s="169"/>
    </row>
    <row r="401" spans="19:55" ht="15.75" customHeight="1">
      <c r="S401" s="454"/>
      <c r="AN401" s="458"/>
      <c r="BA401" s="1305"/>
      <c r="BC401" s="169"/>
    </row>
    <row r="402" spans="19:55" ht="15.75" customHeight="1">
      <c r="S402" s="454"/>
      <c r="AN402" s="458"/>
      <c r="BA402" s="1305"/>
      <c r="BC402" s="169"/>
    </row>
    <row r="403" spans="19:55" ht="15.75" customHeight="1">
      <c r="S403" s="454"/>
      <c r="AN403" s="458"/>
      <c r="BA403" s="1305"/>
      <c r="BC403" s="169"/>
    </row>
    <row r="404" spans="19:55" ht="15.75" customHeight="1">
      <c r="S404" s="454"/>
      <c r="AN404" s="458"/>
      <c r="BA404" s="1305"/>
      <c r="BC404" s="169"/>
    </row>
    <row r="405" spans="19:55" ht="15.75" customHeight="1">
      <c r="S405" s="454"/>
      <c r="AN405" s="458"/>
      <c r="BA405" s="1305"/>
      <c r="BC405" s="169"/>
    </row>
    <row r="406" spans="19:55" ht="15.75" customHeight="1">
      <c r="S406" s="454"/>
      <c r="AN406" s="458"/>
      <c r="BA406" s="1305"/>
      <c r="BC406" s="169"/>
    </row>
    <row r="407" spans="19:55" ht="15.75" customHeight="1">
      <c r="S407" s="454"/>
      <c r="AN407" s="458"/>
      <c r="BA407" s="1305"/>
      <c r="BC407" s="169"/>
    </row>
    <row r="408" spans="19:55" ht="15.75" customHeight="1">
      <c r="S408" s="454"/>
      <c r="AN408" s="458"/>
      <c r="BA408" s="1305"/>
      <c r="BC408" s="169"/>
    </row>
    <row r="409" spans="19:55" ht="15.75" customHeight="1">
      <c r="S409" s="454"/>
      <c r="AN409" s="458"/>
      <c r="BA409" s="1305"/>
      <c r="BC409" s="169"/>
    </row>
    <row r="410" spans="19:55" ht="15.75" customHeight="1">
      <c r="S410" s="454"/>
      <c r="AN410" s="458"/>
      <c r="BA410" s="1305"/>
      <c r="BC410" s="169"/>
    </row>
    <row r="411" spans="19:55" ht="15.75" customHeight="1">
      <c r="S411" s="454"/>
      <c r="AN411" s="458"/>
      <c r="BA411" s="1305"/>
      <c r="BC411" s="169"/>
    </row>
    <row r="412" spans="19:55" ht="15.75" customHeight="1">
      <c r="S412" s="454"/>
      <c r="AN412" s="458"/>
      <c r="BA412" s="1305"/>
      <c r="BC412" s="169"/>
    </row>
    <row r="413" spans="19:55" ht="15.75" customHeight="1">
      <c r="S413" s="454"/>
      <c r="AN413" s="458"/>
      <c r="BA413" s="1305"/>
      <c r="BC413" s="169"/>
    </row>
    <row r="414" spans="19:55" ht="15.75" customHeight="1">
      <c r="S414" s="454"/>
      <c r="AN414" s="458"/>
      <c r="BA414" s="1305"/>
      <c r="BC414" s="169"/>
    </row>
    <row r="415" spans="19:55" ht="15.75" customHeight="1">
      <c r="S415" s="454"/>
      <c r="AN415" s="458"/>
      <c r="BA415" s="1305"/>
      <c r="BC415" s="169"/>
    </row>
    <row r="416" spans="19:55" ht="15.75" customHeight="1">
      <c r="S416" s="454"/>
      <c r="AN416" s="458"/>
      <c r="BA416" s="1305"/>
      <c r="BC416" s="169"/>
    </row>
    <row r="417" spans="19:55" ht="15.75" customHeight="1">
      <c r="S417" s="454"/>
      <c r="AN417" s="458"/>
      <c r="BA417" s="1305"/>
      <c r="BC417" s="169"/>
    </row>
    <row r="418" spans="19:55" ht="15.75" customHeight="1">
      <c r="S418" s="454"/>
      <c r="AN418" s="458"/>
      <c r="BA418" s="1305"/>
      <c r="BC418" s="169"/>
    </row>
    <row r="419" spans="19:55" ht="15.75" customHeight="1">
      <c r="S419" s="454"/>
      <c r="AN419" s="458"/>
      <c r="BA419" s="1305"/>
      <c r="BC419" s="169"/>
    </row>
    <row r="420" spans="19:55" ht="15.75" customHeight="1">
      <c r="S420" s="454"/>
      <c r="AN420" s="458"/>
      <c r="BA420" s="1305"/>
      <c r="BC420" s="169"/>
    </row>
    <row r="421" spans="19:55" ht="15.75" customHeight="1">
      <c r="S421" s="454"/>
      <c r="AN421" s="458"/>
      <c r="BA421" s="1305"/>
      <c r="BC421" s="169"/>
    </row>
    <row r="422" spans="19:55" ht="15.75" customHeight="1">
      <c r="S422" s="454"/>
      <c r="AN422" s="458"/>
      <c r="BA422" s="1305"/>
      <c r="BC422" s="169"/>
    </row>
    <row r="423" spans="19:55" ht="15.75" customHeight="1">
      <c r="S423" s="454"/>
      <c r="AN423" s="458"/>
      <c r="BA423" s="1305"/>
      <c r="BC423" s="169"/>
    </row>
    <row r="424" spans="19:55" ht="15.75" customHeight="1">
      <c r="S424" s="454"/>
      <c r="AN424" s="458"/>
      <c r="BA424" s="1305"/>
      <c r="BC424" s="169"/>
    </row>
    <row r="425" spans="19:55" ht="15.75" customHeight="1">
      <c r="S425" s="454"/>
      <c r="AN425" s="458"/>
      <c r="BA425" s="1305"/>
      <c r="BC425" s="169"/>
    </row>
    <row r="426" spans="19:55" ht="15.75" customHeight="1">
      <c r="S426" s="454"/>
      <c r="AN426" s="458"/>
      <c r="BA426" s="1305"/>
      <c r="BC426" s="169"/>
    </row>
    <row r="427" spans="19:55" ht="15.75" customHeight="1">
      <c r="S427" s="454"/>
      <c r="AN427" s="458"/>
      <c r="BA427" s="1305"/>
      <c r="BC427" s="169"/>
    </row>
    <row r="428" spans="19:55" ht="15.75" customHeight="1">
      <c r="S428" s="454"/>
      <c r="AN428" s="458"/>
      <c r="BA428" s="1305"/>
      <c r="BC428" s="169"/>
    </row>
    <row r="429" spans="19:55" ht="15.75" customHeight="1">
      <c r="S429" s="454"/>
      <c r="AN429" s="458"/>
      <c r="BA429" s="1305"/>
      <c r="BC429" s="169"/>
    </row>
    <row r="430" spans="19:55" ht="15.75" customHeight="1">
      <c r="S430" s="454"/>
      <c r="AN430" s="458"/>
      <c r="BA430" s="1305"/>
      <c r="BC430" s="169"/>
    </row>
    <row r="431" spans="19:55" ht="15.75" customHeight="1">
      <c r="S431" s="454"/>
      <c r="AN431" s="458"/>
      <c r="BA431" s="1305"/>
      <c r="BC431" s="169"/>
    </row>
    <row r="432" spans="19:55" ht="15.75" customHeight="1">
      <c r="S432" s="454"/>
      <c r="AN432" s="458"/>
      <c r="BA432" s="1305"/>
      <c r="BC432" s="169"/>
    </row>
    <row r="433" spans="19:55" ht="15.75" customHeight="1">
      <c r="S433" s="454"/>
      <c r="AN433" s="458"/>
      <c r="BA433" s="1305"/>
      <c r="BC433" s="169"/>
    </row>
    <row r="434" spans="19:55" ht="15.75" customHeight="1">
      <c r="S434" s="454"/>
      <c r="AN434" s="458"/>
      <c r="BA434" s="1305"/>
      <c r="BC434" s="169"/>
    </row>
    <row r="435" spans="19:55" ht="15.75" customHeight="1">
      <c r="S435" s="454"/>
      <c r="AN435" s="458"/>
      <c r="BA435" s="1305"/>
      <c r="BC435" s="169"/>
    </row>
    <row r="436" spans="19:55" ht="15.75" customHeight="1">
      <c r="S436" s="454"/>
      <c r="AN436" s="458"/>
      <c r="BA436" s="1305"/>
      <c r="BC436" s="169"/>
    </row>
    <row r="437" spans="19:55" ht="15.75" customHeight="1">
      <c r="S437" s="454"/>
      <c r="AN437" s="458"/>
      <c r="BA437" s="1305"/>
      <c r="BC437" s="169"/>
    </row>
    <row r="438" spans="19:55" ht="15.75" customHeight="1">
      <c r="S438" s="454"/>
      <c r="AN438" s="458"/>
      <c r="BA438" s="1305"/>
      <c r="BC438" s="169"/>
    </row>
    <row r="439" spans="19:55" ht="15.75" customHeight="1">
      <c r="S439" s="454"/>
      <c r="AN439" s="458"/>
      <c r="BA439" s="1305"/>
      <c r="BC439" s="169"/>
    </row>
    <row r="440" spans="19:55" ht="15.75" customHeight="1">
      <c r="S440" s="454"/>
      <c r="AN440" s="458"/>
      <c r="BA440" s="1305"/>
      <c r="BC440" s="169"/>
    </row>
    <row r="441" spans="19:55" ht="15.75" customHeight="1">
      <c r="S441" s="454"/>
      <c r="AN441" s="458"/>
      <c r="BA441" s="1305"/>
      <c r="BC441" s="169"/>
    </row>
    <row r="442" spans="19:55" ht="15.75" customHeight="1">
      <c r="S442" s="454"/>
      <c r="AN442" s="458"/>
      <c r="BA442" s="1305"/>
      <c r="BC442" s="169"/>
    </row>
    <row r="443" spans="19:55" ht="15.75" customHeight="1">
      <c r="S443" s="454"/>
      <c r="AN443" s="458"/>
      <c r="BA443" s="1305"/>
      <c r="BC443" s="169"/>
    </row>
    <row r="444" spans="19:55" ht="15.75" customHeight="1">
      <c r="S444" s="454"/>
      <c r="AN444" s="458"/>
      <c r="BA444" s="1305"/>
      <c r="BC444" s="169"/>
    </row>
    <row r="445" spans="19:55" ht="15.75" customHeight="1">
      <c r="S445" s="454"/>
      <c r="AN445" s="458"/>
      <c r="BA445" s="1305"/>
      <c r="BC445" s="169"/>
    </row>
    <row r="446" spans="19:55" ht="15.75" customHeight="1">
      <c r="S446" s="454"/>
      <c r="AN446" s="458"/>
      <c r="BA446" s="1305"/>
      <c r="BC446" s="169"/>
    </row>
    <row r="447" spans="19:55" ht="15.75" customHeight="1">
      <c r="S447" s="454"/>
      <c r="AN447" s="458"/>
      <c r="BA447" s="1305"/>
      <c r="BC447" s="169"/>
    </row>
    <row r="448" spans="19:55" ht="15.75" customHeight="1">
      <c r="S448" s="454"/>
      <c r="AN448" s="458"/>
      <c r="BA448" s="1305"/>
      <c r="BC448" s="169"/>
    </row>
    <row r="449" spans="19:55" ht="15.75" customHeight="1">
      <c r="S449" s="454"/>
      <c r="AN449" s="458"/>
      <c r="BA449" s="1305"/>
      <c r="BC449" s="169"/>
    </row>
    <row r="450" spans="19:55" ht="15.75" customHeight="1">
      <c r="S450" s="454"/>
      <c r="AN450" s="458"/>
      <c r="BA450" s="1305"/>
      <c r="BC450" s="169"/>
    </row>
    <row r="451" spans="19:55" ht="15.75" customHeight="1">
      <c r="S451" s="454"/>
      <c r="AN451" s="458"/>
      <c r="BA451" s="1305"/>
      <c r="BC451" s="169"/>
    </row>
    <row r="452" spans="19:55" ht="15.75" customHeight="1">
      <c r="S452" s="454"/>
      <c r="AN452" s="458"/>
      <c r="BA452" s="1305"/>
      <c r="BC452" s="169"/>
    </row>
    <row r="453" spans="19:55" ht="15.75" customHeight="1">
      <c r="S453" s="454"/>
      <c r="AN453" s="458"/>
      <c r="BA453" s="1305"/>
      <c r="BC453" s="169"/>
    </row>
    <row r="454" spans="19:55" ht="15.75" customHeight="1">
      <c r="S454" s="454"/>
      <c r="AN454" s="458"/>
      <c r="BA454" s="1305"/>
      <c r="BC454" s="169"/>
    </row>
    <row r="455" spans="19:55" ht="15.75" customHeight="1">
      <c r="S455" s="454"/>
      <c r="AN455" s="458"/>
      <c r="BA455" s="1305"/>
      <c r="BC455" s="169"/>
    </row>
    <row r="456" spans="19:55" ht="15.75" customHeight="1">
      <c r="S456" s="454"/>
      <c r="AN456" s="458"/>
      <c r="BA456" s="1305"/>
      <c r="BC456" s="169"/>
    </row>
    <row r="457" spans="19:55" ht="15.75" customHeight="1">
      <c r="S457" s="454"/>
      <c r="AN457" s="458"/>
      <c r="BA457" s="1305"/>
      <c r="BC457" s="169"/>
    </row>
    <row r="458" spans="19:55" ht="15.75" customHeight="1">
      <c r="S458" s="454"/>
      <c r="AN458" s="458"/>
      <c r="BA458" s="1305"/>
      <c r="BC458" s="169"/>
    </row>
    <row r="459" spans="19:55" ht="15.75" customHeight="1">
      <c r="S459" s="454"/>
      <c r="AN459" s="458"/>
      <c r="BA459" s="1305"/>
      <c r="BC459" s="169"/>
    </row>
    <row r="460" spans="19:55" ht="15.75" customHeight="1">
      <c r="S460" s="454"/>
      <c r="AN460" s="458"/>
      <c r="BA460" s="1305"/>
      <c r="BC460" s="169"/>
    </row>
    <row r="461" spans="19:55" ht="15.75" customHeight="1">
      <c r="S461" s="454"/>
      <c r="AN461" s="458"/>
      <c r="BA461" s="1305"/>
      <c r="BC461" s="169"/>
    </row>
    <row r="462" spans="19:55" ht="15.75" customHeight="1">
      <c r="S462" s="454"/>
      <c r="AN462" s="458"/>
      <c r="BA462" s="1305"/>
      <c r="BC462" s="169"/>
    </row>
    <row r="463" spans="19:55" ht="15.75" customHeight="1">
      <c r="S463" s="454"/>
      <c r="AN463" s="458"/>
      <c r="BA463" s="1305"/>
      <c r="BC463" s="169"/>
    </row>
    <row r="464" spans="19:55" ht="15.75" customHeight="1">
      <c r="S464" s="454"/>
      <c r="AN464" s="458"/>
      <c r="BA464" s="1305"/>
      <c r="BC464" s="169"/>
    </row>
    <row r="465" spans="19:55" ht="15.75" customHeight="1">
      <c r="S465" s="454"/>
      <c r="AN465" s="458"/>
      <c r="BA465" s="1305"/>
      <c r="BC465" s="169"/>
    </row>
    <row r="466" spans="19:55" ht="15.75" customHeight="1">
      <c r="S466" s="454"/>
      <c r="AN466" s="458"/>
      <c r="BA466" s="1305"/>
      <c r="BC466" s="169"/>
    </row>
    <row r="467" spans="19:55" ht="15.75" customHeight="1">
      <c r="S467" s="454"/>
      <c r="AN467" s="458"/>
      <c r="BA467" s="1305"/>
      <c r="BC467" s="169"/>
    </row>
    <row r="468" spans="19:55" ht="15.75" customHeight="1">
      <c r="S468" s="454"/>
      <c r="AN468" s="458"/>
      <c r="BA468" s="1305"/>
      <c r="BC468" s="169"/>
    </row>
    <row r="469" spans="19:55" ht="15.75" customHeight="1">
      <c r="S469" s="454"/>
      <c r="AN469" s="458"/>
      <c r="BA469" s="1305"/>
      <c r="BC469" s="169"/>
    </row>
    <row r="470" spans="19:55" ht="15.75" customHeight="1">
      <c r="S470" s="454"/>
      <c r="AN470" s="458"/>
      <c r="BA470" s="1305"/>
      <c r="BC470" s="169"/>
    </row>
    <row r="471" spans="19:55" ht="15.75" customHeight="1">
      <c r="S471" s="454"/>
      <c r="AN471" s="458"/>
      <c r="BA471" s="1305"/>
      <c r="BC471" s="169"/>
    </row>
    <row r="472" spans="19:55" ht="15.75" customHeight="1">
      <c r="S472" s="454"/>
      <c r="AN472" s="458"/>
      <c r="BA472" s="1305"/>
      <c r="BC472" s="169"/>
    </row>
    <row r="473" spans="19:55" ht="15.75" customHeight="1">
      <c r="S473" s="454"/>
      <c r="AN473" s="458"/>
      <c r="BA473" s="1305"/>
      <c r="BC473" s="169"/>
    </row>
    <row r="474" spans="19:55" ht="15.75" customHeight="1">
      <c r="S474" s="454"/>
      <c r="AN474" s="458"/>
      <c r="BA474" s="1305"/>
      <c r="BC474" s="169"/>
    </row>
    <row r="475" spans="19:55" ht="15.75" customHeight="1">
      <c r="S475" s="454"/>
      <c r="AN475" s="458"/>
      <c r="BA475" s="1305"/>
      <c r="BC475" s="169"/>
    </row>
    <row r="476" spans="19:55" ht="15.75" customHeight="1">
      <c r="S476" s="454"/>
      <c r="AN476" s="458"/>
      <c r="BA476" s="1305"/>
      <c r="BC476" s="169"/>
    </row>
    <row r="477" spans="19:55" ht="15.75" customHeight="1">
      <c r="S477" s="454"/>
      <c r="AN477" s="458"/>
      <c r="BA477" s="1305"/>
      <c r="BC477" s="169"/>
    </row>
    <row r="478" spans="19:55" ht="15.75" customHeight="1">
      <c r="S478" s="454"/>
      <c r="AN478" s="458"/>
      <c r="BA478" s="1305"/>
      <c r="BC478" s="169"/>
    </row>
    <row r="479" spans="19:55" ht="15.75" customHeight="1">
      <c r="S479" s="454"/>
      <c r="AN479" s="458"/>
      <c r="BA479" s="1305"/>
      <c r="BC479" s="169"/>
    </row>
    <row r="480" spans="19:55" ht="15.75" customHeight="1">
      <c r="S480" s="454"/>
      <c r="AN480" s="458"/>
      <c r="BA480" s="1305"/>
      <c r="BC480" s="169"/>
    </row>
    <row r="481" spans="19:55" ht="15.75" customHeight="1">
      <c r="S481" s="454"/>
      <c r="AN481" s="458"/>
      <c r="BA481" s="1305"/>
      <c r="BC481" s="169"/>
    </row>
    <row r="482" spans="19:55" ht="15.75" customHeight="1">
      <c r="S482" s="454"/>
      <c r="AN482" s="458"/>
      <c r="BA482" s="1305"/>
      <c r="BC482" s="169"/>
    </row>
    <row r="483" spans="19:55" ht="15.75" customHeight="1">
      <c r="S483" s="454"/>
      <c r="AN483" s="458"/>
      <c r="BA483" s="1305"/>
      <c r="BC483" s="169"/>
    </row>
    <row r="484" spans="19:55" ht="15.75" customHeight="1">
      <c r="S484" s="454"/>
      <c r="AN484" s="458"/>
      <c r="BA484" s="1305"/>
      <c r="BC484" s="169"/>
    </row>
    <row r="485" spans="19:55" ht="15.75" customHeight="1">
      <c r="S485" s="454"/>
      <c r="AN485" s="458"/>
      <c r="BA485" s="1305"/>
      <c r="BC485" s="169"/>
    </row>
    <row r="486" spans="19:55" ht="15.75" customHeight="1">
      <c r="S486" s="454"/>
      <c r="AN486" s="458"/>
      <c r="BA486" s="1305"/>
      <c r="BC486" s="169"/>
    </row>
    <row r="487" spans="19:55" ht="15.75" customHeight="1">
      <c r="S487" s="454"/>
      <c r="AN487" s="458"/>
      <c r="BA487" s="1305"/>
      <c r="BC487" s="169"/>
    </row>
    <row r="488" spans="19:55" ht="15.75" customHeight="1">
      <c r="S488" s="454"/>
      <c r="AN488" s="458"/>
      <c r="BA488" s="1305"/>
      <c r="BC488" s="169"/>
    </row>
    <row r="489" spans="19:55" ht="15.75" customHeight="1">
      <c r="S489" s="454"/>
      <c r="AN489" s="458"/>
      <c r="BA489" s="1305"/>
      <c r="BC489" s="169"/>
    </row>
    <row r="490" spans="19:55" ht="15.75" customHeight="1">
      <c r="S490" s="454"/>
      <c r="AN490" s="458"/>
      <c r="BA490" s="1305"/>
      <c r="BC490" s="169"/>
    </row>
    <row r="491" spans="19:55" ht="15.75" customHeight="1">
      <c r="S491" s="454"/>
      <c r="AN491" s="458"/>
      <c r="BA491" s="1305"/>
      <c r="BC491" s="169"/>
    </row>
    <row r="492" spans="19:55" ht="15.75" customHeight="1">
      <c r="S492" s="454"/>
      <c r="AN492" s="458"/>
      <c r="BA492" s="1305"/>
      <c r="BC492" s="169"/>
    </row>
    <row r="493" spans="19:55" ht="15.75" customHeight="1">
      <c r="S493" s="454"/>
      <c r="AN493" s="458"/>
      <c r="BA493" s="1305"/>
      <c r="BC493" s="169"/>
    </row>
    <row r="494" spans="19:55" ht="15.75" customHeight="1">
      <c r="S494" s="454"/>
      <c r="AN494" s="458"/>
      <c r="BA494" s="1305"/>
      <c r="BC494" s="169"/>
    </row>
    <row r="495" spans="19:55" ht="15.75" customHeight="1">
      <c r="S495" s="454"/>
      <c r="AN495" s="458"/>
      <c r="BA495" s="1305"/>
      <c r="BC495" s="169"/>
    </row>
    <row r="496" spans="19:55" ht="15.75" customHeight="1">
      <c r="S496" s="454"/>
      <c r="AN496" s="458"/>
      <c r="BA496" s="1305"/>
      <c r="BC496" s="169"/>
    </row>
    <row r="497" spans="19:55" ht="15.75" customHeight="1">
      <c r="S497" s="454"/>
      <c r="AN497" s="458"/>
      <c r="BA497" s="1305"/>
      <c r="BC497" s="169"/>
    </row>
    <row r="498" spans="19:55" ht="15.75" customHeight="1">
      <c r="S498" s="454"/>
      <c r="AN498" s="458"/>
      <c r="BA498" s="1305"/>
      <c r="BC498" s="169"/>
    </row>
    <row r="499" spans="19:55" ht="15.75" customHeight="1">
      <c r="S499" s="454"/>
      <c r="AN499" s="458"/>
      <c r="BA499" s="1305"/>
      <c r="BC499" s="169"/>
    </row>
    <row r="500" spans="19:55" ht="15.75" customHeight="1">
      <c r="S500" s="454"/>
      <c r="AN500" s="458"/>
      <c r="BA500" s="1305"/>
      <c r="BC500" s="169"/>
    </row>
    <row r="501" spans="19:55" ht="15.75" customHeight="1">
      <c r="S501" s="454"/>
      <c r="AN501" s="458"/>
      <c r="BA501" s="1305"/>
      <c r="BC501" s="169"/>
    </row>
    <row r="502" spans="19:55" ht="15.75" customHeight="1">
      <c r="S502" s="454"/>
      <c r="AN502" s="458"/>
      <c r="BA502" s="1305"/>
      <c r="BC502" s="169"/>
    </row>
    <row r="503" spans="19:55" ht="15.75" customHeight="1">
      <c r="S503" s="454"/>
      <c r="AN503" s="458"/>
      <c r="BA503" s="1305"/>
      <c r="BC503" s="169"/>
    </row>
    <row r="504" spans="19:55" ht="15.75" customHeight="1">
      <c r="S504" s="454"/>
      <c r="AN504" s="458"/>
      <c r="BA504" s="1305"/>
      <c r="BC504" s="169"/>
    </row>
    <row r="505" spans="19:55" ht="15.75" customHeight="1">
      <c r="S505" s="454"/>
      <c r="AN505" s="458"/>
      <c r="BA505" s="1305"/>
      <c r="BC505" s="169"/>
    </row>
    <row r="506" spans="19:55" ht="15.75" customHeight="1">
      <c r="S506" s="454"/>
      <c r="AN506" s="458"/>
      <c r="BA506" s="1305"/>
      <c r="BC506" s="169"/>
    </row>
    <row r="507" spans="19:55" ht="15.75" customHeight="1">
      <c r="S507" s="454"/>
      <c r="AN507" s="458"/>
      <c r="BA507" s="1305"/>
      <c r="BC507" s="169"/>
    </row>
    <row r="508" spans="19:55" ht="15.75" customHeight="1">
      <c r="S508" s="454"/>
      <c r="AN508" s="458"/>
      <c r="BA508" s="1305"/>
      <c r="BC508" s="169"/>
    </row>
    <row r="509" spans="19:55" ht="15.75" customHeight="1">
      <c r="S509" s="454"/>
      <c r="AN509" s="458"/>
      <c r="BA509" s="1305"/>
      <c r="BC509" s="169"/>
    </row>
    <row r="510" spans="19:55" ht="15.75" customHeight="1">
      <c r="S510" s="454"/>
      <c r="AN510" s="458"/>
      <c r="BA510" s="1305"/>
      <c r="BC510" s="169"/>
    </row>
    <row r="511" spans="19:55" ht="15.75" customHeight="1">
      <c r="S511" s="454"/>
      <c r="AN511" s="458"/>
      <c r="BA511" s="1305"/>
      <c r="BC511" s="169"/>
    </row>
    <row r="512" spans="19:55" ht="15.75" customHeight="1">
      <c r="S512" s="454"/>
      <c r="AN512" s="458"/>
      <c r="BA512" s="1305"/>
      <c r="BC512" s="169"/>
    </row>
    <row r="513" spans="19:55" ht="15.75" customHeight="1">
      <c r="S513" s="454"/>
      <c r="AN513" s="458"/>
      <c r="BA513" s="1305"/>
      <c r="BC513" s="169"/>
    </row>
    <row r="514" spans="19:55" ht="15.75" customHeight="1">
      <c r="S514" s="454"/>
      <c r="AN514" s="458"/>
      <c r="BA514" s="1305"/>
      <c r="BC514" s="169"/>
    </row>
    <row r="515" spans="19:55" ht="15.75" customHeight="1">
      <c r="S515" s="454"/>
      <c r="AN515" s="458"/>
      <c r="BA515" s="1305"/>
      <c r="BC515" s="169"/>
    </row>
    <row r="516" spans="19:55" ht="15.75" customHeight="1">
      <c r="S516" s="454"/>
      <c r="AN516" s="458"/>
      <c r="BA516" s="1305"/>
      <c r="BC516" s="169"/>
    </row>
    <row r="517" spans="19:55" ht="15.75" customHeight="1">
      <c r="S517" s="454"/>
      <c r="AN517" s="458"/>
      <c r="BA517" s="1305"/>
      <c r="BC517" s="169"/>
    </row>
    <row r="518" spans="19:55" ht="15.75" customHeight="1">
      <c r="S518" s="454"/>
      <c r="AN518" s="458"/>
      <c r="BA518" s="1305"/>
      <c r="BC518" s="169"/>
    </row>
    <row r="519" spans="19:55" ht="15.75" customHeight="1">
      <c r="S519" s="454"/>
      <c r="AN519" s="458"/>
      <c r="BA519" s="1305"/>
      <c r="BC519" s="169"/>
    </row>
    <row r="520" spans="19:55" ht="15.75" customHeight="1">
      <c r="S520" s="454"/>
      <c r="AN520" s="458"/>
      <c r="BA520" s="1305"/>
      <c r="BC520" s="169"/>
    </row>
    <row r="521" spans="19:55" ht="15.75" customHeight="1">
      <c r="S521" s="454"/>
      <c r="AN521" s="458"/>
      <c r="BA521" s="1305"/>
      <c r="BC521" s="169"/>
    </row>
    <row r="522" spans="19:55" ht="15.75" customHeight="1">
      <c r="S522" s="454"/>
      <c r="AN522" s="458"/>
      <c r="BA522" s="1305"/>
      <c r="BC522" s="169"/>
    </row>
    <row r="523" spans="19:55" ht="15.75" customHeight="1">
      <c r="S523" s="454"/>
      <c r="AN523" s="458"/>
      <c r="BA523" s="1305"/>
      <c r="BC523" s="169"/>
    </row>
    <row r="524" spans="19:55" ht="15.75" customHeight="1">
      <c r="S524" s="454"/>
      <c r="AN524" s="458"/>
      <c r="BA524" s="1305"/>
      <c r="BC524" s="169"/>
    </row>
    <row r="525" spans="19:55" ht="15.75" customHeight="1">
      <c r="S525" s="454"/>
      <c r="AN525" s="458"/>
      <c r="BA525" s="1305"/>
      <c r="BC525" s="169"/>
    </row>
    <row r="526" spans="19:55" ht="15.75" customHeight="1">
      <c r="S526" s="454"/>
      <c r="AN526" s="458"/>
      <c r="BA526" s="1305"/>
      <c r="BC526" s="169"/>
    </row>
    <row r="527" spans="19:55" ht="15.75" customHeight="1">
      <c r="S527" s="454"/>
      <c r="AN527" s="458"/>
      <c r="BA527" s="1305"/>
      <c r="BC527" s="169"/>
    </row>
    <row r="528" spans="19:55" ht="15.75" customHeight="1">
      <c r="S528" s="454"/>
      <c r="AN528" s="458"/>
      <c r="BA528" s="1305"/>
      <c r="BC528" s="169"/>
    </row>
    <row r="529" spans="19:55" ht="15.75" customHeight="1">
      <c r="S529" s="454"/>
      <c r="AN529" s="458"/>
      <c r="BA529" s="1305"/>
      <c r="BC529" s="169"/>
    </row>
    <row r="530" spans="19:55" ht="15.75" customHeight="1">
      <c r="S530" s="454"/>
      <c r="AN530" s="458"/>
      <c r="BA530" s="1305"/>
      <c r="BC530" s="169"/>
    </row>
    <row r="531" spans="19:55" ht="15.75" customHeight="1">
      <c r="S531" s="454"/>
      <c r="AN531" s="458"/>
      <c r="BA531" s="1305"/>
      <c r="BC531" s="169"/>
    </row>
    <row r="532" spans="19:55" ht="15.75" customHeight="1">
      <c r="S532" s="454"/>
      <c r="AN532" s="458"/>
      <c r="BA532" s="1305"/>
      <c r="BC532" s="169"/>
    </row>
    <row r="533" spans="19:55" ht="15.75" customHeight="1">
      <c r="S533" s="454"/>
      <c r="AN533" s="458"/>
      <c r="BA533" s="1305"/>
      <c r="BC533" s="169"/>
    </row>
    <row r="534" spans="19:55" ht="15.75" customHeight="1">
      <c r="S534" s="454"/>
      <c r="AN534" s="458"/>
      <c r="BA534" s="1305"/>
      <c r="BC534" s="169"/>
    </row>
    <row r="535" spans="19:55" ht="15.75" customHeight="1">
      <c r="S535" s="454"/>
      <c r="AN535" s="458"/>
      <c r="BA535" s="1305"/>
      <c r="BC535" s="169"/>
    </row>
    <row r="536" spans="19:55" ht="15.75" customHeight="1">
      <c r="S536" s="454"/>
      <c r="AN536" s="458"/>
      <c r="BA536" s="1305"/>
      <c r="BC536" s="169"/>
    </row>
    <row r="537" spans="19:55" ht="15.75" customHeight="1">
      <c r="S537" s="454"/>
      <c r="AN537" s="458"/>
      <c r="BA537" s="1305"/>
      <c r="BC537" s="169"/>
    </row>
    <row r="538" spans="19:55" ht="15.75" customHeight="1">
      <c r="S538" s="454"/>
      <c r="AN538" s="458"/>
      <c r="BA538" s="1305"/>
      <c r="BC538" s="169"/>
    </row>
    <row r="539" spans="19:55" ht="15.75" customHeight="1">
      <c r="S539" s="454"/>
      <c r="AN539" s="458"/>
      <c r="BA539" s="1305"/>
      <c r="BC539" s="169"/>
    </row>
    <row r="540" spans="19:55" ht="15.75" customHeight="1">
      <c r="S540" s="454"/>
      <c r="AN540" s="458"/>
      <c r="BA540" s="1305"/>
      <c r="BC540" s="169"/>
    </row>
    <row r="541" spans="19:55" ht="15.75" customHeight="1">
      <c r="S541" s="454"/>
      <c r="AN541" s="458"/>
      <c r="BA541" s="1305"/>
      <c r="BC541" s="169"/>
    </row>
    <row r="542" spans="19:55" ht="15.75" customHeight="1">
      <c r="S542" s="454"/>
      <c r="AN542" s="458"/>
      <c r="BA542" s="1305"/>
      <c r="BC542" s="169"/>
    </row>
    <row r="543" spans="19:55" ht="15.75" customHeight="1">
      <c r="S543" s="454"/>
      <c r="AN543" s="458"/>
      <c r="BA543" s="1305"/>
      <c r="BC543" s="169"/>
    </row>
    <row r="544" spans="19:55" ht="15.75" customHeight="1">
      <c r="S544" s="454"/>
      <c r="AN544" s="458"/>
      <c r="BA544" s="1305"/>
      <c r="BC544" s="169"/>
    </row>
    <row r="545" spans="19:55" ht="15.75" customHeight="1">
      <c r="S545" s="454"/>
      <c r="AN545" s="458"/>
      <c r="BA545" s="1305"/>
      <c r="BC545" s="169"/>
    </row>
    <row r="546" spans="19:55" ht="15.75" customHeight="1">
      <c r="S546" s="454"/>
      <c r="AN546" s="458"/>
      <c r="BA546" s="1305"/>
      <c r="BC546" s="169"/>
    </row>
    <row r="547" spans="19:55" ht="15.75" customHeight="1">
      <c r="S547" s="454"/>
      <c r="AN547" s="458"/>
      <c r="BA547" s="1305"/>
      <c r="BC547" s="169"/>
    </row>
    <row r="548" spans="19:55" ht="15.75" customHeight="1">
      <c r="S548" s="454"/>
      <c r="AN548" s="458"/>
      <c r="BA548" s="1305"/>
      <c r="BC548" s="169"/>
    </row>
    <row r="549" spans="19:55" ht="15.75" customHeight="1">
      <c r="S549" s="454"/>
      <c r="AN549" s="458"/>
      <c r="BA549" s="1305"/>
      <c r="BC549" s="169"/>
    </row>
    <row r="550" spans="19:55" ht="15.75" customHeight="1">
      <c r="S550" s="454"/>
      <c r="AN550" s="458"/>
      <c r="BA550" s="1305"/>
      <c r="BC550" s="169"/>
    </row>
    <row r="551" spans="19:55" ht="15.75" customHeight="1">
      <c r="S551" s="454"/>
      <c r="AN551" s="458"/>
      <c r="BA551" s="1305"/>
      <c r="BC551" s="169"/>
    </row>
    <row r="552" spans="19:55" ht="15.75" customHeight="1">
      <c r="S552" s="454"/>
      <c r="AN552" s="458"/>
      <c r="BA552" s="1305"/>
      <c r="BC552" s="169"/>
    </row>
    <row r="553" spans="19:55" ht="15.75" customHeight="1">
      <c r="S553" s="454"/>
      <c r="AN553" s="458"/>
      <c r="BA553" s="1305"/>
      <c r="BC553" s="169"/>
    </row>
    <row r="554" spans="19:55" ht="15.75" customHeight="1">
      <c r="S554" s="454"/>
      <c r="AN554" s="458"/>
      <c r="BA554" s="1305"/>
      <c r="BC554" s="169"/>
    </row>
    <row r="555" spans="19:55" ht="15.75" customHeight="1">
      <c r="S555" s="454"/>
      <c r="AN555" s="458"/>
      <c r="BA555" s="1305"/>
      <c r="BC555" s="169"/>
    </row>
    <row r="556" spans="19:55" ht="15.75" customHeight="1">
      <c r="S556" s="454"/>
      <c r="AN556" s="458"/>
      <c r="BA556" s="1305"/>
      <c r="BC556" s="169"/>
    </row>
    <row r="557" spans="19:55" ht="15.75" customHeight="1">
      <c r="S557" s="454"/>
      <c r="AN557" s="458"/>
      <c r="BA557" s="1305"/>
      <c r="BC557" s="169"/>
    </row>
    <row r="558" spans="19:55" ht="15.75" customHeight="1">
      <c r="S558" s="454"/>
      <c r="AN558" s="458"/>
      <c r="BA558" s="1305"/>
      <c r="BC558" s="169"/>
    </row>
    <row r="559" spans="19:55" ht="15.75" customHeight="1">
      <c r="S559" s="454"/>
      <c r="AN559" s="458"/>
      <c r="BA559" s="1305"/>
      <c r="BC559" s="169"/>
    </row>
    <row r="560" spans="19:55" ht="15.75" customHeight="1">
      <c r="S560" s="454"/>
      <c r="AN560" s="458"/>
      <c r="BA560" s="1305"/>
      <c r="BC560" s="169"/>
    </row>
    <row r="561" spans="19:55" ht="15.75" customHeight="1">
      <c r="S561" s="454"/>
      <c r="AN561" s="458"/>
      <c r="BA561" s="1305"/>
      <c r="BC561" s="169"/>
    </row>
    <row r="562" spans="19:55" ht="15.75" customHeight="1">
      <c r="S562" s="454"/>
      <c r="AN562" s="458"/>
      <c r="BA562" s="1305"/>
      <c r="BC562" s="169"/>
    </row>
    <row r="563" spans="19:55" ht="15.75" customHeight="1">
      <c r="S563" s="454"/>
      <c r="AN563" s="458"/>
      <c r="BA563" s="1305"/>
      <c r="BC563" s="169"/>
    </row>
    <row r="564" spans="19:55" ht="15.75" customHeight="1">
      <c r="S564" s="454"/>
      <c r="AN564" s="458"/>
      <c r="BA564" s="1305"/>
      <c r="BC564" s="169"/>
    </row>
    <row r="565" spans="19:55" ht="15.75" customHeight="1">
      <c r="S565" s="454"/>
      <c r="AN565" s="458"/>
      <c r="BA565" s="1305"/>
      <c r="BC565" s="169"/>
    </row>
    <row r="566" spans="19:55" ht="15.75" customHeight="1">
      <c r="S566" s="454"/>
      <c r="AN566" s="458"/>
      <c r="BA566" s="1305"/>
      <c r="BC566" s="169"/>
    </row>
    <row r="567" spans="19:55" ht="15.75" customHeight="1">
      <c r="S567" s="454"/>
      <c r="AN567" s="458"/>
      <c r="BA567" s="1305"/>
      <c r="BC567" s="169"/>
    </row>
    <row r="568" spans="19:55" ht="15.75" customHeight="1">
      <c r="S568" s="454"/>
      <c r="AN568" s="458"/>
      <c r="BA568" s="1305"/>
      <c r="BC568" s="169"/>
    </row>
    <row r="569" spans="19:55" ht="15.75" customHeight="1">
      <c r="S569" s="454"/>
      <c r="AN569" s="458"/>
      <c r="BA569" s="1305"/>
      <c r="BC569" s="169"/>
    </row>
    <row r="570" spans="19:55" ht="15.75" customHeight="1">
      <c r="S570" s="454"/>
      <c r="AN570" s="458"/>
      <c r="BA570" s="1305"/>
      <c r="BC570" s="169"/>
    </row>
    <row r="571" spans="19:55" ht="15.75" customHeight="1">
      <c r="S571" s="454"/>
      <c r="AN571" s="458"/>
      <c r="BA571" s="1305"/>
      <c r="BC571" s="169"/>
    </row>
    <row r="572" spans="19:55" ht="15.75" customHeight="1">
      <c r="S572" s="454"/>
      <c r="AN572" s="458"/>
      <c r="BA572" s="1305"/>
      <c r="BC572" s="169"/>
    </row>
    <row r="573" spans="19:55" ht="15.75" customHeight="1">
      <c r="S573" s="454"/>
      <c r="AN573" s="458"/>
      <c r="BA573" s="1305"/>
      <c r="BC573" s="169"/>
    </row>
    <row r="574" spans="19:55" ht="15.75" customHeight="1">
      <c r="S574" s="454"/>
      <c r="AN574" s="458"/>
      <c r="BA574" s="1305"/>
      <c r="BC574" s="169"/>
    </row>
    <row r="575" spans="19:55" ht="15.75" customHeight="1">
      <c r="S575" s="454"/>
      <c r="AN575" s="458"/>
      <c r="BA575" s="1305"/>
      <c r="BC575" s="169"/>
    </row>
    <row r="576" spans="19:55" ht="15.75" customHeight="1">
      <c r="S576" s="454"/>
      <c r="AN576" s="458"/>
      <c r="BA576" s="1305"/>
      <c r="BC576" s="169"/>
    </row>
    <row r="577" spans="19:55" ht="15.75" customHeight="1">
      <c r="S577" s="454"/>
      <c r="AN577" s="458"/>
      <c r="BA577" s="1305"/>
      <c r="BC577" s="169"/>
    </row>
    <row r="578" spans="19:55" ht="15.75" customHeight="1">
      <c r="S578" s="454"/>
      <c r="AN578" s="458"/>
      <c r="BA578" s="1305"/>
      <c r="BC578" s="169"/>
    </row>
    <row r="579" spans="19:55" ht="15.75" customHeight="1">
      <c r="S579" s="454"/>
      <c r="AN579" s="458"/>
      <c r="BA579" s="1305"/>
      <c r="BC579" s="169"/>
    </row>
    <row r="580" spans="19:55" ht="15.75" customHeight="1">
      <c r="S580" s="454"/>
      <c r="AN580" s="458"/>
      <c r="BA580" s="1305"/>
      <c r="BC580" s="169"/>
    </row>
    <row r="581" spans="19:55" ht="15.75" customHeight="1">
      <c r="S581" s="454"/>
      <c r="AN581" s="458"/>
      <c r="BA581" s="1305"/>
      <c r="BC581" s="169"/>
    </row>
    <row r="582" spans="19:55" ht="15.75" customHeight="1">
      <c r="S582" s="454"/>
      <c r="AN582" s="458"/>
      <c r="BA582" s="1305"/>
      <c r="BC582" s="169"/>
    </row>
    <row r="583" spans="19:55" ht="15.75" customHeight="1">
      <c r="S583" s="454"/>
      <c r="AN583" s="458"/>
      <c r="BA583" s="1305"/>
      <c r="BC583" s="169"/>
    </row>
    <row r="584" spans="19:55" ht="15.75" customHeight="1">
      <c r="S584" s="454"/>
      <c r="AN584" s="458"/>
      <c r="BA584" s="1305"/>
      <c r="BC584" s="169"/>
    </row>
    <row r="585" spans="19:55" ht="15.75" customHeight="1">
      <c r="S585" s="454"/>
      <c r="AN585" s="458"/>
      <c r="BA585" s="1305"/>
      <c r="BC585" s="169"/>
    </row>
    <row r="586" spans="19:55" ht="15.75" customHeight="1">
      <c r="S586" s="454"/>
      <c r="AN586" s="458"/>
      <c r="BA586" s="1305"/>
      <c r="BC586" s="169"/>
    </row>
    <row r="587" spans="19:55" ht="15.75" customHeight="1">
      <c r="S587" s="454"/>
      <c r="AN587" s="458"/>
      <c r="BA587" s="1305"/>
      <c r="BC587" s="169"/>
    </row>
    <row r="588" spans="19:55" ht="15.75" customHeight="1">
      <c r="S588" s="454"/>
      <c r="AN588" s="458"/>
      <c r="BA588" s="1305"/>
      <c r="BC588" s="169"/>
    </row>
    <row r="589" spans="19:55" ht="15.75" customHeight="1">
      <c r="S589" s="454"/>
      <c r="AN589" s="458"/>
      <c r="BA589" s="1305"/>
      <c r="BC589" s="169"/>
    </row>
    <row r="590" spans="19:55" ht="15.75" customHeight="1">
      <c r="S590" s="454"/>
      <c r="AN590" s="458"/>
      <c r="BA590" s="1305"/>
      <c r="BC590" s="169"/>
    </row>
    <row r="591" spans="19:55" ht="15.75" customHeight="1">
      <c r="S591" s="454"/>
      <c r="AN591" s="458"/>
      <c r="BA591" s="1305"/>
      <c r="BC591" s="169"/>
    </row>
    <row r="592" spans="19:55" ht="15.75" customHeight="1">
      <c r="S592" s="454"/>
      <c r="AN592" s="458"/>
      <c r="BA592" s="1305"/>
      <c r="BC592" s="169"/>
    </row>
    <row r="593" spans="19:55" ht="15.75" customHeight="1">
      <c r="S593" s="454"/>
      <c r="AN593" s="458"/>
      <c r="BA593" s="1305"/>
      <c r="BC593" s="169"/>
    </row>
    <row r="594" spans="19:55" ht="15.75" customHeight="1">
      <c r="S594" s="454"/>
      <c r="AN594" s="458"/>
      <c r="BA594" s="1305"/>
      <c r="BC594" s="169"/>
    </row>
    <row r="595" spans="19:55" ht="15.75" customHeight="1">
      <c r="S595" s="454"/>
      <c r="AN595" s="458"/>
      <c r="BA595" s="1305"/>
      <c r="BC595" s="169"/>
    </row>
    <row r="596" spans="19:55" ht="15.75" customHeight="1">
      <c r="S596" s="454"/>
      <c r="AN596" s="458"/>
      <c r="BA596" s="1305"/>
      <c r="BC596" s="169"/>
    </row>
    <row r="597" spans="19:55" ht="15.75" customHeight="1">
      <c r="S597" s="454"/>
      <c r="AN597" s="458"/>
      <c r="BA597" s="1305"/>
      <c r="BC597" s="169"/>
    </row>
    <row r="598" spans="19:55" ht="15.75" customHeight="1">
      <c r="S598" s="454"/>
      <c r="AN598" s="458"/>
      <c r="BA598" s="1305"/>
      <c r="BC598" s="169"/>
    </row>
    <row r="599" spans="19:55" ht="15.75" customHeight="1">
      <c r="S599" s="454"/>
      <c r="AN599" s="458"/>
      <c r="BA599" s="1305"/>
      <c r="BC599" s="169"/>
    </row>
    <row r="600" spans="19:55" ht="15.75" customHeight="1">
      <c r="S600" s="454"/>
      <c r="AN600" s="458"/>
      <c r="BA600" s="1305"/>
      <c r="BC600" s="169"/>
    </row>
    <row r="601" spans="19:55" ht="15.75" customHeight="1">
      <c r="S601" s="454"/>
      <c r="AN601" s="458"/>
      <c r="BA601" s="1305"/>
      <c r="BC601" s="169"/>
    </row>
    <row r="602" spans="19:55" ht="15.75" customHeight="1">
      <c r="S602" s="454"/>
      <c r="AN602" s="458"/>
      <c r="BA602" s="1305"/>
      <c r="BC602" s="169"/>
    </row>
    <row r="603" spans="19:55" ht="15.75" customHeight="1">
      <c r="S603" s="454"/>
      <c r="AN603" s="458"/>
      <c r="BA603" s="1305"/>
      <c r="BC603" s="169"/>
    </row>
    <row r="604" spans="19:55" ht="15.75" customHeight="1">
      <c r="S604" s="454"/>
      <c r="AN604" s="458"/>
      <c r="BA604" s="1305"/>
      <c r="BC604" s="169"/>
    </row>
    <row r="605" spans="19:55" ht="15.75" customHeight="1">
      <c r="S605" s="454"/>
      <c r="AN605" s="458"/>
      <c r="BA605" s="1305"/>
      <c r="BC605" s="169"/>
    </row>
    <row r="606" spans="19:55" ht="15.75" customHeight="1">
      <c r="S606" s="454"/>
      <c r="AN606" s="458"/>
      <c r="BA606" s="1305"/>
      <c r="BC606" s="169"/>
    </row>
    <row r="607" spans="19:55" ht="15.75" customHeight="1">
      <c r="S607" s="454"/>
      <c r="AN607" s="458"/>
      <c r="BA607" s="1305"/>
      <c r="BC607" s="169"/>
    </row>
    <row r="608" spans="19:55" ht="15.75" customHeight="1">
      <c r="S608" s="454"/>
      <c r="AN608" s="458"/>
      <c r="BA608" s="1305"/>
      <c r="BC608" s="169"/>
    </row>
    <row r="609" spans="19:55" ht="15.75" customHeight="1">
      <c r="S609" s="454"/>
      <c r="AN609" s="458"/>
      <c r="BA609" s="1305"/>
      <c r="BC609" s="169"/>
    </row>
    <row r="610" spans="19:55" ht="15.75" customHeight="1">
      <c r="S610" s="454"/>
      <c r="AN610" s="458"/>
      <c r="BA610" s="1305"/>
      <c r="BC610" s="169"/>
    </row>
    <row r="611" spans="19:55" ht="15.75" customHeight="1">
      <c r="S611" s="454"/>
      <c r="AN611" s="458"/>
      <c r="BA611" s="1305"/>
      <c r="BC611" s="169"/>
    </row>
    <row r="612" spans="19:55" ht="15.75" customHeight="1">
      <c r="S612" s="454"/>
      <c r="AN612" s="458"/>
      <c r="BA612" s="1305"/>
      <c r="BC612" s="169"/>
    </row>
    <row r="613" spans="19:55" ht="15.75" customHeight="1">
      <c r="S613" s="454"/>
      <c r="AN613" s="458"/>
      <c r="BA613" s="1305"/>
      <c r="BC613" s="169"/>
    </row>
    <row r="614" spans="19:55" ht="15.75" customHeight="1">
      <c r="S614" s="454"/>
      <c r="AN614" s="458"/>
      <c r="BA614" s="1305"/>
      <c r="BC614" s="169"/>
    </row>
    <row r="615" spans="19:55" ht="15.75" customHeight="1">
      <c r="S615" s="454"/>
      <c r="AN615" s="458"/>
      <c r="BA615" s="1305"/>
      <c r="BC615" s="169"/>
    </row>
    <row r="616" spans="19:55" ht="15.75" customHeight="1">
      <c r="S616" s="454"/>
      <c r="AN616" s="458"/>
      <c r="BA616" s="1305"/>
      <c r="BC616" s="169"/>
    </row>
    <row r="617" spans="19:55" ht="15.75" customHeight="1">
      <c r="S617" s="454"/>
      <c r="AN617" s="458"/>
      <c r="BA617" s="1305"/>
      <c r="BC617" s="169"/>
    </row>
    <row r="618" spans="19:55" ht="15.75" customHeight="1">
      <c r="S618" s="454"/>
      <c r="AN618" s="458"/>
      <c r="BA618" s="1305"/>
      <c r="BC618" s="169"/>
    </row>
    <row r="619" spans="19:55" ht="15.75" customHeight="1">
      <c r="S619" s="454"/>
      <c r="AN619" s="458"/>
      <c r="BA619" s="1305"/>
      <c r="BC619" s="169"/>
    </row>
    <row r="620" spans="19:55" ht="15.75" customHeight="1">
      <c r="S620" s="454"/>
      <c r="AN620" s="458"/>
      <c r="BA620" s="1305"/>
      <c r="BC620" s="169"/>
    </row>
    <row r="621" spans="19:55" ht="15.75" customHeight="1">
      <c r="S621" s="454"/>
      <c r="AN621" s="458"/>
      <c r="BA621" s="1305"/>
      <c r="BC621" s="169"/>
    </row>
    <row r="622" spans="19:55" ht="15.75" customHeight="1">
      <c r="S622" s="454"/>
      <c r="AN622" s="458"/>
      <c r="BA622" s="1305"/>
      <c r="BC622" s="169"/>
    </row>
    <row r="623" spans="19:55" ht="15.75" customHeight="1">
      <c r="S623" s="454"/>
      <c r="AN623" s="458"/>
      <c r="BA623" s="1305"/>
      <c r="BC623" s="169"/>
    </row>
    <row r="624" spans="19:55" ht="15.75" customHeight="1">
      <c r="S624" s="454"/>
      <c r="AN624" s="458"/>
      <c r="BA624" s="1305"/>
      <c r="BC624" s="169"/>
    </row>
    <row r="625" spans="19:55" ht="15.75" customHeight="1">
      <c r="S625" s="454"/>
      <c r="AN625" s="458"/>
      <c r="BA625" s="1305"/>
      <c r="BC625" s="169"/>
    </row>
    <row r="626" spans="19:55" ht="15.75" customHeight="1">
      <c r="S626" s="454"/>
      <c r="AN626" s="458"/>
      <c r="BA626" s="1305"/>
      <c r="BC626" s="169"/>
    </row>
    <row r="627" spans="19:55" ht="15.75" customHeight="1">
      <c r="S627" s="454"/>
      <c r="AN627" s="458"/>
      <c r="BA627" s="1305"/>
      <c r="BC627" s="169"/>
    </row>
    <row r="628" spans="19:55" ht="15.75" customHeight="1">
      <c r="S628" s="454"/>
      <c r="AN628" s="458"/>
      <c r="BA628" s="1305"/>
      <c r="BC628" s="169"/>
    </row>
    <row r="629" spans="19:55" ht="15.75" customHeight="1">
      <c r="S629" s="454"/>
      <c r="AN629" s="458"/>
      <c r="BA629" s="1305"/>
      <c r="BC629" s="169"/>
    </row>
    <row r="630" spans="19:55" ht="15.75" customHeight="1">
      <c r="S630" s="454"/>
      <c r="AN630" s="458"/>
      <c r="BA630" s="1305"/>
      <c r="BC630" s="169"/>
    </row>
    <row r="631" spans="19:55" ht="15.75" customHeight="1">
      <c r="S631" s="454"/>
      <c r="AN631" s="458"/>
      <c r="BA631" s="1305"/>
      <c r="BC631" s="169"/>
    </row>
    <row r="632" spans="19:55" ht="15.75" customHeight="1">
      <c r="S632" s="454"/>
      <c r="AN632" s="458"/>
      <c r="BA632" s="1305"/>
      <c r="BC632" s="169"/>
    </row>
    <row r="633" spans="19:55" ht="15.75" customHeight="1">
      <c r="S633" s="454"/>
      <c r="AN633" s="458"/>
      <c r="BA633" s="1305"/>
      <c r="BC633" s="169"/>
    </row>
    <row r="634" spans="19:55" ht="15.75" customHeight="1">
      <c r="S634" s="454"/>
      <c r="AN634" s="458"/>
      <c r="BA634" s="1305"/>
      <c r="BC634" s="169"/>
    </row>
    <row r="635" spans="19:55" ht="15.75" customHeight="1">
      <c r="S635" s="454"/>
      <c r="AN635" s="458"/>
      <c r="BA635" s="1305"/>
      <c r="BC635" s="169"/>
    </row>
    <row r="636" spans="19:55" ht="15.75" customHeight="1">
      <c r="S636" s="454"/>
      <c r="AN636" s="458"/>
      <c r="BA636" s="1305"/>
      <c r="BC636" s="169"/>
    </row>
    <row r="637" spans="19:55" ht="15.75" customHeight="1">
      <c r="S637" s="454"/>
      <c r="AN637" s="458"/>
      <c r="BA637" s="1305"/>
      <c r="BC637" s="169"/>
    </row>
    <row r="638" spans="19:55" ht="15.75" customHeight="1">
      <c r="S638" s="454"/>
      <c r="AN638" s="458"/>
      <c r="BA638" s="1305"/>
      <c r="BC638" s="169"/>
    </row>
    <row r="639" spans="19:55" ht="15.75" customHeight="1">
      <c r="S639" s="454"/>
      <c r="AN639" s="458"/>
      <c r="BA639" s="1305"/>
      <c r="BC639" s="169"/>
    </row>
    <row r="640" spans="19:55" ht="15.75" customHeight="1">
      <c r="S640" s="454"/>
      <c r="AN640" s="458"/>
      <c r="BA640" s="1305"/>
      <c r="BC640" s="169"/>
    </row>
    <row r="641" spans="19:55" ht="15.75" customHeight="1">
      <c r="S641" s="454"/>
      <c r="AN641" s="458"/>
      <c r="BA641" s="1305"/>
      <c r="BC641" s="169"/>
    </row>
    <row r="642" spans="19:55" ht="15.75" customHeight="1">
      <c r="S642" s="454"/>
      <c r="AN642" s="458"/>
      <c r="BA642" s="1305"/>
      <c r="BC642" s="169"/>
    </row>
    <row r="643" spans="19:55" ht="15.75" customHeight="1">
      <c r="S643" s="454"/>
      <c r="AN643" s="458"/>
      <c r="BA643" s="1305"/>
      <c r="BC643" s="169"/>
    </row>
    <row r="644" spans="19:55" ht="15.75" customHeight="1">
      <c r="S644" s="454"/>
      <c r="AN644" s="458"/>
      <c r="BA644" s="1305"/>
      <c r="BC644" s="169"/>
    </row>
    <row r="645" spans="19:55" ht="15.75" customHeight="1">
      <c r="S645" s="454"/>
      <c r="AN645" s="458"/>
      <c r="BA645" s="1305"/>
      <c r="BC645" s="169"/>
    </row>
    <row r="646" spans="19:55" ht="15.75" customHeight="1">
      <c r="S646" s="454"/>
      <c r="AN646" s="458"/>
      <c r="BA646" s="1305"/>
      <c r="BC646" s="169"/>
    </row>
    <row r="647" spans="19:55" ht="15.75" customHeight="1">
      <c r="S647" s="454"/>
      <c r="AN647" s="458"/>
      <c r="BA647" s="1305"/>
      <c r="BC647" s="169"/>
    </row>
    <row r="648" spans="19:55" ht="15.75" customHeight="1">
      <c r="S648" s="454"/>
      <c r="AN648" s="458"/>
      <c r="BA648" s="1305"/>
      <c r="BC648" s="169"/>
    </row>
    <row r="649" spans="19:55" ht="15.75" customHeight="1">
      <c r="S649" s="454"/>
      <c r="AN649" s="458"/>
      <c r="BA649" s="1305"/>
      <c r="BC649" s="169"/>
    </row>
    <row r="650" spans="19:55" ht="15.75" customHeight="1">
      <c r="S650" s="454"/>
      <c r="AN650" s="458"/>
      <c r="BA650" s="1305"/>
      <c r="BC650" s="169"/>
    </row>
    <row r="651" spans="19:55" ht="15.75" customHeight="1">
      <c r="S651" s="454"/>
      <c r="AN651" s="458"/>
      <c r="BA651" s="1305"/>
      <c r="BC651" s="169"/>
    </row>
    <row r="652" spans="19:55" ht="15.75" customHeight="1">
      <c r="S652" s="454"/>
      <c r="AN652" s="458"/>
      <c r="BA652" s="1305"/>
      <c r="BC652" s="169"/>
    </row>
    <row r="653" spans="19:55" ht="15.75" customHeight="1">
      <c r="S653" s="454"/>
      <c r="AN653" s="458"/>
      <c r="BA653" s="1305"/>
      <c r="BC653" s="169"/>
    </row>
    <row r="654" spans="19:55" ht="15.75" customHeight="1">
      <c r="S654" s="454"/>
      <c r="AN654" s="458"/>
      <c r="BA654" s="1305"/>
      <c r="BC654" s="169"/>
    </row>
    <row r="655" spans="19:55" ht="15.75" customHeight="1">
      <c r="S655" s="454"/>
      <c r="AN655" s="458"/>
      <c r="BA655" s="1305"/>
      <c r="BC655" s="169"/>
    </row>
    <row r="656" spans="19:55" ht="15.75" customHeight="1">
      <c r="S656" s="454"/>
      <c r="AN656" s="458"/>
      <c r="BA656" s="1305"/>
      <c r="BC656" s="169"/>
    </row>
    <row r="657" spans="19:55" ht="15.75" customHeight="1">
      <c r="S657" s="454"/>
      <c r="AN657" s="458"/>
      <c r="BA657" s="1305"/>
      <c r="BC657" s="169"/>
    </row>
    <row r="658" spans="19:55" ht="15.75" customHeight="1">
      <c r="S658" s="454"/>
      <c r="AN658" s="458"/>
      <c r="BA658" s="1305"/>
      <c r="BC658" s="169"/>
    </row>
    <row r="659" spans="19:55" ht="15.75" customHeight="1">
      <c r="S659" s="454"/>
      <c r="AN659" s="458"/>
      <c r="BA659" s="1305"/>
      <c r="BC659" s="169"/>
    </row>
    <row r="660" spans="19:55" ht="15.75" customHeight="1">
      <c r="S660" s="454"/>
      <c r="AN660" s="458"/>
      <c r="BA660" s="1305"/>
      <c r="BC660" s="169"/>
    </row>
    <row r="661" spans="19:55" ht="15.75" customHeight="1">
      <c r="S661" s="454"/>
      <c r="AN661" s="458"/>
      <c r="BA661" s="1305"/>
      <c r="BC661" s="169"/>
    </row>
    <row r="662" spans="19:55" ht="15.75" customHeight="1">
      <c r="S662" s="454"/>
      <c r="AN662" s="458"/>
      <c r="BA662" s="1305"/>
      <c r="BC662" s="169"/>
    </row>
    <row r="663" spans="19:55" ht="15.75" customHeight="1">
      <c r="S663" s="454"/>
      <c r="AN663" s="458"/>
      <c r="BA663" s="1305"/>
      <c r="BC663" s="169"/>
    </row>
    <row r="664" spans="19:55" ht="15.75" customHeight="1">
      <c r="S664" s="454"/>
      <c r="AN664" s="458"/>
      <c r="BA664" s="1305"/>
      <c r="BC664" s="169"/>
    </row>
    <row r="665" spans="19:55" ht="15.75" customHeight="1">
      <c r="S665" s="454"/>
      <c r="AN665" s="458"/>
      <c r="BA665" s="1305"/>
      <c r="BC665" s="169"/>
    </row>
    <row r="666" spans="19:55" ht="15.75" customHeight="1">
      <c r="S666" s="454"/>
      <c r="AN666" s="458"/>
      <c r="BA666" s="1305"/>
      <c r="BC666" s="169"/>
    </row>
    <row r="667" spans="19:55" ht="15.75" customHeight="1">
      <c r="S667" s="454"/>
      <c r="AN667" s="458"/>
      <c r="BA667" s="1305"/>
      <c r="BC667" s="169"/>
    </row>
    <row r="668" spans="19:55" ht="15.75" customHeight="1">
      <c r="S668" s="454"/>
      <c r="AN668" s="458"/>
      <c r="BA668" s="1305"/>
      <c r="BC668" s="169"/>
    </row>
    <row r="669" spans="19:55" ht="15.75" customHeight="1">
      <c r="S669" s="454"/>
      <c r="AN669" s="458"/>
      <c r="BA669" s="1305"/>
      <c r="BC669" s="169"/>
    </row>
    <row r="670" spans="19:55" ht="15.75" customHeight="1">
      <c r="S670" s="454"/>
      <c r="AN670" s="458"/>
      <c r="BA670" s="1305"/>
      <c r="BC670" s="169"/>
    </row>
    <row r="671" spans="19:55" ht="15.75" customHeight="1">
      <c r="S671" s="454"/>
      <c r="AN671" s="458"/>
      <c r="BA671" s="1305"/>
      <c r="BC671" s="169"/>
    </row>
    <row r="672" spans="19:55" ht="15.75" customHeight="1">
      <c r="S672" s="454"/>
      <c r="AN672" s="458"/>
      <c r="BA672" s="1305"/>
      <c r="BC672" s="169"/>
    </row>
    <row r="673" spans="19:55" ht="15.75" customHeight="1">
      <c r="S673" s="454"/>
      <c r="AN673" s="458"/>
      <c r="BA673" s="1305"/>
      <c r="BC673" s="169"/>
    </row>
    <row r="674" spans="19:55" ht="15.75" customHeight="1">
      <c r="S674" s="454"/>
      <c r="AN674" s="458"/>
      <c r="BA674" s="1305"/>
      <c r="BC674" s="169"/>
    </row>
    <row r="675" spans="19:55" ht="15.75" customHeight="1">
      <c r="S675" s="454"/>
      <c r="AN675" s="458"/>
      <c r="BA675" s="1305"/>
      <c r="BC675" s="169"/>
    </row>
    <row r="676" spans="19:55" ht="15.75" customHeight="1">
      <c r="S676" s="454"/>
      <c r="AN676" s="458"/>
      <c r="BA676" s="1305"/>
      <c r="BC676" s="169"/>
    </row>
    <row r="677" spans="19:55" ht="15.75" customHeight="1">
      <c r="S677" s="454"/>
      <c r="AN677" s="458"/>
      <c r="BA677" s="1305"/>
      <c r="BC677" s="169"/>
    </row>
    <row r="678" spans="19:55" ht="15.75" customHeight="1">
      <c r="S678" s="454"/>
      <c r="AN678" s="458"/>
      <c r="BA678" s="1305"/>
      <c r="BC678" s="169"/>
    </row>
    <row r="679" spans="19:55" ht="15.75" customHeight="1">
      <c r="S679" s="454"/>
      <c r="AN679" s="458"/>
      <c r="BA679" s="1305"/>
      <c r="BC679" s="169"/>
    </row>
    <row r="680" spans="19:55" ht="15.75" customHeight="1">
      <c r="S680" s="454"/>
      <c r="AN680" s="458"/>
      <c r="BA680" s="1305"/>
      <c r="BC680" s="169"/>
    </row>
    <row r="681" spans="19:55" ht="15.75" customHeight="1">
      <c r="S681" s="454"/>
      <c r="AN681" s="458"/>
      <c r="BA681" s="1305"/>
      <c r="BC681" s="169"/>
    </row>
    <row r="682" spans="19:55" ht="15.75" customHeight="1">
      <c r="S682" s="454"/>
      <c r="AN682" s="458"/>
      <c r="BA682" s="1305"/>
      <c r="BC682" s="169"/>
    </row>
    <row r="683" spans="19:55" ht="15.75" customHeight="1">
      <c r="S683" s="454"/>
      <c r="AN683" s="458"/>
      <c r="BA683" s="1305"/>
      <c r="BC683" s="169"/>
    </row>
    <row r="684" spans="19:55" ht="15.75" customHeight="1">
      <c r="S684" s="454"/>
      <c r="AN684" s="458"/>
      <c r="BA684" s="1305"/>
      <c r="BC684" s="169"/>
    </row>
    <row r="685" spans="19:55" ht="15.75" customHeight="1">
      <c r="S685" s="454"/>
      <c r="AN685" s="458"/>
      <c r="BA685" s="1305"/>
      <c r="BC685" s="169"/>
    </row>
    <row r="686" spans="19:55" ht="15.75" customHeight="1">
      <c r="S686" s="454"/>
      <c r="AN686" s="458"/>
      <c r="BA686" s="1305"/>
      <c r="BC686" s="169"/>
    </row>
    <row r="687" spans="19:55" ht="15.75" customHeight="1">
      <c r="S687" s="454"/>
      <c r="AN687" s="458"/>
      <c r="BA687" s="1305"/>
      <c r="BC687" s="169"/>
    </row>
    <row r="688" spans="19:55" ht="15.75" customHeight="1">
      <c r="S688" s="454"/>
      <c r="AN688" s="458"/>
      <c r="BA688" s="1305"/>
      <c r="BC688" s="169"/>
    </row>
    <row r="689" spans="19:55" ht="15.75" customHeight="1">
      <c r="S689" s="454"/>
      <c r="AN689" s="458"/>
      <c r="BA689" s="1305"/>
      <c r="BC689" s="169"/>
    </row>
    <row r="690" spans="19:55" ht="15.75" customHeight="1">
      <c r="S690" s="454"/>
      <c r="AN690" s="458"/>
      <c r="BA690" s="1305"/>
      <c r="BC690" s="169"/>
    </row>
    <row r="691" spans="19:55" ht="15.75" customHeight="1">
      <c r="S691" s="454"/>
      <c r="AN691" s="458"/>
      <c r="BA691" s="1305"/>
      <c r="BC691" s="169"/>
    </row>
    <row r="692" spans="19:55" ht="15.75" customHeight="1">
      <c r="S692" s="454"/>
      <c r="AN692" s="458"/>
      <c r="BA692" s="1305"/>
      <c r="BC692" s="169"/>
    </row>
    <row r="693" spans="19:55" ht="15.75" customHeight="1">
      <c r="S693" s="454"/>
      <c r="AN693" s="458"/>
      <c r="BA693" s="1305"/>
      <c r="BC693" s="169"/>
    </row>
    <row r="694" spans="19:55" ht="15.75" customHeight="1">
      <c r="S694" s="454"/>
      <c r="AN694" s="458"/>
      <c r="BA694" s="1305"/>
      <c r="BC694" s="169"/>
    </row>
    <row r="695" spans="19:55" ht="15.75" customHeight="1">
      <c r="S695" s="454"/>
      <c r="AN695" s="458"/>
      <c r="BA695" s="1305"/>
      <c r="BC695" s="169"/>
    </row>
    <row r="696" spans="19:55" ht="15.75" customHeight="1">
      <c r="S696" s="454"/>
      <c r="AN696" s="458"/>
      <c r="BA696" s="1305"/>
      <c r="BC696" s="169"/>
    </row>
    <row r="697" spans="19:55" ht="15.75" customHeight="1">
      <c r="S697" s="454"/>
      <c r="AN697" s="458"/>
      <c r="BA697" s="1305"/>
      <c r="BC697" s="169"/>
    </row>
    <row r="698" spans="19:55" ht="15.75" customHeight="1">
      <c r="S698" s="454"/>
      <c r="AN698" s="458"/>
      <c r="BA698" s="1305"/>
      <c r="BC698" s="169"/>
    </row>
    <row r="699" spans="19:55" ht="15.75" customHeight="1">
      <c r="S699" s="454"/>
      <c r="AN699" s="458"/>
      <c r="BA699" s="1305"/>
      <c r="BC699" s="169"/>
    </row>
    <row r="700" spans="19:55" ht="15.75" customHeight="1">
      <c r="S700" s="454"/>
      <c r="AN700" s="458"/>
      <c r="BA700" s="1305"/>
      <c r="BC700" s="169"/>
    </row>
    <row r="701" spans="19:55" ht="15.75" customHeight="1">
      <c r="S701" s="454"/>
      <c r="AN701" s="458"/>
      <c r="BA701" s="1305"/>
      <c r="BC701" s="169"/>
    </row>
    <row r="702" spans="19:55" ht="15.75" customHeight="1">
      <c r="S702" s="454"/>
      <c r="AN702" s="458"/>
      <c r="BA702" s="1305"/>
      <c r="BC702" s="169"/>
    </row>
    <row r="703" spans="19:55" ht="15.75" customHeight="1">
      <c r="S703" s="454"/>
      <c r="AN703" s="458"/>
      <c r="BA703" s="1305"/>
      <c r="BC703" s="169"/>
    </row>
    <row r="704" spans="19:55" ht="15.75" customHeight="1">
      <c r="S704" s="454"/>
      <c r="AN704" s="458"/>
      <c r="BA704" s="1305"/>
      <c r="BC704" s="169"/>
    </row>
    <row r="705" spans="19:55" ht="15.75" customHeight="1">
      <c r="S705" s="454"/>
      <c r="AN705" s="458"/>
      <c r="BA705" s="1305"/>
      <c r="BC705" s="169"/>
    </row>
    <row r="706" spans="19:55" ht="15.75" customHeight="1">
      <c r="S706" s="454"/>
      <c r="AN706" s="458"/>
      <c r="BA706" s="1305"/>
      <c r="BC706" s="169"/>
    </row>
    <row r="707" spans="19:55" ht="15.75" customHeight="1">
      <c r="S707" s="454"/>
      <c r="AN707" s="458"/>
      <c r="BA707" s="1305"/>
      <c r="BC707" s="169"/>
    </row>
    <row r="708" spans="19:55" ht="15.75" customHeight="1">
      <c r="S708" s="454"/>
      <c r="AN708" s="458"/>
      <c r="BA708" s="1305"/>
      <c r="BC708" s="169"/>
    </row>
    <row r="709" spans="19:55" ht="15.75" customHeight="1">
      <c r="S709" s="454"/>
      <c r="AN709" s="458"/>
      <c r="BA709" s="1305"/>
      <c r="BC709" s="169"/>
    </row>
    <row r="710" spans="19:55" ht="15.75" customHeight="1">
      <c r="S710" s="454"/>
      <c r="AN710" s="458"/>
      <c r="BA710" s="1305"/>
      <c r="BC710" s="169"/>
    </row>
    <row r="711" spans="19:55" ht="15.75" customHeight="1">
      <c r="S711" s="454"/>
      <c r="AN711" s="458"/>
      <c r="BA711" s="1305"/>
      <c r="BC711" s="169"/>
    </row>
    <row r="712" spans="19:55" ht="15.75" customHeight="1">
      <c r="S712" s="454"/>
      <c r="AN712" s="458"/>
      <c r="BA712" s="1305"/>
      <c r="BC712" s="169"/>
    </row>
    <row r="713" spans="19:55" ht="15.75" customHeight="1">
      <c r="S713" s="454"/>
      <c r="AN713" s="458"/>
      <c r="BA713" s="1305"/>
      <c r="BC713" s="169"/>
    </row>
    <row r="714" spans="19:55" ht="15.75" customHeight="1">
      <c r="S714" s="454"/>
      <c r="AN714" s="458"/>
      <c r="BA714" s="1305"/>
      <c r="BC714" s="169"/>
    </row>
    <row r="715" spans="19:55" ht="15.75" customHeight="1">
      <c r="S715" s="454"/>
      <c r="AN715" s="458"/>
      <c r="BA715" s="1305"/>
      <c r="BC715" s="169"/>
    </row>
    <row r="716" spans="19:55" ht="15.75" customHeight="1">
      <c r="S716" s="454"/>
      <c r="AN716" s="458"/>
      <c r="BA716" s="1305"/>
      <c r="BC716" s="169"/>
    </row>
    <row r="717" spans="19:55" ht="15.75" customHeight="1">
      <c r="S717" s="454"/>
      <c r="AN717" s="458"/>
      <c r="BA717" s="1305"/>
      <c r="BC717" s="169"/>
    </row>
    <row r="718" spans="19:55" ht="15.75" customHeight="1">
      <c r="S718" s="454"/>
      <c r="AN718" s="458"/>
      <c r="BA718" s="1305"/>
      <c r="BC718" s="169"/>
    </row>
    <row r="719" spans="19:55" ht="15.75" customHeight="1">
      <c r="S719" s="454"/>
      <c r="AN719" s="458"/>
      <c r="BA719" s="1305"/>
      <c r="BC719" s="169"/>
    </row>
    <row r="720" spans="19:55" ht="15.75" customHeight="1">
      <c r="S720" s="454"/>
      <c r="AN720" s="458"/>
      <c r="BA720" s="1305"/>
      <c r="BC720" s="169"/>
    </row>
    <row r="721" spans="19:55" ht="15.75" customHeight="1">
      <c r="S721" s="454"/>
      <c r="AN721" s="458"/>
      <c r="BA721" s="1305"/>
      <c r="BC721" s="169"/>
    </row>
    <row r="722" spans="19:55" ht="15.75" customHeight="1">
      <c r="S722" s="454"/>
      <c r="AN722" s="458"/>
      <c r="BA722" s="1305"/>
      <c r="BC722" s="169"/>
    </row>
    <row r="723" spans="19:55" ht="15.75" customHeight="1">
      <c r="S723" s="454"/>
      <c r="AN723" s="458"/>
      <c r="BA723" s="1305"/>
      <c r="BC723" s="169"/>
    </row>
    <row r="724" spans="19:55" ht="15.75" customHeight="1">
      <c r="S724" s="454"/>
      <c r="AN724" s="458"/>
      <c r="BA724" s="1305"/>
      <c r="BC724" s="169"/>
    </row>
    <row r="725" spans="19:55" ht="15.75" customHeight="1">
      <c r="S725" s="454"/>
      <c r="AN725" s="458"/>
      <c r="BA725" s="1305"/>
      <c r="BC725" s="169"/>
    </row>
    <row r="726" spans="19:55" ht="15.75" customHeight="1">
      <c r="S726" s="454"/>
      <c r="AN726" s="458"/>
      <c r="BA726" s="1305"/>
      <c r="BC726" s="169"/>
    </row>
    <row r="727" spans="19:55" ht="15.75" customHeight="1">
      <c r="S727" s="454"/>
      <c r="AN727" s="458"/>
      <c r="BA727" s="1305"/>
      <c r="BC727" s="169"/>
    </row>
    <row r="728" spans="19:55" ht="15.75" customHeight="1">
      <c r="S728" s="454"/>
      <c r="AN728" s="458"/>
      <c r="BA728" s="1305"/>
      <c r="BC728" s="169"/>
    </row>
    <row r="729" spans="19:55" ht="15.75" customHeight="1">
      <c r="S729" s="454"/>
      <c r="AN729" s="458"/>
      <c r="BA729" s="1305"/>
      <c r="BC729" s="169"/>
    </row>
    <row r="730" spans="19:55" ht="15.75" customHeight="1">
      <c r="S730" s="454"/>
      <c r="AN730" s="458"/>
      <c r="BA730" s="1305"/>
      <c r="BC730" s="169"/>
    </row>
    <row r="731" spans="19:55" ht="15.75" customHeight="1">
      <c r="S731" s="454"/>
      <c r="AN731" s="458"/>
      <c r="BA731" s="1305"/>
      <c r="BC731" s="169"/>
    </row>
    <row r="732" spans="19:55" ht="15.75" customHeight="1">
      <c r="S732" s="454"/>
      <c r="AN732" s="458"/>
      <c r="BA732" s="1305"/>
      <c r="BC732" s="169"/>
    </row>
    <row r="733" spans="19:55" ht="15.75" customHeight="1">
      <c r="S733" s="454"/>
      <c r="AN733" s="458"/>
      <c r="BA733" s="1305"/>
      <c r="BC733" s="169"/>
    </row>
    <row r="734" spans="19:55" ht="15.75" customHeight="1">
      <c r="S734" s="454"/>
      <c r="AN734" s="458"/>
      <c r="BA734" s="1305"/>
      <c r="BC734" s="169"/>
    </row>
    <row r="735" spans="19:55" ht="15.75" customHeight="1">
      <c r="S735" s="454"/>
      <c r="AN735" s="458"/>
      <c r="BA735" s="1305"/>
      <c r="BC735" s="169"/>
    </row>
    <row r="736" spans="19:55" ht="15.75" customHeight="1">
      <c r="S736" s="454"/>
      <c r="AN736" s="458"/>
      <c r="BA736" s="1305"/>
      <c r="BC736" s="169"/>
    </row>
    <row r="737" spans="19:55" ht="15.75" customHeight="1">
      <c r="S737" s="454"/>
      <c r="AN737" s="458"/>
      <c r="BA737" s="1305"/>
      <c r="BC737" s="169"/>
    </row>
    <row r="738" spans="19:55" ht="15.75" customHeight="1">
      <c r="S738" s="454"/>
      <c r="AN738" s="458"/>
      <c r="BA738" s="1305"/>
      <c r="BC738" s="169"/>
    </row>
    <row r="739" spans="19:55" ht="15.75" customHeight="1">
      <c r="S739" s="454"/>
      <c r="AN739" s="458"/>
      <c r="BA739" s="1305"/>
      <c r="BC739" s="169"/>
    </row>
    <row r="740" spans="19:55" ht="15.75" customHeight="1">
      <c r="S740" s="454"/>
      <c r="AN740" s="458"/>
      <c r="BA740" s="1305"/>
      <c r="BC740" s="169"/>
    </row>
    <row r="741" spans="19:55" ht="15.75" customHeight="1">
      <c r="S741" s="454"/>
      <c r="AN741" s="458"/>
      <c r="BA741" s="1305"/>
      <c r="BC741" s="169"/>
    </row>
    <row r="742" spans="19:55" ht="15.75" customHeight="1">
      <c r="S742" s="454"/>
      <c r="AN742" s="458"/>
      <c r="BA742" s="1305"/>
      <c r="BC742" s="169"/>
    </row>
    <row r="743" spans="19:55" ht="15.75" customHeight="1">
      <c r="S743" s="454"/>
      <c r="AN743" s="458"/>
      <c r="BA743" s="1305"/>
      <c r="BC743" s="169"/>
    </row>
    <row r="744" spans="19:55" ht="15.75" customHeight="1">
      <c r="S744" s="454"/>
      <c r="AN744" s="458"/>
      <c r="BA744" s="1305"/>
      <c r="BC744" s="169"/>
    </row>
    <row r="745" spans="19:55" ht="15.75" customHeight="1">
      <c r="S745" s="454"/>
      <c r="AN745" s="458"/>
      <c r="BA745" s="1305"/>
      <c r="BC745" s="169"/>
    </row>
    <row r="746" spans="19:55" ht="15.75" customHeight="1">
      <c r="S746" s="454"/>
      <c r="AN746" s="458"/>
      <c r="BA746" s="1305"/>
      <c r="BC746" s="169"/>
    </row>
    <row r="747" spans="19:55" ht="15.75" customHeight="1">
      <c r="S747" s="454"/>
      <c r="AN747" s="458"/>
      <c r="BA747" s="1305"/>
      <c r="BC747" s="169"/>
    </row>
    <row r="748" spans="19:55" ht="15.75" customHeight="1">
      <c r="S748" s="454"/>
      <c r="AN748" s="458"/>
      <c r="BA748" s="1305"/>
      <c r="BC748" s="169"/>
    </row>
    <row r="749" spans="19:55" ht="15.75" customHeight="1">
      <c r="S749" s="454"/>
      <c r="AN749" s="458"/>
      <c r="BA749" s="1305"/>
      <c r="BC749" s="169"/>
    </row>
    <row r="750" spans="19:55" ht="15.75" customHeight="1">
      <c r="S750" s="454"/>
      <c r="AN750" s="458"/>
      <c r="BA750" s="1305"/>
      <c r="BC750" s="169"/>
    </row>
    <row r="751" spans="19:55" ht="15.75" customHeight="1">
      <c r="S751" s="454"/>
      <c r="AN751" s="458"/>
      <c r="BA751" s="1305"/>
      <c r="BC751" s="169"/>
    </row>
    <row r="752" spans="19:55" ht="15.75" customHeight="1">
      <c r="S752" s="454"/>
      <c r="AN752" s="458"/>
      <c r="BA752" s="1305"/>
      <c r="BC752" s="169"/>
    </row>
    <row r="753" spans="19:55" ht="15.75" customHeight="1">
      <c r="S753" s="454"/>
      <c r="AN753" s="458"/>
      <c r="BA753" s="1305"/>
      <c r="BC753" s="169"/>
    </row>
    <row r="754" spans="19:55" ht="15.75" customHeight="1">
      <c r="S754" s="454"/>
      <c r="AN754" s="458"/>
      <c r="BA754" s="1305"/>
      <c r="BC754" s="169"/>
    </row>
    <row r="755" spans="19:55" ht="15.75" customHeight="1">
      <c r="S755" s="454"/>
      <c r="AN755" s="458"/>
      <c r="BA755" s="1305"/>
      <c r="BC755" s="169"/>
    </row>
    <row r="756" spans="19:55" ht="15.75" customHeight="1">
      <c r="S756" s="454"/>
      <c r="AN756" s="458"/>
      <c r="BA756" s="1305"/>
      <c r="BC756" s="169"/>
    </row>
    <row r="757" spans="19:55" ht="15.75" customHeight="1">
      <c r="S757" s="454"/>
      <c r="AN757" s="458"/>
      <c r="BA757" s="1305"/>
      <c r="BC757" s="169"/>
    </row>
    <row r="758" spans="19:55" ht="15.75" customHeight="1">
      <c r="S758" s="454"/>
      <c r="AN758" s="458"/>
      <c r="BA758" s="1305"/>
      <c r="BC758" s="169"/>
    </row>
    <row r="759" spans="19:55" ht="15.75" customHeight="1">
      <c r="S759" s="454"/>
      <c r="AN759" s="458"/>
      <c r="BA759" s="1305"/>
      <c r="BC759" s="169"/>
    </row>
    <row r="760" spans="19:55" ht="15.75" customHeight="1">
      <c r="S760" s="454"/>
      <c r="AN760" s="458"/>
      <c r="BA760" s="1305"/>
      <c r="BC760" s="169"/>
    </row>
    <row r="761" spans="19:55" ht="15.75" customHeight="1">
      <c r="S761" s="454"/>
      <c r="AN761" s="458"/>
      <c r="BA761" s="1305"/>
      <c r="BC761" s="169"/>
    </row>
    <row r="762" spans="19:55" ht="15.75" customHeight="1">
      <c r="S762" s="454"/>
      <c r="AN762" s="458"/>
      <c r="BA762" s="1305"/>
      <c r="BC762" s="169"/>
    </row>
    <row r="763" spans="19:55" ht="15.75" customHeight="1">
      <c r="S763" s="454"/>
      <c r="AN763" s="458"/>
      <c r="BA763" s="1305"/>
      <c r="BC763" s="169"/>
    </row>
    <row r="764" spans="19:55" ht="15.75" customHeight="1">
      <c r="S764" s="454"/>
      <c r="AN764" s="458"/>
      <c r="BA764" s="1305"/>
      <c r="BC764" s="169"/>
    </row>
    <row r="765" spans="19:55" ht="15.75" customHeight="1">
      <c r="S765" s="454"/>
      <c r="AN765" s="458"/>
      <c r="BA765" s="1305"/>
      <c r="BC765" s="169"/>
    </row>
    <row r="766" spans="19:55" ht="15.75" customHeight="1">
      <c r="S766" s="454"/>
      <c r="AN766" s="458"/>
      <c r="BA766" s="1305"/>
      <c r="BC766" s="169"/>
    </row>
    <row r="767" spans="19:55" ht="15.75" customHeight="1">
      <c r="S767" s="454"/>
      <c r="AN767" s="458"/>
      <c r="BA767" s="1305"/>
      <c r="BC767" s="169"/>
    </row>
    <row r="768" spans="19:55" ht="15.75" customHeight="1">
      <c r="S768" s="454"/>
      <c r="AN768" s="458"/>
      <c r="BA768" s="1305"/>
      <c r="BC768" s="169"/>
    </row>
    <row r="769" spans="19:55" ht="15.75" customHeight="1">
      <c r="S769" s="454"/>
      <c r="AN769" s="458"/>
      <c r="BA769" s="1305"/>
      <c r="BC769" s="169"/>
    </row>
    <row r="770" spans="19:55" ht="15.75" customHeight="1">
      <c r="S770" s="454"/>
      <c r="AN770" s="458"/>
      <c r="BA770" s="1305"/>
      <c r="BC770" s="169"/>
    </row>
    <row r="771" spans="19:55" ht="15.75" customHeight="1">
      <c r="S771" s="454"/>
      <c r="AN771" s="458"/>
      <c r="BA771" s="1305"/>
      <c r="BC771" s="169"/>
    </row>
    <row r="772" spans="19:55" ht="15.75" customHeight="1">
      <c r="S772" s="454"/>
      <c r="AN772" s="458"/>
      <c r="BA772" s="1305"/>
      <c r="BC772" s="169"/>
    </row>
    <row r="773" spans="19:55" ht="15.75" customHeight="1">
      <c r="S773" s="454"/>
      <c r="AN773" s="458"/>
      <c r="BA773" s="1305"/>
      <c r="BC773" s="169"/>
    </row>
    <row r="774" spans="19:55" ht="15.75" customHeight="1">
      <c r="S774" s="454"/>
      <c r="AN774" s="458"/>
      <c r="BA774" s="1305"/>
      <c r="BC774" s="169"/>
    </row>
    <row r="775" spans="19:55" ht="15.75" customHeight="1">
      <c r="S775" s="454"/>
      <c r="AN775" s="458"/>
      <c r="BA775" s="1305"/>
      <c r="BC775" s="169"/>
    </row>
    <row r="776" spans="19:55" ht="15.75" customHeight="1">
      <c r="S776" s="454"/>
      <c r="AN776" s="458"/>
      <c r="BA776" s="1305"/>
      <c r="BC776" s="169"/>
    </row>
    <row r="777" spans="19:55" ht="15.75" customHeight="1">
      <c r="S777" s="454"/>
      <c r="AN777" s="458"/>
      <c r="BA777" s="1305"/>
      <c r="BC777" s="169"/>
    </row>
    <row r="778" spans="19:55" ht="15.75" customHeight="1">
      <c r="S778" s="454"/>
      <c r="AN778" s="458"/>
      <c r="BA778" s="1305"/>
      <c r="BC778" s="169"/>
    </row>
    <row r="779" spans="19:55" ht="15.75" customHeight="1">
      <c r="S779" s="454"/>
      <c r="AN779" s="458"/>
      <c r="BA779" s="1305"/>
      <c r="BC779" s="169"/>
    </row>
    <row r="780" spans="19:55" ht="15.75" customHeight="1">
      <c r="S780" s="454"/>
      <c r="AN780" s="458"/>
      <c r="BA780" s="1305"/>
      <c r="BC780" s="169"/>
    </row>
    <row r="781" spans="19:55" ht="15.75" customHeight="1">
      <c r="S781" s="454"/>
      <c r="AN781" s="458"/>
      <c r="BA781" s="1305"/>
      <c r="BC781" s="169"/>
    </row>
    <row r="782" spans="19:55" ht="15.75" customHeight="1">
      <c r="S782" s="454"/>
      <c r="AN782" s="458"/>
      <c r="BA782" s="1305"/>
      <c r="BC782" s="169"/>
    </row>
    <row r="783" spans="19:55" ht="15.75" customHeight="1">
      <c r="S783" s="454"/>
      <c r="AN783" s="458"/>
      <c r="BA783" s="1305"/>
      <c r="BC783" s="169"/>
    </row>
    <row r="784" spans="19:55" ht="15.75" customHeight="1">
      <c r="S784" s="454"/>
      <c r="AN784" s="458"/>
      <c r="BA784" s="1305"/>
      <c r="BC784" s="169"/>
    </row>
    <row r="785" spans="19:55" ht="15.75" customHeight="1">
      <c r="S785" s="454"/>
      <c r="AN785" s="458"/>
      <c r="BA785" s="1305"/>
      <c r="BC785" s="169"/>
    </row>
    <row r="786" spans="19:55" ht="15.75" customHeight="1">
      <c r="S786" s="454"/>
      <c r="AN786" s="458"/>
      <c r="BA786" s="1305"/>
      <c r="BC786" s="169"/>
    </row>
    <row r="787" spans="19:55" ht="15.75" customHeight="1">
      <c r="S787" s="454"/>
      <c r="AN787" s="458"/>
      <c r="BA787" s="1305"/>
      <c r="BC787" s="169"/>
    </row>
    <row r="788" spans="19:55" ht="15.75" customHeight="1">
      <c r="S788" s="454"/>
      <c r="AN788" s="458"/>
      <c r="BA788" s="1305"/>
      <c r="BC788" s="169"/>
    </row>
    <row r="789" spans="19:55" ht="15.75" customHeight="1">
      <c r="S789" s="454"/>
      <c r="AN789" s="458"/>
      <c r="BA789" s="1305"/>
      <c r="BC789" s="169"/>
    </row>
    <row r="790" spans="19:55" ht="15.75" customHeight="1">
      <c r="S790" s="454"/>
      <c r="AN790" s="458"/>
      <c r="BA790" s="1305"/>
      <c r="BC790" s="169"/>
    </row>
    <row r="791" spans="19:55" ht="15.75" customHeight="1">
      <c r="S791" s="454"/>
      <c r="AN791" s="458"/>
      <c r="BA791" s="1305"/>
      <c r="BC791" s="169"/>
    </row>
    <row r="792" spans="19:55" ht="15.75" customHeight="1">
      <c r="S792" s="454"/>
      <c r="AN792" s="458"/>
      <c r="BA792" s="1305"/>
      <c r="BC792" s="169"/>
    </row>
    <row r="793" spans="19:55" ht="15.75" customHeight="1">
      <c r="S793" s="454"/>
      <c r="AN793" s="458"/>
      <c r="BA793" s="1305"/>
      <c r="BC793" s="169"/>
    </row>
    <row r="794" spans="19:55" ht="15.75" customHeight="1">
      <c r="S794" s="454"/>
      <c r="AN794" s="458"/>
      <c r="BA794" s="1305"/>
      <c r="BC794" s="169"/>
    </row>
    <row r="795" spans="19:55" ht="15.75" customHeight="1">
      <c r="S795" s="454"/>
      <c r="AN795" s="458"/>
      <c r="BA795" s="1305"/>
      <c r="BC795" s="169"/>
    </row>
    <row r="796" spans="19:55" ht="15.75" customHeight="1">
      <c r="S796" s="454"/>
      <c r="AN796" s="458"/>
      <c r="BA796" s="1305"/>
      <c r="BC796" s="169"/>
    </row>
    <row r="797" spans="19:55" ht="15.75" customHeight="1">
      <c r="S797" s="454"/>
      <c r="AN797" s="458"/>
      <c r="BA797" s="1305"/>
      <c r="BC797" s="169"/>
    </row>
    <row r="798" spans="19:55" ht="15.75" customHeight="1">
      <c r="S798" s="454"/>
      <c r="AN798" s="458"/>
      <c r="BA798" s="1305"/>
      <c r="BC798" s="169"/>
    </row>
    <row r="799" spans="19:55" ht="15.75" customHeight="1">
      <c r="S799" s="454"/>
      <c r="AN799" s="458"/>
      <c r="BA799" s="1305"/>
      <c r="BC799" s="169"/>
    </row>
    <row r="800" spans="19:55" ht="15.75" customHeight="1">
      <c r="S800" s="454"/>
      <c r="AN800" s="458"/>
      <c r="BA800" s="1305"/>
      <c r="BC800" s="169"/>
    </row>
    <row r="801" spans="19:55" ht="15.75" customHeight="1">
      <c r="S801" s="454"/>
      <c r="AN801" s="458"/>
      <c r="BA801" s="1305"/>
      <c r="BC801" s="169"/>
    </row>
    <row r="802" spans="19:55" ht="15.75" customHeight="1">
      <c r="S802" s="454"/>
      <c r="AN802" s="458"/>
      <c r="BA802" s="1305"/>
      <c r="BC802" s="169"/>
    </row>
    <row r="803" spans="19:55" ht="15.75" customHeight="1">
      <c r="S803" s="454"/>
      <c r="AN803" s="458"/>
      <c r="BA803" s="1305"/>
      <c r="BC803" s="169"/>
    </row>
    <row r="804" spans="19:55" ht="15.75" customHeight="1">
      <c r="S804" s="454"/>
      <c r="AN804" s="458"/>
      <c r="BA804" s="1305"/>
      <c r="BC804" s="169"/>
    </row>
    <row r="805" spans="19:55" ht="15.75" customHeight="1">
      <c r="S805" s="454"/>
      <c r="AN805" s="458"/>
      <c r="BA805" s="1305"/>
      <c r="BC805" s="169"/>
    </row>
    <row r="806" spans="19:55" ht="15.75" customHeight="1">
      <c r="S806" s="454"/>
      <c r="AN806" s="458"/>
      <c r="BA806" s="1305"/>
      <c r="BC806" s="169"/>
    </row>
    <row r="807" spans="19:55" ht="15.75" customHeight="1">
      <c r="S807" s="454"/>
      <c r="AN807" s="458"/>
      <c r="BA807" s="1305"/>
      <c r="BC807" s="169"/>
    </row>
    <row r="808" spans="19:55" ht="15.75" customHeight="1">
      <c r="S808" s="454"/>
      <c r="AN808" s="458"/>
      <c r="BA808" s="1305"/>
      <c r="BC808" s="169"/>
    </row>
    <row r="809" spans="19:55" ht="15.75" customHeight="1">
      <c r="S809" s="454"/>
      <c r="AN809" s="458"/>
      <c r="BA809" s="1305"/>
      <c r="BC809" s="169"/>
    </row>
    <row r="810" spans="19:55" ht="15.75" customHeight="1">
      <c r="S810" s="454"/>
      <c r="AN810" s="458"/>
      <c r="BA810" s="1305"/>
      <c r="BC810" s="169"/>
    </row>
    <row r="811" spans="19:55" ht="15.75" customHeight="1">
      <c r="S811" s="454"/>
      <c r="AN811" s="458"/>
      <c r="BA811" s="1305"/>
      <c r="BC811" s="169"/>
    </row>
    <row r="812" spans="19:55" ht="15.75" customHeight="1">
      <c r="S812" s="454"/>
      <c r="AN812" s="458"/>
      <c r="BA812" s="1305"/>
      <c r="BC812" s="169"/>
    </row>
    <row r="813" spans="19:55" ht="15.75" customHeight="1">
      <c r="S813" s="454"/>
      <c r="AN813" s="458"/>
      <c r="BA813" s="1305"/>
      <c r="BC813" s="169"/>
    </row>
    <row r="814" spans="19:55" ht="15.75" customHeight="1">
      <c r="S814" s="454"/>
      <c r="AN814" s="458"/>
      <c r="BA814" s="1305"/>
      <c r="BC814" s="169"/>
    </row>
    <row r="815" spans="19:55" ht="15.75" customHeight="1">
      <c r="S815" s="454"/>
      <c r="AN815" s="458"/>
      <c r="BA815" s="1305"/>
      <c r="BC815" s="169"/>
    </row>
    <row r="816" spans="19:55" ht="15.75" customHeight="1">
      <c r="S816" s="454"/>
      <c r="AN816" s="458"/>
      <c r="BA816" s="1305"/>
      <c r="BC816" s="169"/>
    </row>
    <row r="817" spans="19:55" ht="15.75" customHeight="1">
      <c r="S817" s="454"/>
      <c r="AN817" s="458"/>
      <c r="BA817" s="1305"/>
      <c r="BC817" s="169"/>
    </row>
    <row r="818" spans="19:55" ht="15.75" customHeight="1">
      <c r="S818" s="454"/>
      <c r="AN818" s="458"/>
      <c r="BA818" s="1305"/>
      <c r="BC818" s="169"/>
    </row>
    <row r="819" spans="19:55" ht="15.75" customHeight="1">
      <c r="S819" s="454"/>
      <c r="AN819" s="458"/>
      <c r="BA819" s="1305"/>
      <c r="BC819" s="169"/>
    </row>
    <row r="820" spans="19:55" ht="15.75" customHeight="1">
      <c r="S820" s="454"/>
      <c r="AN820" s="458"/>
      <c r="BA820" s="1305"/>
      <c r="BC820" s="169"/>
    </row>
    <row r="821" spans="19:55" ht="15.75" customHeight="1">
      <c r="S821" s="454"/>
      <c r="AN821" s="458"/>
      <c r="BA821" s="1305"/>
      <c r="BC821" s="169"/>
    </row>
    <row r="822" spans="19:55" ht="15.75" customHeight="1">
      <c r="S822" s="454"/>
      <c r="AN822" s="458"/>
      <c r="BA822" s="1305"/>
      <c r="BC822" s="169"/>
    </row>
    <row r="823" spans="19:55" ht="15.75" customHeight="1">
      <c r="S823" s="454"/>
      <c r="AN823" s="458"/>
      <c r="BA823" s="1305"/>
      <c r="BC823" s="169"/>
    </row>
    <row r="824" spans="19:55" ht="15.75" customHeight="1">
      <c r="S824" s="454"/>
      <c r="AN824" s="458"/>
      <c r="BA824" s="1305"/>
      <c r="BC824" s="169"/>
    </row>
    <row r="825" spans="19:55" ht="15.75" customHeight="1">
      <c r="S825" s="454"/>
      <c r="AN825" s="458"/>
      <c r="BA825" s="1305"/>
      <c r="BC825" s="169"/>
    </row>
    <row r="826" spans="19:55" ht="15.75" customHeight="1">
      <c r="S826" s="454"/>
      <c r="AN826" s="458"/>
      <c r="BA826" s="1305"/>
      <c r="BC826" s="169"/>
    </row>
    <row r="827" spans="19:55" ht="15.75" customHeight="1">
      <c r="S827" s="454"/>
      <c r="AN827" s="458"/>
      <c r="BA827" s="1305"/>
      <c r="BC827" s="169"/>
    </row>
    <row r="828" spans="19:55" ht="15.75" customHeight="1">
      <c r="S828" s="454"/>
      <c r="AN828" s="458"/>
      <c r="BA828" s="1305"/>
      <c r="BC828" s="169"/>
    </row>
    <row r="829" spans="19:55" ht="15.75" customHeight="1">
      <c r="S829" s="454"/>
      <c r="AN829" s="458"/>
      <c r="BA829" s="1305"/>
      <c r="BC829" s="169"/>
    </row>
    <row r="830" spans="19:55" ht="15.75" customHeight="1">
      <c r="S830" s="454"/>
      <c r="AN830" s="458"/>
      <c r="BA830" s="1305"/>
      <c r="BC830" s="169"/>
    </row>
    <row r="831" spans="19:55" ht="15.75" customHeight="1">
      <c r="S831" s="454"/>
      <c r="AN831" s="458"/>
      <c r="BA831" s="1305"/>
      <c r="BC831" s="169"/>
    </row>
    <row r="832" spans="19:55" ht="15.75" customHeight="1">
      <c r="S832" s="454"/>
      <c r="AN832" s="458"/>
      <c r="BA832" s="1305"/>
      <c r="BC832" s="169"/>
    </row>
    <row r="833" spans="19:55" ht="15.75" customHeight="1">
      <c r="S833" s="454"/>
      <c r="AN833" s="458"/>
      <c r="BA833" s="1305"/>
      <c r="BC833" s="169"/>
    </row>
    <row r="834" spans="19:55" ht="15.75" customHeight="1">
      <c r="S834" s="454"/>
      <c r="AN834" s="458"/>
      <c r="BA834" s="1305"/>
      <c r="BC834" s="169"/>
    </row>
    <row r="835" spans="19:55" ht="15.75" customHeight="1">
      <c r="S835" s="454"/>
      <c r="AN835" s="458"/>
      <c r="BA835" s="1305"/>
      <c r="BC835" s="169"/>
    </row>
    <row r="836" spans="19:55" ht="15.75" customHeight="1">
      <c r="S836" s="454"/>
      <c r="AN836" s="458"/>
      <c r="BA836" s="1305"/>
      <c r="BC836" s="169"/>
    </row>
    <row r="837" spans="19:55" ht="15.75" customHeight="1">
      <c r="S837" s="454"/>
      <c r="AN837" s="458"/>
      <c r="BA837" s="1305"/>
      <c r="BC837" s="169"/>
    </row>
    <row r="838" spans="19:55" ht="15.75" customHeight="1">
      <c r="S838" s="454"/>
      <c r="AN838" s="458"/>
      <c r="BA838" s="1305"/>
      <c r="BC838" s="169"/>
    </row>
    <row r="839" spans="19:55" ht="15.75" customHeight="1">
      <c r="S839" s="454"/>
      <c r="AN839" s="458"/>
      <c r="BA839" s="1305"/>
      <c r="BC839" s="169"/>
    </row>
    <row r="840" spans="19:55" ht="15.75" customHeight="1">
      <c r="S840" s="454"/>
      <c r="AN840" s="458"/>
      <c r="BA840" s="1305"/>
      <c r="BC840" s="169"/>
    </row>
    <row r="841" spans="19:55" ht="15.75" customHeight="1">
      <c r="S841" s="454"/>
      <c r="AN841" s="458"/>
      <c r="BA841" s="1305"/>
      <c r="BC841" s="169"/>
    </row>
    <row r="842" spans="19:55" ht="15.75" customHeight="1">
      <c r="S842" s="454"/>
      <c r="AN842" s="458"/>
      <c r="BA842" s="1305"/>
      <c r="BC842" s="169"/>
    </row>
    <row r="843" spans="19:55" ht="15.75" customHeight="1">
      <c r="S843" s="454"/>
      <c r="AN843" s="458"/>
      <c r="BA843" s="1305"/>
      <c r="BC843" s="169"/>
    </row>
    <row r="844" spans="19:55" ht="15.75" customHeight="1">
      <c r="S844" s="454"/>
      <c r="AN844" s="458"/>
      <c r="BA844" s="1305"/>
      <c r="BC844" s="169"/>
    </row>
    <row r="845" spans="19:55" ht="15.75" customHeight="1">
      <c r="S845" s="454"/>
      <c r="AN845" s="458"/>
      <c r="BA845" s="1305"/>
      <c r="BC845" s="169"/>
    </row>
    <row r="846" spans="19:55" ht="15.75" customHeight="1">
      <c r="S846" s="454"/>
      <c r="AN846" s="458"/>
      <c r="BA846" s="1305"/>
      <c r="BC846" s="169"/>
    </row>
    <row r="847" spans="19:55" ht="15.75" customHeight="1">
      <c r="S847" s="454"/>
      <c r="AN847" s="458"/>
      <c r="BA847" s="1305"/>
      <c r="BC847" s="169"/>
    </row>
    <row r="848" spans="19:55" ht="15.75" customHeight="1">
      <c r="S848" s="454"/>
      <c r="AN848" s="458"/>
      <c r="BA848" s="1305"/>
      <c r="BC848" s="169"/>
    </row>
    <row r="849" spans="19:55" ht="15.75" customHeight="1">
      <c r="S849" s="454"/>
      <c r="AN849" s="458"/>
      <c r="BA849" s="1305"/>
      <c r="BC849" s="169"/>
    </row>
    <row r="850" spans="19:55" ht="15.75" customHeight="1">
      <c r="S850" s="454"/>
      <c r="AN850" s="458"/>
      <c r="BA850" s="1305"/>
      <c r="BC850" s="169"/>
    </row>
    <row r="851" spans="19:55" ht="15.75" customHeight="1">
      <c r="S851" s="454"/>
      <c r="AN851" s="458"/>
      <c r="BA851" s="1305"/>
      <c r="BC851" s="169"/>
    </row>
    <row r="852" spans="19:55" ht="15.75" customHeight="1">
      <c r="S852" s="454"/>
      <c r="AN852" s="458"/>
      <c r="BA852" s="1305"/>
      <c r="BC852" s="169"/>
    </row>
    <row r="853" spans="19:55" ht="15.75" customHeight="1">
      <c r="S853" s="454"/>
      <c r="AN853" s="458"/>
      <c r="BA853" s="1305"/>
      <c r="BC853" s="169"/>
    </row>
    <row r="854" spans="19:55" ht="15.75" customHeight="1">
      <c r="S854" s="454"/>
      <c r="AN854" s="458"/>
      <c r="BA854" s="1305"/>
      <c r="BC854" s="169"/>
    </row>
    <row r="855" spans="19:55" ht="15.75" customHeight="1">
      <c r="S855" s="454"/>
      <c r="AN855" s="458"/>
      <c r="BA855" s="1305"/>
      <c r="BC855" s="169"/>
    </row>
    <row r="856" spans="19:55" ht="15.75" customHeight="1">
      <c r="S856" s="454"/>
      <c r="AN856" s="458"/>
      <c r="BA856" s="1305"/>
      <c r="BC856" s="169"/>
    </row>
    <row r="857" spans="19:55" ht="15.75" customHeight="1">
      <c r="S857" s="454"/>
      <c r="AN857" s="458"/>
      <c r="BA857" s="1305"/>
      <c r="BC857" s="169"/>
    </row>
    <row r="858" spans="19:55" ht="15.75" customHeight="1">
      <c r="S858" s="454"/>
      <c r="AN858" s="458"/>
      <c r="BA858" s="1305"/>
      <c r="BC858" s="169"/>
    </row>
    <row r="859" spans="19:55" ht="15.75" customHeight="1">
      <c r="S859" s="454"/>
      <c r="AN859" s="458"/>
      <c r="BA859" s="1305"/>
      <c r="BC859" s="169"/>
    </row>
    <row r="860" spans="19:55" ht="15.75" customHeight="1">
      <c r="S860" s="454"/>
      <c r="AN860" s="458"/>
      <c r="BA860" s="1305"/>
      <c r="BC860" s="169"/>
    </row>
    <row r="861" spans="19:55" ht="15.75" customHeight="1">
      <c r="S861" s="454"/>
      <c r="AN861" s="458"/>
      <c r="BA861" s="1305"/>
      <c r="BC861" s="169"/>
    </row>
    <row r="862" spans="19:55" ht="15.75" customHeight="1">
      <c r="S862" s="454"/>
      <c r="AN862" s="458"/>
      <c r="BA862" s="1305"/>
      <c r="BC862" s="169"/>
    </row>
    <row r="863" spans="19:55" ht="15.75" customHeight="1">
      <c r="S863" s="454"/>
      <c r="AN863" s="458"/>
      <c r="BA863" s="1305"/>
      <c r="BC863" s="169"/>
    </row>
    <row r="864" spans="19:55" ht="15.75" customHeight="1">
      <c r="S864" s="454"/>
      <c r="AN864" s="458"/>
      <c r="BA864" s="1305"/>
      <c r="BC864" s="169"/>
    </row>
    <row r="865" spans="19:55" ht="15.75" customHeight="1">
      <c r="S865" s="454"/>
      <c r="AN865" s="458"/>
      <c r="BA865" s="1305"/>
      <c r="BC865" s="169"/>
    </row>
    <row r="866" spans="19:55" ht="15.75" customHeight="1">
      <c r="S866" s="454"/>
      <c r="AN866" s="458"/>
      <c r="BA866" s="1305"/>
      <c r="BC866" s="169"/>
    </row>
    <row r="867" spans="19:55" ht="15.75" customHeight="1">
      <c r="S867" s="454"/>
      <c r="AN867" s="458"/>
      <c r="BA867" s="1305"/>
      <c r="BC867" s="169"/>
    </row>
    <row r="868" spans="19:55" ht="15.75" customHeight="1">
      <c r="S868" s="454"/>
      <c r="AN868" s="458"/>
      <c r="BA868" s="1305"/>
      <c r="BC868" s="169"/>
    </row>
    <row r="869" spans="19:55" ht="15.75" customHeight="1">
      <c r="S869" s="454"/>
      <c r="AN869" s="458"/>
      <c r="BA869" s="1305"/>
      <c r="BC869" s="169"/>
    </row>
    <row r="870" spans="19:55" ht="15.75" customHeight="1">
      <c r="S870" s="454"/>
      <c r="AN870" s="458"/>
      <c r="BA870" s="1305"/>
      <c r="BC870" s="169"/>
    </row>
    <row r="871" spans="19:55" ht="15.75" customHeight="1">
      <c r="S871" s="454"/>
      <c r="AN871" s="458"/>
      <c r="BA871" s="1305"/>
      <c r="BC871" s="169"/>
    </row>
    <row r="872" spans="19:55" ht="15.75" customHeight="1">
      <c r="S872" s="454"/>
      <c r="AN872" s="458"/>
      <c r="BA872" s="1305"/>
      <c r="BC872" s="169"/>
    </row>
    <row r="873" spans="19:55" ht="15.75" customHeight="1">
      <c r="S873" s="454"/>
      <c r="AN873" s="458"/>
      <c r="BA873" s="1305"/>
      <c r="BC873" s="169"/>
    </row>
    <row r="874" spans="19:55" ht="15.75" customHeight="1">
      <c r="S874" s="454"/>
      <c r="AN874" s="458"/>
      <c r="BA874" s="1305"/>
      <c r="BC874" s="169"/>
    </row>
    <row r="875" spans="19:55" ht="15.75" customHeight="1">
      <c r="S875" s="454"/>
      <c r="AN875" s="458"/>
      <c r="BA875" s="1305"/>
      <c r="BC875" s="169"/>
    </row>
    <row r="876" spans="19:55" ht="15.75" customHeight="1">
      <c r="S876" s="454"/>
      <c r="AN876" s="458"/>
      <c r="BA876" s="1305"/>
      <c r="BC876" s="169"/>
    </row>
    <row r="877" spans="19:55" ht="15.75" customHeight="1">
      <c r="S877" s="454"/>
      <c r="AN877" s="458"/>
      <c r="BA877" s="1305"/>
      <c r="BC877" s="169"/>
    </row>
    <row r="878" spans="19:55" ht="15.75" customHeight="1">
      <c r="S878" s="454"/>
      <c r="AN878" s="458"/>
      <c r="BA878" s="1305"/>
      <c r="BC878" s="169"/>
    </row>
    <row r="879" spans="19:55" ht="15.75" customHeight="1">
      <c r="S879" s="454"/>
      <c r="AN879" s="458"/>
      <c r="BA879" s="1305"/>
      <c r="BC879" s="169"/>
    </row>
    <row r="880" spans="19:55" ht="15.75" customHeight="1">
      <c r="S880" s="454"/>
      <c r="AN880" s="458"/>
      <c r="BA880" s="1305"/>
      <c r="BC880" s="169"/>
    </row>
    <row r="881" spans="19:55" ht="15.75" customHeight="1">
      <c r="S881" s="454"/>
      <c r="AN881" s="458"/>
      <c r="BA881" s="1305"/>
      <c r="BC881" s="169"/>
    </row>
    <row r="882" spans="19:55" ht="15.75" customHeight="1">
      <c r="S882" s="454"/>
      <c r="AN882" s="458"/>
      <c r="BA882" s="1305"/>
      <c r="BC882" s="169"/>
    </row>
    <row r="883" spans="19:55" ht="15.75" customHeight="1">
      <c r="S883" s="454"/>
      <c r="AN883" s="458"/>
      <c r="BA883" s="1305"/>
      <c r="BC883" s="169"/>
    </row>
    <row r="884" spans="19:55" ht="15.75" customHeight="1">
      <c r="S884" s="454"/>
      <c r="AN884" s="458"/>
      <c r="BA884" s="1305"/>
      <c r="BC884" s="169"/>
    </row>
    <row r="885" spans="19:55" ht="15.75" customHeight="1">
      <c r="S885" s="454"/>
      <c r="AN885" s="458"/>
      <c r="BA885" s="1305"/>
      <c r="BC885" s="169"/>
    </row>
    <row r="886" spans="19:55" ht="15.75" customHeight="1">
      <c r="S886" s="454"/>
      <c r="AN886" s="458"/>
      <c r="BA886" s="1305"/>
      <c r="BC886" s="169"/>
    </row>
    <row r="887" spans="19:55" ht="15.75" customHeight="1">
      <c r="S887" s="454"/>
      <c r="AN887" s="458"/>
      <c r="BA887" s="1305"/>
      <c r="BC887" s="169"/>
    </row>
    <row r="888" spans="19:55" ht="15.75" customHeight="1">
      <c r="S888" s="454"/>
      <c r="AN888" s="458"/>
      <c r="BA888" s="1305"/>
      <c r="BC888" s="169"/>
    </row>
    <row r="889" spans="19:55" ht="15.75" customHeight="1">
      <c r="S889" s="454"/>
      <c r="AN889" s="458"/>
      <c r="BA889" s="1305"/>
      <c r="BC889" s="169"/>
    </row>
    <row r="890" spans="19:55" ht="15.75" customHeight="1">
      <c r="S890" s="454"/>
      <c r="AN890" s="458"/>
      <c r="BA890" s="1305"/>
      <c r="BC890" s="169"/>
    </row>
    <row r="891" spans="19:55" ht="15.75" customHeight="1">
      <c r="S891" s="454"/>
      <c r="AN891" s="458"/>
      <c r="BA891" s="1305"/>
      <c r="BC891" s="169"/>
    </row>
    <row r="892" spans="19:55" ht="15.75" customHeight="1">
      <c r="S892" s="454"/>
      <c r="AN892" s="458"/>
      <c r="BA892" s="1305"/>
      <c r="BC892" s="169"/>
    </row>
    <row r="893" spans="19:55" ht="15.75" customHeight="1">
      <c r="S893" s="454"/>
      <c r="AN893" s="458"/>
      <c r="BA893" s="1305"/>
      <c r="BC893" s="169"/>
    </row>
    <row r="894" spans="19:55" ht="15.75" customHeight="1">
      <c r="S894" s="454"/>
      <c r="AN894" s="458"/>
      <c r="BA894" s="1305"/>
      <c r="BC894" s="169"/>
    </row>
    <row r="895" spans="19:55" ht="15.75" customHeight="1">
      <c r="S895" s="454"/>
      <c r="AN895" s="458"/>
      <c r="BA895" s="1305"/>
      <c r="BC895" s="169"/>
    </row>
    <row r="896" spans="19:55" ht="15.75" customHeight="1">
      <c r="S896" s="454"/>
      <c r="AN896" s="458"/>
      <c r="BA896" s="1305"/>
      <c r="BC896" s="169"/>
    </row>
    <row r="897" spans="19:55" ht="15.75" customHeight="1">
      <c r="S897" s="454"/>
      <c r="AN897" s="458"/>
      <c r="BA897" s="1305"/>
      <c r="BC897" s="169"/>
    </row>
    <row r="898" spans="19:55" ht="15.75" customHeight="1">
      <c r="S898" s="454"/>
      <c r="AN898" s="458"/>
      <c r="BA898" s="1305"/>
      <c r="BC898" s="169"/>
    </row>
    <row r="899" spans="19:55" ht="15.75" customHeight="1">
      <c r="S899" s="454"/>
      <c r="AN899" s="458"/>
      <c r="BA899" s="1305"/>
      <c r="BC899" s="169"/>
    </row>
    <row r="900" spans="19:55" ht="15.75" customHeight="1">
      <c r="S900" s="454"/>
      <c r="AN900" s="458"/>
      <c r="BA900" s="1305"/>
      <c r="BC900" s="169"/>
    </row>
    <row r="901" spans="19:55" ht="15.75" customHeight="1">
      <c r="S901" s="454"/>
      <c r="AN901" s="458"/>
      <c r="BA901" s="1305"/>
      <c r="BC901" s="169"/>
    </row>
    <row r="902" spans="19:55" ht="15.75" customHeight="1">
      <c r="S902" s="454"/>
      <c r="AN902" s="458"/>
      <c r="BA902" s="1305"/>
      <c r="BC902" s="169"/>
    </row>
    <row r="903" spans="19:55" ht="15.75" customHeight="1">
      <c r="S903" s="454"/>
      <c r="AN903" s="458"/>
      <c r="BA903" s="1305"/>
      <c r="BC903" s="169"/>
    </row>
    <row r="904" spans="19:55" ht="15.75" customHeight="1">
      <c r="S904" s="454"/>
      <c r="AN904" s="458"/>
      <c r="BA904" s="1305"/>
      <c r="BC904" s="169"/>
    </row>
    <row r="905" spans="19:55" ht="15.75" customHeight="1">
      <c r="S905" s="454"/>
      <c r="AN905" s="458"/>
      <c r="BA905" s="1305"/>
      <c r="BC905" s="169"/>
    </row>
    <row r="906" spans="19:55" ht="15.75" customHeight="1">
      <c r="S906" s="454"/>
      <c r="AN906" s="458"/>
      <c r="BA906" s="1305"/>
      <c r="BC906" s="169"/>
    </row>
    <row r="907" spans="19:55" ht="15.75" customHeight="1">
      <c r="S907" s="454"/>
      <c r="AN907" s="458"/>
      <c r="BA907" s="1305"/>
      <c r="BC907" s="169"/>
    </row>
    <row r="908" spans="19:55" ht="15.75" customHeight="1">
      <c r="S908" s="454"/>
      <c r="AN908" s="458"/>
      <c r="BA908" s="1305"/>
      <c r="BC908" s="169"/>
    </row>
    <row r="909" spans="19:55" ht="15.75" customHeight="1">
      <c r="S909" s="454"/>
      <c r="AN909" s="458"/>
      <c r="BA909" s="1305"/>
      <c r="BC909" s="169"/>
    </row>
    <row r="910" spans="19:55" ht="15.75" customHeight="1">
      <c r="S910" s="454"/>
      <c r="AN910" s="458"/>
      <c r="BA910" s="1305"/>
      <c r="BC910" s="169"/>
    </row>
    <row r="911" spans="19:55" ht="15.75" customHeight="1">
      <c r="S911" s="454"/>
      <c r="AN911" s="458"/>
      <c r="BA911" s="1305"/>
      <c r="BC911" s="169"/>
    </row>
    <row r="912" spans="19:55" ht="15.75" customHeight="1">
      <c r="S912" s="454"/>
      <c r="AN912" s="458"/>
      <c r="BA912" s="1305"/>
      <c r="BC912" s="169"/>
    </row>
    <row r="913" spans="19:55" ht="15.75" customHeight="1">
      <c r="S913" s="454"/>
      <c r="AN913" s="458"/>
      <c r="BA913" s="1305"/>
      <c r="BC913" s="169"/>
    </row>
    <row r="914" spans="19:55" ht="15.75" customHeight="1">
      <c r="S914" s="454"/>
      <c r="AN914" s="458"/>
      <c r="BA914" s="1305"/>
      <c r="BC914" s="169"/>
    </row>
    <row r="915" spans="19:55" ht="15.75" customHeight="1">
      <c r="S915" s="454"/>
      <c r="AN915" s="458"/>
      <c r="BA915" s="1305"/>
      <c r="BC915" s="169"/>
    </row>
    <row r="916" spans="19:55" ht="15.75" customHeight="1">
      <c r="S916" s="454"/>
      <c r="AN916" s="458"/>
      <c r="BA916" s="1305"/>
      <c r="BC916" s="169"/>
    </row>
    <row r="917" spans="19:55" ht="15.75" customHeight="1">
      <c r="S917" s="454"/>
      <c r="AN917" s="458"/>
      <c r="BA917" s="1305"/>
      <c r="BC917" s="169"/>
    </row>
    <row r="918" spans="19:55" ht="15.75" customHeight="1">
      <c r="S918" s="454"/>
      <c r="AN918" s="458"/>
      <c r="BA918" s="1305"/>
      <c r="BC918" s="169"/>
    </row>
    <row r="919" spans="19:55" ht="15.75" customHeight="1">
      <c r="S919" s="454"/>
      <c r="AN919" s="458"/>
      <c r="BA919" s="1305"/>
      <c r="BC919" s="169"/>
    </row>
    <row r="920" spans="19:55" ht="15.75" customHeight="1">
      <c r="S920" s="454"/>
      <c r="AN920" s="458"/>
      <c r="BA920" s="1305"/>
      <c r="BC920" s="169"/>
    </row>
    <row r="921" spans="19:55" ht="15.75" customHeight="1">
      <c r="S921" s="454"/>
      <c r="AN921" s="458"/>
      <c r="BA921" s="1305"/>
      <c r="BC921" s="169"/>
    </row>
    <row r="922" spans="19:55" ht="15.75" customHeight="1">
      <c r="S922" s="454"/>
      <c r="AN922" s="458"/>
      <c r="BA922" s="1305"/>
      <c r="BC922" s="169"/>
    </row>
    <row r="923" spans="19:55" ht="15.75" customHeight="1">
      <c r="S923" s="454"/>
      <c r="AN923" s="458"/>
      <c r="BA923" s="1305"/>
      <c r="BC923" s="169"/>
    </row>
    <row r="924" spans="19:55" ht="15.75" customHeight="1">
      <c r="S924" s="454"/>
      <c r="AN924" s="458"/>
      <c r="BA924" s="1305"/>
      <c r="BC924" s="169"/>
    </row>
    <row r="925" spans="19:55" ht="15.75" customHeight="1">
      <c r="S925" s="454"/>
      <c r="AN925" s="458"/>
      <c r="BA925" s="1305"/>
      <c r="BC925" s="169"/>
    </row>
    <row r="926" spans="19:55" ht="15.75" customHeight="1">
      <c r="S926" s="454"/>
      <c r="AN926" s="458"/>
      <c r="BA926" s="1305"/>
      <c r="BC926" s="169"/>
    </row>
    <row r="927" spans="19:55" ht="15.75" customHeight="1">
      <c r="S927" s="454"/>
      <c r="AN927" s="458"/>
      <c r="BA927" s="1305"/>
      <c r="BC927" s="169"/>
    </row>
    <row r="928" spans="19:55" ht="15.75" customHeight="1">
      <c r="S928" s="454"/>
      <c r="AN928" s="458"/>
      <c r="BA928" s="1305"/>
      <c r="BC928" s="169"/>
    </row>
    <row r="929" spans="19:55" ht="15.75" customHeight="1">
      <c r="S929" s="454"/>
      <c r="AN929" s="458"/>
      <c r="BA929" s="1305"/>
      <c r="BC929" s="169"/>
    </row>
    <row r="930" spans="19:55" ht="15.75" customHeight="1">
      <c r="S930" s="454"/>
      <c r="AN930" s="458"/>
      <c r="BA930" s="1305"/>
      <c r="BC930" s="169"/>
    </row>
    <row r="931" spans="19:55" ht="15.75" customHeight="1">
      <c r="S931" s="454"/>
      <c r="AN931" s="458"/>
      <c r="BA931" s="1305"/>
      <c r="BC931" s="169"/>
    </row>
    <row r="932" spans="19:55" ht="15.75" customHeight="1">
      <c r="S932" s="454"/>
      <c r="AN932" s="458"/>
      <c r="BA932" s="1305"/>
      <c r="BC932" s="169"/>
    </row>
    <row r="933" spans="19:55" ht="15.75" customHeight="1">
      <c r="S933" s="454"/>
      <c r="AN933" s="458"/>
      <c r="BA933" s="1305"/>
      <c r="BC933" s="169"/>
    </row>
    <row r="934" spans="19:55" ht="15.75" customHeight="1">
      <c r="S934" s="454"/>
      <c r="AN934" s="458"/>
      <c r="BA934" s="1305"/>
      <c r="BC934" s="169"/>
    </row>
    <row r="935" spans="19:55" ht="15.75" customHeight="1">
      <c r="S935" s="454"/>
      <c r="AN935" s="458"/>
      <c r="BA935" s="1305"/>
      <c r="BC935" s="169"/>
    </row>
    <row r="936" spans="19:55" ht="15.75" customHeight="1">
      <c r="S936" s="454"/>
      <c r="AN936" s="458"/>
      <c r="BA936" s="1305"/>
      <c r="BC936" s="169"/>
    </row>
    <row r="937" spans="19:55" ht="15.75" customHeight="1">
      <c r="S937" s="454"/>
      <c r="AN937" s="458"/>
      <c r="BA937" s="1305"/>
      <c r="BC937" s="169"/>
    </row>
    <row r="938" spans="19:55" ht="15.75" customHeight="1">
      <c r="S938" s="454"/>
      <c r="AN938" s="458"/>
      <c r="BA938" s="1305"/>
      <c r="BC938" s="169"/>
    </row>
    <row r="939" spans="19:55" ht="15.75" customHeight="1">
      <c r="S939" s="454"/>
      <c r="AN939" s="458"/>
      <c r="BA939" s="1305"/>
      <c r="BC939" s="169"/>
    </row>
    <row r="940" spans="19:55" ht="15.75" customHeight="1">
      <c r="S940" s="454"/>
      <c r="AN940" s="458"/>
      <c r="BA940" s="1305"/>
      <c r="BC940" s="169"/>
    </row>
    <row r="941" spans="19:55" ht="15.75" customHeight="1">
      <c r="S941" s="454"/>
      <c r="AN941" s="458"/>
      <c r="BA941" s="1305"/>
      <c r="BC941" s="169"/>
    </row>
    <row r="942" spans="19:55" ht="15.75" customHeight="1">
      <c r="S942" s="454"/>
      <c r="AN942" s="458"/>
      <c r="BA942" s="1305"/>
      <c r="BC942" s="169"/>
    </row>
    <row r="943" spans="19:55" ht="15.75" customHeight="1">
      <c r="S943" s="454"/>
      <c r="AN943" s="458"/>
      <c r="BA943" s="1305"/>
      <c r="BC943" s="169"/>
    </row>
    <row r="944" spans="19:55" ht="15.75" customHeight="1">
      <c r="S944" s="454"/>
      <c r="AN944" s="458"/>
      <c r="BA944" s="1305"/>
      <c r="BC944" s="169"/>
    </row>
    <row r="945" spans="19:55" ht="15.75" customHeight="1">
      <c r="S945" s="454"/>
      <c r="AN945" s="458"/>
      <c r="BA945" s="1305"/>
      <c r="BC945" s="169"/>
    </row>
    <row r="946" spans="19:55" ht="15.75" customHeight="1">
      <c r="S946" s="454"/>
      <c r="AN946" s="458"/>
      <c r="BA946" s="1305"/>
      <c r="BC946" s="169"/>
    </row>
    <row r="947" spans="19:55" ht="15.75" customHeight="1">
      <c r="S947" s="454"/>
      <c r="AN947" s="458"/>
      <c r="BA947" s="1305"/>
      <c r="BC947" s="169"/>
    </row>
    <row r="948" spans="19:55" ht="15.75" customHeight="1">
      <c r="S948" s="454"/>
      <c r="AN948" s="458"/>
      <c r="BA948" s="1305"/>
      <c r="BC948" s="169"/>
    </row>
    <row r="949" spans="19:55" ht="15.75" customHeight="1">
      <c r="S949" s="454"/>
      <c r="AN949" s="458"/>
      <c r="BA949" s="1305"/>
      <c r="BC949" s="169"/>
    </row>
    <row r="950" spans="19:55" ht="15.75" customHeight="1">
      <c r="S950" s="454"/>
      <c r="AN950" s="458"/>
      <c r="BA950" s="1305"/>
      <c r="BC950" s="169"/>
    </row>
    <row r="951" spans="19:55" ht="15.75" customHeight="1">
      <c r="S951" s="454"/>
      <c r="AN951" s="458"/>
      <c r="BA951" s="1305"/>
      <c r="BC951" s="169"/>
    </row>
    <row r="952" spans="19:55" ht="15.75" customHeight="1">
      <c r="S952" s="454"/>
      <c r="AN952" s="458"/>
      <c r="BA952" s="1305"/>
      <c r="BC952" s="169"/>
    </row>
    <row r="953" spans="19:55" ht="15.75" customHeight="1">
      <c r="S953" s="454"/>
      <c r="AN953" s="458"/>
      <c r="BA953" s="1305"/>
      <c r="BC953" s="169"/>
    </row>
    <row r="954" spans="19:55" ht="15.75" customHeight="1">
      <c r="S954" s="454"/>
      <c r="AN954" s="458"/>
      <c r="BA954" s="1305"/>
      <c r="BC954" s="169"/>
    </row>
    <row r="955" spans="19:55" ht="15.75" customHeight="1">
      <c r="S955" s="454"/>
      <c r="AN955" s="458"/>
      <c r="BA955" s="1305"/>
      <c r="BC955" s="169"/>
    </row>
    <row r="956" spans="19:55" ht="15.75" customHeight="1">
      <c r="S956" s="454"/>
      <c r="AN956" s="458"/>
      <c r="BA956" s="1305"/>
      <c r="BC956" s="169"/>
    </row>
    <row r="957" spans="19:55" ht="15.75" customHeight="1">
      <c r="S957" s="454"/>
      <c r="AN957" s="458"/>
      <c r="BA957" s="1305"/>
      <c r="BC957" s="169"/>
    </row>
    <row r="958" spans="19:55" ht="15.75" customHeight="1">
      <c r="S958" s="454"/>
      <c r="AN958" s="458"/>
      <c r="BA958" s="1305"/>
      <c r="BC958" s="169"/>
    </row>
    <row r="959" spans="19:55" ht="15.75" customHeight="1">
      <c r="S959" s="454"/>
      <c r="AN959" s="458"/>
      <c r="BA959" s="1305"/>
      <c r="BC959" s="169"/>
    </row>
    <row r="960" spans="19:55" ht="15.75" customHeight="1">
      <c r="S960" s="454"/>
      <c r="AN960" s="458"/>
      <c r="BA960" s="1305"/>
      <c r="BC960" s="169"/>
    </row>
    <row r="961" spans="19:55" ht="15.75" customHeight="1">
      <c r="S961" s="454"/>
      <c r="AN961" s="458"/>
      <c r="BA961" s="1305"/>
      <c r="BC961" s="169"/>
    </row>
    <row r="962" spans="19:55" ht="15.75" customHeight="1">
      <c r="S962" s="454"/>
      <c r="AN962" s="458"/>
      <c r="BA962" s="1305"/>
      <c r="BC962" s="169"/>
    </row>
    <row r="963" spans="19:55" ht="15.75" customHeight="1">
      <c r="S963" s="454"/>
      <c r="AN963" s="458"/>
      <c r="BA963" s="1305"/>
      <c r="BC963" s="169"/>
    </row>
    <row r="964" spans="19:55" ht="15.75" customHeight="1">
      <c r="S964" s="454"/>
      <c r="AN964" s="458"/>
      <c r="BA964" s="1305"/>
      <c r="BC964" s="169"/>
    </row>
    <row r="965" spans="19:55" ht="15.75" customHeight="1">
      <c r="S965" s="454"/>
      <c r="AN965" s="458"/>
      <c r="BA965" s="1305"/>
      <c r="BC965" s="169"/>
    </row>
    <row r="966" spans="19:55" ht="15.75" customHeight="1">
      <c r="S966" s="454"/>
      <c r="AN966" s="458"/>
      <c r="BA966" s="1305"/>
      <c r="BC966" s="169"/>
    </row>
    <row r="967" spans="19:55" ht="15.75" customHeight="1">
      <c r="S967" s="454"/>
      <c r="AN967" s="458"/>
      <c r="BA967" s="1305"/>
      <c r="BC967" s="169"/>
    </row>
    <row r="968" spans="19:55" ht="15.75" customHeight="1">
      <c r="S968" s="454"/>
      <c r="AN968" s="458"/>
      <c r="BA968" s="1305"/>
      <c r="BC968" s="169"/>
    </row>
    <row r="969" spans="19:55" ht="15.75" customHeight="1">
      <c r="S969" s="454"/>
      <c r="AN969" s="458"/>
      <c r="BA969" s="1305"/>
      <c r="BC969" s="169"/>
    </row>
    <row r="970" spans="19:55" ht="15.75" customHeight="1">
      <c r="S970" s="454"/>
      <c r="AN970" s="458"/>
      <c r="BA970" s="1305"/>
      <c r="BC970" s="169"/>
    </row>
    <row r="971" spans="19:55" ht="15.75" customHeight="1">
      <c r="S971" s="454"/>
      <c r="AN971" s="458"/>
      <c r="BA971" s="1305"/>
      <c r="BC971" s="169"/>
    </row>
    <row r="972" spans="19:55" ht="15.75" customHeight="1">
      <c r="S972" s="454"/>
      <c r="AN972" s="458"/>
      <c r="BA972" s="1305"/>
      <c r="BC972" s="169"/>
    </row>
    <row r="973" spans="19:55" ht="15.75" customHeight="1">
      <c r="S973" s="454"/>
      <c r="AN973" s="458"/>
      <c r="BA973" s="1305"/>
      <c r="BC973" s="169"/>
    </row>
    <row r="974" spans="19:55" ht="15.75" customHeight="1">
      <c r="S974" s="454"/>
      <c r="AN974" s="458"/>
      <c r="BA974" s="1305"/>
      <c r="BC974" s="169"/>
    </row>
    <row r="975" spans="19:55" ht="15.75" customHeight="1">
      <c r="S975" s="454"/>
      <c r="AN975" s="458"/>
      <c r="BA975" s="1305"/>
      <c r="BC975" s="169"/>
    </row>
    <row r="976" spans="19:55" ht="15.75" customHeight="1">
      <c r="S976" s="454"/>
      <c r="AN976" s="458"/>
      <c r="BA976" s="1305"/>
      <c r="BC976" s="169"/>
    </row>
    <row r="977" spans="19:55" ht="15.75" customHeight="1">
      <c r="S977" s="454"/>
      <c r="AN977" s="458"/>
      <c r="BA977" s="1305"/>
      <c r="BC977" s="169"/>
    </row>
    <row r="978" spans="19:55" ht="15.75" customHeight="1">
      <c r="S978" s="454"/>
      <c r="AN978" s="458"/>
      <c r="BA978" s="1305"/>
      <c r="BC978" s="169"/>
    </row>
    <row r="979" spans="19:55" ht="15.75" customHeight="1">
      <c r="S979" s="454"/>
      <c r="AN979" s="458"/>
      <c r="BA979" s="1305"/>
      <c r="BC979" s="169"/>
    </row>
    <row r="980" spans="19:55" ht="15.75" customHeight="1">
      <c r="S980" s="454"/>
      <c r="AN980" s="458"/>
      <c r="BA980" s="1305"/>
      <c r="BC980" s="169"/>
    </row>
    <row r="981" spans="19:55" ht="15.75" customHeight="1">
      <c r="S981" s="454"/>
      <c r="AN981" s="458"/>
      <c r="BA981" s="1305"/>
      <c r="BC981" s="169"/>
    </row>
    <row r="982" spans="19:55" ht="15.75" customHeight="1">
      <c r="S982" s="454"/>
      <c r="AN982" s="458"/>
      <c r="BA982" s="1266"/>
      <c r="BC982" s="169"/>
    </row>
    <row r="983" spans="19:55" ht="15.75" customHeight="1">
      <c r="S983" s="454"/>
      <c r="AN983" s="458"/>
      <c r="BA983" s="1266"/>
      <c r="BC983" s="169"/>
    </row>
    <row r="984" spans="19:55" ht="15.75" customHeight="1">
      <c r="S984" s="454"/>
      <c r="AN984" s="458"/>
      <c r="BA984" s="1266"/>
      <c r="BC984" s="169"/>
    </row>
    <row r="985" spans="19:55" ht="15.75" customHeight="1">
      <c r="S985" s="454"/>
      <c r="AN985" s="458"/>
      <c r="BA985" s="1266"/>
      <c r="BC985" s="169"/>
    </row>
    <row r="986" spans="19:55" ht="15.75" customHeight="1">
      <c r="S986" s="454"/>
      <c r="AN986" s="458"/>
      <c r="BA986" s="1266"/>
      <c r="BC986" s="169"/>
    </row>
    <row r="987" spans="19:55" ht="15.75" customHeight="1">
      <c r="S987" s="454"/>
      <c r="AN987" s="458"/>
      <c r="BA987" s="1266"/>
      <c r="BC987" s="169"/>
    </row>
    <row r="988" spans="19:55" ht="15.75" customHeight="1">
      <c r="S988" s="454"/>
      <c r="AN988" s="458"/>
      <c r="BA988" s="1266"/>
      <c r="BC988" s="169"/>
    </row>
    <row r="989" spans="19:55" ht="15.75" customHeight="1">
      <c r="S989" s="454"/>
      <c r="AN989" s="458"/>
      <c r="BA989" s="1266"/>
      <c r="BC989" s="169"/>
    </row>
    <row r="990" spans="19:55" ht="15.75" customHeight="1">
      <c r="S990" s="454"/>
      <c r="AN990" s="458"/>
      <c r="BA990" s="1266"/>
      <c r="BC990" s="169"/>
    </row>
    <row r="991" spans="19:55" ht="15.75" customHeight="1">
      <c r="S991" s="454"/>
      <c r="AN991" s="458"/>
      <c r="BA991" s="1266"/>
      <c r="BC991" s="169"/>
    </row>
    <row r="992" spans="19:55" ht="15.75" customHeight="1">
      <c r="S992" s="454"/>
      <c r="AN992" s="458"/>
      <c r="BA992" s="1266"/>
      <c r="BC992" s="169"/>
    </row>
    <row r="993" spans="19:55" ht="15.75" customHeight="1">
      <c r="S993" s="454"/>
      <c r="AN993" s="458"/>
      <c r="BA993" s="1266"/>
      <c r="BC993" s="169"/>
    </row>
    <row r="994" spans="19:55" ht="15.75" customHeight="1">
      <c r="S994" s="454"/>
      <c r="AN994" s="458"/>
      <c r="BA994" s="1266"/>
      <c r="BC994" s="169"/>
    </row>
    <row r="995" spans="19:55" ht="15.75" customHeight="1">
      <c r="S995" s="454"/>
      <c r="AN995" s="458"/>
      <c r="BA995" s="1266"/>
      <c r="BC995" s="169"/>
    </row>
    <row r="996" spans="19:55" ht="15.75" customHeight="1">
      <c r="S996" s="454"/>
      <c r="AN996" s="458"/>
      <c r="BA996" s="1266"/>
      <c r="BC996" s="169"/>
    </row>
    <row r="997" spans="19:55" ht="15.75" customHeight="1">
      <c r="S997" s="454"/>
      <c r="AN997" s="458"/>
      <c r="BA997" s="1266"/>
      <c r="BC997" s="169"/>
    </row>
    <row r="998" spans="19:55" ht="15.75" customHeight="1">
      <c r="S998" s="454"/>
      <c r="AN998" s="458"/>
      <c r="BA998" s="1266"/>
      <c r="BC998" s="169"/>
    </row>
    <row r="999" spans="19:55" ht="15.75" customHeight="1">
      <c r="S999" s="454"/>
      <c r="AN999" s="458"/>
      <c r="BA999" s="1266"/>
      <c r="BC999" s="169"/>
    </row>
    <row r="1000" spans="19:55" ht="15.75" customHeight="1">
      <c r="S1000" s="454"/>
      <c r="AN1000" s="458"/>
      <c r="BA1000" s="1266"/>
      <c r="BC1000" s="169"/>
    </row>
    <row r="1001" spans="19:55" ht="15.75" customHeight="1">
      <c r="S1001" s="454"/>
      <c r="AN1001" s="458"/>
      <c r="BA1001" s="1266"/>
      <c r="BC1001" s="169"/>
    </row>
    <row r="1002" spans="19:55" ht="15.75" customHeight="1">
      <c r="S1002" s="454"/>
      <c r="AN1002" s="458"/>
      <c r="BA1002" s="1266"/>
      <c r="BC1002" s="169"/>
    </row>
    <row r="1003" spans="19:55" ht="15.75" customHeight="1">
      <c r="S1003" s="454"/>
      <c r="AN1003" s="458"/>
      <c r="BA1003" s="1266"/>
      <c r="BC1003" s="169"/>
    </row>
    <row r="1004" spans="19:55" ht="15.75" customHeight="1">
      <c r="S1004" s="454"/>
      <c r="AN1004" s="458"/>
      <c r="BA1004" s="1266"/>
      <c r="BC1004" s="169"/>
    </row>
    <row r="1005" spans="19:55" ht="15.75" customHeight="1">
      <c r="S1005" s="454"/>
      <c r="AN1005" s="458"/>
      <c r="BA1005" s="1266"/>
      <c r="BC1005" s="169"/>
    </row>
    <row r="1006" spans="19:55" ht="15.75" customHeight="1">
      <c r="S1006" s="454"/>
      <c r="AN1006" s="458"/>
      <c r="BA1006" s="1266"/>
      <c r="BC1006" s="169"/>
    </row>
    <row r="1007" spans="19:55" ht="15.75" customHeight="1">
      <c r="S1007" s="454"/>
      <c r="AN1007" s="458"/>
      <c r="BA1007" s="1266"/>
      <c r="BC1007" s="169"/>
    </row>
    <row r="1008" spans="19:55" ht="15.75" customHeight="1">
      <c r="S1008" s="454"/>
      <c r="AN1008" s="458"/>
      <c r="BA1008" s="1266"/>
      <c r="BC1008" s="169"/>
    </row>
    <row r="1009" spans="19:55" ht="15.75" customHeight="1">
      <c r="S1009" s="454"/>
      <c r="AN1009" s="458"/>
      <c r="BA1009" s="1266"/>
      <c r="BC1009" s="169"/>
    </row>
    <row r="1010" spans="19:55" ht="15.75" customHeight="1">
      <c r="S1010" s="454"/>
      <c r="AN1010" s="458"/>
      <c r="BA1010" s="1266"/>
      <c r="BC1010" s="169"/>
    </row>
    <row r="1011" spans="19:55" ht="15.75" customHeight="1">
      <c r="S1011" s="454"/>
      <c r="AN1011" s="458"/>
      <c r="BA1011" s="1266"/>
      <c r="BC1011" s="169"/>
    </row>
    <row r="1012" spans="19:55" ht="15.75" customHeight="1">
      <c r="S1012" s="454"/>
      <c r="AN1012" s="458"/>
      <c r="BA1012" s="1266"/>
      <c r="BC1012" s="169"/>
    </row>
    <row r="1013" spans="19:55" ht="15.75" customHeight="1">
      <c r="S1013" s="454"/>
      <c r="AN1013" s="458"/>
      <c r="BA1013" s="1266"/>
      <c r="BC1013" s="169"/>
    </row>
    <row r="1014" spans="19:55" ht="15.75" customHeight="1">
      <c r="S1014" s="454"/>
      <c r="AN1014" s="458"/>
      <c r="BA1014" s="1266"/>
      <c r="BC1014" s="169"/>
    </row>
    <row r="1015" spans="19:55" ht="15.75" customHeight="1">
      <c r="S1015" s="454"/>
      <c r="AN1015" s="458"/>
      <c r="BA1015" s="1266"/>
      <c r="BC1015" s="169"/>
    </row>
    <row r="1016" spans="19:55" ht="15.75" customHeight="1">
      <c r="S1016" s="454"/>
      <c r="AN1016" s="458"/>
      <c r="BA1016" s="1266"/>
      <c r="BC1016" s="169"/>
    </row>
    <row r="1017" spans="19:55" ht="15.75" customHeight="1">
      <c r="S1017" s="454"/>
      <c r="AN1017" s="458"/>
      <c r="BA1017" s="1266"/>
      <c r="BC1017" s="169"/>
    </row>
    <row r="1018" spans="19:55" ht="15.75" customHeight="1">
      <c r="S1018" s="454"/>
      <c r="AN1018" s="458"/>
      <c r="BA1018" s="1266"/>
      <c r="BC1018" s="169"/>
    </row>
    <row r="1019" spans="19:55" ht="15.75" customHeight="1">
      <c r="S1019" s="454"/>
      <c r="AN1019" s="458"/>
      <c r="BA1019" s="1266"/>
      <c r="BC1019" s="169"/>
    </row>
    <row r="1020" spans="19:55" ht="15.75" customHeight="1">
      <c r="S1020" s="454"/>
      <c r="AN1020" s="458"/>
      <c r="BA1020" s="1266"/>
      <c r="BC1020" s="169"/>
    </row>
    <row r="1021" spans="19:55" ht="15.75" customHeight="1">
      <c r="S1021" s="454"/>
      <c r="AN1021" s="458"/>
      <c r="BA1021" s="1266"/>
      <c r="BC1021" s="169"/>
    </row>
    <row r="1022" spans="19:55" ht="15.75" customHeight="1">
      <c r="S1022" s="454"/>
      <c r="AN1022" s="458"/>
      <c r="BA1022" s="1266"/>
      <c r="BC1022" s="169"/>
    </row>
    <row r="1023" spans="19:55" ht="15.75" customHeight="1">
      <c r="S1023" s="454"/>
      <c r="AN1023" s="458"/>
      <c r="BA1023" s="1266"/>
      <c r="BC1023" s="169"/>
    </row>
    <row r="1024" spans="19:55" ht="15.75" customHeight="1">
      <c r="S1024" s="454"/>
      <c r="AN1024" s="458"/>
      <c r="BA1024" s="1266"/>
      <c r="BC1024" s="169"/>
    </row>
    <row r="1025" spans="19:55" ht="15.75" customHeight="1">
      <c r="S1025" s="454"/>
      <c r="AN1025" s="458"/>
      <c r="BA1025" s="1266"/>
      <c r="BC1025" s="169"/>
    </row>
    <row r="1026" spans="19:55" ht="15.75" customHeight="1">
      <c r="S1026" s="454"/>
      <c r="AN1026" s="458"/>
      <c r="BA1026" s="1266"/>
      <c r="BC1026" s="169"/>
    </row>
    <row r="1027" spans="19:55" ht="15.75" customHeight="1">
      <c r="S1027" s="454"/>
      <c r="AN1027" s="458"/>
      <c r="BA1027" s="1266"/>
      <c r="BC1027" s="169"/>
    </row>
    <row r="1028" spans="19:55" ht="15.75" customHeight="1">
      <c r="S1028" s="454"/>
      <c r="AN1028" s="458"/>
      <c r="BA1028" s="1266"/>
      <c r="BC1028" s="169"/>
    </row>
    <row r="1029" spans="19:55" ht="15.75" customHeight="1">
      <c r="S1029" s="454"/>
      <c r="AN1029" s="458"/>
      <c r="BA1029" s="1266"/>
      <c r="BC1029" s="169"/>
    </row>
    <row r="1030" spans="19:55" ht="15.75" customHeight="1">
      <c r="S1030" s="454"/>
      <c r="AN1030" s="458"/>
      <c r="BA1030" s="1266"/>
      <c r="BC1030" s="169"/>
    </row>
    <row r="1031" spans="19:55" ht="15.75" customHeight="1">
      <c r="S1031" s="454"/>
      <c r="AN1031" s="458"/>
      <c r="BA1031" s="1266"/>
      <c r="BC1031" s="169"/>
    </row>
    <row r="1032" spans="19:55" ht="15.75" customHeight="1">
      <c r="S1032" s="454"/>
      <c r="AN1032" s="458"/>
      <c r="BA1032" s="1266"/>
      <c r="BC1032" s="169"/>
    </row>
    <row r="1033" spans="19:55" ht="15.75" customHeight="1">
      <c r="S1033" s="454"/>
      <c r="AN1033" s="458"/>
      <c r="BA1033" s="1266"/>
      <c r="BC1033" s="169"/>
    </row>
    <row r="1034" spans="19:55" ht="15.75" customHeight="1">
      <c r="S1034" s="454"/>
      <c r="AN1034" s="458"/>
      <c r="BA1034" s="1266"/>
      <c r="BC1034" s="169"/>
    </row>
    <row r="1035" spans="19:55" ht="15.75" customHeight="1">
      <c r="S1035" s="454"/>
      <c r="AN1035" s="458"/>
      <c r="BA1035" s="1266"/>
      <c r="BC1035" s="169"/>
    </row>
    <row r="1036" spans="19:55" ht="15.75" customHeight="1">
      <c r="S1036" s="454"/>
      <c r="AN1036" s="458"/>
      <c r="BA1036" s="1266"/>
      <c r="BC1036" s="169"/>
    </row>
    <row r="1037" spans="19:55" ht="15.75" customHeight="1">
      <c r="S1037" s="454"/>
      <c r="AN1037" s="458"/>
      <c r="BA1037" s="1266"/>
      <c r="BC1037" s="169"/>
    </row>
    <row r="1038" spans="19:55" ht="15.75" customHeight="1">
      <c r="S1038" s="454"/>
      <c r="AN1038" s="458"/>
      <c r="BA1038" s="1266"/>
      <c r="BC1038" s="169"/>
    </row>
    <row r="1039" spans="19:55" ht="15.75" customHeight="1">
      <c r="S1039" s="454"/>
      <c r="AN1039" s="458"/>
      <c r="BA1039" s="1266"/>
      <c r="BC1039" s="169"/>
    </row>
    <row r="1040" spans="19:55" ht="15.75" customHeight="1">
      <c r="S1040" s="454"/>
      <c r="AN1040" s="458"/>
      <c r="BA1040" s="1266"/>
      <c r="BC1040" s="169"/>
    </row>
    <row r="1041" spans="19:55" ht="15.75" customHeight="1">
      <c r="S1041" s="454"/>
      <c r="AN1041" s="458"/>
      <c r="BA1041" s="1266"/>
      <c r="BC1041" s="169"/>
    </row>
    <row r="1042" spans="19:55" ht="15.75" customHeight="1">
      <c r="S1042" s="454"/>
      <c r="AN1042" s="458"/>
      <c r="BA1042" s="1266"/>
      <c r="BC1042" s="169"/>
    </row>
    <row r="1043" spans="19:55" ht="15.75" customHeight="1">
      <c r="S1043" s="454"/>
      <c r="AN1043" s="458"/>
      <c r="BA1043" s="1266"/>
      <c r="BC1043" s="169"/>
    </row>
    <row r="1044" spans="19:55" ht="15.75" customHeight="1">
      <c r="S1044" s="454"/>
      <c r="AN1044" s="458"/>
      <c r="BA1044" s="1266"/>
      <c r="BC1044" s="169"/>
    </row>
    <row r="1045" spans="19:55" ht="15.75" customHeight="1">
      <c r="S1045" s="454"/>
      <c r="AN1045" s="458"/>
      <c r="BA1045" s="1266"/>
      <c r="BC1045" s="169"/>
    </row>
    <row r="1046" spans="19:55" ht="15.75" customHeight="1">
      <c r="S1046" s="454"/>
      <c r="AN1046" s="458"/>
      <c r="BA1046" s="1266"/>
      <c r="BC1046" s="169"/>
    </row>
    <row r="1047" spans="19:55" ht="15.75" customHeight="1">
      <c r="S1047" s="454"/>
      <c r="AN1047" s="458"/>
      <c r="BA1047" s="1266"/>
      <c r="BC1047" s="169"/>
    </row>
    <row r="1048" spans="19:55" ht="15.75" customHeight="1">
      <c r="S1048" s="454"/>
      <c r="AN1048" s="458"/>
      <c r="BA1048" s="1266"/>
      <c r="BC1048" s="169"/>
    </row>
    <row r="1049" spans="19:55" ht="15.75" customHeight="1">
      <c r="S1049" s="454"/>
      <c r="AN1049" s="458"/>
      <c r="BA1049" s="1266"/>
      <c r="BC1049" s="169"/>
    </row>
    <row r="1050" spans="19:55" ht="15.75" customHeight="1">
      <c r="S1050" s="454"/>
      <c r="AN1050" s="458"/>
      <c r="BA1050" s="1266"/>
      <c r="BC1050" s="169"/>
    </row>
    <row r="1051" spans="19:55" ht="15.75" customHeight="1">
      <c r="S1051" s="454"/>
      <c r="AN1051" s="458"/>
      <c r="BA1051" s="1266"/>
      <c r="BC1051" s="169"/>
    </row>
    <row r="1052" spans="19:55" ht="15.75" customHeight="1">
      <c r="S1052" s="454"/>
      <c r="AN1052" s="458"/>
      <c r="BA1052" s="1266"/>
      <c r="BC1052" s="169"/>
    </row>
    <row r="1053" spans="19:55" ht="15.75" customHeight="1">
      <c r="S1053" s="454"/>
      <c r="AN1053" s="458"/>
      <c r="BA1053" s="1266"/>
      <c r="BC1053" s="169"/>
    </row>
    <row r="1054" spans="19:55" ht="15.75" customHeight="1">
      <c r="S1054" s="454"/>
      <c r="AN1054" s="458"/>
      <c r="BA1054" s="1266"/>
      <c r="BC1054" s="169"/>
    </row>
    <row r="1055" spans="19:55" ht="15.75" customHeight="1">
      <c r="S1055" s="454"/>
      <c r="AN1055" s="458"/>
      <c r="BA1055" s="1266"/>
      <c r="BC1055" s="169"/>
    </row>
    <row r="1056" spans="19:55" ht="15.75" customHeight="1">
      <c r="S1056" s="454"/>
      <c r="AN1056" s="458"/>
      <c r="BA1056" s="1266"/>
      <c r="BC1056" s="169"/>
    </row>
    <row r="1057" spans="19:55" ht="15.75" customHeight="1">
      <c r="S1057" s="454"/>
      <c r="AN1057" s="458"/>
      <c r="BA1057" s="1266"/>
      <c r="BC1057" s="169"/>
    </row>
    <row r="1058" spans="19:55" ht="15.75" customHeight="1">
      <c r="S1058" s="454"/>
      <c r="AN1058" s="458"/>
      <c r="BA1058" s="1266"/>
      <c r="BC1058" s="169"/>
    </row>
    <row r="1059" spans="19:55" ht="15.75" customHeight="1">
      <c r="S1059" s="454"/>
      <c r="AN1059" s="458"/>
      <c r="BA1059" s="1266"/>
      <c r="BC1059" s="169"/>
    </row>
    <row r="1060" spans="19:55" ht="15.75" customHeight="1">
      <c r="S1060" s="454"/>
      <c r="AN1060" s="458"/>
      <c r="BA1060" s="1266"/>
      <c r="BC1060" s="169"/>
    </row>
    <row r="1061" spans="19:55" ht="15.75" customHeight="1">
      <c r="S1061" s="454"/>
      <c r="AN1061" s="458"/>
      <c r="BA1061" s="1266"/>
      <c r="BC1061" s="169"/>
    </row>
    <row r="1062" spans="19:55" ht="15.75" customHeight="1">
      <c r="S1062" s="454"/>
      <c r="AN1062" s="458"/>
      <c r="BA1062" s="1266"/>
      <c r="BC1062" s="169"/>
    </row>
    <row r="1063" spans="19:55" ht="15.75" customHeight="1">
      <c r="S1063" s="454"/>
      <c r="AN1063" s="458"/>
      <c r="BA1063" s="1266"/>
      <c r="BC1063" s="169"/>
    </row>
    <row r="1064" spans="19:55" ht="15.75" customHeight="1">
      <c r="S1064" s="454"/>
      <c r="AN1064" s="458"/>
      <c r="BA1064" s="1266"/>
      <c r="BC1064" s="169"/>
    </row>
    <row r="1065" spans="19:55" ht="15.75" customHeight="1">
      <c r="S1065" s="454"/>
      <c r="AN1065" s="458"/>
      <c r="BA1065" s="1266"/>
      <c r="BC1065" s="169"/>
    </row>
    <row r="1066" spans="19:55" ht="15.75" customHeight="1">
      <c r="S1066" s="454"/>
      <c r="AN1066" s="458"/>
      <c r="BA1066" s="1266"/>
      <c r="BC1066" s="169"/>
    </row>
    <row r="1067" spans="19:55" ht="15.75" customHeight="1">
      <c r="S1067" s="454"/>
      <c r="AN1067" s="458"/>
      <c r="BA1067" s="1266"/>
      <c r="BC1067" s="169"/>
    </row>
    <row r="1068" spans="19:55" ht="15.75" customHeight="1">
      <c r="S1068" s="454"/>
      <c r="AN1068" s="458"/>
      <c r="BA1068" s="1266"/>
      <c r="BC1068" s="169"/>
    </row>
    <row r="1069" spans="19:55" ht="15.75" customHeight="1">
      <c r="S1069" s="454"/>
      <c r="AN1069" s="458"/>
      <c r="BA1069" s="1266"/>
      <c r="BC1069" s="169"/>
    </row>
    <row r="1070" spans="19:55" ht="15.75" customHeight="1">
      <c r="S1070" s="454"/>
      <c r="AN1070" s="458"/>
      <c r="BA1070" s="1266"/>
      <c r="BC1070" s="169"/>
    </row>
    <row r="1071" spans="19:55" ht="15.75" customHeight="1">
      <c r="S1071" s="454"/>
      <c r="AN1071" s="458"/>
      <c r="BA1071" s="1266"/>
      <c r="BC1071" s="169"/>
    </row>
    <row r="1072" spans="19:55" ht="15.75" customHeight="1">
      <c r="S1072" s="454"/>
      <c r="AN1072" s="458"/>
      <c r="BA1072" s="1266"/>
      <c r="BC1072" s="169"/>
    </row>
    <row r="1073" spans="19:55" ht="15.75" customHeight="1">
      <c r="S1073" s="454"/>
      <c r="AN1073" s="458"/>
      <c r="BA1073" s="1266"/>
      <c r="BC1073" s="169"/>
    </row>
    <row r="1074" spans="19:55" ht="15.75" customHeight="1">
      <c r="S1074" s="454"/>
      <c r="AN1074" s="458"/>
      <c r="BA1074" s="1266"/>
      <c r="BC1074" s="169"/>
    </row>
    <row r="1075" spans="19:55" ht="15.75" customHeight="1">
      <c r="S1075" s="454"/>
      <c r="AN1075" s="458"/>
      <c r="BA1075" s="1266"/>
      <c r="BC1075" s="169"/>
    </row>
    <row r="1076" spans="19:55" ht="15.75" customHeight="1">
      <c r="S1076" s="454"/>
      <c r="AN1076" s="458"/>
      <c r="BA1076" s="1266"/>
      <c r="BC1076" s="169"/>
    </row>
    <row r="1077" spans="19:55" ht="15.75" customHeight="1">
      <c r="S1077" s="454"/>
      <c r="AN1077" s="458"/>
      <c r="BA1077" s="1266"/>
      <c r="BC1077" s="169"/>
    </row>
    <row r="1078" spans="19:55" ht="15.75" customHeight="1">
      <c r="S1078" s="454"/>
      <c r="AN1078" s="458"/>
      <c r="BA1078" s="1266"/>
      <c r="BC1078" s="169"/>
    </row>
    <row r="1079" spans="19:55" ht="15.75" customHeight="1">
      <c r="S1079" s="454"/>
      <c r="AN1079" s="458"/>
      <c r="BA1079" s="1266"/>
      <c r="BC1079" s="169"/>
    </row>
    <row r="1080" spans="19:55" ht="15.75" customHeight="1">
      <c r="S1080" s="454"/>
      <c r="AN1080" s="458"/>
      <c r="BA1080" s="1266"/>
      <c r="BC1080" s="169"/>
    </row>
    <row r="1081" spans="19:55" ht="15.75" customHeight="1">
      <c r="S1081" s="454"/>
      <c r="AN1081" s="458"/>
      <c r="BA1081" s="1266"/>
      <c r="BC1081" s="169"/>
    </row>
    <row r="1082" spans="19:55" ht="15.75" customHeight="1">
      <c r="S1082" s="454"/>
      <c r="AN1082" s="458"/>
      <c r="BA1082" s="1266"/>
      <c r="BC1082" s="169"/>
    </row>
    <row r="1083" spans="19:55" ht="15.75" customHeight="1">
      <c r="S1083" s="454"/>
      <c r="AN1083" s="458"/>
      <c r="BA1083" s="1266"/>
      <c r="BC1083" s="169"/>
    </row>
    <row r="1084" spans="19:55" ht="15.75" customHeight="1">
      <c r="S1084" s="454"/>
      <c r="AN1084" s="458"/>
      <c r="BA1084" s="1266"/>
      <c r="BC1084" s="169"/>
    </row>
    <row r="1085" spans="19:55" ht="15.75" customHeight="1">
      <c r="S1085" s="454"/>
      <c r="AN1085" s="458"/>
      <c r="BA1085" s="1266"/>
      <c r="BC1085" s="169"/>
    </row>
    <row r="1086" spans="19:55" ht="15.75" customHeight="1">
      <c r="S1086" s="454"/>
      <c r="AN1086" s="458"/>
      <c r="BA1086" s="1266"/>
      <c r="BC1086" s="169"/>
    </row>
    <row r="1087" spans="19:55" ht="15.75" customHeight="1">
      <c r="S1087" s="454"/>
      <c r="AN1087" s="458"/>
      <c r="BA1087" s="1266"/>
      <c r="BC1087" s="169"/>
    </row>
    <row r="1088" spans="19:55" ht="15.75" customHeight="1">
      <c r="S1088" s="454"/>
      <c r="AN1088" s="458"/>
      <c r="BA1088" s="1266"/>
      <c r="BC1088" s="169"/>
    </row>
    <row r="1089" spans="19:55" ht="15.75" customHeight="1">
      <c r="S1089" s="454"/>
      <c r="AN1089" s="458"/>
      <c r="BA1089" s="1266"/>
      <c r="BC1089" s="169"/>
    </row>
    <row r="1090" spans="19:55" ht="15.75" customHeight="1">
      <c r="S1090" s="454"/>
      <c r="AN1090" s="458"/>
      <c r="BA1090" s="1266"/>
      <c r="BC1090" s="169"/>
    </row>
    <row r="1091" spans="19:55" ht="15.75" customHeight="1">
      <c r="S1091" s="454"/>
      <c r="AN1091" s="458"/>
      <c r="BA1091" s="1266"/>
      <c r="BC1091" s="169"/>
    </row>
    <row r="1092" spans="19:55" ht="15.75" customHeight="1">
      <c r="S1092" s="454"/>
      <c r="AN1092" s="458"/>
      <c r="BA1092" s="1266"/>
      <c r="BC1092" s="169"/>
    </row>
    <row r="1093" spans="19:55" ht="15.75" customHeight="1">
      <c r="S1093" s="454"/>
      <c r="AN1093" s="458"/>
      <c r="BA1093" s="1266"/>
      <c r="BC1093" s="169"/>
    </row>
    <row r="1094" spans="19:55" ht="15.75" customHeight="1">
      <c r="S1094" s="454"/>
      <c r="AN1094" s="458"/>
      <c r="BA1094" s="1266"/>
      <c r="BC1094" s="169"/>
    </row>
    <row r="1095" spans="19:55" ht="15.75" customHeight="1">
      <c r="S1095" s="454"/>
      <c r="AN1095" s="458"/>
      <c r="BA1095" s="1266"/>
      <c r="BC1095" s="169"/>
    </row>
    <row r="1096" spans="19:55" ht="15.75" customHeight="1">
      <c r="S1096" s="454"/>
      <c r="AN1096" s="458"/>
      <c r="BA1096" s="1266"/>
      <c r="BC1096" s="169"/>
    </row>
    <row r="1097" spans="19:55" ht="15.75" customHeight="1">
      <c r="S1097" s="454"/>
      <c r="AN1097" s="458"/>
      <c r="BA1097" s="1266"/>
      <c r="BC1097" s="169"/>
    </row>
    <row r="1098" spans="19:55" ht="15.75" customHeight="1">
      <c r="S1098" s="454"/>
      <c r="AN1098" s="458"/>
      <c r="BA1098" s="1266"/>
      <c r="BC1098" s="169"/>
    </row>
    <row r="1099" spans="19:55" ht="15.75" customHeight="1">
      <c r="S1099" s="454"/>
      <c r="AN1099" s="458"/>
      <c r="BA1099" s="1266"/>
      <c r="BC1099" s="169"/>
    </row>
    <row r="1100" spans="19:55" ht="15.75" customHeight="1">
      <c r="S1100" s="454"/>
      <c r="AN1100" s="458"/>
      <c r="BA1100" s="1266"/>
      <c r="BC1100" s="169"/>
    </row>
    <row r="1101" spans="19:55" ht="15.75" customHeight="1">
      <c r="S1101" s="454"/>
      <c r="AN1101" s="458"/>
      <c r="BA1101" s="1266"/>
      <c r="BC1101" s="169"/>
    </row>
    <row r="1102" spans="19:55" ht="15.75" customHeight="1">
      <c r="S1102" s="454"/>
      <c r="AN1102" s="458"/>
      <c r="BA1102" s="1266"/>
      <c r="BC1102" s="169"/>
    </row>
    <row r="1103" spans="19:55" ht="15.75" customHeight="1">
      <c r="S1103" s="454"/>
      <c r="AN1103" s="458"/>
      <c r="BA1103" s="1266"/>
      <c r="BC1103" s="169"/>
    </row>
    <row r="1104" spans="19:55" ht="15.75" customHeight="1">
      <c r="S1104" s="454"/>
      <c r="AN1104" s="458"/>
      <c r="BA1104" s="1266"/>
      <c r="BC1104" s="169"/>
    </row>
    <row r="1105" spans="19:55" ht="15.75" customHeight="1">
      <c r="S1105" s="454"/>
      <c r="AN1105" s="458"/>
      <c r="BA1105" s="1266"/>
      <c r="BC1105" s="169"/>
    </row>
    <row r="1106" spans="19:55" ht="15.75" customHeight="1">
      <c r="S1106" s="454"/>
      <c r="AN1106" s="458"/>
      <c r="BA1106" s="1266"/>
      <c r="BC1106" s="169"/>
    </row>
    <row r="1107" spans="19:55" ht="15.75" customHeight="1">
      <c r="S1107" s="454"/>
      <c r="AN1107" s="458"/>
      <c r="BA1107" s="1266"/>
      <c r="BC1107" s="169"/>
    </row>
    <row r="1108" spans="19:55" ht="15.75" customHeight="1">
      <c r="S1108" s="454"/>
      <c r="AN1108" s="458"/>
      <c r="BA1108" s="1266"/>
      <c r="BC1108" s="169"/>
    </row>
    <row r="1109" spans="19:55" ht="15.75" customHeight="1">
      <c r="S1109" s="454"/>
      <c r="AN1109" s="458"/>
      <c r="BA1109" s="1266"/>
      <c r="BC1109" s="169"/>
    </row>
    <row r="1110" spans="19:55" ht="15.75" customHeight="1">
      <c r="S1110" s="454"/>
      <c r="AN1110" s="458"/>
      <c r="BA1110" s="1266"/>
      <c r="BC1110" s="169"/>
    </row>
    <row r="1111" spans="19:55" ht="15.75" customHeight="1">
      <c r="S1111" s="454"/>
      <c r="AN1111" s="458"/>
      <c r="BA1111" s="1266"/>
      <c r="BC1111" s="169"/>
    </row>
    <row r="1112" spans="19:55" ht="15.75" customHeight="1">
      <c r="S1112" s="454"/>
      <c r="AN1112" s="458"/>
      <c r="BA1112" s="1266"/>
      <c r="BC1112" s="169"/>
    </row>
    <row r="1113" spans="19:55" ht="15.75" customHeight="1">
      <c r="S1113" s="454"/>
      <c r="AN1113" s="458"/>
      <c r="BA1113" s="1266"/>
      <c r="BC1113" s="169"/>
    </row>
    <row r="1114" spans="19:55" ht="15.75" customHeight="1">
      <c r="S1114" s="454"/>
      <c r="AN1114" s="458"/>
      <c r="BA1114" s="1266"/>
      <c r="BC1114" s="169"/>
    </row>
    <row r="1115" spans="19:55" ht="15.75" customHeight="1">
      <c r="S1115" s="454"/>
      <c r="AN1115" s="458"/>
      <c r="BA1115" s="1266"/>
      <c r="BC1115" s="169"/>
    </row>
    <row r="1116" spans="19:55" ht="15.75" customHeight="1">
      <c r="S1116" s="454"/>
      <c r="AN1116" s="458"/>
      <c r="BA1116" s="1266"/>
      <c r="BC1116" s="169"/>
    </row>
    <row r="1117" spans="19:55" ht="15.75" customHeight="1">
      <c r="S1117" s="454"/>
      <c r="AN1117" s="458"/>
      <c r="BA1117" s="1266"/>
      <c r="BC1117" s="169"/>
    </row>
    <row r="1118" spans="19:55" ht="15.75" customHeight="1">
      <c r="S1118" s="454"/>
      <c r="AN1118" s="458"/>
      <c r="BA1118" s="1266"/>
      <c r="BC1118" s="169"/>
    </row>
    <row r="1119" spans="19:55" ht="15.75" customHeight="1">
      <c r="S1119" s="454"/>
      <c r="AN1119" s="458"/>
      <c r="BA1119" s="1266"/>
      <c r="BC1119" s="169"/>
    </row>
    <row r="1120" spans="19:55" ht="15.75" customHeight="1">
      <c r="S1120" s="454"/>
      <c r="AN1120" s="458"/>
      <c r="BA1120" s="1266"/>
      <c r="BC1120" s="169"/>
    </row>
    <row r="1121" spans="19:55" ht="15.75" customHeight="1">
      <c r="S1121" s="454"/>
      <c r="AN1121" s="458"/>
      <c r="BA1121" s="1266"/>
      <c r="BC1121" s="169"/>
    </row>
    <row r="1122" spans="19:55" ht="15.75" customHeight="1">
      <c r="S1122" s="454"/>
      <c r="AN1122" s="458"/>
      <c r="BA1122" s="1266"/>
      <c r="BC1122" s="169"/>
    </row>
    <row r="1123" spans="19:55" ht="15.75" customHeight="1">
      <c r="S1123" s="454"/>
      <c r="AN1123" s="458"/>
      <c r="BA1123" s="1266"/>
      <c r="BC1123" s="169"/>
    </row>
    <row r="1124" spans="19:55" ht="15.75" customHeight="1">
      <c r="S1124" s="454"/>
      <c r="AN1124" s="458"/>
      <c r="BA1124" s="1266"/>
      <c r="BC1124" s="169"/>
    </row>
    <row r="1125" spans="19:55" ht="15.75" customHeight="1">
      <c r="S1125" s="454"/>
      <c r="AN1125" s="458"/>
      <c r="BA1125" s="1266"/>
      <c r="BC1125" s="169"/>
    </row>
    <row r="1126" spans="19:55" ht="15.75" customHeight="1">
      <c r="S1126" s="454"/>
      <c r="AN1126" s="458"/>
      <c r="BA1126" s="1266"/>
      <c r="BC1126" s="169"/>
    </row>
    <row r="1127" spans="19:55" ht="15.75" customHeight="1">
      <c r="S1127" s="454"/>
      <c r="AN1127" s="458"/>
      <c r="BA1127" s="1266"/>
      <c r="BC1127" s="169"/>
    </row>
    <row r="1128" spans="19:55" ht="15.75" customHeight="1">
      <c r="S1128" s="454"/>
      <c r="AN1128" s="458"/>
      <c r="BA1128" s="1266"/>
      <c r="BC1128" s="169"/>
    </row>
    <row r="1129" spans="19:55" ht="15.75" customHeight="1">
      <c r="S1129" s="454"/>
      <c r="AN1129" s="458"/>
      <c r="BA1129" s="1266"/>
      <c r="BC1129" s="169"/>
    </row>
    <row r="1130" spans="19:55" ht="15.75" customHeight="1">
      <c r="S1130" s="454"/>
      <c r="AN1130" s="458"/>
      <c r="BA1130" s="1266"/>
      <c r="BC1130" s="169"/>
    </row>
    <row r="1131" spans="19:55" ht="15.75" customHeight="1">
      <c r="S1131" s="454"/>
      <c r="AN1131" s="458"/>
      <c r="BA1131" s="1266"/>
      <c r="BC1131" s="169"/>
    </row>
    <row r="1132" spans="19:55" ht="15.75" customHeight="1">
      <c r="S1132" s="454"/>
      <c r="AN1132" s="458"/>
      <c r="BA1132" s="1266"/>
      <c r="BC1132" s="169"/>
    </row>
    <row r="1133" spans="19:55" ht="15.75" customHeight="1">
      <c r="S1133" s="454"/>
      <c r="AN1133" s="458"/>
      <c r="BA1133" s="1266"/>
      <c r="BC1133" s="169"/>
    </row>
    <row r="1134" spans="19:55" ht="15.75" customHeight="1">
      <c r="S1134" s="454"/>
      <c r="AN1134" s="458"/>
      <c r="BA1134" s="1266"/>
      <c r="BC1134" s="169"/>
    </row>
    <row r="1135" spans="19:55" ht="15.75" customHeight="1">
      <c r="S1135" s="454"/>
      <c r="AN1135" s="458"/>
      <c r="BA1135" s="1266"/>
      <c r="BC1135" s="169"/>
    </row>
    <row r="1136" spans="19:55" ht="15.75" customHeight="1">
      <c r="S1136" s="454"/>
      <c r="AN1136" s="458"/>
      <c r="BA1136" s="1266"/>
      <c r="BC1136" s="169"/>
    </row>
    <row r="1137" spans="19:55" ht="15.75" customHeight="1">
      <c r="S1137" s="454"/>
      <c r="AN1137" s="458"/>
      <c r="BA1137" s="1266"/>
      <c r="BC1137" s="169"/>
    </row>
    <row r="1138" spans="19:55" ht="15.75" customHeight="1">
      <c r="S1138" s="454"/>
      <c r="AN1138" s="458"/>
      <c r="BA1138" s="1266"/>
      <c r="BC1138" s="169"/>
    </row>
    <row r="1139" spans="19:55" ht="15.75" customHeight="1">
      <c r="S1139" s="454"/>
      <c r="AN1139" s="458"/>
      <c r="BA1139" s="1266"/>
      <c r="BC1139" s="169"/>
    </row>
    <row r="1140" spans="19:55" ht="15.75" customHeight="1">
      <c r="S1140" s="454"/>
      <c r="AN1140" s="458"/>
      <c r="BA1140" s="1266"/>
      <c r="BC1140" s="169"/>
    </row>
    <row r="1141" spans="19:55" ht="15.75" customHeight="1">
      <c r="S1141" s="454"/>
      <c r="AN1141" s="458"/>
      <c r="BA1141" s="1266"/>
      <c r="BC1141" s="169"/>
    </row>
    <row r="1142" spans="19:55" ht="15.75" customHeight="1">
      <c r="S1142" s="454"/>
      <c r="AN1142" s="458"/>
      <c r="BA1142" s="1266"/>
      <c r="BC1142" s="169"/>
    </row>
    <row r="1143" spans="19:55" ht="15.75" customHeight="1">
      <c r="S1143" s="454"/>
      <c r="AN1143" s="458"/>
      <c r="BA1143" s="1266"/>
      <c r="BC1143" s="169"/>
    </row>
    <row r="1144" spans="19:55" ht="15.75" customHeight="1">
      <c r="S1144" s="454"/>
      <c r="AN1144" s="458"/>
      <c r="BA1144" s="1266"/>
      <c r="BC1144" s="169"/>
    </row>
    <row r="1145" spans="19:55" ht="15.75" customHeight="1">
      <c r="S1145" s="454"/>
      <c r="AN1145" s="458"/>
      <c r="BA1145" s="1266"/>
      <c r="BC1145" s="169"/>
    </row>
    <row r="1146" spans="19:55" ht="15.75" customHeight="1">
      <c r="S1146" s="454"/>
      <c r="AN1146" s="458"/>
      <c r="BA1146" s="1266"/>
      <c r="BC1146" s="169"/>
    </row>
    <row r="1147" spans="19:55" ht="15.75" customHeight="1">
      <c r="S1147" s="454"/>
      <c r="AN1147" s="458"/>
      <c r="BA1147" s="1266"/>
      <c r="BC1147" s="169"/>
    </row>
    <row r="1148" spans="19:55" ht="15.75" customHeight="1">
      <c r="S1148" s="454"/>
      <c r="AN1148" s="458"/>
      <c r="BA1148" s="1266"/>
      <c r="BC1148" s="169"/>
    </row>
    <row r="1149" spans="19:55" ht="15.75" customHeight="1">
      <c r="S1149" s="454"/>
      <c r="AN1149" s="458"/>
      <c r="BA1149" s="1266"/>
      <c r="BC1149" s="169"/>
    </row>
    <row r="1150" spans="19:55" ht="15.75" customHeight="1">
      <c r="S1150" s="454"/>
      <c r="AN1150" s="458"/>
      <c r="BA1150" s="1266"/>
      <c r="BC1150" s="169"/>
    </row>
    <row r="1151" spans="19:55" ht="15.75" customHeight="1">
      <c r="S1151" s="454"/>
      <c r="AN1151" s="458"/>
      <c r="BA1151" s="1266"/>
      <c r="BC1151" s="169"/>
    </row>
    <row r="1152" spans="19:55" ht="15.75" customHeight="1">
      <c r="S1152" s="454"/>
      <c r="AN1152" s="458"/>
      <c r="BA1152" s="1266"/>
      <c r="BC1152" s="169"/>
    </row>
    <row r="1153" spans="19:55" ht="15.75" customHeight="1">
      <c r="S1153" s="454"/>
      <c r="AN1153" s="458"/>
      <c r="BA1153" s="1266"/>
      <c r="BC1153" s="169"/>
    </row>
    <row r="1154" spans="19:55" ht="15.75" customHeight="1">
      <c r="S1154" s="454"/>
      <c r="AN1154" s="458"/>
      <c r="BA1154" s="1266"/>
      <c r="BC1154" s="169"/>
    </row>
    <row r="1155" spans="19:55" ht="15.75" customHeight="1">
      <c r="S1155" s="454"/>
      <c r="AN1155" s="458"/>
      <c r="BA1155" s="1266"/>
      <c r="BC1155" s="169"/>
    </row>
    <row r="1156" spans="19:55" ht="15.75" customHeight="1">
      <c r="S1156" s="454"/>
      <c r="AN1156" s="458"/>
      <c r="BA1156" s="1266"/>
      <c r="BC1156" s="169"/>
    </row>
    <row r="1157" spans="19:55" ht="15.75" customHeight="1">
      <c r="S1157" s="454"/>
      <c r="AN1157" s="458"/>
      <c r="BA1157" s="1266"/>
      <c r="BC1157" s="169"/>
    </row>
    <row r="1158" spans="19:55" ht="15.75" customHeight="1">
      <c r="S1158" s="454"/>
      <c r="AN1158" s="458"/>
      <c r="BA1158" s="1266"/>
      <c r="BC1158" s="169"/>
    </row>
    <row r="1159" spans="19:55" ht="15.75" customHeight="1">
      <c r="S1159" s="454"/>
      <c r="AN1159" s="458"/>
      <c r="BA1159" s="1266"/>
      <c r="BC1159" s="169"/>
    </row>
    <row r="1160" spans="19:55" ht="15.75" customHeight="1">
      <c r="S1160" s="454"/>
      <c r="AN1160" s="458"/>
      <c r="BA1160" s="1266"/>
      <c r="BC1160" s="169"/>
    </row>
    <row r="1161" spans="19:55" ht="15.75" customHeight="1">
      <c r="S1161" s="454"/>
      <c r="AN1161" s="458"/>
      <c r="BA1161" s="1266"/>
      <c r="BC1161" s="169"/>
    </row>
    <row r="1162" spans="19:55" ht="15.75" customHeight="1">
      <c r="S1162" s="454"/>
      <c r="AN1162" s="458"/>
      <c r="BA1162" s="1266"/>
      <c r="BC1162" s="169"/>
    </row>
    <row r="1163" spans="19:55" ht="15.75" customHeight="1">
      <c r="S1163" s="454"/>
      <c r="AN1163" s="458"/>
      <c r="BA1163" s="1266"/>
      <c r="BC1163" s="169"/>
    </row>
    <row r="1164" spans="19:55" ht="15.75" customHeight="1">
      <c r="S1164" s="454"/>
      <c r="AN1164" s="458"/>
      <c r="BA1164" s="1266"/>
      <c r="BC1164" s="169"/>
    </row>
    <row r="1165" spans="19:55" ht="15.75" customHeight="1">
      <c r="S1165" s="454"/>
      <c r="AN1165" s="458"/>
      <c r="BA1165" s="1266"/>
      <c r="BC1165" s="169"/>
    </row>
    <row r="1166" spans="19:55" ht="15.75" customHeight="1">
      <c r="S1166" s="454"/>
      <c r="AN1166" s="458"/>
      <c r="BA1166" s="1266"/>
      <c r="BC1166" s="169"/>
    </row>
    <row r="1167" spans="19:55" ht="15.75" customHeight="1">
      <c r="S1167" s="454"/>
      <c r="AN1167" s="458"/>
      <c r="BA1167" s="1266"/>
      <c r="BC1167" s="169"/>
    </row>
    <row r="1168" spans="19:55" ht="15.75" customHeight="1">
      <c r="S1168" s="454"/>
      <c r="AN1168" s="458"/>
      <c r="BA1168" s="1266"/>
      <c r="BC1168" s="169"/>
    </row>
    <row r="1169" spans="19:55" ht="15.75" customHeight="1">
      <c r="S1169" s="454"/>
      <c r="AN1169" s="458"/>
      <c r="BA1169" s="1266"/>
      <c r="BC1169" s="169"/>
    </row>
    <row r="1170" spans="19:55" ht="15.75" customHeight="1">
      <c r="S1170" s="454"/>
      <c r="AN1170" s="458"/>
      <c r="BA1170" s="1266"/>
      <c r="BC1170" s="169"/>
    </row>
    <row r="1171" spans="19:55" ht="15.75" customHeight="1">
      <c r="S1171" s="454"/>
      <c r="AN1171" s="458"/>
      <c r="BA1171" s="1266"/>
      <c r="BC1171" s="169"/>
    </row>
    <row r="1172" spans="19:55" ht="15.75" customHeight="1">
      <c r="S1172" s="454"/>
      <c r="AN1172" s="458"/>
      <c r="BA1172" s="1266"/>
      <c r="BC1172" s="169"/>
    </row>
    <row r="1173" spans="19:55" ht="15.75" customHeight="1">
      <c r="S1173" s="454"/>
      <c r="AN1173" s="458"/>
      <c r="BA1173" s="1266"/>
      <c r="BC1173" s="169"/>
    </row>
    <row r="1174" spans="19:55" ht="15.75" customHeight="1">
      <c r="S1174" s="454"/>
      <c r="AN1174" s="458"/>
      <c r="BA1174" s="1266"/>
      <c r="BC1174" s="169"/>
    </row>
    <row r="1175" spans="19:55" ht="15.75" customHeight="1">
      <c r="S1175" s="454"/>
      <c r="AN1175" s="458"/>
      <c r="BA1175" s="1266"/>
      <c r="BC1175" s="169"/>
    </row>
    <row r="1176" spans="19:55" ht="15.75" customHeight="1">
      <c r="S1176" s="454"/>
      <c r="AN1176" s="458"/>
      <c r="BA1176" s="1266"/>
      <c r="BC1176" s="169"/>
    </row>
    <row r="1177" spans="19:55" ht="15.75" customHeight="1">
      <c r="S1177" s="454"/>
      <c r="AN1177" s="458"/>
      <c r="BA1177" s="1266"/>
      <c r="BC1177" s="169"/>
    </row>
    <row r="1178" spans="19:55" ht="15.75" customHeight="1">
      <c r="S1178" s="454"/>
      <c r="AN1178" s="458"/>
      <c r="BA1178" s="1266"/>
      <c r="BC1178" s="169"/>
    </row>
    <row r="1179" spans="19:55" ht="15.75" customHeight="1">
      <c r="S1179" s="454"/>
      <c r="AN1179" s="458"/>
      <c r="BA1179" s="1266"/>
      <c r="BC1179" s="169"/>
    </row>
    <row r="1180" spans="19:55" ht="15.75" customHeight="1">
      <c r="S1180" s="454"/>
      <c r="AN1180" s="458"/>
      <c r="BA1180" s="1266"/>
      <c r="BC1180" s="169"/>
    </row>
    <row r="1181" spans="19:55" ht="15.75" customHeight="1">
      <c r="S1181" s="454"/>
      <c r="AN1181" s="458"/>
      <c r="BA1181" s="1266"/>
      <c r="BC1181" s="169"/>
    </row>
    <row r="1182" spans="19:55" ht="15.75" customHeight="1">
      <c r="S1182" s="454"/>
      <c r="AN1182" s="458"/>
      <c r="BA1182" s="1266"/>
      <c r="BC1182" s="169"/>
    </row>
    <row r="1183" spans="19:55" ht="15.75" customHeight="1">
      <c r="S1183" s="454"/>
      <c r="AN1183" s="458"/>
      <c r="BA1183" s="1266"/>
      <c r="BC1183" s="169"/>
    </row>
    <row r="1184" spans="19:55" ht="15.75" customHeight="1">
      <c r="S1184" s="454"/>
      <c r="AN1184" s="458"/>
      <c r="BA1184" s="1266"/>
      <c r="BC1184" s="169"/>
    </row>
    <row r="1185" spans="19:55" ht="15.75" customHeight="1">
      <c r="S1185" s="454"/>
      <c r="AN1185" s="458"/>
      <c r="BC1185" s="169"/>
    </row>
    <row r="1186" spans="19:55" ht="15.75" customHeight="1">
      <c r="S1186" s="454"/>
      <c r="AN1186" s="458"/>
      <c r="BC1186" s="169"/>
    </row>
    <row r="1187" spans="19:55" ht="15.75" customHeight="1">
      <c r="S1187" s="454"/>
      <c r="AN1187" s="458"/>
      <c r="BC1187" s="169"/>
    </row>
    <row r="1188" spans="19:55" ht="15.75" customHeight="1">
      <c r="S1188" s="454"/>
      <c r="AN1188" s="458"/>
      <c r="BC1188" s="169"/>
    </row>
    <row r="1189" spans="19:55" ht="15.75" customHeight="1">
      <c r="S1189" s="454"/>
      <c r="AN1189" s="458"/>
      <c r="BC1189" s="169"/>
    </row>
    <row r="1190" spans="19:55" ht="15.75" customHeight="1">
      <c r="S1190" s="454"/>
      <c r="AN1190" s="458"/>
      <c r="BC1190" s="169"/>
    </row>
    <row r="1191" spans="19:55" ht="15.75" customHeight="1">
      <c r="S1191" s="454"/>
      <c r="AN1191" s="458"/>
      <c r="BC1191" s="169"/>
    </row>
    <row r="1192" spans="19:55" ht="15.75" customHeight="1">
      <c r="S1192" s="454"/>
      <c r="AN1192" s="458"/>
      <c r="BC1192" s="169"/>
    </row>
    <row r="1193" spans="19:55" ht="15.75" customHeight="1">
      <c r="S1193" s="454"/>
      <c r="AN1193" s="458"/>
      <c r="BC1193" s="169"/>
    </row>
    <row r="1194" spans="19:55" ht="15.75" customHeight="1">
      <c r="S1194" s="454"/>
      <c r="AN1194" s="458"/>
      <c r="BC1194" s="169"/>
    </row>
    <row r="1195" spans="19:55" ht="15.75" customHeight="1">
      <c r="S1195" s="454"/>
      <c r="AN1195" s="458"/>
      <c r="BC1195" s="169"/>
    </row>
    <row r="1196" spans="19:55" ht="15.75" customHeight="1">
      <c r="S1196" s="454"/>
      <c r="AN1196" s="458"/>
      <c r="BC1196" s="169"/>
    </row>
    <row r="1197" spans="19:55" ht="15.75" customHeight="1">
      <c r="S1197" s="454"/>
      <c r="AN1197" s="458"/>
      <c r="BC1197" s="169"/>
    </row>
    <row r="1198" spans="19:55" ht="15.75" customHeight="1">
      <c r="S1198" s="454"/>
      <c r="AN1198" s="458"/>
      <c r="BC1198" s="169"/>
    </row>
    <row r="1199" spans="19:55" ht="15.75" customHeight="1">
      <c r="S1199" s="454"/>
      <c r="AN1199" s="458"/>
      <c r="BC1199" s="169"/>
    </row>
    <row r="1200" spans="19:55" ht="15.75" customHeight="1">
      <c r="S1200" s="454"/>
      <c r="AN1200" s="458"/>
      <c r="BC1200" s="169"/>
    </row>
    <row r="1201" spans="19:55" ht="15.75" customHeight="1">
      <c r="S1201" s="454"/>
      <c r="AN1201" s="458"/>
      <c r="BC1201" s="169"/>
    </row>
    <row r="1202" spans="19:55" ht="15.75" customHeight="1">
      <c r="S1202" s="454"/>
      <c r="AN1202" s="458"/>
      <c r="BC1202" s="169"/>
    </row>
    <row r="1203" spans="19:55" ht="15.75" customHeight="1">
      <c r="S1203" s="454"/>
      <c r="AN1203" s="458"/>
      <c r="BC1203" s="169"/>
    </row>
    <row r="1204" spans="19:55" ht="15.75" customHeight="1">
      <c r="S1204" s="454"/>
      <c r="AN1204" s="458"/>
      <c r="BC1204" s="169"/>
    </row>
    <row r="1205" spans="19:55" ht="15.75" customHeight="1">
      <c r="S1205" s="454"/>
      <c r="AN1205" s="458"/>
      <c r="BC1205" s="169"/>
    </row>
    <row r="1206" spans="19:55" ht="15.75" customHeight="1">
      <c r="S1206" s="454"/>
      <c r="AN1206" s="458"/>
      <c r="BC1206" s="169"/>
    </row>
    <row r="1207" spans="19:55" ht="15.75" customHeight="1">
      <c r="S1207" s="454"/>
      <c r="AN1207" s="458"/>
      <c r="BC1207" s="169"/>
    </row>
    <row r="1208" spans="19:55" ht="15.75" customHeight="1">
      <c r="S1208" s="454"/>
      <c r="AN1208" s="458"/>
      <c r="BC1208" s="169"/>
    </row>
    <row r="1209" spans="19:55" ht="15.75" customHeight="1">
      <c r="S1209" s="454"/>
      <c r="AN1209" s="458"/>
      <c r="BC1209" s="169"/>
    </row>
    <row r="1210" spans="19:55" ht="15.75" customHeight="1">
      <c r="S1210" s="454"/>
      <c r="AN1210" s="458"/>
      <c r="BC1210" s="169"/>
    </row>
    <row r="1211" spans="19:55" ht="15.75" customHeight="1">
      <c r="S1211" s="454"/>
      <c r="AN1211" s="458"/>
      <c r="BC1211" s="169"/>
    </row>
    <row r="1212" spans="19:55" ht="15.75" customHeight="1">
      <c r="S1212" s="454"/>
      <c r="AN1212" s="458"/>
      <c r="BC1212" s="169"/>
    </row>
    <row r="1213" spans="19:55" ht="15.75" customHeight="1">
      <c r="S1213" s="454"/>
      <c r="AN1213" s="458"/>
      <c r="BC1213" s="169"/>
    </row>
    <row r="1214" spans="19:55" ht="15.75" customHeight="1">
      <c r="S1214" s="454"/>
      <c r="AN1214" s="458"/>
      <c r="BC1214" s="169"/>
    </row>
    <row r="1215" spans="19:55" ht="15.75" customHeight="1">
      <c r="S1215" s="454"/>
      <c r="AN1215" s="458"/>
      <c r="BC1215" s="169"/>
    </row>
    <row r="1216" spans="19:55" ht="15.75" customHeight="1">
      <c r="S1216" s="454"/>
      <c r="AN1216" s="458"/>
      <c r="BC1216" s="169"/>
    </row>
    <row r="1217" spans="19:55" ht="15.75" customHeight="1">
      <c r="S1217" s="454"/>
      <c r="AN1217" s="458"/>
      <c r="BC1217" s="169"/>
    </row>
    <row r="1218" spans="19:55" ht="15.75" customHeight="1">
      <c r="S1218" s="454"/>
      <c r="AN1218" s="458"/>
      <c r="BC1218" s="169"/>
    </row>
    <row r="1219" spans="19:55" ht="15.75" customHeight="1">
      <c r="S1219" s="454"/>
      <c r="AN1219" s="458"/>
      <c r="BC1219" s="169"/>
    </row>
    <row r="1220" spans="19:55" ht="15.75" customHeight="1">
      <c r="S1220" s="454"/>
      <c r="AN1220" s="458"/>
      <c r="BC1220" s="169"/>
    </row>
    <row r="1221" spans="19:55" ht="15.75" customHeight="1">
      <c r="S1221" s="454"/>
      <c r="AN1221" s="458"/>
      <c r="BC1221" s="169"/>
    </row>
    <row r="1222" spans="19:55" ht="15.75" customHeight="1">
      <c r="S1222" s="454"/>
      <c r="AN1222" s="458"/>
      <c r="BC1222" s="169"/>
    </row>
    <row r="1223" spans="19:55" ht="15.75" customHeight="1">
      <c r="S1223" s="454"/>
      <c r="AN1223" s="458"/>
      <c r="BC1223" s="169"/>
    </row>
    <row r="1224" spans="19:55" ht="15.75" customHeight="1">
      <c r="S1224" s="454"/>
      <c r="AN1224" s="458"/>
      <c r="BC1224" s="169"/>
    </row>
    <row r="1225" spans="19:55" ht="15.75" customHeight="1">
      <c r="S1225" s="454"/>
      <c r="AN1225" s="458"/>
      <c r="BC1225" s="169"/>
    </row>
    <row r="1226" spans="19:55" ht="15.75" customHeight="1">
      <c r="S1226" s="454"/>
      <c r="AN1226" s="458"/>
      <c r="BC1226" s="169"/>
    </row>
    <row r="1227" spans="19:55" ht="15.75" customHeight="1">
      <c r="S1227" s="454"/>
      <c r="AN1227" s="458"/>
      <c r="BC1227" s="169"/>
    </row>
    <row r="1228" spans="19:55" ht="15.75" customHeight="1">
      <c r="S1228" s="454"/>
      <c r="AN1228" s="458"/>
      <c r="BC1228" s="169"/>
    </row>
    <row r="1229" spans="19:55" ht="15.75" customHeight="1">
      <c r="S1229" s="454"/>
      <c r="AN1229" s="458"/>
      <c r="BC1229" s="169"/>
    </row>
    <row r="1230" spans="19:55" ht="15.75" customHeight="1">
      <c r="S1230" s="454"/>
      <c r="AN1230" s="458"/>
      <c r="BC1230" s="169"/>
    </row>
    <row r="1231" spans="19:55" ht="15.75" customHeight="1">
      <c r="S1231" s="454"/>
      <c r="AN1231" s="458"/>
      <c r="BC1231" s="169"/>
    </row>
    <row r="1232" spans="19:55" ht="15.75" customHeight="1">
      <c r="S1232" s="454"/>
      <c r="AN1232" s="458"/>
      <c r="BC1232" s="169"/>
    </row>
    <row r="1233" spans="19:55" ht="15.75" customHeight="1">
      <c r="S1233" s="454"/>
      <c r="AN1233" s="458"/>
      <c r="BC1233" s="169"/>
    </row>
    <row r="1234" spans="19:55" ht="15.75" customHeight="1">
      <c r="S1234" s="454"/>
      <c r="AN1234" s="458"/>
      <c r="BC1234" s="169"/>
    </row>
    <row r="1235" spans="19:55" ht="15.75" customHeight="1">
      <c r="S1235" s="454"/>
      <c r="AN1235" s="458"/>
      <c r="BC1235" s="169"/>
    </row>
    <row r="1236" spans="19:55" ht="15.75" customHeight="1">
      <c r="S1236" s="454"/>
      <c r="AN1236" s="458"/>
      <c r="BC1236" s="169"/>
    </row>
    <row r="1237" spans="19:55" ht="15.75" customHeight="1">
      <c r="S1237" s="454"/>
      <c r="AN1237" s="458"/>
      <c r="BC1237" s="169"/>
    </row>
    <row r="1238" spans="19:55" ht="15.75" customHeight="1">
      <c r="S1238" s="454"/>
      <c r="AN1238" s="458"/>
      <c r="BC1238" s="169"/>
    </row>
    <row r="1239" spans="19:55" ht="15.75" customHeight="1">
      <c r="S1239" s="454"/>
      <c r="AN1239" s="458"/>
      <c r="BC1239" s="169"/>
    </row>
    <row r="1240" spans="19:55" ht="15.75" customHeight="1">
      <c r="S1240" s="454"/>
      <c r="AN1240" s="458"/>
      <c r="BC1240" s="169"/>
    </row>
    <row r="1241" spans="19:55" ht="15.75" customHeight="1">
      <c r="S1241" s="454"/>
      <c r="AN1241" s="458"/>
      <c r="BC1241" s="169"/>
    </row>
    <row r="1242" spans="19:55" ht="15.75" customHeight="1">
      <c r="S1242" s="454"/>
      <c r="AN1242" s="458"/>
      <c r="BC1242" s="169"/>
    </row>
    <row r="1243" spans="19:55" ht="15.75" customHeight="1">
      <c r="S1243" s="454"/>
      <c r="AN1243" s="458"/>
      <c r="BC1243" s="169"/>
    </row>
    <row r="1244" spans="19:55" ht="15.75" customHeight="1">
      <c r="S1244" s="454"/>
      <c r="AN1244" s="458"/>
      <c r="BC1244" s="169"/>
    </row>
    <row r="1245" spans="19:55" ht="15.75" customHeight="1">
      <c r="S1245" s="454"/>
      <c r="AN1245" s="458"/>
      <c r="BC1245" s="169"/>
    </row>
    <row r="1246" spans="19:55" ht="15.75" customHeight="1">
      <c r="S1246" s="454"/>
      <c r="AN1246" s="458"/>
      <c r="BC1246" s="169"/>
    </row>
    <row r="1247" spans="19:55" ht="15.75" customHeight="1">
      <c r="S1247" s="454"/>
      <c r="AN1247" s="458"/>
      <c r="BC1247" s="169"/>
    </row>
    <row r="1248" spans="19:55" ht="15.75" customHeight="1">
      <c r="S1248" s="454"/>
      <c r="AN1248" s="458"/>
      <c r="BC1248" s="169"/>
    </row>
    <row r="1249" spans="19:55" ht="15.75" customHeight="1">
      <c r="S1249" s="454"/>
      <c r="AN1249" s="458"/>
      <c r="BC1249" s="169"/>
    </row>
    <row r="1250" spans="19:55" ht="15.75" customHeight="1">
      <c r="S1250" s="454"/>
      <c r="AN1250" s="458"/>
      <c r="BC1250" s="169"/>
    </row>
    <row r="1251" spans="19:55" ht="15.75" customHeight="1">
      <c r="S1251" s="454"/>
      <c r="AN1251" s="458"/>
      <c r="BC1251" s="169"/>
    </row>
    <row r="1252" spans="19:55" ht="15.75" customHeight="1">
      <c r="S1252" s="454"/>
      <c r="AN1252" s="458"/>
      <c r="BC1252" s="169"/>
    </row>
    <row r="1253" spans="19:55" ht="15.75" customHeight="1">
      <c r="S1253" s="454"/>
      <c r="AN1253" s="458"/>
      <c r="BC1253" s="169"/>
    </row>
    <row r="1254" spans="19:55" ht="15.75" customHeight="1">
      <c r="S1254" s="454"/>
      <c r="AN1254" s="458"/>
      <c r="BC1254" s="169"/>
    </row>
    <row r="1255" spans="19:55" ht="15.75" customHeight="1">
      <c r="S1255" s="454"/>
      <c r="AN1255" s="458"/>
      <c r="BC1255" s="169"/>
    </row>
    <row r="1256" spans="19:55" ht="15.75" customHeight="1">
      <c r="S1256" s="454"/>
      <c r="AN1256" s="458"/>
      <c r="BC1256" s="169"/>
    </row>
    <row r="1257" spans="19:55" ht="15.75" customHeight="1">
      <c r="S1257" s="454"/>
      <c r="AN1257" s="458"/>
      <c r="BC1257" s="169"/>
    </row>
    <row r="1258" spans="19:55" ht="15.75" customHeight="1">
      <c r="S1258" s="454"/>
      <c r="AN1258" s="458"/>
      <c r="BC1258" s="169"/>
    </row>
    <row r="1259" spans="19:55" ht="15.75" customHeight="1">
      <c r="S1259" s="454"/>
      <c r="AN1259" s="458"/>
      <c r="BC1259" s="169"/>
    </row>
    <row r="1260" spans="19:55" ht="15.75" customHeight="1">
      <c r="S1260" s="454"/>
      <c r="AN1260" s="458"/>
      <c r="BC1260" s="169"/>
    </row>
    <row r="1261" spans="19:55" ht="15.75" customHeight="1">
      <c r="S1261" s="454"/>
      <c r="AN1261" s="458"/>
      <c r="BC1261" s="169"/>
    </row>
    <row r="1262" spans="19:55" ht="15.75" customHeight="1">
      <c r="S1262" s="454"/>
      <c r="AN1262" s="458"/>
      <c r="BC1262" s="169"/>
    </row>
    <row r="1263" spans="19:55" ht="15.75" customHeight="1">
      <c r="S1263" s="454"/>
      <c r="AN1263" s="458"/>
      <c r="BC1263" s="169"/>
    </row>
    <row r="1264" spans="19:55" ht="15.75" customHeight="1">
      <c r="S1264" s="454"/>
      <c r="AN1264" s="458"/>
      <c r="BC1264" s="169"/>
    </row>
    <row r="1265" spans="19:55" ht="15.75" customHeight="1">
      <c r="S1265" s="454"/>
      <c r="AN1265" s="458"/>
      <c r="BC1265" s="169"/>
    </row>
    <row r="1266" spans="19:55" ht="15.75" customHeight="1">
      <c r="S1266" s="454"/>
      <c r="AN1266" s="458"/>
      <c r="BC1266" s="169"/>
    </row>
    <row r="1267" spans="19:55" ht="15.75" customHeight="1">
      <c r="S1267" s="454"/>
      <c r="AN1267" s="458"/>
      <c r="BC1267" s="169"/>
    </row>
    <row r="1268" spans="19:55" ht="15.75" customHeight="1">
      <c r="S1268" s="454"/>
      <c r="AN1268" s="458"/>
      <c r="BC1268" s="169"/>
    </row>
    <row r="1269" spans="19:55" ht="15.75" customHeight="1">
      <c r="S1269" s="454"/>
      <c r="AN1269" s="458"/>
      <c r="BC1269" s="169"/>
    </row>
    <row r="1270" spans="19:55" ht="15.75" customHeight="1">
      <c r="S1270" s="454"/>
      <c r="AN1270" s="458"/>
      <c r="BC1270" s="169"/>
    </row>
    <row r="1271" spans="19:55" ht="15.75" customHeight="1">
      <c r="S1271" s="454"/>
      <c r="AN1271" s="458"/>
      <c r="BC1271" s="169"/>
    </row>
    <row r="1272" spans="19:55" ht="15.75" customHeight="1">
      <c r="S1272" s="454"/>
      <c r="AN1272" s="458"/>
      <c r="BC1272" s="169"/>
    </row>
    <row r="1273" spans="19:55" ht="15.75" customHeight="1">
      <c r="S1273" s="454"/>
      <c r="AN1273" s="458"/>
      <c r="BC1273" s="169"/>
    </row>
    <row r="1274" spans="19:55" ht="15.75" customHeight="1">
      <c r="S1274" s="454"/>
      <c r="AN1274" s="458"/>
      <c r="BC1274" s="169"/>
    </row>
    <row r="1275" spans="19:55" ht="15.75" customHeight="1">
      <c r="S1275" s="454"/>
      <c r="AN1275" s="458"/>
      <c r="BC1275" s="169"/>
    </row>
    <row r="1276" spans="19:55" ht="15.75" customHeight="1">
      <c r="S1276" s="454"/>
      <c r="AN1276" s="458"/>
      <c r="BC1276" s="169"/>
    </row>
    <row r="1277" spans="19:55" ht="15.75" customHeight="1">
      <c r="S1277" s="454"/>
      <c r="AN1277" s="458"/>
      <c r="BC1277" s="169"/>
    </row>
    <row r="1278" spans="19:55" ht="15.75" customHeight="1">
      <c r="S1278" s="454"/>
      <c r="AN1278" s="458"/>
      <c r="BC1278" s="169"/>
    </row>
    <row r="1279" spans="19:55" ht="15.75" customHeight="1">
      <c r="S1279" s="454"/>
      <c r="AN1279" s="458"/>
      <c r="BC1279" s="169"/>
    </row>
    <row r="1280" spans="19:55" ht="15.75" customHeight="1">
      <c r="S1280" s="454"/>
      <c r="AN1280" s="458"/>
      <c r="BC1280" s="169"/>
    </row>
    <row r="1281" spans="19:55" ht="15.75" customHeight="1">
      <c r="S1281" s="454"/>
      <c r="AN1281" s="458"/>
      <c r="BC1281" s="169"/>
    </row>
    <row r="1282" spans="19:55" ht="15.75" customHeight="1">
      <c r="S1282" s="454"/>
      <c r="AN1282" s="458"/>
      <c r="BC1282" s="169"/>
    </row>
    <row r="1283" spans="19:55" ht="15.75" customHeight="1">
      <c r="S1283" s="454"/>
      <c r="AN1283" s="458"/>
      <c r="BC1283" s="169"/>
    </row>
    <row r="1284" spans="19:55" ht="15.75" customHeight="1">
      <c r="S1284" s="454"/>
      <c r="AN1284" s="458"/>
      <c r="BC1284" s="169"/>
    </row>
    <row r="1285" spans="19:55" ht="15.75" customHeight="1">
      <c r="S1285" s="454"/>
      <c r="AN1285" s="458"/>
      <c r="BC1285" s="169"/>
    </row>
    <row r="1286" spans="19:55" ht="15.75" customHeight="1">
      <c r="S1286" s="454"/>
      <c r="AN1286" s="458"/>
      <c r="BC1286" s="169"/>
    </row>
    <row r="1287" spans="19:55" ht="15.75" customHeight="1">
      <c r="S1287" s="454"/>
      <c r="AN1287" s="458"/>
      <c r="BC1287" s="169"/>
    </row>
    <row r="1288" spans="19:55" ht="15.75" customHeight="1">
      <c r="S1288" s="454"/>
      <c r="AN1288" s="458"/>
      <c r="BC1288" s="169"/>
    </row>
    <row r="1289" spans="19:55" ht="15.75" customHeight="1">
      <c r="S1289" s="454"/>
      <c r="AN1289" s="458"/>
      <c r="BC1289" s="169"/>
    </row>
    <row r="1290" spans="19:55" ht="15.75" customHeight="1">
      <c r="S1290" s="454"/>
      <c r="AN1290" s="458"/>
      <c r="BC1290" s="169"/>
    </row>
    <row r="1291" spans="19:55" ht="15.75" customHeight="1">
      <c r="S1291" s="454"/>
      <c r="AN1291" s="458"/>
      <c r="BC1291" s="169"/>
    </row>
    <row r="1292" spans="19:55" ht="15.75" customHeight="1">
      <c r="S1292" s="454"/>
      <c r="AN1292" s="458"/>
      <c r="BC1292" s="169"/>
    </row>
    <row r="1293" spans="19:55" ht="15.75" customHeight="1">
      <c r="S1293" s="454"/>
      <c r="AN1293" s="458"/>
      <c r="BC1293" s="169"/>
    </row>
    <row r="1294" spans="19:55" ht="15.75" customHeight="1">
      <c r="S1294" s="454"/>
      <c r="AN1294" s="458"/>
      <c r="BC1294" s="169"/>
    </row>
    <row r="1295" spans="19:55" ht="15.75" customHeight="1">
      <c r="S1295" s="454"/>
      <c r="AN1295" s="458"/>
      <c r="BC1295" s="169"/>
    </row>
    <row r="1296" spans="19:55" ht="15.75" customHeight="1">
      <c r="S1296" s="454"/>
      <c r="AN1296" s="458"/>
      <c r="BC1296" s="169"/>
    </row>
    <row r="1297" spans="19:55" ht="15.75" customHeight="1">
      <c r="S1297" s="454"/>
      <c r="AN1297" s="458"/>
      <c r="BC1297" s="169"/>
    </row>
    <row r="1298" spans="19:55" ht="15.75" customHeight="1">
      <c r="S1298" s="454"/>
      <c r="AN1298" s="458"/>
      <c r="BC1298" s="169"/>
    </row>
    <row r="1299" spans="19:55" ht="15.75" customHeight="1">
      <c r="S1299" s="454"/>
      <c r="AN1299" s="458"/>
      <c r="BC1299" s="169"/>
    </row>
    <row r="1300" spans="19:55" ht="15.75" customHeight="1">
      <c r="S1300" s="454"/>
      <c r="AN1300" s="458"/>
      <c r="BC1300" s="169"/>
    </row>
    <row r="1301" spans="19:55" ht="15.75" customHeight="1">
      <c r="S1301" s="454"/>
      <c r="AN1301" s="458"/>
      <c r="BC1301" s="169"/>
    </row>
    <row r="1302" spans="19:55" ht="15.75" customHeight="1">
      <c r="S1302" s="454"/>
      <c r="AN1302" s="458"/>
      <c r="BC1302" s="169"/>
    </row>
    <row r="1303" spans="19:55" ht="15.75" customHeight="1">
      <c r="S1303" s="454"/>
      <c r="AN1303" s="458"/>
      <c r="BC1303" s="169"/>
    </row>
    <row r="1304" spans="19:55" ht="15.75" customHeight="1">
      <c r="S1304" s="454"/>
      <c r="AN1304" s="458"/>
      <c r="BC1304" s="169"/>
    </row>
    <row r="1305" spans="19:55" ht="15.75" customHeight="1">
      <c r="S1305" s="454"/>
      <c r="AN1305" s="458"/>
      <c r="BC1305" s="169"/>
    </row>
    <row r="1306" spans="19:55" ht="15.75" customHeight="1">
      <c r="S1306" s="454"/>
      <c r="AN1306" s="458"/>
      <c r="BC1306" s="169"/>
    </row>
    <row r="1307" spans="19:55" ht="15.75" customHeight="1">
      <c r="S1307" s="454"/>
      <c r="AN1307" s="458"/>
      <c r="BC1307" s="169"/>
    </row>
    <row r="1308" spans="19:55" ht="15.75" customHeight="1">
      <c r="S1308" s="454"/>
      <c r="AN1308" s="458"/>
      <c r="BC1308" s="169"/>
    </row>
    <row r="1309" spans="19:55" ht="15.75" customHeight="1">
      <c r="S1309" s="454"/>
      <c r="AN1309" s="458"/>
      <c r="BC1309" s="169"/>
    </row>
    <row r="1310" spans="19:55" ht="15.75" customHeight="1">
      <c r="S1310" s="454"/>
      <c r="AN1310" s="458"/>
      <c r="BC1310" s="169"/>
    </row>
    <row r="1311" spans="19:55" ht="15.75" customHeight="1">
      <c r="S1311" s="454"/>
      <c r="AN1311" s="458"/>
      <c r="BC1311" s="169"/>
    </row>
    <row r="1312" spans="19:55" ht="15.75" customHeight="1">
      <c r="S1312" s="454"/>
      <c r="AN1312" s="458"/>
      <c r="BC1312" s="169"/>
    </row>
    <row r="1313" spans="19:55" ht="15.75" customHeight="1">
      <c r="S1313" s="454"/>
      <c r="AN1313" s="458"/>
      <c r="BC1313" s="169"/>
    </row>
    <row r="1314" spans="19:55" ht="15.75" customHeight="1">
      <c r="S1314" s="454"/>
      <c r="AN1314" s="458"/>
      <c r="BC1314" s="169"/>
    </row>
    <row r="1315" spans="19:55" ht="15.75" customHeight="1">
      <c r="S1315" s="454"/>
      <c r="AN1315" s="458"/>
      <c r="BC1315" s="169"/>
    </row>
    <row r="1316" spans="19:55" ht="15.75" customHeight="1">
      <c r="S1316" s="454"/>
      <c r="AN1316" s="458"/>
      <c r="BC1316" s="169"/>
    </row>
    <row r="1317" spans="19:55" ht="15.75" customHeight="1">
      <c r="S1317" s="454"/>
      <c r="AN1317" s="458"/>
      <c r="BC1317" s="169"/>
    </row>
    <row r="1318" spans="19:55" ht="15.75" customHeight="1">
      <c r="S1318" s="454"/>
      <c r="AN1318" s="458"/>
      <c r="BC1318" s="169"/>
    </row>
    <row r="1319" spans="19:55" ht="15.75" customHeight="1">
      <c r="S1319" s="454"/>
      <c r="AN1319" s="458"/>
      <c r="BC1319" s="169"/>
    </row>
    <row r="1320" spans="19:55" ht="15.75" customHeight="1">
      <c r="S1320" s="454"/>
      <c r="AN1320" s="458"/>
      <c r="BC1320" s="169"/>
    </row>
    <row r="1321" spans="19:55" ht="15.75" customHeight="1">
      <c r="S1321" s="454"/>
      <c r="AN1321" s="458"/>
      <c r="BC1321" s="169"/>
    </row>
    <row r="1322" spans="19:55" ht="15.75" customHeight="1">
      <c r="S1322" s="454"/>
      <c r="AN1322" s="458"/>
      <c r="BC1322" s="169"/>
    </row>
    <row r="1323" spans="19:55" ht="15.75" customHeight="1">
      <c r="S1323" s="454"/>
      <c r="AN1323" s="458"/>
      <c r="BC1323" s="169"/>
    </row>
    <row r="1324" spans="19:55" ht="15.75" customHeight="1">
      <c r="S1324" s="454"/>
      <c r="AN1324" s="458"/>
      <c r="BC1324" s="169"/>
    </row>
    <row r="1325" spans="19:55" ht="15.75" customHeight="1">
      <c r="S1325" s="454"/>
      <c r="AN1325" s="458"/>
      <c r="BC1325" s="169"/>
    </row>
    <row r="1326" spans="19:55" ht="15.75" customHeight="1">
      <c r="S1326" s="454"/>
      <c r="AN1326" s="458"/>
      <c r="BC1326" s="169"/>
    </row>
    <row r="1327" spans="19:55" ht="15.75" customHeight="1">
      <c r="S1327" s="454"/>
      <c r="AN1327" s="458"/>
      <c r="BC1327" s="169"/>
    </row>
    <row r="1328" spans="19:55" ht="15.75" customHeight="1">
      <c r="S1328" s="454"/>
      <c r="AN1328" s="458"/>
      <c r="BC1328" s="169"/>
    </row>
    <row r="1329" spans="19:55" ht="15.75" customHeight="1">
      <c r="S1329" s="454"/>
      <c r="AN1329" s="458"/>
      <c r="BC1329" s="169"/>
    </row>
    <row r="1330" spans="19:55" ht="15.75" customHeight="1">
      <c r="S1330" s="454"/>
      <c r="AN1330" s="458"/>
      <c r="BC1330" s="169"/>
    </row>
    <row r="1331" spans="19:55" ht="15.75" customHeight="1">
      <c r="S1331" s="454"/>
      <c r="AN1331" s="458"/>
      <c r="BC1331" s="169"/>
    </row>
    <row r="1332" spans="19:55" ht="15.75" customHeight="1">
      <c r="S1332" s="454"/>
      <c r="AN1332" s="458"/>
      <c r="BC1332" s="169"/>
    </row>
    <row r="1333" spans="19:55" ht="15.75" customHeight="1">
      <c r="S1333" s="454"/>
      <c r="AN1333" s="458"/>
      <c r="BC1333" s="169"/>
    </row>
    <row r="1334" spans="19:55" ht="15.75" customHeight="1">
      <c r="S1334" s="454"/>
      <c r="AN1334" s="458"/>
      <c r="BC1334" s="169"/>
    </row>
    <row r="1335" spans="19:55" ht="15.75" customHeight="1">
      <c r="S1335" s="454"/>
      <c r="AN1335" s="458"/>
      <c r="BC1335" s="169"/>
    </row>
    <row r="1336" spans="19:55" ht="15.75" customHeight="1">
      <c r="S1336" s="454"/>
      <c r="AN1336" s="458"/>
      <c r="BC1336" s="169"/>
    </row>
    <row r="1337" spans="19:55" ht="15.75" customHeight="1">
      <c r="S1337" s="454"/>
      <c r="AN1337" s="458"/>
      <c r="BC1337" s="169"/>
    </row>
    <row r="1338" spans="19:55" ht="15.75" customHeight="1">
      <c r="S1338" s="454"/>
      <c r="AN1338" s="458"/>
      <c r="BC1338" s="169"/>
    </row>
    <row r="1339" spans="19:55" ht="15.75" customHeight="1">
      <c r="S1339" s="454"/>
      <c r="AN1339" s="458"/>
      <c r="BC1339" s="169"/>
    </row>
    <row r="1340" spans="19:55" ht="15.75" customHeight="1">
      <c r="S1340" s="454"/>
      <c r="AN1340" s="458"/>
      <c r="BC1340" s="169"/>
    </row>
    <row r="1341" spans="19:55" ht="15.75" customHeight="1">
      <c r="S1341" s="454"/>
      <c r="AN1341" s="458"/>
      <c r="BC1341" s="169"/>
    </row>
    <row r="1342" spans="19:55" ht="15.75" customHeight="1">
      <c r="S1342" s="454"/>
      <c r="AN1342" s="458"/>
      <c r="BC1342" s="169"/>
    </row>
    <row r="1343" spans="19:55" ht="15.75" customHeight="1">
      <c r="S1343" s="454"/>
      <c r="AN1343" s="458"/>
      <c r="BC1343" s="169"/>
    </row>
    <row r="1344" spans="19:55" ht="15.75" customHeight="1">
      <c r="S1344" s="454"/>
      <c r="AN1344" s="458"/>
      <c r="BC1344" s="169"/>
    </row>
    <row r="1345" spans="19:55" ht="15.75" customHeight="1">
      <c r="S1345" s="454"/>
      <c r="AN1345" s="458"/>
      <c r="BC1345" s="169"/>
    </row>
    <row r="1346" spans="19:55" ht="15.75" customHeight="1">
      <c r="S1346" s="454"/>
      <c r="AN1346" s="458"/>
      <c r="BC1346" s="169"/>
    </row>
    <row r="1347" spans="19:55" ht="15.75" customHeight="1">
      <c r="S1347" s="454"/>
      <c r="AN1347" s="458"/>
      <c r="BC1347" s="169"/>
    </row>
    <row r="1348" spans="19:55" ht="15.75" customHeight="1">
      <c r="S1348" s="454"/>
      <c r="AN1348" s="458"/>
      <c r="BC1348" s="169"/>
    </row>
    <row r="1349" spans="19:55" ht="15.75" customHeight="1">
      <c r="S1349" s="454"/>
      <c r="AN1349" s="458"/>
      <c r="BC1349" s="169"/>
    </row>
    <row r="1350" spans="19:55" ht="15.75" customHeight="1">
      <c r="S1350" s="454"/>
      <c r="AN1350" s="458"/>
      <c r="BC1350" s="169"/>
    </row>
    <row r="1351" spans="19:55" ht="15.75" customHeight="1">
      <c r="S1351" s="454"/>
      <c r="AN1351" s="458"/>
      <c r="BC1351" s="169"/>
    </row>
    <row r="1352" spans="19:55" ht="15.75" customHeight="1">
      <c r="S1352" s="454"/>
      <c r="AN1352" s="458"/>
      <c r="BC1352" s="169"/>
    </row>
    <row r="1353" spans="19:55" ht="15.75" customHeight="1">
      <c r="S1353" s="454"/>
      <c r="AN1353" s="458"/>
      <c r="BC1353" s="169"/>
    </row>
    <row r="1354" spans="19:55" ht="15.75" customHeight="1">
      <c r="S1354" s="454"/>
      <c r="AN1354" s="458"/>
      <c r="BC1354" s="169"/>
    </row>
    <row r="1355" spans="19:55" ht="15.75" customHeight="1">
      <c r="S1355" s="454"/>
      <c r="AN1355" s="458"/>
      <c r="BC1355" s="169"/>
    </row>
    <row r="1356" spans="19:55" ht="15.75" customHeight="1">
      <c r="S1356" s="454"/>
      <c r="AN1356" s="458"/>
      <c r="BC1356" s="169"/>
    </row>
    <row r="1357" spans="19:55" ht="15.75" customHeight="1">
      <c r="S1357" s="454"/>
      <c r="AN1357" s="458"/>
      <c r="BC1357" s="169"/>
    </row>
    <row r="1358" spans="19:55" ht="15.75" customHeight="1">
      <c r="S1358" s="454"/>
      <c r="AN1358" s="458"/>
      <c r="BC1358" s="169"/>
    </row>
    <row r="1359" spans="19:55" ht="15.75" customHeight="1">
      <c r="S1359" s="454"/>
      <c r="AN1359" s="458"/>
      <c r="BC1359" s="169"/>
    </row>
    <row r="1360" spans="19:55" ht="15.75" customHeight="1">
      <c r="S1360" s="454"/>
      <c r="AN1360" s="458"/>
      <c r="BC1360" s="169"/>
    </row>
    <row r="1361" spans="19:55" ht="15.75" customHeight="1">
      <c r="S1361" s="454"/>
      <c r="AN1361" s="458"/>
      <c r="BC1361" s="169"/>
    </row>
    <row r="1362" spans="19:55" ht="15.75" customHeight="1">
      <c r="S1362" s="454"/>
      <c r="AN1362" s="458"/>
      <c r="BC1362" s="169"/>
    </row>
    <row r="1363" spans="19:55" ht="15.75" customHeight="1">
      <c r="S1363" s="454"/>
      <c r="AN1363" s="458"/>
      <c r="BC1363" s="169"/>
    </row>
    <row r="1364" spans="19:55" ht="15.75" customHeight="1">
      <c r="S1364" s="454"/>
      <c r="AN1364" s="458"/>
      <c r="BC1364" s="169"/>
    </row>
    <row r="1365" spans="19:55" ht="15.75" customHeight="1">
      <c r="S1365" s="454"/>
      <c r="AN1365" s="458"/>
      <c r="BC1365" s="169"/>
    </row>
    <row r="1366" spans="19:55" ht="15.75" customHeight="1">
      <c r="S1366" s="454"/>
      <c r="AN1366" s="458"/>
      <c r="BC1366" s="169"/>
    </row>
    <row r="1367" spans="19:55" ht="15.75" customHeight="1">
      <c r="S1367" s="454"/>
      <c r="AN1367" s="458"/>
      <c r="BC1367" s="169"/>
    </row>
    <row r="1368" spans="19:55" ht="15.75" customHeight="1">
      <c r="S1368" s="454"/>
      <c r="AN1368" s="458"/>
      <c r="BC1368" s="169"/>
    </row>
    <row r="1369" spans="19:55" ht="15.75" customHeight="1">
      <c r="S1369" s="454"/>
      <c r="AN1369" s="458"/>
      <c r="BC1369" s="169"/>
    </row>
    <row r="1370" spans="19:55" ht="15.75" customHeight="1">
      <c r="S1370" s="454"/>
      <c r="AN1370" s="458"/>
      <c r="BC1370" s="169"/>
    </row>
    <row r="1371" spans="19:55" ht="15.75" customHeight="1">
      <c r="S1371" s="454"/>
      <c r="AN1371" s="458"/>
      <c r="BC1371" s="169"/>
    </row>
    <row r="1372" spans="19:55" ht="15.75" customHeight="1">
      <c r="S1372" s="454"/>
      <c r="AN1372" s="458"/>
      <c r="BC1372" s="169"/>
    </row>
    <row r="1373" spans="19:55" ht="15.75" customHeight="1">
      <c r="S1373" s="454"/>
      <c r="AN1373" s="458"/>
      <c r="BC1373" s="169"/>
    </row>
    <row r="1374" spans="19:55" ht="15.75" customHeight="1">
      <c r="S1374" s="454"/>
      <c r="AN1374" s="458"/>
      <c r="BC1374" s="169"/>
    </row>
    <row r="1375" spans="19:55" ht="15.75" customHeight="1">
      <c r="S1375" s="454"/>
      <c r="AN1375" s="458"/>
      <c r="BC1375" s="169"/>
    </row>
    <row r="1376" spans="19:55" ht="15.75" customHeight="1">
      <c r="S1376" s="454"/>
      <c r="AN1376" s="458"/>
      <c r="BC1376" s="169"/>
    </row>
    <row r="1377" spans="19:55" ht="15.75" customHeight="1">
      <c r="S1377" s="454"/>
      <c r="AN1377" s="458"/>
      <c r="BC1377" s="169"/>
    </row>
    <row r="1378" spans="19:55" ht="15.75" customHeight="1">
      <c r="S1378" s="454"/>
      <c r="AN1378" s="458"/>
      <c r="BC1378" s="169"/>
    </row>
    <row r="1379" spans="19:55" ht="15.75" customHeight="1">
      <c r="S1379" s="454"/>
      <c r="AN1379" s="458"/>
      <c r="BC1379" s="169"/>
    </row>
    <row r="1380" spans="19:55" ht="15.75" customHeight="1">
      <c r="S1380" s="454"/>
      <c r="AN1380" s="458"/>
      <c r="BC1380" s="169"/>
    </row>
    <row r="1381" spans="19:55" ht="15.75" customHeight="1">
      <c r="S1381" s="454"/>
      <c r="AN1381" s="458"/>
      <c r="BC1381" s="169"/>
    </row>
    <row r="1382" spans="19:55" ht="15.75" customHeight="1">
      <c r="S1382" s="454"/>
      <c r="AN1382" s="458"/>
      <c r="BC1382" s="169"/>
    </row>
    <row r="1383" spans="19:55" ht="15.75" customHeight="1">
      <c r="S1383" s="454"/>
      <c r="AN1383" s="458"/>
      <c r="BC1383" s="169"/>
    </row>
    <row r="1384" spans="19:55" ht="15.75" customHeight="1">
      <c r="S1384" s="454"/>
      <c r="AN1384" s="458"/>
      <c r="BC1384" s="169"/>
    </row>
    <row r="1385" spans="19:55" ht="15.75" customHeight="1">
      <c r="S1385" s="454"/>
      <c r="AN1385" s="458"/>
      <c r="BC1385" s="169"/>
    </row>
    <row r="1386" spans="19:55" ht="15.75" customHeight="1">
      <c r="S1386" s="454"/>
      <c r="AN1386" s="458"/>
      <c r="BC1386" s="169"/>
    </row>
    <row r="1387" spans="19:55" ht="15.75" customHeight="1">
      <c r="S1387" s="454"/>
      <c r="AN1387" s="458"/>
      <c r="BC1387" s="169"/>
    </row>
    <row r="1388" spans="19:55" ht="15.75" customHeight="1">
      <c r="S1388" s="454"/>
      <c r="AN1388" s="458"/>
      <c r="BC1388" s="169"/>
    </row>
    <row r="1389" spans="19:55" ht="15.75" customHeight="1">
      <c r="S1389" s="454"/>
      <c r="AN1389" s="458"/>
      <c r="BC1389" s="169"/>
    </row>
    <row r="1390" spans="19:55" ht="15.75" customHeight="1">
      <c r="S1390" s="454"/>
      <c r="AN1390" s="458"/>
      <c r="BC1390" s="169"/>
    </row>
    <row r="1391" spans="19:55" ht="15.75" customHeight="1">
      <c r="S1391" s="454"/>
      <c r="AN1391" s="458"/>
      <c r="BC1391" s="169"/>
    </row>
    <row r="1392" spans="19:55" ht="15.75" customHeight="1">
      <c r="S1392" s="454"/>
      <c r="AN1392" s="458"/>
      <c r="BC1392" s="169"/>
    </row>
    <row r="1393" spans="19:55" ht="15.75" customHeight="1">
      <c r="S1393" s="454"/>
      <c r="AN1393" s="458"/>
      <c r="BC1393" s="169"/>
    </row>
    <row r="1394" spans="19:55" ht="15.75" customHeight="1">
      <c r="S1394" s="454"/>
      <c r="AN1394" s="458"/>
      <c r="BC1394" s="169"/>
    </row>
    <row r="1395" spans="19:55" ht="15.75" customHeight="1">
      <c r="S1395" s="454"/>
      <c r="AN1395" s="458"/>
      <c r="BC1395" s="169"/>
    </row>
    <row r="1396" spans="19:55" ht="15.75" customHeight="1">
      <c r="S1396" s="454"/>
      <c r="AN1396" s="458"/>
      <c r="BC1396" s="169"/>
    </row>
    <row r="1397" spans="19:55" ht="15.75" customHeight="1">
      <c r="S1397" s="454"/>
      <c r="AN1397" s="458"/>
      <c r="BC1397" s="169"/>
    </row>
    <row r="1398" spans="19:55" ht="15.75" customHeight="1">
      <c r="S1398" s="454"/>
      <c r="AN1398" s="458"/>
      <c r="BC1398" s="169"/>
    </row>
    <row r="1399" spans="19:55" ht="15.75" customHeight="1">
      <c r="S1399" s="454"/>
      <c r="AN1399" s="458"/>
      <c r="BC1399" s="169"/>
    </row>
    <row r="1400" spans="19:55" ht="15.75" customHeight="1">
      <c r="S1400" s="454"/>
      <c r="AN1400" s="458"/>
      <c r="BC1400" s="169"/>
    </row>
    <row r="1401" spans="19:55" ht="15.75" customHeight="1">
      <c r="S1401" s="454"/>
      <c r="AN1401" s="458"/>
      <c r="BC1401" s="169"/>
    </row>
    <row r="1402" spans="19:55" ht="15.75" customHeight="1">
      <c r="S1402" s="454"/>
      <c r="AN1402" s="458"/>
      <c r="BC1402" s="169"/>
    </row>
    <row r="1403" spans="19:55" ht="15.75" customHeight="1">
      <c r="S1403" s="454"/>
      <c r="AN1403" s="458"/>
      <c r="BC1403" s="169"/>
    </row>
    <row r="1404" spans="19:55" ht="15.75" customHeight="1">
      <c r="S1404" s="454"/>
      <c r="AN1404" s="458"/>
      <c r="BC1404" s="169"/>
    </row>
    <row r="1405" spans="19:55" ht="15.75" customHeight="1">
      <c r="S1405" s="454"/>
      <c r="AN1405" s="458"/>
      <c r="BC1405" s="169"/>
    </row>
    <row r="1406" spans="19:55" ht="15.75" customHeight="1">
      <c r="S1406" s="454"/>
      <c r="AN1406" s="458"/>
      <c r="BC1406" s="169"/>
    </row>
    <row r="1407" spans="19:55" ht="15.75" customHeight="1">
      <c r="S1407" s="454"/>
      <c r="AN1407" s="458"/>
      <c r="BC1407" s="169"/>
    </row>
    <row r="1408" spans="19:55" ht="15.75" customHeight="1">
      <c r="S1408" s="454"/>
      <c r="AN1408" s="458"/>
      <c r="BC1408" s="169"/>
    </row>
    <row r="1409" spans="19:55" ht="15.75" customHeight="1">
      <c r="S1409" s="454"/>
      <c r="AN1409" s="458"/>
      <c r="BC1409" s="169"/>
    </row>
    <row r="1410" spans="19:55" ht="15.75" customHeight="1">
      <c r="S1410" s="454"/>
      <c r="AN1410" s="458"/>
      <c r="BC1410" s="169"/>
    </row>
    <row r="1411" spans="19:55" ht="15.75" customHeight="1">
      <c r="S1411" s="454"/>
      <c r="AN1411" s="458"/>
      <c r="BC1411" s="169"/>
    </row>
    <row r="1412" spans="19:55" ht="15.75" customHeight="1">
      <c r="S1412" s="454"/>
      <c r="AN1412" s="458"/>
      <c r="BC1412" s="169"/>
    </row>
    <row r="1413" spans="19:55" ht="15.75" customHeight="1">
      <c r="S1413" s="454"/>
      <c r="AN1413" s="458"/>
      <c r="BC1413" s="169"/>
    </row>
    <row r="1414" spans="19:55" ht="15.75" customHeight="1">
      <c r="S1414" s="454"/>
      <c r="AN1414" s="458"/>
      <c r="BC1414" s="169"/>
    </row>
    <row r="1415" spans="19:55" ht="15.75" customHeight="1">
      <c r="S1415" s="454"/>
      <c r="AN1415" s="458"/>
      <c r="BC1415" s="169"/>
    </row>
    <row r="1416" spans="19:55" ht="15.75" customHeight="1">
      <c r="S1416" s="454"/>
      <c r="AN1416" s="458"/>
      <c r="BC1416" s="169"/>
    </row>
    <row r="1417" spans="19:55" ht="15.75" customHeight="1">
      <c r="S1417" s="454"/>
      <c r="AN1417" s="458"/>
      <c r="BC1417" s="169"/>
    </row>
    <row r="1418" spans="19:55" ht="15.75" customHeight="1">
      <c r="S1418" s="454"/>
      <c r="AN1418" s="458"/>
      <c r="BC1418" s="169"/>
    </row>
    <row r="1419" spans="19:55" ht="15.75" customHeight="1">
      <c r="S1419" s="454"/>
      <c r="AN1419" s="458"/>
      <c r="BC1419" s="169"/>
    </row>
    <row r="1420" spans="19:55" ht="15.75" customHeight="1">
      <c r="S1420" s="454"/>
      <c r="AN1420" s="458"/>
      <c r="BC1420" s="169"/>
    </row>
    <row r="1421" spans="19:55" ht="15.75" customHeight="1">
      <c r="S1421" s="454"/>
      <c r="AN1421" s="458"/>
      <c r="BC1421" s="169"/>
    </row>
    <row r="1422" spans="19:55" ht="15.75" customHeight="1">
      <c r="S1422" s="454"/>
      <c r="AN1422" s="458"/>
      <c r="BC1422" s="169"/>
    </row>
    <row r="1423" spans="19:55" ht="15.75" customHeight="1">
      <c r="S1423" s="454"/>
      <c r="AN1423" s="458"/>
      <c r="BC1423" s="169"/>
    </row>
    <row r="1424" spans="19:55" ht="15.75" customHeight="1">
      <c r="S1424" s="454"/>
      <c r="AN1424" s="458"/>
      <c r="BC1424" s="169"/>
    </row>
    <row r="1425" spans="19:55" ht="15.75" customHeight="1">
      <c r="S1425" s="454"/>
      <c r="AN1425" s="458"/>
      <c r="BC1425" s="169"/>
    </row>
    <row r="1426" spans="19:55" ht="15.75" customHeight="1">
      <c r="S1426" s="454"/>
      <c r="AN1426" s="458"/>
      <c r="BC1426" s="169"/>
    </row>
    <row r="1427" spans="19:55" ht="15.75" customHeight="1">
      <c r="S1427" s="454"/>
      <c r="AN1427" s="458"/>
      <c r="BC1427" s="169"/>
    </row>
    <row r="1428" spans="19:55" ht="15.75" customHeight="1">
      <c r="S1428" s="454"/>
      <c r="AN1428" s="458"/>
      <c r="BC1428" s="169"/>
    </row>
    <row r="1429" spans="19:55" ht="15.75" customHeight="1">
      <c r="S1429" s="454"/>
      <c r="AN1429" s="458"/>
      <c r="BC1429" s="169"/>
    </row>
    <row r="1430" spans="19:55" ht="15.75" customHeight="1">
      <c r="S1430" s="454"/>
      <c r="AN1430" s="458"/>
      <c r="BC1430" s="169"/>
    </row>
    <row r="1431" spans="19:55" ht="15.75" customHeight="1">
      <c r="S1431" s="454"/>
      <c r="AN1431" s="458"/>
      <c r="BC1431" s="169"/>
    </row>
    <row r="1432" spans="19:55" ht="15.75" customHeight="1">
      <c r="S1432" s="454"/>
      <c r="AN1432" s="458"/>
      <c r="BC1432" s="169"/>
    </row>
    <row r="1433" spans="19:55" ht="15.75" customHeight="1">
      <c r="S1433" s="454"/>
      <c r="AN1433" s="458"/>
      <c r="BC1433" s="169"/>
    </row>
    <row r="1434" spans="19:55" ht="15.75" customHeight="1">
      <c r="S1434" s="454"/>
      <c r="AN1434" s="458"/>
      <c r="BC1434" s="169"/>
    </row>
    <row r="1435" spans="19:55" ht="15.75" customHeight="1">
      <c r="S1435" s="454"/>
      <c r="AN1435" s="458"/>
      <c r="BC1435" s="169"/>
    </row>
    <row r="1436" spans="19:55" ht="15.75" customHeight="1">
      <c r="S1436" s="454"/>
      <c r="AN1436" s="458"/>
      <c r="BC1436" s="169"/>
    </row>
    <row r="1437" spans="19:55" ht="15.75" customHeight="1">
      <c r="S1437" s="454"/>
      <c r="AN1437" s="458"/>
      <c r="BC1437" s="169"/>
    </row>
    <row r="1438" spans="19:55" ht="15.75" customHeight="1">
      <c r="S1438" s="454"/>
      <c r="AN1438" s="458"/>
      <c r="BC1438" s="169"/>
    </row>
    <row r="1439" spans="19:55" ht="15.75" customHeight="1">
      <c r="S1439" s="454"/>
      <c r="AN1439" s="458"/>
      <c r="BC1439" s="169"/>
    </row>
    <row r="1440" spans="19:55" ht="15.75" customHeight="1">
      <c r="S1440" s="454"/>
      <c r="AN1440" s="458"/>
      <c r="BC1440" s="169"/>
    </row>
    <row r="1441" spans="19:55" ht="15.75" customHeight="1">
      <c r="S1441" s="454"/>
      <c r="AN1441" s="458"/>
      <c r="BC1441" s="169"/>
    </row>
    <row r="1442" spans="19:55" ht="15.75" customHeight="1">
      <c r="S1442" s="454"/>
      <c r="AN1442" s="458"/>
      <c r="BC1442" s="169"/>
    </row>
    <row r="1443" spans="19:55" ht="15.75" customHeight="1">
      <c r="S1443" s="454"/>
      <c r="AN1443" s="458"/>
      <c r="BC1443" s="169"/>
    </row>
    <row r="1444" spans="19:55" ht="15.75" customHeight="1">
      <c r="S1444" s="454"/>
      <c r="AN1444" s="458"/>
      <c r="BC1444" s="169"/>
    </row>
    <row r="1445" spans="19:55" ht="15.75" customHeight="1">
      <c r="S1445" s="454"/>
      <c r="AN1445" s="458"/>
      <c r="BC1445" s="169"/>
    </row>
    <row r="1446" spans="19:55" ht="15.75" customHeight="1">
      <c r="S1446" s="454"/>
      <c r="AN1446" s="458"/>
      <c r="BC1446" s="169"/>
    </row>
    <row r="1447" spans="19:55" ht="15.75" customHeight="1">
      <c r="S1447" s="454"/>
      <c r="AN1447" s="458"/>
      <c r="BC1447" s="169"/>
    </row>
    <row r="1448" spans="19:55" ht="15.75" customHeight="1">
      <c r="S1448" s="454"/>
      <c r="AN1448" s="458"/>
      <c r="BC1448" s="169"/>
    </row>
    <row r="1449" spans="19:55" ht="15.75" customHeight="1">
      <c r="S1449" s="454"/>
      <c r="AN1449" s="458"/>
      <c r="BC1449" s="169"/>
    </row>
    <row r="1450" spans="19:55" ht="15.75" customHeight="1">
      <c r="S1450" s="454"/>
      <c r="AN1450" s="458"/>
      <c r="BC1450" s="169"/>
    </row>
    <row r="1451" spans="19:55" ht="15.75" customHeight="1">
      <c r="S1451" s="454"/>
      <c r="AN1451" s="458"/>
      <c r="BC1451" s="169"/>
    </row>
    <row r="1452" spans="19:55" ht="15.75" customHeight="1">
      <c r="S1452" s="454"/>
      <c r="AN1452" s="458"/>
      <c r="BC1452" s="169"/>
    </row>
    <row r="1453" spans="19:55" ht="15.75" customHeight="1">
      <c r="S1453" s="454"/>
      <c r="AN1453" s="458"/>
      <c r="BC1453" s="169"/>
    </row>
    <row r="1454" spans="19:55" ht="15.75" customHeight="1">
      <c r="S1454" s="454"/>
      <c r="AN1454" s="458"/>
      <c r="BC1454" s="169"/>
    </row>
    <row r="1455" spans="19:55" ht="15.75" customHeight="1">
      <c r="S1455" s="454"/>
      <c r="AN1455" s="458"/>
      <c r="BC1455" s="169"/>
    </row>
    <row r="1456" spans="19:55" ht="15.75" customHeight="1">
      <c r="S1456" s="454"/>
      <c r="AN1456" s="458"/>
      <c r="BC1456" s="169"/>
    </row>
    <row r="1457" spans="19:55" ht="15.75" customHeight="1">
      <c r="S1457" s="454"/>
      <c r="AN1457" s="458"/>
      <c r="BC1457" s="169"/>
    </row>
    <row r="1458" spans="19:55" ht="15.75" customHeight="1">
      <c r="S1458" s="454"/>
      <c r="AN1458" s="458"/>
      <c r="BC1458" s="169"/>
    </row>
    <row r="1459" spans="19:55" ht="15.75" customHeight="1">
      <c r="S1459" s="454"/>
      <c r="AN1459" s="458"/>
      <c r="BC1459" s="169"/>
    </row>
    <row r="1460" spans="19:55" ht="15.75" customHeight="1">
      <c r="S1460" s="454"/>
      <c r="AN1460" s="458"/>
      <c r="BC1460" s="169"/>
    </row>
    <row r="1461" spans="19:55" ht="15.75" customHeight="1">
      <c r="S1461" s="454"/>
      <c r="AN1461" s="458"/>
      <c r="BC1461" s="169"/>
    </row>
    <row r="1462" spans="19:55" ht="15.75" customHeight="1">
      <c r="S1462" s="454"/>
      <c r="AN1462" s="458"/>
      <c r="BC1462" s="169"/>
    </row>
    <row r="1463" spans="19:55" ht="15.75" customHeight="1">
      <c r="S1463" s="454"/>
      <c r="AN1463" s="458"/>
      <c r="BC1463" s="169"/>
    </row>
    <row r="1464" spans="19:55" ht="15.75" customHeight="1">
      <c r="S1464" s="454"/>
      <c r="AN1464" s="458"/>
      <c r="BC1464" s="169"/>
    </row>
    <row r="1465" spans="19:55" ht="15.75" customHeight="1">
      <c r="S1465" s="454"/>
      <c r="AN1465" s="458"/>
      <c r="BC1465" s="169"/>
    </row>
    <row r="1466" spans="19:55" ht="15.75" customHeight="1">
      <c r="S1466" s="454"/>
      <c r="AN1466" s="458"/>
      <c r="BC1466" s="169"/>
    </row>
    <row r="1467" spans="19:55" ht="15.75" customHeight="1">
      <c r="S1467" s="454"/>
      <c r="AN1467" s="458"/>
      <c r="BC1467" s="169"/>
    </row>
    <row r="1468" spans="19:55" ht="15.75" customHeight="1">
      <c r="S1468" s="454"/>
      <c r="AN1468" s="458"/>
      <c r="BC1468" s="169"/>
    </row>
    <row r="1469" spans="19:55" ht="15.75" customHeight="1">
      <c r="S1469" s="454"/>
      <c r="AN1469" s="458"/>
      <c r="BC1469" s="169"/>
    </row>
    <row r="1470" spans="19:55" ht="15.75" customHeight="1">
      <c r="S1470" s="454"/>
      <c r="AN1470" s="458"/>
      <c r="BC1470" s="169"/>
    </row>
    <row r="1471" spans="19:55" ht="15.75" customHeight="1">
      <c r="S1471" s="454"/>
      <c r="AN1471" s="458"/>
      <c r="BC1471" s="169"/>
    </row>
    <row r="1472" spans="19:55" ht="15.75" customHeight="1">
      <c r="S1472" s="454"/>
      <c r="AN1472" s="458"/>
      <c r="BC1472" s="169"/>
    </row>
    <row r="1473" spans="19:55" ht="15.75" customHeight="1">
      <c r="S1473" s="454"/>
      <c r="AN1473" s="458"/>
      <c r="BC1473" s="169"/>
    </row>
    <row r="1474" spans="19:55" ht="15.75" customHeight="1">
      <c r="S1474" s="454"/>
      <c r="AN1474" s="458"/>
      <c r="BC1474" s="169"/>
    </row>
    <row r="1475" spans="19:55" ht="15.75" customHeight="1">
      <c r="S1475" s="454"/>
      <c r="AN1475" s="458"/>
      <c r="BC1475" s="169"/>
    </row>
    <row r="1476" spans="19:55" ht="15.75" customHeight="1">
      <c r="S1476" s="454"/>
      <c r="AN1476" s="458"/>
      <c r="BC1476" s="169"/>
    </row>
    <row r="1477" spans="19:55" ht="15.75" customHeight="1">
      <c r="S1477" s="454"/>
      <c r="AN1477" s="458"/>
      <c r="BC1477" s="169"/>
    </row>
    <row r="1478" spans="19:55" ht="15.75" customHeight="1">
      <c r="S1478" s="454"/>
      <c r="AN1478" s="458"/>
      <c r="BC1478" s="169"/>
    </row>
    <row r="1479" spans="19:55" ht="15.75" customHeight="1">
      <c r="S1479" s="454"/>
      <c r="AN1479" s="458"/>
      <c r="BC1479" s="169"/>
    </row>
    <row r="1480" spans="19:55" ht="15.75" customHeight="1">
      <c r="S1480" s="454"/>
      <c r="AN1480" s="458"/>
      <c r="BC1480" s="169"/>
    </row>
    <row r="1481" spans="19:55" ht="15.75" customHeight="1">
      <c r="S1481" s="454"/>
      <c r="AN1481" s="458"/>
      <c r="BC1481" s="169"/>
    </row>
    <row r="1482" spans="19:55" ht="15.75" customHeight="1">
      <c r="S1482" s="454"/>
      <c r="AN1482" s="458"/>
      <c r="BC1482" s="169"/>
    </row>
    <row r="1483" spans="19:55" ht="15.75" customHeight="1">
      <c r="S1483" s="454"/>
      <c r="AN1483" s="458"/>
      <c r="BC1483" s="169"/>
    </row>
    <row r="1484" spans="19:55" ht="15.75" customHeight="1">
      <c r="S1484" s="454"/>
      <c r="AN1484" s="458"/>
      <c r="BC1484" s="169"/>
    </row>
    <row r="1485" spans="19:55" ht="15.75" customHeight="1">
      <c r="S1485" s="454"/>
      <c r="AN1485" s="458"/>
      <c r="BC1485" s="169"/>
    </row>
    <row r="1486" spans="19:55" ht="15.75" customHeight="1">
      <c r="S1486" s="454"/>
      <c r="AN1486" s="458"/>
      <c r="BC1486" s="169"/>
    </row>
    <row r="1487" spans="19:55" ht="15.75" customHeight="1">
      <c r="S1487" s="454"/>
      <c r="AN1487" s="458"/>
      <c r="BC1487" s="169"/>
    </row>
    <row r="1488" spans="19:55" ht="15.75" customHeight="1">
      <c r="S1488" s="454"/>
      <c r="AN1488" s="458"/>
      <c r="BC1488" s="169"/>
    </row>
    <row r="1489" spans="19:55" ht="15.75" customHeight="1">
      <c r="S1489" s="454"/>
      <c r="AN1489" s="458"/>
      <c r="BC1489" s="169"/>
    </row>
    <row r="1490" spans="19:55" ht="15.75" customHeight="1">
      <c r="S1490" s="454"/>
      <c r="AN1490" s="458"/>
      <c r="BC1490" s="169"/>
    </row>
    <row r="1491" spans="19:55" ht="15.75" customHeight="1">
      <c r="S1491" s="454"/>
      <c r="AN1491" s="458"/>
      <c r="BC1491" s="169"/>
    </row>
    <row r="1492" spans="19:55" ht="15.75" customHeight="1">
      <c r="S1492" s="454"/>
      <c r="AN1492" s="458"/>
      <c r="BC1492" s="169"/>
    </row>
    <row r="1493" spans="19:55" ht="15.75" customHeight="1">
      <c r="S1493" s="454"/>
      <c r="AN1493" s="458"/>
      <c r="BC1493" s="169"/>
    </row>
    <row r="1494" spans="19:55" ht="15.75" customHeight="1">
      <c r="AN1494" s="458"/>
      <c r="BC1494" s="169"/>
    </row>
    <row r="1495" spans="19:55" ht="15.75" customHeight="1">
      <c r="AN1495" s="458"/>
      <c r="BC1495" s="169"/>
    </row>
    <row r="1496" spans="19:55" ht="15.75" customHeight="1">
      <c r="AN1496" s="458"/>
      <c r="BC1496" s="169"/>
    </row>
    <row r="1497" spans="19:55" ht="15.75" customHeight="1">
      <c r="AN1497" s="458"/>
      <c r="BC1497" s="169"/>
    </row>
    <row r="1498" spans="19:55" ht="15.75" customHeight="1">
      <c r="AN1498" s="458"/>
      <c r="BC1498" s="169"/>
    </row>
    <row r="1499" spans="19:55" ht="15.75" customHeight="1">
      <c r="AN1499" s="458"/>
      <c r="BC1499" s="169"/>
    </row>
    <row r="1500" spans="19:55" ht="15.75" customHeight="1">
      <c r="AN1500" s="458"/>
      <c r="BC1500" s="169"/>
    </row>
    <row r="1501" spans="19:55" ht="15.75" customHeight="1">
      <c r="AN1501" s="458"/>
      <c r="BC1501" s="169"/>
    </row>
    <row r="1502" spans="19:55" ht="15.75" customHeight="1">
      <c r="AN1502" s="458"/>
      <c r="BC1502" s="169"/>
    </row>
    <row r="1503" spans="19:55" ht="15.75" customHeight="1">
      <c r="AN1503" s="458"/>
      <c r="BC1503" s="169"/>
    </row>
    <row r="1504" spans="19:55" ht="15.75" customHeight="1">
      <c r="AN1504" s="458"/>
      <c r="BC1504" s="169"/>
    </row>
    <row r="1505" spans="40:55" ht="15.75" customHeight="1">
      <c r="AN1505" s="458"/>
      <c r="BC1505" s="169"/>
    </row>
    <row r="1506" spans="40:55" ht="15.75" customHeight="1">
      <c r="AN1506" s="458"/>
      <c r="BC1506" s="169"/>
    </row>
    <row r="1507" spans="40:55" ht="15.75" customHeight="1">
      <c r="AN1507" s="458"/>
      <c r="BC1507" s="169"/>
    </row>
    <row r="1508" spans="40:55" ht="15.75" customHeight="1">
      <c r="AN1508" s="458"/>
      <c r="BC1508" s="169"/>
    </row>
    <row r="1509" spans="40:55" ht="15.75" customHeight="1">
      <c r="AN1509" s="458"/>
      <c r="BC1509" s="169"/>
    </row>
    <row r="1510" spans="40:55" ht="15.75" customHeight="1">
      <c r="AN1510" s="458"/>
      <c r="BC1510" s="169"/>
    </row>
    <row r="1511" spans="40:55" ht="15.75" customHeight="1">
      <c r="AN1511" s="458"/>
      <c r="BC1511" s="169"/>
    </row>
    <row r="1512" spans="40:55" ht="15.75" customHeight="1">
      <c r="AN1512" s="458"/>
      <c r="BC1512" s="169"/>
    </row>
    <row r="1513" spans="40:55" ht="15.75" customHeight="1">
      <c r="AN1513" s="458"/>
      <c r="BC1513" s="169"/>
    </row>
    <row r="1514" spans="40:55" ht="15.75" customHeight="1">
      <c r="AN1514" s="458"/>
      <c r="BC1514" s="169"/>
    </row>
    <row r="1515" spans="40:55" ht="15.75" customHeight="1">
      <c r="AN1515" s="458"/>
      <c r="BC1515" s="169"/>
    </row>
    <row r="1516" spans="40:55" ht="15.75" customHeight="1">
      <c r="AN1516" s="458"/>
      <c r="BC1516" s="169"/>
    </row>
    <row r="1517" spans="40:55" ht="15.75" customHeight="1">
      <c r="AN1517" s="458"/>
      <c r="BC1517" s="169"/>
    </row>
    <row r="1518" spans="40:55" ht="15.75" customHeight="1">
      <c r="AN1518" s="458"/>
      <c r="BC1518" s="169"/>
    </row>
    <row r="1519" spans="40:55" ht="15.75" customHeight="1">
      <c r="AN1519" s="458"/>
      <c r="BC1519" s="169"/>
    </row>
    <row r="1520" spans="40:55" ht="15.75" customHeight="1">
      <c r="AN1520" s="458"/>
      <c r="BC1520" s="169"/>
    </row>
    <row r="1521" spans="40:55" ht="15.75" customHeight="1">
      <c r="AN1521" s="458"/>
      <c r="BC1521" s="169"/>
    </row>
    <row r="1522" spans="40:55" ht="15.75" customHeight="1">
      <c r="AN1522" s="458"/>
      <c r="BC1522" s="169"/>
    </row>
    <row r="1523" spans="40:55" ht="15.75" customHeight="1">
      <c r="AN1523" s="458"/>
      <c r="BC1523" s="169"/>
    </row>
    <row r="1524" spans="40:55" ht="15.75" customHeight="1">
      <c r="AN1524" s="458"/>
      <c r="BC1524" s="169"/>
    </row>
    <row r="1525" spans="40:55" ht="15.75" customHeight="1">
      <c r="AN1525" s="458"/>
      <c r="BC1525" s="169"/>
    </row>
    <row r="1526" spans="40:55" ht="15.75" customHeight="1">
      <c r="AN1526" s="458"/>
      <c r="BC1526" s="169"/>
    </row>
    <row r="1527" spans="40:55" ht="15.75" customHeight="1">
      <c r="AN1527" s="458"/>
      <c r="BC1527" s="169"/>
    </row>
    <row r="1528" spans="40:55" ht="15.75" customHeight="1">
      <c r="AN1528" s="458"/>
      <c r="BC1528" s="169"/>
    </row>
    <row r="1529" spans="40:55" ht="15.75" customHeight="1">
      <c r="AN1529" s="458"/>
      <c r="BC1529" s="169"/>
    </row>
    <row r="1530" spans="40:55" ht="15.75" customHeight="1">
      <c r="AN1530" s="458"/>
      <c r="BC1530" s="169"/>
    </row>
    <row r="1531" spans="40:55" ht="15.75" customHeight="1">
      <c r="AN1531" s="458"/>
      <c r="BC1531" s="169"/>
    </row>
    <row r="1532" spans="40:55" ht="15.75" customHeight="1">
      <c r="AN1532" s="458"/>
      <c r="BC1532" s="169"/>
    </row>
    <row r="1533" spans="40:55" ht="15.75" customHeight="1">
      <c r="AN1533" s="458"/>
      <c r="BC1533" s="169"/>
    </row>
    <row r="1534" spans="40:55" ht="15.75" customHeight="1">
      <c r="AN1534" s="458"/>
      <c r="BC1534" s="169"/>
    </row>
    <row r="1535" spans="40:55" ht="15.75" customHeight="1">
      <c r="AN1535" s="458"/>
      <c r="BC1535" s="169"/>
    </row>
    <row r="1536" spans="40:55" ht="15.75" customHeight="1">
      <c r="AN1536" s="458"/>
      <c r="BC1536" s="169"/>
    </row>
    <row r="1537" spans="40:55" ht="15.75" customHeight="1">
      <c r="AN1537" s="458"/>
      <c r="BC1537" s="169"/>
    </row>
    <row r="1538" spans="40:55" ht="15.75" customHeight="1">
      <c r="AN1538" s="458"/>
      <c r="BC1538" s="169"/>
    </row>
    <row r="1539" spans="40:55" ht="15.75" customHeight="1">
      <c r="AN1539" s="458"/>
      <c r="BC1539" s="169"/>
    </row>
    <row r="1540" spans="40:55" ht="15.75" customHeight="1">
      <c r="AN1540" s="458"/>
      <c r="BC1540" s="169"/>
    </row>
    <row r="1541" spans="40:55" ht="15.75" customHeight="1">
      <c r="AN1541" s="458"/>
      <c r="BC1541" s="169"/>
    </row>
    <row r="1542" spans="40:55" ht="15.75" customHeight="1">
      <c r="AN1542" s="458"/>
      <c r="BC1542" s="169"/>
    </row>
    <row r="1543" spans="40:55" ht="15.75" customHeight="1">
      <c r="AN1543" s="458"/>
      <c r="BC1543" s="169"/>
    </row>
    <row r="1544" spans="40:55" ht="15.75" customHeight="1">
      <c r="AN1544" s="458"/>
      <c r="BC1544" s="169"/>
    </row>
    <row r="1545" spans="40:55" ht="15.75" customHeight="1">
      <c r="AN1545" s="458"/>
      <c r="BC1545" s="169"/>
    </row>
    <row r="1546" spans="40:55" ht="15.75" customHeight="1">
      <c r="AN1546" s="458"/>
      <c r="BC1546" s="169"/>
    </row>
    <row r="1547" spans="40:55" ht="15.75" customHeight="1">
      <c r="AN1547" s="458"/>
      <c r="BC1547" s="169"/>
    </row>
    <row r="1548" spans="40:55" ht="15.75" customHeight="1">
      <c r="AN1548" s="458"/>
      <c r="BC1548" s="169"/>
    </row>
    <row r="1549" spans="40:55" ht="15.75" customHeight="1">
      <c r="AN1549" s="458"/>
      <c r="BC1549" s="169"/>
    </row>
    <row r="1550" spans="40:55" ht="15.75" customHeight="1">
      <c r="AN1550" s="458"/>
      <c r="BC1550" s="169"/>
    </row>
    <row r="1551" spans="40:55" ht="15.75" customHeight="1">
      <c r="AN1551" s="458"/>
      <c r="BC1551" s="169"/>
    </row>
    <row r="1552" spans="40:55" ht="15.75" customHeight="1">
      <c r="AN1552" s="458"/>
      <c r="BC1552" s="169"/>
    </row>
    <row r="1553" spans="40:55" ht="15.75" customHeight="1">
      <c r="AN1553" s="458"/>
      <c r="BC1553" s="169"/>
    </row>
    <row r="1554" spans="40:55" ht="15.75" customHeight="1">
      <c r="AN1554" s="458"/>
      <c r="BC1554" s="169"/>
    </row>
    <row r="1555" spans="40:55" ht="15.75" customHeight="1">
      <c r="AN1555" s="458"/>
      <c r="BC1555" s="169"/>
    </row>
    <row r="1556" spans="40:55" ht="15.75" customHeight="1">
      <c r="AN1556" s="458"/>
      <c r="BC1556" s="169"/>
    </row>
    <row r="1557" spans="40:55" ht="15.75" customHeight="1">
      <c r="AN1557" s="458"/>
      <c r="BC1557" s="169"/>
    </row>
    <row r="1558" spans="40:55" ht="15.75" customHeight="1">
      <c r="AN1558" s="458"/>
      <c r="BC1558" s="169"/>
    </row>
    <row r="1559" spans="40:55" ht="15.75" customHeight="1">
      <c r="AN1559" s="458"/>
      <c r="BC1559" s="169"/>
    </row>
    <row r="1560" spans="40:55" ht="15.75" customHeight="1">
      <c r="AN1560" s="458"/>
      <c r="BC1560" s="169"/>
    </row>
    <row r="1561" spans="40:55" ht="15.75" customHeight="1">
      <c r="AN1561" s="458"/>
      <c r="BC1561" s="169"/>
    </row>
    <row r="1562" spans="40:55" ht="15.75" customHeight="1">
      <c r="AN1562" s="458"/>
      <c r="BC1562" s="169"/>
    </row>
    <row r="1563" spans="40:55" ht="15.75" customHeight="1">
      <c r="AN1563" s="458"/>
      <c r="BC1563" s="169"/>
    </row>
    <row r="1564" spans="40:55" ht="15.75" customHeight="1">
      <c r="AN1564" s="458"/>
      <c r="BC1564" s="169"/>
    </row>
    <row r="1565" spans="40:55" ht="15.75" customHeight="1">
      <c r="AN1565" s="458"/>
      <c r="BC1565" s="169"/>
    </row>
    <row r="1566" spans="40:55" ht="15.75" customHeight="1">
      <c r="AN1566" s="458"/>
      <c r="BC1566" s="169"/>
    </row>
    <row r="1567" spans="40:55" ht="15.75" customHeight="1">
      <c r="AN1567" s="458"/>
      <c r="BC1567" s="169"/>
    </row>
    <row r="1568" spans="40:55" ht="15.75" customHeight="1">
      <c r="AN1568" s="458"/>
      <c r="BC1568" s="169"/>
    </row>
    <row r="1569" spans="40:55" ht="15.75" customHeight="1">
      <c r="AN1569" s="458"/>
      <c r="BC1569" s="169"/>
    </row>
    <row r="1570" spans="40:55" ht="15.75" customHeight="1">
      <c r="AN1570" s="458"/>
      <c r="BC1570" s="169"/>
    </row>
    <row r="1571" spans="40:55" ht="15.75" customHeight="1">
      <c r="AN1571" s="458"/>
      <c r="BC1571" s="169"/>
    </row>
    <row r="1572" spans="40:55" ht="15.75" customHeight="1">
      <c r="AN1572" s="458"/>
      <c r="BC1572" s="169"/>
    </row>
    <row r="1573" spans="40:55" ht="15.75" customHeight="1">
      <c r="AN1573" s="458"/>
      <c r="BC1573" s="169"/>
    </row>
    <row r="1574" spans="40:55" ht="15.75" customHeight="1">
      <c r="AN1574" s="458"/>
      <c r="BC1574" s="169"/>
    </row>
    <row r="1575" spans="40:55" ht="15.75" customHeight="1">
      <c r="AN1575" s="458"/>
      <c r="BC1575" s="169"/>
    </row>
    <row r="1576" spans="40:55" ht="15.75" customHeight="1">
      <c r="AN1576" s="458"/>
      <c r="BC1576" s="169"/>
    </row>
    <row r="1577" spans="40:55" ht="15.75" customHeight="1">
      <c r="AN1577" s="458"/>
      <c r="BC1577" s="169"/>
    </row>
    <row r="1578" spans="40:55" ht="15.75" customHeight="1">
      <c r="AN1578" s="458"/>
      <c r="BC1578" s="169"/>
    </row>
    <row r="1579" spans="40:55" ht="15.75" customHeight="1">
      <c r="AN1579" s="458"/>
      <c r="BC1579" s="169"/>
    </row>
    <row r="1580" spans="40:55" ht="15.75" customHeight="1">
      <c r="AN1580" s="458"/>
      <c r="BC1580" s="169"/>
    </row>
    <row r="1581" spans="40:55" ht="15.75" customHeight="1">
      <c r="AN1581" s="458"/>
      <c r="BC1581" s="169"/>
    </row>
    <row r="1582" spans="40:55" ht="15.75" customHeight="1">
      <c r="AN1582" s="458"/>
      <c r="BC1582" s="169"/>
    </row>
    <row r="1583" spans="40:55" ht="15.75" customHeight="1">
      <c r="AN1583" s="458"/>
      <c r="BC1583" s="169"/>
    </row>
    <row r="1584" spans="40:55" ht="15.75" customHeight="1">
      <c r="AN1584" s="458"/>
      <c r="BC1584" s="169"/>
    </row>
    <row r="1585" spans="40:55" ht="15.75" customHeight="1">
      <c r="AN1585" s="458"/>
      <c r="BC1585" s="169"/>
    </row>
    <row r="1586" spans="40:55" ht="15.75" customHeight="1">
      <c r="AN1586" s="458"/>
      <c r="BC1586" s="169"/>
    </row>
    <row r="1587" spans="40:55" ht="15.75" customHeight="1">
      <c r="AN1587" s="458"/>
      <c r="BC1587" s="169"/>
    </row>
    <row r="1588" spans="40:55" ht="15.75" customHeight="1">
      <c r="AN1588" s="458"/>
      <c r="BC1588" s="169"/>
    </row>
    <row r="1589" spans="40:55" ht="15.75" customHeight="1">
      <c r="AN1589" s="458"/>
      <c r="BC1589" s="169"/>
    </row>
    <row r="1590" spans="40:55" ht="15.75" customHeight="1">
      <c r="AN1590" s="458"/>
      <c r="BC1590" s="169"/>
    </row>
    <row r="1591" spans="40:55" ht="15.75" customHeight="1">
      <c r="AN1591" s="458"/>
      <c r="BC1591" s="169"/>
    </row>
    <row r="1592" spans="40:55" ht="15.75" customHeight="1">
      <c r="AN1592" s="458"/>
      <c r="BC1592" s="169"/>
    </row>
    <row r="1593" spans="40:55" ht="15.75" customHeight="1">
      <c r="AN1593" s="458"/>
      <c r="BC1593" s="169"/>
    </row>
    <row r="1594" spans="40:55" ht="15.75" customHeight="1">
      <c r="AN1594" s="458"/>
      <c r="BC1594" s="169"/>
    </row>
    <row r="1595" spans="40:55" ht="15.75" customHeight="1">
      <c r="AN1595" s="458"/>
      <c r="BC1595" s="169"/>
    </row>
    <row r="1596" spans="40:55" ht="15.75" customHeight="1">
      <c r="AN1596" s="458"/>
      <c r="BC1596" s="169"/>
    </row>
    <row r="1597" spans="40:55" ht="15.75" customHeight="1">
      <c r="AN1597" s="458"/>
      <c r="BC1597" s="169"/>
    </row>
    <row r="1598" spans="40:55" ht="15.75" customHeight="1">
      <c r="AN1598" s="458"/>
      <c r="BC1598" s="169"/>
    </row>
    <row r="1599" spans="40:55" ht="15.75" customHeight="1">
      <c r="AN1599" s="458"/>
      <c r="BC1599" s="169"/>
    </row>
    <row r="1600" spans="40:55" ht="15.75" customHeight="1">
      <c r="AN1600" s="458"/>
      <c r="BC1600" s="169"/>
    </row>
    <row r="1601" spans="40:55" ht="15.75" customHeight="1">
      <c r="AN1601" s="458"/>
      <c r="BC1601" s="169"/>
    </row>
    <row r="1602" spans="40:55" ht="15.75" customHeight="1">
      <c r="AN1602" s="458"/>
      <c r="BC1602" s="169"/>
    </row>
    <row r="1603" spans="40:55" ht="15.75" customHeight="1">
      <c r="AN1603" s="458"/>
      <c r="BC1603" s="169"/>
    </row>
    <row r="1604" spans="40:55" ht="15.75" customHeight="1">
      <c r="AN1604" s="458"/>
      <c r="BC1604" s="169"/>
    </row>
    <row r="1605" spans="40:55" ht="15.75" customHeight="1">
      <c r="AN1605" s="458"/>
      <c r="BC1605" s="169"/>
    </row>
    <row r="1606" spans="40:55" ht="15.75" customHeight="1">
      <c r="AN1606" s="458"/>
      <c r="BC1606" s="169"/>
    </row>
    <row r="1607" spans="40:55" ht="15.75" customHeight="1">
      <c r="AN1607" s="458"/>
      <c r="BC1607" s="169"/>
    </row>
    <row r="1608" spans="40:55" ht="15.75" customHeight="1">
      <c r="AN1608" s="458"/>
      <c r="BC1608" s="169"/>
    </row>
    <row r="1609" spans="40:55" ht="15.75" customHeight="1">
      <c r="AN1609" s="458"/>
      <c r="BC1609" s="169"/>
    </row>
    <row r="1610" spans="40:55" ht="15.75" customHeight="1">
      <c r="AN1610" s="458"/>
      <c r="BC1610" s="169"/>
    </row>
    <row r="1611" spans="40:55" ht="15.75" customHeight="1">
      <c r="AN1611" s="458"/>
      <c r="BC1611" s="169"/>
    </row>
    <row r="1612" spans="40:55" ht="15.75" customHeight="1">
      <c r="AN1612" s="458"/>
      <c r="BC1612" s="169"/>
    </row>
    <row r="1613" spans="40:55" ht="15.75" customHeight="1">
      <c r="AN1613" s="458"/>
      <c r="BC1613" s="169"/>
    </row>
    <row r="1614" spans="40:55" ht="15.75" customHeight="1">
      <c r="AN1614" s="458"/>
      <c r="BC1614" s="169"/>
    </row>
    <row r="1615" spans="40:55" ht="15.75" customHeight="1">
      <c r="AN1615" s="458"/>
      <c r="BC1615" s="169"/>
    </row>
    <row r="1616" spans="40:55" ht="15.75" customHeight="1">
      <c r="AN1616" s="458"/>
      <c r="BC1616" s="169"/>
    </row>
    <row r="1617" spans="40:55" ht="15.75" customHeight="1">
      <c r="AN1617" s="458"/>
      <c r="BC1617" s="169"/>
    </row>
    <row r="1618" spans="40:55" ht="15.75" customHeight="1">
      <c r="AN1618" s="458"/>
      <c r="BC1618" s="169"/>
    </row>
    <row r="1619" spans="40:55" ht="15.75" customHeight="1">
      <c r="AN1619" s="458"/>
      <c r="BC1619" s="169"/>
    </row>
    <row r="1620" spans="40:55" ht="15.75" customHeight="1">
      <c r="AN1620" s="458"/>
      <c r="BC1620" s="169"/>
    </row>
    <row r="1621" spans="40:55" ht="15.75" customHeight="1">
      <c r="AN1621" s="458"/>
      <c r="BC1621" s="169"/>
    </row>
    <row r="1622" spans="40:55" ht="15.75" customHeight="1">
      <c r="AN1622" s="458"/>
      <c r="BC1622" s="169"/>
    </row>
    <row r="1623" spans="40:55" ht="15.75" customHeight="1">
      <c r="AN1623" s="458"/>
      <c r="BC1623" s="169"/>
    </row>
    <row r="1624" spans="40:55" ht="15.75" customHeight="1">
      <c r="AN1624" s="458"/>
      <c r="BC1624" s="169"/>
    </row>
    <row r="1625" spans="40:55" ht="15.75" customHeight="1">
      <c r="AN1625" s="458"/>
      <c r="BC1625" s="169"/>
    </row>
    <row r="1626" spans="40:55" ht="15.75" customHeight="1">
      <c r="AN1626" s="458"/>
      <c r="BC1626" s="169"/>
    </row>
    <row r="1627" spans="40:55" ht="15.75" customHeight="1">
      <c r="AN1627" s="458"/>
      <c r="BC1627" s="169"/>
    </row>
    <row r="1628" spans="40:55" ht="15.75" customHeight="1">
      <c r="AN1628" s="458"/>
      <c r="BC1628" s="169"/>
    </row>
    <row r="1629" spans="40:55" ht="15.75" customHeight="1">
      <c r="AN1629" s="458"/>
      <c r="BC1629" s="169"/>
    </row>
    <row r="1630" spans="40:55" ht="15.75" customHeight="1">
      <c r="AN1630" s="458"/>
      <c r="BC1630" s="169"/>
    </row>
    <row r="1631" spans="40:55" ht="15.75" customHeight="1">
      <c r="AN1631" s="458"/>
      <c r="BC1631" s="169"/>
    </row>
    <row r="1632" spans="40:55" ht="15.75" customHeight="1">
      <c r="AN1632" s="458"/>
      <c r="BC1632" s="169"/>
    </row>
    <row r="1633" spans="40:55" ht="15.75" customHeight="1">
      <c r="AN1633" s="458"/>
      <c r="BC1633" s="169"/>
    </row>
    <row r="1634" spans="40:55" ht="15.75" customHeight="1">
      <c r="AN1634" s="458"/>
      <c r="BC1634" s="169"/>
    </row>
    <row r="1635" spans="40:55" ht="15.75" customHeight="1">
      <c r="AN1635" s="458"/>
      <c r="BC1635" s="169"/>
    </row>
    <row r="1636" spans="40:55" ht="15.75" customHeight="1">
      <c r="AN1636" s="458"/>
      <c r="BC1636" s="169"/>
    </row>
    <row r="1637" spans="40:55" ht="15.75" customHeight="1">
      <c r="AN1637" s="458"/>
      <c r="BC1637" s="169"/>
    </row>
    <row r="1638" spans="40:55" ht="15.75" customHeight="1">
      <c r="AN1638" s="458"/>
      <c r="BC1638" s="169"/>
    </row>
    <row r="1639" spans="40:55" ht="15.75" customHeight="1">
      <c r="AN1639" s="458"/>
      <c r="BC1639" s="169"/>
    </row>
    <row r="1640" spans="40:55" ht="15.75" customHeight="1">
      <c r="AN1640" s="458"/>
      <c r="BC1640" s="169"/>
    </row>
    <row r="1641" spans="40:55" ht="15.75" customHeight="1">
      <c r="AN1641" s="458"/>
      <c r="BC1641" s="169"/>
    </row>
    <row r="1642" spans="40:55" ht="15.75" customHeight="1">
      <c r="AN1642" s="458"/>
      <c r="BC1642" s="169"/>
    </row>
    <row r="1643" spans="40:55" ht="15.75" customHeight="1">
      <c r="AN1643" s="458"/>
      <c r="BC1643" s="169"/>
    </row>
    <row r="1644" spans="40:55" ht="15.75" customHeight="1">
      <c r="AN1644" s="458"/>
      <c r="BC1644" s="169"/>
    </row>
    <row r="1645" spans="40:55" ht="15.75" customHeight="1">
      <c r="AN1645" s="458"/>
      <c r="BC1645" s="169"/>
    </row>
    <row r="1646" spans="40:55" ht="15.75" customHeight="1">
      <c r="AN1646" s="458"/>
      <c r="BC1646" s="169"/>
    </row>
    <row r="1647" spans="40:55" ht="15.75" customHeight="1">
      <c r="AN1647" s="458"/>
      <c r="BC1647" s="169"/>
    </row>
    <row r="1648" spans="40:55" ht="15.75" customHeight="1">
      <c r="AN1648" s="458"/>
      <c r="BC1648" s="169"/>
    </row>
    <row r="1649" spans="40:55" ht="15.75" customHeight="1">
      <c r="AN1649" s="458"/>
      <c r="BC1649" s="169"/>
    </row>
    <row r="1650" spans="40:55" ht="15.75" customHeight="1">
      <c r="AN1650" s="458"/>
      <c r="BC1650" s="169"/>
    </row>
    <row r="1651" spans="40:55" ht="15.75" customHeight="1">
      <c r="AN1651" s="458"/>
      <c r="BC1651" s="169"/>
    </row>
    <row r="1652" spans="40:55" ht="15.75" customHeight="1">
      <c r="AN1652" s="458"/>
      <c r="BC1652" s="169"/>
    </row>
    <row r="1653" spans="40:55" ht="15.75" customHeight="1">
      <c r="AN1653" s="458"/>
      <c r="BC1653" s="169"/>
    </row>
    <row r="1654" spans="40:55" ht="15.75" customHeight="1">
      <c r="AN1654" s="458"/>
      <c r="BC1654" s="169"/>
    </row>
    <row r="1655" spans="40:55" ht="15.75" customHeight="1">
      <c r="AN1655" s="458"/>
      <c r="BC1655" s="169"/>
    </row>
    <row r="1656" spans="40:55" ht="15.75" customHeight="1">
      <c r="AN1656" s="458"/>
      <c r="BC1656" s="169"/>
    </row>
    <row r="1657" spans="40:55" ht="15.75" customHeight="1">
      <c r="AN1657" s="458"/>
      <c r="BC1657" s="169"/>
    </row>
    <row r="1658" spans="40:55" ht="15.75" customHeight="1">
      <c r="AN1658" s="458"/>
      <c r="BC1658" s="169"/>
    </row>
    <row r="1659" spans="40:55" ht="15.75" customHeight="1">
      <c r="AN1659" s="458"/>
      <c r="BC1659" s="169"/>
    </row>
    <row r="1660" spans="40:55" ht="15.75" customHeight="1">
      <c r="AN1660" s="458"/>
      <c r="BC1660" s="169"/>
    </row>
    <row r="1661" spans="40:55" ht="15.75" customHeight="1">
      <c r="AN1661" s="458"/>
      <c r="BC1661" s="169"/>
    </row>
    <row r="1662" spans="40:55" ht="15.75" customHeight="1">
      <c r="AN1662" s="458"/>
      <c r="BC1662" s="169"/>
    </row>
    <row r="1663" spans="40:55" ht="15.75" customHeight="1">
      <c r="AN1663" s="458"/>
      <c r="BC1663" s="169"/>
    </row>
    <row r="1664" spans="40:55" ht="15.75" customHeight="1">
      <c r="AN1664" s="458"/>
      <c r="BC1664" s="169"/>
    </row>
    <row r="1665" spans="40:55" ht="15.75" customHeight="1">
      <c r="AN1665" s="458"/>
      <c r="BC1665" s="169"/>
    </row>
    <row r="1666" spans="40:55" ht="15.75" customHeight="1">
      <c r="AN1666" s="458"/>
      <c r="BC1666" s="169"/>
    </row>
    <row r="1667" spans="40:55" ht="15.75" customHeight="1">
      <c r="AN1667" s="458"/>
      <c r="BC1667" s="169"/>
    </row>
    <row r="1668" spans="40:55" ht="15.75" customHeight="1">
      <c r="AN1668" s="458"/>
      <c r="BC1668" s="169"/>
    </row>
    <row r="1669" spans="40:55" ht="15.75" customHeight="1">
      <c r="AN1669" s="458"/>
      <c r="BC1669" s="169"/>
    </row>
    <row r="1670" spans="40:55" ht="15.75" customHeight="1">
      <c r="AN1670" s="458"/>
      <c r="BC1670" s="169"/>
    </row>
    <row r="1671" spans="40:55" ht="15.75" customHeight="1">
      <c r="AN1671" s="458"/>
      <c r="BC1671" s="169"/>
    </row>
    <row r="1672" spans="40:55" ht="15.75" customHeight="1">
      <c r="AN1672" s="458"/>
      <c r="BC1672" s="169"/>
    </row>
    <row r="1673" spans="40:55" ht="15.75" customHeight="1">
      <c r="AN1673" s="458"/>
      <c r="BC1673" s="169"/>
    </row>
    <row r="1674" spans="40:55" ht="15.75" customHeight="1">
      <c r="AN1674" s="458"/>
      <c r="BC1674" s="169"/>
    </row>
    <row r="1675" spans="40:55" ht="15.75" customHeight="1">
      <c r="AN1675" s="458"/>
      <c r="BC1675" s="169"/>
    </row>
    <row r="1676" spans="40:55" ht="15.75" customHeight="1">
      <c r="AN1676" s="458"/>
      <c r="BC1676" s="169"/>
    </row>
    <row r="1677" spans="40:55" ht="15.75" customHeight="1">
      <c r="AN1677" s="458"/>
      <c r="BC1677" s="169"/>
    </row>
    <row r="1678" spans="40:55" ht="15.75" customHeight="1">
      <c r="AN1678" s="458"/>
      <c r="BC1678" s="169"/>
    </row>
    <row r="1679" spans="40:55" ht="15.75" customHeight="1">
      <c r="AN1679" s="458"/>
      <c r="BC1679" s="169"/>
    </row>
    <row r="1680" spans="40:55" ht="15.75" customHeight="1">
      <c r="AN1680" s="458"/>
      <c r="BC1680" s="169"/>
    </row>
    <row r="1681" spans="40:55" ht="15.75" customHeight="1">
      <c r="AN1681" s="458"/>
      <c r="BC1681" s="169"/>
    </row>
    <row r="1682" spans="40:55" ht="15.75" customHeight="1">
      <c r="AN1682" s="458"/>
      <c r="BC1682" s="169"/>
    </row>
    <row r="1683" spans="40:55" ht="15.75" customHeight="1">
      <c r="AN1683" s="458"/>
      <c r="BC1683" s="169"/>
    </row>
    <row r="1684" spans="40:55" ht="15.75" customHeight="1">
      <c r="AN1684" s="458"/>
      <c r="BC1684" s="169"/>
    </row>
    <row r="1685" spans="40:55" ht="15.75" customHeight="1">
      <c r="AN1685" s="458"/>
      <c r="BC1685" s="169"/>
    </row>
    <row r="1686" spans="40:55" ht="15.75" customHeight="1">
      <c r="AN1686" s="458"/>
      <c r="BC1686" s="169"/>
    </row>
    <row r="1687" spans="40:55" ht="15.75" customHeight="1">
      <c r="AN1687" s="458"/>
      <c r="BC1687" s="169"/>
    </row>
    <row r="1688" spans="40:55" ht="15.75" customHeight="1">
      <c r="AN1688" s="458"/>
      <c r="BC1688" s="169"/>
    </row>
    <row r="1689" spans="40:55" ht="15.75" customHeight="1">
      <c r="AN1689" s="458"/>
      <c r="BC1689" s="169"/>
    </row>
    <row r="1690" spans="40:55" ht="15.75" customHeight="1">
      <c r="AN1690" s="458"/>
      <c r="BC1690" s="169"/>
    </row>
    <row r="1691" spans="40:55" ht="15.75" customHeight="1">
      <c r="AN1691" s="458"/>
      <c r="BC1691" s="169"/>
    </row>
    <row r="1692" spans="40:55" ht="15.75" customHeight="1">
      <c r="AN1692" s="458"/>
      <c r="BC1692" s="169"/>
    </row>
    <row r="1693" spans="40:55" ht="15.75" customHeight="1">
      <c r="AN1693" s="458"/>
      <c r="BC1693" s="169"/>
    </row>
    <row r="1694" spans="40:55" ht="15.75" customHeight="1">
      <c r="AN1694" s="458"/>
      <c r="BC1694" s="169"/>
    </row>
    <row r="1695" spans="40:55" ht="15.75" customHeight="1">
      <c r="AN1695" s="458"/>
      <c r="BC1695" s="169"/>
    </row>
    <row r="1696" spans="40:55" ht="15.75" customHeight="1">
      <c r="AN1696" s="458"/>
      <c r="BC1696" s="169"/>
    </row>
    <row r="1697" spans="40:55" ht="15.75" customHeight="1">
      <c r="AN1697" s="458"/>
      <c r="BC1697" s="169"/>
    </row>
    <row r="1698" spans="40:55" ht="15.75" customHeight="1">
      <c r="AN1698" s="458"/>
      <c r="BC1698" s="169"/>
    </row>
    <row r="1699" spans="40:55" ht="15.75" customHeight="1">
      <c r="AN1699" s="458"/>
      <c r="BC1699" s="169"/>
    </row>
    <row r="1700" spans="40:55" ht="15.75" customHeight="1">
      <c r="AN1700" s="458"/>
      <c r="BC1700" s="169"/>
    </row>
    <row r="1701" spans="40:55" ht="15.75" customHeight="1">
      <c r="AN1701" s="458"/>
      <c r="BC1701" s="169"/>
    </row>
    <row r="1702" spans="40:55" ht="15.75" customHeight="1">
      <c r="AN1702" s="458"/>
      <c r="BC1702" s="169"/>
    </row>
    <row r="1703" spans="40:55" ht="15.75" customHeight="1">
      <c r="AN1703" s="458"/>
      <c r="BC1703" s="169"/>
    </row>
    <row r="1704" spans="40:55" ht="15.75" customHeight="1">
      <c r="AN1704" s="458"/>
      <c r="BC1704" s="169"/>
    </row>
    <row r="1705" spans="40:55" ht="15.75" customHeight="1">
      <c r="AN1705" s="458"/>
      <c r="BC1705" s="169"/>
    </row>
    <row r="1706" spans="40:55" ht="15.75" customHeight="1">
      <c r="AN1706" s="458"/>
      <c r="BC1706" s="169"/>
    </row>
    <row r="1707" spans="40:55" ht="15.75" customHeight="1">
      <c r="AN1707" s="458"/>
      <c r="BC1707" s="169"/>
    </row>
    <row r="1708" spans="40:55" ht="15.75" customHeight="1">
      <c r="AN1708" s="458"/>
      <c r="BC1708" s="169"/>
    </row>
    <row r="1709" spans="40:55" ht="15.75" customHeight="1">
      <c r="AN1709" s="458"/>
      <c r="BC1709" s="169"/>
    </row>
    <row r="1710" spans="40:55" ht="15.75" customHeight="1">
      <c r="AN1710" s="458"/>
      <c r="BC1710" s="169"/>
    </row>
    <row r="1711" spans="40:55" ht="15.75" customHeight="1">
      <c r="AN1711" s="458"/>
      <c r="BC1711" s="169"/>
    </row>
    <row r="1712" spans="40:55" ht="15.75" customHeight="1">
      <c r="AN1712" s="458"/>
      <c r="BC1712" s="169"/>
    </row>
    <row r="1713" spans="40:55" ht="15.75" customHeight="1">
      <c r="AN1713" s="458"/>
      <c r="BC1713" s="169"/>
    </row>
    <row r="1714" spans="40:55" ht="15.75" customHeight="1">
      <c r="AN1714" s="458"/>
      <c r="BC1714" s="169"/>
    </row>
    <row r="1715" spans="40:55" ht="15.75" customHeight="1">
      <c r="AN1715" s="458"/>
      <c r="BC1715" s="169"/>
    </row>
    <row r="1716" spans="40:55" ht="15.75" customHeight="1">
      <c r="AN1716" s="458"/>
      <c r="BC1716" s="169"/>
    </row>
    <row r="1717" spans="40:55" ht="15.75" customHeight="1">
      <c r="AN1717" s="458"/>
      <c r="BC1717" s="169"/>
    </row>
    <row r="1718" spans="40:55" ht="15.75" customHeight="1">
      <c r="AN1718" s="458"/>
      <c r="BC1718" s="169"/>
    </row>
    <row r="1719" spans="40:55" ht="15.75" customHeight="1">
      <c r="AN1719" s="458"/>
      <c r="BC1719" s="169"/>
    </row>
    <row r="1720" spans="40:55" ht="15.75" customHeight="1">
      <c r="AN1720" s="458"/>
      <c r="BC1720" s="169"/>
    </row>
    <row r="1721" spans="40:55" ht="15.75" customHeight="1">
      <c r="AN1721" s="458"/>
      <c r="BC1721" s="169"/>
    </row>
    <row r="1722" spans="40:55" ht="15.75" customHeight="1">
      <c r="AN1722" s="458"/>
      <c r="BC1722" s="169"/>
    </row>
    <row r="1723" spans="40:55" ht="15.75" customHeight="1">
      <c r="AN1723" s="458"/>
      <c r="BC1723" s="169"/>
    </row>
    <row r="1724" spans="40:55" ht="15.75" customHeight="1">
      <c r="AN1724" s="458"/>
      <c r="BC1724" s="169"/>
    </row>
    <row r="1725" spans="40:55" ht="15.75" customHeight="1">
      <c r="AN1725" s="458"/>
      <c r="BC1725" s="169"/>
    </row>
    <row r="1726" spans="40:55" ht="15.75" customHeight="1">
      <c r="AN1726" s="458"/>
      <c r="BC1726" s="169"/>
    </row>
    <row r="1727" spans="40:55" ht="15.75" customHeight="1">
      <c r="AN1727" s="458"/>
      <c r="BC1727" s="169"/>
    </row>
    <row r="1728" spans="40:55" ht="15.75" customHeight="1">
      <c r="AN1728" s="458"/>
      <c r="BC1728" s="169"/>
    </row>
    <row r="1729" spans="40:55" ht="15.75" customHeight="1">
      <c r="AN1729" s="458"/>
      <c r="BC1729" s="169"/>
    </row>
    <row r="1730" spans="40:55" ht="15.75" customHeight="1">
      <c r="AN1730" s="458"/>
      <c r="BC1730" s="169"/>
    </row>
    <row r="1731" spans="40:55" ht="15.75" customHeight="1">
      <c r="AN1731" s="458"/>
      <c r="BC1731" s="169"/>
    </row>
    <row r="1732" spans="40:55" ht="15.75" customHeight="1">
      <c r="AN1732" s="458"/>
      <c r="BC1732" s="169"/>
    </row>
    <row r="1733" spans="40:55" ht="15.75" customHeight="1">
      <c r="AN1733" s="458"/>
      <c r="BC1733" s="169"/>
    </row>
    <row r="1734" spans="40:55" ht="15.75" customHeight="1">
      <c r="AN1734" s="458"/>
      <c r="BC1734" s="169"/>
    </row>
    <row r="1735" spans="40:55" ht="15.75" customHeight="1">
      <c r="AN1735" s="458"/>
      <c r="BC1735" s="169"/>
    </row>
    <row r="1736" spans="40:55" ht="15.75" customHeight="1">
      <c r="AN1736" s="458"/>
      <c r="BC1736" s="169"/>
    </row>
    <row r="1737" spans="40:55" ht="15.75" customHeight="1">
      <c r="AN1737" s="458"/>
      <c r="BC1737" s="169"/>
    </row>
    <row r="1738" spans="40:55" ht="15.75" customHeight="1">
      <c r="AN1738" s="458"/>
      <c r="BC1738" s="169"/>
    </row>
    <row r="1739" spans="40:55" ht="15.75" customHeight="1">
      <c r="AN1739" s="458"/>
      <c r="BC1739" s="169"/>
    </row>
    <row r="1740" spans="40:55" ht="15.75" customHeight="1">
      <c r="AN1740" s="458"/>
      <c r="BC1740" s="169"/>
    </row>
    <row r="1741" spans="40:55" ht="15.75" customHeight="1">
      <c r="AN1741" s="458"/>
      <c r="BC1741" s="169"/>
    </row>
    <row r="1742" spans="40:55" ht="15.75" customHeight="1">
      <c r="AN1742" s="458"/>
      <c r="BC1742" s="169"/>
    </row>
    <row r="1743" spans="40:55" ht="15.75" customHeight="1">
      <c r="AN1743" s="458"/>
      <c r="BC1743" s="169"/>
    </row>
    <row r="1744" spans="40:55" ht="15.75" customHeight="1">
      <c r="AN1744" s="458"/>
      <c r="BC1744" s="169"/>
    </row>
    <row r="1745" spans="40:55" ht="15.75" customHeight="1">
      <c r="AN1745" s="458"/>
      <c r="BC1745" s="169"/>
    </row>
    <row r="1746" spans="40:55" ht="15.75" customHeight="1">
      <c r="AN1746" s="458"/>
      <c r="BC1746" s="169"/>
    </row>
    <row r="1747" spans="40:55" ht="15.75" customHeight="1">
      <c r="AN1747" s="458"/>
      <c r="BC1747" s="169"/>
    </row>
    <row r="1748" spans="40:55" ht="15.75" customHeight="1">
      <c r="AN1748" s="458"/>
      <c r="BC1748" s="169"/>
    </row>
    <row r="1749" spans="40:55" ht="15.75" customHeight="1">
      <c r="AN1749" s="458"/>
      <c r="BC1749" s="169"/>
    </row>
    <row r="1750" spans="40:55" ht="15.75" customHeight="1">
      <c r="AN1750" s="458"/>
      <c r="BC1750" s="169"/>
    </row>
    <row r="1751" spans="40:55" ht="15.75" customHeight="1">
      <c r="AN1751" s="458"/>
      <c r="BC1751" s="169"/>
    </row>
    <row r="1752" spans="40:55" ht="15.75" customHeight="1">
      <c r="AN1752" s="458"/>
      <c r="BC1752" s="169"/>
    </row>
    <row r="1753" spans="40:55" ht="15.75" customHeight="1">
      <c r="AN1753" s="458"/>
      <c r="BC1753" s="169"/>
    </row>
    <row r="1754" spans="40:55" ht="15.75" customHeight="1">
      <c r="AN1754" s="458"/>
      <c r="BC1754" s="169"/>
    </row>
    <row r="1755" spans="40:55" ht="15.75" customHeight="1">
      <c r="AN1755" s="458"/>
      <c r="BC1755" s="169"/>
    </row>
    <row r="1756" spans="40:55" ht="15.75" customHeight="1">
      <c r="AN1756" s="458"/>
      <c r="BC1756" s="169"/>
    </row>
    <row r="1757" spans="40:55" ht="15.75" customHeight="1">
      <c r="AN1757" s="458"/>
      <c r="BC1757" s="169"/>
    </row>
    <row r="1758" spans="40:55" ht="15.75" customHeight="1">
      <c r="AN1758" s="458"/>
      <c r="BC1758" s="169"/>
    </row>
    <row r="1759" spans="40:55" ht="15.75" customHeight="1">
      <c r="AN1759" s="458"/>
      <c r="BC1759" s="169"/>
    </row>
    <row r="1760" spans="40:55" ht="15.75" customHeight="1">
      <c r="AN1760" s="458"/>
      <c r="BC1760" s="169"/>
    </row>
    <row r="1761" spans="40:55" ht="15.75" customHeight="1">
      <c r="AN1761" s="458"/>
      <c r="BC1761" s="169"/>
    </row>
    <row r="1762" spans="40:55" ht="15.75" customHeight="1">
      <c r="AN1762" s="458"/>
      <c r="BC1762" s="169"/>
    </row>
    <row r="1763" spans="40:55" ht="15.75" customHeight="1">
      <c r="AN1763" s="458"/>
      <c r="BC1763" s="169"/>
    </row>
    <row r="1764" spans="40:55" ht="15.75" customHeight="1">
      <c r="AN1764" s="458"/>
      <c r="BC1764" s="169"/>
    </row>
    <row r="1765" spans="40:55" ht="15.75" customHeight="1">
      <c r="AN1765" s="458"/>
      <c r="BC1765" s="169"/>
    </row>
    <row r="1766" spans="40:55" ht="15.75" customHeight="1">
      <c r="AN1766" s="458"/>
      <c r="BC1766" s="169"/>
    </row>
    <row r="1767" spans="40:55" ht="15.75" customHeight="1">
      <c r="AN1767" s="458"/>
      <c r="BC1767" s="169"/>
    </row>
    <row r="1768" spans="40:55" ht="15.75" customHeight="1">
      <c r="AN1768" s="458"/>
      <c r="BC1768" s="169"/>
    </row>
    <row r="1769" spans="40:55" ht="15.75" customHeight="1">
      <c r="AN1769" s="458"/>
      <c r="BC1769" s="169"/>
    </row>
    <row r="1770" spans="40:55" ht="15.75" customHeight="1">
      <c r="AN1770" s="458"/>
      <c r="BC1770" s="169"/>
    </row>
    <row r="1771" spans="40:55" ht="15.75" customHeight="1">
      <c r="AN1771" s="458"/>
      <c r="BC1771" s="169"/>
    </row>
    <row r="1772" spans="40:55" ht="15.75" customHeight="1">
      <c r="AN1772" s="458"/>
      <c r="BC1772" s="169"/>
    </row>
    <row r="1773" spans="40:55" ht="15.75" customHeight="1">
      <c r="AN1773" s="458"/>
      <c r="BC1773" s="169"/>
    </row>
    <row r="1774" spans="40:55" ht="15.75" customHeight="1">
      <c r="AN1774" s="458"/>
      <c r="BC1774" s="169"/>
    </row>
    <row r="1775" spans="40:55" ht="15.75" customHeight="1">
      <c r="AN1775" s="458"/>
      <c r="BC1775" s="169"/>
    </row>
    <row r="1776" spans="40:55" ht="15.75" customHeight="1">
      <c r="AN1776" s="458"/>
      <c r="BC1776" s="169"/>
    </row>
    <row r="1777" spans="40:55" ht="15.75" customHeight="1">
      <c r="AN1777" s="458"/>
      <c r="BC1777" s="169"/>
    </row>
    <row r="1778" spans="40:55" ht="15.75" customHeight="1">
      <c r="AN1778" s="458"/>
      <c r="BC1778" s="169"/>
    </row>
    <row r="1779" spans="40:55" ht="15.75" customHeight="1">
      <c r="AN1779" s="458"/>
      <c r="BC1779" s="169"/>
    </row>
    <row r="1780" spans="40:55" ht="15.75" customHeight="1">
      <c r="AN1780" s="458"/>
      <c r="BC1780" s="169"/>
    </row>
    <row r="1781" spans="40:55" ht="15.75" customHeight="1">
      <c r="AN1781" s="458"/>
      <c r="BC1781" s="169"/>
    </row>
    <row r="1782" spans="40:55" ht="15.75" customHeight="1">
      <c r="AN1782" s="458"/>
      <c r="BC1782" s="169"/>
    </row>
    <row r="1783" spans="40:55" ht="15.75" customHeight="1">
      <c r="AN1783" s="458"/>
      <c r="BC1783" s="169"/>
    </row>
    <row r="1784" spans="40:55" ht="15.75" customHeight="1">
      <c r="AN1784" s="458"/>
      <c r="BC1784" s="169"/>
    </row>
    <row r="1785" spans="40:55" ht="15.75" customHeight="1">
      <c r="AN1785" s="458"/>
      <c r="BC1785" s="169"/>
    </row>
    <row r="1786" spans="40:55" ht="15.75" customHeight="1">
      <c r="AN1786" s="458"/>
      <c r="BC1786" s="169"/>
    </row>
    <row r="1787" spans="40:55" ht="15.75" customHeight="1">
      <c r="AN1787" s="458"/>
      <c r="BC1787" s="169"/>
    </row>
    <row r="1788" spans="40:55" ht="15.75" customHeight="1">
      <c r="AN1788" s="458"/>
      <c r="BC1788" s="169"/>
    </row>
    <row r="1789" spans="40:55" ht="15.75" customHeight="1">
      <c r="AN1789" s="458"/>
      <c r="BC1789" s="169"/>
    </row>
    <row r="1790" spans="40:55" ht="15.75" customHeight="1">
      <c r="AN1790" s="458"/>
      <c r="BC1790" s="169"/>
    </row>
    <row r="1791" spans="40:55" ht="15.75" customHeight="1">
      <c r="AN1791" s="458"/>
      <c r="BC1791" s="169"/>
    </row>
    <row r="1792" spans="40:55" ht="15.75" customHeight="1">
      <c r="AN1792" s="458"/>
      <c r="BC1792" s="169"/>
    </row>
    <row r="1793" spans="40:55" ht="15.75" customHeight="1">
      <c r="AN1793" s="458"/>
      <c r="BC1793" s="169"/>
    </row>
    <row r="1794" spans="40:55" ht="15.75" customHeight="1">
      <c r="AN1794" s="458"/>
      <c r="BC1794" s="169"/>
    </row>
    <row r="1795" spans="40:55" ht="15.75" customHeight="1">
      <c r="AN1795" s="458"/>
      <c r="BC1795" s="169"/>
    </row>
    <row r="1796" spans="40:55" ht="15.75" customHeight="1">
      <c r="AN1796" s="458"/>
      <c r="BC1796" s="169"/>
    </row>
    <row r="1797" spans="40:55" ht="15.75" customHeight="1">
      <c r="AN1797" s="458"/>
      <c r="BC1797" s="169"/>
    </row>
    <row r="1798" spans="40:55" ht="15.75" customHeight="1">
      <c r="AN1798" s="458"/>
      <c r="BC1798" s="169"/>
    </row>
    <row r="1799" spans="40:55" ht="15.75" customHeight="1">
      <c r="AN1799" s="458"/>
      <c r="BC1799" s="169"/>
    </row>
    <row r="1800" spans="40:55" ht="15.75" customHeight="1">
      <c r="AN1800" s="458"/>
      <c r="BC1800" s="169"/>
    </row>
    <row r="1801" spans="40:55" ht="15.75" customHeight="1">
      <c r="AN1801" s="458"/>
      <c r="BC1801" s="169"/>
    </row>
    <row r="1802" spans="40:55" ht="15.75" customHeight="1">
      <c r="AN1802" s="458"/>
      <c r="BC1802" s="169"/>
    </row>
    <row r="1803" spans="40:55" ht="15.75" customHeight="1">
      <c r="AN1803" s="458"/>
      <c r="BC1803" s="169"/>
    </row>
    <row r="1804" spans="40:55" ht="15.75" customHeight="1">
      <c r="AN1804" s="458"/>
      <c r="BC1804" s="169"/>
    </row>
    <row r="1805" spans="40:55" ht="15.75" customHeight="1">
      <c r="AN1805" s="458"/>
      <c r="BC1805" s="169"/>
    </row>
    <row r="1806" spans="40:55" ht="15.75" customHeight="1">
      <c r="AN1806" s="458"/>
      <c r="BC1806" s="169"/>
    </row>
    <row r="1807" spans="40:55" ht="15.75" customHeight="1">
      <c r="AN1807" s="458"/>
      <c r="BC1807" s="169"/>
    </row>
    <row r="1808" spans="40:55" ht="15.75" customHeight="1">
      <c r="AN1808" s="458"/>
      <c r="BC1808" s="169"/>
    </row>
    <row r="1809" spans="40:55" ht="15.75" customHeight="1">
      <c r="AN1809" s="458"/>
      <c r="BC1809" s="169"/>
    </row>
    <row r="1810" spans="40:55" ht="15.75" customHeight="1">
      <c r="AN1810" s="458"/>
      <c r="BC1810" s="169"/>
    </row>
    <row r="1811" spans="40:55" ht="15.75" customHeight="1">
      <c r="AN1811" s="458"/>
      <c r="BC1811" s="169"/>
    </row>
    <row r="1812" spans="40:55" ht="15.75" customHeight="1">
      <c r="AN1812" s="458"/>
      <c r="BC1812" s="169"/>
    </row>
    <row r="1813" spans="40:55" ht="15.75" customHeight="1">
      <c r="AN1813" s="458"/>
      <c r="BC1813" s="169"/>
    </row>
    <row r="1814" spans="40:55" ht="15.75" customHeight="1">
      <c r="AN1814" s="458"/>
      <c r="BC1814" s="169"/>
    </row>
    <row r="1815" spans="40:55" ht="15.75" customHeight="1">
      <c r="AN1815" s="458"/>
      <c r="BC1815" s="169"/>
    </row>
    <row r="1816" spans="40:55" ht="15.75" customHeight="1">
      <c r="AN1816" s="458"/>
      <c r="BC1816" s="169"/>
    </row>
    <row r="1817" spans="40:55" ht="15.75" customHeight="1">
      <c r="AN1817" s="458"/>
      <c r="BC1817" s="169"/>
    </row>
    <row r="1818" spans="40:55" ht="15.75" customHeight="1">
      <c r="AN1818" s="458"/>
      <c r="BC1818" s="169"/>
    </row>
    <row r="1819" spans="40:55" ht="15.75" customHeight="1">
      <c r="AN1819" s="458"/>
      <c r="BC1819" s="169"/>
    </row>
    <row r="1820" spans="40:55" ht="15.75" customHeight="1">
      <c r="AN1820" s="458"/>
      <c r="BC1820" s="169"/>
    </row>
    <row r="1821" spans="40:55" ht="15.75" customHeight="1">
      <c r="AN1821" s="458"/>
      <c r="BC1821" s="169"/>
    </row>
    <row r="1822" spans="40:55" ht="15.75" customHeight="1">
      <c r="AN1822" s="458"/>
      <c r="BC1822" s="169"/>
    </row>
    <row r="1823" spans="40:55" ht="15.75" customHeight="1">
      <c r="AN1823" s="458"/>
      <c r="BC1823" s="169"/>
    </row>
    <row r="1824" spans="40:55" ht="15.75" customHeight="1">
      <c r="AN1824" s="458"/>
      <c r="BC1824" s="169"/>
    </row>
    <row r="1825" spans="40:55" ht="15.75" customHeight="1">
      <c r="AN1825" s="458"/>
      <c r="BC1825" s="169"/>
    </row>
    <row r="1826" spans="40:55" ht="15.75" customHeight="1">
      <c r="AN1826" s="458"/>
      <c r="BC1826" s="169"/>
    </row>
    <row r="1827" spans="40:55" ht="15.75" customHeight="1">
      <c r="AN1827" s="458"/>
      <c r="BC1827" s="169"/>
    </row>
    <row r="1828" spans="40:55" ht="15.75" customHeight="1">
      <c r="AN1828" s="458"/>
      <c r="BC1828" s="169"/>
    </row>
    <row r="1829" spans="40:55" ht="15.75" customHeight="1">
      <c r="AN1829" s="458"/>
      <c r="BC1829" s="169"/>
    </row>
    <row r="1830" spans="40:55" ht="15.75" customHeight="1">
      <c r="AN1830" s="458"/>
      <c r="BC1830" s="169"/>
    </row>
    <row r="1831" spans="40:55" ht="15.75" customHeight="1">
      <c r="AN1831" s="458"/>
      <c r="BC1831" s="169"/>
    </row>
    <row r="1832" spans="40:55" ht="15.75" customHeight="1">
      <c r="AN1832" s="458"/>
      <c r="BC1832" s="169"/>
    </row>
    <row r="1833" spans="40:55" ht="15.75" customHeight="1">
      <c r="AN1833" s="458"/>
      <c r="BC1833" s="169"/>
    </row>
    <row r="1834" spans="40:55" ht="15.75" customHeight="1">
      <c r="AN1834" s="458"/>
      <c r="BC1834" s="169"/>
    </row>
    <row r="1835" spans="40:55" ht="15.75" customHeight="1">
      <c r="AN1835" s="458"/>
      <c r="BC1835" s="169"/>
    </row>
    <row r="1836" spans="40:55" ht="15.75" customHeight="1">
      <c r="AN1836" s="458"/>
      <c r="BC1836" s="169"/>
    </row>
    <row r="1837" spans="40:55" ht="15.75" customHeight="1">
      <c r="AN1837" s="458"/>
      <c r="BC1837" s="169"/>
    </row>
    <row r="1838" spans="40:55" ht="15.75" customHeight="1">
      <c r="AN1838" s="458"/>
      <c r="BC1838" s="169"/>
    </row>
    <row r="1839" spans="40:55" ht="15.75" customHeight="1">
      <c r="AN1839" s="458"/>
      <c r="BC1839" s="169"/>
    </row>
    <row r="1840" spans="40:55" ht="15.75" customHeight="1">
      <c r="AN1840" s="458"/>
      <c r="BC1840" s="169"/>
    </row>
    <row r="1841" spans="40:55" ht="15.75" customHeight="1">
      <c r="AN1841" s="458"/>
      <c r="BC1841" s="169"/>
    </row>
    <row r="1842" spans="40:55" ht="15.75" customHeight="1">
      <c r="AN1842" s="458"/>
      <c r="BC1842" s="169"/>
    </row>
    <row r="1843" spans="40:55" ht="15.75" customHeight="1">
      <c r="AN1843" s="458"/>
      <c r="BC1843" s="169"/>
    </row>
    <row r="1844" spans="40:55" ht="15.75" customHeight="1">
      <c r="AN1844" s="458"/>
      <c r="BC1844" s="169"/>
    </row>
    <row r="1845" spans="40:55" ht="15.75" customHeight="1">
      <c r="AN1845" s="458"/>
      <c r="BC1845" s="169"/>
    </row>
    <row r="1846" spans="40:55" ht="15.75" customHeight="1">
      <c r="AN1846" s="458"/>
      <c r="BC1846" s="169"/>
    </row>
    <row r="1847" spans="40:55" ht="15.75" customHeight="1">
      <c r="AN1847" s="458"/>
      <c r="BC1847" s="169"/>
    </row>
    <row r="1848" spans="40:55" ht="15.75" customHeight="1">
      <c r="AN1848" s="458"/>
      <c r="BC1848" s="169"/>
    </row>
    <row r="1849" spans="40:55" ht="15.75" customHeight="1">
      <c r="AN1849" s="458"/>
      <c r="BC1849" s="169"/>
    </row>
    <row r="1850" spans="40:55" ht="15.75" customHeight="1">
      <c r="AN1850" s="458"/>
      <c r="BC1850" s="169"/>
    </row>
    <row r="1851" spans="40:55" ht="15.75" customHeight="1">
      <c r="AN1851" s="458"/>
      <c r="BC1851" s="169"/>
    </row>
    <row r="1852" spans="40:55" ht="15.75" customHeight="1">
      <c r="AN1852" s="458"/>
      <c r="BC1852" s="169"/>
    </row>
    <row r="1853" spans="40:55" ht="15.75" customHeight="1">
      <c r="AN1853" s="458"/>
      <c r="BC1853" s="169"/>
    </row>
    <row r="1854" spans="40:55" ht="15.75" customHeight="1">
      <c r="AN1854" s="458"/>
      <c r="BC1854" s="169"/>
    </row>
    <row r="1855" spans="40:55" ht="15.75" customHeight="1">
      <c r="AN1855" s="458"/>
      <c r="BC1855" s="169"/>
    </row>
    <row r="1856" spans="40:55" ht="15.75" customHeight="1">
      <c r="AN1856" s="458"/>
      <c r="BC1856" s="169"/>
    </row>
    <row r="1857" spans="40:55" ht="15.75" customHeight="1">
      <c r="AN1857" s="458"/>
      <c r="BC1857" s="169"/>
    </row>
    <row r="1858" spans="40:55" ht="15.75" customHeight="1">
      <c r="AN1858" s="458"/>
      <c r="BC1858" s="169"/>
    </row>
    <row r="1859" spans="40:55" ht="15.75" customHeight="1">
      <c r="AN1859" s="458"/>
      <c r="BC1859" s="169"/>
    </row>
    <row r="1860" spans="40:55" ht="15.75" customHeight="1">
      <c r="AN1860" s="458"/>
      <c r="BC1860" s="169"/>
    </row>
    <row r="1861" spans="40:55" ht="15.75" customHeight="1">
      <c r="AN1861" s="458"/>
      <c r="BC1861" s="169"/>
    </row>
    <row r="1862" spans="40:55" ht="15.75" customHeight="1">
      <c r="AN1862" s="458"/>
      <c r="BC1862" s="169"/>
    </row>
    <row r="1863" spans="40:55" ht="15.75" customHeight="1">
      <c r="AN1863" s="458"/>
      <c r="BC1863" s="169"/>
    </row>
    <row r="1864" spans="40:55" ht="15.75" customHeight="1">
      <c r="AN1864" s="458"/>
      <c r="BC1864" s="169"/>
    </row>
    <row r="1865" spans="40:55" ht="15.75" customHeight="1">
      <c r="AN1865" s="458"/>
      <c r="BC1865" s="169"/>
    </row>
    <row r="1866" spans="40:55" ht="15.75" customHeight="1">
      <c r="AN1866" s="458"/>
      <c r="BC1866" s="169"/>
    </row>
    <row r="1867" spans="40:55" ht="15.75" customHeight="1">
      <c r="AN1867" s="458"/>
      <c r="BC1867" s="169"/>
    </row>
    <row r="1868" spans="40:55" ht="15.75" customHeight="1">
      <c r="AN1868" s="458"/>
      <c r="BC1868" s="169"/>
    </row>
    <row r="1869" spans="40:55" ht="15.75" customHeight="1">
      <c r="AN1869" s="458"/>
      <c r="BC1869" s="169"/>
    </row>
    <row r="1870" spans="40:55" ht="15.75" customHeight="1">
      <c r="AN1870" s="458"/>
      <c r="BC1870" s="169"/>
    </row>
    <row r="1871" spans="40:55" ht="15.75" customHeight="1">
      <c r="AN1871" s="458"/>
      <c r="BC1871" s="169"/>
    </row>
    <row r="1872" spans="40:55" ht="15.75" customHeight="1">
      <c r="AN1872" s="458"/>
      <c r="BC1872" s="169"/>
    </row>
    <row r="1873" spans="40:55" ht="15.75" customHeight="1">
      <c r="AN1873" s="458"/>
      <c r="BC1873" s="169"/>
    </row>
    <row r="1874" spans="40:55" ht="15.75" customHeight="1">
      <c r="AN1874" s="458"/>
      <c r="BC1874" s="169"/>
    </row>
    <row r="1875" spans="40:55" ht="15.75" customHeight="1">
      <c r="AN1875" s="458"/>
      <c r="BC1875" s="169"/>
    </row>
    <row r="1876" spans="40:55" ht="15.75" customHeight="1">
      <c r="AN1876" s="458"/>
      <c r="BC1876" s="169"/>
    </row>
    <row r="1877" spans="40:55" ht="15.75" customHeight="1">
      <c r="AN1877" s="458"/>
      <c r="BC1877" s="169"/>
    </row>
    <row r="1878" spans="40:55" ht="15.75" customHeight="1">
      <c r="AN1878" s="458"/>
      <c r="BC1878" s="169"/>
    </row>
    <row r="1879" spans="40:55" ht="15.75" customHeight="1">
      <c r="AN1879" s="458"/>
      <c r="BC1879" s="169"/>
    </row>
    <row r="1880" spans="40:55" ht="15.75" customHeight="1">
      <c r="AN1880" s="458"/>
      <c r="BC1880" s="169"/>
    </row>
    <row r="1881" spans="40:55" ht="15.75" customHeight="1">
      <c r="AN1881" s="458"/>
      <c r="BC1881" s="169"/>
    </row>
    <row r="1882" spans="40:55" ht="15.75" customHeight="1">
      <c r="AN1882" s="458"/>
      <c r="BC1882" s="169"/>
    </row>
    <row r="1883" spans="40:55" ht="15.75" customHeight="1">
      <c r="AN1883" s="458"/>
      <c r="BC1883" s="169"/>
    </row>
    <row r="1884" spans="40:55" ht="15.75" customHeight="1">
      <c r="AN1884" s="458"/>
      <c r="BC1884" s="169"/>
    </row>
    <row r="1885" spans="40:55" ht="15.75" customHeight="1">
      <c r="AN1885" s="458"/>
      <c r="BC1885" s="169"/>
    </row>
    <row r="1886" spans="40:55" ht="15.75" customHeight="1">
      <c r="AN1886" s="458"/>
      <c r="BC1886" s="169"/>
    </row>
    <row r="1887" spans="40:55" ht="15.75" customHeight="1">
      <c r="AN1887" s="458"/>
      <c r="BC1887" s="169"/>
    </row>
    <row r="1888" spans="40:55" ht="15.75" customHeight="1">
      <c r="AN1888" s="458"/>
    </row>
    <row r="1889" spans="40:40" ht="15.75" customHeight="1">
      <c r="AN1889" s="458"/>
    </row>
    <row r="1890" spans="40:40" ht="15.75" customHeight="1">
      <c r="AN1890" s="458"/>
    </row>
    <row r="1891" spans="40:40" ht="15.75" customHeight="1">
      <c r="AN1891" s="458"/>
    </row>
    <row r="1892" spans="40:40" ht="15.75" customHeight="1">
      <c r="AN1892" s="458"/>
    </row>
    <row r="1893" spans="40:40" ht="15.75" customHeight="1">
      <c r="AN1893" s="458"/>
    </row>
    <row r="1894" spans="40:40" ht="15.75" customHeight="1">
      <c r="AN1894" s="458"/>
    </row>
    <row r="1895" spans="40:40" ht="15.75" customHeight="1">
      <c r="AN1895" s="458"/>
    </row>
    <row r="1896" spans="40:40" ht="15.75" customHeight="1">
      <c r="AN1896" s="458"/>
    </row>
    <row r="1897" spans="40:40" ht="15.75" customHeight="1">
      <c r="AN1897" s="458"/>
    </row>
    <row r="1898" spans="40:40" ht="15.75" customHeight="1">
      <c r="AN1898" s="458"/>
    </row>
    <row r="1899" spans="40:40" ht="15.75" customHeight="1">
      <c r="AN1899" s="458"/>
    </row>
    <row r="1900" spans="40:40" ht="15.75" customHeight="1">
      <c r="AN1900" s="458"/>
    </row>
    <row r="1901" spans="40:40" ht="15.75" customHeight="1">
      <c r="AN1901" s="458"/>
    </row>
    <row r="1902" spans="40:40" ht="15.75" customHeight="1">
      <c r="AN1902" s="458"/>
    </row>
    <row r="1903" spans="40:40" ht="15.75" customHeight="1">
      <c r="AN1903" s="458"/>
    </row>
    <row r="1904" spans="40:40" ht="15.75" customHeight="1">
      <c r="AN1904" s="458"/>
    </row>
    <row r="1905" spans="40:40" ht="15.75" customHeight="1">
      <c r="AN1905" s="458"/>
    </row>
    <row r="1906" spans="40:40" ht="15.75" customHeight="1">
      <c r="AN1906" s="458"/>
    </row>
    <row r="1907" spans="40:40" ht="15.75" customHeight="1">
      <c r="AN1907" s="458"/>
    </row>
    <row r="1908" spans="40:40" ht="15.75" customHeight="1">
      <c r="AN1908" s="458"/>
    </row>
    <row r="1909" spans="40:40" ht="15.75" customHeight="1">
      <c r="AN1909" s="458"/>
    </row>
    <row r="1910" spans="40:40" ht="15.75" customHeight="1">
      <c r="AN1910" s="458"/>
    </row>
    <row r="1911" spans="40:40" ht="15.75" customHeight="1">
      <c r="AN1911" s="458"/>
    </row>
    <row r="1912" spans="40:40" ht="15.75" customHeight="1">
      <c r="AN1912" s="458"/>
    </row>
    <row r="1913" spans="40:40" ht="15.75" customHeight="1">
      <c r="AN1913" s="458"/>
    </row>
    <row r="1914" spans="40:40" ht="15.75" customHeight="1">
      <c r="AN1914" s="458"/>
    </row>
    <row r="1915" spans="40:40" ht="15.75" customHeight="1">
      <c r="AN1915" s="458"/>
    </row>
    <row r="1916" spans="40:40" ht="15.75" customHeight="1">
      <c r="AN1916" s="458"/>
    </row>
    <row r="1917" spans="40:40" ht="15.75" customHeight="1">
      <c r="AN1917" s="458"/>
    </row>
    <row r="1918" spans="40:40" ht="15.75" customHeight="1">
      <c r="AN1918" s="458"/>
    </row>
    <row r="1919" spans="40:40" ht="15.75" customHeight="1">
      <c r="AN1919" s="458"/>
    </row>
    <row r="1920" spans="40:40" ht="15.75" customHeight="1">
      <c r="AN1920" s="458"/>
    </row>
    <row r="1921" spans="40:40" ht="15.75" customHeight="1">
      <c r="AN1921" s="458"/>
    </row>
    <row r="1922" spans="40:40" ht="15.75" customHeight="1">
      <c r="AN1922" s="458"/>
    </row>
    <row r="1923" spans="40:40" ht="15.75" customHeight="1">
      <c r="AN1923" s="458"/>
    </row>
    <row r="1924" spans="40:40" ht="15.75" customHeight="1">
      <c r="AN1924" s="458"/>
    </row>
    <row r="1925" spans="40:40" ht="15.75" customHeight="1">
      <c r="AN1925" s="458"/>
    </row>
    <row r="1926" spans="40:40" ht="15.75" customHeight="1">
      <c r="AN1926" s="458"/>
    </row>
    <row r="1927" spans="40:40" ht="15.75" customHeight="1">
      <c r="AN1927" s="458"/>
    </row>
    <row r="1928" spans="40:40" ht="15.75" customHeight="1">
      <c r="AN1928" s="458"/>
    </row>
    <row r="1929" spans="40:40" ht="15.75" customHeight="1">
      <c r="AN1929" s="458"/>
    </row>
    <row r="1930" spans="40:40" ht="15.75" customHeight="1">
      <c r="AN1930" s="458"/>
    </row>
    <row r="1931" spans="40:40" ht="15.75" customHeight="1">
      <c r="AN1931" s="458"/>
    </row>
    <row r="1932" spans="40:40" ht="15.75" customHeight="1">
      <c r="AN1932" s="458"/>
    </row>
    <row r="1933" spans="40:40" ht="15.75" customHeight="1">
      <c r="AN1933" s="458"/>
    </row>
    <row r="1934" spans="40:40" ht="15.75" customHeight="1">
      <c r="AN1934" s="458"/>
    </row>
    <row r="1935" spans="40:40" ht="15.75" customHeight="1">
      <c r="AN1935" s="458"/>
    </row>
    <row r="1936" spans="40:40" ht="15.75" customHeight="1">
      <c r="AN1936" s="458"/>
    </row>
    <row r="1937" spans="40:40" ht="15.75" customHeight="1">
      <c r="AN1937" s="458"/>
    </row>
    <row r="1938" spans="40:40" ht="15.75" customHeight="1">
      <c r="AN1938" s="458"/>
    </row>
    <row r="1939" spans="40:40" ht="15.75" customHeight="1">
      <c r="AN1939" s="458"/>
    </row>
    <row r="1940" spans="40:40" ht="15.75" customHeight="1">
      <c r="AN1940" s="458"/>
    </row>
    <row r="1941" spans="40:40" ht="15.75" customHeight="1">
      <c r="AN1941" s="458"/>
    </row>
    <row r="1942" spans="40:40" ht="15.75" customHeight="1">
      <c r="AN1942" s="458"/>
    </row>
    <row r="1943" spans="40:40" ht="15.75" customHeight="1">
      <c r="AN1943" s="458"/>
    </row>
    <row r="1944" spans="40:40" ht="15.75" customHeight="1">
      <c r="AN1944" s="458"/>
    </row>
    <row r="1945" spans="40:40" ht="15.75" customHeight="1">
      <c r="AN1945" s="458"/>
    </row>
    <row r="1946" spans="40:40" ht="15.75" customHeight="1">
      <c r="AN1946" s="458"/>
    </row>
    <row r="1947" spans="40:40" ht="15.75" customHeight="1">
      <c r="AN1947" s="458"/>
    </row>
    <row r="1948" spans="40:40" ht="15.75" customHeight="1">
      <c r="AN1948" s="458"/>
    </row>
    <row r="1949" spans="40:40" ht="15.75" customHeight="1">
      <c r="AN1949" s="458"/>
    </row>
    <row r="1950" spans="40:40" ht="15.75" customHeight="1">
      <c r="AN1950" s="458"/>
    </row>
    <row r="1951" spans="40:40" ht="15.75" customHeight="1">
      <c r="AN1951" s="458"/>
    </row>
    <row r="1952" spans="40:40" ht="15.75" customHeight="1">
      <c r="AN1952" s="458"/>
    </row>
    <row r="1953" spans="40:40" ht="15.75" customHeight="1">
      <c r="AN1953" s="458"/>
    </row>
    <row r="1954" spans="40:40" ht="15.75" customHeight="1">
      <c r="AN1954" s="458"/>
    </row>
    <row r="1955" spans="40:40" ht="15.75" customHeight="1">
      <c r="AN1955" s="458"/>
    </row>
    <row r="1956" spans="40:40" ht="15.75" customHeight="1">
      <c r="AN1956" s="458"/>
    </row>
    <row r="1957" spans="40:40" ht="15.75" customHeight="1">
      <c r="AN1957" s="458"/>
    </row>
    <row r="1958" spans="40:40" ht="15.75" customHeight="1">
      <c r="AN1958" s="458"/>
    </row>
    <row r="1959" spans="40:40" ht="15.75" customHeight="1">
      <c r="AN1959" s="458"/>
    </row>
    <row r="1960" spans="40:40" ht="15.75" customHeight="1">
      <c r="AN1960" s="458"/>
    </row>
    <row r="1961" spans="40:40" ht="15.75" customHeight="1">
      <c r="AN1961" s="458"/>
    </row>
    <row r="1962" spans="40:40" ht="15.75" customHeight="1">
      <c r="AN1962" s="458"/>
    </row>
    <row r="1963" spans="40:40" ht="15.75" customHeight="1">
      <c r="AN1963" s="458"/>
    </row>
    <row r="1964" spans="40:40" ht="15.75" customHeight="1">
      <c r="AN1964" s="458"/>
    </row>
    <row r="1965" spans="40:40" ht="15.75" customHeight="1">
      <c r="AN1965" s="458"/>
    </row>
    <row r="1966" spans="40:40" ht="15.75" customHeight="1">
      <c r="AN1966" s="458"/>
    </row>
    <row r="1967" spans="40:40" ht="15.75" customHeight="1">
      <c r="AN1967" s="458"/>
    </row>
    <row r="1968" spans="40:40" ht="15.75" customHeight="1">
      <c r="AN1968" s="458"/>
    </row>
    <row r="1969" spans="40:40" ht="15.75" customHeight="1">
      <c r="AN1969" s="458"/>
    </row>
    <row r="1970" spans="40:40" ht="15.75" customHeight="1">
      <c r="AN1970" s="458"/>
    </row>
    <row r="1971" spans="40:40" ht="15.75" customHeight="1">
      <c r="AN1971" s="458"/>
    </row>
    <row r="1972" spans="40:40" ht="15.75" customHeight="1">
      <c r="AN1972" s="458"/>
    </row>
    <row r="1973" spans="40:40" ht="15.75" customHeight="1">
      <c r="AN1973" s="458"/>
    </row>
    <row r="1974" spans="40:40" ht="15.75" customHeight="1">
      <c r="AN1974" s="458"/>
    </row>
    <row r="1975" spans="40:40" ht="15.75" customHeight="1">
      <c r="AN1975" s="458"/>
    </row>
    <row r="1976" spans="40:40" ht="15.75" customHeight="1">
      <c r="AN1976" s="458"/>
    </row>
    <row r="1977" spans="40:40" ht="15.75" customHeight="1">
      <c r="AN1977" s="458"/>
    </row>
    <row r="1978" spans="40:40" ht="15.75" customHeight="1">
      <c r="AN1978" s="458"/>
    </row>
    <row r="1979" spans="40:40" ht="15.75" customHeight="1">
      <c r="AN1979" s="458"/>
    </row>
    <row r="1980" spans="40:40" ht="15.75" customHeight="1">
      <c r="AN1980" s="458"/>
    </row>
    <row r="1981" spans="40:40" ht="15.75" customHeight="1">
      <c r="AN1981" s="458"/>
    </row>
    <row r="1982" spans="40:40" ht="15.75" customHeight="1">
      <c r="AN1982" s="458"/>
    </row>
    <row r="1983" spans="40:40" ht="15.75" customHeight="1">
      <c r="AN1983" s="458"/>
    </row>
    <row r="1984" spans="40:40" ht="15.75" customHeight="1">
      <c r="AN1984" s="458"/>
    </row>
    <row r="1985" spans="40:40" ht="15.75" customHeight="1">
      <c r="AN1985" s="458"/>
    </row>
    <row r="1986" spans="40:40" ht="15.75" customHeight="1">
      <c r="AN1986" s="458"/>
    </row>
    <row r="1987" spans="40:40" ht="15.75" customHeight="1">
      <c r="AN1987" s="458"/>
    </row>
    <row r="1988" spans="40:40" ht="15.75" customHeight="1">
      <c r="AN1988" s="458"/>
    </row>
    <row r="1989" spans="40:40" ht="15.75" customHeight="1">
      <c r="AN1989" s="458"/>
    </row>
    <row r="1990" spans="40:40" ht="15.75" customHeight="1">
      <c r="AN1990" s="458"/>
    </row>
    <row r="1991" spans="40:40" ht="15.75" customHeight="1">
      <c r="AN1991" s="458"/>
    </row>
    <row r="1992" spans="40:40" ht="15.75" customHeight="1">
      <c r="AN1992" s="458"/>
    </row>
    <row r="1993" spans="40:40" ht="15.75" customHeight="1">
      <c r="AN1993" s="458"/>
    </row>
    <row r="1994" spans="40:40" ht="15.75" customHeight="1">
      <c r="AN1994" s="458"/>
    </row>
    <row r="1995" spans="40:40" ht="15.75" customHeight="1">
      <c r="AN1995" s="458"/>
    </row>
    <row r="1996" spans="40:40" ht="15.75" customHeight="1">
      <c r="AN1996" s="458"/>
    </row>
    <row r="1997" spans="40:40" ht="15.75" customHeight="1">
      <c r="AN1997" s="458"/>
    </row>
    <row r="1998" spans="40:40" ht="15.75" customHeight="1">
      <c r="AN1998" s="458"/>
    </row>
    <row r="1999" spans="40:40" ht="15.75" customHeight="1">
      <c r="AN1999" s="458"/>
    </row>
    <row r="2000" spans="40:40" ht="15.75" customHeight="1">
      <c r="AN2000" s="458"/>
    </row>
    <row r="2001" spans="40:40" ht="15.75" customHeight="1">
      <c r="AN2001" s="458"/>
    </row>
    <row r="2002" spans="40:40" ht="15.75" customHeight="1">
      <c r="AN2002" s="458"/>
    </row>
    <row r="2003" spans="40:40" ht="15.75" customHeight="1">
      <c r="AN2003" s="458"/>
    </row>
    <row r="2004" spans="40:40" ht="15.75" customHeight="1">
      <c r="AN2004" s="458"/>
    </row>
    <row r="2005" spans="40:40" ht="15.75" customHeight="1">
      <c r="AN2005" s="458"/>
    </row>
    <row r="2006" spans="40:40" ht="15.75" customHeight="1">
      <c r="AN2006" s="458"/>
    </row>
    <row r="2007" spans="40:40" ht="15.75" customHeight="1">
      <c r="AN2007" s="458"/>
    </row>
    <row r="2008" spans="40:40" ht="15.75" customHeight="1">
      <c r="AN2008" s="458"/>
    </row>
    <row r="2009" spans="40:40" ht="15.75" customHeight="1">
      <c r="AN2009" s="458"/>
    </row>
    <row r="2010" spans="40:40" ht="15.75" customHeight="1">
      <c r="AN2010" s="458"/>
    </row>
    <row r="2011" spans="40:40" ht="15.75" customHeight="1">
      <c r="AN2011" s="458"/>
    </row>
    <row r="2012" spans="40:40" ht="15.75" customHeight="1">
      <c r="AN2012" s="458"/>
    </row>
    <row r="2013" spans="40:40" ht="15.75" customHeight="1">
      <c r="AN2013" s="458"/>
    </row>
    <row r="2014" spans="40:40" ht="15.75" customHeight="1">
      <c r="AN2014" s="458"/>
    </row>
    <row r="2015" spans="40:40" ht="15.75" customHeight="1">
      <c r="AN2015" s="458"/>
    </row>
    <row r="2016" spans="40:40" ht="15.75" customHeight="1">
      <c r="AN2016" s="458"/>
    </row>
    <row r="2017" spans="40:40" ht="15.75" customHeight="1">
      <c r="AN2017" s="458"/>
    </row>
    <row r="2018" spans="40:40" ht="15.75" customHeight="1">
      <c r="AN2018" s="458"/>
    </row>
    <row r="2019" spans="40:40" ht="15.75" customHeight="1">
      <c r="AN2019" s="458"/>
    </row>
    <row r="2020" spans="40:40" ht="15.75" customHeight="1">
      <c r="AN2020" s="458"/>
    </row>
    <row r="2021" spans="40:40" ht="15.75" customHeight="1">
      <c r="AN2021" s="458"/>
    </row>
    <row r="2022" spans="40:40" ht="15.75" customHeight="1">
      <c r="AN2022" s="458"/>
    </row>
    <row r="2023" spans="40:40" ht="15.75" customHeight="1">
      <c r="AN2023" s="458"/>
    </row>
    <row r="2024" spans="40:40" ht="15.75" customHeight="1">
      <c r="AN2024" s="458"/>
    </row>
    <row r="2025" spans="40:40" ht="15.75" customHeight="1">
      <c r="AN2025" s="458"/>
    </row>
    <row r="2026" spans="40:40" ht="15.75" customHeight="1">
      <c r="AN2026" s="458"/>
    </row>
    <row r="2027" spans="40:40" ht="15.75" customHeight="1">
      <c r="AN2027" s="458"/>
    </row>
    <row r="2028" spans="40:40" ht="15.75" customHeight="1">
      <c r="AN2028" s="458"/>
    </row>
    <row r="2029" spans="40:40" ht="15.75" customHeight="1">
      <c r="AN2029" s="458"/>
    </row>
    <row r="2030" spans="40:40" ht="15.75" customHeight="1">
      <c r="AN2030" s="458"/>
    </row>
    <row r="2031" spans="40:40" ht="15.75" customHeight="1">
      <c r="AN2031" s="458"/>
    </row>
    <row r="2032" spans="40:40" ht="15.75" customHeight="1">
      <c r="AN2032" s="458"/>
    </row>
    <row r="2033" spans="40:40" ht="15.75" customHeight="1">
      <c r="AN2033" s="458"/>
    </row>
    <row r="2034" spans="40:40" ht="15.75" customHeight="1">
      <c r="AN2034" s="458"/>
    </row>
    <row r="2035" spans="40:40" ht="15.75" customHeight="1">
      <c r="AN2035" s="458"/>
    </row>
    <row r="2036" spans="40:40" ht="15.75" customHeight="1">
      <c r="AN2036" s="458"/>
    </row>
    <row r="2037" spans="40:40" ht="15.75" customHeight="1">
      <c r="AN2037" s="458"/>
    </row>
    <row r="2038" spans="40:40" ht="15.75" customHeight="1">
      <c r="AN2038" s="458"/>
    </row>
    <row r="2039" spans="40:40" ht="15.75" customHeight="1">
      <c r="AN2039" s="458"/>
    </row>
    <row r="2040" spans="40:40" ht="15.75" customHeight="1">
      <c r="AN2040" s="458"/>
    </row>
    <row r="2041" spans="40:40" ht="15.75" customHeight="1">
      <c r="AN2041" s="458"/>
    </row>
    <row r="2042" spans="40:40" ht="15.75" customHeight="1">
      <c r="AN2042" s="458"/>
    </row>
    <row r="2043" spans="40:40" ht="15.75" customHeight="1">
      <c r="AN2043" s="458"/>
    </row>
    <row r="2044" spans="40:40" ht="15.75" customHeight="1">
      <c r="AN2044" s="458"/>
    </row>
    <row r="2045" spans="40:40" ht="15.75" customHeight="1">
      <c r="AN2045" s="458"/>
    </row>
    <row r="2046" spans="40:40" ht="15.75" customHeight="1">
      <c r="AN2046" s="458"/>
    </row>
    <row r="2047" spans="40:40" ht="15.75" customHeight="1">
      <c r="AN2047" s="458"/>
    </row>
    <row r="2048" spans="40:40" ht="15.75" customHeight="1">
      <c r="AN2048" s="458"/>
    </row>
    <row r="2049" spans="40:40" ht="15.75" customHeight="1">
      <c r="AN2049" s="458"/>
    </row>
    <row r="2050" spans="40:40" ht="15.75" customHeight="1">
      <c r="AN2050" s="458"/>
    </row>
    <row r="2051" spans="40:40" ht="15.75" customHeight="1">
      <c r="AN2051" s="458"/>
    </row>
    <row r="2052" spans="40:40" ht="15.75" customHeight="1">
      <c r="AN2052" s="458"/>
    </row>
    <row r="2053" spans="40:40" ht="15.75" customHeight="1">
      <c r="AN2053" s="458"/>
    </row>
    <row r="2054" spans="40:40" ht="15.75" customHeight="1">
      <c r="AN2054" s="458"/>
    </row>
    <row r="2055" spans="40:40" ht="15.75" customHeight="1">
      <c r="AN2055" s="458"/>
    </row>
    <row r="2056" spans="40:40" ht="15.75" customHeight="1">
      <c r="AN2056" s="458"/>
    </row>
    <row r="2057" spans="40:40" ht="15.75" customHeight="1">
      <c r="AN2057" s="458"/>
    </row>
    <row r="2058" spans="40:40" ht="15.75" customHeight="1">
      <c r="AN2058" s="458"/>
    </row>
    <row r="2059" spans="40:40" ht="15.75" customHeight="1">
      <c r="AN2059" s="458"/>
    </row>
    <row r="2060" spans="40:40" ht="15.75" customHeight="1">
      <c r="AN2060" s="458"/>
    </row>
    <row r="2061" spans="40:40" ht="15.75" customHeight="1">
      <c r="AN2061" s="458"/>
    </row>
    <row r="2062" spans="40:40" ht="15.75" customHeight="1">
      <c r="AN2062" s="458"/>
    </row>
    <row r="2063" spans="40:40" ht="15.75" customHeight="1">
      <c r="AN2063" s="458"/>
    </row>
    <row r="2064" spans="40:40" ht="15.75" customHeight="1">
      <c r="AN2064" s="458"/>
    </row>
    <row r="2065" spans="40:40" ht="15.75" customHeight="1">
      <c r="AN2065" s="458"/>
    </row>
    <row r="2066" spans="40:40" ht="15.75" customHeight="1">
      <c r="AN2066" s="458"/>
    </row>
    <row r="2067" spans="40:40" ht="15.75" customHeight="1">
      <c r="AN2067" s="458"/>
    </row>
    <row r="2068" spans="40:40" ht="15.75" customHeight="1">
      <c r="AN2068" s="458"/>
    </row>
    <row r="2069" spans="40:40" ht="15.75" customHeight="1">
      <c r="AN2069" s="458"/>
    </row>
    <row r="2070" spans="40:40" ht="15.75" customHeight="1">
      <c r="AN2070" s="458"/>
    </row>
    <row r="2071" spans="40:40" ht="15.75" customHeight="1">
      <c r="AN2071" s="458"/>
    </row>
    <row r="2072" spans="40:40" ht="15.75" customHeight="1">
      <c r="AN2072" s="458"/>
    </row>
    <row r="2073" spans="40:40" ht="15.75" customHeight="1">
      <c r="AN2073" s="458"/>
    </row>
    <row r="2074" spans="40:40" ht="15.75" customHeight="1">
      <c r="AN2074" s="458"/>
    </row>
    <row r="2075" spans="40:40" ht="15.75" customHeight="1">
      <c r="AN2075" s="458"/>
    </row>
    <row r="2076" spans="40:40" ht="15.75" customHeight="1">
      <c r="AN2076" s="458"/>
    </row>
    <row r="2077" spans="40:40" ht="15.75" customHeight="1">
      <c r="AN2077" s="458"/>
    </row>
    <row r="2078" spans="40:40" ht="15.75" customHeight="1">
      <c r="AN2078" s="458"/>
    </row>
    <row r="2079" spans="40:40" ht="15.75" customHeight="1">
      <c r="AN2079" s="458"/>
    </row>
    <row r="2080" spans="40:40" ht="15.75" customHeight="1">
      <c r="AN2080" s="458"/>
    </row>
    <row r="2081" spans="40:40" ht="15.75" customHeight="1">
      <c r="AN2081" s="458"/>
    </row>
    <row r="2082" spans="40:40" ht="15.75" customHeight="1">
      <c r="AN2082" s="458"/>
    </row>
    <row r="2083" spans="40:40" ht="15.75" customHeight="1">
      <c r="AN2083" s="458"/>
    </row>
    <row r="2084" spans="40:40" ht="15.75" customHeight="1">
      <c r="AN2084" s="458"/>
    </row>
    <row r="2085" spans="40:40" ht="15.75" customHeight="1">
      <c r="AN2085" s="458"/>
    </row>
    <row r="2086" spans="40:40" ht="15.75" customHeight="1">
      <c r="AN2086" s="458"/>
    </row>
    <row r="2087" spans="40:40" ht="15.75" customHeight="1">
      <c r="AN2087" s="458"/>
    </row>
    <row r="2088" spans="40:40" ht="15.75" customHeight="1">
      <c r="AN2088" s="458"/>
    </row>
    <row r="2089" spans="40:40" ht="15.75" customHeight="1">
      <c r="AN2089" s="458"/>
    </row>
    <row r="2090" spans="40:40" ht="15.75" customHeight="1">
      <c r="AN2090" s="458"/>
    </row>
    <row r="2091" spans="40:40" ht="15.75" customHeight="1">
      <c r="AN2091" s="458"/>
    </row>
    <row r="2092" spans="40:40" ht="15.75" customHeight="1">
      <c r="AN2092" s="458"/>
    </row>
    <row r="2093" spans="40:40" ht="15.75" customHeight="1">
      <c r="AN2093" s="458"/>
    </row>
    <row r="2094" spans="40:40" ht="15.75" customHeight="1">
      <c r="AN2094" s="458"/>
    </row>
    <row r="2095" spans="40:40" ht="15.75" customHeight="1">
      <c r="AN2095" s="458"/>
    </row>
    <row r="2096" spans="40:40" ht="15.75" customHeight="1">
      <c r="AN2096" s="458"/>
    </row>
    <row r="2097" spans="40:40" ht="15.75" customHeight="1">
      <c r="AN2097" s="458"/>
    </row>
    <row r="2098" spans="40:40" ht="15.75" customHeight="1">
      <c r="AN2098" s="458"/>
    </row>
    <row r="2099" spans="40:40" ht="15.75" customHeight="1">
      <c r="AN2099" s="458"/>
    </row>
    <row r="2100" spans="40:40" ht="15.75" customHeight="1">
      <c r="AN2100" s="458"/>
    </row>
    <row r="2101" spans="40:40" ht="15.75" customHeight="1">
      <c r="AN2101" s="458"/>
    </row>
    <row r="2102" spans="40:40" ht="15.75" customHeight="1">
      <c r="AN2102" s="458"/>
    </row>
    <row r="2103" spans="40:40" ht="15.75" customHeight="1">
      <c r="AN2103" s="458"/>
    </row>
    <row r="2104" spans="40:40" ht="15.75" customHeight="1">
      <c r="AN2104" s="458"/>
    </row>
    <row r="2105" spans="40:40" ht="15.75" customHeight="1">
      <c r="AN2105" s="458"/>
    </row>
    <row r="2106" spans="40:40" ht="15.75" customHeight="1">
      <c r="AN2106" s="458"/>
    </row>
    <row r="2107" spans="40:40" ht="15.75" customHeight="1">
      <c r="AN2107" s="458"/>
    </row>
    <row r="2108" spans="40:40" ht="15.75" customHeight="1">
      <c r="AN2108" s="458"/>
    </row>
    <row r="2109" spans="40:40" ht="15.75" customHeight="1">
      <c r="AN2109" s="458"/>
    </row>
    <row r="2110" spans="40:40" ht="15.75" customHeight="1">
      <c r="AN2110" s="458"/>
    </row>
    <row r="2111" spans="40:40" ht="15.75" customHeight="1">
      <c r="AN2111" s="458"/>
    </row>
    <row r="2112" spans="40:40" ht="15.75" customHeight="1">
      <c r="AN2112" s="458"/>
    </row>
    <row r="2113" spans="40:40" ht="15.75" customHeight="1">
      <c r="AN2113" s="458"/>
    </row>
    <row r="2114" spans="40:40" ht="15.75" customHeight="1">
      <c r="AN2114" s="458"/>
    </row>
    <row r="2115" spans="40:40" ht="15.75" customHeight="1">
      <c r="AN2115" s="458"/>
    </row>
    <row r="2116" spans="40:40" ht="15.75" customHeight="1">
      <c r="AN2116" s="458"/>
    </row>
    <row r="2117" spans="40:40" ht="15.75" customHeight="1">
      <c r="AN2117" s="458"/>
    </row>
    <row r="2118" spans="40:40" ht="15.75" customHeight="1">
      <c r="AN2118" s="458"/>
    </row>
    <row r="2119" spans="40:40" ht="15.75" customHeight="1">
      <c r="AN2119" s="458"/>
    </row>
    <row r="2120" spans="40:40" ht="15.75" customHeight="1">
      <c r="AN2120" s="458"/>
    </row>
    <row r="2121" spans="40:40" ht="15.75" customHeight="1">
      <c r="AN2121" s="458"/>
    </row>
    <row r="2122" spans="40:40" ht="15.75" customHeight="1">
      <c r="AN2122" s="458"/>
    </row>
    <row r="2123" spans="40:40" ht="15.75" customHeight="1">
      <c r="AN2123" s="458"/>
    </row>
    <row r="2124" spans="40:40" ht="15.75" customHeight="1">
      <c r="AN2124" s="458"/>
    </row>
    <row r="2125" spans="40:40" ht="15.75" customHeight="1">
      <c r="AN2125" s="458"/>
    </row>
    <row r="2126" spans="40:40" ht="15.75" customHeight="1">
      <c r="AN2126" s="458"/>
    </row>
    <row r="2127" spans="40:40" ht="15.75" customHeight="1">
      <c r="AN2127" s="458"/>
    </row>
    <row r="2128" spans="40:40" ht="15.75" customHeight="1">
      <c r="AN2128" s="458"/>
    </row>
    <row r="2129" spans="40:40" ht="15.75" customHeight="1">
      <c r="AN2129" s="458"/>
    </row>
    <row r="2130" spans="40:40" ht="15.75" customHeight="1">
      <c r="AN2130" s="458"/>
    </row>
    <row r="2131" spans="40:40" ht="15.75" customHeight="1">
      <c r="AN2131" s="458"/>
    </row>
    <row r="2132" spans="40:40" ht="15.75" customHeight="1">
      <c r="AN2132" s="458"/>
    </row>
    <row r="2133" spans="40:40" ht="15.75" customHeight="1">
      <c r="AN2133" s="458"/>
    </row>
    <row r="2134" spans="40:40" ht="15.75" customHeight="1">
      <c r="AN2134" s="458"/>
    </row>
    <row r="2135" spans="40:40" ht="15.75" customHeight="1">
      <c r="AN2135" s="458"/>
    </row>
    <row r="2136" spans="40:40" ht="15.75" customHeight="1">
      <c r="AN2136" s="458"/>
    </row>
    <row r="2137" spans="40:40" ht="15.75" customHeight="1">
      <c r="AN2137" s="458"/>
    </row>
    <row r="2138" spans="40:40" ht="15.75" customHeight="1">
      <c r="AN2138" s="458"/>
    </row>
    <row r="2139" spans="40:40" ht="15.75" customHeight="1">
      <c r="AN2139" s="458"/>
    </row>
    <row r="2140" spans="40:40" ht="15.75" customHeight="1">
      <c r="AN2140" s="458"/>
    </row>
    <row r="2141" spans="40:40" ht="15.75" customHeight="1">
      <c r="AN2141" s="458"/>
    </row>
    <row r="2142" spans="40:40" ht="15.75" customHeight="1">
      <c r="AN2142" s="458"/>
    </row>
    <row r="2143" spans="40:40" ht="15.75" customHeight="1">
      <c r="AN2143" s="458"/>
    </row>
    <row r="2144" spans="40:40" ht="15.75" customHeight="1">
      <c r="AN2144" s="458"/>
    </row>
    <row r="2145" spans="40:40" ht="15.75" customHeight="1">
      <c r="AN2145" s="458"/>
    </row>
    <row r="2146" spans="40:40" ht="15.75" customHeight="1">
      <c r="AN2146" s="458"/>
    </row>
    <row r="2147" spans="40:40" ht="15.75" customHeight="1">
      <c r="AN2147" s="458"/>
    </row>
    <row r="2148" spans="40:40" ht="15.75" customHeight="1">
      <c r="AN2148" s="458"/>
    </row>
    <row r="2149" spans="40:40" ht="15.75" customHeight="1">
      <c r="AN2149" s="458"/>
    </row>
    <row r="2150" spans="40:40" ht="15.75" customHeight="1">
      <c r="AN2150" s="458"/>
    </row>
    <row r="2151" spans="40:40" ht="15.75" customHeight="1">
      <c r="AN2151" s="458"/>
    </row>
    <row r="2152" spans="40:40" ht="15.75" customHeight="1">
      <c r="AN2152" s="458"/>
    </row>
    <row r="2153" spans="40:40" ht="15.75" customHeight="1">
      <c r="AN2153" s="458"/>
    </row>
    <row r="2154" spans="40:40" ht="15.75" customHeight="1">
      <c r="AN2154" s="458"/>
    </row>
    <row r="2155" spans="40:40" ht="15.75" customHeight="1">
      <c r="AN2155" s="458"/>
    </row>
    <row r="2156" spans="40:40" ht="15.75" customHeight="1">
      <c r="AN2156" s="458"/>
    </row>
    <row r="2157" spans="40:40" ht="15.75" customHeight="1">
      <c r="AN2157" s="458"/>
    </row>
    <row r="2158" spans="40:40" ht="15.75" customHeight="1">
      <c r="AN2158" s="458"/>
    </row>
    <row r="2159" spans="40:40" ht="15.75" customHeight="1">
      <c r="AN2159" s="458"/>
    </row>
    <row r="2160" spans="40:40" ht="15.75" customHeight="1">
      <c r="AN2160" s="458"/>
    </row>
    <row r="2161" spans="40:40" ht="15.75" customHeight="1">
      <c r="AN2161" s="458"/>
    </row>
    <row r="2162" spans="40:40" ht="15.75" customHeight="1">
      <c r="AN2162" s="458"/>
    </row>
    <row r="2163" spans="40:40" ht="15.75" customHeight="1">
      <c r="AN2163" s="458"/>
    </row>
    <row r="2164" spans="40:40" ht="15.75" customHeight="1">
      <c r="AN2164" s="458"/>
    </row>
    <row r="2165" spans="40:40" ht="15.75" customHeight="1">
      <c r="AN2165" s="458"/>
    </row>
  </sheetData>
  <autoFilter ref="A2:BG63" xr:uid="{00000000-0009-0000-0000-000019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autoFilter>
  <mergeCells count="10">
    <mergeCell ref="BD1:BG1"/>
    <mergeCell ref="AN2:AP2"/>
    <mergeCell ref="AQ2:AS2"/>
    <mergeCell ref="AT2:AV2"/>
    <mergeCell ref="A1:BB1"/>
    <mergeCell ref="N2:P2"/>
    <mergeCell ref="T2:V2"/>
    <mergeCell ref="W2:Y2"/>
    <mergeCell ref="Z2:AB2"/>
    <mergeCell ref="AC2:AE2"/>
  </mergeCells>
  <conditionalFormatting sqref="BC48:BG63 B5:BA63">
    <cfRule type="expression" dxfId="508" priority="28">
      <formula>$M5="NON DEFINED"</formula>
    </cfRule>
    <cfRule type="expression" dxfId="507" priority="29">
      <formula>$AY5="N.D."</formula>
    </cfRule>
  </conditionalFormatting>
  <conditionalFormatting sqref="BD12:BE12 BE46 BD6:BE6 BD8:BE8 BD7 BD9:BD10 BD14:BE14 BD16:BF16 BD15 BE18 BE20 BE22 BE24 BE28 BE34 BD38 BF38:BG38 BG6 BG18 BG10 BG20 BG22 BG26 BG34 BG36 BD40 BD42 BD44 BE30 BE32 BE26 BF40:BG40 BG8 BG12 BG46">
    <cfRule type="containsBlanks" dxfId="506" priority="27">
      <formula>LEN(TRIM(BD6))=0</formula>
    </cfRule>
  </conditionalFormatting>
  <conditionalFormatting sqref="BE36">
    <cfRule type="containsBlanks" dxfId="505" priority="25">
      <formula>LEN(TRIM(BE36))=0</formula>
    </cfRule>
  </conditionalFormatting>
  <conditionalFormatting sqref="BE10">
    <cfRule type="containsBlanks" dxfId="504" priority="23">
      <formula>LEN(TRIM(BE10))=0</formula>
    </cfRule>
  </conditionalFormatting>
  <conditionalFormatting sqref="BE38">
    <cfRule type="containsBlanks" dxfId="503" priority="22">
      <formula>LEN(TRIM(BE38))=0</formula>
    </cfRule>
  </conditionalFormatting>
  <conditionalFormatting sqref="BE40">
    <cfRule type="containsBlanks" dxfId="502" priority="21">
      <formula>LEN(TRIM(BE40))=0</formula>
    </cfRule>
  </conditionalFormatting>
  <conditionalFormatting sqref="BE42">
    <cfRule type="containsBlanks" dxfId="501" priority="20">
      <formula>LEN(TRIM(BE42))=0</formula>
    </cfRule>
  </conditionalFormatting>
  <conditionalFormatting sqref="BE44">
    <cfRule type="containsBlanks" dxfId="500" priority="18">
      <formula>LEN(TRIM(BE44))=0</formula>
    </cfRule>
  </conditionalFormatting>
  <conditionalFormatting sqref="BC5:BC47 BC64:BC1887">
    <cfRule type="containsText" dxfId="499" priority="16" operator="containsText" text="a">
      <formula>NOT(ISERROR(SEARCH("a",BC5)))</formula>
    </cfRule>
    <cfRule type="containsText" dxfId="498" priority="17" operator="containsText" text="R">
      <formula>NOT(ISERROR(SEARCH("R",BC5)))</formula>
    </cfRule>
  </conditionalFormatting>
  <conditionalFormatting sqref="BA5:BA63">
    <cfRule type="expression" dxfId="497" priority="15">
      <formula>$BC5="R"</formula>
    </cfRule>
  </conditionalFormatting>
  <conditionalFormatting sqref="BA4">
    <cfRule type="expression" dxfId="496" priority="14">
      <formula>$BC4="R"</formula>
    </cfRule>
  </conditionalFormatting>
  <conditionalFormatting sqref="B4:BA4 BC4:BG4">
    <cfRule type="expression" dxfId="495" priority="12">
      <formula>$M4="NON DEFINED"</formula>
    </cfRule>
    <cfRule type="expression" dxfId="494" priority="13">
      <formula>$AY4="N.D."</formula>
    </cfRule>
  </conditionalFormatting>
  <conditionalFormatting sqref="A4:BG4">
    <cfRule type="cellIs" dxfId="493" priority="11" operator="equal">
      <formula>0</formula>
    </cfRule>
  </conditionalFormatting>
  <conditionalFormatting sqref="A48:BG63">
    <cfRule type="cellIs" dxfId="492" priority="7" operator="equal">
      <formula>0</formula>
    </cfRule>
  </conditionalFormatting>
  <conditionalFormatting sqref="AN4:AN63">
    <cfRule type="cellIs" dxfId="491" priority="6" operator="notEqual">
      <formula>5.5</formula>
    </cfRule>
  </conditionalFormatting>
  <conditionalFormatting sqref="BG28 BG30">
    <cfRule type="containsBlanks" dxfId="490" priority="5">
      <formula>LEN(TRIM(BG28))=0</formula>
    </cfRule>
  </conditionalFormatting>
  <conditionalFormatting sqref="BG14 BG16">
    <cfRule type="containsBlanks" dxfId="489" priority="4">
      <formula>LEN(TRIM(BG14))=0</formula>
    </cfRule>
  </conditionalFormatting>
  <conditionalFormatting sqref="BG24">
    <cfRule type="containsBlanks" dxfId="488" priority="3">
      <formula>LEN(TRIM(BG24))=0</formula>
    </cfRule>
  </conditionalFormatting>
  <conditionalFormatting sqref="BG32">
    <cfRule type="containsBlanks" dxfId="487" priority="2">
      <formula>LEN(TRIM(BG32))=0</formula>
    </cfRule>
  </conditionalFormatting>
  <conditionalFormatting sqref="BG42 BG44">
    <cfRule type="containsBlanks" dxfId="486" priority="1">
      <formula>LEN(TRIM(BG42))=0</formula>
    </cfRule>
  </conditionalFormatting>
  <printOptions horizontalCentered="1" gridLines="1"/>
  <pageMargins left="0.39370078740157483" right="0.39370078740157483" top="0.78740157480314965" bottom="0.78740157480314965" header="0.31496062992125984" footer="0.31496062992125984"/>
  <pageSetup paperSize="8" scale="79" fitToHeight="0" orientation="landscape" r:id="rId1"/>
  <headerFooter alignWithMargins="0">
    <oddHeader>&amp;L&amp;G&amp;C
LAYOUT AND EQUIPMENT
EP06 TRACK 4 TSA
KP92+700 - 93+478&amp;R&amp;G</oddHeader>
    <oddFooter>&amp;L&amp;G
&amp;F&amp;C&amp;D&amp;RPag &amp;P of &amp;N</oddFooter>
  </headerFooter>
  <legacyDrawingHF r:id="rId2"/>
  <extLst>
    <ext xmlns:x14="http://schemas.microsoft.com/office/spreadsheetml/2009/9/main" uri="{78C0D931-6437-407d-A8EE-F0AAD7539E65}">
      <x14:conditionalFormattings>
        <x14:conditionalFormatting xmlns:xm="http://schemas.microsoft.com/office/excel/2006/main">
          <x14:cfRule type="containsText" priority="24" operator="containsText" id="{BB030BEA-F231-408F-814D-2A18BB35E70F}">
            <xm:f>NOT(ISERROR(SEARCH("-",BE36)))</xm:f>
            <xm:f>"-"</xm:f>
            <x14:dxf>
              <font>
                <color theme="0" tint="-0.14996795556505021"/>
              </font>
              <fill>
                <patternFill>
                  <bgColor theme="0" tint="-0.14996795556505021"/>
                </patternFill>
              </fill>
            </x14:dxf>
          </x14:cfRule>
          <xm:sqref>BE36</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3">
    <tabColor theme="4"/>
    <pageSetUpPr fitToPage="1"/>
  </sheetPr>
  <dimension ref="A1:BG2165"/>
  <sheetViews>
    <sheetView view="pageBreakPreview" zoomScale="80" zoomScaleNormal="85" zoomScaleSheetLayoutView="80" workbookViewId="0">
      <pane xSplit="2" ySplit="3" topLeftCell="C4" activePane="bottomRight" state="frozen"/>
      <selection activeCell="G124" sqref="G124"/>
      <selection pane="topRight" activeCell="G124" sqref="G124"/>
      <selection pane="bottomLeft" activeCell="G124" sqref="G124"/>
      <selection pane="bottomRight" activeCell="G124" sqref="G124"/>
    </sheetView>
  </sheetViews>
  <sheetFormatPr baseColWidth="10" defaultColWidth="11.453125" defaultRowHeight="15.75" customHeight="1"/>
  <cols>
    <col min="1" max="1" width="20.6328125" style="178" customWidth="1"/>
    <col min="2" max="2" width="12.6328125" style="178" customWidth="1"/>
    <col min="3" max="3" width="12.6328125" style="184" customWidth="1"/>
    <col min="4" max="5" width="12.6328125" style="178" hidden="1" customWidth="1"/>
    <col min="6" max="6" width="12.6328125" style="178" customWidth="1"/>
    <col min="7" max="7" width="12.6328125" style="454" customWidth="1"/>
    <col min="8" max="8" width="18.6328125" style="178" customWidth="1"/>
    <col min="9" max="9" width="12.6328125" style="178" customWidth="1"/>
    <col min="10" max="10" width="12.6328125" style="184" customWidth="1"/>
    <col min="11" max="11" width="12.6328125" style="178" customWidth="1"/>
    <col min="12" max="13" width="14.6328125" style="178" customWidth="1"/>
    <col min="14" max="16" width="8.6328125" style="178" hidden="1" customWidth="1"/>
    <col min="17" max="19" width="12.6328125" style="178" hidden="1" customWidth="1"/>
    <col min="20" max="28" width="8.6328125" style="178" hidden="1" customWidth="1"/>
    <col min="29" max="31" width="10.6328125" style="178" hidden="1" customWidth="1"/>
    <col min="32" max="32" width="13.54296875" style="178" hidden="1" customWidth="1"/>
    <col min="33" max="33" width="12.6328125" style="184" hidden="1" customWidth="1"/>
    <col min="34" max="36" width="12.6328125" style="178" hidden="1" customWidth="1"/>
    <col min="37" max="39" width="12.6328125" style="178" customWidth="1"/>
    <col min="40" max="42" width="8.6328125" style="169" hidden="1" customWidth="1"/>
    <col min="43" max="46" width="8.6328125" style="458" hidden="1" customWidth="1"/>
    <col min="47" max="48" width="8.6328125" style="169" hidden="1" customWidth="1"/>
    <col min="49" max="50" width="12.6328125" style="169" customWidth="1"/>
    <col min="51" max="52" width="12.6328125" style="458" customWidth="1"/>
    <col min="53" max="53" width="12.6328125" style="169" customWidth="1"/>
    <col min="54" max="54" width="21.6328125" style="178" hidden="1" customWidth="1"/>
    <col min="55" max="55" width="18" style="178" customWidth="1"/>
    <col min="56" max="59" width="14.54296875" style="1323" customWidth="1"/>
    <col min="60" max="60" width="11.453125" style="178" customWidth="1"/>
    <col min="61" max="16384" width="11.453125" style="178"/>
  </cols>
  <sheetData>
    <row r="1" spans="1:59" ht="35.25" customHeight="1">
      <c r="A1" s="1615" t="s">
        <v>2430</v>
      </c>
      <c r="B1" s="1615"/>
      <c r="C1" s="1615"/>
      <c r="D1" s="1615"/>
      <c r="E1" s="1615"/>
      <c r="F1" s="1615"/>
      <c r="G1" s="1615"/>
      <c r="H1" s="1615"/>
      <c r="I1" s="1615"/>
      <c r="J1" s="1615"/>
      <c r="K1" s="1615"/>
      <c r="L1" s="1615"/>
      <c r="M1" s="1615"/>
      <c r="N1" s="1615"/>
      <c r="O1" s="1615"/>
      <c r="P1" s="1615"/>
      <c r="Q1" s="1615"/>
      <c r="R1" s="1615"/>
      <c r="S1" s="1615"/>
      <c r="T1" s="1615"/>
      <c r="U1" s="1615"/>
      <c r="V1" s="1615"/>
      <c r="W1" s="1615"/>
      <c r="X1" s="1615"/>
      <c r="Y1" s="1615"/>
      <c r="Z1" s="1615"/>
      <c r="AA1" s="1615"/>
      <c r="AB1" s="1615"/>
      <c r="AC1" s="1615"/>
      <c r="AD1" s="1615"/>
      <c r="AE1" s="1615"/>
      <c r="AF1" s="1615"/>
      <c r="AG1" s="1615"/>
      <c r="AH1" s="1615"/>
      <c r="AI1" s="1615"/>
      <c r="AJ1" s="1615"/>
      <c r="AK1" s="1615"/>
      <c r="AL1" s="1615"/>
      <c r="AM1" s="1615"/>
      <c r="AN1" s="1615"/>
      <c r="AO1" s="1615"/>
      <c r="AP1" s="1615"/>
      <c r="AQ1" s="1615"/>
      <c r="AR1" s="1615"/>
      <c r="AS1" s="1615"/>
      <c r="AT1" s="1615"/>
      <c r="AU1" s="1615"/>
      <c r="AV1" s="1615"/>
      <c r="AW1" s="1615"/>
      <c r="AX1" s="1615"/>
      <c r="AY1" s="1615"/>
      <c r="AZ1" s="1615"/>
      <c r="BA1" s="1615"/>
      <c r="BB1" s="1615"/>
      <c r="BC1" s="693" t="s">
        <v>4947</v>
      </c>
      <c r="BD1" s="1599" t="s">
        <v>4916</v>
      </c>
      <c r="BE1" s="1599"/>
      <c r="BF1" s="1599"/>
      <c r="BG1" s="1599"/>
    </row>
    <row r="2" spans="1:59" s="699" customFormat="1" ht="42" customHeight="1">
      <c r="A2" s="1259" t="s">
        <v>4417</v>
      </c>
      <c r="B2" s="1259" t="s">
        <v>4418</v>
      </c>
      <c r="C2" s="954" t="s">
        <v>2315</v>
      </c>
      <c r="D2" s="1259" t="s">
        <v>4419</v>
      </c>
      <c r="E2" s="1259" t="s">
        <v>4855</v>
      </c>
      <c r="F2" s="1259" t="s">
        <v>4856</v>
      </c>
      <c r="G2" s="1260" t="s">
        <v>4857</v>
      </c>
      <c r="H2" s="1259" t="s">
        <v>455</v>
      </c>
      <c r="I2" s="1259" t="s">
        <v>454</v>
      </c>
      <c r="J2" s="1259" t="s">
        <v>4423</v>
      </c>
      <c r="K2" s="1259" t="s">
        <v>1362</v>
      </c>
      <c r="L2" s="1259" t="s">
        <v>456</v>
      </c>
      <c r="M2" s="1259" t="s">
        <v>453</v>
      </c>
      <c r="N2" s="1613" t="s">
        <v>457</v>
      </c>
      <c r="O2" s="1613"/>
      <c r="P2" s="1613"/>
      <c r="Q2" s="1259" t="s">
        <v>4858</v>
      </c>
      <c r="R2" s="1259" t="s">
        <v>4859</v>
      </c>
      <c r="S2" s="1259" t="s">
        <v>4860</v>
      </c>
      <c r="T2" s="1613" t="s">
        <v>4861</v>
      </c>
      <c r="U2" s="1613"/>
      <c r="V2" s="1613"/>
      <c r="W2" s="1613" t="s">
        <v>4862</v>
      </c>
      <c r="X2" s="1613"/>
      <c r="Y2" s="1613"/>
      <c r="Z2" s="1613" t="s">
        <v>4863</v>
      </c>
      <c r="AA2" s="1613"/>
      <c r="AB2" s="1613"/>
      <c r="AC2" s="1613" t="s">
        <v>628</v>
      </c>
      <c r="AD2" s="1613"/>
      <c r="AE2" s="1613"/>
      <c r="AF2" s="1259" t="s">
        <v>4872</v>
      </c>
      <c r="AG2" s="954" t="s">
        <v>4864</v>
      </c>
      <c r="AH2" s="1259" t="s">
        <v>4865</v>
      </c>
      <c r="AI2" s="1259" t="s">
        <v>4866</v>
      </c>
      <c r="AJ2" s="1259" t="s">
        <v>629</v>
      </c>
      <c r="AK2" s="1259" t="s">
        <v>458</v>
      </c>
      <c r="AL2" s="1259" t="s">
        <v>459</v>
      </c>
      <c r="AM2" s="1259" t="s">
        <v>631</v>
      </c>
      <c r="AN2" s="1613" t="s">
        <v>4867</v>
      </c>
      <c r="AO2" s="1613"/>
      <c r="AP2" s="1613"/>
      <c r="AQ2" s="1614" t="s">
        <v>460</v>
      </c>
      <c r="AR2" s="1614"/>
      <c r="AS2" s="1614"/>
      <c r="AT2" s="1613" t="s">
        <v>630</v>
      </c>
      <c r="AU2" s="1613"/>
      <c r="AV2" s="1613"/>
      <c r="AW2" s="1259" t="s">
        <v>4868</v>
      </c>
      <c r="AX2" s="1259" t="s">
        <v>4904</v>
      </c>
      <c r="AY2" s="1260" t="s">
        <v>4869</v>
      </c>
      <c r="AZ2" s="1260" t="s">
        <v>4870</v>
      </c>
      <c r="BA2" s="1259" t="s">
        <v>1670</v>
      </c>
      <c r="BB2" s="1259" t="s">
        <v>4871</v>
      </c>
      <c r="BC2" s="693" t="s">
        <v>4948</v>
      </c>
      <c r="BD2" s="1320" t="s">
        <v>453</v>
      </c>
      <c r="BE2" s="1320" t="s">
        <v>4922</v>
      </c>
      <c r="BF2" s="1320" t="s">
        <v>4915</v>
      </c>
      <c r="BG2" s="1320" t="s">
        <v>457</v>
      </c>
    </row>
    <row r="3" spans="1:59" ht="15.75" customHeight="1">
      <c r="A3" s="1239"/>
      <c r="B3" s="1239"/>
      <c r="C3" s="171"/>
      <c r="D3" s="1239"/>
      <c r="E3" s="1239"/>
      <c r="F3" s="172"/>
      <c r="G3" s="455"/>
      <c r="H3" s="1239"/>
      <c r="I3" s="1239"/>
      <c r="J3" s="171"/>
      <c r="K3" s="1239"/>
      <c r="L3" s="1239"/>
      <c r="M3" s="1239"/>
      <c r="N3" s="694" t="s">
        <v>123</v>
      </c>
      <c r="O3" s="694" t="s">
        <v>124</v>
      </c>
      <c r="P3" s="694" t="s">
        <v>125</v>
      </c>
      <c r="Q3" s="1239"/>
      <c r="R3" s="1239"/>
      <c r="S3" s="1239"/>
      <c r="T3" s="695" t="s">
        <v>126</v>
      </c>
      <c r="U3" s="695" t="s">
        <v>127</v>
      </c>
      <c r="V3" s="695" t="s">
        <v>128</v>
      </c>
      <c r="W3" s="695" t="s">
        <v>129</v>
      </c>
      <c r="X3" s="695" t="s">
        <v>130</v>
      </c>
      <c r="Y3" s="695" t="s">
        <v>131</v>
      </c>
      <c r="Z3" s="695" t="s">
        <v>132</v>
      </c>
      <c r="AA3" s="695" t="s">
        <v>133</v>
      </c>
      <c r="AB3" s="695" t="s">
        <v>134</v>
      </c>
      <c r="AC3" s="695" t="s">
        <v>135</v>
      </c>
      <c r="AD3" s="695" t="s">
        <v>136</v>
      </c>
      <c r="AE3" s="695" t="s">
        <v>137</v>
      </c>
      <c r="AF3" s="1239"/>
      <c r="AG3" s="171"/>
      <c r="AH3" s="1239"/>
      <c r="AI3" s="1239"/>
      <c r="AJ3" s="1239"/>
      <c r="AK3" s="1239"/>
      <c r="AL3" s="1239"/>
      <c r="AM3" s="1239"/>
      <c r="AN3" s="695" t="s">
        <v>129</v>
      </c>
      <c r="AO3" s="695" t="s">
        <v>130</v>
      </c>
      <c r="AP3" s="695" t="s">
        <v>131</v>
      </c>
      <c r="AQ3" s="696" t="s">
        <v>613</v>
      </c>
      <c r="AR3" s="696" t="s">
        <v>614</v>
      </c>
      <c r="AS3" s="696" t="s">
        <v>615</v>
      </c>
      <c r="AT3" s="696" t="s">
        <v>616</v>
      </c>
      <c r="AU3" s="695" t="s">
        <v>617</v>
      </c>
      <c r="AV3" s="695" t="s">
        <v>618</v>
      </c>
      <c r="AW3" s="1239"/>
      <c r="AX3" s="1239"/>
      <c r="AY3" s="455"/>
      <c r="AZ3" s="455"/>
      <c r="BA3" s="1239"/>
      <c r="BB3" s="1239"/>
      <c r="BD3" s="1239"/>
      <c r="BE3" s="1239"/>
      <c r="BF3" s="1239"/>
      <c r="BG3" s="1239"/>
    </row>
    <row r="4" spans="1:59" ht="15.75" customHeight="1">
      <c r="A4" s="501">
        <f>'HR Track 3 HER-TSA'!A336</f>
        <v>0</v>
      </c>
      <c r="B4" s="716" t="str">
        <f>'HR Track 3 HER-TSA'!B336</f>
        <v>92-3.20</v>
      </c>
      <c r="C4" s="451">
        <f>'HR Track 3 HER-TSA'!C336</f>
        <v>92665.050000000017</v>
      </c>
      <c r="D4" s="453">
        <f>'HR Track 3 HER-TSA'!D336</f>
        <v>0</v>
      </c>
      <c r="E4" s="452">
        <f>'HR Track 3 HER-TSA'!E336</f>
        <v>0</v>
      </c>
      <c r="F4" s="453">
        <f>'HR Track 3 HER-TSA'!F336</f>
        <v>-5945</v>
      </c>
      <c r="G4" s="500">
        <f>'HR Track 3 HER-TSA'!G336</f>
        <v>0</v>
      </c>
      <c r="H4" s="453" t="str">
        <f>'HR Track 3 HER-TSA'!H336</f>
        <v>S/A</v>
      </c>
      <c r="I4" s="501">
        <f>'HR Track 3 HER-TSA'!I336</f>
        <v>0</v>
      </c>
      <c r="J4" s="583">
        <f>'HR Track 3 HER-TSA'!J336</f>
        <v>0</v>
      </c>
      <c r="K4" s="452">
        <f>'HR Track 3 HER-TSA'!K336</f>
        <v>0</v>
      </c>
      <c r="L4" s="452">
        <f>'HR Track 3 HER-TSA'!L336</f>
        <v>0</v>
      </c>
      <c r="M4" s="452">
        <f>'HR Track 3 HER-TSA'!M336</f>
        <v>0</v>
      </c>
      <c r="N4" s="501" t="str">
        <f>'HR Track 3 HER-TSA'!N336</f>
        <v>EMT-TP</v>
      </c>
      <c r="O4" s="501" t="str">
        <f>'HR Track 3 HER-TSA'!O336</f>
        <v>EMT-2P</v>
      </c>
      <c r="P4" s="501">
        <f>'HR Track 3 HER-TSA'!P336</f>
        <v>0</v>
      </c>
      <c r="Q4" s="452">
        <f>'HR Track 3 HER-TSA'!Q336</f>
        <v>0</v>
      </c>
      <c r="R4" s="452">
        <f>'HR Track 3 HER-TSA'!R336</f>
        <v>0</v>
      </c>
      <c r="S4" s="500">
        <f>'HR Track 3 HER-TSA'!S336</f>
        <v>0</v>
      </c>
      <c r="T4" s="452">
        <f>'HR Track 3 HER-TSA'!T336</f>
        <v>45</v>
      </c>
      <c r="U4" s="452">
        <f>'HR Track 3 HER-TSA'!U336</f>
        <v>30</v>
      </c>
      <c r="V4" s="452">
        <f>'HR Track 3 HER-TSA'!V336</f>
        <v>0</v>
      </c>
      <c r="W4" s="452">
        <f>'HR Track 3 HER-TSA'!W336</f>
        <v>1.4</v>
      </c>
      <c r="X4" s="452">
        <f>'HR Track 3 HER-TSA'!X336</f>
        <v>1.8</v>
      </c>
      <c r="Y4" s="452">
        <f>'HR Track 3 HER-TSA'!Y336</f>
        <v>0</v>
      </c>
      <c r="Z4" s="452">
        <f>'HR Track 3 HER-TSA'!Z336</f>
        <v>0.51</v>
      </c>
      <c r="AA4" s="452">
        <f>'HR Track 3 HER-TSA'!AA336</f>
        <v>0</v>
      </c>
      <c r="AB4" s="452">
        <f>'HR Track 3 HER-TSA'!AB336</f>
        <v>0</v>
      </c>
      <c r="AC4" s="452" t="str">
        <f>'HR Track 3 HER-TSA'!AC336</f>
        <v>PHQ-1150</v>
      </c>
      <c r="AD4" s="452">
        <f>'HR Track 3 HER-TSA'!AD336</f>
        <v>0</v>
      </c>
      <c r="AE4" s="452">
        <f>'HR Track 3 HER-TSA'!AE336</f>
        <v>0</v>
      </c>
      <c r="AF4" s="452">
        <f>'HR Track 3 HER-TSA'!AF336</f>
        <v>200</v>
      </c>
      <c r="AG4" s="451">
        <f>'HR Track 3 HER-TSA'!AG336</f>
        <v>92665</v>
      </c>
      <c r="AH4" s="452">
        <f>'HR Track 3 HER-TSA'!AH336</f>
        <v>1633</v>
      </c>
      <c r="AI4" s="452">
        <f>'HR Track 3 HER-TSA'!AI336</f>
        <v>-5080</v>
      </c>
      <c r="AJ4" s="452">
        <f>'HR Track 3 HER-TSA'!AJ336</f>
        <v>0</v>
      </c>
      <c r="AK4" s="452" t="str">
        <f>'HR Track 3 HER-TSA'!AK336</f>
        <v>S2</v>
      </c>
      <c r="AL4" s="452">
        <f>'HR Track 3 HER-TSA'!AL336</f>
        <v>0</v>
      </c>
      <c r="AM4" s="452">
        <f>'HR Track 3 HER-TSA'!AM336</f>
        <v>0</v>
      </c>
      <c r="AN4" s="500">
        <f>'HR Track 3 HER-TSA'!AN336</f>
        <v>5.44</v>
      </c>
      <c r="AO4" s="452">
        <f>'HR Track 3 HER-TSA'!AO336</f>
        <v>0</v>
      </c>
      <c r="AP4" s="452">
        <f>'HR Track 3 HER-TSA'!AP336</f>
        <v>0</v>
      </c>
      <c r="AQ4" s="452">
        <f>'HR Track 3 HER-TSA'!AQ336</f>
        <v>0</v>
      </c>
      <c r="AR4" s="452">
        <f>'HR Track 3 HER-TSA'!AR336</f>
        <v>0</v>
      </c>
      <c r="AS4" s="452">
        <f>'HR Track 3 HER-TSA'!AS336</f>
        <v>0</v>
      </c>
      <c r="AT4" s="452">
        <f>'HR Track 3 HER-TSA'!AT336</f>
        <v>6.6927736947092464</v>
      </c>
      <c r="AU4" s="452">
        <f>'HR Track 3 HER-TSA'!AU336</f>
        <v>0</v>
      </c>
      <c r="AV4" s="452">
        <f>'HR Track 3 HER-TSA'!AV336</f>
        <v>0</v>
      </c>
      <c r="AW4" s="452">
        <f>'HR Track 3 HER-TSA'!AW336</f>
        <v>0</v>
      </c>
      <c r="AX4" s="452">
        <f>'HR Track 3 HER-TSA'!AX336</f>
        <v>0</v>
      </c>
      <c r="AY4" s="500">
        <f>'HR Track 3 HER-TSA'!AY336</f>
        <v>0</v>
      </c>
      <c r="AZ4" s="500">
        <f>'HR Track 3 HER-TSA'!AZ336</f>
        <v>0</v>
      </c>
      <c r="BA4" s="1333">
        <f>'HR Track 3 HER-TSA'!BA336</f>
        <v>0</v>
      </c>
      <c r="BB4" s="452">
        <f>'HR Track 3 HER-TSA'!BB336</f>
        <v>0</v>
      </c>
      <c r="BC4" s="1334">
        <f>'HR Track 3 HER-TSA'!BC336</f>
        <v>0</v>
      </c>
      <c r="BD4" s="1335">
        <f>'HR Track 3 HER-TSA'!BD336</f>
        <v>0</v>
      </c>
      <c r="BE4" s="1335">
        <f>'HR Track 3 HER-TSA'!BE336</f>
        <v>0</v>
      </c>
      <c r="BF4" s="1335">
        <f>'HR Track 3 HER-TSA'!BF336</f>
        <v>0</v>
      </c>
      <c r="BG4" s="1335">
        <f>'HR Track 3 HER-TSA'!BG336</f>
        <v>0</v>
      </c>
    </row>
    <row r="5" spans="1:59" ht="15.75" customHeight="1">
      <c r="A5" s="1239"/>
      <c r="B5" s="1239"/>
      <c r="C5" s="171"/>
      <c r="D5" s="1239"/>
      <c r="E5" s="1239"/>
      <c r="F5" s="1239"/>
      <c r="G5" s="576">
        <v>47</v>
      </c>
      <c r="H5" s="1239"/>
      <c r="I5" s="1239"/>
      <c r="J5" s="171"/>
      <c r="K5" s="1239"/>
      <c r="L5" s="1239"/>
      <c r="M5" s="1239"/>
      <c r="N5" s="1239"/>
      <c r="O5" s="1239"/>
      <c r="P5" s="1239"/>
      <c r="Q5" s="1239"/>
      <c r="R5" s="1239"/>
      <c r="S5" s="500">
        <f>'HR Track 3 HER-TSA'!S337</f>
        <v>46.809999999997672</v>
      </c>
      <c r="T5" s="1239"/>
      <c r="U5" s="1239"/>
      <c r="V5" s="1239"/>
      <c r="W5" s="1239"/>
      <c r="X5" s="1239"/>
      <c r="Y5" s="1239"/>
      <c r="Z5" s="1239"/>
      <c r="AA5" s="1239"/>
      <c r="AB5" s="1239"/>
      <c r="AC5" s="1239"/>
      <c r="AD5" s="1239"/>
      <c r="AE5" s="1239"/>
      <c r="AF5" s="1239"/>
      <c r="AG5" s="171"/>
      <c r="AH5" s="1239"/>
      <c r="AI5" s="1239"/>
      <c r="AJ5" s="1239"/>
      <c r="AK5" s="1239"/>
      <c r="AL5" s="1239"/>
      <c r="AM5" s="1239"/>
      <c r="AN5" s="484"/>
      <c r="AO5" s="638"/>
      <c r="AP5" s="638"/>
      <c r="AQ5" s="484">
        <v>0.31890498544680856</v>
      </c>
      <c r="AR5" s="484"/>
      <c r="AS5" s="484"/>
      <c r="AT5" s="484"/>
      <c r="AU5" s="638"/>
      <c r="AV5" s="638"/>
      <c r="AW5" s="638"/>
      <c r="AX5" s="638"/>
      <c r="AY5" s="484"/>
      <c r="AZ5" s="484"/>
      <c r="BA5" s="671"/>
      <c r="BB5" s="1239"/>
      <c r="BC5" s="169"/>
      <c r="BD5" s="1330"/>
      <c r="BE5" s="1330"/>
      <c r="BF5" s="1330"/>
      <c r="BG5" s="1330"/>
    </row>
    <row r="6" spans="1:59" ht="15.75" customHeight="1">
      <c r="A6" s="1239" t="s">
        <v>2938</v>
      </c>
      <c r="B6" s="1239" t="s">
        <v>2651</v>
      </c>
      <c r="C6" s="171">
        <v>92712.05</v>
      </c>
      <c r="D6" s="1239"/>
      <c r="E6" s="1239"/>
      <c r="F6" s="1239">
        <v>0</v>
      </c>
      <c r="G6" s="484"/>
      <c r="H6" s="1239" t="s">
        <v>2776</v>
      </c>
      <c r="I6" s="1239" t="s">
        <v>1039</v>
      </c>
      <c r="J6" s="171"/>
      <c r="K6" s="1239"/>
      <c r="L6" s="1239" t="s">
        <v>1698</v>
      </c>
      <c r="M6" s="1239" t="str">
        <f>IF(AX6="PT",VLOOKUP(L6,'Foundation Calculation'!$V$2:$X$40,VLOOKUP(AX6,'Foundation Calculation'!$I$10:$J$13,2,FALSE),0),IF(AX6="K",VLOOKUP(L6,'Foundation Calculation'!$V$42:$X$80,VLOOKUP(AX6,'Foundation Calculation'!$I$10:$J$13,2,FALSE),0),""))</f>
        <v>2C4R</v>
      </c>
      <c r="N6" s="1239" t="s">
        <v>143</v>
      </c>
      <c r="O6" s="1239" t="s">
        <v>144</v>
      </c>
      <c r="P6" s="1239"/>
      <c r="Q6" s="1239">
        <v>0</v>
      </c>
      <c r="R6" s="1239">
        <v>0</v>
      </c>
      <c r="S6" s="455"/>
      <c r="T6" s="1239">
        <v>15</v>
      </c>
      <c r="U6" s="1239">
        <v>30</v>
      </c>
      <c r="V6" s="1239"/>
      <c r="W6" s="1239">
        <v>2.2999999999999998</v>
      </c>
      <c r="X6" s="1239">
        <v>1.4</v>
      </c>
      <c r="Y6" s="1239"/>
      <c r="Z6" s="1239"/>
      <c r="AA6" s="1239"/>
      <c r="AB6" s="1239"/>
      <c r="AC6" s="638" t="s">
        <v>4207</v>
      </c>
      <c r="AD6" s="638" t="s">
        <v>4124</v>
      </c>
      <c r="AE6" s="1239"/>
      <c r="AF6" s="1239">
        <v>4900</v>
      </c>
      <c r="AG6" s="171">
        <v>92711.81</v>
      </c>
      <c r="AH6" s="1239">
        <v>2493</v>
      </c>
      <c r="AI6" s="1239">
        <v>-370</v>
      </c>
      <c r="AJ6" s="1239" t="s">
        <v>2816</v>
      </c>
      <c r="AK6" s="1239"/>
      <c r="AL6" s="1239"/>
      <c r="AM6" s="1239" t="s">
        <v>1042</v>
      </c>
      <c r="AN6" s="484">
        <v>5.5</v>
      </c>
      <c r="AO6" s="638"/>
      <c r="AP6" s="638"/>
      <c r="AQ6" s="484"/>
      <c r="AR6" s="484"/>
      <c r="AS6" s="484"/>
      <c r="AT6" s="484">
        <v>13.689219470672699</v>
      </c>
      <c r="AU6" s="638"/>
      <c r="AV6" s="638"/>
      <c r="AW6" s="638" t="str">
        <f>VLOOKUP(C6,'Foundation Calculation'!$A$2:$C$33,3,1)</f>
        <v>Soil B</v>
      </c>
      <c r="AX6" s="638" t="s">
        <v>1371</v>
      </c>
      <c r="AY6" s="484">
        <f>IF(AX6="PT",VLOOKUP(L6,'Foundation Calculation'!$K$2:$R$40,VLOOKUP(AW6,'Foundation Calculation'!$I$2:$J$8,2,FALSE),0),IF(AX6="K",VLOOKUP(L6,'Foundation Calculation'!$K$42:$R$80,VLOOKUP(AW6,'Foundation Calculation'!$I$2:$J$8,2,FALSE),0),""))</f>
        <v>5.3</v>
      </c>
      <c r="AZ6" s="484"/>
      <c r="BA6" s="671" t="s">
        <v>2809</v>
      </c>
      <c r="BB6" s="1239" t="str">
        <f>Pole_Calculations!A19</f>
        <v>App.7-V11A-P9.5.1.5</v>
      </c>
      <c r="BC6" s="169"/>
      <c r="BD6" s="1329">
        <v>43743</v>
      </c>
      <c r="BE6" s="1329"/>
      <c r="BF6" s="1330"/>
      <c r="BG6" s="1329">
        <v>43893</v>
      </c>
    </row>
    <row r="7" spans="1:59" ht="15.75" customHeight="1">
      <c r="A7" s="1239"/>
      <c r="B7" s="1239"/>
      <c r="C7" s="171"/>
      <c r="D7" s="1239"/>
      <c r="E7" s="1239"/>
      <c r="F7" s="1239"/>
      <c r="G7" s="484">
        <v>40</v>
      </c>
      <c r="H7" s="1239"/>
      <c r="I7" s="1239"/>
      <c r="J7" s="171">
        <f>C8-7.5</f>
        <v>92744.55</v>
      </c>
      <c r="K7" s="1239" t="s">
        <v>2787</v>
      </c>
      <c r="L7" s="1239"/>
      <c r="M7" s="1239"/>
      <c r="N7" s="1239"/>
      <c r="O7" s="1239"/>
      <c r="P7" s="1239"/>
      <c r="Q7" s="1239"/>
      <c r="R7" s="1239"/>
      <c r="S7" s="455">
        <f>AG8-AG6</f>
        <v>39.710000000006403</v>
      </c>
      <c r="T7" s="1239"/>
      <c r="U7" s="1239"/>
      <c r="V7" s="1239"/>
      <c r="W7" s="1239"/>
      <c r="X7" s="1239"/>
      <c r="Y7" s="1239"/>
      <c r="Z7" s="1239"/>
      <c r="AA7" s="1239"/>
      <c r="AB7" s="1239"/>
      <c r="AC7" s="638"/>
      <c r="AD7" s="638"/>
      <c r="AE7" s="1239"/>
      <c r="AF7" s="1239"/>
      <c r="AG7" s="171"/>
      <c r="AH7" s="1239"/>
      <c r="AI7" s="1239"/>
      <c r="AJ7" s="1239"/>
      <c r="AK7" s="1239"/>
      <c r="AL7" s="1239"/>
      <c r="AM7" s="1239"/>
      <c r="AN7" s="484"/>
      <c r="AO7" s="638"/>
      <c r="AP7" s="638"/>
      <c r="AQ7" s="484">
        <v>-0.26932183866666665</v>
      </c>
      <c r="AR7" s="484"/>
      <c r="AS7" s="484"/>
      <c r="AT7" s="484"/>
      <c r="AU7" s="638"/>
      <c r="AV7" s="638"/>
      <c r="AW7" s="638" t="str">
        <f>VLOOKUP(J7,'Foundation Calculation'!$A$2:$C$33,3,1)</f>
        <v>Soil B</v>
      </c>
      <c r="AX7" s="638" t="s">
        <v>1371</v>
      </c>
      <c r="AY7" s="484"/>
      <c r="AZ7" s="484">
        <f>IF(AX7="PT",VLOOKUP(K7,'Foundation Calculation'!$K$2:$R$40,VLOOKUP(AW7,'Foundation Calculation'!$I$2:$J$8,2,FALSE),0),IF(AX7="K",VLOOKUP(K7,'Foundation Calculation'!$K$42:$R$80,VLOOKUP(AW7,'Foundation Calculation'!$I$2:$J$8,2,FALSE),0),""))</f>
        <v>3.9</v>
      </c>
      <c r="BA7" s="671" t="s">
        <v>2809</v>
      </c>
      <c r="BB7" s="1239"/>
      <c r="BC7" s="169"/>
      <c r="BD7" s="1329">
        <v>43743</v>
      </c>
      <c r="BE7" s="1330"/>
      <c r="BF7" s="1330"/>
      <c r="BG7" s="1330"/>
    </row>
    <row r="8" spans="1:59" ht="15.75" customHeight="1">
      <c r="A8" s="1239"/>
      <c r="B8" s="1239" t="s">
        <v>2652</v>
      </c>
      <c r="C8" s="171">
        <f>+$C$6+$G$7</f>
        <v>92752.05</v>
      </c>
      <c r="D8" s="1239"/>
      <c r="E8" s="1239"/>
      <c r="F8" s="1239">
        <v>0</v>
      </c>
      <c r="G8" s="484"/>
      <c r="H8" s="1239" t="s">
        <v>138</v>
      </c>
      <c r="I8" s="1239" t="s">
        <v>4231</v>
      </c>
      <c r="J8" s="171"/>
      <c r="K8" s="1239"/>
      <c r="L8" s="1239" t="s">
        <v>898</v>
      </c>
      <c r="M8" s="1239" t="str">
        <f>IF(AX8="PT",VLOOKUP(L8,'Foundation Calculation'!$V$2:$X$40,VLOOKUP(AX8,'Foundation Calculation'!$I$10:$J$13,2,FALSE),0),IF(AX8="K",VLOOKUP(L8,'Foundation Calculation'!$V$42:$X$80,VLOOKUP(AX8,'Foundation Calculation'!$I$10:$J$13,2,FALSE),0),""))</f>
        <v>C4R</v>
      </c>
      <c r="N8" s="1239" t="s">
        <v>143</v>
      </c>
      <c r="O8" s="1239"/>
      <c r="P8" s="1239"/>
      <c r="Q8" s="1239">
        <v>0</v>
      </c>
      <c r="R8" s="1239">
        <v>0</v>
      </c>
      <c r="S8" s="455"/>
      <c r="T8" s="1239">
        <v>-25</v>
      </c>
      <c r="U8" s="1239"/>
      <c r="V8" s="1239"/>
      <c r="W8" s="1239">
        <v>1.4</v>
      </c>
      <c r="X8" s="1239"/>
      <c r="Y8" s="1239"/>
      <c r="Z8" s="1239"/>
      <c r="AA8" s="1239"/>
      <c r="AB8" s="1239"/>
      <c r="AC8" s="1239" t="s">
        <v>1421</v>
      </c>
      <c r="AD8" s="1239"/>
      <c r="AE8" s="1239"/>
      <c r="AF8" s="1239">
        <v>5800</v>
      </c>
      <c r="AG8" s="171">
        <v>92751.52</v>
      </c>
      <c r="AH8" s="1239">
        <v>2503</v>
      </c>
      <c r="AI8" s="1239">
        <v>150</v>
      </c>
      <c r="AJ8" s="1239"/>
      <c r="AK8" s="1239"/>
      <c r="AL8" s="1239"/>
      <c r="AM8" s="1239" t="s">
        <v>1042</v>
      </c>
      <c r="AN8" s="484">
        <v>5.5</v>
      </c>
      <c r="AO8" s="638"/>
      <c r="AP8" s="638"/>
      <c r="AQ8" s="484"/>
      <c r="AR8" s="484"/>
      <c r="AS8" s="484"/>
      <c r="AT8" s="484">
        <v>-8.4664133614455555</v>
      </c>
      <c r="AU8" s="638"/>
      <c r="AV8" s="638"/>
      <c r="AW8" s="638" t="str">
        <f>VLOOKUP(C8,'Foundation Calculation'!$A$2:$C$33,3,1)</f>
        <v>Soil B</v>
      </c>
      <c r="AX8" s="638" t="s">
        <v>1371</v>
      </c>
      <c r="AY8" s="484">
        <f>IF(AX8="PT",VLOOKUP(L8,'Foundation Calculation'!$K$2:$R$40,VLOOKUP(AW8,'Foundation Calculation'!$I$2:$J$8,2,FALSE),0),IF(AX8="K",VLOOKUP(L8,'Foundation Calculation'!$K$42:$R$80,VLOOKUP(AW8,'Foundation Calculation'!$I$2:$J$8,2,FALSE),0),""))</f>
        <v>3.5</v>
      </c>
      <c r="AZ8" s="484"/>
      <c r="BA8" s="671" t="s">
        <v>2809</v>
      </c>
      <c r="BB8" s="1239" t="str">
        <f>Pole_Calculations!A20</f>
        <v>App.7-V11A-P9.5.1.6</v>
      </c>
      <c r="BC8" s="169"/>
      <c r="BD8" s="1329">
        <v>43743</v>
      </c>
      <c r="BE8" s="1329" t="s">
        <v>4946</v>
      </c>
      <c r="BF8" s="1330"/>
      <c r="BG8" s="1329">
        <v>43808</v>
      </c>
    </row>
    <row r="9" spans="1:59" ht="15.75" customHeight="1">
      <c r="A9" s="1239"/>
      <c r="B9" s="1239"/>
      <c r="C9" s="171"/>
      <c r="D9" s="1239"/>
      <c r="E9" s="1239"/>
      <c r="F9" s="1239"/>
      <c r="G9" s="484">
        <v>40</v>
      </c>
      <c r="H9" s="1239"/>
      <c r="I9" s="1239"/>
      <c r="J9" s="171"/>
      <c r="K9" s="1239"/>
      <c r="L9" s="1239"/>
      <c r="M9" s="1239"/>
      <c r="N9" s="1239"/>
      <c r="O9" s="1239"/>
      <c r="P9" s="1239"/>
      <c r="Q9" s="1239"/>
      <c r="R9" s="1239"/>
      <c r="S9" s="455">
        <f t="shared" ref="S9" si="0">AG10-AG8</f>
        <v>41.360000000000582</v>
      </c>
      <c r="T9" s="1239"/>
      <c r="U9" s="1239"/>
      <c r="V9" s="1239"/>
      <c r="W9" s="1239"/>
      <c r="X9" s="1239"/>
      <c r="Y9" s="1239"/>
      <c r="Z9" s="1239"/>
      <c r="AA9" s="1239"/>
      <c r="AB9" s="1239"/>
      <c r="AC9" s="1239"/>
      <c r="AD9" s="1239"/>
      <c r="AE9" s="1239"/>
      <c r="AF9" s="1239"/>
      <c r="AG9" s="171"/>
      <c r="AH9" s="1239"/>
      <c r="AI9" s="1239"/>
      <c r="AJ9" s="1239"/>
      <c r="AK9" s="1239"/>
      <c r="AL9" s="1239"/>
      <c r="AM9" s="1239"/>
      <c r="AN9" s="484"/>
      <c r="AO9" s="638"/>
      <c r="AP9" s="638"/>
      <c r="AQ9" s="484">
        <v>-0.30899681987683558</v>
      </c>
      <c r="AR9" s="484"/>
      <c r="AS9" s="484"/>
      <c r="AT9" s="484"/>
      <c r="AU9" s="638"/>
      <c r="AV9" s="638"/>
      <c r="AW9" s="638"/>
      <c r="AX9" s="638"/>
      <c r="AY9" s="484" t="str">
        <f>IF(AX9="PT",VLOOKUP(M9,'Foundation Calculation'!$L$2:$R$37,VLOOKUP(AW9,'Foundation Calculation'!$I$2:$J$8,2,FALSE),0),IF(AX9="K",VLOOKUP(M9,'Foundation Calculation'!$L$41:$R$75,VLOOKUP(AW9,'Foundation Calculation'!$I$2:$J$8,2,FALSE),0),""))</f>
        <v/>
      </c>
      <c r="AZ9" s="484" t="s">
        <v>638</v>
      </c>
      <c r="BA9" s="671"/>
      <c r="BB9" s="1239"/>
      <c r="BC9" s="169"/>
      <c r="BD9" s="1330"/>
      <c r="BE9" s="1330"/>
      <c r="BF9" s="1330"/>
      <c r="BG9" s="1330"/>
    </row>
    <row r="10" spans="1:59" ht="15.75" customHeight="1">
      <c r="A10" s="1239"/>
      <c r="B10" s="1239" t="s">
        <v>2691</v>
      </c>
      <c r="C10" s="171">
        <f>+$C$8+$G$9</f>
        <v>92792.05</v>
      </c>
      <c r="D10" s="1239"/>
      <c r="E10" s="1239"/>
      <c r="F10" s="1239">
        <v>5000</v>
      </c>
      <c r="G10" s="484"/>
      <c r="H10" s="1239" t="s">
        <v>619</v>
      </c>
      <c r="I10" s="1239"/>
      <c r="J10" s="171"/>
      <c r="K10" s="1239"/>
      <c r="L10" s="1239" t="s">
        <v>895</v>
      </c>
      <c r="M10" s="1239" t="str">
        <f>IF(AX10="PT",VLOOKUP(L10,'Foundation Calculation'!$V$2:$X$40,VLOOKUP(AX10,'Foundation Calculation'!$I$10:$J$13,2,FALSE),0),IF(AX10="K",VLOOKUP(L10,'Foundation Calculation'!$V$42:$X$80,VLOOKUP(AX10,'Foundation Calculation'!$I$10:$J$13,2,FALSE),0),""))</f>
        <v>2C3R</v>
      </c>
      <c r="N10" s="1239" t="s">
        <v>140</v>
      </c>
      <c r="O10" s="1239" t="s">
        <v>144</v>
      </c>
      <c r="P10" s="1239"/>
      <c r="Q10" s="1239">
        <v>0</v>
      </c>
      <c r="R10" s="1239">
        <v>0</v>
      </c>
      <c r="S10" s="455"/>
      <c r="T10" s="1239">
        <v>55</v>
      </c>
      <c r="U10" s="1239">
        <v>10</v>
      </c>
      <c r="V10" s="1239"/>
      <c r="W10" s="1239">
        <v>1.4</v>
      </c>
      <c r="X10" s="1239">
        <v>2.2999999999999998</v>
      </c>
      <c r="Y10" s="1239"/>
      <c r="Z10" s="1239">
        <v>0.45</v>
      </c>
      <c r="AA10" s="1239"/>
      <c r="AB10" s="1239"/>
      <c r="AC10" s="1239" t="s">
        <v>1421</v>
      </c>
      <c r="AD10" s="1239"/>
      <c r="AE10" s="1239"/>
      <c r="AF10" s="1239">
        <v>5900</v>
      </c>
      <c r="AG10" s="171">
        <v>92792.88</v>
      </c>
      <c r="AH10" s="1239">
        <v>2713</v>
      </c>
      <c r="AI10" s="1239">
        <v>190</v>
      </c>
      <c r="AJ10" s="1239"/>
      <c r="AK10" s="1239"/>
      <c r="AL10" s="1239"/>
      <c r="AM10" s="1239" t="s">
        <v>1042</v>
      </c>
      <c r="AN10" s="484">
        <v>5.5</v>
      </c>
      <c r="AO10" s="638"/>
      <c r="AP10" s="638"/>
      <c r="AQ10" s="484"/>
      <c r="AR10" s="484"/>
      <c r="AS10" s="484"/>
      <c r="AT10" s="484">
        <v>5.9442281626909974</v>
      </c>
      <c r="AU10" s="638"/>
      <c r="AV10" s="638"/>
      <c r="AW10" s="638" t="str">
        <f>VLOOKUP(C10,'Foundation Calculation'!$A$2:$C$33,3,1)</f>
        <v>Soil B</v>
      </c>
      <c r="AX10" s="638" t="s">
        <v>1371</v>
      </c>
      <c r="AY10" s="484">
        <f>IF(AX10="PT",VLOOKUP(L10,'Foundation Calculation'!$K$2:$R$40,VLOOKUP(AW10,'Foundation Calculation'!$I$2:$J$8,2,FALSE),0),IF(AX10="K",VLOOKUP(L10,'Foundation Calculation'!$K$42:$R$80,VLOOKUP(AW10,'Foundation Calculation'!$I$2:$J$8,2,FALSE),0),""))</f>
        <v>3.5</v>
      </c>
      <c r="AZ10" s="484"/>
      <c r="BA10" s="671" t="s">
        <v>2809</v>
      </c>
      <c r="BB10" s="1239" t="str">
        <f>Pole_Calculations!A19</f>
        <v>App.7-V11A-P9.5.1.5</v>
      </c>
      <c r="BC10" s="169"/>
      <c r="BD10" s="1329">
        <v>43745</v>
      </c>
      <c r="BE10" s="1329" t="s">
        <v>4946</v>
      </c>
      <c r="BF10" s="1330"/>
      <c r="BG10" s="1329">
        <v>43808</v>
      </c>
    </row>
    <row r="11" spans="1:59" ht="15.75" customHeight="1">
      <c r="A11" s="1239"/>
      <c r="B11" s="1239"/>
      <c r="C11" s="171"/>
      <c r="D11" s="1239"/>
      <c r="E11" s="1239"/>
      <c r="F11" s="1239"/>
      <c r="G11" s="484">
        <v>43</v>
      </c>
      <c r="H11" s="1239"/>
      <c r="I11" s="1239"/>
      <c r="J11" s="171"/>
      <c r="K11" s="1239"/>
      <c r="L11" s="1239"/>
      <c r="M11" s="1239"/>
      <c r="N11" s="1239"/>
      <c r="O11" s="1239"/>
      <c r="P11" s="1239"/>
      <c r="Q11" s="1239"/>
      <c r="R11" s="1239"/>
      <c r="S11" s="455">
        <f t="shared" ref="S11" si="1">AG12-AG10</f>
        <v>42.929999999993015</v>
      </c>
      <c r="T11" s="1239"/>
      <c r="U11" s="1239"/>
      <c r="V11" s="1239"/>
      <c r="W11" s="1239"/>
      <c r="X11" s="1239"/>
      <c r="Y11" s="1239"/>
      <c r="Z11" s="1239"/>
      <c r="AA11" s="1239"/>
      <c r="AB11" s="1239"/>
      <c r="AC11" s="1239"/>
      <c r="AD11" s="1239"/>
      <c r="AE11" s="1239"/>
      <c r="AF11" s="1239"/>
      <c r="AG11" s="171"/>
      <c r="AH11" s="1239"/>
      <c r="AI11" s="1239"/>
      <c r="AJ11" s="1239"/>
      <c r="AK11" s="1239"/>
      <c r="AL11" s="1239"/>
      <c r="AM11" s="1239"/>
      <c r="AN11" s="484"/>
      <c r="AO11" s="638"/>
      <c r="AP11" s="638"/>
      <c r="AQ11" s="484">
        <v>-0.2360748632149485</v>
      </c>
      <c r="AR11" s="484"/>
      <c r="AS11" s="484"/>
      <c r="AT11" s="484"/>
      <c r="AU11" s="638"/>
      <c r="AV11" s="638"/>
      <c r="AW11" s="638"/>
      <c r="AX11" s="638"/>
      <c r="AY11" s="484" t="str">
        <f>IF(AX11="PT",VLOOKUP(M11,'Foundation Calculation'!$L$2:$R$37,VLOOKUP(AW11,'Foundation Calculation'!$I$2:$J$8,2,FALSE),0),IF(AX11="K",VLOOKUP(M11,'Foundation Calculation'!$L$41:$R$75,VLOOKUP(AW11,'Foundation Calculation'!$I$2:$J$8,2,FALSE),0),""))</f>
        <v/>
      </c>
      <c r="AZ11" s="484" t="s">
        <v>638</v>
      </c>
      <c r="BA11" s="671"/>
      <c r="BB11" s="1239"/>
      <c r="BC11" s="169"/>
      <c r="BD11" s="1330"/>
      <c r="BE11" s="1330"/>
      <c r="BF11" s="1330"/>
      <c r="BG11" s="1330"/>
    </row>
    <row r="12" spans="1:59" ht="15.75" customHeight="1">
      <c r="A12" s="1239" t="s">
        <v>2939</v>
      </c>
      <c r="B12" s="1239" t="s">
        <v>2653</v>
      </c>
      <c r="C12" s="171">
        <f>+$C$10+$G$11</f>
        <v>92835.05</v>
      </c>
      <c r="D12" s="1239"/>
      <c r="E12" s="1239"/>
      <c r="F12" s="1239">
        <v>5000</v>
      </c>
      <c r="G12" s="484"/>
      <c r="H12" s="1239" t="s">
        <v>619</v>
      </c>
      <c r="I12" s="1239" t="s">
        <v>1429</v>
      </c>
      <c r="J12" s="171"/>
      <c r="K12" s="1239"/>
      <c r="L12" s="1239" t="s">
        <v>895</v>
      </c>
      <c r="M12" s="1239" t="str">
        <f>IF(AX12="PT",VLOOKUP(L12,'Foundation Calculation'!$V$2:$X$40,VLOOKUP(AX12,'Foundation Calculation'!$I$10:$J$13,2,FALSE),0),IF(AX12="K",VLOOKUP(L12,'Foundation Calculation'!$V$42:$X$80,VLOOKUP(AX12,'Foundation Calculation'!$I$10:$J$13,2,FALSE),0),""))</f>
        <v>2C3R</v>
      </c>
      <c r="N12" s="1239" t="s">
        <v>143</v>
      </c>
      <c r="O12" s="1239" t="s">
        <v>140</v>
      </c>
      <c r="P12" s="1239"/>
      <c r="Q12" s="1239">
        <v>0</v>
      </c>
      <c r="R12" s="1239">
        <v>-5000</v>
      </c>
      <c r="S12" s="455"/>
      <c r="T12" s="1239">
        <v>-10</v>
      </c>
      <c r="U12" s="1239">
        <v>-55</v>
      </c>
      <c r="V12" s="1239"/>
      <c r="W12" s="1239">
        <v>1.4</v>
      </c>
      <c r="X12" s="1239">
        <v>2.2999999999999998</v>
      </c>
      <c r="Y12" s="1239"/>
      <c r="Z12" s="1239"/>
      <c r="AA12" s="1239">
        <v>0.45</v>
      </c>
      <c r="AB12" s="1239"/>
      <c r="AC12" s="1239" t="s">
        <v>4090</v>
      </c>
      <c r="AD12" s="1239"/>
      <c r="AE12" s="1239"/>
      <c r="AF12" s="1239">
        <v>5800</v>
      </c>
      <c r="AG12" s="171">
        <v>92835.81</v>
      </c>
      <c r="AH12" s="1239">
        <v>2543</v>
      </c>
      <c r="AI12" s="1239">
        <v>80</v>
      </c>
      <c r="AJ12" s="1239" t="s">
        <v>877</v>
      </c>
      <c r="AK12" s="1239"/>
      <c r="AL12" s="1239"/>
      <c r="AM12" s="1239" t="s">
        <v>1042</v>
      </c>
      <c r="AN12" s="484">
        <v>5.5</v>
      </c>
      <c r="AO12" s="638"/>
      <c r="AP12" s="638"/>
      <c r="AQ12" s="484"/>
      <c r="AR12" s="484"/>
      <c r="AS12" s="484"/>
      <c r="AT12" s="484">
        <v>-12.021864990040665</v>
      </c>
      <c r="AU12" s="638"/>
      <c r="AV12" s="638"/>
      <c r="AW12" s="638" t="str">
        <f>VLOOKUP(C12,'Foundation Calculation'!$A$2:$C$33,3,1)</f>
        <v>Soil B</v>
      </c>
      <c r="AX12" s="638" t="s">
        <v>1371</v>
      </c>
      <c r="AY12" s="484">
        <f>IF(AX12="PT",VLOOKUP(L12,'Foundation Calculation'!$K$2:$R$40,VLOOKUP(AW12,'Foundation Calculation'!$I$2:$J$8,2,FALSE),0),IF(AX12="K",VLOOKUP(L12,'Foundation Calculation'!$K$42:$R$80,VLOOKUP(AW12,'Foundation Calculation'!$I$2:$J$8,2,FALSE),0),""))</f>
        <v>3.5</v>
      </c>
      <c r="AZ12" s="484"/>
      <c r="BA12" s="671" t="s">
        <v>2809</v>
      </c>
      <c r="BB12" s="1239" t="str">
        <f>Pole_Calculations!A19</f>
        <v>App.7-V11A-P9.5.1.5</v>
      </c>
      <c r="BC12" s="169"/>
      <c r="BD12" s="1329">
        <v>43736</v>
      </c>
      <c r="BE12" s="1329">
        <v>43841</v>
      </c>
      <c r="BF12" s="1330"/>
      <c r="BG12" s="1329">
        <v>43870</v>
      </c>
    </row>
    <row r="13" spans="1:59" ht="15.75" customHeight="1">
      <c r="A13" s="1239"/>
      <c r="B13" s="1239"/>
      <c r="C13" s="171"/>
      <c r="D13" s="1239"/>
      <c r="E13" s="1239"/>
      <c r="F13" s="1239"/>
      <c r="G13" s="484">
        <v>39.5</v>
      </c>
      <c r="H13" s="1239"/>
      <c r="I13" s="1239"/>
      <c r="J13" s="171"/>
      <c r="K13" s="1239"/>
      <c r="L13" s="1239"/>
      <c r="M13" s="1239"/>
      <c r="N13" s="1239"/>
      <c r="O13" s="1239"/>
      <c r="P13" s="1239"/>
      <c r="Q13" s="1239"/>
      <c r="R13" s="1239"/>
      <c r="S13" s="455">
        <f t="shared" ref="S13" si="2">AG14-AG12</f>
        <v>41.320000000006985</v>
      </c>
      <c r="T13" s="1239"/>
      <c r="U13" s="1239"/>
      <c r="V13" s="1239"/>
      <c r="W13" s="1239"/>
      <c r="X13" s="1239"/>
      <c r="Y13" s="1239"/>
      <c r="Z13" s="1239"/>
      <c r="AA13" s="1239"/>
      <c r="AB13" s="1239"/>
      <c r="AC13" s="1239"/>
      <c r="AD13" s="1239"/>
      <c r="AE13" s="1239"/>
      <c r="AF13" s="1239"/>
      <c r="AG13" s="171"/>
      <c r="AH13" s="1239"/>
      <c r="AI13" s="1239"/>
      <c r="AJ13" s="1239"/>
      <c r="AK13" s="1239"/>
      <c r="AL13" s="1239"/>
      <c r="AM13" s="1239"/>
      <c r="AN13" s="484"/>
      <c r="AO13" s="638"/>
      <c r="AP13" s="638"/>
      <c r="AQ13" s="484">
        <v>0.27658691846413502</v>
      </c>
      <c r="AR13" s="484"/>
      <c r="AS13" s="484"/>
      <c r="AT13" s="484"/>
      <c r="AU13" s="638"/>
      <c r="AV13" s="638"/>
      <c r="AW13" s="638"/>
      <c r="AX13" s="638"/>
      <c r="AY13" s="484" t="str">
        <f>IF(AX13="PT",VLOOKUP(M13,'Foundation Calculation'!$L$2:$R$37,VLOOKUP(AW13,'Foundation Calculation'!$I$2:$J$8,2,FALSE),0),IF(AX13="K",VLOOKUP(M13,'Foundation Calculation'!$L$41:$R$75,VLOOKUP(AW13,'Foundation Calculation'!$I$2:$J$8,2,FALSE),0),""))</f>
        <v/>
      </c>
      <c r="AZ13" s="484" t="s">
        <v>638</v>
      </c>
      <c r="BA13" s="671"/>
      <c r="BB13" s="1239"/>
      <c r="BC13" s="169"/>
      <c r="BD13" s="1330"/>
      <c r="BE13" s="1330"/>
      <c r="BF13" s="1330"/>
      <c r="BG13" s="1330"/>
    </row>
    <row r="14" spans="1:59" ht="15.75" customHeight="1">
      <c r="A14" s="1239"/>
      <c r="B14" s="1239" t="s">
        <v>2654</v>
      </c>
      <c r="C14" s="171">
        <f>+$C$12+$G$13</f>
        <v>92874.55</v>
      </c>
      <c r="D14" s="1239"/>
      <c r="E14" s="1239"/>
      <c r="F14" s="1239">
        <v>0</v>
      </c>
      <c r="G14" s="484"/>
      <c r="H14" s="1239" t="s">
        <v>138</v>
      </c>
      <c r="I14" s="1239" t="s">
        <v>623</v>
      </c>
      <c r="J14" s="171"/>
      <c r="K14" s="1239"/>
      <c r="L14" s="1239" t="s">
        <v>898</v>
      </c>
      <c r="M14" s="1239" t="str">
        <f>IF(AX14="PT",VLOOKUP(L14,'Foundation Calculation'!$V$2:$X$40,VLOOKUP(AX14,'Foundation Calculation'!$I$10:$J$13,2,FALSE),0),IF(AX14="K",VLOOKUP(L14,'Foundation Calculation'!$V$42:$X$80,VLOOKUP(AX14,'Foundation Calculation'!$I$10:$J$13,2,FALSE),0),""))</f>
        <v>C4R</v>
      </c>
      <c r="N14" s="1239" t="s">
        <v>144</v>
      </c>
      <c r="O14" s="1239"/>
      <c r="P14" s="1239"/>
      <c r="Q14" s="1239">
        <v>0</v>
      </c>
      <c r="R14" s="1239">
        <v>0</v>
      </c>
      <c r="S14" s="455"/>
      <c r="T14" s="1239">
        <v>25</v>
      </c>
      <c r="U14" s="1239"/>
      <c r="V14" s="1239"/>
      <c r="W14" s="1239">
        <v>1.4</v>
      </c>
      <c r="X14" s="1239"/>
      <c r="Y14" s="1239"/>
      <c r="Z14" s="1239"/>
      <c r="AA14" s="1239"/>
      <c r="AB14" s="1239"/>
      <c r="AC14" s="1239" t="s">
        <v>1421</v>
      </c>
      <c r="AD14" s="1239"/>
      <c r="AE14" s="1239"/>
      <c r="AF14" s="1239">
        <v>5800</v>
      </c>
      <c r="AG14" s="171">
        <v>92877.13</v>
      </c>
      <c r="AH14" s="1239">
        <v>3253</v>
      </c>
      <c r="AI14" s="1239">
        <v>-20</v>
      </c>
      <c r="AJ14" s="1239"/>
      <c r="AK14" s="1239"/>
      <c r="AL14" s="1239"/>
      <c r="AM14" s="1239" t="s">
        <v>1042</v>
      </c>
      <c r="AN14" s="484">
        <v>5.5</v>
      </c>
      <c r="AO14" s="638"/>
      <c r="AP14" s="638"/>
      <c r="AQ14" s="484"/>
      <c r="AR14" s="484"/>
      <c r="AS14" s="484"/>
      <c r="AT14" s="484">
        <f>+ab($T$14,$T$12,$T$16,$G$13,$G$15, 1*$F$14,1200)</f>
        <v>8.5132632029462059</v>
      </c>
      <c r="AU14" s="638"/>
      <c r="AV14" s="638"/>
      <c r="AW14" s="638" t="str">
        <f>VLOOKUP(C14,'Foundation Calculation'!$A$2:$C$33,3,1)</f>
        <v>Soil B</v>
      </c>
      <c r="AX14" s="638" t="s">
        <v>1371</v>
      </c>
      <c r="AY14" s="484">
        <f>IF(AX14="PT",VLOOKUP(L14,'Foundation Calculation'!$K$2:$R$40,VLOOKUP(AW14,'Foundation Calculation'!$I$2:$J$8,2,FALSE),0),IF(AX14="K",VLOOKUP(L14,'Foundation Calculation'!$K$42:$R$80,VLOOKUP(AW14,'Foundation Calculation'!$I$2:$J$8,2,FALSE),0),""))</f>
        <v>3.5</v>
      </c>
      <c r="AZ14" s="484"/>
      <c r="BA14" s="671" t="s">
        <v>2809</v>
      </c>
      <c r="BB14" s="1239" t="str">
        <f>Pole_Calculations!A20</f>
        <v>App.7-V11A-P9.5.1.6</v>
      </c>
      <c r="BC14" s="169"/>
      <c r="BD14" s="1329">
        <v>43736</v>
      </c>
      <c r="BE14" s="1329">
        <v>43812</v>
      </c>
      <c r="BF14" s="1330"/>
      <c r="BG14" s="1329">
        <v>43870</v>
      </c>
    </row>
    <row r="15" spans="1:59" ht="15.75" customHeight="1">
      <c r="A15" s="1239"/>
      <c r="B15" s="1239"/>
      <c r="C15" s="171"/>
      <c r="D15" s="1239"/>
      <c r="E15" s="1239"/>
      <c r="F15" s="1239"/>
      <c r="G15" s="484">
        <v>40.700000000000003</v>
      </c>
      <c r="H15" s="1239"/>
      <c r="I15" s="1239"/>
      <c r="J15" s="171">
        <f>C14+7.5</f>
        <v>92882.05</v>
      </c>
      <c r="K15" s="1239" t="s">
        <v>2787</v>
      </c>
      <c r="L15" s="1239"/>
      <c r="M15" s="1239"/>
      <c r="N15" s="1239"/>
      <c r="O15" s="1239"/>
      <c r="P15" s="1239"/>
      <c r="Q15" s="1239"/>
      <c r="R15" s="1239"/>
      <c r="S15" s="455">
        <f t="shared" ref="S15" si="3">AG16-AG14</f>
        <v>-92877.13</v>
      </c>
      <c r="T15" s="1239"/>
      <c r="U15" s="1239"/>
      <c r="V15" s="1239"/>
      <c r="W15" s="1239"/>
      <c r="X15" s="1239"/>
      <c r="Y15" s="1239"/>
      <c r="Z15" s="1239"/>
      <c r="AA15" s="1239"/>
      <c r="AB15" s="1239"/>
      <c r="AC15" s="1239"/>
      <c r="AD15" s="1239"/>
      <c r="AE15" s="1239"/>
      <c r="AF15" s="1239"/>
      <c r="AG15" s="171"/>
      <c r="AH15" s="1239"/>
      <c r="AI15" s="1239"/>
      <c r="AJ15" s="1239"/>
      <c r="AK15" s="1239"/>
      <c r="AL15" s="1239"/>
      <c r="AM15" s="1239"/>
      <c r="AN15" s="484"/>
      <c r="AO15" s="638"/>
      <c r="AP15" s="638"/>
      <c r="AQ15" s="484">
        <f>+FL_2($T$16,$T$14,$G$15,1200,9.28,-1*$F$16)</f>
        <v>-0.37716785379701939</v>
      </c>
      <c r="AR15" s="484"/>
      <c r="AS15" s="484"/>
      <c r="AT15" s="484"/>
      <c r="AU15" s="638"/>
      <c r="AV15" s="638"/>
      <c r="AW15" s="638" t="str">
        <f>VLOOKUP(J15,'Foundation Calculation'!$A$2:$C$33,3,1)</f>
        <v>Soil B</v>
      </c>
      <c r="AX15" s="638" t="s">
        <v>1371</v>
      </c>
      <c r="AY15" s="484"/>
      <c r="AZ15" s="484">
        <f>IF(AX15="PT",VLOOKUP(K15,'Foundation Calculation'!$K$2:$R$40,VLOOKUP(AW15,'Foundation Calculation'!$I$2:$J$8,2,FALSE),0),IF(AX15="K",VLOOKUP(K15,'Foundation Calculation'!$K$42:$R$80,VLOOKUP(AW15,'Foundation Calculation'!$I$2:$J$8,2,FALSE),0),""))</f>
        <v>3.9</v>
      </c>
      <c r="BA15" s="671" t="s">
        <v>2809</v>
      </c>
      <c r="BB15" s="1239"/>
      <c r="BC15" s="169"/>
      <c r="BD15" s="1329">
        <v>43736</v>
      </c>
      <c r="BE15" s="1330"/>
      <c r="BF15" s="1330"/>
      <c r="BG15" s="1330"/>
    </row>
    <row r="16" spans="1:59" ht="15.75" customHeight="1">
      <c r="A16" s="449"/>
      <c r="B16" s="1239" t="s">
        <v>2656</v>
      </c>
      <c r="C16" s="446">
        <f>+$C$14+$G$15+0.8</f>
        <v>92916.05</v>
      </c>
      <c r="D16" s="445"/>
      <c r="E16" s="445"/>
      <c r="F16" s="445" t="s">
        <v>2706</v>
      </c>
      <c r="G16" s="484"/>
      <c r="H16" s="445"/>
      <c r="I16" s="445"/>
      <c r="J16" s="446"/>
      <c r="K16" s="445"/>
      <c r="L16" s="445" t="s">
        <v>2670</v>
      </c>
      <c r="M16" s="445"/>
      <c r="N16" s="1239" t="s">
        <v>143</v>
      </c>
      <c r="O16" s="445"/>
      <c r="P16" s="445"/>
      <c r="Q16" s="638"/>
      <c r="R16" s="638"/>
      <c r="S16" s="484"/>
      <c r="T16" s="638">
        <v>-30</v>
      </c>
      <c r="U16" s="638"/>
      <c r="V16" s="638"/>
      <c r="W16" s="1239">
        <v>1.4</v>
      </c>
      <c r="X16" s="638"/>
      <c r="Y16" s="638"/>
      <c r="Z16" s="638"/>
      <c r="AA16" s="638"/>
      <c r="AB16" s="638"/>
      <c r="AC16" s="1239" t="s">
        <v>1383</v>
      </c>
      <c r="AD16" s="638"/>
      <c r="AE16" s="638"/>
      <c r="AF16" s="638"/>
      <c r="AG16" s="446"/>
      <c r="AH16" s="638"/>
      <c r="AI16" s="185"/>
      <c r="AJ16" s="445"/>
      <c r="AK16" s="445"/>
      <c r="AL16" s="445"/>
      <c r="AM16" s="445"/>
      <c r="AN16" s="484">
        <v>5.44</v>
      </c>
      <c r="AO16" s="445"/>
      <c r="AP16" s="445"/>
      <c r="AQ16" s="484"/>
      <c r="AR16" s="484"/>
      <c r="AS16" s="484"/>
      <c r="AT16" s="484">
        <f>+ab(-$T$16,$T$14,$T$18,$G$15,$G$17,-1*$F$16,1200)</f>
        <v>7.0739106181099913</v>
      </c>
      <c r="AU16" s="638"/>
      <c r="AV16" s="638"/>
      <c r="AW16" s="484"/>
      <c r="AX16" s="484"/>
      <c r="AY16" s="484" t="str">
        <f>IF(AX16="PT",VLOOKUP(M16,'Foundation Calculation'!$L$2:$R$37,VLOOKUP(AW16,'Foundation Calculation'!$I$2:$J$8,2,FALSE),0),IF(AX16="K",VLOOKUP(M16,'Foundation Calculation'!$L$41:$R$75,VLOOKUP(AW16,'Foundation Calculation'!$I$2:$J$8,2,FALSE),0),""))</f>
        <v/>
      </c>
      <c r="AZ16" s="484" t="s">
        <v>638</v>
      </c>
      <c r="BA16" s="1304"/>
      <c r="BB16" s="449"/>
      <c r="BC16" s="169"/>
      <c r="BD16" s="1330"/>
      <c r="BE16" s="1330"/>
      <c r="BF16" s="1330"/>
      <c r="BG16" s="1329"/>
    </row>
    <row r="17" spans="1:59" ht="15.75" customHeight="1">
      <c r="A17" s="449"/>
      <c r="B17" s="1239"/>
      <c r="C17" s="446"/>
      <c r="D17" s="445"/>
      <c r="E17" s="445"/>
      <c r="F17" s="445"/>
      <c r="G17" s="484">
        <v>44</v>
      </c>
      <c r="H17" s="445"/>
      <c r="I17" s="445"/>
      <c r="J17" s="446"/>
      <c r="K17" s="445"/>
      <c r="L17" s="445"/>
      <c r="M17" s="445"/>
      <c r="N17" s="445"/>
      <c r="O17" s="445"/>
      <c r="P17" s="445"/>
      <c r="Q17" s="638"/>
      <c r="R17" s="638"/>
      <c r="S17" s="484">
        <f t="shared" ref="S17" si="4">AG18-AG16</f>
        <v>92956</v>
      </c>
      <c r="T17" s="638"/>
      <c r="U17" s="638"/>
      <c r="V17" s="638"/>
      <c r="W17" s="1239"/>
      <c r="X17" s="638"/>
      <c r="Y17" s="638"/>
      <c r="Z17" s="638"/>
      <c r="AA17" s="638"/>
      <c r="AB17" s="638"/>
      <c r="AC17" s="1239"/>
      <c r="AD17" s="638"/>
      <c r="AE17" s="638"/>
      <c r="AF17" s="638"/>
      <c r="AG17" s="446"/>
      <c r="AH17" s="638"/>
      <c r="AI17" s="185"/>
      <c r="AJ17" s="445"/>
      <c r="AK17" s="445"/>
      <c r="AL17" s="445"/>
      <c r="AM17" s="445"/>
      <c r="AN17" s="484"/>
      <c r="AO17" s="445"/>
      <c r="AP17" s="445"/>
      <c r="AQ17" s="484">
        <f>+FL_2($T$18,-$T$16,$G$17,1200,9.28,-1*$F$18)</f>
        <v>-0.18970387970861716</v>
      </c>
      <c r="AR17" s="484"/>
      <c r="AS17" s="484"/>
      <c r="AT17" s="484"/>
      <c r="AU17" s="638"/>
      <c r="AV17" s="638"/>
      <c r="AW17" s="638"/>
      <c r="AX17" s="638"/>
      <c r="AY17" s="484" t="str">
        <f>IF(AX17="PT",VLOOKUP(M17,'Foundation Calculation'!$L$2:$R$37,VLOOKUP(AW17,'Foundation Calculation'!$I$2:$J$8,2,FALSE),0),IF(AX17="K",VLOOKUP(M17,'Foundation Calculation'!$L$41:$R$75,VLOOKUP(AW17,'Foundation Calculation'!$I$2:$J$8,2,FALSE),0),""))</f>
        <v/>
      </c>
      <c r="AZ17" s="484" t="s">
        <v>638</v>
      </c>
      <c r="BA17" s="1304"/>
      <c r="BB17" s="449"/>
      <c r="BC17" s="169"/>
      <c r="BD17" s="1330"/>
      <c r="BE17" s="1330"/>
      <c r="BF17" s="1330"/>
      <c r="BG17" s="1330"/>
    </row>
    <row r="18" spans="1:59" ht="15.75" customHeight="1">
      <c r="A18" s="414"/>
      <c r="B18" s="438" t="s">
        <v>2657</v>
      </c>
      <c r="C18" s="416">
        <f>+$C$16+$G$17</f>
        <v>92960.05</v>
      </c>
      <c r="D18" s="415"/>
      <c r="E18" s="415"/>
      <c r="F18" s="415" t="s">
        <v>2707</v>
      </c>
      <c r="G18" s="422"/>
      <c r="H18" s="420"/>
      <c r="I18" s="420"/>
      <c r="J18" s="416"/>
      <c r="K18" s="415"/>
      <c r="L18" s="415" t="s">
        <v>1451</v>
      </c>
      <c r="M18" s="415" t="str">
        <f>IF(AX18="PT",VLOOKUP(L18,'Foundation Calculation'!$V$2:$X$40,VLOOKUP(AX18,'Foundation Calculation'!$I$10:$J$13,2,FALSE),0),IF(AX18="K",VLOOKUP(L18,'Foundation Calculation'!$V$42:$X$80,VLOOKUP(AX18,'Foundation Calculation'!$I$10:$J$13,2,FALSE),0),""))</f>
        <v>C8R</v>
      </c>
      <c r="N18" s="415" t="s">
        <v>144</v>
      </c>
      <c r="O18" s="415"/>
      <c r="P18" s="415"/>
      <c r="Q18" s="417">
        <v>10</v>
      </c>
      <c r="R18" s="417">
        <v>0</v>
      </c>
      <c r="S18" s="422"/>
      <c r="T18" s="417">
        <v>30</v>
      </c>
      <c r="U18" s="417"/>
      <c r="V18" s="417"/>
      <c r="W18" s="420">
        <v>1.4</v>
      </c>
      <c r="X18" s="417"/>
      <c r="Y18" s="417"/>
      <c r="Z18" s="417"/>
      <c r="AA18" s="417"/>
      <c r="AB18" s="417"/>
      <c r="AC18" s="420" t="s">
        <v>1421</v>
      </c>
      <c r="AD18" s="417"/>
      <c r="AE18" s="417"/>
      <c r="AF18" s="417">
        <v>5300</v>
      </c>
      <c r="AG18" s="416">
        <v>92956</v>
      </c>
      <c r="AH18" s="417">
        <v>3215</v>
      </c>
      <c r="AI18" s="607">
        <v>-160</v>
      </c>
      <c r="AJ18" s="415"/>
      <c r="AK18" s="415"/>
      <c r="AL18" s="415" t="s">
        <v>2143</v>
      </c>
      <c r="AM18" s="417"/>
      <c r="AN18" s="422">
        <v>5.37</v>
      </c>
      <c r="AO18" s="415"/>
      <c r="AP18" s="415"/>
      <c r="AQ18" s="422"/>
      <c r="AR18" s="422"/>
      <c r="AS18" s="422"/>
      <c r="AT18" s="422">
        <f>+ab($T$18,$T$16,$T$20,$G$17,$G$19,-1*$F$18,1200)</f>
        <v>2.4999739626562563</v>
      </c>
      <c r="AU18" s="417"/>
      <c r="AV18" s="417"/>
      <c r="AW18" s="417" t="str">
        <f>VLOOKUP(C18,'Foundation Calculation'!$A$2:$C$33,3,1)</f>
        <v>Soil B</v>
      </c>
      <c r="AX18" s="422" t="s">
        <v>1371</v>
      </c>
      <c r="AY18" s="422">
        <f>IF(AX18="PT",VLOOKUP(L18,'Foundation Calculation'!$K$2:$R$40,VLOOKUP(AW18,'Foundation Calculation'!$I$2:$J$8,2,FALSE),0),IF(AX18="K",VLOOKUP(L18,'Foundation Calculation'!$K$42:$R$80,VLOOKUP(AW18,'Foundation Calculation'!$I$2:$J$8,2,FALSE),0),""))</f>
        <v>4.4000000000000004</v>
      </c>
      <c r="AZ18" s="422"/>
      <c r="BA18" s="604" t="s">
        <v>2809</v>
      </c>
      <c r="BB18" s="414" t="str">
        <f>Pole_Calculations!A178</f>
        <v>App.8-V08F-P10.3</v>
      </c>
      <c r="BC18" s="169"/>
      <c r="BD18" s="1329">
        <v>43744</v>
      </c>
      <c r="BE18" s="1329"/>
      <c r="BF18" s="1329"/>
      <c r="BG18" s="1329">
        <v>43893</v>
      </c>
    </row>
    <row r="19" spans="1:59" ht="15.75" customHeight="1">
      <c r="A19" s="414"/>
      <c r="B19" s="420"/>
      <c r="C19" s="416"/>
      <c r="D19" s="415"/>
      <c r="E19" s="415"/>
      <c r="F19" s="415"/>
      <c r="G19" s="422">
        <v>31.6</v>
      </c>
      <c r="H19" s="415"/>
      <c r="I19" s="415"/>
      <c r="J19" s="416"/>
      <c r="K19" s="415"/>
      <c r="L19" s="415"/>
      <c r="M19" s="415"/>
      <c r="N19" s="415"/>
      <c r="O19" s="415"/>
      <c r="P19" s="415"/>
      <c r="Q19" s="417"/>
      <c r="R19" s="417"/>
      <c r="S19" s="422">
        <f t="shared" ref="S19" si="5">AG20-AG18</f>
        <v>33.100000000005821</v>
      </c>
      <c r="T19" s="417"/>
      <c r="U19" s="417"/>
      <c r="V19" s="417"/>
      <c r="W19" s="420"/>
      <c r="X19" s="417"/>
      <c r="Y19" s="417"/>
      <c r="Z19" s="417"/>
      <c r="AA19" s="417"/>
      <c r="AB19" s="417"/>
      <c r="AC19" s="420"/>
      <c r="AD19" s="417"/>
      <c r="AE19" s="417"/>
      <c r="AF19" s="417"/>
      <c r="AG19" s="416"/>
      <c r="AH19" s="417"/>
      <c r="AI19" s="607"/>
      <c r="AJ19" s="415"/>
      <c r="AK19" s="415"/>
      <c r="AL19" s="415"/>
      <c r="AM19" s="415"/>
      <c r="AN19" s="422"/>
      <c r="AO19" s="415"/>
      <c r="AP19" s="415"/>
      <c r="AQ19" s="422">
        <f>+FL_1($T$20,$T$18,$G$19,1200,9.28,-1*$F$20)</f>
        <v>0.30000000000000765</v>
      </c>
      <c r="AR19" s="422"/>
      <c r="AS19" s="422"/>
      <c r="AT19" s="422"/>
      <c r="AU19" s="417"/>
      <c r="AV19" s="417"/>
      <c r="AW19" s="422"/>
      <c r="AX19" s="422"/>
      <c r="AY19" s="422" t="str">
        <f>IF(AX19="PT",VLOOKUP(M19,'Foundation Calculation'!$L$2:$R$37,VLOOKUP(AW19,'Foundation Calculation'!$I$2:$J$8,2,FALSE),0),IF(AX19="K",VLOOKUP(M19,'Foundation Calculation'!$L$41:$R$75,VLOOKUP(AW19,'Foundation Calculation'!$I$2:$J$8,2,FALSE),0),""))</f>
        <v/>
      </c>
      <c r="AZ19" s="422" t="s">
        <v>638</v>
      </c>
      <c r="BA19" s="1311"/>
      <c r="BB19" s="414"/>
      <c r="BC19" s="169"/>
      <c r="BD19" s="1330"/>
      <c r="BE19" s="1330"/>
      <c r="BF19" s="1330"/>
      <c r="BG19" s="1330"/>
    </row>
    <row r="20" spans="1:59" ht="15.75" customHeight="1">
      <c r="A20" s="414"/>
      <c r="B20" s="420" t="s">
        <v>2658</v>
      </c>
      <c r="C20" s="416">
        <f>+$C$18+$G$19</f>
        <v>92991.650000000009</v>
      </c>
      <c r="D20" s="415"/>
      <c r="E20" s="415"/>
      <c r="F20" s="415" t="s">
        <v>2312</v>
      </c>
      <c r="G20" s="422"/>
      <c r="H20" s="415"/>
      <c r="I20" s="415"/>
      <c r="J20" s="416"/>
      <c r="K20" s="415"/>
      <c r="L20" s="415"/>
      <c r="M20" s="415"/>
      <c r="N20" s="415" t="s">
        <v>2794</v>
      </c>
      <c r="O20" s="415"/>
      <c r="P20" s="415"/>
      <c r="Q20" s="417">
        <v>0</v>
      </c>
      <c r="R20" s="417">
        <v>0</v>
      </c>
      <c r="S20" s="422"/>
      <c r="T20" s="417">
        <v>-20</v>
      </c>
      <c r="U20" s="417"/>
      <c r="V20" s="417"/>
      <c r="W20" s="420">
        <v>1.1000000000000001</v>
      </c>
      <c r="X20" s="417"/>
      <c r="Y20" s="417"/>
      <c r="Z20" s="417"/>
      <c r="AA20" s="417"/>
      <c r="AB20" s="417"/>
      <c r="AC20" s="420" t="s">
        <v>4986</v>
      </c>
      <c r="AD20" s="420"/>
      <c r="AE20" s="420"/>
      <c r="AF20" s="420">
        <v>200</v>
      </c>
      <c r="AG20" s="416">
        <v>92989.1</v>
      </c>
      <c r="AH20" s="417">
        <v>903</v>
      </c>
      <c r="AI20" s="607">
        <v>-5080</v>
      </c>
      <c r="AJ20" s="415"/>
      <c r="AK20" s="415" t="s">
        <v>139</v>
      </c>
      <c r="AL20" s="415"/>
      <c r="AM20" s="415"/>
      <c r="AN20" s="422">
        <v>5.26</v>
      </c>
      <c r="AO20" s="415"/>
      <c r="AP20" s="415"/>
      <c r="AQ20" s="422"/>
      <c r="AR20" s="422"/>
      <c r="AS20" s="422"/>
      <c r="AT20" s="422">
        <f>+ab($T$20,$T$18,$T$22,$G$19,$G$21,-1*$F$20,1200)</f>
        <v>-7.1905289729476216</v>
      </c>
      <c r="AU20" s="417"/>
      <c r="AV20" s="417"/>
      <c r="AW20" s="415"/>
      <c r="AX20" s="422"/>
      <c r="AY20" s="422"/>
      <c r="AZ20" s="422"/>
      <c r="BA20" s="604"/>
      <c r="BB20" s="414"/>
      <c r="BC20" s="169"/>
      <c r="BD20" s="1330"/>
      <c r="BE20" s="1329"/>
      <c r="BF20" s="1330"/>
      <c r="BG20" s="1329"/>
    </row>
    <row r="21" spans="1:59" ht="15.75" customHeight="1">
      <c r="A21" s="414"/>
      <c r="B21" s="415"/>
      <c r="C21" s="416"/>
      <c r="D21" s="415"/>
      <c r="E21" s="415"/>
      <c r="F21" s="415"/>
      <c r="G21" s="422">
        <v>37.299999999999997</v>
      </c>
      <c r="H21" s="415"/>
      <c r="I21" s="415"/>
      <c r="J21" s="416"/>
      <c r="K21" s="415"/>
      <c r="L21" s="415"/>
      <c r="M21" s="415"/>
      <c r="N21" s="415"/>
      <c r="O21" s="415"/>
      <c r="P21" s="415"/>
      <c r="Q21" s="417"/>
      <c r="R21" s="417"/>
      <c r="S21" s="422">
        <f t="shared" ref="S21" si="6">AG22-AG20</f>
        <v>36.899999999994179</v>
      </c>
      <c r="T21" s="417"/>
      <c r="U21" s="417"/>
      <c r="V21" s="417"/>
      <c r="W21" s="420"/>
      <c r="X21" s="417"/>
      <c r="Y21" s="417"/>
      <c r="Z21" s="417"/>
      <c r="AA21" s="417"/>
      <c r="AB21" s="417"/>
      <c r="AC21" s="420"/>
      <c r="AD21" s="420"/>
      <c r="AE21" s="420"/>
      <c r="AF21" s="420"/>
      <c r="AG21" s="416"/>
      <c r="AH21" s="417"/>
      <c r="AI21" s="607"/>
      <c r="AJ21" s="415"/>
      <c r="AK21" s="415"/>
      <c r="AL21" s="415"/>
      <c r="AM21" s="415"/>
      <c r="AN21" s="422"/>
      <c r="AO21" s="415"/>
      <c r="AP21" s="415"/>
      <c r="AQ21" s="422">
        <f>+FL_2($T$22,$T$20,$G$21,1200,9.28,-1*$F$22)</f>
        <v>-0.20884557838069709</v>
      </c>
      <c r="AR21" s="422"/>
      <c r="AS21" s="422"/>
      <c r="AT21" s="422"/>
      <c r="AU21" s="417"/>
      <c r="AV21" s="417"/>
      <c r="AW21" s="415"/>
      <c r="AX21" s="417"/>
      <c r="AY21" s="422"/>
      <c r="AZ21" s="422"/>
      <c r="BA21" s="1311"/>
      <c r="BB21" s="414"/>
      <c r="BC21" s="169"/>
      <c r="BD21" s="1330"/>
      <c r="BE21" s="1330"/>
      <c r="BF21" s="1330"/>
      <c r="BG21" s="1330"/>
    </row>
    <row r="22" spans="1:59" ht="15.75" customHeight="1">
      <c r="A22" s="414"/>
      <c r="B22" s="415" t="s">
        <v>2659</v>
      </c>
      <c r="C22" s="416">
        <f>+$C$20+$G$21-2</f>
        <v>93026.950000000012</v>
      </c>
      <c r="D22" s="415"/>
      <c r="E22" s="415"/>
      <c r="F22" s="415" t="s">
        <v>2312</v>
      </c>
      <c r="G22" s="422"/>
      <c r="H22" s="415"/>
      <c r="I22" s="415"/>
      <c r="J22" s="416"/>
      <c r="K22" s="415"/>
      <c r="L22" s="415"/>
      <c r="M22" s="415"/>
      <c r="N22" s="415" t="s">
        <v>844</v>
      </c>
      <c r="O22" s="415"/>
      <c r="P22" s="415"/>
      <c r="Q22" s="417">
        <v>0</v>
      </c>
      <c r="R22" s="417">
        <v>0</v>
      </c>
      <c r="S22" s="422"/>
      <c r="T22" s="417">
        <v>20</v>
      </c>
      <c r="U22" s="417"/>
      <c r="V22" s="417"/>
      <c r="W22" s="420">
        <v>0.75</v>
      </c>
      <c r="X22" s="417"/>
      <c r="Y22" s="417"/>
      <c r="Z22" s="417"/>
      <c r="AA22" s="417"/>
      <c r="AB22" s="417"/>
      <c r="AC22" s="420" t="s">
        <v>1417</v>
      </c>
      <c r="AD22" s="420"/>
      <c r="AE22" s="420"/>
      <c r="AF22" s="420">
        <v>100</v>
      </c>
      <c r="AG22" s="416">
        <v>93026</v>
      </c>
      <c r="AH22" s="417">
        <v>1033</v>
      </c>
      <c r="AI22" s="607">
        <v>-5300</v>
      </c>
      <c r="AJ22" s="415"/>
      <c r="AK22" s="415" t="s">
        <v>139</v>
      </c>
      <c r="AL22" s="415"/>
      <c r="AM22" s="415"/>
      <c r="AN22" s="422">
        <v>5.19</v>
      </c>
      <c r="AO22" s="415"/>
      <c r="AP22" s="415"/>
      <c r="AQ22" s="422"/>
      <c r="AR22" s="422"/>
      <c r="AS22" s="422"/>
      <c r="AT22" s="422">
        <f>+ab($T$22,$T$20,$T$24,$G$21,$G$23,-1*$F$22,1200)</f>
        <v>17.343998663047625</v>
      </c>
      <c r="AU22" s="417"/>
      <c r="AV22" s="417"/>
      <c r="AW22" s="415"/>
      <c r="AX22" s="422"/>
      <c r="AY22" s="422"/>
      <c r="AZ22" s="422"/>
      <c r="BA22" s="604"/>
      <c r="BB22" s="414"/>
      <c r="BC22" s="169"/>
      <c r="BD22" s="1330"/>
      <c r="BE22" s="1329"/>
      <c r="BF22" s="1330"/>
      <c r="BG22" s="1329"/>
    </row>
    <row r="23" spans="1:59" ht="15.75" customHeight="1">
      <c r="A23" s="414"/>
      <c r="B23" s="415"/>
      <c r="C23" s="416"/>
      <c r="D23" s="415"/>
      <c r="E23" s="415"/>
      <c r="F23" s="415"/>
      <c r="G23" s="422">
        <v>36.799999999999997</v>
      </c>
      <c r="H23" s="415"/>
      <c r="I23" s="415"/>
      <c r="J23" s="416"/>
      <c r="K23" s="415"/>
      <c r="L23" s="415"/>
      <c r="M23" s="415"/>
      <c r="N23" s="415"/>
      <c r="O23" s="415"/>
      <c r="P23" s="415"/>
      <c r="Q23" s="417"/>
      <c r="R23" s="417"/>
      <c r="S23" s="422">
        <f t="shared" ref="S23" si="7">AG24-AG22</f>
        <v>34</v>
      </c>
      <c r="T23" s="417"/>
      <c r="U23" s="417"/>
      <c r="V23" s="417"/>
      <c r="W23" s="420"/>
      <c r="X23" s="417"/>
      <c r="Y23" s="417"/>
      <c r="Z23" s="417"/>
      <c r="AA23" s="417"/>
      <c r="AB23" s="417"/>
      <c r="AC23" s="420"/>
      <c r="AD23" s="417"/>
      <c r="AE23" s="417"/>
      <c r="AF23" s="417"/>
      <c r="AG23" s="416"/>
      <c r="AH23" s="417"/>
      <c r="AI23" s="607"/>
      <c r="AJ23" s="415"/>
      <c r="AK23" s="415"/>
      <c r="AL23" s="415"/>
      <c r="AM23" s="415"/>
      <c r="AN23" s="422"/>
      <c r="AO23" s="415"/>
      <c r="AP23" s="415"/>
      <c r="AQ23" s="422">
        <f>+FL_1($T$24,$T$22,$G$23,1200,9.28,-1*$F$24)</f>
        <v>0.20000000000000004</v>
      </c>
      <c r="AR23" s="422"/>
      <c r="AS23" s="422"/>
      <c r="AT23" s="422"/>
      <c r="AU23" s="417"/>
      <c r="AV23" s="417"/>
      <c r="AW23" s="415"/>
      <c r="AX23" s="417"/>
      <c r="AY23" s="422"/>
      <c r="AZ23" s="422"/>
      <c r="BA23" s="1311"/>
      <c r="BB23" s="414"/>
      <c r="BC23" s="169"/>
      <c r="BD23" s="1330"/>
      <c r="BE23" s="1330"/>
      <c r="BF23" s="1330"/>
      <c r="BG23" s="1330"/>
    </row>
    <row r="24" spans="1:59" ht="15.75" customHeight="1">
      <c r="A24" s="488" t="s">
        <v>1851</v>
      </c>
      <c r="B24" s="494" t="s">
        <v>2660</v>
      </c>
      <c r="C24" s="489">
        <f>+$C$22+$G$23</f>
        <v>93063.750000000015</v>
      </c>
      <c r="D24" s="490"/>
      <c r="E24" s="490"/>
      <c r="F24" s="491">
        <v>-1200</v>
      </c>
      <c r="G24" s="493"/>
      <c r="H24" s="490"/>
      <c r="I24" s="490"/>
      <c r="J24" s="489"/>
      <c r="K24" s="490"/>
      <c r="L24" s="494" t="s">
        <v>2398</v>
      </c>
      <c r="M24" s="494"/>
      <c r="N24" s="494" t="s">
        <v>634</v>
      </c>
      <c r="O24" s="494"/>
      <c r="P24" s="494"/>
      <c r="Q24" s="490">
        <v>0</v>
      </c>
      <c r="R24" s="490">
        <v>0</v>
      </c>
      <c r="S24" s="493"/>
      <c r="T24" s="490">
        <v>20</v>
      </c>
      <c r="U24" s="490"/>
      <c r="V24" s="490"/>
      <c r="W24" s="495">
        <v>0.75</v>
      </c>
      <c r="X24" s="490"/>
      <c r="Y24" s="490"/>
      <c r="Z24" s="490"/>
      <c r="AA24" s="490"/>
      <c r="AB24" s="490"/>
      <c r="AC24" s="495" t="s">
        <v>1417</v>
      </c>
      <c r="AD24" s="490"/>
      <c r="AE24" s="490"/>
      <c r="AF24" s="490">
        <v>400</v>
      </c>
      <c r="AG24" s="489">
        <v>93060</v>
      </c>
      <c r="AH24" s="490">
        <v>1303</v>
      </c>
      <c r="AI24" s="640">
        <v>-4850</v>
      </c>
      <c r="AJ24" s="494"/>
      <c r="AK24" s="494"/>
      <c r="AL24" s="490"/>
      <c r="AM24" s="494"/>
      <c r="AN24" s="493">
        <v>5.15</v>
      </c>
      <c r="AO24" s="494"/>
      <c r="AP24" s="494"/>
      <c r="AQ24" s="493"/>
      <c r="AR24" s="493"/>
      <c r="AS24" s="493"/>
      <c r="AT24" s="493">
        <f>+ab($T$24,$T$22,$T$26,$G$23,$G$25,-1*$F$24,1200)</f>
        <v>5.612085844525744</v>
      </c>
      <c r="AU24" s="490"/>
      <c r="AV24" s="490"/>
      <c r="AW24" s="494" t="s">
        <v>4682</v>
      </c>
      <c r="AX24" s="493"/>
      <c r="AY24" s="493"/>
      <c r="AZ24" s="493"/>
      <c r="BA24" s="602" t="s">
        <v>2809</v>
      </c>
      <c r="BB24" s="491"/>
      <c r="BC24" s="169"/>
      <c r="BD24" s="1330"/>
      <c r="BE24" s="1329">
        <v>43854</v>
      </c>
      <c r="BF24" s="1330"/>
      <c r="BG24" s="1329">
        <v>43870</v>
      </c>
    </row>
    <row r="25" spans="1:59" ht="15.75" customHeight="1">
      <c r="A25" s="488"/>
      <c r="B25" s="494"/>
      <c r="C25" s="489"/>
      <c r="D25" s="490"/>
      <c r="E25" s="490"/>
      <c r="F25" s="491"/>
      <c r="G25" s="493">
        <v>45</v>
      </c>
      <c r="H25" s="490"/>
      <c r="I25" s="490"/>
      <c r="J25" s="489"/>
      <c r="K25" s="490"/>
      <c r="L25" s="490"/>
      <c r="M25" s="490"/>
      <c r="N25" s="495"/>
      <c r="O25" s="495"/>
      <c r="P25" s="490"/>
      <c r="Q25" s="490"/>
      <c r="R25" s="490"/>
      <c r="S25" s="493">
        <f t="shared" ref="S25" si="8">AG26-AG24</f>
        <v>46</v>
      </c>
      <c r="T25" s="490"/>
      <c r="U25" s="490"/>
      <c r="V25" s="490"/>
      <c r="W25" s="495"/>
      <c r="X25" s="490"/>
      <c r="Y25" s="490"/>
      <c r="Z25" s="490"/>
      <c r="AA25" s="490"/>
      <c r="AB25" s="490"/>
      <c r="AC25" s="495"/>
      <c r="AD25" s="490"/>
      <c r="AE25" s="490"/>
      <c r="AF25" s="490"/>
      <c r="AG25" s="489"/>
      <c r="AH25" s="490"/>
      <c r="AI25" s="640"/>
      <c r="AJ25" s="490"/>
      <c r="AK25" s="495"/>
      <c r="AL25" s="490"/>
      <c r="AM25" s="490"/>
      <c r="AN25" s="457"/>
      <c r="AO25" s="495"/>
      <c r="AP25" s="494"/>
      <c r="AQ25" s="493">
        <f>+FL_2($T$26,$T$24,$G$25,1200,9.28,-1*$F$26)</f>
        <v>4.2500000000000246E-3</v>
      </c>
      <c r="AR25" s="493"/>
      <c r="AS25" s="493"/>
      <c r="AT25" s="493"/>
      <c r="AU25" s="490"/>
      <c r="AV25" s="490"/>
      <c r="AW25" s="490"/>
      <c r="AX25" s="490"/>
      <c r="AY25" s="493"/>
      <c r="AZ25" s="493"/>
      <c r="BA25" s="1312"/>
      <c r="BB25" s="488"/>
      <c r="BC25" s="169"/>
      <c r="BD25" s="1330"/>
      <c r="BE25" s="1330"/>
      <c r="BF25" s="1330"/>
      <c r="BG25" s="1330"/>
    </row>
    <row r="26" spans="1:59" ht="15.75" customHeight="1">
      <c r="A26" s="414" t="s">
        <v>2605</v>
      </c>
      <c r="B26" s="415" t="s">
        <v>2661</v>
      </c>
      <c r="C26" s="416">
        <f>+$C$24+$G$25</f>
        <v>93108.750000000015</v>
      </c>
      <c r="D26" s="417"/>
      <c r="E26" s="417"/>
      <c r="F26" s="418">
        <v>0</v>
      </c>
      <c r="G26" s="422"/>
      <c r="H26" s="417"/>
      <c r="I26" s="420"/>
      <c r="J26" s="416"/>
      <c r="K26" s="417"/>
      <c r="L26" s="415" t="s">
        <v>2398</v>
      </c>
      <c r="M26" s="415"/>
      <c r="N26" s="415" t="s">
        <v>634</v>
      </c>
      <c r="O26" s="420"/>
      <c r="P26" s="417"/>
      <c r="Q26" s="417">
        <v>0</v>
      </c>
      <c r="R26" s="417">
        <v>0</v>
      </c>
      <c r="S26" s="422"/>
      <c r="T26" s="417">
        <v>20</v>
      </c>
      <c r="U26" s="417"/>
      <c r="V26" s="417"/>
      <c r="W26" s="420">
        <v>0.75</v>
      </c>
      <c r="X26" s="417"/>
      <c r="Y26" s="417"/>
      <c r="Z26" s="417"/>
      <c r="AA26" s="417"/>
      <c r="AB26" s="417"/>
      <c r="AC26" s="420" t="s">
        <v>1417</v>
      </c>
      <c r="AD26" s="417"/>
      <c r="AE26" s="417"/>
      <c r="AF26" s="417">
        <v>200</v>
      </c>
      <c r="AG26" s="416">
        <v>93106</v>
      </c>
      <c r="AH26" s="417">
        <v>1053</v>
      </c>
      <c r="AI26" s="607">
        <v>-5010</v>
      </c>
      <c r="AJ26" s="417"/>
      <c r="AK26" s="420"/>
      <c r="AL26" s="417"/>
      <c r="AM26" s="417"/>
      <c r="AN26" s="444">
        <v>5.15</v>
      </c>
      <c r="AO26" s="420"/>
      <c r="AP26" s="415"/>
      <c r="AQ26" s="422"/>
      <c r="AR26" s="422"/>
      <c r="AS26" s="422"/>
      <c r="AT26" s="422">
        <f>+ab($T$26,$T$24,$T$28,$G$25,$G$27,-1*$F$26,1200)</f>
        <v>89.999099256406765</v>
      </c>
      <c r="AU26" s="417"/>
      <c r="AV26" s="417"/>
      <c r="AW26" s="415" t="s">
        <v>4682</v>
      </c>
      <c r="AX26" s="422"/>
      <c r="AY26" s="422"/>
      <c r="AZ26" s="422"/>
      <c r="BA26" s="604" t="s">
        <v>2809</v>
      </c>
      <c r="BB26" s="418"/>
      <c r="BC26" s="169"/>
      <c r="BD26" s="1330"/>
      <c r="BE26" s="1329">
        <v>43805</v>
      </c>
      <c r="BF26" s="1330"/>
      <c r="BG26" s="1329">
        <v>43838</v>
      </c>
    </row>
    <row r="27" spans="1:59" ht="15.75" customHeight="1">
      <c r="A27" s="414"/>
      <c r="B27" s="415"/>
      <c r="C27" s="416"/>
      <c r="D27" s="417"/>
      <c r="E27" s="417"/>
      <c r="F27" s="418"/>
      <c r="G27" s="422">
        <v>35.700000000000003</v>
      </c>
      <c r="H27" s="420" t="s">
        <v>873</v>
      </c>
      <c r="I27" s="444">
        <f>SUM(G9:G27)</f>
        <v>393.59999999999997</v>
      </c>
      <c r="J27" s="416">
        <f>C28-28</f>
        <v>93116.35</v>
      </c>
      <c r="K27" s="417" t="s">
        <v>897</v>
      </c>
      <c r="L27" s="415"/>
      <c r="M27" s="415"/>
      <c r="N27" s="420"/>
      <c r="O27" s="420"/>
      <c r="P27" s="417"/>
      <c r="Q27" s="417"/>
      <c r="R27" s="417"/>
      <c r="S27" s="422">
        <f t="shared" ref="S27" si="9">AG28-AG26</f>
        <v>36.619999999995343</v>
      </c>
      <c r="T27" s="417"/>
      <c r="U27" s="417"/>
      <c r="V27" s="417"/>
      <c r="W27" s="420"/>
      <c r="X27" s="417"/>
      <c r="Y27" s="417"/>
      <c r="Z27" s="417"/>
      <c r="AA27" s="417"/>
      <c r="AB27" s="417"/>
      <c r="AC27" s="420"/>
      <c r="AD27" s="417"/>
      <c r="AE27" s="417"/>
      <c r="AF27" s="417"/>
      <c r="AG27" s="416"/>
      <c r="AH27" s="417"/>
      <c r="AI27" s="607"/>
      <c r="AJ27" s="417"/>
      <c r="AK27" s="420"/>
      <c r="AL27" s="417"/>
      <c r="AM27" s="417"/>
      <c r="AN27" s="444"/>
      <c r="AO27" s="420"/>
      <c r="AP27" s="415"/>
      <c r="AQ27" s="422">
        <f>+FL_1($T$28,$T$26,$G$27,1200,9.28,-1*$F$28)</f>
        <v>0.32320070000000001</v>
      </c>
      <c r="AR27" s="422"/>
      <c r="AS27" s="422"/>
      <c r="AT27" s="422"/>
      <c r="AU27" s="417"/>
      <c r="AV27" s="417"/>
      <c r="AW27" s="417"/>
      <c r="AX27" s="417"/>
      <c r="AY27" s="422"/>
      <c r="AZ27" s="422"/>
      <c r="BA27" s="604"/>
      <c r="BB27" s="414"/>
      <c r="BC27" s="169"/>
      <c r="BD27" s="1330"/>
      <c r="BE27" s="1330"/>
      <c r="BF27" s="1330"/>
      <c r="BG27" s="1330"/>
    </row>
    <row r="28" spans="1:59" ht="15.75" customHeight="1">
      <c r="A28" s="418"/>
      <c r="B28" s="415" t="s">
        <v>2662</v>
      </c>
      <c r="C28" s="416">
        <f>+$C$26+$G$27-0.1</f>
        <v>93144.35</v>
      </c>
      <c r="D28" s="417"/>
      <c r="E28" s="417"/>
      <c r="F28" s="418">
        <v>0</v>
      </c>
      <c r="G28" s="422"/>
      <c r="H28" s="420" t="s">
        <v>874</v>
      </c>
      <c r="I28" s="420"/>
      <c r="J28" s="416"/>
      <c r="K28" s="417"/>
      <c r="L28" s="415"/>
      <c r="M28" s="415"/>
      <c r="N28" s="420" t="s">
        <v>844</v>
      </c>
      <c r="O28" s="420"/>
      <c r="P28" s="417"/>
      <c r="Q28" s="417">
        <v>0</v>
      </c>
      <c r="R28" s="417">
        <v>0</v>
      </c>
      <c r="S28" s="422"/>
      <c r="T28" s="417">
        <v>20</v>
      </c>
      <c r="U28" s="417"/>
      <c r="V28" s="417"/>
      <c r="W28" s="420">
        <v>0.5</v>
      </c>
      <c r="X28" s="417"/>
      <c r="Y28" s="417"/>
      <c r="Z28" s="417"/>
      <c r="AA28" s="417"/>
      <c r="AB28" s="417"/>
      <c r="AC28" s="420" t="s">
        <v>1417</v>
      </c>
      <c r="AD28" s="417"/>
      <c r="AE28" s="417"/>
      <c r="AF28" s="417">
        <v>100</v>
      </c>
      <c r="AG28" s="416">
        <v>93142.62</v>
      </c>
      <c r="AH28" s="417">
        <v>1703</v>
      </c>
      <c r="AI28" s="417">
        <v>-4900</v>
      </c>
      <c r="AJ28" s="417"/>
      <c r="AK28" s="420" t="s">
        <v>139</v>
      </c>
      <c r="AL28" s="417"/>
      <c r="AM28" s="417"/>
      <c r="AN28" s="444">
        <v>5.15</v>
      </c>
      <c r="AO28" s="420"/>
      <c r="AP28" s="415"/>
      <c r="AQ28" s="422"/>
      <c r="AR28" s="422"/>
      <c r="AS28" s="422"/>
      <c r="AT28" s="422">
        <f>+ab($T$28,$T$26,$T$30,$G$27,$G$29,-1*$F$28,1200)</f>
        <v>22.511860946062566</v>
      </c>
      <c r="AU28" s="417"/>
      <c r="AV28" s="417"/>
      <c r="AW28" s="422" t="s">
        <v>4682</v>
      </c>
      <c r="AX28" s="422"/>
      <c r="AY28" s="422"/>
      <c r="AZ28" s="422"/>
      <c r="BA28" s="604" t="s">
        <v>2809</v>
      </c>
      <c r="BB28" s="418"/>
      <c r="BC28" s="169"/>
      <c r="BD28" s="1330"/>
      <c r="BE28" s="1329">
        <v>43812</v>
      </c>
      <c r="BF28" s="1330"/>
      <c r="BG28" s="1329">
        <v>43838</v>
      </c>
    </row>
    <row r="29" spans="1:59" ht="15.75" customHeight="1">
      <c r="A29" s="418"/>
      <c r="B29" s="415"/>
      <c r="C29" s="416"/>
      <c r="D29" s="417"/>
      <c r="E29" s="417"/>
      <c r="F29" s="418"/>
      <c r="G29" s="422">
        <v>49.5</v>
      </c>
      <c r="H29" s="420" t="s">
        <v>873</v>
      </c>
      <c r="I29" s="444">
        <f>SUM(G29:G45)</f>
        <v>347.3</v>
      </c>
      <c r="J29" s="416">
        <f>C28+12</f>
        <v>93156.35</v>
      </c>
      <c r="K29" s="417" t="s">
        <v>897</v>
      </c>
      <c r="L29" s="415"/>
      <c r="M29" s="415"/>
      <c r="N29" s="420"/>
      <c r="O29" s="420"/>
      <c r="P29" s="417"/>
      <c r="Q29" s="417"/>
      <c r="R29" s="417"/>
      <c r="S29" s="422">
        <f t="shared" ref="S29" si="10">AG30-AG28</f>
        <v>50.940000000002328</v>
      </c>
      <c r="T29" s="417"/>
      <c r="U29" s="417"/>
      <c r="V29" s="417"/>
      <c r="W29" s="420"/>
      <c r="X29" s="417"/>
      <c r="Y29" s="417"/>
      <c r="Z29" s="417"/>
      <c r="AA29" s="417"/>
      <c r="AB29" s="417"/>
      <c r="AC29" s="420"/>
      <c r="AD29" s="417"/>
      <c r="AE29" s="417"/>
      <c r="AF29" s="417"/>
      <c r="AG29" s="416"/>
      <c r="AH29" s="417"/>
      <c r="AI29" s="417"/>
      <c r="AJ29" s="417"/>
      <c r="AK29" s="420"/>
      <c r="AL29" s="417"/>
      <c r="AM29" s="417"/>
      <c r="AN29" s="444"/>
      <c r="AO29" s="420"/>
      <c r="AP29" s="415"/>
      <c r="AQ29" s="422">
        <f>+FL_1($T$30,$T$28,$G$29,1200,9.28,-1*$F$30)</f>
        <v>0.27907697777777785</v>
      </c>
      <c r="AR29" s="422"/>
      <c r="AS29" s="422"/>
      <c r="AT29" s="422"/>
      <c r="AU29" s="417"/>
      <c r="AV29" s="417"/>
      <c r="AW29" s="417"/>
      <c r="AX29" s="417"/>
      <c r="AY29" s="422"/>
      <c r="AZ29" s="422"/>
      <c r="BA29" s="604"/>
      <c r="BB29" s="420"/>
      <c r="BC29" s="169"/>
      <c r="BD29" s="1330"/>
      <c r="BE29" s="1330"/>
      <c r="BF29" s="1330"/>
      <c r="BG29" s="1330"/>
    </row>
    <row r="30" spans="1:59" ht="15.75" customHeight="1">
      <c r="A30" s="420"/>
      <c r="B30" s="415" t="s">
        <v>2663</v>
      </c>
      <c r="C30" s="416">
        <f>+$C$28+$G$29</f>
        <v>93193.85</v>
      </c>
      <c r="D30" s="417"/>
      <c r="E30" s="417"/>
      <c r="F30" s="418">
        <v>0</v>
      </c>
      <c r="G30" s="422"/>
      <c r="H30" s="420"/>
      <c r="I30" s="420"/>
      <c r="J30" s="416"/>
      <c r="K30" s="417"/>
      <c r="L30" s="415"/>
      <c r="M30" s="415"/>
      <c r="N30" s="420" t="s">
        <v>843</v>
      </c>
      <c r="O30" s="420"/>
      <c r="P30" s="417"/>
      <c r="Q30" s="417">
        <v>0</v>
      </c>
      <c r="R30" s="417">
        <v>0</v>
      </c>
      <c r="S30" s="422"/>
      <c r="T30" s="417">
        <v>-20</v>
      </c>
      <c r="U30" s="417"/>
      <c r="V30" s="417"/>
      <c r="W30" s="420">
        <v>0.5</v>
      </c>
      <c r="X30" s="417"/>
      <c r="Y30" s="417"/>
      <c r="Z30" s="417"/>
      <c r="AA30" s="417"/>
      <c r="AB30" s="417"/>
      <c r="AC30" s="420" t="s">
        <v>1417</v>
      </c>
      <c r="AD30" s="417"/>
      <c r="AE30" s="417"/>
      <c r="AF30" s="417">
        <v>100</v>
      </c>
      <c r="AG30" s="416">
        <v>93193.56</v>
      </c>
      <c r="AH30" s="417">
        <v>1633</v>
      </c>
      <c r="AI30" s="607">
        <v>-4970</v>
      </c>
      <c r="AJ30" s="417"/>
      <c r="AK30" s="420" t="s">
        <v>139</v>
      </c>
      <c r="AL30" s="417"/>
      <c r="AM30" s="417"/>
      <c r="AN30" s="444">
        <v>5.15</v>
      </c>
      <c r="AO30" s="420"/>
      <c r="AP30" s="415"/>
      <c r="AQ30" s="422"/>
      <c r="AR30" s="422"/>
      <c r="AS30" s="422"/>
      <c r="AT30" s="422">
        <f>+ab($T$30,$T$28,$T$32,$G$29,$G$31,-1*$F$30,1200)</f>
        <v>-11.764876232112407</v>
      </c>
      <c r="AU30" s="417"/>
      <c r="AV30" s="417"/>
      <c r="AW30" s="422" t="s">
        <v>4682</v>
      </c>
      <c r="AX30" s="422"/>
      <c r="AY30" s="422"/>
      <c r="AZ30" s="422"/>
      <c r="BA30" s="604" t="s">
        <v>2809</v>
      </c>
      <c r="BB30" s="420"/>
      <c r="BC30" s="169"/>
      <c r="BD30" s="1330"/>
      <c r="BE30" s="1329">
        <v>43812</v>
      </c>
      <c r="BF30" s="1330"/>
      <c r="BG30" s="1329">
        <v>43838</v>
      </c>
    </row>
    <row r="31" spans="1:59" ht="15.75" customHeight="1">
      <c r="A31" s="495" t="s">
        <v>2606</v>
      </c>
      <c r="B31" s="494"/>
      <c r="C31" s="489"/>
      <c r="D31" s="490"/>
      <c r="E31" s="490"/>
      <c r="F31" s="491"/>
      <c r="G31" s="493">
        <v>50</v>
      </c>
      <c r="H31" s="490"/>
      <c r="I31" s="495"/>
      <c r="J31" s="489"/>
      <c r="K31" s="490"/>
      <c r="L31" s="490"/>
      <c r="M31" s="490"/>
      <c r="N31" s="495"/>
      <c r="O31" s="490"/>
      <c r="P31" s="490"/>
      <c r="Q31" s="490"/>
      <c r="R31" s="490"/>
      <c r="S31" s="493">
        <f t="shared" ref="S31" si="11">AG32-AG30</f>
        <v>38.389999999999418</v>
      </c>
      <c r="T31" s="490"/>
      <c r="U31" s="490"/>
      <c r="V31" s="490"/>
      <c r="W31" s="495"/>
      <c r="X31" s="490"/>
      <c r="Y31" s="490"/>
      <c r="Z31" s="490"/>
      <c r="AA31" s="490"/>
      <c r="AB31" s="490"/>
      <c r="AC31" s="495"/>
      <c r="AD31" s="490"/>
      <c r="AE31" s="490"/>
      <c r="AF31" s="490"/>
      <c r="AG31" s="489"/>
      <c r="AH31" s="490"/>
      <c r="AI31" s="640"/>
      <c r="AJ31" s="490"/>
      <c r="AK31" s="495"/>
      <c r="AL31" s="490"/>
      <c r="AM31" s="490"/>
      <c r="AN31" s="457"/>
      <c r="AO31" s="495"/>
      <c r="AP31" s="495"/>
      <c r="AQ31" s="493">
        <f>+FL_1($T$32,$T$30,$G$31,1200,9.28,-1*$F$32)</f>
        <v>0.28304596799999998</v>
      </c>
      <c r="AR31" s="493"/>
      <c r="AS31" s="493"/>
      <c r="AT31" s="493"/>
      <c r="AU31" s="490"/>
      <c r="AV31" s="490"/>
      <c r="AW31" s="493"/>
      <c r="AX31" s="493"/>
      <c r="AY31" s="493"/>
      <c r="AZ31" s="493"/>
      <c r="BA31" s="602"/>
      <c r="BB31" s="495"/>
      <c r="BC31" s="169"/>
      <c r="BD31" s="1330"/>
      <c r="BE31" s="1330"/>
      <c r="BF31" s="1330"/>
      <c r="BG31" s="1330"/>
    </row>
    <row r="32" spans="1:59" ht="15.75" customHeight="1">
      <c r="A32" s="420"/>
      <c r="B32" s="415" t="s">
        <v>2664</v>
      </c>
      <c r="C32" s="416">
        <f>+$C$30+$G$31</f>
        <v>93243.85</v>
      </c>
      <c r="D32" s="418"/>
      <c r="E32" s="418"/>
      <c r="F32" s="420">
        <v>0</v>
      </c>
      <c r="G32" s="422"/>
      <c r="H32" s="420"/>
      <c r="I32" s="420"/>
      <c r="J32" s="416"/>
      <c r="K32" s="417"/>
      <c r="L32" s="415"/>
      <c r="M32" s="415"/>
      <c r="N32" s="420" t="s">
        <v>844</v>
      </c>
      <c r="O32" s="420"/>
      <c r="P32" s="417"/>
      <c r="Q32" s="417">
        <v>0</v>
      </c>
      <c r="R32" s="417">
        <v>0</v>
      </c>
      <c r="S32" s="422"/>
      <c r="T32" s="417">
        <v>20</v>
      </c>
      <c r="U32" s="417"/>
      <c r="V32" s="417"/>
      <c r="W32" s="420">
        <v>0.5</v>
      </c>
      <c r="X32" s="417"/>
      <c r="Y32" s="417"/>
      <c r="Z32" s="417"/>
      <c r="AA32" s="417"/>
      <c r="AB32" s="417"/>
      <c r="AC32" s="420" t="s">
        <v>1417</v>
      </c>
      <c r="AD32" s="417"/>
      <c r="AE32" s="417"/>
      <c r="AF32" s="417">
        <v>100</v>
      </c>
      <c r="AG32" s="416">
        <v>93231.95</v>
      </c>
      <c r="AH32" s="417">
        <v>1453</v>
      </c>
      <c r="AI32" s="607">
        <v>-4610</v>
      </c>
      <c r="AJ32" s="417"/>
      <c r="AK32" s="420" t="s">
        <v>139</v>
      </c>
      <c r="AL32" s="417"/>
      <c r="AM32" s="417"/>
      <c r="AN32" s="444">
        <v>5.15</v>
      </c>
      <c r="AO32" s="420"/>
      <c r="AP32" s="420"/>
      <c r="AQ32" s="422"/>
      <c r="AR32" s="422"/>
      <c r="AS32" s="422"/>
      <c r="AT32" s="422">
        <f>+ab($T$32,$T$30,-$T$34,$G$31,$G$33,-1*$F$32,1200)</f>
        <v>9.6570124039839467</v>
      </c>
      <c r="AU32" s="417"/>
      <c r="AV32" s="417"/>
      <c r="AW32" s="422" t="s">
        <v>4682</v>
      </c>
      <c r="AX32" s="422"/>
      <c r="AY32" s="422"/>
      <c r="AZ32" s="422"/>
      <c r="BA32" s="604" t="s">
        <v>2809</v>
      </c>
      <c r="BB32" s="420"/>
      <c r="BC32" s="169"/>
      <c r="BD32" s="1330"/>
      <c r="BE32" s="1329">
        <v>43812</v>
      </c>
      <c r="BF32" s="1330"/>
      <c r="BG32" s="1329">
        <v>43838</v>
      </c>
    </row>
    <row r="33" spans="1:59" ht="15.75" customHeight="1">
      <c r="A33" s="420"/>
      <c r="B33" s="415"/>
      <c r="C33" s="416"/>
      <c r="D33" s="418"/>
      <c r="E33" s="418"/>
      <c r="F33" s="420"/>
      <c r="G33" s="422">
        <v>42.8</v>
      </c>
      <c r="H33" s="417"/>
      <c r="I33" s="444"/>
      <c r="J33" s="416"/>
      <c r="K33" s="417"/>
      <c r="L33" s="417"/>
      <c r="M33" s="417"/>
      <c r="N33" s="420"/>
      <c r="O33" s="420"/>
      <c r="P33" s="417"/>
      <c r="Q33" s="417"/>
      <c r="R33" s="417"/>
      <c r="S33" s="422">
        <f t="shared" ref="S33" si="12">AG34-AG32</f>
        <v>54.370000000009895</v>
      </c>
      <c r="T33" s="417"/>
      <c r="U33" s="417"/>
      <c r="V33" s="417"/>
      <c r="W33" s="420"/>
      <c r="X33" s="417"/>
      <c r="Y33" s="417"/>
      <c r="Z33" s="417"/>
      <c r="AA33" s="417"/>
      <c r="AB33" s="417"/>
      <c r="AC33" s="420"/>
      <c r="AD33" s="417"/>
      <c r="AE33" s="417"/>
      <c r="AF33" s="417"/>
      <c r="AG33" s="416"/>
      <c r="AH33" s="417"/>
      <c r="AI33" s="607"/>
      <c r="AJ33" s="417"/>
      <c r="AK33" s="420"/>
      <c r="AL33" s="417"/>
      <c r="AM33" s="417"/>
      <c r="AN33" s="444"/>
      <c r="AO33" s="420"/>
      <c r="AP33" s="420"/>
      <c r="AQ33" s="422">
        <f>+FL_1($T$34,$T$32,$G$33,1200,9.28,-1*$F$34)</f>
        <v>0.3</v>
      </c>
      <c r="AR33" s="422"/>
      <c r="AS33" s="422"/>
      <c r="AT33" s="422"/>
      <c r="AU33" s="417"/>
      <c r="AV33" s="417"/>
      <c r="AW33" s="422"/>
      <c r="AX33" s="422"/>
      <c r="AY33" s="422" t="str">
        <f>IF(AX33="PT",VLOOKUP(M33,'Foundation Calculation'!$L$2:$R$37,VLOOKUP(AW33,'Foundation Calculation'!$I$2:$J$8,2,FALSE),0),IF(AX33="K",VLOOKUP(M33,'Foundation Calculation'!$L$41:$R$75,VLOOKUP(AW33,'Foundation Calculation'!$I$2:$J$8,2,FALSE),0),""))</f>
        <v/>
      </c>
      <c r="AZ33" s="422" t="s">
        <v>638</v>
      </c>
      <c r="BA33" s="604"/>
      <c r="BB33" s="420"/>
      <c r="BC33" s="169"/>
      <c r="BD33" s="1330"/>
      <c r="BE33" s="1330"/>
      <c r="BF33" s="1330"/>
      <c r="BG33" s="1330"/>
    </row>
    <row r="34" spans="1:59" ht="25">
      <c r="A34" s="420"/>
      <c r="B34" s="415" t="s">
        <v>2665</v>
      </c>
      <c r="C34" s="416">
        <f>+$C$32+$G$33+0.3</f>
        <v>93286.950000000012</v>
      </c>
      <c r="D34" s="418"/>
      <c r="E34" s="418"/>
      <c r="F34" s="420">
        <v>-1000</v>
      </c>
      <c r="G34" s="422"/>
      <c r="H34" s="677"/>
      <c r="I34" s="420"/>
      <c r="J34" s="416"/>
      <c r="K34" s="417"/>
      <c r="L34" s="415" t="s">
        <v>1451</v>
      </c>
      <c r="M34" s="415" t="s">
        <v>2811</v>
      </c>
      <c r="N34" s="415" t="s">
        <v>2797</v>
      </c>
      <c r="O34" s="420"/>
      <c r="P34" s="417"/>
      <c r="Q34" s="417">
        <v>0</v>
      </c>
      <c r="R34" s="417">
        <v>-1000.18</v>
      </c>
      <c r="S34" s="422"/>
      <c r="T34" s="417">
        <v>30</v>
      </c>
      <c r="U34" s="417"/>
      <c r="V34" s="417"/>
      <c r="W34" s="420">
        <v>0.5</v>
      </c>
      <c r="X34" s="417"/>
      <c r="Y34" s="417"/>
      <c r="Z34" s="417"/>
      <c r="AA34" s="417"/>
      <c r="AB34" s="417"/>
      <c r="AC34" s="420" t="s">
        <v>4115</v>
      </c>
      <c r="AD34" s="420"/>
      <c r="AE34" s="420"/>
      <c r="AF34" s="420">
        <v>200</v>
      </c>
      <c r="AG34" s="416">
        <v>93286.32</v>
      </c>
      <c r="AH34" s="417">
        <v>943</v>
      </c>
      <c r="AI34" s="607">
        <v>-5350</v>
      </c>
      <c r="AJ34" s="417"/>
      <c r="AK34" s="420" t="s">
        <v>139</v>
      </c>
      <c r="AL34" s="417" t="s">
        <v>2143</v>
      </c>
      <c r="AM34" s="417"/>
      <c r="AN34" s="444">
        <v>5.15</v>
      </c>
      <c r="AO34" s="420"/>
      <c r="AP34" s="420"/>
      <c r="AQ34" s="422"/>
      <c r="AR34" s="422"/>
      <c r="AS34" s="422"/>
      <c r="AT34" s="422">
        <f>+ab($T$34,$T$32,$T$36,$G$33,$G$35,-1*$F$34,1200)</f>
        <v>3.2441106132786643</v>
      </c>
      <c r="AU34" s="417"/>
      <c r="AV34" s="417"/>
      <c r="AW34" s="645" t="s">
        <v>4961</v>
      </c>
      <c r="AX34" s="417"/>
      <c r="AY34" s="422" t="str">
        <f>IF(AX34="PT",VLOOKUP(M34,'Foundation Calculation'!$L$2:$R$37,VLOOKUP(AW34,'Foundation Calculation'!$I$2:$J$8,2,FALSE),0),IF(AX34="K",VLOOKUP(M34,'Foundation Calculation'!$L$41:$R$75,VLOOKUP(AW34,'Foundation Calculation'!$I$2:$J$8,2,FALSE),0),""))</f>
        <v/>
      </c>
      <c r="AZ34" s="422" t="s">
        <v>638</v>
      </c>
      <c r="BA34" s="604" t="s">
        <v>2809</v>
      </c>
      <c r="BB34" s="420" t="str">
        <f>Pole_Calculations!A178</f>
        <v>App.8-V08F-P10.3</v>
      </c>
      <c r="BC34" s="169" t="s">
        <v>4954</v>
      </c>
      <c r="BD34" s="1329"/>
      <c r="BE34" s="1329"/>
      <c r="BF34" s="1329"/>
      <c r="BG34" s="1329">
        <v>43893</v>
      </c>
    </row>
    <row r="35" spans="1:59" ht="15.75" customHeight="1">
      <c r="A35" s="420"/>
      <c r="B35" s="415"/>
      <c r="C35" s="416"/>
      <c r="D35" s="418"/>
      <c r="E35" s="418"/>
      <c r="F35" s="420"/>
      <c r="G35" s="422">
        <v>28.3</v>
      </c>
      <c r="H35" s="417"/>
      <c r="I35" s="420"/>
      <c r="J35" s="416"/>
      <c r="K35" s="417"/>
      <c r="L35" s="417"/>
      <c r="M35" s="417"/>
      <c r="N35" s="415"/>
      <c r="O35" s="417"/>
      <c r="P35" s="417"/>
      <c r="Q35" s="417"/>
      <c r="R35" s="417"/>
      <c r="S35" s="422">
        <f t="shared" ref="S35" si="13">AG36-AG34</f>
        <v>29.059999999997672</v>
      </c>
      <c r="T35" s="417"/>
      <c r="U35" s="417"/>
      <c r="V35" s="417"/>
      <c r="W35" s="417"/>
      <c r="X35" s="417"/>
      <c r="Y35" s="417"/>
      <c r="Z35" s="417"/>
      <c r="AA35" s="417"/>
      <c r="AB35" s="417"/>
      <c r="AC35" s="420"/>
      <c r="AD35" s="420"/>
      <c r="AE35" s="420"/>
      <c r="AF35" s="420"/>
      <c r="AG35" s="416"/>
      <c r="AH35" s="417"/>
      <c r="AI35" s="607"/>
      <c r="AJ35" s="417"/>
      <c r="AK35" s="420"/>
      <c r="AL35" s="417"/>
      <c r="AM35" s="417"/>
      <c r="AN35" s="444"/>
      <c r="AO35" s="420"/>
      <c r="AP35" s="420"/>
      <c r="AQ35" s="422">
        <f>+FL_2($T$36,$T$34,$G$35,1200,9.28,-1*$F$36)</f>
        <v>-0.3042697113122837</v>
      </c>
      <c r="AR35" s="422"/>
      <c r="AS35" s="422"/>
      <c r="AT35" s="422"/>
      <c r="AU35" s="417"/>
      <c r="AV35" s="417"/>
      <c r="AW35" s="417"/>
      <c r="AX35" s="417"/>
      <c r="AY35" s="422" t="str">
        <f>IF(AX35="PT",VLOOKUP(M35,'Foundation Calculation'!$L$2:$R$37,VLOOKUP(AW35,'Foundation Calculation'!$I$2:$J$8,2,FALSE),0),IF(AX35="K",VLOOKUP(M35,'Foundation Calculation'!$L$41:$R$75,VLOOKUP(AW35,'Foundation Calculation'!$I$2:$J$8,2,FALSE),0),""))</f>
        <v/>
      </c>
      <c r="AZ35" s="422" t="s">
        <v>638</v>
      </c>
      <c r="BA35" s="604"/>
      <c r="BB35" s="420"/>
      <c r="BC35" s="169"/>
      <c r="BD35" s="1330"/>
      <c r="BE35" s="1330"/>
      <c r="BF35" s="1330"/>
      <c r="BG35" s="1330"/>
    </row>
    <row r="36" spans="1:59" ht="25">
      <c r="A36" s="420"/>
      <c r="B36" s="415" t="s">
        <v>2666</v>
      </c>
      <c r="C36" s="416">
        <f>+$C$34+$G$35+0.7</f>
        <v>93315.950000000012</v>
      </c>
      <c r="D36" s="418"/>
      <c r="E36" s="418"/>
      <c r="F36" s="420">
        <v>-1000</v>
      </c>
      <c r="G36" s="422"/>
      <c r="H36" s="420"/>
      <c r="I36" s="420"/>
      <c r="J36" s="416"/>
      <c r="K36" s="417"/>
      <c r="L36" s="415" t="s">
        <v>1451</v>
      </c>
      <c r="M36" s="415" t="s">
        <v>2811</v>
      </c>
      <c r="N36" s="415" t="s">
        <v>2794</v>
      </c>
      <c r="O36" s="420"/>
      <c r="P36" s="417"/>
      <c r="Q36" s="417">
        <v>0</v>
      </c>
      <c r="R36" s="417">
        <v>-1000.18</v>
      </c>
      <c r="S36" s="422"/>
      <c r="T36" s="417">
        <v>-30</v>
      </c>
      <c r="U36" s="417"/>
      <c r="V36" s="417"/>
      <c r="W36" s="417">
        <v>0.8</v>
      </c>
      <c r="X36" s="417"/>
      <c r="Y36" s="417"/>
      <c r="Z36" s="417"/>
      <c r="AA36" s="417"/>
      <c r="AB36" s="417"/>
      <c r="AC36" s="420" t="s">
        <v>4987</v>
      </c>
      <c r="AD36" s="420"/>
      <c r="AE36" s="420"/>
      <c r="AF36" s="420">
        <v>100</v>
      </c>
      <c r="AG36" s="416">
        <v>93315.38</v>
      </c>
      <c r="AH36" s="417">
        <v>953</v>
      </c>
      <c r="AI36" s="607">
        <v>-5360</v>
      </c>
      <c r="AJ36" s="417"/>
      <c r="AK36" s="420" t="s">
        <v>139</v>
      </c>
      <c r="AL36" s="417" t="s">
        <v>2143</v>
      </c>
      <c r="AM36" s="417"/>
      <c r="AN36" s="444">
        <v>5.15</v>
      </c>
      <c r="AO36" s="420"/>
      <c r="AP36" s="420"/>
      <c r="AQ36" s="422"/>
      <c r="AR36" s="422"/>
      <c r="AS36" s="422"/>
      <c r="AT36" s="422">
        <f>+ab($T$36,-$T$34,$T$38,$G$35,$G$37,-1*$F$36,1200)</f>
        <v>7.2397300681538157</v>
      </c>
      <c r="AU36" s="417"/>
      <c r="AV36" s="417"/>
      <c r="AW36" s="645" t="s">
        <v>4961</v>
      </c>
      <c r="AX36" s="417"/>
      <c r="AY36" s="422" t="str">
        <f>IF(AX36="PT",VLOOKUP(M36,'Foundation Calculation'!$L$2:$R$37,VLOOKUP(AW36,'Foundation Calculation'!$I$2:$J$8,2,FALSE),0),IF(AX36="K",VLOOKUP(M36,'Foundation Calculation'!$L$41:$R$75,VLOOKUP(AW36,'Foundation Calculation'!$I$2:$J$8,2,FALSE),0),""))</f>
        <v/>
      </c>
      <c r="AZ36" s="422" t="s">
        <v>638</v>
      </c>
      <c r="BA36" s="604" t="s">
        <v>2809</v>
      </c>
      <c r="BB36" s="420" t="str">
        <f>Pole_Calculations!A178</f>
        <v>App.8-V08F-P10.3</v>
      </c>
      <c r="BC36" s="169" t="s">
        <v>4954</v>
      </c>
      <c r="BD36" s="1329"/>
      <c r="BE36" s="1329"/>
      <c r="BF36" s="1329"/>
      <c r="BG36" s="1329">
        <v>43893</v>
      </c>
    </row>
    <row r="37" spans="1:59" ht="15.75" customHeight="1">
      <c r="A37" s="420"/>
      <c r="B37" s="415"/>
      <c r="C37" s="416"/>
      <c r="D37" s="418"/>
      <c r="E37" s="418"/>
      <c r="F37" s="420"/>
      <c r="G37" s="422">
        <v>28</v>
      </c>
      <c r="H37" s="417"/>
      <c r="I37" s="420"/>
      <c r="J37" s="416"/>
      <c r="K37" s="417"/>
      <c r="L37" s="417"/>
      <c r="M37" s="417"/>
      <c r="N37" s="420"/>
      <c r="O37" s="417"/>
      <c r="P37" s="417"/>
      <c r="Q37" s="417"/>
      <c r="R37" s="417"/>
      <c r="S37" s="422">
        <f t="shared" ref="S37" si="14">AG38-AG36</f>
        <v>27.929999999993015</v>
      </c>
      <c r="T37" s="417"/>
      <c r="U37" s="417"/>
      <c r="V37" s="417"/>
      <c r="W37" s="417"/>
      <c r="X37" s="417"/>
      <c r="Y37" s="417"/>
      <c r="Z37" s="417"/>
      <c r="AA37" s="417"/>
      <c r="AB37" s="417"/>
      <c r="AC37" s="420"/>
      <c r="AD37" s="417"/>
      <c r="AE37" s="417"/>
      <c r="AF37" s="417"/>
      <c r="AG37" s="416"/>
      <c r="AH37" s="417"/>
      <c r="AI37" s="607"/>
      <c r="AJ37" s="417"/>
      <c r="AK37" s="420"/>
      <c r="AL37" s="417"/>
      <c r="AM37" s="417"/>
      <c r="AN37" s="444"/>
      <c r="AO37" s="420"/>
      <c r="AP37" s="420"/>
      <c r="AQ37" s="422">
        <f>+FL_2($T$38,$T$36,$G$37,1200,9.28,-1*$F$38)</f>
        <v>-0.44969050203708583</v>
      </c>
      <c r="AR37" s="422"/>
      <c r="AS37" s="422"/>
      <c r="AT37" s="422"/>
      <c r="AU37" s="417"/>
      <c r="AV37" s="417"/>
      <c r="AW37" s="417"/>
      <c r="AX37" s="417"/>
      <c r="AY37" s="422" t="str">
        <f>IF(AX37="PT",VLOOKUP(M37,'Foundation Calculation'!$L$2:$R$37,VLOOKUP(AW37,'Foundation Calculation'!$I$2:$J$8,2,FALSE),0),IF(AX37="K",VLOOKUP(M37,'Foundation Calculation'!$L$41:$R$75,VLOOKUP(AW37,'Foundation Calculation'!$I$2:$J$8,2,FALSE),0),""))</f>
        <v/>
      </c>
      <c r="AZ37" s="422" t="s">
        <v>638</v>
      </c>
      <c r="BA37" s="604"/>
      <c r="BB37" s="420"/>
      <c r="BC37" s="169"/>
      <c r="BD37" s="1330"/>
      <c r="BE37" s="1330"/>
      <c r="BF37" s="1330"/>
      <c r="BG37" s="1330"/>
    </row>
    <row r="38" spans="1:59" ht="15.75" customHeight="1">
      <c r="A38" s="420"/>
      <c r="B38" s="415" t="s">
        <v>2667</v>
      </c>
      <c r="C38" s="416">
        <f>+$C$36+$G$37</f>
        <v>93343.950000000012</v>
      </c>
      <c r="D38" s="418"/>
      <c r="E38" s="418"/>
      <c r="F38" s="420">
        <v>-1000</v>
      </c>
      <c r="G38" s="422"/>
      <c r="H38" s="417"/>
      <c r="I38" s="433"/>
      <c r="J38" s="416"/>
      <c r="K38" s="417"/>
      <c r="L38" s="415" t="s">
        <v>2670</v>
      </c>
      <c r="M38" s="417"/>
      <c r="N38" s="420" t="s">
        <v>2789</v>
      </c>
      <c r="O38" s="420"/>
      <c r="P38" s="417"/>
      <c r="Q38" s="417">
        <v>0</v>
      </c>
      <c r="R38" s="417">
        <v>-1000.18</v>
      </c>
      <c r="S38" s="422"/>
      <c r="T38" s="417">
        <v>-25</v>
      </c>
      <c r="U38" s="417"/>
      <c r="V38" s="417"/>
      <c r="W38" s="417">
        <v>1</v>
      </c>
      <c r="X38" s="417"/>
      <c r="Y38" s="417"/>
      <c r="Z38" s="417"/>
      <c r="AA38" s="417"/>
      <c r="AB38" s="417"/>
      <c r="AC38" s="420" t="s">
        <v>4090</v>
      </c>
      <c r="AD38" s="417"/>
      <c r="AE38" s="417"/>
      <c r="AF38" s="417">
        <v>5200</v>
      </c>
      <c r="AG38" s="416">
        <v>93343.31</v>
      </c>
      <c r="AH38" s="417">
        <v>2443</v>
      </c>
      <c r="AI38" s="607">
        <v>20</v>
      </c>
      <c r="AJ38" s="417"/>
      <c r="AK38" s="420"/>
      <c r="AL38" s="417"/>
      <c r="AM38" s="417"/>
      <c r="AN38" s="444">
        <v>5.15</v>
      </c>
      <c r="AO38" s="420"/>
      <c r="AP38" s="420"/>
      <c r="AQ38" s="422"/>
      <c r="AR38" s="422"/>
      <c r="AS38" s="422"/>
      <c r="AT38" s="422">
        <f>+ab($T$38,$T$36,$T$40,$G$37,$G$39,-1*$F$38,1200)</f>
        <v>9.0192799096239664</v>
      </c>
      <c r="AU38" s="417"/>
      <c r="AV38" s="417"/>
      <c r="AW38" s="417"/>
      <c r="AX38" s="417"/>
      <c r="AY38" s="422" t="str">
        <f>IF(AX38="PT",VLOOKUP(M38,'Foundation Calculation'!$L$2:$R$37,VLOOKUP(AW38,'Foundation Calculation'!$I$2:$J$8,2,FALSE),0),IF(AX38="K",VLOOKUP(M38,'Foundation Calculation'!$L$41:$R$75,VLOOKUP(AW38,'Foundation Calculation'!$I$2:$J$8,2,FALSE),0),""))</f>
        <v/>
      </c>
      <c r="AZ38" s="422" t="s">
        <v>638</v>
      </c>
      <c r="BA38" s="604"/>
      <c r="BB38" s="420"/>
      <c r="BC38" s="169"/>
      <c r="BD38" s="1330"/>
      <c r="BE38" s="1330"/>
      <c r="BF38" s="1330"/>
      <c r="BG38" s="1329">
        <v>43870</v>
      </c>
    </row>
    <row r="39" spans="1:59" ht="15.75" customHeight="1">
      <c r="A39" s="1239"/>
      <c r="B39" s="445"/>
      <c r="C39" s="446"/>
      <c r="D39" s="447"/>
      <c r="E39" s="447"/>
      <c r="F39" s="1239"/>
      <c r="G39" s="484">
        <v>32.299999999999997</v>
      </c>
      <c r="H39" s="638"/>
      <c r="I39" s="1239"/>
      <c r="J39" s="446"/>
      <c r="K39" s="638"/>
      <c r="L39" s="638"/>
      <c r="M39" s="638"/>
      <c r="N39" s="1239"/>
      <c r="O39" s="1239"/>
      <c r="P39" s="638"/>
      <c r="Q39" s="638"/>
      <c r="R39" s="638"/>
      <c r="S39" s="484">
        <f t="shared" ref="S39:S41" si="15">AG40-AG38</f>
        <v>32.350000000005821</v>
      </c>
      <c r="T39" s="638"/>
      <c r="U39" s="638"/>
      <c r="V39" s="638"/>
      <c r="W39" s="638"/>
      <c r="X39" s="638"/>
      <c r="Y39" s="638"/>
      <c r="Z39" s="638"/>
      <c r="AA39" s="638"/>
      <c r="AB39" s="638"/>
      <c r="AC39" s="1239"/>
      <c r="AD39" s="638"/>
      <c r="AE39" s="638"/>
      <c r="AF39" s="638"/>
      <c r="AG39" s="446"/>
      <c r="AH39" s="638"/>
      <c r="AI39" s="185"/>
      <c r="AJ39" s="638"/>
      <c r="AK39" s="1239"/>
      <c r="AL39" s="638"/>
      <c r="AM39" s="638"/>
      <c r="AN39" s="455"/>
      <c r="AO39" s="1239"/>
      <c r="AP39" s="1239"/>
      <c r="AQ39" s="484">
        <f>+FL_2($T$40,$T$38,$G$39,1200,9.28,-1*$F$40)</f>
        <v>-0.25176754017750252</v>
      </c>
      <c r="AR39" s="484"/>
      <c r="AS39" s="484"/>
      <c r="AT39" s="484"/>
      <c r="AU39" s="638"/>
      <c r="AV39" s="638"/>
      <c r="AW39" s="638"/>
      <c r="AX39" s="638"/>
      <c r="AY39" s="484" t="str">
        <f>IF(AX39="PT",VLOOKUP(M39,'Foundation Calculation'!$L$2:$R$37,VLOOKUP(AW39,'Foundation Calculation'!$I$2:$J$8,2,FALSE),0),IF(AX39="K",VLOOKUP(M39,'Foundation Calculation'!$L$41:$R$75,VLOOKUP(AW39,'Foundation Calculation'!$I$2:$J$8,2,FALSE),0),""))</f>
        <v/>
      </c>
      <c r="AZ39" s="484" t="s">
        <v>638</v>
      </c>
      <c r="BA39" s="671"/>
      <c r="BB39" s="1239"/>
      <c r="BC39" s="169"/>
      <c r="BD39" s="1330"/>
      <c r="BE39" s="1330"/>
      <c r="BF39" s="1330"/>
      <c r="BG39" s="1330"/>
    </row>
    <row r="40" spans="1:59" ht="15.75" customHeight="1">
      <c r="A40" s="1239" t="s">
        <v>2940</v>
      </c>
      <c r="B40" s="445" t="s">
        <v>2668</v>
      </c>
      <c r="C40" s="446">
        <f>+$C$38+$G$39</f>
        <v>93376.250000000015</v>
      </c>
      <c r="D40" s="447"/>
      <c r="E40" s="447"/>
      <c r="F40" s="1239">
        <v>0</v>
      </c>
      <c r="G40" s="484"/>
      <c r="H40" s="638"/>
      <c r="I40" s="172"/>
      <c r="J40" s="446"/>
      <c r="K40" s="638"/>
      <c r="L40" s="445" t="s">
        <v>2670</v>
      </c>
      <c r="M40" s="638"/>
      <c r="N40" s="1239" t="s">
        <v>144</v>
      </c>
      <c r="O40" s="1239"/>
      <c r="P40" s="638"/>
      <c r="Q40" s="638">
        <v>0</v>
      </c>
      <c r="R40" s="638">
        <v>0</v>
      </c>
      <c r="S40" s="484"/>
      <c r="T40" s="638">
        <v>10</v>
      </c>
      <c r="U40" s="638"/>
      <c r="V40" s="638"/>
      <c r="W40" s="638">
        <v>1</v>
      </c>
      <c r="X40" s="638"/>
      <c r="Y40" s="638"/>
      <c r="Z40" s="638"/>
      <c r="AA40" s="638"/>
      <c r="AB40" s="638"/>
      <c r="AC40" s="1239" t="s">
        <v>1421</v>
      </c>
      <c r="AD40" s="638"/>
      <c r="AE40" s="638"/>
      <c r="AF40" s="638">
        <v>5200</v>
      </c>
      <c r="AG40" s="446">
        <v>93375.66</v>
      </c>
      <c r="AH40" s="638">
        <v>2693</v>
      </c>
      <c r="AI40" s="185">
        <v>90</v>
      </c>
      <c r="AJ40" s="638" t="s">
        <v>877</v>
      </c>
      <c r="AK40" s="1239"/>
      <c r="AL40" s="638"/>
      <c r="AM40" s="638"/>
      <c r="AN40" s="455">
        <v>5.15</v>
      </c>
      <c r="AO40" s="1239"/>
      <c r="AP40" s="1239"/>
      <c r="AQ40" s="484"/>
      <c r="AR40" s="484"/>
      <c r="AS40" s="484"/>
      <c r="AT40" s="484">
        <f>+ab($T$40,$T$38,$T$42,$G$39,-$G$41,-1*$F$40,1200)</f>
        <v>12.235450447287262</v>
      </c>
      <c r="AU40" s="638"/>
      <c r="AV40" s="638"/>
      <c r="AW40" s="638"/>
      <c r="AX40" s="638"/>
      <c r="AY40" s="484" t="str">
        <f>IF(AX40="PT",VLOOKUP(M40,'Foundation Calculation'!$L$2:$R$37,VLOOKUP(AW40,'Foundation Calculation'!$I$2:$J$8,2,FALSE),0),IF(AX40="K",VLOOKUP(M40,'Foundation Calculation'!$L$41:$R$75,VLOOKUP(AW40,'Foundation Calculation'!$I$2:$J$8,2,FALSE),0),""))</f>
        <v/>
      </c>
      <c r="AZ40" s="484" t="s">
        <v>638</v>
      </c>
      <c r="BA40" s="671"/>
      <c r="BB40" s="1239"/>
      <c r="BC40" s="169"/>
      <c r="BD40" s="1330"/>
      <c r="BE40" s="1330"/>
      <c r="BF40" s="1330"/>
      <c r="BG40" s="1329">
        <v>43870</v>
      </c>
    </row>
    <row r="41" spans="1:59" ht="15.75" customHeight="1">
      <c r="A41" s="1239"/>
      <c r="B41" s="445"/>
      <c r="C41" s="446"/>
      <c r="D41" s="447"/>
      <c r="E41" s="447"/>
      <c r="F41" s="1239"/>
      <c r="G41" s="484">
        <v>43.4</v>
      </c>
      <c r="H41" s="638"/>
      <c r="I41" s="638"/>
      <c r="J41" s="446"/>
      <c r="K41" s="638"/>
      <c r="L41" s="638"/>
      <c r="M41" s="638"/>
      <c r="N41" s="1239"/>
      <c r="O41" s="1239"/>
      <c r="P41" s="638"/>
      <c r="Q41" s="638"/>
      <c r="R41" s="638"/>
      <c r="S41" s="484">
        <f t="shared" si="15"/>
        <v>44.259999999994761</v>
      </c>
      <c r="T41" s="638"/>
      <c r="U41" s="638"/>
      <c r="V41" s="638"/>
      <c r="W41" s="638"/>
      <c r="X41" s="638"/>
      <c r="Y41" s="638"/>
      <c r="Z41" s="638"/>
      <c r="AA41" s="638"/>
      <c r="AB41" s="638"/>
      <c r="AC41" s="638"/>
      <c r="AD41" s="638"/>
      <c r="AE41" s="638"/>
      <c r="AF41" s="638"/>
      <c r="AG41" s="446"/>
      <c r="AH41" s="638"/>
      <c r="AI41" s="185"/>
      <c r="AJ41" s="638" t="s">
        <v>864</v>
      </c>
      <c r="AK41" s="1239"/>
      <c r="AL41" s="638"/>
      <c r="AM41" s="638"/>
      <c r="AN41" s="455"/>
      <c r="AO41" s="1239"/>
      <c r="AP41" s="1239"/>
      <c r="AQ41" s="484">
        <f>+FL_1($T$42,$T$40,$G$41,1200,9.28,-1*$F$42)</f>
        <v>0.39580788578801845</v>
      </c>
      <c r="AR41" s="484"/>
      <c r="AS41" s="484"/>
      <c r="AT41" s="484"/>
      <c r="AU41" s="638"/>
      <c r="AV41" s="638"/>
      <c r="AW41" s="638"/>
      <c r="AX41" s="638"/>
      <c r="AY41" s="484" t="str">
        <f>IF(AX41="PT",VLOOKUP(M41,'Foundation Calculation'!$L$2:$R$37,VLOOKUP(AW41,'Foundation Calculation'!$I$2:$J$8,2,FALSE),0),IF(AX41="K",VLOOKUP(M41,'Foundation Calculation'!$L$41:$R$75,VLOOKUP(AW41,'Foundation Calculation'!$I$2:$J$8,2,FALSE),0),""))</f>
        <v/>
      </c>
      <c r="AZ41" s="484" t="s">
        <v>638</v>
      </c>
      <c r="BA41" s="671"/>
      <c r="BB41" s="1239"/>
      <c r="BC41" s="169"/>
      <c r="BD41" s="1330"/>
      <c r="BE41" s="1330"/>
      <c r="BF41" s="1330"/>
      <c r="BG41" s="1330"/>
    </row>
    <row r="42" spans="1:59" ht="15.75" customHeight="1">
      <c r="A42" s="501" t="str">
        <f>'HR Track 6 TSA'!A47</f>
        <v>TSA-BF07</v>
      </c>
      <c r="B42" s="716" t="str">
        <f>'HR Track 6 TSA'!B47</f>
        <v>93-6.10</v>
      </c>
      <c r="C42" s="451">
        <f>'HR Track 6 TSA'!C47</f>
        <v>93416.35</v>
      </c>
      <c r="D42" s="453">
        <f>'HR Track 6 TSA'!D47</f>
        <v>0</v>
      </c>
      <c r="E42" s="452">
        <f>'HR Track 6 TSA'!E47</f>
        <v>0</v>
      </c>
      <c r="F42" s="453">
        <f>'HR Track 6 TSA'!F47</f>
        <v>0</v>
      </c>
      <c r="G42" s="500">
        <f>'HR Track 6 TSA'!G47</f>
        <v>0</v>
      </c>
      <c r="H42" s="453" t="str">
        <f>'HR Track 6 TSA'!H47</f>
        <v>P21(CS)</v>
      </c>
      <c r="I42" s="501">
        <f>'HR Track 6 TSA'!I47</f>
        <v>0</v>
      </c>
      <c r="J42" s="583">
        <f>'HR Track 6 TSA'!J47</f>
        <v>0</v>
      </c>
      <c r="K42" s="452">
        <f>'HR Track 6 TSA'!K47</f>
        <v>0</v>
      </c>
      <c r="L42" s="452" t="str">
        <f>'HR Track 6 TSA'!L47</f>
        <v>2HEB-240</v>
      </c>
      <c r="M42" s="452" t="str">
        <f>'HR Track 6 TSA'!M47</f>
        <v>2WT3</v>
      </c>
      <c r="N42" s="501" t="str">
        <f>'HR Track 6 TSA'!N47</f>
        <v>EMT-2RH</v>
      </c>
      <c r="O42" s="501" t="str">
        <f>'HR Track 6 TSA'!O47</f>
        <v>EMT-1RH</v>
      </c>
      <c r="P42" s="501">
        <f>'HR Track 6 TSA'!P47</f>
        <v>0</v>
      </c>
      <c r="Q42" s="452">
        <f>'HR Track 6 TSA'!Q47</f>
        <v>0</v>
      </c>
      <c r="R42" s="452">
        <f>'HR Track 6 TSA'!R47</f>
        <v>610</v>
      </c>
      <c r="S42" s="500">
        <f>'HR Track 6 TSA'!S47</f>
        <v>0</v>
      </c>
      <c r="T42" s="452">
        <f>'HR Track 6 TSA'!T47</f>
        <v>30</v>
      </c>
      <c r="U42" s="452">
        <f>'HR Track 6 TSA'!U47</f>
        <v>15</v>
      </c>
      <c r="V42" s="452">
        <f>'HR Track 6 TSA'!V47</f>
        <v>0</v>
      </c>
      <c r="W42" s="452">
        <f>'HR Track 6 TSA'!W47</f>
        <v>0.65</v>
      </c>
      <c r="X42" s="452">
        <f>'HR Track 6 TSA'!X47</f>
        <v>0.65</v>
      </c>
      <c r="Y42" s="452">
        <f>'HR Track 6 TSA'!Y47</f>
        <v>0</v>
      </c>
      <c r="Z42" s="452">
        <f>'HR Track 6 TSA'!Z47</f>
        <v>0</v>
      </c>
      <c r="AA42" s="452">
        <f>'HR Track 6 TSA'!AA47</f>
        <v>0</v>
      </c>
      <c r="AB42" s="452">
        <f>'HR Track 6 TSA'!AB47</f>
        <v>0</v>
      </c>
      <c r="AC42" s="452" t="str">
        <f>'HR Track 6 TSA'!AC47</f>
        <v>PH-950</v>
      </c>
      <c r="AD42" s="452" t="str">
        <f>'HR Track 6 TSA'!AD47</f>
        <v>BTC-1651</v>
      </c>
      <c r="AE42" s="452">
        <f>'HR Track 6 TSA'!AE47</f>
        <v>0</v>
      </c>
      <c r="AF42" s="452">
        <f>'HR Track 6 TSA'!AF47</f>
        <v>3700</v>
      </c>
      <c r="AG42" s="451">
        <f>'HR Track 6 TSA'!AG47</f>
        <v>93419.92</v>
      </c>
      <c r="AH42" s="452">
        <f>'HR Track 6 TSA'!AH47</f>
        <v>2383</v>
      </c>
      <c r="AI42" s="452">
        <f>'HR Track 6 TSA'!AI47</f>
        <v>-1870</v>
      </c>
      <c r="AJ42" s="452" t="str">
        <f>'HR Track 6 TSA'!AJ47</f>
        <v>FS-1</v>
      </c>
      <c r="AK42" s="452">
        <f>'HR Track 6 TSA'!AK47</f>
        <v>0</v>
      </c>
      <c r="AL42" s="452">
        <f>'HR Track 6 TSA'!AL47</f>
        <v>0</v>
      </c>
      <c r="AM42" s="452">
        <f>'HR Track 6 TSA'!AM47</f>
        <v>0</v>
      </c>
      <c r="AN42" s="500">
        <f>'HR Track 6 TSA'!AN47</f>
        <v>5.15</v>
      </c>
      <c r="AO42" s="452">
        <f>'HR Track 6 TSA'!AO47</f>
        <v>0</v>
      </c>
      <c r="AP42" s="452">
        <f>'HR Track 6 TSA'!AP47</f>
        <v>0</v>
      </c>
      <c r="AQ42" s="452">
        <f>'HR Track 6 TSA'!AQ47</f>
        <v>0</v>
      </c>
      <c r="AR42" s="452">
        <f>'HR Track 6 TSA'!AR47</f>
        <v>0</v>
      </c>
      <c r="AS42" s="452">
        <f>'HR Track 6 TSA'!AS47</f>
        <v>0</v>
      </c>
      <c r="AT42" s="452">
        <f>'HR Track 6 TSA'!AT47</f>
        <v>15.043830572335018</v>
      </c>
      <c r="AU42" s="452">
        <f>'HR Track 6 TSA'!AU47</f>
        <v>0</v>
      </c>
      <c r="AV42" s="452">
        <f>'HR Track 6 TSA'!AV47</f>
        <v>0</v>
      </c>
      <c r="AW42" s="452" t="str">
        <f>'HR Track 6 TSA'!AW47</f>
        <v>DW6930</v>
      </c>
      <c r="AX42" s="452">
        <f>'HR Track 6 TSA'!AX47</f>
        <v>0</v>
      </c>
      <c r="AY42" s="500" t="str">
        <f>'HR Track 6 TSA'!AY47</f>
        <v/>
      </c>
      <c r="AZ42" s="500">
        <f>'HR Track 6 TSA'!AZ47</f>
        <v>0</v>
      </c>
      <c r="BA42" s="1333" t="str">
        <f>'HR Track 6 TSA'!BA47</f>
        <v>ü</v>
      </c>
      <c r="BB42" s="452" t="str">
        <f>'HR Track 6 TSA'!BB47</f>
        <v>App.7-V11A-P9.5.1.5</v>
      </c>
      <c r="BC42" s="1334">
        <f>'HR Track 6 TSA'!BC47</f>
        <v>0</v>
      </c>
      <c r="BD42" s="1335" t="str">
        <f>'HR Track 6 TSA'!BD47</f>
        <v>Ejecutado</v>
      </c>
      <c r="BE42" s="1335">
        <f>'HR Track 6 TSA'!BE47</f>
        <v>43813</v>
      </c>
      <c r="BF42" s="1335">
        <f>'HR Track 6 TSA'!BF47</f>
        <v>0</v>
      </c>
      <c r="BG42" s="1335">
        <f>'HR Track 6 TSA'!BG47</f>
        <v>43814</v>
      </c>
    </row>
    <row r="43" spans="1:59" ht="15.75" customHeight="1">
      <c r="A43" s="501">
        <f>'HR Track 6 TSA'!A48</f>
        <v>0</v>
      </c>
      <c r="B43" s="716">
        <f>'HR Track 6 TSA'!B48</f>
        <v>0</v>
      </c>
      <c r="C43" s="451">
        <f>'HR Track 6 TSA'!C48</f>
        <v>0</v>
      </c>
      <c r="D43" s="453">
        <f>'HR Track 6 TSA'!D48</f>
        <v>0</v>
      </c>
      <c r="E43" s="452">
        <f>'HR Track 6 TSA'!E48</f>
        <v>0</v>
      </c>
      <c r="F43" s="453">
        <f>'HR Track 6 TSA'!F48</f>
        <v>0</v>
      </c>
      <c r="G43" s="500">
        <f>'HR Track 6 TSA'!G48</f>
        <v>32.299999999999997</v>
      </c>
      <c r="H43" s="453">
        <f>'HR Track 6 TSA'!H48</f>
        <v>0</v>
      </c>
      <c r="I43" s="501">
        <f>'HR Track 6 TSA'!I48</f>
        <v>0</v>
      </c>
      <c r="J43" s="583">
        <f>'HR Track 6 TSA'!J48</f>
        <v>93443.85</v>
      </c>
      <c r="K43" s="452" t="str">
        <f>'HR Track 6 TSA'!K48</f>
        <v>AnM/WT</v>
      </c>
      <c r="L43" s="452">
        <f>'HR Track 6 TSA'!L48</f>
        <v>0</v>
      </c>
      <c r="M43" s="452">
        <f>'HR Track 6 TSA'!M48</f>
        <v>0</v>
      </c>
      <c r="N43" s="501">
        <f>'HR Track 6 TSA'!N48</f>
        <v>0</v>
      </c>
      <c r="O43" s="501">
        <f>'HR Track 6 TSA'!O48</f>
        <v>0</v>
      </c>
      <c r="P43" s="501">
        <f>'HR Track 6 TSA'!P48</f>
        <v>0</v>
      </c>
      <c r="Q43" s="452">
        <f>'HR Track 6 TSA'!Q48</f>
        <v>0</v>
      </c>
      <c r="R43" s="452">
        <f>'HR Track 6 TSA'!R48</f>
        <v>0</v>
      </c>
      <c r="S43" s="500">
        <f>'HR Track 6 TSA'!S48</f>
        <v>31.44999999999709</v>
      </c>
      <c r="T43" s="452">
        <f>'HR Track 6 TSA'!T48</f>
        <v>0</v>
      </c>
      <c r="U43" s="452">
        <f>'HR Track 6 TSA'!U48</f>
        <v>0</v>
      </c>
      <c r="V43" s="452">
        <f>'HR Track 6 TSA'!V48</f>
        <v>0</v>
      </c>
      <c r="W43" s="452">
        <f>'HR Track 6 TSA'!W48</f>
        <v>0</v>
      </c>
      <c r="X43" s="452">
        <f>'HR Track 6 TSA'!X48</f>
        <v>0</v>
      </c>
      <c r="Y43" s="452">
        <f>'HR Track 6 TSA'!Y48</f>
        <v>0</v>
      </c>
      <c r="Z43" s="452">
        <f>'HR Track 6 TSA'!Z48</f>
        <v>0</v>
      </c>
      <c r="AA43" s="452">
        <f>'HR Track 6 TSA'!AA48</f>
        <v>0</v>
      </c>
      <c r="AB43" s="452">
        <f>'HR Track 6 TSA'!AB48</f>
        <v>0</v>
      </c>
      <c r="AC43" s="452">
        <f>'HR Track 6 TSA'!AC48</f>
        <v>0</v>
      </c>
      <c r="AD43" s="452">
        <f>'HR Track 6 TSA'!AD48</f>
        <v>0</v>
      </c>
      <c r="AE43" s="452">
        <f>'HR Track 6 TSA'!AE48</f>
        <v>0</v>
      </c>
      <c r="AF43" s="452">
        <f>'HR Track 6 TSA'!AF48</f>
        <v>0</v>
      </c>
      <c r="AG43" s="451">
        <f>'HR Track 6 TSA'!AG48</f>
        <v>0</v>
      </c>
      <c r="AH43" s="452">
        <f>'HR Track 6 TSA'!AH48</f>
        <v>0</v>
      </c>
      <c r="AI43" s="452">
        <f>'HR Track 6 TSA'!AI48</f>
        <v>0</v>
      </c>
      <c r="AJ43" s="452" t="str">
        <f>'HR Track 6 TSA'!AJ48</f>
        <v>CurrentT</v>
      </c>
      <c r="AK43" s="452">
        <f>'HR Track 6 TSA'!AK48</f>
        <v>0</v>
      </c>
      <c r="AL43" s="452">
        <f>'HR Track 6 TSA'!AL48</f>
        <v>0</v>
      </c>
      <c r="AM43" s="452">
        <f>'HR Track 6 TSA'!AM48</f>
        <v>0</v>
      </c>
      <c r="AN43" s="500">
        <f>'HR Track 6 TSA'!AN48</f>
        <v>0</v>
      </c>
      <c r="AO43" s="452">
        <f>'HR Track 6 TSA'!AO48</f>
        <v>0</v>
      </c>
      <c r="AP43" s="452">
        <f>'HR Track 6 TSA'!AP48</f>
        <v>0</v>
      </c>
      <c r="AQ43" s="452">
        <f>'HR Track 6 TSA'!AQ48</f>
        <v>0.40085136666666665</v>
      </c>
      <c r="AR43" s="452">
        <f>'HR Track 6 TSA'!AR48</f>
        <v>0</v>
      </c>
      <c r="AS43" s="452">
        <f>'HR Track 6 TSA'!AS48</f>
        <v>0</v>
      </c>
      <c r="AT43" s="452">
        <f>'HR Track 6 TSA'!AT48</f>
        <v>0</v>
      </c>
      <c r="AU43" s="452">
        <f>'HR Track 6 TSA'!AU48</f>
        <v>0</v>
      </c>
      <c r="AV43" s="452">
        <f>'HR Track 6 TSA'!AV48</f>
        <v>0</v>
      </c>
      <c r="AW43" s="452" t="str">
        <f>'HR Track 6 TSA'!AW48</f>
        <v>DW6965</v>
      </c>
      <c r="AX43" s="452">
        <f>'HR Track 6 TSA'!AX48</f>
        <v>0</v>
      </c>
      <c r="AY43" s="500" t="str">
        <f>'HR Track 6 TSA'!AY48</f>
        <v/>
      </c>
      <c r="AZ43" s="500" t="str">
        <f>'HR Track 6 TSA'!AZ48</f>
        <v/>
      </c>
      <c r="BA43" s="1333" t="str">
        <f>'HR Track 6 TSA'!BA48</f>
        <v>ü</v>
      </c>
      <c r="BB43" s="452">
        <f>'HR Track 6 TSA'!BB48</f>
        <v>0</v>
      </c>
      <c r="BC43" s="1334">
        <f>'HR Track 6 TSA'!BC48</f>
        <v>0</v>
      </c>
      <c r="BD43" s="1335" t="str">
        <f>'HR Track 6 TSA'!BD48</f>
        <v>Ejecutado</v>
      </c>
      <c r="BE43" s="1335">
        <f>'HR Track 6 TSA'!BE48</f>
        <v>0</v>
      </c>
      <c r="BF43" s="1335">
        <f>'HR Track 6 TSA'!BF48</f>
        <v>0</v>
      </c>
      <c r="BG43" s="1335">
        <f>'HR Track 6 TSA'!BG48</f>
        <v>0</v>
      </c>
    </row>
    <row r="44" spans="1:59" ht="15.75" customHeight="1">
      <c r="A44" s="501">
        <f>'HR Track 6 TSA'!A49</f>
        <v>0</v>
      </c>
      <c r="B44" s="716" t="str">
        <f>'HR Track 6 TSA'!B49</f>
        <v>93-6.11</v>
      </c>
      <c r="C44" s="451">
        <f>'HR Track 6 TSA'!C49</f>
        <v>93451.35</v>
      </c>
      <c r="D44" s="453">
        <f>'HR Track 6 TSA'!D49</f>
        <v>0</v>
      </c>
      <c r="E44" s="452">
        <f>'HR Track 6 TSA'!E49</f>
        <v>0</v>
      </c>
      <c r="F44" s="453">
        <f>'HR Track 6 TSA'!F49</f>
        <v>0</v>
      </c>
      <c r="G44" s="500">
        <f>'HR Track 6 TSA'!G49</f>
        <v>0</v>
      </c>
      <c r="H44" s="453" t="str">
        <f>'HR Track 6 TSA'!H49</f>
        <v>S/A</v>
      </c>
      <c r="I44" s="501" t="str">
        <f>'HR Track 6 TSA'!I49</f>
        <v>AnRW AnRW</v>
      </c>
      <c r="J44" s="583">
        <f>'HR Track 6 TSA'!J49</f>
        <v>0</v>
      </c>
      <c r="K44" s="452">
        <f>'HR Track 6 TSA'!K49</f>
        <v>0</v>
      </c>
      <c r="L44" s="452" t="str">
        <f>'HR Track 6 TSA'!L49</f>
        <v>HEB-280L</v>
      </c>
      <c r="M44" s="452" t="str">
        <f>'HR Track 6 TSA'!M49</f>
        <v>Unique Solution</v>
      </c>
      <c r="N44" s="501" t="str">
        <f>'HR Track 6 TSA'!N49</f>
        <v>EMT-2</v>
      </c>
      <c r="O44" s="501" t="str">
        <f>'HR Track 6 TSA'!O49</f>
        <v>EMT-T</v>
      </c>
      <c r="P44" s="501">
        <f>'HR Track 6 TSA'!P49</f>
        <v>0</v>
      </c>
      <c r="Q44" s="452">
        <f>'HR Track 6 TSA'!Q49</f>
        <v>0</v>
      </c>
      <c r="R44" s="452">
        <f>'HR Track 6 TSA'!R49</f>
        <v>0</v>
      </c>
      <c r="S44" s="500">
        <f>'HR Track 6 TSA'!S49</f>
        <v>0</v>
      </c>
      <c r="T44" s="452">
        <f>'HR Track 6 TSA'!T49</f>
        <v>30</v>
      </c>
      <c r="U44" s="452">
        <f>'HR Track 6 TSA'!U49</f>
        <v>15</v>
      </c>
      <c r="V44" s="452">
        <f>'HR Track 6 TSA'!V49</f>
        <v>0</v>
      </c>
      <c r="W44" s="452">
        <f>'HR Track 6 TSA'!W49</f>
        <v>0.65</v>
      </c>
      <c r="X44" s="452">
        <f>'HR Track 6 TSA'!X49</f>
        <v>0.65</v>
      </c>
      <c r="Y44" s="452">
        <f>'HR Track 6 TSA'!Y49</f>
        <v>0</v>
      </c>
      <c r="Z44" s="452">
        <f>'HR Track 6 TSA'!Z49</f>
        <v>0</v>
      </c>
      <c r="AA44" s="452">
        <f>'HR Track 6 TSA'!AA49</f>
        <v>0.65</v>
      </c>
      <c r="AB44" s="452">
        <f>'HR Track 6 TSA'!AB49</f>
        <v>0</v>
      </c>
      <c r="AC44" s="452" t="str">
        <f>'HR Track 6 TSA'!AC49</f>
        <v>PHQ-950</v>
      </c>
      <c r="AD44" s="452">
        <f>'HR Track 6 TSA'!AD49</f>
        <v>0</v>
      </c>
      <c r="AE44" s="452">
        <f>'HR Track 6 TSA'!AE49</f>
        <v>0</v>
      </c>
      <c r="AF44" s="452">
        <f>'HR Track 6 TSA'!AF49</f>
        <v>4300</v>
      </c>
      <c r="AG44" s="451">
        <f>'HR Track 6 TSA'!AG49</f>
        <v>93451.37</v>
      </c>
      <c r="AH44" s="452">
        <f>'HR Track 6 TSA'!AH49</f>
        <v>2693</v>
      </c>
      <c r="AI44" s="452">
        <f>'HR Track 6 TSA'!AI49</f>
        <v>-660</v>
      </c>
      <c r="AJ44" s="452">
        <f>'HR Track 6 TSA'!AJ49</f>
        <v>0</v>
      </c>
      <c r="AK44" s="452">
        <f>'HR Track 6 TSA'!AK49</f>
        <v>0</v>
      </c>
      <c r="AL44" s="452" t="str">
        <f>'HR Track 6 TSA'!AL49</f>
        <v>PR1B</v>
      </c>
      <c r="AM44" s="452" t="str">
        <f>'HR Track 6 TSA'!AM49</f>
        <v>RW2</v>
      </c>
      <c r="AN44" s="500">
        <f>'HR Track 6 TSA'!AN49</f>
        <v>5.15</v>
      </c>
      <c r="AO44" s="452">
        <f>'HR Track 6 TSA'!AO49</f>
        <v>0</v>
      </c>
      <c r="AP44" s="452">
        <f>'HR Track 6 TSA'!AP49</f>
        <v>0</v>
      </c>
      <c r="AQ44" s="452">
        <f>'HR Track 6 TSA'!AQ49</f>
        <v>0</v>
      </c>
      <c r="AR44" s="452">
        <f>'HR Track 6 TSA'!AR49</f>
        <v>0</v>
      </c>
      <c r="AS44" s="452">
        <f>'HR Track 6 TSA'!AS49</f>
        <v>0</v>
      </c>
      <c r="AT44" s="452">
        <f>'HR Track 6 TSA'!AT49</f>
        <v>12.799433438546533</v>
      </c>
      <c r="AU44" s="452">
        <f>'HR Track 6 TSA'!AU49</f>
        <v>0</v>
      </c>
      <c r="AV44" s="452">
        <f>'HR Track 6 TSA'!AV49</f>
        <v>0</v>
      </c>
      <c r="AW44" s="452" t="str">
        <f>'HR Track 6 TSA'!AW49</f>
        <v>DW6928</v>
      </c>
      <c r="AX44" s="452">
        <f>'HR Track 6 TSA'!AX49</f>
        <v>0</v>
      </c>
      <c r="AY44" s="500" t="str">
        <f>'HR Track 6 TSA'!AY49</f>
        <v/>
      </c>
      <c r="AZ44" s="500" t="str">
        <f>'HR Track 6 TSA'!AZ49</f>
        <v/>
      </c>
      <c r="BA44" s="1333" t="str">
        <f>'HR Track 6 TSA'!BA49</f>
        <v>ü</v>
      </c>
      <c r="BB44" s="452" t="str">
        <f>'HR Track 6 TSA'!BB49</f>
        <v>App.8-V08F-P10.3</v>
      </c>
      <c r="BC44" s="1334">
        <f>'HR Track 6 TSA'!BC49</f>
        <v>0</v>
      </c>
      <c r="BD44" s="1335">
        <f>'HR Track 6 TSA'!BD49</f>
        <v>43809</v>
      </c>
      <c r="BE44" s="1335">
        <f>'HR Track 6 TSA'!BE49</f>
        <v>43814</v>
      </c>
      <c r="BF44" s="1335">
        <f>'HR Track 6 TSA'!BF49</f>
        <v>43853</v>
      </c>
      <c r="BG44" s="1335">
        <f>'HR Track 6 TSA'!BG49</f>
        <v>43838</v>
      </c>
    </row>
    <row r="45" spans="1:59" ht="15.75" customHeight="1">
      <c r="A45" s="501">
        <f>'HR Track 6 TSA'!A50</f>
        <v>0</v>
      </c>
      <c r="B45" s="716">
        <f>'HR Track 6 TSA'!B50</f>
        <v>0</v>
      </c>
      <c r="C45" s="451">
        <f>'HR Track 6 TSA'!C50</f>
        <v>0</v>
      </c>
      <c r="D45" s="453">
        <f>'HR Track 6 TSA'!D50</f>
        <v>0</v>
      </c>
      <c r="E45" s="452">
        <f>'HR Track 6 TSA'!E50</f>
        <v>0</v>
      </c>
      <c r="F45" s="453">
        <f>'HR Track 6 TSA'!F50</f>
        <v>0</v>
      </c>
      <c r="G45" s="500">
        <f>'HR Track 6 TSA'!G50</f>
        <v>40.700000000000003</v>
      </c>
      <c r="H45" s="453">
        <f>'HR Track 6 TSA'!H50</f>
        <v>0</v>
      </c>
      <c r="I45" s="501">
        <f>'HR Track 6 TSA'!I50</f>
        <v>0</v>
      </c>
      <c r="J45" s="583">
        <f>'HR Track 6 TSA'!J50</f>
        <v>93458.85</v>
      </c>
      <c r="K45" s="452" t="str">
        <f>'HR Track 6 TSA'!K50</f>
        <v>AnM/W</v>
      </c>
      <c r="L45" s="452">
        <f>'HR Track 6 TSA'!L50</f>
        <v>0</v>
      </c>
      <c r="M45" s="452">
        <f>'HR Track 6 TSA'!M50</f>
        <v>0</v>
      </c>
      <c r="N45" s="501">
        <f>'HR Track 6 TSA'!N50</f>
        <v>0</v>
      </c>
      <c r="O45" s="501">
        <f>'HR Track 6 TSA'!O50</f>
        <v>0</v>
      </c>
      <c r="P45" s="501">
        <f>'HR Track 6 TSA'!P50</f>
        <v>0</v>
      </c>
      <c r="Q45" s="452">
        <f>'HR Track 6 TSA'!Q50</f>
        <v>0</v>
      </c>
      <c r="R45" s="452">
        <f>'HR Track 6 TSA'!R50</f>
        <v>0</v>
      </c>
      <c r="S45" s="500">
        <f>'HR Track 6 TSA'!S50</f>
        <v>42.200000000011642</v>
      </c>
      <c r="T45" s="452">
        <f>'HR Track 6 TSA'!T50</f>
        <v>0</v>
      </c>
      <c r="U45" s="452">
        <f>'HR Track 6 TSA'!U50</f>
        <v>0</v>
      </c>
      <c r="V45" s="452">
        <f>'HR Track 6 TSA'!V50</f>
        <v>0</v>
      </c>
      <c r="W45" s="452">
        <f>'HR Track 6 TSA'!W50</f>
        <v>0</v>
      </c>
      <c r="X45" s="452">
        <f>'HR Track 6 TSA'!X50</f>
        <v>0</v>
      </c>
      <c r="Y45" s="452">
        <f>'HR Track 6 TSA'!Y50</f>
        <v>0</v>
      </c>
      <c r="Z45" s="452">
        <f>'HR Track 6 TSA'!Z50</f>
        <v>0</v>
      </c>
      <c r="AA45" s="452">
        <f>'HR Track 6 TSA'!AA50</f>
        <v>0</v>
      </c>
      <c r="AB45" s="452">
        <f>'HR Track 6 TSA'!AB50</f>
        <v>0</v>
      </c>
      <c r="AC45" s="452">
        <f>'HR Track 6 TSA'!AC50</f>
        <v>0</v>
      </c>
      <c r="AD45" s="452">
        <f>'HR Track 6 TSA'!AD50</f>
        <v>0</v>
      </c>
      <c r="AE45" s="452">
        <f>'HR Track 6 TSA'!AE50</f>
        <v>0</v>
      </c>
      <c r="AF45" s="452">
        <f>'HR Track 6 TSA'!AF50</f>
        <v>0</v>
      </c>
      <c r="AG45" s="451">
        <f>'HR Track 6 TSA'!AG50</f>
        <v>0</v>
      </c>
      <c r="AH45" s="452">
        <f>'HR Track 6 TSA'!AH50</f>
        <v>0</v>
      </c>
      <c r="AI45" s="452">
        <f>'HR Track 6 TSA'!AI50</f>
        <v>0</v>
      </c>
      <c r="AJ45" s="452">
        <f>'HR Track 6 TSA'!AJ50</f>
        <v>0</v>
      </c>
      <c r="AK45" s="452">
        <f>'HR Track 6 TSA'!AK50</f>
        <v>0</v>
      </c>
      <c r="AL45" s="452">
        <f>'HR Track 6 TSA'!AL50</f>
        <v>0</v>
      </c>
      <c r="AM45" s="452">
        <f>'HR Track 6 TSA'!AM50</f>
        <v>0</v>
      </c>
      <c r="AN45" s="500">
        <f>'HR Track 6 TSA'!AN50</f>
        <v>0</v>
      </c>
      <c r="AO45" s="452">
        <f>'HR Track 6 TSA'!AO50</f>
        <v>0</v>
      </c>
      <c r="AP45" s="452">
        <f>'HR Track 6 TSA'!AP50</f>
        <v>0</v>
      </c>
      <c r="AQ45" s="452">
        <f>'HR Track 6 TSA'!AQ50</f>
        <v>0.45413795290359743</v>
      </c>
      <c r="AR45" s="452">
        <f>'HR Track 6 TSA'!AR50</f>
        <v>0</v>
      </c>
      <c r="AS45" s="452">
        <f>'HR Track 6 TSA'!AS50</f>
        <v>0</v>
      </c>
      <c r="AT45" s="452">
        <f>'HR Track 6 TSA'!AT50</f>
        <v>0</v>
      </c>
      <c r="AU45" s="452">
        <f>'HR Track 6 TSA'!AU50</f>
        <v>0</v>
      </c>
      <c r="AV45" s="452">
        <f>'HR Track 6 TSA'!AV50</f>
        <v>0</v>
      </c>
      <c r="AW45" s="452" t="str">
        <f>'HR Track 6 TSA'!AW50</f>
        <v>DW6999</v>
      </c>
      <c r="AX45" s="452">
        <f>'HR Track 6 TSA'!AX50</f>
        <v>0</v>
      </c>
      <c r="AY45" s="500" t="str">
        <f>'HR Track 6 TSA'!AY50</f>
        <v/>
      </c>
      <c r="AZ45" s="500" t="str">
        <f>'HR Track 6 TSA'!AZ50</f>
        <v/>
      </c>
      <c r="BA45" s="1333" t="str">
        <f>'HR Track 6 TSA'!BA50</f>
        <v>ü</v>
      </c>
      <c r="BB45" s="452">
        <f>'HR Track 6 TSA'!BB50</f>
        <v>0</v>
      </c>
      <c r="BC45" s="1334">
        <f>'HR Track 6 TSA'!BC50</f>
        <v>0</v>
      </c>
      <c r="BD45" s="1335">
        <f>'HR Track 6 TSA'!BD50</f>
        <v>0</v>
      </c>
      <c r="BE45" s="1335">
        <f>'HR Track 6 TSA'!BE50</f>
        <v>0</v>
      </c>
      <c r="BF45" s="1335">
        <f>'HR Track 6 TSA'!BF50</f>
        <v>0</v>
      </c>
      <c r="BG45" s="1335">
        <f>'HR Track 6 TSA'!BG50</f>
        <v>0</v>
      </c>
    </row>
    <row r="46" spans="1:59" ht="15.75" customHeight="1">
      <c r="A46" s="501" t="str">
        <f>'HR Track 6 TSA'!A51</f>
        <v>Overcrossing</v>
      </c>
      <c r="B46" s="716" t="str">
        <f>'HR Track 6 TSA'!B51</f>
        <v>93-3.12</v>
      </c>
      <c r="C46" s="451">
        <f>'HR Track 6 TSA'!C51</f>
        <v>93492.05</v>
      </c>
      <c r="D46" s="453">
        <f>'HR Track 6 TSA'!D51</f>
        <v>0</v>
      </c>
      <c r="E46" s="452">
        <f>'HR Track 6 TSA'!E51</f>
        <v>0</v>
      </c>
      <c r="F46" s="453">
        <f>'HR Track 6 TSA'!F51</f>
        <v>872.26</v>
      </c>
      <c r="G46" s="500">
        <f>'HR Track 6 TSA'!G51</f>
        <v>0</v>
      </c>
      <c r="H46" s="453" t="str">
        <f>'HR Track 6 TSA'!H51</f>
        <v>A/S-Diag</v>
      </c>
      <c r="I46" s="501" t="str">
        <f>'HR Track 6 TSA'!I51</f>
        <v>CP/TX-P/1100</v>
      </c>
      <c r="J46" s="583">
        <f>'HR Track 6 TSA'!J51</f>
        <v>93499.55</v>
      </c>
      <c r="K46" s="452" t="str">
        <f>'HR Track 6 TSA'!K51</f>
        <v>AnMC/W</v>
      </c>
      <c r="L46" s="452" t="str">
        <f>'HR Track 6 TSA'!L51</f>
        <v>HEB-280 (CP)</v>
      </c>
      <c r="M46" s="452" t="str">
        <f>'HR Track 6 TSA'!M51</f>
        <v>Unique Solution</v>
      </c>
      <c r="N46" s="501" t="str">
        <f>'HR Track 6 TSA'!N51</f>
        <v>EMT-1RH</v>
      </c>
      <c r="O46" s="501">
        <f>'HR Track 6 TSA'!O51</f>
        <v>0</v>
      </c>
      <c r="P46" s="501">
        <f>'HR Track 6 TSA'!P51</f>
        <v>0</v>
      </c>
      <c r="Q46" s="452">
        <f>'HR Track 6 TSA'!Q51</f>
        <v>30</v>
      </c>
      <c r="R46" s="452">
        <f>'HR Track 6 TSA'!R51</f>
        <v>885.34</v>
      </c>
      <c r="S46" s="500">
        <f>'HR Track 6 TSA'!S51</f>
        <v>0</v>
      </c>
      <c r="T46" s="452">
        <f>'HR Track 6 TSA'!T51</f>
        <v>-30</v>
      </c>
      <c r="U46" s="452">
        <f>'HR Track 6 TSA'!U51</f>
        <v>0</v>
      </c>
      <c r="V46" s="452">
        <f>'HR Track 6 TSA'!V51</f>
        <v>0</v>
      </c>
      <c r="W46" s="452">
        <f>'HR Track 6 TSA'!W51</f>
        <v>0.4</v>
      </c>
      <c r="X46" s="452">
        <f>'HR Track 6 TSA'!X51</f>
        <v>0</v>
      </c>
      <c r="Y46" s="452">
        <f>'HR Track 6 TSA'!Y51</f>
        <v>0</v>
      </c>
      <c r="Z46" s="452">
        <f>'HR Track 6 TSA'!Z51</f>
        <v>0</v>
      </c>
      <c r="AA46" s="452">
        <f>'HR Track 6 TSA'!AA51</f>
        <v>0</v>
      </c>
      <c r="AB46" s="452">
        <f>'HR Track 6 TSA'!AB51</f>
        <v>0</v>
      </c>
      <c r="AC46" s="452" t="str">
        <f>'HR Track 6 TSA'!AC51</f>
        <v>PH-1050</v>
      </c>
      <c r="AD46" s="452">
        <f>'HR Track 6 TSA'!AD51</f>
        <v>0</v>
      </c>
      <c r="AE46" s="452">
        <f>'HR Track 6 TSA'!AE51</f>
        <v>0</v>
      </c>
      <c r="AF46" s="452">
        <f>'HR Track 6 TSA'!AF51</f>
        <v>4300</v>
      </c>
      <c r="AG46" s="451">
        <f>'HR Track 6 TSA'!AG51</f>
        <v>93493.57</v>
      </c>
      <c r="AH46" s="452">
        <f>'HR Track 6 TSA'!AH51</f>
        <v>2363</v>
      </c>
      <c r="AI46" s="452">
        <f>'HR Track 6 TSA'!AI51</f>
        <v>-590</v>
      </c>
      <c r="AJ46" s="452">
        <f>'HR Track 6 TSA'!AJ51</f>
        <v>0</v>
      </c>
      <c r="AK46" s="452">
        <f>'HR Track 6 TSA'!AK51</f>
        <v>0</v>
      </c>
      <c r="AL46" s="452">
        <f>'HR Track 6 TSA'!AL51</f>
        <v>0</v>
      </c>
      <c r="AM46" s="452" t="str">
        <f>'HR Track 6 TSA'!AM51</f>
        <v>RW2</v>
      </c>
      <c r="AN46" s="500">
        <f>'HR Track 6 TSA'!AN51</f>
        <v>5.15</v>
      </c>
      <c r="AO46" s="452">
        <f>'HR Track 6 TSA'!AO51</f>
        <v>0</v>
      </c>
      <c r="AP46" s="452">
        <f>'HR Track 6 TSA'!AP51</f>
        <v>0</v>
      </c>
      <c r="AQ46" s="452">
        <f>'HR Track 6 TSA'!AQ51</f>
        <v>0</v>
      </c>
      <c r="AR46" s="452">
        <f>'HR Track 6 TSA'!AR51</f>
        <v>0</v>
      </c>
      <c r="AS46" s="452">
        <f>'HR Track 6 TSA'!AS51</f>
        <v>0</v>
      </c>
      <c r="AT46" s="452">
        <f>'HR Track 6 TSA'!AT51</f>
        <v>-3.1075942550828484</v>
      </c>
      <c r="AU46" s="452">
        <f>'HR Track 6 TSA'!AU51</f>
        <v>0</v>
      </c>
      <c r="AV46" s="452">
        <f>'HR Track 6 TSA'!AV51</f>
        <v>0</v>
      </c>
      <c r="AW46" s="452" t="str">
        <f>'HR Track 6 TSA'!AW51</f>
        <v>DW6928
DW6999</v>
      </c>
      <c r="AX46" s="452">
        <f>'HR Track 6 TSA'!AX51</f>
        <v>0</v>
      </c>
      <c r="AY46" s="500">
        <f>'HR Track 6 TSA'!AY51</f>
        <v>0</v>
      </c>
      <c r="AZ46" s="500">
        <f>'HR Track 6 TSA'!AZ51</f>
        <v>0</v>
      </c>
      <c r="BA46" s="1333" t="str">
        <f>'HR Track 6 TSA'!BA51</f>
        <v>ü</v>
      </c>
      <c r="BB46" s="452" t="str">
        <f>'HR Track 6 TSA'!BB51</f>
        <v>App.7-V11A-P9.5.1.6</v>
      </c>
      <c r="BC46" s="1334">
        <f>'HR Track 6 TSA'!BC51</f>
        <v>0</v>
      </c>
      <c r="BD46" s="1335">
        <f>'HR Track 6 TSA'!BD51</f>
        <v>43809</v>
      </c>
      <c r="BE46" s="1335">
        <f>'HR Track 6 TSA'!BE51</f>
        <v>43814</v>
      </c>
      <c r="BF46" s="1335">
        <f>'HR Track 6 TSA'!BF51</f>
        <v>0</v>
      </c>
      <c r="BG46" s="1335">
        <f>'HR Track 6 TSA'!BG51</f>
        <v>43838</v>
      </c>
    </row>
    <row r="47" spans="1:59" ht="15.75" customHeight="1">
      <c r="S47" s="454"/>
      <c r="AN47" s="458"/>
      <c r="BA47" s="1305"/>
      <c r="BC47" s="169"/>
    </row>
    <row r="48" spans="1:59" ht="15.75" customHeight="1">
      <c r="S48" s="454"/>
      <c r="AN48" s="458"/>
      <c r="BA48" s="1305"/>
      <c r="BC48" s="169"/>
    </row>
    <row r="49" spans="19:55" ht="15.75" customHeight="1">
      <c r="S49" s="454"/>
      <c r="AN49" s="458"/>
      <c r="BA49" s="1305"/>
      <c r="BC49" s="169"/>
    </row>
    <row r="50" spans="19:55" ht="15.75" customHeight="1">
      <c r="S50" s="454"/>
      <c r="AN50" s="458"/>
      <c r="BA50" s="1305"/>
      <c r="BC50" s="169"/>
    </row>
    <row r="51" spans="19:55" ht="15.75" customHeight="1">
      <c r="S51" s="454"/>
      <c r="AN51" s="458"/>
      <c r="BA51" s="1305"/>
      <c r="BC51" s="169"/>
    </row>
    <row r="52" spans="19:55" ht="15.75" customHeight="1">
      <c r="S52" s="454"/>
      <c r="AN52" s="458"/>
      <c r="BA52" s="1305"/>
      <c r="BC52" s="169"/>
    </row>
    <row r="53" spans="19:55" ht="15.75" customHeight="1">
      <c r="S53" s="454"/>
      <c r="AN53" s="458"/>
      <c r="BA53" s="1305"/>
      <c r="BC53" s="169"/>
    </row>
    <row r="54" spans="19:55" ht="15.75" customHeight="1">
      <c r="S54" s="454"/>
      <c r="AN54" s="458"/>
      <c r="BA54" s="1305"/>
      <c r="BC54" s="169"/>
    </row>
    <row r="55" spans="19:55" ht="15.75" customHeight="1">
      <c r="S55" s="454"/>
      <c r="AN55" s="458"/>
      <c r="BA55" s="1305"/>
      <c r="BC55" s="169"/>
    </row>
    <row r="56" spans="19:55" ht="15.75" customHeight="1">
      <c r="S56" s="454"/>
      <c r="AN56" s="458"/>
      <c r="BA56" s="1305"/>
      <c r="BC56" s="169"/>
    </row>
    <row r="57" spans="19:55" ht="15.75" customHeight="1">
      <c r="S57" s="454"/>
      <c r="AN57" s="458"/>
      <c r="BA57" s="1305"/>
      <c r="BC57" s="169"/>
    </row>
    <row r="58" spans="19:55" ht="15.75" customHeight="1">
      <c r="S58" s="454"/>
      <c r="AN58" s="458"/>
      <c r="BA58" s="1305"/>
      <c r="BC58" s="169"/>
    </row>
    <row r="59" spans="19:55" ht="15.75" customHeight="1">
      <c r="S59" s="454"/>
      <c r="AN59" s="458"/>
      <c r="BA59" s="1305"/>
      <c r="BC59" s="169"/>
    </row>
    <row r="60" spans="19:55" ht="15.75" customHeight="1">
      <c r="S60" s="454"/>
      <c r="AN60" s="458"/>
      <c r="BA60" s="1305"/>
      <c r="BC60" s="169"/>
    </row>
    <row r="61" spans="19:55" ht="15.75" customHeight="1">
      <c r="S61" s="454"/>
      <c r="AN61" s="458"/>
      <c r="BA61" s="1305"/>
      <c r="BC61" s="169"/>
    </row>
    <row r="62" spans="19:55" ht="15.75" customHeight="1">
      <c r="S62" s="454"/>
      <c r="AN62" s="458"/>
      <c r="BA62" s="1305"/>
      <c r="BC62" s="169"/>
    </row>
    <row r="63" spans="19:55" ht="15.75" customHeight="1">
      <c r="S63" s="454"/>
      <c r="AN63" s="458"/>
      <c r="BA63" s="1305"/>
      <c r="BC63" s="169"/>
    </row>
    <row r="64" spans="19:55" ht="15.75" customHeight="1">
      <c r="S64" s="454"/>
      <c r="AN64" s="458"/>
      <c r="BA64" s="1305"/>
      <c r="BC64" s="169"/>
    </row>
    <row r="65" spans="19:55" ht="15.75" customHeight="1">
      <c r="S65" s="454"/>
      <c r="AN65" s="458"/>
      <c r="BA65" s="1305"/>
      <c r="BC65" s="169"/>
    </row>
    <row r="66" spans="19:55" ht="15.75" customHeight="1">
      <c r="S66" s="454"/>
      <c r="AN66" s="458"/>
      <c r="BA66" s="1305"/>
      <c r="BC66" s="169"/>
    </row>
    <row r="67" spans="19:55" ht="15.75" customHeight="1">
      <c r="S67" s="454"/>
      <c r="AN67" s="458"/>
      <c r="BA67" s="1305"/>
      <c r="BC67" s="169"/>
    </row>
    <row r="68" spans="19:55" ht="15.75" customHeight="1">
      <c r="S68" s="454"/>
      <c r="AN68" s="458"/>
      <c r="BA68" s="1305"/>
      <c r="BC68" s="169"/>
    </row>
    <row r="69" spans="19:55" ht="15.75" customHeight="1">
      <c r="S69" s="454"/>
      <c r="AN69" s="458"/>
      <c r="BA69" s="1305"/>
      <c r="BC69" s="169"/>
    </row>
    <row r="70" spans="19:55" ht="15.75" customHeight="1">
      <c r="S70" s="454"/>
      <c r="AN70" s="458"/>
      <c r="BA70" s="1305"/>
      <c r="BC70" s="169"/>
    </row>
    <row r="71" spans="19:55" ht="15.75" customHeight="1">
      <c r="S71" s="454"/>
      <c r="AN71" s="458"/>
      <c r="BA71" s="1305"/>
      <c r="BC71" s="169"/>
    </row>
    <row r="72" spans="19:55" ht="15.75" customHeight="1">
      <c r="S72" s="454"/>
      <c r="AN72" s="458"/>
      <c r="BA72" s="1305"/>
      <c r="BC72" s="169"/>
    </row>
    <row r="73" spans="19:55" ht="15.75" customHeight="1">
      <c r="S73" s="454"/>
      <c r="AN73" s="458"/>
      <c r="BA73" s="1305"/>
      <c r="BC73" s="169"/>
    </row>
    <row r="74" spans="19:55" ht="15.75" customHeight="1">
      <c r="S74" s="454"/>
      <c r="AN74" s="458"/>
      <c r="BA74" s="1305"/>
      <c r="BC74" s="169"/>
    </row>
    <row r="75" spans="19:55" ht="15.75" customHeight="1">
      <c r="S75" s="454"/>
      <c r="AN75" s="458"/>
      <c r="BA75" s="1305"/>
      <c r="BC75" s="169"/>
    </row>
    <row r="76" spans="19:55" ht="15.75" customHeight="1">
      <c r="S76" s="454"/>
      <c r="AN76" s="458"/>
      <c r="BA76" s="1305"/>
      <c r="BC76" s="169"/>
    </row>
    <row r="77" spans="19:55" ht="15.75" customHeight="1">
      <c r="S77" s="454"/>
      <c r="AN77" s="458"/>
      <c r="BA77" s="1305"/>
      <c r="BC77" s="169"/>
    </row>
    <row r="78" spans="19:55" ht="15.75" customHeight="1">
      <c r="S78" s="454"/>
      <c r="AN78" s="458"/>
      <c r="BA78" s="1305"/>
      <c r="BC78" s="169"/>
    </row>
    <row r="79" spans="19:55" ht="15.75" customHeight="1">
      <c r="S79" s="454"/>
      <c r="AN79" s="458"/>
      <c r="BA79" s="1305"/>
      <c r="BC79" s="169"/>
    </row>
    <row r="80" spans="19:55" ht="15.75" customHeight="1">
      <c r="S80" s="454"/>
      <c r="AN80" s="458"/>
      <c r="BA80" s="1305"/>
      <c r="BC80" s="169"/>
    </row>
    <row r="81" spans="19:55" ht="15.75" customHeight="1">
      <c r="S81" s="454"/>
      <c r="AN81" s="458"/>
      <c r="BA81" s="1305"/>
      <c r="BC81" s="169"/>
    </row>
    <row r="82" spans="19:55" ht="15.75" customHeight="1">
      <c r="S82" s="454"/>
      <c r="AN82" s="458"/>
      <c r="BA82" s="1305"/>
      <c r="BC82" s="169"/>
    </row>
    <row r="83" spans="19:55" ht="15.75" customHeight="1">
      <c r="S83" s="454"/>
      <c r="AN83" s="458"/>
      <c r="BA83" s="1305"/>
      <c r="BC83" s="169"/>
    </row>
    <row r="84" spans="19:55" ht="15.75" customHeight="1">
      <c r="S84" s="454"/>
      <c r="AN84" s="458"/>
      <c r="BA84" s="1305"/>
      <c r="BC84" s="169"/>
    </row>
    <row r="85" spans="19:55" ht="15.75" customHeight="1">
      <c r="S85" s="454"/>
      <c r="AN85" s="458"/>
      <c r="BA85" s="1305"/>
      <c r="BC85" s="169"/>
    </row>
    <row r="86" spans="19:55" ht="15.75" customHeight="1">
      <c r="S86" s="454"/>
      <c r="AN86" s="458"/>
      <c r="BA86" s="1305"/>
      <c r="BC86" s="169"/>
    </row>
    <row r="87" spans="19:55" ht="15.75" customHeight="1">
      <c r="S87" s="454"/>
      <c r="AN87" s="458"/>
      <c r="BA87" s="1305"/>
      <c r="BC87" s="169"/>
    </row>
    <row r="88" spans="19:55" ht="15.75" customHeight="1">
      <c r="S88" s="454"/>
      <c r="AN88" s="458"/>
      <c r="BA88" s="1305"/>
      <c r="BC88" s="169"/>
    </row>
    <row r="89" spans="19:55" ht="15.75" customHeight="1">
      <c r="S89" s="454"/>
      <c r="AN89" s="458"/>
      <c r="BA89" s="1305"/>
      <c r="BC89" s="169"/>
    </row>
    <row r="90" spans="19:55" ht="15.75" customHeight="1">
      <c r="S90" s="454"/>
      <c r="AN90" s="458"/>
      <c r="BA90" s="1305"/>
      <c r="BC90" s="169"/>
    </row>
    <row r="91" spans="19:55" ht="15.75" customHeight="1">
      <c r="S91" s="454"/>
      <c r="AN91" s="458"/>
      <c r="BA91" s="1305"/>
      <c r="BC91" s="169"/>
    </row>
    <row r="92" spans="19:55" ht="15.75" customHeight="1">
      <c r="S92" s="454"/>
      <c r="AN92" s="458"/>
      <c r="BA92" s="1305"/>
      <c r="BC92" s="169"/>
    </row>
    <row r="93" spans="19:55" ht="15.75" customHeight="1">
      <c r="S93" s="454"/>
      <c r="AN93" s="458"/>
      <c r="BA93" s="1305"/>
      <c r="BC93" s="169"/>
    </row>
    <row r="94" spans="19:55" ht="15.75" customHeight="1">
      <c r="S94" s="454"/>
      <c r="AN94" s="458"/>
      <c r="BA94" s="1305"/>
      <c r="BC94" s="169"/>
    </row>
    <row r="95" spans="19:55" ht="15.75" customHeight="1">
      <c r="S95" s="454"/>
      <c r="AN95" s="458"/>
      <c r="BA95" s="1305"/>
      <c r="BC95" s="169"/>
    </row>
    <row r="96" spans="19:55" ht="15.75" customHeight="1">
      <c r="S96" s="454"/>
      <c r="AN96" s="458"/>
      <c r="BA96" s="1305"/>
      <c r="BC96" s="169"/>
    </row>
    <row r="97" spans="19:55" ht="15.75" customHeight="1">
      <c r="S97" s="454"/>
      <c r="AN97" s="458"/>
      <c r="BA97" s="1305"/>
      <c r="BC97" s="169"/>
    </row>
    <row r="98" spans="19:55" ht="15.75" customHeight="1">
      <c r="S98" s="454"/>
      <c r="AN98" s="458"/>
      <c r="BA98" s="1305"/>
      <c r="BC98" s="169"/>
    </row>
    <row r="99" spans="19:55" ht="15.75" customHeight="1">
      <c r="S99" s="454"/>
      <c r="AN99" s="458"/>
      <c r="BA99" s="1305"/>
      <c r="BC99" s="169"/>
    </row>
    <row r="100" spans="19:55" ht="15.75" customHeight="1">
      <c r="S100" s="454"/>
      <c r="AN100" s="458"/>
      <c r="BA100" s="1305"/>
      <c r="BC100" s="169"/>
    </row>
    <row r="101" spans="19:55" ht="15.75" customHeight="1">
      <c r="S101" s="454"/>
      <c r="AN101" s="458"/>
      <c r="BA101" s="1305"/>
      <c r="BC101" s="169"/>
    </row>
    <row r="102" spans="19:55" ht="15.75" customHeight="1">
      <c r="S102" s="454"/>
      <c r="AN102" s="458"/>
      <c r="BA102" s="1305"/>
      <c r="BC102" s="169"/>
    </row>
    <row r="103" spans="19:55" ht="15.75" customHeight="1">
      <c r="S103" s="454"/>
      <c r="AN103" s="458"/>
      <c r="BA103" s="1305"/>
      <c r="BC103" s="169"/>
    </row>
    <row r="104" spans="19:55" ht="15.75" customHeight="1">
      <c r="S104" s="454"/>
      <c r="AN104" s="458"/>
      <c r="BA104" s="1305"/>
      <c r="BC104" s="169"/>
    </row>
    <row r="105" spans="19:55" ht="15.75" customHeight="1">
      <c r="S105" s="454"/>
      <c r="AN105" s="458"/>
      <c r="BA105" s="1305"/>
      <c r="BC105" s="169"/>
    </row>
    <row r="106" spans="19:55" ht="15.75" customHeight="1">
      <c r="S106" s="454"/>
      <c r="AN106" s="458"/>
      <c r="BA106" s="1305"/>
      <c r="BC106" s="169"/>
    </row>
    <row r="107" spans="19:55" ht="15.75" customHeight="1">
      <c r="S107" s="454"/>
      <c r="AN107" s="458"/>
      <c r="BA107" s="1305"/>
      <c r="BC107" s="169"/>
    </row>
    <row r="108" spans="19:55" ht="15.75" customHeight="1">
      <c r="S108" s="454"/>
      <c r="AN108" s="458"/>
      <c r="BA108" s="1305"/>
      <c r="BC108" s="169"/>
    </row>
    <row r="109" spans="19:55" ht="15.75" customHeight="1">
      <c r="S109" s="454"/>
      <c r="AN109" s="458"/>
      <c r="BA109" s="1305"/>
      <c r="BC109" s="169"/>
    </row>
    <row r="110" spans="19:55" ht="15.75" customHeight="1">
      <c r="S110" s="454"/>
      <c r="AN110" s="458"/>
      <c r="BA110" s="1305"/>
      <c r="BC110" s="169"/>
    </row>
    <row r="111" spans="19:55" ht="15.75" customHeight="1">
      <c r="S111" s="454"/>
      <c r="AN111" s="458"/>
      <c r="BA111" s="1305"/>
      <c r="BC111" s="169"/>
    </row>
    <row r="112" spans="19:55" ht="15.75" customHeight="1">
      <c r="S112" s="454"/>
      <c r="AN112" s="458"/>
      <c r="BA112" s="1305"/>
      <c r="BC112" s="169"/>
    </row>
    <row r="113" spans="19:55" ht="15.75" customHeight="1">
      <c r="S113" s="454"/>
      <c r="AN113" s="458"/>
      <c r="BA113" s="1305"/>
      <c r="BC113" s="169"/>
    </row>
    <row r="114" spans="19:55" ht="15.75" customHeight="1">
      <c r="S114" s="454"/>
      <c r="AN114" s="458"/>
      <c r="BA114" s="1305"/>
      <c r="BC114" s="169"/>
    </row>
    <row r="115" spans="19:55" ht="15.75" customHeight="1">
      <c r="S115" s="454"/>
      <c r="AN115" s="458"/>
      <c r="BA115" s="1305"/>
      <c r="BC115" s="169"/>
    </row>
    <row r="116" spans="19:55" ht="15.75" customHeight="1">
      <c r="S116" s="454"/>
      <c r="AN116" s="458"/>
      <c r="BA116" s="1305"/>
      <c r="BC116" s="169"/>
    </row>
    <row r="117" spans="19:55" ht="15.75" customHeight="1">
      <c r="S117" s="454"/>
      <c r="AN117" s="458"/>
      <c r="BA117" s="1305"/>
      <c r="BC117" s="169"/>
    </row>
    <row r="118" spans="19:55" ht="15.75" customHeight="1">
      <c r="S118" s="454"/>
      <c r="AN118" s="458"/>
      <c r="BA118" s="1305"/>
      <c r="BC118" s="169"/>
    </row>
    <row r="119" spans="19:55" ht="15.75" customHeight="1">
      <c r="S119" s="454"/>
      <c r="AN119" s="458"/>
      <c r="BA119" s="1305"/>
      <c r="BC119" s="169"/>
    </row>
    <row r="120" spans="19:55" ht="15.75" customHeight="1">
      <c r="S120" s="454"/>
      <c r="AN120" s="458"/>
      <c r="BA120" s="1305"/>
      <c r="BC120" s="169"/>
    </row>
    <row r="121" spans="19:55" ht="15.75" customHeight="1">
      <c r="S121" s="454"/>
      <c r="AN121" s="458"/>
      <c r="BA121" s="1305"/>
      <c r="BC121" s="169"/>
    </row>
    <row r="122" spans="19:55" ht="15.75" customHeight="1">
      <c r="S122" s="454"/>
      <c r="AN122" s="458"/>
      <c r="BA122" s="1305"/>
      <c r="BC122" s="169"/>
    </row>
    <row r="123" spans="19:55" ht="15.75" customHeight="1">
      <c r="S123" s="454"/>
      <c r="AN123" s="458"/>
      <c r="BA123" s="1305"/>
      <c r="BC123" s="169"/>
    </row>
    <row r="124" spans="19:55" ht="15.75" customHeight="1">
      <c r="S124" s="454"/>
      <c r="AN124" s="458"/>
      <c r="BA124" s="1305"/>
      <c r="BC124" s="169"/>
    </row>
    <row r="125" spans="19:55" ht="15.75" customHeight="1">
      <c r="S125" s="454"/>
      <c r="AN125" s="458"/>
      <c r="BA125" s="1305"/>
      <c r="BC125" s="169"/>
    </row>
    <row r="126" spans="19:55" ht="15.75" customHeight="1">
      <c r="S126" s="454"/>
      <c r="AN126" s="458"/>
      <c r="BA126" s="1305"/>
      <c r="BC126" s="169"/>
    </row>
    <row r="127" spans="19:55" ht="15.75" customHeight="1">
      <c r="S127" s="454"/>
      <c r="AN127" s="458"/>
      <c r="BA127" s="1305"/>
      <c r="BC127" s="169"/>
    </row>
    <row r="128" spans="19:55" ht="15.75" customHeight="1">
      <c r="S128" s="454"/>
      <c r="AN128" s="458"/>
      <c r="BA128" s="1305"/>
      <c r="BC128" s="169"/>
    </row>
    <row r="129" spans="19:55" ht="15.75" customHeight="1">
      <c r="S129" s="454"/>
      <c r="AN129" s="458"/>
      <c r="BA129" s="1305"/>
      <c r="BC129" s="169"/>
    </row>
    <row r="130" spans="19:55" ht="15.75" customHeight="1">
      <c r="S130" s="454"/>
      <c r="AN130" s="458"/>
      <c r="BA130" s="1305"/>
      <c r="BC130" s="169"/>
    </row>
    <row r="131" spans="19:55" ht="15.75" customHeight="1">
      <c r="S131" s="454"/>
      <c r="AN131" s="458"/>
      <c r="BA131" s="1305"/>
      <c r="BC131" s="169"/>
    </row>
    <row r="132" spans="19:55" ht="15.75" customHeight="1">
      <c r="S132" s="454"/>
      <c r="AN132" s="458"/>
      <c r="BA132" s="1305"/>
      <c r="BC132" s="169"/>
    </row>
    <row r="133" spans="19:55" ht="15.75" customHeight="1">
      <c r="S133" s="454"/>
      <c r="AN133" s="458"/>
      <c r="BA133" s="1305"/>
      <c r="BC133" s="169"/>
    </row>
    <row r="134" spans="19:55" ht="15.75" customHeight="1">
      <c r="S134" s="454"/>
      <c r="AN134" s="458"/>
      <c r="BA134" s="1305"/>
      <c r="BC134" s="169"/>
    </row>
    <row r="135" spans="19:55" ht="15.75" customHeight="1">
      <c r="S135" s="454"/>
      <c r="AN135" s="458"/>
      <c r="BA135" s="1305"/>
      <c r="BC135" s="169"/>
    </row>
    <row r="136" spans="19:55" ht="15.75" customHeight="1">
      <c r="S136" s="454"/>
      <c r="AN136" s="458"/>
      <c r="BA136" s="1305"/>
      <c r="BC136" s="169"/>
    </row>
    <row r="137" spans="19:55" ht="15.75" customHeight="1">
      <c r="S137" s="454"/>
      <c r="AN137" s="458"/>
      <c r="BA137" s="1305"/>
      <c r="BC137" s="169"/>
    </row>
    <row r="138" spans="19:55" ht="15.75" customHeight="1">
      <c r="S138" s="454"/>
      <c r="AN138" s="458"/>
      <c r="BA138" s="1305"/>
      <c r="BC138" s="169"/>
    </row>
    <row r="139" spans="19:55" ht="15.75" customHeight="1">
      <c r="S139" s="454"/>
      <c r="AN139" s="458"/>
      <c r="BA139" s="1305"/>
      <c r="BC139" s="169"/>
    </row>
    <row r="140" spans="19:55" ht="15.75" customHeight="1">
      <c r="S140" s="454"/>
      <c r="AN140" s="458"/>
      <c r="BA140" s="1305"/>
      <c r="BC140" s="169"/>
    </row>
    <row r="141" spans="19:55" ht="15.75" customHeight="1">
      <c r="S141" s="454"/>
      <c r="AN141" s="458"/>
      <c r="BA141" s="1305"/>
      <c r="BC141" s="169"/>
    </row>
    <row r="142" spans="19:55" ht="15.75" customHeight="1">
      <c r="S142" s="454"/>
      <c r="AN142" s="458"/>
      <c r="BA142" s="1305"/>
      <c r="BC142" s="169"/>
    </row>
    <row r="143" spans="19:55" ht="15.75" customHeight="1">
      <c r="S143" s="454"/>
      <c r="AN143" s="458"/>
      <c r="BA143" s="1305"/>
      <c r="BC143" s="169"/>
    </row>
    <row r="144" spans="19:55" ht="15.75" customHeight="1">
      <c r="S144" s="454"/>
      <c r="AN144" s="458"/>
      <c r="BA144" s="1305"/>
      <c r="BC144" s="169"/>
    </row>
    <row r="145" spans="19:55" ht="15.75" customHeight="1">
      <c r="S145" s="454"/>
      <c r="AN145" s="458"/>
      <c r="BA145" s="1305"/>
      <c r="BC145" s="169"/>
    </row>
    <row r="146" spans="19:55" ht="15.75" customHeight="1">
      <c r="S146" s="454"/>
      <c r="AN146" s="458"/>
      <c r="BA146" s="1305"/>
      <c r="BC146" s="169"/>
    </row>
    <row r="147" spans="19:55" ht="15.75" customHeight="1">
      <c r="S147" s="454"/>
      <c r="AN147" s="458"/>
      <c r="BA147" s="1305"/>
      <c r="BC147" s="169"/>
    </row>
    <row r="148" spans="19:55" ht="15.75" customHeight="1">
      <c r="S148" s="454"/>
      <c r="AN148" s="458"/>
      <c r="BA148" s="1305"/>
      <c r="BC148" s="169"/>
    </row>
    <row r="149" spans="19:55" ht="15.75" customHeight="1">
      <c r="S149" s="454"/>
      <c r="AN149" s="458"/>
      <c r="BA149" s="1305"/>
      <c r="BC149" s="169"/>
    </row>
    <row r="150" spans="19:55" ht="15.75" customHeight="1">
      <c r="S150" s="454"/>
      <c r="AN150" s="458"/>
      <c r="BA150" s="1305"/>
      <c r="BC150" s="169"/>
    </row>
    <row r="151" spans="19:55" ht="15.75" customHeight="1">
      <c r="S151" s="454"/>
      <c r="AN151" s="458"/>
      <c r="BA151" s="1305"/>
      <c r="BC151" s="169"/>
    </row>
    <row r="152" spans="19:55" ht="15.75" customHeight="1">
      <c r="S152" s="454"/>
      <c r="AN152" s="458"/>
      <c r="BA152" s="1305"/>
      <c r="BC152" s="169"/>
    </row>
    <row r="153" spans="19:55" ht="15.75" customHeight="1">
      <c r="S153" s="454"/>
      <c r="AN153" s="458"/>
      <c r="BA153" s="1305"/>
      <c r="BC153" s="169"/>
    </row>
    <row r="154" spans="19:55" ht="15.75" customHeight="1">
      <c r="S154" s="454"/>
      <c r="AN154" s="458"/>
      <c r="BA154" s="1305"/>
      <c r="BC154" s="169"/>
    </row>
    <row r="155" spans="19:55" ht="15.75" customHeight="1">
      <c r="S155" s="454"/>
      <c r="AN155" s="458"/>
      <c r="BA155" s="1305"/>
      <c r="BC155" s="169"/>
    </row>
    <row r="156" spans="19:55" ht="15.75" customHeight="1">
      <c r="S156" s="454"/>
      <c r="AN156" s="458"/>
      <c r="BA156" s="1305"/>
      <c r="BC156" s="169"/>
    </row>
    <row r="157" spans="19:55" ht="15.75" customHeight="1">
      <c r="S157" s="454"/>
      <c r="AN157" s="458"/>
      <c r="BA157" s="1305"/>
      <c r="BC157" s="169"/>
    </row>
    <row r="158" spans="19:55" ht="15.75" customHeight="1">
      <c r="S158" s="454"/>
      <c r="AN158" s="458"/>
      <c r="BA158" s="1305"/>
      <c r="BC158" s="169"/>
    </row>
    <row r="159" spans="19:55" ht="15.75" customHeight="1">
      <c r="S159" s="454"/>
      <c r="AN159" s="458"/>
      <c r="BA159" s="1305"/>
      <c r="BC159" s="169"/>
    </row>
    <row r="160" spans="19:55" ht="15.75" customHeight="1">
      <c r="S160" s="454"/>
      <c r="AN160" s="458"/>
      <c r="BA160" s="1305"/>
      <c r="BC160" s="169"/>
    </row>
    <row r="161" spans="19:55" ht="15.75" customHeight="1">
      <c r="S161" s="454"/>
      <c r="AN161" s="458"/>
      <c r="BA161" s="1305"/>
      <c r="BC161" s="169"/>
    </row>
    <row r="162" spans="19:55" ht="15.75" customHeight="1">
      <c r="S162" s="454"/>
      <c r="AN162" s="458"/>
      <c r="BA162" s="1305"/>
      <c r="BC162" s="169"/>
    </row>
    <row r="163" spans="19:55" ht="15.75" customHeight="1">
      <c r="S163" s="454"/>
      <c r="AN163" s="458"/>
      <c r="BA163" s="1305"/>
      <c r="BC163" s="169"/>
    </row>
    <row r="164" spans="19:55" ht="15.75" customHeight="1">
      <c r="S164" s="454"/>
      <c r="AN164" s="458"/>
      <c r="BA164" s="1305"/>
      <c r="BC164" s="169"/>
    </row>
    <row r="165" spans="19:55" ht="15.75" customHeight="1">
      <c r="S165" s="454"/>
      <c r="AN165" s="458"/>
      <c r="BA165" s="1305"/>
      <c r="BC165" s="169"/>
    </row>
    <row r="166" spans="19:55" ht="15.75" customHeight="1">
      <c r="S166" s="454"/>
      <c r="AN166" s="458"/>
      <c r="BA166" s="1305"/>
      <c r="BC166" s="169"/>
    </row>
    <row r="167" spans="19:55" ht="15.75" customHeight="1">
      <c r="S167" s="454"/>
      <c r="AN167" s="458"/>
      <c r="BA167" s="1305"/>
      <c r="BC167" s="169"/>
    </row>
    <row r="168" spans="19:55" ht="15.75" customHeight="1">
      <c r="S168" s="454"/>
      <c r="AN168" s="458"/>
      <c r="BA168" s="1305"/>
      <c r="BC168" s="169"/>
    </row>
    <row r="169" spans="19:55" ht="15.75" customHeight="1">
      <c r="S169" s="454"/>
      <c r="AN169" s="458"/>
      <c r="BA169" s="1305"/>
      <c r="BC169" s="169"/>
    </row>
    <row r="170" spans="19:55" ht="15.75" customHeight="1">
      <c r="S170" s="454"/>
      <c r="AN170" s="458"/>
      <c r="BA170" s="1305"/>
      <c r="BC170" s="169"/>
    </row>
    <row r="171" spans="19:55" ht="15.75" customHeight="1">
      <c r="S171" s="454"/>
      <c r="AN171" s="458"/>
      <c r="BA171" s="1305"/>
      <c r="BC171" s="169"/>
    </row>
    <row r="172" spans="19:55" ht="15.75" customHeight="1">
      <c r="S172" s="454"/>
      <c r="AN172" s="458"/>
      <c r="BA172" s="1305"/>
      <c r="BC172" s="169"/>
    </row>
    <row r="173" spans="19:55" ht="15.75" customHeight="1">
      <c r="S173" s="454"/>
      <c r="AN173" s="458"/>
      <c r="BA173" s="1305"/>
      <c r="BC173" s="169"/>
    </row>
    <row r="174" spans="19:55" ht="15.75" customHeight="1">
      <c r="S174" s="454"/>
      <c r="AN174" s="458"/>
      <c r="BA174" s="1305"/>
      <c r="BC174" s="169"/>
    </row>
    <row r="175" spans="19:55" ht="15.75" customHeight="1">
      <c r="S175" s="454"/>
      <c r="AN175" s="458"/>
      <c r="BA175" s="1305"/>
      <c r="BC175" s="169"/>
    </row>
    <row r="176" spans="19:55" ht="15.75" customHeight="1">
      <c r="S176" s="454"/>
      <c r="AN176" s="458"/>
      <c r="BA176" s="1305"/>
      <c r="BC176" s="169"/>
    </row>
    <row r="177" spans="19:55" ht="15.75" customHeight="1">
      <c r="S177" s="454"/>
      <c r="AN177" s="458"/>
      <c r="BA177" s="1305"/>
      <c r="BC177" s="169"/>
    </row>
    <row r="178" spans="19:55" ht="15.75" customHeight="1">
      <c r="S178" s="454"/>
      <c r="AN178" s="458"/>
      <c r="BA178" s="1305"/>
      <c r="BC178" s="169"/>
    </row>
    <row r="179" spans="19:55" ht="15.75" customHeight="1">
      <c r="S179" s="454"/>
      <c r="AN179" s="458"/>
      <c r="BA179" s="1305"/>
      <c r="BC179" s="169"/>
    </row>
    <row r="180" spans="19:55" ht="15.75" customHeight="1">
      <c r="S180" s="454"/>
      <c r="AN180" s="458"/>
      <c r="BA180" s="1305"/>
      <c r="BC180" s="169"/>
    </row>
    <row r="181" spans="19:55" ht="15.75" customHeight="1">
      <c r="S181" s="454"/>
      <c r="AN181" s="458"/>
      <c r="BA181" s="1305"/>
      <c r="BC181" s="169"/>
    </row>
    <row r="182" spans="19:55" ht="15.75" customHeight="1">
      <c r="S182" s="454"/>
      <c r="AN182" s="458"/>
      <c r="BA182" s="1305"/>
      <c r="BC182" s="169"/>
    </row>
    <row r="183" spans="19:55" ht="15.75" customHeight="1">
      <c r="S183" s="454"/>
      <c r="AN183" s="458"/>
      <c r="BA183" s="1305"/>
      <c r="BC183" s="169"/>
    </row>
    <row r="184" spans="19:55" ht="15.75" customHeight="1">
      <c r="S184" s="454"/>
      <c r="AN184" s="458"/>
      <c r="BA184" s="1305"/>
      <c r="BC184" s="169"/>
    </row>
    <row r="185" spans="19:55" ht="15.75" customHeight="1">
      <c r="S185" s="454"/>
      <c r="AN185" s="458"/>
      <c r="BA185" s="1305"/>
      <c r="BC185" s="169"/>
    </row>
    <row r="186" spans="19:55" ht="15.75" customHeight="1">
      <c r="S186" s="454"/>
      <c r="AN186" s="458"/>
      <c r="BA186" s="1305"/>
      <c r="BC186" s="169"/>
    </row>
    <row r="187" spans="19:55" ht="15.75" customHeight="1">
      <c r="S187" s="454"/>
      <c r="AN187" s="458"/>
      <c r="BA187" s="1305"/>
      <c r="BC187" s="169"/>
    </row>
    <row r="188" spans="19:55" ht="15.75" customHeight="1">
      <c r="S188" s="454"/>
      <c r="AN188" s="458"/>
      <c r="BA188" s="1305"/>
      <c r="BC188" s="169"/>
    </row>
    <row r="189" spans="19:55" ht="15.75" customHeight="1">
      <c r="S189" s="454"/>
      <c r="AN189" s="458"/>
      <c r="BA189" s="1305"/>
      <c r="BC189" s="169"/>
    </row>
    <row r="190" spans="19:55" ht="15.75" customHeight="1">
      <c r="S190" s="454"/>
      <c r="AN190" s="458"/>
      <c r="BA190" s="1305"/>
      <c r="BC190" s="169"/>
    </row>
    <row r="191" spans="19:55" ht="15.75" customHeight="1">
      <c r="S191" s="454"/>
      <c r="AN191" s="458"/>
      <c r="BA191" s="1305"/>
      <c r="BC191" s="169"/>
    </row>
    <row r="192" spans="19:55" ht="15.75" customHeight="1">
      <c r="S192" s="454"/>
      <c r="AN192" s="458"/>
      <c r="BA192" s="1305"/>
      <c r="BC192" s="169"/>
    </row>
    <row r="193" spans="19:55" ht="15.75" customHeight="1">
      <c r="S193" s="454"/>
      <c r="AN193" s="458"/>
      <c r="BA193" s="1305"/>
      <c r="BC193" s="169"/>
    </row>
    <row r="194" spans="19:55" ht="15.75" customHeight="1">
      <c r="S194" s="454"/>
      <c r="AN194" s="458"/>
      <c r="BA194" s="1305"/>
      <c r="BC194" s="169"/>
    </row>
    <row r="195" spans="19:55" ht="15.75" customHeight="1">
      <c r="S195" s="454"/>
      <c r="AN195" s="458"/>
      <c r="BA195" s="1305"/>
      <c r="BC195" s="169"/>
    </row>
    <row r="196" spans="19:55" ht="15.75" customHeight="1">
      <c r="S196" s="454"/>
      <c r="AN196" s="458"/>
      <c r="BA196" s="1305"/>
      <c r="BC196" s="169"/>
    </row>
    <row r="197" spans="19:55" ht="15.75" customHeight="1">
      <c r="S197" s="454"/>
      <c r="AN197" s="458"/>
      <c r="BA197" s="1305"/>
      <c r="BC197" s="169"/>
    </row>
    <row r="198" spans="19:55" ht="15.75" customHeight="1">
      <c r="S198" s="454"/>
      <c r="AN198" s="458"/>
      <c r="BA198" s="1305"/>
      <c r="BC198" s="169"/>
    </row>
    <row r="199" spans="19:55" ht="15.75" customHeight="1">
      <c r="S199" s="454"/>
      <c r="AN199" s="458"/>
      <c r="BA199" s="1305"/>
      <c r="BC199" s="169"/>
    </row>
    <row r="200" spans="19:55" ht="15.75" customHeight="1">
      <c r="S200" s="454"/>
      <c r="AN200" s="458"/>
      <c r="BA200" s="1305"/>
      <c r="BC200" s="169"/>
    </row>
    <row r="201" spans="19:55" ht="15.75" customHeight="1">
      <c r="S201" s="454"/>
      <c r="AN201" s="458"/>
      <c r="BA201" s="1305"/>
      <c r="BC201" s="169"/>
    </row>
    <row r="202" spans="19:55" ht="15.75" customHeight="1">
      <c r="S202" s="454"/>
      <c r="AN202" s="458"/>
      <c r="BA202" s="1305"/>
      <c r="BC202" s="169"/>
    </row>
    <row r="203" spans="19:55" ht="15.75" customHeight="1">
      <c r="S203" s="454"/>
      <c r="AN203" s="458"/>
      <c r="BA203" s="1305"/>
      <c r="BC203" s="169"/>
    </row>
    <row r="204" spans="19:55" ht="15.75" customHeight="1">
      <c r="S204" s="454"/>
      <c r="AN204" s="458"/>
      <c r="BA204" s="1305"/>
      <c r="BC204" s="169"/>
    </row>
    <row r="205" spans="19:55" ht="15.75" customHeight="1">
      <c r="S205" s="454"/>
      <c r="AN205" s="458"/>
      <c r="BA205" s="1305"/>
      <c r="BC205" s="169"/>
    </row>
    <row r="206" spans="19:55" ht="15.75" customHeight="1">
      <c r="S206" s="454"/>
      <c r="AN206" s="458"/>
      <c r="BA206" s="1305"/>
      <c r="BC206" s="169"/>
    </row>
    <row r="207" spans="19:55" ht="15.75" customHeight="1">
      <c r="S207" s="454"/>
      <c r="AN207" s="458"/>
      <c r="BA207" s="1305"/>
      <c r="BC207" s="169"/>
    </row>
    <row r="208" spans="19:55" ht="15.75" customHeight="1">
      <c r="S208" s="454"/>
      <c r="AN208" s="458"/>
      <c r="BA208" s="1305"/>
      <c r="BC208" s="169"/>
    </row>
    <row r="209" spans="19:55" ht="15.75" customHeight="1">
      <c r="S209" s="454"/>
      <c r="AN209" s="458"/>
      <c r="BA209" s="1305"/>
      <c r="BC209" s="169"/>
    </row>
    <row r="210" spans="19:55" ht="15.75" customHeight="1">
      <c r="S210" s="454"/>
      <c r="AN210" s="458"/>
      <c r="BA210" s="1305"/>
      <c r="BC210" s="169"/>
    </row>
    <row r="211" spans="19:55" ht="15.75" customHeight="1">
      <c r="S211" s="454"/>
      <c r="AN211" s="458"/>
      <c r="BA211" s="1305"/>
      <c r="BC211" s="169"/>
    </row>
    <row r="212" spans="19:55" ht="15.75" customHeight="1">
      <c r="S212" s="454"/>
      <c r="AN212" s="458"/>
      <c r="BA212" s="1305"/>
      <c r="BC212" s="169"/>
    </row>
    <row r="213" spans="19:55" ht="15.75" customHeight="1">
      <c r="S213" s="454"/>
      <c r="AN213" s="458"/>
      <c r="BA213" s="1305"/>
      <c r="BC213" s="169"/>
    </row>
    <row r="214" spans="19:55" ht="15.75" customHeight="1">
      <c r="S214" s="454"/>
      <c r="AN214" s="458"/>
      <c r="BA214" s="1305"/>
      <c r="BC214" s="169"/>
    </row>
    <row r="215" spans="19:55" ht="15.75" customHeight="1">
      <c r="S215" s="454"/>
      <c r="AN215" s="458"/>
      <c r="BA215" s="1305"/>
      <c r="BC215" s="169"/>
    </row>
    <row r="216" spans="19:55" ht="15.75" customHeight="1">
      <c r="S216" s="454"/>
      <c r="AN216" s="458"/>
      <c r="BA216" s="1305"/>
      <c r="BC216" s="169"/>
    </row>
    <row r="217" spans="19:55" ht="15.75" customHeight="1">
      <c r="S217" s="454"/>
      <c r="AN217" s="458"/>
      <c r="BA217" s="1305"/>
      <c r="BC217" s="169"/>
    </row>
    <row r="218" spans="19:55" ht="15.75" customHeight="1">
      <c r="S218" s="454"/>
      <c r="AN218" s="458"/>
      <c r="BA218" s="1305"/>
      <c r="BC218" s="169"/>
    </row>
    <row r="219" spans="19:55" ht="15.75" customHeight="1">
      <c r="S219" s="454"/>
      <c r="AN219" s="458"/>
      <c r="BA219" s="1305"/>
      <c r="BC219" s="169"/>
    </row>
    <row r="220" spans="19:55" ht="15.75" customHeight="1">
      <c r="S220" s="454"/>
      <c r="AN220" s="458"/>
      <c r="BA220" s="1305"/>
      <c r="BC220" s="169"/>
    </row>
    <row r="221" spans="19:55" ht="15.75" customHeight="1">
      <c r="S221" s="454"/>
      <c r="AN221" s="458"/>
      <c r="BA221" s="1305"/>
      <c r="BC221" s="169"/>
    </row>
    <row r="222" spans="19:55" ht="15.75" customHeight="1">
      <c r="S222" s="454"/>
      <c r="AN222" s="458"/>
      <c r="BA222" s="1305"/>
      <c r="BC222" s="169"/>
    </row>
    <row r="223" spans="19:55" ht="15.75" customHeight="1">
      <c r="S223" s="454"/>
      <c r="AN223" s="458"/>
      <c r="BA223" s="1305"/>
      <c r="BC223" s="169"/>
    </row>
    <row r="224" spans="19:55" ht="15.75" customHeight="1">
      <c r="S224" s="454"/>
      <c r="AN224" s="458"/>
      <c r="BA224" s="1305"/>
      <c r="BC224" s="169"/>
    </row>
    <row r="225" spans="19:55" ht="15.75" customHeight="1">
      <c r="S225" s="454"/>
      <c r="AN225" s="458"/>
      <c r="BA225" s="1305"/>
      <c r="BC225" s="169"/>
    </row>
    <row r="226" spans="19:55" ht="15.75" customHeight="1">
      <c r="S226" s="454"/>
      <c r="AN226" s="458"/>
      <c r="BA226" s="1305"/>
      <c r="BC226" s="169"/>
    </row>
    <row r="227" spans="19:55" ht="15.75" customHeight="1">
      <c r="S227" s="454"/>
      <c r="AN227" s="458"/>
      <c r="BA227" s="1305"/>
      <c r="BC227" s="169"/>
    </row>
    <row r="228" spans="19:55" ht="15.75" customHeight="1">
      <c r="S228" s="454"/>
      <c r="AN228" s="458"/>
      <c r="BA228" s="1305"/>
      <c r="BC228" s="169"/>
    </row>
    <row r="229" spans="19:55" ht="15.75" customHeight="1">
      <c r="S229" s="454"/>
      <c r="AN229" s="458"/>
      <c r="BA229" s="1305"/>
      <c r="BC229" s="169"/>
    </row>
    <row r="230" spans="19:55" ht="15.75" customHeight="1">
      <c r="S230" s="454"/>
      <c r="AN230" s="458"/>
      <c r="BA230" s="1305"/>
      <c r="BC230" s="169"/>
    </row>
    <row r="231" spans="19:55" ht="15.75" customHeight="1">
      <c r="S231" s="454"/>
      <c r="AN231" s="458"/>
      <c r="BA231" s="1305"/>
      <c r="BC231" s="169"/>
    </row>
    <row r="232" spans="19:55" ht="15.75" customHeight="1">
      <c r="S232" s="454"/>
      <c r="AN232" s="458"/>
      <c r="BA232" s="1305"/>
      <c r="BC232" s="169"/>
    </row>
    <row r="233" spans="19:55" ht="15.75" customHeight="1">
      <c r="S233" s="454"/>
      <c r="AN233" s="458"/>
      <c r="BA233" s="1305"/>
      <c r="BC233" s="169"/>
    </row>
    <row r="234" spans="19:55" ht="15.75" customHeight="1">
      <c r="S234" s="454"/>
      <c r="AN234" s="458"/>
      <c r="BA234" s="1305"/>
      <c r="BC234" s="169"/>
    </row>
    <row r="235" spans="19:55" ht="15.75" customHeight="1">
      <c r="S235" s="454"/>
      <c r="AN235" s="458"/>
      <c r="BA235" s="1305"/>
      <c r="BC235" s="169"/>
    </row>
    <row r="236" spans="19:55" ht="15.75" customHeight="1">
      <c r="S236" s="454"/>
      <c r="AN236" s="458"/>
      <c r="BA236" s="1305"/>
      <c r="BC236" s="169"/>
    </row>
    <row r="237" spans="19:55" ht="15.75" customHeight="1">
      <c r="S237" s="454"/>
      <c r="AN237" s="458"/>
      <c r="BA237" s="1305"/>
      <c r="BC237" s="169"/>
    </row>
    <row r="238" spans="19:55" ht="15.75" customHeight="1">
      <c r="S238" s="454"/>
      <c r="AN238" s="458"/>
      <c r="BA238" s="1305"/>
      <c r="BC238" s="169"/>
    </row>
    <row r="239" spans="19:55" ht="15.75" customHeight="1">
      <c r="S239" s="454"/>
      <c r="AN239" s="458"/>
      <c r="BA239" s="1305"/>
      <c r="BC239" s="169"/>
    </row>
    <row r="240" spans="19:55" ht="15.75" customHeight="1">
      <c r="S240" s="454"/>
      <c r="AN240" s="458"/>
      <c r="BA240" s="1305"/>
      <c r="BC240" s="169"/>
    </row>
    <row r="241" spans="19:55" ht="15.75" customHeight="1">
      <c r="S241" s="454"/>
      <c r="AN241" s="458"/>
      <c r="BA241" s="1305"/>
      <c r="BC241" s="169"/>
    </row>
    <row r="242" spans="19:55" ht="15.75" customHeight="1">
      <c r="S242" s="454"/>
      <c r="AN242" s="458"/>
      <c r="BA242" s="1305"/>
      <c r="BC242" s="169"/>
    </row>
    <row r="243" spans="19:55" ht="15.75" customHeight="1">
      <c r="S243" s="454"/>
      <c r="AN243" s="458"/>
      <c r="BA243" s="1305"/>
      <c r="BC243" s="169"/>
    </row>
    <row r="244" spans="19:55" ht="15.75" customHeight="1">
      <c r="S244" s="454"/>
      <c r="AN244" s="458"/>
      <c r="BA244" s="1305"/>
      <c r="BC244" s="169"/>
    </row>
    <row r="245" spans="19:55" ht="15.75" customHeight="1">
      <c r="S245" s="454"/>
      <c r="AN245" s="458"/>
      <c r="BA245" s="1305"/>
      <c r="BC245" s="169"/>
    </row>
    <row r="246" spans="19:55" ht="15.75" customHeight="1">
      <c r="S246" s="454"/>
      <c r="AN246" s="458"/>
      <c r="BA246" s="1305"/>
      <c r="BC246" s="169"/>
    </row>
    <row r="247" spans="19:55" ht="15.75" customHeight="1">
      <c r="S247" s="454"/>
      <c r="AN247" s="458"/>
      <c r="BA247" s="1305"/>
      <c r="BC247" s="169"/>
    </row>
    <row r="248" spans="19:55" ht="15.75" customHeight="1">
      <c r="S248" s="454"/>
      <c r="AN248" s="458"/>
      <c r="BA248" s="1305"/>
      <c r="BC248" s="169"/>
    </row>
    <row r="249" spans="19:55" ht="15.75" customHeight="1">
      <c r="S249" s="454"/>
      <c r="AN249" s="458"/>
      <c r="BA249" s="1305"/>
      <c r="BC249" s="169"/>
    </row>
    <row r="250" spans="19:55" ht="15.75" customHeight="1">
      <c r="S250" s="454"/>
      <c r="AN250" s="458"/>
      <c r="BA250" s="1305"/>
      <c r="BC250" s="169"/>
    </row>
    <row r="251" spans="19:55" ht="15.75" customHeight="1">
      <c r="S251" s="454"/>
      <c r="AN251" s="458"/>
      <c r="BA251" s="1305"/>
      <c r="BC251" s="169"/>
    </row>
    <row r="252" spans="19:55" ht="15.75" customHeight="1">
      <c r="S252" s="454"/>
      <c r="AN252" s="458"/>
      <c r="BA252" s="1305"/>
      <c r="BC252" s="169"/>
    </row>
    <row r="253" spans="19:55" ht="15.75" customHeight="1">
      <c r="S253" s="454"/>
      <c r="AN253" s="458"/>
      <c r="BA253" s="1305"/>
      <c r="BC253" s="169"/>
    </row>
    <row r="254" spans="19:55" ht="15.75" customHeight="1">
      <c r="S254" s="454"/>
      <c r="AN254" s="458"/>
      <c r="BA254" s="1305"/>
      <c r="BC254" s="169"/>
    </row>
    <row r="255" spans="19:55" ht="15.75" customHeight="1">
      <c r="S255" s="454"/>
      <c r="AN255" s="458"/>
      <c r="BA255" s="1305"/>
      <c r="BC255" s="169"/>
    </row>
    <row r="256" spans="19:55" ht="15.75" customHeight="1">
      <c r="S256" s="454"/>
      <c r="AN256" s="458"/>
      <c r="BA256" s="1305"/>
      <c r="BC256" s="169"/>
    </row>
    <row r="257" spans="19:55" ht="15.75" customHeight="1">
      <c r="S257" s="454"/>
      <c r="AN257" s="458"/>
      <c r="BA257" s="1305"/>
      <c r="BC257" s="169"/>
    </row>
    <row r="258" spans="19:55" ht="15.75" customHeight="1">
      <c r="S258" s="454"/>
      <c r="AN258" s="458"/>
      <c r="BA258" s="1305"/>
      <c r="BC258" s="169"/>
    </row>
    <row r="259" spans="19:55" ht="15.75" customHeight="1">
      <c r="S259" s="454"/>
      <c r="AN259" s="458"/>
      <c r="BA259" s="1305"/>
      <c r="BC259" s="169"/>
    </row>
    <row r="260" spans="19:55" ht="15.75" customHeight="1">
      <c r="S260" s="454"/>
      <c r="AN260" s="458"/>
      <c r="BA260" s="1305"/>
      <c r="BC260" s="169"/>
    </row>
    <row r="261" spans="19:55" ht="15.75" customHeight="1">
      <c r="S261" s="454"/>
      <c r="AN261" s="458"/>
      <c r="BA261" s="1305"/>
      <c r="BC261" s="169"/>
    </row>
    <row r="262" spans="19:55" ht="15.75" customHeight="1">
      <c r="S262" s="454"/>
      <c r="AN262" s="458"/>
      <c r="BA262" s="1305"/>
      <c r="BC262" s="169"/>
    </row>
    <row r="263" spans="19:55" ht="15.75" customHeight="1">
      <c r="S263" s="454"/>
      <c r="AN263" s="458"/>
      <c r="BA263" s="1305"/>
      <c r="BC263" s="169"/>
    </row>
    <row r="264" spans="19:55" ht="15.75" customHeight="1">
      <c r="S264" s="454"/>
      <c r="AN264" s="458"/>
      <c r="BA264" s="1305"/>
      <c r="BC264" s="169"/>
    </row>
    <row r="265" spans="19:55" ht="15.75" customHeight="1">
      <c r="S265" s="454"/>
      <c r="AN265" s="458"/>
      <c r="BA265" s="1305"/>
      <c r="BC265" s="169"/>
    </row>
    <row r="266" spans="19:55" ht="15.75" customHeight="1">
      <c r="S266" s="454"/>
      <c r="AN266" s="458"/>
      <c r="BA266" s="1305"/>
      <c r="BC266" s="169"/>
    </row>
    <row r="267" spans="19:55" ht="15.75" customHeight="1">
      <c r="S267" s="454"/>
      <c r="AN267" s="458"/>
      <c r="BA267" s="1305"/>
      <c r="BC267" s="169"/>
    </row>
    <row r="268" spans="19:55" ht="15.75" customHeight="1">
      <c r="S268" s="454"/>
      <c r="AN268" s="458"/>
      <c r="BA268" s="1305"/>
      <c r="BC268" s="169"/>
    </row>
    <row r="269" spans="19:55" ht="15.75" customHeight="1">
      <c r="S269" s="454"/>
      <c r="AN269" s="458"/>
      <c r="BA269" s="1305"/>
      <c r="BC269" s="169"/>
    </row>
    <row r="270" spans="19:55" ht="15.75" customHeight="1">
      <c r="S270" s="454"/>
      <c r="AN270" s="458"/>
      <c r="BA270" s="1305"/>
      <c r="BC270" s="169"/>
    </row>
    <row r="271" spans="19:55" ht="15.75" customHeight="1">
      <c r="S271" s="454"/>
      <c r="AN271" s="458"/>
      <c r="BA271" s="1305"/>
      <c r="BC271" s="169"/>
    </row>
    <row r="272" spans="19:55" ht="15.75" customHeight="1">
      <c r="S272" s="454"/>
      <c r="AN272" s="458"/>
      <c r="BA272" s="1305"/>
      <c r="BC272" s="169"/>
    </row>
    <row r="273" spans="19:55" ht="15.75" customHeight="1">
      <c r="S273" s="454"/>
      <c r="AN273" s="458"/>
      <c r="BA273" s="1305"/>
      <c r="BC273" s="169"/>
    </row>
    <row r="274" spans="19:55" ht="15.75" customHeight="1">
      <c r="S274" s="454"/>
      <c r="AN274" s="458"/>
      <c r="BA274" s="1305"/>
      <c r="BC274" s="169"/>
    </row>
    <row r="275" spans="19:55" ht="15.75" customHeight="1">
      <c r="S275" s="454"/>
      <c r="AN275" s="458"/>
      <c r="BA275" s="1305"/>
      <c r="BC275" s="169"/>
    </row>
    <row r="276" spans="19:55" ht="15.75" customHeight="1">
      <c r="S276" s="454"/>
      <c r="AN276" s="458"/>
      <c r="BA276" s="1305"/>
      <c r="BC276" s="169"/>
    </row>
    <row r="277" spans="19:55" ht="15.75" customHeight="1">
      <c r="S277" s="454"/>
      <c r="AN277" s="458"/>
      <c r="BA277" s="1305"/>
      <c r="BC277" s="169"/>
    </row>
    <row r="278" spans="19:55" ht="15.75" customHeight="1">
      <c r="S278" s="454"/>
      <c r="AN278" s="458"/>
      <c r="BA278" s="1305"/>
      <c r="BC278" s="169"/>
    </row>
    <row r="279" spans="19:55" ht="15.75" customHeight="1">
      <c r="S279" s="454"/>
      <c r="AN279" s="458"/>
      <c r="BA279" s="1305"/>
      <c r="BC279" s="169"/>
    </row>
    <row r="280" spans="19:55" ht="15.75" customHeight="1">
      <c r="S280" s="454"/>
      <c r="AN280" s="458"/>
      <c r="BA280" s="1305"/>
      <c r="BC280" s="169"/>
    </row>
    <row r="281" spans="19:55" ht="15.75" customHeight="1">
      <c r="S281" s="454"/>
      <c r="AN281" s="458"/>
      <c r="BA281" s="1305"/>
      <c r="BC281" s="169"/>
    </row>
    <row r="282" spans="19:55" ht="15.75" customHeight="1">
      <c r="S282" s="454"/>
      <c r="AN282" s="458"/>
      <c r="BA282" s="1305"/>
      <c r="BC282" s="169"/>
    </row>
    <row r="283" spans="19:55" ht="15.75" customHeight="1">
      <c r="S283" s="454"/>
      <c r="AN283" s="458"/>
      <c r="BA283" s="1305"/>
      <c r="BC283" s="169"/>
    </row>
    <row r="284" spans="19:55" ht="15.75" customHeight="1">
      <c r="S284" s="454"/>
      <c r="AN284" s="458"/>
      <c r="BA284" s="1305"/>
      <c r="BC284" s="169"/>
    </row>
    <row r="285" spans="19:55" ht="15.75" customHeight="1">
      <c r="S285" s="454"/>
      <c r="AN285" s="458"/>
      <c r="BA285" s="1305"/>
      <c r="BC285" s="169"/>
    </row>
    <row r="286" spans="19:55" ht="15.75" customHeight="1">
      <c r="S286" s="454"/>
      <c r="AN286" s="458"/>
      <c r="BA286" s="1305"/>
      <c r="BC286" s="169"/>
    </row>
    <row r="287" spans="19:55" ht="15.75" customHeight="1">
      <c r="S287" s="454"/>
      <c r="AN287" s="458"/>
      <c r="BA287" s="1305"/>
      <c r="BC287" s="169"/>
    </row>
    <row r="288" spans="19:55" ht="15.75" customHeight="1">
      <c r="S288" s="454"/>
      <c r="AN288" s="458"/>
      <c r="BA288" s="1305"/>
      <c r="BC288" s="169"/>
    </row>
    <row r="289" spans="19:55" ht="15.75" customHeight="1">
      <c r="S289" s="454"/>
      <c r="AN289" s="458"/>
      <c r="BA289" s="1305"/>
      <c r="BC289" s="169"/>
    </row>
    <row r="290" spans="19:55" ht="15.75" customHeight="1">
      <c r="S290" s="454"/>
      <c r="AN290" s="458"/>
      <c r="BA290" s="1305"/>
      <c r="BC290" s="169"/>
    </row>
    <row r="291" spans="19:55" ht="15.75" customHeight="1">
      <c r="S291" s="454"/>
      <c r="AN291" s="458"/>
      <c r="BA291" s="1305"/>
      <c r="BC291" s="169"/>
    </row>
    <row r="292" spans="19:55" ht="15.75" customHeight="1">
      <c r="S292" s="454"/>
      <c r="AN292" s="458"/>
      <c r="BA292" s="1305"/>
      <c r="BC292" s="169"/>
    </row>
    <row r="293" spans="19:55" ht="15.75" customHeight="1">
      <c r="S293" s="454"/>
      <c r="AN293" s="458"/>
      <c r="BA293" s="1305"/>
      <c r="BC293" s="169"/>
    </row>
    <row r="294" spans="19:55" ht="15.75" customHeight="1">
      <c r="S294" s="454"/>
      <c r="AN294" s="458"/>
      <c r="BA294" s="1305"/>
      <c r="BC294" s="169"/>
    </row>
    <row r="295" spans="19:55" ht="15.75" customHeight="1">
      <c r="S295" s="454"/>
      <c r="AN295" s="458"/>
      <c r="BA295" s="1305"/>
      <c r="BC295" s="169"/>
    </row>
    <row r="296" spans="19:55" ht="15.75" customHeight="1">
      <c r="S296" s="454"/>
      <c r="AN296" s="458"/>
      <c r="BA296" s="1305"/>
      <c r="BC296" s="169"/>
    </row>
    <row r="297" spans="19:55" ht="15.75" customHeight="1">
      <c r="S297" s="454"/>
      <c r="AN297" s="458"/>
      <c r="BA297" s="1305"/>
      <c r="BC297" s="169"/>
    </row>
    <row r="298" spans="19:55" ht="15.75" customHeight="1">
      <c r="S298" s="454"/>
      <c r="AN298" s="458"/>
      <c r="BA298" s="1305"/>
      <c r="BC298" s="169"/>
    </row>
    <row r="299" spans="19:55" ht="15.75" customHeight="1">
      <c r="S299" s="454"/>
      <c r="AN299" s="458"/>
      <c r="BA299" s="1305"/>
      <c r="BC299" s="169"/>
    </row>
    <row r="300" spans="19:55" ht="15.75" customHeight="1">
      <c r="S300" s="454"/>
      <c r="AN300" s="458"/>
      <c r="BA300" s="1305"/>
      <c r="BC300" s="169"/>
    </row>
    <row r="301" spans="19:55" ht="15.75" customHeight="1">
      <c r="S301" s="454"/>
      <c r="AN301" s="458"/>
      <c r="BA301" s="1305"/>
      <c r="BC301" s="169"/>
    </row>
    <row r="302" spans="19:55" ht="15.75" customHeight="1">
      <c r="S302" s="454"/>
      <c r="AN302" s="458"/>
      <c r="BA302" s="1305"/>
      <c r="BC302" s="169"/>
    </row>
    <row r="303" spans="19:55" ht="15.75" customHeight="1">
      <c r="S303" s="454"/>
      <c r="AN303" s="458"/>
      <c r="BA303" s="1305"/>
      <c r="BC303" s="169"/>
    </row>
    <row r="304" spans="19:55" ht="15.75" customHeight="1">
      <c r="S304" s="454"/>
      <c r="AN304" s="458"/>
      <c r="BA304" s="1305"/>
      <c r="BC304" s="169"/>
    </row>
    <row r="305" spans="19:55" ht="15.75" customHeight="1">
      <c r="S305" s="454"/>
      <c r="AN305" s="458"/>
      <c r="BA305" s="1305"/>
      <c r="BC305" s="169"/>
    </row>
    <row r="306" spans="19:55" ht="15.75" customHeight="1">
      <c r="S306" s="454"/>
      <c r="AN306" s="458"/>
      <c r="BA306" s="1305"/>
      <c r="BC306" s="169"/>
    </row>
    <row r="307" spans="19:55" ht="15.75" customHeight="1">
      <c r="S307" s="454"/>
      <c r="AN307" s="458"/>
      <c r="BA307" s="1305"/>
      <c r="BC307" s="169"/>
    </row>
    <row r="308" spans="19:55" ht="15.75" customHeight="1">
      <c r="S308" s="454"/>
      <c r="AN308" s="458"/>
      <c r="BA308" s="1305"/>
      <c r="BC308" s="169"/>
    </row>
    <row r="309" spans="19:55" ht="15.75" customHeight="1">
      <c r="S309" s="454"/>
      <c r="AN309" s="458"/>
      <c r="BA309" s="1305"/>
      <c r="BC309" s="169"/>
    </row>
    <row r="310" spans="19:55" ht="15.75" customHeight="1">
      <c r="S310" s="454"/>
      <c r="AN310" s="458"/>
      <c r="BA310" s="1305"/>
      <c r="BC310" s="169"/>
    </row>
    <row r="311" spans="19:55" ht="15.75" customHeight="1">
      <c r="S311" s="454"/>
      <c r="AN311" s="458"/>
      <c r="BA311" s="1305"/>
      <c r="BC311" s="169"/>
    </row>
    <row r="312" spans="19:55" ht="15.75" customHeight="1">
      <c r="S312" s="454"/>
      <c r="AN312" s="458"/>
      <c r="BA312" s="1305"/>
      <c r="BC312" s="169"/>
    </row>
    <row r="313" spans="19:55" ht="15.75" customHeight="1">
      <c r="S313" s="454"/>
      <c r="AN313" s="458"/>
      <c r="BA313" s="1305"/>
      <c r="BC313" s="169"/>
    </row>
    <row r="314" spans="19:55" ht="15.75" customHeight="1">
      <c r="S314" s="454"/>
      <c r="AN314" s="458"/>
      <c r="BA314" s="1305"/>
      <c r="BC314" s="169"/>
    </row>
    <row r="315" spans="19:55" ht="15.75" customHeight="1">
      <c r="S315" s="454"/>
      <c r="AN315" s="458"/>
      <c r="BA315" s="1305"/>
      <c r="BC315" s="169"/>
    </row>
    <row r="316" spans="19:55" ht="15.75" customHeight="1">
      <c r="S316" s="454"/>
      <c r="AN316" s="458"/>
      <c r="BA316" s="1305"/>
      <c r="BC316" s="169"/>
    </row>
    <row r="317" spans="19:55" ht="15.75" customHeight="1">
      <c r="S317" s="454"/>
      <c r="AN317" s="458"/>
      <c r="BA317" s="1305"/>
      <c r="BC317" s="169"/>
    </row>
    <row r="318" spans="19:55" ht="15.75" customHeight="1">
      <c r="S318" s="454"/>
      <c r="AN318" s="458"/>
      <c r="BA318" s="1305"/>
      <c r="BC318" s="169"/>
    </row>
    <row r="319" spans="19:55" ht="15.75" customHeight="1">
      <c r="S319" s="454"/>
      <c r="AN319" s="458"/>
      <c r="BA319" s="1305"/>
      <c r="BC319" s="169"/>
    </row>
    <row r="320" spans="19:55" ht="15.75" customHeight="1">
      <c r="S320" s="454"/>
      <c r="AN320" s="458"/>
      <c r="BA320" s="1305"/>
      <c r="BC320" s="169"/>
    </row>
    <row r="321" spans="19:55" ht="15.75" customHeight="1">
      <c r="S321" s="454"/>
      <c r="AN321" s="458"/>
      <c r="BA321" s="1305"/>
      <c r="BC321" s="169"/>
    </row>
    <row r="322" spans="19:55" ht="15.75" customHeight="1">
      <c r="S322" s="454"/>
      <c r="AN322" s="458"/>
      <c r="BA322" s="1305"/>
      <c r="BC322" s="169"/>
    </row>
    <row r="323" spans="19:55" ht="15.75" customHeight="1">
      <c r="S323" s="454"/>
      <c r="AN323" s="458"/>
      <c r="BA323" s="1305"/>
      <c r="BC323" s="169"/>
    </row>
    <row r="324" spans="19:55" ht="15.75" customHeight="1">
      <c r="S324" s="454"/>
      <c r="AN324" s="458"/>
      <c r="BA324" s="1305"/>
      <c r="BC324" s="169"/>
    </row>
    <row r="325" spans="19:55" ht="15.75" customHeight="1">
      <c r="S325" s="454"/>
      <c r="AN325" s="458"/>
      <c r="BA325" s="1305"/>
      <c r="BC325" s="169"/>
    </row>
    <row r="326" spans="19:55" ht="15.75" customHeight="1">
      <c r="S326" s="454"/>
      <c r="AN326" s="458"/>
      <c r="BA326" s="1305"/>
      <c r="BC326" s="169"/>
    </row>
    <row r="327" spans="19:55" ht="15.75" customHeight="1">
      <c r="S327" s="454"/>
      <c r="AN327" s="458"/>
      <c r="BA327" s="1305"/>
      <c r="BC327" s="169"/>
    </row>
    <row r="328" spans="19:55" ht="15.75" customHeight="1">
      <c r="S328" s="454"/>
      <c r="AN328" s="458"/>
      <c r="BA328" s="1305"/>
      <c r="BC328" s="169"/>
    </row>
    <row r="329" spans="19:55" ht="15.75" customHeight="1">
      <c r="S329" s="454"/>
      <c r="AN329" s="458"/>
      <c r="BA329" s="1305"/>
      <c r="BC329" s="169"/>
    </row>
    <row r="330" spans="19:55" ht="15.75" customHeight="1">
      <c r="S330" s="454"/>
      <c r="AN330" s="458"/>
      <c r="BA330" s="1305"/>
      <c r="BC330" s="169"/>
    </row>
    <row r="331" spans="19:55" ht="15.75" customHeight="1">
      <c r="S331" s="454"/>
      <c r="AN331" s="458"/>
      <c r="BA331" s="1305"/>
      <c r="BC331" s="169"/>
    </row>
    <row r="332" spans="19:55" ht="15.75" customHeight="1">
      <c r="S332" s="454"/>
      <c r="AN332" s="458"/>
      <c r="BA332" s="1305"/>
      <c r="BC332" s="169"/>
    </row>
    <row r="333" spans="19:55" ht="15.75" customHeight="1">
      <c r="S333" s="454"/>
      <c r="AN333" s="458"/>
      <c r="BA333" s="1305"/>
      <c r="BC333" s="169"/>
    </row>
    <row r="334" spans="19:55" ht="15.75" customHeight="1">
      <c r="S334" s="454"/>
      <c r="AN334" s="458"/>
      <c r="BA334" s="1305"/>
      <c r="BC334" s="169"/>
    </row>
    <row r="335" spans="19:55" ht="15.75" customHeight="1">
      <c r="S335" s="454"/>
      <c r="AN335" s="458"/>
      <c r="BA335" s="1305"/>
      <c r="BC335" s="169"/>
    </row>
    <row r="336" spans="19:55" ht="15.75" customHeight="1">
      <c r="S336" s="454"/>
      <c r="AN336" s="458"/>
      <c r="BA336" s="1305"/>
      <c r="BC336" s="169"/>
    </row>
    <row r="337" spans="19:55" ht="15.75" customHeight="1">
      <c r="S337" s="454"/>
      <c r="AN337" s="458"/>
      <c r="BA337" s="1305"/>
      <c r="BC337" s="169"/>
    </row>
    <row r="338" spans="19:55" ht="15.75" customHeight="1">
      <c r="S338" s="454"/>
      <c r="AN338" s="458"/>
      <c r="BA338" s="1305"/>
      <c r="BC338" s="169"/>
    </row>
    <row r="339" spans="19:55" ht="15.75" customHeight="1">
      <c r="S339" s="454"/>
      <c r="AN339" s="458"/>
      <c r="BA339" s="1305"/>
      <c r="BC339" s="169"/>
    </row>
    <row r="340" spans="19:55" ht="15.75" customHeight="1">
      <c r="S340" s="454"/>
      <c r="AN340" s="458"/>
      <c r="BA340" s="1305"/>
      <c r="BC340" s="169"/>
    </row>
    <row r="341" spans="19:55" ht="15.75" customHeight="1">
      <c r="S341" s="454"/>
      <c r="AN341" s="458"/>
      <c r="BA341" s="1305"/>
      <c r="BC341" s="169"/>
    </row>
    <row r="342" spans="19:55" ht="15.75" customHeight="1">
      <c r="S342" s="454"/>
      <c r="AN342" s="458"/>
      <c r="BA342" s="1305"/>
      <c r="BC342" s="169"/>
    </row>
    <row r="343" spans="19:55" ht="15.75" customHeight="1">
      <c r="S343" s="454"/>
      <c r="AN343" s="458"/>
      <c r="BA343" s="1305"/>
      <c r="BC343" s="169"/>
    </row>
    <row r="344" spans="19:55" ht="15.75" customHeight="1">
      <c r="S344" s="454"/>
      <c r="AN344" s="458"/>
      <c r="BA344" s="1305"/>
      <c r="BC344" s="169"/>
    </row>
    <row r="345" spans="19:55" ht="15.75" customHeight="1">
      <c r="S345" s="454"/>
      <c r="AN345" s="458"/>
      <c r="BA345" s="1305"/>
      <c r="BC345" s="169"/>
    </row>
    <row r="346" spans="19:55" ht="15.75" customHeight="1">
      <c r="S346" s="454"/>
      <c r="AN346" s="458"/>
      <c r="BA346" s="1305"/>
      <c r="BC346" s="169"/>
    </row>
    <row r="347" spans="19:55" ht="15.75" customHeight="1">
      <c r="S347" s="454"/>
      <c r="AN347" s="458"/>
      <c r="BA347" s="1305"/>
      <c r="BC347" s="169"/>
    </row>
    <row r="348" spans="19:55" ht="15.75" customHeight="1">
      <c r="S348" s="454"/>
      <c r="AN348" s="458"/>
      <c r="BA348" s="1305"/>
      <c r="BC348" s="169"/>
    </row>
    <row r="349" spans="19:55" ht="15.75" customHeight="1">
      <c r="S349" s="454"/>
      <c r="AN349" s="458"/>
      <c r="BA349" s="1305"/>
      <c r="BC349" s="169"/>
    </row>
    <row r="350" spans="19:55" ht="15.75" customHeight="1">
      <c r="S350" s="454"/>
      <c r="AN350" s="458"/>
      <c r="BA350" s="1305"/>
      <c r="BC350" s="169"/>
    </row>
    <row r="351" spans="19:55" ht="15.75" customHeight="1">
      <c r="S351" s="454"/>
      <c r="AN351" s="458"/>
      <c r="BA351" s="1305"/>
      <c r="BC351" s="169"/>
    </row>
    <row r="352" spans="19:55" ht="15.75" customHeight="1">
      <c r="S352" s="454"/>
      <c r="AN352" s="458"/>
      <c r="BA352" s="1305"/>
      <c r="BC352" s="169"/>
    </row>
    <row r="353" spans="19:55" ht="15.75" customHeight="1">
      <c r="S353" s="454"/>
      <c r="AN353" s="458"/>
      <c r="BA353" s="1305"/>
      <c r="BC353" s="169"/>
    </row>
    <row r="354" spans="19:55" ht="15.75" customHeight="1">
      <c r="S354" s="454"/>
      <c r="AN354" s="458"/>
      <c r="BA354" s="1305"/>
      <c r="BC354" s="169"/>
    </row>
    <row r="355" spans="19:55" ht="15.75" customHeight="1">
      <c r="S355" s="454"/>
      <c r="AN355" s="458"/>
      <c r="BA355" s="1305"/>
      <c r="BC355" s="169"/>
    </row>
    <row r="356" spans="19:55" ht="15.75" customHeight="1">
      <c r="S356" s="454"/>
      <c r="AN356" s="458"/>
      <c r="BA356" s="1305"/>
      <c r="BC356" s="169"/>
    </row>
    <row r="357" spans="19:55" ht="15.75" customHeight="1">
      <c r="S357" s="454"/>
      <c r="AN357" s="458"/>
      <c r="BA357" s="1305"/>
      <c r="BC357" s="169"/>
    </row>
    <row r="358" spans="19:55" ht="15.75" customHeight="1">
      <c r="S358" s="454"/>
      <c r="AN358" s="458"/>
      <c r="BA358" s="1305"/>
      <c r="BC358" s="169"/>
    </row>
    <row r="359" spans="19:55" ht="15.75" customHeight="1">
      <c r="S359" s="454"/>
      <c r="AN359" s="458"/>
      <c r="BA359" s="1305"/>
      <c r="BC359" s="169"/>
    </row>
    <row r="360" spans="19:55" ht="15.75" customHeight="1">
      <c r="S360" s="454"/>
      <c r="AN360" s="458"/>
      <c r="BA360" s="1305"/>
      <c r="BC360" s="169"/>
    </row>
    <row r="361" spans="19:55" ht="15.75" customHeight="1">
      <c r="S361" s="454"/>
      <c r="AN361" s="458"/>
      <c r="BA361" s="1305"/>
      <c r="BC361" s="169"/>
    </row>
    <row r="362" spans="19:55" ht="15.75" customHeight="1">
      <c r="S362" s="454"/>
      <c r="AN362" s="458"/>
      <c r="BA362" s="1305"/>
      <c r="BC362" s="169"/>
    </row>
    <row r="363" spans="19:55" ht="15.75" customHeight="1">
      <c r="S363" s="454"/>
      <c r="AN363" s="458"/>
      <c r="BA363" s="1305"/>
      <c r="BC363" s="169"/>
    </row>
    <row r="364" spans="19:55" ht="15.75" customHeight="1">
      <c r="S364" s="454"/>
      <c r="AN364" s="458"/>
      <c r="BA364" s="1305"/>
      <c r="BC364" s="169"/>
    </row>
    <row r="365" spans="19:55" ht="15.75" customHeight="1">
      <c r="S365" s="454"/>
      <c r="AN365" s="458"/>
      <c r="BA365" s="1305"/>
      <c r="BC365" s="169"/>
    </row>
    <row r="366" spans="19:55" ht="15.75" customHeight="1">
      <c r="S366" s="454"/>
      <c r="AN366" s="458"/>
      <c r="BA366" s="1305"/>
      <c r="BC366" s="169"/>
    </row>
    <row r="367" spans="19:55" ht="15.75" customHeight="1">
      <c r="S367" s="454"/>
      <c r="AN367" s="458"/>
      <c r="BA367" s="1305"/>
      <c r="BC367" s="169"/>
    </row>
    <row r="368" spans="19:55" ht="15.75" customHeight="1">
      <c r="S368" s="454"/>
      <c r="AN368" s="458"/>
      <c r="BA368" s="1305"/>
      <c r="BC368" s="169"/>
    </row>
    <row r="369" spans="19:55" ht="15.75" customHeight="1">
      <c r="S369" s="454"/>
      <c r="AN369" s="458"/>
      <c r="BA369" s="1305"/>
      <c r="BC369" s="169"/>
    </row>
    <row r="370" spans="19:55" ht="15.75" customHeight="1">
      <c r="S370" s="454"/>
      <c r="AN370" s="458"/>
      <c r="BA370" s="1305"/>
      <c r="BC370" s="169"/>
    </row>
    <row r="371" spans="19:55" ht="15.75" customHeight="1">
      <c r="S371" s="454"/>
      <c r="AN371" s="458"/>
      <c r="BA371" s="1305"/>
      <c r="BC371" s="169"/>
    </row>
    <row r="372" spans="19:55" ht="15.75" customHeight="1">
      <c r="S372" s="454"/>
      <c r="AN372" s="458"/>
      <c r="BA372" s="1305"/>
      <c r="BC372" s="169"/>
    </row>
    <row r="373" spans="19:55" ht="15.75" customHeight="1">
      <c r="S373" s="454"/>
      <c r="AN373" s="458"/>
      <c r="BA373" s="1305"/>
      <c r="BC373" s="169"/>
    </row>
    <row r="374" spans="19:55" ht="15.75" customHeight="1">
      <c r="S374" s="454"/>
      <c r="AN374" s="458"/>
      <c r="BA374" s="1305"/>
      <c r="BC374" s="169"/>
    </row>
    <row r="375" spans="19:55" ht="15.75" customHeight="1">
      <c r="S375" s="454"/>
      <c r="AN375" s="458"/>
      <c r="BA375" s="1305"/>
      <c r="BC375" s="169"/>
    </row>
    <row r="376" spans="19:55" ht="15.75" customHeight="1">
      <c r="S376" s="454"/>
      <c r="AN376" s="458"/>
      <c r="BA376" s="1305"/>
      <c r="BC376" s="169"/>
    </row>
    <row r="377" spans="19:55" ht="15.75" customHeight="1">
      <c r="S377" s="454"/>
      <c r="AN377" s="458"/>
      <c r="BA377" s="1305"/>
      <c r="BC377" s="169"/>
    </row>
    <row r="378" spans="19:55" ht="15.75" customHeight="1">
      <c r="S378" s="454"/>
      <c r="AN378" s="458"/>
      <c r="BA378" s="1305"/>
      <c r="BC378" s="169"/>
    </row>
    <row r="379" spans="19:55" ht="15.75" customHeight="1">
      <c r="S379" s="454"/>
      <c r="AN379" s="458"/>
      <c r="BA379" s="1305"/>
      <c r="BC379" s="169"/>
    </row>
    <row r="380" spans="19:55" ht="15.75" customHeight="1">
      <c r="S380" s="454"/>
      <c r="AN380" s="458"/>
      <c r="BA380" s="1305"/>
      <c r="BC380" s="169"/>
    </row>
    <row r="381" spans="19:55" ht="15.75" customHeight="1">
      <c r="S381" s="454"/>
      <c r="AN381" s="458"/>
      <c r="BA381" s="1305"/>
      <c r="BC381" s="169"/>
    </row>
    <row r="382" spans="19:55" ht="15.75" customHeight="1">
      <c r="S382" s="454"/>
      <c r="AN382" s="458"/>
      <c r="BA382" s="1305"/>
      <c r="BC382" s="169"/>
    </row>
    <row r="383" spans="19:55" ht="15.75" customHeight="1">
      <c r="S383" s="454"/>
      <c r="AN383" s="458"/>
      <c r="BA383" s="1305"/>
      <c r="BC383" s="169"/>
    </row>
    <row r="384" spans="19:55" ht="15.75" customHeight="1">
      <c r="S384" s="454"/>
      <c r="AN384" s="458"/>
      <c r="BA384" s="1305"/>
      <c r="BC384" s="169"/>
    </row>
    <row r="385" spans="19:55" ht="15.75" customHeight="1">
      <c r="S385" s="454"/>
      <c r="AN385" s="458"/>
      <c r="BA385" s="1305"/>
      <c r="BC385" s="169"/>
    </row>
    <row r="386" spans="19:55" ht="15.75" customHeight="1">
      <c r="S386" s="454"/>
      <c r="AN386" s="458"/>
      <c r="BA386" s="1305"/>
      <c r="BC386" s="169"/>
    </row>
    <row r="387" spans="19:55" ht="15.75" customHeight="1">
      <c r="S387" s="454"/>
      <c r="AN387" s="458"/>
      <c r="BA387" s="1305"/>
      <c r="BC387" s="169"/>
    </row>
    <row r="388" spans="19:55" ht="15.75" customHeight="1">
      <c r="S388" s="454"/>
      <c r="AN388" s="458"/>
      <c r="BA388" s="1305"/>
      <c r="BC388" s="169"/>
    </row>
    <row r="389" spans="19:55" ht="15.75" customHeight="1">
      <c r="S389" s="454"/>
      <c r="AN389" s="458"/>
      <c r="BA389" s="1305"/>
      <c r="BC389" s="169"/>
    </row>
    <row r="390" spans="19:55" ht="15.75" customHeight="1">
      <c r="S390" s="454"/>
      <c r="AN390" s="458"/>
      <c r="BA390" s="1305"/>
      <c r="BC390" s="169"/>
    </row>
    <row r="391" spans="19:55" ht="15.75" customHeight="1">
      <c r="S391" s="454"/>
      <c r="AN391" s="458"/>
      <c r="BA391" s="1305"/>
      <c r="BC391" s="169"/>
    </row>
    <row r="392" spans="19:55" ht="15.75" customHeight="1">
      <c r="S392" s="454"/>
      <c r="AN392" s="458"/>
      <c r="BA392" s="1305"/>
      <c r="BC392" s="169"/>
    </row>
    <row r="393" spans="19:55" ht="15.75" customHeight="1">
      <c r="S393" s="454"/>
      <c r="AN393" s="458"/>
      <c r="BA393" s="1305"/>
      <c r="BC393" s="169"/>
    </row>
    <row r="394" spans="19:55" ht="15.75" customHeight="1">
      <c r="S394" s="454"/>
      <c r="AN394" s="458"/>
      <c r="BA394" s="1305"/>
      <c r="BC394" s="169"/>
    </row>
    <row r="395" spans="19:55" ht="15.75" customHeight="1">
      <c r="S395" s="454"/>
      <c r="AN395" s="458"/>
      <c r="BA395" s="1305"/>
      <c r="BC395" s="169"/>
    </row>
    <row r="396" spans="19:55" ht="15.75" customHeight="1">
      <c r="S396" s="454"/>
      <c r="AN396" s="458"/>
      <c r="BA396" s="1305"/>
      <c r="BC396" s="169"/>
    </row>
    <row r="397" spans="19:55" ht="15.75" customHeight="1">
      <c r="S397" s="454"/>
      <c r="AN397" s="458"/>
      <c r="BA397" s="1305"/>
      <c r="BC397" s="169"/>
    </row>
    <row r="398" spans="19:55" ht="15.75" customHeight="1">
      <c r="S398" s="454"/>
      <c r="AN398" s="458"/>
      <c r="BA398" s="1305"/>
      <c r="BC398" s="169"/>
    </row>
    <row r="399" spans="19:55" ht="15.75" customHeight="1">
      <c r="S399" s="454"/>
      <c r="AN399" s="458"/>
      <c r="BA399" s="1305"/>
      <c r="BC399" s="169"/>
    </row>
    <row r="400" spans="19:55" ht="15.75" customHeight="1">
      <c r="S400" s="454"/>
      <c r="AN400" s="458"/>
      <c r="BA400" s="1305"/>
      <c r="BC400" s="169"/>
    </row>
    <row r="401" spans="19:55" ht="15.75" customHeight="1">
      <c r="S401" s="454"/>
      <c r="AN401" s="458"/>
      <c r="BA401" s="1305"/>
      <c r="BC401" s="169"/>
    </row>
    <row r="402" spans="19:55" ht="15.75" customHeight="1">
      <c r="S402" s="454"/>
      <c r="AN402" s="458"/>
      <c r="BA402" s="1305"/>
      <c r="BC402" s="169"/>
    </row>
    <row r="403" spans="19:55" ht="15.75" customHeight="1">
      <c r="S403" s="454"/>
      <c r="AN403" s="458"/>
      <c r="BA403" s="1305"/>
      <c r="BC403" s="169"/>
    </row>
    <row r="404" spans="19:55" ht="15.75" customHeight="1">
      <c r="S404" s="454"/>
      <c r="AN404" s="458"/>
      <c r="BA404" s="1305"/>
      <c r="BC404" s="169"/>
    </row>
    <row r="405" spans="19:55" ht="15.75" customHeight="1">
      <c r="S405" s="454"/>
      <c r="AN405" s="458"/>
      <c r="BA405" s="1305"/>
      <c r="BC405" s="169"/>
    </row>
    <row r="406" spans="19:55" ht="15.75" customHeight="1">
      <c r="S406" s="454"/>
      <c r="AN406" s="458"/>
      <c r="BA406" s="1305"/>
      <c r="BC406" s="169"/>
    </row>
    <row r="407" spans="19:55" ht="15.75" customHeight="1">
      <c r="S407" s="454"/>
      <c r="AN407" s="458"/>
      <c r="BA407" s="1305"/>
      <c r="BC407" s="169"/>
    </row>
    <row r="408" spans="19:55" ht="15.75" customHeight="1">
      <c r="S408" s="454"/>
      <c r="AN408" s="458"/>
      <c r="BA408" s="1305"/>
      <c r="BC408" s="169"/>
    </row>
    <row r="409" spans="19:55" ht="15.75" customHeight="1">
      <c r="S409" s="454"/>
      <c r="AN409" s="458"/>
      <c r="BA409" s="1305"/>
      <c r="BC409" s="169"/>
    </row>
    <row r="410" spans="19:55" ht="15.75" customHeight="1">
      <c r="S410" s="454"/>
      <c r="AN410" s="458"/>
      <c r="BA410" s="1305"/>
      <c r="BC410" s="169"/>
    </row>
    <row r="411" spans="19:55" ht="15.75" customHeight="1">
      <c r="S411" s="454"/>
      <c r="AN411" s="458"/>
      <c r="BA411" s="1305"/>
      <c r="BC411" s="169"/>
    </row>
    <row r="412" spans="19:55" ht="15.75" customHeight="1">
      <c r="S412" s="454"/>
      <c r="AN412" s="458"/>
      <c r="BA412" s="1305"/>
      <c r="BC412" s="169"/>
    </row>
    <row r="413" spans="19:55" ht="15.75" customHeight="1">
      <c r="S413" s="454"/>
      <c r="AN413" s="458"/>
      <c r="BA413" s="1305"/>
      <c r="BC413" s="169"/>
    </row>
    <row r="414" spans="19:55" ht="15.75" customHeight="1">
      <c r="S414" s="454"/>
      <c r="AN414" s="458"/>
      <c r="BA414" s="1305"/>
      <c r="BC414" s="169"/>
    </row>
    <row r="415" spans="19:55" ht="15.75" customHeight="1">
      <c r="S415" s="454"/>
      <c r="AN415" s="458"/>
      <c r="BA415" s="1305"/>
      <c r="BC415" s="169"/>
    </row>
    <row r="416" spans="19:55" ht="15.75" customHeight="1">
      <c r="S416" s="454"/>
      <c r="AN416" s="458"/>
      <c r="BA416" s="1305"/>
      <c r="BC416" s="169"/>
    </row>
    <row r="417" spans="19:55" ht="15.75" customHeight="1">
      <c r="S417" s="454"/>
      <c r="AN417" s="458"/>
      <c r="BA417" s="1305"/>
      <c r="BC417" s="169"/>
    </row>
    <row r="418" spans="19:55" ht="15.75" customHeight="1">
      <c r="S418" s="454"/>
      <c r="AN418" s="458"/>
      <c r="BA418" s="1305"/>
      <c r="BC418" s="169"/>
    </row>
    <row r="419" spans="19:55" ht="15.75" customHeight="1">
      <c r="S419" s="454"/>
      <c r="AN419" s="458"/>
      <c r="BA419" s="1305"/>
      <c r="BC419" s="169"/>
    </row>
    <row r="420" spans="19:55" ht="15.75" customHeight="1">
      <c r="S420" s="454"/>
      <c r="AN420" s="458"/>
      <c r="BA420" s="1305"/>
      <c r="BC420" s="169"/>
    </row>
    <row r="421" spans="19:55" ht="15.75" customHeight="1">
      <c r="S421" s="454"/>
      <c r="AN421" s="458"/>
      <c r="BA421" s="1305"/>
      <c r="BC421" s="169"/>
    </row>
    <row r="422" spans="19:55" ht="15.75" customHeight="1">
      <c r="S422" s="454"/>
      <c r="AN422" s="458"/>
      <c r="BA422" s="1305"/>
      <c r="BC422" s="169"/>
    </row>
    <row r="423" spans="19:55" ht="15.75" customHeight="1">
      <c r="S423" s="454"/>
      <c r="AN423" s="458"/>
      <c r="BA423" s="1305"/>
      <c r="BC423" s="169"/>
    </row>
    <row r="424" spans="19:55" ht="15.75" customHeight="1">
      <c r="S424" s="454"/>
      <c r="AN424" s="458"/>
      <c r="BA424" s="1305"/>
      <c r="BC424" s="169"/>
    </row>
    <row r="425" spans="19:55" ht="15.75" customHeight="1">
      <c r="S425" s="454"/>
      <c r="AN425" s="458"/>
      <c r="BA425" s="1305"/>
      <c r="BC425" s="169"/>
    </row>
    <row r="426" spans="19:55" ht="15.75" customHeight="1">
      <c r="S426" s="454"/>
      <c r="AN426" s="458"/>
      <c r="BA426" s="1305"/>
      <c r="BC426" s="169"/>
    </row>
    <row r="427" spans="19:55" ht="15.75" customHeight="1">
      <c r="S427" s="454"/>
      <c r="AN427" s="458"/>
      <c r="BA427" s="1305"/>
      <c r="BC427" s="169"/>
    </row>
    <row r="428" spans="19:55" ht="15.75" customHeight="1">
      <c r="S428" s="454"/>
      <c r="AN428" s="458"/>
      <c r="BA428" s="1305"/>
      <c r="BC428" s="169"/>
    </row>
    <row r="429" spans="19:55" ht="15.75" customHeight="1">
      <c r="S429" s="454"/>
      <c r="AN429" s="458"/>
      <c r="BA429" s="1305"/>
      <c r="BC429" s="169"/>
    </row>
    <row r="430" spans="19:55" ht="15.75" customHeight="1">
      <c r="S430" s="454"/>
      <c r="AN430" s="458"/>
      <c r="BA430" s="1305"/>
      <c r="BC430" s="169"/>
    </row>
    <row r="431" spans="19:55" ht="15.75" customHeight="1">
      <c r="S431" s="454"/>
      <c r="AN431" s="458"/>
      <c r="BA431" s="1305"/>
      <c r="BC431" s="169"/>
    </row>
    <row r="432" spans="19:55" ht="15.75" customHeight="1">
      <c r="S432" s="454"/>
      <c r="AN432" s="458"/>
      <c r="BA432" s="1305"/>
      <c r="BC432" s="169"/>
    </row>
    <row r="433" spans="19:55" ht="15.75" customHeight="1">
      <c r="S433" s="454"/>
      <c r="AN433" s="458"/>
      <c r="BA433" s="1305"/>
      <c r="BC433" s="169"/>
    </row>
    <row r="434" spans="19:55" ht="15.75" customHeight="1">
      <c r="S434" s="454"/>
      <c r="AN434" s="458"/>
      <c r="BA434" s="1305"/>
      <c r="BC434" s="169"/>
    </row>
    <row r="435" spans="19:55" ht="15.75" customHeight="1">
      <c r="S435" s="454"/>
      <c r="AN435" s="458"/>
      <c r="BA435" s="1305"/>
      <c r="BC435" s="169"/>
    </row>
    <row r="436" spans="19:55" ht="15.75" customHeight="1">
      <c r="S436" s="454"/>
      <c r="AN436" s="458"/>
      <c r="BA436" s="1305"/>
      <c r="BC436" s="169"/>
    </row>
    <row r="437" spans="19:55" ht="15.75" customHeight="1">
      <c r="S437" s="454"/>
      <c r="AN437" s="458"/>
      <c r="BA437" s="1305"/>
      <c r="BC437" s="169"/>
    </row>
    <row r="438" spans="19:55" ht="15.75" customHeight="1">
      <c r="S438" s="454"/>
      <c r="AN438" s="458"/>
      <c r="BA438" s="1305"/>
      <c r="BC438" s="169"/>
    </row>
    <row r="439" spans="19:55" ht="15.75" customHeight="1">
      <c r="S439" s="454"/>
      <c r="AN439" s="458"/>
      <c r="BA439" s="1305"/>
      <c r="BC439" s="169"/>
    </row>
    <row r="440" spans="19:55" ht="15.75" customHeight="1">
      <c r="S440" s="454"/>
      <c r="AN440" s="458"/>
      <c r="BA440" s="1305"/>
      <c r="BC440" s="169"/>
    </row>
    <row r="441" spans="19:55" ht="15.75" customHeight="1">
      <c r="S441" s="454"/>
      <c r="AN441" s="458"/>
      <c r="BA441" s="1305"/>
      <c r="BC441" s="169"/>
    </row>
    <row r="442" spans="19:55" ht="15.75" customHeight="1">
      <c r="S442" s="454"/>
      <c r="AN442" s="458"/>
      <c r="BA442" s="1305"/>
      <c r="BC442" s="169"/>
    </row>
    <row r="443" spans="19:55" ht="15.75" customHeight="1">
      <c r="S443" s="454"/>
      <c r="AN443" s="458"/>
      <c r="BA443" s="1305"/>
      <c r="BC443" s="169"/>
    </row>
    <row r="444" spans="19:55" ht="15.75" customHeight="1">
      <c r="S444" s="454"/>
      <c r="AN444" s="458"/>
      <c r="BA444" s="1305"/>
      <c r="BC444" s="169"/>
    </row>
    <row r="445" spans="19:55" ht="15.75" customHeight="1">
      <c r="S445" s="454"/>
      <c r="AN445" s="458"/>
      <c r="BA445" s="1305"/>
      <c r="BC445" s="169"/>
    </row>
    <row r="446" spans="19:55" ht="15.75" customHeight="1">
      <c r="S446" s="454"/>
      <c r="AN446" s="458"/>
      <c r="BA446" s="1305"/>
      <c r="BC446" s="169"/>
    </row>
    <row r="447" spans="19:55" ht="15.75" customHeight="1">
      <c r="S447" s="454"/>
      <c r="AN447" s="458"/>
      <c r="BA447" s="1305"/>
      <c r="BC447" s="169"/>
    </row>
    <row r="448" spans="19:55" ht="15.75" customHeight="1">
      <c r="S448" s="454"/>
      <c r="AN448" s="458"/>
      <c r="BA448" s="1305"/>
      <c r="BC448" s="169"/>
    </row>
    <row r="449" spans="19:55" ht="15.75" customHeight="1">
      <c r="S449" s="454"/>
      <c r="AN449" s="458"/>
      <c r="BA449" s="1305"/>
      <c r="BC449" s="169"/>
    </row>
    <row r="450" spans="19:55" ht="15.75" customHeight="1">
      <c r="S450" s="454"/>
      <c r="AN450" s="458"/>
      <c r="BA450" s="1305"/>
      <c r="BC450" s="169"/>
    </row>
    <row r="451" spans="19:55" ht="15.75" customHeight="1">
      <c r="S451" s="454"/>
      <c r="AN451" s="458"/>
      <c r="BA451" s="1305"/>
      <c r="BC451" s="169"/>
    </row>
    <row r="452" spans="19:55" ht="15.75" customHeight="1">
      <c r="S452" s="454"/>
      <c r="AN452" s="458"/>
      <c r="BA452" s="1305"/>
      <c r="BC452" s="169"/>
    </row>
    <row r="453" spans="19:55" ht="15.75" customHeight="1">
      <c r="S453" s="454"/>
      <c r="AN453" s="458"/>
      <c r="BA453" s="1305"/>
      <c r="BC453" s="169"/>
    </row>
    <row r="454" spans="19:55" ht="15.75" customHeight="1">
      <c r="S454" s="454"/>
      <c r="AN454" s="458"/>
      <c r="BA454" s="1305"/>
      <c r="BC454" s="169"/>
    </row>
    <row r="455" spans="19:55" ht="15.75" customHeight="1">
      <c r="S455" s="454"/>
      <c r="AN455" s="458"/>
      <c r="BA455" s="1305"/>
      <c r="BC455" s="169"/>
    </row>
    <row r="456" spans="19:55" ht="15.75" customHeight="1">
      <c r="S456" s="454"/>
      <c r="AN456" s="458"/>
      <c r="BA456" s="1305"/>
      <c r="BC456" s="169"/>
    </row>
    <row r="457" spans="19:55" ht="15.75" customHeight="1">
      <c r="S457" s="454"/>
      <c r="AN457" s="458"/>
      <c r="BA457" s="1305"/>
      <c r="BC457" s="169"/>
    </row>
    <row r="458" spans="19:55" ht="15.75" customHeight="1">
      <c r="S458" s="454"/>
      <c r="AN458" s="458"/>
      <c r="BA458" s="1305"/>
      <c r="BC458" s="169"/>
    </row>
    <row r="459" spans="19:55" ht="15.75" customHeight="1">
      <c r="S459" s="454"/>
      <c r="AN459" s="458"/>
      <c r="BA459" s="1305"/>
      <c r="BC459" s="169"/>
    </row>
    <row r="460" spans="19:55" ht="15.75" customHeight="1">
      <c r="S460" s="454"/>
      <c r="AN460" s="458"/>
      <c r="BA460" s="1305"/>
      <c r="BC460" s="169"/>
    </row>
    <row r="461" spans="19:55" ht="15.75" customHeight="1">
      <c r="S461" s="454"/>
      <c r="AN461" s="458"/>
      <c r="BA461" s="1305"/>
      <c r="BC461" s="169"/>
    </row>
    <row r="462" spans="19:55" ht="15.75" customHeight="1">
      <c r="S462" s="454"/>
      <c r="AN462" s="458"/>
      <c r="BA462" s="1305"/>
      <c r="BC462" s="169"/>
    </row>
    <row r="463" spans="19:55" ht="15.75" customHeight="1">
      <c r="S463" s="454"/>
      <c r="AN463" s="458"/>
      <c r="BA463" s="1305"/>
      <c r="BC463" s="169"/>
    </row>
    <row r="464" spans="19:55" ht="15.75" customHeight="1">
      <c r="S464" s="454"/>
      <c r="AN464" s="458"/>
      <c r="BA464" s="1305"/>
      <c r="BC464" s="169"/>
    </row>
    <row r="465" spans="19:55" ht="15.75" customHeight="1">
      <c r="S465" s="454"/>
      <c r="AN465" s="458"/>
      <c r="BA465" s="1305"/>
      <c r="BC465" s="169"/>
    </row>
    <row r="466" spans="19:55" ht="15.75" customHeight="1">
      <c r="S466" s="454"/>
      <c r="AN466" s="458"/>
      <c r="BA466" s="1305"/>
      <c r="BC466" s="169"/>
    </row>
    <row r="467" spans="19:55" ht="15.75" customHeight="1">
      <c r="S467" s="454"/>
      <c r="AN467" s="458"/>
      <c r="BA467" s="1305"/>
      <c r="BC467" s="169"/>
    </row>
    <row r="468" spans="19:55" ht="15.75" customHeight="1">
      <c r="S468" s="454"/>
      <c r="AN468" s="458"/>
      <c r="BA468" s="1305"/>
      <c r="BC468" s="169"/>
    </row>
    <row r="469" spans="19:55" ht="15.75" customHeight="1">
      <c r="S469" s="454"/>
      <c r="AN469" s="458"/>
      <c r="BA469" s="1305"/>
      <c r="BC469" s="169"/>
    </row>
    <row r="470" spans="19:55" ht="15.75" customHeight="1">
      <c r="S470" s="454"/>
      <c r="AN470" s="458"/>
      <c r="BA470" s="1305"/>
      <c r="BC470" s="169"/>
    </row>
    <row r="471" spans="19:55" ht="15.75" customHeight="1">
      <c r="S471" s="454"/>
      <c r="AN471" s="458"/>
      <c r="BA471" s="1305"/>
      <c r="BC471" s="169"/>
    </row>
    <row r="472" spans="19:55" ht="15.75" customHeight="1">
      <c r="S472" s="454"/>
      <c r="AN472" s="458"/>
      <c r="BA472" s="1305"/>
      <c r="BC472" s="169"/>
    </row>
    <row r="473" spans="19:55" ht="15.75" customHeight="1">
      <c r="S473" s="454"/>
      <c r="AN473" s="458"/>
      <c r="BA473" s="1305"/>
      <c r="BC473" s="169"/>
    </row>
    <row r="474" spans="19:55" ht="15.75" customHeight="1">
      <c r="S474" s="454"/>
      <c r="AN474" s="458"/>
      <c r="BA474" s="1305"/>
      <c r="BC474" s="169"/>
    </row>
    <row r="475" spans="19:55" ht="15.75" customHeight="1">
      <c r="S475" s="454"/>
      <c r="AN475" s="458"/>
      <c r="BA475" s="1305"/>
      <c r="BC475" s="169"/>
    </row>
    <row r="476" spans="19:55" ht="15.75" customHeight="1">
      <c r="S476" s="454"/>
      <c r="AN476" s="458"/>
      <c r="BA476" s="1305"/>
      <c r="BC476" s="169"/>
    </row>
    <row r="477" spans="19:55" ht="15.75" customHeight="1">
      <c r="S477" s="454"/>
      <c r="AN477" s="458"/>
      <c r="BA477" s="1305"/>
      <c r="BC477" s="169"/>
    </row>
    <row r="478" spans="19:55" ht="15.75" customHeight="1">
      <c r="S478" s="454"/>
      <c r="AN478" s="458"/>
      <c r="BA478" s="1305"/>
      <c r="BC478" s="169"/>
    </row>
    <row r="479" spans="19:55" ht="15.75" customHeight="1">
      <c r="S479" s="454"/>
      <c r="AN479" s="458"/>
      <c r="BA479" s="1305"/>
      <c r="BC479" s="169"/>
    </row>
    <row r="480" spans="19:55" ht="15.75" customHeight="1">
      <c r="S480" s="454"/>
      <c r="AN480" s="458"/>
      <c r="BA480" s="1305"/>
      <c r="BC480" s="169"/>
    </row>
    <row r="481" spans="19:55" ht="15.75" customHeight="1">
      <c r="S481" s="454"/>
      <c r="AN481" s="458"/>
      <c r="BA481" s="1305"/>
      <c r="BC481" s="169"/>
    </row>
    <row r="482" spans="19:55" ht="15.75" customHeight="1">
      <c r="S482" s="454"/>
      <c r="AN482" s="458"/>
      <c r="BA482" s="1305"/>
      <c r="BC482" s="169"/>
    </row>
    <row r="483" spans="19:55" ht="15.75" customHeight="1">
      <c r="S483" s="454"/>
      <c r="AN483" s="458"/>
      <c r="BA483" s="1305"/>
      <c r="BC483" s="169"/>
    </row>
    <row r="484" spans="19:55" ht="15.75" customHeight="1">
      <c r="S484" s="454"/>
      <c r="AN484" s="458"/>
      <c r="BA484" s="1305"/>
      <c r="BC484" s="169"/>
    </row>
    <row r="485" spans="19:55" ht="15.75" customHeight="1">
      <c r="S485" s="454"/>
      <c r="AN485" s="458"/>
      <c r="BA485" s="1305"/>
      <c r="BC485" s="169"/>
    </row>
    <row r="486" spans="19:55" ht="15.75" customHeight="1">
      <c r="S486" s="454"/>
      <c r="AN486" s="458"/>
      <c r="BA486" s="1305"/>
      <c r="BC486" s="169"/>
    </row>
    <row r="487" spans="19:55" ht="15.75" customHeight="1">
      <c r="S487" s="454"/>
      <c r="AN487" s="458"/>
      <c r="BA487" s="1305"/>
      <c r="BC487" s="169"/>
    </row>
    <row r="488" spans="19:55" ht="15.75" customHeight="1">
      <c r="S488" s="454"/>
      <c r="AN488" s="458"/>
      <c r="BA488" s="1305"/>
      <c r="BC488" s="169"/>
    </row>
    <row r="489" spans="19:55" ht="15.75" customHeight="1">
      <c r="S489" s="454"/>
      <c r="AN489" s="458"/>
      <c r="BA489" s="1305"/>
      <c r="BC489" s="169"/>
    </row>
    <row r="490" spans="19:55" ht="15.75" customHeight="1">
      <c r="S490" s="454"/>
      <c r="AN490" s="458"/>
      <c r="BA490" s="1305"/>
      <c r="BC490" s="169"/>
    </row>
    <row r="491" spans="19:55" ht="15.75" customHeight="1">
      <c r="S491" s="454"/>
      <c r="AN491" s="458"/>
      <c r="BA491" s="1305"/>
      <c r="BC491" s="169"/>
    </row>
    <row r="492" spans="19:55" ht="15.75" customHeight="1">
      <c r="S492" s="454"/>
      <c r="AN492" s="458"/>
      <c r="BA492" s="1305"/>
      <c r="BC492" s="169"/>
    </row>
    <row r="493" spans="19:55" ht="15.75" customHeight="1">
      <c r="S493" s="454"/>
      <c r="AN493" s="458"/>
      <c r="BA493" s="1305"/>
      <c r="BC493" s="169"/>
    </row>
    <row r="494" spans="19:55" ht="15.75" customHeight="1">
      <c r="S494" s="454"/>
      <c r="AN494" s="458"/>
      <c r="BA494" s="1305"/>
      <c r="BC494" s="169"/>
    </row>
    <row r="495" spans="19:55" ht="15.75" customHeight="1">
      <c r="S495" s="454"/>
      <c r="AN495" s="458"/>
      <c r="BA495" s="1305"/>
      <c r="BC495" s="169"/>
    </row>
    <row r="496" spans="19:55" ht="15.75" customHeight="1">
      <c r="S496" s="454"/>
      <c r="AN496" s="458"/>
      <c r="BA496" s="1305"/>
      <c r="BC496" s="169"/>
    </row>
    <row r="497" spans="19:55" ht="15.75" customHeight="1">
      <c r="S497" s="454"/>
      <c r="AN497" s="458"/>
      <c r="BA497" s="1305"/>
      <c r="BC497" s="169"/>
    </row>
    <row r="498" spans="19:55" ht="15.75" customHeight="1">
      <c r="S498" s="454"/>
      <c r="AN498" s="458"/>
      <c r="BA498" s="1305"/>
      <c r="BC498" s="169"/>
    </row>
    <row r="499" spans="19:55" ht="15.75" customHeight="1">
      <c r="S499" s="454"/>
      <c r="AN499" s="458"/>
      <c r="BA499" s="1305"/>
      <c r="BC499" s="169"/>
    </row>
    <row r="500" spans="19:55" ht="15.75" customHeight="1">
      <c r="S500" s="454"/>
      <c r="AN500" s="458"/>
      <c r="BA500" s="1305"/>
      <c r="BC500" s="169"/>
    </row>
    <row r="501" spans="19:55" ht="15.75" customHeight="1">
      <c r="S501" s="454"/>
      <c r="AN501" s="458"/>
      <c r="BA501" s="1305"/>
      <c r="BC501" s="169"/>
    </row>
    <row r="502" spans="19:55" ht="15.75" customHeight="1">
      <c r="S502" s="454"/>
      <c r="AN502" s="458"/>
      <c r="BA502" s="1305"/>
      <c r="BC502" s="169"/>
    </row>
    <row r="503" spans="19:55" ht="15.75" customHeight="1">
      <c r="S503" s="454"/>
      <c r="AN503" s="458"/>
      <c r="BA503" s="1305"/>
      <c r="BC503" s="169"/>
    </row>
    <row r="504" spans="19:55" ht="15.75" customHeight="1">
      <c r="S504" s="454"/>
      <c r="AN504" s="458"/>
      <c r="BA504" s="1305"/>
      <c r="BC504" s="169"/>
    </row>
    <row r="505" spans="19:55" ht="15.75" customHeight="1">
      <c r="S505" s="454"/>
      <c r="AN505" s="458"/>
      <c r="BA505" s="1305"/>
      <c r="BC505" s="169"/>
    </row>
    <row r="506" spans="19:55" ht="15.75" customHeight="1">
      <c r="S506" s="454"/>
      <c r="AN506" s="458"/>
      <c r="BA506" s="1305"/>
      <c r="BC506" s="169"/>
    </row>
    <row r="507" spans="19:55" ht="15.75" customHeight="1">
      <c r="S507" s="454"/>
      <c r="AN507" s="458"/>
      <c r="BA507" s="1305"/>
      <c r="BC507" s="169"/>
    </row>
    <row r="508" spans="19:55" ht="15.75" customHeight="1">
      <c r="S508" s="454"/>
      <c r="AN508" s="458"/>
      <c r="BA508" s="1305"/>
      <c r="BC508" s="169"/>
    </row>
    <row r="509" spans="19:55" ht="15.75" customHeight="1">
      <c r="S509" s="454"/>
      <c r="AN509" s="458"/>
      <c r="BA509" s="1305"/>
      <c r="BC509" s="169"/>
    </row>
    <row r="510" spans="19:55" ht="15.75" customHeight="1">
      <c r="S510" s="454"/>
      <c r="AN510" s="458"/>
      <c r="BA510" s="1305"/>
      <c r="BC510" s="169"/>
    </row>
    <row r="511" spans="19:55" ht="15.75" customHeight="1">
      <c r="S511" s="454"/>
      <c r="AN511" s="458"/>
      <c r="BA511" s="1305"/>
      <c r="BC511" s="169"/>
    </row>
    <row r="512" spans="19:55" ht="15.75" customHeight="1">
      <c r="S512" s="454"/>
      <c r="AN512" s="458"/>
      <c r="BA512" s="1305"/>
      <c r="BC512" s="169"/>
    </row>
    <row r="513" spans="19:55" ht="15.75" customHeight="1">
      <c r="S513" s="454"/>
      <c r="AN513" s="458"/>
      <c r="BA513" s="1305"/>
      <c r="BC513" s="169"/>
    </row>
    <row r="514" spans="19:55" ht="15.75" customHeight="1">
      <c r="S514" s="454"/>
      <c r="AN514" s="458"/>
      <c r="BA514" s="1305"/>
      <c r="BC514" s="169"/>
    </row>
    <row r="515" spans="19:55" ht="15.75" customHeight="1">
      <c r="S515" s="454"/>
      <c r="AN515" s="458"/>
      <c r="BA515" s="1305"/>
      <c r="BC515" s="169"/>
    </row>
    <row r="516" spans="19:55" ht="15.75" customHeight="1">
      <c r="S516" s="454"/>
      <c r="AN516" s="458"/>
      <c r="BA516" s="1305"/>
      <c r="BC516" s="169"/>
    </row>
    <row r="517" spans="19:55" ht="15.75" customHeight="1">
      <c r="S517" s="454"/>
      <c r="AN517" s="458"/>
      <c r="BA517" s="1305"/>
      <c r="BC517" s="169"/>
    </row>
    <row r="518" spans="19:55" ht="15.75" customHeight="1">
      <c r="S518" s="454"/>
      <c r="AN518" s="458"/>
      <c r="BA518" s="1305"/>
      <c r="BC518" s="169"/>
    </row>
    <row r="519" spans="19:55" ht="15.75" customHeight="1">
      <c r="S519" s="454"/>
      <c r="AN519" s="458"/>
      <c r="BA519" s="1305"/>
      <c r="BC519" s="169"/>
    </row>
    <row r="520" spans="19:55" ht="15.75" customHeight="1">
      <c r="S520" s="454"/>
      <c r="AN520" s="458"/>
      <c r="BA520" s="1305"/>
      <c r="BC520" s="169"/>
    </row>
    <row r="521" spans="19:55" ht="15.75" customHeight="1">
      <c r="S521" s="454"/>
      <c r="AN521" s="458"/>
      <c r="BA521" s="1305"/>
      <c r="BC521" s="169"/>
    </row>
    <row r="522" spans="19:55" ht="15.75" customHeight="1">
      <c r="S522" s="454"/>
      <c r="AN522" s="458"/>
      <c r="BA522" s="1305"/>
      <c r="BC522" s="169"/>
    </row>
    <row r="523" spans="19:55" ht="15.75" customHeight="1">
      <c r="S523" s="454"/>
      <c r="AN523" s="458"/>
      <c r="BA523" s="1305"/>
      <c r="BC523" s="169"/>
    </row>
    <row r="524" spans="19:55" ht="15.75" customHeight="1">
      <c r="S524" s="454"/>
      <c r="AN524" s="458"/>
      <c r="BA524" s="1305"/>
      <c r="BC524" s="169"/>
    </row>
    <row r="525" spans="19:55" ht="15.75" customHeight="1">
      <c r="S525" s="454"/>
      <c r="AN525" s="458"/>
      <c r="BA525" s="1305"/>
      <c r="BC525" s="169"/>
    </row>
    <row r="526" spans="19:55" ht="15.75" customHeight="1">
      <c r="S526" s="454"/>
      <c r="AN526" s="458"/>
      <c r="BA526" s="1305"/>
      <c r="BC526" s="169"/>
    </row>
    <row r="527" spans="19:55" ht="15.75" customHeight="1">
      <c r="S527" s="454"/>
      <c r="AN527" s="458"/>
      <c r="BA527" s="1305"/>
      <c r="BC527" s="169"/>
    </row>
    <row r="528" spans="19:55" ht="15.75" customHeight="1">
      <c r="S528" s="454"/>
      <c r="AN528" s="458"/>
      <c r="BA528" s="1305"/>
      <c r="BC528" s="169"/>
    </row>
    <row r="529" spans="19:55" ht="15.75" customHeight="1">
      <c r="S529" s="454"/>
      <c r="AN529" s="458"/>
      <c r="BA529" s="1305"/>
      <c r="BC529" s="169"/>
    </row>
    <row r="530" spans="19:55" ht="15.75" customHeight="1">
      <c r="S530" s="454"/>
      <c r="AN530" s="458"/>
      <c r="BA530" s="1305"/>
      <c r="BC530" s="169"/>
    </row>
    <row r="531" spans="19:55" ht="15.75" customHeight="1">
      <c r="S531" s="454"/>
      <c r="AN531" s="458"/>
      <c r="BA531" s="1305"/>
      <c r="BC531" s="169"/>
    </row>
    <row r="532" spans="19:55" ht="15.75" customHeight="1">
      <c r="S532" s="454"/>
      <c r="AN532" s="458"/>
      <c r="BA532" s="1305"/>
      <c r="BC532" s="169"/>
    </row>
    <row r="533" spans="19:55" ht="15.75" customHeight="1">
      <c r="S533" s="454"/>
      <c r="AN533" s="458"/>
      <c r="BA533" s="1305"/>
      <c r="BC533" s="169"/>
    </row>
    <row r="534" spans="19:55" ht="15.75" customHeight="1">
      <c r="S534" s="454"/>
      <c r="AN534" s="458"/>
      <c r="BA534" s="1305"/>
      <c r="BC534" s="169"/>
    </row>
    <row r="535" spans="19:55" ht="15.75" customHeight="1">
      <c r="S535" s="454"/>
      <c r="AN535" s="458"/>
      <c r="BA535" s="1305"/>
      <c r="BC535" s="169"/>
    </row>
    <row r="536" spans="19:55" ht="15.75" customHeight="1">
      <c r="S536" s="454"/>
      <c r="AN536" s="458"/>
      <c r="BA536" s="1305"/>
      <c r="BC536" s="169"/>
    </row>
    <row r="537" spans="19:55" ht="15.75" customHeight="1">
      <c r="S537" s="454"/>
      <c r="AN537" s="458"/>
      <c r="BA537" s="1305"/>
      <c r="BC537" s="169"/>
    </row>
    <row r="538" spans="19:55" ht="15.75" customHeight="1">
      <c r="S538" s="454"/>
      <c r="AN538" s="458"/>
      <c r="BA538" s="1305"/>
      <c r="BC538" s="169"/>
    </row>
    <row r="539" spans="19:55" ht="15.75" customHeight="1">
      <c r="S539" s="454"/>
      <c r="AN539" s="458"/>
      <c r="BA539" s="1305"/>
      <c r="BC539" s="169"/>
    </row>
    <row r="540" spans="19:55" ht="15.75" customHeight="1">
      <c r="S540" s="454"/>
      <c r="AN540" s="458"/>
      <c r="BA540" s="1305"/>
      <c r="BC540" s="169"/>
    </row>
    <row r="541" spans="19:55" ht="15.75" customHeight="1">
      <c r="S541" s="454"/>
      <c r="AN541" s="458"/>
      <c r="BA541" s="1305"/>
      <c r="BC541" s="169"/>
    </row>
    <row r="542" spans="19:55" ht="15.75" customHeight="1">
      <c r="S542" s="454"/>
      <c r="AN542" s="458"/>
      <c r="BA542" s="1305"/>
      <c r="BC542" s="169"/>
    </row>
    <row r="543" spans="19:55" ht="15.75" customHeight="1">
      <c r="S543" s="454"/>
      <c r="AN543" s="458"/>
      <c r="BA543" s="1305"/>
      <c r="BC543" s="169"/>
    </row>
    <row r="544" spans="19:55" ht="15.75" customHeight="1">
      <c r="S544" s="454"/>
      <c r="AN544" s="458"/>
      <c r="BA544" s="1305"/>
      <c r="BC544" s="169"/>
    </row>
    <row r="545" spans="19:55" ht="15.75" customHeight="1">
      <c r="S545" s="454"/>
      <c r="AN545" s="458"/>
      <c r="BA545" s="1305"/>
      <c r="BC545" s="169"/>
    </row>
    <row r="546" spans="19:55" ht="15.75" customHeight="1">
      <c r="S546" s="454"/>
      <c r="AN546" s="458"/>
      <c r="BA546" s="1305"/>
      <c r="BC546" s="169"/>
    </row>
    <row r="547" spans="19:55" ht="15.75" customHeight="1">
      <c r="S547" s="454"/>
      <c r="AN547" s="458"/>
      <c r="BA547" s="1305"/>
      <c r="BC547" s="169"/>
    </row>
    <row r="548" spans="19:55" ht="15.75" customHeight="1">
      <c r="S548" s="454"/>
      <c r="AN548" s="458"/>
      <c r="BA548" s="1305"/>
      <c r="BC548" s="169"/>
    </row>
    <row r="549" spans="19:55" ht="15.75" customHeight="1">
      <c r="S549" s="454"/>
      <c r="AN549" s="458"/>
      <c r="BA549" s="1305"/>
      <c r="BC549" s="169"/>
    </row>
    <row r="550" spans="19:55" ht="15.75" customHeight="1">
      <c r="S550" s="454"/>
      <c r="AN550" s="458"/>
      <c r="BA550" s="1305"/>
      <c r="BC550" s="169"/>
    </row>
    <row r="551" spans="19:55" ht="15.75" customHeight="1">
      <c r="S551" s="454"/>
      <c r="AN551" s="458"/>
      <c r="BA551" s="1305"/>
      <c r="BC551" s="169"/>
    </row>
    <row r="552" spans="19:55" ht="15.75" customHeight="1">
      <c r="S552" s="454"/>
      <c r="AN552" s="458"/>
      <c r="BA552" s="1305"/>
      <c r="BC552" s="169"/>
    </row>
    <row r="553" spans="19:55" ht="15.75" customHeight="1">
      <c r="S553" s="454"/>
      <c r="AN553" s="458"/>
      <c r="BA553" s="1305"/>
      <c r="BC553" s="169"/>
    </row>
    <row r="554" spans="19:55" ht="15.75" customHeight="1">
      <c r="S554" s="454"/>
      <c r="AN554" s="458"/>
      <c r="BA554" s="1305"/>
      <c r="BC554" s="169"/>
    </row>
    <row r="555" spans="19:55" ht="15.75" customHeight="1">
      <c r="S555" s="454"/>
      <c r="AN555" s="458"/>
      <c r="BA555" s="1305"/>
      <c r="BC555" s="169"/>
    </row>
    <row r="556" spans="19:55" ht="15.75" customHeight="1">
      <c r="S556" s="454"/>
      <c r="AN556" s="458"/>
      <c r="BA556" s="1305"/>
      <c r="BC556" s="169"/>
    </row>
    <row r="557" spans="19:55" ht="15.75" customHeight="1">
      <c r="S557" s="454"/>
      <c r="AN557" s="458"/>
      <c r="BA557" s="1305"/>
      <c r="BC557" s="169"/>
    </row>
    <row r="558" spans="19:55" ht="15.75" customHeight="1">
      <c r="S558" s="454"/>
      <c r="AN558" s="458"/>
      <c r="BA558" s="1305"/>
      <c r="BC558" s="169"/>
    </row>
    <row r="559" spans="19:55" ht="15.75" customHeight="1">
      <c r="S559" s="454"/>
      <c r="AN559" s="458"/>
      <c r="BA559" s="1305"/>
      <c r="BC559" s="169"/>
    </row>
    <row r="560" spans="19:55" ht="15.75" customHeight="1">
      <c r="S560" s="454"/>
      <c r="AN560" s="458"/>
      <c r="BA560" s="1305"/>
      <c r="BC560" s="169"/>
    </row>
    <row r="561" spans="19:55" ht="15.75" customHeight="1">
      <c r="S561" s="454"/>
      <c r="AN561" s="458"/>
      <c r="BA561" s="1305"/>
      <c r="BC561" s="169"/>
    </row>
    <row r="562" spans="19:55" ht="15.75" customHeight="1">
      <c r="S562" s="454"/>
      <c r="AN562" s="458"/>
      <c r="BA562" s="1305"/>
      <c r="BC562" s="169"/>
    </row>
    <row r="563" spans="19:55" ht="15.75" customHeight="1">
      <c r="S563" s="454"/>
      <c r="AN563" s="458"/>
      <c r="BA563" s="1305"/>
      <c r="BC563" s="169"/>
    </row>
    <row r="564" spans="19:55" ht="15.75" customHeight="1">
      <c r="S564" s="454"/>
      <c r="AN564" s="458"/>
      <c r="BA564" s="1305"/>
      <c r="BC564" s="169"/>
    </row>
    <row r="565" spans="19:55" ht="15.75" customHeight="1">
      <c r="S565" s="454"/>
      <c r="AN565" s="458"/>
      <c r="BA565" s="1305"/>
      <c r="BC565" s="169"/>
    </row>
    <row r="566" spans="19:55" ht="15.75" customHeight="1">
      <c r="S566" s="454"/>
      <c r="AN566" s="458"/>
      <c r="BA566" s="1305"/>
      <c r="BC566" s="169"/>
    </row>
    <row r="567" spans="19:55" ht="15.75" customHeight="1">
      <c r="S567" s="454"/>
      <c r="AN567" s="458"/>
      <c r="BA567" s="1305"/>
      <c r="BC567" s="169"/>
    </row>
    <row r="568" spans="19:55" ht="15.75" customHeight="1">
      <c r="S568" s="454"/>
      <c r="AN568" s="458"/>
      <c r="BA568" s="1305"/>
      <c r="BC568" s="169"/>
    </row>
    <row r="569" spans="19:55" ht="15.75" customHeight="1">
      <c r="S569" s="454"/>
      <c r="AN569" s="458"/>
      <c r="BA569" s="1305"/>
      <c r="BC569" s="169"/>
    </row>
    <row r="570" spans="19:55" ht="15.75" customHeight="1">
      <c r="S570" s="454"/>
      <c r="AN570" s="458"/>
      <c r="BA570" s="1305"/>
      <c r="BC570" s="169"/>
    </row>
    <row r="571" spans="19:55" ht="15.75" customHeight="1">
      <c r="S571" s="454"/>
      <c r="AN571" s="458"/>
      <c r="BA571" s="1305"/>
      <c r="BC571" s="169"/>
    </row>
    <row r="572" spans="19:55" ht="15.75" customHeight="1">
      <c r="S572" s="454"/>
      <c r="AN572" s="458"/>
      <c r="BA572" s="1305"/>
      <c r="BC572" s="169"/>
    </row>
    <row r="573" spans="19:55" ht="15.75" customHeight="1">
      <c r="S573" s="454"/>
      <c r="AN573" s="458"/>
      <c r="BA573" s="1305"/>
      <c r="BC573" s="169"/>
    </row>
    <row r="574" spans="19:55" ht="15.75" customHeight="1">
      <c r="S574" s="454"/>
      <c r="AN574" s="458"/>
      <c r="BA574" s="1305"/>
      <c r="BC574" s="169"/>
    </row>
    <row r="575" spans="19:55" ht="15.75" customHeight="1">
      <c r="S575" s="454"/>
      <c r="AN575" s="458"/>
      <c r="BA575" s="1305"/>
      <c r="BC575" s="169"/>
    </row>
    <row r="576" spans="19:55" ht="15.75" customHeight="1">
      <c r="S576" s="454"/>
      <c r="AN576" s="458"/>
      <c r="BA576" s="1305"/>
      <c r="BC576" s="169"/>
    </row>
    <row r="577" spans="19:55" ht="15.75" customHeight="1">
      <c r="S577" s="454"/>
      <c r="AN577" s="458"/>
      <c r="BA577" s="1305"/>
      <c r="BC577" s="169"/>
    </row>
    <row r="578" spans="19:55" ht="15.75" customHeight="1">
      <c r="S578" s="454"/>
      <c r="AN578" s="458"/>
      <c r="BA578" s="1305"/>
      <c r="BC578" s="169"/>
    </row>
    <row r="579" spans="19:55" ht="15.75" customHeight="1">
      <c r="S579" s="454"/>
      <c r="AN579" s="458"/>
      <c r="BA579" s="1305"/>
      <c r="BC579" s="169"/>
    </row>
    <row r="580" spans="19:55" ht="15.75" customHeight="1">
      <c r="S580" s="454"/>
      <c r="AN580" s="458"/>
      <c r="BA580" s="1305"/>
      <c r="BC580" s="169"/>
    </row>
    <row r="581" spans="19:55" ht="15.75" customHeight="1">
      <c r="S581" s="454"/>
      <c r="AN581" s="458"/>
      <c r="BA581" s="1305"/>
      <c r="BC581" s="169"/>
    </row>
    <row r="582" spans="19:55" ht="15.75" customHeight="1">
      <c r="S582" s="454"/>
      <c r="AN582" s="458"/>
      <c r="BA582" s="1305"/>
      <c r="BC582" s="169"/>
    </row>
    <row r="583" spans="19:55" ht="15.75" customHeight="1">
      <c r="S583" s="454"/>
      <c r="AN583" s="458"/>
      <c r="BA583" s="1305"/>
      <c r="BC583" s="169"/>
    </row>
    <row r="584" spans="19:55" ht="15.75" customHeight="1">
      <c r="S584" s="454"/>
      <c r="AN584" s="458"/>
      <c r="BA584" s="1305"/>
      <c r="BC584" s="169"/>
    </row>
    <row r="585" spans="19:55" ht="15.75" customHeight="1">
      <c r="S585" s="454"/>
      <c r="AN585" s="458"/>
      <c r="BA585" s="1305"/>
      <c r="BC585" s="169"/>
    </row>
    <row r="586" spans="19:55" ht="15.75" customHeight="1">
      <c r="S586" s="454"/>
      <c r="AN586" s="458"/>
      <c r="BA586" s="1305"/>
      <c r="BC586" s="169"/>
    </row>
    <row r="587" spans="19:55" ht="15.75" customHeight="1">
      <c r="S587" s="454"/>
      <c r="AN587" s="458"/>
      <c r="BA587" s="1305"/>
      <c r="BC587" s="169"/>
    </row>
    <row r="588" spans="19:55" ht="15.75" customHeight="1">
      <c r="S588" s="454"/>
      <c r="AN588" s="458"/>
      <c r="BA588" s="1305"/>
      <c r="BC588" s="169"/>
    </row>
    <row r="589" spans="19:55" ht="15.75" customHeight="1">
      <c r="S589" s="454"/>
      <c r="AN589" s="458"/>
      <c r="BA589" s="1305"/>
      <c r="BC589" s="169"/>
    </row>
    <row r="590" spans="19:55" ht="15.75" customHeight="1">
      <c r="S590" s="454"/>
      <c r="AN590" s="458"/>
      <c r="BA590" s="1305"/>
      <c r="BC590" s="169"/>
    </row>
    <row r="591" spans="19:55" ht="15.75" customHeight="1">
      <c r="S591" s="454"/>
      <c r="AN591" s="458"/>
      <c r="BA591" s="1305"/>
      <c r="BC591" s="169"/>
    </row>
    <row r="592" spans="19:55" ht="15.75" customHeight="1">
      <c r="S592" s="454"/>
      <c r="AN592" s="458"/>
      <c r="BA592" s="1305"/>
      <c r="BC592" s="169"/>
    </row>
    <row r="593" spans="19:55" ht="15.75" customHeight="1">
      <c r="S593" s="454"/>
      <c r="AN593" s="458"/>
      <c r="BA593" s="1305"/>
      <c r="BC593" s="169"/>
    </row>
    <row r="594" spans="19:55" ht="15.75" customHeight="1">
      <c r="S594" s="454"/>
      <c r="AN594" s="458"/>
      <c r="BA594" s="1305"/>
      <c r="BC594" s="169"/>
    </row>
    <row r="595" spans="19:55" ht="15.75" customHeight="1">
      <c r="S595" s="454"/>
      <c r="AN595" s="458"/>
      <c r="BA595" s="1305"/>
      <c r="BC595" s="169"/>
    </row>
    <row r="596" spans="19:55" ht="15.75" customHeight="1">
      <c r="S596" s="454"/>
      <c r="AN596" s="458"/>
      <c r="BA596" s="1305"/>
      <c r="BC596" s="169"/>
    </row>
    <row r="597" spans="19:55" ht="15.75" customHeight="1">
      <c r="S597" s="454"/>
      <c r="AN597" s="458"/>
      <c r="BA597" s="1305"/>
      <c r="BC597" s="169"/>
    </row>
    <row r="598" spans="19:55" ht="15.75" customHeight="1">
      <c r="S598" s="454"/>
      <c r="AN598" s="458"/>
      <c r="BA598" s="1305"/>
      <c r="BC598" s="169"/>
    </row>
    <row r="599" spans="19:55" ht="15.75" customHeight="1">
      <c r="S599" s="454"/>
      <c r="AN599" s="458"/>
      <c r="BA599" s="1305"/>
      <c r="BC599" s="169"/>
    </row>
    <row r="600" spans="19:55" ht="15.75" customHeight="1">
      <c r="S600" s="454"/>
      <c r="AN600" s="458"/>
      <c r="BA600" s="1305"/>
      <c r="BC600" s="169"/>
    </row>
    <row r="601" spans="19:55" ht="15.75" customHeight="1">
      <c r="S601" s="454"/>
      <c r="AN601" s="458"/>
      <c r="BA601" s="1305"/>
      <c r="BC601" s="169"/>
    </row>
    <row r="602" spans="19:55" ht="15.75" customHeight="1">
      <c r="S602" s="454"/>
      <c r="AN602" s="458"/>
      <c r="BA602" s="1305"/>
      <c r="BC602" s="169"/>
    </row>
    <row r="603" spans="19:55" ht="15.75" customHeight="1">
      <c r="S603" s="454"/>
      <c r="AN603" s="458"/>
      <c r="BA603" s="1305"/>
      <c r="BC603" s="169"/>
    </row>
    <row r="604" spans="19:55" ht="15.75" customHeight="1">
      <c r="S604" s="454"/>
      <c r="AN604" s="458"/>
      <c r="BA604" s="1305"/>
      <c r="BC604" s="169"/>
    </row>
    <row r="605" spans="19:55" ht="15.75" customHeight="1">
      <c r="S605" s="454"/>
      <c r="AN605" s="458"/>
      <c r="BA605" s="1305"/>
      <c r="BC605" s="169"/>
    </row>
    <row r="606" spans="19:55" ht="15.75" customHeight="1">
      <c r="S606" s="454"/>
      <c r="AN606" s="458"/>
      <c r="BA606" s="1305"/>
      <c r="BC606" s="169"/>
    </row>
    <row r="607" spans="19:55" ht="15.75" customHeight="1">
      <c r="S607" s="454"/>
      <c r="AN607" s="458"/>
      <c r="BA607" s="1305"/>
      <c r="BC607" s="169"/>
    </row>
    <row r="608" spans="19:55" ht="15.75" customHeight="1">
      <c r="S608" s="454"/>
      <c r="AN608" s="458"/>
      <c r="BA608" s="1305"/>
      <c r="BC608" s="169"/>
    </row>
    <row r="609" spans="19:55" ht="15.75" customHeight="1">
      <c r="S609" s="454"/>
      <c r="AN609" s="458"/>
      <c r="BA609" s="1305"/>
      <c r="BC609" s="169"/>
    </row>
    <row r="610" spans="19:55" ht="15.75" customHeight="1">
      <c r="S610" s="454"/>
      <c r="AN610" s="458"/>
      <c r="BA610" s="1305"/>
      <c r="BC610" s="169"/>
    </row>
    <row r="611" spans="19:55" ht="15.75" customHeight="1">
      <c r="S611" s="454"/>
      <c r="AN611" s="458"/>
      <c r="BA611" s="1305"/>
      <c r="BC611" s="169"/>
    </row>
    <row r="612" spans="19:55" ht="15.75" customHeight="1">
      <c r="S612" s="454"/>
      <c r="AN612" s="458"/>
      <c r="BA612" s="1305"/>
      <c r="BC612" s="169"/>
    </row>
    <row r="613" spans="19:55" ht="15.75" customHeight="1">
      <c r="S613" s="454"/>
      <c r="AN613" s="458"/>
      <c r="BA613" s="1305"/>
      <c r="BC613" s="169"/>
    </row>
    <row r="614" spans="19:55" ht="15.75" customHeight="1">
      <c r="S614" s="454"/>
      <c r="AN614" s="458"/>
      <c r="BA614" s="1305"/>
      <c r="BC614" s="169"/>
    </row>
    <row r="615" spans="19:55" ht="15.75" customHeight="1">
      <c r="S615" s="454"/>
      <c r="AN615" s="458"/>
      <c r="BA615" s="1305"/>
      <c r="BC615" s="169"/>
    </row>
    <row r="616" spans="19:55" ht="15.75" customHeight="1">
      <c r="S616" s="454"/>
      <c r="AN616" s="458"/>
      <c r="BA616" s="1305"/>
      <c r="BC616" s="169"/>
    </row>
    <row r="617" spans="19:55" ht="15.75" customHeight="1">
      <c r="S617" s="454"/>
      <c r="AN617" s="458"/>
      <c r="BA617" s="1305"/>
      <c r="BC617" s="169"/>
    </row>
    <row r="618" spans="19:55" ht="15.75" customHeight="1">
      <c r="S618" s="454"/>
      <c r="AN618" s="458"/>
      <c r="BA618" s="1305"/>
      <c r="BC618" s="169"/>
    </row>
    <row r="619" spans="19:55" ht="15.75" customHeight="1">
      <c r="S619" s="454"/>
      <c r="AN619" s="458"/>
      <c r="BA619" s="1305"/>
      <c r="BC619" s="169"/>
    </row>
    <row r="620" spans="19:55" ht="15.75" customHeight="1">
      <c r="S620" s="454"/>
      <c r="AN620" s="458"/>
      <c r="BA620" s="1305"/>
      <c r="BC620" s="169"/>
    </row>
    <row r="621" spans="19:55" ht="15.75" customHeight="1">
      <c r="S621" s="454"/>
      <c r="AN621" s="458"/>
      <c r="BA621" s="1305"/>
      <c r="BC621" s="169"/>
    </row>
    <row r="622" spans="19:55" ht="15.75" customHeight="1">
      <c r="S622" s="454"/>
      <c r="AN622" s="458"/>
      <c r="BA622" s="1305"/>
      <c r="BC622" s="169"/>
    </row>
    <row r="623" spans="19:55" ht="15.75" customHeight="1">
      <c r="S623" s="454"/>
      <c r="AN623" s="458"/>
      <c r="BA623" s="1305"/>
      <c r="BC623" s="169"/>
    </row>
    <row r="624" spans="19:55" ht="15.75" customHeight="1">
      <c r="S624" s="454"/>
      <c r="AN624" s="458"/>
      <c r="BA624" s="1305"/>
      <c r="BC624" s="169"/>
    </row>
    <row r="625" spans="19:55" ht="15.75" customHeight="1">
      <c r="S625" s="454"/>
      <c r="AN625" s="458"/>
      <c r="BA625" s="1305"/>
      <c r="BC625" s="169"/>
    </row>
    <row r="626" spans="19:55" ht="15.75" customHeight="1">
      <c r="S626" s="454"/>
      <c r="AN626" s="458"/>
      <c r="BA626" s="1305"/>
      <c r="BC626" s="169"/>
    </row>
    <row r="627" spans="19:55" ht="15.75" customHeight="1">
      <c r="S627" s="454"/>
      <c r="AN627" s="458"/>
      <c r="BA627" s="1305"/>
      <c r="BC627" s="169"/>
    </row>
    <row r="628" spans="19:55" ht="15.75" customHeight="1">
      <c r="S628" s="454"/>
      <c r="AN628" s="458"/>
      <c r="BA628" s="1305"/>
      <c r="BC628" s="169"/>
    </row>
    <row r="629" spans="19:55" ht="15.75" customHeight="1">
      <c r="S629" s="454"/>
      <c r="AN629" s="458"/>
      <c r="BA629" s="1305"/>
      <c r="BC629" s="169"/>
    </row>
    <row r="630" spans="19:55" ht="15.75" customHeight="1">
      <c r="S630" s="454"/>
      <c r="AN630" s="458"/>
      <c r="BA630" s="1305"/>
      <c r="BC630" s="169"/>
    </row>
    <row r="631" spans="19:55" ht="15.75" customHeight="1">
      <c r="S631" s="454"/>
      <c r="AN631" s="458"/>
      <c r="BA631" s="1305"/>
      <c r="BC631" s="169"/>
    </row>
    <row r="632" spans="19:55" ht="15.75" customHeight="1">
      <c r="S632" s="454"/>
      <c r="AN632" s="458"/>
      <c r="BA632" s="1305"/>
      <c r="BC632" s="169"/>
    </row>
    <row r="633" spans="19:55" ht="15.75" customHeight="1">
      <c r="S633" s="454"/>
      <c r="AN633" s="458"/>
      <c r="BA633" s="1305"/>
      <c r="BC633" s="169"/>
    </row>
    <row r="634" spans="19:55" ht="15.75" customHeight="1">
      <c r="S634" s="454"/>
      <c r="AN634" s="458"/>
      <c r="BA634" s="1305"/>
      <c r="BC634" s="169"/>
    </row>
    <row r="635" spans="19:55" ht="15.75" customHeight="1">
      <c r="S635" s="454"/>
      <c r="AN635" s="458"/>
      <c r="BA635" s="1305"/>
      <c r="BC635" s="169"/>
    </row>
    <row r="636" spans="19:55" ht="15.75" customHeight="1">
      <c r="S636" s="454"/>
      <c r="AN636" s="458"/>
      <c r="BA636" s="1305"/>
      <c r="BC636" s="169"/>
    </row>
    <row r="637" spans="19:55" ht="15.75" customHeight="1">
      <c r="S637" s="454"/>
      <c r="AN637" s="458"/>
      <c r="BA637" s="1305"/>
      <c r="BC637" s="169"/>
    </row>
    <row r="638" spans="19:55" ht="15.75" customHeight="1">
      <c r="S638" s="454"/>
      <c r="AN638" s="458"/>
      <c r="BA638" s="1305"/>
      <c r="BC638" s="169"/>
    </row>
    <row r="639" spans="19:55" ht="15.75" customHeight="1">
      <c r="S639" s="454"/>
      <c r="AN639" s="458"/>
      <c r="BA639" s="1305"/>
      <c r="BC639" s="169"/>
    </row>
    <row r="640" spans="19:55" ht="15.75" customHeight="1">
      <c r="S640" s="454"/>
      <c r="AN640" s="458"/>
      <c r="BA640" s="1305"/>
      <c r="BC640" s="169"/>
    </row>
    <row r="641" spans="19:55" ht="15.75" customHeight="1">
      <c r="S641" s="454"/>
      <c r="AN641" s="458"/>
      <c r="BA641" s="1305"/>
      <c r="BC641" s="169"/>
    </row>
    <row r="642" spans="19:55" ht="15.75" customHeight="1">
      <c r="S642" s="454"/>
      <c r="AN642" s="458"/>
      <c r="BA642" s="1305"/>
      <c r="BC642" s="169"/>
    </row>
    <row r="643" spans="19:55" ht="15.75" customHeight="1">
      <c r="S643" s="454"/>
      <c r="AN643" s="458"/>
      <c r="BA643" s="1305"/>
      <c r="BC643" s="169"/>
    </row>
    <row r="644" spans="19:55" ht="15.75" customHeight="1">
      <c r="S644" s="454"/>
      <c r="AN644" s="458"/>
      <c r="BA644" s="1305"/>
      <c r="BC644" s="169"/>
    </row>
    <row r="645" spans="19:55" ht="15.75" customHeight="1">
      <c r="S645" s="454"/>
      <c r="AN645" s="458"/>
      <c r="BA645" s="1305"/>
      <c r="BC645" s="169"/>
    </row>
    <row r="646" spans="19:55" ht="15.75" customHeight="1">
      <c r="S646" s="454"/>
      <c r="AN646" s="458"/>
      <c r="BA646" s="1305"/>
      <c r="BC646" s="169"/>
    </row>
    <row r="647" spans="19:55" ht="15.75" customHeight="1">
      <c r="S647" s="454"/>
      <c r="AN647" s="458"/>
      <c r="BA647" s="1305"/>
      <c r="BC647" s="169"/>
    </row>
    <row r="648" spans="19:55" ht="15.75" customHeight="1">
      <c r="S648" s="454"/>
      <c r="AN648" s="458"/>
      <c r="BA648" s="1305"/>
      <c r="BC648" s="169"/>
    </row>
    <row r="649" spans="19:55" ht="15.75" customHeight="1">
      <c r="S649" s="454"/>
      <c r="AN649" s="458"/>
      <c r="BA649" s="1305"/>
      <c r="BC649" s="169"/>
    </row>
    <row r="650" spans="19:55" ht="15.75" customHeight="1">
      <c r="S650" s="454"/>
      <c r="AN650" s="458"/>
      <c r="BA650" s="1305"/>
      <c r="BC650" s="169"/>
    </row>
    <row r="651" spans="19:55" ht="15.75" customHeight="1">
      <c r="S651" s="454"/>
      <c r="AN651" s="458"/>
      <c r="BA651" s="1305"/>
      <c r="BC651" s="169"/>
    </row>
    <row r="652" spans="19:55" ht="15.75" customHeight="1">
      <c r="S652" s="454"/>
      <c r="AN652" s="458"/>
      <c r="BA652" s="1305"/>
      <c r="BC652" s="169"/>
    </row>
    <row r="653" spans="19:55" ht="15.75" customHeight="1">
      <c r="S653" s="454"/>
      <c r="AN653" s="458"/>
      <c r="BA653" s="1305"/>
      <c r="BC653" s="169"/>
    </row>
    <row r="654" spans="19:55" ht="15.75" customHeight="1">
      <c r="S654" s="454"/>
      <c r="AN654" s="458"/>
      <c r="BA654" s="1305"/>
      <c r="BC654" s="169"/>
    </row>
    <row r="655" spans="19:55" ht="15.75" customHeight="1">
      <c r="S655" s="454"/>
      <c r="AN655" s="458"/>
      <c r="BA655" s="1305"/>
      <c r="BC655" s="169"/>
    </row>
    <row r="656" spans="19:55" ht="15.75" customHeight="1">
      <c r="S656" s="454"/>
      <c r="AN656" s="458"/>
      <c r="BA656" s="1305"/>
      <c r="BC656" s="169"/>
    </row>
    <row r="657" spans="19:55" ht="15.75" customHeight="1">
      <c r="S657" s="454"/>
      <c r="AN657" s="458"/>
      <c r="BA657" s="1305"/>
      <c r="BC657" s="169"/>
    </row>
    <row r="658" spans="19:55" ht="15.75" customHeight="1">
      <c r="S658" s="454"/>
      <c r="AN658" s="458"/>
      <c r="BA658" s="1305"/>
      <c r="BC658" s="169"/>
    </row>
    <row r="659" spans="19:55" ht="15.75" customHeight="1">
      <c r="S659" s="454"/>
      <c r="AN659" s="458"/>
      <c r="BA659" s="1305"/>
      <c r="BC659" s="169"/>
    </row>
    <row r="660" spans="19:55" ht="15.75" customHeight="1">
      <c r="S660" s="454"/>
      <c r="AN660" s="458"/>
      <c r="BA660" s="1305"/>
      <c r="BC660" s="169"/>
    </row>
    <row r="661" spans="19:55" ht="15.75" customHeight="1">
      <c r="S661" s="454"/>
      <c r="AN661" s="458"/>
      <c r="BA661" s="1305"/>
      <c r="BC661" s="169"/>
    </row>
    <row r="662" spans="19:55" ht="15.75" customHeight="1">
      <c r="S662" s="454"/>
      <c r="AN662" s="458"/>
      <c r="BA662" s="1305"/>
      <c r="BC662" s="169"/>
    </row>
    <row r="663" spans="19:55" ht="15.75" customHeight="1">
      <c r="S663" s="454"/>
      <c r="AN663" s="458"/>
      <c r="BA663" s="1305"/>
      <c r="BC663" s="169"/>
    </row>
    <row r="664" spans="19:55" ht="15.75" customHeight="1">
      <c r="S664" s="454"/>
      <c r="AN664" s="458"/>
      <c r="BA664" s="1305"/>
      <c r="BC664" s="169"/>
    </row>
    <row r="665" spans="19:55" ht="15.75" customHeight="1">
      <c r="S665" s="454"/>
      <c r="AN665" s="458"/>
      <c r="BA665" s="1305"/>
      <c r="BC665" s="169"/>
    </row>
    <row r="666" spans="19:55" ht="15.75" customHeight="1">
      <c r="S666" s="454"/>
      <c r="AN666" s="458"/>
      <c r="BA666" s="1305"/>
      <c r="BC666" s="169"/>
    </row>
    <row r="667" spans="19:55" ht="15.75" customHeight="1">
      <c r="S667" s="454"/>
      <c r="AN667" s="458"/>
      <c r="BA667" s="1305"/>
      <c r="BC667" s="169"/>
    </row>
    <row r="668" spans="19:55" ht="15.75" customHeight="1">
      <c r="S668" s="454"/>
      <c r="AN668" s="458"/>
      <c r="BA668" s="1305"/>
      <c r="BC668" s="169"/>
    </row>
    <row r="669" spans="19:55" ht="15.75" customHeight="1">
      <c r="S669" s="454"/>
      <c r="AN669" s="458"/>
      <c r="BA669" s="1305"/>
      <c r="BC669" s="169"/>
    </row>
    <row r="670" spans="19:55" ht="15.75" customHeight="1">
      <c r="S670" s="454"/>
      <c r="AN670" s="458"/>
      <c r="BA670" s="1305"/>
      <c r="BC670" s="169"/>
    </row>
    <row r="671" spans="19:55" ht="15.75" customHeight="1">
      <c r="S671" s="454"/>
      <c r="AN671" s="458"/>
      <c r="BA671" s="1305"/>
      <c r="BC671" s="169"/>
    </row>
    <row r="672" spans="19:55" ht="15.75" customHeight="1">
      <c r="S672" s="454"/>
      <c r="AN672" s="458"/>
      <c r="BA672" s="1305"/>
      <c r="BC672" s="169"/>
    </row>
    <row r="673" spans="19:55" ht="15.75" customHeight="1">
      <c r="S673" s="454"/>
      <c r="AN673" s="458"/>
      <c r="BA673" s="1305"/>
      <c r="BC673" s="169"/>
    </row>
    <row r="674" spans="19:55" ht="15.75" customHeight="1">
      <c r="S674" s="454"/>
      <c r="AN674" s="458"/>
      <c r="BA674" s="1305"/>
      <c r="BC674" s="169"/>
    </row>
    <row r="675" spans="19:55" ht="15.75" customHeight="1">
      <c r="S675" s="454"/>
      <c r="AN675" s="458"/>
      <c r="BA675" s="1305"/>
      <c r="BC675" s="169"/>
    </row>
    <row r="676" spans="19:55" ht="15.75" customHeight="1">
      <c r="S676" s="454"/>
      <c r="AN676" s="458"/>
      <c r="BA676" s="1305"/>
      <c r="BC676" s="169"/>
    </row>
    <row r="677" spans="19:55" ht="15.75" customHeight="1">
      <c r="S677" s="454"/>
      <c r="AN677" s="458"/>
      <c r="BA677" s="1305"/>
      <c r="BC677" s="169"/>
    </row>
    <row r="678" spans="19:55" ht="15.75" customHeight="1">
      <c r="S678" s="454"/>
      <c r="AN678" s="458"/>
      <c r="BA678" s="1305"/>
      <c r="BC678" s="169"/>
    </row>
    <row r="679" spans="19:55" ht="15.75" customHeight="1">
      <c r="S679" s="454"/>
      <c r="AN679" s="458"/>
      <c r="BA679" s="1305"/>
      <c r="BC679" s="169"/>
    </row>
    <row r="680" spans="19:55" ht="15.75" customHeight="1">
      <c r="S680" s="454"/>
      <c r="AN680" s="458"/>
      <c r="BA680" s="1305"/>
      <c r="BC680" s="169"/>
    </row>
    <row r="681" spans="19:55" ht="15.75" customHeight="1">
      <c r="S681" s="454"/>
      <c r="AN681" s="458"/>
      <c r="BA681" s="1305"/>
      <c r="BC681" s="169"/>
    </row>
    <row r="682" spans="19:55" ht="15.75" customHeight="1">
      <c r="S682" s="454"/>
      <c r="AN682" s="458"/>
      <c r="BA682" s="1305"/>
      <c r="BC682" s="169"/>
    </row>
    <row r="683" spans="19:55" ht="15.75" customHeight="1">
      <c r="S683" s="454"/>
      <c r="AN683" s="458"/>
      <c r="BA683" s="1305"/>
      <c r="BC683" s="169"/>
    </row>
    <row r="684" spans="19:55" ht="15.75" customHeight="1">
      <c r="S684" s="454"/>
      <c r="AN684" s="458"/>
      <c r="BA684" s="1305"/>
      <c r="BC684" s="169"/>
    </row>
    <row r="685" spans="19:55" ht="15.75" customHeight="1">
      <c r="S685" s="454"/>
      <c r="AN685" s="458"/>
      <c r="BA685" s="1305"/>
      <c r="BC685" s="169"/>
    </row>
    <row r="686" spans="19:55" ht="15.75" customHeight="1">
      <c r="S686" s="454"/>
      <c r="AN686" s="458"/>
      <c r="BA686" s="1305"/>
      <c r="BC686" s="169"/>
    </row>
    <row r="687" spans="19:55" ht="15.75" customHeight="1">
      <c r="S687" s="454"/>
      <c r="AN687" s="458"/>
      <c r="BA687" s="1305"/>
      <c r="BC687" s="169"/>
    </row>
    <row r="688" spans="19:55" ht="15.75" customHeight="1">
      <c r="S688" s="454"/>
      <c r="AN688" s="458"/>
      <c r="BA688" s="1305"/>
      <c r="BC688" s="169"/>
    </row>
    <row r="689" spans="19:55" ht="15.75" customHeight="1">
      <c r="S689" s="454"/>
      <c r="AN689" s="458"/>
      <c r="BA689" s="1305"/>
      <c r="BC689" s="169"/>
    </row>
    <row r="690" spans="19:55" ht="15.75" customHeight="1">
      <c r="S690" s="454"/>
      <c r="AN690" s="458"/>
      <c r="BA690" s="1305"/>
      <c r="BC690" s="169"/>
    </row>
    <row r="691" spans="19:55" ht="15.75" customHeight="1">
      <c r="S691" s="454"/>
      <c r="AN691" s="458"/>
      <c r="BA691" s="1305"/>
      <c r="BC691" s="169"/>
    </row>
    <row r="692" spans="19:55" ht="15.75" customHeight="1">
      <c r="S692" s="454"/>
      <c r="AN692" s="458"/>
      <c r="BA692" s="1305"/>
      <c r="BC692" s="169"/>
    </row>
    <row r="693" spans="19:55" ht="15.75" customHeight="1">
      <c r="S693" s="454"/>
      <c r="AN693" s="458"/>
      <c r="BA693" s="1305"/>
      <c r="BC693" s="169"/>
    </row>
    <row r="694" spans="19:55" ht="15.75" customHeight="1">
      <c r="S694" s="454"/>
      <c r="AN694" s="458"/>
      <c r="BA694" s="1305"/>
      <c r="BC694" s="169"/>
    </row>
    <row r="695" spans="19:55" ht="15.75" customHeight="1">
      <c r="S695" s="454"/>
      <c r="AN695" s="458"/>
      <c r="BA695" s="1305"/>
      <c r="BC695" s="169"/>
    </row>
    <row r="696" spans="19:55" ht="15.75" customHeight="1">
      <c r="S696" s="454"/>
      <c r="AN696" s="458"/>
      <c r="BA696" s="1305"/>
      <c r="BC696" s="169"/>
    </row>
    <row r="697" spans="19:55" ht="15.75" customHeight="1">
      <c r="S697" s="454"/>
      <c r="AN697" s="458"/>
      <c r="BA697" s="1305"/>
      <c r="BC697" s="169"/>
    </row>
    <row r="698" spans="19:55" ht="15.75" customHeight="1">
      <c r="S698" s="454"/>
      <c r="AN698" s="458"/>
      <c r="BA698" s="1305"/>
      <c r="BC698" s="169"/>
    </row>
    <row r="699" spans="19:55" ht="15.75" customHeight="1">
      <c r="S699" s="454"/>
      <c r="AN699" s="458"/>
      <c r="BA699" s="1305"/>
      <c r="BC699" s="169"/>
    </row>
    <row r="700" spans="19:55" ht="15.75" customHeight="1">
      <c r="S700" s="454"/>
      <c r="AN700" s="458"/>
      <c r="BA700" s="1305"/>
      <c r="BC700" s="169"/>
    </row>
    <row r="701" spans="19:55" ht="15.75" customHeight="1">
      <c r="S701" s="454"/>
      <c r="AN701" s="458"/>
      <c r="BA701" s="1305"/>
      <c r="BC701" s="169"/>
    </row>
    <row r="702" spans="19:55" ht="15.75" customHeight="1">
      <c r="S702" s="454"/>
      <c r="AN702" s="458"/>
      <c r="BA702" s="1305"/>
      <c r="BC702" s="169"/>
    </row>
    <row r="703" spans="19:55" ht="15.75" customHeight="1">
      <c r="S703" s="454"/>
      <c r="AN703" s="458"/>
      <c r="BA703" s="1305"/>
      <c r="BC703" s="169"/>
    </row>
    <row r="704" spans="19:55" ht="15.75" customHeight="1">
      <c r="S704" s="454"/>
      <c r="AN704" s="458"/>
      <c r="BA704" s="1305"/>
      <c r="BC704" s="169"/>
    </row>
    <row r="705" spans="19:55" ht="15.75" customHeight="1">
      <c r="S705" s="454"/>
      <c r="AN705" s="458"/>
      <c r="BA705" s="1305"/>
      <c r="BC705" s="169"/>
    </row>
    <row r="706" spans="19:55" ht="15.75" customHeight="1">
      <c r="S706" s="454"/>
      <c r="AN706" s="458"/>
      <c r="BA706" s="1305"/>
      <c r="BC706" s="169"/>
    </row>
    <row r="707" spans="19:55" ht="15.75" customHeight="1">
      <c r="S707" s="454"/>
      <c r="AN707" s="458"/>
      <c r="BA707" s="1305"/>
      <c r="BC707" s="169"/>
    </row>
    <row r="708" spans="19:55" ht="15.75" customHeight="1">
      <c r="S708" s="454"/>
      <c r="AN708" s="458"/>
      <c r="BA708" s="1305"/>
      <c r="BC708" s="169"/>
    </row>
    <row r="709" spans="19:55" ht="15.75" customHeight="1">
      <c r="S709" s="454"/>
      <c r="AN709" s="458"/>
      <c r="BA709" s="1305"/>
      <c r="BC709" s="169"/>
    </row>
    <row r="710" spans="19:55" ht="15.75" customHeight="1">
      <c r="S710" s="454"/>
      <c r="AN710" s="458"/>
      <c r="BA710" s="1305"/>
      <c r="BC710" s="169"/>
    </row>
    <row r="711" spans="19:55" ht="15.75" customHeight="1">
      <c r="S711" s="454"/>
      <c r="AN711" s="458"/>
      <c r="BA711" s="1305"/>
      <c r="BC711" s="169"/>
    </row>
    <row r="712" spans="19:55" ht="15.75" customHeight="1">
      <c r="S712" s="454"/>
      <c r="AN712" s="458"/>
      <c r="BA712" s="1305"/>
      <c r="BC712" s="169"/>
    </row>
    <row r="713" spans="19:55" ht="15.75" customHeight="1">
      <c r="S713" s="454"/>
      <c r="AN713" s="458"/>
      <c r="BA713" s="1305"/>
      <c r="BC713" s="169"/>
    </row>
    <row r="714" spans="19:55" ht="15.75" customHeight="1">
      <c r="S714" s="454"/>
      <c r="AN714" s="458"/>
      <c r="BA714" s="1305"/>
      <c r="BC714" s="169"/>
    </row>
    <row r="715" spans="19:55" ht="15.75" customHeight="1">
      <c r="S715" s="454"/>
      <c r="AN715" s="458"/>
      <c r="BA715" s="1305"/>
      <c r="BC715" s="169"/>
    </row>
    <row r="716" spans="19:55" ht="15.75" customHeight="1">
      <c r="S716" s="454"/>
      <c r="AN716" s="458"/>
      <c r="BA716" s="1305"/>
      <c r="BC716" s="169"/>
    </row>
    <row r="717" spans="19:55" ht="15.75" customHeight="1">
      <c r="S717" s="454"/>
      <c r="AN717" s="458"/>
      <c r="BA717" s="1305"/>
      <c r="BC717" s="169"/>
    </row>
    <row r="718" spans="19:55" ht="15.75" customHeight="1">
      <c r="S718" s="454"/>
      <c r="AN718" s="458"/>
      <c r="BA718" s="1305"/>
      <c r="BC718" s="169"/>
    </row>
    <row r="719" spans="19:55" ht="15.75" customHeight="1">
      <c r="S719" s="454"/>
      <c r="AN719" s="458"/>
      <c r="BA719" s="1305"/>
      <c r="BC719" s="169"/>
    </row>
    <row r="720" spans="19:55" ht="15.75" customHeight="1">
      <c r="S720" s="454"/>
      <c r="AN720" s="458"/>
      <c r="BA720" s="1305"/>
      <c r="BC720" s="169"/>
    </row>
    <row r="721" spans="19:55" ht="15.75" customHeight="1">
      <c r="S721" s="454"/>
      <c r="AN721" s="458"/>
      <c r="BA721" s="1305"/>
      <c r="BC721" s="169"/>
    </row>
    <row r="722" spans="19:55" ht="15.75" customHeight="1">
      <c r="S722" s="454"/>
      <c r="AN722" s="458"/>
      <c r="BA722" s="1305"/>
      <c r="BC722" s="169"/>
    </row>
    <row r="723" spans="19:55" ht="15.75" customHeight="1">
      <c r="S723" s="454"/>
      <c r="AN723" s="458"/>
      <c r="BA723" s="1305"/>
      <c r="BC723" s="169"/>
    </row>
    <row r="724" spans="19:55" ht="15.75" customHeight="1">
      <c r="S724" s="454"/>
      <c r="AN724" s="458"/>
      <c r="BA724" s="1305"/>
      <c r="BC724" s="169"/>
    </row>
    <row r="725" spans="19:55" ht="15.75" customHeight="1">
      <c r="S725" s="454"/>
      <c r="AN725" s="458"/>
      <c r="BA725" s="1305"/>
      <c r="BC725" s="169"/>
    </row>
    <row r="726" spans="19:55" ht="15.75" customHeight="1">
      <c r="S726" s="454"/>
      <c r="AN726" s="458"/>
      <c r="BA726" s="1305"/>
      <c r="BC726" s="169"/>
    </row>
    <row r="727" spans="19:55" ht="15.75" customHeight="1">
      <c r="S727" s="454"/>
      <c r="AN727" s="458"/>
      <c r="BA727" s="1305"/>
      <c r="BC727" s="169"/>
    </row>
    <row r="728" spans="19:55" ht="15.75" customHeight="1">
      <c r="S728" s="454"/>
      <c r="AN728" s="458"/>
      <c r="BA728" s="1305"/>
      <c r="BC728" s="169"/>
    </row>
    <row r="729" spans="19:55" ht="15.75" customHeight="1">
      <c r="S729" s="454"/>
      <c r="AN729" s="458"/>
      <c r="BA729" s="1305"/>
      <c r="BC729" s="169"/>
    </row>
    <row r="730" spans="19:55" ht="15.75" customHeight="1">
      <c r="S730" s="454"/>
      <c r="AN730" s="458"/>
      <c r="BA730" s="1305"/>
      <c r="BC730" s="169"/>
    </row>
    <row r="731" spans="19:55" ht="15.75" customHeight="1">
      <c r="S731" s="454"/>
      <c r="AN731" s="458"/>
      <c r="BA731" s="1305"/>
      <c r="BC731" s="169"/>
    </row>
    <row r="732" spans="19:55" ht="15.75" customHeight="1">
      <c r="S732" s="454"/>
      <c r="AN732" s="458"/>
      <c r="BA732" s="1305"/>
      <c r="BC732" s="169"/>
    </row>
    <row r="733" spans="19:55" ht="15.75" customHeight="1">
      <c r="S733" s="454"/>
      <c r="AN733" s="458"/>
      <c r="BA733" s="1305"/>
      <c r="BC733" s="169"/>
    </row>
    <row r="734" spans="19:55" ht="15.75" customHeight="1">
      <c r="S734" s="454"/>
      <c r="AN734" s="458"/>
      <c r="BA734" s="1305"/>
      <c r="BC734" s="169"/>
    </row>
    <row r="735" spans="19:55" ht="15.75" customHeight="1">
      <c r="S735" s="454"/>
      <c r="AN735" s="458"/>
      <c r="BA735" s="1305"/>
      <c r="BC735" s="169"/>
    </row>
    <row r="736" spans="19:55" ht="15.75" customHeight="1">
      <c r="S736" s="454"/>
      <c r="AN736" s="458"/>
      <c r="BA736" s="1305"/>
      <c r="BC736" s="169"/>
    </row>
    <row r="737" spans="19:55" ht="15.75" customHeight="1">
      <c r="S737" s="454"/>
      <c r="AN737" s="458"/>
      <c r="BA737" s="1305"/>
      <c r="BC737" s="169"/>
    </row>
    <row r="738" spans="19:55" ht="15.75" customHeight="1">
      <c r="S738" s="454"/>
      <c r="AN738" s="458"/>
      <c r="BA738" s="1305"/>
      <c r="BC738" s="169"/>
    </row>
    <row r="739" spans="19:55" ht="15.75" customHeight="1">
      <c r="S739" s="454"/>
      <c r="AN739" s="458"/>
      <c r="BA739" s="1305"/>
      <c r="BC739" s="169"/>
    </row>
    <row r="740" spans="19:55" ht="15.75" customHeight="1">
      <c r="S740" s="454"/>
      <c r="AN740" s="458"/>
      <c r="BA740" s="1305"/>
      <c r="BC740" s="169"/>
    </row>
    <row r="741" spans="19:55" ht="15.75" customHeight="1">
      <c r="S741" s="454"/>
      <c r="AN741" s="458"/>
      <c r="BA741" s="1305"/>
      <c r="BC741" s="169"/>
    </row>
    <row r="742" spans="19:55" ht="15.75" customHeight="1">
      <c r="S742" s="454"/>
      <c r="AN742" s="458"/>
      <c r="BA742" s="1305"/>
      <c r="BC742" s="169"/>
    </row>
    <row r="743" spans="19:55" ht="15.75" customHeight="1">
      <c r="S743" s="454"/>
      <c r="AN743" s="458"/>
      <c r="BA743" s="1305"/>
      <c r="BC743" s="169"/>
    </row>
    <row r="744" spans="19:55" ht="15.75" customHeight="1">
      <c r="S744" s="454"/>
      <c r="AN744" s="458"/>
      <c r="BA744" s="1305"/>
      <c r="BC744" s="169"/>
    </row>
    <row r="745" spans="19:55" ht="15.75" customHeight="1">
      <c r="S745" s="454"/>
      <c r="AN745" s="458"/>
      <c r="BA745" s="1305"/>
      <c r="BC745" s="169"/>
    </row>
    <row r="746" spans="19:55" ht="15.75" customHeight="1">
      <c r="S746" s="454"/>
      <c r="AN746" s="458"/>
      <c r="BA746" s="1305"/>
      <c r="BC746" s="169"/>
    </row>
    <row r="747" spans="19:55" ht="15.75" customHeight="1">
      <c r="S747" s="454"/>
      <c r="AN747" s="458"/>
      <c r="BA747" s="1305"/>
      <c r="BC747" s="169"/>
    </row>
    <row r="748" spans="19:55" ht="15.75" customHeight="1">
      <c r="S748" s="454"/>
      <c r="AN748" s="458"/>
      <c r="BA748" s="1305"/>
      <c r="BC748" s="169"/>
    </row>
    <row r="749" spans="19:55" ht="15.75" customHeight="1">
      <c r="S749" s="454"/>
      <c r="AN749" s="458"/>
      <c r="BA749" s="1305"/>
      <c r="BC749" s="169"/>
    </row>
    <row r="750" spans="19:55" ht="15.75" customHeight="1">
      <c r="S750" s="454"/>
      <c r="AN750" s="458"/>
      <c r="BA750" s="1305"/>
      <c r="BC750" s="169"/>
    </row>
    <row r="751" spans="19:55" ht="15.75" customHeight="1">
      <c r="S751" s="454"/>
      <c r="AN751" s="458"/>
      <c r="BA751" s="1305"/>
      <c r="BC751" s="169"/>
    </row>
    <row r="752" spans="19:55" ht="15.75" customHeight="1">
      <c r="S752" s="454"/>
      <c r="AN752" s="458"/>
      <c r="BA752" s="1305"/>
      <c r="BC752" s="169"/>
    </row>
    <row r="753" spans="19:55" ht="15.75" customHeight="1">
      <c r="S753" s="454"/>
      <c r="AN753" s="458"/>
      <c r="BA753" s="1305"/>
      <c r="BC753" s="169"/>
    </row>
    <row r="754" spans="19:55" ht="15.75" customHeight="1">
      <c r="S754" s="454"/>
      <c r="AN754" s="458"/>
      <c r="BA754" s="1305"/>
      <c r="BC754" s="169"/>
    </row>
    <row r="755" spans="19:55" ht="15.75" customHeight="1">
      <c r="S755" s="454"/>
      <c r="AN755" s="458"/>
      <c r="BA755" s="1305"/>
      <c r="BC755" s="169"/>
    </row>
    <row r="756" spans="19:55" ht="15.75" customHeight="1">
      <c r="S756" s="454"/>
      <c r="AN756" s="458"/>
      <c r="BA756" s="1305"/>
      <c r="BC756" s="169"/>
    </row>
    <row r="757" spans="19:55" ht="15.75" customHeight="1">
      <c r="S757" s="454"/>
      <c r="AN757" s="458"/>
      <c r="BA757" s="1305"/>
      <c r="BC757" s="169"/>
    </row>
    <row r="758" spans="19:55" ht="15.75" customHeight="1">
      <c r="S758" s="454"/>
      <c r="AN758" s="458"/>
      <c r="BA758" s="1305"/>
      <c r="BC758" s="169"/>
    </row>
    <row r="759" spans="19:55" ht="15.75" customHeight="1">
      <c r="S759" s="454"/>
      <c r="AN759" s="458"/>
      <c r="BA759" s="1305"/>
      <c r="BC759" s="169"/>
    </row>
    <row r="760" spans="19:55" ht="15.75" customHeight="1">
      <c r="S760" s="454"/>
      <c r="AN760" s="458"/>
      <c r="BA760" s="1305"/>
      <c r="BC760" s="169"/>
    </row>
    <row r="761" spans="19:55" ht="15.75" customHeight="1">
      <c r="S761" s="454"/>
      <c r="AN761" s="458"/>
      <c r="BA761" s="1305"/>
      <c r="BC761" s="169"/>
    </row>
    <row r="762" spans="19:55" ht="15.75" customHeight="1">
      <c r="S762" s="454"/>
      <c r="AN762" s="458"/>
      <c r="BA762" s="1305"/>
      <c r="BC762" s="169"/>
    </row>
    <row r="763" spans="19:55" ht="15.75" customHeight="1">
      <c r="S763" s="454"/>
      <c r="AN763" s="458"/>
      <c r="BA763" s="1305"/>
      <c r="BC763" s="169"/>
    </row>
    <row r="764" spans="19:55" ht="15.75" customHeight="1">
      <c r="S764" s="454"/>
      <c r="AN764" s="458"/>
      <c r="BA764" s="1305"/>
      <c r="BC764" s="169"/>
    </row>
    <row r="765" spans="19:55" ht="15.75" customHeight="1">
      <c r="S765" s="454"/>
      <c r="AN765" s="458"/>
      <c r="BA765" s="1305"/>
      <c r="BC765" s="169"/>
    </row>
    <row r="766" spans="19:55" ht="15.75" customHeight="1">
      <c r="S766" s="454"/>
      <c r="AN766" s="458"/>
      <c r="BA766" s="1305"/>
      <c r="BC766" s="169"/>
    </row>
    <row r="767" spans="19:55" ht="15.75" customHeight="1">
      <c r="S767" s="454"/>
      <c r="AN767" s="458"/>
      <c r="BA767" s="1305"/>
      <c r="BC767" s="169"/>
    </row>
    <row r="768" spans="19:55" ht="15.75" customHeight="1">
      <c r="S768" s="454"/>
      <c r="AN768" s="458"/>
      <c r="BA768" s="1305"/>
      <c r="BC768" s="169"/>
    </row>
    <row r="769" spans="19:55" ht="15.75" customHeight="1">
      <c r="S769" s="454"/>
      <c r="AN769" s="458"/>
      <c r="BA769" s="1305"/>
      <c r="BC769" s="169"/>
    </row>
    <row r="770" spans="19:55" ht="15.75" customHeight="1">
      <c r="S770" s="454"/>
      <c r="AN770" s="458"/>
      <c r="BA770" s="1305"/>
      <c r="BC770" s="169"/>
    </row>
    <row r="771" spans="19:55" ht="15.75" customHeight="1">
      <c r="S771" s="454"/>
      <c r="AN771" s="458"/>
      <c r="BA771" s="1305"/>
      <c r="BC771" s="169"/>
    </row>
    <row r="772" spans="19:55" ht="15.75" customHeight="1">
      <c r="S772" s="454"/>
      <c r="AN772" s="458"/>
      <c r="BA772" s="1305"/>
      <c r="BC772" s="169"/>
    </row>
    <row r="773" spans="19:55" ht="15.75" customHeight="1">
      <c r="S773" s="454"/>
      <c r="AN773" s="458"/>
      <c r="BA773" s="1305"/>
      <c r="BC773" s="169"/>
    </row>
    <row r="774" spans="19:55" ht="15.75" customHeight="1">
      <c r="S774" s="454"/>
      <c r="AN774" s="458"/>
      <c r="BA774" s="1305"/>
      <c r="BC774" s="169"/>
    </row>
    <row r="775" spans="19:55" ht="15.75" customHeight="1">
      <c r="S775" s="454"/>
      <c r="AN775" s="458"/>
      <c r="BA775" s="1305"/>
      <c r="BC775" s="169"/>
    </row>
    <row r="776" spans="19:55" ht="15.75" customHeight="1">
      <c r="S776" s="454"/>
      <c r="AN776" s="458"/>
      <c r="BA776" s="1305"/>
      <c r="BC776" s="169"/>
    </row>
    <row r="777" spans="19:55" ht="15.75" customHeight="1">
      <c r="S777" s="454"/>
      <c r="AN777" s="458"/>
      <c r="BA777" s="1305"/>
      <c r="BC777" s="169"/>
    </row>
    <row r="778" spans="19:55" ht="15.75" customHeight="1">
      <c r="S778" s="454"/>
      <c r="AN778" s="458"/>
      <c r="BA778" s="1305"/>
      <c r="BC778" s="169"/>
    </row>
    <row r="779" spans="19:55" ht="15.75" customHeight="1">
      <c r="S779" s="454"/>
      <c r="AN779" s="458"/>
      <c r="BA779" s="1305"/>
      <c r="BC779" s="169"/>
    </row>
    <row r="780" spans="19:55" ht="15.75" customHeight="1">
      <c r="S780" s="454"/>
      <c r="AN780" s="458"/>
      <c r="BA780" s="1305"/>
      <c r="BC780" s="169"/>
    </row>
    <row r="781" spans="19:55" ht="15.75" customHeight="1">
      <c r="S781" s="454"/>
      <c r="AN781" s="458"/>
      <c r="BA781" s="1305"/>
      <c r="BC781" s="169"/>
    </row>
    <row r="782" spans="19:55" ht="15.75" customHeight="1">
      <c r="S782" s="454"/>
      <c r="AN782" s="458"/>
      <c r="BA782" s="1305"/>
      <c r="BC782" s="169"/>
    </row>
    <row r="783" spans="19:55" ht="15.75" customHeight="1">
      <c r="S783" s="454"/>
      <c r="AN783" s="458"/>
      <c r="BA783" s="1305"/>
      <c r="BC783" s="169"/>
    </row>
    <row r="784" spans="19:55" ht="15.75" customHeight="1">
      <c r="S784" s="454"/>
      <c r="AN784" s="458"/>
      <c r="BA784" s="1305"/>
      <c r="BC784" s="169"/>
    </row>
    <row r="785" spans="19:55" ht="15.75" customHeight="1">
      <c r="S785" s="454"/>
      <c r="AN785" s="458"/>
      <c r="BA785" s="1305"/>
      <c r="BC785" s="169"/>
    </row>
    <row r="786" spans="19:55" ht="15.75" customHeight="1">
      <c r="S786" s="454"/>
      <c r="AN786" s="458"/>
      <c r="BA786" s="1305"/>
      <c r="BC786" s="169"/>
    </row>
    <row r="787" spans="19:55" ht="15.75" customHeight="1">
      <c r="S787" s="454"/>
      <c r="AN787" s="458"/>
      <c r="BA787" s="1305"/>
      <c r="BC787" s="169"/>
    </row>
    <row r="788" spans="19:55" ht="15.75" customHeight="1">
      <c r="S788" s="454"/>
      <c r="AN788" s="458"/>
      <c r="BA788" s="1305"/>
      <c r="BC788" s="169"/>
    </row>
    <row r="789" spans="19:55" ht="15.75" customHeight="1">
      <c r="S789" s="454"/>
      <c r="AN789" s="458"/>
      <c r="BA789" s="1305"/>
      <c r="BC789" s="169"/>
    </row>
    <row r="790" spans="19:55" ht="15.75" customHeight="1">
      <c r="S790" s="454"/>
      <c r="AN790" s="458"/>
      <c r="BA790" s="1305"/>
      <c r="BC790" s="169"/>
    </row>
    <row r="791" spans="19:55" ht="15.75" customHeight="1">
      <c r="S791" s="454"/>
      <c r="AN791" s="458"/>
      <c r="BA791" s="1305"/>
      <c r="BC791" s="169"/>
    </row>
    <row r="792" spans="19:55" ht="15.75" customHeight="1">
      <c r="S792" s="454"/>
      <c r="AN792" s="458"/>
      <c r="BA792" s="1305"/>
      <c r="BC792" s="169"/>
    </row>
    <row r="793" spans="19:55" ht="15.75" customHeight="1">
      <c r="S793" s="454"/>
      <c r="AN793" s="458"/>
      <c r="BA793" s="1305"/>
      <c r="BC793" s="169"/>
    </row>
    <row r="794" spans="19:55" ht="15.75" customHeight="1">
      <c r="S794" s="454"/>
      <c r="AN794" s="458"/>
      <c r="BA794" s="1305"/>
      <c r="BC794" s="169"/>
    </row>
    <row r="795" spans="19:55" ht="15.75" customHeight="1">
      <c r="S795" s="454"/>
      <c r="AN795" s="458"/>
      <c r="BA795" s="1305"/>
      <c r="BC795" s="169"/>
    </row>
    <row r="796" spans="19:55" ht="15.75" customHeight="1">
      <c r="S796" s="454"/>
      <c r="AN796" s="458"/>
      <c r="BA796" s="1305"/>
      <c r="BC796" s="169"/>
    </row>
    <row r="797" spans="19:55" ht="15.75" customHeight="1">
      <c r="S797" s="454"/>
      <c r="AN797" s="458"/>
      <c r="BA797" s="1305"/>
      <c r="BC797" s="169"/>
    </row>
    <row r="798" spans="19:55" ht="15.75" customHeight="1">
      <c r="S798" s="454"/>
      <c r="AN798" s="458"/>
      <c r="BA798" s="1305"/>
      <c r="BC798" s="169"/>
    </row>
    <row r="799" spans="19:55" ht="15.75" customHeight="1">
      <c r="S799" s="454"/>
      <c r="AN799" s="458"/>
      <c r="BA799" s="1305"/>
      <c r="BC799" s="169"/>
    </row>
    <row r="800" spans="19:55" ht="15.75" customHeight="1">
      <c r="S800" s="454"/>
      <c r="AN800" s="458"/>
      <c r="BA800" s="1305"/>
      <c r="BC800" s="169"/>
    </row>
    <row r="801" spans="19:55" ht="15.75" customHeight="1">
      <c r="S801" s="454"/>
      <c r="AN801" s="458"/>
      <c r="BA801" s="1305"/>
      <c r="BC801" s="169"/>
    </row>
    <row r="802" spans="19:55" ht="15.75" customHeight="1">
      <c r="S802" s="454"/>
      <c r="AN802" s="458"/>
      <c r="BA802" s="1305"/>
      <c r="BC802" s="169"/>
    </row>
    <row r="803" spans="19:55" ht="15.75" customHeight="1">
      <c r="S803" s="454"/>
      <c r="AN803" s="458"/>
      <c r="BA803" s="1305"/>
      <c r="BC803" s="169"/>
    </row>
    <row r="804" spans="19:55" ht="15.75" customHeight="1">
      <c r="S804" s="454"/>
      <c r="AN804" s="458"/>
      <c r="BA804" s="1305"/>
      <c r="BC804" s="169"/>
    </row>
    <row r="805" spans="19:55" ht="15.75" customHeight="1">
      <c r="S805" s="454"/>
      <c r="AN805" s="458"/>
      <c r="BA805" s="1305"/>
      <c r="BC805" s="169"/>
    </row>
    <row r="806" spans="19:55" ht="15.75" customHeight="1">
      <c r="S806" s="454"/>
      <c r="AN806" s="458"/>
      <c r="BA806" s="1305"/>
      <c r="BC806" s="169"/>
    </row>
    <row r="807" spans="19:55" ht="15.75" customHeight="1">
      <c r="S807" s="454"/>
      <c r="AN807" s="458"/>
      <c r="BA807" s="1305"/>
      <c r="BC807" s="169"/>
    </row>
    <row r="808" spans="19:55" ht="15.75" customHeight="1">
      <c r="S808" s="454"/>
      <c r="AN808" s="458"/>
      <c r="BA808" s="1305"/>
      <c r="BC808" s="169"/>
    </row>
    <row r="809" spans="19:55" ht="15.75" customHeight="1">
      <c r="S809" s="454"/>
      <c r="AN809" s="458"/>
      <c r="BA809" s="1305"/>
      <c r="BC809" s="169"/>
    </row>
    <row r="810" spans="19:55" ht="15.75" customHeight="1">
      <c r="S810" s="454"/>
      <c r="AN810" s="458"/>
      <c r="BA810" s="1305"/>
      <c r="BC810" s="169"/>
    </row>
    <row r="811" spans="19:55" ht="15.75" customHeight="1">
      <c r="S811" s="454"/>
      <c r="AN811" s="458"/>
      <c r="BA811" s="1305"/>
      <c r="BC811" s="169"/>
    </row>
    <row r="812" spans="19:55" ht="15.75" customHeight="1">
      <c r="S812" s="454"/>
      <c r="AN812" s="458"/>
      <c r="BA812" s="1305"/>
      <c r="BC812" s="169"/>
    </row>
    <row r="813" spans="19:55" ht="15.75" customHeight="1">
      <c r="S813" s="454"/>
      <c r="AN813" s="458"/>
      <c r="BA813" s="1305"/>
      <c r="BC813" s="169"/>
    </row>
    <row r="814" spans="19:55" ht="15.75" customHeight="1">
      <c r="S814" s="454"/>
      <c r="AN814" s="458"/>
      <c r="BA814" s="1305"/>
      <c r="BC814" s="169"/>
    </row>
    <row r="815" spans="19:55" ht="15.75" customHeight="1">
      <c r="S815" s="454"/>
      <c r="AN815" s="458"/>
      <c r="BA815" s="1305"/>
      <c r="BC815" s="169"/>
    </row>
    <row r="816" spans="19:55" ht="15.75" customHeight="1">
      <c r="S816" s="454"/>
      <c r="AN816" s="458"/>
      <c r="BA816" s="1305"/>
      <c r="BC816" s="169"/>
    </row>
    <row r="817" spans="19:55" ht="15.75" customHeight="1">
      <c r="S817" s="454"/>
      <c r="AN817" s="458"/>
      <c r="BA817" s="1305"/>
      <c r="BC817" s="169"/>
    </row>
    <row r="818" spans="19:55" ht="15.75" customHeight="1">
      <c r="S818" s="454"/>
      <c r="AN818" s="458"/>
      <c r="BA818" s="1305"/>
      <c r="BC818" s="169"/>
    </row>
    <row r="819" spans="19:55" ht="15.75" customHeight="1">
      <c r="S819" s="454"/>
      <c r="AN819" s="458"/>
      <c r="BA819" s="1305"/>
      <c r="BC819" s="169"/>
    </row>
    <row r="820" spans="19:55" ht="15.75" customHeight="1">
      <c r="S820" s="454"/>
      <c r="AN820" s="458"/>
      <c r="BA820" s="1305"/>
      <c r="BC820" s="169"/>
    </row>
    <row r="821" spans="19:55" ht="15.75" customHeight="1">
      <c r="S821" s="454"/>
      <c r="AN821" s="458"/>
      <c r="BA821" s="1305"/>
      <c r="BC821" s="169"/>
    </row>
    <row r="822" spans="19:55" ht="15.75" customHeight="1">
      <c r="S822" s="454"/>
      <c r="AN822" s="458"/>
      <c r="BA822" s="1305"/>
      <c r="BC822" s="169"/>
    </row>
    <row r="823" spans="19:55" ht="15.75" customHeight="1">
      <c r="S823" s="454"/>
      <c r="AN823" s="458"/>
      <c r="BA823" s="1305"/>
      <c r="BC823" s="169"/>
    </row>
    <row r="824" spans="19:55" ht="15.75" customHeight="1">
      <c r="S824" s="454"/>
      <c r="AN824" s="458"/>
      <c r="BA824" s="1305"/>
      <c r="BC824" s="169"/>
    </row>
    <row r="825" spans="19:55" ht="15.75" customHeight="1">
      <c r="S825" s="454"/>
      <c r="AN825" s="458"/>
      <c r="BA825" s="1305"/>
      <c r="BC825" s="169"/>
    </row>
    <row r="826" spans="19:55" ht="15.75" customHeight="1">
      <c r="S826" s="454"/>
      <c r="AN826" s="458"/>
      <c r="BA826" s="1305"/>
      <c r="BC826" s="169"/>
    </row>
    <row r="827" spans="19:55" ht="15.75" customHeight="1">
      <c r="S827" s="454"/>
      <c r="AN827" s="458"/>
      <c r="BA827" s="1305"/>
      <c r="BC827" s="169"/>
    </row>
    <row r="828" spans="19:55" ht="15.75" customHeight="1">
      <c r="S828" s="454"/>
      <c r="AN828" s="458"/>
      <c r="BA828" s="1305"/>
      <c r="BC828" s="169"/>
    </row>
    <row r="829" spans="19:55" ht="15.75" customHeight="1">
      <c r="S829" s="454"/>
      <c r="AN829" s="458"/>
      <c r="BA829" s="1305"/>
      <c r="BC829" s="169"/>
    </row>
    <row r="830" spans="19:55" ht="15.75" customHeight="1">
      <c r="S830" s="454"/>
      <c r="AN830" s="458"/>
      <c r="BA830" s="1305"/>
      <c r="BC830" s="169"/>
    </row>
    <row r="831" spans="19:55" ht="15.75" customHeight="1">
      <c r="S831" s="454"/>
      <c r="AN831" s="458"/>
      <c r="BA831" s="1305"/>
      <c r="BC831" s="169"/>
    </row>
    <row r="832" spans="19:55" ht="15.75" customHeight="1">
      <c r="S832" s="454"/>
      <c r="AN832" s="458"/>
      <c r="BA832" s="1305"/>
      <c r="BC832" s="169"/>
    </row>
    <row r="833" spans="19:55" ht="15.75" customHeight="1">
      <c r="S833" s="454"/>
      <c r="AN833" s="458"/>
      <c r="BA833" s="1305"/>
      <c r="BC833" s="169"/>
    </row>
    <row r="834" spans="19:55" ht="15.75" customHeight="1">
      <c r="S834" s="454"/>
      <c r="AN834" s="458"/>
      <c r="BA834" s="1305"/>
      <c r="BC834" s="169"/>
    </row>
    <row r="835" spans="19:55" ht="15.75" customHeight="1">
      <c r="S835" s="454"/>
      <c r="AN835" s="458"/>
      <c r="BA835" s="1305"/>
      <c r="BC835" s="169"/>
    </row>
    <row r="836" spans="19:55" ht="15.75" customHeight="1">
      <c r="S836" s="454"/>
      <c r="AN836" s="458"/>
      <c r="BA836" s="1305"/>
      <c r="BC836" s="169"/>
    </row>
    <row r="837" spans="19:55" ht="15.75" customHeight="1">
      <c r="S837" s="454"/>
      <c r="AN837" s="458"/>
      <c r="BA837" s="1305"/>
      <c r="BC837" s="169"/>
    </row>
    <row r="838" spans="19:55" ht="15.75" customHeight="1">
      <c r="S838" s="454"/>
      <c r="AN838" s="458"/>
      <c r="BA838" s="1305"/>
      <c r="BC838" s="169"/>
    </row>
    <row r="839" spans="19:55" ht="15.75" customHeight="1">
      <c r="S839" s="454"/>
      <c r="AN839" s="458"/>
      <c r="BA839" s="1305"/>
      <c r="BC839" s="169"/>
    </row>
    <row r="840" spans="19:55" ht="15.75" customHeight="1">
      <c r="S840" s="454"/>
      <c r="AN840" s="458"/>
      <c r="BA840" s="1305"/>
      <c r="BC840" s="169"/>
    </row>
    <row r="841" spans="19:55" ht="15.75" customHeight="1">
      <c r="S841" s="454"/>
      <c r="AN841" s="458"/>
      <c r="BA841" s="1305"/>
      <c r="BC841" s="169"/>
    </row>
    <row r="842" spans="19:55" ht="15.75" customHeight="1">
      <c r="S842" s="454"/>
      <c r="AN842" s="458"/>
      <c r="BA842" s="1305"/>
      <c r="BC842" s="169"/>
    </row>
    <row r="843" spans="19:55" ht="15.75" customHeight="1">
      <c r="S843" s="454"/>
      <c r="AN843" s="458"/>
      <c r="BA843" s="1305"/>
      <c r="BC843" s="169"/>
    </row>
    <row r="844" spans="19:55" ht="15.75" customHeight="1">
      <c r="S844" s="454"/>
      <c r="AN844" s="458"/>
      <c r="BA844" s="1305"/>
      <c r="BC844" s="169"/>
    </row>
    <row r="845" spans="19:55" ht="15.75" customHeight="1">
      <c r="S845" s="454"/>
      <c r="AN845" s="458"/>
      <c r="BA845" s="1305"/>
      <c r="BC845" s="169"/>
    </row>
    <row r="846" spans="19:55" ht="15.75" customHeight="1">
      <c r="S846" s="454"/>
      <c r="AN846" s="458"/>
      <c r="BA846" s="1305"/>
      <c r="BC846" s="169"/>
    </row>
    <row r="847" spans="19:55" ht="15.75" customHeight="1">
      <c r="S847" s="454"/>
      <c r="AN847" s="458"/>
      <c r="BA847" s="1305"/>
      <c r="BC847" s="169"/>
    </row>
    <row r="848" spans="19:55" ht="15.75" customHeight="1">
      <c r="S848" s="454"/>
      <c r="AN848" s="458"/>
      <c r="BA848" s="1305"/>
      <c r="BC848" s="169"/>
    </row>
    <row r="849" spans="19:55" ht="15.75" customHeight="1">
      <c r="S849" s="454"/>
      <c r="AN849" s="458"/>
      <c r="BA849" s="1305"/>
      <c r="BC849" s="169"/>
    </row>
    <row r="850" spans="19:55" ht="15.75" customHeight="1">
      <c r="S850" s="454"/>
      <c r="AN850" s="458"/>
      <c r="BA850" s="1305"/>
      <c r="BC850" s="169"/>
    </row>
    <row r="851" spans="19:55" ht="15.75" customHeight="1">
      <c r="S851" s="454"/>
      <c r="AN851" s="458"/>
      <c r="BA851" s="1305"/>
      <c r="BC851" s="169"/>
    </row>
    <row r="852" spans="19:55" ht="15.75" customHeight="1">
      <c r="S852" s="454"/>
      <c r="AN852" s="458"/>
      <c r="BA852" s="1305"/>
      <c r="BC852" s="169"/>
    </row>
    <row r="853" spans="19:55" ht="15.75" customHeight="1">
      <c r="S853" s="454"/>
      <c r="AN853" s="458"/>
      <c r="BA853" s="1305"/>
      <c r="BC853" s="169"/>
    </row>
    <row r="854" spans="19:55" ht="15.75" customHeight="1">
      <c r="S854" s="454"/>
      <c r="AN854" s="458"/>
      <c r="BA854" s="1305"/>
      <c r="BC854" s="169"/>
    </row>
    <row r="855" spans="19:55" ht="15.75" customHeight="1">
      <c r="S855" s="454"/>
      <c r="AN855" s="458"/>
      <c r="BA855" s="1305"/>
      <c r="BC855" s="169"/>
    </row>
    <row r="856" spans="19:55" ht="15.75" customHeight="1">
      <c r="S856" s="454"/>
      <c r="AN856" s="458"/>
      <c r="BA856" s="1305"/>
      <c r="BC856" s="169"/>
    </row>
    <row r="857" spans="19:55" ht="15.75" customHeight="1">
      <c r="S857" s="454"/>
      <c r="AN857" s="458"/>
      <c r="BA857" s="1305"/>
      <c r="BC857" s="169"/>
    </row>
    <row r="858" spans="19:55" ht="15.75" customHeight="1">
      <c r="S858" s="454"/>
      <c r="AN858" s="458"/>
      <c r="BA858" s="1305"/>
      <c r="BC858" s="169"/>
    </row>
    <row r="859" spans="19:55" ht="15.75" customHeight="1">
      <c r="S859" s="454"/>
      <c r="AN859" s="458"/>
      <c r="BA859" s="1305"/>
      <c r="BC859" s="169"/>
    </row>
    <row r="860" spans="19:55" ht="15.75" customHeight="1">
      <c r="S860" s="454"/>
      <c r="AN860" s="458"/>
      <c r="BA860" s="1305"/>
      <c r="BC860" s="169"/>
    </row>
    <row r="861" spans="19:55" ht="15.75" customHeight="1">
      <c r="S861" s="454"/>
      <c r="AN861" s="458"/>
      <c r="BA861" s="1305"/>
      <c r="BC861" s="169"/>
    </row>
    <row r="862" spans="19:55" ht="15.75" customHeight="1">
      <c r="S862" s="454"/>
      <c r="AN862" s="458"/>
      <c r="BA862" s="1305"/>
      <c r="BC862" s="169"/>
    </row>
    <row r="863" spans="19:55" ht="15.75" customHeight="1">
      <c r="S863" s="454"/>
      <c r="AN863" s="458"/>
      <c r="BA863" s="1305"/>
      <c r="BC863" s="169"/>
    </row>
    <row r="864" spans="19:55" ht="15.75" customHeight="1">
      <c r="S864" s="454"/>
      <c r="AN864" s="458"/>
      <c r="BA864" s="1305"/>
      <c r="BC864" s="169"/>
    </row>
    <row r="865" spans="19:55" ht="15.75" customHeight="1">
      <c r="S865" s="454"/>
      <c r="AN865" s="458"/>
      <c r="BA865" s="1305"/>
      <c r="BC865" s="169"/>
    </row>
    <row r="866" spans="19:55" ht="15.75" customHeight="1">
      <c r="S866" s="454"/>
      <c r="AN866" s="458"/>
      <c r="BA866" s="1305"/>
      <c r="BC866" s="169"/>
    </row>
    <row r="867" spans="19:55" ht="15.75" customHeight="1">
      <c r="S867" s="454"/>
      <c r="AN867" s="458"/>
      <c r="BA867" s="1305"/>
      <c r="BC867" s="169"/>
    </row>
    <row r="868" spans="19:55" ht="15.75" customHeight="1">
      <c r="S868" s="454"/>
      <c r="AN868" s="458"/>
      <c r="BA868" s="1305"/>
      <c r="BC868" s="169"/>
    </row>
    <row r="869" spans="19:55" ht="15.75" customHeight="1">
      <c r="S869" s="454"/>
      <c r="AN869" s="458"/>
      <c r="BA869" s="1305"/>
      <c r="BC869" s="169"/>
    </row>
    <row r="870" spans="19:55" ht="15.75" customHeight="1">
      <c r="S870" s="454"/>
      <c r="AN870" s="458"/>
      <c r="BA870" s="1305"/>
      <c r="BC870" s="169"/>
    </row>
    <row r="871" spans="19:55" ht="15.75" customHeight="1">
      <c r="S871" s="454"/>
      <c r="AN871" s="458"/>
      <c r="BA871" s="1305"/>
      <c r="BC871" s="169"/>
    </row>
    <row r="872" spans="19:55" ht="15.75" customHeight="1">
      <c r="S872" s="454"/>
      <c r="AN872" s="458"/>
      <c r="BA872" s="1305"/>
      <c r="BC872" s="169"/>
    </row>
    <row r="873" spans="19:55" ht="15.75" customHeight="1">
      <c r="S873" s="454"/>
      <c r="AN873" s="458"/>
      <c r="BA873" s="1305"/>
      <c r="BC873" s="169"/>
    </row>
    <row r="874" spans="19:55" ht="15.75" customHeight="1">
      <c r="S874" s="454"/>
      <c r="AN874" s="458"/>
      <c r="BA874" s="1305"/>
      <c r="BC874" s="169"/>
    </row>
    <row r="875" spans="19:55" ht="15.75" customHeight="1">
      <c r="S875" s="454"/>
      <c r="AN875" s="458"/>
      <c r="BA875" s="1305"/>
      <c r="BC875" s="169"/>
    </row>
    <row r="876" spans="19:55" ht="15.75" customHeight="1">
      <c r="S876" s="454"/>
      <c r="AN876" s="458"/>
      <c r="BA876" s="1305"/>
      <c r="BC876" s="169"/>
    </row>
    <row r="877" spans="19:55" ht="15.75" customHeight="1">
      <c r="S877" s="454"/>
      <c r="AN877" s="458"/>
      <c r="BA877" s="1305"/>
      <c r="BC877" s="169"/>
    </row>
    <row r="878" spans="19:55" ht="15.75" customHeight="1">
      <c r="S878" s="454"/>
      <c r="AN878" s="458"/>
      <c r="BA878" s="1305"/>
      <c r="BC878" s="169"/>
    </row>
    <row r="879" spans="19:55" ht="15.75" customHeight="1">
      <c r="S879" s="454"/>
      <c r="AN879" s="458"/>
      <c r="BA879" s="1305"/>
      <c r="BC879" s="169"/>
    </row>
    <row r="880" spans="19:55" ht="15.75" customHeight="1">
      <c r="S880" s="454"/>
      <c r="AN880" s="458"/>
      <c r="BA880" s="1305"/>
      <c r="BC880" s="169"/>
    </row>
    <row r="881" spans="19:55" ht="15.75" customHeight="1">
      <c r="S881" s="454"/>
      <c r="AN881" s="458"/>
      <c r="BA881" s="1305"/>
      <c r="BC881" s="169"/>
    </row>
    <row r="882" spans="19:55" ht="15.75" customHeight="1">
      <c r="S882" s="454"/>
      <c r="AN882" s="458"/>
      <c r="BA882" s="1305"/>
      <c r="BC882" s="169"/>
    </row>
    <row r="883" spans="19:55" ht="15.75" customHeight="1">
      <c r="S883" s="454"/>
      <c r="AN883" s="458"/>
      <c r="BA883" s="1305"/>
      <c r="BC883" s="169"/>
    </row>
    <row r="884" spans="19:55" ht="15.75" customHeight="1">
      <c r="S884" s="454"/>
      <c r="AN884" s="458"/>
      <c r="BA884" s="1305"/>
      <c r="BC884" s="169"/>
    </row>
    <row r="885" spans="19:55" ht="15.75" customHeight="1">
      <c r="S885" s="454"/>
      <c r="AN885" s="458"/>
      <c r="BA885" s="1305"/>
      <c r="BC885" s="169"/>
    </row>
    <row r="886" spans="19:55" ht="15.75" customHeight="1">
      <c r="S886" s="454"/>
      <c r="AN886" s="458"/>
      <c r="BA886" s="1305"/>
      <c r="BC886" s="169"/>
    </row>
    <row r="887" spans="19:55" ht="15.75" customHeight="1">
      <c r="S887" s="454"/>
      <c r="AN887" s="458"/>
      <c r="BA887" s="1305"/>
      <c r="BC887" s="169"/>
    </row>
    <row r="888" spans="19:55" ht="15.75" customHeight="1">
      <c r="S888" s="454"/>
      <c r="AN888" s="458"/>
      <c r="BA888" s="1305"/>
      <c r="BC888" s="169"/>
    </row>
    <row r="889" spans="19:55" ht="15.75" customHeight="1">
      <c r="S889" s="454"/>
      <c r="AN889" s="458"/>
      <c r="BA889" s="1305"/>
      <c r="BC889" s="169"/>
    </row>
    <row r="890" spans="19:55" ht="15.75" customHeight="1">
      <c r="S890" s="454"/>
      <c r="AN890" s="458"/>
      <c r="BA890" s="1305"/>
      <c r="BC890" s="169"/>
    </row>
    <row r="891" spans="19:55" ht="15.75" customHeight="1">
      <c r="S891" s="454"/>
      <c r="AN891" s="458"/>
      <c r="BA891" s="1305"/>
      <c r="BC891" s="169"/>
    </row>
    <row r="892" spans="19:55" ht="15.75" customHeight="1">
      <c r="S892" s="454"/>
      <c r="AN892" s="458"/>
      <c r="BA892" s="1305"/>
      <c r="BC892" s="169"/>
    </row>
    <row r="893" spans="19:55" ht="15.75" customHeight="1">
      <c r="S893" s="454"/>
      <c r="AN893" s="458"/>
      <c r="BA893" s="1305"/>
      <c r="BC893" s="169"/>
    </row>
    <row r="894" spans="19:55" ht="15.75" customHeight="1">
      <c r="S894" s="454"/>
      <c r="AN894" s="458"/>
      <c r="BA894" s="1305"/>
      <c r="BC894" s="169"/>
    </row>
    <row r="895" spans="19:55" ht="15.75" customHeight="1">
      <c r="S895" s="454"/>
      <c r="AN895" s="458"/>
      <c r="BA895" s="1305"/>
      <c r="BC895" s="169"/>
    </row>
    <row r="896" spans="19:55" ht="15.75" customHeight="1">
      <c r="S896" s="454"/>
      <c r="AN896" s="458"/>
      <c r="BA896" s="1305"/>
      <c r="BC896" s="169"/>
    </row>
    <row r="897" spans="19:55" ht="15.75" customHeight="1">
      <c r="S897" s="454"/>
      <c r="AN897" s="458"/>
      <c r="BA897" s="1305"/>
      <c r="BC897" s="169"/>
    </row>
    <row r="898" spans="19:55" ht="15.75" customHeight="1">
      <c r="S898" s="454"/>
      <c r="AN898" s="458"/>
      <c r="BA898" s="1305"/>
      <c r="BC898" s="169"/>
    </row>
    <row r="899" spans="19:55" ht="15.75" customHeight="1">
      <c r="S899" s="454"/>
      <c r="AN899" s="458"/>
      <c r="BA899" s="1305"/>
      <c r="BC899" s="169"/>
    </row>
    <row r="900" spans="19:55" ht="15.75" customHeight="1">
      <c r="S900" s="454"/>
      <c r="AN900" s="458"/>
      <c r="BA900" s="1305"/>
      <c r="BC900" s="169"/>
    </row>
    <row r="901" spans="19:55" ht="15.75" customHeight="1">
      <c r="S901" s="454"/>
      <c r="AN901" s="458"/>
      <c r="BA901" s="1305"/>
      <c r="BC901" s="169"/>
    </row>
    <row r="902" spans="19:55" ht="15.75" customHeight="1">
      <c r="S902" s="454"/>
      <c r="AN902" s="458"/>
      <c r="BA902" s="1305"/>
      <c r="BC902" s="169"/>
    </row>
    <row r="903" spans="19:55" ht="15.75" customHeight="1">
      <c r="S903" s="454"/>
      <c r="AN903" s="458"/>
      <c r="BA903" s="1305"/>
      <c r="BC903" s="169"/>
    </row>
    <row r="904" spans="19:55" ht="15.75" customHeight="1">
      <c r="S904" s="454"/>
      <c r="AN904" s="458"/>
      <c r="BA904" s="1305"/>
      <c r="BC904" s="169"/>
    </row>
    <row r="905" spans="19:55" ht="15.75" customHeight="1">
      <c r="S905" s="454"/>
      <c r="AN905" s="458"/>
      <c r="BA905" s="1305"/>
      <c r="BC905" s="169"/>
    </row>
    <row r="906" spans="19:55" ht="15.75" customHeight="1">
      <c r="S906" s="454"/>
      <c r="AN906" s="458"/>
      <c r="BA906" s="1305"/>
      <c r="BC906" s="169"/>
    </row>
    <row r="907" spans="19:55" ht="15.75" customHeight="1">
      <c r="S907" s="454"/>
      <c r="AN907" s="458"/>
      <c r="BA907" s="1305"/>
      <c r="BC907" s="169"/>
    </row>
    <row r="908" spans="19:55" ht="15.75" customHeight="1">
      <c r="S908" s="454"/>
      <c r="AN908" s="458"/>
      <c r="BA908" s="1305"/>
      <c r="BC908" s="169"/>
    </row>
    <row r="909" spans="19:55" ht="15.75" customHeight="1">
      <c r="S909" s="454"/>
      <c r="AN909" s="458"/>
      <c r="BA909" s="1305"/>
      <c r="BC909" s="169"/>
    </row>
    <row r="910" spans="19:55" ht="15.75" customHeight="1">
      <c r="S910" s="454"/>
      <c r="AN910" s="458"/>
      <c r="BA910" s="1305"/>
      <c r="BC910" s="169"/>
    </row>
    <row r="911" spans="19:55" ht="15.75" customHeight="1">
      <c r="S911" s="454"/>
      <c r="AN911" s="458"/>
      <c r="BA911" s="1305"/>
      <c r="BC911" s="169"/>
    </row>
    <row r="912" spans="19:55" ht="15.75" customHeight="1">
      <c r="S912" s="454"/>
      <c r="AN912" s="458"/>
      <c r="BA912" s="1305"/>
      <c r="BC912" s="169"/>
    </row>
    <row r="913" spans="19:55" ht="15.75" customHeight="1">
      <c r="S913" s="454"/>
      <c r="AN913" s="458"/>
      <c r="BA913" s="1305"/>
      <c r="BC913" s="169"/>
    </row>
    <row r="914" spans="19:55" ht="15.75" customHeight="1">
      <c r="S914" s="454"/>
      <c r="AN914" s="458"/>
      <c r="BA914" s="1305"/>
      <c r="BC914" s="169"/>
    </row>
    <row r="915" spans="19:55" ht="15.75" customHeight="1">
      <c r="S915" s="454"/>
      <c r="AN915" s="458"/>
      <c r="BA915" s="1305"/>
      <c r="BC915" s="169"/>
    </row>
    <row r="916" spans="19:55" ht="15.75" customHeight="1">
      <c r="S916" s="454"/>
      <c r="AN916" s="458"/>
      <c r="BA916" s="1305"/>
      <c r="BC916" s="169"/>
    </row>
    <row r="917" spans="19:55" ht="15.75" customHeight="1">
      <c r="S917" s="454"/>
      <c r="AN917" s="458"/>
      <c r="BA917" s="1305"/>
      <c r="BC917" s="169"/>
    </row>
    <row r="918" spans="19:55" ht="15.75" customHeight="1">
      <c r="S918" s="454"/>
      <c r="AN918" s="458"/>
      <c r="BA918" s="1305"/>
      <c r="BC918" s="169"/>
    </row>
    <row r="919" spans="19:55" ht="15.75" customHeight="1">
      <c r="S919" s="454"/>
      <c r="AN919" s="458"/>
      <c r="BA919" s="1305"/>
      <c r="BC919" s="169"/>
    </row>
    <row r="920" spans="19:55" ht="15.75" customHeight="1">
      <c r="S920" s="454"/>
      <c r="AN920" s="458"/>
      <c r="BA920" s="1305"/>
      <c r="BC920" s="169"/>
    </row>
    <row r="921" spans="19:55" ht="15.75" customHeight="1">
      <c r="S921" s="454"/>
      <c r="AN921" s="458"/>
      <c r="BA921" s="1305"/>
      <c r="BC921" s="169"/>
    </row>
    <row r="922" spans="19:55" ht="15.75" customHeight="1">
      <c r="S922" s="454"/>
      <c r="AN922" s="458"/>
      <c r="BA922" s="1305"/>
      <c r="BC922" s="169"/>
    </row>
    <row r="923" spans="19:55" ht="15.75" customHeight="1">
      <c r="S923" s="454"/>
      <c r="AN923" s="458"/>
      <c r="BA923" s="1305"/>
      <c r="BC923" s="169"/>
    </row>
    <row r="924" spans="19:55" ht="15.75" customHeight="1">
      <c r="S924" s="454"/>
      <c r="AN924" s="458"/>
      <c r="BA924" s="1305"/>
      <c r="BC924" s="169"/>
    </row>
    <row r="925" spans="19:55" ht="15.75" customHeight="1">
      <c r="S925" s="454"/>
      <c r="AN925" s="458"/>
      <c r="BA925" s="1305"/>
      <c r="BC925" s="169"/>
    </row>
    <row r="926" spans="19:55" ht="15.75" customHeight="1">
      <c r="S926" s="454"/>
      <c r="AN926" s="458"/>
      <c r="BA926" s="1305"/>
      <c r="BC926" s="169"/>
    </row>
    <row r="927" spans="19:55" ht="15.75" customHeight="1">
      <c r="S927" s="454"/>
      <c r="AN927" s="458"/>
      <c r="BA927" s="1305"/>
      <c r="BC927" s="169"/>
    </row>
    <row r="928" spans="19:55" ht="15.75" customHeight="1">
      <c r="S928" s="454"/>
      <c r="AN928" s="458"/>
      <c r="BA928" s="1305"/>
      <c r="BC928" s="169"/>
    </row>
    <row r="929" spans="19:55" ht="15.75" customHeight="1">
      <c r="S929" s="454"/>
      <c r="AN929" s="458"/>
      <c r="BA929" s="1305"/>
      <c r="BC929" s="169"/>
    </row>
    <row r="930" spans="19:55" ht="15.75" customHeight="1">
      <c r="S930" s="454"/>
      <c r="AN930" s="458"/>
      <c r="BA930" s="1305"/>
      <c r="BC930" s="169"/>
    </row>
    <row r="931" spans="19:55" ht="15.75" customHeight="1">
      <c r="S931" s="454"/>
      <c r="AN931" s="458"/>
      <c r="BA931" s="1305"/>
      <c r="BC931" s="169"/>
    </row>
    <row r="932" spans="19:55" ht="15.75" customHeight="1">
      <c r="S932" s="454"/>
      <c r="AN932" s="458"/>
      <c r="BA932" s="1305"/>
      <c r="BC932" s="169"/>
    </row>
    <row r="933" spans="19:55" ht="15.75" customHeight="1">
      <c r="S933" s="454"/>
      <c r="AN933" s="458"/>
      <c r="BA933" s="1305"/>
      <c r="BC933" s="169"/>
    </row>
    <row r="934" spans="19:55" ht="15.75" customHeight="1">
      <c r="S934" s="454"/>
      <c r="AN934" s="458"/>
      <c r="BA934" s="1305"/>
      <c r="BC934" s="169"/>
    </row>
    <row r="935" spans="19:55" ht="15.75" customHeight="1">
      <c r="S935" s="454"/>
      <c r="AN935" s="458"/>
      <c r="BA935" s="1305"/>
      <c r="BC935" s="169"/>
    </row>
    <row r="936" spans="19:55" ht="15.75" customHeight="1">
      <c r="S936" s="454"/>
      <c r="AN936" s="458"/>
      <c r="BA936" s="1305"/>
      <c r="BC936" s="169"/>
    </row>
    <row r="937" spans="19:55" ht="15.75" customHeight="1">
      <c r="S937" s="454"/>
      <c r="AN937" s="458"/>
      <c r="BA937" s="1305"/>
      <c r="BC937" s="169"/>
    </row>
    <row r="938" spans="19:55" ht="15.75" customHeight="1">
      <c r="S938" s="454"/>
      <c r="AN938" s="458"/>
      <c r="BA938" s="1305"/>
      <c r="BC938" s="169"/>
    </row>
    <row r="939" spans="19:55" ht="15.75" customHeight="1">
      <c r="S939" s="454"/>
      <c r="AN939" s="458"/>
      <c r="BA939" s="1305"/>
      <c r="BC939" s="169"/>
    </row>
    <row r="940" spans="19:55" ht="15.75" customHeight="1">
      <c r="S940" s="454"/>
      <c r="AN940" s="458"/>
      <c r="BA940" s="1305"/>
      <c r="BC940" s="169"/>
    </row>
    <row r="941" spans="19:55" ht="15.75" customHeight="1">
      <c r="S941" s="454"/>
      <c r="AN941" s="458"/>
      <c r="BA941" s="1305"/>
      <c r="BC941" s="169"/>
    </row>
    <row r="942" spans="19:55" ht="15.75" customHeight="1">
      <c r="S942" s="454"/>
      <c r="AN942" s="458"/>
      <c r="BA942" s="1305"/>
      <c r="BC942" s="169"/>
    </row>
    <row r="943" spans="19:55" ht="15.75" customHeight="1">
      <c r="S943" s="454"/>
      <c r="AN943" s="458"/>
      <c r="BA943" s="1305"/>
      <c r="BC943" s="169"/>
    </row>
    <row r="944" spans="19:55" ht="15.75" customHeight="1">
      <c r="S944" s="454"/>
      <c r="AN944" s="458"/>
      <c r="BA944" s="1305"/>
      <c r="BC944" s="169"/>
    </row>
    <row r="945" spans="19:55" ht="15.75" customHeight="1">
      <c r="S945" s="454"/>
      <c r="AN945" s="458"/>
      <c r="BA945" s="1305"/>
      <c r="BC945" s="169"/>
    </row>
    <row r="946" spans="19:55" ht="15.75" customHeight="1">
      <c r="S946" s="454"/>
      <c r="AN946" s="458"/>
      <c r="BA946" s="1305"/>
      <c r="BC946" s="169"/>
    </row>
    <row r="947" spans="19:55" ht="15.75" customHeight="1">
      <c r="S947" s="454"/>
      <c r="AN947" s="458"/>
      <c r="BA947" s="1305"/>
      <c r="BC947" s="169"/>
    </row>
    <row r="948" spans="19:55" ht="15.75" customHeight="1">
      <c r="S948" s="454"/>
      <c r="AN948" s="458"/>
      <c r="BA948" s="1305"/>
      <c r="BC948" s="169"/>
    </row>
    <row r="949" spans="19:55" ht="15.75" customHeight="1">
      <c r="S949" s="454"/>
      <c r="AN949" s="458"/>
      <c r="BA949" s="1305"/>
      <c r="BC949" s="169"/>
    </row>
    <row r="950" spans="19:55" ht="15.75" customHeight="1">
      <c r="S950" s="454"/>
      <c r="AN950" s="458"/>
      <c r="BA950" s="1305"/>
      <c r="BC950" s="169"/>
    </row>
    <row r="951" spans="19:55" ht="15.75" customHeight="1">
      <c r="S951" s="454"/>
      <c r="AN951" s="458"/>
      <c r="BA951" s="1305"/>
      <c r="BC951" s="169"/>
    </row>
    <row r="952" spans="19:55" ht="15.75" customHeight="1">
      <c r="S952" s="454"/>
      <c r="AN952" s="458"/>
      <c r="BA952" s="1305"/>
      <c r="BC952" s="169"/>
    </row>
    <row r="953" spans="19:55" ht="15.75" customHeight="1">
      <c r="S953" s="454"/>
      <c r="AN953" s="458"/>
      <c r="BA953" s="1305"/>
      <c r="BC953" s="169"/>
    </row>
    <row r="954" spans="19:55" ht="15.75" customHeight="1">
      <c r="S954" s="454"/>
      <c r="AN954" s="458"/>
      <c r="BA954" s="1305"/>
      <c r="BC954" s="169"/>
    </row>
    <row r="955" spans="19:55" ht="15.75" customHeight="1">
      <c r="S955" s="454"/>
      <c r="AN955" s="458"/>
      <c r="BA955" s="1305"/>
      <c r="BC955" s="169"/>
    </row>
    <row r="956" spans="19:55" ht="15.75" customHeight="1">
      <c r="S956" s="454"/>
      <c r="AN956" s="458"/>
      <c r="BA956" s="1305"/>
      <c r="BC956" s="169"/>
    </row>
    <row r="957" spans="19:55" ht="15.75" customHeight="1">
      <c r="S957" s="454"/>
      <c r="AN957" s="458"/>
      <c r="BA957" s="1305"/>
      <c r="BC957" s="169"/>
    </row>
    <row r="958" spans="19:55" ht="15.75" customHeight="1">
      <c r="S958" s="454"/>
      <c r="AN958" s="458"/>
      <c r="BA958" s="1305"/>
      <c r="BC958" s="169"/>
    </row>
    <row r="959" spans="19:55" ht="15.75" customHeight="1">
      <c r="S959" s="454"/>
      <c r="AN959" s="458"/>
      <c r="BA959" s="1305"/>
      <c r="BC959" s="169"/>
    </row>
    <row r="960" spans="19:55" ht="15.75" customHeight="1">
      <c r="S960" s="454"/>
      <c r="AN960" s="458"/>
      <c r="BA960" s="1305"/>
      <c r="BC960" s="169"/>
    </row>
    <row r="961" spans="19:55" ht="15.75" customHeight="1">
      <c r="S961" s="454"/>
      <c r="AN961" s="458"/>
      <c r="BA961" s="1305"/>
      <c r="BC961" s="169"/>
    </row>
    <row r="962" spans="19:55" ht="15.75" customHeight="1">
      <c r="S962" s="454"/>
      <c r="AN962" s="458"/>
      <c r="BA962" s="1305"/>
      <c r="BC962" s="169"/>
    </row>
    <row r="963" spans="19:55" ht="15.75" customHeight="1">
      <c r="S963" s="454"/>
      <c r="AN963" s="458"/>
      <c r="BA963" s="1305"/>
      <c r="BC963" s="169"/>
    </row>
    <row r="964" spans="19:55" ht="15.75" customHeight="1">
      <c r="S964" s="454"/>
      <c r="AN964" s="458"/>
      <c r="BA964" s="1305"/>
      <c r="BC964" s="169"/>
    </row>
    <row r="965" spans="19:55" ht="15.75" customHeight="1">
      <c r="S965" s="454"/>
      <c r="AN965" s="458"/>
      <c r="BA965" s="1305"/>
      <c r="BC965" s="169"/>
    </row>
    <row r="966" spans="19:55" ht="15.75" customHeight="1">
      <c r="S966" s="454"/>
      <c r="AN966" s="458"/>
      <c r="BA966" s="1305"/>
      <c r="BC966" s="169"/>
    </row>
    <row r="967" spans="19:55" ht="15.75" customHeight="1">
      <c r="S967" s="454"/>
      <c r="AN967" s="458"/>
      <c r="BA967" s="1305"/>
      <c r="BC967" s="169"/>
    </row>
    <row r="968" spans="19:55" ht="15.75" customHeight="1">
      <c r="S968" s="454"/>
      <c r="AN968" s="458"/>
      <c r="BA968" s="1305"/>
      <c r="BC968" s="169"/>
    </row>
    <row r="969" spans="19:55" ht="15.75" customHeight="1">
      <c r="S969" s="454"/>
      <c r="AN969" s="458"/>
      <c r="BA969" s="1305"/>
      <c r="BC969" s="169"/>
    </row>
    <row r="970" spans="19:55" ht="15.75" customHeight="1">
      <c r="S970" s="454"/>
      <c r="AN970" s="458"/>
      <c r="BA970" s="1305"/>
      <c r="BC970" s="169"/>
    </row>
    <row r="971" spans="19:55" ht="15.75" customHeight="1">
      <c r="S971" s="454"/>
      <c r="AN971" s="458"/>
      <c r="BA971" s="1305"/>
      <c r="BC971" s="169"/>
    </row>
    <row r="972" spans="19:55" ht="15.75" customHeight="1">
      <c r="S972" s="454"/>
      <c r="AN972" s="458"/>
      <c r="BA972" s="1305"/>
      <c r="BC972" s="169"/>
    </row>
    <row r="973" spans="19:55" ht="15.75" customHeight="1">
      <c r="S973" s="454"/>
      <c r="AN973" s="458"/>
      <c r="BA973" s="1305"/>
      <c r="BC973" s="169"/>
    </row>
    <row r="974" spans="19:55" ht="15.75" customHeight="1">
      <c r="S974" s="454"/>
      <c r="AN974" s="458"/>
      <c r="BA974" s="1305"/>
      <c r="BC974" s="169"/>
    </row>
    <row r="975" spans="19:55" ht="15.75" customHeight="1">
      <c r="S975" s="454"/>
      <c r="AN975" s="458"/>
      <c r="BA975" s="1305"/>
      <c r="BC975" s="169"/>
    </row>
    <row r="976" spans="19:55" ht="15.75" customHeight="1">
      <c r="S976" s="454"/>
      <c r="AN976" s="458"/>
      <c r="BA976" s="1305"/>
      <c r="BC976" s="169"/>
    </row>
    <row r="977" spans="19:55" ht="15.75" customHeight="1">
      <c r="S977" s="454"/>
      <c r="AN977" s="458"/>
      <c r="BA977" s="1305"/>
      <c r="BC977" s="169"/>
    </row>
    <row r="978" spans="19:55" ht="15.75" customHeight="1">
      <c r="S978" s="454"/>
      <c r="AN978" s="458"/>
      <c r="BA978" s="1305"/>
      <c r="BC978" s="169"/>
    </row>
    <row r="979" spans="19:55" ht="15.75" customHeight="1">
      <c r="S979" s="454"/>
      <c r="AN979" s="458"/>
      <c r="BA979" s="1305"/>
      <c r="BC979" s="169"/>
    </row>
    <row r="980" spans="19:55" ht="15.75" customHeight="1">
      <c r="S980" s="454"/>
      <c r="AN980" s="458"/>
      <c r="BA980" s="1305"/>
      <c r="BC980" s="169"/>
    </row>
    <row r="981" spans="19:55" ht="15.75" customHeight="1">
      <c r="S981" s="454"/>
      <c r="AN981" s="458"/>
      <c r="BA981" s="1305"/>
      <c r="BC981" s="169"/>
    </row>
    <row r="982" spans="19:55" ht="15.75" customHeight="1">
      <c r="S982" s="454"/>
      <c r="AN982" s="458"/>
      <c r="BA982" s="1305"/>
      <c r="BC982" s="169"/>
    </row>
    <row r="983" spans="19:55" ht="15.75" customHeight="1">
      <c r="S983" s="454"/>
      <c r="AN983" s="458"/>
      <c r="BA983" s="1305"/>
      <c r="BC983" s="169"/>
    </row>
    <row r="984" spans="19:55" ht="15.75" customHeight="1">
      <c r="S984" s="454"/>
      <c r="AN984" s="458"/>
      <c r="BA984" s="1305"/>
      <c r="BC984" s="169"/>
    </row>
    <row r="985" spans="19:55" ht="15.75" customHeight="1">
      <c r="S985" s="454"/>
      <c r="AN985" s="458"/>
      <c r="BA985" s="1305"/>
      <c r="BC985" s="169"/>
    </row>
    <row r="986" spans="19:55" ht="15.75" customHeight="1">
      <c r="S986" s="454"/>
      <c r="AN986" s="458"/>
      <c r="BA986" s="1305"/>
      <c r="BC986" s="169"/>
    </row>
    <row r="987" spans="19:55" ht="15.75" customHeight="1">
      <c r="S987" s="454"/>
      <c r="AN987" s="458"/>
      <c r="BA987" s="1305"/>
      <c r="BC987" s="169"/>
    </row>
    <row r="988" spans="19:55" ht="15.75" customHeight="1">
      <c r="S988" s="454"/>
      <c r="AN988" s="458"/>
      <c r="BA988" s="1305"/>
      <c r="BC988" s="169"/>
    </row>
    <row r="989" spans="19:55" ht="15.75" customHeight="1">
      <c r="S989" s="454"/>
      <c r="AN989" s="458"/>
      <c r="BA989" s="1305"/>
      <c r="BC989" s="169"/>
    </row>
    <row r="990" spans="19:55" ht="15.75" customHeight="1">
      <c r="S990" s="454"/>
      <c r="AN990" s="458"/>
      <c r="BA990" s="1305"/>
      <c r="BC990" s="169"/>
    </row>
    <row r="991" spans="19:55" ht="15.75" customHeight="1">
      <c r="S991" s="454"/>
      <c r="AN991" s="458"/>
      <c r="BA991" s="1305"/>
      <c r="BC991" s="169"/>
    </row>
    <row r="992" spans="19:55" ht="15.75" customHeight="1">
      <c r="S992" s="454"/>
      <c r="AN992" s="458"/>
      <c r="BA992" s="1305"/>
      <c r="BC992" s="169"/>
    </row>
    <row r="993" spans="19:55" ht="15.75" customHeight="1">
      <c r="S993" s="454"/>
      <c r="AN993" s="458"/>
      <c r="BA993" s="1305"/>
      <c r="BC993" s="169"/>
    </row>
    <row r="994" spans="19:55" ht="15.75" customHeight="1">
      <c r="S994" s="454"/>
      <c r="AN994" s="458"/>
      <c r="BA994" s="1305"/>
      <c r="BC994" s="169"/>
    </row>
    <row r="995" spans="19:55" ht="15.75" customHeight="1">
      <c r="S995" s="454"/>
      <c r="AN995" s="458"/>
      <c r="BA995" s="1305"/>
      <c r="BC995" s="169"/>
    </row>
    <row r="996" spans="19:55" ht="15.75" customHeight="1">
      <c r="S996" s="454"/>
      <c r="AN996" s="458"/>
      <c r="BA996" s="1305"/>
      <c r="BC996" s="169"/>
    </row>
    <row r="997" spans="19:55" ht="15.75" customHeight="1">
      <c r="S997" s="454"/>
      <c r="AN997" s="458"/>
      <c r="BA997" s="1305"/>
      <c r="BC997" s="169"/>
    </row>
    <row r="998" spans="19:55" ht="15.75" customHeight="1">
      <c r="S998" s="454"/>
      <c r="AN998" s="458"/>
      <c r="BA998" s="1305"/>
      <c r="BC998" s="169"/>
    </row>
    <row r="999" spans="19:55" ht="15.75" customHeight="1">
      <c r="S999" s="454"/>
      <c r="AN999" s="458"/>
      <c r="BA999" s="1305"/>
      <c r="BC999" s="169"/>
    </row>
    <row r="1000" spans="19:55" ht="15.75" customHeight="1">
      <c r="S1000" s="454"/>
      <c r="AN1000" s="458"/>
      <c r="BA1000" s="1305"/>
      <c r="BC1000" s="169"/>
    </row>
    <row r="1001" spans="19:55" ht="15.75" customHeight="1">
      <c r="S1001" s="454"/>
      <c r="AN1001" s="458"/>
      <c r="BA1001" s="1305"/>
      <c r="BC1001" s="169"/>
    </row>
    <row r="1002" spans="19:55" ht="15.75" customHeight="1">
      <c r="S1002" s="454"/>
      <c r="AN1002" s="458"/>
      <c r="BA1002" s="1305"/>
      <c r="BC1002" s="169"/>
    </row>
    <row r="1003" spans="19:55" ht="15.75" customHeight="1">
      <c r="S1003" s="454"/>
      <c r="AN1003" s="458"/>
      <c r="BA1003" s="1305"/>
      <c r="BC1003" s="169"/>
    </row>
    <row r="1004" spans="19:55" ht="15.75" customHeight="1">
      <c r="S1004" s="454"/>
      <c r="AN1004" s="458"/>
      <c r="BA1004" s="1305"/>
      <c r="BC1004" s="169"/>
    </row>
    <row r="1005" spans="19:55" ht="15.75" customHeight="1">
      <c r="S1005" s="454"/>
      <c r="AN1005" s="458"/>
      <c r="BA1005" s="1305"/>
      <c r="BC1005" s="169"/>
    </row>
    <row r="1006" spans="19:55" ht="15.75" customHeight="1">
      <c r="S1006" s="454"/>
      <c r="AN1006" s="458"/>
      <c r="BA1006" s="1305"/>
      <c r="BC1006" s="169"/>
    </row>
    <row r="1007" spans="19:55" ht="15.75" customHeight="1">
      <c r="S1007" s="454"/>
      <c r="AN1007" s="458"/>
      <c r="BA1007" s="1305"/>
      <c r="BC1007" s="169"/>
    </row>
    <row r="1008" spans="19:55" ht="15.75" customHeight="1">
      <c r="S1008" s="454"/>
      <c r="AN1008" s="458"/>
      <c r="BA1008" s="1305"/>
      <c r="BC1008" s="169"/>
    </row>
    <row r="1009" spans="19:55" ht="15.75" customHeight="1">
      <c r="S1009" s="454"/>
      <c r="AN1009" s="458"/>
      <c r="BA1009" s="1305"/>
      <c r="BC1009" s="169"/>
    </row>
    <row r="1010" spans="19:55" ht="15.75" customHeight="1">
      <c r="S1010" s="454"/>
      <c r="AN1010" s="458"/>
      <c r="BA1010" s="1305"/>
      <c r="BC1010" s="169"/>
    </row>
    <row r="1011" spans="19:55" ht="15.75" customHeight="1">
      <c r="S1011" s="454"/>
      <c r="AN1011" s="458"/>
      <c r="BA1011" s="1305"/>
      <c r="BC1011" s="169"/>
    </row>
    <row r="1012" spans="19:55" ht="15.75" customHeight="1">
      <c r="S1012" s="454"/>
      <c r="AN1012" s="458"/>
      <c r="BA1012" s="1305"/>
      <c r="BC1012" s="169"/>
    </row>
    <row r="1013" spans="19:55" ht="15.75" customHeight="1">
      <c r="S1013" s="454"/>
      <c r="AN1013" s="458"/>
      <c r="BA1013" s="1305"/>
      <c r="BC1013" s="169"/>
    </row>
    <row r="1014" spans="19:55" ht="15.75" customHeight="1">
      <c r="S1014" s="454"/>
      <c r="AN1014" s="458"/>
      <c r="BA1014" s="1305"/>
      <c r="BC1014" s="169"/>
    </row>
    <row r="1015" spans="19:55" ht="15.75" customHeight="1">
      <c r="S1015" s="454"/>
      <c r="AN1015" s="458"/>
      <c r="BA1015" s="1305"/>
      <c r="BC1015" s="169"/>
    </row>
    <row r="1016" spans="19:55" ht="15.75" customHeight="1">
      <c r="S1016" s="454"/>
      <c r="AN1016" s="458"/>
      <c r="BA1016" s="1305"/>
      <c r="BC1016" s="169"/>
    </row>
    <row r="1017" spans="19:55" ht="15.75" customHeight="1">
      <c r="S1017" s="454"/>
      <c r="AN1017" s="458"/>
      <c r="BA1017" s="1305"/>
      <c r="BC1017" s="169"/>
    </row>
    <row r="1018" spans="19:55" ht="15.75" customHeight="1">
      <c r="S1018" s="454"/>
      <c r="AN1018" s="458"/>
      <c r="BA1018" s="1305"/>
      <c r="BC1018" s="169"/>
    </row>
    <row r="1019" spans="19:55" ht="15.75" customHeight="1">
      <c r="S1019" s="454"/>
      <c r="AN1019" s="458"/>
      <c r="BA1019" s="1305"/>
      <c r="BC1019" s="169"/>
    </row>
    <row r="1020" spans="19:55" ht="15.75" customHeight="1">
      <c r="S1020" s="454"/>
      <c r="AN1020" s="458"/>
      <c r="BA1020" s="1305"/>
      <c r="BC1020" s="169"/>
    </row>
    <row r="1021" spans="19:55" ht="15.75" customHeight="1">
      <c r="S1021" s="454"/>
      <c r="AN1021" s="458"/>
      <c r="BA1021" s="1305"/>
      <c r="BC1021" s="169"/>
    </row>
    <row r="1022" spans="19:55" ht="15.75" customHeight="1">
      <c r="S1022" s="454"/>
      <c r="AN1022" s="458"/>
      <c r="BA1022" s="1305"/>
      <c r="BC1022" s="169"/>
    </row>
    <row r="1023" spans="19:55" ht="15.75" customHeight="1">
      <c r="S1023" s="454"/>
      <c r="AN1023" s="458"/>
      <c r="BA1023" s="1305"/>
      <c r="BC1023" s="169"/>
    </row>
    <row r="1024" spans="19:55" ht="15.75" customHeight="1">
      <c r="S1024" s="454"/>
      <c r="AN1024" s="458"/>
      <c r="BA1024" s="1305"/>
      <c r="BC1024" s="169"/>
    </row>
    <row r="1025" spans="19:55" ht="15.75" customHeight="1">
      <c r="S1025" s="454"/>
      <c r="AN1025" s="458"/>
      <c r="BA1025" s="1305"/>
      <c r="BC1025" s="169"/>
    </row>
    <row r="1026" spans="19:55" ht="15.75" customHeight="1">
      <c r="S1026" s="454"/>
      <c r="AN1026" s="458"/>
      <c r="BA1026" s="1305"/>
      <c r="BC1026" s="169"/>
    </row>
    <row r="1027" spans="19:55" ht="15.75" customHeight="1">
      <c r="S1027" s="454"/>
      <c r="AN1027" s="458"/>
      <c r="BA1027" s="1305"/>
      <c r="BC1027" s="169"/>
    </row>
    <row r="1028" spans="19:55" ht="15.75" customHeight="1">
      <c r="S1028" s="454"/>
      <c r="AN1028" s="458"/>
      <c r="BA1028" s="1305"/>
      <c r="BC1028" s="169"/>
    </row>
    <row r="1029" spans="19:55" ht="15.75" customHeight="1">
      <c r="S1029" s="454"/>
      <c r="AN1029" s="458"/>
      <c r="BA1029" s="1305"/>
      <c r="BC1029" s="169"/>
    </row>
    <row r="1030" spans="19:55" ht="15.75" customHeight="1">
      <c r="S1030" s="454"/>
      <c r="AN1030" s="458"/>
      <c r="BA1030" s="1305"/>
      <c r="BC1030" s="169"/>
    </row>
    <row r="1031" spans="19:55" ht="15.75" customHeight="1">
      <c r="S1031" s="454"/>
      <c r="AN1031" s="458"/>
      <c r="BA1031" s="1305"/>
      <c r="BC1031" s="169"/>
    </row>
    <row r="1032" spans="19:55" ht="15.75" customHeight="1">
      <c r="S1032" s="454"/>
      <c r="AN1032" s="458"/>
      <c r="BA1032" s="1305"/>
      <c r="BC1032" s="169"/>
    </row>
    <row r="1033" spans="19:55" ht="15.75" customHeight="1">
      <c r="S1033" s="454"/>
      <c r="AN1033" s="458"/>
      <c r="BA1033" s="1305"/>
      <c r="BC1033" s="169"/>
    </row>
    <row r="1034" spans="19:55" ht="15.75" customHeight="1">
      <c r="S1034" s="454"/>
      <c r="AN1034" s="458"/>
      <c r="BA1034" s="1305"/>
      <c r="BC1034" s="169"/>
    </row>
    <row r="1035" spans="19:55" ht="15.75" customHeight="1">
      <c r="S1035" s="454"/>
      <c r="AN1035" s="458"/>
      <c r="BA1035" s="1305"/>
      <c r="BC1035" s="169"/>
    </row>
    <row r="1036" spans="19:55" ht="15.75" customHeight="1">
      <c r="S1036" s="454"/>
      <c r="AN1036" s="458"/>
      <c r="BA1036" s="1305"/>
      <c r="BC1036" s="169"/>
    </row>
    <row r="1037" spans="19:55" ht="15.75" customHeight="1">
      <c r="S1037" s="454"/>
      <c r="AN1037" s="458"/>
      <c r="BA1037" s="1305"/>
      <c r="BC1037" s="169"/>
    </row>
    <row r="1038" spans="19:55" ht="15.75" customHeight="1">
      <c r="S1038" s="454"/>
      <c r="AN1038" s="458"/>
      <c r="BA1038" s="1305"/>
      <c r="BC1038" s="169"/>
    </row>
    <row r="1039" spans="19:55" ht="15.75" customHeight="1">
      <c r="S1039" s="454"/>
      <c r="AN1039" s="458"/>
      <c r="BA1039" s="1305"/>
      <c r="BC1039" s="169"/>
    </row>
    <row r="1040" spans="19:55" ht="15.75" customHeight="1">
      <c r="S1040" s="454"/>
      <c r="AN1040" s="458"/>
      <c r="BA1040" s="1305"/>
      <c r="BC1040" s="169"/>
    </row>
    <row r="1041" spans="19:55" ht="15.75" customHeight="1">
      <c r="S1041" s="454"/>
      <c r="AN1041" s="458"/>
      <c r="BA1041" s="1305"/>
      <c r="BC1041" s="169"/>
    </row>
    <row r="1042" spans="19:55" ht="15.75" customHeight="1">
      <c r="S1042" s="454"/>
      <c r="AN1042" s="458"/>
      <c r="BA1042" s="1305"/>
      <c r="BC1042" s="169"/>
    </row>
    <row r="1043" spans="19:55" ht="15.75" customHeight="1">
      <c r="S1043" s="454"/>
      <c r="AN1043" s="458"/>
      <c r="BA1043" s="1305"/>
      <c r="BC1043" s="169"/>
    </row>
    <row r="1044" spans="19:55" ht="15.75" customHeight="1">
      <c r="S1044" s="454"/>
      <c r="AN1044" s="458"/>
      <c r="BA1044" s="1305"/>
      <c r="BC1044" s="169"/>
    </row>
    <row r="1045" spans="19:55" ht="15.75" customHeight="1">
      <c r="S1045" s="454"/>
      <c r="AN1045" s="458"/>
      <c r="BA1045" s="1305"/>
      <c r="BC1045" s="169"/>
    </row>
    <row r="1046" spans="19:55" ht="15.75" customHeight="1">
      <c r="S1046" s="454"/>
      <c r="AN1046" s="458"/>
      <c r="BA1046" s="1305"/>
      <c r="BC1046" s="169"/>
    </row>
    <row r="1047" spans="19:55" ht="15.75" customHeight="1">
      <c r="S1047" s="454"/>
      <c r="AN1047" s="458"/>
      <c r="BA1047" s="1305"/>
      <c r="BC1047" s="169"/>
    </row>
    <row r="1048" spans="19:55" ht="15.75" customHeight="1">
      <c r="S1048" s="454"/>
      <c r="AN1048" s="458"/>
      <c r="BA1048" s="1305"/>
      <c r="BC1048" s="169"/>
    </row>
    <row r="1049" spans="19:55" ht="15.75" customHeight="1">
      <c r="S1049" s="454"/>
      <c r="AN1049" s="458"/>
      <c r="BA1049" s="1305"/>
      <c r="BC1049" s="169"/>
    </row>
    <row r="1050" spans="19:55" ht="15.75" customHeight="1">
      <c r="S1050" s="454"/>
      <c r="AN1050" s="458"/>
      <c r="BA1050" s="1305"/>
      <c r="BC1050" s="169"/>
    </row>
    <row r="1051" spans="19:55" ht="15.75" customHeight="1">
      <c r="S1051" s="454"/>
      <c r="AN1051" s="458"/>
      <c r="BA1051" s="1305"/>
      <c r="BC1051" s="169"/>
    </row>
    <row r="1052" spans="19:55" ht="15.75" customHeight="1">
      <c r="S1052" s="454"/>
      <c r="AN1052" s="458"/>
      <c r="BA1052" s="1305"/>
      <c r="BC1052" s="169"/>
    </row>
    <row r="1053" spans="19:55" ht="15.75" customHeight="1">
      <c r="S1053" s="454"/>
      <c r="AN1053" s="458"/>
      <c r="BA1053" s="1305"/>
      <c r="BC1053" s="169"/>
    </row>
    <row r="1054" spans="19:55" ht="15.75" customHeight="1">
      <c r="S1054" s="454"/>
      <c r="AN1054" s="458"/>
      <c r="BA1054" s="1305"/>
      <c r="BC1054" s="169"/>
    </row>
    <row r="1055" spans="19:55" ht="15.75" customHeight="1">
      <c r="S1055" s="454"/>
      <c r="AN1055" s="458"/>
      <c r="BA1055" s="1305"/>
      <c r="BC1055" s="169"/>
    </row>
    <row r="1056" spans="19:55" ht="15.75" customHeight="1">
      <c r="S1056" s="454"/>
      <c r="AN1056" s="458"/>
      <c r="BA1056" s="1305"/>
      <c r="BC1056" s="169"/>
    </row>
    <row r="1057" spans="19:55" ht="15.75" customHeight="1">
      <c r="S1057" s="454"/>
      <c r="AN1057" s="458"/>
      <c r="BA1057" s="1305"/>
      <c r="BC1057" s="169"/>
    </row>
    <row r="1058" spans="19:55" ht="15.75" customHeight="1">
      <c r="S1058" s="454"/>
      <c r="AN1058" s="458"/>
      <c r="BA1058" s="1305"/>
      <c r="BC1058" s="169"/>
    </row>
    <row r="1059" spans="19:55" ht="15.75" customHeight="1">
      <c r="S1059" s="454"/>
      <c r="AN1059" s="458"/>
      <c r="BA1059" s="1305"/>
      <c r="BC1059" s="169"/>
    </row>
    <row r="1060" spans="19:55" ht="15.75" customHeight="1">
      <c r="S1060" s="454"/>
      <c r="AN1060" s="458"/>
      <c r="BA1060" s="1305"/>
      <c r="BC1060" s="169"/>
    </row>
    <row r="1061" spans="19:55" ht="15.75" customHeight="1">
      <c r="S1061" s="454"/>
      <c r="AN1061" s="458"/>
      <c r="BA1061" s="1305"/>
      <c r="BC1061" s="169"/>
    </row>
    <row r="1062" spans="19:55" ht="15.75" customHeight="1">
      <c r="S1062" s="454"/>
      <c r="AN1062" s="458"/>
      <c r="BA1062" s="1305"/>
      <c r="BC1062" s="169"/>
    </row>
    <row r="1063" spans="19:55" ht="15.75" customHeight="1">
      <c r="S1063" s="454"/>
      <c r="AN1063" s="458"/>
      <c r="BA1063" s="1305"/>
      <c r="BC1063" s="169"/>
    </row>
    <row r="1064" spans="19:55" ht="15.75" customHeight="1">
      <c r="S1064" s="454"/>
      <c r="AN1064" s="458"/>
      <c r="BA1064" s="1305"/>
      <c r="BC1064" s="169"/>
    </row>
    <row r="1065" spans="19:55" ht="15.75" customHeight="1">
      <c r="S1065" s="454"/>
      <c r="AN1065" s="458"/>
      <c r="BA1065" s="1305"/>
      <c r="BC1065" s="169"/>
    </row>
    <row r="1066" spans="19:55" ht="15.75" customHeight="1">
      <c r="S1066" s="454"/>
      <c r="AN1066" s="458"/>
      <c r="BA1066" s="1305"/>
      <c r="BC1066" s="169"/>
    </row>
    <row r="1067" spans="19:55" ht="15.75" customHeight="1">
      <c r="S1067" s="454"/>
      <c r="AN1067" s="458"/>
      <c r="BA1067" s="1305"/>
      <c r="BC1067" s="169"/>
    </row>
    <row r="1068" spans="19:55" ht="15.75" customHeight="1">
      <c r="S1068" s="454"/>
      <c r="AN1068" s="458"/>
      <c r="BA1068" s="1305"/>
      <c r="BC1068" s="169"/>
    </row>
    <row r="1069" spans="19:55" ht="15.75" customHeight="1">
      <c r="S1069" s="454"/>
      <c r="AN1069" s="458"/>
      <c r="BA1069" s="1305"/>
      <c r="BC1069" s="169"/>
    </row>
    <row r="1070" spans="19:55" ht="15.75" customHeight="1">
      <c r="S1070" s="454"/>
      <c r="AN1070" s="458"/>
      <c r="BA1070" s="1305"/>
      <c r="BC1070" s="169"/>
    </row>
    <row r="1071" spans="19:55" ht="15.75" customHeight="1">
      <c r="S1071" s="454"/>
      <c r="AN1071" s="458"/>
      <c r="BA1071" s="1305"/>
      <c r="BC1071" s="169"/>
    </row>
    <row r="1072" spans="19:55" ht="15.75" customHeight="1">
      <c r="S1072" s="454"/>
      <c r="AN1072" s="458"/>
      <c r="BA1072" s="1305"/>
      <c r="BC1072" s="169"/>
    </row>
    <row r="1073" spans="19:55" ht="15.75" customHeight="1">
      <c r="S1073" s="454"/>
      <c r="AN1073" s="458"/>
      <c r="BA1073" s="1305"/>
      <c r="BC1073" s="169"/>
    </row>
    <row r="1074" spans="19:55" ht="15.75" customHeight="1">
      <c r="S1074" s="454"/>
      <c r="AN1074" s="458"/>
      <c r="BA1074" s="1305"/>
      <c r="BC1074" s="169"/>
    </row>
    <row r="1075" spans="19:55" ht="15.75" customHeight="1">
      <c r="S1075" s="454"/>
      <c r="AN1075" s="458"/>
      <c r="BA1075" s="1305"/>
      <c r="BC1075" s="169"/>
    </row>
    <row r="1076" spans="19:55" ht="15.75" customHeight="1">
      <c r="S1076" s="454"/>
      <c r="AN1076" s="458"/>
      <c r="BA1076" s="1305"/>
      <c r="BC1076" s="169"/>
    </row>
    <row r="1077" spans="19:55" ht="15.75" customHeight="1">
      <c r="S1077" s="454"/>
      <c r="AN1077" s="458"/>
      <c r="BA1077" s="1305"/>
      <c r="BC1077" s="169"/>
    </row>
    <row r="1078" spans="19:55" ht="15.75" customHeight="1">
      <c r="S1078" s="454"/>
      <c r="AN1078" s="458"/>
      <c r="BA1078" s="1305"/>
      <c r="BC1078" s="169"/>
    </row>
    <row r="1079" spans="19:55" ht="15.75" customHeight="1">
      <c r="S1079" s="454"/>
      <c r="AN1079" s="458"/>
      <c r="BA1079" s="1305"/>
      <c r="BC1079" s="169"/>
    </row>
    <row r="1080" spans="19:55" ht="15.75" customHeight="1">
      <c r="S1080" s="454"/>
      <c r="AN1080" s="458"/>
      <c r="BA1080" s="1305"/>
      <c r="BC1080" s="169"/>
    </row>
    <row r="1081" spans="19:55" ht="15.75" customHeight="1">
      <c r="S1081" s="454"/>
      <c r="AN1081" s="458"/>
      <c r="BA1081" s="1305"/>
      <c r="BC1081" s="169"/>
    </row>
    <row r="1082" spans="19:55" ht="15.75" customHeight="1">
      <c r="S1082" s="454"/>
      <c r="AN1082" s="458"/>
      <c r="BA1082" s="1305"/>
      <c r="BC1082" s="169"/>
    </row>
    <row r="1083" spans="19:55" ht="15.75" customHeight="1">
      <c r="S1083" s="454"/>
      <c r="AN1083" s="458"/>
      <c r="BA1083" s="1305"/>
      <c r="BC1083" s="169"/>
    </row>
    <row r="1084" spans="19:55" ht="15.75" customHeight="1">
      <c r="S1084" s="454"/>
      <c r="AN1084" s="458"/>
      <c r="BA1084" s="1305"/>
      <c r="BC1084" s="169"/>
    </row>
    <row r="1085" spans="19:55" ht="15.75" customHeight="1">
      <c r="S1085" s="454"/>
      <c r="AN1085" s="458"/>
      <c r="BA1085" s="1305"/>
      <c r="BC1085" s="169"/>
    </row>
    <row r="1086" spans="19:55" ht="15.75" customHeight="1">
      <c r="S1086" s="454"/>
      <c r="AN1086" s="458"/>
      <c r="BA1086" s="1305"/>
      <c r="BC1086" s="169"/>
    </row>
    <row r="1087" spans="19:55" ht="15.75" customHeight="1">
      <c r="S1087" s="454"/>
      <c r="AN1087" s="458"/>
      <c r="BA1087" s="1305"/>
      <c r="BC1087" s="169"/>
    </row>
    <row r="1088" spans="19:55" ht="15.75" customHeight="1">
      <c r="S1088" s="454"/>
      <c r="AN1088" s="458"/>
      <c r="BA1088" s="1305"/>
      <c r="BC1088" s="169"/>
    </row>
    <row r="1089" spans="19:55" ht="15.75" customHeight="1">
      <c r="S1089" s="454"/>
      <c r="AN1089" s="458"/>
      <c r="BA1089" s="1305"/>
      <c r="BC1089" s="169"/>
    </row>
    <row r="1090" spans="19:55" ht="15.75" customHeight="1">
      <c r="S1090" s="454"/>
      <c r="AN1090" s="458"/>
      <c r="BA1090" s="1305"/>
      <c r="BC1090" s="169"/>
    </row>
    <row r="1091" spans="19:55" ht="15.75" customHeight="1">
      <c r="S1091" s="454"/>
      <c r="AN1091" s="458"/>
      <c r="BA1091" s="1305"/>
      <c r="BC1091" s="169"/>
    </row>
    <row r="1092" spans="19:55" ht="15.75" customHeight="1">
      <c r="S1092" s="454"/>
      <c r="AN1092" s="458"/>
      <c r="BA1092" s="1305"/>
      <c r="BC1092" s="169"/>
    </row>
    <row r="1093" spans="19:55" ht="15.75" customHeight="1">
      <c r="S1093" s="454"/>
      <c r="AN1093" s="458"/>
      <c r="BA1093" s="1305"/>
      <c r="BC1093" s="169"/>
    </row>
    <row r="1094" spans="19:55" ht="15.75" customHeight="1">
      <c r="S1094" s="454"/>
      <c r="AN1094" s="458"/>
      <c r="BA1094" s="1266"/>
      <c r="BC1094" s="169"/>
    </row>
    <row r="1095" spans="19:55" ht="15.75" customHeight="1">
      <c r="S1095" s="454"/>
      <c r="AN1095" s="458"/>
      <c r="BA1095" s="1266"/>
      <c r="BC1095" s="169"/>
    </row>
    <row r="1096" spans="19:55" ht="15.75" customHeight="1">
      <c r="S1096" s="454"/>
      <c r="AN1096" s="458"/>
      <c r="BA1096" s="1266"/>
      <c r="BC1096" s="169"/>
    </row>
    <row r="1097" spans="19:55" ht="15.75" customHeight="1">
      <c r="S1097" s="454"/>
      <c r="AN1097" s="458"/>
      <c r="BA1097" s="1266"/>
      <c r="BC1097" s="169"/>
    </row>
    <row r="1098" spans="19:55" ht="15.75" customHeight="1">
      <c r="S1098" s="454"/>
      <c r="AN1098" s="458"/>
      <c r="BA1098" s="1266"/>
      <c r="BC1098" s="169"/>
    </row>
    <row r="1099" spans="19:55" ht="15.75" customHeight="1">
      <c r="S1099" s="454"/>
      <c r="AN1099" s="458"/>
      <c r="BA1099" s="1266"/>
      <c r="BC1099" s="169"/>
    </row>
    <row r="1100" spans="19:55" ht="15.75" customHeight="1">
      <c r="S1100" s="454"/>
      <c r="AN1100" s="458"/>
      <c r="BA1100" s="1266"/>
      <c r="BC1100" s="169"/>
    </row>
    <row r="1101" spans="19:55" ht="15.75" customHeight="1">
      <c r="S1101" s="454"/>
      <c r="AN1101" s="458"/>
      <c r="BA1101" s="1266"/>
      <c r="BC1101" s="169"/>
    </row>
    <row r="1102" spans="19:55" ht="15.75" customHeight="1">
      <c r="S1102" s="454"/>
      <c r="AN1102" s="458"/>
      <c r="BA1102" s="1266"/>
      <c r="BC1102" s="169"/>
    </row>
    <row r="1103" spans="19:55" ht="15.75" customHeight="1">
      <c r="S1103" s="454"/>
      <c r="AN1103" s="458"/>
      <c r="BA1103" s="1266"/>
      <c r="BC1103" s="169"/>
    </row>
    <row r="1104" spans="19:55" ht="15.75" customHeight="1">
      <c r="S1104" s="454"/>
      <c r="AN1104" s="458"/>
      <c r="BA1104" s="1266"/>
      <c r="BC1104" s="169"/>
    </row>
    <row r="1105" spans="19:55" ht="15.75" customHeight="1">
      <c r="S1105" s="454"/>
      <c r="AN1105" s="458"/>
      <c r="BA1105" s="1266"/>
      <c r="BC1105" s="169"/>
    </row>
    <row r="1106" spans="19:55" ht="15.75" customHeight="1">
      <c r="S1106" s="454"/>
      <c r="AN1106" s="458"/>
      <c r="BA1106" s="1266"/>
      <c r="BC1106" s="169"/>
    </row>
    <row r="1107" spans="19:55" ht="15.75" customHeight="1">
      <c r="S1107" s="454"/>
      <c r="AN1107" s="458"/>
      <c r="BA1107" s="1266"/>
      <c r="BC1107" s="169"/>
    </row>
    <row r="1108" spans="19:55" ht="15.75" customHeight="1">
      <c r="S1108" s="454"/>
      <c r="AN1108" s="458"/>
      <c r="BA1108" s="1266"/>
      <c r="BC1108" s="169"/>
    </row>
    <row r="1109" spans="19:55" ht="15.75" customHeight="1">
      <c r="S1109" s="454"/>
      <c r="AN1109" s="458"/>
      <c r="BA1109" s="1266"/>
      <c r="BC1109" s="169"/>
    </row>
    <row r="1110" spans="19:55" ht="15.75" customHeight="1">
      <c r="S1110" s="454"/>
      <c r="AN1110" s="458"/>
      <c r="BA1110" s="1266"/>
      <c r="BC1110" s="169"/>
    </row>
    <row r="1111" spans="19:55" ht="15.75" customHeight="1">
      <c r="S1111" s="454"/>
      <c r="AN1111" s="458"/>
      <c r="BA1111" s="1266"/>
      <c r="BC1111" s="169"/>
    </row>
    <row r="1112" spans="19:55" ht="15.75" customHeight="1">
      <c r="S1112" s="454"/>
      <c r="AN1112" s="458"/>
      <c r="BA1112" s="1266"/>
      <c r="BC1112" s="169"/>
    </row>
    <row r="1113" spans="19:55" ht="15.75" customHeight="1">
      <c r="S1113" s="454"/>
      <c r="AN1113" s="458"/>
      <c r="BA1113" s="1266"/>
      <c r="BC1113" s="169"/>
    </row>
    <row r="1114" spans="19:55" ht="15.75" customHeight="1">
      <c r="S1114" s="454"/>
      <c r="AN1114" s="458"/>
      <c r="BA1114" s="1266"/>
      <c r="BC1114" s="169"/>
    </row>
    <row r="1115" spans="19:55" ht="15.75" customHeight="1">
      <c r="S1115" s="454"/>
      <c r="AN1115" s="458"/>
      <c r="BA1115" s="1266"/>
      <c r="BC1115" s="169"/>
    </row>
    <row r="1116" spans="19:55" ht="15.75" customHeight="1">
      <c r="S1116" s="454"/>
      <c r="AN1116" s="458"/>
      <c r="BA1116" s="1266"/>
      <c r="BC1116" s="169"/>
    </row>
    <row r="1117" spans="19:55" ht="15.75" customHeight="1">
      <c r="S1117" s="454"/>
      <c r="AN1117" s="458"/>
      <c r="BA1117" s="1266"/>
      <c r="BC1117" s="169"/>
    </row>
    <row r="1118" spans="19:55" ht="15.75" customHeight="1">
      <c r="S1118" s="454"/>
      <c r="AN1118" s="458"/>
      <c r="BA1118" s="1266"/>
      <c r="BC1118" s="169"/>
    </row>
    <row r="1119" spans="19:55" ht="15.75" customHeight="1">
      <c r="S1119" s="454"/>
      <c r="AN1119" s="458"/>
      <c r="BA1119" s="1266"/>
      <c r="BC1119" s="169"/>
    </row>
    <row r="1120" spans="19:55" ht="15.75" customHeight="1">
      <c r="S1120" s="454"/>
      <c r="AN1120" s="458"/>
      <c r="BA1120" s="1266"/>
      <c r="BC1120" s="169"/>
    </row>
    <row r="1121" spans="19:55" ht="15.75" customHeight="1">
      <c r="S1121" s="454"/>
      <c r="AN1121" s="458"/>
      <c r="BA1121" s="1266"/>
      <c r="BC1121" s="169"/>
    </row>
    <row r="1122" spans="19:55" ht="15.75" customHeight="1">
      <c r="S1122" s="454"/>
      <c r="AN1122" s="458"/>
      <c r="BA1122" s="1266"/>
      <c r="BC1122" s="169"/>
    </row>
    <row r="1123" spans="19:55" ht="15.75" customHeight="1">
      <c r="S1123" s="454"/>
      <c r="AN1123" s="458"/>
      <c r="BA1123" s="1266"/>
      <c r="BC1123" s="169"/>
    </row>
    <row r="1124" spans="19:55" ht="15.75" customHeight="1">
      <c r="S1124" s="454"/>
      <c r="AN1124" s="458"/>
      <c r="BA1124" s="1266"/>
      <c r="BC1124" s="169"/>
    </row>
    <row r="1125" spans="19:55" ht="15.75" customHeight="1">
      <c r="S1125" s="454"/>
      <c r="AN1125" s="458"/>
      <c r="BA1125" s="1266"/>
      <c r="BC1125" s="169"/>
    </row>
    <row r="1126" spans="19:55" ht="15.75" customHeight="1">
      <c r="S1126" s="454"/>
      <c r="AN1126" s="458"/>
      <c r="BA1126" s="1266"/>
      <c r="BC1126" s="169"/>
    </row>
    <row r="1127" spans="19:55" ht="15.75" customHeight="1">
      <c r="S1127" s="454"/>
      <c r="AN1127" s="458"/>
      <c r="BA1127" s="1266"/>
      <c r="BC1127" s="169"/>
    </row>
    <row r="1128" spans="19:55" ht="15.75" customHeight="1">
      <c r="S1128" s="454"/>
      <c r="AN1128" s="458"/>
      <c r="BA1128" s="1266"/>
      <c r="BC1128" s="169"/>
    </row>
    <row r="1129" spans="19:55" ht="15.75" customHeight="1">
      <c r="S1129" s="454"/>
      <c r="AN1129" s="458"/>
      <c r="BA1129" s="1266"/>
      <c r="BC1129" s="169"/>
    </row>
    <row r="1130" spans="19:55" ht="15.75" customHeight="1">
      <c r="S1130" s="454"/>
      <c r="AN1130" s="458"/>
      <c r="BA1130" s="1266"/>
      <c r="BC1130" s="169"/>
    </row>
    <row r="1131" spans="19:55" ht="15.75" customHeight="1">
      <c r="S1131" s="454"/>
      <c r="AN1131" s="458"/>
      <c r="BA1131" s="1266"/>
      <c r="BC1131" s="169"/>
    </row>
    <row r="1132" spans="19:55" ht="15.75" customHeight="1">
      <c r="S1132" s="454"/>
      <c r="AN1132" s="458"/>
      <c r="BA1132" s="1266"/>
      <c r="BC1132" s="169"/>
    </row>
    <row r="1133" spans="19:55" ht="15.75" customHeight="1">
      <c r="S1133" s="454"/>
      <c r="AN1133" s="458"/>
      <c r="BA1133" s="1266"/>
      <c r="BC1133" s="169"/>
    </row>
    <row r="1134" spans="19:55" ht="15.75" customHeight="1">
      <c r="S1134" s="454"/>
      <c r="AN1134" s="458"/>
      <c r="BA1134" s="1266"/>
      <c r="BC1134" s="169"/>
    </row>
    <row r="1135" spans="19:55" ht="15.75" customHeight="1">
      <c r="S1135" s="454"/>
      <c r="AN1135" s="458"/>
      <c r="BA1135" s="1266"/>
      <c r="BC1135" s="169"/>
    </row>
    <row r="1136" spans="19:55" ht="15.75" customHeight="1">
      <c r="S1136" s="454"/>
      <c r="AN1136" s="458"/>
      <c r="BA1136" s="1266"/>
      <c r="BC1136" s="169"/>
    </row>
    <row r="1137" spans="19:55" ht="15.75" customHeight="1">
      <c r="S1137" s="454"/>
      <c r="AN1137" s="458"/>
      <c r="BA1137" s="1266"/>
      <c r="BC1137" s="169"/>
    </row>
    <row r="1138" spans="19:55" ht="15.75" customHeight="1">
      <c r="S1138" s="454"/>
      <c r="AN1138" s="458"/>
      <c r="BA1138" s="1266"/>
      <c r="BC1138" s="169"/>
    </row>
    <row r="1139" spans="19:55" ht="15.75" customHeight="1">
      <c r="S1139" s="454"/>
      <c r="AN1139" s="458"/>
      <c r="BA1139" s="1266"/>
      <c r="BC1139" s="169"/>
    </row>
    <row r="1140" spans="19:55" ht="15.75" customHeight="1">
      <c r="S1140" s="454"/>
      <c r="AN1140" s="458"/>
      <c r="BA1140" s="1266"/>
      <c r="BC1140" s="169"/>
    </row>
    <row r="1141" spans="19:55" ht="15.75" customHeight="1">
      <c r="S1141" s="454"/>
      <c r="AN1141" s="458"/>
      <c r="BA1141" s="1266"/>
      <c r="BC1141" s="169"/>
    </row>
    <row r="1142" spans="19:55" ht="15.75" customHeight="1">
      <c r="S1142" s="454"/>
      <c r="AN1142" s="458"/>
      <c r="BA1142" s="1266"/>
      <c r="BC1142" s="169"/>
    </row>
    <row r="1143" spans="19:55" ht="15.75" customHeight="1">
      <c r="S1143" s="454"/>
      <c r="AN1143" s="458"/>
      <c r="BA1143" s="1266"/>
      <c r="BC1143" s="169"/>
    </row>
    <row r="1144" spans="19:55" ht="15.75" customHeight="1">
      <c r="S1144" s="454"/>
      <c r="AN1144" s="458"/>
      <c r="BA1144" s="1266"/>
      <c r="BC1144" s="169"/>
    </row>
    <row r="1145" spans="19:55" ht="15.75" customHeight="1">
      <c r="S1145" s="454"/>
      <c r="AN1145" s="458"/>
      <c r="BA1145" s="1266"/>
      <c r="BC1145" s="169"/>
    </row>
    <row r="1146" spans="19:55" ht="15.75" customHeight="1">
      <c r="S1146" s="454"/>
      <c r="AN1146" s="458"/>
      <c r="BA1146" s="1266"/>
      <c r="BC1146" s="169"/>
    </row>
    <row r="1147" spans="19:55" ht="15.75" customHeight="1">
      <c r="S1147" s="454"/>
      <c r="AN1147" s="458"/>
      <c r="BA1147" s="1266"/>
      <c r="BC1147" s="169"/>
    </row>
    <row r="1148" spans="19:55" ht="15.75" customHeight="1">
      <c r="S1148" s="454"/>
      <c r="AN1148" s="458"/>
      <c r="BA1148" s="1266"/>
      <c r="BC1148" s="169"/>
    </row>
    <row r="1149" spans="19:55" ht="15.75" customHeight="1">
      <c r="S1149" s="454"/>
      <c r="AN1149" s="458"/>
      <c r="BA1149" s="1266"/>
      <c r="BC1149" s="169"/>
    </row>
    <row r="1150" spans="19:55" ht="15.75" customHeight="1">
      <c r="S1150" s="454"/>
      <c r="AN1150" s="458"/>
      <c r="BA1150" s="1266"/>
      <c r="BC1150" s="169"/>
    </row>
    <row r="1151" spans="19:55" ht="15.75" customHeight="1">
      <c r="S1151" s="454"/>
      <c r="AN1151" s="458"/>
      <c r="BA1151" s="1266"/>
      <c r="BC1151" s="169"/>
    </row>
    <row r="1152" spans="19:55" ht="15.75" customHeight="1">
      <c r="S1152" s="454"/>
      <c r="AN1152" s="458"/>
      <c r="BA1152" s="1266"/>
      <c r="BC1152" s="169"/>
    </row>
    <row r="1153" spans="19:55" ht="15.75" customHeight="1">
      <c r="S1153" s="454"/>
      <c r="AN1153" s="458"/>
      <c r="BA1153" s="1266"/>
      <c r="BC1153" s="169"/>
    </row>
    <row r="1154" spans="19:55" ht="15.75" customHeight="1">
      <c r="S1154" s="454"/>
      <c r="AN1154" s="458"/>
      <c r="BA1154" s="1266"/>
      <c r="BC1154" s="169"/>
    </row>
    <row r="1155" spans="19:55" ht="15.75" customHeight="1">
      <c r="S1155" s="454"/>
      <c r="AN1155" s="458"/>
      <c r="BA1155" s="1266"/>
      <c r="BC1155" s="169"/>
    </row>
    <row r="1156" spans="19:55" ht="15.75" customHeight="1">
      <c r="S1156" s="454"/>
      <c r="AN1156" s="458"/>
      <c r="BA1156" s="1266"/>
      <c r="BC1156" s="169"/>
    </row>
    <row r="1157" spans="19:55" ht="15.75" customHeight="1">
      <c r="S1157" s="454"/>
      <c r="AN1157" s="458"/>
      <c r="BA1157" s="1266"/>
      <c r="BC1157" s="169"/>
    </row>
    <row r="1158" spans="19:55" ht="15.75" customHeight="1">
      <c r="S1158" s="454"/>
      <c r="AN1158" s="458"/>
      <c r="BA1158" s="1266"/>
      <c r="BC1158" s="169"/>
    </row>
    <row r="1159" spans="19:55" ht="15.75" customHeight="1">
      <c r="S1159" s="454"/>
      <c r="AN1159" s="458"/>
      <c r="BA1159" s="1266"/>
      <c r="BC1159" s="169"/>
    </row>
    <row r="1160" spans="19:55" ht="15.75" customHeight="1">
      <c r="S1160" s="454"/>
      <c r="AN1160" s="458"/>
      <c r="BA1160" s="1266"/>
      <c r="BC1160" s="169"/>
    </row>
    <row r="1161" spans="19:55" ht="15.75" customHeight="1">
      <c r="S1161" s="454"/>
      <c r="AN1161" s="458"/>
      <c r="BA1161" s="1266"/>
      <c r="BC1161" s="169"/>
    </row>
    <row r="1162" spans="19:55" ht="15.75" customHeight="1">
      <c r="S1162" s="454"/>
      <c r="AN1162" s="458"/>
      <c r="BA1162" s="1266"/>
      <c r="BC1162" s="169"/>
    </row>
    <row r="1163" spans="19:55" ht="15.75" customHeight="1">
      <c r="S1163" s="454"/>
      <c r="AN1163" s="458"/>
      <c r="BA1163" s="1266"/>
      <c r="BC1163" s="169"/>
    </row>
    <row r="1164" spans="19:55" ht="15.75" customHeight="1">
      <c r="S1164" s="454"/>
      <c r="AN1164" s="458"/>
      <c r="BA1164" s="1266"/>
      <c r="BC1164" s="169"/>
    </row>
    <row r="1165" spans="19:55" ht="15.75" customHeight="1">
      <c r="S1165" s="454"/>
      <c r="AN1165" s="458"/>
      <c r="BA1165" s="1266"/>
      <c r="BC1165" s="169"/>
    </row>
    <row r="1166" spans="19:55" ht="15.75" customHeight="1">
      <c r="S1166" s="454"/>
      <c r="AN1166" s="458"/>
      <c r="BA1166" s="1266"/>
      <c r="BC1166" s="169"/>
    </row>
    <row r="1167" spans="19:55" ht="15.75" customHeight="1">
      <c r="S1167" s="454"/>
      <c r="AN1167" s="458"/>
      <c r="BA1167" s="1266"/>
      <c r="BC1167" s="169"/>
    </row>
    <row r="1168" spans="19:55" ht="15.75" customHeight="1">
      <c r="S1168" s="454"/>
      <c r="AN1168" s="458"/>
      <c r="BA1168" s="1266"/>
      <c r="BC1168" s="169"/>
    </row>
    <row r="1169" spans="19:55" ht="15.75" customHeight="1">
      <c r="S1169" s="454"/>
      <c r="AN1169" s="458"/>
      <c r="BA1169" s="1266"/>
      <c r="BC1169" s="169"/>
    </row>
    <row r="1170" spans="19:55" ht="15.75" customHeight="1">
      <c r="S1170" s="454"/>
      <c r="AN1170" s="458"/>
      <c r="BA1170" s="1266"/>
      <c r="BC1170" s="169"/>
    </row>
    <row r="1171" spans="19:55" ht="15.75" customHeight="1">
      <c r="S1171" s="454"/>
      <c r="AN1171" s="458"/>
      <c r="BA1171" s="1266"/>
      <c r="BC1171" s="169"/>
    </row>
    <row r="1172" spans="19:55" ht="15.75" customHeight="1">
      <c r="S1172" s="454"/>
      <c r="AN1172" s="458"/>
      <c r="BA1172" s="1266"/>
      <c r="BC1172" s="169"/>
    </row>
    <row r="1173" spans="19:55" ht="15.75" customHeight="1">
      <c r="S1173" s="454"/>
      <c r="AN1173" s="458"/>
      <c r="BA1173" s="1266"/>
      <c r="BC1173" s="169"/>
    </row>
    <row r="1174" spans="19:55" ht="15.75" customHeight="1">
      <c r="S1174" s="454"/>
      <c r="AN1174" s="458"/>
      <c r="BA1174" s="1266"/>
      <c r="BC1174" s="169"/>
    </row>
    <row r="1175" spans="19:55" ht="15.75" customHeight="1">
      <c r="S1175" s="454"/>
      <c r="AN1175" s="458"/>
      <c r="BA1175" s="1266"/>
      <c r="BC1175" s="169"/>
    </row>
    <row r="1176" spans="19:55" ht="15.75" customHeight="1">
      <c r="S1176" s="454"/>
      <c r="AN1176" s="458"/>
      <c r="BA1176" s="1266"/>
      <c r="BC1176" s="169"/>
    </row>
    <row r="1177" spans="19:55" ht="15.75" customHeight="1">
      <c r="S1177" s="454"/>
      <c r="AN1177" s="458"/>
      <c r="BA1177" s="1266"/>
      <c r="BC1177" s="169"/>
    </row>
    <row r="1178" spans="19:55" ht="15.75" customHeight="1">
      <c r="S1178" s="454"/>
      <c r="AN1178" s="458"/>
      <c r="BA1178" s="1266"/>
      <c r="BC1178" s="169"/>
    </row>
    <row r="1179" spans="19:55" ht="15.75" customHeight="1">
      <c r="S1179" s="454"/>
      <c r="AN1179" s="458"/>
      <c r="BA1179" s="1266"/>
      <c r="BC1179" s="169"/>
    </row>
    <row r="1180" spans="19:55" ht="15.75" customHeight="1">
      <c r="S1180" s="454"/>
      <c r="AN1180" s="458"/>
      <c r="BA1180" s="1266"/>
      <c r="BC1180" s="169"/>
    </row>
    <row r="1181" spans="19:55" ht="15.75" customHeight="1">
      <c r="S1181" s="454"/>
      <c r="AN1181" s="458"/>
      <c r="BA1181" s="1266"/>
      <c r="BC1181" s="169"/>
    </row>
    <row r="1182" spans="19:55" ht="15.75" customHeight="1">
      <c r="S1182" s="454"/>
      <c r="AN1182" s="458"/>
      <c r="BA1182" s="1266"/>
      <c r="BC1182" s="169"/>
    </row>
    <row r="1183" spans="19:55" ht="15.75" customHeight="1">
      <c r="S1183" s="454"/>
      <c r="AN1183" s="458"/>
      <c r="BA1183" s="1266"/>
      <c r="BC1183" s="169"/>
    </row>
    <row r="1184" spans="19:55" ht="15.75" customHeight="1">
      <c r="S1184" s="454"/>
      <c r="AN1184" s="458"/>
      <c r="BA1184" s="1266"/>
      <c r="BC1184" s="169"/>
    </row>
    <row r="1185" spans="19:55" ht="15.75" customHeight="1">
      <c r="S1185" s="454"/>
      <c r="AN1185" s="458"/>
      <c r="BA1185" s="1266"/>
      <c r="BC1185" s="169"/>
    </row>
    <row r="1186" spans="19:55" ht="15.75" customHeight="1">
      <c r="S1186" s="454"/>
      <c r="AN1186" s="458"/>
      <c r="BA1186" s="1266"/>
      <c r="BC1186" s="169"/>
    </row>
    <row r="1187" spans="19:55" ht="15.75" customHeight="1">
      <c r="S1187" s="454"/>
      <c r="AN1187" s="458"/>
      <c r="BA1187" s="1266"/>
      <c r="BC1187" s="169"/>
    </row>
    <row r="1188" spans="19:55" ht="15.75" customHeight="1">
      <c r="S1188" s="454"/>
      <c r="AN1188" s="458"/>
      <c r="BA1188" s="1266"/>
      <c r="BC1188" s="169"/>
    </row>
    <row r="1189" spans="19:55" ht="15.75" customHeight="1">
      <c r="S1189" s="454"/>
      <c r="AN1189" s="458"/>
      <c r="BA1189" s="1266"/>
      <c r="BC1189" s="169"/>
    </row>
    <row r="1190" spans="19:55" ht="15.75" customHeight="1">
      <c r="S1190" s="454"/>
      <c r="AN1190" s="458"/>
      <c r="BA1190" s="1266"/>
      <c r="BC1190" s="169"/>
    </row>
    <row r="1191" spans="19:55" ht="15.75" customHeight="1">
      <c r="S1191" s="454"/>
      <c r="AN1191" s="458"/>
      <c r="BA1191" s="1266"/>
      <c r="BC1191" s="169"/>
    </row>
    <row r="1192" spans="19:55" ht="15.75" customHeight="1">
      <c r="S1192" s="454"/>
      <c r="AN1192" s="458"/>
      <c r="BA1192" s="1266"/>
      <c r="BC1192" s="169"/>
    </row>
    <row r="1193" spans="19:55" ht="15.75" customHeight="1">
      <c r="S1193" s="454"/>
      <c r="AN1193" s="458"/>
      <c r="BA1193" s="1266"/>
      <c r="BC1193" s="169"/>
    </row>
    <row r="1194" spans="19:55" ht="15.75" customHeight="1">
      <c r="S1194" s="454"/>
      <c r="AN1194" s="458"/>
      <c r="BA1194" s="1266"/>
      <c r="BC1194" s="169"/>
    </row>
    <row r="1195" spans="19:55" ht="15.75" customHeight="1">
      <c r="S1195" s="454"/>
      <c r="AN1195" s="458"/>
      <c r="BA1195" s="1266"/>
      <c r="BC1195" s="169"/>
    </row>
    <row r="1196" spans="19:55" ht="15.75" customHeight="1">
      <c r="S1196" s="454"/>
      <c r="AN1196" s="458"/>
      <c r="BA1196" s="1266"/>
      <c r="BC1196" s="169"/>
    </row>
    <row r="1197" spans="19:55" ht="15.75" customHeight="1">
      <c r="S1197" s="454"/>
      <c r="AN1197" s="458"/>
      <c r="BA1197" s="1266"/>
      <c r="BC1197" s="169"/>
    </row>
    <row r="1198" spans="19:55" ht="15.75" customHeight="1">
      <c r="S1198" s="454"/>
      <c r="AN1198" s="458"/>
      <c r="BA1198" s="1266"/>
      <c r="BC1198" s="169"/>
    </row>
    <row r="1199" spans="19:55" ht="15.75" customHeight="1">
      <c r="S1199" s="454"/>
      <c r="AN1199" s="458"/>
      <c r="BA1199" s="1266"/>
      <c r="BC1199" s="169"/>
    </row>
    <row r="1200" spans="19:55" ht="15.75" customHeight="1">
      <c r="S1200" s="454"/>
      <c r="AN1200" s="458"/>
      <c r="BA1200" s="1266"/>
      <c r="BC1200" s="169"/>
    </row>
    <row r="1201" spans="19:55" ht="15.75" customHeight="1">
      <c r="S1201" s="454"/>
      <c r="AN1201" s="458"/>
      <c r="BA1201" s="1266"/>
      <c r="BC1201" s="169"/>
    </row>
    <row r="1202" spans="19:55" ht="15.75" customHeight="1">
      <c r="S1202" s="454"/>
      <c r="AN1202" s="458"/>
      <c r="BA1202" s="1266"/>
      <c r="BC1202" s="169"/>
    </row>
    <row r="1203" spans="19:55" ht="15.75" customHeight="1">
      <c r="S1203" s="454"/>
      <c r="AN1203" s="458"/>
      <c r="BA1203" s="1266"/>
      <c r="BC1203" s="169"/>
    </row>
    <row r="1204" spans="19:55" ht="15.75" customHeight="1">
      <c r="S1204" s="454"/>
      <c r="AN1204" s="458"/>
      <c r="BA1204" s="1266"/>
      <c r="BC1204" s="169"/>
    </row>
    <row r="1205" spans="19:55" ht="15.75" customHeight="1">
      <c r="S1205" s="454"/>
      <c r="AN1205" s="458"/>
      <c r="BA1205" s="1266"/>
      <c r="BC1205" s="169"/>
    </row>
    <row r="1206" spans="19:55" ht="15.75" customHeight="1">
      <c r="S1206" s="454"/>
      <c r="AN1206" s="458"/>
      <c r="BA1206" s="1266"/>
      <c r="BC1206" s="169"/>
    </row>
    <row r="1207" spans="19:55" ht="15.75" customHeight="1">
      <c r="S1207" s="454"/>
      <c r="AN1207" s="458"/>
      <c r="BA1207" s="1266"/>
      <c r="BC1207" s="169"/>
    </row>
    <row r="1208" spans="19:55" ht="15.75" customHeight="1">
      <c r="S1208" s="454"/>
      <c r="AN1208" s="458"/>
      <c r="BA1208" s="1266"/>
      <c r="BC1208" s="169"/>
    </row>
    <row r="1209" spans="19:55" ht="15.75" customHeight="1">
      <c r="S1209" s="454"/>
      <c r="AN1209" s="458"/>
      <c r="BA1209" s="1266"/>
      <c r="BC1209" s="169"/>
    </row>
    <row r="1210" spans="19:55" ht="15.75" customHeight="1">
      <c r="S1210" s="454"/>
      <c r="AN1210" s="458"/>
      <c r="BA1210" s="1266"/>
      <c r="BC1210" s="169"/>
    </row>
    <row r="1211" spans="19:55" ht="15.75" customHeight="1">
      <c r="S1211" s="454"/>
      <c r="AN1211" s="458"/>
      <c r="BA1211" s="1266"/>
      <c r="BC1211" s="169"/>
    </row>
    <row r="1212" spans="19:55" ht="15.75" customHeight="1">
      <c r="S1212" s="454"/>
      <c r="AN1212" s="458"/>
      <c r="BA1212" s="1266"/>
      <c r="BC1212" s="169"/>
    </row>
    <row r="1213" spans="19:55" ht="15.75" customHeight="1">
      <c r="S1213" s="454"/>
      <c r="AN1213" s="458"/>
      <c r="BA1213" s="1266"/>
      <c r="BC1213" s="169"/>
    </row>
    <row r="1214" spans="19:55" ht="15.75" customHeight="1">
      <c r="S1214" s="454"/>
      <c r="AN1214" s="458"/>
      <c r="BA1214" s="1266"/>
      <c r="BC1214" s="169"/>
    </row>
    <row r="1215" spans="19:55" ht="15.75" customHeight="1">
      <c r="S1215" s="454"/>
      <c r="AN1215" s="458"/>
      <c r="BA1215" s="1266"/>
      <c r="BC1215" s="169"/>
    </row>
    <row r="1216" spans="19:55" ht="15.75" customHeight="1">
      <c r="S1216" s="454"/>
      <c r="AN1216" s="458"/>
      <c r="BA1216" s="1266"/>
      <c r="BC1216" s="169"/>
    </row>
    <row r="1217" spans="19:55" ht="15.75" customHeight="1">
      <c r="S1217" s="454"/>
      <c r="AN1217" s="458"/>
      <c r="BA1217" s="1266"/>
      <c r="BC1217" s="169"/>
    </row>
    <row r="1218" spans="19:55" ht="15.75" customHeight="1">
      <c r="S1218" s="454"/>
      <c r="AN1218" s="458"/>
      <c r="BA1218" s="1266"/>
      <c r="BC1218" s="169"/>
    </row>
    <row r="1219" spans="19:55" ht="15.75" customHeight="1">
      <c r="S1219" s="454"/>
      <c r="AN1219" s="458"/>
      <c r="BA1219" s="1266"/>
      <c r="BC1219" s="169"/>
    </row>
    <row r="1220" spans="19:55" ht="15.75" customHeight="1">
      <c r="S1220" s="454"/>
      <c r="AN1220" s="458"/>
      <c r="BA1220" s="1266"/>
      <c r="BC1220" s="169"/>
    </row>
    <row r="1221" spans="19:55" ht="15.75" customHeight="1">
      <c r="S1221" s="454"/>
      <c r="AN1221" s="458"/>
      <c r="BA1221" s="1266"/>
      <c r="BC1221" s="169"/>
    </row>
    <row r="1222" spans="19:55" ht="15.75" customHeight="1">
      <c r="S1222" s="454"/>
      <c r="AN1222" s="458"/>
      <c r="BA1222" s="1266"/>
      <c r="BC1222" s="169"/>
    </row>
    <row r="1223" spans="19:55" ht="15.75" customHeight="1">
      <c r="S1223" s="454"/>
      <c r="AN1223" s="458"/>
      <c r="BA1223" s="1266"/>
      <c r="BC1223" s="169"/>
    </row>
    <row r="1224" spans="19:55" ht="15.75" customHeight="1">
      <c r="S1224" s="454"/>
      <c r="AN1224" s="458"/>
      <c r="BA1224" s="1266"/>
      <c r="BC1224" s="169"/>
    </row>
    <row r="1225" spans="19:55" ht="15.75" customHeight="1">
      <c r="S1225" s="454"/>
      <c r="AN1225" s="458"/>
      <c r="BA1225" s="1266"/>
      <c r="BC1225" s="169"/>
    </row>
    <row r="1226" spans="19:55" ht="15.75" customHeight="1">
      <c r="S1226" s="454"/>
      <c r="AN1226" s="458"/>
      <c r="BA1226" s="1266"/>
      <c r="BC1226" s="169"/>
    </row>
    <row r="1227" spans="19:55" ht="15.75" customHeight="1">
      <c r="S1227" s="454"/>
      <c r="AN1227" s="458"/>
      <c r="BA1227" s="1266"/>
      <c r="BC1227" s="169"/>
    </row>
    <row r="1228" spans="19:55" ht="15.75" customHeight="1">
      <c r="S1228" s="454"/>
      <c r="AN1228" s="458"/>
      <c r="BA1228" s="1266"/>
      <c r="BC1228" s="169"/>
    </row>
    <row r="1229" spans="19:55" ht="15.75" customHeight="1">
      <c r="S1229" s="454"/>
      <c r="AN1229" s="458"/>
      <c r="BA1229" s="1266"/>
      <c r="BC1229" s="169"/>
    </row>
    <row r="1230" spans="19:55" ht="15.75" customHeight="1">
      <c r="S1230" s="454"/>
      <c r="AN1230" s="458"/>
      <c r="BA1230" s="1266"/>
      <c r="BC1230" s="169"/>
    </row>
    <row r="1231" spans="19:55" ht="15.75" customHeight="1">
      <c r="S1231" s="454"/>
      <c r="AN1231" s="458"/>
      <c r="BA1231" s="1266"/>
      <c r="BC1231" s="169"/>
    </row>
    <row r="1232" spans="19:55" ht="15.75" customHeight="1">
      <c r="S1232" s="454"/>
      <c r="AN1232" s="458"/>
      <c r="BA1232" s="1266"/>
      <c r="BC1232" s="169"/>
    </row>
    <row r="1233" spans="19:55" ht="15.75" customHeight="1">
      <c r="S1233" s="454"/>
      <c r="AN1233" s="458"/>
      <c r="BA1233" s="1266"/>
      <c r="BC1233" s="169"/>
    </row>
    <row r="1234" spans="19:55" ht="15.75" customHeight="1">
      <c r="S1234" s="454"/>
      <c r="AN1234" s="458"/>
      <c r="BA1234" s="1266"/>
      <c r="BC1234" s="169"/>
    </row>
    <row r="1235" spans="19:55" ht="15.75" customHeight="1">
      <c r="S1235" s="454"/>
      <c r="AN1235" s="458"/>
      <c r="BA1235" s="1266"/>
      <c r="BC1235" s="169"/>
    </row>
    <row r="1236" spans="19:55" ht="15.75" customHeight="1">
      <c r="S1236" s="454"/>
      <c r="AN1236" s="458"/>
      <c r="BA1236" s="1266"/>
      <c r="BC1236" s="169"/>
    </row>
    <row r="1237" spans="19:55" ht="15.75" customHeight="1">
      <c r="S1237" s="454"/>
      <c r="AN1237" s="458"/>
      <c r="BA1237" s="1266"/>
      <c r="BC1237" s="169"/>
    </row>
    <row r="1238" spans="19:55" ht="15.75" customHeight="1">
      <c r="S1238" s="454"/>
      <c r="AN1238" s="458"/>
      <c r="BA1238" s="1266"/>
      <c r="BC1238" s="169"/>
    </row>
    <row r="1239" spans="19:55" ht="15.75" customHeight="1">
      <c r="S1239" s="454"/>
      <c r="AN1239" s="458"/>
      <c r="BA1239" s="1266"/>
      <c r="BC1239" s="169"/>
    </row>
    <row r="1240" spans="19:55" ht="15.75" customHeight="1">
      <c r="S1240" s="454"/>
      <c r="AN1240" s="458"/>
      <c r="BA1240" s="1266"/>
      <c r="BC1240" s="169"/>
    </row>
    <row r="1241" spans="19:55" ht="15.75" customHeight="1">
      <c r="S1241" s="454"/>
      <c r="AN1241" s="458"/>
      <c r="BA1241" s="1266"/>
      <c r="BC1241" s="169"/>
    </row>
    <row r="1242" spans="19:55" ht="15.75" customHeight="1">
      <c r="S1242" s="454"/>
      <c r="AN1242" s="458"/>
      <c r="BA1242" s="1266"/>
      <c r="BC1242" s="169"/>
    </row>
    <row r="1243" spans="19:55" ht="15.75" customHeight="1">
      <c r="S1243" s="454"/>
      <c r="AN1243" s="458"/>
      <c r="BA1243" s="1266"/>
      <c r="BC1243" s="169"/>
    </row>
    <row r="1244" spans="19:55" ht="15.75" customHeight="1">
      <c r="S1244" s="454"/>
      <c r="AN1244" s="458"/>
      <c r="BA1244" s="1266"/>
      <c r="BC1244" s="169"/>
    </row>
    <row r="1245" spans="19:55" ht="15.75" customHeight="1">
      <c r="S1245" s="454"/>
      <c r="AN1245" s="458"/>
      <c r="BA1245" s="1266"/>
      <c r="BC1245" s="169"/>
    </row>
    <row r="1246" spans="19:55" ht="15.75" customHeight="1">
      <c r="S1246" s="454"/>
      <c r="AN1246" s="458"/>
      <c r="BA1246" s="1266"/>
      <c r="BC1246" s="169"/>
    </row>
    <row r="1247" spans="19:55" ht="15.75" customHeight="1">
      <c r="S1247" s="454"/>
      <c r="AN1247" s="458"/>
      <c r="BA1247" s="1266"/>
      <c r="BC1247" s="169"/>
    </row>
    <row r="1248" spans="19:55" ht="15.75" customHeight="1">
      <c r="S1248" s="454"/>
      <c r="AN1248" s="458"/>
      <c r="BA1248" s="1266"/>
      <c r="BC1248" s="169"/>
    </row>
    <row r="1249" spans="19:55" ht="15.75" customHeight="1">
      <c r="S1249" s="454"/>
      <c r="AN1249" s="458"/>
      <c r="BA1249" s="1266"/>
      <c r="BC1249" s="169"/>
    </row>
    <row r="1250" spans="19:55" ht="15.75" customHeight="1">
      <c r="S1250" s="454"/>
      <c r="AN1250" s="458"/>
      <c r="BA1250" s="1266"/>
      <c r="BC1250" s="169"/>
    </row>
    <row r="1251" spans="19:55" ht="15.75" customHeight="1">
      <c r="S1251" s="454"/>
      <c r="AN1251" s="458"/>
      <c r="BA1251" s="1266"/>
      <c r="BC1251" s="169"/>
    </row>
    <row r="1252" spans="19:55" ht="15.75" customHeight="1">
      <c r="S1252" s="454"/>
      <c r="AN1252" s="458"/>
      <c r="BA1252" s="1266"/>
      <c r="BC1252" s="169"/>
    </row>
    <row r="1253" spans="19:55" ht="15.75" customHeight="1">
      <c r="S1253" s="454"/>
      <c r="AN1253" s="458"/>
      <c r="BA1253" s="1266"/>
      <c r="BC1253" s="169"/>
    </row>
    <row r="1254" spans="19:55" ht="15.75" customHeight="1">
      <c r="S1254" s="454"/>
      <c r="AN1254" s="458"/>
      <c r="BA1254" s="1266"/>
      <c r="BC1254" s="169"/>
    </row>
    <row r="1255" spans="19:55" ht="15.75" customHeight="1">
      <c r="S1255" s="454"/>
      <c r="AN1255" s="458"/>
      <c r="BA1255" s="1266"/>
      <c r="BC1255" s="169"/>
    </row>
    <row r="1256" spans="19:55" ht="15.75" customHeight="1">
      <c r="S1256" s="454"/>
      <c r="AN1256" s="458"/>
      <c r="BA1256" s="1266"/>
      <c r="BC1256" s="169"/>
    </row>
    <row r="1257" spans="19:55" ht="15.75" customHeight="1">
      <c r="S1257" s="454"/>
      <c r="AN1257" s="458"/>
      <c r="BA1257" s="1266"/>
      <c r="BC1257" s="169"/>
    </row>
    <row r="1258" spans="19:55" ht="15.75" customHeight="1">
      <c r="S1258" s="454"/>
      <c r="AN1258" s="458"/>
      <c r="BA1258" s="1266"/>
      <c r="BC1258" s="169"/>
    </row>
    <row r="1259" spans="19:55" ht="15.75" customHeight="1">
      <c r="S1259" s="454"/>
      <c r="AN1259" s="458"/>
      <c r="BA1259" s="1266"/>
      <c r="BC1259" s="169"/>
    </row>
    <row r="1260" spans="19:55" ht="15.75" customHeight="1">
      <c r="S1260" s="454"/>
      <c r="AN1260" s="458"/>
      <c r="BA1260" s="1266"/>
      <c r="BC1260" s="169"/>
    </row>
    <row r="1261" spans="19:55" ht="15.75" customHeight="1">
      <c r="S1261" s="454"/>
      <c r="AN1261" s="458"/>
      <c r="BA1261" s="1266"/>
      <c r="BC1261" s="169"/>
    </row>
    <row r="1262" spans="19:55" ht="15.75" customHeight="1">
      <c r="S1262" s="454"/>
      <c r="AN1262" s="458"/>
      <c r="BA1262" s="1266"/>
      <c r="BC1262" s="169"/>
    </row>
    <row r="1263" spans="19:55" ht="15.75" customHeight="1">
      <c r="S1263" s="454"/>
      <c r="AN1263" s="458"/>
      <c r="BA1263" s="1266"/>
      <c r="BC1263" s="169"/>
    </row>
    <row r="1264" spans="19:55" ht="15.75" customHeight="1">
      <c r="S1264" s="454"/>
      <c r="AN1264" s="458"/>
      <c r="BA1264" s="1266"/>
      <c r="BC1264" s="169"/>
    </row>
    <row r="1265" spans="19:55" ht="15.75" customHeight="1">
      <c r="S1265" s="454"/>
      <c r="AN1265" s="458"/>
      <c r="BA1265" s="1266"/>
      <c r="BC1265" s="169"/>
    </row>
    <row r="1266" spans="19:55" ht="15.75" customHeight="1">
      <c r="S1266" s="454"/>
      <c r="AN1266" s="458"/>
      <c r="BA1266" s="1266"/>
      <c r="BC1266" s="169"/>
    </row>
    <row r="1267" spans="19:55" ht="15.75" customHeight="1">
      <c r="S1267" s="454"/>
      <c r="AN1267" s="458"/>
      <c r="BA1267" s="1266"/>
      <c r="BC1267" s="169"/>
    </row>
    <row r="1268" spans="19:55" ht="15.75" customHeight="1">
      <c r="S1268" s="454"/>
      <c r="AN1268" s="458"/>
      <c r="BA1268" s="1266"/>
      <c r="BC1268" s="169"/>
    </row>
    <row r="1269" spans="19:55" ht="15.75" customHeight="1">
      <c r="S1269" s="454"/>
      <c r="AN1269" s="458"/>
      <c r="BA1269" s="1266"/>
      <c r="BC1269" s="169"/>
    </row>
    <row r="1270" spans="19:55" ht="15.75" customHeight="1">
      <c r="S1270" s="454"/>
      <c r="AN1270" s="458"/>
      <c r="BA1270" s="1266"/>
      <c r="BC1270" s="169"/>
    </row>
    <row r="1271" spans="19:55" ht="15.75" customHeight="1">
      <c r="S1271" s="454"/>
      <c r="AN1271" s="458"/>
      <c r="BA1271" s="1266"/>
      <c r="BC1271" s="169"/>
    </row>
    <row r="1272" spans="19:55" ht="15.75" customHeight="1">
      <c r="S1272" s="454"/>
      <c r="AN1272" s="458"/>
      <c r="BA1272" s="1266"/>
      <c r="BC1272" s="169"/>
    </row>
    <row r="1273" spans="19:55" ht="15.75" customHeight="1">
      <c r="S1273" s="454"/>
      <c r="AN1273" s="458"/>
      <c r="BA1273" s="1266"/>
      <c r="BC1273" s="169"/>
    </row>
    <row r="1274" spans="19:55" ht="15.75" customHeight="1">
      <c r="S1274" s="454"/>
      <c r="AN1274" s="458"/>
      <c r="BA1274" s="1266"/>
      <c r="BC1274" s="169"/>
    </row>
    <row r="1275" spans="19:55" ht="15.75" customHeight="1">
      <c r="S1275" s="454"/>
      <c r="AN1275" s="458"/>
      <c r="BA1275" s="1266"/>
      <c r="BC1275" s="169"/>
    </row>
    <row r="1276" spans="19:55" ht="15.75" customHeight="1">
      <c r="S1276" s="454"/>
      <c r="AN1276" s="458"/>
      <c r="BA1276" s="1266"/>
      <c r="BC1276" s="169"/>
    </row>
    <row r="1277" spans="19:55" ht="15.75" customHeight="1">
      <c r="S1277" s="454"/>
      <c r="AN1277" s="458"/>
      <c r="BA1277" s="1266"/>
      <c r="BC1277" s="169"/>
    </row>
    <row r="1278" spans="19:55" ht="15.75" customHeight="1">
      <c r="S1278" s="454"/>
      <c r="AN1278" s="458"/>
      <c r="BA1278" s="1266"/>
      <c r="BC1278" s="169"/>
    </row>
    <row r="1279" spans="19:55" ht="15.75" customHeight="1">
      <c r="S1279" s="454"/>
      <c r="AN1279" s="458"/>
      <c r="BA1279" s="1266"/>
      <c r="BC1279" s="169"/>
    </row>
    <row r="1280" spans="19:55" ht="15.75" customHeight="1">
      <c r="S1280" s="454"/>
      <c r="AN1280" s="458"/>
      <c r="BA1280" s="1266"/>
      <c r="BC1280" s="169"/>
    </row>
    <row r="1281" spans="19:55" ht="15.75" customHeight="1">
      <c r="S1281" s="454"/>
      <c r="AN1281" s="458"/>
      <c r="BA1281" s="1266"/>
      <c r="BC1281" s="169"/>
    </row>
    <row r="1282" spans="19:55" ht="15.75" customHeight="1">
      <c r="S1282" s="454"/>
      <c r="AN1282" s="458"/>
      <c r="BA1282" s="1266"/>
      <c r="BC1282" s="169"/>
    </row>
    <row r="1283" spans="19:55" ht="15.75" customHeight="1">
      <c r="S1283" s="454"/>
      <c r="AN1283" s="458"/>
      <c r="BA1283" s="1266"/>
      <c r="BC1283" s="169"/>
    </row>
    <row r="1284" spans="19:55" ht="15.75" customHeight="1">
      <c r="S1284" s="454"/>
      <c r="AN1284" s="458"/>
      <c r="BA1284" s="1266"/>
      <c r="BC1284" s="169"/>
    </row>
    <row r="1285" spans="19:55" ht="15.75" customHeight="1">
      <c r="S1285" s="454"/>
      <c r="AN1285" s="458"/>
      <c r="BA1285" s="1266"/>
      <c r="BC1285" s="169"/>
    </row>
    <row r="1286" spans="19:55" ht="15.75" customHeight="1">
      <c r="S1286" s="454"/>
      <c r="AN1286" s="458"/>
      <c r="BA1286" s="1266"/>
      <c r="BC1286" s="169"/>
    </row>
    <row r="1287" spans="19:55" ht="15.75" customHeight="1">
      <c r="S1287" s="454"/>
      <c r="AN1287" s="458"/>
      <c r="BA1287" s="1266"/>
      <c r="BC1287" s="169"/>
    </row>
    <row r="1288" spans="19:55" ht="15.75" customHeight="1">
      <c r="S1288" s="454"/>
      <c r="AN1288" s="458"/>
      <c r="BA1288" s="1266"/>
      <c r="BC1288" s="169"/>
    </row>
    <row r="1289" spans="19:55" ht="15.75" customHeight="1">
      <c r="S1289" s="454"/>
      <c r="AN1289" s="458"/>
      <c r="BA1289" s="1266"/>
      <c r="BC1289" s="169"/>
    </row>
    <row r="1290" spans="19:55" ht="15.75" customHeight="1">
      <c r="S1290" s="454"/>
      <c r="AN1290" s="458"/>
      <c r="BA1290" s="1266"/>
      <c r="BC1290" s="169"/>
    </row>
    <row r="1291" spans="19:55" ht="15.75" customHeight="1">
      <c r="S1291" s="454"/>
      <c r="AN1291" s="458"/>
      <c r="BA1291" s="1266"/>
      <c r="BC1291" s="169"/>
    </row>
    <row r="1292" spans="19:55" ht="15.75" customHeight="1">
      <c r="S1292" s="454"/>
      <c r="AN1292" s="458"/>
      <c r="BA1292" s="1266"/>
      <c r="BC1292" s="169"/>
    </row>
    <row r="1293" spans="19:55" ht="15.75" customHeight="1">
      <c r="S1293" s="454"/>
      <c r="AN1293" s="458"/>
      <c r="BA1293" s="1266"/>
      <c r="BC1293" s="169"/>
    </row>
    <row r="1294" spans="19:55" ht="15.75" customHeight="1">
      <c r="S1294" s="454"/>
      <c r="AN1294" s="458"/>
      <c r="BA1294" s="1266"/>
      <c r="BC1294" s="169"/>
    </row>
    <row r="1295" spans="19:55" ht="15.75" customHeight="1">
      <c r="S1295" s="454"/>
      <c r="AN1295" s="458"/>
      <c r="BA1295" s="1266"/>
      <c r="BC1295" s="169"/>
    </row>
    <row r="1296" spans="19:55" ht="15.75" customHeight="1">
      <c r="S1296" s="454"/>
      <c r="AN1296" s="458"/>
      <c r="BA1296" s="1266"/>
      <c r="BC1296" s="169"/>
    </row>
    <row r="1297" spans="19:55" ht="15.75" customHeight="1">
      <c r="S1297" s="454"/>
      <c r="AN1297" s="458"/>
      <c r="BC1297" s="169"/>
    </row>
    <row r="1298" spans="19:55" ht="15.75" customHeight="1">
      <c r="S1298" s="454"/>
      <c r="AN1298" s="458"/>
      <c r="BC1298" s="169"/>
    </row>
    <row r="1299" spans="19:55" ht="15.75" customHeight="1">
      <c r="S1299" s="454"/>
      <c r="AN1299" s="458"/>
      <c r="BC1299" s="169"/>
    </row>
    <row r="1300" spans="19:55" ht="15.75" customHeight="1">
      <c r="S1300" s="454"/>
      <c r="AN1300" s="458"/>
      <c r="BC1300" s="169"/>
    </row>
    <row r="1301" spans="19:55" ht="15.75" customHeight="1">
      <c r="S1301" s="454"/>
      <c r="AN1301" s="458"/>
      <c r="BC1301" s="169"/>
    </row>
    <row r="1302" spans="19:55" ht="15.75" customHeight="1">
      <c r="S1302" s="454"/>
      <c r="AN1302" s="458"/>
      <c r="BC1302" s="169"/>
    </row>
    <row r="1303" spans="19:55" ht="15.75" customHeight="1">
      <c r="S1303" s="454"/>
      <c r="AN1303" s="458"/>
      <c r="BC1303" s="169"/>
    </row>
    <row r="1304" spans="19:55" ht="15.75" customHeight="1">
      <c r="S1304" s="454"/>
      <c r="AN1304" s="458"/>
      <c r="BC1304" s="169"/>
    </row>
    <row r="1305" spans="19:55" ht="15.75" customHeight="1">
      <c r="S1305" s="454"/>
      <c r="AN1305" s="458"/>
      <c r="BC1305" s="169"/>
    </row>
    <row r="1306" spans="19:55" ht="15.75" customHeight="1">
      <c r="S1306" s="454"/>
      <c r="AN1306" s="458"/>
      <c r="BC1306" s="169"/>
    </row>
    <row r="1307" spans="19:55" ht="15.75" customHeight="1">
      <c r="S1307" s="454"/>
      <c r="AN1307" s="458"/>
      <c r="BC1307" s="169"/>
    </row>
    <row r="1308" spans="19:55" ht="15.75" customHeight="1">
      <c r="S1308" s="454"/>
      <c r="AN1308" s="458"/>
      <c r="BC1308" s="169"/>
    </row>
    <row r="1309" spans="19:55" ht="15.75" customHeight="1">
      <c r="S1309" s="454"/>
      <c r="AN1309" s="458"/>
      <c r="BC1309" s="169"/>
    </row>
    <row r="1310" spans="19:55" ht="15.75" customHeight="1">
      <c r="S1310" s="454"/>
      <c r="AN1310" s="458"/>
      <c r="BC1310" s="169"/>
    </row>
    <row r="1311" spans="19:55" ht="15.75" customHeight="1">
      <c r="S1311" s="454"/>
      <c r="AN1311" s="458"/>
      <c r="BC1311" s="169"/>
    </row>
    <row r="1312" spans="19:55" ht="15.75" customHeight="1">
      <c r="S1312" s="454"/>
      <c r="AN1312" s="458"/>
      <c r="BC1312" s="169"/>
    </row>
    <row r="1313" spans="19:55" ht="15.75" customHeight="1">
      <c r="S1313" s="454"/>
      <c r="AN1313" s="458"/>
      <c r="BC1313" s="169"/>
    </row>
    <row r="1314" spans="19:55" ht="15.75" customHeight="1">
      <c r="S1314" s="454"/>
      <c r="AN1314" s="458"/>
      <c r="BC1314" s="169"/>
    </row>
    <row r="1315" spans="19:55" ht="15.75" customHeight="1">
      <c r="S1315" s="454"/>
      <c r="AN1315" s="458"/>
      <c r="BC1315" s="169"/>
    </row>
    <row r="1316" spans="19:55" ht="15.75" customHeight="1">
      <c r="S1316" s="454"/>
      <c r="AN1316" s="458"/>
      <c r="BC1316" s="169"/>
    </row>
    <row r="1317" spans="19:55" ht="15.75" customHeight="1">
      <c r="S1317" s="454"/>
      <c r="AN1317" s="458"/>
      <c r="BC1317" s="169"/>
    </row>
    <row r="1318" spans="19:55" ht="15.75" customHeight="1">
      <c r="S1318" s="454"/>
      <c r="AN1318" s="458"/>
      <c r="BC1318" s="169"/>
    </row>
    <row r="1319" spans="19:55" ht="15.75" customHeight="1">
      <c r="S1319" s="454"/>
      <c r="AN1319" s="458"/>
      <c r="BC1319" s="169"/>
    </row>
    <row r="1320" spans="19:55" ht="15.75" customHeight="1">
      <c r="S1320" s="454"/>
      <c r="AN1320" s="458"/>
      <c r="BC1320" s="169"/>
    </row>
    <row r="1321" spans="19:55" ht="15.75" customHeight="1">
      <c r="S1321" s="454"/>
      <c r="AN1321" s="458"/>
      <c r="BC1321" s="169"/>
    </row>
    <row r="1322" spans="19:55" ht="15.75" customHeight="1">
      <c r="S1322" s="454"/>
      <c r="AN1322" s="458"/>
      <c r="BC1322" s="169"/>
    </row>
    <row r="1323" spans="19:55" ht="15.75" customHeight="1">
      <c r="S1323" s="454"/>
      <c r="AN1323" s="458"/>
      <c r="BC1323" s="169"/>
    </row>
    <row r="1324" spans="19:55" ht="15.75" customHeight="1">
      <c r="S1324" s="454"/>
      <c r="AN1324" s="458"/>
      <c r="BC1324" s="169"/>
    </row>
    <row r="1325" spans="19:55" ht="15.75" customHeight="1">
      <c r="S1325" s="454"/>
      <c r="AN1325" s="458"/>
      <c r="BC1325" s="169"/>
    </row>
    <row r="1326" spans="19:55" ht="15.75" customHeight="1">
      <c r="S1326" s="454"/>
      <c r="AN1326" s="458"/>
      <c r="BC1326" s="169"/>
    </row>
    <row r="1327" spans="19:55" ht="15.75" customHeight="1">
      <c r="S1327" s="454"/>
      <c r="AN1327" s="458"/>
      <c r="BC1327" s="169"/>
    </row>
    <row r="1328" spans="19:55" ht="15.75" customHeight="1">
      <c r="S1328" s="454"/>
      <c r="AN1328" s="458"/>
      <c r="BC1328" s="169"/>
    </row>
    <row r="1329" spans="19:55" ht="15.75" customHeight="1">
      <c r="S1329" s="454"/>
      <c r="AN1329" s="458"/>
      <c r="BC1329" s="169"/>
    </row>
    <row r="1330" spans="19:55" ht="15.75" customHeight="1">
      <c r="S1330" s="454"/>
      <c r="AN1330" s="458"/>
      <c r="BC1330" s="169"/>
    </row>
    <row r="1331" spans="19:55" ht="15.75" customHeight="1">
      <c r="S1331" s="454"/>
      <c r="AN1331" s="458"/>
      <c r="BC1331" s="169"/>
    </row>
    <row r="1332" spans="19:55" ht="15.75" customHeight="1">
      <c r="S1332" s="454"/>
      <c r="AN1332" s="458"/>
      <c r="BC1332" s="169"/>
    </row>
    <row r="1333" spans="19:55" ht="15.75" customHeight="1">
      <c r="S1333" s="454"/>
      <c r="AN1333" s="458"/>
      <c r="BC1333" s="169"/>
    </row>
    <row r="1334" spans="19:55" ht="15.75" customHeight="1">
      <c r="S1334" s="454"/>
      <c r="AN1334" s="458"/>
      <c r="BC1334" s="169"/>
    </row>
    <row r="1335" spans="19:55" ht="15.75" customHeight="1">
      <c r="S1335" s="454"/>
      <c r="AN1335" s="458"/>
      <c r="BC1335" s="169"/>
    </row>
    <row r="1336" spans="19:55" ht="15.75" customHeight="1">
      <c r="S1336" s="454"/>
      <c r="AN1336" s="458"/>
      <c r="BC1336" s="169"/>
    </row>
    <row r="1337" spans="19:55" ht="15.75" customHeight="1">
      <c r="S1337" s="454"/>
      <c r="AN1337" s="458"/>
      <c r="BC1337" s="169"/>
    </row>
    <row r="1338" spans="19:55" ht="15.75" customHeight="1">
      <c r="S1338" s="454"/>
      <c r="AN1338" s="458"/>
      <c r="BC1338" s="169"/>
    </row>
    <row r="1339" spans="19:55" ht="15.75" customHeight="1">
      <c r="S1339" s="454"/>
      <c r="AN1339" s="458"/>
      <c r="BC1339" s="169"/>
    </row>
    <row r="1340" spans="19:55" ht="15.75" customHeight="1">
      <c r="S1340" s="454"/>
      <c r="AN1340" s="458"/>
      <c r="BC1340" s="169"/>
    </row>
    <row r="1341" spans="19:55" ht="15.75" customHeight="1">
      <c r="S1341" s="454"/>
      <c r="AN1341" s="458"/>
      <c r="BC1341" s="169"/>
    </row>
    <row r="1342" spans="19:55" ht="15.75" customHeight="1">
      <c r="S1342" s="454"/>
      <c r="AN1342" s="458"/>
      <c r="BC1342" s="169"/>
    </row>
    <row r="1343" spans="19:55" ht="15.75" customHeight="1">
      <c r="S1343" s="454"/>
      <c r="AN1343" s="458"/>
      <c r="BC1343" s="169"/>
    </row>
    <row r="1344" spans="19:55" ht="15.75" customHeight="1">
      <c r="S1344" s="454"/>
      <c r="AN1344" s="458"/>
      <c r="BC1344" s="169"/>
    </row>
    <row r="1345" spans="19:55" ht="15.75" customHeight="1">
      <c r="S1345" s="454"/>
      <c r="AN1345" s="458"/>
      <c r="BC1345" s="169"/>
    </row>
    <row r="1346" spans="19:55" ht="15.75" customHeight="1">
      <c r="S1346" s="454"/>
      <c r="AN1346" s="458"/>
      <c r="BC1346" s="169"/>
    </row>
    <row r="1347" spans="19:55" ht="15.75" customHeight="1">
      <c r="S1347" s="454"/>
      <c r="AN1347" s="458"/>
      <c r="BC1347" s="169"/>
    </row>
    <row r="1348" spans="19:55" ht="15.75" customHeight="1">
      <c r="S1348" s="454"/>
      <c r="AN1348" s="458"/>
      <c r="BC1348" s="169"/>
    </row>
    <row r="1349" spans="19:55" ht="15.75" customHeight="1">
      <c r="S1349" s="454"/>
      <c r="AN1349" s="458"/>
      <c r="BC1349" s="169"/>
    </row>
    <row r="1350" spans="19:55" ht="15.75" customHeight="1">
      <c r="S1350" s="454"/>
      <c r="AN1350" s="458"/>
      <c r="BC1350" s="169"/>
    </row>
    <row r="1351" spans="19:55" ht="15.75" customHeight="1">
      <c r="S1351" s="454"/>
      <c r="AN1351" s="458"/>
      <c r="BC1351" s="169"/>
    </row>
    <row r="1352" spans="19:55" ht="15.75" customHeight="1">
      <c r="S1352" s="454"/>
      <c r="AN1352" s="458"/>
      <c r="BC1352" s="169"/>
    </row>
    <row r="1353" spans="19:55" ht="15.75" customHeight="1">
      <c r="S1353" s="454"/>
      <c r="AN1353" s="458"/>
      <c r="BC1353" s="169"/>
    </row>
    <row r="1354" spans="19:55" ht="15.75" customHeight="1">
      <c r="S1354" s="454"/>
      <c r="AN1354" s="458"/>
      <c r="BC1354" s="169"/>
    </row>
    <row r="1355" spans="19:55" ht="15.75" customHeight="1">
      <c r="S1355" s="454"/>
      <c r="AN1355" s="458"/>
      <c r="BC1355" s="169"/>
    </row>
    <row r="1356" spans="19:55" ht="15.75" customHeight="1">
      <c r="S1356" s="454"/>
      <c r="AN1356" s="458"/>
      <c r="BC1356" s="169"/>
    </row>
    <row r="1357" spans="19:55" ht="15.75" customHeight="1">
      <c r="S1357" s="454"/>
      <c r="AN1357" s="458"/>
      <c r="BC1357" s="169"/>
    </row>
    <row r="1358" spans="19:55" ht="15.75" customHeight="1">
      <c r="S1358" s="454"/>
      <c r="AN1358" s="458"/>
      <c r="BC1358" s="169"/>
    </row>
    <row r="1359" spans="19:55" ht="15.75" customHeight="1">
      <c r="S1359" s="454"/>
      <c r="AN1359" s="458"/>
      <c r="BC1359" s="169"/>
    </row>
    <row r="1360" spans="19:55" ht="15.75" customHeight="1">
      <c r="S1360" s="454"/>
      <c r="AN1360" s="458"/>
      <c r="BC1360" s="169"/>
    </row>
    <row r="1361" spans="19:55" ht="15.75" customHeight="1">
      <c r="S1361" s="454"/>
      <c r="AN1361" s="458"/>
      <c r="BC1361" s="169"/>
    </row>
    <row r="1362" spans="19:55" ht="15.75" customHeight="1">
      <c r="S1362" s="454"/>
      <c r="AN1362" s="458"/>
      <c r="BC1362" s="169"/>
    </row>
    <row r="1363" spans="19:55" ht="15.75" customHeight="1">
      <c r="S1363" s="454"/>
      <c r="AN1363" s="458"/>
      <c r="BC1363" s="169"/>
    </row>
    <row r="1364" spans="19:55" ht="15.75" customHeight="1">
      <c r="S1364" s="454"/>
      <c r="AN1364" s="458"/>
      <c r="BC1364" s="169"/>
    </row>
    <row r="1365" spans="19:55" ht="15.75" customHeight="1">
      <c r="S1365" s="454"/>
      <c r="AN1365" s="458"/>
      <c r="BC1365" s="169"/>
    </row>
    <row r="1366" spans="19:55" ht="15.75" customHeight="1">
      <c r="S1366" s="454"/>
      <c r="AN1366" s="458"/>
      <c r="BC1366" s="169"/>
    </row>
    <row r="1367" spans="19:55" ht="15.75" customHeight="1">
      <c r="S1367" s="454"/>
      <c r="AN1367" s="458"/>
      <c r="BC1367" s="169"/>
    </row>
    <row r="1368" spans="19:55" ht="15.75" customHeight="1">
      <c r="S1368" s="454"/>
      <c r="AN1368" s="458"/>
      <c r="BC1368" s="169"/>
    </row>
    <row r="1369" spans="19:55" ht="15.75" customHeight="1">
      <c r="S1369" s="454"/>
      <c r="AN1369" s="458"/>
      <c r="BC1369" s="169"/>
    </row>
    <row r="1370" spans="19:55" ht="15.75" customHeight="1">
      <c r="S1370" s="454"/>
      <c r="AN1370" s="458"/>
      <c r="BC1370" s="169"/>
    </row>
    <row r="1371" spans="19:55" ht="15.75" customHeight="1">
      <c r="S1371" s="454"/>
      <c r="AN1371" s="458"/>
      <c r="BC1371" s="169"/>
    </row>
    <row r="1372" spans="19:55" ht="15.75" customHeight="1">
      <c r="S1372" s="454"/>
      <c r="AN1372" s="458"/>
      <c r="BC1372" s="169"/>
    </row>
    <row r="1373" spans="19:55" ht="15.75" customHeight="1">
      <c r="S1373" s="454"/>
      <c r="AN1373" s="458"/>
      <c r="BC1373" s="169"/>
    </row>
    <row r="1374" spans="19:55" ht="15.75" customHeight="1">
      <c r="S1374" s="454"/>
      <c r="AN1374" s="458"/>
      <c r="BC1374" s="169"/>
    </row>
    <row r="1375" spans="19:55" ht="15.75" customHeight="1">
      <c r="S1375" s="454"/>
      <c r="AN1375" s="458"/>
      <c r="BC1375" s="169"/>
    </row>
    <row r="1376" spans="19:55" ht="15.75" customHeight="1">
      <c r="S1376" s="454"/>
      <c r="AN1376" s="458"/>
      <c r="BC1376" s="169"/>
    </row>
    <row r="1377" spans="19:55" ht="15.75" customHeight="1">
      <c r="S1377" s="454"/>
      <c r="AN1377" s="458"/>
      <c r="BC1377" s="169"/>
    </row>
    <row r="1378" spans="19:55" ht="15.75" customHeight="1">
      <c r="S1378" s="454"/>
      <c r="AN1378" s="458"/>
      <c r="BC1378" s="169"/>
    </row>
    <row r="1379" spans="19:55" ht="15.75" customHeight="1">
      <c r="S1379" s="454"/>
      <c r="AN1379" s="458"/>
      <c r="BC1379" s="169"/>
    </row>
    <row r="1380" spans="19:55" ht="15.75" customHeight="1">
      <c r="S1380" s="454"/>
      <c r="AN1380" s="458"/>
      <c r="BC1380" s="169"/>
    </row>
    <row r="1381" spans="19:55" ht="15.75" customHeight="1">
      <c r="S1381" s="454"/>
      <c r="AN1381" s="458"/>
      <c r="BC1381" s="169"/>
    </row>
    <row r="1382" spans="19:55" ht="15.75" customHeight="1">
      <c r="S1382" s="454"/>
      <c r="AN1382" s="458"/>
      <c r="BC1382" s="169"/>
    </row>
    <row r="1383" spans="19:55" ht="15.75" customHeight="1">
      <c r="S1383" s="454"/>
      <c r="AN1383" s="458"/>
      <c r="BC1383" s="169"/>
    </row>
    <row r="1384" spans="19:55" ht="15.75" customHeight="1">
      <c r="S1384" s="454"/>
      <c r="AN1384" s="458"/>
      <c r="BC1384" s="169"/>
    </row>
    <row r="1385" spans="19:55" ht="15.75" customHeight="1">
      <c r="S1385" s="454"/>
      <c r="AN1385" s="458"/>
      <c r="BC1385" s="169"/>
    </row>
    <row r="1386" spans="19:55" ht="15.75" customHeight="1">
      <c r="S1386" s="454"/>
      <c r="AN1386" s="458"/>
      <c r="BC1386" s="169"/>
    </row>
    <row r="1387" spans="19:55" ht="15.75" customHeight="1">
      <c r="S1387" s="454"/>
      <c r="AN1387" s="458"/>
      <c r="BC1387" s="169"/>
    </row>
    <row r="1388" spans="19:55" ht="15.75" customHeight="1">
      <c r="S1388" s="454"/>
      <c r="AN1388" s="458"/>
      <c r="BC1388" s="169"/>
    </row>
    <row r="1389" spans="19:55" ht="15.75" customHeight="1">
      <c r="S1389" s="454"/>
      <c r="AN1389" s="458"/>
      <c r="BC1389" s="169"/>
    </row>
    <row r="1390" spans="19:55" ht="15.75" customHeight="1">
      <c r="S1390" s="454"/>
      <c r="AN1390" s="458"/>
      <c r="BC1390" s="169"/>
    </row>
    <row r="1391" spans="19:55" ht="15.75" customHeight="1">
      <c r="S1391" s="454"/>
      <c r="AN1391" s="458"/>
      <c r="BC1391" s="169"/>
    </row>
    <row r="1392" spans="19:55" ht="15.75" customHeight="1">
      <c r="S1392" s="454"/>
      <c r="AN1392" s="458"/>
      <c r="BC1392" s="169"/>
    </row>
    <row r="1393" spans="19:55" ht="15.75" customHeight="1">
      <c r="S1393" s="454"/>
      <c r="AN1393" s="458"/>
      <c r="BC1393" s="169"/>
    </row>
    <row r="1394" spans="19:55" ht="15.75" customHeight="1">
      <c r="S1394" s="454"/>
      <c r="AN1394" s="458"/>
      <c r="BC1394" s="169"/>
    </row>
    <row r="1395" spans="19:55" ht="15.75" customHeight="1">
      <c r="S1395" s="454"/>
      <c r="AN1395" s="458"/>
      <c r="BC1395" s="169"/>
    </row>
    <row r="1396" spans="19:55" ht="15.75" customHeight="1">
      <c r="S1396" s="454"/>
      <c r="AN1396" s="458"/>
      <c r="BC1396" s="169"/>
    </row>
    <row r="1397" spans="19:55" ht="15.75" customHeight="1">
      <c r="S1397" s="454"/>
      <c r="AN1397" s="458"/>
      <c r="BC1397" s="169"/>
    </row>
    <row r="1398" spans="19:55" ht="15.75" customHeight="1">
      <c r="S1398" s="454"/>
      <c r="AN1398" s="458"/>
      <c r="BC1398" s="169"/>
    </row>
    <row r="1399" spans="19:55" ht="15.75" customHeight="1">
      <c r="S1399" s="454"/>
      <c r="AN1399" s="458"/>
      <c r="BC1399" s="169"/>
    </row>
    <row r="1400" spans="19:55" ht="15.75" customHeight="1">
      <c r="S1400" s="454"/>
      <c r="AN1400" s="458"/>
      <c r="BC1400" s="169"/>
    </row>
    <row r="1401" spans="19:55" ht="15.75" customHeight="1">
      <c r="S1401" s="454"/>
      <c r="AN1401" s="458"/>
      <c r="BC1401" s="169"/>
    </row>
    <row r="1402" spans="19:55" ht="15.75" customHeight="1">
      <c r="S1402" s="454"/>
      <c r="AN1402" s="458"/>
      <c r="BC1402" s="169"/>
    </row>
    <row r="1403" spans="19:55" ht="15.75" customHeight="1">
      <c r="S1403" s="454"/>
      <c r="AN1403" s="458"/>
      <c r="BC1403" s="169"/>
    </row>
    <row r="1404" spans="19:55" ht="15.75" customHeight="1">
      <c r="S1404" s="454"/>
      <c r="AN1404" s="458"/>
      <c r="BC1404" s="169"/>
    </row>
    <row r="1405" spans="19:55" ht="15.75" customHeight="1">
      <c r="S1405" s="454"/>
      <c r="AN1405" s="458"/>
      <c r="BC1405" s="169"/>
    </row>
    <row r="1406" spans="19:55" ht="15.75" customHeight="1">
      <c r="S1406" s="454"/>
      <c r="AN1406" s="458"/>
      <c r="BC1406" s="169"/>
    </row>
    <row r="1407" spans="19:55" ht="15.75" customHeight="1">
      <c r="S1407" s="454"/>
      <c r="AN1407" s="458"/>
      <c r="BC1407" s="169"/>
    </row>
    <row r="1408" spans="19:55" ht="15.75" customHeight="1">
      <c r="S1408" s="454"/>
      <c r="AN1408" s="458"/>
      <c r="BC1408" s="169"/>
    </row>
    <row r="1409" spans="19:55" ht="15.75" customHeight="1">
      <c r="S1409" s="454"/>
      <c r="AN1409" s="458"/>
      <c r="BC1409" s="169"/>
    </row>
    <row r="1410" spans="19:55" ht="15.75" customHeight="1">
      <c r="S1410" s="454"/>
      <c r="AN1410" s="458"/>
      <c r="BC1410" s="169"/>
    </row>
    <row r="1411" spans="19:55" ht="15.75" customHeight="1">
      <c r="S1411" s="454"/>
      <c r="AN1411" s="458"/>
      <c r="BC1411" s="169"/>
    </row>
    <row r="1412" spans="19:55" ht="15.75" customHeight="1">
      <c r="S1412" s="454"/>
      <c r="AN1412" s="458"/>
      <c r="BC1412" s="169"/>
    </row>
    <row r="1413" spans="19:55" ht="15.75" customHeight="1">
      <c r="S1413" s="454"/>
      <c r="AN1413" s="458"/>
      <c r="BC1413" s="169"/>
    </row>
    <row r="1414" spans="19:55" ht="15.75" customHeight="1">
      <c r="S1414" s="454"/>
      <c r="AN1414" s="458"/>
      <c r="BC1414" s="169"/>
    </row>
    <row r="1415" spans="19:55" ht="15.75" customHeight="1">
      <c r="S1415" s="454"/>
      <c r="AN1415" s="458"/>
      <c r="BC1415" s="169"/>
    </row>
    <row r="1416" spans="19:55" ht="15.75" customHeight="1">
      <c r="S1416" s="454"/>
      <c r="AN1416" s="458"/>
      <c r="BC1416" s="169"/>
    </row>
    <row r="1417" spans="19:55" ht="15.75" customHeight="1">
      <c r="S1417" s="454"/>
      <c r="AN1417" s="458"/>
      <c r="BC1417" s="169"/>
    </row>
    <row r="1418" spans="19:55" ht="15.75" customHeight="1">
      <c r="S1418" s="454"/>
      <c r="AN1418" s="458"/>
      <c r="BC1418" s="169"/>
    </row>
    <row r="1419" spans="19:55" ht="15.75" customHeight="1">
      <c r="S1419" s="454"/>
      <c r="AN1419" s="458"/>
      <c r="BC1419" s="169"/>
    </row>
    <row r="1420" spans="19:55" ht="15.75" customHeight="1">
      <c r="S1420" s="454"/>
      <c r="AN1420" s="458"/>
      <c r="BC1420" s="169"/>
    </row>
    <row r="1421" spans="19:55" ht="15.75" customHeight="1">
      <c r="S1421" s="454"/>
      <c r="AN1421" s="458"/>
      <c r="BC1421" s="169"/>
    </row>
    <row r="1422" spans="19:55" ht="15.75" customHeight="1">
      <c r="S1422" s="454"/>
      <c r="AN1422" s="458"/>
      <c r="BC1422" s="169"/>
    </row>
    <row r="1423" spans="19:55" ht="15.75" customHeight="1">
      <c r="S1423" s="454"/>
      <c r="AN1423" s="458"/>
      <c r="BC1423" s="169"/>
    </row>
    <row r="1424" spans="19:55" ht="15.75" customHeight="1">
      <c r="S1424" s="454"/>
      <c r="AN1424" s="458"/>
      <c r="BC1424" s="169"/>
    </row>
    <row r="1425" spans="19:55" ht="15.75" customHeight="1">
      <c r="S1425" s="454"/>
      <c r="AN1425" s="458"/>
      <c r="BC1425" s="169"/>
    </row>
    <row r="1426" spans="19:55" ht="15.75" customHeight="1">
      <c r="S1426" s="454"/>
      <c r="AN1426" s="458"/>
      <c r="BC1426" s="169"/>
    </row>
    <row r="1427" spans="19:55" ht="15.75" customHeight="1">
      <c r="S1427" s="454"/>
      <c r="AN1427" s="458"/>
      <c r="BC1427" s="169"/>
    </row>
    <row r="1428" spans="19:55" ht="15.75" customHeight="1">
      <c r="S1428" s="454"/>
      <c r="AN1428" s="458"/>
      <c r="BC1428" s="169"/>
    </row>
    <row r="1429" spans="19:55" ht="15.75" customHeight="1">
      <c r="S1429" s="454"/>
      <c r="AN1429" s="458"/>
      <c r="BC1429" s="169"/>
    </row>
    <row r="1430" spans="19:55" ht="15.75" customHeight="1">
      <c r="S1430" s="454"/>
      <c r="AN1430" s="458"/>
      <c r="BC1430" s="169"/>
    </row>
    <row r="1431" spans="19:55" ht="15.75" customHeight="1">
      <c r="S1431" s="454"/>
      <c r="AN1431" s="458"/>
      <c r="BC1431" s="169"/>
    </row>
    <row r="1432" spans="19:55" ht="15.75" customHeight="1">
      <c r="S1432" s="454"/>
      <c r="AN1432" s="458"/>
      <c r="BC1432" s="169"/>
    </row>
    <row r="1433" spans="19:55" ht="15.75" customHeight="1">
      <c r="S1433" s="454"/>
      <c r="AN1433" s="458"/>
      <c r="BC1433" s="169"/>
    </row>
    <row r="1434" spans="19:55" ht="15.75" customHeight="1">
      <c r="S1434" s="454"/>
      <c r="AN1434" s="458"/>
      <c r="BC1434" s="169"/>
    </row>
    <row r="1435" spans="19:55" ht="15.75" customHeight="1">
      <c r="S1435" s="454"/>
      <c r="AN1435" s="458"/>
      <c r="BC1435" s="169"/>
    </row>
    <row r="1436" spans="19:55" ht="15.75" customHeight="1">
      <c r="S1436" s="454"/>
      <c r="AN1436" s="458"/>
      <c r="BC1436" s="169"/>
    </row>
    <row r="1437" spans="19:55" ht="15.75" customHeight="1">
      <c r="S1437" s="454"/>
      <c r="AN1437" s="458"/>
      <c r="BC1437" s="169"/>
    </row>
    <row r="1438" spans="19:55" ht="15.75" customHeight="1">
      <c r="S1438" s="454"/>
      <c r="AN1438" s="458"/>
      <c r="BC1438" s="169"/>
    </row>
    <row r="1439" spans="19:55" ht="15.75" customHeight="1">
      <c r="S1439" s="454"/>
      <c r="AN1439" s="458"/>
      <c r="BC1439" s="169"/>
    </row>
    <row r="1440" spans="19:55" ht="15.75" customHeight="1">
      <c r="S1440" s="454"/>
      <c r="AN1440" s="458"/>
      <c r="BC1440" s="169"/>
    </row>
    <row r="1441" spans="19:55" ht="15.75" customHeight="1">
      <c r="S1441" s="454"/>
      <c r="AN1441" s="458"/>
      <c r="BC1441" s="169"/>
    </row>
    <row r="1442" spans="19:55" ht="15.75" customHeight="1">
      <c r="S1442" s="454"/>
      <c r="AN1442" s="458"/>
      <c r="BC1442" s="169"/>
    </row>
    <row r="1443" spans="19:55" ht="15.75" customHeight="1">
      <c r="S1443" s="454"/>
      <c r="AN1443" s="458"/>
      <c r="BC1443" s="169"/>
    </row>
    <row r="1444" spans="19:55" ht="15.75" customHeight="1">
      <c r="S1444" s="454"/>
      <c r="AN1444" s="458"/>
      <c r="BC1444" s="169"/>
    </row>
    <row r="1445" spans="19:55" ht="15.75" customHeight="1">
      <c r="S1445" s="454"/>
      <c r="AN1445" s="458"/>
      <c r="BC1445" s="169"/>
    </row>
    <row r="1446" spans="19:55" ht="15.75" customHeight="1">
      <c r="S1446" s="454"/>
      <c r="AN1446" s="458"/>
      <c r="BC1446" s="169"/>
    </row>
    <row r="1447" spans="19:55" ht="15.75" customHeight="1">
      <c r="S1447" s="454"/>
      <c r="AN1447" s="458"/>
      <c r="BC1447" s="169"/>
    </row>
    <row r="1448" spans="19:55" ht="15.75" customHeight="1">
      <c r="S1448" s="454"/>
      <c r="AN1448" s="458"/>
      <c r="BC1448" s="169"/>
    </row>
    <row r="1449" spans="19:55" ht="15.75" customHeight="1">
      <c r="S1449" s="454"/>
      <c r="AN1449" s="458"/>
      <c r="BC1449" s="169"/>
    </row>
    <row r="1450" spans="19:55" ht="15.75" customHeight="1">
      <c r="S1450" s="454"/>
      <c r="AN1450" s="458"/>
      <c r="BC1450" s="169"/>
    </row>
    <row r="1451" spans="19:55" ht="15.75" customHeight="1">
      <c r="S1451" s="454"/>
      <c r="AN1451" s="458"/>
      <c r="BC1451" s="169"/>
    </row>
    <row r="1452" spans="19:55" ht="15.75" customHeight="1">
      <c r="S1452" s="454"/>
      <c r="AN1452" s="458"/>
      <c r="BC1452" s="169"/>
    </row>
    <row r="1453" spans="19:55" ht="15.75" customHeight="1">
      <c r="S1453" s="454"/>
      <c r="AN1453" s="458"/>
      <c r="BC1453" s="169"/>
    </row>
    <row r="1454" spans="19:55" ht="15.75" customHeight="1">
      <c r="S1454" s="454"/>
      <c r="AN1454" s="458"/>
      <c r="BC1454" s="169"/>
    </row>
    <row r="1455" spans="19:55" ht="15.75" customHeight="1">
      <c r="S1455" s="454"/>
      <c r="AN1455" s="458"/>
      <c r="BC1455" s="169"/>
    </row>
    <row r="1456" spans="19:55" ht="15.75" customHeight="1">
      <c r="S1456" s="454"/>
      <c r="AN1456" s="458"/>
      <c r="BC1456" s="169"/>
    </row>
    <row r="1457" spans="19:55" ht="15.75" customHeight="1">
      <c r="S1457" s="454"/>
      <c r="AN1457" s="458"/>
      <c r="BC1457" s="169"/>
    </row>
    <row r="1458" spans="19:55" ht="15.75" customHeight="1">
      <c r="S1458" s="454"/>
      <c r="AN1458" s="458"/>
      <c r="BC1458" s="169"/>
    </row>
    <row r="1459" spans="19:55" ht="15.75" customHeight="1">
      <c r="S1459" s="454"/>
      <c r="AN1459" s="458"/>
      <c r="BC1459" s="169"/>
    </row>
    <row r="1460" spans="19:55" ht="15.75" customHeight="1">
      <c r="S1460" s="454"/>
      <c r="AN1460" s="458"/>
      <c r="BC1460" s="169"/>
    </row>
    <row r="1461" spans="19:55" ht="15.75" customHeight="1">
      <c r="S1461" s="454"/>
      <c r="AN1461" s="458"/>
      <c r="BC1461" s="169"/>
    </row>
    <row r="1462" spans="19:55" ht="15.75" customHeight="1">
      <c r="S1462" s="454"/>
      <c r="AN1462" s="458"/>
      <c r="BC1462" s="169"/>
    </row>
    <row r="1463" spans="19:55" ht="15.75" customHeight="1">
      <c r="S1463" s="454"/>
      <c r="AN1463" s="458"/>
      <c r="BC1463" s="169"/>
    </row>
    <row r="1464" spans="19:55" ht="15.75" customHeight="1">
      <c r="S1464" s="454"/>
      <c r="AN1464" s="458"/>
      <c r="BC1464" s="169"/>
    </row>
    <row r="1465" spans="19:55" ht="15.75" customHeight="1">
      <c r="S1465" s="454"/>
      <c r="AN1465" s="458"/>
      <c r="BC1465" s="169"/>
    </row>
    <row r="1466" spans="19:55" ht="15.75" customHeight="1">
      <c r="S1466" s="454"/>
      <c r="AN1466" s="458"/>
      <c r="BC1466" s="169"/>
    </row>
    <row r="1467" spans="19:55" ht="15.75" customHeight="1">
      <c r="S1467" s="454"/>
      <c r="AN1467" s="458"/>
      <c r="BC1467" s="169"/>
    </row>
    <row r="1468" spans="19:55" ht="15.75" customHeight="1">
      <c r="S1468" s="454"/>
      <c r="AN1468" s="458"/>
      <c r="BC1468" s="169"/>
    </row>
    <row r="1469" spans="19:55" ht="15.75" customHeight="1">
      <c r="S1469" s="454"/>
      <c r="AN1469" s="458"/>
      <c r="BC1469" s="169"/>
    </row>
    <row r="1470" spans="19:55" ht="15.75" customHeight="1">
      <c r="S1470" s="454"/>
      <c r="AN1470" s="458"/>
      <c r="BC1470" s="169"/>
    </row>
    <row r="1471" spans="19:55" ht="15.75" customHeight="1">
      <c r="S1471" s="454"/>
      <c r="AN1471" s="458"/>
      <c r="BC1471" s="169"/>
    </row>
    <row r="1472" spans="19:55" ht="15.75" customHeight="1">
      <c r="S1472" s="454"/>
      <c r="AN1472" s="458"/>
      <c r="BC1472" s="169"/>
    </row>
    <row r="1473" spans="19:55" ht="15.75" customHeight="1">
      <c r="S1473" s="454"/>
      <c r="AN1473" s="458"/>
      <c r="BC1473" s="169"/>
    </row>
    <row r="1474" spans="19:55" ht="15.75" customHeight="1">
      <c r="S1474" s="454"/>
      <c r="AN1474" s="458"/>
      <c r="BC1474" s="169"/>
    </row>
    <row r="1475" spans="19:55" ht="15.75" customHeight="1">
      <c r="S1475" s="454"/>
      <c r="AN1475" s="458"/>
      <c r="BC1475" s="169"/>
    </row>
    <row r="1476" spans="19:55" ht="15.75" customHeight="1">
      <c r="S1476" s="454"/>
      <c r="AN1476" s="458"/>
      <c r="BC1476" s="169"/>
    </row>
    <row r="1477" spans="19:55" ht="15.75" customHeight="1">
      <c r="S1477" s="454"/>
      <c r="AN1477" s="458"/>
      <c r="BC1477" s="169"/>
    </row>
    <row r="1478" spans="19:55" ht="15.75" customHeight="1">
      <c r="S1478" s="454"/>
      <c r="AN1478" s="458"/>
      <c r="BC1478" s="169"/>
    </row>
    <row r="1479" spans="19:55" ht="15.75" customHeight="1">
      <c r="S1479" s="454"/>
      <c r="AN1479" s="458"/>
      <c r="BC1479" s="169"/>
    </row>
    <row r="1480" spans="19:55" ht="15.75" customHeight="1">
      <c r="S1480" s="454"/>
      <c r="AN1480" s="458"/>
      <c r="BC1480" s="169"/>
    </row>
    <row r="1481" spans="19:55" ht="15.75" customHeight="1">
      <c r="S1481" s="454"/>
      <c r="AN1481" s="458"/>
      <c r="BC1481" s="169"/>
    </row>
    <row r="1482" spans="19:55" ht="15.75" customHeight="1">
      <c r="S1482" s="454"/>
      <c r="AN1482" s="458"/>
      <c r="BC1482" s="169"/>
    </row>
    <row r="1483" spans="19:55" ht="15.75" customHeight="1">
      <c r="S1483" s="454"/>
      <c r="AN1483" s="458"/>
      <c r="BC1483" s="169"/>
    </row>
    <row r="1484" spans="19:55" ht="15.75" customHeight="1">
      <c r="S1484" s="454"/>
      <c r="AN1484" s="458"/>
      <c r="BC1484" s="169"/>
    </row>
    <row r="1485" spans="19:55" ht="15.75" customHeight="1">
      <c r="S1485" s="454"/>
      <c r="AN1485" s="458"/>
      <c r="BC1485" s="169"/>
    </row>
    <row r="1486" spans="19:55" ht="15.75" customHeight="1">
      <c r="S1486" s="454"/>
      <c r="AN1486" s="458"/>
      <c r="BC1486" s="169"/>
    </row>
    <row r="1487" spans="19:55" ht="15.75" customHeight="1">
      <c r="S1487" s="454"/>
      <c r="AN1487" s="458"/>
      <c r="BC1487" s="169"/>
    </row>
    <row r="1488" spans="19:55" ht="15.75" customHeight="1">
      <c r="S1488" s="454"/>
      <c r="AN1488" s="458"/>
      <c r="BC1488" s="169"/>
    </row>
    <row r="1489" spans="19:55" ht="15.75" customHeight="1">
      <c r="S1489" s="454"/>
      <c r="AN1489" s="458"/>
      <c r="BC1489" s="169"/>
    </row>
    <row r="1490" spans="19:55" ht="15.75" customHeight="1">
      <c r="S1490" s="454"/>
      <c r="AN1490" s="458"/>
      <c r="BC1490" s="169"/>
    </row>
    <row r="1491" spans="19:55" ht="15.75" customHeight="1">
      <c r="S1491" s="454"/>
      <c r="AN1491" s="458"/>
      <c r="BC1491" s="169"/>
    </row>
    <row r="1492" spans="19:55" ht="15.75" customHeight="1">
      <c r="S1492" s="454"/>
      <c r="AN1492" s="458"/>
      <c r="BC1492" s="169"/>
    </row>
    <row r="1493" spans="19:55" ht="15.75" customHeight="1">
      <c r="S1493" s="454"/>
      <c r="AN1493" s="458"/>
      <c r="BC1493" s="169"/>
    </row>
    <row r="1494" spans="19:55" ht="15.75" customHeight="1">
      <c r="AN1494" s="458"/>
      <c r="BC1494" s="169"/>
    </row>
    <row r="1495" spans="19:55" ht="15.75" customHeight="1">
      <c r="AN1495" s="458"/>
      <c r="BC1495" s="169"/>
    </row>
    <row r="1496" spans="19:55" ht="15.75" customHeight="1">
      <c r="AN1496" s="458"/>
      <c r="BC1496" s="169"/>
    </row>
    <row r="1497" spans="19:55" ht="15.75" customHeight="1">
      <c r="AN1497" s="458"/>
      <c r="BC1497" s="169"/>
    </row>
    <row r="1498" spans="19:55" ht="15.75" customHeight="1">
      <c r="AN1498" s="458"/>
      <c r="BC1498" s="169"/>
    </row>
    <row r="1499" spans="19:55" ht="15.75" customHeight="1">
      <c r="AN1499" s="458"/>
      <c r="BC1499" s="169"/>
    </row>
    <row r="1500" spans="19:55" ht="15.75" customHeight="1">
      <c r="AN1500" s="458"/>
      <c r="BC1500" s="169"/>
    </row>
    <row r="1501" spans="19:55" ht="15.75" customHeight="1">
      <c r="AN1501" s="458"/>
      <c r="BC1501" s="169"/>
    </row>
    <row r="1502" spans="19:55" ht="15.75" customHeight="1">
      <c r="AN1502" s="458"/>
      <c r="BC1502" s="169"/>
    </row>
    <row r="1503" spans="19:55" ht="15.75" customHeight="1">
      <c r="AN1503" s="458"/>
      <c r="BC1503" s="169"/>
    </row>
    <row r="1504" spans="19:55" ht="15.75" customHeight="1">
      <c r="AN1504" s="458"/>
      <c r="BC1504" s="169"/>
    </row>
    <row r="1505" spans="40:55" ht="15.75" customHeight="1">
      <c r="AN1505" s="458"/>
      <c r="BC1505" s="169"/>
    </row>
    <row r="1506" spans="40:55" ht="15.75" customHeight="1">
      <c r="AN1506" s="458"/>
      <c r="BC1506" s="169"/>
    </row>
    <row r="1507" spans="40:55" ht="15.75" customHeight="1">
      <c r="AN1507" s="458"/>
      <c r="BC1507" s="169"/>
    </row>
    <row r="1508" spans="40:55" ht="15.75" customHeight="1">
      <c r="AN1508" s="458"/>
      <c r="BC1508" s="169"/>
    </row>
    <row r="1509" spans="40:55" ht="15.75" customHeight="1">
      <c r="AN1509" s="458"/>
      <c r="BC1509" s="169"/>
    </row>
    <row r="1510" spans="40:55" ht="15.75" customHeight="1">
      <c r="AN1510" s="458"/>
      <c r="BC1510" s="169"/>
    </row>
    <row r="1511" spans="40:55" ht="15.75" customHeight="1">
      <c r="AN1511" s="458"/>
      <c r="BC1511" s="169"/>
    </row>
    <row r="1512" spans="40:55" ht="15.75" customHeight="1">
      <c r="AN1512" s="458"/>
      <c r="BC1512" s="169"/>
    </row>
    <row r="1513" spans="40:55" ht="15.75" customHeight="1">
      <c r="AN1513" s="458"/>
      <c r="BC1513" s="169"/>
    </row>
    <row r="1514" spans="40:55" ht="15.75" customHeight="1">
      <c r="AN1514" s="458"/>
      <c r="BC1514" s="169"/>
    </row>
    <row r="1515" spans="40:55" ht="15.75" customHeight="1">
      <c r="AN1515" s="458"/>
      <c r="BC1515" s="169"/>
    </row>
    <row r="1516" spans="40:55" ht="15.75" customHeight="1">
      <c r="AN1516" s="458"/>
      <c r="BC1516" s="169"/>
    </row>
    <row r="1517" spans="40:55" ht="15.75" customHeight="1">
      <c r="AN1517" s="458"/>
      <c r="BC1517" s="169"/>
    </row>
    <row r="1518" spans="40:55" ht="15.75" customHeight="1">
      <c r="AN1518" s="458"/>
      <c r="BC1518" s="169"/>
    </row>
    <row r="1519" spans="40:55" ht="15.75" customHeight="1">
      <c r="AN1519" s="458"/>
      <c r="BC1519" s="169"/>
    </row>
    <row r="1520" spans="40:55" ht="15.75" customHeight="1">
      <c r="AN1520" s="458"/>
      <c r="BC1520" s="169"/>
    </row>
    <row r="1521" spans="40:55" ht="15.75" customHeight="1">
      <c r="AN1521" s="458"/>
      <c r="BC1521" s="169"/>
    </row>
    <row r="1522" spans="40:55" ht="15.75" customHeight="1">
      <c r="AN1522" s="458"/>
      <c r="BC1522" s="169"/>
    </row>
    <row r="1523" spans="40:55" ht="15.75" customHeight="1">
      <c r="AN1523" s="458"/>
      <c r="BC1523" s="169"/>
    </row>
    <row r="1524" spans="40:55" ht="15.75" customHeight="1">
      <c r="AN1524" s="458"/>
      <c r="BC1524" s="169"/>
    </row>
    <row r="1525" spans="40:55" ht="15.75" customHeight="1">
      <c r="AN1525" s="458"/>
      <c r="BC1525" s="169"/>
    </row>
    <row r="1526" spans="40:55" ht="15.75" customHeight="1">
      <c r="AN1526" s="458"/>
      <c r="BC1526" s="169"/>
    </row>
    <row r="1527" spans="40:55" ht="15.75" customHeight="1">
      <c r="AN1527" s="458"/>
      <c r="BC1527" s="169"/>
    </row>
    <row r="1528" spans="40:55" ht="15.75" customHeight="1">
      <c r="AN1528" s="458"/>
      <c r="BC1528" s="169"/>
    </row>
    <row r="1529" spans="40:55" ht="15.75" customHeight="1">
      <c r="AN1529" s="458"/>
      <c r="BC1529" s="169"/>
    </row>
    <row r="1530" spans="40:55" ht="15.75" customHeight="1">
      <c r="AN1530" s="458"/>
      <c r="BC1530" s="169"/>
    </row>
    <row r="1531" spans="40:55" ht="15.75" customHeight="1">
      <c r="AN1531" s="458"/>
      <c r="BC1531" s="169"/>
    </row>
    <row r="1532" spans="40:55" ht="15.75" customHeight="1">
      <c r="AN1532" s="458"/>
      <c r="BC1532" s="169"/>
    </row>
    <row r="1533" spans="40:55" ht="15.75" customHeight="1">
      <c r="AN1533" s="458"/>
      <c r="BC1533" s="169"/>
    </row>
    <row r="1534" spans="40:55" ht="15.75" customHeight="1">
      <c r="AN1534" s="458"/>
      <c r="BC1534" s="169"/>
    </row>
    <row r="1535" spans="40:55" ht="15.75" customHeight="1">
      <c r="AN1535" s="458"/>
      <c r="BC1535" s="169"/>
    </row>
    <row r="1536" spans="40:55" ht="15.75" customHeight="1">
      <c r="AN1536" s="458"/>
      <c r="BC1536" s="169"/>
    </row>
    <row r="1537" spans="40:55" ht="15.75" customHeight="1">
      <c r="AN1537" s="458"/>
      <c r="BC1537" s="169"/>
    </row>
    <row r="1538" spans="40:55" ht="15.75" customHeight="1">
      <c r="AN1538" s="458"/>
      <c r="BC1538" s="169"/>
    </row>
    <row r="1539" spans="40:55" ht="15.75" customHeight="1">
      <c r="AN1539" s="458"/>
      <c r="BC1539" s="169"/>
    </row>
    <row r="1540" spans="40:55" ht="15.75" customHeight="1">
      <c r="AN1540" s="458"/>
      <c r="BC1540" s="169"/>
    </row>
    <row r="1541" spans="40:55" ht="15.75" customHeight="1">
      <c r="AN1541" s="458"/>
      <c r="BC1541" s="169"/>
    </row>
    <row r="1542" spans="40:55" ht="15.75" customHeight="1">
      <c r="AN1542" s="458"/>
      <c r="BC1542" s="169"/>
    </row>
    <row r="1543" spans="40:55" ht="15.75" customHeight="1">
      <c r="AN1543" s="458"/>
      <c r="BC1543" s="169"/>
    </row>
    <row r="1544" spans="40:55" ht="15.75" customHeight="1">
      <c r="AN1544" s="458"/>
      <c r="BC1544" s="169"/>
    </row>
    <row r="1545" spans="40:55" ht="15.75" customHeight="1">
      <c r="AN1545" s="458"/>
      <c r="BC1545" s="169"/>
    </row>
    <row r="1546" spans="40:55" ht="15.75" customHeight="1">
      <c r="AN1546" s="458"/>
      <c r="BC1546" s="169"/>
    </row>
    <row r="1547" spans="40:55" ht="15.75" customHeight="1">
      <c r="AN1547" s="458"/>
      <c r="BC1547" s="169"/>
    </row>
    <row r="1548" spans="40:55" ht="15.75" customHeight="1">
      <c r="AN1548" s="458"/>
      <c r="BC1548" s="169"/>
    </row>
    <row r="1549" spans="40:55" ht="15.75" customHeight="1">
      <c r="AN1549" s="458"/>
      <c r="BC1549" s="169"/>
    </row>
    <row r="1550" spans="40:55" ht="15.75" customHeight="1">
      <c r="AN1550" s="458"/>
      <c r="BC1550" s="169"/>
    </row>
    <row r="1551" spans="40:55" ht="15.75" customHeight="1">
      <c r="AN1551" s="458"/>
      <c r="BC1551" s="169"/>
    </row>
    <row r="1552" spans="40:55" ht="15.75" customHeight="1">
      <c r="AN1552" s="458"/>
      <c r="BC1552" s="169"/>
    </row>
    <row r="1553" spans="40:55" ht="15.75" customHeight="1">
      <c r="AN1553" s="458"/>
      <c r="BC1553" s="169"/>
    </row>
    <row r="1554" spans="40:55" ht="15.75" customHeight="1">
      <c r="AN1554" s="458"/>
      <c r="BC1554" s="169"/>
    </row>
    <row r="1555" spans="40:55" ht="15.75" customHeight="1">
      <c r="AN1555" s="458"/>
      <c r="BC1555" s="169"/>
    </row>
    <row r="1556" spans="40:55" ht="15.75" customHeight="1">
      <c r="AN1556" s="458"/>
      <c r="BC1556" s="169"/>
    </row>
    <row r="1557" spans="40:55" ht="15.75" customHeight="1">
      <c r="AN1557" s="458"/>
      <c r="BC1557" s="169"/>
    </row>
    <row r="1558" spans="40:55" ht="15.75" customHeight="1">
      <c r="AN1558" s="458"/>
      <c r="BC1558" s="169"/>
    </row>
    <row r="1559" spans="40:55" ht="15.75" customHeight="1">
      <c r="AN1559" s="458"/>
      <c r="BC1559" s="169"/>
    </row>
    <row r="1560" spans="40:55" ht="15.75" customHeight="1">
      <c r="AN1560" s="458"/>
      <c r="BC1560" s="169"/>
    </row>
    <row r="1561" spans="40:55" ht="15.75" customHeight="1">
      <c r="AN1561" s="458"/>
      <c r="BC1561" s="169"/>
    </row>
    <row r="1562" spans="40:55" ht="15.75" customHeight="1">
      <c r="AN1562" s="458"/>
      <c r="BC1562" s="169"/>
    </row>
    <row r="1563" spans="40:55" ht="15.75" customHeight="1">
      <c r="AN1563" s="458"/>
      <c r="BC1563" s="169"/>
    </row>
    <row r="1564" spans="40:55" ht="15.75" customHeight="1">
      <c r="AN1564" s="458"/>
      <c r="BC1564" s="169"/>
    </row>
    <row r="1565" spans="40:55" ht="15.75" customHeight="1">
      <c r="AN1565" s="458"/>
      <c r="BC1565" s="169"/>
    </row>
    <row r="1566" spans="40:55" ht="15.75" customHeight="1">
      <c r="AN1566" s="458"/>
      <c r="BC1566" s="169"/>
    </row>
    <row r="1567" spans="40:55" ht="15.75" customHeight="1">
      <c r="AN1567" s="458"/>
      <c r="BC1567" s="169"/>
    </row>
    <row r="1568" spans="40:55" ht="15.75" customHeight="1">
      <c r="AN1568" s="458"/>
      <c r="BC1568" s="169"/>
    </row>
    <row r="1569" spans="40:55" ht="15.75" customHeight="1">
      <c r="AN1569" s="458"/>
      <c r="BC1569" s="169"/>
    </row>
    <row r="1570" spans="40:55" ht="15.75" customHeight="1">
      <c r="AN1570" s="458"/>
      <c r="BC1570" s="169"/>
    </row>
    <row r="1571" spans="40:55" ht="15.75" customHeight="1">
      <c r="AN1571" s="458"/>
      <c r="BC1571" s="169"/>
    </row>
    <row r="1572" spans="40:55" ht="15.75" customHeight="1">
      <c r="AN1572" s="458"/>
      <c r="BC1572" s="169"/>
    </row>
    <row r="1573" spans="40:55" ht="15.75" customHeight="1">
      <c r="AN1573" s="458"/>
      <c r="BC1573" s="169"/>
    </row>
    <row r="1574" spans="40:55" ht="15.75" customHeight="1">
      <c r="AN1574" s="458"/>
      <c r="BC1574" s="169"/>
    </row>
    <row r="1575" spans="40:55" ht="15.75" customHeight="1">
      <c r="AN1575" s="458"/>
      <c r="BC1575" s="169"/>
    </row>
    <row r="1576" spans="40:55" ht="15.75" customHeight="1">
      <c r="AN1576" s="458"/>
      <c r="BC1576" s="169"/>
    </row>
    <row r="1577" spans="40:55" ht="15.75" customHeight="1">
      <c r="AN1577" s="458"/>
      <c r="BC1577" s="169"/>
    </row>
    <row r="1578" spans="40:55" ht="15.75" customHeight="1">
      <c r="AN1578" s="458"/>
      <c r="BC1578" s="169"/>
    </row>
    <row r="1579" spans="40:55" ht="15.75" customHeight="1">
      <c r="AN1579" s="458"/>
      <c r="BC1579" s="169"/>
    </row>
    <row r="1580" spans="40:55" ht="15.75" customHeight="1">
      <c r="AN1580" s="458"/>
      <c r="BC1580" s="169"/>
    </row>
    <row r="1581" spans="40:55" ht="15.75" customHeight="1">
      <c r="AN1581" s="458"/>
      <c r="BC1581" s="169"/>
    </row>
    <row r="1582" spans="40:55" ht="15.75" customHeight="1">
      <c r="AN1582" s="458"/>
      <c r="BC1582" s="169"/>
    </row>
    <row r="1583" spans="40:55" ht="15.75" customHeight="1">
      <c r="AN1583" s="458"/>
      <c r="BC1583" s="169"/>
    </row>
    <row r="1584" spans="40:55" ht="15.75" customHeight="1">
      <c r="AN1584" s="458"/>
      <c r="BC1584" s="169"/>
    </row>
    <row r="1585" spans="40:55" ht="15.75" customHeight="1">
      <c r="AN1585" s="458"/>
      <c r="BC1585" s="169"/>
    </row>
    <row r="1586" spans="40:55" ht="15.75" customHeight="1">
      <c r="AN1586" s="458"/>
      <c r="BC1586" s="169"/>
    </row>
    <row r="1587" spans="40:55" ht="15.75" customHeight="1">
      <c r="AN1587" s="458"/>
      <c r="BC1587" s="169"/>
    </row>
    <row r="1588" spans="40:55" ht="15.75" customHeight="1">
      <c r="AN1588" s="458"/>
      <c r="BC1588" s="169"/>
    </row>
    <row r="1589" spans="40:55" ht="15.75" customHeight="1">
      <c r="AN1589" s="458"/>
      <c r="BC1589" s="169"/>
    </row>
    <row r="1590" spans="40:55" ht="15.75" customHeight="1">
      <c r="AN1590" s="458"/>
      <c r="BC1590" s="169"/>
    </row>
    <row r="1591" spans="40:55" ht="15.75" customHeight="1">
      <c r="AN1591" s="458"/>
      <c r="BC1591" s="169"/>
    </row>
    <row r="1592" spans="40:55" ht="15.75" customHeight="1">
      <c r="AN1592" s="458"/>
      <c r="BC1592" s="169"/>
    </row>
    <row r="1593" spans="40:55" ht="15.75" customHeight="1">
      <c r="AN1593" s="458"/>
      <c r="BC1593" s="169"/>
    </row>
    <row r="1594" spans="40:55" ht="15.75" customHeight="1">
      <c r="AN1594" s="458"/>
      <c r="BC1594" s="169"/>
    </row>
    <row r="1595" spans="40:55" ht="15.75" customHeight="1">
      <c r="AN1595" s="458"/>
      <c r="BC1595" s="169"/>
    </row>
    <row r="1596" spans="40:55" ht="15.75" customHeight="1">
      <c r="AN1596" s="458"/>
      <c r="BC1596" s="169"/>
    </row>
    <row r="1597" spans="40:55" ht="15.75" customHeight="1">
      <c r="AN1597" s="458"/>
      <c r="BC1597" s="169"/>
    </row>
    <row r="1598" spans="40:55" ht="15.75" customHeight="1">
      <c r="AN1598" s="458"/>
      <c r="BC1598" s="169"/>
    </row>
    <row r="1599" spans="40:55" ht="15.75" customHeight="1">
      <c r="AN1599" s="458"/>
      <c r="BC1599" s="169"/>
    </row>
    <row r="1600" spans="40:55" ht="15.75" customHeight="1">
      <c r="AN1600" s="458"/>
      <c r="BC1600" s="169"/>
    </row>
    <row r="1601" spans="40:55" ht="15.75" customHeight="1">
      <c r="AN1601" s="458"/>
      <c r="BC1601" s="169"/>
    </row>
    <row r="1602" spans="40:55" ht="15.75" customHeight="1">
      <c r="AN1602" s="458"/>
      <c r="BC1602" s="169"/>
    </row>
    <row r="1603" spans="40:55" ht="15.75" customHeight="1">
      <c r="AN1603" s="458"/>
      <c r="BC1603" s="169"/>
    </row>
    <row r="1604" spans="40:55" ht="15.75" customHeight="1">
      <c r="AN1604" s="458"/>
      <c r="BC1604" s="169"/>
    </row>
    <row r="1605" spans="40:55" ht="15.75" customHeight="1">
      <c r="AN1605" s="458"/>
      <c r="BC1605" s="169"/>
    </row>
    <row r="1606" spans="40:55" ht="15.75" customHeight="1">
      <c r="AN1606" s="458"/>
      <c r="BC1606" s="169"/>
    </row>
    <row r="1607" spans="40:55" ht="15.75" customHeight="1">
      <c r="AN1607" s="458"/>
      <c r="BC1607" s="169"/>
    </row>
    <row r="1608" spans="40:55" ht="15.75" customHeight="1">
      <c r="AN1608" s="458"/>
      <c r="BC1608" s="169"/>
    </row>
    <row r="1609" spans="40:55" ht="15.75" customHeight="1">
      <c r="AN1609" s="458"/>
      <c r="BC1609" s="169"/>
    </row>
    <row r="1610" spans="40:55" ht="15.75" customHeight="1">
      <c r="AN1610" s="458"/>
      <c r="BC1610" s="169"/>
    </row>
    <row r="1611" spans="40:55" ht="15.75" customHeight="1">
      <c r="AN1611" s="458"/>
      <c r="BC1611" s="169"/>
    </row>
    <row r="1612" spans="40:55" ht="15.75" customHeight="1">
      <c r="AN1612" s="458"/>
      <c r="BC1612" s="169"/>
    </row>
    <row r="1613" spans="40:55" ht="15.75" customHeight="1">
      <c r="AN1613" s="458"/>
      <c r="BC1613" s="169"/>
    </row>
    <row r="1614" spans="40:55" ht="15.75" customHeight="1">
      <c r="AN1614" s="458"/>
      <c r="BC1614" s="169"/>
    </row>
    <row r="1615" spans="40:55" ht="15.75" customHeight="1">
      <c r="AN1615" s="458"/>
      <c r="BC1615" s="169"/>
    </row>
    <row r="1616" spans="40:55" ht="15.75" customHeight="1">
      <c r="AN1616" s="458"/>
      <c r="BC1616" s="169"/>
    </row>
    <row r="1617" spans="40:55" ht="15.75" customHeight="1">
      <c r="AN1617" s="458"/>
      <c r="BC1617" s="169"/>
    </row>
    <row r="1618" spans="40:55" ht="15.75" customHeight="1">
      <c r="AN1618" s="458"/>
      <c r="BC1618" s="169"/>
    </row>
    <row r="1619" spans="40:55" ht="15.75" customHeight="1">
      <c r="AN1619" s="458"/>
      <c r="BC1619" s="169"/>
    </row>
    <row r="1620" spans="40:55" ht="15.75" customHeight="1">
      <c r="AN1620" s="458"/>
      <c r="BC1620" s="169"/>
    </row>
    <row r="1621" spans="40:55" ht="15.75" customHeight="1">
      <c r="AN1621" s="458"/>
      <c r="BC1621" s="169"/>
    </row>
    <row r="1622" spans="40:55" ht="15.75" customHeight="1">
      <c r="AN1622" s="458"/>
      <c r="BC1622" s="169"/>
    </row>
    <row r="1623" spans="40:55" ht="15.75" customHeight="1">
      <c r="AN1623" s="458"/>
      <c r="BC1623" s="169"/>
    </row>
    <row r="1624" spans="40:55" ht="15.75" customHeight="1">
      <c r="AN1624" s="458"/>
      <c r="BC1624" s="169"/>
    </row>
    <row r="1625" spans="40:55" ht="15.75" customHeight="1">
      <c r="AN1625" s="458"/>
      <c r="BC1625" s="169"/>
    </row>
    <row r="1626" spans="40:55" ht="15.75" customHeight="1">
      <c r="AN1626" s="458"/>
      <c r="BC1626" s="169"/>
    </row>
    <row r="1627" spans="40:55" ht="15.75" customHeight="1">
      <c r="AN1627" s="458"/>
      <c r="BC1627" s="169"/>
    </row>
    <row r="1628" spans="40:55" ht="15.75" customHeight="1">
      <c r="AN1628" s="458"/>
      <c r="BC1628" s="169"/>
    </row>
    <row r="1629" spans="40:55" ht="15.75" customHeight="1">
      <c r="AN1629" s="458"/>
      <c r="BC1629" s="169"/>
    </row>
    <row r="1630" spans="40:55" ht="15.75" customHeight="1">
      <c r="AN1630" s="458"/>
      <c r="BC1630" s="169"/>
    </row>
    <row r="1631" spans="40:55" ht="15.75" customHeight="1">
      <c r="AN1631" s="458"/>
      <c r="BC1631" s="169"/>
    </row>
    <row r="1632" spans="40:55" ht="15.75" customHeight="1">
      <c r="AN1632" s="458"/>
      <c r="BC1632" s="169"/>
    </row>
    <row r="1633" spans="40:55" ht="15.75" customHeight="1">
      <c r="AN1633" s="458"/>
      <c r="BC1633" s="169"/>
    </row>
    <row r="1634" spans="40:55" ht="15.75" customHeight="1">
      <c r="AN1634" s="458"/>
      <c r="BC1634" s="169"/>
    </row>
    <row r="1635" spans="40:55" ht="15.75" customHeight="1">
      <c r="AN1635" s="458"/>
      <c r="BC1635" s="169"/>
    </row>
    <row r="1636" spans="40:55" ht="15.75" customHeight="1">
      <c r="AN1636" s="458"/>
      <c r="BC1636" s="169"/>
    </row>
    <row r="1637" spans="40:55" ht="15.75" customHeight="1">
      <c r="AN1637" s="458"/>
      <c r="BC1637" s="169"/>
    </row>
    <row r="1638" spans="40:55" ht="15.75" customHeight="1">
      <c r="AN1638" s="458"/>
      <c r="BC1638" s="169"/>
    </row>
    <row r="1639" spans="40:55" ht="15.75" customHeight="1">
      <c r="AN1639" s="458"/>
      <c r="BC1639" s="169"/>
    </row>
    <row r="1640" spans="40:55" ht="15.75" customHeight="1">
      <c r="AN1640" s="458"/>
      <c r="BC1640" s="169"/>
    </row>
    <row r="1641" spans="40:55" ht="15.75" customHeight="1">
      <c r="AN1641" s="458"/>
      <c r="BC1641" s="169"/>
    </row>
    <row r="1642" spans="40:55" ht="15.75" customHeight="1">
      <c r="AN1642" s="458"/>
      <c r="BC1642" s="169"/>
    </row>
    <row r="1643" spans="40:55" ht="15.75" customHeight="1">
      <c r="AN1643" s="458"/>
      <c r="BC1643" s="169"/>
    </row>
    <row r="1644" spans="40:55" ht="15.75" customHeight="1">
      <c r="AN1644" s="458"/>
      <c r="BC1644" s="169"/>
    </row>
    <row r="1645" spans="40:55" ht="15.75" customHeight="1">
      <c r="AN1645" s="458"/>
      <c r="BC1645" s="169"/>
    </row>
    <row r="1646" spans="40:55" ht="15.75" customHeight="1">
      <c r="AN1646" s="458"/>
      <c r="BC1646" s="169"/>
    </row>
    <row r="1647" spans="40:55" ht="15.75" customHeight="1">
      <c r="AN1647" s="458"/>
      <c r="BC1647" s="169"/>
    </row>
    <row r="1648" spans="40:55" ht="15.75" customHeight="1">
      <c r="AN1648" s="458"/>
      <c r="BC1648" s="169"/>
    </row>
    <row r="1649" spans="40:55" ht="15.75" customHeight="1">
      <c r="AN1649" s="458"/>
      <c r="BC1649" s="169"/>
    </row>
    <row r="1650" spans="40:55" ht="15.75" customHeight="1">
      <c r="AN1650" s="458"/>
      <c r="BC1650" s="169"/>
    </row>
    <row r="1651" spans="40:55" ht="15.75" customHeight="1">
      <c r="AN1651" s="458"/>
      <c r="BC1651" s="169"/>
    </row>
    <row r="1652" spans="40:55" ht="15.75" customHeight="1">
      <c r="AN1652" s="458"/>
      <c r="BC1652" s="169"/>
    </row>
    <row r="1653" spans="40:55" ht="15.75" customHeight="1">
      <c r="AN1653" s="458"/>
      <c r="BC1653" s="169"/>
    </row>
    <row r="1654" spans="40:55" ht="15.75" customHeight="1">
      <c r="AN1654" s="458"/>
      <c r="BC1654" s="169"/>
    </row>
    <row r="1655" spans="40:55" ht="15.75" customHeight="1">
      <c r="AN1655" s="458"/>
      <c r="BC1655" s="169"/>
    </row>
    <row r="1656" spans="40:55" ht="15.75" customHeight="1">
      <c r="AN1656" s="458"/>
      <c r="BC1656" s="169"/>
    </row>
    <row r="1657" spans="40:55" ht="15.75" customHeight="1">
      <c r="AN1657" s="458"/>
      <c r="BC1657" s="169"/>
    </row>
    <row r="1658" spans="40:55" ht="15.75" customHeight="1">
      <c r="AN1658" s="458"/>
      <c r="BC1658" s="169"/>
    </row>
    <row r="1659" spans="40:55" ht="15.75" customHeight="1">
      <c r="AN1659" s="458"/>
      <c r="BC1659" s="169"/>
    </row>
    <row r="1660" spans="40:55" ht="15.75" customHeight="1">
      <c r="AN1660" s="458"/>
      <c r="BC1660" s="169"/>
    </row>
    <row r="1661" spans="40:55" ht="15.75" customHeight="1">
      <c r="AN1661" s="458"/>
      <c r="BC1661" s="169"/>
    </row>
    <row r="1662" spans="40:55" ht="15.75" customHeight="1">
      <c r="AN1662" s="458"/>
      <c r="BC1662" s="169"/>
    </row>
    <row r="1663" spans="40:55" ht="15.75" customHeight="1">
      <c r="AN1663" s="458"/>
      <c r="BC1663" s="169"/>
    </row>
    <row r="1664" spans="40:55" ht="15.75" customHeight="1">
      <c r="AN1664" s="458"/>
      <c r="BC1664" s="169"/>
    </row>
    <row r="1665" spans="40:55" ht="15.75" customHeight="1">
      <c r="AN1665" s="458"/>
      <c r="BC1665" s="169"/>
    </row>
    <row r="1666" spans="40:55" ht="15.75" customHeight="1">
      <c r="AN1666" s="458"/>
      <c r="BC1666" s="169"/>
    </row>
    <row r="1667" spans="40:55" ht="15.75" customHeight="1">
      <c r="AN1667" s="458"/>
      <c r="BC1667" s="169"/>
    </row>
    <row r="1668" spans="40:55" ht="15.75" customHeight="1">
      <c r="AN1668" s="458"/>
      <c r="BC1668" s="169"/>
    </row>
    <row r="1669" spans="40:55" ht="15.75" customHeight="1">
      <c r="AN1669" s="458"/>
      <c r="BC1669" s="169"/>
    </row>
    <row r="1670" spans="40:55" ht="15.75" customHeight="1">
      <c r="AN1670" s="458"/>
      <c r="BC1670" s="169"/>
    </row>
    <row r="1671" spans="40:55" ht="15.75" customHeight="1">
      <c r="AN1671" s="458"/>
      <c r="BC1671" s="169"/>
    </row>
    <row r="1672" spans="40:55" ht="15.75" customHeight="1">
      <c r="AN1672" s="458"/>
      <c r="BC1672" s="169"/>
    </row>
    <row r="1673" spans="40:55" ht="15.75" customHeight="1">
      <c r="AN1673" s="458"/>
      <c r="BC1673" s="169"/>
    </row>
    <row r="1674" spans="40:55" ht="15.75" customHeight="1">
      <c r="AN1674" s="458"/>
      <c r="BC1674" s="169"/>
    </row>
    <row r="1675" spans="40:55" ht="15.75" customHeight="1">
      <c r="AN1675" s="458"/>
      <c r="BC1675" s="169"/>
    </row>
    <row r="1676" spans="40:55" ht="15.75" customHeight="1">
      <c r="AN1676" s="458"/>
      <c r="BC1676" s="169"/>
    </row>
    <row r="1677" spans="40:55" ht="15.75" customHeight="1">
      <c r="AN1677" s="458"/>
      <c r="BC1677" s="169"/>
    </row>
    <row r="1678" spans="40:55" ht="15.75" customHeight="1">
      <c r="AN1678" s="458"/>
      <c r="BC1678" s="169"/>
    </row>
    <row r="1679" spans="40:55" ht="15.75" customHeight="1">
      <c r="AN1679" s="458"/>
      <c r="BC1679" s="169"/>
    </row>
    <row r="1680" spans="40:55" ht="15.75" customHeight="1">
      <c r="AN1680" s="458"/>
      <c r="BC1680" s="169"/>
    </row>
    <row r="1681" spans="40:55" ht="15.75" customHeight="1">
      <c r="AN1681" s="458"/>
      <c r="BC1681" s="169"/>
    </row>
    <row r="1682" spans="40:55" ht="15.75" customHeight="1">
      <c r="AN1682" s="458"/>
      <c r="BC1682" s="169"/>
    </row>
    <row r="1683" spans="40:55" ht="15.75" customHeight="1">
      <c r="AN1683" s="458"/>
      <c r="BC1683" s="169"/>
    </row>
    <row r="1684" spans="40:55" ht="15.75" customHeight="1">
      <c r="AN1684" s="458"/>
      <c r="BC1684" s="169"/>
    </row>
    <row r="1685" spans="40:55" ht="15.75" customHeight="1">
      <c r="AN1685" s="458"/>
      <c r="BC1685" s="169"/>
    </row>
    <row r="1686" spans="40:55" ht="15.75" customHeight="1">
      <c r="AN1686" s="458"/>
      <c r="BC1686" s="169"/>
    </row>
    <row r="1687" spans="40:55" ht="15.75" customHeight="1">
      <c r="AN1687" s="458"/>
      <c r="BC1687" s="169"/>
    </row>
    <row r="1688" spans="40:55" ht="15.75" customHeight="1">
      <c r="AN1688" s="458"/>
      <c r="BC1688" s="169"/>
    </row>
    <row r="1689" spans="40:55" ht="15.75" customHeight="1">
      <c r="AN1689" s="458"/>
      <c r="BC1689" s="169"/>
    </row>
    <row r="1690" spans="40:55" ht="15.75" customHeight="1">
      <c r="AN1690" s="458"/>
      <c r="BC1690" s="169"/>
    </row>
    <row r="1691" spans="40:55" ht="15.75" customHeight="1">
      <c r="AN1691" s="458"/>
      <c r="BC1691" s="169"/>
    </row>
    <row r="1692" spans="40:55" ht="15.75" customHeight="1">
      <c r="AN1692" s="458"/>
      <c r="BC1692" s="169"/>
    </row>
    <row r="1693" spans="40:55" ht="15.75" customHeight="1">
      <c r="AN1693" s="458"/>
      <c r="BC1693" s="169"/>
    </row>
    <row r="1694" spans="40:55" ht="15.75" customHeight="1">
      <c r="AN1694" s="458"/>
      <c r="BC1694" s="169"/>
    </row>
    <row r="1695" spans="40:55" ht="15.75" customHeight="1">
      <c r="AN1695" s="458"/>
      <c r="BC1695" s="169"/>
    </row>
    <row r="1696" spans="40:55" ht="15.75" customHeight="1">
      <c r="AN1696" s="458"/>
      <c r="BC1696" s="169"/>
    </row>
    <row r="1697" spans="40:55" ht="15.75" customHeight="1">
      <c r="AN1697" s="458"/>
      <c r="BC1697" s="169"/>
    </row>
    <row r="1698" spans="40:55" ht="15.75" customHeight="1">
      <c r="AN1698" s="458"/>
      <c r="BC1698" s="169"/>
    </row>
    <row r="1699" spans="40:55" ht="15.75" customHeight="1">
      <c r="AN1699" s="458"/>
      <c r="BC1699" s="169"/>
    </row>
    <row r="1700" spans="40:55" ht="15.75" customHeight="1">
      <c r="AN1700" s="458"/>
      <c r="BC1700" s="169"/>
    </row>
    <row r="1701" spans="40:55" ht="15.75" customHeight="1">
      <c r="AN1701" s="458"/>
      <c r="BC1701" s="169"/>
    </row>
    <row r="1702" spans="40:55" ht="15.75" customHeight="1">
      <c r="AN1702" s="458"/>
      <c r="BC1702" s="169"/>
    </row>
    <row r="1703" spans="40:55" ht="15.75" customHeight="1">
      <c r="AN1703" s="458"/>
      <c r="BC1703" s="169"/>
    </row>
    <row r="1704" spans="40:55" ht="15.75" customHeight="1">
      <c r="AN1704" s="458"/>
      <c r="BC1704" s="169"/>
    </row>
    <row r="1705" spans="40:55" ht="15.75" customHeight="1">
      <c r="AN1705" s="458"/>
      <c r="BC1705" s="169"/>
    </row>
    <row r="1706" spans="40:55" ht="15.75" customHeight="1">
      <c r="AN1706" s="458"/>
      <c r="BC1706" s="169"/>
    </row>
    <row r="1707" spans="40:55" ht="15.75" customHeight="1">
      <c r="AN1707" s="458"/>
      <c r="BC1707" s="169"/>
    </row>
    <row r="1708" spans="40:55" ht="15.75" customHeight="1">
      <c r="AN1708" s="458"/>
      <c r="BC1708" s="169"/>
    </row>
    <row r="1709" spans="40:55" ht="15.75" customHeight="1">
      <c r="AN1709" s="458"/>
      <c r="BC1709" s="169"/>
    </row>
    <row r="1710" spans="40:55" ht="15.75" customHeight="1">
      <c r="AN1710" s="458"/>
      <c r="BC1710" s="169"/>
    </row>
    <row r="1711" spans="40:55" ht="15.75" customHeight="1">
      <c r="AN1711" s="458"/>
      <c r="BC1711" s="169"/>
    </row>
    <row r="1712" spans="40:55" ht="15.75" customHeight="1">
      <c r="AN1712" s="458"/>
      <c r="BC1712" s="169"/>
    </row>
    <row r="1713" spans="40:55" ht="15.75" customHeight="1">
      <c r="AN1713" s="458"/>
      <c r="BC1713" s="169"/>
    </row>
    <row r="1714" spans="40:55" ht="15.75" customHeight="1">
      <c r="AN1714" s="458"/>
      <c r="BC1714" s="169"/>
    </row>
    <row r="1715" spans="40:55" ht="15.75" customHeight="1">
      <c r="AN1715" s="458"/>
      <c r="BC1715" s="169"/>
    </row>
    <row r="1716" spans="40:55" ht="15.75" customHeight="1">
      <c r="AN1716" s="458"/>
      <c r="BC1716" s="169"/>
    </row>
    <row r="1717" spans="40:55" ht="15.75" customHeight="1">
      <c r="AN1717" s="458"/>
      <c r="BC1717" s="169"/>
    </row>
    <row r="1718" spans="40:55" ht="15.75" customHeight="1">
      <c r="AN1718" s="458"/>
      <c r="BC1718" s="169"/>
    </row>
    <row r="1719" spans="40:55" ht="15.75" customHeight="1">
      <c r="AN1719" s="458"/>
      <c r="BC1719" s="169"/>
    </row>
    <row r="1720" spans="40:55" ht="15.75" customHeight="1">
      <c r="AN1720" s="458"/>
      <c r="BC1720" s="169"/>
    </row>
    <row r="1721" spans="40:55" ht="15.75" customHeight="1">
      <c r="AN1721" s="458"/>
      <c r="BC1721" s="169"/>
    </row>
    <row r="1722" spans="40:55" ht="15.75" customHeight="1">
      <c r="AN1722" s="458"/>
      <c r="BC1722" s="169"/>
    </row>
    <row r="1723" spans="40:55" ht="15.75" customHeight="1">
      <c r="AN1723" s="458"/>
      <c r="BC1723" s="169"/>
    </row>
    <row r="1724" spans="40:55" ht="15.75" customHeight="1">
      <c r="AN1724" s="458"/>
      <c r="BC1724" s="169"/>
    </row>
    <row r="1725" spans="40:55" ht="15.75" customHeight="1">
      <c r="AN1725" s="458"/>
      <c r="BC1725" s="169"/>
    </row>
    <row r="1726" spans="40:55" ht="15.75" customHeight="1">
      <c r="AN1726" s="458"/>
      <c r="BC1726" s="169"/>
    </row>
    <row r="1727" spans="40:55" ht="15.75" customHeight="1">
      <c r="AN1727" s="458"/>
      <c r="BC1727" s="169"/>
    </row>
    <row r="1728" spans="40:55" ht="15.75" customHeight="1">
      <c r="AN1728" s="458"/>
      <c r="BC1728" s="169"/>
    </row>
    <row r="1729" spans="40:55" ht="15.75" customHeight="1">
      <c r="AN1729" s="458"/>
      <c r="BC1729" s="169"/>
    </row>
    <row r="1730" spans="40:55" ht="15.75" customHeight="1">
      <c r="AN1730" s="458"/>
      <c r="BC1730" s="169"/>
    </row>
    <row r="1731" spans="40:55" ht="15.75" customHeight="1">
      <c r="AN1731" s="458"/>
      <c r="BC1731" s="169"/>
    </row>
    <row r="1732" spans="40:55" ht="15.75" customHeight="1">
      <c r="AN1732" s="458"/>
      <c r="BC1732" s="169"/>
    </row>
    <row r="1733" spans="40:55" ht="15.75" customHeight="1">
      <c r="AN1733" s="458"/>
      <c r="BC1733" s="169"/>
    </row>
    <row r="1734" spans="40:55" ht="15.75" customHeight="1">
      <c r="AN1734" s="458"/>
      <c r="BC1734" s="169"/>
    </row>
    <row r="1735" spans="40:55" ht="15.75" customHeight="1">
      <c r="AN1735" s="458"/>
      <c r="BC1735" s="169"/>
    </row>
    <row r="1736" spans="40:55" ht="15.75" customHeight="1">
      <c r="AN1736" s="458"/>
      <c r="BC1736" s="169"/>
    </row>
    <row r="1737" spans="40:55" ht="15.75" customHeight="1">
      <c r="AN1737" s="458"/>
      <c r="BC1737" s="169"/>
    </row>
    <row r="1738" spans="40:55" ht="15.75" customHeight="1">
      <c r="AN1738" s="458"/>
      <c r="BC1738" s="169"/>
    </row>
    <row r="1739" spans="40:55" ht="15.75" customHeight="1">
      <c r="AN1739" s="458"/>
      <c r="BC1739" s="169"/>
    </row>
    <row r="1740" spans="40:55" ht="15.75" customHeight="1">
      <c r="AN1740" s="458"/>
      <c r="BC1740" s="169"/>
    </row>
    <row r="1741" spans="40:55" ht="15.75" customHeight="1">
      <c r="AN1741" s="458"/>
      <c r="BC1741" s="169"/>
    </row>
    <row r="1742" spans="40:55" ht="15.75" customHeight="1">
      <c r="AN1742" s="458"/>
      <c r="BC1742" s="169"/>
    </row>
    <row r="1743" spans="40:55" ht="15.75" customHeight="1">
      <c r="AN1743" s="458"/>
      <c r="BC1743" s="169"/>
    </row>
    <row r="1744" spans="40:55" ht="15.75" customHeight="1">
      <c r="AN1744" s="458"/>
      <c r="BC1744" s="169"/>
    </row>
    <row r="1745" spans="40:55" ht="15.75" customHeight="1">
      <c r="AN1745" s="458"/>
      <c r="BC1745" s="169"/>
    </row>
    <row r="1746" spans="40:55" ht="15.75" customHeight="1">
      <c r="AN1746" s="458"/>
      <c r="BC1746" s="169"/>
    </row>
    <row r="1747" spans="40:55" ht="15.75" customHeight="1">
      <c r="AN1747" s="458"/>
      <c r="BC1747" s="169"/>
    </row>
    <row r="1748" spans="40:55" ht="15.75" customHeight="1">
      <c r="AN1748" s="458"/>
      <c r="BC1748" s="169"/>
    </row>
    <row r="1749" spans="40:55" ht="15.75" customHeight="1">
      <c r="AN1749" s="458"/>
      <c r="BC1749" s="169"/>
    </row>
    <row r="1750" spans="40:55" ht="15.75" customHeight="1">
      <c r="AN1750" s="458"/>
      <c r="BC1750" s="169"/>
    </row>
    <row r="1751" spans="40:55" ht="15.75" customHeight="1">
      <c r="AN1751" s="458"/>
      <c r="BC1751" s="169"/>
    </row>
    <row r="1752" spans="40:55" ht="15.75" customHeight="1">
      <c r="AN1752" s="458"/>
      <c r="BC1752" s="169"/>
    </row>
    <row r="1753" spans="40:55" ht="15.75" customHeight="1">
      <c r="AN1753" s="458"/>
      <c r="BC1753" s="169"/>
    </row>
    <row r="1754" spans="40:55" ht="15.75" customHeight="1">
      <c r="AN1754" s="458"/>
      <c r="BC1754" s="169"/>
    </row>
    <row r="1755" spans="40:55" ht="15.75" customHeight="1">
      <c r="AN1755" s="458"/>
      <c r="BC1755" s="169"/>
    </row>
    <row r="1756" spans="40:55" ht="15.75" customHeight="1">
      <c r="AN1756" s="458"/>
      <c r="BC1756" s="169"/>
    </row>
    <row r="1757" spans="40:55" ht="15.75" customHeight="1">
      <c r="AN1757" s="458"/>
      <c r="BC1757" s="169"/>
    </row>
    <row r="1758" spans="40:55" ht="15.75" customHeight="1">
      <c r="AN1758" s="458"/>
      <c r="BC1758" s="169"/>
    </row>
    <row r="1759" spans="40:55" ht="15.75" customHeight="1">
      <c r="AN1759" s="458"/>
      <c r="BC1759" s="169"/>
    </row>
    <row r="1760" spans="40:55" ht="15.75" customHeight="1">
      <c r="AN1760" s="458"/>
      <c r="BC1760" s="169"/>
    </row>
    <row r="1761" spans="40:55" ht="15.75" customHeight="1">
      <c r="AN1761" s="458"/>
      <c r="BC1761" s="169"/>
    </row>
    <row r="1762" spans="40:55" ht="15.75" customHeight="1">
      <c r="AN1762" s="458"/>
      <c r="BC1762" s="169"/>
    </row>
    <row r="1763" spans="40:55" ht="15.75" customHeight="1">
      <c r="AN1763" s="458"/>
      <c r="BC1763" s="169"/>
    </row>
    <row r="1764" spans="40:55" ht="15.75" customHeight="1">
      <c r="AN1764" s="458"/>
      <c r="BC1764" s="169"/>
    </row>
    <row r="1765" spans="40:55" ht="15.75" customHeight="1">
      <c r="AN1765" s="458"/>
      <c r="BC1765" s="169"/>
    </row>
    <row r="1766" spans="40:55" ht="15.75" customHeight="1">
      <c r="AN1766" s="458"/>
      <c r="BC1766" s="169"/>
    </row>
    <row r="1767" spans="40:55" ht="15.75" customHeight="1">
      <c r="AN1767" s="458"/>
      <c r="BC1767" s="169"/>
    </row>
    <row r="1768" spans="40:55" ht="15.75" customHeight="1">
      <c r="AN1768" s="458"/>
      <c r="BC1768" s="169"/>
    </row>
    <row r="1769" spans="40:55" ht="15.75" customHeight="1">
      <c r="AN1769" s="458"/>
      <c r="BC1769" s="169"/>
    </row>
    <row r="1770" spans="40:55" ht="15.75" customHeight="1">
      <c r="AN1770" s="458"/>
      <c r="BC1770" s="169"/>
    </row>
    <row r="1771" spans="40:55" ht="15.75" customHeight="1">
      <c r="AN1771" s="458"/>
      <c r="BC1771" s="169"/>
    </row>
    <row r="1772" spans="40:55" ht="15.75" customHeight="1">
      <c r="AN1772" s="458"/>
      <c r="BC1772" s="169"/>
    </row>
    <row r="1773" spans="40:55" ht="15.75" customHeight="1">
      <c r="AN1773" s="458"/>
      <c r="BC1773" s="169"/>
    </row>
    <row r="1774" spans="40:55" ht="15.75" customHeight="1">
      <c r="AN1774" s="458"/>
      <c r="BC1774" s="169"/>
    </row>
    <row r="1775" spans="40:55" ht="15.75" customHeight="1">
      <c r="AN1775" s="458"/>
      <c r="BC1775" s="169"/>
    </row>
    <row r="1776" spans="40:55" ht="15.75" customHeight="1">
      <c r="AN1776" s="458"/>
      <c r="BC1776" s="169"/>
    </row>
    <row r="1777" spans="40:55" ht="15.75" customHeight="1">
      <c r="AN1777" s="458"/>
      <c r="BC1777" s="169"/>
    </row>
    <row r="1778" spans="40:55" ht="15.75" customHeight="1">
      <c r="AN1778" s="458"/>
      <c r="BC1778" s="169"/>
    </row>
    <row r="1779" spans="40:55" ht="15.75" customHeight="1">
      <c r="AN1779" s="458"/>
      <c r="BC1779" s="169"/>
    </row>
    <row r="1780" spans="40:55" ht="15.75" customHeight="1">
      <c r="AN1780" s="458"/>
      <c r="BC1780" s="169"/>
    </row>
    <row r="1781" spans="40:55" ht="15.75" customHeight="1">
      <c r="AN1781" s="458"/>
      <c r="BC1781" s="169"/>
    </row>
    <row r="1782" spans="40:55" ht="15.75" customHeight="1">
      <c r="AN1782" s="458"/>
      <c r="BC1782" s="169"/>
    </row>
    <row r="1783" spans="40:55" ht="15.75" customHeight="1">
      <c r="AN1783" s="458"/>
      <c r="BC1783" s="169"/>
    </row>
    <row r="1784" spans="40:55" ht="15.75" customHeight="1">
      <c r="AN1784" s="458"/>
      <c r="BC1784" s="169"/>
    </row>
    <row r="1785" spans="40:55" ht="15.75" customHeight="1">
      <c r="AN1785" s="458"/>
      <c r="BC1785" s="169"/>
    </row>
    <row r="1786" spans="40:55" ht="15.75" customHeight="1">
      <c r="AN1786" s="458"/>
      <c r="BC1786" s="169"/>
    </row>
    <row r="1787" spans="40:55" ht="15.75" customHeight="1">
      <c r="AN1787" s="458"/>
      <c r="BC1787" s="169"/>
    </row>
    <row r="1788" spans="40:55" ht="15.75" customHeight="1">
      <c r="AN1788" s="458"/>
      <c r="BC1788" s="169"/>
    </row>
    <row r="1789" spans="40:55" ht="15.75" customHeight="1">
      <c r="AN1789" s="458"/>
      <c r="BC1789" s="169"/>
    </row>
    <row r="1790" spans="40:55" ht="15.75" customHeight="1">
      <c r="AN1790" s="458"/>
      <c r="BC1790" s="169"/>
    </row>
    <row r="1791" spans="40:55" ht="15.75" customHeight="1">
      <c r="AN1791" s="458"/>
      <c r="BC1791" s="169"/>
    </row>
    <row r="1792" spans="40:55" ht="15.75" customHeight="1">
      <c r="AN1792" s="458"/>
      <c r="BC1792" s="169"/>
    </row>
    <row r="1793" spans="40:55" ht="15.75" customHeight="1">
      <c r="AN1793" s="458"/>
      <c r="BC1793" s="169"/>
    </row>
    <row r="1794" spans="40:55" ht="15.75" customHeight="1">
      <c r="AN1794" s="458"/>
      <c r="BC1794" s="169"/>
    </row>
    <row r="1795" spans="40:55" ht="15.75" customHeight="1">
      <c r="AN1795" s="458"/>
      <c r="BC1795" s="169"/>
    </row>
    <row r="1796" spans="40:55" ht="15.75" customHeight="1">
      <c r="AN1796" s="458"/>
      <c r="BC1796" s="169"/>
    </row>
    <row r="1797" spans="40:55" ht="15.75" customHeight="1">
      <c r="AN1797" s="458"/>
      <c r="BC1797" s="169"/>
    </row>
    <row r="1798" spans="40:55" ht="15.75" customHeight="1">
      <c r="AN1798" s="458"/>
      <c r="BC1798" s="169"/>
    </row>
    <row r="1799" spans="40:55" ht="15.75" customHeight="1">
      <c r="AN1799" s="458"/>
      <c r="BC1799" s="169"/>
    </row>
    <row r="1800" spans="40:55" ht="15.75" customHeight="1">
      <c r="AN1800" s="458"/>
      <c r="BC1800" s="169"/>
    </row>
    <row r="1801" spans="40:55" ht="15.75" customHeight="1">
      <c r="AN1801" s="458"/>
      <c r="BC1801" s="169"/>
    </row>
    <row r="1802" spans="40:55" ht="15.75" customHeight="1">
      <c r="AN1802" s="458"/>
      <c r="BC1802" s="169"/>
    </row>
    <row r="1803" spans="40:55" ht="15.75" customHeight="1">
      <c r="AN1803" s="458"/>
      <c r="BC1803" s="169"/>
    </row>
    <row r="1804" spans="40:55" ht="15.75" customHeight="1">
      <c r="AN1804" s="458"/>
      <c r="BC1804" s="169"/>
    </row>
    <row r="1805" spans="40:55" ht="15.75" customHeight="1">
      <c r="AN1805" s="458"/>
      <c r="BC1805" s="169"/>
    </row>
    <row r="1806" spans="40:55" ht="15.75" customHeight="1">
      <c r="AN1806" s="458"/>
      <c r="BC1806" s="169"/>
    </row>
    <row r="1807" spans="40:55" ht="15.75" customHeight="1">
      <c r="AN1807" s="458"/>
      <c r="BC1807" s="169"/>
    </row>
    <row r="1808" spans="40:55" ht="15.75" customHeight="1">
      <c r="AN1808" s="458"/>
      <c r="BC1808" s="169"/>
    </row>
    <row r="1809" spans="40:55" ht="15.75" customHeight="1">
      <c r="AN1809" s="458"/>
      <c r="BC1809" s="169"/>
    </row>
    <row r="1810" spans="40:55" ht="15.75" customHeight="1">
      <c r="AN1810" s="458"/>
      <c r="BC1810" s="169"/>
    </row>
    <row r="1811" spans="40:55" ht="15.75" customHeight="1">
      <c r="AN1811" s="458"/>
      <c r="BC1811" s="169"/>
    </row>
    <row r="1812" spans="40:55" ht="15.75" customHeight="1">
      <c r="AN1812" s="458"/>
      <c r="BC1812" s="169"/>
    </row>
    <row r="1813" spans="40:55" ht="15.75" customHeight="1">
      <c r="AN1813" s="458"/>
      <c r="BC1813" s="169"/>
    </row>
    <row r="1814" spans="40:55" ht="15.75" customHeight="1">
      <c r="AN1814" s="458"/>
      <c r="BC1814" s="169"/>
    </row>
    <row r="1815" spans="40:55" ht="15.75" customHeight="1">
      <c r="AN1815" s="458"/>
      <c r="BC1815" s="169"/>
    </row>
    <row r="1816" spans="40:55" ht="15.75" customHeight="1">
      <c r="AN1816" s="458"/>
      <c r="BC1816" s="169"/>
    </row>
    <row r="1817" spans="40:55" ht="15.75" customHeight="1">
      <c r="AN1817" s="458"/>
      <c r="BC1817" s="169"/>
    </row>
    <row r="1818" spans="40:55" ht="15.75" customHeight="1">
      <c r="AN1818" s="458"/>
      <c r="BC1818" s="169"/>
    </row>
    <row r="1819" spans="40:55" ht="15.75" customHeight="1">
      <c r="AN1819" s="458"/>
      <c r="BC1819" s="169"/>
    </row>
    <row r="1820" spans="40:55" ht="15.75" customHeight="1">
      <c r="AN1820" s="458"/>
      <c r="BC1820" s="169"/>
    </row>
    <row r="1821" spans="40:55" ht="15.75" customHeight="1">
      <c r="AN1821" s="458"/>
      <c r="BC1821" s="169"/>
    </row>
    <row r="1822" spans="40:55" ht="15.75" customHeight="1">
      <c r="AN1822" s="458"/>
      <c r="BC1822" s="169"/>
    </row>
    <row r="1823" spans="40:55" ht="15.75" customHeight="1">
      <c r="AN1823" s="458"/>
      <c r="BC1823" s="169"/>
    </row>
    <row r="1824" spans="40:55" ht="15.75" customHeight="1">
      <c r="AN1824" s="458"/>
      <c r="BC1824" s="169"/>
    </row>
    <row r="1825" spans="40:55" ht="15.75" customHeight="1">
      <c r="AN1825" s="458"/>
      <c r="BC1825" s="169"/>
    </row>
    <row r="1826" spans="40:55" ht="15.75" customHeight="1">
      <c r="AN1826" s="458"/>
      <c r="BC1826" s="169"/>
    </row>
    <row r="1827" spans="40:55" ht="15.75" customHeight="1">
      <c r="AN1827" s="458"/>
      <c r="BC1827" s="169"/>
    </row>
    <row r="1828" spans="40:55" ht="15.75" customHeight="1">
      <c r="AN1828" s="458"/>
      <c r="BC1828" s="169"/>
    </row>
    <row r="1829" spans="40:55" ht="15.75" customHeight="1">
      <c r="AN1829" s="458"/>
      <c r="BC1829" s="169"/>
    </row>
    <row r="1830" spans="40:55" ht="15.75" customHeight="1">
      <c r="AN1830" s="458"/>
      <c r="BC1830" s="169"/>
    </row>
    <row r="1831" spans="40:55" ht="15.75" customHeight="1">
      <c r="AN1831" s="458"/>
      <c r="BC1831" s="169"/>
    </row>
    <row r="1832" spans="40:55" ht="15.75" customHeight="1">
      <c r="AN1832" s="458"/>
      <c r="BC1832" s="169"/>
    </row>
    <row r="1833" spans="40:55" ht="15.75" customHeight="1">
      <c r="AN1833" s="458"/>
      <c r="BC1833" s="169"/>
    </row>
    <row r="1834" spans="40:55" ht="15.75" customHeight="1">
      <c r="AN1834" s="458"/>
      <c r="BC1834" s="169"/>
    </row>
    <row r="1835" spans="40:55" ht="15.75" customHeight="1">
      <c r="AN1835" s="458"/>
      <c r="BC1835" s="169"/>
    </row>
    <row r="1836" spans="40:55" ht="15.75" customHeight="1">
      <c r="AN1836" s="458"/>
      <c r="BC1836" s="169"/>
    </row>
    <row r="1837" spans="40:55" ht="15.75" customHeight="1">
      <c r="AN1837" s="458"/>
      <c r="BC1837" s="169"/>
    </row>
    <row r="1838" spans="40:55" ht="15.75" customHeight="1">
      <c r="AN1838" s="458"/>
      <c r="BC1838" s="169"/>
    </row>
    <row r="1839" spans="40:55" ht="15.75" customHeight="1">
      <c r="AN1839" s="458"/>
      <c r="BC1839" s="169"/>
    </row>
    <row r="1840" spans="40:55" ht="15.75" customHeight="1">
      <c r="AN1840" s="458"/>
      <c r="BC1840" s="169"/>
    </row>
    <row r="1841" spans="40:55" ht="15.75" customHeight="1">
      <c r="AN1841" s="458"/>
      <c r="BC1841" s="169"/>
    </row>
    <row r="1842" spans="40:55" ht="15.75" customHeight="1">
      <c r="AN1842" s="458"/>
      <c r="BC1842" s="169"/>
    </row>
    <row r="1843" spans="40:55" ht="15.75" customHeight="1">
      <c r="AN1843" s="458"/>
      <c r="BC1843" s="169"/>
    </row>
    <row r="1844" spans="40:55" ht="15.75" customHeight="1">
      <c r="AN1844" s="458"/>
      <c r="BC1844" s="169"/>
    </row>
    <row r="1845" spans="40:55" ht="15.75" customHeight="1">
      <c r="AN1845" s="458"/>
      <c r="BC1845" s="169"/>
    </row>
    <row r="1846" spans="40:55" ht="15.75" customHeight="1">
      <c r="AN1846" s="458"/>
      <c r="BC1846" s="169"/>
    </row>
    <row r="1847" spans="40:55" ht="15.75" customHeight="1">
      <c r="AN1847" s="458"/>
      <c r="BC1847" s="169"/>
    </row>
    <row r="1848" spans="40:55" ht="15.75" customHeight="1">
      <c r="AN1848" s="458"/>
      <c r="BC1848" s="169"/>
    </row>
    <row r="1849" spans="40:55" ht="15.75" customHeight="1">
      <c r="AN1849" s="458"/>
      <c r="BC1849" s="169"/>
    </row>
    <row r="1850" spans="40:55" ht="15.75" customHeight="1">
      <c r="AN1850" s="458"/>
      <c r="BC1850" s="169"/>
    </row>
    <row r="1851" spans="40:55" ht="15.75" customHeight="1">
      <c r="AN1851" s="458"/>
      <c r="BC1851" s="169"/>
    </row>
    <row r="1852" spans="40:55" ht="15.75" customHeight="1">
      <c r="AN1852" s="458"/>
      <c r="BC1852" s="169"/>
    </row>
    <row r="1853" spans="40:55" ht="15.75" customHeight="1">
      <c r="AN1853" s="458"/>
      <c r="BC1853" s="169"/>
    </row>
    <row r="1854" spans="40:55" ht="15.75" customHeight="1">
      <c r="AN1854" s="458"/>
      <c r="BC1854" s="169"/>
    </row>
    <row r="1855" spans="40:55" ht="15.75" customHeight="1">
      <c r="AN1855" s="458"/>
      <c r="BC1855" s="169"/>
    </row>
    <row r="1856" spans="40:55" ht="15.75" customHeight="1">
      <c r="AN1856" s="458"/>
      <c r="BC1856" s="169"/>
    </row>
    <row r="1857" spans="40:55" ht="15.75" customHeight="1">
      <c r="AN1857" s="458"/>
      <c r="BC1857" s="169"/>
    </row>
    <row r="1858" spans="40:55" ht="15.75" customHeight="1">
      <c r="AN1858" s="458"/>
      <c r="BC1858" s="169"/>
    </row>
    <row r="1859" spans="40:55" ht="15.75" customHeight="1">
      <c r="AN1859" s="458"/>
      <c r="BC1859" s="169"/>
    </row>
    <row r="1860" spans="40:55" ht="15.75" customHeight="1">
      <c r="AN1860" s="458"/>
      <c r="BC1860" s="169"/>
    </row>
    <row r="1861" spans="40:55" ht="15.75" customHeight="1">
      <c r="AN1861" s="458"/>
      <c r="BC1861" s="169"/>
    </row>
    <row r="1862" spans="40:55" ht="15.75" customHeight="1">
      <c r="AN1862" s="458"/>
      <c r="BC1862" s="169"/>
    </row>
    <row r="1863" spans="40:55" ht="15.75" customHeight="1">
      <c r="AN1863" s="458"/>
      <c r="BC1863" s="169"/>
    </row>
    <row r="1864" spans="40:55" ht="15.75" customHeight="1">
      <c r="AN1864" s="458"/>
      <c r="BC1864" s="169"/>
    </row>
    <row r="1865" spans="40:55" ht="15.75" customHeight="1">
      <c r="AN1865" s="458"/>
      <c r="BC1865" s="169"/>
    </row>
    <row r="1866" spans="40:55" ht="15.75" customHeight="1">
      <c r="AN1866" s="458"/>
      <c r="BC1866" s="169"/>
    </row>
    <row r="1867" spans="40:55" ht="15.75" customHeight="1">
      <c r="AN1867" s="458"/>
      <c r="BC1867" s="169"/>
    </row>
    <row r="1868" spans="40:55" ht="15.75" customHeight="1">
      <c r="AN1868" s="458"/>
      <c r="BC1868" s="169"/>
    </row>
    <row r="1869" spans="40:55" ht="15.75" customHeight="1">
      <c r="AN1869" s="458"/>
      <c r="BC1869" s="169"/>
    </row>
    <row r="1870" spans="40:55" ht="15.75" customHeight="1">
      <c r="AN1870" s="458"/>
      <c r="BC1870" s="169"/>
    </row>
    <row r="1871" spans="40:55" ht="15.75" customHeight="1">
      <c r="AN1871" s="458"/>
      <c r="BC1871" s="169"/>
    </row>
    <row r="1872" spans="40:55" ht="15.75" customHeight="1">
      <c r="AN1872" s="458"/>
      <c r="BC1872" s="169"/>
    </row>
    <row r="1873" spans="40:55" ht="15.75" customHeight="1">
      <c r="AN1873" s="458"/>
      <c r="BC1873" s="169"/>
    </row>
    <row r="1874" spans="40:55" ht="15.75" customHeight="1">
      <c r="AN1874" s="458"/>
      <c r="BC1874" s="169"/>
    </row>
    <row r="1875" spans="40:55" ht="15.75" customHeight="1">
      <c r="AN1875" s="458"/>
      <c r="BC1875" s="169"/>
    </row>
    <row r="1876" spans="40:55" ht="15.75" customHeight="1">
      <c r="AN1876" s="458"/>
      <c r="BC1876" s="169"/>
    </row>
    <row r="1877" spans="40:55" ht="15.75" customHeight="1">
      <c r="AN1877" s="458"/>
      <c r="BC1877" s="169"/>
    </row>
    <row r="1878" spans="40:55" ht="15.75" customHeight="1">
      <c r="AN1878" s="458"/>
      <c r="BC1878" s="169"/>
    </row>
    <row r="1879" spans="40:55" ht="15.75" customHeight="1">
      <c r="AN1879" s="458"/>
      <c r="BC1879" s="169"/>
    </row>
    <row r="1880" spans="40:55" ht="15.75" customHeight="1">
      <c r="AN1880" s="458"/>
      <c r="BC1880" s="169"/>
    </row>
    <row r="1881" spans="40:55" ht="15.75" customHeight="1">
      <c r="AN1881" s="458"/>
      <c r="BC1881" s="169"/>
    </row>
    <row r="1882" spans="40:55" ht="15.75" customHeight="1">
      <c r="AN1882" s="458"/>
      <c r="BC1882" s="169"/>
    </row>
    <row r="1883" spans="40:55" ht="15.75" customHeight="1">
      <c r="AN1883" s="458"/>
      <c r="BC1883" s="169"/>
    </row>
    <row r="1884" spans="40:55" ht="15.75" customHeight="1">
      <c r="AN1884" s="458"/>
      <c r="BC1884" s="169"/>
    </row>
    <row r="1885" spans="40:55" ht="15.75" customHeight="1">
      <c r="AN1885" s="458"/>
      <c r="BC1885" s="169"/>
    </row>
    <row r="1886" spans="40:55" ht="15.75" customHeight="1">
      <c r="AN1886" s="458"/>
      <c r="BC1886" s="169"/>
    </row>
    <row r="1887" spans="40:55" ht="15.75" customHeight="1">
      <c r="AN1887" s="458"/>
      <c r="BC1887" s="169"/>
    </row>
    <row r="1888" spans="40:55" ht="15.75" customHeight="1">
      <c r="AN1888" s="458"/>
      <c r="BC1888" s="169"/>
    </row>
    <row r="1889" spans="40:55" ht="15.75" customHeight="1">
      <c r="AN1889" s="458"/>
      <c r="BC1889" s="169"/>
    </row>
    <row r="1890" spans="40:55" ht="15.75" customHeight="1">
      <c r="AN1890" s="458"/>
      <c r="BC1890" s="169"/>
    </row>
    <row r="1891" spans="40:55" ht="15.75" customHeight="1">
      <c r="AN1891" s="458"/>
      <c r="BC1891" s="169"/>
    </row>
    <row r="1892" spans="40:55" ht="15.75" customHeight="1">
      <c r="AN1892" s="458"/>
      <c r="BC1892" s="169"/>
    </row>
    <row r="1893" spans="40:55" ht="15.75" customHeight="1">
      <c r="AN1893" s="458"/>
      <c r="BC1893" s="169"/>
    </row>
    <row r="1894" spans="40:55" ht="15.75" customHeight="1">
      <c r="AN1894" s="458"/>
      <c r="BC1894" s="169"/>
    </row>
    <row r="1895" spans="40:55" ht="15.75" customHeight="1">
      <c r="AN1895" s="458"/>
      <c r="BC1895" s="169"/>
    </row>
    <row r="1896" spans="40:55" ht="15.75" customHeight="1">
      <c r="AN1896" s="458"/>
      <c r="BC1896" s="169"/>
    </row>
    <row r="1897" spans="40:55" ht="15.75" customHeight="1">
      <c r="AN1897" s="458"/>
      <c r="BC1897" s="169"/>
    </row>
    <row r="1898" spans="40:55" ht="15.75" customHeight="1">
      <c r="AN1898" s="458"/>
      <c r="BC1898" s="169"/>
    </row>
    <row r="1899" spans="40:55" ht="15.75" customHeight="1">
      <c r="AN1899" s="458"/>
      <c r="BC1899" s="169"/>
    </row>
    <row r="1900" spans="40:55" ht="15.75" customHeight="1">
      <c r="AN1900" s="458"/>
      <c r="BC1900" s="169"/>
    </row>
    <row r="1901" spans="40:55" ht="15.75" customHeight="1">
      <c r="AN1901" s="458"/>
      <c r="BC1901" s="169"/>
    </row>
    <row r="1902" spans="40:55" ht="15.75" customHeight="1">
      <c r="AN1902" s="458"/>
      <c r="BC1902" s="169"/>
    </row>
    <row r="1903" spans="40:55" ht="15.75" customHeight="1">
      <c r="AN1903" s="458"/>
      <c r="BC1903" s="169"/>
    </row>
    <row r="1904" spans="40:55" ht="15.75" customHeight="1">
      <c r="AN1904" s="458"/>
      <c r="BC1904" s="169"/>
    </row>
    <row r="1905" spans="40:55" ht="15.75" customHeight="1">
      <c r="AN1905" s="458"/>
      <c r="BC1905" s="169"/>
    </row>
    <row r="1906" spans="40:55" ht="15.75" customHeight="1">
      <c r="AN1906" s="458"/>
      <c r="BC1906" s="169"/>
    </row>
    <row r="1907" spans="40:55" ht="15.75" customHeight="1">
      <c r="AN1907" s="458"/>
      <c r="BC1907" s="169"/>
    </row>
    <row r="1908" spans="40:55" ht="15.75" customHeight="1">
      <c r="AN1908" s="458"/>
      <c r="BC1908" s="169"/>
    </row>
    <row r="1909" spans="40:55" ht="15.75" customHeight="1">
      <c r="AN1909" s="458"/>
      <c r="BC1909" s="169"/>
    </row>
    <row r="1910" spans="40:55" ht="15.75" customHeight="1">
      <c r="AN1910" s="458"/>
      <c r="BC1910" s="169"/>
    </row>
    <row r="1911" spans="40:55" ht="15.75" customHeight="1">
      <c r="AN1911" s="458"/>
      <c r="BC1911" s="169"/>
    </row>
    <row r="1912" spans="40:55" ht="15.75" customHeight="1">
      <c r="AN1912" s="458"/>
      <c r="BC1912" s="169"/>
    </row>
    <row r="1913" spans="40:55" ht="15.75" customHeight="1">
      <c r="AN1913" s="458"/>
      <c r="BC1913" s="169"/>
    </row>
    <row r="1914" spans="40:55" ht="15.75" customHeight="1">
      <c r="AN1914" s="458"/>
      <c r="BC1914" s="169"/>
    </row>
    <row r="1915" spans="40:55" ht="15.75" customHeight="1">
      <c r="AN1915" s="458"/>
      <c r="BC1915" s="169"/>
    </row>
    <row r="1916" spans="40:55" ht="15.75" customHeight="1">
      <c r="AN1916" s="458"/>
      <c r="BC1916" s="169"/>
    </row>
    <row r="1917" spans="40:55" ht="15.75" customHeight="1">
      <c r="AN1917" s="458"/>
      <c r="BC1917" s="169"/>
    </row>
    <row r="1918" spans="40:55" ht="15.75" customHeight="1">
      <c r="AN1918" s="458"/>
      <c r="BC1918" s="169"/>
    </row>
    <row r="1919" spans="40:55" ht="15.75" customHeight="1">
      <c r="AN1919" s="458"/>
      <c r="BC1919" s="169"/>
    </row>
    <row r="1920" spans="40:55" ht="15.75" customHeight="1">
      <c r="AN1920" s="458"/>
      <c r="BC1920" s="169"/>
    </row>
    <row r="1921" spans="40:55" ht="15.75" customHeight="1">
      <c r="AN1921" s="458"/>
      <c r="BC1921" s="169"/>
    </row>
    <row r="1922" spans="40:55" ht="15.75" customHeight="1">
      <c r="AN1922" s="458"/>
      <c r="BC1922" s="169"/>
    </row>
    <row r="1923" spans="40:55" ht="15.75" customHeight="1">
      <c r="AN1923" s="458"/>
      <c r="BC1923" s="169"/>
    </row>
    <row r="1924" spans="40:55" ht="15.75" customHeight="1">
      <c r="AN1924" s="458"/>
      <c r="BC1924" s="169"/>
    </row>
    <row r="1925" spans="40:55" ht="15.75" customHeight="1">
      <c r="AN1925" s="458"/>
      <c r="BC1925" s="169"/>
    </row>
    <row r="1926" spans="40:55" ht="15.75" customHeight="1">
      <c r="AN1926" s="458"/>
      <c r="BC1926" s="169"/>
    </row>
    <row r="1927" spans="40:55" ht="15.75" customHeight="1">
      <c r="AN1927" s="458"/>
      <c r="BC1927" s="169"/>
    </row>
    <row r="1928" spans="40:55" ht="15.75" customHeight="1">
      <c r="AN1928" s="458"/>
      <c r="BC1928" s="169"/>
    </row>
    <row r="1929" spans="40:55" ht="15.75" customHeight="1">
      <c r="AN1929" s="458"/>
      <c r="BC1929" s="169"/>
    </row>
    <row r="1930" spans="40:55" ht="15.75" customHeight="1">
      <c r="AN1930" s="458"/>
      <c r="BC1930" s="169"/>
    </row>
    <row r="1931" spans="40:55" ht="15.75" customHeight="1">
      <c r="AN1931" s="458"/>
      <c r="BC1931" s="169"/>
    </row>
    <row r="1932" spans="40:55" ht="15.75" customHeight="1">
      <c r="AN1932" s="458"/>
      <c r="BC1932" s="169"/>
    </row>
    <row r="1933" spans="40:55" ht="15.75" customHeight="1">
      <c r="AN1933" s="458"/>
      <c r="BC1933" s="169"/>
    </row>
    <row r="1934" spans="40:55" ht="15.75" customHeight="1">
      <c r="AN1934" s="458"/>
      <c r="BC1934" s="169"/>
    </row>
    <row r="1935" spans="40:55" ht="15.75" customHeight="1">
      <c r="AN1935" s="458"/>
      <c r="BC1935" s="169"/>
    </row>
    <row r="1936" spans="40:55" ht="15.75" customHeight="1">
      <c r="AN1936" s="458"/>
      <c r="BC1936" s="169"/>
    </row>
    <row r="1937" spans="40:55" ht="15.75" customHeight="1">
      <c r="AN1937" s="458"/>
      <c r="BC1937" s="169"/>
    </row>
    <row r="1938" spans="40:55" ht="15.75" customHeight="1">
      <c r="AN1938" s="458"/>
      <c r="BC1938" s="169"/>
    </row>
    <row r="1939" spans="40:55" ht="15.75" customHeight="1">
      <c r="AN1939" s="458"/>
      <c r="BC1939" s="169"/>
    </row>
    <row r="1940" spans="40:55" ht="15.75" customHeight="1">
      <c r="AN1940" s="458"/>
      <c r="BC1940" s="169"/>
    </row>
    <row r="1941" spans="40:55" ht="15.75" customHeight="1">
      <c r="AN1941" s="458"/>
      <c r="BC1941" s="169"/>
    </row>
    <row r="1942" spans="40:55" ht="15.75" customHeight="1">
      <c r="AN1942" s="458"/>
      <c r="BC1942" s="169"/>
    </row>
    <row r="1943" spans="40:55" ht="15.75" customHeight="1">
      <c r="AN1943" s="458"/>
      <c r="BC1943" s="169"/>
    </row>
    <row r="1944" spans="40:55" ht="15.75" customHeight="1">
      <c r="AN1944" s="458"/>
      <c r="BC1944" s="169"/>
    </row>
    <row r="1945" spans="40:55" ht="15.75" customHeight="1">
      <c r="AN1945" s="458"/>
      <c r="BC1945" s="169"/>
    </row>
    <row r="1946" spans="40:55" ht="15.75" customHeight="1">
      <c r="AN1946" s="458"/>
      <c r="BC1946" s="169"/>
    </row>
    <row r="1947" spans="40:55" ht="15.75" customHeight="1">
      <c r="AN1947" s="458"/>
      <c r="BC1947" s="169"/>
    </row>
    <row r="1948" spans="40:55" ht="15.75" customHeight="1">
      <c r="AN1948" s="458"/>
      <c r="BC1948" s="169"/>
    </row>
    <row r="1949" spans="40:55" ht="15.75" customHeight="1">
      <c r="AN1949" s="458"/>
      <c r="BC1949" s="169"/>
    </row>
    <row r="1950" spans="40:55" ht="15.75" customHeight="1">
      <c r="AN1950" s="458"/>
      <c r="BC1950" s="169"/>
    </row>
    <row r="1951" spans="40:55" ht="15.75" customHeight="1">
      <c r="AN1951" s="458"/>
      <c r="BC1951" s="169"/>
    </row>
    <row r="1952" spans="40:55" ht="15.75" customHeight="1">
      <c r="AN1952" s="458"/>
      <c r="BC1952" s="169"/>
    </row>
    <row r="1953" spans="40:55" ht="15.75" customHeight="1">
      <c r="AN1953" s="458"/>
      <c r="BC1953" s="169"/>
    </row>
    <row r="1954" spans="40:55" ht="15.75" customHeight="1">
      <c r="AN1954" s="458"/>
      <c r="BC1954" s="169"/>
    </row>
    <row r="1955" spans="40:55" ht="15.75" customHeight="1">
      <c r="AN1955" s="458"/>
      <c r="BC1955" s="169"/>
    </row>
    <row r="1956" spans="40:55" ht="15.75" customHeight="1">
      <c r="AN1956" s="458"/>
      <c r="BC1956" s="169"/>
    </row>
    <row r="1957" spans="40:55" ht="15.75" customHeight="1">
      <c r="AN1957" s="458"/>
      <c r="BC1957" s="169"/>
    </row>
    <row r="1958" spans="40:55" ht="15.75" customHeight="1">
      <c r="AN1958" s="458"/>
      <c r="BC1958" s="169"/>
    </row>
    <row r="1959" spans="40:55" ht="15.75" customHeight="1">
      <c r="AN1959" s="458"/>
      <c r="BC1959" s="169"/>
    </row>
    <row r="1960" spans="40:55" ht="15.75" customHeight="1">
      <c r="AN1960" s="458"/>
      <c r="BC1960" s="169"/>
    </row>
    <row r="1961" spans="40:55" ht="15.75" customHeight="1">
      <c r="AN1961" s="458"/>
      <c r="BC1961" s="169"/>
    </row>
    <row r="1962" spans="40:55" ht="15.75" customHeight="1">
      <c r="AN1962" s="458"/>
      <c r="BC1962" s="169"/>
    </row>
    <row r="1963" spans="40:55" ht="15.75" customHeight="1">
      <c r="AN1963" s="458"/>
      <c r="BC1963" s="169"/>
    </row>
    <row r="1964" spans="40:55" ht="15.75" customHeight="1">
      <c r="AN1964" s="458"/>
      <c r="BC1964" s="169"/>
    </row>
    <row r="1965" spans="40:55" ht="15.75" customHeight="1">
      <c r="AN1965" s="458"/>
      <c r="BC1965" s="169"/>
    </row>
    <row r="1966" spans="40:55" ht="15.75" customHeight="1">
      <c r="AN1966" s="458"/>
      <c r="BC1966" s="169"/>
    </row>
    <row r="1967" spans="40:55" ht="15.75" customHeight="1">
      <c r="AN1967" s="458"/>
      <c r="BC1967" s="169"/>
    </row>
    <row r="1968" spans="40:55" ht="15.75" customHeight="1">
      <c r="AN1968" s="458"/>
      <c r="BC1968" s="169"/>
    </row>
    <row r="1969" spans="40:55" ht="15.75" customHeight="1">
      <c r="AN1969" s="458"/>
      <c r="BC1969" s="169"/>
    </row>
    <row r="1970" spans="40:55" ht="15.75" customHeight="1">
      <c r="AN1970" s="458"/>
      <c r="BC1970" s="169"/>
    </row>
    <row r="1971" spans="40:55" ht="15.75" customHeight="1">
      <c r="AN1971" s="458"/>
      <c r="BC1971" s="169"/>
    </row>
    <row r="1972" spans="40:55" ht="15.75" customHeight="1">
      <c r="AN1972" s="458"/>
      <c r="BC1972" s="169"/>
    </row>
    <row r="1973" spans="40:55" ht="15.75" customHeight="1">
      <c r="AN1973" s="458"/>
      <c r="BC1973" s="169"/>
    </row>
    <row r="1974" spans="40:55" ht="15.75" customHeight="1">
      <c r="AN1974" s="458"/>
      <c r="BC1974" s="169"/>
    </row>
    <row r="1975" spans="40:55" ht="15.75" customHeight="1">
      <c r="AN1975" s="458"/>
      <c r="BC1975" s="169"/>
    </row>
    <row r="1976" spans="40:55" ht="15.75" customHeight="1">
      <c r="AN1976" s="458"/>
      <c r="BC1976" s="169"/>
    </row>
    <row r="1977" spans="40:55" ht="15.75" customHeight="1">
      <c r="AN1977" s="458"/>
      <c r="BC1977" s="169"/>
    </row>
    <row r="1978" spans="40:55" ht="15.75" customHeight="1">
      <c r="AN1978" s="458"/>
      <c r="BC1978" s="169"/>
    </row>
    <row r="1979" spans="40:55" ht="15.75" customHeight="1">
      <c r="AN1979" s="458"/>
      <c r="BC1979" s="169"/>
    </row>
    <row r="1980" spans="40:55" ht="15.75" customHeight="1">
      <c r="AN1980" s="458"/>
      <c r="BC1980" s="169"/>
    </row>
    <row r="1981" spans="40:55" ht="15.75" customHeight="1">
      <c r="AN1981" s="458"/>
      <c r="BC1981" s="169"/>
    </row>
    <row r="1982" spans="40:55" ht="15.75" customHeight="1">
      <c r="AN1982" s="458"/>
      <c r="BC1982" s="169"/>
    </row>
    <row r="1983" spans="40:55" ht="15.75" customHeight="1">
      <c r="AN1983" s="458"/>
      <c r="BC1983" s="169"/>
    </row>
    <row r="1984" spans="40:55" ht="15.75" customHeight="1">
      <c r="AN1984" s="458"/>
      <c r="BC1984" s="169"/>
    </row>
    <row r="1985" spans="40:55" ht="15.75" customHeight="1">
      <c r="AN1985" s="458"/>
      <c r="BC1985" s="169"/>
    </row>
    <row r="1986" spans="40:55" ht="15.75" customHeight="1">
      <c r="AN1986" s="458"/>
      <c r="BC1986" s="169"/>
    </row>
    <row r="1987" spans="40:55" ht="15.75" customHeight="1">
      <c r="AN1987" s="458"/>
      <c r="BC1987" s="169"/>
    </row>
    <row r="1988" spans="40:55" ht="15.75" customHeight="1">
      <c r="AN1988" s="458"/>
      <c r="BC1988" s="169"/>
    </row>
    <row r="1989" spans="40:55" ht="15.75" customHeight="1">
      <c r="AN1989" s="458"/>
      <c r="BC1989" s="169"/>
    </row>
    <row r="1990" spans="40:55" ht="15.75" customHeight="1">
      <c r="AN1990" s="458"/>
      <c r="BC1990" s="169"/>
    </row>
    <row r="1991" spans="40:55" ht="15.75" customHeight="1">
      <c r="AN1991" s="458"/>
      <c r="BC1991" s="169"/>
    </row>
    <row r="1992" spans="40:55" ht="15.75" customHeight="1">
      <c r="AN1992" s="458"/>
      <c r="BC1992" s="169"/>
    </row>
    <row r="1993" spans="40:55" ht="15.75" customHeight="1">
      <c r="AN1993" s="458"/>
      <c r="BC1993" s="169"/>
    </row>
    <row r="1994" spans="40:55" ht="15.75" customHeight="1">
      <c r="AN1994" s="458"/>
      <c r="BC1994" s="169"/>
    </row>
    <row r="1995" spans="40:55" ht="15.75" customHeight="1">
      <c r="AN1995" s="458"/>
      <c r="BC1995" s="169"/>
    </row>
    <row r="1996" spans="40:55" ht="15.75" customHeight="1">
      <c r="AN1996" s="458"/>
      <c r="BC1996" s="169"/>
    </row>
    <row r="1997" spans="40:55" ht="15.75" customHeight="1">
      <c r="AN1997" s="458"/>
      <c r="BC1997" s="169"/>
    </row>
    <row r="1998" spans="40:55" ht="15.75" customHeight="1">
      <c r="AN1998" s="458"/>
      <c r="BC1998" s="169"/>
    </row>
    <row r="1999" spans="40:55" ht="15.75" customHeight="1">
      <c r="AN1999" s="458"/>
      <c r="BC1999" s="169"/>
    </row>
    <row r="2000" spans="40:55" ht="15.75" customHeight="1">
      <c r="AN2000" s="458"/>
    </row>
    <row r="2001" spans="40:40" ht="15.75" customHeight="1">
      <c r="AN2001" s="458"/>
    </row>
    <row r="2002" spans="40:40" ht="15.75" customHeight="1">
      <c r="AN2002" s="458"/>
    </row>
    <row r="2003" spans="40:40" ht="15.75" customHeight="1">
      <c r="AN2003" s="458"/>
    </row>
    <row r="2004" spans="40:40" ht="15.75" customHeight="1">
      <c r="AN2004" s="458"/>
    </row>
    <row r="2005" spans="40:40" ht="15.75" customHeight="1">
      <c r="AN2005" s="458"/>
    </row>
    <row r="2006" spans="40:40" ht="15.75" customHeight="1">
      <c r="AN2006" s="458"/>
    </row>
    <row r="2007" spans="40:40" ht="15.75" customHeight="1">
      <c r="AN2007" s="458"/>
    </row>
    <row r="2008" spans="40:40" ht="15.75" customHeight="1">
      <c r="AN2008" s="458"/>
    </row>
    <row r="2009" spans="40:40" ht="15.75" customHeight="1">
      <c r="AN2009" s="458"/>
    </row>
    <row r="2010" spans="40:40" ht="15.75" customHeight="1">
      <c r="AN2010" s="458"/>
    </row>
    <row r="2011" spans="40:40" ht="15.75" customHeight="1">
      <c r="AN2011" s="458"/>
    </row>
    <row r="2012" spans="40:40" ht="15.75" customHeight="1">
      <c r="AN2012" s="458"/>
    </row>
    <row r="2013" spans="40:40" ht="15.75" customHeight="1">
      <c r="AN2013" s="458"/>
    </row>
    <row r="2014" spans="40:40" ht="15.75" customHeight="1">
      <c r="AN2014" s="458"/>
    </row>
    <row r="2015" spans="40:40" ht="15.75" customHeight="1">
      <c r="AN2015" s="458"/>
    </row>
    <row r="2016" spans="40:40" ht="15.75" customHeight="1">
      <c r="AN2016" s="458"/>
    </row>
    <row r="2017" spans="40:40" ht="15.75" customHeight="1">
      <c r="AN2017" s="458"/>
    </row>
    <row r="2018" spans="40:40" ht="15.75" customHeight="1">
      <c r="AN2018" s="458"/>
    </row>
    <row r="2019" spans="40:40" ht="15.75" customHeight="1">
      <c r="AN2019" s="458"/>
    </row>
    <row r="2020" spans="40:40" ht="15.75" customHeight="1">
      <c r="AN2020" s="458"/>
    </row>
    <row r="2021" spans="40:40" ht="15.75" customHeight="1">
      <c r="AN2021" s="458"/>
    </row>
    <row r="2022" spans="40:40" ht="15.75" customHeight="1">
      <c r="AN2022" s="458"/>
    </row>
    <row r="2023" spans="40:40" ht="15.75" customHeight="1">
      <c r="AN2023" s="458"/>
    </row>
    <row r="2024" spans="40:40" ht="15.75" customHeight="1">
      <c r="AN2024" s="458"/>
    </row>
    <row r="2025" spans="40:40" ht="15.75" customHeight="1">
      <c r="AN2025" s="458"/>
    </row>
    <row r="2026" spans="40:40" ht="15.75" customHeight="1">
      <c r="AN2026" s="458"/>
    </row>
    <row r="2027" spans="40:40" ht="15.75" customHeight="1">
      <c r="AN2027" s="458"/>
    </row>
    <row r="2028" spans="40:40" ht="15.75" customHeight="1">
      <c r="AN2028" s="458"/>
    </row>
    <row r="2029" spans="40:40" ht="15.75" customHeight="1">
      <c r="AN2029" s="458"/>
    </row>
    <row r="2030" spans="40:40" ht="15.75" customHeight="1">
      <c r="AN2030" s="458"/>
    </row>
    <row r="2031" spans="40:40" ht="15.75" customHeight="1">
      <c r="AN2031" s="458"/>
    </row>
    <row r="2032" spans="40:40" ht="15.75" customHeight="1">
      <c r="AN2032" s="458"/>
    </row>
    <row r="2033" spans="40:40" ht="15.75" customHeight="1">
      <c r="AN2033" s="458"/>
    </row>
    <row r="2034" spans="40:40" ht="15.75" customHeight="1">
      <c r="AN2034" s="458"/>
    </row>
    <row r="2035" spans="40:40" ht="15.75" customHeight="1">
      <c r="AN2035" s="458"/>
    </row>
    <row r="2036" spans="40:40" ht="15.75" customHeight="1">
      <c r="AN2036" s="458"/>
    </row>
    <row r="2037" spans="40:40" ht="15.75" customHeight="1">
      <c r="AN2037" s="458"/>
    </row>
    <row r="2038" spans="40:40" ht="15.75" customHeight="1">
      <c r="AN2038" s="458"/>
    </row>
    <row r="2039" spans="40:40" ht="15.75" customHeight="1">
      <c r="AN2039" s="458"/>
    </row>
    <row r="2040" spans="40:40" ht="15.75" customHeight="1">
      <c r="AN2040" s="458"/>
    </row>
    <row r="2041" spans="40:40" ht="15.75" customHeight="1">
      <c r="AN2041" s="458"/>
    </row>
    <row r="2042" spans="40:40" ht="15.75" customHeight="1">
      <c r="AN2042" s="458"/>
    </row>
    <row r="2043" spans="40:40" ht="15.75" customHeight="1">
      <c r="AN2043" s="458"/>
    </row>
    <row r="2044" spans="40:40" ht="15.75" customHeight="1">
      <c r="AN2044" s="458"/>
    </row>
    <row r="2045" spans="40:40" ht="15.75" customHeight="1">
      <c r="AN2045" s="458"/>
    </row>
    <row r="2046" spans="40:40" ht="15.75" customHeight="1">
      <c r="AN2046" s="458"/>
    </row>
    <row r="2047" spans="40:40" ht="15.75" customHeight="1">
      <c r="AN2047" s="458"/>
    </row>
    <row r="2048" spans="40:40" ht="15.75" customHeight="1">
      <c r="AN2048" s="458"/>
    </row>
    <row r="2049" spans="40:40" ht="15.75" customHeight="1">
      <c r="AN2049" s="458"/>
    </row>
    <row r="2050" spans="40:40" ht="15.75" customHeight="1">
      <c r="AN2050" s="458"/>
    </row>
    <row r="2051" spans="40:40" ht="15.75" customHeight="1">
      <c r="AN2051" s="458"/>
    </row>
    <row r="2052" spans="40:40" ht="15.75" customHeight="1">
      <c r="AN2052" s="458"/>
    </row>
    <row r="2053" spans="40:40" ht="15.75" customHeight="1">
      <c r="AN2053" s="458"/>
    </row>
    <row r="2054" spans="40:40" ht="15.75" customHeight="1">
      <c r="AN2054" s="458"/>
    </row>
    <row r="2055" spans="40:40" ht="15.75" customHeight="1">
      <c r="AN2055" s="458"/>
    </row>
    <row r="2056" spans="40:40" ht="15.75" customHeight="1">
      <c r="AN2056" s="458"/>
    </row>
    <row r="2057" spans="40:40" ht="15.75" customHeight="1">
      <c r="AN2057" s="458"/>
    </row>
    <row r="2058" spans="40:40" ht="15.75" customHeight="1">
      <c r="AN2058" s="458"/>
    </row>
    <row r="2059" spans="40:40" ht="15.75" customHeight="1">
      <c r="AN2059" s="458"/>
    </row>
    <row r="2060" spans="40:40" ht="15.75" customHeight="1">
      <c r="AN2060" s="458"/>
    </row>
    <row r="2061" spans="40:40" ht="15.75" customHeight="1">
      <c r="AN2061" s="458"/>
    </row>
    <row r="2062" spans="40:40" ht="15.75" customHeight="1">
      <c r="AN2062" s="458"/>
    </row>
    <row r="2063" spans="40:40" ht="15.75" customHeight="1">
      <c r="AN2063" s="458"/>
    </row>
    <row r="2064" spans="40:40" ht="15.75" customHeight="1">
      <c r="AN2064" s="458"/>
    </row>
    <row r="2065" spans="40:40" ht="15.75" customHeight="1">
      <c r="AN2065" s="458"/>
    </row>
    <row r="2066" spans="40:40" ht="15.75" customHeight="1">
      <c r="AN2066" s="458"/>
    </row>
    <row r="2067" spans="40:40" ht="15.75" customHeight="1">
      <c r="AN2067" s="458"/>
    </row>
    <row r="2068" spans="40:40" ht="15.75" customHeight="1">
      <c r="AN2068" s="458"/>
    </row>
    <row r="2069" spans="40:40" ht="15.75" customHeight="1">
      <c r="AN2069" s="458"/>
    </row>
    <row r="2070" spans="40:40" ht="15.75" customHeight="1">
      <c r="AN2070" s="458"/>
    </row>
    <row r="2071" spans="40:40" ht="15.75" customHeight="1">
      <c r="AN2071" s="458"/>
    </row>
    <row r="2072" spans="40:40" ht="15.75" customHeight="1">
      <c r="AN2072" s="458"/>
    </row>
    <row r="2073" spans="40:40" ht="15.75" customHeight="1">
      <c r="AN2073" s="458"/>
    </row>
    <row r="2074" spans="40:40" ht="15.75" customHeight="1">
      <c r="AN2074" s="458"/>
    </row>
    <row r="2075" spans="40:40" ht="15.75" customHeight="1">
      <c r="AN2075" s="458"/>
    </row>
    <row r="2076" spans="40:40" ht="15.75" customHeight="1">
      <c r="AN2076" s="458"/>
    </row>
    <row r="2077" spans="40:40" ht="15.75" customHeight="1">
      <c r="AN2077" s="458"/>
    </row>
    <row r="2078" spans="40:40" ht="15.75" customHeight="1">
      <c r="AN2078" s="458"/>
    </row>
    <row r="2079" spans="40:40" ht="15.75" customHeight="1">
      <c r="AN2079" s="458"/>
    </row>
    <row r="2080" spans="40:40" ht="15.75" customHeight="1">
      <c r="AN2080" s="458"/>
    </row>
    <row r="2081" spans="40:40" ht="15.75" customHeight="1">
      <c r="AN2081" s="458"/>
    </row>
    <row r="2082" spans="40:40" ht="15.75" customHeight="1">
      <c r="AN2082" s="458"/>
    </row>
    <row r="2083" spans="40:40" ht="15.75" customHeight="1">
      <c r="AN2083" s="458"/>
    </row>
    <row r="2084" spans="40:40" ht="15.75" customHeight="1">
      <c r="AN2084" s="458"/>
    </row>
    <row r="2085" spans="40:40" ht="15.75" customHeight="1">
      <c r="AN2085" s="458"/>
    </row>
    <row r="2086" spans="40:40" ht="15.75" customHeight="1">
      <c r="AN2086" s="458"/>
    </row>
    <row r="2087" spans="40:40" ht="15.75" customHeight="1">
      <c r="AN2087" s="458"/>
    </row>
    <row r="2088" spans="40:40" ht="15.75" customHeight="1">
      <c r="AN2088" s="458"/>
    </row>
    <row r="2089" spans="40:40" ht="15.75" customHeight="1">
      <c r="AN2089" s="458"/>
    </row>
    <row r="2090" spans="40:40" ht="15.75" customHeight="1">
      <c r="AN2090" s="458"/>
    </row>
    <row r="2091" spans="40:40" ht="15.75" customHeight="1">
      <c r="AN2091" s="458"/>
    </row>
    <row r="2092" spans="40:40" ht="15.75" customHeight="1">
      <c r="AN2092" s="458"/>
    </row>
    <row r="2093" spans="40:40" ht="15.75" customHeight="1">
      <c r="AN2093" s="458"/>
    </row>
    <row r="2094" spans="40:40" ht="15.75" customHeight="1">
      <c r="AN2094" s="458"/>
    </row>
    <row r="2095" spans="40:40" ht="15.75" customHeight="1">
      <c r="AN2095" s="458"/>
    </row>
    <row r="2096" spans="40:40" ht="15.75" customHeight="1">
      <c r="AN2096" s="458"/>
    </row>
    <row r="2097" spans="40:40" ht="15.75" customHeight="1">
      <c r="AN2097" s="458"/>
    </row>
    <row r="2098" spans="40:40" ht="15.75" customHeight="1">
      <c r="AN2098" s="458"/>
    </row>
    <row r="2099" spans="40:40" ht="15.75" customHeight="1">
      <c r="AN2099" s="458"/>
    </row>
    <row r="2100" spans="40:40" ht="15.75" customHeight="1">
      <c r="AN2100" s="458"/>
    </row>
    <row r="2101" spans="40:40" ht="15.75" customHeight="1">
      <c r="AN2101" s="458"/>
    </row>
    <row r="2102" spans="40:40" ht="15.75" customHeight="1">
      <c r="AN2102" s="458"/>
    </row>
    <row r="2103" spans="40:40" ht="15.75" customHeight="1">
      <c r="AN2103" s="458"/>
    </row>
    <row r="2104" spans="40:40" ht="15.75" customHeight="1">
      <c r="AN2104" s="458"/>
    </row>
    <row r="2105" spans="40:40" ht="15.75" customHeight="1">
      <c r="AN2105" s="458"/>
    </row>
    <row r="2106" spans="40:40" ht="15.75" customHeight="1">
      <c r="AN2106" s="458"/>
    </row>
    <row r="2107" spans="40:40" ht="15.75" customHeight="1">
      <c r="AN2107" s="458"/>
    </row>
    <row r="2108" spans="40:40" ht="15.75" customHeight="1">
      <c r="AN2108" s="458"/>
    </row>
    <row r="2109" spans="40:40" ht="15.75" customHeight="1">
      <c r="AN2109" s="458"/>
    </row>
    <row r="2110" spans="40:40" ht="15.75" customHeight="1">
      <c r="AN2110" s="458"/>
    </row>
    <row r="2111" spans="40:40" ht="15.75" customHeight="1">
      <c r="AN2111" s="458"/>
    </row>
    <row r="2112" spans="40:40" ht="15.75" customHeight="1">
      <c r="AN2112" s="458"/>
    </row>
    <row r="2113" spans="40:40" ht="15.75" customHeight="1">
      <c r="AN2113" s="458"/>
    </row>
    <row r="2114" spans="40:40" ht="15.75" customHeight="1">
      <c r="AN2114" s="458"/>
    </row>
    <row r="2115" spans="40:40" ht="15.75" customHeight="1">
      <c r="AN2115" s="458"/>
    </row>
    <row r="2116" spans="40:40" ht="15.75" customHeight="1">
      <c r="AN2116" s="458"/>
    </row>
    <row r="2117" spans="40:40" ht="15.75" customHeight="1">
      <c r="AN2117" s="458"/>
    </row>
    <row r="2118" spans="40:40" ht="15.75" customHeight="1">
      <c r="AN2118" s="458"/>
    </row>
    <row r="2119" spans="40:40" ht="15.75" customHeight="1">
      <c r="AN2119" s="458"/>
    </row>
    <row r="2120" spans="40:40" ht="15.75" customHeight="1">
      <c r="AN2120" s="458"/>
    </row>
    <row r="2121" spans="40:40" ht="15.75" customHeight="1">
      <c r="AN2121" s="458"/>
    </row>
    <row r="2122" spans="40:40" ht="15.75" customHeight="1">
      <c r="AN2122" s="458"/>
    </row>
    <row r="2123" spans="40:40" ht="15.75" customHeight="1">
      <c r="AN2123" s="458"/>
    </row>
    <row r="2124" spans="40:40" ht="15.75" customHeight="1">
      <c r="AN2124" s="458"/>
    </row>
    <row r="2125" spans="40:40" ht="15.75" customHeight="1">
      <c r="AN2125" s="458"/>
    </row>
    <row r="2126" spans="40:40" ht="15.75" customHeight="1">
      <c r="AN2126" s="458"/>
    </row>
    <row r="2127" spans="40:40" ht="15.75" customHeight="1">
      <c r="AN2127" s="458"/>
    </row>
    <row r="2128" spans="40:40" ht="15.75" customHeight="1">
      <c r="AN2128" s="458"/>
    </row>
    <row r="2129" spans="40:40" ht="15.75" customHeight="1">
      <c r="AN2129" s="458"/>
    </row>
    <row r="2130" spans="40:40" ht="15.75" customHeight="1">
      <c r="AN2130" s="458"/>
    </row>
    <row r="2131" spans="40:40" ht="15.75" customHeight="1">
      <c r="AN2131" s="458"/>
    </row>
    <row r="2132" spans="40:40" ht="15.75" customHeight="1">
      <c r="AN2132" s="458"/>
    </row>
    <row r="2133" spans="40:40" ht="15.75" customHeight="1">
      <c r="AN2133" s="458"/>
    </row>
    <row r="2134" spans="40:40" ht="15.75" customHeight="1">
      <c r="AN2134" s="458"/>
    </row>
    <row r="2135" spans="40:40" ht="15.75" customHeight="1">
      <c r="AN2135" s="458"/>
    </row>
    <row r="2136" spans="40:40" ht="15.75" customHeight="1">
      <c r="AN2136" s="458"/>
    </row>
    <row r="2137" spans="40:40" ht="15.75" customHeight="1">
      <c r="AN2137" s="458"/>
    </row>
    <row r="2138" spans="40:40" ht="15.75" customHeight="1">
      <c r="AN2138" s="458"/>
    </row>
    <row r="2139" spans="40:40" ht="15.75" customHeight="1">
      <c r="AN2139" s="458"/>
    </row>
    <row r="2140" spans="40:40" ht="15.75" customHeight="1">
      <c r="AN2140" s="458"/>
    </row>
    <row r="2141" spans="40:40" ht="15.75" customHeight="1">
      <c r="AN2141" s="458"/>
    </row>
    <row r="2142" spans="40:40" ht="15.75" customHeight="1">
      <c r="AN2142" s="458"/>
    </row>
    <row r="2143" spans="40:40" ht="15.75" customHeight="1">
      <c r="AN2143" s="458"/>
    </row>
    <row r="2144" spans="40:40" ht="15.75" customHeight="1">
      <c r="AN2144" s="458"/>
    </row>
    <row r="2145" spans="40:40" ht="15.75" customHeight="1">
      <c r="AN2145" s="458"/>
    </row>
    <row r="2146" spans="40:40" ht="15.75" customHeight="1">
      <c r="AN2146" s="458"/>
    </row>
    <row r="2147" spans="40:40" ht="15.75" customHeight="1">
      <c r="AN2147" s="458"/>
    </row>
    <row r="2148" spans="40:40" ht="15.75" customHeight="1">
      <c r="AN2148" s="458"/>
    </row>
    <row r="2149" spans="40:40" ht="15.75" customHeight="1">
      <c r="AN2149" s="458"/>
    </row>
    <row r="2150" spans="40:40" ht="15.75" customHeight="1">
      <c r="AN2150" s="458"/>
    </row>
    <row r="2151" spans="40:40" ht="15.75" customHeight="1">
      <c r="AN2151" s="458"/>
    </row>
    <row r="2152" spans="40:40" ht="15.75" customHeight="1">
      <c r="AN2152" s="458"/>
    </row>
    <row r="2153" spans="40:40" ht="15.75" customHeight="1">
      <c r="AN2153" s="458"/>
    </row>
    <row r="2154" spans="40:40" ht="15.75" customHeight="1">
      <c r="AN2154" s="458"/>
    </row>
    <row r="2155" spans="40:40" ht="15.75" customHeight="1">
      <c r="AN2155" s="458"/>
    </row>
    <row r="2156" spans="40:40" ht="15.75" customHeight="1">
      <c r="AN2156" s="458"/>
    </row>
    <row r="2157" spans="40:40" ht="15.75" customHeight="1">
      <c r="AN2157" s="458"/>
    </row>
    <row r="2158" spans="40:40" ht="15.75" customHeight="1">
      <c r="AN2158" s="458"/>
    </row>
    <row r="2159" spans="40:40" ht="15.75" customHeight="1">
      <c r="AN2159" s="458"/>
    </row>
    <row r="2160" spans="40:40" ht="15.75" customHeight="1">
      <c r="AN2160" s="458"/>
    </row>
    <row r="2161" spans="40:40" ht="15.75" customHeight="1">
      <c r="AN2161" s="458"/>
    </row>
    <row r="2162" spans="40:40" ht="15.75" customHeight="1">
      <c r="AN2162" s="458"/>
    </row>
    <row r="2163" spans="40:40" ht="15.75" customHeight="1">
      <c r="AN2163" s="458"/>
    </row>
    <row r="2164" spans="40:40" ht="15.75" customHeight="1">
      <c r="AN2164" s="458"/>
    </row>
    <row r="2165" spans="40:40" ht="15.75" customHeight="1">
      <c r="AN2165" s="458"/>
    </row>
  </sheetData>
  <autoFilter ref="A2:BG46" xr:uid="{00000000-0009-0000-0000-00001A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autoFilter>
  <mergeCells count="10">
    <mergeCell ref="BD1:BG1"/>
    <mergeCell ref="AN2:AP2"/>
    <mergeCell ref="AQ2:AS2"/>
    <mergeCell ref="AT2:AV2"/>
    <mergeCell ref="A1:BB1"/>
    <mergeCell ref="N2:P2"/>
    <mergeCell ref="T2:V2"/>
    <mergeCell ref="W2:Y2"/>
    <mergeCell ref="Z2:AB2"/>
    <mergeCell ref="AC2:AE2"/>
  </mergeCells>
  <conditionalFormatting sqref="BC42:BG46 B5:R5 T5:BA5 B6:BA46">
    <cfRule type="expression" dxfId="484" priority="28">
      <formula>$M5="NON DEFINED"</formula>
    </cfRule>
    <cfRule type="expression" dxfId="483" priority="29">
      <formula>$AY5="N.D."</formula>
    </cfRule>
  </conditionalFormatting>
  <conditionalFormatting sqref="BD12:BE12 BD10 BD6:BE6 BD14:BE14 BE20 BD7:BD8 BD15 BE22 BE24 BE28 BE34:BG34 BG20 BG12 BG16 BG22 BG24 BG26 BE30 BE32 BE26 BG14 BD36:BG36 BD18:BG18 BG6">
    <cfRule type="containsBlanks" dxfId="482" priority="26">
      <formula>LEN(TRIM(BD6))=0</formula>
    </cfRule>
  </conditionalFormatting>
  <conditionalFormatting sqref="BE8">
    <cfRule type="containsBlanks" dxfId="481" priority="25">
      <formula>LEN(TRIM(BE8))=0</formula>
    </cfRule>
  </conditionalFormatting>
  <conditionalFormatting sqref="BE10">
    <cfRule type="containsBlanks" dxfId="480" priority="24">
      <formula>LEN(TRIM(BE10))=0</formula>
    </cfRule>
  </conditionalFormatting>
  <conditionalFormatting sqref="BD34">
    <cfRule type="containsBlanks" dxfId="479" priority="23">
      <formula>LEN(TRIM(BD34))=0</formula>
    </cfRule>
  </conditionalFormatting>
  <conditionalFormatting sqref="BC5:BC41 BC47:BC1999">
    <cfRule type="containsText" dxfId="478" priority="21" operator="containsText" text="a">
      <formula>NOT(ISERROR(SEARCH("a",BC5)))</formula>
    </cfRule>
    <cfRule type="containsText" dxfId="477" priority="22" operator="containsText" text="R">
      <formula>NOT(ISERROR(SEARCH("R",BC5)))</formula>
    </cfRule>
  </conditionalFormatting>
  <conditionalFormatting sqref="BA5:BA46">
    <cfRule type="expression" dxfId="476" priority="20">
      <formula>$BC5="R"</formula>
    </cfRule>
  </conditionalFormatting>
  <conditionalFormatting sqref="BA4">
    <cfRule type="expression" dxfId="475" priority="19">
      <formula>$BC4="R"</formula>
    </cfRule>
  </conditionalFormatting>
  <conditionalFormatting sqref="B4:BA4 BC4:BG4">
    <cfRule type="expression" dxfId="474" priority="17">
      <formula>$M4="NON DEFINED"</formula>
    </cfRule>
    <cfRule type="expression" dxfId="473" priority="18">
      <formula>$AY4="N.D."</formula>
    </cfRule>
  </conditionalFormatting>
  <conditionalFormatting sqref="A4:BG4">
    <cfRule type="cellIs" dxfId="472" priority="16" operator="equal">
      <formula>0</formula>
    </cfRule>
  </conditionalFormatting>
  <conditionalFormatting sqref="A42:BG46">
    <cfRule type="cellIs" dxfId="471" priority="8" operator="equal">
      <formula>0</formula>
    </cfRule>
  </conditionalFormatting>
  <conditionalFormatting sqref="AN4:AN46">
    <cfRule type="cellIs" dxfId="470" priority="7" operator="notEqual">
      <formula>5.5</formula>
    </cfRule>
  </conditionalFormatting>
  <conditionalFormatting sqref="S5">
    <cfRule type="expression" dxfId="469" priority="5">
      <formula>$M5="NON DEFINED"</formula>
    </cfRule>
    <cfRule type="expression" dxfId="468" priority="6">
      <formula>$AY5="N.D."</formula>
    </cfRule>
  </conditionalFormatting>
  <conditionalFormatting sqref="S5">
    <cfRule type="cellIs" dxfId="467" priority="4" operator="equal">
      <formula>0</formula>
    </cfRule>
  </conditionalFormatting>
  <conditionalFormatting sqref="BG8 BG10">
    <cfRule type="containsBlanks" dxfId="466" priority="3">
      <formula>LEN(TRIM(BG8))=0</formula>
    </cfRule>
  </conditionalFormatting>
  <conditionalFormatting sqref="BG28 BG30 BG32">
    <cfRule type="containsBlanks" dxfId="465" priority="2">
      <formula>LEN(TRIM(BG28))=0</formula>
    </cfRule>
  </conditionalFormatting>
  <conditionalFormatting sqref="BG38 BG40">
    <cfRule type="containsBlanks" dxfId="464" priority="1">
      <formula>LEN(TRIM(BG38))=0</formula>
    </cfRule>
  </conditionalFormatting>
  <printOptions horizontalCentered="1" gridLines="1"/>
  <pageMargins left="0.39370078740157483" right="0.39370078740157483" top="0.78740157480314965" bottom="0.78740157480314965" header="0.31496062992125984" footer="0.31496062992125984"/>
  <pageSetup paperSize="8" scale="79" fitToHeight="0" orientation="landscape" r:id="rId1"/>
  <headerFooter alignWithMargins="0">
    <oddHeader>&amp;L&amp;G&amp;C
LAYOUT AND EQUIPMENT
EP06 TRACK 5 TSA
KP92+700 - 93+478&amp;R&amp;G</oddHeader>
    <oddFooter>&amp;L&amp;G
&amp;F&amp;C&amp;D&amp;RPag &amp;P of &amp;N</oddFooter>
  </headerFooter>
  <legacyDrawingHF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8">
    <tabColor theme="4"/>
    <pageSetUpPr fitToPage="1"/>
  </sheetPr>
  <dimension ref="A1:BG2165"/>
  <sheetViews>
    <sheetView view="pageBreakPreview" zoomScale="80" zoomScaleNormal="85" zoomScaleSheetLayoutView="80" workbookViewId="0">
      <pane xSplit="2" ySplit="4" topLeftCell="C5" activePane="bottomRight" state="frozen"/>
      <selection activeCell="G124" sqref="G124"/>
      <selection pane="topRight" activeCell="G124" sqref="G124"/>
      <selection pane="bottomLeft" activeCell="G124" sqref="G124"/>
      <selection pane="bottomRight" activeCell="G124" sqref="G124"/>
    </sheetView>
  </sheetViews>
  <sheetFormatPr baseColWidth="10" defaultColWidth="11.453125" defaultRowHeight="15.75" customHeight="1"/>
  <cols>
    <col min="1" max="1" width="20.6328125" style="178" customWidth="1"/>
    <col min="2" max="2" width="12.6328125" style="178" customWidth="1"/>
    <col min="3" max="3" width="12.6328125" style="184" customWidth="1"/>
    <col min="4" max="5" width="12.6328125" style="178" hidden="1" customWidth="1"/>
    <col min="6" max="6" width="12.6328125" style="178" customWidth="1"/>
    <col min="7" max="7" width="12.6328125" style="454" customWidth="1"/>
    <col min="8" max="8" width="18.6328125" style="178" customWidth="1"/>
    <col min="9" max="9" width="12.6328125" style="178" customWidth="1"/>
    <col min="10" max="10" width="12.6328125" style="184" customWidth="1"/>
    <col min="11" max="11" width="12.6328125" style="178" customWidth="1"/>
    <col min="12" max="13" width="14.6328125" style="178" customWidth="1"/>
    <col min="14" max="16" width="8.6328125" style="178" hidden="1" customWidth="1"/>
    <col min="17" max="19" width="12.6328125" style="178" hidden="1" customWidth="1"/>
    <col min="20" max="28" width="8.6328125" style="178" hidden="1" customWidth="1"/>
    <col min="29" max="31" width="10.6328125" style="178" hidden="1" customWidth="1"/>
    <col min="32" max="32" width="13.54296875" style="178" hidden="1" customWidth="1"/>
    <col min="33" max="33" width="12.6328125" style="184" hidden="1" customWidth="1"/>
    <col min="34" max="36" width="12.6328125" style="178" hidden="1" customWidth="1"/>
    <col min="37" max="39" width="12.6328125" style="178" customWidth="1"/>
    <col min="40" max="42" width="8.6328125" style="169" hidden="1" customWidth="1"/>
    <col min="43" max="46" width="8.6328125" style="458" hidden="1" customWidth="1"/>
    <col min="47" max="48" width="8.6328125" style="169" hidden="1" customWidth="1"/>
    <col min="49" max="50" width="12.6328125" style="169" customWidth="1"/>
    <col min="51" max="52" width="12.6328125" style="458" customWidth="1"/>
    <col min="53" max="53" width="12.6328125" style="169" customWidth="1"/>
    <col min="54" max="54" width="21.6328125" style="178" hidden="1" customWidth="1"/>
    <col min="55" max="55" width="18" style="178" customWidth="1"/>
    <col min="56" max="59" width="14.54296875" style="1323" customWidth="1"/>
    <col min="60" max="60" width="11.453125" style="178" customWidth="1"/>
    <col min="61" max="16384" width="11.453125" style="178"/>
  </cols>
  <sheetData>
    <row r="1" spans="1:59" ht="35.25" customHeight="1">
      <c r="A1" s="1615" t="s">
        <v>2431</v>
      </c>
      <c r="B1" s="1615"/>
      <c r="C1" s="1615"/>
      <c r="D1" s="1615"/>
      <c r="E1" s="1615"/>
      <c r="F1" s="1615"/>
      <c r="G1" s="1615"/>
      <c r="H1" s="1615"/>
      <c r="I1" s="1615"/>
      <c r="J1" s="1615"/>
      <c r="K1" s="1615"/>
      <c r="L1" s="1615"/>
      <c r="M1" s="1615"/>
      <c r="N1" s="1615"/>
      <c r="O1" s="1615"/>
      <c r="P1" s="1615"/>
      <c r="Q1" s="1615"/>
      <c r="R1" s="1615"/>
      <c r="S1" s="1615"/>
      <c r="T1" s="1615"/>
      <c r="U1" s="1615"/>
      <c r="V1" s="1615"/>
      <c r="W1" s="1615"/>
      <c r="X1" s="1615"/>
      <c r="Y1" s="1615"/>
      <c r="Z1" s="1615"/>
      <c r="AA1" s="1615"/>
      <c r="AB1" s="1615"/>
      <c r="AC1" s="1615"/>
      <c r="AD1" s="1615"/>
      <c r="AE1" s="1615"/>
      <c r="AF1" s="1615"/>
      <c r="AG1" s="1615"/>
      <c r="AH1" s="1615"/>
      <c r="AI1" s="1615"/>
      <c r="AJ1" s="1615"/>
      <c r="AK1" s="1615"/>
      <c r="AL1" s="1615"/>
      <c r="AM1" s="1615"/>
      <c r="AN1" s="1615"/>
      <c r="AO1" s="1615"/>
      <c r="AP1" s="1615"/>
      <c r="AQ1" s="1615"/>
      <c r="AR1" s="1615"/>
      <c r="AS1" s="1615"/>
      <c r="AT1" s="1615"/>
      <c r="AU1" s="1615"/>
      <c r="AV1" s="1615"/>
      <c r="AW1" s="1615"/>
      <c r="AX1" s="1615"/>
      <c r="AY1" s="1615"/>
      <c r="AZ1" s="1615"/>
      <c r="BA1" s="1615"/>
      <c r="BB1" s="1615"/>
      <c r="BC1" s="693" t="s">
        <v>4947</v>
      </c>
      <c r="BD1" s="1599" t="s">
        <v>4916</v>
      </c>
      <c r="BE1" s="1599"/>
      <c r="BF1" s="1599"/>
      <c r="BG1" s="1599"/>
    </row>
    <row r="2" spans="1:59" s="699" customFormat="1" ht="42" customHeight="1">
      <c r="A2" s="1259" t="s">
        <v>4417</v>
      </c>
      <c r="B2" s="1259" t="s">
        <v>4418</v>
      </c>
      <c r="C2" s="954" t="s">
        <v>2315</v>
      </c>
      <c r="D2" s="1259" t="s">
        <v>4419</v>
      </c>
      <c r="E2" s="1259" t="s">
        <v>4855</v>
      </c>
      <c r="F2" s="1259" t="s">
        <v>4856</v>
      </c>
      <c r="G2" s="1260" t="s">
        <v>4857</v>
      </c>
      <c r="H2" s="1259" t="s">
        <v>455</v>
      </c>
      <c r="I2" s="1259" t="s">
        <v>454</v>
      </c>
      <c r="J2" s="1259" t="s">
        <v>4423</v>
      </c>
      <c r="K2" s="1259" t="s">
        <v>1362</v>
      </c>
      <c r="L2" s="1259" t="s">
        <v>456</v>
      </c>
      <c r="M2" s="1259" t="s">
        <v>453</v>
      </c>
      <c r="N2" s="1613" t="s">
        <v>457</v>
      </c>
      <c r="O2" s="1613"/>
      <c r="P2" s="1613"/>
      <c r="Q2" s="1259" t="s">
        <v>4858</v>
      </c>
      <c r="R2" s="1259" t="s">
        <v>4859</v>
      </c>
      <c r="S2" s="1259" t="s">
        <v>4860</v>
      </c>
      <c r="T2" s="1613" t="s">
        <v>4861</v>
      </c>
      <c r="U2" s="1613"/>
      <c r="V2" s="1613"/>
      <c r="W2" s="1613" t="s">
        <v>4862</v>
      </c>
      <c r="X2" s="1613"/>
      <c r="Y2" s="1613"/>
      <c r="Z2" s="1613" t="s">
        <v>4863</v>
      </c>
      <c r="AA2" s="1613"/>
      <c r="AB2" s="1613"/>
      <c r="AC2" s="1613" t="s">
        <v>628</v>
      </c>
      <c r="AD2" s="1613"/>
      <c r="AE2" s="1613"/>
      <c r="AF2" s="1259" t="s">
        <v>4872</v>
      </c>
      <c r="AG2" s="954" t="s">
        <v>4864</v>
      </c>
      <c r="AH2" s="1259" t="s">
        <v>4865</v>
      </c>
      <c r="AI2" s="1259" t="s">
        <v>4866</v>
      </c>
      <c r="AJ2" s="1259" t="s">
        <v>629</v>
      </c>
      <c r="AK2" s="1259" t="s">
        <v>458</v>
      </c>
      <c r="AL2" s="1259" t="s">
        <v>459</v>
      </c>
      <c r="AM2" s="1259" t="s">
        <v>631</v>
      </c>
      <c r="AN2" s="1613" t="s">
        <v>4867</v>
      </c>
      <c r="AO2" s="1613"/>
      <c r="AP2" s="1613"/>
      <c r="AQ2" s="1614" t="s">
        <v>460</v>
      </c>
      <c r="AR2" s="1614"/>
      <c r="AS2" s="1614"/>
      <c r="AT2" s="1613" t="s">
        <v>630</v>
      </c>
      <c r="AU2" s="1613"/>
      <c r="AV2" s="1613"/>
      <c r="AW2" s="1259" t="s">
        <v>4868</v>
      </c>
      <c r="AX2" s="1259" t="s">
        <v>4904</v>
      </c>
      <c r="AY2" s="1260" t="s">
        <v>4869</v>
      </c>
      <c r="AZ2" s="1260" t="s">
        <v>4870</v>
      </c>
      <c r="BA2" s="1259" t="s">
        <v>1670</v>
      </c>
      <c r="BB2" s="1259" t="s">
        <v>4871</v>
      </c>
      <c r="BC2" s="693" t="s">
        <v>4948</v>
      </c>
      <c r="BD2" s="1320" t="s">
        <v>453</v>
      </c>
      <c r="BE2" s="1320" t="s">
        <v>4922</v>
      </c>
      <c r="BF2" s="1320" t="s">
        <v>4915</v>
      </c>
      <c r="BG2" s="1320" t="s">
        <v>457</v>
      </c>
    </row>
    <row r="3" spans="1:59" ht="15.75" customHeight="1">
      <c r="A3" s="1239"/>
      <c r="B3" s="1239"/>
      <c r="C3" s="171"/>
      <c r="D3" s="1239"/>
      <c r="E3" s="1239"/>
      <c r="F3" s="172"/>
      <c r="G3" s="455"/>
      <c r="H3" s="1239"/>
      <c r="I3" s="1239"/>
      <c r="J3" s="171"/>
      <c r="K3" s="1239"/>
      <c r="L3" s="1239"/>
      <c r="M3" s="1239"/>
      <c r="N3" s="694" t="s">
        <v>123</v>
      </c>
      <c r="O3" s="694" t="s">
        <v>124</v>
      </c>
      <c r="P3" s="694" t="s">
        <v>125</v>
      </c>
      <c r="Q3" s="1239"/>
      <c r="R3" s="1239"/>
      <c r="S3" s="1239"/>
      <c r="T3" s="695" t="s">
        <v>126</v>
      </c>
      <c r="U3" s="695" t="s">
        <v>127</v>
      </c>
      <c r="V3" s="695" t="s">
        <v>128</v>
      </c>
      <c r="W3" s="695" t="s">
        <v>129</v>
      </c>
      <c r="X3" s="695" t="s">
        <v>130</v>
      </c>
      <c r="Y3" s="695" t="s">
        <v>131</v>
      </c>
      <c r="Z3" s="695" t="s">
        <v>132</v>
      </c>
      <c r="AA3" s="695" t="s">
        <v>133</v>
      </c>
      <c r="AB3" s="695" t="s">
        <v>134</v>
      </c>
      <c r="AC3" s="695" t="s">
        <v>135</v>
      </c>
      <c r="AD3" s="695" t="s">
        <v>136</v>
      </c>
      <c r="AE3" s="695" t="s">
        <v>137</v>
      </c>
      <c r="AF3" s="1239"/>
      <c r="AG3" s="171"/>
      <c r="AH3" s="1239"/>
      <c r="AI3" s="1239"/>
      <c r="AJ3" s="1239"/>
      <c r="AK3" s="1239"/>
      <c r="AL3" s="1239"/>
      <c r="AM3" s="1239"/>
      <c r="AN3" s="695" t="s">
        <v>129</v>
      </c>
      <c r="AO3" s="695" t="s">
        <v>130</v>
      </c>
      <c r="AP3" s="695" t="s">
        <v>131</v>
      </c>
      <c r="AQ3" s="696" t="s">
        <v>613</v>
      </c>
      <c r="AR3" s="696" t="s">
        <v>614</v>
      </c>
      <c r="AS3" s="696" t="s">
        <v>615</v>
      </c>
      <c r="AT3" s="696" t="s">
        <v>616</v>
      </c>
      <c r="AU3" s="695" t="s">
        <v>617</v>
      </c>
      <c r="AV3" s="695" t="s">
        <v>618</v>
      </c>
      <c r="AW3" s="1239"/>
      <c r="AX3" s="1239"/>
      <c r="AY3" s="455"/>
      <c r="AZ3" s="455"/>
      <c r="BA3" s="1239"/>
      <c r="BB3" s="1239"/>
      <c r="BD3" s="1329"/>
      <c r="BE3" s="1329"/>
      <c r="BF3" s="1329"/>
      <c r="BG3" s="1329"/>
    </row>
    <row r="4" spans="1:59" ht="15.75" customHeight="1">
      <c r="A4" s="501"/>
      <c r="B4" s="716"/>
      <c r="C4" s="451"/>
      <c r="D4" s="453"/>
      <c r="E4" s="452"/>
      <c r="F4" s="453"/>
      <c r="G4" s="500">
        <f>'HR Track 4 HER-TSA'!G341</f>
        <v>46.8</v>
      </c>
      <c r="H4" s="453"/>
      <c r="I4" s="501"/>
      <c r="J4" s="583">
        <f>'HR Track 4 HER-TSA'!J341</f>
        <v>92607.549999999988</v>
      </c>
      <c r="K4" s="452" t="str">
        <f>'HR Track 4 HER-TSA'!K341</f>
        <v>AnMC-R</v>
      </c>
      <c r="L4" s="452"/>
      <c r="M4" s="452"/>
      <c r="N4" s="501"/>
      <c r="O4" s="501"/>
      <c r="P4" s="501"/>
      <c r="Q4" s="452"/>
      <c r="R4" s="452"/>
      <c r="S4" s="500"/>
      <c r="T4" s="452"/>
      <c r="U4" s="452"/>
      <c r="V4" s="452"/>
      <c r="W4" s="452"/>
      <c r="X4" s="452"/>
      <c r="Y4" s="452"/>
      <c r="Z4" s="452"/>
      <c r="AA4" s="452"/>
      <c r="AB4" s="452"/>
      <c r="AC4" s="452"/>
      <c r="AD4" s="452"/>
      <c r="AE4" s="452"/>
      <c r="AF4" s="452"/>
      <c r="AG4" s="451"/>
      <c r="AH4" s="452"/>
      <c r="AI4" s="452"/>
      <c r="AJ4" s="452"/>
      <c r="AK4" s="452"/>
      <c r="AL4" s="452"/>
      <c r="AM4" s="452"/>
      <c r="AN4" s="500"/>
      <c r="AO4" s="452"/>
      <c r="AP4" s="452"/>
      <c r="AQ4" s="452">
        <f>'HR Track 4 HER-TSA'!AQ341</f>
        <v>-6.2538809025641073E-2</v>
      </c>
      <c r="AR4" s="452"/>
      <c r="AS4" s="452"/>
      <c r="AT4" s="452"/>
      <c r="AU4" s="452"/>
      <c r="AV4" s="452"/>
      <c r="AW4" s="452"/>
      <c r="AX4" s="452"/>
      <c r="AY4" s="500"/>
      <c r="AZ4" s="500"/>
      <c r="BA4" s="1333"/>
      <c r="BB4" s="452"/>
      <c r="BC4" s="1334"/>
      <c r="BD4" s="1335"/>
      <c r="BE4" s="1335"/>
      <c r="BF4" s="1335"/>
      <c r="BG4" s="1335"/>
    </row>
    <row r="5" spans="1:59" ht="15.75" customHeight="1">
      <c r="A5" s="501">
        <f>'HR Track 4 HER-TSA'!A342</f>
        <v>0</v>
      </c>
      <c r="B5" s="716" t="str">
        <f>'HR Track 4 HER-TSA'!B342</f>
        <v>92-4.19</v>
      </c>
      <c r="C5" s="451">
        <f>'HR Track 4 HER-TSA'!C342</f>
        <v>92615.049999999988</v>
      </c>
      <c r="D5" s="453">
        <f>'HR Track 4 HER-TSA'!D342</f>
        <v>0</v>
      </c>
      <c r="E5" s="452">
        <f>'HR Track 4 HER-TSA'!E342</f>
        <v>0</v>
      </c>
      <c r="F5" s="453">
        <f>'HR Track 4 HER-TSA'!F342</f>
        <v>0</v>
      </c>
      <c r="G5" s="500">
        <f>'HR Track 4 HER-TSA'!G342</f>
        <v>0</v>
      </c>
      <c r="H5" s="453" t="str">
        <f>'HR Track 4 HER-TSA'!H342</f>
        <v>A/S S/A</v>
      </c>
      <c r="I5" s="501" t="str">
        <f>'HR Track 4 HER-TSA'!I342</f>
        <v>CP/TX-P/1100</v>
      </c>
      <c r="J5" s="583">
        <f>'HR Track 4 HER-TSA'!J342</f>
        <v>0</v>
      </c>
      <c r="K5" s="452">
        <f>'HR Track 4 HER-TSA'!K342</f>
        <v>0</v>
      </c>
      <c r="L5" s="452" t="str">
        <f>'HR Track 4 HER-TSA'!L342</f>
        <v>HEB-320L</v>
      </c>
      <c r="M5" s="452" t="str">
        <f>'HR Track 4 HER-TSA'!M342</f>
        <v>C7R</v>
      </c>
      <c r="N5" s="501" t="str">
        <f>'HR Track 4 HER-TSA'!N342</f>
        <v>EMT-T</v>
      </c>
      <c r="O5" s="501" t="str">
        <f>'HR Track 4 HER-TSA'!O342</f>
        <v>EMT-E</v>
      </c>
      <c r="P5" s="501">
        <f>'HR Track 4 HER-TSA'!P342</f>
        <v>0</v>
      </c>
      <c r="Q5" s="452">
        <f>'HR Track 4 HER-TSA'!Q342</f>
        <v>0</v>
      </c>
      <c r="R5" s="452">
        <f>'HR Track 4 HER-TSA'!R342</f>
        <v>0</v>
      </c>
      <c r="S5" s="500">
        <f>'HR Track 4 HER-TSA'!S342</f>
        <v>0</v>
      </c>
      <c r="T5" s="452">
        <f>'HR Track 4 HER-TSA'!T342</f>
        <v>35</v>
      </c>
      <c r="U5" s="452">
        <f>'HR Track 4 HER-TSA'!U342</f>
        <v>-25</v>
      </c>
      <c r="V5" s="452">
        <f>'HR Track 4 HER-TSA'!V342</f>
        <v>0</v>
      </c>
      <c r="W5" s="452">
        <f>'HR Track 4 HER-TSA'!W342</f>
        <v>1</v>
      </c>
      <c r="X5" s="452">
        <f>'HR Track 4 HER-TSA'!X342</f>
        <v>1.9</v>
      </c>
      <c r="Y5" s="452">
        <f>'HR Track 4 HER-TSA'!Y342</f>
        <v>0</v>
      </c>
      <c r="Z5" s="452">
        <f>'HR Track 4 HER-TSA'!Z342</f>
        <v>0.45</v>
      </c>
      <c r="AA5" s="452">
        <f>'HR Track 4 HER-TSA'!AA342</f>
        <v>0</v>
      </c>
      <c r="AB5" s="452">
        <f>'HR Track 4 HER-TSA'!AB342</f>
        <v>0</v>
      </c>
      <c r="AC5" s="452" t="str">
        <f>'HR Track 4 HER-TSA'!AC342</f>
        <v>PHQ-1150</v>
      </c>
      <c r="AD5" s="452">
        <f>'HR Track 4 HER-TSA'!AD342</f>
        <v>0</v>
      </c>
      <c r="AE5" s="452">
        <f>'HR Track 4 HER-TSA'!AE342</f>
        <v>0</v>
      </c>
      <c r="AF5" s="452">
        <f>'HR Track 4 HER-TSA'!AF342</f>
        <v>400</v>
      </c>
      <c r="AG5" s="451">
        <f>'HR Track 4 HER-TSA'!AG342</f>
        <v>92614.94</v>
      </c>
      <c r="AH5" s="452">
        <f>'HR Track 4 HER-TSA'!AH342</f>
        <v>1700</v>
      </c>
      <c r="AI5" s="452">
        <f>'HR Track 4 HER-TSA'!AI342</f>
        <v>-4730</v>
      </c>
      <c r="AJ5" s="452">
        <f>'HR Track 4 HER-TSA'!AJ342</f>
        <v>0</v>
      </c>
      <c r="AK5" s="452">
        <f>'HR Track 4 HER-TSA'!AK342</f>
        <v>0</v>
      </c>
      <c r="AL5" s="452" t="str">
        <f>'HR Track 4 HER-TSA'!AL342</f>
        <v>PR1D</v>
      </c>
      <c r="AM5" s="452" t="str">
        <f>'HR Track 4 HER-TSA'!AM342</f>
        <v>RW1</v>
      </c>
      <c r="AN5" s="500">
        <f>'HR Track 4 HER-TSA'!AN342</f>
        <v>5.32</v>
      </c>
      <c r="AO5" s="452">
        <f>'HR Track 4 HER-TSA'!AO342</f>
        <v>0</v>
      </c>
      <c r="AP5" s="452">
        <f>'HR Track 4 HER-TSA'!AP342</f>
        <v>0</v>
      </c>
      <c r="AQ5" s="452">
        <f>'HR Track 4 HER-TSA'!AQ342</f>
        <v>0</v>
      </c>
      <c r="AR5" s="452">
        <f>'HR Track 4 HER-TSA'!AR342</f>
        <v>0</v>
      </c>
      <c r="AS5" s="452">
        <f>'HR Track 4 HER-TSA'!AS342</f>
        <v>0</v>
      </c>
      <c r="AT5" s="452">
        <f>'HR Track 4 HER-TSA'!AT342</f>
        <v>-9.590945010693634</v>
      </c>
      <c r="AU5" s="452">
        <f>'HR Track 4 HER-TSA'!AU342</f>
        <v>0</v>
      </c>
      <c r="AV5" s="452">
        <f>'HR Track 4 HER-TSA'!AV342</f>
        <v>0</v>
      </c>
      <c r="AW5" s="452" t="str">
        <f>'HR Track 4 HER-TSA'!AW342</f>
        <v>Soil B</v>
      </c>
      <c r="AX5" s="452" t="str">
        <f>'HR Track 4 HER-TSA'!AX342</f>
        <v>PT</v>
      </c>
      <c r="AY5" s="500">
        <f>'HR Track 4 HER-TSA'!AY342</f>
        <v>3.5</v>
      </c>
      <c r="AZ5" s="500">
        <f>'HR Track 4 HER-TSA'!AZ342</f>
        <v>0</v>
      </c>
      <c r="BA5" s="1333" t="str">
        <f>'HR Track 4 HER-TSA'!BA342</f>
        <v>ü</v>
      </c>
      <c r="BB5" s="452" t="str">
        <f>'HR Track 4 HER-TSA'!BB342</f>
        <v>App.8-V08F-P10.3</v>
      </c>
      <c r="BC5" s="1334">
        <f>'HR Track 4 HER-TSA'!BC342</f>
        <v>0</v>
      </c>
      <c r="BD5" s="1335">
        <f>'HR Track 4 HER-TSA'!BD342</f>
        <v>43732</v>
      </c>
      <c r="BE5" s="1335">
        <f>'HR Track 4 HER-TSA'!BE342</f>
        <v>43841</v>
      </c>
      <c r="BF5" s="1335">
        <f>'HR Track 4 HER-TSA'!BF342</f>
        <v>0</v>
      </c>
      <c r="BG5" s="1335">
        <f>'HR Track 4 HER-TSA'!BG342</f>
        <v>43870</v>
      </c>
    </row>
    <row r="6" spans="1:59" ht="15.75" customHeight="1">
      <c r="A6" s="501">
        <f>'HR Track 4 HER-TSA'!A343</f>
        <v>0</v>
      </c>
      <c r="B6" s="716">
        <f>'HR Track 4 HER-TSA'!B343</f>
        <v>0</v>
      </c>
      <c r="C6" s="451">
        <f>'HR Track 4 HER-TSA'!C343</f>
        <v>0</v>
      </c>
      <c r="D6" s="453">
        <f>'HR Track 4 HER-TSA'!D343</f>
        <v>0</v>
      </c>
      <c r="E6" s="452">
        <f>'HR Track 4 HER-TSA'!E343</f>
        <v>0</v>
      </c>
      <c r="F6" s="453">
        <f>'HR Track 4 HER-TSA'!F343</f>
        <v>0</v>
      </c>
      <c r="G6" s="500">
        <f>'HR Track 4 HER-TSA'!G343</f>
        <v>50</v>
      </c>
      <c r="H6" s="453">
        <f>'HR Track 4 HER-TSA'!H343</f>
        <v>0</v>
      </c>
      <c r="I6" s="501">
        <f>'HR Track 4 HER-TSA'!I343</f>
        <v>0</v>
      </c>
      <c r="J6" s="583">
        <f>'HR Track 4 HER-TSA'!J343</f>
        <v>92657.549999999988</v>
      </c>
      <c r="K6" s="452" t="str">
        <f>'HR Track 4 HER-TSA'!K343</f>
        <v>AnM-R</v>
      </c>
      <c r="L6" s="452">
        <f>'HR Track 4 HER-TSA'!L343</f>
        <v>0</v>
      </c>
      <c r="M6" s="452">
        <f>'HR Track 4 HER-TSA'!M343</f>
        <v>0</v>
      </c>
      <c r="N6" s="501">
        <f>'HR Track 4 HER-TSA'!N343</f>
        <v>0</v>
      </c>
      <c r="O6" s="501">
        <f>'HR Track 4 HER-TSA'!O343</f>
        <v>0</v>
      </c>
      <c r="P6" s="501">
        <f>'HR Track 4 HER-TSA'!P343</f>
        <v>0</v>
      </c>
      <c r="Q6" s="452">
        <f>'HR Track 4 HER-TSA'!Q343</f>
        <v>0</v>
      </c>
      <c r="R6" s="452">
        <f>'HR Track 4 HER-TSA'!R343</f>
        <v>0</v>
      </c>
      <c r="S6" s="500">
        <f>'HR Track 4 HER-TSA'!S343</f>
        <v>50.059999999997672</v>
      </c>
      <c r="T6" s="452">
        <f>'HR Track 4 HER-TSA'!T343</f>
        <v>0</v>
      </c>
      <c r="U6" s="452">
        <f>'HR Track 4 HER-TSA'!U343</f>
        <v>0</v>
      </c>
      <c r="V6" s="452">
        <f>'HR Track 4 HER-TSA'!V343</f>
        <v>0</v>
      </c>
      <c r="W6" s="452">
        <f>'HR Track 4 HER-TSA'!W343</f>
        <v>0</v>
      </c>
      <c r="X6" s="452">
        <f>'HR Track 4 HER-TSA'!X343</f>
        <v>0</v>
      </c>
      <c r="Y6" s="452">
        <f>'HR Track 4 HER-TSA'!Y343</f>
        <v>0</v>
      </c>
      <c r="Z6" s="452">
        <f>'HR Track 4 HER-TSA'!Z343</f>
        <v>0</v>
      </c>
      <c r="AA6" s="452">
        <f>'HR Track 4 HER-TSA'!AA343</f>
        <v>0</v>
      </c>
      <c r="AB6" s="452">
        <f>'HR Track 4 HER-TSA'!AB343</f>
        <v>0</v>
      </c>
      <c r="AC6" s="452">
        <f>'HR Track 4 HER-TSA'!AC343</f>
        <v>0</v>
      </c>
      <c r="AD6" s="452">
        <f>'HR Track 4 HER-TSA'!AD343</f>
        <v>0</v>
      </c>
      <c r="AE6" s="452">
        <f>'HR Track 4 HER-TSA'!AE343</f>
        <v>0</v>
      </c>
      <c r="AF6" s="452">
        <f>'HR Track 4 HER-TSA'!AF343</f>
        <v>0</v>
      </c>
      <c r="AG6" s="451">
        <f>'HR Track 4 HER-TSA'!AG343</f>
        <v>0</v>
      </c>
      <c r="AH6" s="452">
        <f>'HR Track 4 HER-TSA'!AH343</f>
        <v>0</v>
      </c>
      <c r="AI6" s="452">
        <f>'HR Track 4 HER-TSA'!AI343</f>
        <v>0</v>
      </c>
      <c r="AJ6" s="452">
        <f>'HR Track 4 HER-TSA'!AJ343</f>
        <v>0</v>
      </c>
      <c r="AK6" s="452">
        <f>'HR Track 4 HER-TSA'!AK343</f>
        <v>0</v>
      </c>
      <c r="AL6" s="452">
        <f>'HR Track 4 HER-TSA'!AL343</f>
        <v>0</v>
      </c>
      <c r="AM6" s="452">
        <f>'HR Track 4 HER-TSA'!AM343</f>
        <v>0</v>
      </c>
      <c r="AN6" s="500">
        <f>'HR Track 4 HER-TSA'!AN343</f>
        <v>0</v>
      </c>
      <c r="AO6" s="452">
        <f>'HR Track 4 HER-TSA'!AO343</f>
        <v>0</v>
      </c>
      <c r="AP6" s="452">
        <f>'HR Track 4 HER-TSA'!AP343</f>
        <v>0</v>
      </c>
      <c r="AQ6" s="452">
        <f>'HR Track 4 HER-TSA'!AQ343</f>
        <v>0.48283045199999997</v>
      </c>
      <c r="AR6" s="452">
        <f>'HR Track 4 HER-TSA'!AR343</f>
        <v>0</v>
      </c>
      <c r="AS6" s="452">
        <f>'HR Track 4 HER-TSA'!AS343</f>
        <v>0</v>
      </c>
      <c r="AT6" s="452">
        <f>'HR Track 4 HER-TSA'!AT343</f>
        <v>0</v>
      </c>
      <c r="AU6" s="452">
        <f>'HR Track 4 HER-TSA'!AU343</f>
        <v>0</v>
      </c>
      <c r="AV6" s="452">
        <f>'HR Track 4 HER-TSA'!AV343</f>
        <v>0</v>
      </c>
      <c r="AW6" s="452" t="str">
        <f>'HR Track 4 HER-TSA'!AW343</f>
        <v>Soil B</v>
      </c>
      <c r="AX6" s="452" t="str">
        <f>'HR Track 4 HER-TSA'!AX343</f>
        <v>PT</v>
      </c>
      <c r="AY6" s="500">
        <f>'HR Track 4 HER-TSA'!AY343</f>
        <v>0</v>
      </c>
      <c r="AZ6" s="500">
        <f>'HR Track 4 HER-TSA'!AZ343</f>
        <v>2.8</v>
      </c>
      <c r="BA6" s="1333" t="str">
        <f>'HR Track 4 HER-TSA'!BA343</f>
        <v>ü</v>
      </c>
      <c r="BB6" s="452">
        <f>'HR Track 4 HER-TSA'!BB343</f>
        <v>0</v>
      </c>
      <c r="BC6" s="1334">
        <f>'HR Track 4 HER-TSA'!BC343</f>
        <v>0</v>
      </c>
      <c r="BD6" s="1335">
        <f>'HR Track 4 HER-TSA'!BD343</f>
        <v>43732</v>
      </c>
      <c r="BE6" s="1335">
        <f>'HR Track 4 HER-TSA'!BE343</f>
        <v>0</v>
      </c>
      <c r="BF6" s="1335">
        <f>'HR Track 4 HER-TSA'!BF343</f>
        <v>0</v>
      </c>
      <c r="BG6" s="1335">
        <f>'HR Track 4 HER-TSA'!BG343</f>
        <v>0</v>
      </c>
    </row>
    <row r="7" spans="1:59" ht="15.75" customHeight="1">
      <c r="A7" s="501" t="str">
        <f>'HR Track 4 HER-TSA'!A344</f>
        <v>TSA-BF03 TSA-BF04</v>
      </c>
      <c r="B7" s="716" t="str">
        <f>'HR Track 4 HER-TSA'!B344</f>
        <v>92-4.20</v>
      </c>
      <c r="C7" s="451">
        <f>'HR Track 4 HER-TSA'!C344</f>
        <v>92665.049999999988</v>
      </c>
      <c r="D7" s="453">
        <f>'HR Track 4 HER-TSA'!D344</f>
        <v>0</v>
      </c>
      <c r="E7" s="452">
        <f>'HR Track 4 HER-TSA'!E344</f>
        <v>0</v>
      </c>
      <c r="F7" s="453">
        <f>'HR Track 4 HER-TSA'!F344</f>
        <v>0</v>
      </c>
      <c r="G7" s="500">
        <f>'HR Track 4 HER-TSA'!G344</f>
        <v>0</v>
      </c>
      <c r="H7" s="453" t="str">
        <f>'HR Track 4 HER-TSA'!H344</f>
        <v>S/A</v>
      </c>
      <c r="I7" s="501" t="str">
        <f>'HR Track 4 HER-TSA'!I344</f>
        <v>AnRW AnRW</v>
      </c>
      <c r="J7" s="583">
        <f>'HR Track 4 HER-TSA'!J344</f>
        <v>0</v>
      </c>
      <c r="K7" s="452">
        <f>'HR Track 4 HER-TSA'!K344</f>
        <v>0</v>
      </c>
      <c r="L7" s="452" t="str">
        <f>'HR Track 4 HER-TSA'!L344</f>
        <v>HEB-320L</v>
      </c>
      <c r="M7" s="452" t="str">
        <f>'HR Track 4 HER-TSA'!M344</f>
        <v>C7R</v>
      </c>
      <c r="N7" s="501" t="str">
        <f>'HR Track 4 HER-TSA'!N344</f>
        <v>EMT-T</v>
      </c>
      <c r="O7" s="501" t="str">
        <f>'HR Track 4 HER-TSA'!O344</f>
        <v>EMT-2</v>
      </c>
      <c r="P7" s="501">
        <f>'HR Track 4 HER-TSA'!P344</f>
        <v>0</v>
      </c>
      <c r="Q7" s="452">
        <f>'HR Track 4 HER-TSA'!Q344</f>
        <v>0</v>
      </c>
      <c r="R7" s="452">
        <f>'HR Track 4 HER-TSA'!R344</f>
        <v>0</v>
      </c>
      <c r="S7" s="500">
        <f>'HR Track 4 HER-TSA'!S344</f>
        <v>0</v>
      </c>
      <c r="T7" s="452">
        <f>'HR Track 4 HER-TSA'!T344</f>
        <v>55</v>
      </c>
      <c r="U7" s="452">
        <f>'HR Track 4 HER-TSA'!U344</f>
        <v>10</v>
      </c>
      <c r="V7" s="452">
        <f>'HR Track 4 HER-TSA'!V344</f>
        <v>0</v>
      </c>
      <c r="W7" s="452">
        <f>'HR Track 4 HER-TSA'!W344</f>
        <v>1.4</v>
      </c>
      <c r="X7" s="452">
        <f>'HR Track 4 HER-TSA'!X344</f>
        <v>2.2999999999999998</v>
      </c>
      <c r="Y7" s="452">
        <f>'HR Track 4 HER-TSA'!Y344</f>
        <v>0</v>
      </c>
      <c r="Z7" s="452">
        <f>'HR Track 4 HER-TSA'!Z344</f>
        <v>0.51</v>
      </c>
      <c r="AA7" s="452">
        <f>'HR Track 4 HER-TSA'!AA344</f>
        <v>0</v>
      </c>
      <c r="AB7" s="452">
        <f>'HR Track 4 HER-TSA'!AB344</f>
        <v>0</v>
      </c>
      <c r="AC7" s="452" t="str">
        <f>'HR Track 4 HER-TSA'!AC344</f>
        <v>PH-1150</v>
      </c>
      <c r="AD7" s="452">
        <f>'HR Track 4 HER-TSA'!AD344</f>
        <v>0</v>
      </c>
      <c r="AE7" s="452">
        <f>'HR Track 4 HER-TSA'!AE344</f>
        <v>0</v>
      </c>
      <c r="AF7" s="452">
        <f>'HR Track 4 HER-TSA'!AF344</f>
        <v>5900</v>
      </c>
      <c r="AG7" s="451">
        <f>'HR Track 4 HER-TSA'!AG344</f>
        <v>92665</v>
      </c>
      <c r="AH7" s="452">
        <f>'HR Track 4 HER-TSA'!AH344</f>
        <v>2663</v>
      </c>
      <c r="AI7" s="452">
        <f>'HR Track 4 HER-TSA'!AI344</f>
        <v>650</v>
      </c>
      <c r="AJ7" s="452" t="str">
        <f>'HR Track 4 HER-TSA'!AJ344</f>
        <v>FS-1</v>
      </c>
      <c r="AK7" s="452">
        <f>'HR Track 4 HER-TSA'!AK344</f>
        <v>0</v>
      </c>
      <c r="AL7" s="452" t="str">
        <f>'HR Track 4 HER-TSA'!AL344</f>
        <v>PR1D</v>
      </c>
      <c r="AM7" s="452" t="str">
        <f>'HR Track 4 HER-TSA'!AM344</f>
        <v>RW1</v>
      </c>
      <c r="AN7" s="500">
        <f>'HR Track 4 HER-TSA'!AN344</f>
        <v>5.44</v>
      </c>
      <c r="AO7" s="452">
        <f>'HR Track 4 HER-TSA'!AO344</f>
        <v>0</v>
      </c>
      <c r="AP7" s="452">
        <f>'HR Track 4 HER-TSA'!AP344</f>
        <v>0</v>
      </c>
      <c r="AQ7" s="452">
        <f>'HR Track 4 HER-TSA'!AQ344</f>
        <v>0</v>
      </c>
      <c r="AR7" s="452">
        <f>'HR Track 4 HER-TSA'!AR344</f>
        <v>0</v>
      </c>
      <c r="AS7" s="452">
        <f>'HR Track 4 HER-TSA'!AS344</f>
        <v>0</v>
      </c>
      <c r="AT7" s="452">
        <f>'HR Track 4 HER-TSA'!AT344</f>
        <v>9.134216045109401</v>
      </c>
      <c r="AU7" s="452">
        <f>'HR Track 4 HER-TSA'!AU344</f>
        <v>0</v>
      </c>
      <c r="AV7" s="452">
        <f>'HR Track 4 HER-TSA'!AV344</f>
        <v>0</v>
      </c>
      <c r="AW7" s="452" t="str">
        <f>'HR Track 4 HER-TSA'!AW344</f>
        <v>Soil B</v>
      </c>
      <c r="AX7" s="452" t="str">
        <f>'HR Track 4 HER-TSA'!AX344</f>
        <v>PT</v>
      </c>
      <c r="AY7" s="500">
        <f>'HR Track 4 HER-TSA'!AY344</f>
        <v>3.5</v>
      </c>
      <c r="AZ7" s="500">
        <f>'HR Track 4 HER-TSA'!AZ344</f>
        <v>0</v>
      </c>
      <c r="BA7" s="1333" t="str">
        <f>'HR Track 4 HER-TSA'!BA344</f>
        <v>ü</v>
      </c>
      <c r="BB7" s="452" t="str">
        <f>'HR Track 4 HER-TSA'!BB344</f>
        <v>App.8-V08F-P10.3</v>
      </c>
      <c r="BC7" s="1334">
        <f>'HR Track 4 HER-TSA'!BC344</f>
        <v>0</v>
      </c>
      <c r="BD7" s="1335">
        <f>'HR Track 4 HER-TSA'!BD344</f>
        <v>43731</v>
      </c>
      <c r="BE7" s="1335">
        <f>'HR Track 4 HER-TSA'!BE344</f>
        <v>43801</v>
      </c>
      <c r="BF7" s="1335">
        <f>'HR Track 4 HER-TSA'!BF344</f>
        <v>0</v>
      </c>
      <c r="BG7" s="1335">
        <f>'HR Track 4 HER-TSA'!BG344</f>
        <v>43808</v>
      </c>
    </row>
    <row r="8" spans="1:59" ht="15.75" customHeight="1">
      <c r="A8" s="501"/>
      <c r="B8" s="716"/>
      <c r="C8" s="451"/>
      <c r="D8" s="453"/>
      <c r="E8" s="452"/>
      <c r="F8" s="453"/>
      <c r="G8" s="500">
        <f>'HR Track 4 HER-TSA'!G345</f>
        <v>47</v>
      </c>
      <c r="H8" s="453"/>
      <c r="I8" s="501"/>
      <c r="J8" s="583">
        <f>C7+7.5</f>
        <v>92672.549999999988</v>
      </c>
      <c r="K8" s="452" t="s">
        <v>625</v>
      </c>
      <c r="L8" s="452"/>
      <c r="M8" s="452"/>
      <c r="N8" s="501"/>
      <c r="O8" s="501"/>
      <c r="P8" s="501"/>
      <c r="Q8" s="452"/>
      <c r="R8" s="452"/>
      <c r="S8" s="500">
        <f>AG9-AG7</f>
        <v>46</v>
      </c>
      <c r="T8" s="452"/>
      <c r="U8" s="452"/>
      <c r="V8" s="452"/>
      <c r="W8" s="452"/>
      <c r="X8" s="452"/>
      <c r="Y8" s="452"/>
      <c r="Z8" s="452"/>
      <c r="AA8" s="452"/>
      <c r="AB8" s="452"/>
      <c r="AC8" s="452"/>
      <c r="AD8" s="452"/>
      <c r="AE8" s="452"/>
      <c r="AF8" s="452"/>
      <c r="AG8" s="451"/>
      <c r="AH8" s="452"/>
      <c r="AI8" s="452"/>
      <c r="AJ8" s="452" t="str">
        <f>'HR Track 4 HER-TSA'!AJ345</f>
        <v>FS-1</v>
      </c>
      <c r="AK8" s="452"/>
      <c r="AL8" s="452"/>
      <c r="AM8" s="452"/>
      <c r="AN8" s="500"/>
      <c r="AO8" s="452"/>
      <c r="AP8" s="452"/>
      <c r="AQ8" s="452">
        <f>'HR Track 4 HER-TSA'!AQ345</f>
        <v>0.22524425531914893</v>
      </c>
      <c r="AR8" s="452"/>
      <c r="AS8" s="452"/>
      <c r="AT8" s="452"/>
      <c r="AU8" s="452"/>
      <c r="AV8" s="452"/>
      <c r="AW8" s="452"/>
      <c r="AX8" s="452"/>
      <c r="AY8" s="500"/>
      <c r="AZ8" s="500"/>
      <c r="BA8" s="1333"/>
      <c r="BB8" s="452"/>
      <c r="BC8" s="1334"/>
      <c r="BD8" s="1335"/>
      <c r="BE8" s="1335"/>
      <c r="BF8" s="1335"/>
      <c r="BG8" s="1335"/>
    </row>
    <row r="9" spans="1:59" ht="15.75" customHeight="1">
      <c r="A9" s="1239" t="s">
        <v>2941</v>
      </c>
      <c r="B9" s="1239" t="s">
        <v>2689</v>
      </c>
      <c r="C9" s="171">
        <f>+$C$7+$G$8</f>
        <v>92712.049999999988</v>
      </c>
      <c r="D9" s="1239"/>
      <c r="E9" s="1239"/>
      <c r="F9" s="1239">
        <v>0</v>
      </c>
      <c r="G9" s="455"/>
      <c r="H9" s="1239" t="s">
        <v>619</v>
      </c>
      <c r="I9" s="1239" t="s">
        <v>1429</v>
      </c>
      <c r="J9" s="171"/>
      <c r="K9" s="1239"/>
      <c r="L9" s="1239" t="s">
        <v>1698</v>
      </c>
      <c r="M9" s="1239" t="str">
        <f>IF(AX9="PT",VLOOKUP(L9,'Foundation Calculation'!$V$2:$X$40,VLOOKUP(AX9,'Foundation Calculation'!$I$10:$J$13,2,FALSE),0),IF(AX9="K",VLOOKUP(L9,'Foundation Calculation'!$V$42:$X$80,VLOOKUP(AX9,'Foundation Calculation'!$I$10:$J$13,2,FALSE),0),""))</f>
        <v>2C4R</v>
      </c>
      <c r="N9" s="1239" t="s">
        <v>143</v>
      </c>
      <c r="O9" s="1239" t="s">
        <v>140</v>
      </c>
      <c r="P9" s="1239"/>
      <c r="Q9" s="1239">
        <v>0</v>
      </c>
      <c r="R9" s="1239">
        <v>0</v>
      </c>
      <c r="S9" s="455"/>
      <c r="T9" s="1239">
        <v>-10</v>
      </c>
      <c r="U9" s="1239">
        <v>-55</v>
      </c>
      <c r="V9" s="1239"/>
      <c r="W9" s="1239">
        <v>1.4</v>
      </c>
      <c r="X9" s="1239">
        <v>2.2999999999999998</v>
      </c>
      <c r="Y9" s="1239"/>
      <c r="Z9" s="1239"/>
      <c r="AA9" s="1239">
        <v>0.39</v>
      </c>
      <c r="AB9" s="1239"/>
      <c r="AC9" s="1239" t="s">
        <v>1421</v>
      </c>
      <c r="AD9" s="1239"/>
      <c r="AE9" s="1239"/>
      <c r="AF9" s="1239">
        <v>5900</v>
      </c>
      <c r="AG9" s="171">
        <v>92711</v>
      </c>
      <c r="AH9" s="1239">
        <v>2603</v>
      </c>
      <c r="AI9" s="1239">
        <v>280</v>
      </c>
      <c r="AJ9" s="1239" t="s">
        <v>877</v>
      </c>
      <c r="AK9" s="1239"/>
      <c r="AL9" s="1239"/>
      <c r="AM9" s="1239" t="s">
        <v>1042</v>
      </c>
      <c r="AN9" s="484">
        <v>5.5</v>
      </c>
      <c r="AO9" s="574"/>
      <c r="AP9" s="574"/>
      <c r="AQ9" s="576"/>
      <c r="AR9" s="576"/>
      <c r="AS9" s="576"/>
      <c r="AT9" s="484">
        <f>+ab($T$9,$T$7,$T$11,$G$8,$G$10,-1*$F$9,1200)</f>
        <v>-9.1372752819653869</v>
      </c>
      <c r="AU9" s="574"/>
      <c r="AV9" s="574"/>
      <c r="AW9" s="638" t="str">
        <f>VLOOKUP(C9,'Foundation Calculation'!$A$2:$C$33,3,1)</f>
        <v>Soil B</v>
      </c>
      <c r="AX9" s="638" t="s">
        <v>1371</v>
      </c>
      <c r="AY9" s="484">
        <f>IF(AX9="PT",VLOOKUP(L9,'Foundation Calculation'!$K$2:$R$40,VLOOKUP(AW9,'Foundation Calculation'!$I$2:$J$8,2,FALSE),0),IF(AX9="K",VLOOKUP(L9,'Foundation Calculation'!$K$42:$R$80,VLOOKUP(AW9,'Foundation Calculation'!$I$2:$J$8,2,FALSE),0),""))</f>
        <v>5.3</v>
      </c>
      <c r="AZ9" s="484"/>
      <c r="BA9" s="671" t="s">
        <v>2809</v>
      </c>
      <c r="BB9" s="1239" t="str">
        <f>Pole_Calculations!A19</f>
        <v>App.7-V11A-P9.5.1.5</v>
      </c>
      <c r="BC9" s="169"/>
      <c r="BD9" s="1329">
        <v>43724</v>
      </c>
      <c r="BE9" s="1329">
        <v>43803</v>
      </c>
      <c r="BF9" s="1330"/>
      <c r="BG9" s="1329">
        <v>43893</v>
      </c>
    </row>
    <row r="10" spans="1:59" ht="15.75" customHeight="1">
      <c r="A10" s="1239"/>
      <c r="B10" s="1239"/>
      <c r="C10" s="171"/>
      <c r="D10" s="1239"/>
      <c r="E10" s="1239"/>
      <c r="F10" s="1239"/>
      <c r="G10" s="455">
        <v>57.2</v>
      </c>
      <c r="H10" s="1239"/>
      <c r="I10" s="1239"/>
      <c r="J10" s="171"/>
      <c r="K10" s="1239"/>
      <c r="L10" s="1239"/>
      <c r="M10" s="1239"/>
      <c r="N10" s="1239"/>
      <c r="O10" s="1239"/>
      <c r="P10" s="1239"/>
      <c r="Q10" s="1239"/>
      <c r="R10" s="1239"/>
      <c r="S10" s="455">
        <f t="shared" ref="S10" si="0">AG11-AG9</f>
        <v>59.350000000005821</v>
      </c>
      <c r="T10" s="1239"/>
      <c r="U10" s="1239"/>
      <c r="V10" s="1239"/>
      <c r="W10" s="1239"/>
      <c r="X10" s="1239"/>
      <c r="Y10" s="1239"/>
      <c r="Z10" s="1239"/>
      <c r="AA10" s="1239"/>
      <c r="AB10" s="1239"/>
      <c r="AC10" s="1239"/>
      <c r="AD10" s="1239"/>
      <c r="AE10" s="1239"/>
      <c r="AF10" s="1239"/>
      <c r="AG10" s="171"/>
      <c r="AH10" s="1239"/>
      <c r="AI10" s="1239"/>
      <c r="AJ10" s="1239" t="s">
        <v>864</v>
      </c>
      <c r="AK10" s="1239"/>
      <c r="AL10" s="1239"/>
      <c r="AM10" s="1239"/>
      <c r="AN10" s="576"/>
      <c r="AO10" s="574"/>
      <c r="AP10" s="574"/>
      <c r="AQ10" s="484">
        <f>+FL_1($T$11,$T$9,$G$10,1200,9.28,-1*$F$11)</f>
        <v>0.44789563121678322</v>
      </c>
      <c r="AR10" s="576"/>
      <c r="AS10" s="576"/>
      <c r="AT10" s="576"/>
      <c r="AU10" s="574"/>
      <c r="AV10" s="574"/>
      <c r="AW10" s="574"/>
      <c r="AX10" s="574"/>
      <c r="AY10" s="576" t="str">
        <f>IF(AX10="PT",VLOOKUP(M10,'Foundation Calculation'!$L$2:$R$37,VLOOKUP(AW10,'Foundation Calculation'!$I$2:$J$8,2,FALSE),0),IF(AX10="K",VLOOKUP(M10,'Foundation Calculation'!$L$41:$R$75,VLOOKUP(AW10,'Foundation Calculation'!$I$2:$J$8,2,FALSE),0),""))</f>
        <v/>
      </c>
      <c r="AZ10" s="576" t="str">
        <f>IF(AX10="PT",VLOOKUP(K10,'Foundation Calculation'!$L$2:$R$41,VLOOKUP(AW10,'Foundation Calculation'!$I$2:$J$8,2,FALSE),0),IF(AX10="K",VLOOKUP(K10,'Foundation Calculation'!$L$41:$R$79,VLOOKUP(AW10,'Foundation Calculation'!$I$2:$J$8,2,FALSE),0),""))</f>
        <v/>
      </c>
      <c r="BA10" s="671"/>
      <c r="BB10" s="1239"/>
      <c r="BC10" s="169"/>
      <c r="BD10" s="1330"/>
      <c r="BE10" s="1330"/>
      <c r="BF10" s="1330"/>
      <c r="BG10" s="1330"/>
    </row>
    <row r="11" spans="1:59" ht="15.75" customHeight="1">
      <c r="A11" s="1239"/>
      <c r="B11" s="1239" t="s">
        <v>2690</v>
      </c>
      <c r="C11" s="171">
        <f>+$C$9+$G$10</f>
        <v>92769.249999999985</v>
      </c>
      <c r="D11" s="1239"/>
      <c r="E11" s="1239"/>
      <c r="F11" s="1239">
        <v>0</v>
      </c>
      <c r="G11" s="455"/>
      <c r="H11" s="1239" t="s">
        <v>2772</v>
      </c>
      <c r="I11" s="1239" t="s">
        <v>623</v>
      </c>
      <c r="J11" s="171"/>
      <c r="K11" s="1239"/>
      <c r="L11" s="1239" t="s">
        <v>895</v>
      </c>
      <c r="M11" s="1239" t="str">
        <f>IF(AX11="PT",VLOOKUP(L11,'Foundation Calculation'!$V$2:$X$40,VLOOKUP(AX11,'Foundation Calculation'!$I$10:$J$13,2,FALSE),0),IF(AX11="K",VLOOKUP(L11,'Foundation Calculation'!$V$42:$X$80,VLOOKUP(AX11,'Foundation Calculation'!$I$10:$J$13,2,FALSE),0),""))</f>
        <v>2C3R</v>
      </c>
      <c r="N11" s="1239" t="s">
        <v>144</v>
      </c>
      <c r="O11" s="1239" t="s">
        <v>143</v>
      </c>
      <c r="P11" s="1239"/>
      <c r="Q11" s="1239">
        <v>20</v>
      </c>
      <c r="R11" s="1239">
        <v>0</v>
      </c>
      <c r="S11" s="455"/>
      <c r="T11" s="1239">
        <v>30</v>
      </c>
      <c r="U11" s="1239">
        <v>15</v>
      </c>
      <c r="V11" s="1239"/>
      <c r="W11" s="1239">
        <v>1.4</v>
      </c>
      <c r="X11" s="1239">
        <v>2.2999999999999998</v>
      </c>
      <c r="Y11" s="1239"/>
      <c r="Z11" s="1239"/>
      <c r="AA11" s="1239"/>
      <c r="AB11" s="1239"/>
      <c r="AC11" s="1239" t="s">
        <v>1427</v>
      </c>
      <c r="AD11" s="1239" t="s">
        <v>4207</v>
      </c>
      <c r="AE11" s="1239"/>
      <c r="AF11" s="1239">
        <v>6000</v>
      </c>
      <c r="AG11" s="171">
        <v>92770.35</v>
      </c>
      <c r="AH11" s="1239">
        <v>3673</v>
      </c>
      <c r="AI11" s="1239">
        <v>700</v>
      </c>
      <c r="AJ11" s="1239"/>
      <c r="AK11" s="1239"/>
      <c r="AL11" s="1239"/>
      <c r="AM11" s="1239" t="s">
        <v>1042</v>
      </c>
      <c r="AN11" s="484">
        <v>5.5</v>
      </c>
      <c r="AO11" s="574"/>
      <c r="AP11" s="574"/>
      <c r="AQ11" s="576"/>
      <c r="AR11" s="576"/>
      <c r="AS11" s="576"/>
      <c r="AT11" s="484">
        <f>+ab($T$11,$T$9,$T$17,$G$10,$G$16,-1*$F$11,1200)</f>
        <v>10.244351578136957</v>
      </c>
      <c r="AU11" s="574"/>
      <c r="AV11" s="574"/>
      <c r="AW11" s="638" t="str">
        <f>VLOOKUP(C11,'Foundation Calculation'!$A$2:$C$33,3,1)</f>
        <v>Soil B</v>
      </c>
      <c r="AX11" s="638" t="s">
        <v>1371</v>
      </c>
      <c r="AY11" s="484">
        <f>IF(AX11="PT",VLOOKUP(L11,'Foundation Calculation'!$K$2:$R$40,VLOOKUP(AW11,'Foundation Calculation'!$I$2:$J$8,2,FALSE),0),IF(AX11="K",VLOOKUP(L11,'Foundation Calculation'!$K$42:$R$80,VLOOKUP(AW11,'Foundation Calculation'!$I$2:$J$8,2,FALSE),0),""))</f>
        <v>3.5</v>
      </c>
      <c r="AZ11" s="484"/>
      <c r="BA11" s="671" t="s">
        <v>2809</v>
      </c>
      <c r="BB11" s="1239" t="str">
        <f>Pole_Calculations!A22</f>
        <v>App.7-V11A-P9.5.1.8</v>
      </c>
      <c r="BC11" s="169"/>
      <c r="BD11" s="1329">
        <v>43724</v>
      </c>
      <c r="BE11" s="1329">
        <v>43802</v>
      </c>
      <c r="BF11" s="1330"/>
      <c r="BG11" s="1329">
        <v>43808</v>
      </c>
    </row>
    <row r="12" spans="1:59" ht="15.75" customHeight="1">
      <c r="A12" s="1239"/>
      <c r="B12" s="1239"/>
      <c r="C12" s="171"/>
      <c r="D12" s="1239"/>
      <c r="E12" s="1239"/>
      <c r="F12" s="1239"/>
      <c r="G12" s="455"/>
      <c r="H12" s="1239"/>
      <c r="I12" s="1239"/>
      <c r="J12" s="171">
        <f>C11+7.5</f>
        <v>92776.749999999985</v>
      </c>
      <c r="K12" s="1239" t="s">
        <v>2787</v>
      </c>
      <c r="L12" s="1239"/>
      <c r="M12" s="1239"/>
      <c r="N12" s="1239"/>
      <c r="O12" s="1239"/>
      <c r="P12" s="1239"/>
      <c r="Q12" s="1239"/>
      <c r="R12" s="1239"/>
      <c r="S12" s="455"/>
      <c r="T12" s="1239"/>
      <c r="U12" s="1239"/>
      <c r="V12" s="1239"/>
      <c r="W12" s="1239"/>
      <c r="X12" s="1239"/>
      <c r="Y12" s="1239"/>
      <c r="Z12" s="1239"/>
      <c r="AA12" s="1239"/>
      <c r="AB12" s="1239"/>
      <c r="AC12" s="1239"/>
      <c r="AD12" s="1239"/>
      <c r="AE12" s="1239"/>
      <c r="AF12" s="1239"/>
      <c r="AG12" s="171"/>
      <c r="AH12" s="1239"/>
      <c r="AI12" s="1239"/>
      <c r="AJ12" s="1239"/>
      <c r="AK12" s="1239"/>
      <c r="AL12" s="1239"/>
      <c r="AM12" s="1239"/>
      <c r="AN12" s="484"/>
      <c r="AO12" s="574"/>
      <c r="AP12" s="574"/>
      <c r="AQ12" s="576"/>
      <c r="AR12" s="576"/>
      <c r="AS12" s="576"/>
      <c r="AT12" s="484"/>
      <c r="AU12" s="574"/>
      <c r="AV12" s="574"/>
      <c r="AW12" s="638" t="str">
        <f>VLOOKUP(J12,'Foundation Calculation'!$A$2:$C$33,3,1)</f>
        <v>Soil B</v>
      </c>
      <c r="AX12" s="638" t="s">
        <v>1371</v>
      </c>
      <c r="AY12" s="484"/>
      <c r="AZ12" s="484">
        <f>IF(AX12="PT",VLOOKUP(K12,'Foundation Calculation'!$K$2:$R$40,VLOOKUP(AW12,'Foundation Calculation'!$I$2:$J$8,2,FALSE),0),IF(AX12="K",VLOOKUP(K12,'Foundation Calculation'!$K$42:$R$80,VLOOKUP(AW12,'Foundation Calculation'!$I$2:$J$8,2,FALSE),0),""))</f>
        <v>3.9</v>
      </c>
      <c r="BA12" s="671" t="s">
        <v>2809</v>
      </c>
      <c r="BB12" s="1239"/>
      <c r="BC12" s="169"/>
      <c r="BD12" s="1329">
        <v>43719</v>
      </c>
      <c r="BE12" s="1330"/>
      <c r="BF12" s="1330"/>
      <c r="BG12" s="1330"/>
    </row>
    <row r="13" spans="1:59" ht="15.75" customHeight="1">
      <c r="A13" s="1239"/>
      <c r="B13" s="1239" t="s">
        <v>2692</v>
      </c>
      <c r="C13" s="171">
        <f>C11+22.7</f>
        <v>92791.949999999983</v>
      </c>
      <c r="D13" s="1239"/>
      <c r="E13" s="1239"/>
      <c r="F13" s="1239">
        <v>0</v>
      </c>
      <c r="G13" s="455"/>
      <c r="H13" s="1239"/>
      <c r="I13" s="1239"/>
      <c r="J13" s="171"/>
      <c r="K13" s="1239"/>
      <c r="L13" s="1239" t="s">
        <v>821</v>
      </c>
      <c r="M13" s="1239" t="str">
        <f>IF(AX13="PT",VLOOKUP(L13,'Foundation Calculation'!$V$2:$X$40,VLOOKUP(AX13,'Foundation Calculation'!$I$10:$J$13,2,FALSE),0),IF(AX13="K",VLOOKUP(L13,'Foundation Calculation'!$V$42:$X$80,VLOOKUP(AX13,'Foundation Calculation'!$I$10:$J$13,2,FALSE),0),""))</f>
        <v>C7R</v>
      </c>
      <c r="N13" s="1239"/>
      <c r="O13" s="1239"/>
      <c r="P13" s="1239"/>
      <c r="Q13" s="1239">
        <v>10</v>
      </c>
      <c r="R13" s="1239">
        <v>0</v>
      </c>
      <c r="S13" s="455"/>
      <c r="T13" s="1239"/>
      <c r="U13" s="1239"/>
      <c r="V13" s="1239"/>
      <c r="W13" s="1239"/>
      <c r="X13" s="1239"/>
      <c r="Y13" s="1239"/>
      <c r="Z13" s="1239"/>
      <c r="AA13" s="1239"/>
      <c r="AB13" s="1239"/>
      <c r="AC13" s="1239"/>
      <c r="AD13" s="1239"/>
      <c r="AE13" s="1239"/>
      <c r="AF13" s="1239" t="s">
        <v>642</v>
      </c>
      <c r="AG13" s="171">
        <v>92821.49</v>
      </c>
      <c r="AH13" s="1239">
        <v>2203</v>
      </c>
      <c r="AI13" s="1239">
        <v>640</v>
      </c>
      <c r="AJ13" s="1239"/>
      <c r="AK13" s="1239"/>
      <c r="AL13" s="1239"/>
      <c r="AM13" s="1239" t="s">
        <v>1042</v>
      </c>
      <c r="AN13" s="484"/>
      <c r="AO13" s="574"/>
      <c r="AP13" s="574"/>
      <c r="AQ13" s="576"/>
      <c r="AR13" s="576"/>
      <c r="AS13" s="576"/>
      <c r="AT13" s="484"/>
      <c r="AU13" s="574"/>
      <c r="AV13" s="574"/>
      <c r="AW13" s="638" t="str">
        <f>VLOOKUP(C13,'Foundation Calculation'!$A$2:$C$33,3,1)</f>
        <v>Soil B</v>
      </c>
      <c r="AX13" s="638" t="s">
        <v>1371</v>
      </c>
      <c r="AY13" s="484">
        <f>IF(AX13="PT",VLOOKUP(L13,'Foundation Calculation'!$K$2:$R$40,VLOOKUP(AW13,'Foundation Calculation'!$I$2:$J$8,2,FALSE),0),IF(AX13="K",VLOOKUP(L13,'Foundation Calculation'!$K$42:$R$80,VLOOKUP(AW13,'Foundation Calculation'!$I$2:$J$8,2,FALSE),0),""))</f>
        <v>3.5</v>
      </c>
      <c r="AZ13" s="484"/>
      <c r="BA13" s="671" t="s">
        <v>2809</v>
      </c>
      <c r="BB13" s="1239" t="str">
        <f>Pole_Calculations!A178</f>
        <v>App.8-V08F-P10.3</v>
      </c>
      <c r="BC13" s="169"/>
      <c r="BD13" s="1329">
        <v>43718</v>
      </c>
      <c r="BE13" s="1329" t="s">
        <v>4946</v>
      </c>
      <c r="BF13" s="1330"/>
      <c r="BG13" s="1330"/>
    </row>
    <row r="14" spans="1:59" ht="15.75" customHeight="1">
      <c r="A14" s="1239"/>
      <c r="B14" s="1239"/>
      <c r="C14" s="171"/>
      <c r="D14" s="1239"/>
      <c r="E14" s="1239"/>
      <c r="F14" s="1239"/>
      <c r="G14" s="455"/>
      <c r="H14" s="1239"/>
      <c r="I14" s="1239"/>
      <c r="J14" s="171"/>
      <c r="K14" s="1239"/>
      <c r="L14" s="1239"/>
      <c r="M14" s="1239"/>
      <c r="N14" s="1239"/>
      <c r="O14" s="1239"/>
      <c r="P14" s="1239"/>
      <c r="Q14" s="1239"/>
      <c r="R14" s="1239"/>
      <c r="S14" s="455"/>
      <c r="T14" s="1239"/>
      <c r="U14" s="1239"/>
      <c r="V14" s="1239"/>
      <c r="W14" s="1239"/>
      <c r="X14" s="1239"/>
      <c r="Y14" s="1239"/>
      <c r="Z14" s="1239"/>
      <c r="AA14" s="1239"/>
      <c r="AB14" s="1239"/>
      <c r="AC14" s="1239"/>
      <c r="AD14" s="1239"/>
      <c r="AE14" s="1239"/>
      <c r="AF14" s="1239"/>
      <c r="AG14" s="171"/>
      <c r="AH14" s="1239"/>
      <c r="AI14" s="1239"/>
      <c r="AJ14" s="1239"/>
      <c r="AK14" s="1239"/>
      <c r="AL14" s="1239"/>
      <c r="AM14" s="1239"/>
      <c r="AN14" s="484"/>
      <c r="AO14" s="574"/>
      <c r="AP14" s="574"/>
      <c r="AQ14" s="576"/>
      <c r="AR14" s="576"/>
      <c r="AS14" s="576"/>
      <c r="AT14" s="484"/>
      <c r="AU14" s="574"/>
      <c r="AV14" s="574"/>
      <c r="AW14" s="638"/>
      <c r="AX14" s="638"/>
      <c r="AY14" s="484"/>
      <c r="AZ14" s="484"/>
      <c r="BA14" s="671"/>
      <c r="BB14" s="1239"/>
      <c r="BC14" s="169"/>
      <c r="BD14" s="1330"/>
      <c r="BE14" s="1330"/>
      <c r="BF14" s="1330"/>
      <c r="BG14" s="1330"/>
    </row>
    <row r="15" spans="1:59" ht="12.5">
      <c r="A15" s="1239"/>
      <c r="B15" s="1239" t="s">
        <v>4909</v>
      </c>
      <c r="C15" s="171">
        <f>C13</f>
        <v>92791.949999999983</v>
      </c>
      <c r="D15" s="1239"/>
      <c r="E15" s="1239"/>
      <c r="F15" s="1239">
        <v>0</v>
      </c>
      <c r="G15" s="455"/>
      <c r="H15" s="1239"/>
      <c r="I15" s="1239"/>
      <c r="J15" s="171"/>
      <c r="K15" s="1239"/>
      <c r="L15" s="1239" t="s">
        <v>821</v>
      </c>
      <c r="M15" s="1239" t="s">
        <v>1725</v>
      </c>
      <c r="N15" s="1239"/>
      <c r="O15" s="1239"/>
      <c r="P15" s="1239"/>
      <c r="Q15" s="1239"/>
      <c r="R15" s="1239"/>
      <c r="S15" s="455"/>
      <c r="T15" s="1239"/>
      <c r="U15" s="1239"/>
      <c r="V15" s="1239"/>
      <c r="W15" s="1239"/>
      <c r="X15" s="1239"/>
      <c r="Y15" s="1239"/>
      <c r="Z15" s="1239"/>
      <c r="AA15" s="1239"/>
      <c r="AB15" s="1239"/>
      <c r="AC15" s="1239"/>
      <c r="AD15" s="1239"/>
      <c r="AE15" s="1239"/>
      <c r="AF15" s="1239"/>
      <c r="AG15" s="171"/>
      <c r="AH15" s="1239"/>
      <c r="AI15" s="1239"/>
      <c r="AJ15" s="1239"/>
      <c r="AK15" s="1239"/>
      <c r="AL15" s="1239"/>
      <c r="AM15" s="1239" t="s">
        <v>1042</v>
      </c>
      <c r="AN15" s="484"/>
      <c r="AO15" s="574"/>
      <c r="AP15" s="574"/>
      <c r="AQ15" s="576"/>
      <c r="AR15" s="576"/>
      <c r="AS15" s="576"/>
      <c r="AT15" s="484"/>
      <c r="AU15" s="574"/>
      <c r="AV15" s="574"/>
      <c r="AW15" s="638" t="s">
        <v>4498</v>
      </c>
      <c r="AX15" s="638"/>
      <c r="AY15" s="484"/>
      <c r="AZ15" s="484"/>
      <c r="BA15" s="671" t="s">
        <v>2809</v>
      </c>
      <c r="BB15" s="1239" t="str">
        <f>Pole_Calculations!A178</f>
        <v>App.8-V08F-P10.3</v>
      </c>
      <c r="BC15" s="169"/>
      <c r="BD15" s="1329"/>
      <c r="BE15" s="1329"/>
      <c r="BF15" s="1330"/>
      <c r="BG15" s="1330"/>
    </row>
    <row r="16" spans="1:59" ht="15.75" customHeight="1">
      <c r="A16" s="1239"/>
      <c r="B16" s="1239"/>
      <c r="C16" s="171"/>
      <c r="D16" s="1239"/>
      <c r="E16" s="1239"/>
      <c r="F16" s="1239"/>
      <c r="G16" s="455">
        <v>52</v>
      </c>
      <c r="H16" s="1239"/>
      <c r="I16" s="1239"/>
      <c r="J16" s="171"/>
      <c r="K16" s="1239"/>
      <c r="L16" s="1239"/>
      <c r="M16" s="1239"/>
      <c r="N16" s="1239"/>
      <c r="O16" s="1239"/>
      <c r="P16" s="1239"/>
      <c r="Q16" s="1239"/>
      <c r="R16" s="1239"/>
      <c r="S16" s="455">
        <f>AG17-AG11</f>
        <v>51.139999999999418</v>
      </c>
      <c r="T16" s="1239"/>
      <c r="U16" s="1239"/>
      <c r="V16" s="1239"/>
      <c r="W16" s="1239"/>
      <c r="X16" s="1239"/>
      <c r="Y16" s="1239"/>
      <c r="Z16" s="1239"/>
      <c r="AA16" s="1239"/>
      <c r="AB16" s="1239"/>
      <c r="AC16" s="1239"/>
      <c r="AD16" s="1239"/>
      <c r="AE16" s="1239"/>
      <c r="AF16" s="1239"/>
      <c r="AG16" s="171"/>
      <c r="AH16" s="1239"/>
      <c r="AI16" s="1239"/>
      <c r="AJ16" s="1239"/>
      <c r="AK16" s="1239"/>
      <c r="AL16" s="1239"/>
      <c r="AM16" s="1239"/>
      <c r="AN16" s="484"/>
      <c r="AO16" s="638"/>
      <c r="AP16" s="638"/>
      <c r="AQ16" s="484">
        <f>+FL_2($T$17,$T$11,$G$16,1200,9.28,-1*$F$17)</f>
        <v>-0.34746603815384614</v>
      </c>
      <c r="AR16" s="484"/>
      <c r="AS16" s="484"/>
      <c r="AT16" s="484"/>
      <c r="AU16" s="638"/>
      <c r="AV16" s="638"/>
      <c r="AW16" s="638"/>
      <c r="AX16" s="638"/>
      <c r="AY16" s="484"/>
      <c r="AZ16" s="484"/>
      <c r="BA16" s="671"/>
      <c r="BB16" s="1239"/>
      <c r="BC16" s="169"/>
      <c r="BD16" s="1330"/>
      <c r="BE16" s="1330"/>
      <c r="BF16" s="1330"/>
      <c r="BG16" s="1330"/>
    </row>
    <row r="17" spans="1:59" ht="15.75" customHeight="1">
      <c r="A17" s="449"/>
      <c r="B17" s="438" t="s">
        <v>4656</v>
      </c>
      <c r="C17" s="446">
        <f>+$C$11+$G$16</f>
        <v>92821.249999999985</v>
      </c>
      <c r="D17" s="445"/>
      <c r="E17" s="445"/>
      <c r="F17" s="445" t="s">
        <v>2312</v>
      </c>
      <c r="G17" s="484"/>
      <c r="H17" s="445" t="s">
        <v>619</v>
      </c>
      <c r="I17" s="702"/>
      <c r="J17" s="446"/>
      <c r="K17" s="445"/>
      <c r="L17" s="445" t="s">
        <v>895</v>
      </c>
      <c r="M17" s="1239" t="str">
        <f>IF(AX17="PT",VLOOKUP(L17,'Foundation Calculation'!$V$2:$X$40,VLOOKUP(AX17,'Foundation Calculation'!$I$10:$J$13,2,FALSE),0),IF(AX17="K",VLOOKUP(L17,'Foundation Calculation'!$V$42:$X$80,VLOOKUP(AX17,'Foundation Calculation'!$I$10:$J$13,2,FALSE),0),""))</f>
        <v>2C3R</v>
      </c>
      <c r="N17" s="445" t="s">
        <v>2789</v>
      </c>
      <c r="O17" s="445" t="s">
        <v>140</v>
      </c>
      <c r="P17" s="445"/>
      <c r="Q17" s="638">
        <v>10</v>
      </c>
      <c r="R17" s="638">
        <v>0</v>
      </c>
      <c r="S17" s="484"/>
      <c r="T17" s="638">
        <v>-30</v>
      </c>
      <c r="U17" s="638">
        <v>-45</v>
      </c>
      <c r="V17" s="638"/>
      <c r="W17" s="1239">
        <v>1.4</v>
      </c>
      <c r="X17" s="638">
        <v>2.2999999999999998</v>
      </c>
      <c r="Y17" s="638"/>
      <c r="Z17" s="638"/>
      <c r="AA17" s="638">
        <v>0.45</v>
      </c>
      <c r="AB17" s="638"/>
      <c r="AC17" s="638" t="s">
        <v>4090</v>
      </c>
      <c r="AD17" s="638"/>
      <c r="AE17" s="638"/>
      <c r="AF17" s="638">
        <v>5900</v>
      </c>
      <c r="AG17" s="446">
        <v>92821.49</v>
      </c>
      <c r="AH17" s="638">
        <v>2203</v>
      </c>
      <c r="AI17" s="185">
        <v>640</v>
      </c>
      <c r="AJ17" s="445"/>
      <c r="AK17" s="445"/>
      <c r="AL17" s="445"/>
      <c r="AM17" s="1239" t="s">
        <v>1042</v>
      </c>
      <c r="AN17" s="484">
        <v>5.5</v>
      </c>
      <c r="AO17" s="445"/>
      <c r="AP17" s="445"/>
      <c r="AQ17" s="484"/>
      <c r="AR17" s="484"/>
      <c r="AS17" s="484"/>
      <c r="AT17" s="484">
        <f>+ab($T$17,$T$11,$T$19,$G$16,$G$18,-1*$F$17,1200)</f>
        <v>-8.1945715321683021</v>
      </c>
      <c r="AU17" s="638"/>
      <c r="AV17" s="638"/>
      <c r="AW17" s="638" t="str">
        <f>VLOOKUP(C17,'Foundation Calculation'!$A$2:$C$33,3,1)</f>
        <v>Soil B</v>
      </c>
      <c r="AX17" s="638" t="s">
        <v>1371</v>
      </c>
      <c r="AY17" s="484">
        <f>IF(AX17="PT",VLOOKUP(L17,'Foundation Calculation'!$K$2:$R$40,VLOOKUP(AW17,'Foundation Calculation'!$I$2:$J$8,2,FALSE),0),IF(AX17="K",VLOOKUP(L17,'Foundation Calculation'!$K$42:$R$80,VLOOKUP(AW17,'Foundation Calculation'!$I$2:$J$8,2,FALSE),0),""))</f>
        <v>3.5</v>
      </c>
      <c r="AZ17" s="484"/>
      <c r="BA17" s="671" t="s">
        <v>2809</v>
      </c>
      <c r="BB17" s="449" t="str">
        <f>Pole_Calculations!A19</f>
        <v>App.7-V11A-P9.5.1.5</v>
      </c>
      <c r="BC17" s="169"/>
      <c r="BD17" s="1329" t="s">
        <v>4946</v>
      </c>
      <c r="BE17" s="1329" t="s">
        <v>4946</v>
      </c>
      <c r="BF17" s="1330"/>
      <c r="BG17" s="1329">
        <v>43870</v>
      </c>
    </row>
    <row r="18" spans="1:59" ht="15.75" customHeight="1">
      <c r="A18" s="449"/>
      <c r="B18" s="1239"/>
      <c r="C18" s="446"/>
      <c r="D18" s="445"/>
      <c r="E18" s="445"/>
      <c r="F18" s="445"/>
      <c r="G18" s="484">
        <v>51.2</v>
      </c>
      <c r="H18" s="445"/>
      <c r="I18" s="1239">
        <v>353.23</v>
      </c>
      <c r="J18" s="446"/>
      <c r="K18" s="445"/>
      <c r="L18" s="445"/>
      <c r="M18" s="445"/>
      <c r="N18" s="1239"/>
      <c r="O18" s="445"/>
      <c r="P18" s="445"/>
      <c r="Q18" s="638"/>
      <c r="R18" s="638"/>
      <c r="S18" s="484">
        <f t="shared" ref="S18" si="1">AG19-AG17</f>
        <v>48.509999999994761</v>
      </c>
      <c r="T18" s="638"/>
      <c r="U18" s="638"/>
      <c r="V18" s="638"/>
      <c r="W18" s="638"/>
      <c r="X18" s="638"/>
      <c r="Y18" s="638"/>
      <c r="Z18" s="638"/>
      <c r="AA18" s="638"/>
      <c r="AB18" s="638"/>
      <c r="AC18" s="638"/>
      <c r="AD18" s="638"/>
      <c r="AE18" s="638"/>
      <c r="AF18" s="638"/>
      <c r="AG18" s="446"/>
      <c r="AH18" s="638"/>
      <c r="AI18" s="185"/>
      <c r="AJ18" s="445"/>
      <c r="AK18" s="445"/>
      <c r="AL18" s="638"/>
      <c r="AM18" s="445"/>
      <c r="AN18" s="484"/>
      <c r="AO18" s="445"/>
      <c r="AP18" s="445"/>
      <c r="AQ18" s="484">
        <f>+FL_1($T$19,$T$17,$G$18,1200,9.28,-1*$F$19)</f>
        <v>0.34219622916666664</v>
      </c>
      <c r="AR18" s="484"/>
      <c r="AS18" s="484"/>
      <c r="AT18" s="484"/>
      <c r="AU18" s="638"/>
      <c r="AV18" s="638"/>
      <c r="AW18" s="638"/>
      <c r="AX18" s="484"/>
      <c r="AY18" s="484"/>
      <c r="AZ18" s="484"/>
      <c r="BA18" s="671"/>
      <c r="BB18" s="449"/>
      <c r="BC18" s="169"/>
      <c r="BD18" s="1330"/>
      <c r="BE18" s="1330"/>
      <c r="BF18" s="1330"/>
      <c r="BG18" s="1330"/>
    </row>
    <row r="19" spans="1:59" ht="15.75" customHeight="1">
      <c r="A19" s="449"/>
      <c r="B19" s="438" t="s">
        <v>2693</v>
      </c>
      <c r="C19" s="446">
        <f>+$C$17+$G$18</f>
        <v>92872.449999999983</v>
      </c>
      <c r="D19" s="445"/>
      <c r="E19" s="445"/>
      <c r="F19" s="445" t="s">
        <v>2312</v>
      </c>
      <c r="G19" s="484"/>
      <c r="H19" s="445" t="s">
        <v>890</v>
      </c>
      <c r="I19" s="172" t="s">
        <v>623</v>
      </c>
      <c r="J19" s="446"/>
      <c r="K19" s="445"/>
      <c r="L19" s="445" t="s">
        <v>898</v>
      </c>
      <c r="M19" s="1239" t="str">
        <f>IF(AX19="PT",VLOOKUP(L19,'Foundation Calculation'!$V$2:$X$40,VLOOKUP(AX19,'Foundation Calculation'!$I$10:$J$13,2,FALSE),0),IF(AX19="K",VLOOKUP(L19,'Foundation Calculation'!$V$42:$X$80,VLOOKUP(AX19,'Foundation Calculation'!$I$10:$J$13,2,FALSE),0),""))</f>
        <v>C4R</v>
      </c>
      <c r="N19" s="445" t="s">
        <v>144</v>
      </c>
      <c r="O19" s="445"/>
      <c r="P19" s="445"/>
      <c r="Q19" s="638">
        <v>0</v>
      </c>
      <c r="R19" s="638">
        <v>0</v>
      </c>
      <c r="S19" s="484"/>
      <c r="T19" s="638">
        <v>30</v>
      </c>
      <c r="U19" s="638"/>
      <c r="V19" s="638"/>
      <c r="W19" s="1239">
        <v>1.4</v>
      </c>
      <c r="X19" s="638"/>
      <c r="Y19" s="638"/>
      <c r="Z19" s="638"/>
      <c r="AA19" s="638"/>
      <c r="AB19" s="638"/>
      <c r="AC19" s="638" t="s">
        <v>1421</v>
      </c>
      <c r="AD19" s="638"/>
      <c r="AE19" s="638"/>
      <c r="AF19" s="638">
        <v>5800</v>
      </c>
      <c r="AG19" s="446">
        <v>92870</v>
      </c>
      <c r="AH19" s="638">
        <v>1963</v>
      </c>
      <c r="AI19" s="185">
        <v>470</v>
      </c>
      <c r="AJ19" s="445"/>
      <c r="AK19" s="445"/>
      <c r="AL19" s="445"/>
      <c r="AM19" s="445" t="s">
        <v>1043</v>
      </c>
      <c r="AN19" s="484">
        <v>5.5</v>
      </c>
      <c r="AO19" s="445"/>
      <c r="AP19" s="445"/>
      <c r="AQ19" s="484"/>
      <c r="AR19" s="484"/>
      <c r="AS19" s="484"/>
      <c r="AT19" s="484">
        <f>+ab($T$19,$T$17,$T$21,$G$18,$G$20,-1*$F$19,1200)</f>
        <v>15.949602852236664</v>
      </c>
      <c r="AU19" s="638"/>
      <c r="AV19" s="638"/>
      <c r="AW19" s="638" t="str">
        <f>VLOOKUP(C19,'Foundation Calculation'!$A$2:$C$33,3,1)</f>
        <v>Soil B</v>
      </c>
      <c r="AX19" s="638" t="s">
        <v>1371</v>
      </c>
      <c r="AY19" s="484">
        <f>IF(AX19="PT",VLOOKUP(L19,'Foundation Calculation'!$K$2:$R$40,VLOOKUP(AW19,'Foundation Calculation'!$I$2:$J$8,2,FALSE),0),IF(AX19="K",VLOOKUP(L19,'Foundation Calculation'!$K$42:$R$80,VLOOKUP(AW19,'Foundation Calculation'!$I$2:$J$8,2,FALSE),0),""))</f>
        <v>3.5</v>
      </c>
      <c r="AZ19" s="484"/>
      <c r="BA19" s="671" t="s">
        <v>2809</v>
      </c>
      <c r="BB19" s="449" t="str">
        <f>Pole_Calculations!A20</f>
        <v>App.7-V11A-P9.5.1.6</v>
      </c>
      <c r="BC19" s="169"/>
      <c r="BD19" s="1329">
        <v>43710</v>
      </c>
      <c r="BE19" s="1329">
        <v>43802</v>
      </c>
      <c r="BF19" s="1330"/>
      <c r="BG19" s="1329">
        <v>43808</v>
      </c>
    </row>
    <row r="20" spans="1:59" ht="15.75" customHeight="1">
      <c r="A20" s="449"/>
      <c r="B20" s="1239"/>
      <c r="C20" s="446"/>
      <c r="D20" s="445"/>
      <c r="E20" s="445"/>
      <c r="F20" s="445"/>
      <c r="G20" s="484">
        <v>42.7</v>
      </c>
      <c r="H20" s="445"/>
      <c r="I20" s="445"/>
      <c r="J20" s="446">
        <f>C19+7.5</f>
        <v>92879.949999999983</v>
      </c>
      <c r="K20" s="1239" t="s">
        <v>2787</v>
      </c>
      <c r="L20" s="445"/>
      <c r="M20" s="445"/>
      <c r="N20" s="1239"/>
      <c r="O20" s="445"/>
      <c r="P20" s="445"/>
      <c r="Q20" s="638"/>
      <c r="R20" s="638"/>
      <c r="S20" s="484">
        <f t="shared" ref="S20" si="2">AG21-AG19</f>
        <v>45.710000000006403</v>
      </c>
      <c r="T20" s="638"/>
      <c r="U20" s="638"/>
      <c r="V20" s="638"/>
      <c r="W20" s="638"/>
      <c r="X20" s="638"/>
      <c r="Y20" s="638"/>
      <c r="Z20" s="638"/>
      <c r="AA20" s="638"/>
      <c r="AB20" s="638"/>
      <c r="AC20" s="638"/>
      <c r="AD20" s="638"/>
      <c r="AE20" s="638"/>
      <c r="AF20" s="638"/>
      <c r="AG20" s="446"/>
      <c r="AH20" s="638"/>
      <c r="AI20" s="185"/>
      <c r="AJ20" s="445"/>
      <c r="AK20" s="445"/>
      <c r="AL20" s="445"/>
      <c r="AM20" s="445"/>
      <c r="AN20" s="484"/>
      <c r="AO20" s="445"/>
      <c r="AP20" s="445"/>
      <c r="AQ20" s="484">
        <f>+FL_1($T$21,$T$19,$G$20,1200,9.28,-1*$F$21)</f>
        <v>0.33845164213104117</v>
      </c>
      <c r="AR20" s="484"/>
      <c r="AS20" s="484"/>
      <c r="AT20" s="484"/>
      <c r="AU20" s="638"/>
      <c r="AV20" s="638"/>
      <c r="AW20" s="703" t="str">
        <f>VLOOKUP(J20,'Foundation Calculation'!$A$2:$C$33,3,1)</f>
        <v>Soil B</v>
      </c>
      <c r="AX20" s="638" t="s">
        <v>1371</v>
      </c>
      <c r="AY20" s="484"/>
      <c r="AZ20" s="484">
        <f>IF(AX20="PT",VLOOKUP(K20,'Foundation Calculation'!$K$2:$R$40,VLOOKUP(AW20,'Foundation Calculation'!$I$2:$J$8,2,FALSE),0),IF(AX20="K",VLOOKUP(K20,'Foundation Calculation'!$K$42:$R$80,VLOOKUP(AW20,'Foundation Calculation'!$I$2:$J$8,2,FALSE),0),""))</f>
        <v>3.9</v>
      </c>
      <c r="BA20" s="671" t="s">
        <v>2809</v>
      </c>
      <c r="BB20" s="449"/>
      <c r="BC20" s="169"/>
      <c r="BD20" s="1329">
        <v>43719</v>
      </c>
      <c r="BE20" s="1330"/>
      <c r="BF20" s="1330"/>
      <c r="BG20" s="1330"/>
    </row>
    <row r="21" spans="1:59" ht="15.75" customHeight="1">
      <c r="A21" s="449"/>
      <c r="B21" s="438" t="s">
        <v>2694</v>
      </c>
      <c r="C21" s="446">
        <f>+$C$19+$G$20+0.9</f>
        <v>92916.049999999974</v>
      </c>
      <c r="D21" s="445"/>
      <c r="E21" s="445"/>
      <c r="F21" s="445" t="s">
        <v>2708</v>
      </c>
      <c r="G21" s="484"/>
      <c r="H21" s="445"/>
      <c r="I21" s="445"/>
      <c r="J21" s="446"/>
      <c r="K21" s="445"/>
      <c r="L21" s="445" t="s">
        <v>230</v>
      </c>
      <c r="M21" s="1239" t="str">
        <f>IF(AX21="PT",VLOOKUP(L21,'Foundation Calculation'!$V$2:$X$40,VLOOKUP(AX21,'Foundation Calculation'!$I$10:$J$13,2,FALSE),0),IF(AX21="K",VLOOKUP(L21,'Foundation Calculation'!$V$42:$X$80,VLOOKUP(AX21,'Foundation Calculation'!$I$10:$J$13,2,FALSE),0),""))</f>
        <v>C4R</v>
      </c>
      <c r="N21" s="445" t="s">
        <v>144</v>
      </c>
      <c r="O21" s="445" t="s">
        <v>638</v>
      </c>
      <c r="P21" s="445"/>
      <c r="Q21" s="638">
        <v>10</v>
      </c>
      <c r="R21" s="638">
        <v>300</v>
      </c>
      <c r="S21" s="484"/>
      <c r="T21" s="638">
        <v>30</v>
      </c>
      <c r="U21" s="638"/>
      <c r="V21" s="638"/>
      <c r="W21" s="1239">
        <v>1.4</v>
      </c>
      <c r="X21" s="638"/>
      <c r="Y21" s="638"/>
      <c r="Z21" s="638"/>
      <c r="AA21" s="638"/>
      <c r="AB21" s="638"/>
      <c r="AC21" s="638" t="s">
        <v>3050</v>
      </c>
      <c r="AD21" s="638"/>
      <c r="AE21" s="638"/>
      <c r="AF21" s="638">
        <v>5800</v>
      </c>
      <c r="AG21" s="446">
        <v>92915.71</v>
      </c>
      <c r="AH21" s="638">
        <v>1753</v>
      </c>
      <c r="AI21" s="185">
        <v>330</v>
      </c>
      <c r="AJ21" s="445"/>
      <c r="AK21" s="445"/>
      <c r="AL21" s="445"/>
      <c r="AM21" s="445" t="s">
        <v>1043</v>
      </c>
      <c r="AN21" s="484">
        <v>5.44</v>
      </c>
      <c r="AO21" s="445"/>
      <c r="AP21" s="445"/>
      <c r="AQ21" s="484"/>
      <c r="AR21" s="484"/>
      <c r="AS21" s="484"/>
      <c r="AT21" s="484">
        <f>+ab($T$21,$T$19,$T$23,$G$20,$G$22,-1*$F$21,1200)</f>
        <v>7.6302760504335234</v>
      </c>
      <c r="AU21" s="638"/>
      <c r="AV21" s="638"/>
      <c r="AW21" s="703" t="str">
        <f>VLOOKUP(C21,'Foundation Calculation'!$A$2:$C$33,3,1)</f>
        <v>Soil B</v>
      </c>
      <c r="AX21" s="638" t="s">
        <v>1371</v>
      </c>
      <c r="AY21" s="484">
        <f>IF(AX21="PT",VLOOKUP(L21,'Foundation Calculation'!$K$2:$R$40,VLOOKUP(AW21,'Foundation Calculation'!$I$2:$J$8,2,FALSE),0),IF(AX21="K",VLOOKUP(L21,'Foundation Calculation'!$K$42:$R$80,VLOOKUP(AW21,'Foundation Calculation'!$I$2:$J$8,2,FALSE),0),""))</f>
        <v>3.5</v>
      </c>
      <c r="AZ21" s="484"/>
      <c r="BA21" s="671" t="s">
        <v>2809</v>
      </c>
      <c r="BB21" s="449" t="str">
        <f>Pole_Calculations!A15</f>
        <v>App.7-V11A-P9.5.1.1</v>
      </c>
      <c r="BC21" s="169"/>
      <c r="BD21" s="1329">
        <v>43710</v>
      </c>
      <c r="BE21" s="1329" t="s">
        <v>4946</v>
      </c>
      <c r="BF21" s="1330"/>
      <c r="BG21" s="1329">
        <v>43808</v>
      </c>
    </row>
    <row r="22" spans="1:59" ht="15.75" customHeight="1">
      <c r="A22" s="449"/>
      <c r="B22" s="1239"/>
      <c r="C22" s="446"/>
      <c r="D22" s="445"/>
      <c r="E22" s="445"/>
      <c r="F22" s="445"/>
      <c r="G22" s="484">
        <v>40</v>
      </c>
      <c r="H22" s="1239"/>
      <c r="I22" s="1239"/>
      <c r="J22" s="446"/>
      <c r="K22" s="445"/>
      <c r="L22" s="445"/>
      <c r="M22" s="445"/>
      <c r="N22" s="445"/>
      <c r="O22" s="445"/>
      <c r="P22" s="445"/>
      <c r="Q22" s="638"/>
      <c r="R22" s="638"/>
      <c r="S22" s="484">
        <f t="shared" ref="S22" si="3">AG23-AG21</f>
        <v>40.289999999993597</v>
      </c>
      <c r="T22" s="638"/>
      <c r="U22" s="638"/>
      <c r="V22" s="638"/>
      <c r="W22" s="1239"/>
      <c r="X22" s="638"/>
      <c r="Y22" s="638"/>
      <c r="Z22" s="638"/>
      <c r="AA22" s="638"/>
      <c r="AB22" s="638"/>
      <c r="AC22" s="638"/>
      <c r="AD22" s="638"/>
      <c r="AE22" s="638"/>
      <c r="AF22" s="638"/>
      <c r="AG22" s="446"/>
      <c r="AH22" s="638"/>
      <c r="AI22" s="185"/>
      <c r="AJ22" s="445"/>
      <c r="AK22" s="445"/>
      <c r="AL22" s="445"/>
      <c r="AM22" s="638"/>
      <c r="AN22" s="484"/>
      <c r="AO22" s="445"/>
      <c r="AP22" s="445"/>
      <c r="AQ22" s="484">
        <f>+FL_1($T$23,$T$21,$G$22,1200,9.28,-1*$F$23)</f>
        <v>0.3</v>
      </c>
      <c r="AR22" s="484"/>
      <c r="AS22" s="484"/>
      <c r="AT22" s="484"/>
      <c r="AU22" s="638"/>
      <c r="AV22" s="638"/>
      <c r="AW22" s="484"/>
      <c r="AX22" s="484"/>
      <c r="AY22" s="484" t="str">
        <f>IF(AX22="PT",VLOOKUP(M22,'Foundation Calculation'!$L$2:$R$37,VLOOKUP(AW22,'Foundation Calculation'!$I$2:$J$8,2,FALSE),0),IF(AX22="K",VLOOKUP(M22,'Foundation Calculation'!$L$41:$R$75,VLOOKUP(AW22,'Foundation Calculation'!$I$2:$J$8,2,FALSE),0),""))</f>
        <v/>
      </c>
      <c r="AZ22" s="484" t="str">
        <f>IF(AX22="PT",VLOOKUP(K22,'Foundation Calculation'!$L$2:$R$41,VLOOKUP(AW22,'Foundation Calculation'!$I$2:$J$8,2,FALSE),0),IF(AX22="K",VLOOKUP(K22,'Foundation Calculation'!$L$41:$R$79,VLOOKUP(AW22,'Foundation Calculation'!$I$2:$J$8,2,FALSE),0),""))</f>
        <v/>
      </c>
      <c r="BA22" s="1304"/>
      <c r="BB22" s="449"/>
      <c r="BC22" s="169"/>
      <c r="BD22" s="1330"/>
      <c r="BE22" s="1330"/>
      <c r="BF22" s="1330"/>
      <c r="BG22" s="1330"/>
    </row>
    <row r="23" spans="1:59" ht="15.75" customHeight="1">
      <c r="A23" s="449"/>
      <c r="B23" s="1239" t="s">
        <v>2695</v>
      </c>
      <c r="C23" s="446">
        <f>+$C$21+$G$22</f>
        <v>92956.049999999974</v>
      </c>
      <c r="D23" s="445"/>
      <c r="E23" s="445"/>
      <c r="F23" s="445" t="s">
        <v>2707</v>
      </c>
      <c r="G23" s="484"/>
      <c r="H23" s="445"/>
      <c r="I23" s="445"/>
      <c r="J23" s="446"/>
      <c r="K23" s="445"/>
      <c r="L23" s="445" t="s">
        <v>230</v>
      </c>
      <c r="M23" s="1239" t="str">
        <f>IF(AX23="PT",VLOOKUP(L23,'Foundation Calculation'!$V$2:$X$40,VLOOKUP(AX23,'Foundation Calculation'!$I$10:$J$13,2,FALSE),0),IF(AX23="K",VLOOKUP(L23,'Foundation Calculation'!$V$42:$X$80,VLOOKUP(AX23,'Foundation Calculation'!$I$10:$J$13,2,FALSE),0),""))</f>
        <v>C4R</v>
      </c>
      <c r="N23" s="445" t="s">
        <v>144</v>
      </c>
      <c r="O23" s="445" t="s">
        <v>638</v>
      </c>
      <c r="P23" s="445"/>
      <c r="Q23" s="638">
        <v>20</v>
      </c>
      <c r="R23" s="638">
        <v>0</v>
      </c>
      <c r="S23" s="484"/>
      <c r="T23" s="638">
        <v>30</v>
      </c>
      <c r="U23" s="638"/>
      <c r="V23" s="638"/>
      <c r="W23" s="1239">
        <v>1.4</v>
      </c>
      <c r="X23" s="638"/>
      <c r="Y23" s="638"/>
      <c r="Z23" s="638"/>
      <c r="AA23" s="638"/>
      <c r="AB23" s="638"/>
      <c r="AC23" s="638" t="s">
        <v>1421</v>
      </c>
      <c r="AD23" s="638"/>
      <c r="AE23" s="638"/>
      <c r="AF23" s="638">
        <v>5500</v>
      </c>
      <c r="AG23" s="446">
        <v>92956</v>
      </c>
      <c r="AH23" s="638">
        <v>3523</v>
      </c>
      <c r="AI23" s="185">
        <v>-80</v>
      </c>
      <c r="AJ23" s="445"/>
      <c r="AK23" s="445"/>
      <c r="AL23" s="445"/>
      <c r="AM23" s="445" t="s">
        <v>1043</v>
      </c>
      <c r="AN23" s="484">
        <v>5.37</v>
      </c>
      <c r="AO23" s="445"/>
      <c r="AP23" s="445"/>
      <c r="AQ23" s="484"/>
      <c r="AR23" s="484"/>
      <c r="AS23" s="484"/>
      <c r="AT23" s="484">
        <f>+ab($T$23,$T$21,$T$25,$G$22,$G$24,-1*$F$23,1200)</f>
        <v>2.9907424554094031</v>
      </c>
      <c r="AU23" s="638"/>
      <c r="AV23" s="638"/>
      <c r="AW23" s="638" t="str">
        <f>VLOOKUP(C23,'Foundation Calculation'!$A$2:$C$33,3,1)</f>
        <v>Soil B</v>
      </c>
      <c r="AX23" s="484" t="s">
        <v>1371</v>
      </c>
      <c r="AY23" s="484">
        <f>IF(AX23="PT",VLOOKUP(L23,'Foundation Calculation'!$K$2:$R$40,VLOOKUP(AW23,'Foundation Calculation'!$I$2:$J$8,2,FALSE),0),IF(AX23="K",VLOOKUP(L23,'Foundation Calculation'!$K$42:$R$80,VLOOKUP(AW23,'Foundation Calculation'!$I$2:$J$8,2,FALSE),0),""))</f>
        <v>3.5</v>
      </c>
      <c r="AZ23" s="484"/>
      <c r="BA23" s="671" t="s">
        <v>2809</v>
      </c>
      <c r="BB23" s="449" t="str">
        <f>Pole_Calculations!A15</f>
        <v>App.7-V11A-P9.5.1.1</v>
      </c>
      <c r="BC23" s="169"/>
      <c r="BD23" s="1329">
        <v>43731</v>
      </c>
      <c r="BE23" s="1329" t="s">
        <v>4946</v>
      </c>
      <c r="BF23" s="1330"/>
      <c r="BG23" s="1329">
        <v>43808</v>
      </c>
    </row>
    <row r="24" spans="1:59" ht="15.75" customHeight="1">
      <c r="A24" s="414"/>
      <c r="B24" s="420"/>
      <c r="C24" s="416"/>
      <c r="D24" s="415"/>
      <c r="E24" s="415"/>
      <c r="F24" s="415"/>
      <c r="G24" s="422">
        <v>35.6</v>
      </c>
      <c r="H24" s="415"/>
      <c r="I24" s="415"/>
      <c r="J24" s="416"/>
      <c r="K24" s="415"/>
      <c r="L24" s="415"/>
      <c r="M24" s="415"/>
      <c r="N24" s="415"/>
      <c r="O24" s="415"/>
      <c r="P24" s="415"/>
      <c r="Q24" s="417"/>
      <c r="R24" s="417"/>
      <c r="S24" s="422">
        <f t="shared" ref="S24" si="4">AG25-AG23</f>
        <v>33</v>
      </c>
      <c r="T24" s="417"/>
      <c r="U24" s="417"/>
      <c r="V24" s="417"/>
      <c r="W24" s="420"/>
      <c r="X24" s="417"/>
      <c r="Y24" s="417"/>
      <c r="Z24" s="417"/>
      <c r="AA24" s="417"/>
      <c r="AB24" s="417"/>
      <c r="AC24" s="417"/>
      <c r="AD24" s="417"/>
      <c r="AE24" s="417"/>
      <c r="AF24" s="417"/>
      <c r="AG24" s="416"/>
      <c r="AH24" s="417"/>
      <c r="AI24" s="607"/>
      <c r="AJ24" s="415"/>
      <c r="AK24" s="415"/>
      <c r="AL24" s="415"/>
      <c r="AM24" s="415"/>
      <c r="AN24" s="422"/>
      <c r="AO24" s="415"/>
      <c r="AP24" s="415"/>
      <c r="AQ24" s="422">
        <f>+FL_1($T$25,$T$23,$G$24,1200,9.28,-1*$F$25)</f>
        <v>0.30000000000000465</v>
      </c>
      <c r="AR24" s="422"/>
      <c r="AS24" s="422"/>
      <c r="AT24" s="422"/>
      <c r="AU24" s="417"/>
      <c r="AV24" s="417"/>
      <c r="AW24" s="415"/>
      <c r="AX24" s="422"/>
      <c r="AY24" s="422" t="str">
        <f>IF(AX24="PT",VLOOKUP(M24,'Foundation Calculation'!$L$2:$R$37,VLOOKUP(AW24,'Foundation Calculation'!$I$2:$J$8,2,FALSE),0),IF(AX24="K",VLOOKUP(M24,'Foundation Calculation'!$L$41:$R$75,VLOOKUP(AW24,'Foundation Calculation'!$I$2:$J$8,2,FALSE),0),""))</f>
        <v/>
      </c>
      <c r="AZ24" s="422" t="str">
        <f>IF(AX24="PT",VLOOKUP(K24,'Foundation Calculation'!$L$2:$R$41,VLOOKUP(AW24,'Foundation Calculation'!$I$2:$J$8,2,FALSE),0),IF(AX24="K",VLOOKUP(K24,'Foundation Calculation'!$L$41:$R$79,VLOOKUP(AW24,'Foundation Calculation'!$I$2:$J$8,2,FALSE),0),""))</f>
        <v/>
      </c>
      <c r="BA24" s="1311"/>
      <c r="BB24" s="414"/>
      <c r="BC24" s="169"/>
      <c r="BD24" s="1330"/>
      <c r="BE24" s="1330"/>
      <c r="BF24" s="1330"/>
      <c r="BG24" s="1330"/>
    </row>
    <row r="25" spans="1:59" ht="15.75" customHeight="1">
      <c r="A25" s="414"/>
      <c r="B25" s="420" t="s">
        <v>2696</v>
      </c>
      <c r="C25" s="416">
        <f>+$C$23+$G$24</f>
        <v>92991.64999999998</v>
      </c>
      <c r="D25" s="415"/>
      <c r="E25" s="415"/>
      <c r="F25" s="415" t="s">
        <v>2312</v>
      </c>
      <c r="G25" s="422"/>
      <c r="H25" s="415"/>
      <c r="I25" s="415"/>
      <c r="J25" s="416"/>
      <c r="K25" s="415"/>
      <c r="L25" s="415" t="s">
        <v>4488</v>
      </c>
      <c r="M25" s="415" t="str">
        <f>IF(AX25="PT",VLOOKUP(L25,'Foundation Calculation'!$V$2:$X$40,VLOOKUP(AX25,'Foundation Calculation'!$I$10:$J$13,2,FALSE),0),IF(AX25="K",VLOOKUP(L25,'Foundation Calculation'!$V$42:$X$80,VLOOKUP(AX25,'Foundation Calculation'!$I$10:$J$13,2,FALSE),0),""))</f>
        <v>C11R</v>
      </c>
      <c r="N25" s="415" t="s">
        <v>2794</v>
      </c>
      <c r="O25" s="415" t="s">
        <v>638</v>
      </c>
      <c r="P25" s="415"/>
      <c r="Q25" s="417">
        <v>10</v>
      </c>
      <c r="R25" s="417">
        <v>0</v>
      </c>
      <c r="S25" s="422"/>
      <c r="T25" s="417">
        <v>-30</v>
      </c>
      <c r="U25" s="417"/>
      <c r="V25" s="417"/>
      <c r="W25" s="420">
        <v>1.1000000000000001</v>
      </c>
      <c r="X25" s="417"/>
      <c r="Y25" s="417"/>
      <c r="Z25" s="417"/>
      <c r="AA25" s="417"/>
      <c r="AB25" s="417"/>
      <c r="AC25" s="417" t="s">
        <v>4090</v>
      </c>
      <c r="AD25" s="417"/>
      <c r="AE25" s="417"/>
      <c r="AF25" s="417">
        <v>100</v>
      </c>
      <c r="AG25" s="416">
        <v>92989</v>
      </c>
      <c r="AH25" s="417">
        <v>1780</v>
      </c>
      <c r="AI25" s="417">
        <v>-5290</v>
      </c>
      <c r="AJ25" s="415"/>
      <c r="AK25" s="415" t="s">
        <v>139</v>
      </c>
      <c r="AL25" s="415" t="s">
        <v>4490</v>
      </c>
      <c r="AM25" s="415" t="s">
        <v>1043</v>
      </c>
      <c r="AN25" s="422">
        <v>5.26</v>
      </c>
      <c r="AO25" s="415"/>
      <c r="AP25" s="415"/>
      <c r="AQ25" s="422"/>
      <c r="AR25" s="422"/>
      <c r="AS25" s="422"/>
      <c r="AT25" s="422">
        <f>+ab($T$25,$T$23,$T$27,$G$24,$G$26,-1*$F$25,1200)</f>
        <v>-6.3160218733952265</v>
      </c>
      <c r="AU25" s="417"/>
      <c r="AV25" s="417"/>
      <c r="AW25" s="417" t="str">
        <f>VLOOKUP(C25,'Foundation Calculation'!$A$2:$C$33,3,1)</f>
        <v>Soil B</v>
      </c>
      <c r="AX25" s="417" t="s">
        <v>1371</v>
      </c>
      <c r="AY25" s="422">
        <f>IF(AX25="PT",VLOOKUP(L25,'Foundation Calculation'!$K$2:$R$40,VLOOKUP(AW25,'Foundation Calculation'!$I$2:$J$8,2,FALSE),0),IF(AX25="K",VLOOKUP(L25,'Foundation Calculation'!$K$42:$R$80,VLOOKUP(AW25,'Foundation Calculation'!$I$2:$J$8,2,FALSE),0),""))</f>
        <v>4.5999999999999996</v>
      </c>
      <c r="AZ25" s="422"/>
      <c r="BA25" s="604" t="s">
        <v>2809</v>
      </c>
      <c r="BB25" s="414" t="str">
        <f>Pole_Calculations!A178</f>
        <v>App.8-V08F-P10.3</v>
      </c>
      <c r="BC25" s="169"/>
      <c r="BD25" s="1329">
        <v>43731</v>
      </c>
      <c r="BE25" s="1329"/>
      <c r="BF25" s="1329"/>
      <c r="BG25" s="1329">
        <v>43893</v>
      </c>
    </row>
    <row r="26" spans="1:59" ht="15.75" customHeight="1">
      <c r="A26" s="414"/>
      <c r="B26" s="415"/>
      <c r="C26" s="416"/>
      <c r="D26" s="415"/>
      <c r="E26" s="415"/>
      <c r="F26" s="415"/>
      <c r="G26" s="422">
        <v>37.299999999999997</v>
      </c>
      <c r="H26" s="415"/>
      <c r="I26" s="415"/>
      <c r="J26" s="416"/>
      <c r="K26" s="415"/>
      <c r="L26" s="415"/>
      <c r="M26" s="415"/>
      <c r="N26" s="415"/>
      <c r="O26" s="415"/>
      <c r="P26" s="415"/>
      <c r="Q26" s="417"/>
      <c r="R26" s="417"/>
      <c r="S26" s="422">
        <f t="shared" ref="S26" si="5">AG27-AG25</f>
        <v>37</v>
      </c>
      <c r="T26" s="417"/>
      <c r="U26" s="417"/>
      <c r="V26" s="417"/>
      <c r="W26" s="420"/>
      <c r="X26" s="417"/>
      <c r="Y26" s="417"/>
      <c r="Z26" s="417"/>
      <c r="AA26" s="417"/>
      <c r="AB26" s="417"/>
      <c r="AC26" s="417"/>
      <c r="AD26" s="417"/>
      <c r="AE26" s="417"/>
      <c r="AF26" s="417"/>
      <c r="AG26" s="416"/>
      <c r="AH26" s="417"/>
      <c r="AI26" s="417"/>
      <c r="AJ26" s="415"/>
      <c r="AK26" s="415"/>
      <c r="AL26" s="415"/>
      <c r="AM26" s="415"/>
      <c r="AN26" s="422"/>
      <c r="AO26" s="415"/>
      <c r="AP26" s="415"/>
      <c r="AQ26" s="422">
        <f>+FL_2($T$27,$T$25,$G$26,1200,9.28,-1*$F$27)</f>
        <v>-0.3006698220268097</v>
      </c>
      <c r="AR26" s="422"/>
      <c r="AS26" s="422"/>
      <c r="AT26" s="422"/>
      <c r="AU26" s="417"/>
      <c r="AV26" s="417"/>
      <c r="AW26" s="415"/>
      <c r="AX26" s="422"/>
      <c r="AY26" s="422" t="str">
        <f>IF(AX26="PT",VLOOKUP(M26,'Foundation Calculation'!$L$2:$R$37,VLOOKUP(AW26,'Foundation Calculation'!$I$2:$J$8,2,FALSE),0),IF(AX26="K",VLOOKUP(M26,'Foundation Calculation'!$L$41:$R$75,VLOOKUP(AW26,'Foundation Calculation'!$I$2:$J$8,2,FALSE),0),""))</f>
        <v/>
      </c>
      <c r="AZ26" s="422" t="str">
        <f>IF(AX26="PT",VLOOKUP(K26,'Foundation Calculation'!$L$2:$R$41,VLOOKUP(AW26,'Foundation Calculation'!$I$2:$J$8,2,FALSE),0),IF(AX26="K",VLOOKUP(K26,'Foundation Calculation'!$L$41:$R$79,VLOOKUP(AW26,'Foundation Calculation'!$I$2:$J$8,2,FALSE),0),""))</f>
        <v/>
      </c>
      <c r="BA26" s="1311"/>
      <c r="BB26" s="414"/>
      <c r="BC26" s="169"/>
      <c r="BD26" s="1330"/>
      <c r="BE26" s="1330"/>
      <c r="BF26" s="1330"/>
      <c r="BG26" s="1330"/>
    </row>
    <row r="27" spans="1:59" ht="15.75" customHeight="1">
      <c r="A27" s="414"/>
      <c r="B27" s="415" t="s">
        <v>2697</v>
      </c>
      <c r="C27" s="416">
        <f>+$C$25+$G$26-2</f>
        <v>93026.949999999983</v>
      </c>
      <c r="D27" s="415"/>
      <c r="E27" s="415"/>
      <c r="F27" s="415" t="s">
        <v>2312</v>
      </c>
      <c r="G27" s="422"/>
      <c r="H27" s="415"/>
      <c r="I27" s="415"/>
      <c r="J27" s="416"/>
      <c r="K27" s="415"/>
      <c r="L27" s="415" t="s">
        <v>4488</v>
      </c>
      <c r="M27" s="415" t="str">
        <f>IF(AX27="PT",VLOOKUP(L27,'Foundation Calculation'!$V$2:$X$40,VLOOKUP(AX27,'Foundation Calculation'!$I$10:$J$13,2,FALSE),0),IF(AX27="K",VLOOKUP(L27,'Foundation Calculation'!$V$42:$X$80,VLOOKUP(AX27,'Foundation Calculation'!$I$10:$J$13,2,FALSE),0),""))</f>
        <v>C11R</v>
      </c>
      <c r="N27" s="415" t="s">
        <v>2797</v>
      </c>
      <c r="O27" s="415" t="s">
        <v>638</v>
      </c>
      <c r="P27" s="415"/>
      <c r="Q27" s="417">
        <v>10</v>
      </c>
      <c r="R27" s="417">
        <v>0</v>
      </c>
      <c r="S27" s="422"/>
      <c r="T27" s="417">
        <v>20</v>
      </c>
      <c r="U27" s="417"/>
      <c r="V27" s="417"/>
      <c r="W27" s="420">
        <v>0.7</v>
      </c>
      <c r="X27" s="417"/>
      <c r="Y27" s="417"/>
      <c r="Z27" s="417"/>
      <c r="AA27" s="417"/>
      <c r="AB27" s="417"/>
      <c r="AC27" s="417" t="s">
        <v>4090</v>
      </c>
      <c r="AD27" s="417"/>
      <c r="AE27" s="417"/>
      <c r="AF27" s="417">
        <v>300</v>
      </c>
      <c r="AG27" s="416">
        <v>93026</v>
      </c>
      <c r="AH27" s="417">
        <v>1780</v>
      </c>
      <c r="AI27" s="417">
        <v>-5510</v>
      </c>
      <c r="AJ27" s="415"/>
      <c r="AK27" s="415"/>
      <c r="AL27" s="415" t="s">
        <v>4490</v>
      </c>
      <c r="AM27" s="415" t="s">
        <v>1043</v>
      </c>
      <c r="AN27" s="422">
        <v>5.19</v>
      </c>
      <c r="AO27" s="415"/>
      <c r="AP27" s="415"/>
      <c r="AQ27" s="422"/>
      <c r="AR27" s="422"/>
      <c r="AS27" s="422"/>
      <c r="AT27" s="422">
        <f>+ab($T$27,$T$25,$T$29,$G$26,$G$28,-1*$F$27,1200)</f>
        <v>6.8963930369017321</v>
      </c>
      <c r="AU27" s="417"/>
      <c r="AV27" s="417"/>
      <c r="AW27" s="417" t="str">
        <f>VLOOKUP(C27,'Foundation Calculation'!$A$2:$C$33,3,1)</f>
        <v>Soil B</v>
      </c>
      <c r="AX27" s="417" t="s">
        <v>1371</v>
      </c>
      <c r="AY27" s="422">
        <f>IF(AX27="PT",VLOOKUP(L27,'Foundation Calculation'!$K$2:$R$40,VLOOKUP(AW27,'Foundation Calculation'!$I$2:$J$8,2,FALSE),0),IF(AX27="K",VLOOKUP(L27,'Foundation Calculation'!$K$42:$R$80,VLOOKUP(AW27,'Foundation Calculation'!$I$2:$J$8,2,FALSE),0),""))</f>
        <v>4.5999999999999996</v>
      </c>
      <c r="AZ27" s="422"/>
      <c r="BA27" s="604" t="s">
        <v>2809</v>
      </c>
      <c r="BB27" s="414" t="str">
        <f>Pole_Calculations!A178</f>
        <v>App.8-V08F-P10.3</v>
      </c>
      <c r="BC27" s="169"/>
      <c r="BD27" s="1329">
        <v>43731</v>
      </c>
      <c r="BE27" s="1329" t="s">
        <v>4946</v>
      </c>
      <c r="BF27" s="1329"/>
      <c r="BG27" s="1329">
        <v>43870</v>
      </c>
    </row>
    <row r="28" spans="1:59" ht="15.75" customHeight="1">
      <c r="A28" s="414"/>
      <c r="B28" s="415"/>
      <c r="C28" s="416"/>
      <c r="D28" s="417"/>
      <c r="E28" s="417"/>
      <c r="F28" s="418"/>
      <c r="G28" s="422">
        <v>28</v>
      </c>
      <c r="H28" s="417"/>
      <c r="I28" s="417"/>
      <c r="J28" s="416"/>
      <c r="K28" s="417"/>
      <c r="L28" s="415"/>
      <c r="M28" s="415"/>
      <c r="N28" s="415"/>
      <c r="O28" s="415"/>
      <c r="P28" s="415"/>
      <c r="Q28" s="417"/>
      <c r="R28" s="417"/>
      <c r="S28" s="422">
        <f t="shared" ref="S28" si="6">AG29-AG27</f>
        <v>28</v>
      </c>
      <c r="T28" s="417"/>
      <c r="U28" s="417"/>
      <c r="V28" s="417"/>
      <c r="W28" s="420"/>
      <c r="X28" s="417"/>
      <c r="Y28" s="417"/>
      <c r="Z28" s="417"/>
      <c r="AA28" s="417"/>
      <c r="AB28" s="417"/>
      <c r="AC28" s="417"/>
      <c r="AD28" s="417"/>
      <c r="AE28" s="417"/>
      <c r="AF28" s="417"/>
      <c r="AG28" s="416"/>
      <c r="AH28" s="417"/>
      <c r="AI28" s="607"/>
      <c r="AJ28" s="415"/>
      <c r="AK28" s="415"/>
      <c r="AL28" s="417"/>
      <c r="AM28" s="415"/>
      <c r="AN28" s="422"/>
      <c r="AO28" s="415"/>
      <c r="AP28" s="415"/>
      <c r="AQ28" s="422">
        <f>+FL_1($T$29,$T$27,$G$28,1200,9.28,-1*$F$29)</f>
        <v>0.20000000000000551</v>
      </c>
      <c r="AR28" s="422"/>
      <c r="AS28" s="422"/>
      <c r="AT28" s="422"/>
      <c r="AU28" s="417"/>
      <c r="AV28" s="417"/>
      <c r="AW28" s="422"/>
      <c r="AX28" s="422"/>
      <c r="AY28" s="422" t="str">
        <f>IF(AX28="PT",VLOOKUP(M28,'Foundation Calculation'!$L$2:$R$37,VLOOKUP(AW28,'Foundation Calculation'!$I$2:$J$8,2,FALSE),0),IF(AX28="K",VLOOKUP(M28,'Foundation Calculation'!$L$41:$R$75,VLOOKUP(AW28,'Foundation Calculation'!$I$2:$J$8,2,FALSE),0),""))</f>
        <v/>
      </c>
      <c r="AZ28" s="422" t="str">
        <f>IF(AX28="PT",VLOOKUP(K28,'Foundation Calculation'!$L$2:$R$41,VLOOKUP(AW28,'Foundation Calculation'!$I$2:$J$8,2,FALSE),0),IF(AX28="K",VLOOKUP(K28,'Foundation Calculation'!$L$41:$R$79,VLOOKUP(AW28,'Foundation Calculation'!$I$2:$J$8,2,FALSE),0),""))</f>
        <v/>
      </c>
      <c r="BA28" s="1311"/>
      <c r="BB28" s="414"/>
      <c r="BC28" s="169"/>
      <c r="BD28" s="1330"/>
      <c r="BE28" s="1330"/>
      <c r="BF28" s="1330"/>
      <c r="BG28" s="1330"/>
    </row>
    <row r="29" spans="1:59" ht="15.75" customHeight="1">
      <c r="A29" s="495" t="s">
        <v>1851</v>
      </c>
      <c r="B29" s="494" t="s">
        <v>2698</v>
      </c>
      <c r="C29" s="489">
        <f>+$C$27+$G$28</f>
        <v>93054.949999999983</v>
      </c>
      <c r="D29" s="490"/>
      <c r="E29" s="490"/>
      <c r="F29" s="491">
        <v>0</v>
      </c>
      <c r="G29" s="493"/>
      <c r="H29" s="490"/>
      <c r="I29" s="490"/>
      <c r="J29" s="489"/>
      <c r="K29" s="490"/>
      <c r="L29" s="490" t="s">
        <v>834</v>
      </c>
      <c r="M29" s="490"/>
      <c r="N29" s="495" t="s">
        <v>2789</v>
      </c>
      <c r="O29" s="495"/>
      <c r="P29" s="490"/>
      <c r="Q29" s="490">
        <v>10</v>
      </c>
      <c r="R29" s="490">
        <v>0</v>
      </c>
      <c r="S29" s="493"/>
      <c r="T29" s="490">
        <v>-20</v>
      </c>
      <c r="U29" s="490"/>
      <c r="V29" s="490"/>
      <c r="W29" s="495">
        <v>0.7</v>
      </c>
      <c r="X29" s="490"/>
      <c r="Y29" s="490"/>
      <c r="Z29" s="490"/>
      <c r="AA29" s="490"/>
      <c r="AB29" s="490"/>
      <c r="AC29" s="490" t="s">
        <v>4090</v>
      </c>
      <c r="AD29" s="490"/>
      <c r="AE29" s="490"/>
      <c r="AF29" s="490">
        <v>807</v>
      </c>
      <c r="AG29" s="489">
        <v>93054</v>
      </c>
      <c r="AH29" s="490">
        <v>2813</v>
      </c>
      <c r="AI29" s="640">
        <v>-4550</v>
      </c>
      <c r="AJ29" s="490"/>
      <c r="AK29" s="495"/>
      <c r="AL29" s="490"/>
      <c r="AM29" s="490" t="s">
        <v>2129</v>
      </c>
      <c r="AN29" s="493">
        <v>5.15</v>
      </c>
      <c r="AO29" s="495"/>
      <c r="AP29" s="494"/>
      <c r="AQ29" s="493"/>
      <c r="AR29" s="493"/>
      <c r="AS29" s="493"/>
      <c r="AT29" s="493">
        <f>+ab($T$29,$T$27,$T$31,$G$28,$G$30,-1*$F$29,1200)</f>
        <v>-8.0144850663224201</v>
      </c>
      <c r="AU29" s="490"/>
      <c r="AV29" s="490"/>
      <c r="AW29" s="490" t="s">
        <v>2846</v>
      </c>
      <c r="AX29" s="490"/>
      <c r="AY29" s="493"/>
      <c r="AZ29" s="493"/>
      <c r="BA29" s="602" t="s">
        <v>2809</v>
      </c>
      <c r="BB29" s="495"/>
      <c r="BC29" s="169"/>
      <c r="BD29" s="1330"/>
      <c r="BE29" s="1329">
        <v>43807</v>
      </c>
      <c r="BF29" s="1330"/>
      <c r="BG29" s="1329">
        <v>43814</v>
      </c>
    </row>
    <row r="30" spans="1:59" ht="15.75" customHeight="1">
      <c r="A30" s="488"/>
      <c r="B30" s="494"/>
      <c r="C30" s="489"/>
      <c r="D30" s="490"/>
      <c r="E30" s="490"/>
      <c r="F30" s="491"/>
      <c r="G30" s="493">
        <v>42.1</v>
      </c>
      <c r="H30" s="490"/>
      <c r="I30" s="495"/>
      <c r="J30" s="489">
        <f>C31-7.5</f>
        <v>93089.549999999988</v>
      </c>
      <c r="K30" s="490" t="s">
        <v>2788</v>
      </c>
      <c r="L30" s="494"/>
      <c r="M30" s="494"/>
      <c r="N30" s="495"/>
      <c r="O30" s="495"/>
      <c r="P30" s="490"/>
      <c r="Q30" s="490"/>
      <c r="R30" s="490"/>
      <c r="S30" s="493">
        <f t="shared" ref="S30" si="7">AG31-AG29</f>
        <v>43</v>
      </c>
      <c r="T30" s="490"/>
      <c r="U30" s="490"/>
      <c r="V30" s="490"/>
      <c r="W30" s="495"/>
      <c r="X30" s="490"/>
      <c r="Y30" s="490"/>
      <c r="Z30" s="490"/>
      <c r="AA30" s="490"/>
      <c r="AB30" s="490"/>
      <c r="AC30" s="490"/>
      <c r="AD30" s="490"/>
      <c r="AE30" s="490"/>
      <c r="AF30" s="490"/>
      <c r="AG30" s="489"/>
      <c r="AH30" s="490"/>
      <c r="AI30" s="640"/>
      <c r="AJ30" s="490"/>
      <c r="AK30" s="495"/>
      <c r="AL30" s="490"/>
      <c r="AM30" s="490"/>
      <c r="AN30" s="457"/>
      <c r="AO30" s="495"/>
      <c r="AP30" s="494"/>
      <c r="AQ30" s="493">
        <f>+FL_1($T$31,$T$29,$G$30,1200,9.28,-1*$F$31)</f>
        <v>0.22969884419952494</v>
      </c>
      <c r="AR30" s="493"/>
      <c r="AS30" s="493"/>
      <c r="AT30" s="493"/>
      <c r="AU30" s="490"/>
      <c r="AV30" s="490"/>
      <c r="AW30" s="493" t="str">
        <f>VLOOKUP(J30,'Foundation Calculation'!$A$2:$C$33,3,1)</f>
        <v>Soil B</v>
      </c>
      <c r="AX30" s="493" t="s">
        <v>1371</v>
      </c>
      <c r="AY30" s="493"/>
      <c r="AZ30" s="493">
        <f>IF(AX30="PT",VLOOKUP(K30,'Foundation Calculation'!$K$2:$R$40,VLOOKUP(AW30,'Foundation Calculation'!$I$2:$J$8,2,FALSE),0),IF(AX30="K",VLOOKUP(K30,'Foundation Calculation'!$K$42:$R$80,VLOOKUP(AW30,'Foundation Calculation'!$I$2:$J$8,2,FALSE),0),""))</f>
        <v>2.8</v>
      </c>
      <c r="BA30" s="1312" t="s">
        <v>2809</v>
      </c>
      <c r="BB30" s="488"/>
      <c r="BC30" s="169"/>
      <c r="BD30" s="1329">
        <v>43802</v>
      </c>
      <c r="BE30" s="1330"/>
      <c r="BF30" s="1330"/>
      <c r="BG30" s="1330"/>
    </row>
    <row r="31" spans="1:59" ht="15.75" customHeight="1">
      <c r="A31" s="414" t="s">
        <v>2605</v>
      </c>
      <c r="B31" s="415" t="s">
        <v>2699</v>
      </c>
      <c r="C31" s="416">
        <f>+$C$29+$G$30</f>
        <v>93097.049999999988</v>
      </c>
      <c r="D31" s="417"/>
      <c r="E31" s="417"/>
      <c r="F31" s="418">
        <v>0</v>
      </c>
      <c r="G31" s="422"/>
      <c r="H31" s="420" t="s">
        <v>873</v>
      </c>
      <c r="I31" s="444"/>
      <c r="J31" s="416"/>
      <c r="K31" s="417"/>
      <c r="L31" s="415" t="s">
        <v>230</v>
      </c>
      <c r="M31" s="415" t="str">
        <f>IF(AX31="PT",VLOOKUP(L31,'Foundation Calculation'!$V$2:$X$40,VLOOKUP(AX31,'Foundation Calculation'!$I$10:$J$13,2,FALSE),0),IF(AX31="K",VLOOKUP(L31,'Foundation Calculation'!$V$42:$X$80,VLOOKUP(AX31,'Foundation Calculation'!$I$10:$J$13,2,FALSE),0),""))</f>
        <v>C4R</v>
      </c>
      <c r="N31" s="420" t="s">
        <v>144</v>
      </c>
      <c r="O31" s="420"/>
      <c r="P31" s="417"/>
      <c r="Q31" s="417">
        <v>0</v>
      </c>
      <c r="R31" s="417">
        <v>0</v>
      </c>
      <c r="S31" s="422"/>
      <c r="T31" s="417">
        <v>20</v>
      </c>
      <c r="U31" s="417"/>
      <c r="V31" s="417"/>
      <c r="W31" s="420">
        <v>0.7</v>
      </c>
      <c r="X31" s="417"/>
      <c r="Y31" s="417"/>
      <c r="Z31" s="417"/>
      <c r="AA31" s="417"/>
      <c r="AB31" s="417"/>
      <c r="AC31" s="417" t="s">
        <v>4090</v>
      </c>
      <c r="AD31" s="417"/>
      <c r="AE31" s="417"/>
      <c r="AF31" s="417">
        <v>5800</v>
      </c>
      <c r="AG31" s="416">
        <v>93097</v>
      </c>
      <c r="AH31" s="417">
        <v>1953</v>
      </c>
      <c r="AI31" s="417">
        <v>410</v>
      </c>
      <c r="AJ31" s="417"/>
      <c r="AK31" s="420"/>
      <c r="AL31" s="417"/>
      <c r="AM31" s="417" t="s">
        <v>1043</v>
      </c>
      <c r="AN31" s="444">
        <v>5.15</v>
      </c>
      <c r="AO31" s="420"/>
      <c r="AP31" s="415"/>
      <c r="AQ31" s="422"/>
      <c r="AR31" s="422"/>
      <c r="AS31" s="422"/>
      <c r="AT31" s="422">
        <f>+ab($T$31,$T$29,$T$33,$G$30,$G$32,-1*$F$31,1200)</f>
        <v>10.615442309736105</v>
      </c>
      <c r="AU31" s="417"/>
      <c r="AV31" s="417"/>
      <c r="AW31" s="417" t="str">
        <f>VLOOKUP(C31,'Foundation Calculation'!$A$2:$C$33,3,1)</f>
        <v>Soil B</v>
      </c>
      <c r="AX31" s="422" t="s">
        <v>1371</v>
      </c>
      <c r="AY31" s="422">
        <f>IF(AX31="PT",VLOOKUP(L31,'Foundation Calculation'!$K$2:$R$40,VLOOKUP(AW31,'Foundation Calculation'!$I$2:$J$8,2,FALSE),0),IF(AX31="K",VLOOKUP(L31,'Foundation Calculation'!$K$42:$R$80,VLOOKUP(AW31,'Foundation Calculation'!$I$2:$J$8,2,FALSE),0),""))</f>
        <v>3.5</v>
      </c>
      <c r="AZ31" s="422"/>
      <c r="BA31" s="604" t="s">
        <v>2809</v>
      </c>
      <c r="BB31" s="414" t="str">
        <f>Pole_Calculations!A17</f>
        <v>App.7-V11A-P9.5.1.3</v>
      </c>
      <c r="BC31" s="169"/>
      <c r="BD31" s="1329">
        <v>43802</v>
      </c>
      <c r="BE31" s="1329">
        <v>43807</v>
      </c>
      <c r="BF31" s="1330"/>
      <c r="BG31" s="1329">
        <v>43814</v>
      </c>
    </row>
    <row r="32" spans="1:59" ht="15.75" customHeight="1">
      <c r="A32" s="414" t="s">
        <v>1854</v>
      </c>
      <c r="B32" s="415"/>
      <c r="C32" s="416"/>
      <c r="D32" s="417"/>
      <c r="E32" s="417"/>
      <c r="F32" s="418"/>
      <c r="G32" s="422">
        <v>47.8</v>
      </c>
      <c r="H32" s="420"/>
      <c r="I32" s="444">
        <f>SUM(G6:G32)</f>
        <v>530.9</v>
      </c>
      <c r="J32" s="416"/>
      <c r="K32" s="417"/>
      <c r="L32" s="415"/>
      <c r="M32" s="415"/>
      <c r="N32" s="420"/>
      <c r="O32" s="420"/>
      <c r="P32" s="417"/>
      <c r="Q32" s="417"/>
      <c r="R32" s="417"/>
      <c r="S32" s="422">
        <f t="shared" ref="S32" si="8">AG33-AG31</f>
        <v>47</v>
      </c>
      <c r="T32" s="417"/>
      <c r="U32" s="417"/>
      <c r="V32" s="417"/>
      <c r="W32" s="420"/>
      <c r="X32" s="417"/>
      <c r="Y32" s="417"/>
      <c r="Z32" s="417"/>
      <c r="AA32" s="417"/>
      <c r="AB32" s="417"/>
      <c r="AC32" s="417"/>
      <c r="AD32" s="417"/>
      <c r="AE32" s="417"/>
      <c r="AF32" s="417"/>
      <c r="AG32" s="416"/>
      <c r="AH32" s="417"/>
      <c r="AI32" s="417"/>
      <c r="AJ32" s="417"/>
      <c r="AK32" s="420"/>
      <c r="AL32" s="417"/>
      <c r="AM32" s="417"/>
      <c r="AN32" s="444"/>
      <c r="AO32" s="420"/>
      <c r="AP32" s="415"/>
      <c r="AQ32" s="422">
        <f>+FL_1($T$33,$T$31,$G$32,1200,9.28,-1*$F$33)</f>
        <v>0.26614380505439322</v>
      </c>
      <c r="AR32" s="422"/>
      <c r="AS32" s="422"/>
      <c r="AT32" s="422"/>
      <c r="AU32" s="417"/>
      <c r="AV32" s="417"/>
      <c r="AW32" s="422"/>
      <c r="AX32" s="422"/>
      <c r="AY32" s="422" t="str">
        <f>IF(AX32="PT",VLOOKUP(M32,'Foundation Calculation'!$L$2:$R$37,VLOOKUP(AW32,'Foundation Calculation'!$I$2:$J$8,2,FALSE),0),IF(AX32="K",VLOOKUP(M32,'Foundation Calculation'!$L$41:$R$75,VLOOKUP(AW32,'Foundation Calculation'!$I$2:$J$8,2,FALSE),0),""))</f>
        <v/>
      </c>
      <c r="AZ32" s="422" t="str">
        <f>IF(AX32="PT",VLOOKUP(K32,'Foundation Calculation'!$L$2:$R$41,VLOOKUP(AW32,'Foundation Calculation'!$I$2:$J$8,2,FALSE),0),IF(AX32="K",VLOOKUP(K32,'Foundation Calculation'!$L$41:$R$79,VLOOKUP(AW32,'Foundation Calculation'!$I$2:$J$8,2,FALSE),0),""))</f>
        <v/>
      </c>
      <c r="BA32" s="604"/>
      <c r="BB32" s="414"/>
      <c r="BC32" s="169"/>
      <c r="BD32" s="1330"/>
      <c r="BE32" s="1330"/>
      <c r="BF32" s="1330"/>
      <c r="BG32" s="1330"/>
    </row>
    <row r="33" spans="1:59" ht="15.75" customHeight="1">
      <c r="A33" s="414"/>
      <c r="B33" s="415" t="s">
        <v>2700</v>
      </c>
      <c r="C33" s="416">
        <f>+$C$31+$G$32-0.5</f>
        <v>93144.349999999991</v>
      </c>
      <c r="D33" s="417"/>
      <c r="E33" s="417"/>
      <c r="F33" s="418">
        <v>0</v>
      </c>
      <c r="G33" s="422"/>
      <c r="H33" s="420" t="s">
        <v>874</v>
      </c>
      <c r="I33" s="444"/>
      <c r="J33" s="416"/>
      <c r="K33" s="417"/>
      <c r="L33" s="415" t="s">
        <v>229</v>
      </c>
      <c r="M33" s="415" t="str">
        <f>IF(AX33="PT",VLOOKUP(L33,'Foundation Calculation'!$V$2:$X$40,VLOOKUP(AX33,'Foundation Calculation'!$I$10:$J$13,2,FALSE),0),IF(AX33="K",VLOOKUP(L33,'Foundation Calculation'!$V$42:$X$80,VLOOKUP(AX33,'Foundation Calculation'!$I$10:$J$13,2,FALSE),0),""))</f>
        <v>C3R</v>
      </c>
      <c r="N33" s="420" t="s">
        <v>2789</v>
      </c>
      <c r="O33" s="420"/>
      <c r="P33" s="417"/>
      <c r="Q33" s="417">
        <v>0</v>
      </c>
      <c r="R33" s="417">
        <v>0</v>
      </c>
      <c r="S33" s="422"/>
      <c r="T33" s="417">
        <v>-20</v>
      </c>
      <c r="U33" s="417"/>
      <c r="V33" s="417"/>
      <c r="W33" s="420">
        <v>0.8</v>
      </c>
      <c r="X33" s="417"/>
      <c r="Y33" s="417"/>
      <c r="Z33" s="417"/>
      <c r="AA33" s="417"/>
      <c r="AB33" s="417"/>
      <c r="AC33" s="417" t="s">
        <v>4115</v>
      </c>
      <c r="AD33" s="417"/>
      <c r="AE33" s="417"/>
      <c r="AF33" s="417">
        <v>5800</v>
      </c>
      <c r="AG33" s="416">
        <v>93144</v>
      </c>
      <c r="AH33" s="417">
        <v>1813</v>
      </c>
      <c r="AI33" s="417">
        <v>400</v>
      </c>
      <c r="AJ33" s="417"/>
      <c r="AK33" s="420"/>
      <c r="AL33" s="417"/>
      <c r="AM33" s="417" t="s">
        <v>1043</v>
      </c>
      <c r="AN33" s="444">
        <v>5.15</v>
      </c>
      <c r="AO33" s="420"/>
      <c r="AP33" s="415"/>
      <c r="AQ33" s="422"/>
      <c r="AR33" s="422"/>
      <c r="AS33" s="422"/>
      <c r="AT33" s="422">
        <f>+ab($T$33,$T$31,$T$35,$G$32,$G$34,-1*$F$33,1200)</f>
        <v>-15.104618341272749</v>
      </c>
      <c r="AU33" s="417"/>
      <c r="AV33" s="417"/>
      <c r="AW33" s="422" t="str">
        <f>VLOOKUP(C33,'Foundation Calculation'!$A$2:$C$33,3,1)</f>
        <v>Soil B</v>
      </c>
      <c r="AX33" s="422" t="s">
        <v>1371</v>
      </c>
      <c r="AY33" s="422">
        <f>IF(AX33="PT",VLOOKUP(L33,'Foundation Calculation'!$K$2:$R$40,VLOOKUP(AW33,'Foundation Calculation'!$I$2:$J$8,2,FALSE),0),IF(AX33="K",VLOOKUP(L33,'Foundation Calculation'!$K$42:$R$80,VLOOKUP(AW33,'Foundation Calculation'!$I$2:$J$8,2,FALSE),0),""))</f>
        <v>3.5</v>
      </c>
      <c r="AZ33" s="422"/>
      <c r="BA33" s="604" t="s">
        <v>2809</v>
      </c>
      <c r="BB33" s="414" t="str">
        <f>Pole_Calculations!A16</f>
        <v>App.7-V11A-P9.5.1.2</v>
      </c>
      <c r="BC33" s="169"/>
      <c r="BD33" s="1330">
        <v>43802</v>
      </c>
      <c r="BE33" s="1330">
        <v>43807</v>
      </c>
      <c r="BF33" s="1330"/>
      <c r="BG33" s="1330">
        <v>43814</v>
      </c>
    </row>
    <row r="34" spans="1:59" ht="15.75" customHeight="1">
      <c r="A34" s="414"/>
      <c r="B34" s="415"/>
      <c r="C34" s="416"/>
      <c r="D34" s="417"/>
      <c r="E34" s="417"/>
      <c r="F34" s="418"/>
      <c r="G34" s="422">
        <v>49.5</v>
      </c>
      <c r="H34" s="420"/>
      <c r="I34" s="444">
        <v>547.67999999999995</v>
      </c>
      <c r="J34" s="416"/>
      <c r="K34" s="417"/>
      <c r="L34" s="415"/>
      <c r="M34" s="415"/>
      <c r="N34" s="420"/>
      <c r="O34" s="420"/>
      <c r="P34" s="417"/>
      <c r="Q34" s="417"/>
      <c r="R34" s="417"/>
      <c r="S34" s="422">
        <f t="shared" ref="S34" si="9">AG35-AG33</f>
        <v>48.55000000000291</v>
      </c>
      <c r="T34" s="417"/>
      <c r="U34" s="417"/>
      <c r="V34" s="417"/>
      <c r="W34" s="420"/>
      <c r="X34" s="417"/>
      <c r="Y34" s="417"/>
      <c r="Z34" s="417"/>
      <c r="AA34" s="417"/>
      <c r="AB34" s="417"/>
      <c r="AC34" s="417"/>
      <c r="AD34" s="417"/>
      <c r="AE34" s="417"/>
      <c r="AF34" s="417"/>
      <c r="AG34" s="416"/>
      <c r="AH34" s="417"/>
      <c r="AI34" s="417"/>
      <c r="AJ34" s="417"/>
      <c r="AK34" s="420"/>
      <c r="AL34" s="417"/>
      <c r="AM34" s="417"/>
      <c r="AN34" s="444"/>
      <c r="AO34" s="420"/>
      <c r="AP34" s="415"/>
      <c r="AQ34" s="422">
        <f>+FL_1($T$35,$T$33,$G$34,1200,9.28,-1*$F$35)</f>
        <v>0.14741236109090902</v>
      </c>
      <c r="AR34" s="422"/>
      <c r="AS34" s="422"/>
      <c r="AT34" s="422"/>
      <c r="AU34" s="417"/>
      <c r="AV34" s="417"/>
      <c r="AW34" s="422"/>
      <c r="AX34" s="422"/>
      <c r="AY34" s="422" t="str">
        <f>IF(AX34="PT",VLOOKUP(M34,'Foundation Calculation'!$L$2:$R$37,VLOOKUP(AW34,'Foundation Calculation'!$I$2:$J$8,2,FALSE),0),IF(AX34="K",VLOOKUP(M34,'Foundation Calculation'!$L$41:$R$75,VLOOKUP(AW34,'Foundation Calculation'!$I$2:$J$8,2,FALSE),0),""))</f>
        <v/>
      </c>
      <c r="AZ34" s="422" t="str">
        <f>IF(AX34="PT",VLOOKUP(K34,'Foundation Calculation'!$L$2:$R$41,VLOOKUP(AW34,'Foundation Calculation'!$I$2:$J$8,2,FALSE),0),IF(AX34="K",VLOOKUP(K34,'Foundation Calculation'!$L$41:$R$79,VLOOKUP(AW34,'Foundation Calculation'!$I$2:$J$8,2,FALSE),0),""))</f>
        <v/>
      </c>
      <c r="BA34" s="604"/>
      <c r="BB34" s="414"/>
      <c r="BC34" s="169"/>
      <c r="BD34" s="1330"/>
      <c r="BE34" s="1330"/>
      <c r="BF34" s="1330"/>
      <c r="BG34" s="1330"/>
    </row>
    <row r="35" spans="1:59" ht="15.75" customHeight="1">
      <c r="A35" s="414"/>
      <c r="B35" s="415" t="s">
        <v>2701</v>
      </c>
      <c r="C35" s="416">
        <f>+$C$33+$G$34</f>
        <v>93193.849999999991</v>
      </c>
      <c r="D35" s="417"/>
      <c r="E35" s="417"/>
      <c r="F35" s="418">
        <v>0</v>
      </c>
      <c r="G35" s="422"/>
      <c r="H35" s="420" t="s">
        <v>873</v>
      </c>
      <c r="I35" s="444"/>
      <c r="J35" s="416"/>
      <c r="K35" s="417"/>
      <c r="L35" s="415" t="s">
        <v>230</v>
      </c>
      <c r="M35" s="415" t="s">
        <v>1691</v>
      </c>
      <c r="N35" s="420" t="s">
        <v>2789</v>
      </c>
      <c r="O35" s="420"/>
      <c r="P35" s="417"/>
      <c r="Q35" s="417">
        <v>0</v>
      </c>
      <c r="R35" s="417">
        <v>0</v>
      </c>
      <c r="S35" s="422"/>
      <c r="T35" s="417">
        <v>0</v>
      </c>
      <c r="U35" s="417"/>
      <c r="V35" s="417"/>
      <c r="W35" s="420">
        <v>0.8</v>
      </c>
      <c r="X35" s="417"/>
      <c r="Y35" s="417"/>
      <c r="Z35" s="417"/>
      <c r="AA35" s="417"/>
      <c r="AB35" s="417"/>
      <c r="AC35" s="417" t="s">
        <v>1417</v>
      </c>
      <c r="AD35" s="417"/>
      <c r="AE35" s="417"/>
      <c r="AF35" s="417">
        <v>4400</v>
      </c>
      <c r="AG35" s="416">
        <v>93192.55</v>
      </c>
      <c r="AH35" s="417">
        <v>2543</v>
      </c>
      <c r="AI35" s="417">
        <v>-980</v>
      </c>
      <c r="AJ35" s="417"/>
      <c r="AK35" s="420"/>
      <c r="AL35" s="417"/>
      <c r="AM35" s="417" t="s">
        <v>1043</v>
      </c>
      <c r="AN35" s="444">
        <v>5.15</v>
      </c>
      <c r="AO35" s="420"/>
      <c r="AP35" s="415"/>
      <c r="AQ35" s="422"/>
      <c r="AR35" s="422"/>
      <c r="AS35" s="422"/>
      <c r="AT35" s="422">
        <f>+ab($T$35,$T$33,$T$37,$G$34,$G$36,-1*$F$35,1200)</f>
        <v>22.613603896371558</v>
      </c>
      <c r="AU35" s="417"/>
      <c r="AV35" s="417"/>
      <c r="AW35" s="422" t="s">
        <v>4498</v>
      </c>
      <c r="AX35" s="422"/>
      <c r="AY35" s="422" t="str">
        <f>IF(AX35="PT",VLOOKUP(M35,'Foundation Calculation'!$L$2:$R$37,VLOOKUP(AW35,'Foundation Calculation'!$I$2:$J$8,2,FALSE),0),IF(AX35="K",VLOOKUP(M35,'Foundation Calculation'!$L$41:$R$75,VLOOKUP(AW35,'Foundation Calculation'!$I$2:$J$8,2,FALSE),0),""))</f>
        <v/>
      </c>
      <c r="AZ35" s="422" t="str">
        <f>IF(AX35="PT",VLOOKUP(K35,'Foundation Calculation'!$L$2:$R$41,VLOOKUP(AW35,'Foundation Calculation'!$I$2:$J$8,2,FALSE),0),IF(AX35="K",VLOOKUP(K35,'Foundation Calculation'!$L$41:$R$79,VLOOKUP(AW35,'Foundation Calculation'!$I$2:$J$8,2,FALSE),0),""))</f>
        <v/>
      </c>
      <c r="BA35" s="604" t="s">
        <v>2809</v>
      </c>
      <c r="BB35" s="414" t="str">
        <f>Pole_Calculations!A17</f>
        <v>App.7-V11A-P9.5.1.3</v>
      </c>
      <c r="BC35" s="169"/>
      <c r="BD35" s="1330">
        <v>43808</v>
      </c>
      <c r="BE35" s="1330">
        <v>43813</v>
      </c>
      <c r="BF35" s="1330"/>
      <c r="BG35" s="1330">
        <v>43838</v>
      </c>
    </row>
    <row r="36" spans="1:59" ht="15.75" customHeight="1">
      <c r="A36" s="495" t="s">
        <v>2606</v>
      </c>
      <c r="B36" s="494"/>
      <c r="C36" s="489"/>
      <c r="D36" s="491"/>
      <c r="E36" s="491"/>
      <c r="F36" s="495"/>
      <c r="G36" s="493">
        <v>50</v>
      </c>
      <c r="H36" s="495"/>
      <c r="I36" s="495"/>
      <c r="J36" s="489">
        <f>C35+7.5</f>
        <v>93201.349999999991</v>
      </c>
      <c r="K36" s="490" t="s">
        <v>625</v>
      </c>
      <c r="L36" s="494"/>
      <c r="M36" s="494"/>
      <c r="N36" s="495"/>
      <c r="O36" s="495"/>
      <c r="P36" s="490"/>
      <c r="Q36" s="490"/>
      <c r="R36" s="490"/>
      <c r="S36" s="493">
        <f t="shared" ref="S36" si="10">AG37-AG35</f>
        <v>50.319999999992433</v>
      </c>
      <c r="T36" s="490"/>
      <c r="U36" s="490"/>
      <c r="V36" s="490"/>
      <c r="W36" s="495"/>
      <c r="X36" s="490"/>
      <c r="Y36" s="490"/>
      <c r="Z36" s="490"/>
      <c r="AA36" s="490"/>
      <c r="AB36" s="490"/>
      <c r="AC36" s="490"/>
      <c r="AD36" s="490"/>
      <c r="AE36" s="490"/>
      <c r="AF36" s="490"/>
      <c r="AG36" s="489"/>
      <c r="AH36" s="490"/>
      <c r="AI36" s="640"/>
      <c r="AJ36" s="490"/>
      <c r="AK36" s="495"/>
      <c r="AL36" s="490"/>
      <c r="AM36" s="490"/>
      <c r="AN36" s="457"/>
      <c r="AO36" s="495"/>
      <c r="AP36" s="495"/>
      <c r="AQ36" s="493">
        <f>+FL_2($T$37,$T$35,$G$36,1200,9.28,-1*$F$37)</f>
        <v>-0.35201149199999998</v>
      </c>
      <c r="AR36" s="493"/>
      <c r="AS36" s="493"/>
      <c r="AT36" s="493"/>
      <c r="AU36" s="490"/>
      <c r="AV36" s="490"/>
      <c r="AW36" s="493"/>
      <c r="AX36" s="493"/>
      <c r="AY36" s="493" t="str">
        <f>IF(AX36="PT",VLOOKUP(M36,'Foundation Calculation'!$L$2:$R$37,VLOOKUP(AW36,'Foundation Calculation'!$I$2:$J$8,2,FALSE),0),IF(AX36="K",VLOOKUP(M36,'Foundation Calculation'!$L$41:$R$75,VLOOKUP(AW36,'Foundation Calculation'!$I$2:$J$8,2,FALSE),0),""))</f>
        <v/>
      </c>
      <c r="AZ36" s="493" t="str">
        <f>IF(AX36="PT",VLOOKUP(K36,'Foundation Calculation'!$L$2:$R$41,VLOOKUP(AW36,'Foundation Calculation'!$I$2:$J$8,2,FALSE),0),IF(AX36="K",VLOOKUP(K36,'Foundation Calculation'!$L$41:$R$79,VLOOKUP(AW36,'Foundation Calculation'!$I$2:$J$8,2,FALSE),0),""))</f>
        <v/>
      </c>
      <c r="BA36" s="602"/>
      <c r="BB36" s="495"/>
      <c r="BC36" s="169"/>
      <c r="BD36" s="1330"/>
      <c r="BE36" s="1330"/>
      <c r="BF36" s="1330"/>
      <c r="BG36" s="1330"/>
    </row>
    <row r="37" spans="1:59" ht="15.75" customHeight="1">
      <c r="A37" s="414"/>
      <c r="B37" s="415" t="s">
        <v>2702</v>
      </c>
      <c r="C37" s="416">
        <f>+$C$35+$G$36</f>
        <v>93243.849999999991</v>
      </c>
      <c r="D37" s="417"/>
      <c r="E37" s="417"/>
      <c r="F37" s="418">
        <v>0</v>
      </c>
      <c r="G37" s="422"/>
      <c r="H37" s="420"/>
      <c r="I37" s="444"/>
      <c r="J37" s="416"/>
      <c r="K37" s="417"/>
      <c r="L37" s="415" t="s">
        <v>229</v>
      </c>
      <c r="M37" s="415" t="s">
        <v>1690</v>
      </c>
      <c r="N37" s="420" t="s">
        <v>2789</v>
      </c>
      <c r="O37" s="420"/>
      <c r="P37" s="417"/>
      <c r="Q37" s="417">
        <v>0</v>
      </c>
      <c r="R37" s="417">
        <v>0</v>
      </c>
      <c r="S37" s="422"/>
      <c r="T37" s="417">
        <v>-20</v>
      </c>
      <c r="U37" s="417"/>
      <c r="V37" s="417"/>
      <c r="W37" s="420">
        <v>0.8</v>
      </c>
      <c r="X37" s="417"/>
      <c r="Y37" s="417"/>
      <c r="Z37" s="417"/>
      <c r="AA37" s="417"/>
      <c r="AB37" s="417"/>
      <c r="AC37" s="417" t="s">
        <v>1417</v>
      </c>
      <c r="AD37" s="417"/>
      <c r="AE37" s="417"/>
      <c r="AF37" s="417">
        <v>4300</v>
      </c>
      <c r="AG37" s="416">
        <v>93242.87</v>
      </c>
      <c r="AH37" s="417">
        <v>2373</v>
      </c>
      <c r="AI37" s="417">
        <v>-1020</v>
      </c>
      <c r="AJ37" s="417"/>
      <c r="AK37" s="420"/>
      <c r="AL37" s="417"/>
      <c r="AM37" s="417" t="s">
        <v>1043</v>
      </c>
      <c r="AN37" s="444">
        <v>5.15</v>
      </c>
      <c r="AO37" s="420"/>
      <c r="AP37" s="415"/>
      <c r="AQ37" s="422"/>
      <c r="AR37" s="422"/>
      <c r="AS37" s="422"/>
      <c r="AT37" s="422">
        <f>+ab($T$37,$T$35,$T$39,$G$36,$G$38,-1*$F$37,1200)</f>
        <v>-14.087635050494809</v>
      </c>
      <c r="AU37" s="417"/>
      <c r="AV37" s="417"/>
      <c r="AW37" s="422" t="s">
        <v>4498</v>
      </c>
      <c r="AX37" s="422"/>
      <c r="AY37" s="422" t="str">
        <f>IF(AX37="PT",VLOOKUP(M37,'Foundation Calculation'!$L$2:$R$37,VLOOKUP(AW37,'Foundation Calculation'!$I$2:$J$8,2,FALSE),0),IF(AX37="K",VLOOKUP(M37,'Foundation Calculation'!$L$41:$R$75,VLOOKUP(AW37,'Foundation Calculation'!$I$2:$J$8,2,FALSE),0),""))</f>
        <v/>
      </c>
      <c r="AZ37" s="422" t="str">
        <f>IF(AX37="PT",VLOOKUP(K37,'Foundation Calculation'!$L$2:$R$41,VLOOKUP(AW37,'Foundation Calculation'!$I$2:$J$8,2,FALSE),0),IF(AX37="K",VLOOKUP(K37,'Foundation Calculation'!$L$41:$R$79,VLOOKUP(AW37,'Foundation Calculation'!$I$2:$J$8,2,FALSE),0),""))</f>
        <v/>
      </c>
      <c r="BA37" s="604" t="s">
        <v>2809</v>
      </c>
      <c r="BB37" s="414" t="str">
        <f>Pole_Calculations!A15</f>
        <v>App.7-V11A-P9.5.1.1</v>
      </c>
      <c r="BC37" s="169"/>
      <c r="BD37" s="1329">
        <v>43808</v>
      </c>
      <c r="BE37" s="1329">
        <v>43813</v>
      </c>
      <c r="BF37" s="1330"/>
      <c r="BG37" s="1329">
        <v>43838</v>
      </c>
    </row>
    <row r="38" spans="1:59" ht="15.75" customHeight="1">
      <c r="A38" s="414"/>
      <c r="B38" s="415"/>
      <c r="C38" s="416"/>
      <c r="D38" s="417"/>
      <c r="E38" s="417"/>
      <c r="F38" s="418"/>
      <c r="G38" s="422">
        <v>42.8</v>
      </c>
      <c r="H38" s="420"/>
      <c r="I38" s="444"/>
      <c r="J38" s="416"/>
      <c r="K38" s="417"/>
      <c r="L38" s="415"/>
      <c r="M38" s="415"/>
      <c r="N38" s="420"/>
      <c r="O38" s="420"/>
      <c r="P38" s="417"/>
      <c r="Q38" s="417"/>
      <c r="R38" s="417"/>
      <c r="S38" s="422">
        <f t="shared" ref="S38" si="11">AG39-AG37</f>
        <v>43.380000000004657</v>
      </c>
      <c r="T38" s="417"/>
      <c r="U38" s="417"/>
      <c r="V38" s="417"/>
      <c r="W38" s="420"/>
      <c r="X38" s="417"/>
      <c r="Y38" s="417"/>
      <c r="Z38" s="417"/>
      <c r="AA38" s="417"/>
      <c r="AB38" s="417"/>
      <c r="AC38" s="417"/>
      <c r="AD38" s="417"/>
      <c r="AE38" s="417"/>
      <c r="AF38" s="417"/>
      <c r="AG38" s="416"/>
      <c r="AH38" s="417"/>
      <c r="AI38" s="417"/>
      <c r="AJ38" s="417"/>
      <c r="AK38" s="420"/>
      <c r="AL38" s="417"/>
      <c r="AM38" s="417"/>
      <c r="AN38" s="444"/>
      <c r="AO38" s="420"/>
      <c r="AP38" s="415"/>
      <c r="AQ38" s="422">
        <f>+FL_2($T$39,$T$37,$G$38,1200,9.28,-1*$F$39)</f>
        <v>-0.23355018887227419</v>
      </c>
      <c r="AR38" s="422"/>
      <c r="AS38" s="422"/>
      <c r="AT38" s="422"/>
      <c r="AU38" s="417"/>
      <c r="AV38" s="417"/>
      <c r="AW38" s="422"/>
      <c r="AX38" s="422"/>
      <c r="AY38" s="422" t="str">
        <f>IF(AX38="PT",VLOOKUP(M38,'Foundation Calculation'!$L$2:$R$37,VLOOKUP(AW38,'Foundation Calculation'!$I$2:$J$8,2,FALSE),0),IF(AX38="K",VLOOKUP(M38,'Foundation Calculation'!$L$41:$R$75,VLOOKUP(AW38,'Foundation Calculation'!$I$2:$J$8,2,FALSE),0),""))</f>
        <v/>
      </c>
      <c r="AZ38" s="422" t="str">
        <f>IF(AX38="PT",VLOOKUP(K38,'Foundation Calculation'!$L$2:$R$41,VLOOKUP(AW38,'Foundation Calculation'!$I$2:$J$8,2,FALSE),0),IF(AX38="K",VLOOKUP(K38,'Foundation Calculation'!$L$41:$R$79,VLOOKUP(AW38,'Foundation Calculation'!$I$2:$J$8,2,FALSE),0),""))</f>
        <v/>
      </c>
      <c r="BA38" s="604"/>
      <c r="BB38" s="414"/>
      <c r="BC38" s="169"/>
      <c r="BD38" s="1330"/>
      <c r="BE38" s="1330"/>
      <c r="BF38" s="1330"/>
      <c r="BG38" s="1330"/>
    </row>
    <row r="39" spans="1:59" ht="15.75" customHeight="1">
      <c r="A39" s="414"/>
      <c r="B39" s="415" t="s">
        <v>2703</v>
      </c>
      <c r="C39" s="416">
        <f>+$C$37+$G$38+0.3</f>
        <v>93286.95</v>
      </c>
      <c r="D39" s="417"/>
      <c r="E39" s="417"/>
      <c r="F39" s="418">
        <v>0</v>
      </c>
      <c r="G39" s="422"/>
      <c r="H39" s="420"/>
      <c r="I39" s="444"/>
      <c r="J39" s="416"/>
      <c r="K39" s="417"/>
      <c r="L39" s="415" t="s">
        <v>229</v>
      </c>
      <c r="M39" s="415" t="s">
        <v>1690</v>
      </c>
      <c r="N39" s="420" t="s">
        <v>144</v>
      </c>
      <c r="O39" s="420"/>
      <c r="P39" s="417"/>
      <c r="Q39" s="417">
        <v>0</v>
      </c>
      <c r="R39" s="417">
        <v>0</v>
      </c>
      <c r="S39" s="422"/>
      <c r="T39" s="417">
        <v>20</v>
      </c>
      <c r="U39" s="417"/>
      <c r="V39" s="417"/>
      <c r="W39" s="420">
        <v>0.5</v>
      </c>
      <c r="X39" s="417"/>
      <c r="Y39" s="417"/>
      <c r="Z39" s="417"/>
      <c r="AA39" s="417"/>
      <c r="AB39" s="417"/>
      <c r="AC39" s="417" t="s">
        <v>4115</v>
      </c>
      <c r="AD39" s="417"/>
      <c r="AE39" s="417"/>
      <c r="AF39" s="417">
        <v>4400</v>
      </c>
      <c r="AG39" s="416">
        <v>93286.25</v>
      </c>
      <c r="AH39" s="417">
        <v>2303</v>
      </c>
      <c r="AI39" s="417">
        <v>-1140</v>
      </c>
      <c r="AJ39" s="417"/>
      <c r="AK39" s="420"/>
      <c r="AL39" s="417"/>
      <c r="AM39" s="417" t="s">
        <v>1043</v>
      </c>
      <c r="AN39" s="444">
        <v>5.15</v>
      </c>
      <c r="AO39" s="420"/>
      <c r="AP39" s="415"/>
      <c r="AQ39" s="422"/>
      <c r="AR39" s="422"/>
      <c r="AS39" s="422"/>
      <c r="AT39" s="422">
        <f>+ab($T$39,$T$37,$T$41,$G$38,$G$40,-1*$F$39,1200)</f>
        <v>8.1178053431269905</v>
      </c>
      <c r="AU39" s="417"/>
      <c r="AV39" s="417"/>
      <c r="AW39" s="422" t="s">
        <v>4498</v>
      </c>
      <c r="AX39" s="422"/>
      <c r="AY39" s="422" t="str">
        <f>IF(AX39="PT",VLOOKUP(M39,'Foundation Calculation'!$L$2:$R$37,VLOOKUP(AW39,'Foundation Calculation'!$I$2:$J$8,2,FALSE),0),IF(AX39="K",VLOOKUP(M39,'Foundation Calculation'!$L$41:$R$75,VLOOKUP(AW39,'Foundation Calculation'!$I$2:$J$8,2,FALSE),0),""))</f>
        <v/>
      </c>
      <c r="AZ39" s="422" t="str">
        <f>IF(AX39="PT",VLOOKUP(K39,'Foundation Calculation'!$L$2:$R$41,VLOOKUP(AW39,'Foundation Calculation'!$I$2:$J$8,2,FALSE),0),IF(AX39="K",VLOOKUP(K39,'Foundation Calculation'!$L$41:$R$79,VLOOKUP(AW39,'Foundation Calculation'!$I$2:$J$8,2,FALSE),0),""))</f>
        <v/>
      </c>
      <c r="BA39" s="604" t="s">
        <v>2809</v>
      </c>
      <c r="BB39" s="414" t="str">
        <f>Pole_Calculations!A15</f>
        <v>App.7-V11A-P9.5.1.1</v>
      </c>
      <c r="BC39" s="169"/>
      <c r="BD39" s="1329">
        <v>43808</v>
      </c>
      <c r="BE39" s="1329">
        <v>43813</v>
      </c>
      <c r="BF39" s="1330"/>
      <c r="BG39" s="1329">
        <v>43838</v>
      </c>
    </row>
    <row r="40" spans="1:59" ht="15.75" customHeight="1">
      <c r="A40" s="414"/>
      <c r="B40" s="415"/>
      <c r="C40" s="416"/>
      <c r="D40" s="417"/>
      <c r="E40" s="417"/>
      <c r="F40" s="418"/>
      <c r="G40" s="422">
        <v>28.3</v>
      </c>
      <c r="H40" s="420"/>
      <c r="I40" s="444"/>
      <c r="J40" s="416"/>
      <c r="K40" s="417"/>
      <c r="L40" s="415"/>
      <c r="M40" s="415"/>
      <c r="N40" s="420"/>
      <c r="O40" s="420"/>
      <c r="P40" s="417"/>
      <c r="Q40" s="417"/>
      <c r="R40" s="417"/>
      <c r="S40" s="422">
        <f t="shared" ref="S40" si="12">AG41-AG39</f>
        <v>28.979999999995925</v>
      </c>
      <c r="T40" s="417"/>
      <c r="U40" s="417"/>
      <c r="V40" s="417"/>
      <c r="W40" s="420"/>
      <c r="X40" s="417"/>
      <c r="Y40" s="417"/>
      <c r="Z40" s="417"/>
      <c r="AA40" s="417"/>
      <c r="AB40" s="417"/>
      <c r="AC40" s="417"/>
      <c r="AD40" s="417"/>
      <c r="AE40" s="417"/>
      <c r="AF40" s="417"/>
      <c r="AG40" s="416"/>
      <c r="AH40" s="417"/>
      <c r="AI40" s="417"/>
      <c r="AJ40" s="417"/>
      <c r="AK40" s="420"/>
      <c r="AL40" s="417"/>
      <c r="AM40" s="417"/>
      <c r="AN40" s="444"/>
      <c r="AO40" s="420"/>
      <c r="AP40" s="415"/>
      <c r="AQ40" s="422">
        <f>+FL_1($T$41,$T$39,$G$40,1200,9.28,-1*$F$41)</f>
        <v>0.23386126475409377</v>
      </c>
      <c r="AR40" s="422"/>
      <c r="AS40" s="422"/>
      <c r="AT40" s="422"/>
      <c r="AU40" s="417"/>
      <c r="AV40" s="417"/>
      <c r="AW40" s="422"/>
      <c r="AX40" s="422"/>
      <c r="AY40" s="422" t="str">
        <f>IF(AX40="PT",VLOOKUP(M40,'Foundation Calculation'!$L$2:$R$37,VLOOKUP(AW40,'Foundation Calculation'!$I$2:$J$8,2,FALSE),0),IF(AX40="K",VLOOKUP(M40,'Foundation Calculation'!$L$41:$R$75,VLOOKUP(AW40,'Foundation Calculation'!$I$2:$J$8,2,FALSE),0),""))</f>
        <v/>
      </c>
      <c r="AZ40" s="422" t="str">
        <f>IF(AX40="PT",VLOOKUP(K40,'Foundation Calculation'!$L$2:$R$41,VLOOKUP(AW40,'Foundation Calculation'!$I$2:$J$8,2,FALSE),0),IF(AX40="K",VLOOKUP(K40,'Foundation Calculation'!$L$41:$R$79,VLOOKUP(AW40,'Foundation Calculation'!$I$2:$J$8,2,FALSE),0),""))</f>
        <v/>
      </c>
      <c r="BA40" s="604"/>
      <c r="BB40" s="414"/>
      <c r="BC40" s="169"/>
      <c r="BD40" s="1330"/>
      <c r="BE40" s="1330"/>
      <c r="BF40" s="1330"/>
      <c r="BG40" s="1330"/>
    </row>
    <row r="41" spans="1:59" ht="15.75" customHeight="1">
      <c r="A41" s="414"/>
      <c r="B41" s="415" t="s">
        <v>2704</v>
      </c>
      <c r="C41" s="416">
        <f>+$C$39+$G$40</f>
        <v>93315.25</v>
      </c>
      <c r="D41" s="417"/>
      <c r="E41" s="417"/>
      <c r="F41" s="418">
        <v>1000</v>
      </c>
      <c r="G41" s="422"/>
      <c r="H41" s="420"/>
      <c r="I41" s="444"/>
      <c r="J41" s="416"/>
      <c r="K41" s="417"/>
      <c r="L41" s="415" t="s">
        <v>230</v>
      </c>
      <c r="M41" s="415" t="s">
        <v>1691</v>
      </c>
      <c r="N41" s="420" t="s">
        <v>2789</v>
      </c>
      <c r="O41" s="420"/>
      <c r="P41" s="417"/>
      <c r="Q41" s="417">
        <v>10</v>
      </c>
      <c r="R41" s="417">
        <v>1015</v>
      </c>
      <c r="S41" s="422"/>
      <c r="T41" s="417">
        <v>-20</v>
      </c>
      <c r="U41" s="417"/>
      <c r="V41" s="417"/>
      <c r="W41" s="420">
        <v>0.8</v>
      </c>
      <c r="X41" s="417"/>
      <c r="Y41" s="417"/>
      <c r="Z41" s="417"/>
      <c r="AA41" s="417"/>
      <c r="AB41" s="417"/>
      <c r="AC41" s="417" t="s">
        <v>3050</v>
      </c>
      <c r="AD41" s="417"/>
      <c r="AE41" s="417"/>
      <c r="AF41" s="417">
        <v>4000</v>
      </c>
      <c r="AG41" s="416">
        <v>93315.23</v>
      </c>
      <c r="AH41" s="417">
        <v>2173</v>
      </c>
      <c r="AI41" s="417">
        <v>-1240</v>
      </c>
      <c r="AJ41" s="417"/>
      <c r="AK41" s="420"/>
      <c r="AL41" s="417"/>
      <c r="AM41" s="417" t="s">
        <v>1043</v>
      </c>
      <c r="AN41" s="444">
        <v>5.15</v>
      </c>
      <c r="AO41" s="420"/>
      <c r="AP41" s="415"/>
      <c r="AQ41" s="422"/>
      <c r="AR41" s="422"/>
      <c r="AS41" s="422"/>
      <c r="AT41" s="422">
        <f>+ab($T$41,$T$39,$T$43,$G$40,$G$42,-1*$F$41,1200)</f>
        <v>-3.3156279962635362</v>
      </c>
      <c r="AU41" s="417"/>
      <c r="AV41" s="417"/>
      <c r="AW41" s="422" t="s">
        <v>4498</v>
      </c>
      <c r="AX41" s="422"/>
      <c r="AY41" s="422" t="str">
        <f>IF(AX41="PT",VLOOKUP(M41,'Foundation Calculation'!$L$2:$R$37,VLOOKUP(AW41,'Foundation Calculation'!$I$2:$J$8,2,FALSE),0),IF(AX41="K",VLOOKUP(M41,'Foundation Calculation'!$L$41:$R$75,VLOOKUP(AW41,'Foundation Calculation'!$I$2:$J$8,2,FALSE),0),""))</f>
        <v/>
      </c>
      <c r="AZ41" s="422" t="str">
        <f>IF(AX41="PT",VLOOKUP(K41,'Foundation Calculation'!$L$2:$R$41,VLOOKUP(AW41,'Foundation Calculation'!$I$2:$J$8,2,FALSE),0),IF(AX41="K",VLOOKUP(K41,'Foundation Calculation'!$L$41:$R$79,VLOOKUP(AW41,'Foundation Calculation'!$I$2:$J$8,2,FALSE),0),""))</f>
        <v/>
      </c>
      <c r="BA41" s="604" t="s">
        <v>2809</v>
      </c>
      <c r="BB41" s="414" t="str">
        <f>Pole_Calculations!A15</f>
        <v>App.7-V11A-P9.5.1.1</v>
      </c>
      <c r="BC41" s="169"/>
      <c r="BD41" s="1329">
        <v>43808</v>
      </c>
      <c r="BE41" s="1329">
        <v>43813</v>
      </c>
      <c r="BF41" s="1330"/>
      <c r="BG41" s="1329">
        <v>43838</v>
      </c>
    </row>
    <row r="42" spans="1:59" ht="15.75" customHeight="1">
      <c r="A42" s="414"/>
      <c r="B42" s="415"/>
      <c r="C42" s="416"/>
      <c r="D42" s="417"/>
      <c r="E42" s="417"/>
      <c r="F42" s="418"/>
      <c r="G42" s="422">
        <v>38</v>
      </c>
      <c r="H42" s="420"/>
      <c r="I42" s="444"/>
      <c r="J42" s="416"/>
      <c r="K42" s="417"/>
      <c r="L42" s="415"/>
      <c r="M42" s="415"/>
      <c r="N42" s="420"/>
      <c r="O42" s="420"/>
      <c r="P42" s="417"/>
      <c r="Q42" s="417"/>
      <c r="R42" s="417"/>
      <c r="S42" s="422">
        <f t="shared" ref="S42" si="13">AG43-AG41</f>
        <v>39.510000000009313</v>
      </c>
      <c r="T42" s="417"/>
      <c r="U42" s="417"/>
      <c r="V42" s="417"/>
      <c r="W42" s="420"/>
      <c r="X42" s="417"/>
      <c r="Y42" s="417"/>
      <c r="Z42" s="417"/>
      <c r="AA42" s="417"/>
      <c r="AB42" s="417"/>
      <c r="AC42" s="417"/>
      <c r="AD42" s="417"/>
      <c r="AE42" s="417"/>
      <c r="AF42" s="417"/>
      <c r="AG42" s="416"/>
      <c r="AH42" s="417"/>
      <c r="AI42" s="417"/>
      <c r="AJ42" s="417"/>
      <c r="AK42" s="420"/>
      <c r="AL42" s="417"/>
      <c r="AM42" s="417"/>
      <c r="AN42" s="444"/>
      <c r="AO42" s="420"/>
      <c r="AP42" s="415"/>
      <c r="AQ42" s="422">
        <f>+FL_2($T$43,$T$41,$G$42,1200,9.28,-1*$F$43)</f>
        <v>-0.21122674589473686</v>
      </c>
      <c r="AR42" s="422"/>
      <c r="AS42" s="422"/>
      <c r="AT42" s="422"/>
      <c r="AU42" s="417"/>
      <c r="AV42" s="417"/>
      <c r="AW42" s="422"/>
      <c r="AX42" s="422"/>
      <c r="AY42" s="422" t="str">
        <f>IF(AX42="PT",VLOOKUP(M42,'Foundation Calculation'!$L$2:$R$37,VLOOKUP(AW42,'Foundation Calculation'!$I$2:$J$8,2,FALSE),0),IF(AX42="K",VLOOKUP(M42,'Foundation Calculation'!$L$41:$R$75,VLOOKUP(AW42,'Foundation Calculation'!$I$2:$J$8,2,FALSE),0),""))</f>
        <v/>
      </c>
      <c r="AZ42" s="422" t="str">
        <f>IF(AX42="PT",VLOOKUP(K42,'Foundation Calculation'!$L$2:$R$41,VLOOKUP(AW42,'Foundation Calculation'!$I$2:$J$8,2,FALSE),0),IF(AX42="K",VLOOKUP(K42,'Foundation Calculation'!$L$41:$R$79,VLOOKUP(AW42,'Foundation Calculation'!$I$2:$J$8,2,FALSE),0),""))</f>
        <v/>
      </c>
      <c r="BA42" s="604"/>
      <c r="BB42" s="414"/>
      <c r="BC42" s="169"/>
      <c r="BD42" s="1330"/>
      <c r="BE42" s="1330"/>
      <c r="BF42" s="1330"/>
      <c r="BG42" s="1330"/>
    </row>
    <row r="43" spans="1:59" ht="15.75" customHeight="1">
      <c r="A43" s="414"/>
      <c r="B43" s="415" t="s">
        <v>2705</v>
      </c>
      <c r="C43" s="416">
        <f>+$C$41+$G$42</f>
        <v>93353.25</v>
      </c>
      <c r="D43" s="417"/>
      <c r="E43" s="417"/>
      <c r="F43" s="418">
        <v>0</v>
      </c>
      <c r="G43" s="422"/>
      <c r="H43" s="420"/>
      <c r="I43" s="444"/>
      <c r="J43" s="416"/>
      <c r="K43" s="417"/>
      <c r="L43" s="415" t="s">
        <v>230</v>
      </c>
      <c r="M43" s="415" t="s">
        <v>1691</v>
      </c>
      <c r="N43" s="420" t="s">
        <v>144</v>
      </c>
      <c r="O43" s="420"/>
      <c r="P43" s="417"/>
      <c r="Q43" s="417">
        <v>0</v>
      </c>
      <c r="R43" s="417">
        <v>0</v>
      </c>
      <c r="S43" s="422"/>
      <c r="T43" s="417">
        <v>20</v>
      </c>
      <c r="U43" s="417"/>
      <c r="V43" s="417"/>
      <c r="W43" s="420">
        <v>1</v>
      </c>
      <c r="X43" s="417"/>
      <c r="Y43" s="417"/>
      <c r="Z43" s="417"/>
      <c r="AA43" s="417"/>
      <c r="AB43" s="417"/>
      <c r="AC43" s="417" t="s">
        <v>1421</v>
      </c>
      <c r="AD43" s="417"/>
      <c r="AE43" s="417"/>
      <c r="AF43" s="417">
        <v>3400</v>
      </c>
      <c r="AG43" s="416">
        <v>93354.74</v>
      </c>
      <c r="AH43" s="417">
        <v>2633</v>
      </c>
      <c r="AI43" s="417">
        <v>-1860</v>
      </c>
      <c r="AJ43" s="417"/>
      <c r="AK43" s="420"/>
      <c r="AL43" s="417"/>
      <c r="AM43" s="417" t="s">
        <v>1043</v>
      </c>
      <c r="AN43" s="444">
        <v>5.15</v>
      </c>
      <c r="AO43" s="420"/>
      <c r="AP43" s="415"/>
      <c r="AQ43" s="422"/>
      <c r="AR43" s="422"/>
      <c r="AS43" s="422"/>
      <c r="AT43" s="422">
        <f>+ab($T$43,$T$41,$T$45,$G$42,$G$44,-1*$F$43,1200)</f>
        <v>9.4122724971597034</v>
      </c>
      <c r="AU43" s="417"/>
      <c r="AV43" s="417"/>
      <c r="AW43" s="422" t="s">
        <v>4498</v>
      </c>
      <c r="AX43" s="422"/>
      <c r="AY43" s="422" t="str">
        <f>IF(AX43="PT",VLOOKUP(M43,'Foundation Calculation'!$L$2:$R$37,VLOOKUP(AW43,'Foundation Calculation'!$I$2:$J$8,2,FALSE),0),IF(AX43="K",VLOOKUP(M43,'Foundation Calculation'!$L$41:$R$75,VLOOKUP(AW43,'Foundation Calculation'!$I$2:$J$8,2,FALSE),0),""))</f>
        <v/>
      </c>
      <c r="AZ43" s="422" t="str">
        <f>IF(AX43="PT",VLOOKUP(K43,'Foundation Calculation'!$L$2:$R$41,VLOOKUP(AW43,'Foundation Calculation'!$I$2:$J$8,2,FALSE),0),IF(AX43="K",VLOOKUP(K43,'Foundation Calculation'!$L$41:$R$79,VLOOKUP(AW43,'Foundation Calculation'!$I$2:$J$8,2,FALSE),0),""))</f>
        <v/>
      </c>
      <c r="BA43" s="604" t="s">
        <v>2809</v>
      </c>
      <c r="BB43" s="414" t="str">
        <f>Pole_Calculations!A15</f>
        <v>App.7-V11A-P9.5.1.1</v>
      </c>
      <c r="BC43" s="169"/>
      <c r="BD43" s="1329">
        <v>43808</v>
      </c>
      <c r="BE43" s="1329">
        <v>43813</v>
      </c>
      <c r="BF43" s="1330"/>
      <c r="BG43" s="1329">
        <v>43838</v>
      </c>
    </row>
    <row r="44" spans="1:59" ht="15.75" customHeight="1">
      <c r="A44" s="1239"/>
      <c r="B44" s="173"/>
      <c r="C44" s="446"/>
      <c r="D44" s="447"/>
      <c r="E44" s="447"/>
      <c r="F44" s="1239"/>
      <c r="G44" s="484">
        <v>31</v>
      </c>
      <c r="H44" s="638"/>
      <c r="I44" s="172"/>
      <c r="J44" s="446"/>
      <c r="K44" s="638"/>
      <c r="L44" s="638"/>
      <c r="M44" s="638"/>
      <c r="N44" s="1239"/>
      <c r="O44" s="1239"/>
      <c r="P44" s="638"/>
      <c r="Q44" s="638"/>
      <c r="R44" s="638"/>
      <c r="S44" s="484">
        <f t="shared" ref="S44" si="14">AG45-AG43</f>
        <v>31.169999999998254</v>
      </c>
      <c r="T44" s="638"/>
      <c r="U44" s="638"/>
      <c r="V44" s="638"/>
      <c r="W44" s="638"/>
      <c r="X44" s="638"/>
      <c r="Y44" s="638"/>
      <c r="Z44" s="638"/>
      <c r="AA44" s="638"/>
      <c r="AB44" s="638"/>
      <c r="AC44" s="638"/>
      <c r="AD44" s="638"/>
      <c r="AE44" s="638"/>
      <c r="AF44" s="638"/>
      <c r="AG44" s="446"/>
      <c r="AH44" s="638"/>
      <c r="AI44" s="185"/>
      <c r="AJ44" s="638"/>
      <c r="AK44" s="1239"/>
      <c r="AL44" s="638"/>
      <c r="AM44" s="638"/>
      <c r="AN44" s="455"/>
      <c r="AO44" s="1239"/>
      <c r="AP44" s="1239"/>
      <c r="AQ44" s="484">
        <f>+FL_2($T$45,$T$43,$G$44,1200,9.28,-1*$F$45)</f>
        <v>-0.10344781079569892</v>
      </c>
      <c r="AR44" s="484"/>
      <c r="AS44" s="484"/>
      <c r="AT44" s="484"/>
      <c r="AU44" s="638"/>
      <c r="AV44" s="638"/>
      <c r="AW44" s="638"/>
      <c r="AX44" s="638"/>
      <c r="AY44" s="484"/>
      <c r="AZ44" s="484"/>
      <c r="BA44" s="671"/>
      <c r="BB44" s="1239"/>
      <c r="BC44" s="169"/>
      <c r="BD44" s="1330"/>
      <c r="BE44" s="1330"/>
      <c r="BF44" s="1330"/>
      <c r="BG44" s="1330"/>
    </row>
    <row r="45" spans="1:59" ht="15.75" customHeight="1">
      <c r="A45" s="1239" t="s">
        <v>2942</v>
      </c>
      <c r="B45" s="445" t="s">
        <v>4925</v>
      </c>
      <c r="C45" s="446">
        <f>+$C$43+$G$44</f>
        <v>93384.25</v>
      </c>
      <c r="D45" s="447"/>
      <c r="E45" s="447"/>
      <c r="F45" s="1239">
        <v>0</v>
      </c>
      <c r="G45" s="484"/>
      <c r="H45" s="638"/>
      <c r="I45" s="638"/>
      <c r="J45" s="446"/>
      <c r="K45" s="638"/>
      <c r="L45" s="638" t="s">
        <v>230</v>
      </c>
      <c r="M45" s="638" t="s">
        <v>1691</v>
      </c>
      <c r="N45" s="1239" t="s">
        <v>2789</v>
      </c>
      <c r="O45" s="1239"/>
      <c r="P45" s="638"/>
      <c r="Q45" s="638">
        <v>0</v>
      </c>
      <c r="R45" s="638">
        <v>1015</v>
      </c>
      <c r="S45" s="484"/>
      <c r="T45" s="638">
        <v>-10</v>
      </c>
      <c r="U45" s="638"/>
      <c r="V45" s="638"/>
      <c r="W45" s="638">
        <v>0.8</v>
      </c>
      <c r="X45" s="638"/>
      <c r="Y45" s="638"/>
      <c r="Z45" s="638"/>
      <c r="AA45" s="638"/>
      <c r="AB45" s="638"/>
      <c r="AC45" s="638" t="s">
        <v>1419</v>
      </c>
      <c r="AD45" s="638"/>
      <c r="AE45" s="638"/>
      <c r="AF45" s="638">
        <v>3300</v>
      </c>
      <c r="AG45" s="446">
        <v>93385.91</v>
      </c>
      <c r="AH45" s="638">
        <v>2803</v>
      </c>
      <c r="AI45" s="185">
        <v>-2070</v>
      </c>
      <c r="AJ45" s="638" t="s">
        <v>877</v>
      </c>
      <c r="AK45" s="1239"/>
      <c r="AL45" s="638"/>
      <c r="AM45" s="638" t="s">
        <v>1043</v>
      </c>
      <c r="AN45" s="455">
        <v>5.15</v>
      </c>
      <c r="AO45" s="1239"/>
      <c r="AP45" s="1239"/>
      <c r="AQ45" s="484"/>
      <c r="AR45" s="484"/>
      <c r="AS45" s="484"/>
      <c r="AT45" s="484">
        <f>+ab($T$45,$T$43,$T$47,$G$44,$G$46,-1*$F$45,1200)</f>
        <v>-8.602614675685917</v>
      </c>
      <c r="AU45" s="638"/>
      <c r="AV45" s="638"/>
      <c r="AW45" s="638" t="s">
        <v>2843</v>
      </c>
      <c r="AX45" s="638"/>
      <c r="AY45" s="484" t="str">
        <f>IF(AX45="PT",VLOOKUP(M45,'Foundation Calculation'!$L$2:$R$37,VLOOKUP(AW45,'Foundation Calculation'!$I$2:$J$8,2,FALSE),0),IF(AX45="K",VLOOKUP(M45,'Foundation Calculation'!$L$41:$R$75,VLOOKUP(AW45,'Foundation Calculation'!$I$2:$J$8,2,FALSE),0),""))</f>
        <v/>
      </c>
      <c r="AZ45" s="484" t="str">
        <f>IF(AX45="PT",VLOOKUP(K45,'Foundation Calculation'!$L$2:$R$41,VLOOKUP(AW45,'Foundation Calculation'!$I$2:$J$8,2,FALSE),0),IF(AX45="K",VLOOKUP(K45,'Foundation Calculation'!$L$41:$R$79,VLOOKUP(AW45,'Foundation Calculation'!$I$2:$J$8,2,FALSE),0),""))</f>
        <v/>
      </c>
      <c r="BA45" s="671" t="s">
        <v>2809</v>
      </c>
      <c r="BB45" s="1239" t="str">
        <f>Pole_Calculations!A15</f>
        <v>App.7-V11A-P9.5.1.1</v>
      </c>
      <c r="BC45" s="169"/>
      <c r="BD45" s="1329" t="s">
        <v>4946</v>
      </c>
      <c r="BE45" s="1329">
        <v>43813</v>
      </c>
      <c r="BF45" s="1330"/>
      <c r="BG45" s="1329">
        <v>43838</v>
      </c>
    </row>
    <row r="46" spans="1:59" ht="15.75" customHeight="1">
      <c r="A46" s="1239"/>
      <c r="B46" s="1239"/>
      <c r="C46" s="1239"/>
      <c r="D46" s="1239"/>
      <c r="E46" s="1239"/>
      <c r="F46" s="1239"/>
      <c r="G46" s="455">
        <v>32.1</v>
      </c>
      <c r="H46" s="1239"/>
      <c r="I46" s="1239"/>
      <c r="J46" s="446"/>
      <c r="K46" s="638"/>
      <c r="L46" s="638"/>
      <c r="M46" s="638"/>
      <c r="N46" s="1239"/>
      <c r="O46" s="1239"/>
      <c r="P46" s="638"/>
      <c r="Q46" s="638"/>
      <c r="R46" s="638"/>
      <c r="S46" s="484">
        <f t="shared" ref="S46" si="15">AG47-AG45</f>
        <v>34.009999999994761</v>
      </c>
      <c r="T46" s="638"/>
      <c r="U46" s="638"/>
      <c r="V46" s="638"/>
      <c r="W46" s="638"/>
      <c r="X46" s="638"/>
      <c r="Y46" s="638"/>
      <c r="Z46" s="638"/>
      <c r="AA46" s="638"/>
      <c r="AB46" s="638"/>
      <c r="AC46" s="638"/>
      <c r="AD46" s="638"/>
      <c r="AE46" s="638"/>
      <c r="AF46" s="638"/>
      <c r="AG46" s="446"/>
      <c r="AH46" s="638"/>
      <c r="AI46" s="185"/>
      <c r="AJ46" s="638" t="s">
        <v>864</v>
      </c>
      <c r="AK46" s="1239"/>
      <c r="AL46" s="638"/>
      <c r="AM46" s="638"/>
      <c r="AN46" s="455"/>
      <c r="AO46" s="1239"/>
      <c r="AP46" s="1239"/>
      <c r="AQ46" s="484">
        <f>+FL_1($T$47,$T$45,$G$46,1200,9.28,-1*$F$47)</f>
        <v>0.3</v>
      </c>
      <c r="AR46" s="484"/>
      <c r="AS46" s="484"/>
      <c r="AT46" s="484"/>
      <c r="AU46" s="638"/>
      <c r="AV46" s="638"/>
      <c r="AW46" s="638"/>
      <c r="AX46" s="638"/>
      <c r="AY46" s="484" t="str">
        <f>IF(AX46="PT",VLOOKUP(M46,'Foundation Calculation'!$L$2:$R$37,VLOOKUP(AW46,'Foundation Calculation'!$I$2:$J$8,2,FALSE),0),IF(AX46="K",VLOOKUP(M46,'Foundation Calculation'!$L$41:$R$75,VLOOKUP(AW46,'Foundation Calculation'!$I$2:$J$8,2,FALSE),0),""))</f>
        <v/>
      </c>
      <c r="AZ46" s="484" t="str">
        <f>IF(AX46="PT",VLOOKUP(K46,'Foundation Calculation'!$L$2:$R$41,VLOOKUP(AW46,'Foundation Calculation'!$I$2:$J$8,2,FALSE),0),IF(AX46="K",VLOOKUP(K46,'Foundation Calculation'!$L$41:$R$79,VLOOKUP(AW46,'Foundation Calculation'!$I$2:$J$8,2,FALSE),0),""))</f>
        <v/>
      </c>
      <c r="BA46" s="671"/>
      <c r="BB46" s="1239"/>
      <c r="BC46" s="169"/>
      <c r="BD46" s="1330"/>
      <c r="BE46" s="1330"/>
      <c r="BF46" s="1330"/>
      <c r="BG46" s="1330"/>
    </row>
    <row r="47" spans="1:59" ht="15.75" customHeight="1">
      <c r="A47" s="1239" t="s">
        <v>4226</v>
      </c>
      <c r="B47" s="445" t="s">
        <v>2669</v>
      </c>
      <c r="C47" s="171">
        <f>+$C$45+$G$46</f>
        <v>93416.35</v>
      </c>
      <c r="D47" s="1239"/>
      <c r="E47" s="1239"/>
      <c r="F47" s="1239">
        <v>0</v>
      </c>
      <c r="G47" s="455"/>
      <c r="H47" s="1239" t="s">
        <v>4958</v>
      </c>
      <c r="I47" s="1239"/>
      <c r="J47" s="446"/>
      <c r="K47" s="638"/>
      <c r="L47" s="638" t="s">
        <v>895</v>
      </c>
      <c r="M47" s="638" t="s">
        <v>1717</v>
      </c>
      <c r="N47" s="1239" t="s">
        <v>2797</v>
      </c>
      <c r="O47" s="1239" t="s">
        <v>2796</v>
      </c>
      <c r="P47" s="638"/>
      <c r="Q47" s="638">
        <v>0</v>
      </c>
      <c r="R47" s="638">
        <v>610</v>
      </c>
      <c r="S47" s="484"/>
      <c r="T47" s="638">
        <v>30</v>
      </c>
      <c r="U47" s="638">
        <v>15</v>
      </c>
      <c r="V47" s="638"/>
      <c r="W47" s="638">
        <v>0.65</v>
      </c>
      <c r="X47" s="638">
        <v>0.65</v>
      </c>
      <c r="Y47" s="638"/>
      <c r="Z47" s="638"/>
      <c r="AA47" s="638"/>
      <c r="AB47" s="638"/>
      <c r="AC47" s="638" t="s">
        <v>1417</v>
      </c>
      <c r="AD47" s="638" t="s">
        <v>4207</v>
      </c>
      <c r="AE47" s="638"/>
      <c r="AF47" s="638">
        <v>3700</v>
      </c>
      <c r="AG47" s="446">
        <v>93419.92</v>
      </c>
      <c r="AH47" s="638">
        <v>2383</v>
      </c>
      <c r="AI47" s="185">
        <v>-1870</v>
      </c>
      <c r="AJ47" s="1239" t="s">
        <v>884</v>
      </c>
      <c r="AK47" s="1239"/>
      <c r="AL47" s="638"/>
      <c r="AM47" s="638"/>
      <c r="AN47" s="455">
        <v>5.15</v>
      </c>
      <c r="AO47" s="1239"/>
      <c r="AP47" s="1239"/>
      <c r="AQ47" s="484"/>
      <c r="AR47" s="484"/>
      <c r="AS47" s="484"/>
      <c r="AT47" s="484">
        <f>+ab($T$47,$T$45,$T$49,$G$46,$G$48,-1*$F$47,1200)</f>
        <v>15.043830572335018</v>
      </c>
      <c r="AU47" s="638"/>
      <c r="AV47" s="638"/>
      <c r="AW47" s="638" t="s">
        <v>2886</v>
      </c>
      <c r="AX47" s="638"/>
      <c r="AY47" s="484" t="str">
        <f>IF(AX47="PT",VLOOKUP(L47,'Foundation Calculation'!$K$2:$R$40,VLOOKUP(AW47,'Foundation Calculation'!$I$2:$J$8,2,FALSE),0),IF(AX47="K",VLOOKUP(L47,'Foundation Calculation'!$K$42:$R$80,VLOOKUP(AW47,'Foundation Calculation'!$I$2:$J$8,2,FALSE),0),""))</f>
        <v/>
      </c>
      <c r="AZ47" s="484"/>
      <c r="BA47" s="671" t="s">
        <v>2809</v>
      </c>
      <c r="BB47" s="1239" t="str">
        <f>Pole_Calculations!A19</f>
        <v>App.7-V11A-P9.5.1.5</v>
      </c>
      <c r="BC47" s="169"/>
      <c r="BD47" s="1329" t="s">
        <v>4946</v>
      </c>
      <c r="BE47" s="1329">
        <v>43813</v>
      </c>
      <c r="BF47" s="1330"/>
      <c r="BG47" s="1329">
        <v>43814</v>
      </c>
    </row>
    <row r="48" spans="1:59" ht="15.75" customHeight="1">
      <c r="A48" s="638"/>
      <c r="B48" s="1239"/>
      <c r="C48" s="638"/>
      <c r="D48" s="638"/>
      <c r="E48" s="638"/>
      <c r="F48" s="638"/>
      <c r="G48" s="484">
        <v>32.299999999999997</v>
      </c>
      <c r="H48" s="638"/>
      <c r="I48" s="638"/>
      <c r="J48" s="446">
        <f>C49-7.5</f>
        <v>93443.85</v>
      </c>
      <c r="K48" s="638" t="s">
        <v>1738</v>
      </c>
      <c r="L48" s="638"/>
      <c r="M48" s="638"/>
      <c r="N48" s="638"/>
      <c r="O48" s="1239"/>
      <c r="P48" s="638"/>
      <c r="Q48" s="638"/>
      <c r="R48" s="638"/>
      <c r="S48" s="484">
        <f t="shared" ref="S48:S50" si="16">AG49-AG47</f>
        <v>31.44999999999709</v>
      </c>
      <c r="T48" s="638"/>
      <c r="U48" s="638"/>
      <c r="V48" s="638"/>
      <c r="W48" s="638"/>
      <c r="X48" s="638"/>
      <c r="Y48" s="638"/>
      <c r="Z48" s="638"/>
      <c r="AA48" s="638"/>
      <c r="AB48" s="638"/>
      <c r="AC48" s="638"/>
      <c r="AD48" s="638"/>
      <c r="AE48" s="638"/>
      <c r="AF48" s="638"/>
      <c r="AG48" s="446"/>
      <c r="AH48" s="638"/>
      <c r="AI48" s="185"/>
      <c r="AJ48" s="638" t="s">
        <v>1665</v>
      </c>
      <c r="AK48" s="1239"/>
      <c r="AL48" s="638"/>
      <c r="AM48" s="638"/>
      <c r="AN48" s="455"/>
      <c r="AO48" s="1239"/>
      <c r="AP48" s="1239"/>
      <c r="AQ48" s="484">
        <f>+FL_1($T$49,$T$47,$G$48,1200,9.28,-1*$F$49)</f>
        <v>0.40085136666666665</v>
      </c>
      <c r="AR48" s="484"/>
      <c r="AS48" s="484"/>
      <c r="AT48" s="484"/>
      <c r="AU48" s="638"/>
      <c r="AV48" s="638"/>
      <c r="AW48" s="638" t="s">
        <v>2885</v>
      </c>
      <c r="AX48" s="638"/>
      <c r="AY48" s="484" t="str">
        <f>IF(AX48="PT",VLOOKUP(M48,'Foundation Calculation'!$L$2:$R$37,VLOOKUP(AW48,'Foundation Calculation'!$I$2:$J$8,2,FALSE),0),IF(AX48="K",VLOOKUP(M48,'Foundation Calculation'!$L$41:$R$75,VLOOKUP(AW48,'Foundation Calculation'!$I$2:$J$8,2,FALSE),0),""))</f>
        <v/>
      </c>
      <c r="AZ48" s="484" t="str">
        <f>IF(AX48="PT",VLOOKUP(K48,'Foundation Calculation'!$L$2:$R$41,VLOOKUP(AW48,'Foundation Calculation'!$I$2:$J$8,2,FALSE),0),IF(AX48="K",VLOOKUP(K48,'Foundation Calculation'!$L$41:$R$79,VLOOKUP(AW48,'Foundation Calculation'!$I$2:$J$8,2,FALSE),0),""))</f>
        <v/>
      </c>
      <c r="BA48" s="671" t="s">
        <v>2809</v>
      </c>
      <c r="BB48" s="638"/>
      <c r="BC48" s="169"/>
      <c r="BD48" s="1329" t="s">
        <v>4946</v>
      </c>
      <c r="BE48" s="1330"/>
      <c r="BF48" s="1330"/>
      <c r="BG48" s="1330"/>
    </row>
    <row r="49" spans="1:59" ht="15.75" customHeight="1">
      <c r="A49" s="638"/>
      <c r="B49" s="445" t="s">
        <v>2655</v>
      </c>
      <c r="C49" s="446">
        <f>+$C$47+$G$48+2.7</f>
        <v>93451.35</v>
      </c>
      <c r="D49" s="638"/>
      <c r="E49" s="638"/>
      <c r="F49" s="638">
        <v>0</v>
      </c>
      <c r="G49" s="484"/>
      <c r="H49" s="638" t="s">
        <v>619</v>
      </c>
      <c r="I49" s="638" t="s">
        <v>3280</v>
      </c>
      <c r="J49" s="446"/>
      <c r="K49" s="638"/>
      <c r="L49" s="1239" t="s">
        <v>819</v>
      </c>
      <c r="M49" s="1239" t="s">
        <v>2811</v>
      </c>
      <c r="N49" s="1239" t="s">
        <v>144</v>
      </c>
      <c r="O49" s="1239" t="s">
        <v>140</v>
      </c>
      <c r="P49" s="1239"/>
      <c r="Q49" s="1239">
        <v>0</v>
      </c>
      <c r="R49" s="1239">
        <v>0</v>
      </c>
      <c r="S49" s="455"/>
      <c r="T49" s="1239">
        <v>30</v>
      </c>
      <c r="U49" s="1239">
        <v>15</v>
      </c>
      <c r="V49" s="1239"/>
      <c r="W49" s="638">
        <v>0.65</v>
      </c>
      <c r="X49" s="1239">
        <v>0.65</v>
      </c>
      <c r="Y49" s="1239"/>
      <c r="Z49" s="1239"/>
      <c r="AA49" s="1239">
        <v>0.65</v>
      </c>
      <c r="AB49" s="1239"/>
      <c r="AC49" s="1239" t="s">
        <v>4115</v>
      </c>
      <c r="AD49" s="1239"/>
      <c r="AE49" s="1239"/>
      <c r="AF49" s="1239">
        <v>4300</v>
      </c>
      <c r="AG49" s="171">
        <v>93451.37</v>
      </c>
      <c r="AH49" s="1239">
        <v>2693</v>
      </c>
      <c r="AI49" s="1239">
        <v>-660</v>
      </c>
      <c r="AJ49" s="1239"/>
      <c r="AK49" s="1239"/>
      <c r="AL49" s="1239" t="s">
        <v>2127</v>
      </c>
      <c r="AM49" s="1239" t="s">
        <v>1043</v>
      </c>
      <c r="AN49" s="484">
        <v>5.15</v>
      </c>
      <c r="AO49" s="452"/>
      <c r="AP49" s="452"/>
      <c r="AQ49" s="500"/>
      <c r="AR49" s="500"/>
      <c r="AS49" s="500"/>
      <c r="AT49" s="500">
        <f>+ab($T$49,$T$47,$T$51,$G$48,$G$50,-1*$F$49,1200)</f>
        <v>12.799433438546533</v>
      </c>
      <c r="AU49" s="452"/>
      <c r="AV49" s="452"/>
      <c r="AW49" s="638" t="s">
        <v>4899</v>
      </c>
      <c r="AX49" s="638"/>
      <c r="AY49" s="484" t="str">
        <f>IF(AX49="PT",VLOOKUP(M49,'Foundation Calculation'!$L$2:$R$37,VLOOKUP(AW49,'Foundation Calculation'!$I$2:$J$8,2,FALSE),0),IF(AX49="K",VLOOKUP(M49,'Foundation Calculation'!$L$41:$R$75,VLOOKUP(AW49,'Foundation Calculation'!$I$2:$J$8,2,FALSE),0),""))</f>
        <v/>
      </c>
      <c r="AZ49" s="484" t="str">
        <f>IF(AX49="PT",VLOOKUP(K49,'Foundation Calculation'!$L$2:$R$41,VLOOKUP(AW49,'Foundation Calculation'!$I$2:$J$8,2,FALSE),0),IF(AX49="K",VLOOKUP(K49,'Foundation Calculation'!$L$41:$R$79,VLOOKUP(AW49,'Foundation Calculation'!$I$2:$J$8,2,FALSE),0),""))</f>
        <v/>
      </c>
      <c r="BA49" s="671" t="s">
        <v>2809</v>
      </c>
      <c r="BB49" s="638" t="str">
        <f>Pole_Calculations!A178</f>
        <v>App.8-V08F-P10.3</v>
      </c>
      <c r="BC49" s="169"/>
      <c r="BD49" s="1329">
        <v>43809</v>
      </c>
      <c r="BE49" s="1329">
        <v>43814</v>
      </c>
      <c r="BF49" s="1329">
        <v>43853</v>
      </c>
      <c r="BG49" s="1329">
        <v>43838</v>
      </c>
    </row>
    <row r="50" spans="1:59" ht="15.75" customHeight="1">
      <c r="A50" s="490"/>
      <c r="B50" s="495"/>
      <c r="C50" s="490"/>
      <c r="D50" s="490"/>
      <c r="E50" s="490"/>
      <c r="F50" s="490"/>
      <c r="G50" s="493">
        <v>40.700000000000003</v>
      </c>
      <c r="H50" s="490"/>
      <c r="I50" s="490"/>
      <c r="J50" s="489">
        <f>C49+7.5</f>
        <v>93458.85</v>
      </c>
      <c r="K50" s="490" t="s">
        <v>1685</v>
      </c>
      <c r="L50" s="490"/>
      <c r="M50" s="490"/>
      <c r="N50" s="495"/>
      <c r="O50" s="495"/>
      <c r="P50" s="490"/>
      <c r="Q50" s="490"/>
      <c r="R50" s="490"/>
      <c r="S50" s="493">
        <f t="shared" si="16"/>
        <v>42.200000000011642</v>
      </c>
      <c r="T50" s="490"/>
      <c r="U50" s="490"/>
      <c r="V50" s="490"/>
      <c r="W50" s="490"/>
      <c r="X50" s="490"/>
      <c r="Y50" s="490"/>
      <c r="Z50" s="490"/>
      <c r="AA50" s="490"/>
      <c r="AB50" s="490"/>
      <c r="AC50" s="490"/>
      <c r="AD50" s="490"/>
      <c r="AE50" s="490"/>
      <c r="AF50" s="490"/>
      <c r="AG50" s="489"/>
      <c r="AH50" s="490"/>
      <c r="AI50" s="640"/>
      <c r="AJ50" s="490"/>
      <c r="AK50" s="495"/>
      <c r="AL50" s="490"/>
      <c r="AM50" s="490"/>
      <c r="AN50" s="457"/>
      <c r="AO50" s="495"/>
      <c r="AP50" s="495"/>
      <c r="AQ50" s="493">
        <f>+FL_1($T$51,$T$49,$G$50,1200,9.28,-1*$F$51)</f>
        <v>0.45413795290359743</v>
      </c>
      <c r="AR50" s="493"/>
      <c r="AS50" s="493"/>
      <c r="AT50" s="493"/>
      <c r="AU50" s="490"/>
      <c r="AV50" s="490"/>
      <c r="AW50" s="490" t="s">
        <v>2846</v>
      </c>
      <c r="AX50" s="490"/>
      <c r="AY50" s="493" t="str">
        <f>IF(AX50="PT",VLOOKUP(M50,'Foundation Calculation'!$L$2:$R$37,VLOOKUP(AW50,'Foundation Calculation'!$I$2:$J$8,2,FALSE),0),IF(AX50="K",VLOOKUP(M50,'Foundation Calculation'!$L$41:$R$75,VLOOKUP(AW50,'Foundation Calculation'!$I$2:$J$8,2,FALSE),0),""))</f>
        <v/>
      </c>
      <c r="AZ50" s="493" t="str">
        <f>IF(AX50="PT",VLOOKUP(K50,'Foundation Calculation'!$L$2:$R$41,VLOOKUP(AW50,'Foundation Calculation'!$I$2:$J$8,2,FALSE),0),IF(AX50="K",VLOOKUP(K50,'Foundation Calculation'!$L$41:$R$79,VLOOKUP(AW50,'Foundation Calculation'!$I$2:$J$8,2,FALSE),0),""))</f>
        <v/>
      </c>
      <c r="BA50" s="602" t="s">
        <v>2809</v>
      </c>
      <c r="BB50" s="490"/>
      <c r="BC50" s="169"/>
      <c r="BD50" s="1329"/>
      <c r="BE50" s="1329"/>
      <c r="BF50" s="1329"/>
      <c r="BG50" s="1329"/>
    </row>
    <row r="51" spans="1:59" ht="15.75" customHeight="1">
      <c r="A51" s="501" t="str">
        <f>'HR Track 3 TSA-THA'!A6</f>
        <v>Overcrossing</v>
      </c>
      <c r="B51" s="716" t="str">
        <f>'HR Track 3 TSA-THA'!B6</f>
        <v>93-3.12</v>
      </c>
      <c r="C51" s="451">
        <f>'HR Track 3 TSA-THA'!C6</f>
        <v>93492.05</v>
      </c>
      <c r="D51" s="453">
        <f>'HR Track 3 TSA-THA'!D6</f>
        <v>0</v>
      </c>
      <c r="E51" s="452">
        <f>'HR Track 3 TSA-THA'!E6</f>
        <v>0</v>
      </c>
      <c r="F51" s="453">
        <f>'HR Track 3 TSA-THA'!F6</f>
        <v>872.26</v>
      </c>
      <c r="G51" s="500">
        <f>'HR Track 3 TSA-THA'!G6</f>
        <v>0</v>
      </c>
      <c r="H51" s="453" t="str">
        <f>'HR Track 3 TSA-THA'!H6</f>
        <v>A/S-Diag</v>
      </c>
      <c r="I51" s="501" t="str">
        <f>'HR Track 3 TSA-THA'!I6</f>
        <v>CP/TX-P/1100</v>
      </c>
      <c r="J51" s="583">
        <f>'HR Track 3 TSA-THA'!J6</f>
        <v>93499.55</v>
      </c>
      <c r="K51" s="452" t="str">
        <f>'HR Track 3 TSA-THA'!K6</f>
        <v>AnMC/W</v>
      </c>
      <c r="L51" s="452" t="str">
        <f>'HR Track 3 TSA-THA'!L6</f>
        <v>HEB-280 (CP)</v>
      </c>
      <c r="M51" s="452" t="str">
        <f>'HR Track 3 TSA-THA'!M6</f>
        <v>Unique Solution</v>
      </c>
      <c r="N51" s="501" t="str">
        <f>'HR Track 3 TSA-THA'!N6</f>
        <v>EMT-1RH</v>
      </c>
      <c r="O51" s="501">
        <f>'HR Track 3 TSA-THA'!O6</f>
        <v>0</v>
      </c>
      <c r="P51" s="501">
        <f>'HR Track 3 TSA-THA'!P6</f>
        <v>0</v>
      </c>
      <c r="Q51" s="452">
        <f>'HR Track 3 TSA-THA'!Q6</f>
        <v>30</v>
      </c>
      <c r="R51" s="452">
        <f>'HR Track 3 TSA-THA'!R6</f>
        <v>885.34</v>
      </c>
      <c r="S51" s="500">
        <f>'HR Track 3 TSA-THA'!S6</f>
        <v>0</v>
      </c>
      <c r="T51" s="452">
        <f>'HR Track 3 TSA-THA'!T6</f>
        <v>-30</v>
      </c>
      <c r="U51" s="452">
        <f>'HR Track 3 TSA-THA'!U6</f>
        <v>0</v>
      </c>
      <c r="V51" s="452">
        <f>'HR Track 3 TSA-THA'!V6</f>
        <v>0</v>
      </c>
      <c r="W51" s="452">
        <f>'HR Track 3 TSA-THA'!W6</f>
        <v>0.4</v>
      </c>
      <c r="X51" s="452">
        <f>'HR Track 3 TSA-THA'!X6</f>
        <v>0</v>
      </c>
      <c r="Y51" s="452">
        <f>'HR Track 3 TSA-THA'!Y6</f>
        <v>0</v>
      </c>
      <c r="Z51" s="452">
        <f>'HR Track 3 TSA-THA'!Z6</f>
        <v>0</v>
      </c>
      <c r="AA51" s="452">
        <f>'HR Track 3 TSA-THA'!AA6</f>
        <v>0</v>
      </c>
      <c r="AB51" s="452">
        <f>'HR Track 3 TSA-THA'!AB6</f>
        <v>0</v>
      </c>
      <c r="AC51" s="452" t="str">
        <f>'HR Track 3 TSA-THA'!AC6</f>
        <v>PH-1050</v>
      </c>
      <c r="AD51" s="452">
        <f>'HR Track 3 TSA-THA'!AD6</f>
        <v>0</v>
      </c>
      <c r="AE51" s="452">
        <f>'HR Track 3 TSA-THA'!AE6</f>
        <v>0</v>
      </c>
      <c r="AF51" s="452">
        <f>'HR Track 3 TSA-THA'!AF6</f>
        <v>4300</v>
      </c>
      <c r="AG51" s="451">
        <f>'HR Track 3 TSA-THA'!AG6</f>
        <v>93493.57</v>
      </c>
      <c r="AH51" s="452">
        <f>'HR Track 3 TSA-THA'!AH6</f>
        <v>2363</v>
      </c>
      <c r="AI51" s="452">
        <f>'HR Track 3 TSA-THA'!AI6</f>
        <v>-590</v>
      </c>
      <c r="AJ51" s="452">
        <f>'HR Track 3 TSA-THA'!AJ6</f>
        <v>0</v>
      </c>
      <c r="AK51" s="452">
        <f>'HR Track 3 TSA-THA'!AK6</f>
        <v>0</v>
      </c>
      <c r="AL51" s="452">
        <f>'HR Track 3 TSA-THA'!AL6</f>
        <v>0</v>
      </c>
      <c r="AM51" s="452" t="str">
        <f>'HR Track 3 TSA-THA'!AM6</f>
        <v>RW2</v>
      </c>
      <c r="AN51" s="500">
        <f>'HR Track 3 TSA-THA'!AN6</f>
        <v>5.15</v>
      </c>
      <c r="AO51" s="452">
        <f>'HR Track 3 TSA-THA'!AO6</f>
        <v>0</v>
      </c>
      <c r="AP51" s="452">
        <f>'HR Track 3 TSA-THA'!AP6</f>
        <v>0</v>
      </c>
      <c r="AQ51" s="452">
        <f>'HR Track 3 TSA-THA'!AQ6</f>
        <v>0</v>
      </c>
      <c r="AR51" s="452">
        <f>'HR Track 3 TSA-THA'!AR6</f>
        <v>0</v>
      </c>
      <c r="AS51" s="452">
        <f>'HR Track 3 TSA-THA'!AS6</f>
        <v>0</v>
      </c>
      <c r="AT51" s="452">
        <f>'HR Track 3 TSA-THA'!AT6</f>
        <v>-3.1075942550828484</v>
      </c>
      <c r="AU51" s="452">
        <f>'HR Track 3 TSA-THA'!AU6</f>
        <v>0</v>
      </c>
      <c r="AV51" s="452">
        <f>'HR Track 3 TSA-THA'!AV6</f>
        <v>0</v>
      </c>
      <c r="AW51" s="452" t="str">
        <f>'HR Track 3 TSA-THA'!AW6</f>
        <v>DW6928
DW6999</v>
      </c>
      <c r="AX51" s="452">
        <f>'HR Track 3 TSA-THA'!AX6</f>
        <v>0</v>
      </c>
      <c r="AY51" s="500">
        <f>'HR Track 3 TSA-THA'!AY6</f>
        <v>0</v>
      </c>
      <c r="AZ51" s="500">
        <f>'HR Track 3 TSA-THA'!AZ6</f>
        <v>0</v>
      </c>
      <c r="BA51" s="1333" t="str">
        <f>'HR Track 3 TSA-THA'!BA6</f>
        <v>ü</v>
      </c>
      <c r="BB51" s="452" t="str">
        <f>'HR Track 3 TSA-THA'!BB6</f>
        <v>App.7-V11A-P9.5.1.6</v>
      </c>
      <c r="BC51" s="1334">
        <f>'HR Track 3 TSA-THA'!BC6</f>
        <v>0</v>
      </c>
      <c r="BD51" s="1335">
        <f>'HR Track 3 TSA-THA'!BD6</f>
        <v>43809</v>
      </c>
      <c r="BE51" s="1335">
        <f>'HR Track 3 TSA-THA'!BE6</f>
        <v>43814</v>
      </c>
      <c r="BF51" s="1335">
        <f>'HR Track 3 TSA-THA'!BF6</f>
        <v>0</v>
      </c>
      <c r="BG51" s="1335">
        <f>'HR Track 3 TSA-THA'!BG6</f>
        <v>43838</v>
      </c>
    </row>
    <row r="52" spans="1:59" ht="15.75" customHeight="1">
      <c r="A52" s="501">
        <f>'HR Track 3 TSA-THA'!A7</f>
        <v>0</v>
      </c>
      <c r="B52" s="716">
        <f>'HR Track 3 TSA-THA'!B7</f>
        <v>0</v>
      </c>
      <c r="C52" s="451">
        <f>'HR Track 3 TSA-THA'!C7</f>
        <v>0</v>
      </c>
      <c r="D52" s="453">
        <f>'HR Track 3 TSA-THA'!D7</f>
        <v>0</v>
      </c>
      <c r="E52" s="452">
        <f>'HR Track 3 TSA-THA'!E7</f>
        <v>0</v>
      </c>
      <c r="F52" s="453">
        <f>'HR Track 3 TSA-THA'!F7</f>
        <v>0</v>
      </c>
      <c r="G52" s="500">
        <f>'HR Track 3 TSA-THA'!G7</f>
        <v>41.2</v>
      </c>
      <c r="H52" s="453">
        <f>'HR Track 3 TSA-THA'!H7</f>
        <v>0</v>
      </c>
      <c r="I52" s="501">
        <f>'HR Track 3 TSA-THA'!I7</f>
        <v>0</v>
      </c>
      <c r="J52" s="583">
        <f>'HR Track 3 TSA-THA'!J7</f>
        <v>93525.75</v>
      </c>
      <c r="K52" s="452" t="str">
        <f>'HR Track 3 TSA-THA'!K7</f>
        <v>AnMC/W</v>
      </c>
      <c r="L52" s="452">
        <f>'HR Track 3 TSA-THA'!L7</f>
        <v>0</v>
      </c>
      <c r="M52" s="452">
        <f>'HR Track 3 TSA-THA'!M7</f>
        <v>0</v>
      </c>
      <c r="N52" s="501">
        <f>'HR Track 3 TSA-THA'!N7</f>
        <v>0</v>
      </c>
      <c r="O52" s="501">
        <f>'HR Track 3 TSA-THA'!O7</f>
        <v>0</v>
      </c>
      <c r="P52" s="501">
        <f>'HR Track 3 TSA-THA'!P7</f>
        <v>0</v>
      </c>
      <c r="Q52" s="452">
        <f>'HR Track 3 TSA-THA'!Q7</f>
        <v>0</v>
      </c>
      <c r="R52" s="452">
        <f>'HR Track 3 TSA-THA'!R7</f>
        <v>0</v>
      </c>
      <c r="S52" s="500">
        <f>'HR Track 3 TSA-THA'!S7</f>
        <v>39.599999999991269</v>
      </c>
      <c r="T52" s="452">
        <f>'HR Track 3 TSA-THA'!T7</f>
        <v>0</v>
      </c>
      <c r="U52" s="452">
        <f>'HR Track 3 TSA-THA'!U7</f>
        <v>0</v>
      </c>
      <c r="V52" s="452">
        <f>'HR Track 3 TSA-THA'!V7</f>
        <v>0</v>
      </c>
      <c r="W52" s="452">
        <f>'HR Track 3 TSA-THA'!W7</f>
        <v>0</v>
      </c>
      <c r="X52" s="452">
        <f>'HR Track 3 TSA-THA'!X7</f>
        <v>0</v>
      </c>
      <c r="Y52" s="452">
        <f>'HR Track 3 TSA-THA'!Y7</f>
        <v>0</v>
      </c>
      <c r="Z52" s="452">
        <f>'HR Track 3 TSA-THA'!Z7</f>
        <v>0</v>
      </c>
      <c r="AA52" s="452">
        <f>'HR Track 3 TSA-THA'!AA7</f>
        <v>0</v>
      </c>
      <c r="AB52" s="452">
        <f>'HR Track 3 TSA-THA'!AB7</f>
        <v>0</v>
      </c>
      <c r="AC52" s="452">
        <f>'HR Track 3 TSA-THA'!AC7</f>
        <v>0</v>
      </c>
      <c r="AD52" s="452">
        <f>'HR Track 3 TSA-THA'!AD7</f>
        <v>0</v>
      </c>
      <c r="AE52" s="452">
        <f>'HR Track 3 TSA-THA'!AE7</f>
        <v>0</v>
      </c>
      <c r="AF52" s="452">
        <f>'HR Track 3 TSA-THA'!AF7</f>
        <v>0</v>
      </c>
      <c r="AG52" s="451">
        <f>'HR Track 3 TSA-THA'!AG7</f>
        <v>0</v>
      </c>
      <c r="AH52" s="452">
        <f>'HR Track 3 TSA-THA'!AH7</f>
        <v>0</v>
      </c>
      <c r="AI52" s="452">
        <f>'HR Track 3 TSA-THA'!AI7</f>
        <v>0</v>
      </c>
      <c r="AJ52" s="452">
        <f>'HR Track 3 TSA-THA'!AJ7</f>
        <v>0</v>
      </c>
      <c r="AK52" s="452">
        <f>'HR Track 3 TSA-THA'!AK7</f>
        <v>0</v>
      </c>
      <c r="AL52" s="452">
        <f>'HR Track 3 TSA-THA'!AL7</f>
        <v>0</v>
      </c>
      <c r="AM52" s="452">
        <f>'HR Track 3 TSA-THA'!AM7</f>
        <v>0</v>
      </c>
      <c r="AN52" s="500">
        <f>'HR Track 3 TSA-THA'!AN7</f>
        <v>0</v>
      </c>
      <c r="AO52" s="452">
        <f>'HR Track 3 TSA-THA'!AO7</f>
        <v>0</v>
      </c>
      <c r="AP52" s="452">
        <f>'HR Track 3 TSA-THA'!AP7</f>
        <v>0</v>
      </c>
      <c r="AQ52" s="452">
        <f>'HR Track 3 TSA-THA'!AQ7</f>
        <v>-0.3</v>
      </c>
      <c r="AR52" s="452">
        <f>'HR Track 3 TSA-THA'!AR7</f>
        <v>0</v>
      </c>
      <c r="AS52" s="452">
        <f>'HR Track 3 TSA-THA'!AS7</f>
        <v>0</v>
      </c>
      <c r="AT52" s="452">
        <f>'HR Track 3 TSA-THA'!AT7</f>
        <v>0</v>
      </c>
      <c r="AU52" s="452">
        <f>'HR Track 3 TSA-THA'!AU7</f>
        <v>0</v>
      </c>
      <c r="AV52" s="452">
        <f>'HR Track 3 TSA-THA'!AV7</f>
        <v>0</v>
      </c>
      <c r="AW52" s="452" t="str">
        <f>'HR Track 3 TSA-THA'!AW7</f>
        <v>DW6999</v>
      </c>
      <c r="AX52" s="452">
        <f>'HR Track 3 TSA-THA'!AX7</f>
        <v>0</v>
      </c>
      <c r="AY52" s="500">
        <f>'HR Track 3 TSA-THA'!AY7</f>
        <v>0</v>
      </c>
      <c r="AZ52" s="500">
        <f>'HR Track 3 TSA-THA'!AZ7</f>
        <v>0</v>
      </c>
      <c r="BA52" s="1333" t="str">
        <f>'HR Track 3 TSA-THA'!BA7</f>
        <v>ü</v>
      </c>
      <c r="BB52" s="452">
        <f>'HR Track 3 TSA-THA'!BB7</f>
        <v>0</v>
      </c>
      <c r="BC52" s="1334">
        <f>'HR Track 3 TSA-THA'!BC7</f>
        <v>0</v>
      </c>
      <c r="BD52" s="1335" t="str">
        <f>'HR Track 3 TSA-THA'!BD7</f>
        <v>Ejecutado</v>
      </c>
      <c r="BE52" s="1335">
        <f>'HR Track 3 TSA-THA'!BE7</f>
        <v>0</v>
      </c>
      <c r="BF52" s="1335">
        <f>'HR Track 3 TSA-THA'!BF7</f>
        <v>0</v>
      </c>
      <c r="BG52" s="1335">
        <f>'HR Track 3 TSA-THA'!BG7</f>
        <v>0</v>
      </c>
    </row>
    <row r="53" spans="1:59" ht="15.75" customHeight="1">
      <c r="A53" s="501">
        <f>'HR Track 3 TSA-THA'!A8</f>
        <v>0</v>
      </c>
      <c r="B53" s="716" t="str">
        <f>'HR Track 3 TSA-THA'!B8</f>
        <v>93-3.13</v>
      </c>
      <c r="C53" s="451">
        <f>'HR Track 3 TSA-THA'!C8</f>
        <v>93533.25</v>
      </c>
      <c r="D53" s="453">
        <f>'HR Track 3 TSA-THA'!D8</f>
        <v>0</v>
      </c>
      <c r="E53" s="452">
        <f>'HR Track 3 TSA-THA'!E8</f>
        <v>0</v>
      </c>
      <c r="F53" s="453">
        <f>'HR Track 3 TSA-THA'!F8</f>
        <v>622</v>
      </c>
      <c r="G53" s="500">
        <f>'HR Track 3 TSA-THA'!G8</f>
        <v>0</v>
      </c>
      <c r="H53" s="453" t="str">
        <f>'HR Track 3 TSA-THA'!H8</f>
        <v>A/S</v>
      </c>
      <c r="I53" s="501" t="str">
        <f>'HR Track 3 TSA-THA'!I8</f>
        <v>CP/TX-P/1100</v>
      </c>
      <c r="J53" s="583">
        <f>'HR Track 3 TSA-THA'!J8</f>
        <v>0</v>
      </c>
      <c r="K53" s="452">
        <f>'HR Track 3 TSA-THA'!K8</f>
        <v>0</v>
      </c>
      <c r="L53" s="452" t="str">
        <f>'HR Track 3 TSA-THA'!L8</f>
        <v>HEB-280L</v>
      </c>
      <c r="M53" s="452" t="str">
        <f>'HR Track 3 TSA-THA'!M8</f>
        <v>Unique Solution</v>
      </c>
      <c r="N53" s="501" t="str">
        <f>'HR Track 3 TSA-THA'!N8</f>
        <v>EMT-1RH</v>
      </c>
      <c r="O53" s="501">
        <f>'HR Track 3 TSA-THA'!O8</f>
        <v>0</v>
      </c>
      <c r="P53" s="501">
        <f>'HR Track 3 TSA-THA'!P8</f>
        <v>0</v>
      </c>
      <c r="Q53" s="452">
        <f>'HR Track 3 TSA-THA'!Q8</f>
        <v>30</v>
      </c>
      <c r="R53" s="452">
        <f>'HR Track 3 TSA-THA'!R8</f>
        <v>631.33000000000004</v>
      </c>
      <c r="S53" s="500">
        <f>'HR Track 3 TSA-THA'!S8</f>
        <v>0</v>
      </c>
      <c r="T53" s="452">
        <f>'HR Track 3 TSA-THA'!T8</f>
        <v>-30</v>
      </c>
      <c r="U53" s="452">
        <f>'HR Track 3 TSA-THA'!U8</f>
        <v>0</v>
      </c>
      <c r="V53" s="452">
        <f>'HR Track 3 TSA-THA'!V8</f>
        <v>0</v>
      </c>
      <c r="W53" s="452">
        <f>'HR Track 3 TSA-THA'!W8</f>
        <v>0.6</v>
      </c>
      <c r="X53" s="452">
        <f>'HR Track 3 TSA-THA'!X8</f>
        <v>0</v>
      </c>
      <c r="Y53" s="452">
        <f>'HR Track 3 TSA-THA'!Y8</f>
        <v>0</v>
      </c>
      <c r="Z53" s="452">
        <f>'HR Track 3 TSA-THA'!Z8</f>
        <v>0</v>
      </c>
      <c r="AA53" s="452">
        <f>'HR Track 3 TSA-THA'!AA8</f>
        <v>0</v>
      </c>
      <c r="AB53" s="452">
        <f>'HR Track 3 TSA-THA'!AB8</f>
        <v>0</v>
      </c>
      <c r="AC53" s="452" t="str">
        <f>'HR Track 3 TSA-THA'!AC8</f>
        <v>PHC-1150</v>
      </c>
      <c r="AD53" s="452">
        <f>'HR Track 3 TSA-THA'!AD8</f>
        <v>0</v>
      </c>
      <c r="AE53" s="452">
        <f>'HR Track 3 TSA-THA'!AE8</f>
        <v>0</v>
      </c>
      <c r="AF53" s="452">
        <f>'HR Track 3 TSA-THA'!AF8</f>
        <v>5000</v>
      </c>
      <c r="AG53" s="451">
        <f>'HR Track 3 TSA-THA'!AG8</f>
        <v>93533.17</v>
      </c>
      <c r="AH53" s="452">
        <f>'HR Track 3 TSA-THA'!AH8</f>
        <v>2083</v>
      </c>
      <c r="AI53" s="452">
        <f>'HR Track 3 TSA-THA'!AI8</f>
        <v>-700</v>
      </c>
      <c r="AJ53" s="452">
        <f>'HR Track 3 TSA-THA'!AJ8</f>
        <v>0</v>
      </c>
      <c r="AK53" s="452">
        <f>'HR Track 3 TSA-THA'!AK8</f>
        <v>0</v>
      </c>
      <c r="AL53" s="452" t="str">
        <f>'HR Track 3 TSA-THA'!AL8</f>
        <v>PR1B</v>
      </c>
      <c r="AM53" s="452" t="str">
        <f>'HR Track 3 TSA-THA'!AM8</f>
        <v>RW2</v>
      </c>
      <c r="AN53" s="500">
        <f>'HR Track 3 TSA-THA'!AN8</f>
        <v>5.15</v>
      </c>
      <c r="AO53" s="452">
        <f>'HR Track 3 TSA-THA'!AO8</f>
        <v>0</v>
      </c>
      <c r="AP53" s="452">
        <f>'HR Track 3 TSA-THA'!AP8</f>
        <v>0</v>
      </c>
      <c r="AQ53" s="452">
        <f>'HR Track 3 TSA-THA'!AQ8</f>
        <v>0</v>
      </c>
      <c r="AR53" s="452">
        <f>'HR Track 3 TSA-THA'!AR8</f>
        <v>0</v>
      </c>
      <c r="AS53" s="452">
        <f>'HR Track 3 TSA-THA'!AS8</f>
        <v>0</v>
      </c>
      <c r="AT53" s="452">
        <f>'HR Track 3 TSA-THA'!AT8</f>
        <v>-3.3442262280718187</v>
      </c>
      <c r="AU53" s="452">
        <f>'HR Track 3 TSA-THA'!AU8</f>
        <v>0</v>
      </c>
      <c r="AV53" s="452">
        <f>'HR Track 3 TSA-THA'!AV8</f>
        <v>0</v>
      </c>
      <c r="AW53" s="452" t="str">
        <f>'HR Track 3 TSA-THA'!AW8</f>
        <v>DW6928</v>
      </c>
      <c r="AX53" s="452">
        <f>'HR Track 3 TSA-THA'!AX8</f>
        <v>0</v>
      </c>
      <c r="AY53" s="500">
        <f>'HR Track 3 TSA-THA'!AY8</f>
        <v>0</v>
      </c>
      <c r="AZ53" s="500">
        <f>'HR Track 3 TSA-THA'!AZ8</f>
        <v>0</v>
      </c>
      <c r="BA53" s="1333" t="str">
        <f>'HR Track 3 TSA-THA'!BA8</f>
        <v>ü</v>
      </c>
      <c r="BB53" s="452" t="str">
        <f>'HR Track 3 TSA-THA'!BB8</f>
        <v>App.8-V08F-P10.3</v>
      </c>
      <c r="BC53" s="1334">
        <f>'HR Track 3 TSA-THA'!BC8</f>
        <v>0</v>
      </c>
      <c r="BD53" s="1335">
        <f>'HR Track 3 TSA-THA'!BD8</f>
        <v>43809</v>
      </c>
      <c r="BE53" s="1335">
        <f>'HR Track 3 TSA-THA'!BE8</f>
        <v>43814</v>
      </c>
      <c r="BF53" s="1335">
        <f>'HR Track 3 TSA-THA'!BF8</f>
        <v>43815</v>
      </c>
      <c r="BG53" s="1335">
        <f>'HR Track 3 TSA-THA'!BG8</f>
        <v>43838</v>
      </c>
    </row>
    <row r="54" spans="1:59" ht="15.75" customHeight="1">
      <c r="A54" s="501">
        <f>'HR Track 3 TSA-THA'!A9</f>
        <v>0</v>
      </c>
      <c r="B54" s="716">
        <f>'HR Track 3 TSA-THA'!B9</f>
        <v>0</v>
      </c>
      <c r="C54" s="451">
        <f>'HR Track 3 TSA-THA'!C9</f>
        <v>0</v>
      </c>
      <c r="D54" s="453">
        <f>'HR Track 3 TSA-THA'!D9</f>
        <v>0</v>
      </c>
      <c r="E54" s="452">
        <f>'HR Track 3 TSA-THA'!E9</f>
        <v>0</v>
      </c>
      <c r="F54" s="453">
        <f>'HR Track 3 TSA-THA'!F9</f>
        <v>0</v>
      </c>
      <c r="G54" s="500">
        <f>'HR Track 3 TSA-THA'!G9</f>
        <v>30.1</v>
      </c>
      <c r="H54" s="453">
        <f>'HR Track 3 TSA-THA'!H9</f>
        <v>0</v>
      </c>
      <c r="I54" s="501">
        <f>'HR Track 3 TSA-THA'!I9</f>
        <v>0</v>
      </c>
      <c r="J54" s="583">
        <f>'HR Track 3 TSA-THA'!J9</f>
        <v>93555.950000000012</v>
      </c>
      <c r="K54" s="452" t="str">
        <f>'HR Track 3 TSA-THA'!K9</f>
        <v>AnMC/W</v>
      </c>
      <c r="L54" s="452">
        <f>'HR Track 3 TSA-THA'!L9</f>
        <v>0</v>
      </c>
      <c r="M54" s="452">
        <f>'HR Track 3 TSA-THA'!M9</f>
        <v>0</v>
      </c>
      <c r="N54" s="501">
        <f>'HR Track 3 TSA-THA'!N9</f>
        <v>0</v>
      </c>
      <c r="O54" s="501">
        <f>'HR Track 3 TSA-THA'!O9</f>
        <v>0</v>
      </c>
      <c r="P54" s="501">
        <f>'HR Track 3 TSA-THA'!P9</f>
        <v>0</v>
      </c>
      <c r="Q54" s="452">
        <f>'HR Track 3 TSA-THA'!Q9</f>
        <v>0</v>
      </c>
      <c r="R54" s="452">
        <f>'HR Track 3 TSA-THA'!R9</f>
        <v>0</v>
      </c>
      <c r="S54" s="500">
        <f>'HR Track 3 TSA-THA'!S9</f>
        <v>30.139999999999418</v>
      </c>
      <c r="T54" s="452">
        <f>'HR Track 3 TSA-THA'!T9</f>
        <v>0</v>
      </c>
      <c r="U54" s="452">
        <f>'HR Track 3 TSA-THA'!U9</f>
        <v>0</v>
      </c>
      <c r="V54" s="452">
        <f>'HR Track 3 TSA-THA'!V9</f>
        <v>0</v>
      </c>
      <c r="W54" s="452">
        <f>'HR Track 3 TSA-THA'!W9</f>
        <v>0</v>
      </c>
      <c r="X54" s="452">
        <f>'HR Track 3 TSA-THA'!X9</f>
        <v>0</v>
      </c>
      <c r="Y54" s="452">
        <f>'HR Track 3 TSA-THA'!Y9</f>
        <v>0</v>
      </c>
      <c r="Z54" s="452">
        <f>'HR Track 3 TSA-THA'!Z9</f>
        <v>0</v>
      </c>
      <c r="AA54" s="452">
        <f>'HR Track 3 TSA-THA'!AA9</f>
        <v>0</v>
      </c>
      <c r="AB54" s="452">
        <f>'HR Track 3 TSA-THA'!AB9</f>
        <v>0</v>
      </c>
      <c r="AC54" s="452">
        <f>'HR Track 3 TSA-THA'!AC9</f>
        <v>0</v>
      </c>
      <c r="AD54" s="452">
        <f>'HR Track 3 TSA-THA'!AD9</f>
        <v>0</v>
      </c>
      <c r="AE54" s="452">
        <f>'HR Track 3 TSA-THA'!AE9</f>
        <v>0</v>
      </c>
      <c r="AF54" s="452">
        <f>'HR Track 3 TSA-THA'!AF9</f>
        <v>0</v>
      </c>
      <c r="AG54" s="451">
        <f>'HR Track 3 TSA-THA'!AG9</f>
        <v>0</v>
      </c>
      <c r="AH54" s="452">
        <f>'HR Track 3 TSA-THA'!AH9</f>
        <v>0</v>
      </c>
      <c r="AI54" s="452">
        <f>'HR Track 3 TSA-THA'!AI9</f>
        <v>0</v>
      </c>
      <c r="AJ54" s="452">
        <f>'HR Track 3 TSA-THA'!AJ9</f>
        <v>0</v>
      </c>
      <c r="AK54" s="452">
        <f>'HR Track 3 TSA-THA'!AK9</f>
        <v>0</v>
      </c>
      <c r="AL54" s="452">
        <f>'HR Track 3 TSA-THA'!AL9</f>
        <v>0</v>
      </c>
      <c r="AM54" s="452">
        <f>'HR Track 3 TSA-THA'!AM9</f>
        <v>0</v>
      </c>
      <c r="AN54" s="500">
        <f>'HR Track 3 TSA-THA'!AN9</f>
        <v>0</v>
      </c>
      <c r="AO54" s="452">
        <f>'HR Track 3 TSA-THA'!AO9</f>
        <v>0</v>
      </c>
      <c r="AP54" s="452">
        <f>'HR Track 3 TSA-THA'!AP9</f>
        <v>0</v>
      </c>
      <c r="AQ54" s="452">
        <f>'HR Track 3 TSA-THA'!AQ9</f>
        <v>-3.031641165745233E-2</v>
      </c>
      <c r="AR54" s="452">
        <f>'HR Track 3 TSA-THA'!AR9</f>
        <v>0</v>
      </c>
      <c r="AS54" s="452">
        <f>'HR Track 3 TSA-THA'!AS9</f>
        <v>0</v>
      </c>
      <c r="AT54" s="452">
        <f>'HR Track 3 TSA-THA'!AT9</f>
        <v>0</v>
      </c>
      <c r="AU54" s="452">
        <f>'HR Track 3 TSA-THA'!AU9</f>
        <v>0</v>
      </c>
      <c r="AV54" s="452">
        <f>'HR Track 3 TSA-THA'!AV9</f>
        <v>0</v>
      </c>
      <c r="AW54" s="452" t="str">
        <f>'HR Track 3 TSA-THA'!AW9</f>
        <v>DW6999</v>
      </c>
      <c r="AX54" s="452">
        <f>'HR Track 3 TSA-THA'!AX9</f>
        <v>0</v>
      </c>
      <c r="AY54" s="500">
        <f>'HR Track 3 TSA-THA'!AY9</f>
        <v>0</v>
      </c>
      <c r="AZ54" s="500">
        <f>'HR Track 3 TSA-THA'!AZ9</f>
        <v>0</v>
      </c>
      <c r="BA54" s="1333" t="str">
        <f>'HR Track 3 TSA-THA'!BA9</f>
        <v>ü</v>
      </c>
      <c r="BB54" s="452">
        <f>'HR Track 3 TSA-THA'!BB9</f>
        <v>0</v>
      </c>
      <c r="BC54" s="1334">
        <f>'HR Track 3 TSA-THA'!BC9</f>
        <v>0</v>
      </c>
      <c r="BD54" s="1335" t="str">
        <f>'HR Track 3 TSA-THA'!BD9</f>
        <v>Ejecutado</v>
      </c>
      <c r="BE54" s="1335">
        <f>'HR Track 3 TSA-THA'!BE9</f>
        <v>0</v>
      </c>
      <c r="BF54" s="1335">
        <f>'HR Track 3 TSA-THA'!BF9</f>
        <v>0</v>
      </c>
      <c r="BG54" s="1335">
        <f>'HR Track 3 TSA-THA'!BG9</f>
        <v>0</v>
      </c>
    </row>
    <row r="55" spans="1:59" ht="15.75" customHeight="1">
      <c r="A55" s="501">
        <f>'HR Track 3 TSA-THA'!A10</f>
        <v>0</v>
      </c>
      <c r="B55" s="716" t="str">
        <f>'HR Track 3 TSA-THA'!B10</f>
        <v>93-3.14</v>
      </c>
      <c r="C55" s="451">
        <f>'HR Track 3 TSA-THA'!C10</f>
        <v>93563.450000000012</v>
      </c>
      <c r="D55" s="453">
        <f>'HR Track 3 TSA-THA'!D10</f>
        <v>0</v>
      </c>
      <c r="E55" s="452">
        <f>'HR Track 3 TSA-THA'!E10</f>
        <v>0</v>
      </c>
      <c r="F55" s="453">
        <f>'HR Track 3 TSA-THA'!F10</f>
        <v>622</v>
      </c>
      <c r="G55" s="500">
        <f>'HR Track 3 TSA-THA'!G10</f>
        <v>0</v>
      </c>
      <c r="H55" s="453" t="str">
        <f>'HR Track 3 TSA-THA'!H10</f>
        <v>A/S S/A</v>
      </c>
      <c r="I55" s="501" t="str">
        <f>'HR Track 3 TSA-THA'!I10</f>
        <v>FP+AnMC</v>
      </c>
      <c r="J55" s="583">
        <f>'HR Track 3 TSA-THA'!J10</f>
        <v>0</v>
      </c>
      <c r="K55" s="452">
        <f>'HR Track 3 TSA-THA'!K10</f>
        <v>0</v>
      </c>
      <c r="L55" s="452" t="str">
        <f>'HR Track 3 TSA-THA'!L10</f>
        <v>HEB-280L</v>
      </c>
      <c r="M55" s="452" t="str">
        <f>'HR Track 3 TSA-THA'!M10</f>
        <v>Unique Solution</v>
      </c>
      <c r="N55" s="501" t="str">
        <f>'HR Track 3 TSA-THA'!N10</f>
        <v>EMT-T</v>
      </c>
      <c r="O55" s="501" t="str">
        <f>'HR Track 3 TSA-THA'!O10</f>
        <v>EMT-E</v>
      </c>
      <c r="P55" s="501">
        <f>'HR Track 3 TSA-THA'!P10</f>
        <v>0</v>
      </c>
      <c r="Q55" s="452">
        <f>'HR Track 3 TSA-THA'!Q10</f>
        <v>30</v>
      </c>
      <c r="R55" s="452">
        <f>'HR Track 3 TSA-THA'!R10</f>
        <v>631.33000000000004</v>
      </c>
      <c r="S55" s="500">
        <f>'HR Track 3 TSA-THA'!S10</f>
        <v>0</v>
      </c>
      <c r="T55" s="452">
        <f>'HR Track 3 TSA-THA'!T10</f>
        <v>55</v>
      </c>
      <c r="U55" s="452">
        <f>'HR Track 3 TSA-THA'!U10</f>
        <v>-30</v>
      </c>
      <c r="V55" s="452">
        <f>'HR Track 3 TSA-THA'!V10</f>
        <v>0</v>
      </c>
      <c r="W55" s="452">
        <f>'HR Track 3 TSA-THA'!W10</f>
        <v>0.7</v>
      </c>
      <c r="X55" s="452">
        <f>'HR Track 3 TSA-THA'!X10</f>
        <v>0.7</v>
      </c>
      <c r="Y55" s="452">
        <f>'HR Track 3 TSA-THA'!Y10</f>
        <v>0</v>
      </c>
      <c r="Z55" s="452">
        <f>'HR Track 3 TSA-THA'!Z10</f>
        <v>0.25</v>
      </c>
      <c r="AA55" s="452">
        <f>'HR Track 3 TSA-THA'!AA10</f>
        <v>0</v>
      </c>
      <c r="AB55" s="452">
        <f>'HR Track 3 TSA-THA'!AB10</f>
        <v>0</v>
      </c>
      <c r="AC55" s="452" t="str">
        <f>'HR Track 3 TSA-THA'!AC10</f>
        <v>PHC-1050</v>
      </c>
      <c r="AD55" s="452">
        <f>'HR Track 3 TSA-THA'!AD10</f>
        <v>0</v>
      </c>
      <c r="AE55" s="452">
        <f>'HR Track 3 TSA-THA'!AE10</f>
        <v>0</v>
      </c>
      <c r="AF55" s="452">
        <f>'HR Track 3 TSA-THA'!AF10</f>
        <v>4500</v>
      </c>
      <c r="AG55" s="451">
        <f>'HR Track 3 TSA-THA'!AG10</f>
        <v>93563.31</v>
      </c>
      <c r="AH55" s="452">
        <f>'HR Track 3 TSA-THA'!AH10</f>
        <v>2163</v>
      </c>
      <c r="AI55" s="452">
        <f>'HR Track 3 TSA-THA'!AI10</f>
        <v>-730</v>
      </c>
      <c r="AJ55" s="452">
        <f>'HR Track 3 TSA-THA'!AJ10</f>
        <v>0</v>
      </c>
      <c r="AK55" s="452">
        <f>'HR Track 3 TSA-THA'!AK10</f>
        <v>0</v>
      </c>
      <c r="AL55" s="452" t="str">
        <f>'HR Track 3 TSA-THA'!AL10</f>
        <v>PR1B</v>
      </c>
      <c r="AM55" s="452" t="str">
        <f>'HR Track 3 TSA-THA'!AM10</f>
        <v>RW2</v>
      </c>
      <c r="AN55" s="500">
        <f>'HR Track 3 TSA-THA'!AN10</f>
        <v>5.15</v>
      </c>
      <c r="AO55" s="452">
        <f>'HR Track 3 TSA-THA'!AO10</f>
        <v>0</v>
      </c>
      <c r="AP55" s="452">
        <f>'HR Track 3 TSA-THA'!AP10</f>
        <v>0</v>
      </c>
      <c r="AQ55" s="452">
        <f>'HR Track 3 TSA-THA'!AQ10</f>
        <v>0</v>
      </c>
      <c r="AR55" s="452">
        <f>'HR Track 3 TSA-THA'!AR10</f>
        <v>0</v>
      </c>
      <c r="AS55" s="452">
        <f>'HR Track 3 TSA-THA'!AS10</f>
        <v>0</v>
      </c>
      <c r="AT55" s="452">
        <f>'HR Track 3 TSA-THA'!AT10</f>
        <v>-3.1296196895449588</v>
      </c>
      <c r="AU55" s="452">
        <f>'HR Track 3 TSA-THA'!AU10</f>
        <v>0</v>
      </c>
      <c r="AV55" s="452">
        <f>'HR Track 3 TSA-THA'!AV10</f>
        <v>0</v>
      </c>
      <c r="AW55" s="452" t="str">
        <f>'HR Track 3 TSA-THA'!AW10</f>
        <v>DW6928</v>
      </c>
      <c r="AX55" s="452">
        <f>'HR Track 3 TSA-THA'!AX10</f>
        <v>0</v>
      </c>
      <c r="AY55" s="500">
        <f>'HR Track 3 TSA-THA'!AY10</f>
        <v>0</v>
      </c>
      <c r="AZ55" s="500">
        <f>'HR Track 3 TSA-THA'!AZ10</f>
        <v>0</v>
      </c>
      <c r="BA55" s="1333" t="str">
        <f>'HR Track 3 TSA-THA'!BA10</f>
        <v>ü</v>
      </c>
      <c r="BB55" s="452" t="str">
        <f>'HR Track 3 TSA-THA'!BB10</f>
        <v>App.8-V08F-P10.3</v>
      </c>
      <c r="BC55" s="1334">
        <f>'HR Track 3 TSA-THA'!BC10</f>
        <v>0</v>
      </c>
      <c r="BD55" s="1335">
        <f>'HR Track 3 TSA-THA'!BD10</f>
        <v>43809</v>
      </c>
      <c r="BE55" s="1335">
        <f>'HR Track 3 TSA-THA'!BE10</f>
        <v>43814</v>
      </c>
      <c r="BF55" s="1335">
        <f>'HR Track 3 TSA-THA'!BF10</f>
        <v>43815</v>
      </c>
      <c r="BG55" s="1335">
        <f>'HR Track 3 TSA-THA'!BG10</f>
        <v>43838</v>
      </c>
    </row>
    <row r="56" spans="1:59" ht="15.75" customHeight="1">
      <c r="A56" s="501" t="str">
        <f>'HR Track 3 TSA-THA'!A11</f>
        <v>Overcrossing</v>
      </c>
      <c r="B56" s="716">
        <f>'HR Track 3 TSA-THA'!B11</f>
        <v>0</v>
      </c>
      <c r="C56" s="451">
        <f>'HR Track 3 TSA-THA'!C11</f>
        <v>0</v>
      </c>
      <c r="D56" s="453">
        <f>'HR Track 3 TSA-THA'!D11</f>
        <v>0</v>
      </c>
      <c r="E56" s="452">
        <f>'HR Track 3 TSA-THA'!E11</f>
        <v>0</v>
      </c>
      <c r="F56" s="453">
        <f>'HR Track 3 TSA-THA'!F11</f>
        <v>0</v>
      </c>
      <c r="G56" s="500">
        <f>'HR Track 3 TSA-THA'!G11</f>
        <v>46.1</v>
      </c>
      <c r="H56" s="453">
        <f>'HR Track 3 TSA-THA'!H11</f>
        <v>0</v>
      </c>
      <c r="I56" s="501">
        <f>'HR Track 3 TSA-THA'!I11</f>
        <v>0</v>
      </c>
      <c r="J56" s="583">
        <f>'HR Track 3 TSA-THA'!J11</f>
        <v>0</v>
      </c>
      <c r="K56" s="452">
        <f>'HR Track 3 TSA-THA'!K11</f>
        <v>0</v>
      </c>
      <c r="L56" s="452">
        <f>'HR Track 3 TSA-THA'!L11</f>
        <v>0</v>
      </c>
      <c r="M56" s="452">
        <f>'HR Track 3 TSA-THA'!M11</f>
        <v>0</v>
      </c>
      <c r="N56" s="501">
        <f>'HR Track 3 TSA-THA'!N11</f>
        <v>0</v>
      </c>
      <c r="O56" s="501">
        <f>'HR Track 3 TSA-THA'!O11</f>
        <v>0</v>
      </c>
      <c r="P56" s="501">
        <f>'HR Track 3 TSA-THA'!P11</f>
        <v>0</v>
      </c>
      <c r="Q56" s="452">
        <f>'HR Track 3 TSA-THA'!Q11</f>
        <v>0</v>
      </c>
      <c r="R56" s="452">
        <f>'HR Track 3 TSA-THA'!R11</f>
        <v>0</v>
      </c>
      <c r="S56" s="500">
        <f>'HR Track 3 TSA-THA'!S11</f>
        <v>47.990000000005239</v>
      </c>
      <c r="T56" s="452">
        <f>'HR Track 3 TSA-THA'!T11</f>
        <v>0</v>
      </c>
      <c r="U56" s="452">
        <f>'HR Track 3 TSA-THA'!U11</f>
        <v>0</v>
      </c>
      <c r="V56" s="452">
        <f>'HR Track 3 TSA-THA'!V11</f>
        <v>0</v>
      </c>
      <c r="W56" s="452">
        <f>'HR Track 3 TSA-THA'!W11</f>
        <v>0</v>
      </c>
      <c r="X56" s="452">
        <f>'HR Track 3 TSA-THA'!X11</f>
        <v>0</v>
      </c>
      <c r="Y56" s="452">
        <f>'HR Track 3 TSA-THA'!Y11</f>
        <v>0</v>
      </c>
      <c r="Z56" s="452">
        <f>'HR Track 3 TSA-THA'!Z11</f>
        <v>0</v>
      </c>
      <c r="AA56" s="452">
        <f>'HR Track 3 TSA-THA'!AA11</f>
        <v>0</v>
      </c>
      <c r="AB56" s="452">
        <f>'HR Track 3 TSA-THA'!AB11</f>
        <v>0</v>
      </c>
      <c r="AC56" s="452">
        <f>'HR Track 3 TSA-THA'!AC11</f>
        <v>0</v>
      </c>
      <c r="AD56" s="452">
        <f>'HR Track 3 TSA-THA'!AD11</f>
        <v>0</v>
      </c>
      <c r="AE56" s="452">
        <f>'HR Track 3 TSA-THA'!AE11</f>
        <v>0</v>
      </c>
      <c r="AF56" s="452">
        <f>'HR Track 3 TSA-THA'!AF11</f>
        <v>0</v>
      </c>
      <c r="AG56" s="451">
        <f>'HR Track 3 TSA-THA'!AG11</f>
        <v>0</v>
      </c>
      <c r="AH56" s="452">
        <f>'HR Track 3 TSA-THA'!AH11</f>
        <v>0</v>
      </c>
      <c r="AI56" s="452">
        <f>'HR Track 3 TSA-THA'!AI11</f>
        <v>0</v>
      </c>
      <c r="AJ56" s="452">
        <f>'HR Track 3 TSA-THA'!AJ11</f>
        <v>0</v>
      </c>
      <c r="AK56" s="452">
        <f>'HR Track 3 TSA-THA'!AK11</f>
        <v>0</v>
      </c>
      <c r="AL56" s="452">
        <f>'HR Track 3 TSA-THA'!AL11</f>
        <v>0</v>
      </c>
      <c r="AM56" s="452">
        <f>'HR Track 3 TSA-THA'!AM11</f>
        <v>0</v>
      </c>
      <c r="AN56" s="500">
        <f>'HR Track 3 TSA-THA'!AN11</f>
        <v>0</v>
      </c>
      <c r="AO56" s="452">
        <f>'HR Track 3 TSA-THA'!AO11</f>
        <v>0</v>
      </c>
      <c r="AP56" s="452">
        <f>'HR Track 3 TSA-THA'!AP11</f>
        <v>0</v>
      </c>
      <c r="AQ56" s="452">
        <f>'HR Track 3 TSA-THA'!AQ11</f>
        <v>0.33267573914950438</v>
      </c>
      <c r="AR56" s="452">
        <f>'HR Track 3 TSA-THA'!AR11</f>
        <v>0</v>
      </c>
      <c r="AS56" s="452">
        <f>'HR Track 3 TSA-THA'!AS11</f>
        <v>0</v>
      </c>
      <c r="AT56" s="452">
        <f>'HR Track 3 TSA-THA'!AT11</f>
        <v>0</v>
      </c>
      <c r="AU56" s="452">
        <f>'HR Track 3 TSA-THA'!AU11</f>
        <v>0</v>
      </c>
      <c r="AV56" s="452">
        <f>'HR Track 3 TSA-THA'!AV11</f>
        <v>0</v>
      </c>
      <c r="AW56" s="452">
        <f>'HR Track 3 TSA-THA'!AW11</f>
        <v>0</v>
      </c>
      <c r="AX56" s="452">
        <f>'HR Track 3 TSA-THA'!AX11</f>
        <v>0</v>
      </c>
      <c r="AY56" s="500">
        <f>'HR Track 3 TSA-THA'!AY11</f>
        <v>0</v>
      </c>
      <c r="AZ56" s="500">
        <f>'HR Track 3 TSA-THA'!AZ11</f>
        <v>0</v>
      </c>
      <c r="BA56" s="1333">
        <f>'HR Track 3 TSA-THA'!BA11</f>
        <v>0</v>
      </c>
      <c r="BB56" s="452">
        <f>'HR Track 3 TSA-THA'!BB11</f>
        <v>0</v>
      </c>
      <c r="BC56" s="1334">
        <f>'HR Track 3 TSA-THA'!BC11</f>
        <v>0</v>
      </c>
      <c r="BD56" s="1335">
        <f>'HR Track 3 TSA-THA'!BD11</f>
        <v>0</v>
      </c>
      <c r="BE56" s="1335">
        <f>'HR Track 3 TSA-THA'!BE11</f>
        <v>0</v>
      </c>
      <c r="BF56" s="1335">
        <f>'HR Track 3 TSA-THA'!BF11</f>
        <v>0</v>
      </c>
      <c r="BG56" s="1335">
        <f>'HR Track 3 TSA-THA'!BG11</f>
        <v>0</v>
      </c>
    </row>
    <row r="57" spans="1:59" ht="15.75" customHeight="1">
      <c r="A57" s="501">
        <f>'HR Track 3 TSA-THA'!A12</f>
        <v>0</v>
      </c>
      <c r="B57" s="716" t="str">
        <f>'HR Track 3 TSA-THA'!B12</f>
        <v>93-3.15</v>
      </c>
      <c r="C57" s="451">
        <f>'HR Track 3 TSA-THA'!C12</f>
        <v>93609.550000000017</v>
      </c>
      <c r="D57" s="453">
        <f>'HR Track 3 TSA-THA'!D12</f>
        <v>0</v>
      </c>
      <c r="E57" s="452">
        <f>'HR Track 3 TSA-THA'!E12</f>
        <v>0</v>
      </c>
      <c r="F57" s="453">
        <f>'HR Track 3 TSA-THA'!F12</f>
        <v>622</v>
      </c>
      <c r="G57" s="500">
        <f>'HR Track 3 TSA-THA'!G12</f>
        <v>0</v>
      </c>
      <c r="H57" s="453" t="str">
        <f>'HR Track 3 TSA-THA'!H12</f>
        <v>S/A</v>
      </c>
      <c r="I57" s="501">
        <f>'HR Track 3 TSA-THA'!I12</f>
        <v>0</v>
      </c>
      <c r="J57" s="583">
        <f>'HR Track 3 TSA-THA'!J12</f>
        <v>0</v>
      </c>
      <c r="K57" s="452">
        <f>'HR Track 3 TSA-THA'!K12</f>
        <v>0</v>
      </c>
      <c r="L57" s="452" t="str">
        <f>'HR Track 3 TSA-THA'!L12</f>
        <v>HEB-280L</v>
      </c>
      <c r="M57" s="452" t="str">
        <f>'HR Track 3 TSA-THA'!M12</f>
        <v>Unique Solution</v>
      </c>
      <c r="N57" s="501" t="str">
        <f>'HR Track 3 TSA-THA'!N12</f>
        <v>EMT-T</v>
      </c>
      <c r="O57" s="501" t="str">
        <f>'HR Track 3 TSA-THA'!O12</f>
        <v>EMT-E</v>
      </c>
      <c r="P57" s="501">
        <f>'HR Track 3 TSA-THA'!P12</f>
        <v>0</v>
      </c>
      <c r="Q57" s="452">
        <f>'HR Track 3 TSA-THA'!Q12</f>
        <v>20</v>
      </c>
      <c r="R57" s="452">
        <f>'HR Track 3 TSA-THA'!R12</f>
        <v>631.33000000000004</v>
      </c>
      <c r="S57" s="500">
        <f>'HR Track 3 TSA-THA'!S12</f>
        <v>0</v>
      </c>
      <c r="T57" s="452">
        <f>'HR Track 3 TSA-THA'!T12</f>
        <v>15</v>
      </c>
      <c r="U57" s="452">
        <f>'HR Track 3 TSA-THA'!U12</f>
        <v>-30</v>
      </c>
      <c r="V57" s="452">
        <f>'HR Track 3 TSA-THA'!V12</f>
        <v>0</v>
      </c>
      <c r="W57" s="452">
        <f>'HR Track 3 TSA-THA'!W12</f>
        <v>0.7</v>
      </c>
      <c r="X57" s="452">
        <f>'HR Track 3 TSA-THA'!X12</f>
        <v>0.7</v>
      </c>
      <c r="Y57" s="452">
        <f>'HR Track 3 TSA-THA'!Y12</f>
        <v>0</v>
      </c>
      <c r="Z57" s="452">
        <f>'HR Track 3 TSA-THA'!Z12</f>
        <v>0.25</v>
      </c>
      <c r="AA57" s="452">
        <f>'HR Track 3 TSA-THA'!AA12</f>
        <v>0</v>
      </c>
      <c r="AB57" s="452">
        <f>'HR Track 3 TSA-THA'!AB12</f>
        <v>0</v>
      </c>
      <c r="AC57" s="452" t="str">
        <f>'HR Track 3 TSA-THA'!AC12</f>
        <v>PHC-1050</v>
      </c>
      <c r="AD57" s="452">
        <f>'HR Track 3 TSA-THA'!AD12</f>
        <v>0</v>
      </c>
      <c r="AE57" s="452">
        <f>'HR Track 3 TSA-THA'!AE12</f>
        <v>0</v>
      </c>
      <c r="AF57" s="452">
        <f>'HR Track 3 TSA-THA'!AF12</f>
        <v>4500</v>
      </c>
      <c r="AG57" s="451">
        <f>'HR Track 3 TSA-THA'!AG12</f>
        <v>93611.3</v>
      </c>
      <c r="AH57" s="452">
        <f>'HR Track 3 TSA-THA'!AH12</f>
        <v>2143</v>
      </c>
      <c r="AI57" s="452">
        <f>'HR Track 3 TSA-THA'!AI12</f>
        <v>-710</v>
      </c>
      <c r="AJ57" s="452">
        <f>'HR Track 3 TSA-THA'!AJ12</f>
        <v>0</v>
      </c>
      <c r="AK57" s="452">
        <f>'HR Track 3 TSA-THA'!AK12</f>
        <v>0</v>
      </c>
      <c r="AL57" s="452" t="str">
        <f>'HR Track 3 TSA-THA'!AL12</f>
        <v>PR1B</v>
      </c>
      <c r="AM57" s="452" t="str">
        <f>'HR Track 3 TSA-THA'!AM12</f>
        <v>RW2</v>
      </c>
      <c r="AN57" s="500">
        <f>'HR Track 3 TSA-THA'!AN12</f>
        <v>5.15</v>
      </c>
      <c r="AO57" s="452">
        <f>'HR Track 3 TSA-THA'!AO12</f>
        <v>0</v>
      </c>
      <c r="AP57" s="452">
        <f>'HR Track 3 TSA-THA'!AP12</f>
        <v>0</v>
      </c>
      <c r="AQ57" s="452">
        <f>'HR Track 3 TSA-THA'!AQ12</f>
        <v>0</v>
      </c>
      <c r="AR57" s="452">
        <f>'HR Track 3 TSA-THA'!AR12</f>
        <v>0</v>
      </c>
      <c r="AS57" s="452">
        <f>'HR Track 3 TSA-THA'!AS12</f>
        <v>0</v>
      </c>
      <c r="AT57" s="452">
        <f>'HR Track 3 TSA-THA'!AT12</f>
        <v>-2.3698556639140933</v>
      </c>
      <c r="AU57" s="452">
        <f>'HR Track 3 TSA-THA'!AU12</f>
        <v>0</v>
      </c>
      <c r="AV57" s="452">
        <f>'HR Track 3 TSA-THA'!AV12</f>
        <v>0</v>
      </c>
      <c r="AW57" s="452" t="str">
        <f>'HR Track 3 TSA-THA'!AW12</f>
        <v>DW6928</v>
      </c>
      <c r="AX57" s="452">
        <f>'HR Track 3 TSA-THA'!AX12</f>
        <v>0</v>
      </c>
      <c r="AY57" s="500">
        <f>'HR Track 3 TSA-THA'!AY12</f>
        <v>0</v>
      </c>
      <c r="AZ57" s="500">
        <f>'HR Track 3 TSA-THA'!AZ12</f>
        <v>0</v>
      </c>
      <c r="BA57" s="1333" t="str">
        <f>'HR Track 3 TSA-THA'!BA12</f>
        <v>ü</v>
      </c>
      <c r="BB57" s="452" t="str">
        <f>'HR Track 3 TSA-THA'!BB12</f>
        <v>App.8-V08F-P10.3</v>
      </c>
      <c r="BC57" s="1334">
        <f>'HR Track 3 TSA-THA'!BC12</f>
        <v>0</v>
      </c>
      <c r="BD57" s="1335">
        <f>'HR Track 3 TSA-THA'!BD12</f>
        <v>43809</v>
      </c>
      <c r="BE57" s="1335">
        <f>'HR Track 3 TSA-THA'!BE12</f>
        <v>43813</v>
      </c>
      <c r="BF57" s="1335" t="str">
        <f>'HR Track 3 TSA-THA'!BF12</f>
        <v>Ejecutado</v>
      </c>
      <c r="BG57" s="1335">
        <f>'HR Track 3 TSA-THA'!BG12</f>
        <v>43838</v>
      </c>
    </row>
    <row r="58" spans="1:59" ht="15.75" customHeight="1">
      <c r="A58" s="501">
        <f>'HR Track 3 TSA-THA'!A13</f>
        <v>0</v>
      </c>
      <c r="B58" s="716">
        <f>'HR Track 3 TSA-THA'!B13</f>
        <v>0</v>
      </c>
      <c r="C58" s="451">
        <f>'HR Track 3 TSA-THA'!C13</f>
        <v>0</v>
      </c>
      <c r="D58" s="453">
        <f>'HR Track 3 TSA-THA'!D13</f>
        <v>0</v>
      </c>
      <c r="E58" s="452">
        <f>'HR Track 3 TSA-THA'!E13</f>
        <v>0</v>
      </c>
      <c r="F58" s="453">
        <f>'HR Track 3 TSA-THA'!F13</f>
        <v>0</v>
      </c>
      <c r="G58" s="500">
        <f>'HR Track 3 TSA-THA'!G13</f>
        <v>43</v>
      </c>
      <c r="H58" s="453">
        <f>'HR Track 3 TSA-THA'!H13</f>
        <v>0</v>
      </c>
      <c r="I58" s="501">
        <f>'HR Track 3 TSA-THA'!I13</f>
        <v>0</v>
      </c>
      <c r="J58" s="583">
        <f>'HR Track 3 TSA-THA'!J13</f>
        <v>0</v>
      </c>
      <c r="K58" s="452">
        <f>'HR Track 3 TSA-THA'!K13</f>
        <v>0</v>
      </c>
      <c r="L58" s="452">
        <f>'HR Track 3 TSA-THA'!L13</f>
        <v>0</v>
      </c>
      <c r="M58" s="452">
        <f>'HR Track 3 TSA-THA'!M13</f>
        <v>0</v>
      </c>
      <c r="N58" s="501">
        <f>'HR Track 3 TSA-THA'!N13</f>
        <v>0</v>
      </c>
      <c r="O58" s="501">
        <f>'HR Track 3 TSA-THA'!O13</f>
        <v>0</v>
      </c>
      <c r="P58" s="501">
        <f>'HR Track 3 TSA-THA'!P13</f>
        <v>0</v>
      </c>
      <c r="Q58" s="452">
        <f>'HR Track 3 TSA-THA'!Q13</f>
        <v>0</v>
      </c>
      <c r="R58" s="452">
        <f>'HR Track 3 TSA-THA'!R13</f>
        <v>0</v>
      </c>
      <c r="S58" s="500">
        <f>'HR Track 3 TSA-THA'!S13</f>
        <v>39.039999999993597</v>
      </c>
      <c r="T58" s="452">
        <f>'HR Track 3 TSA-THA'!T13</f>
        <v>0</v>
      </c>
      <c r="U58" s="452">
        <f>'HR Track 3 TSA-THA'!U13</f>
        <v>0</v>
      </c>
      <c r="V58" s="452">
        <f>'HR Track 3 TSA-THA'!V13</f>
        <v>0</v>
      </c>
      <c r="W58" s="452">
        <f>'HR Track 3 TSA-THA'!W13</f>
        <v>0</v>
      </c>
      <c r="X58" s="452">
        <f>'HR Track 3 TSA-THA'!X13</f>
        <v>0</v>
      </c>
      <c r="Y58" s="452">
        <f>'HR Track 3 TSA-THA'!Y13</f>
        <v>0</v>
      </c>
      <c r="Z58" s="452">
        <f>'HR Track 3 TSA-THA'!Z13</f>
        <v>0</v>
      </c>
      <c r="AA58" s="452">
        <f>'HR Track 3 TSA-THA'!AA13</f>
        <v>0</v>
      </c>
      <c r="AB58" s="452">
        <f>'HR Track 3 TSA-THA'!AB13</f>
        <v>0</v>
      </c>
      <c r="AC58" s="452">
        <f>'HR Track 3 TSA-THA'!AC13</f>
        <v>0</v>
      </c>
      <c r="AD58" s="452">
        <f>'HR Track 3 TSA-THA'!AD13</f>
        <v>0</v>
      </c>
      <c r="AE58" s="452">
        <f>'HR Track 3 TSA-THA'!AE13</f>
        <v>0</v>
      </c>
      <c r="AF58" s="452">
        <f>'HR Track 3 TSA-THA'!AF13</f>
        <v>0</v>
      </c>
      <c r="AG58" s="451">
        <f>'HR Track 3 TSA-THA'!AG13</f>
        <v>0</v>
      </c>
      <c r="AH58" s="452">
        <f>'HR Track 3 TSA-THA'!AH13</f>
        <v>0</v>
      </c>
      <c r="AI58" s="452">
        <f>'HR Track 3 TSA-THA'!AI13</f>
        <v>0</v>
      </c>
      <c r="AJ58" s="452">
        <f>'HR Track 3 TSA-THA'!AJ13</f>
        <v>0</v>
      </c>
      <c r="AK58" s="452">
        <f>'HR Track 3 TSA-THA'!AK13</f>
        <v>0</v>
      </c>
      <c r="AL58" s="452">
        <f>'HR Track 3 TSA-THA'!AL13</f>
        <v>0</v>
      </c>
      <c r="AM58" s="452">
        <f>'HR Track 3 TSA-THA'!AM13</f>
        <v>0</v>
      </c>
      <c r="AN58" s="500">
        <f>'HR Track 3 TSA-THA'!AN13</f>
        <v>0</v>
      </c>
      <c r="AO58" s="452">
        <f>'HR Track 3 TSA-THA'!AO13</f>
        <v>0</v>
      </c>
      <c r="AP58" s="452">
        <f>'HR Track 3 TSA-THA'!AP13</f>
        <v>0</v>
      </c>
      <c r="AQ58" s="452">
        <f>'HR Track 3 TSA-THA'!AQ13</f>
        <v>0.46859532476630544</v>
      </c>
      <c r="AR58" s="452">
        <f>'HR Track 3 TSA-THA'!AR13</f>
        <v>0</v>
      </c>
      <c r="AS58" s="452">
        <f>'HR Track 3 TSA-THA'!AS13</f>
        <v>0</v>
      </c>
      <c r="AT58" s="452">
        <f>'HR Track 3 TSA-THA'!AT13</f>
        <v>0</v>
      </c>
      <c r="AU58" s="452">
        <f>'HR Track 3 TSA-THA'!AU13</f>
        <v>0</v>
      </c>
      <c r="AV58" s="452">
        <f>'HR Track 3 TSA-THA'!AV13</f>
        <v>0</v>
      </c>
      <c r="AW58" s="452">
        <f>'HR Track 3 TSA-THA'!AW13</f>
        <v>0</v>
      </c>
      <c r="AX58" s="452">
        <f>'HR Track 3 TSA-THA'!AX13</f>
        <v>0</v>
      </c>
      <c r="AY58" s="500">
        <f>'HR Track 3 TSA-THA'!AY13</f>
        <v>0</v>
      </c>
      <c r="AZ58" s="500">
        <f>'HR Track 3 TSA-THA'!AZ13</f>
        <v>0</v>
      </c>
      <c r="BA58" s="1333">
        <f>'HR Track 3 TSA-THA'!BA13</f>
        <v>0</v>
      </c>
      <c r="BB58" s="452">
        <f>'HR Track 3 TSA-THA'!BB13</f>
        <v>0</v>
      </c>
      <c r="BC58" s="1334">
        <f>'HR Track 3 TSA-THA'!BC13</f>
        <v>0</v>
      </c>
      <c r="BD58" s="1335">
        <f>'HR Track 3 TSA-THA'!BD13</f>
        <v>0</v>
      </c>
      <c r="BE58" s="1335">
        <f>'HR Track 3 TSA-THA'!BE13</f>
        <v>0</v>
      </c>
      <c r="BF58" s="1335">
        <f>'HR Track 3 TSA-THA'!BF13</f>
        <v>0</v>
      </c>
      <c r="BG58" s="1335">
        <f>'HR Track 3 TSA-THA'!BG13</f>
        <v>0</v>
      </c>
    </row>
    <row r="59" spans="1:59" ht="15.75" customHeight="1">
      <c r="A59" s="501" t="str">
        <f>'HR Track 3 TSA-THA'!A14</f>
        <v>TSA-23</v>
      </c>
      <c r="B59" s="716" t="str">
        <f>'HR Track 3 TSA-THA'!B14</f>
        <v>93-3.16</v>
      </c>
      <c r="C59" s="451">
        <f>'HR Track 3 TSA-THA'!C14</f>
        <v>93652.550000000017</v>
      </c>
      <c r="D59" s="453">
        <f>'HR Track 3 TSA-THA'!D14</f>
        <v>0</v>
      </c>
      <c r="E59" s="452">
        <f>'HR Track 3 TSA-THA'!E14</f>
        <v>0</v>
      </c>
      <c r="F59" s="453">
        <f>'HR Track 3 TSA-THA'!F14</f>
        <v>622</v>
      </c>
      <c r="G59" s="500">
        <f>'HR Track 3 TSA-THA'!G14</f>
        <v>0</v>
      </c>
      <c r="H59" s="453" t="str">
        <f>'HR Track 3 TSA-THA'!H14</f>
        <v>S/A</v>
      </c>
      <c r="I59" s="501" t="str">
        <f>'HR Track 3 TSA-THA'!I14</f>
        <v>IO</v>
      </c>
      <c r="J59" s="583">
        <f>'HR Track 3 TSA-THA'!J14</f>
        <v>0</v>
      </c>
      <c r="K59" s="452">
        <f>'HR Track 3 TSA-THA'!K14</f>
        <v>0</v>
      </c>
      <c r="L59" s="452" t="str">
        <f>'HR Track 3 TSA-THA'!L14</f>
        <v>HEB-280L</v>
      </c>
      <c r="M59" s="452" t="str">
        <f>'HR Track 3 TSA-THA'!M14</f>
        <v>Unique Solution</v>
      </c>
      <c r="N59" s="501" t="str">
        <f>'HR Track 3 TSA-THA'!N14</f>
        <v>EMT-E</v>
      </c>
      <c r="O59" s="501" t="str">
        <f>'HR Track 3 TSA-THA'!O14</f>
        <v>EMT-T</v>
      </c>
      <c r="P59" s="501">
        <f>'HR Track 3 TSA-THA'!P14</f>
        <v>0</v>
      </c>
      <c r="Q59" s="452">
        <f>'HR Track 3 TSA-THA'!Q14</f>
        <v>40</v>
      </c>
      <c r="R59" s="452">
        <f>'HR Track 3 TSA-THA'!R14</f>
        <v>631.33000000000004</v>
      </c>
      <c r="S59" s="500">
        <f>'HR Track 3 TSA-THA'!S14</f>
        <v>0</v>
      </c>
      <c r="T59" s="452">
        <f>'HR Track 3 TSA-THA'!T14</f>
        <v>10</v>
      </c>
      <c r="U59" s="452">
        <f>'HR Track 3 TSA-THA'!U14</f>
        <v>-35</v>
      </c>
      <c r="V59" s="452">
        <f>'HR Track 3 TSA-THA'!V14</f>
        <v>0</v>
      </c>
      <c r="W59" s="452">
        <f>'HR Track 3 TSA-THA'!W14</f>
        <v>0.9</v>
      </c>
      <c r="X59" s="452">
        <f>'HR Track 3 TSA-THA'!X14</f>
        <v>1.2</v>
      </c>
      <c r="Y59" s="452">
        <f>'HR Track 3 TSA-THA'!Y14</f>
        <v>0</v>
      </c>
      <c r="Z59" s="452">
        <f>'HR Track 3 TSA-THA'!Z14</f>
        <v>0</v>
      </c>
      <c r="AA59" s="452">
        <f>'HR Track 3 TSA-THA'!AA14</f>
        <v>0.24</v>
      </c>
      <c r="AB59" s="452">
        <f>'HR Track 3 TSA-THA'!AB14</f>
        <v>0</v>
      </c>
      <c r="AC59" s="452" t="str">
        <f>'HR Track 3 TSA-THA'!AC14</f>
        <v>BC-1350</v>
      </c>
      <c r="AD59" s="452">
        <f>'HR Track 3 TSA-THA'!AD14</f>
        <v>0</v>
      </c>
      <c r="AE59" s="452">
        <f>'HR Track 3 TSA-THA'!AE14</f>
        <v>0</v>
      </c>
      <c r="AF59" s="452">
        <f>'HR Track 3 TSA-THA'!AF14</f>
        <v>4500</v>
      </c>
      <c r="AG59" s="451">
        <f>'HR Track 3 TSA-THA'!AG14</f>
        <v>93650.34</v>
      </c>
      <c r="AH59" s="452">
        <f>'HR Track 3 TSA-THA'!AH14</f>
        <v>2073</v>
      </c>
      <c r="AI59" s="452">
        <f>'HR Track 3 TSA-THA'!AI14</f>
        <v>-730</v>
      </c>
      <c r="AJ59" s="452" t="str">
        <f>'HR Track 3 TSA-THA'!AJ14</f>
        <v>Disc/IO-pr</v>
      </c>
      <c r="AK59" s="452">
        <f>'HR Track 3 TSA-THA'!AK14</f>
        <v>0</v>
      </c>
      <c r="AL59" s="452" t="str">
        <f>'HR Track 3 TSA-THA'!AL14</f>
        <v>PR1B</v>
      </c>
      <c r="AM59" s="452" t="str">
        <f>'HR Track 3 TSA-THA'!AM14</f>
        <v>RW2</v>
      </c>
      <c r="AN59" s="500">
        <f>'HR Track 3 TSA-THA'!AN14</f>
        <v>5.21</v>
      </c>
      <c r="AO59" s="452">
        <f>'HR Track 3 TSA-THA'!AO14</f>
        <v>0</v>
      </c>
      <c r="AP59" s="452">
        <f>'HR Track 3 TSA-THA'!AP14</f>
        <v>0</v>
      </c>
      <c r="AQ59" s="452">
        <f>'HR Track 3 TSA-THA'!AQ14</f>
        <v>0</v>
      </c>
      <c r="AR59" s="452">
        <f>'HR Track 3 TSA-THA'!AR14</f>
        <v>0</v>
      </c>
      <c r="AS59" s="452">
        <f>'HR Track 3 TSA-THA'!AS14</f>
        <v>0</v>
      </c>
      <c r="AT59" s="452">
        <f>'HR Track 3 TSA-THA'!AT14</f>
        <v>-4.1999409976935436</v>
      </c>
      <c r="AU59" s="452">
        <f>'HR Track 3 TSA-THA'!AU14</f>
        <v>0</v>
      </c>
      <c r="AV59" s="452">
        <f>'HR Track 3 TSA-THA'!AV14</f>
        <v>0</v>
      </c>
      <c r="AW59" s="452" t="str">
        <f>'HR Track 3 TSA-THA'!AW14</f>
        <v>DW6928</v>
      </c>
      <c r="AX59" s="452">
        <f>'HR Track 3 TSA-THA'!AX14</f>
        <v>0</v>
      </c>
      <c r="AY59" s="500">
        <f>'HR Track 3 TSA-THA'!AY14</f>
        <v>0</v>
      </c>
      <c r="AZ59" s="500">
        <f>'HR Track 3 TSA-THA'!AZ14</f>
        <v>0</v>
      </c>
      <c r="BA59" s="1333" t="str">
        <f>'HR Track 3 TSA-THA'!BA14</f>
        <v>ü</v>
      </c>
      <c r="BB59" s="452" t="str">
        <f>'HR Track 3 TSA-THA'!BB14</f>
        <v>App.8-V08F-P10.3</v>
      </c>
      <c r="BC59" s="1334">
        <f>'HR Track 3 TSA-THA'!BC14</f>
        <v>0</v>
      </c>
      <c r="BD59" s="1335">
        <f>'HR Track 3 TSA-THA'!BD14</f>
        <v>43809</v>
      </c>
      <c r="BE59" s="1335">
        <f>'HR Track 3 TSA-THA'!BE14</f>
        <v>43813</v>
      </c>
      <c r="BF59" s="1335" t="str">
        <f>'HR Track 3 TSA-THA'!BF14</f>
        <v>Ejecutado</v>
      </c>
      <c r="BG59" s="1335">
        <f>'HR Track 3 TSA-THA'!BG14</f>
        <v>43838</v>
      </c>
    </row>
    <row r="60" spans="1:59" ht="15.75" customHeight="1">
      <c r="A60" s="501">
        <f>'HR Track 3 TSA-THA'!A15</f>
        <v>0</v>
      </c>
      <c r="B60" s="716">
        <f>'HR Track 3 TSA-THA'!B15</f>
        <v>0</v>
      </c>
      <c r="C60" s="451">
        <f>'HR Track 3 TSA-THA'!C15</f>
        <v>0</v>
      </c>
      <c r="D60" s="453">
        <f>'HR Track 3 TSA-THA'!D15</f>
        <v>0</v>
      </c>
      <c r="E60" s="452">
        <f>'HR Track 3 TSA-THA'!E15</f>
        <v>0</v>
      </c>
      <c r="F60" s="453">
        <f>'HR Track 3 TSA-THA'!F15</f>
        <v>0</v>
      </c>
      <c r="G60" s="500">
        <f>'HR Track 3 TSA-THA'!G15</f>
        <v>38.299999999999997</v>
      </c>
      <c r="H60" s="453">
        <f>'HR Track 3 TSA-THA'!H15</f>
        <v>0</v>
      </c>
      <c r="I60" s="501">
        <f>'HR Track 3 TSA-THA'!I15</f>
        <v>0</v>
      </c>
      <c r="J60" s="583">
        <f>'HR Track 3 TSA-THA'!J15</f>
        <v>0</v>
      </c>
      <c r="K60" s="452">
        <f>'HR Track 3 TSA-THA'!K15</f>
        <v>0</v>
      </c>
      <c r="L60" s="452">
        <f>'HR Track 3 TSA-THA'!L15</f>
        <v>0</v>
      </c>
      <c r="M60" s="452">
        <f>'HR Track 3 TSA-THA'!M15</f>
        <v>0</v>
      </c>
      <c r="N60" s="501">
        <f>'HR Track 3 TSA-THA'!N15</f>
        <v>0</v>
      </c>
      <c r="O60" s="501">
        <f>'HR Track 3 TSA-THA'!O15</f>
        <v>0</v>
      </c>
      <c r="P60" s="501">
        <f>'HR Track 3 TSA-THA'!P15</f>
        <v>0</v>
      </c>
      <c r="Q60" s="452">
        <f>'HR Track 3 TSA-THA'!Q15</f>
        <v>0</v>
      </c>
      <c r="R60" s="452">
        <f>'HR Track 3 TSA-THA'!R15</f>
        <v>0</v>
      </c>
      <c r="S60" s="500">
        <f>'HR Track 3 TSA-THA'!S15</f>
        <v>40.470000000001164</v>
      </c>
      <c r="T60" s="452">
        <f>'HR Track 3 TSA-THA'!T15</f>
        <v>0</v>
      </c>
      <c r="U60" s="452">
        <f>'HR Track 3 TSA-THA'!U15</f>
        <v>0</v>
      </c>
      <c r="V60" s="452">
        <f>'HR Track 3 TSA-THA'!V15</f>
        <v>0</v>
      </c>
      <c r="W60" s="452">
        <f>'HR Track 3 TSA-THA'!W15</f>
        <v>0</v>
      </c>
      <c r="X60" s="452">
        <f>'HR Track 3 TSA-THA'!X15</f>
        <v>0</v>
      </c>
      <c r="Y60" s="452">
        <f>'HR Track 3 TSA-THA'!Y15</f>
        <v>0</v>
      </c>
      <c r="Z60" s="452">
        <f>'HR Track 3 TSA-THA'!Z15</f>
        <v>0</v>
      </c>
      <c r="AA60" s="452">
        <f>'HR Track 3 TSA-THA'!AA15</f>
        <v>0</v>
      </c>
      <c r="AB60" s="452">
        <f>'HR Track 3 TSA-THA'!AB15</f>
        <v>0</v>
      </c>
      <c r="AC60" s="452">
        <f>'HR Track 3 TSA-THA'!AC15</f>
        <v>0</v>
      </c>
      <c r="AD60" s="452">
        <f>'HR Track 3 TSA-THA'!AD15</f>
        <v>0</v>
      </c>
      <c r="AE60" s="452">
        <f>'HR Track 3 TSA-THA'!AE15</f>
        <v>0</v>
      </c>
      <c r="AF60" s="452">
        <f>'HR Track 3 TSA-THA'!AF15</f>
        <v>0</v>
      </c>
      <c r="AG60" s="451">
        <f>'HR Track 3 TSA-THA'!AG15</f>
        <v>0</v>
      </c>
      <c r="AH60" s="452">
        <f>'HR Track 3 TSA-THA'!AH15</f>
        <v>0</v>
      </c>
      <c r="AI60" s="452">
        <f>'HR Track 3 TSA-THA'!AI15</f>
        <v>0</v>
      </c>
      <c r="AJ60" s="452">
        <f>'HR Track 3 TSA-THA'!AJ15</f>
        <v>0</v>
      </c>
      <c r="AK60" s="452">
        <f>'HR Track 3 TSA-THA'!AK15</f>
        <v>0</v>
      </c>
      <c r="AL60" s="452">
        <f>'HR Track 3 TSA-THA'!AL15</f>
        <v>0</v>
      </c>
      <c r="AM60" s="452">
        <f>'HR Track 3 TSA-THA'!AM15</f>
        <v>0</v>
      </c>
      <c r="AN60" s="500">
        <f>'HR Track 3 TSA-THA'!AN15</f>
        <v>0</v>
      </c>
      <c r="AO60" s="452">
        <f>'HR Track 3 TSA-THA'!AO15</f>
        <v>0</v>
      </c>
      <c r="AP60" s="452">
        <f>'HR Track 3 TSA-THA'!AP15</f>
        <v>0</v>
      </c>
      <c r="AQ60" s="452">
        <f>'HR Track 3 TSA-THA'!AQ15</f>
        <v>0.35955975509397947</v>
      </c>
      <c r="AR60" s="452">
        <f>'HR Track 3 TSA-THA'!AR15</f>
        <v>0</v>
      </c>
      <c r="AS60" s="452">
        <f>'HR Track 3 TSA-THA'!AS15</f>
        <v>0</v>
      </c>
      <c r="AT60" s="452">
        <f>'HR Track 3 TSA-THA'!AT15</f>
        <v>0</v>
      </c>
      <c r="AU60" s="452">
        <f>'HR Track 3 TSA-THA'!AU15</f>
        <v>0</v>
      </c>
      <c r="AV60" s="452">
        <f>'HR Track 3 TSA-THA'!AV15</f>
        <v>0</v>
      </c>
      <c r="AW60" s="452">
        <f>'HR Track 3 TSA-THA'!AW15</f>
        <v>0</v>
      </c>
      <c r="AX60" s="452">
        <f>'HR Track 3 TSA-THA'!AX15</f>
        <v>0</v>
      </c>
      <c r="AY60" s="500">
        <f>'HR Track 3 TSA-THA'!AY15</f>
        <v>0</v>
      </c>
      <c r="AZ60" s="500">
        <f>'HR Track 3 TSA-THA'!AZ15</f>
        <v>0</v>
      </c>
      <c r="BA60" s="1333">
        <f>'HR Track 3 TSA-THA'!BA15</f>
        <v>0</v>
      </c>
      <c r="BB60" s="452">
        <f>'HR Track 3 TSA-THA'!BB15</f>
        <v>0</v>
      </c>
      <c r="BC60" s="1334">
        <f>'HR Track 3 TSA-THA'!BC15</f>
        <v>0</v>
      </c>
      <c r="BD60" s="1335">
        <f>'HR Track 3 TSA-THA'!BD15</f>
        <v>0</v>
      </c>
      <c r="BE60" s="1335">
        <f>'HR Track 3 TSA-THA'!BE15</f>
        <v>0</v>
      </c>
      <c r="BF60" s="1335">
        <f>'HR Track 3 TSA-THA'!BF15</f>
        <v>0</v>
      </c>
      <c r="BG60" s="1335">
        <f>'HR Track 3 TSA-THA'!BG15</f>
        <v>0</v>
      </c>
    </row>
    <row r="61" spans="1:59" ht="12.5">
      <c r="A61" s="501">
        <f>'HR Track 3 TSA-THA'!A16</f>
        <v>0</v>
      </c>
      <c r="B61" s="716" t="str">
        <f>'HR Track 3 TSA-THA'!B16</f>
        <v>93-3.17</v>
      </c>
      <c r="C61" s="451">
        <f>'HR Track 3 TSA-THA'!C16</f>
        <v>93690.85000000002</v>
      </c>
      <c r="D61" s="453">
        <f>'HR Track 3 TSA-THA'!D16</f>
        <v>0</v>
      </c>
      <c r="E61" s="452">
        <f>'HR Track 3 TSA-THA'!E16</f>
        <v>0</v>
      </c>
      <c r="F61" s="453">
        <f>'HR Track 3 TSA-THA'!F16</f>
        <v>622</v>
      </c>
      <c r="G61" s="500">
        <f>'HR Track 3 TSA-THA'!G16</f>
        <v>0</v>
      </c>
      <c r="H61" s="453" t="str">
        <f>'HR Track 3 TSA-THA'!H16</f>
        <v>S/A A/S</v>
      </c>
      <c r="I61" s="501" t="str">
        <f>'HR Track 3 TSA-THA'!I16</f>
        <v>CP/TX-P/1100</v>
      </c>
      <c r="J61" s="583">
        <f>'HR Track 3 TSA-THA'!J16</f>
        <v>93698.35000000002</v>
      </c>
      <c r="K61" s="452" t="str">
        <f>'HR Track 3 TSA-THA'!K16</f>
        <v>AnMC/W</v>
      </c>
      <c r="L61" s="452" t="str">
        <f>'HR Track 3 TSA-THA'!L16</f>
        <v>HEB-280L</v>
      </c>
      <c r="M61" s="452" t="str">
        <f>'HR Track 3 TSA-THA'!M16</f>
        <v>Unique Solution</v>
      </c>
      <c r="N61" s="501" t="str">
        <f>'HR Track 3 TSA-THA'!N16</f>
        <v>EMT-E</v>
      </c>
      <c r="O61" s="501" t="str">
        <f>'HR Track 3 TSA-THA'!O16</f>
        <v>EMT-T</v>
      </c>
      <c r="P61" s="501">
        <f>'HR Track 3 TSA-THA'!P16</f>
        <v>0</v>
      </c>
      <c r="Q61" s="452">
        <f>'HR Track 3 TSA-THA'!Q16</f>
        <v>30</v>
      </c>
      <c r="R61" s="452">
        <f>'HR Track 3 TSA-THA'!R16</f>
        <v>631.33000000000004</v>
      </c>
      <c r="S61" s="500">
        <f>'HR Track 3 TSA-THA'!S16</f>
        <v>0</v>
      </c>
      <c r="T61" s="452">
        <f>'HR Track 3 TSA-THA'!T16</f>
        <v>-30</v>
      </c>
      <c r="U61" s="452">
        <f>'HR Track 3 TSA-THA'!U16</f>
        <v>15</v>
      </c>
      <c r="V61" s="452">
        <f>'HR Track 3 TSA-THA'!V16</f>
        <v>0</v>
      </c>
      <c r="W61" s="452">
        <f>'HR Track 3 TSA-THA'!W16</f>
        <v>1.4</v>
      </c>
      <c r="X61" s="452">
        <f>'HR Track 3 TSA-THA'!X16</f>
        <v>1.2</v>
      </c>
      <c r="Y61" s="452">
        <f>'HR Track 3 TSA-THA'!Y16</f>
        <v>0</v>
      </c>
      <c r="Z61" s="452">
        <f>'HR Track 3 TSA-THA'!Z16</f>
        <v>0</v>
      </c>
      <c r="AA61" s="452">
        <f>'HR Track 3 TSA-THA'!AA16</f>
        <v>0.45</v>
      </c>
      <c r="AB61" s="452">
        <f>'HR Track 3 TSA-THA'!AB16</f>
        <v>0</v>
      </c>
      <c r="AC61" s="452" t="str">
        <f>'HR Track 3 TSA-THA'!AC16</f>
        <v>PHC-1150</v>
      </c>
      <c r="AD61" s="452">
        <f>'HR Track 3 TSA-THA'!AD16</f>
        <v>0</v>
      </c>
      <c r="AE61" s="452">
        <f>'HR Track 3 TSA-THA'!AE16</f>
        <v>0</v>
      </c>
      <c r="AF61" s="452">
        <f>'HR Track 3 TSA-THA'!AF16</f>
        <v>4500</v>
      </c>
      <c r="AG61" s="451">
        <f>'HR Track 3 TSA-THA'!AG16</f>
        <v>93690.81</v>
      </c>
      <c r="AH61" s="452">
        <f>'HR Track 3 TSA-THA'!AH16</f>
        <v>1803</v>
      </c>
      <c r="AI61" s="452">
        <f>'HR Track 3 TSA-THA'!AI16</f>
        <v>-730</v>
      </c>
      <c r="AJ61" s="452">
        <f>'HR Track 3 TSA-THA'!AJ16</f>
        <v>0</v>
      </c>
      <c r="AK61" s="452">
        <f>'HR Track 3 TSA-THA'!AK16</f>
        <v>0</v>
      </c>
      <c r="AL61" s="452" t="str">
        <f>'HR Track 3 TSA-THA'!AL16</f>
        <v>PR1B</v>
      </c>
      <c r="AM61" s="452" t="str">
        <f>'HR Track 3 TSA-THA'!AM16</f>
        <v>RW2</v>
      </c>
      <c r="AN61" s="500">
        <f>'HR Track 3 TSA-THA'!AN16</f>
        <v>5.32</v>
      </c>
      <c r="AO61" s="452">
        <f>'HR Track 3 TSA-THA'!AO16</f>
        <v>0</v>
      </c>
      <c r="AP61" s="452">
        <f>'HR Track 3 TSA-THA'!AP16</f>
        <v>0</v>
      </c>
      <c r="AQ61" s="452">
        <f>'HR Track 3 TSA-THA'!AQ16</f>
        <v>0</v>
      </c>
      <c r="AR61" s="452">
        <f>'HR Track 3 TSA-THA'!AR16</f>
        <v>0</v>
      </c>
      <c r="AS61" s="452">
        <f>'HR Track 3 TSA-THA'!AS16</f>
        <v>0</v>
      </c>
      <c r="AT61" s="452">
        <f>'HR Track 3 TSA-THA'!AT16</f>
        <v>-2.6477831163545087</v>
      </c>
      <c r="AU61" s="452">
        <f>'HR Track 3 TSA-THA'!AU16</f>
        <v>0</v>
      </c>
      <c r="AV61" s="452">
        <f>'HR Track 3 TSA-THA'!AV16</f>
        <v>0</v>
      </c>
      <c r="AW61" s="452" t="str">
        <f>'HR Track 3 TSA-THA'!AW16</f>
        <v>DW6928
DW6999</v>
      </c>
      <c r="AX61" s="452">
        <f>'HR Track 3 TSA-THA'!AX16</f>
        <v>0</v>
      </c>
      <c r="AY61" s="500">
        <f>'HR Track 3 TSA-THA'!AY16</f>
        <v>0</v>
      </c>
      <c r="AZ61" s="500">
        <f>'HR Track 3 TSA-THA'!AZ16</f>
        <v>0</v>
      </c>
      <c r="BA61" s="1333" t="str">
        <f>'HR Track 3 TSA-THA'!BA16</f>
        <v>ü</v>
      </c>
      <c r="BB61" s="452" t="str">
        <f>'HR Track 3 TSA-THA'!BB16</f>
        <v>App.8-V08F-P10.3</v>
      </c>
      <c r="BC61" s="1334">
        <f>'HR Track 3 TSA-THA'!BC16</f>
        <v>0</v>
      </c>
      <c r="BD61" s="1335">
        <f>'HR Track 3 TSA-THA'!BD16</f>
        <v>43808</v>
      </c>
      <c r="BE61" s="1335" t="str">
        <f>'HR Track 3 TSA-THA'!BE16</f>
        <v>Ejecutado</v>
      </c>
      <c r="BF61" s="1335" t="str">
        <f>'HR Track 3 TSA-THA'!BF16</f>
        <v>Ejecutado</v>
      </c>
      <c r="BG61" s="1335">
        <f>'HR Track 3 TSA-THA'!BG16</f>
        <v>43838</v>
      </c>
    </row>
    <row r="62" spans="1:59" ht="15.75" customHeight="1">
      <c r="A62" s="501">
        <f>'HR Track 3 TSA-THA'!A17</f>
        <v>0</v>
      </c>
      <c r="B62" s="716">
        <f>'HR Track 3 TSA-THA'!B17</f>
        <v>0</v>
      </c>
      <c r="C62" s="451">
        <f>'HR Track 3 TSA-THA'!C17</f>
        <v>0</v>
      </c>
      <c r="D62" s="453">
        <f>'HR Track 3 TSA-THA'!D17</f>
        <v>0</v>
      </c>
      <c r="E62" s="452">
        <f>'HR Track 3 TSA-THA'!E17</f>
        <v>0</v>
      </c>
      <c r="F62" s="453">
        <f>'HR Track 3 TSA-THA'!F17</f>
        <v>0</v>
      </c>
      <c r="G62" s="500">
        <f>'HR Track 3 TSA-THA'!G17</f>
        <v>38.799999999999997</v>
      </c>
      <c r="H62" s="453">
        <f>'HR Track 3 TSA-THA'!H17</f>
        <v>0</v>
      </c>
      <c r="I62" s="501">
        <f>'HR Track 3 TSA-THA'!I17</f>
        <v>0</v>
      </c>
      <c r="J62" s="583">
        <f>'HR Track 3 TSA-THA'!J17</f>
        <v>93722.150000000023</v>
      </c>
      <c r="K62" s="452" t="str">
        <f>'HR Track 3 TSA-THA'!K17</f>
        <v>AnMC/W</v>
      </c>
      <c r="L62" s="452">
        <f>'HR Track 3 TSA-THA'!L17</f>
        <v>0</v>
      </c>
      <c r="M62" s="452">
        <f>'HR Track 3 TSA-THA'!M17</f>
        <v>0</v>
      </c>
      <c r="N62" s="501">
        <f>'HR Track 3 TSA-THA'!N17</f>
        <v>0</v>
      </c>
      <c r="O62" s="501">
        <f>'HR Track 3 TSA-THA'!O17</f>
        <v>0</v>
      </c>
      <c r="P62" s="501">
        <f>'HR Track 3 TSA-THA'!P17</f>
        <v>0</v>
      </c>
      <c r="Q62" s="452">
        <f>'HR Track 3 TSA-THA'!Q17</f>
        <v>0</v>
      </c>
      <c r="R62" s="452">
        <f>'HR Track 3 TSA-THA'!R17</f>
        <v>0</v>
      </c>
      <c r="S62" s="500">
        <f>'HR Track 3 TSA-THA'!S17</f>
        <v>38.720000000001164</v>
      </c>
      <c r="T62" s="452">
        <f>'HR Track 3 TSA-THA'!T17</f>
        <v>0</v>
      </c>
      <c r="U62" s="452">
        <f>'HR Track 3 TSA-THA'!U17</f>
        <v>0</v>
      </c>
      <c r="V62" s="452">
        <f>'HR Track 3 TSA-THA'!V17</f>
        <v>0</v>
      </c>
      <c r="W62" s="452">
        <f>'HR Track 3 TSA-THA'!W17</f>
        <v>0</v>
      </c>
      <c r="X62" s="452">
        <f>'HR Track 3 TSA-THA'!X17</f>
        <v>0</v>
      </c>
      <c r="Y62" s="452">
        <f>'HR Track 3 TSA-THA'!Y17</f>
        <v>0</v>
      </c>
      <c r="Z62" s="452">
        <f>'HR Track 3 TSA-THA'!Z17</f>
        <v>0</v>
      </c>
      <c r="AA62" s="452">
        <f>'HR Track 3 TSA-THA'!AA17</f>
        <v>0</v>
      </c>
      <c r="AB62" s="452">
        <f>'HR Track 3 TSA-THA'!AB17</f>
        <v>0</v>
      </c>
      <c r="AC62" s="452">
        <f>'HR Track 3 TSA-THA'!AC17</f>
        <v>0</v>
      </c>
      <c r="AD62" s="452">
        <f>'HR Track 3 TSA-THA'!AD17</f>
        <v>0</v>
      </c>
      <c r="AE62" s="452">
        <f>'HR Track 3 TSA-THA'!AE17</f>
        <v>0</v>
      </c>
      <c r="AF62" s="452">
        <f>'HR Track 3 TSA-THA'!AF17</f>
        <v>0</v>
      </c>
      <c r="AG62" s="451">
        <f>'HR Track 3 TSA-THA'!AG17</f>
        <v>0</v>
      </c>
      <c r="AH62" s="452">
        <f>'HR Track 3 TSA-THA'!AH17</f>
        <v>0</v>
      </c>
      <c r="AI62" s="452">
        <f>'HR Track 3 TSA-THA'!AI17</f>
        <v>0</v>
      </c>
      <c r="AJ62" s="452">
        <f>'HR Track 3 TSA-THA'!AJ17</f>
        <v>0</v>
      </c>
      <c r="AK62" s="452">
        <f>'HR Track 3 TSA-THA'!AK17</f>
        <v>0</v>
      </c>
      <c r="AL62" s="452">
        <f>'HR Track 3 TSA-THA'!AL17</f>
        <v>0</v>
      </c>
      <c r="AM62" s="452">
        <f>'HR Track 3 TSA-THA'!AM17</f>
        <v>0</v>
      </c>
      <c r="AN62" s="500">
        <f>'HR Track 3 TSA-THA'!AN17</f>
        <v>0</v>
      </c>
      <c r="AO62" s="452">
        <f>'HR Track 3 TSA-THA'!AO17</f>
        <v>0</v>
      </c>
      <c r="AP62" s="452">
        <f>'HR Track 3 TSA-THA'!AP17</f>
        <v>0</v>
      </c>
      <c r="AQ62" s="452">
        <f>'HR Track 3 TSA-THA'!AQ17</f>
        <v>-0.3</v>
      </c>
      <c r="AR62" s="452">
        <f>'HR Track 3 TSA-THA'!AR17</f>
        <v>0</v>
      </c>
      <c r="AS62" s="452">
        <f>'HR Track 3 TSA-THA'!AS17</f>
        <v>0</v>
      </c>
      <c r="AT62" s="452">
        <f>'HR Track 3 TSA-THA'!AT17</f>
        <v>0</v>
      </c>
      <c r="AU62" s="452">
        <f>'HR Track 3 TSA-THA'!AU17</f>
        <v>0</v>
      </c>
      <c r="AV62" s="452">
        <f>'HR Track 3 TSA-THA'!AV17</f>
        <v>0</v>
      </c>
      <c r="AW62" s="452" t="str">
        <f>'HR Track 3 TSA-THA'!AW17</f>
        <v>DW6999</v>
      </c>
      <c r="AX62" s="452">
        <f>'HR Track 3 TSA-THA'!AX17</f>
        <v>0</v>
      </c>
      <c r="AY62" s="500">
        <f>'HR Track 3 TSA-THA'!AY17</f>
        <v>0</v>
      </c>
      <c r="AZ62" s="500">
        <f>'HR Track 3 TSA-THA'!AZ17</f>
        <v>0</v>
      </c>
      <c r="BA62" s="1333" t="str">
        <f>'HR Track 3 TSA-THA'!BA17</f>
        <v>ü</v>
      </c>
      <c r="BB62" s="452">
        <f>'HR Track 3 TSA-THA'!BB17</f>
        <v>0</v>
      </c>
      <c r="BC62" s="1334">
        <f>'HR Track 3 TSA-THA'!BC17</f>
        <v>0</v>
      </c>
      <c r="BD62" s="1335" t="str">
        <f>'HR Track 3 TSA-THA'!BD17</f>
        <v>Ejecutado</v>
      </c>
      <c r="BE62" s="1335">
        <f>'HR Track 3 TSA-THA'!BE17</f>
        <v>0</v>
      </c>
      <c r="BF62" s="1335">
        <f>'HR Track 3 TSA-THA'!BF17</f>
        <v>0</v>
      </c>
      <c r="BG62" s="1335">
        <f>'HR Track 3 TSA-THA'!BG17</f>
        <v>0</v>
      </c>
    </row>
    <row r="63" spans="1:59" ht="15.75" customHeight="1">
      <c r="S63" s="454"/>
      <c r="AN63" s="458"/>
      <c r="BA63" s="1305"/>
      <c r="BC63" s="169"/>
    </row>
    <row r="64" spans="1:59" ht="15.75" customHeight="1">
      <c r="S64" s="454"/>
      <c r="AN64" s="458"/>
      <c r="BA64" s="1305"/>
      <c r="BC64" s="169"/>
    </row>
    <row r="65" spans="19:55" ht="15.75" customHeight="1">
      <c r="S65" s="454"/>
      <c r="AN65" s="458"/>
      <c r="BA65" s="1305"/>
      <c r="BC65" s="169"/>
    </row>
    <row r="66" spans="19:55" ht="15.75" customHeight="1">
      <c r="S66" s="454"/>
      <c r="AN66" s="458"/>
      <c r="BA66" s="1305"/>
      <c r="BC66" s="169"/>
    </row>
    <row r="67" spans="19:55" ht="15.75" customHeight="1">
      <c r="S67" s="454"/>
      <c r="AN67" s="458"/>
      <c r="BA67" s="1305"/>
      <c r="BC67" s="169"/>
    </row>
    <row r="68" spans="19:55" ht="15.75" customHeight="1">
      <c r="S68" s="454"/>
      <c r="AN68" s="458"/>
      <c r="BA68" s="1305"/>
      <c r="BC68" s="169"/>
    </row>
    <row r="69" spans="19:55" ht="15.75" customHeight="1">
      <c r="S69" s="454"/>
      <c r="AN69" s="458"/>
      <c r="BA69" s="1305"/>
      <c r="BC69" s="169"/>
    </row>
    <row r="70" spans="19:55" ht="15.75" customHeight="1">
      <c r="S70" s="454"/>
      <c r="AN70" s="458"/>
      <c r="BA70" s="1305"/>
      <c r="BC70" s="169"/>
    </row>
    <row r="71" spans="19:55" ht="15.75" customHeight="1">
      <c r="S71" s="454"/>
      <c r="AN71" s="458"/>
      <c r="BA71" s="1305"/>
      <c r="BC71" s="169"/>
    </row>
    <row r="72" spans="19:55" ht="15.75" customHeight="1">
      <c r="S72" s="454"/>
      <c r="AN72" s="458"/>
      <c r="BA72" s="1305"/>
      <c r="BC72" s="169"/>
    </row>
    <row r="73" spans="19:55" ht="15.75" customHeight="1">
      <c r="S73" s="454"/>
      <c r="AN73" s="458"/>
      <c r="BA73" s="1305"/>
      <c r="BC73" s="169"/>
    </row>
    <row r="74" spans="19:55" ht="15.75" customHeight="1">
      <c r="S74" s="454"/>
      <c r="AN74" s="458"/>
      <c r="BA74" s="1305"/>
      <c r="BC74" s="169"/>
    </row>
    <row r="75" spans="19:55" ht="15.75" customHeight="1">
      <c r="S75" s="454"/>
      <c r="AN75" s="458"/>
      <c r="BA75" s="1305"/>
      <c r="BC75" s="169"/>
    </row>
    <row r="76" spans="19:55" ht="15.75" customHeight="1">
      <c r="S76" s="454"/>
      <c r="AN76" s="458"/>
      <c r="BA76" s="1305"/>
      <c r="BC76" s="169"/>
    </row>
    <row r="77" spans="19:55" ht="15.75" customHeight="1">
      <c r="S77" s="454"/>
      <c r="AN77" s="458"/>
      <c r="BA77" s="1305"/>
      <c r="BC77" s="169"/>
    </row>
    <row r="78" spans="19:55" ht="15.75" customHeight="1">
      <c r="S78" s="454"/>
      <c r="AN78" s="458"/>
      <c r="BA78" s="1305"/>
      <c r="BC78" s="169"/>
    </row>
    <row r="79" spans="19:55" ht="15.75" customHeight="1">
      <c r="S79" s="454"/>
      <c r="AN79" s="458"/>
      <c r="BA79" s="1305"/>
      <c r="BC79" s="169"/>
    </row>
    <row r="80" spans="19:55" ht="15.75" customHeight="1">
      <c r="S80" s="454"/>
      <c r="AN80" s="458"/>
      <c r="BA80" s="1305"/>
      <c r="BC80" s="169"/>
    </row>
    <row r="81" spans="19:55" ht="15.75" customHeight="1">
      <c r="S81" s="454"/>
      <c r="AN81" s="458"/>
      <c r="BA81" s="1305"/>
      <c r="BC81" s="169"/>
    </row>
    <row r="82" spans="19:55" ht="15.75" customHeight="1">
      <c r="S82" s="454"/>
      <c r="AN82" s="458"/>
      <c r="BA82" s="1305"/>
      <c r="BC82" s="169"/>
    </row>
    <row r="83" spans="19:55" ht="15.75" customHeight="1">
      <c r="S83" s="454"/>
      <c r="AN83" s="458"/>
      <c r="BA83" s="1305"/>
      <c r="BC83" s="169"/>
    </row>
    <row r="84" spans="19:55" ht="15.75" customHeight="1">
      <c r="S84" s="454"/>
      <c r="AN84" s="458"/>
      <c r="BA84" s="1305"/>
      <c r="BC84" s="169"/>
    </row>
    <row r="85" spans="19:55" ht="15.75" customHeight="1">
      <c r="S85" s="454"/>
      <c r="AN85" s="458"/>
      <c r="BA85" s="1305"/>
      <c r="BC85" s="169"/>
    </row>
    <row r="86" spans="19:55" ht="15.75" customHeight="1">
      <c r="S86" s="454"/>
      <c r="AN86" s="458"/>
      <c r="BA86" s="1305"/>
      <c r="BC86" s="169"/>
    </row>
    <row r="87" spans="19:55" ht="15.75" customHeight="1">
      <c r="S87" s="454"/>
      <c r="AN87" s="458"/>
      <c r="BA87" s="1305"/>
      <c r="BC87" s="169"/>
    </row>
    <row r="88" spans="19:55" ht="15.75" customHeight="1">
      <c r="S88" s="454"/>
      <c r="AN88" s="458"/>
      <c r="BA88" s="1305"/>
      <c r="BC88" s="169"/>
    </row>
    <row r="89" spans="19:55" ht="15.75" customHeight="1">
      <c r="S89" s="454"/>
      <c r="AN89" s="458"/>
      <c r="BA89" s="1305"/>
      <c r="BC89" s="169"/>
    </row>
    <row r="90" spans="19:55" ht="15.75" customHeight="1">
      <c r="S90" s="454"/>
      <c r="AN90" s="458"/>
      <c r="BA90" s="1305"/>
      <c r="BC90" s="169"/>
    </row>
    <row r="91" spans="19:55" ht="15.75" customHeight="1">
      <c r="S91" s="454"/>
      <c r="AN91" s="458"/>
      <c r="BA91" s="1305"/>
      <c r="BC91" s="169"/>
    </row>
    <row r="92" spans="19:55" ht="15.75" customHeight="1">
      <c r="S92" s="454"/>
      <c r="AN92" s="458"/>
      <c r="BA92" s="1305"/>
      <c r="BC92" s="169"/>
    </row>
    <row r="93" spans="19:55" ht="15.75" customHeight="1">
      <c r="S93" s="454"/>
      <c r="AN93" s="458"/>
      <c r="BA93" s="1305"/>
      <c r="BC93" s="169"/>
    </row>
    <row r="94" spans="19:55" ht="15.75" customHeight="1">
      <c r="S94" s="454"/>
      <c r="AN94" s="458"/>
      <c r="BA94" s="1305"/>
      <c r="BC94" s="169"/>
    </row>
    <row r="95" spans="19:55" ht="15.75" customHeight="1">
      <c r="S95" s="454"/>
      <c r="AN95" s="458"/>
      <c r="BA95" s="1305"/>
      <c r="BC95" s="169"/>
    </row>
    <row r="96" spans="19:55" ht="15.75" customHeight="1">
      <c r="S96" s="454"/>
      <c r="AN96" s="458"/>
      <c r="BA96" s="1305"/>
      <c r="BC96" s="169"/>
    </row>
    <row r="97" spans="19:55" ht="15.75" customHeight="1">
      <c r="S97" s="454"/>
      <c r="AN97" s="458"/>
      <c r="BA97" s="1305"/>
      <c r="BC97" s="169"/>
    </row>
    <row r="98" spans="19:55" ht="15.75" customHeight="1">
      <c r="S98" s="454"/>
      <c r="AN98" s="458"/>
      <c r="BA98" s="1305"/>
      <c r="BC98" s="169"/>
    </row>
    <row r="99" spans="19:55" ht="15.75" customHeight="1">
      <c r="S99" s="454"/>
      <c r="AN99" s="458"/>
      <c r="BA99" s="1305"/>
      <c r="BC99" s="169"/>
    </row>
    <row r="100" spans="19:55" ht="15.75" customHeight="1">
      <c r="S100" s="454"/>
      <c r="AN100" s="458"/>
      <c r="BA100" s="1305"/>
      <c r="BC100" s="169"/>
    </row>
    <row r="101" spans="19:55" ht="15.75" customHeight="1">
      <c r="S101" s="454"/>
      <c r="AN101" s="458"/>
      <c r="BA101" s="1305"/>
      <c r="BC101" s="169"/>
    </row>
    <row r="102" spans="19:55" ht="15.75" customHeight="1">
      <c r="S102" s="454"/>
      <c r="AN102" s="458"/>
      <c r="BA102" s="1305"/>
      <c r="BC102" s="169"/>
    </row>
    <row r="103" spans="19:55" ht="15.75" customHeight="1">
      <c r="S103" s="454"/>
      <c r="AN103" s="458"/>
      <c r="BA103" s="1305"/>
      <c r="BC103" s="169"/>
    </row>
    <row r="104" spans="19:55" ht="15.75" customHeight="1">
      <c r="S104" s="454"/>
      <c r="AN104" s="458"/>
      <c r="BA104" s="1305"/>
      <c r="BC104" s="169"/>
    </row>
    <row r="105" spans="19:55" ht="15.75" customHeight="1">
      <c r="S105" s="454"/>
      <c r="AN105" s="458"/>
      <c r="BA105" s="1305"/>
      <c r="BC105" s="169"/>
    </row>
    <row r="106" spans="19:55" ht="15.75" customHeight="1">
      <c r="S106" s="454"/>
      <c r="AN106" s="458"/>
      <c r="BA106" s="1305"/>
      <c r="BC106" s="169"/>
    </row>
    <row r="107" spans="19:55" ht="15.75" customHeight="1">
      <c r="S107" s="454"/>
      <c r="AN107" s="458"/>
      <c r="BA107" s="1305"/>
      <c r="BC107" s="169"/>
    </row>
    <row r="108" spans="19:55" ht="15.75" customHeight="1">
      <c r="S108" s="454"/>
      <c r="AN108" s="458"/>
      <c r="BA108" s="1305"/>
      <c r="BC108" s="169"/>
    </row>
    <row r="109" spans="19:55" ht="15.75" customHeight="1">
      <c r="S109" s="454"/>
      <c r="AN109" s="458"/>
      <c r="BA109" s="1305"/>
      <c r="BC109" s="169"/>
    </row>
    <row r="110" spans="19:55" ht="15.75" customHeight="1">
      <c r="S110" s="454"/>
      <c r="AN110" s="458"/>
      <c r="BA110" s="1305"/>
      <c r="BC110" s="169"/>
    </row>
    <row r="111" spans="19:55" ht="15.75" customHeight="1">
      <c r="S111" s="454"/>
      <c r="AN111" s="458"/>
      <c r="BA111" s="1305"/>
      <c r="BC111" s="169"/>
    </row>
    <row r="112" spans="19:55" ht="15.75" customHeight="1">
      <c r="S112" s="454"/>
      <c r="AN112" s="458"/>
      <c r="BA112" s="1305"/>
      <c r="BC112" s="169"/>
    </row>
    <row r="113" spans="19:55" ht="15.75" customHeight="1">
      <c r="S113" s="454"/>
      <c r="AN113" s="458"/>
      <c r="BA113" s="1305"/>
      <c r="BC113" s="169"/>
    </row>
    <row r="114" spans="19:55" ht="15.75" customHeight="1">
      <c r="S114" s="454"/>
      <c r="AN114" s="458"/>
      <c r="BA114" s="1305"/>
      <c r="BC114" s="169"/>
    </row>
    <row r="115" spans="19:55" ht="15.75" customHeight="1">
      <c r="S115" s="454"/>
      <c r="AN115" s="458"/>
      <c r="BA115" s="1305"/>
      <c r="BC115" s="169"/>
    </row>
    <row r="116" spans="19:55" ht="15.75" customHeight="1">
      <c r="S116" s="454"/>
      <c r="AN116" s="458"/>
      <c r="BA116" s="1305"/>
      <c r="BC116" s="169"/>
    </row>
    <row r="117" spans="19:55" ht="15.75" customHeight="1">
      <c r="S117" s="454"/>
      <c r="AN117" s="458"/>
      <c r="BA117" s="1305"/>
      <c r="BC117" s="169"/>
    </row>
    <row r="118" spans="19:55" ht="15.75" customHeight="1">
      <c r="S118" s="454"/>
      <c r="AN118" s="458"/>
      <c r="BA118" s="1305"/>
      <c r="BC118" s="169"/>
    </row>
    <row r="119" spans="19:55" ht="15.75" customHeight="1">
      <c r="S119" s="454"/>
      <c r="AN119" s="458"/>
      <c r="BA119" s="1305"/>
      <c r="BC119" s="169"/>
    </row>
    <row r="120" spans="19:55" ht="15.75" customHeight="1">
      <c r="S120" s="454"/>
      <c r="AN120" s="458"/>
      <c r="BA120" s="1305"/>
      <c r="BC120" s="169"/>
    </row>
    <row r="121" spans="19:55" ht="15.75" customHeight="1">
      <c r="S121" s="454"/>
      <c r="AN121" s="458"/>
      <c r="BA121" s="1305"/>
      <c r="BC121" s="169"/>
    </row>
    <row r="122" spans="19:55" ht="15.75" customHeight="1">
      <c r="S122" s="454"/>
      <c r="AN122" s="458"/>
      <c r="BA122" s="1305"/>
      <c r="BC122" s="169"/>
    </row>
    <row r="123" spans="19:55" ht="15.75" customHeight="1">
      <c r="S123" s="454"/>
      <c r="AN123" s="458"/>
      <c r="BA123" s="1305"/>
      <c r="BC123" s="169"/>
    </row>
    <row r="124" spans="19:55" ht="15.75" customHeight="1">
      <c r="S124" s="454"/>
      <c r="AN124" s="458"/>
      <c r="BA124" s="1305"/>
      <c r="BC124" s="169"/>
    </row>
    <row r="125" spans="19:55" ht="15.75" customHeight="1">
      <c r="S125" s="454"/>
      <c r="AN125" s="458"/>
      <c r="BA125" s="1305"/>
      <c r="BC125" s="169"/>
    </row>
    <row r="126" spans="19:55" ht="15.75" customHeight="1">
      <c r="S126" s="454"/>
      <c r="AN126" s="458"/>
      <c r="BA126" s="1305"/>
      <c r="BC126" s="169"/>
    </row>
    <row r="127" spans="19:55" ht="15.75" customHeight="1">
      <c r="S127" s="454"/>
      <c r="AN127" s="458"/>
      <c r="BA127" s="1305"/>
      <c r="BC127" s="169"/>
    </row>
    <row r="128" spans="19:55" ht="15.75" customHeight="1">
      <c r="S128" s="454"/>
      <c r="AN128" s="458"/>
      <c r="BA128" s="1305"/>
      <c r="BC128" s="169"/>
    </row>
    <row r="129" spans="19:55" ht="15.75" customHeight="1">
      <c r="S129" s="454"/>
      <c r="AN129" s="458"/>
      <c r="BA129" s="1305"/>
      <c r="BC129" s="169"/>
    </row>
    <row r="130" spans="19:55" ht="15.75" customHeight="1">
      <c r="S130" s="454"/>
      <c r="AN130" s="458"/>
      <c r="BA130" s="1305"/>
      <c r="BC130" s="169"/>
    </row>
    <row r="131" spans="19:55" ht="15.75" customHeight="1">
      <c r="S131" s="454"/>
      <c r="AN131" s="458"/>
      <c r="BA131" s="1305"/>
      <c r="BC131" s="169"/>
    </row>
    <row r="132" spans="19:55" ht="15.75" customHeight="1">
      <c r="S132" s="454"/>
      <c r="AN132" s="458"/>
      <c r="BA132" s="1305"/>
      <c r="BC132" s="169"/>
    </row>
    <row r="133" spans="19:55" ht="15.75" customHeight="1">
      <c r="S133" s="454"/>
      <c r="AN133" s="458"/>
      <c r="BA133" s="1305"/>
      <c r="BC133" s="169"/>
    </row>
    <row r="134" spans="19:55" ht="15.75" customHeight="1">
      <c r="S134" s="454"/>
      <c r="AN134" s="458"/>
      <c r="BA134" s="1305"/>
      <c r="BC134" s="169"/>
    </row>
    <row r="135" spans="19:55" ht="15.75" customHeight="1">
      <c r="S135" s="454"/>
      <c r="AN135" s="458"/>
      <c r="BA135" s="1305"/>
      <c r="BC135" s="169"/>
    </row>
    <row r="136" spans="19:55" ht="15.75" customHeight="1">
      <c r="S136" s="454"/>
      <c r="AN136" s="458"/>
      <c r="BA136" s="1305"/>
      <c r="BC136" s="169"/>
    </row>
    <row r="137" spans="19:55" ht="15.75" customHeight="1">
      <c r="S137" s="454"/>
      <c r="AN137" s="458"/>
      <c r="BA137" s="1305"/>
      <c r="BC137" s="169"/>
    </row>
    <row r="138" spans="19:55" ht="15.75" customHeight="1">
      <c r="S138" s="454"/>
      <c r="AN138" s="458"/>
      <c r="BA138" s="1305"/>
      <c r="BC138" s="169"/>
    </row>
    <row r="139" spans="19:55" ht="15.75" customHeight="1">
      <c r="S139" s="454"/>
      <c r="AN139" s="458"/>
      <c r="BA139" s="1305"/>
      <c r="BC139" s="169"/>
    </row>
    <row r="140" spans="19:55" ht="15.75" customHeight="1">
      <c r="S140" s="454"/>
      <c r="AN140" s="458"/>
      <c r="BA140" s="1305"/>
      <c r="BC140" s="169"/>
    </row>
    <row r="141" spans="19:55" ht="15.75" customHeight="1">
      <c r="S141" s="454"/>
      <c r="AN141" s="458"/>
      <c r="BA141" s="1305"/>
      <c r="BC141" s="169"/>
    </row>
    <row r="142" spans="19:55" ht="15.75" customHeight="1">
      <c r="S142" s="454"/>
      <c r="AN142" s="458"/>
      <c r="BA142" s="1305"/>
      <c r="BC142" s="169"/>
    </row>
    <row r="143" spans="19:55" ht="15.75" customHeight="1">
      <c r="S143" s="454"/>
      <c r="AN143" s="458"/>
      <c r="BA143" s="1305"/>
      <c r="BC143" s="169"/>
    </row>
    <row r="144" spans="19:55" ht="15.75" customHeight="1">
      <c r="S144" s="454"/>
      <c r="AN144" s="458"/>
      <c r="BA144" s="1305"/>
      <c r="BC144" s="169"/>
    </row>
    <row r="145" spans="19:55" ht="15.75" customHeight="1">
      <c r="S145" s="454"/>
      <c r="AN145" s="458"/>
      <c r="BA145" s="1305"/>
      <c r="BC145" s="169"/>
    </row>
    <row r="146" spans="19:55" ht="15.75" customHeight="1">
      <c r="S146" s="454"/>
      <c r="AN146" s="458"/>
      <c r="BA146" s="1305"/>
      <c r="BC146" s="169"/>
    </row>
    <row r="147" spans="19:55" ht="15.75" customHeight="1">
      <c r="S147" s="454"/>
      <c r="AN147" s="458"/>
      <c r="BA147" s="1305"/>
      <c r="BC147" s="169"/>
    </row>
    <row r="148" spans="19:55" ht="15.75" customHeight="1">
      <c r="S148" s="454"/>
      <c r="AN148" s="458"/>
      <c r="BA148" s="1305"/>
      <c r="BC148" s="169"/>
    </row>
    <row r="149" spans="19:55" ht="15.75" customHeight="1">
      <c r="S149" s="454"/>
      <c r="AN149" s="458"/>
      <c r="BA149" s="1305"/>
      <c r="BC149" s="169"/>
    </row>
    <row r="150" spans="19:55" ht="15.75" customHeight="1">
      <c r="S150" s="454"/>
      <c r="AN150" s="458"/>
      <c r="BA150" s="1305"/>
      <c r="BC150" s="169"/>
    </row>
    <row r="151" spans="19:55" ht="15.75" customHeight="1">
      <c r="S151" s="454"/>
      <c r="AN151" s="458"/>
      <c r="BA151" s="1305"/>
      <c r="BC151" s="169"/>
    </row>
    <row r="152" spans="19:55" ht="15.75" customHeight="1">
      <c r="S152" s="454"/>
      <c r="AN152" s="458"/>
      <c r="BA152" s="1305"/>
      <c r="BC152" s="169"/>
    </row>
    <row r="153" spans="19:55" ht="15.75" customHeight="1">
      <c r="S153" s="454"/>
      <c r="AN153" s="458"/>
      <c r="BA153" s="1305"/>
      <c r="BC153" s="169"/>
    </row>
    <row r="154" spans="19:55" ht="15.75" customHeight="1">
      <c r="S154" s="454"/>
      <c r="AN154" s="458"/>
      <c r="BA154" s="1305"/>
      <c r="BC154" s="169"/>
    </row>
    <row r="155" spans="19:55" ht="15.75" customHeight="1">
      <c r="S155" s="454"/>
      <c r="AN155" s="458"/>
      <c r="BA155" s="1305"/>
      <c r="BC155" s="169"/>
    </row>
    <row r="156" spans="19:55" ht="15.75" customHeight="1">
      <c r="S156" s="454"/>
      <c r="AN156" s="458"/>
      <c r="BA156" s="1305"/>
      <c r="BC156" s="169"/>
    </row>
    <row r="157" spans="19:55" ht="15.75" customHeight="1">
      <c r="S157" s="454"/>
      <c r="AN157" s="458"/>
      <c r="BA157" s="1305"/>
      <c r="BC157" s="169"/>
    </row>
    <row r="158" spans="19:55" ht="15.75" customHeight="1">
      <c r="S158" s="454"/>
      <c r="AN158" s="458"/>
      <c r="BA158" s="1305"/>
      <c r="BC158" s="169"/>
    </row>
    <row r="159" spans="19:55" ht="15.75" customHeight="1">
      <c r="S159" s="454"/>
      <c r="AN159" s="458"/>
      <c r="BA159" s="1305"/>
      <c r="BC159" s="169"/>
    </row>
    <row r="160" spans="19:55" ht="15.75" customHeight="1">
      <c r="S160" s="454"/>
      <c r="AN160" s="458"/>
      <c r="BA160" s="1305"/>
      <c r="BC160" s="169"/>
    </row>
    <row r="161" spans="19:55" ht="15.75" customHeight="1">
      <c r="S161" s="454"/>
      <c r="AN161" s="458"/>
      <c r="BA161" s="1305"/>
      <c r="BC161" s="169"/>
    </row>
    <row r="162" spans="19:55" ht="15.75" customHeight="1">
      <c r="S162" s="454"/>
      <c r="AN162" s="458"/>
      <c r="BA162" s="1305"/>
      <c r="BC162" s="169"/>
    </row>
    <row r="163" spans="19:55" ht="15.75" customHeight="1">
      <c r="S163" s="454"/>
      <c r="AN163" s="458"/>
      <c r="BA163" s="1305"/>
      <c r="BC163" s="169"/>
    </row>
    <row r="164" spans="19:55" ht="15.75" customHeight="1">
      <c r="S164" s="454"/>
      <c r="AN164" s="458"/>
      <c r="BA164" s="1305"/>
      <c r="BC164" s="169"/>
    </row>
    <row r="165" spans="19:55" ht="15.75" customHeight="1">
      <c r="S165" s="454"/>
      <c r="AN165" s="458"/>
      <c r="BA165" s="1305"/>
      <c r="BC165" s="169"/>
    </row>
    <row r="166" spans="19:55" ht="15.75" customHeight="1">
      <c r="S166" s="454"/>
      <c r="AN166" s="458"/>
      <c r="BA166" s="1305"/>
      <c r="BC166" s="169"/>
    </row>
    <row r="167" spans="19:55" ht="15.75" customHeight="1">
      <c r="S167" s="454"/>
      <c r="AN167" s="458"/>
      <c r="BA167" s="1305"/>
      <c r="BC167" s="169"/>
    </row>
    <row r="168" spans="19:55" ht="15.75" customHeight="1">
      <c r="S168" s="454"/>
      <c r="AN168" s="458"/>
      <c r="BA168" s="1305"/>
      <c r="BC168" s="169"/>
    </row>
    <row r="169" spans="19:55" ht="15.75" customHeight="1">
      <c r="S169" s="454"/>
      <c r="AN169" s="458"/>
      <c r="BA169" s="1305"/>
      <c r="BC169" s="169"/>
    </row>
    <row r="170" spans="19:55" ht="15.75" customHeight="1">
      <c r="S170" s="454"/>
      <c r="AN170" s="458"/>
      <c r="BA170" s="1305"/>
      <c r="BC170" s="169"/>
    </row>
    <row r="171" spans="19:55" ht="15.75" customHeight="1">
      <c r="S171" s="454"/>
      <c r="AN171" s="458"/>
      <c r="BA171" s="1305"/>
      <c r="BC171" s="169"/>
    </row>
    <row r="172" spans="19:55" ht="15.75" customHeight="1">
      <c r="S172" s="454"/>
      <c r="AN172" s="458"/>
      <c r="BA172" s="1305"/>
      <c r="BC172" s="169"/>
    </row>
    <row r="173" spans="19:55" ht="15.75" customHeight="1">
      <c r="S173" s="454"/>
      <c r="AN173" s="458"/>
      <c r="BA173" s="1305"/>
      <c r="BC173" s="169"/>
    </row>
    <row r="174" spans="19:55" ht="15.75" customHeight="1">
      <c r="S174" s="454"/>
      <c r="AN174" s="458"/>
      <c r="BA174" s="1305"/>
      <c r="BC174" s="169"/>
    </row>
    <row r="175" spans="19:55" ht="15.75" customHeight="1">
      <c r="S175" s="454"/>
      <c r="AN175" s="458"/>
      <c r="BA175" s="1305"/>
      <c r="BC175" s="169"/>
    </row>
    <row r="176" spans="19:55" ht="15.75" customHeight="1">
      <c r="S176" s="454"/>
      <c r="AN176" s="458"/>
      <c r="BA176" s="1305"/>
      <c r="BC176" s="169"/>
    </row>
    <row r="177" spans="19:55" ht="15.75" customHeight="1">
      <c r="S177" s="454"/>
      <c r="AN177" s="458"/>
      <c r="BA177" s="1305"/>
      <c r="BC177" s="169"/>
    </row>
    <row r="178" spans="19:55" ht="15.75" customHeight="1">
      <c r="S178" s="454"/>
      <c r="AN178" s="458"/>
      <c r="BA178" s="1305"/>
      <c r="BC178" s="169"/>
    </row>
    <row r="179" spans="19:55" ht="15.75" customHeight="1">
      <c r="S179" s="454"/>
      <c r="AN179" s="458"/>
      <c r="BA179" s="1305"/>
      <c r="BC179" s="169"/>
    </row>
    <row r="180" spans="19:55" ht="15.75" customHeight="1">
      <c r="S180" s="454"/>
      <c r="AN180" s="458"/>
      <c r="BA180" s="1305"/>
      <c r="BC180" s="169"/>
    </row>
    <row r="181" spans="19:55" ht="15.75" customHeight="1">
      <c r="S181" s="454"/>
      <c r="AN181" s="458"/>
      <c r="BA181" s="1305"/>
      <c r="BC181" s="169"/>
    </row>
    <row r="182" spans="19:55" ht="15.75" customHeight="1">
      <c r="S182" s="454"/>
      <c r="AN182" s="458"/>
      <c r="BA182" s="1305"/>
      <c r="BC182" s="169"/>
    </row>
    <row r="183" spans="19:55" ht="15.75" customHeight="1">
      <c r="S183" s="454"/>
      <c r="AN183" s="458"/>
      <c r="BA183" s="1305"/>
      <c r="BC183" s="169"/>
    </row>
    <row r="184" spans="19:55" ht="15.75" customHeight="1">
      <c r="S184" s="454"/>
      <c r="AN184" s="458"/>
      <c r="BA184" s="1305"/>
      <c r="BC184" s="169"/>
    </row>
    <row r="185" spans="19:55" ht="15.75" customHeight="1">
      <c r="S185" s="454"/>
      <c r="AN185" s="458"/>
      <c r="BA185" s="1305"/>
      <c r="BC185" s="169"/>
    </row>
    <row r="186" spans="19:55" ht="15.75" customHeight="1">
      <c r="S186" s="454"/>
      <c r="AN186" s="458"/>
      <c r="BA186" s="1305"/>
      <c r="BC186" s="169"/>
    </row>
    <row r="187" spans="19:55" ht="15.75" customHeight="1">
      <c r="S187" s="454"/>
      <c r="AN187" s="458"/>
      <c r="BA187" s="1305"/>
      <c r="BC187" s="169"/>
    </row>
    <row r="188" spans="19:55" ht="15.75" customHeight="1">
      <c r="S188" s="454"/>
      <c r="AN188" s="458"/>
      <c r="BA188" s="1305"/>
      <c r="BC188" s="169"/>
    </row>
    <row r="189" spans="19:55" ht="15.75" customHeight="1">
      <c r="S189" s="454"/>
      <c r="AN189" s="458"/>
      <c r="BA189" s="1305"/>
      <c r="BC189" s="169"/>
    </row>
    <row r="190" spans="19:55" ht="15.75" customHeight="1">
      <c r="S190" s="454"/>
      <c r="AN190" s="458"/>
      <c r="BA190" s="1305"/>
      <c r="BC190" s="169"/>
    </row>
    <row r="191" spans="19:55" ht="15.75" customHeight="1">
      <c r="S191" s="454"/>
      <c r="AN191" s="458"/>
      <c r="BA191" s="1305"/>
      <c r="BC191" s="169"/>
    </row>
    <row r="192" spans="19:55" ht="15.75" customHeight="1">
      <c r="S192" s="454"/>
      <c r="AN192" s="458"/>
      <c r="BA192" s="1305"/>
      <c r="BC192" s="169"/>
    </row>
    <row r="193" spans="19:55" ht="15.75" customHeight="1">
      <c r="S193" s="454"/>
      <c r="AN193" s="458"/>
      <c r="BA193" s="1305"/>
      <c r="BC193" s="169"/>
    </row>
    <row r="194" spans="19:55" ht="15.75" customHeight="1">
      <c r="S194" s="454"/>
      <c r="AN194" s="458"/>
      <c r="BA194" s="1305"/>
      <c r="BC194" s="169"/>
    </row>
    <row r="195" spans="19:55" ht="15.75" customHeight="1">
      <c r="S195" s="454"/>
      <c r="AN195" s="458"/>
      <c r="BA195" s="1305"/>
      <c r="BC195" s="169"/>
    </row>
    <row r="196" spans="19:55" ht="15.75" customHeight="1">
      <c r="S196" s="454"/>
      <c r="AN196" s="458"/>
      <c r="BA196" s="1305"/>
      <c r="BC196" s="169"/>
    </row>
    <row r="197" spans="19:55" ht="15.75" customHeight="1">
      <c r="S197" s="454"/>
      <c r="AN197" s="458"/>
      <c r="BA197" s="1305"/>
      <c r="BC197" s="169"/>
    </row>
    <row r="198" spans="19:55" ht="15.75" customHeight="1">
      <c r="S198" s="454"/>
      <c r="AN198" s="458"/>
      <c r="BA198" s="1305"/>
      <c r="BC198" s="169"/>
    </row>
    <row r="199" spans="19:55" ht="15.75" customHeight="1">
      <c r="S199" s="454"/>
      <c r="AN199" s="458"/>
      <c r="BA199" s="1305"/>
      <c r="BC199" s="169"/>
    </row>
    <row r="200" spans="19:55" ht="15.75" customHeight="1">
      <c r="S200" s="454"/>
      <c r="AN200" s="458"/>
      <c r="BA200" s="1305"/>
      <c r="BC200" s="169"/>
    </row>
    <row r="201" spans="19:55" ht="15.75" customHeight="1">
      <c r="S201" s="454"/>
      <c r="AN201" s="458"/>
      <c r="BA201" s="1305"/>
      <c r="BC201" s="169"/>
    </row>
    <row r="202" spans="19:55" ht="15.75" customHeight="1">
      <c r="S202" s="454"/>
      <c r="AN202" s="458"/>
      <c r="BA202" s="1305"/>
      <c r="BC202" s="169"/>
    </row>
    <row r="203" spans="19:55" ht="15.75" customHeight="1">
      <c r="S203" s="454"/>
      <c r="AN203" s="458"/>
      <c r="BA203" s="1305"/>
      <c r="BC203" s="169"/>
    </row>
    <row r="204" spans="19:55" ht="15.75" customHeight="1">
      <c r="S204" s="454"/>
      <c r="AN204" s="458"/>
      <c r="BA204" s="1305"/>
      <c r="BC204" s="169"/>
    </row>
    <row r="205" spans="19:55" ht="15.75" customHeight="1">
      <c r="S205" s="454"/>
      <c r="AN205" s="458"/>
      <c r="BA205" s="1305"/>
      <c r="BC205" s="169"/>
    </row>
    <row r="206" spans="19:55" ht="15.75" customHeight="1">
      <c r="S206" s="454"/>
      <c r="AN206" s="458"/>
      <c r="BA206" s="1305"/>
      <c r="BC206" s="169"/>
    </row>
    <row r="207" spans="19:55" ht="15.75" customHeight="1">
      <c r="S207" s="454"/>
      <c r="AN207" s="458"/>
      <c r="BA207" s="1305"/>
      <c r="BC207" s="169"/>
    </row>
    <row r="208" spans="19:55" ht="15.75" customHeight="1">
      <c r="S208" s="454"/>
      <c r="AN208" s="458"/>
      <c r="BA208" s="1305"/>
      <c r="BC208" s="169"/>
    </row>
    <row r="209" spans="19:55" ht="15.75" customHeight="1">
      <c r="S209" s="454"/>
      <c r="AN209" s="458"/>
      <c r="BA209" s="1305"/>
      <c r="BC209" s="169"/>
    </row>
    <row r="210" spans="19:55" ht="15.75" customHeight="1">
      <c r="S210" s="454"/>
      <c r="AN210" s="458"/>
      <c r="BA210" s="1305"/>
      <c r="BC210" s="169"/>
    </row>
    <row r="211" spans="19:55" ht="15.75" customHeight="1">
      <c r="S211" s="454"/>
      <c r="AN211" s="458"/>
      <c r="BA211" s="1305"/>
      <c r="BC211" s="169"/>
    </row>
    <row r="212" spans="19:55" ht="15.75" customHeight="1">
      <c r="S212" s="454"/>
      <c r="AN212" s="458"/>
      <c r="BA212" s="1305"/>
      <c r="BC212" s="169"/>
    </row>
    <row r="213" spans="19:55" ht="15.75" customHeight="1">
      <c r="S213" s="454"/>
      <c r="AN213" s="458"/>
      <c r="BA213" s="1305"/>
      <c r="BC213" s="169"/>
    </row>
    <row r="214" spans="19:55" ht="15.75" customHeight="1">
      <c r="S214" s="454"/>
      <c r="AN214" s="458"/>
      <c r="BA214" s="1305"/>
      <c r="BC214" s="169"/>
    </row>
    <row r="215" spans="19:55" ht="15.75" customHeight="1">
      <c r="S215" s="454"/>
      <c r="AN215" s="458"/>
      <c r="BA215" s="1305"/>
      <c r="BC215" s="169"/>
    </row>
    <row r="216" spans="19:55" ht="15.75" customHeight="1">
      <c r="S216" s="454"/>
      <c r="AN216" s="458"/>
      <c r="BA216" s="1305"/>
      <c r="BC216" s="169"/>
    </row>
    <row r="217" spans="19:55" ht="15.75" customHeight="1">
      <c r="S217" s="454"/>
      <c r="AN217" s="458"/>
      <c r="BA217" s="1305"/>
      <c r="BC217" s="169"/>
    </row>
    <row r="218" spans="19:55" ht="15.75" customHeight="1">
      <c r="S218" s="454"/>
      <c r="AN218" s="458"/>
      <c r="BA218" s="1305"/>
      <c r="BC218" s="169"/>
    </row>
    <row r="219" spans="19:55" ht="15.75" customHeight="1">
      <c r="S219" s="454"/>
      <c r="AN219" s="458"/>
      <c r="BA219" s="1305"/>
      <c r="BC219" s="169"/>
    </row>
    <row r="220" spans="19:55" ht="15.75" customHeight="1">
      <c r="S220" s="454"/>
      <c r="AN220" s="458"/>
      <c r="BA220" s="1305"/>
      <c r="BC220" s="169"/>
    </row>
    <row r="221" spans="19:55" ht="15.75" customHeight="1">
      <c r="S221" s="454"/>
      <c r="AN221" s="458"/>
      <c r="BA221" s="1305"/>
      <c r="BC221" s="169"/>
    </row>
    <row r="222" spans="19:55" ht="15.75" customHeight="1">
      <c r="S222" s="454"/>
      <c r="AN222" s="458"/>
      <c r="BA222" s="1305"/>
      <c r="BC222" s="169"/>
    </row>
    <row r="223" spans="19:55" ht="15.75" customHeight="1">
      <c r="S223" s="454"/>
      <c r="AN223" s="458"/>
      <c r="BA223" s="1305"/>
      <c r="BC223" s="169"/>
    </row>
    <row r="224" spans="19:55" ht="15.75" customHeight="1">
      <c r="S224" s="454"/>
      <c r="AN224" s="458"/>
      <c r="BA224" s="1305"/>
      <c r="BC224" s="169"/>
    </row>
    <row r="225" spans="19:55" ht="15.75" customHeight="1">
      <c r="S225" s="454"/>
      <c r="AN225" s="458"/>
      <c r="BA225" s="1305"/>
      <c r="BC225" s="169"/>
    </row>
    <row r="226" spans="19:55" ht="15.75" customHeight="1">
      <c r="S226" s="454"/>
      <c r="AN226" s="458"/>
      <c r="BA226" s="1305"/>
      <c r="BC226" s="169"/>
    </row>
    <row r="227" spans="19:55" ht="15.75" customHeight="1">
      <c r="S227" s="454"/>
      <c r="AN227" s="458"/>
      <c r="BA227" s="1305"/>
      <c r="BC227" s="169"/>
    </row>
    <row r="228" spans="19:55" ht="15.75" customHeight="1">
      <c r="S228" s="454"/>
      <c r="AN228" s="458"/>
      <c r="BA228" s="1305"/>
      <c r="BC228" s="169"/>
    </row>
    <row r="229" spans="19:55" ht="15.75" customHeight="1">
      <c r="S229" s="454"/>
      <c r="AN229" s="458"/>
      <c r="BA229" s="1305"/>
      <c r="BC229" s="169"/>
    </row>
    <row r="230" spans="19:55" ht="15.75" customHeight="1">
      <c r="S230" s="454"/>
      <c r="AN230" s="458"/>
      <c r="BA230" s="1305"/>
      <c r="BC230" s="169"/>
    </row>
    <row r="231" spans="19:55" ht="15.75" customHeight="1">
      <c r="S231" s="454"/>
      <c r="AN231" s="458"/>
      <c r="BA231" s="1305"/>
      <c r="BC231" s="169"/>
    </row>
    <row r="232" spans="19:55" ht="15.75" customHeight="1">
      <c r="S232" s="454"/>
      <c r="AN232" s="458"/>
      <c r="BA232" s="1305"/>
      <c r="BC232" s="169"/>
    </row>
    <row r="233" spans="19:55" ht="15.75" customHeight="1">
      <c r="S233" s="454"/>
      <c r="AN233" s="458"/>
      <c r="BA233" s="1305"/>
      <c r="BC233" s="169"/>
    </row>
    <row r="234" spans="19:55" ht="15.75" customHeight="1">
      <c r="S234" s="454"/>
      <c r="AN234" s="458"/>
      <c r="BA234" s="1305"/>
      <c r="BC234" s="169"/>
    </row>
    <row r="235" spans="19:55" ht="15.75" customHeight="1">
      <c r="S235" s="454"/>
      <c r="AN235" s="458"/>
      <c r="BA235" s="1305"/>
      <c r="BC235" s="169"/>
    </row>
    <row r="236" spans="19:55" ht="15.75" customHeight="1">
      <c r="S236" s="454"/>
      <c r="AN236" s="458"/>
      <c r="BA236" s="1305"/>
      <c r="BC236" s="169"/>
    </row>
    <row r="237" spans="19:55" ht="15.75" customHeight="1">
      <c r="S237" s="454"/>
      <c r="AN237" s="458"/>
      <c r="BA237" s="1305"/>
      <c r="BC237" s="169"/>
    </row>
    <row r="238" spans="19:55" ht="15.75" customHeight="1">
      <c r="S238" s="454"/>
      <c r="AN238" s="458"/>
      <c r="BA238" s="1305"/>
      <c r="BC238" s="169"/>
    </row>
    <row r="239" spans="19:55" ht="15.75" customHeight="1">
      <c r="S239" s="454"/>
      <c r="AN239" s="458"/>
      <c r="BA239" s="1305"/>
      <c r="BC239" s="169"/>
    </row>
    <row r="240" spans="19:55" ht="15.75" customHeight="1">
      <c r="S240" s="454"/>
      <c r="AN240" s="458"/>
      <c r="BA240" s="1305"/>
      <c r="BC240" s="169"/>
    </row>
    <row r="241" spans="19:55" ht="15.75" customHeight="1">
      <c r="S241" s="454"/>
      <c r="AN241" s="458"/>
      <c r="BA241" s="1305"/>
      <c r="BC241" s="169"/>
    </row>
    <row r="242" spans="19:55" ht="15.75" customHeight="1">
      <c r="S242" s="454"/>
      <c r="AN242" s="458"/>
      <c r="BA242" s="1305"/>
      <c r="BC242" s="169"/>
    </row>
    <row r="243" spans="19:55" ht="15.75" customHeight="1">
      <c r="S243" s="454"/>
      <c r="AN243" s="458"/>
      <c r="BA243" s="1305"/>
      <c r="BC243" s="169"/>
    </row>
    <row r="244" spans="19:55" ht="15.75" customHeight="1">
      <c r="S244" s="454"/>
      <c r="AN244" s="458"/>
      <c r="BA244" s="1305"/>
      <c r="BC244" s="169"/>
    </row>
    <row r="245" spans="19:55" ht="15.75" customHeight="1">
      <c r="S245" s="454"/>
      <c r="AN245" s="458"/>
      <c r="BA245" s="1305"/>
      <c r="BC245" s="169"/>
    </row>
    <row r="246" spans="19:55" ht="15.75" customHeight="1">
      <c r="S246" s="454"/>
      <c r="AN246" s="458"/>
      <c r="BA246" s="1305"/>
      <c r="BC246" s="169"/>
    </row>
    <row r="247" spans="19:55" ht="15.75" customHeight="1">
      <c r="S247" s="454"/>
      <c r="AN247" s="458"/>
      <c r="BA247" s="1305"/>
      <c r="BC247" s="169"/>
    </row>
    <row r="248" spans="19:55" ht="15.75" customHeight="1">
      <c r="S248" s="454"/>
      <c r="AN248" s="458"/>
      <c r="BA248" s="1305"/>
      <c r="BC248" s="169"/>
    </row>
    <row r="249" spans="19:55" ht="15.75" customHeight="1">
      <c r="S249" s="454"/>
      <c r="AN249" s="458"/>
      <c r="BA249" s="1305"/>
      <c r="BC249" s="169"/>
    </row>
    <row r="250" spans="19:55" ht="15.75" customHeight="1">
      <c r="S250" s="454"/>
      <c r="AN250" s="458"/>
      <c r="BA250" s="1305"/>
      <c r="BC250" s="169"/>
    </row>
    <row r="251" spans="19:55" ht="15.75" customHeight="1">
      <c r="S251" s="454"/>
      <c r="AN251" s="458"/>
      <c r="BA251" s="1305"/>
      <c r="BC251" s="169"/>
    </row>
    <row r="252" spans="19:55" ht="15.75" customHeight="1">
      <c r="S252" s="454"/>
      <c r="AN252" s="458"/>
      <c r="BA252" s="1305"/>
      <c r="BC252" s="169"/>
    </row>
    <row r="253" spans="19:55" ht="15.75" customHeight="1">
      <c r="S253" s="454"/>
      <c r="AN253" s="458"/>
      <c r="BA253" s="1305"/>
      <c r="BC253" s="169"/>
    </row>
    <row r="254" spans="19:55" ht="15.75" customHeight="1">
      <c r="S254" s="454"/>
      <c r="AN254" s="458"/>
      <c r="BA254" s="1305"/>
      <c r="BC254" s="169"/>
    </row>
    <row r="255" spans="19:55" ht="15.75" customHeight="1">
      <c r="S255" s="454"/>
      <c r="AN255" s="458"/>
      <c r="BA255" s="1305"/>
      <c r="BC255" s="169"/>
    </row>
    <row r="256" spans="19:55" ht="15.75" customHeight="1">
      <c r="S256" s="454"/>
      <c r="AN256" s="458"/>
      <c r="BA256" s="1305"/>
      <c r="BC256" s="169"/>
    </row>
    <row r="257" spans="19:55" ht="15.75" customHeight="1">
      <c r="S257" s="454"/>
      <c r="AN257" s="458"/>
      <c r="BA257" s="1305"/>
      <c r="BC257" s="169"/>
    </row>
    <row r="258" spans="19:55" ht="15.75" customHeight="1">
      <c r="S258" s="454"/>
      <c r="AN258" s="458"/>
      <c r="BA258" s="1305"/>
      <c r="BC258" s="169"/>
    </row>
    <row r="259" spans="19:55" ht="15.75" customHeight="1">
      <c r="S259" s="454"/>
      <c r="AN259" s="458"/>
      <c r="BA259" s="1305"/>
      <c r="BC259" s="169"/>
    </row>
    <row r="260" spans="19:55" ht="15.75" customHeight="1">
      <c r="S260" s="454"/>
      <c r="AN260" s="458"/>
      <c r="BA260" s="1305"/>
      <c r="BC260" s="169"/>
    </row>
    <row r="261" spans="19:55" ht="15.75" customHeight="1">
      <c r="S261" s="454"/>
      <c r="AN261" s="458"/>
      <c r="BA261" s="1305"/>
      <c r="BC261" s="169"/>
    </row>
    <row r="262" spans="19:55" ht="15.75" customHeight="1">
      <c r="S262" s="454"/>
      <c r="AN262" s="458"/>
      <c r="BA262" s="1305"/>
      <c r="BC262" s="169"/>
    </row>
    <row r="263" spans="19:55" ht="15.75" customHeight="1">
      <c r="S263" s="454"/>
      <c r="AN263" s="458"/>
      <c r="BA263" s="1305"/>
      <c r="BC263" s="169"/>
    </row>
    <row r="264" spans="19:55" ht="15.75" customHeight="1">
      <c r="S264" s="454"/>
      <c r="AN264" s="458"/>
      <c r="BA264" s="1305"/>
      <c r="BC264" s="169"/>
    </row>
    <row r="265" spans="19:55" ht="15.75" customHeight="1">
      <c r="S265" s="454"/>
      <c r="AN265" s="458"/>
      <c r="BA265" s="1305"/>
      <c r="BC265" s="169"/>
    </row>
    <row r="266" spans="19:55" ht="15.75" customHeight="1">
      <c r="S266" s="454"/>
      <c r="AN266" s="458"/>
      <c r="BA266" s="1305"/>
      <c r="BC266" s="169"/>
    </row>
    <row r="267" spans="19:55" ht="15.75" customHeight="1">
      <c r="S267" s="454"/>
      <c r="AN267" s="458"/>
      <c r="BA267" s="1305"/>
      <c r="BC267" s="169"/>
    </row>
    <row r="268" spans="19:55" ht="15.75" customHeight="1">
      <c r="S268" s="454"/>
      <c r="AN268" s="458"/>
      <c r="BA268" s="1305"/>
      <c r="BC268" s="169"/>
    </row>
    <row r="269" spans="19:55" ht="15.75" customHeight="1">
      <c r="S269" s="454"/>
      <c r="AN269" s="458"/>
      <c r="BA269" s="1305"/>
      <c r="BC269" s="169"/>
    </row>
    <row r="270" spans="19:55" ht="15.75" customHeight="1">
      <c r="S270" s="454"/>
      <c r="AN270" s="458"/>
      <c r="BA270" s="1305"/>
      <c r="BC270" s="169"/>
    </row>
    <row r="271" spans="19:55" ht="15.75" customHeight="1">
      <c r="S271" s="454"/>
      <c r="AN271" s="458"/>
      <c r="BA271" s="1305"/>
      <c r="BC271" s="169"/>
    </row>
    <row r="272" spans="19:55" ht="15.75" customHeight="1">
      <c r="S272" s="454"/>
      <c r="AN272" s="458"/>
      <c r="BA272" s="1305"/>
      <c r="BC272" s="169"/>
    </row>
    <row r="273" spans="19:55" ht="15.75" customHeight="1">
      <c r="S273" s="454"/>
      <c r="AN273" s="458"/>
      <c r="BA273" s="1305"/>
      <c r="BC273" s="169"/>
    </row>
    <row r="274" spans="19:55" ht="15.75" customHeight="1">
      <c r="S274" s="454"/>
      <c r="AN274" s="458"/>
      <c r="BA274" s="1305"/>
      <c r="BC274" s="169"/>
    </row>
    <row r="275" spans="19:55" ht="15.75" customHeight="1">
      <c r="S275" s="454"/>
      <c r="AN275" s="458"/>
      <c r="BA275" s="1305"/>
      <c r="BC275" s="169"/>
    </row>
    <row r="276" spans="19:55" ht="15.75" customHeight="1">
      <c r="S276" s="454"/>
      <c r="AN276" s="458"/>
      <c r="BA276" s="1305"/>
      <c r="BC276" s="169"/>
    </row>
    <row r="277" spans="19:55" ht="15.75" customHeight="1">
      <c r="S277" s="454"/>
      <c r="AN277" s="458"/>
      <c r="BA277" s="1305"/>
      <c r="BC277" s="169"/>
    </row>
    <row r="278" spans="19:55" ht="15.75" customHeight="1">
      <c r="S278" s="454"/>
      <c r="AN278" s="458"/>
      <c r="BA278" s="1305"/>
      <c r="BC278" s="169"/>
    </row>
    <row r="279" spans="19:55" ht="15.75" customHeight="1">
      <c r="S279" s="454"/>
      <c r="AN279" s="458"/>
      <c r="BA279" s="1305"/>
      <c r="BC279" s="169"/>
    </row>
    <row r="280" spans="19:55" ht="15.75" customHeight="1">
      <c r="S280" s="454"/>
      <c r="AN280" s="458"/>
      <c r="BA280" s="1305"/>
      <c r="BC280" s="169"/>
    </row>
    <row r="281" spans="19:55" ht="15.75" customHeight="1">
      <c r="S281" s="454"/>
      <c r="AN281" s="458"/>
      <c r="BA281" s="1305"/>
      <c r="BC281" s="169"/>
    </row>
    <row r="282" spans="19:55" ht="15.75" customHeight="1">
      <c r="S282" s="454"/>
      <c r="AN282" s="458"/>
      <c r="BA282" s="1305"/>
      <c r="BC282" s="169"/>
    </row>
    <row r="283" spans="19:55" ht="15.75" customHeight="1">
      <c r="S283" s="454"/>
      <c r="AN283" s="458"/>
      <c r="BA283" s="1305"/>
      <c r="BC283" s="169"/>
    </row>
    <row r="284" spans="19:55" ht="15.75" customHeight="1">
      <c r="S284" s="454"/>
      <c r="AN284" s="458"/>
      <c r="BA284" s="1305"/>
      <c r="BC284" s="169"/>
    </row>
    <row r="285" spans="19:55" ht="15.75" customHeight="1">
      <c r="S285" s="454"/>
      <c r="AN285" s="458"/>
      <c r="BA285" s="1305"/>
      <c r="BC285" s="169"/>
    </row>
    <row r="286" spans="19:55" ht="15.75" customHeight="1">
      <c r="S286" s="454"/>
      <c r="AN286" s="458"/>
      <c r="BA286" s="1305"/>
      <c r="BC286" s="169"/>
    </row>
    <row r="287" spans="19:55" ht="15.75" customHeight="1">
      <c r="S287" s="454"/>
      <c r="AN287" s="458"/>
      <c r="BA287" s="1305"/>
      <c r="BC287" s="169"/>
    </row>
    <row r="288" spans="19:55" ht="15.75" customHeight="1">
      <c r="S288" s="454"/>
      <c r="AN288" s="458"/>
      <c r="BA288" s="1305"/>
      <c r="BC288" s="169"/>
    </row>
    <row r="289" spans="19:55" ht="15.75" customHeight="1">
      <c r="S289" s="454"/>
      <c r="AN289" s="458"/>
      <c r="BA289" s="1305"/>
      <c r="BC289" s="169"/>
    </row>
    <row r="290" spans="19:55" ht="15.75" customHeight="1">
      <c r="S290" s="454"/>
      <c r="AN290" s="458"/>
      <c r="BA290" s="1305"/>
      <c r="BC290" s="169"/>
    </row>
    <row r="291" spans="19:55" ht="15.75" customHeight="1">
      <c r="S291" s="454"/>
      <c r="AN291" s="458"/>
      <c r="BA291" s="1305"/>
      <c r="BC291" s="169"/>
    </row>
    <row r="292" spans="19:55" ht="15.75" customHeight="1">
      <c r="S292" s="454"/>
      <c r="AN292" s="458"/>
      <c r="BA292" s="1305"/>
      <c r="BC292" s="169"/>
    </row>
    <row r="293" spans="19:55" ht="15.75" customHeight="1">
      <c r="S293" s="454"/>
      <c r="AN293" s="458"/>
      <c r="BA293" s="1305"/>
      <c r="BC293" s="169"/>
    </row>
    <row r="294" spans="19:55" ht="15.75" customHeight="1">
      <c r="S294" s="454"/>
      <c r="AN294" s="458"/>
      <c r="BA294" s="1305"/>
      <c r="BC294" s="169"/>
    </row>
    <row r="295" spans="19:55" ht="15.75" customHeight="1">
      <c r="S295" s="454"/>
      <c r="AN295" s="458"/>
      <c r="BA295" s="1305"/>
      <c r="BC295" s="169"/>
    </row>
    <row r="296" spans="19:55" ht="15.75" customHeight="1">
      <c r="S296" s="454"/>
      <c r="AN296" s="458"/>
      <c r="BA296" s="1305"/>
      <c r="BC296" s="169"/>
    </row>
    <row r="297" spans="19:55" ht="15.75" customHeight="1">
      <c r="S297" s="454"/>
      <c r="AN297" s="458"/>
      <c r="BA297" s="1305"/>
      <c r="BC297" s="169"/>
    </row>
    <row r="298" spans="19:55" ht="15.75" customHeight="1">
      <c r="S298" s="454"/>
      <c r="AN298" s="458"/>
      <c r="BA298" s="1305"/>
      <c r="BC298" s="169"/>
    </row>
    <row r="299" spans="19:55" ht="15.75" customHeight="1">
      <c r="S299" s="454"/>
      <c r="AN299" s="458"/>
      <c r="BA299" s="1305"/>
      <c r="BC299" s="169"/>
    </row>
    <row r="300" spans="19:55" ht="15.75" customHeight="1">
      <c r="S300" s="454"/>
      <c r="AN300" s="458"/>
      <c r="BA300" s="1305"/>
      <c r="BC300" s="169"/>
    </row>
    <row r="301" spans="19:55" ht="15.75" customHeight="1">
      <c r="S301" s="454"/>
      <c r="AN301" s="458"/>
      <c r="BA301" s="1305"/>
      <c r="BC301" s="169"/>
    </row>
    <row r="302" spans="19:55" ht="15.75" customHeight="1">
      <c r="S302" s="454"/>
      <c r="AN302" s="458"/>
      <c r="BA302" s="1305"/>
      <c r="BC302" s="169"/>
    </row>
    <row r="303" spans="19:55" ht="15.75" customHeight="1">
      <c r="S303" s="454"/>
      <c r="AN303" s="458"/>
      <c r="BA303" s="1305"/>
      <c r="BC303" s="169"/>
    </row>
    <row r="304" spans="19:55" ht="15.75" customHeight="1">
      <c r="S304" s="454"/>
      <c r="AN304" s="458"/>
      <c r="BA304" s="1305"/>
      <c r="BC304" s="169"/>
    </row>
    <row r="305" spans="19:55" ht="15.75" customHeight="1">
      <c r="S305" s="454"/>
      <c r="AN305" s="458"/>
      <c r="BA305" s="1305"/>
      <c r="BC305" s="169"/>
    </row>
    <row r="306" spans="19:55" ht="15.75" customHeight="1">
      <c r="S306" s="454"/>
      <c r="AN306" s="458"/>
      <c r="BA306" s="1305"/>
      <c r="BC306" s="169"/>
    </row>
    <row r="307" spans="19:55" ht="15.75" customHeight="1">
      <c r="S307" s="454"/>
      <c r="AN307" s="458"/>
      <c r="BA307" s="1305"/>
      <c r="BC307" s="169"/>
    </row>
    <row r="308" spans="19:55" ht="15.75" customHeight="1">
      <c r="S308" s="454"/>
      <c r="AN308" s="458"/>
      <c r="BA308" s="1305"/>
      <c r="BC308" s="169"/>
    </row>
    <row r="309" spans="19:55" ht="15.75" customHeight="1">
      <c r="S309" s="454"/>
      <c r="AN309" s="458"/>
      <c r="BA309" s="1305"/>
      <c r="BC309" s="169"/>
    </row>
    <row r="310" spans="19:55" ht="15.75" customHeight="1">
      <c r="S310" s="454"/>
      <c r="AN310" s="458"/>
      <c r="BA310" s="1305"/>
      <c r="BC310" s="169"/>
    </row>
    <row r="311" spans="19:55" ht="15.75" customHeight="1">
      <c r="S311" s="454"/>
      <c r="AN311" s="458"/>
      <c r="BA311" s="1305"/>
      <c r="BC311" s="169"/>
    </row>
    <row r="312" spans="19:55" ht="15.75" customHeight="1">
      <c r="S312" s="454"/>
      <c r="AN312" s="458"/>
      <c r="BA312" s="1305"/>
      <c r="BC312" s="169"/>
    </row>
    <row r="313" spans="19:55" ht="15.75" customHeight="1">
      <c r="S313" s="454"/>
      <c r="AN313" s="458"/>
      <c r="BA313" s="1305"/>
      <c r="BC313" s="169"/>
    </row>
    <row r="314" spans="19:55" ht="15.75" customHeight="1">
      <c r="S314" s="454"/>
      <c r="AN314" s="458"/>
      <c r="BA314" s="1305"/>
      <c r="BC314" s="169"/>
    </row>
    <row r="315" spans="19:55" ht="15.75" customHeight="1">
      <c r="S315" s="454"/>
      <c r="AN315" s="458"/>
      <c r="BA315" s="1305"/>
      <c r="BC315" s="169"/>
    </row>
    <row r="316" spans="19:55" ht="15.75" customHeight="1">
      <c r="S316" s="454"/>
      <c r="AN316" s="458"/>
      <c r="BA316" s="1305"/>
      <c r="BC316" s="169"/>
    </row>
    <row r="317" spans="19:55" ht="15.75" customHeight="1">
      <c r="S317" s="454"/>
      <c r="AN317" s="458"/>
      <c r="BA317" s="1305"/>
      <c r="BC317" s="169"/>
    </row>
    <row r="318" spans="19:55" ht="15.75" customHeight="1">
      <c r="S318" s="454"/>
      <c r="AN318" s="458"/>
      <c r="BA318" s="1305"/>
      <c r="BC318" s="169"/>
    </row>
    <row r="319" spans="19:55" ht="15.75" customHeight="1">
      <c r="S319" s="454"/>
      <c r="AN319" s="458"/>
      <c r="BA319" s="1305"/>
      <c r="BC319" s="169"/>
    </row>
    <row r="320" spans="19:55" ht="15.75" customHeight="1">
      <c r="S320" s="454"/>
      <c r="AN320" s="458"/>
      <c r="BA320" s="1305"/>
      <c r="BC320" s="169"/>
    </row>
    <row r="321" spans="19:55" ht="15.75" customHeight="1">
      <c r="S321" s="454"/>
      <c r="AN321" s="458"/>
      <c r="BA321" s="1305"/>
      <c r="BC321" s="169"/>
    </row>
    <row r="322" spans="19:55" ht="15.75" customHeight="1">
      <c r="S322" s="454"/>
      <c r="AN322" s="458"/>
      <c r="BA322" s="1305"/>
      <c r="BC322" s="169"/>
    </row>
    <row r="323" spans="19:55" ht="15.75" customHeight="1">
      <c r="S323" s="454"/>
      <c r="AN323" s="458"/>
      <c r="BA323" s="1305"/>
      <c r="BC323" s="169"/>
    </row>
    <row r="324" spans="19:55" ht="15.75" customHeight="1">
      <c r="S324" s="454"/>
      <c r="AN324" s="458"/>
      <c r="BA324" s="1305"/>
      <c r="BC324" s="169"/>
    </row>
    <row r="325" spans="19:55" ht="15.75" customHeight="1">
      <c r="S325" s="454"/>
      <c r="AN325" s="458"/>
      <c r="BA325" s="1305"/>
      <c r="BC325" s="169"/>
    </row>
    <row r="326" spans="19:55" ht="15.75" customHeight="1">
      <c r="S326" s="454"/>
      <c r="AN326" s="458"/>
      <c r="BA326" s="1305"/>
      <c r="BC326" s="169"/>
    </row>
    <row r="327" spans="19:55" ht="15.75" customHeight="1">
      <c r="S327" s="454"/>
      <c r="AN327" s="458"/>
      <c r="BA327" s="1305"/>
      <c r="BC327" s="169"/>
    </row>
    <row r="328" spans="19:55" ht="15.75" customHeight="1">
      <c r="S328" s="454"/>
      <c r="AN328" s="458"/>
      <c r="BA328" s="1305"/>
      <c r="BC328" s="169"/>
    </row>
    <row r="329" spans="19:55" ht="15.75" customHeight="1">
      <c r="S329" s="454"/>
      <c r="AN329" s="458"/>
      <c r="BA329" s="1305"/>
      <c r="BC329" s="169"/>
    </row>
    <row r="330" spans="19:55" ht="15.75" customHeight="1">
      <c r="S330" s="454"/>
      <c r="AN330" s="458"/>
      <c r="BA330" s="1305"/>
      <c r="BC330" s="169"/>
    </row>
    <row r="331" spans="19:55" ht="15.75" customHeight="1">
      <c r="S331" s="454"/>
      <c r="AN331" s="458"/>
      <c r="BA331" s="1305"/>
      <c r="BC331" s="169"/>
    </row>
    <row r="332" spans="19:55" ht="15.75" customHeight="1">
      <c r="S332" s="454"/>
      <c r="AN332" s="458"/>
      <c r="BA332" s="1305"/>
      <c r="BC332" s="169"/>
    </row>
    <row r="333" spans="19:55" ht="15.75" customHeight="1">
      <c r="S333" s="454"/>
      <c r="AN333" s="458"/>
      <c r="BA333" s="1305"/>
      <c r="BC333" s="169"/>
    </row>
    <row r="334" spans="19:55" ht="15.75" customHeight="1">
      <c r="S334" s="454"/>
      <c r="AN334" s="458"/>
      <c r="BA334" s="1305"/>
      <c r="BC334" s="169"/>
    </row>
    <row r="335" spans="19:55" ht="15.75" customHeight="1">
      <c r="S335" s="454"/>
      <c r="AN335" s="458"/>
      <c r="BA335" s="1305"/>
      <c r="BC335" s="169"/>
    </row>
    <row r="336" spans="19:55" ht="15.75" customHeight="1">
      <c r="S336" s="454"/>
      <c r="AN336" s="458"/>
      <c r="BA336" s="1305"/>
      <c r="BC336" s="169"/>
    </row>
    <row r="337" spans="19:55" ht="15.75" customHeight="1">
      <c r="S337" s="454"/>
      <c r="AN337" s="458"/>
      <c r="BA337" s="1305"/>
      <c r="BC337" s="169"/>
    </row>
    <row r="338" spans="19:55" ht="15.75" customHeight="1">
      <c r="S338" s="454"/>
      <c r="AN338" s="458"/>
      <c r="BA338" s="1305"/>
      <c r="BC338" s="169"/>
    </row>
    <row r="339" spans="19:55" ht="15.75" customHeight="1">
      <c r="S339" s="454"/>
      <c r="AN339" s="458"/>
      <c r="BA339" s="1305"/>
      <c r="BC339" s="169"/>
    </row>
    <row r="340" spans="19:55" ht="15.75" customHeight="1">
      <c r="S340" s="454"/>
      <c r="AN340" s="458"/>
      <c r="BA340" s="1305"/>
      <c r="BC340" s="169"/>
    </row>
    <row r="341" spans="19:55" ht="15.75" customHeight="1">
      <c r="S341" s="454"/>
      <c r="AN341" s="458"/>
      <c r="BA341" s="1305"/>
      <c r="BC341" s="169"/>
    </row>
    <row r="342" spans="19:55" ht="15.75" customHeight="1">
      <c r="S342" s="454"/>
      <c r="AN342" s="458"/>
      <c r="BA342" s="1305"/>
      <c r="BC342" s="169"/>
    </row>
    <row r="343" spans="19:55" ht="15.75" customHeight="1">
      <c r="S343" s="454"/>
      <c r="AN343" s="458"/>
      <c r="BA343" s="1305"/>
      <c r="BC343" s="169"/>
    </row>
    <row r="344" spans="19:55" ht="15.75" customHeight="1">
      <c r="S344" s="454"/>
      <c r="AN344" s="458"/>
      <c r="BA344" s="1305"/>
      <c r="BC344" s="169"/>
    </row>
    <row r="345" spans="19:55" ht="15.75" customHeight="1">
      <c r="S345" s="454"/>
      <c r="AN345" s="458"/>
      <c r="BA345" s="1305"/>
      <c r="BC345" s="169"/>
    </row>
    <row r="346" spans="19:55" ht="15.75" customHeight="1">
      <c r="S346" s="454"/>
      <c r="AN346" s="458"/>
      <c r="BA346" s="1305"/>
      <c r="BC346" s="169"/>
    </row>
    <row r="347" spans="19:55" ht="15.75" customHeight="1">
      <c r="S347" s="454"/>
      <c r="AN347" s="458"/>
      <c r="BA347" s="1305"/>
      <c r="BC347" s="169"/>
    </row>
    <row r="348" spans="19:55" ht="15.75" customHeight="1">
      <c r="S348" s="454"/>
      <c r="AN348" s="458"/>
      <c r="BA348" s="1305"/>
      <c r="BC348" s="169"/>
    </row>
    <row r="349" spans="19:55" ht="15.75" customHeight="1">
      <c r="S349" s="454"/>
      <c r="AN349" s="458"/>
      <c r="BA349" s="1305"/>
      <c r="BC349" s="169"/>
    </row>
    <row r="350" spans="19:55" ht="15.75" customHeight="1">
      <c r="S350" s="454"/>
      <c r="AN350" s="458"/>
      <c r="BA350" s="1305"/>
      <c r="BC350" s="169"/>
    </row>
    <row r="351" spans="19:55" ht="15.75" customHeight="1">
      <c r="S351" s="454"/>
      <c r="AN351" s="458"/>
      <c r="BA351" s="1305"/>
      <c r="BC351" s="169"/>
    </row>
    <row r="352" spans="19:55" ht="15.75" customHeight="1">
      <c r="S352" s="454"/>
      <c r="AN352" s="458"/>
      <c r="BA352" s="1305"/>
      <c r="BC352" s="169"/>
    </row>
    <row r="353" spans="19:55" ht="15.75" customHeight="1">
      <c r="S353" s="454"/>
      <c r="AN353" s="458"/>
      <c r="BA353" s="1305"/>
      <c r="BC353" s="169"/>
    </row>
    <row r="354" spans="19:55" ht="15.75" customHeight="1">
      <c r="S354" s="454"/>
      <c r="AN354" s="458"/>
      <c r="BA354" s="1305"/>
      <c r="BC354" s="169"/>
    </row>
    <row r="355" spans="19:55" ht="15.75" customHeight="1">
      <c r="S355" s="454"/>
      <c r="AN355" s="458"/>
      <c r="BA355" s="1305"/>
      <c r="BC355" s="169"/>
    </row>
    <row r="356" spans="19:55" ht="15.75" customHeight="1">
      <c r="S356" s="454"/>
      <c r="AN356" s="458"/>
      <c r="BA356" s="1305"/>
      <c r="BC356" s="169"/>
    </row>
    <row r="357" spans="19:55" ht="15.75" customHeight="1">
      <c r="S357" s="454"/>
      <c r="AN357" s="458"/>
      <c r="BA357" s="1305"/>
      <c r="BC357" s="169"/>
    </row>
    <row r="358" spans="19:55" ht="15.75" customHeight="1">
      <c r="S358" s="454"/>
      <c r="AN358" s="458"/>
      <c r="BA358" s="1305"/>
      <c r="BC358" s="169"/>
    </row>
    <row r="359" spans="19:55" ht="15.75" customHeight="1">
      <c r="S359" s="454"/>
      <c r="AN359" s="458"/>
      <c r="BA359" s="1305"/>
      <c r="BC359" s="169"/>
    </row>
    <row r="360" spans="19:55" ht="15.75" customHeight="1">
      <c r="S360" s="454"/>
      <c r="AN360" s="458"/>
      <c r="BA360" s="1305"/>
      <c r="BC360" s="169"/>
    </row>
    <row r="361" spans="19:55" ht="15.75" customHeight="1">
      <c r="S361" s="454"/>
      <c r="AN361" s="458"/>
      <c r="BA361" s="1305"/>
      <c r="BC361" s="169"/>
    </row>
    <row r="362" spans="19:55" ht="15.75" customHeight="1">
      <c r="S362" s="454"/>
      <c r="AN362" s="458"/>
      <c r="BA362" s="1305"/>
      <c r="BC362" s="169"/>
    </row>
    <row r="363" spans="19:55" ht="15.75" customHeight="1">
      <c r="S363" s="454"/>
      <c r="AN363" s="458"/>
      <c r="BA363" s="1305"/>
      <c r="BC363" s="169"/>
    </row>
    <row r="364" spans="19:55" ht="15.75" customHeight="1">
      <c r="S364" s="454"/>
      <c r="AN364" s="458"/>
      <c r="BA364" s="1305"/>
      <c r="BC364" s="169"/>
    </row>
    <row r="365" spans="19:55" ht="15.75" customHeight="1">
      <c r="S365" s="454"/>
      <c r="AN365" s="458"/>
      <c r="BA365" s="1305"/>
      <c r="BC365" s="169"/>
    </row>
    <row r="366" spans="19:55" ht="15.75" customHeight="1">
      <c r="S366" s="454"/>
      <c r="AN366" s="458"/>
      <c r="BA366" s="1305"/>
      <c r="BC366" s="169"/>
    </row>
    <row r="367" spans="19:55" ht="15.75" customHeight="1">
      <c r="S367" s="454"/>
      <c r="AN367" s="458"/>
      <c r="BA367" s="1305"/>
      <c r="BC367" s="169"/>
    </row>
    <row r="368" spans="19:55" ht="15.75" customHeight="1">
      <c r="S368" s="454"/>
      <c r="AN368" s="458"/>
      <c r="BA368" s="1305"/>
      <c r="BC368" s="169"/>
    </row>
    <row r="369" spans="19:55" ht="15.75" customHeight="1">
      <c r="S369" s="454"/>
      <c r="AN369" s="458"/>
      <c r="BA369" s="1305"/>
      <c r="BC369" s="169"/>
    </row>
    <row r="370" spans="19:55" ht="15.75" customHeight="1">
      <c r="S370" s="454"/>
      <c r="AN370" s="458"/>
      <c r="BA370" s="1305"/>
      <c r="BC370" s="169"/>
    </row>
    <row r="371" spans="19:55" ht="15.75" customHeight="1">
      <c r="S371" s="454"/>
      <c r="AN371" s="458"/>
      <c r="BA371" s="1305"/>
      <c r="BC371" s="169"/>
    </row>
    <row r="372" spans="19:55" ht="15.75" customHeight="1">
      <c r="S372" s="454"/>
      <c r="AN372" s="458"/>
      <c r="BA372" s="1305"/>
      <c r="BC372" s="169"/>
    </row>
    <row r="373" spans="19:55" ht="15.75" customHeight="1">
      <c r="S373" s="454"/>
      <c r="AN373" s="458"/>
      <c r="BA373" s="1305"/>
      <c r="BC373" s="169"/>
    </row>
    <row r="374" spans="19:55" ht="15.75" customHeight="1">
      <c r="S374" s="454"/>
      <c r="AN374" s="458"/>
      <c r="BA374" s="1305"/>
      <c r="BC374" s="169"/>
    </row>
    <row r="375" spans="19:55" ht="15.75" customHeight="1">
      <c r="S375" s="454"/>
      <c r="AN375" s="458"/>
      <c r="BA375" s="1305"/>
      <c r="BC375" s="169"/>
    </row>
    <row r="376" spans="19:55" ht="15.75" customHeight="1">
      <c r="S376" s="454"/>
      <c r="AN376" s="458"/>
      <c r="BA376" s="1305"/>
      <c r="BC376" s="169"/>
    </row>
    <row r="377" spans="19:55" ht="15.75" customHeight="1">
      <c r="S377" s="454"/>
      <c r="AN377" s="458"/>
      <c r="BA377" s="1305"/>
      <c r="BC377" s="169"/>
    </row>
    <row r="378" spans="19:55" ht="15.75" customHeight="1">
      <c r="S378" s="454"/>
      <c r="AN378" s="458"/>
      <c r="BA378" s="1305"/>
      <c r="BC378" s="169"/>
    </row>
    <row r="379" spans="19:55" ht="15.75" customHeight="1">
      <c r="S379" s="454"/>
      <c r="AN379" s="458"/>
      <c r="BA379" s="1305"/>
      <c r="BC379" s="169"/>
    </row>
    <row r="380" spans="19:55" ht="15.75" customHeight="1">
      <c r="S380" s="454"/>
      <c r="AN380" s="458"/>
      <c r="BA380" s="1305"/>
      <c r="BC380" s="169"/>
    </row>
    <row r="381" spans="19:55" ht="15.75" customHeight="1">
      <c r="S381" s="454"/>
      <c r="AN381" s="458"/>
      <c r="BA381" s="1305"/>
      <c r="BC381" s="169"/>
    </row>
    <row r="382" spans="19:55" ht="15.75" customHeight="1">
      <c r="S382" s="454"/>
      <c r="AN382" s="458"/>
      <c r="BA382" s="1305"/>
      <c r="BC382" s="169"/>
    </row>
    <row r="383" spans="19:55" ht="15.75" customHeight="1">
      <c r="S383" s="454"/>
      <c r="AN383" s="458"/>
      <c r="BA383" s="1305"/>
      <c r="BC383" s="169"/>
    </row>
    <row r="384" spans="19:55" ht="15.75" customHeight="1">
      <c r="S384" s="454"/>
      <c r="AN384" s="458"/>
      <c r="BA384" s="1305"/>
      <c r="BC384" s="169"/>
    </row>
    <row r="385" spans="19:55" ht="15.75" customHeight="1">
      <c r="S385" s="454"/>
      <c r="AN385" s="458"/>
      <c r="BA385" s="1305"/>
      <c r="BC385" s="169"/>
    </row>
    <row r="386" spans="19:55" ht="15.75" customHeight="1">
      <c r="S386" s="454"/>
      <c r="AN386" s="458"/>
      <c r="BA386" s="1305"/>
      <c r="BC386" s="169"/>
    </row>
    <row r="387" spans="19:55" ht="15.75" customHeight="1">
      <c r="S387" s="454"/>
      <c r="AN387" s="458"/>
      <c r="BA387" s="1305"/>
      <c r="BC387" s="169"/>
    </row>
    <row r="388" spans="19:55" ht="15.75" customHeight="1">
      <c r="S388" s="454"/>
      <c r="AN388" s="458"/>
      <c r="BA388" s="1305"/>
      <c r="BC388" s="169"/>
    </row>
    <row r="389" spans="19:55" ht="15.75" customHeight="1">
      <c r="S389" s="454"/>
      <c r="AN389" s="458"/>
      <c r="BA389" s="1305"/>
      <c r="BC389" s="169"/>
    </row>
    <row r="390" spans="19:55" ht="15.75" customHeight="1">
      <c r="S390" s="454"/>
      <c r="AN390" s="458"/>
      <c r="BA390" s="1305"/>
      <c r="BC390" s="169"/>
    </row>
    <row r="391" spans="19:55" ht="15.75" customHeight="1">
      <c r="S391" s="454"/>
      <c r="AN391" s="458"/>
      <c r="BA391" s="1305"/>
      <c r="BC391" s="169"/>
    </row>
    <row r="392" spans="19:55" ht="15.75" customHeight="1">
      <c r="S392" s="454"/>
      <c r="AN392" s="458"/>
      <c r="BA392" s="1305"/>
      <c r="BC392" s="169"/>
    </row>
    <row r="393" spans="19:55" ht="15.75" customHeight="1">
      <c r="S393" s="454"/>
      <c r="AN393" s="458"/>
      <c r="BA393" s="1305"/>
      <c r="BC393" s="169"/>
    </row>
    <row r="394" spans="19:55" ht="15.75" customHeight="1">
      <c r="S394" s="454"/>
      <c r="AN394" s="458"/>
      <c r="BA394" s="1305"/>
      <c r="BC394" s="169"/>
    </row>
    <row r="395" spans="19:55" ht="15.75" customHeight="1">
      <c r="S395" s="454"/>
      <c r="AN395" s="458"/>
      <c r="BA395" s="1305"/>
      <c r="BC395" s="169"/>
    </row>
    <row r="396" spans="19:55" ht="15.75" customHeight="1">
      <c r="S396" s="454"/>
      <c r="AN396" s="458"/>
      <c r="BA396" s="1305"/>
      <c r="BC396" s="169"/>
    </row>
    <row r="397" spans="19:55" ht="15.75" customHeight="1">
      <c r="S397" s="454"/>
      <c r="AN397" s="458"/>
      <c r="BA397" s="1305"/>
      <c r="BC397" s="169"/>
    </row>
    <row r="398" spans="19:55" ht="15.75" customHeight="1">
      <c r="S398" s="454"/>
      <c r="AN398" s="458"/>
      <c r="BA398" s="1305"/>
      <c r="BC398" s="169"/>
    </row>
    <row r="399" spans="19:55" ht="15.75" customHeight="1">
      <c r="S399" s="454"/>
      <c r="AN399" s="458"/>
      <c r="BA399" s="1305"/>
      <c r="BC399" s="169"/>
    </row>
    <row r="400" spans="19:55" ht="15.75" customHeight="1">
      <c r="S400" s="454"/>
      <c r="AN400" s="458"/>
      <c r="BA400" s="1305"/>
      <c r="BC400" s="169"/>
    </row>
    <row r="401" spans="19:55" ht="15.75" customHeight="1">
      <c r="S401" s="454"/>
      <c r="AN401" s="458"/>
      <c r="BA401" s="1305"/>
      <c r="BC401" s="169"/>
    </row>
    <row r="402" spans="19:55" ht="15.75" customHeight="1">
      <c r="S402" s="454"/>
      <c r="AN402" s="458"/>
      <c r="BA402" s="1305"/>
      <c r="BC402" s="169"/>
    </row>
    <row r="403" spans="19:55" ht="15.75" customHeight="1">
      <c r="S403" s="454"/>
      <c r="AN403" s="458"/>
      <c r="BA403" s="1305"/>
      <c r="BC403" s="169"/>
    </row>
    <row r="404" spans="19:55" ht="15.75" customHeight="1">
      <c r="S404" s="454"/>
      <c r="AN404" s="458"/>
      <c r="BA404" s="1305"/>
      <c r="BC404" s="169"/>
    </row>
    <row r="405" spans="19:55" ht="15.75" customHeight="1">
      <c r="S405" s="454"/>
      <c r="AN405" s="458"/>
      <c r="BA405" s="1305"/>
      <c r="BC405" s="169"/>
    </row>
    <row r="406" spans="19:55" ht="15.75" customHeight="1">
      <c r="S406" s="454"/>
      <c r="AN406" s="458"/>
      <c r="BA406" s="1305"/>
      <c r="BC406" s="169"/>
    </row>
    <row r="407" spans="19:55" ht="15.75" customHeight="1">
      <c r="S407" s="454"/>
      <c r="AN407" s="458"/>
      <c r="BA407" s="1305"/>
      <c r="BC407" s="169"/>
    </row>
    <row r="408" spans="19:55" ht="15.75" customHeight="1">
      <c r="S408" s="454"/>
      <c r="AN408" s="458"/>
      <c r="BA408" s="1305"/>
      <c r="BC408" s="169"/>
    </row>
    <row r="409" spans="19:55" ht="15.75" customHeight="1">
      <c r="S409" s="454"/>
      <c r="AN409" s="458"/>
      <c r="BA409" s="1305"/>
      <c r="BC409" s="169"/>
    </row>
    <row r="410" spans="19:55" ht="15.75" customHeight="1">
      <c r="S410" s="454"/>
      <c r="AN410" s="458"/>
      <c r="BA410" s="1305"/>
      <c r="BC410" s="169"/>
    </row>
    <row r="411" spans="19:55" ht="15.75" customHeight="1">
      <c r="S411" s="454"/>
      <c r="AN411" s="458"/>
      <c r="BA411" s="1305"/>
      <c r="BC411" s="169"/>
    </row>
    <row r="412" spans="19:55" ht="15.75" customHeight="1">
      <c r="S412" s="454"/>
      <c r="AN412" s="458"/>
      <c r="BA412" s="1305"/>
      <c r="BC412" s="169"/>
    </row>
    <row r="413" spans="19:55" ht="15.75" customHeight="1">
      <c r="S413" s="454"/>
      <c r="AN413" s="458"/>
      <c r="BA413" s="1305"/>
      <c r="BC413" s="169"/>
    </row>
    <row r="414" spans="19:55" ht="15.75" customHeight="1">
      <c r="S414" s="454"/>
      <c r="AN414" s="458"/>
      <c r="BA414" s="1305"/>
      <c r="BC414" s="169"/>
    </row>
    <row r="415" spans="19:55" ht="15.75" customHeight="1">
      <c r="S415" s="454"/>
      <c r="AN415" s="458"/>
      <c r="BA415" s="1305"/>
      <c r="BC415" s="169"/>
    </row>
    <row r="416" spans="19:55" ht="15.75" customHeight="1">
      <c r="S416" s="454"/>
      <c r="AN416" s="458"/>
      <c r="BA416" s="1305"/>
      <c r="BC416" s="169"/>
    </row>
    <row r="417" spans="19:55" ht="15.75" customHeight="1">
      <c r="S417" s="454"/>
      <c r="AN417" s="458"/>
      <c r="BA417" s="1305"/>
      <c r="BC417" s="169"/>
    </row>
    <row r="418" spans="19:55" ht="15.75" customHeight="1">
      <c r="S418" s="454"/>
      <c r="AN418" s="458"/>
      <c r="BA418" s="1305"/>
      <c r="BC418" s="169"/>
    </row>
    <row r="419" spans="19:55" ht="15.75" customHeight="1">
      <c r="S419" s="454"/>
      <c r="AN419" s="458"/>
      <c r="BA419" s="1305"/>
      <c r="BC419" s="169"/>
    </row>
    <row r="420" spans="19:55" ht="15.75" customHeight="1">
      <c r="S420" s="454"/>
      <c r="AN420" s="458"/>
      <c r="BA420" s="1305"/>
      <c r="BC420" s="169"/>
    </row>
    <row r="421" spans="19:55" ht="15.75" customHeight="1">
      <c r="S421" s="454"/>
      <c r="AN421" s="458"/>
      <c r="BA421" s="1305"/>
      <c r="BC421" s="169"/>
    </row>
    <row r="422" spans="19:55" ht="15.75" customHeight="1">
      <c r="S422" s="454"/>
      <c r="AN422" s="458"/>
      <c r="BA422" s="1305"/>
      <c r="BC422" s="169"/>
    </row>
    <row r="423" spans="19:55" ht="15.75" customHeight="1">
      <c r="S423" s="454"/>
      <c r="AN423" s="458"/>
      <c r="BA423" s="1305"/>
      <c r="BC423" s="169"/>
    </row>
    <row r="424" spans="19:55" ht="15.75" customHeight="1">
      <c r="S424" s="454"/>
      <c r="AN424" s="458"/>
      <c r="BA424" s="1305"/>
      <c r="BC424" s="169"/>
    </row>
    <row r="425" spans="19:55" ht="15.75" customHeight="1">
      <c r="S425" s="454"/>
      <c r="AN425" s="458"/>
      <c r="BA425" s="1305"/>
      <c r="BC425" s="169"/>
    </row>
    <row r="426" spans="19:55" ht="15.75" customHeight="1">
      <c r="S426" s="454"/>
      <c r="AN426" s="458"/>
      <c r="BA426" s="1305"/>
      <c r="BC426" s="169"/>
    </row>
    <row r="427" spans="19:55" ht="15.75" customHeight="1">
      <c r="S427" s="454"/>
      <c r="AN427" s="458"/>
      <c r="BA427" s="1305"/>
      <c r="BC427" s="169"/>
    </row>
    <row r="428" spans="19:55" ht="15.75" customHeight="1">
      <c r="S428" s="454"/>
      <c r="AN428" s="458"/>
      <c r="BA428" s="1305"/>
      <c r="BC428" s="169"/>
    </row>
    <row r="429" spans="19:55" ht="15.75" customHeight="1">
      <c r="S429" s="454"/>
      <c r="AN429" s="458"/>
      <c r="BA429" s="1305"/>
      <c r="BC429" s="169"/>
    </row>
    <row r="430" spans="19:55" ht="15.75" customHeight="1">
      <c r="S430" s="454"/>
      <c r="AN430" s="458"/>
      <c r="BA430" s="1305"/>
      <c r="BC430" s="169"/>
    </row>
    <row r="431" spans="19:55" ht="15.75" customHeight="1">
      <c r="S431" s="454"/>
      <c r="AN431" s="458"/>
      <c r="BA431" s="1305"/>
      <c r="BC431" s="169"/>
    </row>
    <row r="432" spans="19:55" ht="15.75" customHeight="1">
      <c r="S432" s="454"/>
      <c r="AN432" s="458"/>
      <c r="BA432" s="1305"/>
      <c r="BC432" s="169"/>
    </row>
    <row r="433" spans="19:55" ht="15.75" customHeight="1">
      <c r="S433" s="454"/>
      <c r="AN433" s="458"/>
      <c r="BA433" s="1305"/>
      <c r="BC433" s="169"/>
    </row>
    <row r="434" spans="19:55" ht="15.75" customHeight="1">
      <c r="S434" s="454"/>
      <c r="AN434" s="458"/>
      <c r="BA434" s="1305"/>
      <c r="BC434" s="169"/>
    </row>
    <row r="435" spans="19:55" ht="15.75" customHeight="1">
      <c r="S435" s="454"/>
      <c r="AN435" s="458"/>
      <c r="BA435" s="1305"/>
      <c r="BC435" s="169"/>
    </row>
    <row r="436" spans="19:55" ht="15.75" customHeight="1">
      <c r="S436" s="454"/>
      <c r="AN436" s="458"/>
      <c r="BA436" s="1305"/>
      <c r="BC436" s="169"/>
    </row>
    <row r="437" spans="19:55" ht="15.75" customHeight="1">
      <c r="S437" s="454"/>
      <c r="AN437" s="458"/>
      <c r="BA437" s="1305"/>
      <c r="BC437" s="169"/>
    </row>
    <row r="438" spans="19:55" ht="15.75" customHeight="1">
      <c r="S438" s="454"/>
      <c r="AN438" s="458"/>
      <c r="BA438" s="1305"/>
      <c r="BC438" s="169"/>
    </row>
    <row r="439" spans="19:55" ht="15.75" customHeight="1">
      <c r="S439" s="454"/>
      <c r="AN439" s="458"/>
      <c r="BA439" s="1305"/>
      <c r="BC439" s="169"/>
    </row>
    <row r="440" spans="19:55" ht="15.75" customHeight="1">
      <c r="S440" s="454"/>
      <c r="AN440" s="458"/>
      <c r="BA440" s="1305"/>
      <c r="BC440" s="169"/>
    </row>
    <row r="441" spans="19:55" ht="15.75" customHeight="1">
      <c r="S441" s="454"/>
      <c r="AN441" s="458"/>
      <c r="BA441" s="1305"/>
      <c r="BC441" s="169"/>
    </row>
    <row r="442" spans="19:55" ht="15.75" customHeight="1">
      <c r="S442" s="454"/>
      <c r="AN442" s="458"/>
      <c r="BA442" s="1305"/>
      <c r="BC442" s="169"/>
    </row>
    <row r="443" spans="19:55" ht="15.75" customHeight="1">
      <c r="S443" s="454"/>
      <c r="AN443" s="458"/>
      <c r="BA443" s="1305"/>
      <c r="BC443" s="169"/>
    </row>
    <row r="444" spans="19:55" ht="15.75" customHeight="1">
      <c r="S444" s="454"/>
      <c r="AN444" s="458"/>
      <c r="BA444" s="1305"/>
      <c r="BC444" s="169"/>
    </row>
    <row r="445" spans="19:55" ht="15.75" customHeight="1">
      <c r="S445" s="454"/>
      <c r="AN445" s="458"/>
      <c r="BA445" s="1305"/>
      <c r="BC445" s="169"/>
    </row>
    <row r="446" spans="19:55" ht="15.75" customHeight="1">
      <c r="S446" s="454"/>
      <c r="AN446" s="458"/>
      <c r="BA446" s="1305"/>
      <c r="BC446" s="169"/>
    </row>
    <row r="447" spans="19:55" ht="15.75" customHeight="1">
      <c r="S447" s="454"/>
      <c r="AN447" s="458"/>
      <c r="BA447" s="1305"/>
      <c r="BC447" s="169"/>
    </row>
    <row r="448" spans="19:55" ht="15.75" customHeight="1">
      <c r="S448" s="454"/>
      <c r="AN448" s="458"/>
      <c r="BA448" s="1305"/>
      <c r="BC448" s="169"/>
    </row>
    <row r="449" spans="19:55" ht="15.75" customHeight="1">
      <c r="S449" s="454"/>
      <c r="AN449" s="458"/>
      <c r="BA449" s="1305"/>
      <c r="BC449" s="169"/>
    </row>
    <row r="450" spans="19:55" ht="15.75" customHeight="1">
      <c r="S450" s="454"/>
      <c r="AN450" s="458"/>
      <c r="BA450" s="1305"/>
      <c r="BC450" s="169"/>
    </row>
    <row r="451" spans="19:55" ht="15.75" customHeight="1">
      <c r="S451" s="454"/>
      <c r="AN451" s="458"/>
      <c r="BA451" s="1305"/>
      <c r="BC451" s="169"/>
    </row>
    <row r="452" spans="19:55" ht="15.75" customHeight="1">
      <c r="S452" s="454"/>
      <c r="AN452" s="458"/>
      <c r="BA452" s="1305"/>
      <c r="BC452" s="169"/>
    </row>
    <row r="453" spans="19:55" ht="15.75" customHeight="1">
      <c r="S453" s="454"/>
      <c r="AN453" s="458"/>
      <c r="BA453" s="1305"/>
      <c r="BC453" s="169"/>
    </row>
    <row r="454" spans="19:55" ht="15.75" customHeight="1">
      <c r="S454" s="454"/>
      <c r="AN454" s="458"/>
      <c r="BA454" s="1305"/>
      <c r="BC454" s="169"/>
    </row>
    <row r="455" spans="19:55" ht="15.75" customHeight="1">
      <c r="S455" s="454"/>
      <c r="AN455" s="458"/>
      <c r="BA455" s="1305"/>
      <c r="BC455" s="169"/>
    </row>
    <row r="456" spans="19:55" ht="15.75" customHeight="1">
      <c r="S456" s="454"/>
      <c r="AN456" s="458"/>
      <c r="BA456" s="1305"/>
      <c r="BC456" s="169"/>
    </row>
    <row r="457" spans="19:55" ht="15.75" customHeight="1">
      <c r="S457" s="454"/>
      <c r="AN457" s="458"/>
      <c r="BA457" s="1305"/>
      <c r="BC457" s="169"/>
    </row>
    <row r="458" spans="19:55" ht="15.75" customHeight="1">
      <c r="S458" s="454"/>
      <c r="AN458" s="458"/>
      <c r="BA458" s="1305"/>
      <c r="BC458" s="169"/>
    </row>
    <row r="459" spans="19:55" ht="15.75" customHeight="1">
      <c r="S459" s="454"/>
      <c r="AN459" s="458"/>
      <c r="BA459" s="1305"/>
      <c r="BC459" s="169"/>
    </row>
    <row r="460" spans="19:55" ht="15.75" customHeight="1">
      <c r="S460" s="454"/>
      <c r="AN460" s="458"/>
      <c r="BA460" s="1305"/>
      <c r="BC460" s="169"/>
    </row>
    <row r="461" spans="19:55" ht="15.75" customHeight="1">
      <c r="S461" s="454"/>
      <c r="AN461" s="458"/>
      <c r="BA461" s="1305"/>
      <c r="BC461" s="169"/>
    </row>
    <row r="462" spans="19:55" ht="15.75" customHeight="1">
      <c r="S462" s="454"/>
      <c r="AN462" s="458"/>
      <c r="BA462" s="1305"/>
      <c r="BC462" s="169"/>
    </row>
    <row r="463" spans="19:55" ht="15.75" customHeight="1">
      <c r="S463" s="454"/>
      <c r="AN463" s="458"/>
      <c r="BA463" s="1305"/>
      <c r="BC463" s="169"/>
    </row>
    <row r="464" spans="19:55" ht="15.75" customHeight="1">
      <c r="S464" s="454"/>
      <c r="AN464" s="458"/>
      <c r="BA464" s="1305"/>
      <c r="BC464" s="169"/>
    </row>
    <row r="465" spans="19:55" ht="15.75" customHeight="1">
      <c r="S465" s="454"/>
      <c r="AN465" s="458"/>
      <c r="BA465" s="1305"/>
      <c r="BC465" s="169"/>
    </row>
    <row r="466" spans="19:55" ht="15.75" customHeight="1">
      <c r="S466" s="454"/>
      <c r="AN466" s="458"/>
      <c r="BA466" s="1305"/>
      <c r="BC466" s="169"/>
    </row>
    <row r="467" spans="19:55" ht="15.75" customHeight="1">
      <c r="S467" s="454"/>
      <c r="AN467" s="458"/>
      <c r="BA467" s="1305"/>
      <c r="BC467" s="169"/>
    </row>
    <row r="468" spans="19:55" ht="15.75" customHeight="1">
      <c r="S468" s="454"/>
      <c r="AN468" s="458"/>
      <c r="BA468" s="1305"/>
      <c r="BC468" s="169"/>
    </row>
    <row r="469" spans="19:55" ht="15.75" customHeight="1">
      <c r="S469" s="454"/>
      <c r="AN469" s="458"/>
      <c r="BA469" s="1305"/>
      <c r="BC469" s="169"/>
    </row>
    <row r="470" spans="19:55" ht="15.75" customHeight="1">
      <c r="S470" s="454"/>
      <c r="AN470" s="458"/>
      <c r="BA470" s="1305"/>
      <c r="BC470" s="169"/>
    </row>
    <row r="471" spans="19:55" ht="15.75" customHeight="1">
      <c r="S471" s="454"/>
      <c r="AN471" s="458"/>
      <c r="BA471" s="1305"/>
      <c r="BC471" s="169"/>
    </row>
    <row r="472" spans="19:55" ht="15.75" customHeight="1">
      <c r="S472" s="454"/>
      <c r="AN472" s="458"/>
      <c r="BA472" s="1305"/>
      <c r="BC472" s="169"/>
    </row>
    <row r="473" spans="19:55" ht="15.75" customHeight="1">
      <c r="S473" s="454"/>
      <c r="AN473" s="458"/>
      <c r="BA473" s="1305"/>
      <c r="BC473" s="169"/>
    </row>
    <row r="474" spans="19:55" ht="15.75" customHeight="1">
      <c r="S474" s="454"/>
      <c r="AN474" s="458"/>
      <c r="BA474" s="1305"/>
      <c r="BC474" s="169"/>
    </row>
    <row r="475" spans="19:55" ht="15.75" customHeight="1">
      <c r="S475" s="454"/>
      <c r="AN475" s="458"/>
      <c r="BA475" s="1305"/>
      <c r="BC475" s="169"/>
    </row>
    <row r="476" spans="19:55" ht="15.75" customHeight="1">
      <c r="S476" s="454"/>
      <c r="AN476" s="458"/>
      <c r="BA476" s="1305"/>
      <c r="BC476" s="169"/>
    </row>
    <row r="477" spans="19:55" ht="15.75" customHeight="1">
      <c r="S477" s="454"/>
      <c r="AN477" s="458"/>
      <c r="BA477" s="1305"/>
      <c r="BC477" s="169"/>
    </row>
    <row r="478" spans="19:55" ht="15.75" customHeight="1">
      <c r="S478" s="454"/>
      <c r="AN478" s="458"/>
      <c r="BA478" s="1305"/>
      <c r="BC478" s="169"/>
    </row>
    <row r="479" spans="19:55" ht="15.75" customHeight="1">
      <c r="S479" s="454"/>
      <c r="AN479" s="458"/>
      <c r="BA479" s="1305"/>
      <c r="BC479" s="169"/>
    </row>
    <row r="480" spans="19:55" ht="15.75" customHeight="1">
      <c r="S480" s="454"/>
      <c r="AN480" s="458"/>
      <c r="BA480" s="1305"/>
      <c r="BC480" s="169"/>
    </row>
    <row r="481" spans="19:55" ht="15.75" customHeight="1">
      <c r="S481" s="454"/>
      <c r="AN481" s="458"/>
      <c r="BA481" s="1305"/>
      <c r="BC481" s="169"/>
    </row>
    <row r="482" spans="19:55" ht="15.75" customHeight="1">
      <c r="S482" s="454"/>
      <c r="AN482" s="458"/>
      <c r="BA482" s="1305"/>
      <c r="BC482" s="169"/>
    </row>
    <row r="483" spans="19:55" ht="15.75" customHeight="1">
      <c r="S483" s="454"/>
      <c r="AN483" s="458"/>
      <c r="BA483" s="1305"/>
      <c r="BC483" s="169"/>
    </row>
    <row r="484" spans="19:55" ht="15.75" customHeight="1">
      <c r="S484" s="454"/>
      <c r="AN484" s="458"/>
      <c r="BA484" s="1305"/>
      <c r="BC484" s="169"/>
    </row>
    <row r="485" spans="19:55" ht="15.75" customHeight="1">
      <c r="S485" s="454"/>
      <c r="AN485" s="458"/>
      <c r="BA485" s="1305"/>
      <c r="BC485" s="169"/>
    </row>
    <row r="486" spans="19:55" ht="15.75" customHeight="1">
      <c r="S486" s="454"/>
      <c r="AN486" s="458"/>
      <c r="BA486" s="1305"/>
      <c r="BC486" s="169"/>
    </row>
    <row r="487" spans="19:55" ht="15.75" customHeight="1">
      <c r="S487" s="454"/>
      <c r="AN487" s="458"/>
      <c r="BA487" s="1305"/>
      <c r="BC487" s="169"/>
    </row>
    <row r="488" spans="19:55" ht="15.75" customHeight="1">
      <c r="S488" s="454"/>
      <c r="AN488" s="458"/>
      <c r="BA488" s="1305"/>
      <c r="BC488" s="169"/>
    </row>
    <row r="489" spans="19:55" ht="15.75" customHeight="1">
      <c r="S489" s="454"/>
      <c r="AN489" s="458"/>
      <c r="BA489" s="1305"/>
      <c r="BC489" s="169"/>
    </row>
    <row r="490" spans="19:55" ht="15.75" customHeight="1">
      <c r="S490" s="454"/>
      <c r="AN490" s="458"/>
      <c r="BA490" s="1305"/>
      <c r="BC490" s="169"/>
    </row>
    <row r="491" spans="19:55" ht="15.75" customHeight="1">
      <c r="S491" s="454"/>
      <c r="AN491" s="458"/>
      <c r="BA491" s="1305"/>
      <c r="BC491" s="169"/>
    </row>
    <row r="492" spans="19:55" ht="15.75" customHeight="1">
      <c r="S492" s="454"/>
      <c r="AN492" s="458"/>
      <c r="BA492" s="1305"/>
      <c r="BC492" s="169"/>
    </row>
    <row r="493" spans="19:55" ht="15.75" customHeight="1">
      <c r="S493" s="454"/>
      <c r="AN493" s="458"/>
      <c r="BA493" s="1305"/>
      <c r="BC493" s="169"/>
    </row>
    <row r="494" spans="19:55" ht="15.75" customHeight="1">
      <c r="S494" s="454"/>
      <c r="AN494" s="458"/>
      <c r="BA494" s="1305"/>
      <c r="BC494" s="169"/>
    </row>
    <row r="495" spans="19:55" ht="15.75" customHeight="1">
      <c r="S495" s="454"/>
      <c r="AN495" s="458"/>
      <c r="BA495" s="1305"/>
      <c r="BC495" s="169"/>
    </row>
    <row r="496" spans="19:55" ht="15.75" customHeight="1">
      <c r="S496" s="454"/>
      <c r="AN496" s="458"/>
      <c r="BA496" s="1305"/>
      <c r="BC496" s="169"/>
    </row>
    <row r="497" spans="19:55" ht="15.75" customHeight="1">
      <c r="S497" s="454"/>
      <c r="AN497" s="458"/>
      <c r="BA497" s="1305"/>
      <c r="BC497" s="169"/>
    </row>
    <row r="498" spans="19:55" ht="15.75" customHeight="1">
      <c r="S498" s="454"/>
      <c r="AN498" s="458"/>
      <c r="BA498" s="1305"/>
      <c r="BC498" s="169"/>
    </row>
    <row r="499" spans="19:55" ht="15.75" customHeight="1">
      <c r="S499" s="454"/>
      <c r="AN499" s="458"/>
      <c r="BA499" s="1305"/>
      <c r="BC499" s="169"/>
    </row>
    <row r="500" spans="19:55" ht="15.75" customHeight="1">
      <c r="S500" s="454"/>
      <c r="AN500" s="458"/>
      <c r="BA500" s="1305"/>
      <c r="BC500" s="169"/>
    </row>
    <row r="501" spans="19:55" ht="15.75" customHeight="1">
      <c r="S501" s="454"/>
      <c r="AN501" s="458"/>
      <c r="BA501" s="1305"/>
      <c r="BC501" s="169"/>
    </row>
    <row r="502" spans="19:55" ht="15.75" customHeight="1">
      <c r="S502" s="454"/>
      <c r="AN502" s="458"/>
      <c r="BA502" s="1305"/>
      <c r="BC502" s="169"/>
    </row>
    <row r="503" spans="19:55" ht="15.75" customHeight="1">
      <c r="S503" s="454"/>
      <c r="AN503" s="458"/>
      <c r="BA503" s="1305"/>
      <c r="BC503" s="169"/>
    </row>
    <row r="504" spans="19:55" ht="15.75" customHeight="1">
      <c r="S504" s="454"/>
      <c r="AN504" s="458"/>
      <c r="BA504" s="1305"/>
      <c r="BC504" s="169"/>
    </row>
    <row r="505" spans="19:55" ht="15.75" customHeight="1">
      <c r="S505" s="454"/>
      <c r="AN505" s="458"/>
      <c r="BA505" s="1305"/>
      <c r="BC505" s="169"/>
    </row>
    <row r="506" spans="19:55" ht="15.75" customHeight="1">
      <c r="S506" s="454"/>
      <c r="AN506" s="458"/>
      <c r="BA506" s="1305"/>
      <c r="BC506" s="169"/>
    </row>
    <row r="507" spans="19:55" ht="15.75" customHeight="1">
      <c r="S507" s="454"/>
      <c r="AN507" s="458"/>
      <c r="BA507" s="1305"/>
      <c r="BC507" s="169"/>
    </row>
    <row r="508" spans="19:55" ht="15.75" customHeight="1">
      <c r="S508" s="454"/>
      <c r="AN508" s="458"/>
      <c r="BA508" s="1305"/>
      <c r="BC508" s="169"/>
    </row>
    <row r="509" spans="19:55" ht="15.75" customHeight="1">
      <c r="S509" s="454"/>
      <c r="AN509" s="458"/>
      <c r="BA509" s="1305"/>
      <c r="BC509" s="169"/>
    </row>
    <row r="510" spans="19:55" ht="15.75" customHeight="1">
      <c r="S510" s="454"/>
      <c r="AN510" s="458"/>
      <c r="BA510" s="1305"/>
      <c r="BC510" s="169"/>
    </row>
    <row r="511" spans="19:55" ht="15.75" customHeight="1">
      <c r="S511" s="454"/>
      <c r="AN511" s="458"/>
      <c r="BA511" s="1305"/>
      <c r="BC511" s="169"/>
    </row>
    <row r="512" spans="19:55" ht="15.75" customHeight="1">
      <c r="S512" s="454"/>
      <c r="AN512" s="458"/>
      <c r="BA512" s="1305"/>
      <c r="BC512" s="169"/>
    </row>
    <row r="513" spans="19:55" ht="15.75" customHeight="1">
      <c r="S513" s="454"/>
      <c r="AN513" s="458"/>
      <c r="BA513" s="1305"/>
      <c r="BC513" s="169"/>
    </row>
    <row r="514" spans="19:55" ht="15.75" customHeight="1">
      <c r="S514" s="454"/>
      <c r="AN514" s="458"/>
      <c r="BA514" s="1305"/>
      <c r="BC514" s="169"/>
    </row>
    <row r="515" spans="19:55" ht="15.75" customHeight="1">
      <c r="S515" s="454"/>
      <c r="AN515" s="458"/>
      <c r="BA515" s="1305"/>
      <c r="BC515" s="169"/>
    </row>
    <row r="516" spans="19:55" ht="15.75" customHeight="1">
      <c r="S516" s="454"/>
      <c r="AN516" s="458"/>
      <c r="BA516" s="1305"/>
      <c r="BC516" s="169"/>
    </row>
    <row r="517" spans="19:55" ht="15.75" customHeight="1">
      <c r="S517" s="454"/>
      <c r="AN517" s="458"/>
      <c r="BA517" s="1305"/>
      <c r="BC517" s="169"/>
    </row>
    <row r="518" spans="19:55" ht="15.75" customHeight="1">
      <c r="S518" s="454"/>
      <c r="AN518" s="458"/>
      <c r="BA518" s="1305"/>
      <c r="BC518" s="169"/>
    </row>
    <row r="519" spans="19:55" ht="15.75" customHeight="1">
      <c r="S519" s="454"/>
      <c r="AN519" s="458"/>
      <c r="BA519" s="1305"/>
      <c r="BC519" s="169"/>
    </row>
    <row r="520" spans="19:55" ht="15.75" customHeight="1">
      <c r="S520" s="454"/>
      <c r="AN520" s="458"/>
      <c r="BA520" s="1305"/>
      <c r="BC520" s="169"/>
    </row>
    <row r="521" spans="19:55" ht="15.75" customHeight="1">
      <c r="S521" s="454"/>
      <c r="AN521" s="458"/>
      <c r="BA521" s="1305"/>
      <c r="BC521" s="169"/>
    </row>
    <row r="522" spans="19:55" ht="15.75" customHeight="1">
      <c r="S522" s="454"/>
      <c r="AN522" s="458"/>
      <c r="BA522" s="1305"/>
      <c r="BC522" s="169"/>
    </row>
    <row r="523" spans="19:55" ht="15.75" customHeight="1">
      <c r="S523" s="454"/>
      <c r="AN523" s="458"/>
      <c r="BA523" s="1305"/>
      <c r="BC523" s="169"/>
    </row>
    <row r="524" spans="19:55" ht="15.75" customHeight="1">
      <c r="S524" s="454"/>
      <c r="AN524" s="458"/>
      <c r="BA524" s="1305"/>
      <c r="BC524" s="169"/>
    </row>
    <row r="525" spans="19:55" ht="15.75" customHeight="1">
      <c r="S525" s="454"/>
      <c r="AN525" s="458"/>
      <c r="BA525" s="1305"/>
      <c r="BC525" s="169"/>
    </row>
    <row r="526" spans="19:55" ht="15.75" customHeight="1">
      <c r="S526" s="454"/>
      <c r="AN526" s="458"/>
      <c r="BA526" s="1305"/>
      <c r="BC526" s="169"/>
    </row>
    <row r="527" spans="19:55" ht="15.75" customHeight="1">
      <c r="S527" s="454"/>
      <c r="AN527" s="458"/>
      <c r="BA527" s="1305"/>
      <c r="BC527" s="169"/>
    </row>
    <row r="528" spans="19:55" ht="15.75" customHeight="1">
      <c r="S528" s="454"/>
      <c r="AN528" s="458"/>
      <c r="BA528" s="1305"/>
      <c r="BC528" s="169"/>
    </row>
    <row r="529" spans="19:55" ht="15.75" customHeight="1">
      <c r="S529" s="454"/>
      <c r="AN529" s="458"/>
      <c r="BA529" s="1305"/>
      <c r="BC529" s="169"/>
    </row>
    <row r="530" spans="19:55" ht="15.75" customHeight="1">
      <c r="S530" s="454"/>
      <c r="AN530" s="458"/>
      <c r="BA530" s="1305"/>
      <c r="BC530" s="169"/>
    </row>
    <row r="531" spans="19:55" ht="15.75" customHeight="1">
      <c r="S531" s="454"/>
      <c r="AN531" s="458"/>
      <c r="BA531" s="1305"/>
      <c r="BC531" s="169"/>
    </row>
    <row r="532" spans="19:55" ht="15.75" customHeight="1">
      <c r="S532" s="454"/>
      <c r="AN532" s="458"/>
      <c r="BA532" s="1305"/>
      <c r="BC532" s="169"/>
    </row>
    <row r="533" spans="19:55" ht="15.75" customHeight="1">
      <c r="S533" s="454"/>
      <c r="AN533" s="458"/>
      <c r="BA533" s="1305"/>
      <c r="BC533" s="169"/>
    </row>
    <row r="534" spans="19:55" ht="15.75" customHeight="1">
      <c r="S534" s="454"/>
      <c r="AN534" s="458"/>
      <c r="BA534" s="1305"/>
      <c r="BC534" s="169"/>
    </row>
    <row r="535" spans="19:55" ht="15.75" customHeight="1">
      <c r="S535" s="454"/>
      <c r="AN535" s="458"/>
      <c r="BA535" s="1305"/>
      <c r="BC535" s="169"/>
    </row>
    <row r="536" spans="19:55" ht="15.75" customHeight="1">
      <c r="S536" s="454"/>
      <c r="AN536" s="458"/>
      <c r="BA536" s="1305"/>
      <c r="BC536" s="169"/>
    </row>
    <row r="537" spans="19:55" ht="15.75" customHeight="1">
      <c r="S537" s="454"/>
      <c r="AN537" s="458"/>
      <c r="BA537" s="1305"/>
      <c r="BC537" s="169"/>
    </row>
    <row r="538" spans="19:55" ht="15.75" customHeight="1">
      <c r="S538" s="454"/>
      <c r="AN538" s="458"/>
      <c r="BA538" s="1305"/>
      <c r="BC538" s="169"/>
    </row>
    <row r="539" spans="19:55" ht="15.75" customHeight="1">
      <c r="S539" s="454"/>
      <c r="AN539" s="458"/>
      <c r="BA539" s="1305"/>
      <c r="BC539" s="169"/>
    </row>
    <row r="540" spans="19:55" ht="15.75" customHeight="1">
      <c r="S540" s="454"/>
      <c r="AN540" s="458"/>
      <c r="BA540" s="1305"/>
      <c r="BC540" s="169"/>
    </row>
    <row r="541" spans="19:55" ht="15.75" customHeight="1">
      <c r="S541" s="454"/>
      <c r="AN541" s="458"/>
      <c r="BA541" s="1305"/>
      <c r="BC541" s="169"/>
    </row>
    <row r="542" spans="19:55" ht="15.75" customHeight="1">
      <c r="S542" s="454"/>
      <c r="AN542" s="458"/>
      <c r="BA542" s="1305"/>
      <c r="BC542" s="169"/>
    </row>
    <row r="543" spans="19:55" ht="15.75" customHeight="1">
      <c r="S543" s="454"/>
      <c r="AN543" s="458"/>
      <c r="BA543" s="1305"/>
      <c r="BC543" s="169"/>
    </row>
    <row r="544" spans="19:55" ht="15.75" customHeight="1">
      <c r="S544" s="454"/>
      <c r="AN544" s="458"/>
      <c r="BA544" s="1305"/>
      <c r="BC544" s="169"/>
    </row>
    <row r="545" spans="19:55" ht="15.75" customHeight="1">
      <c r="S545" s="454"/>
      <c r="AN545" s="458"/>
      <c r="BA545" s="1305"/>
      <c r="BC545" s="169"/>
    </row>
    <row r="546" spans="19:55" ht="15.75" customHeight="1">
      <c r="S546" s="454"/>
      <c r="AN546" s="458"/>
      <c r="BA546" s="1305"/>
      <c r="BC546" s="169"/>
    </row>
    <row r="547" spans="19:55" ht="15.75" customHeight="1">
      <c r="S547" s="454"/>
      <c r="AN547" s="458"/>
      <c r="BA547" s="1305"/>
      <c r="BC547" s="169"/>
    </row>
    <row r="548" spans="19:55" ht="15.75" customHeight="1">
      <c r="S548" s="454"/>
      <c r="AN548" s="458"/>
      <c r="BA548" s="1305"/>
      <c r="BC548" s="169"/>
    </row>
    <row r="549" spans="19:55" ht="15.75" customHeight="1">
      <c r="S549" s="454"/>
      <c r="AN549" s="458"/>
      <c r="BA549" s="1305"/>
      <c r="BC549" s="169"/>
    </row>
    <row r="550" spans="19:55" ht="15.75" customHeight="1">
      <c r="S550" s="454"/>
      <c r="AN550" s="458"/>
      <c r="BA550" s="1305"/>
      <c r="BC550" s="169"/>
    </row>
    <row r="551" spans="19:55" ht="15.75" customHeight="1">
      <c r="S551" s="454"/>
      <c r="AN551" s="458"/>
      <c r="BA551" s="1305"/>
      <c r="BC551" s="169"/>
    </row>
    <row r="552" spans="19:55" ht="15.75" customHeight="1">
      <c r="S552" s="454"/>
      <c r="AN552" s="458"/>
      <c r="BA552" s="1305"/>
      <c r="BC552" s="169"/>
    </row>
    <row r="553" spans="19:55" ht="15.75" customHeight="1">
      <c r="S553" s="454"/>
      <c r="AN553" s="458"/>
      <c r="BA553" s="1305"/>
      <c r="BC553" s="169"/>
    </row>
    <row r="554" spans="19:55" ht="15.75" customHeight="1">
      <c r="S554" s="454"/>
      <c r="AN554" s="458"/>
      <c r="BA554" s="1305"/>
      <c r="BC554" s="169"/>
    </row>
    <row r="555" spans="19:55" ht="15.75" customHeight="1">
      <c r="S555" s="454"/>
      <c r="AN555" s="458"/>
      <c r="BA555" s="1305"/>
      <c r="BC555" s="169"/>
    </row>
    <row r="556" spans="19:55" ht="15.75" customHeight="1">
      <c r="S556" s="454"/>
      <c r="AN556" s="458"/>
      <c r="BA556" s="1305"/>
      <c r="BC556" s="169"/>
    </row>
    <row r="557" spans="19:55" ht="15.75" customHeight="1">
      <c r="S557" s="454"/>
      <c r="AN557" s="458"/>
      <c r="BA557" s="1305"/>
      <c r="BC557" s="169"/>
    </row>
    <row r="558" spans="19:55" ht="15.75" customHeight="1">
      <c r="S558" s="454"/>
      <c r="AN558" s="458"/>
      <c r="BA558" s="1305"/>
      <c r="BC558" s="169"/>
    </row>
    <row r="559" spans="19:55" ht="15.75" customHeight="1">
      <c r="S559" s="454"/>
      <c r="AN559" s="458"/>
      <c r="BA559" s="1305"/>
      <c r="BC559" s="169"/>
    </row>
    <row r="560" spans="19:55" ht="15.75" customHeight="1">
      <c r="S560" s="454"/>
      <c r="AN560" s="458"/>
      <c r="BA560" s="1305"/>
      <c r="BC560" s="169"/>
    </row>
    <row r="561" spans="19:55" ht="15.75" customHeight="1">
      <c r="S561" s="454"/>
      <c r="AN561" s="458"/>
      <c r="BA561" s="1305"/>
      <c r="BC561" s="169"/>
    </row>
    <row r="562" spans="19:55" ht="15.75" customHeight="1">
      <c r="S562" s="454"/>
      <c r="AN562" s="458"/>
      <c r="BA562" s="1305"/>
      <c r="BC562" s="169"/>
    </row>
    <row r="563" spans="19:55" ht="15.75" customHeight="1">
      <c r="S563" s="454"/>
      <c r="AN563" s="458"/>
      <c r="BA563" s="1305"/>
      <c r="BC563" s="169"/>
    </row>
    <row r="564" spans="19:55" ht="15.75" customHeight="1">
      <c r="S564" s="454"/>
      <c r="AN564" s="458"/>
      <c r="BA564" s="1305"/>
      <c r="BC564" s="169"/>
    </row>
    <row r="565" spans="19:55" ht="15.75" customHeight="1">
      <c r="S565" s="454"/>
      <c r="AN565" s="458"/>
      <c r="BA565" s="1305"/>
      <c r="BC565" s="169"/>
    </row>
    <row r="566" spans="19:55" ht="15.75" customHeight="1">
      <c r="S566" s="454"/>
      <c r="AN566" s="458"/>
      <c r="BA566" s="1305"/>
      <c r="BC566" s="169"/>
    </row>
    <row r="567" spans="19:55" ht="15.75" customHeight="1">
      <c r="S567" s="454"/>
      <c r="AN567" s="458"/>
      <c r="BA567" s="1305"/>
      <c r="BC567" s="169"/>
    </row>
    <row r="568" spans="19:55" ht="15.75" customHeight="1">
      <c r="S568" s="454"/>
      <c r="AN568" s="458"/>
      <c r="BA568" s="1305"/>
      <c r="BC568" s="169"/>
    </row>
    <row r="569" spans="19:55" ht="15.75" customHeight="1">
      <c r="S569" s="454"/>
      <c r="AN569" s="458"/>
      <c r="BA569" s="1305"/>
      <c r="BC569" s="169"/>
    </row>
    <row r="570" spans="19:55" ht="15.75" customHeight="1">
      <c r="S570" s="454"/>
      <c r="AN570" s="458"/>
      <c r="BA570" s="1305"/>
      <c r="BC570" s="169"/>
    </row>
    <row r="571" spans="19:55" ht="15.75" customHeight="1">
      <c r="S571" s="454"/>
      <c r="AN571" s="458"/>
      <c r="BA571" s="1305"/>
      <c r="BC571" s="169"/>
    </row>
    <row r="572" spans="19:55" ht="15.75" customHeight="1">
      <c r="S572" s="454"/>
      <c r="AN572" s="458"/>
      <c r="BA572" s="1305"/>
      <c r="BC572" s="169"/>
    </row>
    <row r="573" spans="19:55" ht="15.75" customHeight="1">
      <c r="S573" s="454"/>
      <c r="AN573" s="458"/>
      <c r="BA573" s="1305"/>
      <c r="BC573" s="169"/>
    </row>
    <row r="574" spans="19:55" ht="15.75" customHeight="1">
      <c r="S574" s="454"/>
      <c r="AN574" s="458"/>
      <c r="BA574" s="1305"/>
      <c r="BC574" s="169"/>
    </row>
    <row r="575" spans="19:55" ht="15.75" customHeight="1">
      <c r="S575" s="454"/>
      <c r="AN575" s="458"/>
      <c r="BA575" s="1305"/>
      <c r="BC575" s="169"/>
    </row>
    <row r="576" spans="19:55" ht="15.75" customHeight="1">
      <c r="S576" s="454"/>
      <c r="AN576" s="458"/>
      <c r="BA576" s="1305"/>
      <c r="BC576" s="169"/>
    </row>
    <row r="577" spans="19:55" ht="15.75" customHeight="1">
      <c r="S577" s="454"/>
      <c r="AN577" s="458"/>
      <c r="BA577" s="1305"/>
      <c r="BC577" s="169"/>
    </row>
    <row r="578" spans="19:55" ht="15.75" customHeight="1">
      <c r="S578" s="454"/>
      <c r="AN578" s="458"/>
      <c r="BA578" s="1305"/>
      <c r="BC578" s="169"/>
    </row>
    <row r="579" spans="19:55" ht="15.75" customHeight="1">
      <c r="S579" s="454"/>
      <c r="AN579" s="458"/>
      <c r="BA579" s="1305"/>
      <c r="BC579" s="169"/>
    </row>
    <row r="580" spans="19:55" ht="15.75" customHeight="1">
      <c r="S580" s="454"/>
      <c r="AN580" s="458"/>
      <c r="BA580" s="1305"/>
      <c r="BC580" s="169"/>
    </row>
    <row r="581" spans="19:55" ht="15.75" customHeight="1">
      <c r="S581" s="454"/>
      <c r="AN581" s="458"/>
      <c r="BA581" s="1305"/>
      <c r="BC581" s="169"/>
    </row>
    <row r="582" spans="19:55" ht="15.75" customHeight="1">
      <c r="S582" s="454"/>
      <c r="AN582" s="458"/>
      <c r="BA582" s="1305"/>
      <c r="BC582" s="169"/>
    </row>
    <row r="583" spans="19:55" ht="15.75" customHeight="1">
      <c r="S583" s="454"/>
      <c r="AN583" s="458"/>
      <c r="BA583" s="1305"/>
      <c r="BC583" s="169"/>
    </row>
    <row r="584" spans="19:55" ht="15.75" customHeight="1">
      <c r="S584" s="454"/>
      <c r="AN584" s="458"/>
      <c r="BA584" s="1305"/>
      <c r="BC584" s="169"/>
    </row>
    <row r="585" spans="19:55" ht="15.75" customHeight="1">
      <c r="S585" s="454"/>
      <c r="AN585" s="458"/>
      <c r="BA585" s="1305"/>
      <c r="BC585" s="169"/>
    </row>
    <row r="586" spans="19:55" ht="15.75" customHeight="1">
      <c r="S586" s="454"/>
      <c r="AN586" s="458"/>
      <c r="BA586" s="1305"/>
      <c r="BC586" s="169"/>
    </row>
    <row r="587" spans="19:55" ht="15.75" customHeight="1">
      <c r="S587" s="454"/>
      <c r="AN587" s="458"/>
      <c r="BA587" s="1305"/>
      <c r="BC587" s="169"/>
    </row>
    <row r="588" spans="19:55" ht="15.75" customHeight="1">
      <c r="S588" s="454"/>
      <c r="AN588" s="458"/>
      <c r="BA588" s="1305"/>
      <c r="BC588" s="169"/>
    </row>
    <row r="589" spans="19:55" ht="15.75" customHeight="1">
      <c r="S589" s="454"/>
      <c r="AN589" s="458"/>
      <c r="BA589" s="1305"/>
      <c r="BC589" s="169"/>
    </row>
    <row r="590" spans="19:55" ht="15.75" customHeight="1">
      <c r="S590" s="454"/>
      <c r="AN590" s="458"/>
      <c r="BA590" s="1305"/>
      <c r="BC590" s="169"/>
    </row>
    <row r="591" spans="19:55" ht="15.75" customHeight="1">
      <c r="S591" s="454"/>
      <c r="AN591" s="458"/>
      <c r="BA591" s="1305"/>
      <c r="BC591" s="169"/>
    </row>
    <row r="592" spans="19:55" ht="15.75" customHeight="1">
      <c r="S592" s="454"/>
      <c r="AN592" s="458"/>
      <c r="BA592" s="1305"/>
      <c r="BC592" s="169"/>
    </row>
    <row r="593" spans="19:55" ht="15.75" customHeight="1">
      <c r="S593" s="454"/>
      <c r="AN593" s="458"/>
      <c r="BA593" s="1305"/>
      <c r="BC593" s="169"/>
    </row>
    <row r="594" spans="19:55" ht="15.75" customHeight="1">
      <c r="S594" s="454"/>
      <c r="AN594" s="458"/>
      <c r="BA594" s="1305"/>
      <c r="BC594" s="169"/>
    </row>
    <row r="595" spans="19:55" ht="15.75" customHeight="1">
      <c r="S595" s="454"/>
      <c r="AN595" s="458"/>
      <c r="BA595" s="1305"/>
      <c r="BC595" s="169"/>
    </row>
    <row r="596" spans="19:55" ht="15.75" customHeight="1">
      <c r="S596" s="454"/>
      <c r="AN596" s="458"/>
      <c r="BA596" s="1305"/>
      <c r="BC596" s="169"/>
    </row>
    <row r="597" spans="19:55" ht="15.75" customHeight="1">
      <c r="S597" s="454"/>
      <c r="AN597" s="458"/>
      <c r="BA597" s="1305"/>
      <c r="BC597" s="169"/>
    </row>
    <row r="598" spans="19:55" ht="15.75" customHeight="1">
      <c r="S598" s="454"/>
      <c r="AN598" s="458"/>
      <c r="BA598" s="1305"/>
      <c r="BC598" s="169"/>
    </row>
    <row r="599" spans="19:55" ht="15.75" customHeight="1">
      <c r="S599" s="454"/>
      <c r="AN599" s="458"/>
      <c r="BA599" s="1305"/>
      <c r="BC599" s="169"/>
    </row>
    <row r="600" spans="19:55" ht="15.75" customHeight="1">
      <c r="S600" s="454"/>
      <c r="AN600" s="458"/>
      <c r="BA600" s="1305"/>
      <c r="BC600" s="169"/>
    </row>
    <row r="601" spans="19:55" ht="15.75" customHeight="1">
      <c r="S601" s="454"/>
      <c r="AN601" s="458"/>
      <c r="BA601" s="1305"/>
      <c r="BC601" s="169"/>
    </row>
    <row r="602" spans="19:55" ht="15.75" customHeight="1">
      <c r="S602" s="454"/>
      <c r="AN602" s="458"/>
      <c r="BA602" s="1305"/>
      <c r="BC602" s="169"/>
    </row>
    <row r="603" spans="19:55" ht="15.75" customHeight="1">
      <c r="S603" s="454"/>
      <c r="AN603" s="458"/>
      <c r="BA603" s="1305"/>
      <c r="BC603" s="169"/>
    </row>
    <row r="604" spans="19:55" ht="15.75" customHeight="1">
      <c r="S604" s="454"/>
      <c r="AN604" s="458"/>
      <c r="BA604" s="1305"/>
      <c r="BC604" s="169"/>
    </row>
    <row r="605" spans="19:55" ht="15.75" customHeight="1">
      <c r="S605" s="454"/>
      <c r="AN605" s="458"/>
      <c r="BA605" s="1305"/>
      <c r="BC605" s="169"/>
    </row>
    <row r="606" spans="19:55" ht="15.75" customHeight="1">
      <c r="S606" s="454"/>
      <c r="AN606" s="458"/>
      <c r="BA606" s="1305"/>
      <c r="BC606" s="169"/>
    </row>
    <row r="607" spans="19:55" ht="15.75" customHeight="1">
      <c r="S607" s="454"/>
      <c r="AN607" s="458"/>
      <c r="BA607" s="1305"/>
      <c r="BC607" s="169"/>
    </row>
    <row r="608" spans="19:55" ht="15.75" customHeight="1">
      <c r="S608" s="454"/>
      <c r="AN608" s="458"/>
      <c r="BA608" s="1305"/>
      <c r="BC608" s="169"/>
    </row>
    <row r="609" spans="19:55" ht="15.75" customHeight="1">
      <c r="S609" s="454"/>
      <c r="AN609" s="458"/>
      <c r="BA609" s="1305"/>
      <c r="BC609" s="169"/>
    </row>
    <row r="610" spans="19:55" ht="15.75" customHeight="1">
      <c r="S610" s="454"/>
      <c r="AN610" s="458"/>
      <c r="BA610" s="1305"/>
      <c r="BC610" s="169"/>
    </row>
    <row r="611" spans="19:55" ht="15.75" customHeight="1">
      <c r="S611" s="454"/>
      <c r="AN611" s="458"/>
      <c r="BA611" s="1305"/>
      <c r="BC611" s="169"/>
    </row>
    <row r="612" spans="19:55" ht="15.75" customHeight="1">
      <c r="S612" s="454"/>
      <c r="AN612" s="458"/>
      <c r="BA612" s="1305"/>
      <c r="BC612" s="169"/>
    </row>
    <row r="613" spans="19:55" ht="15.75" customHeight="1">
      <c r="S613" s="454"/>
      <c r="AN613" s="458"/>
      <c r="BA613" s="1305"/>
      <c r="BC613" s="169"/>
    </row>
    <row r="614" spans="19:55" ht="15.75" customHeight="1">
      <c r="S614" s="454"/>
      <c r="AN614" s="458"/>
      <c r="BA614" s="1305"/>
      <c r="BC614" s="169"/>
    </row>
    <row r="615" spans="19:55" ht="15.75" customHeight="1">
      <c r="S615" s="454"/>
      <c r="AN615" s="458"/>
      <c r="BA615" s="1305"/>
      <c r="BC615" s="169"/>
    </row>
    <row r="616" spans="19:55" ht="15.75" customHeight="1">
      <c r="S616" s="454"/>
      <c r="AN616" s="458"/>
      <c r="BA616" s="1305"/>
      <c r="BC616" s="169"/>
    </row>
    <row r="617" spans="19:55" ht="15.75" customHeight="1">
      <c r="S617" s="454"/>
      <c r="AN617" s="458"/>
      <c r="BA617" s="1305"/>
      <c r="BC617" s="169"/>
    </row>
    <row r="618" spans="19:55" ht="15.75" customHeight="1">
      <c r="S618" s="454"/>
      <c r="AN618" s="458"/>
      <c r="BA618" s="1305"/>
      <c r="BC618" s="169"/>
    </row>
    <row r="619" spans="19:55" ht="15.75" customHeight="1">
      <c r="S619" s="454"/>
      <c r="AN619" s="458"/>
      <c r="BA619" s="1305"/>
      <c r="BC619" s="169"/>
    </row>
    <row r="620" spans="19:55" ht="15.75" customHeight="1">
      <c r="S620" s="454"/>
      <c r="AN620" s="458"/>
      <c r="BA620" s="1305"/>
      <c r="BC620" s="169"/>
    </row>
    <row r="621" spans="19:55" ht="15.75" customHeight="1">
      <c r="S621" s="454"/>
      <c r="AN621" s="458"/>
      <c r="BA621" s="1305"/>
      <c r="BC621" s="169"/>
    </row>
    <row r="622" spans="19:55" ht="15.75" customHeight="1">
      <c r="S622" s="454"/>
      <c r="AN622" s="458"/>
      <c r="BA622" s="1305"/>
      <c r="BC622" s="169"/>
    </row>
    <row r="623" spans="19:55" ht="15.75" customHeight="1">
      <c r="S623" s="454"/>
      <c r="AN623" s="458"/>
      <c r="BA623" s="1305"/>
      <c r="BC623" s="169"/>
    </row>
    <row r="624" spans="19:55" ht="15.75" customHeight="1">
      <c r="S624" s="454"/>
      <c r="AN624" s="458"/>
      <c r="BA624" s="1305"/>
      <c r="BC624" s="169"/>
    </row>
    <row r="625" spans="19:55" ht="15.75" customHeight="1">
      <c r="S625" s="454"/>
      <c r="AN625" s="458"/>
      <c r="BA625" s="1305"/>
      <c r="BC625" s="169"/>
    </row>
    <row r="626" spans="19:55" ht="15.75" customHeight="1">
      <c r="S626" s="454"/>
      <c r="AN626" s="458"/>
      <c r="BA626" s="1305"/>
      <c r="BC626" s="169"/>
    </row>
    <row r="627" spans="19:55" ht="15.75" customHeight="1">
      <c r="S627" s="454"/>
      <c r="AN627" s="458"/>
      <c r="BA627" s="1305"/>
      <c r="BC627" s="169"/>
    </row>
    <row r="628" spans="19:55" ht="15.75" customHeight="1">
      <c r="S628" s="454"/>
      <c r="AN628" s="458"/>
      <c r="BA628" s="1305"/>
      <c r="BC628" s="169"/>
    </row>
    <row r="629" spans="19:55" ht="15.75" customHeight="1">
      <c r="S629" s="454"/>
      <c r="AN629" s="458"/>
      <c r="BA629" s="1305"/>
      <c r="BC629" s="169"/>
    </row>
    <row r="630" spans="19:55" ht="15.75" customHeight="1">
      <c r="S630" s="454"/>
      <c r="AN630" s="458"/>
      <c r="BA630" s="1305"/>
      <c r="BC630" s="169"/>
    </row>
    <row r="631" spans="19:55" ht="15.75" customHeight="1">
      <c r="S631" s="454"/>
      <c r="AN631" s="458"/>
      <c r="BA631" s="1305"/>
      <c r="BC631" s="169"/>
    </row>
    <row r="632" spans="19:55" ht="15.75" customHeight="1">
      <c r="S632" s="454"/>
      <c r="AN632" s="458"/>
      <c r="BA632" s="1305"/>
      <c r="BC632" s="169"/>
    </row>
    <row r="633" spans="19:55" ht="15.75" customHeight="1">
      <c r="S633" s="454"/>
      <c r="AN633" s="458"/>
      <c r="BA633" s="1305"/>
      <c r="BC633" s="169"/>
    </row>
    <row r="634" spans="19:55" ht="15.75" customHeight="1">
      <c r="S634" s="454"/>
      <c r="AN634" s="458"/>
      <c r="BA634" s="1305"/>
      <c r="BC634" s="169"/>
    </row>
    <row r="635" spans="19:55" ht="15.75" customHeight="1">
      <c r="S635" s="454"/>
      <c r="AN635" s="458"/>
      <c r="BA635" s="1305"/>
      <c r="BC635" s="169"/>
    </row>
    <row r="636" spans="19:55" ht="15.75" customHeight="1">
      <c r="S636" s="454"/>
      <c r="AN636" s="458"/>
      <c r="BA636" s="1305"/>
      <c r="BC636" s="169"/>
    </row>
    <row r="637" spans="19:55" ht="15.75" customHeight="1">
      <c r="S637" s="454"/>
      <c r="AN637" s="458"/>
      <c r="BA637" s="1305"/>
      <c r="BC637" s="169"/>
    </row>
    <row r="638" spans="19:55" ht="15.75" customHeight="1">
      <c r="S638" s="454"/>
      <c r="AN638" s="458"/>
      <c r="BA638" s="1305"/>
      <c r="BC638" s="169"/>
    </row>
    <row r="639" spans="19:55" ht="15.75" customHeight="1">
      <c r="S639" s="454"/>
      <c r="AN639" s="458"/>
      <c r="BA639" s="1305"/>
      <c r="BC639" s="169"/>
    </row>
    <row r="640" spans="19:55" ht="15.75" customHeight="1">
      <c r="S640" s="454"/>
      <c r="AN640" s="458"/>
      <c r="BA640" s="1305"/>
      <c r="BC640" s="169"/>
    </row>
    <row r="641" spans="19:55" ht="15.75" customHeight="1">
      <c r="S641" s="454"/>
      <c r="AN641" s="458"/>
      <c r="BA641" s="1305"/>
      <c r="BC641" s="169"/>
    </row>
    <row r="642" spans="19:55" ht="15.75" customHeight="1">
      <c r="S642" s="454"/>
      <c r="AN642" s="458"/>
      <c r="BA642" s="1305"/>
      <c r="BC642" s="169"/>
    </row>
    <row r="643" spans="19:55" ht="15.75" customHeight="1">
      <c r="S643" s="454"/>
      <c r="AN643" s="458"/>
      <c r="BA643" s="1305"/>
      <c r="BC643" s="169"/>
    </row>
    <row r="644" spans="19:55" ht="15.75" customHeight="1">
      <c r="S644" s="454"/>
      <c r="AN644" s="458"/>
      <c r="BA644" s="1305"/>
      <c r="BC644" s="169"/>
    </row>
    <row r="645" spans="19:55" ht="15.75" customHeight="1">
      <c r="S645" s="454"/>
      <c r="AN645" s="458"/>
      <c r="BA645" s="1305"/>
      <c r="BC645" s="169"/>
    </row>
    <row r="646" spans="19:55" ht="15.75" customHeight="1">
      <c r="S646" s="454"/>
      <c r="AN646" s="458"/>
      <c r="BA646" s="1305"/>
      <c r="BC646" s="169"/>
    </row>
    <row r="647" spans="19:55" ht="15.75" customHeight="1">
      <c r="S647" s="454"/>
      <c r="AN647" s="458"/>
      <c r="BA647" s="1305"/>
      <c r="BC647" s="169"/>
    </row>
    <row r="648" spans="19:55" ht="15.75" customHeight="1">
      <c r="S648" s="454"/>
      <c r="AN648" s="458"/>
      <c r="BA648" s="1305"/>
      <c r="BC648" s="169"/>
    </row>
    <row r="649" spans="19:55" ht="15.75" customHeight="1">
      <c r="S649" s="454"/>
      <c r="AN649" s="458"/>
      <c r="BA649" s="1305"/>
      <c r="BC649" s="169"/>
    </row>
    <row r="650" spans="19:55" ht="15.75" customHeight="1">
      <c r="S650" s="454"/>
      <c r="AN650" s="458"/>
      <c r="BA650" s="1305"/>
      <c r="BC650" s="169"/>
    </row>
    <row r="651" spans="19:55" ht="15.75" customHeight="1">
      <c r="S651" s="454"/>
      <c r="AN651" s="458"/>
      <c r="BA651" s="1305"/>
      <c r="BC651" s="169"/>
    </row>
    <row r="652" spans="19:55" ht="15.75" customHeight="1">
      <c r="S652" s="454"/>
      <c r="AN652" s="458"/>
      <c r="BA652" s="1305"/>
      <c r="BC652" s="169"/>
    </row>
    <row r="653" spans="19:55" ht="15.75" customHeight="1">
      <c r="S653" s="454"/>
      <c r="AN653" s="458"/>
      <c r="BA653" s="1305"/>
      <c r="BC653" s="169"/>
    </row>
    <row r="654" spans="19:55" ht="15.75" customHeight="1">
      <c r="S654" s="454"/>
      <c r="AN654" s="458"/>
      <c r="BA654" s="1305"/>
      <c r="BC654" s="169"/>
    </row>
    <row r="655" spans="19:55" ht="15.75" customHeight="1">
      <c r="S655" s="454"/>
      <c r="AN655" s="458"/>
      <c r="BA655" s="1305"/>
      <c r="BC655" s="169"/>
    </row>
    <row r="656" spans="19:55" ht="15.75" customHeight="1">
      <c r="S656" s="454"/>
      <c r="AN656" s="458"/>
      <c r="BA656" s="1305"/>
      <c r="BC656" s="169"/>
    </row>
    <row r="657" spans="19:55" ht="15.75" customHeight="1">
      <c r="S657" s="454"/>
      <c r="AN657" s="458"/>
      <c r="BA657" s="1305"/>
      <c r="BC657" s="169"/>
    </row>
    <row r="658" spans="19:55" ht="15.75" customHeight="1">
      <c r="S658" s="454"/>
      <c r="AN658" s="458"/>
      <c r="BA658" s="1305"/>
      <c r="BC658" s="169"/>
    </row>
    <row r="659" spans="19:55" ht="15.75" customHeight="1">
      <c r="S659" s="454"/>
      <c r="AN659" s="458"/>
      <c r="BA659" s="1305"/>
      <c r="BC659" s="169"/>
    </row>
    <row r="660" spans="19:55" ht="15.75" customHeight="1">
      <c r="S660" s="454"/>
      <c r="AN660" s="458"/>
      <c r="BA660" s="1305"/>
      <c r="BC660" s="169"/>
    </row>
    <row r="661" spans="19:55" ht="15.75" customHeight="1">
      <c r="S661" s="454"/>
      <c r="AN661" s="458"/>
      <c r="BA661" s="1305"/>
      <c r="BC661" s="169"/>
    </row>
    <row r="662" spans="19:55" ht="15.75" customHeight="1">
      <c r="S662" s="454"/>
      <c r="AN662" s="458"/>
      <c r="BA662" s="1305"/>
      <c r="BC662" s="169"/>
    </row>
    <row r="663" spans="19:55" ht="15.75" customHeight="1">
      <c r="S663" s="454"/>
      <c r="AN663" s="458"/>
      <c r="BA663" s="1305"/>
      <c r="BC663" s="169"/>
    </row>
    <row r="664" spans="19:55" ht="15.75" customHeight="1">
      <c r="S664" s="454"/>
      <c r="AN664" s="458"/>
      <c r="BA664" s="1305"/>
      <c r="BC664" s="169"/>
    </row>
    <row r="665" spans="19:55" ht="15.75" customHeight="1">
      <c r="S665" s="454"/>
      <c r="AN665" s="458"/>
      <c r="BA665" s="1305"/>
      <c r="BC665" s="169"/>
    </row>
    <row r="666" spans="19:55" ht="15.75" customHeight="1">
      <c r="S666" s="454"/>
      <c r="AN666" s="458"/>
      <c r="BA666" s="1305"/>
      <c r="BC666" s="169"/>
    </row>
    <row r="667" spans="19:55" ht="15.75" customHeight="1">
      <c r="S667" s="454"/>
      <c r="AN667" s="458"/>
      <c r="BA667" s="1305"/>
      <c r="BC667" s="169"/>
    </row>
    <row r="668" spans="19:55" ht="15.75" customHeight="1">
      <c r="S668" s="454"/>
      <c r="AN668" s="458"/>
      <c r="BA668" s="1305"/>
      <c r="BC668" s="169"/>
    </row>
    <row r="669" spans="19:55" ht="15.75" customHeight="1">
      <c r="S669" s="454"/>
      <c r="AN669" s="458"/>
      <c r="BA669" s="1305"/>
      <c r="BC669" s="169"/>
    </row>
    <row r="670" spans="19:55" ht="15.75" customHeight="1">
      <c r="S670" s="454"/>
      <c r="AN670" s="458"/>
      <c r="BA670" s="1305"/>
      <c r="BC670" s="169"/>
    </row>
    <row r="671" spans="19:55" ht="15.75" customHeight="1">
      <c r="S671" s="454"/>
      <c r="AN671" s="458"/>
      <c r="BA671" s="1305"/>
      <c r="BC671" s="169"/>
    </row>
    <row r="672" spans="19:55" ht="15.75" customHeight="1">
      <c r="S672" s="454"/>
      <c r="AN672" s="458"/>
      <c r="BA672" s="1305"/>
      <c r="BC672" s="169"/>
    </row>
    <row r="673" spans="19:55" ht="15.75" customHeight="1">
      <c r="S673" s="454"/>
      <c r="AN673" s="458"/>
      <c r="BA673" s="1305"/>
      <c r="BC673" s="169"/>
    </row>
    <row r="674" spans="19:55" ht="15.75" customHeight="1">
      <c r="S674" s="454"/>
      <c r="AN674" s="458"/>
      <c r="BA674" s="1305"/>
      <c r="BC674" s="169"/>
    </row>
    <row r="675" spans="19:55" ht="15.75" customHeight="1">
      <c r="S675" s="454"/>
      <c r="AN675" s="458"/>
      <c r="BA675" s="1305"/>
      <c r="BC675" s="169"/>
    </row>
    <row r="676" spans="19:55" ht="15.75" customHeight="1">
      <c r="S676" s="454"/>
      <c r="AN676" s="458"/>
      <c r="BA676" s="1305"/>
      <c r="BC676" s="169"/>
    </row>
    <row r="677" spans="19:55" ht="15.75" customHeight="1">
      <c r="S677" s="454"/>
      <c r="AN677" s="458"/>
      <c r="BA677" s="1305"/>
      <c r="BC677" s="169"/>
    </row>
    <row r="678" spans="19:55" ht="15.75" customHeight="1">
      <c r="S678" s="454"/>
      <c r="AN678" s="458"/>
      <c r="BA678" s="1305"/>
      <c r="BC678" s="169"/>
    </row>
    <row r="679" spans="19:55" ht="15.75" customHeight="1">
      <c r="S679" s="454"/>
      <c r="AN679" s="458"/>
      <c r="BA679" s="1305"/>
      <c r="BC679" s="169"/>
    </row>
    <row r="680" spans="19:55" ht="15.75" customHeight="1">
      <c r="S680" s="454"/>
      <c r="AN680" s="458"/>
      <c r="BA680" s="1305"/>
      <c r="BC680" s="169"/>
    </row>
    <row r="681" spans="19:55" ht="15.75" customHeight="1">
      <c r="S681" s="454"/>
      <c r="AN681" s="458"/>
      <c r="BA681" s="1305"/>
      <c r="BC681" s="169"/>
    </row>
    <row r="682" spans="19:55" ht="15.75" customHeight="1">
      <c r="S682" s="454"/>
      <c r="AN682" s="458"/>
      <c r="BA682" s="1305"/>
      <c r="BC682" s="169"/>
    </row>
    <row r="683" spans="19:55" ht="15.75" customHeight="1">
      <c r="S683" s="454"/>
      <c r="AN683" s="458"/>
      <c r="BA683" s="1305"/>
      <c r="BC683" s="169"/>
    </row>
    <row r="684" spans="19:55" ht="15.75" customHeight="1">
      <c r="S684" s="454"/>
      <c r="AN684" s="458"/>
      <c r="BA684" s="1305"/>
      <c r="BC684" s="169"/>
    </row>
    <row r="685" spans="19:55" ht="15.75" customHeight="1">
      <c r="S685" s="454"/>
      <c r="AN685" s="458"/>
      <c r="BA685" s="1305"/>
      <c r="BC685" s="169"/>
    </row>
    <row r="686" spans="19:55" ht="15.75" customHeight="1">
      <c r="S686" s="454"/>
      <c r="AN686" s="458"/>
      <c r="BA686" s="1305"/>
      <c r="BC686" s="169"/>
    </row>
    <row r="687" spans="19:55" ht="15.75" customHeight="1">
      <c r="S687" s="454"/>
      <c r="AN687" s="458"/>
      <c r="BA687" s="1305"/>
      <c r="BC687" s="169"/>
    </row>
    <row r="688" spans="19:55" ht="15.75" customHeight="1">
      <c r="S688" s="454"/>
      <c r="AN688" s="458"/>
      <c r="BA688" s="1305"/>
      <c r="BC688" s="169"/>
    </row>
    <row r="689" spans="19:55" ht="15.75" customHeight="1">
      <c r="S689" s="454"/>
      <c r="AN689" s="458"/>
      <c r="BA689" s="1305"/>
      <c r="BC689" s="169"/>
    </row>
    <row r="690" spans="19:55" ht="15.75" customHeight="1">
      <c r="S690" s="454"/>
      <c r="AN690" s="458"/>
      <c r="BA690" s="1305"/>
      <c r="BC690" s="169"/>
    </row>
    <row r="691" spans="19:55" ht="15.75" customHeight="1">
      <c r="S691" s="454"/>
      <c r="AN691" s="458"/>
      <c r="BA691" s="1305"/>
      <c r="BC691" s="169"/>
    </row>
    <row r="692" spans="19:55" ht="15.75" customHeight="1">
      <c r="S692" s="454"/>
      <c r="AN692" s="458"/>
      <c r="BA692" s="1305"/>
      <c r="BC692" s="169"/>
    </row>
    <row r="693" spans="19:55" ht="15.75" customHeight="1">
      <c r="S693" s="454"/>
      <c r="AN693" s="458"/>
      <c r="BA693" s="1305"/>
      <c r="BC693" s="169"/>
    </row>
    <row r="694" spans="19:55" ht="15.75" customHeight="1">
      <c r="S694" s="454"/>
      <c r="AN694" s="458"/>
      <c r="BA694" s="1305"/>
      <c r="BC694" s="169"/>
    </row>
    <row r="695" spans="19:55" ht="15.75" customHeight="1">
      <c r="S695" s="454"/>
      <c r="AN695" s="458"/>
      <c r="BA695" s="1305"/>
      <c r="BC695" s="169"/>
    </row>
    <row r="696" spans="19:55" ht="15.75" customHeight="1">
      <c r="S696" s="454"/>
      <c r="AN696" s="458"/>
      <c r="BA696" s="1305"/>
      <c r="BC696" s="169"/>
    </row>
    <row r="697" spans="19:55" ht="15.75" customHeight="1">
      <c r="S697" s="454"/>
      <c r="AN697" s="458"/>
      <c r="BA697" s="1305"/>
      <c r="BC697" s="169"/>
    </row>
    <row r="698" spans="19:55" ht="15.75" customHeight="1">
      <c r="S698" s="454"/>
      <c r="AN698" s="458"/>
      <c r="BA698" s="1305"/>
      <c r="BC698" s="169"/>
    </row>
    <row r="699" spans="19:55" ht="15.75" customHeight="1">
      <c r="S699" s="454"/>
      <c r="AN699" s="458"/>
      <c r="BA699" s="1305"/>
      <c r="BC699" s="169"/>
    </row>
    <row r="700" spans="19:55" ht="15.75" customHeight="1">
      <c r="S700" s="454"/>
      <c r="AN700" s="458"/>
      <c r="BA700" s="1305"/>
      <c r="BC700" s="169"/>
    </row>
    <row r="701" spans="19:55" ht="15.75" customHeight="1">
      <c r="S701" s="454"/>
      <c r="AN701" s="458"/>
      <c r="BA701" s="1305"/>
      <c r="BC701" s="169"/>
    </row>
    <row r="702" spans="19:55" ht="15.75" customHeight="1">
      <c r="S702" s="454"/>
      <c r="AN702" s="458"/>
      <c r="BA702" s="1305"/>
      <c r="BC702" s="169"/>
    </row>
    <row r="703" spans="19:55" ht="15.75" customHeight="1">
      <c r="S703" s="454"/>
      <c r="AN703" s="458"/>
      <c r="BA703" s="1305"/>
      <c r="BC703" s="169"/>
    </row>
    <row r="704" spans="19:55" ht="15.75" customHeight="1">
      <c r="S704" s="454"/>
      <c r="AN704" s="458"/>
      <c r="BA704" s="1305"/>
      <c r="BC704" s="169"/>
    </row>
    <row r="705" spans="19:55" ht="15.75" customHeight="1">
      <c r="S705" s="454"/>
      <c r="AN705" s="458"/>
      <c r="BA705" s="1305"/>
      <c r="BC705" s="169"/>
    </row>
    <row r="706" spans="19:55" ht="15.75" customHeight="1">
      <c r="S706" s="454"/>
      <c r="AN706" s="458"/>
      <c r="BA706" s="1305"/>
      <c r="BC706" s="169"/>
    </row>
    <row r="707" spans="19:55" ht="15.75" customHeight="1">
      <c r="S707" s="454"/>
      <c r="AN707" s="458"/>
      <c r="BA707" s="1305"/>
      <c r="BC707" s="169"/>
    </row>
    <row r="708" spans="19:55" ht="15.75" customHeight="1">
      <c r="S708" s="454"/>
      <c r="AN708" s="458"/>
      <c r="BA708" s="1305"/>
      <c r="BC708" s="169"/>
    </row>
    <row r="709" spans="19:55" ht="15.75" customHeight="1">
      <c r="S709" s="454"/>
      <c r="AN709" s="458"/>
      <c r="BA709" s="1305"/>
      <c r="BC709" s="169"/>
    </row>
    <row r="710" spans="19:55" ht="15.75" customHeight="1">
      <c r="S710" s="454"/>
      <c r="AN710" s="458"/>
      <c r="BA710" s="1305"/>
      <c r="BC710" s="169"/>
    </row>
    <row r="711" spans="19:55" ht="15.75" customHeight="1">
      <c r="S711" s="454"/>
      <c r="AN711" s="458"/>
      <c r="BA711" s="1305"/>
      <c r="BC711" s="169"/>
    </row>
    <row r="712" spans="19:55" ht="15.75" customHeight="1">
      <c r="S712" s="454"/>
      <c r="AN712" s="458"/>
      <c r="BA712" s="1305"/>
      <c r="BC712" s="169"/>
    </row>
    <row r="713" spans="19:55" ht="15.75" customHeight="1">
      <c r="S713" s="454"/>
      <c r="AN713" s="458"/>
      <c r="BA713" s="1305"/>
      <c r="BC713" s="169"/>
    </row>
    <row r="714" spans="19:55" ht="15.75" customHeight="1">
      <c r="S714" s="454"/>
      <c r="AN714" s="458"/>
      <c r="BA714" s="1305"/>
      <c r="BC714" s="169"/>
    </row>
    <row r="715" spans="19:55" ht="15.75" customHeight="1">
      <c r="S715" s="454"/>
      <c r="AN715" s="458"/>
      <c r="BA715" s="1305"/>
      <c r="BC715" s="169"/>
    </row>
    <row r="716" spans="19:55" ht="15.75" customHeight="1">
      <c r="S716" s="454"/>
      <c r="AN716" s="458"/>
      <c r="BA716" s="1305"/>
      <c r="BC716" s="169"/>
    </row>
    <row r="717" spans="19:55" ht="15.75" customHeight="1">
      <c r="S717" s="454"/>
      <c r="AN717" s="458"/>
      <c r="BA717" s="1305"/>
      <c r="BC717" s="169"/>
    </row>
    <row r="718" spans="19:55" ht="15.75" customHeight="1">
      <c r="S718" s="454"/>
      <c r="AN718" s="458"/>
      <c r="BA718" s="1305"/>
      <c r="BC718" s="169"/>
    </row>
    <row r="719" spans="19:55" ht="15.75" customHeight="1">
      <c r="S719" s="454"/>
      <c r="AN719" s="458"/>
      <c r="BA719" s="1305"/>
      <c r="BC719" s="169"/>
    </row>
    <row r="720" spans="19:55" ht="15.75" customHeight="1">
      <c r="S720" s="454"/>
      <c r="AN720" s="458"/>
      <c r="BA720" s="1305"/>
      <c r="BC720" s="169"/>
    </row>
    <row r="721" spans="19:55" ht="15.75" customHeight="1">
      <c r="S721" s="454"/>
      <c r="AN721" s="458"/>
      <c r="BA721" s="1305"/>
      <c r="BC721" s="169"/>
    </row>
    <row r="722" spans="19:55" ht="15.75" customHeight="1">
      <c r="S722" s="454"/>
      <c r="AN722" s="458"/>
      <c r="BA722" s="1305"/>
      <c r="BC722" s="169"/>
    </row>
    <row r="723" spans="19:55" ht="15.75" customHeight="1">
      <c r="S723" s="454"/>
      <c r="AN723" s="458"/>
      <c r="BA723" s="1305"/>
      <c r="BC723" s="169"/>
    </row>
    <row r="724" spans="19:55" ht="15.75" customHeight="1">
      <c r="S724" s="454"/>
      <c r="AN724" s="458"/>
      <c r="BA724" s="1305"/>
      <c r="BC724" s="169"/>
    </row>
    <row r="725" spans="19:55" ht="15.75" customHeight="1">
      <c r="S725" s="454"/>
      <c r="AN725" s="458"/>
      <c r="BA725" s="1305"/>
      <c r="BC725" s="169"/>
    </row>
    <row r="726" spans="19:55" ht="15.75" customHeight="1">
      <c r="S726" s="454"/>
      <c r="AN726" s="458"/>
      <c r="BA726" s="1305"/>
      <c r="BC726" s="169"/>
    </row>
    <row r="727" spans="19:55" ht="15.75" customHeight="1">
      <c r="S727" s="454"/>
      <c r="AN727" s="458"/>
      <c r="BA727" s="1305"/>
      <c r="BC727" s="169"/>
    </row>
    <row r="728" spans="19:55" ht="15.75" customHeight="1">
      <c r="S728" s="454"/>
      <c r="AN728" s="458"/>
      <c r="BA728" s="1305"/>
      <c r="BC728" s="169"/>
    </row>
    <row r="729" spans="19:55" ht="15.75" customHeight="1">
      <c r="S729" s="454"/>
      <c r="AN729" s="458"/>
      <c r="BA729" s="1305"/>
      <c r="BC729" s="169"/>
    </row>
    <row r="730" spans="19:55" ht="15.75" customHeight="1">
      <c r="S730" s="454"/>
      <c r="AN730" s="458"/>
      <c r="BA730" s="1305"/>
      <c r="BC730" s="169"/>
    </row>
    <row r="731" spans="19:55" ht="15.75" customHeight="1">
      <c r="S731" s="454"/>
      <c r="AN731" s="458"/>
      <c r="BA731" s="1305"/>
      <c r="BC731" s="169"/>
    </row>
    <row r="732" spans="19:55" ht="15.75" customHeight="1">
      <c r="S732" s="454"/>
      <c r="AN732" s="458"/>
      <c r="BA732" s="1305"/>
      <c r="BC732" s="169"/>
    </row>
    <row r="733" spans="19:55" ht="15.75" customHeight="1">
      <c r="S733" s="454"/>
      <c r="AN733" s="458"/>
      <c r="BA733" s="1305"/>
      <c r="BC733" s="169"/>
    </row>
    <row r="734" spans="19:55" ht="15.75" customHeight="1">
      <c r="S734" s="454"/>
      <c r="AN734" s="458"/>
      <c r="BA734" s="1305"/>
      <c r="BC734" s="169"/>
    </row>
    <row r="735" spans="19:55" ht="15.75" customHeight="1">
      <c r="S735" s="454"/>
      <c r="AN735" s="458"/>
      <c r="BA735" s="1305"/>
      <c r="BC735" s="169"/>
    </row>
    <row r="736" spans="19:55" ht="15.75" customHeight="1">
      <c r="S736" s="454"/>
      <c r="AN736" s="458"/>
      <c r="BA736" s="1305"/>
      <c r="BC736" s="169"/>
    </row>
    <row r="737" spans="19:55" ht="15.75" customHeight="1">
      <c r="S737" s="454"/>
      <c r="AN737" s="458"/>
      <c r="BA737" s="1305"/>
      <c r="BC737" s="169"/>
    </row>
    <row r="738" spans="19:55" ht="15.75" customHeight="1">
      <c r="S738" s="454"/>
      <c r="AN738" s="458"/>
      <c r="BA738" s="1305"/>
      <c r="BC738" s="169"/>
    </row>
    <row r="739" spans="19:55" ht="15.75" customHeight="1">
      <c r="S739" s="454"/>
      <c r="AN739" s="458"/>
      <c r="BA739" s="1305"/>
      <c r="BC739" s="169"/>
    </row>
    <row r="740" spans="19:55" ht="15.75" customHeight="1">
      <c r="S740" s="454"/>
      <c r="AN740" s="458"/>
      <c r="BA740" s="1305"/>
      <c r="BC740" s="169"/>
    </row>
    <row r="741" spans="19:55" ht="15.75" customHeight="1">
      <c r="S741" s="454"/>
      <c r="AN741" s="458"/>
      <c r="BA741" s="1305"/>
      <c r="BC741" s="169"/>
    </row>
    <row r="742" spans="19:55" ht="15.75" customHeight="1">
      <c r="S742" s="454"/>
      <c r="AN742" s="458"/>
      <c r="BA742" s="1305"/>
      <c r="BC742" s="169"/>
    </row>
    <row r="743" spans="19:55" ht="15.75" customHeight="1">
      <c r="S743" s="454"/>
      <c r="AN743" s="458"/>
      <c r="BA743" s="1305"/>
      <c r="BC743" s="169"/>
    </row>
    <row r="744" spans="19:55" ht="15.75" customHeight="1">
      <c r="S744" s="454"/>
      <c r="AN744" s="458"/>
      <c r="BA744" s="1305"/>
      <c r="BC744" s="169"/>
    </row>
    <row r="745" spans="19:55" ht="15.75" customHeight="1">
      <c r="S745" s="454"/>
      <c r="AN745" s="458"/>
      <c r="BA745" s="1305"/>
      <c r="BC745" s="169"/>
    </row>
    <row r="746" spans="19:55" ht="15.75" customHeight="1">
      <c r="S746" s="454"/>
      <c r="AN746" s="458"/>
      <c r="BA746" s="1305"/>
      <c r="BC746" s="169"/>
    </row>
    <row r="747" spans="19:55" ht="15.75" customHeight="1">
      <c r="S747" s="454"/>
      <c r="AN747" s="458"/>
      <c r="BA747" s="1305"/>
      <c r="BC747" s="169"/>
    </row>
    <row r="748" spans="19:55" ht="15.75" customHeight="1">
      <c r="S748" s="454"/>
      <c r="AN748" s="458"/>
      <c r="BA748" s="1305"/>
      <c r="BC748" s="169"/>
    </row>
    <row r="749" spans="19:55" ht="15.75" customHeight="1">
      <c r="S749" s="454"/>
      <c r="AN749" s="458"/>
      <c r="BA749" s="1305"/>
      <c r="BC749" s="169"/>
    </row>
    <row r="750" spans="19:55" ht="15.75" customHeight="1">
      <c r="S750" s="454"/>
      <c r="AN750" s="458"/>
      <c r="BA750" s="1305"/>
      <c r="BC750" s="169"/>
    </row>
    <row r="751" spans="19:55" ht="15.75" customHeight="1">
      <c r="S751" s="454"/>
      <c r="AN751" s="458"/>
      <c r="BA751" s="1305"/>
      <c r="BC751" s="169"/>
    </row>
    <row r="752" spans="19:55" ht="15.75" customHeight="1">
      <c r="S752" s="454"/>
      <c r="AN752" s="458"/>
      <c r="BA752" s="1305"/>
      <c r="BC752" s="169"/>
    </row>
    <row r="753" spans="19:55" ht="15.75" customHeight="1">
      <c r="S753" s="454"/>
      <c r="AN753" s="458"/>
      <c r="BA753" s="1305"/>
      <c r="BC753" s="169"/>
    </row>
    <row r="754" spans="19:55" ht="15.75" customHeight="1">
      <c r="S754" s="454"/>
      <c r="AN754" s="458"/>
      <c r="BA754" s="1305"/>
      <c r="BC754" s="169"/>
    </row>
    <row r="755" spans="19:55" ht="15.75" customHeight="1">
      <c r="S755" s="454"/>
      <c r="AN755" s="458"/>
      <c r="BA755" s="1305"/>
      <c r="BC755" s="169"/>
    </row>
    <row r="756" spans="19:55" ht="15.75" customHeight="1">
      <c r="S756" s="454"/>
      <c r="AN756" s="458"/>
      <c r="BA756" s="1305"/>
      <c r="BC756" s="169"/>
    </row>
    <row r="757" spans="19:55" ht="15.75" customHeight="1">
      <c r="S757" s="454"/>
      <c r="AN757" s="458"/>
      <c r="BA757" s="1305"/>
      <c r="BC757" s="169"/>
    </row>
    <row r="758" spans="19:55" ht="15.75" customHeight="1">
      <c r="S758" s="454"/>
      <c r="AN758" s="458"/>
      <c r="BA758" s="1305"/>
      <c r="BC758" s="169"/>
    </row>
    <row r="759" spans="19:55" ht="15.75" customHeight="1">
      <c r="S759" s="454"/>
      <c r="AN759" s="458"/>
      <c r="BA759" s="1305"/>
      <c r="BC759" s="169"/>
    </row>
    <row r="760" spans="19:55" ht="15.75" customHeight="1">
      <c r="S760" s="454"/>
      <c r="AN760" s="458"/>
      <c r="BA760" s="1305"/>
      <c r="BC760" s="169"/>
    </row>
    <row r="761" spans="19:55" ht="15.75" customHeight="1">
      <c r="S761" s="454"/>
      <c r="AN761" s="458"/>
      <c r="BA761" s="1305"/>
      <c r="BC761" s="169"/>
    </row>
    <row r="762" spans="19:55" ht="15.75" customHeight="1">
      <c r="S762" s="454"/>
      <c r="AN762" s="458"/>
      <c r="BA762" s="1305"/>
      <c r="BC762" s="169"/>
    </row>
    <row r="763" spans="19:55" ht="15.75" customHeight="1">
      <c r="S763" s="454"/>
      <c r="AN763" s="458"/>
      <c r="BA763" s="1305"/>
      <c r="BC763" s="169"/>
    </row>
    <row r="764" spans="19:55" ht="15.75" customHeight="1">
      <c r="S764" s="454"/>
      <c r="AN764" s="458"/>
      <c r="BA764" s="1305"/>
      <c r="BC764" s="169"/>
    </row>
    <row r="765" spans="19:55" ht="15.75" customHeight="1">
      <c r="S765" s="454"/>
      <c r="AN765" s="458"/>
      <c r="BA765" s="1305"/>
      <c r="BC765" s="169"/>
    </row>
    <row r="766" spans="19:55" ht="15.75" customHeight="1">
      <c r="S766" s="454"/>
      <c r="AN766" s="458"/>
      <c r="BA766" s="1305"/>
      <c r="BC766" s="169"/>
    </row>
    <row r="767" spans="19:55" ht="15.75" customHeight="1">
      <c r="S767" s="454"/>
      <c r="AN767" s="458"/>
      <c r="BA767" s="1305"/>
      <c r="BC767" s="169"/>
    </row>
    <row r="768" spans="19:55" ht="15.75" customHeight="1">
      <c r="S768" s="454"/>
      <c r="AN768" s="458"/>
      <c r="BA768" s="1305"/>
      <c r="BC768" s="169"/>
    </row>
    <row r="769" spans="19:55" ht="15.75" customHeight="1">
      <c r="S769" s="454"/>
      <c r="AN769" s="458"/>
      <c r="BA769" s="1305"/>
      <c r="BC769" s="169"/>
    </row>
    <row r="770" spans="19:55" ht="15.75" customHeight="1">
      <c r="S770" s="454"/>
      <c r="AN770" s="458"/>
      <c r="BA770" s="1305"/>
      <c r="BC770" s="169"/>
    </row>
    <row r="771" spans="19:55" ht="15.75" customHeight="1">
      <c r="S771" s="454"/>
      <c r="AN771" s="458"/>
      <c r="BA771" s="1305"/>
      <c r="BC771" s="169"/>
    </row>
    <row r="772" spans="19:55" ht="15.75" customHeight="1">
      <c r="S772" s="454"/>
      <c r="AN772" s="458"/>
      <c r="BA772" s="1305"/>
      <c r="BC772" s="169"/>
    </row>
    <row r="773" spans="19:55" ht="15.75" customHeight="1">
      <c r="S773" s="454"/>
      <c r="AN773" s="458"/>
      <c r="BA773" s="1305"/>
      <c r="BC773" s="169"/>
    </row>
    <row r="774" spans="19:55" ht="15.75" customHeight="1">
      <c r="S774" s="454"/>
      <c r="AN774" s="458"/>
      <c r="BA774" s="1305"/>
      <c r="BC774" s="169"/>
    </row>
    <row r="775" spans="19:55" ht="15.75" customHeight="1">
      <c r="S775" s="454"/>
      <c r="AN775" s="458"/>
      <c r="BA775" s="1305"/>
      <c r="BC775" s="169"/>
    </row>
    <row r="776" spans="19:55" ht="15.75" customHeight="1">
      <c r="S776" s="454"/>
      <c r="AN776" s="458"/>
      <c r="BA776" s="1305"/>
      <c r="BC776" s="169"/>
    </row>
    <row r="777" spans="19:55" ht="15.75" customHeight="1">
      <c r="S777" s="454"/>
      <c r="AN777" s="458"/>
      <c r="BA777" s="1305"/>
      <c r="BC777" s="169"/>
    </row>
    <row r="778" spans="19:55" ht="15.75" customHeight="1">
      <c r="S778" s="454"/>
      <c r="AN778" s="458"/>
      <c r="BA778" s="1305"/>
      <c r="BC778" s="169"/>
    </row>
    <row r="779" spans="19:55" ht="15.75" customHeight="1">
      <c r="S779" s="454"/>
      <c r="AN779" s="458"/>
      <c r="BA779" s="1305"/>
      <c r="BC779" s="169"/>
    </row>
    <row r="780" spans="19:55" ht="15.75" customHeight="1">
      <c r="S780" s="454"/>
      <c r="AN780" s="458"/>
      <c r="BA780" s="1305"/>
      <c r="BC780" s="169"/>
    </row>
    <row r="781" spans="19:55" ht="15.75" customHeight="1">
      <c r="S781" s="454"/>
      <c r="AN781" s="458"/>
      <c r="BA781" s="1305"/>
      <c r="BC781" s="169"/>
    </row>
    <row r="782" spans="19:55" ht="15.75" customHeight="1">
      <c r="S782" s="454"/>
      <c r="AN782" s="458"/>
      <c r="BA782" s="1305"/>
      <c r="BC782" s="169"/>
    </row>
    <row r="783" spans="19:55" ht="15.75" customHeight="1">
      <c r="S783" s="454"/>
      <c r="AN783" s="458"/>
      <c r="BA783" s="1305"/>
      <c r="BC783" s="169"/>
    </row>
    <row r="784" spans="19:55" ht="15.75" customHeight="1">
      <c r="S784" s="454"/>
      <c r="AN784" s="458"/>
      <c r="BA784" s="1305"/>
      <c r="BC784" s="169"/>
    </row>
    <row r="785" spans="19:55" ht="15.75" customHeight="1">
      <c r="S785" s="454"/>
      <c r="AN785" s="458"/>
      <c r="BA785" s="1305"/>
      <c r="BC785" s="169"/>
    </row>
    <row r="786" spans="19:55" ht="15.75" customHeight="1">
      <c r="S786" s="454"/>
      <c r="AN786" s="458"/>
      <c r="BA786" s="1305"/>
      <c r="BC786" s="169"/>
    </row>
    <row r="787" spans="19:55" ht="15.75" customHeight="1">
      <c r="S787" s="454"/>
      <c r="AN787" s="458"/>
      <c r="BA787" s="1305"/>
      <c r="BC787" s="169"/>
    </row>
    <row r="788" spans="19:55" ht="15.75" customHeight="1">
      <c r="S788" s="454"/>
      <c r="AN788" s="458"/>
      <c r="BA788" s="1305"/>
      <c r="BC788" s="169"/>
    </row>
    <row r="789" spans="19:55" ht="15.75" customHeight="1">
      <c r="S789" s="454"/>
      <c r="AN789" s="458"/>
      <c r="BA789" s="1305"/>
      <c r="BC789" s="169"/>
    </row>
    <row r="790" spans="19:55" ht="15.75" customHeight="1">
      <c r="S790" s="454"/>
      <c r="AN790" s="458"/>
      <c r="BA790" s="1305"/>
      <c r="BC790" s="169"/>
    </row>
    <row r="791" spans="19:55" ht="15.75" customHeight="1">
      <c r="S791" s="454"/>
      <c r="AN791" s="458"/>
      <c r="BA791" s="1305"/>
      <c r="BC791" s="169"/>
    </row>
    <row r="792" spans="19:55" ht="15.75" customHeight="1">
      <c r="S792" s="454"/>
      <c r="AN792" s="458"/>
      <c r="BA792" s="1305"/>
      <c r="BC792" s="169"/>
    </row>
    <row r="793" spans="19:55" ht="15.75" customHeight="1">
      <c r="S793" s="454"/>
      <c r="AN793" s="458"/>
      <c r="BA793" s="1305"/>
      <c r="BC793" s="169"/>
    </row>
    <row r="794" spans="19:55" ht="15.75" customHeight="1">
      <c r="S794" s="454"/>
      <c r="AN794" s="458"/>
      <c r="BA794" s="1305"/>
      <c r="BC794" s="169"/>
    </row>
    <row r="795" spans="19:55" ht="15.75" customHeight="1">
      <c r="S795" s="454"/>
      <c r="AN795" s="458"/>
      <c r="BA795" s="1305"/>
      <c r="BC795" s="169"/>
    </row>
    <row r="796" spans="19:55" ht="15.75" customHeight="1">
      <c r="S796" s="454"/>
      <c r="AN796" s="458"/>
      <c r="BA796" s="1305"/>
      <c r="BC796" s="169"/>
    </row>
    <row r="797" spans="19:55" ht="15.75" customHeight="1">
      <c r="S797" s="454"/>
      <c r="AN797" s="458"/>
      <c r="BA797" s="1305"/>
      <c r="BC797" s="169"/>
    </row>
    <row r="798" spans="19:55" ht="15.75" customHeight="1">
      <c r="S798" s="454"/>
      <c r="AN798" s="458"/>
      <c r="BA798" s="1305"/>
      <c r="BC798" s="169"/>
    </row>
    <row r="799" spans="19:55" ht="15.75" customHeight="1">
      <c r="S799" s="454"/>
      <c r="AN799" s="458"/>
      <c r="BA799" s="1305"/>
      <c r="BC799" s="169"/>
    </row>
    <row r="800" spans="19:55" ht="15.75" customHeight="1">
      <c r="S800" s="454"/>
      <c r="AN800" s="458"/>
      <c r="BA800" s="1305"/>
      <c r="BC800" s="169"/>
    </row>
    <row r="801" spans="19:55" ht="15.75" customHeight="1">
      <c r="S801" s="454"/>
      <c r="AN801" s="458"/>
      <c r="BA801" s="1305"/>
      <c r="BC801" s="169"/>
    </row>
    <row r="802" spans="19:55" ht="15.75" customHeight="1">
      <c r="S802" s="454"/>
      <c r="AN802" s="458"/>
      <c r="BA802" s="1305"/>
      <c r="BC802" s="169"/>
    </row>
    <row r="803" spans="19:55" ht="15.75" customHeight="1">
      <c r="S803" s="454"/>
      <c r="AN803" s="458"/>
      <c r="BA803" s="1305"/>
      <c r="BC803" s="169"/>
    </row>
    <row r="804" spans="19:55" ht="15.75" customHeight="1">
      <c r="S804" s="454"/>
      <c r="AN804" s="458"/>
      <c r="BA804" s="1305"/>
      <c r="BC804" s="169"/>
    </row>
    <row r="805" spans="19:55" ht="15.75" customHeight="1">
      <c r="S805" s="454"/>
      <c r="AN805" s="458"/>
      <c r="BA805" s="1305"/>
      <c r="BC805" s="169"/>
    </row>
    <row r="806" spans="19:55" ht="15.75" customHeight="1">
      <c r="S806" s="454"/>
      <c r="AN806" s="458"/>
      <c r="BA806" s="1305"/>
      <c r="BC806" s="169"/>
    </row>
    <row r="807" spans="19:55" ht="15.75" customHeight="1">
      <c r="S807" s="454"/>
      <c r="AN807" s="458"/>
      <c r="BA807" s="1305"/>
      <c r="BC807" s="169"/>
    </row>
    <row r="808" spans="19:55" ht="15.75" customHeight="1">
      <c r="S808" s="454"/>
      <c r="AN808" s="458"/>
      <c r="BA808" s="1305"/>
      <c r="BC808" s="169"/>
    </row>
    <row r="809" spans="19:55" ht="15.75" customHeight="1">
      <c r="S809" s="454"/>
      <c r="AN809" s="458"/>
      <c r="BA809" s="1305"/>
      <c r="BC809" s="169"/>
    </row>
    <row r="810" spans="19:55" ht="15.75" customHeight="1">
      <c r="S810" s="454"/>
      <c r="AN810" s="458"/>
      <c r="BA810" s="1305"/>
      <c r="BC810" s="169"/>
    </row>
    <row r="811" spans="19:55" ht="15.75" customHeight="1">
      <c r="S811" s="454"/>
      <c r="AN811" s="458"/>
      <c r="BA811" s="1305"/>
      <c r="BC811" s="169"/>
    </row>
    <row r="812" spans="19:55" ht="15.75" customHeight="1">
      <c r="S812" s="454"/>
      <c r="AN812" s="458"/>
      <c r="BA812" s="1305"/>
      <c r="BC812" s="169"/>
    </row>
    <row r="813" spans="19:55" ht="15.75" customHeight="1">
      <c r="S813" s="454"/>
      <c r="AN813" s="458"/>
      <c r="BA813" s="1305"/>
      <c r="BC813" s="169"/>
    </row>
    <row r="814" spans="19:55" ht="15.75" customHeight="1">
      <c r="S814" s="454"/>
      <c r="AN814" s="458"/>
      <c r="BA814" s="1305"/>
      <c r="BC814" s="169"/>
    </row>
    <row r="815" spans="19:55" ht="15.75" customHeight="1">
      <c r="S815" s="454"/>
      <c r="AN815" s="458"/>
      <c r="BA815" s="1305"/>
      <c r="BC815" s="169"/>
    </row>
    <row r="816" spans="19:55" ht="15.75" customHeight="1">
      <c r="S816" s="454"/>
      <c r="AN816" s="458"/>
      <c r="BA816" s="1305"/>
      <c r="BC816" s="169"/>
    </row>
    <row r="817" spans="19:55" ht="15.75" customHeight="1">
      <c r="S817" s="454"/>
      <c r="AN817" s="458"/>
      <c r="BA817" s="1305"/>
      <c r="BC817" s="169"/>
    </row>
    <row r="818" spans="19:55" ht="15.75" customHeight="1">
      <c r="S818" s="454"/>
      <c r="AN818" s="458"/>
      <c r="BA818" s="1305"/>
      <c r="BC818" s="169"/>
    </row>
    <row r="819" spans="19:55" ht="15.75" customHeight="1">
      <c r="S819" s="454"/>
      <c r="AN819" s="458"/>
      <c r="BA819" s="1305"/>
      <c r="BC819" s="169"/>
    </row>
    <row r="820" spans="19:55" ht="15.75" customHeight="1">
      <c r="S820" s="454"/>
      <c r="AN820" s="458"/>
      <c r="BA820" s="1305"/>
      <c r="BC820" s="169"/>
    </row>
    <row r="821" spans="19:55" ht="15.75" customHeight="1">
      <c r="S821" s="454"/>
      <c r="AN821" s="458"/>
      <c r="BA821" s="1305"/>
      <c r="BC821" s="169"/>
    </row>
    <row r="822" spans="19:55" ht="15.75" customHeight="1">
      <c r="S822" s="454"/>
      <c r="AN822" s="458"/>
      <c r="BA822" s="1305"/>
      <c r="BC822" s="169"/>
    </row>
    <row r="823" spans="19:55" ht="15.75" customHeight="1">
      <c r="S823" s="454"/>
      <c r="AN823" s="458"/>
      <c r="BA823" s="1305"/>
      <c r="BC823" s="169"/>
    </row>
    <row r="824" spans="19:55" ht="15.75" customHeight="1">
      <c r="S824" s="454"/>
      <c r="AN824" s="458"/>
      <c r="BA824" s="1305"/>
      <c r="BC824" s="169"/>
    </row>
    <row r="825" spans="19:55" ht="15.75" customHeight="1">
      <c r="S825" s="454"/>
      <c r="AN825" s="458"/>
      <c r="BA825" s="1305"/>
      <c r="BC825" s="169"/>
    </row>
    <row r="826" spans="19:55" ht="15.75" customHeight="1">
      <c r="S826" s="454"/>
      <c r="AN826" s="458"/>
      <c r="BA826" s="1305"/>
      <c r="BC826" s="169"/>
    </row>
    <row r="827" spans="19:55" ht="15.75" customHeight="1">
      <c r="S827" s="454"/>
      <c r="AN827" s="458"/>
      <c r="BA827" s="1305"/>
      <c r="BC827" s="169"/>
    </row>
    <row r="828" spans="19:55" ht="15.75" customHeight="1">
      <c r="S828" s="454"/>
      <c r="AN828" s="458"/>
      <c r="BA828" s="1305"/>
      <c r="BC828" s="169"/>
    </row>
    <row r="829" spans="19:55" ht="15.75" customHeight="1">
      <c r="S829" s="454"/>
      <c r="AN829" s="458"/>
      <c r="BA829" s="1305"/>
      <c r="BC829" s="169"/>
    </row>
    <row r="830" spans="19:55" ht="15.75" customHeight="1">
      <c r="S830" s="454"/>
      <c r="AN830" s="458"/>
      <c r="BA830" s="1305"/>
      <c r="BC830" s="169"/>
    </row>
    <row r="831" spans="19:55" ht="15.75" customHeight="1">
      <c r="S831" s="454"/>
      <c r="AN831" s="458"/>
      <c r="BA831" s="1305"/>
      <c r="BC831" s="169"/>
    </row>
    <row r="832" spans="19:55" ht="15.75" customHeight="1">
      <c r="S832" s="454"/>
      <c r="AN832" s="458"/>
      <c r="BA832" s="1305"/>
      <c r="BC832" s="169"/>
    </row>
    <row r="833" spans="19:55" ht="15.75" customHeight="1">
      <c r="S833" s="454"/>
      <c r="AN833" s="458"/>
      <c r="BA833" s="1305"/>
      <c r="BC833" s="169"/>
    </row>
    <row r="834" spans="19:55" ht="15.75" customHeight="1">
      <c r="S834" s="454"/>
      <c r="AN834" s="458"/>
      <c r="BA834" s="1305"/>
      <c r="BC834" s="169"/>
    </row>
    <row r="835" spans="19:55" ht="15.75" customHeight="1">
      <c r="S835" s="454"/>
      <c r="AN835" s="458"/>
      <c r="BA835" s="1305"/>
      <c r="BC835" s="169"/>
    </row>
    <row r="836" spans="19:55" ht="15.75" customHeight="1">
      <c r="S836" s="454"/>
      <c r="AN836" s="458"/>
      <c r="BA836" s="1305"/>
      <c r="BC836" s="169"/>
    </row>
    <row r="837" spans="19:55" ht="15.75" customHeight="1">
      <c r="S837" s="454"/>
      <c r="AN837" s="458"/>
      <c r="BA837" s="1305"/>
      <c r="BC837" s="169"/>
    </row>
    <row r="838" spans="19:55" ht="15.75" customHeight="1">
      <c r="S838" s="454"/>
      <c r="AN838" s="458"/>
      <c r="BA838" s="1305"/>
      <c r="BC838" s="169"/>
    </row>
    <row r="839" spans="19:55" ht="15.75" customHeight="1">
      <c r="S839" s="454"/>
      <c r="AN839" s="458"/>
      <c r="BA839" s="1305"/>
      <c r="BC839" s="169"/>
    </row>
    <row r="840" spans="19:55" ht="15.75" customHeight="1">
      <c r="S840" s="454"/>
      <c r="AN840" s="458"/>
      <c r="BA840" s="1305"/>
      <c r="BC840" s="169"/>
    </row>
    <row r="841" spans="19:55" ht="15.75" customHeight="1">
      <c r="S841" s="454"/>
      <c r="AN841" s="458"/>
      <c r="BA841" s="1305"/>
      <c r="BC841" s="169"/>
    </row>
    <row r="842" spans="19:55" ht="15.75" customHeight="1">
      <c r="S842" s="454"/>
      <c r="AN842" s="458"/>
      <c r="BA842" s="1305"/>
      <c r="BC842" s="169"/>
    </row>
    <row r="843" spans="19:55" ht="15.75" customHeight="1">
      <c r="S843" s="454"/>
      <c r="AN843" s="458"/>
      <c r="BA843" s="1305"/>
      <c r="BC843" s="169"/>
    </row>
    <row r="844" spans="19:55" ht="15.75" customHeight="1">
      <c r="S844" s="454"/>
      <c r="AN844" s="458"/>
      <c r="BA844" s="1305"/>
      <c r="BC844" s="169"/>
    </row>
    <row r="845" spans="19:55" ht="15.75" customHeight="1">
      <c r="S845" s="454"/>
      <c r="AN845" s="458"/>
      <c r="BA845" s="1305"/>
      <c r="BC845" s="169"/>
    </row>
    <row r="846" spans="19:55" ht="15.75" customHeight="1">
      <c r="S846" s="454"/>
      <c r="AN846" s="458"/>
      <c r="BA846" s="1305"/>
      <c r="BC846" s="169"/>
    </row>
    <row r="847" spans="19:55" ht="15.75" customHeight="1">
      <c r="S847" s="454"/>
      <c r="AN847" s="458"/>
      <c r="BA847" s="1305"/>
      <c r="BC847" s="169"/>
    </row>
    <row r="848" spans="19:55" ht="15.75" customHeight="1">
      <c r="S848" s="454"/>
      <c r="AN848" s="458"/>
      <c r="BA848" s="1305"/>
      <c r="BC848" s="169"/>
    </row>
    <row r="849" spans="19:55" ht="15.75" customHeight="1">
      <c r="S849" s="454"/>
      <c r="AN849" s="458"/>
      <c r="BA849" s="1305"/>
      <c r="BC849" s="169"/>
    </row>
    <row r="850" spans="19:55" ht="15.75" customHeight="1">
      <c r="S850" s="454"/>
      <c r="AN850" s="458"/>
      <c r="BA850" s="1305"/>
      <c r="BC850" s="169"/>
    </row>
    <row r="851" spans="19:55" ht="15.75" customHeight="1">
      <c r="S851" s="454"/>
      <c r="AN851" s="458"/>
      <c r="BA851" s="1305"/>
      <c r="BC851" s="169"/>
    </row>
    <row r="852" spans="19:55" ht="15.75" customHeight="1">
      <c r="S852" s="454"/>
      <c r="AN852" s="458"/>
      <c r="BA852" s="1305"/>
      <c r="BC852" s="169"/>
    </row>
    <row r="853" spans="19:55" ht="15.75" customHeight="1">
      <c r="S853" s="454"/>
      <c r="AN853" s="458"/>
      <c r="BA853" s="1305"/>
      <c r="BC853" s="169"/>
    </row>
    <row r="854" spans="19:55" ht="15.75" customHeight="1">
      <c r="S854" s="454"/>
      <c r="AN854" s="458"/>
      <c r="BA854" s="1305"/>
      <c r="BC854" s="169"/>
    </row>
    <row r="855" spans="19:55" ht="15.75" customHeight="1">
      <c r="S855" s="454"/>
      <c r="AN855" s="458"/>
      <c r="BA855" s="1305"/>
      <c r="BC855" s="169"/>
    </row>
    <row r="856" spans="19:55" ht="15.75" customHeight="1">
      <c r="S856" s="454"/>
      <c r="AN856" s="458"/>
      <c r="BA856" s="1305"/>
      <c r="BC856" s="169"/>
    </row>
    <row r="857" spans="19:55" ht="15.75" customHeight="1">
      <c r="S857" s="454"/>
      <c r="AN857" s="458"/>
      <c r="BA857" s="1305"/>
      <c r="BC857" s="169"/>
    </row>
    <row r="858" spans="19:55" ht="15.75" customHeight="1">
      <c r="S858" s="454"/>
      <c r="AN858" s="458"/>
      <c r="BA858" s="1305"/>
      <c r="BC858" s="169"/>
    </row>
    <row r="859" spans="19:55" ht="15.75" customHeight="1">
      <c r="S859" s="454"/>
      <c r="AN859" s="458"/>
      <c r="BA859" s="1305"/>
      <c r="BC859" s="169"/>
    </row>
    <row r="860" spans="19:55" ht="15.75" customHeight="1">
      <c r="S860" s="454"/>
      <c r="AN860" s="458"/>
      <c r="BA860" s="1305"/>
      <c r="BC860" s="169"/>
    </row>
    <row r="861" spans="19:55" ht="15.75" customHeight="1">
      <c r="S861" s="454"/>
      <c r="AN861" s="458"/>
      <c r="BA861" s="1305"/>
      <c r="BC861" s="169"/>
    </row>
    <row r="862" spans="19:55" ht="15.75" customHeight="1">
      <c r="S862" s="454"/>
      <c r="AN862" s="458"/>
      <c r="BA862" s="1305"/>
      <c r="BC862" s="169"/>
    </row>
    <row r="863" spans="19:55" ht="15.75" customHeight="1">
      <c r="S863" s="454"/>
      <c r="AN863" s="458"/>
      <c r="BA863" s="1305"/>
      <c r="BC863" s="169"/>
    </row>
    <row r="864" spans="19:55" ht="15.75" customHeight="1">
      <c r="S864" s="454"/>
      <c r="AN864" s="458"/>
      <c r="BA864" s="1305"/>
      <c r="BC864" s="169"/>
    </row>
    <row r="865" spans="19:55" ht="15.75" customHeight="1">
      <c r="S865" s="454"/>
      <c r="AN865" s="458"/>
      <c r="BA865" s="1305"/>
      <c r="BC865" s="169"/>
    </row>
    <row r="866" spans="19:55" ht="15.75" customHeight="1">
      <c r="S866" s="454"/>
      <c r="AN866" s="458"/>
      <c r="BA866" s="1305"/>
      <c r="BC866" s="169"/>
    </row>
    <row r="867" spans="19:55" ht="15.75" customHeight="1">
      <c r="S867" s="454"/>
      <c r="AN867" s="458"/>
      <c r="BA867" s="1305"/>
      <c r="BC867" s="169"/>
    </row>
    <row r="868" spans="19:55" ht="15.75" customHeight="1">
      <c r="S868" s="454"/>
      <c r="AN868" s="458"/>
      <c r="BA868" s="1305"/>
      <c r="BC868" s="169"/>
    </row>
    <row r="869" spans="19:55" ht="15.75" customHeight="1">
      <c r="S869" s="454"/>
      <c r="AN869" s="458"/>
      <c r="BA869" s="1305"/>
      <c r="BC869" s="169"/>
    </row>
    <row r="870" spans="19:55" ht="15.75" customHeight="1">
      <c r="S870" s="454"/>
      <c r="AN870" s="458"/>
      <c r="BA870" s="1305"/>
      <c r="BC870" s="169"/>
    </row>
    <row r="871" spans="19:55" ht="15.75" customHeight="1">
      <c r="S871" s="454"/>
      <c r="AN871" s="458"/>
      <c r="BA871" s="1305"/>
      <c r="BC871" s="169"/>
    </row>
    <row r="872" spans="19:55" ht="15.75" customHeight="1">
      <c r="S872" s="454"/>
      <c r="AN872" s="458"/>
      <c r="BA872" s="1305"/>
      <c r="BC872" s="169"/>
    </row>
    <row r="873" spans="19:55" ht="15.75" customHeight="1">
      <c r="S873" s="454"/>
      <c r="AN873" s="458"/>
      <c r="BA873" s="1305"/>
      <c r="BC873" s="169"/>
    </row>
    <row r="874" spans="19:55" ht="15.75" customHeight="1">
      <c r="S874" s="454"/>
      <c r="AN874" s="458"/>
      <c r="BA874" s="1305"/>
      <c r="BC874" s="169"/>
    </row>
    <row r="875" spans="19:55" ht="15.75" customHeight="1">
      <c r="S875" s="454"/>
      <c r="AN875" s="458"/>
      <c r="BA875" s="1305"/>
      <c r="BC875" s="169"/>
    </row>
    <row r="876" spans="19:55" ht="15.75" customHeight="1">
      <c r="S876" s="454"/>
      <c r="AN876" s="458"/>
      <c r="BA876" s="1305"/>
      <c r="BC876" s="169"/>
    </row>
    <row r="877" spans="19:55" ht="15.75" customHeight="1">
      <c r="S877" s="454"/>
      <c r="AN877" s="458"/>
      <c r="BA877" s="1305"/>
      <c r="BC877" s="169"/>
    </row>
    <row r="878" spans="19:55" ht="15.75" customHeight="1">
      <c r="S878" s="454"/>
      <c r="AN878" s="458"/>
      <c r="BA878" s="1305"/>
      <c r="BC878" s="169"/>
    </row>
    <row r="879" spans="19:55" ht="15.75" customHeight="1">
      <c r="S879" s="454"/>
      <c r="AN879" s="458"/>
      <c r="BA879" s="1305"/>
      <c r="BC879" s="169"/>
    </row>
    <row r="880" spans="19:55" ht="15.75" customHeight="1">
      <c r="S880" s="454"/>
      <c r="AN880" s="458"/>
      <c r="BA880" s="1305"/>
      <c r="BC880" s="169"/>
    </row>
    <row r="881" spans="19:55" ht="15.75" customHeight="1">
      <c r="S881" s="454"/>
      <c r="AN881" s="458"/>
      <c r="BA881" s="1305"/>
      <c r="BC881" s="169"/>
    </row>
    <row r="882" spans="19:55" ht="15.75" customHeight="1">
      <c r="S882" s="454"/>
      <c r="AN882" s="458"/>
      <c r="BA882" s="1305"/>
      <c r="BC882" s="169"/>
    </row>
    <row r="883" spans="19:55" ht="15.75" customHeight="1">
      <c r="S883" s="454"/>
      <c r="AN883" s="458"/>
      <c r="BA883" s="1305"/>
      <c r="BC883" s="169"/>
    </row>
    <row r="884" spans="19:55" ht="15.75" customHeight="1">
      <c r="S884" s="454"/>
      <c r="AN884" s="458"/>
      <c r="BA884" s="1305"/>
      <c r="BC884" s="169"/>
    </row>
    <row r="885" spans="19:55" ht="15.75" customHeight="1">
      <c r="S885" s="454"/>
      <c r="AN885" s="458"/>
      <c r="BA885" s="1305"/>
      <c r="BC885" s="169"/>
    </row>
    <row r="886" spans="19:55" ht="15.75" customHeight="1">
      <c r="S886" s="454"/>
      <c r="AN886" s="458"/>
      <c r="BA886" s="1305"/>
      <c r="BC886" s="169"/>
    </row>
    <row r="887" spans="19:55" ht="15.75" customHeight="1">
      <c r="S887" s="454"/>
      <c r="AN887" s="458"/>
      <c r="BA887" s="1305"/>
      <c r="BC887" s="169"/>
    </row>
    <row r="888" spans="19:55" ht="15.75" customHeight="1">
      <c r="S888" s="454"/>
      <c r="AN888" s="458"/>
      <c r="BA888" s="1305"/>
      <c r="BC888" s="169"/>
    </row>
    <row r="889" spans="19:55" ht="15.75" customHeight="1">
      <c r="S889" s="454"/>
      <c r="AN889" s="458"/>
      <c r="BA889" s="1305"/>
      <c r="BC889" s="169"/>
    </row>
    <row r="890" spans="19:55" ht="15.75" customHeight="1">
      <c r="S890" s="454"/>
      <c r="AN890" s="458"/>
      <c r="BA890" s="1305"/>
      <c r="BC890" s="169"/>
    </row>
    <row r="891" spans="19:55" ht="15.75" customHeight="1">
      <c r="S891" s="454"/>
      <c r="AN891" s="458"/>
      <c r="BA891" s="1305"/>
      <c r="BC891" s="169"/>
    </row>
    <row r="892" spans="19:55" ht="15.75" customHeight="1">
      <c r="S892" s="454"/>
      <c r="AN892" s="458"/>
      <c r="BA892" s="1305"/>
      <c r="BC892" s="169"/>
    </row>
    <row r="893" spans="19:55" ht="15.75" customHeight="1">
      <c r="S893" s="454"/>
      <c r="AN893" s="458"/>
      <c r="BA893" s="1305"/>
      <c r="BC893" s="169"/>
    </row>
    <row r="894" spans="19:55" ht="15.75" customHeight="1">
      <c r="S894" s="454"/>
      <c r="AN894" s="458"/>
      <c r="BA894" s="1305"/>
      <c r="BC894" s="169"/>
    </row>
    <row r="895" spans="19:55" ht="15.75" customHeight="1">
      <c r="S895" s="454"/>
      <c r="AN895" s="458"/>
      <c r="BA895" s="1305"/>
      <c r="BC895" s="169"/>
    </row>
    <row r="896" spans="19:55" ht="15.75" customHeight="1">
      <c r="S896" s="454"/>
      <c r="AN896" s="458"/>
      <c r="BA896" s="1305"/>
      <c r="BC896" s="169"/>
    </row>
    <row r="897" spans="19:55" ht="15.75" customHeight="1">
      <c r="S897" s="454"/>
      <c r="AN897" s="458"/>
      <c r="BA897" s="1305"/>
      <c r="BC897" s="169"/>
    </row>
    <row r="898" spans="19:55" ht="15.75" customHeight="1">
      <c r="S898" s="454"/>
      <c r="AN898" s="458"/>
      <c r="BA898" s="1305"/>
      <c r="BC898" s="169"/>
    </row>
    <row r="899" spans="19:55" ht="15.75" customHeight="1">
      <c r="S899" s="454"/>
      <c r="AN899" s="458"/>
      <c r="BA899" s="1305"/>
      <c r="BC899" s="169"/>
    </row>
    <row r="900" spans="19:55" ht="15.75" customHeight="1">
      <c r="S900" s="454"/>
      <c r="AN900" s="458"/>
      <c r="BA900" s="1305"/>
      <c r="BC900" s="169"/>
    </row>
    <row r="901" spans="19:55" ht="15.75" customHeight="1">
      <c r="S901" s="454"/>
      <c r="AN901" s="458"/>
      <c r="BA901" s="1305"/>
      <c r="BC901" s="169"/>
    </row>
    <row r="902" spans="19:55" ht="15.75" customHeight="1">
      <c r="S902" s="454"/>
      <c r="AN902" s="458"/>
      <c r="BA902" s="1305"/>
      <c r="BC902" s="169"/>
    </row>
    <row r="903" spans="19:55" ht="15.75" customHeight="1">
      <c r="S903" s="454"/>
      <c r="AN903" s="458"/>
      <c r="BA903" s="1305"/>
      <c r="BC903" s="169"/>
    </row>
    <row r="904" spans="19:55" ht="15.75" customHeight="1">
      <c r="S904" s="454"/>
      <c r="AN904" s="458"/>
      <c r="BA904" s="1305"/>
      <c r="BC904" s="169"/>
    </row>
    <row r="905" spans="19:55" ht="15.75" customHeight="1">
      <c r="S905" s="454"/>
      <c r="AN905" s="458"/>
      <c r="BA905" s="1305"/>
      <c r="BC905" s="169"/>
    </row>
    <row r="906" spans="19:55" ht="15.75" customHeight="1">
      <c r="S906" s="454"/>
      <c r="AN906" s="458"/>
      <c r="BA906" s="1305"/>
      <c r="BC906" s="169"/>
    </row>
    <row r="907" spans="19:55" ht="15.75" customHeight="1">
      <c r="S907" s="454"/>
      <c r="AN907" s="458"/>
      <c r="BA907" s="1305"/>
      <c r="BC907" s="169"/>
    </row>
    <row r="908" spans="19:55" ht="15.75" customHeight="1">
      <c r="S908" s="454"/>
      <c r="AN908" s="458"/>
      <c r="BA908" s="1305"/>
      <c r="BC908" s="169"/>
    </row>
    <row r="909" spans="19:55" ht="15.75" customHeight="1">
      <c r="S909" s="454"/>
      <c r="AN909" s="458"/>
      <c r="BA909" s="1305"/>
      <c r="BC909" s="169"/>
    </row>
    <row r="910" spans="19:55" ht="15.75" customHeight="1">
      <c r="S910" s="454"/>
      <c r="AN910" s="458"/>
      <c r="BA910" s="1305"/>
      <c r="BC910" s="169"/>
    </row>
    <row r="911" spans="19:55" ht="15.75" customHeight="1">
      <c r="S911" s="454"/>
      <c r="AN911" s="458"/>
      <c r="BA911" s="1305"/>
      <c r="BC911" s="169"/>
    </row>
    <row r="912" spans="19:55" ht="15.75" customHeight="1">
      <c r="S912" s="454"/>
      <c r="AN912" s="458"/>
      <c r="BA912" s="1305"/>
      <c r="BC912" s="169"/>
    </row>
    <row r="913" spans="19:55" ht="15.75" customHeight="1">
      <c r="S913" s="454"/>
      <c r="AN913" s="458"/>
      <c r="BA913" s="1305"/>
      <c r="BC913" s="169"/>
    </row>
    <row r="914" spans="19:55" ht="15.75" customHeight="1">
      <c r="S914" s="454"/>
      <c r="AN914" s="458"/>
      <c r="BA914" s="1305"/>
      <c r="BC914" s="169"/>
    </row>
    <row r="915" spans="19:55" ht="15.75" customHeight="1">
      <c r="S915" s="454"/>
      <c r="AN915" s="458"/>
      <c r="BA915" s="1305"/>
      <c r="BC915" s="169"/>
    </row>
    <row r="916" spans="19:55" ht="15.75" customHeight="1">
      <c r="S916" s="454"/>
      <c r="AN916" s="458"/>
      <c r="BA916" s="1305"/>
      <c r="BC916" s="169"/>
    </row>
    <row r="917" spans="19:55" ht="15.75" customHeight="1">
      <c r="S917" s="454"/>
      <c r="AN917" s="458"/>
      <c r="BA917" s="1305"/>
      <c r="BC917" s="169"/>
    </row>
    <row r="918" spans="19:55" ht="15.75" customHeight="1">
      <c r="S918" s="454"/>
      <c r="AN918" s="458"/>
      <c r="BA918" s="1305"/>
      <c r="BC918" s="169"/>
    </row>
    <row r="919" spans="19:55" ht="15.75" customHeight="1">
      <c r="S919" s="454"/>
      <c r="AN919" s="458"/>
      <c r="BA919" s="1305"/>
      <c r="BC919" s="169"/>
    </row>
    <row r="920" spans="19:55" ht="15.75" customHeight="1">
      <c r="S920" s="454"/>
      <c r="AN920" s="458"/>
      <c r="BA920" s="1305"/>
      <c r="BC920" s="169"/>
    </row>
    <row r="921" spans="19:55" ht="15.75" customHeight="1">
      <c r="S921" s="454"/>
      <c r="AN921" s="458"/>
      <c r="BA921" s="1305"/>
      <c r="BC921" s="169"/>
    </row>
    <row r="922" spans="19:55" ht="15.75" customHeight="1">
      <c r="S922" s="454"/>
      <c r="AN922" s="458"/>
      <c r="BA922" s="1305"/>
      <c r="BC922" s="169"/>
    </row>
    <row r="923" spans="19:55" ht="15.75" customHeight="1">
      <c r="S923" s="454"/>
      <c r="AN923" s="458"/>
      <c r="BA923" s="1305"/>
      <c r="BC923" s="169"/>
    </row>
    <row r="924" spans="19:55" ht="15.75" customHeight="1">
      <c r="S924" s="454"/>
      <c r="AN924" s="458"/>
      <c r="BA924" s="1305"/>
      <c r="BC924" s="169"/>
    </row>
    <row r="925" spans="19:55" ht="15.75" customHeight="1">
      <c r="S925" s="454"/>
      <c r="AN925" s="458"/>
      <c r="BA925" s="1305"/>
      <c r="BC925" s="169"/>
    </row>
    <row r="926" spans="19:55" ht="15.75" customHeight="1">
      <c r="S926" s="454"/>
      <c r="AN926" s="458"/>
      <c r="BA926" s="1305"/>
      <c r="BC926" s="169"/>
    </row>
    <row r="927" spans="19:55" ht="15.75" customHeight="1">
      <c r="S927" s="454"/>
      <c r="AN927" s="458"/>
      <c r="BA927" s="1305"/>
      <c r="BC927" s="169"/>
    </row>
    <row r="928" spans="19:55" ht="15.75" customHeight="1">
      <c r="S928" s="454"/>
      <c r="AN928" s="458"/>
      <c r="BA928" s="1305"/>
      <c r="BC928" s="169"/>
    </row>
    <row r="929" spans="19:55" ht="15.75" customHeight="1">
      <c r="S929" s="454"/>
      <c r="AN929" s="458"/>
      <c r="BA929" s="1305"/>
      <c r="BC929" s="169"/>
    </row>
    <row r="930" spans="19:55" ht="15.75" customHeight="1">
      <c r="S930" s="454"/>
      <c r="AN930" s="458"/>
      <c r="BA930" s="1305"/>
      <c r="BC930" s="169"/>
    </row>
    <row r="931" spans="19:55" ht="15.75" customHeight="1">
      <c r="S931" s="454"/>
      <c r="AN931" s="458"/>
      <c r="BA931" s="1305"/>
      <c r="BC931" s="169"/>
    </row>
    <row r="932" spans="19:55" ht="15.75" customHeight="1">
      <c r="S932" s="454"/>
      <c r="AN932" s="458"/>
      <c r="BA932" s="1305"/>
      <c r="BC932" s="169"/>
    </row>
    <row r="933" spans="19:55" ht="15.75" customHeight="1">
      <c r="S933" s="454"/>
      <c r="AN933" s="458"/>
      <c r="BA933" s="1305"/>
      <c r="BC933" s="169"/>
    </row>
    <row r="934" spans="19:55" ht="15.75" customHeight="1">
      <c r="S934" s="454"/>
      <c r="AN934" s="458"/>
      <c r="BA934" s="1305"/>
      <c r="BC934" s="169"/>
    </row>
    <row r="935" spans="19:55" ht="15.75" customHeight="1">
      <c r="S935" s="454"/>
      <c r="AN935" s="458"/>
      <c r="BA935" s="1305"/>
      <c r="BC935" s="169"/>
    </row>
    <row r="936" spans="19:55" ht="15.75" customHeight="1">
      <c r="S936" s="454"/>
      <c r="AN936" s="458"/>
      <c r="BA936" s="1305"/>
      <c r="BC936" s="169"/>
    </row>
    <row r="937" spans="19:55" ht="15.75" customHeight="1">
      <c r="S937" s="454"/>
      <c r="AN937" s="458"/>
      <c r="BA937" s="1305"/>
      <c r="BC937" s="169"/>
    </row>
    <row r="938" spans="19:55" ht="15.75" customHeight="1">
      <c r="S938" s="454"/>
      <c r="AN938" s="458"/>
      <c r="BA938" s="1305"/>
      <c r="BC938" s="169"/>
    </row>
    <row r="939" spans="19:55" ht="15.75" customHeight="1">
      <c r="S939" s="454"/>
      <c r="AN939" s="458"/>
      <c r="BA939" s="1305"/>
      <c r="BC939" s="169"/>
    </row>
    <row r="940" spans="19:55" ht="15.75" customHeight="1">
      <c r="S940" s="454"/>
      <c r="AN940" s="458"/>
      <c r="BA940" s="1305"/>
      <c r="BC940" s="169"/>
    </row>
    <row r="941" spans="19:55" ht="15.75" customHeight="1">
      <c r="S941" s="454"/>
      <c r="AN941" s="458"/>
      <c r="BA941" s="1305"/>
      <c r="BC941" s="169"/>
    </row>
    <row r="942" spans="19:55" ht="15.75" customHeight="1">
      <c r="S942" s="454"/>
      <c r="AN942" s="458"/>
      <c r="BA942" s="1305"/>
      <c r="BC942" s="169"/>
    </row>
    <row r="943" spans="19:55" ht="15.75" customHeight="1">
      <c r="S943" s="454"/>
      <c r="AN943" s="458"/>
      <c r="BA943" s="1305"/>
      <c r="BC943" s="169"/>
    </row>
    <row r="944" spans="19:55" ht="15.75" customHeight="1">
      <c r="S944" s="454"/>
      <c r="AN944" s="458"/>
      <c r="BA944" s="1305"/>
      <c r="BC944" s="169"/>
    </row>
    <row r="945" spans="19:55" ht="15.75" customHeight="1">
      <c r="S945" s="454"/>
      <c r="AN945" s="458"/>
      <c r="BA945" s="1305"/>
      <c r="BC945" s="169"/>
    </row>
    <row r="946" spans="19:55" ht="15.75" customHeight="1">
      <c r="S946" s="454"/>
      <c r="AN946" s="458"/>
      <c r="BA946" s="1305"/>
      <c r="BC946" s="169"/>
    </row>
    <row r="947" spans="19:55" ht="15.75" customHeight="1">
      <c r="S947" s="454"/>
      <c r="AN947" s="458"/>
      <c r="BA947" s="1305"/>
      <c r="BC947" s="169"/>
    </row>
    <row r="948" spans="19:55" ht="15.75" customHeight="1">
      <c r="S948" s="454"/>
      <c r="AN948" s="458"/>
      <c r="BA948" s="1305"/>
      <c r="BC948" s="169"/>
    </row>
    <row r="949" spans="19:55" ht="15.75" customHeight="1">
      <c r="S949" s="454"/>
      <c r="AN949" s="458"/>
      <c r="BA949" s="1305"/>
      <c r="BC949" s="169"/>
    </row>
    <row r="950" spans="19:55" ht="15.75" customHeight="1">
      <c r="S950" s="454"/>
      <c r="AN950" s="458"/>
      <c r="BA950" s="1305"/>
      <c r="BC950" s="169"/>
    </row>
    <row r="951" spans="19:55" ht="15.75" customHeight="1">
      <c r="S951" s="454"/>
      <c r="AN951" s="458"/>
      <c r="BA951" s="1305"/>
      <c r="BC951" s="169"/>
    </row>
    <row r="952" spans="19:55" ht="15.75" customHeight="1">
      <c r="S952" s="454"/>
      <c r="AN952" s="458"/>
      <c r="BA952" s="1305"/>
      <c r="BC952" s="169"/>
    </row>
    <row r="953" spans="19:55" ht="15.75" customHeight="1">
      <c r="S953" s="454"/>
      <c r="AN953" s="458"/>
      <c r="BA953" s="1305"/>
      <c r="BC953" s="169"/>
    </row>
    <row r="954" spans="19:55" ht="15.75" customHeight="1">
      <c r="S954" s="454"/>
      <c r="AN954" s="458"/>
      <c r="BA954" s="1305"/>
      <c r="BC954" s="169"/>
    </row>
    <row r="955" spans="19:55" ht="15.75" customHeight="1">
      <c r="S955" s="454"/>
      <c r="AN955" s="458"/>
      <c r="BA955" s="1305"/>
      <c r="BC955" s="169"/>
    </row>
    <row r="956" spans="19:55" ht="15.75" customHeight="1">
      <c r="S956" s="454"/>
      <c r="AN956" s="458"/>
      <c r="BA956" s="1305"/>
      <c r="BC956" s="169"/>
    </row>
    <row r="957" spans="19:55" ht="15.75" customHeight="1">
      <c r="S957" s="454"/>
      <c r="AN957" s="458"/>
      <c r="BA957" s="1305"/>
      <c r="BC957" s="169"/>
    </row>
    <row r="958" spans="19:55" ht="15.75" customHeight="1">
      <c r="S958" s="454"/>
      <c r="AN958" s="458"/>
      <c r="BA958" s="1305"/>
      <c r="BC958" s="169"/>
    </row>
    <row r="959" spans="19:55" ht="15.75" customHeight="1">
      <c r="S959" s="454"/>
      <c r="AN959" s="458"/>
      <c r="BA959" s="1305"/>
      <c r="BC959" s="169"/>
    </row>
    <row r="960" spans="19:55" ht="15.75" customHeight="1">
      <c r="S960" s="454"/>
      <c r="AN960" s="458"/>
      <c r="BA960" s="1305"/>
      <c r="BC960" s="169"/>
    </row>
    <row r="961" spans="19:55" ht="15.75" customHeight="1">
      <c r="S961" s="454"/>
      <c r="AN961" s="458"/>
      <c r="BA961" s="1305"/>
      <c r="BC961" s="169"/>
    </row>
    <row r="962" spans="19:55" ht="15.75" customHeight="1">
      <c r="S962" s="454"/>
      <c r="AN962" s="458"/>
      <c r="BA962" s="1305"/>
      <c r="BC962" s="169"/>
    </row>
    <row r="963" spans="19:55" ht="15.75" customHeight="1">
      <c r="S963" s="454"/>
      <c r="AN963" s="458"/>
      <c r="BA963" s="1305"/>
      <c r="BC963" s="169"/>
    </row>
    <row r="964" spans="19:55" ht="15.75" customHeight="1">
      <c r="S964" s="454"/>
      <c r="AN964" s="458"/>
      <c r="BA964" s="1305"/>
      <c r="BC964" s="169"/>
    </row>
    <row r="965" spans="19:55" ht="15.75" customHeight="1">
      <c r="S965" s="454"/>
      <c r="AN965" s="458"/>
      <c r="BA965" s="1305"/>
      <c r="BC965" s="169"/>
    </row>
    <row r="966" spans="19:55" ht="15.75" customHeight="1">
      <c r="S966" s="454"/>
      <c r="AN966" s="458"/>
      <c r="BA966" s="1305"/>
      <c r="BC966" s="169"/>
    </row>
    <row r="967" spans="19:55" ht="15.75" customHeight="1">
      <c r="S967" s="454"/>
      <c r="AN967" s="458"/>
      <c r="BA967" s="1305"/>
      <c r="BC967" s="169"/>
    </row>
    <row r="968" spans="19:55" ht="15.75" customHeight="1">
      <c r="S968" s="454"/>
      <c r="AN968" s="458"/>
      <c r="BA968" s="1305"/>
      <c r="BC968" s="169"/>
    </row>
    <row r="969" spans="19:55" ht="15.75" customHeight="1">
      <c r="S969" s="454"/>
      <c r="AN969" s="458"/>
      <c r="BA969" s="1305"/>
      <c r="BC969" s="169"/>
    </row>
    <row r="970" spans="19:55" ht="15.75" customHeight="1">
      <c r="S970" s="454"/>
      <c r="AN970" s="458"/>
      <c r="BA970" s="1305"/>
      <c r="BC970" s="169"/>
    </row>
    <row r="971" spans="19:55" ht="15.75" customHeight="1">
      <c r="S971" s="454"/>
      <c r="AN971" s="458"/>
      <c r="BA971" s="1305"/>
      <c r="BC971" s="169"/>
    </row>
    <row r="972" spans="19:55" ht="15.75" customHeight="1">
      <c r="S972" s="454"/>
      <c r="AN972" s="458"/>
      <c r="BA972" s="1305"/>
      <c r="BC972" s="169"/>
    </row>
    <row r="973" spans="19:55" ht="15.75" customHeight="1">
      <c r="S973" s="454"/>
      <c r="AN973" s="458"/>
      <c r="BA973" s="1305"/>
      <c r="BC973" s="169"/>
    </row>
    <row r="974" spans="19:55" ht="15.75" customHeight="1">
      <c r="S974" s="454"/>
      <c r="AN974" s="458"/>
      <c r="BA974" s="1305"/>
      <c r="BC974" s="169"/>
    </row>
    <row r="975" spans="19:55" ht="15.75" customHeight="1">
      <c r="S975" s="454"/>
      <c r="AN975" s="458"/>
      <c r="BA975" s="1305"/>
      <c r="BC975" s="169"/>
    </row>
    <row r="976" spans="19:55" ht="15.75" customHeight="1">
      <c r="S976" s="454"/>
      <c r="AN976" s="458"/>
      <c r="BA976" s="1305"/>
      <c r="BC976" s="169"/>
    </row>
    <row r="977" spans="19:55" ht="15.75" customHeight="1">
      <c r="S977" s="454"/>
      <c r="AN977" s="458"/>
      <c r="BA977" s="1305"/>
      <c r="BC977" s="169"/>
    </row>
    <row r="978" spans="19:55" ht="15.75" customHeight="1">
      <c r="S978" s="454"/>
      <c r="AN978" s="458"/>
      <c r="BA978" s="1305"/>
      <c r="BC978" s="169"/>
    </row>
    <row r="979" spans="19:55" ht="15.75" customHeight="1">
      <c r="S979" s="454"/>
      <c r="AN979" s="458"/>
      <c r="BA979" s="1305"/>
      <c r="BC979" s="169"/>
    </row>
    <row r="980" spans="19:55" ht="15.75" customHeight="1">
      <c r="S980" s="454"/>
      <c r="AN980" s="458"/>
      <c r="BA980" s="1305"/>
      <c r="BC980" s="169"/>
    </row>
    <row r="981" spans="19:55" ht="15.75" customHeight="1">
      <c r="S981" s="454"/>
      <c r="AN981" s="458"/>
      <c r="BA981" s="1305"/>
      <c r="BC981" s="169"/>
    </row>
    <row r="982" spans="19:55" ht="15.75" customHeight="1">
      <c r="S982" s="454"/>
      <c r="AN982" s="458"/>
      <c r="BA982" s="1305"/>
      <c r="BC982" s="169"/>
    </row>
    <row r="983" spans="19:55" ht="15.75" customHeight="1">
      <c r="S983" s="454"/>
      <c r="AN983" s="458"/>
      <c r="BA983" s="1305"/>
      <c r="BC983" s="169"/>
    </row>
    <row r="984" spans="19:55" ht="15.75" customHeight="1">
      <c r="S984" s="454"/>
      <c r="AN984" s="458"/>
      <c r="BA984" s="1305"/>
      <c r="BC984" s="169"/>
    </row>
    <row r="985" spans="19:55" ht="15.75" customHeight="1">
      <c r="S985" s="454"/>
      <c r="AN985" s="458"/>
      <c r="BA985" s="1305"/>
      <c r="BC985" s="169"/>
    </row>
    <row r="986" spans="19:55" ht="15.75" customHeight="1">
      <c r="S986" s="454"/>
      <c r="AN986" s="458"/>
      <c r="BA986" s="1305"/>
      <c r="BC986" s="169"/>
    </row>
    <row r="987" spans="19:55" ht="15.75" customHeight="1">
      <c r="S987" s="454"/>
      <c r="AN987" s="458"/>
      <c r="BA987" s="1305"/>
      <c r="BC987" s="169"/>
    </row>
    <row r="988" spans="19:55" ht="15.75" customHeight="1">
      <c r="S988" s="454"/>
      <c r="AN988" s="458"/>
      <c r="BA988" s="1305"/>
      <c r="BC988" s="169"/>
    </row>
    <row r="989" spans="19:55" ht="15.75" customHeight="1">
      <c r="S989" s="454"/>
      <c r="AN989" s="458"/>
      <c r="BA989" s="1305"/>
      <c r="BC989" s="169"/>
    </row>
    <row r="990" spans="19:55" ht="15.75" customHeight="1">
      <c r="S990" s="454"/>
      <c r="AN990" s="458"/>
      <c r="BA990" s="1305"/>
      <c r="BC990" s="169"/>
    </row>
    <row r="991" spans="19:55" ht="15.75" customHeight="1">
      <c r="S991" s="454"/>
      <c r="AN991" s="458"/>
      <c r="BA991" s="1305"/>
      <c r="BC991" s="169"/>
    </row>
    <row r="992" spans="19:55" ht="15.75" customHeight="1">
      <c r="S992" s="454"/>
      <c r="AN992" s="458"/>
      <c r="BA992" s="1305"/>
      <c r="BC992" s="169"/>
    </row>
    <row r="993" spans="19:55" ht="15.75" customHeight="1">
      <c r="S993" s="454"/>
      <c r="AN993" s="458"/>
      <c r="BA993" s="1305"/>
      <c r="BC993" s="169"/>
    </row>
    <row r="994" spans="19:55" ht="15.75" customHeight="1">
      <c r="S994" s="454"/>
      <c r="AN994" s="458"/>
      <c r="BA994" s="1305"/>
      <c r="BC994" s="169"/>
    </row>
    <row r="995" spans="19:55" ht="15.75" customHeight="1">
      <c r="S995" s="454"/>
      <c r="AN995" s="458"/>
      <c r="BA995" s="1305"/>
      <c r="BC995" s="169"/>
    </row>
    <row r="996" spans="19:55" ht="15.75" customHeight="1">
      <c r="S996" s="454"/>
      <c r="AN996" s="458"/>
      <c r="BA996" s="1305"/>
      <c r="BC996" s="169"/>
    </row>
    <row r="997" spans="19:55" ht="15.75" customHeight="1">
      <c r="S997" s="454"/>
      <c r="AN997" s="458"/>
      <c r="BA997" s="1305"/>
      <c r="BC997" s="169"/>
    </row>
    <row r="998" spans="19:55" ht="15.75" customHeight="1">
      <c r="S998" s="454"/>
      <c r="AN998" s="458"/>
      <c r="BA998" s="1305"/>
      <c r="BC998" s="169"/>
    </row>
    <row r="999" spans="19:55" ht="15.75" customHeight="1">
      <c r="S999" s="454"/>
      <c r="AN999" s="458"/>
      <c r="BA999" s="1305"/>
      <c r="BC999" s="169"/>
    </row>
    <row r="1000" spans="19:55" ht="15.75" customHeight="1">
      <c r="S1000" s="454"/>
      <c r="AN1000" s="458"/>
      <c r="BA1000" s="1305"/>
      <c r="BC1000" s="169"/>
    </row>
    <row r="1001" spans="19:55" ht="15.75" customHeight="1">
      <c r="S1001" s="454"/>
      <c r="AN1001" s="458"/>
      <c r="BA1001" s="1305"/>
      <c r="BC1001" s="169"/>
    </row>
    <row r="1002" spans="19:55" ht="15.75" customHeight="1">
      <c r="S1002" s="454"/>
      <c r="AN1002" s="458"/>
      <c r="BA1002" s="1305"/>
      <c r="BC1002" s="169"/>
    </row>
    <row r="1003" spans="19:55" ht="15.75" customHeight="1">
      <c r="S1003" s="454"/>
      <c r="AN1003" s="458"/>
      <c r="BA1003" s="1305"/>
      <c r="BC1003" s="169"/>
    </row>
    <row r="1004" spans="19:55" ht="15.75" customHeight="1">
      <c r="S1004" s="454"/>
      <c r="AN1004" s="458"/>
      <c r="BA1004" s="1305"/>
      <c r="BC1004" s="169"/>
    </row>
    <row r="1005" spans="19:55" ht="15.75" customHeight="1">
      <c r="S1005" s="454"/>
      <c r="AN1005" s="458"/>
      <c r="BA1005" s="1305"/>
      <c r="BC1005" s="169"/>
    </row>
    <row r="1006" spans="19:55" ht="15.75" customHeight="1">
      <c r="S1006" s="454"/>
      <c r="AN1006" s="458"/>
      <c r="BA1006" s="1305"/>
      <c r="BC1006" s="169"/>
    </row>
    <row r="1007" spans="19:55" ht="15.75" customHeight="1">
      <c r="S1007" s="454"/>
      <c r="AN1007" s="458"/>
      <c r="BA1007" s="1305"/>
      <c r="BC1007" s="169"/>
    </row>
    <row r="1008" spans="19:55" ht="15.75" customHeight="1">
      <c r="S1008" s="454"/>
      <c r="AN1008" s="458"/>
      <c r="BA1008" s="1305"/>
      <c r="BC1008" s="169"/>
    </row>
    <row r="1009" spans="19:55" ht="15.75" customHeight="1">
      <c r="S1009" s="454"/>
      <c r="AN1009" s="458"/>
      <c r="BA1009" s="1305"/>
      <c r="BC1009" s="169"/>
    </row>
    <row r="1010" spans="19:55" ht="15.75" customHeight="1">
      <c r="S1010" s="454"/>
      <c r="AN1010" s="458"/>
      <c r="BA1010" s="1305"/>
      <c r="BC1010" s="169"/>
    </row>
    <row r="1011" spans="19:55" ht="15.75" customHeight="1">
      <c r="S1011" s="454"/>
      <c r="AN1011" s="458"/>
      <c r="BA1011" s="1305"/>
      <c r="BC1011" s="169"/>
    </row>
    <row r="1012" spans="19:55" ht="15.75" customHeight="1">
      <c r="S1012" s="454"/>
      <c r="AN1012" s="458"/>
      <c r="BA1012" s="1305"/>
      <c r="BC1012" s="169"/>
    </row>
    <row r="1013" spans="19:55" ht="15.75" customHeight="1">
      <c r="S1013" s="454"/>
      <c r="AN1013" s="458"/>
      <c r="BA1013" s="1305"/>
      <c r="BC1013" s="169"/>
    </row>
    <row r="1014" spans="19:55" ht="15.75" customHeight="1">
      <c r="S1014" s="454"/>
      <c r="AN1014" s="458"/>
      <c r="BA1014" s="1305"/>
      <c r="BC1014" s="169"/>
    </row>
    <row r="1015" spans="19:55" ht="15.75" customHeight="1">
      <c r="S1015" s="454"/>
      <c r="AN1015" s="458"/>
      <c r="BA1015" s="1305"/>
      <c r="BC1015" s="169"/>
    </row>
    <row r="1016" spans="19:55" ht="15.75" customHeight="1">
      <c r="S1016" s="454"/>
      <c r="AN1016" s="458"/>
      <c r="BA1016" s="1305"/>
      <c r="BC1016" s="169"/>
    </row>
    <row r="1017" spans="19:55" ht="15.75" customHeight="1">
      <c r="S1017" s="454"/>
      <c r="AN1017" s="458"/>
      <c r="BA1017" s="1305"/>
      <c r="BC1017" s="169"/>
    </row>
    <row r="1018" spans="19:55" ht="15.75" customHeight="1">
      <c r="S1018" s="454"/>
      <c r="AN1018" s="458"/>
      <c r="BA1018" s="1305"/>
      <c r="BC1018" s="169"/>
    </row>
    <row r="1019" spans="19:55" ht="15.75" customHeight="1">
      <c r="S1019" s="454"/>
      <c r="AN1019" s="458"/>
      <c r="BA1019" s="1305"/>
      <c r="BC1019" s="169"/>
    </row>
    <row r="1020" spans="19:55" ht="15.75" customHeight="1">
      <c r="S1020" s="454"/>
      <c r="AN1020" s="458"/>
      <c r="BA1020" s="1305"/>
      <c r="BC1020" s="169"/>
    </row>
    <row r="1021" spans="19:55" ht="15.75" customHeight="1">
      <c r="S1021" s="454"/>
      <c r="AN1021" s="458"/>
      <c r="BA1021" s="1305"/>
      <c r="BC1021" s="169"/>
    </row>
    <row r="1022" spans="19:55" ht="15.75" customHeight="1">
      <c r="S1022" s="454"/>
      <c r="AN1022" s="458"/>
      <c r="BA1022" s="1305"/>
      <c r="BC1022" s="169"/>
    </row>
    <row r="1023" spans="19:55" ht="15.75" customHeight="1">
      <c r="S1023" s="454"/>
      <c r="AN1023" s="458"/>
      <c r="BA1023" s="1305"/>
      <c r="BC1023" s="169"/>
    </row>
    <row r="1024" spans="19:55" ht="15.75" customHeight="1">
      <c r="S1024" s="454"/>
      <c r="AN1024" s="458"/>
      <c r="BA1024" s="1305"/>
      <c r="BC1024" s="169"/>
    </row>
    <row r="1025" spans="19:55" ht="15.75" customHeight="1">
      <c r="S1025" s="454"/>
      <c r="AN1025" s="458"/>
      <c r="BA1025" s="1305"/>
      <c r="BC1025" s="169"/>
    </row>
    <row r="1026" spans="19:55" ht="15.75" customHeight="1">
      <c r="S1026" s="454"/>
      <c r="AN1026" s="458"/>
      <c r="BA1026" s="1305"/>
      <c r="BC1026" s="169"/>
    </row>
    <row r="1027" spans="19:55" ht="15.75" customHeight="1">
      <c r="S1027" s="454"/>
      <c r="AN1027" s="458"/>
      <c r="BA1027" s="1305"/>
      <c r="BC1027" s="169"/>
    </row>
    <row r="1028" spans="19:55" ht="15.75" customHeight="1">
      <c r="S1028" s="454"/>
      <c r="AN1028" s="458"/>
      <c r="BA1028" s="1305"/>
      <c r="BC1028" s="169"/>
    </row>
    <row r="1029" spans="19:55" ht="15.75" customHeight="1">
      <c r="S1029" s="454"/>
      <c r="AN1029" s="458"/>
      <c r="BA1029" s="1305"/>
      <c r="BC1029" s="169"/>
    </row>
    <row r="1030" spans="19:55" ht="15.75" customHeight="1">
      <c r="S1030" s="454"/>
      <c r="AN1030" s="458"/>
      <c r="BA1030" s="1305"/>
      <c r="BC1030" s="169"/>
    </row>
    <row r="1031" spans="19:55" ht="15.75" customHeight="1">
      <c r="S1031" s="454"/>
      <c r="AN1031" s="458"/>
      <c r="BA1031" s="1305"/>
      <c r="BC1031" s="169"/>
    </row>
    <row r="1032" spans="19:55" ht="15.75" customHeight="1">
      <c r="S1032" s="454"/>
      <c r="AN1032" s="458"/>
      <c r="BA1032" s="1305"/>
      <c r="BC1032" s="169"/>
    </row>
    <row r="1033" spans="19:55" ht="15.75" customHeight="1">
      <c r="S1033" s="454"/>
      <c r="AN1033" s="458"/>
      <c r="BA1033" s="1305"/>
      <c r="BC1033" s="169"/>
    </row>
    <row r="1034" spans="19:55" ht="15.75" customHeight="1">
      <c r="S1034" s="454"/>
      <c r="AN1034" s="458"/>
      <c r="BA1034" s="1305"/>
      <c r="BC1034" s="169"/>
    </row>
    <row r="1035" spans="19:55" ht="15.75" customHeight="1">
      <c r="S1035" s="454"/>
      <c r="AN1035" s="458"/>
      <c r="BA1035" s="1305"/>
      <c r="BC1035" s="169"/>
    </row>
    <row r="1036" spans="19:55" ht="15.75" customHeight="1">
      <c r="S1036" s="454"/>
      <c r="AN1036" s="458"/>
      <c r="BA1036" s="1305"/>
      <c r="BC1036" s="169"/>
    </row>
    <row r="1037" spans="19:55" ht="15.75" customHeight="1">
      <c r="S1037" s="454"/>
      <c r="AN1037" s="458"/>
      <c r="BA1037" s="1305"/>
      <c r="BC1037" s="169"/>
    </row>
    <row r="1038" spans="19:55" ht="15.75" customHeight="1">
      <c r="S1038" s="454"/>
      <c r="AN1038" s="458"/>
      <c r="BA1038" s="1305"/>
      <c r="BC1038" s="169"/>
    </row>
    <row r="1039" spans="19:55" ht="15.75" customHeight="1">
      <c r="S1039" s="454"/>
      <c r="AN1039" s="458"/>
      <c r="BA1039" s="1305"/>
      <c r="BC1039" s="169"/>
    </row>
    <row r="1040" spans="19:55" ht="15.75" customHeight="1">
      <c r="S1040" s="454"/>
      <c r="AN1040" s="458"/>
      <c r="BA1040" s="1305"/>
      <c r="BC1040" s="169"/>
    </row>
    <row r="1041" spans="19:55" ht="15.75" customHeight="1">
      <c r="S1041" s="454"/>
      <c r="AN1041" s="458"/>
      <c r="BA1041" s="1305"/>
      <c r="BC1041" s="169"/>
    </row>
    <row r="1042" spans="19:55" ht="15.75" customHeight="1">
      <c r="S1042" s="454"/>
      <c r="AN1042" s="458"/>
      <c r="BA1042" s="1305"/>
      <c r="BC1042" s="169"/>
    </row>
    <row r="1043" spans="19:55" ht="15.75" customHeight="1">
      <c r="S1043" s="454"/>
      <c r="AN1043" s="458"/>
      <c r="BA1043" s="1305"/>
      <c r="BC1043" s="169"/>
    </row>
    <row r="1044" spans="19:55" ht="15.75" customHeight="1">
      <c r="S1044" s="454"/>
      <c r="AN1044" s="458"/>
      <c r="BA1044" s="1305"/>
      <c r="BC1044" s="169"/>
    </row>
    <row r="1045" spans="19:55" ht="15.75" customHeight="1">
      <c r="S1045" s="454"/>
      <c r="AN1045" s="458"/>
      <c r="BA1045" s="1305"/>
      <c r="BC1045" s="169"/>
    </row>
    <row r="1046" spans="19:55" ht="15.75" customHeight="1">
      <c r="S1046" s="454"/>
      <c r="AN1046" s="458"/>
      <c r="BA1046" s="1305"/>
      <c r="BC1046" s="169"/>
    </row>
    <row r="1047" spans="19:55" ht="15.75" customHeight="1">
      <c r="S1047" s="454"/>
      <c r="AN1047" s="458"/>
      <c r="BA1047" s="1305"/>
      <c r="BC1047" s="169"/>
    </row>
    <row r="1048" spans="19:55" ht="15.75" customHeight="1">
      <c r="S1048" s="454"/>
      <c r="AN1048" s="458"/>
      <c r="BA1048" s="1305"/>
      <c r="BC1048" s="169"/>
    </row>
    <row r="1049" spans="19:55" ht="15.75" customHeight="1">
      <c r="S1049" s="454"/>
      <c r="AN1049" s="458"/>
      <c r="BA1049" s="1305"/>
      <c r="BC1049" s="169"/>
    </row>
    <row r="1050" spans="19:55" ht="15.75" customHeight="1">
      <c r="S1050" s="454"/>
      <c r="AN1050" s="458"/>
      <c r="BA1050" s="1305"/>
      <c r="BC1050" s="169"/>
    </row>
    <row r="1051" spans="19:55" ht="15.75" customHeight="1">
      <c r="S1051" s="454"/>
      <c r="AN1051" s="458"/>
      <c r="BA1051" s="1305"/>
      <c r="BC1051" s="169"/>
    </row>
    <row r="1052" spans="19:55" ht="15.75" customHeight="1">
      <c r="S1052" s="454"/>
      <c r="AN1052" s="458"/>
      <c r="BA1052" s="1305"/>
      <c r="BC1052" s="169"/>
    </row>
    <row r="1053" spans="19:55" ht="15.75" customHeight="1">
      <c r="S1053" s="454"/>
      <c r="AN1053" s="458"/>
      <c r="BA1053" s="1305"/>
      <c r="BC1053" s="169"/>
    </row>
    <row r="1054" spans="19:55" ht="15.75" customHeight="1">
      <c r="S1054" s="454"/>
      <c r="AN1054" s="458"/>
      <c r="BA1054" s="1305"/>
      <c r="BC1054" s="169"/>
    </row>
    <row r="1055" spans="19:55" ht="15.75" customHeight="1">
      <c r="S1055" s="454"/>
      <c r="AN1055" s="458"/>
      <c r="BA1055" s="1305"/>
      <c r="BC1055" s="169"/>
    </row>
    <row r="1056" spans="19:55" ht="15.75" customHeight="1">
      <c r="S1056" s="454"/>
      <c r="AN1056" s="458"/>
      <c r="BA1056" s="1305"/>
      <c r="BC1056" s="169"/>
    </row>
    <row r="1057" spans="19:55" ht="15.75" customHeight="1">
      <c r="S1057" s="454"/>
      <c r="AN1057" s="458"/>
      <c r="BA1057" s="1305"/>
      <c r="BC1057" s="169"/>
    </row>
    <row r="1058" spans="19:55" ht="15.75" customHeight="1">
      <c r="S1058" s="454"/>
      <c r="AN1058" s="458"/>
      <c r="BA1058" s="1305"/>
      <c r="BC1058" s="169"/>
    </row>
    <row r="1059" spans="19:55" ht="15.75" customHeight="1">
      <c r="S1059" s="454"/>
      <c r="AN1059" s="458"/>
      <c r="BA1059" s="1305"/>
      <c r="BC1059" s="169"/>
    </row>
    <row r="1060" spans="19:55" ht="15.75" customHeight="1">
      <c r="S1060" s="454"/>
      <c r="AN1060" s="458"/>
      <c r="BA1060" s="1305"/>
      <c r="BC1060" s="169"/>
    </row>
    <row r="1061" spans="19:55" ht="15.75" customHeight="1">
      <c r="S1061" s="454"/>
      <c r="AN1061" s="458"/>
      <c r="BA1061" s="1305"/>
      <c r="BC1061" s="169"/>
    </row>
    <row r="1062" spans="19:55" ht="15.75" customHeight="1">
      <c r="S1062" s="454"/>
      <c r="AN1062" s="458"/>
      <c r="BA1062" s="1305"/>
      <c r="BC1062" s="169"/>
    </row>
    <row r="1063" spans="19:55" ht="15.75" customHeight="1">
      <c r="S1063" s="454"/>
      <c r="AN1063" s="458"/>
      <c r="BA1063" s="1305"/>
      <c r="BC1063" s="169"/>
    </row>
    <row r="1064" spans="19:55" ht="15.75" customHeight="1">
      <c r="S1064" s="454"/>
      <c r="AN1064" s="458"/>
      <c r="BA1064" s="1305"/>
      <c r="BC1064" s="169"/>
    </row>
    <row r="1065" spans="19:55" ht="15.75" customHeight="1">
      <c r="S1065" s="454"/>
      <c r="AN1065" s="458"/>
      <c r="BA1065" s="1305"/>
      <c r="BC1065" s="169"/>
    </row>
    <row r="1066" spans="19:55" ht="15.75" customHeight="1">
      <c r="S1066" s="454"/>
      <c r="AN1066" s="458"/>
      <c r="BA1066" s="1305"/>
      <c r="BC1066" s="169"/>
    </row>
    <row r="1067" spans="19:55" ht="15.75" customHeight="1">
      <c r="S1067" s="454"/>
      <c r="AN1067" s="458"/>
      <c r="BA1067" s="1305"/>
      <c r="BC1067" s="169"/>
    </row>
    <row r="1068" spans="19:55" ht="15.75" customHeight="1">
      <c r="S1068" s="454"/>
      <c r="AN1068" s="458"/>
      <c r="BA1068" s="1305"/>
      <c r="BC1068" s="169"/>
    </row>
    <row r="1069" spans="19:55" ht="15.75" customHeight="1">
      <c r="S1069" s="454"/>
      <c r="AN1069" s="458"/>
      <c r="BA1069" s="1305"/>
      <c r="BC1069" s="169"/>
    </row>
    <row r="1070" spans="19:55" ht="15.75" customHeight="1">
      <c r="S1070" s="454"/>
      <c r="AN1070" s="458"/>
      <c r="BA1070" s="1305"/>
      <c r="BC1070" s="169"/>
    </row>
    <row r="1071" spans="19:55" ht="15.75" customHeight="1">
      <c r="S1071" s="454"/>
      <c r="AN1071" s="458"/>
      <c r="BA1071" s="1305"/>
      <c r="BC1071" s="169"/>
    </row>
    <row r="1072" spans="19:55" ht="15.75" customHeight="1">
      <c r="S1072" s="454"/>
      <c r="AN1072" s="458"/>
      <c r="BA1072" s="1305"/>
      <c r="BC1072" s="169"/>
    </row>
    <row r="1073" spans="19:55" ht="15.75" customHeight="1">
      <c r="S1073" s="454"/>
      <c r="AN1073" s="458"/>
      <c r="BA1073" s="1305"/>
      <c r="BC1073" s="169"/>
    </row>
    <row r="1074" spans="19:55" ht="15.75" customHeight="1">
      <c r="S1074" s="454"/>
      <c r="AN1074" s="458"/>
      <c r="BA1074" s="1305"/>
      <c r="BC1074" s="169"/>
    </row>
    <row r="1075" spans="19:55" ht="15.75" customHeight="1">
      <c r="S1075" s="454"/>
      <c r="AN1075" s="458"/>
      <c r="BA1075" s="1305"/>
      <c r="BC1075" s="169"/>
    </row>
    <row r="1076" spans="19:55" ht="15.75" customHeight="1">
      <c r="S1076" s="454"/>
      <c r="AN1076" s="458"/>
      <c r="BA1076" s="1305"/>
      <c r="BC1076" s="169"/>
    </row>
    <row r="1077" spans="19:55" ht="15.75" customHeight="1">
      <c r="S1077" s="454"/>
      <c r="AN1077" s="458"/>
      <c r="BA1077" s="1305"/>
      <c r="BC1077" s="169"/>
    </row>
    <row r="1078" spans="19:55" ht="15.75" customHeight="1">
      <c r="S1078" s="454"/>
      <c r="AN1078" s="458"/>
      <c r="BA1078" s="1305"/>
      <c r="BC1078" s="169"/>
    </row>
    <row r="1079" spans="19:55" ht="15.75" customHeight="1">
      <c r="S1079" s="454"/>
      <c r="AN1079" s="458"/>
      <c r="BA1079" s="1266"/>
      <c r="BC1079" s="169"/>
    </row>
    <row r="1080" spans="19:55" ht="15.75" customHeight="1">
      <c r="S1080" s="454"/>
      <c r="AN1080" s="458"/>
      <c r="BA1080" s="1266"/>
      <c r="BC1080" s="169"/>
    </row>
    <row r="1081" spans="19:55" ht="15.75" customHeight="1">
      <c r="S1081" s="454"/>
      <c r="AN1081" s="458"/>
      <c r="BA1081" s="1266"/>
      <c r="BC1081" s="169"/>
    </row>
    <row r="1082" spans="19:55" ht="15.75" customHeight="1">
      <c r="S1082" s="454"/>
      <c r="AN1082" s="458"/>
      <c r="BA1082" s="1266"/>
      <c r="BC1082" s="169"/>
    </row>
    <row r="1083" spans="19:55" ht="15.75" customHeight="1">
      <c r="S1083" s="454"/>
      <c r="AN1083" s="458"/>
      <c r="BA1083" s="1266"/>
      <c r="BC1083" s="169"/>
    </row>
    <row r="1084" spans="19:55" ht="15.75" customHeight="1">
      <c r="S1084" s="454"/>
      <c r="AN1084" s="458"/>
      <c r="BA1084" s="1266"/>
      <c r="BC1084" s="169"/>
    </row>
    <row r="1085" spans="19:55" ht="15.75" customHeight="1">
      <c r="S1085" s="454"/>
      <c r="AN1085" s="458"/>
      <c r="BA1085" s="1266"/>
      <c r="BC1085" s="169"/>
    </row>
    <row r="1086" spans="19:55" ht="15.75" customHeight="1">
      <c r="S1086" s="454"/>
      <c r="AN1086" s="458"/>
      <c r="BA1086" s="1266"/>
      <c r="BC1086" s="169"/>
    </row>
    <row r="1087" spans="19:55" ht="15.75" customHeight="1">
      <c r="S1087" s="454"/>
      <c r="AN1087" s="458"/>
      <c r="BA1087" s="1266"/>
      <c r="BC1087" s="169"/>
    </row>
    <row r="1088" spans="19:55" ht="15.75" customHeight="1">
      <c r="S1088" s="454"/>
      <c r="AN1088" s="458"/>
      <c r="BA1088" s="1266"/>
      <c r="BC1088" s="169"/>
    </row>
    <row r="1089" spans="19:55" ht="15.75" customHeight="1">
      <c r="S1089" s="454"/>
      <c r="AN1089" s="458"/>
      <c r="BA1089" s="1266"/>
      <c r="BC1089" s="169"/>
    </row>
    <row r="1090" spans="19:55" ht="15.75" customHeight="1">
      <c r="S1090" s="454"/>
      <c r="AN1090" s="458"/>
      <c r="BA1090" s="1266"/>
      <c r="BC1090" s="169"/>
    </row>
    <row r="1091" spans="19:55" ht="15.75" customHeight="1">
      <c r="S1091" s="454"/>
      <c r="AN1091" s="458"/>
      <c r="BA1091" s="1266"/>
      <c r="BC1091" s="169"/>
    </row>
    <row r="1092" spans="19:55" ht="15.75" customHeight="1">
      <c r="S1092" s="454"/>
      <c r="AN1092" s="458"/>
      <c r="BA1092" s="1266"/>
      <c r="BC1092" s="169"/>
    </row>
    <row r="1093" spans="19:55" ht="15.75" customHeight="1">
      <c r="S1093" s="454"/>
      <c r="AN1093" s="458"/>
      <c r="BA1093" s="1266"/>
      <c r="BC1093" s="169"/>
    </row>
    <row r="1094" spans="19:55" ht="15.75" customHeight="1">
      <c r="S1094" s="454"/>
      <c r="AN1094" s="458"/>
      <c r="BA1094" s="1266"/>
      <c r="BC1094" s="169"/>
    </row>
    <row r="1095" spans="19:55" ht="15.75" customHeight="1">
      <c r="S1095" s="454"/>
      <c r="AN1095" s="458"/>
      <c r="BA1095" s="1266"/>
      <c r="BC1095" s="169"/>
    </row>
    <row r="1096" spans="19:55" ht="15.75" customHeight="1">
      <c r="S1096" s="454"/>
      <c r="AN1096" s="458"/>
      <c r="BA1096" s="1266"/>
      <c r="BC1096" s="169"/>
    </row>
    <row r="1097" spans="19:55" ht="15.75" customHeight="1">
      <c r="S1097" s="454"/>
      <c r="AN1097" s="458"/>
      <c r="BA1097" s="1266"/>
      <c r="BC1097" s="169"/>
    </row>
    <row r="1098" spans="19:55" ht="15.75" customHeight="1">
      <c r="S1098" s="454"/>
      <c r="AN1098" s="458"/>
      <c r="BA1098" s="1266"/>
      <c r="BC1098" s="169"/>
    </row>
    <row r="1099" spans="19:55" ht="15.75" customHeight="1">
      <c r="S1099" s="454"/>
      <c r="AN1099" s="458"/>
      <c r="BA1099" s="1266"/>
      <c r="BC1099" s="169"/>
    </row>
    <row r="1100" spans="19:55" ht="15.75" customHeight="1">
      <c r="S1100" s="454"/>
      <c r="AN1100" s="458"/>
      <c r="BA1100" s="1266"/>
      <c r="BC1100" s="169"/>
    </row>
    <row r="1101" spans="19:55" ht="15.75" customHeight="1">
      <c r="S1101" s="454"/>
      <c r="AN1101" s="458"/>
      <c r="BA1101" s="1266"/>
      <c r="BC1101" s="169"/>
    </row>
    <row r="1102" spans="19:55" ht="15.75" customHeight="1">
      <c r="S1102" s="454"/>
      <c r="AN1102" s="458"/>
      <c r="BA1102" s="1266"/>
      <c r="BC1102" s="169"/>
    </row>
    <row r="1103" spans="19:55" ht="15.75" customHeight="1">
      <c r="S1103" s="454"/>
      <c r="AN1103" s="458"/>
      <c r="BA1103" s="1266"/>
      <c r="BC1103" s="169"/>
    </row>
    <row r="1104" spans="19:55" ht="15.75" customHeight="1">
      <c r="S1104" s="454"/>
      <c r="AN1104" s="458"/>
      <c r="BA1104" s="1266"/>
      <c r="BC1104" s="169"/>
    </row>
    <row r="1105" spans="19:55" ht="15.75" customHeight="1">
      <c r="S1105" s="454"/>
      <c r="AN1105" s="458"/>
      <c r="BA1105" s="1266"/>
      <c r="BC1105" s="169"/>
    </row>
    <row r="1106" spans="19:55" ht="15.75" customHeight="1">
      <c r="S1106" s="454"/>
      <c r="AN1106" s="458"/>
      <c r="BA1106" s="1266"/>
      <c r="BC1106" s="169"/>
    </row>
    <row r="1107" spans="19:55" ht="15.75" customHeight="1">
      <c r="S1107" s="454"/>
      <c r="AN1107" s="458"/>
      <c r="BA1107" s="1266"/>
      <c r="BC1107" s="169"/>
    </row>
    <row r="1108" spans="19:55" ht="15.75" customHeight="1">
      <c r="S1108" s="454"/>
      <c r="AN1108" s="458"/>
      <c r="BA1108" s="1266"/>
      <c r="BC1108" s="169"/>
    </row>
    <row r="1109" spans="19:55" ht="15.75" customHeight="1">
      <c r="S1109" s="454"/>
      <c r="AN1109" s="458"/>
      <c r="BA1109" s="1266"/>
      <c r="BC1109" s="169"/>
    </row>
    <row r="1110" spans="19:55" ht="15.75" customHeight="1">
      <c r="S1110" s="454"/>
      <c r="AN1110" s="458"/>
      <c r="BA1110" s="1266"/>
      <c r="BC1110" s="169"/>
    </row>
    <row r="1111" spans="19:55" ht="15.75" customHeight="1">
      <c r="S1111" s="454"/>
      <c r="AN1111" s="458"/>
      <c r="BA1111" s="1266"/>
      <c r="BC1111" s="169"/>
    </row>
    <row r="1112" spans="19:55" ht="15.75" customHeight="1">
      <c r="S1112" s="454"/>
      <c r="AN1112" s="458"/>
      <c r="BA1112" s="1266"/>
      <c r="BC1112" s="169"/>
    </row>
    <row r="1113" spans="19:55" ht="15.75" customHeight="1">
      <c r="S1113" s="454"/>
      <c r="AN1113" s="458"/>
      <c r="BA1113" s="1266"/>
      <c r="BC1113" s="169"/>
    </row>
    <row r="1114" spans="19:55" ht="15.75" customHeight="1">
      <c r="S1114" s="454"/>
      <c r="AN1114" s="458"/>
      <c r="BA1114" s="1266"/>
      <c r="BC1114" s="169"/>
    </row>
    <row r="1115" spans="19:55" ht="15.75" customHeight="1">
      <c r="S1115" s="454"/>
      <c r="AN1115" s="458"/>
      <c r="BA1115" s="1266"/>
      <c r="BC1115" s="169"/>
    </row>
    <row r="1116" spans="19:55" ht="15.75" customHeight="1">
      <c r="S1116" s="454"/>
      <c r="AN1116" s="458"/>
      <c r="BA1116" s="1266"/>
      <c r="BC1116" s="169"/>
    </row>
    <row r="1117" spans="19:55" ht="15.75" customHeight="1">
      <c r="S1117" s="454"/>
      <c r="AN1117" s="458"/>
      <c r="BA1117" s="1266"/>
      <c r="BC1117" s="169"/>
    </row>
    <row r="1118" spans="19:55" ht="15.75" customHeight="1">
      <c r="S1118" s="454"/>
      <c r="AN1118" s="458"/>
      <c r="BA1118" s="1266"/>
      <c r="BC1118" s="169"/>
    </row>
    <row r="1119" spans="19:55" ht="15.75" customHeight="1">
      <c r="S1119" s="454"/>
      <c r="AN1119" s="458"/>
      <c r="BA1119" s="1266"/>
      <c r="BC1119" s="169"/>
    </row>
    <row r="1120" spans="19:55" ht="15.75" customHeight="1">
      <c r="S1120" s="454"/>
      <c r="AN1120" s="458"/>
      <c r="BA1120" s="1266"/>
      <c r="BC1120" s="169"/>
    </row>
    <row r="1121" spans="19:55" ht="15.75" customHeight="1">
      <c r="S1121" s="454"/>
      <c r="AN1121" s="458"/>
      <c r="BA1121" s="1266"/>
      <c r="BC1121" s="169"/>
    </row>
    <row r="1122" spans="19:55" ht="15.75" customHeight="1">
      <c r="S1122" s="454"/>
      <c r="AN1122" s="458"/>
      <c r="BA1122" s="1266"/>
      <c r="BC1122" s="169"/>
    </row>
    <row r="1123" spans="19:55" ht="15.75" customHeight="1">
      <c r="S1123" s="454"/>
      <c r="AN1123" s="458"/>
      <c r="BA1123" s="1266"/>
      <c r="BC1123" s="169"/>
    </row>
    <row r="1124" spans="19:55" ht="15.75" customHeight="1">
      <c r="S1124" s="454"/>
      <c r="AN1124" s="458"/>
      <c r="BA1124" s="1266"/>
      <c r="BC1124" s="169"/>
    </row>
    <row r="1125" spans="19:55" ht="15.75" customHeight="1">
      <c r="S1125" s="454"/>
      <c r="AN1125" s="458"/>
      <c r="BA1125" s="1266"/>
      <c r="BC1125" s="169"/>
    </row>
    <row r="1126" spans="19:55" ht="15.75" customHeight="1">
      <c r="S1126" s="454"/>
      <c r="AN1126" s="458"/>
      <c r="BA1126" s="1266"/>
      <c r="BC1126" s="169"/>
    </row>
    <row r="1127" spans="19:55" ht="15.75" customHeight="1">
      <c r="S1127" s="454"/>
      <c r="AN1127" s="458"/>
      <c r="BA1127" s="1266"/>
      <c r="BC1127" s="169"/>
    </row>
    <row r="1128" spans="19:55" ht="15.75" customHeight="1">
      <c r="S1128" s="454"/>
      <c r="AN1128" s="458"/>
      <c r="BA1128" s="1266"/>
      <c r="BC1128" s="169"/>
    </row>
    <row r="1129" spans="19:55" ht="15.75" customHeight="1">
      <c r="S1129" s="454"/>
      <c r="AN1129" s="458"/>
      <c r="BA1129" s="1266"/>
      <c r="BC1129" s="169"/>
    </row>
    <row r="1130" spans="19:55" ht="15.75" customHeight="1">
      <c r="S1130" s="454"/>
      <c r="AN1130" s="458"/>
      <c r="BA1130" s="1266"/>
      <c r="BC1130" s="169"/>
    </row>
    <row r="1131" spans="19:55" ht="15.75" customHeight="1">
      <c r="S1131" s="454"/>
      <c r="AN1131" s="458"/>
      <c r="BA1131" s="1266"/>
      <c r="BC1131" s="169"/>
    </row>
    <row r="1132" spans="19:55" ht="15.75" customHeight="1">
      <c r="S1132" s="454"/>
      <c r="AN1132" s="458"/>
      <c r="BA1132" s="1266"/>
      <c r="BC1132" s="169"/>
    </row>
    <row r="1133" spans="19:55" ht="15.75" customHeight="1">
      <c r="S1133" s="454"/>
      <c r="AN1133" s="458"/>
      <c r="BA1133" s="1266"/>
      <c r="BC1133" s="169"/>
    </row>
    <row r="1134" spans="19:55" ht="15.75" customHeight="1">
      <c r="S1134" s="454"/>
      <c r="AN1134" s="458"/>
      <c r="BA1134" s="1266"/>
      <c r="BC1134" s="169"/>
    </row>
    <row r="1135" spans="19:55" ht="15.75" customHeight="1">
      <c r="S1135" s="454"/>
      <c r="AN1135" s="458"/>
      <c r="BA1135" s="1266"/>
      <c r="BC1135" s="169"/>
    </row>
    <row r="1136" spans="19:55" ht="15.75" customHeight="1">
      <c r="S1136" s="454"/>
      <c r="AN1136" s="458"/>
      <c r="BA1136" s="1266"/>
      <c r="BC1136" s="169"/>
    </row>
    <row r="1137" spans="19:55" ht="15.75" customHeight="1">
      <c r="S1137" s="454"/>
      <c r="AN1137" s="458"/>
      <c r="BA1137" s="1266"/>
      <c r="BC1137" s="169"/>
    </row>
    <row r="1138" spans="19:55" ht="15.75" customHeight="1">
      <c r="S1138" s="454"/>
      <c r="AN1138" s="458"/>
      <c r="BA1138" s="1266"/>
      <c r="BC1138" s="169"/>
    </row>
    <row r="1139" spans="19:55" ht="15.75" customHeight="1">
      <c r="S1139" s="454"/>
      <c r="AN1139" s="458"/>
      <c r="BA1139" s="1266"/>
      <c r="BC1139" s="169"/>
    </row>
    <row r="1140" spans="19:55" ht="15.75" customHeight="1">
      <c r="S1140" s="454"/>
      <c r="AN1140" s="458"/>
      <c r="BA1140" s="1266"/>
      <c r="BC1140" s="169"/>
    </row>
    <row r="1141" spans="19:55" ht="15.75" customHeight="1">
      <c r="S1141" s="454"/>
      <c r="AN1141" s="458"/>
      <c r="BA1141" s="1266"/>
      <c r="BC1141" s="169"/>
    </row>
    <row r="1142" spans="19:55" ht="15.75" customHeight="1">
      <c r="S1142" s="454"/>
      <c r="AN1142" s="458"/>
      <c r="BA1142" s="1266"/>
      <c r="BC1142" s="169"/>
    </row>
    <row r="1143" spans="19:55" ht="15.75" customHeight="1">
      <c r="S1143" s="454"/>
      <c r="AN1143" s="458"/>
      <c r="BA1143" s="1266"/>
      <c r="BC1143" s="169"/>
    </row>
    <row r="1144" spans="19:55" ht="15.75" customHeight="1">
      <c r="S1144" s="454"/>
      <c r="AN1144" s="458"/>
      <c r="BA1144" s="1266"/>
      <c r="BC1144" s="169"/>
    </row>
    <row r="1145" spans="19:55" ht="15.75" customHeight="1">
      <c r="S1145" s="454"/>
      <c r="AN1145" s="458"/>
      <c r="BA1145" s="1266"/>
      <c r="BC1145" s="169"/>
    </row>
    <row r="1146" spans="19:55" ht="15.75" customHeight="1">
      <c r="S1146" s="454"/>
      <c r="AN1146" s="458"/>
      <c r="BA1146" s="1266"/>
      <c r="BC1146" s="169"/>
    </row>
    <row r="1147" spans="19:55" ht="15.75" customHeight="1">
      <c r="S1147" s="454"/>
      <c r="AN1147" s="458"/>
      <c r="BA1147" s="1266"/>
      <c r="BC1147" s="169"/>
    </row>
    <row r="1148" spans="19:55" ht="15.75" customHeight="1">
      <c r="S1148" s="454"/>
      <c r="AN1148" s="458"/>
      <c r="BA1148" s="1266"/>
      <c r="BC1148" s="169"/>
    </row>
    <row r="1149" spans="19:55" ht="15.75" customHeight="1">
      <c r="S1149" s="454"/>
      <c r="AN1149" s="458"/>
      <c r="BA1149" s="1266"/>
      <c r="BC1149" s="169"/>
    </row>
    <row r="1150" spans="19:55" ht="15.75" customHeight="1">
      <c r="S1150" s="454"/>
      <c r="AN1150" s="458"/>
      <c r="BA1150" s="1266"/>
      <c r="BC1150" s="169"/>
    </row>
    <row r="1151" spans="19:55" ht="15.75" customHeight="1">
      <c r="S1151" s="454"/>
      <c r="AN1151" s="458"/>
      <c r="BA1151" s="1266"/>
      <c r="BC1151" s="169"/>
    </row>
    <row r="1152" spans="19:55" ht="15.75" customHeight="1">
      <c r="S1152" s="454"/>
      <c r="AN1152" s="458"/>
      <c r="BA1152" s="1266"/>
      <c r="BC1152" s="169"/>
    </row>
    <row r="1153" spans="19:55" ht="15.75" customHeight="1">
      <c r="S1153" s="454"/>
      <c r="AN1153" s="458"/>
      <c r="BA1153" s="1266"/>
      <c r="BC1153" s="169"/>
    </row>
    <row r="1154" spans="19:55" ht="15.75" customHeight="1">
      <c r="S1154" s="454"/>
      <c r="AN1154" s="458"/>
      <c r="BA1154" s="1266"/>
      <c r="BC1154" s="169"/>
    </row>
    <row r="1155" spans="19:55" ht="15.75" customHeight="1">
      <c r="S1155" s="454"/>
      <c r="AN1155" s="458"/>
      <c r="BA1155" s="1266"/>
      <c r="BC1155" s="169"/>
    </row>
    <row r="1156" spans="19:55" ht="15.75" customHeight="1">
      <c r="S1156" s="454"/>
      <c r="AN1156" s="458"/>
      <c r="BA1156" s="1266"/>
      <c r="BC1156" s="169"/>
    </row>
    <row r="1157" spans="19:55" ht="15.75" customHeight="1">
      <c r="S1157" s="454"/>
      <c r="AN1157" s="458"/>
      <c r="BA1157" s="1266"/>
      <c r="BC1157" s="169"/>
    </row>
    <row r="1158" spans="19:55" ht="15.75" customHeight="1">
      <c r="S1158" s="454"/>
      <c r="AN1158" s="458"/>
      <c r="BA1158" s="1266"/>
      <c r="BC1158" s="169"/>
    </row>
    <row r="1159" spans="19:55" ht="15.75" customHeight="1">
      <c r="S1159" s="454"/>
      <c r="AN1159" s="458"/>
      <c r="BA1159" s="1266"/>
      <c r="BC1159" s="169"/>
    </row>
    <row r="1160" spans="19:55" ht="15.75" customHeight="1">
      <c r="S1160" s="454"/>
      <c r="AN1160" s="458"/>
      <c r="BA1160" s="1266"/>
      <c r="BC1160" s="169"/>
    </row>
    <row r="1161" spans="19:55" ht="15.75" customHeight="1">
      <c r="S1161" s="454"/>
      <c r="AN1161" s="458"/>
      <c r="BA1161" s="1266"/>
      <c r="BC1161" s="169"/>
    </row>
    <row r="1162" spans="19:55" ht="15.75" customHeight="1">
      <c r="S1162" s="454"/>
      <c r="AN1162" s="458"/>
      <c r="BA1162" s="1266"/>
      <c r="BC1162" s="169"/>
    </row>
    <row r="1163" spans="19:55" ht="15.75" customHeight="1">
      <c r="S1163" s="454"/>
      <c r="AN1163" s="458"/>
      <c r="BA1163" s="1266"/>
      <c r="BC1163" s="169"/>
    </row>
    <row r="1164" spans="19:55" ht="15.75" customHeight="1">
      <c r="S1164" s="454"/>
      <c r="AN1164" s="458"/>
      <c r="BA1164" s="1266"/>
      <c r="BC1164" s="169"/>
    </row>
    <row r="1165" spans="19:55" ht="15.75" customHeight="1">
      <c r="S1165" s="454"/>
      <c r="AN1165" s="458"/>
      <c r="BA1165" s="1266"/>
      <c r="BC1165" s="169"/>
    </row>
    <row r="1166" spans="19:55" ht="15.75" customHeight="1">
      <c r="S1166" s="454"/>
      <c r="AN1166" s="458"/>
      <c r="BA1166" s="1266"/>
      <c r="BC1166" s="169"/>
    </row>
    <row r="1167" spans="19:55" ht="15.75" customHeight="1">
      <c r="S1167" s="454"/>
      <c r="AN1167" s="458"/>
      <c r="BA1167" s="1266"/>
      <c r="BC1167" s="169"/>
    </row>
    <row r="1168" spans="19:55" ht="15.75" customHeight="1">
      <c r="S1168" s="454"/>
      <c r="AN1168" s="458"/>
      <c r="BA1168" s="1266"/>
      <c r="BC1168" s="169"/>
    </row>
    <row r="1169" spans="19:55" ht="15.75" customHeight="1">
      <c r="S1169" s="454"/>
      <c r="AN1169" s="458"/>
      <c r="BA1169" s="1266"/>
      <c r="BC1169" s="169"/>
    </row>
    <row r="1170" spans="19:55" ht="15.75" customHeight="1">
      <c r="S1170" s="454"/>
      <c r="AN1170" s="458"/>
      <c r="BA1170" s="1266"/>
      <c r="BC1170" s="169"/>
    </row>
    <row r="1171" spans="19:55" ht="15.75" customHeight="1">
      <c r="S1171" s="454"/>
      <c r="AN1171" s="458"/>
      <c r="BA1171" s="1266"/>
      <c r="BC1171" s="169"/>
    </row>
    <row r="1172" spans="19:55" ht="15.75" customHeight="1">
      <c r="S1172" s="454"/>
      <c r="AN1172" s="458"/>
      <c r="BA1172" s="1266"/>
      <c r="BC1172" s="169"/>
    </row>
    <row r="1173" spans="19:55" ht="15.75" customHeight="1">
      <c r="S1173" s="454"/>
      <c r="AN1173" s="458"/>
      <c r="BA1173" s="1266"/>
      <c r="BC1173" s="169"/>
    </row>
    <row r="1174" spans="19:55" ht="15.75" customHeight="1">
      <c r="S1174" s="454"/>
      <c r="AN1174" s="458"/>
      <c r="BA1174" s="1266"/>
      <c r="BC1174" s="169"/>
    </row>
    <row r="1175" spans="19:55" ht="15.75" customHeight="1">
      <c r="S1175" s="454"/>
      <c r="AN1175" s="458"/>
      <c r="BA1175" s="1266"/>
      <c r="BC1175" s="169"/>
    </row>
    <row r="1176" spans="19:55" ht="15.75" customHeight="1">
      <c r="S1176" s="454"/>
      <c r="AN1176" s="458"/>
      <c r="BA1176" s="1266"/>
      <c r="BC1176" s="169"/>
    </row>
    <row r="1177" spans="19:55" ht="15.75" customHeight="1">
      <c r="S1177" s="454"/>
      <c r="AN1177" s="458"/>
      <c r="BA1177" s="1266"/>
      <c r="BC1177" s="169"/>
    </row>
    <row r="1178" spans="19:55" ht="15.75" customHeight="1">
      <c r="S1178" s="454"/>
      <c r="AN1178" s="458"/>
      <c r="BA1178" s="1266"/>
      <c r="BC1178" s="169"/>
    </row>
    <row r="1179" spans="19:55" ht="15.75" customHeight="1">
      <c r="S1179" s="454"/>
      <c r="AN1179" s="458"/>
      <c r="BA1179" s="1266"/>
      <c r="BC1179" s="169"/>
    </row>
    <row r="1180" spans="19:55" ht="15.75" customHeight="1">
      <c r="S1180" s="454"/>
      <c r="AN1180" s="458"/>
      <c r="BA1180" s="1266"/>
      <c r="BC1180" s="169"/>
    </row>
    <row r="1181" spans="19:55" ht="15.75" customHeight="1">
      <c r="S1181" s="454"/>
      <c r="AN1181" s="458"/>
      <c r="BA1181" s="1266"/>
      <c r="BC1181" s="169"/>
    </row>
    <row r="1182" spans="19:55" ht="15.75" customHeight="1">
      <c r="S1182" s="454"/>
      <c r="AN1182" s="458"/>
      <c r="BA1182" s="1266"/>
      <c r="BC1182" s="169"/>
    </row>
    <row r="1183" spans="19:55" ht="15.75" customHeight="1">
      <c r="S1183" s="454"/>
      <c r="AN1183" s="458"/>
      <c r="BA1183" s="1266"/>
      <c r="BC1183" s="169"/>
    </row>
    <row r="1184" spans="19:55" ht="15.75" customHeight="1">
      <c r="S1184" s="454"/>
      <c r="AN1184" s="458"/>
      <c r="BA1184" s="1266"/>
      <c r="BC1184" s="169"/>
    </row>
    <row r="1185" spans="19:55" ht="15.75" customHeight="1">
      <c r="S1185" s="454"/>
      <c r="AN1185" s="458"/>
      <c r="BA1185" s="1266"/>
      <c r="BC1185" s="169"/>
    </row>
    <row r="1186" spans="19:55" ht="15.75" customHeight="1">
      <c r="S1186" s="454"/>
      <c r="AN1186" s="458"/>
      <c r="BA1186" s="1266"/>
      <c r="BC1186" s="169"/>
    </row>
    <row r="1187" spans="19:55" ht="15.75" customHeight="1">
      <c r="S1187" s="454"/>
      <c r="AN1187" s="458"/>
      <c r="BA1187" s="1266"/>
      <c r="BC1187" s="169"/>
    </row>
    <row r="1188" spans="19:55" ht="15.75" customHeight="1">
      <c r="S1188" s="454"/>
      <c r="AN1188" s="458"/>
      <c r="BA1188" s="1266"/>
      <c r="BC1188" s="169"/>
    </row>
    <row r="1189" spans="19:55" ht="15.75" customHeight="1">
      <c r="S1189" s="454"/>
      <c r="AN1189" s="458"/>
      <c r="BA1189" s="1266"/>
      <c r="BC1189" s="169"/>
    </row>
    <row r="1190" spans="19:55" ht="15.75" customHeight="1">
      <c r="S1190" s="454"/>
      <c r="AN1190" s="458"/>
      <c r="BA1190" s="1266"/>
      <c r="BC1190" s="169"/>
    </row>
    <row r="1191" spans="19:55" ht="15.75" customHeight="1">
      <c r="S1191" s="454"/>
      <c r="AN1191" s="458"/>
      <c r="BA1191" s="1266"/>
      <c r="BC1191" s="169"/>
    </row>
    <row r="1192" spans="19:55" ht="15.75" customHeight="1">
      <c r="S1192" s="454"/>
      <c r="AN1192" s="458"/>
      <c r="BA1192" s="1266"/>
      <c r="BC1192" s="169"/>
    </row>
    <row r="1193" spans="19:55" ht="15.75" customHeight="1">
      <c r="S1193" s="454"/>
      <c r="AN1193" s="458"/>
      <c r="BA1193" s="1266"/>
      <c r="BC1193" s="169"/>
    </row>
    <row r="1194" spans="19:55" ht="15.75" customHeight="1">
      <c r="S1194" s="454"/>
      <c r="AN1194" s="458"/>
      <c r="BA1194" s="1266"/>
      <c r="BC1194" s="169"/>
    </row>
    <row r="1195" spans="19:55" ht="15.75" customHeight="1">
      <c r="S1195" s="454"/>
      <c r="AN1195" s="458"/>
      <c r="BA1195" s="1266"/>
      <c r="BC1195" s="169"/>
    </row>
    <row r="1196" spans="19:55" ht="15.75" customHeight="1">
      <c r="S1196" s="454"/>
      <c r="AN1196" s="458"/>
      <c r="BA1196" s="1266"/>
      <c r="BC1196" s="169"/>
    </row>
    <row r="1197" spans="19:55" ht="15.75" customHeight="1">
      <c r="S1197" s="454"/>
      <c r="AN1197" s="458"/>
      <c r="BA1197" s="1266"/>
      <c r="BC1197" s="169"/>
    </row>
    <row r="1198" spans="19:55" ht="15.75" customHeight="1">
      <c r="S1198" s="454"/>
      <c r="AN1198" s="458"/>
      <c r="BA1198" s="1266"/>
      <c r="BC1198" s="169"/>
    </row>
    <row r="1199" spans="19:55" ht="15.75" customHeight="1">
      <c r="S1199" s="454"/>
      <c r="AN1199" s="458"/>
      <c r="BA1199" s="1266"/>
      <c r="BC1199" s="169"/>
    </row>
    <row r="1200" spans="19:55" ht="15.75" customHeight="1">
      <c r="S1200" s="454"/>
      <c r="AN1200" s="458"/>
      <c r="BA1200" s="1266"/>
      <c r="BC1200" s="169"/>
    </row>
    <row r="1201" spans="19:55" ht="15.75" customHeight="1">
      <c r="S1201" s="454"/>
      <c r="AN1201" s="458"/>
      <c r="BA1201" s="1266"/>
      <c r="BC1201" s="169"/>
    </row>
    <row r="1202" spans="19:55" ht="15.75" customHeight="1">
      <c r="S1202" s="454"/>
      <c r="AN1202" s="458"/>
      <c r="BA1202" s="1266"/>
      <c r="BC1202" s="169"/>
    </row>
    <row r="1203" spans="19:55" ht="15.75" customHeight="1">
      <c r="S1203" s="454"/>
      <c r="AN1203" s="458"/>
      <c r="BA1203" s="1266"/>
      <c r="BC1203" s="169"/>
    </row>
    <row r="1204" spans="19:55" ht="15.75" customHeight="1">
      <c r="S1204" s="454"/>
      <c r="AN1204" s="458"/>
      <c r="BA1204" s="1266"/>
      <c r="BC1204" s="169"/>
    </row>
    <row r="1205" spans="19:55" ht="15.75" customHeight="1">
      <c r="S1205" s="454"/>
      <c r="AN1205" s="458"/>
      <c r="BA1205" s="1266"/>
      <c r="BC1205" s="169"/>
    </row>
    <row r="1206" spans="19:55" ht="15.75" customHeight="1">
      <c r="S1206" s="454"/>
      <c r="AN1206" s="458"/>
      <c r="BA1206" s="1266"/>
      <c r="BC1206" s="169"/>
    </row>
    <row r="1207" spans="19:55" ht="15.75" customHeight="1">
      <c r="S1207" s="454"/>
      <c r="AN1207" s="458"/>
      <c r="BA1207" s="1266"/>
      <c r="BC1207" s="169"/>
    </row>
    <row r="1208" spans="19:55" ht="15.75" customHeight="1">
      <c r="S1208" s="454"/>
      <c r="AN1208" s="458"/>
      <c r="BA1208" s="1266"/>
      <c r="BC1208" s="169"/>
    </row>
    <row r="1209" spans="19:55" ht="15.75" customHeight="1">
      <c r="S1209" s="454"/>
      <c r="AN1209" s="458"/>
      <c r="BA1209" s="1266"/>
      <c r="BC1209" s="169"/>
    </row>
    <row r="1210" spans="19:55" ht="15.75" customHeight="1">
      <c r="S1210" s="454"/>
      <c r="AN1210" s="458"/>
      <c r="BA1210" s="1266"/>
      <c r="BC1210" s="169"/>
    </row>
    <row r="1211" spans="19:55" ht="15.75" customHeight="1">
      <c r="S1211" s="454"/>
      <c r="AN1211" s="458"/>
      <c r="BA1211" s="1266"/>
      <c r="BC1211" s="169"/>
    </row>
    <row r="1212" spans="19:55" ht="15.75" customHeight="1">
      <c r="S1212" s="454"/>
      <c r="AN1212" s="458"/>
      <c r="BA1212" s="1266"/>
      <c r="BC1212" s="169"/>
    </row>
    <row r="1213" spans="19:55" ht="15.75" customHeight="1">
      <c r="S1213" s="454"/>
      <c r="AN1213" s="458"/>
      <c r="BA1213" s="1266"/>
      <c r="BC1213" s="169"/>
    </row>
    <row r="1214" spans="19:55" ht="15.75" customHeight="1">
      <c r="S1214" s="454"/>
      <c r="AN1214" s="458"/>
      <c r="BA1214" s="1266"/>
      <c r="BC1214" s="169"/>
    </row>
    <row r="1215" spans="19:55" ht="15.75" customHeight="1">
      <c r="S1215" s="454"/>
      <c r="AN1215" s="458"/>
      <c r="BA1215" s="1266"/>
      <c r="BC1215" s="169"/>
    </row>
    <row r="1216" spans="19:55" ht="15.75" customHeight="1">
      <c r="S1216" s="454"/>
      <c r="AN1216" s="458"/>
      <c r="BA1216" s="1266"/>
      <c r="BC1216" s="169"/>
    </row>
    <row r="1217" spans="19:55" ht="15.75" customHeight="1">
      <c r="S1217" s="454"/>
      <c r="AN1217" s="458"/>
      <c r="BA1217" s="1266"/>
      <c r="BC1217" s="169"/>
    </row>
    <row r="1218" spans="19:55" ht="15.75" customHeight="1">
      <c r="S1218" s="454"/>
      <c r="AN1218" s="458"/>
      <c r="BA1218" s="1266"/>
      <c r="BC1218" s="169"/>
    </row>
    <row r="1219" spans="19:55" ht="15.75" customHeight="1">
      <c r="S1219" s="454"/>
      <c r="AN1219" s="458"/>
      <c r="BA1219" s="1266"/>
      <c r="BC1219" s="169"/>
    </row>
    <row r="1220" spans="19:55" ht="15.75" customHeight="1">
      <c r="S1220" s="454"/>
      <c r="AN1220" s="458"/>
      <c r="BA1220" s="1266"/>
      <c r="BC1220" s="169"/>
    </row>
    <row r="1221" spans="19:55" ht="15.75" customHeight="1">
      <c r="S1221" s="454"/>
      <c r="AN1221" s="458"/>
      <c r="BA1221" s="1266"/>
      <c r="BC1221" s="169"/>
    </row>
    <row r="1222" spans="19:55" ht="15.75" customHeight="1">
      <c r="S1222" s="454"/>
      <c r="AN1222" s="458"/>
      <c r="BA1222" s="1266"/>
      <c r="BC1222" s="169"/>
    </row>
    <row r="1223" spans="19:55" ht="15.75" customHeight="1">
      <c r="S1223" s="454"/>
      <c r="AN1223" s="458"/>
      <c r="BA1223" s="1266"/>
      <c r="BC1223" s="169"/>
    </row>
    <row r="1224" spans="19:55" ht="15.75" customHeight="1">
      <c r="S1224" s="454"/>
      <c r="AN1224" s="458"/>
      <c r="BA1224" s="1266"/>
      <c r="BC1224" s="169"/>
    </row>
    <row r="1225" spans="19:55" ht="15.75" customHeight="1">
      <c r="S1225" s="454"/>
      <c r="AN1225" s="458"/>
      <c r="BA1225" s="1266"/>
      <c r="BC1225" s="169"/>
    </row>
    <row r="1226" spans="19:55" ht="15.75" customHeight="1">
      <c r="S1226" s="454"/>
      <c r="AN1226" s="458"/>
      <c r="BA1226" s="1266"/>
      <c r="BC1226" s="169"/>
    </row>
    <row r="1227" spans="19:55" ht="15.75" customHeight="1">
      <c r="S1227" s="454"/>
      <c r="AN1227" s="458"/>
      <c r="BA1227" s="1266"/>
      <c r="BC1227" s="169"/>
    </row>
    <row r="1228" spans="19:55" ht="15.75" customHeight="1">
      <c r="S1228" s="454"/>
      <c r="AN1228" s="458"/>
      <c r="BA1228" s="1266"/>
      <c r="BC1228" s="169"/>
    </row>
    <row r="1229" spans="19:55" ht="15.75" customHeight="1">
      <c r="S1229" s="454"/>
      <c r="AN1229" s="458"/>
      <c r="BA1229" s="1266"/>
      <c r="BC1229" s="169"/>
    </row>
    <row r="1230" spans="19:55" ht="15.75" customHeight="1">
      <c r="S1230" s="454"/>
      <c r="AN1230" s="458"/>
      <c r="BA1230" s="1266"/>
      <c r="BC1230" s="169"/>
    </row>
    <row r="1231" spans="19:55" ht="15.75" customHeight="1">
      <c r="S1231" s="454"/>
      <c r="AN1231" s="458"/>
      <c r="BA1231" s="1266"/>
      <c r="BC1231" s="169"/>
    </row>
    <row r="1232" spans="19:55" ht="15.75" customHeight="1">
      <c r="S1232" s="454"/>
      <c r="AN1232" s="458"/>
      <c r="BA1232" s="1266"/>
      <c r="BC1232" s="169"/>
    </row>
    <row r="1233" spans="19:55" ht="15.75" customHeight="1">
      <c r="S1233" s="454"/>
      <c r="AN1233" s="458"/>
      <c r="BA1233" s="1266"/>
      <c r="BC1233" s="169"/>
    </row>
    <row r="1234" spans="19:55" ht="15.75" customHeight="1">
      <c r="S1234" s="454"/>
      <c r="AN1234" s="458"/>
      <c r="BA1234" s="1266"/>
      <c r="BC1234" s="169"/>
    </row>
    <row r="1235" spans="19:55" ht="15.75" customHeight="1">
      <c r="S1235" s="454"/>
      <c r="AN1235" s="458"/>
      <c r="BA1235" s="1266"/>
      <c r="BC1235" s="169"/>
    </row>
    <row r="1236" spans="19:55" ht="15.75" customHeight="1">
      <c r="S1236" s="454"/>
      <c r="AN1236" s="458"/>
      <c r="BA1236" s="1266"/>
      <c r="BC1236" s="169"/>
    </row>
    <row r="1237" spans="19:55" ht="15.75" customHeight="1">
      <c r="S1237" s="454"/>
      <c r="AN1237" s="458"/>
      <c r="BA1237" s="1266"/>
      <c r="BC1237" s="169"/>
    </row>
    <row r="1238" spans="19:55" ht="15.75" customHeight="1">
      <c r="S1238" s="454"/>
      <c r="AN1238" s="458"/>
      <c r="BA1238" s="1266"/>
      <c r="BC1238" s="169"/>
    </row>
    <row r="1239" spans="19:55" ht="15.75" customHeight="1">
      <c r="S1239" s="454"/>
      <c r="AN1239" s="458"/>
      <c r="BA1239" s="1266"/>
      <c r="BC1239" s="169"/>
    </row>
    <row r="1240" spans="19:55" ht="15.75" customHeight="1">
      <c r="S1240" s="454"/>
      <c r="AN1240" s="458"/>
      <c r="BA1240" s="1266"/>
      <c r="BC1240" s="169"/>
    </row>
    <row r="1241" spans="19:55" ht="15.75" customHeight="1">
      <c r="S1241" s="454"/>
      <c r="AN1241" s="458"/>
      <c r="BA1241" s="1266"/>
      <c r="BC1241" s="169"/>
    </row>
    <row r="1242" spans="19:55" ht="15.75" customHeight="1">
      <c r="S1242" s="454"/>
      <c r="AN1242" s="458"/>
      <c r="BA1242" s="1266"/>
      <c r="BC1242" s="169"/>
    </row>
    <row r="1243" spans="19:55" ht="15.75" customHeight="1">
      <c r="S1243" s="454"/>
      <c r="AN1243" s="458"/>
      <c r="BA1243" s="1266"/>
      <c r="BC1243" s="169"/>
    </row>
    <row r="1244" spans="19:55" ht="15.75" customHeight="1">
      <c r="S1244" s="454"/>
      <c r="AN1244" s="458"/>
      <c r="BA1244" s="1266"/>
      <c r="BC1244" s="169"/>
    </row>
    <row r="1245" spans="19:55" ht="15.75" customHeight="1">
      <c r="S1245" s="454"/>
      <c r="AN1245" s="458"/>
      <c r="BA1245" s="1266"/>
      <c r="BC1245" s="169"/>
    </row>
    <row r="1246" spans="19:55" ht="15.75" customHeight="1">
      <c r="S1246" s="454"/>
      <c r="AN1246" s="458"/>
      <c r="BA1246" s="1266"/>
      <c r="BC1246" s="169"/>
    </row>
    <row r="1247" spans="19:55" ht="15.75" customHeight="1">
      <c r="S1247" s="454"/>
      <c r="AN1247" s="458"/>
      <c r="BA1247" s="1266"/>
      <c r="BC1247" s="169"/>
    </row>
    <row r="1248" spans="19:55" ht="15.75" customHeight="1">
      <c r="S1248" s="454"/>
      <c r="AN1248" s="458"/>
      <c r="BA1248" s="1266"/>
      <c r="BC1248" s="169"/>
    </row>
    <row r="1249" spans="19:55" ht="15.75" customHeight="1">
      <c r="S1249" s="454"/>
      <c r="AN1249" s="458"/>
      <c r="BA1249" s="1266"/>
      <c r="BC1249" s="169"/>
    </row>
    <row r="1250" spans="19:55" ht="15.75" customHeight="1">
      <c r="S1250" s="454"/>
      <c r="AN1250" s="458"/>
      <c r="BA1250" s="1266"/>
      <c r="BC1250" s="169"/>
    </row>
    <row r="1251" spans="19:55" ht="15.75" customHeight="1">
      <c r="S1251" s="454"/>
      <c r="AN1251" s="458"/>
      <c r="BA1251" s="1266"/>
      <c r="BC1251" s="169"/>
    </row>
    <row r="1252" spans="19:55" ht="15.75" customHeight="1">
      <c r="S1252" s="454"/>
      <c r="AN1252" s="458"/>
      <c r="BA1252" s="1266"/>
      <c r="BC1252" s="169"/>
    </row>
    <row r="1253" spans="19:55" ht="15.75" customHeight="1">
      <c r="S1253" s="454"/>
      <c r="AN1253" s="458"/>
      <c r="BA1253" s="1266"/>
      <c r="BC1253" s="169"/>
    </row>
    <row r="1254" spans="19:55" ht="15.75" customHeight="1">
      <c r="S1254" s="454"/>
      <c r="AN1254" s="458"/>
      <c r="BA1254" s="1266"/>
      <c r="BC1254" s="169"/>
    </row>
    <row r="1255" spans="19:55" ht="15.75" customHeight="1">
      <c r="S1255" s="454"/>
      <c r="AN1255" s="458"/>
      <c r="BA1255" s="1266"/>
      <c r="BC1255" s="169"/>
    </row>
    <row r="1256" spans="19:55" ht="15.75" customHeight="1">
      <c r="S1256" s="454"/>
      <c r="AN1256" s="458"/>
      <c r="BA1256" s="1266"/>
      <c r="BC1256" s="169"/>
    </row>
    <row r="1257" spans="19:55" ht="15.75" customHeight="1">
      <c r="S1257" s="454"/>
      <c r="AN1257" s="458"/>
      <c r="BA1257" s="1266"/>
      <c r="BC1257" s="169"/>
    </row>
    <row r="1258" spans="19:55" ht="15.75" customHeight="1">
      <c r="S1258" s="454"/>
      <c r="AN1258" s="458"/>
      <c r="BA1258" s="1266"/>
      <c r="BC1258" s="169"/>
    </row>
    <row r="1259" spans="19:55" ht="15.75" customHeight="1">
      <c r="S1259" s="454"/>
      <c r="AN1259" s="458"/>
      <c r="BA1259" s="1266"/>
      <c r="BC1259" s="169"/>
    </row>
    <row r="1260" spans="19:55" ht="15.75" customHeight="1">
      <c r="S1260" s="454"/>
      <c r="AN1260" s="458"/>
      <c r="BA1260" s="1266"/>
      <c r="BC1260" s="169"/>
    </row>
    <row r="1261" spans="19:55" ht="15.75" customHeight="1">
      <c r="S1261" s="454"/>
      <c r="AN1261" s="458"/>
      <c r="BA1261" s="1266"/>
      <c r="BC1261" s="169"/>
    </row>
    <row r="1262" spans="19:55" ht="15.75" customHeight="1">
      <c r="S1262" s="454"/>
      <c r="AN1262" s="458"/>
      <c r="BA1262" s="1266"/>
      <c r="BC1262" s="169"/>
    </row>
    <row r="1263" spans="19:55" ht="15.75" customHeight="1">
      <c r="S1263" s="454"/>
      <c r="AN1263" s="458"/>
      <c r="BA1263" s="1266"/>
      <c r="BC1263" s="169"/>
    </row>
    <row r="1264" spans="19:55" ht="15.75" customHeight="1">
      <c r="S1264" s="454"/>
      <c r="AN1264" s="458"/>
      <c r="BA1264" s="1266"/>
      <c r="BC1264" s="169"/>
    </row>
    <row r="1265" spans="19:55" ht="15.75" customHeight="1">
      <c r="S1265" s="454"/>
      <c r="AN1265" s="458"/>
      <c r="BA1265" s="1266"/>
      <c r="BC1265" s="169"/>
    </row>
    <row r="1266" spans="19:55" ht="15.75" customHeight="1">
      <c r="S1266" s="454"/>
      <c r="AN1266" s="458"/>
      <c r="BA1266" s="1266"/>
      <c r="BC1266" s="169"/>
    </row>
    <row r="1267" spans="19:55" ht="15.75" customHeight="1">
      <c r="S1267" s="454"/>
      <c r="AN1267" s="458"/>
      <c r="BA1267" s="1266"/>
      <c r="BC1267" s="169"/>
    </row>
    <row r="1268" spans="19:55" ht="15.75" customHeight="1">
      <c r="S1268" s="454"/>
      <c r="AN1268" s="458"/>
      <c r="BA1268" s="1266"/>
      <c r="BC1268" s="169"/>
    </row>
    <row r="1269" spans="19:55" ht="15.75" customHeight="1">
      <c r="S1269" s="454"/>
      <c r="AN1269" s="458"/>
      <c r="BA1269" s="1266"/>
      <c r="BC1269" s="169"/>
    </row>
    <row r="1270" spans="19:55" ht="15.75" customHeight="1">
      <c r="S1270" s="454"/>
      <c r="AN1270" s="458"/>
      <c r="BA1270" s="1266"/>
      <c r="BC1270" s="169"/>
    </row>
    <row r="1271" spans="19:55" ht="15.75" customHeight="1">
      <c r="S1271" s="454"/>
      <c r="AN1271" s="458"/>
      <c r="BA1271" s="1266"/>
      <c r="BC1271" s="169"/>
    </row>
    <row r="1272" spans="19:55" ht="15.75" customHeight="1">
      <c r="S1272" s="454"/>
      <c r="AN1272" s="458"/>
      <c r="BA1272" s="1266"/>
      <c r="BC1272" s="169"/>
    </row>
    <row r="1273" spans="19:55" ht="15.75" customHeight="1">
      <c r="S1273" s="454"/>
      <c r="AN1273" s="458"/>
      <c r="BA1273" s="1266"/>
      <c r="BC1273" s="169"/>
    </row>
    <row r="1274" spans="19:55" ht="15.75" customHeight="1">
      <c r="S1274" s="454"/>
      <c r="AN1274" s="458"/>
      <c r="BA1274" s="1266"/>
      <c r="BC1274" s="169"/>
    </row>
    <row r="1275" spans="19:55" ht="15.75" customHeight="1">
      <c r="S1275" s="454"/>
      <c r="AN1275" s="458"/>
      <c r="BA1275" s="1266"/>
      <c r="BC1275" s="169"/>
    </row>
    <row r="1276" spans="19:55" ht="15.75" customHeight="1">
      <c r="S1276" s="454"/>
      <c r="AN1276" s="458"/>
      <c r="BA1276" s="1266"/>
      <c r="BC1276" s="169"/>
    </row>
    <row r="1277" spans="19:55" ht="15.75" customHeight="1">
      <c r="S1277" s="454"/>
      <c r="AN1277" s="458"/>
      <c r="BA1277" s="1266"/>
      <c r="BC1277" s="169"/>
    </row>
    <row r="1278" spans="19:55" ht="15.75" customHeight="1">
      <c r="S1278" s="454"/>
      <c r="AN1278" s="458"/>
      <c r="BA1278" s="1266"/>
      <c r="BC1278" s="169"/>
    </row>
    <row r="1279" spans="19:55" ht="15.75" customHeight="1">
      <c r="S1279" s="454"/>
      <c r="AN1279" s="458"/>
      <c r="BA1279" s="1266"/>
      <c r="BC1279" s="169"/>
    </row>
    <row r="1280" spans="19:55" ht="15.75" customHeight="1">
      <c r="S1280" s="454"/>
      <c r="AN1280" s="458"/>
      <c r="BA1280" s="1266"/>
      <c r="BC1280" s="169"/>
    </row>
    <row r="1281" spans="19:55" ht="15.75" customHeight="1">
      <c r="S1281" s="454"/>
      <c r="AN1281" s="458"/>
      <c r="BA1281" s="1266"/>
      <c r="BC1281" s="169"/>
    </row>
    <row r="1282" spans="19:55" ht="15.75" customHeight="1">
      <c r="S1282" s="454"/>
      <c r="AN1282" s="458"/>
      <c r="BA1282" s="1266"/>
      <c r="BC1282" s="169"/>
    </row>
    <row r="1283" spans="19:55" ht="15.75" customHeight="1">
      <c r="S1283" s="454"/>
      <c r="AN1283" s="458"/>
      <c r="BA1283" s="1266"/>
      <c r="BC1283" s="169"/>
    </row>
    <row r="1284" spans="19:55" ht="15.75" customHeight="1">
      <c r="S1284" s="454"/>
      <c r="AN1284" s="458"/>
      <c r="BC1284" s="169"/>
    </row>
    <row r="1285" spans="19:55" ht="15.75" customHeight="1">
      <c r="S1285" s="454"/>
      <c r="AN1285" s="458"/>
      <c r="BC1285" s="169"/>
    </row>
    <row r="1286" spans="19:55" ht="15.75" customHeight="1">
      <c r="S1286" s="454"/>
      <c r="AN1286" s="458"/>
      <c r="BC1286" s="169"/>
    </row>
    <row r="1287" spans="19:55" ht="15.75" customHeight="1">
      <c r="S1287" s="454"/>
      <c r="AN1287" s="458"/>
      <c r="BC1287" s="169"/>
    </row>
    <row r="1288" spans="19:55" ht="15.75" customHeight="1">
      <c r="S1288" s="454"/>
      <c r="AN1288" s="458"/>
      <c r="BC1288" s="169"/>
    </row>
    <row r="1289" spans="19:55" ht="15.75" customHeight="1">
      <c r="S1289" s="454"/>
      <c r="AN1289" s="458"/>
      <c r="BC1289" s="169"/>
    </row>
    <row r="1290" spans="19:55" ht="15.75" customHeight="1">
      <c r="S1290" s="454"/>
      <c r="AN1290" s="458"/>
      <c r="BC1290" s="169"/>
    </row>
    <row r="1291" spans="19:55" ht="15.75" customHeight="1">
      <c r="S1291" s="454"/>
      <c r="AN1291" s="458"/>
      <c r="BC1291" s="169"/>
    </row>
    <row r="1292" spans="19:55" ht="15.75" customHeight="1">
      <c r="S1292" s="454"/>
      <c r="AN1292" s="458"/>
      <c r="BC1292" s="169"/>
    </row>
    <row r="1293" spans="19:55" ht="15.75" customHeight="1">
      <c r="S1293" s="454"/>
      <c r="AN1293" s="458"/>
      <c r="BC1293" s="169"/>
    </row>
    <row r="1294" spans="19:55" ht="15.75" customHeight="1">
      <c r="S1294" s="454"/>
      <c r="AN1294" s="458"/>
      <c r="BC1294" s="169"/>
    </row>
    <row r="1295" spans="19:55" ht="15.75" customHeight="1">
      <c r="S1295" s="454"/>
      <c r="AN1295" s="458"/>
      <c r="BC1295" s="169"/>
    </row>
    <row r="1296" spans="19:55" ht="15.75" customHeight="1">
      <c r="S1296" s="454"/>
      <c r="AN1296" s="458"/>
      <c r="BC1296" s="169"/>
    </row>
    <row r="1297" spans="19:55" ht="15.75" customHeight="1">
      <c r="S1297" s="454"/>
      <c r="AN1297" s="458"/>
      <c r="BC1297" s="169"/>
    </row>
    <row r="1298" spans="19:55" ht="15.75" customHeight="1">
      <c r="S1298" s="454"/>
      <c r="AN1298" s="458"/>
      <c r="BC1298" s="169"/>
    </row>
    <row r="1299" spans="19:55" ht="15.75" customHeight="1">
      <c r="S1299" s="454"/>
      <c r="AN1299" s="458"/>
      <c r="BC1299" s="169"/>
    </row>
    <row r="1300" spans="19:55" ht="15.75" customHeight="1">
      <c r="S1300" s="454"/>
      <c r="AN1300" s="458"/>
      <c r="BC1300" s="169"/>
    </row>
    <row r="1301" spans="19:55" ht="15.75" customHeight="1">
      <c r="S1301" s="454"/>
      <c r="AN1301" s="458"/>
      <c r="BC1301" s="169"/>
    </row>
    <row r="1302" spans="19:55" ht="15.75" customHeight="1">
      <c r="S1302" s="454"/>
      <c r="AN1302" s="458"/>
      <c r="BC1302" s="169"/>
    </row>
    <row r="1303" spans="19:55" ht="15.75" customHeight="1">
      <c r="S1303" s="454"/>
      <c r="AN1303" s="458"/>
      <c r="BC1303" s="169"/>
    </row>
    <row r="1304" spans="19:55" ht="15.75" customHeight="1">
      <c r="S1304" s="454"/>
      <c r="AN1304" s="458"/>
      <c r="BC1304" s="169"/>
    </row>
    <row r="1305" spans="19:55" ht="15.75" customHeight="1">
      <c r="S1305" s="454"/>
      <c r="AN1305" s="458"/>
      <c r="BC1305" s="169"/>
    </row>
    <row r="1306" spans="19:55" ht="15.75" customHeight="1">
      <c r="S1306" s="454"/>
      <c r="AN1306" s="458"/>
      <c r="BC1306" s="169"/>
    </row>
    <row r="1307" spans="19:55" ht="15.75" customHeight="1">
      <c r="S1307" s="454"/>
      <c r="AN1307" s="458"/>
      <c r="BC1307" s="169"/>
    </row>
    <row r="1308" spans="19:55" ht="15.75" customHeight="1">
      <c r="S1308" s="454"/>
      <c r="AN1308" s="458"/>
      <c r="BC1308" s="169"/>
    </row>
    <row r="1309" spans="19:55" ht="15.75" customHeight="1">
      <c r="S1309" s="454"/>
      <c r="AN1309" s="458"/>
      <c r="BC1309" s="169"/>
    </row>
    <row r="1310" spans="19:55" ht="15.75" customHeight="1">
      <c r="S1310" s="454"/>
      <c r="AN1310" s="458"/>
      <c r="BC1310" s="169"/>
    </row>
    <row r="1311" spans="19:55" ht="15.75" customHeight="1">
      <c r="S1311" s="454"/>
      <c r="AN1311" s="458"/>
      <c r="BC1311" s="169"/>
    </row>
    <row r="1312" spans="19:55" ht="15.75" customHeight="1">
      <c r="S1312" s="454"/>
      <c r="AN1312" s="458"/>
      <c r="BC1312" s="169"/>
    </row>
    <row r="1313" spans="19:55" ht="15.75" customHeight="1">
      <c r="S1313" s="454"/>
      <c r="AN1313" s="458"/>
      <c r="BC1313" s="169"/>
    </row>
    <row r="1314" spans="19:55" ht="15.75" customHeight="1">
      <c r="S1314" s="454"/>
      <c r="AN1314" s="458"/>
      <c r="BC1314" s="169"/>
    </row>
    <row r="1315" spans="19:55" ht="15.75" customHeight="1">
      <c r="S1315" s="454"/>
      <c r="AN1315" s="458"/>
      <c r="BC1315" s="169"/>
    </row>
    <row r="1316" spans="19:55" ht="15.75" customHeight="1">
      <c r="S1316" s="454"/>
      <c r="AN1316" s="458"/>
      <c r="BC1316" s="169"/>
    </row>
    <row r="1317" spans="19:55" ht="15.75" customHeight="1">
      <c r="S1317" s="454"/>
      <c r="AN1317" s="458"/>
      <c r="BC1317" s="169"/>
    </row>
    <row r="1318" spans="19:55" ht="15.75" customHeight="1">
      <c r="S1318" s="454"/>
      <c r="AN1318" s="458"/>
      <c r="BC1318" s="169"/>
    </row>
    <row r="1319" spans="19:55" ht="15.75" customHeight="1">
      <c r="S1319" s="454"/>
      <c r="AN1319" s="458"/>
      <c r="BC1319" s="169"/>
    </row>
    <row r="1320" spans="19:55" ht="15.75" customHeight="1">
      <c r="S1320" s="454"/>
      <c r="AN1320" s="458"/>
      <c r="BC1320" s="169"/>
    </row>
    <row r="1321" spans="19:55" ht="15.75" customHeight="1">
      <c r="S1321" s="454"/>
      <c r="AN1321" s="458"/>
      <c r="BC1321" s="169"/>
    </row>
    <row r="1322" spans="19:55" ht="15.75" customHeight="1">
      <c r="S1322" s="454"/>
      <c r="AN1322" s="458"/>
      <c r="BC1322" s="169"/>
    </row>
    <row r="1323" spans="19:55" ht="15.75" customHeight="1">
      <c r="S1323" s="454"/>
      <c r="AN1323" s="458"/>
      <c r="BC1323" s="169"/>
    </row>
    <row r="1324" spans="19:55" ht="15.75" customHeight="1">
      <c r="S1324" s="454"/>
      <c r="AN1324" s="458"/>
      <c r="BC1324" s="169"/>
    </row>
    <row r="1325" spans="19:55" ht="15.75" customHeight="1">
      <c r="S1325" s="454"/>
      <c r="AN1325" s="458"/>
      <c r="BC1325" s="169"/>
    </row>
    <row r="1326" spans="19:55" ht="15.75" customHeight="1">
      <c r="S1326" s="454"/>
      <c r="AN1326" s="458"/>
      <c r="BC1326" s="169"/>
    </row>
    <row r="1327" spans="19:55" ht="15.75" customHeight="1">
      <c r="S1327" s="454"/>
      <c r="AN1327" s="458"/>
      <c r="BC1327" s="169"/>
    </row>
    <row r="1328" spans="19:55" ht="15.75" customHeight="1">
      <c r="S1328" s="454"/>
      <c r="AN1328" s="458"/>
      <c r="BC1328" s="169"/>
    </row>
    <row r="1329" spans="19:55" ht="15.75" customHeight="1">
      <c r="S1329" s="454"/>
      <c r="AN1329" s="458"/>
      <c r="BC1329" s="169"/>
    </row>
    <row r="1330" spans="19:55" ht="15.75" customHeight="1">
      <c r="S1330" s="454"/>
      <c r="AN1330" s="458"/>
      <c r="BC1330" s="169"/>
    </row>
    <row r="1331" spans="19:55" ht="15.75" customHeight="1">
      <c r="S1331" s="454"/>
      <c r="AN1331" s="458"/>
      <c r="BC1331" s="169"/>
    </row>
    <row r="1332" spans="19:55" ht="15.75" customHeight="1">
      <c r="S1332" s="454"/>
      <c r="AN1332" s="458"/>
      <c r="BC1332" s="169"/>
    </row>
    <row r="1333" spans="19:55" ht="15.75" customHeight="1">
      <c r="S1333" s="454"/>
      <c r="AN1333" s="458"/>
      <c r="BC1333" s="169"/>
    </row>
    <row r="1334" spans="19:55" ht="15.75" customHeight="1">
      <c r="S1334" s="454"/>
      <c r="AN1334" s="458"/>
      <c r="BC1334" s="169"/>
    </row>
    <row r="1335" spans="19:55" ht="15.75" customHeight="1">
      <c r="S1335" s="454"/>
      <c r="AN1335" s="458"/>
      <c r="BC1335" s="169"/>
    </row>
    <row r="1336" spans="19:55" ht="15.75" customHeight="1">
      <c r="S1336" s="454"/>
      <c r="AN1336" s="458"/>
      <c r="BC1336" s="169"/>
    </row>
    <row r="1337" spans="19:55" ht="15.75" customHeight="1">
      <c r="S1337" s="454"/>
      <c r="AN1337" s="458"/>
      <c r="BC1337" s="169"/>
    </row>
    <row r="1338" spans="19:55" ht="15.75" customHeight="1">
      <c r="S1338" s="454"/>
      <c r="AN1338" s="458"/>
      <c r="BC1338" s="169"/>
    </row>
    <row r="1339" spans="19:55" ht="15.75" customHeight="1">
      <c r="S1339" s="454"/>
      <c r="AN1339" s="458"/>
      <c r="BC1339" s="169"/>
    </row>
    <row r="1340" spans="19:55" ht="15.75" customHeight="1">
      <c r="S1340" s="454"/>
      <c r="AN1340" s="458"/>
      <c r="BC1340" s="169"/>
    </row>
    <row r="1341" spans="19:55" ht="15.75" customHeight="1">
      <c r="S1341" s="454"/>
      <c r="AN1341" s="458"/>
      <c r="BC1341" s="169"/>
    </row>
    <row r="1342" spans="19:55" ht="15.75" customHeight="1">
      <c r="S1342" s="454"/>
      <c r="AN1342" s="458"/>
      <c r="BC1342" s="169"/>
    </row>
    <row r="1343" spans="19:55" ht="15.75" customHeight="1">
      <c r="S1343" s="454"/>
      <c r="AN1343" s="458"/>
      <c r="BC1343" s="169"/>
    </row>
    <row r="1344" spans="19:55" ht="15.75" customHeight="1">
      <c r="S1344" s="454"/>
      <c r="AN1344" s="458"/>
      <c r="BC1344" s="169"/>
    </row>
    <row r="1345" spans="19:55" ht="15.75" customHeight="1">
      <c r="S1345" s="454"/>
      <c r="AN1345" s="458"/>
      <c r="BC1345" s="169"/>
    </row>
    <row r="1346" spans="19:55" ht="15.75" customHeight="1">
      <c r="S1346" s="454"/>
      <c r="AN1346" s="458"/>
      <c r="BC1346" s="169"/>
    </row>
    <row r="1347" spans="19:55" ht="15.75" customHeight="1">
      <c r="S1347" s="454"/>
      <c r="AN1347" s="458"/>
      <c r="BC1347" s="169"/>
    </row>
    <row r="1348" spans="19:55" ht="15.75" customHeight="1">
      <c r="S1348" s="454"/>
      <c r="AN1348" s="458"/>
      <c r="BC1348" s="169"/>
    </row>
    <row r="1349" spans="19:55" ht="15.75" customHeight="1">
      <c r="S1349" s="454"/>
      <c r="AN1349" s="458"/>
      <c r="BC1349" s="169"/>
    </row>
    <row r="1350" spans="19:55" ht="15.75" customHeight="1">
      <c r="S1350" s="454"/>
      <c r="AN1350" s="458"/>
      <c r="BC1350" s="169"/>
    </row>
    <row r="1351" spans="19:55" ht="15.75" customHeight="1">
      <c r="S1351" s="454"/>
      <c r="AN1351" s="458"/>
      <c r="BC1351" s="169"/>
    </row>
    <row r="1352" spans="19:55" ht="15.75" customHeight="1">
      <c r="S1352" s="454"/>
      <c r="AN1352" s="458"/>
      <c r="BC1352" s="169"/>
    </row>
    <row r="1353" spans="19:55" ht="15.75" customHeight="1">
      <c r="S1353" s="454"/>
      <c r="AN1353" s="458"/>
      <c r="BC1353" s="169"/>
    </row>
    <row r="1354" spans="19:55" ht="15.75" customHeight="1">
      <c r="S1354" s="454"/>
      <c r="AN1354" s="458"/>
      <c r="BC1354" s="169"/>
    </row>
    <row r="1355" spans="19:55" ht="15.75" customHeight="1">
      <c r="S1355" s="454"/>
      <c r="AN1355" s="458"/>
      <c r="BC1355" s="169"/>
    </row>
    <row r="1356" spans="19:55" ht="15.75" customHeight="1">
      <c r="S1356" s="454"/>
      <c r="AN1356" s="458"/>
      <c r="BC1356" s="169"/>
    </row>
    <row r="1357" spans="19:55" ht="15.75" customHeight="1">
      <c r="S1357" s="454"/>
      <c r="AN1357" s="458"/>
      <c r="BC1357" s="169"/>
    </row>
    <row r="1358" spans="19:55" ht="15.75" customHeight="1">
      <c r="S1358" s="454"/>
      <c r="AN1358" s="458"/>
      <c r="BC1358" s="169"/>
    </row>
    <row r="1359" spans="19:55" ht="15.75" customHeight="1">
      <c r="S1359" s="454"/>
      <c r="AN1359" s="458"/>
      <c r="BC1359" s="169"/>
    </row>
    <row r="1360" spans="19:55" ht="15.75" customHeight="1">
      <c r="S1360" s="454"/>
      <c r="AN1360" s="458"/>
      <c r="BC1360" s="169"/>
    </row>
    <row r="1361" spans="19:55" ht="15.75" customHeight="1">
      <c r="S1361" s="454"/>
      <c r="AN1361" s="458"/>
      <c r="BC1361" s="169"/>
    </row>
    <row r="1362" spans="19:55" ht="15.75" customHeight="1">
      <c r="S1362" s="454"/>
      <c r="AN1362" s="458"/>
      <c r="BC1362" s="169"/>
    </row>
    <row r="1363" spans="19:55" ht="15.75" customHeight="1">
      <c r="S1363" s="454"/>
      <c r="AN1363" s="458"/>
      <c r="BC1363" s="169"/>
    </row>
    <row r="1364" spans="19:55" ht="15.75" customHeight="1">
      <c r="S1364" s="454"/>
      <c r="AN1364" s="458"/>
      <c r="BC1364" s="169"/>
    </row>
    <row r="1365" spans="19:55" ht="15.75" customHeight="1">
      <c r="S1365" s="454"/>
      <c r="AN1365" s="458"/>
      <c r="BC1365" s="169"/>
    </row>
    <row r="1366" spans="19:55" ht="15.75" customHeight="1">
      <c r="S1366" s="454"/>
      <c r="AN1366" s="458"/>
      <c r="BC1366" s="169"/>
    </row>
    <row r="1367" spans="19:55" ht="15.75" customHeight="1">
      <c r="S1367" s="454"/>
      <c r="AN1367" s="458"/>
      <c r="BC1367" s="169"/>
    </row>
    <row r="1368" spans="19:55" ht="15.75" customHeight="1">
      <c r="S1368" s="454"/>
      <c r="AN1368" s="458"/>
      <c r="BC1368" s="169"/>
    </row>
    <row r="1369" spans="19:55" ht="15.75" customHeight="1">
      <c r="S1369" s="454"/>
      <c r="AN1369" s="458"/>
      <c r="BC1369" s="169"/>
    </row>
    <row r="1370" spans="19:55" ht="15.75" customHeight="1">
      <c r="S1370" s="454"/>
      <c r="AN1370" s="458"/>
      <c r="BC1370" s="169"/>
    </row>
    <row r="1371" spans="19:55" ht="15.75" customHeight="1">
      <c r="S1371" s="454"/>
      <c r="AN1371" s="458"/>
      <c r="BC1371" s="169"/>
    </row>
    <row r="1372" spans="19:55" ht="15.75" customHeight="1">
      <c r="S1372" s="454"/>
      <c r="AN1372" s="458"/>
      <c r="BC1372" s="169"/>
    </row>
    <row r="1373" spans="19:55" ht="15.75" customHeight="1">
      <c r="S1373" s="454"/>
      <c r="AN1373" s="458"/>
      <c r="BC1373" s="169"/>
    </row>
    <row r="1374" spans="19:55" ht="15.75" customHeight="1">
      <c r="S1374" s="454"/>
      <c r="AN1374" s="458"/>
      <c r="BC1374" s="169"/>
    </row>
    <row r="1375" spans="19:55" ht="15.75" customHeight="1">
      <c r="S1375" s="454"/>
      <c r="AN1375" s="458"/>
      <c r="BC1375" s="169"/>
    </row>
    <row r="1376" spans="19:55" ht="15.75" customHeight="1">
      <c r="S1376" s="454"/>
      <c r="AN1376" s="458"/>
      <c r="BC1376" s="169"/>
    </row>
    <row r="1377" spans="19:55" ht="15.75" customHeight="1">
      <c r="S1377" s="454"/>
      <c r="AN1377" s="458"/>
      <c r="BC1377" s="169"/>
    </row>
    <row r="1378" spans="19:55" ht="15.75" customHeight="1">
      <c r="S1378" s="454"/>
      <c r="AN1378" s="458"/>
      <c r="BC1378" s="169"/>
    </row>
    <row r="1379" spans="19:55" ht="15.75" customHeight="1">
      <c r="S1379" s="454"/>
      <c r="AN1379" s="458"/>
      <c r="BC1379" s="169"/>
    </row>
    <row r="1380" spans="19:55" ht="15.75" customHeight="1">
      <c r="S1380" s="454"/>
      <c r="AN1380" s="458"/>
      <c r="BC1380" s="169"/>
    </row>
    <row r="1381" spans="19:55" ht="15.75" customHeight="1">
      <c r="S1381" s="454"/>
      <c r="AN1381" s="458"/>
      <c r="BC1381" s="169"/>
    </row>
    <row r="1382" spans="19:55" ht="15.75" customHeight="1">
      <c r="S1382" s="454"/>
      <c r="AN1382" s="458"/>
      <c r="BC1382" s="169"/>
    </row>
    <row r="1383" spans="19:55" ht="15.75" customHeight="1">
      <c r="S1383" s="454"/>
      <c r="AN1383" s="458"/>
      <c r="BC1383" s="169"/>
    </row>
    <row r="1384" spans="19:55" ht="15.75" customHeight="1">
      <c r="S1384" s="454"/>
      <c r="AN1384" s="458"/>
      <c r="BC1384" s="169"/>
    </row>
    <row r="1385" spans="19:55" ht="15.75" customHeight="1">
      <c r="S1385" s="454"/>
      <c r="AN1385" s="458"/>
      <c r="BC1385" s="169"/>
    </row>
    <row r="1386" spans="19:55" ht="15.75" customHeight="1">
      <c r="S1386" s="454"/>
      <c r="AN1386" s="458"/>
      <c r="BC1386" s="169"/>
    </row>
    <row r="1387" spans="19:55" ht="15.75" customHeight="1">
      <c r="S1387" s="454"/>
      <c r="AN1387" s="458"/>
      <c r="BC1387" s="169"/>
    </row>
    <row r="1388" spans="19:55" ht="15.75" customHeight="1">
      <c r="S1388" s="454"/>
      <c r="AN1388" s="458"/>
      <c r="BC1388" s="169"/>
    </row>
    <row r="1389" spans="19:55" ht="15.75" customHeight="1">
      <c r="S1389" s="454"/>
      <c r="AN1389" s="458"/>
      <c r="BC1389" s="169"/>
    </row>
    <row r="1390" spans="19:55" ht="15.75" customHeight="1">
      <c r="S1390" s="454"/>
      <c r="AN1390" s="458"/>
      <c r="BC1390" s="169"/>
    </row>
    <row r="1391" spans="19:55" ht="15.75" customHeight="1">
      <c r="S1391" s="454"/>
      <c r="AN1391" s="458"/>
      <c r="BC1391" s="169"/>
    </row>
    <row r="1392" spans="19:55" ht="15.75" customHeight="1">
      <c r="S1392" s="454"/>
      <c r="AN1392" s="458"/>
      <c r="BC1392" s="169"/>
    </row>
    <row r="1393" spans="19:55" ht="15.75" customHeight="1">
      <c r="S1393" s="454"/>
      <c r="AN1393" s="458"/>
      <c r="BC1393" s="169"/>
    </row>
    <row r="1394" spans="19:55" ht="15.75" customHeight="1">
      <c r="S1394" s="454"/>
      <c r="AN1394" s="458"/>
      <c r="BC1394" s="169"/>
    </row>
    <row r="1395" spans="19:55" ht="15.75" customHeight="1">
      <c r="S1395" s="454"/>
      <c r="AN1395" s="458"/>
      <c r="BC1395" s="169"/>
    </row>
    <row r="1396" spans="19:55" ht="15.75" customHeight="1">
      <c r="S1396" s="454"/>
      <c r="AN1396" s="458"/>
      <c r="BC1396" s="169"/>
    </row>
    <row r="1397" spans="19:55" ht="15.75" customHeight="1">
      <c r="S1397" s="454"/>
      <c r="AN1397" s="458"/>
      <c r="BC1397" s="169"/>
    </row>
    <row r="1398" spans="19:55" ht="15.75" customHeight="1">
      <c r="S1398" s="454"/>
      <c r="AN1398" s="458"/>
      <c r="BC1398" s="169"/>
    </row>
    <row r="1399" spans="19:55" ht="15.75" customHeight="1">
      <c r="S1399" s="454"/>
      <c r="AN1399" s="458"/>
      <c r="BC1399" s="169"/>
    </row>
    <row r="1400" spans="19:55" ht="15.75" customHeight="1">
      <c r="S1400" s="454"/>
      <c r="AN1400" s="458"/>
      <c r="BC1400" s="169"/>
    </row>
    <row r="1401" spans="19:55" ht="15.75" customHeight="1">
      <c r="S1401" s="454"/>
      <c r="AN1401" s="458"/>
      <c r="BC1401" s="169"/>
    </row>
    <row r="1402" spans="19:55" ht="15.75" customHeight="1">
      <c r="S1402" s="454"/>
      <c r="AN1402" s="458"/>
      <c r="BC1402" s="169"/>
    </row>
    <row r="1403" spans="19:55" ht="15.75" customHeight="1">
      <c r="S1403" s="454"/>
      <c r="AN1403" s="458"/>
      <c r="BC1403" s="169"/>
    </row>
    <row r="1404" spans="19:55" ht="15.75" customHeight="1">
      <c r="S1404" s="454"/>
      <c r="AN1404" s="458"/>
      <c r="BC1404" s="169"/>
    </row>
    <row r="1405" spans="19:55" ht="15.75" customHeight="1">
      <c r="S1405" s="454"/>
      <c r="AN1405" s="458"/>
      <c r="BC1405" s="169"/>
    </row>
    <row r="1406" spans="19:55" ht="15.75" customHeight="1">
      <c r="S1406" s="454"/>
      <c r="AN1406" s="458"/>
      <c r="BC1406" s="169"/>
    </row>
    <row r="1407" spans="19:55" ht="15.75" customHeight="1">
      <c r="S1407" s="454"/>
      <c r="AN1407" s="458"/>
      <c r="BC1407" s="169"/>
    </row>
    <row r="1408" spans="19:55" ht="15.75" customHeight="1">
      <c r="S1408" s="454"/>
      <c r="AN1408" s="458"/>
      <c r="BC1408" s="169"/>
    </row>
    <row r="1409" spans="19:55" ht="15.75" customHeight="1">
      <c r="S1409" s="454"/>
      <c r="AN1409" s="458"/>
      <c r="BC1409" s="169"/>
    </row>
    <row r="1410" spans="19:55" ht="15.75" customHeight="1">
      <c r="S1410" s="454"/>
      <c r="AN1410" s="458"/>
      <c r="BC1410" s="169"/>
    </row>
    <row r="1411" spans="19:55" ht="15.75" customHeight="1">
      <c r="S1411" s="454"/>
      <c r="AN1411" s="458"/>
      <c r="BC1411" s="169"/>
    </row>
    <row r="1412" spans="19:55" ht="15.75" customHeight="1">
      <c r="S1412" s="454"/>
      <c r="AN1412" s="458"/>
      <c r="BC1412" s="169"/>
    </row>
    <row r="1413" spans="19:55" ht="15.75" customHeight="1">
      <c r="S1413" s="454"/>
      <c r="AN1413" s="458"/>
      <c r="BC1413" s="169"/>
    </row>
    <row r="1414" spans="19:55" ht="15.75" customHeight="1">
      <c r="S1414" s="454"/>
      <c r="AN1414" s="458"/>
      <c r="BC1414" s="169"/>
    </row>
    <row r="1415" spans="19:55" ht="15.75" customHeight="1">
      <c r="S1415" s="454"/>
      <c r="AN1415" s="458"/>
      <c r="BC1415" s="169"/>
    </row>
    <row r="1416" spans="19:55" ht="15.75" customHeight="1">
      <c r="S1416" s="454"/>
      <c r="AN1416" s="458"/>
      <c r="BC1416" s="169"/>
    </row>
    <row r="1417" spans="19:55" ht="15.75" customHeight="1">
      <c r="S1417" s="454"/>
      <c r="AN1417" s="458"/>
      <c r="BC1417" s="169"/>
    </row>
    <row r="1418" spans="19:55" ht="15.75" customHeight="1">
      <c r="S1418" s="454"/>
      <c r="AN1418" s="458"/>
      <c r="BC1418" s="169"/>
    </row>
    <row r="1419" spans="19:55" ht="15.75" customHeight="1">
      <c r="S1419" s="454"/>
      <c r="AN1419" s="458"/>
      <c r="BC1419" s="169"/>
    </row>
    <row r="1420" spans="19:55" ht="15.75" customHeight="1">
      <c r="S1420" s="454"/>
      <c r="AN1420" s="458"/>
      <c r="BC1420" s="169"/>
    </row>
    <row r="1421" spans="19:55" ht="15.75" customHeight="1">
      <c r="S1421" s="454"/>
      <c r="AN1421" s="458"/>
      <c r="BC1421" s="169"/>
    </row>
    <row r="1422" spans="19:55" ht="15.75" customHeight="1">
      <c r="S1422" s="454"/>
      <c r="AN1422" s="458"/>
      <c r="BC1422" s="169"/>
    </row>
    <row r="1423" spans="19:55" ht="15.75" customHeight="1">
      <c r="S1423" s="454"/>
      <c r="AN1423" s="458"/>
      <c r="BC1423" s="169"/>
    </row>
    <row r="1424" spans="19:55" ht="15.75" customHeight="1">
      <c r="S1424" s="454"/>
      <c r="AN1424" s="458"/>
      <c r="BC1424" s="169"/>
    </row>
    <row r="1425" spans="19:55" ht="15.75" customHeight="1">
      <c r="S1425" s="454"/>
      <c r="AN1425" s="458"/>
      <c r="BC1425" s="169"/>
    </row>
    <row r="1426" spans="19:55" ht="15.75" customHeight="1">
      <c r="S1426" s="454"/>
      <c r="AN1426" s="458"/>
      <c r="BC1426" s="169"/>
    </row>
    <row r="1427" spans="19:55" ht="15.75" customHeight="1">
      <c r="S1427" s="454"/>
      <c r="AN1427" s="458"/>
      <c r="BC1427" s="169"/>
    </row>
    <row r="1428" spans="19:55" ht="15.75" customHeight="1">
      <c r="S1428" s="454"/>
      <c r="AN1428" s="458"/>
      <c r="BC1428" s="169"/>
    </row>
    <row r="1429" spans="19:55" ht="15.75" customHeight="1">
      <c r="S1429" s="454"/>
      <c r="AN1429" s="458"/>
      <c r="BC1429" s="169"/>
    </row>
    <row r="1430" spans="19:55" ht="15.75" customHeight="1">
      <c r="S1430" s="454"/>
      <c r="AN1430" s="458"/>
      <c r="BC1430" s="169"/>
    </row>
    <row r="1431" spans="19:55" ht="15.75" customHeight="1">
      <c r="S1431" s="454"/>
      <c r="AN1431" s="458"/>
      <c r="BC1431" s="169"/>
    </row>
    <row r="1432" spans="19:55" ht="15.75" customHeight="1">
      <c r="S1432" s="454"/>
      <c r="AN1432" s="458"/>
      <c r="BC1432" s="169"/>
    </row>
    <row r="1433" spans="19:55" ht="15.75" customHeight="1">
      <c r="S1433" s="454"/>
      <c r="AN1433" s="458"/>
      <c r="BC1433" s="169"/>
    </row>
    <row r="1434" spans="19:55" ht="15.75" customHeight="1">
      <c r="S1434" s="454"/>
      <c r="AN1434" s="458"/>
      <c r="BC1434" s="169"/>
    </row>
    <row r="1435" spans="19:55" ht="15.75" customHeight="1">
      <c r="S1435" s="454"/>
      <c r="AN1435" s="458"/>
      <c r="BC1435" s="169"/>
    </row>
    <row r="1436" spans="19:55" ht="15.75" customHeight="1">
      <c r="S1436" s="454"/>
      <c r="AN1436" s="458"/>
      <c r="BC1436" s="169"/>
    </row>
    <row r="1437" spans="19:55" ht="15.75" customHeight="1">
      <c r="S1437" s="454"/>
      <c r="AN1437" s="458"/>
      <c r="BC1437" s="169"/>
    </row>
    <row r="1438" spans="19:55" ht="15.75" customHeight="1">
      <c r="S1438" s="454"/>
      <c r="AN1438" s="458"/>
      <c r="BC1438" s="169"/>
    </row>
    <row r="1439" spans="19:55" ht="15.75" customHeight="1">
      <c r="S1439" s="454"/>
      <c r="AN1439" s="458"/>
      <c r="BC1439" s="169"/>
    </row>
    <row r="1440" spans="19:55" ht="15.75" customHeight="1">
      <c r="S1440" s="454"/>
      <c r="AN1440" s="458"/>
      <c r="BC1440" s="169"/>
    </row>
    <row r="1441" spans="19:55" ht="15.75" customHeight="1">
      <c r="S1441" s="454"/>
      <c r="AN1441" s="458"/>
      <c r="BC1441" s="169"/>
    </row>
    <row r="1442" spans="19:55" ht="15.75" customHeight="1">
      <c r="S1442" s="454"/>
      <c r="AN1442" s="458"/>
      <c r="BC1442" s="169"/>
    </row>
    <row r="1443" spans="19:55" ht="15.75" customHeight="1">
      <c r="S1443" s="454"/>
      <c r="AN1443" s="458"/>
      <c r="BC1443" s="169"/>
    </row>
    <row r="1444" spans="19:55" ht="15.75" customHeight="1">
      <c r="S1444" s="454"/>
      <c r="AN1444" s="458"/>
      <c r="BC1444" s="169"/>
    </row>
    <row r="1445" spans="19:55" ht="15.75" customHeight="1">
      <c r="S1445" s="454"/>
      <c r="AN1445" s="458"/>
      <c r="BC1445" s="169"/>
    </row>
    <row r="1446" spans="19:55" ht="15.75" customHeight="1">
      <c r="S1446" s="454"/>
      <c r="AN1446" s="458"/>
      <c r="BC1446" s="169"/>
    </row>
    <row r="1447" spans="19:55" ht="15.75" customHeight="1">
      <c r="S1447" s="454"/>
      <c r="AN1447" s="458"/>
      <c r="BC1447" s="169"/>
    </row>
    <row r="1448" spans="19:55" ht="15.75" customHeight="1">
      <c r="S1448" s="454"/>
      <c r="AN1448" s="458"/>
      <c r="BC1448" s="169"/>
    </row>
    <row r="1449" spans="19:55" ht="15.75" customHeight="1">
      <c r="S1449" s="454"/>
      <c r="AN1449" s="458"/>
      <c r="BC1449" s="169"/>
    </row>
    <row r="1450" spans="19:55" ht="15.75" customHeight="1">
      <c r="S1450" s="454"/>
      <c r="AN1450" s="458"/>
      <c r="BC1450" s="169"/>
    </row>
    <row r="1451" spans="19:55" ht="15.75" customHeight="1">
      <c r="S1451" s="454"/>
      <c r="AN1451" s="458"/>
      <c r="BC1451" s="169"/>
    </row>
    <row r="1452" spans="19:55" ht="15.75" customHeight="1">
      <c r="S1452" s="454"/>
      <c r="AN1452" s="458"/>
      <c r="BC1452" s="169"/>
    </row>
    <row r="1453" spans="19:55" ht="15.75" customHeight="1">
      <c r="S1453" s="454"/>
      <c r="AN1453" s="458"/>
      <c r="BC1453" s="169"/>
    </row>
    <row r="1454" spans="19:55" ht="15.75" customHeight="1">
      <c r="S1454" s="454"/>
      <c r="AN1454" s="458"/>
      <c r="BC1454" s="169"/>
    </row>
    <row r="1455" spans="19:55" ht="15.75" customHeight="1">
      <c r="S1455" s="454"/>
      <c r="AN1455" s="458"/>
      <c r="BC1455" s="169"/>
    </row>
    <row r="1456" spans="19:55" ht="15.75" customHeight="1">
      <c r="S1456" s="454"/>
      <c r="AN1456" s="458"/>
      <c r="BC1456" s="169"/>
    </row>
    <row r="1457" spans="19:55" ht="15.75" customHeight="1">
      <c r="S1457" s="454"/>
      <c r="AN1457" s="458"/>
      <c r="BC1457" s="169"/>
    </row>
    <row r="1458" spans="19:55" ht="15.75" customHeight="1">
      <c r="S1458" s="454"/>
      <c r="AN1458" s="458"/>
      <c r="BC1458" s="169"/>
    </row>
    <row r="1459" spans="19:55" ht="15.75" customHeight="1">
      <c r="S1459" s="454"/>
      <c r="AN1459" s="458"/>
      <c r="BC1459" s="169"/>
    </row>
    <row r="1460" spans="19:55" ht="15.75" customHeight="1">
      <c r="S1460" s="454"/>
      <c r="AN1460" s="458"/>
      <c r="BC1460" s="169"/>
    </row>
    <row r="1461" spans="19:55" ht="15.75" customHeight="1">
      <c r="S1461" s="454"/>
      <c r="AN1461" s="458"/>
      <c r="BC1461" s="169"/>
    </row>
    <row r="1462" spans="19:55" ht="15.75" customHeight="1">
      <c r="S1462" s="454"/>
      <c r="AN1462" s="458"/>
      <c r="BC1462" s="169"/>
    </row>
    <row r="1463" spans="19:55" ht="15.75" customHeight="1">
      <c r="S1463" s="454"/>
      <c r="AN1463" s="458"/>
      <c r="BC1463" s="169"/>
    </row>
    <row r="1464" spans="19:55" ht="15.75" customHeight="1">
      <c r="S1464" s="454"/>
      <c r="AN1464" s="458"/>
      <c r="BC1464" s="169"/>
    </row>
    <row r="1465" spans="19:55" ht="15.75" customHeight="1">
      <c r="S1465" s="454"/>
      <c r="AN1465" s="458"/>
      <c r="BC1465" s="169"/>
    </row>
    <row r="1466" spans="19:55" ht="15.75" customHeight="1">
      <c r="S1466" s="454"/>
      <c r="AN1466" s="458"/>
      <c r="BC1466" s="169"/>
    </row>
    <row r="1467" spans="19:55" ht="15.75" customHeight="1">
      <c r="S1467" s="454"/>
      <c r="AN1467" s="458"/>
      <c r="BC1467" s="169"/>
    </row>
    <row r="1468" spans="19:55" ht="15.75" customHeight="1">
      <c r="S1468" s="454"/>
      <c r="AN1468" s="458"/>
      <c r="BC1468" s="169"/>
    </row>
    <row r="1469" spans="19:55" ht="15.75" customHeight="1">
      <c r="S1469" s="454"/>
      <c r="AN1469" s="458"/>
      <c r="BC1469" s="169"/>
    </row>
    <row r="1470" spans="19:55" ht="15.75" customHeight="1">
      <c r="S1470" s="454"/>
      <c r="AN1470" s="458"/>
      <c r="BC1470" s="169"/>
    </row>
    <row r="1471" spans="19:55" ht="15.75" customHeight="1">
      <c r="S1471" s="454"/>
      <c r="AN1471" s="458"/>
      <c r="BC1471" s="169"/>
    </row>
    <row r="1472" spans="19:55" ht="15.75" customHeight="1">
      <c r="S1472" s="454"/>
      <c r="AN1472" s="458"/>
      <c r="BC1472" s="169"/>
    </row>
    <row r="1473" spans="19:55" ht="15.75" customHeight="1">
      <c r="S1473" s="454"/>
      <c r="AN1473" s="458"/>
      <c r="BC1473" s="169"/>
    </row>
    <row r="1474" spans="19:55" ht="15.75" customHeight="1">
      <c r="S1474" s="454"/>
      <c r="AN1474" s="458"/>
      <c r="BC1474" s="169"/>
    </row>
    <row r="1475" spans="19:55" ht="15.75" customHeight="1">
      <c r="S1475" s="454"/>
      <c r="AN1475" s="458"/>
      <c r="BC1475" s="169"/>
    </row>
    <row r="1476" spans="19:55" ht="15.75" customHeight="1">
      <c r="S1476" s="454"/>
      <c r="AN1476" s="458"/>
      <c r="BC1476" s="169"/>
    </row>
    <row r="1477" spans="19:55" ht="15.75" customHeight="1">
      <c r="S1477" s="454"/>
      <c r="AN1477" s="458"/>
      <c r="BC1477" s="169"/>
    </row>
    <row r="1478" spans="19:55" ht="15.75" customHeight="1">
      <c r="S1478" s="454"/>
      <c r="AN1478" s="458"/>
      <c r="BC1478" s="169"/>
    </row>
    <row r="1479" spans="19:55" ht="15.75" customHeight="1">
      <c r="S1479" s="454"/>
      <c r="AN1479" s="458"/>
      <c r="BC1479" s="169"/>
    </row>
    <row r="1480" spans="19:55" ht="15.75" customHeight="1">
      <c r="S1480" s="454"/>
      <c r="AN1480" s="458"/>
      <c r="BC1480" s="169"/>
    </row>
    <row r="1481" spans="19:55" ht="15.75" customHeight="1">
      <c r="S1481" s="454"/>
      <c r="AN1481" s="458"/>
      <c r="BC1481" s="169"/>
    </row>
    <row r="1482" spans="19:55" ht="15.75" customHeight="1">
      <c r="S1482" s="454"/>
      <c r="AN1482" s="458"/>
      <c r="BC1482" s="169"/>
    </row>
    <row r="1483" spans="19:55" ht="15.75" customHeight="1">
      <c r="S1483" s="454"/>
      <c r="AN1483" s="458"/>
      <c r="BC1483" s="169"/>
    </row>
    <row r="1484" spans="19:55" ht="15.75" customHeight="1">
      <c r="S1484" s="454"/>
      <c r="AN1484" s="458"/>
      <c r="BC1484" s="169"/>
    </row>
    <row r="1485" spans="19:55" ht="15.75" customHeight="1">
      <c r="S1485" s="454"/>
      <c r="AN1485" s="458"/>
      <c r="BC1485" s="169"/>
    </row>
    <row r="1486" spans="19:55" ht="15.75" customHeight="1">
      <c r="S1486" s="454"/>
      <c r="AN1486" s="458"/>
      <c r="BC1486" s="169"/>
    </row>
    <row r="1487" spans="19:55" ht="15.75" customHeight="1">
      <c r="S1487" s="454"/>
      <c r="AN1487" s="458"/>
      <c r="BC1487" s="169"/>
    </row>
    <row r="1488" spans="19:55" ht="15.75" customHeight="1">
      <c r="S1488" s="454"/>
      <c r="AN1488" s="458"/>
      <c r="BC1488" s="169"/>
    </row>
    <row r="1489" spans="19:55" ht="15.75" customHeight="1">
      <c r="S1489" s="454"/>
      <c r="AN1489" s="458"/>
      <c r="BC1489" s="169"/>
    </row>
    <row r="1490" spans="19:55" ht="15.75" customHeight="1">
      <c r="S1490" s="454"/>
      <c r="AN1490" s="458"/>
      <c r="BC1490" s="169"/>
    </row>
    <row r="1491" spans="19:55" ht="15.75" customHeight="1">
      <c r="S1491" s="454"/>
      <c r="AN1491" s="458"/>
      <c r="BC1491" s="169"/>
    </row>
    <row r="1492" spans="19:55" ht="15.75" customHeight="1">
      <c r="S1492" s="454"/>
      <c r="AN1492" s="458"/>
      <c r="BC1492" s="169"/>
    </row>
    <row r="1493" spans="19:55" ht="15.75" customHeight="1">
      <c r="S1493" s="454"/>
      <c r="AN1493" s="458"/>
      <c r="BC1493" s="169"/>
    </row>
    <row r="1494" spans="19:55" ht="15.75" customHeight="1">
      <c r="AN1494" s="458"/>
      <c r="BC1494" s="169"/>
    </row>
    <row r="1495" spans="19:55" ht="15.75" customHeight="1">
      <c r="AN1495" s="458"/>
      <c r="BC1495" s="169"/>
    </row>
    <row r="1496" spans="19:55" ht="15.75" customHeight="1">
      <c r="AN1496" s="458"/>
      <c r="BC1496" s="169"/>
    </row>
    <row r="1497" spans="19:55" ht="15.75" customHeight="1">
      <c r="AN1497" s="458"/>
      <c r="BC1497" s="169"/>
    </row>
    <row r="1498" spans="19:55" ht="15.75" customHeight="1">
      <c r="AN1498" s="458"/>
      <c r="BC1498" s="169"/>
    </row>
    <row r="1499" spans="19:55" ht="15.75" customHeight="1">
      <c r="AN1499" s="458"/>
      <c r="BC1499" s="169"/>
    </row>
    <row r="1500" spans="19:55" ht="15.75" customHeight="1">
      <c r="AN1500" s="458"/>
      <c r="BC1500" s="169"/>
    </row>
    <row r="1501" spans="19:55" ht="15.75" customHeight="1">
      <c r="AN1501" s="458"/>
      <c r="BC1501" s="169"/>
    </row>
    <row r="1502" spans="19:55" ht="15.75" customHeight="1">
      <c r="AN1502" s="458"/>
      <c r="BC1502" s="169"/>
    </row>
    <row r="1503" spans="19:55" ht="15.75" customHeight="1">
      <c r="AN1503" s="458"/>
      <c r="BC1503" s="169"/>
    </row>
    <row r="1504" spans="19:55" ht="15.75" customHeight="1">
      <c r="AN1504" s="458"/>
      <c r="BC1504" s="169"/>
    </row>
    <row r="1505" spans="40:55" ht="15.75" customHeight="1">
      <c r="AN1505" s="458"/>
      <c r="BC1505" s="169"/>
    </row>
    <row r="1506" spans="40:55" ht="15.75" customHeight="1">
      <c r="AN1506" s="458"/>
      <c r="BC1506" s="169"/>
    </row>
    <row r="1507" spans="40:55" ht="15.75" customHeight="1">
      <c r="AN1507" s="458"/>
      <c r="BC1507" s="169"/>
    </row>
    <row r="1508" spans="40:55" ht="15.75" customHeight="1">
      <c r="AN1508" s="458"/>
      <c r="BC1508" s="169"/>
    </row>
    <row r="1509" spans="40:55" ht="15.75" customHeight="1">
      <c r="AN1509" s="458"/>
      <c r="BC1509" s="169"/>
    </row>
    <row r="1510" spans="40:55" ht="15.75" customHeight="1">
      <c r="AN1510" s="458"/>
      <c r="BC1510" s="169"/>
    </row>
    <row r="1511" spans="40:55" ht="15.75" customHeight="1">
      <c r="AN1511" s="458"/>
      <c r="BC1511" s="169"/>
    </row>
    <row r="1512" spans="40:55" ht="15.75" customHeight="1">
      <c r="AN1512" s="458"/>
      <c r="BC1512" s="169"/>
    </row>
    <row r="1513" spans="40:55" ht="15.75" customHeight="1">
      <c r="AN1513" s="458"/>
      <c r="BC1513" s="169"/>
    </row>
    <row r="1514" spans="40:55" ht="15.75" customHeight="1">
      <c r="AN1514" s="458"/>
      <c r="BC1514" s="169"/>
    </row>
    <row r="1515" spans="40:55" ht="15.75" customHeight="1">
      <c r="AN1515" s="458"/>
      <c r="BC1515" s="169"/>
    </row>
    <row r="1516" spans="40:55" ht="15.75" customHeight="1">
      <c r="AN1516" s="458"/>
      <c r="BC1516" s="169"/>
    </row>
    <row r="1517" spans="40:55" ht="15.75" customHeight="1">
      <c r="AN1517" s="458"/>
      <c r="BC1517" s="169"/>
    </row>
    <row r="1518" spans="40:55" ht="15.75" customHeight="1">
      <c r="AN1518" s="458"/>
      <c r="BC1518" s="169"/>
    </row>
    <row r="1519" spans="40:55" ht="15.75" customHeight="1">
      <c r="AN1519" s="458"/>
      <c r="BC1519" s="169"/>
    </row>
    <row r="1520" spans="40:55" ht="15.75" customHeight="1">
      <c r="AN1520" s="458"/>
      <c r="BC1520" s="169"/>
    </row>
    <row r="1521" spans="40:55" ht="15.75" customHeight="1">
      <c r="AN1521" s="458"/>
      <c r="BC1521" s="169"/>
    </row>
    <row r="1522" spans="40:55" ht="15.75" customHeight="1">
      <c r="AN1522" s="458"/>
      <c r="BC1522" s="169"/>
    </row>
    <row r="1523" spans="40:55" ht="15.75" customHeight="1">
      <c r="AN1523" s="458"/>
      <c r="BC1523" s="169"/>
    </row>
    <row r="1524" spans="40:55" ht="15.75" customHeight="1">
      <c r="AN1524" s="458"/>
      <c r="BC1524" s="169"/>
    </row>
    <row r="1525" spans="40:55" ht="15.75" customHeight="1">
      <c r="AN1525" s="458"/>
      <c r="BC1525" s="169"/>
    </row>
    <row r="1526" spans="40:55" ht="15.75" customHeight="1">
      <c r="AN1526" s="458"/>
      <c r="BC1526" s="169"/>
    </row>
    <row r="1527" spans="40:55" ht="15.75" customHeight="1">
      <c r="AN1527" s="458"/>
      <c r="BC1527" s="169"/>
    </row>
    <row r="1528" spans="40:55" ht="15.75" customHeight="1">
      <c r="AN1528" s="458"/>
      <c r="BC1528" s="169"/>
    </row>
    <row r="1529" spans="40:55" ht="15.75" customHeight="1">
      <c r="AN1529" s="458"/>
      <c r="BC1529" s="169"/>
    </row>
    <row r="1530" spans="40:55" ht="15.75" customHeight="1">
      <c r="AN1530" s="458"/>
      <c r="BC1530" s="169"/>
    </row>
    <row r="1531" spans="40:55" ht="15.75" customHeight="1">
      <c r="AN1531" s="458"/>
      <c r="BC1531" s="169"/>
    </row>
    <row r="1532" spans="40:55" ht="15.75" customHeight="1">
      <c r="AN1532" s="458"/>
      <c r="BC1532" s="169"/>
    </row>
    <row r="1533" spans="40:55" ht="15.75" customHeight="1">
      <c r="AN1533" s="458"/>
      <c r="BC1533" s="169"/>
    </row>
    <row r="1534" spans="40:55" ht="15.75" customHeight="1">
      <c r="AN1534" s="458"/>
      <c r="BC1534" s="169"/>
    </row>
    <row r="1535" spans="40:55" ht="15.75" customHeight="1">
      <c r="AN1535" s="458"/>
      <c r="BC1535" s="169"/>
    </row>
    <row r="1536" spans="40:55" ht="15.75" customHeight="1">
      <c r="AN1536" s="458"/>
      <c r="BC1536" s="169"/>
    </row>
    <row r="1537" spans="40:55" ht="15.75" customHeight="1">
      <c r="AN1537" s="458"/>
      <c r="BC1537" s="169"/>
    </row>
    <row r="1538" spans="40:55" ht="15.75" customHeight="1">
      <c r="AN1538" s="458"/>
      <c r="BC1538" s="169"/>
    </row>
    <row r="1539" spans="40:55" ht="15.75" customHeight="1">
      <c r="AN1539" s="458"/>
      <c r="BC1539" s="169"/>
    </row>
    <row r="1540" spans="40:55" ht="15.75" customHeight="1">
      <c r="AN1540" s="458"/>
      <c r="BC1540" s="169"/>
    </row>
    <row r="1541" spans="40:55" ht="15.75" customHeight="1">
      <c r="AN1541" s="458"/>
      <c r="BC1541" s="169"/>
    </row>
    <row r="1542" spans="40:55" ht="15.75" customHeight="1">
      <c r="AN1542" s="458"/>
      <c r="BC1542" s="169"/>
    </row>
    <row r="1543" spans="40:55" ht="15.75" customHeight="1">
      <c r="AN1543" s="458"/>
      <c r="BC1543" s="169"/>
    </row>
    <row r="1544" spans="40:55" ht="15.75" customHeight="1">
      <c r="AN1544" s="458"/>
      <c r="BC1544" s="169"/>
    </row>
    <row r="1545" spans="40:55" ht="15.75" customHeight="1">
      <c r="AN1545" s="458"/>
      <c r="BC1545" s="169"/>
    </row>
    <row r="1546" spans="40:55" ht="15.75" customHeight="1">
      <c r="AN1546" s="458"/>
      <c r="BC1546" s="169"/>
    </row>
    <row r="1547" spans="40:55" ht="15.75" customHeight="1">
      <c r="AN1547" s="458"/>
      <c r="BC1547" s="169"/>
    </row>
    <row r="1548" spans="40:55" ht="15.75" customHeight="1">
      <c r="AN1548" s="458"/>
      <c r="BC1548" s="169"/>
    </row>
    <row r="1549" spans="40:55" ht="15.75" customHeight="1">
      <c r="AN1549" s="458"/>
      <c r="BC1549" s="169"/>
    </row>
    <row r="1550" spans="40:55" ht="15.75" customHeight="1">
      <c r="AN1550" s="458"/>
      <c r="BC1550" s="169"/>
    </row>
    <row r="1551" spans="40:55" ht="15.75" customHeight="1">
      <c r="AN1551" s="458"/>
      <c r="BC1551" s="169"/>
    </row>
    <row r="1552" spans="40:55" ht="15.75" customHeight="1">
      <c r="AN1552" s="458"/>
      <c r="BC1552" s="169"/>
    </row>
    <row r="1553" spans="40:55" ht="15.75" customHeight="1">
      <c r="AN1553" s="458"/>
      <c r="BC1553" s="169"/>
    </row>
    <row r="1554" spans="40:55" ht="15.75" customHeight="1">
      <c r="AN1554" s="458"/>
      <c r="BC1554" s="169"/>
    </row>
    <row r="1555" spans="40:55" ht="15.75" customHeight="1">
      <c r="AN1555" s="458"/>
      <c r="BC1555" s="169"/>
    </row>
    <row r="1556" spans="40:55" ht="15.75" customHeight="1">
      <c r="AN1556" s="458"/>
      <c r="BC1556" s="169"/>
    </row>
    <row r="1557" spans="40:55" ht="15.75" customHeight="1">
      <c r="AN1557" s="458"/>
      <c r="BC1557" s="169"/>
    </row>
    <row r="1558" spans="40:55" ht="15.75" customHeight="1">
      <c r="AN1558" s="458"/>
      <c r="BC1558" s="169"/>
    </row>
    <row r="1559" spans="40:55" ht="15.75" customHeight="1">
      <c r="AN1559" s="458"/>
      <c r="BC1559" s="169"/>
    </row>
    <row r="1560" spans="40:55" ht="15.75" customHeight="1">
      <c r="AN1560" s="458"/>
      <c r="BC1560" s="169"/>
    </row>
    <row r="1561" spans="40:55" ht="15.75" customHeight="1">
      <c r="AN1561" s="458"/>
      <c r="BC1561" s="169"/>
    </row>
    <row r="1562" spans="40:55" ht="15.75" customHeight="1">
      <c r="AN1562" s="458"/>
      <c r="BC1562" s="169"/>
    </row>
    <row r="1563" spans="40:55" ht="15.75" customHeight="1">
      <c r="AN1563" s="458"/>
      <c r="BC1563" s="169"/>
    </row>
    <row r="1564" spans="40:55" ht="15.75" customHeight="1">
      <c r="AN1564" s="458"/>
      <c r="BC1564" s="169"/>
    </row>
    <row r="1565" spans="40:55" ht="15.75" customHeight="1">
      <c r="AN1565" s="458"/>
      <c r="BC1565" s="169"/>
    </row>
    <row r="1566" spans="40:55" ht="15.75" customHeight="1">
      <c r="AN1566" s="458"/>
      <c r="BC1566" s="169"/>
    </row>
    <row r="1567" spans="40:55" ht="15.75" customHeight="1">
      <c r="AN1567" s="458"/>
      <c r="BC1567" s="169"/>
    </row>
    <row r="1568" spans="40:55" ht="15.75" customHeight="1">
      <c r="AN1568" s="458"/>
      <c r="BC1568" s="169"/>
    </row>
    <row r="1569" spans="40:55" ht="15.75" customHeight="1">
      <c r="AN1569" s="458"/>
      <c r="BC1569" s="169"/>
    </row>
    <row r="1570" spans="40:55" ht="15.75" customHeight="1">
      <c r="AN1570" s="458"/>
      <c r="BC1570" s="169"/>
    </row>
    <row r="1571" spans="40:55" ht="15.75" customHeight="1">
      <c r="AN1571" s="458"/>
      <c r="BC1571" s="169"/>
    </row>
    <row r="1572" spans="40:55" ht="15.75" customHeight="1">
      <c r="AN1572" s="458"/>
      <c r="BC1572" s="169"/>
    </row>
    <row r="1573" spans="40:55" ht="15.75" customHeight="1">
      <c r="AN1573" s="458"/>
      <c r="BC1573" s="169"/>
    </row>
    <row r="1574" spans="40:55" ht="15.75" customHeight="1">
      <c r="AN1574" s="458"/>
      <c r="BC1574" s="169"/>
    </row>
    <row r="1575" spans="40:55" ht="15.75" customHeight="1">
      <c r="AN1575" s="458"/>
      <c r="BC1575" s="169"/>
    </row>
    <row r="1576" spans="40:55" ht="15.75" customHeight="1">
      <c r="AN1576" s="458"/>
      <c r="BC1576" s="169"/>
    </row>
    <row r="1577" spans="40:55" ht="15.75" customHeight="1">
      <c r="AN1577" s="458"/>
      <c r="BC1577" s="169"/>
    </row>
    <row r="1578" spans="40:55" ht="15.75" customHeight="1">
      <c r="AN1578" s="458"/>
      <c r="BC1578" s="169"/>
    </row>
    <row r="1579" spans="40:55" ht="15.75" customHeight="1">
      <c r="AN1579" s="458"/>
      <c r="BC1579" s="169"/>
    </row>
    <row r="1580" spans="40:55" ht="15.75" customHeight="1">
      <c r="AN1580" s="458"/>
      <c r="BC1580" s="169"/>
    </row>
    <row r="1581" spans="40:55" ht="15.75" customHeight="1">
      <c r="AN1581" s="458"/>
      <c r="BC1581" s="169"/>
    </row>
    <row r="1582" spans="40:55" ht="15.75" customHeight="1">
      <c r="AN1582" s="458"/>
      <c r="BC1582" s="169"/>
    </row>
    <row r="1583" spans="40:55" ht="15.75" customHeight="1">
      <c r="AN1583" s="458"/>
      <c r="BC1583" s="169"/>
    </row>
    <row r="1584" spans="40:55" ht="15.75" customHeight="1">
      <c r="AN1584" s="458"/>
      <c r="BC1584" s="169"/>
    </row>
    <row r="1585" spans="40:55" ht="15.75" customHeight="1">
      <c r="AN1585" s="458"/>
      <c r="BC1585" s="169"/>
    </row>
    <row r="1586" spans="40:55" ht="15.75" customHeight="1">
      <c r="AN1586" s="458"/>
      <c r="BC1586" s="169"/>
    </row>
    <row r="1587" spans="40:55" ht="15.75" customHeight="1">
      <c r="AN1587" s="458"/>
      <c r="BC1587" s="169"/>
    </row>
    <row r="1588" spans="40:55" ht="15.75" customHeight="1">
      <c r="AN1588" s="458"/>
      <c r="BC1588" s="169"/>
    </row>
    <row r="1589" spans="40:55" ht="15.75" customHeight="1">
      <c r="AN1589" s="458"/>
      <c r="BC1589" s="169"/>
    </row>
    <row r="1590" spans="40:55" ht="15.75" customHeight="1">
      <c r="AN1590" s="458"/>
      <c r="BC1590" s="169"/>
    </row>
    <row r="1591" spans="40:55" ht="15.75" customHeight="1">
      <c r="AN1591" s="458"/>
      <c r="BC1591" s="169"/>
    </row>
    <row r="1592" spans="40:55" ht="15.75" customHeight="1">
      <c r="AN1592" s="458"/>
      <c r="BC1592" s="169"/>
    </row>
    <row r="1593" spans="40:55" ht="15.75" customHeight="1">
      <c r="AN1593" s="458"/>
      <c r="BC1593" s="169"/>
    </row>
    <row r="1594" spans="40:55" ht="15.75" customHeight="1">
      <c r="AN1594" s="458"/>
      <c r="BC1594" s="169"/>
    </row>
    <row r="1595" spans="40:55" ht="15.75" customHeight="1">
      <c r="AN1595" s="458"/>
      <c r="BC1595" s="169"/>
    </row>
    <row r="1596" spans="40:55" ht="15.75" customHeight="1">
      <c r="AN1596" s="458"/>
      <c r="BC1596" s="169"/>
    </row>
    <row r="1597" spans="40:55" ht="15.75" customHeight="1">
      <c r="AN1597" s="458"/>
      <c r="BC1597" s="169"/>
    </row>
    <row r="1598" spans="40:55" ht="15.75" customHeight="1">
      <c r="AN1598" s="458"/>
      <c r="BC1598" s="169"/>
    </row>
    <row r="1599" spans="40:55" ht="15.75" customHeight="1">
      <c r="AN1599" s="458"/>
      <c r="BC1599" s="169"/>
    </row>
    <row r="1600" spans="40:55" ht="15.75" customHeight="1">
      <c r="AN1600" s="458"/>
      <c r="BC1600" s="169"/>
    </row>
    <row r="1601" spans="40:55" ht="15.75" customHeight="1">
      <c r="AN1601" s="458"/>
      <c r="BC1601" s="169"/>
    </row>
    <row r="1602" spans="40:55" ht="15.75" customHeight="1">
      <c r="AN1602" s="458"/>
      <c r="BC1602" s="169"/>
    </row>
    <row r="1603" spans="40:55" ht="15.75" customHeight="1">
      <c r="AN1603" s="458"/>
      <c r="BC1603" s="169"/>
    </row>
    <row r="1604" spans="40:55" ht="15.75" customHeight="1">
      <c r="AN1604" s="458"/>
      <c r="BC1604" s="169"/>
    </row>
    <row r="1605" spans="40:55" ht="15.75" customHeight="1">
      <c r="AN1605" s="458"/>
      <c r="BC1605" s="169"/>
    </row>
    <row r="1606" spans="40:55" ht="15.75" customHeight="1">
      <c r="AN1606" s="458"/>
      <c r="BC1606" s="169"/>
    </row>
    <row r="1607" spans="40:55" ht="15.75" customHeight="1">
      <c r="AN1607" s="458"/>
      <c r="BC1607" s="169"/>
    </row>
    <row r="1608" spans="40:55" ht="15.75" customHeight="1">
      <c r="AN1608" s="458"/>
      <c r="BC1608" s="169"/>
    </row>
    <row r="1609" spans="40:55" ht="15.75" customHeight="1">
      <c r="AN1609" s="458"/>
      <c r="BC1609" s="169"/>
    </row>
    <row r="1610" spans="40:55" ht="15.75" customHeight="1">
      <c r="AN1610" s="458"/>
      <c r="BC1610" s="169"/>
    </row>
    <row r="1611" spans="40:55" ht="15.75" customHeight="1">
      <c r="AN1611" s="458"/>
      <c r="BC1611" s="169"/>
    </row>
    <row r="1612" spans="40:55" ht="15.75" customHeight="1">
      <c r="AN1612" s="458"/>
      <c r="BC1612" s="169"/>
    </row>
    <row r="1613" spans="40:55" ht="15.75" customHeight="1">
      <c r="AN1613" s="458"/>
      <c r="BC1613" s="169"/>
    </row>
    <row r="1614" spans="40:55" ht="15.75" customHeight="1">
      <c r="AN1614" s="458"/>
      <c r="BC1614" s="169"/>
    </row>
    <row r="1615" spans="40:55" ht="15.75" customHeight="1">
      <c r="AN1615" s="458"/>
      <c r="BC1615" s="169"/>
    </row>
    <row r="1616" spans="40:55" ht="15.75" customHeight="1">
      <c r="AN1616" s="458"/>
      <c r="BC1616" s="169"/>
    </row>
    <row r="1617" spans="40:55" ht="15.75" customHeight="1">
      <c r="AN1617" s="458"/>
      <c r="BC1617" s="169"/>
    </row>
    <row r="1618" spans="40:55" ht="15.75" customHeight="1">
      <c r="AN1618" s="458"/>
      <c r="BC1618" s="169"/>
    </row>
    <row r="1619" spans="40:55" ht="15.75" customHeight="1">
      <c r="AN1619" s="458"/>
      <c r="BC1619" s="169"/>
    </row>
    <row r="1620" spans="40:55" ht="15.75" customHeight="1">
      <c r="AN1620" s="458"/>
      <c r="BC1620" s="169"/>
    </row>
    <row r="1621" spans="40:55" ht="15.75" customHeight="1">
      <c r="AN1621" s="458"/>
      <c r="BC1621" s="169"/>
    </row>
    <row r="1622" spans="40:55" ht="15.75" customHeight="1">
      <c r="AN1622" s="458"/>
      <c r="BC1622" s="169"/>
    </row>
    <row r="1623" spans="40:55" ht="15.75" customHeight="1">
      <c r="AN1623" s="458"/>
      <c r="BC1623" s="169"/>
    </row>
    <row r="1624" spans="40:55" ht="15.75" customHeight="1">
      <c r="AN1624" s="458"/>
      <c r="BC1624" s="169"/>
    </row>
    <row r="1625" spans="40:55" ht="15.75" customHeight="1">
      <c r="AN1625" s="458"/>
      <c r="BC1625" s="169"/>
    </row>
    <row r="1626" spans="40:55" ht="15.75" customHeight="1">
      <c r="AN1626" s="458"/>
      <c r="BC1626" s="169"/>
    </row>
    <row r="1627" spans="40:55" ht="15.75" customHeight="1">
      <c r="AN1627" s="458"/>
      <c r="BC1627" s="169"/>
    </row>
    <row r="1628" spans="40:55" ht="15.75" customHeight="1">
      <c r="AN1628" s="458"/>
      <c r="BC1628" s="169"/>
    </row>
    <row r="1629" spans="40:55" ht="15.75" customHeight="1">
      <c r="AN1629" s="458"/>
      <c r="BC1629" s="169"/>
    </row>
    <row r="1630" spans="40:55" ht="15.75" customHeight="1">
      <c r="AN1630" s="458"/>
      <c r="BC1630" s="169"/>
    </row>
    <row r="1631" spans="40:55" ht="15.75" customHeight="1">
      <c r="AN1631" s="458"/>
      <c r="BC1631" s="169"/>
    </row>
    <row r="1632" spans="40:55" ht="15.75" customHeight="1">
      <c r="AN1632" s="458"/>
      <c r="BC1632" s="169"/>
    </row>
    <row r="1633" spans="40:55" ht="15.75" customHeight="1">
      <c r="AN1633" s="458"/>
      <c r="BC1633" s="169"/>
    </row>
    <row r="1634" spans="40:55" ht="15.75" customHeight="1">
      <c r="AN1634" s="458"/>
      <c r="BC1634" s="169"/>
    </row>
    <row r="1635" spans="40:55" ht="15.75" customHeight="1">
      <c r="AN1635" s="458"/>
      <c r="BC1635" s="169"/>
    </row>
    <row r="1636" spans="40:55" ht="15.75" customHeight="1">
      <c r="AN1636" s="458"/>
      <c r="BC1636" s="169"/>
    </row>
    <row r="1637" spans="40:55" ht="15.75" customHeight="1">
      <c r="AN1637" s="458"/>
      <c r="BC1637" s="169"/>
    </row>
    <row r="1638" spans="40:55" ht="15.75" customHeight="1">
      <c r="AN1638" s="458"/>
      <c r="BC1638" s="169"/>
    </row>
    <row r="1639" spans="40:55" ht="15.75" customHeight="1">
      <c r="AN1639" s="458"/>
      <c r="BC1639" s="169"/>
    </row>
    <row r="1640" spans="40:55" ht="15.75" customHeight="1">
      <c r="AN1640" s="458"/>
      <c r="BC1640" s="169"/>
    </row>
    <row r="1641" spans="40:55" ht="15.75" customHeight="1">
      <c r="AN1641" s="458"/>
      <c r="BC1641" s="169"/>
    </row>
    <row r="1642" spans="40:55" ht="15.75" customHeight="1">
      <c r="AN1642" s="458"/>
      <c r="BC1642" s="169"/>
    </row>
    <row r="1643" spans="40:55" ht="15.75" customHeight="1">
      <c r="AN1643" s="458"/>
      <c r="BC1643" s="169"/>
    </row>
    <row r="1644" spans="40:55" ht="15.75" customHeight="1">
      <c r="AN1644" s="458"/>
      <c r="BC1644" s="169"/>
    </row>
    <row r="1645" spans="40:55" ht="15.75" customHeight="1">
      <c r="AN1645" s="458"/>
      <c r="BC1645" s="169"/>
    </row>
    <row r="1646" spans="40:55" ht="15.75" customHeight="1">
      <c r="AN1646" s="458"/>
      <c r="BC1646" s="169"/>
    </row>
    <row r="1647" spans="40:55" ht="15.75" customHeight="1">
      <c r="AN1647" s="458"/>
      <c r="BC1647" s="169"/>
    </row>
    <row r="1648" spans="40:55" ht="15.75" customHeight="1">
      <c r="AN1648" s="458"/>
      <c r="BC1648" s="169"/>
    </row>
    <row r="1649" spans="40:55" ht="15.75" customHeight="1">
      <c r="AN1649" s="458"/>
      <c r="BC1649" s="169"/>
    </row>
    <row r="1650" spans="40:55" ht="15.75" customHeight="1">
      <c r="AN1650" s="458"/>
      <c r="BC1650" s="169"/>
    </row>
    <row r="1651" spans="40:55" ht="15.75" customHeight="1">
      <c r="AN1651" s="458"/>
      <c r="BC1651" s="169"/>
    </row>
    <row r="1652" spans="40:55" ht="15.75" customHeight="1">
      <c r="AN1652" s="458"/>
      <c r="BC1652" s="169"/>
    </row>
    <row r="1653" spans="40:55" ht="15.75" customHeight="1">
      <c r="AN1653" s="458"/>
      <c r="BC1653" s="169"/>
    </row>
    <row r="1654" spans="40:55" ht="15.75" customHeight="1">
      <c r="AN1654" s="458"/>
      <c r="BC1654" s="169"/>
    </row>
    <row r="1655" spans="40:55" ht="15.75" customHeight="1">
      <c r="AN1655" s="458"/>
      <c r="BC1655" s="169"/>
    </row>
    <row r="1656" spans="40:55" ht="15.75" customHeight="1">
      <c r="AN1656" s="458"/>
      <c r="BC1656" s="169"/>
    </row>
    <row r="1657" spans="40:55" ht="15.75" customHeight="1">
      <c r="AN1657" s="458"/>
      <c r="BC1657" s="169"/>
    </row>
    <row r="1658" spans="40:55" ht="15.75" customHeight="1">
      <c r="AN1658" s="458"/>
      <c r="BC1658" s="169"/>
    </row>
    <row r="1659" spans="40:55" ht="15.75" customHeight="1">
      <c r="AN1659" s="458"/>
      <c r="BC1659" s="169"/>
    </row>
    <row r="1660" spans="40:55" ht="15.75" customHeight="1">
      <c r="AN1660" s="458"/>
      <c r="BC1660" s="169"/>
    </row>
    <row r="1661" spans="40:55" ht="15.75" customHeight="1">
      <c r="AN1661" s="458"/>
      <c r="BC1661" s="169"/>
    </row>
    <row r="1662" spans="40:55" ht="15.75" customHeight="1">
      <c r="AN1662" s="458"/>
      <c r="BC1662" s="169"/>
    </row>
    <row r="1663" spans="40:55" ht="15.75" customHeight="1">
      <c r="AN1663" s="458"/>
      <c r="BC1663" s="169"/>
    </row>
    <row r="1664" spans="40:55" ht="15.75" customHeight="1">
      <c r="AN1664" s="458"/>
      <c r="BC1664" s="169"/>
    </row>
    <row r="1665" spans="40:55" ht="15.75" customHeight="1">
      <c r="AN1665" s="458"/>
      <c r="BC1665" s="169"/>
    </row>
    <row r="1666" spans="40:55" ht="15.75" customHeight="1">
      <c r="AN1666" s="458"/>
      <c r="BC1666" s="169"/>
    </row>
    <row r="1667" spans="40:55" ht="15.75" customHeight="1">
      <c r="AN1667" s="458"/>
      <c r="BC1667" s="169"/>
    </row>
    <row r="1668" spans="40:55" ht="15.75" customHeight="1">
      <c r="AN1668" s="458"/>
      <c r="BC1668" s="169"/>
    </row>
    <row r="1669" spans="40:55" ht="15.75" customHeight="1">
      <c r="AN1669" s="458"/>
      <c r="BC1669" s="169"/>
    </row>
    <row r="1670" spans="40:55" ht="15.75" customHeight="1">
      <c r="AN1670" s="458"/>
      <c r="BC1670" s="169"/>
    </row>
    <row r="1671" spans="40:55" ht="15.75" customHeight="1">
      <c r="AN1671" s="458"/>
      <c r="BC1671" s="169"/>
    </row>
    <row r="1672" spans="40:55" ht="15.75" customHeight="1">
      <c r="AN1672" s="458"/>
      <c r="BC1672" s="169"/>
    </row>
    <row r="1673" spans="40:55" ht="15.75" customHeight="1">
      <c r="AN1673" s="458"/>
      <c r="BC1673" s="169"/>
    </row>
    <row r="1674" spans="40:55" ht="15.75" customHeight="1">
      <c r="AN1674" s="458"/>
      <c r="BC1674" s="169"/>
    </row>
    <row r="1675" spans="40:55" ht="15.75" customHeight="1">
      <c r="AN1675" s="458"/>
      <c r="BC1675" s="169"/>
    </row>
    <row r="1676" spans="40:55" ht="15.75" customHeight="1">
      <c r="AN1676" s="458"/>
      <c r="BC1676" s="169"/>
    </row>
    <row r="1677" spans="40:55" ht="15.75" customHeight="1">
      <c r="AN1677" s="458"/>
      <c r="BC1677" s="169"/>
    </row>
    <row r="1678" spans="40:55" ht="15.75" customHeight="1">
      <c r="AN1678" s="458"/>
      <c r="BC1678" s="169"/>
    </row>
    <row r="1679" spans="40:55" ht="15.75" customHeight="1">
      <c r="AN1679" s="458"/>
      <c r="BC1679" s="169"/>
    </row>
    <row r="1680" spans="40:55" ht="15.75" customHeight="1">
      <c r="AN1680" s="458"/>
      <c r="BC1680" s="169"/>
    </row>
    <row r="1681" spans="40:55" ht="15.75" customHeight="1">
      <c r="AN1681" s="458"/>
      <c r="BC1681" s="169"/>
    </row>
    <row r="1682" spans="40:55" ht="15.75" customHeight="1">
      <c r="AN1682" s="458"/>
      <c r="BC1682" s="169"/>
    </row>
    <row r="1683" spans="40:55" ht="15.75" customHeight="1">
      <c r="AN1683" s="458"/>
      <c r="BC1683" s="169"/>
    </row>
    <row r="1684" spans="40:55" ht="15.75" customHeight="1">
      <c r="AN1684" s="458"/>
      <c r="BC1684" s="169"/>
    </row>
    <row r="1685" spans="40:55" ht="15.75" customHeight="1">
      <c r="AN1685" s="458"/>
      <c r="BC1685" s="169"/>
    </row>
    <row r="1686" spans="40:55" ht="15.75" customHeight="1">
      <c r="AN1686" s="458"/>
      <c r="BC1686" s="169"/>
    </row>
    <row r="1687" spans="40:55" ht="15.75" customHeight="1">
      <c r="AN1687" s="458"/>
      <c r="BC1687" s="169"/>
    </row>
    <row r="1688" spans="40:55" ht="15.75" customHeight="1">
      <c r="AN1688" s="458"/>
      <c r="BC1688" s="169"/>
    </row>
    <row r="1689" spans="40:55" ht="15.75" customHeight="1">
      <c r="AN1689" s="458"/>
      <c r="BC1689" s="169"/>
    </row>
    <row r="1690" spans="40:55" ht="15.75" customHeight="1">
      <c r="AN1690" s="458"/>
      <c r="BC1690" s="169"/>
    </row>
    <row r="1691" spans="40:55" ht="15.75" customHeight="1">
      <c r="AN1691" s="458"/>
      <c r="BC1691" s="169"/>
    </row>
    <row r="1692" spans="40:55" ht="15.75" customHeight="1">
      <c r="AN1692" s="458"/>
      <c r="BC1692" s="169"/>
    </row>
    <row r="1693" spans="40:55" ht="15.75" customHeight="1">
      <c r="AN1693" s="458"/>
      <c r="BC1693" s="169"/>
    </row>
    <row r="1694" spans="40:55" ht="15.75" customHeight="1">
      <c r="AN1694" s="458"/>
      <c r="BC1694" s="169"/>
    </row>
    <row r="1695" spans="40:55" ht="15.75" customHeight="1">
      <c r="AN1695" s="458"/>
      <c r="BC1695" s="169"/>
    </row>
    <row r="1696" spans="40:55" ht="15.75" customHeight="1">
      <c r="AN1696" s="458"/>
      <c r="BC1696" s="169"/>
    </row>
    <row r="1697" spans="40:55" ht="15.75" customHeight="1">
      <c r="AN1697" s="458"/>
      <c r="BC1697" s="169"/>
    </row>
    <row r="1698" spans="40:55" ht="15.75" customHeight="1">
      <c r="AN1698" s="458"/>
      <c r="BC1698" s="169"/>
    </row>
    <row r="1699" spans="40:55" ht="15.75" customHeight="1">
      <c r="AN1699" s="458"/>
      <c r="BC1699" s="169"/>
    </row>
    <row r="1700" spans="40:55" ht="15.75" customHeight="1">
      <c r="AN1700" s="458"/>
      <c r="BC1700" s="169"/>
    </row>
    <row r="1701" spans="40:55" ht="15.75" customHeight="1">
      <c r="AN1701" s="458"/>
      <c r="BC1701" s="169"/>
    </row>
    <row r="1702" spans="40:55" ht="15.75" customHeight="1">
      <c r="AN1702" s="458"/>
      <c r="BC1702" s="169"/>
    </row>
    <row r="1703" spans="40:55" ht="15.75" customHeight="1">
      <c r="AN1703" s="458"/>
      <c r="BC1703" s="169"/>
    </row>
    <row r="1704" spans="40:55" ht="15.75" customHeight="1">
      <c r="AN1704" s="458"/>
      <c r="BC1704" s="169"/>
    </row>
    <row r="1705" spans="40:55" ht="15.75" customHeight="1">
      <c r="AN1705" s="458"/>
      <c r="BC1705" s="169"/>
    </row>
    <row r="1706" spans="40:55" ht="15.75" customHeight="1">
      <c r="AN1706" s="458"/>
      <c r="BC1706" s="169"/>
    </row>
    <row r="1707" spans="40:55" ht="15.75" customHeight="1">
      <c r="AN1707" s="458"/>
      <c r="BC1707" s="169"/>
    </row>
    <row r="1708" spans="40:55" ht="15.75" customHeight="1">
      <c r="AN1708" s="458"/>
      <c r="BC1708" s="169"/>
    </row>
    <row r="1709" spans="40:55" ht="15.75" customHeight="1">
      <c r="AN1709" s="458"/>
      <c r="BC1709" s="169"/>
    </row>
    <row r="1710" spans="40:55" ht="15.75" customHeight="1">
      <c r="AN1710" s="458"/>
      <c r="BC1710" s="169"/>
    </row>
    <row r="1711" spans="40:55" ht="15.75" customHeight="1">
      <c r="AN1711" s="458"/>
      <c r="BC1711" s="169"/>
    </row>
    <row r="1712" spans="40:55" ht="15.75" customHeight="1">
      <c r="AN1712" s="458"/>
      <c r="BC1712" s="169"/>
    </row>
    <row r="1713" spans="40:55" ht="15.75" customHeight="1">
      <c r="AN1713" s="458"/>
      <c r="BC1713" s="169"/>
    </row>
    <row r="1714" spans="40:55" ht="15.75" customHeight="1">
      <c r="AN1714" s="458"/>
      <c r="BC1714" s="169"/>
    </row>
    <row r="1715" spans="40:55" ht="15.75" customHeight="1">
      <c r="AN1715" s="458"/>
      <c r="BC1715" s="169"/>
    </row>
    <row r="1716" spans="40:55" ht="15.75" customHeight="1">
      <c r="AN1716" s="458"/>
      <c r="BC1716" s="169"/>
    </row>
    <row r="1717" spans="40:55" ht="15.75" customHeight="1">
      <c r="AN1717" s="458"/>
      <c r="BC1717" s="169"/>
    </row>
    <row r="1718" spans="40:55" ht="15.75" customHeight="1">
      <c r="AN1718" s="458"/>
      <c r="BC1718" s="169"/>
    </row>
    <row r="1719" spans="40:55" ht="15.75" customHeight="1">
      <c r="AN1719" s="458"/>
      <c r="BC1719" s="169"/>
    </row>
    <row r="1720" spans="40:55" ht="15.75" customHeight="1">
      <c r="AN1720" s="458"/>
      <c r="BC1720" s="169"/>
    </row>
    <row r="1721" spans="40:55" ht="15.75" customHeight="1">
      <c r="AN1721" s="458"/>
      <c r="BC1721" s="169"/>
    </row>
    <row r="1722" spans="40:55" ht="15.75" customHeight="1">
      <c r="AN1722" s="458"/>
      <c r="BC1722" s="169"/>
    </row>
    <row r="1723" spans="40:55" ht="15.75" customHeight="1">
      <c r="AN1723" s="458"/>
      <c r="BC1723" s="169"/>
    </row>
    <row r="1724" spans="40:55" ht="15.75" customHeight="1">
      <c r="AN1724" s="458"/>
      <c r="BC1724" s="169"/>
    </row>
    <row r="1725" spans="40:55" ht="15.75" customHeight="1">
      <c r="AN1725" s="458"/>
      <c r="BC1725" s="169"/>
    </row>
    <row r="1726" spans="40:55" ht="15.75" customHeight="1">
      <c r="AN1726" s="458"/>
      <c r="BC1726" s="169"/>
    </row>
    <row r="1727" spans="40:55" ht="15.75" customHeight="1">
      <c r="AN1727" s="458"/>
      <c r="BC1727" s="169"/>
    </row>
    <row r="1728" spans="40:55" ht="15.75" customHeight="1">
      <c r="AN1728" s="458"/>
      <c r="BC1728" s="169"/>
    </row>
    <row r="1729" spans="40:55" ht="15.75" customHeight="1">
      <c r="AN1729" s="458"/>
      <c r="BC1729" s="169"/>
    </row>
    <row r="1730" spans="40:55" ht="15.75" customHeight="1">
      <c r="AN1730" s="458"/>
      <c r="BC1730" s="169"/>
    </row>
    <row r="1731" spans="40:55" ht="15.75" customHeight="1">
      <c r="AN1731" s="458"/>
      <c r="BC1731" s="169"/>
    </row>
    <row r="1732" spans="40:55" ht="15.75" customHeight="1">
      <c r="AN1732" s="458"/>
      <c r="BC1732" s="169"/>
    </row>
    <row r="1733" spans="40:55" ht="15.75" customHeight="1">
      <c r="AN1733" s="458"/>
      <c r="BC1733" s="169"/>
    </row>
    <row r="1734" spans="40:55" ht="15.75" customHeight="1">
      <c r="AN1734" s="458"/>
      <c r="BC1734" s="169"/>
    </row>
    <row r="1735" spans="40:55" ht="15.75" customHeight="1">
      <c r="AN1735" s="458"/>
      <c r="BC1735" s="169"/>
    </row>
    <row r="1736" spans="40:55" ht="15.75" customHeight="1">
      <c r="AN1736" s="458"/>
      <c r="BC1736" s="169"/>
    </row>
    <row r="1737" spans="40:55" ht="15.75" customHeight="1">
      <c r="AN1737" s="458"/>
      <c r="BC1737" s="169"/>
    </row>
    <row r="1738" spans="40:55" ht="15.75" customHeight="1">
      <c r="AN1738" s="458"/>
      <c r="BC1738" s="169"/>
    </row>
    <row r="1739" spans="40:55" ht="15.75" customHeight="1">
      <c r="AN1739" s="458"/>
      <c r="BC1739" s="169"/>
    </row>
    <row r="1740" spans="40:55" ht="15.75" customHeight="1">
      <c r="AN1740" s="458"/>
      <c r="BC1740" s="169"/>
    </row>
    <row r="1741" spans="40:55" ht="15.75" customHeight="1">
      <c r="AN1741" s="458"/>
      <c r="BC1741" s="169"/>
    </row>
    <row r="1742" spans="40:55" ht="15.75" customHeight="1">
      <c r="AN1742" s="458"/>
      <c r="BC1742" s="169"/>
    </row>
    <row r="1743" spans="40:55" ht="15.75" customHeight="1">
      <c r="AN1743" s="458"/>
      <c r="BC1743" s="169"/>
    </row>
    <row r="1744" spans="40:55" ht="15.75" customHeight="1">
      <c r="AN1744" s="458"/>
      <c r="BC1744" s="169"/>
    </row>
    <row r="1745" spans="40:55" ht="15.75" customHeight="1">
      <c r="AN1745" s="458"/>
      <c r="BC1745" s="169"/>
    </row>
    <row r="1746" spans="40:55" ht="15.75" customHeight="1">
      <c r="AN1746" s="458"/>
      <c r="BC1746" s="169"/>
    </row>
    <row r="1747" spans="40:55" ht="15.75" customHeight="1">
      <c r="AN1747" s="458"/>
      <c r="BC1747" s="169"/>
    </row>
    <row r="1748" spans="40:55" ht="15.75" customHeight="1">
      <c r="AN1748" s="458"/>
      <c r="BC1748" s="169"/>
    </row>
    <row r="1749" spans="40:55" ht="15.75" customHeight="1">
      <c r="AN1749" s="458"/>
      <c r="BC1749" s="169"/>
    </row>
    <row r="1750" spans="40:55" ht="15.75" customHeight="1">
      <c r="AN1750" s="458"/>
      <c r="BC1750" s="169"/>
    </row>
    <row r="1751" spans="40:55" ht="15.75" customHeight="1">
      <c r="AN1751" s="458"/>
      <c r="BC1751" s="169"/>
    </row>
    <row r="1752" spans="40:55" ht="15.75" customHeight="1">
      <c r="AN1752" s="458"/>
      <c r="BC1752" s="169"/>
    </row>
    <row r="1753" spans="40:55" ht="15.75" customHeight="1">
      <c r="AN1753" s="458"/>
      <c r="BC1753" s="169"/>
    </row>
    <row r="1754" spans="40:55" ht="15.75" customHeight="1">
      <c r="AN1754" s="458"/>
      <c r="BC1754" s="169"/>
    </row>
    <row r="1755" spans="40:55" ht="15.75" customHeight="1">
      <c r="AN1755" s="458"/>
      <c r="BC1755" s="169"/>
    </row>
    <row r="1756" spans="40:55" ht="15.75" customHeight="1">
      <c r="AN1756" s="458"/>
      <c r="BC1756" s="169"/>
    </row>
    <row r="1757" spans="40:55" ht="15.75" customHeight="1">
      <c r="AN1757" s="458"/>
      <c r="BC1757" s="169"/>
    </row>
    <row r="1758" spans="40:55" ht="15.75" customHeight="1">
      <c r="AN1758" s="458"/>
      <c r="BC1758" s="169"/>
    </row>
    <row r="1759" spans="40:55" ht="15.75" customHeight="1">
      <c r="AN1759" s="458"/>
      <c r="BC1759" s="169"/>
    </row>
    <row r="1760" spans="40:55" ht="15.75" customHeight="1">
      <c r="AN1760" s="458"/>
      <c r="BC1760" s="169"/>
    </row>
    <row r="1761" spans="40:55" ht="15.75" customHeight="1">
      <c r="AN1761" s="458"/>
      <c r="BC1761" s="169"/>
    </row>
    <row r="1762" spans="40:55" ht="15.75" customHeight="1">
      <c r="AN1762" s="458"/>
      <c r="BC1762" s="169"/>
    </row>
    <row r="1763" spans="40:55" ht="15.75" customHeight="1">
      <c r="AN1763" s="458"/>
      <c r="BC1763" s="169"/>
    </row>
    <row r="1764" spans="40:55" ht="15.75" customHeight="1">
      <c r="AN1764" s="458"/>
      <c r="BC1764" s="169"/>
    </row>
    <row r="1765" spans="40:55" ht="15.75" customHeight="1">
      <c r="AN1765" s="458"/>
      <c r="BC1765" s="169"/>
    </row>
    <row r="1766" spans="40:55" ht="15.75" customHeight="1">
      <c r="AN1766" s="458"/>
      <c r="BC1766" s="169"/>
    </row>
    <row r="1767" spans="40:55" ht="15.75" customHeight="1">
      <c r="AN1767" s="458"/>
      <c r="BC1767" s="169"/>
    </row>
    <row r="1768" spans="40:55" ht="15.75" customHeight="1">
      <c r="AN1768" s="458"/>
      <c r="BC1768" s="169"/>
    </row>
    <row r="1769" spans="40:55" ht="15.75" customHeight="1">
      <c r="AN1769" s="458"/>
      <c r="BC1769" s="169"/>
    </row>
    <row r="1770" spans="40:55" ht="15.75" customHeight="1">
      <c r="AN1770" s="458"/>
      <c r="BC1770" s="169"/>
    </row>
    <row r="1771" spans="40:55" ht="15.75" customHeight="1">
      <c r="AN1771" s="458"/>
      <c r="BC1771" s="169"/>
    </row>
    <row r="1772" spans="40:55" ht="15.75" customHeight="1">
      <c r="AN1772" s="458"/>
      <c r="BC1772" s="169"/>
    </row>
    <row r="1773" spans="40:55" ht="15.75" customHeight="1">
      <c r="AN1773" s="458"/>
      <c r="BC1773" s="169"/>
    </row>
    <row r="1774" spans="40:55" ht="15.75" customHeight="1">
      <c r="AN1774" s="458"/>
      <c r="BC1774" s="169"/>
    </row>
    <row r="1775" spans="40:55" ht="15.75" customHeight="1">
      <c r="AN1775" s="458"/>
      <c r="BC1775" s="169"/>
    </row>
    <row r="1776" spans="40:55" ht="15.75" customHeight="1">
      <c r="AN1776" s="458"/>
      <c r="BC1776" s="169"/>
    </row>
    <row r="1777" spans="40:55" ht="15.75" customHeight="1">
      <c r="AN1777" s="458"/>
      <c r="BC1777" s="169"/>
    </row>
    <row r="1778" spans="40:55" ht="15.75" customHeight="1">
      <c r="AN1778" s="458"/>
      <c r="BC1778" s="169"/>
    </row>
    <row r="1779" spans="40:55" ht="15.75" customHeight="1">
      <c r="AN1779" s="458"/>
      <c r="BC1779" s="169"/>
    </row>
    <row r="1780" spans="40:55" ht="15.75" customHeight="1">
      <c r="AN1780" s="458"/>
      <c r="BC1780" s="169"/>
    </row>
    <row r="1781" spans="40:55" ht="15.75" customHeight="1">
      <c r="AN1781" s="458"/>
      <c r="BC1781" s="169"/>
    </row>
    <row r="1782" spans="40:55" ht="15.75" customHeight="1">
      <c r="AN1782" s="458"/>
      <c r="BC1782" s="169"/>
    </row>
    <row r="1783" spans="40:55" ht="15.75" customHeight="1">
      <c r="AN1783" s="458"/>
      <c r="BC1783" s="169"/>
    </row>
    <row r="1784" spans="40:55" ht="15.75" customHeight="1">
      <c r="AN1784" s="458"/>
      <c r="BC1784" s="169"/>
    </row>
    <row r="1785" spans="40:55" ht="15.75" customHeight="1">
      <c r="AN1785" s="458"/>
      <c r="BC1785" s="169"/>
    </row>
    <row r="1786" spans="40:55" ht="15.75" customHeight="1">
      <c r="AN1786" s="458"/>
      <c r="BC1786" s="169"/>
    </row>
    <row r="1787" spans="40:55" ht="15.75" customHeight="1">
      <c r="AN1787" s="458"/>
      <c r="BC1787" s="169"/>
    </row>
    <row r="1788" spans="40:55" ht="15.75" customHeight="1">
      <c r="AN1788" s="458"/>
      <c r="BC1788" s="169"/>
    </row>
    <row r="1789" spans="40:55" ht="15.75" customHeight="1">
      <c r="AN1789" s="458"/>
      <c r="BC1789" s="169"/>
    </row>
    <row r="1790" spans="40:55" ht="15.75" customHeight="1">
      <c r="AN1790" s="458"/>
      <c r="BC1790" s="169"/>
    </row>
    <row r="1791" spans="40:55" ht="15.75" customHeight="1">
      <c r="AN1791" s="458"/>
      <c r="BC1791" s="169"/>
    </row>
    <row r="1792" spans="40:55" ht="15.75" customHeight="1">
      <c r="AN1792" s="458"/>
      <c r="BC1792" s="169"/>
    </row>
    <row r="1793" spans="40:55" ht="15.75" customHeight="1">
      <c r="AN1793" s="458"/>
      <c r="BC1793" s="169"/>
    </row>
    <row r="1794" spans="40:55" ht="15.75" customHeight="1">
      <c r="AN1794" s="458"/>
      <c r="BC1794" s="169"/>
    </row>
    <row r="1795" spans="40:55" ht="15.75" customHeight="1">
      <c r="AN1795" s="458"/>
      <c r="BC1795" s="169"/>
    </row>
    <row r="1796" spans="40:55" ht="15.75" customHeight="1">
      <c r="AN1796" s="458"/>
      <c r="BC1796" s="169"/>
    </row>
    <row r="1797" spans="40:55" ht="15.75" customHeight="1">
      <c r="AN1797" s="458"/>
      <c r="BC1797" s="169"/>
    </row>
    <row r="1798" spans="40:55" ht="15.75" customHeight="1">
      <c r="AN1798" s="458"/>
      <c r="BC1798" s="169"/>
    </row>
    <row r="1799" spans="40:55" ht="15.75" customHeight="1">
      <c r="AN1799" s="458"/>
      <c r="BC1799" s="169"/>
    </row>
    <row r="1800" spans="40:55" ht="15.75" customHeight="1">
      <c r="AN1800" s="458"/>
      <c r="BC1800" s="169"/>
    </row>
    <row r="1801" spans="40:55" ht="15.75" customHeight="1">
      <c r="AN1801" s="458"/>
      <c r="BC1801" s="169"/>
    </row>
    <row r="1802" spans="40:55" ht="15.75" customHeight="1">
      <c r="AN1802" s="458"/>
      <c r="BC1802" s="169"/>
    </row>
    <row r="1803" spans="40:55" ht="15.75" customHeight="1">
      <c r="AN1803" s="458"/>
      <c r="BC1803" s="169"/>
    </row>
    <row r="1804" spans="40:55" ht="15.75" customHeight="1">
      <c r="AN1804" s="458"/>
      <c r="BC1804" s="169"/>
    </row>
    <row r="1805" spans="40:55" ht="15.75" customHeight="1">
      <c r="AN1805" s="458"/>
      <c r="BC1805" s="169"/>
    </row>
    <row r="1806" spans="40:55" ht="15.75" customHeight="1">
      <c r="AN1806" s="458"/>
      <c r="BC1806" s="169"/>
    </row>
    <row r="1807" spans="40:55" ht="15.75" customHeight="1">
      <c r="AN1807" s="458"/>
      <c r="BC1807" s="169"/>
    </row>
    <row r="1808" spans="40:55" ht="15.75" customHeight="1">
      <c r="AN1808" s="458"/>
      <c r="BC1808" s="169"/>
    </row>
    <row r="1809" spans="40:55" ht="15.75" customHeight="1">
      <c r="AN1809" s="458"/>
      <c r="BC1809" s="169"/>
    </row>
    <row r="1810" spans="40:55" ht="15.75" customHeight="1">
      <c r="AN1810" s="458"/>
      <c r="BC1810" s="169"/>
    </row>
    <row r="1811" spans="40:55" ht="15.75" customHeight="1">
      <c r="AN1811" s="458"/>
      <c r="BC1811" s="169"/>
    </row>
    <row r="1812" spans="40:55" ht="15.75" customHeight="1">
      <c r="AN1812" s="458"/>
      <c r="BC1812" s="169"/>
    </row>
    <row r="1813" spans="40:55" ht="15.75" customHeight="1">
      <c r="AN1813" s="458"/>
      <c r="BC1813" s="169"/>
    </row>
    <row r="1814" spans="40:55" ht="15.75" customHeight="1">
      <c r="AN1814" s="458"/>
      <c r="BC1814" s="169"/>
    </row>
    <row r="1815" spans="40:55" ht="15.75" customHeight="1">
      <c r="AN1815" s="458"/>
      <c r="BC1815" s="169"/>
    </row>
    <row r="1816" spans="40:55" ht="15.75" customHeight="1">
      <c r="AN1816" s="458"/>
      <c r="BC1816" s="169"/>
    </row>
    <row r="1817" spans="40:55" ht="15.75" customHeight="1">
      <c r="AN1817" s="458"/>
      <c r="BC1817" s="169"/>
    </row>
    <row r="1818" spans="40:55" ht="15.75" customHeight="1">
      <c r="AN1818" s="458"/>
      <c r="BC1818" s="169"/>
    </row>
    <row r="1819" spans="40:55" ht="15.75" customHeight="1">
      <c r="AN1819" s="458"/>
      <c r="BC1819" s="169"/>
    </row>
    <row r="1820" spans="40:55" ht="15.75" customHeight="1">
      <c r="AN1820" s="458"/>
      <c r="BC1820" s="169"/>
    </row>
    <row r="1821" spans="40:55" ht="15.75" customHeight="1">
      <c r="AN1821" s="458"/>
      <c r="BC1821" s="169"/>
    </row>
    <row r="1822" spans="40:55" ht="15.75" customHeight="1">
      <c r="AN1822" s="458"/>
      <c r="BC1822" s="169"/>
    </row>
    <row r="1823" spans="40:55" ht="15.75" customHeight="1">
      <c r="AN1823" s="458"/>
      <c r="BC1823" s="169"/>
    </row>
    <row r="1824" spans="40:55" ht="15.75" customHeight="1">
      <c r="AN1824" s="458"/>
      <c r="BC1824" s="169"/>
    </row>
    <row r="1825" spans="40:55" ht="15.75" customHeight="1">
      <c r="AN1825" s="458"/>
      <c r="BC1825" s="169"/>
    </row>
    <row r="1826" spans="40:55" ht="15.75" customHeight="1">
      <c r="AN1826" s="458"/>
      <c r="BC1826" s="169"/>
    </row>
    <row r="1827" spans="40:55" ht="15.75" customHeight="1">
      <c r="AN1827" s="458"/>
      <c r="BC1827" s="169"/>
    </row>
    <row r="1828" spans="40:55" ht="15.75" customHeight="1">
      <c r="AN1828" s="458"/>
      <c r="BC1828" s="169"/>
    </row>
    <row r="1829" spans="40:55" ht="15.75" customHeight="1">
      <c r="AN1829" s="458"/>
      <c r="BC1829" s="169"/>
    </row>
    <row r="1830" spans="40:55" ht="15.75" customHeight="1">
      <c r="AN1830" s="458"/>
      <c r="BC1830" s="169"/>
    </row>
    <row r="1831" spans="40:55" ht="15.75" customHeight="1">
      <c r="AN1831" s="458"/>
      <c r="BC1831" s="169"/>
    </row>
    <row r="1832" spans="40:55" ht="15.75" customHeight="1">
      <c r="AN1832" s="458"/>
      <c r="BC1832" s="169"/>
    </row>
    <row r="1833" spans="40:55" ht="15.75" customHeight="1">
      <c r="AN1833" s="458"/>
      <c r="BC1833" s="169"/>
    </row>
    <row r="1834" spans="40:55" ht="15.75" customHeight="1">
      <c r="AN1834" s="458"/>
      <c r="BC1834" s="169"/>
    </row>
    <row r="1835" spans="40:55" ht="15.75" customHeight="1">
      <c r="AN1835" s="458"/>
      <c r="BC1835" s="169"/>
    </row>
    <row r="1836" spans="40:55" ht="15.75" customHeight="1">
      <c r="AN1836" s="458"/>
      <c r="BC1836" s="169"/>
    </row>
    <row r="1837" spans="40:55" ht="15.75" customHeight="1">
      <c r="AN1837" s="458"/>
      <c r="BC1837" s="169"/>
    </row>
    <row r="1838" spans="40:55" ht="15.75" customHeight="1">
      <c r="AN1838" s="458"/>
      <c r="BC1838" s="169"/>
    </row>
    <row r="1839" spans="40:55" ht="15.75" customHeight="1">
      <c r="AN1839" s="458"/>
      <c r="BC1839" s="169"/>
    </row>
    <row r="1840" spans="40:55" ht="15.75" customHeight="1">
      <c r="AN1840" s="458"/>
      <c r="BC1840" s="169"/>
    </row>
    <row r="1841" spans="40:55" ht="15.75" customHeight="1">
      <c r="AN1841" s="458"/>
      <c r="BC1841" s="169"/>
    </row>
    <row r="1842" spans="40:55" ht="15.75" customHeight="1">
      <c r="AN1842" s="458"/>
      <c r="BC1842" s="169"/>
    </row>
    <row r="1843" spans="40:55" ht="15.75" customHeight="1">
      <c r="AN1843" s="458"/>
      <c r="BC1843" s="169"/>
    </row>
    <row r="1844" spans="40:55" ht="15.75" customHeight="1">
      <c r="AN1844" s="458"/>
      <c r="BC1844" s="169"/>
    </row>
    <row r="1845" spans="40:55" ht="15.75" customHeight="1">
      <c r="AN1845" s="458"/>
      <c r="BC1845" s="169"/>
    </row>
    <row r="1846" spans="40:55" ht="15.75" customHeight="1">
      <c r="AN1846" s="458"/>
      <c r="BC1846" s="169"/>
    </row>
    <row r="1847" spans="40:55" ht="15.75" customHeight="1">
      <c r="AN1847" s="458"/>
      <c r="BC1847" s="169"/>
    </row>
    <row r="1848" spans="40:55" ht="15.75" customHeight="1">
      <c r="AN1848" s="458"/>
      <c r="BC1848" s="169"/>
    </row>
    <row r="1849" spans="40:55" ht="15.75" customHeight="1">
      <c r="AN1849" s="458"/>
      <c r="BC1849" s="169"/>
    </row>
    <row r="1850" spans="40:55" ht="15.75" customHeight="1">
      <c r="AN1850" s="458"/>
      <c r="BC1850" s="169"/>
    </row>
    <row r="1851" spans="40:55" ht="15.75" customHeight="1">
      <c r="AN1851" s="458"/>
      <c r="BC1851" s="169"/>
    </row>
    <row r="1852" spans="40:55" ht="15.75" customHeight="1">
      <c r="AN1852" s="458"/>
      <c r="BC1852" s="169"/>
    </row>
    <row r="1853" spans="40:55" ht="15.75" customHeight="1">
      <c r="AN1853" s="458"/>
      <c r="BC1853" s="169"/>
    </row>
    <row r="1854" spans="40:55" ht="15.75" customHeight="1">
      <c r="AN1854" s="458"/>
      <c r="BC1854" s="169"/>
    </row>
    <row r="1855" spans="40:55" ht="15.75" customHeight="1">
      <c r="AN1855" s="458"/>
      <c r="BC1855" s="169"/>
    </row>
    <row r="1856" spans="40:55" ht="15.75" customHeight="1">
      <c r="AN1856" s="458"/>
      <c r="BC1856" s="169"/>
    </row>
    <row r="1857" spans="40:55" ht="15.75" customHeight="1">
      <c r="AN1857" s="458"/>
      <c r="BC1857" s="169"/>
    </row>
    <row r="1858" spans="40:55" ht="15.75" customHeight="1">
      <c r="AN1858" s="458"/>
      <c r="BC1858" s="169"/>
    </row>
    <row r="1859" spans="40:55" ht="15.75" customHeight="1">
      <c r="AN1859" s="458"/>
      <c r="BC1859" s="169"/>
    </row>
    <row r="1860" spans="40:55" ht="15.75" customHeight="1">
      <c r="AN1860" s="458"/>
      <c r="BC1860" s="169"/>
    </row>
    <row r="1861" spans="40:55" ht="15.75" customHeight="1">
      <c r="AN1861" s="458"/>
      <c r="BC1861" s="169"/>
    </row>
    <row r="1862" spans="40:55" ht="15.75" customHeight="1">
      <c r="AN1862" s="458"/>
      <c r="BC1862" s="169"/>
    </row>
    <row r="1863" spans="40:55" ht="15.75" customHeight="1">
      <c r="AN1863" s="458"/>
      <c r="BC1863" s="169"/>
    </row>
    <row r="1864" spans="40:55" ht="15.75" customHeight="1">
      <c r="AN1864" s="458"/>
      <c r="BC1864" s="169"/>
    </row>
    <row r="1865" spans="40:55" ht="15.75" customHeight="1">
      <c r="AN1865" s="458"/>
      <c r="BC1865" s="169"/>
    </row>
    <row r="1866" spans="40:55" ht="15.75" customHeight="1">
      <c r="AN1866" s="458"/>
      <c r="BC1866" s="169"/>
    </row>
    <row r="1867" spans="40:55" ht="15.75" customHeight="1">
      <c r="AN1867" s="458"/>
      <c r="BC1867" s="169"/>
    </row>
    <row r="1868" spans="40:55" ht="15.75" customHeight="1">
      <c r="AN1868" s="458"/>
      <c r="BC1868" s="169"/>
    </row>
    <row r="1869" spans="40:55" ht="15.75" customHeight="1">
      <c r="AN1869" s="458"/>
      <c r="BC1869" s="169"/>
    </row>
    <row r="1870" spans="40:55" ht="15.75" customHeight="1">
      <c r="AN1870" s="458"/>
      <c r="BC1870" s="169"/>
    </row>
    <row r="1871" spans="40:55" ht="15.75" customHeight="1">
      <c r="AN1871" s="458"/>
      <c r="BC1871" s="169"/>
    </row>
    <row r="1872" spans="40:55" ht="15.75" customHeight="1">
      <c r="AN1872" s="458"/>
      <c r="BC1872" s="169"/>
    </row>
    <row r="1873" spans="40:55" ht="15.75" customHeight="1">
      <c r="AN1873" s="458"/>
      <c r="BC1873" s="169"/>
    </row>
    <row r="1874" spans="40:55" ht="15.75" customHeight="1">
      <c r="AN1874" s="458"/>
      <c r="BC1874" s="169"/>
    </row>
    <row r="1875" spans="40:55" ht="15.75" customHeight="1">
      <c r="AN1875" s="458"/>
      <c r="BC1875" s="169"/>
    </row>
    <row r="1876" spans="40:55" ht="15.75" customHeight="1">
      <c r="AN1876" s="458"/>
      <c r="BC1876" s="169"/>
    </row>
    <row r="1877" spans="40:55" ht="15.75" customHeight="1">
      <c r="AN1877" s="458"/>
      <c r="BC1877" s="169"/>
    </row>
    <row r="1878" spans="40:55" ht="15.75" customHeight="1">
      <c r="AN1878" s="458"/>
      <c r="BC1878" s="169"/>
    </row>
    <row r="1879" spans="40:55" ht="15.75" customHeight="1">
      <c r="AN1879" s="458"/>
      <c r="BC1879" s="169"/>
    </row>
    <row r="1880" spans="40:55" ht="15.75" customHeight="1">
      <c r="AN1880" s="458"/>
      <c r="BC1880" s="169"/>
    </row>
    <row r="1881" spans="40:55" ht="15.75" customHeight="1">
      <c r="AN1881" s="458"/>
      <c r="BC1881" s="169"/>
    </row>
    <row r="1882" spans="40:55" ht="15.75" customHeight="1">
      <c r="AN1882" s="458"/>
      <c r="BC1882" s="169"/>
    </row>
    <row r="1883" spans="40:55" ht="15.75" customHeight="1">
      <c r="AN1883" s="458"/>
      <c r="BC1883" s="169"/>
    </row>
    <row r="1884" spans="40:55" ht="15.75" customHeight="1">
      <c r="AN1884" s="458"/>
      <c r="BC1884" s="169"/>
    </row>
    <row r="1885" spans="40:55" ht="15.75" customHeight="1">
      <c r="AN1885" s="458"/>
      <c r="BC1885" s="169"/>
    </row>
    <row r="1886" spans="40:55" ht="15.75" customHeight="1">
      <c r="AN1886" s="458"/>
      <c r="BC1886" s="169"/>
    </row>
    <row r="1887" spans="40:55" ht="15.75" customHeight="1">
      <c r="AN1887" s="458"/>
      <c r="BC1887" s="169"/>
    </row>
    <row r="1888" spans="40:55" ht="15.75" customHeight="1">
      <c r="AN1888" s="458"/>
      <c r="BC1888" s="169"/>
    </row>
    <row r="1889" spans="40:55" ht="15.75" customHeight="1">
      <c r="AN1889" s="458"/>
      <c r="BC1889" s="169"/>
    </row>
    <row r="1890" spans="40:55" ht="15.75" customHeight="1">
      <c r="AN1890" s="458"/>
      <c r="BC1890" s="169"/>
    </row>
    <row r="1891" spans="40:55" ht="15.75" customHeight="1">
      <c r="AN1891" s="458"/>
      <c r="BC1891" s="169"/>
    </row>
    <row r="1892" spans="40:55" ht="15.75" customHeight="1">
      <c r="AN1892" s="458"/>
      <c r="BC1892" s="169"/>
    </row>
    <row r="1893" spans="40:55" ht="15.75" customHeight="1">
      <c r="AN1893" s="458"/>
      <c r="BC1893" s="169"/>
    </row>
    <row r="1894" spans="40:55" ht="15.75" customHeight="1">
      <c r="AN1894" s="458"/>
      <c r="BC1894" s="169"/>
    </row>
    <row r="1895" spans="40:55" ht="15.75" customHeight="1">
      <c r="AN1895" s="458"/>
      <c r="BC1895" s="169"/>
    </row>
    <row r="1896" spans="40:55" ht="15.75" customHeight="1">
      <c r="AN1896" s="458"/>
      <c r="BC1896" s="169"/>
    </row>
    <row r="1897" spans="40:55" ht="15.75" customHeight="1">
      <c r="AN1897" s="458"/>
      <c r="BC1897" s="169"/>
    </row>
    <row r="1898" spans="40:55" ht="15.75" customHeight="1">
      <c r="AN1898" s="458"/>
      <c r="BC1898" s="169"/>
    </row>
    <row r="1899" spans="40:55" ht="15.75" customHeight="1">
      <c r="AN1899" s="458"/>
      <c r="BC1899" s="169"/>
    </row>
    <row r="1900" spans="40:55" ht="15.75" customHeight="1">
      <c r="AN1900" s="458"/>
      <c r="BC1900" s="169"/>
    </row>
    <row r="1901" spans="40:55" ht="15.75" customHeight="1">
      <c r="AN1901" s="458"/>
      <c r="BC1901" s="169"/>
    </row>
    <row r="1902" spans="40:55" ht="15.75" customHeight="1">
      <c r="AN1902" s="458"/>
      <c r="BC1902" s="169"/>
    </row>
    <row r="1903" spans="40:55" ht="15.75" customHeight="1">
      <c r="AN1903" s="458"/>
      <c r="BC1903" s="169"/>
    </row>
    <row r="1904" spans="40:55" ht="15.75" customHeight="1">
      <c r="AN1904" s="458"/>
      <c r="BC1904" s="169"/>
    </row>
    <row r="1905" spans="40:55" ht="15.75" customHeight="1">
      <c r="AN1905" s="458"/>
      <c r="BC1905" s="169"/>
    </row>
    <row r="1906" spans="40:55" ht="15.75" customHeight="1">
      <c r="AN1906" s="458"/>
      <c r="BC1906" s="169"/>
    </row>
    <row r="1907" spans="40:55" ht="15.75" customHeight="1">
      <c r="AN1907" s="458"/>
      <c r="BC1907" s="169"/>
    </row>
    <row r="1908" spans="40:55" ht="15.75" customHeight="1">
      <c r="AN1908" s="458"/>
      <c r="BC1908" s="169"/>
    </row>
    <row r="1909" spans="40:55" ht="15.75" customHeight="1">
      <c r="AN1909" s="458"/>
      <c r="BC1909" s="169"/>
    </row>
    <row r="1910" spans="40:55" ht="15.75" customHeight="1">
      <c r="AN1910" s="458"/>
      <c r="BC1910" s="169"/>
    </row>
    <row r="1911" spans="40:55" ht="15.75" customHeight="1">
      <c r="AN1911" s="458"/>
      <c r="BC1911" s="169"/>
    </row>
    <row r="1912" spans="40:55" ht="15.75" customHeight="1">
      <c r="AN1912" s="458"/>
      <c r="BC1912" s="169"/>
    </row>
    <row r="1913" spans="40:55" ht="15.75" customHeight="1">
      <c r="AN1913" s="458"/>
      <c r="BC1913" s="169"/>
    </row>
    <row r="1914" spans="40:55" ht="15.75" customHeight="1">
      <c r="AN1914" s="458"/>
      <c r="BC1914" s="169"/>
    </row>
    <row r="1915" spans="40:55" ht="15.75" customHeight="1">
      <c r="AN1915" s="458"/>
      <c r="BC1915" s="169"/>
    </row>
    <row r="1916" spans="40:55" ht="15.75" customHeight="1">
      <c r="AN1916" s="458"/>
      <c r="BC1916" s="169"/>
    </row>
    <row r="1917" spans="40:55" ht="15.75" customHeight="1">
      <c r="AN1917" s="458"/>
      <c r="BC1917" s="169"/>
    </row>
    <row r="1918" spans="40:55" ht="15.75" customHeight="1">
      <c r="AN1918" s="458"/>
      <c r="BC1918" s="169"/>
    </row>
    <row r="1919" spans="40:55" ht="15.75" customHeight="1">
      <c r="AN1919" s="458"/>
      <c r="BC1919" s="169"/>
    </row>
    <row r="1920" spans="40:55" ht="15.75" customHeight="1">
      <c r="AN1920" s="458"/>
      <c r="BC1920" s="169"/>
    </row>
    <row r="1921" spans="40:55" ht="15.75" customHeight="1">
      <c r="AN1921" s="458"/>
      <c r="BC1921" s="169"/>
    </row>
    <row r="1922" spans="40:55" ht="15.75" customHeight="1">
      <c r="AN1922" s="458"/>
      <c r="BC1922" s="169"/>
    </row>
    <row r="1923" spans="40:55" ht="15.75" customHeight="1">
      <c r="AN1923" s="458"/>
      <c r="BC1923" s="169"/>
    </row>
    <row r="1924" spans="40:55" ht="15.75" customHeight="1">
      <c r="AN1924" s="458"/>
      <c r="BC1924" s="169"/>
    </row>
    <row r="1925" spans="40:55" ht="15.75" customHeight="1">
      <c r="AN1925" s="458"/>
      <c r="BC1925" s="169"/>
    </row>
    <row r="1926" spans="40:55" ht="15.75" customHeight="1">
      <c r="AN1926" s="458"/>
      <c r="BC1926" s="169"/>
    </row>
    <row r="1927" spans="40:55" ht="15.75" customHeight="1">
      <c r="AN1927" s="458"/>
      <c r="BC1927" s="169"/>
    </row>
    <row r="1928" spans="40:55" ht="15.75" customHeight="1">
      <c r="AN1928" s="458"/>
      <c r="BC1928" s="169"/>
    </row>
    <row r="1929" spans="40:55" ht="15.75" customHeight="1">
      <c r="AN1929" s="458"/>
      <c r="BC1929" s="169"/>
    </row>
    <row r="1930" spans="40:55" ht="15.75" customHeight="1">
      <c r="AN1930" s="458"/>
      <c r="BC1930" s="169"/>
    </row>
    <row r="1931" spans="40:55" ht="15.75" customHeight="1">
      <c r="AN1931" s="458"/>
      <c r="BC1931" s="169"/>
    </row>
    <row r="1932" spans="40:55" ht="15.75" customHeight="1">
      <c r="AN1932" s="458"/>
      <c r="BC1932" s="169"/>
    </row>
    <row r="1933" spans="40:55" ht="15.75" customHeight="1">
      <c r="AN1933" s="458"/>
      <c r="BC1933" s="169"/>
    </row>
    <row r="1934" spans="40:55" ht="15.75" customHeight="1">
      <c r="AN1934" s="458"/>
      <c r="BC1934" s="169"/>
    </row>
    <row r="1935" spans="40:55" ht="15.75" customHeight="1">
      <c r="AN1935" s="458"/>
      <c r="BC1935" s="169"/>
    </row>
    <row r="1936" spans="40:55" ht="15.75" customHeight="1">
      <c r="AN1936" s="458"/>
      <c r="BC1936" s="169"/>
    </row>
    <row r="1937" spans="40:55" ht="15.75" customHeight="1">
      <c r="AN1937" s="458"/>
      <c r="BC1937" s="169"/>
    </row>
    <row r="1938" spans="40:55" ht="15.75" customHeight="1">
      <c r="AN1938" s="458"/>
      <c r="BC1938" s="169"/>
    </row>
    <row r="1939" spans="40:55" ht="15.75" customHeight="1">
      <c r="AN1939" s="458"/>
      <c r="BC1939" s="169"/>
    </row>
    <row r="1940" spans="40:55" ht="15.75" customHeight="1">
      <c r="AN1940" s="458"/>
      <c r="BC1940" s="169"/>
    </row>
    <row r="1941" spans="40:55" ht="15.75" customHeight="1">
      <c r="AN1941" s="458"/>
      <c r="BC1941" s="169"/>
    </row>
    <row r="1942" spans="40:55" ht="15.75" customHeight="1">
      <c r="AN1942" s="458"/>
      <c r="BC1942" s="169"/>
    </row>
    <row r="1943" spans="40:55" ht="15.75" customHeight="1">
      <c r="AN1943" s="458"/>
      <c r="BC1943" s="169"/>
    </row>
    <row r="1944" spans="40:55" ht="15.75" customHeight="1">
      <c r="AN1944" s="458"/>
      <c r="BC1944" s="169"/>
    </row>
    <row r="1945" spans="40:55" ht="15.75" customHeight="1">
      <c r="AN1945" s="458"/>
      <c r="BC1945" s="169"/>
    </row>
    <row r="1946" spans="40:55" ht="15.75" customHeight="1">
      <c r="AN1946" s="458"/>
      <c r="BC1946" s="169"/>
    </row>
    <row r="1947" spans="40:55" ht="15.75" customHeight="1">
      <c r="AN1947" s="458"/>
      <c r="BC1947" s="169"/>
    </row>
    <row r="1948" spans="40:55" ht="15.75" customHeight="1">
      <c r="AN1948" s="458"/>
      <c r="BC1948" s="169"/>
    </row>
    <row r="1949" spans="40:55" ht="15.75" customHeight="1">
      <c r="AN1949" s="458"/>
      <c r="BC1949" s="169"/>
    </row>
    <row r="1950" spans="40:55" ht="15.75" customHeight="1">
      <c r="AN1950" s="458"/>
      <c r="BC1950" s="169"/>
    </row>
    <row r="1951" spans="40:55" ht="15.75" customHeight="1">
      <c r="AN1951" s="458"/>
      <c r="BC1951" s="169"/>
    </row>
    <row r="1952" spans="40:55" ht="15.75" customHeight="1">
      <c r="AN1952" s="458"/>
      <c r="BC1952" s="169"/>
    </row>
    <row r="1953" spans="40:55" ht="15.75" customHeight="1">
      <c r="AN1953" s="458"/>
      <c r="BC1953" s="169"/>
    </row>
    <row r="1954" spans="40:55" ht="15.75" customHeight="1">
      <c r="AN1954" s="458"/>
      <c r="BC1954" s="169"/>
    </row>
    <row r="1955" spans="40:55" ht="15.75" customHeight="1">
      <c r="AN1955" s="458"/>
      <c r="BC1955" s="169"/>
    </row>
    <row r="1956" spans="40:55" ht="15.75" customHeight="1">
      <c r="AN1956" s="458"/>
      <c r="BC1956" s="169"/>
    </row>
    <row r="1957" spans="40:55" ht="15.75" customHeight="1">
      <c r="AN1957" s="458"/>
      <c r="BC1957" s="169"/>
    </row>
    <row r="1958" spans="40:55" ht="15.75" customHeight="1">
      <c r="AN1958" s="458"/>
      <c r="BC1958" s="169"/>
    </row>
    <row r="1959" spans="40:55" ht="15.75" customHeight="1">
      <c r="AN1959" s="458"/>
      <c r="BC1959" s="169"/>
    </row>
    <row r="1960" spans="40:55" ht="15.75" customHeight="1">
      <c r="AN1960" s="458"/>
      <c r="BC1960" s="169"/>
    </row>
    <row r="1961" spans="40:55" ht="15.75" customHeight="1">
      <c r="AN1961" s="458"/>
      <c r="BC1961" s="169"/>
    </row>
    <row r="1962" spans="40:55" ht="15.75" customHeight="1">
      <c r="AN1962" s="458"/>
      <c r="BC1962" s="169"/>
    </row>
    <row r="1963" spans="40:55" ht="15.75" customHeight="1">
      <c r="AN1963" s="458"/>
      <c r="BC1963" s="169"/>
    </row>
    <row r="1964" spans="40:55" ht="15.75" customHeight="1">
      <c r="AN1964" s="458"/>
      <c r="BC1964" s="169"/>
    </row>
    <row r="1965" spans="40:55" ht="15.75" customHeight="1">
      <c r="AN1965" s="458"/>
      <c r="BC1965" s="169"/>
    </row>
    <row r="1966" spans="40:55" ht="15.75" customHeight="1">
      <c r="AN1966" s="458"/>
      <c r="BC1966" s="169"/>
    </row>
    <row r="1967" spans="40:55" ht="15.75" customHeight="1">
      <c r="AN1967" s="458"/>
      <c r="BC1967" s="169"/>
    </row>
    <row r="1968" spans="40:55" ht="15.75" customHeight="1">
      <c r="AN1968" s="458"/>
      <c r="BC1968" s="169"/>
    </row>
    <row r="1969" spans="40:55" ht="15.75" customHeight="1">
      <c r="AN1969" s="458"/>
      <c r="BC1969" s="169"/>
    </row>
    <row r="1970" spans="40:55" ht="15.75" customHeight="1">
      <c r="AN1970" s="458"/>
      <c r="BC1970" s="169"/>
    </row>
    <row r="1971" spans="40:55" ht="15.75" customHeight="1">
      <c r="AN1971" s="458"/>
      <c r="BC1971" s="169"/>
    </row>
    <row r="1972" spans="40:55" ht="15.75" customHeight="1">
      <c r="AN1972" s="458"/>
      <c r="BC1972" s="169"/>
    </row>
    <row r="1973" spans="40:55" ht="15.75" customHeight="1">
      <c r="AN1973" s="458"/>
      <c r="BC1973" s="169"/>
    </row>
    <row r="1974" spans="40:55" ht="15.75" customHeight="1">
      <c r="AN1974" s="458"/>
      <c r="BC1974" s="169"/>
    </row>
    <row r="1975" spans="40:55" ht="15.75" customHeight="1">
      <c r="AN1975" s="458"/>
      <c r="BC1975" s="169"/>
    </row>
    <row r="1976" spans="40:55" ht="15.75" customHeight="1">
      <c r="AN1976" s="458"/>
      <c r="BC1976" s="169"/>
    </row>
    <row r="1977" spans="40:55" ht="15.75" customHeight="1">
      <c r="AN1977" s="458"/>
      <c r="BC1977" s="169"/>
    </row>
    <row r="1978" spans="40:55" ht="15.75" customHeight="1">
      <c r="AN1978" s="458"/>
      <c r="BC1978" s="169"/>
    </row>
    <row r="1979" spans="40:55" ht="15.75" customHeight="1">
      <c r="AN1979" s="458"/>
      <c r="BC1979" s="169"/>
    </row>
    <row r="1980" spans="40:55" ht="15.75" customHeight="1">
      <c r="AN1980" s="458"/>
      <c r="BC1980" s="169"/>
    </row>
    <row r="1981" spans="40:55" ht="15.75" customHeight="1">
      <c r="AN1981" s="458"/>
      <c r="BC1981" s="169"/>
    </row>
    <row r="1982" spans="40:55" ht="15.75" customHeight="1">
      <c r="AN1982" s="458"/>
      <c r="BC1982" s="169"/>
    </row>
    <row r="1983" spans="40:55" ht="15.75" customHeight="1">
      <c r="AN1983" s="458"/>
      <c r="BC1983" s="169"/>
    </row>
    <row r="1984" spans="40:55" ht="15.75" customHeight="1">
      <c r="AN1984" s="458"/>
      <c r="BC1984" s="169"/>
    </row>
    <row r="1985" spans="40:40" ht="15.75" customHeight="1">
      <c r="AN1985" s="458"/>
    </row>
    <row r="1986" spans="40:40" ht="15.75" customHeight="1">
      <c r="AN1986" s="458"/>
    </row>
    <row r="1987" spans="40:40" ht="15.75" customHeight="1">
      <c r="AN1987" s="458"/>
    </row>
    <row r="1988" spans="40:40" ht="15.75" customHeight="1">
      <c r="AN1988" s="458"/>
    </row>
    <row r="1989" spans="40:40" ht="15.75" customHeight="1">
      <c r="AN1989" s="458"/>
    </row>
    <row r="1990" spans="40:40" ht="15.75" customHeight="1">
      <c r="AN1990" s="458"/>
    </row>
    <row r="1991" spans="40:40" ht="15.75" customHeight="1">
      <c r="AN1991" s="458"/>
    </row>
    <row r="1992" spans="40:40" ht="15.75" customHeight="1">
      <c r="AN1992" s="458"/>
    </row>
    <row r="1993" spans="40:40" ht="15.75" customHeight="1">
      <c r="AN1993" s="458"/>
    </row>
    <row r="1994" spans="40:40" ht="15.75" customHeight="1">
      <c r="AN1994" s="458"/>
    </row>
    <row r="1995" spans="40:40" ht="15.75" customHeight="1">
      <c r="AN1995" s="458"/>
    </row>
    <row r="1996" spans="40:40" ht="15.75" customHeight="1">
      <c r="AN1996" s="458"/>
    </row>
    <row r="1997" spans="40:40" ht="15.75" customHeight="1">
      <c r="AN1997" s="458"/>
    </row>
    <row r="1998" spans="40:40" ht="15.75" customHeight="1">
      <c r="AN1998" s="458"/>
    </row>
    <row r="1999" spans="40:40" ht="15.75" customHeight="1">
      <c r="AN1999" s="458"/>
    </row>
    <row r="2000" spans="40:40" ht="15.75" customHeight="1">
      <c r="AN2000" s="458"/>
    </row>
    <row r="2001" spans="40:40" ht="15.75" customHeight="1">
      <c r="AN2001" s="458"/>
    </row>
    <row r="2002" spans="40:40" ht="15.75" customHeight="1">
      <c r="AN2002" s="458"/>
    </row>
    <row r="2003" spans="40:40" ht="15.75" customHeight="1">
      <c r="AN2003" s="458"/>
    </row>
    <row r="2004" spans="40:40" ht="15.75" customHeight="1">
      <c r="AN2004" s="458"/>
    </row>
    <row r="2005" spans="40:40" ht="15.75" customHeight="1">
      <c r="AN2005" s="458"/>
    </row>
    <row r="2006" spans="40:40" ht="15.75" customHeight="1">
      <c r="AN2006" s="458"/>
    </row>
    <row r="2007" spans="40:40" ht="15.75" customHeight="1">
      <c r="AN2007" s="458"/>
    </row>
    <row r="2008" spans="40:40" ht="15.75" customHeight="1">
      <c r="AN2008" s="458"/>
    </row>
    <row r="2009" spans="40:40" ht="15.75" customHeight="1">
      <c r="AN2009" s="458"/>
    </row>
    <row r="2010" spans="40:40" ht="15.75" customHeight="1">
      <c r="AN2010" s="458"/>
    </row>
    <row r="2011" spans="40:40" ht="15.75" customHeight="1">
      <c r="AN2011" s="458"/>
    </row>
    <row r="2012" spans="40:40" ht="15.75" customHeight="1">
      <c r="AN2012" s="458"/>
    </row>
    <row r="2013" spans="40:40" ht="15.75" customHeight="1">
      <c r="AN2013" s="458"/>
    </row>
    <row r="2014" spans="40:40" ht="15.75" customHeight="1">
      <c r="AN2014" s="458"/>
    </row>
    <row r="2015" spans="40:40" ht="15.75" customHeight="1">
      <c r="AN2015" s="458"/>
    </row>
    <row r="2016" spans="40:40" ht="15.75" customHeight="1">
      <c r="AN2016" s="458"/>
    </row>
    <row r="2017" spans="40:40" ht="15.75" customHeight="1">
      <c r="AN2017" s="458"/>
    </row>
    <row r="2018" spans="40:40" ht="15.75" customHeight="1">
      <c r="AN2018" s="458"/>
    </row>
    <row r="2019" spans="40:40" ht="15.75" customHeight="1">
      <c r="AN2019" s="458"/>
    </row>
    <row r="2020" spans="40:40" ht="15.75" customHeight="1">
      <c r="AN2020" s="458"/>
    </row>
    <row r="2021" spans="40:40" ht="15.75" customHeight="1">
      <c r="AN2021" s="458"/>
    </row>
    <row r="2022" spans="40:40" ht="15.75" customHeight="1">
      <c r="AN2022" s="458"/>
    </row>
    <row r="2023" spans="40:40" ht="15.75" customHeight="1">
      <c r="AN2023" s="458"/>
    </row>
    <row r="2024" spans="40:40" ht="15.75" customHeight="1">
      <c r="AN2024" s="458"/>
    </row>
    <row r="2025" spans="40:40" ht="15.75" customHeight="1">
      <c r="AN2025" s="458"/>
    </row>
    <row r="2026" spans="40:40" ht="15.75" customHeight="1">
      <c r="AN2026" s="458"/>
    </row>
    <row r="2027" spans="40:40" ht="15.75" customHeight="1">
      <c r="AN2027" s="458"/>
    </row>
    <row r="2028" spans="40:40" ht="15.75" customHeight="1">
      <c r="AN2028" s="458"/>
    </row>
    <row r="2029" spans="40:40" ht="15.75" customHeight="1">
      <c r="AN2029" s="458"/>
    </row>
    <row r="2030" spans="40:40" ht="15.75" customHeight="1">
      <c r="AN2030" s="458"/>
    </row>
    <row r="2031" spans="40:40" ht="15.75" customHeight="1">
      <c r="AN2031" s="458"/>
    </row>
    <row r="2032" spans="40:40" ht="15.75" customHeight="1">
      <c r="AN2032" s="458"/>
    </row>
    <row r="2033" spans="40:40" ht="15.75" customHeight="1">
      <c r="AN2033" s="458"/>
    </row>
    <row r="2034" spans="40:40" ht="15.75" customHeight="1">
      <c r="AN2034" s="458"/>
    </row>
    <row r="2035" spans="40:40" ht="15.75" customHeight="1">
      <c r="AN2035" s="458"/>
    </row>
    <row r="2036" spans="40:40" ht="15.75" customHeight="1">
      <c r="AN2036" s="458"/>
    </row>
    <row r="2037" spans="40:40" ht="15.75" customHeight="1">
      <c r="AN2037" s="458"/>
    </row>
    <row r="2038" spans="40:40" ht="15.75" customHeight="1">
      <c r="AN2038" s="458"/>
    </row>
    <row r="2039" spans="40:40" ht="15.75" customHeight="1">
      <c r="AN2039" s="458"/>
    </row>
    <row r="2040" spans="40:40" ht="15.75" customHeight="1">
      <c r="AN2040" s="458"/>
    </row>
    <row r="2041" spans="40:40" ht="15.75" customHeight="1">
      <c r="AN2041" s="458"/>
    </row>
    <row r="2042" spans="40:40" ht="15.75" customHeight="1">
      <c r="AN2042" s="458"/>
    </row>
    <row r="2043" spans="40:40" ht="15.75" customHeight="1">
      <c r="AN2043" s="458"/>
    </row>
    <row r="2044" spans="40:40" ht="15.75" customHeight="1">
      <c r="AN2044" s="458"/>
    </row>
    <row r="2045" spans="40:40" ht="15.75" customHeight="1">
      <c r="AN2045" s="458"/>
    </row>
    <row r="2046" spans="40:40" ht="15.75" customHeight="1">
      <c r="AN2046" s="458"/>
    </row>
    <row r="2047" spans="40:40" ht="15.75" customHeight="1">
      <c r="AN2047" s="458"/>
    </row>
    <row r="2048" spans="40:40" ht="15.75" customHeight="1">
      <c r="AN2048" s="458"/>
    </row>
    <row r="2049" spans="40:40" ht="15.75" customHeight="1">
      <c r="AN2049" s="458"/>
    </row>
    <row r="2050" spans="40:40" ht="15.75" customHeight="1">
      <c r="AN2050" s="458"/>
    </row>
    <row r="2051" spans="40:40" ht="15.75" customHeight="1">
      <c r="AN2051" s="458"/>
    </row>
    <row r="2052" spans="40:40" ht="15.75" customHeight="1">
      <c r="AN2052" s="458"/>
    </row>
    <row r="2053" spans="40:40" ht="15.75" customHeight="1">
      <c r="AN2053" s="458"/>
    </row>
    <row r="2054" spans="40:40" ht="15.75" customHeight="1">
      <c r="AN2054" s="458"/>
    </row>
    <row r="2055" spans="40:40" ht="15.75" customHeight="1">
      <c r="AN2055" s="458"/>
    </row>
    <row r="2056" spans="40:40" ht="15.75" customHeight="1">
      <c r="AN2056" s="458"/>
    </row>
    <row r="2057" spans="40:40" ht="15.75" customHeight="1">
      <c r="AN2057" s="458"/>
    </row>
    <row r="2058" spans="40:40" ht="15.75" customHeight="1">
      <c r="AN2058" s="458"/>
    </row>
    <row r="2059" spans="40:40" ht="15.75" customHeight="1">
      <c r="AN2059" s="458"/>
    </row>
    <row r="2060" spans="40:40" ht="15.75" customHeight="1">
      <c r="AN2060" s="458"/>
    </row>
    <row r="2061" spans="40:40" ht="15.75" customHeight="1">
      <c r="AN2061" s="458"/>
    </row>
    <row r="2062" spans="40:40" ht="15.75" customHeight="1">
      <c r="AN2062" s="458"/>
    </row>
    <row r="2063" spans="40:40" ht="15.75" customHeight="1">
      <c r="AN2063" s="458"/>
    </row>
    <row r="2064" spans="40:40" ht="15.75" customHeight="1">
      <c r="AN2064" s="458"/>
    </row>
    <row r="2065" spans="40:40" ht="15.75" customHeight="1">
      <c r="AN2065" s="458"/>
    </row>
    <row r="2066" spans="40:40" ht="15.75" customHeight="1">
      <c r="AN2066" s="458"/>
    </row>
    <row r="2067" spans="40:40" ht="15.75" customHeight="1">
      <c r="AN2067" s="458"/>
    </row>
    <row r="2068" spans="40:40" ht="15.75" customHeight="1">
      <c r="AN2068" s="458"/>
    </row>
    <row r="2069" spans="40:40" ht="15.75" customHeight="1">
      <c r="AN2069" s="458"/>
    </row>
    <row r="2070" spans="40:40" ht="15.75" customHeight="1">
      <c r="AN2070" s="458"/>
    </row>
    <row r="2071" spans="40:40" ht="15.75" customHeight="1">
      <c r="AN2071" s="458"/>
    </row>
    <row r="2072" spans="40:40" ht="15.75" customHeight="1">
      <c r="AN2072" s="458"/>
    </row>
    <row r="2073" spans="40:40" ht="15.75" customHeight="1">
      <c r="AN2073" s="458"/>
    </row>
    <row r="2074" spans="40:40" ht="15.75" customHeight="1">
      <c r="AN2074" s="458"/>
    </row>
    <row r="2075" spans="40:40" ht="15.75" customHeight="1">
      <c r="AN2075" s="458"/>
    </row>
    <row r="2076" spans="40:40" ht="15.75" customHeight="1">
      <c r="AN2076" s="458"/>
    </row>
    <row r="2077" spans="40:40" ht="15.75" customHeight="1">
      <c r="AN2077" s="458"/>
    </row>
    <row r="2078" spans="40:40" ht="15.75" customHeight="1">
      <c r="AN2078" s="458"/>
    </row>
    <row r="2079" spans="40:40" ht="15.75" customHeight="1">
      <c r="AN2079" s="458"/>
    </row>
    <row r="2080" spans="40:40" ht="15.75" customHeight="1">
      <c r="AN2080" s="458"/>
    </row>
    <row r="2081" spans="40:40" ht="15.75" customHeight="1">
      <c r="AN2081" s="458"/>
    </row>
    <row r="2082" spans="40:40" ht="15.75" customHeight="1">
      <c r="AN2082" s="458"/>
    </row>
    <row r="2083" spans="40:40" ht="15.75" customHeight="1">
      <c r="AN2083" s="458"/>
    </row>
    <row r="2084" spans="40:40" ht="15.75" customHeight="1">
      <c r="AN2084" s="458"/>
    </row>
    <row r="2085" spans="40:40" ht="15.75" customHeight="1">
      <c r="AN2085" s="458"/>
    </row>
    <row r="2086" spans="40:40" ht="15.75" customHeight="1">
      <c r="AN2086" s="458"/>
    </row>
    <row r="2087" spans="40:40" ht="15.75" customHeight="1">
      <c r="AN2087" s="458"/>
    </row>
    <row r="2088" spans="40:40" ht="15.75" customHeight="1">
      <c r="AN2088" s="458"/>
    </row>
    <row r="2089" spans="40:40" ht="15.75" customHeight="1">
      <c r="AN2089" s="458"/>
    </row>
    <row r="2090" spans="40:40" ht="15.75" customHeight="1">
      <c r="AN2090" s="458"/>
    </row>
    <row r="2091" spans="40:40" ht="15.75" customHeight="1">
      <c r="AN2091" s="458"/>
    </row>
    <row r="2092" spans="40:40" ht="15.75" customHeight="1">
      <c r="AN2092" s="458"/>
    </row>
    <row r="2093" spans="40:40" ht="15.75" customHeight="1">
      <c r="AN2093" s="458"/>
    </row>
    <row r="2094" spans="40:40" ht="15.75" customHeight="1">
      <c r="AN2094" s="458"/>
    </row>
    <row r="2095" spans="40:40" ht="15.75" customHeight="1">
      <c r="AN2095" s="458"/>
    </row>
    <row r="2096" spans="40:40" ht="15.75" customHeight="1">
      <c r="AN2096" s="458"/>
    </row>
    <row r="2097" spans="40:40" ht="15.75" customHeight="1">
      <c r="AN2097" s="458"/>
    </row>
    <row r="2098" spans="40:40" ht="15.75" customHeight="1">
      <c r="AN2098" s="458"/>
    </row>
    <row r="2099" spans="40:40" ht="15.75" customHeight="1">
      <c r="AN2099" s="458"/>
    </row>
    <row r="2100" spans="40:40" ht="15.75" customHeight="1">
      <c r="AN2100" s="458"/>
    </row>
    <row r="2101" spans="40:40" ht="15.75" customHeight="1">
      <c r="AN2101" s="458"/>
    </row>
    <row r="2102" spans="40:40" ht="15.75" customHeight="1">
      <c r="AN2102" s="458"/>
    </row>
    <row r="2103" spans="40:40" ht="15.75" customHeight="1">
      <c r="AN2103" s="458"/>
    </row>
    <row r="2104" spans="40:40" ht="15.75" customHeight="1">
      <c r="AN2104" s="458"/>
    </row>
    <row r="2105" spans="40:40" ht="15.75" customHeight="1">
      <c r="AN2105" s="458"/>
    </row>
    <row r="2106" spans="40:40" ht="15.75" customHeight="1">
      <c r="AN2106" s="458"/>
    </row>
    <row r="2107" spans="40:40" ht="15.75" customHeight="1">
      <c r="AN2107" s="458"/>
    </row>
    <row r="2108" spans="40:40" ht="15.75" customHeight="1">
      <c r="AN2108" s="458"/>
    </row>
    <row r="2109" spans="40:40" ht="15.75" customHeight="1">
      <c r="AN2109" s="458"/>
    </row>
    <row r="2110" spans="40:40" ht="15.75" customHeight="1">
      <c r="AN2110" s="458"/>
    </row>
    <row r="2111" spans="40:40" ht="15.75" customHeight="1">
      <c r="AN2111" s="458"/>
    </row>
    <row r="2112" spans="40:40" ht="15.75" customHeight="1">
      <c r="AN2112" s="458"/>
    </row>
    <row r="2113" spans="40:40" ht="15.75" customHeight="1">
      <c r="AN2113" s="458"/>
    </row>
    <row r="2114" spans="40:40" ht="15.75" customHeight="1">
      <c r="AN2114" s="458"/>
    </row>
    <row r="2115" spans="40:40" ht="15.75" customHeight="1">
      <c r="AN2115" s="458"/>
    </row>
    <row r="2116" spans="40:40" ht="15.75" customHeight="1">
      <c r="AN2116" s="458"/>
    </row>
    <row r="2117" spans="40:40" ht="15.75" customHeight="1">
      <c r="AN2117" s="458"/>
    </row>
    <row r="2118" spans="40:40" ht="15.75" customHeight="1">
      <c r="AN2118" s="458"/>
    </row>
    <row r="2119" spans="40:40" ht="15.75" customHeight="1">
      <c r="AN2119" s="458"/>
    </row>
    <row r="2120" spans="40:40" ht="15.75" customHeight="1">
      <c r="AN2120" s="458"/>
    </row>
    <row r="2121" spans="40:40" ht="15.75" customHeight="1">
      <c r="AN2121" s="458"/>
    </row>
    <row r="2122" spans="40:40" ht="15.75" customHeight="1">
      <c r="AN2122" s="458"/>
    </row>
    <row r="2123" spans="40:40" ht="15.75" customHeight="1">
      <c r="AN2123" s="458"/>
    </row>
    <row r="2124" spans="40:40" ht="15.75" customHeight="1">
      <c r="AN2124" s="458"/>
    </row>
    <row r="2125" spans="40:40" ht="15.75" customHeight="1">
      <c r="AN2125" s="458"/>
    </row>
    <row r="2126" spans="40:40" ht="15.75" customHeight="1">
      <c r="AN2126" s="458"/>
    </row>
    <row r="2127" spans="40:40" ht="15.75" customHeight="1">
      <c r="AN2127" s="458"/>
    </row>
    <row r="2128" spans="40:40" ht="15.75" customHeight="1">
      <c r="AN2128" s="458"/>
    </row>
    <row r="2129" spans="40:40" ht="15.75" customHeight="1">
      <c r="AN2129" s="458"/>
    </row>
    <row r="2130" spans="40:40" ht="15.75" customHeight="1">
      <c r="AN2130" s="458"/>
    </row>
    <row r="2131" spans="40:40" ht="15.75" customHeight="1">
      <c r="AN2131" s="458"/>
    </row>
    <row r="2132" spans="40:40" ht="15.75" customHeight="1">
      <c r="AN2132" s="458"/>
    </row>
    <row r="2133" spans="40:40" ht="15.75" customHeight="1">
      <c r="AN2133" s="458"/>
    </row>
    <row r="2134" spans="40:40" ht="15.75" customHeight="1">
      <c r="AN2134" s="458"/>
    </row>
    <row r="2135" spans="40:40" ht="15.75" customHeight="1">
      <c r="AN2135" s="458"/>
    </row>
    <row r="2136" spans="40:40" ht="15.75" customHeight="1">
      <c r="AN2136" s="458"/>
    </row>
    <row r="2137" spans="40:40" ht="15.75" customHeight="1">
      <c r="AN2137" s="458"/>
    </row>
    <row r="2138" spans="40:40" ht="15.75" customHeight="1">
      <c r="AN2138" s="458"/>
    </row>
    <row r="2139" spans="40:40" ht="15.75" customHeight="1">
      <c r="AN2139" s="458"/>
    </row>
    <row r="2140" spans="40:40" ht="15.75" customHeight="1">
      <c r="AN2140" s="458"/>
    </row>
    <row r="2141" spans="40:40" ht="15.75" customHeight="1">
      <c r="AN2141" s="458"/>
    </row>
    <row r="2142" spans="40:40" ht="15.75" customHeight="1">
      <c r="AN2142" s="458"/>
    </row>
    <row r="2143" spans="40:40" ht="15.75" customHeight="1">
      <c r="AN2143" s="458"/>
    </row>
    <row r="2144" spans="40:40" ht="15.75" customHeight="1">
      <c r="AN2144" s="458"/>
    </row>
    <row r="2145" spans="40:40" ht="15.75" customHeight="1">
      <c r="AN2145" s="458"/>
    </row>
    <row r="2146" spans="40:40" ht="15.75" customHeight="1">
      <c r="AN2146" s="458"/>
    </row>
    <row r="2147" spans="40:40" ht="15.75" customHeight="1">
      <c r="AN2147" s="458"/>
    </row>
    <row r="2148" spans="40:40" ht="15.75" customHeight="1">
      <c r="AN2148" s="458"/>
    </row>
    <row r="2149" spans="40:40" ht="15.75" customHeight="1">
      <c r="AN2149" s="458"/>
    </row>
    <row r="2150" spans="40:40" ht="15.75" customHeight="1">
      <c r="AN2150" s="458"/>
    </row>
    <row r="2151" spans="40:40" ht="15.75" customHeight="1">
      <c r="AN2151" s="458"/>
    </row>
    <row r="2152" spans="40:40" ht="15.75" customHeight="1">
      <c r="AN2152" s="458"/>
    </row>
    <row r="2153" spans="40:40" ht="15.75" customHeight="1">
      <c r="AN2153" s="458"/>
    </row>
    <row r="2154" spans="40:40" ht="15.75" customHeight="1">
      <c r="AN2154" s="458"/>
    </row>
    <row r="2155" spans="40:40" ht="15.75" customHeight="1">
      <c r="AN2155" s="458"/>
    </row>
    <row r="2156" spans="40:40" ht="15.75" customHeight="1">
      <c r="AN2156" s="458"/>
    </row>
    <row r="2157" spans="40:40" ht="15.75" customHeight="1">
      <c r="AN2157" s="458"/>
    </row>
    <row r="2158" spans="40:40" ht="15.75" customHeight="1">
      <c r="AN2158" s="458"/>
    </row>
    <row r="2159" spans="40:40" ht="15.75" customHeight="1">
      <c r="AN2159" s="458"/>
    </row>
    <row r="2160" spans="40:40" ht="15.75" customHeight="1">
      <c r="AN2160" s="458"/>
    </row>
    <row r="2161" spans="40:40" ht="15.75" customHeight="1">
      <c r="AN2161" s="458"/>
    </row>
    <row r="2162" spans="40:40" ht="15.75" customHeight="1">
      <c r="AN2162" s="458"/>
    </row>
    <row r="2163" spans="40:40" ht="15.75" customHeight="1">
      <c r="AN2163" s="458"/>
    </row>
    <row r="2164" spans="40:40" ht="15.75" customHeight="1">
      <c r="AN2164" s="458"/>
    </row>
    <row r="2165" spans="40:40" ht="15.75" customHeight="1">
      <c r="AN2165" s="458"/>
    </row>
  </sheetData>
  <autoFilter ref="A2:BG62" xr:uid="{00000000-0009-0000-0000-00001B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autoFilter>
  <mergeCells count="10">
    <mergeCell ref="BD1:BG1"/>
    <mergeCell ref="A1:BB1"/>
    <mergeCell ref="N2:P2"/>
    <mergeCell ref="AN2:AP2"/>
    <mergeCell ref="AQ2:AS2"/>
    <mergeCell ref="AT2:AV2"/>
    <mergeCell ref="T2:V2"/>
    <mergeCell ref="W2:Y2"/>
    <mergeCell ref="Z2:AB2"/>
    <mergeCell ref="AC2:AE2"/>
  </mergeCells>
  <conditionalFormatting sqref="BC51:BG62 B34:BA34 B36:BA36 B38:BA62 B9:BA32">
    <cfRule type="expression" dxfId="463" priority="45">
      <formula>$M9="NON DEFINED"</formula>
    </cfRule>
    <cfRule type="expression" dxfId="462" priority="46">
      <formula>$AY9="N.D."</formula>
    </cfRule>
  </conditionalFormatting>
  <conditionalFormatting sqref="BD3:BG3 BD9:BE9 BD11:BE11 BD13:BE13 BD12 BD15:BE15 BD17:BE17 BD19:BE19 BD21:BE21 BD20 BD23:BE23 BD25:BG25 BD27:BF27 BE29 BD45 BD50:BG50 BG17 BG29 BD30:BD31 BD31:BE31 BD39 BD41 BD43 BG31 BG47 BD47:BD48 BD49:BF49 BG9">
    <cfRule type="containsBlanks" dxfId="461" priority="43">
      <formula>LEN(TRIM(BD3))=0</formula>
    </cfRule>
  </conditionalFormatting>
  <conditionalFormatting sqref="BC9:BC32 BC63:BC1984 BC34 BC36 BC38:BC50">
    <cfRule type="containsText" dxfId="460" priority="41" operator="containsText" text="a">
      <formula>NOT(ISERROR(SEARCH("a",BC9)))</formula>
    </cfRule>
    <cfRule type="containsText" dxfId="459" priority="42" operator="containsText" text="R">
      <formula>NOT(ISERROR(SEARCH("R",BC9)))</formula>
    </cfRule>
  </conditionalFormatting>
  <conditionalFormatting sqref="BA9:BA32 BA34 BA36 BA38:BA62">
    <cfRule type="expression" dxfId="458" priority="40">
      <formula>$BC9="R"</formula>
    </cfRule>
  </conditionalFormatting>
  <conditionalFormatting sqref="A51:BG62">
    <cfRule type="cellIs" dxfId="457" priority="29" operator="equal">
      <formula>0</formula>
    </cfRule>
  </conditionalFormatting>
  <conditionalFormatting sqref="BA4:BA8">
    <cfRule type="expression" dxfId="456" priority="36">
      <formula>$BC4="R"</formula>
    </cfRule>
  </conditionalFormatting>
  <conditionalFormatting sqref="B4:BA8 BC4:BG8">
    <cfRule type="expression" dxfId="455" priority="34">
      <formula>$M4="NON DEFINED"</formula>
    </cfRule>
    <cfRule type="expression" dxfId="454" priority="35">
      <formula>$AY4="N.D."</formula>
    </cfRule>
  </conditionalFormatting>
  <conditionalFormatting sqref="A4:BG8">
    <cfRule type="cellIs" dxfId="453" priority="33" operator="equal">
      <formula>0</formula>
    </cfRule>
  </conditionalFormatting>
  <conditionalFormatting sqref="AN4:AN32 AN34 AN36 AN38:AN62">
    <cfRule type="cellIs" dxfId="452" priority="28" operator="notEqual">
      <formula>5.5</formula>
    </cfRule>
  </conditionalFormatting>
  <conditionalFormatting sqref="BG11">
    <cfRule type="containsBlanks" dxfId="451" priority="27">
      <formula>LEN(TRIM(BG11))=0</formula>
    </cfRule>
  </conditionalFormatting>
  <conditionalFormatting sqref="BG19 BG21 BG23">
    <cfRule type="containsBlanks" dxfId="450" priority="26">
      <formula>LEN(TRIM(BG19))=0</formula>
    </cfRule>
  </conditionalFormatting>
  <conditionalFormatting sqref="BE39 BE41 BE43 BE45 BE47">
    <cfRule type="containsBlanks" dxfId="449" priority="25">
      <formula>LEN(TRIM(BE39))=0</formula>
    </cfRule>
  </conditionalFormatting>
  <conditionalFormatting sqref="BG39 BG41 BG43 BG45">
    <cfRule type="containsBlanks" dxfId="448" priority="24">
      <formula>LEN(TRIM(BG39))=0</formula>
    </cfRule>
  </conditionalFormatting>
  <conditionalFormatting sqref="BG49">
    <cfRule type="containsBlanks" dxfId="447" priority="23">
      <formula>LEN(TRIM(BG49))=0</formula>
    </cfRule>
  </conditionalFormatting>
  <conditionalFormatting sqref="BG27">
    <cfRule type="containsBlanks" dxfId="446" priority="22">
      <formula>LEN(TRIM(BG27))=0</formula>
    </cfRule>
  </conditionalFormatting>
  <conditionalFormatting sqref="B33:BA33">
    <cfRule type="expression" dxfId="445" priority="20">
      <formula>$M33="NON DEFINED"</formula>
    </cfRule>
    <cfRule type="expression" dxfId="444" priority="21">
      <formula>$AY33="N.D."</formula>
    </cfRule>
  </conditionalFormatting>
  <conditionalFormatting sqref="BC33">
    <cfRule type="containsText" dxfId="443" priority="18" operator="containsText" text="a">
      <formula>NOT(ISERROR(SEARCH("a",BC33)))</formula>
    </cfRule>
    <cfRule type="containsText" dxfId="442" priority="19" operator="containsText" text="R">
      <formula>NOT(ISERROR(SEARCH("R",BC33)))</formula>
    </cfRule>
  </conditionalFormatting>
  <conditionalFormatting sqref="BA33">
    <cfRule type="expression" dxfId="441" priority="17">
      <formula>$BC33="R"</formula>
    </cfRule>
  </conditionalFormatting>
  <conditionalFormatting sqref="AN33">
    <cfRule type="cellIs" dxfId="440" priority="16" operator="notEqual">
      <formula>5.5</formula>
    </cfRule>
  </conditionalFormatting>
  <conditionalFormatting sqref="B35:BA35">
    <cfRule type="expression" dxfId="439" priority="14">
      <formula>$M35="NON DEFINED"</formula>
    </cfRule>
    <cfRule type="expression" dxfId="438" priority="15">
      <formula>$AY35="N.D."</formula>
    </cfRule>
  </conditionalFormatting>
  <conditionalFormatting sqref="BC35">
    <cfRule type="containsText" dxfId="437" priority="12" operator="containsText" text="a">
      <formula>NOT(ISERROR(SEARCH("a",BC35)))</formula>
    </cfRule>
    <cfRule type="containsText" dxfId="436" priority="13" operator="containsText" text="R">
      <formula>NOT(ISERROR(SEARCH("R",BC35)))</formula>
    </cfRule>
  </conditionalFormatting>
  <conditionalFormatting sqref="BA35">
    <cfRule type="expression" dxfId="435" priority="11">
      <formula>$BC35="R"</formula>
    </cfRule>
  </conditionalFormatting>
  <conditionalFormatting sqref="AN35">
    <cfRule type="cellIs" dxfId="434" priority="10" operator="notEqual">
      <formula>5.5</formula>
    </cfRule>
  </conditionalFormatting>
  <conditionalFormatting sqref="B37:BA37">
    <cfRule type="expression" dxfId="433" priority="8">
      <formula>$M37="NON DEFINED"</formula>
    </cfRule>
    <cfRule type="expression" dxfId="432" priority="9">
      <formula>$AY37="N.D."</formula>
    </cfRule>
  </conditionalFormatting>
  <conditionalFormatting sqref="BD37">
    <cfRule type="containsBlanks" dxfId="431" priority="7">
      <formula>LEN(TRIM(BD37))=0</formula>
    </cfRule>
  </conditionalFormatting>
  <conditionalFormatting sqref="BC37">
    <cfRule type="containsText" dxfId="430" priority="5" operator="containsText" text="a">
      <formula>NOT(ISERROR(SEARCH("a",BC37)))</formula>
    </cfRule>
    <cfRule type="containsText" dxfId="429" priority="6" operator="containsText" text="R">
      <formula>NOT(ISERROR(SEARCH("R",BC37)))</formula>
    </cfRule>
  </conditionalFormatting>
  <conditionalFormatting sqref="BA37">
    <cfRule type="expression" dxfId="428" priority="4">
      <formula>$BC37="R"</formula>
    </cfRule>
  </conditionalFormatting>
  <conditionalFormatting sqref="AN37">
    <cfRule type="cellIs" dxfId="427" priority="3" operator="notEqual">
      <formula>5.5</formula>
    </cfRule>
  </conditionalFormatting>
  <conditionalFormatting sqref="BE37">
    <cfRule type="containsBlanks" dxfId="426" priority="2">
      <formula>LEN(TRIM(BE37))=0</formula>
    </cfRule>
  </conditionalFormatting>
  <conditionalFormatting sqref="BG37">
    <cfRule type="containsBlanks" dxfId="425" priority="1">
      <formula>LEN(TRIM(BG37))=0</formula>
    </cfRule>
  </conditionalFormatting>
  <printOptions horizontalCentered="1" gridLines="1"/>
  <pageMargins left="0.39370078740157483" right="0.39370078740157483" top="0.78740157480314965" bottom="0.78740157480314965" header="0.31496062992125984" footer="0.31496062992125984"/>
  <pageSetup paperSize="8" scale="79" fitToHeight="0" orientation="landscape" r:id="rId1"/>
  <headerFooter alignWithMargins="0">
    <oddHeader>&amp;L&amp;G&amp;C
LAYOUT AND EQUIPMENT
EP06 TRACK 6 TSA
KP92+700 - 93+478&amp;R&amp;G</oddHeader>
    <oddFooter>&amp;L&amp;G
&amp;F&amp;C&amp;D&amp;RPag &amp;P of &amp;N</oddFooter>
  </headerFooter>
  <legacyDrawingHF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4">
    <tabColor theme="6" tint="-0.499984740745262"/>
    <pageSetUpPr fitToPage="1"/>
  </sheetPr>
  <dimension ref="A1:BG4450"/>
  <sheetViews>
    <sheetView view="pageBreakPreview" zoomScale="80" zoomScaleNormal="90" zoomScaleSheetLayoutView="80" workbookViewId="0">
      <pane xSplit="2" ySplit="2" topLeftCell="C15" activePane="bottomRight" state="frozen"/>
      <selection activeCell="G124" sqref="G124"/>
      <selection pane="topRight" activeCell="G124" sqref="G124"/>
      <selection pane="bottomLeft" activeCell="G124" sqref="G124"/>
      <selection pane="bottomRight" activeCell="G124" sqref="G124"/>
    </sheetView>
  </sheetViews>
  <sheetFormatPr baseColWidth="10" defaultColWidth="11.453125" defaultRowHeight="15.75" customHeight="1"/>
  <cols>
    <col min="1" max="1" width="20.6328125" style="174" customWidth="1"/>
    <col min="2" max="2" width="12.6328125" style="169" customWidth="1"/>
    <col min="3" max="3" width="12.6328125" style="174" customWidth="1"/>
    <col min="4" max="4" width="12.6328125" style="617" hidden="1" customWidth="1"/>
    <col min="5" max="5" width="12.6328125" style="169" hidden="1" customWidth="1"/>
    <col min="6" max="6" width="12.6328125" style="177" customWidth="1"/>
    <col min="7" max="7" width="12.6328125" style="458" customWidth="1"/>
    <col min="8" max="8" width="18.6328125" style="169" customWidth="1"/>
    <col min="9" max="9" width="12.6328125" style="177" customWidth="1"/>
    <col min="10" max="10" width="12.6328125" style="617" customWidth="1"/>
    <col min="11" max="11" width="12.6328125" style="169" customWidth="1"/>
    <col min="12" max="13" width="14.6328125" style="169" customWidth="1"/>
    <col min="14" max="16" width="8.6328125" style="169" hidden="1" customWidth="1"/>
    <col min="17" max="17" width="12.6328125" style="169" hidden="1" customWidth="1"/>
    <col min="18" max="18" width="12.6328125" style="177" hidden="1" customWidth="1"/>
    <col min="19" max="19" width="12.6328125" style="169" hidden="1" customWidth="1"/>
    <col min="20" max="28" width="8.6328125" style="169" hidden="1" customWidth="1"/>
    <col min="29" max="31" width="10.6328125" style="169" hidden="1" customWidth="1"/>
    <col min="32" max="32" width="13.54296875" style="177" hidden="1" customWidth="1"/>
    <col min="33" max="33" width="12.6328125" style="617" hidden="1" customWidth="1"/>
    <col min="34" max="35" width="12.6328125" style="177" hidden="1" customWidth="1"/>
    <col min="36" max="36" width="12.6328125" style="169" hidden="1" customWidth="1"/>
    <col min="37" max="38" width="12.6328125" style="169" customWidth="1"/>
    <col min="39" max="39" width="12.6328125" style="169" hidden="1" customWidth="1"/>
    <col min="40" max="48" width="8.6328125" style="169" hidden="1" customWidth="1"/>
    <col min="49" max="50" width="12.6328125" style="169" customWidth="1"/>
    <col min="51" max="52" width="12.6328125" style="458" customWidth="1"/>
    <col min="53" max="53" width="12.6328125" style="169" customWidth="1"/>
    <col min="54" max="54" width="21.6328125" style="174" customWidth="1"/>
    <col min="55" max="55" width="18" style="169" customWidth="1"/>
    <col min="56" max="59" width="14.54296875" style="1324" customWidth="1"/>
    <col min="60" max="60" width="11.453125" style="169" customWidth="1"/>
    <col min="61" max="16384" width="11.453125" style="169"/>
  </cols>
  <sheetData>
    <row r="1" spans="1:59" ht="35.25" customHeight="1">
      <c r="A1" s="1617" t="s">
        <v>4953</v>
      </c>
      <c r="B1" s="1617"/>
      <c r="C1" s="1617"/>
      <c r="D1" s="1617"/>
      <c r="E1" s="1617"/>
      <c r="F1" s="1617"/>
      <c r="G1" s="1617"/>
      <c r="H1" s="1617"/>
      <c r="I1" s="1617"/>
      <c r="J1" s="1617"/>
      <c r="K1" s="1617"/>
      <c r="L1" s="1617"/>
      <c r="M1" s="1617"/>
      <c r="N1" s="1617"/>
      <c r="O1" s="1617"/>
      <c r="P1" s="1617"/>
      <c r="Q1" s="1617"/>
      <c r="R1" s="1617"/>
      <c r="S1" s="1617"/>
      <c r="T1" s="1617"/>
      <c r="U1" s="1617"/>
      <c r="V1" s="1617"/>
      <c r="W1" s="1617"/>
      <c r="X1" s="1617"/>
      <c r="Y1" s="1617"/>
      <c r="Z1" s="1617"/>
      <c r="AA1" s="1617"/>
      <c r="AB1" s="1617"/>
      <c r="AC1" s="1617"/>
      <c r="AD1" s="1617"/>
      <c r="AE1" s="1617"/>
      <c r="AF1" s="1617"/>
      <c r="AG1" s="1617"/>
      <c r="AH1" s="1617"/>
      <c r="AI1" s="1617"/>
      <c r="AJ1" s="1617"/>
      <c r="AK1" s="1617"/>
      <c r="AL1" s="1617"/>
      <c r="AM1" s="1617"/>
      <c r="AN1" s="1617"/>
      <c r="AO1" s="1617"/>
      <c r="AP1" s="1617"/>
      <c r="AQ1" s="1617"/>
      <c r="AR1" s="1617"/>
      <c r="AS1" s="1617"/>
      <c r="AT1" s="1617"/>
      <c r="AU1" s="1617"/>
      <c r="AV1" s="1617"/>
      <c r="AW1" s="1617"/>
      <c r="AX1" s="1617"/>
      <c r="AY1" s="1617"/>
      <c r="AZ1" s="1617"/>
      <c r="BA1" s="1617"/>
      <c r="BB1" s="1617"/>
      <c r="BC1" s="693" t="s">
        <v>4947</v>
      </c>
      <c r="BD1" s="1616" t="s">
        <v>4916</v>
      </c>
      <c r="BE1" s="1616"/>
      <c r="BF1" s="1616"/>
      <c r="BG1" s="1616"/>
    </row>
    <row r="2" spans="1:59" s="693" customFormat="1" ht="42" customHeight="1">
      <c r="A2" s="957" t="s">
        <v>4417</v>
      </c>
      <c r="B2" s="1261" t="s">
        <v>4418</v>
      </c>
      <c r="C2" s="957" t="s">
        <v>2315</v>
      </c>
      <c r="D2" s="958" t="s">
        <v>4419</v>
      </c>
      <c r="E2" s="959" t="s">
        <v>4855</v>
      </c>
      <c r="F2" s="960" t="s">
        <v>4856</v>
      </c>
      <c r="G2" s="961" t="s">
        <v>4857</v>
      </c>
      <c r="H2" s="1261" t="s">
        <v>455</v>
      </c>
      <c r="I2" s="984" t="s">
        <v>454</v>
      </c>
      <c r="J2" s="984" t="s">
        <v>4423</v>
      </c>
      <c r="K2" s="1261" t="s">
        <v>627</v>
      </c>
      <c r="L2" s="1261" t="s">
        <v>456</v>
      </c>
      <c r="M2" s="1261" t="s">
        <v>453</v>
      </c>
      <c r="N2" s="1619" t="s">
        <v>457</v>
      </c>
      <c r="O2" s="1619"/>
      <c r="P2" s="1619"/>
      <c r="Q2" s="1261" t="s">
        <v>4858</v>
      </c>
      <c r="R2" s="960" t="s">
        <v>4859</v>
      </c>
      <c r="S2" s="1261" t="s">
        <v>4860</v>
      </c>
      <c r="T2" s="1619" t="s">
        <v>4861</v>
      </c>
      <c r="U2" s="1619"/>
      <c r="V2" s="1619"/>
      <c r="W2" s="1619" t="s">
        <v>4862</v>
      </c>
      <c r="X2" s="1619"/>
      <c r="Y2" s="1619"/>
      <c r="Z2" s="1619" t="s">
        <v>4863</v>
      </c>
      <c r="AA2" s="1619"/>
      <c r="AB2" s="1619"/>
      <c r="AC2" s="1619" t="s">
        <v>628</v>
      </c>
      <c r="AD2" s="1619"/>
      <c r="AE2" s="1619"/>
      <c r="AF2" s="960" t="s">
        <v>4872</v>
      </c>
      <c r="AG2" s="958" t="s">
        <v>4864</v>
      </c>
      <c r="AH2" s="960" t="s">
        <v>4865</v>
      </c>
      <c r="AI2" s="960" t="s">
        <v>4866</v>
      </c>
      <c r="AJ2" s="962" t="s">
        <v>629</v>
      </c>
      <c r="AK2" s="1261" t="s">
        <v>458</v>
      </c>
      <c r="AL2" s="1261" t="s">
        <v>459</v>
      </c>
      <c r="AM2" s="1261" t="s">
        <v>631</v>
      </c>
      <c r="AN2" s="1619" t="s">
        <v>4867</v>
      </c>
      <c r="AO2" s="1619"/>
      <c r="AP2" s="1619"/>
      <c r="AQ2" s="1619" t="s">
        <v>460</v>
      </c>
      <c r="AR2" s="1619"/>
      <c r="AS2" s="1619"/>
      <c r="AT2" s="1619" t="s">
        <v>630</v>
      </c>
      <c r="AU2" s="1619"/>
      <c r="AV2" s="1619"/>
      <c r="AW2" s="1261" t="s">
        <v>4868</v>
      </c>
      <c r="AX2" s="1261" t="s">
        <v>4904</v>
      </c>
      <c r="AY2" s="961" t="s">
        <v>4869</v>
      </c>
      <c r="AZ2" s="961" t="s">
        <v>4870</v>
      </c>
      <c r="BA2" s="1261" t="s">
        <v>1670</v>
      </c>
      <c r="BB2" s="957" t="s">
        <v>4871</v>
      </c>
      <c r="BC2" s="693" t="s">
        <v>4948</v>
      </c>
      <c r="BD2" s="1322" t="s">
        <v>453</v>
      </c>
      <c r="BE2" s="1322" t="s">
        <v>4922</v>
      </c>
      <c r="BF2" s="1322" t="s">
        <v>4915</v>
      </c>
      <c r="BG2" s="1322" t="s">
        <v>457</v>
      </c>
    </row>
    <row r="3" spans="1:59" ht="15.75" customHeight="1">
      <c r="A3" s="449"/>
      <c r="B3" s="638"/>
      <c r="C3" s="449"/>
      <c r="D3" s="446"/>
      <c r="E3" s="638"/>
      <c r="F3" s="447"/>
      <c r="G3" s="484"/>
      <c r="H3" s="638"/>
      <c r="I3" s="447"/>
      <c r="J3" s="963"/>
      <c r="K3" s="638"/>
      <c r="L3" s="638"/>
      <c r="M3" s="638"/>
      <c r="N3" s="964" t="s">
        <v>123</v>
      </c>
      <c r="O3" s="965" t="s">
        <v>124</v>
      </c>
      <c r="P3" s="965" t="s">
        <v>125</v>
      </c>
      <c r="Q3" s="638"/>
      <c r="R3" s="447"/>
      <c r="S3" s="638"/>
      <c r="T3" s="965" t="s">
        <v>126</v>
      </c>
      <c r="U3" s="965" t="s">
        <v>127</v>
      </c>
      <c r="V3" s="965" t="s">
        <v>128</v>
      </c>
      <c r="W3" s="965" t="s">
        <v>129</v>
      </c>
      <c r="X3" s="965" t="s">
        <v>130</v>
      </c>
      <c r="Y3" s="965" t="s">
        <v>131</v>
      </c>
      <c r="Z3" s="965" t="s">
        <v>132</v>
      </c>
      <c r="AA3" s="965" t="s">
        <v>133</v>
      </c>
      <c r="AB3" s="965" t="s">
        <v>134</v>
      </c>
      <c r="AC3" s="965" t="s">
        <v>135</v>
      </c>
      <c r="AD3" s="965" t="s">
        <v>136</v>
      </c>
      <c r="AE3" s="965" t="s">
        <v>137</v>
      </c>
      <c r="AF3" s="447"/>
      <c r="AG3" s="446"/>
      <c r="AH3" s="447"/>
      <c r="AI3" s="447"/>
      <c r="AJ3" s="638"/>
      <c r="AK3" s="638"/>
      <c r="AL3" s="638"/>
      <c r="AM3" s="638"/>
      <c r="AN3" s="1339" t="s">
        <v>129</v>
      </c>
      <c r="AO3" s="965" t="s">
        <v>130</v>
      </c>
      <c r="AP3" s="965" t="s">
        <v>131</v>
      </c>
      <c r="AQ3" s="965" t="s">
        <v>613</v>
      </c>
      <c r="AR3" s="965" t="s">
        <v>614</v>
      </c>
      <c r="AS3" s="965" t="s">
        <v>615</v>
      </c>
      <c r="AT3" s="965" t="s">
        <v>616</v>
      </c>
      <c r="AU3" s="965" t="s">
        <v>617</v>
      </c>
      <c r="AV3" s="965" t="s">
        <v>618</v>
      </c>
      <c r="AW3" s="638"/>
      <c r="AX3" s="638"/>
      <c r="AY3" s="484"/>
      <c r="AZ3" s="484"/>
      <c r="BA3" s="638"/>
      <c r="BB3" s="449"/>
      <c r="BD3" s="1329"/>
      <c r="BE3" s="1329"/>
      <c r="BF3" s="1329"/>
      <c r="BG3" s="1329"/>
    </row>
    <row r="4" spans="1:59" s="178" customFormat="1" ht="25">
      <c r="A4" s="501" t="s">
        <v>3281</v>
      </c>
      <c r="B4" s="716" t="str">
        <f>'HR Track 1 TSA'!B51</f>
        <v>93-1.11</v>
      </c>
      <c r="C4" s="451">
        <f>'HR Track 1 TSA'!C51</f>
        <v>93451.35</v>
      </c>
      <c r="D4" s="453"/>
      <c r="E4" s="452"/>
      <c r="F4" s="453">
        <f>'HR Track 1 TSA'!F51</f>
        <v>610</v>
      </c>
      <c r="G4" s="500">
        <f>'HR Track 1 TSA'!G51</f>
        <v>0</v>
      </c>
      <c r="H4" s="453" t="str">
        <f>'HR Track 1 TSA'!H51</f>
        <v>S/A</v>
      </c>
      <c r="I4" s="501" t="s">
        <v>3280</v>
      </c>
      <c r="J4" s="772" t="s">
        <v>3282</v>
      </c>
      <c r="K4" s="1336" t="s">
        <v>3283</v>
      </c>
      <c r="L4" s="452" t="str">
        <f>'HR Track 1 TSA'!L51</f>
        <v>HEB-280L</v>
      </c>
      <c r="M4" s="452" t="str">
        <f>'HR Track 1 TSA'!M51</f>
        <v>WS5</v>
      </c>
      <c r="N4" s="501" t="str">
        <f>'HR Track 1 TSA'!N51</f>
        <v>EMT-2RH</v>
      </c>
      <c r="O4" s="501" t="str">
        <f>'HR Track 1 TSA'!O51</f>
        <v>EMT-TRH</v>
      </c>
      <c r="P4" s="501"/>
      <c r="Q4" s="452"/>
      <c r="R4" s="452"/>
      <c r="S4" s="500"/>
      <c r="T4" s="452">
        <f>'HR Track 1 TSA'!T51</f>
        <v>30</v>
      </c>
      <c r="U4" s="452">
        <f>'HR Track 1 TSA'!U51</f>
        <v>55</v>
      </c>
      <c r="V4" s="452"/>
      <c r="W4" s="452">
        <f>'HR Track 1 TSA'!W51</f>
        <v>0.7</v>
      </c>
      <c r="X4" s="452">
        <f>'HR Track 1 TSA'!X51</f>
        <v>0.7</v>
      </c>
      <c r="Y4" s="452"/>
      <c r="Z4" s="452"/>
      <c r="AA4" s="452">
        <f>'HR Track 1 TSA'!AA51</f>
        <v>0.5</v>
      </c>
      <c r="AB4" s="452"/>
      <c r="AC4" s="452" t="str">
        <f>'HR Track 1 TSA'!AC51</f>
        <v>PHC-1150</v>
      </c>
      <c r="AD4" s="452"/>
      <c r="AE4" s="452"/>
      <c r="AF4" s="452"/>
      <c r="AG4" s="451"/>
      <c r="AH4" s="452"/>
      <c r="AI4" s="452"/>
      <c r="AJ4" s="452" t="str">
        <f>'HR Track 1 TSA'!AJ51</f>
        <v>FS-1</v>
      </c>
      <c r="AK4" s="452"/>
      <c r="AL4" s="452" t="str">
        <f>'HR Track 1 TSA'!AL51</f>
        <v>PR1B</v>
      </c>
      <c r="AM4" s="452" t="str">
        <f>'HR Track 1 TSA'!AM51</f>
        <v>RW2</v>
      </c>
      <c r="AN4" s="500">
        <f>'HR Track 1 TSA'!AN51</f>
        <v>5.15</v>
      </c>
      <c r="AO4" s="452"/>
      <c r="AP4" s="452"/>
      <c r="AQ4" s="452"/>
      <c r="AR4" s="452"/>
      <c r="AS4" s="452"/>
      <c r="AT4" s="452">
        <f>'HR Track 1 TSA'!AT51</f>
        <v>3.5055002231215893</v>
      </c>
      <c r="AU4" s="452"/>
      <c r="AV4" s="452"/>
      <c r="AW4" s="452" t="s">
        <v>3327</v>
      </c>
      <c r="AX4" s="452"/>
      <c r="AY4" s="500" t="str">
        <f>'HR Track 1 TSA'!AY51</f>
        <v/>
      </c>
      <c r="AZ4" s="500" t="s">
        <v>3326</v>
      </c>
      <c r="BA4" s="1333" t="s">
        <v>2809</v>
      </c>
      <c r="BB4" s="452" t="str">
        <f>'HR Track 1 TSA'!BB51</f>
        <v>App.8-V08F-P10.3</v>
      </c>
      <c r="BC4" s="1334"/>
      <c r="BD4" s="1335" t="s">
        <v>3326</v>
      </c>
      <c r="BE4" s="1335" t="s">
        <v>3326</v>
      </c>
      <c r="BF4" s="1335" t="s">
        <v>3326</v>
      </c>
      <c r="BG4" s="1335" t="s">
        <v>3326</v>
      </c>
    </row>
    <row r="5" spans="1:59" ht="12.5">
      <c r="A5" s="488"/>
      <c r="B5" s="494"/>
      <c r="C5" s="489"/>
      <c r="D5" s="489"/>
      <c r="E5" s="490"/>
      <c r="F5" s="491"/>
      <c r="G5" s="493">
        <v>40.700000000000003</v>
      </c>
      <c r="H5" s="495"/>
      <c r="I5" s="492"/>
      <c r="J5" s="489">
        <f>C6-10</f>
        <v>93482.05</v>
      </c>
      <c r="K5" s="490" t="s">
        <v>894</v>
      </c>
      <c r="L5" s="490"/>
      <c r="M5" s="490"/>
      <c r="N5" s="495"/>
      <c r="O5" s="495"/>
      <c r="P5" s="495"/>
      <c r="Q5" s="490"/>
      <c r="R5" s="491"/>
      <c r="S5" s="790">
        <f>AG6-AG4</f>
        <v>93493.57</v>
      </c>
      <c r="T5" s="490"/>
      <c r="U5" s="490"/>
      <c r="V5" s="490"/>
      <c r="W5" s="490"/>
      <c r="X5" s="490"/>
      <c r="Y5" s="490"/>
      <c r="Z5" s="490"/>
      <c r="AA5" s="490"/>
      <c r="AB5" s="490"/>
      <c r="AC5" s="490"/>
      <c r="AD5" s="490"/>
      <c r="AE5" s="490"/>
      <c r="AF5" s="491"/>
      <c r="AG5" s="489"/>
      <c r="AH5" s="491"/>
      <c r="AI5" s="491"/>
      <c r="AJ5" s="490"/>
      <c r="AK5" s="490"/>
      <c r="AL5" s="490"/>
      <c r="AM5" s="490" t="s">
        <v>3669</v>
      </c>
      <c r="AN5" s="493"/>
      <c r="AO5" s="493"/>
      <c r="AP5" s="493"/>
      <c r="AQ5" s="493">
        <f>+FL_1($T$6,$T$4,$G$5,1200,9.28, 1*$F$6)</f>
        <v>0.3</v>
      </c>
      <c r="AR5" s="493"/>
      <c r="AS5" s="493"/>
      <c r="AT5" s="493"/>
      <c r="AU5" s="493"/>
      <c r="AV5" s="493"/>
      <c r="AW5" s="493"/>
      <c r="AX5" s="493"/>
      <c r="AY5" s="493"/>
      <c r="AZ5" s="493"/>
      <c r="BA5" s="1309"/>
      <c r="BB5" s="488"/>
      <c r="BD5" s="1330"/>
      <c r="BE5" s="1330"/>
      <c r="BF5" s="1330"/>
      <c r="BG5" s="1330"/>
    </row>
    <row r="6" spans="1:59" ht="12.5">
      <c r="A6" s="488" t="s">
        <v>1851</v>
      </c>
      <c r="B6" s="494" t="s">
        <v>1928</v>
      </c>
      <c r="C6" s="489">
        <f>+$C$4+$G$5</f>
        <v>93492.05</v>
      </c>
      <c r="D6" s="489"/>
      <c r="E6" s="490"/>
      <c r="F6" s="491">
        <v>610</v>
      </c>
      <c r="G6" s="493"/>
      <c r="H6" s="495" t="s">
        <v>2608</v>
      </c>
      <c r="I6" s="492" t="s">
        <v>4234</v>
      </c>
      <c r="J6" s="489"/>
      <c r="K6" s="490"/>
      <c r="L6" s="490" t="s">
        <v>1680</v>
      </c>
      <c r="M6" s="490"/>
      <c r="N6" s="495" t="s">
        <v>2797</v>
      </c>
      <c r="O6" s="495"/>
      <c r="P6" s="495"/>
      <c r="Q6" s="490">
        <v>40</v>
      </c>
      <c r="R6" s="491">
        <v>610</v>
      </c>
      <c r="S6" s="790"/>
      <c r="T6" s="490">
        <v>30</v>
      </c>
      <c r="U6" s="490"/>
      <c r="V6" s="490"/>
      <c r="W6" s="490">
        <v>0.4</v>
      </c>
      <c r="X6" s="490"/>
      <c r="Y6" s="490"/>
      <c r="Z6" s="490"/>
      <c r="AA6" s="490"/>
      <c r="AB6" s="490"/>
      <c r="AC6" s="490" t="s">
        <v>1421</v>
      </c>
      <c r="AD6" s="490"/>
      <c r="AE6" s="490"/>
      <c r="AF6" s="491">
        <v>1100</v>
      </c>
      <c r="AG6" s="489">
        <v>93493.57</v>
      </c>
      <c r="AH6" s="491">
        <v>2093</v>
      </c>
      <c r="AI6" s="491">
        <v>-3580</v>
      </c>
      <c r="AJ6" s="490"/>
      <c r="AK6" s="490"/>
      <c r="AL6" s="490"/>
      <c r="AM6" s="490" t="s">
        <v>3669</v>
      </c>
      <c r="AN6" s="493">
        <v>5.15</v>
      </c>
      <c r="AO6" s="493"/>
      <c r="AP6" s="493"/>
      <c r="AQ6" s="493"/>
      <c r="AR6" s="493"/>
      <c r="AS6" s="493"/>
      <c r="AT6" s="493">
        <f>+ab($T$6,$T$4,$T$8,$G$5,$G$7, 1*$F$6,1200)</f>
        <v>2.8561063439800658</v>
      </c>
      <c r="AU6" s="493"/>
      <c r="AV6" s="493"/>
      <c r="AW6" s="493" t="s">
        <v>2846</v>
      </c>
      <c r="AX6" s="493"/>
      <c r="AY6" s="493"/>
      <c r="AZ6" s="493"/>
      <c r="BA6" s="1309"/>
      <c r="BB6" s="488"/>
      <c r="BD6" s="1329" t="s">
        <v>4946</v>
      </c>
      <c r="BE6" s="1329" t="s">
        <v>4946</v>
      </c>
      <c r="BF6" s="1330"/>
      <c r="BG6" s="1329">
        <v>43808</v>
      </c>
    </row>
    <row r="7" spans="1:59" ht="12.5">
      <c r="A7" s="488"/>
      <c r="B7" s="494"/>
      <c r="C7" s="489"/>
      <c r="D7" s="489"/>
      <c r="E7" s="490"/>
      <c r="F7" s="491"/>
      <c r="G7" s="493">
        <v>41.2</v>
      </c>
      <c r="H7" s="495"/>
      <c r="I7" s="492"/>
      <c r="J7" s="489"/>
      <c r="K7" s="490"/>
      <c r="L7" s="490"/>
      <c r="M7" s="490"/>
      <c r="N7" s="495"/>
      <c r="O7" s="495"/>
      <c r="P7" s="495"/>
      <c r="Q7" s="490"/>
      <c r="R7" s="491"/>
      <c r="S7" s="790">
        <f>AG8-AG6</f>
        <v>39.599999999991269</v>
      </c>
      <c r="T7" s="490"/>
      <c r="U7" s="490"/>
      <c r="V7" s="490"/>
      <c r="W7" s="490"/>
      <c r="X7" s="490"/>
      <c r="Y7" s="490"/>
      <c r="Z7" s="490"/>
      <c r="AA7" s="490"/>
      <c r="AB7" s="490"/>
      <c r="AC7" s="490"/>
      <c r="AD7" s="490"/>
      <c r="AE7" s="490"/>
      <c r="AF7" s="491"/>
      <c r="AG7" s="489"/>
      <c r="AH7" s="491"/>
      <c r="AI7" s="491"/>
      <c r="AJ7" s="490"/>
      <c r="AK7" s="490"/>
      <c r="AL7" s="490"/>
      <c r="AM7" s="490" t="s">
        <v>3669</v>
      </c>
      <c r="AN7" s="493"/>
      <c r="AO7" s="493"/>
      <c r="AP7" s="493"/>
      <c r="AQ7" s="493">
        <f>+FL_1($T$8,$T$6,$G$7,1200,9.28, 1*$F$8)</f>
        <v>0.3</v>
      </c>
      <c r="AR7" s="493"/>
      <c r="AS7" s="493"/>
      <c r="AT7" s="493"/>
      <c r="AU7" s="493"/>
      <c r="AV7" s="493"/>
      <c r="AW7" s="493"/>
      <c r="AX7" s="493"/>
      <c r="AY7" s="493"/>
      <c r="AZ7" s="493"/>
      <c r="BA7" s="1309"/>
      <c r="BB7" s="488"/>
      <c r="BD7" s="1330"/>
      <c r="BE7" s="1330"/>
      <c r="BF7" s="1330"/>
      <c r="BG7" s="1330"/>
    </row>
    <row r="8" spans="1:59" ht="12.5">
      <c r="A8" s="449"/>
      <c r="B8" s="435" t="s">
        <v>1929</v>
      </c>
      <c r="C8" s="446">
        <f>+$C$6+$G$7</f>
        <v>93533.25</v>
      </c>
      <c r="D8" s="446"/>
      <c r="E8" s="638"/>
      <c r="F8" s="447">
        <v>610</v>
      </c>
      <c r="G8" s="484"/>
      <c r="H8" s="1239"/>
      <c r="I8" s="448"/>
      <c r="J8" s="446"/>
      <c r="K8" s="638"/>
      <c r="L8" s="638" t="s">
        <v>819</v>
      </c>
      <c r="M8" s="1239" t="str">
        <f>IF(AX8="PT",VLOOKUP(L8,'Foundation Calculation'!$V$2:$X$40,VLOOKUP(AX8,'Foundation Calculation'!$I$10:$J$13,2,FALSE),0),IF(AX8="K",VLOOKUP(L8,'Foundation Calculation'!$V$42:$X$80,VLOOKUP(AX8,'Foundation Calculation'!$I$10:$J$13,2,FALSE),0),""))</f>
        <v>C5R</v>
      </c>
      <c r="N8" s="1239" t="s">
        <v>2797</v>
      </c>
      <c r="O8" s="1239"/>
      <c r="P8" s="1239"/>
      <c r="Q8" s="638">
        <v>30</v>
      </c>
      <c r="R8" s="702">
        <v>610</v>
      </c>
      <c r="S8" s="1343"/>
      <c r="T8" s="638">
        <v>30</v>
      </c>
      <c r="U8" s="638"/>
      <c r="V8" s="638"/>
      <c r="W8" s="638">
        <v>0.6</v>
      </c>
      <c r="X8" s="638"/>
      <c r="Y8" s="638"/>
      <c r="Z8" s="638"/>
      <c r="AA8" s="638"/>
      <c r="AB8" s="638"/>
      <c r="AC8" s="638" t="s">
        <v>3050</v>
      </c>
      <c r="AD8" s="638"/>
      <c r="AE8" s="638"/>
      <c r="AF8" s="447">
        <v>5700</v>
      </c>
      <c r="AG8" s="446">
        <v>93533.17</v>
      </c>
      <c r="AH8" s="447">
        <v>2813</v>
      </c>
      <c r="AI8" s="447">
        <v>40</v>
      </c>
      <c r="AJ8" s="638"/>
      <c r="AK8" s="638"/>
      <c r="AL8" s="638" t="s">
        <v>2127</v>
      </c>
      <c r="AM8" s="638" t="s">
        <v>1043</v>
      </c>
      <c r="AN8" s="484">
        <v>5.15</v>
      </c>
      <c r="AO8" s="484"/>
      <c r="AP8" s="484"/>
      <c r="AQ8" s="484"/>
      <c r="AR8" s="484"/>
      <c r="AS8" s="484"/>
      <c r="AT8" s="484">
        <f>+ab($T$8,$T$6,$T$10,$G$7,$G$9, 1*$F$8,1200)</f>
        <v>3.2798496305934957</v>
      </c>
      <c r="AU8" s="484"/>
      <c r="AV8" s="484"/>
      <c r="AW8" s="638" t="str">
        <f>VLOOKUP(C8,'Foundation Calculation'!$A$2:$C$33,3,1)</f>
        <v>Soil A</v>
      </c>
      <c r="AX8" s="572" t="str">
        <f>VLOOKUP(C8,'Foundation Calculation'!$E$2:$G$33,3,1)</f>
        <v>PT</v>
      </c>
      <c r="AY8" s="636">
        <f>IF(AX8="PT",VLOOKUP(L8,'Foundation Calculation'!$K$2:$R$40,VLOOKUP(AW8,'Foundation Calculation'!$I$2:$J$8,2,FALSE),0),IF(AX8="K",VLOOKUP(L8,'Foundation Calculation'!$K$42:$R$80,VLOOKUP(AW8,'Foundation Calculation'!$I$2:$J$8,2,FALSE),0),""))</f>
        <v>3.5</v>
      </c>
      <c r="AZ8" s="484" t="s">
        <v>638</v>
      </c>
      <c r="BA8" s="671" t="s">
        <v>2809</v>
      </c>
      <c r="BB8" s="449" t="str">
        <f>Pole_Calculations!A178</f>
        <v>App.8-V08F-P10.3</v>
      </c>
      <c r="BD8" s="1329">
        <v>43722</v>
      </c>
      <c r="BE8" s="1329" t="s">
        <v>4946</v>
      </c>
      <c r="BF8" s="1329">
        <v>43815</v>
      </c>
      <c r="BG8" s="1329">
        <v>43808</v>
      </c>
    </row>
    <row r="9" spans="1:59" ht="12.5">
      <c r="A9" s="449"/>
      <c r="B9" s="445"/>
      <c r="C9" s="446"/>
      <c r="D9" s="446"/>
      <c r="E9" s="638"/>
      <c r="F9" s="447"/>
      <c r="G9" s="484">
        <v>30.1</v>
      </c>
      <c r="H9" s="1239"/>
      <c r="I9" s="448"/>
      <c r="J9" s="446"/>
      <c r="K9" s="638"/>
      <c r="L9" s="638"/>
      <c r="M9" s="638"/>
      <c r="N9" s="1239"/>
      <c r="O9" s="1239"/>
      <c r="P9" s="638"/>
      <c r="Q9" s="638"/>
      <c r="R9" s="447"/>
      <c r="S9" s="484">
        <f>AG10-AG8</f>
        <v>30.139999999999418</v>
      </c>
      <c r="T9" s="638"/>
      <c r="U9" s="638"/>
      <c r="V9" s="638"/>
      <c r="W9" s="638"/>
      <c r="X9" s="638"/>
      <c r="Y9" s="638"/>
      <c r="Z9" s="638"/>
      <c r="AA9" s="638"/>
      <c r="AB9" s="638"/>
      <c r="AC9" s="638"/>
      <c r="AD9" s="638"/>
      <c r="AE9" s="638"/>
      <c r="AF9" s="447"/>
      <c r="AG9" s="446"/>
      <c r="AH9" s="447"/>
      <c r="AI9" s="447"/>
      <c r="AJ9" s="638"/>
      <c r="AK9" s="638"/>
      <c r="AL9" s="638"/>
      <c r="AM9" s="638"/>
      <c r="AN9" s="484"/>
      <c r="AO9" s="484"/>
      <c r="AP9" s="484"/>
      <c r="AQ9" s="484">
        <f>+FL_2($T$54,$T$52,$G$53,1200,9.28, 1*$F$54)</f>
        <v>-0.30019668847991182</v>
      </c>
      <c r="AR9" s="484"/>
      <c r="AS9" s="484"/>
      <c r="AT9" s="484"/>
      <c r="AU9" s="484"/>
      <c r="AV9" s="484"/>
      <c r="AW9" s="638"/>
      <c r="AX9" s="572"/>
      <c r="AY9" s="484"/>
      <c r="AZ9" s="689"/>
      <c r="BA9" s="671"/>
      <c r="BB9" s="449"/>
      <c r="BD9" s="1329">
        <v>43722</v>
      </c>
      <c r="BE9" s="1330"/>
      <c r="BF9" s="1330"/>
      <c r="BG9" s="1330"/>
    </row>
    <row r="10" spans="1:59" ht="12.5">
      <c r="A10" s="449"/>
      <c r="B10" s="485" t="s">
        <v>1930</v>
      </c>
      <c r="C10" s="446">
        <f>+$C$8+$G$9+0.1</f>
        <v>93563.450000000012</v>
      </c>
      <c r="D10" s="446"/>
      <c r="E10" s="638"/>
      <c r="F10" s="447">
        <v>610</v>
      </c>
      <c r="G10" s="484"/>
      <c r="H10" s="1239" t="s">
        <v>138</v>
      </c>
      <c r="I10" s="1239" t="s">
        <v>4240</v>
      </c>
      <c r="J10" s="446"/>
      <c r="K10" s="638"/>
      <c r="L10" s="638" t="s">
        <v>819</v>
      </c>
      <c r="M10" s="1239" t="str">
        <f>IF(AX10="PT",VLOOKUP(L10,'Foundation Calculation'!$V$2:$X$40,VLOOKUP(AX10,'Foundation Calculation'!$I$10:$J$13,2,FALSE),0),IF(AX10="K",VLOOKUP(L10,'Foundation Calculation'!$V$42:$X$80,VLOOKUP(AX10,'Foundation Calculation'!$I$10:$J$13,2,FALSE),0),""))</f>
        <v>C5R</v>
      </c>
      <c r="N10" s="1239" t="s">
        <v>2797</v>
      </c>
      <c r="O10" s="1239"/>
      <c r="P10" s="1239"/>
      <c r="Q10" s="638">
        <v>30</v>
      </c>
      <c r="R10" s="702">
        <v>610</v>
      </c>
      <c r="S10" s="1343"/>
      <c r="T10" s="638">
        <v>30</v>
      </c>
      <c r="U10" s="638"/>
      <c r="V10" s="638"/>
      <c r="W10" s="638">
        <v>0.6</v>
      </c>
      <c r="X10" s="638"/>
      <c r="Y10" s="638"/>
      <c r="Z10" s="638"/>
      <c r="AA10" s="638"/>
      <c r="AB10" s="638"/>
      <c r="AC10" s="638" t="s">
        <v>3050</v>
      </c>
      <c r="AD10" s="638"/>
      <c r="AE10" s="638"/>
      <c r="AF10" s="447">
        <v>5700</v>
      </c>
      <c r="AG10" s="446">
        <v>93563.31</v>
      </c>
      <c r="AH10" s="447">
        <v>2823</v>
      </c>
      <c r="AI10" s="447">
        <v>20</v>
      </c>
      <c r="AJ10" s="638"/>
      <c r="AK10" s="638"/>
      <c r="AL10" s="638" t="s">
        <v>2127</v>
      </c>
      <c r="AM10" s="638" t="s">
        <v>1043</v>
      </c>
      <c r="AN10" s="484">
        <v>5.15</v>
      </c>
      <c r="AO10" s="484"/>
      <c r="AP10" s="484"/>
      <c r="AQ10" s="484"/>
      <c r="AR10" s="484"/>
      <c r="AS10" s="484"/>
      <c r="AT10" s="484">
        <f>+ab($T$10,$T$8,$T$12,$G$9,$G$11, 1*$F$10,1200)</f>
        <v>3.6365000752027585</v>
      </c>
      <c r="AU10" s="484"/>
      <c r="AV10" s="484"/>
      <c r="AW10" s="638" t="str">
        <f>VLOOKUP(C10,'Foundation Calculation'!$A$2:$C$33,3,1)</f>
        <v>Soil A</v>
      </c>
      <c r="AX10" s="572" t="str">
        <f>VLOOKUP(C10,'Foundation Calculation'!$E$2:$G$33,3,1)</f>
        <v>PT</v>
      </c>
      <c r="AY10" s="636">
        <f>IF(AX10="PT",VLOOKUP(L10,'Foundation Calculation'!$K$2:$R$40,VLOOKUP(AW10,'Foundation Calculation'!$I$2:$J$8,2,FALSE),0),IF(AX10="K",VLOOKUP(L10,'Foundation Calculation'!$K$42:$R$80,VLOOKUP(AW10,'Foundation Calculation'!$I$2:$J$8,2,FALSE),0),""))</f>
        <v>3.5</v>
      </c>
      <c r="AZ10" s="484" t="s">
        <v>638</v>
      </c>
      <c r="BA10" s="671" t="s">
        <v>2809</v>
      </c>
      <c r="BB10" s="449" t="str">
        <f>Pole_Calculations!A178</f>
        <v>App.8-V08F-P10.3</v>
      </c>
      <c r="BD10" s="1329">
        <v>43722</v>
      </c>
      <c r="BE10" s="1329" t="s">
        <v>4946</v>
      </c>
      <c r="BF10" s="1329">
        <v>43815</v>
      </c>
      <c r="BG10" s="1329">
        <v>43808</v>
      </c>
    </row>
    <row r="11" spans="1:59" ht="25">
      <c r="A11" s="488" t="s">
        <v>1851</v>
      </c>
      <c r="B11" s="494"/>
      <c r="C11" s="489"/>
      <c r="D11" s="489"/>
      <c r="E11" s="490"/>
      <c r="F11" s="491"/>
      <c r="G11" s="493">
        <v>46.1</v>
      </c>
      <c r="H11" s="495"/>
      <c r="I11" s="492"/>
      <c r="J11" s="489"/>
      <c r="K11" s="490"/>
      <c r="L11" s="490"/>
      <c r="M11" s="490"/>
      <c r="N11" s="495"/>
      <c r="O11" s="495"/>
      <c r="P11" s="495"/>
      <c r="Q11" s="490"/>
      <c r="R11" s="491"/>
      <c r="S11" s="790">
        <f>AG12-AG10</f>
        <v>47.990000000005239</v>
      </c>
      <c r="T11" s="490"/>
      <c r="U11" s="490"/>
      <c r="V11" s="490"/>
      <c r="W11" s="490"/>
      <c r="X11" s="490"/>
      <c r="Y11" s="490"/>
      <c r="Z11" s="490"/>
      <c r="AA11" s="490"/>
      <c r="AB11" s="490"/>
      <c r="AC11" s="490"/>
      <c r="AD11" s="490"/>
      <c r="AE11" s="490"/>
      <c r="AF11" s="491"/>
      <c r="AG11" s="489"/>
      <c r="AH11" s="491"/>
      <c r="AI11" s="491"/>
      <c r="AJ11" s="490"/>
      <c r="AK11" s="490"/>
      <c r="AL11" s="490"/>
      <c r="AM11" s="669" t="s">
        <v>4220</v>
      </c>
      <c r="AN11" s="493"/>
      <c r="AO11" s="493"/>
      <c r="AP11" s="493"/>
      <c r="AQ11" s="493">
        <f>+FL_2($U$12,$T$10,$G$11,1200,9.28, 1*$F$12)</f>
        <v>-0.34108638504015337</v>
      </c>
      <c r="AR11" s="493"/>
      <c r="AS11" s="493"/>
      <c r="AT11" s="493"/>
      <c r="AU11" s="493"/>
      <c r="AV11" s="493"/>
      <c r="AW11" s="493"/>
      <c r="AX11" s="493"/>
      <c r="AY11" s="493"/>
      <c r="AZ11" s="493"/>
      <c r="BA11" s="1309"/>
      <c r="BB11" s="488"/>
      <c r="BD11" s="1330"/>
      <c r="BE11" s="1330"/>
      <c r="BF11" s="1330"/>
      <c r="BG11" s="1330"/>
    </row>
    <row r="12" spans="1:59" ht="12.5">
      <c r="A12" s="449"/>
      <c r="B12" s="439" t="s">
        <v>1931</v>
      </c>
      <c r="C12" s="446">
        <f>+$C$10+$G$11</f>
        <v>93609.550000000017</v>
      </c>
      <c r="D12" s="446"/>
      <c r="E12" s="638"/>
      <c r="F12" s="447">
        <v>610</v>
      </c>
      <c r="G12" s="484"/>
      <c r="H12" s="638" t="s">
        <v>619</v>
      </c>
      <c r="I12" s="1239"/>
      <c r="J12" s="446"/>
      <c r="K12" s="638"/>
      <c r="L12" s="638" t="s">
        <v>819</v>
      </c>
      <c r="M12" s="1239" t="str">
        <f>IF(AX12="PT",VLOOKUP(L12,'Foundation Calculation'!$V$2:$X$40,VLOOKUP(AX12,'Foundation Calculation'!$I$10:$J$13,2,FALSE),0),IF(AX12="K",VLOOKUP(L12,'Foundation Calculation'!$V$42:$X$80,VLOOKUP(AX12,'Foundation Calculation'!$I$10:$J$13,2,FALSE),0),""))</f>
        <v>C5R</v>
      </c>
      <c r="N12" s="1239" t="s">
        <v>2797</v>
      </c>
      <c r="O12" s="1239" t="s">
        <v>2797</v>
      </c>
      <c r="P12" s="1239"/>
      <c r="Q12" s="638">
        <v>20</v>
      </c>
      <c r="R12" s="702">
        <v>610</v>
      </c>
      <c r="S12" s="1343"/>
      <c r="T12" s="638">
        <v>75</v>
      </c>
      <c r="U12" s="638">
        <v>30</v>
      </c>
      <c r="V12" s="638"/>
      <c r="W12" s="638">
        <v>0.7</v>
      </c>
      <c r="X12" s="638">
        <v>0.7</v>
      </c>
      <c r="Y12" s="638"/>
      <c r="Z12" s="638">
        <v>0.25</v>
      </c>
      <c r="AA12" s="638"/>
      <c r="AB12" s="638"/>
      <c r="AC12" s="638" t="s">
        <v>1421</v>
      </c>
      <c r="AD12" s="638" t="s">
        <v>1421</v>
      </c>
      <c r="AE12" s="638"/>
      <c r="AF12" s="447">
        <v>5850</v>
      </c>
      <c r="AG12" s="446">
        <v>93611.3</v>
      </c>
      <c r="AH12" s="447">
        <v>2013</v>
      </c>
      <c r="AI12" s="447">
        <v>80</v>
      </c>
      <c r="AJ12" s="638"/>
      <c r="AK12" s="638"/>
      <c r="AL12" s="638" t="s">
        <v>2127</v>
      </c>
      <c r="AM12" s="638" t="s">
        <v>1043</v>
      </c>
      <c r="AN12" s="484">
        <v>5.15</v>
      </c>
      <c r="AO12" s="484"/>
      <c r="AP12" s="484"/>
      <c r="AQ12" s="484"/>
      <c r="AR12" s="484"/>
      <c r="AS12" s="484"/>
      <c r="AT12" s="484">
        <f>+ab($U$12,$T$10,$U$14,$G$11,$G$13, 1*$F$12,1200)</f>
        <v>2.2969421705323159</v>
      </c>
      <c r="AU12" s="484"/>
      <c r="AV12" s="484"/>
      <c r="AW12" s="638" t="str">
        <f>VLOOKUP(C12,'Foundation Calculation'!$A$2:$C$33,3,1)</f>
        <v>Soil A</v>
      </c>
      <c r="AX12" s="572" t="str">
        <f>VLOOKUP(C12,'Foundation Calculation'!$E$2:$G$33,3,1)</f>
        <v>PT</v>
      </c>
      <c r="AY12" s="636">
        <f>IF(AX12="PT",VLOOKUP(L12,'Foundation Calculation'!$K$2:$R$40,VLOOKUP(AW12,'Foundation Calculation'!$I$2:$J$8,2,FALSE),0),IF(AX12="K",VLOOKUP(L12,'Foundation Calculation'!$K$42:$R$80,VLOOKUP(AW12,'Foundation Calculation'!$I$2:$J$8,2,FALSE),0),""))</f>
        <v>3.5</v>
      </c>
      <c r="AZ12" s="484" t="s">
        <v>638</v>
      </c>
      <c r="BA12" s="671" t="s">
        <v>2809</v>
      </c>
      <c r="BB12" s="449" t="str">
        <f>Pole_Calculations!A178</f>
        <v>App.8-V08F-P10.3</v>
      </c>
      <c r="BD12" s="1329">
        <v>43722</v>
      </c>
      <c r="BE12" s="1329" t="s">
        <v>4946</v>
      </c>
      <c r="BF12" s="1329" t="s">
        <v>4946</v>
      </c>
      <c r="BG12" s="1329">
        <v>43808</v>
      </c>
    </row>
    <row r="13" spans="1:59" ht="12.5">
      <c r="A13" s="449"/>
      <c r="B13" s="445"/>
      <c r="C13" s="446"/>
      <c r="D13" s="446"/>
      <c r="E13" s="638"/>
      <c r="F13" s="447"/>
      <c r="G13" s="484">
        <v>43</v>
      </c>
      <c r="H13" s="1239"/>
      <c r="I13" s="447"/>
      <c r="J13" s="446"/>
      <c r="K13" s="638"/>
      <c r="L13" s="638"/>
      <c r="M13" s="638"/>
      <c r="N13" s="1239"/>
      <c r="O13" s="1239"/>
      <c r="P13" s="1239"/>
      <c r="Q13" s="638"/>
      <c r="R13" s="447"/>
      <c r="S13" s="484">
        <f>AG14-AG12</f>
        <v>39.039999999993597</v>
      </c>
      <c r="T13" s="638"/>
      <c r="U13" s="638"/>
      <c r="V13" s="638"/>
      <c r="W13" s="638"/>
      <c r="X13" s="638"/>
      <c r="Y13" s="638"/>
      <c r="Z13" s="638"/>
      <c r="AA13" s="638"/>
      <c r="AB13" s="638"/>
      <c r="AC13" s="638"/>
      <c r="AD13" s="638"/>
      <c r="AE13" s="638"/>
      <c r="AF13" s="447"/>
      <c r="AG13" s="446"/>
      <c r="AH13" s="447"/>
      <c r="AI13" s="447"/>
      <c r="AJ13" s="638"/>
      <c r="AK13" s="638"/>
      <c r="AL13" s="638"/>
      <c r="AM13" s="638"/>
      <c r="AN13" s="484"/>
      <c r="AO13" s="484"/>
      <c r="AP13" s="484"/>
      <c r="AQ13" s="484">
        <f>+FL_2($T$14,$U$12,$G$13,1200,9.28, 1*$F$14)</f>
        <v>-0.25774785476562373</v>
      </c>
      <c r="AR13" s="484"/>
      <c r="AS13" s="484"/>
      <c r="AT13" s="484"/>
      <c r="AU13" s="484"/>
      <c r="AV13" s="484"/>
      <c r="AW13" s="638"/>
      <c r="AX13" s="572"/>
      <c r="AY13" s="484"/>
      <c r="AZ13" s="689"/>
      <c r="BA13" s="671"/>
      <c r="BB13" s="449"/>
      <c r="BD13" s="1330"/>
      <c r="BE13" s="1330"/>
      <c r="BF13" s="1330"/>
      <c r="BG13" s="1330"/>
    </row>
    <row r="14" spans="1:59" ht="12.5">
      <c r="A14" s="449" t="s">
        <v>2943</v>
      </c>
      <c r="B14" s="439" t="s">
        <v>1932</v>
      </c>
      <c r="C14" s="446">
        <f>+$C$12+$G$13</f>
        <v>93652.550000000017</v>
      </c>
      <c r="D14" s="446"/>
      <c r="E14" s="638"/>
      <c r="F14" s="447">
        <v>610</v>
      </c>
      <c r="G14" s="484"/>
      <c r="H14" s="638" t="s">
        <v>619</v>
      </c>
      <c r="I14" s="448" t="s">
        <v>1429</v>
      </c>
      <c r="J14" s="446"/>
      <c r="K14" s="638"/>
      <c r="L14" s="638" t="s">
        <v>819</v>
      </c>
      <c r="M14" s="1239" t="str">
        <f>IF(AX14="PT",VLOOKUP(L14,'Foundation Calculation'!$V$2:$X$40,VLOOKUP(AX14,'Foundation Calculation'!$I$10:$J$13,2,FALSE),0),IF(AX14="K",VLOOKUP(L14,'Foundation Calculation'!$V$42:$X$80,VLOOKUP(AX14,'Foundation Calculation'!$I$10:$J$13,2,FALSE),0),""))</f>
        <v>C5R</v>
      </c>
      <c r="N14" s="1239" t="s">
        <v>144</v>
      </c>
      <c r="O14" s="1239" t="s">
        <v>140</v>
      </c>
      <c r="P14" s="1239"/>
      <c r="Q14" s="638">
        <v>30</v>
      </c>
      <c r="R14" s="702">
        <v>610</v>
      </c>
      <c r="S14" s="1343"/>
      <c r="T14" s="638">
        <v>30</v>
      </c>
      <c r="U14" s="638">
        <v>-15</v>
      </c>
      <c r="V14" s="638"/>
      <c r="W14" s="638">
        <v>0.9</v>
      </c>
      <c r="X14" s="638">
        <v>1.2</v>
      </c>
      <c r="Y14" s="638"/>
      <c r="Z14" s="638"/>
      <c r="AA14" s="638">
        <v>0.24</v>
      </c>
      <c r="AB14" s="638"/>
      <c r="AC14" s="638" t="s">
        <v>3050</v>
      </c>
      <c r="AD14" s="638"/>
      <c r="AE14" s="638"/>
      <c r="AF14" s="447">
        <v>5100</v>
      </c>
      <c r="AG14" s="446">
        <v>93650.34</v>
      </c>
      <c r="AH14" s="447">
        <v>2073</v>
      </c>
      <c r="AI14" s="447">
        <v>90</v>
      </c>
      <c r="AJ14" s="638" t="s">
        <v>2154</v>
      </c>
      <c r="AK14" s="638"/>
      <c r="AL14" s="638" t="s">
        <v>2127</v>
      </c>
      <c r="AM14" s="638" t="s">
        <v>1043</v>
      </c>
      <c r="AN14" s="484">
        <v>5.21</v>
      </c>
      <c r="AO14" s="484"/>
      <c r="AP14" s="484"/>
      <c r="AQ14" s="484"/>
      <c r="AR14" s="484"/>
      <c r="AS14" s="484"/>
      <c r="AT14" s="484">
        <f>+ab($T$14,$T$12,$T$16,$G$13,$G$15, 1*$F$14,1200)</f>
        <v>3.411987757464785</v>
      </c>
      <c r="AU14" s="484"/>
      <c r="AV14" s="484"/>
      <c r="AW14" s="638" t="str">
        <f>VLOOKUP(C14,'Foundation Calculation'!$A$2:$C$33,3,1)</f>
        <v>Soil A</v>
      </c>
      <c r="AX14" s="572" t="str">
        <f>VLOOKUP(C14,'Foundation Calculation'!$E$2:$G$33,3,1)</f>
        <v>PT</v>
      </c>
      <c r="AY14" s="636">
        <f>IF(AX14="PT",VLOOKUP(L14,'Foundation Calculation'!$K$2:$R$40,VLOOKUP(AW14,'Foundation Calculation'!$I$2:$J$8,2,FALSE),0),IF(AX14="K",VLOOKUP(L14,'Foundation Calculation'!$K$42:$R$80,VLOOKUP(AW14,'Foundation Calculation'!$I$2:$J$8,2,FALSE),0),""))</f>
        <v>3.5</v>
      </c>
      <c r="AZ14" s="484" t="s">
        <v>638</v>
      </c>
      <c r="BA14" s="671" t="s">
        <v>2809</v>
      </c>
      <c r="BB14" s="449" t="str">
        <f>Pole_Calculations!A178</f>
        <v>App.8-V08F-P10.3</v>
      </c>
      <c r="BD14" s="1329">
        <v>43722</v>
      </c>
      <c r="BE14" s="1329" t="s">
        <v>4946</v>
      </c>
      <c r="BF14" s="1329" t="s">
        <v>4946</v>
      </c>
      <c r="BG14" s="1329">
        <v>43808</v>
      </c>
    </row>
    <row r="15" spans="1:59" ht="12.5">
      <c r="A15" s="449"/>
      <c r="B15" s="445"/>
      <c r="C15" s="446"/>
      <c r="D15" s="446"/>
      <c r="E15" s="638"/>
      <c r="F15" s="447"/>
      <c r="G15" s="484">
        <v>38.299999999999997</v>
      </c>
      <c r="H15" s="1239"/>
      <c r="I15" s="447"/>
      <c r="J15" s="446"/>
      <c r="K15" s="638"/>
      <c r="L15" s="638"/>
      <c r="M15" s="638"/>
      <c r="N15" s="1239"/>
      <c r="O15" s="1239"/>
      <c r="P15" s="1239"/>
      <c r="Q15" s="638"/>
      <c r="R15" s="447"/>
      <c r="S15" s="484">
        <f>AG16-AG14</f>
        <v>40.470000000001164</v>
      </c>
      <c r="T15" s="638"/>
      <c r="U15" s="638"/>
      <c r="V15" s="638"/>
      <c r="W15" s="638"/>
      <c r="X15" s="638"/>
      <c r="Y15" s="638"/>
      <c r="Z15" s="638"/>
      <c r="AA15" s="638"/>
      <c r="AB15" s="638"/>
      <c r="AC15" s="638"/>
      <c r="AD15" s="638"/>
      <c r="AE15" s="638"/>
      <c r="AF15" s="447"/>
      <c r="AG15" s="446"/>
      <c r="AH15" s="447"/>
      <c r="AI15" s="447"/>
      <c r="AJ15" s="638"/>
      <c r="AK15" s="638"/>
      <c r="AL15" s="638"/>
      <c r="AM15" s="638"/>
      <c r="AN15" s="484"/>
      <c r="AO15" s="484"/>
      <c r="AP15" s="484"/>
      <c r="AQ15" s="484">
        <f>+FL_2($T$16,$T$14,$G$15,1200,9.28, 1*$F$16)</f>
        <v>-0.14246567833137991</v>
      </c>
      <c r="AR15" s="484"/>
      <c r="AS15" s="484"/>
      <c r="AT15" s="484"/>
      <c r="AU15" s="484"/>
      <c r="AV15" s="484"/>
      <c r="AW15" s="638"/>
      <c r="AX15" s="572"/>
      <c r="AY15" s="484"/>
      <c r="AZ15" s="689"/>
      <c r="BA15" s="671"/>
      <c r="BB15" s="449"/>
      <c r="BD15" s="1330"/>
      <c r="BE15" s="1330"/>
      <c r="BF15" s="1330"/>
      <c r="BG15" s="1330"/>
    </row>
    <row r="16" spans="1:59" ht="12.5">
      <c r="A16" s="449"/>
      <c r="B16" s="439" t="s">
        <v>1933</v>
      </c>
      <c r="C16" s="446">
        <f>+$C$14+$G$15</f>
        <v>93690.85000000002</v>
      </c>
      <c r="D16" s="446"/>
      <c r="E16" s="638"/>
      <c r="F16" s="447">
        <v>610</v>
      </c>
      <c r="G16" s="484"/>
      <c r="H16" s="1239" t="s">
        <v>138</v>
      </c>
      <c r="I16" s="448" t="s">
        <v>623</v>
      </c>
      <c r="J16" s="446"/>
      <c r="K16" s="638"/>
      <c r="L16" s="638" t="s">
        <v>819</v>
      </c>
      <c r="M16" s="1239" t="str">
        <f>IF(AX16="PT",VLOOKUP(L16,'Foundation Calculation'!$V$2:$X$40,VLOOKUP(AX16,'Foundation Calculation'!$I$10:$J$13,2,FALSE),0),IF(AX16="K",VLOOKUP(L16,'Foundation Calculation'!$V$42:$X$80,VLOOKUP(AX16,'Foundation Calculation'!$I$10:$J$13,2,FALSE),0),""))</f>
        <v>C5R</v>
      </c>
      <c r="N16" s="1239" t="s">
        <v>144</v>
      </c>
      <c r="O16" s="1239"/>
      <c r="P16" s="1239"/>
      <c r="Q16" s="638">
        <v>40</v>
      </c>
      <c r="R16" s="702">
        <v>610</v>
      </c>
      <c r="S16" s="1343"/>
      <c r="T16" s="638">
        <v>30</v>
      </c>
      <c r="U16" s="638"/>
      <c r="V16" s="638"/>
      <c r="W16" s="638">
        <v>1.4</v>
      </c>
      <c r="X16" s="638"/>
      <c r="Y16" s="638"/>
      <c r="Z16" s="638"/>
      <c r="AA16" s="638"/>
      <c r="AB16" s="638"/>
      <c r="AC16" s="638" t="s">
        <v>3050</v>
      </c>
      <c r="AD16" s="638"/>
      <c r="AE16" s="638"/>
      <c r="AF16" s="447">
        <v>5300</v>
      </c>
      <c r="AG16" s="446">
        <v>93690.81</v>
      </c>
      <c r="AH16" s="447">
        <v>1863</v>
      </c>
      <c r="AI16" s="447">
        <v>50</v>
      </c>
      <c r="AJ16" s="638"/>
      <c r="AK16" s="638"/>
      <c r="AL16" s="638" t="s">
        <v>2127</v>
      </c>
      <c r="AM16" s="638" t="s">
        <v>1043</v>
      </c>
      <c r="AN16" s="484">
        <v>5.32</v>
      </c>
      <c r="AO16" s="484"/>
      <c r="AP16" s="484"/>
      <c r="AQ16" s="484"/>
      <c r="AR16" s="484"/>
      <c r="AS16" s="484"/>
      <c r="AT16" s="484">
        <f>+ab($T$16,$T$14,$T$18,$G$15,$G$17, 1*$F$16,1200)</f>
        <v>3.0335959943981821</v>
      </c>
      <c r="AU16" s="484"/>
      <c r="AV16" s="484"/>
      <c r="AW16" s="638" t="str">
        <f>VLOOKUP(C16,'Foundation Calculation'!$A$2:$C$33,3,1)</f>
        <v>Soil A</v>
      </c>
      <c r="AX16" s="572" t="str">
        <f>VLOOKUP(C16,'Foundation Calculation'!$E$2:$G$33,3,1)</f>
        <v>PT</v>
      </c>
      <c r="AY16" s="636">
        <f>IF(AX16="PT",VLOOKUP(L16,'Foundation Calculation'!$K$2:$R$40,VLOOKUP(AW16,'Foundation Calculation'!$I$2:$J$8,2,FALSE),0),IF(AX16="K",VLOOKUP(L16,'Foundation Calculation'!$K$42:$R$80,VLOOKUP(AW16,'Foundation Calculation'!$I$2:$J$8,2,FALSE),0),""))</f>
        <v>3.5</v>
      </c>
      <c r="AZ16" s="484" t="s">
        <v>638</v>
      </c>
      <c r="BA16" s="671" t="s">
        <v>2809</v>
      </c>
      <c r="BB16" s="449" t="str">
        <f>Pole_Calculations!A178</f>
        <v>App.8-V08F-P10.3</v>
      </c>
      <c r="BD16" s="1329">
        <v>43722</v>
      </c>
      <c r="BE16" s="1329" t="s">
        <v>4946</v>
      </c>
      <c r="BF16" s="1329" t="s">
        <v>4946</v>
      </c>
      <c r="BG16" s="1329">
        <v>43808</v>
      </c>
    </row>
    <row r="17" spans="1:59" ht="12.5">
      <c r="A17" s="449"/>
      <c r="B17" s="445"/>
      <c r="C17" s="446"/>
      <c r="D17" s="446"/>
      <c r="E17" s="638"/>
      <c r="F17" s="447"/>
      <c r="G17" s="484">
        <v>38.799999999999997</v>
      </c>
      <c r="H17" s="1239"/>
      <c r="I17" s="448"/>
      <c r="J17" s="446">
        <f>C16+7.5</f>
        <v>93698.35000000002</v>
      </c>
      <c r="K17" s="638" t="s">
        <v>2787</v>
      </c>
      <c r="L17" s="638"/>
      <c r="M17" s="638"/>
      <c r="N17" s="1239"/>
      <c r="O17" s="1239"/>
      <c r="P17" s="638"/>
      <c r="Q17" s="638"/>
      <c r="R17" s="447"/>
      <c r="S17" s="484">
        <f>AG18-AG16</f>
        <v>38.720000000001164</v>
      </c>
      <c r="T17" s="638"/>
      <c r="U17" s="638"/>
      <c r="V17" s="638"/>
      <c r="W17" s="638"/>
      <c r="X17" s="638"/>
      <c r="Y17" s="638"/>
      <c r="Z17" s="638"/>
      <c r="AA17" s="638"/>
      <c r="AB17" s="638"/>
      <c r="AC17" s="638"/>
      <c r="AD17" s="638"/>
      <c r="AE17" s="638"/>
      <c r="AF17" s="447"/>
      <c r="AG17" s="446"/>
      <c r="AH17" s="447"/>
      <c r="AI17" s="447"/>
      <c r="AJ17" s="638"/>
      <c r="AK17" s="638"/>
      <c r="AL17" s="638"/>
      <c r="AM17" s="638"/>
      <c r="AN17" s="484"/>
      <c r="AO17" s="484"/>
      <c r="AP17" s="484"/>
      <c r="AQ17" s="484">
        <f>+FL_2($T$18,$T$16,$G$17,1200,9.28, 1*$F$18)</f>
        <v>-0.15409571531541114</v>
      </c>
      <c r="AR17" s="484"/>
      <c r="AS17" s="484"/>
      <c r="AT17" s="484"/>
      <c r="AU17" s="484"/>
      <c r="AV17" s="484"/>
      <c r="AW17" s="638" t="str">
        <f>VLOOKUP(J17,'Foundation Calculation'!$A$2:$C$33,3,1)</f>
        <v>Soil A</v>
      </c>
      <c r="AX17" s="572" t="str">
        <f>VLOOKUP(J17,'Foundation Calculation'!$E$2:$G$33,3,1)</f>
        <v>PT</v>
      </c>
      <c r="AY17" s="484"/>
      <c r="AZ17" s="689">
        <f>IF(AX17="PT",VLOOKUP(K17,'Foundation Calculation'!$K$2:$R$40,VLOOKUP(AW17,'Foundation Calculation'!$I$2:$J$8,2,FALSE),0),IF(AX17="K",VLOOKUP(K17,'Foundation Calculation'!$K$42:$R$80,VLOOKUP(AW17,'Foundation Calculation'!$I$2:$J$8,2,FALSE),0),""))</f>
        <v>3.3</v>
      </c>
      <c r="BA17" s="671" t="s">
        <v>2809</v>
      </c>
      <c r="BB17" s="449"/>
      <c r="BD17" s="1329">
        <v>43722</v>
      </c>
      <c r="BE17" s="1330"/>
      <c r="BF17" s="1330"/>
      <c r="BG17" s="1330"/>
    </row>
    <row r="18" spans="1:59" ht="12.5">
      <c r="A18" s="449"/>
      <c r="B18" s="435" t="s">
        <v>1934</v>
      </c>
      <c r="C18" s="446">
        <f>+$C$16+$G$17</f>
        <v>93729.650000000023</v>
      </c>
      <c r="D18" s="446"/>
      <c r="E18" s="638"/>
      <c r="F18" s="447">
        <v>610</v>
      </c>
      <c r="G18" s="484"/>
      <c r="H18" s="1239" t="s">
        <v>890</v>
      </c>
      <c r="I18" s="1239" t="s">
        <v>623</v>
      </c>
      <c r="J18" s="446">
        <f>C18-7.5</f>
        <v>93722.150000000023</v>
      </c>
      <c r="K18" s="638" t="s">
        <v>2882</v>
      </c>
      <c r="L18" s="638" t="s">
        <v>819</v>
      </c>
      <c r="M18" s="1239" t="s">
        <v>3671</v>
      </c>
      <c r="N18" s="1239" t="s">
        <v>144</v>
      </c>
      <c r="O18" s="1239"/>
      <c r="P18" s="1239"/>
      <c r="Q18" s="638">
        <v>40</v>
      </c>
      <c r="R18" s="702">
        <v>610</v>
      </c>
      <c r="S18" s="1343"/>
      <c r="T18" s="638">
        <v>30</v>
      </c>
      <c r="U18" s="638"/>
      <c r="V18" s="638"/>
      <c r="W18" s="638">
        <v>1.4</v>
      </c>
      <c r="X18" s="638"/>
      <c r="Y18" s="638"/>
      <c r="Z18" s="638"/>
      <c r="AA18" s="638"/>
      <c r="AB18" s="638"/>
      <c r="AC18" s="638" t="s">
        <v>3050</v>
      </c>
      <c r="AD18" s="638"/>
      <c r="AE18" s="638"/>
      <c r="AF18" s="447">
        <v>5300</v>
      </c>
      <c r="AG18" s="446">
        <v>93729.53</v>
      </c>
      <c r="AH18" s="447">
        <v>2343</v>
      </c>
      <c r="AI18" s="447">
        <v>-160</v>
      </c>
      <c r="AJ18" s="638"/>
      <c r="AK18" s="638"/>
      <c r="AL18" s="638" t="s">
        <v>2127</v>
      </c>
      <c r="AM18" s="638" t="s">
        <v>1043</v>
      </c>
      <c r="AN18" s="484">
        <v>5.44</v>
      </c>
      <c r="AO18" s="484"/>
      <c r="AP18" s="484"/>
      <c r="AQ18" s="484"/>
      <c r="AR18" s="484"/>
      <c r="AS18" s="484"/>
      <c r="AT18" s="484">
        <f>+ab($T$18,$T$16,$U$20,$G$17,$G$19, 1*$F$18,1200)</f>
        <v>2.9795920180381255</v>
      </c>
      <c r="AU18" s="484"/>
      <c r="AV18" s="484"/>
      <c r="AW18" s="638" t="s">
        <v>2874</v>
      </c>
      <c r="AX18" s="572" t="str">
        <f>VLOOKUP(J18,'Foundation Calculation'!$E$2:$G$33,3,1)</f>
        <v>PT</v>
      </c>
      <c r="AY18" s="636">
        <v>4.5</v>
      </c>
      <c r="AZ18" s="484">
        <v>3.3</v>
      </c>
      <c r="BA18" s="671" t="s">
        <v>2809</v>
      </c>
      <c r="BB18" s="449" t="str">
        <f>Pole_Calculations!A178</f>
        <v>App.8-V08F-P10.3</v>
      </c>
      <c r="BD18" s="1329">
        <v>43722</v>
      </c>
      <c r="BE18" s="1329" t="s">
        <v>4946</v>
      </c>
      <c r="BF18" s="1329" t="s">
        <v>4946</v>
      </c>
      <c r="BG18" s="1329">
        <v>43808</v>
      </c>
    </row>
    <row r="19" spans="1:59" ht="12.5">
      <c r="A19" s="449"/>
      <c r="B19" s="445"/>
      <c r="C19" s="446"/>
      <c r="D19" s="446"/>
      <c r="E19" s="638"/>
      <c r="F19" s="447"/>
      <c r="G19" s="484">
        <v>39.700000000000003</v>
      </c>
      <c r="H19" s="1239"/>
      <c r="I19" s="1239">
        <v>278</v>
      </c>
      <c r="J19" s="446">
        <f>C20-7.5</f>
        <v>93761.85000000002</v>
      </c>
      <c r="K19" s="638" t="s">
        <v>2787</v>
      </c>
      <c r="L19" s="638"/>
      <c r="M19" s="638"/>
      <c r="N19" s="1239"/>
      <c r="O19" s="1239"/>
      <c r="P19" s="638"/>
      <c r="Q19" s="638"/>
      <c r="R19" s="447"/>
      <c r="S19" s="484">
        <f>AG20-AG18</f>
        <v>37.589999999996508</v>
      </c>
      <c r="T19" s="638"/>
      <c r="U19" s="638"/>
      <c r="V19" s="638"/>
      <c r="W19" s="638"/>
      <c r="X19" s="638"/>
      <c r="Y19" s="638"/>
      <c r="Z19" s="638"/>
      <c r="AA19" s="638"/>
      <c r="AB19" s="638"/>
      <c r="AC19" s="638"/>
      <c r="AD19" s="638"/>
      <c r="AE19" s="638"/>
      <c r="AF19" s="447"/>
      <c r="AG19" s="446"/>
      <c r="AH19" s="447"/>
      <c r="AI19" s="447"/>
      <c r="AJ19" s="638"/>
      <c r="AK19" s="638"/>
      <c r="AL19" s="638"/>
      <c r="AM19" s="638"/>
      <c r="AN19" s="484"/>
      <c r="AO19" s="484"/>
      <c r="AP19" s="484"/>
      <c r="AQ19" s="484">
        <f>+FL_2($U$20,$T$18,$G$19,1200,9.28, 1*$F$20)</f>
        <v>-0.17541017355872648</v>
      </c>
      <c r="AR19" s="484"/>
      <c r="AS19" s="484"/>
      <c r="AT19" s="484"/>
      <c r="AU19" s="484"/>
      <c r="AV19" s="484"/>
      <c r="AW19" s="638" t="str">
        <f>VLOOKUP(J19,'Foundation Calculation'!$A$2:$C$33,3,1)</f>
        <v>Soil A</v>
      </c>
      <c r="AX19" s="572" t="str">
        <f>VLOOKUP(J19,'Foundation Calculation'!$E$2:$G$33,3,1)</f>
        <v>PT</v>
      </c>
      <c r="AY19" s="484"/>
      <c r="AZ19" s="689">
        <f>IF(AX19="PT",VLOOKUP(K19,'Foundation Calculation'!$K$2:$R$40,VLOOKUP(AW19,'Foundation Calculation'!$I$2:$J$8,2,FALSE),0),IF(AX19="K",VLOOKUP(K19,'Foundation Calculation'!$K$42:$R$80,VLOOKUP(AW19,'Foundation Calculation'!$I$2:$J$8,2,FALSE),0),""))</f>
        <v>3.3</v>
      </c>
      <c r="BA19" s="671" t="s">
        <v>2809</v>
      </c>
      <c r="BB19" s="449"/>
      <c r="BD19" s="1329">
        <v>43722</v>
      </c>
      <c r="BE19" s="1330"/>
      <c r="BF19" s="1330"/>
      <c r="BG19" s="1330"/>
    </row>
    <row r="20" spans="1:59" ht="12.5">
      <c r="A20" s="449"/>
      <c r="B20" s="435" t="s">
        <v>1935</v>
      </c>
      <c r="C20" s="446">
        <f>+$C$18+$G$19</f>
        <v>93769.35000000002</v>
      </c>
      <c r="D20" s="446"/>
      <c r="E20" s="638"/>
      <c r="F20" s="447">
        <v>610</v>
      </c>
      <c r="G20" s="484"/>
      <c r="H20" s="1239" t="s">
        <v>2130</v>
      </c>
      <c r="I20" s="1239" t="s">
        <v>623</v>
      </c>
      <c r="J20" s="446"/>
      <c r="K20" s="638"/>
      <c r="L20" s="638" t="s">
        <v>819</v>
      </c>
      <c r="M20" s="1239" t="s">
        <v>1542</v>
      </c>
      <c r="N20" s="1239" t="s">
        <v>140</v>
      </c>
      <c r="O20" s="1239" t="s">
        <v>144</v>
      </c>
      <c r="P20" s="1239"/>
      <c r="Q20" s="638">
        <v>20</v>
      </c>
      <c r="R20" s="702">
        <v>1369.11</v>
      </c>
      <c r="S20" s="1343"/>
      <c r="T20" s="638">
        <v>55</v>
      </c>
      <c r="U20" s="638">
        <v>30</v>
      </c>
      <c r="V20" s="638"/>
      <c r="W20" s="638">
        <v>1.4</v>
      </c>
      <c r="X20" s="638">
        <v>1.8</v>
      </c>
      <c r="Y20" s="638"/>
      <c r="Z20" s="638">
        <v>0.6</v>
      </c>
      <c r="AA20" s="638"/>
      <c r="AB20" s="638"/>
      <c r="AC20" s="638" t="s">
        <v>4090</v>
      </c>
      <c r="AD20" s="638"/>
      <c r="AE20" s="638"/>
      <c r="AF20" s="447">
        <v>4300</v>
      </c>
      <c r="AG20" s="446">
        <v>93767.12</v>
      </c>
      <c r="AH20" s="447">
        <v>2433</v>
      </c>
      <c r="AI20" s="447">
        <v>-1170</v>
      </c>
      <c r="AJ20" s="638"/>
      <c r="AK20" s="638"/>
      <c r="AL20" s="638" t="s">
        <v>2127</v>
      </c>
      <c r="AM20" s="638" t="s">
        <v>1043</v>
      </c>
      <c r="AN20" s="484">
        <v>5.5</v>
      </c>
      <c r="AO20" s="484"/>
      <c r="AP20" s="484"/>
      <c r="AQ20" s="484"/>
      <c r="AR20" s="484"/>
      <c r="AS20" s="484"/>
      <c r="AT20" s="484">
        <f>+ab($T$20,$T$18,$U$22,$G$19,$G$21, 1*$F$20,1200)</f>
        <v>2.0891242443240512</v>
      </c>
      <c r="AU20" s="484"/>
      <c r="AV20" s="484"/>
      <c r="AW20" s="638" t="s">
        <v>3302</v>
      </c>
      <c r="AX20" s="572"/>
      <c r="AY20" s="636"/>
      <c r="AZ20" s="484" t="s">
        <v>638</v>
      </c>
      <c r="BA20" s="671" t="s">
        <v>2809</v>
      </c>
      <c r="BB20" s="449" t="str">
        <f>Pole_Calculations!A178</f>
        <v>App.8-V08F-P10.3</v>
      </c>
      <c r="BD20" s="1329" t="s">
        <v>4946</v>
      </c>
      <c r="BE20" s="1329" t="s">
        <v>4946</v>
      </c>
      <c r="BF20" s="1329">
        <v>43810</v>
      </c>
      <c r="BG20" s="1329">
        <v>43814</v>
      </c>
    </row>
    <row r="21" spans="1:59" ht="12.5">
      <c r="A21" s="449"/>
      <c r="B21" s="445"/>
      <c r="C21" s="446"/>
      <c r="D21" s="446"/>
      <c r="E21" s="638"/>
      <c r="F21" s="447"/>
      <c r="G21" s="484">
        <v>35</v>
      </c>
      <c r="H21" s="1239"/>
      <c r="I21" s="1239">
        <v>283</v>
      </c>
      <c r="J21" s="446"/>
      <c r="K21" s="638"/>
      <c r="L21" s="638"/>
      <c r="M21" s="638"/>
      <c r="N21" s="1239"/>
      <c r="O21" s="1239"/>
      <c r="P21" s="1239"/>
      <c r="Q21" s="638"/>
      <c r="R21" s="447"/>
      <c r="S21" s="1343">
        <f>AG22-AG20</f>
        <v>37.139999999999418</v>
      </c>
      <c r="T21" s="638"/>
      <c r="U21" s="638"/>
      <c r="V21" s="638"/>
      <c r="W21" s="638"/>
      <c r="X21" s="638"/>
      <c r="Y21" s="638"/>
      <c r="Z21" s="638"/>
      <c r="AA21" s="638"/>
      <c r="AB21" s="638"/>
      <c r="AC21" s="638"/>
      <c r="AD21" s="638"/>
      <c r="AE21" s="638"/>
      <c r="AF21" s="447"/>
      <c r="AG21" s="446"/>
      <c r="AH21" s="447"/>
      <c r="AI21" s="447"/>
      <c r="AJ21" s="638"/>
      <c r="AK21" s="638"/>
      <c r="AL21" s="638"/>
      <c r="AM21" s="638"/>
      <c r="AN21" s="484"/>
      <c r="AO21" s="484"/>
      <c r="AP21" s="484"/>
      <c r="AQ21" s="484">
        <f>+FL_2($U$22,$U$20,$G$21,1200,9.28, 1*$F$22)</f>
        <v>-0.3</v>
      </c>
      <c r="AR21" s="484"/>
      <c r="AS21" s="484"/>
      <c r="AT21" s="484"/>
      <c r="AU21" s="484"/>
      <c r="AV21" s="484"/>
      <c r="AW21" s="638"/>
      <c r="AX21" s="572"/>
      <c r="AY21" s="636"/>
      <c r="AZ21" s="484"/>
      <c r="BA21" s="671"/>
      <c r="BB21" s="449"/>
      <c r="BD21" s="1330"/>
      <c r="BE21" s="1330"/>
      <c r="BF21" s="1330"/>
      <c r="BG21" s="1330"/>
    </row>
    <row r="22" spans="1:59" ht="12.5">
      <c r="A22" s="449"/>
      <c r="B22" s="435" t="s">
        <v>1936</v>
      </c>
      <c r="C22" s="446">
        <f>+$C$20+$G$21</f>
        <v>93804.35000000002</v>
      </c>
      <c r="D22" s="446"/>
      <c r="E22" s="638"/>
      <c r="F22" s="447">
        <v>0</v>
      </c>
      <c r="G22" s="484"/>
      <c r="H22" s="1239" t="s">
        <v>619</v>
      </c>
      <c r="I22" s="1239"/>
      <c r="J22" s="446"/>
      <c r="K22" s="638"/>
      <c r="L22" s="638" t="s">
        <v>819</v>
      </c>
      <c r="M22" s="1239" t="s">
        <v>3292</v>
      </c>
      <c r="N22" s="1239" t="s">
        <v>140</v>
      </c>
      <c r="O22" s="1239" t="s">
        <v>143</v>
      </c>
      <c r="P22" s="1239"/>
      <c r="Q22" s="638">
        <v>10</v>
      </c>
      <c r="R22" s="447">
        <v>0</v>
      </c>
      <c r="S22" s="484"/>
      <c r="T22" s="638">
        <v>-45</v>
      </c>
      <c r="U22" s="638">
        <v>-30</v>
      </c>
      <c r="V22" s="638"/>
      <c r="W22" s="638">
        <v>2.2999999999999998</v>
      </c>
      <c r="X22" s="638">
        <v>1.4</v>
      </c>
      <c r="Y22" s="638"/>
      <c r="Z22" s="638">
        <v>0.45</v>
      </c>
      <c r="AA22" s="638"/>
      <c r="AB22" s="638"/>
      <c r="AC22" s="638" t="s">
        <v>4115</v>
      </c>
      <c r="AD22" s="638"/>
      <c r="AE22" s="638"/>
      <c r="AF22" s="447">
        <v>4800</v>
      </c>
      <c r="AG22" s="446">
        <v>93804.26</v>
      </c>
      <c r="AH22" s="447">
        <v>2343</v>
      </c>
      <c r="AI22" s="447">
        <v>-570</v>
      </c>
      <c r="AJ22" s="638"/>
      <c r="AK22" s="638"/>
      <c r="AL22" s="638" t="s">
        <v>2127</v>
      </c>
      <c r="AM22" s="638" t="s">
        <v>1043</v>
      </c>
      <c r="AN22" s="484">
        <v>5.5</v>
      </c>
      <c r="AO22" s="484"/>
      <c r="AP22" s="484"/>
      <c r="AQ22" s="484"/>
      <c r="AR22" s="484"/>
      <c r="AS22" s="484"/>
      <c r="AT22" s="484">
        <f>+ab($U$22,$T$20,$U$24,$G$21,$G$23, 1*$F$22,1200)</f>
        <v>-4.9927154909145441</v>
      </c>
      <c r="AU22" s="484"/>
      <c r="AV22" s="484"/>
      <c r="AW22" s="638" t="s">
        <v>3293</v>
      </c>
      <c r="AX22" s="572"/>
      <c r="AY22" s="636"/>
      <c r="AZ22" s="484" t="s">
        <v>638</v>
      </c>
      <c r="BA22" s="671" t="s">
        <v>2809</v>
      </c>
      <c r="BB22" s="449" t="str">
        <f>Pole_Calculations!A178</f>
        <v>App.8-V08F-P10.3</v>
      </c>
      <c r="BD22" s="1329" t="s">
        <v>4946</v>
      </c>
      <c r="BE22" s="1329" t="s">
        <v>4946</v>
      </c>
      <c r="BF22" s="1329">
        <v>43810</v>
      </c>
      <c r="BG22" s="1329">
        <v>43814</v>
      </c>
    </row>
    <row r="23" spans="1:59" ht="12.5">
      <c r="A23" s="449"/>
      <c r="B23" s="445"/>
      <c r="C23" s="446"/>
      <c r="D23" s="446"/>
      <c r="E23" s="638"/>
      <c r="F23" s="447"/>
      <c r="G23" s="484">
        <v>42.7</v>
      </c>
      <c r="H23" s="1239"/>
      <c r="I23" s="1239"/>
      <c r="J23" s="446"/>
      <c r="K23" s="638"/>
      <c r="L23" s="638"/>
      <c r="M23" s="638"/>
      <c r="N23" s="1239"/>
      <c r="O23" s="1239"/>
      <c r="P23" s="1239"/>
      <c r="Q23" s="638"/>
      <c r="R23" s="447"/>
      <c r="S23" s="484">
        <f>AG24-AG22</f>
        <v>43.05000000000291</v>
      </c>
      <c r="T23" s="638"/>
      <c r="U23" s="638"/>
      <c r="V23" s="638"/>
      <c r="W23" s="638"/>
      <c r="X23" s="638"/>
      <c r="Y23" s="638"/>
      <c r="Z23" s="638"/>
      <c r="AA23" s="638"/>
      <c r="AB23" s="638"/>
      <c r="AC23" s="638"/>
      <c r="AD23" s="638"/>
      <c r="AE23" s="638"/>
      <c r="AF23" s="447"/>
      <c r="AG23" s="446"/>
      <c r="AH23" s="447"/>
      <c r="AI23" s="447"/>
      <c r="AJ23" s="638"/>
      <c r="AK23" s="638"/>
      <c r="AL23" s="638"/>
      <c r="AM23" s="638"/>
      <c r="AN23" s="484"/>
      <c r="AO23" s="484"/>
      <c r="AP23" s="484"/>
      <c r="AQ23" s="484">
        <f>+FL_2($U$24,$U$22,$G$23,1200,9.28, 1*$F$24)</f>
        <v>-0.30390995125058551</v>
      </c>
      <c r="AR23" s="484"/>
      <c r="AS23" s="484"/>
      <c r="AT23" s="484"/>
      <c r="AU23" s="484"/>
      <c r="AV23" s="484"/>
      <c r="AW23" s="638"/>
      <c r="AX23" s="572"/>
      <c r="AY23" s="636"/>
      <c r="AZ23" s="484"/>
      <c r="BA23" s="671"/>
      <c r="BB23" s="449"/>
      <c r="BD23" s="1330"/>
      <c r="BE23" s="1330"/>
      <c r="BF23" s="1330"/>
      <c r="BG23" s="1330"/>
    </row>
    <row r="24" spans="1:59" ht="12.5">
      <c r="A24" s="449"/>
      <c r="B24" s="567" t="s">
        <v>1937</v>
      </c>
      <c r="C24" s="446">
        <f>+$C$22+$G$23</f>
        <v>93847.050000000017</v>
      </c>
      <c r="D24" s="446"/>
      <c r="E24" s="638"/>
      <c r="F24" s="447">
        <v>0</v>
      </c>
      <c r="G24" s="484"/>
      <c r="H24" s="1239" t="s">
        <v>4956</v>
      </c>
      <c r="I24" s="1239"/>
      <c r="J24" s="446"/>
      <c r="K24" s="638"/>
      <c r="L24" s="638" t="s">
        <v>819</v>
      </c>
      <c r="M24" s="1239" t="s">
        <v>3292</v>
      </c>
      <c r="N24" s="1239" t="s">
        <v>143</v>
      </c>
      <c r="O24" s="1239" t="s">
        <v>144</v>
      </c>
      <c r="P24" s="1239"/>
      <c r="Q24" s="638">
        <v>0</v>
      </c>
      <c r="R24" s="447">
        <v>0</v>
      </c>
      <c r="S24" s="484"/>
      <c r="T24" s="638">
        <v>15</v>
      </c>
      <c r="U24" s="638">
        <v>30</v>
      </c>
      <c r="V24" s="638"/>
      <c r="W24" s="638">
        <v>2.2999999999999998</v>
      </c>
      <c r="X24" s="638">
        <v>1.4</v>
      </c>
      <c r="Y24" s="638"/>
      <c r="Z24" s="638"/>
      <c r="AA24" s="638"/>
      <c r="AB24" s="638"/>
      <c r="AC24" s="638" t="s">
        <v>4207</v>
      </c>
      <c r="AD24" s="638" t="s">
        <v>1427</v>
      </c>
      <c r="AE24" s="638"/>
      <c r="AF24" s="447">
        <v>5000</v>
      </c>
      <c r="AG24" s="446">
        <v>93847.31</v>
      </c>
      <c r="AH24" s="447">
        <v>2333</v>
      </c>
      <c r="AI24" s="447">
        <v>-450</v>
      </c>
      <c r="AJ24" s="638"/>
      <c r="AK24" s="638"/>
      <c r="AL24" s="638" t="s">
        <v>2127</v>
      </c>
      <c r="AM24" s="638" t="s">
        <v>1043</v>
      </c>
      <c r="AN24" s="484">
        <v>5.5</v>
      </c>
      <c r="AO24" s="484"/>
      <c r="AP24" s="484"/>
      <c r="AQ24" s="484"/>
      <c r="AR24" s="484"/>
      <c r="AS24" s="484"/>
      <c r="AT24" s="484">
        <f>+ab($U$24,$U$22,$T$26,$G$23,$G$25, 1*$F$24,1200)</f>
        <v>13.406187187822495</v>
      </c>
      <c r="AU24" s="484"/>
      <c r="AV24" s="484"/>
      <c r="AW24" s="638" t="s">
        <v>3293</v>
      </c>
      <c r="AX24" s="572"/>
      <c r="AY24" s="636"/>
      <c r="AZ24" s="484" t="s">
        <v>638</v>
      </c>
      <c r="BA24" s="671" t="s">
        <v>2809</v>
      </c>
      <c r="BB24" s="449" t="str">
        <f>Pole_Calculations!A178</f>
        <v>App.8-V08F-P10.3</v>
      </c>
      <c r="BD24" s="1329" t="s">
        <v>4946</v>
      </c>
      <c r="BE24" s="1329">
        <v>43805</v>
      </c>
      <c r="BF24" s="1329">
        <v>43810</v>
      </c>
      <c r="BG24" s="1329">
        <v>43814</v>
      </c>
    </row>
    <row r="25" spans="1:59" ht="12.5">
      <c r="A25" s="449" t="s">
        <v>1852</v>
      </c>
      <c r="B25" s="445"/>
      <c r="C25" s="446"/>
      <c r="D25" s="446"/>
      <c r="E25" s="638"/>
      <c r="F25" s="447"/>
      <c r="G25" s="484">
        <v>43</v>
      </c>
      <c r="H25" s="1239"/>
      <c r="I25" s="1239"/>
      <c r="J25" s="446"/>
      <c r="K25" s="638"/>
      <c r="L25" s="638"/>
      <c r="M25" s="638"/>
      <c r="N25" s="1239"/>
      <c r="O25" s="1239"/>
      <c r="P25" s="1239"/>
      <c r="Q25" s="638"/>
      <c r="R25" s="447"/>
      <c r="S25" s="484">
        <f>AG26-AG24</f>
        <v>42.880000000004657</v>
      </c>
      <c r="T25" s="638"/>
      <c r="U25" s="638"/>
      <c r="V25" s="638"/>
      <c r="W25" s="638"/>
      <c r="X25" s="638"/>
      <c r="Y25" s="638"/>
      <c r="Z25" s="638"/>
      <c r="AA25" s="638"/>
      <c r="AB25" s="638"/>
      <c r="AC25" s="638"/>
      <c r="AD25" s="638"/>
      <c r="AE25" s="638"/>
      <c r="AF25" s="447"/>
      <c r="AG25" s="446"/>
      <c r="AH25" s="447"/>
      <c r="AI25" s="447"/>
      <c r="AJ25" s="638" t="s">
        <v>864</v>
      </c>
      <c r="AK25" s="638"/>
      <c r="AL25" s="638"/>
      <c r="AM25" s="638"/>
      <c r="AN25" s="484"/>
      <c r="AO25" s="484"/>
      <c r="AP25" s="484"/>
      <c r="AQ25" s="484">
        <f>+FL_1($T$26,$U$24,$G$25,1200,9.28, 1*$F$26)</f>
        <v>0.47873666666666664</v>
      </c>
      <c r="AR25" s="484"/>
      <c r="AS25" s="484"/>
      <c r="AT25" s="484"/>
      <c r="AU25" s="484"/>
      <c r="AV25" s="484"/>
      <c r="AW25" s="638"/>
      <c r="AX25" s="572"/>
      <c r="AY25" s="636"/>
      <c r="AZ25" s="484"/>
      <c r="BA25" s="671"/>
      <c r="BB25" s="449"/>
      <c r="BD25" s="1330"/>
      <c r="BE25" s="1330"/>
      <c r="BF25" s="1330"/>
      <c r="BG25" s="1330"/>
    </row>
    <row r="26" spans="1:59" ht="12.5">
      <c r="A26" s="449"/>
      <c r="B26" s="435" t="s">
        <v>1938</v>
      </c>
      <c r="C26" s="446">
        <f>+$C$24+$G$25</f>
        <v>93890.050000000017</v>
      </c>
      <c r="D26" s="446"/>
      <c r="E26" s="638"/>
      <c r="F26" s="447">
        <v>0</v>
      </c>
      <c r="G26" s="484"/>
      <c r="H26" s="1239" t="s">
        <v>2506</v>
      </c>
      <c r="I26" s="1239"/>
      <c r="J26" s="446"/>
      <c r="K26" s="638"/>
      <c r="L26" s="638" t="s">
        <v>819</v>
      </c>
      <c r="M26" s="638" t="s">
        <v>3292</v>
      </c>
      <c r="N26" s="1239" t="s">
        <v>144</v>
      </c>
      <c r="O26" s="1239" t="s">
        <v>2789</v>
      </c>
      <c r="P26" s="1239"/>
      <c r="Q26" s="638">
        <v>0</v>
      </c>
      <c r="R26" s="447">
        <v>0</v>
      </c>
      <c r="S26" s="484"/>
      <c r="T26" s="638">
        <v>30</v>
      </c>
      <c r="U26" s="638">
        <v>15</v>
      </c>
      <c r="V26" s="638"/>
      <c r="W26" s="638">
        <v>1.4</v>
      </c>
      <c r="X26" s="638">
        <v>2.2999999999999998</v>
      </c>
      <c r="Y26" s="638"/>
      <c r="Z26" s="638"/>
      <c r="AA26" s="638"/>
      <c r="AB26" s="638"/>
      <c r="AC26" s="638" t="s">
        <v>1427</v>
      </c>
      <c r="AD26" s="638" t="s">
        <v>4207</v>
      </c>
      <c r="AE26" s="638"/>
      <c r="AF26" s="447">
        <v>4600</v>
      </c>
      <c r="AG26" s="446">
        <v>93890.19</v>
      </c>
      <c r="AH26" s="447">
        <v>1973</v>
      </c>
      <c r="AI26" s="447">
        <v>-580</v>
      </c>
      <c r="AJ26" s="638"/>
      <c r="AK26" s="638"/>
      <c r="AL26" s="638" t="s">
        <v>2127</v>
      </c>
      <c r="AM26" s="638" t="s">
        <v>1043</v>
      </c>
      <c r="AN26" s="484">
        <v>5.5</v>
      </c>
      <c r="AO26" s="484"/>
      <c r="AP26" s="484"/>
      <c r="AQ26" s="484"/>
      <c r="AR26" s="484"/>
      <c r="AS26" s="484"/>
      <c r="AT26" s="484">
        <f>+ab($T$26,$U$24,$T$28,$G$25,$G$27, 1*$F$26,1200)</f>
        <v>11.116072003123813</v>
      </c>
      <c r="AU26" s="484"/>
      <c r="AV26" s="484"/>
      <c r="AW26" s="644" t="s">
        <v>4876</v>
      </c>
      <c r="AX26" s="572"/>
      <c r="AY26" s="689"/>
      <c r="AZ26" s="484" t="s">
        <v>638</v>
      </c>
      <c r="BA26" s="671" t="s">
        <v>2809</v>
      </c>
      <c r="BB26" s="449" t="str">
        <f>Pole_Calculations!A178</f>
        <v>App.8-V08F-P10.3</v>
      </c>
      <c r="BD26" s="1329">
        <v>43844</v>
      </c>
      <c r="BE26" s="1329">
        <v>43852</v>
      </c>
      <c r="BF26" s="1329">
        <v>43848</v>
      </c>
      <c r="BG26" s="1329">
        <v>43870</v>
      </c>
    </row>
    <row r="27" spans="1:59" ht="12.5">
      <c r="A27" s="449"/>
      <c r="B27" s="445"/>
      <c r="C27" s="446"/>
      <c r="D27" s="446"/>
      <c r="E27" s="638"/>
      <c r="F27" s="447"/>
      <c r="G27" s="484">
        <v>35.200000000000003</v>
      </c>
      <c r="H27" s="1239"/>
      <c r="I27" s="448"/>
      <c r="J27" s="446">
        <f>C28-7.5</f>
        <v>93917.750000000015</v>
      </c>
      <c r="K27" s="638" t="s">
        <v>1685</v>
      </c>
      <c r="L27" s="638"/>
      <c r="M27" s="638"/>
      <c r="N27" s="1239"/>
      <c r="O27" s="1239"/>
      <c r="P27" s="1239"/>
      <c r="Q27" s="638"/>
      <c r="R27" s="447"/>
      <c r="S27" s="484">
        <f>AG28-AG26</f>
        <v>35.190000000002328</v>
      </c>
      <c r="T27" s="638"/>
      <c r="U27" s="638"/>
      <c r="V27" s="638"/>
      <c r="W27" s="638"/>
      <c r="X27" s="638"/>
      <c r="Y27" s="638"/>
      <c r="Z27" s="638"/>
      <c r="AA27" s="638"/>
      <c r="AB27" s="638"/>
      <c r="AC27" s="638"/>
      <c r="AD27" s="638"/>
      <c r="AE27" s="638"/>
      <c r="AF27" s="447"/>
      <c r="AG27" s="446"/>
      <c r="AH27" s="447"/>
      <c r="AI27" s="447"/>
      <c r="AJ27" s="638"/>
      <c r="AK27" s="638"/>
      <c r="AL27" s="638"/>
      <c r="AM27" s="638"/>
      <c r="AN27" s="484"/>
      <c r="AO27" s="484"/>
      <c r="AP27" s="484"/>
      <c r="AQ27" s="484">
        <f>+FL_1($T$146,$T$144,$G$145,1200,9.28, 1*$F$146)</f>
        <v>0.3</v>
      </c>
      <c r="AR27" s="484"/>
      <c r="AS27" s="484"/>
      <c r="AT27" s="484"/>
      <c r="AU27" s="484"/>
      <c r="AV27" s="484"/>
      <c r="AW27" s="638"/>
      <c r="AX27" s="572"/>
      <c r="AY27" s="484"/>
      <c r="AZ27" s="689" t="str">
        <f>IF(AX27="PT",VLOOKUP(K27,'Foundation Calculation'!$L$2:$R$41,VLOOKUP(AW27,'Foundation Calculation'!$I$2:$J$8,2,FALSE),0),IF(AX27="K",VLOOKUP(K27,'Foundation Calculation'!$L$41:$R$79,VLOOKUP(AW27,'Foundation Calculation'!$I$2:$J$8,2,FALSE),0),""))</f>
        <v/>
      </c>
      <c r="BA27" s="671"/>
      <c r="BB27" s="449"/>
      <c r="BD27" s="1330"/>
      <c r="BE27" s="1330"/>
      <c r="BF27" s="1330"/>
      <c r="BG27" s="1330"/>
    </row>
    <row r="28" spans="1:59" ht="12.5">
      <c r="A28" s="449"/>
      <c r="B28" s="435" t="s">
        <v>1939</v>
      </c>
      <c r="C28" s="446">
        <f>+$C$26+$G$27</f>
        <v>93925.250000000015</v>
      </c>
      <c r="D28" s="173"/>
      <c r="E28" s="447"/>
      <c r="F28" s="447">
        <v>0</v>
      </c>
      <c r="G28" s="484"/>
      <c r="H28" s="1239" t="s">
        <v>2132</v>
      </c>
      <c r="I28" s="1239"/>
      <c r="J28" s="171"/>
      <c r="K28" s="638"/>
      <c r="L28" s="638" t="s">
        <v>819</v>
      </c>
      <c r="M28" s="638" t="s">
        <v>3292</v>
      </c>
      <c r="N28" s="1239" t="s">
        <v>143</v>
      </c>
      <c r="O28" s="1239" t="s">
        <v>140</v>
      </c>
      <c r="P28" s="1239"/>
      <c r="Q28" s="638">
        <v>0</v>
      </c>
      <c r="R28" s="638">
        <v>0</v>
      </c>
      <c r="S28" s="484"/>
      <c r="T28" s="638">
        <v>-30</v>
      </c>
      <c r="U28" s="638">
        <v>-45</v>
      </c>
      <c r="V28" s="638"/>
      <c r="W28" s="638">
        <v>1.4</v>
      </c>
      <c r="X28" s="638">
        <v>2.2999999999999998</v>
      </c>
      <c r="Y28" s="638"/>
      <c r="Z28" s="638"/>
      <c r="AA28" s="638">
        <v>0.45</v>
      </c>
      <c r="AB28" s="638"/>
      <c r="AC28" s="638" t="s">
        <v>4090</v>
      </c>
      <c r="AD28" s="638"/>
      <c r="AE28" s="638"/>
      <c r="AF28" s="638">
        <v>5100</v>
      </c>
      <c r="AG28" s="446">
        <v>93925.38</v>
      </c>
      <c r="AH28" s="638">
        <v>1923</v>
      </c>
      <c r="AI28" s="638">
        <v>-360</v>
      </c>
      <c r="AJ28" s="638"/>
      <c r="AK28" s="638"/>
      <c r="AL28" s="638" t="s">
        <v>2127</v>
      </c>
      <c r="AM28" s="638" t="s">
        <v>1043</v>
      </c>
      <c r="AN28" s="455">
        <v>5.5</v>
      </c>
      <c r="AO28" s="1239"/>
      <c r="AP28" s="1239"/>
      <c r="AQ28" s="484"/>
      <c r="AR28" s="484"/>
      <c r="AS28" s="484"/>
      <c r="AT28" s="484">
        <f>+ab($T$28,$T$26,$T$30,$G$27,$G$29, 1*$F$28,1200)</f>
        <v>-5.6501661422107885</v>
      </c>
      <c r="AU28" s="638"/>
      <c r="AV28" s="638"/>
      <c r="AW28" s="638" t="s">
        <v>4876</v>
      </c>
      <c r="AX28" s="638"/>
      <c r="AY28" s="484"/>
      <c r="AZ28" s="484" t="s">
        <v>638</v>
      </c>
      <c r="BA28" s="671" t="s">
        <v>2809</v>
      </c>
      <c r="BB28" s="449" t="str">
        <f>Pole_Calculations!A178</f>
        <v>App.8-V08F-P10.3</v>
      </c>
      <c r="BD28" s="1329">
        <v>43844</v>
      </c>
      <c r="BE28" s="1329">
        <v>43852</v>
      </c>
      <c r="BF28" s="1329">
        <v>43848</v>
      </c>
      <c r="BG28" s="1329">
        <v>43870</v>
      </c>
    </row>
    <row r="29" spans="1:59" ht="12.5">
      <c r="A29" s="449"/>
      <c r="B29" s="445"/>
      <c r="C29" s="446"/>
      <c r="D29" s="446"/>
      <c r="E29" s="638"/>
      <c r="F29" s="447"/>
      <c r="G29" s="484">
        <v>35.700000000000003</v>
      </c>
      <c r="H29" s="1239"/>
      <c r="I29" s="448"/>
      <c r="J29" s="446">
        <f>C30-7.5</f>
        <v>93953.450000000012</v>
      </c>
      <c r="K29" s="638" t="s">
        <v>1685</v>
      </c>
      <c r="L29" s="638"/>
      <c r="M29" s="638"/>
      <c r="N29" s="1239"/>
      <c r="O29" s="1239"/>
      <c r="P29" s="1239"/>
      <c r="Q29" s="638"/>
      <c r="R29" s="447"/>
      <c r="S29" s="484">
        <f>AG30-AG28</f>
        <v>35.929999999993015</v>
      </c>
      <c r="T29" s="638"/>
      <c r="U29" s="638"/>
      <c r="V29" s="638"/>
      <c r="W29" s="638"/>
      <c r="X29" s="638"/>
      <c r="Y29" s="638"/>
      <c r="Z29" s="638"/>
      <c r="AA29" s="638"/>
      <c r="AB29" s="638"/>
      <c r="AC29" s="638"/>
      <c r="AD29" s="638"/>
      <c r="AE29" s="638"/>
      <c r="AF29" s="447"/>
      <c r="AG29" s="446"/>
      <c r="AH29" s="447"/>
      <c r="AI29" s="447"/>
      <c r="AJ29" s="638"/>
      <c r="AK29" s="638"/>
      <c r="AL29" s="638"/>
      <c r="AM29" s="638"/>
      <c r="AN29" s="484"/>
      <c r="AO29" s="484"/>
      <c r="AP29" s="484"/>
      <c r="AQ29" s="484">
        <f>+FL_1($T$146,$T$144,$G$145,1200,9.28, 1*$F$146)</f>
        <v>0.3</v>
      </c>
      <c r="AR29" s="484"/>
      <c r="AS29" s="484"/>
      <c r="AT29" s="484"/>
      <c r="AU29" s="484"/>
      <c r="AV29" s="484"/>
      <c r="AW29" s="638"/>
      <c r="AX29" s="572"/>
      <c r="AY29" s="484"/>
      <c r="AZ29" s="689" t="str">
        <f>IF(AX29="PT",VLOOKUP(K29,'Foundation Calculation'!$L$2:$R$41,VLOOKUP(AW29,'Foundation Calculation'!$I$2:$J$8,2,FALSE),0),IF(AX29="K",VLOOKUP(K29,'Foundation Calculation'!$L$41:$R$79,VLOOKUP(AW29,'Foundation Calculation'!$I$2:$J$8,2,FALSE),0),""))</f>
        <v/>
      </c>
      <c r="BA29" s="671"/>
      <c r="BB29" s="449"/>
      <c r="BD29" s="1330"/>
      <c r="BE29" s="1330"/>
      <c r="BF29" s="1330"/>
      <c r="BG29" s="1330"/>
    </row>
    <row r="30" spans="1:59" ht="12.5">
      <c r="A30" s="449"/>
      <c r="B30" s="435" t="s">
        <v>1940</v>
      </c>
      <c r="C30" s="446">
        <f>+$C$28+$G$29</f>
        <v>93960.950000000012</v>
      </c>
      <c r="D30" s="173"/>
      <c r="E30" s="447"/>
      <c r="F30" s="447">
        <v>0</v>
      </c>
      <c r="G30" s="484"/>
      <c r="H30" s="1239" t="s">
        <v>2132</v>
      </c>
      <c r="I30" s="1239">
        <v>278</v>
      </c>
      <c r="J30" s="171"/>
      <c r="K30" s="638"/>
      <c r="L30" s="638" t="s">
        <v>819</v>
      </c>
      <c r="M30" s="638" t="s">
        <v>3292</v>
      </c>
      <c r="N30" s="1239" t="s">
        <v>144</v>
      </c>
      <c r="O30" s="1239" t="s">
        <v>140</v>
      </c>
      <c r="P30" s="1239"/>
      <c r="Q30" s="638">
        <v>0</v>
      </c>
      <c r="R30" s="638">
        <v>0</v>
      </c>
      <c r="S30" s="484"/>
      <c r="T30" s="638">
        <v>30</v>
      </c>
      <c r="U30" s="638">
        <v>15</v>
      </c>
      <c r="V30" s="638"/>
      <c r="W30" s="638">
        <v>1.4</v>
      </c>
      <c r="X30" s="638">
        <v>2</v>
      </c>
      <c r="Y30" s="638"/>
      <c r="Z30" s="638"/>
      <c r="AA30" s="638">
        <v>0.6</v>
      </c>
      <c r="AB30" s="638"/>
      <c r="AC30" s="638" t="s">
        <v>4090</v>
      </c>
      <c r="AD30" s="638"/>
      <c r="AE30" s="638"/>
      <c r="AF30" s="638">
        <v>5100</v>
      </c>
      <c r="AG30" s="446">
        <v>93961.31</v>
      </c>
      <c r="AH30" s="638">
        <v>1923</v>
      </c>
      <c r="AI30" s="638">
        <v>-280</v>
      </c>
      <c r="AJ30" s="638"/>
      <c r="AK30" s="638"/>
      <c r="AL30" s="638" t="s">
        <v>2127</v>
      </c>
      <c r="AM30" s="638" t="s">
        <v>1043</v>
      </c>
      <c r="AN30" s="455">
        <v>5.5</v>
      </c>
      <c r="AO30" s="1239"/>
      <c r="AP30" s="1239"/>
      <c r="AQ30" s="484"/>
      <c r="AR30" s="484"/>
      <c r="AS30" s="484"/>
      <c r="AT30" s="484">
        <f>+ab($T$30,$T$28,$T$32,$G$29,$G$31, 1*$F$30,1200)</f>
        <v>6.2653574715233695</v>
      </c>
      <c r="AU30" s="638"/>
      <c r="AV30" s="638"/>
      <c r="AW30" s="638" t="s">
        <v>4876</v>
      </c>
      <c r="AX30" s="638"/>
      <c r="AY30" s="484"/>
      <c r="AZ30" s="484" t="s">
        <v>638</v>
      </c>
      <c r="BA30" s="671" t="s">
        <v>2809</v>
      </c>
      <c r="BB30" s="449" t="str">
        <f>Pole_Calculations!A178</f>
        <v>App.8-V08F-P10.3</v>
      </c>
      <c r="BD30" s="1329">
        <v>43846</v>
      </c>
      <c r="BE30" s="1329">
        <v>43853</v>
      </c>
      <c r="BF30" s="1329" t="s">
        <v>4946</v>
      </c>
      <c r="BG30" s="1329">
        <v>43870</v>
      </c>
    </row>
    <row r="31" spans="1:59" ht="12.5">
      <c r="A31" s="449"/>
      <c r="B31" s="445"/>
      <c r="C31" s="446"/>
      <c r="D31" s="446"/>
      <c r="E31" s="638"/>
      <c r="F31" s="447"/>
      <c r="G31" s="484">
        <v>43.8</v>
      </c>
      <c r="H31" s="1239"/>
      <c r="I31" s="448">
        <f>SUM(G11:G31)</f>
        <v>441.29999999999995</v>
      </c>
      <c r="J31" s="446"/>
      <c r="K31" s="638"/>
      <c r="L31" s="638"/>
      <c r="M31" s="638"/>
      <c r="N31" s="1239"/>
      <c r="O31" s="1239"/>
      <c r="P31" s="1239"/>
      <c r="Q31" s="638"/>
      <c r="R31" s="447"/>
      <c r="S31" s="484">
        <f>AG32-AG30</f>
        <v>44.850000000005821</v>
      </c>
      <c r="T31" s="638"/>
      <c r="U31" s="638"/>
      <c r="V31" s="638"/>
      <c r="W31" s="638"/>
      <c r="X31" s="638"/>
      <c r="Y31" s="638"/>
      <c r="Z31" s="638"/>
      <c r="AA31" s="638"/>
      <c r="AB31" s="638"/>
      <c r="AC31" s="638"/>
      <c r="AD31" s="638"/>
      <c r="AE31" s="638"/>
      <c r="AF31" s="447"/>
      <c r="AG31" s="446"/>
      <c r="AH31" s="447"/>
      <c r="AI31" s="447"/>
      <c r="AJ31" s="638"/>
      <c r="AK31" s="638"/>
      <c r="AL31" s="638"/>
      <c r="AM31" s="638"/>
      <c r="AN31" s="484"/>
      <c r="AO31" s="484"/>
      <c r="AP31" s="484"/>
      <c r="AQ31" s="484">
        <f>+FL_1($T$32,$T$30,$G$31,1200,9.28, 1*$F$32)</f>
        <v>0.30677622105936075</v>
      </c>
      <c r="AR31" s="484"/>
      <c r="AS31" s="484"/>
      <c r="AT31" s="484"/>
      <c r="AU31" s="484"/>
      <c r="AV31" s="484"/>
      <c r="AW31" s="638"/>
      <c r="AX31" s="572"/>
      <c r="AY31" s="689"/>
      <c r="AZ31" s="484"/>
      <c r="BA31" s="671"/>
      <c r="BB31" s="449"/>
      <c r="BD31" s="1330"/>
      <c r="BE31" s="1330"/>
      <c r="BF31" s="1330"/>
      <c r="BG31" s="1330"/>
    </row>
    <row r="32" spans="1:59" ht="12.5">
      <c r="A32" s="449"/>
      <c r="B32" s="435" t="s">
        <v>1857</v>
      </c>
      <c r="C32" s="446">
        <f>+$C$30+$G$31</f>
        <v>94004.750000000015</v>
      </c>
      <c r="D32" s="173"/>
      <c r="E32" s="447"/>
      <c r="F32" s="447">
        <v>0</v>
      </c>
      <c r="G32" s="484"/>
      <c r="H32" s="1239" t="s">
        <v>4094</v>
      </c>
      <c r="I32" s="1239" t="s">
        <v>624</v>
      </c>
      <c r="J32" s="171"/>
      <c r="K32" s="638"/>
      <c r="L32" s="638" t="s">
        <v>819</v>
      </c>
      <c r="M32" s="638" t="s">
        <v>2811</v>
      </c>
      <c r="N32" s="1239" t="s">
        <v>143</v>
      </c>
      <c r="O32" s="1239" t="s">
        <v>140</v>
      </c>
      <c r="P32" s="1239"/>
      <c r="Q32" s="638">
        <v>30</v>
      </c>
      <c r="R32" s="638">
        <v>40444.800000000003</v>
      </c>
      <c r="S32" s="484"/>
      <c r="T32" s="638">
        <v>-30</v>
      </c>
      <c r="U32" s="638">
        <v>55</v>
      </c>
      <c r="V32" s="638"/>
      <c r="W32" s="638">
        <v>1.4</v>
      </c>
      <c r="X32" s="638">
        <v>1</v>
      </c>
      <c r="Y32" s="638"/>
      <c r="Z32" s="638"/>
      <c r="AA32" s="638">
        <v>0.5</v>
      </c>
      <c r="AB32" s="638"/>
      <c r="AC32" s="638" t="s">
        <v>1417</v>
      </c>
      <c r="AD32" s="638"/>
      <c r="AE32" s="638"/>
      <c r="AF32" s="638">
        <v>4900</v>
      </c>
      <c r="AG32" s="446">
        <v>94006.16</v>
      </c>
      <c r="AH32" s="638">
        <v>2063</v>
      </c>
      <c r="AI32" s="638">
        <v>-140</v>
      </c>
      <c r="AJ32" s="638"/>
      <c r="AK32" s="638"/>
      <c r="AL32" s="638" t="s">
        <v>2127</v>
      </c>
      <c r="AM32" s="638" t="s">
        <v>1043</v>
      </c>
      <c r="AN32" s="455">
        <v>5.5</v>
      </c>
      <c r="AO32" s="1239"/>
      <c r="AP32" s="1239"/>
      <c r="AQ32" s="484"/>
      <c r="AR32" s="484"/>
      <c r="AS32" s="484"/>
      <c r="AT32" s="484">
        <f>+ab($T$32,$T$30,$T$34,$G$31,$G$33, 1*$F$32,1200)</f>
        <v>-13.738701447971595</v>
      </c>
      <c r="AU32" s="638"/>
      <c r="AV32" s="638"/>
      <c r="AW32" s="638" t="s">
        <v>4874</v>
      </c>
      <c r="AX32" s="638"/>
      <c r="AY32" s="484"/>
      <c r="AZ32" s="484" t="s">
        <v>638</v>
      </c>
      <c r="BA32" s="671" t="s">
        <v>2809</v>
      </c>
      <c r="BB32" s="449" t="str">
        <f>Pole_Calculations!A178</f>
        <v>App.8-V08F-P10.3</v>
      </c>
      <c r="BD32" s="1329">
        <v>43818</v>
      </c>
      <c r="BE32" s="1329">
        <v>43853</v>
      </c>
      <c r="BF32" s="1329">
        <v>43850</v>
      </c>
      <c r="BG32" s="1329">
        <v>43870</v>
      </c>
    </row>
    <row r="33" spans="1:59" ht="12.5">
      <c r="A33" s="488" t="s">
        <v>1851</v>
      </c>
      <c r="B33" s="711"/>
      <c r="C33" s="489"/>
      <c r="D33" s="639"/>
      <c r="E33" s="491"/>
      <c r="F33" s="491"/>
      <c r="G33" s="493">
        <v>54.4</v>
      </c>
      <c r="H33" s="495"/>
      <c r="I33" s="495">
        <f>SUM(G33:G51)</f>
        <v>380.5</v>
      </c>
      <c r="J33" s="431">
        <f>C32+7.5</f>
        <v>94012.250000000015</v>
      </c>
      <c r="K33" s="490" t="s">
        <v>1684</v>
      </c>
      <c r="L33" s="490"/>
      <c r="M33" s="490"/>
      <c r="N33" s="495"/>
      <c r="O33" s="495"/>
      <c r="P33" s="495"/>
      <c r="Q33" s="490"/>
      <c r="R33" s="490"/>
      <c r="S33" s="493">
        <f>AG34-AG32</f>
        <v>52.839999999996508</v>
      </c>
      <c r="T33" s="490"/>
      <c r="U33" s="490"/>
      <c r="V33" s="490"/>
      <c r="W33" s="490"/>
      <c r="X33" s="490"/>
      <c r="Y33" s="490"/>
      <c r="Z33" s="490"/>
      <c r="AA33" s="490"/>
      <c r="AB33" s="490"/>
      <c r="AC33" s="490"/>
      <c r="AD33" s="490"/>
      <c r="AE33" s="490"/>
      <c r="AF33" s="490"/>
      <c r="AG33" s="489"/>
      <c r="AH33" s="490"/>
      <c r="AI33" s="490"/>
      <c r="AJ33" s="490"/>
      <c r="AK33" s="490"/>
      <c r="AL33" s="490"/>
      <c r="AM33" s="490"/>
      <c r="AN33" s="457"/>
      <c r="AO33" s="495"/>
      <c r="AP33" s="495"/>
      <c r="AQ33" s="493">
        <f>+FL_2($T$54,$T$52,$G$53,1200,9.28, 1*$F$54)</f>
        <v>-0.30019668847991182</v>
      </c>
      <c r="AR33" s="493"/>
      <c r="AS33" s="493"/>
      <c r="AT33" s="493"/>
      <c r="AU33" s="490"/>
      <c r="AV33" s="490"/>
      <c r="AW33" s="490" t="s">
        <v>4900</v>
      </c>
      <c r="AX33" s="490"/>
      <c r="AY33" s="493"/>
      <c r="AZ33" s="493"/>
      <c r="BA33" s="602" t="s">
        <v>2809</v>
      </c>
      <c r="BB33" s="488"/>
      <c r="BD33" s="1329" t="s">
        <v>4946</v>
      </c>
      <c r="BE33" s="1330"/>
      <c r="BF33" s="1330"/>
      <c r="BG33" s="1330"/>
    </row>
    <row r="34" spans="1:59" ht="12.5">
      <c r="A34" s="449"/>
      <c r="B34" s="435" t="s">
        <v>1858</v>
      </c>
      <c r="C34" s="446">
        <f>+$C$32+$G$33</f>
        <v>94059.150000000009</v>
      </c>
      <c r="D34" s="173"/>
      <c r="E34" s="447"/>
      <c r="F34" s="447">
        <v>-760</v>
      </c>
      <c r="G34" s="484"/>
      <c r="H34" s="1239" t="s">
        <v>4095</v>
      </c>
      <c r="I34" s="1239" t="s">
        <v>624</v>
      </c>
      <c r="J34" s="171">
        <f>C34+7.5</f>
        <v>94066.650000000009</v>
      </c>
      <c r="K34" s="638" t="s">
        <v>1685</v>
      </c>
      <c r="L34" s="638" t="s">
        <v>819</v>
      </c>
      <c r="M34" s="638" t="s">
        <v>2811</v>
      </c>
      <c r="N34" s="1239" t="s">
        <v>2789</v>
      </c>
      <c r="O34" s="1239"/>
      <c r="P34" s="1239"/>
      <c r="Q34" s="638">
        <v>40</v>
      </c>
      <c r="R34" s="638">
        <v>-760</v>
      </c>
      <c r="S34" s="484"/>
      <c r="T34" s="638">
        <v>-30</v>
      </c>
      <c r="U34" s="638"/>
      <c r="V34" s="638"/>
      <c r="W34" s="638">
        <v>1.2</v>
      </c>
      <c r="X34" s="638"/>
      <c r="Y34" s="638"/>
      <c r="Z34" s="638"/>
      <c r="AA34" s="638"/>
      <c r="AB34" s="638"/>
      <c r="AC34" s="638" t="s">
        <v>3050</v>
      </c>
      <c r="AD34" s="638"/>
      <c r="AE34" s="638"/>
      <c r="AF34" s="638">
        <v>4700</v>
      </c>
      <c r="AG34" s="446">
        <v>94059</v>
      </c>
      <c r="AH34" s="638">
        <v>2293</v>
      </c>
      <c r="AI34" s="638">
        <v>-200</v>
      </c>
      <c r="AJ34" s="638"/>
      <c r="AK34" s="638"/>
      <c r="AL34" s="638" t="s">
        <v>2127</v>
      </c>
      <c r="AM34" s="638" t="s">
        <v>1043</v>
      </c>
      <c r="AN34" s="455">
        <v>5.43</v>
      </c>
      <c r="AO34" s="1239"/>
      <c r="AP34" s="1239"/>
      <c r="AQ34" s="484"/>
      <c r="AR34" s="484"/>
      <c r="AS34" s="484"/>
      <c r="AT34" s="484">
        <f>+ab($T$34,$T$32,$T$36,$G$33,$G$35, 1*$F$34,1200)</f>
        <v>-3.0481341813667622</v>
      </c>
      <c r="AU34" s="638"/>
      <c r="AV34" s="638"/>
      <c r="AW34" s="638" t="s">
        <v>4874</v>
      </c>
      <c r="AX34" s="638"/>
      <c r="AY34" s="484"/>
      <c r="AZ34" s="484" t="s">
        <v>638</v>
      </c>
      <c r="BA34" s="671" t="s">
        <v>2809</v>
      </c>
      <c r="BB34" s="449" t="str">
        <f>Pole_Calculations!A178</f>
        <v>App.8-V08F-P10.3</v>
      </c>
      <c r="BD34" s="1329">
        <v>43818</v>
      </c>
      <c r="BE34" s="1329">
        <v>43850</v>
      </c>
      <c r="BF34" s="1329">
        <v>43850</v>
      </c>
      <c r="BG34" s="1329">
        <v>43870</v>
      </c>
    </row>
    <row r="35" spans="1:59" ht="12.5">
      <c r="A35" s="449"/>
      <c r="B35" s="445"/>
      <c r="C35" s="446"/>
      <c r="D35" s="446"/>
      <c r="E35" s="638"/>
      <c r="F35" s="447"/>
      <c r="G35" s="484">
        <v>41.2</v>
      </c>
      <c r="H35" s="1239"/>
      <c r="I35" s="448">
        <v>283</v>
      </c>
      <c r="J35" s="446">
        <f>C34+9.5</f>
        <v>94068.650000000009</v>
      </c>
      <c r="K35" s="638" t="s">
        <v>1684</v>
      </c>
      <c r="L35" s="638"/>
      <c r="M35" s="638"/>
      <c r="N35" s="1239"/>
      <c r="O35" s="1239"/>
      <c r="P35" s="1239"/>
      <c r="Q35" s="638"/>
      <c r="R35" s="447"/>
      <c r="S35" s="484">
        <f>AG36-AG34</f>
        <v>40.770000000004075</v>
      </c>
      <c r="T35" s="638"/>
      <c r="U35" s="638"/>
      <c r="V35" s="638"/>
      <c r="W35" s="638"/>
      <c r="X35" s="638"/>
      <c r="Y35" s="638"/>
      <c r="Z35" s="638"/>
      <c r="AA35" s="638"/>
      <c r="AB35" s="638"/>
      <c r="AC35" s="638"/>
      <c r="AD35" s="638"/>
      <c r="AE35" s="638"/>
      <c r="AF35" s="447"/>
      <c r="AG35" s="446"/>
      <c r="AH35" s="447"/>
      <c r="AI35" s="447"/>
      <c r="AJ35" s="638"/>
      <c r="AK35" s="638"/>
      <c r="AL35" s="638"/>
      <c r="AM35" s="638"/>
      <c r="AN35" s="484"/>
      <c r="AO35" s="484"/>
      <c r="AP35" s="484"/>
      <c r="AQ35" s="484">
        <f>+FL_1($T$146,$T$144,$G$145,1200,9.28, 1*$F$146)</f>
        <v>0.3</v>
      </c>
      <c r="AR35" s="484"/>
      <c r="AS35" s="484"/>
      <c r="AT35" s="484"/>
      <c r="AU35" s="484"/>
      <c r="AV35" s="484"/>
      <c r="AW35" s="638" t="s">
        <v>4901</v>
      </c>
      <c r="AX35" s="572"/>
      <c r="AY35" s="484"/>
      <c r="AZ35" s="689"/>
      <c r="BA35" s="671" t="s">
        <v>2809</v>
      </c>
      <c r="BB35" s="449"/>
      <c r="BD35" s="1329" t="s">
        <v>4946</v>
      </c>
      <c r="BE35" s="1330"/>
      <c r="BF35" s="1330"/>
      <c r="BG35" s="1330"/>
    </row>
    <row r="36" spans="1:59" ht="12.5">
      <c r="A36" s="449"/>
      <c r="B36" s="435" t="s">
        <v>1859</v>
      </c>
      <c r="C36" s="446">
        <f>+$C$34+$G$35</f>
        <v>94100.35</v>
      </c>
      <c r="D36" s="173"/>
      <c r="E36" s="447"/>
      <c r="F36" s="447">
        <v>-760</v>
      </c>
      <c r="G36" s="484"/>
      <c r="H36" s="1239" t="s">
        <v>873</v>
      </c>
      <c r="I36" s="1239"/>
      <c r="J36" s="171"/>
      <c r="K36" s="638"/>
      <c r="L36" s="638" t="s">
        <v>819</v>
      </c>
      <c r="M36" s="638" t="s">
        <v>2811</v>
      </c>
      <c r="N36" s="1239" t="s">
        <v>2789</v>
      </c>
      <c r="O36" s="1239"/>
      <c r="P36" s="1239"/>
      <c r="Q36" s="638">
        <v>40</v>
      </c>
      <c r="R36" s="638">
        <v>-760</v>
      </c>
      <c r="S36" s="484"/>
      <c r="T36" s="638">
        <v>-30</v>
      </c>
      <c r="U36" s="638"/>
      <c r="V36" s="638"/>
      <c r="W36" s="638">
        <v>1.4</v>
      </c>
      <c r="X36" s="638"/>
      <c r="Y36" s="638"/>
      <c r="Z36" s="638"/>
      <c r="AA36" s="638"/>
      <c r="AB36" s="638"/>
      <c r="AC36" s="638" t="s">
        <v>3050</v>
      </c>
      <c r="AD36" s="638"/>
      <c r="AE36" s="638"/>
      <c r="AF36" s="638">
        <v>4500</v>
      </c>
      <c r="AG36" s="446">
        <v>94099.77</v>
      </c>
      <c r="AH36" s="638">
        <v>2573</v>
      </c>
      <c r="AI36" s="638">
        <v>-180</v>
      </c>
      <c r="AJ36" s="638"/>
      <c r="AK36" s="638"/>
      <c r="AL36" s="638" t="s">
        <v>2127</v>
      </c>
      <c r="AM36" s="638" t="s">
        <v>1043</v>
      </c>
      <c r="AN36" s="455">
        <v>5.31</v>
      </c>
      <c r="AO36" s="1239"/>
      <c r="AP36" s="1239"/>
      <c r="AQ36" s="484"/>
      <c r="AR36" s="484"/>
      <c r="AS36" s="484"/>
      <c r="AT36" s="484">
        <f>+ab($T$36,$T$34,$T$38,$G$35,$G$37, 1*$F$36,1200)</f>
        <v>-3.3411257128557845</v>
      </c>
      <c r="AU36" s="638"/>
      <c r="AV36" s="638"/>
      <c r="AW36" s="638" t="s">
        <v>4874</v>
      </c>
      <c r="AX36" s="638"/>
      <c r="AY36" s="484"/>
      <c r="AZ36" s="484" t="s">
        <v>638</v>
      </c>
      <c r="BA36" s="671" t="s">
        <v>2809</v>
      </c>
      <c r="BB36" s="449" t="str">
        <f>Pole_Calculations!A178</f>
        <v>App.8-V08F-P10.3</v>
      </c>
      <c r="BD36" s="1329">
        <v>43818</v>
      </c>
      <c r="BE36" s="1329">
        <v>43857</v>
      </c>
      <c r="BF36" s="1329">
        <v>43857</v>
      </c>
      <c r="BG36" s="1329">
        <v>43870</v>
      </c>
    </row>
    <row r="37" spans="1:59" ht="12.5">
      <c r="A37" s="449"/>
      <c r="B37" s="445"/>
      <c r="C37" s="446"/>
      <c r="D37" s="446"/>
      <c r="E37" s="638"/>
      <c r="F37" s="447"/>
      <c r="G37" s="484">
        <v>46</v>
      </c>
      <c r="H37" s="1239"/>
      <c r="I37" s="448"/>
      <c r="J37" s="446">
        <f>C36+7.5</f>
        <v>94107.85</v>
      </c>
      <c r="K37" s="638" t="s">
        <v>1685</v>
      </c>
      <c r="L37" s="638"/>
      <c r="M37" s="638"/>
      <c r="N37" s="1239"/>
      <c r="O37" s="1239"/>
      <c r="P37" s="1239"/>
      <c r="Q37" s="638"/>
      <c r="R37" s="447"/>
      <c r="S37" s="484">
        <f>AG38-AG36</f>
        <v>45.940000000002328</v>
      </c>
      <c r="T37" s="638"/>
      <c r="U37" s="638"/>
      <c r="V37" s="638"/>
      <c r="W37" s="638"/>
      <c r="X37" s="638"/>
      <c r="Y37" s="638"/>
      <c r="Z37" s="638"/>
      <c r="AA37" s="638"/>
      <c r="AB37" s="638"/>
      <c r="AC37" s="638"/>
      <c r="AD37" s="638"/>
      <c r="AE37" s="638"/>
      <c r="AF37" s="447"/>
      <c r="AG37" s="446"/>
      <c r="AH37" s="447"/>
      <c r="AI37" s="447"/>
      <c r="AJ37" s="638"/>
      <c r="AK37" s="638"/>
      <c r="AL37" s="638"/>
      <c r="AM37" s="638"/>
      <c r="AN37" s="484"/>
      <c r="AO37" s="484"/>
      <c r="AP37" s="484"/>
      <c r="AQ37" s="484">
        <f>+FL_1($T$146,$T$144,$G$145,1200,9.28, 1*$F$146)</f>
        <v>0.3</v>
      </c>
      <c r="AR37" s="484"/>
      <c r="AS37" s="484"/>
      <c r="AT37" s="484"/>
      <c r="AU37" s="484"/>
      <c r="AV37" s="484"/>
      <c r="AW37" s="638" t="s">
        <v>4900</v>
      </c>
      <c r="AX37" s="572"/>
      <c r="AY37" s="484"/>
      <c r="AZ37" s="689"/>
      <c r="BA37" s="671" t="s">
        <v>2809</v>
      </c>
      <c r="BB37" s="449"/>
      <c r="BD37" s="1329" t="s">
        <v>4946</v>
      </c>
      <c r="BE37" s="1330"/>
      <c r="BF37" s="1330"/>
      <c r="BG37" s="1330"/>
    </row>
    <row r="38" spans="1:59" ht="12.5">
      <c r="A38" s="449"/>
      <c r="B38" s="435" t="s">
        <v>1860</v>
      </c>
      <c r="C38" s="446">
        <f>+$C$36+$G$37</f>
        <v>94146.35</v>
      </c>
      <c r="D38" s="173"/>
      <c r="E38" s="447"/>
      <c r="F38" s="447">
        <v>-760</v>
      </c>
      <c r="G38" s="484"/>
      <c r="H38" s="1239"/>
      <c r="I38" s="1239"/>
      <c r="J38" s="171"/>
      <c r="K38" s="638"/>
      <c r="L38" s="638" t="s">
        <v>819</v>
      </c>
      <c r="M38" s="638" t="s">
        <v>2811</v>
      </c>
      <c r="N38" s="1239" t="s">
        <v>2789</v>
      </c>
      <c r="O38" s="1239"/>
      <c r="P38" s="1239"/>
      <c r="Q38" s="638">
        <v>40</v>
      </c>
      <c r="R38" s="638">
        <v>-760</v>
      </c>
      <c r="S38" s="484"/>
      <c r="T38" s="638">
        <v>-30</v>
      </c>
      <c r="U38" s="638"/>
      <c r="V38" s="638"/>
      <c r="W38" s="638">
        <v>1</v>
      </c>
      <c r="X38" s="638"/>
      <c r="Y38" s="638"/>
      <c r="Z38" s="638"/>
      <c r="AA38" s="638"/>
      <c r="AB38" s="638"/>
      <c r="AC38" s="638" t="s">
        <v>3050</v>
      </c>
      <c r="AD38" s="638"/>
      <c r="AE38" s="638"/>
      <c r="AF38" s="638">
        <v>4500</v>
      </c>
      <c r="AG38" s="446">
        <v>94145.71</v>
      </c>
      <c r="AH38" s="638">
        <v>2773</v>
      </c>
      <c r="AI38" s="638">
        <v>-200</v>
      </c>
      <c r="AJ38" s="638"/>
      <c r="AK38" s="638"/>
      <c r="AL38" s="638" t="s">
        <v>2127</v>
      </c>
      <c r="AM38" s="638" t="s">
        <v>1043</v>
      </c>
      <c r="AN38" s="455">
        <v>5.21</v>
      </c>
      <c r="AO38" s="1239"/>
      <c r="AP38" s="1239"/>
      <c r="AQ38" s="484"/>
      <c r="AR38" s="484"/>
      <c r="AS38" s="484"/>
      <c r="AT38" s="484">
        <f>+ab($T$38,$T$36,$T$40,$G$37,$G$39, 1*$F$38,1200)</f>
        <v>-3.2445990842392707</v>
      </c>
      <c r="AU38" s="638"/>
      <c r="AV38" s="638"/>
      <c r="AW38" s="638" t="s">
        <v>4874</v>
      </c>
      <c r="AX38" s="638"/>
      <c r="AY38" s="484"/>
      <c r="AZ38" s="484" t="s">
        <v>638</v>
      </c>
      <c r="BA38" s="671" t="s">
        <v>2809</v>
      </c>
      <c r="BB38" s="449" t="str">
        <f>Pole_Calculations!A178</f>
        <v>App.8-V08F-P10.3</v>
      </c>
      <c r="BD38" s="1329">
        <v>43816</v>
      </c>
      <c r="BE38" s="1329">
        <v>43857</v>
      </c>
      <c r="BF38" s="1329">
        <v>43857</v>
      </c>
      <c r="BG38" s="1329">
        <v>43870</v>
      </c>
    </row>
    <row r="39" spans="1:59" ht="12.5">
      <c r="A39" s="449"/>
      <c r="B39" s="435"/>
      <c r="C39" s="446"/>
      <c r="D39" s="173"/>
      <c r="E39" s="447"/>
      <c r="F39" s="447"/>
      <c r="G39" s="484">
        <v>43.8</v>
      </c>
      <c r="H39" s="1239"/>
      <c r="I39" s="1239"/>
      <c r="J39" s="171"/>
      <c r="K39" s="638"/>
      <c r="L39" s="638"/>
      <c r="M39" s="638"/>
      <c r="N39" s="1239"/>
      <c r="O39" s="1239"/>
      <c r="P39" s="1239"/>
      <c r="Q39" s="638"/>
      <c r="R39" s="638"/>
      <c r="S39" s="484">
        <f>AG40-AG38</f>
        <v>44.009999999994761</v>
      </c>
      <c r="T39" s="638"/>
      <c r="U39" s="638"/>
      <c r="V39" s="638"/>
      <c r="W39" s="638"/>
      <c r="X39" s="638"/>
      <c r="Y39" s="638"/>
      <c r="Z39" s="638"/>
      <c r="AA39" s="638"/>
      <c r="AB39" s="638"/>
      <c r="AC39" s="638"/>
      <c r="AD39" s="638"/>
      <c r="AE39" s="638"/>
      <c r="AF39" s="638"/>
      <c r="AG39" s="446"/>
      <c r="AH39" s="638"/>
      <c r="AI39" s="638"/>
      <c r="AJ39" s="638"/>
      <c r="AK39" s="638"/>
      <c r="AL39" s="638"/>
      <c r="AM39" s="638"/>
      <c r="AN39" s="455"/>
      <c r="AO39" s="1239"/>
      <c r="AP39" s="1239"/>
      <c r="AQ39" s="484">
        <f>+FL_2($T$40,$T$38,$G$39,1200,9.28, 1*$F$40)</f>
        <v>-0.30011882496291759</v>
      </c>
      <c r="AR39" s="484"/>
      <c r="AS39" s="484"/>
      <c r="AT39" s="484"/>
      <c r="AU39" s="638"/>
      <c r="AV39" s="638"/>
      <c r="AW39" s="638"/>
      <c r="AX39" s="638"/>
      <c r="AY39" s="484"/>
      <c r="AZ39" s="484"/>
      <c r="BA39" s="671"/>
      <c r="BB39" s="449"/>
      <c r="BD39" s="1330"/>
      <c r="BE39" s="1330"/>
      <c r="BF39" s="1330"/>
      <c r="BG39" s="1330"/>
    </row>
    <row r="40" spans="1:59" ht="12.5">
      <c r="A40" s="449"/>
      <c r="B40" s="435" t="s">
        <v>1861</v>
      </c>
      <c r="C40" s="446">
        <f>+$C$38+$G$39</f>
        <v>94190.150000000009</v>
      </c>
      <c r="D40" s="173"/>
      <c r="E40" s="447"/>
      <c r="F40" s="447">
        <v>-760</v>
      </c>
      <c r="G40" s="484"/>
      <c r="H40" s="1239"/>
      <c r="I40" s="1239"/>
      <c r="J40" s="171"/>
      <c r="K40" s="638"/>
      <c r="L40" s="638" t="s">
        <v>819</v>
      </c>
      <c r="M40" s="638" t="s">
        <v>3671</v>
      </c>
      <c r="N40" s="1239" t="s">
        <v>2796</v>
      </c>
      <c r="O40" s="1239"/>
      <c r="P40" s="1239"/>
      <c r="Q40" s="638">
        <v>40</v>
      </c>
      <c r="R40" s="638">
        <v>771.4</v>
      </c>
      <c r="S40" s="484"/>
      <c r="T40" s="638">
        <v>-30</v>
      </c>
      <c r="U40" s="638"/>
      <c r="V40" s="638"/>
      <c r="W40" s="638">
        <v>0.55000000000000004</v>
      </c>
      <c r="X40" s="638"/>
      <c r="Y40" s="638"/>
      <c r="Z40" s="638"/>
      <c r="AA40" s="638"/>
      <c r="AB40" s="638"/>
      <c r="AC40" s="638" t="s">
        <v>3050</v>
      </c>
      <c r="AD40" s="638"/>
      <c r="AE40" s="638"/>
      <c r="AF40" s="638">
        <v>5300</v>
      </c>
      <c r="AG40" s="446">
        <v>94189.72</v>
      </c>
      <c r="AH40" s="638">
        <v>2103</v>
      </c>
      <c r="AI40" s="638">
        <v>-340</v>
      </c>
      <c r="AJ40" s="638"/>
      <c r="AK40" s="638"/>
      <c r="AL40" s="638" t="s">
        <v>2127</v>
      </c>
      <c r="AM40" s="638" t="s">
        <v>1043</v>
      </c>
      <c r="AN40" s="455">
        <v>5.15</v>
      </c>
      <c r="AO40" s="1239"/>
      <c r="AP40" s="1239"/>
      <c r="AQ40" s="484"/>
      <c r="AR40" s="484"/>
      <c r="AS40" s="484"/>
      <c r="AT40" s="484">
        <f>+ab($T$40,$T$38,$T$42,$G$39,$G$41, 1*$F$40,1200)</f>
        <v>-3.4763585222948024</v>
      </c>
      <c r="AU40" s="638"/>
      <c r="AV40" s="638"/>
      <c r="AW40" s="638" t="str">
        <f>VLOOKUP(C40,'Foundation Calculation'!$A$2:$C$33,3,1)</f>
        <v>Soil A</v>
      </c>
      <c r="AX40" s="572" t="str">
        <f>VLOOKUP(C40,'Foundation Calculation'!$E$2:$G$33,3,1)</f>
        <v>PT</v>
      </c>
      <c r="AY40" s="636">
        <f>IF(AX40="PT",VLOOKUP(L40,'Foundation Calculation'!$K$2:$R$40,VLOOKUP(AW40,'Foundation Calculation'!$I$2:$J$8,2,FALSE),0),IF(AX40="K",VLOOKUP(L40,'Foundation Calculation'!$K$42:$R$80,VLOOKUP(AW40,'Foundation Calculation'!$I$2:$J$8,2,FALSE),0),""))</f>
        <v>3.5</v>
      </c>
      <c r="AZ40" s="484" t="s">
        <v>638</v>
      </c>
      <c r="BA40" s="671" t="s">
        <v>2809</v>
      </c>
      <c r="BB40" s="449" t="str">
        <f>Pole_Calculations!A178</f>
        <v>App.8-V08F-P10.3</v>
      </c>
      <c r="BD40" s="1329">
        <v>43816</v>
      </c>
      <c r="BE40" s="1329" t="s">
        <v>4946</v>
      </c>
      <c r="BF40" s="1329" t="s">
        <v>4946</v>
      </c>
      <c r="BG40" s="1329">
        <v>43839</v>
      </c>
    </row>
    <row r="41" spans="1:59" ht="25">
      <c r="A41" s="488" t="s">
        <v>1851</v>
      </c>
      <c r="B41" s="494"/>
      <c r="C41" s="489"/>
      <c r="D41" s="489"/>
      <c r="E41" s="490"/>
      <c r="F41" s="491"/>
      <c r="G41" s="493">
        <v>40</v>
      </c>
      <c r="H41" s="495"/>
      <c r="I41" s="492"/>
      <c r="J41" s="489">
        <f>C42-7.5</f>
        <v>94222.650000000009</v>
      </c>
      <c r="K41" s="490" t="s">
        <v>2787</v>
      </c>
      <c r="L41" s="490"/>
      <c r="M41" s="490"/>
      <c r="N41" s="495"/>
      <c r="O41" s="495"/>
      <c r="P41" s="490"/>
      <c r="Q41" s="490"/>
      <c r="R41" s="491"/>
      <c r="S41" s="493">
        <f>AG42-AG40</f>
        <v>39.69999999999709</v>
      </c>
      <c r="T41" s="490"/>
      <c r="U41" s="490"/>
      <c r="V41" s="490"/>
      <c r="W41" s="490"/>
      <c r="X41" s="490"/>
      <c r="Y41" s="490"/>
      <c r="Z41" s="490"/>
      <c r="AA41" s="490"/>
      <c r="AB41" s="490"/>
      <c r="AC41" s="490"/>
      <c r="AD41" s="490"/>
      <c r="AE41" s="490"/>
      <c r="AF41" s="491"/>
      <c r="AG41" s="489"/>
      <c r="AH41" s="491"/>
      <c r="AI41" s="491"/>
      <c r="AJ41" s="490"/>
      <c r="AK41" s="490"/>
      <c r="AL41" s="490"/>
      <c r="AM41" s="669" t="s">
        <v>4220</v>
      </c>
      <c r="AN41" s="493"/>
      <c r="AO41" s="493"/>
      <c r="AP41" s="493"/>
      <c r="AQ41" s="493">
        <f>+FL_2($T$42,$T$40,$G$41,1200,9.28, 1*$F$42)</f>
        <v>-0.3</v>
      </c>
      <c r="AR41" s="493"/>
      <c r="AS41" s="493"/>
      <c r="AT41" s="493"/>
      <c r="AU41" s="493"/>
      <c r="AV41" s="493"/>
      <c r="AW41" s="490" t="str">
        <f>VLOOKUP(J41,'Foundation Calculation'!$A$2:$C$33,3,1)</f>
        <v>Soil A</v>
      </c>
      <c r="AX41" s="579" t="str">
        <f>VLOOKUP(J41,'Foundation Calculation'!$E$2:$G$33,3,1)</f>
        <v>PT</v>
      </c>
      <c r="AY41" s="493"/>
      <c r="AZ41" s="690">
        <f>IF(AX41="PT",VLOOKUP(K41,'Foundation Calculation'!$K$2:$R$40,VLOOKUP(AW41,'Foundation Calculation'!$I$2:$J$8,2,FALSE),0),IF(AX41="K",VLOOKUP(K41,'Foundation Calculation'!$K$42:$R$80,VLOOKUP(AW41,'Foundation Calculation'!$I$2:$J$8,2,FALSE),0),""))</f>
        <v>3.3</v>
      </c>
      <c r="BA41" s="602" t="s">
        <v>2809</v>
      </c>
      <c r="BB41" s="488"/>
      <c r="BD41" s="1329">
        <v>43750</v>
      </c>
      <c r="BE41" s="1330"/>
      <c r="BF41" s="1330"/>
      <c r="BG41" s="1330"/>
    </row>
    <row r="42" spans="1:59" ht="12.5">
      <c r="A42" s="449"/>
      <c r="B42" s="435" t="s">
        <v>1862</v>
      </c>
      <c r="C42" s="446">
        <f>+$C$40+$G$41</f>
        <v>94230.150000000009</v>
      </c>
      <c r="D42" s="446"/>
      <c r="E42" s="638"/>
      <c r="F42" s="447">
        <v>-760</v>
      </c>
      <c r="G42" s="484"/>
      <c r="H42" s="1239" t="s">
        <v>138</v>
      </c>
      <c r="I42" s="1239" t="s">
        <v>623</v>
      </c>
      <c r="J42" s="446"/>
      <c r="K42" s="638"/>
      <c r="L42" s="638" t="s">
        <v>819</v>
      </c>
      <c r="M42" s="638" t="s">
        <v>3671</v>
      </c>
      <c r="N42" s="1239" t="s">
        <v>2796</v>
      </c>
      <c r="O42" s="1239"/>
      <c r="P42" s="1239"/>
      <c r="Q42" s="638">
        <v>50</v>
      </c>
      <c r="R42" s="447">
        <v>760</v>
      </c>
      <c r="S42" s="484"/>
      <c r="T42" s="638">
        <v>-30</v>
      </c>
      <c r="U42" s="638"/>
      <c r="V42" s="638"/>
      <c r="W42" s="638">
        <v>0.55000000000000004</v>
      </c>
      <c r="X42" s="638"/>
      <c r="Y42" s="638"/>
      <c r="Z42" s="638"/>
      <c r="AA42" s="638"/>
      <c r="AB42" s="638"/>
      <c r="AC42" s="638" t="s">
        <v>1417</v>
      </c>
      <c r="AD42" s="638"/>
      <c r="AE42" s="638"/>
      <c r="AF42" s="447">
        <v>4700</v>
      </c>
      <c r="AG42" s="446">
        <v>94229.42</v>
      </c>
      <c r="AH42" s="447">
        <v>2023</v>
      </c>
      <c r="AI42" s="447">
        <v>-170</v>
      </c>
      <c r="AJ42" s="638"/>
      <c r="AK42" s="638"/>
      <c r="AL42" s="638" t="s">
        <v>2127</v>
      </c>
      <c r="AM42" s="638" t="s">
        <v>1043</v>
      </c>
      <c r="AN42" s="484">
        <v>5.15</v>
      </c>
      <c r="AO42" s="484"/>
      <c r="AP42" s="484"/>
      <c r="AQ42" s="484"/>
      <c r="AR42" s="484"/>
      <c r="AS42" s="484"/>
      <c r="AT42" s="484">
        <f>+ab($T$42,$T$40,$T$44,$G$41,$G$43, 1*$F$42,1200)</f>
        <v>-3.1310156238164106</v>
      </c>
      <c r="AU42" s="484"/>
      <c r="AV42" s="484"/>
      <c r="AW42" s="638" t="str">
        <f>VLOOKUP(C42,'Foundation Calculation'!$A$2:$C$33,3,1)</f>
        <v>Soil A</v>
      </c>
      <c r="AX42" s="572" t="str">
        <f>VLOOKUP(C42,'Foundation Calculation'!$E$2:$G$33,3,1)</f>
        <v>PT</v>
      </c>
      <c r="AY42" s="636">
        <f>IF(AX42="PT",VLOOKUP(L42,'Foundation Calculation'!$K$2:$R$40,VLOOKUP(AW42,'Foundation Calculation'!$I$2:$J$8,2,FALSE),0),IF(AX42="K",VLOOKUP(L42,'Foundation Calculation'!$K$42:$R$80,VLOOKUP(AW42,'Foundation Calculation'!$I$2:$J$8,2,FALSE),0),""))</f>
        <v>3.5</v>
      </c>
      <c r="AZ42" s="484"/>
      <c r="BA42" s="671" t="s">
        <v>2809</v>
      </c>
      <c r="BB42" s="449" t="str">
        <f>Pole_Calculations!A178</f>
        <v>App.8-V08F-P10.3</v>
      </c>
      <c r="BD42" s="1329">
        <v>43750</v>
      </c>
      <c r="BE42" s="1329" t="s">
        <v>4946</v>
      </c>
      <c r="BF42" s="1329">
        <v>43808</v>
      </c>
      <c r="BG42" s="1329">
        <v>43808</v>
      </c>
    </row>
    <row r="43" spans="1:59" ht="12.5">
      <c r="A43" s="449"/>
      <c r="B43" s="170"/>
      <c r="C43" s="446"/>
      <c r="D43" s="446"/>
      <c r="E43" s="638"/>
      <c r="F43" s="447"/>
      <c r="G43" s="484">
        <v>31</v>
      </c>
      <c r="H43" s="1239"/>
      <c r="I43" s="1239"/>
      <c r="J43" s="446"/>
      <c r="K43" s="638"/>
      <c r="L43" s="638"/>
      <c r="M43" s="638"/>
      <c r="N43" s="1239"/>
      <c r="O43" s="1239"/>
      <c r="P43" s="638"/>
      <c r="Q43" s="638"/>
      <c r="R43" s="447"/>
      <c r="S43" s="484">
        <f>AG44-AG42</f>
        <v>30.910000000003492</v>
      </c>
      <c r="T43" s="638"/>
      <c r="U43" s="638"/>
      <c r="V43" s="638"/>
      <c r="W43" s="638"/>
      <c r="X43" s="638"/>
      <c r="Y43" s="638"/>
      <c r="Z43" s="638"/>
      <c r="AA43" s="638"/>
      <c r="AB43" s="638"/>
      <c r="AC43" s="638"/>
      <c r="AD43" s="638"/>
      <c r="AE43" s="638"/>
      <c r="AF43" s="447"/>
      <c r="AG43" s="446"/>
      <c r="AH43" s="447"/>
      <c r="AI43" s="447"/>
      <c r="AJ43" s="638"/>
      <c r="AK43" s="638"/>
      <c r="AL43" s="638"/>
      <c r="AM43" s="638"/>
      <c r="AN43" s="484"/>
      <c r="AO43" s="484"/>
      <c r="AP43" s="484"/>
      <c r="AQ43" s="484">
        <f>+FL_2($U$44,$T$42,$G$43,1200,9.28, 1*$F$44)</f>
        <v>-0.3000000000000892</v>
      </c>
      <c r="AR43" s="484"/>
      <c r="AS43" s="484"/>
      <c r="AT43" s="484"/>
      <c r="AU43" s="484"/>
      <c r="AV43" s="484"/>
      <c r="AW43" s="484"/>
      <c r="AX43" s="484"/>
      <c r="AY43" s="484"/>
      <c r="AZ43" s="484"/>
      <c r="BA43" s="1310"/>
      <c r="BB43" s="449"/>
      <c r="BD43" s="1330"/>
      <c r="BE43" s="1330"/>
      <c r="BF43" s="1330"/>
      <c r="BG43" s="1330"/>
    </row>
    <row r="44" spans="1:59" ht="12.5">
      <c r="A44" s="449"/>
      <c r="B44" s="440" t="s">
        <v>1863</v>
      </c>
      <c r="C44" s="446">
        <f>+$C$42+$G$43</f>
        <v>94261.150000000009</v>
      </c>
      <c r="D44" s="446"/>
      <c r="E44" s="638"/>
      <c r="F44" s="447">
        <v>-760</v>
      </c>
      <c r="G44" s="484"/>
      <c r="H44" s="1239" t="s">
        <v>619</v>
      </c>
      <c r="I44" s="1239"/>
      <c r="J44" s="171"/>
      <c r="K44" s="638"/>
      <c r="L44" s="638" t="s">
        <v>819</v>
      </c>
      <c r="M44" s="638" t="s">
        <v>3671</v>
      </c>
      <c r="N44" s="1239" t="s">
        <v>140</v>
      </c>
      <c r="O44" s="1239" t="s">
        <v>2789</v>
      </c>
      <c r="P44" s="1239"/>
      <c r="Q44" s="638">
        <v>50</v>
      </c>
      <c r="R44" s="447">
        <v>760</v>
      </c>
      <c r="S44" s="484"/>
      <c r="T44" s="638">
        <v>15</v>
      </c>
      <c r="U44" s="638">
        <v>-30</v>
      </c>
      <c r="V44" s="638"/>
      <c r="W44" s="638">
        <v>0.8</v>
      </c>
      <c r="X44" s="638">
        <v>1</v>
      </c>
      <c r="Y44" s="638"/>
      <c r="Z44" s="638">
        <v>0.4</v>
      </c>
      <c r="AA44" s="638"/>
      <c r="AB44" s="638"/>
      <c r="AC44" s="638" t="s">
        <v>4115</v>
      </c>
      <c r="AD44" s="638"/>
      <c r="AE44" s="638"/>
      <c r="AF44" s="447">
        <v>4800</v>
      </c>
      <c r="AG44" s="446">
        <v>94260.33</v>
      </c>
      <c r="AH44" s="447">
        <v>2103</v>
      </c>
      <c r="AI44" s="447">
        <v>-110</v>
      </c>
      <c r="AJ44" s="638"/>
      <c r="AK44" s="638"/>
      <c r="AL44" s="638" t="s">
        <v>2127</v>
      </c>
      <c r="AM44" s="638" t="s">
        <v>1043</v>
      </c>
      <c r="AN44" s="484">
        <v>5.15</v>
      </c>
      <c r="AO44" s="484"/>
      <c r="AP44" s="484"/>
      <c r="AQ44" s="484"/>
      <c r="AR44" s="484"/>
      <c r="AS44" s="484"/>
      <c r="AT44" s="484">
        <f>+ab($U$44,$T$42,$U$46,$G$43,$G$45, 1*$F$44,1200)</f>
        <v>-4.7242782819667388</v>
      </c>
      <c r="AU44" s="484"/>
      <c r="AV44" s="484"/>
      <c r="AW44" s="638" t="str">
        <f>VLOOKUP(C44,'Foundation Calculation'!$A$2:$C$33,3,1)</f>
        <v>Soil A</v>
      </c>
      <c r="AX44" s="572" t="str">
        <f>VLOOKUP(C44,'Foundation Calculation'!$E$2:$G$33,3,1)</f>
        <v>PT</v>
      </c>
      <c r="AY44" s="636">
        <v>4.5</v>
      </c>
      <c r="AZ44" s="484"/>
      <c r="BA44" s="671" t="s">
        <v>2809</v>
      </c>
      <c r="BB44" s="449" t="str">
        <f>Pole_Calculations!A178</f>
        <v>App.8-V08F-P10.3</v>
      </c>
      <c r="BD44" s="1329">
        <v>43750</v>
      </c>
      <c r="BE44" s="1329" t="s">
        <v>4946</v>
      </c>
      <c r="BF44" s="1329">
        <v>43808</v>
      </c>
      <c r="BG44" s="1329">
        <v>43808</v>
      </c>
    </row>
    <row r="45" spans="1:59" ht="12.5">
      <c r="A45" s="449"/>
      <c r="B45" s="170"/>
      <c r="C45" s="446"/>
      <c r="D45" s="446"/>
      <c r="E45" s="638"/>
      <c r="F45" s="447"/>
      <c r="G45" s="484">
        <v>30.6</v>
      </c>
      <c r="H45" s="1239"/>
      <c r="I45" s="1239"/>
      <c r="J45" s="171"/>
      <c r="K45" s="638"/>
      <c r="L45" s="638"/>
      <c r="M45" s="497"/>
      <c r="N45" s="1239"/>
      <c r="O45" s="1239"/>
      <c r="P45" s="638"/>
      <c r="Q45" s="638"/>
      <c r="R45" s="447"/>
      <c r="S45" s="484">
        <f>AG46-AG44</f>
        <v>30.490000000005239</v>
      </c>
      <c r="T45" s="638"/>
      <c r="U45" s="638"/>
      <c r="V45" s="638"/>
      <c r="W45" s="638"/>
      <c r="X45" s="638"/>
      <c r="Y45" s="638"/>
      <c r="Z45" s="638"/>
      <c r="AA45" s="638"/>
      <c r="AB45" s="638"/>
      <c r="AC45" s="638"/>
      <c r="AD45" s="638"/>
      <c r="AE45" s="638"/>
      <c r="AF45" s="447"/>
      <c r="AG45" s="446"/>
      <c r="AH45" s="447"/>
      <c r="AI45" s="447"/>
      <c r="AJ45" s="638"/>
      <c r="AK45" s="638"/>
      <c r="AL45" s="638"/>
      <c r="AM45" s="638"/>
      <c r="AN45" s="484"/>
      <c r="AO45" s="484"/>
      <c r="AP45" s="484"/>
      <c r="AQ45" s="484">
        <f>+FL_2($U$46,$U$44,$G$45,1200,9.28, 1*$F$46)</f>
        <v>-0.30000000000009025</v>
      </c>
      <c r="AR45" s="484"/>
      <c r="AS45" s="484"/>
      <c r="AT45" s="484"/>
      <c r="AU45" s="484"/>
      <c r="AV45" s="484"/>
      <c r="AW45" s="484"/>
      <c r="AX45" s="484"/>
      <c r="AY45" s="484"/>
      <c r="AZ45" s="484"/>
      <c r="BA45" s="1310"/>
      <c r="BB45" s="449"/>
      <c r="BD45" s="1330"/>
      <c r="BE45" s="1330"/>
      <c r="BF45" s="1330"/>
      <c r="BG45" s="1330"/>
    </row>
    <row r="46" spans="1:59" ht="12.5">
      <c r="A46" s="449" t="s">
        <v>3274</v>
      </c>
      <c r="B46" s="440" t="s">
        <v>1864</v>
      </c>
      <c r="C46" s="446">
        <f>+$C$44+$G$45</f>
        <v>94291.750000000015</v>
      </c>
      <c r="D46" s="446"/>
      <c r="E46" s="638"/>
      <c r="F46" s="447">
        <v>-760</v>
      </c>
      <c r="G46" s="484"/>
      <c r="H46" s="1239" t="s">
        <v>619</v>
      </c>
      <c r="I46" s="1239"/>
      <c r="J46" s="171"/>
      <c r="K46" s="638"/>
      <c r="L46" s="638" t="s">
        <v>819</v>
      </c>
      <c r="M46" s="638" t="s">
        <v>3671</v>
      </c>
      <c r="N46" s="1239" t="s">
        <v>2789</v>
      </c>
      <c r="O46" s="1239" t="s">
        <v>143</v>
      </c>
      <c r="P46" s="1239"/>
      <c r="Q46" s="638">
        <v>70</v>
      </c>
      <c r="R46" s="447">
        <v>760</v>
      </c>
      <c r="S46" s="484"/>
      <c r="T46" s="638">
        <v>15</v>
      </c>
      <c r="U46" s="638">
        <v>-30</v>
      </c>
      <c r="V46" s="638"/>
      <c r="W46" s="638">
        <v>1.2</v>
      </c>
      <c r="X46" s="638">
        <v>1.7</v>
      </c>
      <c r="Y46" s="638"/>
      <c r="Z46" s="638">
        <v>0.2</v>
      </c>
      <c r="AA46" s="638"/>
      <c r="AB46" s="638"/>
      <c r="AC46" s="638" t="s">
        <v>4115</v>
      </c>
      <c r="AD46" s="638" t="s">
        <v>4090</v>
      </c>
      <c r="AE46" s="638"/>
      <c r="AF46" s="447">
        <v>4400</v>
      </c>
      <c r="AG46" s="446">
        <v>94290.82</v>
      </c>
      <c r="AH46" s="447">
        <v>2293</v>
      </c>
      <c r="AI46" s="447">
        <v>-370</v>
      </c>
      <c r="AJ46" s="638" t="s">
        <v>884</v>
      </c>
      <c r="AK46" s="638"/>
      <c r="AL46" s="638" t="s">
        <v>2127</v>
      </c>
      <c r="AM46" s="638" t="s">
        <v>1043</v>
      </c>
      <c r="AN46" s="484">
        <v>5.15</v>
      </c>
      <c r="AO46" s="484"/>
      <c r="AP46" s="484"/>
      <c r="AQ46" s="484"/>
      <c r="AR46" s="484"/>
      <c r="AS46" s="484"/>
      <c r="AT46" s="484">
        <f>+ab($U$46,$U$44,$T$48,$G$45,$G$47, 1*$F$46,1200)</f>
        <v>-3.6356796607564323</v>
      </c>
      <c r="AU46" s="484"/>
      <c r="AV46" s="484"/>
      <c r="AW46" s="638" t="str">
        <f>VLOOKUP(C46,'Foundation Calculation'!$A$2:$C$33,3,1)</f>
        <v>Soil A</v>
      </c>
      <c r="AX46" s="572" t="str">
        <f>VLOOKUP(C46,'Foundation Calculation'!$E$2:$G$33,3,1)</f>
        <v>PT</v>
      </c>
      <c r="AY46" s="636">
        <f>IF(AX46="PT",VLOOKUP(L46,'Foundation Calculation'!$K$2:$R$40,VLOOKUP(AW46,'Foundation Calculation'!$I$2:$J$8,2,FALSE),0),IF(AX46="K",VLOOKUP(L46,'Foundation Calculation'!$K$42:$R$80,VLOOKUP(AW46,'Foundation Calculation'!$I$2:$J$8,2,FALSE),0),""))</f>
        <v>3.5</v>
      </c>
      <c r="AZ46" s="484"/>
      <c r="BA46" s="671" t="s">
        <v>2809</v>
      </c>
      <c r="BB46" s="449" t="str">
        <f>Pole_Calculations!A178</f>
        <v>App.8-V08F-P10.3</v>
      </c>
      <c r="BD46" s="1329">
        <v>43715</v>
      </c>
      <c r="BE46" s="1329" t="s">
        <v>4946</v>
      </c>
      <c r="BF46" s="1329">
        <v>43810</v>
      </c>
      <c r="BG46" s="1329">
        <v>43808</v>
      </c>
    </row>
    <row r="47" spans="1:59" ht="12.5">
      <c r="A47" s="449"/>
      <c r="B47" s="170"/>
      <c r="C47" s="446"/>
      <c r="D47" s="446"/>
      <c r="E47" s="638"/>
      <c r="F47" s="447"/>
      <c r="G47" s="484">
        <v>27</v>
      </c>
      <c r="H47" s="1239"/>
      <c r="I47" s="1239" t="s">
        <v>1471</v>
      </c>
      <c r="J47" s="171">
        <f>C48-7.5</f>
        <v>94311.250000000015</v>
      </c>
      <c r="K47" s="638" t="s">
        <v>2788</v>
      </c>
      <c r="L47" s="638"/>
      <c r="M47" s="497"/>
      <c r="N47" s="1239"/>
      <c r="O47" s="1239"/>
      <c r="P47" s="638"/>
      <c r="Q47" s="638"/>
      <c r="R47" s="447"/>
      <c r="S47" s="484">
        <f>AG48-AG46</f>
        <v>27.929999999993015</v>
      </c>
      <c r="T47" s="638"/>
      <c r="U47" s="638"/>
      <c r="V47" s="638"/>
      <c r="W47" s="638"/>
      <c r="X47" s="638"/>
      <c r="Y47" s="638"/>
      <c r="Z47" s="638"/>
      <c r="AA47" s="638"/>
      <c r="AB47" s="638"/>
      <c r="AC47" s="638"/>
      <c r="AD47" s="638"/>
      <c r="AE47" s="638"/>
      <c r="AF47" s="447"/>
      <c r="AG47" s="446"/>
      <c r="AH47" s="447"/>
      <c r="AI47" s="447"/>
      <c r="AJ47" s="638"/>
      <c r="AK47" s="638"/>
      <c r="AL47" s="638"/>
      <c r="AM47" s="638"/>
      <c r="AN47" s="484"/>
      <c r="AO47" s="484"/>
      <c r="AP47" s="484"/>
      <c r="AQ47" s="484">
        <f>+FL_2($T$48,$U$46,$G$47,1200,9.28, 1*$F$48)</f>
        <v>-0.30000000000000621</v>
      </c>
      <c r="AR47" s="484"/>
      <c r="AS47" s="484"/>
      <c r="AT47" s="484"/>
      <c r="AU47" s="484"/>
      <c r="AV47" s="484"/>
      <c r="AW47" s="638" t="str">
        <f>VLOOKUP(J47,'Foundation Calculation'!$A$2:$C$33,3,1)</f>
        <v>Soil A</v>
      </c>
      <c r="AX47" s="572" t="str">
        <f>VLOOKUP(J47,'Foundation Calculation'!$E$2:$G$33,3,1)</f>
        <v>PT</v>
      </c>
      <c r="AY47" s="484"/>
      <c r="AZ47" s="484">
        <f>IF(AX47="PT",VLOOKUP(K47,'Foundation Calculation'!$K$2:$R$40,VLOOKUP(AW47,'Foundation Calculation'!$I$2:$J$8,2,FALSE),0),IF(AX47="K",VLOOKUP(K47,'Foundation Calculation'!$K$42:$R$80,VLOOKUP(AW47,'Foundation Calculation'!$I$2:$J$8,2,FALSE),0),""))</f>
        <v>2.8</v>
      </c>
      <c r="BA47" s="671" t="s">
        <v>2809</v>
      </c>
      <c r="BB47" s="449"/>
      <c r="BD47" s="1329">
        <v>43715</v>
      </c>
      <c r="BE47" s="1330"/>
      <c r="BF47" s="1330"/>
      <c r="BG47" s="1330"/>
    </row>
    <row r="48" spans="1:59" ht="12.5">
      <c r="A48" s="449" t="s">
        <v>3273</v>
      </c>
      <c r="B48" s="440" t="s">
        <v>1865</v>
      </c>
      <c r="C48" s="446">
        <f>+$C$46+$G$47</f>
        <v>94318.750000000015</v>
      </c>
      <c r="D48" s="446"/>
      <c r="E48" s="638"/>
      <c r="F48" s="447">
        <v>-760</v>
      </c>
      <c r="G48" s="484"/>
      <c r="H48" s="1239" t="s">
        <v>619</v>
      </c>
      <c r="I48" s="1239"/>
      <c r="J48" s="171"/>
      <c r="K48" s="638"/>
      <c r="L48" s="638" t="s">
        <v>819</v>
      </c>
      <c r="M48" s="638" t="s">
        <v>3671</v>
      </c>
      <c r="N48" s="1239" t="s">
        <v>2789</v>
      </c>
      <c r="O48" s="1239" t="s">
        <v>2789</v>
      </c>
      <c r="P48" s="1239"/>
      <c r="Q48" s="638">
        <v>30</v>
      </c>
      <c r="R48" s="447">
        <v>760</v>
      </c>
      <c r="S48" s="484"/>
      <c r="T48" s="638">
        <v>10</v>
      </c>
      <c r="U48" s="638">
        <v>-35</v>
      </c>
      <c r="V48" s="638"/>
      <c r="W48" s="638">
        <v>1.4</v>
      </c>
      <c r="X48" s="638">
        <v>2.1</v>
      </c>
      <c r="Y48" s="638"/>
      <c r="Z48" s="638"/>
      <c r="AA48" s="638">
        <v>0.2</v>
      </c>
      <c r="AB48" s="638"/>
      <c r="AC48" s="638" t="s">
        <v>4483</v>
      </c>
      <c r="AD48" s="638" t="s">
        <v>4090</v>
      </c>
      <c r="AE48" s="638"/>
      <c r="AF48" s="447">
        <v>4400</v>
      </c>
      <c r="AG48" s="446">
        <v>94318.75</v>
      </c>
      <c r="AH48" s="447">
        <v>2073</v>
      </c>
      <c r="AI48" s="447">
        <v>-390</v>
      </c>
      <c r="AJ48" s="638" t="s">
        <v>884</v>
      </c>
      <c r="AK48" s="638"/>
      <c r="AL48" s="638" t="s">
        <v>2127</v>
      </c>
      <c r="AM48" s="638" t="s">
        <v>1043</v>
      </c>
      <c r="AN48" s="484">
        <v>5.15</v>
      </c>
      <c r="AO48" s="484"/>
      <c r="AP48" s="484"/>
      <c r="AQ48" s="484"/>
      <c r="AR48" s="484"/>
      <c r="AS48" s="484"/>
      <c r="AT48" s="484">
        <f>+ab($T$48,$U$46,$T$50,$G$47,$G$49, 1*$F$48,1200)</f>
        <v>-8.119663757073349</v>
      </c>
      <c r="AU48" s="484"/>
      <c r="AV48" s="484"/>
      <c r="AW48" s="638" t="str">
        <f>VLOOKUP(C48,'Foundation Calculation'!$A$2:$C$33,3,1)</f>
        <v>Soil A</v>
      </c>
      <c r="AX48" s="572" t="str">
        <f>VLOOKUP(C48,'Foundation Calculation'!$E$2:$G$33,3,1)</f>
        <v>PT</v>
      </c>
      <c r="AY48" s="636">
        <f>IF(AX48="PT",VLOOKUP(L48,'Foundation Calculation'!$K$2:$R$40,VLOOKUP(AW48,'Foundation Calculation'!$I$2:$J$8,2,FALSE),0),IF(AX48="K",VLOOKUP(L48,'Foundation Calculation'!$K$42:$R$80,VLOOKUP(AW48,'Foundation Calculation'!$I$2:$J$8,2,FALSE),0),""))</f>
        <v>3.5</v>
      </c>
      <c r="AZ48" s="484"/>
      <c r="BA48" s="671" t="s">
        <v>2809</v>
      </c>
      <c r="BB48" s="449" t="str">
        <f>Pole_Calculations!A178</f>
        <v>App.8-V08F-P10.3</v>
      </c>
      <c r="BD48" s="1329">
        <v>43715</v>
      </c>
      <c r="BE48" s="1329" t="s">
        <v>4946</v>
      </c>
      <c r="BF48" s="1329">
        <v>43815</v>
      </c>
      <c r="BG48" s="1329">
        <v>43808</v>
      </c>
    </row>
    <row r="49" spans="1:59" ht="12.5">
      <c r="A49" s="449"/>
      <c r="B49" s="170"/>
      <c r="C49" s="446"/>
      <c r="D49" s="446"/>
      <c r="E49" s="638"/>
      <c r="F49" s="447"/>
      <c r="G49" s="484">
        <v>31.2</v>
      </c>
      <c r="H49" s="1239"/>
      <c r="I49" s="1239" t="s">
        <v>1039</v>
      </c>
      <c r="J49" s="446">
        <f>C48+7.5</f>
        <v>94326.250000000015</v>
      </c>
      <c r="K49" s="638" t="s">
        <v>2788</v>
      </c>
      <c r="L49" s="638"/>
      <c r="M49" s="497"/>
      <c r="N49" s="1239"/>
      <c r="O49" s="1239"/>
      <c r="P49" s="638"/>
      <c r="Q49" s="638"/>
      <c r="R49" s="447"/>
      <c r="S49" s="484">
        <f>AG50-AG48</f>
        <v>31.220000000001164</v>
      </c>
      <c r="T49" s="638"/>
      <c r="U49" s="638"/>
      <c r="V49" s="638"/>
      <c r="W49" s="638"/>
      <c r="X49" s="638"/>
      <c r="Y49" s="638"/>
      <c r="Z49" s="638"/>
      <c r="AA49" s="638"/>
      <c r="AB49" s="638"/>
      <c r="AC49" s="638"/>
      <c r="AD49" s="638"/>
      <c r="AE49" s="638"/>
      <c r="AF49" s="447"/>
      <c r="AG49" s="446"/>
      <c r="AH49" s="447"/>
      <c r="AI49" s="447"/>
      <c r="AJ49" s="638"/>
      <c r="AK49" s="638"/>
      <c r="AL49" s="638"/>
      <c r="AM49" s="638"/>
      <c r="AN49" s="484"/>
      <c r="AO49" s="484"/>
      <c r="AP49" s="484"/>
      <c r="AQ49" s="484">
        <f>+FL_2($T$50,$T$48,$G$49,1200,9.28, 1*$F$50)</f>
        <v>0.1</v>
      </c>
      <c r="AR49" s="484"/>
      <c r="AS49" s="484"/>
      <c r="AT49" s="484"/>
      <c r="AU49" s="484"/>
      <c r="AV49" s="484"/>
      <c r="AW49" s="638" t="str">
        <f>VLOOKUP(J49,'Foundation Calculation'!$A$2:$C$33,3,1)</f>
        <v>Soil A</v>
      </c>
      <c r="AX49" s="572" t="str">
        <f>VLOOKUP(J49,'Foundation Calculation'!$E$2:$G$33,3,1)</f>
        <v>PT</v>
      </c>
      <c r="AY49" s="484"/>
      <c r="AZ49" s="484">
        <f>IF(AX49="PT",VLOOKUP(K49,'Foundation Calculation'!$K$2:$R$40,VLOOKUP(AW49,'Foundation Calculation'!$I$2:$J$8,2,FALSE),0),IF(AX49="K",VLOOKUP(K49,'Foundation Calculation'!$K$42:$R$80,VLOOKUP(AW49,'Foundation Calculation'!$I$2:$J$8,2,FALSE),0),""))</f>
        <v>2.8</v>
      </c>
      <c r="BA49" s="671" t="s">
        <v>2809</v>
      </c>
      <c r="BB49" s="449"/>
      <c r="BD49" s="1329">
        <v>43715</v>
      </c>
      <c r="BE49" s="1330"/>
      <c r="BF49" s="1330"/>
      <c r="BG49" s="1330"/>
    </row>
    <row r="50" spans="1:59" ht="12.5">
      <c r="A50" s="449" t="s">
        <v>2944</v>
      </c>
      <c r="B50" s="440" t="s">
        <v>1866</v>
      </c>
      <c r="C50" s="446">
        <f>+$C$48+$G$49</f>
        <v>94349.950000000012</v>
      </c>
      <c r="D50" s="446"/>
      <c r="E50" s="638"/>
      <c r="F50" s="447">
        <v>-609.19000000000005</v>
      </c>
      <c r="G50" s="484"/>
      <c r="H50" s="638" t="s">
        <v>619</v>
      </c>
      <c r="I50" s="448" t="s">
        <v>1429</v>
      </c>
      <c r="J50" s="446"/>
      <c r="K50" s="638"/>
      <c r="L50" s="638" t="s">
        <v>819</v>
      </c>
      <c r="M50" s="1239" t="str">
        <f>IF(AX50="PT",VLOOKUP(L50,'Foundation Calculation'!$V$2:$X$40,VLOOKUP(AX50,'Foundation Calculation'!$I$10:$J$13,2,FALSE),0),IF(AX50="K",VLOOKUP(L50,'Foundation Calculation'!$V$42:$X$80,VLOOKUP(AX50,'Foundation Calculation'!$I$10:$J$13,2,FALSE),0),""))</f>
        <v>C5R</v>
      </c>
      <c r="N50" s="1239" t="s">
        <v>143</v>
      </c>
      <c r="O50" s="1239" t="s">
        <v>140</v>
      </c>
      <c r="P50" s="1239"/>
      <c r="Q50" s="638">
        <v>60</v>
      </c>
      <c r="R50" s="447">
        <v>609.19000000000005</v>
      </c>
      <c r="S50" s="484"/>
      <c r="T50" s="638">
        <v>10</v>
      </c>
      <c r="U50" s="638">
        <v>-35</v>
      </c>
      <c r="V50" s="638"/>
      <c r="W50" s="638">
        <v>1.4</v>
      </c>
      <c r="X50" s="638">
        <v>2.2999999999999998</v>
      </c>
      <c r="Y50" s="638"/>
      <c r="Z50" s="638"/>
      <c r="AA50" s="638">
        <v>0.45</v>
      </c>
      <c r="AB50" s="638"/>
      <c r="AC50" s="638" t="s">
        <v>4122</v>
      </c>
      <c r="AD50" s="638"/>
      <c r="AE50" s="638"/>
      <c r="AF50" s="447">
        <v>5000</v>
      </c>
      <c r="AG50" s="446">
        <v>94349.97</v>
      </c>
      <c r="AH50" s="447">
        <v>1813</v>
      </c>
      <c r="AI50" s="447">
        <v>-210</v>
      </c>
      <c r="AJ50" s="638" t="s">
        <v>2755</v>
      </c>
      <c r="AK50" s="638"/>
      <c r="AL50" s="638" t="s">
        <v>2127</v>
      </c>
      <c r="AM50" s="638" t="s">
        <v>1043</v>
      </c>
      <c r="AN50" s="484">
        <v>5.15</v>
      </c>
      <c r="AO50" s="484"/>
      <c r="AP50" s="484"/>
      <c r="AQ50" s="484"/>
      <c r="AR50" s="484"/>
      <c r="AS50" s="484"/>
      <c r="AT50" s="484">
        <f>+ab($T$50,$T$48,$T$52,$G$49,$G$51, 1*$F$50,1200)</f>
        <v>-4.4280666115071377</v>
      </c>
      <c r="AU50" s="484"/>
      <c r="AV50" s="484"/>
      <c r="AW50" s="638" t="str">
        <f>VLOOKUP(C50,'Foundation Calculation'!$A$2:$C$33,3,1)</f>
        <v>Soil A</v>
      </c>
      <c r="AX50" s="572" t="str">
        <f>VLOOKUP(C50,'Foundation Calculation'!$E$2:$G$33,3,1)</f>
        <v>PT</v>
      </c>
      <c r="AY50" s="636">
        <f>IF(AX50="PT",VLOOKUP(L50,'Foundation Calculation'!$K$2:$R$40,VLOOKUP(AW50,'Foundation Calculation'!$I$2:$J$8,2,FALSE),0),IF(AX50="K",VLOOKUP(L50,'Foundation Calculation'!$K$42:$R$80,VLOOKUP(AW50,'Foundation Calculation'!$I$2:$J$8,2,FALSE),0),""))</f>
        <v>3.5</v>
      </c>
      <c r="AZ50" s="484"/>
      <c r="BA50" s="671" t="s">
        <v>2809</v>
      </c>
      <c r="BB50" s="449" t="str">
        <f>Pole_Calculations!A178</f>
        <v>App.8-V08F-P10.3</v>
      </c>
      <c r="BD50" s="1329">
        <v>43715</v>
      </c>
      <c r="BE50" s="1329" t="s">
        <v>4946</v>
      </c>
      <c r="BF50" s="1329">
        <v>43810</v>
      </c>
      <c r="BG50" s="1329">
        <v>43808</v>
      </c>
    </row>
    <row r="51" spans="1:59" ht="12.5">
      <c r="A51" s="449"/>
      <c r="B51" s="170"/>
      <c r="C51" s="446"/>
      <c r="D51" s="446"/>
      <c r="E51" s="638"/>
      <c r="F51" s="447"/>
      <c r="G51" s="484">
        <v>35.299999999999997</v>
      </c>
      <c r="H51" s="1239"/>
      <c r="I51" s="448"/>
      <c r="J51" s="171"/>
      <c r="K51" s="638"/>
      <c r="L51" s="638"/>
      <c r="M51" s="497"/>
      <c r="N51" s="1239"/>
      <c r="O51" s="1239"/>
      <c r="P51" s="638"/>
      <c r="Q51" s="638"/>
      <c r="R51" s="447"/>
      <c r="S51" s="484">
        <f>AG52-AG50</f>
        <v>35.289999999993597</v>
      </c>
      <c r="T51" s="638"/>
      <c r="U51" s="638"/>
      <c r="V51" s="638"/>
      <c r="W51" s="638"/>
      <c r="X51" s="638"/>
      <c r="Y51" s="638"/>
      <c r="Z51" s="638"/>
      <c r="AA51" s="638"/>
      <c r="AB51" s="638"/>
      <c r="AC51" s="638"/>
      <c r="AD51" s="638"/>
      <c r="AE51" s="638"/>
      <c r="AF51" s="447"/>
      <c r="AG51" s="446"/>
      <c r="AH51" s="447"/>
      <c r="AI51" s="447"/>
      <c r="AJ51" s="638"/>
      <c r="AK51" s="638"/>
      <c r="AL51" s="638"/>
      <c r="AM51" s="638"/>
      <c r="AN51" s="484"/>
      <c r="AO51" s="484"/>
      <c r="AP51" s="484"/>
      <c r="AQ51" s="484">
        <f>+FL_2($T$52,$T$50,$G$51,1200,9.28, 1*$F$52)</f>
        <v>-0.3</v>
      </c>
      <c r="AR51" s="484"/>
      <c r="AS51" s="484"/>
      <c r="AT51" s="484"/>
      <c r="AU51" s="484"/>
      <c r="AV51" s="484"/>
      <c r="AW51" s="484"/>
      <c r="AX51" s="484"/>
      <c r="AY51" s="484"/>
      <c r="AZ51" s="484"/>
      <c r="BA51" s="1310"/>
      <c r="BB51" s="449"/>
      <c r="BD51" s="1330"/>
      <c r="BE51" s="1330"/>
      <c r="BF51" s="1330"/>
      <c r="BG51" s="1330"/>
    </row>
    <row r="52" spans="1:59" ht="12.5">
      <c r="A52" s="449"/>
      <c r="B52" s="440" t="s">
        <v>1867</v>
      </c>
      <c r="C52" s="446">
        <f>+$C$50+$G$51</f>
        <v>94385.250000000015</v>
      </c>
      <c r="D52" s="446"/>
      <c r="E52" s="638"/>
      <c r="F52" s="447">
        <v>-609.19000000000005</v>
      </c>
      <c r="G52" s="484"/>
      <c r="H52" s="1239" t="s">
        <v>138</v>
      </c>
      <c r="I52" s="1239" t="s">
        <v>4231</v>
      </c>
      <c r="J52" s="171"/>
      <c r="K52" s="638"/>
      <c r="L52" s="638" t="s">
        <v>899</v>
      </c>
      <c r="M52" s="1239" t="str">
        <f>IF(AX52="PT",VLOOKUP(L52,'Foundation Calculation'!$V$2:$X$40,VLOOKUP(AX52,'Foundation Calculation'!$I$10:$J$13,2,FALSE),0),IF(AX52="K",VLOOKUP(L52,'Foundation Calculation'!$V$42:$X$80,VLOOKUP(AX52,'Foundation Calculation'!$I$10:$J$13,2,FALSE),0),""))</f>
        <v>C5R</v>
      </c>
      <c r="N52" s="1239" t="s">
        <v>2789</v>
      </c>
      <c r="O52" s="1239"/>
      <c r="P52" s="638"/>
      <c r="Q52" s="638">
        <v>50</v>
      </c>
      <c r="R52" s="447">
        <v>609.19000000000005</v>
      </c>
      <c r="S52" s="484"/>
      <c r="T52" s="638">
        <v>-30</v>
      </c>
      <c r="U52" s="638"/>
      <c r="V52" s="638"/>
      <c r="W52" s="638">
        <v>1</v>
      </c>
      <c r="X52" s="638"/>
      <c r="Y52" s="638"/>
      <c r="Z52" s="638"/>
      <c r="AA52" s="638"/>
      <c r="AB52" s="638"/>
      <c r="AC52" s="638" t="s">
        <v>3050</v>
      </c>
      <c r="AD52" s="638"/>
      <c r="AE52" s="638"/>
      <c r="AF52" s="447">
        <v>4800</v>
      </c>
      <c r="AG52" s="446">
        <v>94385.26</v>
      </c>
      <c r="AH52" s="447">
        <v>2263</v>
      </c>
      <c r="AI52" s="447">
        <v>-200</v>
      </c>
      <c r="AJ52" s="638"/>
      <c r="AK52" s="638"/>
      <c r="AL52" s="638"/>
      <c r="AM52" s="638" t="s">
        <v>1043</v>
      </c>
      <c r="AN52" s="484">
        <v>5.15</v>
      </c>
      <c r="AO52" s="484"/>
      <c r="AP52" s="484"/>
      <c r="AQ52" s="484"/>
      <c r="AR52" s="484"/>
      <c r="AS52" s="484"/>
      <c r="AT52" s="484">
        <f>+ab($T$52,$T$50,$T$54,$G$51,$G$53, 1*$F$52,1200)</f>
        <v>-2.4749776087569719</v>
      </c>
      <c r="AU52" s="484"/>
      <c r="AV52" s="484"/>
      <c r="AW52" s="638" t="str">
        <f>VLOOKUP(C52,'Foundation Calculation'!$A$2:$C$33,3,1)</f>
        <v>Soil A</v>
      </c>
      <c r="AX52" s="572" t="str">
        <f>VLOOKUP(C52,'Foundation Calculation'!$E$2:$G$33,3,1)</f>
        <v>PT</v>
      </c>
      <c r="AY52" s="636">
        <f>IF(AX52="PT",VLOOKUP(L52,'Foundation Calculation'!$K$2:$R$40,VLOOKUP(AW52,'Foundation Calculation'!$I$2:$J$8,2,FALSE),0),IF(AX52="K",VLOOKUP(L52,'Foundation Calculation'!$K$42:$R$80,VLOOKUP(AW52,'Foundation Calculation'!$I$2:$J$8,2,FALSE),0),""))</f>
        <v>3.5</v>
      </c>
      <c r="AZ52" s="484"/>
      <c r="BA52" s="671" t="s">
        <v>2809</v>
      </c>
      <c r="BB52" s="449" t="str">
        <f>Pole_Calculations!A20</f>
        <v>App.7-V11A-P9.5.1.6</v>
      </c>
      <c r="BD52" s="1329">
        <v>43715</v>
      </c>
      <c r="BE52" s="1329" t="s">
        <v>4946</v>
      </c>
      <c r="BF52" s="1330"/>
      <c r="BG52" s="1329">
        <v>43808</v>
      </c>
    </row>
    <row r="53" spans="1:59" ht="12.5">
      <c r="A53" s="449"/>
      <c r="B53" s="170"/>
      <c r="C53" s="446"/>
      <c r="D53" s="446"/>
      <c r="E53" s="638"/>
      <c r="F53" s="447"/>
      <c r="G53" s="484">
        <v>45.3</v>
      </c>
      <c r="H53" s="1239"/>
      <c r="I53" s="448"/>
      <c r="J53" s="171">
        <f>C52+7.5</f>
        <v>94392.750000000015</v>
      </c>
      <c r="K53" s="638" t="s">
        <v>2787</v>
      </c>
      <c r="L53" s="638"/>
      <c r="M53" s="638"/>
      <c r="N53" s="1239"/>
      <c r="O53" s="1239"/>
      <c r="P53" s="638"/>
      <c r="Q53" s="638"/>
      <c r="R53" s="447"/>
      <c r="S53" s="484">
        <f>AG54-AG52</f>
        <v>45.150000000008731</v>
      </c>
      <c r="T53" s="638"/>
      <c r="U53" s="638"/>
      <c r="V53" s="638"/>
      <c r="W53" s="638"/>
      <c r="X53" s="638"/>
      <c r="Y53" s="638"/>
      <c r="Z53" s="638"/>
      <c r="AA53" s="638"/>
      <c r="AB53" s="638"/>
      <c r="AC53" s="638"/>
      <c r="AD53" s="638"/>
      <c r="AE53" s="638"/>
      <c r="AF53" s="447"/>
      <c r="AG53" s="446"/>
      <c r="AH53" s="447"/>
      <c r="AI53" s="447"/>
      <c r="AJ53" s="638"/>
      <c r="AK53" s="638"/>
      <c r="AL53" s="638"/>
      <c r="AM53" s="638"/>
      <c r="AN53" s="484"/>
      <c r="AO53" s="484"/>
      <c r="AP53" s="484"/>
      <c r="AQ53" s="484">
        <f>+FL_2($T$54,$T$52,$G$53,1200,9.28, 1*$F$54)</f>
        <v>-0.30019668847991182</v>
      </c>
      <c r="AR53" s="484"/>
      <c r="AS53" s="484"/>
      <c r="AT53" s="484"/>
      <c r="AU53" s="484"/>
      <c r="AV53" s="484"/>
      <c r="AW53" s="638" t="str">
        <f>VLOOKUP(J53,'Foundation Calculation'!$A$2:$C$33,3,1)</f>
        <v>Soil A</v>
      </c>
      <c r="AX53" s="572" t="str">
        <f>VLOOKUP(J53,'Foundation Calculation'!$E$2:$G$33,3,1)</f>
        <v>PT</v>
      </c>
      <c r="AY53" s="484"/>
      <c r="AZ53" s="484">
        <f>IF(AX53="PT",VLOOKUP(K53,'Foundation Calculation'!$K$2:$R$40,VLOOKUP(AW53,'Foundation Calculation'!$I$2:$J$8,2,FALSE),0),IF(AX53="K",VLOOKUP(K53,'Foundation Calculation'!$K$42:$R$80,VLOOKUP(AW53,'Foundation Calculation'!$I$2:$J$8,2,FALSE),0),""))</f>
        <v>3.3</v>
      </c>
      <c r="BA53" s="671" t="s">
        <v>2809</v>
      </c>
      <c r="BB53" s="449"/>
      <c r="BD53" s="1329">
        <v>43715</v>
      </c>
      <c r="BE53" s="1330"/>
      <c r="BF53" s="1330"/>
      <c r="BG53" s="1330"/>
    </row>
    <row r="54" spans="1:59" ht="12.5">
      <c r="A54" s="449"/>
      <c r="B54" s="568" t="s">
        <v>1868</v>
      </c>
      <c r="C54" s="446">
        <f>+$C$52+$G$53</f>
        <v>94430.550000000017</v>
      </c>
      <c r="D54" s="446"/>
      <c r="E54" s="638"/>
      <c r="F54" s="447">
        <v>-609.19000000000005</v>
      </c>
      <c r="G54" s="484"/>
      <c r="H54" s="1239"/>
      <c r="I54" s="448" t="s">
        <v>1039</v>
      </c>
      <c r="J54" s="446"/>
      <c r="K54" s="638"/>
      <c r="L54" s="638" t="s">
        <v>821</v>
      </c>
      <c r="M54" s="1239" t="str">
        <f>IF(AX54="PT",VLOOKUP(L54,'Foundation Calculation'!$V$2:$X$40,VLOOKUP(AX54,'Foundation Calculation'!$I$10:$J$13,2,FALSE),0),IF(AX54="K",VLOOKUP(L54,'Foundation Calculation'!$V$42:$X$80,VLOOKUP(AX54,'Foundation Calculation'!$I$10:$J$13,2,FALSE),0),""))</f>
        <v>C7R</v>
      </c>
      <c r="N54" s="1239" t="s">
        <v>143</v>
      </c>
      <c r="O54" s="1239"/>
      <c r="P54" s="638"/>
      <c r="Q54" s="638">
        <v>40</v>
      </c>
      <c r="R54" s="447">
        <v>255.23</v>
      </c>
      <c r="S54" s="484"/>
      <c r="T54" s="638">
        <v>-30</v>
      </c>
      <c r="U54" s="638"/>
      <c r="V54" s="638"/>
      <c r="W54" s="638">
        <v>0.6</v>
      </c>
      <c r="X54" s="638"/>
      <c r="Y54" s="638"/>
      <c r="Z54" s="638"/>
      <c r="AA54" s="638"/>
      <c r="AB54" s="638"/>
      <c r="AC54" s="638" t="s">
        <v>4128</v>
      </c>
      <c r="AD54" s="638"/>
      <c r="AE54" s="638"/>
      <c r="AF54" s="447">
        <v>4500</v>
      </c>
      <c r="AG54" s="446">
        <v>94430.41</v>
      </c>
      <c r="AH54" s="447">
        <v>2633</v>
      </c>
      <c r="AI54" s="447">
        <v>-310</v>
      </c>
      <c r="AJ54" s="638"/>
      <c r="AK54" s="638"/>
      <c r="AL54" s="638" t="s">
        <v>2135</v>
      </c>
      <c r="AM54" s="638" t="s">
        <v>1043</v>
      </c>
      <c r="AN54" s="484">
        <v>5.15</v>
      </c>
      <c r="AO54" s="484"/>
      <c r="AP54" s="484"/>
      <c r="AQ54" s="484"/>
      <c r="AR54" s="484"/>
      <c r="AS54" s="484"/>
      <c r="AT54" s="484">
        <f>+ab($T$54,$T$52,$T$60,$G$53,$G$55, 1*$F$54,1200)</f>
        <v>-2.7913755873826469</v>
      </c>
      <c r="AU54" s="484"/>
      <c r="AV54" s="484"/>
      <c r="AW54" s="638" t="str">
        <f>VLOOKUP(C54,'Foundation Calculation'!$A$2:$C$33,3,1)</f>
        <v>Soil A</v>
      </c>
      <c r="AX54" s="572" t="str">
        <f>VLOOKUP(C54,'Foundation Calculation'!$E$2:$G$33,3,1)</f>
        <v>PT</v>
      </c>
      <c r="AY54" s="636">
        <f>IF(AX54="PT",VLOOKUP(L54,'Foundation Calculation'!$K$2:$R$40,VLOOKUP(AW54,'Foundation Calculation'!$I$2:$J$8,2,FALSE),0),IF(AX54="K",VLOOKUP(L54,'Foundation Calculation'!$K$42:$R$80,VLOOKUP(AW54,'Foundation Calculation'!$I$2:$J$8,2,FALSE),0),""))</f>
        <v>4</v>
      </c>
      <c r="AZ54" s="484"/>
      <c r="BA54" s="671" t="s">
        <v>2809</v>
      </c>
      <c r="BB54" s="449" t="str">
        <f>Pole_Calculations!A178</f>
        <v>App.8-V08F-P10.3</v>
      </c>
      <c r="BD54" s="1329">
        <v>43715</v>
      </c>
      <c r="BE54" s="1329" t="s">
        <v>4946</v>
      </c>
      <c r="BF54" s="1329">
        <v>43810</v>
      </c>
      <c r="BG54" s="1329">
        <v>43808</v>
      </c>
    </row>
    <row r="55" spans="1:59" ht="12.5">
      <c r="A55" s="414"/>
      <c r="B55" s="423"/>
      <c r="C55" s="416"/>
      <c r="D55" s="416"/>
      <c r="E55" s="417"/>
      <c r="F55" s="418"/>
      <c r="G55" s="422">
        <v>34.9</v>
      </c>
      <c r="H55" s="420"/>
      <c r="I55" s="421"/>
      <c r="J55" s="416"/>
      <c r="K55" s="417"/>
      <c r="L55" s="417"/>
      <c r="M55" s="417"/>
      <c r="N55" s="420"/>
      <c r="O55" s="420"/>
      <c r="P55" s="417"/>
      <c r="Q55" s="417"/>
      <c r="R55" s="418"/>
      <c r="S55" s="422">
        <f>AG60-AG54</f>
        <v>-94430.41</v>
      </c>
      <c r="T55" s="417"/>
      <c r="U55" s="417"/>
      <c r="V55" s="417"/>
      <c r="W55" s="417"/>
      <c r="X55" s="417"/>
      <c r="Y55" s="417"/>
      <c r="Z55" s="417"/>
      <c r="AA55" s="417"/>
      <c r="AB55" s="417"/>
      <c r="AC55" s="417"/>
      <c r="AD55" s="417"/>
      <c r="AE55" s="417"/>
      <c r="AF55" s="418"/>
      <c r="AG55" s="416"/>
      <c r="AH55" s="418"/>
      <c r="AI55" s="418"/>
      <c r="AJ55" s="417"/>
      <c r="AK55" s="417"/>
      <c r="AL55" s="417"/>
      <c r="AM55" s="417"/>
      <c r="AN55" s="422"/>
      <c r="AO55" s="422"/>
      <c r="AP55" s="422"/>
      <c r="AQ55" s="422">
        <f>+FL_2($T$60,$T$54,$G$55,1200,9.28, 1*$F$60)</f>
        <v>-0.37304922049283668</v>
      </c>
      <c r="AR55" s="422"/>
      <c r="AS55" s="422"/>
      <c r="AT55" s="422"/>
      <c r="AU55" s="422"/>
      <c r="AV55" s="422"/>
      <c r="AW55" s="422"/>
      <c r="AX55" s="422"/>
      <c r="AY55" s="422"/>
      <c r="AZ55" s="422"/>
      <c r="BA55" s="1308"/>
      <c r="BB55" s="414"/>
      <c r="BD55" s="1330"/>
      <c r="BE55" s="1330"/>
      <c r="BF55" s="1330"/>
      <c r="BG55" s="1330"/>
    </row>
    <row r="56" spans="1:59" ht="12.5">
      <c r="A56" s="414"/>
      <c r="B56" s="423" t="s">
        <v>4598</v>
      </c>
      <c r="C56" s="416">
        <f>C54+G55</f>
        <v>94465.450000000012</v>
      </c>
      <c r="D56" s="416"/>
      <c r="E56" s="417"/>
      <c r="F56" s="418">
        <v>-1253.81</v>
      </c>
      <c r="G56" s="422"/>
      <c r="H56" s="420" t="s">
        <v>873</v>
      </c>
      <c r="I56" s="417"/>
      <c r="J56" s="416">
        <f>C56</f>
        <v>94465.450000000012</v>
      </c>
      <c r="K56" s="417" t="s">
        <v>897</v>
      </c>
      <c r="L56" s="417"/>
      <c r="M56" s="417"/>
      <c r="N56" s="420"/>
      <c r="O56" s="420"/>
      <c r="P56" s="417"/>
      <c r="Q56" s="417"/>
      <c r="R56" s="418"/>
      <c r="S56" s="422"/>
      <c r="T56" s="417">
        <v>-4</v>
      </c>
      <c r="U56" s="417"/>
      <c r="V56" s="417"/>
      <c r="W56" s="417"/>
      <c r="X56" s="417"/>
      <c r="Y56" s="417"/>
      <c r="Z56" s="417"/>
      <c r="AA56" s="417"/>
      <c r="AB56" s="417"/>
      <c r="AC56" s="417"/>
      <c r="AD56" s="417"/>
      <c r="AE56" s="417"/>
      <c r="AF56" s="418"/>
      <c r="AG56" s="416"/>
      <c r="AH56" s="418"/>
      <c r="AI56" s="418"/>
      <c r="AJ56" s="417"/>
      <c r="AK56" s="417" t="s">
        <v>4624</v>
      </c>
      <c r="AL56" s="417"/>
      <c r="AM56" s="417" t="s">
        <v>1043</v>
      </c>
      <c r="AN56" s="422">
        <v>5.15</v>
      </c>
      <c r="AO56" s="422"/>
      <c r="AP56" s="422"/>
      <c r="AQ56" s="422"/>
      <c r="AR56" s="422"/>
      <c r="AS56" s="422"/>
      <c r="AT56" s="422"/>
      <c r="AU56" s="422"/>
      <c r="AV56" s="422"/>
      <c r="AW56" s="422" t="s">
        <v>4971</v>
      </c>
      <c r="AX56" s="422"/>
      <c r="AY56" s="422"/>
      <c r="AZ56" s="422"/>
      <c r="BA56" s="1308" t="s">
        <v>2809</v>
      </c>
      <c r="BB56" s="414"/>
      <c r="BC56" s="169" t="s">
        <v>4955</v>
      </c>
      <c r="BD56" s="1330"/>
      <c r="BE56" s="1329">
        <v>43845</v>
      </c>
      <c r="BF56" s="1330"/>
      <c r="BG56" s="1330"/>
    </row>
    <row r="57" spans="1:59" ht="12.5">
      <c r="A57" s="414"/>
      <c r="B57" s="423"/>
      <c r="C57" s="416"/>
      <c r="D57" s="416"/>
      <c r="E57" s="417"/>
      <c r="F57" s="418"/>
      <c r="G57" s="422">
        <v>6</v>
      </c>
      <c r="H57" s="420"/>
      <c r="I57" s="421"/>
      <c r="J57" s="416"/>
      <c r="K57" s="417"/>
      <c r="L57" s="417"/>
      <c r="M57" s="417"/>
      <c r="N57" s="420"/>
      <c r="O57" s="420"/>
      <c r="P57" s="417"/>
      <c r="Q57" s="417"/>
      <c r="R57" s="418"/>
      <c r="S57" s="422"/>
      <c r="T57" s="417"/>
      <c r="U57" s="417"/>
      <c r="V57" s="417"/>
      <c r="W57" s="417"/>
      <c r="X57" s="417"/>
      <c r="Y57" s="417"/>
      <c r="Z57" s="417"/>
      <c r="AA57" s="417"/>
      <c r="AB57" s="417"/>
      <c r="AC57" s="417"/>
      <c r="AD57" s="417"/>
      <c r="AE57" s="417"/>
      <c r="AF57" s="418"/>
      <c r="AG57" s="416"/>
      <c r="AH57" s="418"/>
      <c r="AI57" s="418"/>
      <c r="AJ57" s="417"/>
      <c r="AK57" s="417"/>
      <c r="AL57" s="417"/>
      <c r="AM57" s="417"/>
      <c r="AN57" s="422"/>
      <c r="AO57" s="422"/>
      <c r="AP57" s="422"/>
      <c r="AQ57" s="422"/>
      <c r="AR57" s="422"/>
      <c r="AS57" s="422"/>
      <c r="AT57" s="422"/>
      <c r="AU57" s="422"/>
      <c r="AV57" s="422"/>
      <c r="AW57" s="422"/>
      <c r="AX57" s="422"/>
      <c r="AY57" s="422"/>
      <c r="AZ57" s="422"/>
      <c r="BA57" s="1308"/>
      <c r="BB57" s="414"/>
      <c r="BD57" s="1330"/>
      <c r="BE57" s="1330"/>
      <c r="BF57" s="1330"/>
      <c r="BG57" s="1330"/>
    </row>
    <row r="58" spans="1:59" ht="12.5">
      <c r="A58" s="414"/>
      <c r="B58" s="423" t="s">
        <v>4597</v>
      </c>
      <c r="C58" s="416">
        <f>C56+G57</f>
        <v>94471.450000000012</v>
      </c>
      <c r="D58" s="416"/>
      <c r="E58" s="417"/>
      <c r="F58" s="418">
        <v>0</v>
      </c>
      <c r="G58" s="422"/>
      <c r="H58" s="420"/>
      <c r="I58" s="421"/>
      <c r="J58" s="416"/>
      <c r="K58" s="417"/>
      <c r="L58" s="417"/>
      <c r="M58" s="417"/>
      <c r="N58" s="420"/>
      <c r="O58" s="420"/>
      <c r="P58" s="417"/>
      <c r="Q58" s="417"/>
      <c r="R58" s="418"/>
      <c r="S58" s="422"/>
      <c r="T58" s="417">
        <v>-10</v>
      </c>
      <c r="U58" s="417"/>
      <c r="V58" s="417"/>
      <c r="W58" s="417"/>
      <c r="X58" s="417"/>
      <c r="Y58" s="417"/>
      <c r="Z58" s="417"/>
      <c r="AA58" s="417"/>
      <c r="AB58" s="417"/>
      <c r="AC58" s="417"/>
      <c r="AD58" s="417"/>
      <c r="AE58" s="417"/>
      <c r="AF58" s="418"/>
      <c r="AG58" s="416"/>
      <c r="AH58" s="418"/>
      <c r="AI58" s="418"/>
      <c r="AJ58" s="417"/>
      <c r="AK58" s="417" t="s">
        <v>4624</v>
      </c>
      <c r="AL58" s="417"/>
      <c r="AM58" s="417" t="s">
        <v>1043</v>
      </c>
      <c r="AN58" s="422">
        <v>5.15</v>
      </c>
      <c r="AO58" s="422"/>
      <c r="AP58" s="422"/>
      <c r="AQ58" s="422"/>
      <c r="AR58" s="422"/>
      <c r="AS58" s="422"/>
      <c r="AT58" s="422"/>
      <c r="AU58" s="422"/>
      <c r="AV58" s="422"/>
      <c r="AW58" s="422" t="s">
        <v>4969</v>
      </c>
      <c r="AX58" s="422"/>
      <c r="AY58" s="422"/>
      <c r="AZ58" s="422"/>
      <c r="BA58" s="1308" t="s">
        <v>2809</v>
      </c>
      <c r="BB58" s="414"/>
      <c r="BC58" s="169" t="s">
        <v>4955</v>
      </c>
      <c r="BD58" s="1330"/>
      <c r="BE58" s="1329">
        <v>43845</v>
      </c>
      <c r="BF58" s="1330"/>
      <c r="BG58" s="1330"/>
    </row>
    <row r="59" spans="1:59" ht="12.5">
      <c r="A59" s="414"/>
      <c r="B59" s="423"/>
      <c r="C59" s="416"/>
      <c r="D59" s="416"/>
      <c r="E59" s="417"/>
      <c r="F59" s="418"/>
      <c r="G59" s="422">
        <v>6</v>
      </c>
      <c r="H59" s="420"/>
      <c r="I59" s="421"/>
      <c r="J59" s="416"/>
      <c r="K59" s="417"/>
      <c r="L59" s="417"/>
      <c r="M59" s="417"/>
      <c r="N59" s="420"/>
      <c r="O59" s="420"/>
      <c r="P59" s="417"/>
      <c r="Q59" s="417"/>
      <c r="R59" s="418"/>
      <c r="S59" s="422"/>
      <c r="T59" s="417"/>
      <c r="U59" s="417"/>
      <c r="V59" s="417"/>
      <c r="W59" s="417"/>
      <c r="X59" s="417"/>
      <c r="Y59" s="417"/>
      <c r="Z59" s="417"/>
      <c r="AA59" s="417"/>
      <c r="AB59" s="417"/>
      <c r="AC59" s="417"/>
      <c r="AD59" s="417"/>
      <c r="AE59" s="417"/>
      <c r="AF59" s="418"/>
      <c r="AG59" s="416"/>
      <c r="AH59" s="418"/>
      <c r="AI59" s="418"/>
      <c r="AJ59" s="417"/>
      <c r="AK59" s="417"/>
      <c r="AL59" s="417"/>
      <c r="AM59" s="417"/>
      <c r="AN59" s="422"/>
      <c r="AO59" s="422"/>
      <c r="AP59" s="422"/>
      <c r="AQ59" s="422"/>
      <c r="AR59" s="422"/>
      <c r="AS59" s="422"/>
      <c r="AT59" s="422"/>
      <c r="AU59" s="422"/>
      <c r="AV59" s="422"/>
      <c r="AW59" s="422"/>
      <c r="AX59" s="422"/>
      <c r="AY59" s="422"/>
      <c r="AZ59" s="422"/>
      <c r="BA59" s="1308"/>
      <c r="BB59" s="414"/>
      <c r="BD59" s="1330"/>
      <c r="BE59" s="1330"/>
      <c r="BF59" s="1330"/>
      <c r="BG59" s="1330"/>
    </row>
    <row r="60" spans="1:59" ht="12.5">
      <c r="A60" s="414"/>
      <c r="B60" s="603" t="s">
        <v>1869</v>
      </c>
      <c r="C60" s="416">
        <f>C58+G59</f>
        <v>94477.450000000012</v>
      </c>
      <c r="D60" s="416"/>
      <c r="E60" s="417"/>
      <c r="F60" s="418">
        <v>0</v>
      </c>
      <c r="G60" s="422"/>
      <c r="H60" s="420"/>
      <c r="I60" s="417"/>
      <c r="J60" s="416"/>
      <c r="K60" s="417"/>
      <c r="L60" s="417"/>
      <c r="M60" s="417"/>
      <c r="N60" s="420"/>
      <c r="O60" s="420"/>
      <c r="P60" s="417"/>
      <c r="Q60" s="417"/>
      <c r="R60" s="418"/>
      <c r="S60" s="422"/>
      <c r="T60" s="417">
        <v>-20</v>
      </c>
      <c r="U60" s="417"/>
      <c r="V60" s="417"/>
      <c r="W60" s="417"/>
      <c r="X60" s="417"/>
      <c r="Y60" s="417"/>
      <c r="Z60" s="417"/>
      <c r="AA60" s="417"/>
      <c r="AB60" s="417"/>
      <c r="AC60" s="417"/>
      <c r="AD60" s="417"/>
      <c r="AE60" s="417"/>
      <c r="AF60" s="418"/>
      <c r="AG60" s="416"/>
      <c r="AH60" s="418"/>
      <c r="AI60" s="418"/>
      <c r="AJ60" s="417"/>
      <c r="AK60" s="417" t="s">
        <v>4624</v>
      </c>
      <c r="AL60" s="417"/>
      <c r="AM60" s="417" t="s">
        <v>1043</v>
      </c>
      <c r="AN60" s="422">
        <v>5.15</v>
      </c>
      <c r="AO60" s="422"/>
      <c r="AP60" s="422"/>
      <c r="AQ60" s="422"/>
      <c r="AR60" s="422"/>
      <c r="AS60" s="422"/>
      <c r="AT60" s="422"/>
      <c r="AU60" s="422"/>
      <c r="AV60" s="422"/>
      <c r="AW60" s="417" t="s">
        <v>4969</v>
      </c>
      <c r="AX60" s="417"/>
      <c r="AY60" s="422"/>
      <c r="AZ60" s="422"/>
      <c r="BA60" s="604" t="s">
        <v>2809</v>
      </c>
      <c r="BB60" s="414"/>
      <c r="BC60" s="169" t="s">
        <v>4955</v>
      </c>
      <c r="BD60" s="1330"/>
      <c r="BE60" s="1329">
        <v>43844</v>
      </c>
      <c r="BF60" s="1330"/>
      <c r="BG60" s="1330"/>
    </row>
    <row r="61" spans="1:59" ht="12.5">
      <c r="A61" s="414"/>
      <c r="B61" s="603"/>
      <c r="C61" s="416"/>
      <c r="D61" s="416"/>
      <c r="E61" s="417"/>
      <c r="F61" s="418"/>
      <c r="G61" s="422">
        <v>6</v>
      </c>
      <c r="H61" s="420"/>
      <c r="I61" s="417"/>
      <c r="J61" s="416"/>
      <c r="K61" s="417"/>
      <c r="L61" s="417"/>
      <c r="M61" s="417"/>
      <c r="N61" s="420"/>
      <c r="O61" s="420"/>
      <c r="P61" s="417"/>
      <c r="Q61" s="417"/>
      <c r="R61" s="418"/>
      <c r="S61" s="422"/>
      <c r="T61" s="417"/>
      <c r="U61" s="417"/>
      <c r="V61" s="417"/>
      <c r="W61" s="417"/>
      <c r="X61" s="417"/>
      <c r="Y61" s="417"/>
      <c r="Z61" s="417"/>
      <c r="AA61" s="417"/>
      <c r="AB61" s="417"/>
      <c r="AC61" s="417"/>
      <c r="AD61" s="417"/>
      <c r="AE61" s="417"/>
      <c r="AF61" s="418"/>
      <c r="AG61" s="416"/>
      <c r="AH61" s="418"/>
      <c r="AI61" s="418"/>
      <c r="AJ61" s="417"/>
      <c r="AK61" s="417"/>
      <c r="AL61" s="417"/>
      <c r="AM61" s="417"/>
      <c r="AN61" s="422"/>
      <c r="AO61" s="422"/>
      <c r="AP61" s="422"/>
      <c r="AQ61" s="422"/>
      <c r="AR61" s="422"/>
      <c r="AS61" s="422"/>
      <c r="AT61" s="422"/>
      <c r="AU61" s="422"/>
      <c r="AV61" s="422"/>
      <c r="AW61" s="417"/>
      <c r="AX61" s="417"/>
      <c r="AY61" s="422"/>
      <c r="AZ61" s="422"/>
      <c r="BA61" s="604"/>
      <c r="BB61" s="414"/>
      <c r="BD61" s="1330"/>
      <c r="BE61" s="1330"/>
      <c r="BF61" s="1330"/>
      <c r="BG61" s="1330"/>
    </row>
    <row r="62" spans="1:59" ht="12.5">
      <c r="A62" s="414"/>
      <c r="B62" s="603" t="s">
        <v>4599</v>
      </c>
      <c r="C62" s="416">
        <f>C60+G61</f>
        <v>94483.450000000012</v>
      </c>
      <c r="D62" s="416"/>
      <c r="E62" s="417"/>
      <c r="F62" s="418">
        <v>0</v>
      </c>
      <c r="G62" s="422"/>
      <c r="H62" s="420"/>
      <c r="I62" s="417"/>
      <c r="J62" s="416"/>
      <c r="K62" s="417"/>
      <c r="L62" s="417"/>
      <c r="M62" s="417"/>
      <c r="N62" s="420"/>
      <c r="O62" s="420"/>
      <c r="P62" s="417"/>
      <c r="Q62" s="417"/>
      <c r="R62" s="418"/>
      <c r="S62" s="422"/>
      <c r="T62" s="417">
        <v>-18</v>
      </c>
      <c r="U62" s="417"/>
      <c r="V62" s="417"/>
      <c r="W62" s="417"/>
      <c r="X62" s="417"/>
      <c r="Y62" s="417"/>
      <c r="Z62" s="417"/>
      <c r="AA62" s="417"/>
      <c r="AB62" s="417"/>
      <c r="AC62" s="417"/>
      <c r="AD62" s="417"/>
      <c r="AE62" s="417"/>
      <c r="AF62" s="418"/>
      <c r="AG62" s="416"/>
      <c r="AH62" s="418"/>
      <c r="AI62" s="418"/>
      <c r="AJ62" s="417"/>
      <c r="AK62" s="417" t="s">
        <v>4624</v>
      </c>
      <c r="AL62" s="417"/>
      <c r="AM62" s="417" t="s">
        <v>1043</v>
      </c>
      <c r="AN62" s="422">
        <v>5.15</v>
      </c>
      <c r="AO62" s="422"/>
      <c r="AP62" s="422"/>
      <c r="AQ62" s="422"/>
      <c r="AR62" s="422"/>
      <c r="AS62" s="422"/>
      <c r="AT62" s="422"/>
      <c r="AU62" s="422"/>
      <c r="AV62" s="422"/>
      <c r="AW62" s="417" t="s">
        <v>4969</v>
      </c>
      <c r="AX62" s="417"/>
      <c r="AY62" s="422"/>
      <c r="AZ62" s="422"/>
      <c r="BA62" s="604" t="s">
        <v>2809</v>
      </c>
      <c r="BB62" s="414"/>
      <c r="BC62" s="169" t="s">
        <v>4955</v>
      </c>
      <c r="BD62" s="1330"/>
      <c r="BE62" s="1329">
        <v>43844</v>
      </c>
      <c r="BF62" s="1330"/>
      <c r="BG62" s="1330"/>
    </row>
    <row r="63" spans="1:59" ht="12.5">
      <c r="A63" s="414" t="s">
        <v>1853</v>
      </c>
      <c r="B63" s="603"/>
      <c r="C63" s="416"/>
      <c r="D63" s="416"/>
      <c r="E63" s="417"/>
      <c r="F63" s="418"/>
      <c r="G63" s="422">
        <v>6</v>
      </c>
      <c r="H63" s="420"/>
      <c r="I63" s="417"/>
      <c r="J63" s="416"/>
      <c r="K63" s="417"/>
      <c r="L63" s="417"/>
      <c r="M63" s="417"/>
      <c r="N63" s="420"/>
      <c r="O63" s="420"/>
      <c r="P63" s="417"/>
      <c r="Q63" s="417"/>
      <c r="R63" s="418"/>
      <c r="S63" s="422"/>
      <c r="T63" s="417"/>
      <c r="U63" s="417"/>
      <c r="V63" s="417"/>
      <c r="W63" s="417"/>
      <c r="X63" s="417"/>
      <c r="Y63" s="417"/>
      <c r="Z63" s="417"/>
      <c r="AA63" s="417"/>
      <c r="AB63" s="417"/>
      <c r="AC63" s="417"/>
      <c r="AD63" s="417"/>
      <c r="AE63" s="417"/>
      <c r="AF63" s="418"/>
      <c r="AG63" s="416"/>
      <c r="AH63" s="418"/>
      <c r="AI63" s="418"/>
      <c r="AJ63" s="417"/>
      <c r="AK63" s="417"/>
      <c r="AL63" s="417"/>
      <c r="AM63" s="417"/>
      <c r="AN63" s="422"/>
      <c r="AO63" s="422"/>
      <c r="AP63" s="422"/>
      <c r="AQ63" s="422"/>
      <c r="AR63" s="422"/>
      <c r="AS63" s="422"/>
      <c r="AT63" s="422"/>
      <c r="AU63" s="422"/>
      <c r="AV63" s="422"/>
      <c r="AW63" s="417"/>
      <c r="AX63" s="417"/>
      <c r="AY63" s="422"/>
      <c r="AZ63" s="422"/>
      <c r="BA63" s="604"/>
      <c r="BB63" s="414"/>
      <c r="BD63" s="1330"/>
      <c r="BE63" s="1330"/>
      <c r="BF63" s="1330"/>
      <c r="BG63" s="1330"/>
    </row>
    <row r="64" spans="1:59" ht="12.5">
      <c r="A64" s="414" t="s">
        <v>4623</v>
      </c>
      <c r="B64" s="603" t="s">
        <v>4600</v>
      </c>
      <c r="C64" s="416">
        <f>C62+G63</f>
        <v>94489.450000000012</v>
      </c>
      <c r="D64" s="416"/>
      <c r="E64" s="417"/>
      <c r="F64" s="418">
        <v>0</v>
      </c>
      <c r="G64" s="422"/>
      <c r="H64" s="420"/>
      <c r="I64" s="417"/>
      <c r="J64" s="416"/>
      <c r="K64" s="417"/>
      <c r="L64" s="417"/>
      <c r="M64" s="417"/>
      <c r="N64" s="420"/>
      <c r="O64" s="420"/>
      <c r="P64" s="417"/>
      <c r="Q64" s="417"/>
      <c r="R64" s="418"/>
      <c r="S64" s="422"/>
      <c r="T64" s="417">
        <v>-17</v>
      </c>
      <c r="U64" s="417"/>
      <c r="V64" s="417"/>
      <c r="W64" s="417"/>
      <c r="X64" s="417"/>
      <c r="Y64" s="417"/>
      <c r="Z64" s="417"/>
      <c r="AA64" s="417"/>
      <c r="AB64" s="417"/>
      <c r="AC64" s="417"/>
      <c r="AD64" s="417"/>
      <c r="AE64" s="417"/>
      <c r="AF64" s="418"/>
      <c r="AG64" s="416"/>
      <c r="AH64" s="418"/>
      <c r="AI64" s="418"/>
      <c r="AJ64" s="417"/>
      <c r="AK64" s="417" t="s">
        <v>4624</v>
      </c>
      <c r="AL64" s="417"/>
      <c r="AM64" s="417" t="s">
        <v>1043</v>
      </c>
      <c r="AN64" s="422">
        <v>5.15</v>
      </c>
      <c r="AO64" s="422"/>
      <c r="AP64" s="422"/>
      <c r="AQ64" s="422"/>
      <c r="AR64" s="422"/>
      <c r="AS64" s="422"/>
      <c r="AT64" s="422"/>
      <c r="AU64" s="422"/>
      <c r="AV64" s="422"/>
      <c r="AW64" s="417" t="s">
        <v>4969</v>
      </c>
      <c r="AX64" s="417"/>
      <c r="AY64" s="422"/>
      <c r="AZ64" s="422"/>
      <c r="BA64" s="604" t="s">
        <v>2809</v>
      </c>
      <c r="BB64" s="414"/>
      <c r="BC64" s="169" t="s">
        <v>4955</v>
      </c>
      <c r="BD64" s="1330"/>
      <c r="BE64" s="1329">
        <v>43843</v>
      </c>
      <c r="BF64" s="1330"/>
      <c r="BG64" s="1330"/>
    </row>
    <row r="65" spans="1:59" ht="12.5">
      <c r="A65" s="414"/>
      <c r="B65" s="603"/>
      <c r="C65" s="416"/>
      <c r="D65" s="416"/>
      <c r="E65" s="417"/>
      <c r="F65" s="418"/>
      <c r="G65" s="422">
        <v>6</v>
      </c>
      <c r="H65" s="420"/>
      <c r="I65" s="417"/>
      <c r="J65" s="416"/>
      <c r="K65" s="417"/>
      <c r="L65" s="417"/>
      <c r="M65" s="417"/>
      <c r="N65" s="420"/>
      <c r="O65" s="420"/>
      <c r="P65" s="417"/>
      <c r="Q65" s="417"/>
      <c r="R65" s="418"/>
      <c r="S65" s="422"/>
      <c r="T65" s="417"/>
      <c r="U65" s="417"/>
      <c r="V65" s="417"/>
      <c r="W65" s="417"/>
      <c r="X65" s="417"/>
      <c r="Y65" s="417"/>
      <c r="Z65" s="417"/>
      <c r="AA65" s="417"/>
      <c r="AB65" s="417"/>
      <c r="AC65" s="417"/>
      <c r="AD65" s="417"/>
      <c r="AE65" s="417"/>
      <c r="AF65" s="418"/>
      <c r="AG65" s="416"/>
      <c r="AH65" s="418"/>
      <c r="AI65" s="418"/>
      <c r="AJ65" s="417"/>
      <c r="AK65" s="417"/>
      <c r="AL65" s="417"/>
      <c r="AM65" s="417"/>
      <c r="AN65" s="422"/>
      <c r="AO65" s="422"/>
      <c r="AP65" s="422"/>
      <c r="AQ65" s="422"/>
      <c r="AR65" s="422"/>
      <c r="AS65" s="422"/>
      <c r="AT65" s="422"/>
      <c r="AU65" s="422"/>
      <c r="AV65" s="422"/>
      <c r="AW65" s="417"/>
      <c r="AX65" s="417"/>
      <c r="AY65" s="422"/>
      <c r="AZ65" s="422"/>
      <c r="BA65" s="604"/>
      <c r="BB65" s="414"/>
      <c r="BD65" s="1330"/>
      <c r="BE65" s="1330"/>
      <c r="BF65" s="1330"/>
      <c r="BG65" s="1330"/>
    </row>
    <row r="66" spans="1:59" ht="12.5">
      <c r="A66" s="414"/>
      <c r="B66" s="603" t="s">
        <v>4601</v>
      </c>
      <c r="C66" s="416">
        <f>C64+G65</f>
        <v>94495.450000000012</v>
      </c>
      <c r="D66" s="416"/>
      <c r="E66" s="417"/>
      <c r="F66" s="418">
        <v>0</v>
      </c>
      <c r="G66" s="422"/>
      <c r="H66" s="420"/>
      <c r="I66" s="417"/>
      <c r="J66" s="416"/>
      <c r="K66" s="417"/>
      <c r="L66" s="417"/>
      <c r="M66" s="417"/>
      <c r="N66" s="420"/>
      <c r="O66" s="420"/>
      <c r="P66" s="417"/>
      <c r="Q66" s="417"/>
      <c r="R66" s="418"/>
      <c r="S66" s="422"/>
      <c r="T66" s="417">
        <v>-15</v>
      </c>
      <c r="U66" s="417"/>
      <c r="V66" s="417"/>
      <c r="W66" s="417"/>
      <c r="X66" s="417"/>
      <c r="Y66" s="417"/>
      <c r="Z66" s="417"/>
      <c r="AA66" s="417"/>
      <c r="AB66" s="417"/>
      <c r="AC66" s="417"/>
      <c r="AD66" s="417"/>
      <c r="AE66" s="417"/>
      <c r="AF66" s="418"/>
      <c r="AG66" s="416"/>
      <c r="AH66" s="418"/>
      <c r="AI66" s="418"/>
      <c r="AJ66" s="417"/>
      <c r="AK66" s="417" t="s">
        <v>4624</v>
      </c>
      <c r="AL66" s="417"/>
      <c r="AM66" s="417" t="s">
        <v>1043</v>
      </c>
      <c r="AN66" s="422">
        <v>5.15</v>
      </c>
      <c r="AO66" s="422"/>
      <c r="AP66" s="422"/>
      <c r="AQ66" s="422"/>
      <c r="AR66" s="422"/>
      <c r="AS66" s="422"/>
      <c r="AT66" s="422"/>
      <c r="AU66" s="422"/>
      <c r="AV66" s="422"/>
      <c r="AW66" s="417" t="s">
        <v>4969</v>
      </c>
      <c r="AX66" s="417"/>
      <c r="AY66" s="422"/>
      <c r="AZ66" s="422"/>
      <c r="BA66" s="604" t="s">
        <v>2809</v>
      </c>
      <c r="BB66" s="414"/>
      <c r="BC66" s="169" t="s">
        <v>4955</v>
      </c>
      <c r="BD66" s="1330"/>
      <c r="BE66" s="1329">
        <v>43843</v>
      </c>
      <c r="BF66" s="1330"/>
      <c r="BG66" s="1330"/>
    </row>
    <row r="67" spans="1:59" ht="12.5">
      <c r="A67" s="414"/>
      <c r="B67" s="603"/>
      <c r="C67" s="416"/>
      <c r="D67" s="416"/>
      <c r="E67" s="417"/>
      <c r="F67" s="418"/>
      <c r="G67" s="422">
        <v>6</v>
      </c>
      <c r="H67" s="420"/>
      <c r="I67" s="417"/>
      <c r="J67" s="416"/>
      <c r="K67" s="417"/>
      <c r="L67" s="417"/>
      <c r="M67" s="417"/>
      <c r="N67" s="420"/>
      <c r="O67" s="420"/>
      <c r="P67" s="417"/>
      <c r="Q67" s="417"/>
      <c r="R67" s="418"/>
      <c r="S67" s="422"/>
      <c r="T67" s="417"/>
      <c r="U67" s="417"/>
      <c r="V67" s="417"/>
      <c r="W67" s="417"/>
      <c r="X67" s="417"/>
      <c r="Y67" s="417"/>
      <c r="Z67" s="417"/>
      <c r="AA67" s="417"/>
      <c r="AB67" s="417"/>
      <c r="AC67" s="417"/>
      <c r="AD67" s="417"/>
      <c r="AE67" s="417"/>
      <c r="AF67" s="418"/>
      <c r="AG67" s="416"/>
      <c r="AH67" s="418"/>
      <c r="AI67" s="418"/>
      <c r="AJ67" s="417"/>
      <c r="AK67" s="417"/>
      <c r="AL67" s="417"/>
      <c r="AM67" s="417"/>
      <c r="AN67" s="422"/>
      <c r="AO67" s="422"/>
      <c r="AP67" s="422"/>
      <c r="AQ67" s="422"/>
      <c r="AR67" s="422"/>
      <c r="AS67" s="422"/>
      <c r="AT67" s="422"/>
      <c r="AU67" s="422"/>
      <c r="AV67" s="422"/>
      <c r="AW67" s="417"/>
      <c r="AX67" s="417"/>
      <c r="AY67" s="422"/>
      <c r="AZ67" s="422"/>
      <c r="BA67" s="604"/>
      <c r="BB67" s="414"/>
      <c r="BD67" s="1330"/>
      <c r="BE67" s="1330"/>
      <c r="BF67" s="1330"/>
      <c r="BG67" s="1330"/>
    </row>
    <row r="68" spans="1:59" ht="12.5">
      <c r="A68" s="414"/>
      <c r="B68" s="603" t="s">
        <v>4602</v>
      </c>
      <c r="C68" s="416">
        <f>C66+G67</f>
        <v>94501.450000000012</v>
      </c>
      <c r="D68" s="416"/>
      <c r="E68" s="417"/>
      <c r="F68" s="418">
        <v>0</v>
      </c>
      <c r="G68" s="422"/>
      <c r="H68" s="420"/>
      <c r="I68" s="417"/>
      <c r="J68" s="416"/>
      <c r="K68" s="417"/>
      <c r="L68" s="417"/>
      <c r="M68" s="417"/>
      <c r="N68" s="420"/>
      <c r="O68" s="420"/>
      <c r="P68" s="417"/>
      <c r="Q68" s="417"/>
      <c r="R68" s="418"/>
      <c r="S68" s="422"/>
      <c r="T68" s="417">
        <v>-13</v>
      </c>
      <c r="U68" s="417"/>
      <c r="V68" s="417"/>
      <c r="W68" s="417"/>
      <c r="X68" s="417"/>
      <c r="Y68" s="417"/>
      <c r="Z68" s="417"/>
      <c r="AA68" s="417"/>
      <c r="AB68" s="417"/>
      <c r="AC68" s="417"/>
      <c r="AD68" s="417"/>
      <c r="AE68" s="417"/>
      <c r="AF68" s="418"/>
      <c r="AG68" s="416"/>
      <c r="AH68" s="418"/>
      <c r="AI68" s="418"/>
      <c r="AJ68" s="417"/>
      <c r="AK68" s="417" t="s">
        <v>4624</v>
      </c>
      <c r="AL68" s="417"/>
      <c r="AM68" s="417" t="s">
        <v>1043</v>
      </c>
      <c r="AN68" s="422">
        <v>5.15</v>
      </c>
      <c r="AO68" s="422"/>
      <c r="AP68" s="422"/>
      <c r="AQ68" s="422"/>
      <c r="AR68" s="422"/>
      <c r="AS68" s="422"/>
      <c r="AT68" s="422"/>
      <c r="AU68" s="422"/>
      <c r="AV68" s="422"/>
      <c r="AW68" s="417" t="s">
        <v>4969</v>
      </c>
      <c r="AX68" s="417"/>
      <c r="AY68" s="422"/>
      <c r="AZ68" s="422"/>
      <c r="BA68" s="604" t="s">
        <v>2809</v>
      </c>
      <c r="BB68" s="414"/>
      <c r="BC68" s="169" t="s">
        <v>4955</v>
      </c>
      <c r="BD68" s="1330"/>
      <c r="BE68" s="1329">
        <v>43843</v>
      </c>
      <c r="BF68" s="1330"/>
      <c r="BG68" s="1330"/>
    </row>
    <row r="69" spans="1:59" ht="12.5">
      <c r="A69" s="414"/>
      <c r="B69" s="603"/>
      <c r="C69" s="416"/>
      <c r="D69" s="416"/>
      <c r="E69" s="417"/>
      <c r="F69" s="418"/>
      <c r="G69" s="422">
        <v>6</v>
      </c>
      <c r="H69" s="420"/>
      <c r="I69" s="417"/>
      <c r="J69" s="416"/>
      <c r="K69" s="417"/>
      <c r="L69" s="417"/>
      <c r="M69" s="417"/>
      <c r="N69" s="420"/>
      <c r="O69" s="420"/>
      <c r="P69" s="417"/>
      <c r="Q69" s="417"/>
      <c r="R69" s="418"/>
      <c r="S69" s="422"/>
      <c r="T69" s="417"/>
      <c r="U69" s="417"/>
      <c r="V69" s="417"/>
      <c r="W69" s="417"/>
      <c r="X69" s="417"/>
      <c r="Y69" s="417"/>
      <c r="Z69" s="417"/>
      <c r="AA69" s="417"/>
      <c r="AB69" s="417"/>
      <c r="AC69" s="417"/>
      <c r="AD69" s="417"/>
      <c r="AE69" s="417"/>
      <c r="AF69" s="418"/>
      <c r="AG69" s="416"/>
      <c r="AH69" s="418"/>
      <c r="AI69" s="418"/>
      <c r="AJ69" s="417"/>
      <c r="AK69" s="417"/>
      <c r="AL69" s="417"/>
      <c r="AM69" s="417"/>
      <c r="AN69" s="422"/>
      <c r="AO69" s="422"/>
      <c r="AP69" s="422"/>
      <c r="AQ69" s="422"/>
      <c r="AR69" s="422"/>
      <c r="AS69" s="422"/>
      <c r="AT69" s="422"/>
      <c r="AU69" s="422"/>
      <c r="AV69" s="422"/>
      <c r="AW69" s="417"/>
      <c r="AX69" s="417"/>
      <c r="AY69" s="422"/>
      <c r="AZ69" s="422"/>
      <c r="BA69" s="604"/>
      <c r="BB69" s="414"/>
      <c r="BD69" s="1330"/>
      <c r="BE69" s="1330"/>
      <c r="BF69" s="1330"/>
      <c r="BG69" s="1330"/>
    </row>
    <row r="70" spans="1:59" ht="12.5">
      <c r="A70" s="414"/>
      <c r="B70" s="603" t="s">
        <v>4603</v>
      </c>
      <c r="C70" s="416">
        <f>C68+G69</f>
        <v>94507.450000000012</v>
      </c>
      <c r="D70" s="416"/>
      <c r="E70" s="417"/>
      <c r="F70" s="418">
        <v>0</v>
      </c>
      <c r="G70" s="422"/>
      <c r="H70" s="420"/>
      <c r="I70" s="417"/>
      <c r="J70" s="416"/>
      <c r="K70" s="417"/>
      <c r="L70" s="417"/>
      <c r="M70" s="417"/>
      <c r="N70" s="420"/>
      <c r="O70" s="420"/>
      <c r="P70" s="417"/>
      <c r="Q70" s="417"/>
      <c r="R70" s="418"/>
      <c r="S70" s="422"/>
      <c r="T70" s="417">
        <v>-12</v>
      </c>
      <c r="U70" s="417"/>
      <c r="V70" s="417"/>
      <c r="W70" s="417"/>
      <c r="X70" s="417"/>
      <c r="Y70" s="417"/>
      <c r="Z70" s="417"/>
      <c r="AA70" s="417"/>
      <c r="AB70" s="417"/>
      <c r="AC70" s="417"/>
      <c r="AD70" s="417"/>
      <c r="AE70" s="417"/>
      <c r="AF70" s="418"/>
      <c r="AG70" s="416"/>
      <c r="AH70" s="418"/>
      <c r="AI70" s="418"/>
      <c r="AJ70" s="417"/>
      <c r="AK70" s="417" t="s">
        <v>4624</v>
      </c>
      <c r="AL70" s="417"/>
      <c r="AM70" s="417" t="s">
        <v>1043</v>
      </c>
      <c r="AN70" s="422">
        <v>5.15</v>
      </c>
      <c r="AO70" s="422"/>
      <c r="AP70" s="422"/>
      <c r="AQ70" s="422"/>
      <c r="AR70" s="422"/>
      <c r="AS70" s="422"/>
      <c r="AT70" s="422"/>
      <c r="AU70" s="422"/>
      <c r="AV70" s="422"/>
      <c r="AW70" s="417" t="s">
        <v>4969</v>
      </c>
      <c r="AX70" s="417"/>
      <c r="AY70" s="422"/>
      <c r="AZ70" s="422"/>
      <c r="BA70" s="604" t="s">
        <v>2809</v>
      </c>
      <c r="BB70" s="414"/>
      <c r="BC70" s="169" t="s">
        <v>4955</v>
      </c>
      <c r="BD70" s="1330"/>
      <c r="BE70" s="1329">
        <v>43843</v>
      </c>
      <c r="BF70" s="1330"/>
      <c r="BG70" s="1330"/>
    </row>
    <row r="71" spans="1:59" ht="12.5">
      <c r="A71" s="414"/>
      <c r="B71" s="423"/>
      <c r="C71" s="416"/>
      <c r="D71" s="416"/>
      <c r="E71" s="417"/>
      <c r="F71" s="418"/>
      <c r="G71" s="422">
        <v>6</v>
      </c>
      <c r="H71" s="420"/>
      <c r="I71" s="419"/>
      <c r="J71" s="416"/>
      <c r="K71" s="417"/>
      <c r="L71" s="417"/>
      <c r="M71" s="417"/>
      <c r="N71" s="420"/>
      <c r="O71" s="420"/>
      <c r="P71" s="417"/>
      <c r="Q71" s="417"/>
      <c r="R71" s="418"/>
      <c r="S71" s="422">
        <f>AG72-AG60</f>
        <v>0</v>
      </c>
      <c r="T71" s="417"/>
      <c r="U71" s="417"/>
      <c r="V71" s="417"/>
      <c r="W71" s="417"/>
      <c r="X71" s="417"/>
      <c r="Y71" s="417"/>
      <c r="Z71" s="417"/>
      <c r="AA71" s="417"/>
      <c r="AB71" s="417"/>
      <c r="AC71" s="417"/>
      <c r="AD71" s="417"/>
      <c r="AE71" s="417"/>
      <c r="AF71" s="418"/>
      <c r="AG71" s="416"/>
      <c r="AH71" s="418"/>
      <c r="AI71" s="418"/>
      <c r="AJ71" s="417"/>
      <c r="AK71" s="417"/>
      <c r="AL71" s="417"/>
      <c r="AM71" s="417"/>
      <c r="AN71" s="422"/>
      <c r="AO71" s="422"/>
      <c r="AP71" s="422"/>
      <c r="AQ71" s="422"/>
      <c r="AR71" s="422"/>
      <c r="AS71" s="422"/>
      <c r="AT71" s="422"/>
      <c r="AU71" s="422"/>
      <c r="AV71" s="422"/>
      <c r="AW71" s="417"/>
      <c r="AX71" s="417"/>
      <c r="AY71" s="422"/>
      <c r="AZ71" s="422"/>
      <c r="BA71" s="1308"/>
      <c r="BB71" s="414"/>
      <c r="BD71" s="1330"/>
      <c r="BE71" s="1330"/>
      <c r="BF71" s="1330"/>
      <c r="BG71" s="1330"/>
    </row>
    <row r="72" spans="1:59" ht="12.5">
      <c r="A72" s="414"/>
      <c r="B72" s="603" t="s">
        <v>1870</v>
      </c>
      <c r="C72" s="416">
        <f>C70+G71</f>
        <v>94513.450000000012</v>
      </c>
      <c r="D72" s="416"/>
      <c r="E72" s="417"/>
      <c r="F72" s="418">
        <v>0</v>
      </c>
      <c r="G72" s="422"/>
      <c r="H72" s="420"/>
      <c r="I72" s="417"/>
      <c r="J72" s="416"/>
      <c r="K72" s="417"/>
      <c r="L72" s="417"/>
      <c r="M72" s="417"/>
      <c r="N72" s="420"/>
      <c r="O72" s="420"/>
      <c r="P72" s="417"/>
      <c r="Q72" s="417"/>
      <c r="R72" s="418"/>
      <c r="S72" s="422"/>
      <c r="T72" s="417">
        <v>-10</v>
      </c>
      <c r="U72" s="417"/>
      <c r="V72" s="417"/>
      <c r="W72" s="417"/>
      <c r="X72" s="417"/>
      <c r="Y72" s="417"/>
      <c r="Z72" s="417"/>
      <c r="AA72" s="417"/>
      <c r="AB72" s="417"/>
      <c r="AC72" s="417"/>
      <c r="AD72" s="417"/>
      <c r="AE72" s="417"/>
      <c r="AF72" s="418"/>
      <c r="AG72" s="416"/>
      <c r="AH72" s="418"/>
      <c r="AI72" s="418"/>
      <c r="AJ72" s="417"/>
      <c r="AK72" s="417" t="s">
        <v>4624</v>
      </c>
      <c r="AL72" s="417"/>
      <c r="AM72" s="417" t="s">
        <v>1043</v>
      </c>
      <c r="AN72" s="422">
        <v>5.15</v>
      </c>
      <c r="AO72" s="422"/>
      <c r="AP72" s="422"/>
      <c r="AQ72" s="422"/>
      <c r="AR72" s="422"/>
      <c r="AS72" s="422"/>
      <c r="AT72" s="422"/>
      <c r="AU72" s="422"/>
      <c r="AV72" s="422"/>
      <c r="AW72" s="417" t="s">
        <v>4969</v>
      </c>
      <c r="AX72" s="417"/>
      <c r="AY72" s="422"/>
      <c r="AZ72" s="422"/>
      <c r="BA72" s="604" t="s">
        <v>2809</v>
      </c>
      <c r="BB72" s="414"/>
      <c r="BC72" s="169" t="s">
        <v>4955</v>
      </c>
      <c r="BD72" s="1330"/>
      <c r="BE72" s="1329">
        <v>43843</v>
      </c>
      <c r="BF72" s="1330"/>
      <c r="BG72" s="1330"/>
    </row>
    <row r="73" spans="1:59" ht="12.5">
      <c r="A73" s="414"/>
      <c r="B73" s="603"/>
      <c r="C73" s="416"/>
      <c r="D73" s="416"/>
      <c r="E73" s="417"/>
      <c r="F73" s="418"/>
      <c r="G73" s="422">
        <v>6</v>
      </c>
      <c r="H73" s="420"/>
      <c r="I73" s="417"/>
      <c r="J73" s="416"/>
      <c r="K73" s="417"/>
      <c r="L73" s="417"/>
      <c r="M73" s="417"/>
      <c r="N73" s="420"/>
      <c r="O73" s="420"/>
      <c r="P73" s="417"/>
      <c r="Q73" s="417"/>
      <c r="R73" s="418"/>
      <c r="S73" s="422"/>
      <c r="T73" s="417"/>
      <c r="U73" s="417"/>
      <c r="V73" s="417"/>
      <c r="W73" s="417"/>
      <c r="X73" s="417"/>
      <c r="Y73" s="417"/>
      <c r="Z73" s="417"/>
      <c r="AA73" s="417"/>
      <c r="AB73" s="417"/>
      <c r="AC73" s="417"/>
      <c r="AD73" s="417"/>
      <c r="AE73" s="417"/>
      <c r="AF73" s="418"/>
      <c r="AG73" s="416"/>
      <c r="AH73" s="418"/>
      <c r="AI73" s="418"/>
      <c r="AJ73" s="417"/>
      <c r="AK73" s="417"/>
      <c r="AL73" s="417"/>
      <c r="AM73" s="417"/>
      <c r="AN73" s="422"/>
      <c r="AO73" s="422"/>
      <c r="AP73" s="422"/>
      <c r="AQ73" s="422"/>
      <c r="AR73" s="422"/>
      <c r="AS73" s="422"/>
      <c r="AT73" s="422"/>
      <c r="AU73" s="422"/>
      <c r="AV73" s="422"/>
      <c r="AW73" s="417"/>
      <c r="AX73" s="417"/>
      <c r="AY73" s="422"/>
      <c r="AZ73" s="422"/>
      <c r="BA73" s="604"/>
      <c r="BB73" s="414"/>
      <c r="BD73" s="1330"/>
      <c r="BE73" s="1330"/>
      <c r="BF73" s="1330"/>
      <c r="BG73" s="1330"/>
    </row>
    <row r="74" spans="1:59" ht="12.5">
      <c r="A74" s="414"/>
      <c r="B74" s="603" t="s">
        <v>4604</v>
      </c>
      <c r="C74" s="416">
        <f>C72+G73</f>
        <v>94519.450000000012</v>
      </c>
      <c r="D74" s="416"/>
      <c r="E74" s="417"/>
      <c r="F74" s="418">
        <v>0</v>
      </c>
      <c r="G74" s="422"/>
      <c r="H74" s="420"/>
      <c r="I74" s="417"/>
      <c r="J74" s="416"/>
      <c r="K74" s="417"/>
      <c r="L74" s="417"/>
      <c r="M74" s="417"/>
      <c r="N74" s="420"/>
      <c r="O74" s="420"/>
      <c r="P74" s="417"/>
      <c r="Q74" s="417"/>
      <c r="R74" s="418"/>
      <c r="S74" s="422"/>
      <c r="T74" s="417">
        <v>-8</v>
      </c>
      <c r="U74" s="417"/>
      <c r="V74" s="417"/>
      <c r="W74" s="417"/>
      <c r="X74" s="417"/>
      <c r="Y74" s="417"/>
      <c r="Z74" s="417"/>
      <c r="AA74" s="417"/>
      <c r="AB74" s="417"/>
      <c r="AC74" s="417"/>
      <c r="AD74" s="417"/>
      <c r="AE74" s="417"/>
      <c r="AF74" s="418"/>
      <c r="AG74" s="416"/>
      <c r="AH74" s="418"/>
      <c r="AI74" s="418"/>
      <c r="AJ74" s="417"/>
      <c r="AK74" s="417" t="s">
        <v>4624</v>
      </c>
      <c r="AL74" s="417"/>
      <c r="AM74" s="417" t="s">
        <v>1043</v>
      </c>
      <c r="AN74" s="422">
        <v>5.15</v>
      </c>
      <c r="AO74" s="422"/>
      <c r="AP74" s="422"/>
      <c r="AQ74" s="422"/>
      <c r="AR74" s="422"/>
      <c r="AS74" s="422"/>
      <c r="AT74" s="422"/>
      <c r="AU74" s="422"/>
      <c r="AV74" s="422"/>
      <c r="AW74" s="417" t="s">
        <v>4969</v>
      </c>
      <c r="AX74" s="417"/>
      <c r="AY74" s="422"/>
      <c r="AZ74" s="422"/>
      <c r="BA74" s="604" t="s">
        <v>2809</v>
      </c>
      <c r="BB74" s="414"/>
      <c r="BC74" s="169" t="s">
        <v>4955</v>
      </c>
      <c r="BD74" s="1330"/>
      <c r="BE74" s="1329">
        <v>43843</v>
      </c>
      <c r="BF74" s="1330"/>
      <c r="BG74" s="1330"/>
    </row>
    <row r="75" spans="1:59" ht="12.5">
      <c r="A75" s="488"/>
      <c r="B75" s="632"/>
      <c r="C75" s="489"/>
      <c r="D75" s="489"/>
      <c r="E75" s="490"/>
      <c r="F75" s="491"/>
      <c r="G75" s="493">
        <v>6</v>
      </c>
      <c r="H75" s="495"/>
      <c r="I75" s="490"/>
      <c r="J75" s="489"/>
      <c r="K75" s="490"/>
      <c r="L75" s="490"/>
      <c r="M75" s="490"/>
      <c r="N75" s="495"/>
      <c r="O75" s="495"/>
      <c r="P75" s="490"/>
      <c r="Q75" s="490"/>
      <c r="R75" s="491"/>
      <c r="S75" s="493"/>
      <c r="T75" s="490"/>
      <c r="U75" s="490"/>
      <c r="V75" s="490"/>
      <c r="W75" s="490"/>
      <c r="X75" s="490"/>
      <c r="Y75" s="490"/>
      <c r="Z75" s="490"/>
      <c r="AA75" s="490"/>
      <c r="AB75" s="490"/>
      <c r="AC75" s="490"/>
      <c r="AD75" s="490"/>
      <c r="AE75" s="490"/>
      <c r="AF75" s="491"/>
      <c r="AG75" s="489"/>
      <c r="AH75" s="491"/>
      <c r="AI75" s="491"/>
      <c r="AJ75" s="490"/>
      <c r="AK75" s="490"/>
      <c r="AL75" s="490"/>
      <c r="AM75" s="490"/>
      <c r="AN75" s="493"/>
      <c r="AO75" s="493"/>
      <c r="AP75" s="493"/>
      <c r="AQ75" s="493"/>
      <c r="AR75" s="493"/>
      <c r="AS75" s="493"/>
      <c r="AT75" s="493"/>
      <c r="AU75" s="493"/>
      <c r="AV75" s="493"/>
      <c r="AW75" s="490"/>
      <c r="AX75" s="490"/>
      <c r="AY75" s="493"/>
      <c r="AZ75" s="493"/>
      <c r="BA75" s="602"/>
      <c r="BB75" s="488"/>
      <c r="BD75" s="1330"/>
      <c r="BE75" s="1330"/>
      <c r="BF75" s="1330"/>
      <c r="BG75" s="1330"/>
    </row>
    <row r="76" spans="1:59" ht="12.5">
      <c r="A76" s="488"/>
      <c r="B76" s="632" t="s">
        <v>4605</v>
      </c>
      <c r="C76" s="489">
        <f>C74+G75</f>
        <v>94525.450000000012</v>
      </c>
      <c r="D76" s="489"/>
      <c r="E76" s="490"/>
      <c r="F76" s="491">
        <v>0</v>
      </c>
      <c r="G76" s="493"/>
      <c r="H76" s="495"/>
      <c r="I76" s="490"/>
      <c r="J76" s="489"/>
      <c r="K76" s="490"/>
      <c r="L76" s="490"/>
      <c r="M76" s="490"/>
      <c r="N76" s="495"/>
      <c r="O76" s="495"/>
      <c r="P76" s="490"/>
      <c r="Q76" s="490"/>
      <c r="R76" s="491"/>
      <c r="S76" s="493"/>
      <c r="T76" s="490">
        <v>-7</v>
      </c>
      <c r="U76" s="490"/>
      <c r="V76" s="490"/>
      <c r="W76" s="490"/>
      <c r="X76" s="490"/>
      <c r="Y76" s="490"/>
      <c r="Z76" s="490"/>
      <c r="AA76" s="490"/>
      <c r="AB76" s="490"/>
      <c r="AC76" s="490"/>
      <c r="AD76" s="490"/>
      <c r="AE76" s="490"/>
      <c r="AF76" s="491"/>
      <c r="AG76" s="489"/>
      <c r="AH76" s="491"/>
      <c r="AI76" s="491"/>
      <c r="AJ76" s="490"/>
      <c r="AK76" s="490" t="s">
        <v>4624</v>
      </c>
      <c r="AL76" s="490"/>
      <c r="AM76" s="490" t="s">
        <v>1043</v>
      </c>
      <c r="AN76" s="493">
        <v>5.15</v>
      </c>
      <c r="AO76" s="493"/>
      <c r="AP76" s="493"/>
      <c r="AQ76" s="493"/>
      <c r="AR76" s="493"/>
      <c r="AS76" s="493"/>
      <c r="AT76" s="493"/>
      <c r="AU76" s="493"/>
      <c r="AV76" s="493"/>
      <c r="AW76" s="490" t="s">
        <v>4970</v>
      </c>
      <c r="AX76" s="490"/>
      <c r="AY76" s="493"/>
      <c r="AZ76" s="493"/>
      <c r="BA76" s="602" t="s">
        <v>2809</v>
      </c>
      <c r="BB76" s="488"/>
      <c r="BC76" s="169" t="s">
        <v>4955</v>
      </c>
      <c r="BD76" s="1330"/>
      <c r="BE76" s="1329">
        <v>43843</v>
      </c>
      <c r="BF76" s="1330"/>
      <c r="BG76" s="1330"/>
    </row>
    <row r="77" spans="1:59" ht="12.5">
      <c r="A77" s="488"/>
      <c r="B77" s="632"/>
      <c r="C77" s="489"/>
      <c r="D77" s="489"/>
      <c r="E77" s="490"/>
      <c r="F77" s="491"/>
      <c r="G77" s="493">
        <v>6</v>
      </c>
      <c r="H77" s="495"/>
      <c r="I77" s="490"/>
      <c r="J77" s="489"/>
      <c r="K77" s="490"/>
      <c r="L77" s="490"/>
      <c r="M77" s="490"/>
      <c r="N77" s="495"/>
      <c r="O77" s="495"/>
      <c r="P77" s="490"/>
      <c r="Q77" s="490"/>
      <c r="R77" s="491"/>
      <c r="S77" s="493"/>
      <c r="T77" s="490"/>
      <c r="U77" s="490"/>
      <c r="V77" s="490"/>
      <c r="W77" s="490"/>
      <c r="X77" s="490"/>
      <c r="Y77" s="490"/>
      <c r="Z77" s="490"/>
      <c r="AA77" s="490"/>
      <c r="AB77" s="490"/>
      <c r="AC77" s="490"/>
      <c r="AD77" s="490"/>
      <c r="AE77" s="490"/>
      <c r="AF77" s="491"/>
      <c r="AG77" s="489"/>
      <c r="AH77" s="491"/>
      <c r="AI77" s="491"/>
      <c r="AJ77" s="490"/>
      <c r="AK77" s="490"/>
      <c r="AL77" s="490"/>
      <c r="AM77" s="490"/>
      <c r="AN77" s="493"/>
      <c r="AO77" s="493"/>
      <c r="AP77" s="493"/>
      <c r="AQ77" s="493"/>
      <c r="AR77" s="493"/>
      <c r="AS77" s="493"/>
      <c r="AT77" s="493"/>
      <c r="AU77" s="493"/>
      <c r="AV77" s="493"/>
      <c r="AW77" s="490"/>
      <c r="AX77" s="490"/>
      <c r="AY77" s="493"/>
      <c r="AZ77" s="493"/>
      <c r="BA77" s="602"/>
      <c r="BB77" s="488"/>
      <c r="BD77" s="1330"/>
      <c r="BE77" s="1330"/>
      <c r="BF77" s="1330"/>
      <c r="BG77" s="1330"/>
    </row>
    <row r="78" spans="1:59" ht="12.5">
      <c r="A78" s="488"/>
      <c r="B78" s="632" t="s">
        <v>4606</v>
      </c>
      <c r="C78" s="489">
        <f>C76+G77</f>
        <v>94531.450000000012</v>
      </c>
      <c r="D78" s="489"/>
      <c r="E78" s="490"/>
      <c r="F78" s="491">
        <v>0</v>
      </c>
      <c r="G78" s="493"/>
      <c r="H78" s="495"/>
      <c r="I78" s="490"/>
      <c r="J78" s="489"/>
      <c r="K78" s="490"/>
      <c r="L78" s="490"/>
      <c r="M78" s="490"/>
      <c r="N78" s="495"/>
      <c r="O78" s="495"/>
      <c r="P78" s="490"/>
      <c r="Q78" s="490"/>
      <c r="R78" s="491"/>
      <c r="S78" s="493"/>
      <c r="T78" s="490">
        <v>-5</v>
      </c>
      <c r="U78" s="490"/>
      <c r="V78" s="490"/>
      <c r="W78" s="490"/>
      <c r="X78" s="490"/>
      <c r="Y78" s="490"/>
      <c r="Z78" s="490"/>
      <c r="AA78" s="490"/>
      <c r="AB78" s="490"/>
      <c r="AC78" s="490"/>
      <c r="AD78" s="490"/>
      <c r="AE78" s="490"/>
      <c r="AF78" s="491"/>
      <c r="AG78" s="489"/>
      <c r="AH78" s="491"/>
      <c r="AI78" s="491"/>
      <c r="AJ78" s="490"/>
      <c r="AK78" s="490" t="s">
        <v>4624</v>
      </c>
      <c r="AL78" s="490"/>
      <c r="AM78" s="490" t="s">
        <v>1043</v>
      </c>
      <c r="AN78" s="493">
        <v>5.15</v>
      </c>
      <c r="AO78" s="493"/>
      <c r="AP78" s="493"/>
      <c r="AQ78" s="493"/>
      <c r="AR78" s="493"/>
      <c r="AS78" s="493"/>
      <c r="AT78" s="493"/>
      <c r="AU78" s="493"/>
      <c r="AV78" s="493"/>
      <c r="AW78" s="490" t="s">
        <v>4970</v>
      </c>
      <c r="AX78" s="490"/>
      <c r="AY78" s="493"/>
      <c r="AZ78" s="493"/>
      <c r="BA78" s="602" t="s">
        <v>2809</v>
      </c>
      <c r="BB78" s="488"/>
      <c r="BC78" s="169" t="s">
        <v>4955</v>
      </c>
      <c r="BD78" s="1330"/>
      <c r="BE78" s="1330"/>
      <c r="BF78" s="1330"/>
      <c r="BG78" s="1330"/>
    </row>
    <row r="79" spans="1:59" ht="12.5">
      <c r="A79" s="488"/>
      <c r="B79" s="632"/>
      <c r="C79" s="489"/>
      <c r="D79" s="489"/>
      <c r="E79" s="490"/>
      <c r="F79" s="491"/>
      <c r="G79" s="493">
        <v>6</v>
      </c>
      <c r="H79" s="495"/>
      <c r="I79" s="490"/>
      <c r="J79" s="489"/>
      <c r="K79" s="490"/>
      <c r="L79" s="490"/>
      <c r="M79" s="490"/>
      <c r="N79" s="495"/>
      <c r="O79" s="495"/>
      <c r="P79" s="490"/>
      <c r="Q79" s="490"/>
      <c r="R79" s="491"/>
      <c r="S79" s="493"/>
      <c r="T79" s="490"/>
      <c r="U79" s="490"/>
      <c r="V79" s="490"/>
      <c r="W79" s="490"/>
      <c r="X79" s="490"/>
      <c r="Y79" s="490"/>
      <c r="Z79" s="490"/>
      <c r="AA79" s="490"/>
      <c r="AB79" s="490"/>
      <c r="AC79" s="490"/>
      <c r="AD79" s="490"/>
      <c r="AE79" s="490"/>
      <c r="AF79" s="491"/>
      <c r="AG79" s="489"/>
      <c r="AH79" s="491"/>
      <c r="AI79" s="491"/>
      <c r="AJ79" s="490"/>
      <c r="AK79" s="490"/>
      <c r="AL79" s="490"/>
      <c r="AM79" s="490"/>
      <c r="AN79" s="493"/>
      <c r="AO79" s="493"/>
      <c r="AP79" s="493"/>
      <c r="AQ79" s="493"/>
      <c r="AR79" s="493"/>
      <c r="AS79" s="493"/>
      <c r="AT79" s="493"/>
      <c r="AU79" s="493"/>
      <c r="AV79" s="493"/>
      <c r="AW79" s="490"/>
      <c r="AX79" s="490"/>
      <c r="AY79" s="493"/>
      <c r="AZ79" s="493"/>
      <c r="BA79" s="602"/>
      <c r="BB79" s="488"/>
      <c r="BD79" s="1330"/>
      <c r="BE79" s="1330"/>
      <c r="BF79" s="1330"/>
      <c r="BG79" s="1330"/>
    </row>
    <row r="80" spans="1:59" ht="12.5">
      <c r="A80" s="488"/>
      <c r="B80" s="632" t="s">
        <v>4607</v>
      </c>
      <c r="C80" s="489">
        <f>C78+G79</f>
        <v>94537.450000000012</v>
      </c>
      <c r="D80" s="489"/>
      <c r="E80" s="490"/>
      <c r="F80" s="491">
        <v>0</v>
      </c>
      <c r="G80" s="493"/>
      <c r="H80" s="495"/>
      <c r="I80" s="490"/>
      <c r="J80" s="489"/>
      <c r="K80" s="490"/>
      <c r="L80" s="490"/>
      <c r="M80" s="490"/>
      <c r="N80" s="495"/>
      <c r="O80" s="495"/>
      <c r="P80" s="490"/>
      <c r="Q80" s="490"/>
      <c r="R80" s="491"/>
      <c r="S80" s="493"/>
      <c r="T80" s="490">
        <v>-4</v>
      </c>
      <c r="U80" s="490"/>
      <c r="V80" s="490"/>
      <c r="W80" s="490"/>
      <c r="X80" s="490"/>
      <c r="Y80" s="490"/>
      <c r="Z80" s="490"/>
      <c r="AA80" s="490"/>
      <c r="AB80" s="490"/>
      <c r="AC80" s="490"/>
      <c r="AD80" s="490"/>
      <c r="AE80" s="490"/>
      <c r="AF80" s="491"/>
      <c r="AG80" s="489"/>
      <c r="AH80" s="491"/>
      <c r="AI80" s="491"/>
      <c r="AJ80" s="490"/>
      <c r="AK80" s="490" t="s">
        <v>4624</v>
      </c>
      <c r="AL80" s="490"/>
      <c r="AM80" s="490" t="s">
        <v>1043</v>
      </c>
      <c r="AN80" s="493">
        <v>5.15</v>
      </c>
      <c r="AO80" s="493"/>
      <c r="AP80" s="493"/>
      <c r="AQ80" s="493"/>
      <c r="AR80" s="493"/>
      <c r="AS80" s="493"/>
      <c r="AT80" s="493"/>
      <c r="AU80" s="493"/>
      <c r="AV80" s="493"/>
      <c r="AW80" s="490" t="s">
        <v>4970</v>
      </c>
      <c r="AX80" s="490"/>
      <c r="AY80" s="493"/>
      <c r="AZ80" s="493"/>
      <c r="BA80" s="602" t="s">
        <v>2809</v>
      </c>
      <c r="BB80" s="488"/>
      <c r="BC80" s="169" t="s">
        <v>4955</v>
      </c>
      <c r="BD80" s="1330"/>
      <c r="BE80" s="1330"/>
      <c r="BF80" s="1330"/>
      <c r="BG80" s="1330"/>
    </row>
    <row r="81" spans="1:59" ht="12.5">
      <c r="A81" s="488"/>
      <c r="B81" s="632"/>
      <c r="C81" s="489"/>
      <c r="D81" s="489"/>
      <c r="E81" s="490"/>
      <c r="F81" s="491"/>
      <c r="G81" s="493">
        <v>6</v>
      </c>
      <c r="H81" s="495"/>
      <c r="I81" s="490"/>
      <c r="J81" s="489"/>
      <c r="K81" s="490"/>
      <c r="L81" s="490"/>
      <c r="M81" s="490"/>
      <c r="N81" s="495"/>
      <c r="O81" s="495"/>
      <c r="P81" s="490"/>
      <c r="Q81" s="490"/>
      <c r="R81" s="491"/>
      <c r="S81" s="493"/>
      <c r="T81" s="490"/>
      <c r="U81" s="490"/>
      <c r="V81" s="490"/>
      <c r="W81" s="490"/>
      <c r="X81" s="490"/>
      <c r="Y81" s="490"/>
      <c r="Z81" s="490"/>
      <c r="AA81" s="490"/>
      <c r="AB81" s="490"/>
      <c r="AC81" s="490"/>
      <c r="AD81" s="490"/>
      <c r="AE81" s="490"/>
      <c r="AF81" s="491"/>
      <c r="AG81" s="489"/>
      <c r="AH81" s="491"/>
      <c r="AI81" s="491"/>
      <c r="AJ81" s="490"/>
      <c r="AK81" s="490"/>
      <c r="AL81" s="490"/>
      <c r="AM81" s="490"/>
      <c r="AN81" s="493"/>
      <c r="AO81" s="493"/>
      <c r="AP81" s="493"/>
      <c r="AQ81" s="493"/>
      <c r="AR81" s="493"/>
      <c r="AS81" s="493"/>
      <c r="AT81" s="493"/>
      <c r="AU81" s="493"/>
      <c r="AV81" s="493"/>
      <c r="AW81" s="490"/>
      <c r="AX81" s="490"/>
      <c r="AY81" s="493"/>
      <c r="AZ81" s="493"/>
      <c r="BA81" s="602"/>
      <c r="BB81" s="488"/>
      <c r="BD81" s="1330"/>
      <c r="BE81" s="1330"/>
      <c r="BF81" s="1330"/>
      <c r="BG81" s="1330"/>
    </row>
    <row r="82" spans="1:59" ht="12.5">
      <c r="A82" s="488"/>
      <c r="B82" s="632" t="s">
        <v>4608</v>
      </c>
      <c r="C82" s="489">
        <f>C80+G81</f>
        <v>94543.450000000012</v>
      </c>
      <c r="D82" s="489"/>
      <c r="E82" s="490"/>
      <c r="F82" s="491">
        <v>0</v>
      </c>
      <c r="G82" s="493"/>
      <c r="H82" s="495"/>
      <c r="I82" s="490"/>
      <c r="J82" s="489"/>
      <c r="K82" s="490"/>
      <c r="L82" s="490"/>
      <c r="M82" s="490"/>
      <c r="N82" s="495"/>
      <c r="O82" s="495"/>
      <c r="P82" s="490"/>
      <c r="Q82" s="490"/>
      <c r="R82" s="491"/>
      <c r="S82" s="493"/>
      <c r="T82" s="490">
        <v>-2</v>
      </c>
      <c r="U82" s="490"/>
      <c r="V82" s="490"/>
      <c r="W82" s="490"/>
      <c r="X82" s="490"/>
      <c r="Y82" s="490"/>
      <c r="Z82" s="490"/>
      <c r="AA82" s="490"/>
      <c r="AB82" s="490"/>
      <c r="AC82" s="490"/>
      <c r="AD82" s="490"/>
      <c r="AE82" s="490"/>
      <c r="AF82" s="491"/>
      <c r="AG82" s="489"/>
      <c r="AH82" s="491"/>
      <c r="AI82" s="491"/>
      <c r="AJ82" s="490"/>
      <c r="AK82" s="490" t="s">
        <v>4624</v>
      </c>
      <c r="AL82" s="490"/>
      <c r="AM82" s="490" t="s">
        <v>1043</v>
      </c>
      <c r="AN82" s="493">
        <v>5.15</v>
      </c>
      <c r="AO82" s="493"/>
      <c r="AP82" s="493"/>
      <c r="AQ82" s="493"/>
      <c r="AR82" s="493"/>
      <c r="AS82" s="493"/>
      <c r="AT82" s="493"/>
      <c r="AU82" s="493"/>
      <c r="AV82" s="493"/>
      <c r="AW82" s="490" t="s">
        <v>4970</v>
      </c>
      <c r="AX82" s="490"/>
      <c r="AY82" s="493"/>
      <c r="AZ82" s="493"/>
      <c r="BA82" s="602" t="s">
        <v>2809</v>
      </c>
      <c r="BB82" s="488"/>
      <c r="BC82" s="169" t="s">
        <v>4955</v>
      </c>
      <c r="BD82" s="1330"/>
      <c r="BE82" s="1330"/>
      <c r="BF82" s="1330"/>
      <c r="BG82" s="1330"/>
    </row>
    <row r="83" spans="1:59" ht="12.5">
      <c r="A83" s="488"/>
      <c r="B83" s="632"/>
      <c r="C83" s="489"/>
      <c r="D83" s="489"/>
      <c r="E83" s="490"/>
      <c r="F83" s="491"/>
      <c r="G83" s="493">
        <v>6</v>
      </c>
      <c r="H83" s="495"/>
      <c r="I83" s="490"/>
      <c r="J83" s="489"/>
      <c r="K83" s="490"/>
      <c r="L83" s="490"/>
      <c r="M83" s="490"/>
      <c r="N83" s="495"/>
      <c r="O83" s="495"/>
      <c r="P83" s="490"/>
      <c r="Q83" s="490"/>
      <c r="R83" s="491"/>
      <c r="S83" s="493"/>
      <c r="T83" s="490"/>
      <c r="U83" s="490"/>
      <c r="V83" s="490"/>
      <c r="W83" s="490"/>
      <c r="X83" s="490"/>
      <c r="Y83" s="490"/>
      <c r="Z83" s="490"/>
      <c r="AA83" s="490"/>
      <c r="AB83" s="490"/>
      <c r="AC83" s="490"/>
      <c r="AD83" s="490"/>
      <c r="AE83" s="490"/>
      <c r="AF83" s="491"/>
      <c r="AG83" s="489"/>
      <c r="AH83" s="491"/>
      <c r="AI83" s="491"/>
      <c r="AJ83" s="490"/>
      <c r="AK83" s="490"/>
      <c r="AL83" s="490"/>
      <c r="AM83" s="490"/>
      <c r="AN83" s="493"/>
      <c r="AO83" s="493"/>
      <c r="AP83" s="493"/>
      <c r="AQ83" s="493"/>
      <c r="AR83" s="493"/>
      <c r="AS83" s="493"/>
      <c r="AT83" s="493"/>
      <c r="AU83" s="493"/>
      <c r="AV83" s="493"/>
      <c r="AW83" s="490"/>
      <c r="AX83" s="490"/>
      <c r="AY83" s="493"/>
      <c r="AZ83" s="493"/>
      <c r="BA83" s="602"/>
      <c r="BB83" s="488"/>
      <c r="BD83" s="1330"/>
      <c r="BE83" s="1330"/>
      <c r="BF83" s="1330"/>
      <c r="BG83" s="1330"/>
    </row>
    <row r="84" spans="1:59" ht="12.5">
      <c r="A84" s="488"/>
      <c r="B84" s="632" t="s">
        <v>4609</v>
      </c>
      <c r="C84" s="489">
        <f t="shared" ref="C84:C114" si="0">C82+G83</f>
        <v>94549.450000000012</v>
      </c>
      <c r="D84" s="489"/>
      <c r="E84" s="490"/>
      <c r="F84" s="491">
        <v>0</v>
      </c>
      <c r="G84" s="493"/>
      <c r="H84" s="495" t="s">
        <v>873</v>
      </c>
      <c r="I84" s="490"/>
      <c r="J84" s="489">
        <f>C84</f>
        <v>94549.450000000012</v>
      </c>
      <c r="K84" s="490" t="s">
        <v>897</v>
      </c>
      <c r="L84" s="490"/>
      <c r="M84" s="490"/>
      <c r="N84" s="495"/>
      <c r="O84" s="495"/>
      <c r="P84" s="490"/>
      <c r="Q84" s="490"/>
      <c r="R84" s="491"/>
      <c r="S84" s="493"/>
      <c r="T84" s="490">
        <v>-1</v>
      </c>
      <c r="U84" s="490"/>
      <c r="V84" s="490"/>
      <c r="W84" s="490"/>
      <c r="X84" s="490"/>
      <c r="Y84" s="490"/>
      <c r="Z84" s="490"/>
      <c r="AA84" s="490"/>
      <c r="AB84" s="490"/>
      <c r="AC84" s="490"/>
      <c r="AD84" s="490"/>
      <c r="AE84" s="490"/>
      <c r="AF84" s="491"/>
      <c r="AG84" s="489"/>
      <c r="AH84" s="491"/>
      <c r="AI84" s="491"/>
      <c r="AJ84" s="490"/>
      <c r="AK84" s="490" t="s">
        <v>4624</v>
      </c>
      <c r="AL84" s="490"/>
      <c r="AM84" s="490" t="s">
        <v>1043</v>
      </c>
      <c r="AN84" s="493">
        <v>5.15</v>
      </c>
      <c r="AO84" s="493"/>
      <c r="AP84" s="493"/>
      <c r="AQ84" s="493"/>
      <c r="AR84" s="493"/>
      <c r="AS84" s="493"/>
      <c r="AT84" s="493"/>
      <c r="AU84" s="493"/>
      <c r="AV84" s="493"/>
      <c r="AW84" s="490" t="s">
        <v>4970</v>
      </c>
      <c r="AX84" s="490"/>
      <c r="AY84" s="493"/>
      <c r="AZ84" s="493"/>
      <c r="BA84" s="602" t="s">
        <v>2809</v>
      </c>
      <c r="BB84" s="488"/>
      <c r="BC84" s="169" t="s">
        <v>4955</v>
      </c>
      <c r="BD84" s="1330"/>
      <c r="BE84" s="1330"/>
      <c r="BF84" s="1330"/>
      <c r="BG84" s="1330"/>
    </row>
    <row r="85" spans="1:59" ht="12.5">
      <c r="A85" s="488"/>
      <c r="B85" s="494"/>
      <c r="C85" s="489"/>
      <c r="D85" s="489"/>
      <c r="E85" s="490"/>
      <c r="F85" s="491"/>
      <c r="G85" s="493">
        <v>6</v>
      </c>
      <c r="H85" s="495"/>
      <c r="I85" s="492">
        <f>SUM(G43:G85)</f>
        <v>325.29999999999995</v>
      </c>
      <c r="J85" s="489"/>
      <c r="K85" s="490"/>
      <c r="L85" s="490"/>
      <c r="M85" s="490"/>
      <c r="N85" s="495"/>
      <c r="O85" s="495"/>
      <c r="P85" s="490"/>
      <c r="Q85" s="490"/>
      <c r="R85" s="491"/>
      <c r="S85" s="493">
        <f>AG86-AG72</f>
        <v>0</v>
      </c>
      <c r="T85" s="490"/>
      <c r="U85" s="490"/>
      <c r="V85" s="490"/>
      <c r="W85" s="490"/>
      <c r="X85" s="490"/>
      <c r="Y85" s="490"/>
      <c r="Z85" s="490"/>
      <c r="AA85" s="490"/>
      <c r="AB85" s="490"/>
      <c r="AC85" s="490"/>
      <c r="AD85" s="490"/>
      <c r="AE85" s="490"/>
      <c r="AF85" s="491"/>
      <c r="AG85" s="489"/>
      <c r="AH85" s="491"/>
      <c r="AI85" s="491"/>
      <c r="AJ85" s="490"/>
      <c r="AK85" s="490"/>
      <c r="AL85" s="490"/>
      <c r="AM85" s="490"/>
      <c r="AN85" s="493"/>
      <c r="AO85" s="493"/>
      <c r="AP85" s="493"/>
      <c r="AQ85" s="493"/>
      <c r="AR85" s="493"/>
      <c r="AS85" s="493"/>
      <c r="AT85" s="493"/>
      <c r="AU85" s="493"/>
      <c r="AV85" s="493"/>
      <c r="AW85" s="490"/>
      <c r="AX85" s="490"/>
      <c r="AY85" s="493"/>
      <c r="AZ85" s="493"/>
      <c r="BA85" s="602"/>
      <c r="BB85" s="488"/>
      <c r="BD85" s="1330"/>
      <c r="BE85" s="1330"/>
      <c r="BF85" s="1330"/>
      <c r="BG85" s="1330"/>
    </row>
    <row r="86" spans="1:59" ht="12.5">
      <c r="A86" s="488" t="s">
        <v>1851</v>
      </c>
      <c r="B86" s="434" t="s">
        <v>1941</v>
      </c>
      <c r="C86" s="489">
        <f t="shared" si="0"/>
        <v>94555.450000000012</v>
      </c>
      <c r="D86" s="489"/>
      <c r="E86" s="490"/>
      <c r="F86" s="491">
        <v>0</v>
      </c>
      <c r="G86" s="493"/>
      <c r="H86" s="495" t="s">
        <v>874</v>
      </c>
      <c r="I86" s="492"/>
      <c r="J86" s="489"/>
      <c r="K86" s="490"/>
      <c r="L86" s="490"/>
      <c r="M86" s="490"/>
      <c r="N86" s="495"/>
      <c r="O86" s="495"/>
      <c r="P86" s="490"/>
      <c r="Q86" s="490"/>
      <c r="R86" s="491"/>
      <c r="S86" s="493"/>
      <c r="T86" s="490">
        <v>0</v>
      </c>
      <c r="U86" s="490"/>
      <c r="V86" s="490"/>
      <c r="W86" s="490"/>
      <c r="X86" s="490"/>
      <c r="Y86" s="490"/>
      <c r="Z86" s="490"/>
      <c r="AA86" s="490"/>
      <c r="AB86" s="490"/>
      <c r="AC86" s="490"/>
      <c r="AD86" s="490"/>
      <c r="AE86" s="490"/>
      <c r="AF86" s="491"/>
      <c r="AG86" s="489"/>
      <c r="AH86" s="491"/>
      <c r="AI86" s="491"/>
      <c r="AJ86" s="490"/>
      <c r="AK86" s="490" t="s">
        <v>4624</v>
      </c>
      <c r="AL86" s="490"/>
      <c r="AM86" s="490" t="s">
        <v>1043</v>
      </c>
      <c r="AN86" s="493">
        <v>5.15</v>
      </c>
      <c r="AO86" s="493"/>
      <c r="AP86" s="493"/>
      <c r="AQ86" s="493"/>
      <c r="AR86" s="493"/>
      <c r="AS86" s="493"/>
      <c r="AT86" s="493"/>
      <c r="AU86" s="493"/>
      <c r="AV86" s="493"/>
      <c r="AW86" s="490" t="s">
        <v>4970</v>
      </c>
      <c r="AX86" s="490"/>
      <c r="AY86" s="493"/>
      <c r="AZ86" s="493"/>
      <c r="BA86" s="602" t="s">
        <v>2809</v>
      </c>
      <c r="BB86" s="488"/>
      <c r="BC86" s="169" t="s">
        <v>4955</v>
      </c>
      <c r="BD86" s="1330"/>
      <c r="BE86" s="1330"/>
      <c r="BF86" s="1330"/>
      <c r="BG86" s="1330"/>
    </row>
    <row r="87" spans="1:59" ht="12.5">
      <c r="A87" s="488"/>
      <c r="B87" s="434"/>
      <c r="C87" s="489"/>
      <c r="D87" s="489"/>
      <c r="E87" s="490"/>
      <c r="F87" s="491"/>
      <c r="G87" s="493">
        <v>6</v>
      </c>
      <c r="H87" s="495"/>
      <c r="I87" s="492">
        <f>SUM(G87:G127)</f>
        <v>416.9</v>
      </c>
      <c r="J87" s="489"/>
      <c r="K87" s="490"/>
      <c r="L87" s="490"/>
      <c r="M87" s="490"/>
      <c r="N87" s="495"/>
      <c r="O87" s="495"/>
      <c r="P87" s="490"/>
      <c r="Q87" s="490"/>
      <c r="R87" s="491"/>
      <c r="S87" s="493"/>
      <c r="T87" s="490"/>
      <c r="U87" s="490"/>
      <c r="V87" s="490"/>
      <c r="W87" s="490"/>
      <c r="X87" s="490"/>
      <c r="Y87" s="490"/>
      <c r="Z87" s="490"/>
      <c r="AA87" s="490"/>
      <c r="AB87" s="490"/>
      <c r="AC87" s="490"/>
      <c r="AD87" s="490"/>
      <c r="AE87" s="490"/>
      <c r="AF87" s="491"/>
      <c r="AG87" s="489"/>
      <c r="AH87" s="491"/>
      <c r="AI87" s="491"/>
      <c r="AJ87" s="490"/>
      <c r="AK87" s="490"/>
      <c r="AL87" s="490"/>
      <c r="AM87" s="490"/>
      <c r="AN87" s="493"/>
      <c r="AO87" s="493"/>
      <c r="AP87" s="493"/>
      <c r="AQ87" s="493"/>
      <c r="AR87" s="493"/>
      <c r="AS87" s="493"/>
      <c r="AT87" s="493"/>
      <c r="AU87" s="493"/>
      <c r="AV87" s="493"/>
      <c r="AW87" s="490"/>
      <c r="AX87" s="490"/>
      <c r="AY87" s="493"/>
      <c r="AZ87" s="493"/>
      <c r="BA87" s="602"/>
      <c r="BB87" s="488"/>
      <c r="BD87" s="1330"/>
      <c r="BE87" s="1330"/>
      <c r="BF87" s="1330"/>
      <c r="BG87" s="1330"/>
    </row>
    <row r="88" spans="1:59" ht="12.5">
      <c r="A88" s="488"/>
      <c r="B88" s="434" t="s">
        <v>4610</v>
      </c>
      <c r="C88" s="489">
        <f t="shared" si="0"/>
        <v>94561.450000000012</v>
      </c>
      <c r="D88" s="489"/>
      <c r="E88" s="490"/>
      <c r="F88" s="491">
        <v>0</v>
      </c>
      <c r="G88" s="493"/>
      <c r="H88" s="495" t="s">
        <v>873</v>
      </c>
      <c r="I88" s="492"/>
      <c r="J88" s="489">
        <f>C88</f>
        <v>94561.450000000012</v>
      </c>
      <c r="K88" s="490" t="s">
        <v>897</v>
      </c>
      <c r="L88" s="490"/>
      <c r="M88" s="490"/>
      <c r="N88" s="495"/>
      <c r="O88" s="495"/>
      <c r="P88" s="490"/>
      <c r="Q88" s="490"/>
      <c r="R88" s="491"/>
      <c r="S88" s="493"/>
      <c r="T88" s="490">
        <v>3</v>
      </c>
      <c r="U88" s="490"/>
      <c r="V88" s="490"/>
      <c r="W88" s="490"/>
      <c r="X88" s="490"/>
      <c r="Y88" s="490"/>
      <c r="Z88" s="490"/>
      <c r="AA88" s="490"/>
      <c r="AB88" s="490"/>
      <c r="AC88" s="490"/>
      <c r="AD88" s="490"/>
      <c r="AE88" s="490"/>
      <c r="AF88" s="491"/>
      <c r="AG88" s="489"/>
      <c r="AH88" s="491"/>
      <c r="AI88" s="491"/>
      <c r="AJ88" s="490"/>
      <c r="AK88" s="490" t="s">
        <v>4624</v>
      </c>
      <c r="AL88" s="490"/>
      <c r="AM88" s="490" t="s">
        <v>1043</v>
      </c>
      <c r="AN88" s="493">
        <v>5.15</v>
      </c>
      <c r="AO88" s="493"/>
      <c r="AP88" s="493"/>
      <c r="AQ88" s="493"/>
      <c r="AR88" s="493"/>
      <c r="AS88" s="493"/>
      <c r="AT88" s="493"/>
      <c r="AU88" s="493"/>
      <c r="AV88" s="493"/>
      <c r="AW88" s="490" t="s">
        <v>4970</v>
      </c>
      <c r="AX88" s="490"/>
      <c r="AY88" s="493"/>
      <c r="AZ88" s="493"/>
      <c r="BA88" s="602" t="s">
        <v>2809</v>
      </c>
      <c r="BB88" s="488"/>
      <c r="BC88" s="169" t="s">
        <v>4955</v>
      </c>
      <c r="BD88" s="1330"/>
      <c r="BE88" s="1330"/>
      <c r="BF88" s="1330"/>
      <c r="BG88" s="1330"/>
    </row>
    <row r="89" spans="1:59" ht="12.5">
      <c r="A89" s="488"/>
      <c r="B89" s="434"/>
      <c r="C89" s="489"/>
      <c r="D89" s="489"/>
      <c r="E89" s="490"/>
      <c r="F89" s="491"/>
      <c r="G89" s="493">
        <v>6</v>
      </c>
      <c r="H89" s="495"/>
      <c r="I89" s="492"/>
      <c r="J89" s="489"/>
      <c r="K89" s="490"/>
      <c r="L89" s="490"/>
      <c r="M89" s="490"/>
      <c r="N89" s="495"/>
      <c r="O89" s="495"/>
      <c r="P89" s="490"/>
      <c r="Q89" s="490"/>
      <c r="R89" s="491"/>
      <c r="S89" s="493"/>
      <c r="T89" s="490"/>
      <c r="U89" s="490"/>
      <c r="V89" s="490"/>
      <c r="W89" s="490"/>
      <c r="X89" s="490"/>
      <c r="Y89" s="490"/>
      <c r="Z89" s="490"/>
      <c r="AA89" s="490"/>
      <c r="AB89" s="490"/>
      <c r="AC89" s="490"/>
      <c r="AD89" s="490"/>
      <c r="AE89" s="490"/>
      <c r="AF89" s="491"/>
      <c r="AG89" s="489"/>
      <c r="AH89" s="491"/>
      <c r="AI89" s="491"/>
      <c r="AJ89" s="490"/>
      <c r="AK89" s="490"/>
      <c r="AL89" s="490"/>
      <c r="AM89" s="490"/>
      <c r="AN89" s="493"/>
      <c r="AO89" s="493"/>
      <c r="AP89" s="493"/>
      <c r="AQ89" s="493"/>
      <c r="AR89" s="493"/>
      <c r="AS89" s="493"/>
      <c r="AT89" s="493"/>
      <c r="AU89" s="493"/>
      <c r="AV89" s="493"/>
      <c r="AW89" s="490"/>
      <c r="AX89" s="490"/>
      <c r="AY89" s="493"/>
      <c r="AZ89" s="493"/>
      <c r="BA89" s="602"/>
      <c r="BB89" s="488"/>
      <c r="BD89" s="1330"/>
      <c r="BE89" s="1330"/>
      <c r="BF89" s="1330"/>
      <c r="BG89" s="1330"/>
    </row>
    <row r="90" spans="1:59" ht="12.5">
      <c r="A90" s="488"/>
      <c r="B90" s="434" t="s">
        <v>4611</v>
      </c>
      <c r="C90" s="489">
        <f t="shared" si="0"/>
        <v>94567.450000000012</v>
      </c>
      <c r="D90" s="489"/>
      <c r="E90" s="490"/>
      <c r="F90" s="491">
        <v>0</v>
      </c>
      <c r="G90" s="493"/>
      <c r="H90" s="495"/>
      <c r="I90" s="492"/>
      <c r="J90" s="489"/>
      <c r="K90" s="490"/>
      <c r="L90" s="490"/>
      <c r="M90" s="490"/>
      <c r="N90" s="495"/>
      <c r="O90" s="495"/>
      <c r="P90" s="490"/>
      <c r="Q90" s="490"/>
      <c r="R90" s="491"/>
      <c r="S90" s="493"/>
      <c r="T90" s="490">
        <v>4</v>
      </c>
      <c r="U90" s="490"/>
      <c r="V90" s="490"/>
      <c r="W90" s="490"/>
      <c r="X90" s="490"/>
      <c r="Y90" s="490"/>
      <c r="Z90" s="490"/>
      <c r="AA90" s="490"/>
      <c r="AB90" s="490"/>
      <c r="AC90" s="490"/>
      <c r="AD90" s="490"/>
      <c r="AE90" s="490"/>
      <c r="AF90" s="491"/>
      <c r="AG90" s="489"/>
      <c r="AH90" s="491"/>
      <c r="AI90" s="491"/>
      <c r="AJ90" s="490"/>
      <c r="AK90" s="490" t="s">
        <v>4624</v>
      </c>
      <c r="AL90" s="490"/>
      <c r="AM90" s="490" t="s">
        <v>1043</v>
      </c>
      <c r="AN90" s="493">
        <v>5.15</v>
      </c>
      <c r="AO90" s="493"/>
      <c r="AP90" s="493"/>
      <c r="AQ90" s="493"/>
      <c r="AR90" s="493"/>
      <c r="AS90" s="493"/>
      <c r="AT90" s="493"/>
      <c r="AU90" s="493"/>
      <c r="AV90" s="493"/>
      <c r="AW90" s="490" t="s">
        <v>4970</v>
      </c>
      <c r="AX90" s="490"/>
      <c r="AY90" s="493"/>
      <c r="AZ90" s="493"/>
      <c r="BA90" s="602" t="s">
        <v>2809</v>
      </c>
      <c r="BB90" s="488"/>
      <c r="BC90" s="169" t="s">
        <v>4955</v>
      </c>
      <c r="BD90" s="1330"/>
      <c r="BE90" s="1330"/>
      <c r="BF90" s="1330"/>
      <c r="BG90" s="1330"/>
    </row>
    <row r="91" spans="1:59" ht="12.5">
      <c r="A91" s="488"/>
      <c r="B91" s="434"/>
      <c r="C91" s="489"/>
      <c r="D91" s="489"/>
      <c r="E91" s="490"/>
      <c r="F91" s="491"/>
      <c r="G91" s="493">
        <v>6</v>
      </c>
      <c r="H91" s="495"/>
      <c r="I91" s="492"/>
      <c r="J91" s="489"/>
      <c r="K91" s="490"/>
      <c r="L91" s="490"/>
      <c r="M91" s="490"/>
      <c r="N91" s="495"/>
      <c r="O91" s="495"/>
      <c r="P91" s="490"/>
      <c r="Q91" s="490"/>
      <c r="R91" s="491"/>
      <c r="S91" s="493"/>
      <c r="T91" s="490"/>
      <c r="U91" s="490"/>
      <c r="V91" s="490"/>
      <c r="W91" s="490"/>
      <c r="X91" s="490"/>
      <c r="Y91" s="490"/>
      <c r="Z91" s="490"/>
      <c r="AA91" s="490"/>
      <c r="AB91" s="490"/>
      <c r="AC91" s="490"/>
      <c r="AD91" s="490"/>
      <c r="AE91" s="490"/>
      <c r="AF91" s="491"/>
      <c r="AG91" s="489"/>
      <c r="AH91" s="491"/>
      <c r="AI91" s="491"/>
      <c r="AJ91" s="490"/>
      <c r="AK91" s="490"/>
      <c r="AL91" s="490"/>
      <c r="AM91" s="490"/>
      <c r="AN91" s="493"/>
      <c r="AO91" s="493"/>
      <c r="AP91" s="493"/>
      <c r="AQ91" s="493"/>
      <c r="AR91" s="493"/>
      <c r="AS91" s="493"/>
      <c r="AT91" s="493"/>
      <c r="AU91" s="493"/>
      <c r="AV91" s="493"/>
      <c r="AW91" s="490"/>
      <c r="AX91" s="490"/>
      <c r="AY91" s="493"/>
      <c r="AZ91" s="493"/>
      <c r="BA91" s="602"/>
      <c r="BB91" s="488"/>
      <c r="BD91" s="1330"/>
      <c r="BE91" s="1330"/>
      <c r="BF91" s="1330"/>
      <c r="BG91" s="1330"/>
    </row>
    <row r="92" spans="1:59" ht="12.5">
      <c r="A92" s="488"/>
      <c r="B92" s="434" t="s">
        <v>4612</v>
      </c>
      <c r="C92" s="489">
        <f t="shared" si="0"/>
        <v>94573.450000000012</v>
      </c>
      <c r="D92" s="489"/>
      <c r="E92" s="490"/>
      <c r="F92" s="491">
        <v>0</v>
      </c>
      <c r="G92" s="493"/>
      <c r="H92" s="495"/>
      <c r="I92" s="492"/>
      <c r="J92" s="489"/>
      <c r="K92" s="490"/>
      <c r="L92" s="490"/>
      <c r="M92" s="490"/>
      <c r="N92" s="495"/>
      <c r="O92" s="495"/>
      <c r="P92" s="490"/>
      <c r="Q92" s="490"/>
      <c r="R92" s="491"/>
      <c r="S92" s="493"/>
      <c r="T92" s="490">
        <v>5</v>
      </c>
      <c r="U92" s="490"/>
      <c r="V92" s="490"/>
      <c r="W92" s="490"/>
      <c r="X92" s="490"/>
      <c r="Y92" s="490"/>
      <c r="Z92" s="490"/>
      <c r="AA92" s="490"/>
      <c r="AB92" s="490"/>
      <c r="AC92" s="490"/>
      <c r="AD92" s="490"/>
      <c r="AE92" s="490"/>
      <c r="AF92" s="491"/>
      <c r="AG92" s="489"/>
      <c r="AH92" s="491"/>
      <c r="AI92" s="491"/>
      <c r="AJ92" s="490"/>
      <c r="AK92" s="490" t="s">
        <v>4624</v>
      </c>
      <c r="AL92" s="490"/>
      <c r="AM92" s="490" t="s">
        <v>1043</v>
      </c>
      <c r="AN92" s="493">
        <v>5.15</v>
      </c>
      <c r="AO92" s="493"/>
      <c r="AP92" s="493"/>
      <c r="AQ92" s="493"/>
      <c r="AR92" s="493"/>
      <c r="AS92" s="493"/>
      <c r="AT92" s="493"/>
      <c r="AU92" s="493"/>
      <c r="AV92" s="493"/>
      <c r="AW92" s="490" t="s">
        <v>4970</v>
      </c>
      <c r="AX92" s="490"/>
      <c r="AY92" s="493"/>
      <c r="AZ92" s="493"/>
      <c r="BA92" s="602" t="s">
        <v>2809</v>
      </c>
      <c r="BB92" s="488"/>
      <c r="BC92" s="169" t="s">
        <v>4955</v>
      </c>
      <c r="BD92" s="1330"/>
      <c r="BE92" s="1330"/>
      <c r="BF92" s="1330"/>
      <c r="BG92" s="1330"/>
    </row>
    <row r="93" spans="1:59" ht="12.5">
      <c r="A93" s="488"/>
      <c r="B93" s="434"/>
      <c r="C93" s="489"/>
      <c r="D93" s="489"/>
      <c r="E93" s="490"/>
      <c r="F93" s="491"/>
      <c r="G93" s="493">
        <v>6</v>
      </c>
      <c r="H93" s="495"/>
      <c r="I93" s="492"/>
      <c r="J93" s="489"/>
      <c r="K93" s="490"/>
      <c r="L93" s="490"/>
      <c r="M93" s="490"/>
      <c r="N93" s="495"/>
      <c r="O93" s="495"/>
      <c r="P93" s="490"/>
      <c r="Q93" s="490"/>
      <c r="R93" s="491"/>
      <c r="S93" s="493"/>
      <c r="T93" s="490"/>
      <c r="U93" s="490"/>
      <c r="V93" s="490"/>
      <c r="W93" s="490"/>
      <c r="X93" s="490"/>
      <c r="Y93" s="490"/>
      <c r="Z93" s="490"/>
      <c r="AA93" s="490"/>
      <c r="AB93" s="490"/>
      <c r="AC93" s="490"/>
      <c r="AD93" s="490"/>
      <c r="AE93" s="490"/>
      <c r="AF93" s="491"/>
      <c r="AG93" s="489"/>
      <c r="AH93" s="491"/>
      <c r="AI93" s="491"/>
      <c r="AJ93" s="490"/>
      <c r="AK93" s="490"/>
      <c r="AL93" s="490"/>
      <c r="AM93" s="490"/>
      <c r="AN93" s="493"/>
      <c r="AO93" s="493"/>
      <c r="AP93" s="493"/>
      <c r="AQ93" s="493"/>
      <c r="AR93" s="493"/>
      <c r="AS93" s="493"/>
      <c r="AT93" s="493"/>
      <c r="AU93" s="493"/>
      <c r="AV93" s="493"/>
      <c r="AW93" s="490"/>
      <c r="AX93" s="490"/>
      <c r="AY93" s="493"/>
      <c r="AZ93" s="493"/>
      <c r="BA93" s="602"/>
      <c r="BB93" s="488"/>
      <c r="BD93" s="1330"/>
      <c r="BE93" s="1330"/>
      <c r="BF93" s="1330"/>
      <c r="BG93" s="1330"/>
    </row>
    <row r="94" spans="1:59" ht="12.5">
      <c r="A94" s="414"/>
      <c r="B94" s="437" t="s">
        <v>4613</v>
      </c>
      <c r="C94" s="416">
        <f t="shared" si="0"/>
        <v>94579.450000000012</v>
      </c>
      <c r="D94" s="416"/>
      <c r="E94" s="417"/>
      <c r="F94" s="418">
        <v>0</v>
      </c>
      <c r="G94" s="422"/>
      <c r="H94" s="420" t="s">
        <v>873</v>
      </c>
      <c r="I94" s="421"/>
      <c r="J94" s="416">
        <f>C94</f>
        <v>94579.450000000012</v>
      </c>
      <c r="K94" s="417" t="s">
        <v>897</v>
      </c>
      <c r="L94" s="417"/>
      <c r="M94" s="417"/>
      <c r="N94" s="420"/>
      <c r="O94" s="420"/>
      <c r="P94" s="417"/>
      <c r="Q94" s="417"/>
      <c r="R94" s="418"/>
      <c r="S94" s="422"/>
      <c r="T94" s="417">
        <v>7</v>
      </c>
      <c r="U94" s="417"/>
      <c r="V94" s="417"/>
      <c r="W94" s="417"/>
      <c r="X94" s="417"/>
      <c r="Y94" s="417"/>
      <c r="Z94" s="417"/>
      <c r="AA94" s="417"/>
      <c r="AB94" s="417"/>
      <c r="AC94" s="417"/>
      <c r="AD94" s="417"/>
      <c r="AE94" s="417"/>
      <c r="AF94" s="418"/>
      <c r="AG94" s="416"/>
      <c r="AH94" s="418"/>
      <c r="AI94" s="418"/>
      <c r="AJ94" s="417"/>
      <c r="AK94" s="417" t="s">
        <v>4624</v>
      </c>
      <c r="AL94" s="417"/>
      <c r="AM94" s="417" t="s">
        <v>1043</v>
      </c>
      <c r="AN94" s="422">
        <v>5.15</v>
      </c>
      <c r="AO94" s="422"/>
      <c r="AP94" s="422"/>
      <c r="AQ94" s="422"/>
      <c r="AR94" s="422"/>
      <c r="AS94" s="422"/>
      <c r="AT94" s="422"/>
      <c r="AU94" s="422"/>
      <c r="AV94" s="422"/>
      <c r="AW94" s="417" t="s">
        <v>4969</v>
      </c>
      <c r="AX94" s="417"/>
      <c r="AY94" s="422"/>
      <c r="AZ94" s="422"/>
      <c r="BA94" s="1308" t="s">
        <v>2809</v>
      </c>
      <c r="BB94" s="414"/>
      <c r="BC94" s="169" t="s">
        <v>4955</v>
      </c>
      <c r="BD94" s="1330"/>
      <c r="BE94" s="1329">
        <v>43843</v>
      </c>
      <c r="BF94" s="1330"/>
      <c r="BG94" s="1330"/>
    </row>
    <row r="95" spans="1:59" ht="12.5">
      <c r="A95" s="414"/>
      <c r="B95" s="437"/>
      <c r="C95" s="416"/>
      <c r="D95" s="416"/>
      <c r="E95" s="417"/>
      <c r="F95" s="418"/>
      <c r="G95" s="422">
        <v>6</v>
      </c>
      <c r="H95" s="420"/>
      <c r="I95" s="421"/>
      <c r="J95" s="416"/>
      <c r="K95" s="417"/>
      <c r="L95" s="417"/>
      <c r="M95" s="417"/>
      <c r="N95" s="420"/>
      <c r="O95" s="420"/>
      <c r="P95" s="417"/>
      <c r="Q95" s="417"/>
      <c r="R95" s="418"/>
      <c r="S95" s="422"/>
      <c r="T95" s="417"/>
      <c r="U95" s="417"/>
      <c r="V95" s="417"/>
      <c r="W95" s="417"/>
      <c r="X95" s="417"/>
      <c r="Y95" s="417"/>
      <c r="Z95" s="417"/>
      <c r="AA95" s="417"/>
      <c r="AB95" s="417"/>
      <c r="AC95" s="417"/>
      <c r="AD95" s="417"/>
      <c r="AE95" s="417"/>
      <c r="AF95" s="418"/>
      <c r="AG95" s="416"/>
      <c r="AH95" s="418"/>
      <c r="AI95" s="418"/>
      <c r="AJ95" s="417"/>
      <c r="AK95" s="417"/>
      <c r="AL95" s="417"/>
      <c r="AM95" s="417"/>
      <c r="AN95" s="422"/>
      <c r="AO95" s="422"/>
      <c r="AP95" s="422"/>
      <c r="AQ95" s="422"/>
      <c r="AR95" s="422"/>
      <c r="AS95" s="422"/>
      <c r="AT95" s="422"/>
      <c r="AU95" s="422"/>
      <c r="AV95" s="422"/>
      <c r="AW95" s="417"/>
      <c r="AX95" s="417"/>
      <c r="AY95" s="422"/>
      <c r="AZ95" s="422"/>
      <c r="BA95" s="1308"/>
      <c r="BB95" s="414"/>
      <c r="BD95" s="1330"/>
      <c r="BE95" s="1330"/>
      <c r="BF95" s="1330"/>
      <c r="BG95" s="1330"/>
    </row>
    <row r="96" spans="1:59" ht="12.5">
      <c r="A96" s="414"/>
      <c r="B96" s="437" t="s">
        <v>4614</v>
      </c>
      <c r="C96" s="416">
        <f t="shared" si="0"/>
        <v>94585.450000000012</v>
      </c>
      <c r="D96" s="416"/>
      <c r="E96" s="417"/>
      <c r="F96" s="418">
        <v>0</v>
      </c>
      <c r="G96" s="422"/>
      <c r="H96" s="420"/>
      <c r="I96" s="421"/>
      <c r="J96" s="416"/>
      <c r="K96" s="417"/>
      <c r="L96" s="417"/>
      <c r="M96" s="417"/>
      <c r="N96" s="420"/>
      <c r="O96" s="420"/>
      <c r="P96" s="417"/>
      <c r="Q96" s="417"/>
      <c r="R96" s="418"/>
      <c r="S96" s="422"/>
      <c r="T96" s="417">
        <v>9</v>
      </c>
      <c r="U96" s="417"/>
      <c r="V96" s="417"/>
      <c r="W96" s="417"/>
      <c r="X96" s="417"/>
      <c r="Y96" s="417"/>
      <c r="Z96" s="417"/>
      <c r="AA96" s="417"/>
      <c r="AB96" s="417"/>
      <c r="AC96" s="417"/>
      <c r="AD96" s="417"/>
      <c r="AE96" s="417"/>
      <c r="AF96" s="418"/>
      <c r="AG96" s="416"/>
      <c r="AH96" s="418"/>
      <c r="AI96" s="418"/>
      <c r="AJ96" s="417"/>
      <c r="AK96" s="417" t="s">
        <v>4624</v>
      </c>
      <c r="AL96" s="417"/>
      <c r="AM96" s="417" t="s">
        <v>1043</v>
      </c>
      <c r="AN96" s="422">
        <v>5.15</v>
      </c>
      <c r="AO96" s="422"/>
      <c r="AP96" s="422"/>
      <c r="AQ96" s="422"/>
      <c r="AR96" s="422"/>
      <c r="AS96" s="422"/>
      <c r="AT96" s="422"/>
      <c r="AU96" s="422"/>
      <c r="AV96" s="422"/>
      <c r="AW96" s="417" t="s">
        <v>4969</v>
      </c>
      <c r="AX96" s="417"/>
      <c r="AY96" s="422"/>
      <c r="AZ96" s="422"/>
      <c r="BA96" s="1308" t="s">
        <v>2809</v>
      </c>
      <c r="BB96" s="414"/>
      <c r="BC96" s="169" t="s">
        <v>4955</v>
      </c>
      <c r="BD96" s="1330"/>
      <c r="BE96" s="1329">
        <v>43843</v>
      </c>
      <c r="BF96" s="1330"/>
      <c r="BG96" s="1330"/>
    </row>
    <row r="97" spans="1:59" ht="12.5">
      <c r="A97" s="414"/>
      <c r="B97" s="415"/>
      <c r="C97" s="416"/>
      <c r="D97" s="416"/>
      <c r="E97" s="417"/>
      <c r="F97" s="418"/>
      <c r="G97" s="422">
        <v>6</v>
      </c>
      <c r="H97" s="420"/>
      <c r="I97" s="1188"/>
      <c r="J97" s="416"/>
      <c r="K97" s="417"/>
      <c r="L97" s="417"/>
      <c r="M97" s="417"/>
      <c r="N97" s="420"/>
      <c r="O97" s="420"/>
      <c r="P97" s="417"/>
      <c r="Q97" s="417"/>
      <c r="R97" s="418"/>
      <c r="S97" s="422">
        <f>AG98-AG86</f>
        <v>0</v>
      </c>
      <c r="T97" s="417"/>
      <c r="U97" s="417"/>
      <c r="V97" s="417"/>
      <c r="W97" s="417"/>
      <c r="X97" s="417"/>
      <c r="Y97" s="417"/>
      <c r="Z97" s="417"/>
      <c r="AA97" s="417"/>
      <c r="AB97" s="417"/>
      <c r="AC97" s="417"/>
      <c r="AD97" s="417"/>
      <c r="AE97" s="417"/>
      <c r="AF97" s="418"/>
      <c r="AG97" s="416"/>
      <c r="AH97" s="418"/>
      <c r="AI97" s="418"/>
      <c r="AJ97" s="417"/>
      <c r="AK97" s="417"/>
      <c r="AL97" s="417"/>
      <c r="AM97" s="417"/>
      <c r="AN97" s="422"/>
      <c r="AO97" s="422"/>
      <c r="AP97" s="422"/>
      <c r="AQ97" s="422"/>
      <c r="AR97" s="422"/>
      <c r="AS97" s="422"/>
      <c r="AT97" s="422"/>
      <c r="AU97" s="422"/>
      <c r="AV97" s="422"/>
      <c r="AW97" s="417"/>
      <c r="AX97" s="417"/>
      <c r="AY97" s="422"/>
      <c r="AZ97" s="422"/>
      <c r="BA97" s="1308"/>
      <c r="BB97" s="414"/>
      <c r="BD97" s="1330"/>
      <c r="BE97" s="1330"/>
      <c r="BF97" s="1330"/>
      <c r="BG97" s="1330"/>
    </row>
    <row r="98" spans="1:59" ht="12.5">
      <c r="A98" s="414"/>
      <c r="B98" s="437" t="s">
        <v>1942</v>
      </c>
      <c r="C98" s="416">
        <f t="shared" si="0"/>
        <v>94591.450000000012</v>
      </c>
      <c r="D98" s="416"/>
      <c r="E98" s="417"/>
      <c r="F98" s="418">
        <v>0</v>
      </c>
      <c r="G98" s="422"/>
      <c r="H98" s="420"/>
      <c r="I98" s="421"/>
      <c r="J98" s="416"/>
      <c r="K98" s="417"/>
      <c r="L98" s="417"/>
      <c r="M98" s="417"/>
      <c r="N98" s="420"/>
      <c r="O98" s="420"/>
      <c r="P98" s="417"/>
      <c r="Q98" s="417"/>
      <c r="R98" s="418"/>
      <c r="S98" s="422"/>
      <c r="T98" s="417">
        <v>10</v>
      </c>
      <c r="U98" s="417"/>
      <c r="V98" s="417"/>
      <c r="W98" s="417"/>
      <c r="X98" s="417"/>
      <c r="Y98" s="417"/>
      <c r="Z98" s="417"/>
      <c r="AA98" s="417"/>
      <c r="AB98" s="417"/>
      <c r="AC98" s="417"/>
      <c r="AD98" s="417"/>
      <c r="AE98" s="417"/>
      <c r="AF98" s="418"/>
      <c r="AG98" s="416"/>
      <c r="AH98" s="418"/>
      <c r="AI98" s="418"/>
      <c r="AJ98" s="417"/>
      <c r="AK98" s="417" t="s">
        <v>4624</v>
      </c>
      <c r="AL98" s="417"/>
      <c r="AM98" s="417" t="s">
        <v>1043</v>
      </c>
      <c r="AN98" s="422">
        <v>5.15</v>
      </c>
      <c r="AO98" s="422"/>
      <c r="AP98" s="422"/>
      <c r="AQ98" s="422"/>
      <c r="AR98" s="422"/>
      <c r="AS98" s="422"/>
      <c r="AT98" s="422"/>
      <c r="AU98" s="422"/>
      <c r="AV98" s="422"/>
      <c r="AW98" s="417" t="s">
        <v>4969</v>
      </c>
      <c r="AX98" s="417"/>
      <c r="AY98" s="422"/>
      <c r="AZ98" s="422"/>
      <c r="BA98" s="1308" t="s">
        <v>2809</v>
      </c>
      <c r="BB98" s="414"/>
      <c r="BC98" s="169" t="s">
        <v>4955</v>
      </c>
      <c r="BD98" s="1330"/>
      <c r="BE98" s="1329">
        <v>43843</v>
      </c>
      <c r="BF98" s="1330"/>
      <c r="BG98" s="1330"/>
    </row>
    <row r="99" spans="1:59" ht="12.5">
      <c r="A99" s="414"/>
      <c r="B99" s="415"/>
      <c r="C99" s="416"/>
      <c r="D99" s="416"/>
      <c r="E99" s="417"/>
      <c r="F99" s="418"/>
      <c r="G99" s="422">
        <v>6</v>
      </c>
      <c r="H99" s="420"/>
      <c r="I99" s="421"/>
      <c r="J99" s="416"/>
      <c r="K99" s="417"/>
      <c r="L99" s="417"/>
      <c r="M99" s="623"/>
      <c r="N99" s="420"/>
      <c r="O99" s="420"/>
      <c r="P99" s="417"/>
      <c r="Q99" s="417"/>
      <c r="R99" s="418"/>
      <c r="S99" s="422">
        <f>AG112-AG98</f>
        <v>0</v>
      </c>
      <c r="T99" s="417"/>
      <c r="U99" s="417"/>
      <c r="V99" s="417"/>
      <c r="W99" s="417"/>
      <c r="X99" s="417"/>
      <c r="Y99" s="417"/>
      <c r="Z99" s="417"/>
      <c r="AA99" s="417"/>
      <c r="AB99" s="417"/>
      <c r="AC99" s="417"/>
      <c r="AD99" s="417"/>
      <c r="AE99" s="417"/>
      <c r="AF99" s="418"/>
      <c r="AG99" s="416"/>
      <c r="AH99" s="418"/>
      <c r="AI99" s="418"/>
      <c r="AJ99" s="417"/>
      <c r="AK99" s="417"/>
      <c r="AL99" s="417"/>
      <c r="AM99" s="417"/>
      <c r="AN99" s="422"/>
      <c r="AO99" s="422"/>
      <c r="AP99" s="422"/>
      <c r="AQ99" s="422"/>
      <c r="AR99" s="422"/>
      <c r="AS99" s="422"/>
      <c r="AT99" s="422"/>
      <c r="AU99" s="422"/>
      <c r="AV99" s="422"/>
      <c r="AW99" s="417"/>
      <c r="AX99" s="417"/>
      <c r="AY99" s="422"/>
      <c r="AZ99" s="422"/>
      <c r="BA99" s="1308"/>
      <c r="BB99" s="414"/>
      <c r="BD99" s="1330"/>
      <c r="BE99" s="1330"/>
      <c r="BF99" s="1330"/>
      <c r="BG99" s="1330"/>
    </row>
    <row r="100" spans="1:59" ht="12.5">
      <c r="A100" s="414"/>
      <c r="B100" s="415" t="s">
        <v>4615</v>
      </c>
      <c r="C100" s="416">
        <f t="shared" si="0"/>
        <v>94597.450000000012</v>
      </c>
      <c r="D100" s="416"/>
      <c r="E100" s="417"/>
      <c r="F100" s="418">
        <v>0</v>
      </c>
      <c r="G100" s="422"/>
      <c r="H100" s="420"/>
      <c r="I100" s="421"/>
      <c r="J100" s="416"/>
      <c r="K100" s="417"/>
      <c r="L100" s="417"/>
      <c r="M100" s="417"/>
      <c r="N100" s="420"/>
      <c r="O100" s="420"/>
      <c r="P100" s="417"/>
      <c r="Q100" s="417"/>
      <c r="R100" s="418"/>
      <c r="S100" s="422"/>
      <c r="T100" s="417">
        <v>12</v>
      </c>
      <c r="U100" s="417"/>
      <c r="V100" s="417"/>
      <c r="W100" s="417"/>
      <c r="X100" s="417"/>
      <c r="Y100" s="417"/>
      <c r="Z100" s="417"/>
      <c r="AA100" s="417"/>
      <c r="AB100" s="417"/>
      <c r="AC100" s="417"/>
      <c r="AD100" s="417"/>
      <c r="AE100" s="417"/>
      <c r="AF100" s="418"/>
      <c r="AG100" s="416"/>
      <c r="AH100" s="418"/>
      <c r="AI100" s="418"/>
      <c r="AJ100" s="417"/>
      <c r="AK100" s="417" t="s">
        <v>4624</v>
      </c>
      <c r="AL100" s="417"/>
      <c r="AM100" s="417" t="s">
        <v>1043</v>
      </c>
      <c r="AN100" s="422">
        <v>5.15</v>
      </c>
      <c r="AO100" s="422"/>
      <c r="AP100" s="422"/>
      <c r="AQ100" s="422"/>
      <c r="AR100" s="422"/>
      <c r="AS100" s="422"/>
      <c r="AT100" s="422"/>
      <c r="AU100" s="422"/>
      <c r="AV100" s="422"/>
      <c r="AW100" s="417" t="s">
        <v>4969</v>
      </c>
      <c r="AX100" s="417"/>
      <c r="AY100" s="422"/>
      <c r="AZ100" s="422"/>
      <c r="BA100" s="1308" t="s">
        <v>2809</v>
      </c>
      <c r="BB100" s="414"/>
      <c r="BC100" s="169" t="s">
        <v>4955</v>
      </c>
      <c r="BD100" s="1330"/>
      <c r="BE100" s="1329">
        <v>43843</v>
      </c>
      <c r="BF100" s="1330"/>
      <c r="BG100" s="1330"/>
    </row>
    <row r="101" spans="1:59" ht="12.5">
      <c r="A101" s="414"/>
      <c r="B101" s="415"/>
      <c r="C101" s="416"/>
      <c r="D101" s="416"/>
      <c r="E101" s="417"/>
      <c r="F101" s="418"/>
      <c r="G101" s="422">
        <v>6</v>
      </c>
      <c r="H101" s="420"/>
      <c r="I101" s="421"/>
      <c r="J101" s="416"/>
      <c r="K101" s="417"/>
      <c r="L101" s="417"/>
      <c r="M101" s="417"/>
      <c r="N101" s="420"/>
      <c r="O101" s="420"/>
      <c r="P101" s="417"/>
      <c r="Q101" s="417"/>
      <c r="R101" s="418"/>
      <c r="S101" s="422"/>
      <c r="T101" s="417"/>
      <c r="U101" s="417"/>
      <c r="V101" s="417"/>
      <c r="W101" s="417"/>
      <c r="X101" s="417"/>
      <c r="Y101" s="417"/>
      <c r="Z101" s="417"/>
      <c r="AA101" s="417"/>
      <c r="AB101" s="417"/>
      <c r="AC101" s="417"/>
      <c r="AD101" s="417"/>
      <c r="AE101" s="417"/>
      <c r="AF101" s="418"/>
      <c r="AG101" s="416"/>
      <c r="AH101" s="418"/>
      <c r="AI101" s="418"/>
      <c r="AJ101" s="417"/>
      <c r="AK101" s="417"/>
      <c r="AL101" s="417"/>
      <c r="AM101" s="417"/>
      <c r="AN101" s="422"/>
      <c r="AO101" s="422"/>
      <c r="AP101" s="422"/>
      <c r="AQ101" s="422"/>
      <c r="AR101" s="422"/>
      <c r="AS101" s="422"/>
      <c r="AT101" s="422"/>
      <c r="AU101" s="422"/>
      <c r="AV101" s="422"/>
      <c r="AW101" s="417"/>
      <c r="AX101" s="417"/>
      <c r="AY101" s="422"/>
      <c r="AZ101" s="422"/>
      <c r="BA101" s="1308"/>
      <c r="BB101" s="414"/>
      <c r="BD101" s="1330"/>
      <c r="BE101" s="1330"/>
      <c r="BF101" s="1330"/>
      <c r="BG101" s="1330"/>
    </row>
    <row r="102" spans="1:59" ht="12.5">
      <c r="A102" s="414"/>
      <c r="B102" s="415" t="s">
        <v>4616</v>
      </c>
      <c r="C102" s="416">
        <f t="shared" si="0"/>
        <v>94603.450000000012</v>
      </c>
      <c r="D102" s="416"/>
      <c r="E102" s="417"/>
      <c r="F102" s="418">
        <v>0</v>
      </c>
      <c r="G102" s="422"/>
      <c r="H102" s="420"/>
      <c r="I102" s="421"/>
      <c r="J102" s="416"/>
      <c r="K102" s="417"/>
      <c r="L102" s="417"/>
      <c r="M102" s="417"/>
      <c r="N102" s="420"/>
      <c r="O102" s="420"/>
      <c r="P102" s="417"/>
      <c r="Q102" s="417"/>
      <c r="R102" s="418"/>
      <c r="S102" s="422"/>
      <c r="T102" s="417">
        <v>13</v>
      </c>
      <c r="U102" s="417"/>
      <c r="V102" s="417"/>
      <c r="W102" s="417"/>
      <c r="X102" s="417"/>
      <c r="Y102" s="417"/>
      <c r="Z102" s="417"/>
      <c r="AA102" s="417"/>
      <c r="AB102" s="417"/>
      <c r="AC102" s="417"/>
      <c r="AD102" s="417"/>
      <c r="AE102" s="417"/>
      <c r="AF102" s="418"/>
      <c r="AG102" s="416"/>
      <c r="AH102" s="418"/>
      <c r="AI102" s="418"/>
      <c r="AJ102" s="417"/>
      <c r="AK102" s="417" t="s">
        <v>4624</v>
      </c>
      <c r="AL102" s="417"/>
      <c r="AM102" s="417" t="s">
        <v>1043</v>
      </c>
      <c r="AN102" s="422">
        <v>5.15</v>
      </c>
      <c r="AO102" s="422"/>
      <c r="AP102" s="422"/>
      <c r="AQ102" s="422"/>
      <c r="AR102" s="422"/>
      <c r="AS102" s="422"/>
      <c r="AT102" s="422"/>
      <c r="AU102" s="422"/>
      <c r="AV102" s="422"/>
      <c r="AW102" s="417" t="s">
        <v>4969</v>
      </c>
      <c r="AX102" s="417"/>
      <c r="AY102" s="422"/>
      <c r="AZ102" s="422"/>
      <c r="BA102" s="1308" t="s">
        <v>2809</v>
      </c>
      <c r="BB102" s="414"/>
      <c r="BC102" s="169" t="s">
        <v>4955</v>
      </c>
      <c r="BD102" s="1330"/>
      <c r="BE102" s="1329">
        <v>43843</v>
      </c>
      <c r="BF102" s="1330"/>
      <c r="BG102" s="1330"/>
    </row>
    <row r="103" spans="1:59" ht="12.5">
      <c r="A103" s="414"/>
      <c r="B103" s="415"/>
      <c r="C103" s="416"/>
      <c r="D103" s="416"/>
      <c r="E103" s="417"/>
      <c r="F103" s="418"/>
      <c r="G103" s="422">
        <v>6</v>
      </c>
      <c r="H103" s="420"/>
      <c r="I103" s="421"/>
      <c r="J103" s="416"/>
      <c r="K103" s="417"/>
      <c r="L103" s="417"/>
      <c r="M103" s="417"/>
      <c r="N103" s="420"/>
      <c r="O103" s="420"/>
      <c r="P103" s="417"/>
      <c r="Q103" s="417"/>
      <c r="R103" s="418"/>
      <c r="S103" s="422"/>
      <c r="T103" s="417"/>
      <c r="U103" s="417"/>
      <c r="V103" s="417"/>
      <c r="W103" s="417"/>
      <c r="X103" s="417"/>
      <c r="Y103" s="417"/>
      <c r="Z103" s="417"/>
      <c r="AA103" s="417"/>
      <c r="AB103" s="417"/>
      <c r="AC103" s="417"/>
      <c r="AD103" s="417"/>
      <c r="AE103" s="417"/>
      <c r="AF103" s="418"/>
      <c r="AG103" s="416"/>
      <c r="AH103" s="418"/>
      <c r="AI103" s="418"/>
      <c r="AJ103" s="417"/>
      <c r="AK103" s="417"/>
      <c r="AL103" s="417"/>
      <c r="AM103" s="417"/>
      <c r="AN103" s="422"/>
      <c r="AO103" s="422"/>
      <c r="AP103" s="422"/>
      <c r="AQ103" s="422"/>
      <c r="AR103" s="422"/>
      <c r="AS103" s="422"/>
      <c r="AT103" s="422"/>
      <c r="AU103" s="422"/>
      <c r="AV103" s="422"/>
      <c r="AW103" s="417"/>
      <c r="AX103" s="417"/>
      <c r="AY103" s="422"/>
      <c r="AZ103" s="422"/>
      <c r="BA103" s="1308"/>
      <c r="BB103" s="414"/>
      <c r="BD103" s="1330"/>
      <c r="BE103" s="1330"/>
      <c r="BF103" s="1330"/>
      <c r="BG103" s="1330"/>
    </row>
    <row r="104" spans="1:59" ht="12.5">
      <c r="A104" s="414"/>
      <c r="B104" s="415" t="s">
        <v>4617</v>
      </c>
      <c r="C104" s="416">
        <f t="shared" si="0"/>
        <v>94609.450000000012</v>
      </c>
      <c r="D104" s="416"/>
      <c r="E104" s="417"/>
      <c r="F104" s="418">
        <v>0</v>
      </c>
      <c r="G104" s="422"/>
      <c r="H104" s="420"/>
      <c r="I104" s="421"/>
      <c r="J104" s="416"/>
      <c r="K104" s="417"/>
      <c r="L104" s="417"/>
      <c r="M104" s="417"/>
      <c r="N104" s="420"/>
      <c r="O104" s="420"/>
      <c r="P104" s="417"/>
      <c r="Q104" s="417"/>
      <c r="R104" s="418"/>
      <c r="S104" s="422"/>
      <c r="T104" s="417">
        <v>15</v>
      </c>
      <c r="U104" s="417"/>
      <c r="V104" s="417"/>
      <c r="W104" s="417"/>
      <c r="X104" s="417"/>
      <c r="Y104" s="417"/>
      <c r="Z104" s="417"/>
      <c r="AA104" s="417"/>
      <c r="AB104" s="417"/>
      <c r="AC104" s="417"/>
      <c r="AD104" s="417"/>
      <c r="AE104" s="417"/>
      <c r="AF104" s="418"/>
      <c r="AG104" s="416"/>
      <c r="AH104" s="418"/>
      <c r="AI104" s="418"/>
      <c r="AJ104" s="417"/>
      <c r="AK104" s="417" t="s">
        <v>4624</v>
      </c>
      <c r="AL104" s="417"/>
      <c r="AM104" s="417" t="s">
        <v>1043</v>
      </c>
      <c r="AN104" s="422">
        <v>5.15</v>
      </c>
      <c r="AO104" s="422"/>
      <c r="AP104" s="422"/>
      <c r="AQ104" s="422"/>
      <c r="AR104" s="422"/>
      <c r="AS104" s="422"/>
      <c r="AT104" s="422"/>
      <c r="AU104" s="422"/>
      <c r="AV104" s="422"/>
      <c r="AW104" s="417" t="s">
        <v>4969</v>
      </c>
      <c r="AX104" s="417"/>
      <c r="AY104" s="422"/>
      <c r="AZ104" s="422"/>
      <c r="BA104" s="1308" t="s">
        <v>2809</v>
      </c>
      <c r="BB104" s="414"/>
      <c r="BC104" s="169" t="s">
        <v>4955</v>
      </c>
      <c r="BD104" s="1330"/>
      <c r="BE104" s="1329">
        <v>43843</v>
      </c>
      <c r="BF104" s="1330"/>
      <c r="BG104" s="1330"/>
    </row>
    <row r="105" spans="1:59" ht="12.5">
      <c r="A105" s="414"/>
      <c r="B105" s="415"/>
      <c r="C105" s="416"/>
      <c r="D105" s="416"/>
      <c r="E105" s="417"/>
      <c r="F105" s="418"/>
      <c r="G105" s="422">
        <v>6</v>
      </c>
      <c r="H105" s="420"/>
      <c r="I105" s="421"/>
      <c r="J105" s="416"/>
      <c r="K105" s="417"/>
      <c r="L105" s="417"/>
      <c r="M105" s="623"/>
      <c r="N105" s="420"/>
      <c r="O105" s="420"/>
      <c r="P105" s="417"/>
      <c r="Q105" s="417"/>
      <c r="R105" s="418"/>
      <c r="S105" s="422"/>
      <c r="T105" s="417"/>
      <c r="U105" s="417"/>
      <c r="V105" s="417"/>
      <c r="W105" s="417"/>
      <c r="X105" s="417"/>
      <c r="Y105" s="417"/>
      <c r="Z105" s="417"/>
      <c r="AA105" s="417"/>
      <c r="AB105" s="417"/>
      <c r="AC105" s="417"/>
      <c r="AD105" s="417"/>
      <c r="AE105" s="417"/>
      <c r="AF105" s="418"/>
      <c r="AG105" s="416"/>
      <c r="AH105" s="418"/>
      <c r="AI105" s="418"/>
      <c r="AJ105" s="417"/>
      <c r="AK105" s="417"/>
      <c r="AL105" s="417"/>
      <c r="AM105" s="417"/>
      <c r="AN105" s="422"/>
      <c r="AO105" s="422"/>
      <c r="AP105" s="422"/>
      <c r="AQ105" s="422"/>
      <c r="AR105" s="422"/>
      <c r="AS105" s="422"/>
      <c r="AT105" s="422"/>
      <c r="AU105" s="422"/>
      <c r="AV105" s="422"/>
      <c r="AW105" s="417"/>
      <c r="AX105" s="417"/>
      <c r="AY105" s="422"/>
      <c r="AZ105" s="422"/>
      <c r="BA105" s="1308"/>
      <c r="BB105" s="414"/>
      <c r="BD105" s="1330"/>
      <c r="BE105" s="1330"/>
      <c r="BF105" s="1330"/>
      <c r="BG105" s="1330"/>
    </row>
    <row r="106" spans="1:59" ht="12.5">
      <c r="A106" s="414" t="s">
        <v>1853</v>
      </c>
      <c r="B106" s="415" t="s">
        <v>4618</v>
      </c>
      <c r="C106" s="416">
        <f t="shared" si="0"/>
        <v>94615.450000000012</v>
      </c>
      <c r="D106" s="416"/>
      <c r="E106" s="417"/>
      <c r="F106" s="418">
        <v>0</v>
      </c>
      <c r="G106" s="422"/>
      <c r="H106" s="420"/>
      <c r="I106" s="421"/>
      <c r="J106" s="416"/>
      <c r="K106" s="417"/>
      <c r="L106" s="417"/>
      <c r="M106" s="417"/>
      <c r="N106" s="420"/>
      <c r="O106" s="420"/>
      <c r="P106" s="417"/>
      <c r="Q106" s="417"/>
      <c r="R106" s="418"/>
      <c r="S106" s="422"/>
      <c r="T106" s="417">
        <v>16</v>
      </c>
      <c r="U106" s="417"/>
      <c r="V106" s="417"/>
      <c r="W106" s="417"/>
      <c r="X106" s="417"/>
      <c r="Y106" s="417"/>
      <c r="Z106" s="417"/>
      <c r="AA106" s="417"/>
      <c r="AB106" s="417"/>
      <c r="AC106" s="417"/>
      <c r="AD106" s="417"/>
      <c r="AE106" s="417"/>
      <c r="AF106" s="418"/>
      <c r="AG106" s="416"/>
      <c r="AH106" s="418"/>
      <c r="AI106" s="418"/>
      <c r="AJ106" s="417"/>
      <c r="AK106" s="417" t="s">
        <v>4624</v>
      </c>
      <c r="AL106" s="417"/>
      <c r="AM106" s="417" t="s">
        <v>1043</v>
      </c>
      <c r="AN106" s="422">
        <v>5.15</v>
      </c>
      <c r="AO106" s="422"/>
      <c r="AP106" s="422"/>
      <c r="AQ106" s="422"/>
      <c r="AR106" s="422"/>
      <c r="AS106" s="422"/>
      <c r="AT106" s="422"/>
      <c r="AU106" s="422"/>
      <c r="AV106" s="422"/>
      <c r="AW106" s="417" t="s">
        <v>4969</v>
      </c>
      <c r="AX106" s="417"/>
      <c r="AY106" s="422"/>
      <c r="AZ106" s="422"/>
      <c r="BA106" s="1308" t="s">
        <v>2809</v>
      </c>
      <c r="BB106" s="414"/>
      <c r="BC106" s="169" t="s">
        <v>4955</v>
      </c>
      <c r="BD106" s="1330"/>
      <c r="BE106" s="1329">
        <v>43843</v>
      </c>
      <c r="BF106" s="1330"/>
      <c r="BG106" s="1330"/>
    </row>
    <row r="107" spans="1:59" ht="12.5">
      <c r="A107" s="414" t="s">
        <v>4622</v>
      </c>
      <c r="B107" s="415"/>
      <c r="C107" s="416"/>
      <c r="D107" s="416"/>
      <c r="E107" s="417"/>
      <c r="F107" s="418"/>
      <c r="G107" s="422">
        <v>6</v>
      </c>
      <c r="H107" s="420"/>
      <c r="I107" s="421"/>
      <c r="J107" s="416"/>
      <c r="K107" s="417"/>
      <c r="L107" s="417"/>
      <c r="M107" s="417"/>
      <c r="N107" s="420"/>
      <c r="O107" s="420"/>
      <c r="P107" s="417"/>
      <c r="Q107" s="417"/>
      <c r="R107" s="418"/>
      <c r="S107" s="422"/>
      <c r="T107" s="417"/>
      <c r="U107" s="417"/>
      <c r="V107" s="417"/>
      <c r="W107" s="417"/>
      <c r="X107" s="417"/>
      <c r="Y107" s="417"/>
      <c r="Z107" s="417"/>
      <c r="AA107" s="417"/>
      <c r="AB107" s="417"/>
      <c r="AC107" s="417"/>
      <c r="AD107" s="417"/>
      <c r="AE107" s="417"/>
      <c r="AF107" s="418"/>
      <c r="AG107" s="416"/>
      <c r="AH107" s="418"/>
      <c r="AI107" s="418"/>
      <c r="AJ107" s="417"/>
      <c r="AK107" s="417"/>
      <c r="AL107" s="417"/>
      <c r="AM107" s="417"/>
      <c r="AN107" s="422"/>
      <c r="AO107" s="422"/>
      <c r="AP107" s="422"/>
      <c r="AQ107" s="422"/>
      <c r="AR107" s="422"/>
      <c r="AS107" s="422"/>
      <c r="AT107" s="422"/>
      <c r="AU107" s="422"/>
      <c r="AV107" s="422"/>
      <c r="AW107" s="417"/>
      <c r="AX107" s="417"/>
      <c r="AY107" s="422"/>
      <c r="AZ107" s="422"/>
      <c r="BA107" s="1308"/>
      <c r="BB107" s="414"/>
      <c r="BD107" s="1330"/>
      <c r="BE107" s="1330"/>
      <c r="BF107" s="1330"/>
      <c r="BG107" s="1330"/>
    </row>
    <row r="108" spans="1:59" ht="12.5">
      <c r="A108" s="414"/>
      <c r="B108" s="415" t="s">
        <v>4619</v>
      </c>
      <c r="C108" s="416">
        <f t="shared" si="0"/>
        <v>94621.450000000012</v>
      </c>
      <c r="D108" s="416"/>
      <c r="E108" s="417"/>
      <c r="F108" s="418">
        <v>0</v>
      </c>
      <c r="G108" s="422"/>
      <c r="H108" s="420"/>
      <c r="I108" s="421"/>
      <c r="J108" s="416"/>
      <c r="K108" s="417"/>
      <c r="L108" s="417"/>
      <c r="M108" s="417"/>
      <c r="N108" s="420"/>
      <c r="O108" s="420"/>
      <c r="P108" s="417"/>
      <c r="Q108" s="417"/>
      <c r="R108" s="418"/>
      <c r="S108" s="422"/>
      <c r="T108" s="417">
        <v>17</v>
      </c>
      <c r="U108" s="417"/>
      <c r="V108" s="417"/>
      <c r="W108" s="417"/>
      <c r="X108" s="417"/>
      <c r="Y108" s="417"/>
      <c r="Z108" s="417"/>
      <c r="AA108" s="417"/>
      <c r="AB108" s="417"/>
      <c r="AC108" s="417"/>
      <c r="AD108" s="417"/>
      <c r="AE108" s="417"/>
      <c r="AF108" s="418"/>
      <c r="AG108" s="416"/>
      <c r="AH108" s="418"/>
      <c r="AI108" s="418"/>
      <c r="AJ108" s="417"/>
      <c r="AK108" s="417" t="s">
        <v>4624</v>
      </c>
      <c r="AL108" s="417"/>
      <c r="AM108" s="417" t="s">
        <v>1043</v>
      </c>
      <c r="AN108" s="422">
        <v>5.15</v>
      </c>
      <c r="AO108" s="422"/>
      <c r="AP108" s="422"/>
      <c r="AQ108" s="422"/>
      <c r="AR108" s="422"/>
      <c r="AS108" s="422"/>
      <c r="AT108" s="422"/>
      <c r="AU108" s="422"/>
      <c r="AV108" s="422"/>
      <c r="AW108" s="417" t="s">
        <v>4969</v>
      </c>
      <c r="AX108" s="417"/>
      <c r="AY108" s="422"/>
      <c r="AZ108" s="422"/>
      <c r="BA108" s="1308" t="s">
        <v>2809</v>
      </c>
      <c r="BB108" s="414"/>
      <c r="BC108" s="169" t="s">
        <v>4955</v>
      </c>
      <c r="BD108" s="1330"/>
      <c r="BE108" s="1329">
        <v>43843</v>
      </c>
      <c r="BF108" s="1330"/>
      <c r="BG108" s="1330"/>
    </row>
    <row r="109" spans="1:59" ht="12.5">
      <c r="A109" s="414"/>
      <c r="B109" s="415"/>
      <c r="C109" s="416"/>
      <c r="D109" s="416"/>
      <c r="E109" s="417"/>
      <c r="F109" s="418"/>
      <c r="G109" s="422">
        <v>6</v>
      </c>
      <c r="H109" s="420"/>
      <c r="I109" s="421"/>
      <c r="J109" s="416"/>
      <c r="K109" s="417"/>
      <c r="L109" s="417"/>
      <c r="M109" s="417"/>
      <c r="N109" s="420"/>
      <c r="O109" s="420"/>
      <c r="P109" s="417"/>
      <c r="Q109" s="417"/>
      <c r="R109" s="418"/>
      <c r="S109" s="422"/>
      <c r="T109" s="417"/>
      <c r="U109" s="417"/>
      <c r="V109" s="417"/>
      <c r="W109" s="417"/>
      <c r="X109" s="417"/>
      <c r="Y109" s="417"/>
      <c r="Z109" s="417"/>
      <c r="AA109" s="417"/>
      <c r="AB109" s="417"/>
      <c r="AC109" s="417"/>
      <c r="AD109" s="417"/>
      <c r="AE109" s="417"/>
      <c r="AF109" s="418"/>
      <c r="AG109" s="416"/>
      <c r="AH109" s="418"/>
      <c r="AI109" s="418"/>
      <c r="AJ109" s="417"/>
      <c r="AK109" s="417"/>
      <c r="AL109" s="417"/>
      <c r="AM109" s="417"/>
      <c r="AN109" s="422"/>
      <c r="AO109" s="422"/>
      <c r="AP109" s="422"/>
      <c r="AQ109" s="422"/>
      <c r="AR109" s="422"/>
      <c r="AS109" s="422"/>
      <c r="AT109" s="422"/>
      <c r="AU109" s="422"/>
      <c r="AV109" s="422"/>
      <c r="AW109" s="417"/>
      <c r="AX109" s="417"/>
      <c r="AY109" s="422"/>
      <c r="AZ109" s="422"/>
      <c r="BA109" s="1308"/>
      <c r="BB109" s="414"/>
      <c r="BD109" s="1330"/>
      <c r="BE109" s="1330"/>
      <c r="BF109" s="1330"/>
      <c r="BG109" s="1330"/>
    </row>
    <row r="110" spans="1:59" ht="12.5">
      <c r="A110" s="414"/>
      <c r="B110" s="415" t="s">
        <v>4620</v>
      </c>
      <c r="C110" s="416">
        <f t="shared" si="0"/>
        <v>94627.450000000012</v>
      </c>
      <c r="D110" s="416"/>
      <c r="E110" s="417"/>
      <c r="F110" s="418">
        <v>0</v>
      </c>
      <c r="G110" s="422"/>
      <c r="H110" s="420"/>
      <c r="I110" s="421"/>
      <c r="J110" s="416"/>
      <c r="K110" s="417"/>
      <c r="L110" s="417"/>
      <c r="M110" s="417"/>
      <c r="N110" s="420"/>
      <c r="O110" s="420"/>
      <c r="P110" s="417"/>
      <c r="Q110" s="417"/>
      <c r="R110" s="418"/>
      <c r="S110" s="422"/>
      <c r="T110" s="417">
        <v>19</v>
      </c>
      <c r="U110" s="417"/>
      <c r="V110" s="417"/>
      <c r="W110" s="417"/>
      <c r="X110" s="417"/>
      <c r="Y110" s="417"/>
      <c r="Z110" s="417"/>
      <c r="AA110" s="417"/>
      <c r="AB110" s="417"/>
      <c r="AC110" s="417"/>
      <c r="AD110" s="417"/>
      <c r="AE110" s="417"/>
      <c r="AF110" s="418"/>
      <c r="AG110" s="416"/>
      <c r="AH110" s="418"/>
      <c r="AI110" s="418"/>
      <c r="AJ110" s="417"/>
      <c r="AK110" s="417" t="s">
        <v>4624</v>
      </c>
      <c r="AL110" s="417"/>
      <c r="AM110" s="417" t="s">
        <v>1043</v>
      </c>
      <c r="AN110" s="422">
        <v>5.15</v>
      </c>
      <c r="AO110" s="422"/>
      <c r="AP110" s="422"/>
      <c r="AQ110" s="422"/>
      <c r="AR110" s="422"/>
      <c r="AS110" s="422"/>
      <c r="AT110" s="422"/>
      <c r="AU110" s="422"/>
      <c r="AV110" s="422"/>
      <c r="AW110" s="417" t="s">
        <v>4969</v>
      </c>
      <c r="AX110" s="417"/>
      <c r="AY110" s="422"/>
      <c r="AZ110" s="422"/>
      <c r="BA110" s="1308" t="s">
        <v>2809</v>
      </c>
      <c r="BB110" s="414"/>
      <c r="BC110" s="169" t="s">
        <v>4955</v>
      </c>
      <c r="BD110" s="1330"/>
      <c r="BE110" s="1329">
        <v>43843</v>
      </c>
      <c r="BF110" s="1330"/>
      <c r="BG110" s="1330"/>
    </row>
    <row r="111" spans="1:59" ht="12.5">
      <c r="A111" s="414"/>
      <c r="B111" s="415"/>
      <c r="C111" s="416"/>
      <c r="D111" s="416"/>
      <c r="E111" s="417"/>
      <c r="F111" s="418"/>
      <c r="G111" s="422">
        <v>6</v>
      </c>
      <c r="H111" s="420"/>
      <c r="I111" s="421"/>
      <c r="J111" s="416"/>
      <c r="K111" s="417"/>
      <c r="L111" s="417"/>
      <c r="M111" s="623"/>
      <c r="N111" s="420"/>
      <c r="O111" s="420"/>
      <c r="P111" s="417"/>
      <c r="Q111" s="417"/>
      <c r="R111" s="418"/>
      <c r="S111" s="422"/>
      <c r="T111" s="417"/>
      <c r="U111" s="417"/>
      <c r="V111" s="417"/>
      <c r="W111" s="417"/>
      <c r="X111" s="417"/>
      <c r="Y111" s="417"/>
      <c r="Z111" s="417"/>
      <c r="AA111" s="417"/>
      <c r="AB111" s="417"/>
      <c r="AC111" s="417"/>
      <c r="AD111" s="417"/>
      <c r="AE111" s="417"/>
      <c r="AF111" s="418"/>
      <c r="AG111" s="416"/>
      <c r="AH111" s="418"/>
      <c r="AI111" s="418"/>
      <c r="AJ111" s="417"/>
      <c r="AK111" s="417"/>
      <c r="AL111" s="417"/>
      <c r="AM111" s="417"/>
      <c r="AN111" s="422"/>
      <c r="AO111" s="422"/>
      <c r="AP111" s="422"/>
      <c r="AQ111" s="422"/>
      <c r="AR111" s="422"/>
      <c r="AS111" s="422"/>
      <c r="AT111" s="422"/>
      <c r="AU111" s="422"/>
      <c r="AV111" s="422"/>
      <c r="AW111" s="417"/>
      <c r="AX111" s="417"/>
      <c r="AY111" s="422"/>
      <c r="AZ111" s="422"/>
      <c r="BA111" s="1308"/>
      <c r="BB111" s="414"/>
      <c r="BD111" s="1330"/>
      <c r="BE111" s="1330"/>
      <c r="BF111" s="1330"/>
      <c r="BG111" s="1330"/>
    </row>
    <row r="112" spans="1:59" ht="12.5">
      <c r="A112" s="414"/>
      <c r="B112" s="437" t="s">
        <v>1943</v>
      </c>
      <c r="C112" s="416">
        <f t="shared" si="0"/>
        <v>94633.450000000012</v>
      </c>
      <c r="D112" s="416"/>
      <c r="E112" s="417"/>
      <c r="F112" s="418">
        <v>0</v>
      </c>
      <c r="G112" s="422"/>
      <c r="H112" s="420"/>
      <c r="I112" s="421"/>
      <c r="J112" s="416"/>
      <c r="K112" s="417"/>
      <c r="L112" s="417"/>
      <c r="M112" s="417"/>
      <c r="N112" s="420"/>
      <c r="O112" s="420"/>
      <c r="P112" s="417"/>
      <c r="Q112" s="417"/>
      <c r="R112" s="418"/>
      <c r="S112" s="422"/>
      <c r="T112" s="417">
        <v>20</v>
      </c>
      <c r="U112" s="417"/>
      <c r="V112" s="417"/>
      <c r="W112" s="417"/>
      <c r="X112" s="417"/>
      <c r="Y112" s="417"/>
      <c r="Z112" s="417"/>
      <c r="AA112" s="417"/>
      <c r="AB112" s="417"/>
      <c r="AC112" s="417"/>
      <c r="AD112" s="417"/>
      <c r="AE112" s="417"/>
      <c r="AF112" s="418"/>
      <c r="AG112" s="416"/>
      <c r="AH112" s="418"/>
      <c r="AI112" s="418"/>
      <c r="AJ112" s="417"/>
      <c r="AK112" s="417" t="s">
        <v>4624</v>
      </c>
      <c r="AL112" s="417"/>
      <c r="AM112" s="417" t="s">
        <v>1043</v>
      </c>
      <c r="AN112" s="422">
        <v>5.15</v>
      </c>
      <c r="AO112" s="422"/>
      <c r="AP112" s="422"/>
      <c r="AQ112" s="422"/>
      <c r="AR112" s="422"/>
      <c r="AS112" s="422"/>
      <c r="AT112" s="422"/>
      <c r="AU112" s="422"/>
      <c r="AV112" s="422"/>
      <c r="AW112" s="417" t="s">
        <v>4969</v>
      </c>
      <c r="AX112" s="417"/>
      <c r="AY112" s="422"/>
      <c r="AZ112" s="422"/>
      <c r="BA112" s="1308" t="s">
        <v>2809</v>
      </c>
      <c r="BB112" s="414"/>
      <c r="BC112" s="169" t="s">
        <v>4955</v>
      </c>
      <c r="BD112" s="1330"/>
      <c r="BE112" s="1329">
        <v>43843</v>
      </c>
      <c r="BF112" s="1330"/>
      <c r="BG112" s="1330"/>
    </row>
    <row r="113" spans="1:59" ht="12.5">
      <c r="A113" s="414"/>
      <c r="B113" s="415"/>
      <c r="C113" s="416"/>
      <c r="D113" s="416"/>
      <c r="E113" s="417"/>
      <c r="F113" s="418"/>
      <c r="G113" s="422">
        <v>6</v>
      </c>
      <c r="H113" s="420"/>
      <c r="I113" s="421"/>
      <c r="J113" s="416"/>
      <c r="K113" s="417"/>
      <c r="L113" s="417"/>
      <c r="M113" s="417"/>
      <c r="N113" s="420"/>
      <c r="O113" s="420"/>
      <c r="P113" s="417"/>
      <c r="Q113" s="417"/>
      <c r="R113" s="418"/>
      <c r="S113" s="422">
        <f>AG116-AG112</f>
        <v>94683.73</v>
      </c>
      <c r="T113" s="417"/>
      <c r="U113" s="417"/>
      <c r="V113" s="417"/>
      <c r="W113" s="417"/>
      <c r="X113" s="417"/>
      <c r="Y113" s="417"/>
      <c r="Z113" s="417"/>
      <c r="AA113" s="417"/>
      <c r="AB113" s="417"/>
      <c r="AC113" s="417"/>
      <c r="AD113" s="417"/>
      <c r="AE113" s="417"/>
      <c r="AF113" s="418"/>
      <c r="AG113" s="416"/>
      <c r="AH113" s="418"/>
      <c r="AI113" s="418"/>
      <c r="AJ113" s="417"/>
      <c r="AK113" s="417"/>
      <c r="AL113" s="417"/>
      <c r="AM113" s="417"/>
      <c r="AN113" s="422"/>
      <c r="AO113" s="422"/>
      <c r="AP113" s="422"/>
      <c r="AQ113" s="422"/>
      <c r="AR113" s="422"/>
      <c r="AS113" s="422"/>
      <c r="AT113" s="422"/>
      <c r="AU113" s="422"/>
      <c r="AV113" s="422"/>
      <c r="AW113" s="417"/>
      <c r="AX113" s="417"/>
      <c r="AY113" s="422"/>
      <c r="AZ113" s="422"/>
      <c r="BA113" s="1308"/>
      <c r="BB113" s="414"/>
      <c r="BD113" s="1330"/>
      <c r="BE113" s="1330"/>
      <c r="BF113" s="1330"/>
      <c r="BG113" s="1330"/>
    </row>
    <row r="114" spans="1:59" ht="12.5">
      <c r="A114" s="414"/>
      <c r="B114" s="415" t="s">
        <v>4621</v>
      </c>
      <c r="C114" s="416">
        <f t="shared" si="0"/>
        <v>94639.450000000012</v>
      </c>
      <c r="D114" s="416"/>
      <c r="E114" s="417"/>
      <c r="F114" s="418">
        <v>0</v>
      </c>
      <c r="G114" s="422"/>
      <c r="H114" s="420" t="s">
        <v>873</v>
      </c>
      <c r="I114" s="421"/>
      <c r="J114" s="416">
        <f>C114</f>
        <v>94639.450000000012</v>
      </c>
      <c r="K114" s="417" t="s">
        <v>897</v>
      </c>
      <c r="L114" s="417"/>
      <c r="M114" s="417"/>
      <c r="N114" s="420"/>
      <c r="O114" s="420"/>
      <c r="P114" s="417"/>
      <c r="Q114" s="417"/>
      <c r="R114" s="418"/>
      <c r="S114" s="422"/>
      <c r="T114" s="417">
        <v>20</v>
      </c>
      <c r="U114" s="417"/>
      <c r="V114" s="417"/>
      <c r="W114" s="417"/>
      <c r="X114" s="417"/>
      <c r="Y114" s="417"/>
      <c r="Z114" s="417"/>
      <c r="AA114" s="417"/>
      <c r="AB114" s="417"/>
      <c r="AC114" s="417"/>
      <c r="AD114" s="417"/>
      <c r="AE114" s="417"/>
      <c r="AF114" s="418"/>
      <c r="AG114" s="416"/>
      <c r="AH114" s="418"/>
      <c r="AI114" s="418"/>
      <c r="AJ114" s="417"/>
      <c r="AK114" s="417" t="s">
        <v>4624</v>
      </c>
      <c r="AL114" s="417"/>
      <c r="AM114" s="417" t="s">
        <v>1043</v>
      </c>
      <c r="AN114" s="422">
        <v>5.15</v>
      </c>
      <c r="AO114" s="422"/>
      <c r="AP114" s="422"/>
      <c r="AQ114" s="422"/>
      <c r="AR114" s="422"/>
      <c r="AS114" s="422"/>
      <c r="AT114" s="422"/>
      <c r="AU114" s="422"/>
      <c r="AV114" s="422"/>
      <c r="AW114" s="417" t="s">
        <v>4971</v>
      </c>
      <c r="AX114" s="417"/>
      <c r="AY114" s="422"/>
      <c r="AZ114" s="422"/>
      <c r="BA114" s="1308" t="s">
        <v>2809</v>
      </c>
      <c r="BB114" s="414"/>
      <c r="BC114" s="169" t="s">
        <v>4955</v>
      </c>
      <c r="BD114" s="1330"/>
      <c r="BE114" s="1330"/>
      <c r="BF114" s="1330"/>
      <c r="BG114" s="1330"/>
    </row>
    <row r="115" spans="1:59" ht="12.5">
      <c r="A115" s="414"/>
      <c r="B115" s="415"/>
      <c r="C115" s="416"/>
      <c r="D115" s="416"/>
      <c r="E115" s="417"/>
      <c r="F115" s="418"/>
      <c r="G115" s="422">
        <v>44.2</v>
      </c>
      <c r="H115" s="420"/>
      <c r="I115" s="421"/>
      <c r="J115" s="416"/>
      <c r="K115" s="417"/>
      <c r="L115" s="417"/>
      <c r="M115" s="417"/>
      <c r="N115" s="420"/>
      <c r="O115" s="420"/>
      <c r="P115" s="417"/>
      <c r="Q115" s="417"/>
      <c r="R115" s="418"/>
      <c r="S115" s="422"/>
      <c r="T115" s="417"/>
      <c r="U115" s="417"/>
      <c r="V115" s="417"/>
      <c r="W115" s="417"/>
      <c r="X115" s="417"/>
      <c r="Y115" s="417"/>
      <c r="Z115" s="417"/>
      <c r="AA115" s="417"/>
      <c r="AB115" s="417"/>
      <c r="AC115" s="417"/>
      <c r="AD115" s="417"/>
      <c r="AE115" s="417"/>
      <c r="AF115" s="418"/>
      <c r="AG115" s="416"/>
      <c r="AH115" s="418"/>
      <c r="AI115" s="418"/>
      <c r="AJ115" s="417"/>
      <c r="AK115" s="417"/>
      <c r="AL115" s="417"/>
      <c r="AM115" s="417"/>
      <c r="AN115" s="422"/>
      <c r="AO115" s="422"/>
      <c r="AP115" s="422"/>
      <c r="AQ115" s="422">
        <f>+FL_1($T$116,$T$114,$G$115,1200,9.28, 1*$F$116)</f>
        <v>0.33356941621483488</v>
      </c>
      <c r="AR115" s="422"/>
      <c r="AS115" s="422"/>
      <c r="AT115" s="422"/>
      <c r="AU115" s="422"/>
      <c r="AV115" s="422"/>
      <c r="AW115" s="417"/>
      <c r="AX115" s="417"/>
      <c r="AY115" s="422"/>
      <c r="AZ115" s="422"/>
      <c r="BA115" s="1308"/>
      <c r="BB115" s="414"/>
      <c r="BD115" s="1330"/>
      <c r="BE115" s="1330"/>
      <c r="BF115" s="1330"/>
      <c r="BG115" s="1330"/>
    </row>
    <row r="116" spans="1:59" ht="13">
      <c r="A116" s="414"/>
      <c r="B116" s="416" t="s">
        <v>1944</v>
      </c>
      <c r="C116" s="420">
        <f>+$C$114+$G$115+0.1</f>
        <v>94683.750000000015</v>
      </c>
      <c r="D116" s="420"/>
      <c r="E116" s="420"/>
      <c r="F116" s="444">
        <v>2150</v>
      </c>
      <c r="G116" s="444"/>
      <c r="H116" s="421"/>
      <c r="I116" s="416" t="s">
        <v>1039</v>
      </c>
      <c r="J116" s="416"/>
      <c r="K116" s="417"/>
      <c r="L116" s="417" t="s">
        <v>821</v>
      </c>
      <c r="M116" s="420" t="s">
        <v>2811</v>
      </c>
      <c r="N116" s="420" t="s">
        <v>2797</v>
      </c>
      <c r="O116" s="417"/>
      <c r="P116" s="417"/>
      <c r="Q116" s="417">
        <v>40</v>
      </c>
      <c r="R116" s="417">
        <v>2631.02</v>
      </c>
      <c r="S116" s="422"/>
      <c r="T116" s="417">
        <v>30</v>
      </c>
      <c r="U116" s="417"/>
      <c r="V116" s="417"/>
      <c r="W116" s="417">
        <v>0.6</v>
      </c>
      <c r="X116" s="417"/>
      <c r="Y116" s="417"/>
      <c r="Z116" s="417"/>
      <c r="AA116" s="417"/>
      <c r="AB116" s="417"/>
      <c r="AC116" s="417" t="s">
        <v>1417</v>
      </c>
      <c r="AD116" s="417"/>
      <c r="AE116" s="417"/>
      <c r="AF116" s="416">
        <v>900</v>
      </c>
      <c r="AG116" s="416">
        <v>94683.73</v>
      </c>
      <c r="AH116" s="607">
        <v>843</v>
      </c>
      <c r="AI116" s="417">
        <v>-4770</v>
      </c>
      <c r="AJ116" s="420"/>
      <c r="AK116" s="417" t="s">
        <v>139</v>
      </c>
      <c r="AL116" s="417" t="s">
        <v>2135</v>
      </c>
      <c r="AM116" s="697" t="s">
        <v>1043</v>
      </c>
      <c r="AN116" s="444">
        <v>5.15</v>
      </c>
      <c r="AO116" s="420"/>
      <c r="AP116" s="422"/>
      <c r="AQ116" s="422"/>
      <c r="AR116" s="422"/>
      <c r="AS116" s="422"/>
      <c r="AT116" s="422">
        <f>+ab($T$116,$T$114,$T$118,$G$115,$G$117, 1*$F$116,1200)</f>
        <v>7.7133373223482256</v>
      </c>
      <c r="AU116" s="417"/>
      <c r="AV116" s="417"/>
      <c r="AW116" s="417" t="s">
        <v>4959</v>
      </c>
      <c r="AX116" s="422"/>
      <c r="AY116" s="422"/>
      <c r="AZ116" s="422"/>
      <c r="BA116" s="1308" t="s">
        <v>2809</v>
      </c>
      <c r="BB116" s="414" t="str">
        <f>Pole_Calculations!A178</f>
        <v>App.8-V08F-P10.3</v>
      </c>
      <c r="BC116" s="169" t="s">
        <v>4955</v>
      </c>
      <c r="BD116" s="1329">
        <v>43844</v>
      </c>
      <c r="BE116" s="1329">
        <v>43845</v>
      </c>
      <c r="BF116" s="1329" t="s">
        <v>4946</v>
      </c>
      <c r="BG116" s="1329">
        <v>43870</v>
      </c>
    </row>
    <row r="117" spans="1:59" ht="12.5">
      <c r="A117" s="414"/>
      <c r="B117" s="415"/>
      <c r="C117" s="416"/>
      <c r="D117" s="416"/>
      <c r="E117" s="417"/>
      <c r="F117" s="418"/>
      <c r="G117" s="422">
        <v>52.4</v>
      </c>
      <c r="H117" s="420"/>
      <c r="I117" s="421"/>
      <c r="J117" s="416"/>
      <c r="K117" s="417"/>
      <c r="L117" s="417"/>
      <c r="M117" s="417"/>
      <c r="N117" s="420"/>
      <c r="O117" s="420"/>
      <c r="P117" s="417"/>
      <c r="Q117" s="417"/>
      <c r="R117" s="418"/>
      <c r="S117" s="422">
        <f>AG118-AG116</f>
        <v>52.360000000000582</v>
      </c>
      <c r="T117" s="417"/>
      <c r="U117" s="417"/>
      <c r="V117" s="417"/>
      <c r="W117" s="417"/>
      <c r="X117" s="417"/>
      <c r="Y117" s="417"/>
      <c r="Z117" s="417"/>
      <c r="AA117" s="417"/>
      <c r="AB117" s="417"/>
      <c r="AC117" s="417"/>
      <c r="AD117" s="417"/>
      <c r="AE117" s="417"/>
      <c r="AF117" s="418"/>
      <c r="AG117" s="416"/>
      <c r="AH117" s="418"/>
      <c r="AI117" s="418"/>
      <c r="AJ117" s="417"/>
      <c r="AK117" s="417"/>
      <c r="AL117" s="417"/>
      <c r="AM117" s="417"/>
      <c r="AN117" s="422"/>
      <c r="AO117" s="422"/>
      <c r="AP117" s="422"/>
      <c r="AQ117" s="422">
        <f>+FL_1($T$118,$T$116,$G$117,1200,9.28, 1*$F$118)</f>
        <v>0.40578033040348194</v>
      </c>
      <c r="AR117" s="422"/>
      <c r="AS117" s="422"/>
      <c r="AT117" s="422"/>
      <c r="AU117" s="422"/>
      <c r="AV117" s="422"/>
      <c r="AW117" s="417"/>
      <c r="AX117" s="417"/>
      <c r="AY117" s="422"/>
      <c r="AZ117" s="422"/>
      <c r="BA117" s="1308"/>
      <c r="BB117" s="414"/>
      <c r="BD117" s="1330"/>
      <c r="BE117" s="1330"/>
      <c r="BF117" s="1330"/>
      <c r="BG117" s="1330"/>
    </row>
    <row r="118" spans="1:59" ht="12.5">
      <c r="A118" s="449"/>
      <c r="B118" s="485" t="s">
        <v>1945</v>
      </c>
      <c r="C118" s="446">
        <f>+$C$116+$G$117</f>
        <v>94736.150000000009</v>
      </c>
      <c r="D118" s="446"/>
      <c r="E118" s="638"/>
      <c r="F118" s="447">
        <v>2150</v>
      </c>
      <c r="G118" s="484"/>
      <c r="H118" s="1239"/>
      <c r="I118" s="448"/>
      <c r="J118" s="446"/>
      <c r="K118" s="638"/>
      <c r="L118" s="638" t="s">
        <v>821</v>
      </c>
      <c r="M118" s="1239" t="str">
        <f>IF(AX118="PT",VLOOKUP(L118,'Foundation Calculation'!$V$2:$X$40,VLOOKUP(AX118,'Foundation Calculation'!$I$10:$J$13,2,FALSE),0),IF(AX118="K",VLOOKUP(L118,'Foundation Calculation'!$V$42:$X$80,VLOOKUP(AX118,'Foundation Calculation'!$I$10:$J$13,2,FALSE),0),""))</f>
        <v>C7R</v>
      </c>
      <c r="N118" s="1239" t="s">
        <v>2797</v>
      </c>
      <c r="O118" s="1239"/>
      <c r="P118" s="638"/>
      <c r="Q118" s="638">
        <v>40</v>
      </c>
      <c r="R118" s="447">
        <v>2150</v>
      </c>
      <c r="S118" s="484"/>
      <c r="T118" s="638">
        <v>30</v>
      </c>
      <c r="U118" s="638"/>
      <c r="V118" s="638"/>
      <c r="W118" s="638">
        <v>0.6</v>
      </c>
      <c r="X118" s="638"/>
      <c r="Y118" s="638"/>
      <c r="Z118" s="638"/>
      <c r="AA118" s="638"/>
      <c r="AB118" s="638"/>
      <c r="AC118" s="638" t="s">
        <v>4115</v>
      </c>
      <c r="AD118" s="638"/>
      <c r="AE118" s="638"/>
      <c r="AF118" s="447">
        <v>5700</v>
      </c>
      <c r="AG118" s="446">
        <v>94736.09</v>
      </c>
      <c r="AH118" s="447">
        <v>2793</v>
      </c>
      <c r="AI118" s="447">
        <v>-210</v>
      </c>
      <c r="AJ118" s="638"/>
      <c r="AK118" s="638"/>
      <c r="AL118" s="638" t="s">
        <v>2142</v>
      </c>
      <c r="AM118" s="638" t="s">
        <v>1043</v>
      </c>
      <c r="AN118" s="484">
        <v>5.15</v>
      </c>
      <c r="AO118" s="484"/>
      <c r="AP118" s="484"/>
      <c r="AQ118" s="484"/>
      <c r="AR118" s="484"/>
      <c r="AS118" s="484"/>
      <c r="AT118" s="484">
        <f>+ab($T$118,$T$116,$T$120,$G$117,$G$119, 1*$F$118,1200)</f>
        <v>8.0132113335873321</v>
      </c>
      <c r="AU118" s="484"/>
      <c r="AV118" s="484"/>
      <c r="AW118" s="638" t="str">
        <f>VLOOKUP(C118,'Foundation Calculation'!$A$2:$C$33,3,1)</f>
        <v>Soil A</v>
      </c>
      <c r="AX118" s="572" t="str">
        <f>VLOOKUP(C118,'Foundation Calculation'!$E$2:$G$33,3,1)</f>
        <v>PT</v>
      </c>
      <c r="AY118" s="636">
        <f>IF(AX118="PT",VLOOKUP(L118,'Foundation Calculation'!$K$2:$R$40,VLOOKUP(AW118,'Foundation Calculation'!$I$2:$J$8,2,FALSE),0),IF(AX118="K",VLOOKUP(L118,'Foundation Calculation'!$K$42:$R$80,VLOOKUP(AW118,'Foundation Calculation'!$I$2:$J$8,2,FALSE),0),""))</f>
        <v>4</v>
      </c>
      <c r="AZ118" s="484"/>
      <c r="BA118" s="671" t="s">
        <v>2809</v>
      </c>
      <c r="BB118" s="449" t="str">
        <f>Pole_Calculations!A178</f>
        <v>App.8-V08F-P10.3</v>
      </c>
      <c r="BD118" s="1329">
        <v>43715</v>
      </c>
      <c r="BE118" s="1329" t="s">
        <v>4946</v>
      </c>
      <c r="BF118" s="1329" t="s">
        <v>4946</v>
      </c>
      <c r="BG118" s="1329">
        <v>43808</v>
      </c>
    </row>
    <row r="119" spans="1:59" ht="12.5">
      <c r="A119" s="449"/>
      <c r="B119" s="445"/>
      <c r="C119" s="446"/>
      <c r="D119" s="446"/>
      <c r="E119" s="638"/>
      <c r="F119" s="447"/>
      <c r="G119" s="484">
        <v>49.9</v>
      </c>
      <c r="H119" s="1239"/>
      <c r="I119" s="448"/>
      <c r="J119" s="446"/>
      <c r="K119" s="638"/>
      <c r="L119" s="638"/>
      <c r="M119" s="638"/>
      <c r="N119" s="1239"/>
      <c r="O119" s="1239"/>
      <c r="P119" s="638"/>
      <c r="Q119" s="638"/>
      <c r="R119" s="447"/>
      <c r="S119" s="484">
        <f>AG120-AG118</f>
        <v>49.870000000009895</v>
      </c>
      <c r="T119" s="638"/>
      <c r="U119" s="638"/>
      <c r="V119" s="638"/>
      <c r="W119" s="638"/>
      <c r="X119" s="638"/>
      <c r="Y119" s="638"/>
      <c r="Z119" s="638"/>
      <c r="AA119" s="638"/>
      <c r="AB119" s="638"/>
      <c r="AC119" s="638"/>
      <c r="AD119" s="638"/>
      <c r="AE119" s="638"/>
      <c r="AF119" s="447"/>
      <c r="AG119" s="446"/>
      <c r="AH119" s="447"/>
      <c r="AI119" s="447"/>
      <c r="AJ119" s="638"/>
      <c r="AK119" s="638"/>
      <c r="AL119" s="638"/>
      <c r="AM119" s="638"/>
      <c r="AN119" s="484"/>
      <c r="AO119" s="484"/>
      <c r="AP119" s="484"/>
      <c r="AQ119" s="484">
        <f>+FL_2($T$120,$T$118,$G$119,1200,9.28, 1*$F$120)</f>
        <v>-8.5473864153412571E-2</v>
      </c>
      <c r="AR119" s="484"/>
      <c r="AS119" s="484"/>
      <c r="AT119" s="484"/>
      <c r="AU119" s="484"/>
      <c r="AV119" s="484"/>
      <c r="AW119" s="638"/>
      <c r="AX119" s="572"/>
      <c r="AY119" s="484"/>
      <c r="AZ119" s="689"/>
      <c r="BA119" s="671"/>
      <c r="BB119" s="449"/>
      <c r="BD119" s="1330"/>
      <c r="BE119" s="1330"/>
      <c r="BF119" s="1330"/>
      <c r="BG119" s="1330"/>
    </row>
    <row r="120" spans="1:59" ht="12.5">
      <c r="A120" s="449" t="s">
        <v>3276</v>
      </c>
      <c r="B120" s="450" t="s">
        <v>1946</v>
      </c>
      <c r="C120" s="446">
        <f>+$C$118+$G$119</f>
        <v>94786.05</v>
      </c>
      <c r="D120" s="446"/>
      <c r="E120" s="638"/>
      <c r="F120" s="447">
        <v>2150</v>
      </c>
      <c r="G120" s="484"/>
      <c r="H120" s="1239"/>
      <c r="I120" s="448" t="s">
        <v>1039</v>
      </c>
      <c r="J120" s="446">
        <f>C120+7.5</f>
        <v>94793.55</v>
      </c>
      <c r="K120" s="638" t="s">
        <v>2788</v>
      </c>
      <c r="L120" s="638" t="s">
        <v>821</v>
      </c>
      <c r="M120" s="638" t="s">
        <v>3331</v>
      </c>
      <c r="N120" s="1239" t="s">
        <v>144</v>
      </c>
      <c r="O120" s="1239"/>
      <c r="P120" s="638"/>
      <c r="Q120" s="638">
        <v>50</v>
      </c>
      <c r="R120" s="447">
        <v>2150</v>
      </c>
      <c r="S120" s="484"/>
      <c r="T120" s="638">
        <v>30</v>
      </c>
      <c r="U120" s="638"/>
      <c r="V120" s="638"/>
      <c r="W120" s="638">
        <v>1</v>
      </c>
      <c r="X120" s="638"/>
      <c r="Y120" s="638"/>
      <c r="Z120" s="638"/>
      <c r="AA120" s="638"/>
      <c r="AB120" s="638"/>
      <c r="AC120" s="638" t="s">
        <v>4090</v>
      </c>
      <c r="AD120" s="638"/>
      <c r="AE120" s="638"/>
      <c r="AF120" s="447">
        <v>5000</v>
      </c>
      <c r="AG120" s="446">
        <v>94785.96</v>
      </c>
      <c r="AH120" s="447">
        <v>2303</v>
      </c>
      <c r="AI120" s="447">
        <v>-210</v>
      </c>
      <c r="AJ120" s="638" t="s">
        <v>884</v>
      </c>
      <c r="AK120" s="638"/>
      <c r="AL120" s="638" t="s">
        <v>2142</v>
      </c>
      <c r="AM120" s="638" t="s">
        <v>1043</v>
      </c>
      <c r="AN120" s="484">
        <v>5.22</v>
      </c>
      <c r="AO120" s="484"/>
      <c r="AP120" s="484"/>
      <c r="AQ120" s="484"/>
      <c r="AR120" s="484"/>
      <c r="AS120" s="484"/>
      <c r="AT120" s="484">
        <f>+ab($T$120,$T$118,$T$122,$G$119,$G$121, 1*$F$120,1200)</f>
        <v>8.6379481171778636</v>
      </c>
      <c r="AU120" s="484"/>
      <c r="AV120" s="484"/>
      <c r="AW120" s="638" t="s">
        <v>2873</v>
      </c>
      <c r="AX120" s="572" t="str">
        <f>VLOOKUP(J120,'Foundation Calculation'!$E$2:$G$33,3,1)</f>
        <v>PT</v>
      </c>
      <c r="AY120" s="689">
        <v>5.2</v>
      </c>
      <c r="AZ120" s="689">
        <v>2.8</v>
      </c>
      <c r="BA120" s="671" t="s">
        <v>2809</v>
      </c>
      <c r="BB120" s="449" t="str">
        <f>Pole_Calculations!A178</f>
        <v>App.8-V08F-P10.3</v>
      </c>
      <c r="BD120" s="1329">
        <v>43715</v>
      </c>
      <c r="BE120" s="1329" t="s">
        <v>4946</v>
      </c>
      <c r="BF120" s="1329" t="s">
        <v>4946</v>
      </c>
      <c r="BG120" s="1329">
        <v>43808</v>
      </c>
    </row>
    <row r="121" spans="1:59" ht="12.5">
      <c r="A121" s="449"/>
      <c r="B121" s="445"/>
      <c r="C121" s="446"/>
      <c r="D121" s="446"/>
      <c r="E121" s="638"/>
      <c r="F121" s="447"/>
      <c r="G121" s="484">
        <v>44.9</v>
      </c>
      <c r="H121" s="1239"/>
      <c r="I121" s="448"/>
      <c r="J121" s="446">
        <f>C122-7.5</f>
        <v>94823.45</v>
      </c>
      <c r="K121" s="638" t="s">
        <v>2787</v>
      </c>
      <c r="L121" s="638"/>
      <c r="M121" s="638"/>
      <c r="N121" s="1239"/>
      <c r="O121" s="1239"/>
      <c r="P121" s="638"/>
      <c r="Q121" s="638"/>
      <c r="R121" s="447"/>
      <c r="S121" s="484">
        <f>AG122-AG120</f>
        <v>44.849999999991269</v>
      </c>
      <c r="T121" s="638"/>
      <c r="U121" s="638"/>
      <c r="V121" s="638"/>
      <c r="W121" s="638"/>
      <c r="X121" s="638"/>
      <c r="Y121" s="638"/>
      <c r="Z121" s="638"/>
      <c r="AA121" s="638"/>
      <c r="AB121" s="638"/>
      <c r="AC121" s="638"/>
      <c r="AD121" s="638"/>
      <c r="AE121" s="638"/>
      <c r="AF121" s="447"/>
      <c r="AG121" s="446"/>
      <c r="AH121" s="447"/>
      <c r="AI121" s="447"/>
      <c r="AJ121" s="638"/>
      <c r="AK121" s="638"/>
      <c r="AL121" s="638"/>
      <c r="AM121" s="638"/>
      <c r="AN121" s="484"/>
      <c r="AO121" s="484"/>
      <c r="AP121" s="484"/>
      <c r="AQ121" s="484">
        <f>+FL_2($T$54,$T$52,$G$53,1200,9.28, 1*$F$54)</f>
        <v>-0.30019668847991182</v>
      </c>
      <c r="AR121" s="484"/>
      <c r="AS121" s="484"/>
      <c r="AT121" s="484"/>
      <c r="AU121" s="484"/>
      <c r="AV121" s="484"/>
      <c r="AW121" s="638" t="s">
        <v>2846</v>
      </c>
      <c r="AX121" s="572"/>
      <c r="AY121" s="484"/>
      <c r="AZ121" s="484" t="str">
        <f>IF(AX121="PT",VLOOKUP(K121,'Foundation Calculation'!$K$2:$R$40,VLOOKUP(AW121,'Foundation Calculation'!$I$2:$J$8,2,FALSE),0),IF(AX121="K",VLOOKUP(K121,'Foundation Calculation'!$K$42:$R$80,VLOOKUP(AW121,'Foundation Calculation'!$I$2:$J$8,2,FALSE),0),""))</f>
        <v/>
      </c>
      <c r="BA121" s="671" t="s">
        <v>2809</v>
      </c>
      <c r="BB121" s="449"/>
      <c r="BD121" s="1329">
        <v>43715</v>
      </c>
      <c r="BE121" s="1330"/>
      <c r="BF121" s="1330"/>
      <c r="BG121" s="1330"/>
    </row>
    <row r="122" spans="1:59" ht="12.5">
      <c r="A122" s="449"/>
      <c r="B122" s="485" t="s">
        <v>1947</v>
      </c>
      <c r="C122" s="446">
        <f>+$C$120+$G$121</f>
        <v>94830.95</v>
      </c>
      <c r="D122" s="446"/>
      <c r="E122" s="638"/>
      <c r="F122" s="447">
        <v>2150</v>
      </c>
      <c r="G122" s="484"/>
      <c r="H122" s="1239" t="s">
        <v>138</v>
      </c>
      <c r="I122" s="448" t="s">
        <v>623</v>
      </c>
      <c r="J122" s="446"/>
      <c r="K122" s="638"/>
      <c r="L122" s="638" t="s">
        <v>899</v>
      </c>
      <c r="M122" s="638" t="s">
        <v>3292</v>
      </c>
      <c r="N122" s="1239" t="s">
        <v>144</v>
      </c>
      <c r="O122" s="1239"/>
      <c r="P122" s="638"/>
      <c r="Q122" s="638">
        <v>50</v>
      </c>
      <c r="R122" s="447">
        <v>2182.25</v>
      </c>
      <c r="S122" s="484"/>
      <c r="T122" s="638">
        <v>30</v>
      </c>
      <c r="U122" s="638"/>
      <c r="V122" s="638"/>
      <c r="W122" s="638">
        <v>1.4</v>
      </c>
      <c r="X122" s="638"/>
      <c r="Y122" s="638"/>
      <c r="Z122" s="638"/>
      <c r="AA122" s="638"/>
      <c r="AB122" s="638"/>
      <c r="AC122" s="638" t="s">
        <v>4090</v>
      </c>
      <c r="AD122" s="638"/>
      <c r="AE122" s="638"/>
      <c r="AF122" s="447">
        <v>4700</v>
      </c>
      <c r="AG122" s="446">
        <v>94830.81</v>
      </c>
      <c r="AH122" s="447">
        <v>2403</v>
      </c>
      <c r="AI122" s="447">
        <v>-740</v>
      </c>
      <c r="AJ122" s="638"/>
      <c r="AK122" s="638"/>
      <c r="AL122" s="638"/>
      <c r="AM122" s="638" t="s">
        <v>1043</v>
      </c>
      <c r="AN122" s="484">
        <v>5.35</v>
      </c>
      <c r="AO122" s="484"/>
      <c r="AP122" s="484"/>
      <c r="AQ122" s="484"/>
      <c r="AR122" s="484"/>
      <c r="AS122" s="484"/>
      <c r="AT122" s="484">
        <f>+ab($T$122,$T$120,$U$124,$G$121,$G$123, 1*$F$122,1200)</f>
        <v>7.1530107752983731</v>
      </c>
      <c r="AU122" s="484"/>
      <c r="AV122" s="484"/>
      <c r="AW122" s="638" t="s">
        <v>4164</v>
      </c>
      <c r="AX122" s="572"/>
      <c r="AY122" s="689"/>
      <c r="AZ122" s="484" t="s">
        <v>638</v>
      </c>
      <c r="BA122" s="671" t="s">
        <v>2809</v>
      </c>
      <c r="BB122" s="449" t="str">
        <f>Pole_Calculations!A20</f>
        <v>App.7-V11A-P9.5.1.6</v>
      </c>
      <c r="BD122" s="1329">
        <v>43818</v>
      </c>
      <c r="BE122" s="1329" t="s">
        <v>4946</v>
      </c>
      <c r="BF122" s="1330"/>
      <c r="BG122" s="1329">
        <v>43839</v>
      </c>
    </row>
    <row r="123" spans="1:59" ht="12.5">
      <c r="A123" s="449"/>
      <c r="B123" s="445"/>
      <c r="C123" s="446"/>
      <c r="D123" s="446"/>
      <c r="E123" s="638"/>
      <c r="F123" s="447"/>
      <c r="G123" s="484">
        <v>53.9</v>
      </c>
      <c r="H123" s="1239"/>
      <c r="I123" s="1239"/>
      <c r="J123" s="446">
        <f>C124-7.5</f>
        <v>94877.349999999991</v>
      </c>
      <c r="K123" s="638" t="s">
        <v>1685</v>
      </c>
      <c r="L123" s="638"/>
      <c r="M123" s="638"/>
      <c r="N123" s="1239"/>
      <c r="O123" s="1239"/>
      <c r="P123" s="638"/>
      <c r="Q123" s="638"/>
      <c r="R123" s="447"/>
      <c r="S123" s="484">
        <f>AG124-AG122</f>
        <v>53.930000000007567</v>
      </c>
      <c r="T123" s="638"/>
      <c r="U123" s="638"/>
      <c r="V123" s="638"/>
      <c r="W123" s="638"/>
      <c r="X123" s="638"/>
      <c r="Y123" s="638"/>
      <c r="Z123" s="638"/>
      <c r="AA123" s="638"/>
      <c r="AB123" s="638"/>
      <c r="AC123" s="638"/>
      <c r="AD123" s="638"/>
      <c r="AE123" s="638"/>
      <c r="AF123" s="447"/>
      <c r="AG123" s="446"/>
      <c r="AH123" s="447"/>
      <c r="AI123" s="447"/>
      <c r="AJ123" s="638"/>
      <c r="AK123" s="638"/>
      <c r="AL123" s="638"/>
      <c r="AM123" s="638"/>
      <c r="AN123" s="484"/>
      <c r="AO123" s="484"/>
      <c r="AP123" s="484"/>
      <c r="AQ123" s="484">
        <f>+FL_1($U$124,$T$122,$G$123,1200,9.28, 1*$F$124)</f>
        <v>0.3342606636081033</v>
      </c>
      <c r="AR123" s="484"/>
      <c r="AS123" s="484"/>
      <c r="AT123" s="484"/>
      <c r="AU123" s="484"/>
      <c r="AV123" s="484"/>
      <c r="AW123" s="638" t="s">
        <v>2846</v>
      </c>
      <c r="AX123" s="572"/>
      <c r="AY123" s="689"/>
      <c r="AZ123" s="484"/>
      <c r="BA123" s="671" t="s">
        <v>2809</v>
      </c>
      <c r="BB123" s="449"/>
      <c r="BD123" s="1329" t="s">
        <v>4946</v>
      </c>
      <c r="BE123" s="1330"/>
      <c r="BF123" s="1330"/>
      <c r="BG123" s="1330"/>
    </row>
    <row r="124" spans="1:59" ht="12.5">
      <c r="A124" s="449"/>
      <c r="B124" s="485" t="s">
        <v>1948</v>
      </c>
      <c r="C124" s="446">
        <f>+$C$122+$G$123</f>
        <v>94884.849999999991</v>
      </c>
      <c r="D124" s="446"/>
      <c r="E124" s="638"/>
      <c r="F124" s="447">
        <v>2150</v>
      </c>
      <c r="G124" s="484"/>
      <c r="H124" s="1239" t="s">
        <v>619</v>
      </c>
      <c r="I124" s="448" t="s">
        <v>1471</v>
      </c>
      <c r="J124" s="446"/>
      <c r="K124" s="638"/>
      <c r="L124" s="638" t="s">
        <v>819</v>
      </c>
      <c r="M124" s="638" t="s">
        <v>3292</v>
      </c>
      <c r="N124" s="1239" t="s">
        <v>140</v>
      </c>
      <c r="O124" s="1239" t="s">
        <v>144</v>
      </c>
      <c r="P124" s="638"/>
      <c r="Q124" s="638">
        <v>50</v>
      </c>
      <c r="R124" s="447">
        <v>0</v>
      </c>
      <c r="S124" s="484"/>
      <c r="T124" s="638">
        <v>30</v>
      </c>
      <c r="U124" s="638">
        <v>10</v>
      </c>
      <c r="V124" s="638"/>
      <c r="W124" s="638">
        <v>1.4</v>
      </c>
      <c r="X124" s="638">
        <v>1.8</v>
      </c>
      <c r="Y124" s="638"/>
      <c r="Z124" s="638">
        <v>0.5</v>
      </c>
      <c r="AA124" s="638"/>
      <c r="AB124" s="638"/>
      <c r="AC124" s="638" t="s">
        <v>1421</v>
      </c>
      <c r="AD124" s="638"/>
      <c r="AE124" s="638"/>
      <c r="AF124" s="447">
        <v>4700</v>
      </c>
      <c r="AG124" s="446">
        <v>94884.74</v>
      </c>
      <c r="AH124" s="447">
        <v>2183</v>
      </c>
      <c r="AI124" s="447">
        <v>-770</v>
      </c>
      <c r="AJ124" s="638"/>
      <c r="AK124" s="638"/>
      <c r="AL124" s="638" t="s">
        <v>2127</v>
      </c>
      <c r="AM124" s="638" t="s">
        <v>1043</v>
      </c>
      <c r="AN124" s="484">
        <v>5.45</v>
      </c>
      <c r="AO124" s="484"/>
      <c r="AP124" s="484"/>
      <c r="AQ124" s="484"/>
      <c r="AR124" s="484"/>
      <c r="AS124" s="484"/>
      <c r="AT124" s="484">
        <f>+ab($U$124,$T$122,$U$126,$G$123,$G$125, 1*$F$124,1200)</f>
        <v>9.99158187770559</v>
      </c>
      <c r="AU124" s="484"/>
      <c r="AV124" s="484"/>
      <c r="AW124" s="638" t="s">
        <v>4164</v>
      </c>
      <c r="AX124" s="572"/>
      <c r="AY124" s="689"/>
      <c r="AZ124" s="484" t="s">
        <v>638</v>
      </c>
      <c r="BA124" s="671" t="s">
        <v>2809</v>
      </c>
      <c r="BB124" s="449" t="str">
        <f>Pole_Calculations!A178</f>
        <v>App.8-V08F-P10.3</v>
      </c>
      <c r="BD124" s="1329" t="s">
        <v>4946</v>
      </c>
      <c r="BE124" s="1329" t="s">
        <v>4946</v>
      </c>
      <c r="BF124" s="1329" t="s">
        <v>4946</v>
      </c>
      <c r="BG124" s="1329">
        <v>43839</v>
      </c>
    </row>
    <row r="125" spans="1:59" ht="12.5">
      <c r="A125" s="488" t="s">
        <v>1851</v>
      </c>
      <c r="B125" s="494"/>
      <c r="C125" s="489"/>
      <c r="D125" s="489"/>
      <c r="E125" s="490"/>
      <c r="F125" s="491"/>
      <c r="G125" s="493">
        <v>43.8</v>
      </c>
      <c r="H125" s="495"/>
      <c r="I125" s="492"/>
      <c r="J125" s="489"/>
      <c r="K125" s="490"/>
      <c r="L125" s="490"/>
      <c r="M125" s="490"/>
      <c r="N125" s="495"/>
      <c r="O125" s="495"/>
      <c r="P125" s="490"/>
      <c r="Q125" s="490"/>
      <c r="R125" s="491"/>
      <c r="S125" s="493">
        <f>AG126-AG124</f>
        <v>43.259999999994761</v>
      </c>
      <c r="T125" s="490"/>
      <c r="U125" s="490"/>
      <c r="V125" s="490"/>
      <c r="W125" s="490"/>
      <c r="X125" s="490"/>
      <c r="Y125" s="490"/>
      <c r="Z125" s="490"/>
      <c r="AA125" s="490"/>
      <c r="AB125" s="490"/>
      <c r="AC125" s="490"/>
      <c r="AD125" s="490"/>
      <c r="AE125" s="490"/>
      <c r="AF125" s="491"/>
      <c r="AG125" s="489"/>
      <c r="AH125" s="491"/>
      <c r="AI125" s="491"/>
      <c r="AJ125" s="490"/>
      <c r="AK125" s="490"/>
      <c r="AL125" s="490"/>
      <c r="AM125" s="490"/>
      <c r="AN125" s="493"/>
      <c r="AO125" s="493"/>
      <c r="AP125" s="493"/>
      <c r="AQ125" s="493">
        <f>+FL_2($T$126,$U$124,$G$125,1200,9.28, 1*$F$126)</f>
        <v>-0.19512282702088826</v>
      </c>
      <c r="AR125" s="493"/>
      <c r="AS125" s="493"/>
      <c r="AT125" s="493"/>
      <c r="AU125" s="493"/>
      <c r="AV125" s="493"/>
      <c r="AW125" s="490"/>
      <c r="AX125" s="579"/>
      <c r="AY125" s="690"/>
      <c r="AZ125" s="493"/>
      <c r="BA125" s="602"/>
      <c r="BB125" s="633"/>
      <c r="BD125" s="1330"/>
      <c r="BE125" s="1330"/>
      <c r="BF125" s="1330"/>
      <c r="BG125" s="1330"/>
    </row>
    <row r="126" spans="1:59" ht="12.5">
      <c r="A126" s="449"/>
      <c r="B126" s="450" t="s">
        <v>1949</v>
      </c>
      <c r="C126" s="446">
        <f>+$C$124+$G$125</f>
        <v>94928.65</v>
      </c>
      <c r="D126" s="446"/>
      <c r="E126" s="638"/>
      <c r="F126" s="447">
        <v>1180</v>
      </c>
      <c r="G126" s="484"/>
      <c r="H126" s="1239" t="s">
        <v>619</v>
      </c>
      <c r="I126" s="448"/>
      <c r="J126" s="446"/>
      <c r="K126" s="638"/>
      <c r="L126" s="638" t="s">
        <v>819</v>
      </c>
      <c r="M126" s="638" t="s">
        <v>3292</v>
      </c>
      <c r="N126" s="1239" t="s">
        <v>144</v>
      </c>
      <c r="O126" s="1239" t="s">
        <v>140</v>
      </c>
      <c r="P126" s="638"/>
      <c r="Q126" s="638">
        <v>50</v>
      </c>
      <c r="R126" s="447">
        <v>1197.7</v>
      </c>
      <c r="S126" s="484"/>
      <c r="T126" s="638">
        <v>30</v>
      </c>
      <c r="U126" s="638">
        <v>10</v>
      </c>
      <c r="V126" s="638"/>
      <c r="W126" s="638">
        <v>1.4</v>
      </c>
      <c r="X126" s="638">
        <v>1.8</v>
      </c>
      <c r="Y126" s="638"/>
      <c r="Z126" s="638"/>
      <c r="AA126" s="638">
        <v>0.4</v>
      </c>
      <c r="AB126" s="638"/>
      <c r="AC126" s="638" t="s">
        <v>4090</v>
      </c>
      <c r="AD126" s="638"/>
      <c r="AE126" s="638"/>
      <c r="AF126" s="447">
        <v>4700</v>
      </c>
      <c r="AG126" s="446">
        <v>94928</v>
      </c>
      <c r="AH126" s="447">
        <v>2363</v>
      </c>
      <c r="AI126" s="447">
        <v>-810</v>
      </c>
      <c r="AJ126" s="638"/>
      <c r="AK126" s="638"/>
      <c r="AL126" s="638" t="s">
        <v>2127</v>
      </c>
      <c r="AM126" s="638" t="s">
        <v>1043</v>
      </c>
      <c r="AN126" s="484">
        <v>5.5</v>
      </c>
      <c r="AO126" s="484"/>
      <c r="AP126" s="484"/>
      <c r="AQ126" s="484"/>
      <c r="AR126" s="484"/>
      <c r="AS126" s="484"/>
      <c r="AT126" s="484">
        <f>+ab($T$126,$U$124,$T$128,$G$125,$G$127, 1*$F$126,1200)</f>
        <v>4.5935473070224493</v>
      </c>
      <c r="AU126" s="484"/>
      <c r="AV126" s="484"/>
      <c r="AW126" s="638" t="s">
        <v>4164</v>
      </c>
      <c r="AX126" s="572"/>
      <c r="AY126" s="689"/>
      <c r="AZ126" s="484" t="s">
        <v>638</v>
      </c>
      <c r="BA126" s="671" t="s">
        <v>2809</v>
      </c>
      <c r="BB126" s="449" t="str">
        <f>Pole_Calculations!A178</f>
        <v>App.8-V08F-P10.3</v>
      </c>
      <c r="BD126" s="1329" t="s">
        <v>4946</v>
      </c>
      <c r="BE126" s="1329" t="s">
        <v>4946</v>
      </c>
      <c r="BF126" s="1329" t="s">
        <v>4946</v>
      </c>
      <c r="BG126" s="1329">
        <v>43839</v>
      </c>
    </row>
    <row r="127" spans="1:59" ht="12.5">
      <c r="A127" s="449"/>
      <c r="B127" s="445"/>
      <c r="C127" s="446"/>
      <c r="D127" s="446"/>
      <c r="E127" s="638"/>
      <c r="F127" s="447"/>
      <c r="G127" s="484">
        <v>43.8</v>
      </c>
      <c r="H127" s="1239"/>
      <c r="I127" s="448"/>
      <c r="J127" s="446"/>
      <c r="K127" s="638"/>
      <c r="L127" s="638"/>
      <c r="M127" s="638"/>
      <c r="N127" s="1239"/>
      <c r="O127" s="1239"/>
      <c r="P127" s="638"/>
      <c r="Q127" s="638"/>
      <c r="R127" s="447"/>
      <c r="S127" s="484">
        <f>AG128-AG126</f>
        <v>44.470000000001164</v>
      </c>
      <c r="T127" s="638"/>
      <c r="U127" s="638"/>
      <c r="V127" s="638"/>
      <c r="W127" s="638"/>
      <c r="X127" s="638"/>
      <c r="Y127" s="638"/>
      <c r="Z127" s="638"/>
      <c r="AA127" s="638"/>
      <c r="AB127" s="638"/>
      <c r="AC127" s="638"/>
      <c r="AD127" s="638"/>
      <c r="AE127" s="638"/>
      <c r="AF127" s="447"/>
      <c r="AG127" s="446"/>
      <c r="AH127" s="447"/>
      <c r="AI127" s="447"/>
      <c r="AJ127" s="638"/>
      <c r="AK127" s="638"/>
      <c r="AL127" s="638"/>
      <c r="AM127" s="638"/>
      <c r="AN127" s="484"/>
      <c r="AO127" s="484"/>
      <c r="AP127" s="484"/>
      <c r="AQ127" s="484">
        <f>+FL_1($T$128,$T$126,$G$127,1200,9.28, 1*$F$128)</f>
        <v>0.30001623691198159</v>
      </c>
      <c r="AR127" s="484"/>
      <c r="AS127" s="484"/>
      <c r="AT127" s="484"/>
      <c r="AU127" s="484"/>
      <c r="AV127" s="484"/>
      <c r="AW127" s="638"/>
      <c r="AX127" s="572"/>
      <c r="AY127" s="689"/>
      <c r="AZ127" s="484"/>
      <c r="BA127" s="671"/>
      <c r="BB127" s="449"/>
      <c r="BD127" s="1330"/>
      <c r="BE127" s="1330"/>
      <c r="BF127" s="1330"/>
      <c r="BG127" s="1330"/>
    </row>
    <row r="128" spans="1:59" ht="12.5">
      <c r="A128" s="449"/>
      <c r="B128" s="450" t="s">
        <v>1950</v>
      </c>
      <c r="C128" s="446">
        <f>+$C$126+$G$127</f>
        <v>94972.45</v>
      </c>
      <c r="D128" s="446"/>
      <c r="E128" s="638"/>
      <c r="F128" s="447">
        <v>1180</v>
      </c>
      <c r="G128" s="484"/>
      <c r="H128" s="1239" t="s">
        <v>138</v>
      </c>
      <c r="I128" s="448" t="s">
        <v>623</v>
      </c>
      <c r="J128" s="446"/>
      <c r="K128" s="638"/>
      <c r="L128" s="638" t="s">
        <v>819</v>
      </c>
      <c r="M128" s="638" t="s">
        <v>3292</v>
      </c>
      <c r="N128" s="1239" t="s">
        <v>144</v>
      </c>
      <c r="O128" s="1239"/>
      <c r="P128" s="638"/>
      <c r="Q128" s="638">
        <v>50</v>
      </c>
      <c r="R128" s="447">
        <v>1197.7</v>
      </c>
      <c r="S128" s="484"/>
      <c r="T128" s="638">
        <v>30</v>
      </c>
      <c r="U128" s="638"/>
      <c r="V128" s="638"/>
      <c r="W128" s="638">
        <v>1.4</v>
      </c>
      <c r="X128" s="638"/>
      <c r="Y128" s="638"/>
      <c r="Z128" s="638"/>
      <c r="AA128" s="638"/>
      <c r="AB128" s="638"/>
      <c r="AC128" s="638" t="s">
        <v>4090</v>
      </c>
      <c r="AD128" s="638"/>
      <c r="AE128" s="638"/>
      <c r="AF128" s="447">
        <v>5000</v>
      </c>
      <c r="AG128" s="446">
        <v>94972.47</v>
      </c>
      <c r="AH128" s="447">
        <v>2373</v>
      </c>
      <c r="AI128" s="447">
        <v>-690</v>
      </c>
      <c r="AJ128" s="638"/>
      <c r="AK128" s="638"/>
      <c r="AL128" s="638" t="s">
        <v>2127</v>
      </c>
      <c r="AM128" s="638" t="s">
        <v>1043</v>
      </c>
      <c r="AN128" s="484">
        <v>5.5</v>
      </c>
      <c r="AO128" s="484"/>
      <c r="AP128" s="484"/>
      <c r="AQ128" s="484"/>
      <c r="AR128" s="484"/>
      <c r="AS128" s="484"/>
      <c r="AT128" s="484">
        <f>+ab($T$128,$T$126,$T$130,$G$127,$G$129, 1*$F$128,1200)</f>
        <v>5.0978670394127263</v>
      </c>
      <c r="AU128" s="484"/>
      <c r="AV128" s="484"/>
      <c r="AW128" s="638" t="s">
        <v>4164</v>
      </c>
      <c r="AX128" s="572"/>
      <c r="AY128" s="689"/>
      <c r="AZ128" s="484" t="s">
        <v>638</v>
      </c>
      <c r="BA128" s="671" t="s">
        <v>2809</v>
      </c>
      <c r="BB128" s="449" t="str">
        <f>Pole_Calculations!A178</f>
        <v>App.8-V08F-P10.3</v>
      </c>
      <c r="BD128" s="1329">
        <v>43809</v>
      </c>
      <c r="BE128" s="1329">
        <v>43814</v>
      </c>
      <c r="BF128" s="1329">
        <v>43815</v>
      </c>
      <c r="BG128" s="1329">
        <v>43839</v>
      </c>
    </row>
    <row r="129" spans="1:59" ht="12.5">
      <c r="A129" s="449"/>
      <c r="B129" s="445"/>
      <c r="C129" s="446"/>
      <c r="D129" s="446"/>
      <c r="E129" s="638"/>
      <c r="F129" s="447"/>
      <c r="G129" s="484">
        <v>44.8</v>
      </c>
      <c r="H129" s="1239"/>
      <c r="I129" s="448"/>
      <c r="J129" s="446">
        <f>C128+7.5</f>
        <v>94979.95</v>
      </c>
      <c r="K129" s="638" t="s">
        <v>1685</v>
      </c>
      <c r="L129" s="638"/>
      <c r="M129" s="638"/>
      <c r="N129" s="1239"/>
      <c r="O129" s="1239"/>
      <c r="P129" s="638"/>
      <c r="Q129" s="638"/>
      <c r="R129" s="447"/>
      <c r="S129" s="484">
        <f>AG130-AG128</f>
        <v>44.759999999994761</v>
      </c>
      <c r="T129" s="638"/>
      <c r="U129" s="638"/>
      <c r="V129" s="638"/>
      <c r="W129" s="638"/>
      <c r="X129" s="638"/>
      <c r="Y129" s="638"/>
      <c r="Z129" s="638"/>
      <c r="AA129" s="638"/>
      <c r="AB129" s="638"/>
      <c r="AC129" s="638"/>
      <c r="AD129" s="638"/>
      <c r="AE129" s="638"/>
      <c r="AF129" s="447"/>
      <c r="AG129" s="446"/>
      <c r="AH129" s="447"/>
      <c r="AI129" s="447"/>
      <c r="AJ129" s="638"/>
      <c r="AK129" s="638"/>
      <c r="AL129" s="638"/>
      <c r="AM129" s="638"/>
      <c r="AN129" s="484"/>
      <c r="AO129" s="484"/>
      <c r="AP129" s="484"/>
      <c r="AQ129" s="484">
        <f>+FL_2($T$54,$T$52,$G$53,1200,9.28, 1*$F$54)</f>
        <v>-0.30019668847991182</v>
      </c>
      <c r="AR129" s="484"/>
      <c r="AS129" s="484"/>
      <c r="AT129" s="484"/>
      <c r="AU129" s="484"/>
      <c r="AV129" s="484"/>
      <c r="AW129" s="638" t="s">
        <v>2846</v>
      </c>
      <c r="AX129" s="572"/>
      <c r="AY129" s="484"/>
      <c r="AZ129" s="689"/>
      <c r="BA129" s="671" t="s">
        <v>2809</v>
      </c>
      <c r="BB129" s="449"/>
      <c r="BD129" s="1329" t="s">
        <v>4946</v>
      </c>
      <c r="BE129" s="1330"/>
      <c r="BF129" s="1330"/>
      <c r="BG129" s="1330"/>
    </row>
    <row r="130" spans="1:59" ht="12.5">
      <c r="A130" s="449"/>
      <c r="B130" s="485" t="s">
        <v>1871</v>
      </c>
      <c r="C130" s="446">
        <f>+$C$128+$G$129</f>
        <v>95017.25</v>
      </c>
      <c r="D130" s="446"/>
      <c r="E130" s="638"/>
      <c r="F130" s="447">
        <v>1180</v>
      </c>
      <c r="G130" s="484"/>
      <c r="H130" s="1239"/>
      <c r="I130" s="448"/>
      <c r="J130" s="171"/>
      <c r="K130" s="638"/>
      <c r="L130" s="638" t="s">
        <v>819</v>
      </c>
      <c r="M130" s="638" t="s">
        <v>3292</v>
      </c>
      <c r="N130" s="1239" t="s">
        <v>144</v>
      </c>
      <c r="O130" s="638"/>
      <c r="P130" s="638"/>
      <c r="Q130" s="638">
        <v>50</v>
      </c>
      <c r="R130" s="447">
        <v>1197.7</v>
      </c>
      <c r="S130" s="484"/>
      <c r="T130" s="638">
        <v>30</v>
      </c>
      <c r="U130" s="638"/>
      <c r="V130" s="638"/>
      <c r="W130" s="638">
        <v>1.4</v>
      </c>
      <c r="X130" s="638"/>
      <c r="Y130" s="638"/>
      <c r="Z130" s="638"/>
      <c r="AA130" s="638"/>
      <c r="AB130" s="638"/>
      <c r="AC130" s="638" t="s">
        <v>4090</v>
      </c>
      <c r="AD130" s="638"/>
      <c r="AE130" s="638"/>
      <c r="AF130" s="447">
        <v>4700</v>
      </c>
      <c r="AG130" s="446">
        <v>95017.23</v>
      </c>
      <c r="AH130" s="447">
        <v>2323</v>
      </c>
      <c r="AI130" s="447">
        <v>-690</v>
      </c>
      <c r="AJ130" s="638"/>
      <c r="AK130" s="638"/>
      <c r="AL130" s="638" t="s">
        <v>2127</v>
      </c>
      <c r="AM130" s="638" t="s">
        <v>1043</v>
      </c>
      <c r="AN130" s="484">
        <v>5.5</v>
      </c>
      <c r="AO130" s="484"/>
      <c r="AP130" s="484"/>
      <c r="AQ130" s="484"/>
      <c r="AR130" s="484"/>
      <c r="AS130" s="484"/>
      <c r="AT130" s="484">
        <f>+ab($T$130,$T$128,$T$132,$G$129,$G$131, 1*$F$130,1200)</f>
        <v>5.0412660351720104</v>
      </c>
      <c r="AU130" s="484"/>
      <c r="AV130" s="484"/>
      <c r="AW130" s="638" t="s">
        <v>4164</v>
      </c>
      <c r="AX130" s="572"/>
      <c r="AY130" s="689"/>
      <c r="AZ130" s="484" t="s">
        <v>638</v>
      </c>
      <c r="BA130" s="671" t="s">
        <v>2809</v>
      </c>
      <c r="BB130" s="449" t="str">
        <f>Pole_Calculations!A178</f>
        <v>App.8-V08F-P10.3</v>
      </c>
      <c r="BD130" s="1329">
        <v>43809</v>
      </c>
      <c r="BE130" s="1329">
        <v>43814</v>
      </c>
      <c r="BF130" s="1329">
        <v>43815</v>
      </c>
      <c r="BG130" s="1329">
        <v>43839</v>
      </c>
    </row>
    <row r="131" spans="1:59" ht="12.5">
      <c r="A131" s="449"/>
      <c r="B131" s="445"/>
      <c r="C131" s="446"/>
      <c r="D131" s="446"/>
      <c r="E131" s="638"/>
      <c r="F131" s="447"/>
      <c r="G131" s="484">
        <v>44.8</v>
      </c>
      <c r="H131" s="1239"/>
      <c r="I131" s="448"/>
      <c r="J131" s="171"/>
      <c r="K131" s="638"/>
      <c r="L131" s="638"/>
      <c r="M131" s="638"/>
      <c r="N131" s="1239"/>
      <c r="O131" s="638"/>
      <c r="P131" s="638"/>
      <c r="Q131" s="638"/>
      <c r="R131" s="447"/>
      <c r="S131" s="484">
        <f>AG132-AG130</f>
        <v>44.69999999999709</v>
      </c>
      <c r="T131" s="638"/>
      <c r="U131" s="638"/>
      <c r="V131" s="638"/>
      <c r="W131" s="638"/>
      <c r="X131" s="638"/>
      <c r="Y131" s="638"/>
      <c r="Z131" s="638"/>
      <c r="AA131" s="638"/>
      <c r="AB131" s="638"/>
      <c r="AC131" s="638"/>
      <c r="AD131" s="638"/>
      <c r="AE131" s="638"/>
      <c r="AF131" s="447"/>
      <c r="AG131" s="446"/>
      <c r="AH131" s="447"/>
      <c r="AI131" s="447"/>
      <c r="AJ131" s="638"/>
      <c r="AK131" s="638"/>
      <c r="AL131" s="638"/>
      <c r="AM131" s="638"/>
      <c r="AN131" s="484"/>
      <c r="AO131" s="484"/>
      <c r="AP131" s="484"/>
      <c r="AQ131" s="484">
        <f>+FL_1($T$132,$T$130,$G$131,1200,9.28, 1*$F$132)</f>
        <v>0.30001660753270343</v>
      </c>
      <c r="AR131" s="484"/>
      <c r="AS131" s="484"/>
      <c r="AT131" s="484"/>
      <c r="AU131" s="484"/>
      <c r="AV131" s="484"/>
      <c r="AW131" s="638"/>
      <c r="AX131" s="572"/>
      <c r="AY131" s="689"/>
      <c r="AZ131" s="484"/>
      <c r="BA131" s="671"/>
      <c r="BB131" s="449"/>
      <c r="BD131" s="1330"/>
      <c r="BE131" s="1330"/>
      <c r="BF131" s="1330"/>
      <c r="BG131" s="1330"/>
    </row>
    <row r="132" spans="1:59" ht="12.5">
      <c r="A132" s="449"/>
      <c r="B132" s="485" t="s">
        <v>1872</v>
      </c>
      <c r="C132" s="446">
        <f>+$C$130+$G$131</f>
        <v>95062.05</v>
      </c>
      <c r="D132" s="446"/>
      <c r="E132" s="638"/>
      <c r="F132" s="447">
        <v>1180</v>
      </c>
      <c r="G132" s="484"/>
      <c r="H132" s="1239"/>
      <c r="I132" s="448"/>
      <c r="J132" s="171"/>
      <c r="K132" s="638"/>
      <c r="L132" s="638" t="s">
        <v>819</v>
      </c>
      <c r="M132" s="638" t="s">
        <v>3292</v>
      </c>
      <c r="N132" s="1239" t="s">
        <v>144</v>
      </c>
      <c r="O132" s="638"/>
      <c r="P132" s="638"/>
      <c r="Q132" s="638">
        <v>40</v>
      </c>
      <c r="R132" s="447">
        <v>-1197.7</v>
      </c>
      <c r="S132" s="484"/>
      <c r="T132" s="638">
        <v>30</v>
      </c>
      <c r="U132" s="638"/>
      <c r="V132" s="638"/>
      <c r="W132" s="638">
        <v>1.4</v>
      </c>
      <c r="X132" s="638"/>
      <c r="Y132" s="638"/>
      <c r="Z132" s="638"/>
      <c r="AA132" s="638"/>
      <c r="AB132" s="638"/>
      <c r="AC132" s="638" t="s">
        <v>4090</v>
      </c>
      <c r="AD132" s="638"/>
      <c r="AE132" s="638"/>
      <c r="AF132" s="447">
        <v>4800</v>
      </c>
      <c r="AG132" s="446">
        <v>95061.93</v>
      </c>
      <c r="AH132" s="447">
        <v>2193</v>
      </c>
      <c r="AI132" s="447">
        <v>-770</v>
      </c>
      <c r="AJ132" s="638"/>
      <c r="AK132" s="638"/>
      <c r="AL132" s="638" t="s">
        <v>2127</v>
      </c>
      <c r="AM132" s="638" t="s">
        <v>1043</v>
      </c>
      <c r="AN132" s="484">
        <v>5.5</v>
      </c>
      <c r="AO132" s="484"/>
      <c r="AP132" s="484"/>
      <c r="AQ132" s="484"/>
      <c r="AR132" s="484"/>
      <c r="AS132" s="484"/>
      <c r="AT132" s="484">
        <f>+ab($T$132,$T$130,$T$134,$G$131,$G$133, 1*$F$132,1200)</f>
        <v>5.0356748079442388</v>
      </c>
      <c r="AU132" s="484"/>
      <c r="AV132" s="484"/>
      <c r="AW132" s="638" t="s">
        <v>4164</v>
      </c>
      <c r="AX132" s="572"/>
      <c r="AY132" s="689"/>
      <c r="AZ132" s="484" t="s">
        <v>638</v>
      </c>
      <c r="BA132" s="671" t="s">
        <v>2809</v>
      </c>
      <c r="BB132" s="449" t="str">
        <f>Pole_Calculations!A178</f>
        <v>App.8-V08F-P10.3</v>
      </c>
      <c r="BD132" s="1329" t="s">
        <v>4946</v>
      </c>
      <c r="BE132" s="1329">
        <v>43802</v>
      </c>
      <c r="BF132" s="1329">
        <v>43807</v>
      </c>
      <c r="BG132" s="1329">
        <v>43814</v>
      </c>
    </row>
    <row r="133" spans="1:59" ht="12.5">
      <c r="A133" s="449"/>
      <c r="B133" s="445"/>
      <c r="C133" s="446"/>
      <c r="D133" s="446"/>
      <c r="E133" s="638"/>
      <c r="F133" s="447"/>
      <c r="G133" s="484">
        <v>44.9</v>
      </c>
      <c r="H133" s="1239"/>
      <c r="I133" s="1239"/>
      <c r="J133" s="446"/>
      <c r="K133" s="638"/>
      <c r="L133" s="638"/>
      <c r="M133" s="638"/>
      <c r="N133" s="1239"/>
      <c r="O133" s="638"/>
      <c r="P133" s="638"/>
      <c r="Q133" s="638"/>
      <c r="R133" s="447"/>
      <c r="S133" s="484">
        <f>AG134-AG132</f>
        <v>44.970000000001164</v>
      </c>
      <c r="T133" s="638"/>
      <c r="U133" s="638"/>
      <c r="V133" s="638"/>
      <c r="W133" s="638"/>
      <c r="X133" s="638"/>
      <c r="Y133" s="638"/>
      <c r="Z133" s="638"/>
      <c r="AA133" s="638"/>
      <c r="AB133" s="638"/>
      <c r="AC133" s="638"/>
      <c r="AD133" s="638"/>
      <c r="AE133" s="638"/>
      <c r="AF133" s="447"/>
      <c r="AG133" s="446"/>
      <c r="AH133" s="447"/>
      <c r="AI133" s="447"/>
      <c r="AJ133" s="638"/>
      <c r="AK133" s="638"/>
      <c r="AL133" s="638"/>
      <c r="AM133" s="638"/>
      <c r="AN133" s="484"/>
      <c r="AO133" s="484"/>
      <c r="AP133" s="484"/>
      <c r="AQ133" s="484">
        <f>+FL_1($T$134,$T$132,$G$133,1200,9.28, 1*$F$134)</f>
        <v>0.30001664459484384</v>
      </c>
      <c r="AR133" s="484"/>
      <c r="AS133" s="484"/>
      <c r="AT133" s="484"/>
      <c r="AU133" s="484"/>
      <c r="AV133" s="484"/>
      <c r="AW133" s="638"/>
      <c r="AX133" s="572"/>
      <c r="AY133" s="689"/>
      <c r="AZ133" s="484"/>
      <c r="BA133" s="671"/>
      <c r="BB133" s="449"/>
      <c r="BD133" s="1330"/>
      <c r="BE133" s="1330"/>
      <c r="BF133" s="1330"/>
      <c r="BG133" s="1330"/>
    </row>
    <row r="134" spans="1:59" ht="12.5">
      <c r="A134" s="449"/>
      <c r="B134" s="485" t="s">
        <v>1873</v>
      </c>
      <c r="C134" s="446">
        <f>+$C$132+$G$133</f>
        <v>95106.95</v>
      </c>
      <c r="D134" s="446"/>
      <c r="E134" s="638"/>
      <c r="F134" s="447">
        <v>1180</v>
      </c>
      <c r="G134" s="484"/>
      <c r="H134" s="638"/>
      <c r="I134" s="448"/>
      <c r="J134" s="446"/>
      <c r="K134" s="638"/>
      <c r="L134" s="638" t="s">
        <v>819</v>
      </c>
      <c r="M134" s="638" t="s">
        <v>3292</v>
      </c>
      <c r="N134" s="1239" t="s">
        <v>144</v>
      </c>
      <c r="O134" s="638"/>
      <c r="P134" s="638"/>
      <c r="Q134" s="638">
        <v>50</v>
      </c>
      <c r="R134" s="447">
        <v>-1197.7</v>
      </c>
      <c r="S134" s="484"/>
      <c r="T134" s="638">
        <v>30</v>
      </c>
      <c r="U134" s="638"/>
      <c r="V134" s="638"/>
      <c r="W134" s="638">
        <v>1.4</v>
      </c>
      <c r="X134" s="638"/>
      <c r="Y134" s="638"/>
      <c r="Z134" s="638"/>
      <c r="AA134" s="638"/>
      <c r="AB134" s="638"/>
      <c r="AC134" s="638" t="s">
        <v>4090</v>
      </c>
      <c r="AD134" s="638"/>
      <c r="AE134" s="638"/>
      <c r="AF134" s="447">
        <v>4900</v>
      </c>
      <c r="AG134" s="446">
        <v>95106.9</v>
      </c>
      <c r="AH134" s="447">
        <v>1993</v>
      </c>
      <c r="AI134" s="447">
        <v>-790</v>
      </c>
      <c r="AJ134" s="638"/>
      <c r="AK134" s="638"/>
      <c r="AL134" s="638" t="s">
        <v>2127</v>
      </c>
      <c r="AM134" s="638" t="s">
        <v>1043</v>
      </c>
      <c r="AN134" s="484">
        <v>5.5</v>
      </c>
      <c r="AO134" s="484"/>
      <c r="AP134" s="484"/>
      <c r="AQ134" s="484"/>
      <c r="AR134" s="484"/>
      <c r="AS134" s="484"/>
      <c r="AT134" s="484">
        <f>+ab($T$134,$T$132,$T$136,$G$133,$G$135, 1*$F$134,1200)</f>
        <v>4.7710609836721458</v>
      </c>
      <c r="AU134" s="484"/>
      <c r="AV134" s="484"/>
      <c r="AW134" s="638" t="s">
        <v>4164</v>
      </c>
      <c r="AX134" s="572"/>
      <c r="AY134" s="689"/>
      <c r="AZ134" s="484"/>
      <c r="BA134" s="671" t="s">
        <v>2809</v>
      </c>
      <c r="BB134" s="449" t="str">
        <f>Pole_Calculations!A178</f>
        <v>App.8-V08F-P10.3</v>
      </c>
      <c r="BD134" s="1329" t="s">
        <v>4946</v>
      </c>
      <c r="BE134" s="1329" t="s">
        <v>4946</v>
      </c>
      <c r="BF134" s="1329">
        <v>43807</v>
      </c>
      <c r="BG134" s="1329">
        <v>43814</v>
      </c>
    </row>
    <row r="135" spans="1:59" ht="12.5">
      <c r="A135" s="449"/>
      <c r="B135" s="485"/>
      <c r="C135" s="446"/>
      <c r="D135" s="446"/>
      <c r="E135" s="638"/>
      <c r="F135" s="447"/>
      <c r="G135" s="484">
        <v>49.8</v>
      </c>
      <c r="H135" s="638"/>
      <c r="I135" s="448"/>
      <c r="J135" s="446"/>
      <c r="K135" s="638"/>
      <c r="L135" s="638"/>
      <c r="M135" s="638"/>
      <c r="N135" s="1239"/>
      <c r="O135" s="638"/>
      <c r="P135" s="638"/>
      <c r="Q135" s="638"/>
      <c r="R135" s="447"/>
      <c r="S135" s="484">
        <f>AG136-AG134</f>
        <v>46.100000000005821</v>
      </c>
      <c r="T135" s="638"/>
      <c r="U135" s="638"/>
      <c r="V135" s="638"/>
      <c r="W135" s="638"/>
      <c r="X135" s="638"/>
      <c r="Y135" s="638"/>
      <c r="Z135" s="638"/>
      <c r="AA135" s="638"/>
      <c r="AB135" s="638"/>
      <c r="AC135" s="638"/>
      <c r="AD135" s="638"/>
      <c r="AE135" s="638"/>
      <c r="AF135" s="447"/>
      <c r="AG135" s="446"/>
      <c r="AH135" s="447"/>
      <c r="AI135" s="447"/>
      <c r="AJ135" s="638"/>
      <c r="AK135" s="638"/>
      <c r="AL135" s="638"/>
      <c r="AM135" s="638"/>
      <c r="AN135" s="484"/>
      <c r="AO135" s="484"/>
      <c r="AP135" s="484"/>
      <c r="AQ135" s="484">
        <f>+FL_1($T$136,$T$134,$G$135,1200,9.28, 1*$F$136)</f>
        <v>0.30001846063654208</v>
      </c>
      <c r="AR135" s="484"/>
      <c r="AS135" s="484"/>
      <c r="AT135" s="484"/>
      <c r="AU135" s="484"/>
      <c r="AV135" s="484"/>
      <c r="AW135" s="638"/>
      <c r="AX135" s="572"/>
      <c r="AY135" s="689"/>
      <c r="AZ135" s="484"/>
      <c r="BA135" s="671"/>
      <c r="BB135" s="449"/>
      <c r="BD135" s="1330"/>
      <c r="BE135" s="1330"/>
      <c r="BF135" s="1330"/>
      <c r="BG135" s="1330"/>
    </row>
    <row r="136" spans="1:59" ht="12.5">
      <c r="A136" s="449"/>
      <c r="B136" s="485" t="s">
        <v>1874</v>
      </c>
      <c r="C136" s="446">
        <f>+$C$134+$G$135</f>
        <v>95156.75</v>
      </c>
      <c r="D136" s="446"/>
      <c r="E136" s="638"/>
      <c r="F136" s="447">
        <v>1180</v>
      </c>
      <c r="G136" s="484"/>
      <c r="H136" s="638"/>
      <c r="I136" s="448"/>
      <c r="J136" s="446"/>
      <c r="K136" s="638"/>
      <c r="L136" s="638" t="s">
        <v>819</v>
      </c>
      <c r="M136" s="638" t="s">
        <v>3292</v>
      </c>
      <c r="N136" s="1239" t="s">
        <v>144</v>
      </c>
      <c r="O136" s="638"/>
      <c r="P136" s="638"/>
      <c r="Q136" s="638">
        <v>60</v>
      </c>
      <c r="R136" s="447">
        <v>-1197.7</v>
      </c>
      <c r="S136" s="484"/>
      <c r="T136" s="638">
        <v>30</v>
      </c>
      <c r="U136" s="638"/>
      <c r="V136" s="638"/>
      <c r="W136" s="638">
        <v>1.4</v>
      </c>
      <c r="X136" s="638"/>
      <c r="Y136" s="638"/>
      <c r="Z136" s="638"/>
      <c r="AA136" s="638"/>
      <c r="AB136" s="638"/>
      <c r="AC136" s="638" t="s">
        <v>4090</v>
      </c>
      <c r="AD136" s="638"/>
      <c r="AE136" s="638"/>
      <c r="AF136" s="447">
        <v>4800</v>
      </c>
      <c r="AG136" s="446">
        <v>95153</v>
      </c>
      <c r="AH136" s="447">
        <v>1803</v>
      </c>
      <c r="AI136" s="447">
        <v>-760</v>
      </c>
      <c r="AJ136" s="638"/>
      <c r="AK136" s="638"/>
      <c r="AL136" s="638" t="s">
        <v>2127</v>
      </c>
      <c r="AM136" s="638" t="s">
        <v>1043</v>
      </c>
      <c r="AN136" s="484">
        <v>5.5</v>
      </c>
      <c r="AO136" s="484"/>
      <c r="AP136" s="484"/>
      <c r="AQ136" s="484"/>
      <c r="AR136" s="484"/>
      <c r="AS136" s="484"/>
      <c r="AT136" s="484">
        <f>+ab($T$136,$T$134,$T$138,$G$135,$G$137, 1*$F$136,1200)</f>
        <v>4.6299235944791084</v>
      </c>
      <c r="AU136" s="484"/>
      <c r="AV136" s="484"/>
      <c r="AW136" s="638" t="s">
        <v>4164</v>
      </c>
      <c r="AX136" s="572"/>
      <c r="AY136" s="689"/>
      <c r="AZ136" s="484"/>
      <c r="BA136" s="671" t="s">
        <v>2809</v>
      </c>
      <c r="BB136" s="449" t="str">
        <f>Pole_Calculations!A178</f>
        <v>App.8-V08F-P10.3</v>
      </c>
      <c r="BD136" s="1329">
        <v>43771</v>
      </c>
      <c r="BE136" s="1329">
        <v>43804</v>
      </c>
      <c r="BF136" s="1329">
        <v>43807</v>
      </c>
      <c r="BG136" s="1329">
        <v>43814</v>
      </c>
    </row>
    <row r="137" spans="1:59" ht="12.5">
      <c r="A137" s="449"/>
      <c r="B137" s="485"/>
      <c r="C137" s="446"/>
      <c r="D137" s="446"/>
      <c r="E137" s="638"/>
      <c r="F137" s="447"/>
      <c r="G137" s="484">
        <v>47.8</v>
      </c>
      <c r="H137" s="638"/>
      <c r="I137" s="448"/>
      <c r="J137" s="446"/>
      <c r="K137" s="638"/>
      <c r="L137" s="638"/>
      <c r="M137" s="638"/>
      <c r="N137" s="1239"/>
      <c r="O137" s="638"/>
      <c r="P137" s="638"/>
      <c r="Q137" s="638"/>
      <c r="R137" s="447"/>
      <c r="S137" s="484">
        <f>AG138-AG136</f>
        <v>51.720000000001164</v>
      </c>
      <c r="T137" s="638"/>
      <c r="U137" s="638"/>
      <c r="V137" s="638"/>
      <c r="W137" s="638"/>
      <c r="X137" s="638"/>
      <c r="Y137" s="638"/>
      <c r="Z137" s="638"/>
      <c r="AA137" s="638"/>
      <c r="AB137" s="638"/>
      <c r="AC137" s="638"/>
      <c r="AD137" s="638"/>
      <c r="AE137" s="638"/>
      <c r="AF137" s="447"/>
      <c r="AG137" s="446"/>
      <c r="AH137" s="447"/>
      <c r="AI137" s="447"/>
      <c r="AJ137" s="638"/>
      <c r="AK137" s="638"/>
      <c r="AL137" s="638"/>
      <c r="AM137" s="638"/>
      <c r="AN137" s="484"/>
      <c r="AO137" s="484"/>
      <c r="AP137" s="484"/>
      <c r="AQ137" s="484">
        <f>+FL_1($T$138,$T$136,$G$137,1200,9.28, 1*$F$138)</f>
        <v>0.30001771939509714</v>
      </c>
      <c r="AR137" s="484"/>
      <c r="AS137" s="484"/>
      <c r="AT137" s="484"/>
      <c r="AU137" s="484"/>
      <c r="AV137" s="484"/>
      <c r="AW137" s="638"/>
      <c r="AX137" s="572"/>
      <c r="AY137" s="689"/>
      <c r="AZ137" s="484"/>
      <c r="BA137" s="671"/>
      <c r="BB137" s="449"/>
      <c r="BD137" s="1330"/>
      <c r="BE137" s="1330"/>
      <c r="BF137" s="1330"/>
      <c r="BG137" s="1330"/>
    </row>
    <row r="138" spans="1:59" ht="12.5">
      <c r="A138" s="449"/>
      <c r="B138" s="485" t="s">
        <v>1875</v>
      </c>
      <c r="C138" s="446">
        <f>+$C$136+$G$137</f>
        <v>95204.55</v>
      </c>
      <c r="D138" s="446"/>
      <c r="E138" s="638"/>
      <c r="F138" s="447">
        <v>1180</v>
      </c>
      <c r="G138" s="484"/>
      <c r="H138" s="638"/>
      <c r="I138" s="448"/>
      <c r="J138" s="446"/>
      <c r="K138" s="638"/>
      <c r="L138" s="638" t="s">
        <v>819</v>
      </c>
      <c r="M138" s="638" t="s">
        <v>3292</v>
      </c>
      <c r="N138" s="1239" t="s">
        <v>144</v>
      </c>
      <c r="O138" s="638"/>
      <c r="P138" s="638"/>
      <c r="Q138" s="638">
        <v>50</v>
      </c>
      <c r="R138" s="447">
        <v>-1197.7</v>
      </c>
      <c r="S138" s="484"/>
      <c r="T138" s="638">
        <v>30</v>
      </c>
      <c r="U138" s="638"/>
      <c r="V138" s="638"/>
      <c r="W138" s="638">
        <v>1.4</v>
      </c>
      <c r="X138" s="638"/>
      <c r="Y138" s="638"/>
      <c r="Z138" s="638"/>
      <c r="AA138" s="638"/>
      <c r="AB138" s="638"/>
      <c r="AC138" s="638" t="s">
        <v>4090</v>
      </c>
      <c r="AD138" s="638"/>
      <c r="AE138" s="638"/>
      <c r="AF138" s="447">
        <v>5000</v>
      </c>
      <c r="AG138" s="446">
        <v>95204.72</v>
      </c>
      <c r="AH138" s="447">
        <v>2123</v>
      </c>
      <c r="AI138" s="447">
        <v>-710</v>
      </c>
      <c r="AJ138" s="638"/>
      <c r="AK138" s="638"/>
      <c r="AL138" s="638" t="s">
        <v>2127</v>
      </c>
      <c r="AM138" s="638" t="s">
        <v>1043</v>
      </c>
      <c r="AN138" s="484">
        <v>5.5</v>
      </c>
      <c r="AO138" s="484"/>
      <c r="AP138" s="484"/>
      <c r="AQ138" s="484"/>
      <c r="AR138" s="484"/>
      <c r="AS138" s="484"/>
      <c r="AT138" s="484">
        <f>+ab($T$138,$T$136,$T$140,$G$137,$G$139, 1*$F$138,1200)</f>
        <v>5.3375399840287381</v>
      </c>
      <c r="AU138" s="484"/>
      <c r="AV138" s="484"/>
      <c r="AW138" s="638" t="s">
        <v>4164</v>
      </c>
      <c r="AX138" s="572"/>
      <c r="AY138" s="689"/>
      <c r="AZ138" s="484"/>
      <c r="BA138" s="671" t="s">
        <v>2809</v>
      </c>
      <c r="BB138" s="449" t="str">
        <f>Pole_Calculations!A178</f>
        <v>App.8-V08F-P10.3</v>
      </c>
      <c r="BD138" s="1329">
        <v>43771</v>
      </c>
      <c r="BE138" s="1329">
        <v>43804</v>
      </c>
      <c r="BF138" s="1329">
        <v>43807</v>
      </c>
      <c r="BG138" s="1329">
        <v>43839</v>
      </c>
    </row>
    <row r="139" spans="1:59" ht="12.5">
      <c r="A139" s="449"/>
      <c r="B139" s="445"/>
      <c r="C139" s="446"/>
      <c r="D139" s="446"/>
      <c r="E139" s="638"/>
      <c r="F139" s="447"/>
      <c r="G139" s="484">
        <v>36.799999999999997</v>
      </c>
      <c r="H139" s="638"/>
      <c r="I139" s="447"/>
      <c r="J139" s="446">
        <f>C140-7.5</f>
        <v>95233.85</v>
      </c>
      <c r="K139" s="644" t="s">
        <v>2884</v>
      </c>
      <c r="L139" s="638"/>
      <c r="M139" s="638"/>
      <c r="N139" s="1239"/>
      <c r="O139" s="1239"/>
      <c r="P139" s="1239"/>
      <c r="Q139" s="638"/>
      <c r="R139" s="447"/>
      <c r="S139" s="484">
        <f>AG140-AG138</f>
        <v>36.580000000001746</v>
      </c>
      <c r="T139" s="638"/>
      <c r="U139" s="638"/>
      <c r="V139" s="638"/>
      <c r="W139" s="638"/>
      <c r="X139" s="638"/>
      <c r="Y139" s="638"/>
      <c r="Z139" s="638"/>
      <c r="AA139" s="638"/>
      <c r="AB139" s="638"/>
      <c r="AC139" s="638"/>
      <c r="AD139" s="638"/>
      <c r="AE139" s="638"/>
      <c r="AF139" s="447"/>
      <c r="AG139" s="446"/>
      <c r="AH139" s="447"/>
      <c r="AI139" s="447"/>
      <c r="AJ139" s="638"/>
      <c r="AK139" s="638"/>
      <c r="AL139" s="638"/>
      <c r="AM139" s="638"/>
      <c r="AN139" s="484"/>
      <c r="AO139" s="484"/>
      <c r="AP139" s="484"/>
      <c r="AQ139" s="484">
        <f>+FL_1($T$146,$T$144,$G$145,1200,9.28, 1*$F$146)</f>
        <v>0.3</v>
      </c>
      <c r="AR139" s="484"/>
      <c r="AS139" s="484"/>
      <c r="AT139" s="484"/>
      <c r="AU139" s="484"/>
      <c r="AV139" s="484"/>
      <c r="AW139" s="638" t="s">
        <v>2883</v>
      </c>
      <c r="AX139" s="572"/>
      <c r="AY139" s="484"/>
      <c r="AZ139" s="689">
        <v>2.8</v>
      </c>
      <c r="BA139" s="671" t="s">
        <v>2809</v>
      </c>
      <c r="BB139" s="449"/>
      <c r="BD139" s="1329">
        <v>43498</v>
      </c>
      <c r="BE139" s="1330"/>
      <c r="BF139" s="1330"/>
      <c r="BG139" s="1330"/>
    </row>
    <row r="140" spans="1:59" ht="12.5">
      <c r="A140" s="449"/>
      <c r="B140" s="485" t="s">
        <v>1876</v>
      </c>
      <c r="C140" s="446">
        <f>+$C$138+$G$139</f>
        <v>95241.35</v>
      </c>
      <c r="D140" s="446"/>
      <c r="E140" s="638"/>
      <c r="F140" s="447">
        <v>1180</v>
      </c>
      <c r="G140" s="484"/>
      <c r="H140" s="638" t="s">
        <v>873</v>
      </c>
      <c r="I140" s="1239"/>
      <c r="J140" s="446"/>
      <c r="K140" s="638"/>
      <c r="L140" s="638" t="s">
        <v>821</v>
      </c>
      <c r="M140" s="638" t="s">
        <v>3331</v>
      </c>
      <c r="N140" s="1239" t="s">
        <v>144</v>
      </c>
      <c r="O140" s="638"/>
      <c r="P140" s="638"/>
      <c r="Q140" s="638">
        <v>60</v>
      </c>
      <c r="R140" s="447">
        <v>-1180</v>
      </c>
      <c r="S140" s="484"/>
      <c r="T140" s="638">
        <v>30</v>
      </c>
      <c r="U140" s="638"/>
      <c r="V140" s="638"/>
      <c r="W140" s="638">
        <v>1.4</v>
      </c>
      <c r="X140" s="638"/>
      <c r="Y140" s="638"/>
      <c r="Z140" s="638"/>
      <c r="AA140" s="638"/>
      <c r="AB140" s="638"/>
      <c r="AC140" s="638" t="s">
        <v>4880</v>
      </c>
      <c r="AD140" s="638"/>
      <c r="AE140" s="638"/>
      <c r="AF140" s="447">
        <v>5500</v>
      </c>
      <c r="AG140" s="446">
        <v>95241.3</v>
      </c>
      <c r="AH140" s="447">
        <v>2133</v>
      </c>
      <c r="AI140" s="447">
        <v>50</v>
      </c>
      <c r="AJ140" s="638"/>
      <c r="AK140" s="638"/>
      <c r="AL140" s="638" t="s">
        <v>2127</v>
      </c>
      <c r="AM140" s="638" t="s">
        <v>1043</v>
      </c>
      <c r="AN140" s="484">
        <v>5.5</v>
      </c>
      <c r="AO140" s="484"/>
      <c r="AP140" s="484"/>
      <c r="AQ140" s="484"/>
      <c r="AR140" s="484"/>
      <c r="AS140" s="484"/>
      <c r="AT140" s="484">
        <f>+ab($T$140,$T$138,$T$142,$G$139,$G$141, 1*$F$140,1200)</f>
        <v>6.2133615743957549</v>
      </c>
      <c r="AU140" s="484"/>
      <c r="AV140" s="484"/>
      <c r="AW140" s="638" t="s">
        <v>2873</v>
      </c>
      <c r="AX140" s="572" t="str">
        <f>VLOOKUP(C140,'Foundation Calculation'!$E$2:$G$33,3,1)</f>
        <v>PT</v>
      </c>
      <c r="AY140" s="636">
        <v>5.2</v>
      </c>
      <c r="AZ140" s="484" t="s">
        <v>638</v>
      </c>
      <c r="BA140" s="671" t="s">
        <v>2809</v>
      </c>
      <c r="BB140" s="449" t="str">
        <f>Pole_Calculations!A178</f>
        <v>App.8-V08F-P10.3</v>
      </c>
      <c r="BD140" s="1329">
        <v>43498</v>
      </c>
      <c r="BE140" s="1329" t="s">
        <v>4946</v>
      </c>
      <c r="BF140" s="1329" t="s">
        <v>4946</v>
      </c>
      <c r="BG140" s="1329">
        <v>43786</v>
      </c>
    </row>
    <row r="141" spans="1:59" ht="12.5">
      <c r="A141" s="449"/>
      <c r="B141" s="170"/>
      <c r="C141" s="446"/>
      <c r="D141" s="446"/>
      <c r="E141" s="638"/>
      <c r="F141" s="447"/>
      <c r="G141" s="484">
        <v>35.799999999999997</v>
      </c>
      <c r="H141" s="1239"/>
      <c r="I141" s="172">
        <f>SUM(G123:G141)</f>
        <v>446.20000000000005</v>
      </c>
      <c r="J141" s="171"/>
      <c r="K141" s="638"/>
      <c r="L141" s="638"/>
      <c r="M141" s="638"/>
      <c r="N141" s="1239"/>
      <c r="O141" s="1239"/>
      <c r="P141" s="1239"/>
      <c r="Q141" s="638"/>
      <c r="R141" s="447"/>
      <c r="S141" s="484">
        <f>AG142-AG140</f>
        <v>35.69999999999709</v>
      </c>
      <c r="T141" s="638"/>
      <c r="U141" s="638"/>
      <c r="V141" s="638"/>
      <c r="W141" s="638"/>
      <c r="X141" s="638"/>
      <c r="Y141" s="638"/>
      <c r="Z141" s="638"/>
      <c r="AA141" s="638"/>
      <c r="AB141" s="638"/>
      <c r="AC141" s="638"/>
      <c r="AD141" s="638"/>
      <c r="AE141" s="638"/>
      <c r="AF141" s="447"/>
      <c r="AG141" s="446"/>
      <c r="AH141" s="447"/>
      <c r="AI141" s="447"/>
      <c r="AJ141" s="638"/>
      <c r="AK141" s="638"/>
      <c r="AL141" s="638"/>
      <c r="AM141" s="638"/>
      <c r="AN141" s="484"/>
      <c r="AO141" s="484"/>
      <c r="AP141" s="484"/>
      <c r="AQ141" s="484">
        <f>+FL_1($T$142,$T$140,$G$141,1200,9.28, 1*$F$142)</f>
        <v>0.3</v>
      </c>
      <c r="AR141" s="484"/>
      <c r="AS141" s="484"/>
      <c r="AT141" s="484"/>
      <c r="AU141" s="484"/>
      <c r="AV141" s="484"/>
      <c r="AW141" s="638"/>
      <c r="AX141" s="638"/>
      <c r="AY141" s="484"/>
      <c r="AZ141" s="484"/>
      <c r="BA141" s="671"/>
      <c r="BB141" s="449"/>
      <c r="BD141" s="1330"/>
      <c r="BE141" s="1330"/>
      <c r="BF141" s="1330"/>
      <c r="BG141" s="1330"/>
    </row>
    <row r="142" spans="1:59" ht="12.5">
      <c r="A142" s="449"/>
      <c r="B142" s="485" t="s">
        <v>1877</v>
      </c>
      <c r="C142" s="446">
        <f>+$C$140+$G$141</f>
        <v>95277.150000000009</v>
      </c>
      <c r="D142" s="446"/>
      <c r="E142" s="638"/>
      <c r="F142" s="447">
        <v>750</v>
      </c>
      <c r="G142" s="484"/>
      <c r="H142" s="638" t="s">
        <v>874</v>
      </c>
      <c r="I142" s="1239"/>
      <c r="J142" s="446"/>
      <c r="K142" s="638"/>
      <c r="L142" s="638" t="s">
        <v>821</v>
      </c>
      <c r="M142" s="1239" t="str">
        <f>IF(AX142="PT",VLOOKUP(L142,'Foundation Calculation'!$V$2:$X$40,VLOOKUP(AX142,'Foundation Calculation'!$I$10:$J$13,2,FALSE),0),IF(AX142="K",VLOOKUP(L142,'Foundation Calculation'!$V$42:$X$80,VLOOKUP(AX142,'Foundation Calculation'!$I$10:$J$13,2,FALSE),0),""))</f>
        <v>C7R</v>
      </c>
      <c r="N142" s="1239" t="s">
        <v>144</v>
      </c>
      <c r="O142" s="638"/>
      <c r="P142" s="638"/>
      <c r="Q142" s="638">
        <v>60</v>
      </c>
      <c r="R142" s="447">
        <v>750</v>
      </c>
      <c r="S142" s="484"/>
      <c r="T142" s="638">
        <v>30</v>
      </c>
      <c r="U142" s="638"/>
      <c r="V142" s="638"/>
      <c r="W142" s="638">
        <v>1.4</v>
      </c>
      <c r="X142" s="638"/>
      <c r="Y142" s="638"/>
      <c r="Z142" s="638"/>
      <c r="AA142" s="638"/>
      <c r="AB142" s="638"/>
      <c r="AC142" s="638" t="s">
        <v>3050</v>
      </c>
      <c r="AD142" s="638"/>
      <c r="AE142" s="638"/>
      <c r="AF142" s="447">
        <v>5500</v>
      </c>
      <c r="AG142" s="446">
        <v>95277</v>
      </c>
      <c r="AH142" s="447">
        <v>2163</v>
      </c>
      <c r="AI142" s="447">
        <v>120</v>
      </c>
      <c r="AJ142" s="638"/>
      <c r="AK142" s="638"/>
      <c r="AL142" s="638" t="s">
        <v>2142</v>
      </c>
      <c r="AM142" s="638" t="s">
        <v>1043</v>
      </c>
      <c r="AN142" s="484">
        <v>5.5</v>
      </c>
      <c r="AO142" s="484"/>
      <c r="AP142" s="484"/>
      <c r="AQ142" s="484"/>
      <c r="AR142" s="484"/>
      <c r="AS142" s="484"/>
      <c r="AT142" s="484">
        <f>+ab($T$142,$T$140,$T$144,$G$141,$G$143, 1*$F$142,1200)</f>
        <v>4.0701791825679212</v>
      </c>
      <c r="AU142" s="484"/>
      <c r="AV142" s="484"/>
      <c r="AW142" s="638" t="str">
        <f>VLOOKUP(C142,'Foundation Calculation'!$A$2:$C$33,3,1)</f>
        <v>Soil A</v>
      </c>
      <c r="AX142" s="572" t="str">
        <f>VLOOKUP(C142,'Foundation Calculation'!$E$2:$G$33,3,1)</f>
        <v>PT</v>
      </c>
      <c r="AY142" s="636">
        <f>IF(AX142="PT",VLOOKUP(L142,'Foundation Calculation'!$K$2:$R$40,VLOOKUP(AW142,'Foundation Calculation'!$I$2:$J$8,2,FALSE),0),IF(AX142="K",VLOOKUP(L142,'Foundation Calculation'!$K$42:$R$80,VLOOKUP(AW142,'Foundation Calculation'!$I$2:$J$8,2,FALSE),0),""))</f>
        <v>4</v>
      </c>
      <c r="AZ142" s="484"/>
      <c r="BA142" s="671" t="s">
        <v>2809</v>
      </c>
      <c r="BB142" s="449" t="str">
        <f>Pole_Calculations!A178</f>
        <v>App.8-V08F-P10.3</v>
      </c>
      <c r="BD142" s="1329">
        <v>43435</v>
      </c>
      <c r="BE142" s="1329" t="s">
        <v>4946</v>
      </c>
      <c r="BF142" s="1329" t="s">
        <v>4946</v>
      </c>
      <c r="BG142" s="1329">
        <v>43786</v>
      </c>
    </row>
    <row r="143" spans="1:59" ht="12.5">
      <c r="A143" s="449"/>
      <c r="B143" s="170"/>
      <c r="C143" s="446"/>
      <c r="D143" s="446"/>
      <c r="E143" s="638"/>
      <c r="F143" s="447"/>
      <c r="G143" s="484">
        <v>34.799999999999997</v>
      </c>
      <c r="H143" s="1239"/>
      <c r="I143" s="172">
        <f>SUM(G143:G163)</f>
        <v>486.90000000000003</v>
      </c>
      <c r="J143" s="171"/>
      <c r="K143" s="638"/>
      <c r="L143" s="638"/>
      <c r="M143" s="638"/>
      <c r="N143" s="1239"/>
      <c r="O143" s="1239"/>
      <c r="P143" s="1239"/>
      <c r="Q143" s="638"/>
      <c r="R143" s="447"/>
      <c r="S143" s="484">
        <f>AG144-AG142</f>
        <v>35</v>
      </c>
      <c r="T143" s="638"/>
      <c r="U143" s="638"/>
      <c r="V143" s="638"/>
      <c r="W143" s="638"/>
      <c r="X143" s="638"/>
      <c r="Y143" s="638"/>
      <c r="Z143" s="638"/>
      <c r="AA143" s="638"/>
      <c r="AB143" s="638"/>
      <c r="AC143" s="638"/>
      <c r="AD143" s="638"/>
      <c r="AE143" s="638"/>
      <c r="AF143" s="447"/>
      <c r="AG143" s="446"/>
      <c r="AH143" s="447"/>
      <c r="AI143" s="447"/>
      <c r="AJ143" s="638"/>
      <c r="AK143" s="638"/>
      <c r="AL143" s="638"/>
      <c r="AM143" s="638"/>
      <c r="AN143" s="484"/>
      <c r="AO143" s="484"/>
      <c r="AP143" s="484"/>
      <c r="AQ143" s="484">
        <f>+FL_1($T$144,$T$142,$G$143,1200,9.28, 1*$F$144)</f>
        <v>0.3</v>
      </c>
      <c r="AR143" s="484"/>
      <c r="AS143" s="484"/>
      <c r="AT143" s="484"/>
      <c r="AU143" s="484"/>
      <c r="AV143" s="484"/>
      <c r="AW143" s="638"/>
      <c r="AX143" s="638"/>
      <c r="AY143" s="484"/>
      <c r="AZ143" s="484"/>
      <c r="BA143" s="671"/>
      <c r="BB143" s="449"/>
      <c r="BD143" s="1330"/>
      <c r="BE143" s="1330"/>
      <c r="BF143" s="1330"/>
      <c r="BG143" s="1330"/>
    </row>
    <row r="144" spans="1:59" ht="12.5">
      <c r="A144" s="449"/>
      <c r="B144" s="485" t="s">
        <v>1878</v>
      </c>
      <c r="C144" s="446">
        <f>+$C$142+$G$143</f>
        <v>95311.950000000012</v>
      </c>
      <c r="D144" s="446"/>
      <c r="E144" s="638"/>
      <c r="F144" s="447">
        <v>750</v>
      </c>
      <c r="G144" s="484"/>
      <c r="H144" s="638" t="s">
        <v>873</v>
      </c>
      <c r="I144" s="1239"/>
      <c r="J144" s="446"/>
      <c r="K144" s="638"/>
      <c r="L144" s="638" t="s">
        <v>821</v>
      </c>
      <c r="M144" s="1239" t="str">
        <f>IF(AX144="PT",VLOOKUP(L144,'Foundation Calculation'!$V$2:$X$40,VLOOKUP(AX144,'Foundation Calculation'!$I$10:$J$13,2,FALSE),0),IF(AX144="K",VLOOKUP(L144,'Foundation Calculation'!$V$42:$X$80,VLOOKUP(AX144,'Foundation Calculation'!$I$10:$J$13,2,FALSE),0),""))</f>
        <v>C7R</v>
      </c>
      <c r="N144" s="1239" t="s">
        <v>144</v>
      </c>
      <c r="O144" s="638"/>
      <c r="P144" s="638"/>
      <c r="Q144" s="638">
        <v>60</v>
      </c>
      <c r="R144" s="447">
        <v>750</v>
      </c>
      <c r="S144" s="484"/>
      <c r="T144" s="638">
        <v>30</v>
      </c>
      <c r="U144" s="638"/>
      <c r="V144" s="638"/>
      <c r="W144" s="638">
        <v>1.4</v>
      </c>
      <c r="X144" s="638"/>
      <c r="Y144" s="638"/>
      <c r="Z144" s="638"/>
      <c r="AA144" s="638"/>
      <c r="AB144" s="638"/>
      <c r="AC144" s="638" t="s">
        <v>4880</v>
      </c>
      <c r="AD144" s="638"/>
      <c r="AE144" s="638"/>
      <c r="AF144" s="447">
        <v>5500</v>
      </c>
      <c r="AG144" s="446">
        <v>95312</v>
      </c>
      <c r="AH144" s="447">
        <v>2543</v>
      </c>
      <c r="AI144" s="447">
        <v>250</v>
      </c>
      <c r="AJ144" s="638"/>
      <c r="AK144" s="638"/>
      <c r="AL144" s="638" t="s">
        <v>2142</v>
      </c>
      <c r="AM144" s="638" t="s">
        <v>1043</v>
      </c>
      <c r="AN144" s="484">
        <v>5.5</v>
      </c>
      <c r="AO144" s="484"/>
      <c r="AP144" s="484"/>
      <c r="AQ144" s="484"/>
      <c r="AR144" s="484"/>
      <c r="AS144" s="484"/>
      <c r="AT144" s="484">
        <f>+ab($T$144,$T$142,$T$146,$G$143,$G$145, 1*$F$144,1200)</f>
        <v>4.128457986534884</v>
      </c>
      <c r="AU144" s="484"/>
      <c r="AV144" s="484"/>
      <c r="AW144" s="638" t="str">
        <f>VLOOKUP(C144,'Foundation Calculation'!$A$2:$C$33,3,1)</f>
        <v>Soil A</v>
      </c>
      <c r="AX144" s="572" t="str">
        <f>VLOOKUP(C144,'Foundation Calculation'!$E$2:$G$33,3,1)</f>
        <v>PT</v>
      </c>
      <c r="AY144" s="636">
        <f>IF(AX144="PT",VLOOKUP(L144,'Foundation Calculation'!$K$2:$R$40,VLOOKUP(AW144,'Foundation Calculation'!$I$2:$J$8,2,FALSE),0),IF(AX144="K",VLOOKUP(L144,'Foundation Calculation'!$K$42:$R$80,VLOOKUP(AW144,'Foundation Calculation'!$I$2:$J$8,2,FALSE),0),""))</f>
        <v>4</v>
      </c>
      <c r="AZ144" s="484"/>
      <c r="BA144" s="671" t="s">
        <v>2809</v>
      </c>
      <c r="BB144" s="449" t="str">
        <f>Pole_Calculations!A178</f>
        <v>App.8-V08F-P10.3</v>
      </c>
      <c r="BD144" s="1329">
        <v>43435</v>
      </c>
      <c r="BE144" s="1329" t="s">
        <v>4946</v>
      </c>
      <c r="BF144" s="1329" t="s">
        <v>4946</v>
      </c>
      <c r="BG144" s="1329">
        <v>43786</v>
      </c>
    </row>
    <row r="145" spans="1:59" ht="12.5">
      <c r="A145" s="449"/>
      <c r="B145" s="170"/>
      <c r="C145" s="446"/>
      <c r="D145" s="446"/>
      <c r="E145" s="638"/>
      <c r="F145" s="447"/>
      <c r="G145" s="484">
        <v>34.799999999999997</v>
      </c>
      <c r="H145" s="1239"/>
      <c r="I145" s="1239"/>
      <c r="J145" s="171">
        <f>C144+7.5</f>
        <v>95319.450000000012</v>
      </c>
      <c r="K145" s="638" t="s">
        <v>2788</v>
      </c>
      <c r="L145" s="638"/>
      <c r="M145" s="638"/>
      <c r="N145" s="1239"/>
      <c r="O145" s="1239"/>
      <c r="P145" s="1239"/>
      <c r="Q145" s="638"/>
      <c r="R145" s="447"/>
      <c r="S145" s="484">
        <f>AG146-AG144</f>
        <v>34.690000000002328</v>
      </c>
      <c r="T145" s="638"/>
      <c r="U145" s="638"/>
      <c r="V145" s="638"/>
      <c r="W145" s="638"/>
      <c r="X145" s="638"/>
      <c r="Y145" s="638"/>
      <c r="Z145" s="638"/>
      <c r="AA145" s="638"/>
      <c r="AB145" s="638"/>
      <c r="AC145" s="638"/>
      <c r="AD145" s="638"/>
      <c r="AE145" s="638"/>
      <c r="AF145" s="447"/>
      <c r="AG145" s="446"/>
      <c r="AH145" s="447"/>
      <c r="AI145" s="447"/>
      <c r="AJ145" s="638"/>
      <c r="AK145" s="638"/>
      <c r="AL145" s="638"/>
      <c r="AM145" s="638"/>
      <c r="AN145" s="484"/>
      <c r="AO145" s="484"/>
      <c r="AP145" s="484"/>
      <c r="AQ145" s="484">
        <f>+FL_1($T$146,$T$144,$G$145,1200,9.28, 1*$F$146)</f>
        <v>0.3</v>
      </c>
      <c r="AR145" s="484"/>
      <c r="AS145" s="484"/>
      <c r="AT145" s="484"/>
      <c r="AU145" s="484"/>
      <c r="AV145" s="484"/>
      <c r="AW145" s="638" t="str">
        <f>VLOOKUP(J145,'Foundation Calculation'!$A$2:$C$33,3,1)</f>
        <v>Soil A</v>
      </c>
      <c r="AX145" s="572" t="str">
        <f>VLOOKUP(J145,'Foundation Calculation'!$E$2:$G$33,3,1)</f>
        <v>PT</v>
      </c>
      <c r="AY145" s="484"/>
      <c r="AZ145" s="484">
        <f>IF(AX145="PT",VLOOKUP(K145,'Foundation Calculation'!$K$2:$R$40,VLOOKUP(AW145,'Foundation Calculation'!$I$2:$J$8,2,FALSE),0),IF(AX145="K",VLOOKUP(K145,'Foundation Calculation'!$K$42:$R$80,VLOOKUP(AW145,'Foundation Calculation'!$I$2:$J$8,2,FALSE),0),""))</f>
        <v>2.8</v>
      </c>
      <c r="BA145" s="671" t="s">
        <v>2809</v>
      </c>
      <c r="BB145" s="449"/>
      <c r="BD145" s="1329">
        <v>43435</v>
      </c>
      <c r="BE145" s="1330"/>
      <c r="BF145" s="1330"/>
      <c r="BG145" s="1330"/>
    </row>
    <row r="146" spans="1:59" ht="12.5">
      <c r="A146" s="449"/>
      <c r="B146" s="436" t="s">
        <v>1879</v>
      </c>
      <c r="C146" s="446">
        <f>+$C$144+$G$145</f>
        <v>95346.750000000015</v>
      </c>
      <c r="D146" s="446"/>
      <c r="E146" s="638"/>
      <c r="F146" s="447">
        <v>750</v>
      </c>
      <c r="G146" s="484"/>
      <c r="H146" s="1239"/>
      <c r="I146" s="1239"/>
      <c r="J146" s="171"/>
      <c r="K146" s="638"/>
      <c r="L146" s="638" t="s">
        <v>821</v>
      </c>
      <c r="M146" s="1239" t="str">
        <f>IF(AX146="PT",VLOOKUP(L146,'Foundation Calculation'!$V$2:$X$40,VLOOKUP(AX146,'Foundation Calculation'!$I$10:$J$13,2,FALSE),0),IF(AX146="K",VLOOKUP(L146,'Foundation Calculation'!$V$42:$X$80,VLOOKUP(AX146,'Foundation Calculation'!$I$10:$J$13,2,FALSE),0),""))</f>
        <v>C7R</v>
      </c>
      <c r="N146" s="1239" t="s">
        <v>144</v>
      </c>
      <c r="O146" s="1239"/>
      <c r="P146" s="1239"/>
      <c r="Q146" s="638">
        <v>50</v>
      </c>
      <c r="R146" s="447">
        <v>750</v>
      </c>
      <c r="S146" s="484"/>
      <c r="T146" s="638">
        <v>30</v>
      </c>
      <c r="U146" s="638"/>
      <c r="V146" s="638"/>
      <c r="W146" s="638">
        <v>1.4</v>
      </c>
      <c r="X146" s="638"/>
      <c r="Y146" s="638"/>
      <c r="Z146" s="638"/>
      <c r="AA146" s="638"/>
      <c r="AB146" s="638"/>
      <c r="AC146" s="638" t="s">
        <v>3050</v>
      </c>
      <c r="AD146" s="638"/>
      <c r="AE146" s="638"/>
      <c r="AF146" s="447">
        <v>5500</v>
      </c>
      <c r="AG146" s="446">
        <v>95346.69</v>
      </c>
      <c r="AH146" s="447">
        <v>2663</v>
      </c>
      <c r="AI146" s="447">
        <v>220</v>
      </c>
      <c r="AJ146" s="638"/>
      <c r="AK146" s="638"/>
      <c r="AL146" s="638" t="s">
        <v>2142</v>
      </c>
      <c r="AM146" s="638" t="s">
        <v>1043</v>
      </c>
      <c r="AN146" s="484">
        <v>5.5</v>
      </c>
      <c r="AO146" s="484"/>
      <c r="AP146" s="484"/>
      <c r="AQ146" s="484"/>
      <c r="AR146" s="484"/>
      <c r="AS146" s="484"/>
      <c r="AT146" s="484">
        <f>+ab($T$146,$T$144,$T$148,$G$145,$G$147, 1*$F$146,1200)</f>
        <v>3.8577704578733663</v>
      </c>
      <c r="AU146" s="484"/>
      <c r="AV146" s="484"/>
      <c r="AW146" s="638" t="str">
        <f>VLOOKUP(C146,'Foundation Calculation'!$A$2:$C$33,3,1)</f>
        <v>Soil A</v>
      </c>
      <c r="AX146" s="572" t="str">
        <f>VLOOKUP(C146,'Foundation Calculation'!$E$2:$G$33,3,1)</f>
        <v>PT</v>
      </c>
      <c r="AY146" s="636">
        <f>IF(AX146="PT",VLOOKUP(L146,'Foundation Calculation'!$K$2:$R$40,VLOOKUP(AW146,'Foundation Calculation'!$I$2:$J$8,2,FALSE),0),IF(AX146="K",VLOOKUP(L146,'Foundation Calculation'!$K$42:$R$80,VLOOKUP(AW146,'Foundation Calculation'!$I$2:$J$8,2,FALSE),0),""))</f>
        <v>4</v>
      </c>
      <c r="AZ146" s="484"/>
      <c r="BA146" s="671" t="s">
        <v>2809</v>
      </c>
      <c r="BB146" s="449" t="str">
        <f>Pole_Calculations!A178</f>
        <v>App.8-V08F-P10.3</v>
      </c>
      <c r="BD146" s="1329">
        <v>43435</v>
      </c>
      <c r="BE146" s="1329" t="s">
        <v>4946</v>
      </c>
      <c r="BF146" s="1329" t="s">
        <v>4946</v>
      </c>
      <c r="BG146" s="1329">
        <v>43786</v>
      </c>
    </row>
    <row r="147" spans="1:59" ht="12.5">
      <c r="A147" s="449"/>
      <c r="B147" s="170"/>
      <c r="C147" s="446"/>
      <c r="D147" s="446"/>
      <c r="E147" s="638"/>
      <c r="F147" s="447"/>
      <c r="G147" s="484">
        <v>39.700000000000003</v>
      </c>
      <c r="H147" s="1239"/>
      <c r="I147" s="1239"/>
      <c r="J147" s="171"/>
      <c r="K147" s="638"/>
      <c r="L147" s="638"/>
      <c r="M147" s="638"/>
      <c r="N147" s="1239"/>
      <c r="O147" s="1239"/>
      <c r="P147" s="1239"/>
      <c r="Q147" s="638"/>
      <c r="R147" s="447"/>
      <c r="S147" s="484">
        <f>AG148-AG146</f>
        <v>39.639999999999418</v>
      </c>
      <c r="T147" s="638"/>
      <c r="U147" s="638"/>
      <c r="V147" s="638"/>
      <c r="W147" s="638"/>
      <c r="X147" s="638"/>
      <c r="Y147" s="638"/>
      <c r="Z147" s="638"/>
      <c r="AA147" s="638"/>
      <c r="AB147" s="638"/>
      <c r="AC147" s="638"/>
      <c r="AD147" s="638"/>
      <c r="AE147" s="638"/>
      <c r="AF147" s="447"/>
      <c r="AG147" s="446"/>
      <c r="AH147" s="447"/>
      <c r="AI147" s="447"/>
      <c r="AJ147" s="638"/>
      <c r="AK147" s="638"/>
      <c r="AL147" s="638"/>
      <c r="AM147" s="638"/>
      <c r="AN147" s="484"/>
      <c r="AO147" s="484"/>
      <c r="AP147" s="484"/>
      <c r="AQ147" s="484">
        <f>+FL_1($T$148,$T$146,$G$147,1200,9.28, 1*$F$148)</f>
        <v>0.3</v>
      </c>
      <c r="AR147" s="484"/>
      <c r="AS147" s="484"/>
      <c r="AT147" s="484"/>
      <c r="AU147" s="484"/>
      <c r="AV147" s="484"/>
      <c r="AW147" s="638"/>
      <c r="AX147" s="638"/>
      <c r="AY147" s="484"/>
      <c r="AZ147" s="484"/>
      <c r="BA147" s="671"/>
      <c r="BB147" s="449"/>
      <c r="BD147" s="1330"/>
      <c r="BE147" s="1330"/>
      <c r="BF147" s="1330"/>
      <c r="BG147" s="1330"/>
    </row>
    <row r="148" spans="1:59" ht="12.5">
      <c r="A148" s="449"/>
      <c r="B148" s="436" t="s">
        <v>1880</v>
      </c>
      <c r="C148" s="446">
        <f>+$C$146+$G$147</f>
        <v>95386.450000000012</v>
      </c>
      <c r="D148" s="446"/>
      <c r="E148" s="638"/>
      <c r="F148" s="447">
        <v>750</v>
      </c>
      <c r="G148" s="484"/>
      <c r="H148" s="1239"/>
      <c r="I148" s="1239"/>
      <c r="J148" s="171"/>
      <c r="K148" s="638"/>
      <c r="L148" s="638" t="s">
        <v>821</v>
      </c>
      <c r="M148" s="1239" t="str">
        <f>IF(AX148="PT",VLOOKUP(L148,'Foundation Calculation'!$V$2:$X$40,VLOOKUP(AX148,'Foundation Calculation'!$I$10:$J$13,2,FALSE),0),IF(AX148="K",VLOOKUP(L148,'Foundation Calculation'!$V$42:$X$80,VLOOKUP(AX148,'Foundation Calculation'!$I$10:$J$13,2,FALSE),0),""))</f>
        <v>C7R</v>
      </c>
      <c r="N148" s="1239" t="s">
        <v>144</v>
      </c>
      <c r="O148" s="1239"/>
      <c r="P148" s="1239"/>
      <c r="Q148" s="638">
        <v>50</v>
      </c>
      <c r="R148" s="447">
        <v>750</v>
      </c>
      <c r="S148" s="484"/>
      <c r="T148" s="638">
        <v>30</v>
      </c>
      <c r="U148" s="638"/>
      <c r="V148" s="638"/>
      <c r="W148" s="638">
        <v>1.4</v>
      </c>
      <c r="X148" s="638"/>
      <c r="Y148" s="638"/>
      <c r="Z148" s="638"/>
      <c r="AA148" s="638"/>
      <c r="AB148" s="638"/>
      <c r="AC148" s="638" t="s">
        <v>3050</v>
      </c>
      <c r="AD148" s="638"/>
      <c r="AE148" s="638"/>
      <c r="AF148" s="447">
        <v>5500</v>
      </c>
      <c r="AG148" s="446">
        <v>95386.33</v>
      </c>
      <c r="AH148" s="447">
        <v>2693</v>
      </c>
      <c r="AI148" s="447">
        <v>180</v>
      </c>
      <c r="AJ148" s="638"/>
      <c r="AK148" s="638"/>
      <c r="AL148" s="638" t="s">
        <v>2142</v>
      </c>
      <c r="AM148" s="638" t="s">
        <v>1043</v>
      </c>
      <c r="AN148" s="484">
        <v>5.44</v>
      </c>
      <c r="AO148" s="484"/>
      <c r="AP148" s="484"/>
      <c r="AQ148" s="484"/>
      <c r="AR148" s="484"/>
      <c r="AS148" s="484"/>
      <c r="AT148" s="484">
        <f>+ab($T$148,$T$146,$T$150,$G$147,$G$149, 1*$F$148,1200)</f>
        <v>3.6158085667100663</v>
      </c>
      <c r="AU148" s="484"/>
      <c r="AV148" s="484"/>
      <c r="AW148" s="638" t="str">
        <f>VLOOKUP(C148,'Foundation Calculation'!$A$2:$C$33,3,1)</f>
        <v>Soil A</v>
      </c>
      <c r="AX148" s="572" t="str">
        <f>VLOOKUP(C148,'Foundation Calculation'!$E$2:$G$33,3,1)</f>
        <v>PT</v>
      </c>
      <c r="AY148" s="636">
        <f>IF(AX148="PT",VLOOKUP(L148,'Foundation Calculation'!$K$2:$R$40,VLOOKUP(AW148,'Foundation Calculation'!$I$2:$J$8,2,FALSE),0),IF(AX148="K",VLOOKUP(L148,'Foundation Calculation'!$K$42:$R$80,VLOOKUP(AW148,'Foundation Calculation'!$I$2:$J$8,2,FALSE),0),""))</f>
        <v>4</v>
      </c>
      <c r="AZ148" s="484"/>
      <c r="BA148" s="671" t="s">
        <v>2809</v>
      </c>
      <c r="BB148" s="449" t="str">
        <f>Pole_Calculations!A178</f>
        <v>App.8-V08F-P10.3</v>
      </c>
      <c r="BD148" s="1329">
        <v>43435</v>
      </c>
      <c r="BE148" s="1329" t="s">
        <v>4946</v>
      </c>
      <c r="BF148" s="1329" t="s">
        <v>4946</v>
      </c>
      <c r="BG148" s="1329">
        <v>43786</v>
      </c>
    </row>
    <row r="149" spans="1:59" ht="12.5">
      <c r="A149" s="449"/>
      <c r="B149" s="170"/>
      <c r="C149" s="446"/>
      <c r="D149" s="446"/>
      <c r="E149" s="638"/>
      <c r="F149" s="447"/>
      <c r="G149" s="484">
        <v>39.799999999999997</v>
      </c>
      <c r="H149" s="1239"/>
      <c r="I149" s="1239"/>
      <c r="J149" s="171"/>
      <c r="K149" s="638"/>
      <c r="L149" s="638"/>
      <c r="M149" s="638"/>
      <c r="N149" s="1239"/>
      <c r="O149" s="1239"/>
      <c r="P149" s="1239"/>
      <c r="Q149" s="638"/>
      <c r="R149" s="447"/>
      <c r="S149" s="484">
        <f>AG150-AG148</f>
        <v>39.669999999998254</v>
      </c>
      <c r="T149" s="638"/>
      <c r="U149" s="638"/>
      <c r="V149" s="638"/>
      <c r="W149" s="638"/>
      <c r="X149" s="638"/>
      <c r="Y149" s="638"/>
      <c r="Z149" s="638"/>
      <c r="AA149" s="638"/>
      <c r="AB149" s="638"/>
      <c r="AC149" s="638"/>
      <c r="AD149" s="638"/>
      <c r="AE149" s="638"/>
      <c r="AF149" s="447"/>
      <c r="AG149" s="446"/>
      <c r="AH149" s="447"/>
      <c r="AI149" s="447"/>
      <c r="AJ149" s="638"/>
      <c r="AK149" s="638"/>
      <c r="AL149" s="638"/>
      <c r="AM149" s="638"/>
      <c r="AN149" s="484"/>
      <c r="AO149" s="484"/>
      <c r="AP149" s="484"/>
      <c r="AQ149" s="484">
        <f>+FL_1($T$150,$T$148,$G$149,1200,9.28, 1*$F$150)</f>
        <v>0.3</v>
      </c>
      <c r="AR149" s="484"/>
      <c r="AS149" s="484"/>
      <c r="AT149" s="484"/>
      <c r="AU149" s="484"/>
      <c r="AV149" s="484"/>
      <c r="AW149" s="638"/>
      <c r="AX149" s="638"/>
      <c r="AY149" s="484"/>
      <c r="AZ149" s="484"/>
      <c r="BA149" s="671"/>
      <c r="BB149" s="449"/>
      <c r="BD149" s="1330"/>
      <c r="BE149" s="1330"/>
      <c r="BF149" s="1330"/>
      <c r="BG149" s="1330"/>
    </row>
    <row r="150" spans="1:59" ht="12.5">
      <c r="A150" s="449"/>
      <c r="B150" s="436" t="s">
        <v>1881</v>
      </c>
      <c r="C150" s="446">
        <f>+$C$148+$G$149</f>
        <v>95426.250000000015</v>
      </c>
      <c r="D150" s="446"/>
      <c r="E150" s="638"/>
      <c r="F150" s="447">
        <v>750</v>
      </c>
      <c r="G150" s="484"/>
      <c r="H150" s="1239"/>
      <c r="I150" s="1239"/>
      <c r="J150" s="171"/>
      <c r="K150" s="638"/>
      <c r="L150" s="638" t="s">
        <v>821</v>
      </c>
      <c r="M150" s="1239" t="str">
        <f>IF(AX150="PT",VLOOKUP(L150,'Foundation Calculation'!$V$2:$X$40,VLOOKUP(AX150,'Foundation Calculation'!$I$10:$J$13,2,FALSE),0),IF(AX150="K",VLOOKUP(L150,'Foundation Calculation'!$V$42:$X$80,VLOOKUP(AX150,'Foundation Calculation'!$I$10:$J$13,2,FALSE),0),""))</f>
        <v>C7R</v>
      </c>
      <c r="N150" s="1239" t="s">
        <v>144</v>
      </c>
      <c r="O150" s="1239"/>
      <c r="P150" s="1239"/>
      <c r="Q150" s="638">
        <v>50</v>
      </c>
      <c r="R150" s="447">
        <v>750</v>
      </c>
      <c r="S150" s="484"/>
      <c r="T150" s="638">
        <v>30</v>
      </c>
      <c r="U150" s="638"/>
      <c r="V150" s="638"/>
      <c r="W150" s="638">
        <v>1.4</v>
      </c>
      <c r="X150" s="638"/>
      <c r="Y150" s="638"/>
      <c r="Z150" s="638"/>
      <c r="AA150" s="638"/>
      <c r="AB150" s="638"/>
      <c r="AC150" s="638" t="s">
        <v>3050</v>
      </c>
      <c r="AD150" s="638"/>
      <c r="AE150" s="638"/>
      <c r="AF150" s="447">
        <v>5500</v>
      </c>
      <c r="AG150" s="446">
        <v>95426</v>
      </c>
      <c r="AH150" s="447">
        <v>2713</v>
      </c>
      <c r="AI150" s="447">
        <v>210</v>
      </c>
      <c r="AJ150" s="638"/>
      <c r="AK150" s="638"/>
      <c r="AL150" s="638" t="s">
        <v>2135</v>
      </c>
      <c r="AM150" s="638" t="s">
        <v>1043</v>
      </c>
      <c r="AN150" s="484">
        <v>5.33</v>
      </c>
      <c r="AO150" s="484"/>
      <c r="AP150" s="484"/>
      <c r="AQ150" s="484"/>
      <c r="AR150" s="484"/>
      <c r="AS150" s="484"/>
      <c r="AT150" s="484">
        <f>+ab($T$150,$T$148,$T$152,$G$149,$G$151, 1*$F$150,1200)</f>
        <v>3.757206459682402</v>
      </c>
      <c r="AU150" s="484"/>
      <c r="AV150" s="484"/>
      <c r="AW150" s="638" t="str">
        <f>VLOOKUP(C150,'Foundation Calculation'!$A$2:$C$33,3,1)</f>
        <v>Soil A</v>
      </c>
      <c r="AX150" s="572" t="str">
        <f>VLOOKUP(C150,'Foundation Calculation'!$E$2:$G$33,3,1)</f>
        <v>PT</v>
      </c>
      <c r="AY150" s="636">
        <f>IF(AX150="PT",VLOOKUP(L150,'Foundation Calculation'!$K$2:$R$40,VLOOKUP(AW150,'Foundation Calculation'!$I$2:$J$8,2,FALSE),0),IF(AX150="K",VLOOKUP(L150,'Foundation Calculation'!$K$42:$R$80,VLOOKUP(AW150,'Foundation Calculation'!$I$2:$J$8,2,FALSE),0),""))</f>
        <v>4</v>
      </c>
      <c r="AZ150" s="484"/>
      <c r="BA150" s="671" t="s">
        <v>2809</v>
      </c>
      <c r="BB150" s="449" t="str">
        <f>Pole_Calculations!A178</f>
        <v>App.8-V08F-P10.3</v>
      </c>
      <c r="BD150" s="1329">
        <v>43435</v>
      </c>
      <c r="BE150" s="1329" t="s">
        <v>4946</v>
      </c>
      <c r="BF150" s="1329" t="s">
        <v>4946</v>
      </c>
      <c r="BG150" s="1329">
        <v>43786</v>
      </c>
    </row>
    <row r="151" spans="1:59" ht="12.5">
      <c r="A151" s="449"/>
      <c r="B151" s="170"/>
      <c r="C151" s="446"/>
      <c r="D151" s="446"/>
      <c r="E151" s="638"/>
      <c r="F151" s="447"/>
      <c r="G151" s="484">
        <v>36.700000000000003</v>
      </c>
      <c r="H151" s="1239"/>
      <c r="I151" s="1239"/>
      <c r="J151" s="171"/>
      <c r="K151" s="638"/>
      <c r="L151" s="638"/>
      <c r="M151" s="638"/>
      <c r="N151" s="1239"/>
      <c r="O151" s="1239"/>
      <c r="P151" s="1239"/>
      <c r="Q151" s="638"/>
      <c r="R151" s="447"/>
      <c r="S151" s="484">
        <f>AG152-AG150</f>
        <v>37</v>
      </c>
      <c r="T151" s="638"/>
      <c r="U151" s="638"/>
      <c r="V151" s="638"/>
      <c r="W151" s="638"/>
      <c r="X151" s="638"/>
      <c r="Y151" s="638"/>
      <c r="Z151" s="638"/>
      <c r="AA151" s="638"/>
      <c r="AB151" s="638"/>
      <c r="AC151" s="638"/>
      <c r="AD151" s="638"/>
      <c r="AE151" s="638"/>
      <c r="AF151" s="447"/>
      <c r="AG151" s="446"/>
      <c r="AH151" s="447"/>
      <c r="AI151" s="447"/>
      <c r="AJ151" s="638"/>
      <c r="AK151" s="638"/>
      <c r="AL151" s="638"/>
      <c r="AM151" s="638"/>
      <c r="AN151" s="484"/>
      <c r="AO151" s="484"/>
      <c r="AP151" s="484"/>
      <c r="AQ151" s="484">
        <f>+FL_1($T$152,$T$150,$G$151,1200,9.28, 1*$F$152)</f>
        <v>0.30000000000000004</v>
      </c>
      <c r="AR151" s="484"/>
      <c r="AS151" s="484"/>
      <c r="AT151" s="484"/>
      <c r="AU151" s="484"/>
      <c r="AV151" s="484"/>
      <c r="AW151" s="638"/>
      <c r="AX151" s="638"/>
      <c r="AY151" s="484"/>
      <c r="AZ151" s="484"/>
      <c r="BA151" s="671"/>
      <c r="BB151" s="449"/>
      <c r="BD151" s="1330"/>
      <c r="BE151" s="1330"/>
      <c r="BF151" s="1330"/>
      <c r="BG151" s="1330"/>
    </row>
    <row r="152" spans="1:59" ht="12.5">
      <c r="A152" s="449"/>
      <c r="B152" s="436" t="s">
        <v>1882</v>
      </c>
      <c r="C152" s="446">
        <f>+$C$150+$G$151</f>
        <v>95462.950000000012</v>
      </c>
      <c r="D152" s="446"/>
      <c r="E152" s="638"/>
      <c r="F152" s="447">
        <v>750</v>
      </c>
      <c r="G152" s="484"/>
      <c r="H152" s="1239"/>
      <c r="I152" s="1239"/>
      <c r="J152" s="171"/>
      <c r="K152" s="638"/>
      <c r="L152" s="638" t="s">
        <v>821</v>
      </c>
      <c r="M152" s="1239" t="str">
        <f>IF(AX152="PT",VLOOKUP(L152,'Foundation Calculation'!$V$2:$X$40,VLOOKUP(AX152,'Foundation Calculation'!$I$10:$J$13,2,FALSE),0),IF(AX152="K",VLOOKUP(L152,'Foundation Calculation'!$V$42:$X$80,VLOOKUP(AX152,'Foundation Calculation'!$I$10:$J$13,2,FALSE),0),""))</f>
        <v>C7R</v>
      </c>
      <c r="N152" s="1239" t="s">
        <v>144</v>
      </c>
      <c r="O152" s="1239"/>
      <c r="P152" s="1239"/>
      <c r="Q152" s="638">
        <v>50</v>
      </c>
      <c r="R152" s="447">
        <v>750</v>
      </c>
      <c r="S152" s="484"/>
      <c r="T152" s="638">
        <v>30</v>
      </c>
      <c r="U152" s="638"/>
      <c r="V152" s="638"/>
      <c r="W152" s="638">
        <v>1.4</v>
      </c>
      <c r="X152" s="638"/>
      <c r="Y152" s="638"/>
      <c r="Z152" s="638"/>
      <c r="AA152" s="638"/>
      <c r="AB152" s="638"/>
      <c r="AC152" s="638" t="s">
        <v>3050</v>
      </c>
      <c r="AD152" s="638"/>
      <c r="AE152" s="638"/>
      <c r="AF152" s="447">
        <v>4700</v>
      </c>
      <c r="AG152" s="446">
        <v>95463</v>
      </c>
      <c r="AH152" s="447">
        <v>3033</v>
      </c>
      <c r="AI152" s="447">
        <v>-170</v>
      </c>
      <c r="AJ152" s="638"/>
      <c r="AK152" s="638"/>
      <c r="AL152" s="638" t="s">
        <v>2135</v>
      </c>
      <c r="AM152" s="638" t="s">
        <v>1043</v>
      </c>
      <c r="AN152" s="484">
        <v>5.22</v>
      </c>
      <c r="AO152" s="484"/>
      <c r="AP152" s="484"/>
      <c r="AQ152" s="484"/>
      <c r="AR152" s="484"/>
      <c r="AS152" s="484"/>
      <c r="AT152" s="484">
        <f>+ab($T$152,$T$150,$T$154,$G$151,$G$153, 1*$F$152,1200)</f>
        <v>3.5273039011734952</v>
      </c>
      <c r="AU152" s="484"/>
      <c r="AV152" s="484"/>
      <c r="AW152" s="638" t="str">
        <f>VLOOKUP(C152,'Foundation Calculation'!$A$2:$C$33,3,1)</f>
        <v>Soil A</v>
      </c>
      <c r="AX152" s="572" t="str">
        <f>VLOOKUP(C152,'Foundation Calculation'!$E$2:$G$33,3,1)</f>
        <v>PT</v>
      </c>
      <c r="AY152" s="636">
        <f>IF(AX152="PT",VLOOKUP(L152,'Foundation Calculation'!$K$2:$R$40,VLOOKUP(AW152,'Foundation Calculation'!$I$2:$J$8,2,FALSE),0),IF(AX152="K",VLOOKUP(L152,'Foundation Calculation'!$K$42:$R$80,VLOOKUP(AW152,'Foundation Calculation'!$I$2:$J$8,2,FALSE),0),""))</f>
        <v>4</v>
      </c>
      <c r="AZ152" s="484"/>
      <c r="BA152" s="671" t="s">
        <v>2809</v>
      </c>
      <c r="BB152" s="449" t="str">
        <f>Pole_Calculations!A178</f>
        <v>App.8-V08F-P10.3</v>
      </c>
      <c r="BD152" s="1329">
        <v>43435</v>
      </c>
      <c r="BE152" s="1329" t="s">
        <v>4946</v>
      </c>
      <c r="BF152" s="1329" t="s">
        <v>4946</v>
      </c>
      <c r="BG152" s="1329">
        <v>43786</v>
      </c>
    </row>
    <row r="153" spans="1:59" ht="12.5">
      <c r="A153" s="449"/>
      <c r="B153" s="170"/>
      <c r="C153" s="446"/>
      <c r="D153" s="446"/>
      <c r="E153" s="638"/>
      <c r="F153" s="447"/>
      <c r="G153" s="484">
        <v>44.8</v>
      </c>
      <c r="H153" s="1239"/>
      <c r="I153" s="1239"/>
      <c r="J153" s="171"/>
      <c r="K153" s="638"/>
      <c r="L153" s="638"/>
      <c r="M153" s="638"/>
      <c r="N153" s="1239"/>
      <c r="O153" s="1239"/>
      <c r="P153" s="1239"/>
      <c r="Q153" s="638"/>
      <c r="R153" s="447"/>
      <c r="S153" s="484">
        <f>AG154-AG152</f>
        <v>43.679999999993015</v>
      </c>
      <c r="T153" s="638"/>
      <c r="U153" s="638"/>
      <c r="V153" s="638"/>
      <c r="W153" s="638"/>
      <c r="X153" s="638"/>
      <c r="Y153" s="638"/>
      <c r="Z153" s="638"/>
      <c r="AA153" s="638"/>
      <c r="AB153" s="638"/>
      <c r="AC153" s="638"/>
      <c r="AD153" s="638"/>
      <c r="AE153" s="638"/>
      <c r="AF153" s="447"/>
      <c r="AG153" s="446"/>
      <c r="AH153" s="447"/>
      <c r="AI153" s="447"/>
      <c r="AJ153" s="638"/>
      <c r="AK153" s="638"/>
      <c r="AL153" s="638"/>
      <c r="AM153" s="638"/>
      <c r="AN153" s="484"/>
      <c r="AO153" s="484"/>
      <c r="AP153" s="484"/>
      <c r="AQ153" s="484">
        <f>+FL_1($T$154,$T$152,$G$153,1200,9.28, 1*$F$154)</f>
        <v>0.30008058976101537</v>
      </c>
      <c r="AR153" s="484"/>
      <c r="AS153" s="484"/>
      <c r="AT153" s="484"/>
      <c r="AU153" s="484"/>
      <c r="AV153" s="484"/>
      <c r="AW153" s="638"/>
      <c r="AX153" s="638"/>
      <c r="AY153" s="484"/>
      <c r="AZ153" s="484"/>
      <c r="BA153" s="671"/>
      <c r="BB153" s="449"/>
      <c r="BD153" s="1330"/>
      <c r="BE153" s="1330"/>
      <c r="BF153" s="1330"/>
      <c r="BG153" s="1330"/>
    </row>
    <row r="154" spans="1:59" ht="12.5">
      <c r="A154" s="449"/>
      <c r="B154" s="436" t="s">
        <v>1883</v>
      </c>
      <c r="C154" s="446">
        <f>+$C$152+$G$153</f>
        <v>95507.750000000015</v>
      </c>
      <c r="D154" s="446"/>
      <c r="E154" s="638"/>
      <c r="F154" s="447">
        <v>882.59</v>
      </c>
      <c r="G154" s="484"/>
      <c r="H154" s="1239"/>
      <c r="I154" s="1239"/>
      <c r="J154" s="171"/>
      <c r="K154" s="638"/>
      <c r="L154" s="638" t="s">
        <v>821</v>
      </c>
      <c r="M154" s="1239" t="str">
        <f>IF(AX154="PT",VLOOKUP(L154,'Foundation Calculation'!$V$2:$X$40,VLOOKUP(AX154,'Foundation Calculation'!$I$10:$J$13,2,FALSE),0),IF(AX154="K",VLOOKUP(L154,'Foundation Calculation'!$V$42:$X$80,VLOOKUP(AX154,'Foundation Calculation'!$I$10:$J$13,2,FALSE),0),""))</f>
        <v>C7R</v>
      </c>
      <c r="N154" s="1239" t="s">
        <v>144</v>
      </c>
      <c r="O154" s="1239"/>
      <c r="P154" s="1239"/>
      <c r="Q154" s="638">
        <v>50</v>
      </c>
      <c r="R154" s="447">
        <v>882.89</v>
      </c>
      <c r="S154" s="484"/>
      <c r="T154" s="638">
        <v>30</v>
      </c>
      <c r="U154" s="638"/>
      <c r="V154" s="638"/>
      <c r="W154" s="638">
        <v>1</v>
      </c>
      <c r="X154" s="638"/>
      <c r="Y154" s="638"/>
      <c r="Z154" s="638"/>
      <c r="AA154" s="638"/>
      <c r="AB154" s="638"/>
      <c r="AC154" s="638" t="s">
        <v>3050</v>
      </c>
      <c r="AD154" s="638"/>
      <c r="AE154" s="638"/>
      <c r="AF154" s="447">
        <v>4700</v>
      </c>
      <c r="AG154" s="446">
        <v>95506.68</v>
      </c>
      <c r="AH154" s="447">
        <v>3603</v>
      </c>
      <c r="AI154" s="447">
        <v>-310</v>
      </c>
      <c r="AJ154" s="638"/>
      <c r="AK154" s="638"/>
      <c r="AL154" s="638" t="s">
        <v>2135</v>
      </c>
      <c r="AM154" s="638" t="s">
        <v>1043</v>
      </c>
      <c r="AN154" s="484">
        <v>5.15</v>
      </c>
      <c r="AO154" s="484"/>
      <c r="AP154" s="484"/>
      <c r="AQ154" s="484"/>
      <c r="AR154" s="484"/>
      <c r="AS154" s="484"/>
      <c r="AT154" s="484">
        <f>+ab($T$154,$T$152,$T$156,$G$153,$G$155, 1*$F$154,1200)</f>
        <v>2.8049977098198822</v>
      </c>
      <c r="AU154" s="484"/>
      <c r="AV154" s="484"/>
      <c r="AW154" s="638" t="str">
        <f>VLOOKUP(C154,'Foundation Calculation'!$A$2:$C$33,3,1)</f>
        <v>Soil A</v>
      </c>
      <c r="AX154" s="572" t="str">
        <f>VLOOKUP(C154,'Foundation Calculation'!$E$2:$G$33,3,1)</f>
        <v>PT</v>
      </c>
      <c r="AY154" s="636">
        <f>IF(AX154="PT",VLOOKUP(L154,'Foundation Calculation'!$K$2:$R$40,VLOOKUP(AW154,'Foundation Calculation'!$I$2:$J$8,2,FALSE),0),IF(AX154="K",VLOOKUP(L154,'Foundation Calculation'!$K$42:$R$80,VLOOKUP(AW154,'Foundation Calculation'!$I$2:$J$8,2,FALSE),0),""))</f>
        <v>4</v>
      </c>
      <c r="AZ154" s="484"/>
      <c r="BA154" s="671" t="s">
        <v>2809</v>
      </c>
      <c r="BB154" s="449" t="str">
        <f>Pole_Calculations!A178</f>
        <v>App.8-V08F-P10.3</v>
      </c>
      <c r="BD154" s="1329">
        <v>43435</v>
      </c>
      <c r="BE154" s="1329" t="s">
        <v>4946</v>
      </c>
      <c r="BF154" s="1329" t="s">
        <v>4946</v>
      </c>
      <c r="BG154" s="1329">
        <v>43786</v>
      </c>
    </row>
    <row r="155" spans="1:59" ht="12.5">
      <c r="A155" s="488" t="s">
        <v>1851</v>
      </c>
      <c r="B155" s="494"/>
      <c r="C155" s="489"/>
      <c r="D155" s="489"/>
      <c r="E155" s="490"/>
      <c r="F155" s="491"/>
      <c r="G155" s="493">
        <v>55</v>
      </c>
      <c r="H155" s="495"/>
      <c r="I155" s="495"/>
      <c r="J155" s="431"/>
      <c r="K155" s="490"/>
      <c r="L155" s="490"/>
      <c r="M155" s="490"/>
      <c r="N155" s="495"/>
      <c r="O155" s="495"/>
      <c r="P155" s="495"/>
      <c r="Q155" s="490"/>
      <c r="R155" s="491"/>
      <c r="S155" s="493">
        <f>AG156-AG154</f>
        <v>56.120000000009895</v>
      </c>
      <c r="T155" s="490"/>
      <c r="U155" s="490"/>
      <c r="V155" s="490"/>
      <c r="W155" s="490"/>
      <c r="X155" s="490"/>
      <c r="Y155" s="490"/>
      <c r="Z155" s="490"/>
      <c r="AA155" s="490"/>
      <c r="AB155" s="490"/>
      <c r="AC155" s="490"/>
      <c r="AD155" s="490"/>
      <c r="AE155" s="490"/>
      <c r="AF155" s="491"/>
      <c r="AG155" s="489"/>
      <c r="AH155" s="491"/>
      <c r="AI155" s="491"/>
      <c r="AJ155" s="490"/>
      <c r="AK155" s="490"/>
      <c r="AL155" s="490"/>
      <c r="AM155" s="490"/>
      <c r="AN155" s="493"/>
      <c r="AO155" s="493"/>
      <c r="AP155" s="493"/>
      <c r="AQ155" s="493">
        <f>+FL_2($T$156,$T$154,$G$155,1200,9.28, 1*$F$156)</f>
        <v>-0.40772017018181811</v>
      </c>
      <c r="AR155" s="493"/>
      <c r="AS155" s="493"/>
      <c r="AT155" s="493"/>
      <c r="AU155" s="493"/>
      <c r="AV155" s="493"/>
      <c r="AW155" s="490"/>
      <c r="AX155" s="490"/>
      <c r="AY155" s="493"/>
      <c r="AZ155" s="493"/>
      <c r="BA155" s="602"/>
      <c r="BB155" s="488"/>
      <c r="BD155" s="1330"/>
      <c r="BE155" s="1330"/>
      <c r="BF155" s="1330"/>
      <c r="BG155" s="1330"/>
    </row>
    <row r="156" spans="1:59" ht="12.5">
      <c r="A156" s="449"/>
      <c r="B156" s="435" t="s">
        <v>1884</v>
      </c>
      <c r="C156" s="446">
        <f>+$C$154+$G$155</f>
        <v>95562.750000000015</v>
      </c>
      <c r="D156" s="173"/>
      <c r="E156" s="447"/>
      <c r="F156" s="447">
        <v>0</v>
      </c>
      <c r="G156" s="484"/>
      <c r="H156" s="1239"/>
      <c r="I156" s="1239"/>
      <c r="J156" s="171"/>
      <c r="K156" s="638"/>
      <c r="L156" s="638" t="s">
        <v>821</v>
      </c>
      <c r="M156" s="638" t="s">
        <v>1687</v>
      </c>
      <c r="N156" s="1239" t="s">
        <v>2794</v>
      </c>
      <c r="O156" s="1239"/>
      <c r="P156" s="1239"/>
      <c r="Q156" s="638">
        <v>10</v>
      </c>
      <c r="R156" s="638">
        <v>775.87</v>
      </c>
      <c r="S156" s="484"/>
      <c r="T156" s="638">
        <v>-35</v>
      </c>
      <c r="U156" s="638"/>
      <c r="V156" s="638"/>
      <c r="W156" s="638">
        <v>1</v>
      </c>
      <c r="X156" s="638"/>
      <c r="Y156" s="638"/>
      <c r="Z156" s="638"/>
      <c r="AA156" s="638"/>
      <c r="AB156" s="638"/>
      <c r="AC156" s="638" t="s">
        <v>3050</v>
      </c>
      <c r="AD156" s="638"/>
      <c r="AE156" s="638"/>
      <c r="AF156" s="638">
        <v>100</v>
      </c>
      <c r="AG156" s="446">
        <v>95562.8</v>
      </c>
      <c r="AH156" s="638">
        <v>1943</v>
      </c>
      <c r="AI156" s="638">
        <v>-5000</v>
      </c>
      <c r="AJ156" s="638"/>
      <c r="AK156" s="638" t="s">
        <v>139</v>
      </c>
      <c r="AL156" s="638" t="s">
        <v>2135</v>
      </c>
      <c r="AM156" s="638" t="s">
        <v>1043</v>
      </c>
      <c r="AN156" s="455">
        <v>5.15</v>
      </c>
      <c r="AO156" s="1239"/>
      <c r="AP156" s="1239"/>
      <c r="AQ156" s="484"/>
      <c r="AR156" s="484"/>
      <c r="AS156" s="484"/>
      <c r="AT156" s="484">
        <f>+ab($T$156,$T$154,$T$158,$G$155,$G$157, 1*$F$156,1200)</f>
        <v>-9.0483597339290966</v>
      </c>
      <c r="AU156" s="638"/>
      <c r="AV156" s="638"/>
      <c r="AW156" s="638" t="s">
        <v>4877</v>
      </c>
      <c r="AX156" s="638"/>
      <c r="AY156" s="484"/>
      <c r="AZ156" s="484" t="s">
        <v>638</v>
      </c>
      <c r="BA156" s="671" t="s">
        <v>2809</v>
      </c>
      <c r="BB156" s="449" t="str">
        <f>Pole_Calculations!A178</f>
        <v>App.8-V08F-P10.3</v>
      </c>
      <c r="BD156" s="1329" t="s">
        <v>4946</v>
      </c>
      <c r="BE156" s="1329" t="s">
        <v>4946</v>
      </c>
      <c r="BF156" s="1329" t="s">
        <v>4946</v>
      </c>
      <c r="BG156" s="1329">
        <v>43839</v>
      </c>
    </row>
    <row r="157" spans="1:59" ht="12.5">
      <c r="A157" s="449"/>
      <c r="B157" s="170"/>
      <c r="C157" s="446"/>
      <c r="D157" s="446"/>
      <c r="E157" s="638"/>
      <c r="F157" s="447"/>
      <c r="G157" s="484">
        <v>59.7</v>
      </c>
      <c r="H157" s="1239"/>
      <c r="I157" s="1239"/>
      <c r="J157" s="171">
        <f>C158-7.5</f>
        <v>95614.950000000012</v>
      </c>
      <c r="K157" s="638" t="s">
        <v>2787</v>
      </c>
      <c r="L157" s="638"/>
      <c r="M157" s="638"/>
      <c r="N157" s="1239"/>
      <c r="O157" s="1239"/>
      <c r="P157" s="1239"/>
      <c r="Q157" s="638"/>
      <c r="R157" s="447"/>
      <c r="S157" s="484">
        <f>AG158-AG156</f>
        <v>61.55000000000291</v>
      </c>
      <c r="T157" s="638"/>
      <c r="U157" s="638"/>
      <c r="V157" s="638"/>
      <c r="W157" s="638"/>
      <c r="X157" s="638"/>
      <c r="Y157" s="638"/>
      <c r="Z157" s="638"/>
      <c r="AA157" s="638"/>
      <c r="AB157" s="638"/>
      <c r="AC157" s="638"/>
      <c r="AD157" s="638"/>
      <c r="AE157" s="638"/>
      <c r="AF157" s="447"/>
      <c r="AG157" s="446"/>
      <c r="AH157" s="447"/>
      <c r="AI157" s="447"/>
      <c r="AJ157" s="638"/>
      <c r="AK157" s="638"/>
      <c r="AL157" s="638"/>
      <c r="AM157" s="638"/>
      <c r="AN157" s="484"/>
      <c r="AO157" s="484"/>
      <c r="AP157" s="484"/>
      <c r="AQ157" s="484">
        <f>+FL_1($T$158,$T$156,$G$157,1200,9.28, 1*$F$158)</f>
        <v>0.32440438609045236</v>
      </c>
      <c r="AR157" s="484"/>
      <c r="AS157" s="484"/>
      <c r="AT157" s="484"/>
      <c r="AU157" s="484"/>
      <c r="AV157" s="484"/>
      <c r="AW157" s="638" t="str">
        <f>VLOOKUP(J157,'Foundation Calculation'!$A$2:$C$33,3,1)</f>
        <v>Soil A</v>
      </c>
      <c r="AX157" s="572" t="str">
        <f>VLOOKUP(J157,'Foundation Calculation'!$E$2:$G$33,3,1)</f>
        <v>PT</v>
      </c>
      <c r="AY157" s="484"/>
      <c r="AZ157" s="484">
        <f>IF(AX157="PT",VLOOKUP(K157,'Foundation Calculation'!$K$2:$R$40,VLOOKUP(AW157,'Foundation Calculation'!$I$2:$J$8,2,FALSE),0),IF(AX157="K",VLOOKUP(K157,'Foundation Calculation'!$K$42:$R$80,VLOOKUP(AW157,'Foundation Calculation'!$I$2:$J$8,2,FALSE),0),""))</f>
        <v>3.3</v>
      </c>
      <c r="BA157" s="671" t="s">
        <v>2809</v>
      </c>
      <c r="BB157" s="449"/>
      <c r="BD157" s="1329" t="s">
        <v>4946</v>
      </c>
      <c r="BE157" s="1330"/>
      <c r="BF157" s="1330"/>
      <c r="BG157" s="1330"/>
    </row>
    <row r="158" spans="1:59" ht="12.5">
      <c r="A158" s="449"/>
      <c r="B158" s="436" t="s">
        <v>1885</v>
      </c>
      <c r="C158" s="446">
        <f>+$C$156+$G$157</f>
        <v>95622.450000000012</v>
      </c>
      <c r="D158" s="446"/>
      <c r="E158" s="638"/>
      <c r="F158" s="447">
        <v>0</v>
      </c>
      <c r="G158" s="484"/>
      <c r="H158" s="1239" t="s">
        <v>138</v>
      </c>
      <c r="I158" s="1239" t="s">
        <v>623</v>
      </c>
      <c r="J158" s="171"/>
      <c r="K158" s="638"/>
      <c r="L158" s="638" t="s">
        <v>821</v>
      </c>
      <c r="M158" s="1239" t="str">
        <f>IF(AX158="PT",VLOOKUP(L158,'Foundation Calculation'!$V$2:$X$40,VLOOKUP(AX158,'Foundation Calculation'!$I$10:$J$13,2,FALSE),0),IF(AX158="K",VLOOKUP(L158,'Foundation Calculation'!$V$42:$X$80,VLOOKUP(AX158,'Foundation Calculation'!$I$10:$J$13,2,FALSE),0),""))</f>
        <v>C7R</v>
      </c>
      <c r="N158" s="1239" t="s">
        <v>144</v>
      </c>
      <c r="O158" s="1239"/>
      <c r="P158" s="1239"/>
      <c r="Q158" s="638">
        <v>0</v>
      </c>
      <c r="R158" s="447">
        <v>0</v>
      </c>
      <c r="S158" s="484"/>
      <c r="T158" s="638">
        <v>20</v>
      </c>
      <c r="U158" s="638"/>
      <c r="V158" s="638"/>
      <c r="W158" s="638">
        <v>1.4</v>
      </c>
      <c r="X158" s="638"/>
      <c r="Y158" s="638"/>
      <c r="Z158" s="638"/>
      <c r="AA158" s="638"/>
      <c r="AB158" s="638"/>
      <c r="AC158" s="638" t="s">
        <v>1421</v>
      </c>
      <c r="AD158" s="638"/>
      <c r="AE158" s="638"/>
      <c r="AF158" s="447">
        <v>4700</v>
      </c>
      <c r="AG158" s="446">
        <v>95624.35</v>
      </c>
      <c r="AH158" s="447">
        <v>2533</v>
      </c>
      <c r="AI158" s="447">
        <v>-110</v>
      </c>
      <c r="AJ158" s="638"/>
      <c r="AK158" s="638"/>
      <c r="AL158" s="638" t="s">
        <v>2135</v>
      </c>
      <c r="AM158" s="638" t="s">
        <v>1043</v>
      </c>
      <c r="AN158" s="484">
        <v>5.24</v>
      </c>
      <c r="AO158" s="484"/>
      <c r="AP158" s="484"/>
      <c r="AQ158" s="484"/>
      <c r="AR158" s="484"/>
      <c r="AS158" s="484"/>
      <c r="AT158" s="484">
        <f>+ab($T$158,$T$156,$U$160,$G$157,$G$159, 1*$F$158,1200)</f>
        <v>9.7864851061713072</v>
      </c>
      <c r="AU158" s="484"/>
      <c r="AV158" s="484"/>
      <c r="AW158" s="638" t="str">
        <f>VLOOKUP(C158,'Foundation Calculation'!$A$2:$C$33,3,1)</f>
        <v>Soil A</v>
      </c>
      <c r="AX158" s="572" t="str">
        <f>VLOOKUP(C158,'Foundation Calculation'!$E$2:$G$33,3,1)</f>
        <v>PT</v>
      </c>
      <c r="AY158" s="636">
        <f>IF(AX158="PT",VLOOKUP(L158,'Foundation Calculation'!$K$2:$R$40,VLOOKUP(AW158,'Foundation Calculation'!$I$2:$J$8,2,FALSE),0),IF(AX158="K",VLOOKUP(L158,'Foundation Calculation'!$K$42:$R$80,VLOOKUP(AW158,'Foundation Calculation'!$I$2:$J$8,2,FALSE),0),""))</f>
        <v>4</v>
      </c>
      <c r="AZ158" s="484"/>
      <c r="BA158" s="671" t="s">
        <v>2809</v>
      </c>
      <c r="BB158" s="449" t="str">
        <f>Pole_Calculations!A178</f>
        <v>App.8-V08F-P10.3</v>
      </c>
      <c r="BD158" s="1329">
        <v>43435</v>
      </c>
      <c r="BE158" s="1329" t="s">
        <v>4946</v>
      </c>
      <c r="BF158" s="1329" t="s">
        <v>4946</v>
      </c>
      <c r="BG158" s="1329">
        <v>43786</v>
      </c>
    </row>
    <row r="159" spans="1:59" ht="12.5">
      <c r="A159" s="449"/>
      <c r="B159" s="170"/>
      <c r="C159" s="446"/>
      <c r="D159" s="446"/>
      <c r="E159" s="638"/>
      <c r="F159" s="447"/>
      <c r="G159" s="484">
        <v>49</v>
      </c>
      <c r="H159" s="1239"/>
      <c r="I159" s="1239"/>
      <c r="J159" s="171"/>
      <c r="K159" s="638"/>
      <c r="L159" s="638"/>
      <c r="M159" s="638"/>
      <c r="N159" s="1239"/>
      <c r="O159" s="1239"/>
      <c r="P159" s="1239"/>
      <c r="Q159" s="638"/>
      <c r="R159" s="447"/>
      <c r="S159" s="484">
        <f>AG160-AG158</f>
        <v>47.19999999999709</v>
      </c>
      <c r="T159" s="638"/>
      <c r="U159" s="638"/>
      <c r="V159" s="638"/>
      <c r="W159" s="638"/>
      <c r="X159" s="638"/>
      <c r="Y159" s="638"/>
      <c r="Z159" s="638"/>
      <c r="AA159" s="638"/>
      <c r="AB159" s="638"/>
      <c r="AC159" s="638"/>
      <c r="AD159" s="638"/>
      <c r="AE159" s="638"/>
      <c r="AF159" s="447"/>
      <c r="AG159" s="446"/>
      <c r="AH159" s="447"/>
      <c r="AI159" s="447"/>
      <c r="AJ159" s="638"/>
      <c r="AK159" s="638"/>
      <c r="AL159" s="638"/>
      <c r="AM159" s="638"/>
      <c r="AN159" s="484"/>
      <c r="AO159" s="484"/>
      <c r="AP159" s="484"/>
      <c r="AQ159" s="484">
        <f>+FL_1($U$160,$T$158,$G$159,1200,9.28, 1*$F$160)</f>
        <v>0.4737913546254594</v>
      </c>
      <c r="AR159" s="484"/>
      <c r="AS159" s="484"/>
      <c r="AT159" s="484"/>
      <c r="AU159" s="484"/>
      <c r="AV159" s="484"/>
      <c r="AW159" s="638"/>
      <c r="AX159" s="638"/>
      <c r="AY159" s="484"/>
      <c r="AZ159" s="484"/>
      <c r="BA159" s="671"/>
      <c r="BB159" s="449"/>
      <c r="BD159" s="1330"/>
      <c r="BE159" s="1330"/>
      <c r="BF159" s="1330"/>
      <c r="BG159" s="1330"/>
    </row>
    <row r="160" spans="1:59" ht="12.5">
      <c r="A160" s="449"/>
      <c r="B160" s="436" t="s">
        <v>1886</v>
      </c>
      <c r="C160" s="446">
        <f>+$C$158+$G$159</f>
        <v>95671.450000000012</v>
      </c>
      <c r="D160" s="446"/>
      <c r="E160" s="638"/>
      <c r="F160" s="447">
        <v>-1154.72</v>
      </c>
      <c r="G160" s="484"/>
      <c r="H160" s="1239" t="s">
        <v>619</v>
      </c>
      <c r="I160" s="1239"/>
      <c r="J160" s="171"/>
      <c r="K160" s="638"/>
      <c r="L160" s="638" t="s">
        <v>821</v>
      </c>
      <c r="M160" s="1239" t="str">
        <f>IF(AX160="PT",VLOOKUP(L160,'Foundation Calculation'!$V$2:$X$40,VLOOKUP(AX160,'Foundation Calculation'!$I$10:$J$13,2,FALSE),0),IF(AX160="K",VLOOKUP(L160,'Foundation Calculation'!$V$42:$X$80,VLOOKUP(AX160,'Foundation Calculation'!$I$10:$J$13,2,FALSE),0),""))</f>
        <v>C7R</v>
      </c>
      <c r="N160" s="1239" t="s">
        <v>140</v>
      </c>
      <c r="O160" s="1239" t="s">
        <v>143</v>
      </c>
      <c r="P160" s="1239"/>
      <c r="Q160" s="638">
        <v>30</v>
      </c>
      <c r="R160" s="447">
        <v>-1154.72</v>
      </c>
      <c r="S160" s="484"/>
      <c r="T160" s="638">
        <v>15</v>
      </c>
      <c r="U160" s="638">
        <v>-30</v>
      </c>
      <c r="V160" s="638"/>
      <c r="W160" s="638">
        <v>1.4</v>
      </c>
      <c r="X160" s="638">
        <v>2.2999999999999998</v>
      </c>
      <c r="Y160" s="638"/>
      <c r="Z160" s="638">
        <v>0.55000000000000004</v>
      </c>
      <c r="AA160" s="638"/>
      <c r="AB160" s="638"/>
      <c r="AC160" s="638" t="s">
        <v>4880</v>
      </c>
      <c r="AD160" s="638"/>
      <c r="AE160" s="638"/>
      <c r="AF160" s="447">
        <v>5300</v>
      </c>
      <c r="AG160" s="446">
        <v>95671.55</v>
      </c>
      <c r="AH160" s="447">
        <v>2533</v>
      </c>
      <c r="AI160" s="447">
        <v>330</v>
      </c>
      <c r="AJ160" s="638"/>
      <c r="AK160" s="638"/>
      <c r="AL160" s="638" t="s">
        <v>2135</v>
      </c>
      <c r="AM160" s="638" t="s">
        <v>1043</v>
      </c>
      <c r="AN160" s="484">
        <v>5.34</v>
      </c>
      <c r="AO160" s="484"/>
      <c r="AP160" s="484"/>
      <c r="AQ160" s="484"/>
      <c r="AR160" s="484"/>
      <c r="AS160" s="484"/>
      <c r="AT160" s="484">
        <f>+ab($U$160,$T$158,$T$162,$G$159,$G$161, 1*$F$160,1200)</f>
        <v>-3.6021486325972067</v>
      </c>
      <c r="AU160" s="484"/>
      <c r="AV160" s="484"/>
      <c r="AW160" s="638" t="str">
        <f>VLOOKUP(C160,'Foundation Calculation'!$A$2:$C$33,3,1)</f>
        <v>Soil A</v>
      </c>
      <c r="AX160" s="572" t="str">
        <f>VLOOKUP(C160,'Foundation Calculation'!$E$2:$G$33,3,1)</f>
        <v>PT</v>
      </c>
      <c r="AY160" s="636">
        <f>IF(AX160="PT",VLOOKUP(L160,'Foundation Calculation'!$K$2:$R$40,VLOOKUP(AW160,'Foundation Calculation'!$I$2:$J$8,2,FALSE),0),IF(AX160="K",VLOOKUP(L160,'Foundation Calculation'!$K$42:$R$80,VLOOKUP(AW160,'Foundation Calculation'!$I$2:$J$8,2,FALSE),0),""))</f>
        <v>4</v>
      </c>
      <c r="AZ160" s="484"/>
      <c r="BA160" s="671" t="s">
        <v>2809</v>
      </c>
      <c r="BB160" s="449" t="str">
        <f>Pole_Calculations!A178</f>
        <v>App.8-V08F-P10.3</v>
      </c>
      <c r="BD160" s="1329">
        <v>43435</v>
      </c>
      <c r="BE160" s="1329" t="s">
        <v>4946</v>
      </c>
      <c r="BF160" s="1329" t="s">
        <v>4946</v>
      </c>
      <c r="BG160" s="1329">
        <v>43786</v>
      </c>
    </row>
    <row r="161" spans="1:59" ht="12.5">
      <c r="A161" s="449"/>
      <c r="B161" s="170"/>
      <c r="C161" s="446"/>
      <c r="D161" s="446"/>
      <c r="E161" s="638"/>
      <c r="F161" s="447"/>
      <c r="G161" s="484">
        <v>50.3</v>
      </c>
      <c r="H161" s="1239"/>
      <c r="I161" s="1239"/>
      <c r="J161" s="171"/>
      <c r="K161" s="638"/>
      <c r="L161" s="638"/>
      <c r="M161" s="638"/>
      <c r="N161" s="1239"/>
      <c r="O161" s="1239"/>
      <c r="P161" s="1239"/>
      <c r="Q161" s="638"/>
      <c r="R161" s="447"/>
      <c r="S161" s="484">
        <f>AG162-AG160</f>
        <v>50.229999999995925</v>
      </c>
      <c r="T161" s="638"/>
      <c r="U161" s="638"/>
      <c r="V161" s="638"/>
      <c r="W161" s="638"/>
      <c r="X161" s="638"/>
      <c r="Y161" s="638"/>
      <c r="Z161" s="638"/>
      <c r="AA161" s="638"/>
      <c r="AB161" s="638"/>
      <c r="AC161" s="638"/>
      <c r="AD161" s="638"/>
      <c r="AE161" s="638"/>
      <c r="AF161" s="447"/>
      <c r="AG161" s="446"/>
      <c r="AH161" s="447"/>
      <c r="AI161" s="447"/>
      <c r="AJ161" s="638"/>
      <c r="AK161" s="638"/>
      <c r="AL161" s="638"/>
      <c r="AM161" s="638"/>
      <c r="AN161" s="484"/>
      <c r="AO161" s="484"/>
      <c r="AP161" s="484"/>
      <c r="AQ161" s="484">
        <f>+FL_1($T$162,$U$160,$G$161,1200,9.28, 1*$F$162)</f>
        <v>0.36637564364903363</v>
      </c>
      <c r="AR161" s="484"/>
      <c r="AS161" s="484"/>
      <c r="AT161" s="484"/>
      <c r="AU161" s="484"/>
      <c r="AV161" s="484"/>
      <c r="AW161" s="638"/>
      <c r="AX161" s="638"/>
      <c r="AY161" s="484"/>
      <c r="AZ161" s="484"/>
      <c r="BA161" s="671"/>
      <c r="BB161" s="449"/>
      <c r="BD161" s="1330"/>
      <c r="BE161" s="1330"/>
      <c r="BF161" s="1330"/>
      <c r="BG161" s="1330"/>
    </row>
    <row r="162" spans="1:59" ht="12.5">
      <c r="A162" s="449" t="s">
        <v>2950</v>
      </c>
      <c r="B162" s="436" t="s">
        <v>1887</v>
      </c>
      <c r="C162" s="446">
        <f>+$C$160+$G$161</f>
        <v>95721.750000000015</v>
      </c>
      <c r="D162" s="446"/>
      <c r="E162" s="638"/>
      <c r="F162" s="447">
        <v>-750</v>
      </c>
      <c r="G162" s="484"/>
      <c r="H162" s="1239" t="s">
        <v>619</v>
      </c>
      <c r="I162" s="1239" t="s">
        <v>1429</v>
      </c>
      <c r="J162" s="171"/>
      <c r="K162" s="638"/>
      <c r="L162" s="638" t="s">
        <v>821</v>
      </c>
      <c r="M162" s="1239" t="str">
        <f>IF(AX162="PT",VLOOKUP(L162,'Foundation Calculation'!$V$2:$X$40,VLOOKUP(AX162,'Foundation Calculation'!$I$10:$J$13,2,FALSE),0),IF(AX162="K",VLOOKUP(L162,'Foundation Calculation'!$V$42:$X$80,VLOOKUP(AX162,'Foundation Calculation'!$I$10:$J$13,2,FALSE),0),""))</f>
        <v>C7R</v>
      </c>
      <c r="N162" s="1239" t="s">
        <v>143</v>
      </c>
      <c r="O162" s="1239" t="s">
        <v>140</v>
      </c>
      <c r="P162" s="1239"/>
      <c r="Q162" s="638">
        <v>30</v>
      </c>
      <c r="R162" s="447">
        <v>-750</v>
      </c>
      <c r="S162" s="484"/>
      <c r="T162" s="638">
        <v>-30</v>
      </c>
      <c r="U162" s="638">
        <v>-75</v>
      </c>
      <c r="V162" s="638"/>
      <c r="W162" s="638">
        <v>1.4</v>
      </c>
      <c r="X162" s="638">
        <v>2.2999999999999998</v>
      </c>
      <c r="Y162" s="638"/>
      <c r="Z162" s="638"/>
      <c r="AA162" s="638">
        <v>0.35</v>
      </c>
      <c r="AB162" s="638"/>
      <c r="AC162" s="638" t="s">
        <v>4483</v>
      </c>
      <c r="AD162" s="638"/>
      <c r="AE162" s="638"/>
      <c r="AF162" s="447">
        <v>5500</v>
      </c>
      <c r="AG162" s="446">
        <v>95721.78</v>
      </c>
      <c r="AH162" s="447">
        <v>2553</v>
      </c>
      <c r="AI162" s="447">
        <v>110</v>
      </c>
      <c r="AJ162" s="638" t="s">
        <v>2154</v>
      </c>
      <c r="AK162" s="638"/>
      <c r="AL162" s="638" t="s">
        <v>2142</v>
      </c>
      <c r="AM162" s="638" t="s">
        <v>1043</v>
      </c>
      <c r="AN162" s="484">
        <v>5.44</v>
      </c>
      <c r="AO162" s="484"/>
      <c r="AP162" s="484"/>
      <c r="AQ162" s="484"/>
      <c r="AR162" s="484"/>
      <c r="AS162" s="484"/>
      <c r="AT162" s="484">
        <f>+ab($T$162,$U$159,$T$164,$G$161,$G$163, 1*$F$162,1200)</f>
        <v>-2.832249423809015</v>
      </c>
      <c r="AU162" s="484"/>
      <c r="AV162" s="484"/>
      <c r="AW162" s="638" t="str">
        <f>VLOOKUP(C162,'Foundation Calculation'!$A$2:$C$33,3,1)</f>
        <v>Soil A</v>
      </c>
      <c r="AX162" s="572" t="str">
        <f>VLOOKUP(C162,'Foundation Calculation'!$E$2:$G$33,3,1)</f>
        <v>PT</v>
      </c>
      <c r="AY162" s="636">
        <f>IF(AX162="PT",VLOOKUP(L162,'Foundation Calculation'!$K$2:$R$40,VLOOKUP(AW162,'Foundation Calculation'!$I$2:$J$8,2,FALSE),0),IF(AX162="K",VLOOKUP(L162,'Foundation Calculation'!$K$42:$R$80,VLOOKUP(AW162,'Foundation Calculation'!$I$2:$J$8,2,FALSE),0),""))</f>
        <v>4</v>
      </c>
      <c r="AZ162" s="484"/>
      <c r="BA162" s="671" t="s">
        <v>2809</v>
      </c>
      <c r="BB162" s="449" t="str">
        <f>Pole_Calculations!A178</f>
        <v>App.8-V08F-P10.3</v>
      </c>
      <c r="BD162" s="1329">
        <v>43435</v>
      </c>
      <c r="BE162" s="1329" t="s">
        <v>4946</v>
      </c>
      <c r="BF162" s="1329" t="s">
        <v>4946</v>
      </c>
      <c r="BG162" s="1329">
        <v>43786</v>
      </c>
    </row>
    <row r="163" spans="1:59" ht="12.5">
      <c r="A163" s="449"/>
      <c r="B163" s="170"/>
      <c r="C163" s="446"/>
      <c r="D163" s="446"/>
      <c r="E163" s="638"/>
      <c r="F163" s="447"/>
      <c r="G163" s="484">
        <v>42.3</v>
      </c>
      <c r="H163" s="1239"/>
      <c r="I163" s="1239"/>
      <c r="J163" s="171"/>
      <c r="K163" s="638"/>
      <c r="L163" s="638"/>
      <c r="M163" s="638"/>
      <c r="N163" s="1239"/>
      <c r="O163" s="1239"/>
      <c r="P163" s="1239"/>
      <c r="Q163" s="638"/>
      <c r="R163" s="447"/>
      <c r="S163" s="484">
        <f>AG164-AG162</f>
        <v>42.44999999999709</v>
      </c>
      <c r="T163" s="638"/>
      <c r="U163" s="638"/>
      <c r="V163" s="638"/>
      <c r="W163" s="638"/>
      <c r="X163" s="638"/>
      <c r="Y163" s="638"/>
      <c r="Z163" s="638"/>
      <c r="AA163" s="638"/>
      <c r="AB163" s="638"/>
      <c r="AC163" s="638"/>
      <c r="AD163" s="638"/>
      <c r="AE163" s="638"/>
      <c r="AF163" s="447"/>
      <c r="AG163" s="446"/>
      <c r="AH163" s="447"/>
      <c r="AI163" s="447"/>
      <c r="AJ163" s="638"/>
      <c r="AK163" s="638"/>
      <c r="AL163" s="638"/>
      <c r="AM163" s="638"/>
      <c r="AN163" s="484"/>
      <c r="AO163" s="484"/>
      <c r="AP163" s="484"/>
      <c r="AQ163" s="484">
        <f>+FL_1($T$164,$T$162,$G$163,1200,9.28, 1*$F$164)</f>
        <v>0.17123901170997441</v>
      </c>
      <c r="AR163" s="484"/>
      <c r="AS163" s="484"/>
      <c r="AT163" s="484"/>
      <c r="AU163" s="484"/>
      <c r="AV163" s="484"/>
      <c r="AW163" s="638"/>
      <c r="AX163" s="638"/>
      <c r="AY163" s="484"/>
      <c r="AZ163" s="484"/>
      <c r="BA163" s="671"/>
      <c r="BB163" s="449"/>
      <c r="BD163" s="1330"/>
      <c r="BE163" s="1330"/>
      <c r="BF163" s="1330"/>
      <c r="BG163" s="1330"/>
    </row>
    <row r="164" spans="1:59" ht="12.5">
      <c r="A164" s="449"/>
      <c r="B164" s="436" t="s">
        <v>1888</v>
      </c>
      <c r="C164" s="446">
        <f>+$C$162+$G$163</f>
        <v>95764.050000000017</v>
      </c>
      <c r="D164" s="446"/>
      <c r="E164" s="638"/>
      <c r="F164" s="447">
        <v>-750</v>
      </c>
      <c r="G164" s="484"/>
      <c r="H164" s="1239" t="s">
        <v>138</v>
      </c>
      <c r="I164" s="1239" t="s">
        <v>623</v>
      </c>
      <c r="J164" s="171"/>
      <c r="K164" s="638"/>
      <c r="L164" s="638" t="s">
        <v>821</v>
      </c>
      <c r="M164" s="1239" t="str">
        <f>IF(AX164="PT",VLOOKUP(L164,'Foundation Calculation'!$V$2:$X$40,VLOOKUP(AX164,'Foundation Calculation'!$I$10:$J$13,2,FALSE),0),IF(AX164="K",VLOOKUP(L164,'Foundation Calculation'!$V$42:$X$80,VLOOKUP(AX164,'Foundation Calculation'!$I$10:$J$13,2,FALSE),0),""))</f>
        <v>C7R</v>
      </c>
      <c r="N164" s="1239" t="s">
        <v>143</v>
      </c>
      <c r="O164" s="1239"/>
      <c r="P164" s="1239"/>
      <c r="Q164" s="638">
        <v>40</v>
      </c>
      <c r="R164" s="447">
        <v>-750</v>
      </c>
      <c r="S164" s="484"/>
      <c r="T164" s="638">
        <v>-30</v>
      </c>
      <c r="U164" s="638"/>
      <c r="V164" s="638"/>
      <c r="W164" s="638">
        <v>1.4</v>
      </c>
      <c r="X164" s="638"/>
      <c r="Y164" s="638"/>
      <c r="Z164" s="638"/>
      <c r="AA164" s="638"/>
      <c r="AB164" s="638"/>
      <c r="AC164" s="638" t="s">
        <v>3050</v>
      </c>
      <c r="AD164" s="638"/>
      <c r="AE164" s="638"/>
      <c r="AF164" s="447">
        <v>5700</v>
      </c>
      <c r="AG164" s="446">
        <v>95764.23</v>
      </c>
      <c r="AH164" s="447">
        <v>2153</v>
      </c>
      <c r="AI164" s="447">
        <v>190</v>
      </c>
      <c r="AJ164" s="638"/>
      <c r="AK164" s="638"/>
      <c r="AL164" s="638" t="s">
        <v>2142</v>
      </c>
      <c r="AM164" s="638" t="s">
        <v>1043</v>
      </c>
      <c r="AN164" s="484">
        <v>5.5</v>
      </c>
      <c r="AO164" s="484"/>
      <c r="AP164" s="484"/>
      <c r="AQ164" s="484"/>
      <c r="AR164" s="484"/>
      <c r="AS164" s="484"/>
      <c r="AT164" s="484">
        <f>+ab($T$164,$T$162,$T$166,$G$163,$G$165, 1*$F$164,1200)</f>
        <v>-3.3983614750286546</v>
      </c>
      <c r="AU164" s="484"/>
      <c r="AV164" s="484"/>
      <c r="AW164" s="638" t="str">
        <f>VLOOKUP(C164,'Foundation Calculation'!$A$2:$C$33,3,1)</f>
        <v>Soil A</v>
      </c>
      <c r="AX164" s="572" t="str">
        <f>VLOOKUP(C164,'Foundation Calculation'!$E$2:$G$33,3,1)</f>
        <v>PT</v>
      </c>
      <c r="AY164" s="636">
        <f>IF(AX164="PT",VLOOKUP(L164,'Foundation Calculation'!$K$2:$R$40,VLOOKUP(AW164,'Foundation Calculation'!$I$2:$J$8,2,FALSE),0),IF(AX164="K",VLOOKUP(L164,'Foundation Calculation'!$K$42:$R$80,VLOOKUP(AW164,'Foundation Calculation'!$I$2:$J$8,2,FALSE),0),""))</f>
        <v>4</v>
      </c>
      <c r="AZ164" s="484"/>
      <c r="BA164" s="671" t="s">
        <v>2809</v>
      </c>
      <c r="BB164" s="449" t="str">
        <f>Pole_Calculations!A178</f>
        <v>App.8-V08F-P10.3</v>
      </c>
      <c r="BD164" s="1329">
        <v>43498</v>
      </c>
      <c r="BE164" s="1329" t="s">
        <v>4946</v>
      </c>
      <c r="BF164" s="1329" t="s">
        <v>4946</v>
      </c>
      <c r="BG164" s="1329">
        <v>43786</v>
      </c>
    </row>
    <row r="165" spans="1:59" ht="12.5">
      <c r="A165" s="449"/>
      <c r="B165" s="170"/>
      <c r="C165" s="446"/>
      <c r="D165" s="446"/>
      <c r="E165" s="638"/>
      <c r="F165" s="447"/>
      <c r="G165" s="484">
        <v>42.3</v>
      </c>
      <c r="H165" s="1239"/>
      <c r="I165" s="1239"/>
      <c r="J165" s="171">
        <f>C164+7.5</f>
        <v>95771.550000000017</v>
      </c>
      <c r="K165" s="638" t="s">
        <v>2787</v>
      </c>
      <c r="L165" s="638"/>
      <c r="M165" s="638"/>
      <c r="N165" s="1239"/>
      <c r="O165" s="1239"/>
      <c r="P165" s="1239"/>
      <c r="Q165" s="638"/>
      <c r="R165" s="447"/>
      <c r="S165" s="484">
        <f>AG166-AG164</f>
        <v>41.770000000004075</v>
      </c>
      <c r="T165" s="638"/>
      <c r="U165" s="638"/>
      <c r="V165" s="638"/>
      <c r="W165" s="638"/>
      <c r="X165" s="638"/>
      <c r="Y165" s="638"/>
      <c r="Z165" s="638"/>
      <c r="AA165" s="638"/>
      <c r="AB165" s="638"/>
      <c r="AC165" s="638"/>
      <c r="AD165" s="638"/>
      <c r="AE165" s="638"/>
      <c r="AF165" s="447"/>
      <c r="AG165" s="446"/>
      <c r="AH165" s="447"/>
      <c r="AI165" s="447"/>
      <c r="AJ165" s="638"/>
      <c r="AK165" s="638"/>
      <c r="AL165" s="638"/>
      <c r="AM165" s="638"/>
      <c r="AN165" s="484"/>
      <c r="AO165" s="484"/>
      <c r="AP165" s="484"/>
      <c r="AQ165" s="484">
        <f>+FL_2($T$166,$T$164,$G$165,1200,9.28, 1*$F$166)</f>
        <v>-0.3</v>
      </c>
      <c r="AR165" s="484"/>
      <c r="AS165" s="484"/>
      <c r="AT165" s="484"/>
      <c r="AU165" s="484"/>
      <c r="AV165" s="484"/>
      <c r="AW165" s="638" t="str">
        <f>VLOOKUP(J165,'Foundation Calculation'!$A$2:$C$33,3,1)</f>
        <v>Soil A</v>
      </c>
      <c r="AX165" s="572" t="str">
        <f>VLOOKUP(J165,'Foundation Calculation'!$E$2:$G$33,3,1)</f>
        <v>PT</v>
      </c>
      <c r="AY165" s="484"/>
      <c r="AZ165" s="484">
        <f>IF(AX165="PT",VLOOKUP(K165,'Foundation Calculation'!$K$2:$R$40,VLOOKUP(AW165,'Foundation Calculation'!$I$2:$J$8,2,FALSE),0),IF(AX165="K",VLOOKUP(K165,'Foundation Calculation'!$K$42:$R$80,VLOOKUP(AW165,'Foundation Calculation'!$I$2:$J$8,2,FALSE),0),""))</f>
        <v>3.3</v>
      </c>
      <c r="BA165" s="671" t="s">
        <v>2809</v>
      </c>
      <c r="BB165" s="449"/>
      <c r="BD165" s="1329">
        <v>43498</v>
      </c>
      <c r="BE165" s="1330"/>
      <c r="BF165" s="1330"/>
      <c r="BG165" s="1330"/>
    </row>
    <row r="166" spans="1:59" ht="12.5">
      <c r="A166" s="449"/>
      <c r="B166" s="440" t="s">
        <v>1889</v>
      </c>
      <c r="C166" s="446">
        <f>+$C$164+$G$165</f>
        <v>95806.35000000002</v>
      </c>
      <c r="D166" s="446"/>
      <c r="E166" s="638"/>
      <c r="F166" s="447">
        <v>-750</v>
      </c>
      <c r="G166" s="484"/>
      <c r="H166" s="1239"/>
      <c r="I166" s="1239"/>
      <c r="J166" s="171"/>
      <c r="K166" s="638"/>
      <c r="L166" s="638" t="s">
        <v>821</v>
      </c>
      <c r="M166" s="1239" t="str">
        <f>IF(AX166="PT",VLOOKUP(L166,'Foundation Calculation'!$V$2:$X$40,VLOOKUP(AX166,'Foundation Calculation'!$I$10:$J$13,2,FALSE),0),IF(AX166="K",VLOOKUP(L166,'Foundation Calculation'!$V$42:$X$80,VLOOKUP(AX166,'Foundation Calculation'!$I$10:$J$13,2,FALSE),0),""))</f>
        <v>C7R</v>
      </c>
      <c r="N166" s="1239" t="s">
        <v>143</v>
      </c>
      <c r="O166" s="1239"/>
      <c r="P166" s="1239"/>
      <c r="Q166" s="638">
        <v>40</v>
      </c>
      <c r="R166" s="447">
        <v>-750</v>
      </c>
      <c r="S166" s="484"/>
      <c r="T166" s="638">
        <v>-30</v>
      </c>
      <c r="U166" s="638"/>
      <c r="V166" s="638"/>
      <c r="W166" s="638">
        <v>1.4</v>
      </c>
      <c r="X166" s="638"/>
      <c r="Y166" s="638"/>
      <c r="Z166" s="638"/>
      <c r="AA166" s="638"/>
      <c r="AB166" s="638"/>
      <c r="AC166" s="638" t="s">
        <v>3050</v>
      </c>
      <c r="AD166" s="638"/>
      <c r="AE166" s="638"/>
      <c r="AF166" s="447">
        <v>5700</v>
      </c>
      <c r="AG166" s="446">
        <v>95806</v>
      </c>
      <c r="AH166" s="447">
        <v>1923</v>
      </c>
      <c r="AI166" s="447">
        <v>170</v>
      </c>
      <c r="AJ166" s="638"/>
      <c r="AK166" s="638"/>
      <c r="AL166" s="638" t="s">
        <v>2142</v>
      </c>
      <c r="AM166" s="638" t="s">
        <v>1043</v>
      </c>
      <c r="AN166" s="484">
        <v>5.5</v>
      </c>
      <c r="AO166" s="484"/>
      <c r="AP166" s="484"/>
      <c r="AQ166" s="484"/>
      <c r="AR166" s="484"/>
      <c r="AS166" s="484"/>
      <c r="AT166" s="484">
        <f>+ab($T$166,$T$164,$T$168,$G$165,$G$167, 1*$F$166,1200)</f>
        <v>-3.4023737622298431</v>
      </c>
      <c r="AU166" s="484"/>
      <c r="AV166" s="484"/>
      <c r="AW166" s="638" t="str">
        <f>VLOOKUP(C166,'Foundation Calculation'!$A$2:$C$33,3,1)</f>
        <v>Soil A</v>
      </c>
      <c r="AX166" s="572" t="str">
        <f>VLOOKUP(C166,'Foundation Calculation'!$E$2:$G$33,3,1)</f>
        <v>PT</v>
      </c>
      <c r="AY166" s="636">
        <f>IF(AX166="PT",VLOOKUP(L166,'Foundation Calculation'!$K$2:$R$40,VLOOKUP(AW166,'Foundation Calculation'!$I$2:$J$8,2,FALSE),0),IF(AX166="K",VLOOKUP(L166,'Foundation Calculation'!$K$42:$R$80,VLOOKUP(AW166,'Foundation Calculation'!$I$2:$J$8,2,FALSE),0),""))</f>
        <v>4</v>
      </c>
      <c r="AZ166" s="484" t="s">
        <v>638</v>
      </c>
      <c r="BA166" s="671" t="s">
        <v>2809</v>
      </c>
      <c r="BB166" s="449" t="str">
        <f>Pole_Calculations!A178</f>
        <v>App.8-V08F-P10.3</v>
      </c>
      <c r="BD166" s="1329">
        <v>43498</v>
      </c>
      <c r="BE166" s="1329" t="s">
        <v>4946</v>
      </c>
      <c r="BF166" s="1329" t="s">
        <v>4946</v>
      </c>
      <c r="BG166" s="1329">
        <v>43786</v>
      </c>
    </row>
    <row r="167" spans="1:59" ht="12.5">
      <c r="A167" s="449"/>
      <c r="B167" s="170"/>
      <c r="C167" s="446"/>
      <c r="D167" s="446"/>
      <c r="E167" s="638"/>
      <c r="F167" s="447"/>
      <c r="G167" s="484">
        <v>42.2</v>
      </c>
      <c r="H167" s="1239"/>
      <c r="I167" s="1239"/>
      <c r="J167" s="171"/>
      <c r="K167" s="638"/>
      <c r="L167" s="638"/>
      <c r="M167" s="638"/>
      <c r="N167" s="1239"/>
      <c r="O167" s="1239"/>
      <c r="P167" s="1239"/>
      <c r="Q167" s="638"/>
      <c r="R167" s="447"/>
      <c r="S167" s="484">
        <f>AG168-AG166</f>
        <v>42</v>
      </c>
      <c r="T167" s="638"/>
      <c r="U167" s="638"/>
      <c r="V167" s="638"/>
      <c r="W167" s="638"/>
      <c r="X167" s="638"/>
      <c r="Y167" s="638"/>
      <c r="Z167" s="638"/>
      <c r="AA167" s="638"/>
      <c r="AB167" s="638"/>
      <c r="AC167" s="638"/>
      <c r="AD167" s="638"/>
      <c r="AE167" s="638"/>
      <c r="AF167" s="447"/>
      <c r="AG167" s="446"/>
      <c r="AH167" s="447"/>
      <c r="AI167" s="447"/>
      <c r="AJ167" s="638"/>
      <c r="AK167" s="638"/>
      <c r="AL167" s="638"/>
      <c r="AM167" s="638"/>
      <c r="AN167" s="484"/>
      <c r="AO167" s="484"/>
      <c r="AP167" s="484"/>
      <c r="AQ167" s="484">
        <f>+FL_2($T$168,$T$166,$G$167,1200,9.28, 1*$F$168)</f>
        <v>-0.30000000000000004</v>
      </c>
      <c r="AR167" s="484"/>
      <c r="AS167" s="484"/>
      <c r="AT167" s="484"/>
      <c r="AU167" s="484"/>
      <c r="AV167" s="484"/>
      <c r="AW167" s="638"/>
      <c r="AX167" s="638"/>
      <c r="AY167" s="484"/>
      <c r="AZ167" s="484"/>
      <c r="BA167" s="671"/>
      <c r="BB167" s="449"/>
      <c r="BD167" s="1330"/>
      <c r="BE167" s="1330"/>
      <c r="BF167" s="1330"/>
      <c r="BG167" s="1330"/>
    </row>
    <row r="168" spans="1:59" ht="12.5">
      <c r="A168" s="449"/>
      <c r="B168" s="440" t="s">
        <v>1890</v>
      </c>
      <c r="C168" s="446">
        <f>+$C$166+$G$167</f>
        <v>95848.550000000017</v>
      </c>
      <c r="D168" s="446"/>
      <c r="E168" s="638"/>
      <c r="F168" s="447">
        <v>-750</v>
      </c>
      <c r="G168" s="484"/>
      <c r="H168" s="1239"/>
      <c r="I168" s="1239"/>
      <c r="J168" s="171"/>
      <c r="K168" s="638"/>
      <c r="L168" s="638" t="s">
        <v>819</v>
      </c>
      <c r="M168" s="638" t="s">
        <v>3331</v>
      </c>
      <c r="N168" s="1239" t="s">
        <v>143</v>
      </c>
      <c r="O168" s="1239"/>
      <c r="P168" s="1239"/>
      <c r="Q168" s="638">
        <v>50</v>
      </c>
      <c r="R168" s="447">
        <v>-750</v>
      </c>
      <c r="S168" s="484"/>
      <c r="T168" s="638">
        <v>-30</v>
      </c>
      <c r="U168" s="638"/>
      <c r="V168" s="638"/>
      <c r="W168" s="638">
        <v>1.4</v>
      </c>
      <c r="X168" s="638"/>
      <c r="Y168" s="638"/>
      <c r="Z168" s="638"/>
      <c r="AA168" s="638"/>
      <c r="AB168" s="638"/>
      <c r="AC168" s="638" t="s">
        <v>3050</v>
      </c>
      <c r="AD168" s="638"/>
      <c r="AE168" s="638"/>
      <c r="AF168" s="447">
        <v>5500</v>
      </c>
      <c r="AG168" s="446">
        <v>95848</v>
      </c>
      <c r="AH168" s="447">
        <v>2183</v>
      </c>
      <c r="AI168" s="447">
        <v>0</v>
      </c>
      <c r="AJ168" s="638"/>
      <c r="AK168" s="638"/>
      <c r="AL168" s="638" t="s">
        <v>2127</v>
      </c>
      <c r="AM168" s="638" t="s">
        <v>1043</v>
      </c>
      <c r="AN168" s="484">
        <v>5.5</v>
      </c>
      <c r="AO168" s="484"/>
      <c r="AP168" s="484"/>
      <c r="AQ168" s="484"/>
      <c r="AR168" s="484"/>
      <c r="AS168" s="484"/>
      <c r="AT168" s="484">
        <f>+ab($T$168,$T$166,$T$170,$G$167,$G$169, 1*$F$168,1200)</f>
        <v>-3.4023737622298431</v>
      </c>
      <c r="AU168" s="484"/>
      <c r="AV168" s="484"/>
      <c r="AW168" s="638" t="s">
        <v>2873</v>
      </c>
      <c r="AX168" s="572" t="str">
        <f>VLOOKUP(C168,'Foundation Calculation'!$E$2:$G$33,3,1)</f>
        <v>PT</v>
      </c>
      <c r="AY168" s="636">
        <v>5.2</v>
      </c>
      <c r="AZ168" s="484" t="s">
        <v>638</v>
      </c>
      <c r="BA168" s="671" t="s">
        <v>2809</v>
      </c>
      <c r="BB168" s="449" t="str">
        <f>Pole_Calculations!A178</f>
        <v>App.8-V08F-P10.3</v>
      </c>
      <c r="BD168" s="1329">
        <v>43498</v>
      </c>
      <c r="BE168" s="1329" t="s">
        <v>4946</v>
      </c>
      <c r="BF168" s="1329" t="s">
        <v>4946</v>
      </c>
      <c r="BG168" s="1329">
        <v>43786</v>
      </c>
    </row>
    <row r="169" spans="1:59" ht="12.5">
      <c r="A169" s="449"/>
      <c r="B169" s="170"/>
      <c r="C169" s="446"/>
      <c r="D169" s="446"/>
      <c r="E169" s="638"/>
      <c r="F169" s="447"/>
      <c r="G169" s="484">
        <v>42.3</v>
      </c>
      <c r="H169" s="1239"/>
      <c r="I169" s="1239"/>
      <c r="J169" s="171"/>
      <c r="K169" s="638"/>
      <c r="L169" s="638"/>
      <c r="M169" s="638"/>
      <c r="N169" s="1239"/>
      <c r="O169" s="1239"/>
      <c r="P169" s="1239"/>
      <c r="Q169" s="638"/>
      <c r="R169" s="447"/>
      <c r="S169" s="484">
        <f>AG170-AG168</f>
        <v>42</v>
      </c>
      <c r="T169" s="638"/>
      <c r="U169" s="638"/>
      <c r="V169" s="638"/>
      <c r="W169" s="638"/>
      <c r="X169" s="638"/>
      <c r="Y169" s="638"/>
      <c r="Z169" s="638"/>
      <c r="AA169" s="638"/>
      <c r="AB169" s="638"/>
      <c r="AC169" s="638"/>
      <c r="AD169" s="638"/>
      <c r="AE169" s="638"/>
      <c r="AF169" s="447"/>
      <c r="AG169" s="446"/>
      <c r="AH169" s="447"/>
      <c r="AI169" s="447"/>
      <c r="AJ169" s="638"/>
      <c r="AK169" s="638"/>
      <c r="AL169" s="638"/>
      <c r="AM169" s="638"/>
      <c r="AN169" s="484"/>
      <c r="AO169" s="484"/>
      <c r="AP169" s="484"/>
      <c r="AQ169" s="484">
        <f>+FL_2($T$170,$T$168,$G$169,1200,9.28, 1*$F$170)</f>
        <v>-0.3</v>
      </c>
      <c r="AR169" s="484"/>
      <c r="AS169" s="484"/>
      <c r="AT169" s="484"/>
      <c r="AU169" s="484"/>
      <c r="AV169" s="484"/>
      <c r="AW169" s="638"/>
      <c r="AX169" s="638"/>
      <c r="AY169" s="484"/>
      <c r="AZ169" s="484"/>
      <c r="BA169" s="671"/>
      <c r="BB169" s="449"/>
      <c r="BD169" s="1330"/>
      <c r="BE169" s="1330"/>
      <c r="BF169" s="1330"/>
      <c r="BG169" s="1330"/>
    </row>
    <row r="170" spans="1:59" ht="12.5">
      <c r="A170" s="449"/>
      <c r="B170" s="436" t="s">
        <v>1891</v>
      </c>
      <c r="C170" s="446">
        <f>+$C$168+$G$169</f>
        <v>95890.85000000002</v>
      </c>
      <c r="D170" s="446"/>
      <c r="E170" s="638"/>
      <c r="F170" s="447">
        <v>-750</v>
      </c>
      <c r="G170" s="484"/>
      <c r="H170" s="1239"/>
      <c r="I170" s="1239"/>
      <c r="J170" s="171"/>
      <c r="K170" s="638"/>
      <c r="L170" s="638" t="s">
        <v>819</v>
      </c>
      <c r="M170" s="638" t="s">
        <v>3292</v>
      </c>
      <c r="N170" s="1239" t="s">
        <v>143</v>
      </c>
      <c r="O170" s="1239"/>
      <c r="P170" s="1239"/>
      <c r="Q170" s="638">
        <v>50</v>
      </c>
      <c r="R170" s="447">
        <v>-750</v>
      </c>
      <c r="S170" s="484"/>
      <c r="T170" s="638">
        <v>-30</v>
      </c>
      <c r="U170" s="638"/>
      <c r="V170" s="638"/>
      <c r="W170" s="638">
        <v>1.4</v>
      </c>
      <c r="X170" s="638"/>
      <c r="Y170" s="638"/>
      <c r="Z170" s="638"/>
      <c r="AA170" s="638"/>
      <c r="AB170" s="638"/>
      <c r="AC170" s="638" t="s">
        <v>3050</v>
      </c>
      <c r="AD170" s="638"/>
      <c r="AE170" s="638"/>
      <c r="AF170" s="447">
        <v>4700</v>
      </c>
      <c r="AG170" s="446">
        <v>95890</v>
      </c>
      <c r="AH170" s="447">
        <v>2703</v>
      </c>
      <c r="AI170" s="447">
        <v>-690</v>
      </c>
      <c r="AJ170" s="638"/>
      <c r="AK170" s="638"/>
      <c r="AL170" s="638" t="s">
        <v>2127</v>
      </c>
      <c r="AM170" s="638" t="s">
        <v>1043</v>
      </c>
      <c r="AN170" s="484">
        <v>5.5</v>
      </c>
      <c r="AO170" s="484"/>
      <c r="AP170" s="484"/>
      <c r="AQ170" s="484"/>
      <c r="AR170" s="484"/>
      <c r="AS170" s="484"/>
      <c r="AT170" s="484">
        <f>+ab($T$170,$T$168,$T$172,$G$169,$G$171, 1*$F$170,1200)</f>
        <v>-3.3943586286895466</v>
      </c>
      <c r="AU170" s="484"/>
      <c r="AV170" s="484"/>
      <c r="AW170" s="638" t="s">
        <v>4164</v>
      </c>
      <c r="AX170" s="572"/>
      <c r="AY170" s="636"/>
      <c r="AZ170" s="484" t="s">
        <v>638</v>
      </c>
      <c r="BA170" s="671" t="s">
        <v>2809</v>
      </c>
      <c r="BB170" s="449" t="str">
        <f>Pole_Calculations!A178</f>
        <v>App.8-V08F-P10.3</v>
      </c>
      <c r="BD170" s="1329" t="s">
        <v>4946</v>
      </c>
      <c r="BE170" s="1329" t="s">
        <v>4946</v>
      </c>
      <c r="BF170" s="1329" t="s">
        <v>4946</v>
      </c>
      <c r="BG170" s="1329">
        <v>43786</v>
      </c>
    </row>
    <row r="171" spans="1:59" ht="12.5">
      <c r="A171" s="449"/>
      <c r="B171" s="170"/>
      <c r="C171" s="446"/>
      <c r="D171" s="446"/>
      <c r="E171" s="638"/>
      <c r="F171" s="447"/>
      <c r="G171" s="484">
        <v>42.4</v>
      </c>
      <c r="H171" s="1239"/>
      <c r="I171" s="1239"/>
      <c r="J171" s="171"/>
      <c r="K171" s="638"/>
      <c r="L171" s="638"/>
      <c r="M171" s="638"/>
      <c r="N171" s="1239"/>
      <c r="O171" s="1239"/>
      <c r="P171" s="1239"/>
      <c r="Q171" s="638"/>
      <c r="R171" s="447"/>
      <c r="S171" s="484">
        <f>AG172-AG170</f>
        <v>42</v>
      </c>
      <c r="T171" s="638"/>
      <c r="U171" s="638"/>
      <c r="V171" s="638"/>
      <c r="W171" s="638"/>
      <c r="X171" s="638"/>
      <c r="Y171" s="638"/>
      <c r="Z171" s="638"/>
      <c r="AA171" s="638"/>
      <c r="AB171" s="638"/>
      <c r="AC171" s="638"/>
      <c r="AD171" s="638"/>
      <c r="AE171" s="638"/>
      <c r="AF171" s="447"/>
      <c r="AG171" s="446"/>
      <c r="AH171" s="447"/>
      <c r="AI171" s="447"/>
      <c r="AJ171" s="638"/>
      <c r="AK171" s="638"/>
      <c r="AL171" s="638"/>
      <c r="AM171" s="638"/>
      <c r="AN171" s="484"/>
      <c r="AO171" s="484"/>
      <c r="AP171" s="484"/>
      <c r="AQ171" s="484">
        <f>+FL_2($T$172,$T$170,$G$171,1200,9.28, 1*$F$172)</f>
        <v>-0.3</v>
      </c>
      <c r="AR171" s="484"/>
      <c r="AS171" s="484"/>
      <c r="AT171" s="484"/>
      <c r="AU171" s="484"/>
      <c r="AV171" s="484"/>
      <c r="AW171" s="638"/>
      <c r="AX171" s="572"/>
      <c r="AY171" s="636"/>
      <c r="AZ171" s="484"/>
      <c r="BA171" s="671"/>
      <c r="BB171" s="449"/>
      <c r="BD171" s="1330"/>
      <c r="BE171" s="1330"/>
      <c r="BF171" s="1330"/>
      <c r="BG171" s="1330"/>
    </row>
    <row r="172" spans="1:59" ht="12.5">
      <c r="A172" s="449"/>
      <c r="B172" s="440" t="s">
        <v>1892</v>
      </c>
      <c r="C172" s="446">
        <f>+$C$170+$G$171</f>
        <v>95933.250000000015</v>
      </c>
      <c r="D172" s="446"/>
      <c r="E172" s="638"/>
      <c r="F172" s="447">
        <v>-750</v>
      </c>
      <c r="G172" s="484"/>
      <c r="H172" s="1239"/>
      <c r="I172" s="1239"/>
      <c r="J172" s="171"/>
      <c r="K172" s="638"/>
      <c r="L172" s="638" t="s">
        <v>819</v>
      </c>
      <c r="M172" s="638" t="s">
        <v>3292</v>
      </c>
      <c r="N172" s="1239" t="s">
        <v>143</v>
      </c>
      <c r="O172" s="1239"/>
      <c r="P172" s="1239"/>
      <c r="Q172" s="638">
        <v>40</v>
      </c>
      <c r="R172" s="447">
        <v>761.25</v>
      </c>
      <c r="S172" s="484"/>
      <c r="T172" s="638">
        <v>-30</v>
      </c>
      <c r="U172" s="638"/>
      <c r="V172" s="638"/>
      <c r="W172" s="638">
        <v>1.4</v>
      </c>
      <c r="X172" s="638"/>
      <c r="Y172" s="638"/>
      <c r="Z172" s="638"/>
      <c r="AA172" s="638"/>
      <c r="AB172" s="638"/>
      <c r="AC172" s="638" t="s">
        <v>4128</v>
      </c>
      <c r="AD172" s="638"/>
      <c r="AE172" s="638"/>
      <c r="AF172" s="447">
        <v>4700</v>
      </c>
      <c r="AG172" s="446">
        <v>95932</v>
      </c>
      <c r="AH172" s="447">
        <v>2443</v>
      </c>
      <c r="AI172" s="447">
        <v>-500</v>
      </c>
      <c r="AJ172" s="638"/>
      <c r="AK172" s="638"/>
      <c r="AL172" s="638" t="s">
        <v>2127</v>
      </c>
      <c r="AM172" s="638" t="s">
        <v>1043</v>
      </c>
      <c r="AN172" s="484">
        <v>5.5</v>
      </c>
      <c r="AO172" s="484"/>
      <c r="AP172" s="484"/>
      <c r="AQ172" s="484"/>
      <c r="AR172" s="484"/>
      <c r="AS172" s="484"/>
      <c r="AT172" s="484">
        <f>+ab($T$172,$T$170,$T$174,$G$171,$G$173, 1*$F$172,1200)</f>
        <v>-3.3983614750286546</v>
      </c>
      <c r="AU172" s="484"/>
      <c r="AV172" s="484"/>
      <c r="AW172" s="638" t="s">
        <v>4164</v>
      </c>
      <c r="AX172" s="572"/>
      <c r="AY172" s="636"/>
      <c r="AZ172" s="484" t="s">
        <v>638</v>
      </c>
      <c r="BA172" s="671" t="s">
        <v>2809</v>
      </c>
      <c r="BB172" s="449" t="str">
        <f>Pole_Calculations!A178</f>
        <v>App.8-V08F-P10.3</v>
      </c>
      <c r="BD172" s="1329" t="s">
        <v>4946</v>
      </c>
      <c r="BE172" s="1329">
        <v>43804</v>
      </c>
      <c r="BF172" s="1329">
        <v>43809</v>
      </c>
      <c r="BG172" s="1329">
        <v>43814</v>
      </c>
    </row>
    <row r="173" spans="1:59" ht="12.5">
      <c r="A173" s="449"/>
      <c r="B173" s="170"/>
      <c r="C173" s="446"/>
      <c r="D173" s="446"/>
      <c r="E173" s="638"/>
      <c r="F173" s="447"/>
      <c r="G173" s="484">
        <v>42.2</v>
      </c>
      <c r="H173" s="1239"/>
      <c r="I173" s="1239"/>
      <c r="J173" s="171"/>
      <c r="K173" s="638"/>
      <c r="L173" s="638"/>
      <c r="M173" s="638"/>
      <c r="N173" s="1239"/>
      <c r="O173" s="1239"/>
      <c r="P173" s="1239"/>
      <c r="Q173" s="638"/>
      <c r="R173" s="447"/>
      <c r="S173" s="484">
        <f>AG174-AG172</f>
        <v>43</v>
      </c>
      <c r="T173" s="638"/>
      <c r="U173" s="638"/>
      <c r="V173" s="638"/>
      <c r="W173" s="638"/>
      <c r="X173" s="638"/>
      <c r="Y173" s="638"/>
      <c r="Z173" s="638"/>
      <c r="AA173" s="638"/>
      <c r="AB173" s="638"/>
      <c r="AC173" s="638"/>
      <c r="AD173" s="638"/>
      <c r="AE173" s="638"/>
      <c r="AF173" s="447"/>
      <c r="AG173" s="446"/>
      <c r="AH173" s="447"/>
      <c r="AI173" s="447"/>
      <c r="AJ173" s="638"/>
      <c r="AK173" s="638"/>
      <c r="AL173" s="638"/>
      <c r="AM173" s="638"/>
      <c r="AN173" s="484"/>
      <c r="AO173" s="484"/>
      <c r="AP173" s="484"/>
      <c r="AQ173" s="484">
        <f>+FL_2($T$174,$T$172,$G$173,1200,9.28, 1*$F$174)</f>
        <v>-0.30000000000000004</v>
      </c>
      <c r="AR173" s="484"/>
      <c r="AS173" s="484"/>
      <c r="AT173" s="484"/>
      <c r="AU173" s="484"/>
      <c r="AV173" s="484"/>
      <c r="AW173" s="638"/>
      <c r="AX173" s="572"/>
      <c r="AY173" s="636"/>
      <c r="AZ173" s="484"/>
      <c r="BA173" s="671"/>
      <c r="BB173" s="449"/>
      <c r="BD173" s="1330"/>
      <c r="BE173" s="1330"/>
      <c r="BF173" s="1330"/>
      <c r="BG173" s="1330"/>
    </row>
    <row r="174" spans="1:59" ht="12.5">
      <c r="A174" s="449"/>
      <c r="B174" s="568" t="s">
        <v>1893</v>
      </c>
      <c r="C174" s="446">
        <f>+$C$172+$G$173</f>
        <v>95975.450000000012</v>
      </c>
      <c r="D174" s="446"/>
      <c r="E174" s="638"/>
      <c r="F174" s="447">
        <v>-750</v>
      </c>
      <c r="G174" s="484"/>
      <c r="H174" s="1239"/>
      <c r="I174" s="1239"/>
      <c r="J174" s="171"/>
      <c r="K174" s="638"/>
      <c r="L174" s="638" t="s">
        <v>819</v>
      </c>
      <c r="M174" s="638" t="s">
        <v>3292</v>
      </c>
      <c r="N174" s="1239" t="s">
        <v>143</v>
      </c>
      <c r="O174" s="1239"/>
      <c r="P174" s="1239"/>
      <c r="Q174" s="638">
        <v>40</v>
      </c>
      <c r="R174" s="447">
        <v>761.25</v>
      </c>
      <c r="S174" s="484"/>
      <c r="T174" s="638">
        <v>-30</v>
      </c>
      <c r="U174" s="638"/>
      <c r="V174" s="638"/>
      <c r="W174" s="638">
        <v>1.4</v>
      </c>
      <c r="X174" s="638"/>
      <c r="Y174" s="638"/>
      <c r="Z174" s="638"/>
      <c r="AA174" s="638"/>
      <c r="AB174" s="638"/>
      <c r="AC174" s="638" t="s">
        <v>3050</v>
      </c>
      <c r="AD174" s="638"/>
      <c r="AE174" s="638"/>
      <c r="AF174" s="447">
        <v>4700</v>
      </c>
      <c r="AG174" s="446">
        <v>95975</v>
      </c>
      <c r="AH174" s="447">
        <v>2233</v>
      </c>
      <c r="AI174" s="447">
        <v>-720</v>
      </c>
      <c r="AJ174" s="638"/>
      <c r="AK174" s="638"/>
      <c r="AL174" s="638" t="s">
        <v>2127</v>
      </c>
      <c r="AM174" s="638" t="s">
        <v>1043</v>
      </c>
      <c r="AN174" s="484">
        <v>5.5</v>
      </c>
      <c r="AO174" s="484"/>
      <c r="AP174" s="484"/>
      <c r="AQ174" s="484"/>
      <c r="AR174" s="484"/>
      <c r="AS174" s="484"/>
      <c r="AT174" s="484">
        <f>+ab($T$174,$T$172,$T$176,$G$173,$G$175, 1*$F$174,1200)</f>
        <v>-3.4430233083578083</v>
      </c>
      <c r="AU174" s="484"/>
      <c r="AV174" s="484"/>
      <c r="AW174" s="638" t="s">
        <v>4164</v>
      </c>
      <c r="AX174" s="572"/>
      <c r="AY174" s="636"/>
      <c r="AZ174" s="484" t="s">
        <v>638</v>
      </c>
      <c r="BA174" s="671" t="s">
        <v>2809</v>
      </c>
      <c r="BB174" s="449" t="str">
        <f>Pole_Calculations!A178</f>
        <v>App.8-V08F-P10.3</v>
      </c>
      <c r="BD174" s="1329">
        <v>43686</v>
      </c>
      <c r="BE174" s="1329">
        <v>43805</v>
      </c>
      <c r="BF174" s="1329">
        <v>43807</v>
      </c>
      <c r="BG174" s="1329">
        <v>43814</v>
      </c>
    </row>
    <row r="175" spans="1:59" ht="12.5">
      <c r="A175" s="449"/>
      <c r="B175" s="170"/>
      <c r="C175" s="446"/>
      <c r="D175" s="446"/>
      <c r="E175" s="638"/>
      <c r="F175" s="447"/>
      <c r="G175" s="484">
        <v>41.3</v>
      </c>
      <c r="H175" s="1239"/>
      <c r="I175" s="1239"/>
      <c r="J175" s="171">
        <f>C176-7.5</f>
        <v>96009.250000000015</v>
      </c>
      <c r="K175" s="638" t="s">
        <v>1685</v>
      </c>
      <c r="L175" s="638"/>
      <c r="M175" s="638"/>
      <c r="N175" s="1239"/>
      <c r="O175" s="1239"/>
      <c r="P175" s="1239"/>
      <c r="Q175" s="638"/>
      <c r="R175" s="447"/>
      <c r="S175" s="484">
        <f>AG176-AG174</f>
        <v>39.889999999999418</v>
      </c>
      <c r="T175" s="638"/>
      <c r="U175" s="638"/>
      <c r="V175" s="638"/>
      <c r="W175" s="638"/>
      <c r="X175" s="638"/>
      <c r="Y175" s="638"/>
      <c r="Z175" s="638"/>
      <c r="AA175" s="638"/>
      <c r="AB175" s="638"/>
      <c r="AC175" s="638"/>
      <c r="AD175" s="638"/>
      <c r="AE175" s="638"/>
      <c r="AF175" s="447"/>
      <c r="AG175" s="446"/>
      <c r="AH175" s="447"/>
      <c r="AI175" s="447"/>
      <c r="AJ175" s="638"/>
      <c r="AK175" s="638"/>
      <c r="AL175" s="638"/>
      <c r="AM175" s="638"/>
      <c r="AN175" s="484"/>
      <c r="AO175" s="484"/>
      <c r="AP175" s="484"/>
      <c r="AQ175" s="484">
        <f>+FL_1($T$146,$T$144,$G$145,1200,9.28, 1*$F$146)</f>
        <v>0.3</v>
      </c>
      <c r="AR175" s="484"/>
      <c r="AS175" s="484"/>
      <c r="AT175" s="484"/>
      <c r="AU175" s="484"/>
      <c r="AV175" s="484"/>
      <c r="AW175" s="638" t="s">
        <v>2846</v>
      </c>
      <c r="AX175" s="572"/>
      <c r="AY175" s="484"/>
      <c r="AZ175" s="689"/>
      <c r="BA175" s="671" t="s">
        <v>2809</v>
      </c>
      <c r="BB175" s="449"/>
      <c r="BD175" s="1329" t="s">
        <v>4946</v>
      </c>
      <c r="BE175" s="1330"/>
      <c r="BF175" s="1330"/>
      <c r="BG175" s="1330"/>
    </row>
    <row r="176" spans="1:59" ht="12.5">
      <c r="A176" s="449"/>
      <c r="B176" s="568" t="s">
        <v>1894</v>
      </c>
      <c r="C176" s="446">
        <f>+$C$174+$G$175</f>
        <v>96016.750000000015</v>
      </c>
      <c r="D176" s="446"/>
      <c r="E176" s="638"/>
      <c r="F176" s="447">
        <v>-750</v>
      </c>
      <c r="G176" s="484"/>
      <c r="H176" s="1239" t="s">
        <v>873</v>
      </c>
      <c r="I176" s="1239"/>
      <c r="J176" s="171"/>
      <c r="K176" s="638"/>
      <c r="L176" s="638" t="s">
        <v>819</v>
      </c>
      <c r="M176" s="638" t="s">
        <v>3292</v>
      </c>
      <c r="N176" s="1239" t="s">
        <v>2789</v>
      </c>
      <c r="O176" s="1239"/>
      <c r="P176" s="1239"/>
      <c r="Q176" s="638">
        <v>50</v>
      </c>
      <c r="R176" s="447">
        <v>-750</v>
      </c>
      <c r="S176" s="484"/>
      <c r="T176" s="638">
        <v>-30</v>
      </c>
      <c r="U176" s="638"/>
      <c r="V176" s="638"/>
      <c r="W176" s="638">
        <v>1.4</v>
      </c>
      <c r="X176" s="638"/>
      <c r="Y176" s="638"/>
      <c r="Z176" s="638"/>
      <c r="AA176" s="638"/>
      <c r="AB176" s="638"/>
      <c r="AC176" s="638" t="s">
        <v>3050</v>
      </c>
      <c r="AD176" s="638"/>
      <c r="AE176" s="638"/>
      <c r="AF176" s="447">
        <v>4200</v>
      </c>
      <c r="AG176" s="446">
        <v>96014.89</v>
      </c>
      <c r="AH176" s="447">
        <v>2133</v>
      </c>
      <c r="AI176" s="447">
        <v>-710</v>
      </c>
      <c r="AJ176" s="638"/>
      <c r="AK176" s="638"/>
      <c r="AL176" s="638" t="s">
        <v>2127</v>
      </c>
      <c r="AM176" s="638" t="s">
        <v>1043</v>
      </c>
      <c r="AN176" s="484">
        <v>5.5</v>
      </c>
      <c r="AO176" s="484"/>
      <c r="AP176" s="484"/>
      <c r="AQ176" s="484"/>
      <c r="AR176" s="484"/>
      <c r="AS176" s="484"/>
      <c r="AT176" s="484">
        <f>+ab($T$176,$T$174,$T$178,$G$175,$G$177, 1*$F$176,1200)</f>
        <v>-3.4804463668788128</v>
      </c>
      <c r="AU176" s="484"/>
      <c r="AV176" s="484"/>
      <c r="AW176" s="638" t="s">
        <v>4164</v>
      </c>
      <c r="AX176" s="572"/>
      <c r="AY176" s="636"/>
      <c r="AZ176" s="484"/>
      <c r="BA176" s="671" t="s">
        <v>2809</v>
      </c>
      <c r="BB176" s="449" t="str">
        <f>Pole_Calculations!A178</f>
        <v>App.8-V08F-P10.3</v>
      </c>
      <c r="BD176" s="1329">
        <v>43686</v>
      </c>
      <c r="BE176" s="1329" t="s">
        <v>4946</v>
      </c>
      <c r="BF176" s="1329" t="s">
        <v>4946</v>
      </c>
      <c r="BG176" s="1329">
        <v>43786</v>
      </c>
    </row>
    <row r="177" spans="1:59" ht="12.5">
      <c r="A177" s="449"/>
      <c r="B177" s="170"/>
      <c r="C177" s="446"/>
      <c r="D177" s="446"/>
      <c r="E177" s="638"/>
      <c r="F177" s="447"/>
      <c r="G177" s="484">
        <v>41.3</v>
      </c>
      <c r="H177" s="1239"/>
      <c r="I177" s="172">
        <f>SUM(G159:G177)</f>
        <v>435.59999999999997</v>
      </c>
      <c r="J177" s="171">
        <f>C178-7.5</f>
        <v>96050.550000000017</v>
      </c>
      <c r="K177" s="638" t="s">
        <v>1684</v>
      </c>
      <c r="L177" s="638"/>
      <c r="M177" s="638"/>
      <c r="N177" s="1239"/>
      <c r="O177" s="1239"/>
      <c r="P177" s="1239"/>
      <c r="Q177" s="638"/>
      <c r="R177" s="447"/>
      <c r="S177" s="484">
        <f>AG178-AG176</f>
        <v>42.110000000000582</v>
      </c>
      <c r="T177" s="638"/>
      <c r="U177" s="638"/>
      <c r="V177" s="638"/>
      <c r="W177" s="638"/>
      <c r="X177" s="638"/>
      <c r="Y177" s="638"/>
      <c r="Z177" s="638"/>
      <c r="AA177" s="638"/>
      <c r="AB177" s="638"/>
      <c r="AC177" s="638"/>
      <c r="AD177" s="638"/>
      <c r="AE177" s="638"/>
      <c r="AF177" s="447"/>
      <c r="AG177" s="446"/>
      <c r="AH177" s="447"/>
      <c r="AI177" s="447"/>
      <c r="AJ177" s="638"/>
      <c r="AK177" s="638"/>
      <c r="AL177" s="638"/>
      <c r="AM177" s="638"/>
      <c r="AN177" s="484"/>
      <c r="AO177" s="484"/>
      <c r="AP177" s="484"/>
      <c r="AQ177" s="484">
        <f>+FL_2($T$166,$T$164,$G$165,1200,9.28, 1*$F$166)</f>
        <v>-0.3</v>
      </c>
      <c r="AR177" s="484"/>
      <c r="AS177" s="484"/>
      <c r="AT177" s="484"/>
      <c r="AU177" s="484"/>
      <c r="AV177" s="484"/>
      <c r="AW177" s="638" t="s">
        <v>2846</v>
      </c>
      <c r="AX177" s="572"/>
      <c r="AY177" s="484"/>
      <c r="AZ177" s="689"/>
      <c r="BA177" s="671" t="s">
        <v>2809</v>
      </c>
      <c r="BB177" s="449"/>
      <c r="BD177" s="1329" t="s">
        <v>4946</v>
      </c>
      <c r="BE177" s="1330"/>
      <c r="BF177" s="1330"/>
      <c r="BG177" s="1330"/>
    </row>
    <row r="178" spans="1:59" ht="12.5">
      <c r="A178" s="449"/>
      <c r="B178" s="436" t="s">
        <v>1895</v>
      </c>
      <c r="C178" s="446">
        <f>+$C$176+$G$177</f>
        <v>96058.050000000017</v>
      </c>
      <c r="D178" s="446"/>
      <c r="E178" s="638"/>
      <c r="F178" s="447">
        <v>-750</v>
      </c>
      <c r="G178" s="484"/>
      <c r="H178" s="1239" t="s">
        <v>2138</v>
      </c>
      <c r="I178" s="1239" t="s">
        <v>4231</v>
      </c>
      <c r="J178" s="171"/>
      <c r="K178" s="638"/>
      <c r="L178" s="638" t="s">
        <v>819</v>
      </c>
      <c r="M178" s="638" t="s">
        <v>3292</v>
      </c>
      <c r="N178" s="1239" t="s">
        <v>2789</v>
      </c>
      <c r="O178" s="1239"/>
      <c r="P178" s="1239"/>
      <c r="Q178" s="638">
        <v>50</v>
      </c>
      <c r="R178" s="447">
        <v>-750</v>
      </c>
      <c r="S178" s="484"/>
      <c r="T178" s="638">
        <v>-30</v>
      </c>
      <c r="U178" s="638"/>
      <c r="V178" s="638"/>
      <c r="W178" s="638">
        <v>1.4</v>
      </c>
      <c r="X178" s="638"/>
      <c r="Y178" s="638"/>
      <c r="Z178" s="638"/>
      <c r="AA178" s="638"/>
      <c r="AB178" s="638"/>
      <c r="AC178" s="638" t="s">
        <v>3050</v>
      </c>
      <c r="AD178" s="638"/>
      <c r="AE178" s="638"/>
      <c r="AF178" s="447">
        <v>4200</v>
      </c>
      <c r="AG178" s="446">
        <v>96057</v>
      </c>
      <c r="AH178" s="447">
        <v>2053</v>
      </c>
      <c r="AI178" s="447">
        <v>-670</v>
      </c>
      <c r="AJ178" s="638"/>
      <c r="AK178" s="638"/>
      <c r="AL178" s="638" t="s">
        <v>2127</v>
      </c>
      <c r="AM178" s="638" t="s">
        <v>1043</v>
      </c>
      <c r="AN178" s="484">
        <v>5.43</v>
      </c>
      <c r="AO178" s="484"/>
      <c r="AP178" s="484"/>
      <c r="AQ178" s="484"/>
      <c r="AR178" s="484"/>
      <c r="AS178" s="484"/>
      <c r="AT178" s="484">
        <f>+ab($T$178,$T$176,$U$180,$G$177,$G$179, 1*$F$178,1200)</f>
        <v>-3.4888732108051594</v>
      </c>
      <c r="AU178" s="484"/>
      <c r="AV178" s="484"/>
      <c r="AW178" s="638" t="s">
        <v>4164</v>
      </c>
      <c r="AX178" s="572"/>
      <c r="AY178" s="689"/>
      <c r="AZ178" s="484"/>
      <c r="BA178" s="671" t="s">
        <v>2809</v>
      </c>
      <c r="BB178" s="449" t="str">
        <f>Pole_Calculations!A178</f>
        <v>App.8-V08F-P10.3</v>
      </c>
      <c r="BD178" s="1329">
        <v>43608</v>
      </c>
      <c r="BE178" s="1329" t="s">
        <v>4946</v>
      </c>
      <c r="BF178" s="1329" t="s">
        <v>4946</v>
      </c>
      <c r="BG178" s="1329">
        <v>43786</v>
      </c>
    </row>
    <row r="179" spans="1:59" ht="12.5">
      <c r="A179" s="449"/>
      <c r="B179" s="170"/>
      <c r="C179" s="446"/>
      <c r="D179" s="446"/>
      <c r="E179" s="638"/>
      <c r="F179" s="447"/>
      <c r="G179" s="484">
        <v>41.1</v>
      </c>
      <c r="H179" s="1239"/>
      <c r="I179" s="172">
        <f>SUM(G179:G197)</f>
        <v>433.50000000000006</v>
      </c>
      <c r="J179" s="171"/>
      <c r="K179" s="638"/>
      <c r="L179" s="638"/>
      <c r="M179" s="638"/>
      <c r="N179" s="1239"/>
      <c r="O179" s="1239"/>
      <c r="P179" s="1239"/>
      <c r="Q179" s="638"/>
      <c r="R179" s="447"/>
      <c r="S179" s="484">
        <f>AG180-AG178</f>
        <v>42</v>
      </c>
      <c r="T179" s="638"/>
      <c r="U179" s="638"/>
      <c r="V179" s="638"/>
      <c r="W179" s="638"/>
      <c r="X179" s="638"/>
      <c r="Y179" s="638"/>
      <c r="Z179" s="638"/>
      <c r="AA179" s="638"/>
      <c r="AB179" s="638"/>
      <c r="AC179" s="638"/>
      <c r="AD179" s="638"/>
      <c r="AE179" s="638"/>
      <c r="AF179" s="447"/>
      <c r="AG179" s="446"/>
      <c r="AH179" s="447"/>
      <c r="AI179" s="447"/>
      <c r="AJ179" s="638"/>
      <c r="AK179" s="638"/>
      <c r="AL179" s="638"/>
      <c r="AM179" s="638"/>
      <c r="AN179" s="484"/>
      <c r="AO179" s="484"/>
      <c r="AP179" s="484"/>
      <c r="AQ179" s="484">
        <f>+FL_2($U$180,$T$178,$G$179,1200,9.28, 1*$F$180)</f>
        <v>-0.32729899630165288</v>
      </c>
      <c r="AR179" s="484"/>
      <c r="AS179" s="484"/>
      <c r="AT179" s="484"/>
      <c r="AU179" s="484"/>
      <c r="AV179" s="484"/>
      <c r="AW179" s="638"/>
      <c r="AX179" s="638"/>
      <c r="AY179" s="484"/>
      <c r="AZ179" s="484"/>
      <c r="BA179" s="671"/>
      <c r="BB179" s="449"/>
      <c r="BD179" s="1330"/>
      <c r="BE179" s="1330"/>
      <c r="BF179" s="1330"/>
      <c r="BG179" s="1330"/>
    </row>
    <row r="180" spans="1:59" ht="12.5">
      <c r="A180" s="449"/>
      <c r="B180" s="436" t="s">
        <v>1896</v>
      </c>
      <c r="C180" s="446">
        <f>+$C$178+$G$179</f>
        <v>96099.150000000023</v>
      </c>
      <c r="D180" s="446"/>
      <c r="E180" s="638"/>
      <c r="F180" s="447">
        <v>-1552.75</v>
      </c>
      <c r="G180" s="484"/>
      <c r="H180" s="1239" t="s">
        <v>2137</v>
      </c>
      <c r="I180" s="1239"/>
      <c r="J180" s="171"/>
      <c r="K180" s="638"/>
      <c r="L180" s="638" t="s">
        <v>819</v>
      </c>
      <c r="M180" s="638" t="s">
        <v>3292</v>
      </c>
      <c r="N180" s="1239" t="s">
        <v>140</v>
      </c>
      <c r="O180" s="1239" t="s">
        <v>2789</v>
      </c>
      <c r="P180" s="1239"/>
      <c r="Q180" s="638">
        <v>20</v>
      </c>
      <c r="R180" s="447">
        <v>-1552.75</v>
      </c>
      <c r="S180" s="484"/>
      <c r="T180" s="638">
        <v>-45</v>
      </c>
      <c r="U180" s="638">
        <v>-30</v>
      </c>
      <c r="V180" s="638"/>
      <c r="W180" s="638">
        <v>1.8</v>
      </c>
      <c r="X180" s="638">
        <v>1.4</v>
      </c>
      <c r="Y180" s="638"/>
      <c r="Z180" s="638">
        <v>0.34</v>
      </c>
      <c r="AA180" s="638"/>
      <c r="AB180" s="638"/>
      <c r="AC180" s="638" t="s">
        <v>3050</v>
      </c>
      <c r="AD180" s="638"/>
      <c r="AE180" s="638"/>
      <c r="AF180" s="447">
        <v>4200</v>
      </c>
      <c r="AG180" s="446">
        <v>96099</v>
      </c>
      <c r="AH180" s="447">
        <v>2033</v>
      </c>
      <c r="AI180" s="447">
        <v>-680</v>
      </c>
      <c r="AJ180" s="638"/>
      <c r="AK180" s="638"/>
      <c r="AL180" s="638" t="s">
        <v>2127</v>
      </c>
      <c r="AM180" s="638" t="s">
        <v>1043</v>
      </c>
      <c r="AN180" s="484">
        <v>5.34</v>
      </c>
      <c r="AO180" s="484"/>
      <c r="AP180" s="484"/>
      <c r="AQ180" s="484"/>
      <c r="AR180" s="484"/>
      <c r="AS180" s="484"/>
      <c r="AT180" s="484">
        <f>+ab($U$180,$T$178,$U$182,$G$179,$G$181, 1*$F$180,1200)</f>
        <v>-4.6313321371621372</v>
      </c>
      <c r="AU180" s="484"/>
      <c r="AV180" s="484"/>
      <c r="AW180" s="638" t="s">
        <v>4164</v>
      </c>
      <c r="AX180" s="572"/>
      <c r="AY180" s="636"/>
      <c r="AZ180" s="484"/>
      <c r="BA180" s="671" t="s">
        <v>2809</v>
      </c>
      <c r="BB180" s="449" t="str">
        <f>Pole_Calculations!A178</f>
        <v>App.8-V08F-P10.3</v>
      </c>
      <c r="BD180" s="1329">
        <v>43598</v>
      </c>
      <c r="BE180" s="1329" t="s">
        <v>4946</v>
      </c>
      <c r="BF180" s="1329" t="s">
        <v>4946</v>
      </c>
      <c r="BG180" s="1329">
        <v>43786</v>
      </c>
    </row>
    <row r="181" spans="1:59" ht="12.5">
      <c r="A181" s="449"/>
      <c r="B181" s="170"/>
      <c r="C181" s="446"/>
      <c r="D181" s="446"/>
      <c r="E181" s="638"/>
      <c r="F181" s="447"/>
      <c r="G181" s="484">
        <v>50.1</v>
      </c>
      <c r="H181" s="1239"/>
      <c r="I181" s="1239"/>
      <c r="J181" s="171">
        <f>C180+7.5</f>
        <v>96106.650000000023</v>
      </c>
      <c r="K181" s="638" t="s">
        <v>1685</v>
      </c>
      <c r="L181" s="638"/>
      <c r="M181" s="638"/>
      <c r="N181" s="1239"/>
      <c r="O181" s="1239"/>
      <c r="P181" s="1239"/>
      <c r="Q181" s="638"/>
      <c r="R181" s="447"/>
      <c r="S181" s="484">
        <f>AG182-AG180</f>
        <v>47</v>
      </c>
      <c r="T181" s="638"/>
      <c r="U181" s="638"/>
      <c r="V181" s="638"/>
      <c r="W181" s="638"/>
      <c r="X181" s="638"/>
      <c r="Y181" s="638"/>
      <c r="Z181" s="638"/>
      <c r="AA181" s="638"/>
      <c r="AB181" s="638"/>
      <c r="AC181" s="638"/>
      <c r="AD181" s="638"/>
      <c r="AE181" s="638"/>
      <c r="AF181" s="447"/>
      <c r="AG181" s="446"/>
      <c r="AH181" s="447"/>
      <c r="AI181" s="447"/>
      <c r="AJ181" s="638"/>
      <c r="AK181" s="638"/>
      <c r="AL181" s="638"/>
      <c r="AM181" s="638"/>
      <c r="AN181" s="484"/>
      <c r="AO181" s="484"/>
      <c r="AP181" s="484"/>
      <c r="AQ181" s="484">
        <f>+FL_1($T$146,$T$144,$G$145,1200,9.28, 1*$F$146)</f>
        <v>0.3</v>
      </c>
      <c r="AR181" s="484"/>
      <c r="AS181" s="484"/>
      <c r="AT181" s="484"/>
      <c r="AU181" s="484"/>
      <c r="AV181" s="484"/>
      <c r="AW181" s="638" t="s">
        <v>2846</v>
      </c>
      <c r="AX181" s="572"/>
      <c r="AY181" s="484"/>
      <c r="AZ181" s="689"/>
      <c r="BA181" s="671" t="s">
        <v>2809</v>
      </c>
      <c r="BB181" s="449"/>
      <c r="BD181" s="1329" t="s">
        <v>4946</v>
      </c>
      <c r="BE181" s="1330"/>
      <c r="BF181" s="1330"/>
      <c r="BG181" s="1330"/>
    </row>
    <row r="182" spans="1:59" ht="12.5">
      <c r="A182" s="449"/>
      <c r="B182" s="436" t="s">
        <v>1897</v>
      </c>
      <c r="C182" s="446">
        <f>+$C$180+$G$181</f>
        <v>96149.250000000029</v>
      </c>
      <c r="D182" s="446"/>
      <c r="E182" s="638"/>
      <c r="F182" s="447">
        <v>0</v>
      </c>
      <c r="G182" s="484"/>
      <c r="H182" s="1239" t="s">
        <v>2775</v>
      </c>
      <c r="I182" s="1239"/>
      <c r="J182" s="171"/>
      <c r="K182" s="638"/>
      <c r="L182" s="638" t="s">
        <v>819</v>
      </c>
      <c r="M182" s="638" t="s">
        <v>3292</v>
      </c>
      <c r="N182" s="1239" t="s">
        <v>2789</v>
      </c>
      <c r="O182" s="1239" t="s">
        <v>144</v>
      </c>
      <c r="P182" s="1239"/>
      <c r="Q182" s="638">
        <v>10</v>
      </c>
      <c r="R182" s="447">
        <v>0</v>
      </c>
      <c r="S182" s="484"/>
      <c r="T182" s="638">
        <v>15</v>
      </c>
      <c r="U182" s="638">
        <v>30</v>
      </c>
      <c r="V182" s="638"/>
      <c r="W182" s="638">
        <v>1.2</v>
      </c>
      <c r="X182" s="638">
        <v>1</v>
      </c>
      <c r="Y182" s="638"/>
      <c r="Z182" s="638"/>
      <c r="AA182" s="638"/>
      <c r="AB182" s="638"/>
      <c r="AC182" s="638" t="s">
        <v>4215</v>
      </c>
      <c r="AD182" s="638" t="s">
        <v>4881</v>
      </c>
      <c r="AE182" s="638"/>
      <c r="AF182" s="447">
        <v>4500</v>
      </c>
      <c r="AG182" s="446">
        <v>96146</v>
      </c>
      <c r="AH182" s="447">
        <v>1883</v>
      </c>
      <c r="AI182" s="447">
        <v>-750</v>
      </c>
      <c r="AJ182" s="638"/>
      <c r="AK182" s="638"/>
      <c r="AL182" s="638" t="s">
        <v>2127</v>
      </c>
      <c r="AM182" s="638" t="s">
        <v>1043</v>
      </c>
      <c r="AN182" s="484">
        <v>5.23</v>
      </c>
      <c r="AO182" s="484"/>
      <c r="AP182" s="484"/>
      <c r="AQ182" s="484"/>
      <c r="AR182" s="484"/>
      <c r="AS182" s="484"/>
      <c r="AT182" s="484">
        <f>+ab($U$182,$U$180,$T$184,$G$181,$G$183, 1*$F$182,1200)</f>
        <v>7.4772249519842715</v>
      </c>
      <c r="AU182" s="484"/>
      <c r="AV182" s="484"/>
      <c r="AW182" s="638" t="s">
        <v>4164</v>
      </c>
      <c r="AX182" s="572"/>
      <c r="AY182" s="636"/>
      <c r="AZ182" s="484" t="s">
        <v>638</v>
      </c>
      <c r="BA182" s="671" t="s">
        <v>2809</v>
      </c>
      <c r="BB182" s="449" t="str">
        <f>Pole_Calculations!A178</f>
        <v>App.8-V08F-P10.3</v>
      </c>
      <c r="BD182" s="1329">
        <v>43649</v>
      </c>
      <c r="BE182" s="1329" t="s">
        <v>4946</v>
      </c>
      <c r="BF182" s="1329" t="s">
        <v>4946</v>
      </c>
      <c r="BG182" s="1329">
        <v>43786</v>
      </c>
    </row>
    <row r="183" spans="1:59" ht="12.5">
      <c r="A183" s="449"/>
      <c r="B183" s="170"/>
      <c r="C183" s="446"/>
      <c r="D183" s="446"/>
      <c r="E183" s="638"/>
      <c r="F183" s="447"/>
      <c r="G183" s="484">
        <v>48</v>
      </c>
      <c r="H183" s="1239"/>
      <c r="I183" s="1239"/>
      <c r="J183" s="171"/>
      <c r="K183" s="638"/>
      <c r="L183" s="638"/>
      <c r="M183" s="638"/>
      <c r="N183" s="1239"/>
      <c r="O183" s="1239"/>
      <c r="P183" s="1239"/>
      <c r="Q183" s="638"/>
      <c r="R183" s="447"/>
      <c r="S183" s="484">
        <f>AG184-AG182</f>
        <v>50</v>
      </c>
      <c r="T183" s="638"/>
      <c r="U183" s="638"/>
      <c r="V183" s="638"/>
      <c r="W183" s="638"/>
      <c r="X183" s="638"/>
      <c r="Y183" s="638"/>
      <c r="Z183" s="638"/>
      <c r="AA183" s="638"/>
      <c r="AB183" s="638"/>
      <c r="AC183" s="638"/>
      <c r="AD183" s="638"/>
      <c r="AE183" s="638"/>
      <c r="AF183" s="447"/>
      <c r="AG183" s="446"/>
      <c r="AH183" s="447"/>
      <c r="AI183" s="447"/>
      <c r="AJ183" s="638" t="s">
        <v>864</v>
      </c>
      <c r="AK183" s="638"/>
      <c r="AL183" s="638"/>
      <c r="AM183" s="638"/>
      <c r="AN183" s="484"/>
      <c r="AO183" s="484"/>
      <c r="AP183" s="484"/>
      <c r="AQ183" s="484">
        <f>+FL_2($T$184,$U$182,$G$183,1200,9.28, 1*$F$184)</f>
        <v>-0.3662825446666666</v>
      </c>
      <c r="AR183" s="484"/>
      <c r="AS183" s="484"/>
      <c r="AT183" s="484"/>
      <c r="AU183" s="484"/>
      <c r="AV183" s="484"/>
      <c r="AW183" s="638"/>
      <c r="AX183" s="572"/>
      <c r="AY183" s="636"/>
      <c r="AZ183" s="484"/>
      <c r="BA183" s="671"/>
      <c r="BB183" s="449"/>
      <c r="BD183" s="1330"/>
      <c r="BE183" s="1330"/>
      <c r="BF183" s="1330"/>
      <c r="BG183" s="1330"/>
    </row>
    <row r="184" spans="1:59" ht="12.5">
      <c r="A184" s="449"/>
      <c r="B184" s="436" t="s">
        <v>1898</v>
      </c>
      <c r="C184" s="446">
        <f>+$C$182+$G$183</f>
        <v>96197.250000000029</v>
      </c>
      <c r="D184" s="446"/>
      <c r="E184" s="638"/>
      <c r="F184" s="447">
        <v>0</v>
      </c>
      <c r="G184" s="484"/>
      <c r="H184" s="1239"/>
      <c r="I184" s="1239"/>
      <c r="J184" s="171"/>
      <c r="K184" s="638"/>
      <c r="L184" s="638" t="s">
        <v>819</v>
      </c>
      <c r="M184" s="638" t="s">
        <v>3292</v>
      </c>
      <c r="N184" s="1239" t="s">
        <v>2789</v>
      </c>
      <c r="O184" s="1239"/>
      <c r="P184" s="1239"/>
      <c r="Q184" s="638">
        <v>10</v>
      </c>
      <c r="R184" s="447">
        <v>0</v>
      </c>
      <c r="S184" s="484"/>
      <c r="T184" s="638">
        <v>-35</v>
      </c>
      <c r="U184" s="638"/>
      <c r="V184" s="638"/>
      <c r="W184" s="638">
        <v>0.9</v>
      </c>
      <c r="X184" s="638"/>
      <c r="Y184" s="638"/>
      <c r="Z184" s="638"/>
      <c r="AA184" s="638"/>
      <c r="AB184" s="638"/>
      <c r="AC184" s="638" t="s">
        <v>4880</v>
      </c>
      <c r="AD184" s="638"/>
      <c r="AE184" s="638"/>
      <c r="AF184" s="447">
        <v>4500</v>
      </c>
      <c r="AG184" s="446">
        <v>96196</v>
      </c>
      <c r="AH184" s="447">
        <v>2043</v>
      </c>
      <c r="AI184" s="447">
        <v>-650</v>
      </c>
      <c r="AJ184" s="638"/>
      <c r="AK184" s="638"/>
      <c r="AL184" s="638" t="s">
        <v>2127</v>
      </c>
      <c r="AM184" s="638" t="s">
        <v>1043</v>
      </c>
      <c r="AN184" s="484">
        <v>5.15</v>
      </c>
      <c r="AO184" s="484"/>
      <c r="AP184" s="484"/>
      <c r="AQ184" s="484"/>
      <c r="AR184" s="484"/>
      <c r="AS184" s="484"/>
      <c r="AT184" s="484">
        <f>+ab($T$184,$U$182,$T$186,$G$183,$G$185, 1*$F$184,1200)</f>
        <v>-6.0972078378573311</v>
      </c>
      <c r="AU184" s="484"/>
      <c r="AV184" s="484"/>
      <c r="AW184" s="638" t="s">
        <v>4164</v>
      </c>
      <c r="AX184" s="572"/>
      <c r="AY184" s="636"/>
      <c r="AZ184" s="484" t="s">
        <v>638</v>
      </c>
      <c r="BA184" s="671" t="s">
        <v>2809</v>
      </c>
      <c r="BB184" s="449" t="str">
        <f>Pole_Calculations!A178</f>
        <v>App.8-V08F-P10.3</v>
      </c>
      <c r="BD184" s="1329">
        <v>43596</v>
      </c>
      <c r="BE184" s="1329" t="s">
        <v>4946</v>
      </c>
      <c r="BF184" s="1329" t="s">
        <v>4946</v>
      </c>
      <c r="BG184" s="1329">
        <v>43786</v>
      </c>
    </row>
    <row r="185" spans="1:59" ht="12.5">
      <c r="A185" s="449"/>
      <c r="B185" s="170"/>
      <c r="C185" s="446"/>
      <c r="D185" s="446"/>
      <c r="E185" s="638"/>
      <c r="F185" s="447"/>
      <c r="G185" s="484">
        <v>39.299999999999997</v>
      </c>
      <c r="H185" s="1239"/>
      <c r="I185" s="1239"/>
      <c r="J185" s="171"/>
      <c r="K185" s="638"/>
      <c r="L185" s="638"/>
      <c r="M185" s="638"/>
      <c r="N185" s="1239"/>
      <c r="O185" s="1239"/>
      <c r="P185" s="1239"/>
      <c r="Q185" s="638"/>
      <c r="R185" s="447"/>
      <c r="S185" s="484">
        <f>AG186-AG184</f>
        <v>41.410000000003492</v>
      </c>
      <c r="T185" s="638"/>
      <c r="U185" s="638"/>
      <c r="V185" s="638"/>
      <c r="W185" s="638"/>
      <c r="X185" s="638"/>
      <c r="Y185" s="638"/>
      <c r="Z185" s="638"/>
      <c r="AA185" s="638"/>
      <c r="AB185" s="638"/>
      <c r="AC185" s="638"/>
      <c r="AD185" s="638"/>
      <c r="AE185" s="638"/>
      <c r="AF185" s="447"/>
      <c r="AG185" s="446"/>
      <c r="AH185" s="447"/>
      <c r="AI185" s="447"/>
      <c r="AJ185" s="638"/>
      <c r="AK185" s="638"/>
      <c r="AL185" s="638"/>
      <c r="AM185" s="638"/>
      <c r="AN185" s="484"/>
      <c r="AO185" s="484"/>
      <c r="AP185" s="484"/>
      <c r="AQ185" s="484">
        <f>+FL_2($T$186,$T$184,$G$185,1200,9.28, 1*$F$186)</f>
        <v>-0.35000000000000192</v>
      </c>
      <c r="AR185" s="484"/>
      <c r="AS185" s="484"/>
      <c r="AT185" s="484"/>
      <c r="AU185" s="484"/>
      <c r="AV185" s="484"/>
      <c r="AW185" s="638"/>
      <c r="AX185" s="572"/>
      <c r="AY185" s="636"/>
      <c r="AZ185" s="484"/>
      <c r="BA185" s="671"/>
      <c r="BB185" s="449"/>
      <c r="BD185" s="1330"/>
      <c r="BE185" s="1330"/>
      <c r="BF185" s="1330"/>
      <c r="BG185" s="1330"/>
    </row>
    <row r="186" spans="1:59" ht="12.5">
      <c r="A186" s="488"/>
      <c r="B186" s="632" t="s">
        <v>1899</v>
      </c>
      <c r="C186" s="489">
        <f>+$C$184+$G$185</f>
        <v>96236.550000000032</v>
      </c>
      <c r="D186" s="489"/>
      <c r="E186" s="490"/>
      <c r="F186" s="491">
        <v>0</v>
      </c>
      <c r="G186" s="493"/>
      <c r="H186" s="495"/>
      <c r="I186" s="495"/>
      <c r="J186" s="431"/>
      <c r="K186" s="490"/>
      <c r="L186" s="490" t="s">
        <v>1682</v>
      </c>
      <c r="M186" s="490"/>
      <c r="N186" s="495" t="s">
        <v>144</v>
      </c>
      <c r="O186" s="495"/>
      <c r="P186" s="495"/>
      <c r="Q186" s="490">
        <v>10</v>
      </c>
      <c r="R186" s="491">
        <v>0</v>
      </c>
      <c r="S186" s="493"/>
      <c r="T186" s="490">
        <v>35</v>
      </c>
      <c r="U186" s="490"/>
      <c r="V186" s="490"/>
      <c r="W186" s="490">
        <v>0.6</v>
      </c>
      <c r="X186" s="490"/>
      <c r="Y186" s="490"/>
      <c r="Z186" s="490"/>
      <c r="AA186" s="490"/>
      <c r="AB186" s="490"/>
      <c r="AC186" s="490" t="s">
        <v>1417</v>
      </c>
      <c r="AD186" s="490"/>
      <c r="AE186" s="490"/>
      <c r="AF186" s="491">
        <v>300</v>
      </c>
      <c r="AG186" s="489">
        <v>96237.41</v>
      </c>
      <c r="AH186" s="491">
        <v>1293</v>
      </c>
      <c r="AI186" s="491">
        <v>-4540</v>
      </c>
      <c r="AJ186" s="490"/>
      <c r="AK186" s="490"/>
      <c r="AL186" s="490"/>
      <c r="AM186" s="490" t="s">
        <v>2129</v>
      </c>
      <c r="AN186" s="493">
        <v>5.15</v>
      </c>
      <c r="AO186" s="493"/>
      <c r="AP186" s="493"/>
      <c r="AQ186" s="493"/>
      <c r="AR186" s="493"/>
      <c r="AS186" s="493"/>
      <c r="AT186" s="493">
        <f>+ab($T$186,$T$184,$T$188,$G$185,$G$187, 1*$F$186,1200)</f>
        <v>5.1954478025835984</v>
      </c>
      <c r="AU186" s="493"/>
      <c r="AV186" s="493"/>
      <c r="AW186" s="490" t="s">
        <v>2846</v>
      </c>
      <c r="AX186" s="490"/>
      <c r="AY186" s="493"/>
      <c r="AZ186" s="493"/>
      <c r="BA186" s="602" t="s">
        <v>2809</v>
      </c>
      <c r="BB186" s="488"/>
      <c r="BD186" s="1330"/>
      <c r="BE186" s="1329" t="s">
        <v>4946</v>
      </c>
      <c r="BF186" s="1330"/>
      <c r="BG186" s="1329">
        <v>43604</v>
      </c>
    </row>
    <row r="187" spans="1:59" ht="12.5">
      <c r="A187" s="488" t="s">
        <v>1851</v>
      </c>
      <c r="B187" s="443"/>
      <c r="C187" s="489"/>
      <c r="D187" s="489"/>
      <c r="E187" s="490"/>
      <c r="F187" s="491"/>
      <c r="G187" s="493">
        <v>36.799999999999997</v>
      </c>
      <c r="H187" s="495"/>
      <c r="I187" s="495"/>
      <c r="J187" s="431"/>
      <c r="K187" s="490"/>
      <c r="L187" s="490"/>
      <c r="M187" s="490"/>
      <c r="N187" s="495"/>
      <c r="O187" s="495"/>
      <c r="P187" s="495"/>
      <c r="Q187" s="490"/>
      <c r="R187" s="491"/>
      <c r="S187" s="493">
        <f>AG188-AG186</f>
        <v>36.459999999991851</v>
      </c>
      <c r="T187" s="490"/>
      <c r="U187" s="490"/>
      <c r="V187" s="490"/>
      <c r="W187" s="490"/>
      <c r="X187" s="490"/>
      <c r="Y187" s="490"/>
      <c r="Z187" s="490"/>
      <c r="AA187" s="490"/>
      <c r="AB187" s="490"/>
      <c r="AC187" s="490"/>
      <c r="AD187" s="490"/>
      <c r="AE187" s="490"/>
      <c r="AF187" s="491"/>
      <c r="AG187" s="489"/>
      <c r="AH187" s="491"/>
      <c r="AI187" s="491"/>
      <c r="AJ187" s="490"/>
      <c r="AK187" s="490"/>
      <c r="AL187" s="490"/>
      <c r="AM187" s="490"/>
      <c r="AN187" s="493"/>
      <c r="AO187" s="493"/>
      <c r="AP187" s="493"/>
      <c r="AQ187" s="493">
        <f>+FL_1($T$188,$T$186,$G$187,1200,9.28, 1*$F$188)</f>
        <v>0.35000000000000603</v>
      </c>
      <c r="AR187" s="493"/>
      <c r="AS187" s="493"/>
      <c r="AT187" s="493"/>
      <c r="AU187" s="493"/>
      <c r="AV187" s="493"/>
      <c r="AW187" s="490"/>
      <c r="AX187" s="490"/>
      <c r="AY187" s="493"/>
      <c r="AZ187" s="493"/>
      <c r="BA187" s="602"/>
      <c r="BB187" s="488"/>
      <c r="BD187" s="1330"/>
      <c r="BE187" s="1330"/>
      <c r="BF187" s="1330"/>
      <c r="BG187" s="1330"/>
    </row>
    <row r="188" spans="1:59" ht="12.5">
      <c r="A188" s="488"/>
      <c r="B188" s="632" t="s">
        <v>1900</v>
      </c>
      <c r="C188" s="489">
        <f>+$C$186+$G$187</f>
        <v>96273.350000000035</v>
      </c>
      <c r="D188" s="489"/>
      <c r="E188" s="490"/>
      <c r="F188" s="491">
        <v>0</v>
      </c>
      <c r="G188" s="493"/>
      <c r="H188" s="495" t="s">
        <v>890</v>
      </c>
      <c r="I188" s="495" t="s">
        <v>840</v>
      </c>
      <c r="J188" s="431">
        <f>C188+1</f>
        <v>96274.350000000035</v>
      </c>
      <c r="K188" s="490" t="s">
        <v>894</v>
      </c>
      <c r="L188" s="490" t="s">
        <v>1682</v>
      </c>
      <c r="M188" s="490"/>
      <c r="N188" s="495" t="s">
        <v>143</v>
      </c>
      <c r="O188" s="495"/>
      <c r="P188" s="495"/>
      <c r="Q188" s="490">
        <v>0</v>
      </c>
      <c r="R188" s="491">
        <v>0</v>
      </c>
      <c r="S188" s="493"/>
      <c r="T188" s="490">
        <v>-35</v>
      </c>
      <c r="U188" s="490"/>
      <c r="V188" s="490"/>
      <c r="W188" s="490">
        <v>0.6</v>
      </c>
      <c r="X188" s="490"/>
      <c r="Y188" s="490"/>
      <c r="Z188" s="490"/>
      <c r="AA188" s="490"/>
      <c r="AB188" s="490"/>
      <c r="AC188" s="490" t="s">
        <v>4212</v>
      </c>
      <c r="AD188" s="490"/>
      <c r="AE188" s="490"/>
      <c r="AF188" s="491">
        <v>600</v>
      </c>
      <c r="AG188" s="489">
        <v>96273.87</v>
      </c>
      <c r="AH188" s="491">
        <v>1203</v>
      </c>
      <c r="AI188" s="491">
        <v>-4350</v>
      </c>
      <c r="AJ188" s="490"/>
      <c r="AK188" s="490"/>
      <c r="AL188" s="490"/>
      <c r="AM188" s="490" t="s">
        <v>2129</v>
      </c>
      <c r="AN188" s="493">
        <v>5.15</v>
      </c>
      <c r="AO188" s="493"/>
      <c r="AP188" s="493"/>
      <c r="AQ188" s="493"/>
      <c r="AR188" s="493"/>
      <c r="AS188" s="493"/>
      <c r="AT188" s="493">
        <f>+ab($T$188,$T$186,$U$190,$G$187,$G$189, 1*$F$188,1200)</f>
        <v>-5.5450689561521447</v>
      </c>
      <c r="AU188" s="493"/>
      <c r="AV188" s="493"/>
      <c r="AW188" s="490" t="s">
        <v>2846</v>
      </c>
      <c r="AX188" s="490"/>
      <c r="AY188" s="493"/>
      <c r="AZ188" s="493"/>
      <c r="BA188" s="602" t="s">
        <v>2809</v>
      </c>
      <c r="BB188" s="488"/>
      <c r="BD188" s="1330"/>
      <c r="BE188" s="1329" t="s">
        <v>4946</v>
      </c>
      <c r="BF188" s="1330"/>
      <c r="BG188" s="1329">
        <v>43608</v>
      </c>
    </row>
    <row r="189" spans="1:59" ht="12.5">
      <c r="A189" s="449"/>
      <c r="B189" s="170"/>
      <c r="C189" s="446"/>
      <c r="D189" s="446"/>
      <c r="E189" s="638"/>
      <c r="F189" s="447"/>
      <c r="G189" s="484">
        <v>42</v>
      </c>
      <c r="H189" s="1239"/>
      <c r="I189" s="1239">
        <v>287</v>
      </c>
      <c r="J189" s="171"/>
      <c r="K189" s="638"/>
      <c r="L189" s="638"/>
      <c r="M189" s="638"/>
      <c r="N189" s="1239"/>
      <c r="O189" s="1239"/>
      <c r="P189" s="1239"/>
      <c r="Q189" s="638"/>
      <c r="R189" s="447"/>
      <c r="S189" s="484">
        <f>AG190-AG188</f>
        <v>41.130000000004657</v>
      </c>
      <c r="T189" s="638"/>
      <c r="U189" s="638"/>
      <c r="V189" s="638"/>
      <c r="W189" s="638"/>
      <c r="X189" s="638"/>
      <c r="Y189" s="638"/>
      <c r="Z189" s="638"/>
      <c r="AA189" s="638"/>
      <c r="AB189" s="638"/>
      <c r="AC189" s="638"/>
      <c r="AD189" s="638"/>
      <c r="AE189" s="638"/>
      <c r="AF189" s="447"/>
      <c r="AG189" s="446"/>
      <c r="AH189" s="447"/>
      <c r="AI189" s="447"/>
      <c r="AJ189" s="638"/>
      <c r="AK189" s="638"/>
      <c r="AL189" s="638"/>
      <c r="AM189" s="638"/>
      <c r="AN189" s="484"/>
      <c r="AO189" s="484"/>
      <c r="AP189" s="484"/>
      <c r="AQ189" s="484">
        <f>+FL_2($U$190,$T$188,$G$189,1200,9.28, 1*$F$190)</f>
        <v>-0.35037719942857154</v>
      </c>
      <c r="AR189" s="484"/>
      <c r="AS189" s="484"/>
      <c r="AT189" s="484"/>
      <c r="AU189" s="484"/>
      <c r="AV189" s="484"/>
      <c r="AW189" s="638"/>
      <c r="AX189" s="638"/>
      <c r="AY189" s="484"/>
      <c r="AZ189" s="484"/>
      <c r="BA189" s="671"/>
      <c r="BB189" s="449"/>
      <c r="BD189" s="1330"/>
      <c r="BE189" s="1330"/>
      <c r="BF189" s="1330"/>
      <c r="BG189" s="1330"/>
    </row>
    <row r="190" spans="1:59" ht="12.5">
      <c r="A190" s="449"/>
      <c r="B190" s="436" t="s">
        <v>1901</v>
      </c>
      <c r="C190" s="446">
        <f>+$C$188+$G$189</f>
        <v>96315.350000000035</v>
      </c>
      <c r="D190" s="446"/>
      <c r="E190" s="638"/>
      <c r="F190" s="447">
        <v>0</v>
      </c>
      <c r="G190" s="484"/>
      <c r="H190" s="1239" t="s">
        <v>619</v>
      </c>
      <c r="I190" s="1239"/>
      <c r="J190" s="171"/>
      <c r="K190" s="638"/>
      <c r="L190" s="638" t="s">
        <v>819</v>
      </c>
      <c r="M190" s="638" t="s">
        <v>3292</v>
      </c>
      <c r="N190" s="1239" t="s">
        <v>140</v>
      </c>
      <c r="O190" s="1239" t="s">
        <v>144</v>
      </c>
      <c r="P190" s="1239"/>
      <c r="Q190" s="638">
        <v>0</v>
      </c>
      <c r="R190" s="447">
        <v>0</v>
      </c>
      <c r="S190" s="484"/>
      <c r="T190" s="638">
        <v>-30</v>
      </c>
      <c r="U190" s="638">
        <v>30</v>
      </c>
      <c r="V190" s="638"/>
      <c r="W190" s="638">
        <v>1.2</v>
      </c>
      <c r="X190" s="638">
        <v>0.9</v>
      </c>
      <c r="Y190" s="638"/>
      <c r="Z190" s="638">
        <v>0.2</v>
      </c>
      <c r="AA190" s="638"/>
      <c r="AB190" s="638"/>
      <c r="AC190" s="638" t="s">
        <v>4090</v>
      </c>
      <c r="AD190" s="638"/>
      <c r="AE190" s="638"/>
      <c r="AF190" s="447">
        <v>4800</v>
      </c>
      <c r="AG190" s="446">
        <v>96315</v>
      </c>
      <c r="AH190" s="447">
        <v>2053</v>
      </c>
      <c r="AI190" s="447">
        <v>-285</v>
      </c>
      <c r="AJ190" s="638"/>
      <c r="AK190" s="638"/>
      <c r="AL190" s="638" t="s">
        <v>2127</v>
      </c>
      <c r="AM190" s="638" t="s">
        <v>1043</v>
      </c>
      <c r="AN190" s="484">
        <v>5.15</v>
      </c>
      <c r="AO190" s="484"/>
      <c r="AP190" s="484"/>
      <c r="AQ190" s="484"/>
      <c r="AR190" s="484"/>
      <c r="AS190" s="484"/>
      <c r="AT190" s="484">
        <f>+ab($U$190,$T$188,$U$192,$G$189,$G$191, 1*$F$190,1200)</f>
        <v>7.1555193536149115</v>
      </c>
      <c r="AU190" s="484"/>
      <c r="AV190" s="484"/>
      <c r="AW190" s="638" t="s">
        <v>4164</v>
      </c>
      <c r="AX190" s="572"/>
      <c r="AY190" s="636"/>
      <c r="AZ190" s="484"/>
      <c r="BA190" s="671" t="s">
        <v>2809</v>
      </c>
      <c r="BB190" s="449" t="str">
        <f>Pole_Calculations!A178</f>
        <v>App.8-V08F-P10.3</v>
      </c>
      <c r="BD190" s="1329">
        <v>43596</v>
      </c>
      <c r="BE190" s="1329" t="s">
        <v>4946</v>
      </c>
      <c r="BF190" s="1329" t="s">
        <v>4946</v>
      </c>
      <c r="BG190" s="1329">
        <v>43656</v>
      </c>
    </row>
    <row r="191" spans="1:59" ht="12.5">
      <c r="A191" s="449"/>
      <c r="B191" s="170"/>
      <c r="C191" s="446"/>
      <c r="D191" s="446"/>
      <c r="E191" s="638"/>
      <c r="F191" s="447"/>
      <c r="G191" s="484">
        <v>49.1</v>
      </c>
      <c r="H191" s="1239"/>
      <c r="I191" s="1239"/>
      <c r="J191" s="171">
        <f>C192-7.5</f>
        <v>96356.950000000041</v>
      </c>
      <c r="K191" s="638" t="s">
        <v>1684</v>
      </c>
      <c r="L191" s="638"/>
      <c r="M191" s="638"/>
      <c r="N191" s="1239"/>
      <c r="O191" s="1239"/>
      <c r="P191" s="1239"/>
      <c r="Q191" s="638"/>
      <c r="R191" s="447"/>
      <c r="S191" s="484">
        <f>AG192-AG190</f>
        <v>49</v>
      </c>
      <c r="T191" s="638"/>
      <c r="U191" s="638"/>
      <c r="V191" s="638"/>
      <c r="W191" s="638"/>
      <c r="X191" s="638"/>
      <c r="Y191" s="638"/>
      <c r="Z191" s="638"/>
      <c r="AA191" s="638"/>
      <c r="AB191" s="638"/>
      <c r="AC191" s="638"/>
      <c r="AD191" s="638"/>
      <c r="AE191" s="638"/>
      <c r="AF191" s="447"/>
      <c r="AG191" s="446"/>
      <c r="AH191" s="447"/>
      <c r="AI191" s="447"/>
      <c r="AJ191" s="638"/>
      <c r="AK191" s="638"/>
      <c r="AL191" s="638"/>
      <c r="AM191" s="638"/>
      <c r="AN191" s="484"/>
      <c r="AO191" s="484"/>
      <c r="AP191" s="484"/>
      <c r="AQ191" s="484">
        <f>+FL_2($U$192,$U$190,$G$191,1200,9.28, 1*$F$192)</f>
        <v>-0.28917200466802445</v>
      </c>
      <c r="AR191" s="484"/>
      <c r="AS191" s="484"/>
      <c r="AT191" s="484"/>
      <c r="AU191" s="484"/>
      <c r="AV191" s="484"/>
      <c r="AW191" s="638" t="s">
        <v>2846</v>
      </c>
      <c r="AX191" s="572"/>
      <c r="AY191" s="484"/>
      <c r="AZ191" s="689"/>
      <c r="BA191" s="671" t="s">
        <v>2809</v>
      </c>
      <c r="BB191" s="449"/>
      <c r="BD191" s="1329" t="s">
        <v>4946</v>
      </c>
      <c r="BE191" s="1330"/>
      <c r="BF191" s="1330"/>
      <c r="BG191" s="1330"/>
    </row>
    <row r="192" spans="1:59" ht="12.5">
      <c r="A192" s="449"/>
      <c r="B192" s="436" t="s">
        <v>1902</v>
      </c>
      <c r="C192" s="446">
        <f>+$C$190+$G$191</f>
        <v>96364.450000000041</v>
      </c>
      <c r="D192" s="446"/>
      <c r="E192" s="638"/>
      <c r="F192" s="447">
        <v>0</v>
      </c>
      <c r="G192" s="484"/>
      <c r="H192" s="1239" t="s">
        <v>2133</v>
      </c>
      <c r="I192" s="1239" t="s">
        <v>623</v>
      </c>
      <c r="J192" s="171"/>
      <c r="K192" s="638"/>
      <c r="L192" s="638" t="s">
        <v>819</v>
      </c>
      <c r="M192" s="638" t="s">
        <v>3292</v>
      </c>
      <c r="N192" s="1239" t="s">
        <v>140</v>
      </c>
      <c r="O192" s="1239" t="s">
        <v>2789</v>
      </c>
      <c r="P192" s="1239"/>
      <c r="Q192" s="638">
        <v>0</v>
      </c>
      <c r="R192" s="447">
        <v>0</v>
      </c>
      <c r="S192" s="484"/>
      <c r="T192" s="638">
        <v>55</v>
      </c>
      <c r="U192" s="638">
        <v>-25</v>
      </c>
      <c r="V192" s="638"/>
      <c r="W192" s="638">
        <v>1.2</v>
      </c>
      <c r="X192" s="638">
        <v>1.4</v>
      </c>
      <c r="Y192" s="638"/>
      <c r="Z192" s="638">
        <v>0.5</v>
      </c>
      <c r="AA192" s="638"/>
      <c r="AB192" s="638"/>
      <c r="AC192" s="638" t="s">
        <v>1419</v>
      </c>
      <c r="AD192" s="638"/>
      <c r="AE192" s="638"/>
      <c r="AF192" s="447">
        <v>4400</v>
      </c>
      <c r="AG192" s="446">
        <v>96364</v>
      </c>
      <c r="AH192" s="447">
        <v>2063</v>
      </c>
      <c r="AI192" s="447">
        <v>-430</v>
      </c>
      <c r="AJ192" s="638"/>
      <c r="AK192" s="638"/>
      <c r="AL192" s="638" t="s">
        <v>2127</v>
      </c>
      <c r="AM192" s="638" t="s">
        <v>1043</v>
      </c>
      <c r="AN192" s="484">
        <v>5.22</v>
      </c>
      <c r="AO192" s="484"/>
      <c r="AP192" s="484"/>
      <c r="AQ192" s="484"/>
      <c r="AR192" s="484"/>
      <c r="AS192" s="484"/>
      <c r="AT192" s="484">
        <f>+ab($U$192,$U$190,$U$194,$G$191,$G$193, 1*$F$192,1200)</f>
        <v>-9.2075647406045285</v>
      </c>
      <c r="AU192" s="484"/>
      <c r="AV192" s="484"/>
      <c r="AW192" s="638" t="s">
        <v>4164</v>
      </c>
      <c r="AX192" s="572"/>
      <c r="AY192" s="636"/>
      <c r="AZ192" s="484"/>
      <c r="BA192" s="671" t="s">
        <v>2809</v>
      </c>
      <c r="BB192" s="449" t="str">
        <f>Pole_Calculations!A178</f>
        <v>App.8-V08F-P10.3</v>
      </c>
      <c r="BD192" s="1329">
        <v>43607</v>
      </c>
      <c r="BE192" s="1329" t="s">
        <v>4946</v>
      </c>
      <c r="BF192" s="1329" t="s">
        <v>4946</v>
      </c>
      <c r="BG192" s="1329">
        <v>43639</v>
      </c>
    </row>
    <row r="193" spans="1:59" ht="12.5">
      <c r="A193" s="449"/>
      <c r="B193" s="170"/>
      <c r="C193" s="446"/>
      <c r="D193" s="446"/>
      <c r="E193" s="638"/>
      <c r="F193" s="447"/>
      <c r="G193" s="484">
        <v>37</v>
      </c>
      <c r="H193" s="1239"/>
      <c r="I193" s="1239"/>
      <c r="J193" s="171"/>
      <c r="K193" s="638"/>
      <c r="L193" s="638"/>
      <c r="M193" s="638"/>
      <c r="N193" s="1239"/>
      <c r="O193" s="1239"/>
      <c r="P193" s="1239"/>
      <c r="Q193" s="638"/>
      <c r="R193" s="447"/>
      <c r="S193" s="484">
        <f>AG194-AG192</f>
        <v>37</v>
      </c>
      <c r="T193" s="638"/>
      <c r="U193" s="638"/>
      <c r="V193" s="638"/>
      <c r="W193" s="638"/>
      <c r="X193" s="638"/>
      <c r="Y193" s="638"/>
      <c r="Z193" s="638"/>
      <c r="AA193" s="638"/>
      <c r="AB193" s="638"/>
      <c r="AC193" s="638"/>
      <c r="AD193" s="638"/>
      <c r="AE193" s="638"/>
      <c r="AF193" s="447"/>
      <c r="AG193" s="446"/>
      <c r="AH193" s="447"/>
      <c r="AI193" s="447"/>
      <c r="AJ193" s="638"/>
      <c r="AK193" s="638"/>
      <c r="AL193" s="638"/>
      <c r="AM193" s="638"/>
      <c r="AN193" s="484"/>
      <c r="AO193" s="484"/>
      <c r="AP193" s="484"/>
      <c r="AQ193" s="484">
        <f>+FL_2($U$194,$U$192,$G$193,1200,9.28, 1*$F$194)</f>
        <v>-0.2651910011891892</v>
      </c>
      <c r="AR193" s="484"/>
      <c r="AS193" s="484"/>
      <c r="AT193" s="484"/>
      <c r="AU193" s="484"/>
      <c r="AV193" s="484"/>
      <c r="AW193" s="638"/>
      <c r="AX193" s="572"/>
      <c r="AY193" s="636"/>
      <c r="AZ193" s="484"/>
      <c r="BA193" s="671"/>
      <c r="BB193" s="449"/>
      <c r="BD193" s="1330"/>
      <c r="BE193" s="1330"/>
      <c r="BF193" s="1330"/>
      <c r="BG193" s="1330"/>
    </row>
    <row r="194" spans="1:59" ht="12.5">
      <c r="A194" s="449"/>
      <c r="B194" s="436" t="s">
        <v>1903</v>
      </c>
      <c r="C194" s="446">
        <f>+$C$192+$G$193</f>
        <v>96401.450000000041</v>
      </c>
      <c r="D194" s="446"/>
      <c r="E194" s="638"/>
      <c r="F194" s="447">
        <v>0</v>
      </c>
      <c r="G194" s="484"/>
      <c r="H194" s="447" t="s">
        <v>619</v>
      </c>
      <c r="I194" s="447"/>
      <c r="J194" s="446"/>
      <c r="K194" s="447"/>
      <c r="L194" s="638" t="s">
        <v>819</v>
      </c>
      <c r="M194" s="638" t="s">
        <v>3292</v>
      </c>
      <c r="N194" s="1239" t="s">
        <v>140</v>
      </c>
      <c r="O194" s="1239" t="s">
        <v>144</v>
      </c>
      <c r="P194" s="1239"/>
      <c r="Q194" s="638">
        <v>10</v>
      </c>
      <c r="R194" s="447">
        <v>0</v>
      </c>
      <c r="S194" s="484"/>
      <c r="T194" s="638">
        <v>55</v>
      </c>
      <c r="U194" s="638">
        <v>10</v>
      </c>
      <c r="V194" s="638"/>
      <c r="W194" s="638">
        <v>1.4</v>
      </c>
      <c r="X194" s="638">
        <v>2.2999999999999998</v>
      </c>
      <c r="Y194" s="638"/>
      <c r="Z194" s="638">
        <v>0.56000000000000005</v>
      </c>
      <c r="AA194" s="638"/>
      <c r="AB194" s="638"/>
      <c r="AC194" s="638"/>
      <c r="AD194" s="638" t="s">
        <v>4090</v>
      </c>
      <c r="AE194" s="638"/>
      <c r="AF194" s="447">
        <v>4400</v>
      </c>
      <c r="AG194" s="446">
        <v>96401</v>
      </c>
      <c r="AH194" s="447">
        <v>2003</v>
      </c>
      <c r="AI194" s="447">
        <v>-614</v>
      </c>
      <c r="AJ194" s="638"/>
      <c r="AK194" s="638"/>
      <c r="AL194" s="638" t="s">
        <v>2127</v>
      </c>
      <c r="AM194" s="638" t="s">
        <v>1043</v>
      </c>
      <c r="AN194" s="484">
        <v>5.33</v>
      </c>
      <c r="AO194" s="484"/>
      <c r="AP194" s="484"/>
      <c r="AQ194" s="484"/>
      <c r="AR194" s="484"/>
      <c r="AS194" s="484"/>
      <c r="AT194" s="484">
        <f>+ab($U$194,$U$192,$T$196,$G$193,$G$195, 1*$F$194,1200)</f>
        <v>13.352055245424468</v>
      </c>
      <c r="AU194" s="484"/>
      <c r="AV194" s="484"/>
      <c r="AW194" s="638" t="s">
        <v>4164</v>
      </c>
      <c r="AX194" s="572"/>
      <c r="AY194" s="636"/>
      <c r="AZ194" s="484"/>
      <c r="BA194" s="671" t="s">
        <v>2809</v>
      </c>
      <c r="BB194" s="449" t="str">
        <f>Pole_Calculations!A178</f>
        <v>App.8-V08F-P10.3</v>
      </c>
      <c r="BD194" s="1329">
        <v>43610</v>
      </c>
      <c r="BE194" s="1329" t="s">
        <v>4946</v>
      </c>
      <c r="BF194" s="1329" t="s">
        <v>4946</v>
      </c>
      <c r="BG194" s="1329">
        <v>43639</v>
      </c>
    </row>
    <row r="195" spans="1:59" ht="12.5">
      <c r="A195" s="449"/>
      <c r="B195" s="170"/>
      <c r="C195" s="446"/>
      <c r="D195" s="446"/>
      <c r="E195" s="638"/>
      <c r="F195" s="447"/>
      <c r="G195" s="484">
        <v>43</v>
      </c>
      <c r="H195" s="447"/>
      <c r="I195" s="1239"/>
      <c r="J195" s="446"/>
      <c r="K195" s="447"/>
      <c r="L195" s="638"/>
      <c r="M195" s="638"/>
      <c r="N195" s="1239"/>
      <c r="O195" s="1239"/>
      <c r="P195" s="1239"/>
      <c r="Q195" s="638"/>
      <c r="R195" s="447"/>
      <c r="S195" s="484">
        <f>AG196-AG194</f>
        <v>43</v>
      </c>
      <c r="T195" s="638"/>
      <c r="U195" s="638"/>
      <c r="V195" s="638"/>
      <c r="W195" s="638"/>
      <c r="X195" s="638"/>
      <c r="Y195" s="638"/>
      <c r="Z195" s="638"/>
      <c r="AA195" s="638"/>
      <c r="AB195" s="638"/>
      <c r="AC195" s="638"/>
      <c r="AD195" s="638"/>
      <c r="AE195" s="638"/>
      <c r="AF195" s="447"/>
      <c r="AG195" s="446"/>
      <c r="AH195" s="447"/>
      <c r="AI195" s="447"/>
      <c r="AJ195" s="638"/>
      <c r="AK195" s="638"/>
      <c r="AL195" s="638"/>
      <c r="AM195" s="638"/>
      <c r="AN195" s="484"/>
      <c r="AO195" s="484"/>
      <c r="AP195" s="484"/>
      <c r="AQ195" s="484">
        <f>+FL_1($T$196,$U$194,$G$195,1200,9.28, 1*$F$196)</f>
        <v>0.19272371637209301</v>
      </c>
      <c r="AR195" s="484"/>
      <c r="AS195" s="484"/>
      <c r="AT195" s="484"/>
      <c r="AU195" s="484"/>
      <c r="AV195" s="484"/>
      <c r="AW195" s="638"/>
      <c r="AX195" s="572"/>
      <c r="AY195" s="636"/>
      <c r="AZ195" s="484"/>
      <c r="BA195" s="671"/>
      <c r="BB195" s="449"/>
      <c r="BD195" s="1330"/>
      <c r="BE195" s="1330"/>
      <c r="BF195" s="1330"/>
      <c r="BG195" s="1330"/>
    </row>
    <row r="196" spans="1:59" ht="12.5">
      <c r="A196" s="449" t="s">
        <v>2951</v>
      </c>
      <c r="B196" s="436" t="s">
        <v>1904</v>
      </c>
      <c r="C196" s="446">
        <f>+$C$194+$G$195</f>
        <v>96444.450000000041</v>
      </c>
      <c r="D196" s="446"/>
      <c r="E196" s="638"/>
      <c r="F196" s="447">
        <v>0</v>
      </c>
      <c r="G196" s="484"/>
      <c r="H196" s="447" t="s">
        <v>619</v>
      </c>
      <c r="I196" s="1239" t="s">
        <v>1429</v>
      </c>
      <c r="J196" s="446"/>
      <c r="K196" s="447"/>
      <c r="L196" s="638" t="s">
        <v>819</v>
      </c>
      <c r="M196" s="638" t="s">
        <v>3292</v>
      </c>
      <c r="N196" s="1239" t="s">
        <v>2789</v>
      </c>
      <c r="O196" s="1239" t="s">
        <v>140</v>
      </c>
      <c r="P196" s="1239"/>
      <c r="Q196" s="638">
        <v>0</v>
      </c>
      <c r="R196" s="447">
        <v>0</v>
      </c>
      <c r="S196" s="484"/>
      <c r="T196" s="638">
        <v>-10</v>
      </c>
      <c r="U196" s="638">
        <v>-55</v>
      </c>
      <c r="V196" s="638"/>
      <c r="W196" s="638">
        <v>1.4</v>
      </c>
      <c r="X196" s="638">
        <v>2.2999999999999998</v>
      </c>
      <c r="Y196" s="638"/>
      <c r="Z196" s="638"/>
      <c r="AA196" s="638">
        <v>0.34</v>
      </c>
      <c r="AB196" s="638"/>
      <c r="AC196" s="638" t="s">
        <v>4090</v>
      </c>
      <c r="AD196" s="638"/>
      <c r="AE196" s="638"/>
      <c r="AF196" s="447">
        <v>4400</v>
      </c>
      <c r="AG196" s="446">
        <v>96444</v>
      </c>
      <c r="AH196" s="447">
        <v>2023</v>
      </c>
      <c r="AI196" s="447">
        <v>-680</v>
      </c>
      <c r="AJ196" s="638" t="s">
        <v>2154</v>
      </c>
      <c r="AK196" s="638"/>
      <c r="AL196" s="638" t="s">
        <v>2127</v>
      </c>
      <c r="AM196" s="638" t="s">
        <v>1043</v>
      </c>
      <c r="AN196" s="484">
        <v>5.44</v>
      </c>
      <c r="AO196" s="484"/>
      <c r="AP196" s="484"/>
      <c r="AQ196" s="484"/>
      <c r="AR196" s="484"/>
      <c r="AS196" s="484"/>
      <c r="AT196" s="484">
        <f>+ab($T$196,$T$194,$T$198,$G$195,$G$197, 1*$F$196,1200)</f>
        <v>-8.07413826699708</v>
      </c>
      <c r="AU196" s="484"/>
      <c r="AV196" s="484"/>
      <c r="AW196" s="638" t="s">
        <v>4164</v>
      </c>
      <c r="AX196" s="572"/>
      <c r="AY196" s="636"/>
      <c r="AZ196" s="484"/>
      <c r="BA196" s="671" t="s">
        <v>2809</v>
      </c>
      <c r="BB196" s="449" t="str">
        <f>Pole_Calculations!A178</f>
        <v>App.8-V08F-P10.3</v>
      </c>
      <c r="BD196" s="1329">
        <v>43610</v>
      </c>
      <c r="BE196" s="1329" t="s">
        <v>4946</v>
      </c>
      <c r="BF196" s="1329" t="s">
        <v>4946</v>
      </c>
      <c r="BG196" s="1329">
        <v>43639</v>
      </c>
    </row>
    <row r="197" spans="1:59" ht="12.5">
      <c r="A197" s="449"/>
      <c r="B197" s="170"/>
      <c r="C197" s="446"/>
      <c r="D197" s="446"/>
      <c r="E197" s="638"/>
      <c r="F197" s="447"/>
      <c r="G197" s="484">
        <v>47.1</v>
      </c>
      <c r="H197" s="1239"/>
      <c r="I197" s="1239"/>
      <c r="J197" s="171"/>
      <c r="K197" s="638"/>
      <c r="L197" s="638"/>
      <c r="M197" s="638"/>
      <c r="N197" s="1239"/>
      <c r="O197" s="1239"/>
      <c r="P197" s="1239"/>
      <c r="Q197" s="638"/>
      <c r="R197" s="447"/>
      <c r="S197" s="484">
        <f>AG198-AG196</f>
        <v>47</v>
      </c>
      <c r="T197" s="638"/>
      <c r="U197" s="638"/>
      <c r="V197" s="638"/>
      <c r="W197" s="638"/>
      <c r="X197" s="638"/>
      <c r="Y197" s="638"/>
      <c r="Z197" s="638"/>
      <c r="AA197" s="638"/>
      <c r="AB197" s="638"/>
      <c r="AC197" s="638"/>
      <c r="AD197" s="638"/>
      <c r="AE197" s="638"/>
      <c r="AF197" s="447"/>
      <c r="AG197" s="446"/>
      <c r="AH197" s="447"/>
      <c r="AI197" s="447"/>
      <c r="AJ197" s="638"/>
      <c r="AK197" s="638"/>
      <c r="AL197" s="638"/>
      <c r="AM197" s="638"/>
      <c r="AN197" s="484"/>
      <c r="AO197" s="484"/>
      <c r="AP197" s="484"/>
      <c r="AQ197" s="484">
        <f>+FL_1($T$198,$T$196,$G$197,1200,9.28, 1*$F$198)</f>
        <v>0.3610780196433121</v>
      </c>
      <c r="AR197" s="484"/>
      <c r="AS197" s="484"/>
      <c r="AT197" s="484"/>
      <c r="AU197" s="484"/>
      <c r="AV197" s="484"/>
      <c r="AW197" s="638"/>
      <c r="AX197" s="572"/>
      <c r="AY197" s="636"/>
      <c r="AZ197" s="484"/>
      <c r="BA197" s="671"/>
      <c r="BB197" s="449"/>
      <c r="BD197" s="1330"/>
      <c r="BE197" s="1330"/>
      <c r="BF197" s="1330"/>
      <c r="BG197" s="1330"/>
    </row>
    <row r="198" spans="1:59" ht="12.5">
      <c r="A198" s="449"/>
      <c r="B198" s="436" t="s">
        <v>1905</v>
      </c>
      <c r="C198" s="446">
        <f>+$C$196+$G$197</f>
        <v>96491.550000000047</v>
      </c>
      <c r="D198" s="446"/>
      <c r="E198" s="638"/>
      <c r="F198" s="447">
        <v>0</v>
      </c>
      <c r="G198" s="484"/>
      <c r="H198" s="1239" t="s">
        <v>2507</v>
      </c>
      <c r="I198" s="1239" t="s">
        <v>623</v>
      </c>
      <c r="J198" s="446"/>
      <c r="K198" s="447"/>
      <c r="L198" s="638" t="s">
        <v>819</v>
      </c>
      <c r="M198" s="638" t="s">
        <v>3292</v>
      </c>
      <c r="N198" s="1239" t="s">
        <v>144</v>
      </c>
      <c r="O198" s="1239" t="s">
        <v>2789</v>
      </c>
      <c r="P198" s="1239"/>
      <c r="Q198" s="638">
        <v>0</v>
      </c>
      <c r="R198" s="447">
        <v>0</v>
      </c>
      <c r="S198" s="484"/>
      <c r="T198" s="638">
        <v>30</v>
      </c>
      <c r="U198" s="638">
        <v>15</v>
      </c>
      <c r="V198" s="638"/>
      <c r="W198" s="638">
        <v>1.4</v>
      </c>
      <c r="X198" s="638">
        <v>2.2999999999999998</v>
      </c>
      <c r="Y198" s="638"/>
      <c r="Z198" s="638"/>
      <c r="AA198" s="638"/>
      <c r="AB198" s="638"/>
      <c r="AC198" s="638" t="s">
        <v>1427</v>
      </c>
      <c r="AD198" s="638" t="s">
        <v>4207</v>
      </c>
      <c r="AE198" s="638"/>
      <c r="AF198" s="447">
        <v>4100</v>
      </c>
      <c r="AG198" s="446">
        <v>96491</v>
      </c>
      <c r="AH198" s="447">
        <v>2063</v>
      </c>
      <c r="AI198" s="447">
        <v>-770</v>
      </c>
      <c r="AJ198" s="638"/>
      <c r="AK198" s="638"/>
      <c r="AL198" s="638" t="s">
        <v>2127</v>
      </c>
      <c r="AM198" s="638" t="s">
        <v>1043</v>
      </c>
      <c r="AN198" s="484">
        <v>5.5</v>
      </c>
      <c r="AO198" s="484"/>
      <c r="AP198" s="484"/>
      <c r="AQ198" s="484"/>
      <c r="AR198" s="484"/>
      <c r="AS198" s="484"/>
      <c r="AT198" s="484">
        <f>+ab($T$198,$T$196,$T$200,$G$197,$G$199, 1*$F$198,1200)</f>
        <v>8.4864323577554703</v>
      </c>
      <c r="AU198" s="484"/>
      <c r="AV198" s="484"/>
      <c r="AW198" s="638" t="s">
        <v>4164</v>
      </c>
      <c r="AX198" s="572"/>
      <c r="AY198" s="636"/>
      <c r="AZ198" s="484"/>
      <c r="BA198" s="671" t="s">
        <v>2809</v>
      </c>
      <c r="BB198" s="449" t="str">
        <f>Pole_Calculations!A178</f>
        <v>App.8-V08F-P10.3</v>
      </c>
      <c r="BD198" s="1329" t="s">
        <v>4920</v>
      </c>
      <c r="BE198" s="1329" t="s">
        <v>4946</v>
      </c>
      <c r="BF198" s="1329" t="s">
        <v>4946</v>
      </c>
      <c r="BG198" s="1329">
        <v>43639</v>
      </c>
    </row>
    <row r="199" spans="1:59" ht="12.5">
      <c r="A199" s="449"/>
      <c r="B199" s="170"/>
      <c r="C199" s="446"/>
      <c r="D199" s="446"/>
      <c r="E199" s="638"/>
      <c r="F199" s="447"/>
      <c r="G199" s="484">
        <v>43</v>
      </c>
      <c r="H199" s="1239"/>
      <c r="I199" s="1239"/>
      <c r="J199" s="171">
        <f>C198+7.5</f>
        <v>96499.050000000047</v>
      </c>
      <c r="K199" s="638" t="s">
        <v>1684</v>
      </c>
      <c r="L199" s="638"/>
      <c r="M199" s="638"/>
      <c r="N199" s="1239"/>
      <c r="O199" s="1239"/>
      <c r="P199" s="1239"/>
      <c r="Q199" s="638"/>
      <c r="R199" s="447"/>
      <c r="S199" s="484">
        <f>AG200-AG198</f>
        <v>43</v>
      </c>
      <c r="T199" s="638"/>
      <c r="U199" s="638"/>
      <c r="V199" s="638"/>
      <c r="W199" s="638"/>
      <c r="X199" s="638"/>
      <c r="Y199" s="638"/>
      <c r="Z199" s="638"/>
      <c r="AA199" s="638"/>
      <c r="AB199" s="638"/>
      <c r="AC199" s="638"/>
      <c r="AD199" s="638"/>
      <c r="AE199" s="638"/>
      <c r="AF199" s="447"/>
      <c r="AG199" s="446"/>
      <c r="AH199" s="447"/>
      <c r="AI199" s="447"/>
      <c r="AJ199" s="638"/>
      <c r="AK199" s="638"/>
      <c r="AL199" s="638"/>
      <c r="AM199" s="638"/>
      <c r="AN199" s="484"/>
      <c r="AO199" s="484"/>
      <c r="AP199" s="484"/>
      <c r="AQ199" s="484">
        <f>+FL_2($T$166,$T$164,$G$165,1200,9.28, 1*$F$166)</f>
        <v>-0.3</v>
      </c>
      <c r="AR199" s="484"/>
      <c r="AS199" s="484"/>
      <c r="AT199" s="484"/>
      <c r="AU199" s="484"/>
      <c r="AV199" s="484"/>
      <c r="AW199" s="638" t="s">
        <v>2846</v>
      </c>
      <c r="AX199" s="572"/>
      <c r="AY199" s="484"/>
      <c r="AZ199" s="689"/>
      <c r="BA199" s="671" t="s">
        <v>2809</v>
      </c>
      <c r="BB199" s="449"/>
      <c r="BD199" s="1329" t="s">
        <v>4946</v>
      </c>
      <c r="BE199" s="1330"/>
      <c r="BF199" s="1330"/>
      <c r="BG199" s="1330"/>
    </row>
    <row r="200" spans="1:59" ht="12.5">
      <c r="A200" s="449"/>
      <c r="B200" s="436" t="s">
        <v>1906</v>
      </c>
      <c r="C200" s="446">
        <f>+$C$198+$G$199</f>
        <v>96534.550000000047</v>
      </c>
      <c r="D200" s="446"/>
      <c r="E200" s="638"/>
      <c r="F200" s="447">
        <v>0</v>
      </c>
      <c r="G200" s="484"/>
      <c r="H200" s="1239" t="s">
        <v>2133</v>
      </c>
      <c r="I200" s="1239" t="s">
        <v>623</v>
      </c>
      <c r="J200" s="171">
        <f>C200-7.5</f>
        <v>96527.050000000047</v>
      </c>
      <c r="K200" s="638" t="s">
        <v>1684</v>
      </c>
      <c r="L200" s="638" t="s">
        <v>819</v>
      </c>
      <c r="M200" s="638" t="s">
        <v>3292</v>
      </c>
      <c r="N200" s="1239" t="s">
        <v>2789</v>
      </c>
      <c r="O200" s="1239" t="s">
        <v>140</v>
      </c>
      <c r="P200" s="1239"/>
      <c r="Q200" s="168">
        <v>10</v>
      </c>
      <c r="R200" s="447">
        <v>0</v>
      </c>
      <c r="S200" s="484"/>
      <c r="T200" s="638">
        <v>-30</v>
      </c>
      <c r="U200" s="638">
        <v>-45</v>
      </c>
      <c r="V200" s="638"/>
      <c r="W200" s="638">
        <v>1.4</v>
      </c>
      <c r="X200" s="638">
        <v>2.2999999999999998</v>
      </c>
      <c r="Y200" s="638"/>
      <c r="Z200" s="638"/>
      <c r="AA200" s="638">
        <v>0.45</v>
      </c>
      <c r="AB200" s="638"/>
      <c r="AC200" s="638" t="s">
        <v>4124</v>
      </c>
      <c r="AD200" s="638"/>
      <c r="AE200" s="638"/>
      <c r="AF200" s="447">
        <v>4700</v>
      </c>
      <c r="AG200" s="446">
        <v>96534</v>
      </c>
      <c r="AH200" s="447">
        <v>2103</v>
      </c>
      <c r="AI200" s="447">
        <v>-760</v>
      </c>
      <c r="AJ200" s="638"/>
      <c r="AK200" s="638"/>
      <c r="AL200" s="638" t="s">
        <v>2127</v>
      </c>
      <c r="AM200" s="638" t="s">
        <v>1043</v>
      </c>
      <c r="AN200" s="484">
        <v>5.5</v>
      </c>
      <c r="AO200" s="484"/>
      <c r="AP200" s="484"/>
      <c r="AQ200" s="484"/>
      <c r="AR200" s="484"/>
      <c r="AS200" s="484"/>
      <c r="AT200" s="484">
        <f>+ab($T$200,$T$198,$U$202,$G$199,$G$201, 1*$F$200,1200)</f>
        <v>-5.6838156586702917</v>
      </c>
      <c r="AU200" s="484"/>
      <c r="AV200" s="484"/>
      <c r="AW200" s="638" t="s">
        <v>4164</v>
      </c>
      <c r="AX200" s="572"/>
      <c r="AY200" s="636"/>
      <c r="AZ200" s="484"/>
      <c r="BA200" s="671" t="s">
        <v>2809</v>
      </c>
      <c r="BB200" s="449" t="str">
        <f>Pole_Calculations!A178</f>
        <v>App.8-V08F-P10.3</v>
      </c>
      <c r="BD200" s="1329" t="s">
        <v>4920</v>
      </c>
      <c r="BE200" s="1329" t="s">
        <v>4946</v>
      </c>
      <c r="BF200" s="1329" t="s">
        <v>4946</v>
      </c>
      <c r="BG200" s="1329">
        <v>43639</v>
      </c>
    </row>
    <row r="201" spans="1:59" ht="12.5">
      <c r="A201" s="449"/>
      <c r="B201" s="170"/>
      <c r="C201" s="446"/>
      <c r="D201" s="446"/>
      <c r="E201" s="638"/>
      <c r="F201" s="447"/>
      <c r="G201" s="484">
        <v>33</v>
      </c>
      <c r="H201" s="1239"/>
      <c r="I201" s="1239">
        <v>287</v>
      </c>
      <c r="J201" s="171"/>
      <c r="K201" s="638"/>
      <c r="L201" s="638"/>
      <c r="M201" s="638"/>
      <c r="N201" s="1239"/>
      <c r="O201" s="1239"/>
      <c r="P201" s="1239"/>
      <c r="Q201" s="168"/>
      <c r="R201" s="447"/>
      <c r="S201" s="484">
        <f>AG202-AG200</f>
        <v>33</v>
      </c>
      <c r="T201" s="638"/>
      <c r="U201" s="638"/>
      <c r="V201" s="638"/>
      <c r="W201" s="638"/>
      <c r="X201" s="638"/>
      <c r="Y201" s="638"/>
      <c r="Z201" s="638"/>
      <c r="AA201" s="638"/>
      <c r="AB201" s="638"/>
      <c r="AC201" s="638"/>
      <c r="AD201" s="638"/>
      <c r="AE201" s="638"/>
      <c r="AF201" s="447"/>
      <c r="AG201" s="446"/>
      <c r="AH201" s="447"/>
      <c r="AI201" s="447"/>
      <c r="AJ201" s="638"/>
      <c r="AK201" s="638"/>
      <c r="AL201" s="638"/>
      <c r="AM201" s="638"/>
      <c r="AN201" s="484"/>
      <c r="AO201" s="484"/>
      <c r="AP201" s="484"/>
      <c r="AQ201" s="484">
        <f>+FL_1($U$202,$T$200,$G$201,1200,9.28, 1*$F$202)</f>
        <v>0.35</v>
      </c>
      <c r="AR201" s="484"/>
      <c r="AS201" s="484"/>
      <c r="AT201" s="484"/>
      <c r="AU201" s="484"/>
      <c r="AV201" s="484"/>
      <c r="AW201" s="638"/>
      <c r="AX201" s="572"/>
      <c r="AY201" s="636"/>
      <c r="AZ201" s="484"/>
      <c r="BA201" s="671"/>
      <c r="BB201" s="449"/>
      <c r="BD201" s="1330"/>
      <c r="BE201" s="1330"/>
      <c r="BF201" s="1330"/>
      <c r="BG201" s="1330"/>
    </row>
    <row r="202" spans="1:59" ht="12.5">
      <c r="A202" s="449"/>
      <c r="B202" s="436" t="s">
        <v>1907</v>
      </c>
      <c r="C202" s="446">
        <f>+$C$200+$G$201</f>
        <v>96567.550000000047</v>
      </c>
      <c r="D202" s="446"/>
      <c r="E202" s="638"/>
      <c r="F202" s="447">
        <v>0</v>
      </c>
      <c r="G202" s="484"/>
      <c r="H202" s="1239" t="s">
        <v>2139</v>
      </c>
      <c r="I202" s="1239" t="s">
        <v>623</v>
      </c>
      <c r="J202" s="171"/>
      <c r="K202" s="638"/>
      <c r="L202" s="638" t="s">
        <v>819</v>
      </c>
      <c r="M202" s="638" t="s">
        <v>3292</v>
      </c>
      <c r="N202" s="1239" t="s">
        <v>140</v>
      </c>
      <c r="O202" s="1239" t="s">
        <v>144</v>
      </c>
      <c r="P202" s="1239"/>
      <c r="Q202" s="168">
        <v>0</v>
      </c>
      <c r="R202" s="447">
        <v>0</v>
      </c>
      <c r="S202" s="484"/>
      <c r="T202" s="638">
        <v>55</v>
      </c>
      <c r="U202" s="638">
        <v>35</v>
      </c>
      <c r="V202" s="638"/>
      <c r="W202" s="638">
        <v>1.4</v>
      </c>
      <c r="X202" s="638">
        <v>1.8</v>
      </c>
      <c r="Y202" s="638"/>
      <c r="Z202" s="638">
        <v>0.6</v>
      </c>
      <c r="AA202" s="638"/>
      <c r="AB202" s="638"/>
      <c r="AC202" s="638" t="s">
        <v>4090</v>
      </c>
      <c r="AD202" s="638"/>
      <c r="AE202" s="638"/>
      <c r="AF202" s="447">
        <v>4700</v>
      </c>
      <c r="AG202" s="446">
        <v>96567</v>
      </c>
      <c r="AH202" s="447">
        <v>2203</v>
      </c>
      <c r="AI202" s="447">
        <v>-340</v>
      </c>
      <c r="AJ202" s="638"/>
      <c r="AK202" s="638"/>
      <c r="AL202" s="638" t="s">
        <v>2127</v>
      </c>
      <c r="AM202" s="638" t="s">
        <v>1043</v>
      </c>
      <c r="AN202" s="484">
        <v>5.5</v>
      </c>
      <c r="AO202" s="484"/>
      <c r="AP202" s="484"/>
      <c r="AQ202" s="484"/>
      <c r="AR202" s="484"/>
      <c r="AS202" s="484"/>
      <c r="AT202" s="484">
        <f>+ab($U$202,$T$200,$U$204,$G$201,$G$203, 1*$F$202,1200)</f>
        <v>4.9239765767848587</v>
      </c>
      <c r="AU202" s="484"/>
      <c r="AV202" s="484"/>
      <c r="AW202" s="638" t="s">
        <v>4164</v>
      </c>
      <c r="AX202" s="572"/>
      <c r="AY202" s="636"/>
      <c r="AZ202" s="484" t="s">
        <v>638</v>
      </c>
      <c r="BA202" s="671" t="s">
        <v>2809</v>
      </c>
      <c r="BB202" s="449" t="str">
        <f>Pole_Calculations!A178</f>
        <v>App.8-V08F-P10.3</v>
      </c>
      <c r="BD202" s="1329" t="s">
        <v>4921</v>
      </c>
      <c r="BE202" s="1329" t="s">
        <v>4946</v>
      </c>
      <c r="BF202" s="1329" t="s">
        <v>4946</v>
      </c>
      <c r="BG202" s="1329">
        <v>43661</v>
      </c>
    </row>
    <row r="203" spans="1:59" ht="12.5">
      <c r="A203" s="449"/>
      <c r="B203" s="170"/>
      <c r="C203" s="446"/>
      <c r="D203" s="446"/>
      <c r="E203" s="638"/>
      <c r="F203" s="447"/>
      <c r="G203" s="484">
        <v>36.5</v>
      </c>
      <c r="H203" s="1239"/>
      <c r="I203" s="448"/>
      <c r="J203" s="171">
        <f>C202+7.5</f>
        <v>96575.050000000047</v>
      </c>
      <c r="K203" s="638" t="s">
        <v>1684</v>
      </c>
      <c r="L203" s="638"/>
      <c r="M203" s="638"/>
      <c r="N203" s="1239"/>
      <c r="O203" s="1239"/>
      <c r="P203" s="1239"/>
      <c r="Q203" s="638"/>
      <c r="R203" s="447"/>
      <c r="S203" s="484">
        <f>AG204-AG202</f>
        <v>37</v>
      </c>
      <c r="T203" s="638"/>
      <c r="U203" s="638"/>
      <c r="V203" s="638"/>
      <c r="W203" s="638"/>
      <c r="X203" s="638"/>
      <c r="Y203" s="638"/>
      <c r="Z203" s="638"/>
      <c r="AA203" s="638"/>
      <c r="AB203" s="638"/>
      <c r="AC203" s="638"/>
      <c r="AD203" s="638"/>
      <c r="AE203" s="638"/>
      <c r="AF203" s="447"/>
      <c r="AG203" s="446"/>
      <c r="AH203" s="447"/>
      <c r="AI203" s="447"/>
      <c r="AJ203" s="638"/>
      <c r="AK203" s="638"/>
      <c r="AL203" s="638"/>
      <c r="AM203" s="638"/>
      <c r="AN203" s="484"/>
      <c r="AO203" s="484"/>
      <c r="AP203" s="484"/>
      <c r="AQ203" s="484">
        <f>+FL_2($T$166,$T$164,$G$165,1200,9.28, 1*$F$166)</f>
        <v>-0.3</v>
      </c>
      <c r="AR203" s="484"/>
      <c r="AS203" s="484"/>
      <c r="AT203" s="484"/>
      <c r="AU203" s="484"/>
      <c r="AV203" s="484"/>
      <c r="AW203" s="638" t="s">
        <v>2846</v>
      </c>
      <c r="AX203" s="572"/>
      <c r="AY203" s="484"/>
      <c r="AZ203" s="689"/>
      <c r="BA203" s="671" t="s">
        <v>2809</v>
      </c>
      <c r="BB203" s="449"/>
      <c r="BD203" s="1329" t="s">
        <v>4946</v>
      </c>
      <c r="BE203" s="1330"/>
      <c r="BF203" s="1330"/>
      <c r="BG203" s="1330"/>
    </row>
    <row r="204" spans="1:59" ht="12.5">
      <c r="A204" s="449"/>
      <c r="B204" s="436" t="s">
        <v>1908</v>
      </c>
      <c r="C204" s="446">
        <f>+$C$202+$G$203</f>
        <v>96604.050000000047</v>
      </c>
      <c r="D204" s="446"/>
      <c r="E204" s="638"/>
      <c r="F204" s="447">
        <v>0</v>
      </c>
      <c r="G204" s="484"/>
      <c r="H204" s="1239" t="s">
        <v>619</v>
      </c>
      <c r="I204" s="1239" t="s">
        <v>1471</v>
      </c>
      <c r="J204" s="171"/>
      <c r="K204" s="638"/>
      <c r="L204" s="638" t="s">
        <v>819</v>
      </c>
      <c r="M204" s="638" t="s">
        <v>3292</v>
      </c>
      <c r="N204" s="1239" t="s">
        <v>140</v>
      </c>
      <c r="O204" s="1239" t="s">
        <v>143</v>
      </c>
      <c r="P204" s="1239"/>
      <c r="Q204" s="168">
        <v>0</v>
      </c>
      <c r="R204" s="447">
        <v>0</v>
      </c>
      <c r="S204" s="484"/>
      <c r="T204" s="638">
        <v>55</v>
      </c>
      <c r="U204" s="638">
        <v>-35</v>
      </c>
      <c r="V204" s="638"/>
      <c r="W204" s="638">
        <v>1.4</v>
      </c>
      <c r="X204" s="638">
        <v>1.8</v>
      </c>
      <c r="Y204" s="638"/>
      <c r="Z204" s="638">
        <v>0.5</v>
      </c>
      <c r="AA204" s="638"/>
      <c r="AB204" s="638"/>
      <c r="AC204" s="638" t="s">
        <v>4115</v>
      </c>
      <c r="AD204" s="638"/>
      <c r="AE204" s="638"/>
      <c r="AF204" s="447">
        <v>4500</v>
      </c>
      <c r="AG204" s="446">
        <v>96604</v>
      </c>
      <c r="AH204" s="447">
        <v>2153</v>
      </c>
      <c r="AI204" s="447">
        <v>-732</v>
      </c>
      <c r="AJ204" s="638"/>
      <c r="AK204" s="638"/>
      <c r="AL204" s="638" t="s">
        <v>2127</v>
      </c>
      <c r="AM204" s="638" t="s">
        <v>1043</v>
      </c>
      <c r="AN204" s="484">
        <v>5.5</v>
      </c>
      <c r="AO204" s="484"/>
      <c r="AP204" s="484"/>
      <c r="AQ204" s="484"/>
      <c r="AR204" s="484"/>
      <c r="AS204" s="484"/>
      <c r="AT204" s="484">
        <f>+ab($U$204,$U$202,$T$206,$G$203,$G$205, 1*$F$204,1200)</f>
        <v>-5.2723925748380225</v>
      </c>
      <c r="AU204" s="484"/>
      <c r="AV204" s="484"/>
      <c r="AW204" s="638" t="s">
        <v>4164</v>
      </c>
      <c r="AX204" s="572"/>
      <c r="AY204" s="636"/>
      <c r="AZ204" s="484" t="s">
        <v>638</v>
      </c>
      <c r="BA204" s="671" t="s">
        <v>2809</v>
      </c>
      <c r="BB204" s="449" t="str">
        <f>Pole_Calculations!A178</f>
        <v>App.8-V08F-P10.3</v>
      </c>
      <c r="BD204" s="1329">
        <v>43633</v>
      </c>
      <c r="BE204" s="1329" t="s">
        <v>4946</v>
      </c>
      <c r="BF204" s="1329" t="s">
        <v>4946</v>
      </c>
      <c r="BG204" s="1329">
        <v>43656</v>
      </c>
    </row>
    <row r="205" spans="1:59" ht="12.5">
      <c r="A205" s="966" t="s">
        <v>1663</v>
      </c>
      <c r="B205" s="511"/>
      <c r="C205" s="505"/>
      <c r="D205" s="505"/>
      <c r="E205" s="506"/>
      <c r="F205" s="507"/>
      <c r="G205" s="508">
        <v>40.9</v>
      </c>
      <c r="H205" s="509"/>
      <c r="I205" s="509" t="s">
        <v>1471</v>
      </c>
      <c r="J205" s="510">
        <f>C204+7.5</f>
        <v>96611.550000000047</v>
      </c>
      <c r="K205" s="506" t="s">
        <v>1685</v>
      </c>
      <c r="L205" s="506"/>
      <c r="M205" s="506"/>
      <c r="N205" s="509"/>
      <c r="O205" s="509"/>
      <c r="P205" s="509"/>
      <c r="Q205" s="762"/>
      <c r="R205" s="507"/>
      <c r="S205" s="508">
        <f>AG206-AG204</f>
        <v>41</v>
      </c>
      <c r="T205" s="506"/>
      <c r="U205" s="506"/>
      <c r="V205" s="506"/>
      <c r="W205" s="506"/>
      <c r="X205" s="506"/>
      <c r="Y205" s="506"/>
      <c r="Z205" s="506"/>
      <c r="AA205" s="506"/>
      <c r="AB205" s="506"/>
      <c r="AC205" s="506"/>
      <c r="AD205" s="506"/>
      <c r="AE205" s="506"/>
      <c r="AF205" s="507"/>
      <c r="AG205" s="505"/>
      <c r="AH205" s="507"/>
      <c r="AI205" s="507"/>
      <c r="AJ205" s="506"/>
      <c r="AK205" s="506"/>
      <c r="AL205" s="506"/>
      <c r="AM205" s="506"/>
      <c r="AN205" s="508"/>
      <c r="AO205" s="508"/>
      <c r="AP205" s="508"/>
      <c r="AQ205" s="508">
        <f>+FL_1($T$206,$U$204,$G$205,1200,9.28, 1*$F$206)</f>
        <v>0.35</v>
      </c>
      <c r="AR205" s="508"/>
      <c r="AS205" s="508"/>
      <c r="AT205" s="508"/>
      <c r="AU205" s="508"/>
      <c r="AV205" s="508"/>
      <c r="AW205" s="506" t="s">
        <v>2846</v>
      </c>
      <c r="AX205" s="675"/>
      <c r="AY205" s="691"/>
      <c r="AZ205" s="508"/>
      <c r="BA205" s="968" t="s">
        <v>2809</v>
      </c>
      <c r="BB205" s="966"/>
      <c r="BD205" s="1329" t="s">
        <v>4946</v>
      </c>
      <c r="BE205" s="1330"/>
      <c r="BF205" s="1330"/>
      <c r="BG205" s="1330"/>
    </row>
    <row r="206" spans="1:59" ht="25">
      <c r="A206" s="966" t="s">
        <v>2952</v>
      </c>
      <c r="B206" s="625" t="s">
        <v>1909</v>
      </c>
      <c r="C206" s="505">
        <f>+$C$204+$G$205</f>
        <v>96644.950000000041</v>
      </c>
      <c r="D206" s="505"/>
      <c r="E206" s="506"/>
      <c r="F206" s="507">
        <v>0</v>
      </c>
      <c r="G206" s="508"/>
      <c r="H206" s="509"/>
      <c r="I206" s="509" t="s">
        <v>1039</v>
      </c>
      <c r="J206" s="510">
        <f>C206+7.5</f>
        <v>96652.450000000041</v>
      </c>
      <c r="K206" s="506" t="s">
        <v>1685</v>
      </c>
      <c r="L206" s="506" t="s">
        <v>821</v>
      </c>
      <c r="M206" s="506" t="s">
        <v>1687</v>
      </c>
      <c r="N206" s="509" t="s">
        <v>144</v>
      </c>
      <c r="O206" s="509"/>
      <c r="P206" s="509"/>
      <c r="Q206" s="762">
        <v>0</v>
      </c>
      <c r="R206" s="507">
        <v>0</v>
      </c>
      <c r="S206" s="508"/>
      <c r="T206" s="506">
        <v>35</v>
      </c>
      <c r="U206" s="506"/>
      <c r="V206" s="506"/>
      <c r="W206" s="506">
        <v>1.4</v>
      </c>
      <c r="X206" s="506"/>
      <c r="Y206" s="506"/>
      <c r="Z206" s="506"/>
      <c r="AA206" s="506"/>
      <c r="AB206" s="506"/>
      <c r="AC206" s="506" t="s">
        <v>4090</v>
      </c>
      <c r="AD206" s="506"/>
      <c r="AE206" s="506"/>
      <c r="AF206" s="507">
        <v>3800</v>
      </c>
      <c r="AG206" s="505">
        <v>96645</v>
      </c>
      <c r="AH206" s="507">
        <v>1823</v>
      </c>
      <c r="AI206" s="507">
        <v>-1300</v>
      </c>
      <c r="AJ206" s="506" t="s">
        <v>884</v>
      </c>
      <c r="AK206" s="506"/>
      <c r="AL206" s="506" t="s">
        <v>2142</v>
      </c>
      <c r="AM206" s="506" t="s">
        <v>1043</v>
      </c>
      <c r="AN206" s="508">
        <v>5.44</v>
      </c>
      <c r="AO206" s="508"/>
      <c r="AP206" s="508"/>
      <c r="AQ206" s="508"/>
      <c r="AR206" s="508"/>
      <c r="AS206" s="508"/>
      <c r="AT206" s="508">
        <f>+ab($T$206,$U$204,$T$208,$G$205,$G$207, 1*$F$206,1200)</f>
        <v>5.9323341365965003</v>
      </c>
      <c r="AU206" s="508"/>
      <c r="AV206" s="508"/>
      <c r="AW206" s="784" t="s">
        <v>4209</v>
      </c>
      <c r="AX206" s="675"/>
      <c r="AY206" s="691"/>
      <c r="AZ206" s="508" t="s">
        <v>638</v>
      </c>
      <c r="BA206" s="1194" t="s">
        <v>2809</v>
      </c>
      <c r="BB206" s="966" t="str">
        <f>Pole_Calculations!A178</f>
        <v>App.8-V08F-P10.3</v>
      </c>
      <c r="BD206" s="1329">
        <v>43640</v>
      </c>
      <c r="BE206" s="1329" t="s">
        <v>4946</v>
      </c>
      <c r="BF206" s="1329" t="s">
        <v>4946</v>
      </c>
      <c r="BG206" s="1329">
        <v>43695</v>
      </c>
    </row>
    <row r="207" spans="1:59" ht="12.5">
      <c r="A207" s="449"/>
      <c r="B207" s="170"/>
      <c r="C207" s="446"/>
      <c r="D207" s="446"/>
      <c r="E207" s="638"/>
      <c r="F207" s="447"/>
      <c r="G207" s="484">
        <v>43</v>
      </c>
      <c r="H207" s="1239"/>
      <c r="I207" s="1239"/>
      <c r="J207" s="171"/>
      <c r="K207" s="638"/>
      <c r="L207" s="638"/>
      <c r="M207" s="638"/>
      <c r="N207" s="1239"/>
      <c r="O207" s="1239"/>
      <c r="P207" s="1239"/>
      <c r="Q207" s="638"/>
      <c r="R207" s="447"/>
      <c r="S207" s="484">
        <f>AG208-AG206</f>
        <v>43</v>
      </c>
      <c r="T207" s="638"/>
      <c r="U207" s="638"/>
      <c r="V207" s="638"/>
      <c r="W207" s="638"/>
      <c r="X207" s="638"/>
      <c r="Y207" s="638"/>
      <c r="Z207" s="638"/>
      <c r="AA207" s="638"/>
      <c r="AB207" s="638"/>
      <c r="AC207" s="638"/>
      <c r="AD207" s="638"/>
      <c r="AE207" s="638"/>
      <c r="AF207" s="447"/>
      <c r="AG207" s="446"/>
      <c r="AH207" s="447"/>
      <c r="AI207" s="447"/>
      <c r="AJ207" s="638"/>
      <c r="AK207" s="638"/>
      <c r="AL207" s="638"/>
      <c r="AM207" s="638"/>
      <c r="AN207" s="484"/>
      <c r="AO207" s="484"/>
      <c r="AP207" s="484"/>
      <c r="AQ207" s="484">
        <f>+FL_2($T$166,$T$164,$G$165,1200,9.28, 1*$F$166)</f>
        <v>-0.3</v>
      </c>
      <c r="AR207" s="484"/>
      <c r="AS207" s="484"/>
      <c r="AT207" s="484"/>
      <c r="AU207" s="484"/>
      <c r="AV207" s="484"/>
      <c r="AW207" s="638"/>
      <c r="AX207" s="572"/>
      <c r="AY207" s="484"/>
      <c r="AZ207" s="689"/>
      <c r="BA207" s="671"/>
      <c r="BB207" s="449"/>
      <c r="BD207" s="1330"/>
      <c r="BE207" s="1330"/>
      <c r="BF207" s="1330"/>
      <c r="BG207" s="1330"/>
    </row>
    <row r="208" spans="1:59" ht="12.5">
      <c r="A208" s="449"/>
      <c r="B208" s="436" t="s">
        <v>1910</v>
      </c>
      <c r="C208" s="446">
        <f>+$C$206+$G$207</f>
        <v>96687.950000000041</v>
      </c>
      <c r="D208" s="446"/>
      <c r="E208" s="638"/>
      <c r="F208" s="447">
        <v>-1410.69</v>
      </c>
      <c r="G208" s="484"/>
      <c r="H208" s="1239"/>
      <c r="I208" s="448"/>
      <c r="J208" s="171"/>
      <c r="K208" s="638"/>
      <c r="L208" s="638" t="s">
        <v>819</v>
      </c>
      <c r="M208" s="638" t="s">
        <v>3292</v>
      </c>
      <c r="N208" s="1239" t="s">
        <v>2789</v>
      </c>
      <c r="O208" s="1239"/>
      <c r="P208" s="1239"/>
      <c r="Q208" s="168">
        <v>10</v>
      </c>
      <c r="R208" s="702">
        <v>1410.69</v>
      </c>
      <c r="S208" s="484"/>
      <c r="T208" s="638">
        <v>-30</v>
      </c>
      <c r="U208" s="638"/>
      <c r="V208" s="638"/>
      <c r="W208" s="638">
        <v>1.2</v>
      </c>
      <c r="X208" s="638"/>
      <c r="Y208" s="638"/>
      <c r="Z208" s="638"/>
      <c r="AA208" s="638"/>
      <c r="AB208" s="638"/>
      <c r="AC208" s="638" t="s">
        <v>4090</v>
      </c>
      <c r="AD208" s="638"/>
      <c r="AE208" s="638"/>
      <c r="AF208" s="447">
        <v>4200</v>
      </c>
      <c r="AG208" s="770">
        <v>96688</v>
      </c>
      <c r="AH208" s="702">
        <v>1833</v>
      </c>
      <c r="AI208" s="702">
        <v>-1060</v>
      </c>
      <c r="AJ208" s="638"/>
      <c r="AK208" s="638"/>
      <c r="AL208" s="638" t="s">
        <v>2127</v>
      </c>
      <c r="AM208" s="638" t="s">
        <v>1042</v>
      </c>
      <c r="AN208" s="484">
        <v>5.32</v>
      </c>
      <c r="AO208" s="484"/>
      <c r="AP208" s="484"/>
      <c r="AQ208" s="484"/>
      <c r="AR208" s="484"/>
      <c r="AS208" s="484"/>
      <c r="AT208" s="484">
        <f>+ab($T$208,$T$206,$T$210,$G$207,$G$209, 1*$F$208,1200)</f>
        <v>-4.2871609148362761</v>
      </c>
      <c r="AU208" s="484"/>
      <c r="AV208" s="484"/>
      <c r="AW208" s="638" t="s">
        <v>4433</v>
      </c>
      <c r="AX208" s="572"/>
      <c r="AY208" s="636"/>
      <c r="AZ208" s="484" t="s">
        <v>638</v>
      </c>
      <c r="BA208" s="671" t="s">
        <v>2809</v>
      </c>
      <c r="BB208" s="449" t="str">
        <f>Pole_Calculations!A178</f>
        <v>App.8-V08F-P10.3</v>
      </c>
      <c r="BD208" s="1329" t="s">
        <v>4921</v>
      </c>
      <c r="BE208" s="1329" t="s">
        <v>4946</v>
      </c>
      <c r="BF208" s="1329" t="s">
        <v>4946</v>
      </c>
      <c r="BG208" s="1329">
        <v>43639</v>
      </c>
    </row>
    <row r="209" spans="1:59" ht="12.5">
      <c r="A209" s="449"/>
      <c r="B209" s="170"/>
      <c r="C209" s="446"/>
      <c r="D209" s="446"/>
      <c r="E209" s="638"/>
      <c r="F209" s="447"/>
      <c r="G209" s="484">
        <v>40.4</v>
      </c>
      <c r="H209" s="1239"/>
      <c r="I209" s="1239"/>
      <c r="J209" s="171"/>
      <c r="K209" s="638"/>
      <c r="L209" s="638"/>
      <c r="M209" s="638"/>
      <c r="N209" s="1239"/>
      <c r="O209" s="1239"/>
      <c r="P209" s="1239"/>
      <c r="Q209" s="168"/>
      <c r="R209" s="702"/>
      <c r="S209" s="484">
        <f>AG210-AG208</f>
        <v>40</v>
      </c>
      <c r="T209" s="638"/>
      <c r="U209" s="638"/>
      <c r="V209" s="638"/>
      <c r="W209" s="638"/>
      <c r="X209" s="638"/>
      <c r="Y209" s="638"/>
      <c r="Z209" s="638"/>
      <c r="AA209" s="638"/>
      <c r="AB209" s="638"/>
      <c r="AC209" s="638"/>
      <c r="AD209" s="638"/>
      <c r="AE209" s="638"/>
      <c r="AF209" s="447"/>
      <c r="AG209" s="770"/>
      <c r="AH209" s="702"/>
      <c r="AI209" s="702"/>
      <c r="AJ209" s="638"/>
      <c r="AK209" s="638"/>
      <c r="AL209" s="638"/>
      <c r="AM209" s="638"/>
      <c r="AN209" s="484"/>
      <c r="AO209" s="484"/>
      <c r="AP209" s="484"/>
      <c r="AQ209" s="484">
        <f>+FL_2($T$210,$T$208,$G$209,1200,9.28, 1*$F$210)</f>
        <v>-0.3</v>
      </c>
      <c r="AR209" s="484"/>
      <c r="AS209" s="484"/>
      <c r="AT209" s="484"/>
      <c r="AU209" s="484"/>
      <c r="AV209" s="484"/>
      <c r="AW209" s="638"/>
      <c r="AX209" s="572"/>
      <c r="AY209" s="636"/>
      <c r="AZ209" s="484"/>
      <c r="BA209" s="671"/>
      <c r="BB209" s="449"/>
      <c r="BD209" s="1330"/>
      <c r="BE209" s="1330"/>
      <c r="BF209" s="1330"/>
      <c r="BG209" s="1330"/>
    </row>
    <row r="210" spans="1:59" ht="12.5">
      <c r="A210" s="449" t="s">
        <v>2953</v>
      </c>
      <c r="B210" s="568" t="s">
        <v>1911</v>
      </c>
      <c r="C210" s="446">
        <f>+$C$208+$G$209</f>
        <v>96728.350000000035</v>
      </c>
      <c r="D210" s="446"/>
      <c r="E210" s="638"/>
      <c r="F210" s="447">
        <v>-1150</v>
      </c>
      <c r="G210" s="484"/>
      <c r="H210" s="1239"/>
      <c r="I210" s="1239"/>
      <c r="J210" s="171"/>
      <c r="K210" s="638"/>
      <c r="L210" s="638" t="s">
        <v>821</v>
      </c>
      <c r="M210" s="638" t="s">
        <v>1687</v>
      </c>
      <c r="N210" s="1239" t="s">
        <v>2789</v>
      </c>
      <c r="O210" s="1239"/>
      <c r="P210" s="1239"/>
      <c r="Q210" s="168">
        <v>30</v>
      </c>
      <c r="R210" s="702">
        <v>1150</v>
      </c>
      <c r="S210" s="484"/>
      <c r="T210" s="638">
        <v>-30</v>
      </c>
      <c r="U210" s="638"/>
      <c r="V210" s="638"/>
      <c r="W210" s="638">
        <v>1</v>
      </c>
      <c r="X210" s="638"/>
      <c r="Y210" s="638"/>
      <c r="Z210" s="638"/>
      <c r="AA210" s="638"/>
      <c r="AB210" s="638"/>
      <c r="AC210" s="638" t="s">
        <v>4090</v>
      </c>
      <c r="AD210" s="638"/>
      <c r="AE210" s="638"/>
      <c r="AF210" s="447">
        <v>4100</v>
      </c>
      <c r="AG210" s="770">
        <v>96728</v>
      </c>
      <c r="AH210" s="702">
        <v>2133</v>
      </c>
      <c r="AI210" s="702">
        <v>-1050</v>
      </c>
      <c r="AJ210" s="638" t="s">
        <v>884</v>
      </c>
      <c r="AK210" s="638"/>
      <c r="AL210" s="638" t="s">
        <v>2142</v>
      </c>
      <c r="AM210" s="638" t="s">
        <v>1042</v>
      </c>
      <c r="AN210" s="484">
        <v>5.21</v>
      </c>
      <c r="AO210" s="484"/>
      <c r="AP210" s="484"/>
      <c r="AQ210" s="484"/>
      <c r="AR210" s="484"/>
      <c r="AS210" s="484"/>
      <c r="AT210" s="484">
        <f>+ab($T$210,$T$208,$T$212,$G$209,$G$211, 1*$F$210,1200)</f>
        <v>-5.079284799122151</v>
      </c>
      <c r="AU210" s="484"/>
      <c r="AV210" s="484"/>
      <c r="AW210" s="638" t="s">
        <v>4433</v>
      </c>
      <c r="AX210" s="638"/>
      <c r="AY210" s="484"/>
      <c r="AZ210" s="484"/>
      <c r="BA210" s="671" t="s">
        <v>2809</v>
      </c>
      <c r="BB210" s="449" t="str">
        <f>Pole_Calculations!A178</f>
        <v>App.8-V08F-P10.3</v>
      </c>
      <c r="BD210" s="1329" t="s">
        <v>4921</v>
      </c>
      <c r="BE210" s="1329" t="s">
        <v>4946</v>
      </c>
      <c r="BF210" s="1329" t="s">
        <v>4946</v>
      </c>
      <c r="BG210" s="1329">
        <v>43639</v>
      </c>
    </row>
    <row r="211" spans="1:59" ht="12.5">
      <c r="A211" s="414"/>
      <c r="B211" s="423"/>
      <c r="C211" s="416"/>
      <c r="D211" s="416"/>
      <c r="E211" s="417"/>
      <c r="F211" s="418"/>
      <c r="G211" s="422">
        <v>40.6</v>
      </c>
      <c r="H211" s="420"/>
      <c r="I211" s="433"/>
      <c r="J211" s="432"/>
      <c r="K211" s="417"/>
      <c r="L211" s="417"/>
      <c r="M211" s="417"/>
      <c r="N211" s="420"/>
      <c r="O211" s="420"/>
      <c r="P211" s="420"/>
      <c r="Q211" s="677"/>
      <c r="R211" s="780"/>
      <c r="S211" s="422">
        <f>AG212-AG210</f>
        <v>41.419999999998254</v>
      </c>
      <c r="T211" s="417"/>
      <c r="U211" s="417"/>
      <c r="V211" s="417"/>
      <c r="W211" s="417"/>
      <c r="X211" s="417"/>
      <c r="Y211" s="417"/>
      <c r="Z211" s="417"/>
      <c r="AA211" s="417"/>
      <c r="AB211" s="417"/>
      <c r="AC211" s="417"/>
      <c r="AD211" s="417"/>
      <c r="AE211" s="417"/>
      <c r="AF211" s="418"/>
      <c r="AG211" s="768"/>
      <c r="AH211" s="780"/>
      <c r="AI211" s="780"/>
      <c r="AJ211" s="417"/>
      <c r="AK211" s="417"/>
      <c r="AL211" s="417"/>
      <c r="AM211" s="417"/>
      <c r="AN211" s="422"/>
      <c r="AO211" s="422"/>
      <c r="AP211" s="422"/>
      <c r="AQ211" s="422">
        <f>+FL_2($T$212,$T$210,$G$211,1200,9.28, 1*$F$212)</f>
        <v>-0.29999999999999349</v>
      </c>
      <c r="AR211" s="422"/>
      <c r="AS211" s="422"/>
      <c r="AT211" s="422"/>
      <c r="AU211" s="422"/>
      <c r="AV211" s="422"/>
      <c r="AW211" s="417"/>
      <c r="AX211" s="417"/>
      <c r="AY211" s="422"/>
      <c r="AZ211" s="422"/>
      <c r="BA211" s="604"/>
      <c r="BB211" s="414"/>
      <c r="BD211" s="1330"/>
      <c r="BE211" s="1330"/>
      <c r="BF211" s="1330"/>
      <c r="BG211" s="1330"/>
    </row>
    <row r="212" spans="1:59" ht="25">
      <c r="A212" s="414"/>
      <c r="B212" s="568" t="s">
        <v>1912</v>
      </c>
      <c r="C212" s="416">
        <f>+$C$210+$G$211</f>
        <v>96768.950000000041</v>
      </c>
      <c r="D212" s="416"/>
      <c r="E212" s="417"/>
      <c r="F212" s="418">
        <v>-1150</v>
      </c>
      <c r="G212" s="422"/>
      <c r="H212" s="420"/>
      <c r="I212" s="420"/>
      <c r="J212" s="432"/>
      <c r="K212" s="417"/>
      <c r="L212" s="417" t="s">
        <v>821</v>
      </c>
      <c r="M212" s="417" t="s">
        <v>1687</v>
      </c>
      <c r="N212" s="420" t="s">
        <v>2789</v>
      </c>
      <c r="O212" s="420"/>
      <c r="P212" s="420"/>
      <c r="Q212" s="677">
        <v>30</v>
      </c>
      <c r="R212" s="780">
        <v>-1150</v>
      </c>
      <c r="S212" s="422"/>
      <c r="T212" s="417">
        <v>-20</v>
      </c>
      <c r="U212" s="417"/>
      <c r="V212" s="417"/>
      <c r="W212" s="417">
        <v>0.8</v>
      </c>
      <c r="X212" s="417"/>
      <c r="Y212" s="417"/>
      <c r="Z212" s="417"/>
      <c r="AA212" s="417"/>
      <c r="AB212" s="417"/>
      <c r="AC212" s="417" t="s">
        <v>4090</v>
      </c>
      <c r="AD212" s="417"/>
      <c r="AE212" s="417"/>
      <c r="AF212" s="418">
        <v>4400</v>
      </c>
      <c r="AG212" s="768">
        <v>96769.42</v>
      </c>
      <c r="AH212" s="780">
        <v>2233</v>
      </c>
      <c r="AI212" s="780">
        <v>-870</v>
      </c>
      <c r="AJ212" s="417"/>
      <c r="AK212" s="417"/>
      <c r="AL212" s="417" t="s">
        <v>2135</v>
      </c>
      <c r="AM212" s="417" t="s">
        <v>1042</v>
      </c>
      <c r="AN212" s="422">
        <v>5.15</v>
      </c>
      <c r="AO212" s="422"/>
      <c r="AP212" s="422"/>
      <c r="AQ212" s="422"/>
      <c r="AR212" s="422"/>
      <c r="AS212" s="422"/>
      <c r="AT212" s="422">
        <f>+ab($T$212,$T$210,$T$214,$G$211,$G$213, 1*$F$212,1200)</f>
        <v>-6.5700001201333968</v>
      </c>
      <c r="AU212" s="422"/>
      <c r="AV212" s="422"/>
      <c r="AW212" s="645" t="s">
        <v>4166</v>
      </c>
      <c r="AX212" s="417"/>
      <c r="AY212" s="422"/>
      <c r="AZ212" s="422"/>
      <c r="BA212" s="604" t="s">
        <v>2809</v>
      </c>
      <c r="BB212" s="414" t="str">
        <f>Pole_Calculations!A178</f>
        <v>App.8-V08F-P10.3</v>
      </c>
      <c r="BD212" s="1329">
        <v>43476</v>
      </c>
      <c r="BE212" s="1329" t="s">
        <v>4946</v>
      </c>
      <c r="BF212" s="1329" t="s">
        <v>4946</v>
      </c>
      <c r="BG212" s="1329">
        <v>43549</v>
      </c>
    </row>
    <row r="213" spans="1:59" ht="12.5">
      <c r="A213" s="967" t="s">
        <v>1851</v>
      </c>
      <c r="B213" s="443"/>
      <c r="C213" s="489"/>
      <c r="D213" s="489"/>
      <c r="E213" s="490"/>
      <c r="F213" s="491"/>
      <c r="G213" s="493">
        <v>38</v>
      </c>
      <c r="H213" s="495"/>
      <c r="I213" s="495"/>
      <c r="J213" s="431">
        <f>C212+7.5</f>
        <v>96776.450000000041</v>
      </c>
      <c r="K213" s="490"/>
      <c r="L213" s="490"/>
      <c r="M213" s="490"/>
      <c r="N213" s="495"/>
      <c r="O213" s="495"/>
      <c r="P213" s="495"/>
      <c r="Q213" s="761"/>
      <c r="R213" s="781"/>
      <c r="S213" s="493">
        <f>AG214-AG212</f>
        <v>37.990000000005239</v>
      </c>
      <c r="T213" s="490"/>
      <c r="U213" s="490"/>
      <c r="V213" s="490"/>
      <c r="W213" s="490"/>
      <c r="X213" s="490"/>
      <c r="Y213" s="490"/>
      <c r="Z213" s="490"/>
      <c r="AA213" s="490"/>
      <c r="AB213" s="490"/>
      <c r="AC213" s="490"/>
      <c r="AD213" s="490"/>
      <c r="AE213" s="490"/>
      <c r="AF213" s="491"/>
      <c r="AG213" s="771"/>
      <c r="AH213" s="781"/>
      <c r="AI213" s="781"/>
      <c r="AJ213" s="490"/>
      <c r="AK213" s="490"/>
      <c r="AL213" s="490"/>
      <c r="AM213" s="490" t="s">
        <v>2879</v>
      </c>
      <c r="AN213" s="493"/>
      <c r="AO213" s="493"/>
      <c r="AP213" s="493"/>
      <c r="AQ213" s="493">
        <f>+FL_2($T$214,$T$212,$G$213,1200,9.28, 1*$F$214)</f>
        <v>-0.3</v>
      </c>
      <c r="AR213" s="493"/>
      <c r="AS213" s="493"/>
      <c r="AT213" s="493"/>
      <c r="AU213" s="493"/>
      <c r="AV213" s="493"/>
      <c r="AW213" s="490"/>
      <c r="AX213" s="490"/>
      <c r="AY213" s="493"/>
      <c r="AZ213" s="493"/>
      <c r="BA213" s="602"/>
      <c r="BB213" s="967"/>
      <c r="BD213" s="1330"/>
      <c r="BE213" s="1330"/>
      <c r="BF213" s="1330"/>
      <c r="BG213" s="1330"/>
    </row>
    <row r="214" spans="1:59" ht="12.5">
      <c r="A214" s="414"/>
      <c r="B214" s="603" t="s">
        <v>1913</v>
      </c>
      <c r="C214" s="416">
        <f>+$C$212+$G$213</f>
        <v>96806.950000000041</v>
      </c>
      <c r="D214" s="416"/>
      <c r="E214" s="417"/>
      <c r="F214" s="418">
        <v>-740</v>
      </c>
      <c r="G214" s="422"/>
      <c r="H214" s="420"/>
      <c r="I214" s="420"/>
      <c r="J214" s="432"/>
      <c r="K214" s="417"/>
      <c r="L214" s="417" t="s">
        <v>1680</v>
      </c>
      <c r="M214" s="417"/>
      <c r="N214" s="420" t="s">
        <v>2789</v>
      </c>
      <c r="O214" s="420"/>
      <c r="P214" s="420"/>
      <c r="Q214" s="677">
        <v>30</v>
      </c>
      <c r="R214" s="780">
        <v>-740</v>
      </c>
      <c r="S214" s="422"/>
      <c r="T214" s="417">
        <v>-30</v>
      </c>
      <c r="U214" s="417"/>
      <c r="V214" s="417"/>
      <c r="W214" s="417">
        <v>0.55000000000000004</v>
      </c>
      <c r="X214" s="417"/>
      <c r="Y214" s="417"/>
      <c r="Z214" s="417"/>
      <c r="AA214" s="417"/>
      <c r="AB214" s="417"/>
      <c r="AC214" s="417" t="s">
        <v>4128</v>
      </c>
      <c r="AD214" s="417"/>
      <c r="AE214" s="417"/>
      <c r="AF214" s="418">
        <v>1000</v>
      </c>
      <c r="AG214" s="768">
        <v>96807.41</v>
      </c>
      <c r="AH214" s="780">
        <v>1543</v>
      </c>
      <c r="AI214" s="780">
        <v>-4385</v>
      </c>
      <c r="AJ214" s="417"/>
      <c r="AK214" s="417"/>
      <c r="AL214" s="417"/>
      <c r="AM214" s="417" t="s">
        <v>1042</v>
      </c>
      <c r="AN214" s="422">
        <v>5.15</v>
      </c>
      <c r="AO214" s="422"/>
      <c r="AP214" s="422"/>
      <c r="AQ214" s="422"/>
      <c r="AR214" s="422"/>
      <c r="AS214" s="422"/>
      <c r="AT214" s="422">
        <f>+ab($T$214,$T$212,$T$216,$G$213,$G$215, 1*$F$214,1200)</f>
        <v>-3.5063654889179245</v>
      </c>
      <c r="AU214" s="422"/>
      <c r="AV214" s="422"/>
      <c r="AW214" s="417" t="s">
        <v>2846</v>
      </c>
      <c r="AX214" s="417"/>
      <c r="AY214" s="422"/>
      <c r="AZ214" s="422"/>
      <c r="BA214" s="604" t="s">
        <v>2809</v>
      </c>
      <c r="BB214" s="414"/>
      <c r="BD214" s="1329" t="s">
        <v>4946</v>
      </c>
      <c r="BE214" s="1329" t="s">
        <v>4946</v>
      </c>
      <c r="BF214" s="1330"/>
      <c r="BG214" s="1329">
        <v>43654</v>
      </c>
    </row>
    <row r="215" spans="1:59" ht="12.5">
      <c r="A215" s="414"/>
      <c r="B215" s="423"/>
      <c r="C215" s="416"/>
      <c r="D215" s="416"/>
      <c r="E215" s="417"/>
      <c r="F215" s="418"/>
      <c r="G215" s="422">
        <v>39</v>
      </c>
      <c r="H215" s="420"/>
      <c r="I215" s="420"/>
      <c r="J215" s="432">
        <f>C216-7.5</f>
        <v>96838.450000000041</v>
      </c>
      <c r="K215" s="417" t="s">
        <v>1685</v>
      </c>
      <c r="L215" s="417"/>
      <c r="M215" s="417"/>
      <c r="N215" s="420"/>
      <c r="O215" s="420"/>
      <c r="P215" s="420"/>
      <c r="Q215" s="677"/>
      <c r="R215" s="780"/>
      <c r="S215" s="422">
        <f>AG216-AG214</f>
        <v>39.25</v>
      </c>
      <c r="T215" s="417"/>
      <c r="U215" s="417"/>
      <c r="V215" s="417"/>
      <c r="W215" s="417"/>
      <c r="X215" s="417"/>
      <c r="Y215" s="417"/>
      <c r="Z215" s="417"/>
      <c r="AA215" s="417"/>
      <c r="AB215" s="417"/>
      <c r="AC215" s="417"/>
      <c r="AD215" s="417"/>
      <c r="AE215" s="417"/>
      <c r="AF215" s="418"/>
      <c r="AG215" s="768"/>
      <c r="AH215" s="780"/>
      <c r="AI215" s="780"/>
      <c r="AJ215" s="417"/>
      <c r="AK215" s="417"/>
      <c r="AL215" s="417"/>
      <c r="AM215" s="417"/>
      <c r="AN215" s="422"/>
      <c r="AO215" s="422"/>
      <c r="AP215" s="422"/>
      <c r="AQ215" s="422">
        <f>+FL_2($T$216,$T$214,$G$215,1200,9.28, 1*$F$216)</f>
        <v>-0.3</v>
      </c>
      <c r="AR215" s="422"/>
      <c r="AS215" s="422"/>
      <c r="AT215" s="422"/>
      <c r="AU215" s="422"/>
      <c r="AV215" s="422"/>
      <c r="AW215" s="417" t="s">
        <v>2883</v>
      </c>
      <c r="AX215" s="578"/>
      <c r="AY215" s="422"/>
      <c r="AZ215" s="692" t="str">
        <f>IF(AX215="PT",VLOOKUP(K215,'Foundation Calculation'!$L$2:$R$41,VLOOKUP(AW215,'Foundation Calculation'!$I$2:$J$8,2,FALSE),0),IF(AX215="K",VLOOKUP(K215,'Foundation Calculation'!$L$41:$R$79,VLOOKUP(AW215,'Foundation Calculation'!$I$2:$J$8,2,FALSE),0),""))</f>
        <v/>
      </c>
      <c r="BA215" s="604" t="s">
        <v>2809</v>
      </c>
      <c r="BB215" s="414"/>
      <c r="BD215" s="1329" t="s">
        <v>4946</v>
      </c>
      <c r="BE215" s="1330"/>
      <c r="BF215" s="1330"/>
      <c r="BG215" s="1330"/>
    </row>
    <row r="216" spans="1:59" ht="25">
      <c r="A216" s="414"/>
      <c r="B216" s="603" t="s">
        <v>1914</v>
      </c>
      <c r="C216" s="416">
        <f>+$C$214+$G$215</f>
        <v>96845.950000000041</v>
      </c>
      <c r="D216" s="416"/>
      <c r="E216" s="417"/>
      <c r="F216" s="418">
        <v>-740</v>
      </c>
      <c r="G216" s="422"/>
      <c r="H216" s="420" t="s">
        <v>873</v>
      </c>
      <c r="I216" s="420"/>
      <c r="J216" s="432"/>
      <c r="K216" s="417"/>
      <c r="L216" s="417" t="s">
        <v>232</v>
      </c>
      <c r="M216" s="417" t="s">
        <v>1542</v>
      </c>
      <c r="N216" s="420" t="s">
        <v>2789</v>
      </c>
      <c r="O216" s="420"/>
      <c r="P216" s="420"/>
      <c r="Q216" s="677">
        <v>30</v>
      </c>
      <c r="R216" s="780">
        <v>-740</v>
      </c>
      <c r="S216" s="422"/>
      <c r="T216" s="417">
        <v>-30</v>
      </c>
      <c r="U216" s="417"/>
      <c r="V216" s="417"/>
      <c r="W216" s="417">
        <v>0.8</v>
      </c>
      <c r="X216" s="417"/>
      <c r="Y216" s="417"/>
      <c r="Z216" s="417"/>
      <c r="AA216" s="417"/>
      <c r="AB216" s="417"/>
      <c r="AC216" s="417" t="s">
        <v>4128</v>
      </c>
      <c r="AD216" s="417"/>
      <c r="AE216" s="417"/>
      <c r="AF216" s="418">
        <v>4300</v>
      </c>
      <c r="AG216" s="768">
        <v>96846.66</v>
      </c>
      <c r="AH216" s="780">
        <v>2213</v>
      </c>
      <c r="AI216" s="780">
        <v>-827</v>
      </c>
      <c r="AJ216" s="417"/>
      <c r="AK216" s="417"/>
      <c r="AL216" s="417"/>
      <c r="AM216" s="417" t="s">
        <v>1042</v>
      </c>
      <c r="AN216" s="422">
        <v>5.15</v>
      </c>
      <c r="AO216" s="422"/>
      <c r="AP216" s="422"/>
      <c r="AQ216" s="422"/>
      <c r="AR216" s="422"/>
      <c r="AS216" s="422"/>
      <c r="AT216" s="422">
        <f>+ab($T$216,$T$214,$T$218,$G$215,$G$217, 1*$F$216,1200)</f>
        <v>-3.7364746539575258</v>
      </c>
      <c r="AU216" s="422"/>
      <c r="AV216" s="422"/>
      <c r="AW216" s="645" t="s">
        <v>3303</v>
      </c>
      <c r="AX216" s="417"/>
      <c r="AY216" s="422"/>
      <c r="AZ216" s="422"/>
      <c r="BA216" s="604" t="s">
        <v>2809</v>
      </c>
      <c r="BB216" s="414" t="str">
        <f>Pole_Calculations!A17</f>
        <v>App.7-V11A-P9.5.1.3</v>
      </c>
      <c r="BD216" s="1329">
        <v>43476</v>
      </c>
      <c r="BE216" s="1329" t="s">
        <v>4946</v>
      </c>
      <c r="BF216" s="1330"/>
      <c r="BG216" s="1329">
        <v>43549</v>
      </c>
    </row>
    <row r="217" spans="1:59" ht="12.5">
      <c r="A217" s="414"/>
      <c r="B217" s="423"/>
      <c r="C217" s="416"/>
      <c r="D217" s="416"/>
      <c r="E217" s="417"/>
      <c r="F217" s="418"/>
      <c r="G217" s="422">
        <v>36.9</v>
      </c>
      <c r="H217" s="420"/>
      <c r="I217" s="421">
        <f>SUM(G193:G217)</f>
        <v>518.4</v>
      </c>
      <c r="J217" s="432"/>
      <c r="K217" s="417"/>
      <c r="L217" s="417"/>
      <c r="M217" s="417"/>
      <c r="N217" s="420"/>
      <c r="O217" s="420"/>
      <c r="P217" s="420"/>
      <c r="Q217" s="677"/>
      <c r="R217" s="780"/>
      <c r="S217" s="422">
        <f>AG218-AG216</f>
        <v>34.75</v>
      </c>
      <c r="T217" s="417"/>
      <c r="U217" s="417"/>
      <c r="V217" s="417"/>
      <c r="W217" s="417"/>
      <c r="X217" s="417"/>
      <c r="Y217" s="417"/>
      <c r="Z217" s="417"/>
      <c r="AA217" s="417"/>
      <c r="AB217" s="417"/>
      <c r="AC217" s="417"/>
      <c r="AD217" s="417"/>
      <c r="AE217" s="417"/>
      <c r="AF217" s="418"/>
      <c r="AG217" s="768"/>
      <c r="AH217" s="780"/>
      <c r="AI217" s="780"/>
      <c r="AJ217" s="417"/>
      <c r="AK217" s="417"/>
      <c r="AL217" s="417"/>
      <c r="AM217" s="417"/>
      <c r="AN217" s="422"/>
      <c r="AO217" s="422"/>
      <c r="AP217" s="422"/>
      <c r="AQ217" s="422">
        <f>+FL_2($T$218,$T$216,$G$217,1200,9.28, 1*$F$218)</f>
        <v>-0.3</v>
      </c>
      <c r="AR217" s="422"/>
      <c r="AS217" s="422"/>
      <c r="AT217" s="422"/>
      <c r="AU217" s="422"/>
      <c r="AV217" s="422"/>
      <c r="AW217" s="417"/>
      <c r="AX217" s="417"/>
      <c r="AY217" s="422"/>
      <c r="AZ217" s="422"/>
      <c r="BA217" s="604"/>
      <c r="BB217" s="414"/>
      <c r="BD217" s="1330"/>
      <c r="BE217" s="1330"/>
      <c r="BF217" s="1330"/>
      <c r="BG217" s="1330"/>
    </row>
    <row r="218" spans="1:59" ht="25">
      <c r="A218" s="414" t="s">
        <v>1855</v>
      </c>
      <c r="B218" s="603" t="s">
        <v>2477</v>
      </c>
      <c r="C218" s="416">
        <f>+$C$216+$G$217</f>
        <v>96882.850000000035</v>
      </c>
      <c r="D218" s="416"/>
      <c r="E218" s="417"/>
      <c r="F218" s="418">
        <v>-740</v>
      </c>
      <c r="G218" s="422"/>
      <c r="H218" s="420" t="s">
        <v>874</v>
      </c>
      <c r="I218" s="420"/>
      <c r="J218" s="432"/>
      <c r="K218" s="417"/>
      <c r="L218" s="417" t="s">
        <v>230</v>
      </c>
      <c r="M218" s="417" t="s">
        <v>1541</v>
      </c>
      <c r="N218" s="420" t="s">
        <v>2789</v>
      </c>
      <c r="O218" s="420"/>
      <c r="P218" s="420"/>
      <c r="Q218" s="677">
        <v>40</v>
      </c>
      <c r="R218" s="780">
        <v>-740</v>
      </c>
      <c r="S218" s="422"/>
      <c r="T218" s="417">
        <v>-30</v>
      </c>
      <c r="U218" s="417"/>
      <c r="V218" s="417"/>
      <c r="W218" s="417">
        <v>1</v>
      </c>
      <c r="X218" s="417"/>
      <c r="Y218" s="417"/>
      <c r="Z218" s="417"/>
      <c r="AA218" s="417"/>
      <c r="AB218" s="417"/>
      <c r="AC218" s="417" t="s">
        <v>3050</v>
      </c>
      <c r="AD218" s="417"/>
      <c r="AE218" s="417"/>
      <c r="AF218" s="418">
        <v>4300</v>
      </c>
      <c r="AG218" s="768">
        <v>96881.41</v>
      </c>
      <c r="AH218" s="780">
        <v>2473</v>
      </c>
      <c r="AI218" s="780">
        <v>-810</v>
      </c>
      <c r="AJ218" s="417"/>
      <c r="AK218" s="417"/>
      <c r="AL218" s="417"/>
      <c r="AM218" s="417" t="s">
        <v>1042</v>
      </c>
      <c r="AN218" s="422">
        <v>5.21</v>
      </c>
      <c r="AO218" s="422"/>
      <c r="AP218" s="422"/>
      <c r="AQ218" s="422"/>
      <c r="AR218" s="422"/>
      <c r="AS218" s="422"/>
      <c r="AT218" s="422">
        <f>+ab($T$218,$T$216,$T$220,$G$217,$G$219, 1*$F$218,1200)</f>
        <v>-3.688020886060019</v>
      </c>
      <c r="AU218" s="422"/>
      <c r="AV218" s="422"/>
      <c r="AW218" s="645" t="s">
        <v>2887</v>
      </c>
      <c r="AX218" s="417"/>
      <c r="AY218" s="422"/>
      <c r="AZ218" s="422"/>
      <c r="BA218" s="604" t="s">
        <v>2809</v>
      </c>
      <c r="BB218" s="414" t="str">
        <f>Pole_Calculations!A16</f>
        <v>App.7-V11A-P9.5.1.2</v>
      </c>
      <c r="BD218" s="1329">
        <v>43414</v>
      </c>
      <c r="BE218" s="1329" t="s">
        <v>4946</v>
      </c>
      <c r="BF218" s="1330"/>
      <c r="BG218" s="1329">
        <v>43549</v>
      </c>
    </row>
    <row r="219" spans="1:59" ht="12.5">
      <c r="A219" s="414" t="s">
        <v>1854</v>
      </c>
      <c r="B219" s="423"/>
      <c r="C219" s="416"/>
      <c r="D219" s="416"/>
      <c r="E219" s="417"/>
      <c r="F219" s="418"/>
      <c r="G219" s="422">
        <v>40</v>
      </c>
      <c r="H219" s="420"/>
      <c r="I219" s="421">
        <f>SUM(G219:G245)</f>
        <v>515.5</v>
      </c>
      <c r="J219" s="432"/>
      <c r="K219" s="417"/>
      <c r="L219" s="417"/>
      <c r="M219" s="417"/>
      <c r="N219" s="420"/>
      <c r="O219" s="420"/>
      <c r="P219" s="420"/>
      <c r="Q219" s="677"/>
      <c r="R219" s="780"/>
      <c r="S219" s="422">
        <f>AG220-AG218</f>
        <v>41.309999999997672</v>
      </c>
      <c r="T219" s="417"/>
      <c r="U219" s="417"/>
      <c r="V219" s="417"/>
      <c r="W219" s="417"/>
      <c r="X219" s="417"/>
      <c r="Y219" s="417"/>
      <c r="Z219" s="417"/>
      <c r="AA219" s="417"/>
      <c r="AB219" s="417"/>
      <c r="AC219" s="417"/>
      <c r="AD219" s="417"/>
      <c r="AE219" s="417"/>
      <c r="AF219" s="418"/>
      <c r="AG219" s="768"/>
      <c r="AH219" s="780"/>
      <c r="AI219" s="780"/>
      <c r="AJ219" s="417"/>
      <c r="AK219" s="417"/>
      <c r="AL219" s="417"/>
      <c r="AM219" s="417"/>
      <c r="AN219" s="422"/>
      <c r="AO219" s="422"/>
      <c r="AP219" s="422"/>
      <c r="AQ219" s="422">
        <f>+FL_2($T$220,$T$218,$G$219,1200,9.28, 1*$F$220)</f>
        <v>-0.37439276772616237</v>
      </c>
      <c r="AR219" s="422"/>
      <c r="AS219" s="422"/>
      <c r="AT219" s="422"/>
      <c r="AU219" s="422"/>
      <c r="AV219" s="422"/>
      <c r="AW219" s="417"/>
      <c r="AX219" s="417"/>
      <c r="AY219" s="422"/>
      <c r="AZ219" s="422"/>
      <c r="BA219" s="604"/>
      <c r="BB219" s="414"/>
      <c r="BD219" s="1330"/>
      <c r="BE219" s="1330"/>
      <c r="BF219" s="1330"/>
      <c r="BG219" s="1330"/>
    </row>
    <row r="220" spans="1:59" ht="12.5">
      <c r="A220" s="414"/>
      <c r="B220" s="440" t="s">
        <v>1915</v>
      </c>
      <c r="C220" s="416">
        <f>+$C$218+$G$219</f>
        <v>96922.850000000035</v>
      </c>
      <c r="D220" s="416"/>
      <c r="E220" s="417"/>
      <c r="F220" s="418">
        <v>-2491.5100000000002</v>
      </c>
      <c r="G220" s="422"/>
      <c r="H220" s="420" t="s">
        <v>873</v>
      </c>
      <c r="I220" s="420"/>
      <c r="J220" s="432"/>
      <c r="K220" s="417"/>
      <c r="L220" s="417" t="s">
        <v>1451</v>
      </c>
      <c r="M220" s="417" t="str">
        <f>IF(AX220="PT",VLOOKUP(L220,'Foundation Calculation'!$V$2:$X$40,VLOOKUP(AX220,'Foundation Calculation'!$I$10:$J$13,2,FALSE),0),IF(AX220="K",VLOOKUP(L220,'Foundation Calculation'!$V$42:$X$80,VLOOKUP(AX220,'Foundation Calculation'!$I$10:$J$13,2,FALSE),0),""))</f>
        <v>C8R</v>
      </c>
      <c r="N220" s="420" t="s">
        <v>143</v>
      </c>
      <c r="O220" s="420"/>
      <c r="P220" s="420"/>
      <c r="Q220" s="677">
        <v>48</v>
      </c>
      <c r="R220" s="780">
        <v>-2491.54</v>
      </c>
      <c r="S220" s="422"/>
      <c r="T220" s="417">
        <v>-30</v>
      </c>
      <c r="U220" s="417"/>
      <c r="V220" s="417"/>
      <c r="W220" s="417">
        <v>1.2</v>
      </c>
      <c r="X220" s="417"/>
      <c r="Y220" s="417"/>
      <c r="Z220" s="417"/>
      <c r="AA220" s="417"/>
      <c r="AB220" s="417"/>
      <c r="AC220" s="417" t="s">
        <v>4090</v>
      </c>
      <c r="AD220" s="417"/>
      <c r="AE220" s="417"/>
      <c r="AF220" s="418">
        <v>5600</v>
      </c>
      <c r="AG220" s="768">
        <v>96922.72</v>
      </c>
      <c r="AH220" s="780">
        <v>2333</v>
      </c>
      <c r="AI220" s="780">
        <v>211</v>
      </c>
      <c r="AJ220" s="417"/>
      <c r="AK220" s="417"/>
      <c r="AL220" s="417" t="s">
        <v>2143</v>
      </c>
      <c r="AM220" s="417" t="s">
        <v>1042</v>
      </c>
      <c r="AN220" s="422">
        <v>5.31</v>
      </c>
      <c r="AO220" s="422"/>
      <c r="AP220" s="422"/>
      <c r="AQ220" s="422"/>
      <c r="AR220" s="422"/>
      <c r="AS220" s="422"/>
      <c r="AT220" s="422">
        <f>+ab($T$220,$T$218,$T$222,$G$219,$G$221, 1*$F$220,1200)</f>
        <v>-6.8004635119995198</v>
      </c>
      <c r="AU220" s="422"/>
      <c r="AV220" s="422"/>
      <c r="AW220" s="417" t="str">
        <f>VLOOKUP(C220,'Foundation Calculation'!$A$2:$C$33,3,1)</f>
        <v>Soil A</v>
      </c>
      <c r="AX220" s="578" t="str">
        <f>VLOOKUP(C220,'Foundation Calculation'!$E$2:$G$33,3,1)</f>
        <v>PT</v>
      </c>
      <c r="AY220" s="692">
        <f>IF(AX220="PT",VLOOKUP(L220,'Foundation Calculation'!$K$2:$R$40,VLOOKUP(AW220,'Foundation Calculation'!$I$2:$J$8,2,FALSE),0),IF(AX220="K",VLOOKUP(L220,'Foundation Calculation'!$K$42:$R$80,VLOOKUP(AW220,'Foundation Calculation'!$I$2:$J$8,2,FALSE),0),""))</f>
        <v>5.2</v>
      </c>
      <c r="AZ220" s="422"/>
      <c r="BA220" s="604" t="s">
        <v>2809</v>
      </c>
      <c r="BB220" s="414" t="str">
        <f>Pole_Calculations!A178</f>
        <v>App.8-V08F-P10.3</v>
      </c>
      <c r="BD220" s="1329">
        <v>43414</v>
      </c>
      <c r="BE220" s="1329" t="s">
        <v>4946</v>
      </c>
      <c r="BF220" s="1329" t="s">
        <v>4946</v>
      </c>
      <c r="BG220" s="1329">
        <v>43549</v>
      </c>
    </row>
    <row r="221" spans="1:59" ht="12.5">
      <c r="A221" s="414"/>
      <c r="B221" s="423"/>
      <c r="C221" s="416"/>
      <c r="D221" s="416"/>
      <c r="E221" s="417"/>
      <c r="F221" s="418"/>
      <c r="G221" s="422">
        <v>52.4</v>
      </c>
      <c r="H221" s="420"/>
      <c r="I221" s="420"/>
      <c r="J221" s="432">
        <f>C220+7.5</f>
        <v>96930.350000000035</v>
      </c>
      <c r="K221" s="417" t="s">
        <v>2788</v>
      </c>
      <c r="L221" s="417"/>
      <c r="M221" s="417"/>
      <c r="N221" s="420"/>
      <c r="O221" s="420"/>
      <c r="P221" s="420"/>
      <c r="Q221" s="677"/>
      <c r="R221" s="780"/>
      <c r="S221" s="422">
        <f>AG222-AG220</f>
        <v>53.580000000001746</v>
      </c>
      <c r="T221" s="417"/>
      <c r="U221" s="417"/>
      <c r="V221" s="417"/>
      <c r="W221" s="417"/>
      <c r="X221" s="417"/>
      <c r="Y221" s="417"/>
      <c r="Z221" s="417"/>
      <c r="AA221" s="417"/>
      <c r="AB221" s="417"/>
      <c r="AC221" s="417"/>
      <c r="AD221" s="417"/>
      <c r="AE221" s="417"/>
      <c r="AF221" s="418"/>
      <c r="AG221" s="768"/>
      <c r="AH221" s="780"/>
      <c r="AI221" s="780"/>
      <c r="AJ221" s="417"/>
      <c r="AK221" s="417"/>
      <c r="AL221" s="417"/>
      <c r="AM221" s="417"/>
      <c r="AN221" s="422"/>
      <c r="AO221" s="422"/>
      <c r="AP221" s="422"/>
      <c r="AQ221" s="422">
        <f>+FL_1($T$222,$T$220,$G$221,1200,9.28, 1*$F$222)</f>
        <v>0.27429165960305341</v>
      </c>
      <c r="AR221" s="422"/>
      <c r="AS221" s="422"/>
      <c r="AT221" s="422"/>
      <c r="AU221" s="422"/>
      <c r="AV221" s="422"/>
      <c r="AW221" s="417" t="str">
        <f>VLOOKUP(J221,'Foundation Calculation'!$A$2:$C$33,3,1)</f>
        <v>Soil A</v>
      </c>
      <c r="AX221" s="578" t="str">
        <f>VLOOKUP(J221,'Foundation Calculation'!$E$2:$G$33,3,1)</f>
        <v>PT</v>
      </c>
      <c r="AY221" s="422"/>
      <c r="AZ221" s="692">
        <f>IF(AX221="PT",VLOOKUP(K221,'Foundation Calculation'!$K$2:$R$40,VLOOKUP(AW221,'Foundation Calculation'!$I$2:$J$8,2,FALSE),0),IF(AX221="K",VLOOKUP(K221,'Foundation Calculation'!$K$42:$R$80,VLOOKUP(AW221,'Foundation Calculation'!$I$2:$J$8,2,FALSE),0),""))</f>
        <v>2.8</v>
      </c>
      <c r="BA221" s="604" t="s">
        <v>2809</v>
      </c>
      <c r="BB221" s="414"/>
      <c r="BD221" s="1329">
        <v>43414</v>
      </c>
      <c r="BE221" s="1330"/>
      <c r="BF221" s="1330"/>
      <c r="BG221" s="1330"/>
    </row>
    <row r="222" spans="1:59" ht="12.5">
      <c r="A222" s="414"/>
      <c r="B222" s="440" t="s">
        <v>1916</v>
      </c>
      <c r="C222" s="416">
        <f>+$C$220+$G$221</f>
        <v>96975.250000000029</v>
      </c>
      <c r="D222" s="416"/>
      <c r="E222" s="417"/>
      <c r="F222" s="418">
        <v>0</v>
      </c>
      <c r="G222" s="422"/>
      <c r="H222" s="420"/>
      <c r="I222" s="420"/>
      <c r="J222" s="432"/>
      <c r="K222" s="417"/>
      <c r="L222" s="417" t="s">
        <v>1451</v>
      </c>
      <c r="M222" s="417" t="str">
        <f>IF(AX222="PT",VLOOKUP(L222,'Foundation Calculation'!$V$2:$X$40,VLOOKUP(AX222,'Foundation Calculation'!$I$10:$J$13,2,FALSE),0),IF(AX222="K",VLOOKUP(L222,'Foundation Calculation'!$V$42:$X$80,VLOOKUP(AX222,'Foundation Calculation'!$I$10:$J$13,2,FALSE),0),""))</f>
        <v>C8R</v>
      </c>
      <c r="N222" s="420" t="s">
        <v>144</v>
      </c>
      <c r="O222" s="420"/>
      <c r="P222" s="420"/>
      <c r="Q222" s="677">
        <v>0</v>
      </c>
      <c r="R222" s="780">
        <v>0</v>
      </c>
      <c r="S222" s="422"/>
      <c r="T222" s="417">
        <v>20</v>
      </c>
      <c r="U222" s="417"/>
      <c r="V222" s="417"/>
      <c r="W222" s="417">
        <v>1.4</v>
      </c>
      <c r="X222" s="417"/>
      <c r="Y222" s="417"/>
      <c r="Z222" s="417"/>
      <c r="AA222" s="417"/>
      <c r="AB222" s="417"/>
      <c r="AC222" s="417" t="s">
        <v>1421</v>
      </c>
      <c r="AD222" s="417"/>
      <c r="AE222" s="417"/>
      <c r="AF222" s="418">
        <v>5600</v>
      </c>
      <c r="AG222" s="768">
        <v>96976.3</v>
      </c>
      <c r="AH222" s="780">
        <v>2183</v>
      </c>
      <c r="AI222" s="780">
        <v>130</v>
      </c>
      <c r="AJ222" s="417"/>
      <c r="AK222" s="417"/>
      <c r="AL222" s="417" t="s">
        <v>2143</v>
      </c>
      <c r="AM222" s="417" t="s">
        <v>1042</v>
      </c>
      <c r="AN222" s="422">
        <v>5.41</v>
      </c>
      <c r="AO222" s="422"/>
      <c r="AP222" s="422"/>
      <c r="AQ222" s="422"/>
      <c r="AR222" s="422"/>
      <c r="AS222" s="422"/>
      <c r="AT222" s="422">
        <f>+ab($T$222,$T$220,$T$224,$G$221,$G$223, 1*$F$222,1200)</f>
        <v>23.460119112935182</v>
      </c>
      <c r="AU222" s="422"/>
      <c r="AV222" s="422"/>
      <c r="AW222" s="417" t="str">
        <f>VLOOKUP(C222,'Foundation Calculation'!$A$2:$C$33,3,1)</f>
        <v>Soil A</v>
      </c>
      <c r="AX222" s="578" t="str">
        <f>VLOOKUP(C222,'Foundation Calculation'!$E$2:$G$33,3,1)</f>
        <v>PT</v>
      </c>
      <c r="AY222" s="692">
        <f>IF(AX222="PT",VLOOKUP(L222,'Foundation Calculation'!$K$2:$R$40,VLOOKUP(AW222,'Foundation Calculation'!$I$2:$J$8,2,FALSE),0),IF(AX222="K",VLOOKUP(L222,'Foundation Calculation'!$K$42:$R$80,VLOOKUP(AW222,'Foundation Calculation'!$I$2:$J$8,2,FALSE),0),""))</f>
        <v>5.2</v>
      </c>
      <c r="AZ222" s="422"/>
      <c r="BA222" s="604" t="s">
        <v>2809</v>
      </c>
      <c r="BB222" s="414" t="str">
        <f>Pole_Calculations!A178</f>
        <v>App.8-V08F-P10.3</v>
      </c>
      <c r="BD222" s="1329">
        <v>43526</v>
      </c>
      <c r="BE222" s="1329" t="s">
        <v>4946</v>
      </c>
      <c r="BF222" s="1329" t="s">
        <v>4946</v>
      </c>
      <c r="BG222" s="1329">
        <v>43549</v>
      </c>
    </row>
    <row r="223" spans="1:59" ht="12.5">
      <c r="A223" s="414"/>
      <c r="B223" s="423"/>
      <c r="C223" s="416"/>
      <c r="D223" s="416"/>
      <c r="E223" s="417"/>
      <c r="F223" s="418"/>
      <c r="G223" s="422">
        <v>54.8</v>
      </c>
      <c r="H223" s="420"/>
      <c r="I223" s="420"/>
      <c r="J223" s="432"/>
      <c r="K223" s="417"/>
      <c r="L223" s="417"/>
      <c r="M223" s="417"/>
      <c r="N223" s="420"/>
      <c r="O223" s="420"/>
      <c r="P223" s="420"/>
      <c r="Q223" s="677"/>
      <c r="R223" s="780"/>
      <c r="S223" s="422">
        <f>AG224-AG222</f>
        <v>53.69999999999709</v>
      </c>
      <c r="T223" s="417"/>
      <c r="U223" s="417"/>
      <c r="V223" s="417"/>
      <c r="W223" s="417"/>
      <c r="X223" s="417"/>
      <c r="Y223" s="417"/>
      <c r="Z223" s="417"/>
      <c r="AA223" s="417"/>
      <c r="AB223" s="417"/>
      <c r="AC223" s="417"/>
      <c r="AD223" s="417"/>
      <c r="AE223" s="417"/>
      <c r="AF223" s="418"/>
      <c r="AG223" s="768"/>
      <c r="AH223" s="780"/>
      <c r="AI223" s="780"/>
      <c r="AJ223" s="417"/>
      <c r="AK223" s="417"/>
      <c r="AL223" s="417"/>
      <c r="AM223" s="417"/>
      <c r="AN223" s="422"/>
      <c r="AO223" s="422"/>
      <c r="AP223" s="422"/>
      <c r="AQ223" s="422">
        <f>+FL_1($T$224,$T$222,$G$223,1200,9.28, 1*$F$224)</f>
        <v>0.54244685734306564</v>
      </c>
      <c r="AR223" s="422"/>
      <c r="AS223" s="422"/>
      <c r="AT223" s="422"/>
      <c r="AU223" s="422"/>
      <c r="AV223" s="422"/>
      <c r="AW223" s="417"/>
      <c r="AX223" s="417"/>
      <c r="AY223" s="422"/>
      <c r="AZ223" s="422"/>
      <c r="BA223" s="604"/>
      <c r="BB223" s="414"/>
      <c r="BD223" s="1330"/>
      <c r="BE223" s="1330"/>
      <c r="BF223" s="1330"/>
      <c r="BG223" s="1330"/>
    </row>
    <row r="224" spans="1:59" ht="25">
      <c r="A224" s="1152" t="s">
        <v>4494</v>
      </c>
      <c r="B224" s="625" t="s">
        <v>1917</v>
      </c>
      <c r="C224" s="505">
        <f>+$C$222+$G$223</f>
        <v>97030.050000000032</v>
      </c>
      <c r="D224" s="505"/>
      <c r="E224" s="506"/>
      <c r="F224" s="507">
        <v>0</v>
      </c>
      <c r="G224" s="508"/>
      <c r="H224" s="509"/>
      <c r="I224" s="509"/>
      <c r="J224" s="510"/>
      <c r="K224" s="506"/>
      <c r="L224" s="506" t="s">
        <v>1451</v>
      </c>
      <c r="M224" s="506" t="s">
        <v>2811</v>
      </c>
      <c r="N224" s="509" t="s">
        <v>844</v>
      </c>
      <c r="O224" s="509"/>
      <c r="P224" s="509"/>
      <c r="Q224" s="762">
        <v>0</v>
      </c>
      <c r="R224" s="782">
        <v>0</v>
      </c>
      <c r="S224" s="508"/>
      <c r="T224" s="506">
        <v>30</v>
      </c>
      <c r="U224" s="506"/>
      <c r="V224" s="506"/>
      <c r="W224" s="506">
        <v>1.4</v>
      </c>
      <c r="X224" s="506"/>
      <c r="Y224" s="506"/>
      <c r="Z224" s="506"/>
      <c r="AA224" s="506"/>
      <c r="AB224" s="506"/>
      <c r="AC224" s="506" t="s">
        <v>4090</v>
      </c>
      <c r="AD224" s="506"/>
      <c r="AE224" s="506"/>
      <c r="AF224" s="507">
        <v>200</v>
      </c>
      <c r="AG224" s="769">
        <v>97030</v>
      </c>
      <c r="AH224" s="782">
        <v>2493</v>
      </c>
      <c r="AI224" s="782">
        <v>-820</v>
      </c>
      <c r="AJ224" s="506" t="s">
        <v>884</v>
      </c>
      <c r="AK224" s="506" t="s">
        <v>139</v>
      </c>
      <c r="AL224" s="506" t="s">
        <v>2143</v>
      </c>
      <c r="AM224" s="506" t="s">
        <v>1042</v>
      </c>
      <c r="AN224" s="508">
        <v>5.5</v>
      </c>
      <c r="AO224" s="508"/>
      <c r="AP224" s="508"/>
      <c r="AQ224" s="508"/>
      <c r="AR224" s="508"/>
      <c r="AS224" s="508"/>
      <c r="AT224" s="508">
        <f>+ab($T$224,$T$222,$T$226,$G$223,$G$225, 1*$F$224,1200)</f>
        <v>11.632263700100188</v>
      </c>
      <c r="AU224" s="508"/>
      <c r="AV224" s="508"/>
      <c r="AW224" s="506" t="s">
        <v>3320</v>
      </c>
      <c r="AX224" s="675"/>
      <c r="AY224" s="691" t="str">
        <f>IF(AX224="PT",VLOOKUP(M224,'Foundation Calculation'!$L$2:$R$37,VLOOKUP(AW224,'Foundation Calculation'!$I$2:$J$8,2,FALSE),0),IF(AX224="K",VLOOKUP(M224,'Foundation Calculation'!$L$41:$R$75,VLOOKUP(AW224,'Foundation Calculation'!$I$2:$J$8,2,FALSE),0),""))</f>
        <v/>
      </c>
      <c r="AZ224" s="508"/>
      <c r="BA224" s="968" t="s">
        <v>2809</v>
      </c>
      <c r="BB224" s="966" t="str">
        <f>Pole_Calculations!A178</f>
        <v>App.8-V08F-P10.3</v>
      </c>
      <c r="BD224" s="1329" t="s">
        <v>4946</v>
      </c>
      <c r="BE224" s="1329" t="s">
        <v>4946</v>
      </c>
      <c r="BF224" s="1329" t="s">
        <v>4946</v>
      </c>
      <c r="BG224" s="1329">
        <v>43713</v>
      </c>
    </row>
    <row r="225" spans="1:59" ht="12.5">
      <c r="A225" s="966" t="s">
        <v>2961</v>
      </c>
      <c r="B225" s="511"/>
      <c r="C225" s="505"/>
      <c r="D225" s="505"/>
      <c r="E225" s="506"/>
      <c r="F225" s="507"/>
      <c r="G225" s="508">
        <v>45</v>
      </c>
      <c r="H225" s="509"/>
      <c r="I225" s="509"/>
      <c r="J225" s="510"/>
      <c r="K225" s="506"/>
      <c r="L225" s="506"/>
      <c r="M225" s="506"/>
      <c r="N225" s="509"/>
      <c r="O225" s="509"/>
      <c r="P225" s="509"/>
      <c r="Q225" s="762"/>
      <c r="R225" s="782"/>
      <c r="S225" s="508">
        <f>AG226-AG224</f>
        <v>45.059999999997672</v>
      </c>
      <c r="T225" s="506"/>
      <c r="U225" s="506"/>
      <c r="V225" s="506"/>
      <c r="W225" s="506"/>
      <c r="X225" s="506"/>
      <c r="Y225" s="506"/>
      <c r="Z225" s="506"/>
      <c r="AA225" s="506"/>
      <c r="AB225" s="506"/>
      <c r="AC225" s="506"/>
      <c r="AD225" s="506"/>
      <c r="AE225" s="506"/>
      <c r="AF225" s="507"/>
      <c r="AG225" s="769"/>
      <c r="AH225" s="782"/>
      <c r="AI225" s="782"/>
      <c r="AJ225" s="506" t="s">
        <v>884</v>
      </c>
      <c r="AK225" s="506"/>
      <c r="AL225" s="506"/>
      <c r="AM225" s="506"/>
      <c r="AN225" s="508"/>
      <c r="AO225" s="508"/>
      <c r="AP225" s="508"/>
      <c r="AQ225" s="508">
        <f>+FL_1($T$226,$T$224,$G$225,1200,9.28, 1*$F$226)</f>
        <v>0.30564782755555564</v>
      </c>
      <c r="AR225" s="508"/>
      <c r="AS225" s="508"/>
      <c r="AT225" s="508"/>
      <c r="AU225" s="508"/>
      <c r="AV225" s="508"/>
      <c r="AW225" s="506"/>
      <c r="AX225" s="506"/>
      <c r="AY225" s="508"/>
      <c r="AZ225" s="508"/>
      <c r="BA225" s="968"/>
      <c r="BB225" s="966"/>
      <c r="BD225" s="1330"/>
      <c r="BE225" s="1330"/>
      <c r="BF225" s="1330"/>
      <c r="BG225" s="1330"/>
    </row>
    <row r="226" spans="1:59" ht="12.5">
      <c r="A226" s="414"/>
      <c r="B226" s="603" t="s">
        <v>1918</v>
      </c>
      <c r="C226" s="416">
        <f>+$C$224+$G$225</f>
        <v>97075.050000000032</v>
      </c>
      <c r="D226" s="416"/>
      <c r="E226" s="417"/>
      <c r="F226" s="418">
        <v>0</v>
      </c>
      <c r="G226" s="422"/>
      <c r="H226" s="420"/>
      <c r="I226" s="420"/>
      <c r="J226" s="432"/>
      <c r="K226" s="417"/>
      <c r="L226" s="417" t="s">
        <v>821</v>
      </c>
      <c r="M226" s="417" t="s">
        <v>2811</v>
      </c>
      <c r="N226" s="420" t="s">
        <v>2794</v>
      </c>
      <c r="O226" s="420"/>
      <c r="P226" s="420"/>
      <c r="Q226" s="677">
        <v>0</v>
      </c>
      <c r="R226" s="780">
        <v>0</v>
      </c>
      <c r="S226" s="422"/>
      <c r="T226" s="417">
        <v>-35</v>
      </c>
      <c r="U226" s="417"/>
      <c r="V226" s="417"/>
      <c r="W226" s="417">
        <v>1.4</v>
      </c>
      <c r="X226" s="417"/>
      <c r="Y226" s="417"/>
      <c r="Z226" s="417"/>
      <c r="AA226" s="417"/>
      <c r="AB226" s="417"/>
      <c r="AC226" s="417" t="s">
        <v>4115</v>
      </c>
      <c r="AD226" s="417"/>
      <c r="AE226" s="417"/>
      <c r="AF226" s="418">
        <v>200</v>
      </c>
      <c r="AG226" s="774">
        <v>97075.06</v>
      </c>
      <c r="AH226" s="780">
        <v>2063</v>
      </c>
      <c r="AI226" s="780">
        <v>-571</v>
      </c>
      <c r="AJ226" s="417"/>
      <c r="AK226" s="417" t="s">
        <v>139</v>
      </c>
      <c r="AL226" s="417" t="s">
        <v>2135</v>
      </c>
      <c r="AM226" s="417" t="s">
        <v>1042</v>
      </c>
      <c r="AN226" s="422">
        <v>5.5</v>
      </c>
      <c r="AO226" s="422"/>
      <c r="AP226" s="422"/>
      <c r="AQ226" s="422"/>
      <c r="AR226" s="422"/>
      <c r="AS226" s="422"/>
      <c r="AT226" s="422">
        <f>+ab($T$226,-$T$224,$T$228,$G$225,$G$227, 1*$F$226,1200)</f>
        <v>-9.9661886902326255</v>
      </c>
      <c r="AU226" s="422"/>
      <c r="AV226" s="422"/>
      <c r="AW226" s="417" t="s">
        <v>4182</v>
      </c>
      <c r="AX226" s="417"/>
      <c r="AY226" s="422"/>
      <c r="AZ226" s="422"/>
      <c r="BA226" s="604" t="s">
        <v>2809</v>
      </c>
      <c r="BB226" s="414" t="str">
        <f>Pole_Calculations!A178</f>
        <v>App.8-V08F-P10.3</v>
      </c>
      <c r="BD226" s="1329" t="s">
        <v>4946</v>
      </c>
      <c r="BE226" s="1329" t="s">
        <v>4946</v>
      </c>
      <c r="BF226" s="1329" t="s">
        <v>4946</v>
      </c>
      <c r="BG226" s="1329">
        <v>43713</v>
      </c>
    </row>
    <row r="227" spans="1:59" ht="12.5">
      <c r="A227" s="449"/>
      <c r="B227" s="170"/>
      <c r="C227" s="446"/>
      <c r="D227" s="446"/>
      <c r="E227" s="638"/>
      <c r="F227" s="447"/>
      <c r="G227" s="484">
        <v>39</v>
      </c>
      <c r="H227" s="1239"/>
      <c r="I227" s="1239"/>
      <c r="J227" s="171"/>
      <c r="K227" s="638"/>
      <c r="L227" s="638"/>
      <c r="M227" s="638"/>
      <c r="N227" s="1239"/>
      <c r="O227" s="1239"/>
      <c r="P227" s="1239"/>
      <c r="Q227" s="168"/>
      <c r="R227" s="702"/>
      <c r="S227" s="484">
        <f>AG228-AG226</f>
        <v>38.940000000002328</v>
      </c>
      <c r="T227" s="638"/>
      <c r="U227" s="638"/>
      <c r="V227" s="638"/>
      <c r="W227" s="638"/>
      <c r="X227" s="638"/>
      <c r="Y227" s="638"/>
      <c r="Z227" s="638"/>
      <c r="AA227" s="638"/>
      <c r="AB227" s="638"/>
      <c r="AC227" s="638"/>
      <c r="AD227" s="638"/>
      <c r="AE227" s="638"/>
      <c r="AF227" s="447"/>
      <c r="AG227" s="770"/>
      <c r="AH227" s="702"/>
      <c r="AI227" s="702"/>
      <c r="AJ227" s="638"/>
      <c r="AK227" s="638"/>
      <c r="AL227" s="638"/>
      <c r="AM227" s="638"/>
      <c r="AN227" s="484"/>
      <c r="AO227" s="484"/>
      <c r="AP227" s="484"/>
      <c r="AQ227" s="484">
        <f>+FL_1($T$228,$T$226,$G$227,1200,9.28, 1*$F$228)</f>
        <v>0.35</v>
      </c>
      <c r="AR227" s="484"/>
      <c r="AS227" s="484"/>
      <c r="AT227" s="484"/>
      <c r="AU227" s="484"/>
      <c r="AV227" s="484"/>
      <c r="AW227" s="638"/>
      <c r="AX227" s="638"/>
      <c r="AY227" s="484"/>
      <c r="AZ227" s="484"/>
      <c r="BA227" s="671"/>
      <c r="BB227" s="449"/>
      <c r="BD227" s="1330"/>
      <c r="BE227" s="1330"/>
      <c r="BF227" s="1330"/>
      <c r="BG227" s="1330"/>
    </row>
    <row r="228" spans="1:59" ht="12.5">
      <c r="A228" s="449"/>
      <c r="B228" s="436" t="s">
        <v>1919</v>
      </c>
      <c r="C228" s="446">
        <f>+$C$226+$G$227</f>
        <v>97114.050000000032</v>
      </c>
      <c r="D228" s="446"/>
      <c r="E228" s="638"/>
      <c r="F228" s="447">
        <v>0</v>
      </c>
      <c r="G228" s="484"/>
      <c r="H228" s="1239"/>
      <c r="I228" s="1239"/>
      <c r="J228" s="171"/>
      <c r="K228" s="638"/>
      <c r="L228" s="638" t="s">
        <v>821</v>
      </c>
      <c r="M228" s="638" t="s">
        <v>2811</v>
      </c>
      <c r="N228" s="1239" t="s">
        <v>844</v>
      </c>
      <c r="O228" s="1239"/>
      <c r="P228" s="1239"/>
      <c r="Q228" s="168">
        <v>0</v>
      </c>
      <c r="R228" s="702">
        <v>0</v>
      </c>
      <c r="S228" s="484"/>
      <c r="T228" s="638">
        <v>35</v>
      </c>
      <c r="U228" s="638"/>
      <c r="V228" s="638"/>
      <c r="W228" s="638">
        <v>1.4</v>
      </c>
      <c r="X228" s="638"/>
      <c r="Y228" s="638"/>
      <c r="Z228" s="638"/>
      <c r="AA228" s="638"/>
      <c r="AB228" s="638"/>
      <c r="AC228" s="638" t="s">
        <v>4090</v>
      </c>
      <c r="AD228" s="638"/>
      <c r="AE228" s="638"/>
      <c r="AF228" s="447">
        <v>200</v>
      </c>
      <c r="AG228" s="775">
        <v>97114</v>
      </c>
      <c r="AH228" s="702">
        <v>1733</v>
      </c>
      <c r="AI228" s="702">
        <v>-1100</v>
      </c>
      <c r="AJ228" s="638"/>
      <c r="AK228" s="638" t="s">
        <v>139</v>
      </c>
      <c r="AL228" s="638" t="s">
        <v>2142</v>
      </c>
      <c r="AM228" s="638" t="s">
        <v>1042</v>
      </c>
      <c r="AN228" s="484">
        <v>5.5</v>
      </c>
      <c r="AO228" s="484"/>
      <c r="AP228" s="484"/>
      <c r="AQ228" s="484"/>
      <c r="AR228" s="484"/>
      <c r="AS228" s="484"/>
      <c r="AT228" s="484">
        <f>+ab($T$228,$T$226,$T$230,$G$227,$G$229, 1*$F$228,1200)</f>
        <v>10.569587880416186</v>
      </c>
      <c r="AU228" s="484"/>
      <c r="AV228" s="484"/>
      <c r="AW228" s="638" t="s">
        <v>4183</v>
      </c>
      <c r="AX228" s="638"/>
      <c r="AY228" s="484"/>
      <c r="AZ228" s="484"/>
      <c r="BA228" s="671"/>
      <c r="BB228" s="449" t="str">
        <f>Pole_Calculations!A178</f>
        <v>App.8-V08F-P10.3</v>
      </c>
      <c r="BD228" s="1329">
        <v>43476</v>
      </c>
      <c r="BE228" s="1329" t="s">
        <v>4946</v>
      </c>
      <c r="BF228" s="1329" t="s">
        <v>4946</v>
      </c>
      <c r="BG228" s="1329">
        <v>43713</v>
      </c>
    </row>
    <row r="229" spans="1:59" ht="12.5">
      <c r="A229" s="449"/>
      <c r="B229" s="170"/>
      <c r="C229" s="446"/>
      <c r="D229" s="446"/>
      <c r="E229" s="638"/>
      <c r="F229" s="447"/>
      <c r="G229" s="484">
        <v>37.200000000000003</v>
      </c>
      <c r="H229" s="1239"/>
      <c r="I229" s="1239"/>
      <c r="J229" s="171"/>
      <c r="K229" s="638"/>
      <c r="L229" s="638"/>
      <c r="M229" s="638"/>
      <c r="N229" s="1239"/>
      <c r="O229" s="1239"/>
      <c r="P229" s="1239"/>
      <c r="Q229" s="168"/>
      <c r="R229" s="702"/>
      <c r="S229" s="484">
        <f>AG230-AG228</f>
        <v>37.320000000006985</v>
      </c>
      <c r="T229" s="638"/>
      <c r="U229" s="638"/>
      <c r="V229" s="638"/>
      <c r="W229" s="638"/>
      <c r="X229" s="638"/>
      <c r="Y229" s="638"/>
      <c r="Z229" s="638"/>
      <c r="AA229" s="638"/>
      <c r="AB229" s="638"/>
      <c r="AC229" s="638"/>
      <c r="AD229" s="638"/>
      <c r="AE229" s="638"/>
      <c r="AF229" s="447"/>
      <c r="AG229" s="770"/>
      <c r="AH229" s="702"/>
      <c r="AI229" s="702"/>
      <c r="AJ229" s="638"/>
      <c r="AK229" s="638"/>
      <c r="AL229" s="638"/>
      <c r="AM229" s="638"/>
      <c r="AN229" s="484"/>
      <c r="AO229" s="484"/>
      <c r="AP229" s="484"/>
      <c r="AQ229" s="484">
        <f>+FL_2($T$230,$T$228,$G$229,1200,9.28, 1*$F$230)</f>
        <v>0.34757931365134132</v>
      </c>
      <c r="AR229" s="484"/>
      <c r="AS229" s="484"/>
      <c r="AT229" s="484"/>
      <c r="AU229" s="484"/>
      <c r="AV229" s="484"/>
      <c r="AW229" s="638"/>
      <c r="AX229" s="572"/>
      <c r="AY229" s="484"/>
      <c r="AZ229" s="689"/>
      <c r="BA229" s="671"/>
      <c r="BB229" s="449"/>
      <c r="BD229" s="1330"/>
      <c r="BE229" s="1330"/>
      <c r="BF229" s="1330"/>
      <c r="BG229" s="1330"/>
    </row>
    <row r="230" spans="1:59" ht="12.5">
      <c r="A230" s="449"/>
      <c r="B230" s="485" t="s">
        <v>1920</v>
      </c>
      <c r="C230" s="446">
        <f>+$C$228+$G$229</f>
        <v>97151.250000000029</v>
      </c>
      <c r="D230" s="446"/>
      <c r="E230" s="638"/>
      <c r="F230" s="447">
        <v>-1317</v>
      </c>
      <c r="G230" s="484"/>
      <c r="H230" s="1239"/>
      <c r="I230" s="1239"/>
      <c r="J230" s="171"/>
      <c r="K230" s="638"/>
      <c r="L230" s="638" t="s">
        <v>821</v>
      </c>
      <c r="M230" s="638" t="str">
        <f>IF(AX230="PT",VLOOKUP(L230,'Foundation Calculation'!$V$2:$X$40,VLOOKUP(AX230,'Foundation Calculation'!$I$10:$J$13,2,FALSE),0),IF(AX230="K",VLOOKUP(L230,'Foundation Calculation'!$V$42:$X$80,VLOOKUP(AX230,'Foundation Calculation'!$I$10:$J$13,2,FALSE),0),""))</f>
        <v>C7R</v>
      </c>
      <c r="N230" s="1239" t="s">
        <v>144</v>
      </c>
      <c r="O230" s="1239"/>
      <c r="P230" s="1239"/>
      <c r="Q230" s="168">
        <v>28</v>
      </c>
      <c r="R230" s="702">
        <v>-1317.18</v>
      </c>
      <c r="S230" s="484"/>
      <c r="T230" s="638">
        <v>35</v>
      </c>
      <c r="U230" s="638"/>
      <c r="V230" s="638"/>
      <c r="W230" s="638">
        <v>1.4</v>
      </c>
      <c r="X230" s="638"/>
      <c r="Y230" s="638"/>
      <c r="Z230" s="638"/>
      <c r="AA230" s="638"/>
      <c r="AB230" s="638"/>
      <c r="AC230" s="638" t="s">
        <v>3050</v>
      </c>
      <c r="AD230" s="638"/>
      <c r="AE230" s="638"/>
      <c r="AF230" s="447">
        <v>5800</v>
      </c>
      <c r="AG230" s="770">
        <v>97151.32</v>
      </c>
      <c r="AH230" s="702">
        <v>1973</v>
      </c>
      <c r="AI230" s="702">
        <v>41</v>
      </c>
      <c r="AJ230" s="638"/>
      <c r="AK230" s="638"/>
      <c r="AL230" s="638" t="s">
        <v>2127</v>
      </c>
      <c r="AM230" s="638" t="s">
        <v>1042</v>
      </c>
      <c r="AN230" s="484">
        <v>5.44</v>
      </c>
      <c r="AO230" s="484"/>
      <c r="AP230" s="484"/>
      <c r="AQ230" s="484"/>
      <c r="AR230" s="484"/>
      <c r="AS230" s="484"/>
      <c r="AT230" s="484">
        <f>+ab($T$230,$T$228,-$T$232,$G$229,$G$231, 1*$F$230,1200)</f>
        <v>-39.483192644309128</v>
      </c>
      <c r="AU230" s="484"/>
      <c r="AV230" s="484"/>
      <c r="AW230" s="638" t="str">
        <f>VLOOKUP(C230,'Foundation Calculation'!$A$2:$C$33,3,1)</f>
        <v>Soil A</v>
      </c>
      <c r="AX230" s="572" t="str">
        <f>VLOOKUP(C230,'Foundation Calculation'!$E$2:$G$33,3,1)</f>
        <v>PT</v>
      </c>
      <c r="AY230" s="689">
        <f>IF(AX230="PT",VLOOKUP(L230,'Foundation Calculation'!$K$2:$R$40,VLOOKUP(AW230,'Foundation Calculation'!$I$2:$J$8,2,FALSE),0),IF(AX230="K",VLOOKUP(L230,'Foundation Calculation'!$K$42:$R$80,VLOOKUP(AW230,'Foundation Calculation'!$I$2:$J$8,2,FALSE),0),""))</f>
        <v>4</v>
      </c>
      <c r="AZ230" s="484"/>
      <c r="BA230" s="671" t="s">
        <v>2809</v>
      </c>
      <c r="BB230" s="449" t="str">
        <f>Pole_Calculations!A178</f>
        <v>App.8-V08F-P10.3</v>
      </c>
      <c r="BD230" s="1329">
        <v>43414</v>
      </c>
      <c r="BE230" s="1329" t="s">
        <v>4946</v>
      </c>
      <c r="BF230" s="1329" t="s">
        <v>4946</v>
      </c>
      <c r="BG230" s="1329">
        <v>43529</v>
      </c>
    </row>
    <row r="231" spans="1:59" ht="12.5">
      <c r="A231" s="449"/>
      <c r="B231" s="445"/>
      <c r="C231" s="446"/>
      <c r="D231" s="446"/>
      <c r="E231" s="638"/>
      <c r="F231" s="447"/>
      <c r="G231" s="484">
        <v>30.2</v>
      </c>
      <c r="H231" s="1239"/>
      <c r="I231" s="448"/>
      <c r="J231" s="171"/>
      <c r="K231" s="638"/>
      <c r="L231" s="638"/>
      <c r="M231" s="638"/>
      <c r="N231" s="1239"/>
      <c r="O231" s="1239"/>
      <c r="P231" s="1239"/>
      <c r="Q231" s="168"/>
      <c r="R231" s="702"/>
      <c r="S231" s="484">
        <f>AG232-AG230</f>
        <v>29.679999999993015</v>
      </c>
      <c r="T231" s="638"/>
      <c r="U231" s="638"/>
      <c r="V231" s="638"/>
      <c r="W231" s="638"/>
      <c r="X231" s="638"/>
      <c r="Y231" s="638"/>
      <c r="Z231" s="638"/>
      <c r="AA231" s="638"/>
      <c r="AB231" s="638"/>
      <c r="AC231" s="638"/>
      <c r="AD231" s="638"/>
      <c r="AE231" s="638"/>
      <c r="AF231" s="447"/>
      <c r="AG231" s="770"/>
      <c r="AH231" s="702"/>
      <c r="AI231" s="702"/>
      <c r="AJ231" s="638"/>
      <c r="AK231" s="638"/>
      <c r="AL231" s="638"/>
      <c r="AM231" s="638"/>
      <c r="AN231" s="484"/>
      <c r="AO231" s="484"/>
      <c r="AP231" s="484"/>
      <c r="AQ231" s="484">
        <f>+FL_2($T$232,$T$230,$G$231,1200,9.28, 1*$F$232)</f>
        <v>0.3</v>
      </c>
      <c r="AR231" s="484"/>
      <c r="AS231" s="484"/>
      <c r="AT231" s="484"/>
      <c r="AU231" s="484"/>
      <c r="AV231" s="484"/>
      <c r="AW231" s="638"/>
      <c r="AX231" s="638"/>
      <c r="AY231" s="484"/>
      <c r="AZ231" s="484"/>
      <c r="BA231" s="671"/>
      <c r="BB231" s="449"/>
      <c r="BD231" s="1330"/>
      <c r="BE231" s="1330"/>
      <c r="BF231" s="1330"/>
      <c r="BG231" s="1330"/>
    </row>
    <row r="232" spans="1:59" ht="12.5">
      <c r="A232" s="449"/>
      <c r="B232" s="485" t="s">
        <v>1921</v>
      </c>
      <c r="C232" s="446">
        <f>+$C$230+$G$231</f>
        <v>97181.450000000026</v>
      </c>
      <c r="D232" s="446"/>
      <c r="E232" s="638"/>
      <c r="F232" s="447">
        <v>-1317</v>
      </c>
      <c r="G232" s="484"/>
      <c r="H232" s="1239"/>
      <c r="I232" s="1239"/>
      <c r="J232" s="171"/>
      <c r="K232" s="638"/>
      <c r="L232" s="638"/>
      <c r="M232" s="638"/>
      <c r="N232" s="1239" t="s">
        <v>844</v>
      </c>
      <c r="O232" s="1239"/>
      <c r="P232" s="1239"/>
      <c r="Q232" s="168">
        <v>60</v>
      </c>
      <c r="R232" s="702">
        <v>-1317.18</v>
      </c>
      <c r="S232" s="484"/>
      <c r="T232" s="638">
        <v>30</v>
      </c>
      <c r="U232" s="638"/>
      <c r="V232" s="638"/>
      <c r="W232" s="638">
        <v>1.2</v>
      </c>
      <c r="X232" s="638"/>
      <c r="Y232" s="638"/>
      <c r="Z232" s="638"/>
      <c r="AA232" s="638"/>
      <c r="AB232" s="638"/>
      <c r="AC232" s="638" t="s">
        <v>4090</v>
      </c>
      <c r="AD232" s="638"/>
      <c r="AE232" s="638"/>
      <c r="AF232" s="447">
        <v>200</v>
      </c>
      <c r="AG232" s="770">
        <v>97181</v>
      </c>
      <c r="AH232" s="702">
        <v>1983</v>
      </c>
      <c r="AI232" s="702">
        <v>-5600</v>
      </c>
      <c r="AJ232" s="638"/>
      <c r="AK232" s="638" t="s">
        <v>139</v>
      </c>
      <c r="AL232" s="638"/>
      <c r="AM232" s="638" t="s">
        <v>2879</v>
      </c>
      <c r="AN232" s="484">
        <v>5.36</v>
      </c>
      <c r="AO232" s="484"/>
      <c r="AP232" s="484"/>
      <c r="AQ232" s="484"/>
      <c r="AR232" s="484"/>
      <c r="AS232" s="484"/>
      <c r="AT232" s="484">
        <f>+ab(-$T$232,$T$230,$T$234,$G$231,$G$233, 1*$F$232,1200)</f>
        <v>-4.3492126738850256</v>
      </c>
      <c r="AU232" s="484"/>
      <c r="AV232" s="484"/>
      <c r="AW232" s="638"/>
      <c r="AX232" s="638"/>
      <c r="AY232" s="484"/>
      <c r="AZ232" s="484"/>
      <c r="BA232" s="671"/>
      <c r="BB232" s="449"/>
      <c r="BD232" s="1330"/>
      <c r="BE232" s="1329" t="s">
        <v>4946</v>
      </c>
      <c r="BF232" s="1330"/>
      <c r="BG232" s="1329">
        <v>43639</v>
      </c>
    </row>
    <row r="233" spans="1:59" ht="12.5">
      <c r="A233" s="449"/>
      <c r="B233" s="445"/>
      <c r="C233" s="446"/>
      <c r="D233" s="446"/>
      <c r="E233" s="638"/>
      <c r="F233" s="447"/>
      <c r="G233" s="484">
        <v>29.1</v>
      </c>
      <c r="H233" s="1239"/>
      <c r="I233" s="448"/>
      <c r="J233" s="171"/>
      <c r="K233" s="638"/>
      <c r="L233" s="638"/>
      <c r="M233" s="638"/>
      <c r="N233" s="1239"/>
      <c r="O233" s="1239"/>
      <c r="P233" s="1239"/>
      <c r="Q233" s="168"/>
      <c r="R233" s="702"/>
      <c r="S233" s="484">
        <f>AG234-AG232</f>
        <v>29.100000000005821</v>
      </c>
      <c r="T233" s="638"/>
      <c r="U233" s="638"/>
      <c r="V233" s="638"/>
      <c r="W233" s="638"/>
      <c r="X233" s="638"/>
      <c r="Y233" s="638"/>
      <c r="Z233" s="638"/>
      <c r="AA233" s="638"/>
      <c r="AB233" s="638"/>
      <c r="AC233" s="638"/>
      <c r="AD233" s="638"/>
      <c r="AE233" s="638"/>
      <c r="AF233" s="447"/>
      <c r="AG233" s="770"/>
      <c r="AH233" s="702"/>
      <c r="AI233" s="702"/>
      <c r="AJ233" s="638"/>
      <c r="AK233" s="638"/>
      <c r="AL233" s="638"/>
      <c r="AM233" s="638"/>
      <c r="AN233" s="484"/>
      <c r="AO233" s="484"/>
      <c r="AP233" s="484"/>
      <c r="AQ233" s="484">
        <f>+FL_2($T$234,-$T$232,$G$233,1200,9.28, 1*$F$234)</f>
        <v>-0.30000000000003718</v>
      </c>
      <c r="AR233" s="484"/>
      <c r="AS233" s="484"/>
      <c r="AT233" s="484"/>
      <c r="AU233" s="484"/>
      <c r="AV233" s="484"/>
      <c r="AW233" s="638"/>
      <c r="AX233" s="638"/>
      <c r="AY233" s="484"/>
      <c r="AZ233" s="484"/>
      <c r="BA233" s="671"/>
      <c r="BB233" s="449"/>
      <c r="BD233" s="1330"/>
      <c r="BE233" s="1330"/>
      <c r="BF233" s="1330"/>
      <c r="BG233" s="1330"/>
    </row>
    <row r="234" spans="1:59" ht="12.5">
      <c r="A234" s="449"/>
      <c r="B234" s="485" t="s">
        <v>2394</v>
      </c>
      <c r="C234" s="446">
        <f>+$C$232+$G$233</f>
        <v>97210.550000000032</v>
      </c>
      <c r="D234" s="446"/>
      <c r="E234" s="638"/>
      <c r="F234" s="447">
        <v>-464.48</v>
      </c>
      <c r="G234" s="484"/>
      <c r="H234" s="1239"/>
      <c r="I234" s="1239"/>
      <c r="J234" s="171"/>
      <c r="K234" s="638"/>
      <c r="L234" s="638" t="s">
        <v>230</v>
      </c>
      <c r="M234" s="638" t="str">
        <f>IF(AX234="PT",VLOOKUP(L234,'Foundation Calculation'!$V$2:$X$40,VLOOKUP(AX234,'Foundation Calculation'!$I$10:$J$13,2,FALSE),0),IF(AX234="K",VLOOKUP(L234,'Foundation Calculation'!$V$42:$X$80,VLOOKUP(AX234,'Foundation Calculation'!$I$10:$J$13,2,FALSE),0),""))</f>
        <v>C4R</v>
      </c>
      <c r="N234" s="1239" t="s">
        <v>143</v>
      </c>
      <c r="O234" s="1239"/>
      <c r="P234" s="1239"/>
      <c r="Q234" s="168">
        <v>85</v>
      </c>
      <c r="R234" s="702">
        <v>-464.78</v>
      </c>
      <c r="S234" s="484"/>
      <c r="T234" s="638">
        <v>-30</v>
      </c>
      <c r="U234" s="638"/>
      <c r="V234" s="638"/>
      <c r="W234" s="638">
        <v>0.8</v>
      </c>
      <c r="X234" s="638"/>
      <c r="Y234" s="638"/>
      <c r="Z234" s="638"/>
      <c r="AA234" s="638"/>
      <c r="AB234" s="638"/>
      <c r="AC234" s="638" t="s">
        <v>3050</v>
      </c>
      <c r="AD234" s="638"/>
      <c r="AE234" s="638"/>
      <c r="AF234" s="447">
        <v>5400</v>
      </c>
      <c r="AG234" s="770">
        <v>97210.1</v>
      </c>
      <c r="AH234" s="702">
        <v>3163</v>
      </c>
      <c r="AI234" s="702">
        <v>132</v>
      </c>
      <c r="AJ234" s="638"/>
      <c r="AK234" s="638"/>
      <c r="AL234" s="638"/>
      <c r="AM234" s="638" t="s">
        <v>1042</v>
      </c>
      <c r="AN234" s="484">
        <v>5.29</v>
      </c>
      <c r="AO234" s="484"/>
      <c r="AP234" s="484"/>
      <c r="AQ234" s="484"/>
      <c r="AR234" s="484"/>
      <c r="AS234" s="484"/>
      <c r="AT234" s="484">
        <f>+ab($T$234,$T$232,$T$236,$G$233,$G$235, 1*$F$234,1200)</f>
        <v>-2.2256396276814336</v>
      </c>
      <c r="AU234" s="484"/>
      <c r="AV234" s="484"/>
      <c r="AW234" s="638" t="str">
        <f>VLOOKUP(C234,'Foundation Calculation'!$A$2:$C$33,3,1)</f>
        <v>Soil A</v>
      </c>
      <c r="AX234" s="572" t="str">
        <f>VLOOKUP(C234,'Foundation Calculation'!$E$2:$G$33,3,1)</f>
        <v>PT</v>
      </c>
      <c r="AY234" s="689">
        <f>IF(AX234="PT",VLOOKUP(L234,'Foundation Calculation'!$K$2:$R$40,VLOOKUP(AW234,'Foundation Calculation'!$I$2:$J$8,2,FALSE),0),IF(AX234="K",VLOOKUP(L234,'Foundation Calculation'!$K$42:$R$80,VLOOKUP(AW234,'Foundation Calculation'!$I$2:$J$8,2,FALSE),0),""))</f>
        <v>3.5</v>
      </c>
      <c r="AZ234" s="484"/>
      <c r="BA234" s="671" t="s">
        <v>2809</v>
      </c>
      <c r="BB234" s="449" t="str">
        <f>Pole_Calculations!A15</f>
        <v>App.7-V11A-P9.5.1.1</v>
      </c>
      <c r="BD234" s="1329">
        <v>43414</v>
      </c>
      <c r="BE234" s="1329" t="s">
        <v>4946</v>
      </c>
      <c r="BF234" s="1330"/>
      <c r="BG234" s="1329">
        <v>43676</v>
      </c>
    </row>
    <row r="235" spans="1:59" ht="12.5">
      <c r="A235" s="488"/>
      <c r="B235" s="494"/>
      <c r="C235" s="489"/>
      <c r="D235" s="489"/>
      <c r="E235" s="490"/>
      <c r="F235" s="491"/>
      <c r="G235" s="493">
        <v>31.8</v>
      </c>
      <c r="H235" s="495"/>
      <c r="I235" s="492"/>
      <c r="J235" s="431"/>
      <c r="K235" s="490"/>
      <c r="L235" s="490"/>
      <c r="M235" s="490"/>
      <c r="N235" s="495"/>
      <c r="O235" s="495"/>
      <c r="P235" s="495"/>
      <c r="Q235" s="761"/>
      <c r="R235" s="781"/>
      <c r="S235" s="493">
        <f>AG236-AG234</f>
        <v>32.309999999997672</v>
      </c>
      <c r="T235" s="490"/>
      <c r="U235" s="490"/>
      <c r="V235" s="490"/>
      <c r="W235" s="490"/>
      <c r="X235" s="490"/>
      <c r="Y235" s="490"/>
      <c r="Z235" s="490"/>
      <c r="AA235" s="490"/>
      <c r="AB235" s="490"/>
      <c r="AC235" s="490"/>
      <c r="AD235" s="490"/>
      <c r="AE235" s="490"/>
      <c r="AF235" s="491"/>
      <c r="AG235" s="771"/>
      <c r="AH235" s="781"/>
      <c r="AI235" s="781"/>
      <c r="AJ235" s="490"/>
      <c r="AK235" s="490"/>
      <c r="AL235" s="490"/>
      <c r="AM235" s="490"/>
      <c r="AN235" s="493"/>
      <c r="AO235" s="493"/>
      <c r="AP235" s="493"/>
      <c r="AQ235" s="493">
        <f>+FL_2($T$236,$T$234,$G$235,1200,9.28, 1*$F$236)</f>
        <v>-0.30000000000008697</v>
      </c>
      <c r="AR235" s="493"/>
      <c r="AS235" s="493"/>
      <c r="AT235" s="493"/>
      <c r="AU235" s="493"/>
      <c r="AV235" s="493"/>
      <c r="AW235" s="490"/>
      <c r="AX235" s="490"/>
      <c r="AY235" s="493"/>
      <c r="AZ235" s="493"/>
      <c r="BA235" s="602"/>
      <c r="BB235" s="488"/>
      <c r="BD235" s="1329"/>
      <c r="BE235" s="1329"/>
      <c r="BF235" s="1329"/>
      <c r="BG235" s="1329"/>
    </row>
    <row r="236" spans="1:59" s="178" customFormat="1" ht="15.75" customHeight="1">
      <c r="A236" s="501" t="s">
        <v>1851</v>
      </c>
      <c r="B236" s="716" t="s">
        <v>1922</v>
      </c>
      <c r="C236" s="451">
        <v>97208.5</v>
      </c>
      <c r="D236" s="453"/>
      <c r="E236" s="452"/>
      <c r="F236" s="453">
        <v>-335</v>
      </c>
      <c r="G236" s="500"/>
      <c r="H236" s="453" t="s">
        <v>138</v>
      </c>
      <c r="I236" s="501" t="s">
        <v>1564</v>
      </c>
      <c r="J236" s="583">
        <v>97218.5</v>
      </c>
      <c r="K236" s="452" t="s">
        <v>1744</v>
      </c>
      <c r="L236" s="452" t="s">
        <v>234</v>
      </c>
      <c r="M236" s="452"/>
      <c r="N236" s="501" t="s">
        <v>633</v>
      </c>
      <c r="O236" s="501"/>
      <c r="P236" s="501"/>
      <c r="Q236" s="452"/>
      <c r="R236" s="452"/>
      <c r="S236" s="500"/>
      <c r="T236" s="452">
        <v>-30</v>
      </c>
      <c r="U236" s="452"/>
      <c r="V236" s="452"/>
      <c r="W236" s="452">
        <v>0.6</v>
      </c>
      <c r="X236" s="452"/>
      <c r="Y236" s="452"/>
      <c r="Z236" s="452"/>
      <c r="AA236" s="452"/>
      <c r="AB236" s="452"/>
      <c r="AC236" s="452" t="s">
        <v>3050</v>
      </c>
      <c r="AD236" s="452"/>
      <c r="AE236" s="452"/>
      <c r="AF236" s="452">
        <v>600</v>
      </c>
      <c r="AG236" s="451">
        <v>97242.41</v>
      </c>
      <c r="AH236" s="452">
        <v>2683</v>
      </c>
      <c r="AI236" s="452">
        <v>-4510</v>
      </c>
      <c r="AJ236" s="452"/>
      <c r="AK236" s="452"/>
      <c r="AL236" s="452"/>
      <c r="AM236" s="452" t="s">
        <v>2879</v>
      </c>
      <c r="AN236" s="500">
        <v>5.25</v>
      </c>
      <c r="AO236" s="452"/>
      <c r="AP236" s="452"/>
      <c r="AQ236" s="452"/>
      <c r="AR236" s="452"/>
      <c r="AS236" s="452"/>
      <c r="AT236" s="452">
        <f>+ab($T$236,$T$234,$U$238,$G$235,$G$237, 1*$F$236,1200)</f>
        <v>-1.9832829090906381</v>
      </c>
      <c r="AU236" s="452"/>
      <c r="AV236" s="452"/>
      <c r="AW236" s="452"/>
      <c r="AX236" s="452"/>
      <c r="AY236" s="500"/>
      <c r="AZ236" s="500"/>
      <c r="BA236" s="1333"/>
      <c r="BB236" s="452"/>
      <c r="BC236" s="1334"/>
      <c r="BD236" s="1335"/>
      <c r="BE236" s="1335"/>
      <c r="BF236" s="1335"/>
      <c r="BG236" s="1335"/>
    </row>
    <row r="237" spans="1:59" s="178" customFormat="1" ht="15.75" customHeight="1">
      <c r="A237" s="501"/>
      <c r="B237" s="716"/>
      <c r="C237" s="451"/>
      <c r="D237" s="453"/>
      <c r="E237" s="452"/>
      <c r="F237" s="453"/>
      <c r="G237" s="500">
        <v>33</v>
      </c>
      <c r="H237" s="453"/>
      <c r="I237" s="501"/>
      <c r="J237" s="583"/>
      <c r="K237" s="452"/>
      <c r="L237" s="452"/>
      <c r="M237" s="452"/>
      <c r="N237" s="501"/>
      <c r="O237" s="501"/>
      <c r="P237" s="501"/>
      <c r="Q237" s="452"/>
      <c r="R237" s="452"/>
      <c r="S237" s="500">
        <f>AG238-AG236</f>
        <v>40</v>
      </c>
      <c r="T237" s="452"/>
      <c r="U237" s="452"/>
      <c r="V237" s="452"/>
      <c r="W237" s="452"/>
      <c r="X237" s="452"/>
      <c r="Y237" s="452"/>
      <c r="Z237" s="452"/>
      <c r="AA237" s="452"/>
      <c r="AB237" s="452"/>
      <c r="AC237" s="452"/>
      <c r="AD237" s="452"/>
      <c r="AE237" s="452"/>
      <c r="AF237" s="452"/>
      <c r="AG237" s="451"/>
      <c r="AH237" s="452"/>
      <c r="AI237" s="452"/>
      <c r="AJ237" s="452"/>
      <c r="AK237" s="452"/>
      <c r="AL237" s="452"/>
      <c r="AM237" s="452"/>
      <c r="AN237" s="500"/>
      <c r="AO237" s="452"/>
      <c r="AP237" s="452"/>
      <c r="AQ237" s="452">
        <f>+FL_2($U$238,$T$236,$G$237,1200,9.28, 1*$F$238)</f>
        <v>-0.30000000000008809</v>
      </c>
      <c r="AR237" s="452"/>
      <c r="AS237" s="452"/>
      <c r="AT237" s="452"/>
      <c r="AU237" s="452"/>
      <c r="AV237" s="452"/>
      <c r="AW237" s="452"/>
      <c r="AX237" s="452"/>
      <c r="AY237" s="500"/>
      <c r="AZ237" s="500"/>
      <c r="BA237" s="1333"/>
      <c r="BB237" s="452"/>
      <c r="BC237" s="1334"/>
      <c r="BD237" s="1335"/>
      <c r="BE237" s="1335"/>
      <c r="BF237" s="1335"/>
      <c r="BG237" s="1335"/>
    </row>
    <row r="238" spans="1:59" s="178" customFormat="1" ht="15.75" customHeight="1">
      <c r="A238" s="501"/>
      <c r="B238" s="716" t="s">
        <v>1923</v>
      </c>
      <c r="C238" s="451">
        <v>97241.5</v>
      </c>
      <c r="D238" s="453"/>
      <c r="E238" s="452"/>
      <c r="F238" s="453">
        <v>-335</v>
      </c>
      <c r="G238" s="500"/>
      <c r="H238" s="453" t="s">
        <v>619</v>
      </c>
      <c r="I238" s="501"/>
      <c r="J238" s="583"/>
      <c r="K238" s="452"/>
      <c r="L238" s="452" t="s">
        <v>452</v>
      </c>
      <c r="M238" s="452"/>
      <c r="N238" s="501" t="s">
        <v>635</v>
      </c>
      <c r="O238" s="501" t="s">
        <v>633</v>
      </c>
      <c r="P238" s="501"/>
      <c r="Q238" s="452"/>
      <c r="R238" s="452"/>
      <c r="S238" s="500"/>
      <c r="T238" s="452">
        <v>15</v>
      </c>
      <c r="U238" s="452">
        <v>-30</v>
      </c>
      <c r="V238" s="452"/>
      <c r="W238" s="452">
        <v>0.8</v>
      </c>
      <c r="X238" s="452">
        <v>1</v>
      </c>
      <c r="Y238" s="452"/>
      <c r="Z238" s="452">
        <v>0.35</v>
      </c>
      <c r="AA238" s="452"/>
      <c r="AB238" s="452"/>
      <c r="AC238" s="452" t="s">
        <v>2773</v>
      </c>
      <c r="AD238" s="452"/>
      <c r="AE238" s="452"/>
      <c r="AF238" s="452">
        <v>200</v>
      </c>
      <c r="AG238" s="451">
        <v>97282.41</v>
      </c>
      <c r="AH238" s="452">
        <v>1773</v>
      </c>
      <c r="AI238" s="452">
        <v>-5343</v>
      </c>
      <c r="AJ238" s="452"/>
      <c r="AK238" s="452"/>
      <c r="AL238" s="452"/>
      <c r="AM238" s="452" t="s">
        <v>2879</v>
      </c>
      <c r="AN238" s="500">
        <v>5.25</v>
      </c>
      <c r="AO238" s="452"/>
      <c r="AP238" s="452"/>
      <c r="AQ238" s="452"/>
      <c r="AR238" s="452"/>
      <c r="AS238" s="452"/>
      <c r="AT238" s="452">
        <f>+ab($U$238,$T$236,$U$240,$G$237,$G$239, 1*$F$238,1200)</f>
        <v>-1.9472512373022512</v>
      </c>
      <c r="AU238" s="452"/>
      <c r="AV238" s="452"/>
      <c r="AW238" s="452"/>
      <c r="AX238" s="452"/>
      <c r="AY238" s="500"/>
      <c r="AZ238" s="500"/>
      <c r="BA238" s="1333"/>
      <c r="BB238" s="452"/>
      <c r="BC238" s="1334"/>
      <c r="BD238" s="1335"/>
      <c r="BE238" s="1335"/>
      <c r="BF238" s="1335"/>
      <c r="BG238" s="1335"/>
    </row>
    <row r="239" spans="1:59" s="178" customFormat="1" ht="15.75" customHeight="1">
      <c r="A239" s="501"/>
      <c r="B239" s="716"/>
      <c r="C239" s="451"/>
      <c r="D239" s="453"/>
      <c r="E239" s="452"/>
      <c r="F239" s="453"/>
      <c r="G239" s="500">
        <v>33</v>
      </c>
      <c r="H239" s="453"/>
      <c r="I239" s="501"/>
      <c r="J239" s="583"/>
      <c r="K239" s="452"/>
      <c r="L239" s="452"/>
      <c r="M239" s="452"/>
      <c r="N239" s="501"/>
      <c r="O239" s="501"/>
      <c r="P239" s="501"/>
      <c r="Q239" s="452"/>
      <c r="R239" s="452"/>
      <c r="S239" s="500">
        <f>AG240-AG238</f>
        <v>27.459999999991851</v>
      </c>
      <c r="T239" s="452"/>
      <c r="U239" s="452"/>
      <c r="V239" s="452"/>
      <c r="W239" s="452"/>
      <c r="X239" s="452"/>
      <c r="Y239" s="452"/>
      <c r="Z239" s="452"/>
      <c r="AA239" s="452"/>
      <c r="AB239" s="452"/>
      <c r="AC239" s="452"/>
      <c r="AD239" s="452"/>
      <c r="AE239" s="452"/>
      <c r="AF239" s="452"/>
      <c r="AG239" s="451">
        <v>97283.96</v>
      </c>
      <c r="AH239" s="452">
        <v>1783</v>
      </c>
      <c r="AI239" s="452">
        <v>-5378</v>
      </c>
      <c r="AJ239" s="452"/>
      <c r="AK239" s="452"/>
      <c r="AL239" s="452"/>
      <c r="AM239" s="452"/>
      <c r="AN239" s="500"/>
      <c r="AO239" s="452"/>
      <c r="AP239" s="452"/>
      <c r="AQ239" s="452">
        <f>+FL_1($U$240,$U$238,$G$239,1200,9.28, 1*$F$240)</f>
        <v>0.21186002305500282</v>
      </c>
      <c r="AR239" s="452"/>
      <c r="AS239" s="452"/>
      <c r="AT239" s="452"/>
      <c r="AU239" s="452"/>
      <c r="AV239" s="452"/>
      <c r="AW239" s="452"/>
      <c r="AX239" s="452"/>
      <c r="AY239" s="500"/>
      <c r="AZ239" s="500"/>
      <c r="BA239" s="1333"/>
      <c r="BB239" s="452"/>
      <c r="BC239" s="1334"/>
      <c r="BD239" s="1335"/>
      <c r="BE239" s="1335"/>
      <c r="BF239" s="1335"/>
      <c r="BG239" s="1335"/>
    </row>
    <row r="240" spans="1:59" s="178" customFormat="1" ht="15.75" customHeight="1">
      <c r="A240" s="501" t="s">
        <v>2396</v>
      </c>
      <c r="B240" s="716" t="s">
        <v>1924</v>
      </c>
      <c r="C240" s="451">
        <v>97274.5</v>
      </c>
      <c r="D240" s="453"/>
      <c r="E240" s="452"/>
      <c r="F240" s="453">
        <v>-335</v>
      </c>
      <c r="G240" s="500"/>
      <c r="H240" s="453" t="s">
        <v>619</v>
      </c>
      <c r="I240" s="501"/>
      <c r="J240" s="583"/>
      <c r="K240" s="452"/>
      <c r="L240" s="452" t="s">
        <v>821</v>
      </c>
      <c r="M240" s="452" t="s">
        <v>1476</v>
      </c>
      <c r="N240" s="501" t="s">
        <v>140</v>
      </c>
      <c r="O240" s="501" t="s">
        <v>143</v>
      </c>
      <c r="P240" s="501"/>
      <c r="Q240" s="452"/>
      <c r="R240" s="452"/>
      <c r="S240" s="500"/>
      <c r="T240" s="452">
        <v>15</v>
      </c>
      <c r="U240" s="452">
        <v>-30</v>
      </c>
      <c r="V240" s="452"/>
      <c r="W240" s="452">
        <v>1</v>
      </c>
      <c r="X240" s="452">
        <v>1.4</v>
      </c>
      <c r="Y240" s="452"/>
      <c r="Z240" s="452">
        <v>0.1</v>
      </c>
      <c r="AA240" s="452"/>
      <c r="AB240" s="452"/>
      <c r="AC240" s="452" t="s">
        <v>2482</v>
      </c>
      <c r="AD240" s="452" t="s">
        <v>2773</v>
      </c>
      <c r="AE240" s="452"/>
      <c r="AF240" s="452">
        <v>5800</v>
      </c>
      <c r="AG240" s="451">
        <v>97309.87</v>
      </c>
      <c r="AH240" s="452">
        <v>2584</v>
      </c>
      <c r="AI240" s="452">
        <v>299</v>
      </c>
      <c r="AJ240" s="452" t="s">
        <v>2147</v>
      </c>
      <c r="AK240" s="452"/>
      <c r="AL240" s="452" t="s">
        <v>2142</v>
      </c>
      <c r="AM240" s="452" t="s">
        <v>1042</v>
      </c>
      <c r="AN240" s="500">
        <v>5.35</v>
      </c>
      <c r="AO240" s="452"/>
      <c r="AP240" s="452"/>
      <c r="AQ240" s="452"/>
      <c r="AR240" s="452"/>
      <c r="AS240" s="452"/>
      <c r="AT240" s="452">
        <f>+ab($U$240,$U$238,$T$242,$G$239,$G$241, 1*$F$240,1200)</f>
        <v>-1.759447922576352</v>
      </c>
      <c r="AU240" s="452"/>
      <c r="AV240" s="452"/>
      <c r="AW240" s="452"/>
      <c r="AX240" s="452"/>
      <c r="AY240" s="500"/>
      <c r="AZ240" s="500"/>
      <c r="BA240" s="1333"/>
      <c r="BB240" s="452" t="str">
        <f>Pole_Calculations!A178</f>
        <v>App.8-V08F-P10.3</v>
      </c>
      <c r="BC240" s="1334"/>
      <c r="BD240" s="1335"/>
      <c r="BE240" s="1335"/>
      <c r="BF240" s="1335"/>
      <c r="BG240" s="1335"/>
    </row>
    <row r="241" spans="1:59" s="178" customFormat="1" ht="15.75" customHeight="1">
      <c r="A241" s="501"/>
      <c r="B241" s="716"/>
      <c r="C241" s="451"/>
      <c r="D241" s="453"/>
      <c r="E241" s="452"/>
      <c r="F241" s="453"/>
      <c r="G241" s="500">
        <v>30</v>
      </c>
      <c r="H241" s="453"/>
      <c r="I241" s="501"/>
      <c r="J241" s="583"/>
      <c r="K241" s="452"/>
      <c r="L241" s="452"/>
      <c r="M241" s="452"/>
      <c r="N241" s="501"/>
      <c r="O241" s="501"/>
      <c r="P241" s="501"/>
      <c r="Q241" s="452"/>
      <c r="R241" s="452"/>
      <c r="S241" s="500">
        <f>AG242-AG240</f>
        <v>30.169999999998254</v>
      </c>
      <c r="T241" s="452"/>
      <c r="U241" s="452"/>
      <c r="V241" s="452"/>
      <c r="W241" s="452"/>
      <c r="X241" s="452"/>
      <c r="Y241" s="452"/>
      <c r="Z241" s="452"/>
      <c r="AA241" s="452"/>
      <c r="AB241" s="452"/>
      <c r="AC241" s="452"/>
      <c r="AD241" s="452"/>
      <c r="AE241" s="452"/>
      <c r="AF241" s="452"/>
      <c r="AG241" s="451"/>
      <c r="AH241" s="452"/>
      <c r="AI241" s="452"/>
      <c r="AJ241" s="452"/>
      <c r="AK241" s="452"/>
      <c r="AL241" s="452"/>
      <c r="AM241" s="452"/>
      <c r="AN241" s="500"/>
      <c r="AO241" s="452"/>
      <c r="AP241" s="452"/>
      <c r="AQ241" s="452">
        <f>+FL_1($T$242,$U$240,$G$241,1200,9.28, 1*$F$242)</f>
        <v>0.37789926080968839</v>
      </c>
      <c r="AR241" s="452"/>
      <c r="AS241" s="452"/>
      <c r="AT241" s="452"/>
      <c r="AU241" s="452"/>
      <c r="AV241" s="452"/>
      <c r="AW241" s="452"/>
      <c r="AX241" s="452"/>
      <c r="AY241" s="500"/>
      <c r="AZ241" s="500"/>
      <c r="BA241" s="1333"/>
      <c r="BB241" s="452"/>
      <c r="BC241" s="1334"/>
      <c r="BD241" s="1335"/>
      <c r="BE241" s="1335"/>
      <c r="BF241" s="1335"/>
      <c r="BG241" s="1335"/>
    </row>
    <row r="242" spans="1:59" s="178" customFormat="1" ht="15.75" customHeight="1">
      <c r="A242" s="501"/>
      <c r="B242" s="716" t="s">
        <v>1925</v>
      </c>
      <c r="C242" s="451">
        <v>97304.5</v>
      </c>
      <c r="D242" s="453"/>
      <c r="E242" s="452"/>
      <c r="F242" s="453">
        <v>-335</v>
      </c>
      <c r="G242" s="500"/>
      <c r="H242" s="453" t="s">
        <v>619</v>
      </c>
      <c r="I242" s="501"/>
      <c r="J242" s="583">
        <f>J243-2</f>
        <v>97325</v>
      </c>
      <c r="K242" s="452" t="s">
        <v>625</v>
      </c>
      <c r="L242" s="452" t="s">
        <v>821</v>
      </c>
      <c r="M242" s="452" t="s">
        <v>1476</v>
      </c>
      <c r="N242" s="501" t="s">
        <v>143</v>
      </c>
      <c r="O242" s="501" t="s">
        <v>140</v>
      </c>
      <c r="P242" s="501"/>
      <c r="Q242" s="452"/>
      <c r="R242" s="452"/>
      <c r="S242" s="500"/>
      <c r="T242" s="452">
        <v>15</v>
      </c>
      <c r="U242" s="452">
        <v>-30</v>
      </c>
      <c r="V242" s="452"/>
      <c r="W242" s="452">
        <v>1.2</v>
      </c>
      <c r="X242" s="452">
        <v>1.6</v>
      </c>
      <c r="Y242" s="452"/>
      <c r="Z242" s="452"/>
      <c r="AA242" s="452">
        <v>0.1</v>
      </c>
      <c r="AB242" s="452"/>
      <c r="AC242" s="452" t="s">
        <v>2482</v>
      </c>
      <c r="AD242" s="452" t="s">
        <v>1427</v>
      </c>
      <c r="AE242" s="452"/>
      <c r="AF242" s="452">
        <v>6300</v>
      </c>
      <c r="AG242" s="451">
        <v>97340.04</v>
      </c>
      <c r="AH242" s="452">
        <v>2268</v>
      </c>
      <c r="AI242" s="452">
        <v>403</v>
      </c>
      <c r="AJ242" s="452"/>
      <c r="AK242" s="452"/>
      <c r="AL242" s="452" t="s">
        <v>2142</v>
      </c>
      <c r="AM242" s="452" t="s">
        <v>1042</v>
      </c>
      <c r="AN242" s="500">
        <v>5.45</v>
      </c>
      <c r="AO242" s="452"/>
      <c r="AP242" s="452"/>
      <c r="AQ242" s="452"/>
      <c r="AR242" s="452"/>
      <c r="AS242" s="452"/>
      <c r="AT242" s="452">
        <f>+ab($U$242,$U$240,$T$244,$G$241,$G$243, 1*$F$242,1200)</f>
        <v>-1.5611692355400955</v>
      </c>
      <c r="AU242" s="452"/>
      <c r="AV242" s="452"/>
      <c r="AW242" s="452"/>
      <c r="AX242" s="452"/>
      <c r="AY242" s="500"/>
      <c r="AZ242" s="500"/>
      <c r="BA242" s="1333"/>
      <c r="BB242" s="452" t="str">
        <f>Pole_Calculations!A178</f>
        <v>App.8-V08F-P10.3</v>
      </c>
      <c r="BC242" s="1334"/>
      <c r="BD242" s="1335"/>
      <c r="BE242" s="1335"/>
      <c r="BF242" s="1335"/>
      <c r="BG242" s="1335"/>
    </row>
    <row r="243" spans="1:59" s="178" customFormat="1" ht="15.75" customHeight="1">
      <c r="A243" s="501"/>
      <c r="B243" s="716"/>
      <c r="C243" s="451"/>
      <c r="D243" s="453"/>
      <c r="E243" s="452"/>
      <c r="F243" s="453"/>
      <c r="G243" s="500">
        <v>30</v>
      </c>
      <c r="H243" s="453"/>
      <c r="I243" s="501" t="s">
        <v>1039</v>
      </c>
      <c r="J243" s="583">
        <v>97327</v>
      </c>
      <c r="K243" s="452" t="s">
        <v>621</v>
      </c>
      <c r="L243" s="452"/>
      <c r="M243" s="452"/>
      <c r="N243" s="501"/>
      <c r="O243" s="501"/>
      <c r="P243" s="501"/>
      <c r="Q243" s="452"/>
      <c r="R243" s="452"/>
      <c r="S243" s="500">
        <f>AG244-AG242</f>
        <v>30.600000000005821</v>
      </c>
      <c r="T243" s="452"/>
      <c r="U243" s="452"/>
      <c r="V243" s="452"/>
      <c r="W243" s="452"/>
      <c r="X243" s="452"/>
      <c r="Y243" s="452"/>
      <c r="Z243" s="452"/>
      <c r="AA243" s="452"/>
      <c r="AB243" s="452"/>
      <c r="AC243" s="452"/>
      <c r="AD243" s="452"/>
      <c r="AE243" s="452"/>
      <c r="AF243" s="452"/>
      <c r="AG243" s="451"/>
      <c r="AH243" s="452"/>
      <c r="AI243" s="452"/>
      <c r="AJ243" s="452"/>
      <c r="AK243" s="452"/>
      <c r="AL243" s="452"/>
      <c r="AM243" s="452"/>
      <c r="AN243" s="500"/>
      <c r="AO243" s="452"/>
      <c r="AP243" s="452"/>
      <c r="AQ243" s="452">
        <f>+FL_1($T$244,$T$242,$G$243,1200,9.28, 1*$F$244)</f>
        <v>0.7</v>
      </c>
      <c r="AR243" s="452"/>
      <c r="AS243" s="452"/>
      <c r="AT243" s="452"/>
      <c r="AU243" s="452"/>
      <c r="AV243" s="452"/>
      <c r="AW243" s="452"/>
      <c r="AX243" s="452"/>
      <c r="AY243" s="500"/>
      <c r="AZ243" s="500"/>
      <c r="BA243" s="1333"/>
      <c r="BB243" s="452"/>
      <c r="BC243" s="1334"/>
      <c r="BD243" s="1335"/>
      <c r="BE243" s="1335"/>
      <c r="BF243" s="1335"/>
      <c r="BG243" s="1335"/>
    </row>
    <row r="244" spans="1:59" s="178" customFormat="1" ht="15.75" customHeight="1">
      <c r="A244" s="501" t="s">
        <v>2954</v>
      </c>
      <c r="B244" s="716" t="s">
        <v>1926</v>
      </c>
      <c r="C244" s="451">
        <v>97334.5</v>
      </c>
      <c r="D244" s="453"/>
      <c r="E244" s="452"/>
      <c r="F244" s="453">
        <v>0</v>
      </c>
      <c r="G244" s="500"/>
      <c r="H244" s="453" t="s">
        <v>2130</v>
      </c>
      <c r="I244" s="501" t="s">
        <v>623</v>
      </c>
      <c r="J244" s="583"/>
      <c r="K244" s="452"/>
      <c r="L244" s="452" t="s">
        <v>819</v>
      </c>
      <c r="M244" s="452" t="s">
        <v>1477</v>
      </c>
      <c r="N244" s="501" t="s">
        <v>143</v>
      </c>
      <c r="O244" s="501" t="s">
        <v>140</v>
      </c>
      <c r="P244" s="501"/>
      <c r="Q244" s="452"/>
      <c r="R244" s="452"/>
      <c r="S244" s="500"/>
      <c r="T244" s="452">
        <v>70</v>
      </c>
      <c r="U244" s="452">
        <v>-10</v>
      </c>
      <c r="V244" s="452">
        <v>-55</v>
      </c>
      <c r="W244" s="452">
        <v>1.2</v>
      </c>
      <c r="X244" s="452">
        <v>1.6</v>
      </c>
      <c r="Y244" s="452">
        <v>2</v>
      </c>
      <c r="Z244" s="452">
        <v>0.6</v>
      </c>
      <c r="AA244" s="452"/>
      <c r="AB244" s="452">
        <v>0.6</v>
      </c>
      <c r="AC244" s="452"/>
      <c r="AD244" s="452" t="s">
        <v>4481</v>
      </c>
      <c r="AE244" s="452"/>
      <c r="AF244" s="452">
        <v>5900</v>
      </c>
      <c r="AG244" s="451">
        <v>97370.64</v>
      </c>
      <c r="AH244" s="452">
        <v>2164</v>
      </c>
      <c r="AI244" s="452">
        <v>306</v>
      </c>
      <c r="AJ244" s="452" t="s">
        <v>884</v>
      </c>
      <c r="AK244" s="452"/>
      <c r="AL244" s="452" t="s">
        <v>2127</v>
      </c>
      <c r="AM244" s="452" t="s">
        <v>1043</v>
      </c>
      <c r="AN244" s="500">
        <v>5.5</v>
      </c>
      <c r="AO244" s="452"/>
      <c r="AP244" s="452"/>
      <c r="AQ244" s="452"/>
      <c r="AR244" s="452"/>
      <c r="AS244" s="452"/>
      <c r="AT244" s="452">
        <f>+ab($T$244,$U$242,$U$246,$G$243,$G$245, 1*$F$244,1200)</f>
        <v>2.805938760697761</v>
      </c>
      <c r="AU244" s="452"/>
      <c r="AV244" s="452"/>
      <c r="AW244" s="452"/>
      <c r="AX244" s="452"/>
      <c r="AY244" s="500"/>
      <c r="AZ244" s="500"/>
      <c r="BA244" s="1333"/>
      <c r="BB244" s="452" t="str">
        <f>Pole_Calculations!A178</f>
        <v>App.8-V08F-P10.3</v>
      </c>
      <c r="BC244" s="1334"/>
      <c r="BD244" s="1335"/>
      <c r="BE244" s="1335"/>
      <c r="BF244" s="1335"/>
      <c r="BG244" s="1335"/>
    </row>
    <row r="245" spans="1:59" s="178" customFormat="1" ht="15.75" customHeight="1">
      <c r="A245" s="501"/>
      <c r="B245" s="716"/>
      <c r="C245" s="451"/>
      <c r="D245" s="453"/>
      <c r="E245" s="452"/>
      <c r="F245" s="453"/>
      <c r="G245" s="500">
        <v>30</v>
      </c>
      <c r="H245" s="453"/>
      <c r="I245" s="501">
        <v>358</v>
      </c>
      <c r="J245" s="583"/>
      <c r="K245" s="452"/>
      <c r="L245" s="452"/>
      <c r="M245" s="452"/>
      <c r="N245" s="501"/>
      <c r="O245" s="501"/>
      <c r="P245" s="501"/>
      <c r="Q245" s="452"/>
      <c r="R245" s="452"/>
      <c r="S245" s="500">
        <f>AG246-AG244</f>
        <v>19.380000000004657</v>
      </c>
      <c r="T245" s="452"/>
      <c r="U245" s="452"/>
      <c r="V245" s="452"/>
      <c r="W245" s="452"/>
      <c r="X245" s="452"/>
      <c r="Y245" s="452"/>
      <c r="Z245" s="452"/>
      <c r="AA245" s="452"/>
      <c r="AB245" s="452"/>
      <c r="AC245" s="452"/>
      <c r="AD245" s="452"/>
      <c r="AE245" s="452"/>
      <c r="AF245" s="452"/>
      <c r="AG245" s="451"/>
      <c r="AH245" s="452"/>
      <c r="AI245" s="452"/>
      <c r="AJ245" s="452"/>
      <c r="AK245" s="452"/>
      <c r="AL245" s="452"/>
      <c r="AM245" s="452"/>
      <c r="AN245" s="500"/>
      <c r="AO245" s="452"/>
      <c r="AP245" s="452"/>
      <c r="AQ245" s="452">
        <f>+FL_2($U$246,$T$244,$G$245,1200,9.28, 1*$F$246)</f>
        <v>-0.35000000000000003</v>
      </c>
      <c r="AR245" s="452"/>
      <c r="AS245" s="452"/>
      <c r="AT245" s="452"/>
      <c r="AU245" s="452"/>
      <c r="AV245" s="452"/>
      <c r="AW245" s="452"/>
      <c r="AX245" s="452"/>
      <c r="AY245" s="500"/>
      <c r="AZ245" s="500"/>
      <c r="BA245" s="1333"/>
      <c r="BB245" s="452"/>
      <c r="BC245" s="1334"/>
      <c r="BD245" s="1335"/>
      <c r="BE245" s="1335"/>
      <c r="BF245" s="1335"/>
      <c r="BG245" s="1335"/>
    </row>
    <row r="246" spans="1:59" s="178" customFormat="1" ht="15.75" customHeight="1">
      <c r="A246" s="501"/>
      <c r="B246" s="716" t="s">
        <v>1927</v>
      </c>
      <c r="C246" s="451">
        <v>97392</v>
      </c>
      <c r="D246" s="453"/>
      <c r="E246" s="452"/>
      <c r="F246" s="453">
        <v>0</v>
      </c>
      <c r="G246" s="500"/>
      <c r="H246" s="453" t="s">
        <v>2146</v>
      </c>
      <c r="I246" s="501"/>
      <c r="J246" s="583"/>
      <c r="K246" s="452"/>
      <c r="L246" s="452" t="s">
        <v>819</v>
      </c>
      <c r="M246" s="452" t="s">
        <v>1542</v>
      </c>
      <c r="N246" s="501" t="s">
        <v>140</v>
      </c>
      <c r="O246" s="501" t="s">
        <v>143</v>
      </c>
      <c r="P246" s="501" t="s">
        <v>140</v>
      </c>
      <c r="Q246" s="452"/>
      <c r="R246" s="452"/>
      <c r="S246" s="500"/>
      <c r="T246" s="452">
        <v>-50</v>
      </c>
      <c r="U246" s="452">
        <v>-35</v>
      </c>
      <c r="V246" s="452">
        <v>55</v>
      </c>
      <c r="W246" s="452">
        <v>2</v>
      </c>
      <c r="X246" s="452">
        <v>1.8</v>
      </c>
      <c r="Y246" s="452">
        <v>1.4</v>
      </c>
      <c r="Z246" s="452">
        <v>0.45</v>
      </c>
      <c r="AA246" s="452"/>
      <c r="AB246" s="452">
        <v>0.6</v>
      </c>
      <c r="AC246" s="452"/>
      <c r="AD246" s="452" t="s">
        <v>4115</v>
      </c>
      <c r="AE246" s="452"/>
      <c r="AF246" s="452">
        <v>5000</v>
      </c>
      <c r="AG246" s="451">
        <v>97390.02</v>
      </c>
      <c r="AH246" s="452">
        <v>2103</v>
      </c>
      <c r="AI246" s="452">
        <v>-258</v>
      </c>
      <c r="AJ246" s="452"/>
      <c r="AK246" s="452"/>
      <c r="AL246" s="452" t="s">
        <v>2127</v>
      </c>
      <c r="AM246" s="452" t="s">
        <v>1043</v>
      </c>
      <c r="AN246" s="500">
        <v>5.5</v>
      </c>
      <c r="AO246" s="452"/>
      <c r="AP246" s="452"/>
      <c r="AQ246" s="452"/>
      <c r="AR246" s="452"/>
      <c r="AS246" s="452"/>
      <c r="AT246" s="452" t="e">
        <f>+ab($U$246,$T$244,#REF!,$G$245,#REF!, 1*$F$246,1200)</f>
        <v>#VALUE!</v>
      </c>
      <c r="AU246" s="452"/>
      <c r="AV246" s="452"/>
      <c r="AW246" s="452"/>
      <c r="AX246" s="452"/>
      <c r="AY246" s="500"/>
      <c r="AZ246" s="500"/>
      <c r="BA246" s="1333"/>
      <c r="BB246" s="452" t="str">
        <f>Pole_Calculations!A178</f>
        <v>App.8-V08F-P10.3</v>
      </c>
      <c r="BC246" s="1334"/>
      <c r="BD246" s="1335"/>
      <c r="BE246" s="1335"/>
      <c r="BF246" s="1335"/>
      <c r="BG246" s="1335"/>
    </row>
    <row r="247" spans="1:59" ht="12.5">
      <c r="B247" s="618"/>
      <c r="C247" s="617"/>
      <c r="H247" s="178"/>
      <c r="I247" s="178"/>
      <c r="J247" s="184"/>
      <c r="N247" s="178"/>
      <c r="O247" s="178"/>
      <c r="P247" s="178"/>
      <c r="Q247" s="699"/>
      <c r="R247" s="764"/>
      <c r="S247" s="458"/>
      <c r="AG247" s="776"/>
      <c r="AH247" s="764"/>
      <c r="AI247" s="764"/>
      <c r="AN247" s="458"/>
      <c r="AO247" s="454"/>
      <c r="AP247" s="454"/>
      <c r="AQ247" s="454"/>
      <c r="AR247" s="454"/>
      <c r="AS247" s="454"/>
      <c r="AT247" s="454"/>
      <c r="AU247" s="454"/>
      <c r="AV247" s="454"/>
      <c r="AW247" s="178"/>
      <c r="AX247" s="178"/>
      <c r="AY247" s="454"/>
      <c r="AZ247" s="454"/>
      <c r="BA247" s="1306"/>
    </row>
    <row r="248" spans="1:59" ht="12.5">
      <c r="B248" s="642"/>
      <c r="C248" s="617"/>
      <c r="H248" s="178"/>
      <c r="I248" s="178"/>
      <c r="J248" s="184"/>
      <c r="N248" s="178"/>
      <c r="O248" s="178"/>
      <c r="P248" s="178"/>
      <c r="Q248" s="699"/>
      <c r="R248" s="764"/>
      <c r="S248" s="458"/>
      <c r="AG248" s="776"/>
      <c r="AH248" s="764"/>
      <c r="AI248" s="764"/>
      <c r="AN248" s="458"/>
      <c r="AO248" s="454"/>
      <c r="AP248" s="454"/>
      <c r="AQ248" s="454"/>
      <c r="AR248" s="454"/>
      <c r="AS248" s="454"/>
      <c r="AT248" s="454"/>
      <c r="AU248" s="454"/>
      <c r="AV248" s="454"/>
      <c r="AW248" s="178"/>
      <c r="AX248" s="178"/>
      <c r="AY248" s="454"/>
      <c r="AZ248" s="454"/>
      <c r="BA248" s="1306"/>
    </row>
    <row r="249" spans="1:59" ht="12.5">
      <c r="B249" s="618"/>
      <c r="C249" s="617"/>
      <c r="H249" s="178"/>
      <c r="I249" s="178"/>
      <c r="J249" s="184"/>
      <c r="N249" s="178"/>
      <c r="O249" s="178"/>
      <c r="P249" s="178"/>
      <c r="Q249" s="699"/>
      <c r="R249" s="764"/>
      <c r="S249" s="458"/>
      <c r="AG249" s="776"/>
      <c r="AH249" s="764"/>
      <c r="AI249" s="764"/>
      <c r="AN249" s="458"/>
      <c r="AO249" s="454"/>
      <c r="AP249" s="454"/>
      <c r="AQ249" s="454"/>
      <c r="AR249" s="454"/>
      <c r="AS249" s="454"/>
      <c r="AT249" s="454"/>
      <c r="AU249" s="454"/>
      <c r="AV249" s="454"/>
      <c r="AW249" s="178"/>
      <c r="AX249" s="178"/>
      <c r="AY249" s="454"/>
      <c r="AZ249" s="454"/>
      <c r="BA249" s="1306"/>
    </row>
    <row r="250" spans="1:59" ht="12.5">
      <c r="B250" s="618"/>
      <c r="C250" s="617"/>
      <c r="H250" s="178"/>
      <c r="I250" s="178"/>
      <c r="J250" s="184"/>
      <c r="N250" s="178"/>
      <c r="O250" s="178"/>
      <c r="P250" s="178"/>
      <c r="Q250" s="699"/>
      <c r="R250" s="764"/>
      <c r="S250" s="458"/>
      <c r="AG250" s="776"/>
      <c r="AH250" s="764"/>
      <c r="AI250" s="764"/>
      <c r="AN250" s="458"/>
      <c r="AO250" s="458"/>
      <c r="AP250" s="458"/>
      <c r="AQ250" s="458"/>
      <c r="AR250" s="458"/>
      <c r="AS250" s="458"/>
      <c r="AT250" s="458"/>
      <c r="AU250" s="458"/>
      <c r="AV250" s="458"/>
      <c r="AW250" s="178"/>
      <c r="AX250" s="178"/>
      <c r="AY250" s="454"/>
      <c r="AZ250" s="454"/>
      <c r="BA250" s="1306"/>
    </row>
    <row r="251" spans="1:59" ht="12.5">
      <c r="B251" s="618"/>
      <c r="C251" s="617"/>
      <c r="H251" s="178"/>
      <c r="I251" s="178"/>
      <c r="J251" s="184"/>
      <c r="N251" s="178"/>
      <c r="O251" s="178"/>
      <c r="P251" s="178"/>
      <c r="Q251" s="699"/>
      <c r="R251" s="764"/>
      <c r="S251" s="458"/>
      <c r="AG251" s="776"/>
      <c r="AH251" s="764"/>
      <c r="AI251" s="764"/>
      <c r="AN251" s="458"/>
      <c r="AO251" s="458"/>
      <c r="AP251" s="458"/>
      <c r="AQ251" s="458"/>
      <c r="AR251" s="458"/>
      <c r="AS251" s="458"/>
      <c r="AT251" s="458"/>
      <c r="AU251" s="458"/>
      <c r="AV251" s="458"/>
      <c r="AW251" s="178"/>
      <c r="AX251" s="178"/>
      <c r="AY251" s="454"/>
      <c r="AZ251" s="454"/>
      <c r="BA251" s="1306"/>
    </row>
    <row r="252" spans="1:59" ht="12.5">
      <c r="B252" s="618"/>
      <c r="C252" s="617"/>
      <c r="H252" s="178"/>
      <c r="I252" s="178"/>
      <c r="J252" s="184"/>
      <c r="N252" s="178"/>
      <c r="O252" s="178"/>
      <c r="P252" s="178"/>
      <c r="Q252" s="699"/>
      <c r="R252" s="764"/>
      <c r="S252" s="458"/>
      <c r="AG252" s="776"/>
      <c r="AH252" s="764"/>
      <c r="AI252" s="764"/>
      <c r="AN252" s="458"/>
      <c r="AO252" s="458"/>
      <c r="AP252" s="458"/>
      <c r="AQ252" s="458"/>
      <c r="AR252" s="458"/>
      <c r="AS252" s="458"/>
      <c r="AT252" s="458"/>
      <c r="AU252" s="458"/>
      <c r="AV252" s="458"/>
      <c r="BA252" s="1305"/>
    </row>
    <row r="253" spans="1:59" ht="12.5">
      <c r="B253" s="618"/>
      <c r="C253" s="617"/>
      <c r="H253" s="178"/>
      <c r="I253" s="178"/>
      <c r="J253" s="184"/>
      <c r="N253" s="178"/>
      <c r="O253" s="178"/>
      <c r="P253" s="178"/>
      <c r="Q253" s="699"/>
      <c r="R253" s="764"/>
      <c r="S253" s="458"/>
      <c r="AG253" s="776"/>
      <c r="AH253" s="764"/>
      <c r="AI253" s="764"/>
      <c r="AN253" s="458"/>
      <c r="AO253" s="458"/>
      <c r="AP253" s="458"/>
      <c r="AQ253" s="458"/>
      <c r="AR253" s="458"/>
      <c r="AS253" s="458"/>
      <c r="AT253" s="458"/>
      <c r="AU253" s="458"/>
      <c r="AV253" s="458"/>
      <c r="BA253" s="1305"/>
    </row>
    <row r="254" spans="1:59" ht="12.5">
      <c r="B254" s="618"/>
      <c r="C254" s="617"/>
      <c r="H254" s="178"/>
      <c r="I254" s="178"/>
      <c r="J254" s="184"/>
      <c r="N254" s="178"/>
      <c r="O254" s="178"/>
      <c r="P254" s="178"/>
      <c r="Q254" s="699"/>
      <c r="R254" s="764"/>
      <c r="S254" s="458"/>
      <c r="AG254" s="776"/>
      <c r="AH254" s="764"/>
      <c r="AI254" s="764"/>
      <c r="AN254" s="458"/>
      <c r="AO254" s="458"/>
      <c r="AP254" s="458"/>
      <c r="AQ254" s="458"/>
      <c r="AR254" s="458"/>
      <c r="AS254" s="458"/>
      <c r="AT254" s="458"/>
      <c r="AU254" s="458"/>
      <c r="AV254" s="458"/>
      <c r="BA254" s="1305"/>
    </row>
    <row r="255" spans="1:59" ht="12.5">
      <c r="B255" s="618"/>
      <c r="C255" s="617"/>
      <c r="H255" s="178"/>
      <c r="I255" s="178"/>
      <c r="J255" s="184"/>
      <c r="N255" s="178"/>
      <c r="O255" s="178"/>
      <c r="P255" s="178"/>
      <c r="Q255" s="699"/>
      <c r="R255" s="764"/>
      <c r="S255" s="458"/>
      <c r="AG255" s="776"/>
      <c r="AH255" s="764"/>
      <c r="AI255" s="764"/>
      <c r="AN255" s="458"/>
      <c r="AO255" s="458"/>
      <c r="AP255" s="458"/>
      <c r="AQ255" s="458"/>
      <c r="AR255" s="458"/>
      <c r="AS255" s="458"/>
      <c r="AT255" s="458"/>
      <c r="AU255" s="458"/>
      <c r="AV255" s="458"/>
      <c r="BA255" s="1305"/>
    </row>
    <row r="256" spans="1:59" ht="12.5">
      <c r="B256" s="618"/>
      <c r="C256" s="617"/>
      <c r="H256" s="178"/>
      <c r="I256" s="178"/>
      <c r="J256" s="184"/>
      <c r="N256" s="178"/>
      <c r="O256" s="178"/>
      <c r="P256" s="178"/>
      <c r="Q256" s="699"/>
      <c r="R256" s="764"/>
      <c r="S256" s="458"/>
      <c r="AG256" s="777"/>
      <c r="AH256" s="764"/>
      <c r="AI256" s="764"/>
      <c r="AN256" s="458"/>
      <c r="AO256" s="458"/>
      <c r="AP256" s="458"/>
      <c r="AQ256" s="458"/>
      <c r="AR256" s="458"/>
      <c r="AS256" s="458"/>
      <c r="AT256" s="458"/>
      <c r="AU256" s="458"/>
      <c r="AV256" s="458"/>
      <c r="BA256" s="1305"/>
    </row>
    <row r="257" spans="2:53" ht="12.5">
      <c r="B257" s="618"/>
      <c r="C257" s="617"/>
      <c r="H257" s="178"/>
      <c r="I257" s="178"/>
      <c r="J257" s="184"/>
      <c r="N257" s="178"/>
      <c r="O257" s="178"/>
      <c r="P257" s="178"/>
      <c r="Q257" s="699"/>
      <c r="R257" s="764"/>
      <c r="S257" s="458"/>
      <c r="AG257" s="776"/>
      <c r="AH257" s="764"/>
      <c r="AI257" s="764"/>
      <c r="AN257" s="458"/>
      <c r="AO257" s="458"/>
      <c r="AP257" s="458"/>
      <c r="AQ257" s="458"/>
      <c r="AR257" s="458"/>
      <c r="AS257" s="458"/>
      <c r="AT257" s="458"/>
      <c r="AU257" s="458"/>
      <c r="AV257" s="458"/>
      <c r="BA257" s="1305"/>
    </row>
    <row r="258" spans="2:53" ht="12.5">
      <c r="B258" s="618"/>
      <c r="C258" s="617"/>
      <c r="H258" s="178"/>
      <c r="I258" s="178"/>
      <c r="J258" s="184"/>
      <c r="N258" s="178"/>
      <c r="O258" s="178"/>
      <c r="P258" s="178"/>
      <c r="Q258" s="699"/>
      <c r="R258" s="764"/>
      <c r="S258" s="458"/>
      <c r="AG258" s="777"/>
      <c r="AH258" s="764"/>
      <c r="AI258" s="764"/>
      <c r="AN258" s="458"/>
      <c r="AO258" s="458"/>
      <c r="AP258" s="458"/>
      <c r="AQ258" s="458"/>
      <c r="AR258" s="458"/>
      <c r="AS258" s="458"/>
      <c r="AT258" s="458"/>
      <c r="AU258" s="458"/>
      <c r="AV258" s="458"/>
      <c r="BA258" s="1305"/>
    </row>
    <row r="259" spans="2:53" ht="12.5">
      <c r="B259" s="618"/>
      <c r="C259" s="617"/>
      <c r="H259" s="178"/>
      <c r="I259" s="178"/>
      <c r="J259" s="184"/>
      <c r="N259" s="178"/>
      <c r="O259" s="178"/>
      <c r="P259" s="178"/>
      <c r="Q259" s="699"/>
      <c r="R259" s="764"/>
      <c r="S259" s="458"/>
      <c r="AG259" s="776"/>
      <c r="AH259" s="764"/>
      <c r="AI259" s="764"/>
      <c r="AN259" s="458"/>
      <c r="AO259" s="458"/>
      <c r="AP259" s="458"/>
      <c r="AQ259" s="458"/>
      <c r="AR259" s="458"/>
      <c r="AS259" s="458"/>
      <c r="AT259" s="458"/>
      <c r="AU259" s="458"/>
      <c r="AV259" s="458"/>
      <c r="BA259" s="1305"/>
    </row>
    <row r="260" spans="2:53" ht="12.5">
      <c r="B260" s="618"/>
      <c r="C260" s="617"/>
      <c r="H260" s="178"/>
      <c r="I260" s="178"/>
      <c r="J260" s="184"/>
      <c r="N260" s="178"/>
      <c r="O260" s="178"/>
      <c r="P260" s="178"/>
      <c r="Q260" s="699"/>
      <c r="R260" s="764"/>
      <c r="S260" s="458"/>
      <c r="AG260" s="776"/>
      <c r="AH260" s="764"/>
      <c r="AI260" s="764"/>
      <c r="AN260" s="458"/>
      <c r="AO260" s="458"/>
      <c r="AP260" s="458"/>
      <c r="AQ260" s="458"/>
      <c r="AR260" s="458"/>
      <c r="AS260" s="458"/>
      <c r="AT260" s="458"/>
      <c r="AU260" s="458"/>
      <c r="AV260" s="458"/>
      <c r="BA260" s="1305"/>
    </row>
    <row r="261" spans="2:53" ht="12.5">
      <c r="B261" s="618"/>
      <c r="C261" s="617"/>
      <c r="H261" s="178"/>
      <c r="I261" s="179"/>
      <c r="J261" s="184"/>
      <c r="N261" s="178"/>
      <c r="O261" s="178"/>
      <c r="P261" s="178"/>
      <c r="Q261" s="699"/>
      <c r="R261" s="764"/>
      <c r="S261" s="458"/>
      <c r="AG261" s="776"/>
      <c r="AH261" s="764"/>
      <c r="AI261" s="764"/>
      <c r="AN261" s="458"/>
      <c r="AO261" s="458"/>
      <c r="AP261" s="458"/>
      <c r="AQ261" s="458"/>
      <c r="AR261" s="458"/>
      <c r="AS261" s="458"/>
      <c r="AT261" s="458"/>
      <c r="AU261" s="458"/>
      <c r="AV261" s="458"/>
      <c r="BA261" s="1305"/>
    </row>
    <row r="262" spans="2:53" ht="12.5">
      <c r="B262" s="618"/>
      <c r="C262" s="617"/>
      <c r="H262" s="178"/>
      <c r="I262" s="178"/>
      <c r="J262" s="184"/>
      <c r="N262" s="178"/>
      <c r="O262" s="178"/>
      <c r="P262" s="178"/>
      <c r="Q262" s="699"/>
      <c r="R262" s="764"/>
      <c r="S262" s="458"/>
      <c r="AG262" s="776"/>
      <c r="AH262" s="764"/>
      <c r="AI262" s="764"/>
      <c r="AN262" s="458"/>
      <c r="AO262" s="458"/>
      <c r="AP262" s="458"/>
      <c r="AQ262" s="458"/>
      <c r="AR262" s="458"/>
      <c r="AS262" s="458"/>
      <c r="AT262" s="458"/>
      <c r="AU262" s="458"/>
      <c r="AV262" s="458"/>
      <c r="BA262" s="1305"/>
    </row>
    <row r="263" spans="2:53" ht="12.5">
      <c r="B263" s="618"/>
      <c r="C263" s="617"/>
      <c r="H263" s="178"/>
      <c r="I263" s="179"/>
      <c r="J263" s="184"/>
      <c r="N263" s="178"/>
      <c r="O263" s="178"/>
      <c r="P263" s="178"/>
      <c r="Q263" s="699"/>
      <c r="R263" s="764"/>
      <c r="S263" s="458"/>
      <c r="AG263" s="776"/>
      <c r="AH263" s="764"/>
      <c r="AI263" s="764"/>
      <c r="AN263" s="458"/>
      <c r="AO263" s="458"/>
      <c r="AP263" s="458"/>
      <c r="AQ263" s="458"/>
      <c r="AR263" s="458"/>
      <c r="AS263" s="458"/>
      <c r="AT263" s="458"/>
      <c r="AU263" s="458"/>
      <c r="AV263" s="458"/>
      <c r="BA263" s="1305"/>
    </row>
    <row r="264" spans="2:53" ht="12.5">
      <c r="B264" s="618"/>
      <c r="C264" s="617"/>
      <c r="H264" s="178"/>
      <c r="I264" s="178"/>
      <c r="J264" s="184"/>
      <c r="N264" s="178"/>
      <c r="O264" s="178"/>
      <c r="P264" s="178"/>
      <c r="Q264" s="699"/>
      <c r="R264" s="764"/>
      <c r="S264" s="458"/>
      <c r="AG264" s="776"/>
      <c r="AH264" s="764"/>
      <c r="AI264" s="764"/>
      <c r="AN264" s="458"/>
      <c r="AO264" s="458"/>
      <c r="AP264" s="458"/>
      <c r="AQ264" s="458"/>
      <c r="AR264" s="458"/>
      <c r="AS264" s="458"/>
      <c r="AT264" s="458"/>
      <c r="AU264" s="458"/>
      <c r="AV264" s="458"/>
      <c r="BA264" s="1305"/>
    </row>
    <row r="265" spans="2:53" ht="12.5">
      <c r="B265" s="618"/>
      <c r="C265" s="617"/>
      <c r="H265" s="178"/>
      <c r="I265" s="179"/>
      <c r="J265" s="184"/>
      <c r="N265" s="178"/>
      <c r="O265" s="178"/>
      <c r="P265" s="178"/>
      <c r="Q265" s="699"/>
      <c r="R265" s="764"/>
      <c r="S265" s="458"/>
      <c r="AG265" s="776"/>
      <c r="AH265" s="764"/>
      <c r="AI265" s="764"/>
      <c r="AN265" s="458"/>
      <c r="AO265" s="458"/>
      <c r="AP265" s="458"/>
      <c r="AQ265" s="458"/>
      <c r="AR265" s="458"/>
      <c r="AS265" s="458"/>
      <c r="AT265" s="458"/>
      <c r="AU265" s="458"/>
      <c r="AV265" s="458"/>
      <c r="BA265" s="1305"/>
    </row>
    <row r="266" spans="2:53" ht="12.5">
      <c r="B266" s="618"/>
      <c r="C266" s="617"/>
      <c r="H266" s="178"/>
      <c r="I266" s="178"/>
      <c r="J266" s="184"/>
      <c r="N266" s="178"/>
      <c r="O266" s="178"/>
      <c r="P266" s="178"/>
      <c r="Q266" s="699"/>
      <c r="R266" s="764"/>
      <c r="S266" s="458"/>
      <c r="T266" s="178"/>
      <c r="U266" s="178"/>
      <c r="V266" s="178"/>
      <c r="X266" s="178"/>
      <c r="Y266" s="178"/>
      <c r="Z266" s="178"/>
      <c r="AA266" s="178"/>
      <c r="AB266" s="178"/>
      <c r="AC266" s="178"/>
      <c r="AD266" s="178"/>
      <c r="AE266" s="178"/>
      <c r="AF266" s="179"/>
      <c r="AG266" s="776"/>
      <c r="AH266" s="764"/>
      <c r="AI266" s="764"/>
      <c r="AJ266" s="178"/>
      <c r="AK266" s="178"/>
      <c r="AL266" s="178"/>
      <c r="AM266" s="178"/>
      <c r="AN266" s="458"/>
      <c r="AO266" s="458"/>
      <c r="AP266" s="458"/>
      <c r="AQ266" s="458"/>
      <c r="AR266" s="458"/>
      <c r="AS266" s="458"/>
      <c r="AT266" s="458"/>
      <c r="AU266" s="458"/>
      <c r="AV266" s="458"/>
      <c r="BA266" s="1305"/>
    </row>
    <row r="267" spans="2:53" ht="12.5">
      <c r="B267" s="618"/>
      <c r="C267" s="617"/>
      <c r="H267" s="178"/>
      <c r="I267" s="178"/>
      <c r="J267" s="184"/>
      <c r="N267" s="178"/>
      <c r="O267" s="178"/>
      <c r="P267" s="178"/>
      <c r="Q267" s="699"/>
      <c r="R267" s="764"/>
      <c r="S267" s="458"/>
      <c r="T267" s="178"/>
      <c r="U267" s="178"/>
      <c r="V267" s="178"/>
      <c r="X267" s="178"/>
      <c r="Y267" s="178"/>
      <c r="Z267" s="178"/>
      <c r="AA267" s="178"/>
      <c r="AB267" s="178"/>
      <c r="AC267" s="178"/>
      <c r="AD267" s="178"/>
      <c r="AE267" s="178"/>
      <c r="AF267" s="179"/>
      <c r="AG267" s="776"/>
      <c r="AH267" s="764"/>
      <c r="AI267" s="764"/>
      <c r="AJ267" s="178"/>
      <c r="AK267" s="178"/>
      <c r="AL267" s="178"/>
      <c r="AM267" s="178"/>
      <c r="AN267" s="458"/>
      <c r="AO267" s="458"/>
      <c r="AP267" s="458"/>
      <c r="AQ267" s="458"/>
      <c r="AR267" s="458"/>
      <c r="AS267" s="458"/>
      <c r="AT267" s="458"/>
      <c r="AU267" s="458"/>
      <c r="AV267" s="458"/>
      <c r="BA267" s="1305"/>
    </row>
    <row r="268" spans="2:53" ht="12.5">
      <c r="B268" s="176"/>
      <c r="C268" s="617"/>
      <c r="H268" s="178"/>
      <c r="I268" s="179"/>
      <c r="J268" s="184"/>
      <c r="N268" s="178"/>
      <c r="O268" s="178"/>
      <c r="P268" s="178"/>
      <c r="Q268" s="699"/>
      <c r="R268" s="764"/>
      <c r="S268" s="458"/>
      <c r="T268" s="178"/>
      <c r="U268" s="178"/>
      <c r="V268" s="178"/>
      <c r="X268" s="178"/>
      <c r="Y268" s="178"/>
      <c r="Z268" s="178"/>
      <c r="AA268" s="178"/>
      <c r="AB268" s="178"/>
      <c r="AC268" s="178"/>
      <c r="AD268" s="178"/>
      <c r="AE268" s="178"/>
      <c r="AF268" s="179"/>
      <c r="AG268" s="776"/>
      <c r="AH268" s="764"/>
      <c r="AI268" s="764"/>
      <c r="AJ268" s="178"/>
      <c r="AK268" s="178"/>
      <c r="AL268" s="178"/>
      <c r="AM268" s="178"/>
      <c r="AN268" s="458"/>
      <c r="AO268" s="458"/>
      <c r="AP268" s="458"/>
      <c r="AQ268" s="458"/>
      <c r="AR268" s="458"/>
      <c r="AS268" s="458"/>
      <c r="AT268" s="458"/>
      <c r="AU268" s="458"/>
      <c r="AV268" s="458"/>
      <c r="BA268" s="1305"/>
    </row>
    <row r="269" spans="2:53" ht="12.5">
      <c r="B269" s="176"/>
      <c r="C269" s="617"/>
      <c r="H269" s="178"/>
      <c r="I269" s="178"/>
      <c r="J269" s="184"/>
      <c r="N269" s="178"/>
      <c r="O269" s="178"/>
      <c r="P269" s="178"/>
      <c r="Q269" s="699"/>
      <c r="R269" s="764"/>
      <c r="S269" s="458"/>
      <c r="T269" s="178"/>
      <c r="U269" s="178"/>
      <c r="V269" s="178"/>
      <c r="X269" s="178"/>
      <c r="Y269" s="178"/>
      <c r="Z269" s="178"/>
      <c r="AA269" s="178"/>
      <c r="AB269" s="178"/>
      <c r="AC269" s="178"/>
      <c r="AD269" s="178"/>
      <c r="AE269" s="178"/>
      <c r="AF269" s="179"/>
      <c r="AG269" s="776"/>
      <c r="AH269" s="764"/>
      <c r="AI269" s="764"/>
      <c r="AJ269" s="178"/>
      <c r="AK269" s="178"/>
      <c r="AL269" s="178"/>
      <c r="AM269" s="178"/>
      <c r="AN269" s="458"/>
      <c r="AO269" s="458"/>
      <c r="AP269" s="458"/>
      <c r="AQ269" s="458"/>
      <c r="AR269" s="458"/>
      <c r="AS269" s="458"/>
      <c r="AT269" s="458"/>
      <c r="AU269" s="458"/>
      <c r="AV269" s="458"/>
      <c r="BA269" s="1305"/>
    </row>
    <row r="270" spans="2:53" ht="12.5">
      <c r="B270" s="176"/>
      <c r="C270" s="617"/>
      <c r="H270" s="178"/>
      <c r="I270" s="179"/>
      <c r="J270" s="184"/>
      <c r="N270" s="178"/>
      <c r="O270" s="178"/>
      <c r="P270" s="178"/>
      <c r="Q270" s="699"/>
      <c r="R270" s="764"/>
      <c r="S270" s="458"/>
      <c r="T270" s="178"/>
      <c r="U270" s="178"/>
      <c r="V270" s="178"/>
      <c r="X270" s="178"/>
      <c r="Y270" s="178"/>
      <c r="Z270" s="178"/>
      <c r="AA270" s="178"/>
      <c r="AB270" s="178"/>
      <c r="AC270" s="178"/>
      <c r="AD270" s="178"/>
      <c r="AE270" s="178"/>
      <c r="AF270" s="179"/>
      <c r="AG270" s="776"/>
      <c r="AH270" s="764"/>
      <c r="AI270" s="764"/>
      <c r="AJ270" s="178"/>
      <c r="AK270" s="178"/>
      <c r="AL270" s="178"/>
      <c r="AM270" s="178"/>
      <c r="AN270" s="458"/>
      <c r="AO270" s="458"/>
      <c r="AP270" s="458"/>
      <c r="AQ270" s="458"/>
      <c r="AR270" s="458"/>
      <c r="AS270" s="458"/>
      <c r="AT270" s="458"/>
      <c r="AU270" s="458"/>
      <c r="AV270" s="458"/>
      <c r="BA270" s="1305"/>
    </row>
    <row r="271" spans="2:53" ht="12.5">
      <c r="B271" s="176"/>
      <c r="C271" s="617"/>
      <c r="H271" s="178"/>
      <c r="I271" s="178"/>
      <c r="J271" s="184"/>
      <c r="N271" s="178"/>
      <c r="O271" s="178"/>
      <c r="P271" s="178"/>
      <c r="Q271" s="699"/>
      <c r="R271" s="764"/>
      <c r="S271" s="458"/>
      <c r="AG271" s="776"/>
      <c r="AH271" s="764"/>
      <c r="AI271" s="764"/>
      <c r="AN271" s="458"/>
      <c r="AO271" s="458"/>
      <c r="AP271" s="458"/>
      <c r="AQ271" s="458"/>
      <c r="AR271" s="458"/>
      <c r="AS271" s="458"/>
      <c r="AT271" s="458"/>
      <c r="AU271" s="458"/>
      <c r="AV271" s="458"/>
      <c r="BA271" s="1305"/>
    </row>
    <row r="272" spans="2:53" ht="12.5">
      <c r="B272" s="176"/>
      <c r="C272" s="617"/>
      <c r="H272" s="178"/>
      <c r="I272" s="179"/>
      <c r="J272" s="184"/>
      <c r="N272" s="178"/>
      <c r="O272" s="178"/>
      <c r="P272" s="178"/>
      <c r="Q272" s="699"/>
      <c r="R272" s="764"/>
      <c r="S272" s="458"/>
      <c r="AG272" s="776"/>
      <c r="AH272" s="764"/>
      <c r="AI272" s="764"/>
      <c r="AN272" s="458"/>
      <c r="AO272" s="458"/>
      <c r="AP272" s="458"/>
      <c r="AQ272" s="458"/>
      <c r="AR272" s="458"/>
      <c r="AS272" s="458"/>
      <c r="AT272" s="458"/>
      <c r="AU272" s="458"/>
      <c r="AV272" s="458"/>
      <c r="BA272" s="1305"/>
    </row>
    <row r="273" spans="2:53" ht="12.5">
      <c r="B273" s="176"/>
      <c r="C273" s="617"/>
      <c r="H273" s="178"/>
      <c r="I273" s="178"/>
      <c r="J273" s="184"/>
      <c r="N273" s="178"/>
      <c r="O273" s="178"/>
      <c r="P273" s="178"/>
      <c r="Q273" s="699"/>
      <c r="R273" s="764"/>
      <c r="S273" s="458"/>
      <c r="AG273" s="776"/>
      <c r="AH273" s="764"/>
      <c r="AI273" s="764"/>
      <c r="AN273" s="458"/>
      <c r="AO273" s="458"/>
      <c r="AP273" s="458"/>
      <c r="AQ273" s="458"/>
      <c r="AR273" s="458"/>
      <c r="AS273" s="458"/>
      <c r="AT273" s="458"/>
      <c r="AU273" s="458"/>
      <c r="AV273" s="458"/>
      <c r="BA273" s="1305"/>
    </row>
    <row r="274" spans="2:53" ht="12.5">
      <c r="B274" s="176"/>
      <c r="C274" s="617"/>
      <c r="H274" s="178"/>
      <c r="I274" s="179"/>
      <c r="J274" s="184"/>
      <c r="N274" s="178"/>
      <c r="O274" s="178"/>
      <c r="P274" s="178"/>
      <c r="Q274" s="699"/>
      <c r="R274" s="764"/>
      <c r="S274" s="458"/>
      <c r="AG274" s="776"/>
      <c r="AH274" s="764"/>
      <c r="AI274" s="764"/>
      <c r="AN274" s="458"/>
      <c r="AO274" s="458"/>
      <c r="AP274" s="458"/>
      <c r="AQ274" s="458"/>
      <c r="AR274" s="458"/>
      <c r="AS274" s="458"/>
      <c r="AT274" s="458"/>
      <c r="AU274" s="458"/>
      <c r="AV274" s="458"/>
      <c r="BA274" s="1305"/>
    </row>
    <row r="275" spans="2:53" ht="12.5">
      <c r="B275" s="176"/>
      <c r="C275" s="617"/>
      <c r="H275" s="178"/>
      <c r="I275" s="178"/>
      <c r="J275" s="184"/>
      <c r="N275" s="178"/>
      <c r="O275" s="178"/>
      <c r="P275" s="178"/>
      <c r="Q275" s="699"/>
      <c r="R275" s="764"/>
      <c r="S275" s="458"/>
      <c r="AG275" s="776"/>
      <c r="AH275" s="764"/>
      <c r="AI275" s="764"/>
      <c r="AN275" s="458"/>
      <c r="AO275" s="458"/>
      <c r="AP275" s="458"/>
      <c r="AQ275" s="458"/>
      <c r="AR275" s="458"/>
      <c r="AS275" s="458"/>
      <c r="AT275" s="458"/>
      <c r="AU275" s="458"/>
      <c r="AV275" s="458"/>
      <c r="BA275" s="1305"/>
    </row>
    <row r="276" spans="2:53" ht="12.5">
      <c r="B276" s="176"/>
      <c r="C276" s="617"/>
      <c r="H276" s="178"/>
      <c r="I276" s="179"/>
      <c r="J276" s="184"/>
      <c r="N276" s="178"/>
      <c r="O276" s="178"/>
      <c r="P276" s="178"/>
      <c r="Q276" s="699"/>
      <c r="R276" s="764"/>
      <c r="S276" s="458"/>
      <c r="AG276" s="776"/>
      <c r="AH276" s="764"/>
      <c r="AI276" s="764"/>
      <c r="AN276" s="458"/>
      <c r="AO276" s="458"/>
      <c r="AP276" s="458"/>
      <c r="AQ276" s="458"/>
      <c r="AR276" s="458"/>
      <c r="AS276" s="458"/>
      <c r="AT276" s="458"/>
      <c r="AU276" s="458"/>
      <c r="AV276" s="458"/>
      <c r="BA276" s="1305"/>
    </row>
    <row r="277" spans="2:53" ht="12.5">
      <c r="B277" s="176"/>
      <c r="C277" s="617"/>
      <c r="H277" s="178"/>
      <c r="I277" s="178"/>
      <c r="J277" s="184"/>
      <c r="N277" s="178"/>
      <c r="O277" s="178"/>
      <c r="P277" s="178"/>
      <c r="Q277" s="699"/>
      <c r="R277" s="764"/>
      <c r="S277" s="458"/>
      <c r="AG277" s="776"/>
      <c r="AH277" s="764"/>
      <c r="AI277" s="764"/>
      <c r="AN277" s="458"/>
      <c r="AO277" s="458"/>
      <c r="AP277" s="458"/>
      <c r="AQ277" s="458"/>
      <c r="AR277" s="458"/>
      <c r="AS277" s="458"/>
      <c r="AT277" s="458"/>
      <c r="AU277" s="458"/>
      <c r="AV277" s="458"/>
      <c r="BA277" s="1305"/>
    </row>
    <row r="278" spans="2:53" ht="12.5">
      <c r="B278" s="176"/>
      <c r="C278" s="617"/>
      <c r="H278" s="178"/>
      <c r="I278" s="178"/>
      <c r="J278" s="184"/>
      <c r="N278" s="178"/>
      <c r="O278" s="178"/>
      <c r="P278" s="178"/>
      <c r="Q278" s="699"/>
      <c r="R278" s="764"/>
      <c r="S278" s="458"/>
      <c r="AG278" s="776"/>
      <c r="AH278" s="764"/>
      <c r="AI278" s="764"/>
      <c r="AN278" s="458"/>
      <c r="AO278" s="458"/>
      <c r="AP278" s="458"/>
      <c r="AQ278" s="458"/>
      <c r="AR278" s="458"/>
      <c r="AS278" s="458"/>
      <c r="AT278" s="458"/>
      <c r="AU278" s="458"/>
      <c r="AV278" s="458"/>
      <c r="BA278" s="1305"/>
    </row>
    <row r="279" spans="2:53" ht="12.5">
      <c r="B279" s="176"/>
      <c r="C279" s="617"/>
      <c r="H279" s="178"/>
      <c r="I279" s="178"/>
      <c r="J279" s="184"/>
      <c r="N279" s="178"/>
      <c r="O279" s="178"/>
      <c r="P279" s="178"/>
      <c r="Q279" s="699"/>
      <c r="R279" s="764"/>
      <c r="S279" s="458"/>
      <c r="AG279" s="776"/>
      <c r="AH279" s="764"/>
      <c r="AI279" s="764"/>
      <c r="AN279" s="458"/>
      <c r="AO279" s="458"/>
      <c r="AP279" s="458"/>
      <c r="AQ279" s="458"/>
      <c r="AR279" s="458"/>
      <c r="AS279" s="458"/>
      <c r="AT279" s="458"/>
      <c r="AU279" s="458"/>
      <c r="AV279" s="458"/>
      <c r="BA279" s="1305"/>
    </row>
    <row r="280" spans="2:53" ht="12.5">
      <c r="B280" s="176"/>
      <c r="C280" s="617"/>
      <c r="H280" s="178"/>
      <c r="I280" s="178"/>
      <c r="J280" s="184"/>
      <c r="N280" s="178"/>
      <c r="O280" s="178"/>
      <c r="P280" s="178"/>
      <c r="Q280" s="699"/>
      <c r="R280" s="764"/>
      <c r="S280" s="458"/>
      <c r="AG280" s="776"/>
      <c r="AH280" s="764"/>
      <c r="AI280" s="764"/>
      <c r="AN280" s="458"/>
      <c r="AO280" s="458"/>
      <c r="AP280" s="458"/>
      <c r="AQ280" s="458"/>
      <c r="AR280" s="458"/>
      <c r="AS280" s="458"/>
      <c r="AT280" s="458"/>
      <c r="AU280" s="458"/>
      <c r="AV280" s="458"/>
      <c r="BA280" s="1305"/>
    </row>
    <row r="281" spans="2:53" ht="12.5">
      <c r="B281" s="176"/>
      <c r="C281" s="617"/>
      <c r="H281" s="178"/>
      <c r="I281" s="178"/>
      <c r="J281" s="184"/>
      <c r="N281" s="178"/>
      <c r="O281" s="178"/>
      <c r="P281" s="178"/>
      <c r="Q281" s="699"/>
      <c r="R281" s="764"/>
      <c r="S281" s="458"/>
      <c r="AG281" s="776"/>
      <c r="AH281" s="764"/>
      <c r="AI281" s="764"/>
      <c r="AN281" s="458"/>
      <c r="AO281" s="458"/>
      <c r="AP281" s="458"/>
      <c r="AQ281" s="458"/>
      <c r="AR281" s="458"/>
      <c r="AS281" s="458"/>
      <c r="AT281" s="458"/>
      <c r="AU281" s="458"/>
      <c r="AV281" s="458"/>
      <c r="BA281" s="1305"/>
    </row>
    <row r="282" spans="2:53" ht="12.5">
      <c r="B282" s="176"/>
      <c r="C282" s="617"/>
      <c r="H282" s="178"/>
      <c r="I282" s="178"/>
      <c r="J282" s="184"/>
      <c r="N282" s="178"/>
      <c r="O282" s="178"/>
      <c r="P282" s="178"/>
      <c r="Q282" s="699"/>
      <c r="R282" s="764"/>
      <c r="S282" s="458"/>
      <c r="AG282" s="776"/>
      <c r="AH282" s="764"/>
      <c r="AI282" s="764"/>
      <c r="AN282" s="458"/>
      <c r="AO282" s="458"/>
      <c r="AP282" s="458"/>
      <c r="AQ282" s="458"/>
      <c r="AR282" s="458"/>
      <c r="AS282" s="458"/>
      <c r="AT282" s="458"/>
      <c r="AU282" s="458"/>
      <c r="AV282" s="458"/>
      <c r="BA282" s="1305"/>
    </row>
    <row r="283" spans="2:53" ht="12.5">
      <c r="B283" s="176"/>
      <c r="C283" s="617"/>
      <c r="H283" s="178"/>
      <c r="I283" s="178"/>
      <c r="J283" s="184"/>
      <c r="N283" s="178"/>
      <c r="O283" s="178"/>
      <c r="P283" s="178"/>
      <c r="Q283" s="699"/>
      <c r="R283" s="764"/>
      <c r="S283" s="458"/>
      <c r="AG283" s="776"/>
      <c r="AH283" s="764"/>
      <c r="AI283" s="764"/>
      <c r="AN283" s="458"/>
      <c r="AO283" s="458"/>
      <c r="AP283" s="458"/>
      <c r="AQ283" s="458"/>
      <c r="AR283" s="458"/>
      <c r="AS283" s="458"/>
      <c r="AT283" s="458"/>
      <c r="AU283" s="458"/>
      <c r="AV283" s="458"/>
      <c r="BA283" s="1305"/>
    </row>
    <row r="284" spans="2:53" ht="12.5">
      <c r="B284" s="176"/>
      <c r="C284" s="617"/>
      <c r="H284" s="178"/>
      <c r="I284" s="178"/>
      <c r="J284" s="184"/>
      <c r="N284" s="178"/>
      <c r="O284" s="178"/>
      <c r="P284" s="178"/>
      <c r="Q284" s="699"/>
      <c r="R284" s="764"/>
      <c r="S284" s="458"/>
      <c r="AG284" s="776"/>
      <c r="AH284" s="764"/>
      <c r="AI284" s="764"/>
      <c r="AN284" s="458"/>
      <c r="AO284" s="458"/>
      <c r="AP284" s="458"/>
      <c r="AQ284" s="458"/>
      <c r="AR284" s="458"/>
      <c r="AS284" s="458"/>
      <c r="AT284" s="458"/>
      <c r="AU284" s="458"/>
      <c r="AV284" s="458"/>
      <c r="BA284" s="1305"/>
    </row>
    <row r="285" spans="2:53" ht="12.5">
      <c r="B285" s="176"/>
      <c r="C285" s="617"/>
      <c r="H285" s="178"/>
      <c r="I285" s="178"/>
      <c r="J285" s="184"/>
      <c r="N285" s="178"/>
      <c r="O285" s="178"/>
      <c r="P285" s="178"/>
      <c r="Q285" s="699"/>
      <c r="R285" s="764"/>
      <c r="S285" s="458"/>
      <c r="AG285" s="776"/>
      <c r="AH285" s="764"/>
      <c r="AI285" s="764"/>
      <c r="AN285" s="458"/>
      <c r="AO285" s="458"/>
      <c r="AP285" s="458"/>
      <c r="AQ285" s="458"/>
      <c r="AR285" s="458"/>
      <c r="AS285" s="458"/>
      <c r="AT285" s="458"/>
      <c r="AU285" s="458"/>
      <c r="AV285" s="458"/>
      <c r="BA285" s="1305"/>
    </row>
    <row r="286" spans="2:53" ht="12.5">
      <c r="B286" s="176"/>
      <c r="C286" s="617"/>
      <c r="H286" s="178"/>
      <c r="I286" s="178"/>
      <c r="J286" s="184"/>
      <c r="N286" s="178"/>
      <c r="O286" s="178"/>
      <c r="P286" s="178"/>
      <c r="Q286" s="699"/>
      <c r="R286" s="764"/>
      <c r="S286" s="458"/>
      <c r="AG286" s="776"/>
      <c r="AH286" s="764"/>
      <c r="AI286" s="764"/>
      <c r="AN286" s="458"/>
      <c r="AO286" s="458"/>
      <c r="AP286" s="458"/>
      <c r="AQ286" s="458"/>
      <c r="AR286" s="458"/>
      <c r="AS286" s="458"/>
      <c r="AT286" s="458"/>
      <c r="AU286" s="458"/>
      <c r="AV286" s="458"/>
      <c r="BA286" s="1305"/>
    </row>
    <row r="287" spans="2:53" ht="12.5">
      <c r="B287" s="176"/>
      <c r="C287" s="617"/>
      <c r="H287" s="178"/>
      <c r="I287" s="178"/>
      <c r="J287" s="184"/>
      <c r="N287" s="178"/>
      <c r="O287" s="178"/>
      <c r="P287" s="178"/>
      <c r="Q287" s="699"/>
      <c r="R287" s="764"/>
      <c r="S287" s="458"/>
      <c r="AG287" s="776"/>
      <c r="AH287" s="764"/>
      <c r="AI287" s="764"/>
      <c r="AN287" s="458"/>
      <c r="AO287" s="458"/>
      <c r="AP287" s="458"/>
      <c r="AQ287" s="458"/>
      <c r="AR287" s="458"/>
      <c r="AS287" s="458"/>
      <c r="AT287" s="458"/>
      <c r="AU287" s="458"/>
      <c r="AV287" s="458"/>
      <c r="BA287" s="1305"/>
    </row>
    <row r="288" spans="2:53" ht="12.5">
      <c r="B288" s="176"/>
      <c r="C288" s="617"/>
      <c r="H288" s="178"/>
      <c r="I288" s="178"/>
      <c r="J288" s="184"/>
      <c r="N288" s="178"/>
      <c r="O288" s="178"/>
      <c r="P288" s="178"/>
      <c r="Q288" s="699"/>
      <c r="R288" s="764"/>
      <c r="S288" s="458"/>
      <c r="AG288" s="776"/>
      <c r="AH288" s="764"/>
      <c r="AI288" s="764"/>
      <c r="AN288" s="458"/>
      <c r="AO288" s="458"/>
      <c r="AP288" s="458"/>
      <c r="AQ288" s="458"/>
      <c r="AR288" s="458"/>
      <c r="AS288" s="458"/>
      <c r="AT288" s="458"/>
      <c r="AU288" s="458"/>
      <c r="AV288" s="458"/>
      <c r="BA288" s="1305"/>
    </row>
    <row r="289" spans="2:53" ht="12.5">
      <c r="B289" s="176"/>
      <c r="C289" s="617"/>
      <c r="H289" s="178"/>
      <c r="I289" s="178"/>
      <c r="J289" s="184"/>
      <c r="N289" s="178"/>
      <c r="O289" s="178"/>
      <c r="P289" s="178"/>
      <c r="Q289" s="699"/>
      <c r="R289" s="764"/>
      <c r="S289" s="458"/>
      <c r="AG289" s="776"/>
      <c r="AH289" s="764"/>
      <c r="AI289" s="764"/>
      <c r="AN289" s="458"/>
      <c r="AO289" s="458"/>
      <c r="AP289" s="458"/>
      <c r="AQ289" s="458"/>
      <c r="AR289" s="458"/>
      <c r="AS289" s="458"/>
      <c r="AT289" s="458"/>
      <c r="AU289" s="458"/>
      <c r="AV289" s="458"/>
      <c r="BA289" s="1305"/>
    </row>
    <row r="290" spans="2:53" ht="12.5">
      <c r="B290" s="176"/>
      <c r="C290" s="617"/>
      <c r="H290" s="178"/>
      <c r="I290" s="178"/>
      <c r="J290" s="184"/>
      <c r="N290" s="178"/>
      <c r="O290" s="178"/>
      <c r="P290" s="178"/>
      <c r="Q290" s="699"/>
      <c r="R290" s="764"/>
      <c r="S290" s="458"/>
      <c r="AG290" s="777"/>
      <c r="AH290" s="764"/>
      <c r="AI290" s="764"/>
      <c r="AN290" s="458"/>
      <c r="AO290" s="458"/>
      <c r="AP290" s="458"/>
      <c r="AQ290" s="458"/>
      <c r="AR290" s="458"/>
      <c r="AS290" s="458"/>
      <c r="AT290" s="458"/>
      <c r="AU290" s="458"/>
      <c r="AV290" s="458"/>
      <c r="BA290" s="1305"/>
    </row>
    <row r="291" spans="2:53" ht="12.5">
      <c r="B291" s="176"/>
      <c r="C291" s="617"/>
      <c r="H291" s="178"/>
      <c r="I291" s="178"/>
      <c r="J291" s="184"/>
      <c r="N291" s="178"/>
      <c r="O291" s="178"/>
      <c r="P291" s="178"/>
      <c r="Q291" s="699"/>
      <c r="R291" s="764"/>
      <c r="S291" s="458"/>
      <c r="AG291" s="776"/>
      <c r="AH291" s="764"/>
      <c r="AI291" s="764"/>
      <c r="AN291" s="458"/>
      <c r="AO291" s="458"/>
      <c r="AP291" s="458"/>
      <c r="AQ291" s="458"/>
      <c r="AR291" s="458"/>
      <c r="AS291" s="458"/>
      <c r="AT291" s="458"/>
      <c r="AU291" s="458"/>
      <c r="AV291" s="458"/>
      <c r="BA291" s="1305"/>
    </row>
    <row r="292" spans="2:53" ht="12.5">
      <c r="B292" s="176"/>
      <c r="C292" s="617"/>
      <c r="H292" s="178"/>
      <c r="I292" s="178"/>
      <c r="J292" s="184"/>
      <c r="N292" s="178"/>
      <c r="O292" s="178"/>
      <c r="P292" s="178"/>
      <c r="Q292" s="699"/>
      <c r="R292" s="764"/>
      <c r="S292" s="458"/>
      <c r="AG292" s="777"/>
      <c r="AH292" s="764"/>
      <c r="AI292" s="764"/>
      <c r="AN292" s="458"/>
      <c r="AO292" s="458"/>
      <c r="AP292" s="458"/>
      <c r="AQ292" s="458"/>
      <c r="AR292" s="458"/>
      <c r="AS292" s="458"/>
      <c r="AT292" s="458"/>
      <c r="AU292" s="458"/>
      <c r="AV292" s="458"/>
      <c r="BA292" s="1305"/>
    </row>
    <row r="293" spans="2:53" ht="12.5">
      <c r="B293" s="176"/>
      <c r="C293" s="617"/>
      <c r="H293" s="178"/>
      <c r="I293" s="178"/>
      <c r="J293" s="184"/>
      <c r="N293" s="178"/>
      <c r="O293" s="178"/>
      <c r="P293" s="178"/>
      <c r="Q293" s="699"/>
      <c r="R293" s="764"/>
      <c r="S293" s="458"/>
      <c r="AG293" s="776"/>
      <c r="AH293" s="764"/>
      <c r="AI293" s="764"/>
      <c r="AN293" s="458"/>
      <c r="AO293" s="458"/>
      <c r="AP293" s="458"/>
      <c r="AQ293" s="458"/>
      <c r="AR293" s="458"/>
      <c r="AS293" s="458"/>
      <c r="AT293" s="458"/>
      <c r="AU293" s="458"/>
      <c r="AV293" s="458"/>
      <c r="BA293" s="1305"/>
    </row>
    <row r="294" spans="2:53" ht="12.5">
      <c r="B294" s="176"/>
      <c r="C294" s="617"/>
      <c r="H294" s="178"/>
      <c r="I294" s="178"/>
      <c r="J294" s="184"/>
      <c r="N294" s="178"/>
      <c r="O294" s="178"/>
      <c r="P294" s="178"/>
      <c r="Q294" s="699"/>
      <c r="R294" s="764"/>
      <c r="S294" s="458"/>
      <c r="AG294" s="776"/>
      <c r="AH294" s="764"/>
      <c r="AI294" s="764"/>
      <c r="AN294" s="458"/>
      <c r="AO294" s="458"/>
      <c r="AP294" s="458"/>
      <c r="AQ294" s="458"/>
      <c r="AR294" s="458"/>
      <c r="AS294" s="458"/>
      <c r="AT294" s="458"/>
      <c r="AU294" s="458"/>
      <c r="AV294" s="458"/>
      <c r="BA294" s="1305"/>
    </row>
    <row r="295" spans="2:53" ht="12.5">
      <c r="B295" s="176"/>
      <c r="C295" s="617"/>
      <c r="H295" s="178"/>
      <c r="I295" s="179"/>
      <c r="J295" s="184"/>
      <c r="N295" s="178"/>
      <c r="O295" s="178"/>
      <c r="P295" s="178"/>
      <c r="Q295" s="699"/>
      <c r="R295" s="764"/>
      <c r="S295" s="458"/>
      <c r="AG295" s="776"/>
      <c r="AH295" s="764"/>
      <c r="AI295" s="764"/>
      <c r="AN295" s="458"/>
      <c r="AO295" s="458"/>
      <c r="AP295" s="458"/>
      <c r="AQ295" s="458"/>
      <c r="AR295" s="458"/>
      <c r="AS295" s="458"/>
      <c r="AT295" s="458"/>
      <c r="AU295" s="458"/>
      <c r="AV295" s="458"/>
      <c r="BA295" s="1305"/>
    </row>
    <row r="296" spans="2:53" ht="12.5">
      <c r="B296" s="176"/>
      <c r="C296" s="617"/>
      <c r="H296" s="178"/>
      <c r="I296" s="178"/>
      <c r="J296" s="184"/>
      <c r="N296" s="178"/>
      <c r="O296" s="178"/>
      <c r="P296" s="178"/>
      <c r="Q296" s="699"/>
      <c r="R296" s="764"/>
      <c r="S296" s="458"/>
      <c r="AG296" s="776"/>
      <c r="AH296" s="764"/>
      <c r="AI296" s="764"/>
      <c r="AN296" s="458"/>
      <c r="AO296" s="458"/>
      <c r="AP296" s="458"/>
      <c r="AQ296" s="458"/>
      <c r="AR296" s="458"/>
      <c r="AS296" s="458"/>
      <c r="AT296" s="458"/>
      <c r="AU296" s="458"/>
      <c r="AV296" s="458"/>
      <c r="BA296" s="1305"/>
    </row>
    <row r="297" spans="2:53" ht="12.5">
      <c r="B297" s="176"/>
      <c r="C297" s="617"/>
      <c r="H297" s="178"/>
      <c r="I297" s="179"/>
      <c r="J297" s="184"/>
      <c r="N297" s="178"/>
      <c r="O297" s="178"/>
      <c r="P297" s="178"/>
      <c r="Q297" s="699"/>
      <c r="R297" s="764"/>
      <c r="S297" s="458"/>
      <c r="AG297" s="776"/>
      <c r="AH297" s="764"/>
      <c r="AI297" s="764"/>
      <c r="AN297" s="458"/>
      <c r="AO297" s="458"/>
      <c r="AP297" s="458"/>
      <c r="AQ297" s="458"/>
      <c r="AR297" s="458"/>
      <c r="AS297" s="458"/>
      <c r="AT297" s="458"/>
      <c r="AU297" s="458"/>
      <c r="AV297" s="458"/>
      <c r="BA297" s="1305"/>
    </row>
    <row r="298" spans="2:53" ht="12.5">
      <c r="B298" s="176"/>
      <c r="C298" s="617"/>
      <c r="H298" s="178"/>
      <c r="I298" s="178"/>
      <c r="J298" s="184"/>
      <c r="N298" s="178"/>
      <c r="O298" s="178"/>
      <c r="P298" s="178"/>
      <c r="Q298" s="699"/>
      <c r="R298" s="764"/>
      <c r="S298" s="458"/>
      <c r="AG298" s="776"/>
      <c r="AH298" s="764"/>
      <c r="AI298" s="764"/>
      <c r="AN298" s="458"/>
      <c r="AO298" s="458"/>
      <c r="AP298" s="458"/>
      <c r="AQ298" s="458"/>
      <c r="AR298" s="458"/>
      <c r="AS298" s="458"/>
      <c r="AT298" s="458"/>
      <c r="AU298" s="458"/>
      <c r="AV298" s="458"/>
      <c r="BA298" s="1305"/>
    </row>
    <row r="299" spans="2:53" ht="12.5">
      <c r="B299" s="176"/>
      <c r="C299" s="617"/>
      <c r="H299" s="178"/>
      <c r="I299" s="178"/>
      <c r="J299" s="184"/>
      <c r="N299" s="178"/>
      <c r="O299" s="178"/>
      <c r="P299" s="178"/>
      <c r="Q299" s="699"/>
      <c r="R299" s="764"/>
      <c r="S299" s="458"/>
      <c r="AG299" s="776"/>
      <c r="AH299" s="764"/>
      <c r="AI299" s="764"/>
      <c r="AN299" s="458"/>
      <c r="AO299" s="458"/>
      <c r="AP299" s="458"/>
      <c r="AQ299" s="458"/>
      <c r="AR299" s="458"/>
      <c r="AS299" s="458"/>
      <c r="AT299" s="458"/>
      <c r="AU299" s="458"/>
      <c r="AV299" s="458"/>
      <c r="BA299" s="1305"/>
    </row>
    <row r="300" spans="2:53" ht="12.5">
      <c r="B300" s="176"/>
      <c r="C300" s="617"/>
      <c r="H300" s="178"/>
      <c r="I300" s="178"/>
      <c r="J300" s="184"/>
      <c r="N300" s="178"/>
      <c r="O300" s="178"/>
      <c r="P300" s="178"/>
      <c r="Q300" s="699"/>
      <c r="R300" s="764"/>
      <c r="S300" s="458"/>
      <c r="AG300" s="776"/>
      <c r="AH300" s="764"/>
      <c r="AI300" s="764"/>
      <c r="AN300" s="458"/>
      <c r="AO300" s="458"/>
      <c r="AP300" s="458"/>
      <c r="AQ300" s="458"/>
      <c r="AR300" s="458"/>
      <c r="AS300" s="458"/>
      <c r="AT300" s="458"/>
      <c r="AU300" s="458"/>
      <c r="AV300" s="458"/>
      <c r="BA300" s="1305"/>
    </row>
    <row r="301" spans="2:53" ht="12.5">
      <c r="B301" s="176"/>
      <c r="C301" s="617"/>
      <c r="H301" s="178"/>
      <c r="I301" s="178"/>
      <c r="J301" s="184"/>
      <c r="N301" s="178"/>
      <c r="O301" s="178"/>
      <c r="P301" s="178"/>
      <c r="Q301" s="699"/>
      <c r="R301" s="764"/>
      <c r="S301" s="458"/>
      <c r="AG301" s="776"/>
      <c r="AH301" s="764"/>
      <c r="AI301" s="764"/>
      <c r="AN301" s="458"/>
      <c r="AO301" s="458"/>
      <c r="AP301" s="458"/>
      <c r="AQ301" s="458"/>
      <c r="AR301" s="458"/>
      <c r="AS301" s="458"/>
      <c r="AT301" s="458"/>
      <c r="AU301" s="458"/>
      <c r="AV301" s="458"/>
      <c r="BA301" s="1305"/>
    </row>
    <row r="302" spans="2:53" ht="12.5">
      <c r="B302" s="176"/>
      <c r="C302" s="617"/>
      <c r="H302" s="178"/>
      <c r="I302" s="179"/>
      <c r="J302" s="184"/>
      <c r="N302" s="178"/>
      <c r="O302" s="178"/>
      <c r="P302" s="178"/>
      <c r="Q302" s="699"/>
      <c r="R302" s="764"/>
      <c r="S302" s="458"/>
      <c r="AG302" s="776"/>
      <c r="AH302" s="764"/>
      <c r="AI302" s="764"/>
      <c r="AN302" s="458"/>
      <c r="AO302" s="458"/>
      <c r="AP302" s="458"/>
      <c r="AQ302" s="458"/>
      <c r="AR302" s="458"/>
      <c r="AS302" s="458"/>
      <c r="AT302" s="458"/>
      <c r="AU302" s="458"/>
      <c r="AV302" s="458"/>
      <c r="BA302" s="1305"/>
    </row>
    <row r="303" spans="2:53" ht="12.5">
      <c r="B303" s="176"/>
      <c r="C303" s="617"/>
      <c r="H303" s="178"/>
      <c r="I303" s="178"/>
      <c r="J303" s="184"/>
      <c r="N303" s="178"/>
      <c r="O303" s="178"/>
      <c r="P303" s="178"/>
      <c r="Q303" s="699"/>
      <c r="R303" s="764"/>
      <c r="S303" s="458"/>
      <c r="AG303" s="776"/>
      <c r="AH303" s="764"/>
      <c r="AI303" s="764"/>
      <c r="AN303" s="458"/>
      <c r="AO303" s="458"/>
      <c r="AP303" s="458"/>
      <c r="AQ303" s="458"/>
      <c r="AR303" s="458"/>
      <c r="AS303" s="458"/>
      <c r="AT303" s="458"/>
      <c r="AU303" s="458"/>
      <c r="AV303" s="458"/>
      <c r="BA303" s="1305"/>
    </row>
    <row r="304" spans="2:53" ht="12.5">
      <c r="B304" s="176"/>
      <c r="C304" s="617"/>
      <c r="H304" s="178"/>
      <c r="I304" s="179"/>
      <c r="J304" s="184"/>
      <c r="N304" s="178"/>
      <c r="O304" s="178"/>
      <c r="P304" s="178"/>
      <c r="Q304" s="699"/>
      <c r="R304" s="764"/>
      <c r="S304" s="458"/>
      <c r="AG304" s="776"/>
      <c r="AH304" s="764"/>
      <c r="AI304" s="764"/>
      <c r="AN304" s="458"/>
      <c r="AO304" s="458"/>
      <c r="AP304" s="458"/>
      <c r="AQ304" s="458"/>
      <c r="AR304" s="458"/>
      <c r="AS304" s="458"/>
      <c r="AT304" s="458"/>
      <c r="AU304" s="458"/>
      <c r="AV304" s="458"/>
      <c r="BA304" s="1305"/>
    </row>
    <row r="305" spans="2:53" ht="12.5">
      <c r="B305" s="176"/>
      <c r="C305" s="617"/>
      <c r="H305" s="178"/>
      <c r="I305" s="178"/>
      <c r="J305" s="184"/>
      <c r="N305" s="178"/>
      <c r="O305" s="178"/>
      <c r="P305" s="178"/>
      <c r="Q305" s="699"/>
      <c r="R305" s="764"/>
      <c r="S305" s="458"/>
      <c r="AG305" s="776"/>
      <c r="AH305" s="764"/>
      <c r="AI305" s="764"/>
      <c r="AN305" s="458"/>
      <c r="AO305" s="458"/>
      <c r="AP305" s="458"/>
      <c r="AQ305" s="458"/>
      <c r="AR305" s="458"/>
      <c r="AS305" s="458"/>
      <c r="AT305" s="458"/>
      <c r="AU305" s="458"/>
      <c r="AV305" s="458"/>
      <c r="BA305" s="1305"/>
    </row>
    <row r="306" spans="2:53" ht="12.5">
      <c r="B306" s="176"/>
      <c r="C306" s="617"/>
      <c r="H306" s="178"/>
      <c r="I306" s="179"/>
      <c r="J306" s="184"/>
      <c r="N306" s="178"/>
      <c r="O306" s="178"/>
      <c r="P306" s="178"/>
      <c r="Q306" s="699"/>
      <c r="R306" s="764"/>
      <c r="S306" s="458"/>
      <c r="AG306" s="776"/>
      <c r="AH306" s="764"/>
      <c r="AI306" s="764"/>
      <c r="AN306" s="458"/>
      <c r="AO306" s="458"/>
      <c r="AP306" s="458"/>
      <c r="AQ306" s="458"/>
      <c r="AR306" s="458"/>
      <c r="AS306" s="458"/>
      <c r="AT306" s="458"/>
      <c r="AU306" s="458"/>
      <c r="AV306" s="458"/>
      <c r="BA306" s="1305"/>
    </row>
    <row r="307" spans="2:53" ht="12.5">
      <c r="B307" s="176"/>
      <c r="C307" s="617"/>
      <c r="J307" s="184"/>
      <c r="N307" s="178"/>
      <c r="O307" s="178"/>
      <c r="P307" s="178"/>
      <c r="Q307" s="699"/>
      <c r="R307" s="764"/>
      <c r="S307" s="458"/>
      <c r="AG307" s="776"/>
      <c r="AH307" s="764"/>
      <c r="AI307" s="764"/>
      <c r="AN307" s="458"/>
      <c r="AO307" s="458"/>
      <c r="AP307" s="458"/>
      <c r="AQ307" s="458"/>
      <c r="AR307" s="458"/>
      <c r="AS307" s="458"/>
      <c r="AT307" s="458"/>
      <c r="AU307" s="458"/>
      <c r="AV307" s="458"/>
      <c r="BA307" s="1305"/>
    </row>
    <row r="308" spans="2:53" ht="12.5">
      <c r="B308" s="176"/>
      <c r="C308" s="617"/>
      <c r="J308" s="184"/>
      <c r="N308" s="178"/>
      <c r="O308" s="178"/>
      <c r="P308" s="178"/>
      <c r="Q308" s="699"/>
      <c r="R308" s="764"/>
      <c r="S308" s="458"/>
      <c r="AG308" s="776"/>
      <c r="AH308" s="764"/>
      <c r="AI308" s="764"/>
      <c r="AN308" s="458"/>
      <c r="AO308" s="458"/>
      <c r="AP308" s="458"/>
      <c r="AQ308" s="458"/>
      <c r="AR308" s="458"/>
      <c r="AS308" s="458"/>
      <c r="AT308" s="458"/>
      <c r="AU308" s="458"/>
      <c r="AV308" s="458"/>
      <c r="BA308" s="1305"/>
    </row>
    <row r="309" spans="2:53" ht="12.5">
      <c r="B309" s="176"/>
      <c r="C309" s="617"/>
      <c r="H309" s="178"/>
      <c r="I309" s="178"/>
      <c r="J309" s="184"/>
      <c r="N309" s="178"/>
      <c r="O309" s="178"/>
      <c r="P309" s="178"/>
      <c r="Q309" s="699"/>
      <c r="R309" s="764"/>
      <c r="S309" s="458"/>
      <c r="AG309" s="776"/>
      <c r="AH309" s="764"/>
      <c r="AI309" s="764"/>
      <c r="AN309" s="458"/>
      <c r="AO309" s="458"/>
      <c r="AP309" s="458"/>
      <c r="AQ309" s="458"/>
      <c r="AR309" s="458"/>
      <c r="AS309" s="458"/>
      <c r="AT309" s="458"/>
      <c r="AU309" s="458"/>
      <c r="AV309" s="458"/>
      <c r="BA309" s="1305"/>
    </row>
    <row r="310" spans="2:53" ht="12.5">
      <c r="B310" s="176"/>
      <c r="C310" s="617"/>
      <c r="H310" s="178"/>
      <c r="I310" s="179"/>
      <c r="J310" s="184"/>
      <c r="N310" s="178"/>
      <c r="O310" s="178"/>
      <c r="P310" s="178"/>
      <c r="Q310" s="699"/>
      <c r="R310" s="764"/>
      <c r="S310" s="458"/>
      <c r="AG310" s="776"/>
      <c r="AH310" s="764"/>
      <c r="AI310" s="764"/>
      <c r="AN310" s="458"/>
      <c r="AO310" s="458"/>
      <c r="AP310" s="458"/>
      <c r="AQ310" s="458"/>
      <c r="AR310" s="458"/>
      <c r="AS310" s="458"/>
      <c r="AT310" s="458"/>
      <c r="AU310" s="458"/>
      <c r="AV310" s="458"/>
      <c r="BA310" s="1305"/>
    </row>
    <row r="311" spans="2:53" ht="12.5">
      <c r="B311" s="176"/>
      <c r="C311" s="617"/>
      <c r="H311" s="178"/>
      <c r="I311" s="178"/>
      <c r="J311" s="184"/>
      <c r="N311" s="178"/>
      <c r="O311" s="178"/>
      <c r="P311" s="178"/>
      <c r="Q311" s="699"/>
      <c r="R311" s="764"/>
      <c r="S311" s="458"/>
      <c r="AG311" s="776"/>
      <c r="AH311" s="764"/>
      <c r="AI311" s="764"/>
      <c r="AN311" s="458"/>
      <c r="AO311" s="458"/>
      <c r="AP311" s="458"/>
      <c r="AQ311" s="458"/>
      <c r="AR311" s="458"/>
      <c r="AS311" s="458"/>
      <c r="AT311" s="458"/>
      <c r="AU311" s="458"/>
      <c r="AV311" s="458"/>
      <c r="BA311" s="1305"/>
    </row>
    <row r="312" spans="2:53" ht="12.5">
      <c r="B312" s="176"/>
      <c r="C312" s="617"/>
      <c r="H312" s="178"/>
      <c r="I312" s="178"/>
      <c r="J312" s="184"/>
      <c r="N312" s="178"/>
      <c r="O312" s="178"/>
      <c r="P312" s="178"/>
      <c r="Q312" s="699"/>
      <c r="R312" s="764"/>
      <c r="S312" s="458"/>
      <c r="AG312" s="776"/>
      <c r="AH312" s="764"/>
      <c r="AI312" s="764"/>
      <c r="AN312" s="458"/>
      <c r="AO312" s="458"/>
      <c r="AP312" s="458"/>
      <c r="AQ312" s="458"/>
      <c r="AR312" s="458"/>
      <c r="AS312" s="458"/>
      <c r="AT312" s="458"/>
      <c r="AU312" s="458"/>
      <c r="AV312" s="458"/>
      <c r="BA312" s="1305"/>
    </row>
    <row r="313" spans="2:53" ht="12.5">
      <c r="B313" s="176"/>
      <c r="C313" s="617"/>
      <c r="H313" s="178"/>
      <c r="I313" s="178"/>
      <c r="J313" s="184"/>
      <c r="N313" s="178"/>
      <c r="O313" s="178"/>
      <c r="P313" s="178"/>
      <c r="Q313" s="699"/>
      <c r="R313" s="764"/>
      <c r="S313" s="458"/>
      <c r="AG313" s="776"/>
      <c r="AH313" s="764"/>
      <c r="AI313" s="764"/>
      <c r="AN313" s="458"/>
      <c r="AO313" s="458"/>
      <c r="AP313" s="458"/>
      <c r="AQ313" s="458"/>
      <c r="AR313" s="458"/>
      <c r="AS313" s="458"/>
      <c r="AT313" s="458"/>
      <c r="AU313" s="458"/>
      <c r="AV313" s="458"/>
      <c r="BA313" s="1305"/>
    </row>
    <row r="314" spans="2:53" ht="12.5">
      <c r="B314" s="176"/>
      <c r="C314" s="617"/>
      <c r="H314" s="178"/>
      <c r="I314" s="178"/>
      <c r="J314" s="184"/>
      <c r="N314" s="178"/>
      <c r="O314" s="178"/>
      <c r="P314" s="178"/>
      <c r="Q314" s="699"/>
      <c r="R314" s="764"/>
      <c r="S314" s="458"/>
      <c r="AG314" s="776"/>
      <c r="AH314" s="764"/>
      <c r="AI314" s="764"/>
      <c r="AN314" s="458"/>
      <c r="AO314" s="458"/>
      <c r="AP314" s="458"/>
      <c r="AQ314" s="458"/>
      <c r="AR314" s="458"/>
      <c r="AS314" s="458"/>
      <c r="AT314" s="458"/>
      <c r="AU314" s="458"/>
      <c r="AV314" s="458"/>
      <c r="BA314" s="1305"/>
    </row>
    <row r="315" spans="2:53" ht="12.5">
      <c r="B315" s="176"/>
      <c r="C315" s="617"/>
      <c r="H315" s="178"/>
      <c r="I315" s="178"/>
      <c r="J315" s="184"/>
      <c r="N315" s="178"/>
      <c r="O315" s="178"/>
      <c r="P315" s="178"/>
      <c r="Q315" s="699"/>
      <c r="R315" s="764"/>
      <c r="S315" s="458"/>
      <c r="AG315" s="776"/>
      <c r="AH315" s="764"/>
      <c r="AI315" s="764"/>
      <c r="AN315" s="458"/>
      <c r="AO315" s="458"/>
      <c r="AP315" s="458"/>
      <c r="AQ315" s="458"/>
      <c r="AR315" s="458"/>
      <c r="AS315" s="458"/>
      <c r="AT315" s="458"/>
      <c r="AU315" s="458"/>
      <c r="AV315" s="458"/>
      <c r="BA315" s="1305"/>
    </row>
    <row r="316" spans="2:53" ht="12.5">
      <c r="B316" s="176"/>
      <c r="C316" s="617"/>
      <c r="H316" s="178"/>
      <c r="I316" s="178"/>
      <c r="J316" s="184"/>
      <c r="N316" s="178"/>
      <c r="O316" s="178"/>
      <c r="P316" s="178"/>
      <c r="Q316" s="699"/>
      <c r="R316" s="764"/>
      <c r="S316" s="458"/>
      <c r="AG316" s="776"/>
      <c r="AH316" s="764"/>
      <c r="AI316" s="764"/>
      <c r="AN316" s="458"/>
      <c r="AO316" s="458"/>
      <c r="AP316" s="458"/>
      <c r="AQ316" s="458"/>
      <c r="AR316" s="458"/>
      <c r="AS316" s="458"/>
      <c r="AT316" s="458"/>
      <c r="AU316" s="458"/>
      <c r="AV316" s="458"/>
      <c r="BA316" s="1305"/>
    </row>
    <row r="317" spans="2:53" ht="12.5">
      <c r="B317" s="176"/>
      <c r="C317" s="617"/>
      <c r="H317" s="178"/>
      <c r="I317" s="178"/>
      <c r="J317" s="184"/>
      <c r="N317" s="178"/>
      <c r="O317" s="178"/>
      <c r="P317" s="178"/>
      <c r="Q317" s="699"/>
      <c r="R317" s="764"/>
      <c r="S317" s="458"/>
      <c r="AG317" s="776"/>
      <c r="AH317" s="764"/>
      <c r="AI317" s="764"/>
      <c r="AN317" s="458"/>
      <c r="AO317" s="458"/>
      <c r="AP317" s="458"/>
      <c r="AQ317" s="458"/>
      <c r="AR317" s="458"/>
      <c r="AS317" s="458"/>
      <c r="AT317" s="458"/>
      <c r="AU317" s="458"/>
      <c r="AV317" s="458"/>
      <c r="BA317" s="1305"/>
    </row>
    <row r="318" spans="2:53" ht="12.5">
      <c r="B318" s="176"/>
      <c r="C318" s="617"/>
      <c r="H318" s="178"/>
      <c r="I318" s="178"/>
      <c r="J318" s="184"/>
      <c r="N318" s="178"/>
      <c r="O318" s="178"/>
      <c r="P318" s="178"/>
      <c r="Q318" s="699"/>
      <c r="R318" s="764"/>
      <c r="S318" s="458"/>
      <c r="AG318" s="776"/>
      <c r="AH318" s="764"/>
      <c r="AI318" s="764"/>
      <c r="AN318" s="458"/>
      <c r="AO318" s="458"/>
      <c r="AP318" s="458"/>
      <c r="AQ318" s="458"/>
      <c r="AR318" s="458"/>
      <c r="AS318" s="458"/>
      <c r="AT318" s="458"/>
      <c r="AU318" s="458"/>
      <c r="AV318" s="458"/>
      <c r="BA318" s="1305"/>
    </row>
    <row r="319" spans="2:53" ht="12.5">
      <c r="B319" s="176"/>
      <c r="C319" s="617"/>
      <c r="H319" s="178"/>
      <c r="I319" s="178"/>
      <c r="J319" s="184"/>
      <c r="N319" s="178"/>
      <c r="O319" s="178"/>
      <c r="P319" s="178"/>
      <c r="Q319" s="699"/>
      <c r="R319" s="764"/>
      <c r="S319" s="458"/>
      <c r="AG319" s="776"/>
      <c r="AH319" s="764"/>
      <c r="AI319" s="764"/>
      <c r="AN319" s="458"/>
      <c r="AO319" s="458"/>
      <c r="AP319" s="458"/>
      <c r="AQ319" s="458"/>
      <c r="AR319" s="458"/>
      <c r="AS319" s="458"/>
      <c r="AT319" s="458"/>
      <c r="AU319" s="458"/>
      <c r="AV319" s="458"/>
      <c r="BA319" s="1305"/>
    </row>
    <row r="320" spans="2:53" ht="12.5">
      <c r="B320" s="176"/>
      <c r="C320" s="617"/>
      <c r="H320" s="178"/>
      <c r="I320" s="178"/>
      <c r="J320" s="184"/>
      <c r="N320" s="178"/>
      <c r="O320" s="178"/>
      <c r="P320" s="178"/>
      <c r="Q320" s="699"/>
      <c r="R320" s="764"/>
      <c r="S320" s="458"/>
      <c r="AG320" s="776"/>
      <c r="AH320" s="764"/>
      <c r="AI320" s="764"/>
      <c r="AN320" s="458"/>
      <c r="AO320" s="458"/>
      <c r="AP320" s="458"/>
      <c r="AQ320" s="458"/>
      <c r="AR320" s="458"/>
      <c r="AS320" s="458"/>
      <c r="AT320" s="458"/>
      <c r="AU320" s="458"/>
      <c r="AV320" s="458"/>
      <c r="BA320" s="1305"/>
    </row>
    <row r="321" spans="2:53" ht="12.5">
      <c r="B321" s="176"/>
      <c r="C321" s="617"/>
      <c r="H321" s="178"/>
      <c r="I321" s="178"/>
      <c r="J321" s="184"/>
      <c r="N321" s="178"/>
      <c r="O321" s="178"/>
      <c r="P321" s="178"/>
      <c r="Q321" s="699"/>
      <c r="R321" s="764"/>
      <c r="S321" s="458"/>
      <c r="AG321" s="776"/>
      <c r="AH321" s="764"/>
      <c r="AI321" s="764"/>
      <c r="AN321" s="458"/>
      <c r="AO321" s="458"/>
      <c r="AP321" s="458"/>
      <c r="AQ321" s="458"/>
      <c r="AR321" s="458"/>
      <c r="AS321" s="458"/>
      <c r="AT321" s="458"/>
      <c r="AU321" s="458"/>
      <c r="AV321" s="458"/>
      <c r="BA321" s="1305"/>
    </row>
    <row r="322" spans="2:53" ht="12.5">
      <c r="B322" s="176"/>
      <c r="C322" s="617"/>
      <c r="H322" s="178"/>
      <c r="I322" s="178"/>
      <c r="J322" s="184"/>
      <c r="N322" s="178"/>
      <c r="O322" s="178"/>
      <c r="P322" s="178"/>
      <c r="Q322" s="699"/>
      <c r="R322" s="764"/>
      <c r="S322" s="458"/>
      <c r="AG322" s="776"/>
      <c r="AH322" s="764"/>
      <c r="AI322" s="764"/>
      <c r="AN322" s="458"/>
      <c r="AO322" s="458"/>
      <c r="AP322" s="458"/>
      <c r="AQ322" s="458"/>
      <c r="AR322" s="458"/>
      <c r="AS322" s="458"/>
      <c r="AT322" s="458"/>
      <c r="AU322" s="458"/>
      <c r="AV322" s="458"/>
      <c r="BA322" s="1305"/>
    </row>
    <row r="323" spans="2:53" ht="12.5">
      <c r="B323" s="176"/>
      <c r="C323" s="617"/>
      <c r="H323" s="178"/>
      <c r="I323" s="178"/>
      <c r="J323" s="184"/>
      <c r="N323" s="178"/>
      <c r="O323" s="178"/>
      <c r="P323" s="178"/>
      <c r="Q323" s="699"/>
      <c r="R323" s="764"/>
      <c r="S323" s="458"/>
      <c r="AG323" s="776"/>
      <c r="AH323" s="764"/>
      <c r="AI323" s="764"/>
      <c r="AN323" s="458"/>
      <c r="AO323" s="458"/>
      <c r="AP323" s="458"/>
      <c r="AQ323" s="458"/>
      <c r="AR323" s="458"/>
      <c r="AS323" s="458"/>
      <c r="AT323" s="458"/>
      <c r="AU323" s="458"/>
      <c r="AV323" s="458"/>
      <c r="BA323" s="1305"/>
    </row>
    <row r="324" spans="2:53" ht="12.5">
      <c r="B324" s="176"/>
      <c r="C324" s="617"/>
      <c r="H324" s="178"/>
      <c r="I324" s="178"/>
      <c r="J324" s="184"/>
      <c r="N324" s="178"/>
      <c r="O324" s="178"/>
      <c r="P324" s="178"/>
      <c r="Q324" s="699"/>
      <c r="R324" s="764"/>
      <c r="S324" s="458"/>
      <c r="AG324" s="776"/>
      <c r="AH324" s="764"/>
      <c r="AI324" s="764"/>
      <c r="AN324" s="458"/>
      <c r="AO324" s="458"/>
      <c r="AP324" s="458"/>
      <c r="AQ324" s="458"/>
      <c r="AR324" s="458"/>
      <c r="AS324" s="458"/>
      <c r="AT324" s="458"/>
      <c r="AU324" s="458"/>
      <c r="AV324" s="458"/>
      <c r="BA324" s="1305"/>
    </row>
    <row r="325" spans="2:53" ht="12.5">
      <c r="B325" s="176"/>
      <c r="C325" s="617"/>
      <c r="H325" s="178"/>
      <c r="I325" s="178"/>
      <c r="J325" s="184"/>
      <c r="N325" s="178"/>
      <c r="O325" s="178"/>
      <c r="P325" s="178"/>
      <c r="Q325" s="699"/>
      <c r="R325" s="764"/>
      <c r="S325" s="458"/>
      <c r="AG325" s="776"/>
      <c r="AH325" s="764"/>
      <c r="AI325" s="764"/>
      <c r="AN325" s="458"/>
      <c r="AO325" s="458"/>
      <c r="AP325" s="458"/>
      <c r="AQ325" s="458"/>
      <c r="AR325" s="458"/>
      <c r="AS325" s="458"/>
      <c r="AT325" s="458"/>
      <c r="AU325" s="458"/>
      <c r="AV325" s="458"/>
      <c r="BA325" s="1305"/>
    </row>
    <row r="326" spans="2:53" ht="12.5">
      <c r="B326" s="176"/>
      <c r="C326" s="617"/>
      <c r="J326" s="184"/>
      <c r="N326" s="178"/>
      <c r="O326" s="178"/>
      <c r="P326" s="178"/>
      <c r="Q326" s="699"/>
      <c r="R326" s="764"/>
      <c r="S326" s="458"/>
      <c r="AG326" s="776"/>
      <c r="AH326" s="764"/>
      <c r="AI326" s="764"/>
      <c r="AN326" s="458"/>
      <c r="AO326" s="458"/>
      <c r="AP326" s="458"/>
      <c r="AQ326" s="458"/>
      <c r="AR326" s="458"/>
      <c r="AS326" s="458"/>
      <c r="AT326" s="458"/>
      <c r="AU326" s="458"/>
      <c r="AV326" s="458"/>
      <c r="BA326" s="1305"/>
    </row>
    <row r="327" spans="2:53" ht="12.5">
      <c r="B327" s="176"/>
      <c r="C327" s="617"/>
      <c r="H327" s="178"/>
      <c r="I327" s="178"/>
      <c r="J327" s="184"/>
      <c r="N327" s="178"/>
      <c r="O327" s="178"/>
      <c r="P327" s="178"/>
      <c r="Q327" s="699"/>
      <c r="R327" s="764"/>
      <c r="S327" s="458"/>
      <c r="AG327" s="776"/>
      <c r="AH327" s="764"/>
      <c r="AI327" s="764"/>
      <c r="AN327" s="458"/>
      <c r="AO327" s="458"/>
      <c r="AP327" s="458"/>
      <c r="AQ327" s="458"/>
      <c r="AR327" s="458"/>
      <c r="AS327" s="458"/>
      <c r="AT327" s="458"/>
      <c r="AU327" s="458"/>
      <c r="AV327" s="458"/>
      <c r="BA327" s="1305"/>
    </row>
    <row r="328" spans="2:53" ht="12.5">
      <c r="B328" s="176"/>
      <c r="C328" s="617"/>
      <c r="H328" s="178"/>
      <c r="I328" s="179"/>
      <c r="J328" s="184"/>
      <c r="N328" s="178"/>
      <c r="O328" s="178"/>
      <c r="P328" s="178"/>
      <c r="Q328" s="699"/>
      <c r="R328" s="764"/>
      <c r="S328" s="458"/>
      <c r="AG328" s="776"/>
      <c r="AH328" s="764"/>
      <c r="AI328" s="764"/>
      <c r="AN328" s="458"/>
      <c r="AO328" s="458"/>
      <c r="AP328" s="458"/>
      <c r="AQ328" s="458"/>
      <c r="AR328" s="458"/>
      <c r="AS328" s="458"/>
      <c r="AT328" s="458"/>
      <c r="AU328" s="458"/>
      <c r="AV328" s="458"/>
      <c r="BA328" s="1305"/>
    </row>
    <row r="329" spans="2:53" ht="12.5">
      <c r="B329" s="176"/>
      <c r="C329" s="617"/>
      <c r="H329" s="178"/>
      <c r="I329" s="178"/>
      <c r="J329" s="184"/>
      <c r="N329" s="178"/>
      <c r="O329" s="178"/>
      <c r="P329" s="178"/>
      <c r="Q329" s="699"/>
      <c r="R329" s="764"/>
      <c r="S329" s="458"/>
      <c r="AG329" s="776"/>
      <c r="AH329" s="764"/>
      <c r="AI329" s="764"/>
      <c r="AN329" s="458"/>
      <c r="AO329" s="458"/>
      <c r="AP329" s="458"/>
      <c r="AQ329" s="458"/>
      <c r="AR329" s="458"/>
      <c r="AS329" s="458"/>
      <c r="AT329" s="458"/>
      <c r="AU329" s="458"/>
      <c r="AV329" s="458"/>
      <c r="BA329" s="1305"/>
    </row>
    <row r="330" spans="2:53" ht="12.5">
      <c r="B330" s="176"/>
      <c r="C330" s="617"/>
      <c r="H330" s="178"/>
      <c r="I330" s="179"/>
      <c r="J330" s="184"/>
      <c r="N330" s="178"/>
      <c r="O330" s="178"/>
      <c r="P330" s="178"/>
      <c r="Q330" s="699"/>
      <c r="R330" s="764"/>
      <c r="S330" s="458"/>
      <c r="AG330" s="776"/>
      <c r="AH330" s="764"/>
      <c r="AI330" s="764"/>
      <c r="AN330" s="458"/>
      <c r="AO330" s="458"/>
      <c r="AP330" s="458"/>
      <c r="AQ330" s="458"/>
      <c r="AR330" s="458"/>
      <c r="AS330" s="458"/>
      <c r="AT330" s="458"/>
      <c r="AU330" s="458"/>
      <c r="AV330" s="458"/>
      <c r="BA330" s="1305"/>
    </row>
    <row r="331" spans="2:53" ht="12.5">
      <c r="B331" s="176"/>
      <c r="C331" s="617"/>
      <c r="H331" s="178"/>
      <c r="I331" s="178"/>
      <c r="J331" s="184"/>
      <c r="N331" s="178"/>
      <c r="O331" s="178"/>
      <c r="P331" s="178"/>
      <c r="Q331" s="699"/>
      <c r="R331" s="764"/>
      <c r="S331" s="458"/>
      <c r="AG331" s="776"/>
      <c r="AH331" s="764"/>
      <c r="AI331" s="764"/>
      <c r="AN331" s="458"/>
      <c r="AO331" s="458"/>
      <c r="AP331" s="458"/>
      <c r="AQ331" s="458"/>
      <c r="AR331" s="458"/>
      <c r="AS331" s="458"/>
      <c r="AT331" s="458"/>
      <c r="AU331" s="458"/>
      <c r="AV331" s="458"/>
      <c r="BA331" s="1305"/>
    </row>
    <row r="332" spans="2:53" ht="12.5">
      <c r="B332" s="176"/>
      <c r="C332" s="617"/>
      <c r="H332" s="178"/>
      <c r="I332" s="179"/>
      <c r="J332" s="184"/>
      <c r="N332" s="178"/>
      <c r="O332" s="178"/>
      <c r="P332" s="178"/>
      <c r="Q332" s="699"/>
      <c r="R332" s="764"/>
      <c r="S332" s="458"/>
      <c r="AG332" s="776"/>
      <c r="AH332" s="764"/>
      <c r="AI332" s="764"/>
      <c r="AN332" s="458"/>
      <c r="AO332" s="458"/>
      <c r="AP332" s="458"/>
      <c r="AQ332" s="458"/>
      <c r="AR332" s="458"/>
      <c r="AS332" s="458"/>
      <c r="AT332" s="458"/>
      <c r="AU332" s="458"/>
      <c r="AV332" s="458"/>
      <c r="BA332" s="1305"/>
    </row>
    <row r="333" spans="2:53" ht="12.5">
      <c r="B333" s="176"/>
      <c r="C333" s="617"/>
      <c r="H333" s="178"/>
      <c r="I333" s="179"/>
      <c r="J333" s="184"/>
      <c r="N333" s="178"/>
      <c r="O333" s="178"/>
      <c r="P333" s="178"/>
      <c r="Q333" s="699"/>
      <c r="R333" s="764"/>
      <c r="S333" s="458"/>
      <c r="AG333" s="776"/>
      <c r="AH333" s="764"/>
      <c r="AI333" s="764"/>
      <c r="AN333" s="458"/>
      <c r="AO333" s="458"/>
      <c r="AP333" s="458"/>
      <c r="AQ333" s="458"/>
      <c r="AR333" s="458"/>
      <c r="AS333" s="458"/>
      <c r="AT333" s="458"/>
      <c r="AU333" s="458"/>
      <c r="AV333" s="458"/>
      <c r="BA333" s="1305"/>
    </row>
    <row r="334" spans="2:53" ht="12.5">
      <c r="B334" s="176"/>
      <c r="C334" s="617"/>
      <c r="H334" s="178"/>
      <c r="I334" s="178"/>
      <c r="J334" s="184"/>
      <c r="N334" s="178"/>
      <c r="O334" s="178"/>
      <c r="P334" s="178"/>
      <c r="Q334" s="699"/>
      <c r="R334" s="764"/>
      <c r="S334" s="458"/>
      <c r="AG334" s="776"/>
      <c r="AH334" s="764"/>
      <c r="AI334" s="764"/>
      <c r="AN334" s="458"/>
      <c r="AO334" s="458"/>
      <c r="AP334" s="458"/>
      <c r="AQ334" s="458"/>
      <c r="AR334" s="458"/>
      <c r="AS334" s="458"/>
      <c r="AT334" s="458"/>
      <c r="AU334" s="458"/>
      <c r="AV334" s="458"/>
      <c r="BA334" s="1305"/>
    </row>
    <row r="335" spans="2:53" ht="12.5">
      <c r="B335" s="176"/>
      <c r="C335" s="617"/>
      <c r="H335" s="178"/>
      <c r="I335" s="178"/>
      <c r="J335" s="184"/>
      <c r="N335" s="178"/>
      <c r="O335" s="178"/>
      <c r="P335" s="178"/>
      <c r="Q335" s="699"/>
      <c r="R335" s="764"/>
      <c r="S335" s="458"/>
      <c r="AG335" s="776"/>
      <c r="AH335" s="764"/>
      <c r="AI335" s="764"/>
      <c r="AN335" s="458"/>
      <c r="AO335" s="458"/>
      <c r="AP335" s="458"/>
      <c r="AQ335" s="458"/>
      <c r="AR335" s="458"/>
      <c r="AS335" s="458"/>
      <c r="AT335" s="458"/>
      <c r="AU335" s="458"/>
      <c r="AV335" s="458"/>
      <c r="BA335" s="1305"/>
    </row>
    <row r="336" spans="2:53" ht="12.5">
      <c r="B336" s="176"/>
      <c r="C336" s="617"/>
      <c r="H336" s="178"/>
      <c r="I336" s="178"/>
      <c r="J336" s="184"/>
      <c r="N336" s="178"/>
      <c r="O336" s="178"/>
      <c r="P336" s="178"/>
      <c r="S336" s="458"/>
      <c r="AN336" s="458"/>
      <c r="AO336" s="458"/>
      <c r="AP336" s="458"/>
      <c r="AQ336" s="458"/>
      <c r="AR336" s="458"/>
      <c r="AS336" s="458"/>
      <c r="AT336" s="458"/>
      <c r="AU336" s="458"/>
      <c r="AV336" s="458"/>
      <c r="BA336" s="1305"/>
    </row>
    <row r="337" spans="2:53" ht="12.5">
      <c r="B337" s="176"/>
      <c r="C337" s="617"/>
      <c r="H337" s="178"/>
      <c r="I337" s="179"/>
      <c r="J337" s="184"/>
      <c r="N337" s="178"/>
      <c r="O337" s="178"/>
      <c r="P337" s="178"/>
      <c r="S337" s="458"/>
      <c r="AN337" s="458"/>
      <c r="AO337" s="458"/>
      <c r="AP337" s="458"/>
      <c r="AQ337" s="458"/>
      <c r="AR337" s="458"/>
      <c r="AS337" s="458"/>
      <c r="AT337" s="458"/>
      <c r="AU337" s="458"/>
      <c r="AV337" s="458"/>
      <c r="BA337" s="1305"/>
    </row>
    <row r="338" spans="2:53" ht="12.5">
      <c r="B338" s="175"/>
      <c r="C338" s="617"/>
      <c r="H338" s="178"/>
      <c r="I338" s="179"/>
      <c r="J338" s="184"/>
      <c r="N338" s="178"/>
      <c r="O338" s="178"/>
      <c r="P338" s="178"/>
      <c r="S338" s="458"/>
      <c r="AN338" s="458"/>
      <c r="AO338" s="458"/>
      <c r="AP338" s="458"/>
      <c r="AQ338" s="458"/>
      <c r="AR338" s="458"/>
      <c r="AS338" s="458"/>
      <c r="AT338" s="458"/>
      <c r="AU338" s="458"/>
      <c r="AV338" s="458"/>
      <c r="BA338" s="1305"/>
    </row>
    <row r="339" spans="2:53" ht="12.5">
      <c r="B339" s="175"/>
      <c r="C339" s="617"/>
      <c r="H339" s="178"/>
      <c r="I339" s="179"/>
      <c r="J339" s="184"/>
      <c r="N339" s="178"/>
      <c r="O339" s="178"/>
      <c r="P339" s="178"/>
      <c r="S339" s="458"/>
      <c r="AN339" s="458"/>
      <c r="AO339" s="458"/>
      <c r="AP339" s="458"/>
      <c r="AQ339" s="458"/>
      <c r="AR339" s="458"/>
      <c r="AS339" s="458"/>
      <c r="AT339" s="458"/>
      <c r="AU339" s="458"/>
      <c r="AV339" s="458"/>
      <c r="BA339" s="1305"/>
    </row>
    <row r="340" spans="2:53" ht="12.5">
      <c r="B340" s="175"/>
      <c r="C340" s="617"/>
      <c r="H340" s="178"/>
      <c r="I340" s="179"/>
      <c r="J340" s="184"/>
      <c r="N340" s="178"/>
      <c r="O340" s="178"/>
      <c r="P340" s="178"/>
      <c r="S340" s="458"/>
      <c r="AN340" s="458"/>
      <c r="AO340" s="458"/>
      <c r="AP340" s="458"/>
      <c r="AQ340" s="458"/>
      <c r="AR340" s="458"/>
      <c r="AS340" s="458"/>
      <c r="AT340" s="458"/>
      <c r="AU340" s="458"/>
      <c r="AV340" s="458"/>
      <c r="BA340" s="1305"/>
    </row>
    <row r="341" spans="2:53" ht="12.5">
      <c r="B341" s="175"/>
      <c r="C341" s="617"/>
      <c r="H341" s="178"/>
      <c r="I341" s="179"/>
      <c r="J341" s="184"/>
      <c r="L341" s="1618"/>
      <c r="M341" s="1618"/>
      <c r="N341" s="178"/>
      <c r="O341" s="178"/>
      <c r="P341" s="178"/>
      <c r="S341" s="458"/>
      <c r="AN341" s="458"/>
      <c r="AO341" s="458"/>
      <c r="AP341" s="458"/>
      <c r="AQ341" s="458"/>
      <c r="AR341" s="458"/>
      <c r="AS341" s="458"/>
      <c r="AT341" s="458"/>
      <c r="AU341" s="458"/>
      <c r="AV341" s="458"/>
      <c r="BA341" s="1305"/>
    </row>
    <row r="342" spans="2:53" ht="12.5">
      <c r="B342" s="175"/>
      <c r="C342" s="617"/>
      <c r="H342" s="178"/>
      <c r="I342" s="179"/>
      <c r="J342" s="184"/>
      <c r="N342" s="178"/>
      <c r="O342" s="178"/>
      <c r="P342" s="178"/>
      <c r="S342" s="458"/>
      <c r="AN342" s="458"/>
      <c r="AO342" s="458"/>
      <c r="AP342" s="458"/>
      <c r="AQ342" s="458"/>
      <c r="AR342" s="458"/>
      <c r="AS342" s="458"/>
      <c r="AT342" s="458"/>
      <c r="AU342" s="458"/>
      <c r="AV342" s="458"/>
      <c r="BA342" s="1305"/>
    </row>
    <row r="343" spans="2:53" ht="12.5">
      <c r="B343" s="175"/>
      <c r="C343" s="617"/>
      <c r="H343" s="178"/>
      <c r="I343" s="179"/>
      <c r="J343" s="184"/>
      <c r="N343" s="178"/>
      <c r="O343" s="178"/>
      <c r="P343" s="178"/>
      <c r="S343" s="458"/>
      <c r="AN343" s="458"/>
      <c r="AO343" s="458"/>
      <c r="AP343" s="458"/>
      <c r="AQ343" s="458"/>
      <c r="AR343" s="458"/>
      <c r="AS343" s="458"/>
      <c r="AT343" s="458"/>
      <c r="AU343" s="458"/>
      <c r="AV343" s="458"/>
      <c r="BA343" s="1305"/>
    </row>
    <row r="344" spans="2:53" ht="12.5">
      <c r="B344" s="175"/>
      <c r="C344" s="617"/>
      <c r="H344" s="178"/>
      <c r="I344" s="179"/>
      <c r="J344" s="184"/>
      <c r="N344" s="178"/>
      <c r="O344" s="178"/>
      <c r="P344" s="178"/>
      <c r="S344" s="458"/>
      <c r="AN344" s="458"/>
      <c r="AO344" s="458"/>
      <c r="AP344" s="458"/>
      <c r="AQ344" s="458"/>
      <c r="AR344" s="458"/>
      <c r="AS344" s="458"/>
      <c r="AT344" s="458"/>
      <c r="AU344" s="458"/>
      <c r="AV344" s="458"/>
      <c r="BA344" s="1305"/>
    </row>
    <row r="345" spans="2:53" ht="12.5">
      <c r="B345" s="175"/>
      <c r="C345" s="617"/>
      <c r="H345" s="178"/>
      <c r="I345" s="179"/>
      <c r="J345" s="184"/>
      <c r="N345" s="178"/>
      <c r="O345" s="178"/>
      <c r="P345" s="178"/>
      <c r="S345" s="458"/>
      <c r="AN345" s="458"/>
      <c r="AO345" s="458"/>
      <c r="AP345" s="458"/>
      <c r="AQ345" s="458"/>
      <c r="AR345" s="458"/>
      <c r="AS345" s="458"/>
      <c r="AT345" s="458"/>
      <c r="AU345" s="458"/>
      <c r="AV345" s="458"/>
      <c r="BA345" s="1305"/>
    </row>
    <row r="346" spans="2:53" ht="12.5">
      <c r="B346" s="175"/>
      <c r="C346" s="617"/>
      <c r="H346" s="178"/>
      <c r="I346" s="179"/>
      <c r="J346" s="184"/>
      <c r="N346" s="178"/>
      <c r="O346" s="178"/>
      <c r="P346" s="178"/>
      <c r="S346" s="458"/>
      <c r="AN346" s="458"/>
      <c r="AO346" s="458"/>
      <c r="AP346" s="458"/>
      <c r="AQ346" s="458"/>
      <c r="AR346" s="458"/>
      <c r="AS346" s="458"/>
      <c r="AT346" s="458"/>
      <c r="AU346" s="458"/>
      <c r="AV346" s="458"/>
      <c r="BA346" s="1305"/>
    </row>
    <row r="347" spans="2:53" ht="12.5">
      <c r="B347" s="175"/>
      <c r="C347" s="617"/>
      <c r="H347" s="178"/>
      <c r="I347" s="179"/>
      <c r="J347" s="184"/>
      <c r="N347" s="178"/>
      <c r="O347" s="178"/>
      <c r="P347" s="178"/>
      <c r="S347" s="458"/>
      <c r="AN347" s="458"/>
      <c r="AO347" s="458"/>
      <c r="AP347" s="458"/>
      <c r="AQ347" s="458"/>
      <c r="AR347" s="458"/>
      <c r="AS347" s="458"/>
      <c r="AT347" s="458"/>
      <c r="AU347" s="458"/>
      <c r="AV347" s="458"/>
      <c r="BA347" s="1305"/>
    </row>
    <row r="348" spans="2:53" ht="12.5">
      <c r="B348" s="175"/>
      <c r="C348" s="617"/>
      <c r="H348" s="178"/>
      <c r="N348" s="178"/>
      <c r="O348" s="178"/>
      <c r="P348" s="178"/>
      <c r="S348" s="458"/>
      <c r="AN348" s="458"/>
      <c r="AO348" s="458"/>
      <c r="AP348" s="458"/>
      <c r="AQ348" s="458"/>
      <c r="AR348" s="458"/>
      <c r="AS348" s="458"/>
      <c r="AT348" s="458"/>
      <c r="AU348" s="458"/>
      <c r="AV348" s="458"/>
      <c r="BA348" s="1305"/>
    </row>
    <row r="349" spans="2:53" ht="12.5">
      <c r="B349" s="175"/>
      <c r="C349" s="617"/>
      <c r="H349" s="178"/>
      <c r="I349" s="179"/>
      <c r="J349" s="184"/>
      <c r="N349" s="178"/>
      <c r="O349" s="178"/>
      <c r="P349" s="178"/>
      <c r="S349" s="458"/>
      <c r="AN349" s="458"/>
      <c r="AO349" s="458"/>
      <c r="AP349" s="458"/>
      <c r="AQ349" s="458"/>
      <c r="AR349" s="458"/>
      <c r="AS349" s="458"/>
      <c r="AT349" s="458"/>
      <c r="AU349" s="458"/>
      <c r="AV349" s="458"/>
      <c r="BA349" s="1305"/>
    </row>
    <row r="350" spans="2:53" ht="12.5">
      <c r="B350" s="175"/>
      <c r="C350" s="617"/>
      <c r="H350" s="178"/>
      <c r="I350" s="178"/>
      <c r="J350" s="184"/>
      <c r="N350" s="178"/>
      <c r="O350" s="178"/>
      <c r="P350" s="178"/>
      <c r="S350" s="458"/>
      <c r="AN350" s="458"/>
      <c r="AO350" s="458"/>
      <c r="AP350" s="458"/>
      <c r="AQ350" s="458"/>
      <c r="AR350" s="458"/>
      <c r="AS350" s="458"/>
      <c r="AT350" s="458"/>
      <c r="AU350" s="458"/>
      <c r="AV350" s="458"/>
      <c r="BA350" s="1305"/>
    </row>
    <row r="351" spans="2:53" ht="12.5">
      <c r="B351" s="175"/>
      <c r="C351" s="617"/>
      <c r="H351" s="178"/>
      <c r="I351" s="179"/>
      <c r="J351" s="184"/>
      <c r="L351" s="1618"/>
      <c r="M351" s="1618"/>
      <c r="N351" s="178"/>
      <c r="O351" s="178"/>
      <c r="P351" s="178"/>
      <c r="S351" s="458"/>
      <c r="AN351" s="458"/>
      <c r="AO351" s="458"/>
      <c r="AP351" s="458"/>
      <c r="AQ351" s="458"/>
      <c r="AR351" s="458"/>
      <c r="AS351" s="458"/>
      <c r="AT351" s="458"/>
      <c r="AU351" s="458"/>
      <c r="AV351" s="458"/>
      <c r="BA351" s="1305"/>
    </row>
    <row r="352" spans="2:53" ht="12.5">
      <c r="B352" s="175"/>
      <c r="C352" s="617"/>
      <c r="H352" s="178"/>
      <c r="I352" s="178"/>
      <c r="S352" s="458"/>
      <c r="AN352" s="458"/>
      <c r="AO352" s="458"/>
      <c r="AP352" s="458"/>
      <c r="AQ352" s="458"/>
      <c r="AR352" s="458"/>
      <c r="AS352" s="458"/>
      <c r="AT352" s="458"/>
      <c r="AU352" s="458"/>
      <c r="AV352" s="458"/>
      <c r="BA352" s="1305"/>
    </row>
    <row r="353" spans="1:54" ht="12.5">
      <c r="B353" s="175"/>
      <c r="C353" s="617"/>
      <c r="H353" s="178"/>
      <c r="I353" s="179"/>
      <c r="J353" s="184"/>
      <c r="N353" s="178"/>
      <c r="O353" s="178"/>
      <c r="P353" s="178"/>
      <c r="S353" s="458"/>
      <c r="AN353" s="458"/>
      <c r="AO353" s="458"/>
      <c r="AP353" s="458"/>
      <c r="AQ353" s="458"/>
      <c r="AR353" s="458"/>
      <c r="AS353" s="458"/>
      <c r="AT353" s="458"/>
      <c r="AU353" s="458"/>
      <c r="AV353" s="458"/>
      <c r="BA353" s="1305"/>
    </row>
    <row r="354" spans="1:54" ht="12.5">
      <c r="B354" s="175"/>
      <c r="C354" s="617"/>
      <c r="H354" s="178"/>
      <c r="I354" s="178"/>
      <c r="J354" s="184"/>
      <c r="N354" s="178"/>
      <c r="O354" s="178"/>
      <c r="P354" s="178"/>
      <c r="S354" s="458"/>
      <c r="AN354" s="458"/>
      <c r="AO354" s="458"/>
      <c r="AP354" s="458"/>
      <c r="AQ354" s="458"/>
      <c r="AR354" s="458"/>
      <c r="AS354" s="458"/>
      <c r="AT354" s="458"/>
      <c r="AU354" s="458"/>
      <c r="AV354" s="458"/>
      <c r="BA354" s="1305"/>
    </row>
    <row r="355" spans="1:54" ht="12.5">
      <c r="B355" s="175"/>
      <c r="C355" s="176"/>
      <c r="H355" s="178"/>
      <c r="I355" s="178"/>
      <c r="J355" s="184"/>
      <c r="N355" s="178"/>
      <c r="O355" s="178"/>
      <c r="P355" s="178"/>
      <c r="S355" s="458"/>
      <c r="AN355" s="458"/>
      <c r="AO355" s="458"/>
      <c r="AP355" s="458"/>
      <c r="AQ355" s="458"/>
      <c r="AR355" s="458"/>
      <c r="AS355" s="458"/>
      <c r="AT355" s="458"/>
      <c r="AU355" s="458"/>
      <c r="AV355" s="458"/>
      <c r="BA355" s="1305"/>
    </row>
    <row r="356" spans="1:54" ht="12.5">
      <c r="A356" s="169"/>
      <c r="C356" s="169"/>
      <c r="H356" s="178"/>
      <c r="I356" s="178"/>
      <c r="J356" s="184"/>
      <c r="O356" s="178"/>
      <c r="P356" s="178"/>
      <c r="S356" s="458"/>
      <c r="AN356" s="458"/>
      <c r="AO356" s="458"/>
      <c r="AP356" s="458"/>
      <c r="AQ356" s="458"/>
      <c r="AR356" s="458"/>
      <c r="AS356" s="458"/>
      <c r="AT356" s="458"/>
      <c r="AU356" s="458"/>
      <c r="AV356" s="458"/>
      <c r="BA356" s="1305"/>
      <c r="BB356" s="169"/>
    </row>
    <row r="357" spans="1:54" ht="12.5">
      <c r="A357" s="169"/>
      <c r="C357" s="169"/>
      <c r="H357" s="178"/>
      <c r="I357" s="179"/>
      <c r="J357" s="184"/>
      <c r="N357" s="178"/>
      <c r="O357" s="178"/>
      <c r="P357" s="178"/>
      <c r="S357" s="458"/>
      <c r="AN357" s="458"/>
      <c r="AO357" s="458"/>
      <c r="AP357" s="458"/>
      <c r="AQ357" s="458"/>
      <c r="AR357" s="458"/>
      <c r="AS357" s="458"/>
      <c r="AT357" s="458"/>
      <c r="AU357" s="458"/>
      <c r="AV357" s="458"/>
      <c r="BA357" s="1305"/>
      <c r="BB357" s="169"/>
    </row>
    <row r="358" spans="1:54" ht="12.5">
      <c r="A358" s="169"/>
      <c r="C358" s="169"/>
      <c r="H358" s="178"/>
      <c r="I358" s="179"/>
      <c r="J358" s="184"/>
      <c r="N358" s="178"/>
      <c r="O358" s="178"/>
      <c r="P358" s="178"/>
      <c r="S358" s="458"/>
      <c r="AN358" s="458"/>
      <c r="AO358" s="458"/>
      <c r="AP358" s="458"/>
      <c r="AQ358" s="458"/>
      <c r="AR358" s="458"/>
      <c r="AS358" s="458"/>
      <c r="AT358" s="458"/>
      <c r="AU358" s="458"/>
      <c r="AV358" s="458"/>
      <c r="BA358" s="1305"/>
      <c r="BB358" s="169"/>
    </row>
    <row r="359" spans="1:54" ht="12.5">
      <c r="A359" s="169"/>
      <c r="C359" s="169"/>
      <c r="H359" s="178"/>
      <c r="I359" s="179"/>
      <c r="J359" s="184"/>
      <c r="N359" s="178"/>
      <c r="O359" s="178"/>
      <c r="P359" s="178"/>
      <c r="S359" s="458"/>
      <c r="AN359" s="458"/>
      <c r="AO359" s="458"/>
      <c r="AP359" s="458"/>
      <c r="AQ359" s="458"/>
      <c r="AR359" s="458"/>
      <c r="AS359" s="458"/>
      <c r="AT359" s="458"/>
      <c r="AU359" s="458"/>
      <c r="AV359" s="458"/>
      <c r="BA359" s="1305"/>
      <c r="BB359" s="169"/>
    </row>
    <row r="360" spans="1:54" ht="12.5">
      <c r="B360" s="175"/>
      <c r="C360" s="176"/>
      <c r="H360" s="178"/>
      <c r="I360" s="179"/>
      <c r="J360" s="184"/>
      <c r="O360" s="178"/>
      <c r="P360" s="178"/>
      <c r="S360" s="458"/>
      <c r="AN360" s="458"/>
      <c r="AO360" s="458"/>
      <c r="AP360" s="458"/>
      <c r="AQ360" s="458"/>
      <c r="AR360" s="458"/>
      <c r="AS360" s="458"/>
      <c r="AT360" s="458"/>
      <c r="AU360" s="458"/>
      <c r="AV360" s="458"/>
      <c r="BA360" s="1305"/>
    </row>
    <row r="361" spans="1:54" ht="12.5">
      <c r="B361" s="180"/>
      <c r="C361" s="176"/>
      <c r="H361" s="178"/>
      <c r="I361" s="178"/>
      <c r="J361" s="184"/>
      <c r="N361" s="178"/>
      <c r="O361" s="178"/>
      <c r="P361" s="178"/>
      <c r="S361" s="458"/>
      <c r="AN361" s="458"/>
      <c r="AO361" s="458"/>
      <c r="AP361" s="458"/>
      <c r="AQ361" s="458"/>
      <c r="AR361" s="458"/>
      <c r="AS361" s="458"/>
      <c r="AT361" s="458"/>
      <c r="AU361" s="458"/>
      <c r="AV361" s="458"/>
      <c r="BA361" s="1305"/>
    </row>
    <row r="362" spans="1:54" ht="12.5">
      <c r="B362" s="175"/>
      <c r="C362" s="176"/>
      <c r="H362" s="178"/>
      <c r="I362" s="179"/>
      <c r="J362" s="184"/>
      <c r="N362" s="178"/>
      <c r="O362" s="178"/>
      <c r="P362" s="178"/>
      <c r="S362" s="458"/>
      <c r="AN362" s="458"/>
      <c r="AO362" s="458"/>
      <c r="AP362" s="458"/>
      <c r="AQ362" s="458"/>
      <c r="AR362" s="458"/>
      <c r="AS362" s="458"/>
      <c r="AT362" s="458"/>
      <c r="AU362" s="458"/>
      <c r="AV362" s="458"/>
      <c r="BA362" s="1305"/>
    </row>
    <row r="363" spans="1:54" ht="12.5">
      <c r="B363" s="180"/>
      <c r="C363" s="176"/>
      <c r="H363" s="178"/>
      <c r="I363" s="178"/>
      <c r="J363" s="184"/>
      <c r="N363" s="178"/>
      <c r="O363" s="178"/>
      <c r="P363" s="178"/>
      <c r="S363" s="458"/>
      <c r="AN363" s="458"/>
      <c r="AO363" s="458"/>
      <c r="AP363" s="458"/>
      <c r="AQ363" s="458"/>
      <c r="AR363" s="458"/>
      <c r="AS363" s="458"/>
      <c r="AT363" s="458"/>
      <c r="AU363" s="458"/>
      <c r="AV363" s="458"/>
      <c r="BA363" s="1305"/>
    </row>
    <row r="364" spans="1:54" ht="12.5">
      <c r="B364" s="175"/>
      <c r="C364" s="176"/>
      <c r="H364" s="178"/>
      <c r="I364" s="179"/>
      <c r="J364" s="184"/>
      <c r="O364" s="178"/>
      <c r="P364" s="178"/>
      <c r="S364" s="458"/>
      <c r="AN364" s="458"/>
      <c r="AO364" s="458"/>
      <c r="AP364" s="458"/>
      <c r="AQ364" s="458"/>
      <c r="AR364" s="458"/>
      <c r="AS364" s="458"/>
      <c r="AT364" s="458"/>
      <c r="AU364" s="458"/>
      <c r="AV364" s="458"/>
      <c r="BA364" s="1305"/>
    </row>
    <row r="365" spans="1:54" ht="12.5">
      <c r="B365" s="180"/>
      <c r="C365" s="176"/>
      <c r="H365" s="178"/>
      <c r="I365" s="178"/>
      <c r="J365" s="184"/>
      <c r="N365" s="178"/>
      <c r="O365" s="178"/>
      <c r="P365" s="178"/>
      <c r="S365" s="458"/>
      <c r="AN365" s="458"/>
      <c r="AO365" s="458"/>
      <c r="AP365" s="458"/>
      <c r="AQ365" s="458"/>
      <c r="AR365" s="458"/>
      <c r="AS365" s="458"/>
      <c r="AT365" s="458"/>
      <c r="AU365" s="458"/>
      <c r="AV365" s="458"/>
      <c r="BA365" s="1305"/>
    </row>
    <row r="366" spans="1:54" ht="12.5">
      <c r="B366" s="175"/>
      <c r="C366" s="176"/>
      <c r="H366" s="178"/>
      <c r="I366" s="179"/>
      <c r="J366" s="184"/>
      <c r="N366" s="178"/>
      <c r="O366" s="178"/>
      <c r="P366" s="178"/>
      <c r="S366" s="458"/>
      <c r="AN366" s="458"/>
      <c r="AO366" s="458"/>
      <c r="AP366" s="458"/>
      <c r="AQ366" s="458"/>
      <c r="AR366" s="458"/>
      <c r="AS366" s="458"/>
      <c r="AT366" s="458"/>
      <c r="AU366" s="458"/>
      <c r="AV366" s="458"/>
      <c r="BA366" s="1305"/>
    </row>
    <row r="367" spans="1:54" ht="12.5">
      <c r="B367" s="180"/>
      <c r="C367" s="176"/>
      <c r="H367" s="178"/>
      <c r="I367" s="178"/>
      <c r="J367" s="184"/>
      <c r="N367" s="178"/>
      <c r="O367" s="178"/>
      <c r="P367" s="178"/>
      <c r="S367" s="458"/>
      <c r="AN367" s="458"/>
      <c r="AO367" s="458"/>
      <c r="AP367" s="458"/>
      <c r="AQ367" s="458"/>
      <c r="AR367" s="458"/>
      <c r="AS367" s="458"/>
      <c r="AT367" s="458"/>
      <c r="AU367" s="458"/>
      <c r="AV367" s="458"/>
      <c r="BA367" s="1305"/>
    </row>
    <row r="368" spans="1:54" ht="12.5">
      <c r="B368" s="175"/>
      <c r="C368" s="176"/>
      <c r="H368" s="178"/>
      <c r="I368" s="179"/>
      <c r="J368" s="184"/>
      <c r="O368" s="178"/>
      <c r="P368" s="178"/>
      <c r="S368" s="458"/>
      <c r="AN368" s="458"/>
      <c r="AO368" s="458"/>
      <c r="AP368" s="458"/>
      <c r="AQ368" s="458"/>
      <c r="AR368" s="458"/>
      <c r="AS368" s="458"/>
      <c r="AT368" s="458"/>
      <c r="AU368" s="458"/>
      <c r="AV368" s="458"/>
      <c r="BA368" s="1305"/>
    </row>
    <row r="369" spans="2:53" ht="12.5">
      <c r="B369" s="180"/>
      <c r="C369" s="176"/>
      <c r="H369" s="178"/>
      <c r="I369" s="178"/>
      <c r="J369" s="184"/>
      <c r="N369" s="178"/>
      <c r="O369" s="178"/>
      <c r="P369" s="178"/>
      <c r="S369" s="458"/>
      <c r="AN369" s="458"/>
      <c r="AO369" s="458"/>
      <c r="AP369" s="458"/>
      <c r="AQ369" s="458"/>
      <c r="AR369" s="458"/>
      <c r="AS369" s="458"/>
      <c r="AT369" s="458"/>
      <c r="AU369" s="458"/>
      <c r="AV369" s="458"/>
      <c r="BA369" s="1305"/>
    </row>
    <row r="370" spans="2:53" ht="12.5">
      <c r="B370" s="175"/>
      <c r="C370" s="176"/>
      <c r="H370" s="178"/>
      <c r="I370" s="179"/>
      <c r="J370" s="184"/>
      <c r="N370" s="178"/>
      <c r="O370" s="178"/>
      <c r="P370" s="178"/>
      <c r="S370" s="458"/>
      <c r="AN370" s="458"/>
      <c r="AO370" s="458"/>
      <c r="AP370" s="458"/>
      <c r="AQ370" s="458"/>
      <c r="AR370" s="458"/>
      <c r="AS370" s="458"/>
      <c r="AT370" s="458"/>
      <c r="AU370" s="458"/>
      <c r="AV370" s="458"/>
      <c r="BA370" s="1305"/>
    </row>
    <row r="371" spans="2:53" ht="12.5">
      <c r="B371" s="175"/>
      <c r="C371" s="176"/>
      <c r="H371" s="178"/>
      <c r="I371" s="178"/>
      <c r="J371" s="184"/>
      <c r="N371" s="178"/>
      <c r="O371" s="178"/>
      <c r="P371" s="178"/>
      <c r="S371" s="458"/>
      <c r="AN371" s="458"/>
      <c r="AO371" s="458"/>
      <c r="AP371" s="458"/>
      <c r="AQ371" s="458"/>
      <c r="AR371" s="458"/>
      <c r="AS371" s="458"/>
      <c r="AT371" s="458"/>
      <c r="AU371" s="458"/>
      <c r="AV371" s="458"/>
      <c r="BA371" s="1305"/>
    </row>
    <row r="372" spans="2:53" ht="12.5">
      <c r="B372" s="175"/>
      <c r="C372" s="176"/>
      <c r="H372" s="178"/>
      <c r="I372" s="178"/>
      <c r="J372" s="184"/>
      <c r="O372" s="178"/>
      <c r="P372" s="178"/>
      <c r="S372" s="458"/>
      <c r="AN372" s="458"/>
      <c r="AO372" s="458"/>
      <c r="AP372" s="458"/>
      <c r="AQ372" s="458"/>
      <c r="AR372" s="458"/>
      <c r="AS372" s="458"/>
      <c r="AT372" s="458"/>
      <c r="AU372" s="458"/>
      <c r="AV372" s="458"/>
      <c r="BA372" s="1305"/>
    </row>
    <row r="373" spans="2:53" ht="12.5">
      <c r="B373" s="175"/>
      <c r="C373" s="176"/>
      <c r="H373" s="178"/>
      <c r="I373" s="178"/>
      <c r="J373" s="184"/>
      <c r="N373" s="178"/>
      <c r="O373" s="178"/>
      <c r="P373" s="178"/>
      <c r="S373" s="458"/>
      <c r="AN373" s="458"/>
      <c r="AO373" s="458"/>
      <c r="AP373" s="458"/>
      <c r="AQ373" s="458"/>
      <c r="AR373" s="458"/>
      <c r="AS373" s="458"/>
      <c r="AT373" s="458"/>
      <c r="AU373" s="458"/>
      <c r="AV373" s="458"/>
      <c r="BA373" s="1305"/>
    </row>
    <row r="374" spans="2:53" ht="12.5">
      <c r="B374" s="175"/>
      <c r="C374" s="176"/>
      <c r="H374" s="178"/>
      <c r="I374" s="178"/>
      <c r="J374" s="184"/>
      <c r="N374" s="178"/>
      <c r="O374" s="178"/>
      <c r="P374" s="178"/>
      <c r="S374" s="458"/>
      <c r="AN374" s="458"/>
      <c r="AO374" s="458"/>
      <c r="AP374" s="458"/>
      <c r="AQ374" s="458"/>
      <c r="AR374" s="458"/>
      <c r="AS374" s="458"/>
      <c r="AT374" s="458"/>
      <c r="AU374" s="458"/>
      <c r="AV374" s="458"/>
      <c r="BA374" s="1305"/>
    </row>
    <row r="375" spans="2:53" ht="12.5">
      <c r="B375" s="175"/>
      <c r="C375" s="176"/>
      <c r="H375" s="178"/>
      <c r="I375" s="178"/>
      <c r="J375" s="184"/>
      <c r="N375" s="178"/>
      <c r="O375" s="178"/>
      <c r="P375" s="178"/>
      <c r="S375" s="458"/>
      <c r="AN375" s="458"/>
      <c r="AO375" s="458"/>
      <c r="AP375" s="458"/>
      <c r="AQ375" s="458"/>
      <c r="AR375" s="458"/>
      <c r="AS375" s="458"/>
      <c r="AT375" s="458"/>
      <c r="AU375" s="458"/>
      <c r="AV375" s="458"/>
      <c r="BA375" s="1305"/>
    </row>
    <row r="376" spans="2:53" ht="12.5">
      <c r="B376" s="175"/>
      <c r="C376" s="176"/>
      <c r="H376" s="178"/>
      <c r="I376" s="178"/>
      <c r="J376" s="184"/>
      <c r="N376" s="178"/>
      <c r="O376" s="178"/>
      <c r="P376" s="178"/>
      <c r="S376" s="458"/>
      <c r="AN376" s="458"/>
      <c r="AO376" s="458"/>
      <c r="AP376" s="458"/>
      <c r="AQ376" s="458"/>
      <c r="AR376" s="458"/>
      <c r="AS376" s="458"/>
      <c r="AT376" s="458"/>
      <c r="AU376" s="458"/>
      <c r="AV376" s="458"/>
      <c r="BA376" s="1305"/>
    </row>
    <row r="377" spans="2:53" ht="12.5">
      <c r="B377" s="175"/>
      <c r="C377" s="176"/>
      <c r="H377" s="178"/>
      <c r="I377" s="178"/>
      <c r="J377" s="184"/>
      <c r="N377" s="178"/>
      <c r="O377" s="178"/>
      <c r="P377" s="178"/>
      <c r="S377" s="458"/>
      <c r="AN377" s="458"/>
      <c r="AO377" s="458"/>
      <c r="AP377" s="458"/>
      <c r="AQ377" s="458"/>
      <c r="AR377" s="458"/>
      <c r="AS377" s="458"/>
      <c r="AT377" s="458"/>
      <c r="AU377" s="458"/>
      <c r="AV377" s="458"/>
      <c r="BA377" s="1305"/>
    </row>
    <row r="378" spans="2:53" ht="12.5">
      <c r="B378" s="175"/>
      <c r="C378" s="176"/>
      <c r="H378" s="178"/>
      <c r="I378" s="178"/>
      <c r="J378" s="184"/>
      <c r="N378" s="178"/>
      <c r="O378" s="178"/>
      <c r="P378" s="178"/>
      <c r="S378" s="458"/>
      <c r="AN378" s="458"/>
      <c r="AO378" s="458"/>
      <c r="AP378" s="458"/>
      <c r="AQ378" s="458"/>
      <c r="AR378" s="458"/>
      <c r="AS378" s="458"/>
      <c r="AT378" s="458"/>
      <c r="AU378" s="458"/>
      <c r="AV378" s="458"/>
      <c r="BA378" s="1305"/>
    </row>
    <row r="379" spans="2:53" ht="12.5">
      <c r="B379" s="175"/>
      <c r="C379" s="176"/>
      <c r="H379" s="178"/>
      <c r="I379" s="178"/>
      <c r="J379" s="184"/>
      <c r="N379" s="178"/>
      <c r="O379" s="178"/>
      <c r="P379" s="178"/>
      <c r="S379" s="458"/>
      <c r="AN379" s="458"/>
      <c r="AO379" s="458"/>
      <c r="AP379" s="458"/>
      <c r="AQ379" s="458"/>
      <c r="AR379" s="458"/>
      <c r="AS379" s="458"/>
      <c r="AT379" s="458"/>
      <c r="AU379" s="458"/>
      <c r="AV379" s="458"/>
      <c r="BA379" s="1305"/>
    </row>
    <row r="380" spans="2:53" ht="12.5">
      <c r="B380" s="175"/>
      <c r="C380" s="176"/>
      <c r="H380" s="178"/>
      <c r="I380" s="178"/>
      <c r="J380" s="184"/>
      <c r="N380" s="178"/>
      <c r="O380" s="178"/>
      <c r="P380" s="178"/>
      <c r="S380" s="458"/>
      <c r="AN380" s="458"/>
      <c r="AO380" s="458"/>
      <c r="AP380" s="458"/>
      <c r="AQ380" s="458"/>
      <c r="AR380" s="458"/>
      <c r="AS380" s="458"/>
      <c r="AT380" s="458"/>
      <c r="AU380" s="458"/>
      <c r="AV380" s="458"/>
      <c r="BA380" s="1305"/>
    </row>
    <row r="381" spans="2:53" ht="12.5">
      <c r="B381" s="175"/>
      <c r="C381" s="176"/>
      <c r="H381" s="178"/>
      <c r="I381" s="178"/>
      <c r="J381" s="184"/>
      <c r="N381" s="178"/>
      <c r="O381" s="178"/>
      <c r="P381" s="178"/>
      <c r="S381" s="458"/>
      <c r="AN381" s="458"/>
      <c r="AO381" s="458"/>
      <c r="AP381" s="458"/>
      <c r="AQ381" s="458"/>
      <c r="AR381" s="458"/>
      <c r="AS381" s="458"/>
      <c r="AT381" s="458"/>
      <c r="AU381" s="458"/>
      <c r="AV381" s="458"/>
      <c r="BA381" s="1305"/>
    </row>
    <row r="382" spans="2:53" ht="12.5">
      <c r="B382" s="175"/>
      <c r="C382" s="176"/>
      <c r="H382" s="178"/>
      <c r="I382" s="178"/>
      <c r="J382" s="184"/>
      <c r="N382" s="178"/>
      <c r="O382" s="178"/>
      <c r="P382" s="178"/>
      <c r="S382" s="458"/>
      <c r="AN382" s="458"/>
      <c r="AO382" s="458"/>
      <c r="AP382" s="458"/>
      <c r="AQ382" s="458"/>
      <c r="AR382" s="458"/>
      <c r="AS382" s="458"/>
      <c r="AT382" s="458"/>
      <c r="AU382" s="458"/>
      <c r="AV382" s="458"/>
      <c r="BA382" s="1305"/>
    </row>
    <row r="383" spans="2:53" ht="12.5">
      <c r="B383" s="175"/>
      <c r="C383" s="176"/>
      <c r="H383" s="178"/>
      <c r="I383" s="178"/>
      <c r="J383" s="184"/>
      <c r="N383" s="178"/>
      <c r="O383" s="178"/>
      <c r="P383" s="178"/>
      <c r="S383" s="458"/>
      <c r="AN383" s="458"/>
      <c r="AO383" s="458"/>
      <c r="AP383" s="458"/>
      <c r="AQ383" s="458"/>
      <c r="AR383" s="458"/>
      <c r="AS383" s="458"/>
      <c r="AT383" s="458"/>
      <c r="AU383" s="458"/>
      <c r="AV383" s="458"/>
      <c r="BA383" s="1305"/>
    </row>
    <row r="384" spans="2:53" ht="12.5">
      <c r="B384" s="175"/>
      <c r="C384" s="176"/>
      <c r="H384" s="178"/>
      <c r="I384" s="178"/>
      <c r="J384" s="184"/>
      <c r="N384" s="178"/>
      <c r="O384" s="178"/>
      <c r="P384" s="178"/>
      <c r="S384" s="458"/>
      <c r="AN384" s="458"/>
      <c r="AO384" s="458"/>
      <c r="AP384" s="458"/>
      <c r="AQ384" s="458"/>
      <c r="AR384" s="458"/>
      <c r="AS384" s="458"/>
      <c r="AT384" s="458"/>
      <c r="AU384" s="458"/>
      <c r="AV384" s="458"/>
      <c r="BA384" s="1305"/>
    </row>
    <row r="385" spans="2:53" ht="12.5">
      <c r="B385" s="175"/>
      <c r="C385" s="176"/>
      <c r="H385" s="178"/>
      <c r="I385" s="178"/>
      <c r="J385" s="184"/>
      <c r="N385" s="178"/>
      <c r="O385" s="178"/>
      <c r="P385" s="178"/>
      <c r="S385" s="458"/>
      <c r="AN385" s="458"/>
      <c r="AO385" s="458"/>
      <c r="AP385" s="458"/>
      <c r="AQ385" s="458"/>
      <c r="AR385" s="458"/>
      <c r="AS385" s="458"/>
      <c r="AT385" s="458"/>
      <c r="AU385" s="458"/>
      <c r="AV385" s="458"/>
      <c r="BA385" s="1305"/>
    </row>
    <row r="386" spans="2:53" ht="12.5">
      <c r="B386" s="175"/>
      <c r="C386" s="176"/>
      <c r="H386" s="178"/>
      <c r="I386" s="179"/>
      <c r="J386" s="184"/>
      <c r="N386" s="178"/>
      <c r="O386" s="178"/>
      <c r="P386" s="178"/>
      <c r="S386" s="458"/>
      <c r="AN386" s="458"/>
      <c r="AO386" s="458"/>
      <c r="AP386" s="458"/>
      <c r="AQ386" s="458"/>
      <c r="AR386" s="458"/>
      <c r="AS386" s="458"/>
      <c r="AT386" s="458"/>
      <c r="AU386" s="458"/>
      <c r="AV386" s="458"/>
      <c r="BA386" s="1305"/>
    </row>
    <row r="387" spans="2:53" ht="12.5">
      <c r="B387" s="175"/>
      <c r="C387" s="176"/>
      <c r="H387" s="178"/>
      <c r="I387" s="178"/>
      <c r="J387" s="184"/>
      <c r="N387" s="178"/>
      <c r="O387" s="178"/>
      <c r="P387" s="178"/>
      <c r="S387" s="458"/>
      <c r="AN387" s="458"/>
      <c r="AO387" s="458"/>
      <c r="AP387" s="458"/>
      <c r="AQ387" s="458"/>
      <c r="AR387" s="458"/>
      <c r="AS387" s="458"/>
      <c r="AT387" s="458"/>
      <c r="AU387" s="458"/>
      <c r="AV387" s="458"/>
      <c r="BA387" s="1305"/>
    </row>
    <row r="388" spans="2:53" ht="12.5">
      <c r="B388" s="175"/>
      <c r="C388" s="176"/>
      <c r="H388" s="178"/>
      <c r="I388" s="179"/>
      <c r="J388" s="184"/>
      <c r="N388" s="178"/>
      <c r="O388" s="178"/>
      <c r="P388" s="178"/>
      <c r="S388" s="458"/>
      <c r="AN388" s="458"/>
      <c r="AO388" s="458"/>
      <c r="AP388" s="458"/>
      <c r="AQ388" s="458"/>
      <c r="AR388" s="458"/>
      <c r="AS388" s="458"/>
      <c r="AT388" s="458"/>
      <c r="AU388" s="458"/>
      <c r="AV388" s="458"/>
      <c r="BA388" s="1305"/>
    </row>
    <row r="389" spans="2:53" ht="12.5">
      <c r="B389" s="175"/>
      <c r="C389" s="176"/>
      <c r="H389" s="178"/>
      <c r="I389" s="178"/>
      <c r="J389" s="184"/>
      <c r="N389" s="178"/>
      <c r="O389" s="178"/>
      <c r="P389" s="178"/>
      <c r="S389" s="458"/>
      <c r="AN389" s="458"/>
      <c r="AO389" s="458"/>
      <c r="AP389" s="458"/>
      <c r="AQ389" s="458"/>
      <c r="AR389" s="458"/>
      <c r="AS389" s="458"/>
      <c r="AT389" s="458"/>
      <c r="AU389" s="458"/>
      <c r="AV389" s="458"/>
      <c r="BA389" s="1305"/>
    </row>
    <row r="390" spans="2:53" ht="12.5">
      <c r="B390" s="175"/>
      <c r="C390" s="176"/>
      <c r="H390" s="178"/>
      <c r="I390" s="179"/>
      <c r="J390" s="184"/>
      <c r="N390" s="178"/>
      <c r="O390" s="178"/>
      <c r="P390" s="178"/>
      <c r="S390" s="458"/>
      <c r="AN390" s="458"/>
      <c r="AO390" s="458"/>
      <c r="AP390" s="458"/>
      <c r="AQ390" s="458"/>
      <c r="AR390" s="458"/>
      <c r="AS390" s="458"/>
      <c r="AT390" s="458"/>
      <c r="AU390" s="458"/>
      <c r="AV390" s="458"/>
      <c r="BA390" s="1305"/>
    </row>
    <row r="391" spans="2:53" ht="12.5">
      <c r="B391" s="175"/>
      <c r="C391" s="176"/>
      <c r="H391" s="178"/>
      <c r="I391" s="179"/>
      <c r="J391" s="184"/>
      <c r="N391" s="178"/>
      <c r="O391" s="178"/>
      <c r="P391" s="178"/>
      <c r="S391" s="458"/>
      <c r="AN391" s="458"/>
      <c r="AO391" s="458"/>
      <c r="AP391" s="458"/>
      <c r="AQ391" s="458"/>
      <c r="AR391" s="458"/>
      <c r="AS391" s="458"/>
      <c r="AT391" s="458"/>
      <c r="AU391" s="458"/>
      <c r="AV391" s="458"/>
      <c r="BA391" s="1305"/>
    </row>
    <row r="392" spans="2:53" ht="12.5">
      <c r="B392" s="175"/>
      <c r="C392" s="176"/>
      <c r="H392" s="178"/>
      <c r="I392" s="179"/>
      <c r="J392" s="184"/>
      <c r="N392" s="178"/>
      <c r="O392" s="178"/>
      <c r="P392" s="178"/>
      <c r="S392" s="458"/>
      <c r="AN392" s="458"/>
      <c r="AO392" s="458"/>
      <c r="AP392" s="458"/>
      <c r="AQ392" s="458"/>
      <c r="AR392" s="458"/>
      <c r="AS392" s="458"/>
      <c r="AT392" s="458"/>
      <c r="AU392" s="458"/>
      <c r="AV392" s="458"/>
      <c r="BA392" s="1305"/>
    </row>
    <row r="393" spans="2:53" ht="12.5">
      <c r="B393" s="175"/>
      <c r="C393" s="176"/>
      <c r="H393" s="178"/>
      <c r="I393" s="178"/>
      <c r="J393" s="184"/>
      <c r="N393" s="178"/>
      <c r="O393" s="178"/>
      <c r="P393" s="178"/>
      <c r="S393" s="458"/>
      <c r="AN393" s="458"/>
      <c r="AO393" s="458"/>
      <c r="AP393" s="458"/>
      <c r="AQ393" s="458"/>
      <c r="AR393" s="458"/>
      <c r="AS393" s="458"/>
      <c r="AT393" s="458"/>
      <c r="AU393" s="458"/>
      <c r="AV393" s="458"/>
      <c r="BA393" s="1305"/>
    </row>
    <row r="394" spans="2:53" ht="12.5">
      <c r="B394" s="175"/>
      <c r="C394" s="176"/>
      <c r="H394" s="178"/>
      <c r="I394" s="178"/>
      <c r="J394" s="184"/>
      <c r="N394" s="178"/>
      <c r="O394" s="178"/>
      <c r="P394" s="178"/>
      <c r="S394" s="458"/>
      <c r="AN394" s="458"/>
      <c r="AO394" s="458"/>
      <c r="AP394" s="458"/>
      <c r="AQ394" s="458"/>
      <c r="AR394" s="458"/>
      <c r="AS394" s="458"/>
      <c r="AT394" s="458"/>
      <c r="AU394" s="458"/>
      <c r="AV394" s="458"/>
      <c r="BA394" s="1305"/>
    </row>
    <row r="395" spans="2:53" ht="12.5">
      <c r="B395" s="175"/>
      <c r="C395" s="176"/>
      <c r="H395" s="178"/>
      <c r="I395" s="178"/>
      <c r="J395" s="184"/>
      <c r="N395" s="178"/>
      <c r="O395" s="178"/>
      <c r="P395" s="178"/>
      <c r="S395" s="458"/>
      <c r="AN395" s="458"/>
      <c r="AO395" s="458"/>
      <c r="AP395" s="458"/>
      <c r="AQ395" s="458"/>
      <c r="AR395" s="458"/>
      <c r="AS395" s="458"/>
      <c r="AT395" s="458"/>
      <c r="AU395" s="458"/>
      <c r="AV395" s="458"/>
      <c r="BA395" s="1305"/>
    </row>
    <row r="396" spans="2:53" ht="12.5">
      <c r="B396" s="175"/>
      <c r="C396" s="176"/>
      <c r="H396" s="178"/>
      <c r="I396" s="178"/>
      <c r="J396" s="184"/>
      <c r="N396" s="178"/>
      <c r="O396" s="178"/>
      <c r="P396" s="178"/>
      <c r="S396" s="458"/>
      <c r="AN396" s="458"/>
      <c r="AO396" s="458"/>
      <c r="AP396" s="458"/>
      <c r="AQ396" s="458"/>
      <c r="AR396" s="458"/>
      <c r="AS396" s="458"/>
      <c r="AT396" s="458"/>
      <c r="AU396" s="458"/>
      <c r="AV396" s="458"/>
      <c r="BA396" s="1305"/>
    </row>
    <row r="397" spans="2:53" ht="12.5">
      <c r="B397" s="175"/>
      <c r="C397" s="176"/>
      <c r="H397" s="178"/>
      <c r="I397" s="178"/>
      <c r="J397" s="184"/>
      <c r="N397" s="178"/>
      <c r="O397" s="178"/>
      <c r="P397" s="178"/>
      <c r="S397" s="458"/>
      <c r="AN397" s="458"/>
      <c r="AO397" s="458"/>
      <c r="AP397" s="458"/>
      <c r="AQ397" s="458"/>
      <c r="AR397" s="458"/>
      <c r="AS397" s="458"/>
      <c r="AT397" s="458"/>
      <c r="AU397" s="458"/>
      <c r="AV397" s="458"/>
      <c r="BA397" s="1305"/>
    </row>
    <row r="398" spans="2:53" ht="12.5">
      <c r="B398" s="175"/>
      <c r="C398" s="176"/>
      <c r="H398" s="178"/>
      <c r="I398" s="178"/>
      <c r="J398" s="184"/>
      <c r="N398" s="178"/>
      <c r="O398" s="178"/>
      <c r="P398" s="178"/>
      <c r="S398" s="458"/>
      <c r="AN398" s="458"/>
      <c r="AO398" s="458"/>
      <c r="AP398" s="458"/>
      <c r="AQ398" s="458"/>
      <c r="AR398" s="458"/>
      <c r="AS398" s="458"/>
      <c r="AT398" s="458"/>
      <c r="AU398" s="458"/>
      <c r="AV398" s="458"/>
      <c r="BA398" s="1305"/>
    </row>
    <row r="399" spans="2:53" ht="12.5">
      <c r="B399" s="175"/>
      <c r="C399" s="176"/>
      <c r="H399" s="178"/>
      <c r="I399" s="178"/>
      <c r="J399" s="184"/>
      <c r="N399" s="178"/>
      <c r="O399" s="178"/>
      <c r="P399" s="178"/>
      <c r="S399" s="458"/>
      <c r="AN399" s="458"/>
      <c r="AO399" s="458"/>
      <c r="AP399" s="458"/>
      <c r="AQ399" s="458"/>
      <c r="AR399" s="458"/>
      <c r="AS399" s="458"/>
      <c r="AT399" s="458"/>
      <c r="AU399" s="458"/>
      <c r="AV399" s="458"/>
      <c r="BA399" s="1305"/>
    </row>
    <row r="400" spans="2:53" ht="12.5">
      <c r="B400" s="175"/>
      <c r="C400" s="176"/>
      <c r="H400" s="178"/>
      <c r="I400" s="178"/>
      <c r="J400" s="184"/>
      <c r="N400" s="178"/>
      <c r="O400" s="178"/>
      <c r="P400" s="178"/>
      <c r="S400" s="458"/>
      <c r="AN400" s="458"/>
      <c r="AO400" s="458"/>
      <c r="AP400" s="458"/>
      <c r="AQ400" s="458"/>
      <c r="AR400" s="458"/>
      <c r="AS400" s="458"/>
      <c r="AT400" s="458"/>
      <c r="AU400" s="458"/>
      <c r="AV400" s="458"/>
      <c r="BA400" s="1305"/>
    </row>
    <row r="401" spans="2:53" ht="12.5">
      <c r="B401" s="176"/>
      <c r="C401" s="176"/>
      <c r="H401" s="178"/>
      <c r="I401" s="179"/>
      <c r="J401" s="184"/>
      <c r="N401" s="178"/>
      <c r="O401" s="178"/>
      <c r="P401" s="178"/>
      <c r="S401" s="458"/>
      <c r="AN401" s="458"/>
      <c r="AO401" s="458"/>
      <c r="AP401" s="458"/>
      <c r="AQ401" s="458"/>
      <c r="AR401" s="458"/>
      <c r="AS401" s="458"/>
      <c r="AT401" s="458"/>
      <c r="AU401" s="458"/>
      <c r="AV401" s="458"/>
      <c r="BA401" s="1305"/>
    </row>
    <row r="402" spans="2:53" ht="12.5">
      <c r="B402" s="176"/>
      <c r="C402" s="176"/>
      <c r="H402" s="178"/>
      <c r="I402" s="179"/>
      <c r="J402" s="184"/>
      <c r="N402" s="178"/>
      <c r="O402" s="178"/>
      <c r="P402" s="178"/>
      <c r="S402" s="458"/>
      <c r="AN402" s="458"/>
      <c r="AO402" s="458"/>
      <c r="AP402" s="458"/>
      <c r="AQ402" s="458"/>
      <c r="AR402" s="458"/>
      <c r="AS402" s="458"/>
      <c r="AT402" s="458"/>
      <c r="AU402" s="458"/>
      <c r="AV402" s="458"/>
      <c r="BA402" s="1305"/>
    </row>
    <row r="403" spans="2:53" ht="12.5">
      <c r="B403" s="176"/>
      <c r="C403" s="176"/>
      <c r="H403" s="178"/>
      <c r="I403" s="179"/>
      <c r="J403" s="184"/>
      <c r="N403" s="178"/>
      <c r="O403" s="178"/>
      <c r="P403" s="178"/>
      <c r="S403" s="458"/>
      <c r="AN403" s="458"/>
      <c r="AO403" s="458"/>
      <c r="AP403" s="458"/>
      <c r="AQ403" s="458"/>
      <c r="AR403" s="458"/>
      <c r="AS403" s="458"/>
      <c r="AT403" s="458"/>
      <c r="AU403" s="458"/>
      <c r="AV403" s="458"/>
      <c r="BA403" s="1305"/>
    </row>
    <row r="404" spans="2:53" ht="12.5">
      <c r="B404" s="176"/>
      <c r="C404" s="176"/>
      <c r="H404" s="178"/>
      <c r="I404" s="179"/>
      <c r="J404" s="184"/>
      <c r="O404" s="178"/>
      <c r="P404" s="178"/>
      <c r="S404" s="458"/>
      <c r="AN404" s="458"/>
      <c r="AO404" s="458"/>
      <c r="AP404" s="458"/>
      <c r="AQ404" s="458"/>
      <c r="AR404" s="458"/>
      <c r="AS404" s="458"/>
      <c r="AT404" s="458"/>
      <c r="AU404" s="458"/>
      <c r="AV404" s="458"/>
      <c r="BA404" s="1305"/>
    </row>
    <row r="405" spans="2:53" ht="12.5">
      <c r="B405" s="176"/>
      <c r="C405" s="176"/>
      <c r="H405" s="178"/>
      <c r="I405" s="179"/>
      <c r="J405" s="184"/>
      <c r="N405" s="178"/>
      <c r="O405" s="178"/>
      <c r="P405" s="178"/>
      <c r="S405" s="458"/>
      <c r="AN405" s="458"/>
      <c r="AO405" s="458"/>
      <c r="AP405" s="458"/>
      <c r="AQ405" s="458"/>
      <c r="AR405" s="458"/>
      <c r="AS405" s="458"/>
      <c r="AT405" s="458"/>
      <c r="AU405" s="458"/>
      <c r="AV405" s="458"/>
      <c r="BA405" s="1305"/>
    </row>
    <row r="406" spans="2:53" ht="12.5">
      <c r="B406" s="176"/>
      <c r="C406" s="176"/>
      <c r="H406" s="178"/>
      <c r="I406" s="179"/>
      <c r="J406" s="184"/>
      <c r="N406" s="178"/>
      <c r="O406" s="178"/>
      <c r="P406" s="178"/>
      <c r="S406" s="458"/>
      <c r="AN406" s="458"/>
      <c r="AO406" s="458"/>
      <c r="AP406" s="458"/>
      <c r="AQ406" s="458"/>
      <c r="AR406" s="458"/>
      <c r="AS406" s="458"/>
      <c r="AT406" s="458"/>
      <c r="AU406" s="458"/>
      <c r="AV406" s="458"/>
      <c r="BA406" s="1305"/>
    </row>
    <row r="407" spans="2:53" ht="12.5">
      <c r="B407" s="176"/>
      <c r="C407" s="176"/>
      <c r="H407" s="178"/>
      <c r="I407" s="179"/>
      <c r="J407" s="184"/>
      <c r="N407" s="178"/>
      <c r="O407" s="178"/>
      <c r="P407" s="178"/>
      <c r="S407" s="458"/>
      <c r="AN407" s="458"/>
      <c r="AO407" s="458"/>
      <c r="AP407" s="458"/>
      <c r="AQ407" s="458"/>
      <c r="AR407" s="458"/>
      <c r="AS407" s="458"/>
      <c r="AT407" s="458"/>
      <c r="AU407" s="458"/>
      <c r="AV407" s="458"/>
      <c r="BA407" s="1305"/>
    </row>
    <row r="408" spans="2:53" ht="12.5">
      <c r="B408" s="176"/>
      <c r="C408" s="176"/>
      <c r="H408" s="178"/>
      <c r="I408" s="179"/>
      <c r="J408" s="184"/>
      <c r="O408" s="178"/>
      <c r="P408" s="178"/>
      <c r="S408" s="458"/>
      <c r="AN408" s="458"/>
      <c r="AO408" s="458"/>
      <c r="AP408" s="458"/>
      <c r="AQ408" s="458"/>
      <c r="AR408" s="458"/>
      <c r="AS408" s="458"/>
      <c r="AT408" s="458"/>
      <c r="AU408" s="458"/>
      <c r="AV408" s="458"/>
      <c r="BA408" s="1305"/>
    </row>
    <row r="409" spans="2:53" ht="12.5">
      <c r="B409" s="176"/>
      <c r="C409" s="176"/>
      <c r="H409" s="178"/>
      <c r="I409" s="179"/>
      <c r="J409" s="184"/>
      <c r="N409" s="178"/>
      <c r="O409" s="178"/>
      <c r="P409" s="178"/>
      <c r="S409" s="458"/>
      <c r="AN409" s="458"/>
      <c r="AO409" s="458"/>
      <c r="AP409" s="458"/>
      <c r="AQ409" s="458"/>
      <c r="AR409" s="458"/>
      <c r="AS409" s="458"/>
      <c r="AT409" s="458"/>
      <c r="AU409" s="458"/>
      <c r="AV409" s="458"/>
      <c r="BA409" s="1305"/>
    </row>
    <row r="410" spans="2:53" ht="12.5">
      <c r="B410" s="176"/>
      <c r="C410" s="176"/>
      <c r="H410" s="178"/>
      <c r="I410" s="179"/>
      <c r="J410" s="184"/>
      <c r="N410" s="178"/>
      <c r="O410" s="178"/>
      <c r="P410" s="178"/>
      <c r="S410" s="458"/>
      <c r="AN410" s="458"/>
      <c r="AO410" s="458"/>
      <c r="AP410" s="458"/>
      <c r="AQ410" s="458"/>
      <c r="AR410" s="458"/>
      <c r="AS410" s="458"/>
      <c r="AT410" s="458"/>
      <c r="AU410" s="458"/>
      <c r="AV410" s="458"/>
      <c r="BA410" s="1305"/>
    </row>
    <row r="411" spans="2:53" ht="12.5">
      <c r="B411" s="176"/>
      <c r="C411" s="176"/>
      <c r="H411" s="178"/>
      <c r="I411" s="179"/>
      <c r="J411" s="184"/>
      <c r="N411" s="178"/>
      <c r="O411" s="178"/>
      <c r="P411" s="178"/>
      <c r="S411" s="458"/>
      <c r="AN411" s="458"/>
      <c r="AO411" s="458"/>
      <c r="AP411" s="458"/>
      <c r="AQ411" s="458"/>
      <c r="AR411" s="458"/>
      <c r="AS411" s="458"/>
      <c r="AT411" s="458"/>
      <c r="AU411" s="458"/>
      <c r="AV411" s="458"/>
      <c r="BA411" s="1305"/>
    </row>
    <row r="412" spans="2:53" ht="12.5">
      <c r="B412" s="176"/>
      <c r="C412" s="176"/>
      <c r="H412" s="178"/>
      <c r="I412" s="179"/>
      <c r="J412" s="184"/>
      <c r="O412" s="178"/>
      <c r="P412" s="178"/>
      <c r="S412" s="458"/>
      <c r="AN412" s="458"/>
      <c r="AO412" s="458"/>
      <c r="AP412" s="458"/>
      <c r="AQ412" s="458"/>
      <c r="AR412" s="458"/>
      <c r="AS412" s="458"/>
      <c r="AT412" s="458"/>
      <c r="AU412" s="458"/>
      <c r="AV412" s="458"/>
      <c r="BA412" s="1305"/>
    </row>
    <row r="413" spans="2:53" ht="12.5">
      <c r="B413" s="176"/>
      <c r="C413" s="176"/>
      <c r="H413" s="178"/>
      <c r="I413" s="178"/>
      <c r="J413" s="184"/>
      <c r="N413" s="178"/>
      <c r="O413" s="178"/>
      <c r="P413" s="178"/>
      <c r="S413" s="458"/>
      <c r="AN413" s="458"/>
      <c r="AO413" s="458"/>
      <c r="AP413" s="458"/>
      <c r="AQ413" s="458"/>
      <c r="AR413" s="458"/>
      <c r="AS413" s="458"/>
      <c r="AT413" s="458"/>
      <c r="AU413" s="458"/>
      <c r="AV413" s="458"/>
      <c r="BA413" s="1305"/>
    </row>
    <row r="414" spans="2:53" ht="12.5">
      <c r="B414" s="176"/>
      <c r="C414" s="176"/>
      <c r="H414" s="178"/>
      <c r="I414" s="178"/>
      <c r="J414" s="184"/>
      <c r="N414" s="178"/>
      <c r="O414" s="178"/>
      <c r="P414" s="178"/>
      <c r="S414" s="458"/>
      <c r="AN414" s="458"/>
      <c r="AO414" s="458"/>
      <c r="AP414" s="458"/>
      <c r="AQ414" s="458"/>
      <c r="AR414" s="458"/>
      <c r="AS414" s="458"/>
      <c r="AT414" s="458"/>
      <c r="AU414" s="458"/>
      <c r="AV414" s="458"/>
      <c r="BA414" s="1305"/>
    </row>
    <row r="415" spans="2:53" ht="12.5">
      <c r="B415" s="176"/>
      <c r="C415" s="176"/>
      <c r="H415" s="178"/>
      <c r="I415" s="178"/>
      <c r="J415" s="184"/>
      <c r="N415" s="178"/>
      <c r="O415" s="178"/>
      <c r="P415" s="178"/>
      <c r="S415" s="458"/>
      <c r="AN415" s="458"/>
      <c r="AO415" s="458"/>
      <c r="AP415" s="458"/>
      <c r="AQ415" s="458"/>
      <c r="AR415" s="458"/>
      <c r="AS415" s="458"/>
      <c r="AT415" s="458"/>
      <c r="AU415" s="458"/>
      <c r="AV415" s="458"/>
      <c r="BA415" s="1305"/>
    </row>
    <row r="416" spans="2:53" ht="12.5">
      <c r="B416" s="176"/>
      <c r="C416" s="176"/>
      <c r="H416" s="178"/>
      <c r="I416" s="178"/>
      <c r="J416" s="184"/>
      <c r="N416" s="178"/>
      <c r="O416" s="178"/>
      <c r="P416" s="178"/>
      <c r="S416" s="458"/>
      <c r="AN416" s="458"/>
      <c r="AO416" s="458"/>
      <c r="AP416" s="458"/>
      <c r="AQ416" s="458"/>
      <c r="AR416" s="458"/>
      <c r="AS416" s="458"/>
      <c r="AT416" s="458"/>
      <c r="AU416" s="458"/>
      <c r="AV416" s="458"/>
      <c r="BA416" s="1305"/>
    </row>
    <row r="417" spans="2:53" ht="12.5">
      <c r="B417" s="176"/>
      <c r="C417" s="176"/>
      <c r="H417" s="178"/>
      <c r="I417" s="178"/>
      <c r="J417" s="184"/>
      <c r="N417" s="178"/>
      <c r="O417" s="178"/>
      <c r="P417" s="178"/>
      <c r="S417" s="458"/>
      <c r="AN417" s="458"/>
      <c r="AO417" s="458"/>
      <c r="AP417" s="458"/>
      <c r="AQ417" s="458"/>
      <c r="AR417" s="458"/>
      <c r="AS417" s="458"/>
      <c r="AT417" s="458"/>
      <c r="AU417" s="458"/>
      <c r="AV417" s="458"/>
      <c r="BA417" s="1305"/>
    </row>
    <row r="418" spans="2:53" ht="12.5">
      <c r="B418" s="176"/>
      <c r="C418" s="176"/>
      <c r="H418" s="178"/>
      <c r="I418" s="178"/>
      <c r="J418" s="184"/>
      <c r="N418" s="178"/>
      <c r="O418" s="178"/>
      <c r="P418" s="178"/>
      <c r="S418" s="458"/>
      <c r="AN418" s="458"/>
      <c r="AO418" s="458"/>
      <c r="AP418" s="458"/>
      <c r="AQ418" s="458"/>
      <c r="AR418" s="458"/>
      <c r="AS418" s="458"/>
      <c r="AT418" s="458"/>
      <c r="AU418" s="458"/>
      <c r="AV418" s="458"/>
      <c r="BA418" s="1305"/>
    </row>
    <row r="419" spans="2:53" ht="12.5">
      <c r="B419" s="176"/>
      <c r="C419" s="176"/>
      <c r="H419" s="178"/>
      <c r="I419" s="178"/>
      <c r="J419" s="184"/>
      <c r="N419" s="178"/>
      <c r="O419" s="178"/>
      <c r="P419" s="178"/>
      <c r="S419" s="458"/>
      <c r="AN419" s="458"/>
      <c r="AO419" s="458"/>
      <c r="AP419" s="458"/>
      <c r="AQ419" s="458"/>
      <c r="AR419" s="458"/>
      <c r="AS419" s="458"/>
      <c r="AT419" s="458"/>
      <c r="AU419" s="458"/>
      <c r="AV419" s="458"/>
      <c r="BA419" s="1305"/>
    </row>
    <row r="420" spans="2:53" ht="12.5">
      <c r="B420" s="176"/>
      <c r="C420" s="176"/>
      <c r="H420" s="178"/>
      <c r="I420" s="179"/>
      <c r="J420" s="184"/>
      <c r="N420" s="178"/>
      <c r="O420" s="178"/>
      <c r="P420" s="178"/>
      <c r="S420" s="458"/>
      <c r="AN420" s="458"/>
      <c r="AO420" s="458"/>
      <c r="AP420" s="458"/>
      <c r="AQ420" s="458"/>
      <c r="AR420" s="458"/>
      <c r="AS420" s="458"/>
      <c r="AT420" s="458"/>
      <c r="AU420" s="458"/>
      <c r="AV420" s="458"/>
      <c r="BA420" s="1305"/>
    </row>
    <row r="421" spans="2:53" ht="12.5">
      <c r="B421" s="176"/>
      <c r="C421" s="176"/>
      <c r="H421" s="178"/>
      <c r="I421" s="179"/>
      <c r="J421" s="184"/>
      <c r="N421" s="178"/>
      <c r="O421" s="178"/>
      <c r="P421" s="178"/>
      <c r="S421" s="458"/>
      <c r="AN421" s="458"/>
      <c r="AO421" s="458"/>
      <c r="AP421" s="458"/>
      <c r="AQ421" s="458"/>
      <c r="AR421" s="458"/>
      <c r="AS421" s="458"/>
      <c r="AT421" s="458"/>
      <c r="AU421" s="458"/>
      <c r="AV421" s="458"/>
      <c r="BA421" s="1305"/>
    </row>
    <row r="422" spans="2:53" ht="12.5">
      <c r="B422" s="176"/>
      <c r="C422" s="176"/>
      <c r="H422" s="178"/>
      <c r="I422" s="179"/>
      <c r="J422" s="184"/>
      <c r="N422" s="178"/>
      <c r="O422" s="178"/>
      <c r="P422" s="178"/>
      <c r="S422" s="458"/>
      <c r="AN422" s="458"/>
      <c r="AO422" s="458"/>
      <c r="AP422" s="458"/>
      <c r="AQ422" s="458"/>
      <c r="AR422" s="458"/>
      <c r="AS422" s="458"/>
      <c r="AT422" s="458"/>
      <c r="AU422" s="458"/>
      <c r="AV422" s="458"/>
      <c r="BA422" s="1305"/>
    </row>
    <row r="423" spans="2:53" ht="12.5">
      <c r="B423" s="176"/>
      <c r="C423" s="176"/>
      <c r="H423" s="178"/>
      <c r="I423" s="178"/>
      <c r="J423" s="184"/>
      <c r="N423" s="178"/>
      <c r="O423" s="178"/>
      <c r="P423" s="178"/>
      <c r="S423" s="458"/>
      <c r="AN423" s="458"/>
      <c r="AO423" s="458"/>
      <c r="AP423" s="458"/>
      <c r="AQ423" s="458"/>
      <c r="AR423" s="458"/>
      <c r="AS423" s="458"/>
      <c r="AT423" s="458"/>
      <c r="AU423" s="458"/>
      <c r="AV423" s="458"/>
      <c r="BA423" s="1305"/>
    </row>
    <row r="424" spans="2:53" ht="12.5">
      <c r="B424" s="176"/>
      <c r="C424" s="176"/>
      <c r="H424" s="178"/>
      <c r="I424" s="179"/>
      <c r="J424" s="184"/>
      <c r="N424" s="178"/>
      <c r="O424" s="178"/>
      <c r="P424" s="178"/>
      <c r="S424" s="458"/>
      <c r="AN424" s="458"/>
      <c r="AO424" s="458"/>
      <c r="AP424" s="458"/>
      <c r="AQ424" s="458"/>
      <c r="AR424" s="458"/>
      <c r="AS424" s="458"/>
      <c r="AT424" s="458"/>
      <c r="AU424" s="458"/>
      <c r="AV424" s="458"/>
      <c r="BA424" s="1305"/>
    </row>
    <row r="425" spans="2:53" ht="12.5">
      <c r="B425" s="176"/>
      <c r="C425" s="176"/>
      <c r="H425" s="178"/>
      <c r="I425" s="178"/>
      <c r="J425" s="184"/>
      <c r="N425" s="178"/>
      <c r="O425" s="178"/>
      <c r="P425" s="178"/>
      <c r="S425" s="458"/>
      <c r="AN425" s="458"/>
      <c r="AO425" s="458"/>
      <c r="AP425" s="458"/>
      <c r="AQ425" s="458"/>
      <c r="AR425" s="458"/>
      <c r="AS425" s="458"/>
      <c r="AT425" s="458"/>
      <c r="AU425" s="458"/>
      <c r="AV425" s="458"/>
      <c r="BA425" s="1305"/>
    </row>
    <row r="426" spans="2:53" ht="12.5">
      <c r="B426" s="176"/>
      <c r="C426" s="176"/>
      <c r="H426" s="178"/>
      <c r="I426" s="179"/>
      <c r="J426" s="184"/>
      <c r="N426" s="178"/>
      <c r="O426" s="178"/>
      <c r="P426" s="178"/>
      <c r="S426" s="458"/>
      <c r="AN426" s="458"/>
      <c r="AO426" s="458"/>
      <c r="AP426" s="458"/>
      <c r="AQ426" s="458"/>
      <c r="AR426" s="458"/>
      <c r="AS426" s="458"/>
      <c r="AT426" s="458"/>
      <c r="AU426" s="458"/>
      <c r="AV426" s="458"/>
      <c r="BA426" s="1305"/>
    </row>
    <row r="427" spans="2:53" ht="12.5">
      <c r="B427" s="176"/>
      <c r="C427" s="176"/>
      <c r="H427" s="178"/>
      <c r="I427" s="178"/>
      <c r="J427" s="184"/>
      <c r="N427" s="178"/>
      <c r="O427" s="178"/>
      <c r="P427" s="178"/>
      <c r="S427" s="458"/>
      <c r="AN427" s="458"/>
      <c r="AO427" s="458"/>
      <c r="AP427" s="458"/>
      <c r="AQ427" s="458"/>
      <c r="AR427" s="458"/>
      <c r="AS427" s="458"/>
      <c r="AT427" s="458"/>
      <c r="AU427" s="458"/>
      <c r="AV427" s="458"/>
      <c r="BA427" s="1305"/>
    </row>
    <row r="428" spans="2:53" ht="12.5">
      <c r="B428" s="176"/>
      <c r="C428" s="176"/>
      <c r="H428" s="178"/>
      <c r="I428" s="178"/>
      <c r="J428" s="184"/>
      <c r="N428" s="178"/>
      <c r="O428" s="178"/>
      <c r="P428" s="178"/>
      <c r="S428" s="458"/>
      <c r="AN428" s="458"/>
      <c r="AO428" s="458"/>
      <c r="AP428" s="458"/>
      <c r="AQ428" s="458"/>
      <c r="AR428" s="458"/>
      <c r="AS428" s="458"/>
      <c r="AT428" s="458"/>
      <c r="AU428" s="458"/>
      <c r="AV428" s="458"/>
      <c r="BA428" s="1305"/>
    </row>
    <row r="429" spans="2:53" ht="12.5">
      <c r="B429" s="176"/>
      <c r="C429" s="176"/>
      <c r="H429" s="178"/>
      <c r="I429" s="178"/>
      <c r="J429" s="184"/>
      <c r="N429" s="178"/>
      <c r="O429" s="178"/>
      <c r="P429" s="178"/>
      <c r="S429" s="458"/>
      <c r="AN429" s="458"/>
      <c r="AO429" s="458"/>
      <c r="AP429" s="458"/>
      <c r="AQ429" s="458"/>
      <c r="AR429" s="458"/>
      <c r="AS429" s="458"/>
      <c r="AT429" s="458"/>
      <c r="AU429" s="458"/>
      <c r="AV429" s="458"/>
      <c r="BA429" s="1305"/>
    </row>
    <row r="430" spans="2:53" ht="12.5">
      <c r="B430" s="176"/>
      <c r="C430" s="176"/>
      <c r="H430" s="178"/>
      <c r="I430" s="178"/>
      <c r="J430" s="184"/>
      <c r="N430" s="178"/>
      <c r="O430" s="178"/>
      <c r="P430" s="178"/>
      <c r="S430" s="458"/>
      <c r="AN430" s="458"/>
      <c r="AO430" s="458"/>
      <c r="AP430" s="458"/>
      <c r="AQ430" s="458"/>
      <c r="AR430" s="458"/>
      <c r="AS430" s="458"/>
      <c r="AT430" s="458"/>
      <c r="AU430" s="458"/>
      <c r="AV430" s="458"/>
      <c r="BA430" s="1305"/>
    </row>
    <row r="431" spans="2:53" ht="12.5">
      <c r="B431" s="176"/>
      <c r="C431" s="176"/>
      <c r="H431" s="178"/>
      <c r="I431" s="178"/>
      <c r="J431" s="184"/>
      <c r="N431" s="178"/>
      <c r="O431" s="178"/>
      <c r="P431" s="178"/>
      <c r="S431" s="458"/>
      <c r="AN431" s="458"/>
      <c r="AO431" s="458"/>
      <c r="AP431" s="458"/>
      <c r="AQ431" s="458"/>
      <c r="AR431" s="458"/>
      <c r="AS431" s="458"/>
      <c r="AT431" s="458"/>
      <c r="AU431" s="458"/>
      <c r="AV431" s="458"/>
      <c r="BA431" s="1305"/>
    </row>
    <row r="432" spans="2:53" ht="12.5">
      <c r="B432" s="176"/>
      <c r="C432" s="176"/>
      <c r="H432" s="178"/>
      <c r="I432" s="178"/>
      <c r="J432" s="184"/>
      <c r="N432" s="178"/>
      <c r="O432" s="178"/>
      <c r="P432" s="178"/>
      <c r="S432" s="458"/>
      <c r="AN432" s="458"/>
      <c r="AO432" s="458"/>
      <c r="AP432" s="458"/>
      <c r="AQ432" s="458"/>
      <c r="AR432" s="458"/>
      <c r="AS432" s="458"/>
      <c r="AT432" s="458"/>
      <c r="AU432" s="458"/>
      <c r="AV432" s="458"/>
      <c r="BA432" s="1305"/>
    </row>
    <row r="433" spans="2:53" ht="12.5">
      <c r="B433" s="176"/>
      <c r="C433" s="176"/>
      <c r="H433" s="178"/>
      <c r="I433" s="178"/>
      <c r="J433" s="184"/>
      <c r="N433" s="178"/>
      <c r="O433" s="178"/>
      <c r="P433" s="178"/>
      <c r="S433" s="458"/>
      <c r="AN433" s="458"/>
      <c r="AO433" s="458"/>
      <c r="AP433" s="458"/>
      <c r="AQ433" s="458"/>
      <c r="AR433" s="458"/>
      <c r="AS433" s="458"/>
      <c r="AT433" s="458"/>
      <c r="AU433" s="458"/>
      <c r="AV433" s="458"/>
      <c r="BA433" s="1305"/>
    </row>
    <row r="434" spans="2:53" ht="12.5">
      <c r="B434" s="176"/>
      <c r="C434" s="176"/>
      <c r="H434" s="178"/>
      <c r="I434" s="178"/>
      <c r="J434" s="184"/>
      <c r="N434" s="178"/>
      <c r="O434" s="178"/>
      <c r="P434" s="178"/>
      <c r="S434" s="458"/>
      <c r="AN434" s="458"/>
      <c r="AO434" s="458"/>
      <c r="AP434" s="458"/>
      <c r="AQ434" s="458"/>
      <c r="AR434" s="458"/>
      <c r="AS434" s="458"/>
      <c r="AT434" s="458"/>
      <c r="AU434" s="458"/>
      <c r="AV434" s="458"/>
      <c r="BA434" s="1305"/>
    </row>
    <row r="435" spans="2:53" ht="12.5">
      <c r="B435" s="176"/>
      <c r="C435" s="176"/>
      <c r="H435" s="178"/>
      <c r="I435" s="178"/>
      <c r="J435" s="184"/>
      <c r="N435" s="178"/>
      <c r="O435" s="178"/>
      <c r="P435" s="178"/>
      <c r="S435" s="458"/>
      <c r="AN435" s="458"/>
      <c r="AO435" s="458"/>
      <c r="AP435" s="458"/>
      <c r="AQ435" s="458"/>
      <c r="AR435" s="458"/>
      <c r="AS435" s="458"/>
      <c r="AT435" s="458"/>
      <c r="AU435" s="458"/>
      <c r="AV435" s="458"/>
      <c r="BA435" s="1305"/>
    </row>
    <row r="436" spans="2:53" ht="12.5">
      <c r="B436" s="176"/>
      <c r="C436" s="176"/>
      <c r="H436" s="178"/>
      <c r="I436" s="178"/>
      <c r="J436" s="184"/>
      <c r="N436" s="178"/>
      <c r="O436" s="178"/>
      <c r="P436" s="178"/>
      <c r="S436" s="458"/>
      <c r="AN436" s="458"/>
      <c r="AO436" s="458"/>
      <c r="AP436" s="458"/>
      <c r="AQ436" s="458"/>
      <c r="AR436" s="458"/>
      <c r="AS436" s="458"/>
      <c r="AT436" s="458"/>
      <c r="AU436" s="458"/>
      <c r="AV436" s="458"/>
      <c r="BA436" s="1305"/>
    </row>
    <row r="437" spans="2:53" ht="12.5">
      <c r="B437" s="176"/>
      <c r="C437" s="176"/>
      <c r="H437" s="178"/>
      <c r="I437" s="178"/>
      <c r="J437" s="184"/>
      <c r="N437" s="178"/>
      <c r="O437" s="178"/>
      <c r="P437" s="178"/>
      <c r="S437" s="458"/>
      <c r="AN437" s="458"/>
      <c r="AO437" s="458"/>
      <c r="AP437" s="458"/>
      <c r="AQ437" s="458"/>
      <c r="AR437" s="458"/>
      <c r="AS437" s="458"/>
      <c r="AT437" s="458"/>
      <c r="AU437" s="458"/>
      <c r="AV437" s="458"/>
      <c r="BA437" s="1305"/>
    </row>
    <row r="438" spans="2:53" ht="12.5">
      <c r="B438" s="175"/>
      <c r="C438" s="176"/>
      <c r="H438" s="178"/>
      <c r="I438" s="178"/>
      <c r="J438" s="184"/>
      <c r="N438" s="178"/>
      <c r="O438" s="178"/>
      <c r="P438" s="178"/>
      <c r="S438" s="458"/>
      <c r="AN438" s="458"/>
      <c r="AO438" s="458"/>
      <c r="AP438" s="458"/>
      <c r="AQ438" s="458"/>
      <c r="AR438" s="458"/>
      <c r="AS438" s="458"/>
      <c r="AT438" s="458"/>
      <c r="AU438" s="458"/>
      <c r="AV438" s="458"/>
      <c r="BA438" s="1305"/>
    </row>
    <row r="439" spans="2:53" ht="12.5">
      <c r="B439" s="175"/>
      <c r="C439" s="176"/>
      <c r="H439" s="178"/>
      <c r="I439" s="178"/>
      <c r="J439" s="184"/>
      <c r="N439" s="178"/>
      <c r="O439" s="178"/>
      <c r="P439" s="178"/>
      <c r="S439" s="458"/>
      <c r="AN439" s="458"/>
      <c r="AO439" s="458"/>
      <c r="AP439" s="458"/>
      <c r="AQ439" s="458"/>
      <c r="AR439" s="458"/>
      <c r="AS439" s="458"/>
      <c r="AT439" s="458"/>
      <c r="AU439" s="458"/>
      <c r="AV439" s="458"/>
      <c r="BA439" s="1305"/>
    </row>
    <row r="440" spans="2:53" ht="12.5">
      <c r="B440" s="175"/>
      <c r="C440" s="176"/>
      <c r="H440" s="178"/>
      <c r="I440" s="178"/>
      <c r="J440" s="184"/>
      <c r="N440" s="178"/>
      <c r="O440" s="178"/>
      <c r="P440" s="178"/>
      <c r="S440" s="458"/>
      <c r="AN440" s="458"/>
      <c r="AO440" s="458"/>
      <c r="AP440" s="458"/>
      <c r="AQ440" s="458"/>
      <c r="AR440" s="458"/>
      <c r="AS440" s="458"/>
      <c r="AT440" s="458"/>
      <c r="AU440" s="458"/>
      <c r="AV440" s="458"/>
      <c r="BA440" s="1305"/>
    </row>
    <row r="441" spans="2:53" ht="12.5">
      <c r="B441" s="175"/>
      <c r="C441" s="176"/>
      <c r="H441" s="178"/>
      <c r="I441" s="178"/>
      <c r="J441" s="184"/>
      <c r="N441" s="178"/>
      <c r="O441" s="178"/>
      <c r="P441" s="178"/>
      <c r="S441" s="458"/>
      <c r="AN441" s="458"/>
      <c r="AO441" s="458"/>
      <c r="AP441" s="458"/>
      <c r="AQ441" s="458"/>
      <c r="AR441" s="458"/>
      <c r="AS441" s="458"/>
      <c r="AT441" s="458"/>
      <c r="AU441" s="458"/>
      <c r="AV441" s="458"/>
      <c r="BA441" s="1305"/>
    </row>
    <row r="442" spans="2:53" ht="12.5">
      <c r="B442" s="175"/>
      <c r="C442" s="176"/>
      <c r="H442" s="178"/>
      <c r="I442" s="178"/>
      <c r="J442" s="184"/>
      <c r="N442" s="178"/>
      <c r="O442" s="178"/>
      <c r="P442" s="178"/>
      <c r="S442" s="458"/>
      <c r="AN442" s="458"/>
      <c r="AO442" s="458"/>
      <c r="AP442" s="458"/>
      <c r="AQ442" s="458"/>
      <c r="AR442" s="458"/>
      <c r="AS442" s="458"/>
      <c r="AT442" s="458"/>
      <c r="AU442" s="458"/>
      <c r="AV442" s="458"/>
      <c r="BA442" s="1305"/>
    </row>
    <row r="443" spans="2:53" ht="12.5">
      <c r="B443" s="175"/>
      <c r="C443" s="176"/>
      <c r="H443" s="178"/>
      <c r="I443" s="178"/>
      <c r="J443" s="184"/>
      <c r="N443" s="178"/>
      <c r="O443" s="178"/>
      <c r="P443" s="178"/>
      <c r="S443" s="458"/>
      <c r="AN443" s="458"/>
      <c r="AO443" s="458"/>
      <c r="AP443" s="458"/>
      <c r="AQ443" s="458"/>
      <c r="AR443" s="458"/>
      <c r="AS443" s="458"/>
      <c r="AT443" s="458"/>
      <c r="AU443" s="458"/>
      <c r="AV443" s="458"/>
      <c r="BA443" s="1305"/>
    </row>
    <row r="444" spans="2:53" ht="12.5">
      <c r="B444" s="175"/>
      <c r="C444" s="176"/>
      <c r="H444" s="178"/>
      <c r="I444" s="178"/>
      <c r="J444" s="184"/>
      <c r="N444" s="178"/>
      <c r="O444" s="178"/>
      <c r="P444" s="178"/>
      <c r="S444" s="458"/>
      <c r="AN444" s="458"/>
      <c r="AO444" s="458"/>
      <c r="AP444" s="458"/>
      <c r="AQ444" s="458"/>
      <c r="AR444" s="458"/>
      <c r="AS444" s="458"/>
      <c r="AT444" s="458"/>
      <c r="AU444" s="458"/>
      <c r="AV444" s="458"/>
      <c r="BA444" s="1305"/>
    </row>
    <row r="445" spans="2:53" ht="12.5">
      <c r="B445" s="175"/>
      <c r="C445" s="176"/>
      <c r="H445" s="178"/>
      <c r="I445" s="179"/>
      <c r="J445" s="184"/>
      <c r="N445" s="178"/>
      <c r="O445" s="178"/>
      <c r="P445" s="178"/>
      <c r="S445" s="458"/>
      <c r="AN445" s="458"/>
      <c r="AO445" s="458"/>
      <c r="AP445" s="458"/>
      <c r="AQ445" s="458"/>
      <c r="AR445" s="458"/>
      <c r="AS445" s="458"/>
      <c r="AT445" s="458"/>
      <c r="AU445" s="458"/>
      <c r="AV445" s="458"/>
      <c r="BA445" s="1305"/>
    </row>
    <row r="446" spans="2:53" ht="12.5">
      <c r="B446" s="175"/>
      <c r="C446" s="176"/>
      <c r="H446" s="178"/>
      <c r="I446" s="178"/>
      <c r="J446" s="184"/>
      <c r="N446" s="178"/>
      <c r="O446" s="178"/>
      <c r="P446" s="178"/>
      <c r="S446" s="458"/>
      <c r="AN446" s="458"/>
      <c r="AO446" s="458"/>
      <c r="AP446" s="458"/>
      <c r="AQ446" s="458"/>
      <c r="AR446" s="458"/>
      <c r="AS446" s="458"/>
      <c r="AT446" s="458"/>
      <c r="AU446" s="458"/>
      <c r="AV446" s="458"/>
      <c r="BA446" s="1305"/>
    </row>
    <row r="447" spans="2:53" ht="12.5">
      <c r="B447" s="175"/>
      <c r="C447" s="176"/>
      <c r="H447" s="178"/>
      <c r="I447" s="179"/>
      <c r="J447" s="184"/>
      <c r="N447" s="178"/>
      <c r="O447" s="178"/>
      <c r="P447" s="178"/>
      <c r="S447" s="458"/>
      <c r="AN447" s="458"/>
      <c r="AO447" s="458"/>
      <c r="AP447" s="458"/>
      <c r="AQ447" s="458"/>
      <c r="AR447" s="458"/>
      <c r="AS447" s="458"/>
      <c r="AT447" s="458"/>
      <c r="AU447" s="458"/>
      <c r="AV447" s="458"/>
      <c r="BA447" s="1305"/>
    </row>
    <row r="448" spans="2:53" ht="12.5">
      <c r="B448" s="175"/>
      <c r="C448" s="176"/>
      <c r="H448" s="178"/>
      <c r="I448" s="178"/>
      <c r="J448" s="184"/>
      <c r="N448" s="178"/>
      <c r="O448" s="178"/>
      <c r="P448" s="178"/>
      <c r="S448" s="458"/>
      <c r="AN448" s="458"/>
      <c r="AO448" s="458"/>
      <c r="AP448" s="458"/>
      <c r="AQ448" s="458"/>
      <c r="AR448" s="458"/>
      <c r="AS448" s="458"/>
      <c r="AT448" s="458"/>
      <c r="AU448" s="458"/>
      <c r="AV448" s="458"/>
      <c r="BA448" s="1305"/>
    </row>
    <row r="449" spans="2:53" ht="12.5">
      <c r="B449" s="175"/>
      <c r="C449" s="176"/>
      <c r="H449" s="178"/>
      <c r="I449" s="179"/>
      <c r="J449" s="184"/>
      <c r="N449" s="178"/>
      <c r="O449" s="178"/>
      <c r="P449" s="178"/>
      <c r="S449" s="458"/>
      <c r="AN449" s="458"/>
      <c r="AO449" s="458"/>
      <c r="AP449" s="458"/>
      <c r="AQ449" s="458"/>
      <c r="AR449" s="458"/>
      <c r="AS449" s="458"/>
      <c r="AT449" s="458"/>
      <c r="AU449" s="458"/>
      <c r="AV449" s="458"/>
      <c r="BA449" s="1305"/>
    </row>
    <row r="450" spans="2:53" ht="12.5">
      <c r="B450" s="175"/>
      <c r="C450" s="176"/>
      <c r="H450" s="178"/>
      <c r="I450" s="178"/>
      <c r="J450" s="184"/>
      <c r="N450" s="178"/>
      <c r="O450" s="178"/>
      <c r="P450" s="178"/>
      <c r="S450" s="458"/>
      <c r="AN450" s="458"/>
      <c r="AO450" s="458"/>
      <c r="AP450" s="458"/>
      <c r="AQ450" s="458"/>
      <c r="AR450" s="458"/>
      <c r="AS450" s="458"/>
      <c r="AT450" s="458"/>
      <c r="AU450" s="458"/>
      <c r="AV450" s="458"/>
      <c r="BA450" s="1305"/>
    </row>
    <row r="451" spans="2:53" ht="12.5">
      <c r="B451" s="175"/>
      <c r="C451" s="176"/>
      <c r="H451" s="178"/>
      <c r="I451" s="178"/>
      <c r="J451" s="184"/>
      <c r="N451" s="178"/>
      <c r="O451" s="178"/>
      <c r="P451" s="178"/>
      <c r="S451" s="458"/>
      <c r="AN451" s="458"/>
      <c r="AO451" s="458"/>
      <c r="AP451" s="458"/>
      <c r="AQ451" s="458"/>
      <c r="AR451" s="458"/>
      <c r="AS451" s="458"/>
      <c r="AT451" s="458"/>
      <c r="AU451" s="458"/>
      <c r="AV451" s="458"/>
      <c r="BA451" s="1305"/>
    </row>
    <row r="452" spans="2:53" ht="12.5">
      <c r="B452" s="175"/>
      <c r="C452" s="176"/>
      <c r="H452" s="178"/>
      <c r="I452" s="179"/>
      <c r="J452" s="184"/>
      <c r="N452" s="178"/>
      <c r="O452" s="178"/>
      <c r="P452" s="178"/>
      <c r="S452" s="458"/>
      <c r="AN452" s="458"/>
      <c r="AO452" s="458"/>
      <c r="AP452" s="458"/>
      <c r="AQ452" s="458"/>
      <c r="AR452" s="458"/>
      <c r="AS452" s="458"/>
      <c r="AT452" s="458"/>
      <c r="AU452" s="458"/>
      <c r="AV452" s="458"/>
      <c r="BA452" s="1305"/>
    </row>
    <row r="453" spans="2:53" ht="12.5">
      <c r="B453" s="175"/>
      <c r="C453" s="176"/>
      <c r="H453" s="178"/>
      <c r="I453" s="178"/>
      <c r="J453" s="184"/>
      <c r="N453" s="178"/>
      <c r="O453" s="178"/>
      <c r="P453" s="178"/>
      <c r="S453" s="458"/>
      <c r="AN453" s="458"/>
      <c r="AO453" s="458"/>
      <c r="AP453" s="458"/>
      <c r="AQ453" s="458"/>
      <c r="AR453" s="458"/>
      <c r="AS453" s="458"/>
      <c r="AT453" s="458"/>
      <c r="AU453" s="458"/>
      <c r="AV453" s="458"/>
      <c r="BA453" s="1305"/>
    </row>
    <row r="454" spans="2:53" ht="12.5">
      <c r="B454" s="175"/>
      <c r="C454" s="176"/>
      <c r="H454" s="178"/>
      <c r="I454" s="179"/>
      <c r="J454" s="184"/>
      <c r="N454" s="178"/>
      <c r="O454" s="178"/>
      <c r="P454" s="178"/>
      <c r="S454" s="458"/>
      <c r="AN454" s="458"/>
      <c r="AO454" s="458"/>
      <c r="AP454" s="458"/>
      <c r="AQ454" s="458"/>
      <c r="AR454" s="458"/>
      <c r="AS454" s="458"/>
      <c r="AT454" s="458"/>
      <c r="AU454" s="458"/>
      <c r="AV454" s="458"/>
      <c r="BA454" s="1305"/>
    </row>
    <row r="455" spans="2:53" ht="12.5">
      <c r="B455" s="175"/>
      <c r="C455" s="176"/>
      <c r="H455" s="178"/>
      <c r="I455" s="178"/>
      <c r="J455" s="184"/>
      <c r="N455" s="178"/>
      <c r="O455" s="178"/>
      <c r="P455" s="178"/>
      <c r="S455" s="458"/>
      <c r="AN455" s="458"/>
      <c r="AO455" s="458"/>
      <c r="AP455" s="458"/>
      <c r="AQ455" s="458"/>
      <c r="AR455" s="458"/>
      <c r="AS455" s="458"/>
      <c r="AT455" s="458"/>
      <c r="AU455" s="458"/>
      <c r="AV455" s="458"/>
      <c r="BA455" s="1305"/>
    </row>
    <row r="456" spans="2:53" ht="12.5">
      <c r="B456" s="175"/>
      <c r="C456" s="176"/>
      <c r="H456" s="178"/>
      <c r="I456" s="179"/>
      <c r="J456" s="184"/>
      <c r="N456" s="178"/>
      <c r="O456" s="178"/>
      <c r="P456" s="178"/>
      <c r="S456" s="458"/>
      <c r="AN456" s="458"/>
      <c r="AO456" s="458"/>
      <c r="AP456" s="458"/>
      <c r="AQ456" s="458"/>
      <c r="AR456" s="458"/>
      <c r="AS456" s="458"/>
      <c r="AT456" s="458"/>
      <c r="AU456" s="458"/>
      <c r="AV456" s="458"/>
      <c r="BA456" s="1305"/>
    </row>
    <row r="457" spans="2:53" ht="12.5">
      <c r="B457" s="175"/>
      <c r="C457" s="176"/>
      <c r="H457" s="178"/>
      <c r="I457" s="178"/>
      <c r="J457" s="184"/>
      <c r="N457" s="178"/>
      <c r="O457" s="178"/>
      <c r="P457" s="178"/>
      <c r="S457" s="458"/>
      <c r="AN457" s="458"/>
      <c r="AO457" s="458"/>
      <c r="AP457" s="458"/>
      <c r="AQ457" s="458"/>
      <c r="AR457" s="458"/>
      <c r="AS457" s="458"/>
      <c r="AT457" s="458"/>
      <c r="AU457" s="458"/>
      <c r="AV457" s="458"/>
      <c r="BA457" s="1305"/>
    </row>
    <row r="458" spans="2:53" ht="12.5">
      <c r="B458" s="175"/>
      <c r="C458" s="176"/>
      <c r="H458" s="178"/>
      <c r="I458" s="179"/>
      <c r="J458" s="184"/>
      <c r="N458" s="178"/>
      <c r="O458" s="178"/>
      <c r="P458" s="178"/>
      <c r="S458" s="458"/>
      <c r="AN458" s="458"/>
      <c r="AO458" s="458"/>
      <c r="AP458" s="458"/>
      <c r="AQ458" s="458"/>
      <c r="AR458" s="458"/>
      <c r="AS458" s="458"/>
      <c r="AT458" s="458"/>
      <c r="AU458" s="458"/>
      <c r="AV458" s="458"/>
      <c r="BA458" s="1305"/>
    </row>
    <row r="459" spans="2:53" ht="12.5">
      <c r="B459" s="175"/>
      <c r="C459" s="176"/>
      <c r="H459" s="178"/>
      <c r="I459" s="178"/>
      <c r="J459" s="184"/>
      <c r="N459" s="178"/>
      <c r="O459" s="178"/>
      <c r="P459" s="178"/>
      <c r="S459" s="458"/>
      <c r="AN459" s="458"/>
      <c r="AO459" s="458"/>
      <c r="AP459" s="458"/>
      <c r="AQ459" s="458"/>
      <c r="AR459" s="458"/>
      <c r="AS459" s="458"/>
      <c r="AT459" s="458"/>
      <c r="AU459" s="458"/>
      <c r="AV459" s="458"/>
      <c r="BA459" s="1305"/>
    </row>
    <row r="460" spans="2:53" ht="12.5">
      <c r="B460" s="175"/>
      <c r="C460" s="176"/>
      <c r="H460" s="178"/>
      <c r="I460" s="179"/>
      <c r="J460" s="184"/>
      <c r="N460" s="178"/>
      <c r="O460" s="178"/>
      <c r="P460" s="178"/>
      <c r="S460" s="458"/>
      <c r="AN460" s="458"/>
      <c r="AO460" s="458"/>
      <c r="AP460" s="458"/>
      <c r="AQ460" s="458"/>
      <c r="AR460" s="458"/>
      <c r="AS460" s="458"/>
      <c r="AT460" s="458"/>
      <c r="AU460" s="458"/>
      <c r="AV460" s="458"/>
      <c r="BA460" s="1305"/>
    </row>
    <row r="461" spans="2:53" ht="12.5">
      <c r="B461" s="175"/>
      <c r="C461" s="176"/>
      <c r="H461" s="178"/>
      <c r="I461" s="178"/>
      <c r="J461" s="184"/>
      <c r="N461" s="178"/>
      <c r="O461" s="178"/>
      <c r="P461" s="178"/>
      <c r="S461" s="458"/>
      <c r="AN461" s="458"/>
      <c r="AO461" s="458"/>
      <c r="AP461" s="458"/>
      <c r="AQ461" s="458"/>
      <c r="AR461" s="458"/>
      <c r="AS461" s="458"/>
      <c r="AT461" s="458"/>
      <c r="AU461" s="458"/>
      <c r="AV461" s="458"/>
      <c r="BA461" s="1305"/>
    </row>
    <row r="462" spans="2:53" ht="12.5">
      <c r="B462" s="175"/>
      <c r="C462" s="176"/>
      <c r="H462" s="178"/>
      <c r="I462" s="178"/>
      <c r="J462" s="184"/>
      <c r="N462" s="178"/>
      <c r="O462" s="178"/>
      <c r="P462" s="178"/>
      <c r="S462" s="458"/>
      <c r="AN462" s="458"/>
      <c r="AO462" s="458"/>
      <c r="AP462" s="458"/>
      <c r="AQ462" s="458"/>
      <c r="AR462" s="458"/>
      <c r="AS462" s="458"/>
      <c r="AT462" s="458"/>
      <c r="AU462" s="458"/>
      <c r="AV462" s="458"/>
      <c r="BA462" s="1305"/>
    </row>
    <row r="463" spans="2:53" ht="12.5">
      <c r="B463" s="175"/>
      <c r="C463" s="176"/>
      <c r="H463" s="178"/>
      <c r="I463" s="178"/>
      <c r="J463" s="184"/>
      <c r="N463" s="178"/>
      <c r="O463" s="178"/>
      <c r="P463" s="178"/>
      <c r="S463" s="458"/>
      <c r="AN463" s="458"/>
      <c r="AO463" s="458"/>
      <c r="AP463" s="458"/>
      <c r="AQ463" s="458"/>
      <c r="AR463" s="458"/>
      <c r="AS463" s="458"/>
      <c r="AT463" s="458"/>
      <c r="AU463" s="458"/>
      <c r="AV463" s="458"/>
      <c r="BA463" s="1305"/>
    </row>
    <row r="464" spans="2:53" ht="12.5">
      <c r="B464" s="175"/>
      <c r="C464" s="176"/>
      <c r="H464" s="178"/>
      <c r="I464" s="178"/>
      <c r="J464" s="184"/>
      <c r="N464" s="178"/>
      <c r="O464" s="178"/>
      <c r="P464" s="178"/>
      <c r="S464" s="458"/>
      <c r="AN464" s="458"/>
      <c r="AO464" s="458"/>
      <c r="AP464" s="458"/>
      <c r="AQ464" s="458"/>
      <c r="AR464" s="458"/>
      <c r="AS464" s="458"/>
      <c r="AT464" s="458"/>
      <c r="AU464" s="458"/>
      <c r="AV464" s="458"/>
      <c r="BA464" s="1305"/>
    </row>
    <row r="465" spans="2:53" ht="12.5">
      <c r="B465" s="175"/>
      <c r="C465" s="176"/>
      <c r="H465" s="178"/>
      <c r="I465" s="178"/>
      <c r="J465" s="184"/>
      <c r="N465" s="178"/>
      <c r="O465" s="178"/>
      <c r="P465" s="178"/>
      <c r="S465" s="458"/>
      <c r="AN465" s="458"/>
      <c r="AO465" s="458"/>
      <c r="AP465" s="458"/>
      <c r="AQ465" s="458"/>
      <c r="AR465" s="458"/>
      <c r="AS465" s="458"/>
      <c r="AT465" s="458"/>
      <c r="AU465" s="458"/>
      <c r="AV465" s="458"/>
      <c r="BA465" s="1305"/>
    </row>
    <row r="466" spans="2:53" ht="12.5">
      <c r="B466" s="175"/>
      <c r="C466" s="176"/>
      <c r="H466" s="178"/>
      <c r="I466" s="178"/>
      <c r="J466" s="184"/>
      <c r="N466" s="178"/>
      <c r="O466" s="178"/>
      <c r="P466" s="178"/>
      <c r="S466" s="458"/>
      <c r="AN466" s="458"/>
      <c r="AO466" s="458"/>
      <c r="AP466" s="458"/>
      <c r="AQ466" s="458"/>
      <c r="AR466" s="458"/>
      <c r="AS466" s="458"/>
      <c r="AT466" s="458"/>
      <c r="AU466" s="458"/>
      <c r="AV466" s="458"/>
      <c r="BA466" s="1305"/>
    </row>
    <row r="467" spans="2:53" ht="12.5">
      <c r="B467" s="175"/>
      <c r="C467" s="176"/>
      <c r="H467" s="178"/>
      <c r="I467" s="178"/>
      <c r="J467" s="184"/>
      <c r="N467" s="178"/>
      <c r="O467" s="178"/>
      <c r="P467" s="178"/>
      <c r="S467" s="458"/>
      <c r="AN467" s="458"/>
      <c r="AO467" s="458"/>
      <c r="AP467" s="458"/>
      <c r="AQ467" s="458"/>
      <c r="AR467" s="458"/>
      <c r="AS467" s="458"/>
      <c r="AT467" s="458"/>
      <c r="AU467" s="458"/>
      <c r="AV467" s="458"/>
      <c r="BA467" s="1305"/>
    </row>
    <row r="468" spans="2:53" ht="12.5">
      <c r="B468" s="175"/>
      <c r="C468" s="176"/>
      <c r="H468" s="178"/>
      <c r="I468" s="178"/>
      <c r="J468" s="184"/>
      <c r="N468" s="178"/>
      <c r="O468" s="178"/>
      <c r="P468" s="178"/>
      <c r="S468" s="458"/>
      <c r="AN468" s="458"/>
      <c r="AO468" s="458"/>
      <c r="AP468" s="458"/>
      <c r="AQ468" s="458"/>
      <c r="AR468" s="458"/>
      <c r="AS468" s="458"/>
      <c r="AT468" s="458"/>
      <c r="AU468" s="458"/>
      <c r="AV468" s="458"/>
      <c r="BA468" s="1305"/>
    </row>
    <row r="469" spans="2:53" ht="12.5">
      <c r="B469" s="175"/>
      <c r="C469" s="176"/>
      <c r="H469" s="178"/>
      <c r="I469" s="178"/>
      <c r="J469" s="184"/>
      <c r="N469" s="178"/>
      <c r="O469" s="178"/>
      <c r="P469" s="178"/>
      <c r="S469" s="458"/>
      <c r="AN469" s="458"/>
      <c r="AO469" s="458"/>
      <c r="AP469" s="458"/>
      <c r="AQ469" s="458"/>
      <c r="AR469" s="458"/>
      <c r="AS469" s="458"/>
      <c r="AT469" s="458"/>
      <c r="AU469" s="458"/>
      <c r="AV469" s="458"/>
      <c r="BA469" s="1305"/>
    </row>
    <row r="470" spans="2:53" ht="12.5">
      <c r="B470" s="175"/>
      <c r="C470" s="176"/>
      <c r="H470" s="178"/>
      <c r="I470" s="178"/>
      <c r="J470" s="184"/>
      <c r="N470" s="178"/>
      <c r="O470" s="178"/>
      <c r="P470" s="178"/>
      <c r="S470" s="458"/>
      <c r="AN470" s="458"/>
      <c r="AO470" s="458"/>
      <c r="AP470" s="458"/>
      <c r="AQ470" s="458"/>
      <c r="AR470" s="458"/>
      <c r="AS470" s="458"/>
      <c r="AT470" s="458"/>
      <c r="AU470" s="458"/>
      <c r="AV470" s="458"/>
      <c r="BA470" s="1305"/>
    </row>
    <row r="471" spans="2:53" ht="12.5">
      <c r="B471" s="175"/>
      <c r="C471" s="176"/>
      <c r="H471" s="178"/>
      <c r="I471" s="178"/>
      <c r="J471" s="184"/>
      <c r="N471" s="178"/>
      <c r="O471" s="178"/>
      <c r="P471" s="178"/>
      <c r="S471" s="458"/>
      <c r="AN471" s="458"/>
      <c r="AO471" s="458"/>
      <c r="AP471" s="458"/>
      <c r="AQ471" s="458"/>
      <c r="AR471" s="458"/>
      <c r="AS471" s="458"/>
      <c r="AT471" s="458"/>
      <c r="AU471" s="458"/>
      <c r="AV471" s="458"/>
      <c r="BA471" s="1305"/>
    </row>
    <row r="472" spans="2:53" ht="12.5">
      <c r="B472" s="175"/>
      <c r="C472" s="176"/>
      <c r="H472" s="178"/>
      <c r="I472" s="178"/>
      <c r="J472" s="184"/>
      <c r="N472" s="178"/>
      <c r="O472" s="178"/>
      <c r="P472" s="178"/>
      <c r="S472" s="458"/>
      <c r="AN472" s="458"/>
      <c r="AO472" s="458"/>
      <c r="AP472" s="458"/>
      <c r="AQ472" s="458"/>
      <c r="AR472" s="458"/>
      <c r="AS472" s="458"/>
      <c r="AT472" s="458"/>
      <c r="AU472" s="458"/>
      <c r="AV472" s="458"/>
      <c r="BA472" s="1305"/>
    </row>
    <row r="473" spans="2:53" ht="12.5">
      <c r="B473" s="175"/>
      <c r="C473" s="176"/>
      <c r="H473" s="178"/>
      <c r="I473" s="178"/>
      <c r="J473" s="184"/>
      <c r="N473" s="178"/>
      <c r="O473" s="178"/>
      <c r="P473" s="178"/>
      <c r="S473" s="458"/>
      <c r="AN473" s="458"/>
      <c r="AO473" s="458"/>
      <c r="AP473" s="458"/>
      <c r="AQ473" s="458"/>
      <c r="AR473" s="458"/>
      <c r="AS473" s="458"/>
      <c r="AT473" s="458"/>
      <c r="AU473" s="458"/>
      <c r="AV473" s="458"/>
      <c r="BA473" s="1305"/>
    </row>
    <row r="474" spans="2:53" ht="12.5">
      <c r="B474" s="175"/>
      <c r="C474" s="176"/>
      <c r="H474" s="178"/>
      <c r="I474" s="178"/>
      <c r="J474" s="184"/>
      <c r="N474" s="178"/>
      <c r="O474" s="178"/>
      <c r="P474" s="178"/>
      <c r="S474" s="458"/>
      <c r="AN474" s="458"/>
      <c r="AO474" s="458"/>
      <c r="AP474" s="458"/>
      <c r="AQ474" s="458"/>
      <c r="AR474" s="458"/>
      <c r="AS474" s="458"/>
      <c r="AT474" s="458"/>
      <c r="AU474" s="458"/>
      <c r="AV474" s="458"/>
      <c r="BA474" s="1305"/>
    </row>
    <row r="475" spans="2:53" ht="12.5">
      <c r="B475" s="175"/>
      <c r="C475" s="176"/>
      <c r="H475" s="178"/>
      <c r="I475" s="178"/>
      <c r="J475" s="184"/>
      <c r="N475" s="178"/>
      <c r="O475" s="178"/>
      <c r="P475" s="178"/>
      <c r="S475" s="458"/>
      <c r="AN475" s="458"/>
      <c r="AO475" s="458"/>
      <c r="AP475" s="458"/>
      <c r="AQ475" s="458"/>
      <c r="AR475" s="458"/>
      <c r="AS475" s="458"/>
      <c r="AT475" s="458"/>
      <c r="AU475" s="458"/>
      <c r="AV475" s="458"/>
      <c r="BA475" s="1305"/>
    </row>
    <row r="476" spans="2:53" ht="12.5">
      <c r="B476" s="175"/>
      <c r="C476" s="176"/>
      <c r="H476" s="178"/>
      <c r="I476" s="178"/>
      <c r="J476" s="184"/>
      <c r="N476" s="178"/>
      <c r="O476" s="178"/>
      <c r="P476" s="178"/>
      <c r="S476" s="458"/>
      <c r="AN476" s="458"/>
      <c r="AO476" s="458"/>
      <c r="AP476" s="458"/>
      <c r="AQ476" s="458"/>
      <c r="AR476" s="458"/>
      <c r="AS476" s="458"/>
      <c r="AT476" s="458"/>
      <c r="AU476" s="458"/>
      <c r="AV476" s="458"/>
      <c r="BA476" s="1305"/>
    </row>
    <row r="477" spans="2:53" ht="12.5">
      <c r="B477" s="175"/>
      <c r="C477" s="176"/>
      <c r="H477" s="178"/>
      <c r="I477" s="178"/>
      <c r="J477" s="184"/>
      <c r="N477" s="178"/>
      <c r="O477" s="178"/>
      <c r="P477" s="178"/>
      <c r="S477" s="458"/>
      <c r="AN477" s="458"/>
      <c r="AO477" s="458"/>
      <c r="AP477" s="458"/>
      <c r="AQ477" s="458"/>
      <c r="AR477" s="458"/>
      <c r="AS477" s="458"/>
      <c r="AT477" s="458"/>
      <c r="AU477" s="458"/>
      <c r="AV477" s="458"/>
      <c r="BA477" s="1305"/>
    </row>
    <row r="478" spans="2:53" ht="12.5">
      <c r="B478" s="175"/>
      <c r="C478" s="176"/>
      <c r="H478" s="178"/>
      <c r="I478" s="178"/>
      <c r="J478" s="184"/>
      <c r="N478" s="178"/>
      <c r="O478" s="178"/>
      <c r="P478" s="178"/>
      <c r="S478" s="458"/>
      <c r="AN478" s="458"/>
      <c r="AO478" s="458"/>
      <c r="AP478" s="458"/>
      <c r="AQ478" s="458"/>
      <c r="AR478" s="458"/>
      <c r="AS478" s="458"/>
      <c r="AT478" s="458"/>
      <c r="AU478" s="458"/>
      <c r="AV478" s="458"/>
      <c r="BA478" s="1305"/>
    </row>
    <row r="479" spans="2:53" ht="12.5">
      <c r="B479" s="175"/>
      <c r="C479" s="176"/>
      <c r="H479" s="178"/>
      <c r="I479" s="179"/>
      <c r="J479" s="184"/>
      <c r="N479" s="178"/>
      <c r="O479" s="178"/>
      <c r="P479" s="178"/>
      <c r="S479" s="458"/>
      <c r="AN479" s="458"/>
      <c r="AO479" s="458"/>
      <c r="AP479" s="458"/>
      <c r="AQ479" s="458"/>
      <c r="AR479" s="458"/>
      <c r="AS479" s="458"/>
      <c r="AT479" s="458"/>
      <c r="AU479" s="458"/>
      <c r="AV479" s="458"/>
      <c r="BA479" s="1305"/>
    </row>
    <row r="480" spans="2:53" ht="12.5">
      <c r="B480" s="175"/>
      <c r="C480" s="176"/>
      <c r="H480" s="178"/>
      <c r="I480" s="178"/>
      <c r="J480" s="184"/>
      <c r="N480" s="178"/>
      <c r="O480" s="178"/>
      <c r="P480" s="178"/>
      <c r="S480" s="458"/>
      <c r="AN480" s="458"/>
      <c r="AO480" s="458"/>
      <c r="AP480" s="458"/>
      <c r="AQ480" s="458"/>
      <c r="AR480" s="458"/>
      <c r="AS480" s="458"/>
      <c r="AT480" s="458"/>
      <c r="AU480" s="458"/>
      <c r="AV480" s="458"/>
      <c r="BA480" s="1305"/>
    </row>
    <row r="481" spans="2:53" ht="12.5">
      <c r="B481" s="175"/>
      <c r="C481" s="176"/>
      <c r="H481" s="178"/>
      <c r="I481" s="179"/>
      <c r="J481" s="184"/>
      <c r="N481" s="178"/>
      <c r="O481" s="178"/>
      <c r="P481" s="178"/>
      <c r="S481" s="458"/>
      <c r="AN481" s="458"/>
      <c r="AO481" s="458"/>
      <c r="AP481" s="458"/>
      <c r="AQ481" s="458"/>
      <c r="AR481" s="458"/>
      <c r="AS481" s="458"/>
      <c r="AT481" s="458"/>
      <c r="AU481" s="458"/>
      <c r="AV481" s="458"/>
      <c r="BA481" s="1305"/>
    </row>
    <row r="482" spans="2:53" ht="12.5">
      <c r="B482" s="175"/>
      <c r="C482" s="176"/>
      <c r="H482" s="178"/>
      <c r="I482" s="178"/>
      <c r="J482" s="184"/>
      <c r="N482" s="178"/>
      <c r="O482" s="178"/>
      <c r="P482" s="178"/>
      <c r="S482" s="458"/>
      <c r="AN482" s="458"/>
      <c r="AO482" s="458"/>
      <c r="AP482" s="458"/>
      <c r="AQ482" s="458"/>
      <c r="AR482" s="458"/>
      <c r="AS482" s="458"/>
      <c r="AT482" s="458"/>
      <c r="AU482" s="458"/>
      <c r="AV482" s="458"/>
      <c r="BA482" s="1305"/>
    </row>
    <row r="483" spans="2:53" ht="12.5">
      <c r="B483" s="175"/>
      <c r="C483" s="176"/>
      <c r="H483" s="178"/>
      <c r="I483" s="179"/>
      <c r="J483" s="184"/>
      <c r="N483" s="178"/>
      <c r="O483" s="178"/>
      <c r="P483" s="178"/>
      <c r="S483" s="458"/>
      <c r="AN483" s="458"/>
      <c r="AO483" s="458"/>
      <c r="AP483" s="458"/>
      <c r="AQ483" s="458"/>
      <c r="AR483" s="458"/>
      <c r="AS483" s="458"/>
      <c r="AT483" s="458"/>
      <c r="AU483" s="458"/>
      <c r="AV483" s="458"/>
      <c r="BA483" s="1305"/>
    </row>
    <row r="484" spans="2:53" ht="12.5">
      <c r="B484" s="175"/>
      <c r="C484" s="176"/>
      <c r="H484" s="178"/>
      <c r="I484" s="178"/>
      <c r="J484" s="184"/>
      <c r="N484" s="178"/>
      <c r="O484" s="178"/>
      <c r="P484" s="178"/>
      <c r="S484" s="458"/>
      <c r="AN484" s="458"/>
      <c r="AO484" s="458"/>
      <c r="AP484" s="458"/>
      <c r="AQ484" s="458"/>
      <c r="AR484" s="458"/>
      <c r="AS484" s="458"/>
      <c r="AT484" s="458"/>
      <c r="AU484" s="458"/>
      <c r="AV484" s="458"/>
      <c r="BA484" s="1305"/>
    </row>
    <row r="485" spans="2:53" ht="12.5">
      <c r="B485" s="175"/>
      <c r="C485" s="176"/>
      <c r="H485" s="178"/>
      <c r="I485" s="178"/>
      <c r="J485" s="184"/>
      <c r="N485" s="178"/>
      <c r="O485" s="178"/>
      <c r="P485" s="178"/>
      <c r="S485" s="458"/>
      <c r="AN485" s="458"/>
      <c r="AO485" s="458"/>
      <c r="AP485" s="458"/>
      <c r="AQ485" s="458"/>
      <c r="AR485" s="458"/>
      <c r="AS485" s="458"/>
      <c r="AT485" s="458"/>
      <c r="AU485" s="458"/>
      <c r="AV485" s="458"/>
      <c r="BA485" s="1305"/>
    </row>
    <row r="486" spans="2:53" ht="12.5">
      <c r="B486" s="175"/>
      <c r="C486" s="176"/>
      <c r="H486" s="178"/>
      <c r="I486" s="179"/>
      <c r="J486" s="184"/>
      <c r="N486" s="178"/>
      <c r="O486" s="178"/>
      <c r="P486" s="178"/>
      <c r="S486" s="458"/>
      <c r="AN486" s="458"/>
      <c r="AO486" s="458"/>
      <c r="AP486" s="458"/>
      <c r="AQ486" s="458"/>
      <c r="AR486" s="458"/>
      <c r="AS486" s="458"/>
      <c r="AT486" s="458"/>
      <c r="AU486" s="458"/>
      <c r="AV486" s="458"/>
      <c r="BA486" s="1305"/>
    </row>
    <row r="487" spans="2:53" ht="12.5">
      <c r="B487" s="175"/>
      <c r="C487" s="176"/>
      <c r="H487" s="178"/>
      <c r="I487" s="178"/>
      <c r="J487" s="184"/>
      <c r="N487" s="178"/>
      <c r="O487" s="178"/>
      <c r="P487" s="178"/>
      <c r="S487" s="458"/>
      <c r="AN487" s="458"/>
      <c r="AO487" s="458"/>
      <c r="AP487" s="458"/>
      <c r="AQ487" s="458"/>
      <c r="AR487" s="458"/>
      <c r="AS487" s="458"/>
      <c r="AT487" s="458"/>
      <c r="AU487" s="458"/>
      <c r="AV487" s="458"/>
      <c r="BA487" s="1305"/>
    </row>
    <row r="488" spans="2:53" ht="12.5">
      <c r="B488" s="175"/>
      <c r="C488" s="176"/>
      <c r="H488" s="178"/>
      <c r="I488" s="179"/>
      <c r="J488" s="184"/>
      <c r="N488" s="178"/>
      <c r="O488" s="178"/>
      <c r="P488" s="178"/>
      <c r="S488" s="458"/>
      <c r="AN488" s="458"/>
      <c r="AO488" s="458"/>
      <c r="AP488" s="458"/>
      <c r="AQ488" s="458"/>
      <c r="AR488" s="458"/>
      <c r="AS488" s="458"/>
      <c r="AT488" s="458"/>
      <c r="AU488" s="458"/>
      <c r="AV488" s="458"/>
      <c r="BA488" s="1305"/>
    </row>
    <row r="489" spans="2:53" ht="12.5">
      <c r="B489" s="175"/>
      <c r="C489" s="176"/>
      <c r="H489" s="178"/>
      <c r="I489" s="178"/>
      <c r="J489" s="184"/>
      <c r="N489" s="178"/>
      <c r="O489" s="178"/>
      <c r="P489" s="178"/>
      <c r="S489" s="458"/>
      <c r="AN489" s="458"/>
      <c r="AO489" s="458"/>
      <c r="AP489" s="458"/>
      <c r="AQ489" s="458"/>
      <c r="AR489" s="458"/>
      <c r="AS489" s="458"/>
      <c r="AT489" s="458"/>
      <c r="AU489" s="458"/>
      <c r="AV489" s="458"/>
      <c r="BA489" s="1305"/>
    </row>
    <row r="490" spans="2:53" ht="12.5">
      <c r="B490" s="175"/>
      <c r="C490" s="176"/>
      <c r="H490" s="178"/>
      <c r="I490" s="179"/>
      <c r="J490" s="184"/>
      <c r="N490" s="178"/>
      <c r="O490" s="178"/>
      <c r="P490" s="178"/>
      <c r="S490" s="458"/>
      <c r="AN490" s="458"/>
      <c r="AO490" s="458"/>
      <c r="AP490" s="458"/>
      <c r="AQ490" s="458"/>
      <c r="AR490" s="458"/>
      <c r="AS490" s="458"/>
      <c r="AT490" s="458"/>
      <c r="AU490" s="458"/>
      <c r="AV490" s="458"/>
      <c r="BA490" s="1305"/>
    </row>
    <row r="491" spans="2:53" ht="12.5">
      <c r="B491" s="175"/>
      <c r="C491" s="176"/>
      <c r="H491" s="178"/>
      <c r="I491" s="178"/>
      <c r="N491" s="178"/>
      <c r="O491" s="178"/>
      <c r="P491" s="178"/>
      <c r="S491" s="458"/>
      <c r="AN491" s="458"/>
      <c r="AO491" s="458"/>
      <c r="AP491" s="458"/>
      <c r="AQ491" s="458"/>
      <c r="AR491" s="458"/>
      <c r="AS491" s="458"/>
      <c r="AT491" s="458"/>
      <c r="AU491" s="458"/>
      <c r="AV491" s="458"/>
      <c r="BA491" s="1305"/>
    </row>
    <row r="492" spans="2:53" ht="12.5">
      <c r="B492" s="175"/>
      <c r="C492" s="176"/>
      <c r="H492" s="178"/>
      <c r="I492" s="179"/>
      <c r="J492" s="184"/>
      <c r="N492" s="178"/>
      <c r="O492" s="178"/>
      <c r="P492" s="178"/>
      <c r="S492" s="458"/>
      <c r="AN492" s="458"/>
      <c r="AO492" s="458"/>
      <c r="AP492" s="458"/>
      <c r="AQ492" s="458"/>
      <c r="AR492" s="458"/>
      <c r="AS492" s="458"/>
      <c r="AT492" s="458"/>
      <c r="AU492" s="458"/>
      <c r="AV492" s="458"/>
      <c r="BA492" s="1305"/>
    </row>
    <row r="493" spans="2:53" ht="12.5">
      <c r="B493" s="175"/>
      <c r="C493" s="176"/>
      <c r="H493" s="178"/>
      <c r="I493" s="178"/>
      <c r="J493" s="184"/>
      <c r="N493" s="178"/>
      <c r="O493" s="178"/>
      <c r="P493" s="178"/>
      <c r="S493" s="458"/>
      <c r="AN493" s="458"/>
      <c r="AO493" s="458"/>
      <c r="AP493" s="458"/>
      <c r="AQ493" s="458"/>
      <c r="AR493" s="458"/>
      <c r="AS493" s="458"/>
      <c r="AT493" s="458"/>
      <c r="AU493" s="458"/>
      <c r="AV493" s="458"/>
      <c r="BA493" s="1305"/>
    </row>
    <row r="494" spans="2:53" ht="12.5">
      <c r="B494" s="175"/>
      <c r="C494" s="176"/>
      <c r="H494" s="178"/>
      <c r="I494" s="179"/>
      <c r="J494" s="184"/>
      <c r="N494" s="178"/>
      <c r="O494" s="178"/>
      <c r="P494" s="178"/>
      <c r="S494" s="458"/>
      <c r="AN494" s="458"/>
      <c r="AO494" s="458"/>
      <c r="AP494" s="458"/>
      <c r="AQ494" s="458"/>
      <c r="AR494" s="458"/>
      <c r="AS494" s="458"/>
      <c r="AT494" s="458"/>
      <c r="AU494" s="458"/>
      <c r="AV494" s="458"/>
      <c r="BA494" s="1305"/>
    </row>
    <row r="495" spans="2:53" ht="12.5">
      <c r="B495" s="175"/>
      <c r="C495" s="176"/>
      <c r="H495" s="178"/>
      <c r="I495" s="178"/>
      <c r="J495" s="184"/>
      <c r="N495" s="178"/>
      <c r="O495" s="178"/>
      <c r="P495" s="178"/>
      <c r="S495" s="458"/>
      <c r="AN495" s="458"/>
      <c r="AO495" s="458"/>
      <c r="AP495" s="458"/>
      <c r="AQ495" s="458"/>
      <c r="AR495" s="458"/>
      <c r="AS495" s="458"/>
      <c r="AT495" s="458"/>
      <c r="AU495" s="458"/>
      <c r="AV495" s="458"/>
      <c r="BA495" s="1305"/>
    </row>
    <row r="496" spans="2:53" ht="12.5">
      <c r="B496" s="175"/>
      <c r="C496" s="176"/>
      <c r="H496" s="178"/>
      <c r="I496" s="178"/>
      <c r="J496" s="184"/>
      <c r="N496" s="178"/>
      <c r="O496" s="178"/>
      <c r="P496" s="178"/>
      <c r="S496" s="458"/>
      <c r="AN496" s="458"/>
      <c r="AO496" s="458"/>
      <c r="AP496" s="458"/>
      <c r="AQ496" s="458"/>
      <c r="AR496" s="458"/>
      <c r="AS496" s="458"/>
      <c r="AT496" s="458"/>
      <c r="AU496" s="458"/>
      <c r="AV496" s="458"/>
      <c r="BA496" s="1305"/>
    </row>
    <row r="497" spans="2:53" ht="12.5">
      <c r="B497" s="175"/>
      <c r="C497" s="176"/>
      <c r="H497" s="178"/>
      <c r="I497" s="178"/>
      <c r="J497" s="184"/>
      <c r="N497" s="178"/>
      <c r="O497" s="178"/>
      <c r="P497" s="178"/>
      <c r="S497" s="458"/>
      <c r="AN497" s="458"/>
      <c r="AO497" s="458"/>
      <c r="AP497" s="458"/>
      <c r="AQ497" s="458"/>
      <c r="AR497" s="458"/>
      <c r="AS497" s="458"/>
      <c r="AT497" s="458"/>
      <c r="AU497" s="458"/>
      <c r="AV497" s="458"/>
      <c r="BA497" s="1305"/>
    </row>
    <row r="498" spans="2:53" ht="12.5">
      <c r="B498" s="175"/>
      <c r="C498" s="176"/>
      <c r="H498" s="178"/>
      <c r="I498" s="178"/>
      <c r="J498" s="184"/>
      <c r="N498" s="178"/>
      <c r="O498" s="178"/>
      <c r="P498" s="178"/>
      <c r="S498" s="458"/>
      <c r="AN498" s="458"/>
      <c r="AO498" s="458"/>
      <c r="AP498" s="458"/>
      <c r="AQ498" s="458"/>
      <c r="AR498" s="458"/>
      <c r="AS498" s="458"/>
      <c r="AT498" s="458"/>
      <c r="AU498" s="458"/>
      <c r="AV498" s="458"/>
      <c r="BA498" s="1305"/>
    </row>
    <row r="499" spans="2:53" ht="12.5">
      <c r="B499" s="175"/>
      <c r="C499" s="176"/>
      <c r="H499" s="178"/>
      <c r="I499" s="178"/>
      <c r="J499" s="184"/>
      <c r="N499" s="178"/>
      <c r="O499" s="178"/>
      <c r="P499" s="178"/>
      <c r="S499" s="458"/>
      <c r="AN499" s="458"/>
      <c r="AO499" s="458"/>
      <c r="AP499" s="458"/>
      <c r="AQ499" s="458"/>
      <c r="AR499" s="458"/>
      <c r="AS499" s="458"/>
      <c r="AT499" s="458"/>
      <c r="AU499" s="458"/>
      <c r="AV499" s="458"/>
      <c r="BA499" s="1305"/>
    </row>
    <row r="500" spans="2:53" ht="12.5">
      <c r="B500" s="175"/>
      <c r="C500" s="176"/>
      <c r="H500" s="178"/>
      <c r="I500" s="178"/>
      <c r="J500" s="184"/>
      <c r="N500" s="178"/>
      <c r="O500" s="178"/>
      <c r="P500" s="178"/>
      <c r="S500" s="458"/>
      <c r="AN500" s="458"/>
      <c r="AO500" s="458"/>
      <c r="AP500" s="458"/>
      <c r="AQ500" s="458"/>
      <c r="AR500" s="458"/>
      <c r="AS500" s="458"/>
      <c r="AT500" s="458"/>
      <c r="AU500" s="458"/>
      <c r="AV500" s="458"/>
      <c r="BA500" s="1305"/>
    </row>
    <row r="501" spans="2:53" ht="12.5">
      <c r="B501" s="175"/>
      <c r="C501" s="176"/>
      <c r="H501" s="178"/>
      <c r="I501" s="178"/>
      <c r="J501" s="184"/>
      <c r="N501" s="178"/>
      <c r="O501" s="178"/>
      <c r="P501" s="178"/>
      <c r="S501" s="458"/>
      <c r="AN501" s="458"/>
      <c r="AO501" s="458"/>
      <c r="AP501" s="458"/>
      <c r="AQ501" s="458"/>
      <c r="AR501" s="458"/>
      <c r="AS501" s="458"/>
      <c r="AT501" s="458"/>
      <c r="AU501" s="458"/>
      <c r="AV501" s="458"/>
      <c r="BA501" s="1305"/>
    </row>
    <row r="502" spans="2:53" ht="12.5">
      <c r="B502" s="175"/>
      <c r="C502" s="176"/>
      <c r="H502" s="178"/>
      <c r="I502" s="178"/>
      <c r="J502" s="184"/>
      <c r="N502" s="178"/>
      <c r="O502" s="178"/>
      <c r="P502" s="178"/>
      <c r="S502" s="458"/>
      <c r="AN502" s="458"/>
      <c r="AO502" s="458"/>
      <c r="AP502" s="458"/>
      <c r="AQ502" s="458"/>
      <c r="AR502" s="458"/>
      <c r="AS502" s="458"/>
      <c r="AT502" s="458"/>
      <c r="AU502" s="458"/>
      <c r="AV502" s="458"/>
      <c r="BA502" s="1305"/>
    </row>
    <row r="503" spans="2:53" ht="12.5">
      <c r="B503" s="175"/>
      <c r="C503" s="176"/>
      <c r="H503" s="178"/>
      <c r="I503" s="178"/>
      <c r="J503" s="184"/>
      <c r="N503" s="178"/>
      <c r="O503" s="178"/>
      <c r="P503" s="178"/>
      <c r="S503" s="458"/>
      <c r="AN503" s="458"/>
      <c r="AO503" s="458"/>
      <c r="AP503" s="458"/>
      <c r="AQ503" s="458"/>
      <c r="AR503" s="458"/>
      <c r="AS503" s="458"/>
      <c r="AT503" s="458"/>
      <c r="AU503" s="458"/>
      <c r="AV503" s="458"/>
      <c r="BA503" s="1305"/>
    </row>
    <row r="504" spans="2:53" ht="12.5">
      <c r="B504" s="175"/>
      <c r="C504" s="176"/>
      <c r="H504" s="178"/>
      <c r="I504" s="178"/>
      <c r="J504" s="184"/>
      <c r="N504" s="178"/>
      <c r="O504" s="178"/>
      <c r="S504" s="458"/>
      <c r="AN504" s="458"/>
      <c r="AO504" s="458"/>
      <c r="AP504" s="458"/>
      <c r="AQ504" s="458"/>
      <c r="AR504" s="458"/>
      <c r="AS504" s="458"/>
      <c r="AT504" s="458"/>
      <c r="AU504" s="458"/>
      <c r="AV504" s="458"/>
      <c r="BA504" s="1305"/>
    </row>
    <row r="505" spans="2:53" ht="12.5">
      <c r="B505" s="175"/>
      <c r="C505" s="176"/>
      <c r="H505" s="178"/>
      <c r="I505" s="178"/>
      <c r="J505" s="184"/>
      <c r="N505" s="178"/>
      <c r="O505" s="178"/>
      <c r="P505" s="178"/>
      <c r="S505" s="458"/>
      <c r="AN505" s="458"/>
      <c r="AO505" s="458"/>
      <c r="AP505" s="458"/>
      <c r="AQ505" s="458"/>
      <c r="AR505" s="458"/>
      <c r="AS505" s="458"/>
      <c r="AT505" s="458"/>
      <c r="AU505" s="458"/>
      <c r="AV505" s="458"/>
      <c r="BA505" s="1305"/>
    </row>
    <row r="506" spans="2:53" ht="12.5">
      <c r="B506" s="175"/>
      <c r="C506" s="176"/>
      <c r="H506" s="178"/>
      <c r="I506" s="178"/>
      <c r="J506" s="184"/>
      <c r="N506" s="178"/>
      <c r="O506" s="178"/>
      <c r="P506" s="178"/>
      <c r="S506" s="458"/>
      <c r="AN506" s="458"/>
      <c r="AO506" s="458"/>
      <c r="AP506" s="458"/>
      <c r="AQ506" s="458"/>
      <c r="AR506" s="458"/>
      <c r="AS506" s="458"/>
      <c r="AT506" s="458"/>
      <c r="AU506" s="458"/>
      <c r="AV506" s="458"/>
      <c r="BA506" s="1305"/>
    </row>
    <row r="507" spans="2:53" ht="12.5">
      <c r="B507" s="175"/>
      <c r="C507" s="176"/>
      <c r="H507" s="178"/>
      <c r="I507" s="178"/>
      <c r="J507" s="184"/>
      <c r="N507" s="178"/>
      <c r="O507" s="178"/>
      <c r="P507" s="178"/>
      <c r="S507" s="458"/>
      <c r="AN507" s="458"/>
      <c r="AO507" s="458"/>
      <c r="AP507" s="458"/>
      <c r="AQ507" s="458"/>
      <c r="AR507" s="458"/>
      <c r="AS507" s="458"/>
      <c r="AT507" s="458"/>
      <c r="AU507" s="458"/>
      <c r="AV507" s="458"/>
      <c r="BA507" s="1305"/>
    </row>
    <row r="508" spans="2:53" ht="12.5">
      <c r="B508" s="175"/>
      <c r="C508" s="176"/>
      <c r="H508" s="178"/>
      <c r="I508" s="178"/>
      <c r="J508" s="184"/>
      <c r="N508" s="178"/>
      <c r="O508" s="178"/>
      <c r="P508" s="178"/>
      <c r="S508" s="458"/>
      <c r="AN508" s="458"/>
      <c r="AO508" s="458"/>
      <c r="AP508" s="458"/>
      <c r="AQ508" s="458"/>
      <c r="AR508" s="458"/>
      <c r="AS508" s="458"/>
      <c r="AT508" s="458"/>
      <c r="AU508" s="458"/>
      <c r="AV508" s="458"/>
      <c r="BA508" s="1305"/>
    </row>
    <row r="509" spans="2:53" ht="12.5">
      <c r="B509" s="175"/>
      <c r="C509" s="176"/>
      <c r="H509" s="178"/>
      <c r="I509" s="178"/>
      <c r="J509" s="184"/>
      <c r="N509" s="178"/>
      <c r="O509" s="178"/>
      <c r="P509" s="178"/>
      <c r="S509" s="458"/>
      <c r="AN509" s="458"/>
      <c r="AO509" s="458"/>
      <c r="AP509" s="458"/>
      <c r="AQ509" s="458"/>
      <c r="AR509" s="458"/>
      <c r="AS509" s="458"/>
      <c r="AT509" s="458"/>
      <c r="AU509" s="458"/>
      <c r="AV509" s="458"/>
      <c r="BA509" s="1305"/>
    </row>
    <row r="510" spans="2:53" ht="12.5">
      <c r="B510" s="175"/>
      <c r="C510" s="176"/>
      <c r="H510" s="178"/>
      <c r="I510" s="178"/>
      <c r="J510" s="184"/>
      <c r="N510" s="178"/>
      <c r="O510" s="178"/>
      <c r="P510" s="178"/>
      <c r="S510" s="458"/>
      <c r="AN510" s="458"/>
      <c r="AO510" s="458"/>
      <c r="AP510" s="458"/>
      <c r="AQ510" s="458"/>
      <c r="AR510" s="458"/>
      <c r="AS510" s="458"/>
      <c r="AT510" s="458"/>
      <c r="AU510" s="458"/>
      <c r="AV510" s="458"/>
      <c r="BA510" s="1305"/>
    </row>
    <row r="511" spans="2:53" ht="12.5">
      <c r="B511" s="175"/>
      <c r="C511" s="176"/>
      <c r="H511" s="178"/>
      <c r="I511" s="178"/>
      <c r="J511" s="184"/>
      <c r="N511" s="178"/>
      <c r="O511" s="178"/>
      <c r="P511" s="178"/>
      <c r="S511" s="458"/>
      <c r="AN511" s="458"/>
      <c r="AO511" s="458"/>
      <c r="AP511" s="458"/>
      <c r="AQ511" s="458"/>
      <c r="AR511" s="458"/>
      <c r="AS511" s="458"/>
      <c r="AT511" s="458"/>
      <c r="AU511" s="458"/>
      <c r="AV511" s="458"/>
      <c r="BA511" s="1305"/>
    </row>
    <row r="512" spans="2:53" ht="12.5">
      <c r="B512" s="175"/>
      <c r="C512" s="176"/>
      <c r="H512" s="178"/>
      <c r="I512" s="178"/>
      <c r="J512" s="184"/>
      <c r="N512" s="178"/>
      <c r="O512" s="178"/>
      <c r="P512" s="178"/>
      <c r="S512" s="458"/>
      <c r="AN512" s="458"/>
      <c r="AO512" s="458"/>
      <c r="AP512" s="458"/>
      <c r="AQ512" s="458"/>
      <c r="AR512" s="458"/>
      <c r="AS512" s="458"/>
      <c r="AT512" s="458"/>
      <c r="AU512" s="458"/>
      <c r="AV512" s="458"/>
      <c r="BA512" s="1305"/>
    </row>
    <row r="513" spans="2:53" ht="12.5">
      <c r="B513" s="175"/>
      <c r="C513" s="176"/>
      <c r="H513" s="178"/>
      <c r="I513" s="179"/>
      <c r="J513" s="184"/>
      <c r="N513" s="178"/>
      <c r="O513" s="178"/>
      <c r="P513" s="178"/>
      <c r="S513" s="458"/>
      <c r="AN513" s="458"/>
      <c r="AO513" s="458"/>
      <c r="AP513" s="458"/>
      <c r="AQ513" s="458"/>
      <c r="AR513" s="458"/>
      <c r="AS513" s="458"/>
      <c r="AT513" s="458"/>
      <c r="AU513" s="458"/>
      <c r="AV513" s="458"/>
      <c r="BA513" s="1305"/>
    </row>
    <row r="514" spans="2:53" ht="12.5">
      <c r="B514" s="175"/>
      <c r="C514" s="176"/>
      <c r="H514" s="178"/>
      <c r="I514" s="178"/>
      <c r="J514" s="184"/>
      <c r="N514" s="178"/>
      <c r="O514" s="178"/>
      <c r="P514" s="178"/>
      <c r="S514" s="458"/>
      <c r="AN514" s="458"/>
      <c r="AO514" s="458"/>
      <c r="AP514" s="458"/>
      <c r="AQ514" s="458"/>
      <c r="AR514" s="458"/>
      <c r="AS514" s="458"/>
      <c r="AT514" s="458"/>
      <c r="AU514" s="458"/>
      <c r="AV514" s="458"/>
      <c r="BA514" s="1305"/>
    </row>
    <row r="515" spans="2:53" ht="12.5">
      <c r="B515" s="175"/>
      <c r="C515" s="176"/>
      <c r="H515" s="178"/>
      <c r="I515" s="178"/>
      <c r="J515" s="184"/>
      <c r="N515" s="178"/>
      <c r="O515" s="178"/>
      <c r="P515" s="178"/>
      <c r="S515" s="458"/>
      <c r="AN515" s="458"/>
      <c r="AO515" s="458"/>
      <c r="AP515" s="458"/>
      <c r="AQ515" s="458"/>
      <c r="AR515" s="458"/>
      <c r="AS515" s="458"/>
      <c r="AT515" s="458"/>
      <c r="AU515" s="458"/>
      <c r="AV515" s="458"/>
      <c r="BA515" s="1305"/>
    </row>
    <row r="516" spans="2:53" ht="12.5">
      <c r="B516" s="175"/>
      <c r="C516" s="176"/>
      <c r="H516" s="178"/>
      <c r="I516" s="179"/>
      <c r="J516" s="184"/>
      <c r="N516" s="178"/>
      <c r="O516" s="178"/>
      <c r="P516" s="178"/>
      <c r="S516" s="458"/>
      <c r="AN516" s="458"/>
      <c r="AO516" s="458"/>
      <c r="AP516" s="458"/>
      <c r="AQ516" s="458"/>
      <c r="AR516" s="458"/>
      <c r="AS516" s="458"/>
      <c r="AT516" s="458"/>
      <c r="AU516" s="458"/>
      <c r="AV516" s="458"/>
      <c r="BA516" s="1305"/>
    </row>
    <row r="517" spans="2:53" ht="12.5">
      <c r="B517" s="175"/>
      <c r="C517" s="176"/>
      <c r="H517" s="178"/>
      <c r="I517" s="178"/>
      <c r="J517" s="184"/>
      <c r="N517" s="178"/>
      <c r="O517" s="178"/>
      <c r="P517" s="178"/>
      <c r="S517" s="458"/>
      <c r="AN517" s="458"/>
      <c r="AO517" s="458"/>
      <c r="AP517" s="458"/>
      <c r="AQ517" s="458"/>
      <c r="AR517" s="458"/>
      <c r="AS517" s="458"/>
      <c r="AT517" s="458"/>
      <c r="AU517" s="458"/>
      <c r="AV517" s="458"/>
      <c r="BA517" s="1305"/>
    </row>
    <row r="518" spans="2:53" ht="12.5">
      <c r="B518" s="175"/>
      <c r="C518" s="176"/>
      <c r="H518" s="178"/>
      <c r="I518" s="179"/>
      <c r="J518" s="184"/>
      <c r="N518" s="178"/>
      <c r="O518" s="178"/>
      <c r="P518" s="178"/>
      <c r="S518" s="458"/>
      <c r="AN518" s="458"/>
      <c r="AO518" s="458"/>
      <c r="AP518" s="458"/>
      <c r="AQ518" s="458"/>
      <c r="AR518" s="458"/>
      <c r="AS518" s="458"/>
      <c r="AT518" s="458"/>
      <c r="AU518" s="458"/>
      <c r="AV518" s="458"/>
      <c r="BA518" s="1305"/>
    </row>
    <row r="519" spans="2:53" ht="12.5">
      <c r="B519" s="175"/>
      <c r="C519" s="176"/>
      <c r="H519" s="178"/>
      <c r="I519" s="178"/>
      <c r="J519" s="184"/>
      <c r="N519" s="178"/>
      <c r="O519" s="178"/>
      <c r="P519" s="178"/>
      <c r="S519" s="458"/>
      <c r="AN519" s="458"/>
      <c r="AO519" s="458"/>
      <c r="AP519" s="458"/>
      <c r="AQ519" s="458"/>
      <c r="AR519" s="458"/>
      <c r="AS519" s="458"/>
      <c r="AT519" s="458"/>
      <c r="AU519" s="458"/>
      <c r="AV519" s="458"/>
      <c r="BA519" s="1305"/>
    </row>
    <row r="520" spans="2:53" ht="12.5">
      <c r="B520" s="175"/>
      <c r="C520" s="176"/>
      <c r="H520" s="178"/>
      <c r="I520" s="178"/>
      <c r="J520" s="184"/>
      <c r="N520" s="178"/>
      <c r="O520" s="178"/>
      <c r="P520" s="178"/>
      <c r="S520" s="458"/>
      <c r="AN520" s="458"/>
      <c r="AO520" s="458"/>
      <c r="AP520" s="458"/>
      <c r="AQ520" s="458"/>
      <c r="AR520" s="458"/>
      <c r="AS520" s="458"/>
      <c r="AT520" s="458"/>
      <c r="AU520" s="458"/>
      <c r="AV520" s="458"/>
      <c r="BA520" s="1305"/>
    </row>
    <row r="521" spans="2:53" ht="12.5">
      <c r="B521" s="175"/>
      <c r="C521" s="176"/>
      <c r="H521" s="178"/>
      <c r="I521" s="178"/>
      <c r="J521" s="184"/>
      <c r="N521" s="178"/>
      <c r="O521" s="178"/>
      <c r="P521" s="178"/>
      <c r="S521" s="458"/>
      <c r="AN521" s="458"/>
      <c r="AO521" s="458"/>
      <c r="AP521" s="458"/>
      <c r="AQ521" s="458"/>
      <c r="AR521" s="458"/>
      <c r="AS521" s="458"/>
      <c r="AT521" s="458"/>
      <c r="AU521" s="458"/>
      <c r="AV521" s="458"/>
      <c r="BA521" s="1305"/>
    </row>
    <row r="522" spans="2:53" ht="12.5">
      <c r="B522" s="175"/>
      <c r="C522" s="176"/>
      <c r="H522" s="178"/>
      <c r="I522" s="178"/>
      <c r="J522" s="184"/>
      <c r="N522" s="178"/>
      <c r="O522" s="178"/>
      <c r="P522" s="178"/>
      <c r="S522" s="458"/>
      <c r="AN522" s="458"/>
      <c r="AO522" s="458"/>
      <c r="AP522" s="458"/>
      <c r="AQ522" s="458"/>
      <c r="AR522" s="458"/>
      <c r="AS522" s="458"/>
      <c r="AT522" s="458"/>
      <c r="AU522" s="458"/>
      <c r="AV522" s="458"/>
      <c r="BA522" s="1305"/>
    </row>
    <row r="523" spans="2:53" ht="12.5">
      <c r="B523" s="175"/>
      <c r="C523" s="176"/>
      <c r="H523" s="178"/>
      <c r="I523" s="178"/>
      <c r="J523" s="184"/>
      <c r="N523" s="178"/>
      <c r="O523" s="178"/>
      <c r="P523" s="178"/>
      <c r="S523" s="458"/>
      <c r="AN523" s="458"/>
      <c r="AO523" s="458"/>
      <c r="AP523" s="458"/>
      <c r="AQ523" s="458"/>
      <c r="AR523" s="458"/>
      <c r="AS523" s="458"/>
      <c r="AT523" s="458"/>
      <c r="AU523" s="458"/>
      <c r="AV523" s="458"/>
      <c r="BA523" s="1305"/>
    </row>
    <row r="524" spans="2:53" ht="12.5">
      <c r="B524" s="175"/>
      <c r="C524" s="176"/>
      <c r="H524" s="178"/>
      <c r="I524" s="179"/>
      <c r="J524" s="184"/>
      <c r="N524" s="178"/>
      <c r="O524" s="178"/>
      <c r="P524" s="178"/>
      <c r="S524" s="458"/>
      <c r="AN524" s="458"/>
      <c r="AO524" s="458"/>
      <c r="AP524" s="458"/>
      <c r="AQ524" s="458"/>
      <c r="AR524" s="458"/>
      <c r="AS524" s="458"/>
      <c r="AT524" s="458"/>
      <c r="AU524" s="458"/>
      <c r="AV524" s="458"/>
      <c r="BA524" s="1305"/>
    </row>
    <row r="525" spans="2:53" ht="12.5">
      <c r="B525" s="175"/>
      <c r="C525" s="176"/>
      <c r="H525" s="178"/>
      <c r="I525" s="178"/>
      <c r="J525" s="184"/>
      <c r="N525" s="178"/>
      <c r="O525" s="178"/>
      <c r="P525" s="178"/>
      <c r="S525" s="458"/>
      <c r="AN525" s="458"/>
      <c r="AO525" s="458"/>
      <c r="AP525" s="458"/>
      <c r="AQ525" s="458"/>
      <c r="AR525" s="458"/>
      <c r="AS525" s="458"/>
      <c r="AT525" s="458"/>
      <c r="AU525" s="458"/>
      <c r="AV525" s="458"/>
      <c r="BA525" s="1305"/>
    </row>
    <row r="526" spans="2:53" ht="12.5">
      <c r="B526" s="175"/>
      <c r="C526" s="176"/>
      <c r="H526" s="178"/>
      <c r="I526" s="178"/>
      <c r="J526" s="184"/>
      <c r="N526" s="178"/>
      <c r="O526" s="178"/>
      <c r="P526" s="178"/>
      <c r="S526" s="458"/>
      <c r="AN526" s="458"/>
      <c r="AO526" s="458"/>
      <c r="AP526" s="458"/>
      <c r="AQ526" s="458"/>
      <c r="AR526" s="458"/>
      <c r="AS526" s="458"/>
      <c r="AT526" s="458"/>
      <c r="AU526" s="458"/>
      <c r="AV526" s="458"/>
      <c r="BA526" s="1305"/>
    </row>
    <row r="527" spans="2:53" ht="12.5">
      <c r="B527" s="175"/>
      <c r="C527" s="176"/>
      <c r="H527" s="178"/>
      <c r="I527" s="178"/>
      <c r="J527" s="184"/>
      <c r="N527" s="178"/>
      <c r="O527" s="178"/>
      <c r="P527" s="178"/>
      <c r="S527" s="458"/>
      <c r="AN527" s="458"/>
      <c r="AO527" s="458"/>
      <c r="AP527" s="458"/>
      <c r="AQ527" s="458"/>
      <c r="AR527" s="458"/>
      <c r="AS527" s="458"/>
      <c r="AT527" s="458"/>
      <c r="AU527" s="458"/>
      <c r="AV527" s="458"/>
      <c r="BA527" s="1305"/>
    </row>
    <row r="528" spans="2:53" ht="12.5">
      <c r="B528" s="175"/>
      <c r="C528" s="176"/>
      <c r="H528" s="178"/>
      <c r="I528" s="178"/>
      <c r="J528" s="184"/>
      <c r="N528" s="178"/>
      <c r="O528" s="178"/>
      <c r="P528" s="178"/>
      <c r="S528" s="458"/>
      <c r="AN528" s="458"/>
      <c r="AO528" s="458"/>
      <c r="AP528" s="458"/>
      <c r="AQ528" s="458"/>
      <c r="AR528" s="458"/>
      <c r="AS528" s="458"/>
      <c r="AT528" s="458"/>
      <c r="AU528" s="458"/>
      <c r="AV528" s="458"/>
      <c r="BA528" s="1305"/>
    </row>
    <row r="529" spans="2:53" ht="12.5">
      <c r="B529" s="175"/>
      <c r="C529" s="176"/>
      <c r="H529" s="178"/>
      <c r="I529" s="178"/>
      <c r="J529" s="184"/>
      <c r="N529" s="178"/>
      <c r="O529" s="178"/>
      <c r="P529" s="178"/>
      <c r="S529" s="458"/>
      <c r="AN529" s="458"/>
      <c r="AO529" s="458"/>
      <c r="AP529" s="458"/>
      <c r="AQ529" s="458"/>
      <c r="AR529" s="458"/>
      <c r="AS529" s="458"/>
      <c r="AT529" s="458"/>
      <c r="AU529" s="458"/>
      <c r="AV529" s="458"/>
      <c r="BA529" s="1305"/>
    </row>
    <row r="530" spans="2:53" ht="12.5">
      <c r="B530" s="175"/>
      <c r="C530" s="176"/>
      <c r="H530" s="178"/>
      <c r="I530" s="178"/>
      <c r="J530" s="184"/>
      <c r="N530" s="178"/>
      <c r="O530" s="178"/>
      <c r="P530" s="178"/>
      <c r="S530" s="458"/>
      <c r="AN530" s="458"/>
      <c r="AO530" s="458"/>
      <c r="AP530" s="458"/>
      <c r="AQ530" s="458"/>
      <c r="AR530" s="458"/>
      <c r="AS530" s="458"/>
      <c r="AT530" s="458"/>
      <c r="AU530" s="458"/>
      <c r="AV530" s="458"/>
      <c r="BA530" s="1305"/>
    </row>
    <row r="531" spans="2:53" ht="12.5">
      <c r="B531" s="175"/>
      <c r="C531" s="176"/>
      <c r="H531" s="178"/>
      <c r="I531" s="178"/>
      <c r="J531" s="184"/>
      <c r="N531" s="178"/>
      <c r="O531" s="178"/>
      <c r="P531" s="178"/>
      <c r="S531" s="458"/>
      <c r="AN531" s="458"/>
      <c r="AO531" s="458"/>
      <c r="AP531" s="458"/>
      <c r="AQ531" s="458"/>
      <c r="AR531" s="458"/>
      <c r="AS531" s="458"/>
      <c r="AT531" s="458"/>
      <c r="AU531" s="458"/>
      <c r="AV531" s="458"/>
      <c r="BA531" s="1305"/>
    </row>
    <row r="532" spans="2:53" ht="12.5">
      <c r="B532" s="175"/>
      <c r="C532" s="176"/>
      <c r="H532" s="178"/>
      <c r="I532" s="178"/>
      <c r="J532" s="184"/>
      <c r="N532" s="178"/>
      <c r="O532" s="178"/>
      <c r="P532" s="178"/>
      <c r="S532" s="458"/>
      <c r="AN532" s="458"/>
      <c r="AO532" s="458"/>
      <c r="AP532" s="458"/>
      <c r="AQ532" s="458"/>
      <c r="AR532" s="458"/>
      <c r="AS532" s="458"/>
      <c r="AT532" s="458"/>
      <c r="AU532" s="458"/>
      <c r="AV532" s="458"/>
      <c r="BA532" s="1305"/>
    </row>
    <row r="533" spans="2:53" ht="12.5">
      <c r="B533" s="175"/>
      <c r="C533" s="176"/>
      <c r="H533" s="178"/>
      <c r="I533" s="178"/>
      <c r="J533" s="184"/>
      <c r="N533" s="178"/>
      <c r="O533" s="178"/>
      <c r="P533" s="178"/>
      <c r="S533" s="458"/>
      <c r="AN533" s="458"/>
      <c r="AO533" s="458"/>
      <c r="AP533" s="458"/>
      <c r="AQ533" s="458"/>
      <c r="AR533" s="458"/>
      <c r="AS533" s="458"/>
      <c r="AT533" s="458"/>
      <c r="AU533" s="458"/>
      <c r="AV533" s="458"/>
      <c r="BA533" s="1305"/>
    </row>
    <row r="534" spans="2:53" ht="12.5">
      <c r="B534" s="175"/>
      <c r="C534" s="176"/>
      <c r="H534" s="178"/>
      <c r="I534" s="178"/>
      <c r="J534" s="184"/>
      <c r="N534" s="178"/>
      <c r="P534" s="178"/>
      <c r="S534" s="458"/>
      <c r="AN534" s="458"/>
      <c r="AO534" s="458"/>
      <c r="AP534" s="458"/>
      <c r="AQ534" s="458"/>
      <c r="AR534" s="458"/>
      <c r="AS534" s="458"/>
      <c r="AT534" s="458"/>
      <c r="AU534" s="458"/>
      <c r="AV534" s="458"/>
      <c r="BA534" s="1305"/>
    </row>
    <row r="535" spans="2:53" ht="12.5">
      <c r="B535" s="175"/>
      <c r="C535" s="176"/>
      <c r="H535" s="178"/>
      <c r="I535" s="178"/>
      <c r="J535" s="184"/>
      <c r="N535" s="178"/>
      <c r="P535" s="178"/>
      <c r="S535" s="458"/>
      <c r="AN535" s="458"/>
      <c r="AO535" s="458"/>
      <c r="AP535" s="458"/>
      <c r="AQ535" s="458"/>
      <c r="AR535" s="458"/>
      <c r="AS535" s="458"/>
      <c r="AT535" s="458"/>
      <c r="AU535" s="458"/>
      <c r="AV535" s="458"/>
      <c r="BA535" s="1305"/>
    </row>
    <row r="536" spans="2:53" ht="12.5">
      <c r="B536" s="175"/>
      <c r="C536" s="176"/>
      <c r="H536" s="178"/>
      <c r="I536" s="178"/>
      <c r="J536" s="184"/>
      <c r="N536" s="178"/>
      <c r="O536" s="178"/>
      <c r="P536" s="178"/>
      <c r="S536" s="458"/>
      <c r="AN536" s="458"/>
      <c r="AO536" s="458"/>
      <c r="AP536" s="458"/>
      <c r="AQ536" s="458"/>
      <c r="AR536" s="458"/>
      <c r="AS536" s="458"/>
      <c r="AT536" s="458"/>
      <c r="AU536" s="458"/>
      <c r="AV536" s="458"/>
      <c r="BA536" s="1305"/>
    </row>
    <row r="537" spans="2:53" ht="12.5">
      <c r="B537" s="175"/>
      <c r="C537" s="176"/>
      <c r="H537" s="178"/>
      <c r="I537" s="178"/>
      <c r="J537" s="184"/>
      <c r="N537" s="178"/>
      <c r="O537" s="178"/>
      <c r="P537" s="178"/>
      <c r="S537" s="458"/>
      <c r="AN537" s="458"/>
      <c r="AO537" s="458"/>
      <c r="AP537" s="458"/>
      <c r="AQ537" s="458"/>
      <c r="AR537" s="458"/>
      <c r="AS537" s="458"/>
      <c r="AT537" s="458"/>
      <c r="AU537" s="458"/>
      <c r="AV537" s="458"/>
      <c r="BA537" s="1305"/>
    </row>
    <row r="538" spans="2:53" ht="12.5">
      <c r="B538" s="175"/>
      <c r="C538" s="176"/>
      <c r="H538" s="178"/>
      <c r="I538" s="178"/>
      <c r="J538" s="184"/>
      <c r="N538" s="178"/>
      <c r="O538" s="178"/>
      <c r="P538" s="178"/>
      <c r="S538" s="458"/>
      <c r="AN538" s="458"/>
      <c r="AO538" s="458"/>
      <c r="AP538" s="458"/>
      <c r="AQ538" s="458"/>
      <c r="AR538" s="458"/>
      <c r="AS538" s="458"/>
      <c r="AT538" s="458"/>
      <c r="AU538" s="458"/>
      <c r="AV538" s="458"/>
      <c r="BA538" s="1305"/>
    </row>
    <row r="539" spans="2:53" ht="12.5">
      <c r="B539" s="175"/>
      <c r="C539" s="176"/>
      <c r="H539" s="178"/>
      <c r="I539" s="178"/>
      <c r="J539" s="184"/>
      <c r="N539" s="178"/>
      <c r="O539" s="178"/>
      <c r="P539" s="178"/>
      <c r="S539" s="458"/>
      <c r="AN539" s="458"/>
      <c r="AO539" s="458"/>
      <c r="AP539" s="458"/>
      <c r="AQ539" s="458"/>
      <c r="AR539" s="458"/>
      <c r="AS539" s="458"/>
      <c r="AT539" s="458"/>
      <c r="AU539" s="458"/>
      <c r="AV539" s="458"/>
      <c r="BA539" s="1305"/>
    </row>
    <row r="540" spans="2:53" ht="12.5">
      <c r="B540" s="175"/>
      <c r="C540" s="176"/>
      <c r="H540" s="178"/>
      <c r="I540" s="178"/>
      <c r="J540" s="184"/>
      <c r="N540" s="178"/>
      <c r="O540" s="178"/>
      <c r="P540" s="178"/>
      <c r="S540" s="458"/>
      <c r="AN540" s="458"/>
      <c r="AO540" s="458"/>
      <c r="AP540" s="458"/>
      <c r="AQ540" s="458"/>
      <c r="AR540" s="458"/>
      <c r="AS540" s="458"/>
      <c r="AT540" s="458"/>
      <c r="AU540" s="458"/>
      <c r="AV540" s="458"/>
      <c r="BA540" s="1305"/>
    </row>
    <row r="541" spans="2:53" ht="12.5">
      <c r="B541" s="175"/>
      <c r="C541" s="176"/>
      <c r="H541" s="178"/>
      <c r="I541" s="178"/>
      <c r="J541" s="184"/>
      <c r="N541" s="178"/>
      <c r="O541" s="178"/>
      <c r="P541" s="178"/>
      <c r="S541" s="458"/>
      <c r="AN541" s="458"/>
      <c r="AO541" s="458"/>
      <c r="AP541" s="458"/>
      <c r="AQ541" s="458"/>
      <c r="AR541" s="458"/>
      <c r="AS541" s="458"/>
      <c r="AT541" s="458"/>
      <c r="AU541" s="458"/>
      <c r="AV541" s="458"/>
      <c r="BA541" s="1305"/>
    </row>
    <row r="542" spans="2:53" ht="12.5">
      <c r="B542" s="175"/>
      <c r="C542" s="176"/>
      <c r="H542" s="178"/>
      <c r="I542" s="178"/>
      <c r="J542" s="184"/>
      <c r="N542" s="178"/>
      <c r="O542" s="178"/>
      <c r="P542" s="178"/>
      <c r="S542" s="458"/>
      <c r="AN542" s="458"/>
      <c r="AO542" s="458"/>
      <c r="AP542" s="458"/>
      <c r="AQ542" s="458"/>
      <c r="AR542" s="458"/>
      <c r="AS542" s="458"/>
      <c r="AT542" s="458"/>
      <c r="AU542" s="458"/>
      <c r="AV542" s="458"/>
      <c r="BA542" s="1305"/>
    </row>
    <row r="543" spans="2:53" ht="12.5">
      <c r="B543" s="175"/>
      <c r="C543" s="176"/>
      <c r="H543" s="178"/>
      <c r="I543" s="178"/>
      <c r="J543" s="184"/>
      <c r="N543" s="178"/>
      <c r="O543" s="178"/>
      <c r="P543" s="178"/>
      <c r="S543" s="458"/>
      <c r="AN543" s="458"/>
      <c r="AO543" s="458"/>
      <c r="AP543" s="458"/>
      <c r="AQ543" s="458"/>
      <c r="AR543" s="458"/>
      <c r="AS543" s="458"/>
      <c r="AT543" s="458"/>
      <c r="AU543" s="458"/>
      <c r="AV543" s="458"/>
      <c r="BA543" s="1305"/>
    </row>
    <row r="544" spans="2:53" ht="12.5">
      <c r="B544" s="175"/>
      <c r="C544" s="176"/>
      <c r="H544" s="178"/>
      <c r="I544" s="178"/>
      <c r="J544" s="184"/>
      <c r="N544" s="178"/>
      <c r="O544" s="178"/>
      <c r="P544" s="178"/>
      <c r="S544" s="458"/>
      <c r="AN544" s="458"/>
      <c r="AO544" s="458"/>
      <c r="AP544" s="458"/>
      <c r="AQ544" s="458"/>
      <c r="AR544" s="458"/>
      <c r="AS544" s="458"/>
      <c r="AT544" s="458"/>
      <c r="AU544" s="458"/>
      <c r="AV544" s="458"/>
      <c r="BA544" s="1305"/>
    </row>
    <row r="545" spans="2:53" ht="12.5">
      <c r="B545" s="175"/>
      <c r="C545" s="176"/>
      <c r="H545" s="178"/>
      <c r="I545" s="178"/>
      <c r="J545" s="184"/>
      <c r="N545" s="178"/>
      <c r="O545" s="178"/>
      <c r="P545" s="178"/>
      <c r="S545" s="458"/>
      <c r="AN545" s="458"/>
      <c r="AO545" s="458"/>
      <c r="AP545" s="458"/>
      <c r="AQ545" s="458"/>
      <c r="AR545" s="458"/>
      <c r="AS545" s="458"/>
      <c r="AT545" s="458"/>
      <c r="AU545" s="458"/>
      <c r="AV545" s="458"/>
      <c r="BA545" s="1305"/>
    </row>
    <row r="546" spans="2:53" ht="12.5">
      <c r="B546" s="175"/>
      <c r="C546" s="176"/>
      <c r="H546" s="178"/>
      <c r="I546" s="179"/>
      <c r="J546" s="184"/>
      <c r="N546" s="178"/>
      <c r="O546" s="178"/>
      <c r="P546" s="178"/>
      <c r="S546" s="458"/>
      <c r="AN546" s="458"/>
      <c r="AO546" s="458"/>
      <c r="AP546" s="458"/>
      <c r="AQ546" s="458"/>
      <c r="AR546" s="458"/>
      <c r="AS546" s="458"/>
      <c r="AT546" s="458"/>
      <c r="AU546" s="458"/>
      <c r="AV546" s="458"/>
      <c r="BA546" s="1305"/>
    </row>
    <row r="547" spans="2:53" ht="12.5">
      <c r="B547" s="175"/>
      <c r="C547" s="176"/>
      <c r="H547" s="178"/>
      <c r="I547" s="178"/>
      <c r="J547" s="184"/>
      <c r="N547" s="178"/>
      <c r="O547" s="178"/>
      <c r="P547" s="178"/>
      <c r="S547" s="458"/>
      <c r="AN547" s="458"/>
      <c r="AO547" s="458"/>
      <c r="AP547" s="458"/>
      <c r="AQ547" s="458"/>
      <c r="AR547" s="458"/>
      <c r="AS547" s="458"/>
      <c r="AT547" s="458"/>
      <c r="AU547" s="458"/>
      <c r="AV547" s="458"/>
      <c r="BA547" s="1305"/>
    </row>
    <row r="548" spans="2:53" ht="12.5">
      <c r="B548" s="175"/>
      <c r="C548" s="176"/>
      <c r="H548" s="178"/>
      <c r="I548" s="179"/>
      <c r="J548" s="184"/>
      <c r="N548" s="178"/>
      <c r="O548" s="178"/>
      <c r="P548" s="178"/>
      <c r="S548" s="458"/>
      <c r="AN548" s="458"/>
      <c r="AO548" s="458"/>
      <c r="AP548" s="458"/>
      <c r="AQ548" s="458"/>
      <c r="AR548" s="458"/>
      <c r="AS548" s="458"/>
      <c r="AT548" s="458"/>
      <c r="AU548" s="458"/>
      <c r="AV548" s="458"/>
      <c r="BA548" s="1305"/>
    </row>
    <row r="549" spans="2:53" ht="12.5">
      <c r="B549" s="175"/>
      <c r="C549" s="176"/>
      <c r="H549" s="178"/>
      <c r="I549" s="178"/>
      <c r="J549" s="184"/>
      <c r="N549" s="178"/>
      <c r="O549" s="178"/>
      <c r="P549" s="178"/>
      <c r="S549" s="458"/>
      <c r="AN549" s="458"/>
      <c r="AO549" s="458"/>
      <c r="AP549" s="458"/>
      <c r="AQ549" s="458"/>
      <c r="AR549" s="458"/>
      <c r="AS549" s="458"/>
      <c r="AT549" s="458"/>
      <c r="AU549" s="458"/>
      <c r="AV549" s="458"/>
      <c r="BA549" s="1305"/>
    </row>
    <row r="550" spans="2:53" ht="12.5">
      <c r="B550" s="175"/>
      <c r="C550" s="176"/>
      <c r="H550" s="178"/>
      <c r="I550" s="178"/>
      <c r="J550" s="184"/>
      <c r="N550" s="178"/>
      <c r="O550" s="178"/>
      <c r="P550" s="178"/>
      <c r="S550" s="458"/>
      <c r="AN550" s="458"/>
      <c r="AO550" s="458"/>
      <c r="AP550" s="458"/>
      <c r="AQ550" s="458"/>
      <c r="AR550" s="458"/>
      <c r="AS550" s="458"/>
      <c r="AT550" s="458"/>
      <c r="AU550" s="458"/>
      <c r="AV550" s="458"/>
      <c r="BA550" s="1305"/>
    </row>
    <row r="551" spans="2:53" ht="12.5">
      <c r="B551" s="175"/>
      <c r="C551" s="176"/>
      <c r="H551" s="178"/>
      <c r="I551" s="179"/>
      <c r="J551" s="184"/>
      <c r="N551" s="178"/>
      <c r="O551" s="178"/>
      <c r="P551" s="178"/>
      <c r="S551" s="458"/>
      <c r="AN551" s="458"/>
      <c r="AO551" s="458"/>
      <c r="AP551" s="458"/>
      <c r="AQ551" s="458"/>
      <c r="AR551" s="458"/>
      <c r="AS551" s="458"/>
      <c r="AT551" s="458"/>
      <c r="AU551" s="458"/>
      <c r="AV551" s="458"/>
      <c r="BA551" s="1305"/>
    </row>
    <row r="552" spans="2:53" ht="12.5">
      <c r="B552" s="175"/>
      <c r="C552" s="176"/>
      <c r="H552" s="178"/>
      <c r="I552" s="178"/>
      <c r="J552" s="184"/>
      <c r="N552" s="178"/>
      <c r="O552" s="178"/>
      <c r="P552" s="178"/>
      <c r="S552" s="458"/>
      <c r="AN552" s="458"/>
      <c r="AO552" s="458"/>
      <c r="AP552" s="458"/>
      <c r="AQ552" s="458"/>
      <c r="AR552" s="458"/>
      <c r="AS552" s="458"/>
      <c r="AT552" s="458"/>
      <c r="AU552" s="458"/>
      <c r="AV552" s="458"/>
      <c r="BA552" s="1305"/>
    </row>
    <row r="553" spans="2:53" ht="12.5">
      <c r="B553" s="175"/>
      <c r="C553" s="176"/>
      <c r="H553" s="178"/>
      <c r="I553" s="179"/>
      <c r="J553" s="184"/>
      <c r="N553" s="178"/>
      <c r="O553" s="178"/>
      <c r="P553" s="178"/>
      <c r="S553" s="458"/>
      <c r="AN553" s="458"/>
      <c r="AO553" s="458"/>
      <c r="AP553" s="458"/>
      <c r="AQ553" s="458"/>
      <c r="AR553" s="458"/>
      <c r="AS553" s="458"/>
      <c r="AT553" s="458"/>
      <c r="AU553" s="458"/>
      <c r="AV553" s="458"/>
      <c r="BA553" s="1305"/>
    </row>
    <row r="554" spans="2:53" ht="12.5">
      <c r="B554" s="175"/>
      <c r="C554" s="176"/>
      <c r="H554" s="178"/>
      <c r="I554" s="178"/>
      <c r="J554" s="184"/>
      <c r="N554" s="178"/>
      <c r="O554" s="178"/>
      <c r="P554" s="178"/>
      <c r="S554" s="458"/>
      <c r="AN554" s="458"/>
      <c r="AO554" s="458"/>
      <c r="AP554" s="458"/>
      <c r="AQ554" s="458"/>
      <c r="AR554" s="458"/>
      <c r="AS554" s="458"/>
      <c r="AT554" s="458"/>
      <c r="AU554" s="458"/>
      <c r="AV554" s="458"/>
      <c r="AW554" s="177"/>
      <c r="AX554" s="177"/>
      <c r="BA554" s="1307"/>
    </row>
    <row r="555" spans="2:53" ht="12.5">
      <c r="B555" s="175"/>
      <c r="C555" s="176"/>
      <c r="H555" s="178"/>
      <c r="I555" s="178"/>
      <c r="J555" s="184"/>
      <c r="N555" s="178"/>
      <c r="O555" s="178"/>
      <c r="P555" s="178"/>
      <c r="S555" s="458"/>
      <c r="AN555" s="458"/>
      <c r="AO555" s="458"/>
      <c r="AP555" s="458"/>
      <c r="AQ555" s="458"/>
      <c r="AR555" s="458"/>
      <c r="AS555" s="458"/>
      <c r="AT555" s="458"/>
      <c r="AU555" s="458"/>
      <c r="AV555" s="458"/>
      <c r="AW555" s="177"/>
      <c r="AX555" s="177"/>
      <c r="BA555" s="1307"/>
    </row>
    <row r="556" spans="2:53" ht="12.5">
      <c r="B556" s="175"/>
      <c r="C556" s="176"/>
      <c r="H556" s="178"/>
      <c r="I556" s="179"/>
      <c r="J556" s="184"/>
      <c r="N556" s="178"/>
      <c r="O556" s="178"/>
      <c r="P556" s="178"/>
      <c r="S556" s="458"/>
      <c r="AN556" s="458"/>
      <c r="AO556" s="458"/>
      <c r="AP556" s="458"/>
      <c r="AQ556" s="458"/>
      <c r="AR556" s="458"/>
      <c r="AS556" s="458"/>
      <c r="AT556" s="458"/>
      <c r="AU556" s="458"/>
      <c r="AV556" s="458"/>
      <c r="AW556" s="177"/>
      <c r="AX556" s="177"/>
      <c r="BA556" s="1307"/>
    </row>
    <row r="557" spans="2:53" ht="12.5">
      <c r="B557" s="175"/>
      <c r="C557" s="176"/>
      <c r="H557" s="178"/>
      <c r="I557" s="178"/>
      <c r="J557" s="184"/>
      <c r="N557" s="178"/>
      <c r="O557" s="178"/>
      <c r="P557" s="178"/>
      <c r="S557" s="458"/>
      <c r="AN557" s="458"/>
      <c r="AO557" s="458"/>
      <c r="AP557" s="458"/>
      <c r="AQ557" s="458"/>
      <c r="AR557" s="458"/>
      <c r="AS557" s="458"/>
      <c r="AT557" s="458"/>
      <c r="AU557" s="458"/>
      <c r="AV557" s="458"/>
      <c r="AW557" s="177"/>
      <c r="AX557" s="177"/>
      <c r="BA557" s="1307"/>
    </row>
    <row r="558" spans="2:53" ht="12.5">
      <c r="B558" s="175"/>
      <c r="C558" s="176"/>
      <c r="H558" s="178"/>
      <c r="I558" s="179"/>
      <c r="J558" s="184"/>
      <c r="N558" s="178"/>
      <c r="O558" s="178"/>
      <c r="P558" s="178"/>
      <c r="S558" s="458"/>
      <c r="AN558" s="458"/>
      <c r="AO558" s="458"/>
      <c r="AP558" s="458"/>
      <c r="AQ558" s="458"/>
      <c r="AR558" s="458"/>
      <c r="AS558" s="458"/>
      <c r="AT558" s="458"/>
      <c r="AU558" s="458"/>
      <c r="AV558" s="458"/>
      <c r="AW558" s="177"/>
      <c r="AX558" s="177"/>
      <c r="BA558" s="1307"/>
    </row>
    <row r="559" spans="2:53" ht="12.5">
      <c r="B559" s="175"/>
      <c r="C559" s="176"/>
      <c r="J559" s="184"/>
      <c r="N559" s="178"/>
      <c r="O559" s="178"/>
      <c r="P559" s="178"/>
      <c r="S559" s="458"/>
      <c r="AN559" s="458"/>
      <c r="AO559" s="458"/>
      <c r="AP559" s="458"/>
      <c r="AQ559" s="458"/>
      <c r="AR559" s="458"/>
      <c r="AS559" s="458"/>
      <c r="AT559" s="458"/>
      <c r="AU559" s="458"/>
      <c r="AV559" s="458"/>
      <c r="AW559" s="177"/>
      <c r="AX559" s="177"/>
      <c r="BA559" s="1307"/>
    </row>
    <row r="560" spans="2:53" ht="12.5">
      <c r="B560" s="175"/>
      <c r="C560" s="176"/>
      <c r="J560" s="184"/>
      <c r="N560" s="178"/>
      <c r="O560" s="178"/>
      <c r="P560" s="178"/>
      <c r="S560" s="458"/>
      <c r="AN560" s="458"/>
      <c r="AO560" s="458"/>
      <c r="AP560" s="458"/>
      <c r="AQ560" s="458"/>
      <c r="AR560" s="458"/>
      <c r="AS560" s="458"/>
      <c r="AT560" s="458"/>
      <c r="AU560" s="458"/>
      <c r="AV560" s="458"/>
      <c r="AW560" s="177"/>
      <c r="AX560" s="177"/>
      <c r="BA560" s="1307"/>
    </row>
    <row r="561" spans="2:53" ht="12.5">
      <c r="B561" s="175"/>
      <c r="C561" s="176"/>
      <c r="H561" s="178"/>
      <c r="I561" s="178"/>
      <c r="J561" s="184"/>
      <c r="N561" s="178"/>
      <c r="O561" s="178"/>
      <c r="P561" s="178"/>
      <c r="S561" s="458"/>
      <c r="AN561" s="458"/>
      <c r="AO561" s="458"/>
      <c r="AP561" s="458"/>
      <c r="AQ561" s="458"/>
      <c r="AR561" s="458"/>
      <c r="AS561" s="458"/>
      <c r="AT561" s="458"/>
      <c r="AU561" s="458"/>
      <c r="AV561" s="458"/>
      <c r="AW561" s="177"/>
      <c r="AX561" s="177"/>
      <c r="BA561" s="1307"/>
    </row>
    <row r="562" spans="2:53" ht="12.5">
      <c r="B562" s="175"/>
      <c r="C562" s="176"/>
      <c r="H562" s="178"/>
      <c r="I562" s="178"/>
      <c r="J562" s="184"/>
      <c r="N562" s="178"/>
      <c r="O562" s="178"/>
      <c r="P562" s="178"/>
      <c r="S562" s="458"/>
      <c r="AN562" s="458"/>
      <c r="AO562" s="458"/>
      <c r="AP562" s="458"/>
      <c r="AQ562" s="458"/>
      <c r="AR562" s="458"/>
      <c r="AS562" s="458"/>
      <c r="AT562" s="458"/>
      <c r="AU562" s="458"/>
      <c r="AV562" s="458"/>
      <c r="AW562" s="177"/>
      <c r="AX562" s="177"/>
      <c r="BA562" s="1307"/>
    </row>
    <row r="563" spans="2:53" ht="12.5">
      <c r="B563" s="175"/>
      <c r="C563" s="176"/>
      <c r="H563" s="178"/>
      <c r="I563" s="178"/>
      <c r="J563" s="184"/>
      <c r="N563" s="178"/>
      <c r="O563" s="178"/>
      <c r="P563" s="178"/>
      <c r="S563" s="458"/>
      <c r="AN563" s="458"/>
      <c r="AO563" s="458"/>
      <c r="AP563" s="458"/>
      <c r="AQ563" s="458"/>
      <c r="AR563" s="458"/>
      <c r="AS563" s="458"/>
      <c r="AT563" s="458"/>
      <c r="AU563" s="458"/>
      <c r="AV563" s="458"/>
      <c r="AW563" s="177"/>
      <c r="AX563" s="177"/>
      <c r="BA563" s="1307"/>
    </row>
    <row r="564" spans="2:53" ht="12.5">
      <c r="B564" s="175"/>
      <c r="C564" s="176"/>
      <c r="H564" s="178"/>
      <c r="I564" s="178"/>
      <c r="J564" s="184"/>
      <c r="N564" s="178"/>
      <c r="O564" s="178"/>
      <c r="P564" s="178"/>
      <c r="S564" s="458"/>
      <c r="AN564" s="458"/>
      <c r="AO564" s="458"/>
      <c r="AP564" s="458"/>
      <c r="AQ564" s="458"/>
      <c r="AR564" s="458"/>
      <c r="AS564" s="458"/>
      <c r="AT564" s="458"/>
      <c r="AU564" s="458"/>
      <c r="AV564" s="458"/>
      <c r="AW564" s="177"/>
      <c r="AX564" s="177"/>
      <c r="BA564" s="1307"/>
    </row>
    <row r="565" spans="2:53" ht="12.5">
      <c r="B565" s="175"/>
      <c r="C565" s="176"/>
      <c r="H565" s="178"/>
      <c r="I565" s="178"/>
      <c r="J565" s="184"/>
      <c r="N565" s="178"/>
      <c r="O565" s="178"/>
      <c r="P565" s="178"/>
      <c r="S565" s="458"/>
      <c r="AN565" s="458"/>
      <c r="AO565" s="458"/>
      <c r="AP565" s="458"/>
      <c r="AQ565" s="458"/>
      <c r="AR565" s="458"/>
      <c r="AS565" s="458"/>
      <c r="AT565" s="458"/>
      <c r="AU565" s="458"/>
      <c r="AV565" s="458"/>
      <c r="AW565" s="177"/>
      <c r="AX565" s="177"/>
      <c r="BA565" s="1307"/>
    </row>
    <row r="566" spans="2:53" ht="12.5">
      <c r="B566" s="175"/>
      <c r="C566" s="176"/>
      <c r="H566" s="178"/>
      <c r="I566" s="178"/>
      <c r="J566" s="184"/>
      <c r="N566" s="178"/>
      <c r="O566" s="178"/>
      <c r="P566" s="178"/>
      <c r="S566" s="458"/>
      <c r="AN566" s="458"/>
      <c r="AO566" s="458"/>
      <c r="AP566" s="458"/>
      <c r="AQ566" s="458"/>
      <c r="AR566" s="458"/>
      <c r="AS566" s="458"/>
      <c r="AT566" s="458"/>
      <c r="AU566" s="458"/>
      <c r="AV566" s="458"/>
      <c r="AW566" s="177"/>
      <c r="AX566" s="177"/>
      <c r="BA566" s="1307"/>
    </row>
    <row r="567" spans="2:53" ht="12.5">
      <c r="B567" s="175"/>
      <c r="C567" s="176"/>
      <c r="H567" s="178"/>
      <c r="I567" s="178"/>
      <c r="J567" s="184"/>
      <c r="N567" s="178"/>
      <c r="O567" s="178"/>
      <c r="P567" s="178"/>
      <c r="S567" s="458"/>
      <c r="AN567" s="458"/>
      <c r="AO567" s="458"/>
      <c r="AP567" s="458"/>
      <c r="AQ567" s="458"/>
      <c r="AR567" s="458"/>
      <c r="AS567" s="458"/>
      <c r="AT567" s="458"/>
      <c r="AU567" s="458"/>
      <c r="AV567" s="458"/>
      <c r="BA567" s="1305"/>
    </row>
    <row r="568" spans="2:53" ht="12.5">
      <c r="B568" s="175"/>
      <c r="C568" s="176"/>
      <c r="H568" s="178"/>
      <c r="I568" s="178"/>
      <c r="J568" s="184"/>
      <c r="N568" s="178"/>
      <c r="P568" s="178"/>
      <c r="S568" s="458"/>
      <c r="AN568" s="458"/>
      <c r="AO568" s="458"/>
      <c r="AP568" s="458"/>
      <c r="AQ568" s="458"/>
      <c r="AR568" s="458"/>
      <c r="AS568" s="458"/>
      <c r="AT568" s="458"/>
      <c r="AU568" s="458"/>
      <c r="AV568" s="458"/>
      <c r="BA568" s="1305"/>
    </row>
    <row r="569" spans="2:53" ht="12.5">
      <c r="B569" s="175"/>
      <c r="C569" s="176"/>
      <c r="H569" s="178"/>
      <c r="I569" s="178"/>
      <c r="J569" s="184"/>
      <c r="N569" s="178"/>
      <c r="P569" s="178"/>
      <c r="S569" s="458"/>
      <c r="AN569" s="458"/>
      <c r="AO569" s="458"/>
      <c r="AP569" s="458"/>
      <c r="AQ569" s="458"/>
      <c r="AR569" s="458"/>
      <c r="AS569" s="458"/>
      <c r="AT569" s="458"/>
      <c r="AU569" s="458"/>
      <c r="AV569" s="458"/>
      <c r="BA569" s="1305"/>
    </row>
    <row r="570" spans="2:53" ht="12.5">
      <c r="B570" s="175"/>
      <c r="C570" s="176"/>
      <c r="H570" s="178"/>
      <c r="I570" s="178"/>
      <c r="J570" s="184"/>
      <c r="N570" s="178"/>
      <c r="O570" s="178"/>
      <c r="P570" s="178"/>
      <c r="S570" s="458"/>
      <c r="AN570" s="458"/>
      <c r="AO570" s="458"/>
      <c r="AP570" s="458"/>
      <c r="AQ570" s="458"/>
      <c r="AR570" s="458"/>
      <c r="AS570" s="458"/>
      <c r="AT570" s="458"/>
      <c r="AU570" s="458"/>
      <c r="AV570" s="458"/>
      <c r="BA570" s="1305"/>
    </row>
    <row r="571" spans="2:53" ht="12.5">
      <c r="B571" s="175"/>
      <c r="C571" s="176"/>
      <c r="H571" s="178"/>
      <c r="I571" s="178"/>
      <c r="J571" s="184"/>
      <c r="N571" s="178"/>
      <c r="O571" s="178"/>
      <c r="P571" s="178"/>
      <c r="S571" s="458"/>
      <c r="AN571" s="458"/>
      <c r="AO571" s="458"/>
      <c r="AP571" s="458"/>
      <c r="AQ571" s="458"/>
      <c r="AR571" s="458"/>
      <c r="AS571" s="458"/>
      <c r="AT571" s="458"/>
      <c r="AU571" s="458"/>
      <c r="AV571" s="458"/>
      <c r="BA571" s="1305"/>
    </row>
    <row r="572" spans="2:53" ht="12.5">
      <c r="B572" s="175"/>
      <c r="C572" s="176"/>
      <c r="H572" s="178"/>
      <c r="I572" s="178"/>
      <c r="J572" s="184"/>
      <c r="N572" s="178"/>
      <c r="O572" s="178"/>
      <c r="P572" s="178"/>
      <c r="S572" s="458"/>
      <c r="AN572" s="458"/>
      <c r="AO572" s="458"/>
      <c r="AP572" s="458"/>
      <c r="AQ572" s="458"/>
      <c r="AR572" s="458"/>
      <c r="AS572" s="458"/>
      <c r="AT572" s="458"/>
      <c r="AU572" s="458"/>
      <c r="AV572" s="458"/>
      <c r="AW572" s="177"/>
      <c r="AX572" s="177"/>
      <c r="BA572" s="1307"/>
    </row>
    <row r="573" spans="2:53" ht="12.5">
      <c r="B573" s="175"/>
      <c r="C573" s="176"/>
      <c r="H573" s="178"/>
      <c r="I573" s="178"/>
      <c r="J573" s="184"/>
      <c r="N573" s="178"/>
      <c r="O573" s="178"/>
      <c r="P573" s="178"/>
      <c r="S573" s="458"/>
      <c r="AN573" s="458"/>
      <c r="AO573" s="458"/>
      <c r="AP573" s="458"/>
      <c r="AQ573" s="458"/>
      <c r="AR573" s="458"/>
      <c r="AS573" s="458"/>
      <c r="AT573" s="458"/>
      <c r="AU573" s="458"/>
      <c r="AV573" s="458"/>
      <c r="AW573" s="177"/>
      <c r="AX573" s="177"/>
      <c r="BA573" s="1307"/>
    </row>
    <row r="574" spans="2:53" ht="12.5">
      <c r="B574" s="175"/>
      <c r="C574" s="176"/>
      <c r="H574" s="178"/>
      <c r="I574" s="178"/>
      <c r="J574" s="184"/>
      <c r="N574" s="178"/>
      <c r="O574" s="178"/>
      <c r="P574" s="178"/>
      <c r="S574" s="458"/>
      <c r="AN574" s="458"/>
      <c r="AO574" s="458"/>
      <c r="AP574" s="458"/>
      <c r="AQ574" s="458"/>
      <c r="AR574" s="458"/>
      <c r="AS574" s="458"/>
      <c r="AT574" s="458"/>
      <c r="AU574" s="458"/>
      <c r="AV574" s="458"/>
      <c r="AW574" s="177"/>
      <c r="AX574" s="177"/>
      <c r="BA574" s="1307"/>
    </row>
    <row r="575" spans="2:53" ht="12.5">
      <c r="B575" s="175"/>
      <c r="C575" s="176"/>
      <c r="H575" s="178"/>
      <c r="I575" s="178"/>
      <c r="J575" s="184"/>
      <c r="N575" s="178"/>
      <c r="O575" s="178"/>
      <c r="P575" s="178"/>
      <c r="S575" s="458"/>
      <c r="AL575" s="177"/>
      <c r="AN575" s="458"/>
      <c r="AO575" s="458"/>
      <c r="AP575" s="458"/>
      <c r="AQ575" s="458"/>
      <c r="AR575" s="458"/>
      <c r="AS575" s="458"/>
      <c r="AT575" s="458"/>
      <c r="AU575" s="458"/>
      <c r="AV575" s="458"/>
      <c r="AW575" s="177"/>
      <c r="AX575" s="177"/>
      <c r="BA575" s="1307"/>
    </row>
    <row r="576" spans="2:53" ht="12.5">
      <c r="B576" s="175"/>
      <c r="C576" s="176"/>
      <c r="H576" s="178"/>
      <c r="I576" s="178"/>
      <c r="J576" s="184"/>
      <c r="N576" s="178"/>
      <c r="O576" s="178"/>
      <c r="P576" s="178"/>
      <c r="S576" s="458"/>
      <c r="AL576" s="177"/>
      <c r="AN576" s="458"/>
      <c r="AO576" s="458"/>
      <c r="AP576" s="458"/>
      <c r="AQ576" s="458"/>
      <c r="AR576" s="458"/>
      <c r="AS576" s="458"/>
      <c r="AT576" s="458"/>
      <c r="AU576" s="458"/>
      <c r="AV576" s="458"/>
      <c r="AW576" s="177"/>
      <c r="AX576" s="177"/>
      <c r="BA576" s="1307"/>
    </row>
    <row r="577" spans="2:53" ht="12.5">
      <c r="B577" s="175"/>
      <c r="C577" s="176"/>
      <c r="H577" s="178"/>
      <c r="I577" s="179"/>
      <c r="J577" s="184"/>
      <c r="N577" s="178"/>
      <c r="O577" s="178"/>
      <c r="P577" s="178"/>
      <c r="S577" s="458"/>
      <c r="AL577" s="177"/>
      <c r="AN577" s="458"/>
      <c r="AO577" s="458"/>
      <c r="AP577" s="458"/>
      <c r="AQ577" s="458"/>
      <c r="AR577" s="458"/>
      <c r="AS577" s="458"/>
      <c r="AT577" s="458"/>
      <c r="AU577" s="458"/>
      <c r="AV577" s="458"/>
      <c r="BA577" s="1305"/>
    </row>
    <row r="578" spans="2:53" ht="12.5">
      <c r="B578" s="175"/>
      <c r="C578" s="176"/>
      <c r="H578" s="178"/>
      <c r="I578" s="178"/>
      <c r="J578" s="184"/>
      <c r="N578" s="178"/>
      <c r="O578" s="178"/>
      <c r="P578" s="178"/>
      <c r="S578" s="458"/>
      <c r="AL578" s="177"/>
      <c r="AN578" s="458"/>
      <c r="AO578" s="458"/>
      <c r="AP578" s="458"/>
      <c r="AQ578" s="458"/>
      <c r="AR578" s="458"/>
      <c r="AS578" s="458"/>
      <c r="AT578" s="458"/>
      <c r="AU578" s="458"/>
      <c r="AV578" s="458"/>
      <c r="BA578" s="1305"/>
    </row>
    <row r="579" spans="2:53" ht="12.5">
      <c r="B579" s="175"/>
      <c r="C579" s="176"/>
      <c r="H579" s="178"/>
      <c r="I579" s="178"/>
      <c r="J579" s="184"/>
      <c r="N579" s="178"/>
      <c r="O579" s="178"/>
      <c r="P579" s="178"/>
      <c r="S579" s="458"/>
      <c r="AL579" s="177"/>
      <c r="AN579" s="458"/>
      <c r="AO579" s="458"/>
      <c r="AP579" s="458"/>
      <c r="AQ579" s="458"/>
      <c r="AR579" s="458"/>
      <c r="AS579" s="458"/>
      <c r="AT579" s="458"/>
      <c r="AU579" s="458"/>
      <c r="AV579" s="458"/>
      <c r="BA579" s="1305"/>
    </row>
    <row r="580" spans="2:53" ht="12.5">
      <c r="B580" s="175"/>
      <c r="C580" s="176"/>
      <c r="H580" s="178"/>
      <c r="I580" s="179"/>
      <c r="J580" s="184"/>
      <c r="N580" s="178"/>
      <c r="O580" s="178"/>
      <c r="P580" s="178"/>
      <c r="S580" s="458"/>
      <c r="AL580" s="177"/>
      <c r="AN580" s="458"/>
      <c r="AO580" s="458"/>
      <c r="AP580" s="458"/>
      <c r="AQ580" s="458"/>
      <c r="AR580" s="458"/>
      <c r="AS580" s="458"/>
      <c r="AT580" s="458"/>
      <c r="AU580" s="458"/>
      <c r="AV580" s="458"/>
      <c r="AW580" s="177"/>
      <c r="AX580" s="177"/>
      <c r="BA580" s="1307"/>
    </row>
    <row r="581" spans="2:53" ht="12.5">
      <c r="B581" s="175"/>
      <c r="C581" s="176"/>
      <c r="H581" s="178"/>
      <c r="I581" s="178"/>
      <c r="J581" s="184"/>
      <c r="N581" s="178"/>
      <c r="O581" s="178"/>
      <c r="P581" s="178"/>
      <c r="S581" s="458"/>
      <c r="AL581" s="177"/>
      <c r="AN581" s="458"/>
      <c r="AO581" s="458"/>
      <c r="AP581" s="458"/>
      <c r="AQ581" s="458"/>
      <c r="AR581" s="458"/>
      <c r="AS581" s="458"/>
      <c r="AT581" s="458"/>
      <c r="AU581" s="458"/>
      <c r="AV581" s="458"/>
      <c r="AW581" s="177"/>
      <c r="AX581" s="177"/>
      <c r="BA581" s="1307"/>
    </row>
    <row r="582" spans="2:53" ht="12.5">
      <c r="B582" s="175"/>
      <c r="C582" s="176"/>
      <c r="H582" s="178"/>
      <c r="I582" s="179"/>
      <c r="J582" s="184"/>
      <c r="N582" s="178"/>
      <c r="O582" s="178"/>
      <c r="P582" s="178"/>
      <c r="S582" s="458"/>
      <c r="AL582" s="177"/>
      <c r="AN582" s="458"/>
      <c r="AO582" s="458"/>
      <c r="AP582" s="458"/>
      <c r="AQ582" s="458"/>
      <c r="AR582" s="458"/>
      <c r="AS582" s="458"/>
      <c r="AT582" s="458"/>
      <c r="AU582" s="458"/>
      <c r="AV582" s="458"/>
      <c r="AW582" s="177"/>
      <c r="AX582" s="177"/>
      <c r="BA582" s="1307"/>
    </row>
    <row r="583" spans="2:53" ht="12.5">
      <c r="B583" s="175"/>
      <c r="C583" s="176"/>
      <c r="H583" s="178"/>
      <c r="I583" s="178"/>
      <c r="J583" s="184"/>
      <c r="N583" s="178"/>
      <c r="O583" s="178"/>
      <c r="P583" s="178"/>
      <c r="S583" s="458"/>
      <c r="AL583" s="177"/>
      <c r="AN583" s="458"/>
      <c r="AO583" s="458"/>
      <c r="AP583" s="458"/>
      <c r="AQ583" s="458"/>
      <c r="AR583" s="458"/>
      <c r="AS583" s="458"/>
      <c r="AT583" s="458"/>
      <c r="AU583" s="458"/>
      <c r="AV583" s="458"/>
      <c r="AW583" s="177"/>
      <c r="AX583" s="177"/>
      <c r="BA583" s="1307"/>
    </row>
    <row r="584" spans="2:53" ht="12.5">
      <c r="B584" s="175"/>
      <c r="C584" s="176"/>
      <c r="H584" s="178"/>
      <c r="I584" s="178"/>
      <c r="J584" s="184"/>
      <c r="N584" s="178"/>
      <c r="O584" s="178"/>
      <c r="P584" s="178"/>
      <c r="S584" s="458"/>
      <c r="AL584" s="177"/>
      <c r="AN584" s="458"/>
      <c r="AO584" s="458"/>
      <c r="AP584" s="458"/>
      <c r="AQ584" s="458"/>
      <c r="AR584" s="458"/>
      <c r="AS584" s="458"/>
      <c r="AT584" s="458"/>
      <c r="AU584" s="458"/>
      <c r="AV584" s="458"/>
      <c r="AW584" s="177"/>
      <c r="AX584" s="177"/>
      <c r="BA584" s="1307"/>
    </row>
    <row r="585" spans="2:53" ht="12.5">
      <c r="B585" s="175"/>
      <c r="C585" s="176"/>
      <c r="H585" s="178"/>
      <c r="I585" s="178"/>
      <c r="J585" s="184"/>
      <c r="N585" s="178"/>
      <c r="O585" s="178"/>
      <c r="P585" s="178"/>
      <c r="S585" s="458"/>
      <c r="AL585" s="177"/>
      <c r="AN585" s="458"/>
      <c r="AO585" s="458"/>
      <c r="AP585" s="458"/>
      <c r="AQ585" s="458"/>
      <c r="AR585" s="458"/>
      <c r="AS585" s="458"/>
      <c r="AT585" s="458"/>
      <c r="AU585" s="458"/>
      <c r="AV585" s="458"/>
      <c r="AW585" s="177"/>
      <c r="AX585" s="177"/>
      <c r="BA585" s="1307"/>
    </row>
    <row r="586" spans="2:53" ht="12.5">
      <c r="B586" s="175"/>
      <c r="C586" s="176"/>
      <c r="H586" s="178"/>
      <c r="I586" s="178"/>
      <c r="J586" s="184"/>
      <c r="N586" s="178"/>
      <c r="O586" s="178"/>
      <c r="P586" s="178"/>
      <c r="S586" s="458"/>
      <c r="AL586" s="177"/>
      <c r="AN586" s="458"/>
      <c r="AO586" s="458"/>
      <c r="AP586" s="458"/>
      <c r="AQ586" s="458"/>
      <c r="AR586" s="458"/>
      <c r="AS586" s="458"/>
      <c r="AT586" s="458"/>
      <c r="AU586" s="458"/>
      <c r="AV586" s="458"/>
      <c r="AW586" s="177"/>
      <c r="AX586" s="177"/>
      <c r="BA586" s="1307"/>
    </row>
    <row r="587" spans="2:53" ht="12.5">
      <c r="B587" s="175"/>
      <c r="C587" s="176"/>
      <c r="H587" s="178"/>
      <c r="I587" s="178"/>
      <c r="J587" s="184"/>
      <c r="N587" s="178"/>
      <c r="O587" s="178"/>
      <c r="P587" s="178"/>
      <c r="S587" s="458"/>
      <c r="AL587" s="177"/>
      <c r="AN587" s="458"/>
      <c r="AO587" s="458"/>
      <c r="AP587" s="458"/>
      <c r="AQ587" s="458"/>
      <c r="AR587" s="458"/>
      <c r="AS587" s="458"/>
      <c r="AT587" s="458"/>
      <c r="AU587" s="458"/>
      <c r="AV587" s="458"/>
      <c r="BA587" s="1305"/>
    </row>
    <row r="588" spans="2:53" ht="12.5">
      <c r="B588" s="175"/>
      <c r="C588" s="176"/>
      <c r="H588" s="178"/>
      <c r="I588" s="179"/>
      <c r="J588" s="184"/>
      <c r="N588" s="178"/>
      <c r="O588" s="178"/>
      <c r="P588" s="178"/>
      <c r="S588" s="458"/>
      <c r="AN588" s="458"/>
      <c r="AO588" s="458"/>
      <c r="AP588" s="458"/>
      <c r="AQ588" s="458"/>
      <c r="AR588" s="458"/>
      <c r="AS588" s="458"/>
      <c r="AT588" s="458"/>
      <c r="AU588" s="458"/>
      <c r="AV588" s="458"/>
      <c r="BA588" s="1305"/>
    </row>
    <row r="589" spans="2:53" ht="12.5">
      <c r="B589" s="175"/>
      <c r="C589" s="176"/>
      <c r="H589" s="178"/>
      <c r="I589" s="178"/>
      <c r="J589" s="184"/>
      <c r="N589" s="178"/>
      <c r="O589" s="178"/>
      <c r="P589" s="178"/>
      <c r="S589" s="458"/>
      <c r="AN589" s="458"/>
      <c r="AO589" s="458"/>
      <c r="AP589" s="458"/>
      <c r="AQ589" s="458"/>
      <c r="AR589" s="458"/>
      <c r="AS589" s="458"/>
      <c r="AT589" s="458"/>
      <c r="AU589" s="458"/>
      <c r="AV589" s="458"/>
      <c r="BA589" s="1305"/>
    </row>
    <row r="590" spans="2:53" ht="12.5">
      <c r="B590" s="175"/>
      <c r="C590" s="176"/>
      <c r="H590" s="178"/>
      <c r="I590" s="179"/>
      <c r="J590" s="184"/>
      <c r="N590" s="178"/>
      <c r="O590" s="178"/>
      <c r="P590" s="178"/>
      <c r="S590" s="458"/>
      <c r="AN590" s="458"/>
      <c r="AO590" s="458"/>
      <c r="AP590" s="458"/>
      <c r="AQ590" s="458"/>
      <c r="AR590" s="458"/>
      <c r="AS590" s="458"/>
      <c r="AT590" s="458"/>
      <c r="AU590" s="458"/>
      <c r="AV590" s="458"/>
      <c r="BA590" s="1305"/>
    </row>
    <row r="591" spans="2:53" ht="12.5">
      <c r="B591" s="175"/>
      <c r="C591" s="176"/>
      <c r="H591" s="178"/>
      <c r="I591" s="178"/>
      <c r="J591" s="184"/>
      <c r="N591" s="178"/>
      <c r="O591" s="178"/>
      <c r="P591" s="178"/>
      <c r="S591" s="458"/>
      <c r="AN591" s="458"/>
      <c r="AO591" s="458"/>
      <c r="AP591" s="458"/>
      <c r="AQ591" s="458"/>
      <c r="AR591" s="458"/>
      <c r="AS591" s="458"/>
      <c r="AT591" s="458"/>
      <c r="AU591" s="458"/>
      <c r="AV591" s="458"/>
      <c r="BA591" s="1305"/>
    </row>
    <row r="592" spans="2:53" ht="12.5">
      <c r="B592" s="175"/>
      <c r="C592" s="176"/>
      <c r="H592" s="178"/>
      <c r="I592" s="179"/>
      <c r="J592" s="184"/>
      <c r="N592" s="178"/>
      <c r="O592" s="178"/>
      <c r="P592" s="178"/>
      <c r="S592" s="458"/>
      <c r="AN592" s="458"/>
      <c r="AO592" s="458"/>
      <c r="AP592" s="458"/>
      <c r="AQ592" s="458"/>
      <c r="AR592" s="458"/>
      <c r="AS592" s="458"/>
      <c r="AT592" s="458"/>
      <c r="AU592" s="458"/>
      <c r="AV592" s="458"/>
      <c r="BA592" s="1305"/>
    </row>
    <row r="593" spans="2:53" ht="12.5">
      <c r="B593" s="175"/>
      <c r="C593" s="176"/>
      <c r="H593" s="178"/>
      <c r="I593" s="178"/>
      <c r="J593" s="184"/>
      <c r="N593" s="178"/>
      <c r="O593" s="178"/>
      <c r="P593" s="178"/>
      <c r="S593" s="458"/>
      <c r="AL593" s="177"/>
      <c r="AN593" s="458"/>
      <c r="AO593" s="458"/>
      <c r="AP593" s="458"/>
      <c r="AQ593" s="458"/>
      <c r="AR593" s="458"/>
      <c r="AS593" s="458"/>
      <c r="AT593" s="458"/>
      <c r="AU593" s="458"/>
      <c r="AV593" s="458"/>
      <c r="BA593" s="1305"/>
    </row>
    <row r="594" spans="2:53" ht="12.5">
      <c r="B594" s="175"/>
      <c r="C594" s="176"/>
      <c r="H594" s="178"/>
      <c r="I594" s="178"/>
      <c r="J594" s="184"/>
      <c r="N594" s="178"/>
      <c r="O594" s="178"/>
      <c r="P594" s="178"/>
      <c r="S594" s="458"/>
      <c r="AL594" s="177"/>
      <c r="AN594" s="458"/>
      <c r="AO594" s="458"/>
      <c r="AP594" s="458"/>
      <c r="AQ594" s="458"/>
      <c r="AR594" s="458"/>
      <c r="AS594" s="458"/>
      <c r="AT594" s="458"/>
      <c r="AU594" s="458"/>
      <c r="AV594" s="458"/>
      <c r="BA594" s="1305"/>
    </row>
    <row r="595" spans="2:53" ht="12.5">
      <c r="B595" s="175"/>
      <c r="C595" s="176"/>
      <c r="H595" s="178"/>
      <c r="I595" s="178"/>
      <c r="J595" s="184"/>
      <c r="N595" s="178"/>
      <c r="O595" s="178"/>
      <c r="P595" s="178"/>
      <c r="S595" s="458"/>
      <c r="AL595" s="177"/>
      <c r="AN595" s="458"/>
      <c r="AO595" s="458"/>
      <c r="AP595" s="458"/>
      <c r="AQ595" s="458"/>
      <c r="AR595" s="458"/>
      <c r="AS595" s="458"/>
      <c r="AT595" s="458"/>
      <c r="AU595" s="458"/>
      <c r="AV595" s="458"/>
      <c r="BA595" s="1305"/>
    </row>
    <row r="596" spans="2:53" ht="12.5">
      <c r="B596" s="175"/>
      <c r="C596" s="176"/>
      <c r="H596" s="178"/>
      <c r="I596" s="178"/>
      <c r="J596" s="184"/>
      <c r="N596" s="178"/>
      <c r="O596" s="178"/>
      <c r="P596" s="178"/>
      <c r="S596" s="458"/>
      <c r="AL596" s="177"/>
      <c r="AN596" s="458"/>
      <c r="AO596" s="458"/>
      <c r="AP596" s="458"/>
      <c r="AQ596" s="458"/>
      <c r="AR596" s="458"/>
      <c r="AS596" s="458"/>
      <c r="AT596" s="458"/>
      <c r="AU596" s="458"/>
      <c r="AV596" s="458"/>
      <c r="BA596" s="1305"/>
    </row>
    <row r="597" spans="2:53" ht="12.5">
      <c r="B597" s="175"/>
      <c r="C597" s="176"/>
      <c r="H597" s="178"/>
      <c r="I597" s="178"/>
      <c r="J597" s="184"/>
      <c r="N597" s="178"/>
      <c r="O597" s="178"/>
      <c r="P597" s="178"/>
      <c r="S597" s="458"/>
      <c r="AL597" s="177"/>
      <c r="AN597" s="458"/>
      <c r="AO597" s="458"/>
      <c r="AP597" s="458"/>
      <c r="AQ597" s="458"/>
      <c r="AR597" s="458"/>
      <c r="AS597" s="458"/>
      <c r="AT597" s="458"/>
      <c r="AU597" s="458"/>
      <c r="AV597" s="458"/>
      <c r="BA597" s="1305"/>
    </row>
    <row r="598" spans="2:53" ht="12.5">
      <c r="B598" s="175"/>
      <c r="C598" s="176"/>
      <c r="H598" s="178"/>
      <c r="I598" s="178"/>
      <c r="J598" s="184"/>
      <c r="N598" s="178"/>
      <c r="O598" s="178"/>
      <c r="P598" s="178"/>
      <c r="S598" s="458"/>
      <c r="AN598" s="458"/>
      <c r="AO598" s="458"/>
      <c r="AP598" s="458"/>
      <c r="AQ598" s="458"/>
      <c r="AR598" s="458"/>
      <c r="AS598" s="458"/>
      <c r="AT598" s="458"/>
      <c r="AU598" s="458"/>
      <c r="AV598" s="458"/>
      <c r="BA598" s="1305"/>
    </row>
    <row r="599" spans="2:53" ht="12.5">
      <c r="B599" s="175"/>
      <c r="C599" s="176"/>
      <c r="H599" s="178"/>
      <c r="I599" s="178"/>
      <c r="J599" s="184"/>
      <c r="N599" s="178"/>
      <c r="O599" s="178"/>
      <c r="P599" s="178"/>
      <c r="S599" s="458"/>
      <c r="AN599" s="458"/>
      <c r="AO599" s="458"/>
      <c r="AP599" s="458"/>
      <c r="AQ599" s="458"/>
      <c r="AR599" s="458"/>
      <c r="AS599" s="458"/>
      <c r="AT599" s="458"/>
      <c r="AU599" s="458"/>
      <c r="AV599" s="458"/>
      <c r="BA599" s="1305"/>
    </row>
    <row r="600" spans="2:53" ht="12.5">
      <c r="B600" s="175"/>
      <c r="C600" s="176"/>
      <c r="H600" s="178"/>
      <c r="I600" s="178"/>
      <c r="J600" s="184"/>
      <c r="N600" s="178"/>
      <c r="P600" s="178"/>
      <c r="S600" s="458"/>
      <c r="AN600" s="458"/>
      <c r="AO600" s="458"/>
      <c r="AP600" s="458"/>
      <c r="AQ600" s="458"/>
      <c r="AR600" s="458"/>
      <c r="AS600" s="458"/>
      <c r="AT600" s="458"/>
      <c r="AU600" s="458"/>
      <c r="AV600" s="458"/>
      <c r="BA600" s="1305"/>
    </row>
    <row r="601" spans="2:53" ht="12.5">
      <c r="B601" s="175"/>
      <c r="C601" s="176"/>
      <c r="H601" s="178"/>
      <c r="I601" s="178"/>
      <c r="J601" s="184"/>
      <c r="N601" s="178"/>
      <c r="O601" s="178"/>
      <c r="P601" s="178"/>
      <c r="S601" s="458"/>
      <c r="AL601" s="177"/>
      <c r="AN601" s="458"/>
      <c r="AO601" s="458"/>
      <c r="AP601" s="458"/>
      <c r="AQ601" s="458"/>
      <c r="AR601" s="458"/>
      <c r="AS601" s="458"/>
      <c r="AT601" s="458"/>
      <c r="AU601" s="458"/>
      <c r="AV601" s="458"/>
      <c r="BA601" s="1305"/>
    </row>
    <row r="602" spans="2:53" ht="12.5">
      <c r="B602" s="175"/>
      <c r="C602" s="176"/>
      <c r="H602" s="178"/>
      <c r="I602" s="178"/>
      <c r="J602" s="184"/>
      <c r="N602" s="178"/>
      <c r="O602" s="178"/>
      <c r="P602" s="178"/>
      <c r="S602" s="458"/>
      <c r="AL602" s="177"/>
      <c r="AN602" s="458"/>
      <c r="AO602" s="458"/>
      <c r="AP602" s="458"/>
      <c r="AQ602" s="458"/>
      <c r="AR602" s="458"/>
      <c r="AS602" s="458"/>
      <c r="AT602" s="458"/>
      <c r="AU602" s="458"/>
      <c r="AV602" s="458"/>
      <c r="BA602" s="1305"/>
    </row>
    <row r="603" spans="2:53" ht="12.5">
      <c r="B603" s="175"/>
      <c r="C603" s="176"/>
      <c r="H603" s="178"/>
      <c r="I603" s="178"/>
      <c r="J603" s="184"/>
      <c r="N603" s="178"/>
      <c r="O603" s="178"/>
      <c r="P603" s="178"/>
      <c r="S603" s="458"/>
      <c r="AL603" s="177"/>
      <c r="AN603" s="458"/>
      <c r="AO603" s="458"/>
      <c r="AP603" s="458"/>
      <c r="AQ603" s="458"/>
      <c r="AR603" s="458"/>
      <c r="AS603" s="458"/>
      <c r="AT603" s="458"/>
      <c r="AU603" s="458"/>
      <c r="AV603" s="458"/>
      <c r="BA603" s="1305"/>
    </row>
    <row r="604" spans="2:53" ht="12.5">
      <c r="B604" s="175"/>
      <c r="C604" s="176"/>
      <c r="H604" s="178"/>
      <c r="I604" s="178"/>
      <c r="J604" s="184"/>
      <c r="N604" s="178"/>
      <c r="O604" s="178"/>
      <c r="P604" s="178"/>
      <c r="S604" s="458"/>
      <c r="AL604" s="177"/>
      <c r="AN604" s="458"/>
      <c r="AO604" s="458"/>
      <c r="AP604" s="458"/>
      <c r="AQ604" s="458"/>
      <c r="AR604" s="458"/>
      <c r="AS604" s="458"/>
      <c r="AT604" s="458"/>
      <c r="AU604" s="458"/>
      <c r="AV604" s="458"/>
      <c r="BA604" s="1305"/>
    </row>
    <row r="605" spans="2:53" ht="12.5">
      <c r="B605" s="175"/>
      <c r="C605" s="176"/>
      <c r="H605" s="178"/>
      <c r="I605" s="178"/>
      <c r="J605" s="184"/>
      <c r="N605" s="178"/>
      <c r="O605" s="178"/>
      <c r="P605" s="178"/>
      <c r="S605" s="458"/>
      <c r="AL605" s="177"/>
      <c r="AN605" s="458"/>
      <c r="AO605" s="458"/>
      <c r="AP605" s="458"/>
      <c r="AQ605" s="458"/>
      <c r="AR605" s="458"/>
      <c r="AS605" s="458"/>
      <c r="AT605" s="458"/>
      <c r="AU605" s="458"/>
      <c r="AV605" s="458"/>
      <c r="BA605" s="1305"/>
    </row>
    <row r="606" spans="2:53" ht="12.5">
      <c r="B606" s="175"/>
      <c r="C606" s="176"/>
      <c r="H606" s="178"/>
      <c r="I606" s="178"/>
      <c r="J606" s="184"/>
      <c r="N606" s="178"/>
      <c r="O606" s="178"/>
      <c r="P606" s="178"/>
      <c r="S606" s="458"/>
      <c r="AL606" s="177"/>
      <c r="AN606" s="458"/>
      <c r="AO606" s="458"/>
      <c r="AP606" s="458"/>
      <c r="AQ606" s="458"/>
      <c r="AR606" s="458"/>
      <c r="AS606" s="458"/>
      <c r="AT606" s="458"/>
      <c r="AU606" s="458"/>
      <c r="AV606" s="458"/>
      <c r="BA606" s="1305"/>
    </row>
    <row r="607" spans="2:53" ht="12.5">
      <c r="B607" s="175"/>
      <c r="C607" s="176"/>
      <c r="H607" s="178"/>
      <c r="I607" s="178"/>
      <c r="J607" s="184"/>
      <c r="N607" s="178"/>
      <c r="O607" s="178"/>
      <c r="P607" s="178"/>
      <c r="S607" s="458"/>
      <c r="AL607" s="177"/>
      <c r="AN607" s="458"/>
      <c r="AO607" s="458"/>
      <c r="AP607" s="458"/>
      <c r="AQ607" s="458"/>
      <c r="AR607" s="458"/>
      <c r="AS607" s="458"/>
      <c r="AT607" s="458"/>
      <c r="AU607" s="458"/>
      <c r="AV607" s="458"/>
      <c r="BA607" s="1305"/>
    </row>
    <row r="608" spans="2:53" ht="12.5">
      <c r="B608" s="175"/>
      <c r="C608" s="176"/>
      <c r="H608" s="178"/>
      <c r="I608" s="178"/>
      <c r="J608" s="184"/>
      <c r="N608" s="178"/>
      <c r="O608" s="178"/>
      <c r="P608" s="178"/>
      <c r="S608" s="458"/>
      <c r="AN608" s="458"/>
      <c r="AO608" s="458"/>
      <c r="AP608" s="458"/>
      <c r="AQ608" s="458"/>
      <c r="AR608" s="458"/>
      <c r="AS608" s="458"/>
      <c r="AT608" s="458"/>
      <c r="AU608" s="458"/>
      <c r="AV608" s="458"/>
      <c r="BA608" s="1305"/>
    </row>
    <row r="609" spans="2:53" ht="12.5">
      <c r="B609" s="175"/>
      <c r="C609" s="176"/>
      <c r="H609" s="178"/>
      <c r="I609" s="178"/>
      <c r="J609" s="184"/>
      <c r="N609" s="178"/>
      <c r="O609" s="178"/>
      <c r="P609" s="178"/>
      <c r="S609" s="458"/>
      <c r="AN609" s="458"/>
      <c r="AO609" s="458"/>
      <c r="AP609" s="458"/>
      <c r="AQ609" s="458"/>
      <c r="AR609" s="458"/>
      <c r="AS609" s="458"/>
      <c r="AT609" s="458"/>
      <c r="AU609" s="458"/>
      <c r="AV609" s="458"/>
      <c r="BA609" s="1305"/>
    </row>
    <row r="610" spans="2:53" ht="12.5">
      <c r="B610" s="175"/>
      <c r="C610" s="176"/>
      <c r="H610" s="178"/>
      <c r="I610" s="178"/>
      <c r="J610" s="184"/>
      <c r="N610" s="178"/>
      <c r="O610" s="178"/>
      <c r="P610" s="178"/>
      <c r="S610" s="458"/>
      <c r="AN610" s="458"/>
      <c r="AO610" s="458"/>
      <c r="AP610" s="458"/>
      <c r="AQ610" s="458"/>
      <c r="AR610" s="458"/>
      <c r="AS610" s="458"/>
      <c r="AT610" s="458"/>
      <c r="AU610" s="458"/>
      <c r="AV610" s="458"/>
      <c r="BA610" s="1305"/>
    </row>
    <row r="611" spans="2:53" ht="12.5">
      <c r="B611" s="175"/>
      <c r="C611" s="176"/>
      <c r="H611" s="178"/>
      <c r="I611" s="179"/>
      <c r="J611" s="184"/>
      <c r="N611" s="178"/>
      <c r="O611" s="178"/>
      <c r="P611" s="178"/>
      <c r="S611" s="458"/>
      <c r="AN611" s="458"/>
      <c r="AO611" s="458"/>
      <c r="AP611" s="458"/>
      <c r="AQ611" s="458"/>
      <c r="AR611" s="458"/>
      <c r="AS611" s="458"/>
      <c r="AT611" s="458"/>
      <c r="AU611" s="458"/>
      <c r="AV611" s="458"/>
      <c r="BA611" s="1305"/>
    </row>
    <row r="612" spans="2:53" ht="12.5">
      <c r="B612" s="175"/>
      <c r="C612" s="176"/>
      <c r="H612" s="178"/>
      <c r="I612" s="178"/>
      <c r="J612" s="184"/>
      <c r="N612" s="178"/>
      <c r="O612" s="178"/>
      <c r="P612" s="178"/>
      <c r="S612" s="458"/>
      <c r="AN612" s="458"/>
      <c r="AO612" s="458"/>
      <c r="AP612" s="458"/>
      <c r="AQ612" s="458"/>
      <c r="AR612" s="458"/>
      <c r="AS612" s="458"/>
      <c r="AT612" s="458"/>
      <c r="AU612" s="458"/>
      <c r="AV612" s="458"/>
      <c r="BA612" s="1305"/>
    </row>
    <row r="613" spans="2:53" ht="12.5">
      <c r="B613" s="175"/>
      <c r="C613" s="176"/>
      <c r="H613" s="178"/>
      <c r="I613" s="178"/>
      <c r="J613" s="184"/>
      <c r="N613" s="178"/>
      <c r="O613" s="178"/>
      <c r="P613" s="178"/>
      <c r="S613" s="458"/>
      <c r="AN613" s="458"/>
      <c r="AO613" s="458"/>
      <c r="AP613" s="458"/>
      <c r="AQ613" s="458"/>
      <c r="AR613" s="458"/>
      <c r="AS613" s="458"/>
      <c r="AT613" s="458"/>
      <c r="AU613" s="458"/>
      <c r="AV613" s="458"/>
      <c r="BA613" s="1305"/>
    </row>
    <row r="614" spans="2:53" ht="12.5">
      <c r="B614" s="175"/>
      <c r="C614" s="176"/>
      <c r="H614" s="178"/>
      <c r="I614" s="179"/>
      <c r="J614" s="184"/>
      <c r="N614" s="178"/>
      <c r="O614" s="178"/>
      <c r="P614" s="178"/>
      <c r="S614" s="458"/>
      <c r="AN614" s="458"/>
      <c r="AO614" s="458"/>
      <c r="AP614" s="458"/>
      <c r="AQ614" s="458"/>
      <c r="AR614" s="458"/>
      <c r="AS614" s="458"/>
      <c r="AT614" s="458"/>
      <c r="AU614" s="458"/>
      <c r="AV614" s="458"/>
      <c r="BA614" s="1305"/>
    </row>
    <row r="615" spans="2:53" ht="12.5">
      <c r="B615" s="175"/>
      <c r="C615" s="176"/>
      <c r="H615" s="178"/>
      <c r="I615" s="178"/>
      <c r="J615" s="184"/>
      <c r="N615" s="178"/>
      <c r="O615" s="178"/>
      <c r="P615" s="178"/>
      <c r="S615" s="458"/>
      <c r="AN615" s="458"/>
      <c r="AO615" s="458"/>
      <c r="AP615" s="458"/>
      <c r="AQ615" s="458"/>
      <c r="AR615" s="458"/>
      <c r="AS615" s="458"/>
      <c r="AT615" s="458"/>
      <c r="AU615" s="458"/>
      <c r="AV615" s="458"/>
      <c r="BA615" s="1305"/>
    </row>
    <row r="616" spans="2:53" ht="12.5">
      <c r="B616" s="175"/>
      <c r="C616" s="176"/>
      <c r="H616" s="178"/>
      <c r="I616" s="179"/>
      <c r="J616" s="184"/>
      <c r="N616" s="178"/>
      <c r="O616" s="178"/>
      <c r="P616" s="178"/>
      <c r="S616" s="458"/>
      <c r="AN616" s="458"/>
      <c r="AO616" s="458"/>
      <c r="AP616" s="458"/>
      <c r="AQ616" s="458"/>
      <c r="AR616" s="458"/>
      <c r="AS616" s="458"/>
      <c r="AT616" s="458"/>
      <c r="AU616" s="458"/>
      <c r="AV616" s="458"/>
      <c r="BA616" s="1305"/>
    </row>
    <row r="617" spans="2:53" ht="12.5">
      <c r="B617" s="175"/>
      <c r="C617" s="176"/>
      <c r="H617" s="178"/>
      <c r="I617" s="178"/>
      <c r="J617" s="184"/>
      <c r="N617" s="178"/>
      <c r="O617" s="178"/>
      <c r="P617" s="178"/>
      <c r="S617" s="458"/>
      <c r="AN617" s="458"/>
      <c r="AO617" s="458"/>
      <c r="AP617" s="458"/>
      <c r="AQ617" s="458"/>
      <c r="AR617" s="458"/>
      <c r="AS617" s="458"/>
      <c r="AT617" s="458"/>
      <c r="AU617" s="458"/>
      <c r="AV617" s="458"/>
      <c r="BA617" s="1305"/>
    </row>
    <row r="618" spans="2:53" ht="12.5">
      <c r="B618" s="175"/>
      <c r="C618" s="176"/>
      <c r="H618" s="178"/>
      <c r="I618" s="178"/>
      <c r="J618" s="184"/>
      <c r="N618" s="178"/>
      <c r="O618" s="178"/>
      <c r="P618" s="178"/>
      <c r="S618" s="458"/>
      <c r="AN618" s="458"/>
      <c r="AO618" s="458"/>
      <c r="AP618" s="458"/>
      <c r="AQ618" s="458"/>
      <c r="AR618" s="458"/>
      <c r="AS618" s="458"/>
      <c r="AT618" s="458"/>
      <c r="AU618" s="458"/>
      <c r="AV618" s="458"/>
      <c r="BA618" s="1305"/>
    </row>
    <row r="619" spans="2:53" ht="12.5">
      <c r="B619" s="175"/>
      <c r="C619" s="176"/>
      <c r="H619" s="178"/>
      <c r="I619" s="178"/>
      <c r="J619" s="184"/>
      <c r="N619" s="178"/>
      <c r="O619" s="178"/>
      <c r="P619" s="178"/>
      <c r="S619" s="458"/>
      <c r="AN619" s="458"/>
      <c r="AO619" s="458"/>
      <c r="AP619" s="458"/>
      <c r="AQ619" s="458"/>
      <c r="AR619" s="458"/>
      <c r="AS619" s="458"/>
      <c r="AT619" s="458"/>
      <c r="AU619" s="458"/>
      <c r="AV619" s="458"/>
      <c r="BA619" s="1305"/>
    </row>
    <row r="620" spans="2:53" ht="12.5">
      <c r="B620" s="175"/>
      <c r="C620" s="176"/>
      <c r="H620" s="178"/>
      <c r="I620" s="178"/>
      <c r="J620" s="184"/>
      <c r="N620" s="178"/>
      <c r="O620" s="178"/>
      <c r="P620" s="178"/>
      <c r="S620" s="458"/>
      <c r="AN620" s="458"/>
      <c r="AO620" s="458"/>
      <c r="AP620" s="458"/>
      <c r="AQ620" s="458"/>
      <c r="AR620" s="458"/>
      <c r="AS620" s="458"/>
      <c r="AT620" s="458"/>
      <c r="AU620" s="458"/>
      <c r="AV620" s="458"/>
      <c r="BA620" s="1305"/>
    </row>
    <row r="621" spans="2:53" ht="12.5">
      <c r="B621" s="175"/>
      <c r="C621" s="176"/>
      <c r="H621" s="178"/>
      <c r="I621" s="178"/>
      <c r="J621" s="184"/>
      <c r="N621" s="178"/>
      <c r="O621" s="178"/>
      <c r="P621" s="178"/>
      <c r="S621" s="458"/>
      <c r="AN621" s="458"/>
      <c r="AO621" s="458"/>
      <c r="AP621" s="458"/>
      <c r="AQ621" s="458"/>
      <c r="AR621" s="458"/>
      <c r="AS621" s="458"/>
      <c r="AT621" s="458"/>
      <c r="AU621" s="458"/>
      <c r="AV621" s="458"/>
      <c r="BA621" s="1305"/>
    </row>
    <row r="622" spans="2:53" ht="12.5">
      <c r="B622" s="175"/>
      <c r="C622" s="176"/>
      <c r="H622" s="178"/>
      <c r="I622" s="179"/>
      <c r="J622" s="184"/>
      <c r="N622" s="178"/>
      <c r="O622" s="178"/>
      <c r="P622" s="178"/>
      <c r="S622" s="458"/>
      <c r="AN622" s="458"/>
      <c r="AO622" s="458"/>
      <c r="AP622" s="458"/>
      <c r="AQ622" s="458"/>
      <c r="AR622" s="458"/>
      <c r="AS622" s="458"/>
      <c r="AT622" s="458"/>
      <c r="AU622" s="458"/>
      <c r="AV622" s="458"/>
      <c r="BA622" s="1305"/>
    </row>
    <row r="623" spans="2:53" ht="12.5">
      <c r="B623" s="175"/>
      <c r="C623" s="176"/>
      <c r="H623" s="178"/>
      <c r="I623" s="178"/>
      <c r="J623" s="184"/>
      <c r="N623" s="178"/>
      <c r="O623" s="178"/>
      <c r="P623" s="178"/>
      <c r="S623" s="458"/>
      <c r="AN623" s="458"/>
      <c r="AO623" s="458"/>
      <c r="AP623" s="458"/>
      <c r="AQ623" s="458"/>
      <c r="AR623" s="458"/>
      <c r="AS623" s="458"/>
      <c r="AT623" s="458"/>
      <c r="AU623" s="458"/>
      <c r="AV623" s="458"/>
      <c r="BA623" s="1305"/>
    </row>
    <row r="624" spans="2:53" ht="12.5">
      <c r="B624" s="175"/>
      <c r="C624" s="176"/>
      <c r="H624" s="178"/>
      <c r="I624" s="179"/>
      <c r="J624" s="184"/>
      <c r="N624" s="178"/>
      <c r="O624" s="178"/>
      <c r="P624" s="178"/>
      <c r="S624" s="458"/>
      <c r="AN624" s="458"/>
      <c r="AO624" s="458"/>
      <c r="AP624" s="458"/>
      <c r="AQ624" s="458"/>
      <c r="AR624" s="458"/>
      <c r="AS624" s="458"/>
      <c r="AT624" s="458"/>
      <c r="AU624" s="458"/>
      <c r="AV624" s="458"/>
      <c r="BA624" s="1305"/>
    </row>
    <row r="625" spans="2:53" ht="12.5">
      <c r="B625" s="175"/>
      <c r="C625" s="176"/>
      <c r="H625" s="178"/>
      <c r="I625" s="178"/>
      <c r="J625" s="184"/>
      <c r="N625" s="178"/>
      <c r="O625" s="178"/>
      <c r="P625" s="178"/>
      <c r="S625" s="458"/>
      <c r="AN625" s="458"/>
      <c r="AO625" s="458"/>
      <c r="AP625" s="458"/>
      <c r="AQ625" s="458"/>
      <c r="AR625" s="458"/>
      <c r="AS625" s="458"/>
      <c r="AT625" s="458"/>
      <c r="AU625" s="458"/>
      <c r="AV625" s="458"/>
      <c r="BA625" s="1305"/>
    </row>
    <row r="626" spans="2:53" ht="12.5">
      <c r="B626" s="175"/>
      <c r="C626" s="176"/>
      <c r="H626" s="178"/>
      <c r="I626" s="179"/>
      <c r="J626" s="184"/>
      <c r="N626" s="178"/>
      <c r="O626" s="178"/>
      <c r="P626" s="178"/>
      <c r="S626" s="458"/>
      <c r="AN626" s="458"/>
      <c r="AO626" s="458"/>
      <c r="AP626" s="458"/>
      <c r="AQ626" s="458"/>
      <c r="AR626" s="458"/>
      <c r="AS626" s="458"/>
      <c r="AT626" s="458"/>
      <c r="AU626" s="458"/>
      <c r="AV626" s="458"/>
      <c r="BA626" s="1305"/>
    </row>
    <row r="627" spans="2:53" ht="12.5">
      <c r="B627" s="175"/>
      <c r="C627" s="176"/>
      <c r="H627" s="178"/>
      <c r="I627" s="178"/>
      <c r="J627" s="184"/>
      <c r="N627" s="178"/>
      <c r="O627" s="178"/>
      <c r="P627" s="178"/>
      <c r="S627" s="458"/>
      <c r="AN627" s="458"/>
      <c r="AO627" s="458"/>
      <c r="AP627" s="458"/>
      <c r="AQ627" s="458"/>
      <c r="AR627" s="458"/>
      <c r="AS627" s="458"/>
      <c r="AT627" s="458"/>
      <c r="AU627" s="458"/>
      <c r="AV627" s="458"/>
      <c r="BA627" s="1305"/>
    </row>
    <row r="628" spans="2:53" ht="12.5">
      <c r="B628" s="175"/>
      <c r="C628" s="176"/>
      <c r="H628" s="178"/>
      <c r="I628" s="178"/>
      <c r="J628" s="184"/>
      <c r="N628" s="178"/>
      <c r="O628" s="178"/>
      <c r="P628" s="178"/>
      <c r="S628" s="458"/>
      <c r="AN628" s="458"/>
      <c r="AO628" s="458"/>
      <c r="AP628" s="458"/>
      <c r="AQ628" s="458"/>
      <c r="AR628" s="458"/>
      <c r="AS628" s="458"/>
      <c r="AT628" s="458"/>
      <c r="AU628" s="458"/>
      <c r="AV628" s="458"/>
      <c r="BA628" s="1305"/>
    </row>
    <row r="629" spans="2:53" ht="12.5">
      <c r="B629" s="175"/>
      <c r="C629" s="176"/>
      <c r="H629" s="178"/>
      <c r="I629" s="178"/>
      <c r="J629" s="184"/>
      <c r="N629" s="178"/>
      <c r="O629" s="178"/>
      <c r="P629" s="178"/>
      <c r="S629" s="458"/>
      <c r="AN629" s="458"/>
      <c r="AO629" s="458"/>
      <c r="AP629" s="458"/>
      <c r="AQ629" s="458"/>
      <c r="AR629" s="458"/>
      <c r="AS629" s="458"/>
      <c r="AT629" s="458"/>
      <c r="AU629" s="458"/>
      <c r="AV629" s="458"/>
      <c r="BA629" s="1305"/>
    </row>
    <row r="630" spans="2:53" ht="12.5">
      <c r="B630" s="175"/>
      <c r="C630" s="176"/>
      <c r="H630" s="178"/>
      <c r="I630" s="178"/>
      <c r="J630" s="184"/>
      <c r="N630" s="178"/>
      <c r="O630" s="178"/>
      <c r="P630" s="178"/>
      <c r="S630" s="458"/>
      <c r="AN630" s="458"/>
      <c r="AO630" s="458"/>
      <c r="AP630" s="458"/>
      <c r="AQ630" s="458"/>
      <c r="AR630" s="458"/>
      <c r="AS630" s="458"/>
      <c r="AT630" s="458"/>
      <c r="AU630" s="458"/>
      <c r="AV630" s="458"/>
      <c r="BA630" s="1305"/>
    </row>
    <row r="631" spans="2:53" ht="12.5">
      <c r="B631" s="175"/>
      <c r="C631" s="176"/>
      <c r="H631" s="178"/>
      <c r="I631" s="178"/>
      <c r="J631" s="184"/>
      <c r="N631" s="178"/>
      <c r="O631" s="178"/>
      <c r="P631" s="178"/>
      <c r="S631" s="458"/>
      <c r="AN631" s="458"/>
      <c r="AO631" s="458"/>
      <c r="AP631" s="458"/>
      <c r="AQ631" s="458"/>
      <c r="AR631" s="458"/>
      <c r="AS631" s="458"/>
      <c r="AT631" s="458"/>
      <c r="AU631" s="458"/>
      <c r="AV631" s="458"/>
      <c r="BA631" s="1305"/>
    </row>
    <row r="632" spans="2:53" ht="12.5">
      <c r="B632" s="175"/>
      <c r="C632" s="176"/>
      <c r="H632" s="178"/>
      <c r="I632" s="178"/>
      <c r="J632" s="184"/>
      <c r="N632" s="178"/>
      <c r="O632" s="178"/>
      <c r="P632" s="178"/>
      <c r="S632" s="458"/>
      <c r="AN632" s="458"/>
      <c r="AO632" s="458"/>
      <c r="AP632" s="458"/>
      <c r="AQ632" s="458"/>
      <c r="AR632" s="458"/>
      <c r="AS632" s="458"/>
      <c r="AT632" s="458"/>
      <c r="AU632" s="458"/>
      <c r="AV632" s="458"/>
      <c r="BA632" s="1305"/>
    </row>
    <row r="633" spans="2:53" ht="12.5">
      <c r="B633" s="175"/>
      <c r="C633" s="176"/>
      <c r="H633" s="178"/>
      <c r="I633" s="178"/>
      <c r="J633" s="184"/>
      <c r="N633" s="178"/>
      <c r="O633" s="178"/>
      <c r="P633" s="178"/>
      <c r="S633" s="458"/>
      <c r="AN633" s="458"/>
      <c r="AO633" s="458"/>
      <c r="AP633" s="458"/>
      <c r="AQ633" s="458"/>
      <c r="AR633" s="458"/>
      <c r="AS633" s="458"/>
      <c r="AT633" s="458"/>
      <c r="AU633" s="458"/>
      <c r="AV633" s="458"/>
      <c r="BA633" s="1305"/>
    </row>
    <row r="634" spans="2:53" ht="12.5">
      <c r="B634" s="175"/>
      <c r="C634" s="176"/>
      <c r="H634" s="178"/>
      <c r="I634" s="178"/>
      <c r="J634" s="184"/>
      <c r="N634" s="178"/>
      <c r="O634" s="178"/>
      <c r="P634" s="178"/>
      <c r="S634" s="458"/>
      <c r="AN634" s="458"/>
      <c r="AO634" s="458"/>
      <c r="AP634" s="458"/>
      <c r="AQ634" s="458"/>
      <c r="AR634" s="458"/>
      <c r="AS634" s="458"/>
      <c r="AT634" s="458"/>
      <c r="AU634" s="458"/>
      <c r="AV634" s="458"/>
      <c r="BA634" s="1305"/>
    </row>
    <row r="635" spans="2:53" ht="12.5">
      <c r="B635" s="175"/>
      <c r="C635" s="176"/>
      <c r="H635" s="178"/>
      <c r="I635" s="178"/>
      <c r="J635" s="184"/>
      <c r="N635" s="178"/>
      <c r="O635" s="178"/>
      <c r="P635" s="178"/>
      <c r="S635" s="458"/>
      <c r="AN635" s="458"/>
      <c r="AO635" s="458"/>
      <c r="AP635" s="458"/>
      <c r="AQ635" s="458"/>
      <c r="AR635" s="458"/>
      <c r="AS635" s="458"/>
      <c r="AT635" s="458"/>
      <c r="AU635" s="458"/>
      <c r="AV635" s="458"/>
      <c r="BA635" s="1305"/>
    </row>
    <row r="636" spans="2:53" ht="12.5">
      <c r="B636" s="175"/>
      <c r="C636" s="176"/>
      <c r="H636" s="178"/>
      <c r="I636" s="178"/>
      <c r="J636" s="184"/>
      <c r="N636" s="178"/>
      <c r="O636" s="178"/>
      <c r="P636" s="178"/>
      <c r="S636" s="458"/>
      <c r="AN636" s="458"/>
      <c r="AO636" s="458"/>
      <c r="AP636" s="458"/>
      <c r="AQ636" s="458"/>
      <c r="AR636" s="458"/>
      <c r="AS636" s="458"/>
      <c r="AT636" s="458"/>
      <c r="AU636" s="458"/>
      <c r="AV636" s="458"/>
      <c r="BA636" s="1305"/>
    </row>
    <row r="637" spans="2:53" ht="12.5">
      <c r="B637" s="175"/>
      <c r="C637" s="176"/>
      <c r="H637" s="178"/>
      <c r="I637" s="178"/>
      <c r="J637" s="184"/>
      <c r="N637" s="178"/>
      <c r="O637" s="178"/>
      <c r="P637" s="178"/>
      <c r="S637" s="458"/>
      <c r="AN637" s="458"/>
      <c r="AO637" s="458"/>
      <c r="AP637" s="458"/>
      <c r="AQ637" s="458"/>
      <c r="AR637" s="458"/>
      <c r="AS637" s="458"/>
      <c r="AT637" s="458"/>
      <c r="AU637" s="458"/>
      <c r="AV637" s="458"/>
      <c r="BA637" s="1305"/>
    </row>
    <row r="638" spans="2:53" ht="12.5">
      <c r="B638" s="175"/>
      <c r="C638" s="176"/>
      <c r="H638" s="178"/>
      <c r="I638" s="178"/>
      <c r="J638" s="184"/>
      <c r="N638" s="178"/>
      <c r="O638" s="178"/>
      <c r="P638" s="178"/>
      <c r="S638" s="458"/>
      <c r="AN638" s="458"/>
      <c r="AO638" s="458"/>
      <c r="AP638" s="458"/>
      <c r="AQ638" s="458"/>
      <c r="AR638" s="458"/>
      <c r="AS638" s="458"/>
      <c r="AT638" s="458"/>
      <c r="AU638" s="458"/>
      <c r="AV638" s="458"/>
      <c r="BA638" s="1305"/>
    </row>
    <row r="639" spans="2:53" ht="12.5">
      <c r="B639" s="175"/>
      <c r="C639" s="176"/>
      <c r="H639" s="178"/>
      <c r="I639" s="178"/>
      <c r="J639" s="184"/>
      <c r="N639" s="178"/>
      <c r="O639" s="178"/>
      <c r="P639" s="178"/>
      <c r="S639" s="458"/>
      <c r="AN639" s="458"/>
      <c r="AO639" s="458"/>
      <c r="AP639" s="458"/>
      <c r="AQ639" s="458"/>
      <c r="AR639" s="458"/>
      <c r="AS639" s="458"/>
      <c r="AT639" s="458"/>
      <c r="AU639" s="458"/>
      <c r="AV639" s="458"/>
      <c r="BA639" s="1305"/>
    </row>
    <row r="640" spans="2:53" ht="12.5">
      <c r="B640" s="175"/>
      <c r="C640" s="176"/>
      <c r="H640" s="178"/>
      <c r="I640" s="178"/>
      <c r="J640" s="184"/>
      <c r="N640" s="178"/>
      <c r="O640" s="178"/>
      <c r="P640" s="178"/>
      <c r="S640" s="458"/>
      <c r="AN640" s="458"/>
      <c r="AO640" s="458"/>
      <c r="AP640" s="458"/>
      <c r="AQ640" s="458"/>
      <c r="AR640" s="458"/>
      <c r="AS640" s="458"/>
      <c r="AT640" s="458"/>
      <c r="AU640" s="458"/>
      <c r="AV640" s="458"/>
      <c r="BA640" s="1305"/>
    </row>
    <row r="641" spans="2:53" ht="12.5">
      <c r="B641" s="175"/>
      <c r="C641" s="176"/>
      <c r="H641" s="178"/>
      <c r="I641" s="178"/>
      <c r="J641" s="184"/>
      <c r="N641" s="178"/>
      <c r="O641" s="178"/>
      <c r="P641" s="178"/>
      <c r="S641" s="458"/>
      <c r="AN641" s="458"/>
      <c r="AO641" s="458"/>
      <c r="AP641" s="458"/>
      <c r="AQ641" s="458"/>
      <c r="AR641" s="458"/>
      <c r="AS641" s="458"/>
      <c r="AT641" s="458"/>
      <c r="AU641" s="458"/>
      <c r="AV641" s="458"/>
      <c r="BA641" s="1305"/>
    </row>
    <row r="642" spans="2:53" ht="12.5">
      <c r="B642" s="175"/>
      <c r="C642" s="176"/>
      <c r="H642" s="178"/>
      <c r="I642" s="178"/>
      <c r="J642" s="184"/>
      <c r="N642" s="178"/>
      <c r="O642" s="178"/>
      <c r="P642" s="178"/>
      <c r="S642" s="458"/>
      <c r="AN642" s="458"/>
      <c r="AO642" s="458"/>
      <c r="AP642" s="458"/>
      <c r="AQ642" s="458"/>
      <c r="AR642" s="458"/>
      <c r="AS642" s="458"/>
      <c r="AT642" s="458"/>
      <c r="AU642" s="458"/>
      <c r="AV642" s="458"/>
      <c r="BA642" s="1305"/>
    </row>
    <row r="643" spans="2:53" ht="12.5">
      <c r="B643" s="175"/>
      <c r="C643" s="176"/>
      <c r="H643" s="178"/>
      <c r="I643" s="178"/>
      <c r="J643" s="184"/>
      <c r="N643" s="178"/>
      <c r="O643" s="178"/>
      <c r="P643" s="178"/>
      <c r="S643" s="458"/>
      <c r="AN643" s="458"/>
      <c r="AO643" s="458"/>
      <c r="AP643" s="458"/>
      <c r="AQ643" s="458"/>
      <c r="AR643" s="458"/>
      <c r="AS643" s="458"/>
      <c r="AT643" s="458"/>
      <c r="AU643" s="458"/>
      <c r="AV643" s="458"/>
      <c r="BA643" s="1305"/>
    </row>
    <row r="644" spans="2:53" ht="12.5">
      <c r="B644" s="175"/>
      <c r="C644" s="176"/>
      <c r="H644" s="178"/>
      <c r="I644" s="178"/>
      <c r="J644" s="184"/>
      <c r="N644" s="178"/>
      <c r="O644" s="178"/>
      <c r="P644" s="178"/>
      <c r="S644" s="458"/>
      <c r="AN644" s="458"/>
      <c r="AO644" s="458"/>
      <c r="AP644" s="458"/>
      <c r="AQ644" s="458"/>
      <c r="AR644" s="458"/>
      <c r="AS644" s="458"/>
      <c r="AT644" s="458"/>
      <c r="AU644" s="458"/>
      <c r="AV644" s="458"/>
      <c r="BA644" s="1305"/>
    </row>
    <row r="645" spans="2:53" ht="12.5">
      <c r="B645" s="175"/>
      <c r="C645" s="176"/>
      <c r="H645" s="178"/>
      <c r="I645" s="179"/>
      <c r="J645" s="184"/>
      <c r="N645" s="178"/>
      <c r="O645" s="178"/>
      <c r="P645" s="178"/>
      <c r="S645" s="458"/>
      <c r="AN645" s="458"/>
      <c r="AO645" s="458"/>
      <c r="AP645" s="458"/>
      <c r="AQ645" s="458"/>
      <c r="AR645" s="458"/>
      <c r="AS645" s="458"/>
      <c r="AT645" s="458"/>
      <c r="AU645" s="458"/>
      <c r="AV645" s="458"/>
      <c r="BA645" s="1305"/>
    </row>
    <row r="646" spans="2:53" ht="12.5">
      <c r="B646" s="175"/>
      <c r="C646" s="176"/>
      <c r="H646" s="178"/>
      <c r="I646" s="178"/>
      <c r="J646" s="184"/>
      <c r="N646" s="178"/>
      <c r="O646" s="178"/>
      <c r="P646" s="178"/>
      <c r="S646" s="458"/>
      <c r="AN646" s="458"/>
      <c r="AO646" s="458"/>
      <c r="AP646" s="458"/>
      <c r="AQ646" s="458"/>
      <c r="AR646" s="458"/>
      <c r="AS646" s="458"/>
      <c r="AT646" s="458"/>
      <c r="AU646" s="458"/>
      <c r="AV646" s="458"/>
      <c r="BA646" s="1305"/>
    </row>
    <row r="647" spans="2:53" ht="12.5">
      <c r="B647" s="175"/>
      <c r="C647" s="176"/>
      <c r="H647" s="178"/>
      <c r="I647" s="178"/>
      <c r="J647" s="184"/>
      <c r="N647" s="178"/>
      <c r="O647" s="178"/>
      <c r="P647" s="178"/>
      <c r="S647" s="458"/>
      <c r="AN647" s="458"/>
      <c r="AO647" s="458"/>
      <c r="AP647" s="458"/>
      <c r="AQ647" s="458"/>
      <c r="AR647" s="458"/>
      <c r="AS647" s="458"/>
      <c r="AT647" s="458"/>
      <c r="AU647" s="458"/>
      <c r="AV647" s="458"/>
      <c r="BA647" s="1305"/>
    </row>
    <row r="648" spans="2:53" ht="12.5">
      <c r="B648" s="175"/>
      <c r="C648" s="176"/>
      <c r="H648" s="178"/>
      <c r="I648" s="179"/>
      <c r="J648" s="184"/>
      <c r="N648" s="178"/>
      <c r="O648" s="178"/>
      <c r="P648" s="178"/>
      <c r="S648" s="458"/>
      <c r="AN648" s="458"/>
      <c r="AO648" s="458"/>
      <c r="AP648" s="458"/>
      <c r="AQ648" s="458"/>
      <c r="AR648" s="458"/>
      <c r="AS648" s="458"/>
      <c r="AT648" s="458"/>
      <c r="AU648" s="458"/>
      <c r="AV648" s="458"/>
      <c r="BA648" s="1305"/>
    </row>
    <row r="649" spans="2:53" ht="12.5">
      <c r="B649" s="175"/>
      <c r="C649" s="176"/>
      <c r="H649" s="178"/>
      <c r="I649" s="178"/>
      <c r="J649" s="184"/>
      <c r="N649" s="178"/>
      <c r="O649" s="178"/>
      <c r="P649" s="178"/>
      <c r="S649" s="458"/>
      <c r="AN649" s="458"/>
      <c r="AO649" s="458"/>
      <c r="AP649" s="458"/>
      <c r="AQ649" s="458"/>
      <c r="AR649" s="458"/>
      <c r="AS649" s="458"/>
      <c r="AT649" s="458"/>
      <c r="AU649" s="458"/>
      <c r="AV649" s="458"/>
      <c r="BA649" s="1305"/>
    </row>
    <row r="650" spans="2:53" ht="12.5">
      <c r="B650" s="175"/>
      <c r="C650" s="176"/>
      <c r="H650" s="178"/>
      <c r="I650" s="179"/>
      <c r="J650" s="184"/>
      <c r="N650" s="178"/>
      <c r="O650" s="178"/>
      <c r="P650" s="178"/>
      <c r="S650" s="458"/>
      <c r="AN650" s="458"/>
      <c r="AO650" s="458"/>
      <c r="AP650" s="458"/>
      <c r="AQ650" s="458"/>
      <c r="AR650" s="458"/>
      <c r="AS650" s="458"/>
      <c r="AT650" s="458"/>
      <c r="AU650" s="458"/>
      <c r="AV650" s="458"/>
      <c r="BA650" s="1305"/>
    </row>
    <row r="651" spans="2:53" ht="12.5">
      <c r="B651" s="175"/>
      <c r="C651" s="176"/>
      <c r="H651" s="178"/>
      <c r="I651" s="178"/>
      <c r="J651" s="184"/>
      <c r="N651" s="178"/>
      <c r="O651" s="178"/>
      <c r="P651" s="178"/>
      <c r="S651" s="458"/>
      <c r="AN651" s="458"/>
      <c r="AO651" s="458"/>
      <c r="AP651" s="458"/>
      <c r="AQ651" s="458"/>
      <c r="AR651" s="458"/>
      <c r="AS651" s="458"/>
      <c r="AT651" s="458"/>
      <c r="AU651" s="458"/>
      <c r="AV651" s="458"/>
      <c r="BA651" s="1305"/>
    </row>
    <row r="652" spans="2:53" ht="12.5">
      <c r="B652" s="175"/>
      <c r="C652" s="176"/>
      <c r="H652" s="178"/>
      <c r="I652" s="178"/>
      <c r="J652" s="184"/>
      <c r="N652" s="178"/>
      <c r="O652" s="178"/>
      <c r="P652" s="178"/>
      <c r="S652" s="458"/>
      <c r="AN652" s="458"/>
      <c r="AO652" s="458"/>
      <c r="AP652" s="458"/>
      <c r="AQ652" s="458"/>
      <c r="AR652" s="458"/>
      <c r="AS652" s="458"/>
      <c r="AT652" s="458"/>
      <c r="AU652" s="458"/>
      <c r="AV652" s="458"/>
      <c r="BA652" s="1305"/>
    </row>
    <row r="653" spans="2:53" ht="12.5">
      <c r="B653" s="175"/>
      <c r="C653" s="176"/>
      <c r="H653" s="178"/>
      <c r="I653" s="178"/>
      <c r="J653" s="184"/>
      <c r="N653" s="178"/>
      <c r="O653" s="178"/>
      <c r="P653" s="178"/>
      <c r="S653" s="458"/>
      <c r="AN653" s="458"/>
      <c r="AO653" s="458"/>
      <c r="AP653" s="458"/>
      <c r="AQ653" s="458"/>
      <c r="AR653" s="458"/>
      <c r="AS653" s="458"/>
      <c r="AT653" s="458"/>
      <c r="AU653" s="458"/>
      <c r="AV653" s="458"/>
      <c r="BA653" s="1305"/>
    </row>
    <row r="654" spans="2:53" ht="12.5">
      <c r="B654" s="175"/>
      <c r="C654" s="176"/>
      <c r="H654" s="178"/>
      <c r="I654" s="178"/>
      <c r="J654" s="184"/>
      <c r="N654" s="178"/>
      <c r="O654" s="178"/>
      <c r="P654" s="178"/>
      <c r="S654" s="458"/>
      <c r="AN654" s="458"/>
      <c r="AO654" s="458"/>
      <c r="AP654" s="458"/>
      <c r="AQ654" s="458"/>
      <c r="AR654" s="458"/>
      <c r="AS654" s="458"/>
      <c r="AT654" s="458"/>
      <c r="AU654" s="458"/>
      <c r="AV654" s="458"/>
      <c r="BA654" s="1305"/>
    </row>
    <row r="655" spans="2:53" ht="12.5">
      <c r="B655" s="175"/>
      <c r="C655" s="176"/>
      <c r="H655" s="178"/>
      <c r="I655" s="178"/>
      <c r="J655" s="184"/>
      <c r="N655" s="178"/>
      <c r="O655" s="178"/>
      <c r="P655" s="178"/>
      <c r="S655" s="458"/>
      <c r="AN655" s="458"/>
      <c r="AO655" s="458"/>
      <c r="AP655" s="458"/>
      <c r="AQ655" s="458"/>
      <c r="AR655" s="458"/>
      <c r="AS655" s="458"/>
      <c r="AT655" s="458"/>
      <c r="AU655" s="458"/>
      <c r="AV655" s="458"/>
      <c r="BA655" s="1305"/>
    </row>
    <row r="656" spans="2:53" ht="12.5">
      <c r="B656" s="175"/>
      <c r="C656" s="176"/>
      <c r="H656" s="178"/>
      <c r="I656" s="179"/>
      <c r="J656" s="184"/>
      <c r="N656" s="178"/>
      <c r="O656" s="178"/>
      <c r="P656" s="178"/>
      <c r="S656" s="458"/>
      <c r="AN656" s="458"/>
      <c r="AO656" s="458"/>
      <c r="AP656" s="458"/>
      <c r="AQ656" s="458"/>
      <c r="AR656" s="458"/>
      <c r="AS656" s="458"/>
      <c r="AT656" s="458"/>
      <c r="AU656" s="458"/>
      <c r="AV656" s="458"/>
      <c r="BA656" s="1305"/>
    </row>
    <row r="657" spans="2:53" ht="12.5">
      <c r="B657" s="175"/>
      <c r="C657" s="176"/>
      <c r="H657" s="178"/>
      <c r="I657" s="178"/>
      <c r="J657" s="184"/>
      <c r="N657" s="178"/>
      <c r="O657" s="178"/>
      <c r="P657" s="178"/>
      <c r="S657" s="458"/>
      <c r="AN657" s="458"/>
      <c r="AO657" s="458"/>
      <c r="AP657" s="458"/>
      <c r="AQ657" s="458"/>
      <c r="AR657" s="458"/>
      <c r="AS657" s="458"/>
      <c r="AT657" s="458"/>
      <c r="AU657" s="458"/>
      <c r="AV657" s="458"/>
      <c r="BA657" s="1305"/>
    </row>
    <row r="658" spans="2:53" ht="12.5">
      <c r="B658" s="175"/>
      <c r="C658" s="176"/>
      <c r="H658" s="178"/>
      <c r="I658" s="179"/>
      <c r="J658" s="184"/>
      <c r="N658" s="178"/>
      <c r="O658" s="178"/>
      <c r="P658" s="178"/>
      <c r="S658" s="458"/>
      <c r="AN658" s="458"/>
      <c r="AO658" s="458"/>
      <c r="AP658" s="458"/>
      <c r="AQ658" s="458"/>
      <c r="AR658" s="458"/>
      <c r="AS658" s="458"/>
      <c r="AT658" s="458"/>
      <c r="AU658" s="458"/>
      <c r="AV658" s="458"/>
      <c r="BA658" s="1305"/>
    </row>
    <row r="659" spans="2:53" ht="12.5">
      <c r="B659" s="175"/>
      <c r="C659" s="176"/>
      <c r="H659" s="178"/>
      <c r="I659" s="178"/>
      <c r="J659" s="184"/>
      <c r="N659" s="178"/>
      <c r="O659" s="178"/>
      <c r="P659" s="178"/>
      <c r="S659" s="458"/>
      <c r="AN659" s="458"/>
      <c r="AO659" s="458"/>
      <c r="AP659" s="458"/>
      <c r="AQ659" s="458"/>
      <c r="AR659" s="458"/>
      <c r="AS659" s="458"/>
      <c r="AT659" s="458"/>
      <c r="AU659" s="458"/>
      <c r="AV659" s="458"/>
      <c r="BA659" s="1305"/>
    </row>
    <row r="660" spans="2:53" ht="12.5">
      <c r="B660" s="175"/>
      <c r="C660" s="176"/>
      <c r="H660" s="178"/>
      <c r="I660" s="179"/>
      <c r="J660" s="184"/>
      <c r="N660" s="178"/>
      <c r="O660" s="178"/>
      <c r="P660" s="178"/>
      <c r="S660" s="458"/>
      <c r="AN660" s="458"/>
      <c r="AO660" s="458"/>
      <c r="AP660" s="458"/>
      <c r="AQ660" s="458"/>
      <c r="AR660" s="458"/>
      <c r="AS660" s="458"/>
      <c r="AT660" s="458"/>
      <c r="AU660" s="458"/>
      <c r="AV660" s="458"/>
      <c r="BA660" s="1305"/>
    </row>
    <row r="661" spans="2:53" ht="12.5">
      <c r="B661" s="175"/>
      <c r="C661" s="176"/>
      <c r="H661" s="178"/>
      <c r="I661" s="178"/>
      <c r="J661" s="184"/>
      <c r="N661" s="178"/>
      <c r="O661" s="178"/>
      <c r="P661" s="178"/>
      <c r="S661" s="458"/>
      <c r="AN661" s="458"/>
      <c r="AO661" s="458"/>
      <c r="AP661" s="458"/>
      <c r="AQ661" s="458"/>
      <c r="AR661" s="458"/>
      <c r="AS661" s="458"/>
      <c r="AT661" s="458"/>
      <c r="AU661" s="458"/>
      <c r="AV661" s="458"/>
      <c r="BA661" s="1305"/>
    </row>
    <row r="662" spans="2:53" ht="12.5">
      <c r="B662" s="175"/>
      <c r="C662" s="176"/>
      <c r="H662" s="178"/>
      <c r="I662" s="178"/>
      <c r="J662" s="184"/>
      <c r="N662" s="178"/>
      <c r="O662" s="178"/>
      <c r="P662" s="178"/>
      <c r="S662" s="458"/>
      <c r="AN662" s="458"/>
      <c r="AO662" s="458"/>
      <c r="AP662" s="458"/>
      <c r="AQ662" s="458"/>
      <c r="AR662" s="458"/>
      <c r="AS662" s="458"/>
      <c r="AT662" s="458"/>
      <c r="AU662" s="458"/>
      <c r="AV662" s="458"/>
      <c r="BA662" s="1305"/>
    </row>
    <row r="663" spans="2:53" ht="12.5">
      <c r="B663" s="175"/>
      <c r="C663" s="176"/>
      <c r="H663" s="178"/>
      <c r="I663" s="178"/>
      <c r="J663" s="184"/>
      <c r="N663" s="178"/>
      <c r="O663" s="178"/>
      <c r="P663" s="178"/>
      <c r="S663" s="458"/>
      <c r="AN663" s="458"/>
      <c r="AO663" s="458"/>
      <c r="AP663" s="458"/>
      <c r="AQ663" s="458"/>
      <c r="AR663" s="458"/>
      <c r="AS663" s="458"/>
      <c r="AT663" s="458"/>
      <c r="AU663" s="458"/>
      <c r="AV663" s="458"/>
      <c r="BA663" s="1305"/>
    </row>
    <row r="664" spans="2:53" ht="12.5">
      <c r="B664" s="175"/>
      <c r="C664" s="176"/>
      <c r="H664" s="178"/>
      <c r="I664" s="178"/>
      <c r="J664" s="184"/>
      <c r="N664" s="178"/>
      <c r="O664" s="178"/>
      <c r="P664" s="178"/>
      <c r="S664" s="458"/>
      <c r="AN664" s="458"/>
      <c r="AO664" s="458"/>
      <c r="AP664" s="458"/>
      <c r="AQ664" s="458"/>
      <c r="AR664" s="458"/>
      <c r="AS664" s="458"/>
      <c r="AT664" s="458"/>
      <c r="AU664" s="458"/>
      <c r="AV664" s="458"/>
      <c r="BA664" s="1305"/>
    </row>
    <row r="665" spans="2:53" ht="12.5">
      <c r="B665" s="175"/>
      <c r="C665" s="176"/>
      <c r="H665" s="178"/>
      <c r="I665" s="178"/>
      <c r="J665" s="184"/>
      <c r="N665" s="178"/>
      <c r="O665" s="178"/>
      <c r="P665" s="178"/>
      <c r="S665" s="458"/>
      <c r="AN665" s="458"/>
      <c r="AO665" s="458"/>
      <c r="AP665" s="458"/>
      <c r="AQ665" s="458"/>
      <c r="AR665" s="458"/>
      <c r="AS665" s="458"/>
      <c r="AT665" s="458"/>
      <c r="AU665" s="458"/>
      <c r="AV665" s="458"/>
      <c r="BA665" s="1305"/>
    </row>
    <row r="666" spans="2:53" ht="12.5">
      <c r="B666" s="175"/>
      <c r="C666" s="176"/>
      <c r="H666" s="178"/>
      <c r="I666" s="178"/>
      <c r="J666" s="184"/>
      <c r="N666" s="178"/>
      <c r="O666" s="178"/>
      <c r="P666" s="178"/>
      <c r="S666" s="458"/>
      <c r="AN666" s="458"/>
      <c r="AO666" s="458"/>
      <c r="AP666" s="458"/>
      <c r="AQ666" s="458"/>
      <c r="AR666" s="458"/>
      <c r="AS666" s="458"/>
      <c r="AT666" s="458"/>
      <c r="AU666" s="458"/>
      <c r="AV666" s="458"/>
      <c r="BA666" s="1305"/>
    </row>
    <row r="667" spans="2:53" ht="12.5">
      <c r="B667" s="175"/>
      <c r="C667" s="176"/>
      <c r="H667" s="178"/>
      <c r="I667" s="178"/>
      <c r="J667" s="184"/>
      <c r="N667" s="178"/>
      <c r="O667" s="178"/>
      <c r="P667" s="178"/>
      <c r="S667" s="458"/>
      <c r="AN667" s="458"/>
      <c r="AO667" s="458"/>
      <c r="AP667" s="458"/>
      <c r="AQ667" s="458"/>
      <c r="AR667" s="458"/>
      <c r="AS667" s="458"/>
      <c r="AT667" s="458"/>
      <c r="AU667" s="458"/>
      <c r="AV667" s="458"/>
      <c r="BA667" s="1305"/>
    </row>
    <row r="668" spans="2:53" ht="12.5">
      <c r="B668" s="175"/>
      <c r="C668" s="176"/>
      <c r="H668" s="178"/>
      <c r="I668" s="178"/>
      <c r="J668" s="184"/>
      <c r="N668" s="178"/>
      <c r="O668" s="178"/>
      <c r="P668" s="178"/>
      <c r="S668" s="458"/>
      <c r="AN668" s="458"/>
      <c r="AO668" s="458"/>
      <c r="AP668" s="458"/>
      <c r="AQ668" s="458"/>
      <c r="AR668" s="458"/>
      <c r="AS668" s="458"/>
      <c r="AT668" s="458"/>
      <c r="AU668" s="458"/>
      <c r="AV668" s="458"/>
      <c r="BA668" s="1305"/>
    </row>
    <row r="669" spans="2:53" ht="12.5">
      <c r="B669" s="175"/>
      <c r="C669" s="176"/>
      <c r="H669" s="178"/>
      <c r="I669" s="178"/>
      <c r="J669" s="184"/>
      <c r="N669" s="178"/>
      <c r="O669" s="178"/>
      <c r="P669" s="178"/>
      <c r="S669" s="458"/>
      <c r="AN669" s="458"/>
      <c r="AO669" s="458"/>
      <c r="AP669" s="458"/>
      <c r="AQ669" s="458"/>
      <c r="AR669" s="458"/>
      <c r="AS669" s="458"/>
      <c r="AT669" s="458"/>
      <c r="AU669" s="458"/>
      <c r="AV669" s="458"/>
      <c r="BA669" s="1305"/>
    </row>
    <row r="670" spans="2:53" ht="12.5">
      <c r="B670" s="175"/>
      <c r="C670" s="176"/>
      <c r="H670" s="178"/>
      <c r="I670" s="178"/>
      <c r="J670" s="184"/>
      <c r="N670" s="178"/>
      <c r="O670" s="178"/>
      <c r="P670" s="178"/>
      <c r="S670" s="458"/>
      <c r="AN670" s="458"/>
      <c r="AO670" s="458"/>
      <c r="AP670" s="458"/>
      <c r="AQ670" s="458"/>
      <c r="AR670" s="458"/>
      <c r="AS670" s="458"/>
      <c r="AT670" s="458"/>
      <c r="AU670" s="458"/>
      <c r="AV670" s="458"/>
      <c r="BA670" s="1305"/>
    </row>
    <row r="671" spans="2:53" ht="12.5">
      <c r="B671" s="175"/>
      <c r="C671" s="176"/>
      <c r="H671" s="178"/>
      <c r="I671" s="178"/>
      <c r="J671" s="184"/>
      <c r="N671" s="178"/>
      <c r="O671" s="178"/>
      <c r="P671" s="178"/>
      <c r="S671" s="458"/>
      <c r="AN671" s="458"/>
      <c r="AO671" s="458"/>
      <c r="AP671" s="458"/>
      <c r="AQ671" s="458"/>
      <c r="AR671" s="458"/>
      <c r="AS671" s="458"/>
      <c r="AT671" s="458"/>
      <c r="AU671" s="458"/>
      <c r="AV671" s="458"/>
      <c r="BA671" s="1305"/>
    </row>
    <row r="672" spans="2:53" ht="12.5">
      <c r="B672" s="175"/>
      <c r="C672" s="176"/>
      <c r="H672" s="178"/>
      <c r="I672" s="178"/>
      <c r="J672" s="184"/>
      <c r="N672" s="178"/>
      <c r="O672" s="178"/>
      <c r="P672" s="178"/>
      <c r="S672" s="458"/>
      <c r="AN672" s="458"/>
      <c r="AO672" s="458"/>
      <c r="AP672" s="458"/>
      <c r="AQ672" s="458"/>
      <c r="AR672" s="458"/>
      <c r="AS672" s="458"/>
      <c r="AT672" s="458"/>
      <c r="AU672" s="458"/>
      <c r="AV672" s="458"/>
      <c r="BA672" s="1305"/>
    </row>
    <row r="673" spans="2:53" ht="12.5">
      <c r="B673" s="175"/>
      <c r="C673" s="176"/>
      <c r="H673" s="178"/>
      <c r="I673" s="178"/>
      <c r="J673" s="184"/>
      <c r="N673" s="178"/>
      <c r="O673" s="178"/>
      <c r="P673" s="178"/>
      <c r="S673" s="458"/>
      <c r="AN673" s="458"/>
      <c r="AO673" s="458"/>
      <c r="AP673" s="458"/>
      <c r="AQ673" s="458"/>
      <c r="AR673" s="458"/>
      <c r="AS673" s="458"/>
      <c r="AT673" s="458"/>
      <c r="AU673" s="458"/>
      <c r="AV673" s="458"/>
      <c r="BA673" s="1305"/>
    </row>
    <row r="674" spans="2:53" ht="12.5">
      <c r="B674" s="175"/>
      <c r="C674" s="176"/>
      <c r="H674" s="178"/>
      <c r="I674" s="178"/>
      <c r="J674" s="184"/>
      <c r="N674" s="178"/>
      <c r="O674" s="178"/>
      <c r="P674" s="178"/>
      <c r="S674" s="458"/>
      <c r="AN674" s="458"/>
      <c r="AO674" s="458"/>
      <c r="AP674" s="458"/>
      <c r="AQ674" s="458"/>
      <c r="AR674" s="458"/>
      <c r="AS674" s="458"/>
      <c r="AT674" s="458"/>
      <c r="AU674" s="458"/>
      <c r="AV674" s="458"/>
      <c r="BA674" s="1305"/>
    </row>
    <row r="675" spans="2:53" ht="12.5">
      <c r="B675" s="175"/>
      <c r="C675" s="176"/>
      <c r="H675" s="178"/>
      <c r="I675" s="178"/>
      <c r="J675" s="184"/>
      <c r="N675" s="178"/>
      <c r="O675" s="178"/>
      <c r="P675" s="178"/>
      <c r="S675" s="458"/>
      <c r="AN675" s="458"/>
      <c r="AO675" s="458"/>
      <c r="AP675" s="458"/>
      <c r="AQ675" s="458"/>
      <c r="AR675" s="458"/>
      <c r="AS675" s="458"/>
      <c r="AT675" s="458"/>
      <c r="AU675" s="458"/>
      <c r="AV675" s="458"/>
      <c r="BA675" s="1305"/>
    </row>
    <row r="676" spans="2:53" ht="12.5">
      <c r="B676" s="175"/>
      <c r="C676" s="176"/>
      <c r="H676" s="178"/>
      <c r="I676" s="178"/>
      <c r="J676" s="184"/>
      <c r="N676" s="178"/>
      <c r="O676" s="178"/>
      <c r="P676" s="178"/>
      <c r="S676" s="458"/>
      <c r="AN676" s="458"/>
      <c r="AO676" s="458"/>
      <c r="AP676" s="458"/>
      <c r="AQ676" s="458"/>
      <c r="AR676" s="458"/>
      <c r="AS676" s="458"/>
      <c r="AT676" s="458"/>
      <c r="AU676" s="458"/>
      <c r="AV676" s="458"/>
      <c r="BA676" s="1305"/>
    </row>
    <row r="677" spans="2:53" ht="12.5">
      <c r="B677" s="175"/>
      <c r="C677" s="176"/>
      <c r="H677" s="178"/>
      <c r="I677" s="178"/>
      <c r="J677" s="184"/>
      <c r="N677" s="178"/>
      <c r="O677" s="178"/>
      <c r="P677" s="178"/>
      <c r="S677" s="458"/>
      <c r="AN677" s="458"/>
      <c r="AO677" s="458"/>
      <c r="AP677" s="458"/>
      <c r="AQ677" s="458"/>
      <c r="AR677" s="458"/>
      <c r="AS677" s="458"/>
      <c r="AT677" s="458"/>
      <c r="AU677" s="458"/>
      <c r="AV677" s="458"/>
      <c r="BA677" s="1305"/>
    </row>
    <row r="678" spans="2:53" ht="12.5">
      <c r="B678" s="175"/>
      <c r="C678" s="176"/>
      <c r="H678" s="178"/>
      <c r="I678" s="178"/>
      <c r="J678" s="184"/>
      <c r="N678" s="178"/>
      <c r="O678" s="178"/>
      <c r="P678" s="178"/>
      <c r="S678" s="458"/>
      <c r="AN678" s="458"/>
      <c r="AO678" s="458"/>
      <c r="AP678" s="458"/>
      <c r="AQ678" s="458"/>
      <c r="AR678" s="458"/>
      <c r="AS678" s="458"/>
      <c r="AT678" s="458"/>
      <c r="AU678" s="458"/>
      <c r="AV678" s="458"/>
      <c r="BA678" s="1305"/>
    </row>
    <row r="679" spans="2:53" ht="12.5">
      <c r="B679" s="175"/>
      <c r="C679" s="176"/>
      <c r="H679" s="178"/>
      <c r="I679" s="178"/>
      <c r="J679" s="184"/>
      <c r="N679" s="178"/>
      <c r="O679" s="178"/>
      <c r="P679" s="178"/>
      <c r="S679" s="458"/>
      <c r="AN679" s="458"/>
      <c r="AO679" s="458"/>
      <c r="AP679" s="458"/>
      <c r="AQ679" s="458"/>
      <c r="AR679" s="458"/>
      <c r="AS679" s="458"/>
      <c r="AT679" s="458"/>
      <c r="AU679" s="458"/>
      <c r="AV679" s="458"/>
      <c r="BA679" s="1305"/>
    </row>
    <row r="680" spans="2:53" ht="12.5">
      <c r="B680" s="175"/>
      <c r="C680" s="176"/>
      <c r="H680" s="178"/>
      <c r="I680" s="179"/>
      <c r="J680" s="184"/>
      <c r="N680" s="178"/>
      <c r="O680" s="178"/>
      <c r="P680" s="178"/>
      <c r="S680" s="458"/>
      <c r="AN680" s="458"/>
      <c r="AO680" s="458"/>
      <c r="AP680" s="458"/>
      <c r="AQ680" s="458"/>
      <c r="AR680" s="458"/>
      <c r="AS680" s="458"/>
      <c r="AT680" s="458"/>
      <c r="AU680" s="458"/>
      <c r="AV680" s="458"/>
      <c r="BA680" s="1305"/>
    </row>
    <row r="681" spans="2:53" ht="12.5">
      <c r="B681" s="175"/>
      <c r="C681" s="176"/>
      <c r="H681" s="178"/>
      <c r="I681" s="178"/>
      <c r="J681" s="184"/>
      <c r="N681" s="178"/>
      <c r="O681" s="178"/>
      <c r="P681" s="178"/>
      <c r="S681" s="458"/>
      <c r="AN681" s="458"/>
      <c r="AO681" s="458"/>
      <c r="AP681" s="458"/>
      <c r="AQ681" s="458"/>
      <c r="AR681" s="458"/>
      <c r="AS681" s="458"/>
      <c r="AT681" s="458"/>
      <c r="AU681" s="458"/>
      <c r="AV681" s="458"/>
      <c r="BA681" s="1305"/>
    </row>
    <row r="682" spans="2:53" ht="12.5">
      <c r="B682" s="175"/>
      <c r="C682" s="176"/>
      <c r="H682" s="178"/>
      <c r="I682" s="179"/>
      <c r="J682" s="184"/>
      <c r="N682" s="178"/>
      <c r="O682" s="178"/>
      <c r="P682" s="178"/>
      <c r="S682" s="458"/>
      <c r="AN682" s="458"/>
      <c r="AO682" s="458"/>
      <c r="AP682" s="458"/>
      <c r="AQ682" s="458"/>
      <c r="AR682" s="458"/>
      <c r="AS682" s="458"/>
      <c r="AT682" s="458"/>
      <c r="AU682" s="458"/>
      <c r="AV682" s="458"/>
      <c r="BA682" s="1305"/>
    </row>
    <row r="683" spans="2:53" ht="12.5">
      <c r="B683" s="175"/>
      <c r="C683" s="176"/>
      <c r="H683" s="178"/>
      <c r="I683" s="178"/>
      <c r="J683" s="184"/>
      <c r="N683" s="178"/>
      <c r="O683" s="178"/>
      <c r="P683" s="178"/>
      <c r="S683" s="458"/>
      <c r="AN683" s="458"/>
      <c r="AO683" s="458"/>
      <c r="AP683" s="458"/>
      <c r="AQ683" s="458"/>
      <c r="AR683" s="458"/>
      <c r="AS683" s="458"/>
      <c r="AT683" s="458"/>
      <c r="AU683" s="458"/>
      <c r="AV683" s="458"/>
      <c r="BA683" s="1305"/>
    </row>
    <row r="684" spans="2:53" ht="12.5">
      <c r="B684" s="175"/>
      <c r="C684" s="176"/>
      <c r="H684" s="178"/>
      <c r="I684" s="178"/>
      <c r="J684" s="184"/>
      <c r="N684" s="178"/>
      <c r="O684" s="178"/>
      <c r="P684" s="178"/>
      <c r="S684" s="458"/>
      <c r="AN684" s="458"/>
      <c r="AO684" s="458"/>
      <c r="AP684" s="458"/>
      <c r="AQ684" s="458"/>
      <c r="AR684" s="458"/>
      <c r="AS684" s="458"/>
      <c r="AT684" s="458"/>
      <c r="AU684" s="458"/>
      <c r="AV684" s="458"/>
      <c r="BA684" s="1305"/>
    </row>
    <row r="685" spans="2:53" ht="12.5">
      <c r="B685" s="175"/>
      <c r="C685" s="176"/>
      <c r="H685" s="178"/>
      <c r="I685" s="179"/>
      <c r="J685" s="184"/>
      <c r="N685" s="178"/>
      <c r="O685" s="178"/>
      <c r="P685" s="178"/>
      <c r="S685" s="458"/>
      <c r="AN685" s="458"/>
      <c r="AO685" s="458"/>
      <c r="AP685" s="458"/>
      <c r="AQ685" s="458"/>
      <c r="AR685" s="458"/>
      <c r="AS685" s="458"/>
      <c r="AT685" s="458"/>
      <c r="AU685" s="458"/>
      <c r="AV685" s="458"/>
      <c r="BA685" s="1305"/>
    </row>
    <row r="686" spans="2:53" ht="12.5">
      <c r="B686" s="175"/>
      <c r="C686" s="176"/>
      <c r="H686" s="178"/>
      <c r="I686" s="178"/>
      <c r="J686" s="184"/>
      <c r="N686" s="178"/>
      <c r="O686" s="178"/>
      <c r="P686" s="178"/>
      <c r="S686" s="458"/>
      <c r="AN686" s="458"/>
      <c r="AO686" s="458"/>
      <c r="AP686" s="458"/>
      <c r="AQ686" s="458"/>
      <c r="AR686" s="458"/>
      <c r="AS686" s="458"/>
      <c r="AT686" s="458"/>
      <c r="AU686" s="458"/>
      <c r="AV686" s="458"/>
      <c r="BA686" s="1305"/>
    </row>
    <row r="687" spans="2:53" ht="12.5">
      <c r="B687" s="175"/>
      <c r="C687" s="176"/>
      <c r="H687" s="178"/>
      <c r="I687" s="178"/>
      <c r="J687" s="184"/>
      <c r="N687" s="178"/>
      <c r="O687" s="178"/>
      <c r="P687" s="178"/>
      <c r="S687" s="458"/>
      <c r="AN687" s="458"/>
      <c r="AO687" s="458"/>
      <c r="AP687" s="458"/>
      <c r="AQ687" s="458"/>
      <c r="AR687" s="458"/>
      <c r="AS687" s="458"/>
      <c r="AT687" s="458"/>
      <c r="AU687" s="458"/>
      <c r="AV687" s="458"/>
      <c r="BA687" s="1305"/>
    </row>
    <row r="688" spans="2:53" ht="12.5">
      <c r="B688" s="175"/>
      <c r="C688" s="176"/>
      <c r="H688" s="178"/>
      <c r="I688" s="178"/>
      <c r="J688" s="184"/>
      <c r="N688" s="178"/>
      <c r="O688" s="178"/>
      <c r="P688" s="178"/>
      <c r="S688" s="458"/>
      <c r="AN688" s="458"/>
      <c r="AO688" s="458"/>
      <c r="AP688" s="458"/>
      <c r="AQ688" s="458"/>
      <c r="AR688" s="458"/>
      <c r="AS688" s="458"/>
      <c r="AT688" s="458"/>
      <c r="AU688" s="458"/>
      <c r="AV688" s="458"/>
      <c r="BA688" s="1305"/>
    </row>
    <row r="689" spans="2:53" ht="12.5">
      <c r="B689" s="175"/>
      <c r="C689" s="176"/>
      <c r="H689" s="178"/>
      <c r="I689" s="178"/>
      <c r="J689" s="184"/>
      <c r="N689" s="178"/>
      <c r="O689" s="178"/>
      <c r="P689" s="178"/>
      <c r="S689" s="458"/>
      <c r="AN689" s="458"/>
      <c r="AO689" s="458"/>
      <c r="AP689" s="458"/>
      <c r="AQ689" s="458"/>
      <c r="AR689" s="458"/>
      <c r="AS689" s="458"/>
      <c r="AT689" s="458"/>
      <c r="AU689" s="458"/>
      <c r="AV689" s="458"/>
      <c r="BA689" s="1305"/>
    </row>
    <row r="690" spans="2:53" ht="12.5">
      <c r="B690" s="175"/>
      <c r="C690" s="176"/>
      <c r="H690" s="178"/>
      <c r="I690" s="179"/>
      <c r="J690" s="184"/>
      <c r="N690" s="178"/>
      <c r="O690" s="178"/>
      <c r="P690" s="178"/>
      <c r="S690" s="458"/>
      <c r="AN690" s="458"/>
      <c r="AO690" s="458"/>
      <c r="AP690" s="458"/>
      <c r="AQ690" s="458"/>
      <c r="AR690" s="458"/>
      <c r="AS690" s="458"/>
      <c r="AT690" s="458"/>
      <c r="AU690" s="458"/>
      <c r="AV690" s="458"/>
      <c r="BA690" s="1305"/>
    </row>
    <row r="691" spans="2:53" ht="12.5">
      <c r="B691" s="175"/>
      <c r="C691" s="176"/>
      <c r="H691" s="178"/>
      <c r="I691" s="178"/>
      <c r="J691" s="184"/>
      <c r="N691" s="178"/>
      <c r="O691" s="178"/>
      <c r="P691" s="178"/>
      <c r="S691" s="458"/>
      <c r="AN691" s="458"/>
      <c r="AO691" s="458"/>
      <c r="AP691" s="458"/>
      <c r="AQ691" s="458"/>
      <c r="AR691" s="458"/>
      <c r="AS691" s="458"/>
      <c r="AT691" s="458"/>
      <c r="AU691" s="458"/>
      <c r="AV691" s="458"/>
      <c r="BA691" s="1305"/>
    </row>
    <row r="692" spans="2:53" ht="12.5">
      <c r="B692" s="175"/>
      <c r="C692" s="176"/>
      <c r="H692" s="178"/>
      <c r="I692" s="179"/>
      <c r="J692" s="184"/>
      <c r="N692" s="178"/>
      <c r="O692" s="178"/>
      <c r="P692" s="178"/>
      <c r="S692" s="458"/>
      <c r="AN692" s="458"/>
      <c r="AO692" s="458"/>
      <c r="AP692" s="458"/>
      <c r="AQ692" s="458"/>
      <c r="AR692" s="458"/>
      <c r="AS692" s="458"/>
      <c r="AT692" s="458"/>
      <c r="AU692" s="458"/>
      <c r="AV692" s="458"/>
      <c r="BA692" s="1305"/>
    </row>
    <row r="693" spans="2:53" ht="12.5">
      <c r="B693" s="175"/>
      <c r="C693" s="176"/>
      <c r="H693" s="178"/>
      <c r="I693" s="178"/>
      <c r="J693" s="184"/>
      <c r="N693" s="178"/>
      <c r="O693" s="178"/>
      <c r="P693" s="178"/>
      <c r="S693" s="458"/>
      <c r="AN693" s="458"/>
      <c r="AO693" s="458"/>
      <c r="AP693" s="458"/>
      <c r="AQ693" s="458"/>
      <c r="AR693" s="458"/>
      <c r="AS693" s="458"/>
      <c r="AT693" s="458"/>
      <c r="AU693" s="458"/>
      <c r="AV693" s="458"/>
      <c r="BA693" s="1305"/>
    </row>
    <row r="694" spans="2:53" ht="12.5">
      <c r="B694" s="175"/>
      <c r="C694" s="176"/>
      <c r="H694" s="178"/>
      <c r="I694" s="179"/>
      <c r="J694" s="184"/>
      <c r="N694" s="178"/>
      <c r="O694" s="178"/>
      <c r="P694" s="178"/>
      <c r="S694" s="458"/>
      <c r="AN694" s="458"/>
      <c r="AO694" s="458"/>
      <c r="AP694" s="458"/>
      <c r="AQ694" s="458"/>
      <c r="AR694" s="458"/>
      <c r="AS694" s="458"/>
      <c r="AT694" s="458"/>
      <c r="AU694" s="458"/>
      <c r="AV694" s="458"/>
      <c r="BA694" s="1305"/>
    </row>
    <row r="695" spans="2:53" ht="12.5">
      <c r="B695" s="175"/>
      <c r="C695" s="176"/>
      <c r="H695" s="178"/>
      <c r="I695" s="178"/>
      <c r="J695" s="184"/>
      <c r="N695" s="178"/>
      <c r="O695" s="178"/>
      <c r="P695" s="178"/>
      <c r="S695" s="458"/>
      <c r="AN695" s="458"/>
      <c r="AO695" s="458"/>
      <c r="AP695" s="458"/>
      <c r="AQ695" s="458"/>
      <c r="AR695" s="458"/>
      <c r="AS695" s="458"/>
      <c r="AT695" s="458"/>
      <c r="AU695" s="458"/>
      <c r="AV695" s="458"/>
      <c r="BA695" s="1305"/>
    </row>
    <row r="696" spans="2:53" ht="12.5">
      <c r="B696" s="175"/>
      <c r="C696" s="176"/>
      <c r="H696" s="178"/>
      <c r="I696" s="178"/>
      <c r="J696" s="184"/>
      <c r="N696" s="178"/>
      <c r="O696" s="178"/>
      <c r="P696" s="178"/>
      <c r="S696" s="458"/>
      <c r="AN696" s="458"/>
      <c r="AO696" s="458"/>
      <c r="AP696" s="458"/>
      <c r="AQ696" s="458"/>
      <c r="AR696" s="458"/>
      <c r="AS696" s="458"/>
      <c r="AT696" s="458"/>
      <c r="AU696" s="458"/>
      <c r="AV696" s="458"/>
      <c r="BA696" s="1305"/>
    </row>
    <row r="697" spans="2:53" ht="12.5">
      <c r="B697" s="175"/>
      <c r="C697" s="176"/>
      <c r="H697" s="178"/>
      <c r="I697" s="178"/>
      <c r="J697" s="184"/>
      <c r="N697" s="178"/>
      <c r="O697" s="178"/>
      <c r="P697" s="178"/>
      <c r="S697" s="458"/>
      <c r="AN697" s="458"/>
      <c r="AO697" s="458"/>
      <c r="AP697" s="458"/>
      <c r="AQ697" s="458"/>
      <c r="AR697" s="458"/>
      <c r="AS697" s="458"/>
      <c r="AT697" s="458"/>
      <c r="AU697" s="458"/>
      <c r="AV697" s="458"/>
      <c r="BA697" s="1305"/>
    </row>
    <row r="698" spans="2:53" ht="12.5">
      <c r="B698" s="175"/>
      <c r="C698" s="176"/>
      <c r="H698" s="178"/>
      <c r="I698" s="178"/>
      <c r="J698" s="184"/>
      <c r="N698" s="178"/>
      <c r="O698" s="178"/>
      <c r="P698" s="178"/>
      <c r="S698" s="458"/>
      <c r="AN698" s="458"/>
      <c r="AO698" s="458"/>
      <c r="AP698" s="458"/>
      <c r="AQ698" s="458"/>
      <c r="AR698" s="458"/>
      <c r="AS698" s="458"/>
      <c r="AT698" s="458"/>
      <c r="AU698" s="458"/>
      <c r="AV698" s="458"/>
      <c r="BA698" s="1305"/>
    </row>
    <row r="699" spans="2:53" ht="12.5">
      <c r="B699" s="175"/>
      <c r="C699" s="176"/>
      <c r="H699" s="178"/>
      <c r="I699" s="178"/>
      <c r="J699" s="184"/>
      <c r="N699" s="178"/>
      <c r="O699" s="178"/>
      <c r="P699" s="178"/>
      <c r="S699" s="458"/>
      <c r="AN699" s="458"/>
      <c r="AO699" s="458"/>
      <c r="AP699" s="458"/>
      <c r="AQ699" s="458"/>
      <c r="AR699" s="458"/>
      <c r="AS699" s="458"/>
      <c r="AT699" s="458"/>
      <c r="AU699" s="458"/>
      <c r="AV699" s="458"/>
      <c r="BA699" s="1305"/>
    </row>
    <row r="700" spans="2:53" ht="12.5">
      <c r="B700" s="175"/>
      <c r="C700" s="176"/>
      <c r="H700" s="178"/>
      <c r="I700" s="178"/>
      <c r="J700" s="184"/>
      <c r="N700" s="178"/>
      <c r="O700" s="178"/>
      <c r="P700" s="178"/>
      <c r="S700" s="458"/>
      <c r="AN700" s="458"/>
      <c r="AO700" s="458"/>
      <c r="AP700" s="458"/>
      <c r="AQ700" s="458"/>
      <c r="AR700" s="458"/>
      <c r="AS700" s="458"/>
      <c r="AT700" s="458"/>
      <c r="AU700" s="458"/>
      <c r="AV700" s="458"/>
      <c r="BA700" s="1305"/>
    </row>
    <row r="701" spans="2:53" ht="12.5">
      <c r="B701" s="175"/>
      <c r="C701" s="176"/>
      <c r="H701" s="178"/>
      <c r="I701" s="178"/>
      <c r="J701" s="184"/>
      <c r="N701" s="178"/>
      <c r="O701" s="178"/>
      <c r="P701" s="178"/>
      <c r="S701" s="458"/>
      <c r="AN701" s="458"/>
      <c r="AO701" s="458"/>
      <c r="AP701" s="458"/>
      <c r="AQ701" s="458"/>
      <c r="AR701" s="458"/>
      <c r="AS701" s="458"/>
      <c r="AT701" s="458"/>
      <c r="AU701" s="458"/>
      <c r="AV701" s="458"/>
      <c r="BA701" s="1305"/>
    </row>
    <row r="702" spans="2:53" ht="12.5">
      <c r="B702" s="175"/>
      <c r="C702" s="176"/>
      <c r="H702" s="178"/>
      <c r="I702" s="178"/>
      <c r="J702" s="184"/>
      <c r="N702" s="178"/>
      <c r="O702" s="178"/>
      <c r="P702" s="178"/>
      <c r="S702" s="458"/>
      <c r="AN702" s="458"/>
      <c r="AO702" s="458"/>
      <c r="AP702" s="458"/>
      <c r="AQ702" s="458"/>
      <c r="AR702" s="458"/>
      <c r="AS702" s="458"/>
      <c r="AT702" s="458"/>
      <c r="AU702" s="458"/>
      <c r="AV702" s="458"/>
      <c r="BA702" s="1305"/>
    </row>
    <row r="703" spans="2:53" ht="12.5">
      <c r="B703" s="175"/>
      <c r="C703" s="176"/>
      <c r="H703" s="178"/>
      <c r="I703" s="178"/>
      <c r="J703" s="184"/>
      <c r="N703" s="178"/>
      <c r="O703" s="178"/>
      <c r="P703" s="178"/>
      <c r="S703" s="458"/>
      <c r="AN703" s="458"/>
      <c r="AO703" s="458"/>
      <c r="AP703" s="458"/>
      <c r="AQ703" s="458"/>
      <c r="AR703" s="458"/>
      <c r="AS703" s="458"/>
      <c r="AT703" s="458"/>
      <c r="AU703" s="458"/>
      <c r="AV703" s="458"/>
      <c r="BA703" s="1305"/>
    </row>
    <row r="704" spans="2:53" ht="12.5">
      <c r="B704" s="175"/>
      <c r="C704" s="176"/>
      <c r="H704" s="178"/>
      <c r="I704" s="178"/>
      <c r="J704" s="184"/>
      <c r="N704" s="178"/>
      <c r="O704" s="178"/>
      <c r="P704" s="178"/>
      <c r="S704" s="458"/>
      <c r="AN704" s="458"/>
      <c r="AO704" s="458"/>
      <c r="AP704" s="458"/>
      <c r="AQ704" s="458"/>
      <c r="AR704" s="458"/>
      <c r="AS704" s="458"/>
      <c r="AT704" s="458"/>
      <c r="AU704" s="458"/>
      <c r="AV704" s="458"/>
      <c r="BA704" s="1305"/>
    </row>
    <row r="705" spans="2:53" ht="12.5">
      <c r="B705" s="175"/>
      <c r="C705" s="176"/>
      <c r="H705" s="178"/>
      <c r="I705" s="178"/>
      <c r="J705" s="184"/>
      <c r="N705" s="178"/>
      <c r="O705" s="178"/>
      <c r="P705" s="178"/>
      <c r="S705" s="458"/>
      <c r="AN705" s="458"/>
      <c r="AO705" s="458"/>
      <c r="AP705" s="458"/>
      <c r="AQ705" s="458"/>
      <c r="AR705" s="458"/>
      <c r="AS705" s="458"/>
      <c r="AT705" s="458"/>
      <c r="AU705" s="458"/>
      <c r="AV705" s="458"/>
      <c r="BA705" s="1305"/>
    </row>
    <row r="706" spans="2:53" ht="12.5">
      <c r="B706" s="175"/>
      <c r="C706" s="176"/>
      <c r="H706" s="178"/>
      <c r="I706" s="178"/>
      <c r="J706" s="184"/>
      <c r="N706" s="178"/>
      <c r="O706" s="178"/>
      <c r="P706" s="178"/>
      <c r="S706" s="458"/>
      <c r="AN706" s="458"/>
      <c r="AO706" s="458"/>
      <c r="AP706" s="458"/>
      <c r="AQ706" s="458"/>
      <c r="AR706" s="458"/>
      <c r="AS706" s="458"/>
      <c r="AT706" s="458"/>
      <c r="AU706" s="458"/>
      <c r="AV706" s="458"/>
      <c r="BA706" s="1305"/>
    </row>
    <row r="707" spans="2:53" ht="12.5">
      <c r="B707" s="175"/>
      <c r="C707" s="176"/>
      <c r="H707" s="178"/>
      <c r="I707" s="178"/>
      <c r="J707" s="184"/>
      <c r="N707" s="178"/>
      <c r="O707" s="178"/>
      <c r="P707" s="178"/>
      <c r="S707" s="458"/>
      <c r="AN707" s="458"/>
      <c r="AO707" s="458"/>
      <c r="AP707" s="458"/>
      <c r="AQ707" s="458"/>
      <c r="AR707" s="458"/>
      <c r="AS707" s="458"/>
      <c r="AT707" s="458"/>
      <c r="AU707" s="458"/>
      <c r="AV707" s="458"/>
      <c r="BA707" s="1305"/>
    </row>
    <row r="708" spans="2:53" ht="12.5">
      <c r="B708" s="175"/>
      <c r="C708" s="176"/>
      <c r="H708" s="178"/>
      <c r="I708" s="178"/>
      <c r="J708" s="184"/>
      <c r="N708" s="178"/>
      <c r="O708" s="178"/>
      <c r="P708" s="178"/>
      <c r="S708" s="458"/>
      <c r="AN708" s="458"/>
      <c r="AO708" s="458"/>
      <c r="AP708" s="458"/>
      <c r="AQ708" s="458"/>
      <c r="AR708" s="458"/>
      <c r="AS708" s="458"/>
      <c r="AT708" s="458"/>
      <c r="AU708" s="458"/>
      <c r="AV708" s="458"/>
      <c r="BA708" s="1305"/>
    </row>
    <row r="709" spans="2:53" ht="12.5">
      <c r="B709" s="175"/>
      <c r="C709" s="176"/>
      <c r="H709" s="178"/>
      <c r="I709" s="178"/>
      <c r="J709" s="184"/>
      <c r="N709" s="178"/>
      <c r="O709" s="178"/>
      <c r="P709" s="178"/>
      <c r="S709" s="458"/>
      <c r="AN709" s="458"/>
      <c r="AO709" s="458"/>
      <c r="AP709" s="458"/>
      <c r="AQ709" s="458"/>
      <c r="AR709" s="458"/>
      <c r="AS709" s="458"/>
      <c r="AT709" s="458"/>
      <c r="AU709" s="458"/>
      <c r="AV709" s="458"/>
      <c r="BA709" s="1305"/>
    </row>
    <row r="710" spans="2:53" ht="12.5">
      <c r="B710" s="175"/>
      <c r="C710" s="176"/>
      <c r="H710" s="178"/>
      <c r="I710" s="178"/>
      <c r="J710" s="184"/>
      <c r="N710" s="178"/>
      <c r="O710" s="178"/>
      <c r="P710" s="178"/>
      <c r="S710" s="458"/>
      <c r="AN710" s="458"/>
      <c r="AO710" s="458"/>
      <c r="AP710" s="458"/>
      <c r="AQ710" s="458"/>
      <c r="AR710" s="458"/>
      <c r="AS710" s="458"/>
      <c r="AT710" s="458"/>
      <c r="AU710" s="458"/>
      <c r="AV710" s="458"/>
      <c r="BA710" s="1305"/>
    </row>
    <row r="711" spans="2:53" ht="12.5">
      <c r="B711" s="175"/>
      <c r="C711" s="176"/>
      <c r="H711" s="178"/>
      <c r="I711" s="178"/>
      <c r="J711" s="184"/>
      <c r="N711" s="178"/>
      <c r="O711" s="178"/>
      <c r="P711" s="178"/>
      <c r="S711" s="458"/>
      <c r="AN711" s="458"/>
      <c r="AO711" s="458"/>
      <c r="AP711" s="458"/>
      <c r="AQ711" s="458"/>
      <c r="AR711" s="458"/>
      <c r="AS711" s="458"/>
      <c r="AT711" s="458"/>
      <c r="AU711" s="458"/>
      <c r="AV711" s="458"/>
      <c r="BA711" s="1305"/>
    </row>
    <row r="712" spans="2:53" ht="12.5">
      <c r="B712" s="175"/>
      <c r="C712" s="176"/>
      <c r="H712" s="178"/>
      <c r="I712" s="178"/>
      <c r="J712" s="184"/>
      <c r="N712" s="178"/>
      <c r="O712" s="178"/>
      <c r="P712" s="178"/>
      <c r="S712" s="458"/>
      <c r="AN712" s="458"/>
      <c r="AO712" s="458"/>
      <c r="AP712" s="458"/>
      <c r="AQ712" s="458"/>
      <c r="AR712" s="458"/>
      <c r="AS712" s="458"/>
      <c r="AT712" s="458"/>
      <c r="AU712" s="458"/>
      <c r="AV712" s="458"/>
      <c r="BA712" s="1305"/>
    </row>
    <row r="713" spans="2:53" ht="12.5">
      <c r="B713" s="175"/>
      <c r="C713" s="176"/>
      <c r="H713" s="178"/>
      <c r="I713" s="178"/>
      <c r="J713" s="184"/>
      <c r="N713" s="178"/>
      <c r="O713" s="178"/>
      <c r="P713" s="178"/>
      <c r="S713" s="458"/>
      <c r="AN713" s="458"/>
      <c r="AO713" s="458"/>
      <c r="AP713" s="458"/>
      <c r="AQ713" s="458"/>
      <c r="AR713" s="458"/>
      <c r="AS713" s="458"/>
      <c r="AT713" s="458"/>
      <c r="AU713" s="458"/>
      <c r="AV713" s="458"/>
      <c r="BA713" s="1305"/>
    </row>
    <row r="714" spans="2:53" ht="12.5">
      <c r="B714" s="175"/>
      <c r="C714" s="176"/>
      <c r="H714" s="178"/>
      <c r="I714" s="179"/>
      <c r="J714" s="184"/>
      <c r="N714" s="178"/>
      <c r="O714" s="178"/>
      <c r="P714" s="178"/>
      <c r="S714" s="458"/>
      <c r="AN714" s="458"/>
      <c r="AO714" s="458"/>
      <c r="AP714" s="458"/>
      <c r="AQ714" s="458"/>
      <c r="AR714" s="458"/>
      <c r="AS714" s="458"/>
      <c r="AT714" s="458"/>
      <c r="AU714" s="458"/>
      <c r="AV714" s="458"/>
      <c r="BA714" s="1305"/>
    </row>
    <row r="715" spans="2:53" ht="12.5">
      <c r="B715" s="175"/>
      <c r="C715" s="176"/>
      <c r="H715" s="178"/>
      <c r="I715" s="178"/>
      <c r="J715" s="184"/>
      <c r="N715" s="178"/>
      <c r="O715" s="178"/>
      <c r="P715" s="178"/>
      <c r="S715" s="458"/>
      <c r="AN715" s="458"/>
      <c r="AO715" s="458"/>
      <c r="AP715" s="458"/>
      <c r="AQ715" s="458"/>
      <c r="AR715" s="458"/>
      <c r="AS715" s="458"/>
      <c r="AT715" s="458"/>
      <c r="AU715" s="458"/>
      <c r="AV715" s="458"/>
      <c r="BA715" s="1305"/>
    </row>
    <row r="716" spans="2:53" ht="12.5">
      <c r="B716" s="175"/>
      <c r="C716" s="176"/>
      <c r="H716" s="178"/>
      <c r="I716" s="179"/>
      <c r="J716" s="184"/>
      <c r="N716" s="178"/>
      <c r="O716" s="178"/>
      <c r="P716" s="178"/>
      <c r="S716" s="458"/>
      <c r="AN716" s="458"/>
      <c r="AO716" s="458"/>
      <c r="AP716" s="458"/>
      <c r="AQ716" s="458"/>
      <c r="AR716" s="458"/>
      <c r="AS716" s="458"/>
      <c r="AT716" s="458"/>
      <c r="AU716" s="458"/>
      <c r="AV716" s="458"/>
      <c r="BA716" s="1305"/>
    </row>
    <row r="717" spans="2:53" ht="12.5">
      <c r="B717" s="175"/>
      <c r="C717" s="176"/>
      <c r="H717" s="178"/>
      <c r="I717" s="178"/>
      <c r="J717" s="184"/>
      <c r="N717" s="178"/>
      <c r="O717" s="178"/>
      <c r="P717" s="178"/>
      <c r="S717" s="458"/>
      <c r="AN717" s="458"/>
      <c r="AO717" s="458"/>
      <c r="AP717" s="458"/>
      <c r="AQ717" s="458"/>
      <c r="AR717" s="458"/>
      <c r="AS717" s="458"/>
      <c r="AT717" s="458"/>
      <c r="AU717" s="458"/>
      <c r="AV717" s="458"/>
      <c r="BA717" s="1305"/>
    </row>
    <row r="718" spans="2:53" ht="12.5">
      <c r="B718" s="175"/>
      <c r="C718" s="176"/>
      <c r="H718" s="178"/>
      <c r="I718" s="178"/>
      <c r="J718" s="184"/>
      <c r="N718" s="178"/>
      <c r="O718" s="178"/>
      <c r="P718" s="178"/>
      <c r="S718" s="458"/>
      <c r="AN718" s="458"/>
      <c r="AO718" s="458"/>
      <c r="AP718" s="458"/>
      <c r="AQ718" s="458"/>
      <c r="AR718" s="458"/>
      <c r="AS718" s="458"/>
      <c r="AT718" s="458"/>
      <c r="AU718" s="458"/>
      <c r="AV718" s="458"/>
      <c r="BA718" s="1305"/>
    </row>
    <row r="719" spans="2:53" ht="12.5">
      <c r="B719" s="175"/>
      <c r="C719" s="176"/>
      <c r="H719" s="178"/>
      <c r="I719" s="179"/>
      <c r="J719" s="184"/>
      <c r="N719" s="178"/>
      <c r="O719" s="178"/>
      <c r="P719" s="178"/>
      <c r="S719" s="458"/>
      <c r="AN719" s="458"/>
      <c r="AO719" s="458"/>
      <c r="AP719" s="458"/>
      <c r="AQ719" s="458"/>
      <c r="AR719" s="458"/>
      <c r="AS719" s="458"/>
      <c r="AT719" s="458"/>
      <c r="AU719" s="458"/>
      <c r="AV719" s="458"/>
      <c r="BA719" s="1305"/>
    </row>
    <row r="720" spans="2:53" ht="12.5">
      <c r="B720" s="175"/>
      <c r="C720" s="176"/>
      <c r="H720" s="178"/>
      <c r="I720" s="178"/>
      <c r="J720" s="184"/>
      <c r="N720" s="178"/>
      <c r="O720" s="178"/>
      <c r="P720" s="178"/>
      <c r="S720" s="458"/>
      <c r="AN720" s="458"/>
      <c r="AO720" s="458"/>
      <c r="AP720" s="458"/>
      <c r="AQ720" s="458"/>
      <c r="AR720" s="458"/>
      <c r="AS720" s="458"/>
      <c r="AT720" s="458"/>
      <c r="AU720" s="458"/>
      <c r="AV720" s="458"/>
      <c r="BA720" s="1305"/>
    </row>
    <row r="721" spans="2:53" ht="12.5">
      <c r="B721" s="175"/>
      <c r="C721" s="176"/>
      <c r="H721" s="178"/>
      <c r="I721" s="178"/>
      <c r="J721" s="184"/>
      <c r="N721" s="178"/>
      <c r="O721" s="178"/>
      <c r="P721" s="178"/>
      <c r="S721" s="458"/>
      <c r="AN721" s="458"/>
      <c r="AO721" s="458"/>
      <c r="AP721" s="458"/>
      <c r="AQ721" s="458"/>
      <c r="AR721" s="458"/>
      <c r="AS721" s="458"/>
      <c r="AT721" s="458"/>
      <c r="AU721" s="458"/>
      <c r="AV721" s="458"/>
      <c r="BA721" s="1305"/>
    </row>
    <row r="722" spans="2:53" ht="12.5">
      <c r="B722" s="175"/>
      <c r="C722" s="176"/>
      <c r="H722" s="178"/>
      <c r="I722" s="178"/>
      <c r="J722" s="184"/>
      <c r="N722" s="178"/>
      <c r="O722" s="178"/>
      <c r="P722" s="178"/>
      <c r="S722" s="458"/>
      <c r="AN722" s="458"/>
      <c r="AO722" s="458"/>
      <c r="AP722" s="458"/>
      <c r="AQ722" s="458"/>
      <c r="AR722" s="458"/>
      <c r="AS722" s="458"/>
      <c r="AT722" s="458"/>
      <c r="AU722" s="458"/>
      <c r="AV722" s="458"/>
      <c r="BA722" s="1305"/>
    </row>
    <row r="723" spans="2:53" ht="12.5">
      <c r="B723" s="175"/>
      <c r="C723" s="176"/>
      <c r="H723" s="178"/>
      <c r="I723" s="178"/>
      <c r="J723" s="184"/>
      <c r="N723" s="178"/>
      <c r="O723" s="178"/>
      <c r="P723" s="178"/>
      <c r="S723" s="458"/>
      <c r="AN723" s="458"/>
      <c r="AO723" s="458"/>
      <c r="AP723" s="458"/>
      <c r="AQ723" s="458"/>
      <c r="AR723" s="458"/>
      <c r="AS723" s="458"/>
      <c r="AT723" s="458"/>
      <c r="AU723" s="458"/>
      <c r="AV723" s="458"/>
      <c r="BA723" s="1305"/>
    </row>
    <row r="724" spans="2:53" ht="12.5">
      <c r="B724" s="175"/>
      <c r="C724" s="176"/>
      <c r="H724" s="178"/>
      <c r="I724" s="179"/>
      <c r="J724" s="184"/>
      <c r="N724" s="178"/>
      <c r="O724" s="178"/>
      <c r="P724" s="178"/>
      <c r="S724" s="458"/>
      <c r="AN724" s="458"/>
      <c r="AO724" s="458"/>
      <c r="AP724" s="458"/>
      <c r="AQ724" s="458"/>
      <c r="AR724" s="458"/>
      <c r="AS724" s="458"/>
      <c r="AT724" s="458"/>
      <c r="AU724" s="458"/>
      <c r="AV724" s="458"/>
      <c r="BA724" s="1305"/>
    </row>
    <row r="725" spans="2:53" ht="12.5">
      <c r="B725" s="175"/>
      <c r="C725" s="176"/>
      <c r="H725" s="178"/>
      <c r="I725" s="178"/>
      <c r="J725" s="184"/>
      <c r="N725" s="178"/>
      <c r="O725" s="178"/>
      <c r="P725" s="178"/>
      <c r="S725" s="458"/>
      <c r="AN725" s="458"/>
      <c r="AO725" s="458"/>
      <c r="AP725" s="458"/>
      <c r="AQ725" s="458"/>
      <c r="AR725" s="458"/>
      <c r="AS725" s="458"/>
      <c r="AT725" s="458"/>
      <c r="AU725" s="458"/>
      <c r="AV725" s="458"/>
      <c r="BA725" s="1305"/>
    </row>
    <row r="726" spans="2:53" ht="12.5">
      <c r="B726" s="175"/>
      <c r="C726" s="176"/>
      <c r="H726" s="178"/>
      <c r="I726" s="179"/>
      <c r="J726" s="184"/>
      <c r="N726" s="178"/>
      <c r="O726" s="178"/>
      <c r="P726" s="178"/>
      <c r="S726" s="458"/>
      <c r="AN726" s="458"/>
      <c r="AO726" s="458"/>
      <c r="AP726" s="458"/>
      <c r="AQ726" s="458"/>
      <c r="AR726" s="458"/>
      <c r="AS726" s="458"/>
      <c r="AT726" s="458"/>
      <c r="AU726" s="458"/>
      <c r="AV726" s="458"/>
      <c r="BA726" s="1305"/>
    </row>
    <row r="727" spans="2:53" ht="12.5">
      <c r="B727" s="175"/>
      <c r="C727" s="176"/>
      <c r="H727" s="178"/>
      <c r="I727" s="178"/>
      <c r="J727" s="184"/>
      <c r="N727" s="178"/>
      <c r="O727" s="178"/>
      <c r="P727" s="178"/>
      <c r="S727" s="458"/>
      <c r="AN727" s="458"/>
      <c r="AO727" s="458"/>
      <c r="AP727" s="458"/>
      <c r="AQ727" s="458"/>
      <c r="AR727" s="458"/>
      <c r="AS727" s="458"/>
      <c r="AT727" s="458"/>
      <c r="AU727" s="458"/>
      <c r="AV727" s="458"/>
      <c r="BA727" s="1305"/>
    </row>
    <row r="728" spans="2:53" ht="12.5">
      <c r="B728" s="175"/>
      <c r="C728" s="176"/>
      <c r="H728" s="178"/>
      <c r="I728" s="179"/>
      <c r="J728" s="184"/>
      <c r="N728" s="178"/>
      <c r="O728" s="178"/>
      <c r="P728" s="178"/>
      <c r="S728" s="458"/>
      <c r="AN728" s="458"/>
      <c r="AO728" s="458"/>
      <c r="AP728" s="458"/>
      <c r="AQ728" s="458"/>
      <c r="AR728" s="458"/>
      <c r="AS728" s="458"/>
      <c r="AT728" s="458"/>
      <c r="AU728" s="458"/>
      <c r="AV728" s="458"/>
      <c r="BA728" s="1305"/>
    </row>
    <row r="729" spans="2:53" ht="12.5">
      <c r="B729" s="175"/>
      <c r="C729" s="176"/>
      <c r="H729" s="178"/>
      <c r="I729" s="178"/>
      <c r="J729" s="184"/>
      <c r="N729" s="178"/>
      <c r="O729" s="178"/>
      <c r="P729" s="178"/>
      <c r="S729" s="458"/>
      <c r="AN729" s="458"/>
      <c r="AO729" s="458"/>
      <c r="AP729" s="458"/>
      <c r="AQ729" s="458"/>
      <c r="AR729" s="458"/>
      <c r="AS729" s="458"/>
      <c r="AT729" s="458"/>
      <c r="AU729" s="458"/>
      <c r="AV729" s="458"/>
      <c r="BA729" s="1305"/>
    </row>
    <row r="730" spans="2:53" ht="12.5">
      <c r="B730" s="175"/>
      <c r="C730" s="176"/>
      <c r="H730" s="178"/>
      <c r="I730" s="178"/>
      <c r="J730" s="184"/>
      <c r="N730" s="178"/>
      <c r="O730" s="178"/>
      <c r="P730" s="178"/>
      <c r="S730" s="458"/>
      <c r="AN730" s="458"/>
      <c r="AO730" s="458"/>
      <c r="AP730" s="458"/>
      <c r="AQ730" s="458"/>
      <c r="AR730" s="458"/>
      <c r="AS730" s="458"/>
      <c r="AT730" s="458"/>
      <c r="AU730" s="458"/>
      <c r="AV730" s="458"/>
      <c r="BA730" s="1305"/>
    </row>
    <row r="731" spans="2:53" ht="12.5">
      <c r="B731" s="175"/>
      <c r="C731" s="176"/>
      <c r="H731" s="178"/>
      <c r="I731" s="178"/>
      <c r="J731" s="184"/>
      <c r="N731" s="178"/>
      <c r="O731" s="178"/>
      <c r="P731" s="178"/>
      <c r="S731" s="458"/>
      <c r="AN731" s="458"/>
      <c r="AO731" s="458"/>
      <c r="AP731" s="458"/>
      <c r="AQ731" s="458"/>
      <c r="AR731" s="458"/>
      <c r="AS731" s="458"/>
      <c r="AT731" s="458"/>
      <c r="AU731" s="458"/>
      <c r="AV731" s="458"/>
      <c r="BA731" s="1305"/>
    </row>
    <row r="732" spans="2:53" ht="12.5">
      <c r="B732" s="175"/>
      <c r="C732" s="176"/>
      <c r="H732" s="178"/>
      <c r="I732" s="178"/>
      <c r="J732" s="184"/>
      <c r="N732" s="178"/>
      <c r="O732" s="178"/>
      <c r="P732" s="178"/>
      <c r="S732" s="458"/>
      <c r="AN732" s="458"/>
      <c r="AO732" s="458"/>
      <c r="AP732" s="458"/>
      <c r="AQ732" s="458"/>
      <c r="AR732" s="458"/>
      <c r="AS732" s="458"/>
      <c r="AT732" s="458"/>
      <c r="AU732" s="458"/>
      <c r="AV732" s="458"/>
      <c r="BA732" s="1305"/>
    </row>
    <row r="733" spans="2:53" ht="12.5">
      <c r="B733" s="175"/>
      <c r="C733" s="176"/>
      <c r="H733" s="178"/>
      <c r="I733" s="178"/>
      <c r="J733" s="184"/>
      <c r="N733" s="178"/>
      <c r="O733" s="178"/>
      <c r="P733" s="178"/>
      <c r="S733" s="458"/>
      <c r="AN733" s="458"/>
      <c r="AO733" s="458"/>
      <c r="AP733" s="458"/>
      <c r="AQ733" s="458"/>
      <c r="AR733" s="458"/>
      <c r="AS733" s="458"/>
      <c r="AT733" s="458"/>
      <c r="AU733" s="458"/>
      <c r="AV733" s="458"/>
      <c r="BA733" s="1305"/>
    </row>
    <row r="734" spans="2:53" ht="12.5">
      <c r="B734" s="175"/>
      <c r="C734" s="176"/>
      <c r="H734" s="178"/>
      <c r="I734" s="178"/>
      <c r="J734" s="184"/>
      <c r="N734" s="178"/>
      <c r="O734" s="178"/>
      <c r="P734" s="178"/>
      <c r="S734" s="458"/>
      <c r="AN734" s="458"/>
      <c r="AO734" s="458"/>
      <c r="AP734" s="458"/>
      <c r="AQ734" s="458"/>
      <c r="AR734" s="458"/>
      <c r="AS734" s="458"/>
      <c r="AT734" s="458"/>
      <c r="AU734" s="458"/>
      <c r="AV734" s="458"/>
      <c r="BA734" s="1305"/>
    </row>
    <row r="735" spans="2:53" ht="12.5">
      <c r="B735" s="175"/>
      <c r="C735" s="176"/>
      <c r="H735" s="178"/>
      <c r="I735" s="178"/>
      <c r="J735" s="184"/>
      <c r="N735" s="178"/>
      <c r="O735" s="178"/>
      <c r="P735" s="178"/>
      <c r="S735" s="458"/>
      <c r="AN735" s="458"/>
      <c r="AO735" s="458"/>
      <c r="AP735" s="458"/>
      <c r="AQ735" s="458"/>
      <c r="AR735" s="458"/>
      <c r="AS735" s="458"/>
      <c r="AT735" s="458"/>
      <c r="AU735" s="458"/>
      <c r="AV735" s="458"/>
      <c r="BA735" s="1305"/>
    </row>
    <row r="736" spans="2:53" ht="12.5">
      <c r="B736" s="175"/>
      <c r="C736" s="176"/>
      <c r="H736" s="178"/>
      <c r="I736" s="178"/>
      <c r="J736" s="184"/>
      <c r="N736" s="178"/>
      <c r="O736" s="178"/>
      <c r="P736" s="178"/>
      <c r="S736" s="458"/>
      <c r="AN736" s="458"/>
      <c r="AO736" s="458"/>
      <c r="AP736" s="458"/>
      <c r="AQ736" s="458"/>
      <c r="AR736" s="458"/>
      <c r="AS736" s="458"/>
      <c r="AT736" s="458"/>
      <c r="AU736" s="458"/>
      <c r="AV736" s="458"/>
      <c r="BA736" s="1305"/>
    </row>
    <row r="737" spans="2:53" ht="12.5">
      <c r="B737" s="175"/>
      <c r="C737" s="176"/>
      <c r="H737" s="178"/>
      <c r="I737" s="178"/>
      <c r="J737" s="184"/>
      <c r="N737" s="178"/>
      <c r="O737" s="178"/>
      <c r="P737" s="178"/>
      <c r="S737" s="458"/>
      <c r="AN737" s="458"/>
      <c r="AO737" s="458"/>
      <c r="AP737" s="458"/>
      <c r="AQ737" s="458"/>
      <c r="AR737" s="458"/>
      <c r="AS737" s="458"/>
      <c r="AT737" s="458"/>
      <c r="AU737" s="458"/>
      <c r="AV737" s="458"/>
      <c r="BA737" s="1305"/>
    </row>
    <row r="738" spans="2:53" ht="12.5">
      <c r="B738" s="175"/>
      <c r="C738" s="176"/>
      <c r="H738" s="178"/>
      <c r="I738" s="178"/>
      <c r="J738" s="184"/>
      <c r="N738" s="178"/>
      <c r="O738" s="178"/>
      <c r="P738" s="178"/>
      <c r="S738" s="458"/>
      <c r="AN738" s="458"/>
      <c r="AO738" s="458"/>
      <c r="AP738" s="458"/>
      <c r="AQ738" s="458"/>
      <c r="AR738" s="458"/>
      <c r="AS738" s="458"/>
      <c r="AT738" s="458"/>
      <c r="AU738" s="458"/>
      <c r="AV738" s="458"/>
      <c r="BA738" s="1305"/>
    </row>
    <row r="739" spans="2:53" ht="12.5">
      <c r="B739" s="175"/>
      <c r="C739" s="176"/>
      <c r="H739" s="178"/>
      <c r="I739" s="178"/>
      <c r="J739" s="184"/>
      <c r="N739" s="178"/>
      <c r="O739" s="178"/>
      <c r="P739" s="178"/>
      <c r="S739" s="458"/>
      <c r="AN739" s="458"/>
      <c r="AO739" s="458"/>
      <c r="AP739" s="458"/>
      <c r="AQ739" s="458"/>
      <c r="AR739" s="458"/>
      <c r="AS739" s="458"/>
      <c r="AT739" s="458"/>
      <c r="AU739" s="458"/>
      <c r="AV739" s="458"/>
      <c r="BA739" s="1305"/>
    </row>
    <row r="740" spans="2:53" ht="12.5">
      <c r="B740" s="175"/>
      <c r="C740" s="176"/>
      <c r="H740" s="178"/>
      <c r="I740" s="178"/>
      <c r="J740" s="184"/>
      <c r="N740" s="178"/>
      <c r="O740" s="178"/>
      <c r="P740" s="178"/>
      <c r="S740" s="458"/>
      <c r="AN740" s="458"/>
      <c r="AO740" s="458"/>
      <c r="AP740" s="458"/>
      <c r="AQ740" s="458"/>
      <c r="AR740" s="458"/>
      <c r="AS740" s="458"/>
      <c r="AT740" s="458"/>
      <c r="AU740" s="458"/>
      <c r="AV740" s="458"/>
      <c r="BA740" s="1305"/>
    </row>
    <row r="741" spans="2:53" ht="12.5">
      <c r="B741" s="175"/>
      <c r="C741" s="176"/>
      <c r="H741" s="178"/>
      <c r="I741" s="178"/>
      <c r="J741" s="184"/>
      <c r="N741" s="178"/>
      <c r="O741" s="178"/>
      <c r="P741" s="178"/>
      <c r="S741" s="458"/>
      <c r="AN741" s="458"/>
      <c r="AO741" s="458"/>
      <c r="AP741" s="458"/>
      <c r="AQ741" s="458"/>
      <c r="AR741" s="458"/>
      <c r="AS741" s="458"/>
      <c r="AT741" s="458"/>
      <c r="AU741" s="458"/>
      <c r="AV741" s="458"/>
      <c r="BA741" s="1305"/>
    </row>
    <row r="742" spans="2:53" ht="12.5">
      <c r="B742" s="175"/>
      <c r="C742" s="176"/>
      <c r="H742" s="178"/>
      <c r="I742" s="178"/>
      <c r="J742" s="184"/>
      <c r="N742" s="178"/>
      <c r="O742" s="178"/>
      <c r="P742" s="178"/>
      <c r="S742" s="458"/>
      <c r="AN742" s="458"/>
      <c r="AO742" s="458"/>
      <c r="AP742" s="458"/>
      <c r="AQ742" s="458"/>
      <c r="AR742" s="458"/>
      <c r="AS742" s="458"/>
      <c r="AT742" s="458"/>
      <c r="AU742" s="458"/>
      <c r="AV742" s="458"/>
      <c r="BA742" s="1305"/>
    </row>
    <row r="743" spans="2:53" ht="12.5">
      <c r="B743" s="175"/>
      <c r="C743" s="176"/>
      <c r="H743" s="178"/>
      <c r="I743" s="178"/>
      <c r="J743" s="184"/>
      <c r="N743" s="178"/>
      <c r="O743" s="178"/>
      <c r="P743" s="178"/>
      <c r="S743" s="458"/>
      <c r="AN743" s="458"/>
      <c r="AO743" s="458"/>
      <c r="AP743" s="458"/>
      <c r="AQ743" s="458"/>
      <c r="AR743" s="458"/>
      <c r="AS743" s="458"/>
      <c r="AT743" s="458"/>
      <c r="AU743" s="458"/>
      <c r="AV743" s="458"/>
      <c r="BA743" s="1305"/>
    </row>
    <row r="744" spans="2:53" ht="12.5">
      <c r="B744" s="175"/>
      <c r="C744" s="176"/>
      <c r="H744" s="178"/>
      <c r="I744" s="179"/>
      <c r="J744" s="184"/>
      <c r="N744" s="178"/>
      <c r="O744" s="178"/>
      <c r="P744" s="178"/>
      <c r="S744" s="458"/>
      <c r="AN744" s="458"/>
      <c r="AO744" s="458"/>
      <c r="AP744" s="458"/>
      <c r="AQ744" s="458"/>
      <c r="AR744" s="458"/>
      <c r="AS744" s="458"/>
      <c r="AT744" s="458"/>
      <c r="AU744" s="458"/>
      <c r="AV744" s="458"/>
      <c r="BA744" s="1305"/>
    </row>
    <row r="745" spans="2:53" ht="12.5">
      <c r="B745" s="175"/>
      <c r="C745" s="176"/>
      <c r="H745" s="178"/>
      <c r="I745" s="178"/>
      <c r="J745" s="184"/>
      <c r="N745" s="178"/>
      <c r="O745" s="178"/>
      <c r="P745" s="178"/>
      <c r="S745" s="458"/>
      <c r="AN745" s="458"/>
      <c r="AO745" s="458"/>
      <c r="AP745" s="458"/>
      <c r="AQ745" s="458"/>
      <c r="AR745" s="458"/>
      <c r="AS745" s="458"/>
      <c r="AT745" s="458"/>
      <c r="AU745" s="458"/>
      <c r="AV745" s="458"/>
      <c r="BA745" s="1305"/>
    </row>
    <row r="746" spans="2:53" ht="12.5">
      <c r="B746" s="175"/>
      <c r="C746" s="176"/>
      <c r="H746" s="178"/>
      <c r="I746" s="179"/>
      <c r="J746" s="184"/>
      <c r="N746" s="178"/>
      <c r="O746" s="178"/>
      <c r="P746" s="178"/>
      <c r="S746" s="458"/>
      <c r="AN746" s="458"/>
      <c r="AO746" s="458"/>
      <c r="AP746" s="458"/>
      <c r="AQ746" s="458"/>
      <c r="AR746" s="458"/>
      <c r="AS746" s="458"/>
      <c r="AT746" s="458"/>
      <c r="AU746" s="458"/>
      <c r="AV746" s="458"/>
      <c r="BA746" s="1305"/>
    </row>
    <row r="747" spans="2:53" ht="12.5">
      <c r="B747" s="175"/>
      <c r="C747" s="176"/>
      <c r="H747" s="178"/>
      <c r="I747" s="178"/>
      <c r="J747" s="184"/>
      <c r="N747" s="178"/>
      <c r="O747" s="178"/>
      <c r="P747" s="178"/>
      <c r="S747" s="458"/>
      <c r="AN747" s="458"/>
      <c r="AO747" s="458"/>
      <c r="AP747" s="458"/>
      <c r="AQ747" s="458"/>
      <c r="AR747" s="458"/>
      <c r="AS747" s="458"/>
      <c r="AT747" s="458"/>
      <c r="AU747" s="458"/>
      <c r="AV747" s="458"/>
      <c r="BA747" s="1305"/>
    </row>
    <row r="748" spans="2:53" ht="12.5">
      <c r="B748" s="175"/>
      <c r="C748" s="176"/>
      <c r="H748" s="178"/>
      <c r="I748" s="178"/>
      <c r="J748" s="184"/>
      <c r="N748" s="178"/>
      <c r="O748" s="178"/>
      <c r="P748" s="178"/>
      <c r="S748" s="458"/>
      <c r="AN748" s="458"/>
      <c r="AO748" s="458"/>
      <c r="AP748" s="458"/>
      <c r="AQ748" s="458"/>
      <c r="AR748" s="458"/>
      <c r="AS748" s="458"/>
      <c r="AT748" s="458"/>
      <c r="AU748" s="458"/>
      <c r="AV748" s="458"/>
      <c r="BA748" s="1305"/>
    </row>
    <row r="749" spans="2:53" ht="12.5">
      <c r="B749" s="175"/>
      <c r="C749" s="176"/>
      <c r="H749" s="178"/>
      <c r="I749" s="179"/>
      <c r="J749" s="184"/>
      <c r="N749" s="178"/>
      <c r="O749" s="178"/>
      <c r="P749" s="178"/>
      <c r="S749" s="458"/>
      <c r="AN749" s="458"/>
      <c r="AO749" s="458"/>
      <c r="AP749" s="458"/>
      <c r="AQ749" s="458"/>
      <c r="AR749" s="458"/>
      <c r="AS749" s="458"/>
      <c r="AT749" s="458"/>
      <c r="AU749" s="458"/>
      <c r="AV749" s="458"/>
      <c r="BA749" s="1305"/>
    </row>
    <row r="750" spans="2:53" ht="15.75" customHeight="1">
      <c r="B750" s="175"/>
      <c r="C750" s="176"/>
      <c r="H750" s="178"/>
      <c r="I750" s="178"/>
      <c r="J750" s="184"/>
      <c r="N750" s="178"/>
      <c r="O750" s="178"/>
      <c r="P750" s="178"/>
      <c r="S750" s="458"/>
      <c r="AN750" s="458"/>
      <c r="AO750" s="458"/>
      <c r="AP750" s="458"/>
      <c r="AQ750" s="458"/>
      <c r="AR750" s="458"/>
      <c r="AS750" s="458"/>
      <c r="AT750" s="458"/>
      <c r="AU750" s="458"/>
      <c r="AV750" s="458"/>
      <c r="BA750" s="1305"/>
    </row>
    <row r="751" spans="2:53" ht="15.75" customHeight="1">
      <c r="B751" s="175"/>
      <c r="C751" s="176"/>
      <c r="H751" s="178"/>
      <c r="I751" s="179"/>
      <c r="J751" s="184"/>
      <c r="N751" s="178"/>
      <c r="O751" s="178"/>
      <c r="P751" s="178"/>
      <c r="S751" s="458"/>
      <c r="AN751" s="458"/>
      <c r="AO751" s="458"/>
      <c r="AP751" s="458"/>
      <c r="AQ751" s="458"/>
      <c r="AR751" s="458"/>
      <c r="AS751" s="458"/>
      <c r="AT751" s="458"/>
      <c r="AU751" s="458"/>
      <c r="AV751" s="458"/>
      <c r="BA751" s="1305"/>
    </row>
    <row r="752" spans="2:53" ht="15.75" customHeight="1">
      <c r="B752" s="175"/>
      <c r="C752" s="176"/>
      <c r="H752" s="178"/>
      <c r="I752" s="178"/>
      <c r="J752" s="184"/>
      <c r="N752" s="178"/>
      <c r="O752" s="178"/>
      <c r="P752" s="178"/>
      <c r="S752" s="458"/>
      <c r="AN752" s="458"/>
      <c r="AO752" s="458"/>
      <c r="AP752" s="458"/>
      <c r="AQ752" s="458"/>
      <c r="AR752" s="458"/>
      <c r="AS752" s="458"/>
      <c r="AT752" s="458"/>
      <c r="AU752" s="458"/>
      <c r="AV752" s="458"/>
      <c r="BA752" s="1305"/>
    </row>
    <row r="753" spans="2:53" ht="15.75" customHeight="1">
      <c r="B753" s="175"/>
      <c r="C753" s="176"/>
      <c r="H753" s="178"/>
      <c r="I753" s="178"/>
      <c r="J753" s="184"/>
      <c r="N753" s="178"/>
      <c r="O753" s="178"/>
      <c r="P753" s="178"/>
      <c r="S753" s="458"/>
      <c r="AN753" s="458"/>
      <c r="AO753" s="458"/>
      <c r="AP753" s="458"/>
      <c r="AQ753" s="458"/>
      <c r="AR753" s="458"/>
      <c r="AS753" s="458"/>
      <c r="AT753" s="458"/>
      <c r="AU753" s="458"/>
      <c r="AV753" s="458"/>
      <c r="BA753" s="1305"/>
    </row>
    <row r="754" spans="2:53" ht="15.75" customHeight="1">
      <c r="B754" s="175"/>
      <c r="C754" s="176"/>
      <c r="H754" s="178"/>
      <c r="I754" s="178"/>
      <c r="J754" s="184"/>
      <c r="N754" s="178"/>
      <c r="O754" s="178"/>
      <c r="P754" s="178"/>
      <c r="S754" s="458"/>
      <c r="AN754" s="458"/>
      <c r="AO754" s="458"/>
      <c r="AP754" s="458"/>
      <c r="AQ754" s="458"/>
      <c r="AR754" s="458"/>
      <c r="AS754" s="458"/>
      <c r="AT754" s="458"/>
      <c r="AU754" s="458"/>
      <c r="AV754" s="458"/>
      <c r="BA754" s="1305"/>
    </row>
    <row r="755" spans="2:53" ht="15.75" customHeight="1">
      <c r="B755" s="175"/>
      <c r="C755" s="176"/>
      <c r="H755" s="178"/>
      <c r="I755" s="178"/>
      <c r="J755" s="184"/>
      <c r="N755" s="178"/>
      <c r="O755" s="178"/>
      <c r="P755" s="178"/>
      <c r="S755" s="458"/>
      <c r="AN755" s="458"/>
      <c r="AO755" s="458"/>
      <c r="AP755" s="458"/>
      <c r="AQ755" s="458"/>
      <c r="AR755" s="458"/>
      <c r="AS755" s="458"/>
      <c r="AT755" s="458"/>
      <c r="AU755" s="458"/>
      <c r="AV755" s="458"/>
      <c r="BA755" s="1305"/>
    </row>
    <row r="756" spans="2:53" ht="15.75" customHeight="1">
      <c r="B756" s="175"/>
      <c r="C756" s="176"/>
      <c r="H756" s="178"/>
      <c r="I756" s="178"/>
      <c r="J756" s="184"/>
      <c r="N756" s="178"/>
      <c r="O756" s="178"/>
      <c r="P756" s="178"/>
      <c r="S756" s="458"/>
      <c r="AN756" s="458"/>
      <c r="AO756" s="458"/>
      <c r="AP756" s="458"/>
      <c r="AQ756" s="458"/>
      <c r="AR756" s="458"/>
      <c r="AS756" s="458"/>
      <c r="AT756" s="458"/>
      <c r="AU756" s="458"/>
      <c r="AV756" s="458"/>
      <c r="BA756" s="1305"/>
    </row>
    <row r="757" spans="2:53" ht="15.75" customHeight="1">
      <c r="B757" s="175"/>
      <c r="C757" s="176"/>
      <c r="H757" s="178"/>
      <c r="I757" s="178"/>
      <c r="J757" s="184"/>
      <c r="N757" s="178"/>
      <c r="O757" s="178"/>
      <c r="P757" s="178"/>
      <c r="S757" s="458"/>
      <c r="AN757" s="458"/>
      <c r="AO757" s="458"/>
      <c r="AP757" s="458"/>
      <c r="AQ757" s="458"/>
      <c r="AR757" s="458"/>
      <c r="AS757" s="458"/>
      <c r="AT757" s="458"/>
      <c r="AU757" s="458"/>
      <c r="AV757" s="458"/>
      <c r="BA757" s="1305"/>
    </row>
    <row r="758" spans="2:53" ht="15.75" customHeight="1">
      <c r="B758" s="175"/>
      <c r="C758" s="176"/>
      <c r="H758" s="178"/>
      <c r="I758" s="178"/>
      <c r="J758" s="184"/>
      <c r="N758" s="178"/>
      <c r="O758" s="178"/>
      <c r="P758" s="178"/>
      <c r="S758" s="458"/>
      <c r="AN758" s="458"/>
      <c r="AO758" s="458"/>
      <c r="AP758" s="458"/>
      <c r="AQ758" s="458"/>
      <c r="AR758" s="458"/>
      <c r="AS758" s="458"/>
      <c r="AT758" s="458"/>
      <c r="AU758" s="458"/>
      <c r="AV758" s="458"/>
      <c r="BA758" s="1305"/>
    </row>
    <row r="759" spans="2:53" ht="15.75" customHeight="1">
      <c r="B759" s="175"/>
      <c r="C759" s="176"/>
      <c r="H759" s="178"/>
      <c r="I759" s="178"/>
      <c r="J759" s="184"/>
      <c r="N759" s="178"/>
      <c r="O759" s="178"/>
      <c r="P759" s="178"/>
      <c r="S759" s="458"/>
      <c r="AN759" s="458"/>
      <c r="AO759" s="458"/>
      <c r="AP759" s="458"/>
      <c r="AQ759" s="458"/>
      <c r="AR759" s="458"/>
      <c r="AS759" s="458"/>
      <c r="AT759" s="458"/>
      <c r="AU759" s="458"/>
      <c r="AV759" s="458"/>
      <c r="BA759" s="1305"/>
    </row>
    <row r="760" spans="2:53" ht="15.75" customHeight="1">
      <c r="B760" s="175"/>
      <c r="C760" s="176"/>
      <c r="H760" s="178"/>
      <c r="I760" s="178"/>
      <c r="J760" s="184"/>
      <c r="N760" s="178"/>
      <c r="O760" s="178"/>
      <c r="P760" s="178"/>
      <c r="S760" s="458"/>
      <c r="AN760" s="458"/>
      <c r="AO760" s="458"/>
      <c r="AP760" s="458"/>
      <c r="AQ760" s="458"/>
      <c r="AR760" s="458"/>
      <c r="AS760" s="458"/>
      <c r="AT760" s="458"/>
      <c r="AU760" s="458"/>
      <c r="AV760" s="458"/>
      <c r="BA760" s="1305"/>
    </row>
    <row r="761" spans="2:53" ht="15.75" customHeight="1">
      <c r="B761" s="175"/>
      <c r="C761" s="176"/>
      <c r="H761" s="178"/>
      <c r="I761" s="178"/>
      <c r="J761" s="184"/>
      <c r="N761" s="178"/>
      <c r="O761" s="178"/>
      <c r="P761" s="178"/>
      <c r="S761" s="458"/>
      <c r="AN761" s="458"/>
      <c r="AO761" s="458"/>
      <c r="AP761" s="458"/>
      <c r="AQ761" s="458"/>
      <c r="AR761" s="458"/>
      <c r="AS761" s="458"/>
      <c r="AT761" s="458"/>
      <c r="AU761" s="458"/>
      <c r="AV761" s="458"/>
      <c r="BA761" s="1305"/>
    </row>
    <row r="762" spans="2:53" ht="15.75" customHeight="1">
      <c r="B762" s="175"/>
      <c r="C762" s="176"/>
      <c r="H762" s="178"/>
      <c r="I762" s="179"/>
      <c r="J762" s="184"/>
      <c r="N762" s="178"/>
      <c r="O762" s="178"/>
      <c r="P762" s="178"/>
      <c r="S762" s="458"/>
      <c r="AN762" s="458"/>
      <c r="AO762" s="458"/>
      <c r="AP762" s="458"/>
      <c r="AQ762" s="458"/>
      <c r="AR762" s="458"/>
      <c r="AS762" s="458"/>
      <c r="AT762" s="458"/>
      <c r="AU762" s="458"/>
      <c r="AV762" s="458"/>
      <c r="BA762" s="1305"/>
    </row>
    <row r="763" spans="2:53" ht="15.75" customHeight="1">
      <c r="B763" s="175"/>
      <c r="C763" s="176"/>
      <c r="H763" s="178"/>
      <c r="I763" s="178"/>
      <c r="J763" s="184"/>
      <c r="N763" s="178"/>
      <c r="O763" s="178"/>
      <c r="P763" s="178"/>
      <c r="S763" s="458"/>
      <c r="AN763" s="458"/>
      <c r="AO763" s="458"/>
      <c r="AP763" s="458"/>
      <c r="AQ763" s="458"/>
      <c r="AR763" s="458"/>
      <c r="AS763" s="458"/>
      <c r="AT763" s="458"/>
      <c r="AU763" s="458"/>
      <c r="AV763" s="458"/>
      <c r="BA763" s="1305"/>
    </row>
    <row r="764" spans="2:53" ht="15.75" customHeight="1">
      <c r="B764" s="175"/>
      <c r="C764" s="176"/>
      <c r="H764" s="178"/>
      <c r="I764" s="178"/>
      <c r="J764" s="184"/>
      <c r="N764" s="178"/>
      <c r="O764" s="178"/>
      <c r="P764" s="178"/>
      <c r="S764" s="458"/>
      <c r="AN764" s="458"/>
      <c r="AO764" s="458"/>
      <c r="AP764" s="458"/>
      <c r="AQ764" s="458"/>
      <c r="AR764" s="458"/>
      <c r="AS764" s="458"/>
      <c r="AT764" s="458"/>
      <c r="AU764" s="458"/>
      <c r="AV764" s="458"/>
      <c r="BA764" s="1305"/>
    </row>
    <row r="765" spans="2:53" ht="15.75" customHeight="1">
      <c r="B765" s="175"/>
      <c r="C765" s="176"/>
      <c r="H765" s="178"/>
      <c r="I765" s="178"/>
      <c r="J765" s="184"/>
      <c r="N765" s="178"/>
      <c r="O765" s="178"/>
      <c r="P765" s="178"/>
      <c r="S765" s="458"/>
      <c r="AN765" s="458"/>
      <c r="AO765" s="458"/>
      <c r="AP765" s="458"/>
      <c r="AQ765" s="458"/>
      <c r="AR765" s="458"/>
      <c r="AS765" s="458"/>
      <c r="AT765" s="458"/>
      <c r="AU765" s="458"/>
      <c r="AV765" s="458"/>
      <c r="BA765" s="1305"/>
    </row>
    <row r="766" spans="2:53" ht="15.75" customHeight="1">
      <c r="B766" s="175"/>
      <c r="C766" s="176"/>
      <c r="H766" s="178"/>
      <c r="I766" s="178"/>
      <c r="J766" s="184"/>
      <c r="N766" s="178"/>
      <c r="O766" s="178"/>
      <c r="P766" s="178"/>
      <c r="S766" s="458"/>
      <c r="AN766" s="458"/>
      <c r="AO766" s="458"/>
      <c r="AP766" s="458"/>
      <c r="AQ766" s="458"/>
      <c r="AR766" s="458"/>
      <c r="AS766" s="458"/>
      <c r="AT766" s="458"/>
      <c r="AU766" s="458"/>
      <c r="AV766" s="458"/>
      <c r="BA766" s="1305"/>
    </row>
    <row r="767" spans="2:53" ht="15.75" customHeight="1">
      <c r="B767" s="175"/>
      <c r="C767" s="176"/>
      <c r="H767" s="178"/>
      <c r="I767" s="178"/>
      <c r="J767" s="184"/>
      <c r="N767" s="178"/>
      <c r="O767" s="178"/>
      <c r="P767" s="178"/>
      <c r="S767" s="458"/>
      <c r="AN767" s="458"/>
      <c r="AO767" s="458"/>
      <c r="AP767" s="458"/>
      <c r="AQ767" s="458"/>
      <c r="AR767" s="458"/>
      <c r="AS767" s="458"/>
      <c r="AT767" s="458"/>
      <c r="AU767" s="458"/>
      <c r="AV767" s="458"/>
      <c r="BA767" s="1305"/>
    </row>
    <row r="768" spans="2:53" ht="15.75" customHeight="1">
      <c r="B768" s="175"/>
      <c r="C768" s="176"/>
      <c r="H768" s="178"/>
      <c r="I768" s="178"/>
      <c r="J768" s="184"/>
      <c r="N768" s="178"/>
      <c r="O768" s="178"/>
      <c r="P768" s="178"/>
      <c r="S768" s="458"/>
      <c r="AN768" s="458"/>
      <c r="AO768" s="458"/>
      <c r="AP768" s="458"/>
      <c r="AQ768" s="458"/>
      <c r="AR768" s="458"/>
      <c r="AS768" s="458"/>
      <c r="AT768" s="458"/>
      <c r="AU768" s="458"/>
      <c r="AV768" s="458"/>
      <c r="BA768" s="1305"/>
    </row>
    <row r="769" spans="2:53" ht="15.75" customHeight="1">
      <c r="B769" s="175"/>
      <c r="C769" s="176"/>
      <c r="H769" s="178"/>
      <c r="I769" s="178"/>
      <c r="J769" s="184"/>
      <c r="N769" s="178"/>
      <c r="O769" s="178"/>
      <c r="P769" s="178"/>
      <c r="S769" s="458"/>
      <c r="AN769" s="458"/>
      <c r="AO769" s="458"/>
      <c r="AP769" s="458"/>
      <c r="AQ769" s="458"/>
      <c r="AR769" s="458"/>
      <c r="AS769" s="458"/>
      <c r="AT769" s="458"/>
      <c r="AU769" s="458"/>
      <c r="AV769" s="458"/>
      <c r="BA769" s="1305"/>
    </row>
    <row r="770" spans="2:53" ht="15.75" customHeight="1">
      <c r="B770" s="175"/>
      <c r="C770" s="176"/>
      <c r="H770" s="178"/>
      <c r="I770" s="178"/>
      <c r="J770" s="184"/>
      <c r="N770" s="178"/>
      <c r="O770" s="178"/>
      <c r="P770" s="178"/>
      <c r="S770" s="458"/>
      <c r="AN770" s="458"/>
      <c r="AO770" s="458"/>
      <c r="AP770" s="458"/>
      <c r="AQ770" s="458"/>
      <c r="AR770" s="458"/>
      <c r="AS770" s="458"/>
      <c r="AT770" s="458"/>
      <c r="AU770" s="458"/>
      <c r="AV770" s="458"/>
      <c r="BA770" s="1305"/>
    </row>
    <row r="771" spans="2:53" ht="15.75" customHeight="1">
      <c r="B771" s="175"/>
      <c r="C771" s="176"/>
      <c r="H771" s="178"/>
      <c r="I771" s="178"/>
      <c r="J771" s="184"/>
      <c r="N771" s="178"/>
      <c r="O771" s="178"/>
      <c r="P771" s="178"/>
      <c r="S771" s="458"/>
      <c r="AN771" s="458"/>
      <c r="AO771" s="458"/>
      <c r="AP771" s="458"/>
      <c r="AQ771" s="458"/>
      <c r="AR771" s="458"/>
      <c r="AS771" s="458"/>
      <c r="AT771" s="458"/>
      <c r="AU771" s="458"/>
      <c r="AV771" s="458"/>
      <c r="BA771" s="1305"/>
    </row>
    <row r="772" spans="2:53" ht="15.75" customHeight="1">
      <c r="B772" s="175"/>
      <c r="C772" s="176"/>
      <c r="H772" s="178"/>
      <c r="I772" s="178"/>
      <c r="J772" s="184"/>
      <c r="N772" s="178"/>
      <c r="O772" s="178"/>
      <c r="P772" s="178"/>
      <c r="S772" s="458"/>
      <c r="AN772" s="458"/>
      <c r="AO772" s="458"/>
      <c r="AP772" s="458"/>
      <c r="AQ772" s="458"/>
      <c r="AR772" s="458"/>
      <c r="AS772" s="458"/>
      <c r="AT772" s="458"/>
      <c r="AU772" s="458"/>
      <c r="AV772" s="458"/>
      <c r="BA772" s="1305"/>
    </row>
    <row r="773" spans="2:53" ht="15.75" customHeight="1">
      <c r="B773" s="175"/>
      <c r="C773" s="176"/>
      <c r="H773" s="178"/>
      <c r="I773" s="178"/>
      <c r="J773" s="184"/>
      <c r="N773" s="178"/>
      <c r="O773" s="178"/>
      <c r="P773" s="178"/>
      <c r="S773" s="458"/>
      <c r="AN773" s="458"/>
      <c r="AO773" s="458"/>
      <c r="AP773" s="458"/>
      <c r="AQ773" s="458"/>
      <c r="AR773" s="458"/>
      <c r="AS773" s="458"/>
      <c r="AT773" s="458"/>
      <c r="AU773" s="458"/>
      <c r="AV773" s="458"/>
      <c r="BA773" s="1305"/>
    </row>
    <row r="774" spans="2:53" ht="15.75" customHeight="1">
      <c r="B774" s="175"/>
      <c r="C774" s="176"/>
      <c r="H774" s="178"/>
      <c r="I774" s="179"/>
      <c r="J774" s="184"/>
      <c r="N774" s="178"/>
      <c r="O774" s="178"/>
      <c r="P774" s="178"/>
      <c r="S774" s="458"/>
      <c r="AN774" s="458"/>
      <c r="AO774" s="458"/>
      <c r="AP774" s="458"/>
      <c r="AQ774" s="458"/>
      <c r="AR774" s="458"/>
      <c r="AS774" s="458"/>
      <c r="AT774" s="458"/>
      <c r="AU774" s="458"/>
      <c r="AV774" s="458"/>
      <c r="BA774" s="1305"/>
    </row>
    <row r="775" spans="2:53" ht="15.75" customHeight="1">
      <c r="B775" s="175"/>
      <c r="C775" s="176"/>
      <c r="H775" s="178"/>
      <c r="I775" s="178"/>
      <c r="J775" s="184"/>
      <c r="N775" s="178"/>
      <c r="O775" s="178"/>
      <c r="P775" s="178"/>
      <c r="S775" s="458"/>
      <c r="AN775" s="458"/>
      <c r="AO775" s="458"/>
      <c r="AP775" s="458"/>
      <c r="AQ775" s="458"/>
      <c r="AR775" s="458"/>
      <c r="AS775" s="458"/>
      <c r="AT775" s="458"/>
      <c r="AU775" s="458"/>
      <c r="AV775" s="458"/>
      <c r="BA775" s="1305"/>
    </row>
    <row r="776" spans="2:53" ht="15.75" customHeight="1">
      <c r="B776" s="175"/>
      <c r="C776" s="176"/>
      <c r="H776" s="178"/>
      <c r="I776" s="179"/>
      <c r="J776" s="184"/>
      <c r="N776" s="178"/>
      <c r="O776" s="178"/>
      <c r="P776" s="178"/>
      <c r="S776" s="458"/>
      <c r="AN776" s="458"/>
      <c r="AO776" s="458"/>
      <c r="AP776" s="458"/>
      <c r="AQ776" s="458"/>
      <c r="AR776" s="458"/>
      <c r="AS776" s="458"/>
      <c r="AT776" s="458"/>
      <c r="AU776" s="458"/>
      <c r="AV776" s="458"/>
      <c r="BA776" s="1305"/>
    </row>
    <row r="777" spans="2:53" ht="15.75" customHeight="1">
      <c r="B777" s="175"/>
      <c r="C777" s="176"/>
      <c r="H777" s="178"/>
      <c r="I777" s="178"/>
      <c r="J777" s="184"/>
      <c r="N777" s="178"/>
      <c r="O777" s="178"/>
      <c r="P777" s="178"/>
      <c r="S777" s="458"/>
      <c r="AN777" s="458"/>
      <c r="AO777" s="458"/>
      <c r="AP777" s="458"/>
      <c r="AQ777" s="458"/>
      <c r="AR777" s="458"/>
      <c r="AS777" s="458"/>
      <c r="AT777" s="458"/>
      <c r="AU777" s="458"/>
      <c r="AV777" s="458"/>
      <c r="BA777" s="1305"/>
    </row>
    <row r="778" spans="2:53" ht="15.75" customHeight="1">
      <c r="B778" s="175"/>
      <c r="C778" s="176"/>
      <c r="H778" s="178"/>
      <c r="I778" s="178"/>
      <c r="J778" s="184"/>
      <c r="N778" s="178"/>
      <c r="O778" s="178"/>
      <c r="P778" s="178"/>
      <c r="S778" s="458"/>
      <c r="AN778" s="458"/>
      <c r="AO778" s="458"/>
      <c r="AP778" s="458"/>
      <c r="AQ778" s="458"/>
      <c r="AR778" s="458"/>
      <c r="AS778" s="458"/>
      <c r="AT778" s="458"/>
      <c r="AU778" s="458"/>
      <c r="AV778" s="458"/>
      <c r="BA778" s="1305"/>
    </row>
    <row r="779" spans="2:53" ht="15.75" customHeight="1">
      <c r="B779" s="175"/>
      <c r="C779" s="176"/>
      <c r="H779" s="178"/>
      <c r="I779" s="179"/>
      <c r="J779" s="184"/>
      <c r="N779" s="178"/>
      <c r="O779" s="178"/>
      <c r="P779" s="178"/>
      <c r="S779" s="458"/>
      <c r="AN779" s="458"/>
      <c r="AO779" s="458"/>
      <c r="AP779" s="458"/>
      <c r="AQ779" s="458"/>
      <c r="AR779" s="458"/>
      <c r="AS779" s="458"/>
      <c r="AT779" s="458"/>
      <c r="AU779" s="458"/>
      <c r="AV779" s="458"/>
      <c r="BA779" s="1305"/>
    </row>
    <row r="780" spans="2:53" ht="15.75" customHeight="1">
      <c r="B780" s="175"/>
      <c r="C780" s="176"/>
      <c r="H780" s="178"/>
      <c r="I780" s="178"/>
      <c r="J780" s="184"/>
      <c r="N780" s="178"/>
      <c r="O780" s="178"/>
      <c r="P780" s="178"/>
      <c r="S780" s="458"/>
      <c r="AN780" s="458"/>
      <c r="AO780" s="458"/>
      <c r="AP780" s="458"/>
      <c r="AQ780" s="458"/>
      <c r="AR780" s="458"/>
      <c r="AS780" s="458"/>
      <c r="AT780" s="458"/>
      <c r="AU780" s="458"/>
      <c r="AV780" s="458"/>
      <c r="BA780" s="1305"/>
    </row>
    <row r="781" spans="2:53" ht="15.75" customHeight="1">
      <c r="B781" s="175"/>
      <c r="C781" s="176"/>
      <c r="H781" s="178"/>
      <c r="I781" s="179"/>
      <c r="J781" s="184"/>
      <c r="N781" s="178"/>
      <c r="O781" s="178"/>
      <c r="P781" s="178"/>
      <c r="S781" s="458"/>
      <c r="AN781" s="458"/>
      <c r="AO781" s="458"/>
      <c r="AP781" s="458"/>
      <c r="AQ781" s="458"/>
      <c r="AR781" s="458"/>
      <c r="AS781" s="458"/>
      <c r="AT781" s="458"/>
      <c r="AU781" s="458"/>
      <c r="AV781" s="458"/>
      <c r="BA781" s="1305"/>
    </row>
    <row r="782" spans="2:53" ht="15.75" customHeight="1">
      <c r="B782" s="175"/>
      <c r="C782" s="176"/>
      <c r="H782" s="178"/>
      <c r="I782" s="178"/>
      <c r="J782" s="184"/>
      <c r="N782" s="178"/>
      <c r="O782" s="178"/>
      <c r="P782" s="178"/>
      <c r="S782" s="458"/>
      <c r="AN782" s="458"/>
      <c r="AO782" s="458"/>
      <c r="AP782" s="458"/>
      <c r="AQ782" s="458"/>
      <c r="AR782" s="458"/>
      <c r="AS782" s="458"/>
      <c r="AT782" s="458"/>
      <c r="AU782" s="458"/>
      <c r="AV782" s="458"/>
      <c r="BA782" s="1305"/>
    </row>
    <row r="783" spans="2:53" ht="15.75" customHeight="1">
      <c r="B783" s="175"/>
      <c r="C783" s="176"/>
      <c r="H783" s="178"/>
      <c r="I783" s="179"/>
      <c r="J783" s="184"/>
      <c r="N783" s="178"/>
      <c r="O783" s="178"/>
      <c r="P783" s="178"/>
      <c r="S783" s="458"/>
      <c r="AN783" s="458"/>
      <c r="AO783" s="458"/>
      <c r="AP783" s="458"/>
      <c r="AQ783" s="458"/>
      <c r="AR783" s="458"/>
      <c r="AS783" s="458"/>
      <c r="AT783" s="458"/>
      <c r="AU783" s="458"/>
      <c r="AV783" s="458"/>
      <c r="BA783" s="1305"/>
    </row>
    <row r="784" spans="2:53" ht="15.75" customHeight="1">
      <c r="B784" s="175"/>
      <c r="C784" s="176"/>
      <c r="H784" s="178"/>
      <c r="I784" s="178"/>
      <c r="J784" s="184"/>
      <c r="N784" s="178"/>
      <c r="O784" s="178"/>
      <c r="P784" s="178"/>
      <c r="S784" s="458"/>
      <c r="AN784" s="458"/>
      <c r="AO784" s="458"/>
      <c r="AP784" s="458"/>
      <c r="AQ784" s="458"/>
      <c r="AR784" s="458"/>
      <c r="AS784" s="458"/>
      <c r="AT784" s="458"/>
      <c r="AU784" s="458"/>
      <c r="AV784" s="458"/>
      <c r="BA784" s="1305"/>
    </row>
    <row r="785" spans="2:53" ht="15.75" customHeight="1">
      <c r="B785" s="175"/>
      <c r="C785" s="176"/>
      <c r="H785" s="178"/>
      <c r="I785" s="178"/>
      <c r="J785" s="184"/>
      <c r="N785" s="178"/>
      <c r="O785" s="178"/>
      <c r="P785" s="178"/>
      <c r="S785" s="458"/>
      <c r="AN785" s="458"/>
      <c r="AO785" s="458"/>
      <c r="AP785" s="458"/>
      <c r="AQ785" s="458"/>
      <c r="AR785" s="458"/>
      <c r="AS785" s="458"/>
      <c r="AT785" s="458"/>
      <c r="AU785" s="458"/>
      <c r="AV785" s="458"/>
      <c r="BA785" s="1305"/>
    </row>
    <row r="786" spans="2:53" ht="15.75" customHeight="1">
      <c r="B786" s="175"/>
      <c r="C786" s="176"/>
      <c r="H786" s="178"/>
      <c r="I786" s="179"/>
      <c r="J786" s="184"/>
      <c r="N786" s="178"/>
      <c r="O786" s="178"/>
      <c r="P786" s="178"/>
      <c r="S786" s="458"/>
      <c r="AN786" s="458"/>
      <c r="AO786" s="458"/>
      <c r="AP786" s="458"/>
      <c r="AQ786" s="458"/>
      <c r="AR786" s="458"/>
      <c r="AS786" s="458"/>
      <c r="AT786" s="458"/>
      <c r="AU786" s="458"/>
      <c r="AV786" s="458"/>
      <c r="BA786" s="1305"/>
    </row>
    <row r="787" spans="2:53" ht="15.75" customHeight="1">
      <c r="B787" s="175"/>
      <c r="C787" s="176"/>
      <c r="H787" s="178"/>
      <c r="I787" s="178"/>
      <c r="J787" s="184"/>
      <c r="N787" s="178"/>
      <c r="O787" s="178"/>
      <c r="P787" s="178"/>
      <c r="S787" s="458"/>
      <c r="AN787" s="458"/>
      <c r="AO787" s="458"/>
      <c r="AP787" s="458"/>
      <c r="AQ787" s="458"/>
      <c r="AR787" s="458"/>
      <c r="AS787" s="458"/>
      <c r="AT787" s="458"/>
      <c r="AU787" s="458"/>
      <c r="AV787" s="458"/>
      <c r="BA787" s="1305"/>
    </row>
    <row r="788" spans="2:53" ht="15.75" customHeight="1">
      <c r="B788" s="175"/>
      <c r="C788" s="176"/>
      <c r="H788" s="178"/>
      <c r="I788" s="179"/>
      <c r="J788" s="184"/>
      <c r="N788" s="178"/>
      <c r="O788" s="178"/>
      <c r="P788" s="178"/>
      <c r="S788" s="458"/>
      <c r="AN788" s="458"/>
      <c r="AO788" s="458"/>
      <c r="AP788" s="458"/>
      <c r="AQ788" s="458"/>
      <c r="AR788" s="458"/>
      <c r="AS788" s="458"/>
      <c r="AT788" s="458"/>
      <c r="AU788" s="458"/>
      <c r="AV788" s="458"/>
      <c r="BA788" s="1305"/>
    </row>
    <row r="789" spans="2:53" ht="15.75" customHeight="1">
      <c r="B789" s="175"/>
      <c r="C789" s="176"/>
      <c r="H789" s="178"/>
      <c r="I789" s="178"/>
      <c r="J789" s="184"/>
      <c r="N789" s="178"/>
      <c r="O789" s="178"/>
      <c r="P789" s="178"/>
      <c r="S789" s="458"/>
      <c r="AN789" s="458"/>
      <c r="AO789" s="458"/>
      <c r="AP789" s="458"/>
      <c r="AQ789" s="458"/>
      <c r="AR789" s="458"/>
      <c r="AS789" s="458"/>
      <c r="AT789" s="458"/>
      <c r="AU789" s="458"/>
      <c r="AV789" s="458"/>
      <c r="BA789" s="1305"/>
    </row>
    <row r="790" spans="2:53" ht="15.75" customHeight="1">
      <c r="B790" s="175"/>
      <c r="C790" s="176"/>
      <c r="H790" s="178"/>
      <c r="I790" s="178"/>
      <c r="J790" s="184"/>
      <c r="N790" s="178"/>
      <c r="O790" s="178"/>
      <c r="P790" s="178"/>
      <c r="S790" s="458"/>
      <c r="AN790" s="458"/>
      <c r="AO790" s="458"/>
      <c r="AP790" s="458"/>
      <c r="AQ790" s="458"/>
      <c r="AR790" s="458"/>
      <c r="AS790" s="458"/>
      <c r="AT790" s="458"/>
      <c r="AU790" s="458"/>
      <c r="AV790" s="458"/>
      <c r="BA790" s="1305"/>
    </row>
    <row r="791" spans="2:53" ht="15.75" customHeight="1">
      <c r="B791" s="175"/>
      <c r="C791" s="176"/>
      <c r="H791" s="178"/>
      <c r="I791" s="178"/>
      <c r="J791" s="184"/>
      <c r="N791" s="178"/>
      <c r="O791" s="178"/>
      <c r="P791" s="178"/>
      <c r="S791" s="458"/>
      <c r="AN791" s="458"/>
      <c r="AO791" s="458"/>
      <c r="AP791" s="458"/>
      <c r="AQ791" s="458"/>
      <c r="AR791" s="458"/>
      <c r="AS791" s="458"/>
      <c r="AT791" s="458"/>
      <c r="AU791" s="458"/>
      <c r="AV791" s="458"/>
      <c r="BA791" s="1305"/>
    </row>
    <row r="792" spans="2:53" ht="15.75" customHeight="1">
      <c r="B792" s="175"/>
      <c r="C792" s="176"/>
      <c r="H792" s="178"/>
      <c r="I792" s="178"/>
      <c r="J792" s="184"/>
      <c r="N792" s="178"/>
      <c r="O792" s="178"/>
      <c r="P792" s="178"/>
      <c r="S792" s="458"/>
      <c r="AN792" s="458"/>
      <c r="AO792" s="458"/>
      <c r="AP792" s="458"/>
      <c r="AQ792" s="458"/>
      <c r="AR792" s="458"/>
      <c r="AS792" s="458"/>
      <c r="AT792" s="458"/>
      <c r="AU792" s="458"/>
      <c r="AV792" s="458"/>
      <c r="BA792" s="1305"/>
    </row>
    <row r="793" spans="2:53" ht="15.75" customHeight="1">
      <c r="B793" s="175"/>
      <c r="C793" s="176"/>
      <c r="H793" s="178"/>
      <c r="I793" s="178"/>
      <c r="J793" s="184"/>
      <c r="N793" s="178"/>
      <c r="O793" s="178"/>
      <c r="P793" s="178"/>
      <c r="S793" s="458"/>
      <c r="AN793" s="458"/>
      <c r="AO793" s="458"/>
      <c r="AP793" s="458"/>
      <c r="AQ793" s="458"/>
      <c r="AR793" s="458"/>
      <c r="AS793" s="458"/>
      <c r="AT793" s="458"/>
      <c r="AU793" s="458"/>
      <c r="AV793" s="458"/>
      <c r="BA793" s="1305"/>
    </row>
    <row r="794" spans="2:53" ht="15.75" customHeight="1">
      <c r="B794" s="175"/>
      <c r="C794" s="176"/>
      <c r="H794" s="178"/>
      <c r="I794" s="178"/>
      <c r="J794" s="184"/>
      <c r="N794" s="178"/>
      <c r="O794" s="178"/>
      <c r="P794" s="178"/>
      <c r="S794" s="458"/>
      <c r="AN794" s="458"/>
      <c r="AO794" s="458"/>
      <c r="AP794" s="458"/>
      <c r="AQ794" s="458"/>
      <c r="AR794" s="458"/>
      <c r="AS794" s="458"/>
      <c r="AT794" s="458"/>
      <c r="AU794" s="458"/>
      <c r="AV794" s="458"/>
      <c r="BA794" s="1305"/>
    </row>
    <row r="795" spans="2:53" ht="15.75" customHeight="1">
      <c r="B795" s="175"/>
      <c r="C795" s="176"/>
      <c r="H795" s="178"/>
      <c r="I795" s="178"/>
      <c r="J795" s="184"/>
      <c r="N795" s="178"/>
      <c r="O795" s="178"/>
      <c r="P795" s="178"/>
      <c r="S795" s="458"/>
      <c r="AN795" s="458"/>
      <c r="AO795" s="458"/>
      <c r="AP795" s="458"/>
      <c r="AQ795" s="458"/>
      <c r="AR795" s="458"/>
      <c r="AS795" s="458"/>
      <c r="AT795" s="458"/>
      <c r="AU795" s="458"/>
      <c r="AV795" s="458"/>
      <c r="BA795" s="1305"/>
    </row>
    <row r="796" spans="2:53" ht="15.75" customHeight="1">
      <c r="B796" s="175"/>
      <c r="C796" s="176"/>
      <c r="H796" s="178"/>
      <c r="I796" s="178"/>
      <c r="J796" s="184"/>
      <c r="N796" s="178"/>
      <c r="O796" s="178"/>
      <c r="P796" s="178"/>
      <c r="S796" s="458"/>
      <c r="AN796" s="458"/>
      <c r="AO796" s="458"/>
      <c r="AP796" s="458"/>
      <c r="AQ796" s="458"/>
      <c r="AR796" s="458"/>
      <c r="AS796" s="458"/>
      <c r="AT796" s="458"/>
      <c r="AU796" s="458"/>
      <c r="AV796" s="458"/>
      <c r="BA796" s="1305"/>
    </row>
    <row r="797" spans="2:53" ht="15.75" customHeight="1">
      <c r="B797" s="175"/>
      <c r="C797" s="176"/>
      <c r="H797" s="178"/>
      <c r="I797" s="178"/>
      <c r="J797" s="184"/>
      <c r="N797" s="178"/>
      <c r="O797" s="178"/>
      <c r="P797" s="178"/>
      <c r="S797" s="458"/>
      <c r="AN797" s="458"/>
      <c r="AO797" s="458"/>
      <c r="AP797" s="458"/>
      <c r="AQ797" s="458"/>
      <c r="AR797" s="458"/>
      <c r="AS797" s="458"/>
      <c r="AT797" s="458"/>
      <c r="AU797" s="458"/>
      <c r="AV797" s="458"/>
      <c r="BA797" s="1305"/>
    </row>
    <row r="798" spans="2:53" ht="15.75" customHeight="1">
      <c r="B798" s="175"/>
      <c r="C798" s="176"/>
      <c r="H798" s="178"/>
      <c r="I798" s="178"/>
      <c r="J798" s="184"/>
      <c r="N798" s="178"/>
      <c r="O798" s="178"/>
      <c r="P798" s="178"/>
      <c r="S798" s="458"/>
      <c r="AN798" s="458"/>
      <c r="AO798" s="458"/>
      <c r="AP798" s="458"/>
      <c r="AQ798" s="458"/>
      <c r="AR798" s="458"/>
      <c r="AS798" s="458"/>
      <c r="AT798" s="458"/>
      <c r="AU798" s="458"/>
      <c r="AV798" s="458"/>
      <c r="BA798" s="1305"/>
    </row>
    <row r="799" spans="2:53" ht="15.75" customHeight="1">
      <c r="B799" s="175"/>
      <c r="C799" s="176"/>
      <c r="H799" s="178"/>
      <c r="I799" s="178"/>
      <c r="J799" s="184"/>
      <c r="N799" s="178"/>
      <c r="O799" s="178"/>
      <c r="P799" s="178"/>
      <c r="S799" s="458"/>
      <c r="AN799" s="458"/>
      <c r="AO799" s="458"/>
      <c r="AP799" s="458"/>
      <c r="AQ799" s="458"/>
      <c r="AR799" s="458"/>
      <c r="AS799" s="458"/>
      <c r="AT799" s="458"/>
      <c r="AU799" s="458"/>
      <c r="AV799" s="458"/>
      <c r="BA799" s="1305"/>
    </row>
    <row r="800" spans="2:53" ht="15.75" customHeight="1">
      <c r="B800" s="175"/>
      <c r="C800" s="176"/>
      <c r="H800" s="178"/>
      <c r="I800" s="178"/>
      <c r="J800" s="184"/>
      <c r="N800" s="178"/>
      <c r="O800" s="178"/>
      <c r="P800" s="178"/>
      <c r="S800" s="458"/>
      <c r="AN800" s="458"/>
      <c r="AO800" s="458"/>
      <c r="AP800" s="458"/>
      <c r="AQ800" s="458"/>
      <c r="AR800" s="458"/>
      <c r="AS800" s="458"/>
      <c r="AT800" s="458"/>
      <c r="AU800" s="458"/>
      <c r="AV800" s="458"/>
      <c r="BA800" s="1305"/>
    </row>
    <row r="801" spans="2:53" ht="15.75" customHeight="1">
      <c r="B801" s="175"/>
      <c r="C801" s="176"/>
      <c r="H801" s="178"/>
      <c r="I801" s="178"/>
      <c r="J801" s="184"/>
      <c r="N801" s="178"/>
      <c r="O801" s="178"/>
      <c r="P801" s="178"/>
      <c r="S801" s="458"/>
      <c r="AN801" s="458"/>
      <c r="AO801" s="458"/>
      <c r="AP801" s="458"/>
      <c r="AQ801" s="458"/>
      <c r="AR801" s="458"/>
      <c r="AS801" s="458"/>
      <c r="AT801" s="458"/>
      <c r="AU801" s="458"/>
      <c r="AV801" s="458"/>
      <c r="BA801" s="1305"/>
    </row>
    <row r="802" spans="2:53" ht="15.75" customHeight="1">
      <c r="B802" s="175"/>
      <c r="C802" s="176"/>
      <c r="H802" s="178"/>
      <c r="I802" s="178"/>
      <c r="J802" s="184"/>
      <c r="N802" s="178"/>
      <c r="O802" s="178"/>
      <c r="P802" s="178"/>
      <c r="S802" s="458"/>
      <c r="AN802" s="458"/>
      <c r="AO802" s="458"/>
      <c r="AP802" s="458"/>
      <c r="AQ802" s="458"/>
      <c r="AR802" s="458"/>
      <c r="AS802" s="458"/>
      <c r="AT802" s="458"/>
      <c r="AU802" s="458"/>
      <c r="AV802" s="458"/>
      <c r="BA802" s="1305"/>
    </row>
    <row r="803" spans="2:53" ht="15.75" customHeight="1">
      <c r="B803" s="175"/>
      <c r="C803" s="176"/>
      <c r="H803" s="178"/>
      <c r="I803" s="178"/>
      <c r="J803" s="184"/>
      <c r="N803" s="178"/>
      <c r="O803" s="178"/>
      <c r="P803" s="178"/>
      <c r="S803" s="458"/>
      <c r="AN803" s="458"/>
      <c r="AO803" s="458"/>
      <c r="AP803" s="458"/>
      <c r="AQ803" s="458"/>
      <c r="AR803" s="458"/>
      <c r="AS803" s="458"/>
      <c r="AT803" s="458"/>
      <c r="AU803" s="458"/>
      <c r="AV803" s="458"/>
      <c r="BA803" s="1305"/>
    </row>
    <row r="804" spans="2:53" ht="15.75" customHeight="1">
      <c r="B804" s="175"/>
      <c r="C804" s="176"/>
      <c r="H804" s="178"/>
      <c r="I804" s="178"/>
      <c r="J804" s="184"/>
      <c r="N804" s="178"/>
      <c r="O804" s="178"/>
      <c r="P804" s="178"/>
      <c r="S804" s="458"/>
      <c r="AN804" s="458"/>
      <c r="AO804" s="458"/>
      <c r="AP804" s="458"/>
      <c r="AQ804" s="458"/>
      <c r="AR804" s="458"/>
      <c r="AS804" s="458"/>
      <c r="AT804" s="458"/>
      <c r="AU804" s="458"/>
      <c r="AV804" s="458"/>
      <c r="BA804" s="1305"/>
    </row>
    <row r="805" spans="2:53" ht="15.75" customHeight="1">
      <c r="B805" s="175"/>
      <c r="C805" s="176"/>
      <c r="H805" s="178"/>
      <c r="I805" s="178"/>
      <c r="J805" s="184"/>
      <c r="N805" s="178"/>
      <c r="O805" s="178"/>
      <c r="P805" s="178"/>
      <c r="S805" s="458"/>
      <c r="AN805" s="458"/>
      <c r="AO805" s="458"/>
      <c r="AP805" s="458"/>
      <c r="AQ805" s="458"/>
      <c r="AR805" s="458"/>
      <c r="AS805" s="458"/>
      <c r="AT805" s="458"/>
      <c r="AU805" s="458"/>
      <c r="AV805" s="458"/>
      <c r="BA805" s="1305"/>
    </row>
    <row r="806" spans="2:53" ht="15.75" customHeight="1">
      <c r="B806" s="175"/>
      <c r="C806" s="176"/>
      <c r="H806" s="178"/>
      <c r="I806" s="178"/>
      <c r="J806" s="184"/>
      <c r="N806" s="178"/>
      <c r="O806" s="178"/>
      <c r="P806" s="178"/>
      <c r="S806" s="458"/>
      <c r="AN806" s="458"/>
      <c r="AO806" s="458"/>
      <c r="AP806" s="458"/>
      <c r="AQ806" s="458"/>
      <c r="AR806" s="458"/>
      <c r="AS806" s="458"/>
      <c r="AT806" s="458"/>
      <c r="AU806" s="458"/>
      <c r="AV806" s="458"/>
      <c r="BA806" s="1305"/>
    </row>
    <row r="807" spans="2:53" ht="15.75" customHeight="1">
      <c r="B807" s="175"/>
      <c r="C807" s="176"/>
      <c r="H807" s="178"/>
      <c r="I807" s="178"/>
      <c r="J807" s="184"/>
      <c r="N807" s="178"/>
      <c r="O807" s="178"/>
      <c r="P807" s="178"/>
      <c r="S807" s="458"/>
      <c r="AN807" s="458"/>
      <c r="AO807" s="458"/>
      <c r="AP807" s="458"/>
      <c r="AQ807" s="458"/>
      <c r="AR807" s="458"/>
      <c r="AS807" s="458"/>
      <c r="AT807" s="458"/>
      <c r="AU807" s="458"/>
      <c r="AV807" s="458"/>
      <c r="BA807" s="1305"/>
    </row>
    <row r="808" spans="2:53" ht="15.75" customHeight="1">
      <c r="B808" s="175"/>
      <c r="C808" s="176"/>
      <c r="H808" s="178"/>
      <c r="I808" s="179"/>
      <c r="J808" s="184"/>
      <c r="N808" s="178"/>
      <c r="O808" s="178"/>
      <c r="P808" s="178"/>
      <c r="S808" s="458"/>
      <c r="AN808" s="458"/>
      <c r="AO808" s="458"/>
      <c r="AP808" s="458"/>
      <c r="AQ808" s="458"/>
      <c r="AR808" s="458"/>
      <c r="AS808" s="458"/>
      <c r="AT808" s="458"/>
      <c r="AU808" s="458"/>
      <c r="AV808" s="458"/>
      <c r="BA808" s="1305"/>
    </row>
    <row r="809" spans="2:53" ht="15.75" customHeight="1">
      <c r="B809" s="175"/>
      <c r="C809" s="176"/>
      <c r="H809" s="178"/>
      <c r="I809" s="178"/>
      <c r="J809" s="184"/>
      <c r="N809" s="178"/>
      <c r="O809" s="178"/>
      <c r="P809" s="178"/>
      <c r="S809" s="458"/>
      <c r="AN809" s="458"/>
      <c r="AO809" s="458"/>
      <c r="AP809" s="458"/>
      <c r="AQ809" s="458"/>
      <c r="AR809" s="458"/>
      <c r="AS809" s="458"/>
      <c r="AT809" s="458"/>
      <c r="AU809" s="458"/>
      <c r="AV809" s="458"/>
      <c r="BA809" s="1305"/>
    </row>
    <row r="810" spans="2:53" ht="15.75" customHeight="1">
      <c r="B810" s="175"/>
      <c r="C810" s="176"/>
      <c r="H810" s="178"/>
      <c r="I810" s="179"/>
      <c r="J810" s="184"/>
      <c r="N810" s="178"/>
      <c r="O810" s="178"/>
      <c r="P810" s="178"/>
      <c r="S810" s="458"/>
      <c r="AN810" s="458"/>
      <c r="AO810" s="458"/>
      <c r="AP810" s="458"/>
      <c r="AQ810" s="458"/>
      <c r="AR810" s="458"/>
      <c r="AS810" s="458"/>
      <c r="AT810" s="458"/>
      <c r="AU810" s="458"/>
      <c r="AV810" s="458"/>
      <c r="BA810" s="1305"/>
    </row>
    <row r="811" spans="2:53" ht="15.75" customHeight="1">
      <c r="B811" s="175"/>
      <c r="C811" s="176"/>
      <c r="H811" s="178"/>
      <c r="I811" s="178"/>
      <c r="J811" s="184"/>
      <c r="N811" s="178"/>
      <c r="O811" s="178"/>
      <c r="P811" s="178"/>
      <c r="S811" s="458"/>
      <c r="AN811" s="458"/>
      <c r="AO811" s="458"/>
      <c r="AP811" s="458"/>
      <c r="AQ811" s="458"/>
      <c r="AR811" s="458"/>
      <c r="AS811" s="458"/>
      <c r="AT811" s="458"/>
      <c r="AU811" s="458"/>
      <c r="AV811" s="458"/>
      <c r="BA811" s="1305"/>
    </row>
    <row r="812" spans="2:53" ht="15.75" customHeight="1">
      <c r="B812" s="175"/>
      <c r="C812" s="176"/>
      <c r="H812" s="178"/>
      <c r="I812" s="178"/>
      <c r="J812" s="184"/>
      <c r="N812" s="178"/>
      <c r="O812" s="178"/>
      <c r="P812" s="178"/>
      <c r="S812" s="458"/>
      <c r="AN812" s="458"/>
      <c r="AO812" s="458"/>
      <c r="AP812" s="458"/>
      <c r="AQ812" s="458"/>
      <c r="AR812" s="458"/>
      <c r="AS812" s="458"/>
      <c r="AT812" s="458"/>
      <c r="AU812" s="458"/>
      <c r="AV812" s="458"/>
      <c r="BA812" s="1305"/>
    </row>
    <row r="813" spans="2:53" ht="15.75" customHeight="1">
      <c r="B813" s="175"/>
      <c r="C813" s="176"/>
      <c r="H813" s="178"/>
      <c r="I813" s="179"/>
      <c r="J813" s="184"/>
      <c r="N813" s="178"/>
      <c r="O813" s="178"/>
      <c r="P813" s="178"/>
      <c r="S813" s="458"/>
      <c r="AN813" s="458"/>
      <c r="AO813" s="458"/>
      <c r="AP813" s="458"/>
      <c r="AQ813" s="458"/>
      <c r="AR813" s="458"/>
      <c r="AS813" s="458"/>
      <c r="AT813" s="458"/>
      <c r="AU813" s="458"/>
      <c r="AV813" s="458"/>
      <c r="BA813" s="1305"/>
    </row>
    <row r="814" spans="2:53" ht="15.75" customHeight="1">
      <c r="B814" s="175"/>
      <c r="C814" s="176"/>
      <c r="H814" s="178"/>
      <c r="I814" s="178"/>
      <c r="J814" s="184"/>
      <c r="N814" s="178"/>
      <c r="O814" s="178"/>
      <c r="P814" s="178"/>
      <c r="S814" s="458"/>
      <c r="AN814" s="458"/>
      <c r="AO814" s="458"/>
      <c r="AP814" s="458"/>
      <c r="AQ814" s="458"/>
      <c r="AR814" s="458"/>
      <c r="AS814" s="458"/>
      <c r="AT814" s="458"/>
      <c r="AU814" s="458"/>
      <c r="AV814" s="458"/>
      <c r="BA814" s="1305"/>
    </row>
    <row r="815" spans="2:53" ht="15.75" customHeight="1">
      <c r="B815" s="175"/>
      <c r="C815" s="176"/>
      <c r="H815" s="178"/>
      <c r="I815" s="178"/>
      <c r="J815" s="184"/>
      <c r="N815" s="178"/>
      <c r="O815" s="178"/>
      <c r="P815" s="178"/>
      <c r="S815" s="458"/>
      <c r="AN815" s="458"/>
      <c r="AO815" s="458"/>
      <c r="AP815" s="458"/>
      <c r="AQ815" s="458"/>
      <c r="AR815" s="458"/>
      <c r="AS815" s="458"/>
      <c r="AT815" s="458"/>
      <c r="AU815" s="458"/>
      <c r="AV815" s="458"/>
      <c r="BA815" s="1305"/>
    </row>
    <row r="816" spans="2:53" ht="15.75" customHeight="1">
      <c r="B816" s="175"/>
      <c r="C816" s="176"/>
      <c r="H816" s="178"/>
      <c r="I816" s="179"/>
      <c r="J816" s="184"/>
      <c r="N816" s="178"/>
      <c r="O816" s="178"/>
      <c r="P816" s="178"/>
      <c r="S816" s="458"/>
      <c r="AN816" s="458"/>
      <c r="AO816" s="458"/>
      <c r="AP816" s="458"/>
      <c r="AQ816" s="458"/>
      <c r="AR816" s="458"/>
      <c r="AS816" s="458"/>
      <c r="AT816" s="458"/>
      <c r="AU816" s="458"/>
      <c r="AV816" s="458"/>
      <c r="BA816" s="1305"/>
    </row>
    <row r="817" spans="2:53" ht="15.75" customHeight="1">
      <c r="B817" s="175"/>
      <c r="C817" s="176"/>
      <c r="H817" s="178"/>
      <c r="I817" s="178"/>
      <c r="J817" s="184"/>
      <c r="N817" s="178"/>
      <c r="O817" s="178"/>
      <c r="P817" s="178"/>
      <c r="S817" s="458"/>
      <c r="AN817" s="458"/>
      <c r="AO817" s="458"/>
      <c r="AP817" s="458"/>
      <c r="AQ817" s="458"/>
      <c r="AR817" s="458"/>
      <c r="AS817" s="458"/>
      <c r="AT817" s="458"/>
      <c r="AU817" s="458"/>
      <c r="AV817" s="458"/>
      <c r="BA817" s="1305"/>
    </row>
    <row r="818" spans="2:53" ht="15.75" customHeight="1">
      <c r="B818" s="175"/>
      <c r="C818" s="176"/>
      <c r="H818" s="178"/>
      <c r="I818" s="179"/>
      <c r="J818" s="184"/>
      <c r="N818" s="178"/>
      <c r="O818" s="178"/>
      <c r="P818" s="178"/>
      <c r="S818" s="458"/>
      <c r="AN818" s="458"/>
      <c r="AO818" s="458"/>
      <c r="AP818" s="458"/>
      <c r="AQ818" s="458"/>
      <c r="AR818" s="458"/>
      <c r="AS818" s="458"/>
      <c r="AT818" s="458"/>
      <c r="AU818" s="458"/>
      <c r="AV818" s="458"/>
      <c r="BA818" s="1305"/>
    </row>
    <row r="819" spans="2:53" ht="15.75" customHeight="1">
      <c r="B819" s="175"/>
      <c r="C819" s="176"/>
      <c r="J819" s="184"/>
      <c r="N819" s="178"/>
      <c r="O819" s="178"/>
      <c r="P819" s="178"/>
      <c r="S819" s="458"/>
      <c r="AN819" s="458"/>
      <c r="AO819" s="458"/>
      <c r="AP819" s="458"/>
      <c r="AQ819" s="458"/>
      <c r="AR819" s="458"/>
      <c r="AS819" s="458"/>
      <c r="AT819" s="458"/>
      <c r="AU819" s="458"/>
      <c r="AV819" s="458"/>
      <c r="BA819" s="1305"/>
    </row>
    <row r="820" spans="2:53" ht="15.75" customHeight="1">
      <c r="B820" s="175"/>
      <c r="C820" s="176"/>
      <c r="J820" s="184"/>
      <c r="N820" s="178"/>
      <c r="O820" s="178"/>
      <c r="P820" s="178"/>
      <c r="S820" s="458"/>
      <c r="AN820" s="458"/>
      <c r="AO820" s="458"/>
      <c r="AP820" s="458"/>
      <c r="AQ820" s="458"/>
      <c r="AR820" s="458"/>
      <c r="AS820" s="458"/>
      <c r="AT820" s="458"/>
      <c r="AU820" s="458"/>
      <c r="AV820" s="458"/>
      <c r="BA820" s="1305"/>
    </row>
    <row r="821" spans="2:53" ht="15.75" customHeight="1">
      <c r="B821" s="175"/>
      <c r="C821" s="176"/>
      <c r="H821" s="178"/>
      <c r="I821" s="178"/>
      <c r="J821" s="184"/>
      <c r="N821" s="178"/>
      <c r="O821" s="178"/>
      <c r="P821" s="178"/>
      <c r="S821" s="458"/>
      <c r="AN821" s="458"/>
      <c r="AO821" s="458"/>
      <c r="AP821" s="458"/>
      <c r="AQ821" s="458"/>
      <c r="AR821" s="458"/>
      <c r="AS821" s="458"/>
      <c r="AT821" s="458"/>
      <c r="AU821" s="458"/>
      <c r="AV821" s="458"/>
      <c r="BA821" s="1305"/>
    </row>
    <row r="822" spans="2:53" ht="15.75" customHeight="1">
      <c r="B822" s="175"/>
      <c r="C822" s="176"/>
      <c r="H822" s="178"/>
      <c r="I822" s="179"/>
      <c r="J822" s="184"/>
      <c r="N822" s="178"/>
      <c r="O822" s="178"/>
      <c r="P822" s="178"/>
      <c r="S822" s="458"/>
      <c r="AN822" s="458"/>
      <c r="AO822" s="458"/>
      <c r="AP822" s="458"/>
      <c r="AQ822" s="458"/>
      <c r="AR822" s="458"/>
      <c r="AS822" s="458"/>
      <c r="AT822" s="458"/>
      <c r="AU822" s="458"/>
      <c r="AV822" s="458"/>
      <c r="BA822" s="1305"/>
    </row>
    <row r="823" spans="2:53" ht="15.75" customHeight="1">
      <c r="B823" s="175"/>
      <c r="C823" s="176"/>
      <c r="H823" s="178"/>
      <c r="I823" s="178"/>
      <c r="J823" s="184"/>
      <c r="N823" s="178"/>
      <c r="O823" s="178"/>
      <c r="P823" s="178"/>
      <c r="S823" s="458"/>
      <c r="AN823" s="458"/>
      <c r="AO823" s="458"/>
      <c r="AP823" s="458"/>
      <c r="AQ823" s="458"/>
      <c r="AR823" s="458"/>
      <c r="AS823" s="458"/>
      <c r="AT823" s="458"/>
      <c r="AU823" s="458"/>
      <c r="AV823" s="458"/>
      <c r="BA823" s="1305"/>
    </row>
    <row r="824" spans="2:53" ht="15.75" customHeight="1">
      <c r="B824" s="175"/>
      <c r="C824" s="176"/>
      <c r="H824" s="178"/>
      <c r="I824" s="178"/>
      <c r="J824" s="184"/>
      <c r="N824" s="178"/>
      <c r="O824" s="178"/>
      <c r="P824" s="178"/>
      <c r="S824" s="458"/>
      <c r="AN824" s="458"/>
      <c r="AO824" s="458"/>
      <c r="AP824" s="458"/>
      <c r="AQ824" s="458"/>
      <c r="AR824" s="458"/>
      <c r="AS824" s="458"/>
      <c r="AT824" s="458"/>
      <c r="AU824" s="458"/>
      <c r="AV824" s="458"/>
      <c r="BA824" s="1305"/>
    </row>
    <row r="825" spans="2:53" ht="15.75" customHeight="1">
      <c r="B825" s="175"/>
      <c r="C825" s="176"/>
      <c r="H825" s="178"/>
      <c r="I825" s="178"/>
      <c r="J825" s="184"/>
      <c r="N825" s="178"/>
      <c r="O825" s="178"/>
      <c r="P825" s="178"/>
      <c r="S825" s="458"/>
      <c r="AN825" s="458"/>
      <c r="AO825" s="458"/>
      <c r="AP825" s="458"/>
      <c r="AQ825" s="458"/>
      <c r="AR825" s="458"/>
      <c r="AS825" s="458"/>
      <c r="AT825" s="458"/>
      <c r="AU825" s="458"/>
      <c r="AV825" s="458"/>
      <c r="BA825" s="1305"/>
    </row>
    <row r="826" spans="2:53" ht="15.75" customHeight="1">
      <c r="B826" s="175"/>
      <c r="C826" s="176"/>
      <c r="H826" s="178"/>
      <c r="I826" s="178"/>
      <c r="J826" s="184"/>
      <c r="N826" s="178"/>
      <c r="O826" s="178"/>
      <c r="P826" s="178"/>
      <c r="S826" s="458"/>
      <c r="AN826" s="458"/>
      <c r="AO826" s="458"/>
      <c r="AP826" s="458"/>
      <c r="AQ826" s="458"/>
      <c r="AR826" s="458"/>
      <c r="AS826" s="458"/>
      <c r="AT826" s="458"/>
      <c r="AU826" s="458"/>
      <c r="AV826" s="458"/>
      <c r="BA826" s="1305"/>
    </row>
    <row r="827" spans="2:53" ht="15.75" customHeight="1">
      <c r="B827" s="175"/>
      <c r="C827" s="176"/>
      <c r="H827" s="178"/>
      <c r="I827" s="178"/>
      <c r="J827" s="184"/>
      <c r="N827" s="178"/>
      <c r="O827" s="178"/>
      <c r="P827" s="178"/>
      <c r="S827" s="458"/>
      <c r="AN827" s="458"/>
      <c r="AO827" s="458"/>
      <c r="AP827" s="458"/>
      <c r="AQ827" s="458"/>
      <c r="AR827" s="458"/>
      <c r="AS827" s="458"/>
      <c r="AT827" s="458"/>
      <c r="AU827" s="458"/>
      <c r="AV827" s="458"/>
      <c r="BA827" s="1305"/>
    </row>
    <row r="828" spans="2:53" ht="15.75" customHeight="1">
      <c r="B828" s="175"/>
      <c r="C828" s="176"/>
      <c r="H828" s="178"/>
      <c r="I828" s="178"/>
      <c r="J828" s="184"/>
      <c r="N828" s="178"/>
      <c r="O828" s="178"/>
      <c r="P828" s="178"/>
      <c r="S828" s="458"/>
      <c r="AN828" s="458"/>
      <c r="AO828" s="458"/>
      <c r="AP828" s="458"/>
      <c r="AQ828" s="458"/>
      <c r="AR828" s="458"/>
      <c r="AS828" s="458"/>
      <c r="AT828" s="458"/>
      <c r="AU828" s="458"/>
      <c r="AV828" s="458"/>
      <c r="BA828" s="1305"/>
    </row>
    <row r="829" spans="2:53" ht="15.75" customHeight="1">
      <c r="B829" s="175"/>
      <c r="C829" s="176"/>
      <c r="H829" s="178"/>
      <c r="I829" s="178"/>
      <c r="J829" s="184"/>
      <c r="N829" s="178"/>
      <c r="O829" s="178"/>
      <c r="P829" s="178"/>
      <c r="S829" s="458"/>
      <c r="AN829" s="458"/>
      <c r="AO829" s="458"/>
      <c r="AP829" s="458"/>
      <c r="AQ829" s="458"/>
      <c r="AR829" s="458"/>
      <c r="AS829" s="458"/>
      <c r="AT829" s="458"/>
      <c r="AU829" s="458"/>
      <c r="AV829" s="458"/>
      <c r="BA829" s="1305"/>
    </row>
    <row r="830" spans="2:53" ht="15.75" customHeight="1">
      <c r="B830" s="175"/>
      <c r="C830" s="176"/>
      <c r="H830" s="178"/>
      <c r="I830" s="178"/>
      <c r="J830" s="184"/>
      <c r="N830" s="178"/>
      <c r="O830" s="178"/>
      <c r="P830" s="178"/>
      <c r="S830" s="458"/>
      <c r="AN830" s="458"/>
      <c r="AO830" s="458"/>
      <c r="AP830" s="458"/>
      <c r="AQ830" s="458"/>
      <c r="AR830" s="458"/>
      <c r="AS830" s="458"/>
      <c r="AT830" s="458"/>
      <c r="AU830" s="458"/>
      <c r="AV830" s="458"/>
      <c r="BA830" s="1305"/>
    </row>
    <row r="831" spans="2:53" ht="15.75" customHeight="1">
      <c r="B831" s="175"/>
      <c r="C831" s="176"/>
      <c r="H831" s="178"/>
      <c r="I831" s="178"/>
      <c r="J831" s="184"/>
      <c r="N831" s="178"/>
      <c r="O831" s="178"/>
      <c r="P831" s="178"/>
      <c r="S831" s="458"/>
      <c r="AN831" s="458"/>
      <c r="AO831" s="458"/>
      <c r="AP831" s="458"/>
      <c r="AQ831" s="458"/>
      <c r="AR831" s="458"/>
      <c r="AS831" s="458"/>
      <c r="AT831" s="458"/>
      <c r="AU831" s="458"/>
      <c r="AV831" s="458"/>
      <c r="BA831" s="1305"/>
    </row>
    <row r="832" spans="2:53" ht="15.75" customHeight="1">
      <c r="B832" s="175"/>
      <c r="C832" s="176"/>
      <c r="H832" s="178"/>
      <c r="I832" s="178"/>
      <c r="J832" s="184"/>
      <c r="N832" s="178"/>
      <c r="O832" s="178"/>
      <c r="P832" s="178"/>
      <c r="S832" s="458"/>
      <c r="AN832" s="458"/>
      <c r="AO832" s="458"/>
      <c r="AP832" s="458"/>
      <c r="AQ832" s="458"/>
      <c r="AR832" s="458"/>
      <c r="AS832" s="458"/>
      <c r="AT832" s="458"/>
      <c r="AU832" s="458"/>
      <c r="AV832" s="458"/>
      <c r="BA832" s="1305"/>
    </row>
    <row r="833" spans="2:53" ht="15.75" customHeight="1">
      <c r="B833" s="175"/>
      <c r="C833" s="176"/>
      <c r="H833" s="178"/>
      <c r="I833" s="178"/>
      <c r="J833" s="184"/>
      <c r="N833" s="178"/>
      <c r="O833" s="178"/>
      <c r="P833" s="178"/>
      <c r="S833" s="458"/>
      <c r="AN833" s="458"/>
      <c r="AO833" s="458"/>
      <c r="AP833" s="458"/>
      <c r="AQ833" s="458"/>
      <c r="AR833" s="458"/>
      <c r="AS833" s="458"/>
      <c r="AT833" s="458"/>
      <c r="AU833" s="458"/>
      <c r="AV833" s="458"/>
      <c r="BA833" s="1305"/>
    </row>
    <row r="834" spans="2:53" ht="15.75" customHeight="1">
      <c r="B834" s="175"/>
      <c r="C834" s="176"/>
      <c r="H834" s="178"/>
      <c r="I834" s="178"/>
      <c r="J834" s="184"/>
      <c r="N834" s="178"/>
      <c r="O834" s="178"/>
      <c r="P834" s="178"/>
      <c r="S834" s="458"/>
      <c r="AN834" s="458"/>
      <c r="AO834" s="458"/>
      <c r="AP834" s="458"/>
      <c r="AQ834" s="458"/>
      <c r="AR834" s="458"/>
      <c r="AS834" s="458"/>
      <c r="AT834" s="458"/>
      <c r="AU834" s="458"/>
      <c r="AV834" s="458"/>
      <c r="BA834" s="1305"/>
    </row>
    <row r="835" spans="2:53" ht="15.75" customHeight="1">
      <c r="B835" s="175"/>
      <c r="C835" s="176"/>
      <c r="H835" s="178"/>
      <c r="I835" s="178"/>
      <c r="J835" s="184"/>
      <c r="N835" s="178"/>
      <c r="O835" s="178"/>
      <c r="P835" s="178"/>
      <c r="S835" s="458"/>
      <c r="AN835" s="458"/>
      <c r="AO835" s="458"/>
      <c r="AP835" s="458"/>
      <c r="AQ835" s="458"/>
      <c r="AR835" s="458"/>
      <c r="AS835" s="458"/>
      <c r="AT835" s="458"/>
      <c r="AU835" s="458"/>
      <c r="AV835" s="458"/>
      <c r="BA835" s="1305"/>
    </row>
    <row r="836" spans="2:53" ht="15.75" customHeight="1">
      <c r="B836" s="175"/>
      <c r="C836" s="176"/>
      <c r="H836" s="178"/>
      <c r="I836" s="178"/>
      <c r="J836" s="184"/>
      <c r="N836" s="178"/>
      <c r="O836" s="178"/>
      <c r="P836" s="178"/>
      <c r="S836" s="458"/>
      <c r="AN836" s="458"/>
      <c r="AO836" s="458"/>
      <c r="AP836" s="458"/>
      <c r="AQ836" s="458"/>
      <c r="AR836" s="458"/>
      <c r="AS836" s="458"/>
      <c r="AT836" s="458"/>
      <c r="AU836" s="458"/>
      <c r="AV836" s="458"/>
      <c r="BA836" s="1305"/>
    </row>
    <row r="837" spans="2:53" ht="15.75" customHeight="1">
      <c r="B837" s="175"/>
      <c r="C837" s="176"/>
      <c r="H837" s="178"/>
      <c r="I837" s="178"/>
      <c r="J837" s="184"/>
      <c r="N837" s="178"/>
      <c r="O837" s="178"/>
      <c r="P837" s="178"/>
      <c r="S837" s="458"/>
      <c r="AN837" s="458"/>
      <c r="AO837" s="458"/>
      <c r="AP837" s="458"/>
      <c r="AQ837" s="458"/>
      <c r="AR837" s="458"/>
      <c r="AS837" s="458"/>
      <c r="AT837" s="458"/>
      <c r="AU837" s="458"/>
      <c r="AV837" s="458"/>
      <c r="BA837" s="1305"/>
    </row>
    <row r="838" spans="2:53" ht="15.75" customHeight="1">
      <c r="B838" s="175"/>
      <c r="C838" s="176"/>
      <c r="H838" s="178"/>
      <c r="I838" s="178"/>
      <c r="J838" s="184"/>
      <c r="N838" s="178"/>
      <c r="O838" s="178"/>
      <c r="P838" s="178"/>
      <c r="S838" s="458"/>
      <c r="AN838" s="458"/>
      <c r="AO838" s="458"/>
      <c r="AP838" s="458"/>
      <c r="AQ838" s="458"/>
      <c r="AR838" s="458"/>
      <c r="AS838" s="458"/>
      <c r="AT838" s="458"/>
      <c r="AU838" s="458"/>
      <c r="AV838" s="458"/>
      <c r="BA838" s="1305"/>
    </row>
    <row r="839" spans="2:53" ht="15.75" customHeight="1">
      <c r="B839" s="175"/>
      <c r="C839" s="176"/>
      <c r="H839" s="178"/>
      <c r="I839" s="179"/>
      <c r="J839" s="184"/>
      <c r="N839" s="178"/>
      <c r="O839" s="178"/>
      <c r="P839" s="178"/>
      <c r="S839" s="458"/>
      <c r="AN839" s="458"/>
      <c r="AO839" s="458"/>
      <c r="AP839" s="458"/>
      <c r="AQ839" s="458"/>
      <c r="AR839" s="458"/>
      <c r="AS839" s="458"/>
      <c r="AT839" s="458"/>
      <c r="AU839" s="458"/>
      <c r="AV839" s="458"/>
      <c r="BA839" s="1305"/>
    </row>
    <row r="840" spans="2:53" ht="15.75" customHeight="1">
      <c r="B840" s="175"/>
      <c r="C840" s="176"/>
      <c r="H840" s="178"/>
      <c r="I840" s="178"/>
      <c r="J840" s="184"/>
      <c r="N840" s="178"/>
      <c r="O840" s="178"/>
      <c r="P840" s="178"/>
      <c r="S840" s="458"/>
      <c r="AN840" s="458"/>
      <c r="AO840" s="458"/>
      <c r="AP840" s="458"/>
      <c r="AQ840" s="458"/>
      <c r="AR840" s="458"/>
      <c r="AS840" s="458"/>
      <c r="AT840" s="458"/>
      <c r="AU840" s="458"/>
      <c r="AV840" s="458"/>
      <c r="BA840" s="1305"/>
    </row>
    <row r="841" spans="2:53" ht="15.75" customHeight="1">
      <c r="B841" s="175"/>
      <c r="C841" s="176"/>
      <c r="H841" s="178"/>
      <c r="I841" s="178"/>
      <c r="J841" s="184"/>
      <c r="N841" s="178"/>
      <c r="O841" s="178"/>
      <c r="P841" s="178"/>
      <c r="S841" s="458"/>
      <c r="AN841" s="458"/>
      <c r="AO841" s="458"/>
      <c r="AP841" s="458"/>
      <c r="AQ841" s="458"/>
      <c r="AR841" s="458"/>
      <c r="AS841" s="458"/>
      <c r="AT841" s="458"/>
      <c r="AU841" s="458"/>
      <c r="AV841" s="458"/>
      <c r="BA841" s="1305"/>
    </row>
    <row r="842" spans="2:53" ht="15.75" customHeight="1">
      <c r="B842" s="175"/>
      <c r="C842" s="176"/>
      <c r="H842" s="178"/>
      <c r="I842" s="179"/>
      <c r="J842" s="184"/>
      <c r="N842" s="178"/>
      <c r="O842" s="178"/>
      <c r="P842" s="178"/>
      <c r="S842" s="458"/>
      <c r="AN842" s="458"/>
      <c r="AO842" s="458"/>
      <c r="AP842" s="458"/>
      <c r="AQ842" s="458"/>
      <c r="AR842" s="458"/>
      <c r="AS842" s="458"/>
      <c r="AT842" s="458"/>
      <c r="AU842" s="458"/>
      <c r="AV842" s="458"/>
      <c r="BA842" s="1305"/>
    </row>
    <row r="843" spans="2:53" ht="15.75" customHeight="1">
      <c r="B843" s="175"/>
      <c r="C843" s="176"/>
      <c r="H843" s="178"/>
      <c r="I843" s="178"/>
      <c r="J843" s="184"/>
      <c r="N843" s="178"/>
      <c r="O843" s="178"/>
      <c r="P843" s="178"/>
      <c r="S843" s="458"/>
      <c r="AN843" s="458"/>
      <c r="AO843" s="458"/>
      <c r="AP843" s="458"/>
      <c r="AQ843" s="458"/>
      <c r="AR843" s="458"/>
      <c r="AS843" s="458"/>
      <c r="AT843" s="458"/>
      <c r="AU843" s="458"/>
      <c r="AV843" s="458"/>
      <c r="BA843" s="1305"/>
    </row>
    <row r="844" spans="2:53" ht="15.75" customHeight="1">
      <c r="B844" s="175"/>
      <c r="C844" s="176"/>
      <c r="H844" s="178"/>
      <c r="I844" s="179"/>
      <c r="J844" s="184"/>
      <c r="N844" s="178"/>
      <c r="O844" s="178"/>
      <c r="P844" s="178"/>
      <c r="S844" s="458"/>
      <c r="AN844" s="458"/>
      <c r="AO844" s="458"/>
      <c r="AP844" s="458"/>
      <c r="AQ844" s="458"/>
      <c r="AR844" s="458"/>
      <c r="AS844" s="458"/>
      <c r="AT844" s="458"/>
      <c r="AU844" s="458"/>
      <c r="AV844" s="458"/>
      <c r="BA844" s="1305"/>
    </row>
    <row r="845" spans="2:53" ht="15.75" customHeight="1">
      <c r="B845" s="175"/>
      <c r="C845" s="176"/>
      <c r="H845" s="178"/>
      <c r="I845" s="178"/>
      <c r="J845" s="184"/>
      <c r="N845" s="178"/>
      <c r="O845" s="178"/>
      <c r="P845" s="178"/>
      <c r="S845" s="458"/>
      <c r="AN845" s="458"/>
      <c r="AO845" s="458"/>
      <c r="AP845" s="458"/>
      <c r="AQ845" s="458"/>
      <c r="AR845" s="458"/>
      <c r="AS845" s="458"/>
      <c r="AT845" s="458"/>
      <c r="AU845" s="458"/>
      <c r="AV845" s="458"/>
      <c r="BA845" s="1305"/>
    </row>
    <row r="846" spans="2:53" ht="15.75" customHeight="1">
      <c r="B846" s="175"/>
      <c r="C846" s="176"/>
      <c r="H846" s="178"/>
      <c r="I846" s="179"/>
      <c r="J846" s="184"/>
      <c r="N846" s="178"/>
      <c r="O846" s="178"/>
      <c r="P846" s="178"/>
      <c r="S846" s="458"/>
      <c r="AN846" s="458"/>
      <c r="AO846" s="458"/>
      <c r="AP846" s="458"/>
      <c r="AQ846" s="458"/>
      <c r="AR846" s="458"/>
      <c r="AS846" s="458"/>
      <c r="AT846" s="458"/>
      <c r="AU846" s="458"/>
      <c r="AV846" s="458"/>
      <c r="BA846" s="1305"/>
    </row>
    <row r="847" spans="2:53" ht="15.75" customHeight="1">
      <c r="B847" s="175"/>
      <c r="C847" s="176"/>
      <c r="H847" s="178"/>
      <c r="I847" s="178"/>
      <c r="J847" s="184"/>
      <c r="N847" s="178"/>
      <c r="O847" s="178"/>
      <c r="P847" s="178"/>
      <c r="S847" s="458"/>
      <c r="AN847" s="458"/>
      <c r="AO847" s="458"/>
      <c r="AP847" s="458"/>
      <c r="AQ847" s="458"/>
      <c r="AR847" s="458"/>
      <c r="AS847" s="458"/>
      <c r="AT847" s="458"/>
      <c r="AU847" s="458"/>
      <c r="AV847" s="458"/>
      <c r="BA847" s="1305"/>
    </row>
    <row r="848" spans="2:53" ht="15.75" customHeight="1">
      <c r="B848" s="175"/>
      <c r="C848" s="176"/>
      <c r="H848" s="178"/>
      <c r="I848" s="179"/>
      <c r="J848" s="184"/>
      <c r="N848" s="178"/>
      <c r="O848" s="178"/>
      <c r="P848" s="178"/>
      <c r="S848" s="458"/>
      <c r="AN848" s="458"/>
      <c r="AO848" s="458"/>
      <c r="AP848" s="458"/>
      <c r="AQ848" s="458"/>
      <c r="AR848" s="458"/>
      <c r="AS848" s="458"/>
      <c r="AT848" s="458"/>
      <c r="AU848" s="458"/>
      <c r="AV848" s="458"/>
      <c r="BA848" s="1305"/>
    </row>
    <row r="849" spans="2:53" ht="15.75" customHeight="1">
      <c r="B849" s="175"/>
      <c r="C849" s="176"/>
      <c r="J849" s="184"/>
      <c r="N849" s="178"/>
      <c r="O849" s="178"/>
      <c r="P849" s="178"/>
      <c r="S849" s="458"/>
      <c r="AN849" s="458"/>
      <c r="AO849" s="458"/>
      <c r="AP849" s="458"/>
      <c r="AQ849" s="458"/>
      <c r="AR849" s="458"/>
      <c r="AS849" s="458"/>
      <c r="AT849" s="458"/>
      <c r="AU849" s="458"/>
      <c r="AV849" s="458"/>
      <c r="BA849" s="1305"/>
    </row>
    <row r="850" spans="2:53" ht="15.75" customHeight="1">
      <c r="B850" s="175"/>
      <c r="C850" s="176"/>
      <c r="J850" s="184"/>
      <c r="N850" s="178"/>
      <c r="O850" s="178"/>
      <c r="P850" s="178"/>
      <c r="S850" s="458"/>
      <c r="AN850" s="458"/>
      <c r="AO850" s="458"/>
      <c r="AP850" s="458"/>
      <c r="AQ850" s="458"/>
      <c r="AR850" s="458"/>
      <c r="AS850" s="458"/>
      <c r="AT850" s="458"/>
      <c r="AU850" s="458"/>
      <c r="AV850" s="458"/>
      <c r="BA850" s="1305"/>
    </row>
    <row r="851" spans="2:53" ht="15.75" customHeight="1">
      <c r="B851" s="175"/>
      <c r="C851" s="176"/>
      <c r="H851" s="178"/>
      <c r="I851" s="178"/>
      <c r="J851" s="184"/>
      <c r="N851" s="178"/>
      <c r="O851" s="178"/>
      <c r="P851" s="178"/>
      <c r="S851" s="458"/>
      <c r="AN851" s="458"/>
      <c r="AO851" s="458"/>
      <c r="AP851" s="458"/>
      <c r="AQ851" s="458"/>
      <c r="AR851" s="458"/>
      <c r="AS851" s="458"/>
      <c r="AT851" s="458"/>
      <c r="AU851" s="458"/>
      <c r="AV851" s="458"/>
      <c r="BA851" s="1305"/>
    </row>
    <row r="852" spans="2:53" ht="15.75" customHeight="1">
      <c r="B852" s="175"/>
      <c r="C852" s="176"/>
      <c r="H852" s="178"/>
      <c r="I852" s="179"/>
      <c r="J852" s="184"/>
      <c r="N852" s="178"/>
      <c r="O852" s="178"/>
      <c r="P852" s="178"/>
      <c r="S852" s="458"/>
      <c r="AN852" s="458"/>
      <c r="AO852" s="458"/>
      <c r="AP852" s="458"/>
      <c r="AQ852" s="458"/>
      <c r="AR852" s="458"/>
      <c r="AS852" s="458"/>
      <c r="AT852" s="458"/>
      <c r="AU852" s="458"/>
      <c r="AV852" s="458"/>
      <c r="BA852" s="1305"/>
    </row>
    <row r="853" spans="2:53" ht="15.75" customHeight="1">
      <c r="B853" s="175"/>
      <c r="C853" s="176"/>
      <c r="H853" s="178"/>
      <c r="I853" s="178"/>
      <c r="J853" s="184"/>
      <c r="N853" s="178"/>
      <c r="O853" s="178"/>
      <c r="P853" s="178"/>
      <c r="S853" s="458"/>
      <c r="AN853" s="458"/>
      <c r="AO853" s="458"/>
      <c r="AP853" s="458"/>
      <c r="AQ853" s="458"/>
      <c r="AR853" s="458"/>
      <c r="AS853" s="458"/>
      <c r="AT853" s="458"/>
      <c r="AU853" s="458"/>
      <c r="AV853" s="458"/>
      <c r="BA853" s="1305"/>
    </row>
    <row r="854" spans="2:53" ht="15.75" customHeight="1">
      <c r="B854" s="175"/>
      <c r="C854" s="176"/>
      <c r="H854" s="178"/>
      <c r="I854" s="178"/>
      <c r="J854" s="184"/>
      <c r="N854" s="178"/>
      <c r="O854" s="178"/>
      <c r="P854" s="178"/>
      <c r="S854" s="458"/>
      <c r="AN854" s="458"/>
      <c r="AO854" s="458"/>
      <c r="AP854" s="458"/>
      <c r="AQ854" s="458"/>
      <c r="AR854" s="458"/>
      <c r="AS854" s="458"/>
      <c r="AT854" s="458"/>
      <c r="AU854" s="458"/>
      <c r="AV854" s="458"/>
      <c r="BA854" s="1305"/>
    </row>
    <row r="855" spans="2:53" ht="15.75" customHeight="1">
      <c r="B855" s="175"/>
      <c r="C855" s="176"/>
      <c r="H855" s="178"/>
      <c r="I855" s="178"/>
      <c r="J855" s="184"/>
      <c r="N855" s="178"/>
      <c r="O855" s="178"/>
      <c r="P855" s="178"/>
      <c r="S855" s="458"/>
      <c r="AN855" s="458"/>
      <c r="AO855" s="458"/>
      <c r="AP855" s="458"/>
      <c r="AQ855" s="458"/>
      <c r="AR855" s="458"/>
      <c r="AS855" s="458"/>
      <c r="AT855" s="458"/>
      <c r="AU855" s="458"/>
      <c r="AV855" s="458"/>
      <c r="BA855" s="1305"/>
    </row>
    <row r="856" spans="2:53" ht="15.75" customHeight="1">
      <c r="B856" s="175"/>
      <c r="C856" s="176"/>
      <c r="H856" s="178"/>
      <c r="I856" s="178"/>
      <c r="J856" s="184"/>
      <c r="N856" s="178"/>
      <c r="O856" s="178"/>
      <c r="P856" s="178"/>
      <c r="S856" s="458"/>
      <c r="AN856" s="458"/>
      <c r="AO856" s="458"/>
      <c r="AP856" s="458"/>
      <c r="AQ856" s="458"/>
      <c r="AR856" s="458"/>
      <c r="AS856" s="458"/>
      <c r="AT856" s="458"/>
      <c r="AU856" s="458"/>
      <c r="AV856" s="458"/>
      <c r="BA856" s="1305"/>
    </row>
    <row r="857" spans="2:53" ht="15.75" customHeight="1">
      <c r="B857" s="175"/>
      <c r="C857" s="176"/>
      <c r="H857" s="178"/>
      <c r="I857" s="178"/>
      <c r="J857" s="184"/>
      <c r="N857" s="178"/>
      <c r="O857" s="178"/>
      <c r="P857" s="178"/>
      <c r="S857" s="458"/>
      <c r="AN857" s="458"/>
      <c r="AO857" s="458"/>
      <c r="AP857" s="458"/>
      <c r="AQ857" s="458"/>
      <c r="AR857" s="458"/>
      <c r="AS857" s="458"/>
      <c r="AT857" s="458"/>
      <c r="AU857" s="458"/>
      <c r="AV857" s="458"/>
      <c r="BA857" s="1305"/>
    </row>
    <row r="858" spans="2:53" ht="15.75" customHeight="1">
      <c r="B858" s="175"/>
      <c r="C858" s="176"/>
      <c r="H858" s="178"/>
      <c r="I858" s="178"/>
      <c r="J858" s="184"/>
      <c r="N858" s="178"/>
      <c r="O858" s="178"/>
      <c r="P858" s="178"/>
      <c r="S858" s="458"/>
      <c r="AN858" s="458"/>
      <c r="AO858" s="458"/>
      <c r="AP858" s="458"/>
      <c r="AQ858" s="458"/>
      <c r="AR858" s="458"/>
      <c r="AS858" s="458"/>
      <c r="AT858" s="458"/>
      <c r="AU858" s="458"/>
      <c r="AV858" s="458"/>
      <c r="BA858" s="1305"/>
    </row>
    <row r="859" spans="2:53" ht="15.75" customHeight="1">
      <c r="B859" s="175"/>
      <c r="C859" s="176"/>
      <c r="H859" s="178"/>
      <c r="I859" s="178"/>
      <c r="J859" s="184"/>
      <c r="N859" s="178"/>
      <c r="O859" s="178"/>
      <c r="P859" s="178"/>
      <c r="S859" s="458"/>
      <c r="AN859" s="458"/>
      <c r="AO859" s="458"/>
      <c r="AP859" s="458"/>
      <c r="AQ859" s="458"/>
      <c r="AR859" s="458"/>
      <c r="AS859" s="458"/>
      <c r="AT859" s="458"/>
      <c r="AU859" s="458"/>
      <c r="AV859" s="458"/>
      <c r="BA859" s="1305"/>
    </row>
    <row r="860" spans="2:53" ht="15.75" customHeight="1">
      <c r="B860" s="175"/>
      <c r="C860" s="176"/>
      <c r="H860" s="178"/>
      <c r="I860" s="178"/>
      <c r="J860" s="184"/>
      <c r="N860" s="178"/>
      <c r="O860" s="178"/>
      <c r="P860" s="178"/>
      <c r="S860" s="458"/>
      <c r="AN860" s="458"/>
      <c r="AO860" s="458"/>
      <c r="AP860" s="458"/>
      <c r="AQ860" s="458"/>
      <c r="AR860" s="458"/>
      <c r="AS860" s="458"/>
      <c r="AT860" s="458"/>
      <c r="AU860" s="458"/>
      <c r="AV860" s="458"/>
      <c r="BA860" s="1305"/>
    </row>
    <row r="861" spans="2:53" ht="15.75" customHeight="1">
      <c r="B861" s="175"/>
      <c r="C861" s="176"/>
      <c r="H861" s="178"/>
      <c r="I861" s="178"/>
      <c r="J861" s="184"/>
      <c r="N861" s="178"/>
      <c r="O861" s="178"/>
      <c r="P861" s="178"/>
      <c r="S861" s="458"/>
      <c r="AN861" s="458"/>
      <c r="AO861" s="458"/>
      <c r="AP861" s="458"/>
      <c r="AQ861" s="458"/>
      <c r="AR861" s="458"/>
      <c r="AS861" s="458"/>
      <c r="AT861" s="458"/>
      <c r="AU861" s="458"/>
      <c r="AV861" s="458"/>
      <c r="BA861" s="1305"/>
    </row>
    <row r="862" spans="2:53" ht="15.75" customHeight="1">
      <c r="B862" s="175"/>
      <c r="C862" s="176"/>
      <c r="H862" s="178"/>
      <c r="I862" s="178"/>
      <c r="J862" s="184"/>
      <c r="N862" s="178"/>
      <c r="O862" s="178"/>
      <c r="P862" s="178"/>
      <c r="S862" s="458"/>
      <c r="AN862" s="458"/>
      <c r="AO862" s="458"/>
      <c r="AP862" s="458"/>
      <c r="AQ862" s="458"/>
      <c r="AR862" s="458"/>
      <c r="AS862" s="458"/>
      <c r="AT862" s="458"/>
      <c r="AU862" s="458"/>
      <c r="AV862" s="458"/>
      <c r="BA862" s="1305"/>
    </row>
    <row r="863" spans="2:53" ht="15.75" customHeight="1">
      <c r="B863" s="175"/>
      <c r="C863" s="176"/>
      <c r="H863" s="178"/>
      <c r="I863" s="178"/>
      <c r="J863" s="184"/>
      <c r="N863" s="178"/>
      <c r="O863" s="178"/>
      <c r="P863" s="178"/>
      <c r="S863" s="458"/>
      <c r="AN863" s="458"/>
      <c r="AO863" s="458"/>
      <c r="AP863" s="458"/>
      <c r="AQ863" s="458"/>
      <c r="AR863" s="458"/>
      <c r="AS863" s="458"/>
      <c r="AT863" s="458"/>
      <c r="AU863" s="458"/>
      <c r="AV863" s="458"/>
      <c r="BA863" s="1305"/>
    </row>
    <row r="864" spans="2:53" ht="15.75" customHeight="1">
      <c r="B864" s="175"/>
      <c r="C864" s="176"/>
      <c r="H864" s="178"/>
      <c r="I864" s="178"/>
      <c r="J864" s="184"/>
      <c r="N864" s="178"/>
      <c r="O864" s="178"/>
      <c r="P864" s="178"/>
      <c r="S864" s="458"/>
      <c r="AN864" s="458"/>
      <c r="AO864" s="458"/>
      <c r="AP864" s="458"/>
      <c r="AQ864" s="458"/>
      <c r="AR864" s="458"/>
      <c r="AS864" s="458"/>
      <c r="AT864" s="458"/>
      <c r="AU864" s="458"/>
      <c r="AV864" s="458"/>
      <c r="BA864" s="1305"/>
    </row>
    <row r="865" spans="2:53" ht="15.75" customHeight="1">
      <c r="B865" s="175"/>
      <c r="C865" s="176"/>
      <c r="H865" s="178"/>
      <c r="I865" s="178"/>
      <c r="J865" s="184"/>
      <c r="N865" s="178"/>
      <c r="O865" s="178"/>
      <c r="P865" s="178"/>
      <c r="S865" s="458"/>
      <c r="AN865" s="458"/>
      <c r="AO865" s="458"/>
      <c r="AP865" s="458"/>
      <c r="AQ865" s="458"/>
      <c r="AR865" s="458"/>
      <c r="AS865" s="458"/>
      <c r="AT865" s="458"/>
      <c r="AU865" s="458"/>
      <c r="AV865" s="458"/>
      <c r="BA865" s="1305"/>
    </row>
    <row r="866" spans="2:53" ht="15.75" customHeight="1">
      <c r="B866" s="175"/>
      <c r="C866" s="176"/>
      <c r="H866" s="178"/>
      <c r="I866" s="179"/>
      <c r="J866" s="184"/>
      <c r="N866" s="178"/>
      <c r="O866" s="178"/>
      <c r="P866" s="178"/>
      <c r="S866" s="458"/>
      <c r="AN866" s="458"/>
      <c r="AO866" s="458"/>
      <c r="AP866" s="458"/>
      <c r="AQ866" s="458"/>
      <c r="AR866" s="458"/>
      <c r="AS866" s="458"/>
      <c r="AT866" s="458"/>
      <c r="AU866" s="458"/>
      <c r="AV866" s="458"/>
      <c r="BA866" s="1305"/>
    </row>
    <row r="867" spans="2:53" ht="15.75" customHeight="1">
      <c r="B867" s="175"/>
      <c r="C867" s="176"/>
      <c r="H867" s="178"/>
      <c r="I867" s="178"/>
      <c r="J867" s="184"/>
      <c r="N867" s="178"/>
      <c r="O867" s="178"/>
      <c r="P867" s="178"/>
      <c r="S867" s="458"/>
      <c r="AN867" s="458"/>
      <c r="AO867" s="458"/>
      <c r="AP867" s="458"/>
      <c r="AQ867" s="458"/>
      <c r="AR867" s="458"/>
      <c r="AS867" s="458"/>
      <c r="AT867" s="458"/>
      <c r="AU867" s="458"/>
      <c r="AV867" s="458"/>
      <c r="BA867" s="1305"/>
    </row>
    <row r="868" spans="2:53" ht="15.75" customHeight="1">
      <c r="B868" s="175"/>
      <c r="C868" s="176"/>
      <c r="H868" s="178"/>
      <c r="I868" s="179"/>
      <c r="J868" s="184"/>
      <c r="N868" s="178"/>
      <c r="O868" s="178"/>
      <c r="P868" s="178"/>
      <c r="S868" s="458"/>
      <c r="AN868" s="458"/>
      <c r="AO868" s="458"/>
      <c r="AP868" s="458"/>
      <c r="AQ868" s="458"/>
      <c r="AR868" s="458"/>
      <c r="AS868" s="458"/>
      <c r="AT868" s="458"/>
      <c r="AU868" s="458"/>
      <c r="AV868" s="458"/>
      <c r="BA868" s="1305"/>
    </row>
    <row r="869" spans="2:53" ht="15.75" customHeight="1">
      <c r="B869" s="175"/>
      <c r="C869" s="176"/>
      <c r="H869" s="178"/>
      <c r="I869" s="178"/>
      <c r="J869" s="184"/>
      <c r="N869" s="178"/>
      <c r="O869" s="178"/>
      <c r="P869" s="178"/>
      <c r="S869" s="458"/>
      <c r="AN869" s="458"/>
      <c r="AO869" s="458"/>
      <c r="AP869" s="458"/>
      <c r="AQ869" s="458"/>
      <c r="AR869" s="458"/>
      <c r="AS869" s="458"/>
      <c r="AT869" s="458"/>
      <c r="AU869" s="458"/>
      <c r="AV869" s="458"/>
      <c r="BA869" s="1305"/>
    </row>
    <row r="870" spans="2:53" ht="15.75" customHeight="1">
      <c r="B870" s="175"/>
      <c r="C870" s="176"/>
      <c r="H870" s="178"/>
      <c r="I870" s="178"/>
      <c r="J870" s="184"/>
      <c r="N870" s="178"/>
      <c r="O870" s="178"/>
      <c r="P870" s="178"/>
      <c r="S870" s="458"/>
      <c r="AN870" s="458"/>
      <c r="AO870" s="458"/>
      <c r="AP870" s="458"/>
      <c r="AQ870" s="458"/>
      <c r="AR870" s="458"/>
      <c r="AS870" s="458"/>
      <c r="AT870" s="458"/>
      <c r="AU870" s="458"/>
      <c r="AV870" s="458"/>
      <c r="BA870" s="1305"/>
    </row>
    <row r="871" spans="2:53" ht="15.75" customHeight="1">
      <c r="B871" s="175"/>
      <c r="C871" s="176"/>
      <c r="H871" s="178"/>
      <c r="I871" s="178"/>
      <c r="J871" s="184"/>
      <c r="N871" s="178"/>
      <c r="O871" s="178"/>
      <c r="P871" s="178"/>
      <c r="S871" s="458"/>
      <c r="AN871" s="458"/>
      <c r="AO871" s="458"/>
      <c r="AP871" s="458"/>
      <c r="AQ871" s="458"/>
      <c r="AR871" s="458"/>
      <c r="AS871" s="458"/>
      <c r="AT871" s="458"/>
      <c r="AU871" s="458"/>
      <c r="AV871" s="458"/>
      <c r="BA871" s="1305"/>
    </row>
    <row r="872" spans="2:53" ht="15.75" customHeight="1">
      <c r="B872" s="175"/>
      <c r="C872" s="176"/>
      <c r="H872" s="178"/>
      <c r="I872" s="179"/>
      <c r="J872" s="184"/>
      <c r="N872" s="178"/>
      <c r="O872" s="178"/>
      <c r="P872" s="178"/>
      <c r="S872" s="458"/>
      <c r="AN872" s="458"/>
      <c r="AO872" s="458"/>
      <c r="AP872" s="458"/>
      <c r="AQ872" s="458"/>
      <c r="AR872" s="458"/>
      <c r="AS872" s="458"/>
      <c r="AT872" s="458"/>
      <c r="AU872" s="458"/>
      <c r="AV872" s="458"/>
      <c r="BA872" s="1305"/>
    </row>
    <row r="873" spans="2:53" ht="15.75" customHeight="1">
      <c r="B873" s="175"/>
      <c r="C873" s="176"/>
      <c r="H873" s="178"/>
      <c r="I873" s="178"/>
      <c r="J873" s="184"/>
      <c r="N873" s="178"/>
      <c r="O873" s="178"/>
      <c r="P873" s="178"/>
      <c r="S873" s="458"/>
      <c r="AN873" s="458"/>
      <c r="AO873" s="458"/>
      <c r="AP873" s="458"/>
      <c r="AQ873" s="458"/>
      <c r="AR873" s="458"/>
      <c r="AS873" s="458"/>
      <c r="AT873" s="458"/>
      <c r="AU873" s="458"/>
      <c r="AV873" s="458"/>
      <c r="BA873" s="1305"/>
    </row>
    <row r="874" spans="2:53" ht="15.75" customHeight="1">
      <c r="B874" s="175"/>
      <c r="C874" s="176"/>
      <c r="H874" s="178"/>
      <c r="I874" s="179"/>
      <c r="J874" s="184"/>
      <c r="N874" s="178"/>
      <c r="O874" s="178"/>
      <c r="P874" s="178"/>
      <c r="S874" s="458"/>
      <c r="AN874" s="458"/>
      <c r="AO874" s="458"/>
      <c r="AP874" s="458"/>
      <c r="AQ874" s="458"/>
      <c r="AR874" s="458"/>
      <c r="AS874" s="458"/>
      <c r="AT874" s="458"/>
      <c r="AU874" s="458"/>
      <c r="AV874" s="458"/>
      <c r="BA874" s="1305"/>
    </row>
    <row r="875" spans="2:53" ht="15.75" customHeight="1">
      <c r="B875" s="175"/>
      <c r="C875" s="176"/>
      <c r="H875" s="178"/>
      <c r="I875" s="178"/>
      <c r="J875" s="184"/>
      <c r="N875" s="178"/>
      <c r="O875" s="178"/>
      <c r="P875" s="178"/>
      <c r="S875" s="458"/>
      <c r="AN875" s="458"/>
      <c r="AO875" s="458"/>
      <c r="AP875" s="458"/>
      <c r="AQ875" s="458"/>
      <c r="AR875" s="458"/>
      <c r="AS875" s="458"/>
      <c r="AT875" s="458"/>
      <c r="AU875" s="458"/>
      <c r="AV875" s="458"/>
      <c r="BA875" s="1305"/>
    </row>
    <row r="876" spans="2:53" ht="15.75" customHeight="1">
      <c r="B876" s="175"/>
      <c r="C876" s="176"/>
      <c r="H876" s="178"/>
      <c r="I876" s="178"/>
      <c r="J876" s="184"/>
      <c r="N876" s="178"/>
      <c r="O876" s="178"/>
      <c r="P876" s="178"/>
      <c r="S876" s="458"/>
      <c r="AN876" s="458"/>
      <c r="AO876" s="458"/>
      <c r="AP876" s="458"/>
      <c r="AQ876" s="458"/>
      <c r="AR876" s="458"/>
      <c r="AS876" s="458"/>
      <c r="AT876" s="458"/>
      <c r="AU876" s="458"/>
      <c r="AV876" s="458"/>
      <c r="BA876" s="1305"/>
    </row>
    <row r="877" spans="2:53" ht="15.75" customHeight="1">
      <c r="B877" s="176"/>
      <c r="C877" s="176"/>
      <c r="H877" s="178"/>
      <c r="I877" s="179"/>
      <c r="N877" s="178"/>
      <c r="O877" s="178"/>
      <c r="P877" s="178"/>
      <c r="S877" s="458"/>
      <c r="AN877" s="458"/>
      <c r="AO877" s="458"/>
      <c r="AP877" s="458"/>
      <c r="AQ877" s="458"/>
      <c r="AR877" s="458"/>
      <c r="AS877" s="458"/>
      <c r="AT877" s="458"/>
      <c r="AU877" s="458"/>
      <c r="AV877" s="458"/>
      <c r="BA877" s="1305"/>
    </row>
    <row r="878" spans="2:53" ht="15.75" customHeight="1">
      <c r="B878" s="175"/>
      <c r="C878" s="176"/>
      <c r="H878" s="178"/>
      <c r="I878" s="179"/>
      <c r="N878" s="178"/>
      <c r="O878" s="178"/>
      <c r="P878" s="178"/>
      <c r="S878" s="458"/>
      <c r="AN878" s="458"/>
      <c r="AO878" s="458"/>
      <c r="AP878" s="458"/>
      <c r="AQ878" s="458"/>
      <c r="AR878" s="458"/>
      <c r="AS878" s="458"/>
      <c r="AT878" s="458"/>
      <c r="AU878" s="458"/>
      <c r="AV878" s="458"/>
      <c r="BA878" s="1305"/>
    </row>
    <row r="879" spans="2:53" ht="15.75" customHeight="1">
      <c r="B879" s="175"/>
      <c r="C879" s="176"/>
      <c r="H879" s="178"/>
      <c r="I879" s="178"/>
      <c r="J879" s="184"/>
      <c r="N879" s="178"/>
      <c r="O879" s="178"/>
      <c r="P879" s="178"/>
      <c r="S879" s="458"/>
      <c r="AN879" s="458"/>
      <c r="AO879" s="458"/>
      <c r="AP879" s="458"/>
      <c r="AQ879" s="458"/>
      <c r="AR879" s="458"/>
      <c r="AS879" s="458"/>
      <c r="AT879" s="458"/>
      <c r="AU879" s="458"/>
      <c r="AV879" s="458"/>
      <c r="BA879" s="1305"/>
    </row>
    <row r="880" spans="2:53" ht="15.75" customHeight="1">
      <c r="B880" s="175"/>
      <c r="C880" s="176"/>
      <c r="H880" s="178"/>
      <c r="I880" s="178"/>
      <c r="J880" s="184"/>
      <c r="N880" s="178"/>
      <c r="O880" s="178"/>
      <c r="P880" s="178"/>
      <c r="S880" s="458"/>
      <c r="AN880" s="458"/>
      <c r="AO880" s="458"/>
      <c r="AP880" s="458"/>
      <c r="AQ880" s="458"/>
      <c r="AR880" s="458"/>
      <c r="AS880" s="458"/>
      <c r="AT880" s="458"/>
      <c r="AU880" s="458"/>
      <c r="AV880" s="458"/>
      <c r="BA880" s="1305"/>
    </row>
    <row r="881" spans="2:53" ht="15.75" customHeight="1">
      <c r="B881" s="175"/>
      <c r="C881" s="176"/>
      <c r="H881" s="178"/>
      <c r="I881" s="178"/>
      <c r="J881" s="184"/>
      <c r="N881" s="178"/>
      <c r="O881" s="178"/>
      <c r="P881" s="178"/>
      <c r="S881" s="458"/>
      <c r="AN881" s="458"/>
      <c r="AO881" s="458"/>
      <c r="AP881" s="458"/>
      <c r="AQ881" s="458"/>
      <c r="AR881" s="458"/>
      <c r="AS881" s="458"/>
      <c r="AT881" s="458"/>
      <c r="AU881" s="458"/>
      <c r="AV881" s="458"/>
      <c r="BA881" s="1305"/>
    </row>
    <row r="882" spans="2:53" ht="15.75" customHeight="1">
      <c r="B882" s="175"/>
      <c r="C882" s="176"/>
      <c r="H882" s="178"/>
      <c r="I882" s="178"/>
      <c r="J882" s="184"/>
      <c r="N882" s="178"/>
      <c r="O882" s="178"/>
      <c r="P882" s="178"/>
      <c r="S882" s="458"/>
      <c r="AN882" s="458"/>
      <c r="AO882" s="458"/>
      <c r="AP882" s="458"/>
      <c r="AQ882" s="458"/>
      <c r="AR882" s="458"/>
      <c r="AS882" s="458"/>
      <c r="AT882" s="458"/>
      <c r="AU882" s="458"/>
      <c r="AV882" s="458"/>
      <c r="BA882" s="1305"/>
    </row>
    <row r="883" spans="2:53" ht="15.75" customHeight="1">
      <c r="B883" s="175"/>
      <c r="C883" s="176"/>
      <c r="H883" s="178"/>
      <c r="I883" s="178"/>
      <c r="J883" s="184"/>
      <c r="N883" s="178"/>
      <c r="O883" s="178"/>
      <c r="P883" s="178"/>
      <c r="S883" s="458"/>
      <c r="AN883" s="458"/>
      <c r="AO883" s="458"/>
      <c r="AP883" s="458"/>
      <c r="AQ883" s="458"/>
      <c r="AR883" s="458"/>
      <c r="AS883" s="458"/>
      <c r="AT883" s="458"/>
      <c r="AU883" s="458"/>
      <c r="AV883" s="458"/>
      <c r="BA883" s="1305"/>
    </row>
    <row r="884" spans="2:53" ht="15.75" customHeight="1">
      <c r="B884" s="175"/>
      <c r="C884" s="176"/>
      <c r="H884" s="178"/>
      <c r="I884" s="178"/>
      <c r="J884" s="184"/>
      <c r="N884" s="178"/>
      <c r="O884" s="178"/>
      <c r="P884" s="178"/>
      <c r="S884" s="458"/>
      <c r="AN884" s="458"/>
      <c r="AO884" s="458"/>
      <c r="AP884" s="458"/>
      <c r="AQ884" s="458"/>
      <c r="AR884" s="458"/>
      <c r="AS884" s="458"/>
      <c r="AT884" s="458"/>
      <c r="AU884" s="458"/>
      <c r="AV884" s="458"/>
      <c r="BA884" s="1305"/>
    </row>
    <row r="885" spans="2:53" ht="15.75" customHeight="1">
      <c r="B885" s="175"/>
      <c r="C885" s="176"/>
      <c r="H885" s="178"/>
      <c r="I885" s="179"/>
      <c r="J885" s="184"/>
      <c r="N885" s="178"/>
      <c r="O885" s="178"/>
      <c r="P885" s="178"/>
      <c r="S885" s="458"/>
      <c r="AN885" s="458"/>
      <c r="AO885" s="458"/>
      <c r="AP885" s="458"/>
      <c r="AQ885" s="458"/>
      <c r="AR885" s="458"/>
      <c r="AS885" s="458"/>
      <c r="AT885" s="458"/>
      <c r="AU885" s="458"/>
      <c r="AV885" s="458"/>
      <c r="BA885" s="1305"/>
    </row>
    <row r="886" spans="2:53" ht="15.75" customHeight="1">
      <c r="B886" s="175"/>
      <c r="C886" s="176"/>
      <c r="H886" s="178"/>
      <c r="I886" s="178"/>
      <c r="J886" s="184"/>
      <c r="N886" s="178"/>
      <c r="O886" s="178"/>
      <c r="P886" s="178"/>
      <c r="S886" s="458"/>
      <c r="AN886" s="458"/>
      <c r="AO886" s="458"/>
      <c r="AP886" s="458"/>
      <c r="AQ886" s="458"/>
      <c r="AR886" s="458"/>
      <c r="AS886" s="458"/>
      <c r="AT886" s="458"/>
      <c r="AU886" s="458"/>
      <c r="AV886" s="458"/>
      <c r="BA886" s="1305"/>
    </row>
    <row r="887" spans="2:53" ht="15.75" customHeight="1">
      <c r="B887" s="175"/>
      <c r="C887" s="176"/>
      <c r="H887" s="178"/>
      <c r="I887" s="179"/>
      <c r="J887" s="184"/>
      <c r="N887" s="178"/>
      <c r="O887" s="178"/>
      <c r="P887" s="178"/>
      <c r="S887" s="458"/>
      <c r="AN887" s="458"/>
      <c r="AO887" s="458"/>
      <c r="AP887" s="458"/>
      <c r="AQ887" s="458"/>
      <c r="AR887" s="458"/>
      <c r="AS887" s="458"/>
      <c r="AT887" s="458"/>
      <c r="AU887" s="458"/>
      <c r="AV887" s="458"/>
      <c r="BA887" s="1305"/>
    </row>
    <row r="888" spans="2:53" ht="15.75" customHeight="1">
      <c r="B888" s="175"/>
      <c r="C888" s="176"/>
      <c r="H888" s="178"/>
      <c r="I888" s="178"/>
      <c r="J888" s="184"/>
      <c r="N888" s="178"/>
      <c r="O888" s="178"/>
      <c r="P888" s="178"/>
      <c r="S888" s="458"/>
      <c r="AN888" s="458"/>
      <c r="AO888" s="458"/>
      <c r="AP888" s="458"/>
      <c r="AQ888" s="458"/>
      <c r="AR888" s="458"/>
      <c r="AS888" s="458"/>
      <c r="AT888" s="458"/>
      <c r="AU888" s="458"/>
      <c r="AV888" s="458"/>
      <c r="BA888" s="1305"/>
    </row>
    <row r="889" spans="2:53" ht="15.75" customHeight="1">
      <c r="B889" s="176"/>
      <c r="C889" s="176"/>
      <c r="H889" s="178"/>
      <c r="I889" s="178"/>
      <c r="J889" s="184"/>
      <c r="N889" s="178"/>
      <c r="O889" s="178"/>
      <c r="P889" s="178"/>
      <c r="S889" s="458"/>
      <c r="AN889" s="458"/>
      <c r="AO889" s="458"/>
      <c r="AP889" s="458"/>
      <c r="AQ889" s="458"/>
      <c r="AR889" s="458"/>
      <c r="AS889" s="458"/>
      <c r="AT889" s="458"/>
      <c r="AU889" s="458"/>
      <c r="AV889" s="458"/>
      <c r="BA889" s="1305"/>
    </row>
    <row r="890" spans="2:53" ht="15.75" customHeight="1">
      <c r="B890" s="176"/>
      <c r="C890" s="176"/>
      <c r="H890" s="178"/>
      <c r="I890" s="178"/>
      <c r="J890" s="184"/>
      <c r="N890" s="178"/>
      <c r="O890" s="178"/>
      <c r="P890" s="178"/>
      <c r="S890" s="458"/>
      <c r="AN890" s="458"/>
      <c r="AO890" s="458"/>
      <c r="AP890" s="458"/>
      <c r="AQ890" s="458"/>
      <c r="AR890" s="458"/>
      <c r="AS890" s="458"/>
      <c r="AT890" s="458"/>
      <c r="AU890" s="458"/>
      <c r="AV890" s="458"/>
      <c r="BA890" s="1305"/>
    </row>
    <row r="891" spans="2:53" ht="15.75" customHeight="1">
      <c r="B891" s="176"/>
      <c r="C891" s="176"/>
      <c r="H891" s="178"/>
      <c r="I891" s="178"/>
      <c r="J891" s="184"/>
      <c r="N891" s="178"/>
      <c r="O891" s="178"/>
      <c r="P891" s="178"/>
      <c r="S891" s="458"/>
      <c r="AN891" s="458"/>
      <c r="AO891" s="458"/>
      <c r="AP891" s="458"/>
      <c r="AQ891" s="458"/>
      <c r="AR891" s="458"/>
      <c r="AS891" s="458"/>
      <c r="AT891" s="458"/>
      <c r="AU891" s="458"/>
      <c r="AV891" s="458"/>
      <c r="BA891" s="1305"/>
    </row>
    <row r="892" spans="2:53" ht="15.75" customHeight="1">
      <c r="B892" s="176"/>
      <c r="C892" s="176"/>
      <c r="H892" s="178"/>
      <c r="I892" s="178"/>
      <c r="J892" s="184"/>
      <c r="N892" s="178"/>
      <c r="O892" s="178"/>
      <c r="P892" s="178"/>
      <c r="S892" s="458"/>
      <c r="AN892" s="458"/>
      <c r="AO892" s="458"/>
      <c r="AP892" s="458"/>
      <c r="AQ892" s="458"/>
      <c r="AR892" s="458"/>
      <c r="AS892" s="458"/>
      <c r="AT892" s="458"/>
      <c r="AU892" s="458"/>
      <c r="AV892" s="458"/>
      <c r="BA892" s="1305"/>
    </row>
    <row r="893" spans="2:53" ht="15.75" customHeight="1">
      <c r="B893" s="176"/>
      <c r="C893" s="176"/>
      <c r="H893" s="178"/>
      <c r="I893" s="178"/>
      <c r="J893" s="184"/>
      <c r="N893" s="178"/>
      <c r="O893" s="178"/>
      <c r="P893" s="178"/>
      <c r="S893" s="458"/>
      <c r="AN893" s="458"/>
      <c r="AO893" s="458"/>
      <c r="AP893" s="458"/>
      <c r="AQ893" s="458"/>
      <c r="AR893" s="458"/>
      <c r="AS893" s="458"/>
      <c r="AT893" s="458"/>
      <c r="AU893" s="458"/>
      <c r="AV893" s="458"/>
      <c r="BA893" s="1305"/>
    </row>
    <row r="894" spans="2:53" ht="15.75" customHeight="1">
      <c r="B894" s="176"/>
      <c r="C894" s="176"/>
      <c r="H894" s="178"/>
      <c r="I894" s="178"/>
      <c r="J894" s="184"/>
      <c r="N894" s="178"/>
      <c r="O894" s="178"/>
      <c r="P894" s="178"/>
      <c r="S894" s="458"/>
      <c r="AN894" s="458"/>
      <c r="AO894" s="458"/>
      <c r="AP894" s="458"/>
      <c r="AQ894" s="458"/>
      <c r="AR894" s="458"/>
      <c r="AS894" s="458"/>
      <c r="AT894" s="458"/>
      <c r="AU894" s="458"/>
      <c r="AV894" s="458"/>
      <c r="BA894" s="1305"/>
    </row>
    <row r="895" spans="2:53" ht="15.75" customHeight="1">
      <c r="B895" s="176"/>
      <c r="C895" s="176"/>
      <c r="H895" s="178"/>
      <c r="I895" s="178"/>
      <c r="J895" s="184"/>
      <c r="N895" s="178"/>
      <c r="O895" s="178"/>
      <c r="P895" s="178"/>
      <c r="S895" s="458"/>
      <c r="AN895" s="458"/>
      <c r="AO895" s="458"/>
      <c r="AP895" s="458"/>
      <c r="AQ895" s="458"/>
      <c r="AR895" s="458"/>
      <c r="AS895" s="458"/>
      <c r="AT895" s="458"/>
      <c r="AU895" s="458"/>
      <c r="AV895" s="458"/>
      <c r="BA895" s="1305"/>
    </row>
    <row r="896" spans="2:53" ht="15.75" customHeight="1">
      <c r="B896" s="176"/>
      <c r="C896" s="176"/>
      <c r="H896" s="178"/>
      <c r="I896" s="178"/>
      <c r="J896" s="184"/>
      <c r="N896" s="178"/>
      <c r="O896" s="178"/>
      <c r="P896" s="178"/>
      <c r="S896" s="458"/>
      <c r="AN896" s="458"/>
      <c r="AO896" s="458"/>
      <c r="AP896" s="458"/>
      <c r="AQ896" s="458"/>
      <c r="AR896" s="458"/>
      <c r="AS896" s="458"/>
      <c r="AT896" s="458"/>
      <c r="AU896" s="458"/>
      <c r="AV896" s="458"/>
      <c r="BA896" s="1305"/>
    </row>
    <row r="897" spans="2:53" ht="15.75" customHeight="1">
      <c r="B897" s="176"/>
      <c r="C897" s="176"/>
      <c r="H897" s="178"/>
      <c r="I897" s="178"/>
      <c r="J897" s="184"/>
      <c r="N897" s="178"/>
      <c r="O897" s="178"/>
      <c r="P897" s="178"/>
      <c r="S897" s="458"/>
      <c r="AN897" s="458"/>
      <c r="AO897" s="458"/>
      <c r="AP897" s="458"/>
      <c r="AQ897" s="458"/>
      <c r="AR897" s="458"/>
      <c r="AS897" s="458"/>
      <c r="AT897" s="458"/>
      <c r="AU897" s="458"/>
      <c r="AV897" s="458"/>
      <c r="BA897" s="1305"/>
    </row>
    <row r="898" spans="2:53" ht="15.75" customHeight="1">
      <c r="B898" s="176"/>
      <c r="C898" s="176"/>
      <c r="H898" s="178"/>
      <c r="I898" s="179"/>
      <c r="J898" s="184"/>
      <c r="N898" s="178"/>
      <c r="O898" s="178"/>
      <c r="P898" s="178"/>
      <c r="S898" s="458"/>
      <c r="AN898" s="458"/>
      <c r="AO898" s="458"/>
      <c r="AP898" s="458"/>
      <c r="AQ898" s="458"/>
      <c r="AR898" s="458"/>
      <c r="AS898" s="458"/>
      <c r="AT898" s="458"/>
      <c r="AU898" s="458"/>
      <c r="AV898" s="458"/>
      <c r="BA898" s="1305"/>
    </row>
    <row r="899" spans="2:53" ht="15.75" customHeight="1">
      <c r="B899" s="176"/>
      <c r="C899" s="176"/>
      <c r="H899" s="178"/>
      <c r="I899" s="178"/>
      <c r="J899" s="184"/>
      <c r="N899" s="178"/>
      <c r="O899" s="178"/>
      <c r="P899" s="178"/>
      <c r="S899" s="458"/>
      <c r="AN899" s="458"/>
      <c r="AO899" s="458"/>
      <c r="AP899" s="458"/>
      <c r="AQ899" s="458"/>
      <c r="AR899" s="458"/>
      <c r="AS899" s="458"/>
      <c r="AT899" s="458"/>
      <c r="AU899" s="458"/>
      <c r="AV899" s="458"/>
      <c r="BA899" s="1305"/>
    </row>
    <row r="900" spans="2:53" ht="15.75" customHeight="1">
      <c r="B900" s="176"/>
      <c r="C900" s="176"/>
      <c r="H900" s="178"/>
      <c r="I900" s="179"/>
      <c r="J900" s="184"/>
      <c r="N900" s="178"/>
      <c r="O900" s="178"/>
      <c r="P900" s="178"/>
      <c r="S900" s="458"/>
      <c r="AN900" s="458"/>
      <c r="AO900" s="458"/>
      <c r="AP900" s="458"/>
      <c r="AQ900" s="458"/>
      <c r="AR900" s="458"/>
      <c r="AS900" s="458"/>
      <c r="AT900" s="458"/>
      <c r="AU900" s="458"/>
      <c r="AV900" s="458"/>
      <c r="BA900" s="1305"/>
    </row>
    <row r="901" spans="2:53" ht="15.75" customHeight="1">
      <c r="B901" s="176"/>
      <c r="C901" s="176"/>
      <c r="H901" s="178"/>
      <c r="I901" s="178"/>
      <c r="J901" s="184"/>
      <c r="N901" s="178"/>
      <c r="O901" s="178"/>
      <c r="P901" s="178"/>
      <c r="S901" s="458"/>
      <c r="AN901" s="458"/>
      <c r="AO901" s="458"/>
      <c r="AP901" s="458"/>
      <c r="AQ901" s="458"/>
      <c r="AR901" s="458"/>
      <c r="AS901" s="458"/>
      <c r="AT901" s="458"/>
      <c r="AU901" s="458"/>
      <c r="AV901" s="458"/>
      <c r="BA901" s="1305"/>
    </row>
    <row r="902" spans="2:53" ht="15.75" customHeight="1">
      <c r="B902" s="176"/>
      <c r="C902" s="176"/>
      <c r="H902" s="178"/>
      <c r="I902" s="179"/>
      <c r="J902" s="184"/>
      <c r="N902" s="178"/>
      <c r="O902" s="178"/>
      <c r="P902" s="178"/>
      <c r="S902" s="458"/>
      <c r="AN902" s="458"/>
      <c r="AO902" s="458"/>
      <c r="AP902" s="458"/>
      <c r="AQ902" s="458"/>
      <c r="AR902" s="458"/>
      <c r="AS902" s="458"/>
      <c r="AT902" s="458"/>
      <c r="AU902" s="458"/>
      <c r="AV902" s="458"/>
      <c r="BA902" s="1305"/>
    </row>
    <row r="903" spans="2:53" ht="15.75" customHeight="1">
      <c r="B903" s="176"/>
      <c r="C903" s="176"/>
      <c r="H903" s="178"/>
      <c r="I903" s="178"/>
      <c r="J903" s="184"/>
      <c r="N903" s="178"/>
      <c r="O903" s="178"/>
      <c r="P903" s="178"/>
      <c r="S903" s="458"/>
      <c r="AN903" s="458"/>
      <c r="AO903" s="458"/>
      <c r="AP903" s="458"/>
      <c r="AQ903" s="458"/>
      <c r="AR903" s="458"/>
      <c r="AS903" s="458"/>
      <c r="AT903" s="458"/>
      <c r="AU903" s="458"/>
      <c r="AV903" s="458"/>
      <c r="BA903" s="1305"/>
    </row>
    <row r="904" spans="2:53" ht="15.75" customHeight="1">
      <c r="B904" s="176"/>
      <c r="C904" s="176"/>
      <c r="H904" s="178"/>
      <c r="I904" s="179"/>
      <c r="J904" s="184"/>
      <c r="N904" s="178"/>
      <c r="O904" s="178"/>
      <c r="P904" s="178"/>
      <c r="S904" s="458"/>
      <c r="AN904" s="458"/>
      <c r="AO904" s="458"/>
      <c r="AP904" s="458"/>
      <c r="AQ904" s="458"/>
      <c r="AR904" s="458"/>
      <c r="AS904" s="458"/>
      <c r="AT904" s="458"/>
      <c r="AU904" s="458"/>
      <c r="AV904" s="458"/>
      <c r="BA904" s="1305"/>
    </row>
    <row r="905" spans="2:53" ht="15.75" customHeight="1">
      <c r="B905" s="176"/>
      <c r="C905" s="176"/>
      <c r="H905" s="178"/>
      <c r="I905" s="178"/>
      <c r="J905" s="184"/>
      <c r="N905" s="178"/>
      <c r="O905" s="178"/>
      <c r="P905" s="178"/>
      <c r="S905" s="458"/>
      <c r="AN905" s="458"/>
      <c r="AO905" s="458"/>
      <c r="AP905" s="458"/>
      <c r="AQ905" s="458"/>
      <c r="AR905" s="458"/>
      <c r="AS905" s="458"/>
      <c r="AT905" s="458"/>
      <c r="AU905" s="458"/>
      <c r="AV905" s="458"/>
      <c r="BA905" s="1305"/>
    </row>
    <row r="906" spans="2:53" ht="15.75" customHeight="1">
      <c r="B906" s="176"/>
      <c r="C906" s="176"/>
      <c r="H906" s="178"/>
      <c r="I906" s="179"/>
      <c r="J906" s="184"/>
      <c r="N906" s="178"/>
      <c r="O906" s="178"/>
      <c r="P906" s="178"/>
      <c r="S906" s="458"/>
      <c r="AN906" s="458"/>
      <c r="AO906" s="458"/>
      <c r="AP906" s="458"/>
      <c r="AQ906" s="458"/>
      <c r="AR906" s="458"/>
      <c r="AS906" s="458"/>
      <c r="AT906" s="458"/>
      <c r="AU906" s="458"/>
      <c r="AV906" s="458"/>
      <c r="BA906" s="1305"/>
    </row>
    <row r="907" spans="2:53" ht="15.75" customHeight="1">
      <c r="B907" s="176"/>
      <c r="C907" s="176"/>
      <c r="H907" s="178"/>
      <c r="I907" s="178"/>
      <c r="J907" s="184"/>
      <c r="N907" s="178"/>
      <c r="O907" s="178"/>
      <c r="P907" s="178"/>
      <c r="S907" s="458"/>
      <c r="AN907" s="458"/>
      <c r="AO907" s="458"/>
      <c r="AP907" s="458"/>
      <c r="AQ907" s="458"/>
      <c r="AR907" s="458"/>
      <c r="AS907" s="458"/>
      <c r="AT907" s="458"/>
      <c r="AU907" s="458"/>
      <c r="AV907" s="458"/>
      <c r="BA907" s="1305"/>
    </row>
    <row r="908" spans="2:53" ht="15.75" customHeight="1">
      <c r="B908" s="176"/>
      <c r="C908" s="176"/>
      <c r="H908" s="178"/>
      <c r="I908" s="179"/>
      <c r="J908" s="184"/>
      <c r="N908" s="178"/>
      <c r="O908" s="178"/>
      <c r="P908" s="178"/>
      <c r="S908" s="458"/>
      <c r="AN908" s="458"/>
      <c r="AO908" s="458"/>
      <c r="AP908" s="458"/>
      <c r="AQ908" s="458"/>
      <c r="AR908" s="458"/>
      <c r="AS908" s="458"/>
      <c r="AT908" s="458"/>
      <c r="AU908" s="458"/>
      <c r="AV908" s="458"/>
      <c r="BA908" s="1305"/>
    </row>
    <row r="909" spans="2:53" ht="15.75" customHeight="1">
      <c r="B909" s="176"/>
      <c r="C909" s="176"/>
      <c r="H909" s="178"/>
      <c r="I909" s="178"/>
      <c r="J909" s="184"/>
      <c r="N909" s="178"/>
      <c r="O909" s="178"/>
      <c r="P909" s="178"/>
      <c r="S909" s="458"/>
      <c r="AN909" s="458"/>
      <c r="AO909" s="458"/>
      <c r="AP909" s="458"/>
      <c r="AQ909" s="458"/>
      <c r="AR909" s="458"/>
      <c r="AS909" s="458"/>
      <c r="AT909" s="458"/>
      <c r="AU909" s="458"/>
      <c r="AV909" s="458"/>
      <c r="BA909" s="1305"/>
    </row>
    <row r="910" spans="2:53" ht="15.75" customHeight="1">
      <c r="B910" s="176"/>
      <c r="C910" s="176"/>
      <c r="H910" s="178"/>
      <c r="I910" s="178"/>
      <c r="J910" s="184"/>
      <c r="N910" s="178"/>
      <c r="O910" s="178"/>
      <c r="P910" s="178"/>
      <c r="S910" s="458"/>
      <c r="AN910" s="458"/>
      <c r="AO910" s="458"/>
      <c r="AP910" s="458"/>
      <c r="AQ910" s="458"/>
      <c r="AR910" s="458"/>
      <c r="AS910" s="458"/>
      <c r="AT910" s="458"/>
      <c r="AU910" s="458"/>
      <c r="AV910" s="458"/>
      <c r="BA910" s="1305"/>
    </row>
    <row r="911" spans="2:53" ht="15.75" customHeight="1">
      <c r="B911" s="176"/>
      <c r="C911" s="176"/>
      <c r="H911" s="178"/>
      <c r="I911" s="178"/>
      <c r="J911" s="184"/>
      <c r="N911" s="178"/>
      <c r="O911" s="178"/>
      <c r="P911" s="178"/>
      <c r="S911" s="458"/>
      <c r="AN911" s="458"/>
      <c r="AO911" s="458"/>
      <c r="AP911" s="458"/>
      <c r="AQ911" s="458"/>
      <c r="AR911" s="458"/>
      <c r="AS911" s="458"/>
      <c r="AT911" s="458"/>
      <c r="AU911" s="458"/>
      <c r="AV911" s="458"/>
      <c r="BA911" s="1305"/>
    </row>
    <row r="912" spans="2:53" ht="15.75" customHeight="1">
      <c r="B912" s="176"/>
      <c r="C912" s="176"/>
      <c r="H912" s="178"/>
      <c r="I912" s="178"/>
      <c r="J912" s="184"/>
      <c r="N912" s="178"/>
      <c r="O912" s="178"/>
      <c r="P912" s="178"/>
      <c r="S912" s="458"/>
      <c r="AN912" s="458"/>
      <c r="AO912" s="458"/>
      <c r="AP912" s="458"/>
      <c r="AQ912" s="458"/>
      <c r="AR912" s="458"/>
      <c r="AS912" s="458"/>
      <c r="AT912" s="458"/>
      <c r="AU912" s="458"/>
      <c r="AV912" s="458"/>
      <c r="BA912" s="1305"/>
    </row>
    <row r="913" spans="2:53" ht="15.75" customHeight="1">
      <c r="B913" s="176"/>
      <c r="C913" s="176"/>
      <c r="H913" s="178"/>
      <c r="I913" s="178"/>
      <c r="J913" s="184"/>
      <c r="N913" s="178"/>
      <c r="O913" s="178"/>
      <c r="P913" s="178"/>
      <c r="S913" s="458"/>
      <c r="AN913" s="458"/>
      <c r="AO913" s="458"/>
      <c r="AP913" s="458"/>
      <c r="AQ913" s="458"/>
      <c r="AR913" s="458"/>
      <c r="AS913" s="458"/>
      <c r="AT913" s="458"/>
      <c r="AU913" s="458"/>
      <c r="AV913" s="458"/>
      <c r="BA913" s="1305"/>
    </row>
    <row r="914" spans="2:53" ht="15.75" customHeight="1">
      <c r="B914" s="176"/>
      <c r="C914" s="176"/>
      <c r="H914" s="178"/>
      <c r="I914" s="178"/>
      <c r="J914" s="184"/>
      <c r="N914" s="178"/>
      <c r="O914" s="178"/>
      <c r="P914" s="178"/>
      <c r="S914" s="458"/>
      <c r="AN914" s="458"/>
      <c r="AO914" s="458"/>
      <c r="AP914" s="458"/>
      <c r="AQ914" s="458"/>
      <c r="AR914" s="458"/>
      <c r="AS914" s="458"/>
      <c r="AT914" s="458"/>
      <c r="AU914" s="458"/>
      <c r="AV914" s="458"/>
      <c r="BA914" s="1305"/>
    </row>
    <row r="915" spans="2:53" ht="15.75" customHeight="1">
      <c r="B915" s="176"/>
      <c r="C915" s="176"/>
      <c r="H915" s="178"/>
      <c r="I915" s="178"/>
      <c r="J915" s="184"/>
      <c r="N915" s="178"/>
      <c r="O915" s="178"/>
      <c r="P915" s="178"/>
      <c r="S915" s="458"/>
      <c r="AN915" s="458"/>
      <c r="AO915" s="458"/>
      <c r="AP915" s="458"/>
      <c r="AQ915" s="458"/>
      <c r="AR915" s="458"/>
      <c r="AS915" s="458"/>
      <c r="AT915" s="458"/>
      <c r="AU915" s="458"/>
      <c r="AV915" s="458"/>
      <c r="BA915" s="1305"/>
    </row>
    <row r="916" spans="2:53" ht="15.75" customHeight="1">
      <c r="B916" s="176"/>
      <c r="C916" s="176"/>
      <c r="H916" s="178"/>
      <c r="I916" s="178"/>
      <c r="J916" s="184"/>
      <c r="N916" s="178"/>
      <c r="O916" s="178"/>
      <c r="P916" s="178"/>
      <c r="S916" s="458"/>
      <c r="AN916" s="458"/>
      <c r="AO916" s="458"/>
      <c r="AP916" s="458"/>
      <c r="AQ916" s="458"/>
      <c r="AR916" s="458"/>
      <c r="AS916" s="458"/>
      <c r="AT916" s="458"/>
      <c r="AU916" s="458"/>
      <c r="AV916" s="458"/>
      <c r="BA916" s="1305"/>
    </row>
    <row r="917" spans="2:53" ht="15.75" customHeight="1">
      <c r="B917" s="176"/>
      <c r="C917" s="176"/>
      <c r="H917" s="178"/>
      <c r="I917" s="178"/>
      <c r="J917" s="184"/>
      <c r="N917" s="178"/>
      <c r="O917" s="178"/>
      <c r="P917" s="178"/>
      <c r="S917" s="458"/>
      <c r="AN917" s="458"/>
      <c r="AO917" s="458"/>
      <c r="AP917" s="458"/>
      <c r="AQ917" s="458"/>
      <c r="AR917" s="458"/>
      <c r="AS917" s="458"/>
      <c r="AT917" s="458"/>
      <c r="AU917" s="458"/>
      <c r="AV917" s="458"/>
      <c r="BA917" s="1305"/>
    </row>
    <row r="918" spans="2:53" ht="15.75" customHeight="1">
      <c r="B918" s="176"/>
      <c r="C918" s="176"/>
      <c r="H918" s="178"/>
      <c r="I918" s="178"/>
      <c r="J918" s="184"/>
      <c r="N918" s="178"/>
      <c r="O918" s="178"/>
      <c r="P918" s="178"/>
      <c r="S918" s="458"/>
      <c r="AN918" s="458"/>
      <c r="AO918" s="458"/>
      <c r="AP918" s="458"/>
      <c r="AQ918" s="458"/>
      <c r="AR918" s="458"/>
      <c r="AS918" s="458"/>
      <c r="AT918" s="458"/>
      <c r="AU918" s="458"/>
      <c r="AV918" s="458"/>
      <c r="BA918" s="1305"/>
    </row>
    <row r="919" spans="2:53" ht="15.75" customHeight="1">
      <c r="B919" s="176"/>
      <c r="C919" s="176"/>
      <c r="H919" s="178"/>
      <c r="I919" s="178"/>
      <c r="J919" s="184"/>
      <c r="N919" s="178"/>
      <c r="O919" s="178"/>
      <c r="P919" s="178"/>
      <c r="S919" s="458"/>
      <c r="AN919" s="458"/>
      <c r="AO919" s="458"/>
      <c r="AP919" s="458"/>
      <c r="AQ919" s="458"/>
      <c r="AR919" s="458"/>
      <c r="AS919" s="458"/>
      <c r="AT919" s="458"/>
      <c r="AU919" s="458"/>
      <c r="AV919" s="458"/>
      <c r="BA919" s="1305"/>
    </row>
    <row r="920" spans="2:53" ht="15.75" customHeight="1">
      <c r="B920" s="176"/>
      <c r="C920" s="176"/>
      <c r="H920" s="178"/>
      <c r="I920" s="178"/>
      <c r="J920" s="184"/>
      <c r="N920" s="178"/>
      <c r="O920" s="178"/>
      <c r="P920" s="178"/>
      <c r="S920" s="458"/>
      <c r="AN920" s="458"/>
      <c r="AO920" s="458"/>
      <c r="AP920" s="458"/>
      <c r="AQ920" s="458"/>
      <c r="AR920" s="458"/>
      <c r="AS920" s="458"/>
      <c r="AT920" s="458"/>
      <c r="AU920" s="458"/>
      <c r="AV920" s="458"/>
      <c r="BA920" s="1305"/>
    </row>
    <row r="921" spans="2:53" ht="15.75" customHeight="1">
      <c r="B921" s="176"/>
      <c r="C921" s="176"/>
      <c r="H921" s="178"/>
      <c r="I921" s="178"/>
      <c r="J921" s="184"/>
      <c r="N921" s="178"/>
      <c r="O921" s="178"/>
      <c r="P921" s="178"/>
      <c r="S921" s="458"/>
      <c r="AN921" s="458"/>
      <c r="AO921" s="458"/>
      <c r="AP921" s="458"/>
      <c r="AQ921" s="458"/>
      <c r="AR921" s="458"/>
      <c r="AS921" s="458"/>
      <c r="AT921" s="458"/>
      <c r="AU921" s="458"/>
      <c r="AV921" s="458"/>
      <c r="BA921" s="1305"/>
    </row>
    <row r="922" spans="2:53" ht="15.75" customHeight="1">
      <c r="B922" s="175"/>
      <c r="C922" s="176"/>
      <c r="H922" s="178"/>
      <c r="I922" s="178"/>
      <c r="J922" s="184"/>
      <c r="N922" s="178"/>
      <c r="O922" s="178"/>
      <c r="P922" s="178"/>
      <c r="S922" s="458"/>
      <c r="AN922" s="458"/>
      <c r="AO922" s="458"/>
      <c r="AP922" s="458"/>
      <c r="AQ922" s="458"/>
      <c r="AR922" s="458"/>
      <c r="AS922" s="458"/>
      <c r="AT922" s="458"/>
      <c r="AU922" s="458"/>
      <c r="AV922" s="458"/>
      <c r="BA922" s="1305"/>
    </row>
    <row r="923" spans="2:53" ht="15.75" customHeight="1">
      <c r="B923" s="175"/>
      <c r="C923" s="176"/>
      <c r="H923" s="178"/>
      <c r="I923" s="179"/>
      <c r="J923" s="184"/>
      <c r="N923" s="178"/>
      <c r="O923" s="178"/>
      <c r="P923" s="178"/>
      <c r="S923" s="458"/>
      <c r="AN923" s="458"/>
      <c r="AO923" s="458"/>
      <c r="AP923" s="458"/>
      <c r="AQ923" s="458"/>
      <c r="AR923" s="458"/>
      <c r="AS923" s="458"/>
      <c r="AT923" s="458"/>
      <c r="AU923" s="458"/>
      <c r="AV923" s="458"/>
      <c r="BA923" s="1305"/>
    </row>
    <row r="924" spans="2:53" ht="15.75" customHeight="1">
      <c r="B924" s="175"/>
      <c r="C924" s="176"/>
      <c r="H924" s="178"/>
      <c r="I924" s="179"/>
      <c r="J924" s="184"/>
      <c r="N924" s="178"/>
      <c r="O924" s="178"/>
      <c r="P924" s="178"/>
      <c r="S924" s="458"/>
      <c r="AN924" s="458"/>
      <c r="AO924" s="458"/>
      <c r="AP924" s="458"/>
      <c r="AQ924" s="458"/>
      <c r="AR924" s="458"/>
      <c r="AS924" s="458"/>
      <c r="AT924" s="458"/>
      <c r="AU924" s="458"/>
      <c r="AV924" s="458"/>
      <c r="BA924" s="1305"/>
    </row>
    <row r="925" spans="2:53" ht="15.75" customHeight="1">
      <c r="B925" s="175"/>
      <c r="C925" s="176"/>
      <c r="H925" s="178"/>
      <c r="I925" s="179"/>
      <c r="J925" s="184"/>
      <c r="N925" s="178"/>
      <c r="O925" s="178"/>
      <c r="P925" s="178"/>
      <c r="S925" s="458"/>
      <c r="AN925" s="458"/>
      <c r="AO925" s="458"/>
      <c r="AP925" s="458"/>
      <c r="AQ925" s="458"/>
      <c r="AR925" s="458"/>
      <c r="AS925" s="458"/>
      <c r="AT925" s="458"/>
      <c r="AU925" s="458"/>
      <c r="AV925" s="458"/>
      <c r="BA925" s="1305"/>
    </row>
    <row r="926" spans="2:53" ht="15.75" customHeight="1">
      <c r="B926" s="176"/>
      <c r="C926" s="176"/>
      <c r="H926" s="178"/>
      <c r="I926" s="178"/>
      <c r="J926" s="184"/>
      <c r="N926" s="178"/>
      <c r="O926" s="178"/>
      <c r="P926" s="178"/>
      <c r="S926" s="458"/>
      <c r="AN926" s="458"/>
      <c r="AO926" s="458"/>
      <c r="AP926" s="458"/>
      <c r="AQ926" s="458"/>
      <c r="AR926" s="458"/>
      <c r="AS926" s="458"/>
      <c r="AT926" s="458"/>
      <c r="AU926" s="458"/>
      <c r="AV926" s="458"/>
      <c r="BA926" s="1305"/>
    </row>
    <row r="927" spans="2:53" ht="15.75" customHeight="1">
      <c r="B927" s="176"/>
      <c r="C927" s="176"/>
      <c r="H927" s="178"/>
      <c r="I927" s="179"/>
      <c r="J927" s="184"/>
      <c r="M927" s="181"/>
      <c r="N927" s="178"/>
      <c r="O927" s="178"/>
      <c r="P927" s="178"/>
      <c r="S927" s="458"/>
      <c r="AN927" s="458"/>
      <c r="AO927" s="458"/>
      <c r="AP927" s="458"/>
      <c r="AQ927" s="458"/>
      <c r="AR927" s="458"/>
      <c r="AS927" s="458"/>
      <c r="AT927" s="458"/>
      <c r="AU927" s="458"/>
      <c r="AV927" s="458"/>
      <c r="BA927" s="1305"/>
    </row>
    <row r="928" spans="2:53" ht="15.75" customHeight="1">
      <c r="B928" s="176"/>
      <c r="C928" s="176"/>
      <c r="H928" s="178"/>
      <c r="I928" s="178"/>
      <c r="J928" s="184"/>
      <c r="M928" s="181"/>
      <c r="N928" s="178"/>
      <c r="O928" s="178"/>
      <c r="P928" s="178"/>
      <c r="S928" s="458"/>
      <c r="AN928" s="458"/>
      <c r="AO928" s="458"/>
      <c r="AP928" s="458"/>
      <c r="AQ928" s="458"/>
      <c r="AR928" s="458"/>
      <c r="AS928" s="458"/>
      <c r="AT928" s="458"/>
      <c r="AU928" s="458"/>
      <c r="AV928" s="458"/>
      <c r="BA928" s="1305"/>
    </row>
    <row r="929" spans="2:53" ht="15.75" customHeight="1">
      <c r="B929" s="176"/>
      <c r="C929" s="176"/>
      <c r="H929" s="178"/>
      <c r="I929" s="178"/>
      <c r="J929" s="184"/>
      <c r="M929" s="181"/>
      <c r="N929" s="178"/>
      <c r="O929" s="178"/>
      <c r="P929" s="178"/>
      <c r="S929" s="458"/>
      <c r="AN929" s="458"/>
      <c r="AO929" s="458"/>
      <c r="AP929" s="458"/>
      <c r="AQ929" s="458"/>
      <c r="AR929" s="458"/>
      <c r="AS929" s="458"/>
      <c r="AT929" s="458"/>
      <c r="AU929" s="458"/>
      <c r="AV929" s="458"/>
      <c r="BA929" s="1305"/>
    </row>
    <row r="930" spans="2:53" ht="15.75" customHeight="1">
      <c r="B930" s="176"/>
      <c r="C930" s="176"/>
      <c r="H930" s="178"/>
      <c r="I930" s="178"/>
      <c r="J930" s="184"/>
      <c r="M930" s="181"/>
      <c r="N930" s="178"/>
      <c r="O930" s="178"/>
      <c r="P930" s="178"/>
      <c r="S930" s="458"/>
      <c r="AN930" s="458"/>
      <c r="AO930" s="458"/>
      <c r="AP930" s="458"/>
      <c r="AQ930" s="458"/>
      <c r="AR930" s="458"/>
      <c r="AS930" s="458"/>
      <c r="AT930" s="458"/>
      <c r="AU930" s="458"/>
      <c r="AV930" s="458"/>
      <c r="BA930" s="1305"/>
    </row>
    <row r="931" spans="2:53" ht="15.75" customHeight="1">
      <c r="B931" s="176"/>
      <c r="C931" s="176"/>
      <c r="H931" s="178"/>
      <c r="I931" s="178"/>
      <c r="J931" s="184"/>
      <c r="M931" s="181"/>
      <c r="N931" s="178"/>
      <c r="O931" s="178"/>
      <c r="P931" s="178"/>
      <c r="S931" s="458"/>
      <c r="AN931" s="458"/>
      <c r="AO931" s="458"/>
      <c r="AP931" s="458"/>
      <c r="AQ931" s="458"/>
      <c r="AR931" s="458"/>
      <c r="AS931" s="458"/>
      <c r="AT931" s="458"/>
      <c r="AU931" s="458"/>
      <c r="AV931" s="458"/>
      <c r="BA931" s="1305"/>
    </row>
    <row r="932" spans="2:53" ht="15.75" customHeight="1">
      <c r="B932" s="176"/>
      <c r="C932" s="176"/>
      <c r="H932" s="178"/>
      <c r="I932" s="179"/>
      <c r="J932" s="184"/>
      <c r="M932" s="181"/>
      <c r="N932" s="178"/>
      <c r="O932" s="178"/>
      <c r="P932" s="178"/>
      <c r="S932" s="458"/>
      <c r="AN932" s="458"/>
      <c r="AO932" s="458"/>
      <c r="AP932" s="458"/>
      <c r="AQ932" s="458"/>
      <c r="AR932" s="458"/>
      <c r="AS932" s="458"/>
      <c r="AT932" s="458"/>
      <c r="AU932" s="458"/>
      <c r="AV932" s="458"/>
      <c r="BA932" s="1305"/>
    </row>
    <row r="933" spans="2:53" ht="15.75" customHeight="1">
      <c r="B933" s="176"/>
      <c r="C933" s="176"/>
      <c r="H933" s="178"/>
      <c r="I933" s="178"/>
      <c r="J933" s="184"/>
      <c r="M933" s="181"/>
      <c r="N933" s="178"/>
      <c r="O933" s="178"/>
      <c r="P933" s="178"/>
      <c r="S933" s="458"/>
      <c r="AN933" s="458"/>
      <c r="AO933" s="458"/>
      <c r="AP933" s="458"/>
      <c r="AQ933" s="458"/>
      <c r="AR933" s="458"/>
      <c r="AS933" s="458"/>
      <c r="AT933" s="458"/>
      <c r="AU933" s="458"/>
      <c r="AV933" s="458"/>
      <c r="BA933" s="1305"/>
    </row>
    <row r="934" spans="2:53" ht="15.75" customHeight="1">
      <c r="B934" s="176"/>
      <c r="C934" s="176"/>
      <c r="H934" s="178"/>
      <c r="I934" s="179"/>
      <c r="J934" s="184"/>
      <c r="M934" s="181"/>
      <c r="N934" s="178"/>
      <c r="O934" s="178"/>
      <c r="P934" s="178"/>
      <c r="S934" s="458"/>
      <c r="AN934" s="458"/>
      <c r="AO934" s="458"/>
      <c r="AP934" s="458"/>
      <c r="AQ934" s="458"/>
      <c r="AR934" s="458"/>
      <c r="AS934" s="458"/>
      <c r="AT934" s="458"/>
      <c r="AU934" s="458"/>
      <c r="AV934" s="458"/>
      <c r="BA934" s="1305"/>
    </row>
    <row r="935" spans="2:53" ht="15.75" customHeight="1">
      <c r="B935" s="176"/>
      <c r="C935" s="176"/>
      <c r="H935" s="178"/>
      <c r="I935" s="178"/>
      <c r="J935" s="184"/>
      <c r="M935" s="181"/>
      <c r="N935" s="178"/>
      <c r="O935" s="178"/>
      <c r="P935" s="178"/>
      <c r="S935" s="458"/>
      <c r="AN935" s="458"/>
      <c r="AO935" s="458"/>
      <c r="AP935" s="458"/>
      <c r="AQ935" s="458"/>
      <c r="AR935" s="458"/>
      <c r="AS935" s="458"/>
      <c r="AT935" s="458"/>
      <c r="AU935" s="458"/>
      <c r="AV935" s="458"/>
      <c r="BA935" s="1305"/>
    </row>
    <row r="936" spans="2:53" ht="15.75" customHeight="1">
      <c r="B936" s="176"/>
      <c r="C936" s="176"/>
      <c r="H936" s="178"/>
      <c r="I936" s="179"/>
      <c r="J936" s="184"/>
      <c r="M936" s="181"/>
      <c r="N936" s="178"/>
      <c r="O936" s="178"/>
      <c r="P936" s="178"/>
      <c r="S936" s="458"/>
      <c r="AN936" s="458"/>
      <c r="AO936" s="458"/>
      <c r="AP936" s="458"/>
      <c r="AQ936" s="458"/>
      <c r="AR936" s="458"/>
      <c r="AS936" s="458"/>
      <c r="AT936" s="458"/>
      <c r="AU936" s="458"/>
      <c r="AV936" s="458"/>
      <c r="BA936" s="1305"/>
    </row>
    <row r="937" spans="2:53" ht="15.75" customHeight="1">
      <c r="B937" s="176"/>
      <c r="C937" s="176"/>
      <c r="H937" s="178"/>
      <c r="I937" s="178"/>
      <c r="J937" s="184"/>
      <c r="M937" s="181"/>
      <c r="N937" s="178"/>
      <c r="O937" s="178"/>
      <c r="P937" s="178"/>
      <c r="S937" s="458"/>
      <c r="AN937" s="458"/>
      <c r="AO937" s="458"/>
      <c r="AP937" s="458"/>
      <c r="AQ937" s="458"/>
      <c r="AR937" s="458"/>
      <c r="AS937" s="458"/>
      <c r="AT937" s="458"/>
      <c r="AU937" s="458"/>
      <c r="AV937" s="458"/>
      <c r="BA937" s="1305"/>
    </row>
    <row r="938" spans="2:53" ht="15.75" customHeight="1">
      <c r="B938" s="176"/>
      <c r="C938" s="176"/>
      <c r="H938" s="178"/>
      <c r="I938" s="179"/>
      <c r="J938" s="184"/>
      <c r="M938" s="181"/>
      <c r="N938" s="178"/>
      <c r="O938" s="178"/>
      <c r="P938" s="178"/>
      <c r="S938" s="458"/>
      <c r="AN938" s="458"/>
      <c r="AO938" s="458"/>
      <c r="AP938" s="458"/>
      <c r="AQ938" s="458"/>
      <c r="AR938" s="458"/>
      <c r="AS938" s="458"/>
      <c r="AT938" s="458"/>
      <c r="AU938" s="458"/>
      <c r="AV938" s="458"/>
      <c r="BA938" s="1305"/>
    </row>
    <row r="939" spans="2:53" ht="15.75" customHeight="1">
      <c r="B939" s="176"/>
      <c r="C939" s="176"/>
      <c r="H939" s="178"/>
      <c r="I939" s="178"/>
      <c r="J939" s="184"/>
      <c r="M939" s="181"/>
      <c r="N939" s="178"/>
      <c r="O939" s="178"/>
      <c r="P939" s="178"/>
      <c r="S939" s="458"/>
      <c r="AN939" s="458"/>
      <c r="AO939" s="458"/>
      <c r="AP939" s="458"/>
      <c r="AQ939" s="458"/>
      <c r="AR939" s="458"/>
      <c r="AS939" s="458"/>
      <c r="AT939" s="458"/>
      <c r="AU939" s="458"/>
      <c r="AV939" s="458"/>
      <c r="BA939" s="1305"/>
    </row>
    <row r="940" spans="2:53" ht="15.75" customHeight="1">
      <c r="B940" s="176"/>
      <c r="C940" s="176"/>
      <c r="H940" s="178"/>
      <c r="I940" s="179"/>
      <c r="J940" s="184"/>
      <c r="M940" s="181"/>
      <c r="N940" s="178"/>
      <c r="O940" s="178"/>
      <c r="P940" s="178"/>
      <c r="S940" s="458"/>
      <c r="AN940" s="458"/>
      <c r="AO940" s="458"/>
      <c r="AP940" s="458"/>
      <c r="AQ940" s="458"/>
      <c r="AR940" s="458"/>
      <c r="AS940" s="458"/>
      <c r="AT940" s="458"/>
      <c r="AU940" s="458"/>
      <c r="AV940" s="458"/>
      <c r="BA940" s="1305"/>
    </row>
    <row r="941" spans="2:53" ht="15.75" customHeight="1">
      <c r="B941" s="176"/>
      <c r="C941" s="176"/>
      <c r="H941" s="178"/>
      <c r="I941" s="178"/>
      <c r="J941" s="184"/>
      <c r="M941" s="181"/>
      <c r="N941" s="178"/>
      <c r="O941" s="178"/>
      <c r="P941" s="178"/>
      <c r="S941" s="458"/>
      <c r="AN941" s="458"/>
      <c r="AO941" s="458"/>
      <c r="AP941" s="458"/>
      <c r="AQ941" s="458"/>
      <c r="AR941" s="458"/>
      <c r="AS941" s="458"/>
      <c r="AT941" s="458"/>
      <c r="AU941" s="458"/>
      <c r="AV941" s="458"/>
      <c r="BA941" s="1305"/>
    </row>
    <row r="942" spans="2:53" ht="15.75" customHeight="1">
      <c r="B942" s="176"/>
      <c r="C942" s="176"/>
      <c r="H942" s="178"/>
      <c r="I942" s="179"/>
      <c r="J942" s="184"/>
      <c r="M942" s="181"/>
      <c r="N942" s="178"/>
      <c r="O942" s="178"/>
      <c r="P942" s="178"/>
      <c r="S942" s="458"/>
      <c r="AN942" s="458"/>
      <c r="AO942" s="458"/>
      <c r="AP942" s="458"/>
      <c r="AQ942" s="458"/>
      <c r="AR942" s="458"/>
      <c r="AS942" s="458"/>
      <c r="AT942" s="458"/>
      <c r="AU942" s="458"/>
      <c r="AV942" s="458"/>
      <c r="BA942" s="1305"/>
    </row>
    <row r="943" spans="2:53" ht="15.75" customHeight="1">
      <c r="B943" s="176"/>
      <c r="C943" s="176"/>
      <c r="H943" s="178"/>
      <c r="I943" s="178"/>
      <c r="J943" s="184"/>
      <c r="M943" s="181"/>
      <c r="N943" s="178"/>
      <c r="O943" s="178"/>
      <c r="P943" s="178"/>
      <c r="S943" s="458"/>
      <c r="AN943" s="458"/>
      <c r="AO943" s="458"/>
      <c r="AP943" s="458"/>
      <c r="AQ943" s="458"/>
      <c r="AR943" s="458"/>
      <c r="AS943" s="458"/>
      <c r="AT943" s="458"/>
      <c r="AU943" s="458"/>
      <c r="AV943" s="458"/>
      <c r="BA943" s="1305"/>
    </row>
    <row r="944" spans="2:53" ht="15.75" customHeight="1">
      <c r="B944" s="176"/>
      <c r="C944" s="176"/>
      <c r="H944" s="178"/>
      <c r="I944" s="178"/>
      <c r="J944" s="184"/>
      <c r="M944" s="181"/>
      <c r="N944" s="178"/>
      <c r="O944" s="178"/>
      <c r="P944" s="178"/>
      <c r="S944" s="458"/>
      <c r="AN944" s="458"/>
      <c r="AO944" s="458"/>
      <c r="AP944" s="458"/>
      <c r="AQ944" s="458"/>
      <c r="AR944" s="458"/>
      <c r="AS944" s="458"/>
      <c r="AT944" s="458"/>
      <c r="AU944" s="458"/>
      <c r="AV944" s="458"/>
      <c r="BA944" s="1305"/>
    </row>
    <row r="945" spans="2:53" ht="15.75" customHeight="1">
      <c r="B945" s="176"/>
      <c r="C945" s="176"/>
      <c r="H945" s="178"/>
      <c r="I945" s="178"/>
      <c r="J945" s="184"/>
      <c r="M945" s="181"/>
      <c r="N945" s="178"/>
      <c r="O945" s="178"/>
      <c r="P945" s="178"/>
      <c r="S945" s="458"/>
      <c r="AN945" s="458"/>
      <c r="AO945" s="458"/>
      <c r="AP945" s="458"/>
      <c r="AQ945" s="458"/>
      <c r="AR945" s="458"/>
      <c r="AS945" s="458"/>
      <c r="AT945" s="458"/>
      <c r="AU945" s="458"/>
      <c r="AV945" s="458"/>
      <c r="BA945" s="1305"/>
    </row>
    <row r="946" spans="2:53" ht="15.75" customHeight="1">
      <c r="B946" s="176"/>
      <c r="C946" s="176"/>
      <c r="H946" s="178"/>
      <c r="I946" s="178"/>
      <c r="J946" s="184"/>
      <c r="M946" s="181"/>
      <c r="N946" s="178"/>
      <c r="O946" s="178"/>
      <c r="P946" s="178"/>
      <c r="S946" s="458"/>
      <c r="AN946" s="458"/>
      <c r="AO946" s="458"/>
      <c r="AP946" s="458"/>
      <c r="AQ946" s="458"/>
      <c r="AR946" s="458"/>
      <c r="AS946" s="458"/>
      <c r="AT946" s="458"/>
      <c r="AU946" s="458"/>
      <c r="AV946" s="458"/>
      <c r="BA946" s="1305"/>
    </row>
    <row r="947" spans="2:53" ht="15.75" customHeight="1">
      <c r="B947" s="176"/>
      <c r="C947" s="176"/>
      <c r="H947" s="178"/>
      <c r="I947" s="178"/>
      <c r="J947" s="184"/>
      <c r="M947" s="181"/>
      <c r="N947" s="178"/>
      <c r="O947" s="178"/>
      <c r="P947" s="178"/>
      <c r="S947" s="458"/>
      <c r="AN947" s="458"/>
      <c r="AO947" s="458"/>
      <c r="AP947" s="458"/>
      <c r="AQ947" s="458"/>
      <c r="AR947" s="458"/>
      <c r="AS947" s="458"/>
      <c r="AT947" s="458"/>
      <c r="AU947" s="458"/>
      <c r="AV947" s="458"/>
      <c r="BA947" s="1305"/>
    </row>
    <row r="948" spans="2:53" ht="15.75" customHeight="1">
      <c r="B948" s="176"/>
      <c r="C948" s="176"/>
      <c r="H948" s="178"/>
      <c r="I948" s="178"/>
      <c r="J948" s="184"/>
      <c r="M948" s="181"/>
      <c r="N948" s="178"/>
      <c r="O948" s="178"/>
      <c r="P948" s="178"/>
      <c r="S948" s="458"/>
      <c r="AN948" s="458"/>
      <c r="AO948" s="458"/>
      <c r="AP948" s="458"/>
      <c r="AQ948" s="458"/>
      <c r="AR948" s="458"/>
      <c r="AS948" s="458"/>
      <c r="AT948" s="458"/>
      <c r="AU948" s="458"/>
      <c r="AV948" s="458"/>
      <c r="BA948" s="1305"/>
    </row>
    <row r="949" spans="2:53" ht="15.75" customHeight="1">
      <c r="B949" s="176"/>
      <c r="C949" s="176"/>
      <c r="H949" s="178"/>
      <c r="I949" s="178"/>
      <c r="J949" s="184"/>
      <c r="M949" s="181"/>
      <c r="N949" s="178"/>
      <c r="O949" s="178"/>
      <c r="P949" s="178"/>
      <c r="S949" s="458"/>
      <c r="AN949" s="458"/>
      <c r="AO949" s="458"/>
      <c r="AP949" s="458"/>
      <c r="AQ949" s="458"/>
      <c r="AR949" s="458"/>
      <c r="AS949" s="458"/>
      <c r="AT949" s="458"/>
      <c r="AU949" s="458"/>
      <c r="AV949" s="458"/>
      <c r="BA949" s="1305"/>
    </row>
    <row r="950" spans="2:53" ht="15.75" customHeight="1">
      <c r="B950" s="176"/>
      <c r="C950" s="176"/>
      <c r="H950" s="178"/>
      <c r="I950" s="178"/>
      <c r="J950" s="184"/>
      <c r="M950" s="181"/>
      <c r="N950" s="178"/>
      <c r="O950" s="178"/>
      <c r="P950" s="178"/>
      <c r="S950" s="458"/>
      <c r="AN950" s="458"/>
      <c r="AO950" s="458"/>
      <c r="AP950" s="458"/>
      <c r="AQ950" s="458"/>
      <c r="AR950" s="458"/>
      <c r="AS950" s="458"/>
      <c r="AT950" s="458"/>
      <c r="AU950" s="458"/>
      <c r="AV950" s="458"/>
      <c r="BA950" s="1305"/>
    </row>
    <row r="951" spans="2:53" ht="15.75" customHeight="1">
      <c r="B951" s="176"/>
      <c r="C951" s="176"/>
      <c r="H951" s="178"/>
      <c r="I951" s="178"/>
      <c r="J951" s="184"/>
      <c r="M951" s="181"/>
      <c r="N951" s="178"/>
      <c r="O951" s="178"/>
      <c r="P951" s="178"/>
      <c r="S951" s="458"/>
      <c r="AN951" s="458"/>
      <c r="AO951" s="458"/>
      <c r="AP951" s="458"/>
      <c r="AQ951" s="458"/>
      <c r="AR951" s="458"/>
      <c r="AS951" s="458"/>
      <c r="AT951" s="458"/>
      <c r="AU951" s="458"/>
      <c r="AV951" s="458"/>
      <c r="BA951" s="1305"/>
    </row>
    <row r="952" spans="2:53" ht="15.75" customHeight="1">
      <c r="B952" s="176"/>
      <c r="C952" s="176"/>
      <c r="H952" s="178"/>
      <c r="I952" s="178"/>
      <c r="J952" s="184"/>
      <c r="M952" s="181"/>
      <c r="N952" s="178"/>
      <c r="O952" s="178"/>
      <c r="P952" s="178"/>
      <c r="S952" s="458"/>
      <c r="AN952" s="458"/>
      <c r="AO952" s="458"/>
      <c r="AP952" s="458"/>
      <c r="AQ952" s="458"/>
      <c r="AR952" s="458"/>
      <c r="AS952" s="458"/>
      <c r="AT952" s="458"/>
      <c r="AU952" s="458"/>
      <c r="AV952" s="458"/>
      <c r="BA952" s="1305"/>
    </row>
    <row r="953" spans="2:53" ht="15.75" customHeight="1">
      <c r="B953" s="176"/>
      <c r="C953" s="176"/>
      <c r="H953" s="178"/>
      <c r="I953" s="178"/>
      <c r="J953" s="184"/>
      <c r="M953" s="181"/>
      <c r="N953" s="178"/>
      <c r="O953" s="178"/>
      <c r="P953" s="178"/>
      <c r="S953" s="458"/>
      <c r="AN953" s="458"/>
      <c r="AO953" s="458"/>
      <c r="AP953" s="458"/>
      <c r="AQ953" s="458"/>
      <c r="AR953" s="458"/>
      <c r="AS953" s="458"/>
      <c r="AT953" s="458"/>
      <c r="AU953" s="458"/>
      <c r="AV953" s="458"/>
      <c r="BA953" s="1305"/>
    </row>
    <row r="954" spans="2:53" ht="15.75" customHeight="1">
      <c r="B954" s="176"/>
      <c r="C954" s="176"/>
      <c r="H954" s="178"/>
      <c r="I954" s="178"/>
      <c r="J954" s="184"/>
      <c r="M954" s="181"/>
      <c r="N954" s="178"/>
      <c r="O954" s="178"/>
      <c r="P954" s="178"/>
      <c r="S954" s="458"/>
      <c r="AN954" s="458"/>
      <c r="AO954" s="458"/>
      <c r="AP954" s="458"/>
      <c r="AQ954" s="458"/>
      <c r="AR954" s="458"/>
      <c r="AS954" s="458"/>
      <c r="AT954" s="458"/>
      <c r="AU954" s="458"/>
      <c r="AV954" s="458"/>
      <c r="BA954" s="1305"/>
    </row>
    <row r="955" spans="2:53" ht="15.75" customHeight="1">
      <c r="B955" s="176"/>
      <c r="C955" s="176"/>
      <c r="H955" s="178"/>
      <c r="I955" s="179"/>
      <c r="J955" s="184"/>
      <c r="M955" s="181"/>
      <c r="N955" s="178"/>
      <c r="O955" s="178"/>
      <c r="P955" s="178"/>
      <c r="S955" s="458"/>
      <c r="AN955" s="458"/>
      <c r="AO955" s="458"/>
      <c r="AP955" s="458"/>
      <c r="AQ955" s="458"/>
      <c r="AR955" s="458"/>
      <c r="AS955" s="458"/>
      <c r="AT955" s="458"/>
      <c r="AU955" s="458"/>
      <c r="AV955" s="458"/>
      <c r="BA955" s="1305"/>
    </row>
    <row r="956" spans="2:53" ht="15.75" customHeight="1">
      <c r="B956" s="176"/>
      <c r="C956" s="176"/>
      <c r="H956" s="178"/>
      <c r="I956" s="179"/>
      <c r="J956" s="184"/>
      <c r="M956" s="181"/>
      <c r="N956" s="178"/>
      <c r="O956" s="178"/>
      <c r="P956" s="178"/>
      <c r="S956" s="458"/>
      <c r="AN956" s="458"/>
      <c r="AO956" s="458"/>
      <c r="AP956" s="458"/>
      <c r="AQ956" s="458"/>
      <c r="AR956" s="458"/>
      <c r="AS956" s="458"/>
      <c r="AT956" s="458"/>
      <c r="AU956" s="458"/>
      <c r="AV956" s="458"/>
      <c r="BA956" s="1305"/>
    </row>
    <row r="957" spans="2:53" ht="15.75" customHeight="1">
      <c r="B957" s="176"/>
      <c r="C957" s="176"/>
      <c r="H957" s="178"/>
      <c r="I957" s="179"/>
      <c r="J957" s="184"/>
      <c r="M957" s="181"/>
      <c r="N957" s="178"/>
      <c r="O957" s="178"/>
      <c r="P957" s="178"/>
      <c r="S957" s="458"/>
      <c r="AN957" s="458"/>
      <c r="AO957" s="458"/>
      <c r="AP957" s="458"/>
      <c r="AQ957" s="458"/>
      <c r="AR957" s="458"/>
      <c r="AS957" s="458"/>
      <c r="AT957" s="458"/>
      <c r="AU957" s="458"/>
      <c r="AV957" s="458"/>
      <c r="BA957" s="1305"/>
    </row>
    <row r="958" spans="2:53" ht="15.75" customHeight="1">
      <c r="B958" s="176"/>
      <c r="C958" s="176"/>
      <c r="H958" s="178"/>
      <c r="I958" s="178"/>
      <c r="J958" s="184"/>
      <c r="M958" s="181"/>
      <c r="N958" s="178"/>
      <c r="O958" s="178"/>
      <c r="P958" s="178"/>
      <c r="S958" s="458"/>
      <c r="AN958" s="458"/>
      <c r="AO958" s="458"/>
      <c r="AP958" s="458"/>
      <c r="AQ958" s="458"/>
      <c r="AR958" s="458"/>
      <c r="AS958" s="458"/>
      <c r="AT958" s="458"/>
      <c r="AU958" s="458"/>
      <c r="AV958" s="458"/>
      <c r="BA958" s="1305"/>
    </row>
    <row r="959" spans="2:53" ht="15.75" customHeight="1">
      <c r="B959" s="176"/>
      <c r="C959" s="176"/>
      <c r="H959" s="178"/>
      <c r="I959" s="179"/>
      <c r="J959" s="184"/>
      <c r="M959" s="181"/>
      <c r="N959" s="178"/>
      <c r="O959" s="178"/>
      <c r="P959" s="178"/>
      <c r="S959" s="458"/>
      <c r="AN959" s="458"/>
      <c r="AO959" s="458"/>
      <c r="AP959" s="458"/>
      <c r="AQ959" s="458"/>
      <c r="AR959" s="458"/>
      <c r="AS959" s="458"/>
      <c r="AT959" s="458"/>
      <c r="AU959" s="458"/>
      <c r="AV959" s="458"/>
      <c r="BA959" s="1305"/>
    </row>
    <row r="960" spans="2:53" ht="15.75" customHeight="1">
      <c r="B960" s="176"/>
      <c r="C960" s="176"/>
      <c r="H960" s="178"/>
      <c r="I960" s="178"/>
      <c r="J960" s="184"/>
      <c r="M960" s="181"/>
      <c r="N960" s="178"/>
      <c r="O960" s="178"/>
      <c r="P960" s="178"/>
      <c r="S960" s="458"/>
      <c r="AN960" s="458"/>
      <c r="AO960" s="458"/>
      <c r="AP960" s="458"/>
      <c r="AQ960" s="458"/>
      <c r="AR960" s="458"/>
      <c r="AS960" s="458"/>
      <c r="AT960" s="458"/>
      <c r="AU960" s="458"/>
      <c r="AV960" s="458"/>
      <c r="BA960" s="1305"/>
    </row>
    <row r="961" spans="2:53" ht="15.75" customHeight="1">
      <c r="B961" s="176"/>
      <c r="C961" s="176"/>
      <c r="H961" s="178"/>
      <c r="I961" s="179"/>
      <c r="J961" s="184"/>
      <c r="M961" s="181"/>
      <c r="N961" s="178"/>
      <c r="O961" s="178"/>
      <c r="P961" s="178"/>
      <c r="S961" s="458"/>
      <c r="AN961" s="458"/>
      <c r="AO961" s="458"/>
      <c r="AP961" s="458"/>
      <c r="AQ961" s="458"/>
      <c r="AR961" s="458"/>
      <c r="AS961" s="458"/>
      <c r="AT961" s="458"/>
      <c r="AU961" s="458"/>
      <c r="AV961" s="458"/>
      <c r="BA961" s="1305"/>
    </row>
    <row r="962" spans="2:53" ht="15.75" customHeight="1">
      <c r="B962" s="176"/>
      <c r="C962" s="176"/>
      <c r="H962" s="178"/>
      <c r="I962" s="178"/>
      <c r="J962" s="184"/>
      <c r="M962" s="181"/>
      <c r="N962" s="178"/>
      <c r="O962" s="178"/>
      <c r="P962" s="178"/>
      <c r="S962" s="458"/>
      <c r="AN962" s="458"/>
      <c r="AO962" s="458"/>
      <c r="AP962" s="458"/>
      <c r="AQ962" s="458"/>
      <c r="AR962" s="458"/>
      <c r="AS962" s="458"/>
      <c r="AT962" s="458"/>
      <c r="AU962" s="458"/>
      <c r="AV962" s="458"/>
      <c r="BA962" s="1305"/>
    </row>
    <row r="963" spans="2:53" ht="15.75" customHeight="1">
      <c r="B963" s="176"/>
      <c r="C963" s="176"/>
      <c r="H963" s="178"/>
      <c r="I963" s="179"/>
      <c r="J963" s="184"/>
      <c r="M963" s="181"/>
      <c r="N963" s="178"/>
      <c r="O963" s="178"/>
      <c r="P963" s="178"/>
      <c r="S963" s="458"/>
      <c r="AN963" s="458"/>
      <c r="AO963" s="458"/>
      <c r="AP963" s="458"/>
      <c r="AQ963" s="458"/>
      <c r="AR963" s="458"/>
      <c r="AS963" s="458"/>
      <c r="AT963" s="458"/>
      <c r="AU963" s="458"/>
      <c r="AV963" s="458"/>
      <c r="BA963" s="1305"/>
    </row>
    <row r="964" spans="2:53" ht="15.75" customHeight="1">
      <c r="B964" s="175"/>
      <c r="C964" s="176"/>
      <c r="H964" s="178"/>
      <c r="I964" s="178"/>
      <c r="J964" s="184"/>
      <c r="M964" s="181"/>
      <c r="N964" s="178"/>
      <c r="O964" s="178"/>
      <c r="P964" s="178"/>
      <c r="S964" s="458"/>
      <c r="AN964" s="458"/>
      <c r="AO964" s="458"/>
      <c r="AP964" s="458"/>
      <c r="AQ964" s="458"/>
      <c r="AR964" s="458"/>
      <c r="AS964" s="458"/>
      <c r="AT964" s="458"/>
      <c r="AU964" s="458"/>
      <c r="AV964" s="458"/>
      <c r="BA964" s="1305"/>
    </row>
    <row r="965" spans="2:53" ht="15.75" customHeight="1">
      <c r="B965" s="175"/>
      <c r="C965" s="176"/>
      <c r="H965" s="178"/>
      <c r="I965" s="178"/>
      <c r="J965" s="184"/>
      <c r="M965" s="181"/>
      <c r="N965" s="178"/>
      <c r="O965" s="178"/>
      <c r="P965" s="178"/>
      <c r="S965" s="458"/>
      <c r="AN965" s="458"/>
      <c r="AO965" s="458"/>
      <c r="AP965" s="458"/>
      <c r="AQ965" s="458"/>
      <c r="AR965" s="458"/>
      <c r="AS965" s="458"/>
      <c r="AT965" s="458"/>
      <c r="AU965" s="458"/>
      <c r="AV965" s="458"/>
      <c r="BA965" s="1305"/>
    </row>
    <row r="966" spans="2:53" ht="15.75" customHeight="1">
      <c r="B966" s="175"/>
      <c r="C966" s="176"/>
      <c r="H966" s="178"/>
      <c r="I966" s="178"/>
      <c r="J966" s="184"/>
      <c r="M966" s="181"/>
      <c r="N966" s="178"/>
      <c r="O966" s="178"/>
      <c r="P966" s="178"/>
      <c r="S966" s="458"/>
      <c r="AN966" s="458"/>
      <c r="AO966" s="458"/>
      <c r="AP966" s="458"/>
      <c r="AQ966" s="458"/>
      <c r="AR966" s="458"/>
      <c r="AS966" s="458"/>
      <c r="AT966" s="458"/>
      <c r="AU966" s="458"/>
      <c r="AV966" s="458"/>
      <c r="BA966" s="1305"/>
    </row>
    <row r="967" spans="2:53" ht="15.75" customHeight="1">
      <c r="B967" s="175"/>
      <c r="C967" s="176"/>
      <c r="H967" s="178"/>
      <c r="I967" s="179"/>
      <c r="J967" s="184"/>
      <c r="M967" s="181"/>
      <c r="N967" s="178"/>
      <c r="O967" s="178"/>
      <c r="P967" s="178"/>
      <c r="S967" s="458"/>
      <c r="AN967" s="458"/>
      <c r="AO967" s="458"/>
      <c r="AP967" s="458"/>
      <c r="AQ967" s="458"/>
      <c r="AR967" s="458"/>
      <c r="AS967" s="458"/>
      <c r="AT967" s="458"/>
      <c r="AU967" s="458"/>
      <c r="AV967" s="458"/>
      <c r="BA967" s="1305"/>
    </row>
    <row r="968" spans="2:53" ht="15.75" customHeight="1">
      <c r="B968" s="175"/>
      <c r="C968" s="176"/>
      <c r="H968" s="178"/>
      <c r="I968" s="179"/>
      <c r="J968" s="184"/>
      <c r="M968" s="181"/>
      <c r="N968" s="178"/>
      <c r="O968" s="178"/>
      <c r="P968" s="178"/>
      <c r="S968" s="458"/>
      <c r="AN968" s="458"/>
      <c r="AO968" s="458"/>
      <c r="AP968" s="458"/>
      <c r="AQ968" s="458"/>
      <c r="AR968" s="458"/>
      <c r="AS968" s="458"/>
      <c r="AT968" s="458"/>
      <c r="AU968" s="458"/>
      <c r="AV968" s="458"/>
      <c r="BA968" s="1305"/>
    </row>
    <row r="969" spans="2:53" ht="15.75" customHeight="1">
      <c r="B969" s="175"/>
      <c r="C969" s="176"/>
      <c r="H969" s="178"/>
      <c r="I969" s="179"/>
      <c r="J969" s="184"/>
      <c r="M969" s="181"/>
      <c r="N969" s="178"/>
      <c r="O969" s="178"/>
      <c r="P969" s="178"/>
      <c r="S969" s="458"/>
      <c r="AN969" s="458"/>
      <c r="AO969" s="458"/>
      <c r="AP969" s="458"/>
      <c r="AQ969" s="458"/>
      <c r="AR969" s="458"/>
      <c r="AS969" s="458"/>
      <c r="AT969" s="458"/>
      <c r="AU969" s="458"/>
      <c r="AV969" s="458"/>
      <c r="BA969" s="1305"/>
    </row>
    <row r="970" spans="2:53" ht="15.75" customHeight="1">
      <c r="B970" s="175"/>
      <c r="C970" s="176"/>
      <c r="H970" s="178"/>
      <c r="I970" s="178"/>
      <c r="J970" s="184"/>
      <c r="M970" s="181"/>
      <c r="N970" s="178"/>
      <c r="O970" s="178"/>
      <c r="P970" s="178"/>
      <c r="S970" s="458"/>
      <c r="AN970" s="458"/>
      <c r="AO970" s="458"/>
      <c r="AP970" s="458"/>
      <c r="AQ970" s="458"/>
      <c r="AR970" s="458"/>
      <c r="AS970" s="458"/>
      <c r="AT970" s="458"/>
      <c r="AU970" s="458"/>
      <c r="AV970" s="458"/>
      <c r="BA970" s="1305"/>
    </row>
    <row r="971" spans="2:53" ht="15.75" customHeight="1">
      <c r="B971" s="175"/>
      <c r="C971" s="176"/>
      <c r="H971" s="178"/>
      <c r="I971" s="179"/>
      <c r="J971" s="184"/>
      <c r="M971" s="181"/>
      <c r="N971" s="178"/>
      <c r="O971" s="178"/>
      <c r="P971" s="178"/>
      <c r="S971" s="458"/>
      <c r="AN971" s="458"/>
      <c r="AO971" s="458"/>
      <c r="AP971" s="458"/>
      <c r="AQ971" s="458"/>
      <c r="AR971" s="458"/>
      <c r="AS971" s="458"/>
      <c r="AT971" s="458"/>
      <c r="AU971" s="458"/>
      <c r="AV971" s="458"/>
      <c r="BA971" s="1305"/>
    </row>
    <row r="972" spans="2:53" ht="15.75" customHeight="1">
      <c r="B972" s="176"/>
      <c r="C972" s="176"/>
      <c r="H972" s="178"/>
      <c r="I972" s="178"/>
      <c r="J972" s="184"/>
      <c r="N972" s="178"/>
      <c r="O972" s="178"/>
      <c r="P972" s="178"/>
      <c r="S972" s="458"/>
      <c r="AN972" s="458"/>
      <c r="AO972" s="458"/>
      <c r="AP972" s="458"/>
      <c r="AQ972" s="458"/>
      <c r="AR972" s="458"/>
      <c r="AS972" s="458"/>
      <c r="AT972" s="458"/>
      <c r="AU972" s="458"/>
      <c r="AV972" s="458"/>
      <c r="BA972" s="1305"/>
    </row>
    <row r="973" spans="2:53" ht="15.75" customHeight="1">
      <c r="B973" s="176"/>
      <c r="C973" s="176"/>
      <c r="H973" s="178"/>
      <c r="I973" s="178"/>
      <c r="J973" s="184"/>
      <c r="N973" s="178"/>
      <c r="O973" s="178"/>
      <c r="P973" s="178"/>
      <c r="S973" s="458"/>
      <c r="AN973" s="458"/>
      <c r="AO973" s="458"/>
      <c r="AP973" s="458"/>
      <c r="AQ973" s="458"/>
      <c r="AR973" s="458"/>
      <c r="AS973" s="458"/>
      <c r="AT973" s="458"/>
      <c r="AU973" s="458"/>
      <c r="AV973" s="458"/>
      <c r="BA973" s="1305"/>
    </row>
    <row r="974" spans="2:53" ht="15.75" customHeight="1">
      <c r="B974" s="176"/>
      <c r="C974" s="176"/>
      <c r="H974" s="178"/>
      <c r="I974" s="178"/>
      <c r="J974" s="184"/>
      <c r="N974" s="178"/>
      <c r="O974" s="178"/>
      <c r="P974" s="178"/>
      <c r="S974" s="458"/>
      <c r="AN974" s="458"/>
      <c r="AO974" s="458"/>
      <c r="AP974" s="458"/>
      <c r="AQ974" s="458"/>
      <c r="AR974" s="458"/>
      <c r="AS974" s="458"/>
      <c r="AT974" s="458"/>
      <c r="AU974" s="458"/>
      <c r="AV974" s="458"/>
      <c r="BA974" s="1305"/>
    </row>
    <row r="975" spans="2:53" ht="15.75" customHeight="1">
      <c r="B975" s="176"/>
      <c r="C975" s="176"/>
      <c r="H975" s="178"/>
      <c r="I975" s="178"/>
      <c r="J975" s="184"/>
      <c r="N975" s="178"/>
      <c r="O975" s="178"/>
      <c r="P975" s="178"/>
      <c r="S975" s="458"/>
      <c r="AN975" s="458"/>
      <c r="AO975" s="458"/>
      <c r="AP975" s="458"/>
      <c r="AQ975" s="458"/>
      <c r="AR975" s="458"/>
      <c r="AS975" s="458"/>
      <c r="AT975" s="458"/>
      <c r="AU975" s="458"/>
      <c r="AV975" s="458"/>
      <c r="BA975" s="1305"/>
    </row>
    <row r="976" spans="2:53" ht="15.75" customHeight="1">
      <c r="B976" s="176"/>
      <c r="C976" s="176"/>
      <c r="H976" s="178"/>
      <c r="I976" s="179"/>
      <c r="J976" s="184"/>
      <c r="N976" s="178"/>
      <c r="O976" s="178"/>
      <c r="P976" s="178"/>
      <c r="S976" s="458"/>
      <c r="AN976" s="458"/>
      <c r="AO976" s="458"/>
      <c r="AP976" s="458"/>
      <c r="AQ976" s="458"/>
      <c r="AR976" s="458"/>
      <c r="AS976" s="458"/>
      <c r="AT976" s="458"/>
      <c r="AU976" s="458"/>
      <c r="AV976" s="458"/>
      <c r="BA976" s="1305"/>
    </row>
    <row r="977" spans="2:53" ht="15.75" customHeight="1">
      <c r="B977" s="176"/>
      <c r="C977" s="176"/>
      <c r="H977" s="178"/>
      <c r="I977" s="178"/>
      <c r="J977" s="184"/>
      <c r="N977" s="178"/>
      <c r="O977" s="178"/>
      <c r="P977" s="178"/>
      <c r="S977" s="458"/>
      <c r="AN977" s="458"/>
      <c r="AO977" s="458"/>
      <c r="AP977" s="458"/>
      <c r="AQ977" s="458"/>
      <c r="AR977" s="458"/>
      <c r="AS977" s="458"/>
      <c r="AT977" s="458"/>
      <c r="AU977" s="458"/>
      <c r="AV977" s="458"/>
      <c r="BA977" s="1305"/>
    </row>
    <row r="978" spans="2:53" ht="15.75" customHeight="1">
      <c r="B978" s="176"/>
      <c r="C978" s="176"/>
      <c r="H978" s="178"/>
      <c r="I978" s="179"/>
      <c r="J978" s="184"/>
      <c r="N978" s="178"/>
      <c r="O978" s="178"/>
      <c r="P978" s="178"/>
      <c r="S978" s="458"/>
      <c r="AN978" s="458"/>
      <c r="AO978" s="458"/>
      <c r="AP978" s="458"/>
      <c r="AQ978" s="458"/>
      <c r="AR978" s="458"/>
      <c r="AS978" s="458"/>
      <c r="AT978" s="458"/>
      <c r="AU978" s="458"/>
      <c r="AV978" s="458"/>
      <c r="BA978" s="1305"/>
    </row>
    <row r="979" spans="2:53" ht="15.75" customHeight="1">
      <c r="B979" s="176"/>
      <c r="C979" s="176"/>
      <c r="H979" s="178"/>
      <c r="I979" s="178"/>
      <c r="J979" s="184"/>
      <c r="N979" s="178"/>
      <c r="O979" s="178"/>
      <c r="P979" s="178"/>
      <c r="S979" s="458"/>
      <c r="AN979" s="458"/>
      <c r="AO979" s="458"/>
      <c r="AP979" s="458"/>
      <c r="AQ979" s="458"/>
      <c r="AR979" s="458"/>
      <c r="AS979" s="458"/>
      <c r="AT979" s="458"/>
      <c r="AU979" s="458"/>
      <c r="AV979" s="458"/>
      <c r="BA979" s="1305"/>
    </row>
    <row r="980" spans="2:53" ht="15.75" customHeight="1">
      <c r="B980" s="176"/>
      <c r="C980" s="176"/>
      <c r="H980" s="178"/>
      <c r="I980" s="179"/>
      <c r="J980" s="184"/>
      <c r="N980" s="178"/>
      <c r="O980" s="178"/>
      <c r="P980" s="178"/>
      <c r="S980" s="458"/>
      <c r="AN980" s="458"/>
      <c r="AO980" s="458"/>
      <c r="AP980" s="458"/>
      <c r="AQ980" s="458"/>
      <c r="AR980" s="458"/>
      <c r="AS980" s="458"/>
      <c r="AT980" s="458"/>
      <c r="AU980" s="458"/>
      <c r="AV980" s="458"/>
      <c r="BA980" s="1305"/>
    </row>
    <row r="981" spans="2:53" ht="15.75" customHeight="1">
      <c r="B981" s="176"/>
      <c r="C981" s="176"/>
      <c r="H981" s="178"/>
      <c r="I981" s="178"/>
      <c r="J981" s="184"/>
      <c r="N981" s="178"/>
      <c r="O981" s="178"/>
      <c r="P981" s="178"/>
      <c r="S981" s="458"/>
      <c r="AN981" s="458"/>
      <c r="AO981" s="458"/>
      <c r="AP981" s="458"/>
      <c r="AQ981" s="458"/>
      <c r="AR981" s="458"/>
      <c r="AS981" s="458"/>
      <c r="AT981" s="458"/>
      <c r="AU981" s="458"/>
      <c r="AV981" s="458"/>
      <c r="BA981" s="1305"/>
    </row>
    <row r="982" spans="2:53" ht="15.75" customHeight="1">
      <c r="B982" s="176"/>
      <c r="C982" s="176"/>
      <c r="H982" s="178"/>
      <c r="I982" s="178"/>
      <c r="J982" s="184"/>
      <c r="N982" s="178"/>
      <c r="O982" s="178"/>
      <c r="P982" s="178"/>
      <c r="S982" s="458"/>
      <c r="AN982" s="458"/>
      <c r="AO982" s="458"/>
      <c r="AP982" s="458"/>
      <c r="AQ982" s="458"/>
      <c r="AR982" s="458"/>
      <c r="AS982" s="458"/>
      <c r="AT982" s="458"/>
      <c r="AU982" s="458"/>
      <c r="AV982" s="458"/>
      <c r="BA982" s="1305"/>
    </row>
    <row r="983" spans="2:53" ht="15.75" customHeight="1">
      <c r="B983" s="176"/>
      <c r="C983" s="176"/>
      <c r="H983" s="178"/>
      <c r="I983" s="178"/>
      <c r="J983" s="184"/>
      <c r="N983" s="178"/>
      <c r="O983" s="178"/>
      <c r="P983" s="178"/>
      <c r="S983" s="458"/>
      <c r="AN983" s="458"/>
      <c r="AO983" s="458"/>
      <c r="AP983" s="458"/>
      <c r="AQ983" s="458"/>
      <c r="AR983" s="458"/>
      <c r="AS983" s="458"/>
      <c r="AT983" s="458"/>
      <c r="AU983" s="458"/>
      <c r="AV983" s="458"/>
      <c r="BA983" s="1305"/>
    </row>
    <row r="984" spans="2:53" ht="15.75" customHeight="1">
      <c r="B984" s="176"/>
      <c r="C984" s="176"/>
      <c r="H984" s="178"/>
      <c r="I984" s="178"/>
      <c r="J984" s="184"/>
      <c r="N984" s="178"/>
      <c r="O984" s="178"/>
      <c r="P984" s="178"/>
      <c r="S984" s="458"/>
      <c r="AN984" s="458"/>
      <c r="AO984" s="458"/>
      <c r="AP984" s="458"/>
      <c r="AQ984" s="458"/>
      <c r="AR984" s="458"/>
      <c r="AS984" s="458"/>
      <c r="AT984" s="458"/>
      <c r="AU984" s="458"/>
      <c r="AV984" s="458"/>
      <c r="BA984" s="1305"/>
    </row>
    <row r="985" spans="2:53" ht="15.75" customHeight="1">
      <c r="B985" s="176"/>
      <c r="C985" s="176"/>
      <c r="H985" s="178"/>
      <c r="I985" s="178"/>
      <c r="J985" s="184"/>
      <c r="N985" s="178"/>
      <c r="O985" s="178"/>
      <c r="P985" s="178"/>
      <c r="S985" s="458"/>
      <c r="AN985" s="458"/>
      <c r="AO985" s="458"/>
      <c r="AP985" s="458"/>
      <c r="AQ985" s="458"/>
      <c r="AR985" s="458"/>
      <c r="AS985" s="458"/>
      <c r="AT985" s="458"/>
      <c r="AU985" s="458"/>
      <c r="AV985" s="458"/>
      <c r="BA985" s="1305"/>
    </row>
    <row r="986" spans="2:53" ht="15.75" customHeight="1">
      <c r="B986" s="176"/>
      <c r="C986" s="176"/>
      <c r="H986" s="178"/>
      <c r="I986" s="179"/>
      <c r="J986" s="184"/>
      <c r="N986" s="178"/>
      <c r="P986" s="178"/>
      <c r="S986" s="458"/>
      <c r="AN986" s="458"/>
      <c r="AO986" s="458"/>
      <c r="AP986" s="458"/>
      <c r="AQ986" s="458"/>
      <c r="AR986" s="458"/>
      <c r="AS986" s="458"/>
      <c r="AT986" s="458"/>
      <c r="AU986" s="458"/>
      <c r="AV986" s="458"/>
      <c r="BA986" s="1305"/>
    </row>
    <row r="987" spans="2:53" ht="15.75" customHeight="1">
      <c r="B987" s="176"/>
      <c r="C987" s="176"/>
      <c r="H987" s="178"/>
      <c r="I987" s="178"/>
      <c r="J987" s="184"/>
      <c r="N987" s="178"/>
      <c r="O987" s="178"/>
      <c r="P987" s="178"/>
      <c r="S987" s="458"/>
      <c r="AN987" s="458"/>
      <c r="AO987" s="458"/>
      <c r="AP987" s="458"/>
      <c r="AQ987" s="458"/>
      <c r="AR987" s="458"/>
      <c r="AS987" s="458"/>
      <c r="AT987" s="458"/>
      <c r="AU987" s="458"/>
      <c r="AV987" s="458"/>
      <c r="BA987" s="1305"/>
    </row>
    <row r="988" spans="2:53" ht="15.75" customHeight="1">
      <c r="B988" s="176"/>
      <c r="C988" s="176"/>
      <c r="H988" s="178"/>
      <c r="I988" s="179"/>
      <c r="J988" s="184"/>
      <c r="N988" s="178"/>
      <c r="O988" s="178"/>
      <c r="P988" s="178"/>
      <c r="S988" s="458"/>
      <c r="AN988" s="458"/>
      <c r="AO988" s="458"/>
      <c r="AP988" s="458"/>
      <c r="AQ988" s="458"/>
      <c r="AR988" s="458"/>
      <c r="AS988" s="458"/>
      <c r="AT988" s="458"/>
      <c r="AU988" s="458"/>
      <c r="AV988" s="458"/>
      <c r="BA988" s="1305"/>
    </row>
    <row r="989" spans="2:53" ht="15.75" customHeight="1">
      <c r="B989" s="176"/>
      <c r="C989" s="176"/>
      <c r="H989" s="178"/>
      <c r="I989" s="178"/>
      <c r="J989" s="184"/>
      <c r="N989" s="178"/>
      <c r="O989" s="178"/>
      <c r="P989" s="178"/>
      <c r="S989" s="458"/>
      <c r="AN989" s="458"/>
      <c r="AO989" s="458"/>
      <c r="AP989" s="458"/>
      <c r="AQ989" s="458"/>
      <c r="AR989" s="458"/>
      <c r="AS989" s="458"/>
      <c r="AT989" s="458"/>
      <c r="AU989" s="458"/>
      <c r="AV989" s="458"/>
      <c r="BA989" s="1305"/>
    </row>
    <row r="990" spans="2:53" ht="15.75" customHeight="1">
      <c r="B990" s="176"/>
      <c r="C990" s="176"/>
      <c r="H990" s="178"/>
      <c r="I990" s="179"/>
      <c r="J990" s="184"/>
      <c r="N990" s="178"/>
      <c r="P990" s="178"/>
      <c r="S990" s="458"/>
      <c r="AN990" s="458"/>
      <c r="AO990" s="458"/>
      <c r="AP990" s="458"/>
      <c r="AQ990" s="458"/>
      <c r="AR990" s="458"/>
      <c r="AS990" s="458"/>
      <c r="AT990" s="458"/>
      <c r="AU990" s="458"/>
      <c r="AV990" s="458"/>
      <c r="BA990" s="1305"/>
    </row>
    <row r="991" spans="2:53" ht="15.75" customHeight="1">
      <c r="B991" s="176"/>
      <c r="C991" s="176"/>
      <c r="H991" s="178"/>
      <c r="I991" s="178"/>
      <c r="J991" s="184"/>
      <c r="N991" s="178"/>
      <c r="P991" s="178"/>
      <c r="S991" s="458"/>
      <c r="AN991" s="458"/>
      <c r="AO991" s="458"/>
      <c r="AP991" s="458"/>
      <c r="AQ991" s="458"/>
      <c r="AR991" s="458"/>
      <c r="AS991" s="458"/>
      <c r="AT991" s="458"/>
      <c r="AU991" s="458"/>
      <c r="AV991" s="458"/>
      <c r="BA991" s="1305"/>
    </row>
    <row r="992" spans="2:53" ht="15.75" customHeight="1">
      <c r="B992" s="176"/>
      <c r="C992" s="176"/>
      <c r="H992" s="178"/>
      <c r="I992" s="179"/>
      <c r="N992" s="178"/>
      <c r="P992" s="178"/>
      <c r="S992" s="458"/>
      <c r="AN992" s="458"/>
      <c r="AO992" s="458"/>
      <c r="AP992" s="458"/>
      <c r="AQ992" s="458"/>
      <c r="AR992" s="458"/>
      <c r="AS992" s="458"/>
      <c r="AT992" s="458"/>
      <c r="AU992" s="458"/>
      <c r="AV992" s="458"/>
      <c r="BA992" s="1305"/>
    </row>
    <row r="993" spans="2:53" ht="15.75" customHeight="1">
      <c r="B993" s="176"/>
      <c r="C993" s="176"/>
      <c r="H993" s="178"/>
      <c r="I993" s="178"/>
      <c r="N993" s="178"/>
      <c r="P993" s="178"/>
      <c r="S993" s="458"/>
      <c r="AN993" s="458"/>
      <c r="AO993" s="458"/>
      <c r="AP993" s="458"/>
      <c r="AQ993" s="458"/>
      <c r="AR993" s="458"/>
      <c r="AS993" s="458"/>
      <c r="AT993" s="458"/>
      <c r="AU993" s="458"/>
      <c r="AV993" s="458"/>
      <c r="BA993" s="1305"/>
    </row>
    <row r="994" spans="2:53" ht="15.75" customHeight="1">
      <c r="B994" s="176"/>
      <c r="C994" s="176"/>
      <c r="H994" s="178"/>
      <c r="I994" s="179"/>
      <c r="N994" s="178"/>
      <c r="P994" s="178"/>
      <c r="S994" s="458"/>
      <c r="AN994" s="458"/>
      <c r="AO994" s="458"/>
      <c r="AP994" s="458"/>
      <c r="AQ994" s="458"/>
      <c r="AR994" s="458"/>
      <c r="AS994" s="458"/>
      <c r="AT994" s="458"/>
      <c r="AU994" s="458"/>
      <c r="AV994" s="458"/>
      <c r="BA994" s="1305"/>
    </row>
    <row r="995" spans="2:53" ht="15.75" customHeight="1">
      <c r="B995" s="176"/>
      <c r="C995" s="176"/>
      <c r="H995" s="178"/>
      <c r="I995" s="178"/>
      <c r="N995" s="178"/>
      <c r="P995" s="178"/>
      <c r="S995" s="458"/>
      <c r="AN995" s="458"/>
      <c r="AO995" s="458"/>
      <c r="AP995" s="458"/>
      <c r="AQ995" s="458"/>
      <c r="AR995" s="458"/>
      <c r="AS995" s="458"/>
      <c r="AT995" s="458"/>
      <c r="AU995" s="458"/>
      <c r="AV995" s="458"/>
      <c r="BA995" s="1305"/>
    </row>
    <row r="996" spans="2:53" ht="15.75" customHeight="1">
      <c r="B996" s="176"/>
      <c r="C996" s="176"/>
      <c r="H996" s="178"/>
      <c r="I996" s="179"/>
      <c r="N996" s="178"/>
      <c r="P996" s="178"/>
      <c r="S996" s="458"/>
      <c r="AN996" s="458"/>
      <c r="AO996" s="458"/>
      <c r="AP996" s="458"/>
      <c r="AQ996" s="458"/>
      <c r="AR996" s="458"/>
      <c r="AS996" s="458"/>
      <c r="AT996" s="458"/>
      <c r="AU996" s="458"/>
      <c r="AV996" s="458"/>
      <c r="BA996" s="1305"/>
    </row>
    <row r="997" spans="2:53" ht="15.75" customHeight="1">
      <c r="B997" s="176"/>
      <c r="C997" s="176"/>
      <c r="H997" s="178"/>
      <c r="I997" s="178"/>
      <c r="N997" s="178"/>
      <c r="P997" s="178"/>
      <c r="S997" s="458"/>
      <c r="AN997" s="458"/>
      <c r="AO997" s="458"/>
      <c r="AP997" s="458"/>
      <c r="AQ997" s="458"/>
      <c r="AR997" s="458"/>
      <c r="AS997" s="458"/>
      <c r="AT997" s="458"/>
      <c r="AU997" s="458"/>
      <c r="AV997" s="458"/>
      <c r="BA997" s="1305"/>
    </row>
    <row r="998" spans="2:53" ht="15.75" customHeight="1">
      <c r="B998" s="176"/>
      <c r="C998" s="176"/>
      <c r="H998" s="178"/>
      <c r="I998" s="178"/>
      <c r="N998" s="178"/>
      <c r="P998" s="178"/>
      <c r="S998" s="458"/>
      <c r="AN998" s="458"/>
      <c r="AO998" s="458"/>
      <c r="AP998" s="458"/>
      <c r="AQ998" s="458"/>
      <c r="AR998" s="458"/>
      <c r="AS998" s="458"/>
      <c r="AT998" s="458"/>
      <c r="AU998" s="458"/>
      <c r="AV998" s="458"/>
      <c r="BA998" s="1305"/>
    </row>
    <row r="999" spans="2:53" ht="15.75" customHeight="1">
      <c r="B999" s="176"/>
      <c r="C999" s="176"/>
      <c r="H999" s="178"/>
      <c r="I999" s="179"/>
      <c r="J999" s="184"/>
      <c r="N999" s="178"/>
      <c r="P999" s="178"/>
      <c r="S999" s="458"/>
      <c r="AN999" s="458"/>
      <c r="AO999" s="458"/>
      <c r="AP999" s="458"/>
      <c r="AQ999" s="458"/>
      <c r="AR999" s="458"/>
      <c r="AS999" s="458"/>
      <c r="AT999" s="458"/>
      <c r="AU999" s="458"/>
      <c r="AV999" s="458"/>
      <c r="BA999" s="1305"/>
    </row>
    <row r="1000" spans="2:53" ht="15.75" customHeight="1">
      <c r="B1000" s="176"/>
      <c r="C1000" s="176"/>
      <c r="H1000" s="178"/>
      <c r="I1000" s="178"/>
      <c r="J1000" s="184"/>
      <c r="N1000" s="178"/>
      <c r="O1000" s="178"/>
      <c r="P1000" s="178"/>
      <c r="S1000" s="458"/>
      <c r="AN1000" s="458"/>
      <c r="AO1000" s="458"/>
      <c r="AP1000" s="458"/>
      <c r="AQ1000" s="458"/>
      <c r="AR1000" s="458"/>
      <c r="AS1000" s="458"/>
      <c r="AT1000" s="458"/>
      <c r="AU1000" s="458"/>
      <c r="AV1000" s="458"/>
      <c r="BA1000" s="1305"/>
    </row>
    <row r="1001" spans="2:53" ht="15.75" customHeight="1">
      <c r="B1001" s="176"/>
      <c r="C1001" s="176"/>
      <c r="H1001" s="178"/>
      <c r="I1001" s="178"/>
      <c r="J1001" s="184"/>
      <c r="N1001" s="178"/>
      <c r="O1001" s="178"/>
      <c r="P1001" s="178"/>
      <c r="S1001" s="458"/>
      <c r="AN1001" s="458"/>
      <c r="AO1001" s="458"/>
      <c r="AP1001" s="458"/>
      <c r="AQ1001" s="458"/>
      <c r="AR1001" s="458"/>
      <c r="AS1001" s="458"/>
      <c r="AT1001" s="458"/>
      <c r="AU1001" s="458"/>
      <c r="AV1001" s="458"/>
      <c r="BA1001" s="1305"/>
    </row>
    <row r="1002" spans="2:53" ht="15.75" customHeight="1">
      <c r="B1002" s="175"/>
      <c r="C1002" s="176"/>
      <c r="H1002" s="178"/>
      <c r="I1002" s="178"/>
      <c r="J1002" s="184"/>
      <c r="N1002" s="178"/>
      <c r="O1002" s="178"/>
      <c r="P1002" s="178"/>
      <c r="S1002" s="458"/>
      <c r="AN1002" s="458"/>
      <c r="AO1002" s="458"/>
      <c r="AP1002" s="458"/>
      <c r="AQ1002" s="458"/>
      <c r="AR1002" s="458"/>
      <c r="AS1002" s="458"/>
      <c r="AT1002" s="458"/>
      <c r="AU1002" s="458"/>
      <c r="AV1002" s="458"/>
      <c r="BA1002" s="1305"/>
    </row>
    <row r="1003" spans="2:53" ht="15.75" customHeight="1">
      <c r="B1003" s="175"/>
      <c r="C1003" s="176"/>
      <c r="H1003" s="178"/>
      <c r="I1003" s="178"/>
      <c r="J1003" s="184"/>
      <c r="N1003" s="178"/>
      <c r="P1003" s="178"/>
      <c r="S1003" s="458"/>
      <c r="AN1003" s="458"/>
      <c r="AO1003" s="458"/>
      <c r="AP1003" s="458"/>
      <c r="AQ1003" s="458"/>
      <c r="AR1003" s="458"/>
      <c r="AS1003" s="458"/>
      <c r="AT1003" s="458"/>
      <c r="AU1003" s="458"/>
      <c r="AV1003" s="458"/>
      <c r="BA1003" s="1305"/>
    </row>
    <row r="1004" spans="2:53" ht="15.75" customHeight="1">
      <c r="B1004" s="175"/>
      <c r="C1004" s="176"/>
      <c r="H1004" s="178"/>
      <c r="I1004" s="178"/>
      <c r="J1004" s="184"/>
      <c r="N1004" s="178"/>
      <c r="O1004" s="178"/>
      <c r="P1004" s="178"/>
      <c r="S1004" s="458"/>
      <c r="AN1004" s="458"/>
      <c r="AO1004" s="458"/>
      <c r="AP1004" s="458"/>
      <c r="AQ1004" s="458"/>
      <c r="AR1004" s="458"/>
      <c r="AS1004" s="458"/>
      <c r="AT1004" s="458"/>
      <c r="AU1004" s="458"/>
      <c r="AV1004" s="458"/>
      <c r="BA1004" s="1305"/>
    </row>
    <row r="1005" spans="2:53" ht="15.75" customHeight="1">
      <c r="B1005" s="175"/>
      <c r="C1005" s="176"/>
      <c r="H1005" s="178"/>
      <c r="I1005" s="178"/>
      <c r="J1005" s="184"/>
      <c r="N1005" s="178"/>
      <c r="O1005" s="178"/>
      <c r="P1005" s="178"/>
      <c r="S1005" s="458"/>
      <c r="AN1005" s="458"/>
      <c r="AO1005" s="458"/>
      <c r="AP1005" s="458"/>
      <c r="AQ1005" s="458"/>
      <c r="AR1005" s="458"/>
      <c r="AS1005" s="458"/>
      <c r="AT1005" s="458"/>
      <c r="AU1005" s="458"/>
      <c r="AV1005" s="458"/>
      <c r="BA1005" s="1305"/>
    </row>
    <row r="1006" spans="2:53" ht="15.75" customHeight="1">
      <c r="B1006" s="175"/>
      <c r="C1006" s="176"/>
      <c r="H1006" s="178"/>
      <c r="I1006" s="178"/>
      <c r="J1006" s="184"/>
      <c r="N1006" s="178"/>
      <c r="O1006" s="178"/>
      <c r="P1006" s="178"/>
      <c r="S1006" s="458"/>
      <c r="AN1006" s="458"/>
      <c r="AO1006" s="458"/>
      <c r="AP1006" s="458"/>
      <c r="AQ1006" s="458"/>
      <c r="AR1006" s="458"/>
      <c r="AS1006" s="458"/>
      <c r="AT1006" s="458"/>
      <c r="AU1006" s="458"/>
      <c r="AV1006" s="458"/>
      <c r="BA1006" s="1305"/>
    </row>
    <row r="1007" spans="2:53" ht="15.75" customHeight="1">
      <c r="B1007" s="175"/>
      <c r="C1007" s="176"/>
      <c r="H1007" s="178"/>
      <c r="I1007" s="178"/>
      <c r="J1007" s="184"/>
      <c r="N1007" s="178"/>
      <c r="O1007" s="178"/>
      <c r="P1007" s="178"/>
      <c r="S1007" s="458"/>
      <c r="AN1007" s="458"/>
      <c r="AO1007" s="458"/>
      <c r="AP1007" s="458"/>
      <c r="AQ1007" s="458"/>
      <c r="AR1007" s="458"/>
      <c r="AS1007" s="458"/>
      <c r="AT1007" s="458"/>
      <c r="AU1007" s="458"/>
      <c r="AV1007" s="458"/>
      <c r="BA1007" s="1305"/>
    </row>
    <row r="1008" spans="2:53" ht="15.75" customHeight="1">
      <c r="B1008" s="175"/>
      <c r="C1008" s="176"/>
      <c r="H1008" s="178"/>
      <c r="I1008" s="178"/>
      <c r="J1008" s="184"/>
      <c r="N1008" s="178"/>
      <c r="O1008" s="178"/>
      <c r="P1008" s="178"/>
      <c r="S1008" s="458"/>
      <c r="AN1008" s="458"/>
      <c r="AO1008" s="458"/>
      <c r="AP1008" s="458"/>
      <c r="AQ1008" s="458"/>
      <c r="AR1008" s="458"/>
      <c r="AS1008" s="458"/>
      <c r="AT1008" s="458"/>
      <c r="AU1008" s="458"/>
      <c r="AV1008" s="458"/>
      <c r="BA1008" s="1305"/>
    </row>
    <row r="1009" spans="2:53" ht="15.75" customHeight="1">
      <c r="B1009" s="175"/>
      <c r="C1009" s="176"/>
      <c r="H1009" s="178"/>
      <c r="I1009" s="178"/>
      <c r="J1009" s="184"/>
      <c r="N1009" s="178"/>
      <c r="O1009" s="178"/>
      <c r="P1009" s="178"/>
      <c r="S1009" s="458"/>
      <c r="AN1009" s="458"/>
      <c r="AO1009" s="458"/>
      <c r="AP1009" s="458"/>
      <c r="AQ1009" s="458"/>
      <c r="AR1009" s="458"/>
      <c r="AS1009" s="458"/>
      <c r="AT1009" s="458"/>
      <c r="AU1009" s="458"/>
      <c r="AV1009" s="458"/>
      <c r="BA1009" s="1305"/>
    </row>
    <row r="1010" spans="2:53" ht="15.75" customHeight="1">
      <c r="B1010" s="175"/>
      <c r="C1010" s="176"/>
      <c r="H1010" s="178"/>
      <c r="I1010" s="178"/>
      <c r="J1010" s="184"/>
      <c r="N1010" s="178"/>
      <c r="O1010" s="178"/>
      <c r="P1010" s="178"/>
      <c r="S1010" s="458"/>
      <c r="AN1010" s="458"/>
      <c r="AO1010" s="458"/>
      <c r="AP1010" s="458"/>
      <c r="AQ1010" s="458"/>
      <c r="AR1010" s="458"/>
      <c r="AS1010" s="458"/>
      <c r="AT1010" s="458"/>
      <c r="AU1010" s="458"/>
      <c r="AV1010" s="458"/>
      <c r="BA1010" s="1305"/>
    </row>
    <row r="1011" spans="2:53" ht="15.75" customHeight="1">
      <c r="B1011" s="175"/>
      <c r="C1011" s="176"/>
      <c r="H1011" s="178"/>
      <c r="I1011" s="178"/>
      <c r="J1011" s="184"/>
      <c r="N1011" s="178"/>
      <c r="O1011" s="178"/>
      <c r="P1011" s="178"/>
      <c r="S1011" s="458"/>
      <c r="AN1011" s="458"/>
      <c r="AO1011" s="458"/>
      <c r="AP1011" s="458"/>
      <c r="AQ1011" s="458"/>
      <c r="AR1011" s="458"/>
      <c r="AS1011" s="458"/>
      <c r="AT1011" s="458"/>
      <c r="AU1011" s="458"/>
      <c r="AV1011" s="458"/>
      <c r="BA1011" s="1305"/>
    </row>
    <row r="1012" spans="2:53" ht="15.75" customHeight="1">
      <c r="B1012" s="175"/>
      <c r="C1012" s="176"/>
      <c r="H1012" s="178"/>
      <c r="I1012" s="179"/>
      <c r="J1012" s="184"/>
      <c r="N1012" s="178"/>
      <c r="O1012" s="178"/>
      <c r="P1012" s="178"/>
      <c r="S1012" s="458"/>
      <c r="AN1012" s="458"/>
      <c r="AO1012" s="458"/>
      <c r="AP1012" s="458"/>
      <c r="AQ1012" s="458"/>
      <c r="AR1012" s="458"/>
      <c r="AS1012" s="458"/>
      <c r="AT1012" s="458"/>
      <c r="AU1012" s="458"/>
      <c r="AV1012" s="458"/>
      <c r="BA1012" s="1305"/>
    </row>
    <row r="1013" spans="2:53" ht="15.75" customHeight="1">
      <c r="B1013" s="175"/>
      <c r="C1013" s="176"/>
      <c r="H1013" s="178"/>
      <c r="I1013" s="178"/>
      <c r="J1013" s="184"/>
      <c r="N1013" s="178"/>
      <c r="O1013" s="178"/>
      <c r="P1013" s="178"/>
      <c r="S1013" s="458"/>
      <c r="AN1013" s="458"/>
      <c r="AO1013" s="458"/>
      <c r="AP1013" s="458"/>
      <c r="AQ1013" s="458"/>
      <c r="AR1013" s="458"/>
      <c r="AS1013" s="458"/>
      <c r="AT1013" s="458"/>
      <c r="AU1013" s="458"/>
      <c r="AV1013" s="458"/>
      <c r="BA1013" s="1305"/>
    </row>
    <row r="1014" spans="2:53" ht="15.75" customHeight="1">
      <c r="B1014" s="175"/>
      <c r="C1014" s="176"/>
      <c r="H1014" s="178"/>
      <c r="I1014" s="179"/>
      <c r="J1014" s="184"/>
      <c r="N1014" s="178"/>
      <c r="O1014" s="178"/>
      <c r="P1014" s="178"/>
      <c r="S1014" s="458"/>
      <c r="AN1014" s="458"/>
      <c r="AO1014" s="458"/>
      <c r="AP1014" s="458"/>
      <c r="AQ1014" s="458"/>
      <c r="AR1014" s="458"/>
      <c r="AS1014" s="458"/>
      <c r="AT1014" s="458"/>
      <c r="AU1014" s="458"/>
      <c r="AV1014" s="458"/>
      <c r="BA1014" s="1305"/>
    </row>
    <row r="1015" spans="2:53" ht="15.75" customHeight="1">
      <c r="B1015" s="175"/>
      <c r="C1015" s="176"/>
      <c r="H1015" s="178"/>
      <c r="I1015" s="178"/>
      <c r="J1015" s="184"/>
      <c r="N1015" s="178"/>
      <c r="O1015" s="178"/>
      <c r="P1015" s="178"/>
      <c r="S1015" s="458"/>
      <c r="AN1015" s="458"/>
      <c r="AO1015" s="458"/>
      <c r="AP1015" s="458"/>
      <c r="AQ1015" s="458"/>
      <c r="AR1015" s="458"/>
      <c r="AS1015" s="458"/>
      <c r="AT1015" s="458"/>
      <c r="AU1015" s="458"/>
      <c r="AV1015" s="458"/>
      <c r="BA1015" s="1305"/>
    </row>
    <row r="1016" spans="2:53" ht="15.75" customHeight="1">
      <c r="B1016" s="175"/>
      <c r="C1016" s="176"/>
      <c r="H1016" s="178"/>
      <c r="I1016" s="178"/>
      <c r="J1016" s="184"/>
      <c r="N1016" s="178"/>
      <c r="O1016" s="178"/>
      <c r="P1016" s="178"/>
      <c r="S1016" s="458"/>
      <c r="AN1016" s="458"/>
      <c r="AO1016" s="458"/>
      <c r="AP1016" s="458"/>
      <c r="AQ1016" s="458"/>
      <c r="AR1016" s="458"/>
      <c r="AS1016" s="458"/>
      <c r="AT1016" s="458"/>
      <c r="AU1016" s="458"/>
      <c r="AV1016" s="458"/>
      <c r="BA1016" s="1305"/>
    </row>
    <row r="1017" spans="2:53" ht="15.75" customHeight="1">
      <c r="B1017" s="175"/>
      <c r="C1017" s="176"/>
      <c r="H1017" s="178"/>
      <c r="I1017" s="178"/>
      <c r="J1017" s="184"/>
      <c r="N1017" s="178"/>
      <c r="O1017" s="178"/>
      <c r="P1017" s="178"/>
      <c r="S1017" s="458"/>
      <c r="AN1017" s="458"/>
      <c r="AO1017" s="458"/>
      <c r="AP1017" s="458"/>
      <c r="AQ1017" s="458"/>
      <c r="AR1017" s="458"/>
      <c r="AS1017" s="458"/>
      <c r="AT1017" s="458"/>
      <c r="AU1017" s="458"/>
      <c r="AV1017" s="458"/>
      <c r="BA1017" s="1305"/>
    </row>
    <row r="1018" spans="2:53" ht="15.75" customHeight="1">
      <c r="B1018" s="175"/>
      <c r="C1018" s="176"/>
      <c r="H1018" s="178"/>
      <c r="I1018" s="178"/>
      <c r="J1018" s="184"/>
      <c r="N1018" s="178"/>
      <c r="O1018" s="178"/>
      <c r="P1018" s="178"/>
      <c r="S1018" s="458"/>
      <c r="AN1018" s="458"/>
      <c r="AO1018" s="458"/>
      <c r="AP1018" s="458"/>
      <c r="AQ1018" s="458"/>
      <c r="AR1018" s="458"/>
      <c r="AS1018" s="458"/>
      <c r="AT1018" s="458"/>
      <c r="AU1018" s="458"/>
      <c r="AV1018" s="458"/>
      <c r="BA1018" s="1305"/>
    </row>
    <row r="1019" spans="2:53" ht="15.75" customHeight="1">
      <c r="B1019" s="175"/>
      <c r="C1019" s="176"/>
      <c r="H1019" s="178"/>
      <c r="I1019" s="178"/>
      <c r="J1019" s="184"/>
      <c r="N1019" s="178"/>
      <c r="O1019" s="178"/>
      <c r="P1019" s="178"/>
      <c r="S1019" s="458"/>
      <c r="AN1019" s="458"/>
      <c r="AO1019" s="458"/>
      <c r="AP1019" s="458"/>
      <c r="AQ1019" s="458"/>
      <c r="AR1019" s="458"/>
      <c r="AS1019" s="458"/>
      <c r="AT1019" s="458"/>
      <c r="AU1019" s="458"/>
      <c r="AV1019" s="458"/>
      <c r="BA1019" s="1305"/>
    </row>
    <row r="1020" spans="2:53" ht="15.75" customHeight="1">
      <c r="B1020" s="175"/>
      <c r="C1020" s="176"/>
      <c r="H1020" s="178"/>
      <c r="I1020" s="178"/>
      <c r="J1020" s="184"/>
      <c r="N1020" s="178"/>
      <c r="O1020" s="178"/>
      <c r="P1020" s="178"/>
      <c r="S1020" s="458"/>
      <c r="AN1020" s="458"/>
      <c r="AO1020" s="458"/>
      <c r="AP1020" s="458"/>
      <c r="AQ1020" s="458"/>
      <c r="AR1020" s="458"/>
      <c r="AS1020" s="458"/>
      <c r="AT1020" s="458"/>
      <c r="AU1020" s="458"/>
      <c r="AV1020" s="458"/>
      <c r="BA1020" s="1305"/>
    </row>
    <row r="1021" spans="2:53" ht="15.75" customHeight="1">
      <c r="B1021" s="175"/>
      <c r="C1021" s="176"/>
      <c r="H1021" s="178"/>
      <c r="I1021" s="178"/>
      <c r="J1021" s="184"/>
      <c r="N1021" s="178"/>
      <c r="O1021" s="178"/>
      <c r="P1021" s="178"/>
      <c r="S1021" s="458"/>
      <c r="AN1021" s="458"/>
      <c r="AO1021" s="458"/>
      <c r="AP1021" s="458"/>
      <c r="AQ1021" s="458"/>
      <c r="AR1021" s="458"/>
      <c r="AS1021" s="458"/>
      <c r="AT1021" s="458"/>
      <c r="AU1021" s="458"/>
      <c r="AV1021" s="458"/>
      <c r="BA1021" s="1305"/>
    </row>
    <row r="1022" spans="2:53" ht="15.75" customHeight="1">
      <c r="B1022" s="175"/>
      <c r="C1022" s="176"/>
      <c r="H1022" s="178"/>
      <c r="I1022" s="178"/>
      <c r="J1022" s="184"/>
      <c r="N1022" s="178"/>
      <c r="O1022" s="178"/>
      <c r="P1022" s="178"/>
      <c r="S1022" s="458"/>
      <c r="AN1022" s="458"/>
      <c r="AO1022" s="458"/>
      <c r="AP1022" s="458"/>
      <c r="AQ1022" s="458"/>
      <c r="AR1022" s="458"/>
      <c r="AS1022" s="458"/>
      <c r="AT1022" s="458"/>
      <c r="AU1022" s="458"/>
      <c r="AV1022" s="458"/>
      <c r="BA1022" s="1305"/>
    </row>
    <row r="1023" spans="2:53" ht="15.75" customHeight="1">
      <c r="B1023" s="175"/>
      <c r="C1023" s="176"/>
      <c r="H1023" s="178"/>
      <c r="I1023" s="178"/>
      <c r="J1023" s="184"/>
      <c r="N1023" s="178"/>
      <c r="O1023" s="178"/>
      <c r="P1023" s="178"/>
      <c r="S1023" s="458"/>
      <c r="AN1023" s="458"/>
      <c r="AO1023" s="458"/>
      <c r="AP1023" s="458"/>
      <c r="AQ1023" s="458"/>
      <c r="AR1023" s="458"/>
      <c r="AS1023" s="458"/>
      <c r="AT1023" s="458"/>
      <c r="AU1023" s="458"/>
      <c r="AV1023" s="458"/>
      <c r="BA1023" s="1305"/>
    </row>
    <row r="1024" spans="2:53" ht="15.75" customHeight="1">
      <c r="B1024" s="175"/>
      <c r="C1024" s="176"/>
      <c r="H1024" s="178"/>
      <c r="I1024" s="182"/>
      <c r="J1024" s="184"/>
      <c r="N1024" s="178"/>
      <c r="O1024" s="178"/>
      <c r="P1024" s="178"/>
      <c r="S1024" s="458"/>
      <c r="AN1024" s="458"/>
      <c r="AO1024" s="458"/>
      <c r="AP1024" s="458"/>
      <c r="AQ1024" s="458"/>
      <c r="AR1024" s="458"/>
      <c r="AS1024" s="458"/>
      <c r="AT1024" s="458"/>
      <c r="AU1024" s="458"/>
      <c r="AV1024" s="458"/>
      <c r="BA1024" s="1305"/>
    </row>
    <row r="1025" spans="2:53" ht="15.75" customHeight="1">
      <c r="B1025" s="175"/>
      <c r="C1025" s="176"/>
      <c r="H1025" s="178"/>
      <c r="I1025" s="178"/>
      <c r="J1025" s="184"/>
      <c r="N1025" s="178"/>
      <c r="O1025" s="178"/>
      <c r="P1025" s="178"/>
      <c r="S1025" s="458"/>
      <c r="AN1025" s="458"/>
      <c r="AO1025" s="458"/>
      <c r="AP1025" s="458"/>
      <c r="AQ1025" s="458"/>
      <c r="AR1025" s="458"/>
      <c r="AS1025" s="458"/>
      <c r="AT1025" s="458"/>
      <c r="AU1025" s="458"/>
      <c r="AV1025" s="458"/>
      <c r="BA1025" s="1305"/>
    </row>
    <row r="1026" spans="2:53" ht="15.75" customHeight="1">
      <c r="B1026" s="175"/>
      <c r="C1026" s="176"/>
      <c r="H1026" s="178"/>
      <c r="N1026" s="178"/>
      <c r="O1026" s="178"/>
      <c r="P1026" s="178"/>
      <c r="S1026" s="458"/>
      <c r="AN1026" s="458"/>
      <c r="AO1026" s="458"/>
      <c r="AP1026" s="458"/>
      <c r="AQ1026" s="458"/>
      <c r="AR1026" s="458"/>
      <c r="AS1026" s="458"/>
      <c r="AT1026" s="458"/>
      <c r="AU1026" s="458"/>
      <c r="AV1026" s="458"/>
      <c r="BA1026" s="1305"/>
    </row>
    <row r="1027" spans="2:53" ht="15.75" customHeight="1">
      <c r="B1027" s="175"/>
      <c r="C1027" s="176"/>
      <c r="H1027" s="178"/>
      <c r="N1027" s="178"/>
      <c r="O1027" s="178"/>
      <c r="P1027" s="178"/>
      <c r="S1027" s="458"/>
      <c r="AN1027" s="458"/>
      <c r="AO1027" s="458"/>
      <c r="AP1027" s="458"/>
      <c r="AQ1027" s="458"/>
      <c r="AR1027" s="458"/>
      <c r="AS1027" s="458"/>
      <c r="AT1027" s="458"/>
      <c r="AU1027" s="458"/>
      <c r="AV1027" s="458"/>
      <c r="BA1027" s="1305"/>
    </row>
    <row r="1028" spans="2:53" ht="15.75" customHeight="1">
      <c r="B1028" s="175"/>
      <c r="C1028" s="176"/>
      <c r="H1028" s="178"/>
      <c r="I1028" s="179"/>
      <c r="J1028" s="184"/>
      <c r="N1028" s="178"/>
      <c r="O1028" s="178"/>
      <c r="P1028" s="178"/>
      <c r="S1028" s="458"/>
      <c r="AN1028" s="458"/>
      <c r="AO1028" s="458"/>
      <c r="AP1028" s="458"/>
      <c r="AQ1028" s="458"/>
      <c r="AR1028" s="458"/>
      <c r="AS1028" s="458"/>
      <c r="AT1028" s="458"/>
      <c r="AU1028" s="458"/>
      <c r="AV1028" s="458"/>
      <c r="BA1028" s="1305"/>
    </row>
    <row r="1029" spans="2:53" ht="15.75" customHeight="1">
      <c r="B1029" s="175"/>
      <c r="C1029" s="176"/>
      <c r="H1029" s="178"/>
      <c r="I1029" s="179"/>
      <c r="J1029" s="184"/>
      <c r="N1029" s="178"/>
      <c r="O1029" s="178"/>
      <c r="P1029" s="178"/>
      <c r="S1029" s="458"/>
      <c r="AN1029" s="458"/>
      <c r="AO1029" s="458"/>
      <c r="AP1029" s="458"/>
      <c r="AQ1029" s="458"/>
      <c r="AR1029" s="458"/>
      <c r="AS1029" s="458"/>
      <c r="AT1029" s="458"/>
      <c r="AU1029" s="458"/>
      <c r="AV1029" s="458"/>
      <c r="BA1029" s="1305"/>
    </row>
    <row r="1030" spans="2:53" ht="15.75" customHeight="1">
      <c r="B1030" s="175"/>
      <c r="C1030" s="176"/>
      <c r="H1030" s="178"/>
      <c r="I1030" s="179"/>
      <c r="J1030" s="184"/>
      <c r="N1030" s="178"/>
      <c r="O1030" s="178"/>
      <c r="P1030" s="178"/>
      <c r="S1030" s="458"/>
      <c r="AN1030" s="458"/>
      <c r="AO1030" s="458"/>
      <c r="AP1030" s="458"/>
      <c r="AQ1030" s="458"/>
      <c r="AR1030" s="458"/>
      <c r="AS1030" s="458"/>
      <c r="AT1030" s="458"/>
      <c r="AU1030" s="458"/>
      <c r="AV1030" s="458"/>
      <c r="BA1030" s="1305"/>
    </row>
    <row r="1031" spans="2:53" ht="15.75" customHeight="1">
      <c r="B1031" s="175"/>
      <c r="C1031" s="176"/>
      <c r="H1031" s="178"/>
      <c r="I1031" s="179"/>
      <c r="J1031" s="184"/>
      <c r="N1031" s="178"/>
      <c r="O1031" s="178"/>
      <c r="P1031" s="178"/>
      <c r="S1031" s="458"/>
      <c r="AN1031" s="458"/>
      <c r="AO1031" s="458"/>
      <c r="AP1031" s="458"/>
      <c r="AQ1031" s="458"/>
      <c r="AR1031" s="458"/>
      <c r="AS1031" s="458"/>
      <c r="AT1031" s="458"/>
      <c r="AU1031" s="458"/>
      <c r="AV1031" s="458"/>
      <c r="BA1031" s="1305"/>
    </row>
    <row r="1032" spans="2:53" ht="15.75" customHeight="1">
      <c r="B1032" s="175"/>
      <c r="C1032" s="176"/>
      <c r="H1032" s="178"/>
      <c r="I1032" s="179"/>
      <c r="J1032" s="184"/>
      <c r="N1032" s="178"/>
      <c r="O1032" s="178"/>
      <c r="P1032" s="178"/>
      <c r="S1032" s="458"/>
      <c r="AN1032" s="458"/>
      <c r="AO1032" s="458"/>
      <c r="AP1032" s="458"/>
      <c r="AQ1032" s="458"/>
      <c r="AR1032" s="458"/>
      <c r="AS1032" s="458"/>
      <c r="AT1032" s="458"/>
      <c r="AU1032" s="458"/>
      <c r="AV1032" s="458"/>
      <c r="BA1032" s="1305"/>
    </row>
    <row r="1033" spans="2:53" ht="15.75" customHeight="1">
      <c r="B1033" s="175"/>
      <c r="C1033" s="176"/>
      <c r="H1033" s="178"/>
      <c r="I1033" s="178"/>
      <c r="J1033" s="184"/>
      <c r="N1033" s="178"/>
      <c r="O1033" s="178"/>
      <c r="P1033" s="178"/>
      <c r="S1033" s="458"/>
      <c r="AN1033" s="458"/>
      <c r="AO1033" s="458"/>
      <c r="AP1033" s="458"/>
      <c r="AQ1033" s="458"/>
      <c r="AR1033" s="458"/>
      <c r="AS1033" s="458"/>
      <c r="AT1033" s="458"/>
      <c r="AU1033" s="458"/>
      <c r="AV1033" s="458"/>
      <c r="BA1033" s="1305"/>
    </row>
    <row r="1034" spans="2:53" ht="15.75" customHeight="1">
      <c r="B1034" s="175"/>
      <c r="C1034" s="176"/>
      <c r="H1034" s="178"/>
      <c r="I1034" s="179"/>
      <c r="J1034" s="184"/>
      <c r="N1034" s="178"/>
      <c r="O1034" s="178"/>
      <c r="P1034" s="178"/>
      <c r="S1034" s="458"/>
      <c r="AN1034" s="458"/>
      <c r="AO1034" s="458"/>
      <c r="AP1034" s="458"/>
      <c r="AQ1034" s="458"/>
      <c r="AR1034" s="458"/>
      <c r="AS1034" s="458"/>
      <c r="AT1034" s="458"/>
      <c r="AU1034" s="458"/>
      <c r="AV1034" s="458"/>
      <c r="BA1034" s="1305"/>
    </row>
    <row r="1035" spans="2:53" ht="15.75" customHeight="1">
      <c r="B1035" s="175"/>
      <c r="C1035" s="176"/>
      <c r="H1035" s="178"/>
      <c r="I1035" s="179"/>
      <c r="J1035" s="184"/>
      <c r="N1035" s="178"/>
      <c r="O1035" s="178"/>
      <c r="P1035" s="178"/>
      <c r="S1035" s="458"/>
      <c r="AN1035" s="458"/>
      <c r="AO1035" s="458"/>
      <c r="AP1035" s="458"/>
      <c r="AQ1035" s="458"/>
      <c r="AR1035" s="458"/>
      <c r="AS1035" s="458"/>
      <c r="AT1035" s="458"/>
      <c r="AU1035" s="458"/>
      <c r="AV1035" s="458"/>
      <c r="BA1035" s="1305"/>
    </row>
    <row r="1036" spans="2:53" ht="15.75" customHeight="1">
      <c r="B1036" s="175"/>
      <c r="C1036" s="176"/>
      <c r="H1036" s="178"/>
      <c r="I1036" s="179"/>
      <c r="J1036" s="184"/>
      <c r="N1036" s="178"/>
      <c r="O1036" s="178"/>
      <c r="P1036" s="178"/>
      <c r="S1036" s="458"/>
      <c r="AN1036" s="458"/>
      <c r="AO1036" s="458"/>
      <c r="AP1036" s="458"/>
      <c r="AQ1036" s="458"/>
      <c r="AR1036" s="458"/>
      <c r="AS1036" s="458"/>
      <c r="AT1036" s="458"/>
      <c r="AU1036" s="458"/>
      <c r="AV1036" s="458"/>
      <c r="BA1036" s="1305"/>
    </row>
    <row r="1037" spans="2:53" ht="15.75" customHeight="1">
      <c r="B1037" s="175"/>
      <c r="C1037" s="176"/>
      <c r="H1037" s="178"/>
      <c r="I1037" s="178"/>
      <c r="J1037" s="184"/>
      <c r="N1037" s="178"/>
      <c r="O1037" s="178"/>
      <c r="P1037" s="178"/>
      <c r="S1037" s="458"/>
      <c r="AN1037" s="458"/>
      <c r="AO1037" s="458"/>
      <c r="AP1037" s="458"/>
      <c r="AQ1037" s="458"/>
      <c r="AR1037" s="458"/>
      <c r="AS1037" s="458"/>
      <c r="AT1037" s="458"/>
      <c r="AU1037" s="458"/>
      <c r="AV1037" s="458"/>
      <c r="BA1037" s="1305"/>
    </row>
    <row r="1038" spans="2:53" ht="15.75" customHeight="1">
      <c r="B1038" s="175"/>
      <c r="C1038" s="176"/>
      <c r="H1038" s="178"/>
      <c r="I1038" s="179"/>
      <c r="J1038" s="184"/>
      <c r="N1038" s="178"/>
      <c r="O1038" s="178"/>
      <c r="P1038" s="178"/>
      <c r="S1038" s="458"/>
      <c r="AN1038" s="458"/>
      <c r="AO1038" s="458"/>
      <c r="AP1038" s="458"/>
      <c r="AQ1038" s="458"/>
      <c r="AR1038" s="458"/>
      <c r="AS1038" s="458"/>
      <c r="AT1038" s="458"/>
      <c r="AU1038" s="458"/>
      <c r="AV1038" s="458"/>
      <c r="BA1038" s="1305"/>
    </row>
    <row r="1039" spans="2:53" ht="15.75" customHeight="1">
      <c r="B1039" s="175"/>
      <c r="C1039" s="176"/>
      <c r="H1039" s="178"/>
      <c r="I1039" s="178"/>
      <c r="J1039" s="184"/>
      <c r="N1039" s="178"/>
      <c r="O1039" s="178"/>
      <c r="P1039" s="178"/>
      <c r="S1039" s="458"/>
      <c r="AN1039" s="458"/>
      <c r="AO1039" s="458"/>
      <c r="AP1039" s="458"/>
      <c r="AQ1039" s="458"/>
      <c r="AR1039" s="458"/>
      <c r="AS1039" s="458"/>
      <c r="AT1039" s="458"/>
      <c r="AU1039" s="458"/>
      <c r="AV1039" s="458"/>
      <c r="BA1039" s="1305"/>
    </row>
    <row r="1040" spans="2:53" ht="15.75" customHeight="1">
      <c r="B1040" s="175"/>
      <c r="C1040" s="176"/>
      <c r="H1040" s="178"/>
      <c r="I1040" s="179"/>
      <c r="J1040" s="184"/>
      <c r="N1040" s="178"/>
      <c r="O1040" s="178"/>
      <c r="P1040" s="178"/>
      <c r="S1040" s="458"/>
      <c r="AN1040" s="458"/>
      <c r="AO1040" s="458"/>
      <c r="AP1040" s="458"/>
      <c r="AQ1040" s="458"/>
      <c r="AR1040" s="458"/>
      <c r="AS1040" s="458"/>
      <c r="AT1040" s="458"/>
      <c r="AU1040" s="458"/>
      <c r="AV1040" s="458"/>
      <c r="BA1040" s="1305"/>
    </row>
    <row r="1041" spans="2:53" ht="15.75" customHeight="1">
      <c r="B1041" s="175"/>
      <c r="C1041" s="176"/>
      <c r="H1041" s="178"/>
      <c r="I1041" s="178"/>
      <c r="J1041" s="184"/>
      <c r="N1041" s="178"/>
      <c r="O1041" s="178"/>
      <c r="P1041" s="178"/>
      <c r="S1041" s="458"/>
      <c r="AN1041" s="458"/>
      <c r="AO1041" s="458"/>
      <c r="AP1041" s="458"/>
      <c r="AQ1041" s="458"/>
      <c r="AR1041" s="458"/>
      <c r="AS1041" s="458"/>
      <c r="AT1041" s="458"/>
      <c r="AU1041" s="458"/>
      <c r="AV1041" s="458"/>
      <c r="BA1041" s="1305"/>
    </row>
    <row r="1042" spans="2:53" ht="15.75" customHeight="1">
      <c r="B1042" s="175"/>
      <c r="C1042" s="176"/>
      <c r="H1042" s="178"/>
      <c r="I1042" s="179"/>
      <c r="J1042" s="184"/>
      <c r="N1042" s="178"/>
      <c r="O1042" s="178"/>
      <c r="P1042" s="178"/>
      <c r="S1042" s="458"/>
      <c r="AN1042" s="458"/>
      <c r="AO1042" s="458"/>
      <c r="AP1042" s="458"/>
      <c r="AQ1042" s="458"/>
      <c r="AR1042" s="458"/>
      <c r="AS1042" s="458"/>
      <c r="AT1042" s="458"/>
      <c r="AU1042" s="458"/>
      <c r="AV1042" s="458"/>
      <c r="BA1042" s="1305"/>
    </row>
    <row r="1043" spans="2:53" ht="15.75" customHeight="1">
      <c r="B1043" s="175"/>
      <c r="C1043" s="176"/>
      <c r="H1043" s="178"/>
      <c r="I1043" s="178"/>
      <c r="J1043" s="184"/>
      <c r="N1043" s="178"/>
      <c r="O1043" s="178"/>
      <c r="P1043" s="178"/>
      <c r="S1043" s="458"/>
      <c r="AN1043" s="458"/>
      <c r="AO1043" s="458"/>
      <c r="AP1043" s="458"/>
      <c r="AQ1043" s="458"/>
      <c r="AR1043" s="458"/>
      <c r="AS1043" s="458"/>
      <c r="AT1043" s="458"/>
      <c r="AU1043" s="458"/>
      <c r="AV1043" s="458"/>
      <c r="BA1043" s="1305"/>
    </row>
    <row r="1044" spans="2:53" ht="15.75" customHeight="1">
      <c r="B1044" s="175"/>
      <c r="C1044" s="176"/>
      <c r="H1044" s="178"/>
      <c r="I1044" s="179"/>
      <c r="J1044" s="184"/>
      <c r="N1044" s="178"/>
      <c r="O1044" s="178"/>
      <c r="P1044" s="178"/>
      <c r="S1044" s="458"/>
      <c r="AN1044" s="458"/>
      <c r="AO1044" s="458"/>
      <c r="AP1044" s="458"/>
      <c r="AQ1044" s="458"/>
      <c r="AR1044" s="458"/>
      <c r="AS1044" s="458"/>
      <c r="AT1044" s="458"/>
      <c r="AU1044" s="458"/>
      <c r="AV1044" s="458"/>
      <c r="BA1044" s="1305"/>
    </row>
    <row r="1045" spans="2:53" ht="15.75" customHeight="1">
      <c r="B1045" s="175"/>
      <c r="C1045" s="176"/>
      <c r="H1045" s="178"/>
      <c r="I1045" s="178"/>
      <c r="J1045" s="184"/>
      <c r="N1045" s="178"/>
      <c r="O1045" s="178"/>
      <c r="P1045" s="178"/>
      <c r="S1045" s="458"/>
      <c r="AN1045" s="458"/>
      <c r="AO1045" s="458"/>
      <c r="AP1045" s="458"/>
      <c r="AQ1045" s="458"/>
      <c r="AR1045" s="458"/>
      <c r="AS1045" s="458"/>
      <c r="AT1045" s="458"/>
      <c r="AU1045" s="458"/>
      <c r="AV1045" s="458"/>
      <c r="BA1045" s="1305"/>
    </row>
    <row r="1046" spans="2:53" ht="15.75" customHeight="1">
      <c r="B1046" s="175"/>
      <c r="C1046" s="176"/>
      <c r="H1046" s="178"/>
      <c r="I1046" s="179"/>
      <c r="J1046" s="184"/>
      <c r="N1046" s="178"/>
      <c r="O1046" s="178"/>
      <c r="P1046" s="178"/>
      <c r="S1046" s="458"/>
      <c r="AN1046" s="458"/>
      <c r="AO1046" s="458"/>
      <c r="AP1046" s="458"/>
      <c r="AQ1046" s="458"/>
      <c r="AR1046" s="458"/>
      <c r="AS1046" s="458"/>
      <c r="AT1046" s="458"/>
      <c r="AU1046" s="458"/>
      <c r="AV1046" s="458"/>
      <c r="BA1046" s="1305"/>
    </row>
    <row r="1047" spans="2:53" ht="15.75" customHeight="1">
      <c r="B1047" s="175"/>
      <c r="C1047" s="176"/>
      <c r="H1047" s="178"/>
      <c r="I1047" s="179"/>
      <c r="J1047" s="184"/>
      <c r="N1047" s="178"/>
      <c r="O1047" s="178"/>
      <c r="P1047" s="178"/>
      <c r="S1047" s="458"/>
      <c r="AN1047" s="458"/>
      <c r="AO1047" s="458"/>
      <c r="AP1047" s="458"/>
      <c r="AQ1047" s="458"/>
      <c r="AR1047" s="458"/>
      <c r="AS1047" s="458"/>
      <c r="AT1047" s="458"/>
      <c r="AU1047" s="458"/>
      <c r="AV1047" s="458"/>
      <c r="BA1047" s="1305"/>
    </row>
    <row r="1048" spans="2:53" ht="15.75" customHeight="1">
      <c r="B1048" s="175"/>
      <c r="C1048" s="176"/>
      <c r="H1048" s="178"/>
      <c r="I1048" s="179"/>
      <c r="J1048" s="184"/>
      <c r="N1048" s="178"/>
      <c r="O1048" s="178"/>
      <c r="P1048" s="178"/>
      <c r="S1048" s="458"/>
      <c r="AN1048" s="458"/>
      <c r="AO1048" s="458"/>
      <c r="AP1048" s="458"/>
      <c r="AQ1048" s="458"/>
      <c r="AR1048" s="458"/>
      <c r="AS1048" s="458"/>
      <c r="AT1048" s="458"/>
      <c r="AU1048" s="458"/>
      <c r="AV1048" s="458"/>
      <c r="BA1048" s="1305"/>
    </row>
    <row r="1049" spans="2:53" ht="15.75" customHeight="1">
      <c r="B1049" s="175"/>
      <c r="C1049" s="176"/>
      <c r="H1049" s="178"/>
      <c r="I1049" s="178"/>
      <c r="J1049" s="184"/>
      <c r="N1049" s="178"/>
      <c r="O1049" s="178"/>
      <c r="P1049" s="178"/>
      <c r="S1049" s="458"/>
      <c r="AN1049" s="458"/>
      <c r="AO1049" s="458"/>
      <c r="AP1049" s="458"/>
      <c r="AQ1049" s="458"/>
      <c r="AR1049" s="458"/>
      <c r="AS1049" s="458"/>
      <c r="AT1049" s="458"/>
      <c r="AU1049" s="458"/>
      <c r="AV1049" s="458"/>
      <c r="BA1049" s="1305"/>
    </row>
    <row r="1050" spans="2:53" ht="15.75" customHeight="1">
      <c r="B1050" s="175"/>
      <c r="C1050" s="176"/>
      <c r="H1050" s="178"/>
      <c r="I1050" s="179"/>
      <c r="J1050" s="184"/>
      <c r="N1050" s="178"/>
      <c r="O1050" s="178"/>
      <c r="P1050" s="178"/>
      <c r="S1050" s="458"/>
      <c r="AN1050" s="458"/>
      <c r="AO1050" s="458"/>
      <c r="AP1050" s="458"/>
      <c r="AQ1050" s="458"/>
      <c r="AR1050" s="458"/>
      <c r="AS1050" s="458"/>
      <c r="AT1050" s="458"/>
      <c r="AU1050" s="458"/>
      <c r="AV1050" s="458"/>
      <c r="BA1050" s="1305"/>
    </row>
    <row r="1051" spans="2:53" ht="15.75" customHeight="1">
      <c r="B1051" s="175"/>
      <c r="C1051" s="176"/>
      <c r="H1051" s="178"/>
      <c r="I1051" s="178"/>
      <c r="J1051" s="184"/>
      <c r="N1051" s="178"/>
      <c r="O1051" s="178"/>
      <c r="P1051" s="178"/>
      <c r="S1051" s="458"/>
      <c r="AN1051" s="458"/>
      <c r="AO1051" s="458"/>
      <c r="AP1051" s="458"/>
      <c r="AQ1051" s="458"/>
      <c r="AR1051" s="458"/>
      <c r="AS1051" s="458"/>
      <c r="AT1051" s="458"/>
      <c r="AU1051" s="458"/>
      <c r="AV1051" s="458"/>
      <c r="BA1051" s="1305"/>
    </row>
    <row r="1052" spans="2:53" ht="15.75" customHeight="1">
      <c r="B1052" s="175"/>
      <c r="C1052" s="176"/>
      <c r="H1052" s="178"/>
      <c r="I1052" s="179"/>
      <c r="J1052" s="184"/>
      <c r="N1052" s="178"/>
      <c r="O1052" s="178"/>
      <c r="P1052" s="178"/>
      <c r="S1052" s="458"/>
      <c r="AN1052" s="458"/>
      <c r="AO1052" s="458"/>
      <c r="AP1052" s="458"/>
      <c r="AQ1052" s="458"/>
      <c r="AR1052" s="458"/>
      <c r="AS1052" s="458"/>
      <c r="AT1052" s="458"/>
      <c r="AU1052" s="458"/>
      <c r="AV1052" s="458"/>
      <c r="BA1052" s="1305"/>
    </row>
    <row r="1053" spans="2:53" ht="15.75" customHeight="1">
      <c r="B1053" s="175"/>
      <c r="C1053" s="176"/>
      <c r="H1053" s="178"/>
      <c r="I1053" s="178"/>
      <c r="J1053" s="184"/>
      <c r="N1053" s="178"/>
      <c r="O1053" s="178"/>
      <c r="P1053" s="178"/>
      <c r="S1053" s="458"/>
      <c r="AN1053" s="458"/>
      <c r="AO1053" s="458"/>
      <c r="AP1053" s="458"/>
      <c r="AQ1053" s="458"/>
      <c r="AR1053" s="458"/>
      <c r="AS1053" s="458"/>
      <c r="AT1053" s="458"/>
      <c r="AU1053" s="458"/>
      <c r="AV1053" s="458"/>
      <c r="BA1053" s="1305"/>
    </row>
    <row r="1054" spans="2:53" ht="15.75" customHeight="1">
      <c r="B1054" s="175"/>
      <c r="C1054" s="176"/>
      <c r="H1054" s="178"/>
      <c r="I1054" s="179"/>
      <c r="J1054" s="184"/>
      <c r="N1054" s="178"/>
      <c r="O1054" s="178"/>
      <c r="P1054" s="178"/>
      <c r="S1054" s="458"/>
      <c r="AN1054" s="458"/>
      <c r="AO1054" s="458"/>
      <c r="AP1054" s="458"/>
      <c r="AQ1054" s="458"/>
      <c r="AR1054" s="458"/>
      <c r="AS1054" s="458"/>
      <c r="AT1054" s="458"/>
      <c r="AU1054" s="458"/>
      <c r="AV1054" s="458"/>
      <c r="BA1054" s="1305"/>
    </row>
    <row r="1055" spans="2:53" ht="15.75" customHeight="1">
      <c r="B1055" s="175"/>
      <c r="C1055" s="176"/>
      <c r="H1055" s="178"/>
      <c r="I1055" s="179"/>
      <c r="J1055" s="184"/>
      <c r="N1055" s="178"/>
      <c r="O1055" s="178"/>
      <c r="P1055" s="178"/>
      <c r="S1055" s="458"/>
      <c r="AN1055" s="458"/>
      <c r="AO1055" s="458"/>
      <c r="AP1055" s="458"/>
      <c r="AQ1055" s="458"/>
      <c r="AR1055" s="458"/>
      <c r="AS1055" s="458"/>
      <c r="AT1055" s="458"/>
      <c r="AU1055" s="458"/>
      <c r="AV1055" s="458"/>
      <c r="BA1055" s="1305"/>
    </row>
    <row r="1056" spans="2:53" ht="15.75" customHeight="1">
      <c r="B1056" s="175"/>
      <c r="C1056" s="176"/>
      <c r="H1056" s="178"/>
      <c r="I1056" s="179"/>
      <c r="J1056" s="184"/>
      <c r="N1056" s="178"/>
      <c r="O1056" s="178"/>
      <c r="P1056" s="178"/>
      <c r="S1056" s="458"/>
      <c r="AN1056" s="458"/>
      <c r="AO1056" s="458"/>
      <c r="AP1056" s="458"/>
      <c r="AQ1056" s="458"/>
      <c r="AR1056" s="458"/>
      <c r="AS1056" s="458"/>
      <c r="AT1056" s="458"/>
      <c r="AU1056" s="458"/>
      <c r="AV1056" s="458"/>
      <c r="BA1056" s="1305"/>
    </row>
    <row r="1057" spans="2:53" ht="15.75" customHeight="1">
      <c r="B1057" s="175"/>
      <c r="C1057" s="176"/>
      <c r="H1057" s="178"/>
      <c r="I1057" s="179"/>
      <c r="J1057" s="184"/>
      <c r="N1057" s="178"/>
      <c r="O1057" s="178"/>
      <c r="P1057" s="178"/>
      <c r="S1057" s="458"/>
      <c r="AN1057" s="458"/>
      <c r="AO1057" s="458"/>
      <c r="AP1057" s="458"/>
      <c r="AQ1057" s="458"/>
      <c r="AR1057" s="458"/>
      <c r="AS1057" s="458"/>
      <c r="AT1057" s="458"/>
      <c r="AU1057" s="458"/>
      <c r="AV1057" s="458"/>
      <c r="BA1057" s="1305"/>
    </row>
    <row r="1058" spans="2:53" ht="15.75" customHeight="1">
      <c r="B1058" s="175"/>
      <c r="C1058" s="176"/>
      <c r="H1058" s="178"/>
      <c r="I1058" s="179"/>
      <c r="J1058" s="184"/>
      <c r="N1058" s="178"/>
      <c r="O1058" s="178"/>
      <c r="P1058" s="178"/>
      <c r="S1058" s="458"/>
      <c r="AN1058" s="458"/>
      <c r="AO1058" s="458"/>
      <c r="AP1058" s="458"/>
      <c r="AQ1058" s="458"/>
      <c r="AR1058" s="458"/>
      <c r="AS1058" s="458"/>
      <c r="AT1058" s="458"/>
      <c r="AU1058" s="458"/>
      <c r="AV1058" s="458"/>
      <c r="BA1058" s="1305"/>
    </row>
    <row r="1059" spans="2:53" ht="15.75" customHeight="1">
      <c r="B1059" s="175"/>
      <c r="C1059" s="176"/>
      <c r="H1059" s="178"/>
      <c r="I1059" s="179"/>
      <c r="J1059" s="184"/>
      <c r="N1059" s="178"/>
      <c r="O1059" s="178"/>
      <c r="P1059" s="178"/>
      <c r="S1059" s="458"/>
      <c r="AN1059" s="458"/>
      <c r="AO1059" s="458"/>
      <c r="AP1059" s="458"/>
      <c r="AQ1059" s="458"/>
      <c r="AR1059" s="458"/>
      <c r="AS1059" s="458"/>
      <c r="AT1059" s="458"/>
      <c r="AU1059" s="458"/>
      <c r="AV1059" s="458"/>
      <c r="BA1059" s="1305"/>
    </row>
    <row r="1060" spans="2:53" ht="15.75" customHeight="1">
      <c r="B1060" s="175"/>
      <c r="C1060" s="176"/>
      <c r="H1060" s="178"/>
      <c r="I1060" s="179"/>
      <c r="J1060" s="184"/>
      <c r="N1060" s="178"/>
      <c r="O1060" s="178"/>
      <c r="P1060" s="178"/>
      <c r="S1060" s="458"/>
      <c r="AN1060" s="458"/>
      <c r="AO1060" s="458"/>
      <c r="AP1060" s="458"/>
      <c r="AQ1060" s="458"/>
      <c r="AR1060" s="458"/>
      <c r="AS1060" s="458"/>
      <c r="AT1060" s="458"/>
      <c r="AU1060" s="458"/>
      <c r="AV1060" s="458"/>
      <c r="BA1060" s="1305"/>
    </row>
    <row r="1061" spans="2:53" ht="15.75" customHeight="1">
      <c r="B1061" s="175"/>
      <c r="C1061" s="176"/>
      <c r="H1061" s="178"/>
      <c r="I1061" s="179"/>
      <c r="J1061" s="184"/>
      <c r="N1061" s="178"/>
      <c r="O1061" s="178"/>
      <c r="P1061" s="178"/>
      <c r="S1061" s="458"/>
      <c r="AN1061" s="458"/>
      <c r="AO1061" s="458"/>
      <c r="AP1061" s="458"/>
      <c r="AQ1061" s="458"/>
      <c r="AR1061" s="458"/>
      <c r="AS1061" s="458"/>
      <c r="AT1061" s="458"/>
      <c r="AU1061" s="458"/>
      <c r="AV1061" s="458"/>
      <c r="BA1061" s="1305"/>
    </row>
    <row r="1062" spans="2:53" ht="15.75" customHeight="1">
      <c r="B1062" s="175"/>
      <c r="C1062" s="176"/>
      <c r="H1062" s="178"/>
      <c r="I1062" s="179"/>
      <c r="J1062" s="184"/>
      <c r="N1062" s="178"/>
      <c r="O1062" s="178"/>
      <c r="P1062" s="178"/>
      <c r="S1062" s="458"/>
      <c r="AN1062" s="458"/>
      <c r="AO1062" s="458"/>
      <c r="AP1062" s="458"/>
      <c r="AQ1062" s="458"/>
      <c r="AR1062" s="458"/>
      <c r="AS1062" s="458"/>
      <c r="AT1062" s="458"/>
      <c r="AU1062" s="458"/>
      <c r="AV1062" s="458"/>
      <c r="BA1062" s="1305"/>
    </row>
    <row r="1063" spans="2:53" ht="15.75" customHeight="1">
      <c r="B1063" s="175"/>
      <c r="C1063" s="176"/>
      <c r="H1063" s="178"/>
      <c r="I1063" s="179"/>
      <c r="J1063" s="184"/>
      <c r="N1063" s="178"/>
      <c r="O1063" s="178"/>
      <c r="P1063" s="178"/>
      <c r="S1063" s="458"/>
      <c r="AN1063" s="458"/>
      <c r="AO1063" s="458"/>
      <c r="AP1063" s="458"/>
      <c r="AQ1063" s="458"/>
      <c r="AR1063" s="458"/>
      <c r="AS1063" s="458"/>
      <c r="AT1063" s="458"/>
      <c r="AU1063" s="458"/>
      <c r="AV1063" s="458"/>
      <c r="BA1063" s="1305"/>
    </row>
    <row r="1064" spans="2:53" ht="15.75" customHeight="1">
      <c r="B1064" s="175"/>
      <c r="C1064" s="176"/>
      <c r="H1064" s="178"/>
      <c r="I1064" s="179"/>
      <c r="J1064" s="184"/>
      <c r="N1064" s="178"/>
      <c r="O1064" s="178"/>
      <c r="P1064" s="178"/>
      <c r="S1064" s="458"/>
      <c r="AN1064" s="458"/>
      <c r="AO1064" s="458"/>
      <c r="AP1064" s="458"/>
      <c r="AQ1064" s="458"/>
      <c r="AR1064" s="458"/>
      <c r="AS1064" s="458"/>
      <c r="AT1064" s="458"/>
      <c r="AU1064" s="458"/>
      <c r="AV1064" s="458"/>
      <c r="BA1064" s="1305"/>
    </row>
    <row r="1065" spans="2:53" ht="15.75" customHeight="1">
      <c r="B1065" s="175"/>
      <c r="C1065" s="176"/>
      <c r="H1065" s="178"/>
      <c r="I1065" s="179"/>
      <c r="J1065" s="184"/>
      <c r="N1065" s="178"/>
      <c r="O1065" s="178"/>
      <c r="P1065" s="178"/>
      <c r="S1065" s="458"/>
      <c r="AN1065" s="458"/>
      <c r="AO1065" s="458"/>
      <c r="AP1065" s="458"/>
      <c r="AQ1065" s="458"/>
      <c r="AR1065" s="458"/>
      <c r="AS1065" s="458"/>
      <c r="AT1065" s="458"/>
      <c r="AU1065" s="458"/>
      <c r="AV1065" s="458"/>
      <c r="BA1065" s="1305"/>
    </row>
    <row r="1066" spans="2:53" ht="15.75" customHeight="1">
      <c r="B1066" s="175"/>
      <c r="C1066" s="176"/>
      <c r="H1066" s="178"/>
      <c r="I1066" s="179"/>
      <c r="J1066" s="184"/>
      <c r="N1066" s="178"/>
      <c r="O1066" s="178"/>
      <c r="P1066" s="178"/>
      <c r="S1066" s="458"/>
      <c r="AN1066" s="458"/>
      <c r="AO1066" s="458"/>
      <c r="AP1066" s="458"/>
      <c r="AQ1066" s="458"/>
      <c r="AR1066" s="458"/>
      <c r="AS1066" s="458"/>
      <c r="AT1066" s="458"/>
      <c r="AU1066" s="458"/>
      <c r="AV1066" s="458"/>
      <c r="BA1066" s="1305"/>
    </row>
    <row r="1067" spans="2:53" ht="15.75" customHeight="1">
      <c r="B1067" s="175"/>
      <c r="C1067" s="176"/>
      <c r="H1067" s="178"/>
      <c r="I1067" s="179"/>
      <c r="J1067" s="184"/>
      <c r="N1067" s="178"/>
      <c r="O1067" s="178"/>
      <c r="P1067" s="178"/>
      <c r="S1067" s="458"/>
      <c r="AN1067" s="458"/>
      <c r="AO1067" s="458"/>
      <c r="AP1067" s="458"/>
      <c r="AQ1067" s="458"/>
      <c r="AR1067" s="458"/>
      <c r="AS1067" s="458"/>
      <c r="AT1067" s="458"/>
      <c r="AU1067" s="458"/>
      <c r="AV1067" s="458"/>
      <c r="BA1067" s="1305"/>
    </row>
    <row r="1068" spans="2:53" ht="15.75" customHeight="1">
      <c r="B1068" s="175"/>
      <c r="C1068" s="176"/>
      <c r="H1068" s="178"/>
      <c r="I1068" s="179"/>
      <c r="J1068" s="184"/>
      <c r="N1068" s="178"/>
      <c r="O1068" s="178"/>
      <c r="P1068" s="178"/>
      <c r="S1068" s="458"/>
      <c r="AN1068" s="458"/>
      <c r="AO1068" s="458"/>
      <c r="AP1068" s="458"/>
      <c r="AQ1068" s="458"/>
      <c r="AR1068" s="458"/>
      <c r="AS1068" s="458"/>
      <c r="AT1068" s="458"/>
      <c r="AU1068" s="458"/>
      <c r="AV1068" s="458"/>
      <c r="BA1068" s="1305"/>
    </row>
    <row r="1069" spans="2:53" ht="15.75" customHeight="1">
      <c r="B1069" s="175"/>
      <c r="C1069" s="176"/>
      <c r="H1069" s="178"/>
      <c r="I1069" s="179"/>
      <c r="J1069" s="184"/>
      <c r="N1069" s="178"/>
      <c r="O1069" s="178"/>
      <c r="P1069" s="178"/>
      <c r="S1069" s="458"/>
      <c r="AN1069" s="458"/>
      <c r="AO1069" s="458"/>
      <c r="AP1069" s="458"/>
      <c r="AQ1069" s="458"/>
      <c r="AR1069" s="458"/>
      <c r="AS1069" s="458"/>
      <c r="AT1069" s="458"/>
      <c r="AU1069" s="458"/>
      <c r="AV1069" s="458"/>
      <c r="BA1069" s="1305"/>
    </row>
    <row r="1070" spans="2:53" ht="15.75" customHeight="1">
      <c r="B1070" s="175"/>
      <c r="C1070" s="176"/>
      <c r="H1070" s="178"/>
      <c r="I1070" s="179"/>
      <c r="J1070" s="184"/>
      <c r="N1070" s="178"/>
      <c r="O1070" s="178"/>
      <c r="P1070" s="178"/>
      <c r="S1070" s="458"/>
      <c r="AN1070" s="458"/>
      <c r="AO1070" s="458"/>
      <c r="AP1070" s="458"/>
      <c r="AQ1070" s="458"/>
      <c r="AR1070" s="458"/>
      <c r="AS1070" s="458"/>
      <c r="AT1070" s="458"/>
      <c r="AU1070" s="458"/>
      <c r="AV1070" s="458"/>
      <c r="BA1070" s="1305"/>
    </row>
    <row r="1071" spans="2:53" ht="15.75" customHeight="1">
      <c r="B1071" s="175"/>
      <c r="C1071" s="176"/>
      <c r="H1071" s="178"/>
      <c r="I1071" s="179"/>
      <c r="N1071" s="178"/>
      <c r="O1071" s="178"/>
      <c r="P1071" s="178"/>
      <c r="S1071" s="458"/>
      <c r="AN1071" s="458"/>
      <c r="AO1071" s="458"/>
      <c r="AP1071" s="458"/>
      <c r="AQ1071" s="458"/>
      <c r="AR1071" s="458"/>
      <c r="AS1071" s="458"/>
      <c r="AT1071" s="458"/>
      <c r="AU1071" s="458"/>
      <c r="AV1071" s="458"/>
      <c r="BA1071" s="1305"/>
    </row>
    <row r="1072" spans="2:53" ht="15.75" customHeight="1">
      <c r="B1072" s="175"/>
      <c r="H1072" s="178"/>
      <c r="I1072" s="179"/>
      <c r="J1072" s="184"/>
      <c r="N1072" s="178"/>
      <c r="O1072" s="178"/>
      <c r="P1072" s="178"/>
      <c r="S1072" s="458"/>
      <c r="AN1072" s="458"/>
      <c r="AO1072" s="458"/>
      <c r="AP1072" s="458"/>
      <c r="AQ1072" s="458"/>
      <c r="AR1072" s="458"/>
      <c r="AS1072" s="458"/>
      <c r="AT1072" s="458"/>
      <c r="AU1072" s="458"/>
      <c r="AV1072" s="458"/>
      <c r="BA1072" s="1305"/>
    </row>
    <row r="1073" spans="2:53" ht="15.75" customHeight="1">
      <c r="B1073" s="175"/>
      <c r="H1073" s="178"/>
      <c r="I1073" s="179"/>
      <c r="J1073" s="184"/>
      <c r="N1073" s="178"/>
      <c r="O1073" s="178"/>
      <c r="P1073" s="178"/>
      <c r="S1073" s="458"/>
      <c r="AN1073" s="458"/>
      <c r="AO1073" s="458"/>
      <c r="AP1073" s="458"/>
      <c r="AQ1073" s="458"/>
      <c r="AR1073" s="458"/>
      <c r="AS1073" s="458"/>
      <c r="AT1073" s="458"/>
      <c r="AU1073" s="458"/>
      <c r="AV1073" s="458"/>
      <c r="BA1073" s="1305"/>
    </row>
    <row r="1074" spans="2:53" ht="15.75" customHeight="1">
      <c r="B1074" s="175"/>
      <c r="H1074" s="178"/>
      <c r="I1074" s="179"/>
      <c r="J1074" s="184"/>
      <c r="N1074" s="178"/>
      <c r="O1074" s="178"/>
      <c r="P1074" s="178"/>
      <c r="S1074" s="458"/>
      <c r="AN1074" s="458"/>
      <c r="AO1074" s="458"/>
      <c r="AP1074" s="458"/>
      <c r="AQ1074" s="458"/>
      <c r="AR1074" s="458"/>
      <c r="AS1074" s="458"/>
      <c r="AT1074" s="458"/>
      <c r="AU1074" s="458"/>
      <c r="AV1074" s="458"/>
      <c r="BA1074" s="1305"/>
    </row>
    <row r="1075" spans="2:53" ht="15.75" customHeight="1">
      <c r="B1075" s="175"/>
      <c r="H1075" s="178"/>
      <c r="I1075" s="179"/>
      <c r="J1075" s="184"/>
      <c r="N1075" s="178"/>
      <c r="O1075" s="178"/>
      <c r="P1075" s="178"/>
      <c r="S1075" s="458"/>
      <c r="AN1075" s="458"/>
      <c r="AO1075" s="458"/>
      <c r="AP1075" s="458"/>
      <c r="AQ1075" s="458"/>
      <c r="AR1075" s="458"/>
      <c r="AS1075" s="458"/>
      <c r="AT1075" s="458"/>
      <c r="AU1075" s="458"/>
      <c r="AV1075" s="458"/>
      <c r="BA1075" s="1305"/>
    </row>
    <row r="1076" spans="2:53" ht="15.75" customHeight="1">
      <c r="B1076" s="175"/>
      <c r="H1076" s="178"/>
      <c r="I1076" s="179"/>
      <c r="J1076" s="184"/>
      <c r="N1076" s="178"/>
      <c r="O1076" s="178"/>
      <c r="P1076" s="178"/>
      <c r="S1076" s="458"/>
      <c r="AN1076" s="458"/>
      <c r="AO1076" s="458"/>
      <c r="AP1076" s="458"/>
      <c r="AQ1076" s="458"/>
      <c r="AR1076" s="458"/>
      <c r="AS1076" s="458"/>
      <c r="AT1076" s="458"/>
      <c r="AU1076" s="458"/>
      <c r="AV1076" s="458"/>
      <c r="BA1076" s="1305"/>
    </row>
    <row r="1077" spans="2:53" ht="15.75" customHeight="1">
      <c r="B1077" s="175"/>
      <c r="H1077" s="178"/>
      <c r="I1077" s="179"/>
      <c r="J1077" s="184"/>
      <c r="N1077" s="178"/>
      <c r="O1077" s="178"/>
      <c r="P1077" s="178"/>
      <c r="S1077" s="458"/>
      <c r="AN1077" s="458"/>
      <c r="AO1077" s="458"/>
      <c r="AP1077" s="458"/>
      <c r="AQ1077" s="458"/>
      <c r="AR1077" s="458"/>
      <c r="AS1077" s="458"/>
      <c r="AT1077" s="458"/>
      <c r="AU1077" s="458"/>
      <c r="AV1077" s="458"/>
      <c r="BA1077" s="1305"/>
    </row>
    <row r="1078" spans="2:53" ht="15.75" customHeight="1">
      <c r="B1078" s="175"/>
      <c r="H1078" s="178"/>
      <c r="I1078" s="179"/>
      <c r="J1078" s="184"/>
      <c r="N1078" s="178"/>
      <c r="O1078" s="178"/>
      <c r="P1078" s="178"/>
      <c r="S1078" s="458"/>
      <c r="AN1078" s="458"/>
      <c r="AO1078" s="458"/>
      <c r="AP1078" s="458"/>
      <c r="AQ1078" s="458"/>
      <c r="AR1078" s="458"/>
      <c r="AS1078" s="458"/>
      <c r="AT1078" s="458"/>
      <c r="AU1078" s="458"/>
      <c r="AV1078" s="458"/>
      <c r="BA1078" s="1305"/>
    </row>
    <row r="1079" spans="2:53" ht="15.75" customHeight="1">
      <c r="B1079" s="175"/>
      <c r="H1079" s="178"/>
      <c r="I1079" s="179"/>
      <c r="J1079" s="184"/>
      <c r="N1079" s="178"/>
      <c r="O1079" s="178"/>
      <c r="P1079" s="178"/>
      <c r="S1079" s="458"/>
      <c r="AN1079" s="458"/>
      <c r="AO1079" s="458"/>
      <c r="AP1079" s="458"/>
      <c r="AQ1079" s="458"/>
      <c r="AR1079" s="458"/>
      <c r="AS1079" s="458"/>
      <c r="AT1079" s="458"/>
      <c r="AU1079" s="458"/>
      <c r="AV1079" s="458"/>
      <c r="BA1079" s="1305"/>
    </row>
    <row r="1080" spans="2:53" ht="15.75" customHeight="1">
      <c r="B1080" s="175"/>
      <c r="H1080" s="178"/>
      <c r="I1080" s="179"/>
      <c r="J1080" s="184"/>
      <c r="N1080" s="178"/>
      <c r="O1080" s="178"/>
      <c r="P1080" s="178"/>
      <c r="S1080" s="458"/>
      <c r="AN1080" s="458"/>
      <c r="AO1080" s="458"/>
      <c r="AP1080" s="458"/>
      <c r="AQ1080" s="458"/>
      <c r="AR1080" s="458"/>
      <c r="AS1080" s="458"/>
      <c r="AT1080" s="458"/>
      <c r="AU1080" s="458"/>
      <c r="AV1080" s="458"/>
      <c r="BA1080" s="1305"/>
    </row>
    <row r="1081" spans="2:53" ht="15.75" customHeight="1">
      <c r="B1081" s="175"/>
      <c r="H1081" s="178"/>
      <c r="I1081" s="179"/>
      <c r="J1081" s="184"/>
      <c r="N1081" s="178"/>
      <c r="O1081" s="178"/>
      <c r="P1081" s="178"/>
      <c r="S1081" s="458"/>
      <c r="AN1081" s="458"/>
      <c r="AO1081" s="458"/>
      <c r="AP1081" s="458"/>
      <c r="AQ1081" s="458"/>
      <c r="AR1081" s="458"/>
      <c r="AS1081" s="458"/>
      <c r="AT1081" s="458"/>
      <c r="AU1081" s="458"/>
      <c r="AV1081" s="458"/>
      <c r="BA1081" s="1305"/>
    </row>
    <row r="1082" spans="2:53" ht="15.75" customHeight="1">
      <c r="B1082" s="175"/>
      <c r="H1082" s="178"/>
      <c r="I1082" s="179"/>
      <c r="J1082" s="184"/>
      <c r="N1082" s="178"/>
      <c r="O1082" s="178"/>
      <c r="P1082" s="178"/>
      <c r="S1082" s="458"/>
      <c r="AN1082" s="458"/>
      <c r="AO1082" s="458"/>
      <c r="AP1082" s="458"/>
      <c r="AQ1082" s="458"/>
      <c r="AR1082" s="458"/>
      <c r="AS1082" s="458"/>
      <c r="AT1082" s="458"/>
      <c r="AU1082" s="458"/>
      <c r="AV1082" s="458"/>
      <c r="BA1082" s="1305"/>
    </row>
    <row r="1083" spans="2:53" ht="15.75" customHeight="1">
      <c r="B1083" s="175"/>
      <c r="H1083" s="178"/>
      <c r="I1083" s="179"/>
      <c r="J1083" s="184"/>
      <c r="N1083" s="178"/>
      <c r="O1083" s="178"/>
      <c r="P1083" s="178"/>
      <c r="S1083" s="458"/>
      <c r="AN1083" s="458"/>
      <c r="AO1083" s="458"/>
      <c r="AP1083" s="458"/>
      <c r="AQ1083" s="458"/>
      <c r="AR1083" s="458"/>
      <c r="AS1083" s="458"/>
      <c r="AT1083" s="458"/>
      <c r="AU1083" s="458"/>
      <c r="AV1083" s="458"/>
      <c r="BA1083" s="1305"/>
    </row>
    <row r="1084" spans="2:53" ht="15.75" customHeight="1">
      <c r="B1084" s="175"/>
      <c r="H1084" s="178"/>
      <c r="I1084" s="179"/>
      <c r="J1084" s="184"/>
      <c r="N1084" s="178"/>
      <c r="O1084" s="178"/>
      <c r="P1084" s="178"/>
      <c r="S1084" s="458"/>
      <c r="AN1084" s="458"/>
      <c r="AO1084" s="458"/>
      <c r="AP1084" s="458"/>
      <c r="AQ1084" s="458"/>
      <c r="AR1084" s="458"/>
      <c r="AS1084" s="458"/>
      <c r="AT1084" s="458"/>
      <c r="AU1084" s="458"/>
      <c r="AV1084" s="458"/>
      <c r="BA1084" s="1305"/>
    </row>
    <row r="1085" spans="2:53" ht="15.75" customHeight="1">
      <c r="B1085" s="175"/>
      <c r="H1085" s="178"/>
      <c r="I1085" s="179"/>
      <c r="J1085" s="184"/>
      <c r="N1085" s="178"/>
      <c r="O1085" s="178"/>
      <c r="P1085" s="178"/>
      <c r="S1085" s="458"/>
      <c r="AN1085" s="458"/>
      <c r="AO1085" s="458"/>
      <c r="AP1085" s="458"/>
      <c r="AQ1085" s="458"/>
      <c r="AR1085" s="458"/>
      <c r="AS1085" s="458"/>
      <c r="AT1085" s="458"/>
      <c r="AU1085" s="458"/>
      <c r="AV1085" s="458"/>
      <c r="BA1085" s="1305"/>
    </row>
    <row r="1086" spans="2:53" ht="15.75" customHeight="1">
      <c r="B1086" s="175"/>
      <c r="H1086" s="178"/>
      <c r="I1086" s="179"/>
      <c r="J1086" s="184"/>
      <c r="N1086" s="178"/>
      <c r="O1086" s="178"/>
      <c r="P1086" s="178"/>
      <c r="S1086" s="458"/>
      <c r="AN1086" s="458"/>
      <c r="AO1086" s="458"/>
      <c r="AP1086" s="458"/>
      <c r="AQ1086" s="458"/>
      <c r="AR1086" s="458"/>
      <c r="AS1086" s="458"/>
      <c r="AT1086" s="458"/>
      <c r="AU1086" s="458"/>
      <c r="AV1086" s="458"/>
      <c r="BA1086" s="1305"/>
    </row>
    <row r="1087" spans="2:53" ht="15.75" customHeight="1">
      <c r="B1087" s="175"/>
      <c r="H1087" s="178"/>
      <c r="I1087" s="179"/>
      <c r="J1087" s="184"/>
      <c r="N1087" s="178"/>
      <c r="O1087" s="178"/>
      <c r="P1087" s="178"/>
      <c r="S1087" s="458"/>
      <c r="AN1087" s="458"/>
      <c r="AO1087" s="458"/>
      <c r="AP1087" s="458"/>
      <c r="AQ1087" s="458"/>
      <c r="AR1087" s="458"/>
      <c r="AS1087" s="458"/>
      <c r="AT1087" s="458"/>
      <c r="AU1087" s="458"/>
      <c r="AV1087" s="458"/>
      <c r="BA1087" s="1305"/>
    </row>
    <row r="1088" spans="2:53" ht="15.75" customHeight="1">
      <c r="B1088" s="175"/>
      <c r="H1088" s="178"/>
      <c r="I1088" s="179"/>
      <c r="J1088" s="184"/>
      <c r="N1088" s="178"/>
      <c r="O1088" s="178"/>
      <c r="P1088" s="178"/>
      <c r="S1088" s="458"/>
      <c r="AN1088" s="458"/>
      <c r="AO1088" s="458"/>
      <c r="AP1088" s="458"/>
      <c r="AQ1088" s="458"/>
      <c r="AR1088" s="458"/>
      <c r="AS1088" s="458"/>
      <c r="AT1088" s="458"/>
      <c r="AU1088" s="458"/>
      <c r="AV1088" s="458"/>
      <c r="BA1088" s="1305"/>
    </row>
    <row r="1089" spans="2:53" ht="15.75" customHeight="1">
      <c r="B1089" s="175"/>
      <c r="H1089" s="178"/>
      <c r="I1089" s="179"/>
      <c r="J1089" s="184"/>
      <c r="N1089" s="178"/>
      <c r="O1089" s="178"/>
      <c r="P1089" s="178"/>
      <c r="S1089" s="458"/>
      <c r="AN1089" s="458"/>
      <c r="AO1089" s="458"/>
      <c r="AP1089" s="458"/>
      <c r="AQ1089" s="458"/>
      <c r="AR1089" s="458"/>
      <c r="AS1089" s="458"/>
      <c r="AT1089" s="458"/>
      <c r="AU1089" s="458"/>
      <c r="AV1089" s="458"/>
      <c r="BA1089" s="1305"/>
    </row>
    <row r="1090" spans="2:53" ht="15.75" customHeight="1">
      <c r="B1090" s="175"/>
      <c r="H1090" s="178"/>
      <c r="I1090" s="179"/>
      <c r="J1090" s="184"/>
      <c r="N1090" s="178"/>
      <c r="O1090" s="178"/>
      <c r="P1090" s="178"/>
      <c r="S1090" s="458"/>
      <c r="AN1090" s="458"/>
      <c r="AO1090" s="458"/>
      <c r="AP1090" s="458"/>
      <c r="AQ1090" s="458"/>
      <c r="AR1090" s="458"/>
      <c r="AS1090" s="458"/>
      <c r="AT1090" s="458"/>
      <c r="AU1090" s="458"/>
      <c r="AV1090" s="458"/>
      <c r="BA1090" s="1305"/>
    </row>
    <row r="1091" spans="2:53" ht="15.75" customHeight="1">
      <c r="B1091" s="175"/>
      <c r="H1091" s="178"/>
      <c r="I1091" s="179"/>
      <c r="J1091" s="184"/>
      <c r="N1091" s="178"/>
      <c r="O1091" s="178"/>
      <c r="P1091" s="178"/>
      <c r="S1091" s="458"/>
      <c r="AN1091" s="458"/>
      <c r="AO1091" s="458"/>
      <c r="AP1091" s="458"/>
      <c r="AQ1091" s="458"/>
      <c r="AR1091" s="458"/>
      <c r="AS1091" s="458"/>
      <c r="AT1091" s="458"/>
      <c r="AU1091" s="458"/>
      <c r="AV1091" s="458"/>
      <c r="BA1091" s="1305"/>
    </row>
    <row r="1092" spans="2:53" ht="15.75" customHeight="1">
      <c r="B1092" s="175"/>
      <c r="H1092" s="178"/>
      <c r="I1092" s="179"/>
      <c r="J1092" s="184"/>
      <c r="N1092" s="178"/>
      <c r="O1092" s="178"/>
      <c r="P1092" s="178"/>
      <c r="S1092" s="458"/>
      <c r="AN1092" s="458"/>
      <c r="AO1092" s="458"/>
      <c r="AP1092" s="458"/>
      <c r="AQ1092" s="458"/>
      <c r="AR1092" s="458"/>
      <c r="AS1092" s="458"/>
      <c r="AT1092" s="458"/>
      <c r="AU1092" s="458"/>
      <c r="AV1092" s="458"/>
      <c r="BA1092" s="1305"/>
    </row>
    <row r="1093" spans="2:53" ht="15.75" customHeight="1">
      <c r="B1093" s="175"/>
      <c r="H1093" s="178"/>
      <c r="I1093" s="179"/>
      <c r="J1093" s="184"/>
      <c r="N1093" s="178"/>
      <c r="O1093" s="178"/>
      <c r="P1093" s="178"/>
      <c r="S1093" s="458"/>
      <c r="AN1093" s="458"/>
      <c r="AO1093" s="458"/>
      <c r="AP1093" s="458"/>
      <c r="AQ1093" s="458"/>
      <c r="AR1093" s="458"/>
      <c r="AS1093" s="458"/>
      <c r="AT1093" s="458"/>
      <c r="AU1093" s="458"/>
      <c r="AV1093" s="458"/>
      <c r="BA1093" s="1305"/>
    </row>
    <row r="1094" spans="2:53" ht="15.75" customHeight="1">
      <c r="B1094" s="175"/>
      <c r="H1094" s="178"/>
      <c r="I1094" s="179"/>
      <c r="J1094" s="184"/>
      <c r="N1094" s="178"/>
      <c r="O1094" s="178"/>
      <c r="P1094" s="178"/>
      <c r="S1094" s="458"/>
      <c r="AN1094" s="458"/>
      <c r="AO1094" s="458"/>
      <c r="AP1094" s="458"/>
      <c r="AQ1094" s="458"/>
      <c r="AR1094" s="458"/>
      <c r="AS1094" s="458"/>
      <c r="AT1094" s="458"/>
      <c r="AU1094" s="458"/>
      <c r="AV1094" s="458"/>
      <c r="BA1094" s="1305"/>
    </row>
    <row r="1095" spans="2:53" ht="15.75" customHeight="1">
      <c r="B1095" s="175"/>
      <c r="H1095" s="178"/>
      <c r="I1095" s="179"/>
      <c r="J1095" s="184"/>
      <c r="N1095" s="178"/>
      <c r="O1095" s="178"/>
      <c r="P1095" s="178"/>
      <c r="S1095" s="458"/>
      <c r="AN1095" s="458"/>
      <c r="AO1095" s="458"/>
      <c r="AP1095" s="458"/>
      <c r="AQ1095" s="458"/>
      <c r="AR1095" s="458"/>
      <c r="AS1095" s="458"/>
      <c r="AT1095" s="458"/>
      <c r="AU1095" s="458"/>
      <c r="AV1095" s="458"/>
      <c r="BA1095" s="1266"/>
    </row>
    <row r="1096" spans="2:53" ht="15.75" customHeight="1">
      <c r="B1096" s="175"/>
      <c r="H1096" s="178"/>
      <c r="I1096" s="179"/>
      <c r="J1096" s="184"/>
      <c r="N1096" s="178"/>
      <c r="O1096" s="178"/>
      <c r="P1096" s="178"/>
      <c r="S1096" s="458"/>
      <c r="AN1096" s="458"/>
      <c r="AO1096" s="458"/>
      <c r="AP1096" s="458"/>
      <c r="AQ1096" s="458"/>
      <c r="AR1096" s="458"/>
      <c r="AS1096" s="458"/>
      <c r="AT1096" s="458"/>
      <c r="AU1096" s="458"/>
      <c r="AV1096" s="458"/>
      <c r="BA1096" s="1266"/>
    </row>
    <row r="1097" spans="2:53" ht="15.75" customHeight="1">
      <c r="B1097" s="175"/>
      <c r="H1097" s="178"/>
      <c r="I1097" s="179"/>
      <c r="J1097" s="184"/>
      <c r="N1097" s="178"/>
      <c r="O1097" s="178"/>
      <c r="P1097" s="178"/>
      <c r="S1097" s="458"/>
      <c r="AN1097" s="458"/>
      <c r="AO1097" s="458"/>
      <c r="AP1097" s="458"/>
      <c r="AQ1097" s="458"/>
      <c r="AR1097" s="458"/>
      <c r="AS1097" s="458"/>
      <c r="AT1097" s="458"/>
      <c r="AU1097" s="458"/>
      <c r="AV1097" s="458"/>
      <c r="BA1097" s="1266"/>
    </row>
    <row r="1098" spans="2:53" ht="15.75" customHeight="1">
      <c r="B1098" s="175"/>
      <c r="H1098" s="178"/>
      <c r="I1098" s="179"/>
      <c r="J1098" s="184"/>
      <c r="N1098" s="178"/>
      <c r="O1098" s="178"/>
      <c r="P1098" s="178"/>
      <c r="S1098" s="458"/>
      <c r="AN1098" s="458"/>
      <c r="AO1098" s="458"/>
      <c r="AP1098" s="458"/>
      <c r="AQ1098" s="458"/>
      <c r="AR1098" s="458"/>
      <c r="AS1098" s="458"/>
      <c r="AT1098" s="458"/>
      <c r="AU1098" s="458"/>
      <c r="AV1098" s="458"/>
      <c r="BA1098" s="1266"/>
    </row>
    <row r="1099" spans="2:53" ht="15.75" customHeight="1">
      <c r="B1099" s="175"/>
      <c r="H1099" s="178"/>
      <c r="I1099" s="179"/>
      <c r="J1099" s="184"/>
      <c r="N1099" s="178"/>
      <c r="O1099" s="178"/>
      <c r="P1099" s="178"/>
      <c r="S1099" s="458"/>
      <c r="AN1099" s="458"/>
      <c r="AO1099" s="458"/>
      <c r="AP1099" s="458"/>
      <c r="AQ1099" s="458"/>
      <c r="AR1099" s="458"/>
      <c r="AS1099" s="458"/>
      <c r="AT1099" s="458"/>
      <c r="AU1099" s="458"/>
      <c r="AV1099" s="458"/>
      <c r="BA1099" s="1266"/>
    </row>
    <row r="1100" spans="2:53" ht="15.75" customHeight="1">
      <c r="B1100" s="175"/>
      <c r="H1100" s="178"/>
      <c r="I1100" s="179"/>
      <c r="J1100" s="184"/>
      <c r="N1100" s="178"/>
      <c r="O1100" s="178"/>
      <c r="P1100" s="178"/>
      <c r="S1100" s="458"/>
      <c r="AN1100" s="458"/>
      <c r="AO1100" s="458"/>
      <c r="AP1100" s="458"/>
      <c r="AQ1100" s="458"/>
      <c r="AR1100" s="458"/>
      <c r="AS1100" s="458"/>
      <c r="AT1100" s="458"/>
      <c r="AU1100" s="458"/>
      <c r="AV1100" s="458"/>
      <c r="BA1100" s="1266"/>
    </row>
    <row r="1101" spans="2:53" ht="15.75" customHeight="1">
      <c r="B1101" s="175"/>
      <c r="H1101" s="178"/>
      <c r="I1101" s="179"/>
      <c r="J1101" s="184"/>
      <c r="N1101" s="178"/>
      <c r="O1101" s="178"/>
      <c r="P1101" s="178"/>
      <c r="S1101" s="458"/>
      <c r="AN1101" s="458"/>
      <c r="AO1101" s="458"/>
      <c r="AP1101" s="458"/>
      <c r="AQ1101" s="458"/>
      <c r="AR1101" s="458"/>
      <c r="AS1101" s="458"/>
      <c r="AT1101" s="458"/>
      <c r="AU1101" s="458"/>
      <c r="AV1101" s="458"/>
      <c r="BA1101" s="1266"/>
    </row>
    <row r="1102" spans="2:53" ht="15.75" customHeight="1">
      <c r="B1102" s="175"/>
      <c r="H1102" s="178"/>
      <c r="I1102" s="179"/>
      <c r="J1102" s="184"/>
      <c r="N1102" s="178"/>
      <c r="O1102" s="178"/>
      <c r="P1102" s="178"/>
      <c r="S1102" s="458"/>
      <c r="AN1102" s="458"/>
      <c r="AO1102" s="458"/>
      <c r="AP1102" s="458"/>
      <c r="AQ1102" s="458"/>
      <c r="AR1102" s="458"/>
      <c r="AS1102" s="458"/>
      <c r="AT1102" s="458"/>
      <c r="AU1102" s="458"/>
      <c r="AV1102" s="458"/>
      <c r="BA1102" s="1266"/>
    </row>
    <row r="1103" spans="2:53" ht="15.75" customHeight="1">
      <c r="B1103" s="175"/>
      <c r="H1103" s="178"/>
      <c r="I1103" s="179"/>
      <c r="J1103" s="184"/>
      <c r="N1103" s="178"/>
      <c r="O1103" s="178"/>
      <c r="P1103" s="178"/>
      <c r="S1103" s="458"/>
      <c r="AN1103" s="458"/>
      <c r="AO1103" s="458"/>
      <c r="AP1103" s="458"/>
      <c r="AQ1103" s="458"/>
      <c r="AR1103" s="458"/>
      <c r="AS1103" s="458"/>
      <c r="AT1103" s="458"/>
      <c r="AU1103" s="458"/>
      <c r="AV1103" s="458"/>
      <c r="BA1103" s="1266"/>
    </row>
    <row r="1104" spans="2:53" ht="15.75" customHeight="1">
      <c r="B1104" s="175"/>
      <c r="H1104" s="178"/>
      <c r="I1104" s="179"/>
      <c r="J1104" s="184"/>
      <c r="N1104" s="178"/>
      <c r="O1104" s="178"/>
      <c r="P1104" s="178"/>
      <c r="S1104" s="458"/>
      <c r="AN1104" s="458"/>
      <c r="AO1104" s="458"/>
      <c r="AP1104" s="458"/>
      <c r="AQ1104" s="458"/>
      <c r="AR1104" s="458"/>
      <c r="AS1104" s="458"/>
      <c r="AT1104" s="458"/>
      <c r="AU1104" s="458"/>
      <c r="AV1104" s="458"/>
      <c r="BA1104" s="1266"/>
    </row>
    <row r="1105" spans="2:53" ht="15.75" customHeight="1">
      <c r="B1105" s="175"/>
      <c r="H1105" s="178"/>
      <c r="I1105" s="179"/>
      <c r="J1105" s="184"/>
      <c r="N1105" s="178"/>
      <c r="O1105" s="178"/>
      <c r="P1105" s="178"/>
      <c r="S1105" s="458"/>
      <c r="AN1105" s="458"/>
      <c r="AO1105" s="458"/>
      <c r="AP1105" s="458"/>
      <c r="AQ1105" s="458"/>
      <c r="AR1105" s="458"/>
      <c r="AS1105" s="458"/>
      <c r="AT1105" s="458"/>
      <c r="AU1105" s="458"/>
      <c r="AV1105" s="458"/>
      <c r="BA1105" s="1266"/>
    </row>
    <row r="1106" spans="2:53" ht="15.75" customHeight="1">
      <c r="B1106" s="175"/>
      <c r="H1106" s="178"/>
      <c r="I1106" s="179"/>
      <c r="J1106" s="184"/>
      <c r="N1106" s="178"/>
      <c r="O1106" s="178"/>
      <c r="P1106" s="178"/>
      <c r="S1106" s="458"/>
      <c r="AN1106" s="458"/>
      <c r="AO1106" s="458"/>
      <c r="AP1106" s="458"/>
      <c r="AQ1106" s="458"/>
      <c r="AR1106" s="458"/>
      <c r="AS1106" s="458"/>
      <c r="AT1106" s="458"/>
      <c r="AU1106" s="458"/>
      <c r="AV1106" s="458"/>
      <c r="BA1106" s="1266"/>
    </row>
    <row r="1107" spans="2:53" ht="15.75" customHeight="1">
      <c r="B1107" s="175"/>
      <c r="H1107" s="178"/>
      <c r="I1107" s="179"/>
      <c r="J1107" s="184"/>
      <c r="N1107" s="178"/>
      <c r="O1107" s="178"/>
      <c r="P1107" s="178"/>
      <c r="S1107" s="458"/>
      <c r="AN1107" s="458"/>
      <c r="AO1107" s="458"/>
      <c r="AP1107" s="458"/>
      <c r="AQ1107" s="458"/>
      <c r="AR1107" s="458"/>
      <c r="AS1107" s="458"/>
      <c r="AT1107" s="458"/>
      <c r="AU1107" s="458"/>
      <c r="AV1107" s="458"/>
      <c r="BA1107" s="1266"/>
    </row>
    <row r="1108" spans="2:53" ht="15.75" customHeight="1">
      <c r="B1108" s="175"/>
      <c r="H1108" s="178"/>
      <c r="I1108" s="179"/>
      <c r="J1108" s="184"/>
      <c r="N1108" s="178"/>
      <c r="O1108" s="178"/>
      <c r="P1108" s="178"/>
      <c r="S1108" s="458"/>
      <c r="AN1108" s="458"/>
      <c r="AO1108" s="458"/>
      <c r="AP1108" s="458"/>
      <c r="AQ1108" s="458"/>
      <c r="AR1108" s="458"/>
      <c r="AS1108" s="458"/>
      <c r="AT1108" s="458"/>
      <c r="AU1108" s="458"/>
      <c r="AV1108" s="458"/>
      <c r="BA1108" s="1266"/>
    </row>
    <row r="1109" spans="2:53" ht="15.75" customHeight="1">
      <c r="B1109" s="175"/>
      <c r="H1109" s="178"/>
      <c r="I1109" s="179"/>
      <c r="J1109" s="184"/>
      <c r="N1109" s="178"/>
      <c r="O1109" s="178"/>
      <c r="P1109" s="178"/>
      <c r="S1109" s="458"/>
      <c r="AN1109" s="458"/>
      <c r="AO1109" s="458"/>
      <c r="AP1109" s="458"/>
      <c r="AQ1109" s="458"/>
      <c r="AR1109" s="458"/>
      <c r="AS1109" s="458"/>
      <c r="AT1109" s="458"/>
      <c r="AU1109" s="458"/>
      <c r="AV1109" s="458"/>
      <c r="BA1109" s="1266"/>
    </row>
    <row r="1110" spans="2:53" ht="15.75" customHeight="1">
      <c r="B1110" s="175"/>
      <c r="H1110" s="178"/>
      <c r="I1110" s="179"/>
      <c r="J1110" s="184"/>
      <c r="N1110" s="178"/>
      <c r="O1110" s="178"/>
      <c r="P1110" s="178"/>
      <c r="S1110" s="458"/>
      <c r="AN1110" s="458"/>
      <c r="AO1110" s="458"/>
      <c r="AP1110" s="458"/>
      <c r="AQ1110" s="458"/>
      <c r="AR1110" s="458"/>
      <c r="AS1110" s="458"/>
      <c r="AT1110" s="458"/>
      <c r="AU1110" s="458"/>
      <c r="AV1110" s="458"/>
      <c r="BA1110" s="1266"/>
    </row>
    <row r="1111" spans="2:53" ht="15.75" customHeight="1">
      <c r="B1111" s="175"/>
      <c r="H1111" s="178"/>
      <c r="I1111" s="179"/>
      <c r="J1111" s="184"/>
      <c r="N1111" s="178"/>
      <c r="O1111" s="178"/>
      <c r="P1111" s="178"/>
      <c r="S1111" s="458"/>
      <c r="AN1111" s="458"/>
      <c r="AO1111" s="458"/>
      <c r="AP1111" s="458"/>
      <c r="AQ1111" s="458"/>
      <c r="AR1111" s="458"/>
      <c r="AS1111" s="458"/>
      <c r="AT1111" s="458"/>
      <c r="AU1111" s="458"/>
      <c r="AV1111" s="458"/>
      <c r="BA1111" s="1266"/>
    </row>
    <row r="1112" spans="2:53" ht="15.75" customHeight="1">
      <c r="B1112" s="175"/>
      <c r="H1112" s="178"/>
      <c r="I1112" s="179"/>
      <c r="J1112" s="184"/>
      <c r="N1112" s="178"/>
      <c r="O1112" s="178"/>
      <c r="P1112" s="178"/>
      <c r="S1112" s="458"/>
      <c r="AN1112" s="458"/>
      <c r="AO1112" s="458"/>
      <c r="AP1112" s="458"/>
      <c r="AQ1112" s="458"/>
      <c r="AR1112" s="458"/>
      <c r="AS1112" s="458"/>
      <c r="AT1112" s="458"/>
      <c r="AU1112" s="458"/>
      <c r="AV1112" s="458"/>
      <c r="BA1112" s="1266"/>
    </row>
    <row r="1113" spans="2:53" ht="15.75" customHeight="1">
      <c r="B1113" s="175"/>
      <c r="H1113" s="178"/>
      <c r="I1113" s="179"/>
      <c r="J1113" s="184"/>
      <c r="N1113" s="178"/>
      <c r="O1113" s="178"/>
      <c r="P1113" s="178"/>
      <c r="S1113" s="458"/>
      <c r="AN1113" s="458"/>
      <c r="AO1113" s="458"/>
      <c r="AP1113" s="458"/>
      <c r="AQ1113" s="458"/>
      <c r="AR1113" s="458"/>
      <c r="AS1113" s="458"/>
      <c r="AT1113" s="458"/>
      <c r="AU1113" s="458"/>
      <c r="AV1113" s="458"/>
      <c r="BA1113" s="1266"/>
    </row>
    <row r="1114" spans="2:53" ht="15.75" customHeight="1">
      <c r="B1114" s="175"/>
      <c r="H1114" s="178"/>
      <c r="I1114" s="179"/>
      <c r="J1114" s="184"/>
      <c r="N1114" s="178"/>
      <c r="O1114" s="178"/>
      <c r="P1114" s="178"/>
      <c r="S1114" s="458"/>
      <c r="AN1114" s="458"/>
      <c r="AO1114" s="458"/>
      <c r="AP1114" s="458"/>
      <c r="AQ1114" s="458"/>
      <c r="AR1114" s="458"/>
      <c r="AS1114" s="458"/>
      <c r="AT1114" s="458"/>
      <c r="AU1114" s="458"/>
      <c r="AV1114" s="458"/>
      <c r="BA1114" s="1266"/>
    </row>
    <row r="1115" spans="2:53" ht="15.75" customHeight="1">
      <c r="B1115" s="175"/>
      <c r="H1115" s="178"/>
      <c r="I1115" s="179"/>
      <c r="J1115" s="184"/>
      <c r="N1115" s="178"/>
      <c r="O1115" s="178"/>
      <c r="P1115" s="178"/>
      <c r="S1115" s="458"/>
      <c r="AN1115" s="458"/>
      <c r="AO1115" s="458"/>
      <c r="AP1115" s="458"/>
      <c r="AQ1115" s="458"/>
      <c r="AR1115" s="458"/>
      <c r="AS1115" s="458"/>
      <c r="AT1115" s="458"/>
      <c r="AU1115" s="458"/>
      <c r="AV1115" s="458"/>
      <c r="BA1115" s="1266"/>
    </row>
    <row r="1116" spans="2:53" ht="15.75" customHeight="1">
      <c r="B1116" s="175"/>
      <c r="H1116" s="178"/>
      <c r="I1116" s="179"/>
      <c r="J1116" s="184"/>
      <c r="N1116" s="178"/>
      <c r="O1116" s="178"/>
      <c r="P1116" s="178"/>
      <c r="S1116" s="458"/>
      <c r="AN1116" s="458"/>
      <c r="AO1116" s="458"/>
      <c r="AP1116" s="458"/>
      <c r="AQ1116" s="458"/>
      <c r="AR1116" s="458"/>
      <c r="AS1116" s="458"/>
      <c r="AT1116" s="458"/>
      <c r="AU1116" s="458"/>
      <c r="AV1116" s="458"/>
      <c r="BA1116" s="1266"/>
    </row>
    <row r="1117" spans="2:53" ht="15.75" customHeight="1">
      <c r="B1117" s="175"/>
      <c r="H1117" s="178"/>
      <c r="I1117" s="179"/>
      <c r="J1117" s="184"/>
      <c r="N1117" s="178"/>
      <c r="O1117" s="178"/>
      <c r="P1117" s="178"/>
      <c r="S1117" s="458"/>
      <c r="AN1117" s="458"/>
      <c r="AO1117" s="458"/>
      <c r="AP1117" s="458"/>
      <c r="AQ1117" s="458"/>
      <c r="AR1117" s="458"/>
      <c r="AS1117" s="458"/>
      <c r="AT1117" s="458"/>
      <c r="AU1117" s="458"/>
      <c r="AV1117" s="458"/>
      <c r="BA1117" s="1266"/>
    </row>
    <row r="1118" spans="2:53" ht="15.75" customHeight="1">
      <c r="B1118" s="175"/>
      <c r="H1118" s="178"/>
      <c r="I1118" s="179"/>
      <c r="J1118" s="184"/>
      <c r="N1118" s="178"/>
      <c r="O1118" s="178"/>
      <c r="P1118" s="178"/>
      <c r="S1118" s="458"/>
      <c r="AN1118" s="458"/>
      <c r="AO1118" s="458"/>
      <c r="AP1118" s="458"/>
      <c r="AQ1118" s="458"/>
      <c r="AR1118" s="458"/>
      <c r="AS1118" s="458"/>
      <c r="AT1118" s="458"/>
      <c r="AU1118" s="458"/>
      <c r="AV1118" s="458"/>
      <c r="BA1118" s="1266"/>
    </row>
    <row r="1119" spans="2:53" ht="15.75" customHeight="1">
      <c r="B1119" s="175"/>
      <c r="H1119" s="178"/>
      <c r="I1119" s="179"/>
      <c r="J1119" s="184"/>
      <c r="N1119" s="178"/>
      <c r="O1119" s="178"/>
      <c r="P1119" s="178"/>
      <c r="S1119" s="458"/>
      <c r="AN1119" s="458"/>
      <c r="AO1119" s="458"/>
      <c r="AP1119" s="458"/>
      <c r="AQ1119" s="458"/>
      <c r="AR1119" s="458"/>
      <c r="AS1119" s="458"/>
      <c r="AT1119" s="458"/>
      <c r="AU1119" s="458"/>
      <c r="AV1119" s="458"/>
      <c r="BA1119" s="1266"/>
    </row>
    <row r="1120" spans="2:53" ht="15.75" customHeight="1">
      <c r="B1120" s="175"/>
      <c r="H1120" s="178"/>
      <c r="I1120" s="179"/>
      <c r="J1120" s="184"/>
      <c r="N1120" s="178"/>
      <c r="O1120" s="178"/>
      <c r="P1120" s="178"/>
      <c r="S1120" s="458"/>
      <c r="AN1120" s="458"/>
      <c r="AO1120" s="458"/>
      <c r="AP1120" s="458"/>
      <c r="AQ1120" s="458"/>
      <c r="AR1120" s="458"/>
      <c r="AS1120" s="458"/>
      <c r="AT1120" s="458"/>
      <c r="AU1120" s="458"/>
      <c r="AV1120" s="458"/>
      <c r="BA1120" s="1266"/>
    </row>
    <row r="1121" spans="2:53" ht="15.75" customHeight="1">
      <c r="B1121" s="175"/>
      <c r="H1121" s="178"/>
      <c r="I1121" s="179"/>
      <c r="J1121" s="184"/>
      <c r="N1121" s="178"/>
      <c r="O1121" s="178"/>
      <c r="P1121" s="178"/>
      <c r="S1121" s="458"/>
      <c r="AN1121" s="458"/>
      <c r="AO1121" s="458"/>
      <c r="AP1121" s="458"/>
      <c r="AQ1121" s="458"/>
      <c r="AR1121" s="458"/>
      <c r="AS1121" s="458"/>
      <c r="AT1121" s="458"/>
      <c r="AU1121" s="458"/>
      <c r="AV1121" s="458"/>
      <c r="BA1121" s="1266"/>
    </row>
    <row r="1122" spans="2:53" ht="15.75" customHeight="1">
      <c r="B1122" s="175"/>
      <c r="H1122" s="178"/>
      <c r="I1122" s="179"/>
      <c r="J1122" s="184"/>
      <c r="N1122" s="178"/>
      <c r="O1122" s="178"/>
      <c r="P1122" s="178"/>
      <c r="S1122" s="458"/>
      <c r="AN1122" s="458"/>
      <c r="AO1122" s="458"/>
      <c r="AP1122" s="458"/>
      <c r="AQ1122" s="458"/>
      <c r="AR1122" s="458"/>
      <c r="AS1122" s="458"/>
      <c r="AT1122" s="458"/>
      <c r="AU1122" s="458"/>
      <c r="AV1122" s="458"/>
      <c r="BA1122" s="1266"/>
    </row>
    <row r="1123" spans="2:53" ht="15.75" customHeight="1">
      <c r="B1123" s="175"/>
      <c r="H1123" s="178"/>
      <c r="I1123" s="179"/>
      <c r="J1123" s="184"/>
      <c r="N1123" s="178"/>
      <c r="O1123" s="178"/>
      <c r="P1123" s="178"/>
      <c r="S1123" s="458"/>
      <c r="AN1123" s="458"/>
      <c r="BA1123" s="1266"/>
    </row>
    <row r="1124" spans="2:53" ht="15.75" customHeight="1">
      <c r="B1124" s="175"/>
      <c r="H1124" s="178"/>
      <c r="I1124" s="179"/>
      <c r="J1124" s="184"/>
      <c r="N1124" s="178"/>
      <c r="O1124" s="178"/>
      <c r="P1124" s="178"/>
      <c r="S1124" s="458"/>
      <c r="AN1124" s="458"/>
      <c r="BA1124" s="1266"/>
    </row>
    <row r="1125" spans="2:53" ht="15.75" customHeight="1">
      <c r="B1125" s="175"/>
      <c r="H1125" s="178"/>
      <c r="I1125" s="179"/>
      <c r="J1125" s="184"/>
      <c r="N1125" s="178"/>
      <c r="O1125" s="178"/>
      <c r="P1125" s="178"/>
      <c r="S1125" s="458"/>
      <c r="AN1125" s="458"/>
      <c r="BA1125" s="1266"/>
    </row>
    <row r="1126" spans="2:53" ht="15.75" customHeight="1">
      <c r="B1126" s="175"/>
      <c r="H1126" s="178"/>
      <c r="I1126" s="179"/>
      <c r="J1126" s="184"/>
      <c r="N1126" s="178"/>
      <c r="O1126" s="178"/>
      <c r="P1126" s="178"/>
      <c r="S1126" s="458"/>
      <c r="AN1126" s="458"/>
      <c r="BA1126" s="1266"/>
    </row>
    <row r="1127" spans="2:53" ht="15.75" customHeight="1">
      <c r="B1127" s="175"/>
      <c r="H1127" s="178"/>
      <c r="I1127" s="179"/>
      <c r="J1127" s="184"/>
      <c r="N1127" s="178"/>
      <c r="O1127" s="178"/>
      <c r="P1127" s="178"/>
      <c r="S1127" s="458"/>
      <c r="AN1127" s="458"/>
      <c r="BA1127" s="1266"/>
    </row>
    <row r="1128" spans="2:53" ht="15.75" customHeight="1">
      <c r="B1128" s="175"/>
      <c r="H1128" s="178"/>
      <c r="I1128" s="179"/>
      <c r="J1128" s="184"/>
      <c r="N1128" s="178"/>
      <c r="O1128" s="178"/>
      <c r="P1128" s="178"/>
      <c r="S1128" s="458"/>
      <c r="AN1128" s="458"/>
      <c r="BA1128" s="1266"/>
    </row>
    <row r="1129" spans="2:53" ht="15.75" customHeight="1">
      <c r="B1129" s="175"/>
      <c r="H1129" s="178"/>
      <c r="I1129" s="179"/>
      <c r="J1129" s="184"/>
      <c r="N1129" s="178"/>
      <c r="O1129" s="178"/>
      <c r="P1129" s="178"/>
      <c r="S1129" s="458"/>
      <c r="AN1129" s="458"/>
      <c r="BA1129" s="1266"/>
    </row>
    <row r="1130" spans="2:53" ht="15.75" customHeight="1">
      <c r="B1130" s="175"/>
      <c r="H1130" s="178"/>
      <c r="I1130" s="179"/>
      <c r="J1130" s="184"/>
      <c r="N1130" s="178"/>
      <c r="O1130" s="178"/>
      <c r="P1130" s="178"/>
      <c r="S1130" s="458"/>
      <c r="AN1130" s="458"/>
      <c r="BA1130" s="1266"/>
    </row>
    <row r="1131" spans="2:53" ht="15.75" customHeight="1">
      <c r="B1131" s="175"/>
      <c r="H1131" s="178"/>
      <c r="I1131" s="179"/>
      <c r="J1131" s="184"/>
      <c r="N1131" s="178"/>
      <c r="O1131" s="178"/>
      <c r="P1131" s="178"/>
      <c r="S1131" s="458"/>
      <c r="AN1131" s="458"/>
      <c r="BA1131" s="1266"/>
    </row>
    <row r="1132" spans="2:53" ht="15.75" customHeight="1">
      <c r="B1132" s="175"/>
      <c r="H1132" s="178"/>
      <c r="I1132" s="179"/>
      <c r="J1132" s="184"/>
      <c r="N1132" s="178"/>
      <c r="O1132" s="178"/>
      <c r="P1132" s="178"/>
      <c r="S1132" s="458"/>
      <c r="AN1132" s="458"/>
      <c r="BA1132" s="1266"/>
    </row>
    <row r="1133" spans="2:53" ht="15.75" customHeight="1">
      <c r="B1133" s="175"/>
      <c r="H1133" s="178"/>
      <c r="I1133" s="179"/>
      <c r="J1133" s="184"/>
      <c r="N1133" s="178"/>
      <c r="O1133" s="178"/>
      <c r="P1133" s="178"/>
      <c r="S1133" s="458"/>
      <c r="AN1133" s="458"/>
      <c r="BA1133" s="1266"/>
    </row>
    <row r="1134" spans="2:53" ht="15.75" customHeight="1">
      <c r="B1134" s="175"/>
      <c r="H1134" s="178"/>
      <c r="I1134" s="179"/>
      <c r="J1134" s="184"/>
      <c r="N1134" s="178"/>
      <c r="O1134" s="178"/>
      <c r="P1134" s="178"/>
      <c r="S1134" s="458"/>
      <c r="AN1134" s="458"/>
      <c r="BA1134" s="1266"/>
    </row>
    <row r="1135" spans="2:53" ht="15.75" customHeight="1">
      <c r="B1135" s="175"/>
      <c r="H1135" s="178"/>
      <c r="I1135" s="179"/>
      <c r="J1135" s="184"/>
      <c r="N1135" s="178"/>
      <c r="O1135" s="178"/>
      <c r="P1135" s="178"/>
      <c r="S1135" s="458"/>
      <c r="AN1135" s="458"/>
      <c r="BA1135" s="1266"/>
    </row>
    <row r="1136" spans="2:53" ht="15.75" customHeight="1">
      <c r="B1136" s="175"/>
      <c r="H1136" s="178"/>
      <c r="I1136" s="179"/>
      <c r="J1136" s="184"/>
      <c r="N1136" s="178"/>
      <c r="O1136" s="178"/>
      <c r="P1136" s="178"/>
      <c r="S1136" s="458"/>
      <c r="AN1136" s="458"/>
      <c r="BA1136" s="1266"/>
    </row>
    <row r="1137" spans="2:53" ht="15.75" customHeight="1">
      <c r="B1137" s="175"/>
      <c r="H1137" s="178"/>
      <c r="I1137" s="179"/>
      <c r="J1137" s="184"/>
      <c r="N1137" s="178"/>
      <c r="O1137" s="178"/>
      <c r="P1137" s="178"/>
      <c r="S1137" s="458"/>
      <c r="AN1137" s="458"/>
      <c r="BA1137" s="1266"/>
    </row>
    <row r="1138" spans="2:53" ht="15.75" customHeight="1">
      <c r="B1138" s="175"/>
      <c r="H1138" s="178"/>
      <c r="I1138" s="179"/>
      <c r="J1138" s="184"/>
      <c r="N1138" s="178"/>
      <c r="O1138" s="178"/>
      <c r="P1138" s="178"/>
      <c r="S1138" s="458"/>
      <c r="AN1138" s="458"/>
      <c r="BA1138" s="1266"/>
    </row>
    <row r="1139" spans="2:53" ht="15.75" customHeight="1">
      <c r="B1139" s="175"/>
      <c r="H1139" s="178"/>
      <c r="I1139" s="179"/>
      <c r="J1139" s="184"/>
      <c r="N1139" s="178"/>
      <c r="O1139" s="178"/>
      <c r="P1139" s="178"/>
      <c r="S1139" s="458"/>
      <c r="AN1139" s="458"/>
      <c r="BA1139" s="1266"/>
    </row>
    <row r="1140" spans="2:53" ht="15.75" customHeight="1">
      <c r="B1140" s="175"/>
      <c r="H1140" s="178"/>
      <c r="I1140" s="179"/>
      <c r="J1140" s="184"/>
      <c r="N1140" s="178"/>
      <c r="O1140" s="178"/>
      <c r="P1140" s="178"/>
      <c r="S1140" s="458"/>
      <c r="AN1140" s="458"/>
      <c r="BA1140" s="1266"/>
    </row>
    <row r="1141" spans="2:53" ht="15.75" customHeight="1">
      <c r="B1141" s="175"/>
      <c r="H1141" s="178"/>
      <c r="I1141" s="179"/>
      <c r="J1141" s="184"/>
      <c r="N1141" s="178"/>
      <c r="O1141" s="178"/>
      <c r="P1141" s="178"/>
      <c r="S1141" s="458"/>
      <c r="AN1141" s="458"/>
      <c r="BA1141" s="1266"/>
    </row>
    <row r="1142" spans="2:53" ht="15.75" customHeight="1">
      <c r="B1142" s="175"/>
      <c r="H1142" s="178"/>
      <c r="I1142" s="179"/>
      <c r="J1142" s="184"/>
      <c r="N1142" s="178"/>
      <c r="O1142" s="178"/>
      <c r="P1142" s="178"/>
      <c r="S1142" s="458"/>
      <c r="AN1142" s="458"/>
      <c r="BA1142" s="1266"/>
    </row>
    <row r="1143" spans="2:53" ht="15.75" customHeight="1">
      <c r="B1143" s="175"/>
      <c r="H1143" s="178"/>
      <c r="I1143" s="179"/>
      <c r="J1143" s="184"/>
      <c r="N1143" s="178"/>
      <c r="O1143" s="178"/>
      <c r="P1143" s="178"/>
      <c r="S1143" s="458"/>
      <c r="AN1143" s="458"/>
      <c r="BA1143" s="1266"/>
    </row>
    <row r="1144" spans="2:53" ht="15.75" customHeight="1">
      <c r="B1144" s="175"/>
      <c r="H1144" s="178"/>
      <c r="I1144" s="179"/>
      <c r="J1144" s="184"/>
      <c r="N1144" s="178"/>
      <c r="O1144" s="178"/>
      <c r="P1144" s="178"/>
      <c r="S1144" s="458"/>
      <c r="AN1144" s="458"/>
      <c r="BA1144" s="1266"/>
    </row>
    <row r="1145" spans="2:53" ht="15.75" customHeight="1">
      <c r="B1145" s="175"/>
      <c r="H1145" s="178"/>
      <c r="I1145" s="179"/>
      <c r="J1145" s="184"/>
      <c r="N1145" s="178"/>
      <c r="O1145" s="178"/>
      <c r="P1145" s="178"/>
      <c r="S1145" s="458"/>
      <c r="AN1145" s="458"/>
      <c r="BA1145" s="1266"/>
    </row>
    <row r="1146" spans="2:53" ht="15.75" customHeight="1">
      <c r="B1146" s="175"/>
      <c r="H1146" s="178"/>
      <c r="I1146" s="179"/>
      <c r="J1146" s="184"/>
      <c r="N1146" s="178"/>
      <c r="O1146" s="178"/>
      <c r="P1146" s="178"/>
      <c r="S1146" s="458"/>
      <c r="AN1146" s="458"/>
      <c r="BA1146" s="1266"/>
    </row>
    <row r="1147" spans="2:53" ht="15.75" customHeight="1">
      <c r="B1147" s="175"/>
      <c r="H1147" s="178"/>
      <c r="I1147" s="179"/>
      <c r="J1147" s="184"/>
      <c r="N1147" s="178"/>
      <c r="O1147" s="178"/>
      <c r="P1147" s="178"/>
      <c r="S1147" s="458"/>
      <c r="AN1147" s="458"/>
      <c r="BA1147" s="1266"/>
    </row>
    <row r="1148" spans="2:53" ht="15.75" customHeight="1">
      <c r="B1148" s="175"/>
      <c r="H1148" s="178"/>
      <c r="I1148" s="179"/>
      <c r="J1148" s="184"/>
      <c r="N1148" s="178"/>
      <c r="O1148" s="178"/>
      <c r="P1148" s="178"/>
      <c r="S1148" s="458"/>
      <c r="AN1148" s="458"/>
      <c r="BA1148" s="1266"/>
    </row>
    <row r="1149" spans="2:53" ht="15.75" customHeight="1">
      <c r="B1149" s="175"/>
      <c r="H1149" s="178"/>
      <c r="I1149" s="179"/>
      <c r="J1149" s="184"/>
      <c r="N1149" s="178"/>
      <c r="O1149" s="178"/>
      <c r="P1149" s="178"/>
      <c r="S1149" s="458"/>
      <c r="AN1149" s="458"/>
      <c r="BA1149" s="1266"/>
    </row>
    <row r="1150" spans="2:53" ht="15.75" customHeight="1">
      <c r="B1150" s="175"/>
      <c r="H1150" s="178"/>
      <c r="I1150" s="179"/>
      <c r="J1150" s="184"/>
      <c r="N1150" s="178"/>
      <c r="O1150" s="178"/>
      <c r="P1150" s="178"/>
      <c r="S1150" s="458"/>
      <c r="AN1150" s="458"/>
      <c r="BA1150" s="1266"/>
    </row>
    <row r="1151" spans="2:53" ht="15.75" customHeight="1">
      <c r="B1151" s="175"/>
      <c r="H1151" s="178"/>
      <c r="I1151" s="179"/>
      <c r="J1151" s="184"/>
      <c r="N1151" s="178"/>
      <c r="O1151" s="178"/>
      <c r="P1151" s="178"/>
      <c r="S1151" s="458"/>
      <c r="AN1151" s="458"/>
      <c r="BA1151" s="1266"/>
    </row>
    <row r="1152" spans="2:53" ht="15.75" customHeight="1">
      <c r="B1152" s="175"/>
      <c r="H1152" s="178"/>
      <c r="I1152" s="179"/>
      <c r="J1152" s="184"/>
      <c r="N1152" s="178"/>
      <c r="O1152" s="178"/>
      <c r="P1152" s="178"/>
      <c r="S1152" s="458"/>
      <c r="AN1152" s="458"/>
      <c r="BA1152" s="1266"/>
    </row>
    <row r="1153" spans="2:53" ht="15.75" customHeight="1">
      <c r="B1153" s="175"/>
      <c r="H1153" s="178"/>
      <c r="I1153" s="179"/>
      <c r="J1153" s="184"/>
      <c r="N1153" s="178"/>
      <c r="O1153" s="178"/>
      <c r="P1153" s="178"/>
      <c r="S1153" s="458"/>
      <c r="AN1153" s="458"/>
      <c r="BA1153" s="1266"/>
    </row>
    <row r="1154" spans="2:53" ht="15.75" customHeight="1">
      <c r="B1154" s="175"/>
      <c r="H1154" s="178"/>
      <c r="I1154" s="179"/>
      <c r="J1154" s="184"/>
      <c r="N1154" s="178"/>
      <c r="O1154" s="178"/>
      <c r="P1154" s="178"/>
      <c r="S1154" s="458"/>
      <c r="AN1154" s="458"/>
      <c r="BA1154" s="1266"/>
    </row>
    <row r="1155" spans="2:53" ht="15.75" customHeight="1">
      <c r="B1155" s="175"/>
      <c r="H1155" s="178"/>
      <c r="I1155" s="179"/>
      <c r="J1155" s="184"/>
      <c r="N1155" s="178"/>
      <c r="O1155" s="178"/>
      <c r="P1155" s="178"/>
      <c r="S1155" s="458"/>
      <c r="AN1155" s="458"/>
      <c r="BA1155" s="1266"/>
    </row>
    <row r="1156" spans="2:53" ht="15.75" customHeight="1">
      <c r="B1156" s="175"/>
      <c r="H1156" s="178"/>
      <c r="I1156" s="179"/>
      <c r="J1156" s="184"/>
      <c r="N1156" s="178"/>
      <c r="O1156" s="178"/>
      <c r="P1156" s="178"/>
      <c r="S1156" s="458"/>
      <c r="AN1156" s="458"/>
      <c r="BA1156" s="1266"/>
    </row>
    <row r="1157" spans="2:53" ht="15.75" customHeight="1">
      <c r="B1157" s="175"/>
      <c r="H1157" s="178"/>
      <c r="I1157" s="179"/>
      <c r="J1157" s="184"/>
      <c r="N1157" s="178"/>
      <c r="O1157" s="178"/>
      <c r="P1157" s="178"/>
      <c r="S1157" s="458"/>
      <c r="AN1157" s="458"/>
      <c r="BA1157" s="1266"/>
    </row>
    <row r="1158" spans="2:53" ht="15.75" customHeight="1">
      <c r="B1158" s="175"/>
      <c r="H1158" s="178"/>
      <c r="I1158" s="179"/>
      <c r="J1158" s="184"/>
      <c r="N1158" s="178"/>
      <c r="O1158" s="178"/>
      <c r="P1158" s="178"/>
      <c r="S1158" s="458"/>
      <c r="AN1158" s="458"/>
      <c r="BA1158" s="1266"/>
    </row>
    <row r="1159" spans="2:53" ht="15.75" customHeight="1">
      <c r="B1159" s="175"/>
      <c r="H1159" s="178"/>
      <c r="I1159" s="179"/>
      <c r="J1159" s="184"/>
      <c r="N1159" s="178"/>
      <c r="O1159" s="178"/>
      <c r="P1159" s="178"/>
      <c r="S1159" s="458"/>
      <c r="AN1159" s="458"/>
      <c r="BA1159" s="1266"/>
    </row>
    <row r="1160" spans="2:53" ht="15.75" customHeight="1">
      <c r="B1160" s="175"/>
      <c r="H1160" s="178"/>
      <c r="I1160" s="179"/>
      <c r="J1160" s="184"/>
      <c r="N1160" s="178"/>
      <c r="O1160" s="178"/>
      <c r="P1160" s="178"/>
      <c r="S1160" s="458"/>
      <c r="AN1160" s="458"/>
      <c r="BA1160" s="1266"/>
    </row>
    <row r="1161" spans="2:53" ht="15.75" customHeight="1">
      <c r="B1161" s="175"/>
      <c r="H1161" s="178"/>
      <c r="I1161" s="179"/>
      <c r="J1161" s="184"/>
      <c r="N1161" s="178"/>
      <c r="O1161" s="178"/>
      <c r="P1161" s="178"/>
      <c r="S1161" s="458"/>
      <c r="AN1161" s="458"/>
      <c r="BA1161" s="1266"/>
    </row>
    <row r="1162" spans="2:53" ht="15.75" customHeight="1">
      <c r="B1162" s="175"/>
      <c r="H1162" s="178"/>
      <c r="I1162" s="179"/>
      <c r="J1162" s="184"/>
      <c r="N1162" s="178"/>
      <c r="O1162" s="178"/>
      <c r="P1162" s="178"/>
      <c r="S1162" s="458"/>
      <c r="AN1162" s="458"/>
      <c r="BA1162" s="1266"/>
    </row>
    <row r="1163" spans="2:53" ht="15.75" customHeight="1">
      <c r="B1163" s="175"/>
      <c r="H1163" s="178"/>
      <c r="I1163" s="179"/>
      <c r="J1163" s="184"/>
      <c r="N1163" s="178"/>
      <c r="O1163" s="178"/>
      <c r="P1163" s="178"/>
      <c r="S1163" s="458"/>
      <c r="AN1163" s="458"/>
      <c r="BA1163" s="1266"/>
    </row>
    <row r="1164" spans="2:53" ht="15.75" customHeight="1">
      <c r="B1164" s="175"/>
      <c r="H1164" s="178"/>
      <c r="I1164" s="179"/>
      <c r="J1164" s="184"/>
      <c r="N1164" s="178"/>
      <c r="O1164" s="178"/>
      <c r="P1164" s="178"/>
      <c r="S1164" s="458"/>
      <c r="AN1164" s="458"/>
      <c r="BA1164" s="1266"/>
    </row>
    <row r="1165" spans="2:53" ht="15.75" customHeight="1">
      <c r="B1165" s="175"/>
      <c r="H1165" s="178"/>
      <c r="I1165" s="179"/>
      <c r="J1165" s="184"/>
      <c r="N1165" s="178"/>
      <c r="O1165" s="178"/>
      <c r="P1165" s="178"/>
      <c r="S1165" s="458"/>
      <c r="AN1165" s="458"/>
      <c r="BA1165" s="1266"/>
    </row>
    <row r="1166" spans="2:53" ht="15.75" customHeight="1">
      <c r="B1166" s="175"/>
      <c r="H1166" s="178"/>
      <c r="I1166" s="179"/>
      <c r="J1166" s="184"/>
      <c r="N1166" s="178"/>
      <c r="O1166" s="178"/>
      <c r="P1166" s="178"/>
      <c r="S1166" s="458"/>
      <c r="AN1166" s="458"/>
      <c r="BA1166" s="1266"/>
    </row>
    <row r="1167" spans="2:53" ht="15.75" customHeight="1">
      <c r="B1167" s="175"/>
      <c r="H1167" s="178"/>
      <c r="I1167" s="179"/>
      <c r="J1167" s="184"/>
      <c r="N1167" s="178"/>
      <c r="O1167" s="178"/>
      <c r="P1167" s="178"/>
      <c r="S1167" s="458"/>
      <c r="AN1167" s="458"/>
      <c r="BA1167" s="1266"/>
    </row>
    <row r="1168" spans="2:53" ht="15.75" customHeight="1">
      <c r="B1168" s="175"/>
      <c r="H1168" s="178"/>
      <c r="I1168" s="179"/>
      <c r="J1168" s="184"/>
      <c r="N1168" s="178"/>
      <c r="O1168" s="178"/>
      <c r="P1168" s="178"/>
      <c r="S1168" s="458"/>
      <c r="AN1168" s="458"/>
      <c r="BA1168" s="1266"/>
    </row>
    <row r="1169" spans="2:53" ht="15.75" customHeight="1">
      <c r="B1169" s="175"/>
      <c r="H1169" s="178"/>
      <c r="I1169" s="179"/>
      <c r="J1169" s="184"/>
      <c r="N1169" s="178"/>
      <c r="O1169" s="178"/>
      <c r="P1169" s="178"/>
      <c r="S1169" s="458"/>
      <c r="AN1169" s="458"/>
      <c r="BA1169" s="1266"/>
    </row>
    <row r="1170" spans="2:53" ht="15.75" customHeight="1">
      <c r="B1170" s="175"/>
      <c r="H1170" s="178"/>
      <c r="I1170" s="179"/>
      <c r="J1170" s="184"/>
      <c r="N1170" s="178"/>
      <c r="O1170" s="178"/>
      <c r="P1170" s="178"/>
      <c r="S1170" s="458"/>
      <c r="AN1170" s="458"/>
      <c r="BA1170" s="1266"/>
    </row>
    <row r="1171" spans="2:53" ht="15.75" customHeight="1">
      <c r="B1171" s="175"/>
      <c r="H1171" s="178"/>
      <c r="I1171" s="179"/>
      <c r="J1171" s="184"/>
      <c r="N1171" s="178"/>
      <c r="O1171" s="178"/>
      <c r="P1171" s="178"/>
      <c r="S1171" s="458"/>
      <c r="AN1171" s="458"/>
      <c r="BA1171" s="1266"/>
    </row>
    <row r="1172" spans="2:53" ht="15.75" customHeight="1">
      <c r="B1172" s="175"/>
      <c r="H1172" s="178"/>
      <c r="I1172" s="179"/>
      <c r="J1172" s="184"/>
      <c r="N1172" s="178"/>
      <c r="O1172" s="178"/>
      <c r="P1172" s="178"/>
      <c r="S1172" s="458"/>
      <c r="AN1172" s="458"/>
      <c r="BA1172" s="1266"/>
    </row>
    <row r="1173" spans="2:53" ht="15.75" customHeight="1">
      <c r="B1173" s="175"/>
      <c r="H1173" s="178"/>
      <c r="I1173" s="179"/>
      <c r="J1173" s="184"/>
      <c r="N1173" s="178"/>
      <c r="O1173" s="178"/>
      <c r="P1173" s="178"/>
      <c r="S1173" s="458"/>
      <c r="AN1173" s="458"/>
      <c r="BA1173" s="1266"/>
    </row>
    <row r="1174" spans="2:53" ht="15.75" customHeight="1">
      <c r="B1174" s="175"/>
      <c r="H1174" s="178"/>
      <c r="I1174" s="179"/>
      <c r="J1174" s="184"/>
      <c r="N1174" s="178"/>
      <c r="O1174" s="178"/>
      <c r="P1174" s="178"/>
      <c r="S1174" s="458"/>
      <c r="AN1174" s="458"/>
      <c r="BA1174" s="1266"/>
    </row>
    <row r="1175" spans="2:53" ht="15.75" customHeight="1">
      <c r="B1175" s="175"/>
      <c r="H1175" s="178"/>
      <c r="I1175" s="179"/>
      <c r="J1175" s="184"/>
      <c r="N1175" s="178"/>
      <c r="O1175" s="178"/>
      <c r="P1175" s="178"/>
      <c r="S1175" s="458"/>
      <c r="AN1175" s="458"/>
      <c r="BA1175" s="1266"/>
    </row>
    <row r="1176" spans="2:53" ht="15.75" customHeight="1">
      <c r="B1176" s="175"/>
      <c r="H1176" s="178"/>
      <c r="I1176" s="179"/>
      <c r="J1176" s="184"/>
      <c r="N1176" s="178"/>
      <c r="O1176" s="178"/>
      <c r="P1176" s="178"/>
      <c r="S1176" s="458"/>
      <c r="AN1176" s="458"/>
      <c r="BA1176" s="1266"/>
    </row>
    <row r="1177" spans="2:53" ht="15.75" customHeight="1">
      <c r="B1177" s="175"/>
      <c r="H1177" s="178"/>
      <c r="I1177" s="179"/>
      <c r="J1177" s="184"/>
      <c r="N1177" s="178"/>
      <c r="O1177" s="178"/>
      <c r="P1177" s="178"/>
      <c r="S1177" s="458"/>
      <c r="AN1177" s="458"/>
      <c r="BA1177" s="1266"/>
    </row>
    <row r="1178" spans="2:53" ht="15.75" customHeight="1">
      <c r="B1178" s="175"/>
      <c r="H1178" s="178"/>
      <c r="I1178" s="179"/>
      <c r="J1178" s="184"/>
      <c r="N1178" s="178"/>
      <c r="O1178" s="178"/>
      <c r="P1178" s="178"/>
      <c r="S1178" s="458"/>
      <c r="AN1178" s="458"/>
      <c r="BA1178" s="1266"/>
    </row>
    <row r="1179" spans="2:53" ht="15.75" customHeight="1">
      <c r="B1179" s="175"/>
      <c r="H1179" s="178"/>
      <c r="I1179" s="179"/>
      <c r="J1179" s="184"/>
      <c r="N1179" s="178"/>
      <c r="O1179" s="178"/>
      <c r="P1179" s="178"/>
      <c r="S1179" s="458"/>
      <c r="AN1179" s="458"/>
      <c r="BA1179" s="1266"/>
    </row>
    <row r="1180" spans="2:53" ht="15.75" customHeight="1">
      <c r="B1180" s="175"/>
      <c r="H1180" s="178"/>
      <c r="I1180" s="179"/>
      <c r="J1180" s="184"/>
      <c r="N1180" s="178"/>
      <c r="O1180" s="178"/>
      <c r="P1180" s="178"/>
      <c r="S1180" s="458"/>
      <c r="AN1180" s="458"/>
      <c r="BA1180" s="1266"/>
    </row>
    <row r="1181" spans="2:53" ht="15.75" customHeight="1">
      <c r="B1181" s="175"/>
      <c r="H1181" s="178"/>
      <c r="I1181" s="179"/>
      <c r="J1181" s="184"/>
      <c r="N1181" s="178"/>
      <c r="O1181" s="178"/>
      <c r="P1181" s="178"/>
      <c r="S1181" s="458"/>
      <c r="AN1181" s="458"/>
      <c r="BA1181" s="1266"/>
    </row>
    <row r="1182" spans="2:53" ht="15.75" customHeight="1">
      <c r="B1182" s="175"/>
      <c r="H1182" s="178"/>
      <c r="I1182" s="179"/>
      <c r="J1182" s="184"/>
      <c r="N1182" s="178"/>
      <c r="O1182" s="178"/>
      <c r="P1182" s="178"/>
      <c r="S1182" s="458"/>
      <c r="AN1182" s="458"/>
      <c r="BA1182" s="1266"/>
    </row>
    <row r="1183" spans="2:53" ht="15.75" customHeight="1">
      <c r="B1183" s="175"/>
      <c r="H1183" s="178"/>
      <c r="I1183" s="179"/>
      <c r="J1183" s="184"/>
      <c r="N1183" s="178"/>
      <c r="O1183" s="178"/>
      <c r="P1183" s="178"/>
      <c r="S1183" s="458"/>
      <c r="AN1183" s="458"/>
      <c r="BA1183" s="1266"/>
    </row>
    <row r="1184" spans="2:53" ht="15.75" customHeight="1">
      <c r="B1184" s="175"/>
      <c r="H1184" s="178"/>
      <c r="I1184" s="179"/>
      <c r="J1184" s="184"/>
      <c r="N1184" s="178"/>
      <c r="O1184" s="178"/>
      <c r="P1184" s="178"/>
      <c r="S1184" s="458"/>
      <c r="AN1184" s="458"/>
      <c r="BA1184" s="1266"/>
    </row>
    <row r="1185" spans="2:53" ht="15.75" customHeight="1">
      <c r="B1185" s="175"/>
      <c r="H1185" s="178"/>
      <c r="I1185" s="179"/>
      <c r="J1185" s="184"/>
      <c r="N1185" s="178"/>
      <c r="O1185" s="178"/>
      <c r="P1185" s="178"/>
      <c r="S1185" s="458"/>
      <c r="AN1185" s="458"/>
      <c r="BA1185" s="1266"/>
    </row>
    <row r="1186" spans="2:53" ht="15.75" customHeight="1">
      <c r="B1186" s="175"/>
      <c r="H1186" s="178"/>
      <c r="I1186" s="179"/>
      <c r="J1186" s="184"/>
      <c r="N1186" s="178"/>
      <c r="O1186" s="178"/>
      <c r="P1186" s="178"/>
      <c r="S1186" s="458"/>
      <c r="AN1186" s="458"/>
      <c r="BA1186" s="1266"/>
    </row>
    <row r="1187" spans="2:53" ht="15.75" customHeight="1">
      <c r="B1187" s="175"/>
      <c r="H1187" s="178"/>
      <c r="I1187" s="179"/>
      <c r="J1187" s="184"/>
      <c r="N1187" s="178"/>
      <c r="O1187" s="178"/>
      <c r="P1187" s="178"/>
      <c r="S1187" s="458"/>
      <c r="AN1187" s="458"/>
      <c r="BA1187" s="1266"/>
    </row>
    <row r="1188" spans="2:53" ht="15.75" customHeight="1">
      <c r="B1188" s="175"/>
      <c r="H1188" s="178"/>
      <c r="I1188" s="179"/>
      <c r="J1188" s="184"/>
      <c r="N1188" s="178"/>
      <c r="O1188" s="178"/>
      <c r="P1188" s="178"/>
      <c r="S1188" s="458"/>
      <c r="AN1188" s="458"/>
      <c r="BA1188" s="1266"/>
    </row>
    <row r="1189" spans="2:53" ht="15.75" customHeight="1">
      <c r="B1189" s="175"/>
      <c r="H1189" s="178"/>
      <c r="I1189" s="179"/>
      <c r="J1189" s="184"/>
      <c r="N1189" s="178"/>
      <c r="O1189" s="178"/>
      <c r="P1189" s="178"/>
      <c r="S1189" s="458"/>
      <c r="AN1189" s="458"/>
      <c r="BA1189" s="1266"/>
    </row>
    <row r="1190" spans="2:53" ht="15.75" customHeight="1">
      <c r="B1190" s="175"/>
      <c r="H1190" s="178"/>
      <c r="I1190" s="179"/>
      <c r="J1190" s="184"/>
      <c r="N1190" s="178"/>
      <c r="O1190" s="178"/>
      <c r="P1190" s="178"/>
      <c r="S1190" s="458"/>
      <c r="AN1190" s="458"/>
      <c r="BA1190" s="1266"/>
    </row>
    <row r="1191" spans="2:53" ht="15.75" customHeight="1">
      <c r="B1191" s="175"/>
      <c r="H1191" s="178"/>
      <c r="I1191" s="179"/>
      <c r="J1191" s="184"/>
      <c r="N1191" s="178"/>
      <c r="O1191" s="178"/>
      <c r="P1191" s="178"/>
      <c r="S1191" s="458"/>
      <c r="AN1191" s="458"/>
      <c r="BA1191" s="1266"/>
    </row>
    <row r="1192" spans="2:53" ht="15.75" customHeight="1">
      <c r="B1192" s="175"/>
      <c r="H1192" s="178"/>
      <c r="I1192" s="179"/>
      <c r="J1192" s="184"/>
      <c r="N1192" s="178"/>
      <c r="O1192" s="178"/>
      <c r="P1192" s="178"/>
      <c r="S1192" s="458"/>
      <c r="AN1192" s="458"/>
      <c r="BA1192" s="1266"/>
    </row>
    <row r="1193" spans="2:53" ht="15.75" customHeight="1">
      <c r="B1193" s="175"/>
      <c r="H1193" s="178"/>
      <c r="I1193" s="179"/>
      <c r="J1193" s="184"/>
      <c r="N1193" s="178"/>
      <c r="O1193" s="178"/>
      <c r="P1193" s="178"/>
      <c r="S1193" s="458"/>
      <c r="AN1193" s="458"/>
      <c r="BA1193" s="1266"/>
    </row>
    <row r="1194" spans="2:53" ht="15.75" customHeight="1">
      <c r="B1194" s="175"/>
      <c r="H1194" s="178"/>
      <c r="I1194" s="179"/>
      <c r="J1194" s="184"/>
      <c r="N1194" s="178"/>
      <c r="O1194" s="178"/>
      <c r="P1194" s="178"/>
      <c r="S1194" s="458"/>
      <c r="AN1194" s="458"/>
      <c r="BA1194" s="1266"/>
    </row>
    <row r="1195" spans="2:53" ht="15.75" customHeight="1">
      <c r="B1195" s="175"/>
      <c r="H1195" s="178"/>
      <c r="I1195" s="179"/>
      <c r="J1195" s="184"/>
      <c r="N1195" s="178"/>
      <c r="O1195" s="178"/>
      <c r="P1195" s="178"/>
      <c r="S1195" s="458"/>
      <c r="AN1195" s="458"/>
      <c r="BA1195" s="1266"/>
    </row>
    <row r="1196" spans="2:53" ht="15.75" customHeight="1">
      <c r="B1196" s="175"/>
      <c r="H1196" s="178"/>
      <c r="I1196" s="179"/>
      <c r="J1196" s="184"/>
      <c r="N1196" s="178"/>
      <c r="O1196" s="178"/>
      <c r="P1196" s="178"/>
      <c r="S1196" s="458"/>
      <c r="AN1196" s="458"/>
      <c r="BA1196" s="1266"/>
    </row>
    <row r="1197" spans="2:53" ht="15.75" customHeight="1">
      <c r="B1197" s="175"/>
      <c r="H1197" s="178"/>
      <c r="I1197" s="179"/>
      <c r="J1197" s="184"/>
      <c r="N1197" s="178"/>
      <c r="O1197" s="178"/>
      <c r="P1197" s="178"/>
      <c r="S1197" s="458"/>
      <c r="AN1197" s="458"/>
      <c r="BA1197" s="1266"/>
    </row>
    <row r="1198" spans="2:53" ht="15.75" customHeight="1">
      <c r="B1198" s="175"/>
      <c r="H1198" s="178"/>
      <c r="I1198" s="179"/>
      <c r="J1198" s="184"/>
      <c r="N1198" s="178"/>
      <c r="O1198" s="178"/>
      <c r="P1198" s="178"/>
      <c r="S1198" s="458"/>
      <c r="AN1198" s="458"/>
      <c r="BA1198" s="1266"/>
    </row>
    <row r="1199" spans="2:53" ht="15.75" customHeight="1">
      <c r="B1199" s="175"/>
      <c r="H1199" s="178"/>
      <c r="I1199" s="179"/>
      <c r="J1199" s="184"/>
      <c r="N1199" s="178"/>
      <c r="O1199" s="178"/>
      <c r="P1199" s="178"/>
      <c r="S1199" s="458"/>
      <c r="AN1199" s="458"/>
      <c r="BA1199" s="1266"/>
    </row>
    <row r="1200" spans="2:53" ht="15.75" customHeight="1">
      <c r="B1200" s="175"/>
      <c r="H1200" s="178"/>
      <c r="I1200" s="179"/>
      <c r="J1200" s="184"/>
      <c r="N1200" s="178"/>
      <c r="O1200" s="178"/>
      <c r="P1200" s="178"/>
      <c r="S1200" s="458"/>
      <c r="AN1200" s="458"/>
      <c r="BA1200" s="1266"/>
    </row>
    <row r="1201" spans="2:53" ht="15.75" customHeight="1">
      <c r="B1201" s="175"/>
      <c r="H1201" s="178"/>
      <c r="I1201" s="179"/>
      <c r="J1201" s="184"/>
      <c r="N1201" s="178"/>
      <c r="O1201" s="178"/>
      <c r="P1201" s="178"/>
      <c r="S1201" s="458"/>
      <c r="AN1201" s="458"/>
      <c r="BA1201" s="1266"/>
    </row>
    <row r="1202" spans="2:53" ht="15.75" customHeight="1">
      <c r="B1202" s="175"/>
      <c r="H1202" s="178"/>
      <c r="I1202" s="179"/>
      <c r="J1202" s="184"/>
      <c r="N1202" s="178"/>
      <c r="O1202" s="178"/>
      <c r="P1202" s="178"/>
      <c r="S1202" s="458"/>
      <c r="AN1202" s="458"/>
      <c r="BA1202" s="1266"/>
    </row>
    <row r="1203" spans="2:53" ht="15.75" customHeight="1">
      <c r="B1203" s="175"/>
      <c r="H1203" s="178"/>
      <c r="I1203" s="179"/>
      <c r="J1203" s="184"/>
      <c r="N1203" s="178"/>
      <c r="O1203" s="178"/>
      <c r="P1203" s="178"/>
      <c r="S1203" s="458"/>
      <c r="AN1203" s="458"/>
      <c r="BA1203" s="1266"/>
    </row>
    <row r="1204" spans="2:53" ht="15.75" customHeight="1">
      <c r="B1204" s="175"/>
      <c r="H1204" s="178"/>
      <c r="I1204" s="179"/>
      <c r="J1204" s="184"/>
      <c r="N1204" s="178"/>
      <c r="O1204" s="178"/>
      <c r="P1204" s="178"/>
      <c r="S1204" s="458"/>
      <c r="AN1204" s="458"/>
      <c r="BA1204" s="1266"/>
    </row>
    <row r="1205" spans="2:53" ht="15.75" customHeight="1">
      <c r="B1205" s="175"/>
      <c r="H1205" s="178"/>
      <c r="I1205" s="179"/>
      <c r="J1205" s="184"/>
      <c r="N1205" s="178"/>
      <c r="O1205" s="178"/>
      <c r="P1205" s="178"/>
      <c r="S1205" s="458"/>
      <c r="AN1205" s="458"/>
      <c r="BA1205" s="1266"/>
    </row>
    <row r="1206" spans="2:53" ht="15.75" customHeight="1">
      <c r="B1206" s="175"/>
      <c r="H1206" s="178"/>
      <c r="I1206" s="179"/>
      <c r="J1206" s="184"/>
      <c r="N1206" s="178"/>
      <c r="O1206" s="178"/>
      <c r="P1206" s="178"/>
      <c r="S1206" s="458"/>
      <c r="AN1206" s="458"/>
      <c r="BA1206" s="1266"/>
    </row>
    <row r="1207" spans="2:53" ht="15.75" customHeight="1">
      <c r="B1207" s="175"/>
      <c r="H1207" s="178"/>
      <c r="I1207" s="179"/>
      <c r="J1207" s="184"/>
      <c r="N1207" s="178"/>
      <c r="O1207" s="178"/>
      <c r="P1207" s="178"/>
      <c r="S1207" s="458"/>
      <c r="AN1207" s="458"/>
      <c r="BA1207" s="1266"/>
    </row>
    <row r="1208" spans="2:53" ht="15.75" customHeight="1">
      <c r="B1208" s="175"/>
      <c r="H1208" s="178"/>
      <c r="I1208" s="179"/>
      <c r="J1208" s="184"/>
      <c r="N1208" s="178"/>
      <c r="O1208" s="178"/>
      <c r="P1208" s="178"/>
      <c r="S1208" s="458"/>
      <c r="AN1208" s="458"/>
      <c r="BA1208" s="1266"/>
    </row>
    <row r="1209" spans="2:53" ht="15.75" customHeight="1">
      <c r="B1209" s="175"/>
      <c r="H1209" s="178"/>
      <c r="I1209" s="179"/>
      <c r="J1209" s="184"/>
      <c r="N1209" s="178"/>
      <c r="O1209" s="178"/>
      <c r="P1209" s="178"/>
      <c r="S1209" s="458"/>
      <c r="AN1209" s="458"/>
      <c r="BA1209" s="1266"/>
    </row>
    <row r="1210" spans="2:53" ht="15.75" customHeight="1">
      <c r="B1210" s="175"/>
      <c r="H1210" s="178"/>
      <c r="I1210" s="179"/>
      <c r="J1210" s="184"/>
      <c r="N1210" s="178"/>
      <c r="O1210" s="178"/>
      <c r="P1210" s="178"/>
      <c r="S1210" s="458"/>
      <c r="AN1210" s="458"/>
      <c r="BA1210" s="1266"/>
    </row>
    <row r="1211" spans="2:53" ht="15.75" customHeight="1">
      <c r="B1211" s="175"/>
      <c r="H1211" s="178"/>
      <c r="I1211" s="179"/>
      <c r="J1211" s="184"/>
      <c r="N1211" s="178"/>
      <c r="O1211" s="178"/>
      <c r="P1211" s="178"/>
      <c r="S1211" s="458"/>
      <c r="AN1211" s="458"/>
      <c r="BA1211" s="1266"/>
    </row>
    <row r="1212" spans="2:53" ht="15.75" customHeight="1">
      <c r="B1212" s="175"/>
      <c r="H1212" s="178"/>
      <c r="I1212" s="179"/>
      <c r="J1212" s="184"/>
      <c r="N1212" s="178"/>
      <c r="O1212" s="178"/>
      <c r="P1212" s="178"/>
      <c r="S1212" s="458"/>
      <c r="AN1212" s="458"/>
      <c r="BA1212" s="1266"/>
    </row>
    <row r="1213" spans="2:53" ht="15.75" customHeight="1">
      <c r="B1213" s="175"/>
      <c r="H1213" s="178"/>
      <c r="I1213" s="179"/>
      <c r="J1213" s="184"/>
      <c r="N1213" s="178"/>
      <c r="O1213" s="178"/>
      <c r="P1213" s="178"/>
      <c r="S1213" s="458"/>
      <c r="AN1213" s="458"/>
      <c r="BA1213" s="1266"/>
    </row>
    <row r="1214" spans="2:53" ht="15.75" customHeight="1">
      <c r="B1214" s="175"/>
      <c r="H1214" s="178"/>
      <c r="I1214" s="179"/>
      <c r="J1214" s="184"/>
      <c r="N1214" s="178"/>
      <c r="O1214" s="178"/>
      <c r="P1214" s="178"/>
      <c r="S1214" s="458"/>
      <c r="AN1214" s="458"/>
      <c r="BA1214" s="1266"/>
    </row>
    <row r="1215" spans="2:53" ht="15.75" customHeight="1">
      <c r="B1215" s="175"/>
      <c r="H1215" s="178"/>
      <c r="N1215" s="178"/>
      <c r="O1215" s="178"/>
      <c r="P1215" s="178"/>
      <c r="S1215" s="458"/>
      <c r="AN1215" s="458"/>
      <c r="BA1215" s="1266"/>
    </row>
    <row r="1216" spans="2:53" ht="15.75" customHeight="1">
      <c r="B1216" s="175"/>
      <c r="H1216" s="178"/>
      <c r="I1216" s="179"/>
      <c r="J1216" s="184"/>
      <c r="O1216" s="178"/>
      <c r="P1216" s="178"/>
      <c r="S1216" s="458"/>
      <c r="AN1216" s="458"/>
      <c r="BA1216" s="1266"/>
    </row>
    <row r="1217" spans="2:53" ht="15.75" customHeight="1">
      <c r="B1217" s="175"/>
      <c r="H1217" s="178"/>
      <c r="I1217" s="179"/>
      <c r="J1217" s="184"/>
      <c r="N1217" s="178"/>
      <c r="O1217" s="178"/>
      <c r="P1217" s="178"/>
      <c r="S1217" s="458"/>
      <c r="AN1217" s="458"/>
      <c r="BA1217" s="1266"/>
    </row>
    <row r="1218" spans="2:53" ht="15.75" customHeight="1">
      <c r="B1218" s="175"/>
      <c r="H1218" s="178"/>
      <c r="I1218" s="179"/>
      <c r="J1218" s="184"/>
      <c r="N1218" s="178"/>
      <c r="O1218" s="178"/>
      <c r="P1218" s="178"/>
      <c r="S1218" s="458"/>
      <c r="AN1218" s="458"/>
      <c r="BA1218" s="1266"/>
    </row>
    <row r="1219" spans="2:53" ht="15.75" customHeight="1">
      <c r="B1219" s="175"/>
      <c r="H1219" s="178"/>
      <c r="I1219" s="179"/>
      <c r="J1219" s="184"/>
      <c r="N1219" s="178"/>
      <c r="P1219" s="178"/>
      <c r="S1219" s="458"/>
      <c r="AN1219" s="458"/>
      <c r="BA1219" s="1266"/>
    </row>
    <row r="1220" spans="2:53" ht="15.75" customHeight="1">
      <c r="B1220" s="175"/>
      <c r="H1220" s="178"/>
      <c r="I1220" s="179"/>
      <c r="J1220" s="184"/>
      <c r="N1220" s="178"/>
      <c r="P1220" s="178"/>
      <c r="S1220" s="458"/>
      <c r="AN1220" s="458"/>
      <c r="BA1220" s="1266"/>
    </row>
    <row r="1221" spans="2:53" ht="15.75" customHeight="1">
      <c r="B1221" s="175"/>
      <c r="H1221" s="178"/>
      <c r="I1221" s="179"/>
      <c r="J1221" s="184"/>
      <c r="N1221" s="178"/>
      <c r="P1221" s="178"/>
      <c r="S1221" s="458"/>
      <c r="AN1221" s="458"/>
      <c r="BA1221" s="1266"/>
    </row>
    <row r="1222" spans="2:53" ht="15.75" customHeight="1">
      <c r="B1222" s="175"/>
      <c r="H1222" s="178"/>
      <c r="I1222" s="179"/>
      <c r="J1222" s="184"/>
      <c r="N1222" s="178"/>
      <c r="P1222" s="178"/>
      <c r="S1222" s="458"/>
      <c r="AN1222" s="458"/>
      <c r="BA1222" s="1266"/>
    </row>
    <row r="1223" spans="2:53" ht="15.75" customHeight="1">
      <c r="B1223" s="175"/>
      <c r="H1223" s="178"/>
      <c r="I1223" s="179"/>
      <c r="J1223" s="184"/>
      <c r="N1223" s="178"/>
      <c r="P1223" s="178"/>
      <c r="S1223" s="458"/>
      <c r="AN1223" s="458"/>
      <c r="BA1223" s="1266"/>
    </row>
    <row r="1224" spans="2:53" ht="15.75" customHeight="1">
      <c r="B1224" s="175"/>
      <c r="H1224" s="178"/>
      <c r="I1224" s="179"/>
      <c r="J1224" s="184"/>
      <c r="N1224" s="178"/>
      <c r="O1224" s="178"/>
      <c r="P1224" s="178"/>
      <c r="S1224" s="458"/>
      <c r="AN1224" s="458"/>
      <c r="BA1224" s="1266"/>
    </row>
    <row r="1225" spans="2:53" ht="15.75" customHeight="1">
      <c r="B1225" s="175"/>
      <c r="H1225" s="178"/>
      <c r="I1225" s="179"/>
      <c r="J1225" s="184"/>
      <c r="N1225" s="178"/>
      <c r="O1225" s="178"/>
      <c r="P1225" s="178"/>
      <c r="S1225" s="458"/>
      <c r="AN1225" s="458"/>
      <c r="BA1225" s="1266"/>
    </row>
    <row r="1226" spans="2:53" ht="15.75" customHeight="1">
      <c r="B1226" s="175"/>
      <c r="H1226" s="178"/>
      <c r="I1226" s="179"/>
      <c r="J1226" s="184"/>
      <c r="N1226" s="178"/>
      <c r="O1226" s="178"/>
      <c r="P1226" s="178"/>
      <c r="S1226" s="458"/>
      <c r="AN1226" s="458"/>
      <c r="BA1226" s="1266"/>
    </row>
    <row r="1227" spans="2:53" ht="15.75" customHeight="1">
      <c r="B1227" s="175"/>
      <c r="H1227" s="178"/>
      <c r="I1227" s="179"/>
      <c r="J1227" s="184"/>
      <c r="N1227" s="178"/>
      <c r="O1227" s="178"/>
      <c r="P1227" s="178"/>
      <c r="S1227" s="458"/>
      <c r="AN1227" s="458"/>
      <c r="BA1227" s="1266"/>
    </row>
    <row r="1228" spans="2:53" ht="15.75" customHeight="1">
      <c r="B1228" s="175"/>
      <c r="H1228" s="178"/>
      <c r="I1228" s="179"/>
      <c r="J1228" s="184"/>
      <c r="N1228" s="178"/>
      <c r="O1228" s="178"/>
      <c r="P1228" s="178"/>
      <c r="S1228" s="458"/>
      <c r="AN1228" s="458"/>
      <c r="BA1228" s="1266"/>
    </row>
    <row r="1229" spans="2:53" ht="15.75" customHeight="1">
      <c r="B1229" s="175"/>
      <c r="H1229" s="178"/>
      <c r="I1229" s="179"/>
      <c r="J1229" s="184"/>
      <c r="N1229" s="178"/>
      <c r="O1229" s="178"/>
      <c r="P1229" s="178"/>
      <c r="S1229" s="458"/>
      <c r="AN1229" s="458"/>
      <c r="BA1229" s="1266"/>
    </row>
    <row r="1230" spans="2:53" ht="15.75" customHeight="1">
      <c r="B1230" s="175"/>
      <c r="H1230" s="178"/>
      <c r="I1230" s="179"/>
      <c r="J1230" s="184"/>
      <c r="N1230" s="178"/>
      <c r="O1230" s="178"/>
      <c r="P1230" s="178"/>
      <c r="S1230" s="458"/>
      <c r="AN1230" s="458"/>
      <c r="BA1230" s="1266"/>
    </row>
    <row r="1231" spans="2:53" ht="15.75" customHeight="1">
      <c r="B1231" s="175"/>
      <c r="H1231" s="178"/>
      <c r="I1231" s="179"/>
      <c r="J1231" s="184"/>
      <c r="N1231" s="178"/>
      <c r="O1231" s="178"/>
      <c r="P1231" s="178"/>
      <c r="S1231" s="458"/>
      <c r="AN1231" s="458"/>
      <c r="BA1231" s="1266"/>
    </row>
    <row r="1232" spans="2:53" ht="15.75" customHeight="1">
      <c r="B1232" s="175"/>
      <c r="H1232" s="178"/>
      <c r="I1232" s="179"/>
      <c r="J1232" s="184"/>
      <c r="N1232" s="178"/>
      <c r="O1232" s="178"/>
      <c r="P1232" s="178"/>
      <c r="S1232" s="458"/>
      <c r="AN1232" s="458"/>
      <c r="BA1232" s="1266"/>
    </row>
    <row r="1233" spans="2:53" ht="15.75" customHeight="1">
      <c r="B1233" s="175"/>
      <c r="H1233" s="178"/>
      <c r="I1233" s="179"/>
      <c r="J1233" s="184"/>
      <c r="N1233" s="178"/>
      <c r="O1233" s="178"/>
      <c r="P1233" s="178"/>
      <c r="S1233" s="458"/>
      <c r="AN1233" s="458"/>
      <c r="BA1233" s="1266"/>
    </row>
    <row r="1234" spans="2:53" ht="15.75" customHeight="1">
      <c r="B1234" s="175"/>
      <c r="H1234" s="178"/>
      <c r="I1234" s="179"/>
      <c r="J1234" s="184"/>
      <c r="N1234" s="178"/>
      <c r="O1234" s="178"/>
      <c r="P1234" s="178"/>
      <c r="S1234" s="458"/>
      <c r="AN1234" s="458"/>
      <c r="BA1234" s="1266"/>
    </row>
    <row r="1235" spans="2:53" ht="15.75" customHeight="1">
      <c r="B1235" s="175"/>
      <c r="H1235" s="178"/>
      <c r="I1235" s="179"/>
      <c r="J1235" s="184"/>
      <c r="N1235" s="178"/>
      <c r="O1235" s="178"/>
      <c r="P1235" s="178"/>
      <c r="S1235" s="458"/>
      <c r="AN1235" s="458"/>
      <c r="BA1235" s="1266"/>
    </row>
    <row r="1236" spans="2:53" ht="15.75" customHeight="1">
      <c r="B1236" s="175"/>
      <c r="H1236" s="178"/>
      <c r="I1236" s="179"/>
      <c r="J1236" s="184"/>
      <c r="N1236" s="178"/>
      <c r="O1236" s="178"/>
      <c r="P1236" s="178"/>
      <c r="S1236" s="458"/>
      <c r="AN1236" s="458"/>
      <c r="BA1236" s="1266"/>
    </row>
    <row r="1237" spans="2:53" ht="15.75" customHeight="1">
      <c r="B1237" s="175"/>
      <c r="H1237" s="178"/>
      <c r="I1237" s="179"/>
      <c r="J1237" s="184"/>
      <c r="N1237" s="178"/>
      <c r="O1237" s="178"/>
      <c r="P1237" s="178"/>
      <c r="S1237" s="458"/>
      <c r="AN1237" s="458"/>
      <c r="BA1237" s="1266"/>
    </row>
    <row r="1238" spans="2:53" ht="15.75" customHeight="1">
      <c r="B1238" s="175"/>
      <c r="H1238" s="178"/>
      <c r="I1238" s="179"/>
      <c r="J1238" s="184"/>
      <c r="N1238" s="178"/>
      <c r="O1238" s="178"/>
      <c r="P1238" s="178"/>
      <c r="S1238" s="458"/>
      <c r="AN1238" s="458"/>
      <c r="BA1238" s="1266"/>
    </row>
    <row r="1239" spans="2:53" ht="15.75" customHeight="1">
      <c r="B1239" s="175"/>
      <c r="H1239" s="178"/>
      <c r="I1239" s="179"/>
      <c r="J1239" s="184"/>
      <c r="N1239" s="178"/>
      <c r="O1239" s="178"/>
      <c r="P1239" s="178"/>
      <c r="S1239" s="458"/>
      <c r="AN1239" s="458"/>
      <c r="BA1239" s="1266"/>
    </row>
    <row r="1240" spans="2:53" ht="15.75" customHeight="1">
      <c r="B1240" s="175"/>
      <c r="H1240" s="178"/>
      <c r="I1240" s="179"/>
      <c r="J1240" s="184"/>
      <c r="N1240" s="178"/>
      <c r="O1240" s="178"/>
      <c r="P1240" s="178"/>
      <c r="S1240" s="458"/>
      <c r="AN1240" s="458"/>
      <c r="BA1240" s="1266"/>
    </row>
    <row r="1241" spans="2:53" ht="15.75" customHeight="1">
      <c r="B1241" s="175"/>
      <c r="H1241" s="178"/>
      <c r="I1241" s="179"/>
      <c r="J1241" s="184"/>
      <c r="N1241" s="178"/>
      <c r="O1241" s="178"/>
      <c r="P1241" s="178"/>
      <c r="S1241" s="458"/>
      <c r="AN1241" s="458"/>
      <c r="BA1241" s="1266"/>
    </row>
    <row r="1242" spans="2:53" ht="15.75" customHeight="1">
      <c r="B1242" s="175"/>
      <c r="H1242" s="178"/>
      <c r="I1242" s="179"/>
      <c r="J1242" s="184"/>
      <c r="N1242" s="178"/>
      <c r="O1242" s="178"/>
      <c r="P1242" s="178"/>
      <c r="S1242" s="458"/>
      <c r="AN1242" s="458"/>
      <c r="BA1242" s="1266"/>
    </row>
    <row r="1243" spans="2:53" ht="15.75" customHeight="1">
      <c r="B1243" s="175"/>
      <c r="H1243" s="178"/>
      <c r="I1243" s="179"/>
      <c r="J1243" s="184"/>
      <c r="N1243" s="178"/>
      <c r="O1243" s="178"/>
      <c r="P1243" s="178"/>
      <c r="S1243" s="458"/>
      <c r="AN1243" s="458"/>
      <c r="BA1243" s="1266"/>
    </row>
    <row r="1244" spans="2:53" ht="15.75" customHeight="1">
      <c r="B1244" s="175"/>
      <c r="H1244" s="178"/>
      <c r="I1244" s="179"/>
      <c r="J1244" s="184"/>
      <c r="N1244" s="178"/>
      <c r="O1244" s="178"/>
      <c r="P1244" s="178"/>
      <c r="S1244" s="458"/>
      <c r="AN1244" s="458"/>
      <c r="BA1244" s="1266"/>
    </row>
    <row r="1245" spans="2:53" ht="15.75" customHeight="1">
      <c r="B1245" s="175"/>
      <c r="H1245" s="178"/>
      <c r="I1245" s="179"/>
      <c r="J1245" s="184"/>
      <c r="N1245" s="178"/>
      <c r="O1245" s="178"/>
      <c r="P1245" s="178"/>
      <c r="S1245" s="458"/>
      <c r="AN1245" s="458"/>
      <c r="BA1245" s="1266"/>
    </row>
    <row r="1246" spans="2:53" ht="15.75" customHeight="1">
      <c r="B1246" s="175"/>
      <c r="H1246" s="178"/>
      <c r="I1246" s="179"/>
      <c r="J1246" s="184"/>
      <c r="N1246" s="178"/>
      <c r="O1246" s="178"/>
      <c r="P1246" s="178"/>
      <c r="S1246" s="458"/>
      <c r="AN1246" s="458"/>
      <c r="BA1246" s="1266"/>
    </row>
    <row r="1247" spans="2:53" ht="15.75" customHeight="1">
      <c r="B1247" s="175"/>
      <c r="H1247" s="178"/>
      <c r="I1247" s="179"/>
      <c r="J1247" s="184"/>
      <c r="N1247" s="178"/>
      <c r="O1247" s="178"/>
      <c r="P1247" s="178"/>
      <c r="S1247" s="458"/>
      <c r="AN1247" s="458"/>
      <c r="BA1247" s="1266"/>
    </row>
    <row r="1248" spans="2:53" ht="15.75" customHeight="1">
      <c r="B1248" s="175"/>
      <c r="H1248" s="178"/>
      <c r="I1248" s="179"/>
      <c r="J1248" s="184"/>
      <c r="N1248" s="178"/>
      <c r="O1248" s="178"/>
      <c r="P1248" s="178"/>
      <c r="S1248" s="458"/>
      <c r="AN1248" s="458"/>
      <c r="BA1248" s="1266"/>
    </row>
    <row r="1249" spans="2:53" ht="15.75" customHeight="1">
      <c r="B1249" s="175"/>
      <c r="H1249" s="178"/>
      <c r="N1249" s="178"/>
      <c r="O1249" s="178"/>
      <c r="P1249" s="178"/>
      <c r="S1249" s="458"/>
      <c r="AN1249" s="458"/>
      <c r="BA1249" s="1266"/>
    </row>
    <row r="1250" spans="2:53" ht="15.75" customHeight="1">
      <c r="B1250" s="175"/>
      <c r="H1250" s="178"/>
      <c r="N1250" s="178"/>
      <c r="O1250" s="178"/>
      <c r="P1250" s="178"/>
      <c r="S1250" s="458"/>
      <c r="AN1250" s="458"/>
      <c r="BA1250" s="1266"/>
    </row>
    <row r="1251" spans="2:53" ht="15.75" customHeight="1">
      <c r="B1251" s="175"/>
      <c r="H1251" s="178"/>
      <c r="I1251" s="179"/>
      <c r="J1251" s="184"/>
      <c r="N1251" s="178"/>
      <c r="O1251" s="178"/>
      <c r="P1251" s="178"/>
      <c r="S1251" s="458"/>
      <c r="AN1251" s="458"/>
      <c r="BA1251" s="1266"/>
    </row>
    <row r="1252" spans="2:53" ht="15.75" customHeight="1">
      <c r="B1252" s="175"/>
      <c r="H1252" s="178"/>
      <c r="I1252" s="179"/>
      <c r="J1252" s="184"/>
      <c r="N1252" s="178"/>
      <c r="O1252" s="178"/>
      <c r="P1252" s="178"/>
      <c r="S1252" s="458"/>
      <c r="AN1252" s="458"/>
      <c r="BA1252" s="1266"/>
    </row>
    <row r="1253" spans="2:53" ht="15.75" customHeight="1">
      <c r="B1253" s="175"/>
      <c r="H1253" s="178"/>
      <c r="I1253" s="179"/>
      <c r="J1253" s="184"/>
      <c r="N1253" s="178"/>
      <c r="O1253" s="178"/>
      <c r="P1253" s="178"/>
      <c r="S1253" s="458"/>
      <c r="AN1253" s="458"/>
      <c r="BA1253" s="1266"/>
    </row>
    <row r="1254" spans="2:53" ht="15.75" customHeight="1">
      <c r="B1254" s="175"/>
      <c r="H1254" s="178"/>
      <c r="I1254" s="179"/>
      <c r="J1254" s="184"/>
      <c r="N1254" s="178"/>
      <c r="O1254" s="178"/>
      <c r="P1254" s="178"/>
      <c r="S1254" s="458"/>
      <c r="AN1254" s="458"/>
      <c r="BA1254" s="1266"/>
    </row>
    <row r="1255" spans="2:53" ht="15.75" customHeight="1">
      <c r="B1255" s="175"/>
      <c r="H1255" s="178"/>
      <c r="I1255" s="179"/>
      <c r="J1255" s="184"/>
      <c r="N1255" s="178"/>
      <c r="O1255" s="178"/>
      <c r="P1255" s="178"/>
      <c r="S1255" s="458"/>
      <c r="AN1255" s="458"/>
      <c r="BA1255" s="1266"/>
    </row>
    <row r="1256" spans="2:53" ht="15.75" customHeight="1">
      <c r="B1256" s="175"/>
      <c r="H1256" s="178"/>
      <c r="N1256" s="178"/>
      <c r="O1256" s="178"/>
      <c r="P1256" s="178"/>
      <c r="S1256" s="458"/>
      <c r="AN1256" s="458"/>
      <c r="BA1256" s="1266"/>
    </row>
    <row r="1257" spans="2:53" ht="15.75" customHeight="1">
      <c r="B1257" s="175"/>
      <c r="H1257" s="178"/>
      <c r="N1257" s="178"/>
      <c r="O1257" s="178"/>
      <c r="P1257" s="178"/>
      <c r="S1257" s="458"/>
      <c r="AN1257" s="458"/>
      <c r="BA1257" s="1266"/>
    </row>
    <row r="1258" spans="2:53" ht="15.75" customHeight="1">
      <c r="B1258" s="175"/>
      <c r="H1258" s="178"/>
      <c r="I1258" s="179"/>
      <c r="J1258" s="184"/>
      <c r="N1258" s="178"/>
      <c r="O1258" s="178"/>
      <c r="P1258" s="178"/>
      <c r="S1258" s="458"/>
      <c r="AN1258" s="458"/>
      <c r="BA1258" s="1266"/>
    </row>
    <row r="1259" spans="2:53" ht="15.75" customHeight="1">
      <c r="B1259" s="175"/>
      <c r="H1259" s="178"/>
      <c r="I1259" s="179"/>
      <c r="J1259" s="184"/>
      <c r="N1259" s="178"/>
      <c r="O1259" s="178"/>
      <c r="P1259" s="178"/>
      <c r="S1259" s="458"/>
      <c r="AN1259" s="458"/>
      <c r="BA1259" s="1266"/>
    </row>
    <row r="1260" spans="2:53" ht="15.75" customHeight="1">
      <c r="B1260" s="175"/>
      <c r="H1260" s="178"/>
      <c r="I1260" s="179"/>
      <c r="J1260" s="184"/>
      <c r="N1260" s="178"/>
      <c r="O1260" s="178"/>
      <c r="P1260" s="178"/>
      <c r="S1260" s="458"/>
      <c r="AN1260" s="458"/>
      <c r="BA1260" s="1266"/>
    </row>
    <row r="1261" spans="2:53" ht="15.75" customHeight="1">
      <c r="B1261" s="175"/>
      <c r="H1261" s="178"/>
      <c r="I1261" s="179"/>
      <c r="J1261" s="184"/>
      <c r="N1261" s="178"/>
      <c r="O1261" s="178"/>
      <c r="P1261" s="178"/>
      <c r="S1261" s="458"/>
      <c r="AN1261" s="458"/>
      <c r="BA1261" s="1266"/>
    </row>
    <row r="1262" spans="2:53" ht="15.75" customHeight="1">
      <c r="B1262" s="175"/>
      <c r="H1262" s="178"/>
      <c r="I1262" s="179"/>
      <c r="J1262" s="184"/>
      <c r="N1262" s="178"/>
      <c r="O1262" s="178"/>
      <c r="P1262" s="178"/>
      <c r="S1262" s="458"/>
      <c r="AN1262" s="458"/>
      <c r="BA1262" s="1266"/>
    </row>
    <row r="1263" spans="2:53" ht="15.75" customHeight="1">
      <c r="B1263" s="175"/>
      <c r="H1263" s="178"/>
      <c r="I1263" s="179"/>
      <c r="J1263" s="184"/>
      <c r="N1263" s="178"/>
      <c r="O1263" s="178"/>
      <c r="P1263" s="178"/>
      <c r="S1263" s="458"/>
      <c r="AN1263" s="458"/>
      <c r="BA1263" s="1266"/>
    </row>
    <row r="1264" spans="2:53" ht="15.75" customHeight="1">
      <c r="B1264" s="175"/>
      <c r="H1264" s="178"/>
      <c r="I1264" s="179"/>
      <c r="J1264" s="184"/>
      <c r="N1264" s="178"/>
      <c r="O1264" s="178"/>
      <c r="P1264" s="178"/>
      <c r="S1264" s="458"/>
      <c r="AN1264" s="458"/>
      <c r="BA1264" s="1266"/>
    </row>
    <row r="1265" spans="2:53" ht="15.75" customHeight="1">
      <c r="B1265" s="175"/>
      <c r="H1265" s="178"/>
      <c r="I1265" s="179"/>
      <c r="J1265" s="184"/>
      <c r="N1265" s="178"/>
      <c r="O1265" s="178"/>
      <c r="P1265" s="178"/>
      <c r="S1265" s="458"/>
      <c r="AN1265" s="458"/>
      <c r="BA1265" s="1266"/>
    </row>
    <row r="1266" spans="2:53" ht="15.75" customHeight="1">
      <c r="B1266" s="175"/>
      <c r="H1266" s="178"/>
      <c r="I1266" s="179"/>
      <c r="J1266" s="184"/>
      <c r="N1266" s="178"/>
      <c r="O1266" s="178"/>
      <c r="P1266" s="178"/>
      <c r="S1266" s="458"/>
      <c r="AN1266" s="458"/>
      <c r="BA1266" s="1266"/>
    </row>
    <row r="1267" spans="2:53" ht="15.75" customHeight="1">
      <c r="B1267" s="175"/>
      <c r="H1267" s="178"/>
      <c r="I1267" s="179"/>
      <c r="J1267" s="184"/>
      <c r="N1267" s="178"/>
      <c r="O1267" s="178"/>
      <c r="P1267" s="178"/>
      <c r="S1267" s="458"/>
      <c r="AN1267" s="458"/>
      <c r="BA1267" s="1266"/>
    </row>
    <row r="1268" spans="2:53" ht="15.75" customHeight="1">
      <c r="B1268" s="175"/>
      <c r="H1268" s="178"/>
      <c r="I1268" s="179"/>
      <c r="J1268" s="184"/>
      <c r="N1268" s="178"/>
      <c r="O1268" s="178"/>
      <c r="P1268" s="178"/>
      <c r="S1268" s="458"/>
      <c r="AN1268" s="458"/>
      <c r="BA1268" s="1266"/>
    </row>
    <row r="1269" spans="2:53" ht="15.75" customHeight="1">
      <c r="B1269" s="175"/>
      <c r="H1269" s="178"/>
      <c r="I1269" s="179"/>
      <c r="J1269" s="184"/>
      <c r="N1269" s="178"/>
      <c r="O1269" s="178"/>
      <c r="P1269" s="178"/>
      <c r="S1269" s="458"/>
      <c r="AN1269" s="458"/>
      <c r="BA1269" s="1266"/>
    </row>
    <row r="1270" spans="2:53" ht="15.75" customHeight="1">
      <c r="B1270" s="175"/>
      <c r="H1270" s="178"/>
      <c r="I1270" s="179"/>
      <c r="J1270" s="184"/>
      <c r="N1270" s="178"/>
      <c r="O1270" s="178"/>
      <c r="P1270" s="178"/>
      <c r="S1270" s="458"/>
      <c r="AN1270" s="458"/>
      <c r="BA1270" s="1266"/>
    </row>
    <row r="1271" spans="2:53" ht="15.75" customHeight="1">
      <c r="B1271" s="175"/>
      <c r="H1271" s="178"/>
      <c r="I1271" s="179"/>
      <c r="J1271" s="184"/>
      <c r="N1271" s="178"/>
      <c r="O1271" s="178"/>
      <c r="P1271" s="178"/>
      <c r="S1271" s="458"/>
      <c r="AN1271" s="458"/>
      <c r="BA1271" s="1266"/>
    </row>
    <row r="1272" spans="2:53" ht="15.75" customHeight="1">
      <c r="B1272" s="175"/>
      <c r="H1272" s="178"/>
      <c r="I1272" s="179"/>
      <c r="J1272" s="184"/>
      <c r="N1272" s="178"/>
      <c r="O1272" s="178"/>
      <c r="P1272" s="178"/>
      <c r="S1272" s="458"/>
      <c r="AN1272" s="458"/>
      <c r="BA1272" s="1266"/>
    </row>
    <row r="1273" spans="2:53" ht="15.75" customHeight="1">
      <c r="B1273" s="175"/>
      <c r="H1273" s="178"/>
      <c r="I1273" s="179"/>
      <c r="J1273" s="184"/>
      <c r="N1273" s="178"/>
      <c r="O1273" s="178"/>
      <c r="P1273" s="178"/>
      <c r="S1273" s="458"/>
      <c r="AN1273" s="458"/>
      <c r="BA1273" s="1266"/>
    </row>
    <row r="1274" spans="2:53" ht="15.75" customHeight="1">
      <c r="B1274" s="175"/>
      <c r="H1274" s="178"/>
      <c r="I1274" s="179"/>
      <c r="J1274" s="184"/>
      <c r="N1274" s="178"/>
      <c r="O1274" s="178"/>
      <c r="P1274" s="178"/>
      <c r="S1274" s="458"/>
      <c r="AN1274" s="458"/>
      <c r="BA1274" s="1266"/>
    </row>
    <row r="1275" spans="2:53" ht="15.75" customHeight="1">
      <c r="B1275" s="175"/>
      <c r="H1275" s="178"/>
      <c r="I1275" s="179"/>
      <c r="J1275" s="184"/>
      <c r="N1275" s="178"/>
      <c r="O1275" s="178"/>
      <c r="P1275" s="178"/>
      <c r="S1275" s="458"/>
      <c r="AN1275" s="458"/>
      <c r="BA1275" s="1266"/>
    </row>
    <row r="1276" spans="2:53" ht="15.75" customHeight="1">
      <c r="B1276" s="175"/>
      <c r="H1276" s="178"/>
      <c r="I1276" s="179"/>
      <c r="J1276" s="184"/>
      <c r="N1276" s="178"/>
      <c r="O1276" s="178"/>
      <c r="P1276" s="178"/>
      <c r="S1276" s="458"/>
      <c r="AN1276" s="458"/>
      <c r="BA1276" s="1266"/>
    </row>
    <row r="1277" spans="2:53" ht="15.75" customHeight="1">
      <c r="B1277" s="175"/>
      <c r="H1277" s="178"/>
      <c r="I1277" s="179"/>
      <c r="J1277" s="184"/>
      <c r="N1277" s="178"/>
      <c r="O1277" s="178"/>
      <c r="P1277" s="178"/>
      <c r="S1277" s="458"/>
      <c r="AN1277" s="458"/>
      <c r="BA1277" s="1266"/>
    </row>
    <row r="1278" spans="2:53" ht="15.75" customHeight="1">
      <c r="B1278" s="175"/>
      <c r="H1278" s="178"/>
      <c r="I1278" s="179"/>
      <c r="J1278" s="184"/>
      <c r="N1278" s="178"/>
      <c r="O1278" s="178"/>
      <c r="P1278" s="178"/>
      <c r="S1278" s="458"/>
      <c r="AN1278" s="458"/>
      <c r="BA1278" s="1266"/>
    </row>
    <row r="1279" spans="2:53" ht="15.75" customHeight="1">
      <c r="B1279" s="175"/>
      <c r="H1279" s="178"/>
      <c r="I1279" s="179"/>
      <c r="J1279" s="184"/>
      <c r="N1279" s="178"/>
      <c r="O1279" s="178"/>
      <c r="P1279" s="178"/>
      <c r="S1279" s="458"/>
      <c r="AN1279" s="458"/>
      <c r="BA1279" s="1266"/>
    </row>
    <row r="1280" spans="2:53" ht="15.75" customHeight="1">
      <c r="B1280" s="175"/>
      <c r="H1280" s="178"/>
      <c r="I1280" s="179"/>
      <c r="J1280" s="184"/>
      <c r="N1280" s="178"/>
      <c r="O1280" s="178"/>
      <c r="P1280" s="178"/>
      <c r="S1280" s="458"/>
      <c r="AN1280" s="458"/>
      <c r="BA1280" s="1266"/>
    </row>
    <row r="1281" spans="2:53" ht="15.75" customHeight="1">
      <c r="B1281" s="175"/>
      <c r="H1281" s="178"/>
      <c r="I1281" s="179"/>
      <c r="J1281" s="184"/>
      <c r="N1281" s="178"/>
      <c r="O1281" s="178"/>
      <c r="P1281" s="178"/>
      <c r="S1281" s="458"/>
      <c r="AN1281" s="458"/>
      <c r="BA1281" s="1266"/>
    </row>
    <row r="1282" spans="2:53" ht="15.75" customHeight="1">
      <c r="B1282" s="175"/>
      <c r="H1282" s="178"/>
      <c r="I1282" s="179"/>
      <c r="J1282" s="184"/>
      <c r="N1282" s="178"/>
      <c r="O1282" s="178"/>
      <c r="P1282" s="178"/>
      <c r="S1282" s="458"/>
      <c r="AN1282" s="458"/>
      <c r="BA1282" s="1266"/>
    </row>
    <row r="1283" spans="2:53" ht="15.75" customHeight="1">
      <c r="B1283" s="175"/>
      <c r="H1283" s="178"/>
      <c r="I1283" s="179"/>
      <c r="J1283" s="184"/>
      <c r="N1283" s="178"/>
      <c r="O1283" s="178"/>
      <c r="P1283" s="178"/>
      <c r="S1283" s="458"/>
      <c r="AN1283" s="458"/>
      <c r="BA1283" s="1266"/>
    </row>
    <row r="1284" spans="2:53" ht="15.75" customHeight="1">
      <c r="B1284" s="175"/>
      <c r="H1284" s="178"/>
      <c r="I1284" s="179"/>
      <c r="J1284" s="184"/>
      <c r="N1284" s="178"/>
      <c r="O1284" s="178"/>
      <c r="P1284" s="178"/>
      <c r="S1284" s="458"/>
      <c r="AN1284" s="458"/>
      <c r="BA1284" s="1266"/>
    </row>
    <row r="1285" spans="2:53" ht="15.75" customHeight="1">
      <c r="B1285" s="175"/>
      <c r="H1285" s="178"/>
      <c r="I1285" s="179"/>
      <c r="J1285" s="184"/>
      <c r="N1285" s="178"/>
      <c r="O1285" s="178"/>
      <c r="P1285" s="178"/>
      <c r="S1285" s="458"/>
      <c r="AN1285" s="458"/>
      <c r="BA1285" s="1266"/>
    </row>
    <row r="1286" spans="2:53" ht="15.75" customHeight="1">
      <c r="B1286" s="175"/>
      <c r="H1286" s="178"/>
      <c r="I1286" s="179"/>
      <c r="J1286" s="184"/>
      <c r="N1286" s="178"/>
      <c r="O1286" s="178"/>
      <c r="P1286" s="178"/>
      <c r="S1286" s="458"/>
      <c r="AN1286" s="458"/>
      <c r="BA1286" s="1266"/>
    </row>
    <row r="1287" spans="2:53" ht="15.75" customHeight="1">
      <c r="B1287" s="175"/>
      <c r="H1287" s="178"/>
      <c r="I1287" s="179"/>
      <c r="J1287" s="184"/>
      <c r="N1287" s="178"/>
      <c r="O1287" s="178"/>
      <c r="P1287" s="178"/>
      <c r="S1287" s="458"/>
      <c r="AN1287" s="458"/>
      <c r="BA1287" s="1266"/>
    </row>
    <row r="1288" spans="2:53" ht="15.75" customHeight="1">
      <c r="B1288" s="175"/>
      <c r="H1288" s="178"/>
      <c r="I1288" s="179"/>
      <c r="J1288" s="184"/>
      <c r="N1288" s="178"/>
      <c r="O1288" s="178"/>
      <c r="P1288" s="178"/>
      <c r="S1288" s="458"/>
      <c r="AN1288" s="458"/>
      <c r="BA1288" s="1266"/>
    </row>
    <row r="1289" spans="2:53" ht="15.75" customHeight="1">
      <c r="B1289" s="175"/>
      <c r="H1289" s="178"/>
      <c r="I1289" s="179"/>
      <c r="J1289" s="184"/>
      <c r="N1289" s="178"/>
      <c r="O1289" s="178"/>
      <c r="P1289" s="178"/>
      <c r="S1289" s="458"/>
      <c r="AN1289" s="458"/>
      <c r="BA1289" s="1266"/>
    </row>
    <row r="1290" spans="2:53" ht="15.75" customHeight="1">
      <c r="B1290" s="175"/>
      <c r="H1290" s="178"/>
      <c r="I1290" s="179"/>
      <c r="J1290" s="184"/>
      <c r="N1290" s="178"/>
      <c r="O1290" s="178"/>
      <c r="P1290" s="178"/>
      <c r="S1290" s="458"/>
      <c r="AN1290" s="458"/>
      <c r="BA1290" s="1266"/>
    </row>
    <row r="1291" spans="2:53" ht="15.75" customHeight="1">
      <c r="B1291" s="175"/>
      <c r="H1291" s="178"/>
      <c r="I1291" s="179"/>
      <c r="J1291" s="184"/>
      <c r="N1291" s="178"/>
      <c r="O1291" s="178"/>
      <c r="P1291" s="178"/>
      <c r="S1291" s="458"/>
      <c r="AN1291" s="458"/>
      <c r="BA1291" s="1266"/>
    </row>
    <row r="1292" spans="2:53" ht="15.75" customHeight="1">
      <c r="B1292" s="175"/>
      <c r="H1292" s="178"/>
      <c r="I1292" s="179"/>
      <c r="J1292" s="184"/>
      <c r="N1292" s="178"/>
      <c r="O1292" s="178"/>
      <c r="P1292" s="178"/>
      <c r="S1292" s="458"/>
      <c r="AN1292" s="458"/>
      <c r="BA1292" s="1266"/>
    </row>
    <row r="1293" spans="2:53" ht="15.75" customHeight="1">
      <c r="B1293" s="175"/>
      <c r="H1293" s="178"/>
      <c r="I1293" s="179"/>
      <c r="J1293" s="184"/>
      <c r="N1293" s="178"/>
      <c r="O1293" s="178"/>
      <c r="P1293" s="178"/>
      <c r="S1293" s="458"/>
      <c r="AN1293" s="458"/>
      <c r="BA1293" s="1266"/>
    </row>
    <row r="1294" spans="2:53" ht="15.75" customHeight="1">
      <c r="B1294" s="175"/>
      <c r="H1294" s="178"/>
      <c r="I1294" s="179"/>
      <c r="J1294" s="184"/>
      <c r="N1294" s="178"/>
      <c r="O1294" s="178"/>
      <c r="P1294" s="178"/>
      <c r="S1294" s="458"/>
      <c r="AN1294" s="458"/>
      <c r="BA1294" s="1266"/>
    </row>
    <row r="1295" spans="2:53" ht="15.75" customHeight="1">
      <c r="B1295" s="175"/>
      <c r="H1295" s="178"/>
      <c r="I1295" s="179"/>
      <c r="J1295" s="184"/>
      <c r="N1295" s="178"/>
      <c r="O1295" s="178"/>
      <c r="P1295" s="178"/>
      <c r="S1295" s="458"/>
      <c r="AN1295" s="458"/>
      <c r="BA1295" s="1266"/>
    </row>
    <row r="1296" spans="2:53" ht="15.75" customHeight="1">
      <c r="B1296" s="175"/>
      <c r="H1296" s="178"/>
      <c r="I1296" s="179"/>
      <c r="J1296" s="184"/>
      <c r="N1296" s="178"/>
      <c r="O1296" s="178"/>
      <c r="P1296" s="178"/>
      <c r="S1296" s="458"/>
      <c r="AN1296" s="458"/>
      <c r="BA1296" s="1266"/>
    </row>
    <row r="1297" spans="2:40" ht="15.75" customHeight="1">
      <c r="B1297" s="175"/>
      <c r="H1297" s="178"/>
      <c r="I1297" s="179"/>
      <c r="J1297" s="184"/>
      <c r="N1297" s="178"/>
      <c r="O1297" s="178"/>
      <c r="P1297" s="178"/>
      <c r="S1297" s="458"/>
      <c r="AN1297" s="458"/>
    </row>
    <row r="1298" spans="2:40" ht="15.75" customHeight="1">
      <c r="B1298" s="175"/>
      <c r="H1298" s="178"/>
      <c r="I1298" s="179"/>
      <c r="J1298" s="184"/>
      <c r="N1298" s="178"/>
      <c r="O1298" s="178"/>
      <c r="P1298" s="178"/>
      <c r="S1298" s="458"/>
      <c r="AN1298" s="458"/>
    </row>
    <row r="1299" spans="2:40" ht="15.75" customHeight="1">
      <c r="B1299" s="175"/>
      <c r="H1299" s="178"/>
      <c r="I1299" s="179"/>
      <c r="J1299" s="184"/>
      <c r="N1299" s="178"/>
      <c r="O1299" s="178"/>
      <c r="P1299" s="178"/>
      <c r="S1299" s="458"/>
      <c r="AN1299" s="458"/>
    </row>
    <row r="1300" spans="2:40" ht="15.75" customHeight="1">
      <c r="B1300" s="175"/>
      <c r="H1300" s="178"/>
      <c r="I1300" s="179"/>
      <c r="J1300" s="184"/>
      <c r="N1300" s="178"/>
      <c r="O1300" s="178"/>
      <c r="P1300" s="178"/>
      <c r="S1300" s="458"/>
      <c r="AN1300" s="458"/>
    </row>
    <row r="1301" spans="2:40" ht="15.75" customHeight="1">
      <c r="B1301" s="175"/>
      <c r="H1301" s="178"/>
      <c r="I1301" s="179"/>
      <c r="J1301" s="184"/>
      <c r="N1301" s="178"/>
      <c r="O1301" s="178"/>
      <c r="P1301" s="178"/>
      <c r="S1301" s="458"/>
      <c r="AN1301" s="458"/>
    </row>
    <row r="1302" spans="2:40" ht="15.75" customHeight="1">
      <c r="B1302" s="175"/>
      <c r="H1302" s="178"/>
      <c r="I1302" s="179"/>
      <c r="J1302" s="184"/>
      <c r="N1302" s="178"/>
      <c r="O1302" s="178"/>
      <c r="P1302" s="178"/>
      <c r="S1302" s="458"/>
      <c r="AN1302" s="458"/>
    </row>
    <row r="1303" spans="2:40" ht="15.75" customHeight="1">
      <c r="B1303" s="175"/>
      <c r="H1303" s="178"/>
      <c r="I1303" s="179"/>
      <c r="J1303" s="184"/>
      <c r="N1303" s="178"/>
      <c r="O1303" s="178"/>
      <c r="P1303" s="178"/>
      <c r="S1303" s="458"/>
      <c r="AN1303" s="458"/>
    </row>
    <row r="1304" spans="2:40" ht="15.75" customHeight="1">
      <c r="B1304" s="175"/>
      <c r="H1304" s="178"/>
      <c r="I1304" s="179"/>
      <c r="J1304" s="184"/>
      <c r="N1304" s="178"/>
      <c r="O1304" s="178"/>
      <c r="P1304" s="178"/>
      <c r="S1304" s="458"/>
      <c r="AN1304" s="458"/>
    </row>
    <row r="1305" spans="2:40" ht="15.75" customHeight="1">
      <c r="B1305" s="175"/>
      <c r="H1305" s="178"/>
      <c r="I1305" s="179"/>
      <c r="J1305" s="184"/>
      <c r="N1305" s="178"/>
      <c r="O1305" s="178"/>
      <c r="P1305" s="178"/>
      <c r="S1305" s="458"/>
      <c r="AN1305" s="458"/>
    </row>
    <row r="1306" spans="2:40" ht="15.75" customHeight="1">
      <c r="B1306" s="175"/>
      <c r="H1306" s="178"/>
      <c r="I1306" s="179"/>
      <c r="J1306" s="184"/>
      <c r="N1306" s="178"/>
      <c r="O1306" s="178"/>
      <c r="P1306" s="178"/>
      <c r="S1306" s="458"/>
      <c r="AN1306" s="458"/>
    </row>
    <row r="1307" spans="2:40" ht="15.75" customHeight="1">
      <c r="B1307" s="175"/>
      <c r="H1307" s="178"/>
      <c r="I1307" s="179"/>
      <c r="J1307" s="184"/>
      <c r="N1307" s="178"/>
      <c r="O1307" s="178"/>
      <c r="P1307" s="178"/>
      <c r="S1307" s="458"/>
      <c r="AN1307" s="458"/>
    </row>
    <row r="1308" spans="2:40" ht="15.75" customHeight="1">
      <c r="B1308" s="175"/>
      <c r="H1308" s="178"/>
      <c r="I1308" s="179"/>
      <c r="J1308" s="184"/>
      <c r="N1308" s="178"/>
      <c r="O1308" s="178"/>
      <c r="P1308" s="178"/>
      <c r="S1308" s="458"/>
      <c r="AN1308" s="458"/>
    </row>
    <row r="1309" spans="2:40" ht="15.75" customHeight="1">
      <c r="B1309" s="175"/>
      <c r="H1309" s="178"/>
      <c r="I1309" s="179"/>
      <c r="J1309" s="184"/>
      <c r="N1309" s="178"/>
      <c r="O1309" s="178"/>
      <c r="P1309" s="178"/>
      <c r="S1309" s="458"/>
      <c r="AN1309" s="458"/>
    </row>
    <row r="1310" spans="2:40" ht="15.75" customHeight="1">
      <c r="B1310" s="175"/>
      <c r="H1310" s="178"/>
      <c r="I1310" s="179"/>
      <c r="J1310" s="184"/>
      <c r="N1310" s="178"/>
      <c r="O1310" s="178"/>
      <c r="P1310" s="178"/>
      <c r="S1310" s="458"/>
      <c r="AN1310" s="458"/>
    </row>
    <row r="1311" spans="2:40" ht="15.75" customHeight="1">
      <c r="B1311" s="175"/>
      <c r="H1311" s="178"/>
      <c r="I1311" s="179"/>
      <c r="J1311" s="184"/>
      <c r="N1311" s="178"/>
      <c r="O1311" s="178"/>
      <c r="P1311" s="178"/>
      <c r="S1311" s="458"/>
      <c r="AN1311" s="458"/>
    </row>
    <row r="1312" spans="2:40" ht="15.75" customHeight="1">
      <c r="B1312" s="175"/>
      <c r="H1312" s="178"/>
      <c r="I1312" s="179"/>
      <c r="J1312" s="184"/>
      <c r="N1312" s="178"/>
      <c r="O1312" s="178"/>
      <c r="P1312" s="178"/>
      <c r="S1312" s="458"/>
      <c r="AN1312" s="458"/>
    </row>
    <row r="1313" spans="2:40" ht="15.75" customHeight="1">
      <c r="B1313" s="175"/>
      <c r="H1313" s="178"/>
      <c r="I1313" s="179"/>
      <c r="J1313" s="184"/>
      <c r="N1313" s="178"/>
      <c r="O1313" s="178"/>
      <c r="P1313" s="178"/>
      <c r="S1313" s="458"/>
      <c r="AN1313" s="458"/>
    </row>
    <row r="1314" spans="2:40" ht="15.75" customHeight="1">
      <c r="B1314" s="175"/>
      <c r="H1314" s="178"/>
      <c r="I1314" s="179"/>
      <c r="J1314" s="184"/>
      <c r="N1314" s="178"/>
      <c r="O1314" s="178"/>
      <c r="P1314" s="178"/>
      <c r="S1314" s="458"/>
      <c r="AN1314" s="458"/>
    </row>
    <row r="1315" spans="2:40" ht="15.75" customHeight="1">
      <c r="B1315" s="175"/>
      <c r="H1315" s="178"/>
      <c r="I1315" s="179"/>
      <c r="J1315" s="184"/>
      <c r="N1315" s="178"/>
      <c r="O1315" s="178"/>
      <c r="P1315" s="178"/>
      <c r="S1315" s="458"/>
      <c r="AN1315" s="458"/>
    </row>
    <row r="1316" spans="2:40" ht="15.75" customHeight="1">
      <c r="B1316" s="175"/>
      <c r="H1316" s="178"/>
      <c r="I1316" s="179"/>
      <c r="J1316" s="184"/>
      <c r="N1316" s="178"/>
      <c r="O1316" s="178"/>
      <c r="P1316" s="178"/>
      <c r="S1316" s="458"/>
      <c r="AN1316" s="458"/>
    </row>
    <row r="1317" spans="2:40" ht="15.75" customHeight="1">
      <c r="B1317" s="175"/>
      <c r="H1317" s="178"/>
      <c r="I1317" s="179"/>
      <c r="J1317" s="184"/>
      <c r="N1317" s="178"/>
      <c r="O1317" s="178"/>
      <c r="P1317" s="178"/>
      <c r="S1317" s="458"/>
      <c r="AN1317" s="458"/>
    </row>
    <row r="1318" spans="2:40" ht="15.75" customHeight="1">
      <c r="B1318" s="175"/>
      <c r="H1318" s="178"/>
      <c r="I1318" s="179"/>
      <c r="J1318" s="184"/>
      <c r="N1318" s="178"/>
      <c r="O1318" s="178"/>
      <c r="P1318" s="178"/>
      <c r="S1318" s="458"/>
      <c r="AN1318" s="458"/>
    </row>
    <row r="1319" spans="2:40" ht="15.75" customHeight="1">
      <c r="B1319" s="175"/>
      <c r="H1319" s="178"/>
      <c r="I1319" s="179"/>
      <c r="J1319" s="184"/>
      <c r="N1319" s="178"/>
      <c r="O1319" s="178"/>
      <c r="P1319" s="178"/>
      <c r="S1319" s="458"/>
      <c r="AN1319" s="458"/>
    </row>
    <row r="1320" spans="2:40" ht="15.75" customHeight="1">
      <c r="B1320" s="175"/>
      <c r="H1320" s="178"/>
      <c r="I1320" s="179"/>
      <c r="J1320" s="184"/>
      <c r="N1320" s="178"/>
      <c r="O1320" s="178"/>
      <c r="P1320" s="178"/>
      <c r="S1320" s="458"/>
      <c r="AN1320" s="458"/>
    </row>
    <row r="1321" spans="2:40" ht="15.75" customHeight="1">
      <c r="B1321" s="175"/>
      <c r="H1321" s="178"/>
      <c r="I1321" s="179"/>
      <c r="J1321" s="184"/>
      <c r="N1321" s="178"/>
      <c r="O1321" s="178"/>
      <c r="P1321" s="178"/>
      <c r="S1321" s="458"/>
      <c r="AN1321" s="458"/>
    </row>
    <row r="1322" spans="2:40" ht="15.75" customHeight="1">
      <c r="B1322" s="175"/>
      <c r="H1322" s="178"/>
      <c r="I1322" s="179"/>
      <c r="J1322" s="184"/>
      <c r="N1322" s="178"/>
      <c r="O1322" s="178"/>
      <c r="P1322" s="178"/>
      <c r="S1322" s="458"/>
      <c r="AN1322" s="458"/>
    </row>
    <row r="1323" spans="2:40" ht="15.75" customHeight="1">
      <c r="B1323" s="175"/>
      <c r="H1323" s="178"/>
      <c r="I1323" s="179"/>
      <c r="J1323" s="184"/>
      <c r="N1323" s="178"/>
      <c r="O1323" s="178"/>
      <c r="P1323" s="178"/>
      <c r="S1323" s="458"/>
      <c r="AN1323" s="458"/>
    </row>
    <row r="1324" spans="2:40" ht="15.75" customHeight="1">
      <c r="B1324" s="175"/>
      <c r="H1324" s="178"/>
      <c r="I1324" s="179"/>
      <c r="J1324" s="184"/>
      <c r="N1324" s="178"/>
      <c r="O1324" s="178"/>
      <c r="P1324" s="178"/>
      <c r="S1324" s="458"/>
      <c r="AN1324" s="458"/>
    </row>
    <row r="1325" spans="2:40" ht="15.75" customHeight="1">
      <c r="B1325" s="175"/>
      <c r="H1325" s="178"/>
      <c r="I1325" s="179"/>
      <c r="J1325" s="184"/>
      <c r="N1325" s="178"/>
      <c r="O1325" s="178"/>
      <c r="P1325" s="178"/>
      <c r="S1325" s="458"/>
      <c r="AN1325" s="458"/>
    </row>
    <row r="1326" spans="2:40" ht="15.75" customHeight="1">
      <c r="B1326" s="175"/>
      <c r="H1326" s="178"/>
      <c r="I1326" s="179"/>
      <c r="J1326" s="184"/>
      <c r="N1326" s="178"/>
      <c r="O1326" s="178"/>
      <c r="P1326" s="178"/>
      <c r="S1326" s="458"/>
      <c r="AN1326" s="458"/>
    </row>
    <row r="1327" spans="2:40" ht="15.75" customHeight="1">
      <c r="B1327" s="175"/>
      <c r="H1327" s="178"/>
      <c r="I1327" s="179"/>
      <c r="J1327" s="184"/>
      <c r="N1327" s="178"/>
      <c r="O1327" s="178"/>
      <c r="P1327" s="178"/>
      <c r="S1327" s="458"/>
      <c r="AN1327" s="458"/>
    </row>
    <row r="1328" spans="2:40" ht="15.75" customHeight="1">
      <c r="B1328" s="175"/>
      <c r="H1328" s="178"/>
      <c r="I1328" s="179"/>
      <c r="J1328" s="184"/>
      <c r="N1328" s="178"/>
      <c r="O1328" s="178"/>
      <c r="P1328" s="178"/>
      <c r="S1328" s="458"/>
      <c r="AN1328" s="458"/>
    </row>
    <row r="1329" spans="2:40" ht="15.75" customHeight="1">
      <c r="B1329" s="175"/>
      <c r="H1329" s="178"/>
      <c r="I1329" s="179"/>
      <c r="J1329" s="184"/>
      <c r="N1329" s="178"/>
      <c r="O1329" s="178"/>
      <c r="P1329" s="178"/>
      <c r="S1329" s="458"/>
      <c r="AN1329" s="458"/>
    </row>
    <row r="1330" spans="2:40" ht="15.75" customHeight="1">
      <c r="B1330" s="175"/>
      <c r="H1330" s="178"/>
      <c r="I1330" s="179"/>
      <c r="J1330" s="184"/>
      <c r="N1330" s="178"/>
      <c r="O1330" s="178"/>
      <c r="P1330" s="178"/>
      <c r="S1330" s="458"/>
      <c r="AN1330" s="458"/>
    </row>
    <row r="1331" spans="2:40" ht="15.75" customHeight="1">
      <c r="B1331" s="175"/>
      <c r="H1331" s="178"/>
      <c r="I1331" s="179"/>
      <c r="J1331" s="184"/>
      <c r="N1331" s="178"/>
      <c r="O1331" s="178"/>
      <c r="P1331" s="178"/>
      <c r="S1331" s="458"/>
      <c r="AN1331" s="458"/>
    </row>
    <row r="1332" spans="2:40" ht="15.75" customHeight="1">
      <c r="B1332" s="175"/>
      <c r="H1332" s="178"/>
      <c r="I1332" s="179"/>
      <c r="J1332" s="184"/>
      <c r="N1332" s="178"/>
      <c r="O1332" s="178"/>
      <c r="P1332" s="178"/>
      <c r="S1332" s="458"/>
      <c r="AN1332" s="458"/>
    </row>
    <row r="1333" spans="2:40" ht="15.75" customHeight="1">
      <c r="B1333" s="175"/>
      <c r="H1333" s="178"/>
      <c r="I1333" s="179"/>
      <c r="J1333" s="184"/>
      <c r="N1333" s="178"/>
      <c r="O1333" s="178"/>
      <c r="P1333" s="178"/>
      <c r="S1333" s="458"/>
      <c r="AN1333" s="458"/>
    </row>
    <row r="1334" spans="2:40" ht="15.75" customHeight="1">
      <c r="B1334" s="175"/>
      <c r="H1334" s="178"/>
      <c r="I1334" s="179"/>
      <c r="J1334" s="184"/>
      <c r="N1334" s="178"/>
      <c r="O1334" s="178"/>
      <c r="P1334" s="178"/>
      <c r="S1334" s="458"/>
      <c r="AN1334" s="458"/>
    </row>
    <row r="1335" spans="2:40" ht="15.75" customHeight="1">
      <c r="B1335" s="175"/>
      <c r="H1335" s="178"/>
      <c r="I1335" s="179"/>
      <c r="J1335" s="184"/>
      <c r="N1335" s="178"/>
      <c r="O1335" s="178"/>
      <c r="P1335" s="178"/>
      <c r="S1335" s="458"/>
      <c r="AN1335" s="458"/>
    </row>
    <row r="1336" spans="2:40" ht="15.75" customHeight="1">
      <c r="B1336" s="175"/>
      <c r="H1336" s="178"/>
      <c r="I1336" s="179"/>
      <c r="J1336" s="184"/>
      <c r="N1336" s="178"/>
      <c r="O1336" s="178"/>
      <c r="P1336" s="178"/>
      <c r="S1336" s="458"/>
      <c r="AN1336" s="458"/>
    </row>
    <row r="1337" spans="2:40" ht="15.75" customHeight="1">
      <c r="B1337" s="175"/>
      <c r="H1337" s="178"/>
      <c r="I1337" s="179"/>
      <c r="J1337" s="184"/>
      <c r="N1337" s="178"/>
      <c r="O1337" s="178"/>
      <c r="P1337" s="178"/>
      <c r="S1337" s="458"/>
      <c r="AN1337" s="458"/>
    </row>
    <row r="1338" spans="2:40" ht="15.75" customHeight="1">
      <c r="B1338" s="175"/>
      <c r="H1338" s="178"/>
      <c r="I1338" s="179"/>
      <c r="J1338" s="184"/>
      <c r="N1338" s="178"/>
      <c r="O1338" s="178"/>
      <c r="P1338" s="178"/>
      <c r="S1338" s="458"/>
      <c r="AN1338" s="458"/>
    </row>
    <row r="1339" spans="2:40" ht="15.75" customHeight="1">
      <c r="B1339" s="175"/>
      <c r="H1339" s="178"/>
      <c r="I1339" s="179"/>
      <c r="J1339" s="184"/>
      <c r="N1339" s="178"/>
      <c r="O1339" s="178"/>
      <c r="P1339" s="178"/>
      <c r="S1339" s="458"/>
      <c r="AN1339" s="458"/>
    </row>
    <row r="1340" spans="2:40" ht="15.75" customHeight="1">
      <c r="B1340" s="175"/>
      <c r="H1340" s="178"/>
      <c r="I1340" s="179"/>
      <c r="J1340" s="184"/>
      <c r="N1340" s="178"/>
      <c r="O1340" s="178"/>
      <c r="P1340" s="178"/>
      <c r="S1340" s="458"/>
      <c r="AN1340" s="458"/>
    </row>
    <row r="1341" spans="2:40" ht="15.75" customHeight="1">
      <c r="B1341" s="175"/>
      <c r="H1341" s="178"/>
      <c r="I1341" s="179"/>
      <c r="J1341" s="184"/>
      <c r="N1341" s="178"/>
      <c r="O1341" s="178"/>
      <c r="P1341" s="178"/>
      <c r="S1341" s="458"/>
      <c r="AN1341" s="458"/>
    </row>
    <row r="1342" spans="2:40" ht="15.75" customHeight="1">
      <c r="B1342" s="175"/>
      <c r="H1342" s="178"/>
      <c r="I1342" s="179"/>
      <c r="J1342" s="184"/>
      <c r="N1342" s="178"/>
      <c r="O1342" s="178"/>
      <c r="P1342" s="178"/>
      <c r="S1342" s="458"/>
      <c r="AN1342" s="458"/>
    </row>
    <row r="1343" spans="2:40" ht="15.75" customHeight="1">
      <c r="B1343" s="175"/>
      <c r="H1343" s="178"/>
      <c r="I1343" s="179"/>
      <c r="J1343" s="184"/>
      <c r="N1343" s="178"/>
      <c r="O1343" s="178"/>
      <c r="P1343" s="178"/>
      <c r="S1343" s="458"/>
      <c r="AN1343" s="458"/>
    </row>
    <row r="1344" spans="2:40" ht="15.75" customHeight="1">
      <c r="B1344" s="175"/>
      <c r="H1344" s="178"/>
      <c r="I1344" s="179"/>
      <c r="J1344" s="184"/>
      <c r="N1344" s="178"/>
      <c r="O1344" s="178"/>
      <c r="P1344" s="178"/>
      <c r="S1344" s="458"/>
      <c r="AN1344" s="458"/>
    </row>
    <row r="1345" spans="2:40" ht="15.75" customHeight="1">
      <c r="B1345" s="175"/>
      <c r="H1345" s="178"/>
      <c r="I1345" s="179"/>
      <c r="J1345" s="184"/>
      <c r="N1345" s="178"/>
      <c r="O1345" s="178"/>
      <c r="P1345" s="178"/>
      <c r="S1345" s="458"/>
      <c r="AN1345" s="458"/>
    </row>
    <row r="1346" spans="2:40" ht="15.75" customHeight="1">
      <c r="B1346" s="175"/>
      <c r="H1346" s="178"/>
      <c r="I1346" s="179"/>
      <c r="J1346" s="184"/>
      <c r="N1346" s="178"/>
      <c r="O1346" s="178"/>
      <c r="P1346" s="178"/>
      <c r="S1346" s="458"/>
      <c r="AN1346" s="458"/>
    </row>
    <row r="1347" spans="2:40" ht="15.75" customHeight="1">
      <c r="B1347" s="175"/>
      <c r="H1347" s="178"/>
      <c r="I1347" s="179"/>
      <c r="J1347" s="184"/>
      <c r="N1347" s="178"/>
      <c r="O1347" s="178"/>
      <c r="P1347" s="178"/>
      <c r="S1347" s="458"/>
      <c r="AN1347" s="458"/>
    </row>
    <row r="1348" spans="2:40" ht="15.75" customHeight="1">
      <c r="B1348" s="175"/>
      <c r="H1348" s="178"/>
      <c r="I1348" s="179"/>
      <c r="J1348" s="184"/>
      <c r="N1348" s="178"/>
      <c r="O1348" s="178"/>
      <c r="P1348" s="178"/>
      <c r="S1348" s="458"/>
      <c r="AN1348" s="458"/>
    </row>
    <row r="1349" spans="2:40" ht="15.75" customHeight="1">
      <c r="B1349" s="175"/>
      <c r="H1349" s="178"/>
      <c r="I1349" s="179"/>
      <c r="J1349" s="184"/>
      <c r="N1349" s="178"/>
      <c r="O1349" s="178"/>
      <c r="P1349" s="178"/>
      <c r="S1349" s="458"/>
      <c r="AN1349" s="458"/>
    </row>
    <row r="1350" spans="2:40" ht="15.75" customHeight="1">
      <c r="B1350" s="175"/>
      <c r="H1350" s="178"/>
      <c r="I1350" s="179"/>
      <c r="J1350" s="184"/>
      <c r="N1350" s="178"/>
      <c r="O1350" s="178"/>
      <c r="P1350" s="178"/>
      <c r="S1350" s="458"/>
      <c r="AN1350" s="458"/>
    </row>
    <row r="1351" spans="2:40" ht="15.75" customHeight="1">
      <c r="B1351" s="175"/>
      <c r="H1351" s="178"/>
      <c r="I1351" s="179"/>
      <c r="J1351" s="184"/>
      <c r="N1351" s="178"/>
      <c r="O1351" s="178"/>
      <c r="P1351" s="178"/>
      <c r="S1351" s="458"/>
      <c r="AN1351" s="458"/>
    </row>
    <row r="1352" spans="2:40" ht="15.75" customHeight="1">
      <c r="B1352" s="175"/>
      <c r="H1352" s="178"/>
      <c r="I1352" s="179"/>
      <c r="J1352" s="184"/>
      <c r="N1352" s="178"/>
      <c r="O1352" s="178"/>
      <c r="P1352" s="178"/>
      <c r="S1352" s="458"/>
      <c r="AN1352" s="458"/>
    </row>
    <row r="1353" spans="2:40" ht="15.75" customHeight="1">
      <c r="B1353" s="175"/>
      <c r="H1353" s="178"/>
      <c r="I1353" s="179"/>
      <c r="J1353" s="184"/>
      <c r="N1353" s="178"/>
      <c r="O1353" s="178"/>
      <c r="P1353" s="178"/>
      <c r="S1353" s="458"/>
      <c r="AN1353" s="458"/>
    </row>
    <row r="1354" spans="2:40" ht="15.75" customHeight="1">
      <c r="B1354" s="175"/>
      <c r="H1354" s="178"/>
      <c r="I1354" s="179"/>
      <c r="J1354" s="184"/>
      <c r="N1354" s="178"/>
      <c r="O1354" s="178"/>
      <c r="P1354" s="178"/>
      <c r="S1354" s="458"/>
      <c r="AN1354" s="458"/>
    </row>
    <row r="1355" spans="2:40" ht="15.75" customHeight="1">
      <c r="B1355" s="175"/>
      <c r="H1355" s="178"/>
      <c r="I1355" s="179"/>
      <c r="J1355" s="184"/>
      <c r="N1355" s="178"/>
      <c r="O1355" s="178"/>
      <c r="P1355" s="178"/>
      <c r="S1355" s="458"/>
      <c r="AN1355" s="458"/>
    </row>
    <row r="1356" spans="2:40" ht="15.75" customHeight="1">
      <c r="B1356" s="175"/>
      <c r="H1356" s="178"/>
      <c r="I1356" s="179"/>
      <c r="J1356" s="184"/>
      <c r="N1356" s="178"/>
      <c r="O1356" s="178"/>
      <c r="P1356" s="178"/>
      <c r="S1356" s="458"/>
      <c r="AN1356" s="458"/>
    </row>
    <row r="1357" spans="2:40" ht="15.75" customHeight="1">
      <c r="B1357" s="175"/>
      <c r="H1357" s="178"/>
      <c r="I1357" s="179"/>
      <c r="J1357" s="184"/>
      <c r="N1357" s="178"/>
      <c r="O1357" s="178"/>
      <c r="P1357" s="178"/>
      <c r="S1357" s="458"/>
      <c r="AN1357" s="458"/>
    </row>
    <row r="1358" spans="2:40" ht="15.75" customHeight="1">
      <c r="B1358" s="175"/>
      <c r="H1358" s="178"/>
      <c r="I1358" s="179"/>
      <c r="J1358" s="184"/>
      <c r="N1358" s="178"/>
      <c r="O1358" s="178"/>
      <c r="P1358" s="178"/>
      <c r="S1358" s="458"/>
      <c r="AN1358" s="458"/>
    </row>
    <row r="1359" spans="2:40" ht="15.75" customHeight="1">
      <c r="B1359" s="175"/>
      <c r="H1359" s="178"/>
      <c r="I1359" s="179"/>
      <c r="J1359" s="184"/>
      <c r="N1359" s="178"/>
      <c r="O1359" s="178"/>
      <c r="P1359" s="178"/>
      <c r="S1359" s="458"/>
      <c r="AN1359" s="458"/>
    </row>
    <row r="1360" spans="2:40" ht="15.75" customHeight="1">
      <c r="B1360" s="175"/>
      <c r="H1360" s="178"/>
      <c r="I1360" s="179"/>
      <c r="J1360" s="184"/>
      <c r="N1360" s="178"/>
      <c r="O1360" s="178"/>
      <c r="P1360" s="178"/>
      <c r="S1360" s="458"/>
      <c r="AN1360" s="458"/>
    </row>
    <row r="1361" spans="2:40" ht="15.75" customHeight="1">
      <c r="B1361" s="175"/>
      <c r="H1361" s="178"/>
      <c r="I1361" s="179"/>
      <c r="J1361" s="184"/>
      <c r="N1361" s="178"/>
      <c r="O1361" s="178"/>
      <c r="P1361" s="178"/>
      <c r="S1361" s="458"/>
      <c r="AN1361" s="458"/>
    </row>
    <row r="1362" spans="2:40" ht="15.75" customHeight="1">
      <c r="B1362" s="175"/>
      <c r="H1362" s="178"/>
      <c r="I1362" s="179"/>
      <c r="J1362" s="184"/>
      <c r="N1362" s="178"/>
      <c r="O1362" s="178"/>
      <c r="P1362" s="178"/>
      <c r="S1362" s="458"/>
      <c r="AN1362" s="458"/>
    </row>
    <row r="1363" spans="2:40" ht="15.75" customHeight="1">
      <c r="B1363" s="175"/>
      <c r="H1363" s="178"/>
      <c r="I1363" s="179"/>
      <c r="J1363" s="184"/>
      <c r="N1363" s="178"/>
      <c r="O1363" s="178"/>
      <c r="P1363" s="178"/>
      <c r="S1363" s="458"/>
      <c r="AN1363" s="458"/>
    </row>
    <row r="1364" spans="2:40" ht="15.75" customHeight="1">
      <c r="B1364" s="175"/>
      <c r="H1364" s="178"/>
      <c r="I1364" s="179"/>
      <c r="J1364" s="184"/>
      <c r="N1364" s="178"/>
      <c r="O1364" s="178"/>
      <c r="P1364" s="178"/>
      <c r="S1364" s="458"/>
      <c r="AN1364" s="458"/>
    </row>
    <row r="1365" spans="2:40" ht="15.75" customHeight="1">
      <c r="B1365" s="175"/>
      <c r="H1365" s="178"/>
      <c r="I1365" s="179"/>
      <c r="J1365" s="184"/>
      <c r="N1365" s="178"/>
      <c r="O1365" s="178"/>
      <c r="P1365" s="178"/>
      <c r="S1365" s="458"/>
      <c r="AN1365" s="458"/>
    </row>
    <row r="1366" spans="2:40" ht="15.75" customHeight="1">
      <c r="B1366" s="175"/>
      <c r="H1366" s="178"/>
      <c r="I1366" s="179"/>
      <c r="J1366" s="184"/>
      <c r="N1366" s="178"/>
      <c r="O1366" s="178"/>
      <c r="P1366" s="178"/>
      <c r="S1366" s="458"/>
      <c r="AN1366" s="458"/>
    </row>
    <row r="1367" spans="2:40" ht="15.75" customHeight="1">
      <c r="B1367" s="175"/>
      <c r="H1367" s="178"/>
      <c r="I1367" s="179"/>
      <c r="J1367" s="184"/>
      <c r="N1367" s="178"/>
      <c r="O1367" s="178"/>
      <c r="P1367" s="178"/>
      <c r="S1367" s="458"/>
      <c r="AN1367" s="458"/>
    </row>
    <row r="1368" spans="2:40" ht="15.75" customHeight="1">
      <c r="B1368" s="175"/>
      <c r="H1368" s="178"/>
      <c r="I1368" s="179"/>
      <c r="J1368" s="184"/>
      <c r="N1368" s="178"/>
      <c r="O1368" s="178"/>
      <c r="P1368" s="178"/>
      <c r="S1368" s="458"/>
      <c r="AN1368" s="458"/>
    </row>
    <row r="1369" spans="2:40" ht="15.75" customHeight="1">
      <c r="B1369" s="175"/>
      <c r="H1369" s="178"/>
      <c r="I1369" s="179"/>
      <c r="J1369" s="184"/>
      <c r="N1369" s="178"/>
      <c r="O1369" s="178"/>
      <c r="P1369" s="178"/>
      <c r="S1369" s="458"/>
      <c r="AN1369" s="458"/>
    </row>
    <row r="1370" spans="2:40" ht="15.75" customHeight="1">
      <c r="B1370" s="175"/>
      <c r="H1370" s="178"/>
      <c r="I1370" s="179"/>
      <c r="J1370" s="184"/>
      <c r="N1370" s="178"/>
      <c r="O1370" s="178"/>
      <c r="P1370" s="178"/>
      <c r="S1370" s="458"/>
      <c r="AN1370" s="458"/>
    </row>
    <row r="1371" spans="2:40" ht="15.75" customHeight="1">
      <c r="B1371" s="175"/>
      <c r="H1371" s="178"/>
      <c r="I1371" s="179"/>
      <c r="J1371" s="184"/>
      <c r="N1371" s="178"/>
      <c r="O1371" s="178"/>
      <c r="P1371" s="178"/>
      <c r="S1371" s="458"/>
      <c r="AN1371" s="458"/>
    </row>
    <row r="1372" spans="2:40" ht="15.75" customHeight="1">
      <c r="B1372" s="175"/>
      <c r="H1372" s="178"/>
      <c r="I1372" s="179"/>
      <c r="J1372" s="184"/>
      <c r="N1372" s="178"/>
      <c r="O1372" s="178"/>
      <c r="P1372" s="178"/>
      <c r="S1372" s="458"/>
      <c r="AN1372" s="458"/>
    </row>
    <row r="1373" spans="2:40" ht="15.75" customHeight="1">
      <c r="B1373" s="175"/>
      <c r="H1373" s="178"/>
      <c r="I1373" s="179"/>
      <c r="J1373" s="184"/>
      <c r="N1373" s="178"/>
      <c r="O1373" s="178"/>
      <c r="P1373" s="178"/>
      <c r="S1373" s="458"/>
      <c r="AN1373" s="458"/>
    </row>
    <row r="1374" spans="2:40" ht="15.75" customHeight="1">
      <c r="B1374" s="175"/>
      <c r="H1374" s="178"/>
      <c r="I1374" s="179"/>
      <c r="J1374" s="184"/>
      <c r="N1374" s="178"/>
      <c r="O1374" s="178"/>
      <c r="P1374" s="178"/>
      <c r="S1374" s="458"/>
      <c r="AN1374" s="458"/>
    </row>
    <row r="1375" spans="2:40" ht="15.75" customHeight="1">
      <c r="B1375" s="175"/>
      <c r="H1375" s="178"/>
      <c r="I1375" s="179"/>
      <c r="J1375" s="184"/>
      <c r="N1375" s="178"/>
      <c r="O1375" s="178"/>
      <c r="P1375" s="178"/>
      <c r="S1375" s="458"/>
      <c r="AN1375" s="458"/>
    </row>
    <row r="1376" spans="2:40" ht="15.75" customHeight="1">
      <c r="B1376" s="175"/>
      <c r="H1376" s="178"/>
      <c r="I1376" s="179"/>
      <c r="J1376" s="184"/>
      <c r="N1376" s="178"/>
      <c r="O1376" s="178"/>
      <c r="P1376" s="178"/>
      <c r="S1376" s="458"/>
      <c r="AN1376" s="458"/>
    </row>
    <row r="1377" spans="2:40" ht="15.75" customHeight="1">
      <c r="B1377" s="175"/>
      <c r="H1377" s="178"/>
      <c r="I1377" s="179"/>
      <c r="J1377" s="184"/>
      <c r="N1377" s="178"/>
      <c r="O1377" s="178"/>
      <c r="P1377" s="178"/>
      <c r="S1377" s="458"/>
      <c r="AN1377" s="458"/>
    </row>
    <row r="1378" spans="2:40" ht="15.75" customHeight="1">
      <c r="B1378" s="175"/>
      <c r="H1378" s="178"/>
      <c r="I1378" s="179"/>
      <c r="J1378" s="184"/>
      <c r="N1378" s="178"/>
      <c r="O1378" s="178"/>
      <c r="P1378" s="178"/>
      <c r="S1378" s="458"/>
      <c r="AN1378" s="458"/>
    </row>
    <row r="1379" spans="2:40" ht="15.75" customHeight="1">
      <c r="B1379" s="175"/>
      <c r="H1379" s="178"/>
      <c r="I1379" s="179"/>
      <c r="J1379" s="184"/>
      <c r="N1379" s="178"/>
      <c r="O1379" s="178"/>
      <c r="P1379" s="178"/>
      <c r="S1379" s="458"/>
      <c r="AN1379" s="458"/>
    </row>
    <row r="1380" spans="2:40" ht="15.75" customHeight="1">
      <c r="B1380" s="175"/>
      <c r="H1380" s="178"/>
      <c r="I1380" s="179"/>
      <c r="J1380" s="184"/>
      <c r="N1380" s="178"/>
      <c r="O1380" s="178"/>
      <c r="P1380" s="178"/>
      <c r="S1380" s="458"/>
      <c r="AN1380" s="458"/>
    </row>
    <row r="1381" spans="2:40" ht="15.75" customHeight="1">
      <c r="B1381" s="175"/>
      <c r="H1381" s="178"/>
      <c r="I1381" s="179"/>
      <c r="J1381" s="184"/>
      <c r="N1381" s="178"/>
      <c r="O1381" s="178"/>
      <c r="P1381" s="178"/>
      <c r="S1381" s="458"/>
      <c r="AN1381" s="458"/>
    </row>
    <row r="1382" spans="2:40" ht="15.75" customHeight="1">
      <c r="B1382" s="175"/>
      <c r="H1382" s="178"/>
      <c r="I1382" s="179"/>
      <c r="J1382" s="184"/>
      <c r="N1382" s="178"/>
      <c r="O1382" s="178"/>
      <c r="P1382" s="178"/>
      <c r="S1382" s="458"/>
      <c r="AN1382" s="458"/>
    </row>
    <row r="1383" spans="2:40" ht="15.75" customHeight="1">
      <c r="B1383" s="175"/>
      <c r="H1383" s="178"/>
      <c r="I1383" s="179"/>
      <c r="J1383" s="184"/>
      <c r="N1383" s="178"/>
      <c r="O1383" s="178"/>
      <c r="P1383" s="178"/>
      <c r="S1383" s="458"/>
      <c r="AN1383" s="458"/>
    </row>
    <row r="1384" spans="2:40" ht="15.75" customHeight="1">
      <c r="B1384" s="175"/>
      <c r="H1384" s="178"/>
      <c r="I1384" s="179"/>
      <c r="J1384" s="184"/>
      <c r="N1384" s="178"/>
      <c r="O1384" s="178"/>
      <c r="P1384" s="178"/>
      <c r="S1384" s="458"/>
      <c r="AN1384" s="458"/>
    </row>
    <row r="1385" spans="2:40" ht="15.75" customHeight="1">
      <c r="B1385" s="175"/>
      <c r="H1385" s="178"/>
      <c r="I1385" s="179"/>
      <c r="J1385" s="184"/>
      <c r="N1385" s="178"/>
      <c r="O1385" s="178"/>
      <c r="P1385" s="178"/>
      <c r="S1385" s="458"/>
      <c r="AN1385" s="458"/>
    </row>
    <row r="1386" spans="2:40" ht="15.75" customHeight="1">
      <c r="B1386" s="175"/>
      <c r="H1386" s="178"/>
      <c r="I1386" s="179"/>
      <c r="J1386" s="184"/>
      <c r="N1386" s="178"/>
      <c r="O1386" s="178"/>
      <c r="P1386" s="178"/>
      <c r="S1386" s="458"/>
      <c r="AN1386" s="458"/>
    </row>
    <row r="1387" spans="2:40" ht="15.75" customHeight="1">
      <c r="B1387" s="175"/>
      <c r="H1387" s="178"/>
      <c r="I1387" s="179"/>
      <c r="J1387" s="184"/>
      <c r="N1387" s="178"/>
      <c r="O1387" s="178"/>
      <c r="P1387" s="178"/>
      <c r="S1387" s="458"/>
      <c r="AN1387" s="458"/>
    </row>
    <row r="1388" spans="2:40" ht="15.75" customHeight="1">
      <c r="B1388" s="175"/>
      <c r="H1388" s="178"/>
      <c r="I1388" s="179"/>
      <c r="J1388" s="184"/>
      <c r="N1388" s="178"/>
      <c r="O1388" s="178"/>
      <c r="P1388" s="178"/>
      <c r="S1388" s="458"/>
      <c r="AN1388" s="458"/>
    </row>
    <row r="1389" spans="2:40" ht="15.75" customHeight="1">
      <c r="B1389" s="175"/>
      <c r="H1389" s="178"/>
      <c r="N1389" s="178"/>
      <c r="O1389" s="178"/>
      <c r="P1389" s="178"/>
      <c r="S1389" s="458"/>
      <c r="AN1389" s="458"/>
    </row>
    <row r="1390" spans="2:40" ht="15.75" customHeight="1">
      <c r="B1390" s="175"/>
      <c r="H1390" s="178"/>
      <c r="N1390" s="178"/>
      <c r="O1390" s="178"/>
      <c r="P1390" s="178"/>
      <c r="S1390" s="458"/>
      <c r="AN1390" s="458"/>
    </row>
    <row r="1391" spans="2:40" ht="15.75" customHeight="1">
      <c r="B1391" s="175"/>
      <c r="H1391" s="178"/>
      <c r="I1391" s="179"/>
      <c r="J1391" s="184"/>
      <c r="N1391" s="178"/>
      <c r="O1391" s="178"/>
      <c r="P1391" s="178"/>
      <c r="S1391" s="458"/>
      <c r="AN1391" s="458"/>
    </row>
    <row r="1392" spans="2:40" ht="15.75" customHeight="1">
      <c r="B1392" s="175"/>
      <c r="H1392" s="178"/>
      <c r="I1392" s="179"/>
      <c r="J1392" s="184"/>
      <c r="N1392" s="178"/>
      <c r="O1392" s="178"/>
      <c r="P1392" s="178"/>
      <c r="S1392" s="458"/>
      <c r="AN1392" s="458"/>
    </row>
    <row r="1393" spans="2:40" ht="15.75" customHeight="1">
      <c r="B1393" s="175"/>
      <c r="H1393" s="178"/>
      <c r="I1393" s="179"/>
      <c r="J1393" s="184"/>
      <c r="N1393" s="178"/>
      <c r="O1393" s="178"/>
      <c r="P1393" s="178"/>
      <c r="S1393" s="458"/>
      <c r="AN1393" s="458"/>
    </row>
    <row r="1394" spans="2:40" ht="15.75" customHeight="1">
      <c r="B1394" s="175"/>
      <c r="H1394" s="178"/>
      <c r="I1394" s="179"/>
      <c r="J1394" s="184"/>
      <c r="N1394" s="178"/>
      <c r="O1394" s="178"/>
      <c r="P1394" s="178"/>
      <c r="S1394" s="458"/>
      <c r="AN1394" s="458"/>
    </row>
    <row r="1395" spans="2:40" ht="15.75" customHeight="1">
      <c r="B1395" s="175"/>
      <c r="H1395" s="178"/>
      <c r="I1395" s="179"/>
      <c r="J1395" s="184"/>
      <c r="N1395" s="178"/>
      <c r="O1395" s="178"/>
      <c r="P1395" s="178"/>
      <c r="S1395" s="458"/>
      <c r="AN1395" s="458"/>
    </row>
    <row r="1396" spans="2:40" ht="15.75" customHeight="1">
      <c r="B1396" s="175"/>
      <c r="H1396" s="178"/>
      <c r="I1396" s="179"/>
      <c r="J1396" s="184"/>
      <c r="N1396" s="178"/>
      <c r="O1396" s="178"/>
      <c r="P1396" s="178"/>
      <c r="S1396" s="458"/>
      <c r="AN1396" s="458"/>
    </row>
    <row r="1397" spans="2:40" ht="15.75" customHeight="1">
      <c r="B1397" s="175"/>
      <c r="H1397" s="178"/>
      <c r="I1397" s="179"/>
      <c r="J1397" s="184"/>
      <c r="N1397" s="178"/>
      <c r="O1397" s="178"/>
      <c r="P1397" s="178"/>
      <c r="S1397" s="458"/>
      <c r="AN1397" s="458"/>
    </row>
    <row r="1398" spans="2:40" ht="15.75" customHeight="1">
      <c r="B1398" s="175"/>
      <c r="H1398" s="178"/>
      <c r="I1398" s="179"/>
      <c r="J1398" s="184"/>
      <c r="N1398" s="178"/>
      <c r="O1398" s="178"/>
      <c r="P1398" s="178"/>
      <c r="S1398" s="458"/>
      <c r="AN1398" s="458"/>
    </row>
    <row r="1399" spans="2:40" ht="15.75" customHeight="1">
      <c r="B1399" s="175"/>
      <c r="H1399" s="178"/>
      <c r="I1399" s="179"/>
      <c r="J1399" s="184"/>
      <c r="N1399" s="178"/>
      <c r="O1399" s="178"/>
      <c r="P1399" s="178"/>
      <c r="S1399" s="458"/>
      <c r="AN1399" s="458"/>
    </row>
    <row r="1400" spans="2:40" ht="15.75" customHeight="1">
      <c r="B1400" s="175"/>
      <c r="H1400" s="178"/>
      <c r="I1400" s="179"/>
      <c r="J1400" s="184"/>
      <c r="N1400" s="178"/>
      <c r="O1400" s="178"/>
      <c r="P1400" s="178"/>
      <c r="S1400" s="458"/>
      <c r="AN1400" s="458"/>
    </row>
    <row r="1401" spans="2:40" ht="15.75" customHeight="1">
      <c r="B1401" s="175"/>
      <c r="H1401" s="178"/>
      <c r="I1401" s="179"/>
      <c r="J1401" s="184"/>
      <c r="N1401" s="178"/>
      <c r="O1401" s="178"/>
      <c r="P1401" s="178"/>
      <c r="S1401" s="458"/>
      <c r="AN1401" s="458"/>
    </row>
    <row r="1402" spans="2:40" ht="15.75" customHeight="1">
      <c r="B1402" s="175"/>
      <c r="H1402" s="178"/>
      <c r="N1402" s="178"/>
      <c r="O1402" s="178"/>
      <c r="P1402" s="178"/>
      <c r="S1402" s="458"/>
      <c r="AN1402" s="458"/>
    </row>
    <row r="1403" spans="2:40" ht="15.75" customHeight="1">
      <c r="B1403" s="175"/>
      <c r="H1403" s="178"/>
      <c r="N1403" s="178"/>
      <c r="O1403" s="178"/>
      <c r="P1403" s="178"/>
      <c r="S1403" s="458"/>
      <c r="AN1403" s="458"/>
    </row>
    <row r="1404" spans="2:40" ht="15.75" customHeight="1">
      <c r="B1404" s="175"/>
      <c r="H1404" s="178"/>
      <c r="N1404" s="178"/>
      <c r="O1404" s="178"/>
      <c r="P1404" s="178"/>
      <c r="S1404" s="458"/>
      <c r="AN1404" s="458"/>
    </row>
    <row r="1405" spans="2:40" ht="15.75" customHeight="1">
      <c r="B1405" s="175"/>
      <c r="H1405" s="178"/>
      <c r="N1405" s="178"/>
      <c r="P1405" s="178"/>
      <c r="S1405" s="458"/>
      <c r="AN1405" s="458"/>
    </row>
    <row r="1406" spans="2:40" ht="15.75" customHeight="1">
      <c r="B1406" s="175"/>
      <c r="H1406" s="178"/>
      <c r="I1406" s="179"/>
      <c r="J1406" s="184"/>
      <c r="N1406" s="178"/>
      <c r="P1406" s="178"/>
      <c r="S1406" s="458"/>
      <c r="AN1406" s="458"/>
    </row>
    <row r="1407" spans="2:40" ht="15.75" customHeight="1">
      <c r="B1407" s="175"/>
      <c r="H1407" s="178"/>
      <c r="I1407" s="179"/>
      <c r="J1407" s="184"/>
      <c r="N1407" s="178"/>
      <c r="P1407" s="178"/>
      <c r="S1407" s="458"/>
      <c r="AN1407" s="458"/>
    </row>
    <row r="1408" spans="2:40" ht="15.75" customHeight="1">
      <c r="B1408" s="175"/>
      <c r="H1408" s="178"/>
      <c r="I1408" s="179"/>
      <c r="J1408" s="184"/>
      <c r="N1408" s="178"/>
      <c r="O1408" s="178"/>
      <c r="P1408" s="178"/>
      <c r="S1408" s="458"/>
      <c r="AN1408" s="458"/>
    </row>
    <row r="1409" spans="2:40" ht="15.75" customHeight="1">
      <c r="B1409" s="175"/>
      <c r="H1409" s="178"/>
      <c r="I1409" s="179"/>
      <c r="J1409" s="184"/>
      <c r="N1409" s="178"/>
      <c r="O1409" s="178"/>
      <c r="P1409" s="178"/>
      <c r="S1409" s="458"/>
      <c r="AN1409" s="458"/>
    </row>
    <row r="1410" spans="2:40" ht="15.75" customHeight="1">
      <c r="B1410" s="175"/>
      <c r="H1410" s="178"/>
      <c r="I1410" s="179"/>
      <c r="J1410" s="184"/>
      <c r="N1410" s="178"/>
      <c r="O1410" s="178"/>
      <c r="P1410" s="178"/>
      <c r="S1410" s="458"/>
      <c r="AN1410" s="458"/>
    </row>
    <row r="1411" spans="2:40" ht="15.75" customHeight="1">
      <c r="B1411" s="175"/>
      <c r="H1411" s="178"/>
      <c r="I1411" s="179"/>
      <c r="J1411" s="184"/>
      <c r="N1411" s="178"/>
      <c r="O1411" s="178"/>
      <c r="P1411" s="178"/>
      <c r="S1411" s="458"/>
      <c r="AN1411" s="458"/>
    </row>
    <row r="1412" spans="2:40" ht="15.75" customHeight="1">
      <c r="B1412" s="175"/>
      <c r="H1412" s="178"/>
      <c r="I1412" s="179"/>
      <c r="J1412" s="184"/>
      <c r="N1412" s="178"/>
      <c r="O1412" s="178"/>
      <c r="P1412" s="178"/>
      <c r="S1412" s="458"/>
      <c r="AN1412" s="458"/>
    </row>
    <row r="1413" spans="2:40" ht="15.75" customHeight="1">
      <c r="B1413" s="175"/>
      <c r="H1413" s="178"/>
      <c r="I1413" s="179"/>
      <c r="J1413" s="184"/>
      <c r="N1413" s="178"/>
      <c r="O1413" s="178"/>
      <c r="P1413" s="178"/>
      <c r="S1413" s="458"/>
      <c r="AN1413" s="458"/>
    </row>
    <row r="1414" spans="2:40" ht="15.75" customHeight="1">
      <c r="B1414" s="175"/>
      <c r="H1414" s="178"/>
      <c r="I1414" s="179"/>
      <c r="J1414" s="184"/>
      <c r="N1414" s="178"/>
      <c r="O1414" s="178"/>
      <c r="P1414" s="178"/>
      <c r="S1414" s="458"/>
      <c r="AN1414" s="458"/>
    </row>
    <row r="1415" spans="2:40" ht="15.75" customHeight="1">
      <c r="B1415" s="175"/>
      <c r="H1415" s="178"/>
      <c r="N1415" s="178"/>
      <c r="O1415" s="178"/>
      <c r="P1415" s="178"/>
      <c r="S1415" s="458"/>
      <c r="AN1415" s="458"/>
    </row>
    <row r="1416" spans="2:40" ht="15.75" customHeight="1">
      <c r="B1416" s="175"/>
      <c r="H1416" s="178"/>
      <c r="I1416" s="179"/>
      <c r="J1416" s="184"/>
      <c r="N1416" s="178"/>
      <c r="O1416" s="178"/>
      <c r="P1416" s="178"/>
      <c r="S1416" s="458"/>
      <c r="AN1416" s="458"/>
    </row>
    <row r="1417" spans="2:40" ht="15.75" customHeight="1">
      <c r="B1417" s="175"/>
      <c r="H1417" s="178"/>
      <c r="I1417" s="179"/>
      <c r="J1417" s="184"/>
      <c r="N1417" s="178"/>
      <c r="O1417" s="178"/>
      <c r="P1417" s="178"/>
      <c r="S1417" s="458"/>
      <c r="AN1417" s="458"/>
    </row>
    <row r="1418" spans="2:40" ht="15.75" customHeight="1">
      <c r="B1418" s="175"/>
      <c r="H1418" s="178"/>
      <c r="N1418" s="178"/>
      <c r="O1418" s="178"/>
      <c r="P1418" s="178"/>
      <c r="S1418" s="458"/>
      <c r="AN1418" s="458"/>
    </row>
    <row r="1419" spans="2:40" ht="15.75" customHeight="1">
      <c r="B1419" s="175"/>
      <c r="H1419" s="178"/>
      <c r="I1419" s="179"/>
      <c r="J1419" s="184"/>
      <c r="N1419" s="178"/>
      <c r="O1419" s="178"/>
      <c r="P1419" s="178"/>
      <c r="S1419" s="458"/>
      <c r="AN1419" s="458"/>
    </row>
    <row r="1420" spans="2:40" ht="15.75" customHeight="1">
      <c r="B1420" s="175"/>
      <c r="H1420" s="178"/>
      <c r="I1420" s="179"/>
      <c r="J1420" s="184"/>
      <c r="N1420" s="178"/>
      <c r="O1420" s="178"/>
      <c r="P1420" s="178"/>
      <c r="S1420" s="458"/>
      <c r="AN1420" s="458"/>
    </row>
    <row r="1421" spans="2:40" ht="15.75" customHeight="1">
      <c r="B1421" s="175"/>
      <c r="H1421" s="178"/>
      <c r="I1421" s="179"/>
      <c r="J1421" s="184"/>
      <c r="N1421" s="178"/>
      <c r="O1421" s="178"/>
      <c r="P1421" s="178"/>
      <c r="S1421" s="458"/>
      <c r="AN1421" s="458"/>
    </row>
    <row r="1422" spans="2:40" ht="15.75" customHeight="1">
      <c r="B1422" s="175"/>
      <c r="H1422" s="178"/>
      <c r="I1422" s="179"/>
      <c r="J1422" s="184"/>
      <c r="N1422" s="178"/>
      <c r="O1422" s="178"/>
      <c r="P1422" s="178"/>
      <c r="S1422" s="458"/>
      <c r="AN1422" s="458"/>
    </row>
    <row r="1423" spans="2:40" ht="15.75" customHeight="1">
      <c r="B1423" s="175"/>
      <c r="H1423" s="178"/>
      <c r="I1423" s="179"/>
      <c r="J1423" s="184"/>
      <c r="N1423" s="178"/>
      <c r="O1423" s="178"/>
      <c r="P1423" s="178"/>
      <c r="S1423" s="458"/>
      <c r="AN1423" s="458"/>
    </row>
    <row r="1424" spans="2:40" ht="15.75" customHeight="1">
      <c r="B1424" s="175"/>
      <c r="H1424" s="178"/>
      <c r="N1424" s="178"/>
      <c r="O1424" s="178"/>
      <c r="P1424" s="178"/>
      <c r="S1424" s="458"/>
      <c r="AN1424" s="458"/>
    </row>
    <row r="1425" spans="2:40" ht="15.75" customHeight="1">
      <c r="B1425" s="175"/>
      <c r="H1425" s="178"/>
      <c r="N1425" s="178"/>
      <c r="O1425" s="178"/>
      <c r="P1425" s="178"/>
      <c r="S1425" s="458"/>
      <c r="AN1425" s="458"/>
    </row>
    <row r="1426" spans="2:40" ht="15.75" customHeight="1">
      <c r="B1426" s="175"/>
      <c r="H1426" s="178"/>
      <c r="N1426" s="178"/>
      <c r="O1426" s="178"/>
      <c r="P1426" s="178"/>
      <c r="S1426" s="458"/>
      <c r="AN1426" s="458"/>
    </row>
    <row r="1427" spans="2:40" ht="15.75" customHeight="1">
      <c r="B1427" s="175"/>
      <c r="H1427" s="178"/>
      <c r="N1427" s="178"/>
      <c r="O1427" s="178"/>
      <c r="P1427" s="178"/>
      <c r="S1427" s="458"/>
      <c r="AN1427" s="458"/>
    </row>
    <row r="1428" spans="2:40" ht="15.75" customHeight="1">
      <c r="B1428" s="175"/>
      <c r="H1428" s="178"/>
      <c r="I1428" s="179"/>
      <c r="J1428" s="184"/>
      <c r="N1428" s="178"/>
      <c r="O1428" s="178"/>
      <c r="P1428" s="178"/>
      <c r="S1428" s="458"/>
      <c r="AN1428" s="458"/>
    </row>
    <row r="1429" spans="2:40" ht="15.75" customHeight="1">
      <c r="B1429" s="175"/>
      <c r="H1429" s="178"/>
      <c r="I1429" s="179"/>
      <c r="J1429" s="184"/>
      <c r="N1429" s="178"/>
      <c r="O1429" s="178"/>
      <c r="P1429" s="178"/>
      <c r="S1429" s="458"/>
      <c r="AN1429" s="458"/>
    </row>
    <row r="1430" spans="2:40" ht="15.75" customHeight="1">
      <c r="B1430" s="175"/>
      <c r="H1430" s="178"/>
      <c r="I1430" s="179"/>
      <c r="J1430" s="184"/>
      <c r="N1430" s="178"/>
      <c r="O1430" s="178"/>
      <c r="P1430" s="178"/>
      <c r="S1430" s="458"/>
      <c r="AN1430" s="458"/>
    </row>
    <row r="1431" spans="2:40" ht="15.75" customHeight="1">
      <c r="B1431" s="175"/>
      <c r="H1431" s="178"/>
      <c r="I1431" s="179"/>
      <c r="J1431" s="184"/>
      <c r="N1431" s="178"/>
      <c r="O1431" s="178"/>
      <c r="P1431" s="178"/>
      <c r="S1431" s="458"/>
      <c r="AN1431" s="458"/>
    </row>
    <row r="1432" spans="2:40" ht="15.75" customHeight="1">
      <c r="B1432" s="175"/>
      <c r="H1432" s="178"/>
      <c r="I1432" s="179"/>
      <c r="J1432" s="184"/>
      <c r="N1432" s="178"/>
      <c r="O1432" s="178"/>
      <c r="P1432" s="178"/>
      <c r="S1432" s="458"/>
      <c r="AN1432" s="458"/>
    </row>
    <row r="1433" spans="2:40" ht="15.75" customHeight="1">
      <c r="B1433" s="175"/>
      <c r="H1433" s="178"/>
      <c r="I1433" s="179"/>
      <c r="J1433" s="184"/>
      <c r="N1433" s="178"/>
      <c r="O1433" s="178"/>
      <c r="P1433" s="178"/>
      <c r="S1433" s="458"/>
      <c r="AN1433" s="458"/>
    </row>
    <row r="1434" spans="2:40" ht="15.75" customHeight="1">
      <c r="B1434" s="175"/>
      <c r="H1434" s="178"/>
      <c r="I1434" s="179"/>
      <c r="J1434" s="184"/>
      <c r="N1434" s="178"/>
      <c r="O1434" s="178"/>
      <c r="P1434" s="178"/>
      <c r="S1434" s="458"/>
      <c r="AN1434" s="458"/>
    </row>
    <row r="1435" spans="2:40" ht="15.75" customHeight="1">
      <c r="B1435" s="175"/>
      <c r="H1435" s="178"/>
      <c r="I1435" s="179"/>
      <c r="J1435" s="184"/>
      <c r="N1435" s="178"/>
      <c r="O1435" s="178"/>
      <c r="P1435" s="178"/>
      <c r="S1435" s="458"/>
      <c r="AN1435" s="458"/>
    </row>
    <row r="1436" spans="2:40" ht="15.75" customHeight="1">
      <c r="B1436" s="175"/>
      <c r="H1436" s="178"/>
      <c r="I1436" s="179"/>
      <c r="J1436" s="184"/>
      <c r="N1436" s="178"/>
      <c r="O1436" s="178"/>
      <c r="P1436" s="178"/>
      <c r="S1436" s="458"/>
      <c r="AN1436" s="458"/>
    </row>
    <row r="1437" spans="2:40" ht="15.75" customHeight="1">
      <c r="B1437" s="175"/>
      <c r="H1437" s="178"/>
      <c r="I1437" s="179"/>
      <c r="J1437" s="184"/>
      <c r="N1437" s="178"/>
      <c r="O1437" s="178"/>
      <c r="P1437" s="178"/>
      <c r="S1437" s="458"/>
      <c r="AN1437" s="458"/>
    </row>
    <row r="1438" spans="2:40" ht="15.75" customHeight="1">
      <c r="B1438" s="175"/>
      <c r="H1438" s="178"/>
      <c r="I1438" s="179"/>
      <c r="J1438" s="184"/>
      <c r="N1438" s="178"/>
      <c r="O1438" s="178"/>
      <c r="P1438" s="178"/>
      <c r="S1438" s="458"/>
      <c r="AN1438" s="458"/>
    </row>
    <row r="1439" spans="2:40" ht="15.75" customHeight="1">
      <c r="B1439" s="175"/>
      <c r="H1439" s="178"/>
      <c r="I1439" s="179"/>
      <c r="J1439" s="184"/>
      <c r="N1439" s="178"/>
      <c r="O1439" s="178"/>
      <c r="P1439" s="178"/>
      <c r="S1439" s="458"/>
      <c r="AN1439" s="458"/>
    </row>
    <row r="1440" spans="2:40" ht="15.75" customHeight="1">
      <c r="B1440" s="175"/>
      <c r="H1440" s="178"/>
      <c r="I1440" s="179"/>
      <c r="J1440" s="184"/>
      <c r="N1440" s="178"/>
      <c r="O1440" s="178"/>
      <c r="P1440" s="178"/>
      <c r="S1440" s="458"/>
      <c r="AN1440" s="458"/>
    </row>
    <row r="1441" spans="2:40" ht="15.75" customHeight="1">
      <c r="B1441" s="175"/>
      <c r="H1441" s="178"/>
      <c r="I1441" s="179"/>
      <c r="J1441" s="184"/>
      <c r="N1441" s="178"/>
      <c r="O1441" s="178"/>
      <c r="P1441" s="178"/>
      <c r="S1441" s="458"/>
      <c r="AN1441" s="458"/>
    </row>
    <row r="1442" spans="2:40" ht="15.75" customHeight="1">
      <c r="B1442" s="175"/>
      <c r="H1442" s="178"/>
      <c r="I1442" s="179"/>
      <c r="J1442" s="184"/>
      <c r="N1442" s="178"/>
      <c r="O1442" s="178"/>
      <c r="P1442" s="178"/>
      <c r="S1442" s="458"/>
      <c r="AN1442" s="458"/>
    </row>
    <row r="1443" spans="2:40" ht="15.75" customHeight="1">
      <c r="B1443" s="175"/>
      <c r="H1443" s="178"/>
      <c r="I1443" s="179"/>
      <c r="J1443" s="184"/>
      <c r="N1443" s="178"/>
      <c r="O1443" s="178"/>
      <c r="P1443" s="178"/>
      <c r="S1443" s="458"/>
      <c r="AN1443" s="458"/>
    </row>
    <row r="1444" spans="2:40" ht="15.75" customHeight="1">
      <c r="B1444" s="175"/>
      <c r="H1444" s="178"/>
      <c r="I1444" s="179"/>
      <c r="J1444" s="184"/>
      <c r="N1444" s="178"/>
      <c r="O1444" s="178"/>
      <c r="P1444" s="178"/>
      <c r="S1444" s="458"/>
      <c r="AN1444" s="458"/>
    </row>
    <row r="1445" spans="2:40" ht="15.75" customHeight="1">
      <c r="B1445" s="175"/>
      <c r="H1445" s="178"/>
      <c r="I1445" s="179"/>
      <c r="J1445" s="184"/>
      <c r="N1445" s="178"/>
      <c r="O1445" s="178"/>
      <c r="P1445" s="178"/>
      <c r="S1445" s="458"/>
      <c r="AN1445" s="458"/>
    </row>
    <row r="1446" spans="2:40" ht="15.75" customHeight="1">
      <c r="B1446" s="175"/>
      <c r="H1446" s="178"/>
      <c r="I1446" s="179"/>
      <c r="J1446" s="184"/>
      <c r="N1446" s="178"/>
      <c r="O1446" s="178"/>
      <c r="P1446" s="178"/>
      <c r="S1446" s="458"/>
      <c r="AN1446" s="458"/>
    </row>
    <row r="1447" spans="2:40" ht="15.75" customHeight="1">
      <c r="B1447" s="175"/>
      <c r="H1447" s="178"/>
      <c r="I1447" s="179"/>
      <c r="J1447" s="184"/>
      <c r="N1447" s="178"/>
      <c r="O1447" s="178"/>
      <c r="P1447" s="178"/>
      <c r="S1447" s="458"/>
      <c r="AN1447" s="458"/>
    </row>
    <row r="1448" spans="2:40" ht="15.75" customHeight="1">
      <c r="B1448" s="175"/>
      <c r="H1448" s="178"/>
      <c r="I1448" s="179"/>
      <c r="J1448" s="184"/>
      <c r="N1448" s="178"/>
      <c r="O1448" s="178"/>
      <c r="P1448" s="178"/>
      <c r="S1448" s="458"/>
      <c r="AN1448" s="458"/>
    </row>
    <row r="1449" spans="2:40" ht="15.75" customHeight="1">
      <c r="B1449" s="175"/>
      <c r="H1449" s="178"/>
      <c r="I1449" s="179"/>
      <c r="J1449" s="184"/>
      <c r="N1449" s="178"/>
      <c r="O1449" s="178"/>
      <c r="P1449" s="178"/>
      <c r="S1449" s="458"/>
      <c r="AN1449" s="458"/>
    </row>
    <row r="1450" spans="2:40" ht="15.75" customHeight="1">
      <c r="B1450" s="175"/>
      <c r="H1450" s="178"/>
      <c r="I1450" s="179"/>
      <c r="J1450" s="184"/>
      <c r="N1450" s="178"/>
      <c r="O1450" s="178"/>
      <c r="P1450" s="178"/>
      <c r="S1450" s="458"/>
      <c r="AN1450" s="458"/>
    </row>
    <row r="1451" spans="2:40" ht="15.75" customHeight="1">
      <c r="B1451" s="175"/>
      <c r="H1451" s="178"/>
      <c r="I1451" s="179"/>
      <c r="J1451" s="184"/>
      <c r="N1451" s="178"/>
      <c r="O1451" s="178"/>
      <c r="P1451" s="178"/>
      <c r="S1451" s="458"/>
      <c r="AN1451" s="458"/>
    </row>
    <row r="1452" spans="2:40" ht="15.75" customHeight="1">
      <c r="B1452" s="175"/>
      <c r="H1452" s="178"/>
      <c r="I1452" s="179"/>
      <c r="J1452" s="184"/>
      <c r="N1452" s="178"/>
      <c r="O1452" s="178"/>
      <c r="P1452" s="178"/>
      <c r="S1452" s="458"/>
      <c r="AN1452" s="458"/>
    </row>
    <row r="1453" spans="2:40" ht="15.75" customHeight="1">
      <c r="B1453" s="175"/>
      <c r="H1453" s="178"/>
      <c r="I1453" s="179"/>
      <c r="J1453" s="184"/>
      <c r="N1453" s="178"/>
      <c r="O1453" s="178"/>
      <c r="P1453" s="178"/>
      <c r="S1453" s="458"/>
      <c r="AN1453" s="458"/>
    </row>
    <row r="1454" spans="2:40" ht="15.75" customHeight="1">
      <c r="B1454" s="175"/>
      <c r="H1454" s="178"/>
      <c r="I1454" s="179"/>
      <c r="J1454" s="184"/>
      <c r="N1454" s="178"/>
      <c r="O1454" s="178"/>
      <c r="P1454" s="178"/>
      <c r="S1454" s="458"/>
      <c r="AN1454" s="458"/>
    </row>
    <row r="1455" spans="2:40" ht="15.75" customHeight="1">
      <c r="B1455" s="175"/>
      <c r="H1455" s="178"/>
      <c r="I1455" s="179"/>
      <c r="J1455" s="184"/>
      <c r="N1455" s="178"/>
      <c r="O1455" s="178"/>
      <c r="P1455" s="178"/>
      <c r="S1455" s="458"/>
      <c r="AN1455" s="458"/>
    </row>
    <row r="1456" spans="2:40" ht="15.75" customHeight="1">
      <c r="B1456" s="175"/>
      <c r="H1456" s="178"/>
      <c r="I1456" s="179"/>
      <c r="J1456" s="184"/>
      <c r="N1456" s="178"/>
      <c r="O1456" s="178"/>
      <c r="P1456" s="178"/>
      <c r="S1456" s="458"/>
      <c r="AN1456" s="458"/>
    </row>
    <row r="1457" spans="2:40" ht="15.75" customHeight="1">
      <c r="B1457" s="175"/>
      <c r="H1457" s="178"/>
      <c r="I1457" s="179"/>
      <c r="J1457" s="184"/>
      <c r="N1457" s="178"/>
      <c r="O1457" s="178"/>
      <c r="P1457" s="178"/>
      <c r="S1457" s="458"/>
      <c r="AN1457" s="458"/>
    </row>
    <row r="1458" spans="2:40" ht="15.75" customHeight="1">
      <c r="B1458" s="175"/>
      <c r="H1458" s="178"/>
      <c r="I1458" s="179"/>
      <c r="J1458" s="184"/>
      <c r="N1458" s="178"/>
      <c r="O1458" s="178"/>
      <c r="P1458" s="178"/>
      <c r="S1458" s="458"/>
      <c r="AN1458" s="458"/>
    </row>
    <row r="1459" spans="2:40" ht="15.75" customHeight="1">
      <c r="B1459" s="175"/>
      <c r="H1459" s="178"/>
      <c r="I1459" s="179"/>
      <c r="J1459" s="184"/>
      <c r="N1459" s="178"/>
      <c r="O1459" s="178"/>
      <c r="P1459" s="178"/>
      <c r="S1459" s="458"/>
      <c r="AN1459" s="458"/>
    </row>
    <row r="1460" spans="2:40" ht="15.75" customHeight="1">
      <c r="B1460" s="175"/>
      <c r="H1460" s="178"/>
      <c r="I1460" s="179"/>
      <c r="J1460" s="184"/>
      <c r="N1460" s="178"/>
      <c r="O1460" s="178"/>
      <c r="P1460" s="178"/>
      <c r="S1460" s="458"/>
      <c r="AN1460" s="458"/>
    </row>
    <row r="1461" spans="2:40" ht="15.75" customHeight="1">
      <c r="B1461" s="175"/>
      <c r="H1461" s="178"/>
      <c r="I1461" s="179"/>
      <c r="J1461" s="184"/>
      <c r="N1461" s="178"/>
      <c r="O1461" s="178"/>
      <c r="P1461" s="178"/>
      <c r="S1461" s="458"/>
      <c r="AN1461" s="458"/>
    </row>
    <row r="1462" spans="2:40" ht="15.75" customHeight="1">
      <c r="B1462" s="175"/>
      <c r="H1462" s="178"/>
      <c r="I1462" s="179"/>
      <c r="J1462" s="184"/>
      <c r="N1462" s="178"/>
      <c r="O1462" s="178"/>
      <c r="P1462" s="178"/>
      <c r="S1462" s="458"/>
      <c r="AN1462" s="458"/>
    </row>
    <row r="1463" spans="2:40" ht="15.75" customHeight="1">
      <c r="B1463" s="175"/>
      <c r="H1463" s="178"/>
      <c r="I1463" s="179"/>
      <c r="J1463" s="184"/>
      <c r="N1463" s="178"/>
      <c r="O1463" s="178"/>
      <c r="P1463" s="178"/>
      <c r="S1463" s="458"/>
      <c r="AN1463" s="458"/>
    </row>
    <row r="1464" spans="2:40" ht="15.75" customHeight="1">
      <c r="B1464" s="175"/>
      <c r="H1464" s="178"/>
      <c r="I1464" s="179"/>
      <c r="J1464" s="184"/>
      <c r="N1464" s="178"/>
      <c r="O1464" s="178"/>
      <c r="P1464" s="178"/>
      <c r="S1464" s="458"/>
      <c r="AN1464" s="458"/>
    </row>
    <row r="1465" spans="2:40" ht="15.75" customHeight="1">
      <c r="B1465" s="175"/>
      <c r="H1465" s="178"/>
      <c r="I1465" s="179"/>
      <c r="J1465" s="184"/>
      <c r="N1465" s="178"/>
      <c r="O1465" s="178"/>
      <c r="P1465" s="178"/>
      <c r="S1465" s="458"/>
      <c r="AN1465" s="458"/>
    </row>
    <row r="1466" spans="2:40" ht="15.75" customHeight="1">
      <c r="B1466" s="175"/>
      <c r="H1466" s="178"/>
      <c r="I1466" s="179"/>
      <c r="J1466" s="184"/>
      <c r="N1466" s="178"/>
      <c r="O1466" s="178"/>
      <c r="P1466" s="178"/>
      <c r="S1466" s="458"/>
      <c r="AN1466" s="458"/>
    </row>
    <row r="1467" spans="2:40" ht="15.75" customHeight="1">
      <c r="B1467" s="175"/>
      <c r="H1467" s="178"/>
      <c r="I1467" s="179"/>
      <c r="J1467" s="184"/>
      <c r="N1467" s="178"/>
      <c r="O1467" s="178"/>
      <c r="P1467" s="178"/>
      <c r="S1467" s="458"/>
      <c r="AN1467" s="458"/>
    </row>
    <row r="1468" spans="2:40" ht="15.75" customHeight="1">
      <c r="B1468" s="175"/>
      <c r="H1468" s="178"/>
      <c r="I1468" s="179"/>
      <c r="J1468" s="184"/>
      <c r="N1468" s="178"/>
      <c r="O1468" s="178"/>
      <c r="P1468" s="178"/>
      <c r="S1468" s="458"/>
      <c r="AN1468" s="458"/>
    </row>
    <row r="1469" spans="2:40" ht="15.75" customHeight="1">
      <c r="B1469" s="175"/>
      <c r="H1469" s="178"/>
      <c r="I1469" s="179"/>
      <c r="J1469" s="184"/>
      <c r="N1469" s="178"/>
      <c r="O1469" s="178"/>
      <c r="P1469" s="178"/>
      <c r="S1469" s="458"/>
      <c r="AN1469" s="458"/>
    </row>
    <row r="1470" spans="2:40" ht="15.75" customHeight="1">
      <c r="B1470" s="175"/>
      <c r="H1470" s="178"/>
      <c r="I1470" s="179"/>
      <c r="J1470" s="184"/>
      <c r="N1470" s="178"/>
      <c r="O1470" s="178"/>
      <c r="P1470" s="178"/>
      <c r="S1470" s="458"/>
      <c r="AN1470" s="458"/>
    </row>
    <row r="1471" spans="2:40" ht="15.75" customHeight="1">
      <c r="B1471" s="175"/>
      <c r="H1471" s="178"/>
      <c r="I1471" s="179"/>
      <c r="J1471" s="184"/>
      <c r="N1471" s="178"/>
      <c r="O1471" s="178"/>
      <c r="P1471" s="178"/>
      <c r="S1471" s="458"/>
      <c r="AN1471" s="458"/>
    </row>
    <row r="1472" spans="2:40" ht="15.75" customHeight="1">
      <c r="B1472" s="175"/>
      <c r="H1472" s="178"/>
      <c r="I1472" s="179"/>
      <c r="J1472" s="184"/>
      <c r="N1472" s="178"/>
      <c r="O1472" s="178"/>
      <c r="P1472" s="178"/>
      <c r="S1472" s="458"/>
      <c r="AN1472" s="458"/>
    </row>
    <row r="1473" spans="2:40" ht="15.75" customHeight="1">
      <c r="B1473" s="175"/>
      <c r="H1473" s="178"/>
      <c r="I1473" s="179"/>
      <c r="J1473" s="184"/>
      <c r="N1473" s="178"/>
      <c r="O1473" s="178"/>
      <c r="P1473" s="178"/>
      <c r="S1473" s="458"/>
      <c r="AN1473" s="458"/>
    </row>
    <row r="1474" spans="2:40" ht="15.75" customHeight="1">
      <c r="B1474" s="175"/>
      <c r="H1474" s="178"/>
      <c r="I1474" s="179"/>
      <c r="J1474" s="184"/>
      <c r="N1474" s="178"/>
      <c r="O1474" s="178"/>
      <c r="P1474" s="178"/>
      <c r="S1474" s="458"/>
      <c r="AN1474" s="458"/>
    </row>
    <row r="1475" spans="2:40" ht="15.75" customHeight="1">
      <c r="B1475" s="175"/>
      <c r="H1475" s="178"/>
      <c r="I1475" s="179"/>
      <c r="J1475" s="184"/>
      <c r="N1475" s="178"/>
      <c r="O1475" s="178"/>
      <c r="P1475" s="178"/>
      <c r="S1475" s="458"/>
      <c r="AN1475" s="458"/>
    </row>
    <row r="1476" spans="2:40" ht="15.75" customHeight="1">
      <c r="B1476" s="175"/>
      <c r="H1476" s="178"/>
      <c r="I1476" s="179"/>
      <c r="J1476" s="184"/>
      <c r="N1476" s="178"/>
      <c r="O1476" s="178"/>
      <c r="P1476" s="178"/>
      <c r="S1476" s="458"/>
      <c r="AN1476" s="458"/>
    </row>
    <row r="1477" spans="2:40" ht="15.75" customHeight="1">
      <c r="B1477" s="175"/>
      <c r="H1477" s="178"/>
      <c r="I1477" s="179"/>
      <c r="J1477" s="184"/>
      <c r="N1477" s="178"/>
      <c r="O1477" s="178"/>
      <c r="P1477" s="178"/>
      <c r="S1477" s="458"/>
      <c r="AN1477" s="458"/>
    </row>
    <row r="1478" spans="2:40" ht="15.75" customHeight="1">
      <c r="B1478" s="175"/>
      <c r="H1478" s="178"/>
      <c r="I1478" s="179"/>
      <c r="J1478" s="184"/>
      <c r="N1478" s="178"/>
      <c r="O1478" s="178"/>
      <c r="P1478" s="178"/>
      <c r="S1478" s="458"/>
      <c r="AN1478" s="458"/>
    </row>
    <row r="1479" spans="2:40" ht="15.75" customHeight="1">
      <c r="B1479" s="175"/>
      <c r="H1479" s="178"/>
      <c r="I1479" s="179"/>
      <c r="J1479" s="184"/>
      <c r="N1479" s="178"/>
      <c r="O1479" s="178"/>
      <c r="P1479" s="178"/>
      <c r="S1479" s="458"/>
      <c r="AN1479" s="458"/>
    </row>
    <row r="1480" spans="2:40" ht="15.75" customHeight="1">
      <c r="B1480" s="175"/>
      <c r="H1480" s="178"/>
      <c r="I1480" s="179"/>
      <c r="J1480" s="184"/>
      <c r="N1480" s="178"/>
      <c r="O1480" s="178"/>
      <c r="P1480" s="178"/>
      <c r="S1480" s="458"/>
      <c r="AN1480" s="458"/>
    </row>
    <row r="1481" spans="2:40" ht="15.75" customHeight="1">
      <c r="B1481" s="175"/>
      <c r="H1481" s="178"/>
      <c r="I1481" s="179"/>
      <c r="J1481" s="184"/>
      <c r="N1481" s="178"/>
      <c r="O1481" s="178"/>
      <c r="P1481" s="178"/>
      <c r="S1481" s="458"/>
      <c r="AN1481" s="458"/>
    </row>
    <row r="1482" spans="2:40" ht="15.75" customHeight="1">
      <c r="B1482" s="175"/>
      <c r="H1482" s="178"/>
      <c r="I1482" s="179"/>
      <c r="J1482" s="184"/>
      <c r="N1482" s="178"/>
      <c r="O1482" s="178"/>
      <c r="P1482" s="178"/>
      <c r="S1482" s="458"/>
      <c r="AN1482" s="458"/>
    </row>
    <row r="1483" spans="2:40" ht="15.75" customHeight="1">
      <c r="B1483" s="175"/>
      <c r="H1483" s="178"/>
      <c r="I1483" s="179"/>
      <c r="J1483" s="184"/>
      <c r="N1483" s="178"/>
      <c r="O1483" s="178"/>
      <c r="P1483" s="178"/>
      <c r="S1483" s="458"/>
      <c r="AN1483" s="458"/>
    </row>
    <row r="1484" spans="2:40" ht="15.75" customHeight="1">
      <c r="B1484" s="175"/>
      <c r="H1484" s="178"/>
      <c r="I1484" s="179"/>
      <c r="J1484" s="184"/>
      <c r="N1484" s="178"/>
      <c r="O1484" s="178"/>
      <c r="P1484" s="178"/>
      <c r="S1484" s="458"/>
      <c r="AN1484" s="458"/>
    </row>
    <row r="1485" spans="2:40" ht="15.75" customHeight="1">
      <c r="B1485" s="175"/>
      <c r="H1485" s="178"/>
      <c r="N1485" s="178"/>
      <c r="O1485" s="178"/>
      <c r="P1485" s="178"/>
      <c r="S1485" s="458"/>
      <c r="AN1485" s="458"/>
    </row>
    <row r="1486" spans="2:40" ht="15.75" customHeight="1">
      <c r="B1486" s="175"/>
      <c r="H1486" s="178"/>
      <c r="N1486" s="178"/>
      <c r="O1486" s="178"/>
      <c r="P1486" s="178"/>
      <c r="S1486" s="458"/>
      <c r="AN1486" s="458"/>
    </row>
    <row r="1487" spans="2:40" ht="15.75" customHeight="1">
      <c r="B1487" s="175"/>
      <c r="H1487" s="178"/>
      <c r="I1487" s="179"/>
      <c r="J1487" s="184"/>
      <c r="N1487" s="178"/>
      <c r="O1487" s="178"/>
      <c r="P1487" s="178"/>
      <c r="S1487" s="458"/>
      <c r="AN1487" s="458"/>
    </row>
    <row r="1488" spans="2:40" ht="15.75" customHeight="1">
      <c r="B1488" s="175"/>
      <c r="H1488" s="178"/>
      <c r="I1488" s="179"/>
      <c r="J1488" s="184"/>
      <c r="N1488" s="178"/>
      <c r="O1488" s="178"/>
      <c r="P1488" s="178"/>
      <c r="S1488" s="458"/>
      <c r="AN1488" s="458"/>
    </row>
    <row r="1489" spans="2:40" ht="15.75" customHeight="1">
      <c r="B1489" s="175"/>
      <c r="H1489" s="178"/>
      <c r="I1489" s="179"/>
      <c r="J1489" s="184"/>
      <c r="N1489" s="178"/>
      <c r="O1489" s="178"/>
      <c r="P1489" s="178"/>
      <c r="S1489" s="458"/>
      <c r="AN1489" s="458"/>
    </row>
    <row r="1490" spans="2:40" ht="15.75" customHeight="1">
      <c r="B1490" s="175"/>
      <c r="H1490" s="178"/>
      <c r="I1490" s="179"/>
      <c r="J1490" s="184"/>
      <c r="N1490" s="178"/>
      <c r="O1490" s="178"/>
      <c r="P1490" s="178"/>
      <c r="S1490" s="458"/>
      <c r="AN1490" s="458"/>
    </row>
    <row r="1491" spans="2:40" ht="15.75" customHeight="1">
      <c r="B1491" s="175"/>
      <c r="H1491" s="178"/>
      <c r="I1491" s="179"/>
      <c r="J1491" s="184"/>
      <c r="N1491" s="178"/>
      <c r="O1491" s="178"/>
      <c r="P1491" s="178"/>
      <c r="S1491" s="458"/>
      <c r="AN1491" s="458"/>
    </row>
    <row r="1492" spans="2:40" ht="15.75" customHeight="1">
      <c r="B1492" s="175"/>
      <c r="H1492" s="178"/>
      <c r="N1492" s="178"/>
      <c r="O1492" s="178"/>
      <c r="P1492" s="178"/>
      <c r="S1492" s="458"/>
      <c r="AN1492" s="458"/>
    </row>
    <row r="1493" spans="2:40" ht="15.75" customHeight="1">
      <c r="B1493" s="175"/>
      <c r="H1493" s="178"/>
      <c r="N1493" s="178"/>
      <c r="O1493" s="178"/>
      <c r="P1493" s="178"/>
      <c r="S1493" s="458"/>
      <c r="AN1493" s="458"/>
    </row>
    <row r="1494" spans="2:40" ht="15.75" customHeight="1">
      <c r="B1494" s="175"/>
      <c r="H1494" s="178"/>
      <c r="I1494" s="179"/>
      <c r="J1494" s="184"/>
      <c r="N1494" s="178"/>
      <c r="O1494" s="178"/>
      <c r="P1494" s="178"/>
      <c r="AN1494" s="458"/>
    </row>
    <row r="1495" spans="2:40" ht="15.75" customHeight="1">
      <c r="B1495" s="175"/>
      <c r="H1495" s="178"/>
      <c r="I1495" s="179"/>
      <c r="J1495" s="184"/>
      <c r="N1495" s="178"/>
      <c r="O1495" s="178"/>
      <c r="P1495" s="178"/>
      <c r="AN1495" s="458"/>
    </row>
    <row r="1496" spans="2:40" ht="15.75" customHeight="1">
      <c r="B1496" s="175"/>
      <c r="H1496" s="178"/>
      <c r="I1496" s="179"/>
      <c r="J1496" s="184"/>
      <c r="N1496" s="178"/>
      <c r="O1496" s="178"/>
      <c r="P1496" s="178"/>
      <c r="AN1496" s="458"/>
    </row>
    <row r="1497" spans="2:40" ht="15.75" customHeight="1">
      <c r="B1497" s="175"/>
      <c r="H1497" s="178"/>
      <c r="I1497" s="179"/>
      <c r="J1497" s="184"/>
      <c r="N1497" s="178"/>
      <c r="O1497" s="178"/>
      <c r="P1497" s="178"/>
      <c r="AN1497" s="458"/>
    </row>
    <row r="1498" spans="2:40" ht="15.75" customHeight="1">
      <c r="B1498" s="175"/>
      <c r="H1498" s="178"/>
      <c r="I1498" s="179"/>
      <c r="J1498" s="184"/>
      <c r="N1498" s="178"/>
      <c r="O1498" s="178"/>
      <c r="P1498" s="178"/>
      <c r="AN1498" s="458"/>
    </row>
    <row r="1499" spans="2:40" ht="15.75" customHeight="1">
      <c r="B1499" s="175"/>
      <c r="H1499" s="178"/>
      <c r="I1499" s="179"/>
      <c r="J1499" s="184"/>
      <c r="N1499" s="178"/>
      <c r="O1499" s="178"/>
      <c r="P1499" s="178"/>
      <c r="AN1499" s="458"/>
    </row>
    <row r="1500" spans="2:40" ht="15.75" customHeight="1">
      <c r="B1500" s="175"/>
      <c r="H1500" s="178"/>
      <c r="I1500" s="179"/>
      <c r="J1500" s="184"/>
      <c r="N1500" s="178"/>
      <c r="O1500" s="178"/>
      <c r="P1500" s="178"/>
      <c r="AN1500" s="458"/>
    </row>
    <row r="1501" spans="2:40" ht="15.75" customHeight="1">
      <c r="B1501" s="175"/>
      <c r="H1501" s="178"/>
      <c r="I1501" s="179"/>
      <c r="J1501" s="184"/>
      <c r="N1501" s="178"/>
      <c r="O1501" s="178"/>
      <c r="P1501" s="178"/>
      <c r="AN1501" s="458"/>
    </row>
    <row r="1502" spans="2:40" ht="15.75" customHeight="1">
      <c r="B1502" s="175"/>
      <c r="H1502" s="178"/>
      <c r="I1502" s="179"/>
      <c r="J1502" s="184"/>
      <c r="N1502" s="178"/>
      <c r="O1502" s="178"/>
      <c r="P1502" s="178"/>
      <c r="AN1502" s="458"/>
    </row>
    <row r="1503" spans="2:40" ht="15.75" customHeight="1">
      <c r="B1503" s="175"/>
      <c r="H1503" s="178"/>
      <c r="I1503" s="179"/>
      <c r="J1503" s="184"/>
      <c r="N1503" s="178"/>
      <c r="O1503" s="178"/>
      <c r="P1503" s="178"/>
      <c r="AN1503" s="458"/>
    </row>
    <row r="1504" spans="2:40" ht="15.75" customHeight="1">
      <c r="B1504" s="175"/>
      <c r="H1504" s="178"/>
      <c r="I1504" s="179"/>
      <c r="J1504" s="184"/>
      <c r="N1504" s="178"/>
      <c r="O1504" s="178"/>
      <c r="P1504" s="178"/>
      <c r="AN1504" s="458"/>
    </row>
    <row r="1505" spans="2:40" ht="15.75" customHeight="1">
      <c r="B1505" s="175"/>
      <c r="H1505" s="178"/>
      <c r="I1505" s="179"/>
      <c r="J1505" s="184"/>
      <c r="N1505" s="178"/>
      <c r="O1505" s="178"/>
      <c r="P1505" s="178"/>
      <c r="AN1505" s="458"/>
    </row>
    <row r="1506" spans="2:40" ht="15.75" customHeight="1">
      <c r="B1506" s="175"/>
      <c r="H1506" s="178"/>
      <c r="I1506" s="179"/>
      <c r="J1506" s="184"/>
      <c r="N1506" s="178"/>
      <c r="O1506" s="178"/>
      <c r="P1506" s="178"/>
      <c r="AN1506" s="458"/>
    </row>
    <row r="1507" spans="2:40" ht="15.75" customHeight="1">
      <c r="B1507" s="175"/>
      <c r="H1507" s="178"/>
      <c r="I1507" s="179"/>
      <c r="J1507" s="184"/>
      <c r="N1507" s="178"/>
      <c r="O1507" s="178"/>
      <c r="P1507" s="178"/>
      <c r="AN1507" s="458"/>
    </row>
    <row r="1508" spans="2:40" ht="15.75" customHeight="1">
      <c r="B1508" s="175"/>
      <c r="H1508" s="178"/>
      <c r="I1508" s="179"/>
      <c r="J1508" s="184"/>
      <c r="N1508" s="178"/>
      <c r="O1508" s="178"/>
      <c r="P1508" s="178"/>
      <c r="AN1508" s="458"/>
    </row>
    <row r="1509" spans="2:40" ht="15.75" customHeight="1">
      <c r="B1509" s="175"/>
      <c r="H1509" s="178"/>
      <c r="I1509" s="179"/>
      <c r="J1509" s="184"/>
      <c r="N1509" s="178"/>
      <c r="P1509" s="178"/>
      <c r="AN1509" s="458"/>
    </row>
    <row r="1510" spans="2:40" ht="15.75" customHeight="1">
      <c r="B1510" s="175"/>
      <c r="H1510" s="178"/>
      <c r="I1510" s="179"/>
      <c r="J1510" s="184"/>
      <c r="N1510" s="178"/>
      <c r="P1510" s="178"/>
      <c r="AN1510" s="458"/>
    </row>
    <row r="1511" spans="2:40" ht="15.75" customHeight="1">
      <c r="B1511" s="175"/>
      <c r="H1511" s="178"/>
      <c r="I1511" s="179"/>
      <c r="J1511" s="184"/>
      <c r="N1511" s="178"/>
      <c r="O1511" s="178"/>
      <c r="P1511" s="178"/>
      <c r="AN1511" s="458"/>
    </row>
    <row r="1512" spans="2:40" ht="15.75" customHeight="1">
      <c r="B1512" s="175"/>
      <c r="H1512" s="178"/>
      <c r="I1512" s="179"/>
      <c r="J1512" s="184"/>
      <c r="N1512" s="178"/>
      <c r="O1512" s="178"/>
      <c r="P1512" s="178"/>
      <c r="AN1512" s="458"/>
    </row>
    <row r="1513" spans="2:40" ht="15.75" customHeight="1">
      <c r="B1513" s="175"/>
      <c r="H1513" s="178"/>
      <c r="I1513" s="179"/>
      <c r="J1513" s="184"/>
      <c r="N1513" s="178"/>
      <c r="O1513" s="178"/>
      <c r="P1513" s="178"/>
      <c r="AN1513" s="458"/>
    </row>
    <row r="1514" spans="2:40" ht="15.75" customHeight="1">
      <c r="B1514" s="175"/>
      <c r="H1514" s="178"/>
      <c r="I1514" s="179"/>
      <c r="J1514" s="184"/>
      <c r="N1514" s="178"/>
      <c r="O1514" s="178"/>
      <c r="P1514" s="178"/>
      <c r="AN1514" s="458"/>
    </row>
    <row r="1515" spans="2:40" ht="15.75" customHeight="1">
      <c r="B1515" s="175"/>
      <c r="H1515" s="178"/>
      <c r="I1515" s="179"/>
      <c r="J1515" s="184"/>
      <c r="N1515" s="178"/>
      <c r="O1515" s="178"/>
      <c r="P1515" s="178"/>
      <c r="AN1515" s="458"/>
    </row>
    <row r="1516" spans="2:40" ht="15.75" customHeight="1">
      <c r="B1516" s="175"/>
      <c r="H1516" s="178"/>
      <c r="I1516" s="179"/>
      <c r="J1516" s="184"/>
      <c r="N1516" s="178"/>
      <c r="O1516" s="178"/>
      <c r="P1516" s="178"/>
      <c r="AN1516" s="458"/>
    </row>
    <row r="1517" spans="2:40" ht="15.75" customHeight="1">
      <c r="B1517" s="175"/>
      <c r="H1517" s="178"/>
      <c r="N1517" s="178"/>
      <c r="O1517" s="178"/>
      <c r="P1517" s="178"/>
      <c r="AN1517" s="458"/>
    </row>
    <row r="1518" spans="2:40" ht="15.75" customHeight="1">
      <c r="B1518" s="175"/>
      <c r="H1518" s="178"/>
      <c r="N1518" s="178"/>
      <c r="O1518" s="178"/>
      <c r="P1518" s="178"/>
      <c r="AN1518" s="458"/>
    </row>
    <row r="1519" spans="2:40" ht="15.75" customHeight="1">
      <c r="B1519" s="175"/>
      <c r="H1519" s="178"/>
      <c r="I1519" s="179"/>
      <c r="J1519" s="184"/>
      <c r="N1519" s="178"/>
      <c r="O1519" s="178"/>
      <c r="P1519" s="178"/>
      <c r="AN1519" s="458"/>
    </row>
    <row r="1520" spans="2:40" ht="15.75" customHeight="1">
      <c r="B1520" s="175"/>
      <c r="H1520" s="178"/>
      <c r="I1520" s="179"/>
      <c r="J1520" s="184"/>
      <c r="N1520" s="178"/>
      <c r="O1520" s="178"/>
      <c r="P1520" s="178"/>
      <c r="AN1520" s="458"/>
    </row>
    <row r="1521" spans="2:40" ht="15.75" customHeight="1">
      <c r="B1521" s="175"/>
      <c r="H1521" s="178"/>
      <c r="I1521" s="179"/>
      <c r="J1521" s="184"/>
      <c r="N1521" s="178"/>
      <c r="O1521" s="178"/>
      <c r="P1521" s="178"/>
      <c r="AN1521" s="458"/>
    </row>
    <row r="1522" spans="2:40" ht="15.75" customHeight="1">
      <c r="B1522" s="175"/>
      <c r="H1522" s="178"/>
      <c r="I1522" s="179"/>
      <c r="J1522" s="184"/>
      <c r="N1522" s="178"/>
      <c r="O1522" s="178"/>
      <c r="P1522" s="178"/>
      <c r="AN1522" s="458"/>
    </row>
    <row r="1523" spans="2:40" ht="15.75" customHeight="1">
      <c r="B1523" s="175"/>
      <c r="H1523" s="178"/>
      <c r="I1523" s="179"/>
      <c r="J1523" s="184"/>
      <c r="N1523" s="178"/>
      <c r="O1523" s="178"/>
      <c r="P1523" s="178"/>
      <c r="AN1523" s="458"/>
    </row>
    <row r="1524" spans="2:40" ht="15.75" customHeight="1">
      <c r="B1524" s="175"/>
      <c r="H1524" s="178"/>
      <c r="I1524" s="179"/>
      <c r="J1524" s="184"/>
      <c r="N1524" s="178"/>
      <c r="O1524" s="178"/>
      <c r="P1524" s="178"/>
      <c r="AN1524" s="458"/>
    </row>
    <row r="1525" spans="2:40" ht="15.75" customHeight="1">
      <c r="B1525" s="175"/>
      <c r="H1525" s="178"/>
      <c r="I1525" s="179"/>
      <c r="J1525" s="184"/>
      <c r="N1525" s="178"/>
      <c r="O1525" s="178"/>
      <c r="P1525" s="178"/>
      <c r="AN1525" s="458"/>
    </row>
    <row r="1526" spans="2:40" ht="15.75" customHeight="1">
      <c r="B1526" s="175"/>
      <c r="H1526" s="178"/>
      <c r="I1526" s="179"/>
      <c r="J1526" s="184"/>
      <c r="N1526" s="178"/>
      <c r="O1526" s="178"/>
      <c r="P1526" s="178"/>
      <c r="AN1526" s="458"/>
    </row>
    <row r="1527" spans="2:40" ht="15.75" customHeight="1">
      <c r="B1527" s="175"/>
      <c r="H1527" s="178"/>
      <c r="I1527" s="179"/>
      <c r="J1527" s="184"/>
      <c r="N1527" s="178"/>
      <c r="O1527" s="178"/>
      <c r="P1527" s="178"/>
      <c r="AN1527" s="458"/>
    </row>
    <row r="1528" spans="2:40" ht="15.75" customHeight="1">
      <c r="B1528" s="175"/>
      <c r="H1528" s="178"/>
      <c r="I1528" s="179"/>
      <c r="J1528" s="184"/>
      <c r="N1528" s="178"/>
      <c r="O1528" s="178"/>
      <c r="P1528" s="178"/>
      <c r="AN1528" s="458"/>
    </row>
    <row r="1529" spans="2:40" ht="15.75" customHeight="1">
      <c r="B1529" s="175"/>
      <c r="H1529" s="178"/>
      <c r="I1529" s="179"/>
      <c r="J1529" s="184"/>
      <c r="N1529" s="178"/>
      <c r="O1529" s="178"/>
      <c r="P1529" s="178"/>
      <c r="AN1529" s="458"/>
    </row>
    <row r="1530" spans="2:40" ht="15.75" customHeight="1">
      <c r="B1530" s="175"/>
      <c r="H1530" s="178"/>
      <c r="I1530" s="179"/>
      <c r="J1530" s="184"/>
      <c r="N1530" s="178"/>
      <c r="O1530" s="178"/>
      <c r="P1530" s="178"/>
      <c r="AN1530" s="458"/>
    </row>
    <row r="1531" spans="2:40" ht="15.75" customHeight="1">
      <c r="B1531" s="175"/>
      <c r="H1531" s="178"/>
      <c r="I1531" s="179"/>
      <c r="J1531" s="184"/>
      <c r="N1531" s="178"/>
      <c r="O1531" s="178"/>
      <c r="P1531" s="178"/>
      <c r="AN1531" s="458"/>
    </row>
    <row r="1532" spans="2:40" ht="15.75" customHeight="1">
      <c r="B1532" s="175"/>
      <c r="H1532" s="178"/>
      <c r="I1532" s="179"/>
      <c r="J1532" s="184"/>
      <c r="N1532" s="178"/>
      <c r="O1532" s="178"/>
      <c r="P1532" s="178"/>
      <c r="AN1532" s="458"/>
    </row>
    <row r="1533" spans="2:40" ht="15.75" customHeight="1">
      <c r="B1533" s="175"/>
      <c r="H1533" s="178"/>
      <c r="I1533" s="179"/>
      <c r="J1533" s="184"/>
      <c r="N1533" s="178"/>
      <c r="O1533" s="178"/>
      <c r="P1533" s="178"/>
      <c r="AN1533" s="458"/>
    </row>
    <row r="1534" spans="2:40" ht="15.75" customHeight="1">
      <c r="B1534" s="175"/>
      <c r="H1534" s="178"/>
      <c r="I1534" s="179"/>
      <c r="J1534" s="184"/>
      <c r="N1534" s="178"/>
      <c r="O1534" s="178"/>
      <c r="P1534" s="178"/>
      <c r="AN1534" s="458"/>
    </row>
    <row r="1535" spans="2:40" ht="15.75" customHeight="1">
      <c r="B1535" s="175"/>
      <c r="H1535" s="178"/>
      <c r="I1535" s="179"/>
      <c r="J1535" s="184"/>
      <c r="N1535" s="178"/>
      <c r="O1535" s="178"/>
      <c r="P1535" s="178"/>
      <c r="AN1535" s="458"/>
    </row>
    <row r="1536" spans="2:40" ht="15.75" customHeight="1">
      <c r="B1536" s="175"/>
      <c r="H1536" s="178"/>
      <c r="I1536" s="179"/>
      <c r="J1536" s="184"/>
      <c r="N1536" s="178"/>
      <c r="O1536" s="178"/>
      <c r="P1536" s="178"/>
      <c r="AN1536" s="458"/>
    </row>
    <row r="1537" spans="2:40" ht="15.75" customHeight="1">
      <c r="B1537" s="175"/>
      <c r="H1537" s="178"/>
      <c r="I1537" s="179"/>
      <c r="J1537" s="184"/>
      <c r="N1537" s="178"/>
      <c r="O1537" s="178"/>
      <c r="P1537" s="178"/>
      <c r="AN1537" s="458"/>
    </row>
    <row r="1538" spans="2:40" ht="15.75" customHeight="1">
      <c r="B1538" s="175"/>
      <c r="H1538" s="178"/>
      <c r="I1538" s="179"/>
      <c r="J1538" s="184"/>
      <c r="N1538" s="178"/>
      <c r="O1538" s="178"/>
      <c r="P1538" s="178"/>
      <c r="AN1538" s="458"/>
    </row>
    <row r="1539" spans="2:40" ht="15.75" customHeight="1">
      <c r="B1539" s="175"/>
      <c r="H1539" s="178"/>
      <c r="I1539" s="179"/>
      <c r="J1539" s="184"/>
      <c r="N1539" s="178"/>
      <c r="O1539" s="178"/>
      <c r="P1539" s="178"/>
      <c r="AN1539" s="458"/>
    </row>
    <row r="1540" spans="2:40" ht="15.75" customHeight="1">
      <c r="B1540" s="175"/>
      <c r="H1540" s="178"/>
      <c r="I1540" s="179"/>
      <c r="J1540" s="184"/>
      <c r="N1540" s="178"/>
      <c r="O1540" s="178"/>
      <c r="P1540" s="178"/>
      <c r="AN1540" s="458"/>
    </row>
    <row r="1541" spans="2:40" ht="15.75" customHeight="1">
      <c r="B1541" s="175"/>
      <c r="H1541" s="178"/>
      <c r="I1541" s="179"/>
      <c r="J1541" s="184"/>
      <c r="N1541" s="178"/>
      <c r="O1541" s="178"/>
      <c r="P1541" s="178"/>
      <c r="AN1541" s="458"/>
    </row>
    <row r="1542" spans="2:40" ht="15.75" customHeight="1">
      <c r="B1542" s="175"/>
      <c r="H1542" s="178"/>
      <c r="I1542" s="179"/>
      <c r="J1542" s="184"/>
      <c r="N1542" s="178"/>
      <c r="O1542" s="178"/>
      <c r="P1542" s="178"/>
      <c r="AN1542" s="458"/>
    </row>
    <row r="1543" spans="2:40" ht="15.75" customHeight="1">
      <c r="B1543" s="175"/>
      <c r="H1543" s="178"/>
      <c r="I1543" s="179"/>
      <c r="J1543" s="184"/>
      <c r="N1543" s="178"/>
      <c r="O1543" s="178"/>
      <c r="P1543" s="178"/>
      <c r="AN1543" s="458"/>
    </row>
    <row r="1544" spans="2:40" ht="15.75" customHeight="1">
      <c r="B1544" s="175"/>
      <c r="H1544" s="178"/>
      <c r="I1544" s="179"/>
      <c r="J1544" s="184"/>
      <c r="N1544" s="178"/>
      <c r="O1544" s="178"/>
      <c r="P1544" s="178"/>
      <c r="AN1544" s="458"/>
    </row>
    <row r="1545" spans="2:40" ht="15.75" customHeight="1">
      <c r="B1545" s="175"/>
      <c r="H1545" s="178"/>
      <c r="I1545" s="179"/>
      <c r="J1545" s="184"/>
      <c r="N1545" s="178"/>
      <c r="O1545" s="178"/>
      <c r="P1545" s="178"/>
      <c r="AN1545" s="458"/>
    </row>
    <row r="1546" spans="2:40" ht="15.75" customHeight="1">
      <c r="B1546" s="175"/>
      <c r="H1546" s="178"/>
      <c r="I1546" s="179"/>
      <c r="J1546" s="184"/>
      <c r="N1546" s="178"/>
      <c r="O1546" s="178"/>
      <c r="P1546" s="178"/>
      <c r="AN1546" s="458"/>
    </row>
    <row r="1547" spans="2:40" ht="15.75" customHeight="1">
      <c r="B1547" s="175"/>
      <c r="H1547" s="178"/>
      <c r="I1547" s="179"/>
      <c r="J1547" s="184"/>
      <c r="N1547" s="178"/>
      <c r="O1547" s="178"/>
      <c r="P1547" s="178"/>
      <c r="AN1547" s="458"/>
    </row>
    <row r="1548" spans="2:40" ht="15.75" customHeight="1">
      <c r="B1548" s="175"/>
      <c r="H1548" s="178"/>
      <c r="I1548" s="179"/>
      <c r="J1548" s="184"/>
      <c r="N1548" s="178"/>
      <c r="O1548" s="178"/>
      <c r="P1548" s="178"/>
      <c r="AN1548" s="458"/>
    </row>
    <row r="1549" spans="2:40" ht="15.75" customHeight="1">
      <c r="B1549" s="175"/>
      <c r="H1549" s="178"/>
      <c r="I1549" s="179"/>
      <c r="J1549" s="184"/>
      <c r="N1549" s="178"/>
      <c r="O1549" s="178"/>
      <c r="P1549" s="178"/>
      <c r="AN1549" s="458"/>
    </row>
    <row r="1550" spans="2:40" ht="15.75" customHeight="1">
      <c r="B1550" s="175"/>
      <c r="H1550" s="178"/>
      <c r="I1550" s="179"/>
      <c r="J1550" s="184"/>
      <c r="N1550" s="178"/>
      <c r="O1550" s="178"/>
      <c r="P1550" s="178"/>
      <c r="AN1550" s="458"/>
    </row>
    <row r="1551" spans="2:40" ht="15.75" customHeight="1">
      <c r="B1551" s="175"/>
      <c r="H1551" s="178"/>
      <c r="I1551" s="179"/>
      <c r="J1551" s="184"/>
      <c r="N1551" s="178"/>
      <c r="O1551" s="178"/>
      <c r="P1551" s="178"/>
      <c r="AN1551" s="458"/>
    </row>
    <row r="1552" spans="2:40" ht="15.75" customHeight="1">
      <c r="B1552" s="175"/>
      <c r="H1552" s="178"/>
      <c r="I1552" s="179"/>
      <c r="J1552" s="184"/>
      <c r="N1552" s="178"/>
      <c r="O1552" s="178"/>
      <c r="P1552" s="178"/>
      <c r="AN1552" s="458"/>
    </row>
    <row r="1553" spans="2:40" ht="15.75" customHeight="1">
      <c r="B1553" s="175"/>
      <c r="H1553" s="178"/>
      <c r="I1553" s="179"/>
      <c r="J1553" s="184"/>
      <c r="N1553" s="178"/>
      <c r="O1553" s="178"/>
      <c r="P1553" s="178"/>
      <c r="AN1553" s="458"/>
    </row>
    <row r="1554" spans="2:40" ht="15.75" customHeight="1">
      <c r="B1554" s="175"/>
      <c r="H1554" s="178"/>
      <c r="I1554" s="179"/>
      <c r="J1554" s="184"/>
      <c r="N1554" s="178"/>
      <c r="O1554" s="178"/>
      <c r="P1554" s="178"/>
      <c r="AN1554" s="458"/>
    </row>
    <row r="1555" spans="2:40" ht="15.75" customHeight="1">
      <c r="B1555" s="175"/>
      <c r="H1555" s="178"/>
      <c r="I1555" s="179"/>
      <c r="J1555" s="184"/>
      <c r="N1555" s="178"/>
      <c r="O1555" s="178"/>
      <c r="P1555" s="178"/>
      <c r="AN1555" s="458"/>
    </row>
    <row r="1556" spans="2:40" ht="15.75" customHeight="1">
      <c r="B1556" s="175"/>
      <c r="H1556" s="178"/>
      <c r="I1556" s="179"/>
      <c r="J1556" s="184"/>
      <c r="N1556" s="178"/>
      <c r="O1556" s="178"/>
      <c r="P1556" s="178"/>
      <c r="AN1556" s="458"/>
    </row>
    <row r="1557" spans="2:40" ht="15.75" customHeight="1">
      <c r="B1557" s="175"/>
      <c r="H1557" s="178"/>
      <c r="I1557" s="179"/>
      <c r="J1557" s="184"/>
      <c r="N1557" s="178"/>
      <c r="O1557" s="178"/>
      <c r="P1557" s="178"/>
      <c r="AN1557" s="458"/>
    </row>
    <row r="1558" spans="2:40" ht="15.75" customHeight="1">
      <c r="B1558" s="175"/>
      <c r="H1558" s="178"/>
      <c r="I1558" s="179"/>
      <c r="J1558" s="184"/>
      <c r="N1558" s="178"/>
      <c r="O1558" s="178"/>
      <c r="P1558" s="178"/>
      <c r="AN1558" s="458"/>
    </row>
    <row r="1559" spans="2:40" ht="15.75" customHeight="1">
      <c r="B1559" s="175"/>
      <c r="H1559" s="178"/>
      <c r="I1559" s="179"/>
      <c r="J1559" s="184"/>
      <c r="N1559" s="178"/>
      <c r="O1559" s="178"/>
      <c r="P1559" s="178"/>
      <c r="AN1559" s="458"/>
    </row>
    <row r="1560" spans="2:40" ht="15.75" customHeight="1">
      <c r="B1560" s="175"/>
      <c r="H1560" s="178"/>
      <c r="I1560" s="179"/>
      <c r="J1560" s="184"/>
      <c r="N1560" s="178"/>
      <c r="O1560" s="178"/>
      <c r="P1560" s="178"/>
      <c r="AN1560" s="458"/>
    </row>
    <row r="1561" spans="2:40" ht="15.75" customHeight="1">
      <c r="B1561" s="175"/>
      <c r="H1561" s="178"/>
      <c r="I1561" s="179"/>
      <c r="J1561" s="184"/>
      <c r="N1561" s="178"/>
      <c r="O1561" s="178"/>
      <c r="P1561" s="178"/>
      <c r="AN1561" s="458"/>
    </row>
    <row r="1562" spans="2:40" ht="15.75" customHeight="1">
      <c r="B1562" s="175"/>
      <c r="H1562" s="178"/>
      <c r="I1562" s="179"/>
      <c r="J1562" s="184"/>
      <c r="N1562" s="178"/>
      <c r="O1562" s="178"/>
      <c r="P1562" s="178"/>
      <c r="AN1562" s="458"/>
    </row>
    <row r="1563" spans="2:40" ht="15.75" customHeight="1">
      <c r="B1563" s="175"/>
      <c r="H1563" s="178"/>
      <c r="I1563" s="179"/>
      <c r="J1563" s="184"/>
      <c r="N1563" s="178"/>
      <c r="O1563" s="178"/>
      <c r="P1563" s="178"/>
      <c r="AN1563" s="458"/>
    </row>
    <row r="1564" spans="2:40" ht="15.75" customHeight="1">
      <c r="B1564" s="175"/>
      <c r="H1564" s="178"/>
      <c r="I1564" s="179"/>
      <c r="J1564" s="184"/>
      <c r="N1564" s="178"/>
      <c r="O1564" s="178"/>
      <c r="P1564" s="178"/>
      <c r="AN1564" s="458"/>
    </row>
    <row r="1565" spans="2:40" ht="15.75" customHeight="1">
      <c r="B1565" s="175"/>
      <c r="H1565" s="178"/>
      <c r="I1565" s="179"/>
      <c r="J1565" s="184"/>
      <c r="N1565" s="178"/>
      <c r="O1565" s="178"/>
      <c r="P1565" s="178"/>
      <c r="AN1565" s="458"/>
    </row>
    <row r="1566" spans="2:40" ht="15.75" customHeight="1">
      <c r="B1566" s="175"/>
      <c r="H1566" s="178"/>
      <c r="I1566" s="179"/>
      <c r="J1566" s="184"/>
      <c r="N1566" s="178"/>
      <c r="O1566" s="178"/>
      <c r="P1566" s="178"/>
      <c r="AN1566" s="458"/>
    </row>
    <row r="1567" spans="2:40" ht="15.75" customHeight="1">
      <c r="B1567" s="175"/>
      <c r="H1567" s="178"/>
      <c r="I1567" s="179"/>
      <c r="J1567" s="184"/>
      <c r="N1567" s="178"/>
      <c r="O1567" s="178"/>
      <c r="P1567" s="178"/>
      <c r="AN1567" s="458"/>
    </row>
    <row r="1568" spans="2:40" ht="15.75" customHeight="1">
      <c r="B1568" s="175"/>
      <c r="H1568" s="178"/>
      <c r="I1568" s="179"/>
      <c r="J1568" s="184"/>
      <c r="N1568" s="178"/>
      <c r="O1568" s="178"/>
      <c r="P1568" s="178"/>
      <c r="AN1568" s="458"/>
    </row>
    <row r="1569" spans="2:40" ht="15.75" customHeight="1">
      <c r="B1569" s="175"/>
      <c r="H1569" s="178"/>
      <c r="I1569" s="179"/>
      <c r="J1569" s="184"/>
      <c r="N1569" s="178"/>
      <c r="O1569" s="178"/>
      <c r="P1569" s="178"/>
      <c r="AN1569" s="458"/>
    </row>
    <row r="1570" spans="2:40" ht="15.75" customHeight="1">
      <c r="B1570" s="175"/>
      <c r="H1570" s="178"/>
      <c r="I1570" s="179"/>
      <c r="J1570" s="184"/>
      <c r="N1570" s="178"/>
      <c r="O1570" s="178"/>
      <c r="P1570" s="178"/>
      <c r="AN1570" s="458"/>
    </row>
    <row r="1571" spans="2:40" ht="15.75" customHeight="1">
      <c r="B1571" s="175"/>
      <c r="H1571" s="178"/>
      <c r="I1571" s="179"/>
      <c r="J1571" s="184"/>
      <c r="N1571" s="178"/>
      <c r="O1571" s="178"/>
      <c r="P1571" s="178"/>
      <c r="AN1571" s="458"/>
    </row>
    <row r="1572" spans="2:40" ht="15.75" customHeight="1">
      <c r="B1572" s="175"/>
      <c r="H1572" s="178"/>
      <c r="I1572" s="179"/>
      <c r="J1572" s="184"/>
      <c r="N1572" s="178"/>
      <c r="O1572" s="178"/>
      <c r="P1572" s="178"/>
      <c r="AN1572" s="458"/>
    </row>
    <row r="1573" spans="2:40" ht="15.75" customHeight="1">
      <c r="B1573" s="175"/>
      <c r="H1573" s="178"/>
      <c r="I1573" s="179"/>
      <c r="J1573" s="184"/>
      <c r="N1573" s="178"/>
      <c r="O1573" s="178"/>
      <c r="P1573" s="178"/>
      <c r="AN1573" s="458"/>
    </row>
    <row r="1574" spans="2:40" ht="15.75" customHeight="1">
      <c r="B1574" s="175"/>
      <c r="H1574" s="178"/>
      <c r="I1574" s="179"/>
      <c r="J1574" s="184"/>
      <c r="N1574" s="178"/>
      <c r="O1574" s="178"/>
      <c r="P1574" s="178"/>
      <c r="AN1574" s="458"/>
    </row>
    <row r="1575" spans="2:40" ht="15.75" customHeight="1">
      <c r="B1575" s="175"/>
      <c r="H1575" s="178"/>
      <c r="I1575" s="179"/>
      <c r="J1575" s="184"/>
      <c r="N1575" s="178"/>
      <c r="O1575" s="178"/>
      <c r="P1575" s="178"/>
      <c r="AN1575" s="458"/>
    </row>
    <row r="1576" spans="2:40" ht="15.75" customHeight="1">
      <c r="B1576" s="175"/>
      <c r="H1576" s="178"/>
      <c r="I1576" s="179"/>
      <c r="J1576" s="184"/>
      <c r="N1576" s="178"/>
      <c r="O1576" s="178"/>
      <c r="P1576" s="178"/>
      <c r="AN1576" s="458"/>
    </row>
    <row r="1577" spans="2:40" ht="15.75" customHeight="1">
      <c r="B1577" s="175"/>
      <c r="H1577" s="178"/>
      <c r="I1577" s="179"/>
      <c r="J1577" s="184"/>
      <c r="N1577" s="178"/>
      <c r="O1577" s="178"/>
      <c r="P1577" s="178"/>
      <c r="AN1577" s="458"/>
    </row>
    <row r="1578" spans="2:40" ht="15.75" customHeight="1">
      <c r="B1578" s="175"/>
      <c r="H1578" s="178"/>
      <c r="I1578" s="179"/>
      <c r="J1578" s="184"/>
      <c r="N1578" s="178"/>
      <c r="O1578" s="178"/>
      <c r="P1578" s="178"/>
      <c r="AN1578" s="458"/>
    </row>
    <row r="1579" spans="2:40" ht="15.75" customHeight="1">
      <c r="B1579" s="175"/>
      <c r="H1579" s="178"/>
      <c r="I1579" s="179"/>
      <c r="J1579" s="184"/>
      <c r="N1579" s="178"/>
      <c r="O1579" s="178"/>
      <c r="P1579" s="178"/>
      <c r="AN1579" s="458"/>
    </row>
    <row r="1580" spans="2:40" ht="15.75" customHeight="1">
      <c r="B1580" s="175"/>
      <c r="H1580" s="178"/>
      <c r="I1580" s="179"/>
      <c r="J1580" s="184"/>
      <c r="N1580" s="178"/>
      <c r="O1580" s="178"/>
      <c r="P1580" s="178"/>
      <c r="AN1580" s="458"/>
    </row>
    <row r="1581" spans="2:40" ht="15.75" customHeight="1">
      <c r="B1581" s="175"/>
      <c r="H1581" s="178"/>
      <c r="I1581" s="179"/>
      <c r="J1581" s="184"/>
      <c r="N1581" s="178"/>
      <c r="O1581" s="178"/>
      <c r="P1581" s="178"/>
      <c r="AN1581" s="458"/>
    </row>
    <row r="1582" spans="2:40" ht="15.75" customHeight="1">
      <c r="B1582" s="175"/>
      <c r="H1582" s="178"/>
      <c r="I1582" s="179"/>
      <c r="J1582" s="184"/>
      <c r="N1582" s="178"/>
      <c r="O1582" s="178"/>
      <c r="P1582" s="178"/>
      <c r="AN1582" s="458"/>
    </row>
    <row r="1583" spans="2:40" ht="15.75" customHeight="1">
      <c r="B1583" s="175"/>
      <c r="H1583" s="178"/>
      <c r="I1583" s="179"/>
      <c r="J1583" s="184"/>
      <c r="N1583" s="178"/>
      <c r="O1583" s="178"/>
      <c r="P1583" s="178"/>
      <c r="AN1583" s="458"/>
    </row>
    <row r="1584" spans="2:40" ht="15.75" customHeight="1">
      <c r="B1584" s="175"/>
      <c r="H1584" s="178"/>
      <c r="I1584" s="179"/>
      <c r="J1584" s="184"/>
      <c r="N1584" s="178"/>
      <c r="O1584" s="178"/>
      <c r="P1584" s="178"/>
      <c r="AN1584" s="458"/>
    </row>
    <row r="1585" spans="2:40" ht="15.75" customHeight="1">
      <c r="B1585" s="175"/>
      <c r="H1585" s="178"/>
      <c r="I1585" s="179"/>
      <c r="J1585" s="184"/>
      <c r="N1585" s="178"/>
      <c r="O1585" s="178"/>
      <c r="P1585" s="178"/>
      <c r="AN1585" s="458"/>
    </row>
    <row r="1586" spans="2:40" ht="15.75" customHeight="1">
      <c r="B1586" s="175"/>
      <c r="H1586" s="178"/>
      <c r="I1586" s="179"/>
      <c r="J1586" s="184"/>
      <c r="N1586" s="178"/>
      <c r="O1586" s="178"/>
      <c r="P1586" s="178"/>
      <c r="AN1586" s="458"/>
    </row>
    <row r="1587" spans="2:40" ht="15.75" customHeight="1">
      <c r="B1587" s="175"/>
      <c r="H1587" s="178"/>
      <c r="I1587" s="179"/>
      <c r="J1587" s="184"/>
      <c r="N1587" s="178"/>
      <c r="O1587" s="178"/>
      <c r="P1587" s="178"/>
      <c r="AN1587" s="458"/>
    </row>
    <row r="1588" spans="2:40" ht="15.75" customHeight="1">
      <c r="B1588" s="175"/>
      <c r="H1588" s="178"/>
      <c r="I1588" s="179"/>
      <c r="J1588" s="184"/>
      <c r="N1588" s="178"/>
      <c r="O1588" s="178"/>
      <c r="P1588" s="178"/>
      <c r="AN1588" s="458"/>
    </row>
    <row r="1589" spans="2:40" ht="15.75" customHeight="1">
      <c r="B1589" s="175"/>
      <c r="H1589" s="178"/>
      <c r="I1589" s="179"/>
      <c r="J1589" s="184"/>
      <c r="N1589" s="178"/>
      <c r="O1589" s="178"/>
      <c r="P1589" s="178"/>
      <c r="AN1589" s="458"/>
    </row>
    <row r="1590" spans="2:40" ht="15.75" customHeight="1">
      <c r="B1590" s="175"/>
      <c r="H1590" s="178"/>
      <c r="I1590" s="179"/>
      <c r="J1590" s="184"/>
      <c r="N1590" s="178"/>
      <c r="O1590" s="178"/>
      <c r="P1590" s="178"/>
      <c r="AN1590" s="458"/>
    </row>
    <row r="1591" spans="2:40" ht="15.75" customHeight="1">
      <c r="B1591" s="175"/>
      <c r="H1591" s="178"/>
      <c r="I1591" s="179"/>
      <c r="J1591" s="184"/>
      <c r="N1591" s="178"/>
      <c r="O1591" s="178"/>
      <c r="P1591" s="178"/>
      <c r="AN1591" s="458"/>
    </row>
    <row r="1592" spans="2:40" ht="15.75" customHeight="1">
      <c r="B1592" s="175"/>
      <c r="H1592" s="178"/>
      <c r="I1592" s="179"/>
      <c r="J1592" s="184"/>
      <c r="N1592" s="178"/>
      <c r="O1592" s="178"/>
      <c r="P1592" s="178"/>
      <c r="AN1592" s="458"/>
    </row>
    <row r="1593" spans="2:40" ht="15.75" customHeight="1">
      <c r="B1593" s="175"/>
      <c r="H1593" s="178"/>
      <c r="I1593" s="179"/>
      <c r="J1593" s="184"/>
      <c r="N1593" s="178"/>
      <c r="O1593" s="178"/>
      <c r="P1593" s="178"/>
      <c r="AN1593" s="458"/>
    </row>
    <row r="1594" spans="2:40" ht="15.75" customHeight="1">
      <c r="B1594" s="175"/>
      <c r="H1594" s="178"/>
      <c r="I1594" s="179"/>
      <c r="J1594" s="184"/>
      <c r="N1594" s="178"/>
      <c r="O1594" s="178"/>
      <c r="P1594" s="178"/>
      <c r="AN1594" s="458"/>
    </row>
    <row r="1595" spans="2:40" ht="15.75" customHeight="1">
      <c r="B1595" s="175"/>
      <c r="H1595" s="178"/>
      <c r="I1595" s="179"/>
      <c r="J1595" s="184"/>
      <c r="N1595" s="178"/>
      <c r="O1595" s="178"/>
      <c r="P1595" s="178"/>
      <c r="AN1595" s="458"/>
    </row>
    <row r="1596" spans="2:40" ht="15.75" customHeight="1">
      <c r="B1596" s="175"/>
      <c r="H1596" s="178"/>
      <c r="I1596" s="179"/>
      <c r="J1596" s="184"/>
      <c r="N1596" s="178"/>
      <c r="O1596" s="178"/>
      <c r="P1596" s="178"/>
      <c r="AN1596" s="458"/>
    </row>
    <row r="1597" spans="2:40" ht="15.75" customHeight="1">
      <c r="B1597" s="175"/>
      <c r="H1597" s="178"/>
      <c r="I1597" s="179"/>
      <c r="J1597" s="184"/>
      <c r="N1597" s="178"/>
      <c r="O1597" s="178"/>
      <c r="P1597" s="178"/>
      <c r="AN1597" s="458"/>
    </row>
    <row r="1598" spans="2:40" ht="15.75" customHeight="1">
      <c r="B1598" s="175"/>
      <c r="H1598" s="178"/>
      <c r="I1598" s="179"/>
      <c r="J1598" s="184"/>
      <c r="N1598" s="178"/>
      <c r="O1598" s="178"/>
      <c r="P1598" s="178"/>
      <c r="AN1598" s="458"/>
    </row>
    <row r="1599" spans="2:40" ht="15.75" customHeight="1">
      <c r="B1599" s="175"/>
      <c r="H1599" s="178"/>
      <c r="I1599" s="179"/>
      <c r="J1599" s="184"/>
      <c r="N1599" s="178"/>
      <c r="O1599" s="178"/>
      <c r="P1599" s="178"/>
      <c r="AN1599" s="458"/>
    </row>
    <row r="1600" spans="2:40" ht="15.75" customHeight="1">
      <c r="B1600" s="175"/>
      <c r="H1600" s="178"/>
      <c r="I1600" s="179"/>
      <c r="J1600" s="184"/>
      <c r="N1600" s="178"/>
      <c r="O1600" s="178"/>
      <c r="P1600" s="178"/>
      <c r="AN1600" s="458"/>
    </row>
    <row r="1601" spans="2:40" ht="15.75" customHeight="1">
      <c r="B1601" s="175"/>
      <c r="H1601" s="178"/>
      <c r="I1601" s="179"/>
      <c r="J1601" s="184"/>
      <c r="N1601" s="178"/>
      <c r="O1601" s="178"/>
      <c r="P1601" s="178"/>
      <c r="AN1601" s="458"/>
    </row>
    <row r="1602" spans="2:40" ht="15.75" customHeight="1">
      <c r="B1602" s="175"/>
      <c r="H1602" s="178"/>
      <c r="I1602" s="179"/>
      <c r="J1602" s="184"/>
      <c r="N1602" s="178"/>
      <c r="O1602" s="178"/>
      <c r="P1602" s="178"/>
      <c r="AN1602" s="458"/>
    </row>
    <row r="1603" spans="2:40" ht="15.75" customHeight="1">
      <c r="B1603" s="175"/>
      <c r="H1603" s="178"/>
      <c r="I1603" s="179"/>
      <c r="J1603" s="184"/>
      <c r="N1603" s="178"/>
      <c r="O1603" s="178"/>
      <c r="P1603" s="178"/>
      <c r="AN1603" s="458"/>
    </row>
    <row r="1604" spans="2:40" ht="15.75" customHeight="1">
      <c r="B1604" s="175"/>
      <c r="H1604" s="178"/>
      <c r="I1604" s="179"/>
      <c r="J1604" s="184"/>
      <c r="N1604" s="178"/>
      <c r="O1604" s="178"/>
      <c r="P1604" s="178"/>
      <c r="AN1604" s="458"/>
    </row>
    <row r="1605" spans="2:40" ht="15.75" customHeight="1">
      <c r="B1605" s="175"/>
      <c r="H1605" s="178"/>
      <c r="I1605" s="179"/>
      <c r="J1605" s="184"/>
      <c r="N1605" s="178"/>
      <c r="O1605" s="178"/>
      <c r="P1605" s="178"/>
      <c r="AN1605" s="458"/>
    </row>
    <row r="1606" spans="2:40" ht="15.75" customHeight="1">
      <c r="B1606" s="175"/>
      <c r="H1606" s="178"/>
      <c r="I1606" s="179"/>
      <c r="J1606" s="184"/>
      <c r="N1606" s="178"/>
      <c r="O1606" s="178"/>
      <c r="P1606" s="178"/>
      <c r="AN1606" s="458"/>
    </row>
    <row r="1607" spans="2:40" ht="15.75" customHeight="1">
      <c r="B1607" s="175"/>
      <c r="H1607" s="178"/>
      <c r="I1607" s="179"/>
      <c r="J1607" s="184"/>
      <c r="N1607" s="178"/>
      <c r="O1607" s="178"/>
      <c r="P1607" s="178"/>
      <c r="AN1607" s="458"/>
    </row>
    <row r="1608" spans="2:40" ht="15.75" customHeight="1">
      <c r="B1608" s="175"/>
      <c r="H1608" s="178"/>
      <c r="I1608" s="179"/>
      <c r="J1608" s="184"/>
      <c r="N1608" s="178"/>
      <c r="O1608" s="178"/>
      <c r="P1608" s="178"/>
      <c r="AN1608" s="458"/>
    </row>
    <row r="1609" spans="2:40" ht="15.75" customHeight="1">
      <c r="B1609" s="175"/>
      <c r="H1609" s="178"/>
      <c r="I1609" s="179"/>
      <c r="J1609" s="184"/>
      <c r="N1609" s="178"/>
      <c r="O1609" s="178"/>
      <c r="P1609" s="178"/>
      <c r="AN1609" s="458"/>
    </row>
    <row r="1610" spans="2:40" ht="15.75" customHeight="1">
      <c r="B1610" s="175"/>
      <c r="H1610" s="178"/>
      <c r="I1610" s="179"/>
      <c r="J1610" s="184"/>
      <c r="N1610" s="178"/>
      <c r="O1610" s="178"/>
      <c r="P1610" s="178"/>
      <c r="AN1610" s="458"/>
    </row>
    <row r="1611" spans="2:40" ht="15.75" customHeight="1">
      <c r="B1611" s="175"/>
      <c r="H1611" s="178"/>
      <c r="I1611" s="179"/>
      <c r="J1611" s="184"/>
      <c r="N1611" s="178"/>
      <c r="O1611" s="178"/>
      <c r="P1611" s="178"/>
      <c r="AN1611" s="458"/>
    </row>
    <row r="1612" spans="2:40" ht="15.75" customHeight="1">
      <c r="B1612" s="175"/>
      <c r="H1612" s="178"/>
      <c r="I1612" s="179"/>
      <c r="J1612" s="184"/>
      <c r="N1612" s="178"/>
      <c r="O1612" s="178"/>
      <c r="P1612" s="178"/>
      <c r="AN1612" s="458"/>
    </row>
    <row r="1613" spans="2:40" ht="15.75" customHeight="1">
      <c r="B1613" s="175"/>
      <c r="H1613" s="178"/>
      <c r="I1613" s="179"/>
      <c r="J1613" s="184"/>
      <c r="N1613" s="178"/>
      <c r="O1613" s="178"/>
      <c r="P1613" s="178"/>
      <c r="AN1613" s="458"/>
    </row>
    <row r="1614" spans="2:40" ht="15.75" customHeight="1">
      <c r="B1614" s="175"/>
      <c r="H1614" s="178"/>
      <c r="I1614" s="179"/>
      <c r="J1614" s="184"/>
      <c r="N1614" s="178"/>
      <c r="O1614" s="178"/>
      <c r="P1614" s="178"/>
      <c r="AN1614" s="458"/>
    </row>
    <row r="1615" spans="2:40" ht="15.75" customHeight="1">
      <c r="B1615" s="175"/>
      <c r="H1615" s="178"/>
      <c r="I1615" s="179"/>
      <c r="J1615" s="184"/>
      <c r="N1615" s="178"/>
      <c r="O1615" s="178"/>
      <c r="P1615" s="178"/>
      <c r="AN1615" s="458"/>
    </row>
    <row r="1616" spans="2:40" ht="15.75" customHeight="1">
      <c r="B1616" s="175"/>
      <c r="H1616" s="178"/>
      <c r="I1616" s="179"/>
      <c r="J1616" s="184"/>
      <c r="N1616" s="178"/>
      <c r="O1616" s="178"/>
      <c r="P1616" s="178"/>
      <c r="AN1616" s="458"/>
    </row>
    <row r="1617" spans="2:40" ht="15.75" customHeight="1">
      <c r="B1617" s="175"/>
      <c r="H1617" s="178"/>
      <c r="I1617" s="179"/>
      <c r="J1617" s="184"/>
      <c r="N1617" s="178"/>
      <c r="O1617" s="178"/>
      <c r="P1617" s="178"/>
      <c r="AN1617" s="458"/>
    </row>
    <row r="1618" spans="2:40" ht="15.75" customHeight="1">
      <c r="B1618" s="175"/>
      <c r="H1618" s="178"/>
      <c r="I1618" s="179"/>
      <c r="J1618" s="184"/>
      <c r="N1618" s="178"/>
      <c r="O1618" s="178"/>
      <c r="P1618" s="178"/>
      <c r="AN1618" s="458"/>
    </row>
    <row r="1619" spans="2:40" ht="15.75" customHeight="1">
      <c r="B1619" s="175"/>
      <c r="H1619" s="178"/>
      <c r="I1619" s="179"/>
      <c r="J1619" s="184"/>
      <c r="N1619" s="178"/>
      <c r="O1619" s="178"/>
      <c r="P1619" s="178"/>
      <c r="AN1619" s="458"/>
    </row>
    <row r="1620" spans="2:40" ht="15.75" customHeight="1">
      <c r="B1620" s="175"/>
      <c r="H1620" s="178"/>
      <c r="I1620" s="179"/>
      <c r="J1620" s="184"/>
      <c r="N1620" s="178"/>
      <c r="O1620" s="178"/>
      <c r="P1620" s="178"/>
      <c r="AN1620" s="458"/>
    </row>
    <row r="1621" spans="2:40" ht="15.75" customHeight="1">
      <c r="B1621" s="175"/>
      <c r="H1621" s="178"/>
      <c r="I1621" s="179"/>
      <c r="J1621" s="184"/>
      <c r="N1621" s="178"/>
      <c r="P1621" s="178"/>
      <c r="AN1621" s="458"/>
    </row>
    <row r="1622" spans="2:40" ht="15.75" customHeight="1">
      <c r="B1622" s="175"/>
      <c r="H1622" s="178"/>
      <c r="N1622" s="178"/>
      <c r="P1622" s="178"/>
      <c r="AN1622" s="458"/>
    </row>
    <row r="1623" spans="2:40" ht="15.75" customHeight="1">
      <c r="B1623" s="175"/>
      <c r="H1623" s="178"/>
      <c r="N1623" s="178"/>
      <c r="P1623" s="178"/>
      <c r="AN1623" s="458"/>
    </row>
    <row r="1624" spans="2:40" ht="15.75" customHeight="1">
      <c r="B1624" s="175"/>
      <c r="H1624" s="178"/>
      <c r="N1624" s="178"/>
      <c r="O1624" s="178"/>
      <c r="P1624" s="178"/>
      <c r="AN1624" s="458"/>
    </row>
    <row r="1625" spans="2:40" ht="15.75" customHeight="1">
      <c r="B1625" s="175"/>
      <c r="H1625" s="178"/>
      <c r="I1625" s="179"/>
      <c r="J1625" s="184"/>
      <c r="N1625" s="178"/>
      <c r="O1625" s="178"/>
      <c r="P1625" s="178"/>
      <c r="AN1625" s="458"/>
    </row>
    <row r="1626" spans="2:40" ht="15.75" customHeight="1">
      <c r="B1626" s="175"/>
      <c r="H1626" s="178"/>
      <c r="I1626" s="179"/>
      <c r="J1626" s="184"/>
      <c r="N1626" s="178"/>
      <c r="O1626" s="178"/>
      <c r="P1626" s="178"/>
      <c r="AN1626" s="458"/>
    </row>
    <row r="1627" spans="2:40" ht="15.75" customHeight="1">
      <c r="B1627" s="175"/>
      <c r="H1627" s="178"/>
      <c r="I1627" s="179"/>
      <c r="J1627" s="184"/>
      <c r="N1627" s="178"/>
      <c r="O1627" s="178"/>
      <c r="P1627" s="178"/>
      <c r="AN1627" s="458"/>
    </row>
    <row r="1628" spans="2:40" ht="15.75" customHeight="1">
      <c r="B1628" s="175"/>
      <c r="H1628" s="178"/>
      <c r="I1628" s="179"/>
      <c r="J1628" s="184"/>
      <c r="N1628" s="178"/>
      <c r="O1628" s="178"/>
      <c r="P1628" s="178"/>
      <c r="AN1628" s="458"/>
    </row>
    <row r="1629" spans="2:40" ht="15.75" customHeight="1">
      <c r="B1629" s="175"/>
      <c r="H1629" s="178"/>
      <c r="I1629" s="179"/>
      <c r="J1629" s="184"/>
      <c r="N1629" s="178"/>
      <c r="O1629" s="178"/>
      <c r="P1629" s="178"/>
      <c r="AN1629" s="458"/>
    </row>
    <row r="1630" spans="2:40" ht="15.75" customHeight="1">
      <c r="B1630" s="175"/>
      <c r="H1630" s="178"/>
      <c r="I1630" s="179"/>
      <c r="J1630" s="184"/>
      <c r="N1630" s="178"/>
      <c r="O1630" s="178"/>
      <c r="P1630" s="178"/>
      <c r="AN1630" s="458"/>
    </row>
    <row r="1631" spans="2:40" ht="15.75" customHeight="1">
      <c r="B1631" s="175"/>
      <c r="H1631" s="178"/>
      <c r="I1631" s="179"/>
      <c r="J1631" s="184"/>
      <c r="N1631" s="178"/>
      <c r="O1631" s="178"/>
      <c r="P1631" s="178"/>
      <c r="AN1631" s="458"/>
    </row>
    <row r="1632" spans="2:40" ht="15.75" customHeight="1">
      <c r="B1632" s="175"/>
      <c r="H1632" s="178"/>
      <c r="I1632" s="179"/>
      <c r="J1632" s="184"/>
      <c r="N1632" s="178"/>
      <c r="O1632" s="178"/>
      <c r="P1632" s="178"/>
      <c r="AN1632" s="458"/>
    </row>
    <row r="1633" spans="2:40" ht="15.75" customHeight="1">
      <c r="B1633" s="175"/>
      <c r="H1633" s="178"/>
      <c r="I1633" s="179"/>
      <c r="J1633" s="184"/>
      <c r="N1633" s="178"/>
      <c r="O1633" s="178"/>
      <c r="P1633" s="178"/>
      <c r="AN1633" s="458"/>
    </row>
    <row r="1634" spans="2:40" ht="15.75" customHeight="1">
      <c r="B1634" s="175"/>
      <c r="H1634" s="178"/>
      <c r="I1634" s="179"/>
      <c r="J1634" s="184"/>
      <c r="N1634" s="178"/>
      <c r="O1634" s="178"/>
      <c r="P1634" s="178"/>
      <c r="AN1634" s="458"/>
    </row>
    <row r="1635" spans="2:40" ht="15.75" customHeight="1">
      <c r="B1635" s="175"/>
      <c r="H1635" s="178"/>
      <c r="I1635" s="179"/>
      <c r="J1635" s="184"/>
      <c r="N1635" s="178"/>
      <c r="O1635" s="178"/>
      <c r="P1635" s="178"/>
      <c r="AN1635" s="458"/>
    </row>
    <row r="1636" spans="2:40" ht="15.75" customHeight="1">
      <c r="B1636" s="175"/>
      <c r="H1636" s="178"/>
      <c r="I1636" s="179"/>
      <c r="J1636" s="184"/>
      <c r="N1636" s="178"/>
      <c r="O1636" s="178"/>
      <c r="P1636" s="178"/>
      <c r="AN1636" s="458"/>
    </row>
    <row r="1637" spans="2:40" ht="15.75" customHeight="1">
      <c r="B1637" s="175"/>
      <c r="H1637" s="178"/>
      <c r="I1637" s="179"/>
      <c r="J1637" s="184"/>
      <c r="N1637" s="178"/>
      <c r="O1637" s="178"/>
      <c r="P1637" s="178"/>
      <c r="AN1637" s="458"/>
    </row>
    <row r="1638" spans="2:40" ht="15.75" customHeight="1">
      <c r="B1638" s="175"/>
      <c r="H1638" s="178"/>
      <c r="I1638" s="179"/>
      <c r="J1638" s="184"/>
      <c r="N1638" s="178"/>
      <c r="O1638" s="178"/>
      <c r="P1638" s="178"/>
      <c r="AN1638" s="458"/>
    </row>
    <row r="1639" spans="2:40" ht="15.75" customHeight="1">
      <c r="B1639" s="175"/>
      <c r="H1639" s="178"/>
      <c r="I1639" s="179"/>
      <c r="J1639" s="184"/>
      <c r="N1639" s="178"/>
      <c r="O1639" s="178"/>
      <c r="P1639" s="178"/>
      <c r="AN1639" s="458"/>
    </row>
    <row r="1640" spans="2:40" ht="15.75" customHeight="1">
      <c r="B1640" s="175"/>
      <c r="H1640" s="178"/>
      <c r="I1640" s="179"/>
      <c r="J1640" s="184"/>
      <c r="N1640" s="178"/>
      <c r="O1640" s="178"/>
      <c r="P1640" s="178"/>
      <c r="AN1640" s="458"/>
    </row>
    <row r="1641" spans="2:40" ht="15.75" customHeight="1">
      <c r="B1641" s="175"/>
      <c r="H1641" s="178"/>
      <c r="N1641" s="178"/>
      <c r="O1641" s="178"/>
      <c r="P1641" s="178"/>
      <c r="AN1641" s="458"/>
    </row>
    <row r="1642" spans="2:40" ht="15.75" customHeight="1">
      <c r="B1642" s="175"/>
      <c r="H1642" s="178"/>
      <c r="N1642" s="178"/>
      <c r="O1642" s="178"/>
      <c r="P1642" s="178"/>
      <c r="AN1642" s="458"/>
    </row>
    <row r="1643" spans="2:40" ht="15.75" customHeight="1">
      <c r="B1643" s="175"/>
      <c r="H1643" s="178"/>
      <c r="N1643" s="178"/>
      <c r="O1643" s="178"/>
      <c r="P1643" s="178"/>
      <c r="AN1643" s="458"/>
    </row>
    <row r="1644" spans="2:40" ht="15.75" customHeight="1">
      <c r="B1644" s="175"/>
      <c r="H1644" s="178"/>
      <c r="N1644" s="178"/>
      <c r="O1644" s="178"/>
      <c r="P1644" s="178"/>
      <c r="AN1644" s="458"/>
    </row>
    <row r="1645" spans="2:40" ht="15.75" customHeight="1">
      <c r="B1645" s="175"/>
      <c r="H1645" s="178"/>
      <c r="N1645" s="178"/>
      <c r="O1645" s="178"/>
      <c r="P1645" s="178"/>
      <c r="AN1645" s="458"/>
    </row>
    <row r="1646" spans="2:40" ht="15.75" customHeight="1">
      <c r="B1646" s="175"/>
      <c r="H1646" s="178"/>
      <c r="N1646" s="178"/>
      <c r="O1646" s="178"/>
      <c r="P1646" s="178"/>
      <c r="AN1646" s="458"/>
    </row>
    <row r="1647" spans="2:40" ht="15.75" customHeight="1">
      <c r="B1647" s="175"/>
      <c r="H1647" s="178"/>
      <c r="I1647" s="179"/>
      <c r="J1647" s="184"/>
      <c r="N1647" s="178"/>
      <c r="O1647" s="178"/>
      <c r="P1647" s="178"/>
      <c r="AN1647" s="458"/>
    </row>
    <row r="1648" spans="2:40" ht="15.75" customHeight="1">
      <c r="B1648" s="175"/>
      <c r="H1648" s="178"/>
      <c r="I1648" s="179"/>
      <c r="J1648" s="184"/>
      <c r="N1648" s="178"/>
      <c r="O1648" s="178"/>
      <c r="P1648" s="178"/>
      <c r="AN1648" s="458"/>
    </row>
    <row r="1649" spans="2:40" ht="15.75" customHeight="1">
      <c r="B1649" s="175"/>
      <c r="H1649" s="178"/>
      <c r="I1649" s="179"/>
      <c r="J1649" s="184"/>
      <c r="N1649" s="178"/>
      <c r="O1649" s="178"/>
      <c r="P1649" s="178"/>
      <c r="AN1649" s="458"/>
    </row>
    <row r="1650" spans="2:40" ht="15.75" customHeight="1">
      <c r="B1650" s="175"/>
      <c r="H1650" s="178"/>
      <c r="I1650" s="179"/>
      <c r="J1650" s="184"/>
      <c r="N1650" s="178"/>
      <c r="O1650" s="178"/>
      <c r="P1650" s="178"/>
      <c r="AN1650" s="458"/>
    </row>
    <row r="1651" spans="2:40" ht="15.75" customHeight="1">
      <c r="B1651" s="175"/>
      <c r="H1651" s="178"/>
      <c r="I1651" s="179"/>
      <c r="J1651" s="184"/>
      <c r="N1651" s="178"/>
      <c r="O1651" s="178"/>
      <c r="P1651" s="178"/>
      <c r="AN1651" s="458"/>
    </row>
    <row r="1652" spans="2:40" ht="15.75" customHeight="1">
      <c r="B1652" s="175"/>
      <c r="H1652" s="178"/>
      <c r="I1652" s="179"/>
      <c r="J1652" s="184"/>
      <c r="N1652" s="178"/>
      <c r="O1652" s="178"/>
      <c r="P1652" s="178"/>
      <c r="AN1652" s="458"/>
    </row>
    <row r="1653" spans="2:40" ht="15.75" customHeight="1">
      <c r="B1653" s="175"/>
      <c r="H1653" s="178"/>
      <c r="I1653" s="179"/>
      <c r="J1653" s="184"/>
      <c r="N1653" s="178"/>
      <c r="O1653" s="178"/>
      <c r="P1653" s="178"/>
      <c r="AN1653" s="458"/>
    </row>
    <row r="1654" spans="2:40" ht="15.75" customHeight="1">
      <c r="B1654" s="175"/>
      <c r="H1654" s="178"/>
      <c r="I1654" s="179"/>
      <c r="J1654" s="184"/>
      <c r="N1654" s="178"/>
      <c r="O1654" s="178"/>
      <c r="P1654" s="178"/>
      <c r="AN1654" s="458"/>
    </row>
    <row r="1655" spans="2:40" ht="15.75" customHeight="1">
      <c r="B1655" s="175"/>
      <c r="H1655" s="178"/>
      <c r="I1655" s="179"/>
      <c r="J1655" s="184"/>
      <c r="N1655" s="178"/>
      <c r="O1655" s="178"/>
      <c r="P1655" s="178"/>
      <c r="AN1655" s="458"/>
    </row>
    <row r="1656" spans="2:40" ht="15.75" customHeight="1">
      <c r="B1656" s="175"/>
      <c r="H1656" s="178"/>
      <c r="I1656" s="179"/>
      <c r="J1656" s="184"/>
      <c r="N1656" s="178"/>
      <c r="O1656" s="178"/>
      <c r="P1656" s="178"/>
      <c r="AN1656" s="458"/>
    </row>
    <row r="1657" spans="2:40" ht="15.75" customHeight="1">
      <c r="B1657" s="175"/>
      <c r="H1657" s="178"/>
      <c r="I1657" s="179"/>
      <c r="J1657" s="184"/>
      <c r="N1657" s="178"/>
      <c r="O1657" s="178"/>
      <c r="P1657" s="178"/>
      <c r="AN1657" s="458"/>
    </row>
    <row r="1658" spans="2:40" ht="15.75" customHeight="1">
      <c r="B1658" s="175"/>
      <c r="H1658" s="178"/>
      <c r="I1658" s="179"/>
      <c r="J1658" s="184"/>
      <c r="N1658" s="178"/>
      <c r="O1658" s="178"/>
      <c r="P1658" s="178"/>
      <c r="AN1658" s="458"/>
    </row>
    <row r="1659" spans="2:40" ht="15.75" customHeight="1">
      <c r="B1659" s="175"/>
      <c r="H1659" s="178"/>
      <c r="I1659" s="179"/>
      <c r="J1659" s="184"/>
      <c r="N1659" s="178"/>
      <c r="P1659" s="178"/>
      <c r="AN1659" s="458"/>
    </row>
    <row r="1660" spans="2:40" ht="15.75" customHeight="1">
      <c r="B1660" s="175"/>
      <c r="H1660" s="178"/>
      <c r="I1660" s="179"/>
      <c r="J1660" s="184"/>
      <c r="N1660" s="178"/>
      <c r="P1660" s="178"/>
      <c r="AN1660" s="458"/>
    </row>
    <row r="1661" spans="2:40" ht="15.75" customHeight="1">
      <c r="B1661" s="175"/>
      <c r="H1661" s="178"/>
      <c r="I1661" s="179"/>
      <c r="J1661" s="184"/>
      <c r="N1661" s="178"/>
      <c r="O1661" s="178"/>
      <c r="P1661" s="178"/>
      <c r="AN1661" s="458"/>
    </row>
    <row r="1662" spans="2:40" ht="15.75" customHeight="1">
      <c r="B1662" s="175"/>
      <c r="H1662" s="178"/>
      <c r="I1662" s="179"/>
      <c r="J1662" s="184"/>
      <c r="N1662" s="178"/>
      <c r="O1662" s="178"/>
      <c r="P1662" s="178"/>
      <c r="AN1662" s="458"/>
    </row>
    <row r="1663" spans="2:40" ht="15.75" customHeight="1">
      <c r="B1663" s="175"/>
      <c r="H1663" s="178"/>
      <c r="I1663" s="179"/>
      <c r="J1663" s="184"/>
      <c r="N1663" s="178"/>
      <c r="O1663" s="178"/>
      <c r="P1663" s="178"/>
      <c r="AN1663" s="458"/>
    </row>
    <row r="1664" spans="2:40" ht="15.75" customHeight="1">
      <c r="B1664" s="175"/>
      <c r="H1664" s="178"/>
      <c r="I1664" s="179"/>
      <c r="J1664" s="184"/>
      <c r="N1664" s="178"/>
      <c r="O1664" s="178"/>
      <c r="P1664" s="178"/>
      <c r="AN1664" s="458"/>
    </row>
    <row r="1665" spans="2:40" ht="15.75" customHeight="1">
      <c r="B1665" s="175"/>
      <c r="H1665" s="178"/>
      <c r="I1665" s="179"/>
      <c r="J1665" s="184"/>
      <c r="N1665" s="178"/>
      <c r="O1665" s="178"/>
      <c r="P1665" s="178"/>
      <c r="AN1665" s="458"/>
    </row>
    <row r="1666" spans="2:40" ht="15.75" customHeight="1">
      <c r="B1666" s="175"/>
      <c r="H1666" s="178"/>
      <c r="I1666" s="179"/>
      <c r="J1666" s="184"/>
      <c r="N1666" s="178"/>
      <c r="O1666" s="178"/>
      <c r="P1666" s="178"/>
      <c r="AN1666" s="458"/>
    </row>
    <row r="1667" spans="2:40" ht="15.75" customHeight="1">
      <c r="B1667" s="175"/>
      <c r="H1667" s="178"/>
      <c r="I1667" s="179"/>
      <c r="J1667" s="184"/>
      <c r="N1667" s="178"/>
      <c r="O1667" s="178"/>
      <c r="P1667" s="178"/>
      <c r="AN1667" s="458"/>
    </row>
    <row r="1668" spans="2:40" ht="15.75" customHeight="1">
      <c r="B1668" s="175"/>
      <c r="H1668" s="178"/>
      <c r="I1668" s="179"/>
      <c r="J1668" s="184"/>
      <c r="N1668" s="178"/>
      <c r="O1668" s="178"/>
      <c r="P1668" s="178"/>
      <c r="AN1668" s="458"/>
    </row>
    <row r="1669" spans="2:40" ht="15.75" customHeight="1">
      <c r="B1669" s="175"/>
      <c r="H1669" s="178"/>
      <c r="I1669" s="179"/>
      <c r="J1669" s="184"/>
      <c r="N1669" s="178"/>
      <c r="O1669" s="178"/>
      <c r="P1669" s="178"/>
      <c r="AN1669" s="458"/>
    </row>
    <row r="1670" spans="2:40" ht="15.75" customHeight="1">
      <c r="B1670" s="175"/>
      <c r="H1670" s="178"/>
      <c r="I1670" s="179"/>
      <c r="J1670" s="184"/>
      <c r="N1670" s="178"/>
      <c r="O1670" s="178"/>
      <c r="P1670" s="178"/>
      <c r="AN1670" s="458"/>
    </row>
    <row r="1671" spans="2:40" ht="15.75" customHeight="1">
      <c r="B1671" s="175"/>
      <c r="H1671" s="178"/>
      <c r="I1671" s="179"/>
      <c r="J1671" s="184"/>
      <c r="N1671" s="178"/>
      <c r="O1671" s="178"/>
      <c r="P1671" s="178"/>
      <c r="AN1671" s="458"/>
    </row>
    <row r="1672" spans="2:40" ht="15.75" customHeight="1">
      <c r="B1672" s="175"/>
      <c r="H1672" s="178"/>
      <c r="I1672" s="179"/>
      <c r="J1672" s="184"/>
      <c r="N1672" s="178"/>
      <c r="O1672" s="178"/>
      <c r="P1672" s="178"/>
      <c r="AN1672" s="458"/>
    </row>
    <row r="1673" spans="2:40" ht="15.75" customHeight="1">
      <c r="B1673" s="175"/>
      <c r="H1673" s="178"/>
      <c r="I1673" s="179"/>
      <c r="J1673" s="184"/>
      <c r="N1673" s="178"/>
      <c r="O1673" s="178"/>
      <c r="P1673" s="178"/>
      <c r="AN1673" s="458"/>
    </row>
    <row r="1674" spans="2:40" ht="15.75" customHeight="1">
      <c r="B1674" s="175"/>
      <c r="H1674" s="178"/>
      <c r="I1674" s="179"/>
      <c r="J1674" s="184"/>
      <c r="N1674" s="178"/>
      <c r="O1674" s="178"/>
      <c r="P1674" s="178"/>
      <c r="AN1674" s="458"/>
    </row>
    <row r="1675" spans="2:40" ht="15.75" customHeight="1">
      <c r="B1675" s="175"/>
      <c r="H1675" s="178"/>
      <c r="I1675" s="179"/>
      <c r="J1675" s="184"/>
      <c r="N1675" s="178"/>
      <c r="O1675" s="178"/>
      <c r="P1675" s="178"/>
      <c r="AN1675" s="458"/>
    </row>
    <row r="1676" spans="2:40" ht="15.75" customHeight="1">
      <c r="B1676" s="175"/>
      <c r="H1676" s="178"/>
      <c r="I1676" s="179"/>
      <c r="J1676" s="184"/>
      <c r="N1676" s="178"/>
      <c r="O1676" s="178"/>
      <c r="P1676" s="178"/>
      <c r="AN1676" s="458"/>
    </row>
    <row r="1677" spans="2:40" ht="15.75" customHeight="1">
      <c r="B1677" s="175"/>
      <c r="H1677" s="178"/>
      <c r="I1677" s="179"/>
      <c r="J1677" s="184"/>
      <c r="N1677" s="178"/>
      <c r="O1677" s="178"/>
      <c r="P1677" s="178"/>
      <c r="AN1677" s="458"/>
    </row>
    <row r="1678" spans="2:40" ht="15.75" customHeight="1">
      <c r="B1678" s="175"/>
      <c r="H1678" s="178"/>
      <c r="I1678" s="179"/>
      <c r="J1678" s="184"/>
      <c r="N1678" s="178"/>
      <c r="O1678" s="178"/>
      <c r="P1678" s="178"/>
      <c r="AN1678" s="458"/>
    </row>
    <row r="1679" spans="2:40" ht="15.75" customHeight="1">
      <c r="B1679" s="175"/>
      <c r="H1679" s="178"/>
      <c r="I1679" s="179"/>
      <c r="J1679" s="184"/>
      <c r="N1679" s="178"/>
      <c r="O1679" s="178"/>
      <c r="P1679" s="178"/>
      <c r="AN1679" s="458"/>
    </row>
    <row r="1680" spans="2:40" ht="15.75" customHeight="1">
      <c r="B1680" s="175"/>
      <c r="H1680" s="178"/>
      <c r="I1680" s="179"/>
      <c r="J1680" s="184"/>
      <c r="N1680" s="178"/>
      <c r="O1680" s="178"/>
      <c r="P1680" s="178"/>
      <c r="AN1680" s="458"/>
    </row>
    <row r="1681" spans="2:40" ht="15.75" customHeight="1">
      <c r="B1681" s="175"/>
      <c r="H1681" s="178"/>
      <c r="I1681" s="179"/>
      <c r="J1681" s="184"/>
      <c r="N1681" s="178"/>
      <c r="O1681" s="178"/>
      <c r="P1681" s="178"/>
      <c r="AN1681" s="458"/>
    </row>
    <row r="1682" spans="2:40" ht="15.75" customHeight="1">
      <c r="B1682" s="175"/>
      <c r="H1682" s="178"/>
      <c r="I1682" s="179"/>
      <c r="J1682" s="184"/>
      <c r="N1682" s="178"/>
      <c r="O1682" s="178"/>
      <c r="P1682" s="178"/>
      <c r="AN1682" s="458"/>
    </row>
    <row r="1683" spans="2:40" ht="15.75" customHeight="1">
      <c r="B1683" s="175"/>
      <c r="H1683" s="178"/>
      <c r="I1683" s="179"/>
      <c r="J1683" s="184"/>
      <c r="N1683" s="178"/>
      <c r="O1683" s="178"/>
      <c r="P1683" s="178"/>
      <c r="AN1683" s="458"/>
    </row>
    <row r="1684" spans="2:40" ht="15.75" customHeight="1">
      <c r="B1684" s="175"/>
      <c r="H1684" s="178"/>
      <c r="I1684" s="179"/>
      <c r="J1684" s="184"/>
      <c r="N1684" s="178"/>
      <c r="O1684" s="178"/>
      <c r="P1684" s="178"/>
      <c r="AN1684" s="458"/>
    </row>
    <row r="1685" spans="2:40" ht="15.75" customHeight="1">
      <c r="B1685" s="175"/>
      <c r="H1685" s="178"/>
      <c r="I1685" s="179"/>
      <c r="J1685" s="184"/>
      <c r="N1685" s="178"/>
      <c r="O1685" s="178"/>
      <c r="P1685" s="178"/>
      <c r="AN1685" s="458"/>
    </row>
    <row r="1686" spans="2:40" ht="15.75" customHeight="1">
      <c r="B1686" s="175"/>
      <c r="H1686" s="178"/>
      <c r="I1686" s="179"/>
      <c r="J1686" s="184"/>
      <c r="N1686" s="178"/>
      <c r="O1686" s="178"/>
      <c r="P1686" s="178"/>
      <c r="AN1686" s="458"/>
    </row>
    <row r="1687" spans="2:40" ht="15.75" customHeight="1">
      <c r="B1687" s="175"/>
      <c r="H1687" s="178"/>
      <c r="I1687" s="179"/>
      <c r="J1687" s="184"/>
      <c r="N1687" s="178"/>
      <c r="O1687" s="178"/>
      <c r="P1687" s="178"/>
      <c r="AN1687" s="458"/>
    </row>
    <row r="1688" spans="2:40" ht="15.75" customHeight="1">
      <c r="B1688" s="175"/>
      <c r="H1688" s="178"/>
      <c r="I1688" s="179"/>
      <c r="J1688" s="184"/>
      <c r="N1688" s="178"/>
      <c r="O1688" s="178"/>
      <c r="P1688" s="178"/>
      <c r="AN1688" s="458"/>
    </row>
    <row r="1689" spans="2:40" ht="15.75" customHeight="1">
      <c r="B1689" s="175"/>
      <c r="H1689" s="178"/>
      <c r="I1689" s="179"/>
      <c r="J1689" s="184"/>
      <c r="N1689" s="178"/>
      <c r="O1689" s="178"/>
      <c r="P1689" s="178"/>
      <c r="AN1689" s="458"/>
    </row>
    <row r="1690" spans="2:40" ht="15.75" customHeight="1">
      <c r="B1690" s="175"/>
      <c r="H1690" s="178"/>
      <c r="I1690" s="179"/>
      <c r="J1690" s="184"/>
      <c r="N1690" s="178"/>
      <c r="O1690" s="178"/>
      <c r="P1690" s="178"/>
      <c r="AN1690" s="458"/>
    </row>
    <row r="1691" spans="2:40" ht="15.75" customHeight="1">
      <c r="B1691" s="175"/>
      <c r="H1691" s="178"/>
      <c r="I1691" s="179"/>
      <c r="J1691" s="184"/>
      <c r="N1691" s="178"/>
      <c r="O1691" s="178"/>
      <c r="P1691" s="178"/>
      <c r="AN1691" s="458"/>
    </row>
    <row r="1692" spans="2:40" ht="15.75" customHeight="1">
      <c r="B1692" s="175"/>
      <c r="H1692" s="178"/>
      <c r="I1692" s="179"/>
      <c r="J1692" s="184"/>
      <c r="N1692" s="178"/>
      <c r="O1692" s="178"/>
      <c r="P1692" s="178"/>
      <c r="AN1692" s="458"/>
    </row>
    <row r="1693" spans="2:40" ht="15.75" customHeight="1">
      <c r="B1693" s="175"/>
      <c r="H1693" s="178"/>
      <c r="I1693" s="179"/>
      <c r="J1693" s="184"/>
      <c r="N1693" s="178"/>
      <c r="O1693" s="178"/>
      <c r="P1693" s="178"/>
      <c r="AN1693" s="458"/>
    </row>
    <row r="1694" spans="2:40" ht="15.75" customHeight="1">
      <c r="B1694" s="175"/>
      <c r="H1694" s="178"/>
      <c r="I1694" s="179"/>
      <c r="J1694" s="184"/>
      <c r="N1694" s="178"/>
      <c r="O1694" s="178"/>
      <c r="P1694" s="178"/>
      <c r="AN1694" s="458"/>
    </row>
    <row r="1695" spans="2:40" ht="15.75" customHeight="1">
      <c r="B1695" s="175"/>
      <c r="H1695" s="178"/>
      <c r="I1695" s="179"/>
      <c r="J1695" s="184"/>
      <c r="N1695" s="178"/>
      <c r="O1695" s="178"/>
      <c r="P1695" s="178"/>
      <c r="AN1695" s="458"/>
    </row>
    <row r="1696" spans="2:40" ht="15.75" customHeight="1">
      <c r="B1696" s="175"/>
      <c r="H1696" s="178"/>
      <c r="I1696" s="179"/>
      <c r="J1696" s="184"/>
      <c r="N1696" s="178"/>
      <c r="O1696" s="178"/>
      <c r="P1696" s="178"/>
      <c r="AN1696" s="458"/>
    </row>
    <row r="1697" spans="2:40" ht="15.75" customHeight="1">
      <c r="B1697" s="175"/>
      <c r="H1697" s="178"/>
      <c r="I1697" s="179"/>
      <c r="J1697" s="184"/>
      <c r="N1697" s="178"/>
      <c r="O1697" s="178"/>
      <c r="P1697" s="178"/>
      <c r="AN1697" s="458"/>
    </row>
    <row r="1698" spans="2:40" ht="15.75" customHeight="1">
      <c r="B1698" s="175"/>
      <c r="H1698" s="178"/>
      <c r="I1698" s="179"/>
      <c r="J1698" s="184"/>
      <c r="N1698" s="178"/>
      <c r="O1698" s="178"/>
      <c r="P1698" s="178"/>
      <c r="AN1698" s="458"/>
    </row>
    <row r="1699" spans="2:40" ht="15.75" customHeight="1">
      <c r="B1699" s="175"/>
      <c r="H1699" s="178"/>
      <c r="N1699" s="178"/>
      <c r="O1699" s="178"/>
      <c r="P1699" s="178"/>
      <c r="AN1699" s="458"/>
    </row>
    <row r="1700" spans="2:40" ht="15.75" customHeight="1">
      <c r="B1700" s="175"/>
      <c r="H1700" s="178"/>
      <c r="I1700" s="179"/>
      <c r="J1700" s="184"/>
      <c r="N1700" s="178"/>
      <c r="O1700" s="178"/>
      <c r="P1700" s="178"/>
      <c r="AN1700" s="458"/>
    </row>
    <row r="1701" spans="2:40" ht="15.75" customHeight="1">
      <c r="B1701" s="175"/>
      <c r="H1701" s="178"/>
      <c r="N1701" s="178"/>
      <c r="O1701" s="178"/>
      <c r="P1701" s="178"/>
      <c r="AN1701" s="458"/>
    </row>
    <row r="1702" spans="2:40" ht="15.75" customHeight="1">
      <c r="B1702" s="175"/>
      <c r="H1702" s="178"/>
      <c r="N1702" s="178"/>
      <c r="O1702" s="178"/>
      <c r="P1702" s="178"/>
      <c r="AN1702" s="458"/>
    </row>
    <row r="1703" spans="2:40" ht="15.75" customHeight="1">
      <c r="B1703" s="175"/>
      <c r="H1703" s="178"/>
      <c r="N1703" s="178"/>
      <c r="O1703" s="178"/>
      <c r="P1703" s="178"/>
      <c r="AN1703" s="458"/>
    </row>
    <row r="1704" spans="2:40" ht="15.75" customHeight="1">
      <c r="B1704" s="175"/>
      <c r="H1704" s="178"/>
      <c r="N1704" s="178"/>
      <c r="O1704" s="178"/>
      <c r="P1704" s="178"/>
      <c r="AN1704" s="458"/>
    </row>
    <row r="1705" spans="2:40" ht="15.75" customHeight="1">
      <c r="B1705" s="175"/>
      <c r="H1705" s="178"/>
      <c r="N1705" s="178"/>
      <c r="O1705" s="178"/>
      <c r="P1705" s="178"/>
      <c r="AN1705" s="458"/>
    </row>
    <row r="1706" spans="2:40" ht="15.75" customHeight="1">
      <c r="B1706" s="175"/>
      <c r="H1706" s="178"/>
      <c r="N1706" s="178"/>
      <c r="O1706" s="178"/>
      <c r="P1706" s="178"/>
      <c r="AN1706" s="458"/>
    </row>
    <row r="1707" spans="2:40" ht="15.75" customHeight="1">
      <c r="B1707" s="175"/>
      <c r="H1707" s="178"/>
      <c r="N1707" s="178"/>
      <c r="O1707" s="178"/>
      <c r="P1707" s="178"/>
      <c r="AN1707" s="458"/>
    </row>
    <row r="1708" spans="2:40" ht="15.75" customHeight="1">
      <c r="B1708" s="175"/>
      <c r="H1708" s="178"/>
      <c r="I1708" s="179"/>
      <c r="J1708" s="184"/>
      <c r="N1708" s="178"/>
      <c r="O1708" s="178"/>
      <c r="P1708" s="178"/>
      <c r="AN1708" s="458"/>
    </row>
    <row r="1709" spans="2:40" ht="15.75" customHeight="1">
      <c r="B1709" s="175"/>
      <c r="H1709" s="178"/>
      <c r="I1709" s="179"/>
      <c r="J1709" s="184"/>
      <c r="N1709" s="178"/>
      <c r="O1709" s="178"/>
      <c r="P1709" s="178"/>
      <c r="AN1709" s="458"/>
    </row>
    <row r="1710" spans="2:40" ht="15.75" customHeight="1">
      <c r="B1710" s="175"/>
      <c r="H1710" s="178"/>
      <c r="I1710" s="179"/>
      <c r="J1710" s="184"/>
      <c r="N1710" s="178"/>
      <c r="O1710" s="178"/>
      <c r="P1710" s="178"/>
      <c r="AN1710" s="458"/>
    </row>
    <row r="1711" spans="2:40" ht="15.75" customHeight="1">
      <c r="B1711" s="175"/>
      <c r="H1711" s="178"/>
      <c r="I1711" s="179"/>
      <c r="J1711" s="184"/>
      <c r="N1711" s="178"/>
      <c r="O1711" s="178"/>
      <c r="P1711" s="178"/>
      <c r="AN1711" s="458"/>
    </row>
    <row r="1712" spans="2:40" ht="15.75" customHeight="1">
      <c r="B1712" s="175"/>
      <c r="H1712" s="178"/>
      <c r="I1712" s="179"/>
      <c r="J1712" s="184"/>
      <c r="N1712" s="178"/>
      <c r="O1712" s="178"/>
      <c r="P1712" s="178"/>
      <c r="AN1712" s="458"/>
    </row>
    <row r="1713" spans="2:40" ht="15.75" customHeight="1">
      <c r="B1713" s="175"/>
      <c r="H1713" s="178"/>
      <c r="I1713" s="179"/>
      <c r="J1713" s="184"/>
      <c r="N1713" s="178"/>
      <c r="O1713" s="178"/>
      <c r="P1713" s="178"/>
      <c r="AN1713" s="458"/>
    </row>
    <row r="1714" spans="2:40" ht="15.75" customHeight="1">
      <c r="B1714" s="175"/>
      <c r="H1714" s="178"/>
      <c r="I1714" s="179"/>
      <c r="J1714" s="184"/>
      <c r="N1714" s="178"/>
      <c r="O1714" s="178"/>
      <c r="P1714" s="178"/>
      <c r="AN1714" s="458"/>
    </row>
    <row r="1715" spans="2:40" ht="15.75" customHeight="1">
      <c r="B1715" s="175"/>
      <c r="H1715" s="178"/>
      <c r="I1715" s="179"/>
      <c r="J1715" s="184"/>
      <c r="N1715" s="178"/>
      <c r="O1715" s="178"/>
      <c r="P1715" s="178"/>
      <c r="AN1715" s="458"/>
    </row>
    <row r="1716" spans="2:40" ht="15.75" customHeight="1">
      <c r="B1716" s="175"/>
      <c r="H1716" s="178"/>
      <c r="I1716" s="179"/>
      <c r="J1716" s="184"/>
      <c r="N1716" s="178"/>
      <c r="O1716" s="178"/>
      <c r="P1716" s="178"/>
      <c r="AN1716" s="458"/>
    </row>
    <row r="1717" spans="2:40" ht="15.75" customHeight="1">
      <c r="B1717" s="175"/>
      <c r="H1717" s="178"/>
      <c r="N1717" s="178"/>
      <c r="O1717" s="178"/>
      <c r="P1717" s="178"/>
      <c r="AN1717" s="458"/>
    </row>
    <row r="1718" spans="2:40" ht="15.75" customHeight="1">
      <c r="B1718" s="175"/>
      <c r="H1718" s="178"/>
      <c r="N1718" s="178"/>
      <c r="O1718" s="178"/>
      <c r="P1718" s="178"/>
      <c r="AN1718" s="458"/>
    </row>
    <row r="1719" spans="2:40" ht="15.75" customHeight="1">
      <c r="B1719" s="175"/>
      <c r="H1719" s="178"/>
      <c r="N1719" s="178"/>
      <c r="O1719" s="178"/>
      <c r="P1719" s="178"/>
      <c r="AN1719" s="458"/>
    </row>
    <row r="1720" spans="2:40" ht="15.75" customHeight="1">
      <c r="B1720" s="175"/>
      <c r="H1720" s="178"/>
      <c r="I1720" s="179"/>
      <c r="J1720" s="184"/>
      <c r="N1720" s="178"/>
      <c r="O1720" s="178"/>
      <c r="P1720" s="178"/>
      <c r="AN1720" s="458"/>
    </row>
    <row r="1721" spans="2:40" ht="15.75" customHeight="1">
      <c r="B1721" s="175"/>
      <c r="H1721" s="178"/>
      <c r="I1721" s="179"/>
      <c r="J1721" s="184"/>
      <c r="N1721" s="178"/>
      <c r="O1721" s="178"/>
      <c r="P1721" s="178"/>
      <c r="AN1721" s="458"/>
    </row>
    <row r="1722" spans="2:40" ht="15.75" customHeight="1">
      <c r="B1722" s="175"/>
      <c r="H1722" s="178"/>
      <c r="I1722" s="179"/>
      <c r="J1722" s="184"/>
      <c r="N1722" s="178"/>
      <c r="O1722" s="178"/>
      <c r="P1722" s="178"/>
      <c r="AN1722" s="458"/>
    </row>
    <row r="1723" spans="2:40" ht="15.75" customHeight="1">
      <c r="B1723" s="175"/>
      <c r="H1723" s="178"/>
      <c r="I1723" s="179"/>
      <c r="J1723" s="184"/>
      <c r="N1723" s="178"/>
      <c r="O1723" s="178"/>
      <c r="P1723" s="178"/>
      <c r="AN1723" s="458"/>
    </row>
    <row r="1724" spans="2:40" ht="15.75" customHeight="1">
      <c r="B1724" s="175"/>
      <c r="H1724" s="178"/>
      <c r="I1724" s="179"/>
      <c r="J1724" s="184"/>
      <c r="N1724" s="178"/>
      <c r="O1724" s="178"/>
      <c r="P1724" s="178"/>
      <c r="AN1724" s="458"/>
    </row>
    <row r="1725" spans="2:40" ht="15.75" customHeight="1">
      <c r="B1725" s="175"/>
      <c r="H1725" s="178"/>
      <c r="I1725" s="179"/>
      <c r="J1725" s="184"/>
      <c r="N1725" s="178"/>
      <c r="O1725" s="178"/>
      <c r="P1725" s="178"/>
      <c r="AN1725" s="458"/>
    </row>
    <row r="1726" spans="2:40" ht="15.75" customHeight="1">
      <c r="B1726" s="175"/>
      <c r="H1726" s="178"/>
      <c r="I1726" s="179"/>
      <c r="J1726" s="184"/>
      <c r="N1726" s="178"/>
      <c r="O1726" s="178"/>
      <c r="P1726" s="178"/>
      <c r="AN1726" s="458"/>
    </row>
    <row r="1727" spans="2:40" ht="15.75" customHeight="1">
      <c r="B1727" s="175"/>
      <c r="H1727" s="178"/>
      <c r="I1727" s="179"/>
      <c r="J1727" s="184"/>
      <c r="N1727" s="178"/>
      <c r="O1727" s="178"/>
      <c r="P1727" s="178"/>
      <c r="AN1727" s="458"/>
    </row>
    <row r="1728" spans="2:40" ht="15.75" customHeight="1">
      <c r="B1728" s="175"/>
      <c r="H1728" s="178"/>
      <c r="I1728" s="179"/>
      <c r="J1728" s="184"/>
      <c r="N1728" s="178"/>
      <c r="O1728" s="178"/>
      <c r="P1728" s="178"/>
      <c r="AN1728" s="458"/>
    </row>
    <row r="1729" spans="2:40" ht="15.75" customHeight="1">
      <c r="B1729" s="175"/>
      <c r="H1729" s="178"/>
      <c r="I1729" s="179"/>
      <c r="J1729" s="184"/>
      <c r="N1729" s="178"/>
      <c r="O1729" s="178"/>
      <c r="P1729" s="178"/>
      <c r="AN1729" s="458"/>
    </row>
    <row r="1730" spans="2:40" ht="15.75" customHeight="1">
      <c r="B1730" s="175"/>
      <c r="H1730" s="178"/>
      <c r="I1730" s="179"/>
      <c r="J1730" s="184"/>
      <c r="N1730" s="178"/>
      <c r="O1730" s="178"/>
      <c r="P1730" s="178"/>
      <c r="AN1730" s="458"/>
    </row>
    <row r="1731" spans="2:40" ht="15.75" customHeight="1">
      <c r="B1731" s="175"/>
      <c r="H1731" s="178"/>
      <c r="I1731" s="179"/>
      <c r="J1731" s="184"/>
      <c r="N1731" s="178"/>
      <c r="O1731" s="178"/>
      <c r="P1731" s="178"/>
      <c r="AN1731" s="458"/>
    </row>
    <row r="1732" spans="2:40" ht="15.75" customHeight="1">
      <c r="B1732" s="175"/>
      <c r="H1732" s="178"/>
      <c r="I1732" s="179"/>
      <c r="J1732" s="184"/>
      <c r="N1732" s="178"/>
      <c r="O1732" s="178"/>
      <c r="P1732" s="178"/>
      <c r="AN1732" s="458"/>
    </row>
    <row r="1733" spans="2:40" ht="15.75" customHeight="1">
      <c r="B1733" s="175"/>
      <c r="H1733" s="178"/>
      <c r="I1733" s="179"/>
      <c r="J1733" s="184"/>
      <c r="N1733" s="178"/>
      <c r="O1733" s="178"/>
      <c r="P1733" s="178"/>
      <c r="AN1733" s="458"/>
    </row>
    <row r="1734" spans="2:40" ht="15.75" customHeight="1">
      <c r="B1734" s="175"/>
      <c r="H1734" s="178"/>
      <c r="I1734" s="179"/>
      <c r="J1734" s="184"/>
      <c r="N1734" s="178"/>
      <c r="O1734" s="178"/>
      <c r="P1734" s="178"/>
      <c r="AN1734" s="458"/>
    </row>
    <row r="1735" spans="2:40" ht="15.75" customHeight="1">
      <c r="B1735" s="175"/>
      <c r="H1735" s="178"/>
      <c r="I1735" s="179"/>
      <c r="J1735" s="184"/>
      <c r="N1735" s="178"/>
      <c r="O1735" s="178"/>
      <c r="P1735" s="178"/>
      <c r="AN1735" s="458"/>
    </row>
    <row r="1736" spans="2:40" ht="15.75" customHeight="1">
      <c r="B1736" s="175"/>
      <c r="H1736" s="178"/>
      <c r="I1736" s="179"/>
      <c r="J1736" s="184"/>
      <c r="N1736" s="178"/>
      <c r="O1736" s="178"/>
      <c r="P1736" s="178"/>
      <c r="AN1736" s="458"/>
    </row>
    <row r="1737" spans="2:40" ht="15.75" customHeight="1">
      <c r="B1737" s="175"/>
      <c r="H1737" s="178"/>
      <c r="I1737" s="179"/>
      <c r="J1737" s="184"/>
      <c r="N1737" s="178"/>
      <c r="O1737" s="178"/>
      <c r="P1737" s="178"/>
      <c r="AN1737" s="458"/>
    </row>
    <row r="1738" spans="2:40" ht="15.75" customHeight="1">
      <c r="B1738" s="175"/>
      <c r="H1738" s="178"/>
      <c r="I1738" s="179"/>
      <c r="J1738" s="184"/>
      <c r="N1738" s="178"/>
      <c r="O1738" s="178"/>
      <c r="P1738" s="178"/>
      <c r="AN1738" s="458"/>
    </row>
    <row r="1739" spans="2:40" ht="15.75" customHeight="1">
      <c r="B1739" s="175"/>
      <c r="H1739" s="178"/>
      <c r="I1739" s="179"/>
      <c r="J1739" s="184"/>
      <c r="N1739" s="178"/>
      <c r="O1739" s="178"/>
      <c r="P1739" s="178"/>
      <c r="AN1739" s="458"/>
    </row>
    <row r="1740" spans="2:40" ht="15.75" customHeight="1">
      <c r="B1740" s="175"/>
      <c r="H1740" s="178"/>
      <c r="I1740" s="179"/>
      <c r="J1740" s="184"/>
      <c r="N1740" s="178"/>
      <c r="O1740" s="178"/>
      <c r="P1740" s="178"/>
      <c r="AN1740" s="458"/>
    </row>
    <row r="1741" spans="2:40" ht="15.75" customHeight="1">
      <c r="B1741" s="175"/>
      <c r="H1741" s="178"/>
      <c r="I1741" s="179"/>
      <c r="J1741" s="184"/>
      <c r="N1741" s="178"/>
      <c r="O1741" s="178"/>
      <c r="P1741" s="178"/>
      <c r="AN1741" s="458"/>
    </row>
    <row r="1742" spans="2:40" ht="15.75" customHeight="1">
      <c r="B1742" s="175"/>
      <c r="H1742" s="178"/>
      <c r="I1742" s="179"/>
      <c r="J1742" s="184"/>
      <c r="N1742" s="178"/>
      <c r="O1742" s="178"/>
      <c r="P1742" s="178"/>
      <c r="AN1742" s="458"/>
    </row>
    <row r="1743" spans="2:40" ht="15.75" customHeight="1">
      <c r="B1743" s="175"/>
      <c r="H1743" s="178"/>
      <c r="I1743" s="179"/>
      <c r="J1743" s="184"/>
      <c r="N1743" s="178"/>
      <c r="O1743" s="178"/>
      <c r="P1743" s="178"/>
      <c r="AN1743" s="458"/>
    </row>
    <row r="1744" spans="2:40" ht="15.75" customHeight="1">
      <c r="B1744" s="175"/>
      <c r="H1744" s="178"/>
      <c r="I1744" s="179"/>
      <c r="J1744" s="184"/>
      <c r="N1744" s="178"/>
      <c r="O1744" s="178"/>
      <c r="P1744" s="178"/>
      <c r="AN1744" s="458"/>
    </row>
    <row r="1745" spans="2:40" ht="15.75" customHeight="1">
      <c r="B1745" s="175"/>
      <c r="H1745" s="178"/>
      <c r="I1745" s="179"/>
      <c r="J1745" s="184"/>
      <c r="N1745" s="178"/>
      <c r="O1745" s="178"/>
      <c r="P1745" s="178"/>
      <c r="AN1745" s="458"/>
    </row>
    <row r="1746" spans="2:40" ht="15.75" customHeight="1">
      <c r="B1746" s="175"/>
      <c r="H1746" s="178"/>
      <c r="I1746" s="179"/>
      <c r="J1746" s="184"/>
      <c r="N1746" s="178"/>
      <c r="O1746" s="178"/>
      <c r="P1746" s="178"/>
      <c r="AN1746" s="458"/>
    </row>
    <row r="1747" spans="2:40" ht="15.75" customHeight="1">
      <c r="B1747" s="175"/>
      <c r="H1747" s="178"/>
      <c r="I1747" s="179"/>
      <c r="J1747" s="184"/>
      <c r="N1747" s="178"/>
      <c r="O1747" s="178"/>
      <c r="P1747" s="178"/>
      <c r="AN1747" s="458"/>
    </row>
    <row r="1748" spans="2:40" ht="15.75" customHeight="1">
      <c r="B1748" s="175"/>
      <c r="H1748" s="178"/>
      <c r="I1748" s="179"/>
      <c r="J1748" s="184"/>
      <c r="N1748" s="178"/>
      <c r="O1748" s="178"/>
      <c r="P1748" s="178"/>
      <c r="AN1748" s="458"/>
    </row>
    <row r="1749" spans="2:40" ht="15.75" customHeight="1">
      <c r="B1749" s="175"/>
      <c r="H1749" s="178"/>
      <c r="I1749" s="179"/>
      <c r="J1749" s="184"/>
      <c r="N1749" s="178"/>
      <c r="O1749" s="178"/>
      <c r="P1749" s="178"/>
      <c r="AN1749" s="458"/>
    </row>
    <row r="1750" spans="2:40" ht="15.75" customHeight="1">
      <c r="B1750" s="175"/>
      <c r="H1750" s="178"/>
      <c r="I1750" s="179"/>
      <c r="J1750" s="184"/>
      <c r="N1750" s="178"/>
      <c r="O1750" s="178"/>
      <c r="P1750" s="178"/>
      <c r="AN1750" s="458"/>
    </row>
    <row r="1751" spans="2:40" ht="15.75" customHeight="1">
      <c r="B1751" s="175"/>
      <c r="H1751" s="178"/>
      <c r="I1751" s="179"/>
      <c r="J1751" s="184"/>
      <c r="N1751" s="178"/>
      <c r="O1751" s="178"/>
      <c r="P1751" s="178"/>
      <c r="AN1751" s="458"/>
    </row>
    <row r="1752" spans="2:40" ht="15.75" customHeight="1">
      <c r="B1752" s="175"/>
      <c r="H1752" s="178"/>
      <c r="I1752" s="179"/>
      <c r="J1752" s="184"/>
      <c r="N1752" s="178"/>
      <c r="O1752" s="178"/>
      <c r="P1752" s="178"/>
      <c r="AN1752" s="458"/>
    </row>
    <row r="1753" spans="2:40" ht="15.75" customHeight="1">
      <c r="B1753" s="175"/>
      <c r="H1753" s="178"/>
      <c r="I1753" s="179"/>
      <c r="J1753" s="184"/>
      <c r="N1753" s="178"/>
      <c r="O1753" s="178"/>
      <c r="P1753" s="178"/>
      <c r="AN1753" s="458"/>
    </row>
    <row r="1754" spans="2:40" ht="15.75" customHeight="1">
      <c r="B1754" s="175"/>
      <c r="H1754" s="178"/>
      <c r="I1754" s="179"/>
      <c r="J1754" s="184"/>
      <c r="N1754" s="178"/>
      <c r="O1754" s="178"/>
      <c r="P1754" s="178"/>
      <c r="AN1754" s="458"/>
    </row>
    <row r="1755" spans="2:40" ht="15.75" customHeight="1">
      <c r="B1755" s="175"/>
      <c r="H1755" s="178"/>
      <c r="I1755" s="179"/>
      <c r="J1755" s="184"/>
      <c r="N1755" s="178"/>
      <c r="O1755" s="178"/>
      <c r="P1755" s="178"/>
      <c r="AN1755" s="458"/>
    </row>
    <row r="1756" spans="2:40" ht="15.75" customHeight="1">
      <c r="B1756" s="175"/>
      <c r="H1756" s="178"/>
      <c r="I1756" s="179"/>
      <c r="J1756" s="184"/>
      <c r="N1756" s="178"/>
      <c r="O1756" s="178"/>
      <c r="P1756" s="178"/>
      <c r="AN1756" s="458"/>
    </row>
    <row r="1757" spans="2:40" ht="15.75" customHeight="1">
      <c r="B1757" s="175"/>
      <c r="H1757" s="178"/>
      <c r="I1757" s="179"/>
      <c r="J1757" s="184"/>
      <c r="N1757" s="178"/>
      <c r="O1757" s="178"/>
      <c r="P1757" s="178"/>
      <c r="AN1757" s="458"/>
    </row>
    <row r="1758" spans="2:40" ht="15.75" customHeight="1">
      <c r="B1758" s="175"/>
      <c r="H1758" s="178"/>
      <c r="I1758" s="179"/>
      <c r="J1758" s="184"/>
      <c r="N1758" s="178"/>
      <c r="O1758" s="178"/>
      <c r="P1758" s="178"/>
      <c r="AN1758" s="458"/>
    </row>
    <row r="1759" spans="2:40" ht="15.75" customHeight="1">
      <c r="B1759" s="175"/>
      <c r="H1759" s="178"/>
      <c r="I1759" s="179"/>
      <c r="J1759" s="184"/>
      <c r="N1759" s="178"/>
      <c r="O1759" s="178"/>
      <c r="P1759" s="178"/>
      <c r="AN1759" s="458"/>
    </row>
    <row r="1760" spans="2:40" ht="15.75" customHeight="1">
      <c r="B1760" s="175"/>
      <c r="H1760" s="178"/>
      <c r="I1760" s="179"/>
      <c r="J1760" s="184"/>
      <c r="N1760" s="178"/>
      <c r="O1760" s="178"/>
      <c r="P1760" s="178"/>
      <c r="AN1760" s="458"/>
    </row>
    <row r="1761" spans="2:40" ht="15.75" customHeight="1">
      <c r="B1761" s="175"/>
      <c r="H1761" s="178"/>
      <c r="I1761" s="179"/>
      <c r="J1761" s="184"/>
      <c r="N1761" s="178"/>
      <c r="O1761" s="178"/>
      <c r="P1761" s="178"/>
      <c r="AN1761" s="458"/>
    </row>
    <row r="1762" spans="2:40" ht="15.75" customHeight="1">
      <c r="B1762" s="175"/>
      <c r="H1762" s="178"/>
      <c r="I1762" s="179"/>
      <c r="J1762" s="184"/>
      <c r="N1762" s="178"/>
      <c r="O1762" s="178"/>
      <c r="P1762" s="178"/>
      <c r="AN1762" s="458"/>
    </row>
    <row r="1763" spans="2:40" ht="15.75" customHeight="1">
      <c r="B1763" s="175"/>
      <c r="H1763" s="178"/>
      <c r="I1763" s="179"/>
      <c r="J1763" s="184"/>
      <c r="N1763" s="178"/>
      <c r="O1763" s="178"/>
      <c r="P1763" s="178"/>
      <c r="AN1763" s="458"/>
    </row>
    <row r="1764" spans="2:40" ht="15.75" customHeight="1">
      <c r="B1764" s="175"/>
      <c r="H1764" s="178"/>
      <c r="I1764" s="179"/>
      <c r="J1764" s="184"/>
      <c r="N1764" s="178"/>
      <c r="O1764" s="178"/>
      <c r="P1764" s="178"/>
      <c r="AN1764" s="458"/>
    </row>
    <row r="1765" spans="2:40" ht="15.75" customHeight="1">
      <c r="B1765" s="175"/>
      <c r="H1765" s="178"/>
      <c r="N1765" s="178"/>
      <c r="O1765" s="178"/>
      <c r="P1765" s="178"/>
      <c r="AN1765" s="458"/>
    </row>
    <row r="1766" spans="2:40" ht="15.75" customHeight="1">
      <c r="B1766" s="175"/>
      <c r="H1766" s="178"/>
      <c r="N1766" s="178"/>
      <c r="O1766" s="178"/>
      <c r="P1766" s="178"/>
      <c r="AN1766" s="458"/>
    </row>
    <row r="1767" spans="2:40" ht="15.75" customHeight="1">
      <c r="B1767" s="175"/>
      <c r="H1767" s="178"/>
      <c r="N1767" s="178"/>
      <c r="O1767" s="178"/>
      <c r="P1767" s="178"/>
      <c r="AN1767" s="458"/>
    </row>
    <row r="1768" spans="2:40" ht="15.75" customHeight="1">
      <c r="B1768" s="175"/>
      <c r="H1768" s="178"/>
      <c r="N1768" s="178"/>
      <c r="O1768" s="178"/>
      <c r="P1768" s="178"/>
      <c r="AN1768" s="458"/>
    </row>
    <row r="1769" spans="2:40" ht="15.75" customHeight="1">
      <c r="B1769" s="175"/>
      <c r="H1769" s="178"/>
      <c r="I1769" s="179"/>
      <c r="J1769" s="184"/>
      <c r="N1769" s="178"/>
      <c r="O1769" s="178"/>
      <c r="P1769" s="178"/>
      <c r="AN1769" s="458"/>
    </row>
    <row r="1770" spans="2:40" ht="15.75" customHeight="1">
      <c r="B1770" s="175"/>
      <c r="H1770" s="178"/>
      <c r="I1770" s="179"/>
      <c r="J1770" s="184"/>
      <c r="N1770" s="178"/>
      <c r="O1770" s="178"/>
      <c r="P1770" s="178"/>
      <c r="AN1770" s="458"/>
    </row>
    <row r="1771" spans="2:40" ht="15.75" customHeight="1">
      <c r="B1771" s="175"/>
      <c r="H1771" s="178"/>
      <c r="I1771" s="179"/>
      <c r="J1771" s="184"/>
      <c r="N1771" s="178"/>
      <c r="O1771" s="178"/>
      <c r="P1771" s="178"/>
      <c r="AN1771" s="458"/>
    </row>
    <row r="1772" spans="2:40" ht="15.75" customHeight="1">
      <c r="B1772" s="175"/>
      <c r="H1772" s="178"/>
      <c r="I1772" s="179"/>
      <c r="J1772" s="184"/>
      <c r="N1772" s="178"/>
      <c r="O1772" s="178"/>
      <c r="P1772" s="178"/>
      <c r="AN1772" s="458"/>
    </row>
    <row r="1773" spans="2:40" ht="15.75" customHeight="1">
      <c r="B1773" s="175"/>
      <c r="H1773" s="178"/>
      <c r="I1773" s="179"/>
      <c r="J1773" s="184"/>
      <c r="N1773" s="178"/>
      <c r="O1773" s="178"/>
      <c r="P1773" s="178"/>
      <c r="AN1773" s="458"/>
    </row>
    <row r="1774" spans="2:40" ht="15.75" customHeight="1">
      <c r="B1774" s="175"/>
      <c r="H1774" s="178"/>
      <c r="N1774" s="178"/>
      <c r="O1774" s="178"/>
      <c r="P1774" s="178"/>
      <c r="AN1774" s="458"/>
    </row>
    <row r="1775" spans="2:40" ht="15.75" customHeight="1">
      <c r="B1775" s="175"/>
      <c r="H1775" s="178"/>
      <c r="N1775" s="178"/>
      <c r="O1775" s="178"/>
      <c r="P1775" s="178"/>
      <c r="AN1775" s="458"/>
    </row>
    <row r="1776" spans="2:40" ht="15.75" customHeight="1">
      <c r="B1776" s="175"/>
      <c r="H1776" s="178"/>
      <c r="I1776" s="179"/>
      <c r="J1776" s="184"/>
      <c r="N1776" s="178"/>
      <c r="O1776" s="178"/>
      <c r="P1776" s="178"/>
      <c r="AN1776" s="458"/>
    </row>
    <row r="1777" spans="2:40" ht="15.75" customHeight="1">
      <c r="B1777" s="175"/>
      <c r="H1777" s="178"/>
      <c r="I1777" s="179"/>
      <c r="J1777" s="184"/>
      <c r="N1777" s="178"/>
      <c r="O1777" s="178"/>
      <c r="P1777" s="178"/>
      <c r="AN1777" s="458"/>
    </row>
    <row r="1778" spans="2:40" ht="15.75" customHeight="1">
      <c r="B1778" s="175"/>
      <c r="H1778" s="178"/>
      <c r="N1778" s="178"/>
      <c r="O1778" s="178"/>
      <c r="P1778" s="178"/>
      <c r="AN1778" s="458"/>
    </row>
    <row r="1779" spans="2:40" ht="15.75" customHeight="1">
      <c r="B1779" s="175"/>
      <c r="H1779" s="178"/>
      <c r="N1779" s="178"/>
      <c r="O1779" s="178"/>
      <c r="P1779" s="178"/>
      <c r="AN1779" s="458"/>
    </row>
    <row r="1780" spans="2:40" ht="15.75" customHeight="1">
      <c r="B1780" s="175"/>
      <c r="H1780" s="178"/>
      <c r="N1780" s="178"/>
      <c r="O1780" s="178"/>
      <c r="P1780" s="178"/>
      <c r="AN1780" s="458"/>
    </row>
    <row r="1781" spans="2:40" ht="15.75" customHeight="1">
      <c r="B1781" s="175"/>
      <c r="H1781" s="178"/>
      <c r="N1781" s="178"/>
      <c r="O1781" s="178"/>
      <c r="P1781" s="178"/>
      <c r="AN1781" s="458"/>
    </row>
    <row r="1782" spans="2:40" ht="15.75" customHeight="1">
      <c r="B1782" s="175"/>
      <c r="H1782" s="178"/>
      <c r="N1782" s="178"/>
      <c r="O1782" s="178"/>
      <c r="P1782" s="178"/>
      <c r="AN1782" s="458"/>
    </row>
    <row r="1783" spans="2:40" ht="15.75" customHeight="1">
      <c r="B1783" s="175"/>
      <c r="H1783" s="178"/>
      <c r="N1783" s="178"/>
      <c r="O1783" s="178"/>
      <c r="P1783" s="178"/>
      <c r="AN1783" s="458"/>
    </row>
    <row r="1784" spans="2:40" ht="15.75" customHeight="1">
      <c r="B1784" s="175"/>
      <c r="H1784" s="178"/>
      <c r="N1784" s="178"/>
      <c r="O1784" s="178"/>
      <c r="P1784" s="178"/>
      <c r="AN1784" s="458"/>
    </row>
    <row r="1785" spans="2:40" ht="15.75" customHeight="1">
      <c r="B1785" s="175"/>
      <c r="H1785" s="178"/>
      <c r="N1785" s="178"/>
      <c r="O1785" s="178"/>
      <c r="P1785" s="178"/>
      <c r="AN1785" s="458"/>
    </row>
    <row r="1786" spans="2:40" ht="15.75" customHeight="1">
      <c r="B1786" s="175"/>
      <c r="H1786" s="178"/>
      <c r="I1786" s="179"/>
      <c r="J1786" s="184"/>
      <c r="N1786" s="178"/>
      <c r="O1786" s="178"/>
      <c r="P1786" s="178"/>
      <c r="AN1786" s="458"/>
    </row>
    <row r="1787" spans="2:40" ht="15.75" customHeight="1">
      <c r="B1787" s="175"/>
      <c r="H1787" s="178"/>
      <c r="I1787" s="179"/>
      <c r="J1787" s="184"/>
      <c r="N1787" s="178"/>
      <c r="O1787" s="178"/>
      <c r="P1787" s="178"/>
      <c r="AN1787" s="458"/>
    </row>
    <row r="1788" spans="2:40" ht="15.75" customHeight="1">
      <c r="B1788" s="175"/>
      <c r="H1788" s="178"/>
      <c r="I1788" s="179"/>
      <c r="J1788" s="184"/>
      <c r="N1788" s="178"/>
      <c r="O1788" s="178"/>
      <c r="P1788" s="178"/>
      <c r="AN1788" s="458"/>
    </row>
    <row r="1789" spans="2:40" ht="15.75" customHeight="1">
      <c r="B1789" s="175"/>
      <c r="H1789" s="178"/>
      <c r="I1789" s="179"/>
      <c r="J1789" s="184"/>
      <c r="N1789" s="178"/>
      <c r="O1789" s="178"/>
      <c r="P1789" s="178"/>
      <c r="AN1789" s="458"/>
    </row>
    <row r="1790" spans="2:40" ht="15.75" customHeight="1">
      <c r="B1790" s="175"/>
      <c r="H1790" s="178"/>
      <c r="I1790" s="179"/>
      <c r="J1790" s="184"/>
      <c r="N1790" s="178"/>
      <c r="O1790" s="178"/>
      <c r="P1790" s="178"/>
      <c r="AN1790" s="458"/>
    </row>
    <row r="1791" spans="2:40" ht="15.75" customHeight="1">
      <c r="B1791" s="175"/>
      <c r="H1791" s="178"/>
      <c r="I1791" s="179"/>
      <c r="J1791" s="184"/>
      <c r="N1791" s="178"/>
      <c r="O1791" s="178"/>
      <c r="P1791" s="178"/>
      <c r="AN1791" s="458"/>
    </row>
    <row r="1792" spans="2:40" ht="15.75" customHeight="1">
      <c r="B1792" s="175"/>
      <c r="H1792" s="178"/>
      <c r="I1792" s="179"/>
      <c r="J1792" s="184"/>
      <c r="N1792" s="178"/>
      <c r="O1792" s="178"/>
      <c r="P1792" s="178"/>
      <c r="AN1792" s="458"/>
    </row>
    <row r="1793" spans="2:40" ht="15.75" customHeight="1">
      <c r="B1793" s="175"/>
      <c r="H1793" s="178"/>
      <c r="I1793" s="179"/>
      <c r="J1793" s="184"/>
      <c r="N1793" s="178"/>
      <c r="O1793" s="178"/>
      <c r="P1793" s="178"/>
      <c r="AN1793" s="458"/>
    </row>
    <row r="1794" spans="2:40" ht="15.75" customHeight="1">
      <c r="B1794" s="175"/>
      <c r="H1794" s="178"/>
      <c r="I1794" s="179"/>
      <c r="J1794" s="184"/>
      <c r="N1794" s="178"/>
      <c r="O1794" s="178"/>
      <c r="P1794" s="178"/>
      <c r="AN1794" s="458"/>
    </row>
    <row r="1795" spans="2:40" ht="15.75" customHeight="1">
      <c r="B1795" s="175"/>
      <c r="H1795" s="178"/>
      <c r="N1795" s="178"/>
      <c r="O1795" s="178"/>
      <c r="P1795" s="178"/>
      <c r="AN1795" s="458"/>
    </row>
    <row r="1796" spans="2:40" ht="15.75" customHeight="1">
      <c r="B1796" s="175"/>
      <c r="H1796" s="178"/>
      <c r="N1796" s="178"/>
      <c r="O1796" s="178"/>
      <c r="P1796" s="178"/>
      <c r="AN1796" s="458"/>
    </row>
    <row r="1797" spans="2:40" ht="15.75" customHeight="1">
      <c r="B1797" s="175"/>
      <c r="H1797" s="178"/>
      <c r="I1797" s="179"/>
      <c r="J1797" s="184"/>
      <c r="N1797" s="178"/>
      <c r="O1797" s="178"/>
      <c r="P1797" s="178"/>
      <c r="AN1797" s="458"/>
    </row>
    <row r="1798" spans="2:40" ht="15.75" customHeight="1">
      <c r="B1798" s="175"/>
      <c r="H1798" s="178"/>
      <c r="I1798" s="179"/>
      <c r="J1798" s="184"/>
      <c r="N1798" s="178"/>
      <c r="O1798" s="178"/>
      <c r="P1798" s="178"/>
      <c r="AN1798" s="458"/>
    </row>
    <row r="1799" spans="2:40" ht="15.75" customHeight="1">
      <c r="B1799" s="175"/>
      <c r="H1799" s="178"/>
      <c r="I1799" s="179"/>
      <c r="J1799" s="184"/>
      <c r="N1799" s="178"/>
      <c r="O1799" s="178"/>
      <c r="P1799" s="178"/>
      <c r="AN1799" s="458"/>
    </row>
    <row r="1800" spans="2:40" ht="15.75" customHeight="1">
      <c r="B1800" s="175"/>
      <c r="H1800" s="178"/>
      <c r="I1800" s="179"/>
      <c r="J1800" s="184"/>
      <c r="N1800" s="178"/>
      <c r="O1800" s="178"/>
      <c r="P1800" s="178"/>
      <c r="AN1800" s="458"/>
    </row>
    <row r="1801" spans="2:40" ht="15.75" customHeight="1">
      <c r="B1801" s="175"/>
      <c r="H1801" s="178"/>
      <c r="I1801" s="179"/>
      <c r="J1801" s="184"/>
      <c r="N1801" s="178"/>
      <c r="O1801" s="178"/>
      <c r="P1801" s="178"/>
      <c r="AN1801" s="458"/>
    </row>
    <row r="1802" spans="2:40" ht="15.75" customHeight="1">
      <c r="B1802" s="175"/>
      <c r="H1802" s="178"/>
      <c r="I1802" s="179"/>
      <c r="J1802" s="184"/>
      <c r="N1802" s="178"/>
      <c r="O1802" s="178"/>
      <c r="P1802" s="178"/>
      <c r="AN1802" s="458"/>
    </row>
    <row r="1803" spans="2:40" ht="15.75" customHeight="1">
      <c r="B1803" s="175"/>
      <c r="H1803" s="178"/>
      <c r="I1803" s="179"/>
      <c r="J1803" s="184"/>
      <c r="N1803" s="178"/>
      <c r="O1803" s="178"/>
      <c r="P1803" s="178"/>
      <c r="AN1803" s="458"/>
    </row>
    <row r="1804" spans="2:40" ht="15.75" customHeight="1">
      <c r="B1804" s="175"/>
      <c r="H1804" s="178"/>
      <c r="I1804" s="179"/>
      <c r="J1804" s="184"/>
      <c r="N1804" s="178"/>
      <c r="O1804" s="178"/>
      <c r="P1804" s="178"/>
      <c r="AN1804" s="458"/>
    </row>
    <row r="1805" spans="2:40" ht="15.75" customHeight="1">
      <c r="B1805" s="175"/>
      <c r="H1805" s="178"/>
      <c r="I1805" s="179"/>
      <c r="J1805" s="184"/>
      <c r="N1805" s="178"/>
      <c r="O1805" s="178"/>
      <c r="P1805" s="178"/>
      <c r="AN1805" s="458"/>
    </row>
    <row r="1806" spans="2:40" ht="15.75" customHeight="1">
      <c r="B1806" s="175"/>
      <c r="H1806" s="178"/>
      <c r="I1806" s="179"/>
      <c r="J1806" s="184"/>
      <c r="N1806" s="178"/>
      <c r="O1806" s="178"/>
      <c r="P1806" s="178"/>
      <c r="AN1806" s="458"/>
    </row>
    <row r="1807" spans="2:40" ht="15.75" customHeight="1">
      <c r="B1807" s="175"/>
      <c r="H1807" s="178"/>
      <c r="N1807" s="178"/>
      <c r="O1807" s="178"/>
      <c r="P1807" s="178"/>
      <c r="AN1807" s="458"/>
    </row>
    <row r="1808" spans="2:40" ht="15.75" customHeight="1">
      <c r="B1808" s="175"/>
      <c r="H1808" s="178"/>
      <c r="I1808" s="179"/>
      <c r="J1808" s="184"/>
      <c r="N1808" s="178"/>
      <c r="O1808" s="178"/>
      <c r="P1808" s="178"/>
      <c r="AN1808" s="458"/>
    </row>
    <row r="1809" spans="2:40" ht="15.75" customHeight="1">
      <c r="B1809" s="175"/>
      <c r="H1809" s="178"/>
      <c r="I1809" s="179"/>
      <c r="J1809" s="184"/>
      <c r="N1809" s="178"/>
      <c r="O1809" s="178"/>
      <c r="P1809" s="178"/>
      <c r="AN1809" s="458"/>
    </row>
    <row r="1810" spans="2:40" ht="15.75" customHeight="1">
      <c r="B1810" s="175"/>
      <c r="H1810" s="178"/>
      <c r="I1810" s="179"/>
      <c r="J1810" s="184"/>
      <c r="N1810" s="178"/>
      <c r="O1810" s="178"/>
      <c r="P1810" s="178"/>
      <c r="AN1810" s="458"/>
    </row>
    <row r="1811" spans="2:40" ht="15.75" customHeight="1">
      <c r="B1811" s="175"/>
      <c r="H1811" s="178"/>
      <c r="I1811" s="179"/>
      <c r="J1811" s="184"/>
      <c r="N1811" s="178"/>
      <c r="O1811" s="178"/>
      <c r="P1811" s="178"/>
      <c r="AN1811" s="458"/>
    </row>
    <row r="1812" spans="2:40" ht="15.75" customHeight="1">
      <c r="B1812" s="175"/>
      <c r="H1812" s="178"/>
      <c r="I1812" s="179"/>
      <c r="J1812" s="184"/>
      <c r="N1812" s="178"/>
      <c r="O1812" s="178"/>
      <c r="P1812" s="178"/>
      <c r="AN1812" s="458"/>
    </row>
    <row r="1813" spans="2:40" ht="15.75" customHeight="1">
      <c r="B1813" s="175"/>
      <c r="H1813" s="178"/>
      <c r="I1813" s="179"/>
      <c r="J1813" s="184"/>
      <c r="N1813" s="178"/>
      <c r="O1813" s="178"/>
      <c r="P1813" s="178"/>
      <c r="AN1813" s="458"/>
    </row>
    <row r="1814" spans="2:40" ht="15.75" customHeight="1">
      <c r="B1814" s="175"/>
      <c r="H1814" s="178"/>
      <c r="I1814" s="179"/>
      <c r="J1814" s="184"/>
      <c r="N1814" s="178"/>
      <c r="O1814" s="178"/>
      <c r="P1814" s="178"/>
      <c r="AN1814" s="458"/>
    </row>
    <row r="1815" spans="2:40" ht="15.75" customHeight="1">
      <c r="B1815" s="175"/>
      <c r="H1815" s="178"/>
      <c r="I1815" s="179"/>
      <c r="J1815" s="184"/>
      <c r="N1815" s="178"/>
      <c r="O1815" s="178"/>
      <c r="P1815" s="178"/>
      <c r="AN1815" s="458"/>
    </row>
    <row r="1816" spans="2:40" ht="15.75" customHeight="1">
      <c r="B1816" s="175"/>
      <c r="H1816" s="178"/>
      <c r="I1816" s="179"/>
      <c r="J1816" s="184"/>
      <c r="N1816" s="178"/>
      <c r="O1816" s="178"/>
      <c r="P1816" s="178"/>
      <c r="AN1816" s="458"/>
    </row>
    <row r="1817" spans="2:40" ht="15.75" customHeight="1">
      <c r="B1817" s="175"/>
      <c r="H1817" s="178"/>
      <c r="I1817" s="179"/>
      <c r="J1817" s="184"/>
      <c r="N1817" s="178"/>
      <c r="O1817" s="178"/>
      <c r="P1817" s="178"/>
      <c r="AN1817" s="458"/>
    </row>
    <row r="1818" spans="2:40" ht="15.75" customHeight="1">
      <c r="B1818" s="175"/>
      <c r="H1818" s="178"/>
      <c r="I1818" s="179"/>
      <c r="J1818" s="184"/>
      <c r="N1818" s="178"/>
      <c r="O1818" s="178"/>
      <c r="P1818" s="178"/>
      <c r="AN1818" s="458"/>
    </row>
    <row r="1819" spans="2:40" ht="15.75" customHeight="1">
      <c r="B1819" s="175"/>
      <c r="H1819" s="178"/>
      <c r="I1819" s="179"/>
      <c r="J1819" s="184"/>
      <c r="N1819" s="178"/>
      <c r="O1819" s="178"/>
      <c r="P1819" s="178"/>
      <c r="AN1819" s="458"/>
    </row>
    <row r="1820" spans="2:40" ht="15.75" customHeight="1">
      <c r="B1820" s="175"/>
      <c r="H1820" s="178"/>
      <c r="I1820" s="179"/>
      <c r="J1820" s="184"/>
      <c r="N1820" s="178"/>
      <c r="O1820" s="178"/>
      <c r="P1820" s="178"/>
      <c r="AN1820" s="458"/>
    </row>
    <row r="1821" spans="2:40" ht="15.75" customHeight="1">
      <c r="B1821" s="175"/>
      <c r="H1821" s="178"/>
      <c r="I1821" s="179"/>
      <c r="J1821" s="184"/>
      <c r="N1821" s="178"/>
      <c r="O1821" s="178"/>
      <c r="P1821" s="178"/>
      <c r="AN1821" s="458"/>
    </row>
    <row r="1822" spans="2:40" ht="15.75" customHeight="1">
      <c r="B1822" s="175"/>
      <c r="H1822" s="178"/>
      <c r="I1822" s="179"/>
      <c r="J1822" s="184"/>
      <c r="N1822" s="178"/>
      <c r="O1822" s="178"/>
      <c r="P1822" s="178"/>
      <c r="AN1822" s="458"/>
    </row>
    <row r="1823" spans="2:40" ht="15.75" customHeight="1">
      <c r="B1823" s="175"/>
      <c r="H1823" s="178"/>
      <c r="I1823" s="179"/>
      <c r="J1823" s="184"/>
      <c r="N1823" s="178"/>
      <c r="O1823" s="178"/>
      <c r="P1823" s="178"/>
      <c r="AN1823" s="458"/>
    </row>
    <row r="1824" spans="2:40" ht="15.75" customHeight="1">
      <c r="B1824" s="175"/>
      <c r="H1824" s="178"/>
      <c r="I1824" s="179"/>
      <c r="J1824" s="184"/>
      <c r="N1824" s="178"/>
      <c r="O1824" s="178"/>
      <c r="P1824" s="178"/>
      <c r="AN1824" s="458"/>
    </row>
    <row r="1825" spans="2:40" ht="15.75" customHeight="1">
      <c r="B1825" s="175"/>
      <c r="H1825" s="178"/>
      <c r="I1825" s="179"/>
      <c r="J1825" s="184"/>
      <c r="N1825" s="178"/>
      <c r="O1825" s="178"/>
      <c r="P1825" s="178"/>
      <c r="AN1825" s="458"/>
    </row>
    <row r="1826" spans="2:40" ht="15.75" customHeight="1">
      <c r="B1826" s="175"/>
      <c r="H1826" s="178"/>
      <c r="I1826" s="179"/>
      <c r="J1826" s="184"/>
      <c r="N1826" s="178"/>
      <c r="O1826" s="178"/>
      <c r="P1826" s="178"/>
      <c r="AN1826" s="458"/>
    </row>
    <row r="1827" spans="2:40" ht="15.75" customHeight="1">
      <c r="B1827" s="175"/>
      <c r="H1827" s="178"/>
      <c r="I1827" s="179"/>
      <c r="J1827" s="184"/>
      <c r="N1827" s="178"/>
      <c r="O1827" s="178"/>
      <c r="P1827" s="178"/>
      <c r="AN1827" s="458"/>
    </row>
    <row r="1828" spans="2:40" ht="15.75" customHeight="1">
      <c r="B1828" s="175"/>
      <c r="H1828" s="178"/>
      <c r="I1828" s="179"/>
      <c r="J1828" s="184"/>
      <c r="N1828" s="178"/>
      <c r="O1828" s="178"/>
      <c r="P1828" s="178"/>
      <c r="AN1828" s="458"/>
    </row>
    <row r="1829" spans="2:40" ht="15.75" customHeight="1">
      <c r="B1829" s="175"/>
      <c r="H1829" s="178"/>
      <c r="I1829" s="179"/>
      <c r="J1829" s="184"/>
      <c r="N1829" s="178"/>
      <c r="O1829" s="178"/>
      <c r="P1829" s="178"/>
      <c r="AN1829" s="458"/>
    </row>
    <row r="1830" spans="2:40" ht="15.75" customHeight="1">
      <c r="B1830" s="175"/>
      <c r="H1830" s="178"/>
      <c r="I1830" s="179"/>
      <c r="J1830" s="184"/>
      <c r="N1830" s="178"/>
      <c r="O1830" s="178"/>
      <c r="P1830" s="178"/>
      <c r="AN1830" s="458"/>
    </row>
    <row r="1831" spans="2:40" ht="15.75" customHeight="1">
      <c r="B1831" s="175"/>
      <c r="H1831" s="178"/>
      <c r="I1831" s="179"/>
      <c r="J1831" s="184"/>
      <c r="N1831" s="178"/>
      <c r="O1831" s="178"/>
      <c r="P1831" s="178"/>
      <c r="AN1831" s="458"/>
    </row>
    <row r="1832" spans="2:40" ht="15.75" customHeight="1">
      <c r="B1832" s="175"/>
      <c r="H1832" s="178"/>
      <c r="I1832" s="179"/>
      <c r="J1832" s="184"/>
      <c r="N1832" s="178"/>
      <c r="O1832" s="178"/>
      <c r="P1832" s="178"/>
      <c r="AN1832" s="458"/>
    </row>
    <row r="1833" spans="2:40" ht="15.75" customHeight="1">
      <c r="B1833" s="175"/>
      <c r="H1833" s="178"/>
      <c r="I1833" s="179"/>
      <c r="J1833" s="184"/>
      <c r="N1833" s="178"/>
      <c r="O1833" s="178"/>
      <c r="P1833" s="178"/>
      <c r="AN1833" s="458"/>
    </row>
    <row r="1834" spans="2:40" ht="15.75" customHeight="1">
      <c r="B1834" s="175"/>
      <c r="H1834" s="178"/>
      <c r="I1834" s="179"/>
      <c r="J1834" s="184"/>
      <c r="N1834" s="178"/>
      <c r="O1834" s="178"/>
      <c r="P1834" s="178"/>
      <c r="AN1834" s="458"/>
    </row>
    <row r="1835" spans="2:40" ht="15.75" customHeight="1">
      <c r="B1835" s="175"/>
      <c r="H1835" s="178"/>
      <c r="I1835" s="179"/>
      <c r="J1835" s="184"/>
      <c r="N1835" s="178"/>
      <c r="O1835" s="178"/>
      <c r="P1835" s="178"/>
      <c r="AN1835" s="458"/>
    </row>
    <row r="1836" spans="2:40" ht="15.75" customHeight="1">
      <c r="B1836" s="175"/>
      <c r="H1836" s="178"/>
      <c r="I1836" s="179"/>
      <c r="J1836" s="184"/>
      <c r="N1836" s="178"/>
      <c r="O1836" s="178"/>
      <c r="P1836" s="178"/>
      <c r="AN1836" s="458"/>
    </row>
    <row r="1837" spans="2:40" ht="15.75" customHeight="1">
      <c r="B1837" s="175"/>
      <c r="H1837" s="178"/>
      <c r="I1837" s="179"/>
      <c r="J1837" s="184"/>
      <c r="N1837" s="178"/>
      <c r="O1837" s="178"/>
      <c r="P1837" s="178"/>
      <c r="AN1837" s="458"/>
    </row>
    <row r="1838" spans="2:40" ht="15.75" customHeight="1">
      <c r="B1838" s="175"/>
      <c r="H1838" s="178"/>
      <c r="I1838" s="179"/>
      <c r="J1838" s="184"/>
      <c r="N1838" s="178"/>
      <c r="O1838" s="178"/>
      <c r="P1838" s="178"/>
      <c r="AN1838" s="458"/>
    </row>
    <row r="1839" spans="2:40" ht="15.75" customHeight="1">
      <c r="B1839" s="175"/>
      <c r="H1839" s="178"/>
      <c r="I1839" s="179"/>
      <c r="J1839" s="184"/>
      <c r="N1839" s="178"/>
      <c r="O1839" s="178"/>
      <c r="P1839" s="178"/>
      <c r="AN1839" s="458"/>
    </row>
    <row r="1840" spans="2:40" ht="15.75" customHeight="1">
      <c r="B1840" s="175"/>
      <c r="H1840" s="178"/>
      <c r="I1840" s="179"/>
      <c r="J1840" s="184"/>
      <c r="N1840" s="178"/>
      <c r="O1840" s="178"/>
      <c r="P1840" s="178"/>
      <c r="AN1840" s="458"/>
    </row>
    <row r="1841" spans="2:40" ht="15.75" customHeight="1">
      <c r="B1841" s="175"/>
      <c r="H1841" s="178"/>
      <c r="I1841" s="179"/>
      <c r="J1841" s="184"/>
      <c r="N1841" s="178"/>
      <c r="O1841" s="178"/>
      <c r="P1841" s="178"/>
      <c r="AN1841" s="458"/>
    </row>
    <row r="1842" spans="2:40" ht="15.75" customHeight="1">
      <c r="B1842" s="175"/>
      <c r="H1842" s="178"/>
      <c r="I1842" s="179"/>
      <c r="J1842" s="184"/>
      <c r="N1842" s="178"/>
      <c r="O1842" s="178"/>
      <c r="P1842" s="178"/>
      <c r="AN1842" s="458"/>
    </row>
    <row r="1843" spans="2:40" ht="15.75" customHeight="1">
      <c r="B1843" s="175"/>
      <c r="H1843" s="178"/>
      <c r="I1843" s="179"/>
      <c r="J1843" s="184"/>
      <c r="N1843" s="178"/>
      <c r="O1843" s="178"/>
      <c r="P1843" s="178"/>
      <c r="AN1843" s="458"/>
    </row>
    <row r="1844" spans="2:40" ht="15.75" customHeight="1">
      <c r="B1844" s="175"/>
      <c r="H1844" s="178"/>
      <c r="I1844" s="179"/>
      <c r="J1844" s="184"/>
      <c r="N1844" s="178"/>
      <c r="O1844" s="178"/>
      <c r="P1844" s="178"/>
      <c r="AN1844" s="458"/>
    </row>
    <row r="1845" spans="2:40" ht="15.75" customHeight="1">
      <c r="B1845" s="175"/>
      <c r="H1845" s="178"/>
      <c r="I1845" s="179"/>
      <c r="J1845" s="184"/>
      <c r="N1845" s="178"/>
      <c r="O1845" s="178"/>
      <c r="P1845" s="178"/>
      <c r="AN1845" s="458"/>
    </row>
    <row r="1846" spans="2:40" ht="15.75" customHeight="1">
      <c r="B1846" s="175"/>
      <c r="H1846" s="178"/>
      <c r="I1846" s="179"/>
      <c r="J1846" s="184"/>
      <c r="N1846" s="178"/>
      <c r="O1846" s="178"/>
      <c r="P1846" s="178"/>
      <c r="AN1846" s="458"/>
    </row>
    <row r="1847" spans="2:40" ht="15.75" customHeight="1">
      <c r="B1847" s="175"/>
      <c r="H1847" s="178"/>
      <c r="I1847" s="179"/>
      <c r="J1847" s="184"/>
      <c r="N1847" s="178"/>
      <c r="O1847" s="178"/>
      <c r="P1847" s="178"/>
      <c r="AN1847" s="458"/>
    </row>
    <row r="1848" spans="2:40" ht="15.75" customHeight="1">
      <c r="B1848" s="175"/>
      <c r="H1848" s="178"/>
      <c r="I1848" s="179"/>
      <c r="J1848" s="184"/>
      <c r="N1848" s="178"/>
      <c r="O1848" s="178"/>
      <c r="P1848" s="178"/>
      <c r="AN1848" s="458"/>
    </row>
    <row r="1849" spans="2:40" ht="15.75" customHeight="1">
      <c r="B1849" s="175"/>
      <c r="H1849" s="178"/>
      <c r="I1849" s="179"/>
      <c r="J1849" s="184"/>
      <c r="N1849" s="178"/>
      <c r="O1849" s="178"/>
      <c r="P1849" s="178"/>
      <c r="AN1849" s="458"/>
    </row>
    <row r="1850" spans="2:40" ht="15.75" customHeight="1">
      <c r="B1850" s="175"/>
      <c r="H1850" s="178"/>
      <c r="I1850" s="179"/>
      <c r="J1850" s="184"/>
      <c r="N1850" s="178"/>
      <c r="O1850" s="178"/>
      <c r="P1850" s="178"/>
      <c r="AN1850" s="458"/>
    </row>
    <row r="1851" spans="2:40" ht="15.75" customHeight="1">
      <c r="B1851" s="175"/>
      <c r="H1851" s="178"/>
      <c r="I1851" s="179"/>
      <c r="J1851" s="184"/>
      <c r="N1851" s="178"/>
      <c r="O1851" s="178"/>
      <c r="P1851" s="178"/>
      <c r="AN1851" s="458"/>
    </row>
    <row r="1852" spans="2:40" ht="15.75" customHeight="1">
      <c r="B1852" s="175"/>
      <c r="H1852" s="178"/>
      <c r="I1852" s="179"/>
      <c r="J1852" s="184"/>
      <c r="N1852" s="178"/>
      <c r="O1852" s="178"/>
      <c r="P1852" s="178"/>
      <c r="AN1852" s="458"/>
    </row>
    <row r="1853" spans="2:40" ht="15.75" customHeight="1">
      <c r="B1853" s="175"/>
      <c r="H1853" s="178"/>
      <c r="I1853" s="179"/>
      <c r="J1853" s="184"/>
      <c r="N1853" s="178"/>
      <c r="O1853" s="178"/>
      <c r="P1853" s="178"/>
      <c r="AN1853" s="458"/>
    </row>
    <row r="1854" spans="2:40" ht="15.75" customHeight="1">
      <c r="B1854" s="175"/>
      <c r="H1854" s="178"/>
      <c r="I1854" s="179"/>
      <c r="J1854" s="184"/>
      <c r="N1854" s="178"/>
      <c r="O1854" s="178"/>
      <c r="P1854" s="178"/>
      <c r="AN1854" s="458"/>
    </row>
    <row r="1855" spans="2:40" ht="15.75" customHeight="1">
      <c r="B1855" s="175"/>
      <c r="H1855" s="178"/>
      <c r="I1855" s="179"/>
      <c r="J1855" s="184"/>
      <c r="N1855" s="178"/>
      <c r="O1855" s="178"/>
      <c r="P1855" s="178"/>
      <c r="AN1855" s="458"/>
    </row>
    <row r="1856" spans="2:40" ht="15.75" customHeight="1">
      <c r="B1856" s="175"/>
      <c r="H1856" s="178"/>
      <c r="I1856" s="179"/>
      <c r="J1856" s="184"/>
      <c r="N1856" s="178"/>
      <c r="O1856" s="178"/>
      <c r="P1856" s="178"/>
      <c r="AN1856" s="458"/>
    </row>
    <row r="1857" spans="2:40" ht="15.75" customHeight="1">
      <c r="B1857" s="175"/>
      <c r="H1857" s="178"/>
      <c r="I1857" s="179"/>
      <c r="J1857" s="184"/>
      <c r="N1857" s="178"/>
      <c r="O1857" s="178"/>
      <c r="P1857" s="178"/>
      <c r="AN1857" s="458"/>
    </row>
    <row r="1858" spans="2:40" ht="15.75" customHeight="1">
      <c r="B1858" s="175"/>
      <c r="H1858" s="178"/>
      <c r="I1858" s="179"/>
      <c r="J1858" s="184"/>
      <c r="N1858" s="178"/>
      <c r="O1858" s="178"/>
      <c r="P1858" s="178"/>
      <c r="AN1858" s="458"/>
    </row>
    <row r="1859" spans="2:40" ht="15.75" customHeight="1">
      <c r="B1859" s="175"/>
      <c r="H1859" s="178"/>
      <c r="I1859" s="179"/>
      <c r="J1859" s="184"/>
      <c r="N1859" s="178"/>
      <c r="O1859" s="178"/>
      <c r="P1859" s="178"/>
      <c r="AN1859" s="458"/>
    </row>
    <row r="1860" spans="2:40" ht="15.75" customHeight="1">
      <c r="B1860" s="175"/>
      <c r="H1860" s="178"/>
      <c r="I1860" s="179"/>
      <c r="J1860" s="184"/>
      <c r="N1860" s="178"/>
      <c r="O1860" s="178"/>
      <c r="P1860" s="178"/>
      <c r="AN1860" s="458"/>
    </row>
    <row r="1861" spans="2:40" ht="15.75" customHeight="1">
      <c r="B1861" s="175"/>
      <c r="H1861" s="178"/>
      <c r="I1861" s="179"/>
      <c r="J1861" s="184"/>
      <c r="N1861" s="178"/>
      <c r="O1861" s="178"/>
      <c r="P1861" s="178"/>
      <c r="AN1861" s="458"/>
    </row>
    <row r="1862" spans="2:40" ht="15.75" customHeight="1">
      <c r="B1862" s="175"/>
      <c r="H1862" s="178"/>
      <c r="I1862" s="179"/>
      <c r="J1862" s="184"/>
      <c r="N1862" s="178"/>
      <c r="O1862" s="178"/>
      <c r="P1862" s="178"/>
      <c r="AN1862" s="458"/>
    </row>
    <row r="1863" spans="2:40" ht="15.75" customHeight="1">
      <c r="B1863" s="175"/>
      <c r="H1863" s="178"/>
      <c r="I1863" s="179"/>
      <c r="J1863" s="184"/>
      <c r="N1863" s="178"/>
      <c r="O1863" s="178"/>
      <c r="P1863" s="178"/>
      <c r="AN1863" s="458"/>
    </row>
    <row r="1864" spans="2:40" ht="15.75" customHeight="1">
      <c r="B1864" s="175"/>
      <c r="H1864" s="178"/>
      <c r="I1864" s="179"/>
      <c r="J1864" s="184"/>
      <c r="N1864" s="178"/>
      <c r="O1864" s="178"/>
      <c r="P1864" s="178"/>
      <c r="AN1864" s="458"/>
    </row>
    <row r="1865" spans="2:40" ht="15.75" customHeight="1">
      <c r="B1865" s="175"/>
      <c r="H1865" s="178"/>
      <c r="I1865" s="179"/>
      <c r="J1865" s="184"/>
      <c r="N1865" s="178"/>
      <c r="O1865" s="178"/>
      <c r="P1865" s="178"/>
      <c r="AN1865" s="458"/>
    </row>
    <row r="1866" spans="2:40" ht="15.75" customHeight="1">
      <c r="B1866" s="175"/>
      <c r="H1866" s="178"/>
      <c r="I1866" s="179"/>
      <c r="J1866" s="184"/>
      <c r="N1866" s="178"/>
      <c r="O1866" s="178"/>
      <c r="P1866" s="178"/>
      <c r="AN1866" s="458"/>
    </row>
    <row r="1867" spans="2:40" ht="15.75" customHeight="1">
      <c r="B1867" s="175"/>
      <c r="H1867" s="178"/>
      <c r="I1867" s="179"/>
      <c r="J1867" s="184"/>
      <c r="N1867" s="178"/>
      <c r="O1867" s="178"/>
      <c r="P1867" s="178"/>
      <c r="AN1867" s="458"/>
    </row>
    <row r="1868" spans="2:40" ht="15.75" customHeight="1">
      <c r="B1868" s="175"/>
      <c r="H1868" s="178"/>
      <c r="I1868" s="179"/>
      <c r="J1868" s="184"/>
      <c r="N1868" s="178"/>
      <c r="O1868" s="178"/>
      <c r="P1868" s="178"/>
      <c r="AN1868" s="458"/>
    </row>
    <row r="1869" spans="2:40" ht="15.75" customHeight="1">
      <c r="B1869" s="175"/>
      <c r="H1869" s="178"/>
      <c r="I1869" s="179"/>
      <c r="J1869" s="184"/>
      <c r="N1869" s="178"/>
      <c r="O1869" s="178"/>
      <c r="P1869" s="178"/>
      <c r="AN1869" s="458"/>
    </row>
    <row r="1870" spans="2:40" ht="15.75" customHeight="1">
      <c r="B1870" s="175"/>
      <c r="H1870" s="178"/>
      <c r="I1870" s="179"/>
      <c r="J1870" s="184"/>
      <c r="N1870" s="178"/>
      <c r="O1870" s="178"/>
      <c r="P1870" s="178"/>
      <c r="AN1870" s="458"/>
    </row>
    <row r="1871" spans="2:40" ht="15.75" customHeight="1">
      <c r="B1871" s="175"/>
      <c r="H1871" s="178"/>
      <c r="I1871" s="179"/>
      <c r="J1871" s="184"/>
      <c r="N1871" s="178"/>
      <c r="O1871" s="178"/>
      <c r="P1871" s="178"/>
      <c r="AN1871" s="458"/>
    </row>
    <row r="1872" spans="2:40" ht="15.75" customHeight="1">
      <c r="B1872" s="175"/>
      <c r="H1872" s="178"/>
      <c r="I1872" s="179"/>
      <c r="J1872" s="184"/>
      <c r="N1872" s="178"/>
      <c r="O1872" s="178"/>
      <c r="P1872" s="178"/>
      <c r="AN1872" s="458"/>
    </row>
    <row r="1873" spans="2:40" ht="15.75" customHeight="1">
      <c r="B1873" s="175"/>
      <c r="H1873" s="178"/>
      <c r="I1873" s="179"/>
      <c r="J1873" s="184"/>
      <c r="N1873" s="178"/>
      <c r="O1873" s="178"/>
      <c r="P1873" s="178"/>
      <c r="AN1873" s="458"/>
    </row>
    <row r="1874" spans="2:40" ht="15.75" customHeight="1">
      <c r="B1874" s="175"/>
      <c r="H1874" s="178"/>
      <c r="I1874" s="179"/>
      <c r="J1874" s="184"/>
      <c r="N1874" s="178"/>
      <c r="O1874" s="178"/>
      <c r="P1874" s="178"/>
      <c r="AN1874" s="458"/>
    </row>
    <row r="1875" spans="2:40" ht="15.75" customHeight="1">
      <c r="B1875" s="175"/>
      <c r="H1875" s="178"/>
      <c r="I1875" s="179"/>
      <c r="J1875" s="184"/>
      <c r="N1875" s="178"/>
      <c r="O1875" s="178"/>
      <c r="P1875" s="178"/>
      <c r="AN1875" s="458"/>
    </row>
    <row r="1876" spans="2:40" ht="15.75" customHeight="1">
      <c r="B1876" s="175"/>
      <c r="H1876" s="178"/>
      <c r="I1876" s="179"/>
      <c r="J1876" s="184"/>
      <c r="N1876" s="178"/>
      <c r="O1876" s="178"/>
      <c r="P1876" s="178"/>
      <c r="AN1876" s="458"/>
    </row>
    <row r="1877" spans="2:40" ht="15.75" customHeight="1">
      <c r="B1877" s="175"/>
      <c r="H1877" s="178"/>
      <c r="I1877" s="179"/>
      <c r="J1877" s="184"/>
      <c r="N1877" s="178"/>
      <c r="O1877" s="178"/>
      <c r="P1877" s="178"/>
      <c r="AN1877" s="458"/>
    </row>
    <row r="1878" spans="2:40" ht="15.75" customHeight="1">
      <c r="B1878" s="175"/>
      <c r="H1878" s="178"/>
      <c r="I1878" s="179"/>
      <c r="J1878" s="184"/>
      <c r="N1878" s="178"/>
      <c r="O1878" s="178"/>
      <c r="P1878" s="178"/>
      <c r="AN1878" s="458"/>
    </row>
    <row r="1879" spans="2:40" ht="15.75" customHeight="1">
      <c r="B1879" s="175"/>
      <c r="H1879" s="178"/>
      <c r="I1879" s="179"/>
      <c r="J1879" s="184"/>
      <c r="N1879" s="178"/>
      <c r="O1879" s="178"/>
      <c r="P1879" s="178"/>
      <c r="AN1879" s="458"/>
    </row>
    <row r="1880" spans="2:40" ht="15.75" customHeight="1">
      <c r="B1880" s="175"/>
      <c r="H1880" s="178"/>
      <c r="I1880" s="179"/>
      <c r="J1880" s="184"/>
      <c r="N1880" s="178"/>
      <c r="O1880" s="178"/>
      <c r="P1880" s="178"/>
      <c r="AN1880" s="458"/>
    </row>
    <row r="1881" spans="2:40" ht="15.75" customHeight="1">
      <c r="B1881" s="175"/>
      <c r="H1881" s="178"/>
      <c r="I1881" s="179"/>
      <c r="J1881" s="184"/>
      <c r="N1881" s="178"/>
      <c r="O1881" s="178"/>
      <c r="P1881" s="178"/>
      <c r="AN1881" s="458"/>
    </row>
    <row r="1882" spans="2:40" ht="15.75" customHeight="1">
      <c r="B1882" s="175"/>
      <c r="H1882" s="178"/>
      <c r="I1882" s="179"/>
      <c r="J1882" s="184"/>
      <c r="N1882" s="178"/>
      <c r="O1882" s="178"/>
      <c r="P1882" s="178"/>
      <c r="AN1882" s="458"/>
    </row>
    <row r="1883" spans="2:40" ht="15.75" customHeight="1">
      <c r="B1883" s="175"/>
      <c r="H1883" s="178"/>
      <c r="I1883" s="179"/>
      <c r="J1883" s="184"/>
      <c r="N1883" s="178"/>
      <c r="O1883" s="178"/>
      <c r="P1883" s="178"/>
      <c r="AN1883" s="458"/>
    </row>
    <row r="1884" spans="2:40" ht="15.75" customHeight="1">
      <c r="B1884" s="175"/>
      <c r="H1884" s="178"/>
      <c r="I1884" s="179"/>
      <c r="J1884" s="184"/>
      <c r="N1884" s="178"/>
      <c r="O1884" s="178"/>
      <c r="P1884" s="178"/>
      <c r="AN1884" s="458"/>
    </row>
    <row r="1885" spans="2:40" ht="15.75" customHeight="1">
      <c r="B1885" s="175"/>
      <c r="H1885" s="178"/>
      <c r="I1885" s="179"/>
      <c r="J1885" s="184"/>
      <c r="N1885" s="178"/>
      <c r="O1885" s="178"/>
      <c r="P1885" s="178"/>
      <c r="AN1885" s="458"/>
    </row>
    <row r="1886" spans="2:40" ht="15.75" customHeight="1">
      <c r="B1886" s="175"/>
      <c r="H1886" s="178"/>
      <c r="I1886" s="179"/>
      <c r="J1886" s="184"/>
      <c r="N1886" s="178"/>
      <c r="O1886" s="178"/>
      <c r="P1886" s="178"/>
      <c r="AN1886" s="458"/>
    </row>
    <row r="1887" spans="2:40" ht="15.75" customHeight="1">
      <c r="B1887" s="175"/>
      <c r="H1887" s="178"/>
      <c r="I1887" s="179"/>
      <c r="J1887" s="184"/>
      <c r="N1887" s="178"/>
      <c r="O1887" s="178"/>
      <c r="P1887" s="178"/>
      <c r="AN1887" s="458"/>
    </row>
    <row r="1888" spans="2:40" ht="15.75" customHeight="1">
      <c r="B1888" s="175"/>
      <c r="H1888" s="178"/>
      <c r="I1888" s="179"/>
      <c r="J1888" s="184"/>
      <c r="N1888" s="178"/>
      <c r="O1888" s="178"/>
      <c r="P1888" s="178"/>
      <c r="AN1888" s="458"/>
    </row>
    <row r="1889" spans="2:40" ht="15.75" customHeight="1">
      <c r="B1889" s="175"/>
      <c r="H1889" s="178"/>
      <c r="I1889" s="179"/>
      <c r="J1889" s="184"/>
      <c r="N1889" s="178"/>
      <c r="O1889" s="178"/>
      <c r="P1889" s="178"/>
      <c r="AN1889" s="458"/>
    </row>
    <row r="1890" spans="2:40" ht="15.75" customHeight="1">
      <c r="B1890" s="175"/>
      <c r="H1890" s="178"/>
      <c r="I1890" s="179"/>
      <c r="J1890" s="184"/>
      <c r="N1890" s="178"/>
      <c r="O1890" s="178"/>
      <c r="P1890" s="178"/>
      <c r="AN1890" s="458"/>
    </row>
    <row r="1891" spans="2:40" ht="15.75" customHeight="1">
      <c r="B1891" s="175"/>
      <c r="H1891" s="178"/>
      <c r="I1891" s="179"/>
      <c r="J1891" s="184"/>
      <c r="N1891" s="178"/>
      <c r="O1891" s="178"/>
      <c r="P1891" s="178"/>
      <c r="AN1891" s="458"/>
    </row>
    <row r="1892" spans="2:40" ht="15.75" customHeight="1">
      <c r="B1892" s="175"/>
      <c r="H1892" s="178"/>
      <c r="I1892" s="179"/>
      <c r="J1892" s="184"/>
      <c r="N1892" s="178"/>
      <c r="O1892" s="178"/>
      <c r="P1892" s="178"/>
      <c r="AN1892" s="458"/>
    </row>
    <row r="1893" spans="2:40" ht="15.75" customHeight="1">
      <c r="B1893" s="175"/>
      <c r="H1893" s="178"/>
      <c r="I1893" s="179"/>
      <c r="J1893" s="184"/>
      <c r="N1893" s="178"/>
      <c r="O1893" s="178"/>
      <c r="P1893" s="178"/>
      <c r="AN1893" s="458"/>
    </row>
    <row r="1894" spans="2:40" ht="15.75" customHeight="1">
      <c r="B1894" s="175"/>
      <c r="H1894" s="178"/>
      <c r="I1894" s="179"/>
      <c r="J1894" s="184"/>
      <c r="N1894" s="178"/>
      <c r="O1894" s="178"/>
      <c r="P1894" s="178"/>
      <c r="AN1894" s="458"/>
    </row>
    <row r="1895" spans="2:40" ht="15.75" customHeight="1">
      <c r="B1895" s="175"/>
      <c r="H1895" s="178"/>
      <c r="I1895" s="179"/>
      <c r="J1895" s="184"/>
      <c r="N1895" s="178"/>
      <c r="O1895" s="178"/>
      <c r="P1895" s="178"/>
      <c r="AN1895" s="458"/>
    </row>
    <row r="1896" spans="2:40" ht="15.75" customHeight="1">
      <c r="B1896" s="175"/>
      <c r="H1896" s="178"/>
      <c r="I1896" s="179"/>
      <c r="J1896" s="184"/>
      <c r="N1896" s="178"/>
      <c r="O1896" s="178"/>
      <c r="P1896" s="178"/>
      <c r="AN1896" s="458"/>
    </row>
    <row r="1897" spans="2:40" ht="15.75" customHeight="1">
      <c r="B1897" s="175"/>
      <c r="H1897" s="178"/>
      <c r="N1897" s="178"/>
      <c r="P1897" s="178"/>
      <c r="AN1897" s="458"/>
    </row>
    <row r="1898" spans="2:40" ht="15.75" customHeight="1">
      <c r="B1898" s="175"/>
      <c r="H1898" s="178"/>
      <c r="N1898" s="178"/>
      <c r="P1898" s="178"/>
      <c r="AN1898" s="458"/>
    </row>
    <row r="1899" spans="2:40" ht="15.75" customHeight="1">
      <c r="B1899" s="175"/>
      <c r="H1899" s="178"/>
      <c r="N1899" s="178"/>
      <c r="P1899" s="178"/>
      <c r="AN1899" s="458"/>
    </row>
    <row r="1900" spans="2:40" ht="15.75" customHeight="1">
      <c r="B1900" s="175"/>
      <c r="H1900" s="178"/>
      <c r="N1900" s="178"/>
      <c r="P1900" s="178"/>
      <c r="AN1900" s="458"/>
    </row>
    <row r="1901" spans="2:40" ht="15.75" customHeight="1">
      <c r="B1901" s="175"/>
      <c r="H1901" s="178"/>
      <c r="N1901" s="178"/>
      <c r="P1901" s="178"/>
      <c r="AN1901" s="458"/>
    </row>
    <row r="1902" spans="2:40" ht="15.75" customHeight="1">
      <c r="B1902" s="175"/>
      <c r="H1902" s="178"/>
      <c r="P1902" s="178"/>
      <c r="AN1902" s="458"/>
    </row>
    <row r="1903" spans="2:40" ht="15.75" customHeight="1">
      <c r="B1903" s="175"/>
      <c r="H1903" s="178"/>
      <c r="I1903" s="179"/>
      <c r="J1903" s="184"/>
      <c r="N1903" s="178"/>
      <c r="O1903" s="178"/>
      <c r="P1903" s="178"/>
      <c r="AN1903" s="458"/>
    </row>
    <row r="1904" spans="2:40" ht="15.75" customHeight="1">
      <c r="B1904" s="175"/>
      <c r="H1904" s="178"/>
      <c r="I1904" s="179"/>
      <c r="J1904" s="184"/>
      <c r="N1904" s="178"/>
      <c r="O1904" s="178"/>
      <c r="P1904" s="178"/>
      <c r="AN1904" s="458"/>
    </row>
    <row r="1905" spans="2:40" ht="15.75" customHeight="1">
      <c r="B1905" s="175"/>
      <c r="H1905" s="178"/>
      <c r="I1905" s="179"/>
      <c r="J1905" s="184"/>
      <c r="N1905" s="178"/>
      <c r="O1905" s="178"/>
      <c r="P1905" s="178"/>
      <c r="AN1905" s="458"/>
    </row>
    <row r="1906" spans="2:40" ht="15.75" customHeight="1">
      <c r="B1906" s="175"/>
      <c r="H1906" s="178"/>
      <c r="I1906" s="179"/>
      <c r="J1906" s="184"/>
      <c r="N1906" s="178"/>
      <c r="O1906" s="178"/>
      <c r="P1906" s="178"/>
      <c r="AN1906" s="458"/>
    </row>
    <row r="1907" spans="2:40" ht="15.75" customHeight="1">
      <c r="B1907" s="175"/>
      <c r="H1907" s="178"/>
      <c r="I1907" s="179"/>
      <c r="J1907" s="184"/>
      <c r="N1907" s="178"/>
      <c r="O1907" s="178"/>
      <c r="P1907" s="178"/>
      <c r="AN1907" s="458"/>
    </row>
    <row r="1908" spans="2:40" ht="15.75" customHeight="1">
      <c r="B1908" s="175"/>
      <c r="H1908" s="178"/>
      <c r="I1908" s="179"/>
      <c r="J1908" s="184"/>
      <c r="N1908" s="178"/>
      <c r="O1908" s="178"/>
      <c r="P1908" s="178"/>
      <c r="AN1908" s="458"/>
    </row>
    <row r="1909" spans="2:40" ht="15.75" customHeight="1">
      <c r="B1909" s="175"/>
      <c r="H1909" s="178"/>
      <c r="I1909" s="179"/>
      <c r="J1909" s="184"/>
      <c r="N1909" s="178"/>
      <c r="O1909" s="178"/>
      <c r="P1909" s="178"/>
      <c r="AN1909" s="458"/>
    </row>
    <row r="1910" spans="2:40" ht="15.75" customHeight="1">
      <c r="B1910" s="175"/>
      <c r="H1910" s="178"/>
      <c r="I1910" s="179"/>
      <c r="J1910" s="184"/>
      <c r="N1910" s="178"/>
      <c r="O1910" s="178"/>
      <c r="P1910" s="178"/>
      <c r="AN1910" s="458"/>
    </row>
    <row r="1911" spans="2:40" ht="15.75" customHeight="1">
      <c r="B1911" s="175"/>
      <c r="H1911" s="178"/>
      <c r="I1911" s="179"/>
      <c r="J1911" s="184"/>
      <c r="N1911" s="178"/>
      <c r="O1911" s="178"/>
      <c r="P1911" s="178"/>
      <c r="AN1911" s="458"/>
    </row>
    <row r="1912" spans="2:40" ht="15.75" customHeight="1">
      <c r="B1912" s="175"/>
      <c r="H1912" s="178"/>
      <c r="I1912" s="179"/>
      <c r="J1912" s="184"/>
      <c r="N1912" s="178"/>
      <c r="O1912" s="178"/>
      <c r="P1912" s="178"/>
      <c r="AN1912" s="458"/>
    </row>
    <row r="1913" spans="2:40" ht="15.75" customHeight="1">
      <c r="B1913" s="175"/>
      <c r="H1913" s="178"/>
      <c r="I1913" s="179"/>
      <c r="J1913" s="184"/>
      <c r="N1913" s="178"/>
      <c r="O1913" s="178"/>
      <c r="P1913" s="178"/>
      <c r="AN1913" s="458"/>
    </row>
    <row r="1914" spans="2:40" ht="15.75" customHeight="1">
      <c r="B1914" s="175"/>
      <c r="H1914" s="178"/>
      <c r="I1914" s="179"/>
      <c r="J1914" s="184"/>
      <c r="N1914" s="178"/>
      <c r="O1914" s="178"/>
      <c r="P1914" s="178"/>
      <c r="AN1914" s="458"/>
    </row>
    <row r="1915" spans="2:40" ht="15.75" customHeight="1">
      <c r="B1915" s="175"/>
      <c r="H1915" s="178"/>
      <c r="I1915" s="179"/>
      <c r="J1915" s="184"/>
      <c r="N1915" s="178"/>
      <c r="O1915" s="178"/>
      <c r="P1915" s="178"/>
      <c r="AN1915" s="458"/>
    </row>
    <row r="1916" spans="2:40" ht="15.75" customHeight="1">
      <c r="B1916" s="175"/>
      <c r="H1916" s="178"/>
      <c r="I1916" s="179"/>
      <c r="J1916" s="184"/>
      <c r="N1916" s="178"/>
      <c r="O1916" s="178"/>
      <c r="P1916" s="178"/>
      <c r="AN1916" s="458"/>
    </row>
    <row r="1917" spans="2:40" ht="15.75" customHeight="1">
      <c r="B1917" s="175"/>
      <c r="H1917" s="178"/>
      <c r="I1917" s="179"/>
      <c r="J1917" s="184"/>
      <c r="N1917" s="178"/>
      <c r="O1917" s="178"/>
      <c r="P1917" s="178"/>
      <c r="AN1917" s="458"/>
    </row>
    <row r="1918" spans="2:40" ht="15.75" customHeight="1">
      <c r="B1918" s="175"/>
      <c r="H1918" s="178"/>
      <c r="I1918" s="179"/>
      <c r="J1918" s="184"/>
      <c r="N1918" s="178"/>
      <c r="O1918" s="178"/>
      <c r="P1918" s="178"/>
      <c r="AN1918" s="458"/>
    </row>
    <row r="1919" spans="2:40" ht="15.75" customHeight="1">
      <c r="B1919" s="175"/>
      <c r="H1919" s="178"/>
      <c r="I1919" s="179"/>
      <c r="J1919" s="184"/>
      <c r="N1919" s="178"/>
      <c r="O1919" s="178"/>
      <c r="P1919" s="178"/>
      <c r="AN1919" s="458"/>
    </row>
    <row r="1920" spans="2:40" ht="15.75" customHeight="1">
      <c r="B1920" s="175"/>
      <c r="H1920" s="178"/>
      <c r="I1920" s="179"/>
      <c r="J1920" s="184"/>
      <c r="N1920" s="178"/>
      <c r="O1920" s="178"/>
      <c r="P1920" s="178"/>
      <c r="AN1920" s="458"/>
    </row>
    <row r="1921" spans="2:40" ht="15.75" customHeight="1">
      <c r="B1921" s="175"/>
      <c r="H1921" s="178"/>
      <c r="I1921" s="179"/>
      <c r="J1921" s="184"/>
      <c r="N1921" s="178"/>
      <c r="O1921" s="178"/>
      <c r="P1921" s="178"/>
      <c r="AN1921" s="458"/>
    </row>
    <row r="1922" spans="2:40" ht="15.75" customHeight="1">
      <c r="B1922" s="175"/>
      <c r="H1922" s="178"/>
      <c r="I1922" s="179"/>
      <c r="J1922" s="184"/>
      <c r="N1922" s="178"/>
      <c r="O1922" s="178"/>
      <c r="P1922" s="178"/>
      <c r="AN1922" s="458"/>
    </row>
    <row r="1923" spans="2:40" ht="15.75" customHeight="1">
      <c r="B1923" s="175"/>
      <c r="H1923" s="178"/>
      <c r="I1923" s="179"/>
      <c r="J1923" s="184"/>
      <c r="N1923" s="178"/>
      <c r="O1923" s="178"/>
      <c r="P1923" s="178"/>
      <c r="AN1923" s="458"/>
    </row>
    <row r="1924" spans="2:40" ht="15.75" customHeight="1">
      <c r="B1924" s="175"/>
      <c r="H1924" s="178"/>
      <c r="I1924" s="179"/>
      <c r="J1924" s="184"/>
      <c r="N1924" s="178"/>
      <c r="O1924" s="178"/>
      <c r="P1924" s="178"/>
      <c r="AN1924" s="458"/>
    </row>
    <row r="1925" spans="2:40" ht="15.75" customHeight="1">
      <c r="B1925" s="175"/>
      <c r="H1925" s="178"/>
      <c r="I1925" s="179"/>
      <c r="J1925" s="184"/>
      <c r="N1925" s="178"/>
      <c r="O1925" s="178"/>
      <c r="P1925" s="178"/>
      <c r="AN1925" s="458"/>
    </row>
    <row r="1926" spans="2:40" ht="15.75" customHeight="1">
      <c r="B1926" s="175"/>
      <c r="H1926" s="178"/>
      <c r="I1926" s="179"/>
      <c r="J1926" s="184"/>
      <c r="N1926" s="178"/>
      <c r="O1926" s="178"/>
      <c r="P1926" s="178"/>
      <c r="AN1926" s="458"/>
    </row>
    <row r="1927" spans="2:40" ht="15.75" customHeight="1">
      <c r="B1927" s="175"/>
      <c r="H1927" s="178"/>
      <c r="I1927" s="179"/>
      <c r="J1927" s="184"/>
      <c r="N1927" s="178"/>
      <c r="O1927" s="178"/>
      <c r="P1927" s="178"/>
      <c r="AN1927" s="458"/>
    </row>
    <row r="1928" spans="2:40" ht="15.75" customHeight="1">
      <c r="B1928" s="175"/>
      <c r="H1928" s="178"/>
      <c r="I1928" s="179"/>
      <c r="J1928" s="184"/>
      <c r="N1928" s="178"/>
      <c r="O1928" s="178"/>
      <c r="P1928" s="178"/>
      <c r="AN1928" s="458"/>
    </row>
    <row r="1929" spans="2:40" ht="15.75" customHeight="1">
      <c r="B1929" s="175"/>
      <c r="H1929" s="178"/>
      <c r="I1929" s="179"/>
      <c r="J1929" s="184"/>
      <c r="N1929" s="178"/>
      <c r="O1929" s="178"/>
      <c r="P1929" s="178"/>
      <c r="AN1929" s="458"/>
    </row>
    <row r="1930" spans="2:40" ht="15.75" customHeight="1">
      <c r="B1930" s="175"/>
      <c r="H1930" s="178"/>
      <c r="I1930" s="179"/>
      <c r="J1930" s="184"/>
      <c r="N1930" s="178"/>
      <c r="O1930" s="178"/>
      <c r="P1930" s="178"/>
      <c r="AN1930" s="458"/>
    </row>
    <row r="1931" spans="2:40" ht="15.75" customHeight="1">
      <c r="B1931" s="175"/>
      <c r="H1931" s="178"/>
      <c r="I1931" s="179"/>
      <c r="J1931" s="184"/>
      <c r="N1931" s="178"/>
      <c r="O1931" s="178"/>
      <c r="P1931" s="178"/>
      <c r="AN1931" s="458"/>
    </row>
    <row r="1932" spans="2:40" ht="15.75" customHeight="1">
      <c r="B1932" s="175"/>
      <c r="H1932" s="178"/>
      <c r="I1932" s="179"/>
      <c r="J1932" s="184"/>
      <c r="N1932" s="178"/>
      <c r="O1932" s="178"/>
      <c r="P1932" s="178"/>
      <c r="AN1932" s="458"/>
    </row>
    <row r="1933" spans="2:40" ht="15.75" customHeight="1">
      <c r="B1933" s="175"/>
      <c r="H1933" s="178"/>
      <c r="I1933" s="179"/>
      <c r="J1933" s="184"/>
      <c r="N1933" s="178"/>
      <c r="O1933" s="178"/>
      <c r="P1933" s="178"/>
      <c r="AN1933" s="458"/>
    </row>
    <row r="1934" spans="2:40" ht="15.75" customHeight="1">
      <c r="B1934" s="175"/>
      <c r="H1934" s="178"/>
      <c r="I1934" s="179"/>
      <c r="J1934" s="184"/>
      <c r="N1934" s="178"/>
      <c r="O1934" s="178"/>
      <c r="P1934" s="178"/>
      <c r="AN1934" s="458"/>
    </row>
    <row r="1935" spans="2:40" ht="15.75" customHeight="1">
      <c r="B1935" s="175"/>
      <c r="H1935" s="178"/>
      <c r="I1935" s="179"/>
      <c r="J1935" s="184"/>
      <c r="N1935" s="178"/>
      <c r="O1935" s="178"/>
      <c r="P1935" s="178"/>
      <c r="AN1935" s="458"/>
    </row>
    <row r="1936" spans="2:40" ht="15.75" customHeight="1">
      <c r="B1936" s="175"/>
      <c r="H1936" s="178"/>
      <c r="I1936" s="179"/>
      <c r="J1936" s="184"/>
      <c r="N1936" s="178"/>
      <c r="O1936" s="178"/>
      <c r="P1936" s="178"/>
      <c r="AN1936" s="458"/>
    </row>
    <row r="1937" spans="2:40" ht="15.75" customHeight="1">
      <c r="B1937" s="175"/>
      <c r="H1937" s="178"/>
      <c r="I1937" s="179"/>
      <c r="J1937" s="184"/>
      <c r="N1937" s="178"/>
      <c r="O1937" s="178"/>
      <c r="P1937" s="178"/>
      <c r="AN1937" s="458"/>
    </row>
    <row r="1938" spans="2:40" ht="15.75" customHeight="1">
      <c r="B1938" s="175"/>
      <c r="H1938" s="178"/>
      <c r="I1938" s="179"/>
      <c r="J1938" s="184"/>
      <c r="N1938" s="178"/>
      <c r="O1938" s="178"/>
      <c r="P1938" s="178"/>
      <c r="AN1938" s="458"/>
    </row>
    <row r="1939" spans="2:40" ht="15.75" customHeight="1">
      <c r="B1939" s="175"/>
      <c r="H1939" s="178"/>
      <c r="I1939" s="179"/>
      <c r="J1939" s="184"/>
      <c r="N1939" s="178"/>
      <c r="O1939" s="178"/>
      <c r="P1939" s="178"/>
      <c r="AN1939" s="458"/>
    </row>
    <row r="1940" spans="2:40" ht="15.75" customHeight="1">
      <c r="B1940" s="175"/>
      <c r="H1940" s="178"/>
      <c r="I1940" s="179"/>
      <c r="J1940" s="184"/>
      <c r="N1940" s="178"/>
      <c r="O1940" s="178"/>
      <c r="P1940" s="178"/>
      <c r="AN1940" s="458"/>
    </row>
    <row r="1941" spans="2:40" ht="15.75" customHeight="1">
      <c r="B1941" s="175"/>
      <c r="H1941" s="178"/>
      <c r="I1941" s="179"/>
      <c r="J1941" s="184"/>
      <c r="N1941" s="178"/>
      <c r="O1941" s="178"/>
      <c r="P1941" s="178"/>
      <c r="AN1941" s="458"/>
    </row>
    <row r="1942" spans="2:40" ht="15.75" customHeight="1">
      <c r="B1942" s="175"/>
      <c r="H1942" s="178"/>
      <c r="I1942" s="179"/>
      <c r="J1942" s="184"/>
      <c r="N1942" s="178"/>
      <c r="O1942" s="178"/>
      <c r="P1942" s="178"/>
      <c r="AN1942" s="458"/>
    </row>
    <row r="1943" spans="2:40" ht="15.75" customHeight="1">
      <c r="B1943" s="175"/>
      <c r="H1943" s="178"/>
      <c r="I1943" s="179"/>
      <c r="J1943" s="184"/>
      <c r="N1943" s="178"/>
      <c r="O1943" s="178"/>
      <c r="P1943" s="178"/>
      <c r="AN1943" s="458"/>
    </row>
    <row r="1944" spans="2:40" ht="15.75" customHeight="1">
      <c r="B1944" s="175"/>
      <c r="H1944" s="178"/>
      <c r="I1944" s="179"/>
      <c r="J1944" s="184"/>
      <c r="N1944" s="178"/>
      <c r="O1944" s="178"/>
      <c r="P1944" s="178"/>
      <c r="AN1944" s="458"/>
    </row>
    <row r="1945" spans="2:40" ht="15.75" customHeight="1">
      <c r="B1945" s="175"/>
      <c r="H1945" s="178"/>
      <c r="I1945" s="179"/>
      <c r="J1945" s="184"/>
      <c r="N1945" s="178"/>
      <c r="O1945" s="178"/>
      <c r="P1945" s="178"/>
      <c r="AN1945" s="458"/>
    </row>
    <row r="1946" spans="2:40" ht="15.75" customHeight="1">
      <c r="B1946" s="175"/>
      <c r="H1946" s="178"/>
      <c r="I1946" s="179"/>
      <c r="J1946" s="184"/>
      <c r="N1946" s="178"/>
      <c r="O1946" s="178"/>
      <c r="P1946" s="178"/>
      <c r="AN1946" s="458"/>
    </row>
    <row r="1947" spans="2:40" ht="15.75" customHeight="1">
      <c r="B1947" s="175"/>
      <c r="N1947" s="178"/>
      <c r="O1947" s="178"/>
      <c r="P1947" s="178"/>
      <c r="AN1947" s="458"/>
    </row>
    <row r="1948" spans="2:40" ht="15.75" customHeight="1">
      <c r="B1948" s="175"/>
      <c r="N1948" s="178"/>
      <c r="O1948" s="178"/>
      <c r="P1948" s="178"/>
      <c r="AN1948" s="458"/>
    </row>
    <row r="1949" spans="2:40" ht="15.75" customHeight="1">
      <c r="B1949" s="175"/>
      <c r="N1949" s="178"/>
      <c r="O1949" s="178"/>
      <c r="P1949" s="178"/>
      <c r="AN1949" s="458"/>
    </row>
    <row r="1950" spans="2:40" ht="15.75" customHeight="1">
      <c r="B1950" s="175"/>
      <c r="N1950" s="178"/>
      <c r="O1950" s="178"/>
      <c r="P1950" s="178"/>
      <c r="AN1950" s="458"/>
    </row>
    <row r="1951" spans="2:40" ht="15.75" customHeight="1">
      <c r="B1951" s="175"/>
      <c r="H1951" s="178"/>
      <c r="I1951" s="179"/>
      <c r="J1951" s="184"/>
      <c r="N1951" s="178"/>
      <c r="O1951" s="178"/>
      <c r="P1951" s="178"/>
      <c r="AN1951" s="458"/>
    </row>
    <row r="1952" spans="2:40" ht="15.75" customHeight="1">
      <c r="B1952" s="175"/>
      <c r="H1952" s="178"/>
      <c r="I1952" s="179"/>
      <c r="J1952" s="184"/>
      <c r="N1952" s="178"/>
      <c r="O1952" s="178"/>
      <c r="P1952" s="178"/>
      <c r="AN1952" s="458"/>
    </row>
    <row r="1953" spans="2:40" ht="15.75" customHeight="1">
      <c r="B1953" s="175"/>
      <c r="H1953" s="178"/>
      <c r="I1953" s="179"/>
      <c r="J1953" s="184"/>
      <c r="N1953" s="178"/>
      <c r="O1953" s="178"/>
      <c r="P1953" s="178"/>
      <c r="AN1953" s="458"/>
    </row>
    <row r="1954" spans="2:40" ht="15.75" customHeight="1">
      <c r="B1954" s="175"/>
      <c r="H1954" s="178"/>
      <c r="I1954" s="179"/>
      <c r="J1954" s="184"/>
      <c r="N1954" s="178"/>
      <c r="O1954" s="178"/>
      <c r="P1954" s="178"/>
      <c r="AN1954" s="458"/>
    </row>
    <row r="1955" spans="2:40" ht="15.75" customHeight="1">
      <c r="B1955" s="175"/>
      <c r="H1955" s="178"/>
      <c r="I1955" s="179"/>
      <c r="J1955" s="184"/>
      <c r="N1955" s="178"/>
      <c r="O1955" s="178"/>
      <c r="P1955" s="178"/>
      <c r="AN1955" s="458"/>
    </row>
    <row r="1956" spans="2:40" ht="15.75" customHeight="1">
      <c r="B1956" s="175"/>
      <c r="H1956" s="178"/>
      <c r="I1956" s="179"/>
      <c r="J1956" s="184"/>
      <c r="N1956" s="178"/>
      <c r="O1956" s="178"/>
      <c r="P1956" s="178"/>
      <c r="AN1956" s="458"/>
    </row>
    <row r="1957" spans="2:40" ht="15.75" customHeight="1">
      <c r="B1957" s="175"/>
      <c r="H1957" s="178"/>
      <c r="I1957" s="179"/>
      <c r="J1957" s="184"/>
      <c r="N1957" s="178"/>
      <c r="O1957" s="178"/>
      <c r="P1957" s="178"/>
      <c r="AN1957" s="458"/>
    </row>
    <row r="1958" spans="2:40" ht="15.75" customHeight="1">
      <c r="B1958" s="175"/>
      <c r="H1958" s="178"/>
      <c r="I1958" s="179"/>
      <c r="J1958" s="184"/>
      <c r="N1958" s="178"/>
      <c r="O1958" s="178"/>
      <c r="P1958" s="178"/>
      <c r="AN1958" s="458"/>
    </row>
    <row r="1959" spans="2:40" ht="15.75" customHeight="1">
      <c r="B1959" s="175"/>
      <c r="H1959" s="178"/>
      <c r="I1959" s="179"/>
      <c r="J1959" s="184"/>
      <c r="N1959" s="178"/>
      <c r="O1959" s="178"/>
      <c r="P1959" s="178"/>
      <c r="AN1959" s="458"/>
    </row>
    <row r="1960" spans="2:40" ht="15.75" customHeight="1">
      <c r="B1960" s="175"/>
      <c r="H1960" s="178"/>
      <c r="I1960" s="179"/>
      <c r="J1960" s="184"/>
      <c r="N1960" s="178"/>
      <c r="O1960" s="178"/>
      <c r="P1960" s="178"/>
      <c r="AN1960" s="458"/>
    </row>
    <row r="1961" spans="2:40" ht="15.75" customHeight="1">
      <c r="B1961" s="175"/>
      <c r="H1961" s="178"/>
      <c r="I1961" s="179"/>
      <c r="J1961" s="184"/>
      <c r="N1961" s="178"/>
      <c r="O1961" s="178"/>
      <c r="P1961" s="178"/>
      <c r="AN1961" s="458"/>
    </row>
    <row r="1962" spans="2:40" ht="15.75" customHeight="1">
      <c r="B1962" s="175"/>
      <c r="H1962" s="178"/>
      <c r="I1962" s="179"/>
      <c r="J1962" s="184"/>
      <c r="N1962" s="178"/>
      <c r="O1962" s="178"/>
      <c r="P1962" s="178"/>
      <c r="AN1962" s="458"/>
    </row>
    <row r="1963" spans="2:40" ht="15.75" customHeight="1">
      <c r="B1963" s="175"/>
      <c r="H1963" s="178"/>
      <c r="I1963" s="179"/>
      <c r="J1963" s="184"/>
      <c r="N1963" s="178"/>
      <c r="O1963" s="178"/>
      <c r="P1963" s="178"/>
      <c r="AN1963" s="458"/>
    </row>
    <row r="1964" spans="2:40" ht="15.75" customHeight="1">
      <c r="B1964" s="175"/>
      <c r="N1964" s="178"/>
      <c r="O1964" s="178"/>
      <c r="P1964" s="178"/>
      <c r="AN1964" s="458"/>
    </row>
    <row r="1965" spans="2:40" ht="15.75" customHeight="1">
      <c r="B1965" s="175"/>
      <c r="N1965" s="178"/>
      <c r="P1965" s="178"/>
      <c r="AN1965" s="458"/>
    </row>
    <row r="1966" spans="2:40" ht="15.75" customHeight="1">
      <c r="B1966" s="175"/>
      <c r="N1966" s="178"/>
      <c r="P1966" s="178"/>
      <c r="AN1966" s="458"/>
    </row>
    <row r="1967" spans="2:40" ht="15.75" customHeight="1">
      <c r="B1967" s="175"/>
      <c r="N1967" s="178"/>
      <c r="P1967" s="178"/>
      <c r="AN1967" s="458"/>
    </row>
    <row r="1968" spans="2:40" ht="15.75" customHeight="1">
      <c r="B1968" s="175"/>
      <c r="N1968" s="178"/>
      <c r="O1968" s="178"/>
      <c r="P1968" s="178"/>
      <c r="AN1968" s="458"/>
    </row>
    <row r="1969" spans="2:40" ht="15.75" customHeight="1">
      <c r="B1969" s="175"/>
      <c r="N1969" s="178"/>
      <c r="O1969" s="178"/>
      <c r="P1969" s="178"/>
      <c r="AN1969" s="458"/>
    </row>
    <row r="1970" spans="2:40" ht="15.75" customHeight="1">
      <c r="B1970" s="175"/>
      <c r="N1970" s="178"/>
      <c r="O1970" s="178"/>
      <c r="P1970" s="178"/>
      <c r="AN1970" s="458"/>
    </row>
    <row r="1971" spans="2:40" ht="15.75" customHeight="1">
      <c r="B1971" s="175"/>
      <c r="N1971" s="178"/>
      <c r="O1971" s="178"/>
      <c r="P1971" s="178"/>
      <c r="AN1971" s="458"/>
    </row>
    <row r="1972" spans="2:40" ht="15.75" customHeight="1">
      <c r="B1972" s="175"/>
      <c r="N1972" s="178"/>
      <c r="O1972" s="178"/>
      <c r="P1972" s="178"/>
      <c r="AN1972" s="458"/>
    </row>
    <row r="1973" spans="2:40" ht="15.75" customHeight="1">
      <c r="B1973" s="175"/>
      <c r="N1973" s="178"/>
      <c r="O1973" s="178"/>
      <c r="P1973" s="178"/>
      <c r="AN1973" s="458"/>
    </row>
    <row r="1974" spans="2:40" ht="15.75" customHeight="1">
      <c r="B1974" s="175"/>
      <c r="H1974" s="178"/>
      <c r="I1974" s="179"/>
      <c r="J1974" s="184"/>
      <c r="N1974" s="178"/>
      <c r="O1974" s="178"/>
      <c r="P1974" s="178"/>
      <c r="AN1974" s="458"/>
    </row>
    <row r="1975" spans="2:40" ht="15.75" customHeight="1">
      <c r="B1975" s="175"/>
      <c r="H1975" s="178"/>
      <c r="I1975" s="179"/>
      <c r="J1975" s="184"/>
      <c r="N1975" s="178"/>
      <c r="O1975" s="178"/>
      <c r="P1975" s="178"/>
      <c r="AN1975" s="458"/>
    </row>
    <row r="1976" spans="2:40" ht="15.75" customHeight="1">
      <c r="B1976" s="175"/>
      <c r="H1976" s="178"/>
      <c r="I1976" s="179"/>
      <c r="J1976" s="184"/>
      <c r="N1976" s="178"/>
      <c r="O1976" s="178"/>
      <c r="P1976" s="178"/>
      <c r="AN1976" s="458"/>
    </row>
    <row r="1977" spans="2:40" ht="15.75" customHeight="1">
      <c r="B1977" s="175"/>
      <c r="H1977" s="178"/>
      <c r="I1977" s="179"/>
      <c r="J1977" s="184"/>
      <c r="N1977" s="178"/>
      <c r="O1977" s="178"/>
      <c r="P1977" s="178"/>
      <c r="AN1977" s="458"/>
    </row>
    <row r="1978" spans="2:40" ht="15.75" customHeight="1">
      <c r="B1978" s="175"/>
      <c r="H1978" s="178"/>
      <c r="I1978" s="179"/>
      <c r="J1978" s="184"/>
      <c r="N1978" s="178"/>
      <c r="O1978" s="178"/>
      <c r="P1978" s="178"/>
      <c r="AN1978" s="458"/>
    </row>
    <row r="1979" spans="2:40" ht="15.75" customHeight="1">
      <c r="B1979" s="175"/>
      <c r="H1979" s="178"/>
      <c r="I1979" s="179"/>
      <c r="J1979" s="184"/>
      <c r="N1979" s="178"/>
      <c r="O1979" s="178"/>
      <c r="P1979" s="178"/>
      <c r="AN1979" s="458"/>
    </row>
    <row r="1980" spans="2:40" ht="15.75" customHeight="1">
      <c r="B1980" s="175"/>
      <c r="H1980" s="178"/>
      <c r="I1980" s="179"/>
      <c r="J1980" s="184"/>
      <c r="N1980" s="178"/>
      <c r="O1980" s="178"/>
      <c r="P1980" s="178"/>
      <c r="AN1980" s="458"/>
    </row>
    <row r="1981" spans="2:40" ht="15.75" customHeight="1">
      <c r="B1981" s="175"/>
      <c r="H1981" s="178"/>
      <c r="I1981" s="179"/>
      <c r="J1981" s="184"/>
      <c r="N1981" s="178"/>
      <c r="O1981" s="178"/>
      <c r="P1981" s="178"/>
      <c r="AN1981" s="458"/>
    </row>
    <row r="1982" spans="2:40" ht="15.75" customHeight="1">
      <c r="B1982" s="175"/>
      <c r="H1982" s="178"/>
      <c r="I1982" s="179"/>
      <c r="J1982" s="184"/>
      <c r="N1982" s="178"/>
      <c r="O1982" s="178"/>
      <c r="P1982" s="178"/>
      <c r="AN1982" s="458"/>
    </row>
    <row r="1983" spans="2:40" ht="15.75" customHeight="1">
      <c r="B1983" s="175"/>
      <c r="H1983" s="178"/>
      <c r="I1983" s="179"/>
      <c r="J1983" s="184"/>
      <c r="N1983" s="178"/>
      <c r="O1983" s="178"/>
      <c r="P1983" s="178"/>
      <c r="AN1983" s="458"/>
    </row>
    <row r="1984" spans="2:40" ht="15.75" customHeight="1">
      <c r="B1984" s="175"/>
      <c r="H1984" s="178"/>
      <c r="I1984" s="179"/>
      <c r="J1984" s="184"/>
      <c r="N1984" s="178"/>
      <c r="O1984" s="178"/>
      <c r="P1984" s="178"/>
      <c r="AN1984" s="458"/>
    </row>
    <row r="1985" spans="2:40" ht="15.75" customHeight="1">
      <c r="B1985" s="175"/>
      <c r="H1985" s="178"/>
      <c r="I1985" s="179"/>
      <c r="J1985" s="184"/>
      <c r="N1985" s="178"/>
      <c r="O1985" s="178"/>
      <c r="P1985" s="178"/>
      <c r="AN1985" s="458"/>
    </row>
    <row r="1986" spans="2:40" ht="15.75" customHeight="1">
      <c r="B1986" s="175"/>
      <c r="H1986" s="178"/>
      <c r="I1986" s="179"/>
      <c r="J1986" s="184"/>
      <c r="N1986" s="178"/>
      <c r="O1986" s="178"/>
      <c r="P1986" s="178"/>
      <c r="AN1986" s="458"/>
    </row>
    <row r="1987" spans="2:40" ht="15.75" customHeight="1">
      <c r="B1987" s="175"/>
      <c r="H1987" s="178"/>
      <c r="I1987" s="179"/>
      <c r="J1987" s="184"/>
      <c r="N1987" s="178"/>
      <c r="O1987" s="178"/>
      <c r="P1987" s="178"/>
      <c r="AN1987" s="458"/>
    </row>
    <row r="1988" spans="2:40" ht="15.75" customHeight="1">
      <c r="B1988" s="175"/>
      <c r="H1988" s="178"/>
      <c r="I1988" s="179"/>
      <c r="J1988" s="184"/>
      <c r="N1988" s="178"/>
      <c r="O1988" s="178"/>
      <c r="P1988" s="178"/>
      <c r="AN1988" s="458"/>
    </row>
    <row r="1989" spans="2:40" ht="15.75" customHeight="1">
      <c r="B1989" s="175"/>
      <c r="H1989" s="178"/>
      <c r="I1989" s="179"/>
      <c r="J1989" s="184"/>
      <c r="N1989" s="178"/>
      <c r="O1989" s="178"/>
      <c r="P1989" s="178"/>
      <c r="AN1989" s="458"/>
    </row>
    <row r="1990" spans="2:40" ht="15.75" customHeight="1">
      <c r="B1990" s="175"/>
      <c r="H1990" s="178"/>
      <c r="I1990" s="179"/>
      <c r="J1990" s="184"/>
      <c r="N1990" s="178"/>
      <c r="O1990" s="178"/>
      <c r="P1990" s="178"/>
      <c r="AN1990" s="458"/>
    </row>
    <row r="1991" spans="2:40" ht="15.75" customHeight="1">
      <c r="B1991" s="175"/>
      <c r="H1991" s="178"/>
      <c r="I1991" s="179"/>
      <c r="J1991" s="184"/>
      <c r="N1991" s="178"/>
      <c r="O1991" s="178"/>
      <c r="P1991" s="178"/>
      <c r="AN1991" s="458"/>
    </row>
    <row r="1992" spans="2:40" ht="15.75" customHeight="1">
      <c r="B1992" s="175"/>
      <c r="H1992" s="178"/>
      <c r="I1992" s="179"/>
      <c r="J1992" s="184"/>
      <c r="N1992" s="178"/>
      <c r="O1992" s="178"/>
      <c r="P1992" s="178"/>
      <c r="AN1992" s="458"/>
    </row>
    <row r="1993" spans="2:40" ht="15.75" customHeight="1">
      <c r="B1993" s="175"/>
      <c r="H1993" s="178"/>
      <c r="I1993" s="179"/>
      <c r="J1993" s="184"/>
      <c r="N1993" s="178"/>
      <c r="O1993" s="178"/>
      <c r="P1993" s="178"/>
      <c r="AN1993" s="458"/>
    </row>
    <row r="1994" spans="2:40" ht="15.75" customHeight="1">
      <c r="B1994" s="175"/>
      <c r="N1994" s="178"/>
      <c r="AN1994" s="458"/>
    </row>
    <row r="1995" spans="2:40" ht="15.75" customHeight="1">
      <c r="B1995" s="175"/>
      <c r="H1995" s="178"/>
      <c r="I1995" s="179"/>
      <c r="J1995" s="184"/>
      <c r="N1995" s="178"/>
      <c r="O1995" s="178"/>
      <c r="P1995" s="178"/>
      <c r="AN1995" s="458"/>
    </row>
    <row r="1996" spans="2:40" ht="15.75" customHeight="1">
      <c r="B1996" s="175"/>
      <c r="H1996" s="178"/>
      <c r="I1996" s="179"/>
      <c r="J1996" s="184"/>
      <c r="N1996" s="178"/>
      <c r="O1996" s="178"/>
      <c r="P1996" s="178"/>
      <c r="AN1996" s="458"/>
    </row>
    <row r="1997" spans="2:40" ht="15.75" customHeight="1">
      <c r="B1997" s="175"/>
      <c r="H1997" s="178"/>
      <c r="I1997" s="179"/>
      <c r="J1997" s="184"/>
      <c r="N1997" s="178"/>
      <c r="O1997" s="178"/>
      <c r="P1997" s="178"/>
      <c r="AN1997" s="458"/>
    </row>
    <row r="1998" spans="2:40" ht="15.75" customHeight="1">
      <c r="B1998" s="175"/>
      <c r="H1998" s="178"/>
      <c r="I1998" s="179"/>
      <c r="J1998" s="184"/>
      <c r="N1998" s="178"/>
      <c r="O1998" s="178"/>
      <c r="P1998" s="178"/>
      <c r="AN1998" s="458"/>
    </row>
    <row r="1999" spans="2:40" ht="15.75" customHeight="1">
      <c r="B1999" s="175"/>
      <c r="H1999" s="178"/>
      <c r="I1999" s="179"/>
      <c r="J1999" s="184"/>
      <c r="N1999" s="178"/>
      <c r="O1999" s="178"/>
      <c r="P1999" s="178"/>
      <c r="AN1999" s="458"/>
    </row>
    <row r="2000" spans="2:40" ht="15.75" customHeight="1">
      <c r="B2000" s="175"/>
      <c r="H2000" s="178"/>
      <c r="I2000" s="179"/>
      <c r="J2000" s="184"/>
      <c r="N2000" s="178"/>
      <c r="O2000" s="178"/>
      <c r="P2000" s="178"/>
      <c r="AN2000" s="458"/>
    </row>
    <row r="2001" spans="2:40" ht="15.75" customHeight="1">
      <c r="B2001" s="175"/>
      <c r="H2001" s="178"/>
      <c r="I2001" s="179"/>
      <c r="J2001" s="184"/>
      <c r="N2001" s="178"/>
      <c r="O2001" s="178"/>
      <c r="P2001" s="178"/>
      <c r="AN2001" s="458"/>
    </row>
    <row r="2002" spans="2:40" ht="15.75" customHeight="1">
      <c r="B2002" s="175"/>
      <c r="H2002" s="178"/>
      <c r="I2002" s="179"/>
      <c r="J2002" s="184"/>
      <c r="N2002" s="178"/>
      <c r="O2002" s="178"/>
      <c r="P2002" s="178"/>
      <c r="AN2002" s="458"/>
    </row>
    <row r="2003" spans="2:40" ht="15.75" customHeight="1">
      <c r="B2003" s="175"/>
      <c r="H2003" s="178"/>
      <c r="I2003" s="179"/>
      <c r="J2003" s="184"/>
      <c r="N2003" s="178"/>
      <c r="O2003" s="178"/>
      <c r="P2003" s="178"/>
      <c r="AN2003" s="458"/>
    </row>
    <row r="2004" spans="2:40" ht="15.75" customHeight="1">
      <c r="B2004" s="175"/>
      <c r="H2004" s="178"/>
      <c r="I2004" s="179"/>
      <c r="J2004" s="184"/>
      <c r="N2004" s="178"/>
      <c r="O2004" s="178"/>
      <c r="P2004" s="178"/>
      <c r="AN2004" s="458"/>
    </row>
    <row r="2005" spans="2:40" ht="15.75" customHeight="1">
      <c r="B2005" s="175"/>
      <c r="H2005" s="178"/>
      <c r="I2005" s="179"/>
      <c r="J2005" s="184"/>
      <c r="N2005" s="178"/>
      <c r="O2005" s="178"/>
      <c r="P2005" s="178"/>
      <c r="AN2005" s="458"/>
    </row>
    <row r="2006" spans="2:40" ht="15.75" customHeight="1">
      <c r="B2006" s="175"/>
      <c r="H2006" s="178"/>
      <c r="I2006" s="179"/>
      <c r="J2006" s="184"/>
      <c r="N2006" s="178"/>
      <c r="O2006" s="178"/>
      <c r="P2006" s="178"/>
      <c r="AN2006" s="458"/>
    </row>
    <row r="2007" spans="2:40" ht="15.75" customHeight="1">
      <c r="B2007" s="175"/>
      <c r="N2007" s="178"/>
      <c r="O2007" s="178"/>
      <c r="P2007" s="178"/>
      <c r="AN2007" s="458"/>
    </row>
    <row r="2008" spans="2:40" ht="15.75" customHeight="1">
      <c r="B2008" s="175"/>
      <c r="H2008" s="178"/>
      <c r="I2008" s="179"/>
      <c r="J2008" s="184"/>
      <c r="N2008" s="178"/>
      <c r="O2008" s="178"/>
      <c r="P2008" s="178"/>
      <c r="AN2008" s="458"/>
    </row>
    <row r="2009" spans="2:40" ht="15.75" customHeight="1">
      <c r="B2009" s="175"/>
      <c r="H2009" s="178"/>
      <c r="I2009" s="179"/>
      <c r="J2009" s="184"/>
      <c r="N2009" s="178"/>
      <c r="O2009" s="178"/>
      <c r="P2009" s="178"/>
      <c r="AN2009" s="458"/>
    </row>
    <row r="2010" spans="2:40" ht="15.75" customHeight="1">
      <c r="B2010" s="175"/>
      <c r="H2010" s="178"/>
      <c r="I2010" s="179"/>
      <c r="J2010" s="184"/>
      <c r="N2010" s="178"/>
      <c r="O2010" s="178"/>
      <c r="P2010" s="178"/>
      <c r="AN2010" s="458"/>
    </row>
    <row r="2011" spans="2:40" ht="15.75" customHeight="1">
      <c r="B2011" s="175"/>
      <c r="H2011" s="178"/>
      <c r="I2011" s="179"/>
      <c r="J2011" s="184"/>
      <c r="N2011" s="178"/>
      <c r="O2011" s="178"/>
      <c r="P2011" s="178"/>
      <c r="AN2011" s="458"/>
    </row>
    <row r="2012" spans="2:40" ht="15.75" customHeight="1">
      <c r="B2012" s="175"/>
      <c r="H2012" s="178"/>
      <c r="I2012" s="179"/>
      <c r="J2012" s="184"/>
      <c r="N2012" s="178"/>
      <c r="O2012" s="178"/>
      <c r="P2012" s="178"/>
      <c r="AN2012" s="458"/>
    </row>
    <row r="2013" spans="2:40" ht="15.75" customHeight="1">
      <c r="B2013" s="175"/>
      <c r="H2013" s="178"/>
      <c r="I2013" s="179"/>
      <c r="J2013" s="184"/>
      <c r="N2013" s="178"/>
      <c r="O2013" s="178"/>
      <c r="P2013" s="178"/>
      <c r="AN2013" s="458"/>
    </row>
    <row r="2014" spans="2:40" ht="15.75" customHeight="1">
      <c r="B2014" s="175"/>
      <c r="H2014" s="178"/>
      <c r="I2014" s="179"/>
      <c r="J2014" s="184"/>
      <c r="N2014" s="178"/>
      <c r="O2014" s="178"/>
      <c r="P2014" s="178"/>
      <c r="AN2014" s="458"/>
    </row>
    <row r="2015" spans="2:40" ht="15.75" customHeight="1">
      <c r="B2015" s="175"/>
      <c r="H2015" s="178"/>
      <c r="I2015" s="179"/>
      <c r="J2015" s="184"/>
      <c r="N2015" s="178"/>
      <c r="O2015" s="178"/>
      <c r="P2015" s="178"/>
      <c r="AN2015" s="458"/>
    </row>
    <row r="2016" spans="2:40" ht="15.75" customHeight="1">
      <c r="B2016" s="175"/>
      <c r="H2016" s="178"/>
      <c r="I2016" s="179"/>
      <c r="J2016" s="184"/>
      <c r="N2016" s="178"/>
      <c r="O2016" s="178"/>
      <c r="P2016" s="178"/>
      <c r="AN2016" s="458"/>
    </row>
    <row r="2017" spans="2:40" ht="15.75" customHeight="1">
      <c r="B2017" s="175"/>
      <c r="H2017" s="178"/>
      <c r="I2017" s="179"/>
      <c r="J2017" s="184"/>
      <c r="N2017" s="178"/>
      <c r="O2017" s="178"/>
      <c r="P2017" s="178"/>
      <c r="AN2017" s="458"/>
    </row>
    <row r="2018" spans="2:40" ht="15.75" customHeight="1">
      <c r="B2018" s="175"/>
      <c r="H2018" s="178"/>
      <c r="I2018" s="179"/>
      <c r="J2018" s="184"/>
      <c r="N2018" s="178"/>
      <c r="O2018" s="178"/>
      <c r="P2018" s="178"/>
      <c r="AN2018" s="458"/>
    </row>
    <row r="2019" spans="2:40" ht="15.75" customHeight="1">
      <c r="B2019" s="175"/>
      <c r="H2019" s="178"/>
      <c r="I2019" s="179"/>
      <c r="J2019" s="184"/>
      <c r="N2019" s="178"/>
      <c r="O2019" s="178"/>
      <c r="P2019" s="178"/>
      <c r="AN2019" s="458"/>
    </row>
    <row r="2020" spans="2:40" ht="15.75" customHeight="1">
      <c r="B2020" s="175"/>
      <c r="H2020" s="178"/>
      <c r="I2020" s="179"/>
      <c r="J2020" s="184"/>
      <c r="N2020" s="178"/>
      <c r="O2020" s="178"/>
      <c r="P2020" s="178"/>
      <c r="AN2020" s="458"/>
    </row>
    <row r="2021" spans="2:40" ht="15.75" customHeight="1">
      <c r="B2021" s="175"/>
      <c r="H2021" s="178"/>
      <c r="I2021" s="179"/>
      <c r="J2021" s="184"/>
      <c r="N2021" s="178"/>
      <c r="O2021" s="178"/>
      <c r="P2021" s="178"/>
      <c r="AN2021" s="458"/>
    </row>
    <row r="2022" spans="2:40" ht="15.75" customHeight="1">
      <c r="AN2022" s="458"/>
    </row>
    <row r="2023" spans="2:40" ht="15.75" customHeight="1">
      <c r="B2023" s="175"/>
      <c r="H2023" s="178"/>
      <c r="I2023" s="179"/>
      <c r="J2023" s="184"/>
      <c r="N2023" s="178"/>
      <c r="O2023" s="178"/>
      <c r="P2023" s="178"/>
      <c r="AN2023" s="458"/>
    </row>
    <row r="2024" spans="2:40" ht="15.75" customHeight="1">
      <c r="B2024" s="175"/>
      <c r="H2024" s="178"/>
      <c r="I2024" s="179"/>
      <c r="J2024" s="184"/>
      <c r="N2024" s="178"/>
      <c r="O2024" s="178"/>
      <c r="P2024" s="178"/>
      <c r="AN2024" s="458"/>
    </row>
    <row r="2025" spans="2:40" ht="15.75" customHeight="1">
      <c r="B2025" s="175"/>
      <c r="H2025" s="178"/>
      <c r="I2025" s="179"/>
      <c r="J2025" s="184"/>
      <c r="N2025" s="178"/>
      <c r="O2025" s="178"/>
      <c r="P2025" s="178"/>
      <c r="AN2025" s="458"/>
    </row>
    <row r="2026" spans="2:40" ht="15.75" customHeight="1">
      <c r="B2026" s="175"/>
      <c r="H2026" s="178"/>
      <c r="I2026" s="179"/>
      <c r="J2026" s="184"/>
      <c r="N2026" s="178"/>
      <c r="O2026" s="178"/>
      <c r="P2026" s="178"/>
      <c r="AN2026" s="458"/>
    </row>
    <row r="2027" spans="2:40" ht="15.75" customHeight="1">
      <c r="B2027" s="175"/>
      <c r="H2027" s="178"/>
      <c r="I2027" s="179"/>
      <c r="J2027" s="184"/>
      <c r="N2027" s="178"/>
      <c r="O2027" s="178"/>
      <c r="P2027" s="178"/>
      <c r="AN2027" s="458"/>
    </row>
    <row r="2028" spans="2:40" ht="15.75" customHeight="1">
      <c r="B2028" s="175"/>
      <c r="H2028" s="178"/>
      <c r="I2028" s="179"/>
      <c r="J2028" s="184"/>
      <c r="N2028" s="178"/>
      <c r="O2028" s="178"/>
      <c r="P2028" s="178"/>
      <c r="AN2028" s="458"/>
    </row>
    <row r="2029" spans="2:40" ht="15.75" customHeight="1">
      <c r="B2029" s="175"/>
      <c r="H2029" s="178"/>
      <c r="I2029" s="179"/>
      <c r="J2029" s="184"/>
      <c r="N2029" s="178"/>
      <c r="O2029" s="178"/>
      <c r="P2029" s="178"/>
      <c r="AN2029" s="458"/>
    </row>
    <row r="2030" spans="2:40" ht="15.75" customHeight="1">
      <c r="B2030" s="175"/>
      <c r="H2030" s="178"/>
      <c r="I2030" s="179"/>
      <c r="J2030" s="184"/>
      <c r="N2030" s="178"/>
      <c r="O2030" s="178"/>
      <c r="P2030" s="178"/>
      <c r="AN2030" s="458"/>
    </row>
    <row r="2031" spans="2:40" ht="15.75" customHeight="1">
      <c r="B2031" s="175"/>
      <c r="H2031" s="178"/>
      <c r="I2031" s="179"/>
      <c r="J2031" s="184"/>
      <c r="N2031" s="178"/>
      <c r="O2031" s="178"/>
      <c r="P2031" s="178"/>
      <c r="AN2031" s="458"/>
    </row>
    <row r="2032" spans="2:40" ht="15.75" customHeight="1">
      <c r="B2032" s="175"/>
      <c r="H2032" s="178"/>
      <c r="I2032" s="179"/>
      <c r="J2032" s="184"/>
      <c r="N2032" s="178"/>
      <c r="O2032" s="178"/>
      <c r="P2032" s="178"/>
      <c r="AN2032" s="458"/>
    </row>
    <row r="2033" spans="2:40" ht="15.75" customHeight="1">
      <c r="B2033" s="175"/>
      <c r="H2033" s="178"/>
      <c r="I2033" s="179"/>
      <c r="J2033" s="184"/>
      <c r="N2033" s="178"/>
      <c r="O2033" s="178"/>
      <c r="P2033" s="178"/>
      <c r="AN2033" s="458"/>
    </row>
    <row r="2034" spans="2:40" ht="15.75" customHeight="1">
      <c r="B2034" s="175"/>
      <c r="H2034" s="178"/>
      <c r="I2034" s="179"/>
      <c r="J2034" s="184"/>
      <c r="N2034" s="178"/>
      <c r="O2034" s="178"/>
      <c r="P2034" s="178"/>
      <c r="AN2034" s="458"/>
    </row>
    <row r="2035" spans="2:40" ht="15.75" customHeight="1">
      <c r="B2035" s="175"/>
      <c r="H2035" s="178"/>
      <c r="I2035" s="179"/>
      <c r="J2035" s="184"/>
      <c r="N2035" s="178"/>
      <c r="O2035" s="178"/>
      <c r="P2035" s="178"/>
      <c r="AN2035" s="458"/>
    </row>
    <row r="2036" spans="2:40" ht="15.75" customHeight="1">
      <c r="B2036" s="175"/>
      <c r="H2036" s="178"/>
      <c r="I2036" s="179"/>
      <c r="J2036" s="184"/>
      <c r="N2036" s="178"/>
      <c r="O2036" s="178"/>
      <c r="P2036" s="178"/>
      <c r="AN2036" s="458"/>
    </row>
    <row r="2037" spans="2:40" ht="15.75" customHeight="1">
      <c r="B2037" s="175"/>
      <c r="H2037" s="178"/>
      <c r="I2037" s="179"/>
      <c r="J2037" s="184"/>
      <c r="N2037" s="178"/>
      <c r="O2037" s="178"/>
      <c r="P2037" s="178"/>
      <c r="AN2037" s="458"/>
    </row>
    <row r="2038" spans="2:40" ht="15.75" customHeight="1">
      <c r="B2038" s="175"/>
      <c r="H2038" s="178"/>
      <c r="I2038" s="179"/>
      <c r="J2038" s="184"/>
      <c r="N2038" s="178"/>
      <c r="O2038" s="178"/>
      <c r="P2038" s="178"/>
      <c r="AN2038" s="458"/>
    </row>
    <row r="2039" spans="2:40" ht="15.75" customHeight="1">
      <c r="B2039" s="175"/>
      <c r="H2039" s="178"/>
      <c r="I2039" s="179"/>
      <c r="J2039" s="184"/>
      <c r="N2039" s="178"/>
      <c r="O2039" s="178"/>
      <c r="P2039" s="178"/>
      <c r="AN2039" s="458"/>
    </row>
    <row r="2040" spans="2:40" ht="15.75" customHeight="1">
      <c r="B2040" s="175"/>
      <c r="H2040" s="178"/>
      <c r="I2040" s="179"/>
      <c r="J2040" s="184"/>
      <c r="N2040" s="178"/>
      <c r="O2040" s="178"/>
      <c r="P2040" s="178"/>
      <c r="AN2040" s="458"/>
    </row>
    <row r="2041" spans="2:40" ht="15.75" customHeight="1">
      <c r="B2041" s="175"/>
      <c r="H2041" s="178"/>
      <c r="I2041" s="179"/>
      <c r="J2041" s="184"/>
      <c r="N2041" s="178"/>
      <c r="O2041" s="178"/>
      <c r="P2041" s="178"/>
      <c r="AN2041" s="458"/>
    </row>
    <row r="2042" spans="2:40" ht="15.75" customHeight="1">
      <c r="B2042" s="175"/>
      <c r="H2042" s="178"/>
      <c r="I2042" s="179"/>
      <c r="J2042" s="184"/>
      <c r="N2042" s="178"/>
      <c r="O2042" s="178"/>
      <c r="P2042" s="178"/>
      <c r="AN2042" s="458"/>
    </row>
    <row r="2043" spans="2:40" ht="15.75" customHeight="1">
      <c r="B2043" s="175"/>
      <c r="H2043" s="178"/>
      <c r="I2043" s="179"/>
      <c r="J2043" s="184"/>
      <c r="N2043" s="178"/>
      <c r="O2043" s="178"/>
      <c r="P2043" s="178"/>
      <c r="AN2043" s="458"/>
    </row>
    <row r="2044" spans="2:40" ht="15.75" customHeight="1">
      <c r="B2044" s="175"/>
      <c r="H2044" s="178"/>
      <c r="I2044" s="179"/>
      <c r="J2044" s="184"/>
      <c r="N2044" s="178"/>
      <c r="O2044" s="178"/>
      <c r="P2044" s="178"/>
      <c r="AN2044" s="458"/>
    </row>
    <row r="2045" spans="2:40" ht="15.75" customHeight="1">
      <c r="B2045" s="175"/>
      <c r="H2045" s="178"/>
      <c r="I2045" s="179"/>
      <c r="J2045" s="184"/>
      <c r="N2045" s="178"/>
      <c r="O2045" s="178"/>
      <c r="P2045" s="178"/>
      <c r="AN2045" s="458"/>
    </row>
    <row r="2046" spans="2:40" ht="15.75" customHeight="1">
      <c r="B2046" s="175"/>
      <c r="H2046" s="178"/>
      <c r="I2046" s="179"/>
      <c r="J2046" s="184"/>
      <c r="N2046" s="178"/>
      <c r="O2046" s="178"/>
      <c r="P2046" s="178"/>
      <c r="AN2046" s="458"/>
    </row>
    <row r="2047" spans="2:40" ht="15.75" customHeight="1">
      <c r="B2047" s="175"/>
      <c r="H2047" s="178"/>
      <c r="I2047" s="179"/>
      <c r="J2047" s="184"/>
      <c r="N2047" s="178"/>
      <c r="O2047" s="178"/>
      <c r="P2047" s="178"/>
      <c r="AN2047" s="458"/>
    </row>
    <row r="2048" spans="2:40" ht="15.75" customHeight="1">
      <c r="B2048" s="175"/>
      <c r="H2048" s="178"/>
      <c r="I2048" s="179"/>
      <c r="J2048" s="184"/>
      <c r="N2048" s="178"/>
      <c r="O2048" s="178"/>
      <c r="P2048" s="178"/>
      <c r="AN2048" s="458"/>
    </row>
    <row r="2049" spans="2:40" ht="15.75" customHeight="1">
      <c r="B2049" s="175"/>
      <c r="H2049" s="178"/>
      <c r="I2049" s="179"/>
      <c r="J2049" s="184"/>
      <c r="N2049" s="178"/>
      <c r="O2049" s="178"/>
      <c r="P2049" s="178"/>
      <c r="AN2049" s="458"/>
    </row>
    <row r="2050" spans="2:40" ht="15.75" customHeight="1">
      <c r="B2050" s="175"/>
      <c r="H2050" s="178"/>
      <c r="I2050" s="179"/>
      <c r="J2050" s="184"/>
      <c r="N2050" s="178"/>
      <c r="O2050" s="178"/>
      <c r="P2050" s="178"/>
      <c r="AN2050" s="458"/>
    </row>
    <row r="2051" spans="2:40" ht="15.75" customHeight="1">
      <c r="B2051" s="175"/>
      <c r="H2051" s="178"/>
      <c r="I2051" s="179"/>
      <c r="J2051" s="184"/>
      <c r="N2051" s="178"/>
      <c r="O2051" s="178"/>
      <c r="P2051" s="178"/>
      <c r="AN2051" s="458"/>
    </row>
    <row r="2052" spans="2:40" ht="15.75" customHeight="1">
      <c r="B2052" s="175"/>
      <c r="H2052" s="178"/>
      <c r="I2052" s="179"/>
      <c r="J2052" s="184"/>
      <c r="N2052" s="178"/>
      <c r="O2052" s="178"/>
      <c r="P2052" s="178"/>
      <c r="AN2052" s="458"/>
    </row>
    <row r="2053" spans="2:40" ht="15.75" customHeight="1">
      <c r="B2053" s="175"/>
      <c r="H2053" s="178"/>
      <c r="I2053" s="179"/>
      <c r="J2053" s="184"/>
      <c r="N2053" s="178"/>
      <c r="O2053" s="178"/>
      <c r="P2053" s="178"/>
      <c r="AN2053" s="458"/>
    </row>
    <row r="2054" spans="2:40" ht="15.75" customHeight="1">
      <c r="B2054" s="175"/>
      <c r="H2054" s="178"/>
      <c r="I2054" s="179"/>
      <c r="J2054" s="184"/>
      <c r="N2054" s="178"/>
      <c r="O2054" s="178"/>
      <c r="P2054" s="178"/>
      <c r="AN2054" s="458"/>
    </row>
    <row r="2055" spans="2:40" ht="15.75" customHeight="1">
      <c r="B2055" s="175"/>
      <c r="H2055" s="178"/>
      <c r="I2055" s="179"/>
      <c r="J2055" s="184"/>
      <c r="N2055" s="178"/>
      <c r="O2055" s="178"/>
      <c r="P2055" s="178"/>
      <c r="AN2055" s="458"/>
    </row>
    <row r="2056" spans="2:40" ht="15.75" customHeight="1">
      <c r="B2056" s="175"/>
      <c r="H2056" s="178"/>
      <c r="I2056" s="179"/>
      <c r="J2056" s="184"/>
      <c r="N2056" s="178"/>
      <c r="O2056" s="178"/>
      <c r="P2056" s="178"/>
      <c r="AN2056" s="458"/>
    </row>
    <row r="2057" spans="2:40" ht="15.75" customHeight="1">
      <c r="B2057" s="175"/>
      <c r="H2057" s="178"/>
      <c r="I2057" s="179"/>
      <c r="J2057" s="184"/>
      <c r="N2057" s="178"/>
      <c r="O2057" s="178"/>
      <c r="P2057" s="178"/>
      <c r="AN2057" s="458"/>
    </row>
    <row r="2058" spans="2:40" ht="15.75" customHeight="1">
      <c r="B2058" s="175"/>
      <c r="H2058" s="178"/>
      <c r="I2058" s="179"/>
      <c r="J2058" s="184"/>
      <c r="N2058" s="178"/>
      <c r="O2058" s="178"/>
      <c r="P2058" s="178"/>
      <c r="AN2058" s="458"/>
    </row>
    <row r="2059" spans="2:40" ht="15.75" customHeight="1">
      <c r="B2059" s="175"/>
      <c r="H2059" s="178"/>
      <c r="I2059" s="179"/>
      <c r="J2059" s="184"/>
      <c r="N2059" s="178"/>
      <c r="O2059" s="178"/>
      <c r="P2059" s="178"/>
      <c r="AN2059" s="458"/>
    </row>
    <row r="2060" spans="2:40" ht="15.75" customHeight="1">
      <c r="B2060" s="175"/>
      <c r="H2060" s="178"/>
      <c r="I2060" s="179"/>
      <c r="J2060" s="184"/>
      <c r="N2060" s="178"/>
      <c r="O2060" s="178"/>
      <c r="P2060" s="178"/>
      <c r="AN2060" s="458"/>
    </row>
    <row r="2061" spans="2:40" ht="15.75" customHeight="1">
      <c r="B2061" s="175"/>
      <c r="H2061" s="178"/>
      <c r="I2061" s="179"/>
      <c r="J2061" s="184"/>
      <c r="N2061" s="178"/>
      <c r="O2061" s="178"/>
      <c r="P2061" s="178"/>
      <c r="AN2061" s="458"/>
    </row>
    <row r="2062" spans="2:40" ht="15.75" customHeight="1">
      <c r="B2062" s="175"/>
      <c r="H2062" s="178"/>
      <c r="I2062" s="179"/>
      <c r="J2062" s="184"/>
      <c r="N2062" s="178"/>
      <c r="O2062" s="178"/>
      <c r="P2062" s="178"/>
      <c r="AN2062" s="458"/>
    </row>
    <row r="2063" spans="2:40" ht="15.75" customHeight="1">
      <c r="B2063" s="175"/>
      <c r="H2063" s="178"/>
      <c r="I2063" s="179"/>
      <c r="J2063" s="184"/>
      <c r="N2063" s="178"/>
      <c r="O2063" s="178"/>
      <c r="P2063" s="178"/>
      <c r="AN2063" s="458"/>
    </row>
    <row r="2064" spans="2:40" ht="15.75" customHeight="1">
      <c r="B2064" s="175"/>
      <c r="H2064" s="178"/>
      <c r="I2064" s="179"/>
      <c r="J2064" s="184"/>
      <c r="N2064" s="178"/>
      <c r="O2064" s="178"/>
      <c r="P2064" s="178"/>
      <c r="AN2064" s="458"/>
    </row>
    <row r="2065" spans="2:40" ht="15.75" customHeight="1">
      <c r="B2065" s="175"/>
      <c r="H2065" s="178"/>
      <c r="I2065" s="179"/>
      <c r="J2065" s="184"/>
      <c r="N2065" s="178"/>
      <c r="O2065" s="178"/>
      <c r="P2065" s="178"/>
      <c r="AN2065" s="458"/>
    </row>
    <row r="2066" spans="2:40" ht="15.75" customHeight="1">
      <c r="B2066" s="175"/>
      <c r="H2066" s="178"/>
      <c r="I2066" s="179"/>
      <c r="J2066" s="184"/>
      <c r="N2066" s="178"/>
      <c r="O2066" s="178"/>
      <c r="P2066" s="178"/>
      <c r="AN2066" s="458"/>
    </row>
    <row r="2067" spans="2:40" ht="15.75" customHeight="1">
      <c r="B2067" s="175"/>
      <c r="H2067" s="178"/>
      <c r="I2067" s="179"/>
      <c r="J2067" s="184"/>
      <c r="N2067" s="178"/>
      <c r="O2067" s="178"/>
      <c r="P2067" s="178"/>
      <c r="AN2067" s="458"/>
    </row>
    <row r="2068" spans="2:40" ht="15.75" customHeight="1">
      <c r="B2068" s="175"/>
      <c r="H2068" s="178"/>
      <c r="I2068" s="179"/>
      <c r="J2068" s="184"/>
      <c r="N2068" s="178"/>
      <c r="O2068" s="178"/>
      <c r="P2068" s="178"/>
      <c r="AN2068" s="458"/>
    </row>
    <row r="2069" spans="2:40" ht="15.75" customHeight="1">
      <c r="B2069" s="175"/>
      <c r="H2069" s="178"/>
      <c r="I2069" s="179"/>
      <c r="J2069" s="184"/>
      <c r="N2069" s="178"/>
      <c r="O2069" s="178"/>
      <c r="P2069" s="178"/>
      <c r="AN2069" s="458"/>
    </row>
    <row r="2070" spans="2:40" ht="15.75" customHeight="1">
      <c r="B2070" s="175"/>
      <c r="H2070" s="178"/>
      <c r="I2070" s="179"/>
      <c r="J2070" s="184"/>
      <c r="N2070" s="178"/>
      <c r="O2070" s="178"/>
      <c r="P2070" s="178"/>
      <c r="AN2070" s="458"/>
    </row>
    <row r="2071" spans="2:40" ht="15.75" customHeight="1">
      <c r="B2071" s="175"/>
      <c r="H2071" s="178"/>
      <c r="I2071" s="179"/>
      <c r="J2071" s="184"/>
      <c r="N2071" s="178"/>
      <c r="O2071" s="178"/>
      <c r="P2071" s="178"/>
      <c r="AN2071" s="458"/>
    </row>
    <row r="2072" spans="2:40" ht="15.75" customHeight="1">
      <c r="B2072" s="175"/>
      <c r="H2072" s="178"/>
      <c r="I2072" s="179"/>
      <c r="J2072" s="184"/>
      <c r="N2072" s="178"/>
      <c r="O2072" s="178"/>
      <c r="P2072" s="178"/>
      <c r="AN2072" s="458"/>
    </row>
    <row r="2073" spans="2:40" ht="15.75" customHeight="1">
      <c r="B2073" s="175"/>
      <c r="H2073" s="178"/>
      <c r="I2073" s="179"/>
      <c r="J2073" s="184"/>
      <c r="N2073" s="178"/>
      <c r="O2073" s="178"/>
      <c r="P2073" s="178"/>
      <c r="AN2073" s="458"/>
    </row>
    <row r="2074" spans="2:40" ht="15.75" customHeight="1">
      <c r="B2074" s="175"/>
      <c r="H2074" s="178"/>
      <c r="I2074" s="179"/>
      <c r="J2074" s="184"/>
      <c r="N2074" s="178"/>
      <c r="O2074" s="178"/>
      <c r="P2074" s="178"/>
      <c r="AN2074" s="458"/>
    </row>
    <row r="2075" spans="2:40" ht="15.75" customHeight="1">
      <c r="B2075" s="175"/>
      <c r="H2075" s="178"/>
      <c r="I2075" s="179"/>
      <c r="J2075" s="184"/>
      <c r="N2075" s="178"/>
      <c r="O2075" s="178"/>
      <c r="P2075" s="178"/>
      <c r="AN2075" s="458"/>
    </row>
    <row r="2076" spans="2:40" ht="15.75" customHeight="1">
      <c r="B2076" s="175"/>
      <c r="H2076" s="178"/>
      <c r="I2076" s="179"/>
      <c r="J2076" s="184"/>
      <c r="N2076" s="178"/>
      <c r="O2076" s="178"/>
      <c r="P2076" s="178"/>
      <c r="AN2076" s="458"/>
    </row>
    <row r="2077" spans="2:40" ht="15.75" customHeight="1">
      <c r="B2077" s="175"/>
      <c r="H2077" s="178"/>
      <c r="I2077" s="179"/>
      <c r="J2077" s="184"/>
      <c r="N2077" s="178"/>
      <c r="O2077" s="178"/>
      <c r="P2077" s="178"/>
      <c r="AN2077" s="458"/>
    </row>
    <row r="2078" spans="2:40" ht="15.75" customHeight="1">
      <c r="B2078" s="175"/>
      <c r="H2078" s="178"/>
      <c r="I2078" s="179"/>
      <c r="J2078" s="184"/>
      <c r="N2078" s="178"/>
      <c r="O2078" s="178"/>
      <c r="P2078" s="178"/>
      <c r="AN2078" s="458"/>
    </row>
    <row r="2079" spans="2:40" ht="15.75" customHeight="1">
      <c r="B2079" s="175"/>
      <c r="H2079" s="178"/>
      <c r="I2079" s="179"/>
      <c r="J2079" s="184"/>
      <c r="N2079" s="178"/>
      <c r="O2079" s="178"/>
      <c r="P2079" s="178"/>
      <c r="AN2079" s="458"/>
    </row>
    <row r="2080" spans="2:40" ht="15.75" customHeight="1">
      <c r="B2080" s="175"/>
      <c r="H2080" s="178"/>
      <c r="I2080" s="179"/>
      <c r="J2080" s="184"/>
      <c r="N2080" s="178"/>
      <c r="O2080" s="178"/>
      <c r="P2080" s="178"/>
      <c r="AN2080" s="458"/>
    </row>
    <row r="2081" spans="2:40" ht="15.75" customHeight="1">
      <c r="B2081" s="175"/>
      <c r="H2081" s="178"/>
      <c r="I2081" s="179"/>
      <c r="J2081" s="184"/>
      <c r="N2081" s="178"/>
      <c r="O2081" s="178"/>
      <c r="P2081" s="178"/>
      <c r="AN2081" s="458"/>
    </row>
    <row r="2082" spans="2:40" ht="15.75" customHeight="1">
      <c r="B2082" s="175"/>
      <c r="H2082" s="178"/>
      <c r="I2082" s="179"/>
      <c r="J2082" s="184"/>
      <c r="N2082" s="178"/>
      <c r="O2082" s="178"/>
      <c r="P2082" s="178"/>
      <c r="AN2082" s="458"/>
    </row>
    <row r="2083" spans="2:40" ht="15.75" customHeight="1">
      <c r="B2083" s="175"/>
      <c r="H2083" s="178"/>
      <c r="I2083" s="179"/>
      <c r="J2083" s="184"/>
      <c r="N2083" s="178"/>
      <c r="O2083" s="178"/>
      <c r="P2083" s="178"/>
      <c r="AN2083" s="458"/>
    </row>
    <row r="2084" spans="2:40" ht="15.75" customHeight="1">
      <c r="B2084" s="175"/>
      <c r="H2084" s="178"/>
      <c r="I2084" s="179"/>
      <c r="J2084" s="184"/>
      <c r="N2084" s="178"/>
      <c r="O2084" s="178"/>
      <c r="P2084" s="178"/>
      <c r="AN2084" s="458"/>
    </row>
    <row r="2085" spans="2:40" ht="15.75" customHeight="1">
      <c r="B2085" s="175"/>
      <c r="H2085" s="178"/>
      <c r="I2085" s="179"/>
      <c r="J2085" s="184"/>
      <c r="N2085" s="178"/>
      <c r="O2085" s="178"/>
      <c r="P2085" s="178"/>
      <c r="AN2085" s="458"/>
    </row>
    <row r="2086" spans="2:40" ht="15.75" customHeight="1">
      <c r="B2086" s="175"/>
      <c r="H2086" s="178"/>
      <c r="I2086" s="179"/>
      <c r="J2086" s="184"/>
      <c r="N2086" s="178"/>
      <c r="O2086" s="178"/>
      <c r="P2086" s="178"/>
      <c r="AN2086" s="458"/>
    </row>
    <row r="2087" spans="2:40" ht="15.75" customHeight="1">
      <c r="B2087" s="175"/>
      <c r="H2087" s="178"/>
      <c r="I2087" s="179"/>
      <c r="J2087" s="184"/>
      <c r="N2087" s="178"/>
      <c r="O2087" s="178"/>
      <c r="P2087" s="178"/>
      <c r="AN2087" s="458"/>
    </row>
    <row r="2088" spans="2:40" ht="15.75" customHeight="1">
      <c r="B2088" s="175"/>
      <c r="H2088" s="178"/>
      <c r="I2088" s="179"/>
      <c r="J2088" s="184"/>
      <c r="N2088" s="178"/>
      <c r="O2088" s="178"/>
      <c r="P2088" s="178"/>
      <c r="AN2088" s="458"/>
    </row>
    <row r="2089" spans="2:40" ht="15.75" customHeight="1">
      <c r="B2089" s="175"/>
      <c r="H2089" s="178"/>
      <c r="I2089" s="179"/>
      <c r="J2089" s="184"/>
      <c r="N2089" s="178"/>
      <c r="O2089" s="178"/>
      <c r="P2089" s="178"/>
      <c r="AN2089" s="458"/>
    </row>
    <row r="2090" spans="2:40" ht="15.75" customHeight="1">
      <c r="B2090" s="175"/>
      <c r="H2090" s="178"/>
      <c r="I2090" s="179"/>
      <c r="J2090" s="184"/>
      <c r="N2090" s="178"/>
      <c r="O2090" s="178"/>
      <c r="P2090" s="178"/>
      <c r="AN2090" s="458"/>
    </row>
    <row r="2091" spans="2:40" ht="15.75" customHeight="1">
      <c r="B2091" s="175"/>
      <c r="H2091" s="178"/>
      <c r="I2091" s="179"/>
      <c r="J2091" s="184"/>
      <c r="N2091" s="178"/>
      <c r="O2091" s="178"/>
      <c r="P2091" s="178"/>
      <c r="AN2091" s="458"/>
    </row>
    <row r="2092" spans="2:40" ht="15.75" customHeight="1">
      <c r="B2092" s="175"/>
      <c r="H2092" s="178"/>
      <c r="I2092" s="179"/>
      <c r="J2092" s="184"/>
      <c r="N2092" s="178"/>
      <c r="O2092" s="178"/>
      <c r="P2092" s="178"/>
      <c r="AN2092" s="458"/>
    </row>
    <row r="2093" spans="2:40" ht="15.75" customHeight="1">
      <c r="B2093" s="175"/>
      <c r="H2093" s="178"/>
      <c r="I2093" s="179"/>
      <c r="J2093" s="184"/>
      <c r="N2093" s="178"/>
      <c r="O2093" s="178"/>
      <c r="P2093" s="178"/>
      <c r="AN2093" s="458"/>
    </row>
    <row r="2094" spans="2:40" ht="15.75" customHeight="1">
      <c r="B2094" s="175"/>
      <c r="H2094" s="178"/>
      <c r="I2094" s="179"/>
      <c r="J2094" s="184"/>
      <c r="N2094" s="178"/>
      <c r="O2094" s="178"/>
      <c r="P2094" s="178"/>
      <c r="AN2094" s="458"/>
    </row>
    <row r="2095" spans="2:40" ht="15.75" customHeight="1">
      <c r="B2095" s="175"/>
      <c r="H2095" s="178"/>
      <c r="I2095" s="179"/>
      <c r="J2095" s="184"/>
      <c r="N2095" s="178"/>
      <c r="O2095" s="178"/>
      <c r="P2095" s="178"/>
      <c r="AN2095" s="458"/>
    </row>
    <row r="2096" spans="2:40" ht="15.75" customHeight="1">
      <c r="B2096" s="175"/>
      <c r="H2096" s="178"/>
      <c r="I2096" s="179"/>
      <c r="J2096" s="184"/>
      <c r="N2096" s="178"/>
      <c r="O2096" s="178"/>
      <c r="P2096" s="178"/>
      <c r="AN2096" s="458"/>
    </row>
    <row r="2097" spans="2:40" ht="15.75" customHeight="1">
      <c r="B2097" s="175"/>
      <c r="H2097" s="178"/>
      <c r="I2097" s="179"/>
      <c r="J2097" s="184"/>
      <c r="N2097" s="178"/>
      <c r="O2097" s="178"/>
      <c r="P2097" s="178"/>
      <c r="AN2097" s="458"/>
    </row>
    <row r="2098" spans="2:40" ht="15.75" customHeight="1">
      <c r="B2098" s="175"/>
      <c r="H2098" s="178"/>
      <c r="I2098" s="179"/>
      <c r="J2098" s="184"/>
      <c r="N2098" s="178"/>
      <c r="O2098" s="178"/>
      <c r="P2098" s="178"/>
      <c r="AN2098" s="458"/>
    </row>
    <row r="2099" spans="2:40" ht="15.75" customHeight="1">
      <c r="B2099" s="175"/>
      <c r="H2099" s="178"/>
      <c r="I2099" s="179"/>
      <c r="J2099" s="184"/>
      <c r="N2099" s="178"/>
      <c r="O2099" s="178"/>
      <c r="P2099" s="178"/>
      <c r="AN2099" s="458"/>
    </row>
    <row r="2100" spans="2:40" ht="15.75" customHeight="1">
      <c r="B2100" s="175"/>
      <c r="H2100" s="178"/>
      <c r="I2100" s="179"/>
      <c r="J2100" s="184"/>
      <c r="N2100" s="178"/>
      <c r="O2100" s="178"/>
      <c r="P2100" s="178"/>
      <c r="AN2100" s="458"/>
    </row>
    <row r="2101" spans="2:40" ht="15.75" customHeight="1">
      <c r="B2101" s="175"/>
      <c r="H2101" s="178"/>
      <c r="I2101" s="179"/>
      <c r="J2101" s="184"/>
      <c r="N2101" s="178"/>
      <c r="O2101" s="178"/>
      <c r="P2101" s="178"/>
      <c r="AN2101" s="458"/>
    </row>
    <row r="2102" spans="2:40" ht="15.75" customHeight="1">
      <c r="B2102" s="175"/>
      <c r="H2102" s="178"/>
      <c r="I2102" s="179"/>
      <c r="J2102" s="184"/>
      <c r="N2102" s="178"/>
      <c r="O2102" s="178"/>
      <c r="P2102" s="178"/>
      <c r="AN2102" s="458"/>
    </row>
    <row r="2103" spans="2:40" ht="15.75" customHeight="1">
      <c r="B2103" s="175"/>
      <c r="H2103" s="178"/>
      <c r="I2103" s="179"/>
      <c r="J2103" s="184"/>
      <c r="N2103" s="178"/>
      <c r="O2103" s="178"/>
      <c r="P2103" s="178"/>
      <c r="AN2103" s="458"/>
    </row>
    <row r="2104" spans="2:40" ht="15.75" customHeight="1">
      <c r="B2104" s="175"/>
      <c r="H2104" s="178"/>
      <c r="I2104" s="179"/>
      <c r="J2104" s="184"/>
      <c r="N2104" s="178"/>
      <c r="O2104" s="178"/>
      <c r="P2104" s="178"/>
      <c r="AN2104" s="458"/>
    </row>
    <row r="2105" spans="2:40" ht="15.75" customHeight="1">
      <c r="B2105" s="175"/>
      <c r="H2105" s="178"/>
      <c r="I2105" s="179"/>
      <c r="J2105" s="184"/>
      <c r="N2105" s="178"/>
      <c r="O2105" s="178"/>
      <c r="P2105" s="178"/>
      <c r="AN2105" s="458"/>
    </row>
    <row r="2106" spans="2:40" ht="15.75" customHeight="1">
      <c r="B2106" s="175"/>
      <c r="H2106" s="178"/>
      <c r="I2106" s="179"/>
      <c r="J2106" s="184"/>
      <c r="N2106" s="178"/>
      <c r="O2106" s="178"/>
      <c r="P2106" s="178"/>
      <c r="AN2106" s="458"/>
    </row>
    <row r="2107" spans="2:40" ht="15.75" customHeight="1">
      <c r="B2107" s="175"/>
      <c r="H2107" s="178"/>
      <c r="I2107" s="179"/>
      <c r="J2107" s="184"/>
      <c r="N2107" s="178"/>
      <c r="O2107" s="178"/>
      <c r="P2107" s="178"/>
      <c r="AN2107" s="458"/>
    </row>
    <row r="2108" spans="2:40" ht="15.75" customHeight="1">
      <c r="B2108" s="175"/>
      <c r="H2108" s="178"/>
      <c r="I2108" s="179"/>
      <c r="J2108" s="184"/>
      <c r="N2108" s="178"/>
      <c r="O2108" s="178"/>
      <c r="P2108" s="178"/>
      <c r="AN2108" s="458"/>
    </row>
    <row r="2109" spans="2:40" ht="15.75" customHeight="1">
      <c r="B2109" s="175"/>
      <c r="H2109" s="178"/>
      <c r="I2109" s="179"/>
      <c r="J2109" s="184"/>
      <c r="N2109" s="178"/>
      <c r="O2109" s="178"/>
      <c r="P2109" s="178"/>
      <c r="AN2109" s="458"/>
    </row>
    <row r="2110" spans="2:40" ht="15.75" customHeight="1">
      <c r="B2110" s="175"/>
      <c r="H2110" s="178"/>
      <c r="I2110" s="179"/>
      <c r="J2110" s="184"/>
      <c r="N2110" s="178"/>
      <c r="O2110" s="178"/>
      <c r="P2110" s="178"/>
      <c r="AN2110" s="458"/>
    </row>
    <row r="2111" spans="2:40" ht="15.75" customHeight="1">
      <c r="B2111" s="175"/>
      <c r="H2111" s="178"/>
      <c r="I2111" s="179"/>
      <c r="J2111" s="184"/>
      <c r="N2111" s="178"/>
      <c r="O2111" s="178"/>
      <c r="P2111" s="178"/>
      <c r="AN2111" s="458"/>
    </row>
    <row r="2112" spans="2:40" ht="15.75" customHeight="1">
      <c r="B2112" s="175"/>
      <c r="H2112" s="178"/>
      <c r="I2112" s="179"/>
      <c r="J2112" s="184"/>
      <c r="N2112" s="178"/>
      <c r="O2112" s="178"/>
      <c r="P2112" s="178"/>
      <c r="AN2112" s="458"/>
    </row>
    <row r="2113" spans="2:40" ht="15.75" customHeight="1">
      <c r="B2113" s="175"/>
      <c r="H2113" s="178"/>
      <c r="I2113" s="179"/>
      <c r="J2113" s="184"/>
      <c r="N2113" s="178"/>
      <c r="O2113" s="178"/>
      <c r="P2113" s="178"/>
      <c r="AN2113" s="458"/>
    </row>
    <row r="2114" spans="2:40" ht="15.75" customHeight="1">
      <c r="B2114" s="175"/>
      <c r="H2114" s="178"/>
      <c r="I2114" s="179"/>
      <c r="J2114" s="184"/>
      <c r="N2114" s="178"/>
      <c r="O2114" s="178"/>
      <c r="P2114" s="178"/>
      <c r="AN2114" s="458"/>
    </row>
    <row r="2115" spans="2:40" ht="15.75" customHeight="1">
      <c r="B2115" s="175"/>
      <c r="H2115" s="178"/>
      <c r="I2115" s="179"/>
      <c r="J2115" s="184"/>
      <c r="N2115" s="178"/>
      <c r="O2115" s="178"/>
      <c r="P2115" s="178"/>
      <c r="AN2115" s="458"/>
    </row>
    <row r="2116" spans="2:40" ht="15.75" customHeight="1">
      <c r="B2116" s="175"/>
      <c r="H2116" s="178"/>
      <c r="I2116" s="179"/>
      <c r="J2116" s="184"/>
      <c r="N2116" s="178"/>
      <c r="O2116" s="178"/>
      <c r="P2116" s="178"/>
      <c r="AN2116" s="458"/>
    </row>
    <row r="2117" spans="2:40" ht="15.75" customHeight="1">
      <c r="B2117" s="175"/>
      <c r="H2117" s="178"/>
      <c r="I2117" s="179"/>
      <c r="J2117" s="184"/>
      <c r="N2117" s="178"/>
      <c r="O2117" s="178"/>
      <c r="P2117" s="178"/>
      <c r="AN2117" s="458"/>
    </row>
    <row r="2118" spans="2:40" ht="15.75" customHeight="1">
      <c r="B2118" s="175"/>
      <c r="H2118" s="178"/>
      <c r="I2118" s="179"/>
      <c r="J2118" s="184"/>
      <c r="N2118" s="178"/>
      <c r="O2118" s="178"/>
      <c r="P2118" s="178"/>
      <c r="AN2118" s="458"/>
    </row>
    <row r="2119" spans="2:40" ht="15.75" customHeight="1">
      <c r="B2119" s="175"/>
      <c r="H2119" s="178"/>
      <c r="I2119" s="179"/>
      <c r="J2119" s="184"/>
      <c r="N2119" s="178"/>
      <c r="O2119" s="178"/>
      <c r="P2119" s="178"/>
      <c r="AN2119" s="458"/>
    </row>
    <row r="2120" spans="2:40" ht="15.75" customHeight="1">
      <c r="B2120" s="175"/>
      <c r="H2120" s="178"/>
      <c r="I2120" s="179"/>
      <c r="J2120" s="184"/>
      <c r="N2120" s="178"/>
      <c r="O2120" s="178"/>
      <c r="P2120" s="178"/>
      <c r="AN2120" s="458"/>
    </row>
    <row r="2121" spans="2:40" ht="15.75" customHeight="1">
      <c r="B2121" s="175"/>
      <c r="H2121" s="178"/>
      <c r="I2121" s="179"/>
      <c r="J2121" s="184"/>
      <c r="N2121" s="178"/>
      <c r="O2121" s="178"/>
      <c r="P2121" s="178"/>
      <c r="AN2121" s="458"/>
    </row>
    <row r="2122" spans="2:40" ht="15.75" customHeight="1">
      <c r="B2122" s="175"/>
      <c r="H2122" s="178"/>
      <c r="I2122" s="179"/>
      <c r="J2122" s="184"/>
      <c r="N2122" s="178"/>
      <c r="O2122" s="178"/>
      <c r="P2122" s="178"/>
      <c r="AN2122" s="458"/>
    </row>
    <row r="2123" spans="2:40" ht="15.75" customHeight="1">
      <c r="B2123" s="175"/>
      <c r="H2123" s="178"/>
      <c r="I2123" s="179"/>
      <c r="J2123" s="184"/>
      <c r="N2123" s="178"/>
      <c r="O2123" s="178"/>
      <c r="P2123" s="178"/>
      <c r="AN2123" s="458"/>
    </row>
    <row r="2124" spans="2:40" ht="15.75" customHeight="1">
      <c r="B2124" s="175"/>
      <c r="H2124" s="178"/>
      <c r="I2124" s="179"/>
      <c r="J2124" s="184"/>
      <c r="N2124" s="178"/>
      <c r="O2124" s="178"/>
      <c r="P2124" s="178"/>
      <c r="AN2124" s="458"/>
    </row>
    <row r="2125" spans="2:40" ht="15.75" customHeight="1">
      <c r="B2125" s="175"/>
      <c r="H2125" s="178"/>
      <c r="I2125" s="179"/>
      <c r="J2125" s="184"/>
      <c r="N2125" s="178"/>
      <c r="O2125" s="178"/>
      <c r="P2125" s="178"/>
      <c r="AN2125" s="458"/>
    </row>
    <row r="2126" spans="2:40" ht="15.75" customHeight="1">
      <c r="B2126" s="175"/>
      <c r="H2126" s="178"/>
      <c r="I2126" s="179"/>
      <c r="J2126" s="184"/>
      <c r="N2126" s="178"/>
      <c r="O2126" s="178"/>
      <c r="P2126" s="178"/>
      <c r="AN2126" s="458"/>
    </row>
    <row r="2127" spans="2:40" ht="15.75" customHeight="1">
      <c r="B2127" s="175"/>
      <c r="H2127" s="178"/>
      <c r="I2127" s="179"/>
      <c r="J2127" s="184"/>
      <c r="N2127" s="178"/>
      <c r="O2127" s="178"/>
      <c r="P2127" s="178"/>
      <c r="AN2127" s="458"/>
    </row>
    <row r="2128" spans="2:40" ht="15.75" customHeight="1">
      <c r="B2128" s="175"/>
      <c r="H2128" s="178"/>
      <c r="I2128" s="179"/>
      <c r="J2128" s="184"/>
      <c r="N2128" s="178"/>
      <c r="O2128" s="178"/>
      <c r="P2128" s="178"/>
      <c r="AN2128" s="458"/>
    </row>
    <row r="2129" spans="2:40" ht="15.75" customHeight="1">
      <c r="B2129" s="175"/>
      <c r="H2129" s="178"/>
      <c r="I2129" s="179"/>
      <c r="J2129" s="184"/>
      <c r="N2129" s="178"/>
      <c r="O2129" s="178"/>
      <c r="P2129" s="178"/>
      <c r="AN2129" s="458"/>
    </row>
    <row r="2130" spans="2:40" ht="15.75" customHeight="1">
      <c r="B2130" s="175"/>
      <c r="H2130" s="178"/>
      <c r="I2130" s="179"/>
      <c r="J2130" s="184"/>
      <c r="N2130" s="178"/>
      <c r="O2130" s="178"/>
      <c r="P2130" s="178"/>
      <c r="AN2130" s="458"/>
    </row>
    <row r="2131" spans="2:40" ht="15.75" customHeight="1">
      <c r="B2131" s="175"/>
      <c r="H2131" s="178"/>
      <c r="I2131" s="179"/>
      <c r="J2131" s="184"/>
      <c r="N2131" s="178"/>
      <c r="O2131" s="178"/>
      <c r="P2131" s="178"/>
      <c r="AN2131" s="458"/>
    </row>
    <row r="2132" spans="2:40" ht="15.75" customHeight="1">
      <c r="B2132" s="175"/>
      <c r="H2132" s="178"/>
      <c r="I2132" s="179"/>
      <c r="J2132" s="184"/>
      <c r="N2132" s="178"/>
      <c r="O2132" s="178"/>
      <c r="P2132" s="178"/>
      <c r="AN2132" s="458"/>
    </row>
    <row r="2133" spans="2:40" ht="15.75" customHeight="1">
      <c r="B2133" s="175"/>
      <c r="H2133" s="178"/>
      <c r="I2133" s="179"/>
      <c r="J2133" s="184"/>
      <c r="N2133" s="178"/>
      <c r="O2133" s="178"/>
      <c r="P2133" s="178"/>
      <c r="AN2133" s="458"/>
    </row>
    <row r="2134" spans="2:40" ht="15.75" customHeight="1">
      <c r="B2134" s="175"/>
      <c r="H2134" s="178"/>
      <c r="I2134" s="179"/>
      <c r="J2134" s="184"/>
      <c r="N2134" s="178"/>
      <c r="O2134" s="178"/>
      <c r="P2134" s="178"/>
      <c r="AN2134" s="458"/>
    </row>
    <row r="2135" spans="2:40" ht="15.75" customHeight="1">
      <c r="B2135" s="175"/>
      <c r="H2135" s="178"/>
      <c r="I2135" s="179"/>
      <c r="J2135" s="184"/>
      <c r="N2135" s="178"/>
      <c r="O2135" s="178"/>
      <c r="P2135" s="178"/>
      <c r="AN2135" s="458"/>
    </row>
    <row r="2136" spans="2:40" ht="15.75" customHeight="1">
      <c r="B2136" s="175"/>
      <c r="H2136" s="178"/>
      <c r="I2136" s="179"/>
      <c r="J2136" s="184"/>
      <c r="N2136" s="178"/>
      <c r="O2136" s="178"/>
      <c r="P2136" s="178"/>
      <c r="AN2136" s="458"/>
    </row>
    <row r="2137" spans="2:40" ht="15.75" customHeight="1">
      <c r="B2137" s="175"/>
      <c r="H2137" s="178"/>
      <c r="I2137" s="179"/>
      <c r="J2137" s="184"/>
      <c r="N2137" s="178"/>
      <c r="O2137" s="178"/>
      <c r="P2137" s="178"/>
      <c r="AN2137" s="458"/>
    </row>
    <row r="2138" spans="2:40" ht="15.75" customHeight="1">
      <c r="B2138" s="175"/>
      <c r="H2138" s="178"/>
      <c r="I2138" s="179"/>
      <c r="J2138" s="184"/>
      <c r="N2138" s="178"/>
      <c r="O2138" s="178"/>
      <c r="P2138" s="178"/>
      <c r="AN2138" s="458"/>
    </row>
    <row r="2139" spans="2:40" ht="15.75" customHeight="1">
      <c r="B2139" s="618"/>
      <c r="H2139" s="178"/>
      <c r="I2139" s="179"/>
      <c r="J2139" s="184"/>
      <c r="N2139" s="178"/>
      <c r="O2139" s="178"/>
      <c r="P2139" s="178"/>
      <c r="AN2139" s="458"/>
    </row>
    <row r="2140" spans="2:40" ht="15.75" customHeight="1">
      <c r="B2140" s="618"/>
      <c r="H2140" s="178"/>
      <c r="I2140" s="179"/>
      <c r="J2140" s="184"/>
      <c r="N2140" s="178"/>
      <c r="O2140" s="178"/>
      <c r="P2140" s="178"/>
      <c r="AN2140" s="458"/>
    </row>
    <row r="2141" spans="2:40" ht="15.75" customHeight="1">
      <c r="B2141" s="618"/>
      <c r="H2141" s="178"/>
      <c r="I2141" s="179"/>
      <c r="J2141" s="184"/>
      <c r="N2141" s="178"/>
      <c r="O2141" s="178"/>
      <c r="P2141" s="178"/>
      <c r="AN2141" s="458"/>
    </row>
    <row r="2142" spans="2:40" ht="15.75" customHeight="1">
      <c r="B2142" s="618"/>
      <c r="H2142" s="178"/>
      <c r="I2142" s="179"/>
      <c r="J2142" s="184"/>
      <c r="N2142" s="178"/>
      <c r="O2142" s="178"/>
      <c r="P2142" s="178"/>
      <c r="AN2142" s="458"/>
    </row>
    <row r="2143" spans="2:40" ht="15.75" customHeight="1">
      <c r="B2143" s="618"/>
      <c r="H2143" s="178"/>
      <c r="I2143" s="179"/>
      <c r="J2143" s="184"/>
      <c r="N2143" s="178"/>
      <c r="O2143" s="178"/>
      <c r="P2143" s="178"/>
      <c r="AN2143" s="458"/>
    </row>
    <row r="2144" spans="2:40" ht="15.75" customHeight="1">
      <c r="B2144" s="618"/>
      <c r="H2144" s="178"/>
      <c r="I2144" s="179"/>
      <c r="J2144" s="184"/>
      <c r="N2144" s="178"/>
      <c r="O2144" s="178"/>
      <c r="P2144" s="178"/>
      <c r="AN2144" s="458"/>
    </row>
    <row r="2145" spans="2:40" ht="15.75" customHeight="1">
      <c r="B2145" s="618"/>
      <c r="H2145" s="178"/>
      <c r="I2145" s="179"/>
      <c r="J2145" s="184"/>
      <c r="N2145" s="178"/>
      <c r="O2145" s="178"/>
      <c r="P2145" s="178"/>
      <c r="AN2145" s="458"/>
    </row>
    <row r="2146" spans="2:40" ht="15.75" customHeight="1">
      <c r="B2146" s="618"/>
      <c r="H2146" s="178"/>
      <c r="I2146" s="179"/>
      <c r="J2146" s="184"/>
      <c r="N2146" s="178"/>
      <c r="O2146" s="178"/>
      <c r="P2146" s="178"/>
      <c r="AN2146" s="458"/>
    </row>
    <row r="2147" spans="2:40" ht="15.75" customHeight="1">
      <c r="B2147" s="618"/>
      <c r="H2147" s="178"/>
      <c r="I2147" s="179"/>
      <c r="J2147" s="184"/>
      <c r="N2147" s="178"/>
      <c r="O2147" s="178"/>
      <c r="P2147" s="178"/>
      <c r="AN2147" s="458"/>
    </row>
    <row r="2148" spans="2:40" ht="15.75" customHeight="1">
      <c r="B2148" s="618"/>
      <c r="H2148" s="178"/>
      <c r="I2148" s="179"/>
      <c r="J2148" s="184"/>
      <c r="N2148" s="178"/>
      <c r="O2148" s="178"/>
      <c r="P2148" s="178"/>
      <c r="AN2148" s="458"/>
    </row>
    <row r="2149" spans="2:40" ht="15.75" customHeight="1">
      <c r="B2149" s="618"/>
      <c r="H2149" s="178"/>
      <c r="I2149" s="179"/>
      <c r="J2149" s="184"/>
      <c r="N2149" s="178"/>
      <c r="O2149" s="178"/>
      <c r="P2149" s="178"/>
      <c r="AN2149" s="458"/>
    </row>
    <row r="2150" spans="2:40" ht="15.75" customHeight="1">
      <c r="B2150" s="618"/>
      <c r="H2150" s="178"/>
      <c r="I2150" s="179"/>
      <c r="J2150" s="184"/>
      <c r="N2150" s="178"/>
      <c r="O2150" s="178"/>
      <c r="P2150" s="178"/>
      <c r="AN2150" s="458"/>
    </row>
    <row r="2151" spans="2:40" ht="15.75" customHeight="1">
      <c r="B2151" s="618"/>
      <c r="H2151" s="178"/>
      <c r="I2151" s="179"/>
      <c r="J2151" s="184"/>
      <c r="N2151" s="178"/>
      <c r="O2151" s="178"/>
      <c r="P2151" s="178"/>
      <c r="AN2151" s="458"/>
    </row>
    <row r="2152" spans="2:40" ht="15.75" customHeight="1">
      <c r="B2152" s="618"/>
      <c r="H2152" s="178"/>
      <c r="I2152" s="179"/>
      <c r="J2152" s="184"/>
      <c r="N2152" s="178"/>
      <c r="O2152" s="178"/>
      <c r="P2152" s="178"/>
      <c r="AN2152" s="458"/>
    </row>
    <row r="2153" spans="2:40" ht="15.75" customHeight="1">
      <c r="B2153" s="618"/>
      <c r="H2153" s="178"/>
      <c r="I2153" s="179"/>
      <c r="J2153" s="184"/>
      <c r="N2153" s="178"/>
      <c r="O2153" s="178"/>
      <c r="P2153" s="178"/>
      <c r="AN2153" s="458"/>
    </row>
    <row r="2154" spans="2:40" ht="15.75" customHeight="1">
      <c r="B2154" s="618"/>
      <c r="H2154" s="178"/>
      <c r="I2154" s="179"/>
      <c r="J2154" s="184"/>
      <c r="N2154" s="178"/>
      <c r="O2154" s="178"/>
      <c r="P2154" s="178"/>
      <c r="AN2154" s="458"/>
    </row>
    <row r="2155" spans="2:40" ht="15.75" customHeight="1">
      <c r="B2155" s="618"/>
      <c r="H2155" s="178"/>
      <c r="I2155" s="179"/>
      <c r="J2155" s="184"/>
      <c r="N2155" s="178"/>
      <c r="O2155" s="178"/>
      <c r="P2155" s="178"/>
      <c r="AN2155" s="458"/>
    </row>
    <row r="2156" spans="2:40" ht="15.75" customHeight="1">
      <c r="B2156" s="618"/>
      <c r="H2156" s="178"/>
      <c r="I2156" s="179"/>
      <c r="J2156" s="184"/>
      <c r="N2156" s="178"/>
      <c r="O2156" s="178"/>
      <c r="P2156" s="178"/>
      <c r="AN2156" s="458"/>
    </row>
    <row r="2157" spans="2:40" ht="15.75" customHeight="1">
      <c r="B2157" s="618"/>
      <c r="H2157" s="178"/>
      <c r="I2157" s="179"/>
      <c r="J2157" s="184"/>
      <c r="N2157" s="178"/>
      <c r="O2157" s="178"/>
      <c r="P2157" s="178"/>
      <c r="AN2157" s="458"/>
    </row>
    <row r="2158" spans="2:40" ht="15.75" customHeight="1">
      <c r="B2158" s="618"/>
      <c r="H2158" s="178"/>
      <c r="I2158" s="179"/>
      <c r="J2158" s="184"/>
      <c r="N2158" s="178"/>
      <c r="O2158" s="178"/>
      <c r="P2158" s="178"/>
      <c r="AN2158" s="458"/>
    </row>
    <row r="2159" spans="2:40" ht="15.75" customHeight="1">
      <c r="B2159" s="618"/>
      <c r="H2159" s="178"/>
      <c r="I2159" s="179"/>
      <c r="J2159" s="184"/>
      <c r="N2159" s="178"/>
      <c r="O2159" s="178"/>
      <c r="P2159" s="178"/>
      <c r="AN2159" s="458"/>
    </row>
    <row r="2160" spans="2:40" ht="15.75" customHeight="1">
      <c r="B2160" s="618"/>
      <c r="H2160" s="178"/>
      <c r="I2160" s="179"/>
      <c r="J2160" s="184"/>
      <c r="N2160" s="178"/>
      <c r="O2160" s="178"/>
      <c r="P2160" s="178"/>
      <c r="AN2160" s="458"/>
    </row>
    <row r="2161" spans="2:40" ht="15.75" customHeight="1">
      <c r="B2161" s="618"/>
      <c r="H2161" s="178"/>
      <c r="I2161" s="179"/>
      <c r="J2161" s="184"/>
      <c r="N2161" s="178"/>
      <c r="O2161" s="178"/>
      <c r="P2161" s="178"/>
      <c r="AN2161" s="458"/>
    </row>
    <row r="2162" spans="2:40" ht="15.75" customHeight="1">
      <c r="B2162" s="618"/>
      <c r="H2162" s="178"/>
      <c r="I2162" s="179"/>
      <c r="J2162" s="184"/>
      <c r="N2162" s="178"/>
      <c r="O2162" s="178"/>
      <c r="P2162" s="178"/>
      <c r="AN2162" s="458"/>
    </row>
    <row r="2163" spans="2:40" ht="15.75" customHeight="1">
      <c r="B2163" s="618"/>
      <c r="H2163" s="178"/>
      <c r="I2163" s="179"/>
      <c r="J2163" s="184"/>
      <c r="N2163" s="178"/>
      <c r="O2163" s="178"/>
      <c r="P2163" s="178"/>
      <c r="AN2163" s="458"/>
    </row>
    <row r="2164" spans="2:40" ht="15.75" customHeight="1">
      <c r="B2164" s="618"/>
      <c r="H2164" s="178"/>
      <c r="I2164" s="179"/>
      <c r="J2164" s="184"/>
      <c r="N2164" s="178"/>
      <c r="O2164" s="178"/>
      <c r="P2164" s="178"/>
      <c r="AN2164" s="458"/>
    </row>
    <row r="2165" spans="2:40" ht="15.75" customHeight="1">
      <c r="B2165" s="618"/>
      <c r="H2165" s="178"/>
      <c r="I2165" s="179"/>
      <c r="J2165" s="184"/>
      <c r="N2165" s="178"/>
      <c r="O2165" s="178"/>
      <c r="P2165" s="178"/>
      <c r="AN2165" s="458"/>
    </row>
    <row r="2166" spans="2:40" ht="15.75" customHeight="1">
      <c r="B2166" s="618"/>
      <c r="H2166" s="178"/>
      <c r="I2166" s="179"/>
      <c r="J2166" s="184"/>
      <c r="N2166" s="178"/>
      <c r="O2166" s="178"/>
      <c r="P2166" s="178"/>
    </row>
    <row r="2167" spans="2:40" ht="15.75" customHeight="1">
      <c r="B2167" s="618"/>
      <c r="H2167" s="178"/>
      <c r="I2167" s="179"/>
      <c r="J2167" s="184"/>
      <c r="N2167" s="178"/>
      <c r="O2167" s="178"/>
      <c r="P2167" s="178"/>
    </row>
    <row r="2168" spans="2:40" ht="15.75" customHeight="1">
      <c r="B2168" s="618"/>
      <c r="H2168" s="178"/>
      <c r="I2168" s="179"/>
      <c r="J2168" s="184"/>
      <c r="N2168" s="178"/>
      <c r="O2168" s="178"/>
      <c r="P2168" s="178"/>
    </row>
    <row r="2169" spans="2:40" ht="15.75" customHeight="1">
      <c r="B2169" s="618"/>
      <c r="H2169" s="178"/>
      <c r="I2169" s="179"/>
      <c r="J2169" s="184"/>
      <c r="N2169" s="178"/>
      <c r="O2169" s="178"/>
      <c r="P2169" s="178"/>
    </row>
    <row r="2170" spans="2:40" ht="15.75" customHeight="1">
      <c r="B2170" s="618"/>
      <c r="H2170" s="178"/>
      <c r="I2170" s="179"/>
      <c r="J2170" s="184"/>
      <c r="N2170" s="178"/>
      <c r="O2170" s="178"/>
      <c r="P2170" s="178"/>
    </row>
    <row r="2171" spans="2:40" ht="15.75" customHeight="1">
      <c r="B2171" s="618"/>
      <c r="H2171" s="178"/>
      <c r="I2171" s="179"/>
      <c r="J2171" s="184"/>
      <c r="N2171" s="178"/>
      <c r="O2171" s="178"/>
      <c r="P2171" s="178"/>
    </row>
    <row r="2172" spans="2:40" ht="15.75" customHeight="1">
      <c r="B2172" s="618"/>
      <c r="H2172" s="178"/>
      <c r="I2172" s="179"/>
      <c r="J2172" s="184"/>
      <c r="N2172" s="178"/>
      <c r="O2172" s="178"/>
      <c r="P2172" s="178"/>
    </row>
    <row r="2173" spans="2:40" ht="15.75" customHeight="1">
      <c r="B2173" s="618"/>
      <c r="H2173" s="178"/>
      <c r="I2173" s="179"/>
      <c r="J2173" s="184"/>
      <c r="N2173" s="178"/>
      <c r="O2173" s="178"/>
      <c r="P2173" s="178"/>
    </row>
    <row r="2174" spans="2:40" ht="15.75" customHeight="1">
      <c r="B2174" s="618"/>
      <c r="H2174" s="178"/>
      <c r="I2174" s="179"/>
      <c r="J2174" s="184"/>
      <c r="N2174" s="178"/>
      <c r="O2174" s="178"/>
      <c r="P2174" s="178"/>
    </row>
    <row r="2175" spans="2:40" ht="15.75" customHeight="1">
      <c r="B2175" s="618"/>
      <c r="H2175" s="178"/>
      <c r="I2175" s="179"/>
      <c r="J2175" s="184"/>
      <c r="N2175" s="178"/>
      <c r="O2175" s="178"/>
      <c r="P2175" s="178"/>
    </row>
    <row r="2176" spans="2:40" ht="15.75" customHeight="1">
      <c r="B2176" s="618"/>
      <c r="H2176" s="178"/>
      <c r="I2176" s="179"/>
      <c r="J2176" s="184"/>
      <c r="N2176" s="178"/>
      <c r="O2176" s="178"/>
      <c r="P2176" s="178"/>
    </row>
    <row r="2177" spans="2:16" ht="15.75" customHeight="1">
      <c r="B2177" s="618"/>
      <c r="H2177" s="178"/>
      <c r="I2177" s="179"/>
      <c r="J2177" s="184"/>
      <c r="N2177" s="178"/>
      <c r="O2177" s="178"/>
      <c r="P2177" s="178"/>
    </row>
    <row r="2178" spans="2:16" ht="15.75" customHeight="1">
      <c r="B2178" s="618"/>
      <c r="H2178" s="178"/>
      <c r="I2178" s="179"/>
      <c r="J2178" s="184"/>
      <c r="N2178" s="178"/>
      <c r="O2178" s="178"/>
      <c r="P2178" s="178"/>
    </row>
    <row r="2179" spans="2:16" ht="15.75" customHeight="1">
      <c r="B2179" s="618"/>
      <c r="H2179" s="178"/>
      <c r="I2179" s="179"/>
      <c r="J2179" s="184"/>
      <c r="N2179" s="178"/>
      <c r="O2179" s="178"/>
      <c r="P2179" s="178"/>
    </row>
    <row r="2180" spans="2:16" ht="15.75" customHeight="1">
      <c r="B2180" s="618"/>
      <c r="H2180" s="178"/>
      <c r="I2180" s="179"/>
      <c r="J2180" s="184"/>
      <c r="N2180" s="178"/>
      <c r="O2180" s="178"/>
      <c r="P2180" s="178"/>
    </row>
    <row r="2181" spans="2:16" ht="15.75" customHeight="1">
      <c r="B2181" s="618"/>
      <c r="H2181" s="178"/>
      <c r="I2181" s="179"/>
      <c r="J2181" s="184"/>
      <c r="N2181" s="178"/>
      <c r="O2181" s="178"/>
      <c r="P2181" s="178"/>
    </row>
    <row r="2182" spans="2:16" ht="15.75" customHeight="1">
      <c r="B2182" s="618"/>
      <c r="H2182" s="178"/>
      <c r="I2182" s="179"/>
      <c r="J2182" s="184"/>
      <c r="N2182" s="178"/>
      <c r="O2182" s="178"/>
      <c r="P2182" s="178"/>
    </row>
    <row r="2183" spans="2:16" ht="15.75" customHeight="1">
      <c r="B2183" s="618"/>
      <c r="H2183" s="178"/>
      <c r="I2183" s="179"/>
      <c r="J2183" s="184"/>
      <c r="N2183" s="178"/>
      <c r="O2183" s="178"/>
      <c r="P2183" s="178"/>
    </row>
    <row r="2184" spans="2:16" ht="15.75" customHeight="1">
      <c r="B2184" s="618"/>
      <c r="H2184" s="178"/>
      <c r="I2184" s="179"/>
      <c r="J2184" s="184"/>
      <c r="N2184" s="178"/>
      <c r="O2184" s="178"/>
      <c r="P2184" s="178"/>
    </row>
    <row r="2185" spans="2:16" ht="15.75" customHeight="1">
      <c r="B2185" s="618"/>
      <c r="H2185" s="178"/>
      <c r="I2185" s="179"/>
      <c r="J2185" s="184"/>
      <c r="N2185" s="178"/>
      <c r="O2185" s="178"/>
      <c r="P2185" s="178"/>
    </row>
    <row r="2186" spans="2:16" ht="15.75" customHeight="1">
      <c r="B2186" s="618"/>
      <c r="H2186" s="178"/>
      <c r="I2186" s="179"/>
      <c r="J2186" s="184"/>
      <c r="N2186" s="178"/>
      <c r="O2186" s="178"/>
      <c r="P2186" s="178"/>
    </row>
    <row r="2187" spans="2:16" ht="15.75" customHeight="1">
      <c r="B2187" s="618"/>
      <c r="H2187" s="178"/>
      <c r="I2187" s="179"/>
      <c r="J2187" s="184"/>
      <c r="N2187" s="178"/>
      <c r="O2187" s="178"/>
      <c r="P2187" s="178"/>
    </row>
    <row r="2188" spans="2:16" ht="15.75" customHeight="1">
      <c r="B2188" s="618"/>
      <c r="H2188" s="178"/>
      <c r="I2188" s="179"/>
      <c r="J2188" s="184"/>
      <c r="N2188" s="178"/>
      <c r="O2188" s="178"/>
      <c r="P2188" s="178"/>
    </row>
    <row r="2189" spans="2:16" ht="15.75" customHeight="1">
      <c r="B2189" s="618"/>
      <c r="H2189" s="178"/>
      <c r="I2189" s="179"/>
      <c r="J2189" s="184"/>
      <c r="N2189" s="178"/>
      <c r="O2189" s="178"/>
      <c r="P2189" s="178"/>
    </row>
    <row r="2190" spans="2:16" ht="15.75" customHeight="1">
      <c r="B2190" s="618"/>
      <c r="H2190" s="178"/>
      <c r="I2190" s="179"/>
      <c r="J2190" s="184"/>
      <c r="N2190" s="178"/>
      <c r="O2190" s="178"/>
      <c r="P2190" s="178"/>
    </row>
    <row r="2191" spans="2:16" ht="15.75" customHeight="1">
      <c r="B2191" s="618"/>
      <c r="H2191" s="178"/>
      <c r="I2191" s="179"/>
      <c r="J2191" s="184"/>
      <c r="N2191" s="178"/>
      <c r="O2191" s="178"/>
      <c r="P2191" s="178"/>
    </row>
    <row r="2192" spans="2:16" ht="15.75" customHeight="1">
      <c r="B2192" s="618"/>
      <c r="H2192" s="178"/>
      <c r="I2192" s="179"/>
      <c r="J2192" s="184"/>
      <c r="N2192" s="178"/>
      <c r="O2192" s="178"/>
      <c r="P2192" s="178"/>
    </row>
    <row r="2193" spans="2:16" ht="15.75" customHeight="1">
      <c r="B2193" s="618"/>
      <c r="H2193" s="178"/>
      <c r="I2193" s="179"/>
      <c r="J2193" s="184"/>
      <c r="N2193" s="178"/>
      <c r="O2193" s="178"/>
      <c r="P2193" s="178"/>
    </row>
    <row r="2194" spans="2:16" ht="15.75" customHeight="1">
      <c r="B2194" s="618"/>
      <c r="H2194" s="178"/>
      <c r="I2194" s="179"/>
      <c r="J2194" s="184"/>
      <c r="N2194" s="178"/>
      <c r="O2194" s="178"/>
      <c r="P2194" s="178"/>
    </row>
    <row r="2195" spans="2:16" ht="15.75" customHeight="1">
      <c r="B2195" s="618"/>
      <c r="H2195" s="178"/>
      <c r="I2195" s="179"/>
      <c r="J2195" s="184"/>
      <c r="N2195" s="178"/>
      <c r="O2195" s="178"/>
      <c r="P2195" s="178"/>
    </row>
    <row r="2196" spans="2:16" ht="15.75" customHeight="1">
      <c r="B2196" s="618"/>
      <c r="H2196" s="178"/>
      <c r="I2196" s="179"/>
      <c r="J2196" s="184"/>
      <c r="N2196" s="178"/>
      <c r="O2196" s="178"/>
      <c r="P2196" s="178"/>
    </row>
    <row r="2197" spans="2:16" ht="15.75" customHeight="1">
      <c r="B2197" s="618"/>
      <c r="H2197" s="178"/>
      <c r="I2197" s="179"/>
      <c r="J2197" s="184"/>
      <c r="N2197" s="178"/>
      <c r="O2197" s="178"/>
      <c r="P2197" s="178"/>
    </row>
    <row r="2198" spans="2:16" ht="15.75" customHeight="1">
      <c r="B2198" s="618"/>
      <c r="H2198" s="178"/>
      <c r="I2198" s="179"/>
      <c r="J2198" s="184"/>
      <c r="N2198" s="178"/>
      <c r="O2198" s="178"/>
      <c r="P2198" s="178"/>
    </row>
    <row r="2199" spans="2:16" ht="15.75" customHeight="1">
      <c r="B2199" s="618"/>
      <c r="H2199" s="178"/>
      <c r="I2199" s="179"/>
      <c r="J2199" s="184"/>
      <c r="N2199" s="178"/>
      <c r="O2199" s="178"/>
      <c r="P2199" s="178"/>
    </row>
    <row r="2200" spans="2:16" ht="15.75" customHeight="1">
      <c r="B2200" s="618"/>
      <c r="H2200" s="178"/>
      <c r="I2200" s="179"/>
      <c r="J2200" s="184"/>
      <c r="N2200" s="178"/>
      <c r="O2200" s="178"/>
      <c r="P2200" s="178"/>
    </row>
    <row r="2201" spans="2:16" ht="15.75" customHeight="1">
      <c r="B2201" s="618"/>
      <c r="H2201" s="178"/>
      <c r="I2201" s="179"/>
      <c r="J2201" s="184"/>
      <c r="N2201" s="178"/>
      <c r="O2201" s="178"/>
      <c r="P2201" s="178"/>
    </row>
    <row r="2202" spans="2:16" ht="15.75" customHeight="1">
      <c r="B2202" s="618"/>
      <c r="H2202" s="178"/>
      <c r="I2202" s="179"/>
      <c r="J2202" s="184"/>
      <c r="N2202" s="178"/>
      <c r="O2202" s="178"/>
      <c r="P2202" s="178"/>
    </row>
    <row r="2203" spans="2:16" ht="15.75" customHeight="1">
      <c r="B2203" s="618"/>
      <c r="H2203" s="178"/>
      <c r="I2203" s="179"/>
      <c r="J2203" s="184"/>
      <c r="N2203" s="178"/>
      <c r="O2203" s="178"/>
      <c r="P2203" s="178"/>
    </row>
    <row r="2204" spans="2:16" ht="15.75" customHeight="1">
      <c r="B2204" s="618"/>
      <c r="H2204" s="178"/>
      <c r="I2204" s="179"/>
      <c r="J2204" s="184"/>
      <c r="N2204" s="178"/>
      <c r="O2204" s="178"/>
      <c r="P2204" s="178"/>
    </row>
    <row r="2205" spans="2:16" ht="15.75" customHeight="1">
      <c r="B2205" s="618"/>
      <c r="H2205" s="178"/>
      <c r="I2205" s="179"/>
      <c r="J2205" s="184"/>
      <c r="N2205" s="178"/>
      <c r="O2205" s="178"/>
      <c r="P2205" s="178"/>
    </row>
    <row r="2206" spans="2:16" ht="15.75" customHeight="1">
      <c r="B2206" s="618"/>
      <c r="H2206" s="178"/>
      <c r="I2206" s="179"/>
      <c r="J2206" s="184"/>
      <c r="N2206" s="178"/>
      <c r="O2206" s="178"/>
      <c r="P2206" s="178"/>
    </row>
    <row r="2207" spans="2:16" ht="15.75" customHeight="1">
      <c r="B2207" s="618"/>
      <c r="H2207" s="178"/>
      <c r="I2207" s="179"/>
      <c r="J2207" s="184"/>
      <c r="N2207" s="178"/>
      <c r="O2207" s="178"/>
      <c r="P2207" s="178"/>
    </row>
    <row r="2208" spans="2:16" ht="15.75" customHeight="1">
      <c r="B2208" s="618"/>
      <c r="G2208" s="630"/>
      <c r="H2208" s="178"/>
      <c r="I2208" s="179"/>
      <c r="J2208" s="184"/>
      <c r="N2208" s="178"/>
      <c r="O2208" s="178"/>
      <c r="P2208" s="178"/>
    </row>
    <row r="2209" spans="2:33" ht="15.75" customHeight="1">
      <c r="B2209" s="618"/>
      <c r="H2209" s="178"/>
      <c r="I2209" s="179"/>
      <c r="J2209" s="184"/>
      <c r="N2209" s="178"/>
      <c r="O2209" s="178"/>
      <c r="P2209" s="178"/>
    </row>
    <row r="2210" spans="2:33" ht="15.75" customHeight="1">
      <c r="B2210" s="618"/>
      <c r="H2210" s="178"/>
      <c r="I2210" s="179"/>
      <c r="J2210" s="184"/>
      <c r="N2210" s="178"/>
      <c r="O2210" s="178"/>
      <c r="P2210" s="178"/>
    </row>
    <row r="2211" spans="2:33" ht="15.75" customHeight="1">
      <c r="B2211" s="618"/>
      <c r="H2211" s="178"/>
      <c r="I2211" s="179"/>
      <c r="J2211" s="184"/>
      <c r="N2211" s="178"/>
      <c r="O2211" s="178"/>
      <c r="P2211" s="178"/>
    </row>
    <row r="2212" spans="2:33" ht="15.75" customHeight="1">
      <c r="B2212" s="618"/>
      <c r="H2212" s="178"/>
      <c r="I2212" s="179"/>
      <c r="J2212" s="184"/>
      <c r="N2212" s="178"/>
      <c r="O2212" s="178"/>
      <c r="P2212" s="178"/>
    </row>
    <row r="2213" spans="2:33" ht="15.75" customHeight="1">
      <c r="B2213" s="618"/>
      <c r="H2213" s="178"/>
      <c r="I2213" s="179"/>
      <c r="J2213" s="184"/>
      <c r="N2213" s="178"/>
      <c r="O2213" s="178"/>
      <c r="P2213" s="178"/>
    </row>
    <row r="2214" spans="2:33" ht="15.75" customHeight="1">
      <c r="B2214" s="618"/>
      <c r="H2214" s="178"/>
      <c r="I2214" s="179"/>
      <c r="J2214" s="184"/>
      <c r="N2214" s="178"/>
      <c r="O2214" s="178"/>
      <c r="P2214" s="178"/>
    </row>
    <row r="2215" spans="2:33" ht="15.75" customHeight="1">
      <c r="B2215" s="618"/>
      <c r="H2215" s="178"/>
      <c r="I2215" s="179"/>
      <c r="J2215" s="184"/>
      <c r="N2215" s="178"/>
      <c r="O2215" s="178"/>
      <c r="P2215" s="178"/>
    </row>
    <row r="2216" spans="2:33" ht="15.75" customHeight="1">
      <c r="B2216" s="618"/>
      <c r="H2216" s="178"/>
      <c r="I2216" s="179"/>
      <c r="J2216" s="184"/>
      <c r="N2216" s="178"/>
      <c r="O2216" s="178"/>
      <c r="P2216" s="178"/>
    </row>
    <row r="2217" spans="2:33" ht="15.75" customHeight="1">
      <c r="B2217" s="618"/>
      <c r="H2217" s="178"/>
      <c r="I2217" s="179"/>
      <c r="J2217" s="184"/>
      <c r="N2217" s="178"/>
      <c r="O2217" s="178"/>
      <c r="P2217" s="178"/>
      <c r="AG2217" s="773"/>
    </row>
    <row r="2218" spans="2:33" ht="15.75" customHeight="1">
      <c r="B2218" s="618"/>
      <c r="H2218" s="178"/>
      <c r="I2218" s="179"/>
      <c r="J2218" s="184"/>
      <c r="N2218" s="178"/>
      <c r="O2218" s="178"/>
      <c r="P2218" s="178"/>
    </row>
    <row r="2219" spans="2:33" ht="15.75" customHeight="1">
      <c r="B2219" s="618"/>
      <c r="H2219" s="178"/>
      <c r="I2219" s="179"/>
      <c r="J2219" s="184"/>
      <c r="N2219" s="178"/>
      <c r="O2219" s="178"/>
      <c r="P2219" s="178"/>
    </row>
    <row r="2220" spans="2:33" ht="15.75" customHeight="1">
      <c r="B2220" s="618"/>
      <c r="H2220" s="178"/>
      <c r="I2220" s="179"/>
      <c r="J2220" s="184"/>
      <c r="N2220" s="178"/>
      <c r="O2220" s="178"/>
      <c r="P2220" s="178"/>
    </row>
    <row r="2221" spans="2:33" ht="15.75" customHeight="1">
      <c r="B2221" s="618"/>
      <c r="H2221" s="178"/>
      <c r="I2221" s="179"/>
      <c r="J2221" s="184"/>
      <c r="N2221" s="178"/>
      <c r="O2221" s="178"/>
      <c r="P2221" s="178"/>
    </row>
    <row r="2222" spans="2:33" ht="15.75" customHeight="1">
      <c r="B2222" s="618"/>
      <c r="H2222" s="178"/>
      <c r="I2222" s="179"/>
      <c r="J2222" s="184"/>
      <c r="N2222" s="178"/>
      <c r="O2222" s="178"/>
      <c r="P2222" s="178"/>
    </row>
    <row r="2223" spans="2:33" ht="15.75" customHeight="1">
      <c r="B2223" s="618"/>
      <c r="H2223" s="178"/>
      <c r="I2223" s="179"/>
      <c r="J2223" s="631"/>
      <c r="N2223" s="178"/>
      <c r="O2223" s="178"/>
      <c r="P2223" s="178"/>
    </row>
    <row r="2224" spans="2:33" ht="15.75" customHeight="1">
      <c r="B2224" s="618"/>
      <c r="H2224" s="178"/>
      <c r="I2224" s="179"/>
      <c r="J2224" s="184"/>
      <c r="N2224" s="178"/>
      <c r="O2224" s="178"/>
      <c r="P2224" s="178"/>
    </row>
    <row r="2225" spans="2:16" ht="15.75" customHeight="1">
      <c r="B2225" s="618"/>
      <c r="H2225" s="178"/>
      <c r="I2225" s="179"/>
      <c r="J2225" s="184"/>
      <c r="N2225" s="178"/>
      <c r="O2225" s="178"/>
      <c r="P2225" s="178"/>
    </row>
    <row r="2226" spans="2:16" ht="15.75" customHeight="1">
      <c r="B2226" s="618"/>
      <c r="H2226" s="178"/>
      <c r="I2226" s="179"/>
      <c r="J2226" s="184"/>
      <c r="N2226" s="178"/>
      <c r="O2226" s="178"/>
      <c r="P2226" s="178"/>
    </row>
    <row r="2227" spans="2:16" ht="15.75" customHeight="1">
      <c r="B2227" s="618"/>
      <c r="H2227" s="178"/>
      <c r="I2227" s="179"/>
      <c r="J2227" s="184"/>
      <c r="N2227" s="178"/>
      <c r="O2227" s="178"/>
      <c r="P2227" s="178"/>
    </row>
    <row r="2228" spans="2:16" ht="15.75" customHeight="1">
      <c r="B2228" s="618"/>
      <c r="H2228" s="178"/>
      <c r="I2228" s="179"/>
      <c r="J2228" s="184"/>
      <c r="N2228" s="178"/>
      <c r="O2228" s="178"/>
      <c r="P2228" s="178"/>
    </row>
    <row r="2229" spans="2:16" ht="15.75" customHeight="1">
      <c r="B2229" s="618"/>
      <c r="H2229" s="178"/>
      <c r="I2229" s="179"/>
      <c r="J2229" s="184"/>
      <c r="N2229" s="178"/>
      <c r="O2229" s="178"/>
      <c r="P2229" s="178"/>
    </row>
    <row r="2230" spans="2:16" ht="15.75" customHeight="1">
      <c r="B2230" s="618"/>
      <c r="H2230" s="178"/>
      <c r="I2230" s="179"/>
      <c r="J2230" s="184"/>
      <c r="N2230" s="178"/>
      <c r="O2230" s="178"/>
      <c r="P2230" s="178"/>
    </row>
    <row r="2231" spans="2:16" ht="15.75" customHeight="1">
      <c r="B2231" s="618"/>
      <c r="H2231" s="178"/>
      <c r="I2231" s="179"/>
      <c r="J2231" s="184"/>
      <c r="N2231" s="178"/>
      <c r="O2231" s="178"/>
      <c r="P2231" s="178"/>
    </row>
    <row r="2232" spans="2:16" ht="15.75" customHeight="1">
      <c r="B2232" s="618"/>
      <c r="H2232" s="178"/>
      <c r="I2232" s="179"/>
      <c r="J2232" s="184"/>
      <c r="N2232" s="178"/>
      <c r="O2232" s="178"/>
      <c r="P2232" s="178"/>
    </row>
    <row r="2233" spans="2:16" ht="15.75" customHeight="1">
      <c r="B2233" s="618"/>
      <c r="H2233" s="178"/>
      <c r="I2233" s="179"/>
      <c r="J2233" s="184"/>
      <c r="N2233" s="178"/>
      <c r="O2233" s="178"/>
      <c r="P2233" s="178"/>
    </row>
    <row r="2234" spans="2:16" ht="15.75" customHeight="1">
      <c r="B2234" s="618"/>
      <c r="H2234" s="178"/>
      <c r="I2234" s="179"/>
      <c r="J2234" s="184"/>
      <c r="N2234" s="178"/>
      <c r="O2234" s="178"/>
      <c r="P2234" s="178"/>
    </row>
    <row r="2235" spans="2:16" ht="15.75" customHeight="1">
      <c r="B2235" s="618"/>
      <c r="H2235" s="178"/>
      <c r="I2235" s="179"/>
      <c r="J2235" s="184"/>
      <c r="N2235" s="178"/>
      <c r="O2235" s="178"/>
      <c r="P2235" s="178"/>
    </row>
    <row r="2236" spans="2:16" ht="15.75" customHeight="1">
      <c r="B2236" s="618"/>
      <c r="H2236" s="178"/>
      <c r="I2236" s="179"/>
      <c r="J2236" s="184"/>
      <c r="N2236" s="178"/>
      <c r="O2236" s="178"/>
      <c r="P2236" s="178"/>
    </row>
    <row r="2237" spans="2:16" ht="15.75" customHeight="1">
      <c r="B2237" s="618"/>
      <c r="H2237" s="178"/>
      <c r="I2237" s="179"/>
      <c r="J2237" s="184"/>
      <c r="N2237" s="178"/>
      <c r="O2237" s="178"/>
      <c r="P2237" s="178"/>
    </row>
    <row r="2238" spans="2:16" ht="15.75" customHeight="1">
      <c r="B2238" s="618"/>
      <c r="H2238" s="178"/>
      <c r="I2238" s="179"/>
      <c r="J2238" s="184"/>
      <c r="N2238" s="178"/>
      <c r="O2238" s="178"/>
      <c r="P2238" s="178"/>
    </row>
    <row r="2239" spans="2:16" ht="15.75" customHeight="1">
      <c r="B2239" s="618"/>
      <c r="H2239" s="178"/>
      <c r="I2239" s="179"/>
      <c r="J2239" s="184"/>
      <c r="N2239" s="178"/>
      <c r="O2239" s="178"/>
      <c r="P2239" s="178"/>
    </row>
    <row r="2240" spans="2:16" ht="15.75" customHeight="1">
      <c r="B2240" s="618"/>
      <c r="H2240" s="178"/>
      <c r="I2240" s="179"/>
      <c r="J2240" s="184"/>
      <c r="N2240" s="178"/>
      <c r="O2240" s="178"/>
      <c r="P2240" s="178"/>
    </row>
    <row r="2241" spans="2:16" ht="15.75" customHeight="1">
      <c r="B2241" s="618"/>
      <c r="H2241" s="178"/>
      <c r="I2241" s="179"/>
      <c r="J2241" s="184"/>
      <c r="N2241" s="178"/>
      <c r="O2241" s="178"/>
      <c r="P2241" s="178"/>
    </row>
    <row r="2242" spans="2:16" ht="15.75" customHeight="1">
      <c r="B2242" s="618"/>
      <c r="H2242" s="178"/>
      <c r="I2242" s="179"/>
      <c r="J2242" s="184"/>
      <c r="N2242" s="178"/>
      <c r="O2242" s="178"/>
      <c r="P2242" s="178"/>
    </row>
    <row r="2243" spans="2:16" ht="15.75" customHeight="1">
      <c r="B2243" s="618"/>
      <c r="H2243" s="178"/>
      <c r="I2243" s="179"/>
      <c r="J2243" s="184"/>
      <c r="N2243" s="178"/>
      <c r="O2243" s="178"/>
      <c r="P2243" s="178"/>
    </row>
    <row r="2244" spans="2:16" ht="15.75" customHeight="1">
      <c r="B2244" s="618"/>
      <c r="H2244" s="178"/>
      <c r="I2244" s="179"/>
      <c r="J2244" s="184"/>
      <c r="N2244" s="178"/>
      <c r="O2244" s="178"/>
      <c r="P2244" s="178"/>
    </row>
    <row r="2245" spans="2:16" ht="15.75" customHeight="1">
      <c r="B2245" s="618"/>
      <c r="H2245" s="178"/>
      <c r="I2245" s="179"/>
      <c r="J2245" s="184"/>
      <c r="N2245" s="178"/>
      <c r="O2245" s="178"/>
      <c r="P2245" s="178"/>
    </row>
    <row r="2246" spans="2:16" ht="15.75" customHeight="1">
      <c r="B2246" s="618"/>
      <c r="H2246" s="178"/>
      <c r="I2246" s="179"/>
      <c r="J2246" s="184"/>
      <c r="N2246" s="178"/>
      <c r="O2246" s="178"/>
      <c r="P2246" s="178"/>
    </row>
    <row r="2247" spans="2:16" ht="15.75" customHeight="1">
      <c r="B2247" s="618"/>
      <c r="H2247" s="178"/>
      <c r="I2247" s="179"/>
      <c r="J2247" s="184"/>
      <c r="N2247" s="178"/>
      <c r="O2247" s="178"/>
      <c r="P2247" s="178"/>
    </row>
    <row r="2248" spans="2:16" ht="15.75" customHeight="1">
      <c r="B2248" s="618"/>
      <c r="H2248" s="178"/>
      <c r="I2248" s="179"/>
      <c r="J2248" s="184"/>
      <c r="N2248" s="178"/>
      <c r="O2248" s="178"/>
      <c r="P2248" s="178"/>
    </row>
    <row r="2249" spans="2:16" ht="15.75" customHeight="1">
      <c r="B2249" s="618"/>
      <c r="H2249" s="178"/>
      <c r="I2249" s="179"/>
      <c r="J2249" s="184"/>
      <c r="N2249" s="178"/>
      <c r="O2249" s="178"/>
      <c r="P2249" s="178"/>
    </row>
    <row r="2250" spans="2:16" ht="15.75" customHeight="1">
      <c r="B2250" s="618"/>
      <c r="H2250" s="178"/>
      <c r="I2250" s="179"/>
      <c r="J2250" s="184"/>
      <c r="N2250" s="178"/>
      <c r="O2250" s="178"/>
      <c r="P2250" s="178"/>
    </row>
    <row r="2251" spans="2:16" ht="15.75" customHeight="1">
      <c r="B2251" s="618"/>
      <c r="H2251" s="178"/>
      <c r="I2251" s="179"/>
      <c r="J2251" s="184"/>
      <c r="N2251" s="178"/>
      <c r="O2251" s="178"/>
      <c r="P2251" s="178"/>
    </row>
    <row r="2252" spans="2:16" ht="15.75" customHeight="1">
      <c r="B2252" s="618"/>
      <c r="H2252" s="178"/>
      <c r="I2252" s="179"/>
      <c r="J2252" s="184"/>
      <c r="N2252" s="178"/>
      <c r="O2252" s="178"/>
      <c r="P2252" s="178"/>
    </row>
    <row r="2253" spans="2:16" ht="15.75" customHeight="1">
      <c r="B2253" s="618"/>
      <c r="H2253" s="178"/>
      <c r="I2253" s="179"/>
      <c r="J2253" s="184"/>
      <c r="N2253" s="178"/>
      <c r="O2253" s="178"/>
      <c r="P2253" s="178"/>
    </row>
    <row r="2254" spans="2:16" ht="15.75" customHeight="1">
      <c r="B2254" s="618"/>
      <c r="H2254" s="178"/>
      <c r="I2254" s="179"/>
      <c r="J2254" s="184"/>
      <c r="N2254" s="178"/>
      <c r="O2254" s="178"/>
      <c r="P2254" s="178"/>
    </row>
    <row r="2255" spans="2:16" ht="15.75" customHeight="1">
      <c r="B2255" s="618"/>
      <c r="H2255" s="178"/>
      <c r="I2255" s="179"/>
      <c r="J2255" s="184"/>
      <c r="N2255" s="178"/>
      <c r="O2255" s="178"/>
      <c r="P2255" s="178"/>
    </row>
    <row r="2256" spans="2:16" ht="15.75" customHeight="1">
      <c r="B2256" s="618"/>
      <c r="H2256" s="178"/>
      <c r="I2256" s="179"/>
      <c r="J2256" s="184"/>
      <c r="N2256" s="178"/>
      <c r="O2256" s="178"/>
      <c r="P2256" s="178"/>
    </row>
    <row r="2257" spans="2:16" ht="15.75" customHeight="1">
      <c r="B2257" s="618"/>
      <c r="H2257" s="178"/>
      <c r="I2257" s="179"/>
      <c r="J2257" s="184"/>
      <c r="N2257" s="178"/>
      <c r="O2257" s="178"/>
      <c r="P2257" s="178"/>
    </row>
    <row r="2258" spans="2:16" ht="15.75" customHeight="1">
      <c r="B2258" s="618"/>
      <c r="H2258" s="178"/>
      <c r="I2258" s="179"/>
      <c r="J2258" s="184"/>
      <c r="N2258" s="178"/>
      <c r="O2258" s="178"/>
      <c r="P2258" s="178"/>
    </row>
    <row r="2259" spans="2:16" ht="15.75" customHeight="1">
      <c r="B2259" s="618"/>
      <c r="H2259" s="178"/>
      <c r="I2259" s="179"/>
      <c r="J2259" s="184"/>
      <c r="N2259" s="178"/>
      <c r="O2259" s="178"/>
      <c r="P2259" s="178"/>
    </row>
    <row r="2260" spans="2:16" ht="15.75" customHeight="1">
      <c r="B2260" s="618"/>
      <c r="H2260" s="178"/>
      <c r="I2260" s="179"/>
      <c r="J2260" s="184"/>
      <c r="N2260" s="178"/>
      <c r="O2260" s="178"/>
      <c r="P2260" s="178"/>
    </row>
    <row r="2261" spans="2:16" ht="15.75" customHeight="1">
      <c r="B2261" s="618"/>
      <c r="H2261" s="178"/>
      <c r="I2261" s="179"/>
      <c r="J2261" s="184"/>
      <c r="N2261" s="178"/>
      <c r="O2261" s="178"/>
      <c r="P2261" s="178"/>
    </row>
    <row r="2262" spans="2:16" ht="15.75" customHeight="1">
      <c r="B2262" s="618"/>
      <c r="H2262" s="178"/>
      <c r="I2262" s="179"/>
      <c r="J2262" s="184"/>
      <c r="N2262" s="178"/>
      <c r="O2262" s="178"/>
      <c r="P2262" s="178"/>
    </row>
    <row r="2263" spans="2:16" ht="15.75" customHeight="1">
      <c r="B2263" s="618"/>
      <c r="H2263" s="178"/>
      <c r="I2263" s="179"/>
      <c r="J2263" s="184"/>
      <c r="N2263" s="178"/>
      <c r="O2263" s="178"/>
      <c r="P2263" s="178"/>
    </row>
    <row r="2264" spans="2:16" ht="15.75" customHeight="1">
      <c r="B2264" s="618"/>
      <c r="H2264" s="178"/>
      <c r="I2264" s="179"/>
      <c r="J2264" s="184"/>
      <c r="N2264" s="178"/>
      <c r="O2264" s="178"/>
      <c r="P2264" s="178"/>
    </row>
    <row r="2265" spans="2:16" ht="15.75" customHeight="1">
      <c r="B2265" s="618"/>
      <c r="H2265" s="178"/>
      <c r="I2265" s="179"/>
      <c r="J2265" s="184"/>
      <c r="N2265" s="178"/>
      <c r="O2265" s="178"/>
      <c r="P2265" s="178"/>
    </row>
    <row r="2266" spans="2:16" ht="15.75" customHeight="1">
      <c r="B2266" s="618"/>
      <c r="H2266" s="178"/>
      <c r="I2266" s="179"/>
      <c r="J2266" s="184"/>
      <c r="N2266" s="178"/>
      <c r="O2266" s="178"/>
      <c r="P2266" s="178"/>
    </row>
    <row r="2267" spans="2:16" ht="15.75" customHeight="1">
      <c r="B2267" s="618"/>
      <c r="H2267" s="178"/>
      <c r="I2267" s="179"/>
      <c r="J2267" s="184"/>
      <c r="N2267" s="178"/>
      <c r="O2267" s="178"/>
      <c r="P2267" s="178"/>
    </row>
    <row r="2268" spans="2:16" ht="15.75" customHeight="1">
      <c r="B2268" s="618"/>
      <c r="H2268" s="178"/>
      <c r="I2268" s="179"/>
      <c r="J2268" s="184"/>
      <c r="N2268" s="178"/>
      <c r="O2268" s="178"/>
      <c r="P2268" s="178"/>
    </row>
    <row r="2269" spans="2:16" ht="15.75" customHeight="1">
      <c r="B2269" s="618"/>
      <c r="H2269" s="178"/>
      <c r="I2269" s="179"/>
      <c r="J2269" s="184"/>
      <c r="N2269" s="178"/>
      <c r="O2269" s="178"/>
      <c r="P2269" s="178"/>
    </row>
    <row r="2270" spans="2:16" ht="15.75" customHeight="1">
      <c r="B2270" s="618"/>
      <c r="H2270" s="178"/>
      <c r="I2270" s="179"/>
      <c r="J2270" s="184"/>
      <c r="N2270" s="178"/>
      <c r="O2270" s="178"/>
      <c r="P2270" s="178"/>
    </row>
    <row r="2271" spans="2:16" ht="15.75" customHeight="1">
      <c r="B2271" s="618"/>
      <c r="H2271" s="178"/>
      <c r="I2271" s="179"/>
      <c r="J2271" s="184"/>
      <c r="N2271" s="178"/>
      <c r="O2271" s="178"/>
      <c r="P2271" s="178"/>
    </row>
    <row r="2272" spans="2:16" ht="15.75" customHeight="1">
      <c r="B2272" s="618"/>
      <c r="H2272" s="178"/>
      <c r="I2272" s="179"/>
      <c r="J2272" s="184"/>
      <c r="N2272" s="178"/>
      <c r="O2272" s="178"/>
      <c r="P2272" s="178"/>
    </row>
    <row r="2273" spans="2:16" ht="15.75" customHeight="1">
      <c r="B2273" s="618"/>
      <c r="H2273" s="178"/>
      <c r="I2273" s="179"/>
      <c r="J2273" s="184"/>
      <c r="N2273" s="178"/>
      <c r="O2273" s="178"/>
      <c r="P2273" s="178"/>
    </row>
    <row r="2274" spans="2:16" ht="15.75" customHeight="1">
      <c r="B2274" s="618"/>
      <c r="H2274" s="178"/>
      <c r="I2274" s="179"/>
      <c r="J2274" s="184"/>
      <c r="N2274" s="178"/>
      <c r="O2274" s="178"/>
      <c r="P2274" s="178"/>
    </row>
    <row r="2275" spans="2:16" ht="15.75" customHeight="1">
      <c r="B2275" s="618"/>
      <c r="H2275" s="178"/>
      <c r="I2275" s="179"/>
      <c r="J2275" s="184"/>
      <c r="N2275" s="178"/>
      <c r="O2275" s="178"/>
      <c r="P2275" s="178"/>
    </row>
    <row r="2276" spans="2:16" ht="15.75" customHeight="1">
      <c r="B2276" s="618"/>
      <c r="H2276" s="178"/>
      <c r="I2276" s="179"/>
      <c r="J2276" s="184"/>
      <c r="N2276" s="178"/>
      <c r="O2276" s="178"/>
      <c r="P2276" s="178"/>
    </row>
    <row r="2277" spans="2:16" ht="15.75" customHeight="1">
      <c r="B2277" s="618"/>
      <c r="H2277" s="178"/>
      <c r="I2277" s="179"/>
      <c r="J2277" s="184"/>
      <c r="N2277" s="178"/>
      <c r="O2277" s="178"/>
      <c r="P2277" s="178"/>
    </row>
    <row r="2278" spans="2:16" ht="15.75" customHeight="1">
      <c r="B2278" s="618"/>
      <c r="H2278" s="178"/>
      <c r="I2278" s="179"/>
      <c r="J2278" s="184"/>
      <c r="N2278" s="178"/>
      <c r="O2278" s="178"/>
      <c r="P2278" s="178"/>
    </row>
    <row r="2279" spans="2:16" ht="15.75" customHeight="1">
      <c r="B2279" s="618"/>
      <c r="H2279" s="178"/>
      <c r="I2279" s="179"/>
      <c r="J2279" s="184"/>
      <c r="N2279" s="178"/>
      <c r="O2279" s="178"/>
      <c r="P2279" s="178"/>
    </row>
    <row r="2280" spans="2:16" ht="15.75" customHeight="1">
      <c r="B2280" s="618"/>
      <c r="H2280" s="178"/>
      <c r="I2280" s="179"/>
      <c r="J2280" s="184"/>
      <c r="N2280" s="178"/>
      <c r="O2280" s="178"/>
      <c r="P2280" s="178"/>
    </row>
    <row r="2281" spans="2:16" ht="15.75" customHeight="1">
      <c r="B2281" s="618"/>
      <c r="H2281" s="178"/>
      <c r="I2281" s="179"/>
      <c r="J2281" s="184"/>
      <c r="N2281" s="178"/>
      <c r="O2281" s="178"/>
      <c r="P2281" s="178"/>
    </row>
    <row r="2282" spans="2:16" ht="15.75" customHeight="1">
      <c r="B2282" s="618"/>
      <c r="H2282" s="178"/>
      <c r="I2282" s="179"/>
      <c r="J2282" s="184"/>
      <c r="N2282" s="178"/>
      <c r="O2282" s="178"/>
      <c r="P2282" s="178"/>
    </row>
    <row r="2283" spans="2:16" ht="15.75" customHeight="1">
      <c r="B2283" s="618"/>
      <c r="H2283" s="178"/>
      <c r="I2283" s="179"/>
      <c r="J2283" s="184"/>
      <c r="N2283" s="178"/>
      <c r="O2283" s="178"/>
      <c r="P2283" s="178"/>
    </row>
    <row r="2284" spans="2:16" ht="15.75" customHeight="1">
      <c r="B2284" s="618"/>
      <c r="H2284" s="178"/>
      <c r="I2284" s="179"/>
      <c r="J2284" s="184"/>
      <c r="N2284" s="178"/>
      <c r="O2284" s="178"/>
      <c r="P2284" s="178"/>
    </row>
    <row r="2285" spans="2:16" ht="15.75" customHeight="1">
      <c r="B2285" s="618"/>
      <c r="H2285" s="178"/>
      <c r="I2285" s="179"/>
      <c r="J2285" s="184"/>
      <c r="N2285" s="178"/>
      <c r="O2285" s="178"/>
      <c r="P2285" s="178"/>
    </row>
    <row r="2286" spans="2:16" ht="15.75" customHeight="1">
      <c r="B2286" s="618"/>
      <c r="H2286" s="178"/>
      <c r="I2286" s="179"/>
      <c r="J2286" s="184"/>
      <c r="N2286" s="178"/>
      <c r="O2286" s="178"/>
      <c r="P2286" s="178"/>
    </row>
    <row r="2287" spans="2:16" ht="15.75" customHeight="1">
      <c r="B2287" s="618"/>
      <c r="H2287" s="178"/>
      <c r="I2287" s="179"/>
      <c r="J2287" s="184"/>
      <c r="N2287" s="178"/>
      <c r="O2287" s="178"/>
      <c r="P2287" s="178"/>
    </row>
    <row r="2288" spans="2:16" ht="15.75" customHeight="1">
      <c r="B2288" s="618"/>
      <c r="H2288" s="178"/>
      <c r="I2288" s="179"/>
      <c r="J2288" s="184"/>
      <c r="N2288" s="178"/>
      <c r="O2288" s="178"/>
      <c r="P2288" s="178"/>
    </row>
    <row r="2289" spans="2:16" ht="15.75" customHeight="1">
      <c r="B2289" s="618"/>
      <c r="H2289" s="178"/>
      <c r="I2289" s="179"/>
      <c r="J2289" s="184"/>
      <c r="N2289" s="178"/>
      <c r="O2289" s="178"/>
      <c r="P2289" s="178"/>
    </row>
    <row r="2290" spans="2:16" ht="15.75" customHeight="1">
      <c r="B2290" s="618"/>
      <c r="H2290" s="178"/>
      <c r="I2290" s="179"/>
      <c r="J2290" s="184"/>
      <c r="N2290" s="178"/>
      <c r="O2290" s="178"/>
      <c r="P2290" s="178"/>
    </row>
    <row r="2291" spans="2:16" ht="15.75" customHeight="1">
      <c r="B2291" s="618"/>
      <c r="H2291" s="178"/>
      <c r="I2291" s="179"/>
      <c r="J2291" s="184"/>
      <c r="N2291" s="178"/>
      <c r="O2291" s="178"/>
      <c r="P2291" s="178"/>
    </row>
    <row r="2292" spans="2:16" ht="15.75" customHeight="1">
      <c r="B2292" s="618"/>
      <c r="H2292" s="178"/>
      <c r="I2292" s="179"/>
      <c r="J2292" s="184"/>
      <c r="N2292" s="178"/>
      <c r="O2292" s="178"/>
      <c r="P2292" s="178"/>
    </row>
    <row r="2293" spans="2:16" ht="15.75" customHeight="1">
      <c r="B2293" s="618"/>
      <c r="H2293" s="178"/>
      <c r="I2293" s="179"/>
      <c r="J2293" s="184"/>
      <c r="N2293" s="178"/>
      <c r="O2293" s="178"/>
      <c r="P2293" s="178"/>
    </row>
    <row r="2294" spans="2:16" ht="15.75" customHeight="1">
      <c r="B2294" s="618"/>
      <c r="H2294" s="178"/>
      <c r="I2294" s="179"/>
      <c r="J2294" s="184"/>
      <c r="N2294" s="178"/>
      <c r="O2294" s="178"/>
      <c r="P2294" s="178"/>
    </row>
    <row r="2295" spans="2:16" ht="15.75" customHeight="1">
      <c r="B2295" s="618"/>
      <c r="H2295" s="178"/>
      <c r="I2295" s="179"/>
      <c r="J2295" s="184"/>
      <c r="N2295" s="178"/>
      <c r="O2295" s="178"/>
      <c r="P2295" s="178"/>
    </row>
    <row r="2296" spans="2:16" ht="15.75" customHeight="1">
      <c r="B2296" s="618"/>
      <c r="H2296" s="178"/>
      <c r="I2296" s="179"/>
      <c r="J2296" s="184"/>
      <c r="N2296" s="178"/>
      <c r="O2296" s="178"/>
      <c r="P2296" s="178"/>
    </row>
    <row r="2297" spans="2:16" ht="15.75" customHeight="1">
      <c r="B2297" s="618"/>
      <c r="H2297" s="178"/>
      <c r="I2297" s="179"/>
      <c r="J2297" s="184"/>
      <c r="N2297" s="178"/>
      <c r="O2297" s="178"/>
      <c r="P2297" s="178"/>
    </row>
    <row r="2298" spans="2:16" ht="15.75" customHeight="1">
      <c r="B2298" s="618"/>
      <c r="H2298" s="178"/>
      <c r="I2298" s="179"/>
      <c r="J2298" s="184"/>
      <c r="N2298" s="178"/>
      <c r="O2298" s="178"/>
      <c r="P2298" s="178"/>
    </row>
    <row r="2299" spans="2:16" ht="15.75" customHeight="1">
      <c r="B2299" s="618"/>
      <c r="H2299" s="178"/>
      <c r="I2299" s="179"/>
      <c r="J2299" s="184"/>
      <c r="N2299" s="178"/>
      <c r="O2299" s="178"/>
      <c r="P2299" s="178"/>
    </row>
    <row r="2300" spans="2:16" ht="15.75" customHeight="1">
      <c r="B2300" s="618"/>
      <c r="H2300" s="178"/>
      <c r="I2300" s="179"/>
      <c r="J2300" s="184"/>
      <c r="N2300" s="178"/>
      <c r="O2300" s="178"/>
      <c r="P2300" s="178"/>
    </row>
    <row r="2301" spans="2:16" ht="15.75" customHeight="1">
      <c r="B2301" s="618"/>
      <c r="H2301" s="178"/>
      <c r="I2301" s="179"/>
      <c r="J2301" s="184"/>
      <c r="N2301" s="178"/>
      <c r="O2301" s="178"/>
      <c r="P2301" s="178"/>
    </row>
    <row r="2302" spans="2:16" ht="15.75" customHeight="1">
      <c r="B2302" s="618"/>
      <c r="H2302" s="178"/>
      <c r="I2302" s="179"/>
      <c r="J2302" s="184"/>
      <c r="N2302" s="178"/>
      <c r="O2302" s="178"/>
      <c r="P2302" s="178"/>
    </row>
    <row r="2303" spans="2:16" ht="15.75" customHeight="1">
      <c r="B2303" s="618"/>
      <c r="H2303" s="178"/>
      <c r="I2303" s="179"/>
      <c r="J2303" s="184"/>
      <c r="N2303" s="178"/>
      <c r="O2303" s="178"/>
      <c r="P2303" s="178"/>
    </row>
    <row r="2304" spans="2:16" ht="15.75" customHeight="1">
      <c r="B2304" s="618"/>
      <c r="H2304" s="178"/>
      <c r="I2304" s="179"/>
      <c r="J2304" s="184"/>
      <c r="N2304" s="178"/>
      <c r="O2304" s="178"/>
      <c r="P2304" s="178"/>
    </row>
    <row r="2305" spans="2:16" ht="15.75" customHeight="1">
      <c r="B2305" s="618"/>
      <c r="H2305" s="178"/>
      <c r="I2305" s="179"/>
      <c r="J2305" s="184"/>
      <c r="N2305" s="178"/>
      <c r="O2305" s="178"/>
      <c r="P2305" s="178"/>
    </row>
    <row r="2306" spans="2:16" ht="15.75" customHeight="1">
      <c r="B2306" s="618"/>
      <c r="H2306" s="178"/>
      <c r="I2306" s="179"/>
      <c r="J2306" s="184"/>
      <c r="N2306" s="178"/>
      <c r="O2306" s="178"/>
      <c r="P2306" s="178"/>
    </row>
    <row r="2307" spans="2:16" ht="15.75" customHeight="1">
      <c r="B2307" s="618"/>
      <c r="H2307" s="178"/>
      <c r="I2307" s="179"/>
      <c r="J2307" s="184"/>
      <c r="N2307" s="178"/>
      <c r="O2307" s="178"/>
      <c r="P2307" s="178"/>
    </row>
    <row r="2308" spans="2:16" ht="15.75" customHeight="1">
      <c r="B2308" s="618"/>
      <c r="H2308" s="178"/>
      <c r="I2308" s="179"/>
      <c r="J2308" s="184"/>
      <c r="N2308" s="178"/>
      <c r="O2308" s="178"/>
      <c r="P2308" s="178"/>
    </row>
    <row r="2309" spans="2:16" ht="15.75" customHeight="1">
      <c r="B2309" s="618"/>
      <c r="H2309" s="178"/>
      <c r="I2309" s="179"/>
      <c r="J2309" s="184"/>
      <c r="N2309" s="178"/>
      <c r="O2309" s="178"/>
      <c r="P2309" s="178"/>
    </row>
    <row r="2310" spans="2:16" ht="15.75" customHeight="1">
      <c r="B2310" s="618"/>
      <c r="H2310" s="178"/>
      <c r="I2310" s="179"/>
      <c r="J2310" s="184"/>
      <c r="N2310" s="178"/>
      <c r="O2310" s="178"/>
      <c r="P2310" s="178"/>
    </row>
    <row r="2311" spans="2:16" ht="15.75" customHeight="1">
      <c r="B2311" s="618"/>
      <c r="H2311" s="178"/>
      <c r="I2311" s="179"/>
      <c r="J2311" s="184"/>
      <c r="N2311" s="178"/>
      <c r="O2311" s="178"/>
      <c r="P2311" s="178"/>
    </row>
    <row r="2312" spans="2:16" ht="15.75" customHeight="1">
      <c r="B2312" s="618"/>
      <c r="H2312" s="178"/>
      <c r="I2312" s="179"/>
      <c r="J2312" s="184"/>
      <c r="N2312" s="178"/>
      <c r="O2312" s="178"/>
      <c r="P2312" s="178"/>
    </row>
    <row r="2313" spans="2:16" ht="15.75" customHeight="1">
      <c r="B2313" s="618"/>
      <c r="H2313" s="178"/>
      <c r="I2313" s="179"/>
      <c r="J2313" s="184"/>
      <c r="N2313" s="178"/>
      <c r="O2313" s="178"/>
      <c r="P2313" s="178"/>
    </row>
    <row r="2314" spans="2:16" ht="15.75" customHeight="1">
      <c r="B2314" s="618"/>
      <c r="H2314" s="178"/>
      <c r="I2314" s="179"/>
      <c r="J2314" s="184"/>
      <c r="N2314" s="178"/>
      <c r="O2314" s="178"/>
      <c r="P2314" s="178"/>
    </row>
    <row r="2315" spans="2:16" ht="15.75" customHeight="1">
      <c r="B2315" s="618"/>
      <c r="H2315" s="178"/>
      <c r="I2315" s="179"/>
      <c r="J2315" s="184"/>
      <c r="N2315" s="178"/>
      <c r="O2315" s="178"/>
      <c r="P2315" s="178"/>
    </row>
    <row r="2316" spans="2:16" ht="15.75" customHeight="1">
      <c r="B2316" s="618"/>
      <c r="H2316" s="178"/>
      <c r="I2316" s="179"/>
      <c r="J2316" s="184"/>
      <c r="N2316" s="178"/>
      <c r="O2316" s="178"/>
      <c r="P2316" s="178"/>
    </row>
    <row r="2317" spans="2:16" ht="15.75" customHeight="1">
      <c r="B2317" s="618"/>
      <c r="H2317" s="178"/>
      <c r="I2317" s="179"/>
      <c r="J2317" s="184"/>
      <c r="N2317" s="178"/>
      <c r="O2317" s="178"/>
      <c r="P2317" s="178"/>
    </row>
    <row r="2318" spans="2:16" ht="15.75" customHeight="1">
      <c r="B2318" s="618"/>
      <c r="H2318" s="178"/>
      <c r="I2318" s="179"/>
      <c r="J2318" s="184"/>
      <c r="N2318" s="178"/>
      <c r="O2318" s="178"/>
      <c r="P2318" s="178"/>
    </row>
    <row r="2319" spans="2:16" ht="15.75" customHeight="1">
      <c r="B2319" s="618"/>
      <c r="H2319" s="178"/>
      <c r="I2319" s="179"/>
      <c r="J2319" s="184"/>
      <c r="N2319" s="178"/>
      <c r="O2319" s="178"/>
      <c r="P2319" s="178"/>
    </row>
    <row r="2320" spans="2:16" ht="15.75" customHeight="1">
      <c r="B2320" s="618"/>
      <c r="H2320" s="178"/>
      <c r="I2320" s="179"/>
      <c r="J2320" s="184"/>
      <c r="N2320" s="178"/>
      <c r="O2320" s="178"/>
      <c r="P2320" s="178"/>
    </row>
    <row r="2321" spans="2:16" ht="15.75" customHeight="1">
      <c r="B2321" s="618"/>
      <c r="H2321" s="178"/>
      <c r="I2321" s="179"/>
      <c r="J2321" s="184"/>
      <c r="N2321" s="178"/>
      <c r="O2321" s="178"/>
      <c r="P2321" s="178"/>
    </row>
    <row r="2322" spans="2:16" ht="15.75" customHeight="1">
      <c r="B2322" s="618"/>
      <c r="H2322" s="178"/>
      <c r="I2322" s="179"/>
      <c r="J2322" s="184"/>
      <c r="N2322" s="178"/>
      <c r="O2322" s="178"/>
      <c r="P2322" s="178"/>
    </row>
    <row r="2323" spans="2:16" ht="15.75" customHeight="1">
      <c r="B2323" s="618"/>
      <c r="H2323" s="178"/>
      <c r="I2323" s="179"/>
      <c r="J2323" s="184"/>
      <c r="N2323" s="178"/>
      <c r="O2323" s="178"/>
      <c r="P2323" s="178"/>
    </row>
    <row r="2324" spans="2:16" ht="15.75" customHeight="1">
      <c r="B2324" s="618"/>
      <c r="H2324" s="178"/>
      <c r="I2324" s="179"/>
      <c r="J2324" s="184"/>
      <c r="N2324" s="178"/>
      <c r="O2324" s="178"/>
      <c r="P2324" s="178"/>
    </row>
    <row r="2325" spans="2:16" ht="15.75" customHeight="1">
      <c r="B2325" s="618"/>
      <c r="H2325" s="178"/>
      <c r="I2325" s="179"/>
      <c r="J2325" s="184"/>
      <c r="N2325" s="178"/>
      <c r="O2325" s="178"/>
      <c r="P2325" s="178"/>
    </row>
    <row r="2326" spans="2:16" ht="15.75" customHeight="1">
      <c r="B2326" s="618"/>
      <c r="H2326" s="178"/>
      <c r="I2326" s="179"/>
      <c r="J2326" s="184"/>
      <c r="N2326" s="178"/>
      <c r="O2326" s="178"/>
      <c r="P2326" s="178"/>
    </row>
    <row r="2327" spans="2:16" ht="15.75" customHeight="1">
      <c r="B2327" s="618"/>
      <c r="H2327" s="178"/>
      <c r="I2327" s="179"/>
      <c r="J2327" s="184"/>
      <c r="N2327" s="178"/>
      <c r="O2327" s="178"/>
      <c r="P2327" s="178"/>
    </row>
    <row r="2328" spans="2:16" ht="15.75" customHeight="1">
      <c r="B2328" s="618"/>
      <c r="H2328" s="178"/>
      <c r="I2328" s="179"/>
      <c r="J2328" s="184"/>
      <c r="N2328" s="178"/>
      <c r="O2328" s="178"/>
      <c r="P2328" s="178"/>
    </row>
    <row r="2329" spans="2:16" ht="15.75" customHeight="1">
      <c r="B2329" s="618"/>
      <c r="H2329" s="178"/>
      <c r="I2329" s="179"/>
      <c r="J2329" s="184"/>
      <c r="N2329" s="178"/>
      <c r="O2329" s="178"/>
      <c r="P2329" s="178"/>
    </row>
    <row r="2330" spans="2:16" ht="15.75" customHeight="1">
      <c r="B2330" s="618"/>
      <c r="H2330" s="178"/>
      <c r="I2330" s="179"/>
      <c r="J2330" s="184"/>
      <c r="N2330" s="178"/>
      <c r="O2330" s="178"/>
      <c r="P2330" s="178"/>
    </row>
    <row r="2331" spans="2:16" ht="15.75" customHeight="1">
      <c r="B2331" s="618"/>
      <c r="H2331" s="178"/>
      <c r="I2331" s="179"/>
      <c r="J2331" s="184"/>
      <c r="N2331" s="178"/>
      <c r="O2331" s="178"/>
      <c r="P2331" s="178"/>
    </row>
    <row r="2332" spans="2:16" ht="15.75" customHeight="1">
      <c r="B2332" s="618"/>
      <c r="H2332" s="178"/>
      <c r="I2332" s="179"/>
      <c r="J2332" s="184"/>
      <c r="N2332" s="178"/>
      <c r="O2332" s="178"/>
      <c r="P2332" s="178"/>
    </row>
    <row r="2333" spans="2:16" ht="15.75" customHeight="1">
      <c r="B2333" s="618"/>
      <c r="H2333" s="178"/>
      <c r="I2333" s="179"/>
      <c r="J2333" s="184"/>
      <c r="N2333" s="178"/>
      <c r="O2333" s="178"/>
      <c r="P2333" s="178"/>
    </row>
    <row r="2334" spans="2:16" ht="15.75" customHeight="1">
      <c r="B2334" s="618"/>
      <c r="H2334" s="178"/>
      <c r="I2334" s="179"/>
      <c r="J2334" s="184"/>
      <c r="N2334" s="178"/>
      <c r="O2334" s="178"/>
      <c r="P2334" s="178"/>
    </row>
    <row r="2335" spans="2:16" ht="15.75" customHeight="1">
      <c r="B2335" s="618"/>
      <c r="H2335" s="178"/>
      <c r="I2335" s="179"/>
      <c r="J2335" s="184"/>
      <c r="N2335" s="178"/>
      <c r="O2335" s="178"/>
      <c r="P2335" s="178"/>
    </row>
    <row r="2336" spans="2:16" ht="15.75" customHeight="1">
      <c r="B2336" s="618"/>
      <c r="H2336" s="178"/>
      <c r="I2336" s="179"/>
      <c r="J2336" s="184"/>
      <c r="N2336" s="178"/>
      <c r="O2336" s="178"/>
      <c r="P2336" s="178"/>
    </row>
    <row r="2337" spans="2:16" ht="15.75" customHeight="1">
      <c r="B2337" s="618"/>
      <c r="H2337" s="178"/>
      <c r="I2337" s="179"/>
      <c r="J2337" s="184"/>
      <c r="N2337" s="178"/>
      <c r="O2337" s="178"/>
      <c r="P2337" s="178"/>
    </row>
    <row r="2338" spans="2:16" ht="15.75" customHeight="1">
      <c r="B2338" s="618"/>
      <c r="H2338" s="178"/>
      <c r="I2338" s="179"/>
      <c r="J2338" s="184"/>
      <c r="N2338" s="178"/>
      <c r="O2338" s="178"/>
      <c r="P2338" s="178"/>
    </row>
    <row r="2339" spans="2:16" ht="15.75" customHeight="1">
      <c r="B2339" s="618"/>
      <c r="H2339" s="178"/>
      <c r="I2339" s="179"/>
      <c r="J2339" s="184"/>
      <c r="N2339" s="178"/>
      <c r="O2339" s="178"/>
      <c r="P2339" s="178"/>
    </row>
    <row r="2340" spans="2:16" ht="15.75" customHeight="1">
      <c r="B2340" s="618"/>
      <c r="H2340" s="178"/>
      <c r="I2340" s="179"/>
      <c r="J2340" s="184"/>
      <c r="N2340" s="178"/>
      <c r="O2340" s="178"/>
      <c r="P2340" s="178"/>
    </row>
    <row r="2341" spans="2:16" ht="15.75" customHeight="1">
      <c r="B2341" s="618"/>
      <c r="H2341" s="178"/>
      <c r="I2341" s="179"/>
      <c r="J2341" s="184"/>
      <c r="N2341" s="178"/>
      <c r="O2341" s="178"/>
      <c r="P2341" s="178"/>
    </row>
    <row r="2342" spans="2:16" ht="15.75" customHeight="1">
      <c r="B2342" s="618"/>
      <c r="H2342" s="178"/>
      <c r="I2342" s="179"/>
      <c r="J2342" s="184"/>
      <c r="N2342" s="178"/>
      <c r="O2342" s="178"/>
      <c r="P2342" s="178"/>
    </row>
    <row r="2343" spans="2:16" ht="15.75" customHeight="1">
      <c r="B2343" s="618"/>
      <c r="H2343" s="178"/>
      <c r="I2343" s="179"/>
      <c r="J2343" s="184"/>
      <c r="N2343" s="178"/>
      <c r="O2343" s="178"/>
      <c r="P2343" s="178"/>
    </row>
    <row r="2344" spans="2:16" ht="15.75" customHeight="1">
      <c r="B2344" s="618"/>
      <c r="H2344" s="178"/>
      <c r="I2344" s="179"/>
      <c r="J2344" s="184"/>
      <c r="N2344" s="178"/>
      <c r="O2344" s="178"/>
      <c r="P2344" s="178"/>
    </row>
    <row r="2345" spans="2:16" ht="15.75" customHeight="1">
      <c r="B2345" s="618"/>
      <c r="H2345" s="178"/>
      <c r="I2345" s="179"/>
      <c r="J2345" s="184"/>
      <c r="N2345" s="178"/>
      <c r="O2345" s="178"/>
      <c r="P2345" s="178"/>
    </row>
    <row r="2346" spans="2:16" ht="15.75" customHeight="1">
      <c r="B2346" s="618"/>
      <c r="H2346" s="178"/>
      <c r="I2346" s="179"/>
      <c r="J2346" s="184"/>
      <c r="N2346" s="178"/>
      <c r="O2346" s="178"/>
      <c r="P2346" s="178"/>
    </row>
    <row r="2347" spans="2:16" ht="15.75" customHeight="1">
      <c r="B2347" s="618"/>
      <c r="H2347" s="178"/>
      <c r="I2347" s="179"/>
      <c r="J2347" s="184"/>
      <c r="N2347" s="178"/>
      <c r="O2347" s="178"/>
      <c r="P2347" s="178"/>
    </row>
    <row r="2348" spans="2:16" ht="15.75" customHeight="1">
      <c r="B2348" s="618"/>
      <c r="H2348" s="178"/>
      <c r="I2348" s="179"/>
      <c r="J2348" s="184"/>
      <c r="N2348" s="178"/>
      <c r="O2348" s="178"/>
      <c r="P2348" s="178"/>
    </row>
    <row r="2349" spans="2:16" ht="15.75" customHeight="1">
      <c r="B2349" s="618"/>
      <c r="H2349" s="178"/>
      <c r="I2349" s="179"/>
      <c r="J2349" s="184"/>
      <c r="N2349" s="178"/>
      <c r="O2349" s="178"/>
      <c r="P2349" s="178"/>
    </row>
    <row r="2350" spans="2:16" ht="15.75" customHeight="1">
      <c r="B2350" s="618"/>
      <c r="H2350" s="178"/>
      <c r="I2350" s="179"/>
      <c r="J2350" s="184"/>
      <c r="N2350" s="178"/>
      <c r="O2350" s="178"/>
      <c r="P2350" s="178"/>
    </row>
    <row r="2351" spans="2:16" ht="15.75" customHeight="1">
      <c r="B2351" s="618"/>
      <c r="H2351" s="178"/>
      <c r="I2351" s="179"/>
      <c r="J2351" s="184"/>
      <c r="N2351" s="178"/>
      <c r="O2351" s="178"/>
      <c r="P2351" s="178"/>
    </row>
    <row r="2352" spans="2:16" ht="15.75" customHeight="1">
      <c r="B2352" s="618"/>
      <c r="H2352" s="178"/>
      <c r="I2352" s="179"/>
      <c r="J2352" s="184"/>
      <c r="N2352" s="178"/>
      <c r="O2352" s="178"/>
      <c r="P2352" s="178"/>
    </row>
    <row r="2353" spans="2:16" ht="15.75" customHeight="1">
      <c r="B2353" s="618"/>
      <c r="H2353" s="178"/>
      <c r="I2353" s="179"/>
      <c r="J2353" s="184"/>
      <c r="N2353" s="178"/>
      <c r="O2353" s="178"/>
      <c r="P2353" s="178"/>
    </row>
    <row r="2354" spans="2:16" ht="15.75" customHeight="1">
      <c r="B2354" s="618"/>
      <c r="H2354" s="178"/>
      <c r="I2354" s="179"/>
      <c r="J2354" s="184"/>
      <c r="N2354" s="178"/>
      <c r="O2354" s="178"/>
      <c r="P2354" s="178"/>
    </row>
    <row r="2355" spans="2:16" ht="15.75" customHeight="1">
      <c r="B2355" s="618"/>
      <c r="H2355" s="178"/>
      <c r="I2355" s="179"/>
      <c r="J2355" s="184"/>
      <c r="N2355" s="178"/>
      <c r="O2355" s="178"/>
      <c r="P2355" s="178"/>
    </row>
    <row r="2356" spans="2:16" ht="15.75" customHeight="1">
      <c r="B2356" s="618"/>
      <c r="H2356" s="178"/>
      <c r="I2356" s="179"/>
      <c r="J2356" s="184"/>
      <c r="N2356" s="178"/>
      <c r="O2356" s="178"/>
      <c r="P2356" s="178"/>
    </row>
    <row r="2357" spans="2:16" ht="15.75" customHeight="1">
      <c r="B2357" s="618"/>
      <c r="H2357" s="178"/>
      <c r="I2357" s="179"/>
      <c r="J2357" s="184"/>
      <c r="N2357" s="178"/>
      <c r="O2357" s="178"/>
      <c r="P2357" s="178"/>
    </row>
    <row r="2358" spans="2:16" ht="15.75" customHeight="1">
      <c r="B2358" s="618"/>
      <c r="H2358" s="178"/>
      <c r="I2358" s="179"/>
      <c r="J2358" s="184"/>
      <c r="N2358" s="178"/>
      <c r="O2358" s="178"/>
      <c r="P2358" s="178"/>
    </row>
    <row r="2359" spans="2:16" ht="15.75" customHeight="1">
      <c r="B2359" s="618"/>
      <c r="H2359" s="178"/>
      <c r="I2359" s="179"/>
      <c r="J2359" s="184"/>
      <c r="N2359" s="178"/>
      <c r="O2359" s="178"/>
      <c r="P2359" s="178"/>
    </row>
    <row r="2360" spans="2:16" ht="15.75" customHeight="1">
      <c r="B2360" s="618"/>
      <c r="H2360" s="178"/>
      <c r="I2360" s="179"/>
      <c r="J2360" s="184"/>
      <c r="N2360" s="178"/>
      <c r="O2360" s="178"/>
      <c r="P2360" s="178"/>
    </row>
    <row r="2361" spans="2:16" ht="15.75" customHeight="1">
      <c r="B2361" s="618"/>
      <c r="H2361" s="178"/>
      <c r="I2361" s="179"/>
      <c r="J2361" s="184"/>
      <c r="N2361" s="178"/>
      <c r="O2361" s="178"/>
      <c r="P2361" s="178"/>
    </row>
    <row r="2362" spans="2:16" ht="15.75" customHeight="1">
      <c r="B2362" s="618"/>
      <c r="H2362" s="178"/>
      <c r="I2362" s="179"/>
      <c r="J2362" s="184"/>
      <c r="N2362" s="178"/>
      <c r="O2362" s="178"/>
      <c r="P2362" s="178"/>
    </row>
    <row r="2363" spans="2:16" ht="15.75" customHeight="1">
      <c r="B2363" s="618"/>
      <c r="H2363" s="178"/>
      <c r="I2363" s="179"/>
      <c r="J2363" s="184"/>
      <c r="N2363" s="178"/>
      <c r="O2363" s="178"/>
      <c r="P2363" s="178"/>
    </row>
    <row r="2364" spans="2:16" ht="15.75" customHeight="1">
      <c r="B2364" s="618"/>
      <c r="H2364" s="178"/>
      <c r="I2364" s="179"/>
      <c r="J2364" s="184"/>
      <c r="N2364" s="178"/>
      <c r="O2364" s="178"/>
      <c r="P2364" s="178"/>
    </row>
    <row r="2365" spans="2:16" ht="15.75" customHeight="1">
      <c r="B2365" s="618"/>
      <c r="H2365" s="178"/>
      <c r="I2365" s="179"/>
      <c r="J2365" s="184"/>
      <c r="N2365" s="178"/>
      <c r="O2365" s="178"/>
      <c r="P2365" s="178"/>
    </row>
    <row r="2366" spans="2:16" ht="15.75" customHeight="1">
      <c r="B2366" s="618"/>
      <c r="H2366" s="178"/>
      <c r="I2366" s="179"/>
      <c r="J2366" s="184"/>
      <c r="N2366" s="178"/>
      <c r="O2366" s="178"/>
      <c r="P2366" s="178"/>
    </row>
    <row r="2367" spans="2:16" ht="15.75" customHeight="1">
      <c r="B2367" s="618"/>
      <c r="H2367" s="178"/>
      <c r="I2367" s="179"/>
      <c r="J2367" s="184"/>
      <c r="N2367" s="178"/>
      <c r="O2367" s="178"/>
      <c r="P2367" s="178"/>
    </row>
    <row r="2368" spans="2:16" ht="15.75" customHeight="1">
      <c r="B2368" s="618"/>
      <c r="H2368" s="178"/>
      <c r="I2368" s="179"/>
      <c r="J2368" s="184"/>
      <c r="N2368" s="178"/>
      <c r="O2368" s="178"/>
      <c r="P2368" s="178"/>
    </row>
    <row r="2369" spans="2:16" ht="15.75" customHeight="1">
      <c r="B2369" s="618"/>
      <c r="H2369" s="178"/>
      <c r="I2369" s="179"/>
      <c r="J2369" s="184"/>
      <c r="N2369" s="178"/>
      <c r="O2369" s="178"/>
      <c r="P2369" s="178"/>
    </row>
    <row r="2370" spans="2:16" ht="15.75" customHeight="1">
      <c r="B2370" s="618"/>
      <c r="H2370" s="178"/>
      <c r="I2370" s="179"/>
      <c r="J2370" s="184"/>
      <c r="N2370" s="178"/>
      <c r="O2370" s="178"/>
      <c r="P2370" s="178"/>
    </row>
    <row r="2371" spans="2:16" ht="15.75" customHeight="1">
      <c r="B2371" s="618"/>
      <c r="H2371" s="178"/>
      <c r="I2371" s="179"/>
      <c r="J2371" s="184"/>
      <c r="N2371" s="178"/>
      <c r="O2371" s="178"/>
      <c r="P2371" s="178"/>
    </row>
    <row r="2372" spans="2:16" ht="15.75" customHeight="1">
      <c r="B2372" s="618"/>
      <c r="H2372" s="178"/>
      <c r="I2372" s="179"/>
      <c r="J2372" s="184"/>
      <c r="N2372" s="178"/>
      <c r="O2372" s="178"/>
      <c r="P2372" s="178"/>
    </row>
    <row r="2373" spans="2:16" ht="15.75" customHeight="1">
      <c r="B2373" s="618"/>
      <c r="H2373" s="178"/>
      <c r="I2373" s="179"/>
      <c r="J2373" s="184"/>
      <c r="N2373" s="178"/>
      <c r="O2373" s="178"/>
      <c r="P2373" s="178"/>
    </row>
    <row r="2374" spans="2:16" ht="15.75" customHeight="1">
      <c r="B2374" s="618"/>
      <c r="H2374" s="178"/>
      <c r="I2374" s="179"/>
      <c r="J2374" s="184"/>
      <c r="N2374" s="178"/>
      <c r="O2374" s="178"/>
      <c r="P2374" s="178"/>
    </row>
    <row r="2375" spans="2:16" ht="15.75" customHeight="1">
      <c r="B2375" s="618"/>
      <c r="H2375" s="178"/>
      <c r="I2375" s="179"/>
      <c r="J2375" s="184"/>
      <c r="N2375" s="178"/>
      <c r="O2375" s="178"/>
      <c r="P2375" s="178"/>
    </row>
    <row r="2376" spans="2:16" ht="15.75" customHeight="1">
      <c r="B2376" s="618"/>
      <c r="H2376" s="178"/>
      <c r="I2376" s="179"/>
      <c r="J2376" s="184"/>
      <c r="N2376" s="178"/>
      <c r="O2376" s="178"/>
      <c r="P2376" s="178"/>
    </row>
    <row r="2377" spans="2:16" ht="15.75" customHeight="1">
      <c r="B2377" s="618"/>
      <c r="H2377" s="178"/>
      <c r="I2377" s="179"/>
      <c r="J2377" s="184"/>
      <c r="N2377" s="178"/>
      <c r="O2377" s="178"/>
      <c r="P2377" s="178"/>
    </row>
    <row r="2378" spans="2:16" ht="15.75" customHeight="1">
      <c r="B2378" s="618"/>
      <c r="H2378" s="178"/>
      <c r="I2378" s="179"/>
      <c r="J2378" s="184"/>
      <c r="N2378" s="178"/>
      <c r="O2378" s="178"/>
      <c r="P2378" s="178"/>
    </row>
    <row r="2379" spans="2:16" ht="15.75" customHeight="1">
      <c r="B2379" s="618"/>
      <c r="H2379" s="178"/>
      <c r="I2379" s="179"/>
      <c r="J2379" s="184"/>
      <c r="N2379" s="178"/>
      <c r="O2379" s="178"/>
      <c r="P2379" s="178"/>
    </row>
    <row r="2380" spans="2:16" ht="15.75" customHeight="1">
      <c r="B2380" s="618"/>
      <c r="H2380" s="178"/>
      <c r="I2380" s="179"/>
      <c r="J2380" s="184"/>
      <c r="N2380" s="178"/>
      <c r="O2380" s="178"/>
      <c r="P2380" s="178"/>
    </row>
    <row r="2381" spans="2:16" ht="15.75" customHeight="1">
      <c r="B2381" s="618"/>
      <c r="H2381" s="178"/>
      <c r="I2381" s="179"/>
      <c r="J2381" s="184"/>
      <c r="N2381" s="178"/>
      <c r="O2381" s="178"/>
      <c r="P2381" s="178"/>
    </row>
    <row r="2382" spans="2:16" ht="15.75" customHeight="1">
      <c r="B2382" s="618"/>
      <c r="H2382" s="178"/>
      <c r="I2382" s="179"/>
      <c r="J2382" s="184"/>
      <c r="N2382" s="178"/>
      <c r="O2382" s="178"/>
      <c r="P2382" s="178"/>
    </row>
    <row r="2383" spans="2:16" ht="15.75" customHeight="1">
      <c r="B2383" s="618"/>
      <c r="H2383" s="178"/>
      <c r="I2383" s="179"/>
      <c r="J2383" s="184"/>
      <c r="N2383" s="178"/>
      <c r="O2383" s="178"/>
      <c r="P2383" s="178"/>
    </row>
    <row r="2384" spans="2:16" ht="15.75" customHeight="1">
      <c r="B2384" s="618"/>
      <c r="H2384" s="178"/>
      <c r="I2384" s="179"/>
      <c r="J2384" s="184"/>
      <c r="N2384" s="178"/>
      <c r="O2384" s="178"/>
      <c r="P2384" s="178"/>
    </row>
    <row r="2385" spans="2:16" ht="15.75" customHeight="1">
      <c r="B2385" s="618"/>
      <c r="H2385" s="178"/>
      <c r="I2385" s="179"/>
      <c r="J2385" s="184"/>
      <c r="N2385" s="178"/>
      <c r="O2385" s="178"/>
      <c r="P2385" s="178"/>
    </row>
    <row r="2386" spans="2:16" ht="15.75" customHeight="1">
      <c r="B2386" s="618"/>
      <c r="H2386" s="178"/>
      <c r="I2386" s="179"/>
      <c r="J2386" s="184"/>
      <c r="N2386" s="178"/>
      <c r="O2386" s="178"/>
      <c r="P2386" s="178"/>
    </row>
    <row r="2387" spans="2:16" ht="15.75" customHeight="1">
      <c r="B2387" s="618"/>
      <c r="H2387" s="178"/>
      <c r="I2387" s="179"/>
      <c r="J2387" s="184"/>
      <c r="N2387" s="178"/>
      <c r="O2387" s="178"/>
      <c r="P2387" s="178"/>
    </row>
    <row r="2388" spans="2:16" ht="15.75" customHeight="1">
      <c r="B2388" s="618"/>
      <c r="H2388" s="178"/>
      <c r="I2388" s="179"/>
      <c r="J2388" s="184"/>
      <c r="N2388" s="178"/>
      <c r="O2388" s="178"/>
      <c r="P2388" s="178"/>
    </row>
    <row r="2389" spans="2:16" ht="15.75" customHeight="1">
      <c r="B2389" s="618"/>
      <c r="H2389" s="178"/>
      <c r="I2389" s="179"/>
      <c r="J2389" s="184"/>
      <c r="N2389" s="178"/>
      <c r="O2389" s="178"/>
      <c r="P2389" s="178"/>
    </row>
    <row r="2390" spans="2:16" ht="15.75" customHeight="1">
      <c r="B2390" s="618"/>
      <c r="H2390" s="178"/>
      <c r="I2390" s="179"/>
      <c r="J2390" s="184"/>
      <c r="N2390" s="178"/>
      <c r="O2390" s="178"/>
      <c r="P2390" s="178"/>
    </row>
    <row r="2391" spans="2:16" ht="15.75" customHeight="1">
      <c r="B2391" s="618"/>
      <c r="H2391" s="178"/>
      <c r="I2391" s="179"/>
      <c r="J2391" s="184"/>
      <c r="N2391" s="178"/>
      <c r="O2391" s="178"/>
      <c r="P2391" s="178"/>
    </row>
    <row r="2392" spans="2:16" ht="15.75" customHeight="1">
      <c r="B2392" s="618"/>
      <c r="H2392" s="178"/>
      <c r="I2392" s="179"/>
      <c r="J2392" s="184"/>
      <c r="N2392" s="178"/>
      <c r="O2392" s="178"/>
      <c r="P2392" s="178"/>
    </row>
    <row r="2393" spans="2:16" ht="15.75" customHeight="1">
      <c r="B2393" s="618"/>
      <c r="H2393" s="178"/>
      <c r="I2393" s="179"/>
      <c r="J2393" s="184"/>
      <c r="N2393" s="178"/>
      <c r="O2393" s="178"/>
      <c r="P2393" s="178"/>
    </row>
    <row r="2394" spans="2:16" ht="15.75" customHeight="1">
      <c r="B2394" s="618"/>
      <c r="H2394" s="178"/>
      <c r="I2394" s="179"/>
      <c r="J2394" s="184"/>
      <c r="N2394" s="178"/>
      <c r="O2394" s="178"/>
      <c r="P2394" s="178"/>
    </row>
    <row r="2395" spans="2:16" ht="15.75" customHeight="1">
      <c r="B2395" s="618"/>
      <c r="H2395" s="178"/>
      <c r="I2395" s="179"/>
      <c r="J2395" s="184"/>
      <c r="N2395" s="178"/>
      <c r="O2395" s="178"/>
      <c r="P2395" s="178"/>
    </row>
    <row r="2396" spans="2:16" ht="15.75" customHeight="1">
      <c r="B2396" s="618"/>
      <c r="H2396" s="178"/>
      <c r="I2396" s="179"/>
      <c r="J2396" s="184"/>
      <c r="N2396" s="178"/>
      <c r="O2396" s="178"/>
      <c r="P2396" s="178"/>
    </row>
    <row r="2397" spans="2:16" ht="15.75" customHeight="1">
      <c r="B2397" s="618"/>
      <c r="H2397" s="178"/>
      <c r="I2397" s="179"/>
      <c r="J2397" s="184"/>
      <c r="N2397" s="178"/>
      <c r="O2397" s="178"/>
      <c r="P2397" s="178"/>
    </row>
    <row r="2398" spans="2:16" ht="15.75" customHeight="1">
      <c r="B2398" s="618"/>
      <c r="H2398" s="178"/>
      <c r="I2398" s="179"/>
      <c r="J2398" s="184"/>
      <c r="N2398" s="178"/>
      <c r="O2398" s="178"/>
      <c r="P2398" s="178"/>
    </row>
    <row r="2399" spans="2:16" ht="15.75" customHeight="1">
      <c r="B2399" s="618"/>
      <c r="H2399" s="178"/>
      <c r="I2399" s="179"/>
      <c r="J2399" s="184"/>
      <c r="N2399" s="178"/>
      <c r="O2399" s="178"/>
      <c r="P2399" s="178"/>
    </row>
    <row r="2400" spans="2:16" ht="15.75" customHeight="1">
      <c r="B2400" s="618"/>
      <c r="H2400" s="178"/>
      <c r="I2400" s="179"/>
      <c r="J2400" s="184"/>
      <c r="N2400" s="178"/>
      <c r="O2400" s="178"/>
      <c r="P2400" s="178"/>
    </row>
    <row r="2401" spans="2:16" ht="15.75" customHeight="1">
      <c r="B2401" s="618"/>
      <c r="H2401" s="178"/>
      <c r="I2401" s="179"/>
      <c r="J2401" s="184"/>
      <c r="N2401" s="178"/>
      <c r="O2401" s="178"/>
      <c r="P2401" s="178"/>
    </row>
    <row r="2402" spans="2:16" ht="15.75" customHeight="1">
      <c r="B2402" s="618"/>
      <c r="H2402" s="178"/>
      <c r="I2402" s="179"/>
      <c r="J2402" s="184"/>
      <c r="N2402" s="178"/>
      <c r="O2402" s="178"/>
      <c r="P2402" s="178"/>
    </row>
    <row r="2403" spans="2:16" ht="15.75" customHeight="1">
      <c r="B2403" s="618"/>
      <c r="H2403" s="178"/>
      <c r="I2403" s="179"/>
      <c r="J2403" s="184"/>
      <c r="N2403" s="178"/>
      <c r="O2403" s="178"/>
      <c r="P2403" s="178"/>
    </row>
    <row r="2404" spans="2:16" ht="15.75" customHeight="1">
      <c r="B2404" s="618"/>
      <c r="H2404" s="178"/>
      <c r="I2404" s="179"/>
      <c r="J2404" s="184"/>
      <c r="N2404" s="178"/>
      <c r="O2404" s="178"/>
      <c r="P2404" s="178"/>
    </row>
    <row r="2405" spans="2:16" ht="15.75" customHeight="1">
      <c r="B2405" s="618"/>
      <c r="H2405" s="178"/>
      <c r="I2405" s="179"/>
      <c r="J2405" s="184"/>
      <c r="N2405" s="178"/>
      <c r="O2405" s="178"/>
      <c r="P2405" s="178"/>
    </row>
    <row r="2406" spans="2:16" ht="15.75" customHeight="1">
      <c r="B2406" s="618"/>
      <c r="H2406" s="178"/>
      <c r="I2406" s="179"/>
      <c r="J2406" s="184"/>
      <c r="N2406" s="178"/>
      <c r="O2406" s="178"/>
      <c r="P2406" s="178"/>
    </row>
    <row r="2407" spans="2:16" ht="15.75" customHeight="1">
      <c r="B2407" s="618"/>
      <c r="H2407" s="178"/>
      <c r="I2407" s="179"/>
      <c r="J2407" s="184"/>
      <c r="N2407" s="178"/>
      <c r="O2407" s="178"/>
      <c r="P2407" s="178"/>
    </row>
    <row r="2408" spans="2:16" ht="15.75" customHeight="1">
      <c r="B2408" s="618"/>
      <c r="H2408" s="178"/>
      <c r="I2408" s="179"/>
      <c r="J2408" s="184"/>
      <c r="N2408" s="178"/>
      <c r="O2408" s="178"/>
      <c r="P2408" s="178"/>
    </row>
    <row r="2409" spans="2:16" ht="15.75" customHeight="1">
      <c r="B2409" s="618"/>
      <c r="H2409" s="178"/>
      <c r="I2409" s="179"/>
      <c r="J2409" s="184"/>
      <c r="N2409" s="178"/>
      <c r="O2409" s="178"/>
      <c r="P2409" s="178"/>
    </row>
    <row r="2410" spans="2:16" ht="15.75" customHeight="1">
      <c r="B2410" s="618"/>
      <c r="H2410" s="178"/>
      <c r="I2410" s="179"/>
      <c r="J2410" s="184"/>
      <c r="N2410" s="178"/>
      <c r="O2410" s="178"/>
      <c r="P2410" s="178"/>
    </row>
    <row r="2411" spans="2:16" ht="15.75" customHeight="1">
      <c r="B2411" s="618"/>
      <c r="H2411" s="178"/>
      <c r="I2411" s="179"/>
      <c r="J2411" s="184"/>
      <c r="N2411" s="178"/>
      <c r="O2411" s="178"/>
      <c r="P2411" s="178"/>
    </row>
    <row r="2412" spans="2:16" ht="15.75" customHeight="1">
      <c r="B2412" s="618"/>
      <c r="H2412" s="178"/>
      <c r="I2412" s="179"/>
      <c r="J2412" s="184"/>
      <c r="N2412" s="178"/>
      <c r="O2412" s="178"/>
      <c r="P2412" s="178"/>
    </row>
    <row r="2413" spans="2:16" ht="15.75" customHeight="1">
      <c r="B2413" s="618"/>
      <c r="H2413" s="178"/>
      <c r="I2413" s="179"/>
      <c r="J2413" s="184"/>
      <c r="N2413" s="178"/>
      <c r="O2413" s="178"/>
      <c r="P2413" s="178"/>
    </row>
    <row r="2414" spans="2:16" ht="15.75" customHeight="1">
      <c r="B2414" s="618"/>
      <c r="H2414" s="178"/>
      <c r="I2414" s="179"/>
      <c r="J2414" s="184"/>
      <c r="N2414" s="178"/>
      <c r="O2414" s="178"/>
      <c r="P2414" s="178"/>
    </row>
    <row r="2415" spans="2:16" ht="15.75" customHeight="1">
      <c r="B2415" s="618"/>
      <c r="H2415" s="178"/>
      <c r="I2415" s="179"/>
      <c r="J2415" s="184"/>
      <c r="N2415" s="178"/>
      <c r="O2415" s="178"/>
      <c r="P2415" s="178"/>
    </row>
    <row r="2416" spans="2:16" ht="15.75" customHeight="1">
      <c r="B2416" s="618"/>
      <c r="H2416" s="178"/>
      <c r="I2416" s="179"/>
      <c r="J2416" s="184"/>
      <c r="N2416" s="178"/>
      <c r="O2416" s="178"/>
      <c r="P2416" s="178"/>
    </row>
    <row r="2417" spans="2:16" ht="15.75" customHeight="1">
      <c r="B2417" s="618"/>
      <c r="H2417" s="178"/>
      <c r="I2417" s="179"/>
      <c r="J2417" s="184"/>
      <c r="N2417" s="178"/>
      <c r="O2417" s="178"/>
      <c r="P2417" s="178"/>
    </row>
    <row r="2418" spans="2:16" ht="15.75" customHeight="1">
      <c r="B2418" s="618"/>
      <c r="H2418" s="178"/>
      <c r="I2418" s="179"/>
      <c r="J2418" s="184"/>
      <c r="N2418" s="178"/>
      <c r="O2418" s="178"/>
      <c r="P2418" s="178"/>
    </row>
    <row r="2419" spans="2:16" ht="15.75" customHeight="1">
      <c r="B2419" s="618"/>
      <c r="H2419" s="178"/>
      <c r="I2419" s="179"/>
      <c r="J2419" s="184"/>
      <c r="N2419" s="178"/>
      <c r="O2419" s="178"/>
      <c r="P2419" s="178"/>
    </row>
    <row r="2420" spans="2:16" ht="15.75" customHeight="1">
      <c r="B2420" s="618"/>
      <c r="H2420" s="178"/>
      <c r="I2420" s="179"/>
      <c r="J2420" s="184"/>
      <c r="N2420" s="178"/>
      <c r="O2420" s="178"/>
      <c r="P2420" s="178"/>
    </row>
    <row r="2421" spans="2:16" ht="15.75" customHeight="1">
      <c r="B2421" s="618"/>
      <c r="H2421" s="178"/>
      <c r="I2421" s="179"/>
      <c r="J2421" s="184"/>
      <c r="N2421" s="178"/>
      <c r="O2421" s="178"/>
      <c r="P2421" s="178"/>
    </row>
    <row r="2422" spans="2:16" ht="15.75" customHeight="1">
      <c r="B2422" s="618"/>
      <c r="H2422" s="178"/>
      <c r="I2422" s="179"/>
      <c r="J2422" s="184"/>
      <c r="N2422" s="178"/>
      <c r="O2422" s="178"/>
      <c r="P2422" s="178"/>
    </row>
    <row r="2423" spans="2:16" ht="15.75" customHeight="1">
      <c r="B2423" s="618"/>
      <c r="H2423" s="178"/>
      <c r="I2423" s="179"/>
      <c r="J2423" s="184"/>
      <c r="N2423" s="178"/>
      <c r="O2423" s="178"/>
      <c r="P2423" s="178"/>
    </row>
    <row r="2424" spans="2:16" ht="15.75" customHeight="1">
      <c r="B2424" s="618"/>
      <c r="H2424" s="178"/>
      <c r="I2424" s="179"/>
      <c r="J2424" s="184"/>
      <c r="N2424" s="178"/>
      <c r="O2424" s="178"/>
      <c r="P2424" s="178"/>
    </row>
    <row r="2425" spans="2:16" ht="15.75" customHeight="1">
      <c r="B2425" s="618"/>
      <c r="H2425" s="178"/>
      <c r="I2425" s="179"/>
      <c r="J2425" s="184"/>
      <c r="N2425" s="178"/>
      <c r="O2425" s="178"/>
      <c r="P2425" s="178"/>
    </row>
    <row r="2426" spans="2:16" ht="15.75" customHeight="1">
      <c r="B2426" s="618"/>
      <c r="H2426" s="178"/>
      <c r="I2426" s="179"/>
      <c r="J2426" s="184"/>
      <c r="N2426" s="178"/>
      <c r="O2426" s="178"/>
      <c r="P2426" s="178"/>
    </row>
    <row r="2427" spans="2:16" ht="15.75" customHeight="1">
      <c r="B2427" s="618"/>
      <c r="H2427" s="178"/>
      <c r="I2427" s="179"/>
      <c r="J2427" s="184"/>
      <c r="N2427" s="178"/>
      <c r="O2427" s="178"/>
      <c r="P2427" s="178"/>
    </row>
    <row r="2428" spans="2:16" ht="15.75" customHeight="1">
      <c r="B2428" s="618"/>
      <c r="H2428" s="178"/>
      <c r="I2428" s="179"/>
      <c r="J2428" s="184"/>
      <c r="N2428" s="178"/>
      <c r="O2428" s="178"/>
      <c r="P2428" s="178"/>
    </row>
    <row r="2429" spans="2:16" ht="15.75" customHeight="1">
      <c r="B2429" s="618"/>
      <c r="H2429" s="178"/>
      <c r="I2429" s="179"/>
      <c r="J2429" s="184"/>
      <c r="N2429" s="178"/>
      <c r="O2429" s="178"/>
      <c r="P2429" s="178"/>
    </row>
    <row r="2430" spans="2:16" ht="15.75" customHeight="1">
      <c r="B2430" s="618"/>
      <c r="H2430" s="178"/>
      <c r="I2430" s="179"/>
      <c r="J2430" s="184"/>
      <c r="N2430" s="178"/>
      <c r="O2430" s="178"/>
      <c r="P2430" s="178"/>
    </row>
    <row r="2431" spans="2:16" ht="15.75" customHeight="1">
      <c r="B2431" s="618"/>
      <c r="H2431" s="178"/>
      <c r="I2431" s="179"/>
      <c r="J2431" s="184"/>
      <c r="N2431" s="178"/>
      <c r="O2431" s="178"/>
      <c r="P2431" s="178"/>
    </row>
    <row r="2432" spans="2:16" ht="15.75" customHeight="1">
      <c r="B2432" s="618"/>
      <c r="H2432" s="178"/>
      <c r="I2432" s="179"/>
      <c r="J2432" s="184"/>
      <c r="N2432" s="178"/>
      <c r="O2432" s="178"/>
      <c r="P2432" s="178"/>
    </row>
    <row r="2433" spans="2:16" ht="15.75" customHeight="1">
      <c r="B2433" s="618"/>
      <c r="H2433" s="178"/>
      <c r="I2433" s="179"/>
      <c r="J2433" s="184"/>
      <c r="N2433" s="178"/>
      <c r="O2433" s="178"/>
      <c r="P2433" s="178"/>
    </row>
    <row r="2434" spans="2:16" ht="15.75" customHeight="1">
      <c r="B2434" s="618"/>
      <c r="H2434" s="178"/>
      <c r="I2434" s="179"/>
      <c r="J2434" s="184"/>
      <c r="N2434" s="178"/>
      <c r="O2434" s="178"/>
      <c r="P2434" s="178"/>
    </row>
    <row r="2435" spans="2:16" ht="15.75" customHeight="1">
      <c r="B2435" s="618"/>
      <c r="H2435" s="178"/>
      <c r="I2435" s="179"/>
      <c r="J2435" s="184"/>
      <c r="N2435" s="178"/>
      <c r="O2435" s="178"/>
      <c r="P2435" s="178"/>
    </row>
    <row r="2436" spans="2:16" ht="15.75" customHeight="1">
      <c r="B2436" s="618"/>
      <c r="H2436" s="178"/>
      <c r="I2436" s="179"/>
      <c r="J2436" s="184"/>
      <c r="N2436" s="178"/>
      <c r="O2436" s="178"/>
      <c r="P2436" s="178"/>
    </row>
    <row r="2437" spans="2:16" ht="15.75" customHeight="1">
      <c r="B2437" s="618"/>
      <c r="H2437" s="178"/>
      <c r="I2437" s="179"/>
      <c r="J2437" s="184"/>
      <c r="N2437" s="178"/>
      <c r="O2437" s="178"/>
      <c r="P2437" s="178"/>
    </row>
    <row r="2438" spans="2:16" ht="15.75" customHeight="1">
      <c r="B2438" s="618"/>
      <c r="H2438" s="178"/>
      <c r="I2438" s="179"/>
      <c r="J2438" s="184"/>
      <c r="N2438" s="178"/>
      <c r="O2438" s="178"/>
      <c r="P2438" s="178"/>
    </row>
    <row r="2439" spans="2:16" ht="15.75" customHeight="1">
      <c r="B2439" s="618"/>
      <c r="H2439" s="178"/>
      <c r="I2439" s="179"/>
      <c r="J2439" s="184"/>
      <c r="N2439" s="178"/>
      <c r="O2439" s="178"/>
      <c r="P2439" s="178"/>
    </row>
    <row r="2440" spans="2:16" ht="15.75" customHeight="1">
      <c r="B2440" s="618"/>
      <c r="H2440" s="178"/>
      <c r="I2440" s="179"/>
      <c r="J2440" s="184"/>
      <c r="N2440" s="178"/>
      <c r="O2440" s="178"/>
      <c r="P2440" s="178"/>
    </row>
    <row r="2441" spans="2:16" ht="15.75" customHeight="1">
      <c r="B2441" s="618"/>
      <c r="H2441" s="178"/>
      <c r="I2441" s="179"/>
      <c r="J2441" s="184"/>
      <c r="N2441" s="178"/>
      <c r="O2441" s="178"/>
      <c r="P2441" s="178"/>
    </row>
    <row r="2442" spans="2:16" ht="15.75" customHeight="1">
      <c r="B2442" s="618"/>
      <c r="H2442" s="178"/>
      <c r="I2442" s="179"/>
      <c r="J2442" s="184"/>
      <c r="N2442" s="178"/>
      <c r="O2442" s="178"/>
      <c r="P2442" s="178"/>
    </row>
    <row r="2443" spans="2:16" ht="15.75" customHeight="1">
      <c r="B2443" s="618"/>
      <c r="H2443" s="178"/>
      <c r="I2443" s="179"/>
      <c r="J2443" s="184"/>
      <c r="N2443" s="178"/>
      <c r="O2443" s="178"/>
      <c r="P2443" s="178"/>
    </row>
    <row r="2444" spans="2:16" ht="15.75" customHeight="1">
      <c r="B2444" s="618"/>
      <c r="H2444" s="178"/>
      <c r="I2444" s="179"/>
      <c r="J2444" s="184"/>
      <c r="N2444" s="178"/>
      <c r="O2444" s="178"/>
      <c r="P2444" s="178"/>
    </row>
    <row r="2445" spans="2:16" ht="15.75" customHeight="1">
      <c r="B2445" s="618"/>
      <c r="H2445" s="178"/>
      <c r="I2445" s="179"/>
      <c r="J2445" s="184"/>
      <c r="N2445" s="178"/>
      <c r="O2445" s="178"/>
      <c r="P2445" s="178"/>
    </row>
    <row r="2446" spans="2:16" ht="15.75" customHeight="1">
      <c r="B2446" s="618"/>
      <c r="H2446" s="178"/>
      <c r="I2446" s="179"/>
      <c r="J2446" s="184"/>
      <c r="N2446" s="178"/>
      <c r="O2446" s="178"/>
      <c r="P2446" s="178"/>
    </row>
    <row r="2447" spans="2:16" ht="15.75" customHeight="1">
      <c r="B2447" s="618"/>
      <c r="H2447" s="178"/>
      <c r="I2447" s="179"/>
      <c r="J2447" s="184"/>
      <c r="N2447" s="178"/>
      <c r="O2447" s="178"/>
      <c r="P2447" s="178"/>
    </row>
    <row r="2448" spans="2:16" ht="15.75" customHeight="1">
      <c r="B2448" s="618"/>
      <c r="H2448" s="178"/>
      <c r="I2448" s="179"/>
      <c r="J2448" s="184"/>
      <c r="N2448" s="178"/>
      <c r="O2448" s="178"/>
      <c r="P2448" s="178"/>
    </row>
    <row r="2449" spans="2:16" ht="15.75" customHeight="1">
      <c r="B2449" s="618"/>
      <c r="H2449" s="178"/>
      <c r="I2449" s="179"/>
      <c r="J2449" s="184"/>
      <c r="N2449" s="178"/>
      <c r="O2449" s="178"/>
      <c r="P2449" s="178"/>
    </row>
    <row r="2450" spans="2:16" ht="15.75" customHeight="1">
      <c r="B2450" s="618"/>
      <c r="H2450" s="178"/>
      <c r="I2450" s="179"/>
      <c r="J2450" s="184"/>
      <c r="N2450" s="178"/>
      <c r="O2450" s="178"/>
      <c r="P2450" s="178"/>
    </row>
    <row r="2451" spans="2:16" ht="15.75" customHeight="1">
      <c r="B2451" s="618"/>
      <c r="H2451" s="178"/>
      <c r="I2451" s="179"/>
      <c r="J2451" s="184"/>
      <c r="N2451" s="178"/>
      <c r="O2451" s="178"/>
      <c r="P2451" s="178"/>
    </row>
    <row r="2452" spans="2:16" ht="15.75" customHeight="1">
      <c r="B2452" s="618"/>
      <c r="H2452" s="178"/>
      <c r="I2452" s="179"/>
      <c r="J2452" s="184"/>
      <c r="N2452" s="178"/>
      <c r="O2452" s="178"/>
      <c r="P2452" s="178"/>
    </row>
    <row r="2453" spans="2:16" ht="15.75" customHeight="1">
      <c r="B2453" s="618"/>
      <c r="H2453" s="178"/>
      <c r="I2453" s="179"/>
      <c r="J2453" s="184"/>
      <c r="N2453" s="178"/>
      <c r="O2453" s="178"/>
      <c r="P2453" s="178"/>
    </row>
    <row r="2454" spans="2:16" ht="15.75" customHeight="1">
      <c r="B2454" s="618"/>
      <c r="H2454" s="178"/>
      <c r="I2454" s="179"/>
      <c r="J2454" s="184"/>
      <c r="N2454" s="178"/>
      <c r="O2454" s="178"/>
      <c r="P2454" s="178"/>
    </row>
    <row r="2455" spans="2:16" ht="15.75" customHeight="1">
      <c r="B2455" s="618"/>
      <c r="H2455" s="178"/>
      <c r="I2455" s="179"/>
      <c r="J2455" s="184"/>
      <c r="N2455" s="178"/>
      <c r="O2455" s="178"/>
      <c r="P2455" s="178"/>
    </row>
    <row r="2456" spans="2:16" ht="15.75" customHeight="1">
      <c r="B2456" s="618"/>
      <c r="H2456" s="178"/>
      <c r="I2456" s="179"/>
      <c r="J2456" s="184"/>
      <c r="N2456" s="178"/>
      <c r="O2456" s="178"/>
      <c r="P2456" s="178"/>
    </row>
    <row r="2457" spans="2:16" ht="15.75" customHeight="1">
      <c r="B2457" s="618"/>
      <c r="H2457" s="178"/>
      <c r="I2457" s="179"/>
      <c r="J2457" s="184"/>
      <c r="N2457" s="178"/>
      <c r="O2457" s="178"/>
      <c r="P2457" s="178"/>
    </row>
    <row r="2458" spans="2:16" ht="15.75" customHeight="1">
      <c r="B2458" s="618"/>
      <c r="H2458" s="178"/>
      <c r="I2458" s="179"/>
      <c r="J2458" s="184"/>
      <c r="N2458" s="178"/>
      <c r="O2458" s="178"/>
      <c r="P2458" s="178"/>
    </row>
    <row r="2459" spans="2:16" ht="15.75" customHeight="1">
      <c r="B2459" s="618"/>
      <c r="H2459" s="178"/>
      <c r="I2459" s="179"/>
      <c r="J2459" s="184"/>
      <c r="N2459" s="178"/>
      <c r="O2459" s="178"/>
      <c r="P2459" s="178"/>
    </row>
    <row r="2460" spans="2:16" ht="15.75" customHeight="1">
      <c r="B2460" s="618"/>
      <c r="H2460" s="178"/>
      <c r="I2460" s="179"/>
      <c r="J2460" s="184"/>
      <c r="N2460" s="178"/>
      <c r="O2460" s="178"/>
      <c r="P2460" s="178"/>
    </row>
    <row r="2461" spans="2:16" ht="15.75" customHeight="1">
      <c r="B2461" s="618"/>
      <c r="H2461" s="178"/>
      <c r="I2461" s="179"/>
      <c r="J2461" s="184"/>
      <c r="N2461" s="178"/>
      <c r="O2461" s="178"/>
      <c r="P2461" s="178"/>
    </row>
    <row r="2462" spans="2:16" ht="15.75" customHeight="1">
      <c r="B2462" s="618"/>
      <c r="H2462" s="178"/>
      <c r="I2462" s="179"/>
      <c r="J2462" s="184"/>
      <c r="N2462" s="178"/>
      <c r="O2462" s="178"/>
      <c r="P2462" s="178"/>
    </row>
    <row r="2463" spans="2:16" ht="15.75" customHeight="1">
      <c r="B2463" s="618"/>
      <c r="H2463" s="178"/>
      <c r="I2463" s="179"/>
      <c r="J2463" s="184"/>
      <c r="N2463" s="178"/>
      <c r="O2463" s="178"/>
      <c r="P2463" s="178"/>
    </row>
    <row r="2464" spans="2:16" ht="15.75" customHeight="1">
      <c r="B2464" s="618"/>
      <c r="H2464" s="178"/>
      <c r="I2464" s="179"/>
      <c r="J2464" s="184"/>
      <c r="N2464" s="178"/>
      <c r="O2464" s="178"/>
      <c r="P2464" s="178"/>
    </row>
    <row r="2465" spans="2:16" ht="15.75" customHeight="1">
      <c r="B2465" s="618"/>
      <c r="H2465" s="178"/>
      <c r="I2465" s="179"/>
      <c r="J2465" s="184"/>
      <c r="N2465" s="178"/>
      <c r="O2465" s="178"/>
      <c r="P2465" s="178"/>
    </row>
    <row r="2466" spans="2:16" ht="15.75" customHeight="1">
      <c r="B2466" s="618"/>
      <c r="H2466" s="178"/>
      <c r="I2466" s="179"/>
      <c r="J2466" s="184"/>
      <c r="N2466" s="178"/>
      <c r="O2466" s="178"/>
      <c r="P2466" s="178"/>
    </row>
    <row r="2467" spans="2:16" ht="15.75" customHeight="1">
      <c r="B2467" s="618"/>
      <c r="H2467" s="178"/>
      <c r="I2467" s="179"/>
      <c r="J2467" s="184"/>
      <c r="N2467" s="178"/>
      <c r="O2467" s="178"/>
      <c r="P2467" s="178"/>
    </row>
    <row r="2468" spans="2:16" ht="15.75" customHeight="1">
      <c r="B2468" s="618"/>
      <c r="H2468" s="178"/>
      <c r="I2468" s="179"/>
      <c r="J2468" s="184"/>
      <c r="N2468" s="178"/>
      <c r="O2468" s="178"/>
      <c r="P2468" s="178"/>
    </row>
    <row r="2469" spans="2:16" ht="15.75" customHeight="1">
      <c r="B2469" s="618"/>
      <c r="H2469" s="178"/>
      <c r="I2469" s="179"/>
      <c r="J2469" s="184"/>
      <c r="N2469" s="178"/>
      <c r="O2469" s="178"/>
      <c r="P2469" s="178"/>
    </row>
    <row r="2470" spans="2:16" ht="15.75" customHeight="1">
      <c r="B2470" s="618"/>
      <c r="H2470" s="178"/>
      <c r="I2470" s="179"/>
      <c r="J2470" s="184"/>
      <c r="N2470" s="178"/>
      <c r="O2470" s="178"/>
      <c r="P2470" s="178"/>
    </row>
    <row r="2471" spans="2:16" ht="15.75" customHeight="1">
      <c r="B2471" s="618"/>
      <c r="H2471" s="178"/>
      <c r="I2471" s="179"/>
      <c r="J2471" s="184"/>
      <c r="N2471" s="178"/>
      <c r="O2471" s="178"/>
      <c r="P2471" s="178"/>
    </row>
    <row r="2472" spans="2:16" ht="15.75" customHeight="1">
      <c r="B2472" s="618"/>
      <c r="H2472" s="178"/>
      <c r="I2472" s="179"/>
      <c r="J2472" s="184"/>
      <c r="N2472" s="178"/>
      <c r="O2472" s="178"/>
      <c r="P2472" s="178"/>
    </row>
    <row r="2473" spans="2:16" ht="15.75" customHeight="1">
      <c r="B2473" s="618"/>
      <c r="H2473" s="178"/>
      <c r="I2473" s="179"/>
      <c r="J2473" s="184"/>
      <c r="N2473" s="178"/>
      <c r="O2473" s="178"/>
      <c r="P2473" s="178"/>
    </row>
    <row r="2474" spans="2:16" ht="15.75" customHeight="1">
      <c r="B2474" s="618"/>
      <c r="H2474" s="178"/>
      <c r="I2474" s="179"/>
      <c r="J2474" s="184"/>
      <c r="N2474" s="178"/>
      <c r="O2474" s="178"/>
      <c r="P2474" s="178"/>
    </row>
    <row r="2475" spans="2:16" ht="15.75" customHeight="1">
      <c r="B2475" s="618"/>
      <c r="H2475" s="178"/>
      <c r="I2475" s="179"/>
      <c r="J2475" s="184"/>
      <c r="N2475" s="178"/>
      <c r="O2475" s="178"/>
      <c r="P2475" s="178"/>
    </row>
    <row r="2476" spans="2:16" ht="15.75" customHeight="1">
      <c r="B2476" s="618"/>
      <c r="H2476" s="178"/>
      <c r="I2476" s="179"/>
      <c r="J2476" s="184"/>
      <c r="N2476" s="178"/>
      <c r="O2476" s="178"/>
      <c r="P2476" s="178"/>
    </row>
    <row r="2477" spans="2:16" ht="15.75" customHeight="1">
      <c r="B2477" s="618"/>
      <c r="H2477" s="178"/>
      <c r="I2477" s="179"/>
      <c r="J2477" s="184"/>
      <c r="N2477" s="178"/>
      <c r="O2477" s="178"/>
      <c r="P2477" s="178"/>
    </row>
    <row r="2478" spans="2:16" ht="15.75" customHeight="1">
      <c r="B2478" s="618"/>
      <c r="H2478" s="178"/>
      <c r="I2478" s="179"/>
      <c r="J2478" s="184"/>
      <c r="N2478" s="178"/>
      <c r="O2478" s="178"/>
      <c r="P2478" s="178"/>
    </row>
    <row r="2479" spans="2:16" ht="15.75" customHeight="1">
      <c r="B2479" s="618"/>
      <c r="H2479" s="178"/>
      <c r="I2479" s="179"/>
      <c r="J2479" s="184"/>
      <c r="N2479" s="178"/>
      <c r="O2479" s="178"/>
      <c r="P2479" s="178"/>
    </row>
    <row r="2480" spans="2:16" ht="15.75" customHeight="1">
      <c r="B2480" s="618"/>
      <c r="H2480" s="178"/>
      <c r="I2480" s="179"/>
      <c r="J2480" s="184"/>
      <c r="N2480" s="178"/>
      <c r="O2480" s="178"/>
      <c r="P2480" s="178"/>
    </row>
    <row r="2481" spans="2:16" ht="15.75" customHeight="1">
      <c r="B2481" s="618"/>
      <c r="H2481" s="178"/>
      <c r="I2481" s="179"/>
      <c r="J2481" s="184"/>
      <c r="N2481" s="178"/>
      <c r="O2481" s="178"/>
      <c r="P2481" s="178"/>
    </row>
    <row r="2482" spans="2:16" ht="15.75" customHeight="1">
      <c r="B2482" s="618"/>
      <c r="H2482" s="178"/>
      <c r="I2482" s="179"/>
      <c r="J2482" s="184"/>
      <c r="N2482" s="178"/>
      <c r="O2482" s="178"/>
      <c r="P2482" s="178"/>
    </row>
    <row r="2483" spans="2:16" ht="15.75" customHeight="1">
      <c r="B2483" s="618"/>
      <c r="H2483" s="178"/>
      <c r="I2483" s="179"/>
      <c r="J2483" s="184"/>
      <c r="N2483" s="178"/>
      <c r="O2483" s="178"/>
      <c r="P2483" s="178"/>
    </row>
    <row r="2484" spans="2:16" ht="15.75" customHeight="1">
      <c r="B2484" s="618"/>
      <c r="H2484" s="178"/>
      <c r="I2484" s="179"/>
      <c r="J2484" s="184"/>
      <c r="N2484" s="178"/>
      <c r="O2484" s="178"/>
      <c r="P2484" s="178"/>
    </row>
    <row r="2485" spans="2:16" ht="15.75" customHeight="1">
      <c r="B2485" s="618"/>
      <c r="H2485" s="178"/>
      <c r="I2485" s="179"/>
      <c r="J2485" s="184"/>
      <c r="N2485" s="178"/>
      <c r="O2485" s="178"/>
      <c r="P2485" s="178"/>
    </row>
    <row r="2486" spans="2:16" ht="15.75" customHeight="1">
      <c r="B2486" s="618"/>
      <c r="H2486" s="178"/>
      <c r="I2486" s="179"/>
      <c r="J2486" s="184"/>
      <c r="N2486" s="178"/>
      <c r="O2486" s="178"/>
      <c r="P2486" s="178"/>
    </row>
    <row r="2487" spans="2:16" ht="15.75" customHeight="1">
      <c r="B2487" s="618"/>
      <c r="H2487" s="178"/>
      <c r="I2487" s="179"/>
      <c r="J2487" s="184"/>
      <c r="N2487" s="178"/>
      <c r="O2487" s="178"/>
      <c r="P2487" s="178"/>
    </row>
    <row r="2488" spans="2:16" ht="15.75" customHeight="1">
      <c r="B2488" s="618"/>
      <c r="H2488" s="178"/>
      <c r="I2488" s="179"/>
      <c r="J2488" s="184"/>
      <c r="N2488" s="178"/>
      <c r="O2488" s="178"/>
      <c r="P2488" s="178"/>
    </row>
    <row r="2489" spans="2:16" ht="15.75" customHeight="1">
      <c r="B2489" s="618"/>
      <c r="H2489" s="178"/>
      <c r="I2489" s="179"/>
      <c r="J2489" s="184"/>
      <c r="N2489" s="178"/>
      <c r="O2489" s="178"/>
      <c r="P2489" s="178"/>
    </row>
    <row r="2490" spans="2:16" ht="15.75" customHeight="1">
      <c r="B2490" s="618"/>
      <c r="H2490" s="178"/>
      <c r="I2490" s="179"/>
      <c r="J2490" s="184"/>
      <c r="N2490" s="178"/>
      <c r="O2490" s="178"/>
      <c r="P2490" s="178"/>
    </row>
    <row r="2491" spans="2:16" ht="15.75" customHeight="1">
      <c r="B2491" s="618"/>
      <c r="H2491" s="178"/>
      <c r="I2491" s="179"/>
      <c r="J2491" s="184"/>
      <c r="N2491" s="178"/>
      <c r="O2491" s="178"/>
      <c r="P2491" s="178"/>
    </row>
    <row r="2492" spans="2:16" ht="15.75" customHeight="1">
      <c r="B2492" s="618"/>
      <c r="H2492" s="178"/>
      <c r="I2492" s="179"/>
      <c r="J2492" s="184"/>
      <c r="N2492" s="178"/>
      <c r="O2492" s="178"/>
      <c r="P2492" s="178"/>
    </row>
    <row r="2493" spans="2:16" ht="15.75" customHeight="1">
      <c r="B2493" s="618"/>
      <c r="H2493" s="178"/>
      <c r="I2493" s="179"/>
      <c r="J2493" s="184"/>
      <c r="N2493" s="178"/>
      <c r="O2493" s="178"/>
      <c r="P2493" s="178"/>
    </row>
    <row r="2494" spans="2:16" ht="15.75" customHeight="1">
      <c r="B2494" s="618"/>
      <c r="H2494" s="178"/>
      <c r="I2494" s="179"/>
      <c r="J2494" s="184"/>
      <c r="N2494" s="178"/>
      <c r="O2494" s="178"/>
      <c r="P2494" s="178"/>
    </row>
    <row r="2495" spans="2:16" ht="15.75" customHeight="1">
      <c r="B2495" s="618"/>
      <c r="H2495" s="178"/>
      <c r="I2495" s="179"/>
      <c r="J2495" s="184"/>
      <c r="N2495" s="178"/>
      <c r="O2495" s="178"/>
      <c r="P2495" s="178"/>
    </row>
    <row r="2496" spans="2:16" ht="15.75" customHeight="1">
      <c r="B2496" s="618"/>
      <c r="H2496" s="178"/>
      <c r="I2496" s="179"/>
      <c r="J2496" s="184"/>
      <c r="N2496" s="178"/>
      <c r="O2496" s="178"/>
      <c r="P2496" s="178"/>
    </row>
    <row r="2497" spans="2:16" ht="15.75" customHeight="1">
      <c r="B2497" s="618"/>
      <c r="H2497" s="178"/>
      <c r="I2497" s="179"/>
      <c r="J2497" s="184"/>
      <c r="N2497" s="178"/>
      <c r="O2497" s="178"/>
      <c r="P2497" s="178"/>
    </row>
    <row r="2498" spans="2:16" ht="15.75" customHeight="1">
      <c r="B2498" s="618"/>
      <c r="H2498" s="178"/>
      <c r="I2498" s="179"/>
      <c r="J2498" s="184"/>
      <c r="N2498" s="178"/>
      <c r="O2498" s="178"/>
      <c r="P2498" s="178"/>
    </row>
    <row r="2499" spans="2:16" ht="15.75" customHeight="1">
      <c r="B2499" s="618"/>
      <c r="H2499" s="178"/>
      <c r="I2499" s="179"/>
      <c r="J2499" s="184"/>
      <c r="N2499" s="178"/>
      <c r="O2499" s="178"/>
      <c r="P2499" s="178"/>
    </row>
    <row r="2500" spans="2:16" ht="15.75" customHeight="1">
      <c r="B2500" s="618"/>
      <c r="H2500" s="178"/>
      <c r="I2500" s="179"/>
      <c r="J2500" s="184"/>
      <c r="N2500" s="178"/>
      <c r="O2500" s="178"/>
      <c r="P2500" s="178"/>
    </row>
    <row r="2501" spans="2:16" ht="15.75" customHeight="1">
      <c r="B2501" s="618"/>
      <c r="H2501" s="178"/>
      <c r="I2501" s="179"/>
      <c r="J2501" s="184"/>
      <c r="N2501" s="178"/>
      <c r="O2501" s="178"/>
      <c r="P2501" s="178"/>
    </row>
    <row r="2502" spans="2:16" ht="15.75" customHeight="1">
      <c r="B2502" s="618"/>
      <c r="H2502" s="178"/>
      <c r="I2502" s="179"/>
      <c r="J2502" s="184"/>
      <c r="N2502" s="178"/>
      <c r="O2502" s="178"/>
      <c r="P2502" s="178"/>
    </row>
    <row r="2503" spans="2:16" ht="15.75" customHeight="1">
      <c r="B2503" s="618"/>
      <c r="H2503" s="178"/>
      <c r="I2503" s="179"/>
      <c r="J2503" s="184"/>
      <c r="N2503" s="178"/>
      <c r="O2503" s="178"/>
      <c r="P2503" s="178"/>
    </row>
    <row r="2504" spans="2:16" ht="15.75" customHeight="1">
      <c r="B2504" s="618"/>
      <c r="H2504" s="178"/>
      <c r="I2504" s="179"/>
      <c r="J2504" s="184"/>
      <c r="N2504" s="178"/>
      <c r="O2504" s="178"/>
      <c r="P2504" s="178"/>
    </row>
    <row r="2505" spans="2:16" ht="15.75" customHeight="1">
      <c r="B2505" s="618"/>
      <c r="H2505" s="178"/>
      <c r="I2505" s="179"/>
      <c r="J2505" s="184"/>
      <c r="N2505" s="178"/>
      <c r="O2505" s="178"/>
      <c r="P2505" s="178"/>
    </row>
    <row r="2506" spans="2:16" ht="15.75" customHeight="1">
      <c r="B2506" s="618"/>
      <c r="H2506" s="178"/>
      <c r="I2506" s="179"/>
      <c r="J2506" s="184"/>
      <c r="N2506" s="178"/>
      <c r="O2506" s="178"/>
      <c r="P2506" s="178"/>
    </row>
    <row r="2507" spans="2:16" ht="15.75" customHeight="1">
      <c r="B2507" s="618"/>
      <c r="H2507" s="178"/>
      <c r="I2507" s="179"/>
      <c r="J2507" s="184"/>
      <c r="N2507" s="178"/>
      <c r="O2507" s="178"/>
      <c r="P2507" s="178"/>
    </row>
    <row r="2508" spans="2:16" ht="15.75" customHeight="1">
      <c r="B2508" s="618"/>
      <c r="H2508" s="178"/>
      <c r="I2508" s="179"/>
      <c r="J2508" s="184"/>
      <c r="N2508" s="178"/>
      <c r="O2508" s="178"/>
      <c r="P2508" s="178"/>
    </row>
    <row r="2509" spans="2:16" ht="15.75" customHeight="1">
      <c r="B2509" s="618"/>
      <c r="H2509" s="178"/>
      <c r="I2509" s="179"/>
      <c r="J2509" s="184"/>
      <c r="N2509" s="178"/>
      <c r="O2509" s="178"/>
      <c r="P2509" s="178"/>
    </row>
    <row r="2510" spans="2:16" ht="15.75" customHeight="1">
      <c r="B2510" s="618"/>
      <c r="H2510" s="178"/>
      <c r="I2510" s="179"/>
      <c r="J2510" s="184"/>
      <c r="N2510" s="178"/>
      <c r="O2510" s="178"/>
      <c r="P2510" s="178"/>
    </row>
    <row r="2511" spans="2:16" ht="15.75" customHeight="1">
      <c r="B2511" s="618"/>
      <c r="H2511" s="178"/>
      <c r="I2511" s="179"/>
      <c r="J2511" s="184"/>
      <c r="N2511" s="178"/>
      <c r="O2511" s="178"/>
      <c r="P2511" s="178"/>
    </row>
    <row r="2512" spans="2:16" ht="15.75" customHeight="1">
      <c r="B2512" s="618"/>
      <c r="H2512" s="178"/>
      <c r="I2512" s="179"/>
      <c r="J2512" s="184"/>
      <c r="N2512" s="178"/>
      <c r="O2512" s="178"/>
      <c r="P2512" s="178"/>
    </row>
    <row r="2513" spans="2:16" ht="15.75" customHeight="1">
      <c r="B2513" s="618"/>
      <c r="H2513" s="178"/>
      <c r="I2513" s="179"/>
      <c r="J2513" s="184"/>
      <c r="N2513" s="178"/>
      <c r="O2513" s="178"/>
      <c r="P2513" s="178"/>
    </row>
    <row r="2514" spans="2:16" ht="15.75" customHeight="1">
      <c r="B2514" s="618"/>
      <c r="H2514" s="178"/>
      <c r="I2514" s="179"/>
      <c r="J2514" s="184"/>
      <c r="N2514" s="178"/>
      <c r="O2514" s="178"/>
      <c r="P2514" s="178"/>
    </row>
    <row r="2515" spans="2:16" ht="15.75" customHeight="1">
      <c r="B2515" s="618"/>
      <c r="H2515" s="178"/>
      <c r="I2515" s="179"/>
      <c r="J2515" s="184"/>
      <c r="N2515" s="178"/>
      <c r="O2515" s="178"/>
      <c r="P2515" s="178"/>
    </row>
    <row r="2516" spans="2:16" ht="15.75" customHeight="1">
      <c r="B2516" s="618"/>
      <c r="H2516" s="178"/>
      <c r="I2516" s="179"/>
      <c r="J2516" s="184"/>
      <c r="N2516" s="178"/>
      <c r="O2516" s="178"/>
      <c r="P2516" s="178"/>
    </row>
    <row r="2517" spans="2:16" ht="15.75" customHeight="1">
      <c r="B2517" s="618"/>
      <c r="H2517" s="178"/>
      <c r="I2517" s="179"/>
      <c r="J2517" s="184"/>
      <c r="N2517" s="178"/>
      <c r="O2517" s="178"/>
      <c r="P2517" s="178"/>
    </row>
    <row r="2518" spans="2:16" ht="15.75" customHeight="1">
      <c r="B2518" s="618"/>
      <c r="H2518" s="178"/>
      <c r="I2518" s="179"/>
      <c r="J2518" s="184"/>
      <c r="N2518" s="178"/>
      <c r="O2518" s="178"/>
      <c r="P2518" s="178"/>
    </row>
    <row r="2519" spans="2:16" ht="15.75" customHeight="1">
      <c r="B2519" s="618"/>
      <c r="H2519" s="178"/>
      <c r="I2519" s="179"/>
      <c r="J2519" s="184"/>
      <c r="N2519" s="178"/>
      <c r="O2519" s="178"/>
      <c r="P2519" s="178"/>
    </row>
    <row r="2520" spans="2:16" ht="15.75" customHeight="1">
      <c r="B2520" s="618"/>
      <c r="H2520" s="178"/>
      <c r="I2520" s="179"/>
      <c r="J2520" s="184"/>
      <c r="N2520" s="178"/>
      <c r="O2520" s="178"/>
      <c r="P2520" s="178"/>
    </row>
    <row r="2521" spans="2:16" ht="15.75" customHeight="1">
      <c r="B2521" s="618"/>
      <c r="H2521" s="178"/>
      <c r="I2521" s="179"/>
      <c r="J2521" s="184"/>
      <c r="N2521" s="178"/>
      <c r="O2521" s="178"/>
      <c r="P2521" s="178"/>
    </row>
    <row r="2522" spans="2:16" ht="15.75" customHeight="1">
      <c r="B2522" s="618"/>
      <c r="H2522" s="178"/>
      <c r="I2522" s="179"/>
      <c r="J2522" s="184"/>
      <c r="N2522" s="178"/>
      <c r="O2522" s="178"/>
      <c r="P2522" s="178"/>
    </row>
    <row r="2523" spans="2:16" ht="15.75" customHeight="1">
      <c r="B2523" s="618"/>
      <c r="H2523" s="178"/>
      <c r="I2523" s="179"/>
      <c r="J2523" s="184"/>
      <c r="N2523" s="178"/>
      <c r="O2523" s="178"/>
      <c r="P2523" s="178"/>
    </row>
    <row r="2524" spans="2:16" ht="15.75" customHeight="1">
      <c r="B2524" s="618"/>
      <c r="H2524" s="178"/>
      <c r="I2524" s="179"/>
      <c r="J2524" s="184"/>
      <c r="N2524" s="178"/>
      <c r="O2524" s="178"/>
      <c r="P2524" s="178"/>
    </row>
    <row r="2525" spans="2:16" ht="15.75" customHeight="1">
      <c r="B2525" s="618"/>
      <c r="H2525" s="178"/>
      <c r="I2525" s="179"/>
      <c r="J2525" s="184"/>
      <c r="N2525" s="178"/>
      <c r="O2525" s="178"/>
      <c r="P2525" s="178"/>
    </row>
    <row r="2526" spans="2:16" ht="15.75" customHeight="1">
      <c r="B2526" s="618"/>
      <c r="H2526" s="178"/>
      <c r="I2526" s="179"/>
      <c r="J2526" s="184"/>
      <c r="N2526" s="178"/>
      <c r="O2526" s="178"/>
      <c r="P2526" s="178"/>
    </row>
    <row r="2527" spans="2:16" ht="15.75" customHeight="1">
      <c r="B2527" s="618"/>
      <c r="H2527" s="178"/>
      <c r="I2527" s="179"/>
      <c r="J2527" s="184"/>
      <c r="N2527" s="178"/>
      <c r="O2527" s="178"/>
      <c r="P2527" s="178"/>
    </row>
    <row r="2528" spans="2:16" ht="15.75" customHeight="1">
      <c r="B2528" s="618"/>
      <c r="H2528" s="178"/>
      <c r="I2528" s="179"/>
      <c r="J2528" s="184"/>
      <c r="N2528" s="178"/>
      <c r="O2528" s="178"/>
      <c r="P2528" s="178"/>
    </row>
    <row r="2529" spans="2:16" ht="15.75" customHeight="1">
      <c r="B2529" s="618"/>
      <c r="H2529" s="178"/>
      <c r="I2529" s="179"/>
      <c r="J2529" s="184"/>
      <c r="N2529" s="178"/>
      <c r="O2529" s="178"/>
      <c r="P2529" s="178"/>
    </row>
    <row r="2530" spans="2:16" ht="15.75" customHeight="1">
      <c r="B2530" s="618"/>
      <c r="H2530" s="178"/>
      <c r="I2530" s="179"/>
      <c r="J2530" s="184"/>
      <c r="N2530" s="178"/>
      <c r="O2530" s="178"/>
      <c r="P2530" s="178"/>
    </row>
    <row r="2531" spans="2:16" ht="15.75" customHeight="1">
      <c r="B2531" s="618"/>
      <c r="H2531" s="178"/>
      <c r="I2531" s="179"/>
      <c r="J2531" s="184"/>
      <c r="N2531" s="178"/>
      <c r="O2531" s="178"/>
      <c r="P2531" s="178"/>
    </row>
    <row r="2532" spans="2:16" ht="15.75" customHeight="1">
      <c r="B2532" s="618"/>
      <c r="H2532" s="178"/>
      <c r="I2532" s="179"/>
      <c r="J2532" s="184"/>
      <c r="N2532" s="178"/>
      <c r="O2532" s="178"/>
      <c r="P2532" s="178"/>
    </row>
    <row r="2533" spans="2:16" ht="15.75" customHeight="1">
      <c r="B2533" s="618"/>
      <c r="H2533" s="178"/>
      <c r="I2533" s="179"/>
      <c r="J2533" s="184"/>
      <c r="N2533" s="178"/>
      <c r="O2533" s="178"/>
      <c r="P2533" s="178"/>
    </row>
    <row r="2534" spans="2:16" ht="15.75" customHeight="1">
      <c r="B2534" s="618"/>
      <c r="H2534" s="178"/>
      <c r="I2534" s="179"/>
      <c r="J2534" s="184"/>
      <c r="N2534" s="178"/>
      <c r="O2534" s="178"/>
      <c r="P2534" s="178"/>
    </row>
    <row r="2535" spans="2:16" ht="15.75" customHeight="1">
      <c r="B2535" s="618"/>
      <c r="H2535" s="178"/>
      <c r="I2535" s="179"/>
      <c r="J2535" s="184"/>
      <c r="N2535" s="178"/>
      <c r="O2535" s="178"/>
      <c r="P2535" s="178"/>
    </row>
    <row r="2536" spans="2:16" ht="15.75" customHeight="1">
      <c r="B2536" s="618"/>
      <c r="H2536" s="178"/>
      <c r="I2536" s="179"/>
      <c r="J2536" s="184"/>
      <c r="N2536" s="178"/>
      <c r="O2536" s="178"/>
      <c r="P2536" s="178"/>
    </row>
    <row r="2537" spans="2:16" ht="15.75" customHeight="1">
      <c r="B2537" s="618"/>
      <c r="H2537" s="178"/>
      <c r="I2537" s="179"/>
      <c r="J2537" s="184"/>
      <c r="N2537" s="178"/>
      <c r="O2537" s="178"/>
      <c r="P2537" s="178"/>
    </row>
    <row r="2538" spans="2:16" ht="15.75" customHeight="1">
      <c r="B2538" s="618"/>
      <c r="H2538" s="178"/>
      <c r="I2538" s="179"/>
      <c r="J2538" s="184"/>
      <c r="N2538" s="178"/>
      <c r="O2538" s="178"/>
      <c r="P2538" s="178"/>
    </row>
    <row r="2539" spans="2:16" ht="15.75" customHeight="1">
      <c r="B2539" s="618"/>
      <c r="H2539" s="178"/>
      <c r="I2539" s="179"/>
      <c r="J2539" s="184"/>
      <c r="N2539" s="178"/>
      <c r="O2539" s="178"/>
      <c r="P2539" s="178"/>
    </row>
    <row r="2540" spans="2:16" ht="15.75" customHeight="1">
      <c r="B2540" s="618"/>
      <c r="H2540" s="178"/>
      <c r="I2540" s="179"/>
      <c r="J2540" s="184"/>
      <c r="N2540" s="178"/>
      <c r="O2540" s="178"/>
      <c r="P2540" s="178"/>
    </row>
    <row r="2541" spans="2:16" ht="15.75" customHeight="1">
      <c r="B2541" s="618"/>
      <c r="H2541" s="178"/>
      <c r="I2541" s="179"/>
      <c r="J2541" s="184"/>
      <c r="N2541" s="178"/>
      <c r="O2541" s="178"/>
      <c r="P2541" s="178"/>
    </row>
    <row r="2542" spans="2:16" ht="15.75" customHeight="1">
      <c r="B2542" s="618"/>
      <c r="H2542" s="178"/>
      <c r="I2542" s="179"/>
      <c r="J2542" s="184"/>
      <c r="N2542" s="178"/>
      <c r="O2542" s="178"/>
      <c r="P2542" s="178"/>
    </row>
    <row r="2543" spans="2:16" ht="15.75" customHeight="1">
      <c r="B2543" s="618"/>
      <c r="H2543" s="178"/>
      <c r="I2543" s="179"/>
      <c r="J2543" s="184"/>
      <c r="N2543" s="178"/>
      <c r="O2543" s="178"/>
      <c r="P2543" s="178"/>
    </row>
    <row r="2544" spans="2:16" ht="15.75" customHeight="1">
      <c r="B2544" s="618"/>
      <c r="H2544" s="178"/>
      <c r="I2544" s="179"/>
      <c r="J2544" s="184"/>
      <c r="N2544" s="178"/>
      <c r="O2544" s="178"/>
      <c r="P2544" s="178"/>
    </row>
    <row r="2545" spans="2:16" ht="15.75" customHeight="1">
      <c r="B2545" s="618"/>
      <c r="H2545" s="178"/>
      <c r="I2545" s="179"/>
      <c r="J2545" s="184"/>
      <c r="N2545" s="178"/>
      <c r="O2545" s="178"/>
      <c r="P2545" s="178"/>
    </row>
    <row r="2546" spans="2:16" ht="15.75" customHeight="1">
      <c r="B2546" s="618"/>
      <c r="H2546" s="178"/>
      <c r="I2546" s="179"/>
      <c r="J2546" s="184"/>
      <c r="N2546" s="178"/>
      <c r="O2546" s="178"/>
      <c r="P2546" s="178"/>
    </row>
    <row r="2547" spans="2:16" ht="15.75" customHeight="1">
      <c r="B2547" s="618"/>
      <c r="H2547" s="178"/>
      <c r="I2547" s="179"/>
      <c r="J2547" s="184"/>
      <c r="N2547" s="178"/>
      <c r="O2547" s="178"/>
      <c r="P2547" s="178"/>
    </row>
    <row r="2548" spans="2:16" ht="15.75" customHeight="1">
      <c r="B2548" s="618"/>
      <c r="H2548" s="178"/>
      <c r="I2548" s="179"/>
      <c r="J2548" s="184"/>
      <c r="N2548" s="178"/>
      <c r="O2548" s="178"/>
      <c r="P2548" s="178"/>
    </row>
    <row r="2549" spans="2:16" ht="15.75" customHeight="1">
      <c r="B2549" s="618"/>
      <c r="H2549" s="178"/>
      <c r="I2549" s="179"/>
      <c r="J2549" s="184"/>
      <c r="N2549" s="178"/>
      <c r="O2549" s="178"/>
      <c r="P2549" s="178"/>
    </row>
    <row r="2550" spans="2:16" ht="15.75" customHeight="1">
      <c r="B2550" s="618"/>
      <c r="H2550" s="178"/>
      <c r="I2550" s="179"/>
      <c r="J2550" s="184"/>
      <c r="N2550" s="178"/>
      <c r="O2550" s="178"/>
      <c r="P2550" s="178"/>
    </row>
    <row r="2551" spans="2:16" ht="15.75" customHeight="1">
      <c r="B2551" s="618"/>
      <c r="H2551" s="178"/>
      <c r="I2551" s="179"/>
      <c r="J2551" s="184"/>
      <c r="N2551" s="178"/>
      <c r="O2551" s="178"/>
      <c r="P2551" s="178"/>
    </row>
    <row r="2552" spans="2:16" ht="15.75" customHeight="1">
      <c r="B2552" s="618"/>
      <c r="H2552" s="178"/>
      <c r="I2552" s="179"/>
      <c r="J2552" s="184"/>
      <c r="N2552" s="178"/>
      <c r="O2552" s="178"/>
      <c r="P2552" s="178"/>
    </row>
    <row r="2553" spans="2:16" ht="15.75" customHeight="1">
      <c r="B2553" s="618"/>
      <c r="H2553" s="178"/>
      <c r="I2553" s="179"/>
      <c r="J2553" s="184"/>
      <c r="N2553" s="178"/>
      <c r="O2553" s="178"/>
      <c r="P2553" s="178"/>
    </row>
    <row r="2554" spans="2:16" ht="15.75" customHeight="1">
      <c r="B2554" s="618"/>
      <c r="H2554" s="178"/>
      <c r="I2554" s="179"/>
      <c r="J2554" s="184"/>
      <c r="N2554" s="178"/>
      <c r="O2554" s="178"/>
      <c r="P2554" s="178"/>
    </row>
    <row r="2555" spans="2:16" ht="15.75" customHeight="1">
      <c r="B2555" s="618"/>
      <c r="H2555" s="178"/>
      <c r="I2555" s="179"/>
      <c r="J2555" s="184"/>
      <c r="N2555" s="178"/>
      <c r="O2555" s="178"/>
      <c r="P2555" s="178"/>
    </row>
    <row r="2556" spans="2:16" ht="15.75" customHeight="1">
      <c r="B2556" s="618"/>
      <c r="H2556" s="178"/>
      <c r="I2556" s="179"/>
      <c r="J2556" s="184"/>
      <c r="N2556" s="178"/>
      <c r="O2556" s="178"/>
      <c r="P2556" s="178"/>
    </row>
    <row r="2557" spans="2:16" ht="15.75" customHeight="1">
      <c r="B2557" s="618"/>
      <c r="H2557" s="178"/>
      <c r="I2557" s="179"/>
      <c r="J2557" s="184"/>
      <c r="N2557" s="178"/>
      <c r="O2557" s="178"/>
      <c r="P2557" s="178"/>
    </row>
    <row r="2558" spans="2:16" ht="15.75" customHeight="1">
      <c r="B2558" s="618"/>
      <c r="H2558" s="178"/>
      <c r="I2558" s="179"/>
      <c r="J2558" s="184"/>
      <c r="N2558" s="178"/>
      <c r="O2558" s="178"/>
      <c r="P2558" s="178"/>
    </row>
    <row r="2559" spans="2:16" ht="15.75" customHeight="1">
      <c r="B2559" s="618"/>
      <c r="H2559" s="178"/>
      <c r="I2559" s="179"/>
      <c r="J2559" s="184"/>
      <c r="N2559" s="178"/>
      <c r="O2559" s="178"/>
      <c r="P2559" s="178"/>
    </row>
    <row r="2560" spans="2:16" ht="15.75" customHeight="1">
      <c r="B2560" s="618"/>
      <c r="H2560" s="178"/>
      <c r="I2560" s="179"/>
      <c r="J2560" s="184"/>
      <c r="N2560" s="178"/>
      <c r="O2560" s="178"/>
      <c r="P2560" s="178"/>
    </row>
    <row r="2561" spans="2:16" ht="15.75" customHeight="1">
      <c r="B2561" s="618"/>
      <c r="H2561" s="178"/>
      <c r="I2561" s="179"/>
      <c r="J2561" s="184"/>
      <c r="N2561" s="178"/>
      <c r="O2561" s="178"/>
      <c r="P2561" s="178"/>
    </row>
    <row r="2562" spans="2:16" ht="15.75" customHeight="1">
      <c r="B2562" s="618"/>
      <c r="H2562" s="178"/>
      <c r="I2562" s="179"/>
      <c r="J2562" s="184"/>
      <c r="N2562" s="178"/>
      <c r="O2562" s="178"/>
      <c r="P2562" s="178"/>
    </row>
    <row r="2563" spans="2:16" ht="15.75" customHeight="1">
      <c r="B2563" s="618"/>
      <c r="H2563" s="178"/>
      <c r="I2563" s="179"/>
      <c r="J2563" s="184"/>
      <c r="N2563" s="178"/>
      <c r="O2563" s="178"/>
      <c r="P2563" s="178"/>
    </row>
    <row r="2564" spans="2:16" ht="15.75" customHeight="1">
      <c r="B2564" s="618"/>
      <c r="H2564" s="178"/>
      <c r="I2564" s="179"/>
      <c r="J2564" s="184"/>
      <c r="N2564" s="178"/>
      <c r="O2564" s="178"/>
      <c r="P2564" s="178"/>
    </row>
    <row r="2565" spans="2:16" ht="15.75" customHeight="1">
      <c r="B2565" s="618"/>
      <c r="H2565" s="178"/>
      <c r="I2565" s="179"/>
      <c r="J2565" s="184"/>
      <c r="N2565" s="178"/>
      <c r="O2565" s="178"/>
      <c r="P2565" s="178"/>
    </row>
    <row r="2566" spans="2:16" ht="15.75" customHeight="1">
      <c r="B2566" s="618"/>
      <c r="H2566" s="178"/>
      <c r="I2566" s="179"/>
      <c r="J2566" s="184"/>
      <c r="N2566" s="178"/>
      <c r="O2566" s="178"/>
      <c r="P2566" s="178"/>
    </row>
    <row r="2567" spans="2:16" ht="15.75" customHeight="1">
      <c r="B2567" s="618"/>
      <c r="H2567" s="178"/>
      <c r="I2567" s="179"/>
      <c r="J2567" s="184"/>
      <c r="N2567" s="178"/>
      <c r="O2567" s="178"/>
      <c r="P2567" s="178"/>
    </row>
    <row r="2568" spans="2:16" ht="15.75" customHeight="1">
      <c r="B2568" s="618"/>
      <c r="H2568" s="178"/>
      <c r="I2568" s="179"/>
      <c r="J2568" s="184"/>
      <c r="N2568" s="178"/>
      <c r="O2568" s="178"/>
      <c r="P2568" s="178"/>
    </row>
    <row r="2569" spans="2:16" ht="15.75" customHeight="1">
      <c r="B2569" s="618"/>
      <c r="H2569" s="178"/>
      <c r="I2569" s="179"/>
      <c r="J2569" s="184"/>
      <c r="N2569" s="178"/>
      <c r="O2569" s="178"/>
      <c r="P2569" s="178"/>
    </row>
    <row r="2570" spans="2:16" ht="15.75" customHeight="1">
      <c r="B2570" s="618"/>
      <c r="H2570" s="178"/>
      <c r="I2570" s="179"/>
      <c r="J2570" s="184"/>
      <c r="N2570" s="178"/>
      <c r="O2570" s="178"/>
      <c r="P2570" s="178"/>
    </row>
    <row r="2571" spans="2:16" ht="15.75" customHeight="1">
      <c r="B2571" s="618"/>
      <c r="H2571" s="178"/>
      <c r="I2571" s="179"/>
      <c r="J2571" s="184"/>
      <c r="N2571" s="178"/>
      <c r="O2571" s="178"/>
      <c r="P2571" s="178"/>
    </row>
    <row r="2572" spans="2:16" ht="15.75" customHeight="1">
      <c r="B2572" s="618"/>
      <c r="H2572" s="178"/>
      <c r="I2572" s="179"/>
      <c r="J2572" s="184"/>
      <c r="N2572" s="178"/>
      <c r="O2572" s="178"/>
      <c r="P2572" s="178"/>
    </row>
    <row r="2573" spans="2:16" ht="15.75" customHeight="1">
      <c r="B2573" s="618"/>
      <c r="H2573" s="178"/>
      <c r="I2573" s="179"/>
      <c r="J2573" s="184"/>
      <c r="N2573" s="178"/>
      <c r="O2573" s="178"/>
      <c r="P2573" s="178"/>
    </row>
    <row r="2574" spans="2:16" ht="15.75" customHeight="1">
      <c r="B2574" s="618"/>
      <c r="H2574" s="178"/>
      <c r="I2574" s="179"/>
      <c r="J2574" s="184"/>
      <c r="N2574" s="178"/>
      <c r="O2574" s="178"/>
      <c r="P2574" s="178"/>
    </row>
    <row r="2575" spans="2:16" ht="15.75" customHeight="1">
      <c r="B2575" s="618"/>
      <c r="H2575" s="178"/>
      <c r="I2575" s="179"/>
      <c r="J2575" s="184"/>
      <c r="N2575" s="178"/>
      <c r="O2575" s="178"/>
      <c r="P2575" s="178"/>
    </row>
    <row r="2576" spans="2:16" ht="15.75" customHeight="1">
      <c r="B2576" s="618"/>
      <c r="H2576" s="178"/>
      <c r="I2576" s="179"/>
      <c r="J2576" s="184"/>
      <c r="N2576" s="178"/>
      <c r="O2576" s="178"/>
      <c r="P2576" s="178"/>
    </row>
    <row r="2577" spans="2:16" ht="15.75" customHeight="1">
      <c r="B2577" s="618"/>
      <c r="H2577" s="178"/>
      <c r="I2577" s="179"/>
      <c r="J2577" s="184"/>
      <c r="N2577" s="178"/>
      <c r="O2577" s="178"/>
      <c r="P2577" s="178"/>
    </row>
    <row r="2578" spans="2:16" ht="15.75" customHeight="1">
      <c r="B2578" s="618"/>
      <c r="H2578" s="178"/>
      <c r="I2578" s="179"/>
      <c r="J2578" s="184"/>
      <c r="N2578" s="178"/>
      <c r="O2578" s="178"/>
      <c r="P2578" s="178"/>
    </row>
    <row r="2579" spans="2:16" ht="15.75" customHeight="1">
      <c r="B2579" s="618"/>
      <c r="H2579" s="178"/>
      <c r="I2579" s="179"/>
      <c r="J2579" s="184"/>
      <c r="N2579" s="178"/>
      <c r="O2579" s="178"/>
      <c r="P2579" s="178"/>
    </row>
    <row r="2580" spans="2:16" ht="15.75" customHeight="1">
      <c r="B2580" s="618"/>
      <c r="H2580" s="178"/>
      <c r="I2580" s="179"/>
      <c r="J2580" s="184"/>
      <c r="N2580" s="178"/>
      <c r="O2580" s="178"/>
      <c r="P2580" s="178"/>
    </row>
    <row r="2581" spans="2:16" ht="15.75" customHeight="1">
      <c r="B2581" s="618"/>
      <c r="H2581" s="178"/>
      <c r="I2581" s="179"/>
      <c r="J2581" s="184"/>
      <c r="N2581" s="178"/>
      <c r="O2581" s="178"/>
      <c r="P2581" s="178"/>
    </row>
    <row r="2582" spans="2:16" ht="15.75" customHeight="1">
      <c r="B2582" s="618"/>
      <c r="H2582" s="178"/>
      <c r="I2582" s="179"/>
      <c r="J2582" s="184"/>
      <c r="N2582" s="178"/>
      <c r="O2582" s="178"/>
      <c r="P2582" s="178"/>
    </row>
    <row r="2583" spans="2:16" ht="15.75" customHeight="1">
      <c r="B2583" s="618"/>
      <c r="H2583" s="178"/>
      <c r="I2583" s="179"/>
      <c r="J2583" s="184"/>
      <c r="N2583" s="178"/>
      <c r="O2583" s="178"/>
      <c r="P2583" s="178"/>
    </row>
    <row r="2584" spans="2:16" ht="15.75" customHeight="1">
      <c r="B2584" s="618"/>
      <c r="H2584" s="178"/>
      <c r="I2584" s="179"/>
      <c r="J2584" s="184"/>
      <c r="N2584" s="178"/>
      <c r="O2584" s="178"/>
      <c r="P2584" s="178"/>
    </row>
    <row r="2585" spans="2:16" ht="15.75" customHeight="1">
      <c r="B2585" s="618"/>
      <c r="H2585" s="178"/>
      <c r="I2585" s="179"/>
      <c r="J2585" s="184"/>
      <c r="N2585" s="178"/>
      <c r="O2585" s="178"/>
      <c r="P2585" s="178"/>
    </row>
    <row r="2586" spans="2:16" ht="15.75" customHeight="1">
      <c r="B2586" s="618"/>
      <c r="H2586" s="178"/>
      <c r="I2586" s="179"/>
      <c r="J2586" s="184"/>
      <c r="N2586" s="178"/>
      <c r="O2586" s="178"/>
      <c r="P2586" s="178"/>
    </row>
    <row r="2587" spans="2:16" ht="15.75" customHeight="1">
      <c r="B2587" s="618"/>
      <c r="H2587" s="178"/>
      <c r="I2587" s="179"/>
      <c r="J2587" s="184"/>
      <c r="N2587" s="178"/>
      <c r="O2587" s="178"/>
      <c r="P2587" s="178"/>
    </row>
    <row r="2588" spans="2:16" ht="15.75" customHeight="1">
      <c r="B2588" s="618"/>
      <c r="H2588" s="178"/>
      <c r="I2588" s="179"/>
      <c r="J2588" s="184"/>
      <c r="N2588" s="178"/>
      <c r="O2588" s="178"/>
      <c r="P2588" s="178"/>
    </row>
    <row r="2589" spans="2:16" ht="15.75" customHeight="1">
      <c r="B2589" s="618"/>
      <c r="H2589" s="178"/>
      <c r="I2589" s="179"/>
      <c r="J2589" s="184"/>
      <c r="N2589" s="178"/>
      <c r="O2589" s="178"/>
      <c r="P2589" s="178"/>
    </row>
    <row r="2590" spans="2:16" ht="15.75" customHeight="1">
      <c r="B2590" s="618"/>
      <c r="H2590" s="178"/>
      <c r="I2590" s="179"/>
      <c r="J2590" s="184"/>
      <c r="N2590" s="178"/>
      <c r="O2590" s="178"/>
      <c r="P2590" s="178"/>
    </row>
    <row r="2591" spans="2:16" ht="15.75" customHeight="1">
      <c r="B2591" s="618"/>
      <c r="H2591" s="178"/>
      <c r="I2591" s="179"/>
      <c r="J2591" s="184"/>
      <c r="N2591" s="178"/>
      <c r="O2591" s="178"/>
      <c r="P2591" s="178"/>
    </row>
    <row r="2592" spans="2:16" ht="15.75" customHeight="1">
      <c r="B2592" s="618"/>
      <c r="H2592" s="178"/>
      <c r="I2592" s="179"/>
      <c r="J2592" s="184"/>
      <c r="N2592" s="178"/>
      <c r="O2592" s="178"/>
      <c r="P2592" s="178"/>
    </row>
    <row r="2593" spans="2:16" ht="15.75" customHeight="1">
      <c r="B2593" s="618"/>
      <c r="H2593" s="178"/>
      <c r="I2593" s="179"/>
      <c r="J2593" s="184"/>
      <c r="N2593" s="178"/>
      <c r="O2593" s="178"/>
      <c r="P2593" s="178"/>
    </row>
    <row r="2594" spans="2:16" ht="15.75" customHeight="1">
      <c r="B2594" s="618"/>
      <c r="H2594" s="178"/>
      <c r="I2594" s="179"/>
      <c r="J2594" s="184"/>
      <c r="N2594" s="178"/>
      <c r="O2594" s="178"/>
      <c r="P2594" s="178"/>
    </row>
    <row r="2595" spans="2:16" ht="15.75" customHeight="1">
      <c r="B2595" s="618"/>
      <c r="H2595" s="178"/>
      <c r="I2595" s="179"/>
      <c r="J2595" s="184"/>
      <c r="N2595" s="178"/>
      <c r="O2595" s="178"/>
      <c r="P2595" s="178"/>
    </row>
    <row r="2596" spans="2:16" ht="15.75" customHeight="1">
      <c r="B2596" s="618"/>
      <c r="H2596" s="178"/>
      <c r="I2596" s="179"/>
      <c r="J2596" s="184"/>
      <c r="N2596" s="178"/>
      <c r="O2596" s="178"/>
      <c r="P2596" s="178"/>
    </row>
    <row r="2597" spans="2:16" ht="15.75" customHeight="1">
      <c r="B2597" s="618"/>
      <c r="H2597" s="178"/>
      <c r="I2597" s="179"/>
      <c r="J2597" s="184"/>
      <c r="N2597" s="178"/>
      <c r="O2597" s="178"/>
      <c r="P2597" s="178"/>
    </row>
    <row r="2598" spans="2:16" ht="15.75" customHeight="1">
      <c r="B2598" s="618"/>
      <c r="H2598" s="178"/>
      <c r="I2598" s="179"/>
      <c r="J2598" s="184"/>
      <c r="N2598" s="178"/>
      <c r="O2598" s="178"/>
      <c r="P2598" s="178"/>
    </row>
    <row r="2599" spans="2:16" ht="15.75" customHeight="1">
      <c r="B2599" s="618"/>
      <c r="H2599" s="178"/>
      <c r="I2599" s="179"/>
      <c r="J2599" s="184"/>
      <c r="N2599" s="178"/>
      <c r="O2599" s="178"/>
      <c r="P2599" s="178"/>
    </row>
    <row r="2600" spans="2:16" ht="15.75" customHeight="1">
      <c r="B2600" s="618"/>
      <c r="H2600" s="178"/>
      <c r="I2600" s="179"/>
      <c r="J2600" s="184"/>
      <c r="N2600" s="178"/>
      <c r="O2600" s="178"/>
      <c r="P2600" s="178"/>
    </row>
    <row r="2601" spans="2:16" ht="15.75" customHeight="1">
      <c r="B2601" s="618"/>
      <c r="H2601" s="178"/>
      <c r="I2601" s="179"/>
      <c r="J2601" s="184"/>
      <c r="N2601" s="178"/>
      <c r="O2601" s="178"/>
      <c r="P2601" s="178"/>
    </row>
    <row r="2602" spans="2:16" ht="15.75" customHeight="1">
      <c r="B2602" s="618"/>
      <c r="H2602" s="178"/>
      <c r="I2602" s="179"/>
      <c r="J2602" s="184"/>
      <c r="N2602" s="178"/>
      <c r="O2602" s="178"/>
      <c r="P2602" s="178"/>
    </row>
    <row r="2603" spans="2:16" ht="15.75" customHeight="1">
      <c r="B2603" s="618"/>
      <c r="H2603" s="178"/>
      <c r="I2603" s="179"/>
      <c r="J2603" s="184"/>
      <c r="N2603" s="178"/>
      <c r="O2603" s="178"/>
      <c r="P2603" s="178"/>
    </row>
    <row r="2604" spans="2:16" ht="15.75" customHeight="1">
      <c r="B2604" s="618"/>
      <c r="H2604" s="178"/>
      <c r="I2604" s="179"/>
      <c r="J2604" s="184"/>
      <c r="N2604" s="178"/>
      <c r="O2604" s="178"/>
      <c r="P2604" s="178"/>
    </row>
    <row r="2605" spans="2:16" ht="15.75" customHeight="1">
      <c r="B2605" s="618"/>
      <c r="H2605" s="178"/>
      <c r="I2605" s="179"/>
      <c r="J2605" s="184"/>
      <c r="N2605" s="178"/>
      <c r="O2605" s="178"/>
      <c r="P2605" s="178"/>
    </row>
    <row r="2606" spans="2:16" ht="15.75" customHeight="1">
      <c r="B2606" s="618"/>
      <c r="H2606" s="178"/>
      <c r="I2606" s="179"/>
      <c r="J2606" s="184"/>
      <c r="N2606" s="178"/>
      <c r="O2606" s="178"/>
      <c r="P2606" s="178"/>
    </row>
    <row r="2607" spans="2:16" ht="15.75" customHeight="1">
      <c r="B2607" s="618"/>
      <c r="H2607" s="178"/>
      <c r="I2607" s="179"/>
      <c r="J2607" s="184"/>
      <c r="N2607" s="178"/>
      <c r="O2607" s="178"/>
      <c r="P2607" s="178"/>
    </row>
    <row r="2608" spans="2:16" ht="15.75" customHeight="1">
      <c r="B2608" s="618"/>
      <c r="H2608" s="178"/>
      <c r="I2608" s="179"/>
      <c r="J2608" s="184"/>
      <c r="N2608" s="178"/>
      <c r="O2608" s="178"/>
      <c r="P2608" s="178"/>
    </row>
    <row r="2609" spans="2:16" ht="15.75" customHeight="1">
      <c r="B2609" s="618"/>
      <c r="H2609" s="178"/>
      <c r="I2609" s="179"/>
      <c r="J2609" s="184"/>
      <c r="N2609" s="178"/>
      <c r="O2609" s="178"/>
      <c r="P2609" s="178"/>
    </row>
    <row r="2610" spans="2:16" ht="15.75" customHeight="1">
      <c r="B2610" s="618"/>
      <c r="H2610" s="178"/>
      <c r="I2610" s="179"/>
      <c r="J2610" s="184"/>
      <c r="N2610" s="178"/>
      <c r="O2610" s="178"/>
      <c r="P2610" s="178"/>
    </row>
    <row r="2611" spans="2:16" ht="15.75" customHeight="1">
      <c r="B2611" s="618"/>
      <c r="H2611" s="178"/>
      <c r="I2611" s="179"/>
      <c r="J2611" s="184"/>
      <c r="N2611" s="178"/>
      <c r="O2611" s="178"/>
      <c r="P2611" s="178"/>
    </row>
    <row r="2612" spans="2:16" ht="15.75" customHeight="1">
      <c r="B2612" s="618"/>
      <c r="H2612" s="178"/>
      <c r="I2612" s="179"/>
      <c r="J2612" s="184"/>
      <c r="N2612" s="178"/>
      <c r="O2612" s="178"/>
      <c r="P2612" s="178"/>
    </row>
    <row r="2613" spans="2:16" ht="15.75" customHeight="1">
      <c r="B2613" s="618"/>
      <c r="H2613" s="178"/>
      <c r="I2613" s="179"/>
      <c r="J2613" s="184"/>
      <c r="N2613" s="178"/>
      <c r="O2613" s="178"/>
      <c r="P2613" s="178"/>
    </row>
    <row r="2614" spans="2:16" ht="15.75" customHeight="1">
      <c r="B2614" s="618"/>
      <c r="H2614" s="178"/>
      <c r="I2614" s="179"/>
      <c r="J2614" s="184"/>
      <c r="N2614" s="178"/>
      <c r="O2614" s="178"/>
      <c r="P2614" s="178"/>
    </row>
    <row r="2615" spans="2:16" ht="15.75" customHeight="1">
      <c r="B2615" s="618"/>
      <c r="H2615" s="178"/>
      <c r="I2615" s="179"/>
      <c r="J2615" s="184"/>
      <c r="N2615" s="178"/>
      <c r="O2615" s="178"/>
      <c r="P2615" s="178"/>
    </row>
    <row r="2616" spans="2:16" ht="15.75" customHeight="1">
      <c r="B2616" s="618"/>
      <c r="H2616" s="178"/>
      <c r="I2616" s="179"/>
      <c r="J2616" s="184"/>
      <c r="N2616" s="178"/>
      <c r="O2616" s="178"/>
      <c r="P2616" s="178"/>
    </row>
    <row r="2617" spans="2:16" ht="15.75" customHeight="1">
      <c r="B2617" s="618"/>
      <c r="H2617" s="178"/>
      <c r="I2617" s="179"/>
      <c r="J2617" s="184"/>
      <c r="N2617" s="178"/>
      <c r="O2617" s="178"/>
      <c r="P2617" s="178"/>
    </row>
    <row r="2618" spans="2:16" ht="15.75" customHeight="1">
      <c r="B2618" s="618"/>
      <c r="H2618" s="178"/>
      <c r="I2618" s="179"/>
      <c r="J2618" s="184"/>
      <c r="N2618" s="178"/>
      <c r="O2618" s="178"/>
      <c r="P2618" s="178"/>
    </row>
    <row r="2619" spans="2:16" ht="15.75" customHeight="1">
      <c r="B2619" s="618"/>
      <c r="H2619" s="178"/>
      <c r="I2619" s="179"/>
      <c r="J2619" s="184"/>
      <c r="N2619" s="178"/>
      <c r="O2619" s="178"/>
      <c r="P2619" s="178"/>
    </row>
    <row r="2620" spans="2:16" ht="15.75" customHeight="1">
      <c r="B2620" s="618"/>
      <c r="H2620" s="178"/>
      <c r="I2620" s="179"/>
      <c r="J2620" s="184"/>
      <c r="N2620" s="178"/>
      <c r="O2620" s="178"/>
      <c r="P2620" s="178"/>
    </row>
    <row r="2621" spans="2:16" ht="15.75" customHeight="1">
      <c r="B2621" s="618"/>
      <c r="H2621" s="178"/>
      <c r="I2621" s="179"/>
      <c r="J2621" s="184"/>
      <c r="N2621" s="178"/>
      <c r="O2621" s="178"/>
      <c r="P2621" s="178"/>
    </row>
    <row r="2622" spans="2:16" ht="15.75" customHeight="1">
      <c r="B2622" s="618"/>
      <c r="H2622" s="178"/>
      <c r="I2622" s="179"/>
      <c r="J2622" s="184"/>
      <c r="N2622" s="178"/>
      <c r="O2622" s="178"/>
      <c r="P2622" s="178"/>
    </row>
    <row r="2623" spans="2:16" ht="15.75" customHeight="1">
      <c r="B2623" s="618"/>
      <c r="H2623" s="178"/>
      <c r="I2623" s="179"/>
      <c r="J2623" s="184"/>
      <c r="N2623" s="178"/>
      <c r="O2623" s="178"/>
      <c r="P2623" s="178"/>
    </row>
    <row r="2624" spans="2:16" ht="15.75" customHeight="1">
      <c r="B2624" s="618"/>
      <c r="H2624" s="178"/>
      <c r="I2624" s="179"/>
      <c r="J2624" s="184"/>
      <c r="N2624" s="178"/>
      <c r="O2624" s="178"/>
      <c r="P2624" s="178"/>
    </row>
    <row r="2625" spans="2:16" ht="15.75" customHeight="1">
      <c r="B2625" s="618"/>
      <c r="H2625" s="178"/>
      <c r="I2625" s="179"/>
      <c r="J2625" s="184"/>
      <c r="N2625" s="178"/>
      <c r="O2625" s="178"/>
      <c r="P2625" s="178"/>
    </row>
    <row r="2626" spans="2:16" ht="15.75" customHeight="1">
      <c r="B2626" s="618"/>
      <c r="H2626" s="178"/>
      <c r="I2626" s="179"/>
      <c r="J2626" s="184"/>
      <c r="N2626" s="178"/>
      <c r="O2626" s="178"/>
      <c r="P2626" s="178"/>
    </row>
    <row r="2627" spans="2:16" ht="15.75" customHeight="1">
      <c r="B2627" s="618"/>
      <c r="H2627" s="178"/>
      <c r="I2627" s="179"/>
      <c r="J2627" s="184"/>
      <c r="N2627" s="178"/>
      <c r="O2627" s="178"/>
      <c r="P2627" s="178"/>
    </row>
    <row r="2628" spans="2:16" ht="15.75" customHeight="1">
      <c r="B2628" s="618"/>
      <c r="H2628" s="178"/>
      <c r="I2628" s="179"/>
      <c r="J2628" s="184"/>
      <c r="N2628" s="178"/>
      <c r="O2628" s="178"/>
      <c r="P2628" s="178"/>
    </row>
    <row r="2629" spans="2:16" ht="15.75" customHeight="1">
      <c r="B2629" s="618"/>
      <c r="H2629" s="178"/>
      <c r="I2629" s="179"/>
      <c r="J2629" s="184"/>
      <c r="N2629" s="178"/>
      <c r="O2629" s="178"/>
      <c r="P2629" s="178"/>
    </row>
    <row r="2630" spans="2:16" ht="15.75" customHeight="1">
      <c r="B2630" s="618"/>
      <c r="H2630" s="178"/>
      <c r="I2630" s="179"/>
      <c r="J2630" s="184"/>
      <c r="N2630" s="178"/>
      <c r="O2630" s="178"/>
      <c r="P2630" s="178"/>
    </row>
    <row r="2631" spans="2:16" ht="15.75" customHeight="1">
      <c r="B2631" s="618"/>
      <c r="H2631" s="178"/>
      <c r="I2631" s="179"/>
      <c r="J2631" s="184"/>
      <c r="N2631" s="178"/>
      <c r="O2631" s="178"/>
      <c r="P2631" s="178"/>
    </row>
    <row r="2632" spans="2:16" ht="15.75" customHeight="1">
      <c r="B2632" s="618"/>
      <c r="H2632" s="178"/>
      <c r="I2632" s="179"/>
      <c r="J2632" s="184"/>
      <c r="N2632" s="178"/>
      <c r="O2632" s="178"/>
      <c r="P2632" s="178"/>
    </row>
    <row r="2633" spans="2:16" ht="15.75" customHeight="1">
      <c r="B2633" s="618"/>
      <c r="H2633" s="178"/>
      <c r="I2633" s="179"/>
      <c r="J2633" s="184"/>
      <c r="N2633" s="178"/>
      <c r="O2633" s="178"/>
      <c r="P2633" s="178"/>
    </row>
    <row r="2634" spans="2:16" ht="15.75" customHeight="1">
      <c r="B2634" s="618"/>
      <c r="H2634" s="178"/>
      <c r="I2634" s="179"/>
      <c r="J2634" s="184"/>
      <c r="N2634" s="178"/>
      <c r="O2634" s="178"/>
      <c r="P2634" s="178"/>
    </row>
    <row r="2635" spans="2:16" ht="15.75" customHeight="1">
      <c r="B2635" s="618"/>
      <c r="H2635" s="178"/>
      <c r="I2635" s="179"/>
      <c r="J2635" s="184"/>
      <c r="N2635" s="178"/>
      <c r="O2635" s="178"/>
      <c r="P2635" s="178"/>
    </row>
    <row r="2636" spans="2:16" ht="15.75" customHeight="1">
      <c r="B2636" s="618"/>
      <c r="H2636" s="178"/>
      <c r="I2636" s="179"/>
      <c r="J2636" s="184"/>
      <c r="N2636" s="178"/>
      <c r="O2636" s="178"/>
      <c r="P2636" s="178"/>
    </row>
    <row r="2637" spans="2:16" ht="15.75" customHeight="1">
      <c r="B2637" s="618"/>
      <c r="H2637" s="178"/>
      <c r="I2637" s="179"/>
      <c r="J2637" s="184"/>
      <c r="N2637" s="178"/>
      <c r="O2637" s="178"/>
      <c r="P2637" s="178"/>
    </row>
    <row r="2638" spans="2:16" ht="15.75" customHeight="1">
      <c r="B2638" s="618"/>
      <c r="H2638" s="178"/>
      <c r="I2638" s="179"/>
      <c r="J2638" s="184"/>
      <c r="N2638" s="178"/>
      <c r="O2638" s="178"/>
      <c r="P2638" s="178"/>
    </row>
    <row r="2639" spans="2:16" ht="15.75" customHeight="1">
      <c r="B2639" s="618"/>
      <c r="H2639" s="178"/>
      <c r="I2639" s="179"/>
      <c r="J2639" s="184"/>
      <c r="N2639" s="178"/>
      <c r="O2639" s="178"/>
      <c r="P2639" s="178"/>
    </row>
    <row r="2640" spans="2:16" ht="15.75" customHeight="1">
      <c r="B2640" s="618"/>
      <c r="H2640" s="178"/>
      <c r="I2640" s="179"/>
      <c r="J2640" s="184"/>
      <c r="N2640" s="178"/>
      <c r="O2640" s="178"/>
      <c r="P2640" s="178"/>
    </row>
    <row r="2641" spans="2:16" ht="15.75" customHeight="1">
      <c r="B2641" s="618"/>
      <c r="H2641" s="178"/>
      <c r="I2641" s="179"/>
      <c r="J2641" s="184"/>
      <c r="N2641" s="178"/>
      <c r="O2641" s="178"/>
      <c r="P2641" s="178"/>
    </row>
    <row r="2642" spans="2:16" ht="15.75" customHeight="1">
      <c r="B2642" s="618"/>
      <c r="H2642" s="178"/>
      <c r="I2642" s="179"/>
      <c r="J2642" s="184"/>
      <c r="N2642" s="178"/>
      <c r="O2642" s="178"/>
      <c r="P2642" s="178"/>
    </row>
    <row r="2643" spans="2:16" ht="15.75" customHeight="1">
      <c r="B2643" s="618"/>
      <c r="H2643" s="178"/>
      <c r="I2643" s="179"/>
      <c r="J2643" s="184"/>
      <c r="N2643" s="178"/>
      <c r="O2643" s="178"/>
      <c r="P2643" s="178"/>
    </row>
    <row r="2644" spans="2:16" ht="15.75" customHeight="1">
      <c r="B2644" s="618"/>
      <c r="H2644" s="178"/>
      <c r="I2644" s="179"/>
      <c r="J2644" s="184"/>
      <c r="N2644" s="178"/>
      <c r="O2644" s="178"/>
      <c r="P2644" s="178"/>
    </row>
    <row r="2645" spans="2:16" ht="15.75" customHeight="1">
      <c r="B2645" s="618"/>
      <c r="H2645" s="178"/>
      <c r="I2645" s="179"/>
      <c r="J2645" s="184"/>
      <c r="N2645" s="178"/>
      <c r="O2645" s="178"/>
      <c r="P2645" s="178"/>
    </row>
    <row r="2646" spans="2:16" ht="15.75" customHeight="1">
      <c r="B2646" s="618"/>
      <c r="H2646" s="178"/>
      <c r="I2646" s="179"/>
      <c r="J2646" s="184"/>
      <c r="N2646" s="178"/>
      <c r="O2646" s="178"/>
      <c r="P2646" s="178"/>
    </row>
    <row r="2647" spans="2:16" ht="15.75" customHeight="1">
      <c r="B2647" s="618"/>
      <c r="H2647" s="178"/>
      <c r="I2647" s="179"/>
      <c r="J2647" s="184"/>
      <c r="N2647" s="178"/>
      <c r="O2647" s="178"/>
      <c r="P2647" s="178"/>
    </row>
    <row r="2648" spans="2:16" ht="15.75" customHeight="1">
      <c r="B2648" s="618"/>
      <c r="H2648" s="178"/>
      <c r="I2648" s="179"/>
      <c r="J2648" s="184"/>
      <c r="N2648" s="178"/>
      <c r="O2648" s="178"/>
      <c r="P2648" s="178"/>
    </row>
    <row r="2649" spans="2:16" ht="15.75" customHeight="1">
      <c r="B2649" s="618"/>
      <c r="H2649" s="178"/>
      <c r="I2649" s="179"/>
      <c r="J2649" s="184"/>
      <c r="N2649" s="178"/>
      <c r="O2649" s="178"/>
      <c r="P2649" s="178"/>
    </row>
    <row r="2650" spans="2:16" ht="15.75" customHeight="1">
      <c r="B2650" s="618"/>
      <c r="H2650" s="178"/>
      <c r="I2650" s="179"/>
      <c r="J2650" s="184"/>
      <c r="N2650" s="178"/>
      <c r="O2650" s="178"/>
      <c r="P2650" s="178"/>
    </row>
    <row r="2651" spans="2:16" ht="15.75" customHeight="1">
      <c r="B2651" s="618"/>
      <c r="H2651" s="178"/>
      <c r="I2651" s="179"/>
      <c r="J2651" s="184"/>
      <c r="N2651" s="178"/>
      <c r="O2651" s="178"/>
      <c r="P2651" s="178"/>
    </row>
    <row r="2652" spans="2:16" ht="15.75" customHeight="1">
      <c r="B2652" s="618"/>
      <c r="H2652" s="178"/>
      <c r="I2652" s="179"/>
      <c r="J2652" s="184"/>
      <c r="N2652" s="178"/>
      <c r="O2652" s="178"/>
      <c r="P2652" s="178"/>
    </row>
    <row r="2653" spans="2:16" ht="15.75" customHeight="1">
      <c r="B2653" s="618"/>
      <c r="H2653" s="178"/>
      <c r="I2653" s="179"/>
      <c r="J2653" s="184"/>
      <c r="N2653" s="178"/>
      <c r="O2653" s="178"/>
      <c r="P2653" s="178"/>
    </row>
    <row r="2654" spans="2:16" ht="15.75" customHeight="1">
      <c r="B2654" s="618"/>
      <c r="H2654" s="178"/>
      <c r="I2654" s="179"/>
      <c r="J2654" s="184"/>
      <c r="N2654" s="178"/>
      <c r="O2654" s="178"/>
      <c r="P2654" s="178"/>
    </row>
    <row r="2655" spans="2:16" ht="15.75" customHeight="1">
      <c r="B2655" s="618"/>
      <c r="H2655" s="178"/>
      <c r="I2655" s="179"/>
      <c r="J2655" s="184"/>
      <c r="N2655" s="178"/>
      <c r="O2655" s="178"/>
      <c r="P2655" s="178"/>
    </row>
    <row r="2656" spans="2:16" ht="15.75" customHeight="1">
      <c r="B2656" s="618"/>
      <c r="H2656" s="178"/>
      <c r="I2656" s="179"/>
      <c r="J2656" s="184"/>
      <c r="N2656" s="178"/>
      <c r="O2656" s="178"/>
      <c r="P2656" s="178"/>
    </row>
    <row r="2657" spans="2:16" ht="15.75" customHeight="1">
      <c r="B2657" s="618"/>
      <c r="H2657" s="178"/>
      <c r="I2657" s="179"/>
      <c r="J2657" s="184"/>
      <c r="N2657" s="178"/>
      <c r="O2657" s="178"/>
      <c r="P2657" s="178"/>
    </row>
    <row r="2658" spans="2:16" ht="15.75" customHeight="1">
      <c r="B2658" s="618"/>
      <c r="H2658" s="178"/>
      <c r="I2658" s="179"/>
      <c r="J2658" s="184"/>
      <c r="N2658" s="178"/>
      <c r="O2658" s="178"/>
      <c r="P2658" s="178"/>
    </row>
    <row r="2659" spans="2:16" ht="15.75" customHeight="1">
      <c r="B2659" s="618"/>
      <c r="H2659" s="178"/>
      <c r="I2659" s="179"/>
      <c r="J2659" s="184"/>
      <c r="N2659" s="178"/>
      <c r="O2659" s="178"/>
      <c r="P2659" s="178"/>
    </row>
    <row r="2660" spans="2:16" ht="15.75" customHeight="1">
      <c r="B2660" s="618"/>
      <c r="H2660" s="178"/>
      <c r="I2660" s="179"/>
      <c r="J2660" s="184"/>
      <c r="N2660" s="178"/>
      <c r="O2660" s="178"/>
      <c r="P2660" s="178"/>
    </row>
    <row r="2661" spans="2:16" ht="15.75" customHeight="1">
      <c r="B2661" s="618"/>
      <c r="H2661" s="178"/>
      <c r="I2661" s="179"/>
      <c r="J2661" s="184"/>
      <c r="N2661" s="178"/>
      <c r="O2661" s="178"/>
      <c r="P2661" s="178"/>
    </row>
    <row r="2662" spans="2:16" ht="15.75" customHeight="1">
      <c r="B2662" s="618"/>
      <c r="H2662" s="178"/>
      <c r="I2662" s="179"/>
      <c r="J2662" s="184"/>
      <c r="N2662" s="178"/>
      <c r="O2662" s="178"/>
      <c r="P2662" s="178"/>
    </row>
    <row r="2663" spans="2:16" ht="15.75" customHeight="1">
      <c r="B2663" s="618"/>
      <c r="H2663" s="178"/>
      <c r="I2663" s="179"/>
      <c r="J2663" s="184"/>
      <c r="N2663" s="178"/>
      <c r="O2663" s="178"/>
      <c r="P2663" s="178"/>
    </row>
    <row r="2664" spans="2:16" ht="15.75" customHeight="1">
      <c r="B2664" s="618"/>
      <c r="H2664" s="178"/>
      <c r="I2664" s="179"/>
      <c r="J2664" s="184"/>
      <c r="N2664" s="178"/>
      <c r="O2664" s="178"/>
      <c r="P2664" s="178"/>
    </row>
    <row r="2665" spans="2:16" ht="15.75" customHeight="1">
      <c r="B2665" s="618"/>
      <c r="H2665" s="178"/>
      <c r="I2665" s="179"/>
      <c r="J2665" s="184"/>
      <c r="N2665" s="178"/>
      <c r="O2665" s="178"/>
      <c r="P2665" s="178"/>
    </row>
    <row r="2666" spans="2:16" ht="15.75" customHeight="1">
      <c r="B2666" s="618"/>
      <c r="H2666" s="178"/>
      <c r="I2666" s="179"/>
      <c r="J2666" s="184"/>
      <c r="N2666" s="178"/>
      <c r="O2666" s="178"/>
      <c r="P2666" s="178"/>
    </row>
    <row r="2667" spans="2:16" ht="15.75" customHeight="1">
      <c r="B2667" s="618"/>
      <c r="H2667" s="178"/>
      <c r="I2667" s="179"/>
      <c r="J2667" s="184"/>
      <c r="N2667" s="178"/>
      <c r="O2667" s="178"/>
      <c r="P2667" s="178"/>
    </row>
    <row r="2668" spans="2:16" ht="15.75" customHeight="1">
      <c r="B2668" s="618"/>
      <c r="H2668" s="178"/>
      <c r="I2668" s="179"/>
      <c r="J2668" s="184"/>
      <c r="N2668" s="178"/>
      <c r="O2668" s="178"/>
      <c r="P2668" s="178"/>
    </row>
    <row r="2669" spans="2:16" ht="15.75" customHeight="1">
      <c r="B2669" s="618"/>
      <c r="H2669" s="178"/>
      <c r="I2669" s="179"/>
      <c r="J2669" s="184"/>
      <c r="N2669" s="178"/>
      <c r="O2669" s="178"/>
      <c r="P2669" s="178"/>
    </row>
    <row r="2670" spans="2:16" ht="15.75" customHeight="1">
      <c r="B2670" s="618"/>
      <c r="H2670" s="178"/>
      <c r="I2670" s="179"/>
      <c r="J2670" s="184"/>
      <c r="N2670" s="178"/>
      <c r="O2670" s="178"/>
      <c r="P2670" s="178"/>
    </row>
    <row r="2671" spans="2:16" ht="15.75" customHeight="1">
      <c r="B2671" s="618"/>
      <c r="H2671" s="178"/>
      <c r="I2671" s="179"/>
      <c r="J2671" s="184"/>
      <c r="N2671" s="178"/>
      <c r="O2671" s="178"/>
      <c r="P2671" s="178"/>
    </row>
    <row r="2672" spans="2:16" ht="15.75" customHeight="1">
      <c r="B2672" s="618"/>
      <c r="H2672" s="178"/>
      <c r="I2672" s="179"/>
      <c r="J2672" s="184"/>
      <c r="N2672" s="178"/>
      <c r="O2672" s="178"/>
      <c r="P2672" s="178"/>
    </row>
    <row r="2673" spans="2:16" ht="15.75" customHeight="1">
      <c r="B2673" s="618"/>
      <c r="H2673" s="178"/>
      <c r="I2673" s="179"/>
      <c r="J2673" s="184"/>
      <c r="N2673" s="178"/>
      <c r="O2673" s="178"/>
      <c r="P2673" s="178"/>
    </row>
    <row r="2674" spans="2:16" ht="15.75" customHeight="1">
      <c r="B2674" s="618"/>
      <c r="H2674" s="178"/>
      <c r="I2674" s="179"/>
      <c r="J2674" s="184"/>
      <c r="N2674" s="178"/>
      <c r="O2674" s="178"/>
      <c r="P2674" s="178"/>
    </row>
    <row r="2675" spans="2:16" ht="15.75" customHeight="1">
      <c r="B2675" s="618"/>
      <c r="H2675" s="178"/>
      <c r="I2675" s="179"/>
      <c r="J2675" s="184"/>
      <c r="N2675" s="178"/>
      <c r="O2675" s="178"/>
      <c r="P2675" s="178"/>
    </row>
    <row r="2676" spans="2:16" ht="15.75" customHeight="1">
      <c r="B2676" s="618"/>
      <c r="H2676" s="178"/>
      <c r="I2676" s="179"/>
      <c r="J2676" s="184"/>
      <c r="N2676" s="178"/>
      <c r="O2676" s="178"/>
      <c r="P2676" s="178"/>
    </row>
    <row r="2677" spans="2:16" ht="15.75" customHeight="1">
      <c r="B2677" s="618"/>
      <c r="H2677" s="178"/>
      <c r="I2677" s="179"/>
      <c r="J2677" s="184"/>
      <c r="N2677" s="178"/>
      <c r="O2677" s="178"/>
      <c r="P2677" s="178"/>
    </row>
    <row r="2678" spans="2:16" ht="15.75" customHeight="1">
      <c r="B2678" s="618"/>
      <c r="H2678" s="178"/>
      <c r="I2678" s="179"/>
      <c r="J2678" s="184"/>
      <c r="N2678" s="178"/>
      <c r="O2678" s="178"/>
      <c r="P2678" s="178"/>
    </row>
    <row r="2679" spans="2:16" ht="15.75" customHeight="1">
      <c r="B2679" s="618"/>
      <c r="H2679" s="178"/>
      <c r="I2679" s="179"/>
      <c r="J2679" s="184"/>
      <c r="N2679" s="178"/>
      <c r="O2679" s="178"/>
      <c r="P2679" s="178"/>
    </row>
    <row r="2680" spans="2:16" ht="15.75" customHeight="1">
      <c r="B2680" s="618"/>
      <c r="H2680" s="178"/>
      <c r="I2680" s="179"/>
      <c r="J2680" s="184"/>
      <c r="N2680" s="178"/>
      <c r="O2680" s="178"/>
      <c r="P2680" s="178"/>
    </row>
    <row r="2681" spans="2:16" ht="15.75" customHeight="1">
      <c r="B2681" s="618"/>
      <c r="H2681" s="178"/>
      <c r="I2681" s="179"/>
      <c r="J2681" s="184"/>
      <c r="N2681" s="178"/>
      <c r="O2681" s="178"/>
      <c r="P2681" s="178"/>
    </row>
    <row r="2682" spans="2:16" ht="15.75" customHeight="1">
      <c r="B2682" s="618"/>
      <c r="H2682" s="178"/>
      <c r="I2682" s="179"/>
      <c r="J2682" s="184"/>
      <c r="N2682" s="178"/>
      <c r="O2682" s="178"/>
      <c r="P2682" s="178"/>
    </row>
    <row r="2683" spans="2:16" ht="15.75" customHeight="1">
      <c r="B2683" s="618"/>
      <c r="H2683" s="178"/>
      <c r="I2683" s="179"/>
      <c r="J2683" s="184"/>
      <c r="N2683" s="178"/>
      <c r="O2683" s="178"/>
      <c r="P2683" s="178"/>
    </row>
    <row r="2684" spans="2:16" ht="15.75" customHeight="1">
      <c r="B2684" s="618"/>
      <c r="H2684" s="178"/>
      <c r="I2684" s="179"/>
      <c r="J2684" s="184"/>
      <c r="N2684" s="178"/>
      <c r="O2684" s="178"/>
      <c r="P2684" s="178"/>
    </row>
    <row r="2685" spans="2:16" ht="15.75" customHeight="1">
      <c r="B2685" s="618"/>
      <c r="H2685" s="178"/>
      <c r="I2685" s="179"/>
      <c r="J2685" s="184"/>
      <c r="N2685" s="178"/>
      <c r="O2685" s="178"/>
      <c r="P2685" s="178"/>
    </row>
    <row r="2686" spans="2:16" ht="15.75" customHeight="1">
      <c r="B2686" s="618"/>
      <c r="H2686" s="178"/>
      <c r="I2686" s="179"/>
      <c r="J2686" s="184"/>
      <c r="N2686" s="178"/>
      <c r="O2686" s="178"/>
      <c r="P2686" s="178"/>
    </row>
    <row r="2687" spans="2:16" ht="15.75" customHeight="1">
      <c r="B2687" s="618"/>
      <c r="H2687" s="178"/>
      <c r="I2687" s="179"/>
      <c r="J2687" s="184"/>
      <c r="N2687" s="178"/>
      <c r="O2687" s="178"/>
      <c r="P2687" s="178"/>
    </row>
    <row r="2688" spans="2:16" ht="15.75" customHeight="1">
      <c r="B2688" s="618"/>
      <c r="H2688" s="178"/>
      <c r="I2688" s="179"/>
      <c r="J2688" s="184"/>
      <c r="N2688" s="178"/>
      <c r="O2688" s="178"/>
      <c r="P2688" s="178"/>
    </row>
    <row r="2689" spans="2:16" ht="15.75" customHeight="1">
      <c r="B2689" s="618"/>
      <c r="H2689" s="178"/>
      <c r="I2689" s="179"/>
      <c r="J2689" s="184"/>
      <c r="N2689" s="178"/>
      <c r="O2689" s="178"/>
      <c r="P2689" s="178"/>
    </row>
    <row r="2690" spans="2:16" ht="15.75" customHeight="1">
      <c r="B2690" s="618"/>
      <c r="H2690" s="178"/>
      <c r="I2690" s="179"/>
      <c r="J2690" s="184"/>
      <c r="N2690" s="178"/>
      <c r="O2690" s="178"/>
      <c r="P2690" s="178"/>
    </row>
    <row r="2691" spans="2:16" ht="15.75" customHeight="1">
      <c r="B2691" s="618"/>
      <c r="H2691" s="178"/>
      <c r="I2691" s="179"/>
      <c r="J2691" s="184"/>
      <c r="N2691" s="178"/>
      <c r="O2691" s="178"/>
      <c r="P2691" s="178"/>
    </row>
    <row r="2692" spans="2:16" ht="15.75" customHeight="1">
      <c r="B2692" s="618"/>
      <c r="H2692" s="178"/>
      <c r="I2692" s="179"/>
      <c r="J2692" s="184"/>
      <c r="N2692" s="178"/>
      <c r="O2692" s="178"/>
      <c r="P2692" s="178"/>
    </row>
    <row r="2693" spans="2:16" ht="15.75" customHeight="1">
      <c r="B2693" s="618"/>
      <c r="H2693" s="178"/>
      <c r="I2693" s="179"/>
      <c r="J2693" s="184"/>
      <c r="N2693" s="178"/>
      <c r="O2693" s="178"/>
      <c r="P2693" s="178"/>
    </row>
    <row r="2694" spans="2:16" ht="15.75" customHeight="1">
      <c r="B2694" s="618"/>
      <c r="H2694" s="178"/>
      <c r="I2694" s="179"/>
      <c r="J2694" s="184"/>
      <c r="N2694" s="178"/>
      <c r="O2694" s="178"/>
      <c r="P2694" s="178"/>
    </row>
    <row r="2695" spans="2:16" ht="15.75" customHeight="1">
      <c r="B2695" s="618"/>
      <c r="H2695" s="178"/>
      <c r="I2695" s="179"/>
      <c r="J2695" s="184"/>
      <c r="N2695" s="178"/>
      <c r="O2695" s="178"/>
      <c r="P2695" s="178"/>
    </row>
    <row r="2696" spans="2:16" ht="15.75" customHeight="1">
      <c r="B2696" s="618"/>
      <c r="H2696" s="178"/>
      <c r="I2696" s="179"/>
      <c r="J2696" s="184"/>
      <c r="N2696" s="178"/>
      <c r="O2696" s="178"/>
      <c r="P2696" s="178"/>
    </row>
    <row r="2697" spans="2:16" ht="15.75" customHeight="1">
      <c r="B2697" s="618"/>
      <c r="H2697" s="178"/>
      <c r="I2697" s="179"/>
      <c r="J2697" s="184"/>
      <c r="N2697" s="178"/>
      <c r="O2697" s="178"/>
      <c r="P2697" s="178"/>
    </row>
    <row r="2698" spans="2:16" ht="15.75" customHeight="1">
      <c r="B2698" s="618"/>
      <c r="H2698" s="178"/>
      <c r="I2698" s="179"/>
      <c r="J2698" s="184"/>
      <c r="N2698" s="178"/>
      <c r="O2698" s="178"/>
      <c r="P2698" s="178"/>
    </row>
    <row r="2699" spans="2:16" ht="15.75" customHeight="1">
      <c r="B2699" s="618"/>
      <c r="H2699" s="178"/>
      <c r="I2699" s="179"/>
      <c r="J2699" s="184"/>
      <c r="N2699" s="178"/>
      <c r="O2699" s="178"/>
      <c r="P2699" s="178"/>
    </row>
    <row r="2700" spans="2:16" ht="15.75" customHeight="1">
      <c r="B2700" s="618"/>
      <c r="H2700" s="178"/>
      <c r="I2700" s="179"/>
      <c r="J2700" s="184"/>
      <c r="N2700" s="178"/>
      <c r="O2700" s="178"/>
      <c r="P2700" s="178"/>
    </row>
    <row r="2701" spans="2:16" ht="15.75" customHeight="1">
      <c r="B2701" s="618"/>
      <c r="H2701" s="178"/>
      <c r="I2701" s="179"/>
      <c r="J2701" s="184"/>
      <c r="N2701" s="178"/>
      <c r="O2701" s="178"/>
      <c r="P2701" s="178"/>
    </row>
    <row r="2702" spans="2:16" ht="15.75" customHeight="1">
      <c r="B2702" s="618"/>
      <c r="H2702" s="178"/>
      <c r="I2702" s="179"/>
      <c r="J2702" s="184"/>
      <c r="N2702" s="178"/>
      <c r="O2702" s="178"/>
      <c r="P2702" s="178"/>
    </row>
    <row r="2703" spans="2:16" ht="15.75" customHeight="1">
      <c r="B2703" s="618"/>
      <c r="H2703" s="178"/>
      <c r="I2703" s="179"/>
      <c r="J2703" s="184"/>
      <c r="N2703" s="178"/>
      <c r="O2703" s="178"/>
      <c r="P2703" s="178"/>
    </row>
    <row r="2704" spans="2:16" ht="15.75" customHeight="1">
      <c r="B2704" s="618"/>
      <c r="H2704" s="178"/>
      <c r="I2704" s="179"/>
      <c r="J2704" s="184"/>
      <c r="N2704" s="178"/>
      <c r="O2704" s="178"/>
      <c r="P2704" s="178"/>
    </row>
    <row r="2705" spans="2:16" ht="15.75" customHeight="1">
      <c r="B2705" s="618"/>
      <c r="H2705" s="178"/>
      <c r="I2705" s="179"/>
      <c r="J2705" s="184"/>
      <c r="N2705" s="178"/>
      <c r="O2705" s="178"/>
      <c r="P2705" s="178"/>
    </row>
    <row r="2706" spans="2:16" ht="15.75" customHeight="1">
      <c r="B2706" s="618"/>
      <c r="H2706" s="178"/>
      <c r="I2706" s="179"/>
      <c r="J2706" s="184"/>
      <c r="N2706" s="178"/>
      <c r="O2706" s="178"/>
      <c r="P2706" s="178"/>
    </row>
    <row r="2707" spans="2:16" ht="15.75" customHeight="1">
      <c r="B2707" s="618"/>
      <c r="H2707" s="178"/>
      <c r="I2707" s="179"/>
      <c r="J2707" s="184"/>
      <c r="N2707" s="178"/>
      <c r="O2707" s="178"/>
      <c r="P2707" s="178"/>
    </row>
    <row r="2708" spans="2:16" ht="15.75" customHeight="1">
      <c r="B2708" s="618"/>
      <c r="H2708" s="178"/>
      <c r="I2708" s="179"/>
      <c r="J2708" s="184"/>
      <c r="N2708" s="178"/>
      <c r="O2708" s="178"/>
      <c r="P2708" s="178"/>
    </row>
    <row r="2709" spans="2:16" ht="15.75" customHeight="1">
      <c r="B2709" s="618"/>
      <c r="H2709" s="178"/>
      <c r="I2709" s="179"/>
      <c r="J2709" s="184"/>
      <c r="N2709" s="178"/>
      <c r="O2709" s="178"/>
      <c r="P2709" s="178"/>
    </row>
    <row r="2710" spans="2:16" ht="15.75" customHeight="1">
      <c r="B2710" s="618"/>
      <c r="H2710" s="178"/>
      <c r="I2710" s="179"/>
      <c r="J2710" s="184"/>
      <c r="N2710" s="178"/>
      <c r="O2710" s="178"/>
      <c r="P2710" s="178"/>
    </row>
    <row r="2711" spans="2:16" ht="15.75" customHeight="1">
      <c r="B2711" s="618"/>
      <c r="H2711" s="178"/>
      <c r="I2711" s="179"/>
      <c r="J2711" s="184"/>
      <c r="N2711" s="178"/>
      <c r="O2711" s="178"/>
      <c r="P2711" s="178"/>
    </row>
    <row r="2712" spans="2:16" ht="15.75" customHeight="1">
      <c r="B2712" s="618"/>
      <c r="H2712" s="178"/>
      <c r="I2712" s="179"/>
      <c r="J2712" s="184"/>
      <c r="N2712" s="178"/>
      <c r="O2712" s="178"/>
      <c r="P2712" s="178"/>
    </row>
    <row r="2713" spans="2:16" ht="15.75" customHeight="1">
      <c r="B2713" s="618"/>
      <c r="H2713" s="178"/>
      <c r="I2713" s="179"/>
      <c r="J2713" s="184"/>
      <c r="N2713" s="178"/>
      <c r="O2713" s="178"/>
      <c r="P2713" s="178"/>
    </row>
    <row r="2714" spans="2:16" ht="15.75" customHeight="1">
      <c r="B2714" s="618"/>
      <c r="H2714" s="178"/>
      <c r="I2714" s="179"/>
      <c r="J2714" s="184"/>
      <c r="N2714" s="178"/>
      <c r="O2714" s="178"/>
      <c r="P2714" s="178"/>
    </row>
    <row r="2715" spans="2:16" ht="15.75" customHeight="1">
      <c r="B2715" s="618"/>
      <c r="H2715" s="178"/>
      <c r="I2715" s="179"/>
      <c r="J2715" s="184"/>
      <c r="N2715" s="178"/>
      <c r="O2715" s="178"/>
      <c r="P2715" s="178"/>
    </row>
    <row r="2716" spans="2:16" ht="15.75" customHeight="1">
      <c r="B2716" s="618"/>
      <c r="H2716" s="178"/>
      <c r="I2716" s="179"/>
      <c r="J2716" s="184"/>
      <c r="N2716" s="178"/>
      <c r="O2716" s="178"/>
      <c r="P2716" s="178"/>
    </row>
    <row r="2717" spans="2:16" ht="15.75" customHeight="1">
      <c r="B2717" s="618"/>
      <c r="H2717" s="178"/>
      <c r="I2717" s="179"/>
      <c r="J2717" s="184"/>
      <c r="N2717" s="178"/>
      <c r="O2717" s="178"/>
      <c r="P2717" s="178"/>
    </row>
    <row r="2718" spans="2:16" ht="15.75" customHeight="1">
      <c r="B2718" s="618"/>
      <c r="H2718" s="178"/>
      <c r="I2718" s="179"/>
      <c r="J2718" s="184"/>
      <c r="N2718" s="178"/>
      <c r="O2718" s="178"/>
      <c r="P2718" s="178"/>
    </row>
    <row r="2719" spans="2:16" ht="15.75" customHeight="1">
      <c r="B2719" s="618"/>
      <c r="H2719" s="178"/>
      <c r="I2719" s="179"/>
      <c r="J2719" s="184"/>
      <c r="N2719" s="178"/>
      <c r="O2719" s="178"/>
      <c r="P2719" s="178"/>
    </row>
    <row r="2720" spans="2:16" ht="15.75" customHeight="1">
      <c r="B2720" s="618"/>
      <c r="H2720" s="178"/>
      <c r="I2720" s="179"/>
      <c r="J2720" s="184"/>
      <c r="N2720" s="178"/>
      <c r="O2720" s="178"/>
      <c r="P2720" s="178"/>
    </row>
    <row r="2721" spans="2:16" ht="15.75" customHeight="1">
      <c r="B2721" s="618"/>
      <c r="H2721" s="178"/>
      <c r="I2721" s="179"/>
      <c r="J2721" s="184"/>
      <c r="N2721" s="178"/>
      <c r="O2721" s="178"/>
      <c r="P2721" s="178"/>
    </row>
    <row r="2722" spans="2:16" ht="15.75" customHeight="1">
      <c r="B2722" s="618"/>
      <c r="H2722" s="178"/>
      <c r="I2722" s="179"/>
      <c r="J2722" s="184"/>
      <c r="N2722" s="178"/>
      <c r="O2722" s="178"/>
      <c r="P2722" s="178"/>
    </row>
    <row r="2723" spans="2:16" ht="15.75" customHeight="1">
      <c r="B2723" s="618"/>
      <c r="H2723" s="178"/>
      <c r="I2723" s="179"/>
      <c r="J2723" s="184"/>
      <c r="N2723" s="178"/>
      <c r="O2723" s="178"/>
      <c r="P2723" s="178"/>
    </row>
    <row r="2724" spans="2:16" ht="15.75" customHeight="1">
      <c r="B2724" s="618"/>
      <c r="H2724" s="178"/>
      <c r="I2724" s="179"/>
      <c r="J2724" s="184"/>
      <c r="N2724" s="178"/>
      <c r="O2724" s="178"/>
      <c r="P2724" s="178"/>
    </row>
    <row r="2725" spans="2:16" ht="15.75" customHeight="1">
      <c r="B2725" s="618"/>
      <c r="H2725" s="178"/>
      <c r="I2725" s="179"/>
      <c r="J2725" s="184"/>
      <c r="N2725" s="178"/>
      <c r="O2725" s="178"/>
      <c r="P2725" s="178"/>
    </row>
    <row r="2726" spans="2:16" ht="15.75" customHeight="1">
      <c r="B2726" s="618"/>
      <c r="H2726" s="178"/>
      <c r="I2726" s="179"/>
      <c r="J2726" s="184"/>
      <c r="N2726" s="178"/>
      <c r="O2726" s="178"/>
      <c r="P2726" s="178"/>
    </row>
    <row r="2727" spans="2:16" ht="15.75" customHeight="1">
      <c r="B2727" s="618"/>
      <c r="H2727" s="178"/>
      <c r="I2727" s="179"/>
      <c r="J2727" s="184"/>
      <c r="N2727" s="178"/>
      <c r="O2727" s="178"/>
      <c r="P2727" s="178"/>
    </row>
    <row r="2728" spans="2:16" ht="15.75" customHeight="1">
      <c r="B2728" s="618"/>
      <c r="H2728" s="178"/>
      <c r="I2728" s="179"/>
      <c r="J2728" s="184"/>
      <c r="N2728" s="178"/>
      <c r="O2728" s="178"/>
      <c r="P2728" s="178"/>
    </row>
    <row r="2729" spans="2:16" ht="15.75" customHeight="1">
      <c r="B2729" s="618"/>
      <c r="H2729" s="178"/>
      <c r="I2729" s="179"/>
      <c r="J2729" s="184"/>
      <c r="N2729" s="178"/>
      <c r="O2729" s="178"/>
      <c r="P2729" s="178"/>
    </row>
    <row r="2730" spans="2:16" ht="15.75" customHeight="1">
      <c r="B2730" s="618"/>
      <c r="H2730" s="178"/>
      <c r="I2730" s="179"/>
      <c r="J2730" s="184"/>
      <c r="N2730" s="178"/>
      <c r="O2730" s="178"/>
      <c r="P2730" s="178"/>
    </row>
    <row r="2731" spans="2:16" ht="15.75" customHeight="1">
      <c r="B2731" s="618"/>
      <c r="H2731" s="178"/>
      <c r="I2731" s="179"/>
      <c r="J2731" s="184"/>
      <c r="N2731" s="178"/>
      <c r="O2731" s="178"/>
      <c r="P2731" s="178"/>
    </row>
    <row r="2732" spans="2:16" ht="15.75" customHeight="1">
      <c r="B2732" s="618"/>
      <c r="H2732" s="178"/>
      <c r="I2732" s="179"/>
      <c r="J2732" s="184"/>
      <c r="N2732" s="178"/>
      <c r="O2732" s="178"/>
      <c r="P2732" s="178"/>
    </row>
    <row r="2733" spans="2:16" ht="15.75" customHeight="1">
      <c r="B2733" s="618"/>
      <c r="H2733" s="178"/>
      <c r="I2733" s="179"/>
      <c r="J2733" s="184"/>
      <c r="N2733" s="178"/>
      <c r="O2733" s="178"/>
      <c r="P2733" s="178"/>
    </row>
    <row r="2734" spans="2:16" ht="15.75" customHeight="1">
      <c r="B2734" s="618"/>
      <c r="H2734" s="178"/>
      <c r="I2734" s="179"/>
      <c r="J2734" s="184"/>
      <c r="N2734" s="178"/>
      <c r="O2734" s="178"/>
      <c r="P2734" s="178"/>
    </row>
    <row r="2735" spans="2:16" ht="15.75" customHeight="1">
      <c r="B2735" s="618"/>
      <c r="H2735" s="178"/>
      <c r="I2735" s="179"/>
      <c r="J2735" s="184"/>
      <c r="N2735" s="178"/>
      <c r="O2735" s="178"/>
      <c r="P2735" s="178"/>
    </row>
    <row r="2736" spans="2:16" ht="15.75" customHeight="1">
      <c r="B2736" s="618"/>
      <c r="H2736" s="178"/>
      <c r="I2736" s="179"/>
      <c r="J2736" s="184"/>
      <c r="N2736" s="178"/>
      <c r="O2736" s="178"/>
      <c r="P2736" s="178"/>
    </row>
    <row r="2737" spans="2:16" ht="15.75" customHeight="1">
      <c r="B2737" s="618"/>
      <c r="H2737" s="178"/>
      <c r="I2737" s="179"/>
      <c r="J2737" s="184"/>
      <c r="N2737" s="178"/>
      <c r="O2737" s="178"/>
      <c r="P2737" s="178"/>
    </row>
    <row r="2738" spans="2:16" ht="15.75" customHeight="1">
      <c r="B2738" s="618"/>
      <c r="H2738" s="178"/>
      <c r="I2738" s="179"/>
      <c r="J2738" s="184"/>
      <c r="N2738" s="178"/>
      <c r="O2738" s="178"/>
      <c r="P2738" s="178"/>
    </row>
    <row r="2739" spans="2:16" ht="15.75" customHeight="1">
      <c r="B2739" s="618"/>
      <c r="H2739" s="178"/>
      <c r="I2739" s="179"/>
      <c r="J2739" s="184"/>
      <c r="N2739" s="178"/>
      <c r="O2739" s="178"/>
      <c r="P2739" s="178"/>
    </row>
    <row r="2740" spans="2:16" ht="15.75" customHeight="1">
      <c r="B2740" s="618"/>
      <c r="H2740" s="178"/>
      <c r="I2740" s="179"/>
      <c r="J2740" s="184"/>
      <c r="N2740" s="178"/>
      <c r="O2740" s="178"/>
      <c r="P2740" s="178"/>
    </row>
    <row r="2741" spans="2:16" ht="15.75" customHeight="1">
      <c r="B2741" s="618"/>
      <c r="H2741" s="178"/>
      <c r="I2741" s="179"/>
      <c r="J2741" s="184"/>
      <c r="N2741" s="178"/>
      <c r="O2741" s="178"/>
      <c r="P2741" s="178"/>
    </row>
    <row r="2742" spans="2:16" ht="15.75" customHeight="1">
      <c r="B2742" s="618"/>
      <c r="H2742" s="178"/>
      <c r="I2742" s="179"/>
      <c r="J2742" s="184"/>
      <c r="N2742" s="178"/>
      <c r="O2742" s="178"/>
      <c r="P2742" s="178"/>
    </row>
    <row r="2743" spans="2:16" ht="15.75" customHeight="1">
      <c r="B2743" s="618"/>
      <c r="H2743" s="178"/>
      <c r="I2743" s="179"/>
      <c r="J2743" s="184"/>
      <c r="N2743" s="178"/>
      <c r="O2743" s="178"/>
      <c r="P2743" s="178"/>
    </row>
    <row r="2744" spans="2:16" ht="15.75" customHeight="1">
      <c r="B2744" s="618"/>
      <c r="H2744" s="178"/>
      <c r="I2744" s="179"/>
      <c r="J2744" s="184"/>
      <c r="N2744" s="178"/>
      <c r="O2744" s="178"/>
      <c r="P2744" s="178"/>
    </row>
    <row r="2745" spans="2:16" ht="15.75" customHeight="1">
      <c r="B2745" s="618"/>
      <c r="H2745" s="178"/>
      <c r="I2745" s="179"/>
      <c r="J2745" s="184"/>
      <c r="N2745" s="178"/>
      <c r="O2745" s="178"/>
      <c r="P2745" s="178"/>
    </row>
    <row r="2746" spans="2:16" ht="15.75" customHeight="1">
      <c r="B2746" s="618"/>
      <c r="H2746" s="178"/>
      <c r="I2746" s="179"/>
      <c r="J2746" s="184"/>
      <c r="N2746" s="178"/>
      <c r="O2746" s="178"/>
      <c r="P2746" s="178"/>
    </row>
    <row r="2747" spans="2:16" ht="15.75" customHeight="1">
      <c r="B2747" s="618"/>
      <c r="H2747" s="178"/>
      <c r="I2747" s="179"/>
      <c r="J2747" s="184"/>
      <c r="N2747" s="178"/>
      <c r="O2747" s="178"/>
      <c r="P2747" s="178"/>
    </row>
    <row r="2748" spans="2:16" ht="15.75" customHeight="1">
      <c r="B2748" s="618"/>
      <c r="H2748" s="178"/>
      <c r="I2748" s="179"/>
      <c r="J2748" s="184"/>
      <c r="N2748" s="178"/>
      <c r="O2748" s="178"/>
      <c r="P2748" s="178"/>
    </row>
    <row r="2749" spans="2:16" ht="15.75" customHeight="1">
      <c r="B2749" s="618"/>
      <c r="H2749" s="178"/>
      <c r="I2749" s="179"/>
      <c r="J2749" s="184"/>
      <c r="N2749" s="178"/>
      <c r="O2749" s="178"/>
      <c r="P2749" s="178"/>
    </row>
    <row r="2750" spans="2:16" ht="15.75" customHeight="1">
      <c r="B2750" s="618"/>
      <c r="H2750" s="178"/>
      <c r="I2750" s="179"/>
      <c r="J2750" s="184"/>
      <c r="N2750" s="178"/>
      <c r="O2750" s="178"/>
      <c r="P2750" s="178"/>
    </row>
    <row r="2751" spans="2:16" ht="15.75" customHeight="1">
      <c r="B2751" s="618"/>
      <c r="H2751" s="178"/>
      <c r="I2751" s="179"/>
      <c r="J2751" s="184"/>
      <c r="N2751" s="178"/>
      <c r="O2751" s="178"/>
      <c r="P2751" s="178"/>
    </row>
    <row r="2752" spans="2:16" ht="15.75" customHeight="1">
      <c r="B2752" s="618"/>
      <c r="H2752" s="178"/>
      <c r="I2752" s="179"/>
      <c r="J2752" s="184"/>
      <c r="N2752" s="178"/>
      <c r="O2752" s="178"/>
      <c r="P2752" s="178"/>
    </row>
    <row r="2753" spans="2:16" ht="15.75" customHeight="1">
      <c r="B2753" s="618"/>
      <c r="H2753" s="178"/>
      <c r="I2753" s="179"/>
      <c r="J2753" s="184"/>
      <c r="N2753" s="178"/>
      <c r="O2753" s="178"/>
      <c r="P2753" s="178"/>
    </row>
    <row r="2754" spans="2:16" ht="15.75" customHeight="1">
      <c r="B2754" s="618"/>
      <c r="H2754" s="178"/>
      <c r="I2754" s="179"/>
      <c r="J2754" s="184"/>
      <c r="N2754" s="178"/>
      <c r="O2754" s="178"/>
      <c r="P2754" s="178"/>
    </row>
    <row r="2755" spans="2:16" ht="15.75" customHeight="1">
      <c r="B2755" s="618"/>
      <c r="H2755" s="178"/>
      <c r="I2755" s="179"/>
      <c r="J2755" s="184"/>
      <c r="N2755" s="178"/>
      <c r="O2755" s="178"/>
      <c r="P2755" s="178"/>
    </row>
    <row r="2756" spans="2:16" ht="15.75" customHeight="1">
      <c r="B2756" s="618"/>
      <c r="H2756" s="178"/>
      <c r="I2756" s="179"/>
      <c r="J2756" s="184"/>
      <c r="N2756" s="178"/>
      <c r="O2756" s="178"/>
      <c r="P2756" s="178"/>
    </row>
    <row r="2757" spans="2:16" ht="15.75" customHeight="1">
      <c r="B2757" s="618"/>
      <c r="H2757" s="178"/>
      <c r="I2757" s="179"/>
      <c r="J2757" s="184"/>
      <c r="N2757" s="178"/>
      <c r="O2757" s="178"/>
      <c r="P2757" s="178"/>
    </row>
    <row r="2758" spans="2:16" ht="15.75" customHeight="1">
      <c r="B2758" s="618"/>
      <c r="H2758" s="178"/>
      <c r="I2758" s="179"/>
      <c r="J2758" s="184"/>
      <c r="N2758" s="178"/>
      <c r="O2758" s="178"/>
      <c r="P2758" s="178"/>
    </row>
    <row r="2759" spans="2:16" ht="15.75" customHeight="1">
      <c r="B2759" s="618"/>
      <c r="H2759" s="178"/>
      <c r="I2759" s="179"/>
      <c r="J2759" s="184"/>
      <c r="N2759" s="178"/>
      <c r="O2759" s="178"/>
      <c r="P2759" s="178"/>
    </row>
    <row r="2760" spans="2:16" ht="15.75" customHeight="1">
      <c r="B2760" s="618"/>
      <c r="H2760" s="178"/>
      <c r="I2760" s="179"/>
      <c r="J2760" s="184"/>
      <c r="N2760" s="178"/>
      <c r="O2760" s="178"/>
      <c r="P2760" s="178"/>
    </row>
    <row r="2761" spans="2:16" ht="15.75" customHeight="1">
      <c r="B2761" s="618"/>
      <c r="H2761" s="178"/>
      <c r="I2761" s="179"/>
      <c r="J2761" s="184"/>
      <c r="N2761" s="178"/>
      <c r="O2761" s="178"/>
      <c r="P2761" s="178"/>
    </row>
    <row r="2762" spans="2:16" ht="15.75" customHeight="1">
      <c r="B2762" s="618"/>
      <c r="H2762" s="178"/>
      <c r="I2762" s="179"/>
      <c r="J2762" s="184"/>
      <c r="N2762" s="178"/>
      <c r="O2762" s="178"/>
      <c r="P2762" s="178"/>
    </row>
    <row r="2763" spans="2:16" ht="15.75" customHeight="1">
      <c r="B2763" s="618"/>
      <c r="H2763" s="178"/>
      <c r="I2763" s="179"/>
      <c r="J2763" s="184"/>
      <c r="N2763" s="178"/>
      <c r="O2763" s="178"/>
      <c r="P2763" s="178"/>
    </row>
    <row r="2764" spans="2:16" ht="15.75" customHeight="1">
      <c r="B2764" s="618"/>
      <c r="H2764" s="178"/>
      <c r="I2764" s="179"/>
      <c r="J2764" s="184"/>
      <c r="N2764" s="178"/>
      <c r="O2764" s="178"/>
      <c r="P2764" s="178"/>
    </row>
    <row r="2765" spans="2:16" ht="15.75" customHeight="1">
      <c r="B2765" s="618"/>
      <c r="H2765" s="178"/>
      <c r="I2765" s="179"/>
      <c r="J2765" s="184"/>
      <c r="N2765" s="178"/>
      <c r="O2765" s="178"/>
      <c r="P2765" s="178"/>
    </row>
    <row r="2766" spans="2:16" ht="15.75" customHeight="1">
      <c r="B2766" s="618"/>
      <c r="H2766" s="178"/>
      <c r="I2766" s="179"/>
      <c r="J2766" s="184"/>
      <c r="N2766" s="178"/>
      <c r="O2766" s="178"/>
      <c r="P2766" s="178"/>
    </row>
    <row r="2767" spans="2:16" ht="15.75" customHeight="1">
      <c r="B2767" s="618"/>
      <c r="H2767" s="178"/>
      <c r="I2767" s="179"/>
      <c r="J2767" s="184"/>
      <c r="N2767" s="178"/>
      <c r="O2767" s="178"/>
      <c r="P2767" s="178"/>
    </row>
    <row r="2768" spans="2:16" ht="15.75" customHeight="1">
      <c r="B2768" s="618"/>
      <c r="H2768" s="178"/>
      <c r="I2768" s="179"/>
      <c r="J2768" s="184"/>
      <c r="N2768" s="178"/>
      <c r="O2768" s="178"/>
      <c r="P2768" s="178"/>
    </row>
    <row r="2769" spans="2:16" ht="15.75" customHeight="1">
      <c r="B2769" s="618"/>
      <c r="H2769" s="178"/>
      <c r="I2769" s="179"/>
      <c r="J2769" s="184"/>
      <c r="N2769" s="178"/>
      <c r="O2769" s="178"/>
      <c r="P2769" s="178"/>
    </row>
    <row r="2770" spans="2:16" ht="15.75" customHeight="1">
      <c r="B2770" s="618"/>
      <c r="H2770" s="178"/>
      <c r="I2770" s="179"/>
      <c r="J2770" s="184"/>
      <c r="N2770" s="178"/>
      <c r="O2770" s="178"/>
      <c r="P2770" s="178"/>
    </row>
    <row r="2771" spans="2:16" ht="15.75" customHeight="1">
      <c r="B2771" s="618"/>
      <c r="H2771" s="178"/>
      <c r="I2771" s="179"/>
      <c r="J2771" s="184"/>
      <c r="N2771" s="178"/>
      <c r="O2771" s="178"/>
      <c r="P2771" s="178"/>
    </row>
    <row r="2772" spans="2:16" ht="15.75" customHeight="1">
      <c r="B2772" s="618"/>
      <c r="H2772" s="178"/>
      <c r="I2772" s="179"/>
      <c r="J2772" s="184"/>
      <c r="N2772" s="178"/>
      <c r="O2772" s="178"/>
      <c r="P2772" s="178"/>
    </row>
    <row r="2773" spans="2:16" ht="15.75" customHeight="1">
      <c r="B2773" s="618"/>
      <c r="H2773" s="178"/>
      <c r="I2773" s="179"/>
      <c r="J2773" s="184"/>
      <c r="N2773" s="178"/>
      <c r="O2773" s="178"/>
      <c r="P2773" s="178"/>
    </row>
    <row r="2774" spans="2:16" ht="15.75" customHeight="1">
      <c r="B2774" s="618"/>
      <c r="H2774" s="178"/>
      <c r="I2774" s="179"/>
      <c r="J2774" s="184"/>
      <c r="N2774" s="178"/>
      <c r="O2774" s="178"/>
      <c r="P2774" s="178"/>
    </row>
    <row r="2775" spans="2:16" ht="15.75" customHeight="1">
      <c r="B2775" s="618"/>
      <c r="H2775" s="178"/>
      <c r="I2775" s="179"/>
      <c r="J2775" s="184"/>
      <c r="N2775" s="178"/>
      <c r="O2775" s="178"/>
      <c r="P2775" s="178"/>
    </row>
    <row r="2776" spans="2:16" ht="15.75" customHeight="1">
      <c r="B2776" s="618"/>
      <c r="H2776" s="178"/>
      <c r="I2776" s="179"/>
      <c r="J2776" s="184"/>
      <c r="N2776" s="178"/>
      <c r="O2776" s="178"/>
      <c r="P2776" s="178"/>
    </row>
    <row r="2777" spans="2:16" ht="15.75" customHeight="1">
      <c r="B2777" s="618"/>
      <c r="H2777" s="178"/>
      <c r="I2777" s="179"/>
      <c r="J2777" s="184"/>
      <c r="N2777" s="178"/>
      <c r="O2777" s="178"/>
      <c r="P2777" s="178"/>
    </row>
    <row r="2778" spans="2:16" ht="15.75" customHeight="1">
      <c r="B2778" s="618"/>
      <c r="H2778" s="178"/>
      <c r="I2778" s="179"/>
      <c r="J2778" s="184"/>
      <c r="N2778" s="178"/>
      <c r="O2778" s="178"/>
      <c r="P2778" s="178"/>
    </row>
    <row r="2779" spans="2:16" ht="15.75" customHeight="1">
      <c r="B2779" s="618"/>
      <c r="H2779" s="178"/>
      <c r="I2779" s="179"/>
      <c r="J2779" s="184"/>
      <c r="N2779" s="178"/>
      <c r="O2779" s="178"/>
      <c r="P2779" s="178"/>
    </row>
    <row r="2780" spans="2:16" ht="15.75" customHeight="1">
      <c r="B2780" s="618"/>
      <c r="H2780" s="178"/>
      <c r="I2780" s="179"/>
      <c r="J2780" s="184"/>
      <c r="N2780" s="178"/>
      <c r="O2780" s="178"/>
      <c r="P2780" s="178"/>
    </row>
    <row r="2781" spans="2:16" ht="15.75" customHeight="1">
      <c r="B2781" s="618"/>
      <c r="H2781" s="178"/>
      <c r="I2781" s="179"/>
      <c r="J2781" s="184"/>
      <c r="N2781" s="178"/>
      <c r="O2781" s="178"/>
      <c r="P2781" s="178"/>
    </row>
    <row r="2782" spans="2:16" ht="15.75" customHeight="1">
      <c r="B2782" s="618"/>
      <c r="H2782" s="178"/>
      <c r="I2782" s="179"/>
      <c r="J2782" s="184"/>
      <c r="N2782" s="178"/>
      <c r="O2782" s="178"/>
      <c r="P2782" s="178"/>
    </row>
    <row r="2783" spans="2:16" ht="15.75" customHeight="1">
      <c r="B2783" s="618"/>
      <c r="H2783" s="178"/>
      <c r="I2783" s="179"/>
      <c r="J2783" s="184"/>
      <c r="N2783" s="178"/>
      <c r="O2783" s="178"/>
      <c r="P2783" s="178"/>
    </row>
    <row r="2784" spans="2:16" ht="15.75" customHeight="1">
      <c r="B2784" s="618"/>
      <c r="H2784" s="178"/>
      <c r="I2784" s="179"/>
      <c r="J2784" s="184"/>
      <c r="N2784" s="178"/>
      <c r="O2784" s="178"/>
      <c r="P2784" s="178"/>
    </row>
    <row r="2785" spans="2:16" ht="15.75" customHeight="1">
      <c r="B2785" s="618"/>
      <c r="H2785" s="178"/>
      <c r="I2785" s="179"/>
      <c r="J2785" s="184"/>
      <c r="N2785" s="178"/>
      <c r="O2785" s="178"/>
      <c r="P2785" s="178"/>
    </row>
    <row r="2786" spans="2:16" ht="15.75" customHeight="1">
      <c r="B2786" s="618"/>
      <c r="H2786" s="178"/>
      <c r="I2786" s="179"/>
      <c r="J2786" s="184"/>
      <c r="N2786" s="178"/>
      <c r="O2786" s="178"/>
      <c r="P2786" s="178"/>
    </row>
    <row r="2787" spans="2:16" ht="15.75" customHeight="1">
      <c r="B2787" s="618"/>
      <c r="H2787" s="178"/>
      <c r="I2787" s="179"/>
      <c r="J2787" s="184"/>
      <c r="N2787" s="178"/>
      <c r="O2787" s="178"/>
      <c r="P2787" s="178"/>
    </row>
    <row r="2788" spans="2:16" ht="15.75" customHeight="1">
      <c r="B2788" s="618"/>
      <c r="H2788" s="178"/>
      <c r="I2788" s="179"/>
      <c r="J2788" s="184"/>
      <c r="N2788" s="178"/>
      <c r="O2788" s="178"/>
      <c r="P2788" s="178"/>
    </row>
    <row r="2789" spans="2:16" ht="15.75" customHeight="1">
      <c r="B2789" s="618"/>
      <c r="H2789" s="178"/>
      <c r="I2789" s="179"/>
      <c r="J2789" s="184"/>
      <c r="N2789" s="178"/>
      <c r="O2789" s="178"/>
      <c r="P2789" s="178"/>
    </row>
    <row r="2790" spans="2:16" ht="15.75" customHeight="1">
      <c r="B2790" s="618"/>
      <c r="H2790" s="178"/>
      <c r="I2790" s="179"/>
      <c r="J2790" s="184"/>
      <c r="N2790" s="178"/>
      <c r="O2790" s="178"/>
      <c r="P2790" s="178"/>
    </row>
    <row r="2791" spans="2:16" ht="15.75" customHeight="1">
      <c r="B2791" s="618"/>
      <c r="H2791" s="178"/>
      <c r="I2791" s="179"/>
      <c r="J2791" s="184"/>
      <c r="N2791" s="178"/>
      <c r="O2791" s="178"/>
      <c r="P2791" s="178"/>
    </row>
    <row r="2792" spans="2:16" ht="15.75" customHeight="1">
      <c r="B2792" s="618"/>
      <c r="H2792" s="178"/>
      <c r="I2792" s="179"/>
      <c r="J2792" s="184"/>
      <c r="N2792" s="178"/>
      <c r="O2792" s="178"/>
      <c r="P2792" s="178"/>
    </row>
    <row r="2793" spans="2:16" ht="15.75" customHeight="1">
      <c r="B2793" s="618"/>
      <c r="H2793" s="178"/>
      <c r="I2793" s="179"/>
      <c r="J2793" s="184"/>
      <c r="N2793" s="178"/>
      <c r="O2793" s="178"/>
      <c r="P2793" s="178"/>
    </row>
    <row r="2794" spans="2:16" ht="15.75" customHeight="1">
      <c r="B2794" s="618"/>
      <c r="H2794" s="178"/>
      <c r="I2794" s="179"/>
      <c r="J2794" s="184"/>
      <c r="N2794" s="178"/>
      <c r="O2794" s="178"/>
      <c r="P2794" s="178"/>
    </row>
    <row r="2795" spans="2:16" ht="15.75" customHeight="1">
      <c r="B2795" s="618"/>
      <c r="H2795" s="178"/>
      <c r="I2795" s="179"/>
      <c r="J2795" s="184"/>
      <c r="N2795" s="178"/>
      <c r="O2795" s="178"/>
      <c r="P2795" s="178"/>
    </row>
    <row r="2796" spans="2:16" ht="15.75" customHeight="1">
      <c r="B2796" s="618"/>
      <c r="H2796" s="178"/>
      <c r="I2796" s="179"/>
      <c r="J2796" s="184"/>
      <c r="N2796" s="178"/>
      <c r="O2796" s="178"/>
      <c r="P2796" s="178"/>
    </row>
    <row r="2797" spans="2:16" ht="15.75" customHeight="1">
      <c r="B2797" s="618"/>
      <c r="H2797" s="178"/>
      <c r="I2797" s="179"/>
      <c r="J2797" s="184"/>
      <c r="N2797" s="178"/>
      <c r="O2797" s="178"/>
      <c r="P2797" s="178"/>
    </row>
    <row r="2798" spans="2:16" ht="15.75" customHeight="1">
      <c r="B2798" s="618"/>
      <c r="H2798" s="178"/>
      <c r="I2798" s="179"/>
      <c r="J2798" s="184"/>
      <c r="N2798" s="178"/>
      <c r="O2798" s="178"/>
      <c r="P2798" s="178"/>
    </row>
    <row r="2799" spans="2:16" ht="15.75" customHeight="1">
      <c r="B2799" s="618"/>
      <c r="H2799" s="178"/>
      <c r="I2799" s="179"/>
      <c r="J2799" s="184"/>
      <c r="N2799" s="178"/>
      <c r="O2799" s="178"/>
      <c r="P2799" s="178"/>
    </row>
    <row r="2800" spans="2:16" ht="15.75" customHeight="1">
      <c r="B2800" s="618"/>
      <c r="H2800" s="178"/>
      <c r="I2800" s="179"/>
      <c r="J2800" s="184"/>
      <c r="N2800" s="178"/>
      <c r="O2800" s="178"/>
      <c r="P2800" s="178"/>
    </row>
    <row r="2801" spans="2:16" ht="15.75" customHeight="1">
      <c r="B2801" s="618"/>
      <c r="H2801" s="178"/>
      <c r="I2801" s="179"/>
      <c r="J2801" s="184"/>
      <c r="N2801" s="178"/>
      <c r="O2801" s="178"/>
      <c r="P2801" s="178"/>
    </row>
    <row r="2802" spans="2:16" ht="15.75" customHeight="1">
      <c r="B2802" s="618"/>
      <c r="H2802" s="178"/>
      <c r="I2802" s="179"/>
      <c r="J2802" s="184"/>
      <c r="N2802" s="178"/>
      <c r="O2802" s="178"/>
      <c r="P2802" s="178"/>
    </row>
    <row r="2803" spans="2:16" ht="15.75" customHeight="1">
      <c r="B2803" s="618"/>
      <c r="H2803" s="178"/>
      <c r="I2803" s="179"/>
      <c r="J2803" s="184"/>
      <c r="N2803" s="178"/>
      <c r="O2803" s="178"/>
      <c r="P2803" s="178"/>
    </row>
    <row r="2804" spans="2:16" ht="15.75" customHeight="1">
      <c r="B2804" s="618"/>
      <c r="H2804" s="178"/>
      <c r="I2804" s="179"/>
      <c r="J2804" s="184"/>
      <c r="N2804" s="178"/>
      <c r="O2804" s="178"/>
      <c r="P2804" s="178"/>
    </row>
    <row r="2805" spans="2:16" ht="15.75" customHeight="1">
      <c r="B2805" s="618"/>
      <c r="H2805" s="178"/>
      <c r="I2805" s="179"/>
      <c r="J2805" s="184"/>
      <c r="N2805" s="178"/>
      <c r="O2805" s="178"/>
      <c r="P2805" s="178"/>
    </row>
    <row r="2806" spans="2:16" ht="15.75" customHeight="1">
      <c r="B2806" s="618"/>
      <c r="H2806" s="178"/>
      <c r="I2806" s="179"/>
      <c r="J2806" s="184"/>
      <c r="N2806" s="178"/>
      <c r="O2806" s="178"/>
      <c r="P2806" s="178"/>
    </row>
    <row r="2807" spans="2:16" ht="15.75" customHeight="1">
      <c r="B2807" s="618"/>
      <c r="H2807" s="178"/>
      <c r="I2807" s="179"/>
      <c r="J2807" s="184"/>
      <c r="N2807" s="178"/>
      <c r="O2807" s="178"/>
      <c r="P2807" s="178"/>
    </row>
    <row r="2808" spans="2:16" ht="15.75" customHeight="1">
      <c r="B2808" s="618"/>
      <c r="H2808" s="178"/>
      <c r="I2808" s="179"/>
      <c r="J2808" s="184"/>
      <c r="N2808" s="178"/>
      <c r="O2808" s="178"/>
      <c r="P2808" s="178"/>
    </row>
    <row r="2809" spans="2:16" ht="15.75" customHeight="1">
      <c r="B2809" s="618"/>
      <c r="H2809" s="178"/>
      <c r="I2809" s="179"/>
      <c r="J2809" s="184"/>
      <c r="N2809" s="178"/>
      <c r="O2809" s="178"/>
      <c r="P2809" s="178"/>
    </row>
    <row r="2810" spans="2:16" ht="15.75" customHeight="1">
      <c r="B2810" s="618"/>
      <c r="H2810" s="178"/>
      <c r="I2810" s="179"/>
      <c r="J2810" s="184"/>
      <c r="N2810" s="178"/>
      <c r="O2810" s="178"/>
      <c r="P2810" s="178"/>
    </row>
    <row r="2811" spans="2:16" ht="15.75" customHeight="1">
      <c r="B2811" s="618"/>
      <c r="H2811" s="178"/>
      <c r="I2811" s="179"/>
      <c r="J2811" s="184"/>
      <c r="N2811" s="178"/>
      <c r="O2811" s="178"/>
      <c r="P2811" s="178"/>
    </row>
    <row r="2812" spans="2:16" ht="15.75" customHeight="1">
      <c r="B2812" s="618"/>
      <c r="H2812" s="178"/>
      <c r="I2812" s="179"/>
      <c r="J2812" s="184"/>
      <c r="N2812" s="178"/>
      <c r="O2812" s="178"/>
      <c r="P2812" s="178"/>
    </row>
    <row r="2813" spans="2:16" ht="15.75" customHeight="1">
      <c r="B2813" s="618"/>
      <c r="H2813" s="178"/>
      <c r="I2813" s="179"/>
      <c r="J2813" s="184"/>
      <c r="N2813" s="178"/>
      <c r="O2813" s="178"/>
      <c r="P2813" s="178"/>
    </row>
    <row r="2814" spans="2:16" ht="15.75" customHeight="1">
      <c r="B2814" s="618"/>
      <c r="H2814" s="178"/>
      <c r="I2814" s="179"/>
      <c r="J2814" s="184"/>
      <c r="N2814" s="178"/>
      <c r="O2814" s="178"/>
      <c r="P2814" s="178"/>
    </row>
    <row r="2815" spans="2:16" ht="15.75" customHeight="1">
      <c r="B2815" s="618"/>
      <c r="H2815" s="178"/>
      <c r="I2815" s="179"/>
      <c r="J2815" s="184"/>
      <c r="N2815" s="178"/>
      <c r="O2815" s="178"/>
      <c r="P2815" s="178"/>
    </row>
    <row r="2816" spans="2:16" ht="15.75" customHeight="1">
      <c r="B2816" s="618"/>
      <c r="H2816" s="178"/>
      <c r="I2816" s="179"/>
      <c r="J2816" s="184"/>
      <c r="N2816" s="178"/>
      <c r="O2816" s="178"/>
      <c r="P2816" s="178"/>
    </row>
    <row r="2817" spans="2:16" ht="15.75" customHeight="1">
      <c r="B2817" s="618"/>
      <c r="H2817" s="178"/>
      <c r="I2817" s="179"/>
      <c r="J2817" s="184"/>
      <c r="N2817" s="178"/>
      <c r="O2817" s="178"/>
      <c r="P2817" s="178"/>
    </row>
    <row r="2818" spans="2:16" ht="15.75" customHeight="1">
      <c r="B2818" s="618"/>
      <c r="H2818" s="178"/>
      <c r="I2818" s="179"/>
      <c r="J2818" s="184"/>
      <c r="N2818" s="178"/>
      <c r="O2818" s="178"/>
      <c r="P2818" s="178"/>
    </row>
    <row r="2819" spans="2:16" ht="15.75" customHeight="1">
      <c r="B2819" s="618"/>
      <c r="H2819" s="178"/>
      <c r="I2819" s="179"/>
      <c r="J2819" s="184"/>
      <c r="N2819" s="178"/>
      <c r="O2819" s="178"/>
      <c r="P2819" s="178"/>
    </row>
    <row r="2820" spans="2:16" ht="15.75" customHeight="1">
      <c r="B2820" s="618"/>
      <c r="H2820" s="178"/>
      <c r="I2820" s="179"/>
      <c r="J2820" s="184"/>
      <c r="N2820" s="178"/>
      <c r="O2820" s="178"/>
      <c r="P2820" s="178"/>
    </row>
    <row r="2821" spans="2:16" ht="15.75" customHeight="1">
      <c r="B2821" s="618"/>
      <c r="H2821" s="178"/>
      <c r="I2821" s="179"/>
      <c r="J2821" s="184"/>
      <c r="N2821" s="178"/>
      <c r="O2821" s="178"/>
      <c r="P2821" s="178"/>
    </row>
    <row r="2822" spans="2:16" ht="15.75" customHeight="1">
      <c r="B2822" s="618"/>
      <c r="H2822" s="178"/>
      <c r="I2822" s="179"/>
      <c r="J2822" s="184"/>
      <c r="N2822" s="178"/>
      <c r="O2822" s="178"/>
      <c r="P2822" s="178"/>
    </row>
    <row r="2823" spans="2:16" ht="15.75" customHeight="1">
      <c r="B2823" s="618"/>
      <c r="H2823" s="178"/>
      <c r="I2823" s="179"/>
      <c r="J2823" s="184"/>
      <c r="N2823" s="178"/>
      <c r="O2823" s="178"/>
      <c r="P2823" s="178"/>
    </row>
    <row r="2824" spans="2:16" ht="15.75" customHeight="1">
      <c r="B2824" s="618"/>
      <c r="H2824" s="178"/>
      <c r="I2824" s="179"/>
      <c r="J2824" s="184"/>
      <c r="N2824" s="178"/>
      <c r="O2824" s="178"/>
      <c r="P2824" s="178"/>
    </row>
    <row r="2825" spans="2:16" ht="15.75" customHeight="1">
      <c r="B2825" s="618"/>
      <c r="H2825" s="178"/>
      <c r="I2825" s="179"/>
      <c r="J2825" s="184"/>
      <c r="N2825" s="178"/>
      <c r="O2825" s="178"/>
      <c r="P2825" s="178"/>
    </row>
    <row r="2826" spans="2:16" ht="15.75" customHeight="1">
      <c r="B2826" s="618"/>
      <c r="H2826" s="178"/>
      <c r="I2826" s="179"/>
      <c r="J2826" s="184"/>
      <c r="N2826" s="178"/>
      <c r="O2826" s="178"/>
      <c r="P2826" s="178"/>
    </row>
    <row r="2827" spans="2:16" ht="15.75" customHeight="1">
      <c r="B2827" s="618"/>
      <c r="H2827" s="178"/>
      <c r="I2827" s="179"/>
      <c r="J2827" s="184"/>
      <c r="N2827" s="178"/>
      <c r="O2827" s="178"/>
      <c r="P2827" s="178"/>
    </row>
    <row r="2828" spans="2:16" ht="15.75" customHeight="1">
      <c r="B2828" s="618"/>
      <c r="H2828" s="178"/>
      <c r="I2828" s="179"/>
      <c r="J2828" s="184"/>
      <c r="N2828" s="178"/>
      <c r="O2828" s="178"/>
      <c r="P2828" s="178"/>
    </row>
    <row r="2829" spans="2:16" ht="15.75" customHeight="1">
      <c r="B2829" s="618"/>
      <c r="H2829" s="178"/>
      <c r="I2829" s="179"/>
      <c r="J2829" s="184"/>
      <c r="N2829" s="178"/>
      <c r="O2829" s="178"/>
      <c r="P2829" s="178"/>
    </row>
    <row r="2830" spans="2:16" ht="15.75" customHeight="1">
      <c r="B2830" s="618"/>
      <c r="H2830" s="178"/>
      <c r="I2830" s="179"/>
      <c r="J2830" s="184"/>
      <c r="N2830" s="178"/>
      <c r="O2830" s="178"/>
      <c r="P2830" s="178"/>
    </row>
    <row r="2831" spans="2:16" ht="15.75" customHeight="1">
      <c r="B2831" s="618"/>
      <c r="H2831" s="178"/>
      <c r="I2831" s="179"/>
      <c r="J2831" s="184"/>
      <c r="N2831" s="178"/>
      <c r="O2831" s="178"/>
      <c r="P2831" s="178"/>
    </row>
    <row r="2832" spans="2:16" ht="15.75" customHeight="1">
      <c r="B2832" s="618"/>
      <c r="H2832" s="178"/>
      <c r="I2832" s="179"/>
      <c r="J2832" s="184"/>
      <c r="N2832" s="178"/>
      <c r="O2832" s="178"/>
      <c r="P2832" s="178"/>
    </row>
    <row r="2833" spans="2:16" ht="15.75" customHeight="1">
      <c r="B2833" s="618"/>
      <c r="H2833" s="178"/>
      <c r="I2833" s="179"/>
      <c r="J2833" s="184"/>
      <c r="N2833" s="178"/>
      <c r="O2833" s="178"/>
      <c r="P2833" s="178"/>
    </row>
    <row r="2834" spans="2:16" ht="15.75" customHeight="1">
      <c r="B2834" s="618"/>
      <c r="H2834" s="178"/>
      <c r="I2834" s="179"/>
      <c r="J2834" s="184"/>
      <c r="N2834" s="178"/>
      <c r="O2834" s="178"/>
      <c r="P2834" s="178"/>
    </row>
    <row r="2835" spans="2:16" ht="15.75" customHeight="1">
      <c r="B2835" s="618"/>
      <c r="H2835" s="178"/>
      <c r="I2835" s="179"/>
      <c r="J2835" s="184"/>
      <c r="N2835" s="178"/>
      <c r="O2835" s="178"/>
      <c r="P2835" s="178"/>
    </row>
    <row r="2836" spans="2:16" ht="15.75" customHeight="1">
      <c r="B2836" s="618"/>
      <c r="H2836" s="178"/>
      <c r="I2836" s="179"/>
      <c r="J2836" s="184"/>
      <c r="N2836" s="178"/>
      <c r="O2836" s="178"/>
      <c r="P2836" s="178"/>
    </row>
    <row r="2837" spans="2:16" ht="15.75" customHeight="1">
      <c r="B2837" s="618"/>
      <c r="H2837" s="178"/>
      <c r="I2837" s="179"/>
      <c r="J2837" s="184"/>
      <c r="N2837" s="178"/>
      <c r="O2837" s="178"/>
      <c r="P2837" s="178"/>
    </row>
    <row r="2838" spans="2:16" ht="15.75" customHeight="1">
      <c r="B2838" s="618"/>
      <c r="H2838" s="178"/>
      <c r="I2838" s="179"/>
      <c r="J2838" s="184"/>
      <c r="N2838" s="178"/>
      <c r="O2838" s="178"/>
      <c r="P2838" s="178"/>
    </row>
    <row r="2839" spans="2:16" ht="15.75" customHeight="1">
      <c r="B2839" s="618"/>
      <c r="H2839" s="178"/>
      <c r="I2839" s="179"/>
      <c r="J2839" s="184"/>
      <c r="N2839" s="178"/>
      <c r="O2839" s="178"/>
      <c r="P2839" s="178"/>
    </row>
    <row r="2840" spans="2:16" ht="15.75" customHeight="1">
      <c r="B2840" s="618"/>
      <c r="H2840" s="178"/>
      <c r="I2840" s="179"/>
      <c r="J2840" s="184"/>
      <c r="N2840" s="178"/>
      <c r="O2840" s="178"/>
      <c r="P2840" s="178"/>
    </row>
    <row r="2841" spans="2:16" ht="15.75" customHeight="1">
      <c r="B2841" s="618"/>
      <c r="H2841" s="178"/>
      <c r="I2841" s="179"/>
      <c r="J2841" s="184"/>
      <c r="N2841" s="178"/>
      <c r="O2841" s="178"/>
      <c r="P2841" s="178"/>
    </row>
    <row r="2842" spans="2:16" ht="15.75" customHeight="1">
      <c r="B2842" s="618"/>
      <c r="H2842" s="178"/>
      <c r="I2842" s="179"/>
      <c r="J2842" s="184"/>
      <c r="N2842" s="178"/>
      <c r="O2842" s="178"/>
      <c r="P2842" s="178"/>
    </row>
    <row r="2843" spans="2:16" ht="15.75" customHeight="1">
      <c r="B2843" s="618"/>
      <c r="H2843" s="178"/>
      <c r="I2843" s="179"/>
      <c r="J2843" s="184"/>
      <c r="N2843" s="178"/>
      <c r="O2843" s="178"/>
      <c r="P2843" s="178"/>
    </row>
    <row r="2844" spans="2:16" ht="15.75" customHeight="1">
      <c r="B2844" s="618"/>
      <c r="H2844" s="178"/>
      <c r="I2844" s="179"/>
      <c r="J2844" s="184"/>
      <c r="N2844" s="178"/>
      <c r="O2844" s="178"/>
      <c r="P2844" s="178"/>
    </row>
    <row r="2845" spans="2:16" ht="15.75" customHeight="1">
      <c r="B2845" s="618"/>
      <c r="H2845" s="178"/>
      <c r="I2845" s="179"/>
      <c r="J2845" s="184"/>
      <c r="N2845" s="178"/>
      <c r="O2845" s="178"/>
      <c r="P2845" s="178"/>
    </row>
    <row r="2846" spans="2:16" ht="15.75" customHeight="1">
      <c r="B2846" s="618"/>
      <c r="H2846" s="178"/>
      <c r="I2846" s="179"/>
      <c r="J2846" s="184"/>
      <c r="N2846" s="178"/>
      <c r="O2846" s="178"/>
      <c r="P2846" s="178"/>
    </row>
    <row r="2847" spans="2:16" ht="15.75" customHeight="1">
      <c r="B2847" s="618"/>
      <c r="H2847" s="178"/>
      <c r="I2847" s="179"/>
      <c r="J2847" s="184"/>
      <c r="N2847" s="178"/>
      <c r="O2847" s="178"/>
      <c r="P2847" s="178"/>
    </row>
    <row r="2848" spans="2:16" ht="15.75" customHeight="1">
      <c r="B2848" s="618"/>
      <c r="H2848" s="178"/>
      <c r="I2848" s="179"/>
      <c r="J2848" s="184"/>
      <c r="N2848" s="178"/>
      <c r="O2848" s="178"/>
      <c r="P2848" s="178"/>
    </row>
    <row r="2849" spans="2:16" ht="15.75" customHeight="1">
      <c r="B2849" s="618"/>
      <c r="H2849" s="178"/>
      <c r="I2849" s="179"/>
      <c r="J2849" s="184"/>
      <c r="N2849" s="178"/>
      <c r="O2849" s="178"/>
      <c r="P2849" s="178"/>
    </row>
    <row r="2850" spans="2:16" ht="15.75" customHeight="1">
      <c r="B2850" s="618"/>
      <c r="H2850" s="178"/>
      <c r="I2850" s="179"/>
      <c r="J2850" s="184"/>
      <c r="N2850" s="178"/>
      <c r="O2850" s="178"/>
      <c r="P2850" s="178"/>
    </row>
    <row r="2851" spans="2:16" ht="15.75" customHeight="1">
      <c r="B2851" s="618"/>
      <c r="H2851" s="178"/>
      <c r="I2851" s="179"/>
      <c r="J2851" s="184"/>
      <c r="N2851" s="178"/>
      <c r="O2851" s="178"/>
      <c r="P2851" s="178"/>
    </row>
    <row r="2852" spans="2:16" ht="15.75" customHeight="1">
      <c r="B2852" s="618"/>
      <c r="H2852" s="178"/>
      <c r="I2852" s="179"/>
      <c r="J2852" s="184"/>
      <c r="N2852" s="178"/>
      <c r="O2852" s="178"/>
      <c r="P2852" s="178"/>
    </row>
    <row r="2853" spans="2:16" ht="15.75" customHeight="1">
      <c r="B2853" s="618"/>
      <c r="H2853" s="178"/>
      <c r="I2853" s="179"/>
      <c r="J2853" s="184"/>
      <c r="N2853" s="178"/>
      <c r="O2853" s="178"/>
      <c r="P2853" s="178"/>
    </row>
    <row r="2854" spans="2:16" ht="15.75" customHeight="1">
      <c r="B2854" s="618"/>
      <c r="H2854" s="178"/>
      <c r="I2854" s="179"/>
      <c r="J2854" s="184"/>
      <c r="N2854" s="178"/>
      <c r="O2854" s="178"/>
      <c r="P2854" s="178"/>
    </row>
    <row r="2855" spans="2:16" ht="15.75" customHeight="1">
      <c r="B2855" s="618"/>
      <c r="H2855" s="178"/>
      <c r="I2855" s="179"/>
      <c r="J2855" s="184"/>
      <c r="N2855" s="178"/>
      <c r="O2855" s="178"/>
      <c r="P2855" s="178"/>
    </row>
    <row r="2856" spans="2:16" ht="15.75" customHeight="1">
      <c r="B2856" s="618"/>
      <c r="H2856" s="178"/>
      <c r="I2856" s="179"/>
      <c r="J2856" s="184"/>
      <c r="N2856" s="178"/>
      <c r="O2856" s="178"/>
      <c r="P2856" s="178"/>
    </row>
    <row r="2857" spans="2:16" ht="15.75" customHeight="1">
      <c r="B2857" s="618"/>
      <c r="H2857" s="178"/>
      <c r="I2857" s="179"/>
      <c r="J2857" s="184"/>
      <c r="N2857" s="178"/>
      <c r="O2857" s="178"/>
      <c r="P2857" s="178"/>
    </row>
    <row r="2858" spans="2:16" ht="15.75" customHeight="1">
      <c r="B2858" s="618"/>
      <c r="H2858" s="178"/>
      <c r="I2858" s="179"/>
      <c r="J2858" s="184"/>
      <c r="N2858" s="178"/>
      <c r="O2858" s="178"/>
      <c r="P2858" s="178"/>
    </row>
    <row r="2859" spans="2:16" ht="15.75" customHeight="1">
      <c r="B2859" s="618"/>
      <c r="H2859" s="178"/>
      <c r="I2859" s="179"/>
      <c r="J2859" s="184"/>
      <c r="N2859" s="178"/>
      <c r="O2859" s="178"/>
      <c r="P2859" s="178"/>
    </row>
    <row r="2860" spans="2:16" ht="15.75" customHeight="1">
      <c r="B2860" s="618"/>
      <c r="H2860" s="178"/>
      <c r="I2860" s="179"/>
      <c r="J2860" s="184"/>
      <c r="N2860" s="178"/>
      <c r="O2860" s="178"/>
      <c r="P2860" s="178"/>
    </row>
    <row r="2861" spans="2:16" ht="15.75" customHeight="1">
      <c r="B2861" s="618"/>
      <c r="H2861" s="178"/>
      <c r="I2861" s="179"/>
      <c r="J2861" s="184"/>
      <c r="N2861" s="178"/>
      <c r="O2861" s="178"/>
      <c r="P2861" s="178"/>
    </row>
    <row r="2862" spans="2:16" ht="15.75" customHeight="1">
      <c r="B2862" s="618"/>
      <c r="H2862" s="178"/>
      <c r="I2862" s="179"/>
      <c r="J2862" s="184"/>
      <c r="N2862" s="178"/>
      <c r="O2862" s="178"/>
      <c r="P2862" s="178"/>
    </row>
    <row r="2863" spans="2:16" ht="15.75" customHeight="1">
      <c r="B2863" s="618"/>
      <c r="H2863" s="178"/>
      <c r="I2863" s="179"/>
      <c r="J2863" s="184"/>
      <c r="N2863" s="178"/>
      <c r="O2863" s="178"/>
      <c r="P2863" s="178"/>
    </row>
    <row r="2864" spans="2:16" ht="15.75" customHeight="1">
      <c r="B2864" s="618"/>
      <c r="H2864" s="178"/>
      <c r="I2864" s="179"/>
      <c r="J2864" s="184"/>
      <c r="N2864" s="178"/>
      <c r="O2864" s="178"/>
      <c r="P2864" s="178"/>
    </row>
    <row r="2865" spans="2:16" ht="15.75" customHeight="1">
      <c r="B2865" s="618"/>
      <c r="H2865" s="178"/>
      <c r="I2865" s="179"/>
      <c r="J2865" s="184"/>
      <c r="N2865" s="178"/>
      <c r="O2865" s="178"/>
      <c r="P2865" s="178"/>
    </row>
    <row r="2866" spans="2:16" ht="15.75" customHeight="1">
      <c r="B2866" s="618"/>
      <c r="H2866" s="178"/>
      <c r="I2866" s="179"/>
      <c r="J2866" s="184"/>
      <c r="N2866" s="178"/>
      <c r="O2866" s="178"/>
      <c r="P2866" s="178"/>
    </row>
    <row r="2867" spans="2:16" ht="15.75" customHeight="1">
      <c r="B2867" s="618"/>
      <c r="H2867" s="178"/>
      <c r="I2867" s="179"/>
      <c r="J2867" s="184"/>
      <c r="N2867" s="178"/>
      <c r="O2867" s="178"/>
      <c r="P2867" s="178"/>
    </row>
    <row r="2868" spans="2:16" ht="15.75" customHeight="1">
      <c r="B2868" s="618"/>
      <c r="H2868" s="178"/>
      <c r="I2868" s="179"/>
      <c r="J2868" s="184"/>
      <c r="N2868" s="178"/>
      <c r="O2868" s="178"/>
      <c r="P2868" s="178"/>
    </row>
    <row r="2869" spans="2:16" ht="15.75" customHeight="1">
      <c r="B2869" s="618"/>
      <c r="H2869" s="178"/>
      <c r="I2869" s="179"/>
      <c r="J2869" s="184"/>
      <c r="N2869" s="178"/>
      <c r="O2869" s="178"/>
      <c r="P2869" s="178"/>
    </row>
    <row r="2870" spans="2:16" ht="15.75" customHeight="1">
      <c r="B2870" s="618"/>
      <c r="H2870" s="178"/>
      <c r="I2870" s="179"/>
      <c r="J2870" s="184"/>
      <c r="N2870" s="178"/>
      <c r="O2870" s="178"/>
      <c r="P2870" s="178"/>
    </row>
    <row r="2871" spans="2:16" ht="15.75" customHeight="1">
      <c r="B2871" s="618"/>
      <c r="H2871" s="178"/>
      <c r="I2871" s="179"/>
      <c r="J2871" s="184"/>
      <c r="N2871" s="178"/>
      <c r="O2871" s="178"/>
      <c r="P2871" s="178"/>
    </row>
    <row r="2872" spans="2:16" ht="15.75" customHeight="1">
      <c r="B2872" s="618"/>
      <c r="H2872" s="178"/>
      <c r="I2872" s="179"/>
      <c r="J2872" s="184"/>
      <c r="N2872" s="178"/>
      <c r="O2872" s="178"/>
      <c r="P2872" s="178"/>
    </row>
    <row r="2873" spans="2:16" ht="15.75" customHeight="1">
      <c r="B2873" s="618"/>
      <c r="H2873" s="178"/>
      <c r="I2873" s="179"/>
      <c r="J2873" s="184"/>
      <c r="N2873" s="178"/>
      <c r="O2873" s="178"/>
      <c r="P2873" s="178"/>
    </row>
    <row r="2874" spans="2:16" ht="15.75" customHeight="1">
      <c r="B2874" s="618"/>
      <c r="H2874" s="178"/>
      <c r="I2874" s="179"/>
      <c r="J2874" s="184"/>
      <c r="N2874" s="178"/>
      <c r="O2874" s="178"/>
      <c r="P2874" s="178"/>
    </row>
    <row r="2875" spans="2:16" ht="15.75" customHeight="1">
      <c r="B2875" s="618"/>
      <c r="H2875" s="178"/>
      <c r="I2875" s="179"/>
      <c r="J2875" s="184"/>
      <c r="N2875" s="178"/>
      <c r="O2875" s="178"/>
      <c r="P2875" s="178"/>
    </row>
    <row r="2876" spans="2:16" ht="15.75" customHeight="1">
      <c r="B2876" s="618"/>
      <c r="H2876" s="178"/>
      <c r="I2876" s="179"/>
      <c r="J2876" s="184"/>
      <c r="N2876" s="178"/>
      <c r="O2876" s="178"/>
      <c r="P2876" s="178"/>
    </row>
    <row r="2877" spans="2:16" ht="15.75" customHeight="1">
      <c r="B2877" s="618"/>
      <c r="H2877" s="178"/>
      <c r="I2877" s="179"/>
      <c r="J2877" s="184"/>
      <c r="N2877" s="178"/>
      <c r="O2877" s="178"/>
      <c r="P2877" s="178"/>
    </row>
    <row r="2878" spans="2:16" ht="15.75" customHeight="1">
      <c r="B2878" s="618"/>
      <c r="H2878" s="178"/>
      <c r="I2878" s="179"/>
      <c r="J2878" s="184"/>
      <c r="N2878" s="178"/>
      <c r="O2878" s="178"/>
      <c r="P2878" s="178"/>
    </row>
    <row r="2879" spans="2:16" ht="15.75" customHeight="1">
      <c r="B2879" s="618"/>
      <c r="H2879" s="178"/>
      <c r="I2879" s="179"/>
      <c r="J2879" s="184"/>
      <c r="N2879" s="178"/>
      <c r="O2879" s="178"/>
      <c r="P2879" s="178"/>
    </row>
    <row r="2880" spans="2:16" ht="15.75" customHeight="1">
      <c r="B2880" s="618"/>
      <c r="H2880" s="178"/>
      <c r="I2880" s="179"/>
      <c r="J2880" s="184"/>
      <c r="N2880" s="178"/>
      <c r="O2880" s="178"/>
      <c r="P2880" s="178"/>
    </row>
    <row r="2881" spans="2:16" ht="15.75" customHeight="1">
      <c r="B2881" s="618"/>
      <c r="H2881" s="178"/>
      <c r="I2881" s="179"/>
      <c r="J2881" s="184"/>
      <c r="N2881" s="178"/>
      <c r="O2881" s="178"/>
      <c r="P2881" s="178"/>
    </row>
    <row r="2882" spans="2:16" ht="15.75" customHeight="1">
      <c r="B2882" s="618"/>
      <c r="H2882" s="178"/>
      <c r="I2882" s="179"/>
      <c r="J2882" s="184"/>
      <c r="N2882" s="178"/>
      <c r="O2882" s="178"/>
      <c r="P2882" s="178"/>
    </row>
    <row r="2883" spans="2:16" ht="15.75" customHeight="1">
      <c r="B2883" s="618"/>
      <c r="H2883" s="178"/>
      <c r="I2883" s="179"/>
      <c r="J2883" s="184"/>
      <c r="N2883" s="178"/>
      <c r="O2883" s="178"/>
      <c r="P2883" s="178"/>
    </row>
    <row r="2884" spans="2:16" ht="15.75" customHeight="1">
      <c r="B2884" s="618"/>
      <c r="H2884" s="178"/>
      <c r="I2884" s="179"/>
      <c r="J2884" s="184"/>
      <c r="N2884" s="178"/>
      <c r="O2884" s="178"/>
      <c r="P2884" s="178"/>
    </row>
    <row r="2885" spans="2:16" ht="15.75" customHeight="1">
      <c r="B2885" s="618"/>
      <c r="H2885" s="178"/>
      <c r="I2885" s="179"/>
      <c r="J2885" s="184"/>
      <c r="N2885" s="178"/>
      <c r="O2885" s="178"/>
      <c r="P2885" s="178"/>
    </row>
    <row r="2886" spans="2:16" ht="15.75" customHeight="1">
      <c r="B2886" s="618"/>
      <c r="H2886" s="178"/>
      <c r="I2886" s="179"/>
      <c r="J2886" s="184"/>
      <c r="N2886" s="178"/>
      <c r="O2886" s="178"/>
      <c r="P2886" s="178"/>
    </row>
    <row r="2887" spans="2:16" ht="15.75" customHeight="1">
      <c r="H2887" s="178"/>
      <c r="I2887" s="179"/>
      <c r="J2887" s="184"/>
      <c r="N2887" s="178"/>
      <c r="O2887" s="178"/>
      <c r="P2887" s="178"/>
    </row>
    <row r="2888" spans="2:16" ht="15.75" customHeight="1">
      <c r="H2888" s="178"/>
      <c r="I2888" s="179"/>
      <c r="J2888" s="184"/>
      <c r="N2888" s="178"/>
      <c r="O2888" s="178"/>
      <c r="P2888" s="178"/>
    </row>
    <row r="2889" spans="2:16" ht="15.75" customHeight="1">
      <c r="H2889" s="178"/>
      <c r="I2889" s="179"/>
      <c r="J2889" s="184"/>
      <c r="N2889" s="178"/>
      <c r="O2889" s="178"/>
      <c r="P2889" s="178"/>
    </row>
    <row r="2890" spans="2:16" ht="15.75" customHeight="1">
      <c r="H2890" s="178"/>
      <c r="I2890" s="179"/>
      <c r="J2890" s="184"/>
      <c r="N2890" s="178"/>
      <c r="O2890" s="178"/>
      <c r="P2890" s="178"/>
    </row>
    <row r="2891" spans="2:16" ht="15.75" customHeight="1">
      <c r="H2891" s="178"/>
      <c r="I2891" s="179"/>
      <c r="J2891" s="184"/>
      <c r="N2891" s="178"/>
      <c r="O2891" s="178"/>
      <c r="P2891" s="178"/>
    </row>
    <row r="2892" spans="2:16" ht="15.75" customHeight="1">
      <c r="H2892" s="178"/>
      <c r="I2892" s="179"/>
      <c r="J2892" s="184"/>
      <c r="N2892" s="178"/>
      <c r="O2892" s="178"/>
      <c r="P2892" s="178"/>
    </row>
    <row r="2893" spans="2:16" ht="15.75" customHeight="1">
      <c r="H2893" s="178"/>
      <c r="I2893" s="179"/>
      <c r="J2893" s="184"/>
      <c r="N2893" s="178"/>
      <c r="O2893" s="178"/>
      <c r="P2893" s="178"/>
    </row>
    <row r="2894" spans="2:16" ht="15.75" customHeight="1">
      <c r="H2894" s="178"/>
      <c r="I2894" s="179"/>
      <c r="J2894" s="184"/>
      <c r="N2894" s="178"/>
      <c r="O2894" s="178"/>
      <c r="P2894" s="178"/>
    </row>
    <row r="2895" spans="2:16" ht="15.75" customHeight="1">
      <c r="H2895" s="178"/>
      <c r="I2895" s="179"/>
      <c r="J2895" s="184"/>
      <c r="N2895" s="178"/>
      <c r="O2895" s="178"/>
      <c r="P2895" s="178"/>
    </row>
    <row r="2896" spans="2:16" ht="15.75" customHeight="1">
      <c r="H2896" s="178"/>
      <c r="I2896" s="179"/>
      <c r="J2896" s="184"/>
      <c r="N2896" s="178"/>
      <c r="O2896" s="178"/>
      <c r="P2896" s="178"/>
    </row>
    <row r="2897" spans="8:16" ht="15.75" customHeight="1">
      <c r="H2897" s="178"/>
      <c r="I2897" s="179"/>
      <c r="J2897" s="184"/>
      <c r="N2897" s="178"/>
      <c r="O2897" s="178"/>
      <c r="P2897" s="178"/>
    </row>
    <row r="2898" spans="8:16" ht="15.75" customHeight="1">
      <c r="H2898" s="178"/>
      <c r="I2898" s="179"/>
      <c r="J2898" s="184"/>
      <c r="N2898" s="178"/>
      <c r="O2898" s="178"/>
      <c r="P2898" s="178"/>
    </row>
    <row r="2899" spans="8:16" ht="15.75" customHeight="1">
      <c r="H2899" s="178"/>
      <c r="I2899" s="179"/>
      <c r="J2899" s="184"/>
      <c r="N2899" s="178"/>
      <c r="O2899" s="178"/>
      <c r="P2899" s="178"/>
    </row>
    <row r="2900" spans="8:16" ht="15.75" customHeight="1">
      <c r="H2900" s="178"/>
      <c r="I2900" s="179"/>
      <c r="J2900" s="184"/>
      <c r="N2900" s="178"/>
      <c r="O2900" s="178"/>
      <c r="P2900" s="178"/>
    </row>
    <row r="2901" spans="8:16" ht="15.75" customHeight="1">
      <c r="H2901" s="178"/>
      <c r="I2901" s="179"/>
      <c r="J2901" s="184"/>
      <c r="N2901" s="178"/>
      <c r="O2901" s="178"/>
      <c r="P2901" s="178"/>
    </row>
    <row r="2902" spans="8:16" ht="15.75" customHeight="1">
      <c r="H2902" s="178"/>
      <c r="I2902" s="179"/>
      <c r="J2902" s="184"/>
      <c r="N2902" s="178"/>
      <c r="O2902" s="178"/>
      <c r="P2902" s="178"/>
    </row>
    <row r="2903" spans="8:16" ht="15.75" customHeight="1">
      <c r="H2903" s="178"/>
      <c r="I2903" s="179"/>
      <c r="J2903" s="184"/>
      <c r="N2903" s="178"/>
      <c r="O2903" s="178"/>
      <c r="P2903" s="178"/>
    </row>
    <row r="2904" spans="8:16" ht="15.75" customHeight="1">
      <c r="H2904" s="178"/>
      <c r="I2904" s="179"/>
      <c r="J2904" s="184"/>
      <c r="N2904" s="178"/>
      <c r="O2904" s="178"/>
      <c r="P2904" s="178"/>
    </row>
    <row r="2905" spans="8:16" ht="15.75" customHeight="1">
      <c r="H2905" s="178"/>
      <c r="I2905" s="179"/>
      <c r="J2905" s="184"/>
      <c r="N2905" s="178"/>
      <c r="O2905" s="178"/>
      <c r="P2905" s="178"/>
    </row>
    <row r="2906" spans="8:16" ht="15.75" customHeight="1">
      <c r="H2906" s="178"/>
      <c r="I2906" s="179"/>
      <c r="J2906" s="184"/>
      <c r="N2906" s="178"/>
      <c r="O2906" s="178"/>
      <c r="P2906" s="178"/>
    </row>
    <row r="2907" spans="8:16" ht="15.75" customHeight="1">
      <c r="H2907" s="178"/>
      <c r="I2907" s="179"/>
      <c r="J2907" s="184"/>
      <c r="N2907" s="178"/>
      <c r="O2907" s="178"/>
      <c r="P2907" s="178"/>
    </row>
    <row r="2908" spans="8:16" ht="15.75" customHeight="1">
      <c r="H2908" s="178"/>
      <c r="I2908" s="179"/>
      <c r="J2908" s="184"/>
      <c r="N2908" s="178"/>
      <c r="O2908" s="178"/>
      <c r="P2908" s="178"/>
    </row>
    <row r="2909" spans="8:16" ht="15.75" customHeight="1">
      <c r="H2909" s="178"/>
      <c r="I2909" s="179"/>
      <c r="J2909" s="184"/>
      <c r="N2909" s="178"/>
      <c r="O2909" s="178"/>
      <c r="P2909" s="178"/>
    </row>
    <row r="2910" spans="8:16" ht="15.75" customHeight="1">
      <c r="H2910" s="178"/>
      <c r="I2910" s="179"/>
      <c r="J2910" s="184"/>
      <c r="N2910" s="178"/>
      <c r="O2910" s="178"/>
      <c r="P2910" s="178"/>
    </row>
    <row r="2911" spans="8:16" ht="15.75" customHeight="1">
      <c r="H2911" s="178"/>
      <c r="I2911" s="179"/>
      <c r="J2911" s="184"/>
      <c r="N2911" s="178"/>
      <c r="O2911" s="178"/>
      <c r="P2911" s="178"/>
    </row>
    <row r="2912" spans="8:16" ht="15.75" customHeight="1">
      <c r="H2912" s="178"/>
      <c r="I2912" s="179"/>
      <c r="J2912" s="184"/>
      <c r="N2912" s="178"/>
      <c r="O2912" s="178"/>
      <c r="P2912" s="178"/>
    </row>
    <row r="2913" spans="8:16" ht="15.75" customHeight="1">
      <c r="H2913" s="178"/>
      <c r="I2913" s="179"/>
      <c r="J2913" s="184"/>
      <c r="N2913" s="178"/>
      <c r="O2913" s="178"/>
      <c r="P2913" s="178"/>
    </row>
    <row r="2914" spans="8:16" ht="15.75" customHeight="1">
      <c r="H2914" s="178"/>
      <c r="I2914" s="179"/>
      <c r="J2914" s="184"/>
      <c r="N2914" s="178"/>
      <c r="O2914" s="178"/>
      <c r="P2914" s="178"/>
    </row>
    <row r="2915" spans="8:16" ht="15.75" customHeight="1">
      <c r="H2915" s="178"/>
      <c r="I2915" s="179"/>
      <c r="J2915" s="184"/>
      <c r="N2915" s="178"/>
      <c r="O2915" s="178"/>
      <c r="P2915" s="178"/>
    </row>
    <row r="2916" spans="8:16" ht="15.75" customHeight="1">
      <c r="H2916" s="178"/>
      <c r="I2916" s="179"/>
      <c r="J2916" s="184"/>
      <c r="N2916" s="178"/>
      <c r="O2916" s="178"/>
      <c r="P2916" s="178"/>
    </row>
    <row r="2917" spans="8:16" ht="15.75" customHeight="1">
      <c r="H2917" s="178"/>
      <c r="I2917" s="179"/>
      <c r="J2917" s="184"/>
      <c r="N2917" s="178"/>
      <c r="O2917" s="178"/>
      <c r="P2917" s="178"/>
    </row>
    <row r="2918" spans="8:16" ht="15.75" customHeight="1">
      <c r="H2918" s="178"/>
      <c r="I2918" s="179"/>
      <c r="J2918" s="184"/>
      <c r="N2918" s="178"/>
      <c r="O2918" s="178"/>
      <c r="P2918" s="178"/>
    </row>
    <row r="2919" spans="8:16" ht="15.75" customHeight="1">
      <c r="H2919" s="178"/>
      <c r="I2919" s="179"/>
      <c r="J2919" s="184"/>
      <c r="N2919" s="178"/>
      <c r="O2919" s="178"/>
      <c r="P2919" s="178"/>
    </row>
    <row r="2920" spans="8:16" ht="15.75" customHeight="1">
      <c r="H2920" s="178"/>
      <c r="I2920" s="179"/>
      <c r="J2920" s="184"/>
      <c r="N2920" s="178"/>
      <c r="O2920" s="178"/>
      <c r="P2920" s="178"/>
    </row>
    <row r="2921" spans="8:16" ht="15.75" customHeight="1">
      <c r="H2921" s="178"/>
      <c r="I2921" s="179"/>
      <c r="J2921" s="184"/>
      <c r="N2921" s="178"/>
      <c r="O2921" s="178"/>
      <c r="P2921" s="178"/>
    </row>
    <row r="2922" spans="8:16" ht="15.75" customHeight="1">
      <c r="H2922" s="178"/>
      <c r="I2922" s="179"/>
      <c r="J2922" s="184"/>
      <c r="N2922" s="178"/>
      <c r="O2922" s="178"/>
      <c r="P2922" s="178"/>
    </row>
    <row r="2923" spans="8:16" ht="15.75" customHeight="1">
      <c r="H2923" s="178"/>
      <c r="I2923" s="179"/>
      <c r="J2923" s="184"/>
      <c r="N2923" s="178"/>
      <c r="O2923" s="178"/>
      <c r="P2923" s="178"/>
    </row>
    <row r="2924" spans="8:16" ht="15.75" customHeight="1">
      <c r="H2924" s="178"/>
      <c r="I2924" s="179"/>
      <c r="J2924" s="184"/>
      <c r="N2924" s="178"/>
      <c r="O2924" s="178"/>
      <c r="P2924" s="178"/>
    </row>
    <row r="2925" spans="8:16" ht="15.75" customHeight="1">
      <c r="H2925" s="178"/>
      <c r="I2925" s="179"/>
      <c r="J2925" s="184"/>
      <c r="N2925" s="178"/>
      <c r="O2925" s="178"/>
      <c r="P2925" s="178"/>
    </row>
    <row r="2926" spans="8:16" ht="15.75" customHeight="1">
      <c r="H2926" s="178"/>
      <c r="I2926" s="179"/>
      <c r="J2926" s="184"/>
      <c r="N2926" s="178"/>
      <c r="O2926" s="178"/>
      <c r="P2926" s="178"/>
    </row>
    <row r="2927" spans="8:16" ht="15.75" customHeight="1">
      <c r="H2927" s="178"/>
      <c r="I2927" s="179"/>
      <c r="J2927" s="184"/>
      <c r="N2927" s="178"/>
      <c r="O2927" s="178"/>
      <c r="P2927" s="178"/>
    </row>
    <row r="2928" spans="8:16" ht="15.75" customHeight="1">
      <c r="H2928" s="178"/>
      <c r="I2928" s="179"/>
      <c r="J2928" s="184"/>
      <c r="N2928" s="178"/>
      <c r="O2928" s="178"/>
      <c r="P2928" s="178"/>
    </row>
    <row r="2929" spans="8:16" ht="15.75" customHeight="1">
      <c r="H2929" s="178"/>
      <c r="I2929" s="179"/>
      <c r="J2929" s="184"/>
      <c r="N2929" s="178"/>
      <c r="O2929" s="178"/>
      <c r="P2929" s="178"/>
    </row>
    <row r="2930" spans="8:16" ht="15.75" customHeight="1">
      <c r="H2930" s="178"/>
      <c r="I2930" s="179"/>
      <c r="J2930" s="184"/>
      <c r="N2930" s="178"/>
      <c r="O2930" s="178"/>
      <c r="P2930" s="178"/>
    </row>
    <row r="2931" spans="8:16" ht="15.75" customHeight="1">
      <c r="H2931" s="178"/>
      <c r="I2931" s="179"/>
      <c r="J2931" s="184"/>
      <c r="N2931" s="178"/>
      <c r="O2931" s="178"/>
      <c r="P2931" s="178"/>
    </row>
    <row r="2932" spans="8:16" ht="15.75" customHeight="1">
      <c r="H2932" s="178"/>
      <c r="I2932" s="179"/>
      <c r="J2932" s="184"/>
      <c r="N2932" s="178"/>
      <c r="O2932" s="178"/>
      <c r="P2932" s="178"/>
    </row>
    <row r="2933" spans="8:16" ht="15.75" customHeight="1">
      <c r="H2933" s="178"/>
      <c r="I2933" s="179"/>
      <c r="J2933" s="184"/>
      <c r="N2933" s="178"/>
      <c r="O2933" s="178"/>
      <c r="P2933" s="178"/>
    </row>
    <row r="2934" spans="8:16" ht="15.75" customHeight="1">
      <c r="H2934" s="178"/>
      <c r="I2934" s="179"/>
      <c r="J2934" s="184"/>
      <c r="N2934" s="178"/>
      <c r="O2934" s="178"/>
      <c r="P2934" s="178"/>
    </row>
    <row r="2935" spans="8:16" ht="15.75" customHeight="1">
      <c r="H2935" s="178"/>
      <c r="I2935" s="179"/>
      <c r="J2935" s="184"/>
      <c r="N2935" s="178"/>
      <c r="O2935" s="178"/>
      <c r="P2935" s="178"/>
    </row>
    <row r="2936" spans="8:16" ht="15.75" customHeight="1">
      <c r="H2936" s="178"/>
      <c r="I2936" s="179"/>
      <c r="J2936" s="184"/>
      <c r="N2936" s="178"/>
      <c r="O2936" s="178"/>
      <c r="P2936" s="178"/>
    </row>
    <row r="2937" spans="8:16" ht="15.75" customHeight="1">
      <c r="H2937" s="178"/>
      <c r="I2937" s="179"/>
      <c r="J2937" s="184"/>
      <c r="N2937" s="178"/>
      <c r="O2937" s="178"/>
      <c r="P2937" s="178"/>
    </row>
    <row r="2938" spans="8:16" ht="15.75" customHeight="1">
      <c r="H2938" s="178"/>
      <c r="I2938" s="179"/>
      <c r="J2938" s="184"/>
      <c r="N2938" s="178"/>
      <c r="O2938" s="178"/>
      <c r="P2938" s="178"/>
    </row>
    <row r="2939" spans="8:16" ht="15.75" customHeight="1">
      <c r="H2939" s="178"/>
      <c r="I2939" s="179"/>
      <c r="J2939" s="184"/>
      <c r="N2939" s="178"/>
      <c r="O2939" s="178"/>
      <c r="P2939" s="178"/>
    </row>
    <row r="2940" spans="8:16" ht="15.75" customHeight="1">
      <c r="H2940" s="178"/>
      <c r="I2940" s="179"/>
      <c r="J2940" s="184"/>
      <c r="N2940" s="178"/>
      <c r="O2940" s="178"/>
      <c r="P2940" s="178"/>
    </row>
    <row r="2941" spans="8:16" ht="15.75" customHeight="1">
      <c r="H2941" s="178"/>
      <c r="I2941" s="179"/>
      <c r="J2941" s="184"/>
      <c r="N2941" s="178"/>
      <c r="O2941" s="178"/>
      <c r="P2941" s="178"/>
    </row>
    <row r="2942" spans="8:16" ht="15.75" customHeight="1">
      <c r="H2942" s="178"/>
      <c r="I2942" s="179"/>
      <c r="J2942" s="184"/>
      <c r="N2942" s="178"/>
      <c r="O2942" s="178"/>
      <c r="P2942" s="178"/>
    </row>
    <row r="2943" spans="8:16" ht="15.75" customHeight="1">
      <c r="H2943" s="178"/>
      <c r="I2943" s="179"/>
      <c r="J2943" s="184"/>
      <c r="N2943" s="178"/>
      <c r="O2943" s="178"/>
      <c r="P2943" s="178"/>
    </row>
    <row r="2944" spans="8:16" ht="15.75" customHeight="1">
      <c r="H2944" s="178"/>
      <c r="I2944" s="179"/>
      <c r="J2944" s="184"/>
      <c r="N2944" s="178"/>
      <c r="O2944" s="178"/>
      <c r="P2944" s="178"/>
    </row>
    <row r="2945" spans="8:16" ht="15.75" customHeight="1">
      <c r="H2945" s="178"/>
      <c r="I2945" s="179"/>
      <c r="J2945" s="184"/>
      <c r="N2945" s="178"/>
      <c r="O2945" s="178"/>
      <c r="P2945" s="178"/>
    </row>
    <row r="2946" spans="8:16" ht="15.75" customHeight="1">
      <c r="H2946" s="178"/>
      <c r="I2946" s="179"/>
      <c r="J2946" s="184"/>
      <c r="N2946" s="178"/>
      <c r="O2946" s="178"/>
      <c r="P2946" s="178"/>
    </row>
    <row r="2947" spans="8:16" ht="15.75" customHeight="1">
      <c r="H2947" s="178"/>
      <c r="I2947" s="179"/>
      <c r="J2947" s="184"/>
      <c r="N2947" s="178"/>
      <c r="O2947" s="178"/>
      <c r="P2947" s="178"/>
    </row>
    <row r="2948" spans="8:16" ht="15.75" customHeight="1">
      <c r="H2948" s="178"/>
      <c r="I2948" s="179"/>
      <c r="J2948" s="184"/>
      <c r="N2948" s="178"/>
      <c r="O2948" s="178"/>
      <c r="P2948" s="178"/>
    </row>
    <row r="2949" spans="8:16" ht="15.75" customHeight="1">
      <c r="H2949" s="178"/>
      <c r="I2949" s="179"/>
      <c r="J2949" s="184"/>
      <c r="N2949" s="178"/>
      <c r="O2949" s="178"/>
      <c r="P2949" s="178"/>
    </row>
    <row r="2950" spans="8:16" ht="15.75" customHeight="1">
      <c r="H2950" s="178"/>
      <c r="I2950" s="179"/>
      <c r="J2950" s="184"/>
      <c r="N2950" s="178"/>
      <c r="O2950" s="178"/>
      <c r="P2950" s="178"/>
    </row>
    <row r="2951" spans="8:16" ht="15.75" customHeight="1">
      <c r="H2951" s="178"/>
      <c r="I2951" s="179"/>
      <c r="J2951" s="184"/>
      <c r="N2951" s="178"/>
      <c r="O2951" s="178"/>
      <c r="P2951" s="178"/>
    </row>
    <row r="2952" spans="8:16" ht="15.75" customHeight="1">
      <c r="H2952" s="178"/>
      <c r="I2952" s="179"/>
      <c r="J2952" s="184"/>
      <c r="N2952" s="178"/>
      <c r="O2952" s="178"/>
      <c r="P2952" s="178"/>
    </row>
    <row r="2953" spans="8:16" ht="15.75" customHeight="1">
      <c r="H2953" s="178"/>
      <c r="I2953" s="179"/>
      <c r="J2953" s="184"/>
      <c r="N2953" s="178"/>
      <c r="O2953" s="178"/>
      <c r="P2953" s="178"/>
    </row>
    <row r="2954" spans="8:16" ht="15.75" customHeight="1">
      <c r="H2954" s="178"/>
      <c r="I2954" s="179"/>
      <c r="J2954" s="184"/>
      <c r="N2954" s="178"/>
      <c r="O2954" s="178"/>
      <c r="P2954" s="178"/>
    </row>
    <row r="2955" spans="8:16" ht="15.75" customHeight="1">
      <c r="H2955" s="178"/>
      <c r="I2955" s="179"/>
      <c r="J2955" s="184"/>
      <c r="N2955" s="178"/>
      <c r="O2955" s="178"/>
      <c r="P2955" s="178"/>
    </row>
    <row r="2956" spans="8:16" ht="15.75" customHeight="1">
      <c r="H2956" s="178"/>
      <c r="I2956" s="179"/>
      <c r="J2956" s="184"/>
      <c r="N2956" s="178"/>
      <c r="O2956" s="178"/>
      <c r="P2956" s="178"/>
    </row>
    <row r="2957" spans="8:16" ht="15.75" customHeight="1">
      <c r="H2957" s="178"/>
      <c r="I2957" s="179"/>
      <c r="J2957" s="184"/>
      <c r="N2957" s="178"/>
      <c r="O2957" s="178"/>
      <c r="P2957" s="178"/>
    </row>
    <row r="2958" spans="8:16" ht="15.75" customHeight="1">
      <c r="H2958" s="178"/>
      <c r="I2958" s="179"/>
      <c r="J2958" s="184"/>
      <c r="N2958" s="178"/>
      <c r="O2958" s="178"/>
      <c r="P2958" s="178"/>
    </row>
    <row r="2959" spans="8:16" ht="15.75" customHeight="1">
      <c r="H2959" s="178"/>
      <c r="I2959" s="179"/>
      <c r="J2959" s="184"/>
      <c r="N2959" s="178"/>
      <c r="O2959" s="178"/>
      <c r="P2959" s="178"/>
    </row>
    <row r="2960" spans="8:16" ht="15.75" customHeight="1">
      <c r="H2960" s="178"/>
      <c r="I2960" s="179"/>
      <c r="J2960" s="184"/>
      <c r="N2960" s="178"/>
      <c r="O2960" s="178"/>
      <c r="P2960" s="178"/>
    </row>
    <row r="2961" spans="8:16" ht="15.75" customHeight="1">
      <c r="H2961" s="178"/>
      <c r="I2961" s="179"/>
      <c r="J2961" s="184"/>
      <c r="N2961" s="178"/>
      <c r="O2961" s="178"/>
      <c r="P2961" s="178"/>
    </row>
    <row r="2962" spans="8:16" ht="15.75" customHeight="1">
      <c r="H2962" s="178"/>
      <c r="I2962" s="179"/>
      <c r="J2962" s="184"/>
      <c r="N2962" s="178"/>
      <c r="O2962" s="178"/>
      <c r="P2962" s="178"/>
    </row>
    <row r="2963" spans="8:16" ht="15.75" customHeight="1">
      <c r="H2963" s="178"/>
      <c r="I2963" s="179"/>
      <c r="J2963" s="184"/>
      <c r="N2963" s="178"/>
      <c r="O2963" s="178"/>
      <c r="P2963" s="178"/>
    </row>
    <row r="2964" spans="8:16" ht="15.75" customHeight="1">
      <c r="H2964" s="178"/>
      <c r="I2964" s="179"/>
      <c r="J2964" s="184"/>
      <c r="N2964" s="178"/>
      <c r="O2964" s="178"/>
      <c r="P2964" s="178"/>
    </row>
    <row r="2965" spans="8:16" ht="15.75" customHeight="1">
      <c r="H2965" s="178"/>
      <c r="I2965" s="179"/>
      <c r="J2965" s="184"/>
      <c r="N2965" s="178"/>
      <c r="O2965" s="178"/>
      <c r="P2965" s="178"/>
    </row>
    <row r="2966" spans="8:16" ht="15.75" customHeight="1">
      <c r="H2966" s="178"/>
      <c r="I2966" s="179"/>
      <c r="J2966" s="184"/>
      <c r="N2966" s="178"/>
      <c r="O2966" s="178"/>
      <c r="P2966" s="178"/>
    </row>
    <row r="2967" spans="8:16" ht="15.75" customHeight="1">
      <c r="H2967" s="178"/>
      <c r="I2967" s="179"/>
      <c r="J2967" s="184"/>
      <c r="N2967" s="178"/>
      <c r="O2967" s="178"/>
      <c r="P2967" s="178"/>
    </row>
    <row r="2968" spans="8:16" ht="15.75" customHeight="1">
      <c r="H2968" s="178"/>
      <c r="I2968" s="179"/>
      <c r="J2968" s="184"/>
      <c r="N2968" s="178"/>
      <c r="O2968" s="178"/>
      <c r="P2968" s="178"/>
    </row>
    <row r="2969" spans="8:16" ht="15.75" customHeight="1">
      <c r="H2969" s="178"/>
      <c r="I2969" s="179"/>
      <c r="J2969" s="184"/>
      <c r="N2969" s="178"/>
      <c r="O2969" s="178"/>
      <c r="P2969" s="178"/>
    </row>
    <row r="2970" spans="8:16" ht="15.75" customHeight="1">
      <c r="H2970" s="178"/>
      <c r="I2970" s="179"/>
      <c r="J2970" s="184"/>
      <c r="N2970" s="178"/>
      <c r="O2970" s="178"/>
      <c r="P2970" s="178"/>
    </row>
    <row r="2971" spans="8:16" ht="15.75" customHeight="1">
      <c r="H2971" s="178"/>
      <c r="I2971" s="179"/>
      <c r="J2971" s="184"/>
      <c r="N2971" s="178"/>
      <c r="O2971" s="178"/>
      <c r="P2971" s="178"/>
    </row>
    <row r="2972" spans="8:16" ht="15.75" customHeight="1">
      <c r="H2972" s="178"/>
      <c r="I2972" s="179"/>
      <c r="J2972" s="184"/>
      <c r="N2972" s="178"/>
      <c r="O2972" s="178"/>
      <c r="P2972" s="178"/>
    </row>
    <row r="2973" spans="8:16" ht="15.75" customHeight="1">
      <c r="H2973" s="178"/>
      <c r="I2973" s="179"/>
      <c r="J2973" s="184"/>
      <c r="N2973" s="178"/>
      <c r="O2973" s="178"/>
      <c r="P2973" s="178"/>
    </row>
    <row r="2974" spans="8:16" ht="15.75" customHeight="1">
      <c r="H2974" s="178"/>
      <c r="I2974" s="179"/>
      <c r="J2974" s="184"/>
      <c r="N2974" s="178"/>
      <c r="O2974" s="178"/>
      <c r="P2974" s="178"/>
    </row>
    <row r="2975" spans="8:16" ht="15.75" customHeight="1">
      <c r="H2975" s="178"/>
      <c r="I2975" s="179"/>
      <c r="J2975" s="184"/>
      <c r="N2975" s="178"/>
      <c r="O2975" s="178"/>
      <c r="P2975" s="178"/>
    </row>
    <row r="2976" spans="8:16" ht="15.75" customHeight="1">
      <c r="H2976" s="178"/>
      <c r="I2976" s="179"/>
      <c r="J2976" s="184"/>
      <c r="N2976" s="178"/>
      <c r="O2976" s="178"/>
      <c r="P2976" s="178"/>
    </row>
    <row r="2977" spans="8:16" ht="15.75" customHeight="1">
      <c r="H2977" s="178"/>
      <c r="I2977" s="179"/>
      <c r="J2977" s="184"/>
      <c r="N2977" s="178"/>
      <c r="O2977" s="178"/>
      <c r="P2977" s="178"/>
    </row>
    <row r="2978" spans="8:16" ht="15.75" customHeight="1">
      <c r="H2978" s="178"/>
      <c r="I2978" s="179"/>
      <c r="J2978" s="184"/>
      <c r="N2978" s="178"/>
      <c r="O2978" s="178"/>
      <c r="P2978" s="178"/>
    </row>
    <row r="2979" spans="8:16" ht="15.75" customHeight="1">
      <c r="H2979" s="178"/>
      <c r="I2979" s="179"/>
      <c r="J2979" s="184"/>
      <c r="N2979" s="178"/>
      <c r="O2979" s="178"/>
      <c r="P2979" s="178"/>
    </row>
    <row r="2980" spans="8:16" ht="15.75" customHeight="1">
      <c r="H2980" s="178"/>
      <c r="I2980" s="179"/>
      <c r="J2980" s="184"/>
      <c r="N2980" s="178"/>
      <c r="O2980" s="178"/>
      <c r="P2980" s="178"/>
    </row>
    <row r="2981" spans="8:16" ht="15.75" customHeight="1">
      <c r="H2981" s="178"/>
      <c r="I2981" s="179"/>
      <c r="J2981" s="184"/>
      <c r="N2981" s="178"/>
      <c r="O2981" s="178"/>
      <c r="P2981" s="178"/>
    </row>
    <row r="2982" spans="8:16" ht="15.75" customHeight="1">
      <c r="H2982" s="178"/>
      <c r="I2982" s="179"/>
      <c r="J2982" s="184"/>
      <c r="N2982" s="178"/>
      <c r="O2982" s="178"/>
      <c r="P2982" s="178"/>
    </row>
    <row r="2983" spans="8:16" ht="15.75" customHeight="1">
      <c r="H2983" s="178"/>
      <c r="I2983" s="179"/>
      <c r="J2983" s="184"/>
      <c r="N2983" s="178"/>
      <c r="O2983" s="178"/>
      <c r="P2983" s="178"/>
    </row>
    <row r="2984" spans="8:16" ht="15.75" customHeight="1">
      <c r="H2984" s="178"/>
      <c r="I2984" s="179"/>
      <c r="J2984" s="184"/>
      <c r="N2984" s="178"/>
      <c r="O2984" s="178"/>
      <c r="P2984" s="178"/>
    </row>
    <row r="2985" spans="8:16" ht="15.75" customHeight="1">
      <c r="H2985" s="178"/>
      <c r="I2985" s="179"/>
      <c r="J2985" s="184"/>
      <c r="N2985" s="178"/>
      <c r="O2985" s="178"/>
      <c r="P2985" s="178"/>
    </row>
    <row r="2986" spans="8:16" ht="15.75" customHeight="1">
      <c r="H2986" s="178"/>
      <c r="I2986" s="179"/>
      <c r="J2986" s="184"/>
      <c r="N2986" s="178"/>
      <c r="O2986" s="178"/>
      <c r="P2986" s="178"/>
    </row>
    <row r="2987" spans="8:16" ht="15.75" customHeight="1">
      <c r="H2987" s="178"/>
      <c r="I2987" s="179"/>
      <c r="J2987" s="184"/>
      <c r="N2987" s="178"/>
      <c r="O2987" s="178"/>
      <c r="P2987" s="178"/>
    </row>
    <row r="2988" spans="8:16" ht="15.75" customHeight="1">
      <c r="H2988" s="178"/>
      <c r="I2988" s="179"/>
      <c r="J2988" s="184"/>
      <c r="N2988" s="178"/>
      <c r="O2988" s="178"/>
      <c r="P2988" s="178"/>
    </row>
    <row r="2989" spans="8:16" ht="15.75" customHeight="1">
      <c r="H2989" s="178"/>
      <c r="I2989" s="179"/>
      <c r="J2989" s="184"/>
      <c r="N2989" s="178"/>
      <c r="O2989" s="178"/>
      <c r="P2989" s="178"/>
    </row>
    <row r="2990" spans="8:16" ht="15.75" customHeight="1">
      <c r="H2990" s="178"/>
      <c r="I2990" s="179"/>
      <c r="J2990" s="184"/>
      <c r="N2990" s="178"/>
      <c r="O2990" s="178"/>
      <c r="P2990" s="178"/>
    </row>
    <row r="2991" spans="8:16" ht="15.75" customHeight="1">
      <c r="H2991" s="178"/>
      <c r="I2991" s="179"/>
      <c r="J2991" s="184"/>
      <c r="N2991" s="178"/>
      <c r="O2991" s="178"/>
      <c r="P2991" s="178"/>
    </row>
    <row r="2992" spans="8:16" ht="15.75" customHeight="1">
      <c r="H2992" s="178"/>
      <c r="I2992" s="179"/>
      <c r="J2992" s="184"/>
      <c r="N2992" s="178"/>
      <c r="O2992" s="178"/>
      <c r="P2992" s="178"/>
    </row>
    <row r="2993" spans="8:16" ht="15.75" customHeight="1">
      <c r="H2993" s="178"/>
      <c r="I2993" s="179"/>
      <c r="J2993" s="184"/>
      <c r="N2993" s="178"/>
      <c r="O2993" s="178"/>
      <c r="P2993" s="178"/>
    </row>
    <row r="2994" spans="8:16" ht="15.75" customHeight="1">
      <c r="H2994" s="178"/>
      <c r="I2994" s="179"/>
      <c r="J2994" s="184"/>
      <c r="N2994" s="178"/>
      <c r="O2994" s="178"/>
      <c r="P2994" s="178"/>
    </row>
    <row r="2995" spans="8:16" ht="15.75" customHeight="1">
      <c r="H2995" s="178"/>
      <c r="I2995" s="179"/>
      <c r="J2995" s="184"/>
      <c r="N2995" s="178"/>
      <c r="O2995" s="178"/>
      <c r="P2995" s="178"/>
    </row>
    <row r="2996" spans="8:16" ht="15.75" customHeight="1">
      <c r="H2996" s="178"/>
      <c r="I2996" s="179"/>
      <c r="J2996" s="184"/>
      <c r="N2996" s="178"/>
      <c r="O2996" s="178"/>
      <c r="P2996" s="178"/>
    </row>
    <row r="2997" spans="8:16" ht="15.75" customHeight="1">
      <c r="H2997" s="178"/>
      <c r="I2997" s="179"/>
      <c r="J2997" s="184"/>
      <c r="N2997" s="178"/>
      <c r="O2997" s="178"/>
      <c r="P2997" s="178"/>
    </row>
    <row r="2998" spans="8:16" ht="15.75" customHeight="1">
      <c r="H2998" s="178"/>
      <c r="I2998" s="179"/>
      <c r="J2998" s="184"/>
      <c r="N2998" s="178"/>
      <c r="O2998" s="178"/>
      <c r="P2998" s="178"/>
    </row>
    <row r="2999" spans="8:16" ht="15.75" customHeight="1">
      <c r="H2999" s="178"/>
      <c r="I2999" s="179"/>
      <c r="J2999" s="184"/>
      <c r="N2999" s="178"/>
      <c r="O2999" s="178"/>
      <c r="P2999" s="178"/>
    </row>
    <row r="3000" spans="8:16" ht="15.75" customHeight="1">
      <c r="H3000" s="178"/>
      <c r="I3000" s="179"/>
      <c r="J3000" s="184"/>
      <c r="N3000" s="178"/>
      <c r="O3000" s="178"/>
      <c r="P3000" s="178"/>
    </row>
    <row r="3001" spans="8:16" ht="15.75" customHeight="1">
      <c r="H3001" s="178"/>
      <c r="I3001" s="179"/>
      <c r="J3001" s="184"/>
      <c r="N3001" s="178"/>
      <c r="O3001" s="178"/>
      <c r="P3001" s="178"/>
    </row>
    <row r="3002" spans="8:16" ht="15.75" customHeight="1">
      <c r="H3002" s="178"/>
      <c r="I3002" s="179"/>
      <c r="J3002" s="184"/>
      <c r="N3002" s="178"/>
      <c r="O3002" s="178"/>
      <c r="P3002" s="178"/>
    </row>
    <row r="3003" spans="8:16" ht="15.75" customHeight="1">
      <c r="H3003" s="178"/>
      <c r="I3003" s="179"/>
      <c r="J3003" s="184"/>
      <c r="N3003" s="178"/>
      <c r="O3003" s="178"/>
      <c r="P3003" s="178"/>
    </row>
    <row r="3004" spans="8:16" ht="15.75" customHeight="1">
      <c r="H3004" s="178"/>
      <c r="I3004" s="179"/>
      <c r="J3004" s="184"/>
      <c r="N3004" s="178"/>
      <c r="O3004" s="178"/>
      <c r="P3004" s="178"/>
    </row>
    <row r="3005" spans="8:16" ht="15.75" customHeight="1">
      <c r="H3005" s="178"/>
      <c r="I3005" s="179"/>
      <c r="J3005" s="184"/>
      <c r="N3005" s="178"/>
      <c r="O3005" s="178"/>
      <c r="P3005" s="178"/>
    </row>
    <row r="3006" spans="8:16" ht="15.75" customHeight="1">
      <c r="H3006" s="178"/>
      <c r="I3006" s="179"/>
      <c r="J3006" s="184"/>
      <c r="N3006" s="178"/>
      <c r="O3006" s="178"/>
      <c r="P3006" s="178"/>
    </row>
    <row r="3007" spans="8:16" ht="15.75" customHeight="1">
      <c r="H3007" s="178"/>
      <c r="I3007" s="179"/>
      <c r="J3007" s="184"/>
      <c r="N3007" s="178"/>
      <c r="O3007" s="178"/>
      <c r="P3007" s="178"/>
    </row>
    <row r="3008" spans="8:16" ht="15.75" customHeight="1">
      <c r="H3008" s="178"/>
      <c r="I3008" s="179"/>
      <c r="J3008" s="184"/>
      <c r="N3008" s="178"/>
      <c r="O3008" s="178"/>
      <c r="P3008" s="178"/>
    </row>
    <row r="3009" spans="8:16" ht="15.75" customHeight="1">
      <c r="H3009" s="178"/>
      <c r="I3009" s="179"/>
      <c r="J3009" s="184"/>
      <c r="N3009" s="178"/>
      <c r="O3009" s="178"/>
      <c r="P3009" s="178"/>
    </row>
    <row r="3010" spans="8:16" ht="15.75" customHeight="1">
      <c r="H3010" s="178"/>
      <c r="I3010" s="179"/>
      <c r="J3010" s="184"/>
      <c r="N3010" s="178"/>
      <c r="O3010" s="178"/>
      <c r="P3010" s="178"/>
    </row>
    <row r="3011" spans="8:16" ht="15.75" customHeight="1">
      <c r="H3011" s="178"/>
      <c r="I3011" s="179"/>
      <c r="J3011" s="184"/>
      <c r="N3011" s="178"/>
      <c r="O3011" s="178"/>
      <c r="P3011" s="178"/>
    </row>
    <row r="3012" spans="8:16" ht="15.75" customHeight="1">
      <c r="H3012" s="178"/>
      <c r="I3012" s="179"/>
      <c r="J3012" s="184"/>
      <c r="N3012" s="178"/>
      <c r="O3012" s="178"/>
      <c r="P3012" s="178"/>
    </row>
    <row r="3013" spans="8:16" ht="15.75" customHeight="1">
      <c r="H3013" s="178"/>
      <c r="I3013" s="179"/>
      <c r="J3013" s="184"/>
      <c r="N3013" s="178"/>
      <c r="O3013" s="178"/>
      <c r="P3013" s="178"/>
    </row>
    <row r="3014" spans="8:16" ht="15.75" customHeight="1">
      <c r="H3014" s="178"/>
      <c r="I3014" s="179"/>
      <c r="J3014" s="184"/>
      <c r="N3014" s="178"/>
      <c r="O3014" s="178"/>
      <c r="P3014" s="178"/>
    </row>
    <row r="3015" spans="8:16" ht="15.75" customHeight="1">
      <c r="H3015" s="178"/>
      <c r="I3015" s="179"/>
      <c r="J3015" s="184"/>
      <c r="N3015" s="178"/>
      <c r="O3015" s="178"/>
      <c r="P3015" s="178"/>
    </row>
    <row r="3016" spans="8:16" ht="15.75" customHeight="1">
      <c r="H3016" s="178"/>
      <c r="I3016" s="179"/>
      <c r="J3016" s="184"/>
      <c r="N3016" s="178"/>
      <c r="O3016" s="178"/>
      <c r="P3016" s="178"/>
    </row>
    <row r="3017" spans="8:16" ht="15.75" customHeight="1">
      <c r="H3017" s="178"/>
      <c r="I3017" s="179"/>
      <c r="J3017" s="184"/>
      <c r="N3017" s="178"/>
      <c r="O3017" s="178"/>
      <c r="P3017" s="178"/>
    </row>
    <row r="3018" spans="8:16" ht="15.75" customHeight="1">
      <c r="H3018" s="178"/>
      <c r="I3018" s="179"/>
      <c r="J3018" s="184"/>
      <c r="N3018" s="178"/>
      <c r="O3018" s="178"/>
      <c r="P3018" s="178"/>
    </row>
    <row r="3019" spans="8:16" ht="15.75" customHeight="1">
      <c r="H3019" s="178"/>
      <c r="I3019" s="179"/>
      <c r="J3019" s="184"/>
      <c r="N3019" s="178"/>
      <c r="O3019" s="178"/>
      <c r="P3019" s="178"/>
    </row>
    <row r="3020" spans="8:16" ht="15.75" customHeight="1">
      <c r="H3020" s="178"/>
      <c r="I3020" s="179"/>
      <c r="J3020" s="184"/>
      <c r="N3020" s="178"/>
      <c r="O3020" s="178"/>
      <c r="P3020" s="178"/>
    </row>
    <row r="3021" spans="8:16" ht="15.75" customHeight="1">
      <c r="H3021" s="178"/>
      <c r="I3021" s="179"/>
      <c r="J3021" s="184"/>
      <c r="N3021" s="178"/>
      <c r="O3021" s="178"/>
      <c r="P3021" s="178"/>
    </row>
    <row r="3022" spans="8:16" ht="15.75" customHeight="1">
      <c r="H3022" s="178"/>
      <c r="I3022" s="179"/>
      <c r="J3022" s="184"/>
      <c r="N3022" s="178"/>
      <c r="O3022" s="178"/>
      <c r="P3022" s="178"/>
    </row>
    <row r="3023" spans="8:16" ht="15.75" customHeight="1">
      <c r="H3023" s="178"/>
      <c r="I3023" s="179"/>
      <c r="J3023" s="184"/>
      <c r="N3023" s="178"/>
      <c r="O3023" s="178"/>
      <c r="P3023" s="178"/>
    </row>
    <row r="3024" spans="8:16" ht="15.75" customHeight="1">
      <c r="H3024" s="178"/>
      <c r="I3024" s="179"/>
      <c r="J3024" s="184"/>
      <c r="N3024" s="178"/>
      <c r="O3024" s="178"/>
      <c r="P3024" s="178"/>
    </row>
    <row r="3025" spans="8:16" ht="15.75" customHeight="1">
      <c r="H3025" s="178"/>
      <c r="I3025" s="179"/>
      <c r="J3025" s="184"/>
      <c r="N3025" s="178"/>
      <c r="O3025" s="178"/>
      <c r="P3025" s="178"/>
    </row>
    <row r="3026" spans="8:16" ht="15.75" customHeight="1">
      <c r="H3026" s="178"/>
      <c r="I3026" s="179"/>
      <c r="J3026" s="184"/>
      <c r="N3026" s="178"/>
      <c r="O3026" s="178"/>
      <c r="P3026" s="178"/>
    </row>
    <row r="3027" spans="8:16" ht="15.75" customHeight="1">
      <c r="H3027" s="178"/>
      <c r="I3027" s="179"/>
      <c r="J3027" s="184"/>
      <c r="N3027" s="178"/>
      <c r="O3027" s="178"/>
      <c r="P3027" s="178"/>
    </row>
    <row r="3028" spans="8:16" ht="15.75" customHeight="1">
      <c r="H3028" s="178"/>
      <c r="I3028" s="179"/>
      <c r="J3028" s="184"/>
      <c r="N3028" s="178"/>
      <c r="O3028" s="178"/>
      <c r="P3028" s="178"/>
    </row>
    <row r="3029" spans="8:16" ht="15.75" customHeight="1">
      <c r="H3029" s="178"/>
      <c r="I3029" s="179"/>
      <c r="J3029" s="184"/>
      <c r="N3029" s="178"/>
      <c r="O3029" s="178"/>
      <c r="P3029" s="178"/>
    </row>
    <row r="3030" spans="8:16" ht="15.75" customHeight="1">
      <c r="H3030" s="178"/>
      <c r="I3030" s="179"/>
      <c r="J3030" s="184"/>
      <c r="N3030" s="178"/>
      <c r="O3030" s="178"/>
      <c r="P3030" s="178"/>
    </row>
    <row r="3031" spans="8:16" ht="15.75" customHeight="1">
      <c r="H3031" s="178"/>
      <c r="I3031" s="179"/>
      <c r="J3031" s="184"/>
      <c r="N3031" s="178"/>
      <c r="O3031" s="178"/>
      <c r="P3031" s="178"/>
    </row>
    <row r="3032" spans="8:16" ht="15.75" customHeight="1">
      <c r="H3032" s="178"/>
      <c r="I3032" s="179"/>
      <c r="J3032" s="184"/>
      <c r="N3032" s="178"/>
      <c r="O3032" s="178"/>
      <c r="P3032" s="178"/>
    </row>
    <row r="3033" spans="8:16" ht="15.75" customHeight="1">
      <c r="H3033" s="178"/>
      <c r="I3033" s="179"/>
      <c r="J3033" s="184"/>
      <c r="N3033" s="178"/>
      <c r="O3033" s="178"/>
      <c r="P3033" s="178"/>
    </row>
    <row r="3034" spans="8:16" ht="15.75" customHeight="1">
      <c r="H3034" s="178"/>
      <c r="I3034" s="179"/>
      <c r="J3034" s="184"/>
      <c r="N3034" s="178"/>
      <c r="O3034" s="178"/>
      <c r="P3034" s="178"/>
    </row>
    <row r="3035" spans="8:16" ht="15.75" customHeight="1">
      <c r="H3035" s="178"/>
      <c r="I3035" s="179"/>
      <c r="J3035" s="184"/>
      <c r="N3035" s="178"/>
      <c r="O3035" s="178"/>
      <c r="P3035" s="178"/>
    </row>
    <row r="3036" spans="8:16" ht="15.75" customHeight="1">
      <c r="H3036" s="178"/>
      <c r="I3036" s="179"/>
      <c r="J3036" s="184"/>
      <c r="N3036" s="178"/>
      <c r="O3036" s="178"/>
      <c r="P3036" s="178"/>
    </row>
    <row r="3037" spans="8:16" ht="15.75" customHeight="1">
      <c r="H3037" s="178"/>
      <c r="I3037" s="179"/>
      <c r="J3037" s="184"/>
      <c r="N3037" s="178"/>
      <c r="O3037" s="178"/>
      <c r="P3037" s="178"/>
    </row>
    <row r="3038" spans="8:16" ht="15.75" customHeight="1">
      <c r="H3038" s="178"/>
      <c r="I3038" s="179"/>
      <c r="J3038" s="184"/>
      <c r="N3038" s="178"/>
      <c r="O3038" s="178"/>
      <c r="P3038" s="178"/>
    </row>
    <row r="3039" spans="8:16" ht="15.75" customHeight="1">
      <c r="H3039" s="178"/>
      <c r="I3039" s="179"/>
      <c r="J3039" s="184"/>
      <c r="N3039" s="178"/>
      <c r="O3039" s="178"/>
      <c r="P3039" s="178"/>
    </row>
    <row r="3040" spans="8:16" ht="15.75" customHeight="1">
      <c r="H3040" s="178"/>
      <c r="I3040" s="179"/>
      <c r="J3040" s="184"/>
      <c r="N3040" s="178"/>
      <c r="O3040" s="178"/>
      <c r="P3040" s="178"/>
    </row>
    <row r="3041" spans="8:16" ht="15.75" customHeight="1">
      <c r="H3041" s="178"/>
      <c r="I3041" s="179"/>
      <c r="J3041" s="184"/>
      <c r="N3041" s="178"/>
      <c r="O3041" s="178"/>
      <c r="P3041" s="178"/>
    </row>
    <row r="3042" spans="8:16" ht="15.75" customHeight="1">
      <c r="H3042" s="178"/>
      <c r="I3042" s="179"/>
      <c r="J3042" s="184"/>
      <c r="N3042" s="178"/>
      <c r="O3042" s="178"/>
      <c r="P3042" s="178"/>
    </row>
    <row r="3043" spans="8:16" ht="15.75" customHeight="1">
      <c r="H3043" s="178"/>
      <c r="I3043" s="179"/>
      <c r="J3043" s="184"/>
      <c r="N3043" s="178"/>
      <c r="O3043" s="178"/>
      <c r="P3043" s="178"/>
    </row>
    <row r="3044" spans="8:16" ht="15.75" customHeight="1">
      <c r="H3044" s="178"/>
      <c r="I3044" s="179"/>
      <c r="J3044" s="184"/>
      <c r="N3044" s="178"/>
      <c r="O3044" s="178"/>
      <c r="P3044" s="178"/>
    </row>
    <row r="3045" spans="8:16" ht="15.75" customHeight="1">
      <c r="H3045" s="178"/>
      <c r="I3045" s="179"/>
      <c r="J3045" s="184"/>
      <c r="N3045" s="178"/>
      <c r="O3045" s="178"/>
      <c r="P3045" s="178"/>
    </row>
    <row r="3046" spans="8:16" ht="15.75" customHeight="1">
      <c r="H3046" s="178"/>
      <c r="I3046" s="179"/>
      <c r="J3046" s="184"/>
      <c r="N3046" s="178"/>
      <c r="O3046" s="178"/>
      <c r="P3046" s="178"/>
    </row>
    <row r="3047" spans="8:16" ht="15.75" customHeight="1">
      <c r="H3047" s="178"/>
      <c r="I3047" s="179"/>
      <c r="J3047" s="184"/>
      <c r="N3047" s="178"/>
      <c r="O3047" s="178"/>
      <c r="P3047" s="178"/>
    </row>
    <row r="3048" spans="8:16" ht="15.75" customHeight="1">
      <c r="H3048" s="178"/>
      <c r="I3048" s="179"/>
      <c r="J3048" s="184"/>
      <c r="N3048" s="178"/>
      <c r="O3048" s="178"/>
      <c r="P3048" s="178"/>
    </row>
    <row r="3049" spans="8:16" ht="15.75" customHeight="1">
      <c r="H3049" s="178"/>
      <c r="I3049" s="179"/>
      <c r="J3049" s="184"/>
      <c r="N3049" s="178"/>
      <c r="O3049" s="178"/>
      <c r="P3049" s="178"/>
    </row>
    <row r="3050" spans="8:16" ht="15.75" customHeight="1">
      <c r="H3050" s="178"/>
      <c r="I3050" s="179"/>
      <c r="J3050" s="184"/>
      <c r="N3050" s="178"/>
      <c r="O3050" s="178"/>
      <c r="P3050" s="178"/>
    </row>
    <row r="3051" spans="8:16" ht="15.75" customHeight="1">
      <c r="H3051" s="178"/>
      <c r="I3051" s="179"/>
      <c r="J3051" s="184"/>
      <c r="N3051" s="178"/>
      <c r="O3051" s="178"/>
      <c r="P3051" s="178"/>
    </row>
    <row r="3052" spans="8:16" ht="15.75" customHeight="1">
      <c r="H3052" s="178"/>
      <c r="I3052" s="179"/>
      <c r="J3052" s="184"/>
      <c r="N3052" s="178"/>
      <c r="O3052" s="178"/>
      <c r="P3052" s="178"/>
    </row>
    <row r="3053" spans="8:16" ht="15.75" customHeight="1">
      <c r="H3053" s="178"/>
      <c r="I3053" s="179"/>
      <c r="J3053" s="184"/>
      <c r="N3053" s="178"/>
      <c r="O3053" s="178"/>
      <c r="P3053" s="178"/>
    </row>
    <row r="3054" spans="8:16" ht="15.75" customHeight="1">
      <c r="H3054" s="178"/>
      <c r="I3054" s="179"/>
      <c r="J3054" s="184"/>
      <c r="N3054" s="178"/>
      <c r="O3054" s="178"/>
      <c r="P3054" s="178"/>
    </row>
    <row r="3055" spans="8:16" ht="15.75" customHeight="1">
      <c r="H3055" s="178"/>
      <c r="I3055" s="179"/>
      <c r="J3055" s="184"/>
      <c r="N3055" s="178"/>
      <c r="O3055" s="178"/>
      <c r="P3055" s="178"/>
    </row>
    <row r="3056" spans="8:16" ht="15.75" customHeight="1">
      <c r="H3056" s="178"/>
      <c r="I3056" s="179"/>
      <c r="J3056" s="184"/>
      <c r="N3056" s="178"/>
      <c r="O3056" s="178"/>
      <c r="P3056" s="178"/>
    </row>
    <row r="3057" spans="8:16" ht="15.75" customHeight="1">
      <c r="H3057" s="178"/>
      <c r="I3057" s="179"/>
      <c r="J3057" s="184"/>
      <c r="N3057" s="178"/>
      <c r="O3057" s="178"/>
      <c r="P3057" s="178"/>
    </row>
    <row r="3058" spans="8:16" ht="15.75" customHeight="1">
      <c r="H3058" s="178"/>
      <c r="I3058" s="179"/>
      <c r="J3058" s="184"/>
      <c r="N3058" s="178"/>
      <c r="O3058" s="178"/>
      <c r="P3058" s="178"/>
    </row>
    <row r="3059" spans="8:16" ht="15.75" customHeight="1">
      <c r="H3059" s="178"/>
      <c r="I3059" s="179"/>
      <c r="J3059" s="184"/>
      <c r="N3059" s="178"/>
      <c r="O3059" s="178"/>
      <c r="P3059" s="178"/>
    </row>
    <row r="3060" spans="8:16" ht="15.75" customHeight="1">
      <c r="H3060" s="178"/>
      <c r="I3060" s="179"/>
      <c r="J3060" s="184"/>
      <c r="N3060" s="178"/>
      <c r="O3060" s="178"/>
      <c r="P3060" s="178"/>
    </row>
    <row r="3061" spans="8:16" ht="15.75" customHeight="1">
      <c r="H3061" s="178"/>
      <c r="I3061" s="179"/>
      <c r="J3061" s="184"/>
      <c r="N3061" s="178"/>
      <c r="O3061" s="178"/>
      <c r="P3061" s="178"/>
    </row>
    <row r="3062" spans="8:16" ht="15.75" customHeight="1">
      <c r="H3062" s="178"/>
      <c r="I3062" s="179"/>
      <c r="J3062" s="184"/>
      <c r="N3062" s="178"/>
      <c r="O3062" s="178"/>
      <c r="P3062" s="178"/>
    </row>
    <row r="3063" spans="8:16" ht="15.75" customHeight="1">
      <c r="H3063" s="178"/>
      <c r="I3063" s="179"/>
      <c r="J3063" s="184"/>
      <c r="N3063" s="178"/>
      <c r="O3063" s="178"/>
      <c r="P3063" s="178"/>
    </row>
    <row r="3064" spans="8:16" ht="15.75" customHeight="1">
      <c r="H3064" s="178"/>
      <c r="I3064" s="179"/>
      <c r="J3064" s="184"/>
      <c r="N3064" s="178"/>
      <c r="O3064" s="178"/>
      <c r="P3064" s="178"/>
    </row>
    <row r="3065" spans="8:16" ht="15.75" customHeight="1">
      <c r="H3065" s="178"/>
      <c r="I3065" s="179"/>
      <c r="J3065" s="184"/>
      <c r="N3065" s="178"/>
      <c r="O3065" s="178"/>
      <c r="P3065" s="178"/>
    </row>
    <row r="3066" spans="8:16" ht="15.75" customHeight="1">
      <c r="H3066" s="178"/>
      <c r="I3066" s="179"/>
      <c r="J3066" s="184"/>
      <c r="N3066" s="178"/>
      <c r="O3066" s="178"/>
      <c r="P3066" s="178"/>
    </row>
    <row r="3067" spans="8:16" ht="15.75" customHeight="1">
      <c r="H3067" s="178"/>
      <c r="I3067" s="179"/>
      <c r="J3067" s="184"/>
      <c r="N3067" s="178"/>
      <c r="O3067" s="178"/>
      <c r="P3067" s="178"/>
    </row>
    <row r="3068" spans="8:16" ht="15.75" customHeight="1">
      <c r="H3068" s="178"/>
      <c r="I3068" s="179"/>
      <c r="J3068" s="184"/>
      <c r="N3068" s="178"/>
      <c r="O3068" s="178"/>
      <c r="P3068" s="178"/>
    </row>
    <row r="3069" spans="8:16" ht="15.75" customHeight="1">
      <c r="H3069" s="178"/>
      <c r="I3069" s="179"/>
      <c r="J3069" s="184"/>
      <c r="N3069" s="178"/>
      <c r="O3069" s="178"/>
      <c r="P3069" s="178"/>
    </row>
    <row r="3070" spans="8:16" ht="15.75" customHeight="1">
      <c r="H3070" s="178"/>
      <c r="I3070" s="179"/>
      <c r="J3070" s="184"/>
      <c r="N3070" s="178"/>
      <c r="O3070" s="178"/>
      <c r="P3070" s="178"/>
    </row>
    <row r="3071" spans="8:16" ht="15.75" customHeight="1">
      <c r="H3071" s="178"/>
      <c r="I3071" s="179"/>
      <c r="J3071" s="184"/>
      <c r="N3071" s="178"/>
      <c r="O3071" s="178"/>
      <c r="P3071" s="178"/>
    </row>
    <row r="3072" spans="8:16" ht="15.75" customHeight="1">
      <c r="H3072" s="178"/>
      <c r="I3072" s="179"/>
      <c r="J3072" s="184"/>
      <c r="N3072" s="178"/>
      <c r="O3072" s="178"/>
      <c r="P3072" s="178"/>
    </row>
    <row r="3073" spans="8:16" ht="15.75" customHeight="1">
      <c r="H3073" s="178"/>
      <c r="I3073" s="179"/>
      <c r="J3073" s="184"/>
      <c r="N3073" s="178"/>
      <c r="O3073" s="178"/>
      <c r="P3073" s="178"/>
    </row>
    <row r="3074" spans="8:16" ht="15.75" customHeight="1">
      <c r="H3074" s="178"/>
      <c r="I3074" s="179"/>
      <c r="J3074" s="184"/>
      <c r="N3074" s="178"/>
      <c r="O3074" s="178"/>
      <c r="P3074" s="178"/>
    </row>
    <row r="3075" spans="8:16" ht="15.75" customHeight="1">
      <c r="H3075" s="178"/>
      <c r="I3075" s="179"/>
      <c r="J3075" s="184"/>
      <c r="N3075" s="178"/>
      <c r="O3075" s="178"/>
      <c r="P3075" s="178"/>
    </row>
    <row r="3076" spans="8:16" ht="15.75" customHeight="1">
      <c r="H3076" s="178"/>
      <c r="I3076" s="179"/>
      <c r="J3076" s="184"/>
      <c r="N3076" s="178"/>
      <c r="O3076" s="178"/>
      <c r="P3076" s="178"/>
    </row>
    <row r="3077" spans="8:16" ht="15.75" customHeight="1">
      <c r="H3077" s="178"/>
      <c r="I3077" s="179"/>
      <c r="J3077" s="184"/>
      <c r="N3077" s="178"/>
      <c r="O3077" s="178"/>
      <c r="P3077" s="178"/>
    </row>
    <row r="3078" spans="8:16" ht="15.75" customHeight="1">
      <c r="H3078" s="178"/>
      <c r="I3078" s="179"/>
      <c r="J3078" s="184"/>
      <c r="N3078" s="178"/>
      <c r="O3078" s="178"/>
      <c r="P3078" s="178"/>
    </row>
    <row r="3079" spans="8:16" ht="15.75" customHeight="1">
      <c r="H3079" s="178"/>
      <c r="I3079" s="179"/>
      <c r="J3079" s="184"/>
      <c r="N3079" s="178"/>
      <c r="O3079" s="178"/>
      <c r="P3079" s="178"/>
    </row>
    <row r="3080" spans="8:16" ht="15.75" customHeight="1">
      <c r="H3080" s="178"/>
      <c r="I3080" s="179"/>
      <c r="J3080" s="184"/>
      <c r="N3080" s="178"/>
      <c r="O3080" s="178"/>
      <c r="P3080" s="178"/>
    </row>
    <row r="3081" spans="8:16" ht="15.75" customHeight="1">
      <c r="H3081" s="178"/>
      <c r="I3081" s="179"/>
      <c r="J3081" s="184"/>
      <c r="N3081" s="178"/>
      <c r="O3081" s="178"/>
      <c r="P3081" s="178"/>
    </row>
    <row r="3082" spans="8:16" ht="15.75" customHeight="1">
      <c r="H3082" s="178"/>
      <c r="I3082" s="179"/>
      <c r="J3082" s="184"/>
      <c r="N3082" s="178"/>
      <c r="O3082" s="178"/>
      <c r="P3082" s="178"/>
    </row>
    <row r="3083" spans="8:16" ht="15.75" customHeight="1">
      <c r="H3083" s="178"/>
      <c r="I3083" s="179"/>
      <c r="J3083" s="184"/>
      <c r="N3083" s="178"/>
      <c r="O3083" s="178"/>
      <c r="P3083" s="178"/>
    </row>
    <row r="3084" spans="8:16" ht="15.75" customHeight="1">
      <c r="H3084" s="178"/>
      <c r="I3084" s="179"/>
      <c r="J3084" s="184"/>
      <c r="N3084" s="178"/>
      <c r="O3084" s="178"/>
      <c r="P3084" s="178"/>
    </row>
    <row r="3085" spans="8:16" ht="15.75" customHeight="1">
      <c r="H3085" s="178"/>
      <c r="I3085" s="179"/>
      <c r="J3085" s="184"/>
      <c r="N3085" s="178"/>
      <c r="O3085" s="178"/>
      <c r="P3085" s="178"/>
    </row>
    <row r="3086" spans="8:16" ht="15.75" customHeight="1">
      <c r="H3086" s="178"/>
      <c r="I3086" s="179"/>
      <c r="J3086" s="184"/>
      <c r="N3086" s="178"/>
      <c r="O3086" s="178"/>
      <c r="P3086" s="178"/>
    </row>
    <row r="3087" spans="8:16" ht="15.75" customHeight="1">
      <c r="H3087" s="178"/>
      <c r="I3087" s="179"/>
      <c r="J3087" s="184"/>
      <c r="N3087" s="178"/>
      <c r="O3087" s="178"/>
      <c r="P3087" s="178"/>
    </row>
    <row r="3088" spans="8:16" ht="15.75" customHeight="1">
      <c r="H3088" s="178"/>
      <c r="I3088" s="179"/>
      <c r="J3088" s="184"/>
      <c r="N3088" s="178"/>
      <c r="O3088" s="178"/>
      <c r="P3088" s="178"/>
    </row>
    <row r="3089" spans="8:16" ht="15.75" customHeight="1">
      <c r="H3089" s="178"/>
      <c r="I3089" s="179"/>
      <c r="J3089" s="184"/>
      <c r="N3089" s="178"/>
      <c r="O3089" s="178"/>
      <c r="P3089" s="178"/>
    </row>
    <row r="3090" spans="8:16" ht="15.75" customHeight="1">
      <c r="H3090" s="178"/>
      <c r="I3090" s="179"/>
      <c r="J3090" s="184"/>
      <c r="N3090" s="178"/>
      <c r="O3090" s="178"/>
      <c r="P3090" s="178"/>
    </row>
    <row r="3091" spans="8:16" ht="15.75" customHeight="1">
      <c r="H3091" s="178"/>
      <c r="I3091" s="179"/>
      <c r="J3091" s="184"/>
      <c r="N3091" s="178"/>
      <c r="O3091" s="178"/>
      <c r="P3091" s="178"/>
    </row>
    <row r="3092" spans="8:16" ht="15.75" customHeight="1">
      <c r="H3092" s="178"/>
      <c r="I3092" s="179"/>
      <c r="J3092" s="184"/>
      <c r="N3092" s="178"/>
      <c r="O3092" s="178"/>
      <c r="P3092" s="178"/>
    </row>
    <row r="3093" spans="8:16" ht="15.75" customHeight="1">
      <c r="H3093" s="178"/>
      <c r="I3093" s="179"/>
      <c r="J3093" s="184"/>
      <c r="N3093" s="178"/>
      <c r="O3093" s="178"/>
      <c r="P3093" s="178"/>
    </row>
    <row r="3094" spans="8:16" ht="15.75" customHeight="1">
      <c r="H3094" s="178"/>
      <c r="I3094" s="179"/>
      <c r="J3094" s="184"/>
      <c r="N3094" s="178"/>
      <c r="O3094" s="178"/>
      <c r="P3094" s="178"/>
    </row>
    <row r="3095" spans="8:16" ht="15.75" customHeight="1">
      <c r="H3095" s="178"/>
      <c r="I3095" s="179"/>
      <c r="J3095" s="184"/>
      <c r="N3095" s="178"/>
      <c r="O3095" s="178"/>
      <c r="P3095" s="178"/>
    </row>
    <row r="3096" spans="8:16" ht="15.75" customHeight="1">
      <c r="H3096" s="178"/>
      <c r="I3096" s="179"/>
      <c r="J3096" s="184"/>
      <c r="N3096" s="178"/>
      <c r="O3096" s="178"/>
      <c r="P3096" s="178"/>
    </row>
    <row r="3097" spans="8:16" ht="15.75" customHeight="1">
      <c r="H3097" s="178"/>
      <c r="I3097" s="179"/>
      <c r="J3097" s="184"/>
      <c r="N3097" s="178"/>
      <c r="O3097" s="178"/>
      <c r="P3097" s="178"/>
    </row>
    <row r="3098" spans="8:16" ht="15.75" customHeight="1">
      <c r="H3098" s="178"/>
      <c r="I3098" s="179"/>
      <c r="J3098" s="184"/>
      <c r="N3098" s="178"/>
      <c r="O3098" s="178"/>
      <c r="P3098" s="178"/>
    </row>
    <row r="3099" spans="8:16" ht="15.75" customHeight="1">
      <c r="H3099" s="178"/>
      <c r="I3099" s="179"/>
      <c r="J3099" s="184"/>
      <c r="N3099" s="178"/>
      <c r="O3099" s="178"/>
      <c r="P3099" s="178"/>
    </row>
    <row r="3100" spans="8:16" ht="15.75" customHeight="1">
      <c r="H3100" s="178"/>
      <c r="I3100" s="179"/>
      <c r="J3100" s="184"/>
      <c r="N3100" s="178"/>
      <c r="O3100" s="178"/>
      <c r="P3100" s="178"/>
    </row>
    <row r="3101" spans="8:16" ht="15.75" customHeight="1">
      <c r="H3101" s="178"/>
      <c r="I3101" s="179"/>
      <c r="J3101" s="184"/>
      <c r="N3101" s="178"/>
      <c r="O3101" s="178"/>
      <c r="P3101" s="178"/>
    </row>
    <row r="3102" spans="8:16" ht="15.75" customHeight="1">
      <c r="H3102" s="178"/>
      <c r="I3102" s="179"/>
      <c r="J3102" s="184"/>
      <c r="N3102" s="178"/>
      <c r="O3102" s="178"/>
      <c r="P3102" s="178"/>
    </row>
    <row r="3103" spans="8:16" ht="15.75" customHeight="1">
      <c r="H3103" s="178"/>
      <c r="I3103" s="179"/>
      <c r="J3103" s="184"/>
      <c r="N3103" s="178"/>
      <c r="O3103" s="178"/>
      <c r="P3103" s="178"/>
    </row>
    <row r="3104" spans="8:16" ht="15.75" customHeight="1">
      <c r="H3104" s="178"/>
      <c r="I3104" s="179"/>
      <c r="J3104" s="184"/>
      <c r="N3104" s="178"/>
      <c r="O3104" s="178"/>
      <c r="P3104" s="178"/>
    </row>
    <row r="3105" spans="8:16" ht="15.75" customHeight="1">
      <c r="H3105" s="178"/>
      <c r="I3105" s="179"/>
      <c r="J3105" s="184"/>
      <c r="N3105" s="178"/>
      <c r="O3105" s="178"/>
      <c r="P3105" s="178"/>
    </row>
    <row r="3106" spans="8:16" ht="15.75" customHeight="1">
      <c r="H3106" s="178"/>
      <c r="I3106" s="179"/>
      <c r="J3106" s="184"/>
      <c r="N3106" s="178"/>
      <c r="O3106" s="178"/>
      <c r="P3106" s="178"/>
    </row>
    <row r="3107" spans="8:16" ht="15.75" customHeight="1">
      <c r="H3107" s="178"/>
      <c r="I3107" s="179"/>
      <c r="J3107" s="184"/>
      <c r="N3107" s="178"/>
      <c r="O3107" s="178"/>
      <c r="P3107" s="178"/>
    </row>
    <row r="3108" spans="8:16" ht="15.75" customHeight="1">
      <c r="H3108" s="178"/>
      <c r="I3108" s="179"/>
      <c r="J3108" s="184"/>
      <c r="N3108" s="178"/>
      <c r="O3108" s="178"/>
      <c r="P3108" s="178"/>
    </row>
    <row r="3109" spans="8:16" ht="15.75" customHeight="1">
      <c r="H3109" s="178"/>
      <c r="I3109" s="179"/>
      <c r="J3109" s="184"/>
      <c r="N3109" s="178"/>
      <c r="O3109" s="178"/>
      <c r="P3109" s="178"/>
    </row>
    <row r="3110" spans="8:16" ht="15.75" customHeight="1">
      <c r="H3110" s="178"/>
      <c r="I3110" s="179"/>
      <c r="J3110" s="184"/>
      <c r="N3110" s="178"/>
      <c r="O3110" s="178"/>
      <c r="P3110" s="178"/>
    </row>
    <row r="3111" spans="8:16" ht="15.75" customHeight="1">
      <c r="H3111" s="178"/>
      <c r="I3111" s="179"/>
      <c r="J3111" s="184"/>
      <c r="N3111" s="178"/>
      <c r="O3111" s="178"/>
      <c r="P3111" s="178"/>
    </row>
    <row r="3112" spans="8:16" ht="15.75" customHeight="1">
      <c r="H3112" s="178"/>
      <c r="I3112" s="179"/>
      <c r="J3112" s="184"/>
      <c r="N3112" s="178"/>
      <c r="O3112" s="178"/>
      <c r="P3112" s="178"/>
    </row>
    <row r="3113" spans="8:16" ht="15.75" customHeight="1">
      <c r="H3113" s="178"/>
      <c r="I3113" s="179"/>
      <c r="J3113" s="184"/>
      <c r="N3113" s="178"/>
      <c r="O3113" s="178"/>
      <c r="P3113" s="178"/>
    </row>
    <row r="3114" spans="8:16" ht="15.75" customHeight="1">
      <c r="H3114" s="178"/>
      <c r="I3114" s="179"/>
      <c r="J3114" s="184"/>
      <c r="N3114" s="178"/>
      <c r="O3114" s="178"/>
      <c r="P3114" s="178"/>
    </row>
    <row r="3115" spans="8:16" ht="15.75" customHeight="1">
      <c r="H3115" s="178"/>
      <c r="I3115" s="179"/>
      <c r="J3115" s="184"/>
      <c r="N3115" s="178"/>
      <c r="O3115" s="178"/>
      <c r="P3115" s="178"/>
    </row>
    <row r="3116" spans="8:16" ht="15.75" customHeight="1">
      <c r="H3116" s="178"/>
      <c r="I3116" s="179"/>
      <c r="J3116" s="184"/>
      <c r="N3116" s="178"/>
      <c r="O3116" s="178"/>
      <c r="P3116" s="178"/>
    </row>
    <row r="3117" spans="8:16" ht="15.75" customHeight="1">
      <c r="H3117" s="178"/>
      <c r="I3117" s="179"/>
      <c r="J3117" s="184"/>
      <c r="N3117" s="178"/>
      <c r="O3117" s="178"/>
      <c r="P3117" s="178"/>
    </row>
    <row r="3118" spans="8:16" ht="15.75" customHeight="1">
      <c r="H3118" s="178"/>
      <c r="I3118" s="179"/>
      <c r="J3118" s="184"/>
      <c r="N3118" s="178"/>
      <c r="O3118" s="178"/>
      <c r="P3118" s="178"/>
    </row>
    <row r="3119" spans="8:16" ht="15.75" customHeight="1">
      <c r="H3119" s="178"/>
      <c r="I3119" s="179"/>
      <c r="J3119" s="184"/>
      <c r="N3119" s="178"/>
      <c r="O3119" s="178"/>
      <c r="P3119" s="178"/>
    </row>
    <row r="3120" spans="8:16" ht="15.75" customHeight="1">
      <c r="H3120" s="178"/>
      <c r="I3120" s="179"/>
      <c r="J3120" s="184"/>
      <c r="N3120" s="178"/>
      <c r="O3120" s="178"/>
      <c r="P3120" s="178"/>
    </row>
    <row r="3121" spans="8:16" ht="15.75" customHeight="1">
      <c r="H3121" s="178"/>
      <c r="I3121" s="179"/>
      <c r="J3121" s="184"/>
      <c r="N3121" s="178"/>
      <c r="O3121" s="178"/>
      <c r="P3121" s="178"/>
    </row>
    <row r="3122" spans="8:16" ht="15.75" customHeight="1">
      <c r="H3122" s="178"/>
      <c r="I3122" s="179"/>
      <c r="J3122" s="184"/>
      <c r="N3122" s="178"/>
      <c r="O3122" s="178"/>
      <c r="P3122" s="178"/>
    </row>
    <row r="3123" spans="8:16" ht="15.75" customHeight="1">
      <c r="H3123" s="178"/>
      <c r="I3123" s="179"/>
      <c r="J3123" s="184"/>
      <c r="N3123" s="178"/>
      <c r="O3123" s="178"/>
      <c r="P3123" s="178"/>
    </row>
    <row r="3124" spans="8:16" ht="15.75" customHeight="1">
      <c r="H3124" s="178"/>
      <c r="I3124" s="179"/>
      <c r="J3124" s="184"/>
      <c r="N3124" s="178"/>
      <c r="O3124" s="178"/>
      <c r="P3124" s="178"/>
    </row>
    <row r="3125" spans="8:16" ht="15.75" customHeight="1">
      <c r="H3125" s="178"/>
      <c r="I3125" s="179"/>
      <c r="J3125" s="184"/>
      <c r="N3125" s="178"/>
      <c r="O3125" s="178"/>
      <c r="P3125" s="178"/>
    </row>
    <row r="3126" spans="8:16" ht="15.75" customHeight="1">
      <c r="H3126" s="178"/>
      <c r="I3126" s="179"/>
      <c r="J3126" s="184"/>
      <c r="N3126" s="178"/>
      <c r="O3126" s="178"/>
      <c r="P3126" s="178"/>
    </row>
    <row r="3127" spans="8:16" ht="15.75" customHeight="1">
      <c r="H3127" s="178"/>
      <c r="I3127" s="179"/>
      <c r="J3127" s="184"/>
      <c r="N3127" s="178"/>
      <c r="O3127" s="178"/>
      <c r="P3127" s="178"/>
    </row>
    <row r="3128" spans="8:16" ht="15.75" customHeight="1">
      <c r="H3128" s="178"/>
      <c r="I3128" s="179"/>
      <c r="J3128" s="184"/>
      <c r="N3128" s="178"/>
      <c r="O3128" s="178"/>
      <c r="P3128" s="178"/>
    </row>
    <row r="3129" spans="8:16" ht="15.75" customHeight="1">
      <c r="H3129" s="178"/>
      <c r="I3129" s="179"/>
      <c r="J3129" s="184"/>
      <c r="N3129" s="178"/>
      <c r="O3129" s="178"/>
      <c r="P3129" s="178"/>
    </row>
    <row r="3130" spans="8:16" ht="15.75" customHeight="1">
      <c r="H3130" s="178"/>
      <c r="I3130" s="179"/>
      <c r="J3130" s="184"/>
      <c r="N3130" s="178"/>
      <c r="O3130" s="178"/>
      <c r="P3130" s="178"/>
    </row>
    <row r="3131" spans="8:16" ht="15.75" customHeight="1">
      <c r="H3131" s="178"/>
      <c r="I3131" s="179"/>
      <c r="J3131" s="184"/>
      <c r="N3131" s="178"/>
      <c r="O3131" s="178"/>
      <c r="P3131" s="178"/>
    </row>
    <row r="3132" spans="8:16" ht="15.75" customHeight="1">
      <c r="H3132" s="178"/>
      <c r="I3132" s="179"/>
      <c r="J3132" s="184"/>
      <c r="N3132" s="178"/>
      <c r="O3132" s="178"/>
      <c r="P3132" s="178"/>
    </row>
    <row r="3133" spans="8:16" ht="15.75" customHeight="1">
      <c r="H3133" s="178"/>
      <c r="I3133" s="179"/>
      <c r="J3133" s="184"/>
      <c r="N3133" s="178"/>
      <c r="O3133" s="178"/>
      <c r="P3133" s="178"/>
    </row>
    <row r="3134" spans="8:16" ht="15.75" customHeight="1">
      <c r="H3134" s="178"/>
      <c r="I3134" s="179"/>
      <c r="J3134" s="184"/>
      <c r="N3134" s="178"/>
      <c r="O3134" s="178"/>
      <c r="P3134" s="178"/>
    </row>
    <row r="3135" spans="8:16" ht="15.75" customHeight="1">
      <c r="H3135" s="178"/>
      <c r="I3135" s="179"/>
      <c r="J3135" s="184"/>
      <c r="N3135" s="178"/>
      <c r="O3135" s="178"/>
      <c r="P3135" s="178"/>
    </row>
    <row r="3136" spans="8:16" ht="15.75" customHeight="1">
      <c r="H3136" s="178"/>
      <c r="I3136" s="179"/>
      <c r="J3136" s="184"/>
      <c r="N3136" s="178"/>
      <c r="O3136" s="178"/>
      <c r="P3136" s="178"/>
    </row>
    <row r="3137" spans="8:16" ht="15.75" customHeight="1">
      <c r="H3137" s="178"/>
      <c r="I3137" s="179"/>
      <c r="J3137" s="184"/>
      <c r="N3137" s="178"/>
      <c r="O3137" s="178"/>
      <c r="P3137" s="178"/>
    </row>
    <row r="3138" spans="8:16" ht="15.75" customHeight="1">
      <c r="H3138" s="178"/>
      <c r="I3138" s="179"/>
      <c r="J3138" s="184"/>
      <c r="N3138" s="178"/>
      <c r="O3138" s="178"/>
      <c r="P3138" s="178"/>
    </row>
    <row r="3139" spans="8:16" ht="15.75" customHeight="1">
      <c r="H3139" s="178"/>
      <c r="I3139" s="179"/>
      <c r="J3139" s="184"/>
      <c r="N3139" s="178"/>
      <c r="O3139" s="178"/>
      <c r="P3139" s="178"/>
    </row>
    <row r="3140" spans="8:16" ht="15.75" customHeight="1">
      <c r="H3140" s="178"/>
      <c r="I3140" s="179"/>
      <c r="J3140" s="184"/>
      <c r="N3140" s="178"/>
      <c r="O3140" s="178"/>
      <c r="P3140" s="178"/>
    </row>
    <row r="3141" spans="8:16" ht="15.75" customHeight="1">
      <c r="H3141" s="178"/>
      <c r="I3141" s="179"/>
      <c r="J3141" s="184"/>
      <c r="N3141" s="178"/>
      <c r="O3141" s="178"/>
      <c r="P3141" s="178"/>
    </row>
    <row r="3142" spans="8:16" ht="15.75" customHeight="1">
      <c r="H3142" s="178"/>
      <c r="I3142" s="179"/>
      <c r="J3142" s="184"/>
      <c r="N3142" s="178"/>
      <c r="O3142" s="178"/>
      <c r="P3142" s="178"/>
    </row>
    <row r="3143" spans="8:16" ht="15.75" customHeight="1">
      <c r="H3143" s="178"/>
      <c r="I3143" s="179"/>
      <c r="J3143" s="184"/>
      <c r="N3143" s="178"/>
      <c r="O3143" s="178"/>
      <c r="P3143" s="178"/>
    </row>
    <row r="3144" spans="8:16" ht="15.75" customHeight="1">
      <c r="H3144" s="178"/>
      <c r="I3144" s="179"/>
      <c r="J3144" s="184"/>
      <c r="N3144" s="178"/>
      <c r="O3144" s="178"/>
      <c r="P3144" s="178"/>
    </row>
    <row r="3145" spans="8:16" ht="15.75" customHeight="1">
      <c r="H3145" s="178"/>
      <c r="I3145" s="179"/>
      <c r="J3145" s="184"/>
      <c r="N3145" s="178"/>
      <c r="O3145" s="178"/>
      <c r="P3145" s="178"/>
    </row>
    <row r="3146" spans="8:16" ht="15.75" customHeight="1">
      <c r="H3146" s="178"/>
      <c r="I3146" s="179"/>
      <c r="J3146" s="184"/>
      <c r="N3146" s="178"/>
      <c r="O3146" s="178"/>
      <c r="P3146" s="178"/>
    </row>
    <row r="3147" spans="8:16" ht="15.75" customHeight="1">
      <c r="H3147" s="178"/>
      <c r="I3147" s="179"/>
      <c r="J3147" s="184"/>
      <c r="N3147" s="178"/>
      <c r="O3147" s="178"/>
      <c r="P3147" s="178"/>
    </row>
    <row r="3148" spans="8:16" ht="15.75" customHeight="1">
      <c r="H3148" s="178"/>
      <c r="I3148" s="179"/>
      <c r="J3148" s="184"/>
      <c r="N3148" s="178"/>
      <c r="O3148" s="178"/>
      <c r="P3148" s="178"/>
    </row>
    <row r="3149" spans="8:16" ht="15.75" customHeight="1">
      <c r="H3149" s="178"/>
      <c r="I3149" s="179"/>
      <c r="J3149" s="184"/>
      <c r="N3149" s="178"/>
      <c r="O3149" s="178"/>
      <c r="P3149" s="178"/>
    </row>
    <row r="3150" spans="8:16" ht="15.75" customHeight="1">
      <c r="H3150" s="178"/>
      <c r="I3150" s="179"/>
      <c r="J3150" s="184"/>
      <c r="N3150" s="178"/>
      <c r="O3150" s="178"/>
      <c r="P3150" s="178"/>
    </row>
    <row r="3151" spans="8:16" ht="15.75" customHeight="1">
      <c r="H3151" s="178"/>
      <c r="I3151" s="179"/>
      <c r="J3151" s="184"/>
      <c r="N3151" s="178"/>
      <c r="O3151" s="178"/>
      <c r="P3151" s="178"/>
    </row>
    <row r="3152" spans="8:16" ht="15.75" customHeight="1">
      <c r="H3152" s="178"/>
      <c r="I3152" s="179"/>
      <c r="J3152" s="184"/>
      <c r="N3152" s="178"/>
      <c r="O3152" s="178"/>
      <c r="P3152" s="178"/>
    </row>
    <row r="3153" spans="8:16" ht="15.75" customHeight="1">
      <c r="H3153" s="178"/>
      <c r="I3153" s="179"/>
      <c r="J3153" s="184"/>
      <c r="N3153" s="178"/>
      <c r="O3153" s="178"/>
      <c r="P3153" s="178"/>
    </row>
    <row r="3154" spans="8:16" ht="15.75" customHeight="1">
      <c r="H3154" s="178"/>
      <c r="I3154" s="179"/>
      <c r="J3154" s="184"/>
      <c r="N3154" s="178"/>
      <c r="O3154" s="178"/>
      <c r="P3154" s="178"/>
    </row>
    <row r="3155" spans="8:16" ht="15.75" customHeight="1">
      <c r="H3155" s="178"/>
      <c r="I3155" s="179"/>
      <c r="J3155" s="184"/>
      <c r="N3155" s="178"/>
      <c r="O3155" s="178"/>
      <c r="P3155" s="178"/>
    </row>
    <row r="3156" spans="8:16" ht="15.75" customHeight="1">
      <c r="H3156" s="178"/>
      <c r="I3156" s="179"/>
      <c r="J3156" s="184"/>
      <c r="N3156" s="178"/>
      <c r="O3156" s="178"/>
      <c r="P3156" s="178"/>
    </row>
    <row r="3157" spans="8:16" ht="15.75" customHeight="1">
      <c r="H3157" s="178"/>
      <c r="I3157" s="179"/>
      <c r="J3157" s="184"/>
      <c r="N3157" s="178"/>
      <c r="O3157" s="178"/>
      <c r="P3157" s="178"/>
    </row>
    <row r="3158" spans="8:16" ht="15.75" customHeight="1">
      <c r="H3158" s="178"/>
      <c r="I3158" s="179"/>
      <c r="J3158" s="184"/>
      <c r="N3158" s="178"/>
      <c r="O3158" s="178"/>
      <c r="P3158" s="178"/>
    </row>
    <row r="3159" spans="8:16" ht="15.75" customHeight="1">
      <c r="H3159" s="178"/>
      <c r="I3159" s="179"/>
      <c r="J3159" s="184"/>
      <c r="N3159" s="178"/>
      <c r="O3159" s="178"/>
      <c r="P3159" s="178"/>
    </row>
    <row r="3160" spans="8:16" ht="15.75" customHeight="1">
      <c r="H3160" s="178"/>
      <c r="I3160" s="179"/>
      <c r="J3160" s="184"/>
      <c r="N3160" s="178"/>
      <c r="O3160" s="178"/>
      <c r="P3160" s="178"/>
    </row>
    <row r="3161" spans="8:16" ht="15.75" customHeight="1">
      <c r="H3161" s="178"/>
      <c r="I3161" s="179"/>
      <c r="J3161" s="184"/>
      <c r="N3161" s="178"/>
      <c r="O3161" s="178"/>
      <c r="P3161" s="178"/>
    </row>
    <row r="3162" spans="8:16" ht="15.75" customHeight="1">
      <c r="H3162" s="178"/>
      <c r="I3162" s="179"/>
      <c r="J3162" s="184"/>
      <c r="N3162" s="178"/>
      <c r="O3162" s="178"/>
      <c r="P3162" s="178"/>
    </row>
    <row r="3163" spans="8:16" ht="15.75" customHeight="1">
      <c r="H3163" s="178"/>
      <c r="I3163" s="179"/>
      <c r="J3163" s="184"/>
      <c r="N3163" s="178"/>
      <c r="O3163" s="178"/>
      <c r="P3163" s="178"/>
    </row>
    <row r="3164" spans="8:16" ht="15.75" customHeight="1">
      <c r="H3164" s="178"/>
      <c r="I3164" s="179"/>
      <c r="J3164" s="184"/>
      <c r="N3164" s="178"/>
      <c r="O3164" s="178"/>
      <c r="P3164" s="178"/>
    </row>
    <row r="3165" spans="8:16" ht="15.75" customHeight="1">
      <c r="H3165" s="178"/>
      <c r="I3165" s="179"/>
      <c r="J3165" s="184"/>
      <c r="N3165" s="178"/>
      <c r="O3165" s="178"/>
      <c r="P3165" s="178"/>
    </row>
    <row r="3166" spans="8:16" ht="15.75" customHeight="1">
      <c r="H3166" s="178"/>
      <c r="I3166" s="179"/>
      <c r="J3166" s="184"/>
      <c r="N3166" s="178"/>
      <c r="O3166" s="178"/>
      <c r="P3166" s="178"/>
    </row>
    <row r="3167" spans="8:16" ht="15.75" customHeight="1">
      <c r="H3167" s="178"/>
      <c r="I3167" s="179"/>
      <c r="J3167" s="184"/>
      <c r="N3167" s="178"/>
      <c r="O3167" s="178"/>
      <c r="P3167" s="178"/>
    </row>
    <row r="3168" spans="8:16" ht="15.75" customHeight="1">
      <c r="H3168" s="178"/>
      <c r="I3168" s="179"/>
      <c r="J3168" s="184"/>
      <c r="N3168" s="178"/>
      <c r="O3168" s="178"/>
      <c r="P3168" s="178"/>
    </row>
    <row r="3169" spans="8:16" ht="15.75" customHeight="1">
      <c r="H3169" s="178"/>
      <c r="I3169" s="179"/>
      <c r="J3169" s="184"/>
      <c r="N3169" s="178"/>
      <c r="O3169" s="178"/>
      <c r="P3169" s="178"/>
    </row>
    <row r="3170" spans="8:16" ht="15.75" customHeight="1">
      <c r="H3170" s="178"/>
      <c r="I3170" s="179"/>
      <c r="J3170" s="184"/>
      <c r="N3170" s="178"/>
      <c r="O3170" s="178"/>
      <c r="P3170" s="178"/>
    </row>
    <row r="3171" spans="8:16" ht="15.75" customHeight="1">
      <c r="H3171" s="178"/>
      <c r="I3171" s="179"/>
      <c r="J3171" s="184"/>
      <c r="N3171" s="178"/>
      <c r="O3171" s="178"/>
      <c r="P3171" s="178"/>
    </row>
    <row r="3172" spans="8:16" ht="15.75" customHeight="1">
      <c r="H3172" s="178"/>
      <c r="I3172" s="179"/>
      <c r="J3172" s="184"/>
      <c r="N3172" s="178"/>
      <c r="O3172" s="178"/>
      <c r="P3172" s="178"/>
    </row>
    <row r="3173" spans="8:16" ht="15.75" customHeight="1">
      <c r="H3173" s="178"/>
      <c r="I3173" s="179"/>
      <c r="J3173" s="184"/>
      <c r="N3173" s="178"/>
      <c r="O3173" s="178"/>
      <c r="P3173" s="178"/>
    </row>
    <row r="3174" spans="8:16" ht="15.75" customHeight="1">
      <c r="H3174" s="178"/>
      <c r="I3174" s="179"/>
      <c r="J3174" s="184"/>
      <c r="N3174" s="178"/>
      <c r="O3174" s="178"/>
      <c r="P3174" s="178"/>
    </row>
    <row r="3175" spans="8:16" ht="15.75" customHeight="1">
      <c r="H3175" s="178"/>
      <c r="I3175" s="179"/>
      <c r="J3175" s="184"/>
      <c r="N3175" s="178"/>
      <c r="O3175" s="178"/>
      <c r="P3175" s="178"/>
    </row>
    <row r="3176" spans="8:16" ht="15.75" customHeight="1">
      <c r="H3176" s="178"/>
      <c r="I3176" s="179"/>
      <c r="J3176" s="184"/>
      <c r="N3176" s="178"/>
      <c r="O3176" s="178"/>
      <c r="P3176" s="178"/>
    </row>
    <row r="3177" spans="8:16" ht="15.75" customHeight="1">
      <c r="H3177" s="178"/>
      <c r="I3177" s="179"/>
      <c r="J3177" s="184"/>
      <c r="N3177" s="178"/>
      <c r="O3177" s="178"/>
      <c r="P3177" s="178"/>
    </row>
    <row r="3178" spans="8:16" ht="15.75" customHeight="1">
      <c r="H3178" s="178"/>
      <c r="I3178" s="179"/>
      <c r="J3178" s="184"/>
      <c r="N3178" s="178"/>
      <c r="O3178" s="178"/>
      <c r="P3178" s="178"/>
    </row>
    <row r="3179" spans="8:16" ht="15.75" customHeight="1">
      <c r="H3179" s="178"/>
      <c r="I3179" s="179"/>
      <c r="J3179" s="184"/>
      <c r="N3179" s="178"/>
      <c r="O3179" s="178"/>
      <c r="P3179" s="178"/>
    </row>
    <row r="3180" spans="8:16" ht="15.75" customHeight="1">
      <c r="H3180" s="178"/>
      <c r="I3180" s="179"/>
      <c r="J3180" s="184"/>
      <c r="N3180" s="178"/>
      <c r="O3180" s="178"/>
      <c r="P3180" s="178"/>
    </row>
    <row r="3181" spans="8:16" ht="15.75" customHeight="1">
      <c r="H3181" s="178"/>
      <c r="I3181" s="179"/>
      <c r="J3181" s="184"/>
      <c r="N3181" s="178"/>
      <c r="O3181" s="178"/>
      <c r="P3181" s="178"/>
    </row>
    <row r="3182" spans="8:16" ht="15.75" customHeight="1">
      <c r="H3182" s="178"/>
      <c r="I3182" s="179"/>
      <c r="J3182" s="184"/>
      <c r="N3182" s="178"/>
      <c r="O3182" s="178"/>
      <c r="P3182" s="178"/>
    </row>
    <row r="3183" spans="8:16" ht="15.75" customHeight="1">
      <c r="H3183" s="178"/>
      <c r="I3183" s="179"/>
      <c r="J3183" s="184"/>
      <c r="N3183" s="178"/>
      <c r="O3183" s="178"/>
      <c r="P3183" s="178"/>
    </row>
    <row r="3184" spans="8:16" ht="15.75" customHeight="1">
      <c r="H3184" s="178"/>
      <c r="I3184" s="179"/>
      <c r="J3184" s="184"/>
      <c r="N3184" s="178"/>
      <c r="O3184" s="178"/>
      <c r="P3184" s="178"/>
    </row>
    <row r="3185" spans="8:16" ht="15.75" customHeight="1">
      <c r="H3185" s="178"/>
      <c r="I3185" s="179"/>
      <c r="J3185" s="184"/>
      <c r="N3185" s="178"/>
      <c r="O3185" s="178"/>
      <c r="P3185" s="178"/>
    </row>
    <row r="3186" spans="8:16" ht="15.75" customHeight="1">
      <c r="H3186" s="178"/>
      <c r="I3186" s="179"/>
      <c r="J3186" s="184"/>
      <c r="N3186" s="178"/>
      <c r="O3186" s="178"/>
      <c r="P3186" s="178"/>
    </row>
    <row r="3187" spans="8:16" ht="15.75" customHeight="1">
      <c r="H3187" s="178"/>
      <c r="I3187" s="179"/>
      <c r="J3187" s="184"/>
      <c r="N3187" s="178"/>
      <c r="O3187" s="178"/>
      <c r="P3187" s="178"/>
    </row>
    <row r="3188" spans="8:16" ht="15.75" customHeight="1">
      <c r="H3188" s="178"/>
      <c r="I3188" s="179"/>
      <c r="J3188" s="184"/>
      <c r="N3188" s="178"/>
      <c r="O3188" s="178"/>
      <c r="P3188" s="178"/>
    </row>
    <row r="3189" spans="8:16" ht="15.75" customHeight="1">
      <c r="H3189" s="178"/>
      <c r="I3189" s="179"/>
      <c r="J3189" s="184"/>
      <c r="N3189" s="178"/>
      <c r="O3189" s="178"/>
      <c r="P3189" s="178"/>
    </row>
    <row r="3190" spans="8:16" ht="15.75" customHeight="1">
      <c r="H3190" s="178"/>
      <c r="I3190" s="179"/>
      <c r="J3190" s="184"/>
      <c r="N3190" s="178"/>
      <c r="O3190" s="178"/>
      <c r="P3190" s="178"/>
    </row>
    <row r="3191" spans="8:16" ht="15.75" customHeight="1">
      <c r="H3191" s="178"/>
      <c r="I3191" s="179"/>
      <c r="J3191" s="184"/>
      <c r="N3191" s="178"/>
      <c r="O3191" s="178"/>
      <c r="P3191" s="178"/>
    </row>
    <row r="3192" spans="8:16" ht="15.75" customHeight="1">
      <c r="H3192" s="178"/>
      <c r="I3192" s="179"/>
      <c r="J3192" s="184"/>
      <c r="N3192" s="178"/>
      <c r="O3192" s="178"/>
      <c r="P3192" s="178"/>
    </row>
    <row r="3193" spans="8:16" ht="15.75" customHeight="1">
      <c r="H3193" s="178"/>
      <c r="I3193" s="179"/>
      <c r="J3193" s="184"/>
      <c r="N3193" s="178"/>
      <c r="O3193" s="178"/>
      <c r="P3193" s="178"/>
    </row>
    <row r="3194" spans="8:16" ht="15.75" customHeight="1">
      <c r="H3194" s="178"/>
      <c r="I3194" s="179"/>
      <c r="J3194" s="184"/>
      <c r="N3194" s="178"/>
      <c r="O3194" s="178"/>
      <c r="P3194" s="178"/>
    </row>
    <row r="3195" spans="8:16" ht="15.75" customHeight="1">
      <c r="H3195" s="178"/>
      <c r="I3195" s="179"/>
      <c r="J3195" s="184"/>
      <c r="N3195" s="178"/>
      <c r="O3195" s="178"/>
      <c r="P3195" s="178"/>
    </row>
    <row r="3196" spans="8:16" ht="15.75" customHeight="1">
      <c r="H3196" s="178"/>
      <c r="I3196" s="179"/>
      <c r="J3196" s="184"/>
      <c r="N3196" s="178"/>
      <c r="O3196" s="178"/>
      <c r="P3196" s="178"/>
    </row>
    <row r="3197" spans="8:16" ht="15.75" customHeight="1">
      <c r="H3197" s="178"/>
      <c r="I3197" s="179"/>
      <c r="J3197" s="184"/>
      <c r="N3197" s="178"/>
      <c r="O3197" s="178"/>
      <c r="P3197" s="178"/>
    </row>
    <row r="3198" spans="8:16" ht="15.75" customHeight="1">
      <c r="H3198" s="178"/>
      <c r="I3198" s="179"/>
      <c r="J3198" s="184"/>
      <c r="N3198" s="178"/>
      <c r="O3198" s="178"/>
      <c r="P3198" s="178"/>
    </row>
    <row r="3199" spans="8:16" ht="15.75" customHeight="1">
      <c r="H3199" s="178"/>
      <c r="I3199" s="179"/>
      <c r="J3199" s="184"/>
      <c r="N3199" s="178"/>
      <c r="O3199" s="178"/>
      <c r="P3199" s="178"/>
    </row>
    <row r="3200" spans="8:16" ht="15.75" customHeight="1">
      <c r="H3200" s="178"/>
      <c r="I3200" s="179"/>
      <c r="J3200" s="184"/>
      <c r="N3200" s="178"/>
      <c r="O3200" s="178"/>
      <c r="P3200" s="178"/>
    </row>
    <row r="3201" spans="8:16" ht="15.75" customHeight="1">
      <c r="H3201" s="178"/>
      <c r="I3201" s="179"/>
      <c r="J3201" s="184"/>
      <c r="N3201" s="178"/>
      <c r="O3201" s="178"/>
      <c r="P3201" s="178"/>
    </row>
    <row r="3202" spans="8:16" ht="15.75" customHeight="1">
      <c r="H3202" s="178"/>
      <c r="I3202" s="179"/>
      <c r="J3202" s="184"/>
      <c r="N3202" s="178"/>
      <c r="O3202" s="178"/>
      <c r="P3202" s="178"/>
    </row>
    <row r="3203" spans="8:16" ht="15.75" customHeight="1">
      <c r="H3203" s="178"/>
      <c r="I3203" s="179"/>
      <c r="J3203" s="184"/>
      <c r="N3203" s="178"/>
      <c r="O3203" s="178"/>
      <c r="P3203" s="178"/>
    </row>
    <row r="3204" spans="8:16" ht="15.75" customHeight="1">
      <c r="H3204" s="178"/>
      <c r="I3204" s="179"/>
      <c r="J3204" s="184"/>
      <c r="N3204" s="178"/>
      <c r="O3204" s="178"/>
      <c r="P3204" s="178"/>
    </row>
    <row r="3205" spans="8:16" ht="15.75" customHeight="1">
      <c r="H3205" s="178"/>
      <c r="I3205" s="179"/>
      <c r="J3205" s="184"/>
      <c r="N3205" s="178"/>
      <c r="O3205" s="178"/>
      <c r="P3205" s="178"/>
    </row>
    <row r="3206" spans="8:16" ht="15.75" customHeight="1">
      <c r="H3206" s="178"/>
      <c r="I3206" s="179"/>
      <c r="J3206" s="184"/>
      <c r="N3206" s="178"/>
      <c r="O3206" s="178"/>
      <c r="P3206" s="178"/>
    </row>
    <row r="3207" spans="8:16" ht="15.75" customHeight="1">
      <c r="H3207" s="178"/>
      <c r="I3207" s="179"/>
      <c r="J3207" s="184"/>
      <c r="N3207" s="178"/>
      <c r="O3207" s="178"/>
      <c r="P3207" s="178"/>
    </row>
    <row r="3208" spans="8:16" ht="15.75" customHeight="1">
      <c r="H3208" s="178"/>
      <c r="I3208" s="179"/>
      <c r="J3208" s="184"/>
      <c r="N3208" s="178"/>
      <c r="O3208" s="178"/>
      <c r="P3208" s="178"/>
    </row>
    <row r="3209" spans="8:16" ht="15.75" customHeight="1">
      <c r="H3209" s="178"/>
      <c r="I3209" s="179"/>
      <c r="J3209" s="184"/>
      <c r="N3209" s="178"/>
      <c r="O3209" s="178"/>
      <c r="P3209" s="178"/>
    </row>
    <row r="3210" spans="8:16" ht="15.75" customHeight="1">
      <c r="H3210" s="178"/>
      <c r="I3210" s="179"/>
      <c r="J3210" s="184"/>
      <c r="N3210" s="178"/>
      <c r="O3210" s="178"/>
      <c r="P3210" s="178"/>
    </row>
    <row r="3211" spans="8:16" ht="15.75" customHeight="1">
      <c r="H3211" s="178"/>
      <c r="I3211" s="179"/>
      <c r="J3211" s="184"/>
      <c r="N3211" s="178"/>
      <c r="O3211" s="178"/>
      <c r="P3211" s="178"/>
    </row>
    <row r="3212" spans="8:16" ht="15.75" customHeight="1">
      <c r="H3212" s="178"/>
      <c r="I3212" s="179"/>
      <c r="J3212" s="184"/>
      <c r="N3212" s="178"/>
      <c r="O3212" s="178"/>
      <c r="P3212" s="178"/>
    </row>
    <row r="3213" spans="8:16" ht="15.75" customHeight="1">
      <c r="H3213" s="178"/>
      <c r="I3213" s="179"/>
      <c r="J3213" s="184"/>
      <c r="N3213" s="178"/>
      <c r="O3213" s="178"/>
      <c r="P3213" s="178"/>
    </row>
    <row r="3214" spans="8:16" ht="15.75" customHeight="1">
      <c r="H3214" s="178"/>
      <c r="I3214" s="179"/>
      <c r="J3214" s="184"/>
      <c r="N3214" s="178"/>
      <c r="O3214" s="178"/>
      <c r="P3214" s="178"/>
    </row>
    <row r="3215" spans="8:16" ht="15.75" customHeight="1">
      <c r="H3215" s="178"/>
      <c r="I3215" s="179"/>
      <c r="J3215" s="184"/>
      <c r="N3215" s="178"/>
      <c r="O3215" s="178"/>
      <c r="P3215" s="178"/>
    </row>
    <row r="3216" spans="8:16" ht="15.75" customHeight="1">
      <c r="H3216" s="178"/>
      <c r="I3216" s="179"/>
      <c r="J3216" s="184"/>
      <c r="N3216" s="178"/>
      <c r="O3216" s="178"/>
      <c r="P3216" s="178"/>
    </row>
    <row r="3217" spans="8:16" ht="15.75" customHeight="1">
      <c r="H3217" s="178"/>
      <c r="I3217" s="179"/>
      <c r="J3217" s="184"/>
      <c r="N3217" s="178"/>
      <c r="O3217" s="178"/>
      <c r="P3217" s="178"/>
    </row>
    <row r="3218" spans="8:16" ht="15.75" customHeight="1">
      <c r="H3218" s="178"/>
      <c r="I3218" s="179"/>
      <c r="J3218" s="184"/>
      <c r="N3218" s="178"/>
      <c r="O3218" s="178"/>
      <c r="P3218" s="178"/>
    </row>
    <row r="3219" spans="8:16" ht="15.75" customHeight="1">
      <c r="H3219" s="178"/>
      <c r="I3219" s="179"/>
      <c r="J3219" s="184"/>
      <c r="N3219" s="178"/>
      <c r="O3219" s="178"/>
      <c r="P3219" s="178"/>
    </row>
    <row r="3220" spans="8:16" ht="15.75" customHeight="1">
      <c r="H3220" s="178"/>
      <c r="I3220" s="179"/>
      <c r="J3220" s="184"/>
      <c r="N3220" s="178"/>
      <c r="O3220" s="178"/>
      <c r="P3220" s="178"/>
    </row>
    <row r="3221" spans="8:16" ht="15.75" customHeight="1">
      <c r="H3221" s="178"/>
      <c r="I3221" s="179"/>
      <c r="J3221" s="184"/>
      <c r="N3221" s="178"/>
      <c r="O3221" s="178"/>
      <c r="P3221" s="178"/>
    </row>
    <row r="3222" spans="8:16" ht="15.75" customHeight="1">
      <c r="H3222" s="178"/>
      <c r="I3222" s="179"/>
      <c r="J3222" s="184"/>
      <c r="N3222" s="178"/>
      <c r="O3222" s="178"/>
      <c r="P3222" s="178"/>
    </row>
    <row r="3223" spans="8:16" ht="15.75" customHeight="1">
      <c r="H3223" s="178"/>
      <c r="I3223" s="179"/>
      <c r="J3223" s="184"/>
      <c r="N3223" s="178"/>
      <c r="O3223" s="178"/>
      <c r="P3223" s="178"/>
    </row>
    <row r="3224" spans="8:16" ht="15.75" customHeight="1">
      <c r="H3224" s="178"/>
      <c r="I3224" s="179"/>
      <c r="J3224" s="184"/>
      <c r="N3224" s="178"/>
      <c r="O3224" s="178"/>
      <c r="P3224" s="178"/>
    </row>
    <row r="3225" spans="8:16" ht="15.75" customHeight="1">
      <c r="H3225" s="178"/>
      <c r="I3225" s="179"/>
      <c r="J3225" s="184"/>
      <c r="N3225" s="178"/>
      <c r="O3225" s="178"/>
      <c r="P3225" s="178"/>
    </row>
    <row r="3226" spans="8:16" ht="15.75" customHeight="1">
      <c r="H3226" s="178"/>
      <c r="I3226" s="179"/>
      <c r="J3226" s="184"/>
      <c r="N3226" s="178"/>
      <c r="O3226" s="178"/>
      <c r="P3226" s="178"/>
    </row>
    <row r="3227" spans="8:16" ht="15.75" customHeight="1">
      <c r="H3227" s="178"/>
      <c r="I3227" s="179"/>
      <c r="J3227" s="184"/>
      <c r="N3227" s="178"/>
      <c r="O3227" s="178"/>
      <c r="P3227" s="178"/>
    </row>
    <row r="3228" spans="8:16" ht="15.75" customHeight="1">
      <c r="H3228" s="178"/>
      <c r="I3228" s="179"/>
      <c r="J3228" s="184"/>
      <c r="N3228" s="178"/>
      <c r="O3228" s="178"/>
      <c r="P3228" s="178"/>
    </row>
    <row r="3229" spans="8:16" ht="15.75" customHeight="1">
      <c r="H3229" s="178"/>
      <c r="I3229" s="179"/>
      <c r="J3229" s="184"/>
      <c r="N3229" s="178"/>
      <c r="O3229" s="178"/>
      <c r="P3229" s="178"/>
    </row>
    <row r="3230" spans="8:16" ht="15.75" customHeight="1">
      <c r="H3230" s="178"/>
      <c r="I3230" s="179"/>
      <c r="J3230" s="184"/>
      <c r="N3230" s="178"/>
      <c r="O3230" s="178"/>
      <c r="P3230" s="178"/>
    </row>
    <row r="3231" spans="8:16" ht="15.75" customHeight="1">
      <c r="H3231" s="178"/>
      <c r="I3231" s="179"/>
      <c r="J3231" s="184"/>
      <c r="N3231" s="178"/>
      <c r="O3231" s="178"/>
      <c r="P3231" s="178"/>
    </row>
    <row r="3232" spans="8:16" ht="15.75" customHeight="1">
      <c r="H3232" s="178"/>
      <c r="I3232" s="179"/>
      <c r="J3232" s="184"/>
      <c r="N3232" s="178"/>
      <c r="O3232" s="178"/>
      <c r="P3232" s="178"/>
    </row>
    <row r="3233" spans="8:16" ht="15.75" customHeight="1">
      <c r="H3233" s="178"/>
      <c r="I3233" s="179"/>
      <c r="J3233" s="184"/>
      <c r="N3233" s="178"/>
      <c r="O3233" s="178"/>
      <c r="P3233" s="178"/>
    </row>
    <row r="3234" spans="8:16" ht="15.75" customHeight="1">
      <c r="H3234" s="178"/>
      <c r="I3234" s="179"/>
      <c r="J3234" s="184"/>
      <c r="N3234" s="178"/>
      <c r="O3234" s="178"/>
      <c r="P3234" s="178"/>
    </row>
    <row r="3235" spans="8:16" ht="15.75" customHeight="1">
      <c r="H3235" s="178"/>
      <c r="I3235" s="179"/>
      <c r="J3235" s="184"/>
      <c r="N3235" s="178"/>
      <c r="O3235" s="178"/>
      <c r="P3235" s="178"/>
    </row>
    <row r="3236" spans="8:16" ht="15.75" customHeight="1">
      <c r="H3236" s="178"/>
      <c r="I3236" s="179"/>
      <c r="J3236" s="184"/>
      <c r="N3236" s="178"/>
      <c r="O3236" s="178"/>
      <c r="P3236" s="178"/>
    </row>
    <row r="3237" spans="8:16" ht="15.75" customHeight="1">
      <c r="H3237" s="178"/>
      <c r="I3237" s="179"/>
      <c r="J3237" s="184"/>
      <c r="N3237" s="178"/>
      <c r="O3237" s="178"/>
      <c r="P3237" s="178"/>
    </row>
    <row r="3238" spans="8:16" ht="15.75" customHeight="1">
      <c r="H3238" s="178"/>
      <c r="I3238" s="179"/>
      <c r="J3238" s="184"/>
      <c r="N3238" s="178"/>
      <c r="O3238" s="178"/>
      <c r="P3238" s="178"/>
    </row>
    <row r="3239" spans="8:16" ht="15.75" customHeight="1">
      <c r="H3239" s="178"/>
      <c r="I3239" s="179"/>
      <c r="J3239" s="184"/>
      <c r="N3239" s="178"/>
      <c r="O3239" s="178"/>
      <c r="P3239" s="178"/>
    </row>
    <row r="3240" spans="8:16" ht="15.75" customHeight="1">
      <c r="H3240" s="178"/>
      <c r="I3240" s="179"/>
      <c r="J3240" s="184"/>
      <c r="N3240" s="178"/>
      <c r="O3240" s="178"/>
      <c r="P3240" s="178"/>
    </row>
    <row r="3241" spans="8:16" ht="15.75" customHeight="1">
      <c r="H3241" s="178"/>
      <c r="I3241" s="179"/>
      <c r="J3241" s="184"/>
      <c r="N3241" s="178"/>
      <c r="O3241" s="178"/>
      <c r="P3241" s="178"/>
    </row>
    <row r="3242" spans="8:16" ht="15.75" customHeight="1">
      <c r="H3242" s="178"/>
      <c r="I3242" s="179"/>
      <c r="J3242" s="184"/>
      <c r="N3242" s="178"/>
      <c r="O3242" s="178"/>
      <c r="P3242" s="178"/>
    </row>
    <row r="3243" spans="8:16" ht="15.75" customHeight="1">
      <c r="H3243" s="178"/>
      <c r="I3243" s="179"/>
      <c r="J3243" s="184"/>
      <c r="N3243" s="178"/>
      <c r="O3243" s="178"/>
      <c r="P3243" s="178"/>
    </row>
    <row r="3244" spans="8:16" ht="15.75" customHeight="1">
      <c r="H3244" s="178"/>
      <c r="I3244" s="179"/>
      <c r="J3244" s="184"/>
      <c r="N3244" s="178"/>
      <c r="O3244" s="178"/>
      <c r="P3244" s="178"/>
    </row>
    <row r="3245" spans="8:16" ht="15.75" customHeight="1">
      <c r="H3245" s="178"/>
      <c r="I3245" s="179"/>
      <c r="J3245" s="184"/>
      <c r="N3245" s="178"/>
      <c r="O3245" s="178"/>
      <c r="P3245" s="178"/>
    </row>
    <row r="3246" spans="8:16" ht="15.75" customHeight="1">
      <c r="H3246" s="178"/>
      <c r="I3246" s="179"/>
      <c r="J3246" s="184"/>
      <c r="N3246" s="178"/>
      <c r="O3246" s="178"/>
      <c r="P3246" s="178"/>
    </row>
    <row r="3247" spans="8:16" ht="15.75" customHeight="1">
      <c r="H3247" s="178"/>
      <c r="I3247" s="179"/>
      <c r="J3247" s="184"/>
      <c r="N3247" s="178"/>
      <c r="O3247" s="178"/>
      <c r="P3247" s="178"/>
    </row>
    <row r="3248" spans="8:16" ht="15.75" customHeight="1">
      <c r="H3248" s="178"/>
      <c r="I3248" s="179"/>
      <c r="J3248" s="184"/>
      <c r="N3248" s="178"/>
      <c r="O3248" s="178"/>
      <c r="P3248" s="178"/>
    </row>
    <row r="3249" spans="8:16" ht="15.75" customHeight="1">
      <c r="H3249" s="178"/>
      <c r="I3249" s="179"/>
      <c r="J3249" s="184"/>
      <c r="N3249" s="178"/>
      <c r="O3249" s="178"/>
      <c r="P3249" s="178"/>
    </row>
    <row r="3250" spans="8:16" ht="15.75" customHeight="1">
      <c r="H3250" s="178"/>
      <c r="I3250" s="179"/>
      <c r="J3250" s="184"/>
      <c r="N3250" s="178"/>
      <c r="O3250" s="178"/>
      <c r="P3250" s="178"/>
    </row>
    <row r="3251" spans="8:16" ht="15.75" customHeight="1">
      <c r="H3251" s="178"/>
      <c r="I3251" s="179"/>
      <c r="J3251" s="184"/>
      <c r="N3251" s="178"/>
      <c r="O3251" s="178"/>
      <c r="P3251" s="178"/>
    </row>
    <row r="3252" spans="8:16" ht="15.75" customHeight="1">
      <c r="H3252" s="178"/>
      <c r="I3252" s="179"/>
      <c r="J3252" s="184"/>
      <c r="N3252" s="178"/>
      <c r="O3252" s="178"/>
      <c r="P3252" s="178"/>
    </row>
    <row r="3253" spans="8:16" ht="15.75" customHeight="1">
      <c r="H3253" s="178"/>
      <c r="I3253" s="179"/>
      <c r="J3253" s="184"/>
      <c r="N3253" s="178"/>
      <c r="O3253" s="178"/>
      <c r="P3253" s="178"/>
    </row>
    <row r="3254" spans="8:16" ht="15.75" customHeight="1">
      <c r="H3254" s="178"/>
      <c r="I3254" s="179"/>
      <c r="J3254" s="184"/>
      <c r="N3254" s="178"/>
      <c r="O3254" s="178"/>
      <c r="P3254" s="178"/>
    </row>
    <row r="3255" spans="8:16" ht="15.75" customHeight="1">
      <c r="H3255" s="178"/>
      <c r="I3255" s="179"/>
      <c r="J3255" s="184"/>
      <c r="N3255" s="178"/>
      <c r="O3255" s="178"/>
      <c r="P3255" s="178"/>
    </row>
    <row r="3256" spans="8:16" ht="15.75" customHeight="1">
      <c r="H3256" s="178"/>
      <c r="I3256" s="179"/>
      <c r="J3256" s="184"/>
      <c r="N3256" s="178"/>
      <c r="O3256" s="178"/>
      <c r="P3256" s="178"/>
    </row>
    <row r="3257" spans="8:16" ht="15.75" customHeight="1">
      <c r="H3257" s="178"/>
      <c r="I3257" s="179"/>
      <c r="J3257" s="184"/>
      <c r="N3257" s="178"/>
      <c r="O3257" s="178"/>
      <c r="P3257" s="178"/>
    </row>
    <row r="3258" spans="8:16" ht="15.75" customHeight="1">
      <c r="H3258" s="178"/>
      <c r="I3258" s="179"/>
      <c r="J3258" s="184"/>
      <c r="N3258" s="178"/>
      <c r="O3258" s="178"/>
      <c r="P3258" s="178"/>
    </row>
    <row r="3259" spans="8:16" ht="15.75" customHeight="1">
      <c r="H3259" s="178"/>
      <c r="I3259" s="179"/>
      <c r="J3259" s="184"/>
      <c r="N3259" s="178"/>
      <c r="O3259" s="178"/>
      <c r="P3259" s="178"/>
    </row>
    <row r="3260" spans="8:16" ht="15.75" customHeight="1">
      <c r="H3260" s="178"/>
      <c r="I3260" s="179"/>
      <c r="J3260" s="184"/>
      <c r="N3260" s="178"/>
      <c r="O3260" s="178"/>
      <c r="P3260" s="178"/>
    </row>
    <row r="3261" spans="8:16" ht="15.75" customHeight="1">
      <c r="H3261" s="178"/>
      <c r="I3261" s="179"/>
      <c r="J3261" s="184"/>
      <c r="N3261" s="178"/>
      <c r="O3261" s="178"/>
      <c r="P3261" s="178"/>
    </row>
    <row r="3262" spans="8:16" ht="15.75" customHeight="1">
      <c r="H3262" s="178"/>
      <c r="I3262" s="179"/>
      <c r="J3262" s="184"/>
      <c r="N3262" s="178"/>
      <c r="O3262" s="178"/>
      <c r="P3262" s="178"/>
    </row>
    <row r="3263" spans="8:16" ht="15.75" customHeight="1">
      <c r="H3263" s="178"/>
      <c r="I3263" s="179"/>
      <c r="J3263" s="184"/>
      <c r="N3263" s="178"/>
      <c r="O3263" s="178"/>
      <c r="P3263" s="178"/>
    </row>
    <row r="3264" spans="8:16" ht="15.75" customHeight="1">
      <c r="H3264" s="178"/>
      <c r="I3264" s="179"/>
      <c r="J3264" s="184"/>
      <c r="N3264" s="178"/>
      <c r="O3264" s="178"/>
      <c r="P3264" s="178"/>
    </row>
    <row r="3265" spans="8:16" ht="15.75" customHeight="1">
      <c r="H3265" s="178"/>
      <c r="I3265" s="179"/>
      <c r="J3265" s="184"/>
      <c r="N3265" s="178"/>
      <c r="O3265" s="178"/>
      <c r="P3265" s="178"/>
    </row>
    <row r="3266" spans="8:16" ht="15.75" customHeight="1">
      <c r="H3266" s="178"/>
      <c r="I3266" s="179"/>
      <c r="J3266" s="184"/>
      <c r="N3266" s="178"/>
      <c r="O3266" s="178"/>
      <c r="P3266" s="178"/>
    </row>
    <row r="3267" spans="8:16" ht="15.75" customHeight="1">
      <c r="H3267" s="178"/>
      <c r="I3267" s="179"/>
      <c r="J3267" s="184"/>
      <c r="N3267" s="178"/>
      <c r="O3267" s="178"/>
      <c r="P3267" s="178"/>
    </row>
    <row r="3268" spans="8:16" ht="15.75" customHeight="1">
      <c r="H3268" s="178"/>
      <c r="I3268" s="179"/>
      <c r="J3268" s="184"/>
      <c r="N3268" s="178"/>
      <c r="O3268" s="178"/>
      <c r="P3268" s="178"/>
    </row>
    <row r="3269" spans="8:16" ht="15.75" customHeight="1">
      <c r="H3269" s="178"/>
      <c r="I3269" s="179"/>
      <c r="J3269" s="184"/>
      <c r="N3269" s="178"/>
      <c r="O3269" s="178"/>
      <c r="P3269" s="178"/>
    </row>
    <row r="3270" spans="8:16" ht="15.75" customHeight="1">
      <c r="H3270" s="178"/>
      <c r="I3270" s="179"/>
      <c r="J3270" s="184"/>
      <c r="N3270" s="178"/>
      <c r="O3270" s="178"/>
      <c r="P3270" s="178"/>
    </row>
    <row r="3271" spans="8:16" ht="15.75" customHeight="1">
      <c r="H3271" s="178"/>
      <c r="I3271" s="179"/>
      <c r="J3271" s="184"/>
      <c r="N3271" s="178"/>
      <c r="O3271" s="178"/>
      <c r="P3271" s="178"/>
    </row>
    <row r="3272" spans="8:16" ht="15.75" customHeight="1">
      <c r="H3272" s="178"/>
      <c r="I3272" s="179"/>
      <c r="J3272" s="184"/>
      <c r="N3272" s="178"/>
      <c r="O3272" s="178"/>
      <c r="P3272" s="178"/>
    </row>
    <row r="3273" spans="8:16" ht="15.75" customHeight="1">
      <c r="H3273" s="178"/>
      <c r="I3273" s="179"/>
      <c r="J3273" s="184"/>
      <c r="N3273" s="178"/>
      <c r="O3273" s="178"/>
      <c r="P3273" s="178"/>
    </row>
    <row r="3274" spans="8:16" ht="15.75" customHeight="1">
      <c r="H3274" s="178"/>
      <c r="I3274" s="179"/>
      <c r="J3274" s="184"/>
      <c r="N3274" s="178"/>
      <c r="O3274" s="178"/>
      <c r="P3274" s="178"/>
    </row>
    <row r="3275" spans="8:16" ht="15.75" customHeight="1">
      <c r="H3275" s="178"/>
      <c r="I3275" s="179"/>
      <c r="J3275" s="184"/>
      <c r="N3275" s="178"/>
      <c r="O3275" s="178"/>
      <c r="P3275" s="178"/>
    </row>
    <row r="3276" spans="8:16" ht="15.75" customHeight="1">
      <c r="H3276" s="178"/>
      <c r="I3276" s="179"/>
      <c r="J3276" s="184"/>
      <c r="N3276" s="178"/>
      <c r="O3276" s="178"/>
      <c r="P3276" s="178"/>
    </row>
    <row r="3277" spans="8:16" ht="15.75" customHeight="1">
      <c r="H3277" s="178"/>
      <c r="I3277" s="179"/>
      <c r="J3277" s="184"/>
      <c r="N3277" s="178"/>
      <c r="O3277" s="178"/>
      <c r="P3277" s="178"/>
    </row>
    <row r="3278" spans="8:16" ht="15.75" customHeight="1">
      <c r="H3278" s="178"/>
      <c r="I3278" s="179"/>
      <c r="J3278" s="184"/>
      <c r="N3278" s="178"/>
      <c r="O3278" s="178"/>
      <c r="P3278" s="178"/>
    </row>
    <row r="3279" spans="8:16" ht="15.75" customHeight="1">
      <c r="H3279" s="178"/>
      <c r="I3279" s="179"/>
      <c r="J3279" s="184"/>
      <c r="N3279" s="178"/>
      <c r="O3279" s="178"/>
      <c r="P3279" s="178"/>
    </row>
    <row r="3280" spans="8:16" ht="15.75" customHeight="1">
      <c r="H3280" s="178"/>
      <c r="I3280" s="179"/>
      <c r="J3280" s="184"/>
      <c r="N3280" s="178"/>
      <c r="O3280" s="178"/>
      <c r="P3280" s="178"/>
    </row>
    <row r="3281" spans="8:16" ht="15.75" customHeight="1">
      <c r="H3281" s="178"/>
      <c r="I3281" s="179"/>
      <c r="J3281" s="184"/>
      <c r="N3281" s="178"/>
      <c r="O3281" s="178"/>
      <c r="P3281" s="178"/>
    </row>
    <row r="3282" spans="8:16" ht="15.75" customHeight="1">
      <c r="H3282" s="178"/>
      <c r="I3282" s="179"/>
      <c r="J3282" s="184"/>
      <c r="P3282" s="178"/>
    </row>
    <row r="3283" spans="8:16" ht="15.75" customHeight="1">
      <c r="H3283" s="178"/>
      <c r="I3283" s="179"/>
      <c r="J3283" s="184"/>
      <c r="P3283" s="178"/>
    </row>
    <row r="3284" spans="8:16" ht="15.75" customHeight="1">
      <c r="H3284" s="178"/>
      <c r="I3284" s="179"/>
      <c r="J3284" s="184"/>
      <c r="P3284" s="178"/>
    </row>
    <row r="3285" spans="8:16" ht="15.75" customHeight="1">
      <c r="H3285" s="178"/>
      <c r="I3285" s="179"/>
      <c r="J3285" s="184"/>
      <c r="P3285" s="178"/>
    </row>
    <row r="3286" spans="8:16" ht="15.75" customHeight="1">
      <c r="H3286" s="178"/>
      <c r="I3286" s="179"/>
      <c r="J3286" s="184"/>
      <c r="P3286" s="178"/>
    </row>
    <row r="3287" spans="8:16" ht="15.75" customHeight="1">
      <c r="H3287" s="178"/>
      <c r="I3287" s="179"/>
      <c r="J3287" s="184"/>
      <c r="P3287" s="178"/>
    </row>
    <row r="3288" spans="8:16" ht="15.75" customHeight="1">
      <c r="H3288" s="178"/>
      <c r="I3288" s="179"/>
      <c r="J3288" s="184"/>
      <c r="P3288" s="178"/>
    </row>
    <row r="3289" spans="8:16" ht="15.75" customHeight="1">
      <c r="H3289" s="178"/>
      <c r="I3289" s="179"/>
      <c r="J3289" s="184"/>
      <c r="P3289" s="178"/>
    </row>
    <row r="3290" spans="8:16" ht="15.75" customHeight="1">
      <c r="H3290" s="178"/>
      <c r="I3290" s="179"/>
      <c r="J3290" s="184"/>
      <c r="P3290" s="178"/>
    </row>
    <row r="3291" spans="8:16" ht="15.75" customHeight="1">
      <c r="H3291" s="178"/>
      <c r="I3291" s="179"/>
      <c r="J3291" s="184"/>
      <c r="P3291" s="178"/>
    </row>
    <row r="3292" spans="8:16" ht="15.75" customHeight="1">
      <c r="H3292" s="178"/>
      <c r="I3292" s="179"/>
      <c r="J3292" s="184"/>
      <c r="P3292" s="178"/>
    </row>
    <row r="3293" spans="8:16" ht="15.75" customHeight="1">
      <c r="H3293" s="178"/>
      <c r="I3293" s="179"/>
      <c r="J3293" s="184"/>
      <c r="P3293" s="178"/>
    </row>
    <row r="3294" spans="8:16" ht="15.75" customHeight="1">
      <c r="H3294" s="178"/>
      <c r="I3294" s="179"/>
      <c r="J3294" s="184"/>
      <c r="P3294" s="178"/>
    </row>
    <row r="3295" spans="8:16" ht="15.75" customHeight="1">
      <c r="H3295" s="178"/>
      <c r="I3295" s="179"/>
      <c r="J3295" s="184"/>
    </row>
    <row r="3296" spans="8:16" ht="15.75" customHeight="1">
      <c r="H3296" s="178"/>
      <c r="I3296" s="179"/>
      <c r="J3296" s="184"/>
    </row>
    <row r="3297" spans="8:10" ht="15.75" customHeight="1">
      <c r="H3297" s="178"/>
      <c r="I3297" s="179"/>
      <c r="J3297" s="184"/>
    </row>
    <row r="3298" spans="8:10" ht="15.75" customHeight="1">
      <c r="H3298" s="178"/>
      <c r="I3298" s="179"/>
      <c r="J3298" s="184"/>
    </row>
    <row r="3299" spans="8:10" ht="15.75" customHeight="1">
      <c r="H3299" s="178"/>
      <c r="I3299" s="179"/>
      <c r="J3299" s="184"/>
    </row>
    <row r="3300" spans="8:10" ht="15.75" customHeight="1">
      <c r="H3300" s="178"/>
      <c r="I3300" s="179"/>
      <c r="J3300" s="184"/>
    </row>
    <row r="3301" spans="8:10" ht="15.75" customHeight="1">
      <c r="H3301" s="178"/>
      <c r="I3301" s="179"/>
      <c r="J3301" s="184"/>
    </row>
    <row r="3302" spans="8:10" ht="15.75" customHeight="1">
      <c r="H3302" s="178"/>
      <c r="I3302" s="179"/>
      <c r="J3302" s="184"/>
    </row>
    <row r="3303" spans="8:10" ht="15.75" customHeight="1">
      <c r="H3303" s="178"/>
      <c r="I3303" s="179"/>
      <c r="J3303" s="184"/>
    </row>
    <row r="3304" spans="8:10" ht="15.75" customHeight="1">
      <c r="H3304" s="178"/>
      <c r="I3304" s="179"/>
      <c r="J3304" s="184"/>
    </row>
    <row r="3305" spans="8:10" ht="15.75" customHeight="1">
      <c r="H3305" s="178"/>
      <c r="I3305" s="179"/>
      <c r="J3305" s="184"/>
    </row>
    <row r="3306" spans="8:10" ht="15.75" customHeight="1">
      <c r="H3306" s="178"/>
      <c r="I3306" s="179"/>
      <c r="J3306" s="184"/>
    </row>
    <row r="3307" spans="8:10" ht="15.75" customHeight="1">
      <c r="H3307" s="178"/>
      <c r="I3307" s="179"/>
      <c r="J3307" s="184"/>
    </row>
    <row r="3308" spans="8:10" ht="15.75" customHeight="1">
      <c r="H3308" s="178"/>
      <c r="I3308" s="179"/>
      <c r="J3308" s="184"/>
    </row>
    <row r="3309" spans="8:10" ht="15.75" customHeight="1">
      <c r="H3309" s="178"/>
      <c r="I3309" s="179"/>
      <c r="J3309" s="184"/>
    </row>
    <row r="3310" spans="8:10" ht="15.75" customHeight="1">
      <c r="H3310" s="178"/>
      <c r="I3310" s="179"/>
      <c r="J3310" s="184"/>
    </row>
    <row r="3311" spans="8:10" ht="15.75" customHeight="1">
      <c r="H3311" s="178"/>
      <c r="I3311" s="179"/>
      <c r="J3311" s="184"/>
    </row>
    <row r="3312" spans="8:10" ht="15.75" customHeight="1">
      <c r="H3312" s="178"/>
      <c r="I3312" s="179"/>
      <c r="J3312" s="184"/>
    </row>
    <row r="3313" spans="8:10" ht="15.75" customHeight="1">
      <c r="H3313" s="178"/>
      <c r="I3313" s="179"/>
      <c r="J3313" s="184"/>
    </row>
    <row r="3314" spans="8:10" ht="15.75" customHeight="1">
      <c r="H3314" s="178"/>
      <c r="I3314" s="179"/>
      <c r="J3314" s="184"/>
    </row>
    <row r="3315" spans="8:10" ht="15.75" customHeight="1">
      <c r="H3315" s="178"/>
      <c r="I3315" s="179"/>
      <c r="J3315" s="184"/>
    </row>
    <row r="3316" spans="8:10" ht="15.75" customHeight="1">
      <c r="H3316" s="178"/>
      <c r="I3316" s="179"/>
      <c r="J3316" s="184"/>
    </row>
    <row r="3317" spans="8:10" ht="15.75" customHeight="1">
      <c r="H3317" s="178"/>
      <c r="I3317" s="179"/>
      <c r="J3317" s="184"/>
    </row>
    <row r="3318" spans="8:10" ht="15.75" customHeight="1">
      <c r="H3318" s="178"/>
      <c r="I3318" s="179"/>
      <c r="J3318" s="184"/>
    </row>
    <row r="3319" spans="8:10" ht="15.75" customHeight="1">
      <c r="H3319" s="178"/>
      <c r="I3319" s="179"/>
      <c r="J3319" s="184"/>
    </row>
    <row r="3320" spans="8:10" ht="15.75" customHeight="1">
      <c r="H3320" s="178"/>
      <c r="I3320" s="179"/>
      <c r="J3320" s="184"/>
    </row>
    <row r="3321" spans="8:10" ht="15.75" customHeight="1">
      <c r="H3321" s="178"/>
      <c r="I3321" s="179"/>
      <c r="J3321" s="184"/>
    </row>
    <row r="3322" spans="8:10" ht="15.75" customHeight="1">
      <c r="H3322" s="178"/>
      <c r="I3322" s="179"/>
      <c r="J3322" s="184"/>
    </row>
    <row r="3323" spans="8:10" ht="15.75" customHeight="1">
      <c r="H3323" s="178"/>
      <c r="I3323" s="179"/>
      <c r="J3323" s="184"/>
    </row>
    <row r="3324" spans="8:10" ht="15.75" customHeight="1">
      <c r="H3324" s="178"/>
      <c r="I3324" s="179"/>
      <c r="J3324" s="184"/>
    </row>
    <row r="3325" spans="8:10" ht="15.75" customHeight="1">
      <c r="H3325" s="178"/>
      <c r="I3325" s="179"/>
      <c r="J3325" s="184"/>
    </row>
    <row r="3326" spans="8:10" ht="15.75" customHeight="1">
      <c r="H3326" s="178"/>
      <c r="I3326" s="179"/>
      <c r="J3326" s="184"/>
    </row>
    <row r="3327" spans="8:10" ht="15.75" customHeight="1">
      <c r="H3327" s="178"/>
      <c r="I3327" s="179"/>
      <c r="J3327" s="184"/>
    </row>
    <row r="3328" spans="8:10" ht="15.75" customHeight="1">
      <c r="H3328" s="178"/>
      <c r="I3328" s="179"/>
      <c r="J3328" s="184"/>
    </row>
    <row r="3329" spans="8:10" ht="15.75" customHeight="1">
      <c r="H3329" s="178"/>
      <c r="I3329" s="179"/>
      <c r="J3329" s="184"/>
    </row>
    <row r="3330" spans="8:10" ht="15.75" customHeight="1">
      <c r="H3330" s="178"/>
      <c r="I3330" s="179"/>
      <c r="J3330" s="184"/>
    </row>
    <row r="3331" spans="8:10" ht="15.75" customHeight="1">
      <c r="H3331" s="178"/>
      <c r="I3331" s="179"/>
      <c r="J3331" s="184"/>
    </row>
    <row r="3332" spans="8:10" ht="15.75" customHeight="1">
      <c r="H3332" s="178"/>
      <c r="I3332" s="179"/>
      <c r="J3332" s="184"/>
    </row>
    <row r="3333" spans="8:10" ht="15.75" customHeight="1">
      <c r="H3333" s="178"/>
      <c r="I3333" s="179"/>
      <c r="J3333" s="184"/>
    </row>
    <row r="3334" spans="8:10" ht="15.75" customHeight="1">
      <c r="H3334" s="178"/>
      <c r="I3334" s="179"/>
      <c r="J3334" s="184"/>
    </row>
    <row r="3335" spans="8:10" ht="15.75" customHeight="1">
      <c r="H3335" s="178"/>
      <c r="I3335" s="179"/>
      <c r="J3335" s="184"/>
    </row>
    <row r="3336" spans="8:10" ht="15.75" customHeight="1">
      <c r="H3336" s="178"/>
      <c r="I3336" s="179"/>
      <c r="J3336" s="184"/>
    </row>
    <row r="3337" spans="8:10" ht="15.75" customHeight="1">
      <c r="H3337" s="178"/>
      <c r="I3337" s="179"/>
      <c r="J3337" s="184"/>
    </row>
    <row r="3338" spans="8:10" ht="15.75" customHeight="1">
      <c r="H3338" s="178"/>
      <c r="I3338" s="179"/>
      <c r="J3338" s="184"/>
    </row>
    <row r="3339" spans="8:10" ht="15.75" customHeight="1">
      <c r="H3339" s="178"/>
      <c r="I3339" s="179"/>
      <c r="J3339" s="184"/>
    </row>
    <row r="3340" spans="8:10" ht="15.75" customHeight="1">
      <c r="H3340" s="178"/>
      <c r="I3340" s="179"/>
      <c r="J3340" s="184"/>
    </row>
    <row r="3341" spans="8:10" ht="15.75" customHeight="1">
      <c r="H3341" s="178"/>
      <c r="I3341" s="179"/>
      <c r="J3341" s="184"/>
    </row>
    <row r="3342" spans="8:10" ht="15.75" customHeight="1">
      <c r="H3342" s="178"/>
      <c r="I3342" s="179"/>
      <c r="J3342" s="184"/>
    </row>
    <row r="3343" spans="8:10" ht="15.75" customHeight="1">
      <c r="H3343" s="178"/>
      <c r="I3343" s="179"/>
      <c r="J3343" s="184"/>
    </row>
    <row r="3344" spans="8:10" ht="15.75" customHeight="1">
      <c r="H3344" s="178"/>
      <c r="I3344" s="179"/>
      <c r="J3344" s="184"/>
    </row>
    <row r="3345" spans="8:10" ht="15.75" customHeight="1">
      <c r="H3345" s="178"/>
      <c r="I3345" s="179"/>
      <c r="J3345" s="184"/>
    </row>
    <row r="3346" spans="8:10" ht="15.75" customHeight="1">
      <c r="H3346" s="178"/>
      <c r="I3346" s="179"/>
      <c r="J3346" s="184"/>
    </row>
    <row r="3347" spans="8:10" ht="15.75" customHeight="1">
      <c r="H3347" s="178"/>
      <c r="I3347" s="179"/>
      <c r="J3347" s="184"/>
    </row>
    <row r="3348" spans="8:10" ht="15.75" customHeight="1">
      <c r="H3348" s="178"/>
      <c r="I3348" s="179"/>
      <c r="J3348" s="184"/>
    </row>
    <row r="3349" spans="8:10" ht="15.75" customHeight="1">
      <c r="H3349" s="178"/>
      <c r="I3349" s="179"/>
      <c r="J3349" s="184"/>
    </row>
    <row r="3350" spans="8:10" ht="15.75" customHeight="1">
      <c r="H3350" s="178"/>
      <c r="I3350" s="179"/>
      <c r="J3350" s="184"/>
    </row>
    <row r="3351" spans="8:10" ht="15.75" customHeight="1">
      <c r="H3351" s="178"/>
      <c r="I3351" s="179"/>
      <c r="J3351" s="184"/>
    </row>
    <row r="3352" spans="8:10" ht="15.75" customHeight="1">
      <c r="H3352" s="178"/>
      <c r="I3352" s="179"/>
      <c r="J3352" s="184"/>
    </row>
    <row r="3353" spans="8:10" ht="15.75" customHeight="1">
      <c r="H3353" s="178"/>
      <c r="I3353" s="179"/>
      <c r="J3353" s="184"/>
    </row>
    <row r="3354" spans="8:10" ht="15.75" customHeight="1">
      <c r="H3354" s="178"/>
      <c r="I3354" s="179"/>
      <c r="J3354" s="184"/>
    </row>
    <row r="3355" spans="8:10" ht="15.75" customHeight="1">
      <c r="H3355" s="178"/>
      <c r="I3355" s="179"/>
      <c r="J3355" s="184"/>
    </row>
    <row r="3356" spans="8:10" ht="15.75" customHeight="1">
      <c r="H3356" s="178"/>
      <c r="I3356" s="179"/>
      <c r="J3356" s="184"/>
    </row>
    <row r="3357" spans="8:10" ht="15.75" customHeight="1">
      <c r="H3357" s="178"/>
      <c r="I3357" s="179"/>
      <c r="J3357" s="184"/>
    </row>
    <row r="3358" spans="8:10" ht="15.75" customHeight="1">
      <c r="H3358" s="178"/>
      <c r="I3358" s="179"/>
      <c r="J3358" s="184"/>
    </row>
    <row r="3359" spans="8:10" ht="15.75" customHeight="1">
      <c r="H3359" s="178"/>
      <c r="I3359" s="179"/>
      <c r="J3359" s="184"/>
    </row>
    <row r="3360" spans="8:10" ht="15.75" customHeight="1">
      <c r="H3360" s="178"/>
      <c r="I3360" s="179"/>
      <c r="J3360" s="184"/>
    </row>
    <row r="3361" spans="8:10" ht="15.75" customHeight="1">
      <c r="H3361" s="178"/>
      <c r="I3361" s="179"/>
      <c r="J3361" s="184"/>
    </row>
    <row r="3362" spans="8:10" ht="15.75" customHeight="1">
      <c r="H3362" s="178"/>
      <c r="I3362" s="179"/>
      <c r="J3362" s="184"/>
    </row>
    <row r="3363" spans="8:10" ht="15.75" customHeight="1">
      <c r="H3363" s="178"/>
      <c r="I3363" s="179"/>
      <c r="J3363" s="184"/>
    </row>
    <row r="3364" spans="8:10" ht="15.75" customHeight="1">
      <c r="H3364" s="178"/>
      <c r="I3364" s="179"/>
      <c r="J3364" s="184"/>
    </row>
    <row r="3365" spans="8:10" ht="15.75" customHeight="1">
      <c r="H3365" s="178"/>
      <c r="I3365" s="179"/>
      <c r="J3365" s="184"/>
    </row>
    <row r="3366" spans="8:10" ht="15.75" customHeight="1">
      <c r="H3366" s="178"/>
      <c r="I3366" s="179"/>
      <c r="J3366" s="184"/>
    </row>
    <row r="3367" spans="8:10" ht="15.75" customHeight="1">
      <c r="H3367" s="178"/>
      <c r="I3367" s="179"/>
      <c r="J3367" s="184"/>
    </row>
    <row r="3368" spans="8:10" ht="15.75" customHeight="1">
      <c r="H3368" s="178"/>
      <c r="I3368" s="179"/>
      <c r="J3368" s="184"/>
    </row>
    <row r="3369" spans="8:10" ht="15.75" customHeight="1">
      <c r="H3369" s="178"/>
      <c r="I3369" s="179"/>
      <c r="J3369" s="184"/>
    </row>
    <row r="3370" spans="8:10" ht="15.75" customHeight="1">
      <c r="H3370" s="178"/>
      <c r="I3370" s="179"/>
      <c r="J3370" s="184"/>
    </row>
    <row r="3371" spans="8:10" ht="15.75" customHeight="1">
      <c r="H3371" s="178"/>
      <c r="I3371" s="179"/>
      <c r="J3371" s="184"/>
    </row>
    <row r="3372" spans="8:10" ht="15.75" customHeight="1">
      <c r="H3372" s="178"/>
      <c r="I3372" s="179"/>
      <c r="J3372" s="184"/>
    </row>
    <row r="3373" spans="8:10" ht="15.75" customHeight="1">
      <c r="H3373" s="178"/>
      <c r="I3373" s="179"/>
      <c r="J3373" s="184"/>
    </row>
    <row r="3374" spans="8:10" ht="15.75" customHeight="1">
      <c r="H3374" s="178"/>
      <c r="I3374" s="179"/>
      <c r="J3374" s="184"/>
    </row>
    <row r="3375" spans="8:10" ht="15.75" customHeight="1">
      <c r="H3375" s="178"/>
      <c r="I3375" s="179"/>
      <c r="J3375" s="184"/>
    </row>
    <row r="3376" spans="8:10" ht="15.75" customHeight="1">
      <c r="H3376" s="178"/>
      <c r="I3376" s="179"/>
      <c r="J3376" s="184"/>
    </row>
    <row r="3377" spans="8:10" ht="15.75" customHeight="1">
      <c r="H3377" s="178"/>
      <c r="I3377" s="179"/>
      <c r="J3377" s="184"/>
    </row>
    <row r="3378" spans="8:10" ht="15.75" customHeight="1">
      <c r="H3378" s="178"/>
      <c r="I3378" s="179"/>
      <c r="J3378" s="184"/>
    </row>
    <row r="3379" spans="8:10" ht="15.75" customHeight="1">
      <c r="H3379" s="178"/>
      <c r="I3379" s="179"/>
      <c r="J3379" s="184"/>
    </row>
    <row r="3380" spans="8:10" ht="15.75" customHeight="1">
      <c r="H3380" s="178"/>
      <c r="I3380" s="179"/>
      <c r="J3380" s="184"/>
    </row>
    <row r="3381" spans="8:10" ht="15.75" customHeight="1">
      <c r="H3381" s="178"/>
      <c r="I3381" s="179"/>
      <c r="J3381" s="184"/>
    </row>
    <row r="3382" spans="8:10" ht="15.75" customHeight="1">
      <c r="H3382" s="178"/>
      <c r="I3382" s="179"/>
      <c r="J3382" s="184"/>
    </row>
    <row r="3383" spans="8:10" ht="15.75" customHeight="1">
      <c r="H3383" s="178"/>
      <c r="I3383" s="179"/>
      <c r="J3383" s="184"/>
    </row>
    <row r="3384" spans="8:10" ht="15.75" customHeight="1">
      <c r="H3384" s="178"/>
      <c r="I3384" s="179"/>
      <c r="J3384" s="184"/>
    </row>
    <row r="3385" spans="8:10" ht="15.75" customHeight="1">
      <c r="H3385" s="178"/>
      <c r="I3385" s="179"/>
      <c r="J3385" s="184"/>
    </row>
    <row r="3386" spans="8:10" ht="15.75" customHeight="1">
      <c r="H3386" s="178"/>
      <c r="I3386" s="179"/>
      <c r="J3386" s="184"/>
    </row>
    <row r="3387" spans="8:10" ht="15.75" customHeight="1">
      <c r="H3387" s="178"/>
      <c r="I3387" s="179"/>
      <c r="J3387" s="184"/>
    </row>
    <row r="3388" spans="8:10" ht="15.75" customHeight="1">
      <c r="H3388" s="178"/>
      <c r="I3388" s="179"/>
      <c r="J3388" s="184"/>
    </row>
    <row r="3389" spans="8:10" ht="15.75" customHeight="1">
      <c r="H3389" s="178"/>
      <c r="I3389" s="179"/>
      <c r="J3389" s="184"/>
    </row>
    <row r="3390" spans="8:10" ht="15.75" customHeight="1">
      <c r="H3390" s="178"/>
      <c r="I3390" s="179"/>
      <c r="J3390" s="184"/>
    </row>
    <row r="3391" spans="8:10" ht="15.75" customHeight="1">
      <c r="H3391" s="178"/>
      <c r="I3391" s="179"/>
      <c r="J3391" s="184"/>
    </row>
    <row r="3392" spans="8:10" ht="15.75" customHeight="1">
      <c r="H3392" s="178"/>
      <c r="I3392" s="179"/>
      <c r="J3392" s="184"/>
    </row>
    <row r="3393" spans="8:10" ht="15.75" customHeight="1">
      <c r="H3393" s="178"/>
      <c r="I3393" s="179"/>
      <c r="J3393" s="184"/>
    </row>
    <row r="3394" spans="8:10" ht="15.75" customHeight="1">
      <c r="H3394" s="178"/>
      <c r="I3394" s="179"/>
      <c r="J3394" s="184"/>
    </row>
    <row r="3395" spans="8:10" ht="15.75" customHeight="1">
      <c r="H3395" s="178"/>
      <c r="I3395" s="179"/>
      <c r="J3395" s="184"/>
    </row>
    <row r="3396" spans="8:10" ht="15.75" customHeight="1">
      <c r="H3396" s="178"/>
      <c r="I3396" s="179"/>
      <c r="J3396" s="184"/>
    </row>
    <row r="3397" spans="8:10" ht="15.75" customHeight="1">
      <c r="H3397" s="178"/>
      <c r="I3397" s="179"/>
      <c r="J3397" s="184"/>
    </row>
    <row r="3398" spans="8:10" ht="15.75" customHeight="1">
      <c r="H3398" s="178"/>
      <c r="I3398" s="179"/>
      <c r="J3398" s="184"/>
    </row>
    <row r="3399" spans="8:10" ht="15.75" customHeight="1">
      <c r="H3399" s="178"/>
      <c r="I3399" s="179"/>
      <c r="J3399" s="184"/>
    </row>
    <row r="3400" spans="8:10" ht="15.75" customHeight="1">
      <c r="H3400" s="178"/>
      <c r="I3400" s="179"/>
      <c r="J3400" s="184"/>
    </row>
    <row r="3401" spans="8:10" ht="15.75" customHeight="1">
      <c r="H3401" s="178"/>
      <c r="I3401" s="179"/>
      <c r="J3401" s="184"/>
    </row>
    <row r="3402" spans="8:10" ht="15.75" customHeight="1">
      <c r="H3402" s="178"/>
      <c r="I3402" s="179"/>
      <c r="J3402" s="184"/>
    </row>
    <row r="3403" spans="8:10" ht="15.75" customHeight="1">
      <c r="H3403" s="178"/>
      <c r="I3403" s="179"/>
      <c r="J3403" s="184"/>
    </row>
    <row r="3404" spans="8:10" ht="15.75" customHeight="1">
      <c r="H3404" s="178"/>
      <c r="I3404" s="179"/>
      <c r="J3404" s="184"/>
    </row>
    <row r="3405" spans="8:10" ht="15.75" customHeight="1">
      <c r="H3405" s="178"/>
      <c r="I3405" s="179"/>
      <c r="J3405" s="184"/>
    </row>
    <row r="3406" spans="8:10" ht="15.75" customHeight="1">
      <c r="H3406" s="178"/>
      <c r="I3406" s="179"/>
      <c r="J3406" s="184"/>
    </row>
    <row r="3407" spans="8:10" ht="15.75" customHeight="1">
      <c r="H3407" s="178"/>
      <c r="I3407" s="179"/>
      <c r="J3407" s="184"/>
    </row>
    <row r="3408" spans="8:10" ht="15.75" customHeight="1">
      <c r="H3408" s="178"/>
      <c r="I3408" s="179"/>
      <c r="J3408" s="184"/>
    </row>
    <row r="3409" spans="8:10" ht="15.75" customHeight="1">
      <c r="H3409" s="178"/>
      <c r="I3409" s="179"/>
      <c r="J3409" s="184"/>
    </row>
    <row r="3410" spans="8:10" ht="15.75" customHeight="1">
      <c r="H3410" s="178"/>
      <c r="I3410" s="179"/>
      <c r="J3410" s="184"/>
    </row>
    <row r="3411" spans="8:10" ht="15.75" customHeight="1">
      <c r="H3411" s="178"/>
      <c r="I3411" s="179"/>
      <c r="J3411" s="184"/>
    </row>
    <row r="3412" spans="8:10" ht="15.75" customHeight="1">
      <c r="H3412" s="178"/>
      <c r="I3412" s="179"/>
      <c r="J3412" s="184"/>
    </row>
    <row r="3413" spans="8:10" ht="15.75" customHeight="1">
      <c r="H3413" s="178"/>
      <c r="I3413" s="179"/>
      <c r="J3413" s="184"/>
    </row>
    <row r="3414" spans="8:10" ht="15.75" customHeight="1">
      <c r="H3414" s="178"/>
      <c r="I3414" s="179"/>
      <c r="J3414" s="184"/>
    </row>
    <row r="3415" spans="8:10" ht="15.75" customHeight="1">
      <c r="H3415" s="178"/>
      <c r="I3415" s="179"/>
      <c r="J3415" s="184"/>
    </row>
    <row r="3416" spans="8:10" ht="15.75" customHeight="1">
      <c r="H3416" s="178"/>
      <c r="I3416" s="179"/>
      <c r="J3416" s="184"/>
    </row>
    <row r="3417" spans="8:10" ht="15.75" customHeight="1">
      <c r="H3417" s="178"/>
      <c r="I3417" s="179"/>
      <c r="J3417" s="184"/>
    </row>
    <row r="3418" spans="8:10" ht="15.75" customHeight="1">
      <c r="H3418" s="178"/>
      <c r="I3418" s="179"/>
      <c r="J3418" s="184"/>
    </row>
    <row r="3419" spans="8:10" ht="15.75" customHeight="1">
      <c r="H3419" s="178"/>
      <c r="I3419" s="179"/>
      <c r="J3419" s="184"/>
    </row>
    <row r="3420" spans="8:10" ht="15.75" customHeight="1">
      <c r="H3420" s="178"/>
      <c r="I3420" s="179"/>
      <c r="J3420" s="184"/>
    </row>
    <row r="3421" spans="8:10" ht="15.75" customHeight="1">
      <c r="H3421" s="178"/>
      <c r="I3421" s="179"/>
      <c r="J3421" s="184"/>
    </row>
    <row r="3422" spans="8:10" ht="15.75" customHeight="1">
      <c r="H3422" s="178"/>
      <c r="I3422" s="179"/>
      <c r="J3422" s="184"/>
    </row>
    <row r="3423" spans="8:10" ht="15.75" customHeight="1">
      <c r="H3423" s="178"/>
      <c r="I3423" s="179"/>
      <c r="J3423" s="184"/>
    </row>
    <row r="3424" spans="8:10" ht="15.75" customHeight="1">
      <c r="H3424" s="178"/>
      <c r="I3424" s="179"/>
      <c r="J3424" s="184"/>
    </row>
    <row r="3425" spans="8:10" ht="15.75" customHeight="1">
      <c r="H3425" s="178"/>
      <c r="I3425" s="179"/>
      <c r="J3425" s="184"/>
    </row>
    <row r="3426" spans="8:10" ht="15.75" customHeight="1">
      <c r="H3426" s="178"/>
      <c r="I3426" s="179"/>
      <c r="J3426" s="184"/>
    </row>
    <row r="3427" spans="8:10" ht="15.75" customHeight="1">
      <c r="H3427" s="178"/>
      <c r="I3427" s="179"/>
      <c r="J3427" s="184"/>
    </row>
    <row r="3428" spans="8:10" ht="15.75" customHeight="1">
      <c r="H3428" s="178"/>
      <c r="I3428" s="179"/>
      <c r="J3428" s="184"/>
    </row>
    <row r="3429" spans="8:10" ht="15.75" customHeight="1">
      <c r="H3429" s="178"/>
      <c r="I3429" s="179"/>
      <c r="J3429" s="184"/>
    </row>
    <row r="3430" spans="8:10" ht="15.75" customHeight="1">
      <c r="H3430" s="178"/>
      <c r="I3430" s="179"/>
      <c r="J3430" s="184"/>
    </row>
    <row r="3431" spans="8:10" ht="15.75" customHeight="1">
      <c r="H3431" s="178"/>
      <c r="I3431" s="179"/>
      <c r="J3431" s="184"/>
    </row>
    <row r="3432" spans="8:10" ht="15.75" customHeight="1">
      <c r="H3432" s="178"/>
      <c r="I3432" s="179"/>
      <c r="J3432" s="184"/>
    </row>
    <row r="3433" spans="8:10" ht="15.75" customHeight="1">
      <c r="H3433" s="178"/>
      <c r="I3433" s="179"/>
      <c r="J3433" s="184"/>
    </row>
    <row r="3434" spans="8:10" ht="15.75" customHeight="1">
      <c r="H3434" s="178"/>
      <c r="I3434" s="179"/>
      <c r="J3434" s="184"/>
    </row>
    <row r="3435" spans="8:10" ht="15.75" customHeight="1">
      <c r="H3435" s="178"/>
      <c r="I3435" s="179"/>
      <c r="J3435" s="184"/>
    </row>
    <row r="3436" spans="8:10" ht="15.75" customHeight="1">
      <c r="H3436" s="178"/>
      <c r="I3436" s="179"/>
      <c r="J3436" s="184"/>
    </row>
    <row r="3437" spans="8:10" ht="15.75" customHeight="1">
      <c r="H3437" s="178"/>
      <c r="I3437" s="179"/>
      <c r="J3437" s="184"/>
    </row>
    <row r="3438" spans="8:10" ht="15.75" customHeight="1">
      <c r="H3438" s="178"/>
      <c r="I3438" s="179"/>
      <c r="J3438" s="184"/>
    </row>
    <row r="3439" spans="8:10" ht="15.75" customHeight="1">
      <c r="H3439" s="178"/>
      <c r="I3439" s="179"/>
      <c r="J3439" s="184"/>
    </row>
    <row r="3440" spans="8:10" ht="15.75" customHeight="1">
      <c r="H3440" s="178"/>
      <c r="I3440" s="179"/>
      <c r="J3440" s="184"/>
    </row>
    <row r="3441" spans="8:10" ht="15.75" customHeight="1">
      <c r="H3441" s="178"/>
      <c r="I3441" s="179"/>
      <c r="J3441" s="184"/>
    </row>
    <row r="3442" spans="8:10" ht="15.75" customHeight="1">
      <c r="H3442" s="178"/>
      <c r="I3442" s="179"/>
      <c r="J3442" s="184"/>
    </row>
    <row r="3443" spans="8:10" ht="15.75" customHeight="1">
      <c r="H3443" s="178"/>
      <c r="I3443" s="179"/>
      <c r="J3443" s="184"/>
    </row>
    <row r="3444" spans="8:10" ht="15.75" customHeight="1">
      <c r="H3444" s="178"/>
      <c r="I3444" s="179"/>
      <c r="J3444" s="184"/>
    </row>
    <row r="3445" spans="8:10" ht="15.75" customHeight="1">
      <c r="H3445" s="178"/>
      <c r="I3445" s="179"/>
      <c r="J3445" s="184"/>
    </row>
    <row r="3446" spans="8:10" ht="15.75" customHeight="1">
      <c r="H3446" s="178"/>
      <c r="I3446" s="179"/>
      <c r="J3446" s="184"/>
    </row>
    <row r="3447" spans="8:10" ht="15.75" customHeight="1">
      <c r="H3447" s="178"/>
      <c r="I3447" s="179"/>
      <c r="J3447" s="184"/>
    </row>
    <row r="3448" spans="8:10" ht="15.75" customHeight="1">
      <c r="H3448" s="178"/>
      <c r="I3448" s="179"/>
      <c r="J3448" s="184"/>
    </row>
    <row r="3449" spans="8:10" ht="15.75" customHeight="1">
      <c r="H3449" s="178"/>
      <c r="I3449" s="179"/>
      <c r="J3449" s="184"/>
    </row>
    <row r="3450" spans="8:10" ht="15.75" customHeight="1">
      <c r="H3450" s="178"/>
      <c r="I3450" s="179"/>
      <c r="J3450" s="184"/>
    </row>
    <row r="3451" spans="8:10" ht="15.75" customHeight="1">
      <c r="H3451" s="178"/>
      <c r="I3451" s="179"/>
      <c r="J3451" s="184"/>
    </row>
    <row r="3452" spans="8:10" ht="15.75" customHeight="1">
      <c r="H3452" s="178"/>
      <c r="I3452" s="179"/>
      <c r="J3452" s="184"/>
    </row>
    <row r="3453" spans="8:10" ht="15.75" customHeight="1">
      <c r="H3453" s="178"/>
      <c r="I3453" s="179"/>
      <c r="J3453" s="184"/>
    </row>
    <row r="3454" spans="8:10" ht="15.75" customHeight="1">
      <c r="H3454" s="178"/>
      <c r="I3454" s="179"/>
      <c r="J3454" s="184"/>
    </row>
    <row r="3455" spans="8:10" ht="15.75" customHeight="1">
      <c r="H3455" s="178"/>
      <c r="I3455" s="179"/>
      <c r="J3455" s="184"/>
    </row>
    <row r="3456" spans="8:10" ht="15.75" customHeight="1">
      <c r="H3456" s="178"/>
      <c r="I3456" s="179"/>
      <c r="J3456" s="184"/>
    </row>
    <row r="3457" spans="8:10" ht="15.75" customHeight="1">
      <c r="H3457" s="178"/>
      <c r="I3457" s="179"/>
      <c r="J3457" s="184"/>
    </row>
    <row r="3458" spans="8:10" ht="15.75" customHeight="1">
      <c r="H3458" s="178"/>
      <c r="I3458" s="179"/>
      <c r="J3458" s="184"/>
    </row>
    <row r="3459" spans="8:10" ht="15.75" customHeight="1">
      <c r="H3459" s="178"/>
      <c r="I3459" s="179"/>
      <c r="J3459" s="184"/>
    </row>
    <row r="3460" spans="8:10" ht="15.75" customHeight="1">
      <c r="H3460" s="178"/>
      <c r="I3460" s="179"/>
      <c r="J3460" s="184"/>
    </row>
    <row r="3461" spans="8:10" ht="15.75" customHeight="1">
      <c r="H3461" s="178"/>
      <c r="I3461" s="179"/>
      <c r="J3461" s="184"/>
    </row>
    <row r="3462" spans="8:10" ht="15.75" customHeight="1">
      <c r="H3462" s="178"/>
      <c r="I3462" s="179"/>
      <c r="J3462" s="184"/>
    </row>
    <row r="3463" spans="8:10" ht="15.75" customHeight="1">
      <c r="H3463" s="178"/>
      <c r="I3463" s="179"/>
      <c r="J3463" s="184"/>
    </row>
    <row r="3464" spans="8:10" ht="15.75" customHeight="1">
      <c r="H3464" s="178"/>
      <c r="I3464" s="179"/>
      <c r="J3464" s="184"/>
    </row>
    <row r="3465" spans="8:10" ht="15.75" customHeight="1">
      <c r="H3465" s="178"/>
      <c r="I3465" s="179"/>
      <c r="J3465" s="184"/>
    </row>
    <row r="3466" spans="8:10" ht="15.75" customHeight="1">
      <c r="H3466" s="178"/>
      <c r="I3466" s="179"/>
      <c r="J3466" s="184"/>
    </row>
    <row r="3467" spans="8:10" ht="15.75" customHeight="1">
      <c r="H3467" s="178"/>
      <c r="I3467" s="179"/>
      <c r="J3467" s="184"/>
    </row>
    <row r="3468" spans="8:10" ht="15.75" customHeight="1">
      <c r="H3468" s="178"/>
      <c r="I3468" s="179"/>
      <c r="J3468" s="184"/>
    </row>
    <row r="3469" spans="8:10" ht="15.75" customHeight="1">
      <c r="H3469" s="178"/>
      <c r="I3469" s="179"/>
      <c r="J3469" s="184"/>
    </row>
    <row r="3470" spans="8:10" ht="15.75" customHeight="1">
      <c r="H3470" s="178"/>
      <c r="I3470" s="179"/>
      <c r="J3470" s="184"/>
    </row>
    <row r="3471" spans="8:10" ht="15.75" customHeight="1">
      <c r="H3471" s="178"/>
      <c r="I3471" s="179"/>
      <c r="J3471" s="184"/>
    </row>
    <row r="3472" spans="8:10" ht="15.75" customHeight="1">
      <c r="H3472" s="178"/>
      <c r="I3472" s="179"/>
      <c r="J3472" s="184"/>
    </row>
    <row r="3473" spans="8:10" ht="15.75" customHeight="1">
      <c r="H3473" s="178"/>
      <c r="I3473" s="179"/>
      <c r="J3473" s="184"/>
    </row>
    <row r="3474" spans="8:10" ht="15.75" customHeight="1">
      <c r="H3474" s="178"/>
      <c r="I3474" s="179"/>
      <c r="J3474" s="184"/>
    </row>
    <row r="3475" spans="8:10" ht="15.75" customHeight="1">
      <c r="H3475" s="178"/>
      <c r="I3475" s="179"/>
      <c r="J3475" s="184"/>
    </row>
    <row r="3476" spans="8:10" ht="15.75" customHeight="1">
      <c r="H3476" s="178"/>
      <c r="I3476" s="179"/>
      <c r="J3476" s="184"/>
    </row>
    <row r="3477" spans="8:10" ht="15.75" customHeight="1">
      <c r="H3477" s="178"/>
      <c r="I3477" s="179"/>
      <c r="J3477" s="184"/>
    </row>
    <row r="3478" spans="8:10" ht="15.75" customHeight="1">
      <c r="H3478" s="178"/>
      <c r="I3478" s="179"/>
      <c r="J3478" s="184"/>
    </row>
    <row r="3479" spans="8:10" ht="15.75" customHeight="1">
      <c r="H3479" s="178"/>
      <c r="I3479" s="179"/>
      <c r="J3479" s="184"/>
    </row>
    <row r="3480" spans="8:10" ht="15.75" customHeight="1">
      <c r="H3480" s="178"/>
      <c r="I3480" s="179"/>
      <c r="J3480" s="184"/>
    </row>
    <row r="3481" spans="8:10" ht="15.75" customHeight="1">
      <c r="H3481" s="178"/>
      <c r="I3481" s="179"/>
      <c r="J3481" s="184"/>
    </row>
    <row r="3482" spans="8:10" ht="15.75" customHeight="1">
      <c r="H3482" s="178"/>
      <c r="I3482" s="179"/>
      <c r="J3482" s="184"/>
    </row>
    <row r="3483" spans="8:10" ht="15.75" customHeight="1">
      <c r="H3483" s="178"/>
      <c r="I3483" s="179"/>
      <c r="J3483" s="184"/>
    </row>
    <row r="3484" spans="8:10" ht="15.75" customHeight="1">
      <c r="H3484" s="178"/>
      <c r="I3484" s="179"/>
      <c r="J3484" s="184"/>
    </row>
    <row r="3485" spans="8:10" ht="15.75" customHeight="1">
      <c r="H3485" s="178"/>
      <c r="I3485" s="179"/>
      <c r="J3485" s="184"/>
    </row>
    <row r="3486" spans="8:10" ht="15.75" customHeight="1">
      <c r="H3486" s="178"/>
      <c r="I3486" s="179"/>
      <c r="J3486" s="184"/>
    </row>
    <row r="3487" spans="8:10" ht="15.75" customHeight="1">
      <c r="H3487" s="178"/>
      <c r="I3487" s="179"/>
      <c r="J3487" s="184"/>
    </row>
    <row r="3488" spans="8:10" ht="15.75" customHeight="1">
      <c r="H3488" s="178"/>
      <c r="I3488" s="179"/>
      <c r="J3488" s="184"/>
    </row>
    <row r="3489" spans="8:10" ht="15.75" customHeight="1">
      <c r="H3489" s="178"/>
      <c r="I3489" s="179"/>
      <c r="J3489" s="184"/>
    </row>
    <row r="3490" spans="8:10" ht="15.75" customHeight="1">
      <c r="H3490" s="178"/>
      <c r="I3490" s="179"/>
      <c r="J3490" s="184"/>
    </row>
    <row r="3491" spans="8:10" ht="15.75" customHeight="1">
      <c r="H3491" s="178"/>
      <c r="I3491" s="179"/>
      <c r="J3491" s="184"/>
    </row>
    <row r="3492" spans="8:10" ht="15.75" customHeight="1">
      <c r="H3492" s="178"/>
      <c r="I3492" s="179"/>
      <c r="J3492" s="184"/>
    </row>
    <row r="3493" spans="8:10" ht="15.75" customHeight="1">
      <c r="H3493" s="178"/>
      <c r="I3493" s="179"/>
      <c r="J3493" s="184"/>
    </row>
    <row r="3494" spans="8:10" ht="15.75" customHeight="1">
      <c r="H3494" s="178"/>
      <c r="I3494" s="179"/>
      <c r="J3494" s="184"/>
    </row>
    <row r="3495" spans="8:10" ht="15.75" customHeight="1">
      <c r="H3495" s="178"/>
      <c r="I3495" s="179"/>
      <c r="J3495" s="184"/>
    </row>
    <row r="3496" spans="8:10" ht="15.75" customHeight="1">
      <c r="H3496" s="178"/>
      <c r="I3496" s="179"/>
      <c r="J3496" s="184"/>
    </row>
    <row r="3497" spans="8:10" ht="15.75" customHeight="1">
      <c r="H3497" s="178"/>
      <c r="I3497" s="179"/>
      <c r="J3497" s="184"/>
    </row>
    <row r="3498" spans="8:10" ht="15.75" customHeight="1">
      <c r="H3498" s="178"/>
      <c r="I3498" s="179"/>
      <c r="J3498" s="184"/>
    </row>
    <row r="3499" spans="8:10" ht="15.75" customHeight="1">
      <c r="H3499" s="178"/>
      <c r="I3499" s="179"/>
      <c r="J3499" s="184"/>
    </row>
    <row r="3500" spans="8:10" ht="15.75" customHeight="1">
      <c r="H3500" s="178"/>
      <c r="I3500" s="179"/>
      <c r="J3500" s="184"/>
    </row>
    <row r="3501" spans="8:10" ht="15.75" customHeight="1">
      <c r="H3501" s="178"/>
      <c r="I3501" s="179"/>
      <c r="J3501" s="184"/>
    </row>
    <row r="3502" spans="8:10" ht="15.75" customHeight="1">
      <c r="H3502" s="178"/>
      <c r="I3502" s="179"/>
      <c r="J3502" s="184"/>
    </row>
    <row r="3503" spans="8:10" ht="15.75" customHeight="1">
      <c r="H3503" s="178"/>
      <c r="I3503" s="179"/>
      <c r="J3503" s="184"/>
    </row>
    <row r="3504" spans="8:10" ht="15.75" customHeight="1">
      <c r="H3504" s="178"/>
      <c r="I3504" s="179"/>
      <c r="J3504" s="184"/>
    </row>
    <row r="3505" spans="8:10" ht="15.75" customHeight="1">
      <c r="H3505" s="178"/>
      <c r="I3505" s="179"/>
      <c r="J3505" s="184"/>
    </row>
    <row r="3506" spans="8:10" ht="15.75" customHeight="1">
      <c r="H3506" s="178"/>
      <c r="I3506" s="179"/>
      <c r="J3506" s="184"/>
    </row>
    <row r="3507" spans="8:10" ht="15.75" customHeight="1">
      <c r="H3507" s="178"/>
      <c r="I3507" s="179"/>
      <c r="J3507" s="184"/>
    </row>
    <row r="3508" spans="8:10" ht="15.75" customHeight="1">
      <c r="H3508" s="178"/>
      <c r="I3508" s="179"/>
      <c r="J3508" s="184"/>
    </row>
    <row r="3509" spans="8:10" ht="15.75" customHeight="1">
      <c r="H3509" s="178"/>
      <c r="I3509" s="179"/>
      <c r="J3509" s="184"/>
    </row>
    <row r="3510" spans="8:10" ht="15.75" customHeight="1">
      <c r="H3510" s="178"/>
      <c r="I3510" s="179"/>
      <c r="J3510" s="184"/>
    </row>
    <row r="3511" spans="8:10" ht="15.75" customHeight="1">
      <c r="H3511" s="178"/>
      <c r="I3511" s="179"/>
      <c r="J3511" s="184"/>
    </row>
    <row r="3512" spans="8:10" ht="15.75" customHeight="1">
      <c r="H3512" s="178"/>
      <c r="I3512" s="179"/>
      <c r="J3512" s="184"/>
    </row>
    <row r="3513" spans="8:10" ht="15.75" customHeight="1">
      <c r="H3513" s="178"/>
      <c r="I3513" s="179"/>
      <c r="J3513" s="184"/>
    </row>
    <row r="3514" spans="8:10" ht="15.75" customHeight="1">
      <c r="H3514" s="178"/>
      <c r="I3514" s="179"/>
      <c r="J3514" s="184"/>
    </row>
    <row r="3515" spans="8:10" ht="15.75" customHeight="1">
      <c r="H3515" s="178"/>
      <c r="I3515" s="179"/>
      <c r="J3515" s="184"/>
    </row>
    <row r="3516" spans="8:10" ht="15.75" customHeight="1">
      <c r="H3516" s="178"/>
      <c r="I3516" s="179"/>
      <c r="J3516" s="184"/>
    </row>
    <row r="3517" spans="8:10" ht="15.75" customHeight="1">
      <c r="H3517" s="178"/>
      <c r="I3517" s="179"/>
      <c r="J3517" s="184"/>
    </row>
    <row r="3518" spans="8:10" ht="15.75" customHeight="1">
      <c r="H3518" s="178"/>
      <c r="I3518" s="179"/>
      <c r="J3518" s="184"/>
    </row>
    <row r="3519" spans="8:10" ht="15.75" customHeight="1">
      <c r="H3519" s="178"/>
      <c r="I3519" s="179"/>
      <c r="J3519" s="184"/>
    </row>
    <row r="3520" spans="8:10" ht="15.75" customHeight="1">
      <c r="H3520" s="178"/>
      <c r="I3520" s="179"/>
      <c r="J3520" s="184"/>
    </row>
    <row r="3521" spans="8:10" ht="15.75" customHeight="1">
      <c r="H3521" s="178"/>
      <c r="I3521" s="179"/>
      <c r="J3521" s="184"/>
    </row>
    <row r="3522" spans="8:10" ht="15.75" customHeight="1">
      <c r="H3522" s="178"/>
      <c r="I3522" s="179"/>
      <c r="J3522" s="184"/>
    </row>
    <row r="3523" spans="8:10" ht="15.75" customHeight="1">
      <c r="H3523" s="178"/>
      <c r="I3523" s="179"/>
      <c r="J3523" s="184"/>
    </row>
    <row r="3524" spans="8:10" ht="15.75" customHeight="1">
      <c r="H3524" s="178"/>
      <c r="I3524" s="179"/>
      <c r="J3524" s="184"/>
    </row>
    <row r="3525" spans="8:10" ht="15.75" customHeight="1">
      <c r="H3525" s="178"/>
      <c r="I3525" s="179"/>
      <c r="J3525" s="184"/>
    </row>
    <row r="3526" spans="8:10" ht="15.75" customHeight="1">
      <c r="H3526" s="178"/>
      <c r="I3526" s="179"/>
      <c r="J3526" s="184"/>
    </row>
    <row r="3527" spans="8:10" ht="15.75" customHeight="1">
      <c r="H3527" s="178"/>
      <c r="I3527" s="179"/>
      <c r="J3527" s="184"/>
    </row>
    <row r="3528" spans="8:10" ht="15.75" customHeight="1">
      <c r="H3528" s="178"/>
      <c r="I3528" s="179"/>
      <c r="J3528" s="184"/>
    </row>
    <row r="3529" spans="8:10" ht="15.75" customHeight="1">
      <c r="H3529" s="178"/>
      <c r="I3529" s="179"/>
      <c r="J3529" s="184"/>
    </row>
    <row r="3530" spans="8:10" ht="15.75" customHeight="1">
      <c r="H3530" s="178"/>
      <c r="I3530" s="179"/>
      <c r="J3530" s="184"/>
    </row>
    <row r="3531" spans="8:10" ht="15.75" customHeight="1">
      <c r="H3531" s="178"/>
      <c r="I3531" s="179"/>
      <c r="J3531" s="184"/>
    </row>
    <row r="3532" spans="8:10" ht="15.75" customHeight="1">
      <c r="H3532" s="178"/>
      <c r="I3532" s="179"/>
      <c r="J3532" s="184"/>
    </row>
    <row r="3533" spans="8:10" ht="15.75" customHeight="1">
      <c r="H3533" s="178"/>
      <c r="I3533" s="179"/>
      <c r="J3533" s="184"/>
    </row>
    <row r="3534" spans="8:10" ht="15.75" customHeight="1">
      <c r="H3534" s="178"/>
      <c r="I3534" s="179"/>
      <c r="J3534" s="184"/>
    </row>
    <row r="3535" spans="8:10" ht="15.75" customHeight="1">
      <c r="H3535" s="178"/>
      <c r="I3535" s="179"/>
      <c r="J3535" s="184"/>
    </row>
    <row r="3536" spans="8:10" ht="15.75" customHeight="1">
      <c r="H3536" s="178"/>
      <c r="I3536" s="179"/>
      <c r="J3536" s="184"/>
    </row>
    <row r="3537" spans="8:10" ht="15.75" customHeight="1">
      <c r="H3537" s="178"/>
      <c r="I3537" s="179"/>
      <c r="J3537" s="184"/>
    </row>
    <row r="3538" spans="8:10" ht="15.75" customHeight="1">
      <c r="H3538" s="178"/>
      <c r="I3538" s="179"/>
      <c r="J3538" s="184"/>
    </row>
    <row r="3539" spans="8:10" ht="15.75" customHeight="1">
      <c r="H3539" s="178"/>
      <c r="I3539" s="179"/>
      <c r="J3539" s="184"/>
    </row>
    <row r="3540" spans="8:10" ht="15.75" customHeight="1">
      <c r="H3540" s="178"/>
      <c r="I3540" s="179"/>
      <c r="J3540" s="184"/>
    </row>
    <row r="3541" spans="8:10" ht="15.75" customHeight="1">
      <c r="H3541" s="178"/>
      <c r="I3541" s="179"/>
      <c r="J3541" s="184"/>
    </row>
    <row r="3542" spans="8:10" ht="15.75" customHeight="1">
      <c r="H3542" s="178"/>
      <c r="I3542" s="179"/>
      <c r="J3542" s="184"/>
    </row>
    <row r="3543" spans="8:10" ht="15.75" customHeight="1">
      <c r="H3543" s="178"/>
      <c r="I3543" s="179"/>
      <c r="J3543" s="184"/>
    </row>
    <row r="3544" spans="8:10" ht="15.75" customHeight="1">
      <c r="H3544" s="178"/>
      <c r="I3544" s="179"/>
      <c r="J3544" s="184"/>
    </row>
    <row r="3545" spans="8:10" ht="15.75" customHeight="1">
      <c r="H3545" s="178"/>
      <c r="I3545" s="179"/>
      <c r="J3545" s="184"/>
    </row>
    <row r="3546" spans="8:10" ht="15.75" customHeight="1">
      <c r="H3546" s="178"/>
      <c r="I3546" s="179"/>
      <c r="J3546" s="184"/>
    </row>
    <row r="3547" spans="8:10" ht="15.75" customHeight="1">
      <c r="H3547" s="178"/>
      <c r="I3547" s="179"/>
      <c r="J3547" s="184"/>
    </row>
    <row r="3548" spans="8:10" ht="15.75" customHeight="1">
      <c r="H3548" s="178"/>
      <c r="I3548" s="179"/>
      <c r="J3548" s="184"/>
    </row>
    <row r="3549" spans="8:10" ht="15.75" customHeight="1">
      <c r="H3549" s="178"/>
      <c r="I3549" s="179"/>
      <c r="J3549" s="184"/>
    </row>
    <row r="3550" spans="8:10" ht="15.75" customHeight="1">
      <c r="H3550" s="178"/>
      <c r="I3550" s="179"/>
      <c r="J3550" s="184"/>
    </row>
    <row r="3551" spans="8:10" ht="15.75" customHeight="1">
      <c r="H3551" s="178"/>
      <c r="I3551" s="179"/>
      <c r="J3551" s="184"/>
    </row>
    <row r="3552" spans="8:10" ht="15.75" customHeight="1">
      <c r="H3552" s="178"/>
      <c r="I3552" s="179"/>
      <c r="J3552" s="184"/>
    </row>
    <row r="3553" spans="8:10" ht="15.75" customHeight="1">
      <c r="H3553" s="178"/>
      <c r="I3553" s="179"/>
      <c r="J3553" s="184"/>
    </row>
    <row r="3554" spans="8:10" ht="15.75" customHeight="1">
      <c r="H3554" s="178"/>
      <c r="I3554" s="179"/>
      <c r="J3554" s="184"/>
    </row>
    <row r="3555" spans="8:10" ht="15.75" customHeight="1">
      <c r="H3555" s="178"/>
      <c r="I3555" s="179"/>
      <c r="J3555" s="184"/>
    </row>
    <row r="3556" spans="8:10" ht="15.75" customHeight="1">
      <c r="H3556" s="178"/>
      <c r="I3556" s="179"/>
      <c r="J3556" s="184"/>
    </row>
    <row r="3557" spans="8:10" ht="15.75" customHeight="1">
      <c r="H3557" s="178"/>
      <c r="I3557" s="179"/>
      <c r="J3557" s="184"/>
    </row>
    <row r="3558" spans="8:10" ht="15.75" customHeight="1">
      <c r="H3558" s="178"/>
      <c r="I3558" s="179"/>
      <c r="J3558" s="184"/>
    </row>
    <row r="3559" spans="8:10" ht="15.75" customHeight="1">
      <c r="H3559" s="178"/>
      <c r="I3559" s="179"/>
      <c r="J3559" s="184"/>
    </row>
    <row r="3560" spans="8:10" ht="15.75" customHeight="1">
      <c r="H3560" s="178"/>
      <c r="I3560" s="179"/>
      <c r="J3560" s="184"/>
    </row>
    <row r="3561" spans="8:10" ht="15.75" customHeight="1">
      <c r="H3561" s="178"/>
      <c r="I3561" s="179"/>
      <c r="J3561" s="184"/>
    </row>
    <row r="3562" spans="8:10" ht="15.75" customHeight="1">
      <c r="H3562" s="178"/>
      <c r="I3562" s="179"/>
      <c r="J3562" s="184"/>
    </row>
    <row r="3563" spans="8:10" ht="15.75" customHeight="1">
      <c r="H3563" s="178"/>
      <c r="I3563" s="179"/>
      <c r="J3563" s="184"/>
    </row>
    <row r="3564" spans="8:10" ht="15.75" customHeight="1">
      <c r="H3564" s="178"/>
      <c r="I3564" s="179"/>
      <c r="J3564" s="184"/>
    </row>
    <row r="3565" spans="8:10" ht="15.75" customHeight="1">
      <c r="H3565" s="178"/>
      <c r="I3565" s="179"/>
      <c r="J3565" s="184"/>
    </row>
    <row r="3566" spans="8:10" ht="15.75" customHeight="1">
      <c r="H3566" s="178"/>
      <c r="I3566" s="179"/>
      <c r="J3566" s="184"/>
    </row>
    <row r="3567" spans="8:10" ht="15.75" customHeight="1">
      <c r="H3567" s="178"/>
      <c r="I3567" s="179"/>
      <c r="J3567" s="184"/>
    </row>
    <row r="3568" spans="8:10" ht="15.75" customHeight="1">
      <c r="H3568" s="178"/>
      <c r="I3568" s="179"/>
      <c r="J3568" s="184"/>
    </row>
    <row r="3569" spans="8:10" ht="15.75" customHeight="1">
      <c r="H3569" s="178"/>
      <c r="I3569" s="179"/>
      <c r="J3569" s="184"/>
    </row>
    <row r="3570" spans="8:10" ht="15.75" customHeight="1">
      <c r="H3570" s="178"/>
      <c r="I3570" s="179"/>
      <c r="J3570" s="184"/>
    </row>
    <row r="3571" spans="8:10" ht="15.75" customHeight="1">
      <c r="H3571" s="178"/>
      <c r="I3571" s="179"/>
      <c r="J3571" s="184"/>
    </row>
    <row r="3572" spans="8:10" ht="15.75" customHeight="1">
      <c r="H3572" s="178"/>
      <c r="I3572" s="179"/>
      <c r="J3572" s="184"/>
    </row>
    <row r="3573" spans="8:10" ht="15.75" customHeight="1">
      <c r="H3573" s="178"/>
      <c r="I3573" s="179"/>
      <c r="J3573" s="184"/>
    </row>
    <row r="3574" spans="8:10" ht="15.75" customHeight="1">
      <c r="H3574" s="178"/>
      <c r="I3574" s="179"/>
      <c r="J3574" s="184"/>
    </row>
    <row r="3575" spans="8:10" ht="15.75" customHeight="1">
      <c r="H3575" s="178"/>
      <c r="I3575" s="179"/>
      <c r="J3575" s="184"/>
    </row>
    <row r="3576" spans="8:10" ht="15.75" customHeight="1">
      <c r="H3576" s="178"/>
      <c r="I3576" s="179"/>
      <c r="J3576" s="184"/>
    </row>
    <row r="3577" spans="8:10" ht="15.75" customHeight="1">
      <c r="H3577" s="178"/>
      <c r="I3577" s="179"/>
      <c r="J3577" s="184"/>
    </row>
    <row r="3578" spans="8:10" ht="15.75" customHeight="1">
      <c r="H3578" s="178"/>
      <c r="I3578" s="179"/>
      <c r="J3578" s="184"/>
    </row>
    <row r="3579" spans="8:10" ht="15.75" customHeight="1">
      <c r="H3579" s="178"/>
      <c r="I3579" s="179"/>
      <c r="J3579" s="184"/>
    </row>
    <row r="3580" spans="8:10" ht="15.75" customHeight="1">
      <c r="H3580" s="178"/>
      <c r="I3580" s="179"/>
      <c r="J3580" s="184"/>
    </row>
    <row r="3581" spans="8:10" ht="15.75" customHeight="1">
      <c r="H3581" s="178"/>
      <c r="I3581" s="179"/>
      <c r="J3581" s="184"/>
    </row>
    <row r="3582" spans="8:10" ht="15.75" customHeight="1">
      <c r="H3582" s="178"/>
      <c r="I3582" s="179"/>
      <c r="J3582" s="184"/>
    </row>
    <row r="3583" spans="8:10" ht="15.75" customHeight="1">
      <c r="H3583" s="178"/>
      <c r="I3583" s="179"/>
      <c r="J3583" s="184"/>
    </row>
    <row r="3584" spans="8:10" ht="15.75" customHeight="1">
      <c r="H3584" s="178"/>
      <c r="I3584" s="179"/>
      <c r="J3584" s="184"/>
    </row>
    <row r="3585" spans="8:10" ht="15.75" customHeight="1">
      <c r="H3585" s="178"/>
      <c r="I3585" s="179"/>
      <c r="J3585" s="184"/>
    </row>
    <row r="3586" spans="8:10" ht="15.75" customHeight="1">
      <c r="H3586" s="178"/>
      <c r="I3586" s="179"/>
      <c r="J3586" s="184"/>
    </row>
    <row r="3587" spans="8:10" ht="15.75" customHeight="1">
      <c r="H3587" s="178"/>
      <c r="I3587" s="179"/>
      <c r="J3587" s="184"/>
    </row>
    <row r="3588" spans="8:10" ht="15.75" customHeight="1">
      <c r="H3588" s="178"/>
      <c r="I3588" s="179"/>
      <c r="J3588" s="184"/>
    </row>
    <row r="3589" spans="8:10" ht="15.75" customHeight="1">
      <c r="H3589" s="178"/>
      <c r="I3589" s="179"/>
      <c r="J3589" s="184"/>
    </row>
    <row r="3590" spans="8:10" ht="15.75" customHeight="1">
      <c r="H3590" s="178"/>
      <c r="I3590" s="179"/>
      <c r="J3590" s="184"/>
    </row>
    <row r="3591" spans="8:10" ht="15.75" customHeight="1">
      <c r="H3591" s="178"/>
      <c r="I3591" s="179"/>
      <c r="J3591" s="184"/>
    </row>
    <row r="3592" spans="8:10" ht="15.75" customHeight="1">
      <c r="H3592" s="178"/>
      <c r="I3592" s="179"/>
      <c r="J3592" s="184"/>
    </row>
    <row r="3593" spans="8:10" ht="15.75" customHeight="1">
      <c r="H3593" s="178"/>
      <c r="I3593" s="179"/>
      <c r="J3593" s="184"/>
    </row>
    <row r="3594" spans="8:10" ht="15.75" customHeight="1">
      <c r="H3594" s="178"/>
      <c r="I3594" s="179"/>
      <c r="J3594" s="184"/>
    </row>
    <row r="3595" spans="8:10" ht="15.75" customHeight="1">
      <c r="H3595" s="178"/>
      <c r="I3595" s="179"/>
      <c r="J3595" s="184"/>
    </row>
    <row r="3596" spans="8:10" ht="15.75" customHeight="1">
      <c r="H3596" s="178"/>
      <c r="I3596" s="179"/>
      <c r="J3596" s="184"/>
    </row>
    <row r="3597" spans="8:10" ht="15.75" customHeight="1">
      <c r="H3597" s="178"/>
      <c r="I3597" s="179"/>
      <c r="J3597" s="184"/>
    </row>
    <row r="3598" spans="8:10" ht="15.75" customHeight="1">
      <c r="H3598" s="178"/>
      <c r="I3598" s="179"/>
      <c r="J3598" s="184"/>
    </row>
    <row r="3599" spans="8:10" ht="15.75" customHeight="1">
      <c r="H3599" s="178"/>
      <c r="I3599" s="179"/>
      <c r="J3599" s="184"/>
    </row>
    <row r="3600" spans="8:10" ht="15.75" customHeight="1">
      <c r="H3600" s="178"/>
      <c r="I3600" s="179"/>
      <c r="J3600" s="184"/>
    </row>
    <row r="3601" spans="8:10" ht="15.75" customHeight="1">
      <c r="H3601" s="178"/>
      <c r="I3601" s="179"/>
      <c r="J3601" s="184"/>
    </row>
    <row r="3602" spans="8:10" ht="15.75" customHeight="1">
      <c r="H3602" s="178"/>
      <c r="I3602" s="179"/>
      <c r="J3602" s="184"/>
    </row>
    <row r="3603" spans="8:10" ht="15.75" customHeight="1">
      <c r="H3603" s="178"/>
      <c r="I3603" s="179"/>
      <c r="J3603" s="184"/>
    </row>
    <row r="3604" spans="8:10" ht="15.75" customHeight="1">
      <c r="H3604" s="178"/>
      <c r="I3604" s="179"/>
      <c r="J3604" s="184"/>
    </row>
    <row r="3605" spans="8:10" ht="15.75" customHeight="1">
      <c r="H3605" s="178"/>
      <c r="I3605" s="179"/>
      <c r="J3605" s="184"/>
    </row>
    <row r="3606" spans="8:10" ht="15.75" customHeight="1">
      <c r="H3606" s="178"/>
      <c r="I3606" s="179"/>
      <c r="J3606" s="184"/>
    </row>
    <row r="3607" spans="8:10" ht="15.75" customHeight="1">
      <c r="H3607" s="178"/>
      <c r="I3607" s="179"/>
      <c r="J3607" s="184"/>
    </row>
    <row r="3608" spans="8:10" ht="15.75" customHeight="1">
      <c r="H3608" s="178"/>
      <c r="I3608" s="179"/>
      <c r="J3608" s="184"/>
    </row>
    <row r="3609" spans="8:10" ht="15.75" customHeight="1">
      <c r="H3609" s="178"/>
      <c r="I3609" s="179"/>
      <c r="J3609" s="184"/>
    </row>
    <row r="3610" spans="8:10" ht="15.75" customHeight="1">
      <c r="H3610" s="178"/>
      <c r="I3610" s="179"/>
      <c r="J3610" s="184"/>
    </row>
    <row r="3611" spans="8:10" ht="15.75" customHeight="1">
      <c r="H3611" s="178"/>
      <c r="I3611" s="179"/>
      <c r="J3611" s="184"/>
    </row>
    <row r="3612" spans="8:10" ht="15.75" customHeight="1">
      <c r="H3612" s="178"/>
      <c r="I3612" s="179"/>
      <c r="J3612" s="184"/>
    </row>
    <row r="3613" spans="8:10" ht="15.75" customHeight="1">
      <c r="H3613" s="178"/>
      <c r="I3613" s="179"/>
      <c r="J3613" s="184"/>
    </row>
    <row r="3614" spans="8:10" ht="15.75" customHeight="1">
      <c r="H3614" s="178"/>
      <c r="I3614" s="179"/>
      <c r="J3614" s="184"/>
    </row>
    <row r="3615" spans="8:10" ht="15.75" customHeight="1">
      <c r="H3615" s="178"/>
      <c r="I3615" s="179"/>
      <c r="J3615" s="184"/>
    </row>
    <row r="3616" spans="8:10" ht="15.75" customHeight="1">
      <c r="H3616" s="178"/>
      <c r="I3616" s="179"/>
      <c r="J3616" s="184"/>
    </row>
    <row r="3617" spans="8:10" ht="15.75" customHeight="1">
      <c r="H3617" s="178"/>
      <c r="I3617" s="179"/>
      <c r="J3617" s="184"/>
    </row>
    <row r="3618" spans="8:10" ht="15.75" customHeight="1">
      <c r="H3618" s="178"/>
      <c r="I3618" s="179"/>
      <c r="J3618" s="184"/>
    </row>
    <row r="3619" spans="8:10" ht="15.75" customHeight="1">
      <c r="H3619" s="178"/>
      <c r="I3619" s="179"/>
      <c r="J3619" s="184"/>
    </row>
    <row r="3620" spans="8:10" ht="15.75" customHeight="1">
      <c r="H3620" s="178"/>
      <c r="I3620" s="179"/>
      <c r="J3620" s="184"/>
    </row>
    <row r="3621" spans="8:10" ht="15.75" customHeight="1">
      <c r="H3621" s="178"/>
      <c r="I3621" s="179"/>
      <c r="J3621" s="184"/>
    </row>
    <row r="3622" spans="8:10" ht="15.75" customHeight="1">
      <c r="H3622" s="178"/>
      <c r="I3622" s="179"/>
      <c r="J3622" s="184"/>
    </row>
    <row r="3623" spans="8:10" ht="15.75" customHeight="1">
      <c r="H3623" s="178"/>
      <c r="I3623" s="179"/>
      <c r="J3623" s="184"/>
    </row>
    <row r="3624" spans="8:10" ht="15.75" customHeight="1">
      <c r="H3624" s="178"/>
      <c r="I3624" s="179"/>
      <c r="J3624" s="184"/>
    </row>
    <row r="3625" spans="8:10" ht="15.75" customHeight="1">
      <c r="H3625" s="178"/>
      <c r="I3625" s="179"/>
      <c r="J3625" s="184"/>
    </row>
    <row r="3626" spans="8:10" ht="15.75" customHeight="1">
      <c r="H3626" s="178"/>
      <c r="I3626" s="179"/>
      <c r="J3626" s="184"/>
    </row>
    <row r="3627" spans="8:10" ht="15.75" customHeight="1">
      <c r="H3627" s="178"/>
      <c r="I3627" s="179"/>
      <c r="J3627" s="184"/>
    </row>
    <row r="3628" spans="8:10" ht="15.75" customHeight="1">
      <c r="H3628" s="178"/>
      <c r="I3628" s="179"/>
      <c r="J3628" s="184"/>
    </row>
    <row r="3629" spans="8:10" ht="15.75" customHeight="1">
      <c r="H3629" s="178"/>
      <c r="I3629" s="179"/>
      <c r="J3629" s="184"/>
    </row>
    <row r="3630" spans="8:10" ht="15.75" customHeight="1">
      <c r="H3630" s="178"/>
      <c r="I3630" s="179"/>
      <c r="J3630" s="184"/>
    </row>
    <row r="3631" spans="8:10" ht="15.75" customHeight="1">
      <c r="H3631" s="178"/>
      <c r="I3631" s="179"/>
      <c r="J3631" s="184"/>
    </row>
    <row r="3632" spans="8:10" ht="15.75" customHeight="1">
      <c r="H3632" s="178"/>
      <c r="I3632" s="179"/>
      <c r="J3632" s="184"/>
    </row>
    <row r="3633" spans="8:10" ht="15.75" customHeight="1">
      <c r="H3633" s="178"/>
      <c r="I3633" s="179"/>
      <c r="J3633" s="184"/>
    </row>
    <row r="3634" spans="8:10" ht="15.75" customHeight="1">
      <c r="H3634" s="178"/>
      <c r="I3634" s="179"/>
      <c r="J3634" s="184"/>
    </row>
    <row r="3635" spans="8:10" ht="15.75" customHeight="1">
      <c r="H3635" s="178"/>
      <c r="I3635" s="179"/>
      <c r="J3635" s="184"/>
    </row>
    <row r="3636" spans="8:10" ht="15.75" customHeight="1">
      <c r="H3636" s="178"/>
      <c r="I3636" s="179"/>
      <c r="J3636" s="184"/>
    </row>
    <row r="3637" spans="8:10" ht="15.75" customHeight="1">
      <c r="H3637" s="178"/>
      <c r="I3637" s="179"/>
      <c r="J3637" s="184"/>
    </row>
    <row r="3638" spans="8:10" ht="15.75" customHeight="1">
      <c r="H3638" s="178"/>
      <c r="I3638" s="179"/>
      <c r="J3638" s="184"/>
    </row>
    <row r="3639" spans="8:10" ht="15.75" customHeight="1">
      <c r="H3639" s="178"/>
      <c r="I3639" s="179"/>
      <c r="J3639" s="184"/>
    </row>
    <row r="3640" spans="8:10" ht="15.75" customHeight="1">
      <c r="H3640" s="178"/>
      <c r="I3640" s="179"/>
      <c r="J3640" s="184"/>
    </row>
    <row r="3641" spans="8:10" ht="15.75" customHeight="1">
      <c r="H3641" s="178"/>
      <c r="I3641" s="179"/>
      <c r="J3641" s="184"/>
    </row>
    <row r="3642" spans="8:10" ht="15.75" customHeight="1">
      <c r="H3642" s="178"/>
      <c r="I3642" s="179"/>
      <c r="J3642" s="184"/>
    </row>
    <row r="3643" spans="8:10" ht="15.75" customHeight="1">
      <c r="H3643" s="178"/>
      <c r="I3643" s="179"/>
      <c r="J3643" s="184"/>
    </row>
    <row r="3644" spans="8:10" ht="15.75" customHeight="1">
      <c r="H3644" s="178"/>
      <c r="I3644" s="179"/>
      <c r="J3644" s="184"/>
    </row>
    <row r="3645" spans="8:10" ht="15.75" customHeight="1">
      <c r="H3645" s="178"/>
      <c r="I3645" s="179"/>
      <c r="J3645" s="184"/>
    </row>
    <row r="3646" spans="8:10" ht="15.75" customHeight="1">
      <c r="H3646" s="178"/>
      <c r="I3646" s="179"/>
      <c r="J3646" s="184"/>
    </row>
    <row r="3647" spans="8:10" ht="15.75" customHeight="1">
      <c r="H3647" s="178"/>
      <c r="I3647" s="179"/>
      <c r="J3647" s="184"/>
    </row>
    <row r="3648" spans="8:10" ht="15.75" customHeight="1">
      <c r="H3648" s="178"/>
      <c r="I3648" s="179"/>
      <c r="J3648" s="184"/>
    </row>
    <row r="3649" spans="8:10" ht="15.75" customHeight="1">
      <c r="H3649" s="178"/>
      <c r="I3649" s="179"/>
      <c r="J3649" s="184"/>
    </row>
    <row r="3650" spans="8:10" ht="15.75" customHeight="1">
      <c r="H3650" s="178"/>
      <c r="I3650" s="179"/>
      <c r="J3650" s="184"/>
    </row>
    <row r="3651" spans="8:10" ht="15.75" customHeight="1">
      <c r="H3651" s="178"/>
      <c r="I3651" s="179"/>
      <c r="J3651" s="184"/>
    </row>
    <row r="3652" spans="8:10" ht="15.75" customHeight="1">
      <c r="H3652" s="178"/>
      <c r="I3652" s="179"/>
      <c r="J3652" s="184"/>
    </row>
    <row r="3653" spans="8:10" ht="15.75" customHeight="1">
      <c r="H3653" s="178"/>
      <c r="I3653" s="179"/>
      <c r="J3653" s="184"/>
    </row>
    <row r="3654" spans="8:10" ht="15.75" customHeight="1">
      <c r="H3654" s="178"/>
      <c r="I3654" s="179"/>
      <c r="J3654" s="184"/>
    </row>
    <row r="3655" spans="8:10" ht="15.75" customHeight="1">
      <c r="H3655" s="178"/>
      <c r="I3655" s="179"/>
      <c r="J3655" s="184"/>
    </row>
    <row r="3656" spans="8:10" ht="15.75" customHeight="1">
      <c r="H3656" s="178"/>
      <c r="I3656" s="179"/>
      <c r="J3656" s="184"/>
    </row>
    <row r="3657" spans="8:10" ht="15.75" customHeight="1">
      <c r="H3657" s="178"/>
      <c r="I3657" s="179"/>
      <c r="J3657" s="184"/>
    </row>
    <row r="3658" spans="8:10" ht="15.75" customHeight="1">
      <c r="H3658" s="178"/>
      <c r="I3658" s="179"/>
      <c r="J3658" s="184"/>
    </row>
    <row r="3659" spans="8:10" ht="15.75" customHeight="1">
      <c r="H3659" s="178"/>
      <c r="I3659" s="179"/>
      <c r="J3659" s="184"/>
    </row>
    <row r="3660" spans="8:10" ht="15.75" customHeight="1">
      <c r="H3660" s="178"/>
      <c r="I3660" s="179"/>
      <c r="J3660" s="184"/>
    </row>
    <row r="3661" spans="8:10" ht="15.75" customHeight="1">
      <c r="H3661" s="178"/>
      <c r="I3661" s="179"/>
      <c r="J3661" s="184"/>
    </row>
    <row r="3662" spans="8:10" ht="15.75" customHeight="1">
      <c r="H3662" s="178"/>
      <c r="I3662" s="179"/>
      <c r="J3662" s="184"/>
    </row>
    <row r="3663" spans="8:10" ht="15.75" customHeight="1">
      <c r="H3663" s="178"/>
      <c r="I3663" s="179"/>
      <c r="J3663" s="184"/>
    </row>
    <row r="3664" spans="8:10" ht="15.75" customHeight="1">
      <c r="H3664" s="178"/>
      <c r="I3664" s="179"/>
      <c r="J3664" s="184"/>
    </row>
    <row r="3665" spans="8:10" ht="15.75" customHeight="1">
      <c r="H3665" s="178"/>
      <c r="I3665" s="179"/>
      <c r="J3665" s="184"/>
    </row>
    <row r="3666" spans="8:10" ht="15.75" customHeight="1">
      <c r="H3666" s="178"/>
      <c r="I3666" s="179"/>
      <c r="J3666" s="184"/>
    </row>
    <row r="3667" spans="8:10" ht="15.75" customHeight="1">
      <c r="H3667" s="178"/>
      <c r="I3667" s="179"/>
      <c r="J3667" s="184"/>
    </row>
    <row r="3668" spans="8:10" ht="15.75" customHeight="1">
      <c r="H3668" s="178"/>
      <c r="I3668" s="179"/>
      <c r="J3668" s="184"/>
    </row>
    <row r="3669" spans="8:10" ht="15.75" customHeight="1">
      <c r="H3669" s="178"/>
      <c r="I3669" s="179"/>
      <c r="J3669" s="184"/>
    </row>
    <row r="3670" spans="8:10" ht="15.75" customHeight="1">
      <c r="H3670" s="178"/>
      <c r="I3670" s="179"/>
      <c r="J3670" s="184"/>
    </row>
    <row r="3671" spans="8:10" ht="15.75" customHeight="1">
      <c r="H3671" s="178"/>
      <c r="I3671" s="179"/>
      <c r="J3671" s="184"/>
    </row>
    <row r="3672" spans="8:10" ht="15.75" customHeight="1">
      <c r="H3672" s="178"/>
      <c r="I3672" s="179"/>
      <c r="J3672" s="184"/>
    </row>
    <row r="3673" spans="8:10" ht="15.75" customHeight="1">
      <c r="H3673" s="178"/>
      <c r="I3673" s="179"/>
      <c r="J3673" s="184"/>
    </row>
    <row r="3674" spans="8:10" ht="15.75" customHeight="1">
      <c r="H3674" s="178"/>
      <c r="I3674" s="179"/>
      <c r="J3674" s="184"/>
    </row>
    <row r="3675" spans="8:10" ht="15.75" customHeight="1">
      <c r="H3675" s="178"/>
      <c r="I3675" s="179"/>
      <c r="J3675" s="184"/>
    </row>
    <row r="3676" spans="8:10" ht="15.75" customHeight="1">
      <c r="H3676" s="178"/>
      <c r="I3676" s="179"/>
      <c r="J3676" s="184"/>
    </row>
    <row r="3677" spans="8:10" ht="15.75" customHeight="1">
      <c r="H3677" s="178"/>
      <c r="I3677" s="179"/>
      <c r="J3677" s="184"/>
    </row>
    <row r="3678" spans="8:10" ht="15.75" customHeight="1">
      <c r="H3678" s="178"/>
      <c r="I3678" s="179"/>
      <c r="J3678" s="184"/>
    </row>
    <row r="3679" spans="8:10" ht="15.75" customHeight="1">
      <c r="H3679" s="178"/>
      <c r="I3679" s="179"/>
      <c r="J3679" s="184"/>
    </row>
    <row r="3680" spans="8:10" ht="15.75" customHeight="1">
      <c r="H3680" s="178"/>
      <c r="I3680" s="179"/>
      <c r="J3680" s="184"/>
    </row>
    <row r="3681" spans="8:10" ht="15.75" customHeight="1">
      <c r="H3681" s="178"/>
      <c r="I3681" s="179"/>
      <c r="J3681" s="184"/>
    </row>
    <row r="3682" spans="8:10" ht="15.75" customHeight="1">
      <c r="H3682" s="178"/>
      <c r="I3682" s="179"/>
      <c r="J3682" s="184"/>
    </row>
    <row r="3683" spans="8:10" ht="15.75" customHeight="1">
      <c r="H3683" s="178"/>
      <c r="I3683" s="179"/>
      <c r="J3683" s="184"/>
    </row>
    <row r="3684" spans="8:10" ht="15.75" customHeight="1">
      <c r="H3684" s="178"/>
      <c r="I3684" s="179"/>
      <c r="J3684" s="184"/>
    </row>
    <row r="3685" spans="8:10" ht="15.75" customHeight="1">
      <c r="H3685" s="178"/>
      <c r="I3685" s="179"/>
      <c r="J3685" s="184"/>
    </row>
    <row r="3686" spans="8:10" ht="15.75" customHeight="1">
      <c r="H3686" s="178"/>
      <c r="I3686" s="179"/>
      <c r="J3686" s="184"/>
    </row>
    <row r="3687" spans="8:10" ht="15.75" customHeight="1">
      <c r="H3687" s="178"/>
      <c r="I3687" s="179"/>
      <c r="J3687" s="184"/>
    </row>
    <row r="3688" spans="8:10" ht="15.75" customHeight="1">
      <c r="H3688" s="178"/>
      <c r="I3688" s="179"/>
      <c r="J3688" s="184"/>
    </row>
    <row r="3689" spans="8:10" ht="15.75" customHeight="1">
      <c r="H3689" s="178"/>
      <c r="I3689" s="179"/>
      <c r="J3689" s="184"/>
    </row>
    <row r="3690" spans="8:10" ht="15.75" customHeight="1">
      <c r="H3690" s="178"/>
      <c r="I3690" s="179"/>
      <c r="J3690" s="184"/>
    </row>
    <row r="3691" spans="8:10" ht="15.75" customHeight="1">
      <c r="H3691" s="178"/>
      <c r="I3691" s="179"/>
      <c r="J3691" s="184"/>
    </row>
    <row r="3692" spans="8:10" ht="15.75" customHeight="1">
      <c r="H3692" s="178"/>
      <c r="I3692" s="179"/>
      <c r="J3692" s="184"/>
    </row>
    <row r="3693" spans="8:10" ht="15.75" customHeight="1">
      <c r="H3693" s="178"/>
      <c r="I3693" s="179"/>
      <c r="J3693" s="184"/>
    </row>
    <row r="3694" spans="8:10" ht="15.75" customHeight="1">
      <c r="H3694" s="178"/>
      <c r="I3694" s="179"/>
      <c r="J3694" s="184"/>
    </row>
    <row r="3695" spans="8:10" ht="15.75" customHeight="1">
      <c r="H3695" s="178"/>
      <c r="I3695" s="179"/>
      <c r="J3695" s="184"/>
    </row>
    <row r="3696" spans="8:10" ht="15.75" customHeight="1">
      <c r="H3696" s="178"/>
      <c r="I3696" s="179"/>
      <c r="J3696" s="184"/>
    </row>
    <row r="3697" spans="8:10" ht="15.75" customHeight="1">
      <c r="H3697" s="178"/>
      <c r="I3697" s="179"/>
      <c r="J3697" s="184"/>
    </row>
    <row r="3698" spans="8:10" ht="15.75" customHeight="1">
      <c r="H3698" s="178"/>
      <c r="I3698" s="179"/>
      <c r="J3698" s="184"/>
    </row>
    <row r="3699" spans="8:10" ht="15.75" customHeight="1">
      <c r="H3699" s="178"/>
      <c r="I3699" s="179"/>
      <c r="J3699" s="184"/>
    </row>
    <row r="3700" spans="8:10" ht="15.75" customHeight="1">
      <c r="H3700" s="178"/>
      <c r="I3700" s="179"/>
      <c r="J3700" s="184"/>
    </row>
    <row r="3701" spans="8:10" ht="15.75" customHeight="1">
      <c r="H3701" s="178"/>
      <c r="I3701" s="179"/>
      <c r="J3701" s="184"/>
    </row>
    <row r="3702" spans="8:10" ht="15.75" customHeight="1">
      <c r="H3702" s="178"/>
      <c r="I3702" s="179"/>
      <c r="J3702" s="184"/>
    </row>
    <row r="3703" spans="8:10" ht="15.75" customHeight="1">
      <c r="H3703" s="178"/>
      <c r="I3703" s="179"/>
      <c r="J3703" s="184"/>
    </row>
    <row r="3704" spans="8:10" ht="15.75" customHeight="1">
      <c r="H3704" s="178"/>
      <c r="I3704" s="179"/>
      <c r="J3704" s="184"/>
    </row>
    <row r="3705" spans="8:10" ht="15.75" customHeight="1">
      <c r="H3705" s="178"/>
      <c r="I3705" s="179"/>
      <c r="J3705" s="184"/>
    </row>
    <row r="3706" spans="8:10" ht="15.75" customHeight="1">
      <c r="H3706" s="178"/>
      <c r="I3706" s="179"/>
      <c r="J3706" s="184"/>
    </row>
    <row r="3707" spans="8:10" ht="15.75" customHeight="1">
      <c r="H3707" s="178"/>
      <c r="I3707" s="179"/>
      <c r="J3707" s="184"/>
    </row>
    <row r="3708" spans="8:10" ht="15.75" customHeight="1">
      <c r="H3708" s="178"/>
      <c r="I3708" s="179"/>
      <c r="J3708" s="184"/>
    </row>
    <row r="3709" spans="8:10" ht="15.75" customHeight="1">
      <c r="H3709" s="178"/>
      <c r="I3709" s="179"/>
      <c r="J3709" s="184"/>
    </row>
    <row r="3710" spans="8:10" ht="15.75" customHeight="1">
      <c r="H3710" s="178"/>
      <c r="I3710" s="179"/>
      <c r="J3710" s="184"/>
    </row>
    <row r="3711" spans="8:10" ht="15.75" customHeight="1">
      <c r="H3711" s="178"/>
      <c r="I3711" s="179"/>
      <c r="J3711" s="184"/>
    </row>
    <row r="3712" spans="8:10" ht="15.75" customHeight="1">
      <c r="H3712" s="178"/>
      <c r="I3712" s="179"/>
      <c r="J3712" s="184"/>
    </row>
    <row r="3713" spans="8:10" ht="15.75" customHeight="1">
      <c r="H3713" s="178"/>
      <c r="I3713" s="179"/>
      <c r="J3713" s="184"/>
    </row>
    <row r="3714" spans="8:10" ht="15.75" customHeight="1">
      <c r="H3714" s="178"/>
      <c r="I3714" s="179"/>
      <c r="J3714" s="184"/>
    </row>
    <row r="3715" spans="8:10" ht="15.75" customHeight="1">
      <c r="H3715" s="178"/>
      <c r="I3715" s="179"/>
      <c r="J3715" s="184"/>
    </row>
    <row r="3716" spans="8:10" ht="15.75" customHeight="1">
      <c r="H3716" s="178"/>
      <c r="I3716" s="179"/>
      <c r="J3716" s="184"/>
    </row>
    <row r="3717" spans="8:10" ht="15.75" customHeight="1">
      <c r="H3717" s="178"/>
      <c r="I3717" s="179"/>
      <c r="J3717" s="184"/>
    </row>
    <row r="3718" spans="8:10" ht="15.75" customHeight="1">
      <c r="H3718" s="178"/>
      <c r="I3718" s="179"/>
      <c r="J3718" s="184"/>
    </row>
    <row r="3719" spans="8:10" ht="15.75" customHeight="1">
      <c r="H3719" s="178"/>
      <c r="I3719" s="179"/>
      <c r="J3719" s="184"/>
    </row>
    <row r="3720" spans="8:10" ht="15.75" customHeight="1">
      <c r="H3720" s="178"/>
      <c r="I3720" s="179"/>
      <c r="J3720" s="184"/>
    </row>
    <row r="3721" spans="8:10" ht="15.75" customHeight="1">
      <c r="H3721" s="178"/>
      <c r="I3721" s="179"/>
      <c r="J3721" s="184"/>
    </row>
    <row r="3722" spans="8:10" ht="15.75" customHeight="1">
      <c r="H3722" s="178"/>
      <c r="I3722" s="179"/>
      <c r="J3722" s="184"/>
    </row>
    <row r="3723" spans="8:10" ht="15.75" customHeight="1">
      <c r="H3723" s="178"/>
      <c r="I3723" s="179"/>
      <c r="J3723" s="184"/>
    </row>
    <row r="3724" spans="8:10" ht="15.75" customHeight="1">
      <c r="H3724" s="178"/>
      <c r="I3724" s="179"/>
      <c r="J3724" s="184"/>
    </row>
    <row r="3725" spans="8:10" ht="15.75" customHeight="1">
      <c r="H3725" s="178"/>
      <c r="I3725" s="179"/>
      <c r="J3725" s="184"/>
    </row>
    <row r="3726" spans="8:10" ht="15.75" customHeight="1">
      <c r="H3726" s="178"/>
      <c r="I3726" s="179"/>
      <c r="J3726" s="184"/>
    </row>
    <row r="3727" spans="8:10" ht="15.75" customHeight="1">
      <c r="H3727" s="178"/>
      <c r="I3727" s="179"/>
      <c r="J3727" s="184"/>
    </row>
    <row r="3728" spans="8:10" ht="15.75" customHeight="1">
      <c r="H3728" s="178"/>
      <c r="I3728" s="179"/>
      <c r="J3728" s="184"/>
    </row>
    <row r="3729" spans="8:10" ht="15.75" customHeight="1">
      <c r="H3729" s="178"/>
      <c r="I3729" s="179"/>
      <c r="J3729" s="184"/>
    </row>
    <row r="3730" spans="8:10" ht="15.75" customHeight="1">
      <c r="H3730" s="178"/>
      <c r="I3730" s="179"/>
      <c r="J3730" s="184"/>
    </row>
    <row r="3731" spans="8:10" ht="15.75" customHeight="1">
      <c r="H3731" s="178"/>
      <c r="I3731" s="179"/>
      <c r="J3731" s="184"/>
    </row>
    <row r="3732" spans="8:10" ht="15.75" customHeight="1">
      <c r="H3732" s="178"/>
      <c r="I3732" s="179"/>
      <c r="J3732" s="184"/>
    </row>
    <row r="3733" spans="8:10" ht="15.75" customHeight="1">
      <c r="H3733" s="178"/>
      <c r="I3733" s="179"/>
      <c r="J3733" s="184"/>
    </row>
    <row r="3734" spans="8:10" ht="15.75" customHeight="1">
      <c r="H3734" s="178"/>
      <c r="I3734" s="179"/>
      <c r="J3734" s="184"/>
    </row>
    <row r="3735" spans="8:10" ht="15.75" customHeight="1">
      <c r="H3735" s="178"/>
      <c r="I3735" s="179"/>
      <c r="J3735" s="184"/>
    </row>
    <row r="3736" spans="8:10" ht="15.75" customHeight="1">
      <c r="H3736" s="178"/>
      <c r="I3736" s="179"/>
      <c r="J3736" s="184"/>
    </row>
    <row r="3737" spans="8:10" ht="15.75" customHeight="1">
      <c r="H3737" s="178"/>
      <c r="I3737" s="179"/>
      <c r="J3737" s="184"/>
    </row>
    <row r="3738" spans="8:10" ht="15.75" customHeight="1">
      <c r="H3738" s="178"/>
      <c r="I3738" s="179"/>
      <c r="J3738" s="184"/>
    </row>
    <row r="3739" spans="8:10" ht="15.75" customHeight="1">
      <c r="H3739" s="178"/>
      <c r="I3739" s="179"/>
      <c r="J3739" s="184"/>
    </row>
    <row r="3740" spans="8:10" ht="15.75" customHeight="1">
      <c r="H3740" s="178"/>
      <c r="I3740" s="179"/>
      <c r="J3740" s="184"/>
    </row>
    <row r="3741" spans="8:10" ht="15.75" customHeight="1">
      <c r="H3741" s="178"/>
      <c r="I3741" s="179"/>
      <c r="J3741" s="184"/>
    </row>
    <row r="3742" spans="8:10" ht="15.75" customHeight="1">
      <c r="H3742" s="178"/>
      <c r="I3742" s="179"/>
      <c r="J3742" s="184"/>
    </row>
    <row r="3743" spans="8:10" ht="15.75" customHeight="1">
      <c r="H3743" s="178"/>
      <c r="I3743" s="179"/>
      <c r="J3743" s="184"/>
    </row>
    <row r="3744" spans="8:10" ht="15.75" customHeight="1">
      <c r="H3744" s="178"/>
      <c r="I3744" s="179"/>
      <c r="J3744" s="184"/>
    </row>
    <row r="3745" spans="8:10" ht="15.75" customHeight="1">
      <c r="H3745" s="178"/>
      <c r="I3745" s="179"/>
      <c r="J3745" s="184"/>
    </row>
    <row r="3746" spans="8:10" ht="15.75" customHeight="1">
      <c r="H3746" s="178"/>
      <c r="I3746" s="179"/>
      <c r="J3746" s="184"/>
    </row>
    <row r="3747" spans="8:10" ht="15.75" customHeight="1">
      <c r="H3747" s="178"/>
      <c r="I3747" s="179"/>
      <c r="J3747" s="184"/>
    </row>
    <row r="3748" spans="8:10" ht="15.75" customHeight="1">
      <c r="H3748" s="178"/>
      <c r="I3748" s="179"/>
      <c r="J3748" s="184"/>
    </row>
    <row r="3749" spans="8:10" ht="15.75" customHeight="1">
      <c r="H3749" s="178"/>
      <c r="I3749" s="179"/>
      <c r="J3749" s="184"/>
    </row>
    <row r="3750" spans="8:10" ht="15.75" customHeight="1">
      <c r="H3750" s="178"/>
      <c r="I3750" s="179"/>
      <c r="J3750" s="184"/>
    </row>
    <row r="3751" spans="8:10" ht="15.75" customHeight="1">
      <c r="H3751" s="178"/>
      <c r="I3751" s="179"/>
      <c r="J3751" s="184"/>
    </row>
    <row r="3752" spans="8:10" ht="15.75" customHeight="1">
      <c r="H3752" s="178"/>
      <c r="I3752" s="179"/>
      <c r="J3752" s="184"/>
    </row>
    <row r="3753" spans="8:10" ht="15.75" customHeight="1">
      <c r="H3753" s="178"/>
      <c r="I3753" s="179"/>
      <c r="J3753" s="184"/>
    </row>
    <row r="3754" spans="8:10" ht="15.75" customHeight="1">
      <c r="H3754" s="178"/>
      <c r="I3754" s="179"/>
      <c r="J3754" s="184"/>
    </row>
    <row r="3755" spans="8:10" ht="15.75" customHeight="1">
      <c r="H3755" s="178"/>
      <c r="I3755" s="179"/>
      <c r="J3755" s="184"/>
    </row>
    <row r="3756" spans="8:10" ht="15.75" customHeight="1">
      <c r="H3756" s="178"/>
      <c r="I3756" s="179"/>
      <c r="J3756" s="184"/>
    </row>
    <row r="3757" spans="8:10" ht="15.75" customHeight="1">
      <c r="H3757" s="178"/>
      <c r="I3757" s="179"/>
      <c r="J3757" s="184"/>
    </row>
    <row r="3758" spans="8:10" ht="15.75" customHeight="1">
      <c r="H3758" s="178"/>
      <c r="I3758" s="179"/>
      <c r="J3758" s="184"/>
    </row>
    <row r="3759" spans="8:10" ht="15.75" customHeight="1">
      <c r="H3759" s="178"/>
      <c r="I3759" s="179"/>
      <c r="J3759" s="184"/>
    </row>
    <row r="3760" spans="8:10" ht="15.75" customHeight="1">
      <c r="H3760" s="178"/>
      <c r="I3760" s="179"/>
      <c r="J3760" s="184"/>
    </row>
    <row r="3761" spans="8:10" ht="15.75" customHeight="1">
      <c r="H3761" s="178"/>
      <c r="I3761" s="179"/>
      <c r="J3761" s="184"/>
    </row>
    <row r="3762" spans="8:10" ht="15.75" customHeight="1">
      <c r="H3762" s="178"/>
      <c r="I3762" s="179"/>
      <c r="J3762" s="184"/>
    </row>
    <row r="3763" spans="8:10" ht="15.75" customHeight="1">
      <c r="H3763" s="178"/>
      <c r="I3763" s="179"/>
      <c r="J3763" s="184"/>
    </row>
    <row r="3764" spans="8:10" ht="15.75" customHeight="1">
      <c r="H3764" s="178"/>
      <c r="I3764" s="179"/>
      <c r="J3764" s="184"/>
    </row>
    <row r="3765" spans="8:10" ht="15.75" customHeight="1">
      <c r="H3765" s="178"/>
      <c r="I3765" s="179"/>
      <c r="J3765" s="184"/>
    </row>
    <row r="3766" spans="8:10" ht="15.75" customHeight="1">
      <c r="H3766" s="178"/>
      <c r="I3766" s="179"/>
      <c r="J3766" s="184"/>
    </row>
    <row r="3767" spans="8:10" ht="15.75" customHeight="1">
      <c r="H3767" s="178"/>
      <c r="I3767" s="179"/>
      <c r="J3767" s="184"/>
    </row>
    <row r="3768" spans="8:10" ht="15.75" customHeight="1">
      <c r="H3768" s="178"/>
      <c r="I3768" s="179"/>
      <c r="J3768" s="184"/>
    </row>
    <row r="3769" spans="8:10" ht="15.75" customHeight="1">
      <c r="H3769" s="178"/>
      <c r="I3769" s="179"/>
      <c r="J3769" s="184"/>
    </row>
    <row r="3770" spans="8:10" ht="15.75" customHeight="1">
      <c r="H3770" s="178"/>
      <c r="I3770" s="179"/>
      <c r="J3770" s="184"/>
    </row>
    <row r="3771" spans="8:10" ht="15.75" customHeight="1">
      <c r="H3771" s="178"/>
      <c r="I3771" s="179"/>
      <c r="J3771" s="184"/>
    </row>
    <row r="3772" spans="8:10" ht="15.75" customHeight="1">
      <c r="H3772" s="178"/>
      <c r="I3772" s="179"/>
      <c r="J3772" s="184"/>
    </row>
    <row r="3773" spans="8:10" ht="15.75" customHeight="1">
      <c r="H3773" s="178"/>
      <c r="I3773" s="179"/>
      <c r="J3773" s="184"/>
    </row>
    <row r="3774" spans="8:10" ht="15.75" customHeight="1">
      <c r="H3774" s="178"/>
      <c r="I3774" s="179"/>
      <c r="J3774" s="184"/>
    </row>
    <row r="3775" spans="8:10" ht="15.75" customHeight="1">
      <c r="H3775" s="178"/>
      <c r="I3775" s="179"/>
      <c r="J3775" s="184"/>
    </row>
    <row r="3776" spans="8:10" ht="15.75" customHeight="1">
      <c r="H3776" s="178"/>
      <c r="I3776" s="179"/>
      <c r="J3776" s="184"/>
    </row>
    <row r="3777" spans="8:10" ht="15.75" customHeight="1">
      <c r="H3777" s="178"/>
      <c r="I3777" s="179"/>
      <c r="J3777" s="184"/>
    </row>
    <row r="3778" spans="8:10" ht="15.75" customHeight="1">
      <c r="H3778" s="178"/>
      <c r="I3778" s="179"/>
      <c r="J3778" s="184"/>
    </row>
    <row r="3779" spans="8:10" ht="15.75" customHeight="1">
      <c r="H3779" s="178"/>
      <c r="I3779" s="179"/>
      <c r="J3779" s="184"/>
    </row>
    <row r="3780" spans="8:10" ht="15.75" customHeight="1">
      <c r="H3780" s="178"/>
      <c r="I3780" s="179"/>
      <c r="J3780" s="184"/>
    </row>
    <row r="3781" spans="8:10" ht="15.75" customHeight="1">
      <c r="H3781" s="178"/>
      <c r="I3781" s="179"/>
      <c r="J3781" s="184"/>
    </row>
    <row r="3782" spans="8:10" ht="15.75" customHeight="1">
      <c r="H3782" s="178"/>
      <c r="I3782" s="179"/>
      <c r="J3782" s="184"/>
    </row>
    <row r="3783" spans="8:10" ht="15.75" customHeight="1">
      <c r="H3783" s="178"/>
      <c r="I3783" s="179"/>
      <c r="J3783" s="184"/>
    </row>
    <row r="3784" spans="8:10" ht="15.75" customHeight="1">
      <c r="H3784" s="178"/>
      <c r="I3784" s="179"/>
      <c r="J3784" s="184"/>
    </row>
    <row r="3785" spans="8:10" ht="15.75" customHeight="1">
      <c r="H3785" s="178"/>
      <c r="I3785" s="179"/>
      <c r="J3785" s="184"/>
    </row>
    <row r="3786" spans="8:10" ht="15.75" customHeight="1">
      <c r="H3786" s="178"/>
      <c r="I3786" s="179"/>
      <c r="J3786" s="184"/>
    </row>
    <row r="3787" spans="8:10" ht="15.75" customHeight="1">
      <c r="H3787" s="178"/>
      <c r="I3787" s="179"/>
      <c r="J3787" s="184"/>
    </row>
    <row r="3788" spans="8:10" ht="15.75" customHeight="1">
      <c r="H3788" s="178"/>
      <c r="I3788" s="179"/>
      <c r="J3788" s="184"/>
    </row>
    <row r="3789" spans="8:10" ht="15.75" customHeight="1">
      <c r="H3789" s="178"/>
      <c r="I3789" s="179"/>
      <c r="J3789" s="184"/>
    </row>
    <row r="3790" spans="8:10" ht="15.75" customHeight="1">
      <c r="H3790" s="178"/>
      <c r="I3790" s="179"/>
      <c r="J3790" s="184"/>
    </row>
    <row r="3791" spans="8:10" ht="15.75" customHeight="1">
      <c r="H3791" s="178"/>
      <c r="I3791" s="179"/>
      <c r="J3791" s="184"/>
    </row>
    <row r="3792" spans="8:10" ht="15.75" customHeight="1">
      <c r="H3792" s="178"/>
      <c r="I3792" s="179"/>
      <c r="J3792" s="184"/>
    </row>
    <row r="3793" spans="8:10" ht="15.75" customHeight="1">
      <c r="H3793" s="178"/>
      <c r="I3793" s="179"/>
      <c r="J3793" s="184"/>
    </row>
    <row r="3794" spans="8:10" ht="15.75" customHeight="1">
      <c r="H3794" s="178"/>
      <c r="I3794" s="179"/>
      <c r="J3794" s="184"/>
    </row>
    <row r="3795" spans="8:10" ht="15.75" customHeight="1">
      <c r="H3795" s="178"/>
      <c r="I3795" s="179"/>
      <c r="J3795" s="184"/>
    </row>
    <row r="3796" spans="8:10" ht="15.75" customHeight="1">
      <c r="H3796" s="178"/>
      <c r="I3796" s="179"/>
      <c r="J3796" s="184"/>
    </row>
    <row r="3797" spans="8:10" ht="15.75" customHeight="1">
      <c r="H3797" s="178"/>
      <c r="I3797" s="179"/>
      <c r="J3797" s="184"/>
    </row>
    <row r="3798" spans="8:10" ht="15.75" customHeight="1">
      <c r="H3798" s="178"/>
      <c r="I3798" s="179"/>
      <c r="J3798" s="184"/>
    </row>
    <row r="3799" spans="8:10" ht="15.75" customHeight="1">
      <c r="H3799" s="178"/>
      <c r="I3799" s="179"/>
      <c r="J3799" s="184"/>
    </row>
    <row r="3800" spans="8:10" ht="15.75" customHeight="1">
      <c r="H3800" s="178"/>
      <c r="I3800" s="179"/>
      <c r="J3800" s="184"/>
    </row>
    <row r="3801" spans="8:10" ht="15.75" customHeight="1">
      <c r="H3801" s="178"/>
      <c r="I3801" s="179"/>
      <c r="J3801" s="184"/>
    </row>
    <row r="3802" spans="8:10" ht="15.75" customHeight="1">
      <c r="H3802" s="178"/>
      <c r="I3802" s="179"/>
      <c r="J3802" s="184"/>
    </row>
    <row r="3803" spans="8:10" ht="15.75" customHeight="1">
      <c r="H3803" s="178"/>
      <c r="I3803" s="179"/>
      <c r="J3803" s="184"/>
    </row>
    <row r="3804" spans="8:10" ht="15.75" customHeight="1">
      <c r="H3804" s="178"/>
      <c r="I3804" s="179"/>
      <c r="J3804" s="184"/>
    </row>
    <row r="3805" spans="8:10" ht="15.75" customHeight="1">
      <c r="H3805" s="178"/>
      <c r="I3805" s="179"/>
      <c r="J3805" s="184"/>
    </row>
    <row r="3806" spans="8:10" ht="15.75" customHeight="1">
      <c r="H3806" s="178"/>
      <c r="I3806" s="179"/>
      <c r="J3806" s="184"/>
    </row>
    <row r="3807" spans="8:10" ht="15.75" customHeight="1">
      <c r="H3807" s="178"/>
      <c r="I3807" s="179"/>
      <c r="J3807" s="184"/>
    </row>
    <row r="3808" spans="8:10" ht="15.75" customHeight="1">
      <c r="H3808" s="178"/>
      <c r="I3808" s="179"/>
      <c r="J3808" s="184"/>
    </row>
    <row r="3809" spans="8:10" ht="15.75" customHeight="1">
      <c r="H3809" s="178"/>
      <c r="I3809" s="179"/>
      <c r="J3809" s="184"/>
    </row>
    <row r="3810" spans="8:10" ht="15.75" customHeight="1">
      <c r="H3810" s="178"/>
      <c r="I3810" s="179"/>
      <c r="J3810" s="184"/>
    </row>
    <row r="3811" spans="8:10" ht="15.75" customHeight="1">
      <c r="H3811" s="178"/>
      <c r="I3811" s="179"/>
      <c r="J3811" s="184"/>
    </row>
    <row r="3812" spans="8:10" ht="15.75" customHeight="1">
      <c r="H3812" s="178"/>
      <c r="I3812" s="179"/>
      <c r="J3812" s="184"/>
    </row>
    <row r="3813" spans="8:10" ht="15.75" customHeight="1">
      <c r="H3813" s="178"/>
      <c r="I3813" s="179"/>
      <c r="J3813" s="184"/>
    </row>
    <row r="3814" spans="8:10" ht="15.75" customHeight="1">
      <c r="H3814" s="178"/>
      <c r="I3814" s="179"/>
      <c r="J3814" s="184"/>
    </row>
    <row r="3815" spans="8:10" ht="15.75" customHeight="1">
      <c r="H3815" s="178"/>
      <c r="I3815" s="179"/>
      <c r="J3815" s="184"/>
    </row>
    <row r="3816" spans="8:10" ht="15.75" customHeight="1">
      <c r="H3816" s="178"/>
      <c r="I3816" s="179"/>
      <c r="J3816" s="184"/>
    </row>
    <row r="3817" spans="8:10" ht="15.75" customHeight="1">
      <c r="H3817" s="178"/>
      <c r="I3817" s="179"/>
      <c r="J3817" s="184"/>
    </row>
    <row r="3818" spans="8:10" ht="15.75" customHeight="1">
      <c r="H3818" s="178"/>
      <c r="I3818" s="179"/>
      <c r="J3818" s="184"/>
    </row>
    <row r="3819" spans="8:10" ht="15.75" customHeight="1">
      <c r="H3819" s="178"/>
      <c r="I3819" s="179"/>
      <c r="J3819" s="184"/>
    </row>
    <row r="3820" spans="8:10" ht="15.75" customHeight="1">
      <c r="H3820" s="178"/>
      <c r="I3820" s="179"/>
      <c r="J3820" s="184"/>
    </row>
    <row r="3821" spans="8:10" ht="15.75" customHeight="1">
      <c r="H3821" s="178"/>
      <c r="I3821" s="179"/>
      <c r="J3821" s="184"/>
    </row>
    <row r="3822" spans="8:10" ht="15.75" customHeight="1">
      <c r="H3822" s="178"/>
      <c r="I3822" s="179"/>
      <c r="J3822" s="184"/>
    </row>
    <row r="3823" spans="8:10" ht="15.75" customHeight="1">
      <c r="H3823" s="178"/>
      <c r="I3823" s="179"/>
      <c r="J3823" s="184"/>
    </row>
    <row r="3824" spans="8:10" ht="15.75" customHeight="1">
      <c r="H3824" s="178"/>
      <c r="I3824" s="179"/>
      <c r="J3824" s="184"/>
    </row>
    <row r="3825" spans="8:10" ht="15.75" customHeight="1">
      <c r="H3825" s="178"/>
      <c r="I3825" s="179"/>
      <c r="J3825" s="184"/>
    </row>
    <row r="3826" spans="8:10" ht="15.75" customHeight="1">
      <c r="H3826" s="178"/>
      <c r="I3826" s="179"/>
      <c r="J3826" s="184"/>
    </row>
    <row r="3827" spans="8:10" ht="15.75" customHeight="1">
      <c r="H3827" s="178"/>
      <c r="I3827" s="179"/>
      <c r="J3827" s="184"/>
    </row>
    <row r="3828" spans="8:10" ht="15.75" customHeight="1">
      <c r="H3828" s="178"/>
      <c r="I3828" s="179"/>
      <c r="J3828" s="184"/>
    </row>
    <row r="3829" spans="8:10" ht="15.75" customHeight="1">
      <c r="H3829" s="178"/>
      <c r="I3829" s="179"/>
      <c r="J3829" s="184"/>
    </row>
    <row r="3830" spans="8:10" ht="15.75" customHeight="1">
      <c r="H3830" s="178"/>
      <c r="I3830" s="179"/>
      <c r="J3830" s="184"/>
    </row>
    <row r="3831" spans="8:10" ht="15.75" customHeight="1">
      <c r="H3831" s="178"/>
      <c r="I3831" s="179"/>
      <c r="J3831" s="184"/>
    </row>
    <row r="3832" spans="8:10" ht="15.75" customHeight="1">
      <c r="H3832" s="178"/>
      <c r="I3832" s="179"/>
      <c r="J3832" s="184"/>
    </row>
    <row r="3833" spans="8:10" ht="15.75" customHeight="1">
      <c r="H3833" s="178"/>
      <c r="I3833" s="179"/>
      <c r="J3833" s="184"/>
    </row>
    <row r="3834" spans="8:10" ht="15.75" customHeight="1">
      <c r="H3834" s="178"/>
      <c r="I3834" s="179"/>
      <c r="J3834" s="184"/>
    </row>
    <row r="3835" spans="8:10" ht="15.75" customHeight="1">
      <c r="H3835" s="178"/>
      <c r="I3835" s="179"/>
      <c r="J3835" s="184"/>
    </row>
    <row r="3836" spans="8:10" ht="15.75" customHeight="1">
      <c r="H3836" s="178"/>
      <c r="I3836" s="179"/>
      <c r="J3836" s="184"/>
    </row>
    <row r="3837" spans="8:10" ht="15.75" customHeight="1">
      <c r="H3837" s="178"/>
      <c r="I3837" s="179"/>
      <c r="J3837" s="184"/>
    </row>
    <row r="3838" spans="8:10" ht="15.75" customHeight="1">
      <c r="H3838" s="178"/>
      <c r="I3838" s="179"/>
      <c r="J3838" s="184"/>
    </row>
    <row r="3839" spans="8:10" ht="15.75" customHeight="1">
      <c r="H3839" s="178"/>
      <c r="I3839" s="179"/>
      <c r="J3839" s="184"/>
    </row>
    <row r="3840" spans="8:10" ht="15.75" customHeight="1">
      <c r="H3840" s="178"/>
      <c r="I3840" s="179"/>
      <c r="J3840" s="184"/>
    </row>
    <row r="3841" spans="8:10" ht="15.75" customHeight="1">
      <c r="H3841" s="178"/>
      <c r="I3841" s="179"/>
      <c r="J3841" s="184"/>
    </row>
    <row r="3842" spans="8:10" ht="15.75" customHeight="1">
      <c r="H3842" s="178"/>
      <c r="I3842" s="179"/>
      <c r="J3842" s="184"/>
    </row>
    <row r="3843" spans="8:10" ht="15.75" customHeight="1">
      <c r="H3843" s="178"/>
      <c r="I3843" s="179"/>
      <c r="J3843" s="184"/>
    </row>
    <row r="3844" spans="8:10" ht="15.75" customHeight="1">
      <c r="H3844" s="178"/>
      <c r="I3844" s="179"/>
      <c r="J3844" s="184"/>
    </row>
    <row r="3845" spans="8:10" ht="15.75" customHeight="1">
      <c r="H3845" s="178"/>
      <c r="I3845" s="179"/>
      <c r="J3845" s="184"/>
    </row>
    <row r="3846" spans="8:10" ht="15.75" customHeight="1">
      <c r="H3846" s="178"/>
      <c r="I3846" s="179"/>
      <c r="J3846" s="184"/>
    </row>
    <row r="3847" spans="8:10" ht="15.75" customHeight="1">
      <c r="H3847" s="178"/>
      <c r="I3847" s="179"/>
      <c r="J3847" s="184"/>
    </row>
    <row r="3848" spans="8:10" ht="15.75" customHeight="1">
      <c r="H3848" s="178"/>
      <c r="I3848" s="179"/>
      <c r="J3848" s="184"/>
    </row>
    <row r="3849" spans="8:10" ht="15.75" customHeight="1">
      <c r="H3849" s="178"/>
      <c r="I3849" s="179"/>
      <c r="J3849" s="184"/>
    </row>
    <row r="3850" spans="8:10" ht="15.75" customHeight="1">
      <c r="H3850" s="178"/>
      <c r="I3850" s="179"/>
      <c r="J3850" s="184"/>
    </row>
    <row r="3851" spans="8:10" ht="15.75" customHeight="1">
      <c r="H3851" s="178"/>
      <c r="I3851" s="179"/>
      <c r="J3851" s="184"/>
    </row>
    <row r="3852" spans="8:10" ht="15.75" customHeight="1">
      <c r="H3852" s="178"/>
      <c r="I3852" s="179"/>
      <c r="J3852" s="184"/>
    </row>
    <row r="3853" spans="8:10" ht="15.75" customHeight="1">
      <c r="H3853" s="178"/>
      <c r="I3853" s="179"/>
      <c r="J3853" s="184"/>
    </row>
    <row r="3854" spans="8:10" ht="15.75" customHeight="1">
      <c r="H3854" s="178"/>
      <c r="I3854" s="179"/>
      <c r="J3854" s="184"/>
    </row>
    <row r="3855" spans="8:10" ht="15.75" customHeight="1">
      <c r="H3855" s="178"/>
      <c r="I3855" s="179"/>
      <c r="J3855" s="184"/>
    </row>
    <row r="3856" spans="8:10" ht="15.75" customHeight="1">
      <c r="H3856" s="178"/>
      <c r="I3856" s="179"/>
      <c r="J3856" s="184"/>
    </row>
    <row r="3857" spans="8:10" ht="15.75" customHeight="1">
      <c r="H3857" s="178"/>
      <c r="I3857" s="179"/>
      <c r="J3857" s="184"/>
    </row>
    <row r="3858" spans="8:10" ht="15.75" customHeight="1">
      <c r="H3858" s="178"/>
      <c r="I3858" s="179"/>
      <c r="J3858" s="184"/>
    </row>
    <row r="3859" spans="8:10" ht="15.75" customHeight="1">
      <c r="H3859" s="178"/>
      <c r="I3859" s="179"/>
      <c r="J3859" s="184"/>
    </row>
    <row r="3860" spans="8:10" ht="15.75" customHeight="1">
      <c r="H3860" s="178"/>
      <c r="I3860" s="179"/>
      <c r="J3860" s="184"/>
    </row>
    <row r="3861" spans="8:10" ht="15.75" customHeight="1">
      <c r="H3861" s="178"/>
      <c r="I3861" s="179"/>
      <c r="J3861" s="184"/>
    </row>
    <row r="3862" spans="8:10" ht="15.75" customHeight="1">
      <c r="H3862" s="178"/>
      <c r="I3862" s="179"/>
      <c r="J3862" s="184"/>
    </row>
    <row r="3863" spans="8:10" ht="15.75" customHeight="1">
      <c r="H3863" s="178"/>
      <c r="I3863" s="179"/>
      <c r="J3863" s="184"/>
    </row>
    <row r="3864" spans="8:10" ht="15.75" customHeight="1">
      <c r="H3864" s="178"/>
      <c r="I3864" s="179"/>
      <c r="J3864" s="184"/>
    </row>
    <row r="3865" spans="8:10" ht="15.75" customHeight="1">
      <c r="H3865" s="178"/>
      <c r="I3865" s="179"/>
      <c r="J3865" s="184"/>
    </row>
    <row r="3866" spans="8:10" ht="15.75" customHeight="1">
      <c r="H3866" s="178"/>
      <c r="I3866" s="179"/>
      <c r="J3866" s="184"/>
    </row>
    <row r="3867" spans="8:10" ht="15.75" customHeight="1">
      <c r="H3867" s="178"/>
      <c r="I3867" s="179"/>
      <c r="J3867" s="184"/>
    </row>
    <row r="3868" spans="8:10" ht="15.75" customHeight="1">
      <c r="H3868" s="178"/>
      <c r="I3868" s="179"/>
      <c r="J3868" s="184"/>
    </row>
    <row r="3869" spans="8:10" ht="15.75" customHeight="1">
      <c r="H3869" s="178"/>
      <c r="I3869" s="179"/>
      <c r="J3869" s="184"/>
    </row>
    <row r="3870" spans="8:10" ht="15.75" customHeight="1">
      <c r="H3870" s="178"/>
      <c r="I3870" s="179"/>
      <c r="J3870" s="184"/>
    </row>
    <row r="3871" spans="8:10" ht="15.75" customHeight="1">
      <c r="H3871" s="178"/>
      <c r="I3871" s="179"/>
      <c r="J3871" s="184"/>
    </row>
    <row r="3872" spans="8:10" ht="15.75" customHeight="1">
      <c r="H3872" s="178"/>
      <c r="I3872" s="179"/>
      <c r="J3872" s="184"/>
    </row>
    <row r="3873" spans="8:10" ht="15.75" customHeight="1">
      <c r="H3873" s="178"/>
      <c r="I3873" s="179"/>
      <c r="J3873" s="184"/>
    </row>
    <row r="3874" spans="8:10" ht="15.75" customHeight="1">
      <c r="H3874" s="178"/>
      <c r="I3874" s="179"/>
      <c r="J3874" s="184"/>
    </row>
    <row r="3875" spans="8:10" ht="15.75" customHeight="1">
      <c r="H3875" s="178"/>
      <c r="I3875" s="179"/>
      <c r="J3875" s="184"/>
    </row>
    <row r="3876" spans="8:10" ht="15.75" customHeight="1">
      <c r="H3876" s="178"/>
      <c r="I3876" s="179"/>
      <c r="J3876" s="184"/>
    </row>
    <row r="3877" spans="8:10" ht="15.75" customHeight="1">
      <c r="H3877" s="178"/>
      <c r="I3877" s="179"/>
      <c r="J3877" s="184"/>
    </row>
    <row r="3878" spans="8:10" ht="15.75" customHeight="1">
      <c r="H3878" s="178"/>
      <c r="I3878" s="179"/>
      <c r="J3878" s="184"/>
    </row>
    <row r="3879" spans="8:10" ht="15.75" customHeight="1">
      <c r="H3879" s="178"/>
      <c r="I3879" s="179"/>
      <c r="J3879" s="184"/>
    </row>
    <row r="3880" spans="8:10" ht="15.75" customHeight="1">
      <c r="H3880" s="178"/>
      <c r="I3880" s="179"/>
      <c r="J3880" s="184"/>
    </row>
    <row r="3881" spans="8:10" ht="15.75" customHeight="1">
      <c r="H3881" s="178"/>
      <c r="I3881" s="179"/>
      <c r="J3881" s="184"/>
    </row>
    <row r="3882" spans="8:10" ht="15.75" customHeight="1">
      <c r="H3882" s="178"/>
      <c r="I3882" s="179"/>
      <c r="J3882" s="184"/>
    </row>
    <row r="3883" spans="8:10" ht="15.75" customHeight="1">
      <c r="H3883" s="178"/>
      <c r="I3883" s="179"/>
      <c r="J3883" s="184"/>
    </row>
    <row r="3884" spans="8:10" ht="15.75" customHeight="1">
      <c r="H3884" s="178"/>
      <c r="I3884" s="179"/>
      <c r="J3884" s="184"/>
    </row>
    <row r="3885" spans="8:10" ht="15.75" customHeight="1">
      <c r="H3885" s="178"/>
      <c r="I3885" s="179"/>
      <c r="J3885" s="184"/>
    </row>
    <row r="3886" spans="8:10" ht="15.75" customHeight="1">
      <c r="H3886" s="178"/>
      <c r="I3886" s="179"/>
      <c r="J3886" s="184"/>
    </row>
    <row r="3887" spans="8:10" ht="15.75" customHeight="1">
      <c r="H3887" s="178"/>
      <c r="I3887" s="179"/>
      <c r="J3887" s="184"/>
    </row>
    <row r="3888" spans="8:10" ht="15.75" customHeight="1">
      <c r="H3888" s="178"/>
      <c r="I3888" s="179"/>
      <c r="J3888" s="184"/>
    </row>
    <row r="3889" spans="8:10" ht="15.75" customHeight="1">
      <c r="H3889" s="178"/>
      <c r="I3889" s="179"/>
      <c r="J3889" s="184"/>
    </row>
    <row r="3890" spans="8:10" ht="15.75" customHeight="1">
      <c r="H3890" s="178"/>
      <c r="I3890" s="179"/>
      <c r="J3890" s="184"/>
    </row>
    <row r="3891" spans="8:10" ht="15.75" customHeight="1">
      <c r="H3891" s="178"/>
      <c r="I3891" s="179"/>
      <c r="J3891" s="184"/>
    </row>
    <row r="3892" spans="8:10" ht="15.75" customHeight="1">
      <c r="H3892" s="178"/>
      <c r="I3892" s="179"/>
      <c r="J3892" s="184"/>
    </row>
    <row r="3893" spans="8:10" ht="15.75" customHeight="1">
      <c r="H3893" s="178"/>
      <c r="I3893" s="179"/>
      <c r="J3893" s="184"/>
    </row>
    <row r="3894" spans="8:10" ht="15.75" customHeight="1">
      <c r="H3894" s="178"/>
      <c r="I3894" s="179"/>
      <c r="J3894" s="184"/>
    </row>
    <row r="3895" spans="8:10" ht="15.75" customHeight="1">
      <c r="H3895" s="178"/>
      <c r="I3895" s="179"/>
      <c r="J3895" s="184"/>
    </row>
    <row r="3896" spans="8:10" ht="15.75" customHeight="1">
      <c r="H3896" s="178"/>
      <c r="I3896" s="179"/>
      <c r="J3896" s="184"/>
    </row>
    <row r="3897" spans="8:10" ht="15.75" customHeight="1">
      <c r="H3897" s="178"/>
      <c r="I3897" s="179"/>
      <c r="J3897" s="184"/>
    </row>
    <row r="3898" spans="8:10" ht="15.75" customHeight="1">
      <c r="H3898" s="178"/>
      <c r="I3898" s="179"/>
      <c r="J3898" s="184"/>
    </row>
    <row r="3899" spans="8:10" ht="15.75" customHeight="1">
      <c r="H3899" s="178"/>
      <c r="I3899" s="179"/>
      <c r="J3899" s="184"/>
    </row>
    <row r="3900" spans="8:10" ht="15.75" customHeight="1">
      <c r="H3900" s="178"/>
      <c r="I3900" s="179"/>
      <c r="J3900" s="184"/>
    </row>
    <row r="3901" spans="8:10" ht="15.75" customHeight="1">
      <c r="H3901" s="178"/>
      <c r="I3901" s="179"/>
      <c r="J3901" s="184"/>
    </row>
    <row r="3902" spans="8:10" ht="15.75" customHeight="1">
      <c r="H3902" s="178"/>
      <c r="I3902" s="179"/>
      <c r="J3902" s="184"/>
    </row>
    <row r="3903" spans="8:10" ht="15.75" customHeight="1">
      <c r="H3903" s="178"/>
      <c r="I3903" s="179"/>
      <c r="J3903" s="184"/>
    </row>
    <row r="3904" spans="8:10" ht="15.75" customHeight="1">
      <c r="H3904" s="178"/>
      <c r="I3904" s="179"/>
      <c r="J3904" s="184"/>
    </row>
    <row r="3905" spans="8:10" ht="15.75" customHeight="1">
      <c r="H3905" s="178"/>
      <c r="I3905" s="179"/>
      <c r="J3905" s="184"/>
    </row>
    <row r="3906" spans="8:10" ht="15.75" customHeight="1">
      <c r="H3906" s="178"/>
      <c r="I3906" s="179"/>
      <c r="J3906" s="184"/>
    </row>
    <row r="3907" spans="8:10" ht="15.75" customHeight="1">
      <c r="H3907" s="178"/>
      <c r="I3907" s="179"/>
      <c r="J3907" s="184"/>
    </row>
    <row r="3908" spans="8:10" ht="15.75" customHeight="1">
      <c r="H3908" s="178"/>
      <c r="I3908" s="179"/>
      <c r="J3908" s="184"/>
    </row>
    <row r="3909" spans="8:10" ht="15.75" customHeight="1">
      <c r="H3909" s="178"/>
      <c r="I3909" s="179"/>
      <c r="J3909" s="184"/>
    </row>
    <row r="3910" spans="8:10" ht="15.75" customHeight="1">
      <c r="H3910" s="178"/>
      <c r="I3910" s="179"/>
      <c r="J3910" s="184"/>
    </row>
    <row r="3911" spans="8:10" ht="15.75" customHeight="1">
      <c r="H3911" s="178"/>
      <c r="I3911" s="179"/>
      <c r="J3911" s="184"/>
    </row>
    <row r="3912" spans="8:10" ht="15.75" customHeight="1">
      <c r="H3912" s="178"/>
      <c r="I3912" s="179"/>
      <c r="J3912" s="184"/>
    </row>
    <row r="3913" spans="8:10" ht="15.75" customHeight="1">
      <c r="H3913" s="178"/>
      <c r="I3913" s="179"/>
      <c r="J3913" s="184"/>
    </row>
    <row r="3914" spans="8:10" ht="15.75" customHeight="1">
      <c r="H3914" s="178"/>
      <c r="I3914" s="179"/>
      <c r="J3914" s="184"/>
    </row>
    <row r="3915" spans="8:10" ht="15.75" customHeight="1">
      <c r="H3915" s="178"/>
      <c r="I3915" s="179"/>
      <c r="J3915" s="184"/>
    </row>
    <row r="3916" spans="8:10" ht="15.75" customHeight="1">
      <c r="H3916" s="178"/>
      <c r="I3916" s="179"/>
      <c r="J3916" s="184"/>
    </row>
    <row r="3917" spans="8:10" ht="15.75" customHeight="1">
      <c r="H3917" s="178"/>
      <c r="I3917" s="179"/>
      <c r="J3917" s="184"/>
    </row>
    <row r="3918" spans="8:10" ht="15.75" customHeight="1">
      <c r="H3918" s="178"/>
      <c r="I3918" s="179"/>
      <c r="J3918" s="184"/>
    </row>
    <row r="3919" spans="8:10" ht="15.75" customHeight="1">
      <c r="H3919" s="178"/>
      <c r="I3919" s="179"/>
      <c r="J3919" s="184"/>
    </row>
    <row r="3920" spans="8:10" ht="15.75" customHeight="1">
      <c r="H3920" s="178"/>
      <c r="I3920" s="179"/>
      <c r="J3920" s="184"/>
    </row>
    <row r="3921" spans="8:10" ht="15.75" customHeight="1">
      <c r="H3921" s="178"/>
      <c r="I3921" s="179"/>
      <c r="J3921" s="184"/>
    </row>
    <row r="3922" spans="8:10" ht="15.75" customHeight="1">
      <c r="H3922" s="178"/>
      <c r="I3922" s="179"/>
      <c r="J3922" s="184"/>
    </row>
    <row r="3923" spans="8:10" ht="15.75" customHeight="1">
      <c r="H3923" s="178"/>
      <c r="I3923" s="179"/>
      <c r="J3923" s="184"/>
    </row>
    <row r="3924" spans="8:10" ht="15.75" customHeight="1">
      <c r="H3924" s="178"/>
      <c r="I3924" s="179"/>
      <c r="J3924" s="184"/>
    </row>
    <row r="3925" spans="8:10" ht="15.75" customHeight="1">
      <c r="H3925" s="178"/>
      <c r="I3925" s="179"/>
      <c r="J3925" s="184"/>
    </row>
    <row r="3926" spans="8:10" ht="15.75" customHeight="1">
      <c r="H3926" s="178"/>
      <c r="I3926" s="179"/>
      <c r="J3926" s="184"/>
    </row>
    <row r="3927" spans="8:10" ht="15.75" customHeight="1">
      <c r="H3927" s="178"/>
      <c r="I3927" s="179"/>
      <c r="J3927" s="184"/>
    </row>
    <row r="3928" spans="8:10" ht="15.75" customHeight="1">
      <c r="H3928" s="178"/>
      <c r="I3928" s="179"/>
      <c r="J3928" s="184"/>
    </row>
    <row r="3929" spans="8:10" ht="15.75" customHeight="1">
      <c r="H3929" s="178"/>
      <c r="I3929" s="179"/>
      <c r="J3929" s="184"/>
    </row>
    <row r="3930" spans="8:10" ht="15.75" customHeight="1">
      <c r="H3930" s="178"/>
      <c r="I3930" s="179"/>
      <c r="J3930" s="184"/>
    </row>
    <row r="3931" spans="8:10" ht="15.75" customHeight="1">
      <c r="H3931" s="178"/>
      <c r="I3931" s="179"/>
      <c r="J3931" s="184"/>
    </row>
    <row r="3932" spans="8:10" ht="15.75" customHeight="1">
      <c r="H3932" s="178"/>
      <c r="I3932" s="179"/>
      <c r="J3932" s="184"/>
    </row>
    <row r="3933" spans="8:10" ht="15.75" customHeight="1">
      <c r="H3933" s="178"/>
      <c r="I3933" s="179"/>
      <c r="J3933" s="184"/>
    </row>
    <row r="3934" spans="8:10" ht="15.75" customHeight="1">
      <c r="H3934" s="178"/>
      <c r="I3934" s="179"/>
      <c r="J3934" s="184"/>
    </row>
    <row r="3935" spans="8:10" ht="15.75" customHeight="1">
      <c r="H3935" s="178"/>
      <c r="I3935" s="179"/>
      <c r="J3935" s="184"/>
    </row>
    <row r="3936" spans="8:10" ht="15.75" customHeight="1">
      <c r="H3936" s="178"/>
      <c r="I3936" s="179"/>
      <c r="J3936" s="184"/>
    </row>
    <row r="3937" spans="8:10" ht="15.75" customHeight="1">
      <c r="H3937" s="178"/>
      <c r="I3937" s="179"/>
      <c r="J3937" s="184"/>
    </row>
    <row r="3938" spans="8:10" ht="15.75" customHeight="1">
      <c r="H3938" s="178"/>
      <c r="I3938" s="179"/>
      <c r="J3938" s="184"/>
    </row>
    <row r="3939" spans="8:10" ht="15.75" customHeight="1">
      <c r="H3939" s="178"/>
      <c r="I3939" s="179"/>
      <c r="J3939" s="184"/>
    </row>
    <row r="3940" spans="8:10" ht="15.75" customHeight="1">
      <c r="H3940" s="178"/>
      <c r="I3940" s="179"/>
      <c r="J3940" s="184"/>
    </row>
    <row r="3941" spans="8:10" ht="15.75" customHeight="1">
      <c r="H3941" s="178"/>
      <c r="I3941" s="179"/>
      <c r="J3941" s="184"/>
    </row>
    <row r="3942" spans="8:10" ht="15.75" customHeight="1">
      <c r="H3942" s="178"/>
      <c r="I3942" s="179"/>
      <c r="J3942" s="184"/>
    </row>
    <row r="3943" spans="8:10" ht="15.75" customHeight="1">
      <c r="H3943" s="178"/>
      <c r="I3943" s="179"/>
      <c r="J3943" s="184"/>
    </row>
    <row r="3944" spans="8:10" ht="15.75" customHeight="1">
      <c r="H3944" s="178"/>
      <c r="I3944" s="179"/>
      <c r="J3944" s="184"/>
    </row>
    <row r="3945" spans="8:10" ht="15.75" customHeight="1">
      <c r="H3945" s="178"/>
      <c r="I3945" s="179"/>
      <c r="J3945" s="184"/>
    </row>
    <row r="3946" spans="8:10" ht="15.75" customHeight="1">
      <c r="H3946" s="178"/>
      <c r="I3946" s="179"/>
      <c r="J3946" s="184"/>
    </row>
    <row r="3947" spans="8:10" ht="15.75" customHeight="1">
      <c r="H3947" s="178"/>
      <c r="I3947" s="179"/>
      <c r="J3947" s="184"/>
    </row>
    <row r="3948" spans="8:10" ht="15.75" customHeight="1">
      <c r="H3948" s="178"/>
      <c r="I3948" s="179"/>
      <c r="J3948" s="184"/>
    </row>
    <row r="3949" spans="8:10" ht="15.75" customHeight="1">
      <c r="H3949" s="178"/>
      <c r="I3949" s="179"/>
      <c r="J3949" s="184"/>
    </row>
    <row r="3950" spans="8:10" ht="15.75" customHeight="1">
      <c r="H3950" s="178"/>
      <c r="I3950" s="179"/>
      <c r="J3950" s="184"/>
    </row>
    <row r="3951" spans="8:10" ht="15.75" customHeight="1">
      <c r="H3951" s="178"/>
      <c r="I3951" s="179"/>
      <c r="J3951" s="184"/>
    </row>
    <row r="3952" spans="8:10" ht="15.75" customHeight="1">
      <c r="H3952" s="178"/>
      <c r="I3952" s="179"/>
      <c r="J3952" s="184"/>
    </row>
    <row r="3953" spans="8:10" ht="15.75" customHeight="1">
      <c r="H3953" s="178"/>
      <c r="I3953" s="179"/>
      <c r="J3953" s="184"/>
    </row>
    <row r="3954" spans="8:10" ht="15.75" customHeight="1">
      <c r="H3954" s="178"/>
      <c r="I3954" s="179"/>
      <c r="J3954" s="184"/>
    </row>
    <row r="3955" spans="8:10" ht="15.75" customHeight="1">
      <c r="H3955" s="178"/>
      <c r="I3955" s="179"/>
      <c r="J3955" s="184"/>
    </row>
    <row r="3956" spans="8:10" ht="15.75" customHeight="1">
      <c r="H3956" s="178"/>
      <c r="I3956" s="179"/>
      <c r="J3956" s="184"/>
    </row>
    <row r="3957" spans="8:10" ht="15.75" customHeight="1">
      <c r="H3957" s="178"/>
      <c r="I3957" s="179"/>
      <c r="J3957" s="184"/>
    </row>
    <row r="3958" spans="8:10" ht="15.75" customHeight="1">
      <c r="H3958" s="178"/>
      <c r="I3958" s="179"/>
      <c r="J3958" s="184"/>
    </row>
    <row r="3959" spans="8:10" ht="15.75" customHeight="1">
      <c r="H3959" s="178"/>
      <c r="I3959" s="179"/>
      <c r="J3959" s="184"/>
    </row>
    <row r="3960" spans="8:10" ht="15.75" customHeight="1">
      <c r="H3960" s="178"/>
      <c r="I3960" s="179"/>
      <c r="J3960" s="184"/>
    </row>
    <row r="3961" spans="8:10" ht="15.75" customHeight="1">
      <c r="H3961" s="178"/>
      <c r="I3961" s="179"/>
      <c r="J3961" s="184"/>
    </row>
    <row r="3962" spans="8:10" ht="15.75" customHeight="1">
      <c r="H3962" s="178"/>
      <c r="I3962" s="179"/>
      <c r="J3962" s="184"/>
    </row>
    <row r="3963" spans="8:10" ht="15.75" customHeight="1">
      <c r="H3963" s="178"/>
      <c r="I3963" s="179"/>
      <c r="J3963" s="184"/>
    </row>
    <row r="3964" spans="8:10" ht="15.75" customHeight="1">
      <c r="H3964" s="178"/>
      <c r="I3964" s="179"/>
      <c r="J3964" s="184"/>
    </row>
    <row r="3965" spans="8:10" ht="15.75" customHeight="1">
      <c r="H3965" s="178"/>
      <c r="I3965" s="179"/>
      <c r="J3965" s="184"/>
    </row>
    <row r="3966" spans="8:10" ht="15.75" customHeight="1">
      <c r="H3966" s="178"/>
      <c r="I3966" s="179"/>
      <c r="J3966" s="184"/>
    </row>
    <row r="3967" spans="8:10" ht="15.75" customHeight="1">
      <c r="H3967" s="178"/>
      <c r="I3967" s="179"/>
      <c r="J3967" s="184"/>
    </row>
    <row r="3968" spans="8:10" ht="15.75" customHeight="1">
      <c r="H3968" s="178"/>
      <c r="I3968" s="179"/>
      <c r="J3968" s="184"/>
    </row>
    <row r="3969" spans="8:10" ht="15.75" customHeight="1">
      <c r="H3969" s="178"/>
      <c r="I3969" s="179"/>
      <c r="J3969" s="184"/>
    </row>
    <row r="3970" spans="8:10" ht="15.75" customHeight="1">
      <c r="H3970" s="178"/>
      <c r="I3970" s="179"/>
      <c r="J3970" s="184"/>
    </row>
    <row r="3971" spans="8:10" ht="15.75" customHeight="1">
      <c r="H3971" s="178"/>
      <c r="I3971" s="179"/>
      <c r="J3971" s="184"/>
    </row>
    <row r="3972" spans="8:10" ht="15.75" customHeight="1">
      <c r="H3972" s="178"/>
      <c r="I3972" s="179"/>
      <c r="J3972" s="184"/>
    </row>
    <row r="3973" spans="8:10" ht="15.75" customHeight="1">
      <c r="H3973" s="178"/>
      <c r="I3973" s="179"/>
      <c r="J3973" s="184"/>
    </row>
    <row r="3974" spans="8:10" ht="15.75" customHeight="1">
      <c r="H3974" s="178"/>
      <c r="I3974" s="179"/>
      <c r="J3974" s="184"/>
    </row>
    <row r="3975" spans="8:10" ht="15.75" customHeight="1">
      <c r="H3975" s="178"/>
      <c r="I3975" s="179"/>
      <c r="J3975" s="184"/>
    </row>
    <row r="3976" spans="8:10" ht="15.75" customHeight="1">
      <c r="H3976" s="178"/>
      <c r="I3976" s="179"/>
      <c r="J3976" s="184"/>
    </row>
    <row r="3977" spans="8:10" ht="15.75" customHeight="1">
      <c r="H3977" s="178"/>
      <c r="I3977" s="179"/>
      <c r="J3977" s="184"/>
    </row>
    <row r="3978" spans="8:10" ht="15.75" customHeight="1">
      <c r="H3978" s="178"/>
      <c r="I3978" s="179"/>
      <c r="J3978" s="184"/>
    </row>
    <row r="3979" spans="8:10" ht="15.75" customHeight="1">
      <c r="H3979" s="178"/>
      <c r="I3979" s="179"/>
      <c r="J3979" s="184"/>
    </row>
    <row r="3980" spans="8:10" ht="15.75" customHeight="1">
      <c r="H3980" s="178"/>
      <c r="I3980" s="179"/>
      <c r="J3980" s="184"/>
    </row>
    <row r="3981" spans="8:10" ht="15.75" customHeight="1">
      <c r="H3981" s="178"/>
      <c r="I3981" s="179"/>
      <c r="J3981" s="184"/>
    </row>
    <row r="3982" spans="8:10" ht="15.75" customHeight="1">
      <c r="H3982" s="178"/>
      <c r="I3982" s="179"/>
      <c r="J3982" s="184"/>
    </row>
    <row r="3983" spans="8:10" ht="15.75" customHeight="1">
      <c r="H3983" s="178"/>
      <c r="I3983" s="179"/>
      <c r="J3983" s="184"/>
    </row>
    <row r="3984" spans="8:10" ht="15.75" customHeight="1">
      <c r="H3984" s="178"/>
      <c r="I3984" s="179"/>
      <c r="J3984" s="184"/>
    </row>
    <row r="3985" spans="8:10" ht="15.75" customHeight="1">
      <c r="H3985" s="178"/>
      <c r="I3985" s="179"/>
      <c r="J3985" s="184"/>
    </row>
    <row r="3986" spans="8:10" ht="15.75" customHeight="1">
      <c r="H3986" s="178"/>
      <c r="I3986" s="179"/>
      <c r="J3986" s="184"/>
    </row>
    <row r="3987" spans="8:10" ht="15.75" customHeight="1">
      <c r="H3987" s="178"/>
      <c r="I3987" s="179"/>
      <c r="J3987" s="184"/>
    </row>
    <row r="3988" spans="8:10" ht="15.75" customHeight="1">
      <c r="H3988" s="178"/>
      <c r="I3988" s="179"/>
      <c r="J3988" s="184"/>
    </row>
    <row r="3989" spans="8:10" ht="15.75" customHeight="1">
      <c r="H3989" s="178"/>
      <c r="I3989" s="179"/>
      <c r="J3989" s="184"/>
    </row>
    <row r="3990" spans="8:10" ht="15.75" customHeight="1">
      <c r="H3990" s="178"/>
      <c r="I3990" s="179"/>
      <c r="J3990" s="184"/>
    </row>
    <row r="3991" spans="8:10" ht="15.75" customHeight="1">
      <c r="H3991" s="178"/>
      <c r="I3991" s="179"/>
      <c r="J3991" s="184"/>
    </row>
    <row r="3992" spans="8:10" ht="15.75" customHeight="1">
      <c r="H3992" s="178"/>
      <c r="I3992" s="179"/>
      <c r="J3992" s="184"/>
    </row>
    <row r="3993" spans="8:10" ht="15.75" customHeight="1">
      <c r="H3993" s="178"/>
      <c r="I3993" s="179"/>
      <c r="J3993" s="184"/>
    </row>
    <row r="3994" spans="8:10" ht="15.75" customHeight="1">
      <c r="H3994" s="178"/>
      <c r="I3994" s="179"/>
      <c r="J3994" s="184"/>
    </row>
    <row r="3995" spans="8:10" ht="15.75" customHeight="1">
      <c r="H3995" s="178"/>
      <c r="I3995" s="179"/>
      <c r="J3995" s="184"/>
    </row>
    <row r="3996" spans="8:10" ht="15.75" customHeight="1">
      <c r="H3996" s="178"/>
      <c r="I3996" s="179"/>
      <c r="J3996" s="184"/>
    </row>
    <row r="3997" spans="8:10" ht="15.75" customHeight="1">
      <c r="H3997" s="178"/>
      <c r="I3997" s="179"/>
      <c r="J3997" s="184"/>
    </row>
    <row r="3998" spans="8:10" ht="15.75" customHeight="1">
      <c r="H3998" s="178"/>
      <c r="I3998" s="179"/>
      <c r="J3998" s="184"/>
    </row>
    <row r="3999" spans="8:10" ht="15.75" customHeight="1">
      <c r="H3999" s="178"/>
      <c r="I3999" s="179"/>
      <c r="J3999" s="184"/>
    </row>
    <row r="4000" spans="8:10" ht="15.75" customHeight="1">
      <c r="H4000" s="178"/>
      <c r="I4000" s="179"/>
      <c r="J4000" s="184"/>
    </row>
    <row r="4001" spans="8:10" ht="15.75" customHeight="1">
      <c r="H4001" s="178"/>
      <c r="I4001" s="179"/>
      <c r="J4001" s="184"/>
    </row>
    <row r="4002" spans="8:10" ht="15.75" customHeight="1">
      <c r="H4002" s="178"/>
      <c r="I4002" s="179"/>
      <c r="J4002" s="184"/>
    </row>
    <row r="4003" spans="8:10" ht="15.75" customHeight="1">
      <c r="H4003" s="178"/>
      <c r="I4003" s="179"/>
      <c r="J4003" s="184"/>
    </row>
    <row r="4004" spans="8:10" ht="15.75" customHeight="1">
      <c r="H4004" s="178"/>
      <c r="I4004" s="179"/>
      <c r="J4004" s="184"/>
    </row>
    <row r="4005" spans="8:10" ht="15.75" customHeight="1">
      <c r="H4005" s="178"/>
      <c r="I4005" s="179"/>
      <c r="J4005" s="184"/>
    </row>
    <row r="4006" spans="8:10" ht="15.75" customHeight="1">
      <c r="H4006" s="178"/>
      <c r="I4006" s="179"/>
      <c r="J4006" s="184"/>
    </row>
    <row r="4007" spans="8:10" ht="15.75" customHeight="1">
      <c r="H4007" s="178"/>
      <c r="I4007" s="179"/>
      <c r="J4007" s="184"/>
    </row>
    <row r="4008" spans="8:10" ht="15.75" customHeight="1">
      <c r="H4008" s="178"/>
      <c r="I4008" s="179"/>
      <c r="J4008" s="184"/>
    </row>
    <row r="4009" spans="8:10" ht="15.75" customHeight="1">
      <c r="H4009" s="178"/>
      <c r="I4009" s="179"/>
      <c r="J4009" s="184"/>
    </row>
    <row r="4010" spans="8:10" ht="15.75" customHeight="1">
      <c r="H4010" s="178"/>
      <c r="I4010" s="179"/>
      <c r="J4010" s="184"/>
    </row>
    <row r="4011" spans="8:10" ht="15.75" customHeight="1">
      <c r="H4011" s="178"/>
      <c r="I4011" s="179"/>
      <c r="J4011" s="184"/>
    </row>
    <row r="4012" spans="8:10" ht="15.75" customHeight="1">
      <c r="H4012" s="178"/>
      <c r="I4012" s="179"/>
      <c r="J4012" s="184"/>
    </row>
    <row r="4013" spans="8:10" ht="15.75" customHeight="1">
      <c r="H4013" s="178"/>
      <c r="I4013" s="179"/>
      <c r="J4013" s="184"/>
    </row>
    <row r="4014" spans="8:10" ht="15.75" customHeight="1">
      <c r="H4014" s="178"/>
      <c r="I4014" s="179"/>
      <c r="J4014" s="184"/>
    </row>
    <row r="4015" spans="8:10" ht="15.75" customHeight="1">
      <c r="H4015" s="178"/>
      <c r="I4015" s="179"/>
      <c r="J4015" s="184"/>
    </row>
    <row r="4016" spans="8:10" ht="15.75" customHeight="1">
      <c r="H4016" s="178"/>
      <c r="I4016" s="179"/>
      <c r="J4016" s="184"/>
    </row>
    <row r="4017" spans="8:10" ht="15.75" customHeight="1">
      <c r="H4017" s="178"/>
      <c r="I4017" s="179"/>
      <c r="J4017" s="184"/>
    </row>
    <row r="4018" spans="8:10" ht="15.75" customHeight="1">
      <c r="H4018" s="178"/>
      <c r="I4018" s="179"/>
      <c r="J4018" s="184"/>
    </row>
    <row r="4019" spans="8:10" ht="15.75" customHeight="1">
      <c r="H4019" s="178"/>
      <c r="I4019" s="179"/>
      <c r="J4019" s="184"/>
    </row>
    <row r="4020" spans="8:10" ht="15.75" customHeight="1">
      <c r="H4020" s="178"/>
      <c r="I4020" s="179"/>
      <c r="J4020" s="184"/>
    </row>
    <row r="4021" spans="8:10" ht="15.75" customHeight="1">
      <c r="H4021" s="178"/>
      <c r="I4021" s="179"/>
      <c r="J4021" s="184"/>
    </row>
    <row r="4022" spans="8:10" ht="15.75" customHeight="1">
      <c r="H4022" s="178"/>
      <c r="I4022" s="179"/>
      <c r="J4022" s="184"/>
    </row>
    <row r="4023" spans="8:10" ht="15.75" customHeight="1">
      <c r="H4023" s="178"/>
      <c r="I4023" s="179"/>
      <c r="J4023" s="184"/>
    </row>
    <row r="4024" spans="8:10" ht="15.75" customHeight="1">
      <c r="H4024" s="178"/>
      <c r="I4024" s="179"/>
      <c r="J4024" s="184"/>
    </row>
    <row r="4025" spans="8:10" ht="15.75" customHeight="1">
      <c r="H4025" s="178"/>
      <c r="I4025" s="179"/>
      <c r="J4025" s="184"/>
    </row>
    <row r="4026" spans="8:10" ht="15.75" customHeight="1">
      <c r="H4026" s="178"/>
      <c r="I4026" s="179"/>
      <c r="J4026" s="184"/>
    </row>
    <row r="4027" spans="8:10" ht="15.75" customHeight="1">
      <c r="H4027" s="178"/>
      <c r="I4027" s="179"/>
      <c r="J4027" s="184"/>
    </row>
    <row r="4028" spans="8:10" ht="15.75" customHeight="1">
      <c r="H4028" s="178"/>
      <c r="I4028" s="179"/>
      <c r="J4028" s="184"/>
    </row>
    <row r="4029" spans="8:10" ht="15.75" customHeight="1">
      <c r="H4029" s="178"/>
      <c r="I4029" s="179"/>
      <c r="J4029" s="184"/>
    </row>
    <row r="4030" spans="8:10" ht="15.75" customHeight="1">
      <c r="H4030" s="178"/>
      <c r="I4030" s="179"/>
      <c r="J4030" s="184"/>
    </row>
    <row r="4031" spans="8:10" ht="15.75" customHeight="1">
      <c r="H4031" s="178"/>
      <c r="I4031" s="179"/>
      <c r="J4031" s="184"/>
    </row>
    <row r="4032" spans="8:10" ht="15.75" customHeight="1">
      <c r="H4032" s="178"/>
      <c r="I4032" s="179"/>
      <c r="J4032" s="184"/>
    </row>
    <row r="4033" spans="8:10" ht="15.75" customHeight="1">
      <c r="H4033" s="178"/>
      <c r="I4033" s="179"/>
      <c r="J4033" s="184"/>
    </row>
    <row r="4034" spans="8:10" ht="15.75" customHeight="1">
      <c r="H4034" s="178"/>
      <c r="I4034" s="179"/>
      <c r="J4034" s="184"/>
    </row>
    <row r="4035" spans="8:10" ht="15.75" customHeight="1">
      <c r="H4035" s="178"/>
      <c r="I4035" s="179"/>
      <c r="J4035" s="184"/>
    </row>
    <row r="4036" spans="8:10" ht="15.75" customHeight="1">
      <c r="H4036" s="178"/>
      <c r="I4036" s="179"/>
      <c r="J4036" s="184"/>
    </row>
    <row r="4037" spans="8:10" ht="15.75" customHeight="1">
      <c r="H4037" s="178"/>
      <c r="I4037" s="179"/>
      <c r="J4037" s="184"/>
    </row>
    <row r="4038" spans="8:10" ht="15.75" customHeight="1">
      <c r="H4038" s="178"/>
      <c r="I4038" s="179"/>
      <c r="J4038" s="184"/>
    </row>
    <row r="4039" spans="8:10" ht="15.75" customHeight="1">
      <c r="H4039" s="178"/>
      <c r="I4039" s="179"/>
      <c r="J4039" s="184"/>
    </row>
    <row r="4040" spans="8:10" ht="15.75" customHeight="1">
      <c r="H4040" s="178"/>
      <c r="I4040" s="179"/>
      <c r="J4040" s="184"/>
    </row>
    <row r="4041" spans="8:10" ht="15.75" customHeight="1">
      <c r="H4041" s="178"/>
      <c r="I4041" s="179"/>
      <c r="J4041" s="184"/>
    </row>
    <row r="4042" spans="8:10" ht="15.75" customHeight="1">
      <c r="H4042" s="178"/>
      <c r="I4042" s="179"/>
      <c r="J4042" s="184"/>
    </row>
    <row r="4043" spans="8:10" ht="15.75" customHeight="1">
      <c r="H4043" s="178"/>
      <c r="I4043" s="179"/>
      <c r="J4043" s="184"/>
    </row>
    <row r="4044" spans="8:10" ht="15.75" customHeight="1">
      <c r="H4044" s="178"/>
      <c r="I4044" s="179"/>
      <c r="J4044" s="184"/>
    </row>
    <row r="4045" spans="8:10" ht="15.75" customHeight="1">
      <c r="H4045" s="178"/>
      <c r="I4045" s="179"/>
      <c r="J4045" s="184"/>
    </row>
    <row r="4046" spans="8:10" ht="15.75" customHeight="1">
      <c r="H4046" s="178"/>
      <c r="I4046" s="179"/>
      <c r="J4046" s="184"/>
    </row>
    <row r="4047" spans="8:10" ht="15.75" customHeight="1">
      <c r="H4047" s="178"/>
      <c r="I4047" s="179"/>
      <c r="J4047" s="184"/>
    </row>
    <row r="4048" spans="8:10" ht="15.75" customHeight="1">
      <c r="H4048" s="178"/>
      <c r="I4048" s="179"/>
      <c r="J4048" s="184"/>
    </row>
    <row r="4049" spans="8:10" ht="15.75" customHeight="1">
      <c r="H4049" s="178"/>
      <c r="I4049" s="179"/>
      <c r="J4049" s="184"/>
    </row>
    <row r="4050" spans="8:10" ht="15.75" customHeight="1">
      <c r="H4050" s="178"/>
      <c r="I4050" s="179"/>
      <c r="J4050" s="184"/>
    </row>
    <row r="4051" spans="8:10" ht="15.75" customHeight="1">
      <c r="H4051" s="178"/>
      <c r="I4051" s="179"/>
      <c r="J4051" s="184"/>
    </row>
    <row r="4052" spans="8:10" ht="15.75" customHeight="1">
      <c r="H4052" s="178"/>
      <c r="I4052" s="179"/>
      <c r="J4052" s="184"/>
    </row>
    <row r="4053" spans="8:10" ht="15.75" customHeight="1">
      <c r="H4053" s="178"/>
      <c r="I4053" s="179"/>
      <c r="J4053" s="184"/>
    </row>
    <row r="4054" spans="8:10" ht="15.75" customHeight="1">
      <c r="H4054" s="178"/>
      <c r="I4054" s="179"/>
      <c r="J4054" s="184"/>
    </row>
    <row r="4055" spans="8:10" ht="15.75" customHeight="1">
      <c r="H4055" s="178"/>
      <c r="I4055" s="179"/>
      <c r="J4055" s="184"/>
    </row>
    <row r="4056" spans="8:10" ht="15.75" customHeight="1">
      <c r="H4056" s="178"/>
      <c r="I4056" s="179"/>
      <c r="J4056" s="184"/>
    </row>
    <row r="4057" spans="8:10" ht="15.75" customHeight="1">
      <c r="H4057" s="178"/>
      <c r="I4057" s="179"/>
      <c r="J4057" s="184"/>
    </row>
    <row r="4058" spans="8:10" ht="15.75" customHeight="1">
      <c r="H4058" s="178"/>
      <c r="I4058" s="179"/>
      <c r="J4058" s="184"/>
    </row>
    <row r="4059" spans="8:10" ht="15.75" customHeight="1">
      <c r="H4059" s="178"/>
      <c r="I4059" s="179"/>
      <c r="J4059" s="184"/>
    </row>
    <row r="4060" spans="8:10" ht="15.75" customHeight="1">
      <c r="H4060" s="178"/>
      <c r="I4060" s="179"/>
      <c r="J4060" s="184"/>
    </row>
    <row r="4061" spans="8:10" ht="15.75" customHeight="1">
      <c r="H4061" s="178"/>
      <c r="I4061" s="179"/>
      <c r="J4061" s="184"/>
    </row>
    <row r="4062" spans="8:10" ht="15.75" customHeight="1">
      <c r="H4062" s="178"/>
      <c r="I4062" s="179"/>
      <c r="J4062" s="184"/>
    </row>
    <row r="4063" spans="8:10" ht="15.75" customHeight="1">
      <c r="H4063" s="178"/>
      <c r="I4063" s="179"/>
      <c r="J4063" s="184"/>
    </row>
    <row r="4064" spans="8:10" ht="15.75" customHeight="1">
      <c r="H4064" s="178"/>
      <c r="I4064" s="179"/>
      <c r="J4064" s="184"/>
    </row>
    <row r="4065" spans="8:10" ht="15.75" customHeight="1">
      <c r="H4065" s="178"/>
      <c r="I4065" s="179"/>
      <c r="J4065" s="184"/>
    </row>
    <row r="4066" spans="8:10" ht="15.75" customHeight="1">
      <c r="H4066" s="178"/>
      <c r="I4066" s="179"/>
      <c r="J4066" s="184"/>
    </row>
    <row r="4067" spans="8:10" ht="15.75" customHeight="1">
      <c r="H4067" s="178"/>
      <c r="I4067" s="179"/>
      <c r="J4067" s="184"/>
    </row>
    <row r="4068" spans="8:10" ht="15.75" customHeight="1">
      <c r="H4068" s="178"/>
      <c r="I4068" s="179"/>
      <c r="J4068" s="184"/>
    </row>
    <row r="4069" spans="8:10" ht="15.75" customHeight="1">
      <c r="H4069" s="178"/>
      <c r="I4069" s="179"/>
      <c r="J4069" s="184"/>
    </row>
    <row r="4070" spans="8:10" ht="15.75" customHeight="1">
      <c r="H4070" s="178"/>
      <c r="I4070" s="179"/>
      <c r="J4070" s="184"/>
    </row>
    <row r="4071" spans="8:10" ht="15.75" customHeight="1">
      <c r="H4071" s="178"/>
      <c r="I4071" s="179"/>
      <c r="J4071" s="184"/>
    </row>
    <row r="4072" spans="8:10" ht="15.75" customHeight="1">
      <c r="H4072" s="178"/>
      <c r="I4072" s="179"/>
      <c r="J4072" s="184"/>
    </row>
    <row r="4073" spans="8:10" ht="15.75" customHeight="1">
      <c r="H4073" s="178"/>
      <c r="I4073" s="179"/>
      <c r="J4073" s="184"/>
    </row>
    <row r="4074" spans="8:10" ht="15.75" customHeight="1">
      <c r="H4074" s="178"/>
      <c r="I4074" s="179"/>
      <c r="J4074" s="184"/>
    </row>
    <row r="4075" spans="8:10" ht="15.75" customHeight="1">
      <c r="H4075" s="178"/>
      <c r="I4075" s="179"/>
      <c r="J4075" s="184"/>
    </row>
    <row r="4076" spans="8:10" ht="15.75" customHeight="1">
      <c r="H4076" s="178"/>
      <c r="I4076" s="179"/>
      <c r="J4076" s="184"/>
    </row>
    <row r="4077" spans="8:10" ht="15.75" customHeight="1">
      <c r="H4077" s="178"/>
      <c r="I4077" s="179"/>
      <c r="J4077" s="184"/>
    </row>
    <row r="4078" spans="8:10" ht="15.75" customHeight="1">
      <c r="H4078" s="178"/>
      <c r="I4078" s="179"/>
      <c r="J4078" s="184"/>
    </row>
    <row r="4079" spans="8:10" ht="15.75" customHeight="1">
      <c r="H4079" s="178"/>
      <c r="I4079" s="179"/>
      <c r="J4079" s="184"/>
    </row>
    <row r="4080" spans="8:10" ht="15.75" customHeight="1">
      <c r="H4080" s="178"/>
      <c r="I4080" s="179"/>
      <c r="J4080" s="184"/>
    </row>
    <row r="4081" spans="8:10" ht="15.75" customHeight="1">
      <c r="H4081" s="178"/>
      <c r="I4081" s="179"/>
      <c r="J4081" s="184"/>
    </row>
    <row r="4082" spans="8:10" ht="15.75" customHeight="1">
      <c r="H4082" s="178"/>
      <c r="I4082" s="179"/>
      <c r="J4082" s="184"/>
    </row>
    <row r="4083" spans="8:10" ht="15.75" customHeight="1">
      <c r="H4083" s="178"/>
      <c r="I4083" s="179"/>
      <c r="J4083" s="184"/>
    </row>
    <row r="4084" spans="8:10" ht="15.75" customHeight="1">
      <c r="H4084" s="178"/>
      <c r="I4084" s="179"/>
      <c r="J4084" s="184"/>
    </row>
    <row r="4085" spans="8:10" ht="15.75" customHeight="1">
      <c r="H4085" s="178"/>
      <c r="I4085" s="179"/>
      <c r="J4085" s="184"/>
    </row>
    <row r="4086" spans="8:10" ht="15.75" customHeight="1">
      <c r="H4086" s="178"/>
      <c r="I4086" s="179"/>
      <c r="J4086" s="184"/>
    </row>
    <row r="4087" spans="8:10" ht="15.75" customHeight="1">
      <c r="H4087" s="178"/>
      <c r="I4087" s="179"/>
      <c r="J4087" s="184"/>
    </row>
    <row r="4088" spans="8:10" ht="15.75" customHeight="1">
      <c r="H4088" s="178"/>
      <c r="I4088" s="179"/>
      <c r="J4088" s="184"/>
    </row>
    <row r="4089" spans="8:10" ht="15.75" customHeight="1">
      <c r="H4089" s="178"/>
      <c r="I4089" s="179"/>
      <c r="J4089" s="184"/>
    </row>
    <row r="4090" spans="8:10" ht="15.75" customHeight="1">
      <c r="H4090" s="178"/>
      <c r="I4090" s="179"/>
      <c r="J4090" s="184"/>
    </row>
    <row r="4091" spans="8:10" ht="15.75" customHeight="1">
      <c r="H4091" s="178"/>
      <c r="I4091" s="179"/>
      <c r="J4091" s="184"/>
    </row>
    <row r="4092" spans="8:10" ht="15.75" customHeight="1">
      <c r="H4092" s="178"/>
      <c r="I4092" s="179"/>
      <c r="J4092" s="184"/>
    </row>
    <row r="4093" spans="8:10" ht="15.75" customHeight="1">
      <c r="H4093" s="178"/>
      <c r="I4093" s="179"/>
      <c r="J4093" s="184"/>
    </row>
    <row r="4094" spans="8:10" ht="15.75" customHeight="1">
      <c r="H4094" s="178"/>
      <c r="I4094" s="179"/>
      <c r="J4094" s="184"/>
    </row>
    <row r="4095" spans="8:10" ht="15.75" customHeight="1">
      <c r="H4095" s="178"/>
      <c r="I4095" s="179"/>
      <c r="J4095" s="184"/>
    </row>
    <row r="4096" spans="8:10" ht="15.75" customHeight="1">
      <c r="H4096" s="178"/>
      <c r="I4096" s="179"/>
      <c r="J4096" s="184"/>
    </row>
    <row r="4097" spans="8:10" ht="15.75" customHeight="1">
      <c r="H4097" s="178"/>
      <c r="I4097" s="179"/>
      <c r="J4097" s="184"/>
    </row>
    <row r="4098" spans="8:10" ht="15.75" customHeight="1">
      <c r="H4098" s="178"/>
      <c r="I4098" s="179"/>
      <c r="J4098" s="184"/>
    </row>
    <row r="4099" spans="8:10" ht="15.75" customHeight="1">
      <c r="H4099" s="178"/>
      <c r="I4099" s="179"/>
      <c r="J4099" s="184"/>
    </row>
    <row r="4100" spans="8:10" ht="15.75" customHeight="1">
      <c r="H4100" s="178"/>
      <c r="I4100" s="179"/>
      <c r="J4100" s="184"/>
    </row>
    <row r="4101" spans="8:10" ht="15.75" customHeight="1">
      <c r="H4101" s="178"/>
      <c r="I4101" s="179"/>
      <c r="J4101" s="184"/>
    </row>
    <row r="4102" spans="8:10" ht="15.75" customHeight="1">
      <c r="H4102" s="178"/>
      <c r="I4102" s="179"/>
      <c r="J4102" s="184"/>
    </row>
    <row r="4103" spans="8:10" ht="15.75" customHeight="1">
      <c r="H4103" s="178"/>
      <c r="I4103" s="179"/>
      <c r="J4103" s="184"/>
    </row>
    <row r="4104" spans="8:10" ht="15.75" customHeight="1">
      <c r="H4104" s="178"/>
      <c r="I4104" s="179"/>
      <c r="J4104" s="184"/>
    </row>
    <row r="4105" spans="8:10" ht="15.75" customHeight="1">
      <c r="H4105" s="178"/>
      <c r="I4105" s="179"/>
      <c r="J4105" s="184"/>
    </row>
    <row r="4106" spans="8:10" ht="15.75" customHeight="1">
      <c r="H4106" s="178"/>
      <c r="I4106" s="179"/>
      <c r="J4106" s="184"/>
    </row>
    <row r="4107" spans="8:10" ht="15.75" customHeight="1">
      <c r="H4107" s="178"/>
      <c r="I4107" s="179"/>
      <c r="J4107" s="184"/>
    </row>
    <row r="4108" spans="8:10" ht="15.75" customHeight="1">
      <c r="H4108" s="178"/>
      <c r="I4108" s="179"/>
      <c r="J4108" s="184"/>
    </row>
    <row r="4109" spans="8:10" ht="15.75" customHeight="1">
      <c r="H4109" s="178"/>
      <c r="I4109" s="179"/>
      <c r="J4109" s="184"/>
    </row>
    <row r="4110" spans="8:10" ht="15.75" customHeight="1">
      <c r="H4110" s="178"/>
      <c r="I4110" s="179"/>
      <c r="J4110" s="184"/>
    </row>
    <row r="4111" spans="8:10" ht="15.75" customHeight="1">
      <c r="H4111" s="178"/>
      <c r="I4111" s="179"/>
      <c r="J4111" s="184"/>
    </row>
    <row r="4112" spans="8:10" ht="15.75" customHeight="1">
      <c r="H4112" s="178"/>
      <c r="I4112" s="179"/>
      <c r="J4112" s="184"/>
    </row>
    <row r="4113" spans="8:10" ht="15.75" customHeight="1">
      <c r="H4113" s="178"/>
      <c r="I4113" s="179"/>
      <c r="J4113" s="184"/>
    </row>
    <row r="4114" spans="8:10" ht="15.75" customHeight="1">
      <c r="H4114" s="178"/>
      <c r="I4114" s="179"/>
      <c r="J4114" s="184"/>
    </row>
    <row r="4115" spans="8:10" ht="15.75" customHeight="1">
      <c r="H4115" s="178"/>
      <c r="I4115" s="179"/>
      <c r="J4115" s="184"/>
    </row>
    <row r="4116" spans="8:10" ht="15.75" customHeight="1">
      <c r="H4116" s="178"/>
      <c r="I4116" s="179"/>
      <c r="J4116" s="184"/>
    </row>
    <row r="4117" spans="8:10" ht="15.75" customHeight="1">
      <c r="H4117" s="178"/>
      <c r="I4117" s="179"/>
      <c r="J4117" s="184"/>
    </row>
    <row r="4118" spans="8:10" ht="15.75" customHeight="1">
      <c r="H4118" s="178"/>
      <c r="I4118" s="179"/>
      <c r="J4118" s="184"/>
    </row>
    <row r="4119" spans="8:10" ht="15.75" customHeight="1">
      <c r="H4119" s="178"/>
      <c r="I4119" s="179"/>
      <c r="J4119" s="184"/>
    </row>
    <row r="4120" spans="8:10" ht="15.75" customHeight="1">
      <c r="H4120" s="178"/>
      <c r="I4120" s="179"/>
      <c r="J4120" s="184"/>
    </row>
    <row r="4121" spans="8:10" ht="15.75" customHeight="1">
      <c r="H4121" s="178"/>
      <c r="I4121" s="179"/>
      <c r="J4121" s="184"/>
    </row>
    <row r="4122" spans="8:10" ht="15.75" customHeight="1">
      <c r="H4122" s="178"/>
      <c r="I4122" s="179"/>
      <c r="J4122" s="184"/>
    </row>
    <row r="4123" spans="8:10" ht="15.75" customHeight="1">
      <c r="H4123" s="178"/>
      <c r="I4123" s="179"/>
      <c r="J4123" s="184"/>
    </row>
    <row r="4124" spans="8:10" ht="15.75" customHeight="1">
      <c r="H4124" s="178"/>
      <c r="I4124" s="179"/>
      <c r="J4124" s="184"/>
    </row>
    <row r="4125" spans="8:10" ht="15.75" customHeight="1">
      <c r="H4125" s="178"/>
      <c r="I4125" s="179"/>
      <c r="J4125" s="184"/>
    </row>
    <row r="4126" spans="8:10" ht="15.75" customHeight="1">
      <c r="H4126" s="178"/>
      <c r="I4126" s="179"/>
      <c r="J4126" s="184"/>
    </row>
    <row r="4127" spans="8:10" ht="15.75" customHeight="1">
      <c r="H4127" s="178"/>
      <c r="I4127" s="179"/>
      <c r="J4127" s="184"/>
    </row>
    <row r="4128" spans="8:10" ht="15.75" customHeight="1">
      <c r="H4128" s="178"/>
      <c r="I4128" s="179"/>
      <c r="J4128" s="184"/>
    </row>
    <row r="4129" spans="8:10" ht="15.75" customHeight="1">
      <c r="H4129" s="178"/>
      <c r="I4129" s="179"/>
      <c r="J4129" s="184"/>
    </row>
    <row r="4130" spans="8:10" ht="15.75" customHeight="1">
      <c r="H4130" s="178"/>
      <c r="I4130" s="179"/>
      <c r="J4130" s="184"/>
    </row>
    <row r="4131" spans="8:10" ht="15.75" customHeight="1">
      <c r="H4131" s="178"/>
      <c r="I4131" s="179"/>
      <c r="J4131" s="184"/>
    </row>
    <row r="4132" spans="8:10" ht="15.75" customHeight="1">
      <c r="H4132" s="178"/>
      <c r="I4132" s="179"/>
      <c r="J4132" s="184"/>
    </row>
    <row r="4133" spans="8:10" ht="15.75" customHeight="1">
      <c r="H4133" s="178"/>
      <c r="I4133" s="179"/>
      <c r="J4133" s="184"/>
    </row>
    <row r="4134" spans="8:10" ht="15.75" customHeight="1">
      <c r="H4134" s="178"/>
      <c r="I4134" s="179"/>
      <c r="J4134" s="184"/>
    </row>
    <row r="4135" spans="8:10" ht="15.75" customHeight="1">
      <c r="H4135" s="178"/>
      <c r="I4135" s="179"/>
      <c r="J4135" s="184"/>
    </row>
    <row r="4136" spans="8:10" ht="15.75" customHeight="1">
      <c r="H4136" s="178"/>
      <c r="I4136" s="179"/>
      <c r="J4136" s="184"/>
    </row>
    <row r="4137" spans="8:10" ht="15.75" customHeight="1">
      <c r="H4137" s="178"/>
      <c r="I4137" s="179"/>
      <c r="J4137" s="184"/>
    </row>
    <row r="4138" spans="8:10" ht="15.75" customHeight="1">
      <c r="H4138" s="178"/>
      <c r="I4138" s="179"/>
      <c r="J4138" s="184"/>
    </row>
    <row r="4139" spans="8:10" ht="15.75" customHeight="1">
      <c r="H4139" s="178"/>
      <c r="I4139" s="179"/>
      <c r="J4139" s="184"/>
    </row>
    <row r="4140" spans="8:10" ht="15.75" customHeight="1">
      <c r="H4140" s="178"/>
      <c r="I4140" s="179"/>
      <c r="J4140" s="184"/>
    </row>
    <row r="4141" spans="8:10" ht="15.75" customHeight="1">
      <c r="H4141" s="178"/>
      <c r="I4141" s="179"/>
      <c r="J4141" s="184"/>
    </row>
    <row r="4142" spans="8:10" ht="15.75" customHeight="1">
      <c r="H4142" s="178"/>
      <c r="I4142" s="179"/>
      <c r="J4142" s="184"/>
    </row>
    <row r="4143" spans="8:10" ht="15.75" customHeight="1">
      <c r="H4143" s="178"/>
      <c r="I4143" s="179"/>
      <c r="J4143" s="184"/>
    </row>
    <row r="4144" spans="8:10" ht="15.75" customHeight="1">
      <c r="H4144" s="178"/>
      <c r="I4144" s="179"/>
      <c r="J4144" s="184"/>
    </row>
    <row r="4145" spans="8:10" ht="15.75" customHeight="1">
      <c r="H4145" s="178"/>
      <c r="I4145" s="179"/>
      <c r="J4145" s="184"/>
    </row>
    <row r="4146" spans="8:10" ht="15.75" customHeight="1">
      <c r="H4146" s="178"/>
      <c r="I4146" s="179"/>
      <c r="J4146" s="184"/>
    </row>
    <row r="4147" spans="8:10" ht="15.75" customHeight="1">
      <c r="H4147" s="178"/>
      <c r="I4147" s="179"/>
      <c r="J4147" s="184"/>
    </row>
    <row r="4148" spans="8:10" ht="15.75" customHeight="1">
      <c r="H4148" s="178"/>
      <c r="I4148" s="179"/>
      <c r="J4148" s="184"/>
    </row>
    <row r="4149" spans="8:10" ht="15.75" customHeight="1">
      <c r="H4149" s="178"/>
      <c r="I4149" s="179"/>
      <c r="J4149" s="184"/>
    </row>
    <row r="4150" spans="8:10" ht="15.75" customHeight="1">
      <c r="H4150" s="178"/>
      <c r="I4150" s="179"/>
      <c r="J4150" s="184"/>
    </row>
    <row r="4151" spans="8:10" ht="15.75" customHeight="1">
      <c r="H4151" s="178"/>
      <c r="I4151" s="179"/>
      <c r="J4151" s="184"/>
    </row>
    <row r="4152" spans="8:10" ht="15.75" customHeight="1">
      <c r="H4152" s="178"/>
      <c r="I4152" s="179"/>
      <c r="J4152" s="184"/>
    </row>
    <row r="4153" spans="8:10" ht="15.75" customHeight="1">
      <c r="H4153" s="178"/>
      <c r="I4153" s="179"/>
      <c r="J4153" s="184"/>
    </row>
    <row r="4154" spans="8:10" ht="15.75" customHeight="1">
      <c r="H4154" s="178"/>
      <c r="I4154" s="179"/>
      <c r="J4154" s="184"/>
    </row>
    <row r="4155" spans="8:10" ht="15.75" customHeight="1">
      <c r="H4155" s="178"/>
      <c r="I4155" s="179"/>
      <c r="J4155" s="184"/>
    </row>
    <row r="4156" spans="8:10" ht="15.75" customHeight="1">
      <c r="H4156" s="178"/>
      <c r="I4156" s="179"/>
      <c r="J4156" s="184"/>
    </row>
    <row r="4157" spans="8:10" ht="15.75" customHeight="1">
      <c r="H4157" s="178"/>
      <c r="I4157" s="179"/>
      <c r="J4157" s="184"/>
    </row>
    <row r="4158" spans="8:10" ht="15.75" customHeight="1">
      <c r="H4158" s="178"/>
      <c r="I4158" s="179"/>
      <c r="J4158" s="184"/>
    </row>
    <row r="4159" spans="8:10" ht="15.75" customHeight="1">
      <c r="H4159" s="178"/>
      <c r="I4159" s="179"/>
      <c r="J4159" s="184"/>
    </row>
    <row r="4160" spans="8:10" ht="15.75" customHeight="1">
      <c r="H4160" s="178"/>
      <c r="I4160" s="179"/>
      <c r="J4160" s="184"/>
    </row>
    <row r="4161" spans="8:10" ht="15.75" customHeight="1">
      <c r="H4161" s="178"/>
      <c r="I4161" s="179"/>
      <c r="J4161" s="184"/>
    </row>
    <row r="4162" spans="8:10" ht="15.75" customHeight="1">
      <c r="H4162" s="178"/>
      <c r="I4162" s="179"/>
      <c r="J4162" s="184"/>
    </row>
    <row r="4163" spans="8:10" ht="15.75" customHeight="1">
      <c r="H4163" s="178"/>
      <c r="I4163" s="179"/>
      <c r="J4163" s="184"/>
    </row>
    <row r="4164" spans="8:10" ht="15.75" customHeight="1">
      <c r="H4164" s="178"/>
      <c r="I4164" s="179"/>
      <c r="J4164" s="184"/>
    </row>
    <row r="4165" spans="8:10" ht="15.75" customHeight="1">
      <c r="H4165" s="178"/>
      <c r="I4165" s="179"/>
      <c r="J4165" s="184"/>
    </row>
    <row r="4166" spans="8:10" ht="15.75" customHeight="1">
      <c r="H4166" s="178"/>
      <c r="I4166" s="179"/>
      <c r="J4166" s="184"/>
    </row>
    <row r="4167" spans="8:10" ht="15.75" customHeight="1">
      <c r="H4167" s="178"/>
      <c r="I4167" s="179"/>
      <c r="J4167" s="184"/>
    </row>
    <row r="4168" spans="8:10" ht="15.75" customHeight="1">
      <c r="H4168" s="178"/>
      <c r="I4168" s="179"/>
      <c r="J4168" s="184"/>
    </row>
    <row r="4169" spans="8:10" ht="15.75" customHeight="1">
      <c r="H4169" s="178"/>
      <c r="I4169" s="179"/>
      <c r="J4169" s="184"/>
    </row>
    <row r="4170" spans="8:10" ht="15.75" customHeight="1">
      <c r="H4170" s="178"/>
      <c r="I4170" s="179"/>
      <c r="J4170" s="184"/>
    </row>
    <row r="4171" spans="8:10" ht="15.75" customHeight="1">
      <c r="H4171" s="178"/>
      <c r="I4171" s="179"/>
      <c r="J4171" s="184"/>
    </row>
    <row r="4172" spans="8:10" ht="15.75" customHeight="1">
      <c r="H4172" s="178"/>
      <c r="I4172" s="179"/>
      <c r="J4172" s="184"/>
    </row>
    <row r="4173" spans="8:10" ht="15.75" customHeight="1">
      <c r="H4173" s="178"/>
      <c r="I4173" s="179"/>
      <c r="J4173" s="184"/>
    </row>
    <row r="4174" spans="8:10" ht="15.75" customHeight="1">
      <c r="H4174" s="178"/>
      <c r="I4174" s="179"/>
      <c r="J4174" s="184"/>
    </row>
    <row r="4175" spans="8:10" ht="15.75" customHeight="1">
      <c r="H4175" s="178"/>
      <c r="I4175" s="179"/>
      <c r="J4175" s="184"/>
    </row>
    <row r="4176" spans="8:10" ht="15.75" customHeight="1">
      <c r="H4176" s="178"/>
      <c r="I4176" s="179"/>
      <c r="J4176" s="184"/>
    </row>
    <row r="4177" spans="8:10" ht="15.75" customHeight="1">
      <c r="H4177" s="178"/>
      <c r="I4177" s="179"/>
      <c r="J4177" s="184"/>
    </row>
    <row r="4178" spans="8:10" ht="15.75" customHeight="1">
      <c r="H4178" s="178"/>
      <c r="I4178" s="179"/>
      <c r="J4178" s="184"/>
    </row>
    <row r="4179" spans="8:10" ht="15.75" customHeight="1">
      <c r="H4179" s="178"/>
      <c r="I4179" s="179"/>
      <c r="J4179" s="184"/>
    </row>
    <row r="4180" spans="8:10" ht="15.75" customHeight="1">
      <c r="H4180" s="178"/>
      <c r="I4180" s="179"/>
      <c r="J4180" s="184"/>
    </row>
    <row r="4181" spans="8:10" ht="15.75" customHeight="1">
      <c r="H4181" s="178"/>
      <c r="I4181" s="179"/>
      <c r="J4181" s="184"/>
    </row>
    <row r="4182" spans="8:10" ht="15.75" customHeight="1">
      <c r="H4182" s="178"/>
      <c r="I4182" s="179"/>
      <c r="J4182" s="184"/>
    </row>
    <row r="4183" spans="8:10" ht="15.75" customHeight="1">
      <c r="H4183" s="178"/>
      <c r="I4183" s="179"/>
      <c r="J4183" s="184"/>
    </row>
    <row r="4184" spans="8:10" ht="15.75" customHeight="1">
      <c r="H4184" s="178"/>
      <c r="I4184" s="179"/>
      <c r="J4184" s="184"/>
    </row>
    <row r="4185" spans="8:10" ht="15.75" customHeight="1">
      <c r="H4185" s="178"/>
      <c r="I4185" s="179"/>
      <c r="J4185" s="184"/>
    </row>
    <row r="4186" spans="8:10" ht="15.75" customHeight="1">
      <c r="H4186" s="178"/>
      <c r="I4186" s="179"/>
      <c r="J4186" s="184"/>
    </row>
    <row r="4187" spans="8:10" ht="15.75" customHeight="1">
      <c r="H4187" s="178"/>
      <c r="I4187" s="179"/>
      <c r="J4187" s="184"/>
    </row>
    <row r="4188" spans="8:10" ht="15.75" customHeight="1">
      <c r="H4188" s="178"/>
      <c r="I4188" s="179"/>
      <c r="J4188" s="184"/>
    </row>
    <row r="4189" spans="8:10" ht="15.75" customHeight="1">
      <c r="H4189" s="178"/>
      <c r="I4189" s="179"/>
      <c r="J4189" s="184"/>
    </row>
    <row r="4190" spans="8:10" ht="15.75" customHeight="1">
      <c r="H4190" s="178"/>
      <c r="I4190" s="179"/>
      <c r="J4190" s="184"/>
    </row>
    <row r="4191" spans="8:10" ht="15.75" customHeight="1">
      <c r="H4191" s="178"/>
      <c r="I4191" s="179"/>
      <c r="J4191" s="184"/>
    </row>
    <row r="4192" spans="8:10" ht="15.75" customHeight="1">
      <c r="H4192" s="178"/>
      <c r="I4192" s="179"/>
      <c r="J4192" s="184"/>
    </row>
    <row r="4193" spans="8:10" ht="15.75" customHeight="1">
      <c r="H4193" s="178"/>
      <c r="I4193" s="179"/>
      <c r="J4193" s="184"/>
    </row>
    <row r="4194" spans="8:10" ht="15.75" customHeight="1">
      <c r="H4194" s="178"/>
      <c r="I4194" s="179"/>
      <c r="J4194" s="184"/>
    </row>
    <row r="4195" spans="8:10" ht="15.75" customHeight="1">
      <c r="H4195" s="178"/>
      <c r="I4195" s="179"/>
      <c r="J4195" s="184"/>
    </row>
    <row r="4196" spans="8:10" ht="15.75" customHeight="1">
      <c r="H4196" s="178"/>
      <c r="I4196" s="179"/>
      <c r="J4196" s="184"/>
    </row>
    <row r="4197" spans="8:10" ht="15.75" customHeight="1">
      <c r="H4197" s="178"/>
      <c r="I4197" s="179"/>
      <c r="J4197" s="184"/>
    </row>
    <row r="4198" spans="8:10" ht="15.75" customHeight="1">
      <c r="H4198" s="178"/>
      <c r="I4198" s="179"/>
      <c r="J4198" s="184"/>
    </row>
    <row r="4199" spans="8:10" ht="15.75" customHeight="1">
      <c r="H4199" s="178"/>
      <c r="I4199" s="179"/>
      <c r="J4199" s="184"/>
    </row>
    <row r="4200" spans="8:10" ht="15.75" customHeight="1">
      <c r="H4200" s="178"/>
      <c r="I4200" s="179"/>
      <c r="J4200" s="184"/>
    </row>
    <row r="4201" spans="8:10" ht="15.75" customHeight="1">
      <c r="H4201" s="178"/>
      <c r="I4201" s="179"/>
      <c r="J4201" s="184"/>
    </row>
    <row r="4202" spans="8:10" ht="15.75" customHeight="1">
      <c r="H4202" s="178"/>
      <c r="I4202" s="179"/>
      <c r="J4202" s="184"/>
    </row>
    <row r="4203" spans="8:10" ht="15.75" customHeight="1">
      <c r="H4203" s="178"/>
      <c r="I4203" s="179"/>
      <c r="J4203" s="184"/>
    </row>
    <row r="4204" spans="8:10" ht="15.75" customHeight="1">
      <c r="H4204" s="178"/>
      <c r="I4204" s="179"/>
      <c r="J4204" s="184"/>
    </row>
    <row r="4205" spans="8:10" ht="15.75" customHeight="1">
      <c r="H4205" s="178"/>
      <c r="I4205" s="179"/>
      <c r="J4205" s="184"/>
    </row>
    <row r="4206" spans="8:10" ht="15.75" customHeight="1">
      <c r="H4206" s="178"/>
      <c r="I4206" s="179"/>
      <c r="J4206" s="184"/>
    </row>
    <row r="4207" spans="8:10" ht="15.75" customHeight="1">
      <c r="H4207" s="178"/>
      <c r="I4207" s="179"/>
      <c r="J4207" s="184"/>
    </row>
    <row r="4208" spans="8:10" ht="15.75" customHeight="1">
      <c r="H4208" s="178"/>
      <c r="I4208" s="179"/>
      <c r="J4208" s="184"/>
    </row>
    <row r="4209" spans="8:10" ht="15.75" customHeight="1">
      <c r="H4209" s="178"/>
      <c r="I4209" s="179"/>
      <c r="J4209" s="184"/>
    </row>
    <row r="4210" spans="8:10" ht="15.75" customHeight="1">
      <c r="H4210" s="178"/>
      <c r="I4210" s="179"/>
      <c r="J4210" s="184"/>
    </row>
    <row r="4211" spans="8:10" ht="15.75" customHeight="1">
      <c r="H4211" s="178"/>
      <c r="I4211" s="179"/>
      <c r="J4211" s="184"/>
    </row>
    <row r="4212" spans="8:10" ht="15.75" customHeight="1">
      <c r="H4212" s="178"/>
      <c r="I4212" s="179"/>
      <c r="J4212" s="184"/>
    </row>
    <row r="4213" spans="8:10" ht="15.75" customHeight="1">
      <c r="H4213" s="178"/>
      <c r="I4213" s="179"/>
      <c r="J4213" s="184"/>
    </row>
    <row r="4214" spans="8:10" ht="15.75" customHeight="1">
      <c r="H4214" s="178"/>
      <c r="I4214" s="179"/>
      <c r="J4214" s="184"/>
    </row>
    <row r="4215" spans="8:10" ht="15.75" customHeight="1">
      <c r="H4215" s="178"/>
      <c r="I4215" s="179"/>
      <c r="J4215" s="184"/>
    </row>
    <row r="4216" spans="8:10" ht="15.75" customHeight="1">
      <c r="H4216" s="178"/>
      <c r="I4216" s="179"/>
      <c r="J4216" s="184"/>
    </row>
    <row r="4217" spans="8:10" ht="15.75" customHeight="1">
      <c r="H4217" s="178"/>
      <c r="I4217" s="179"/>
      <c r="J4217" s="184"/>
    </row>
    <row r="4218" spans="8:10" ht="15.75" customHeight="1">
      <c r="H4218" s="178"/>
      <c r="I4218" s="179"/>
      <c r="J4218" s="184"/>
    </row>
    <row r="4219" spans="8:10" ht="15.75" customHeight="1">
      <c r="H4219" s="178"/>
      <c r="I4219" s="179"/>
      <c r="J4219" s="184"/>
    </row>
    <row r="4220" spans="8:10" ht="15.75" customHeight="1">
      <c r="H4220" s="178"/>
      <c r="I4220" s="179"/>
      <c r="J4220" s="184"/>
    </row>
    <row r="4221" spans="8:10" ht="15.75" customHeight="1">
      <c r="H4221" s="178"/>
      <c r="I4221" s="179"/>
      <c r="J4221" s="184"/>
    </row>
    <row r="4222" spans="8:10" ht="15.75" customHeight="1">
      <c r="H4222" s="178"/>
      <c r="I4222" s="179"/>
      <c r="J4222" s="184"/>
    </row>
    <row r="4223" spans="8:10" ht="15.75" customHeight="1">
      <c r="H4223" s="178"/>
      <c r="I4223" s="179"/>
      <c r="J4223" s="184"/>
    </row>
    <row r="4224" spans="8:10" ht="15.75" customHeight="1">
      <c r="H4224" s="178"/>
      <c r="I4224" s="179"/>
      <c r="J4224" s="184"/>
    </row>
    <row r="4225" spans="8:10" ht="15.75" customHeight="1">
      <c r="H4225" s="178"/>
      <c r="I4225" s="179"/>
      <c r="J4225" s="184"/>
    </row>
    <row r="4226" spans="8:10" ht="15.75" customHeight="1">
      <c r="H4226" s="178"/>
      <c r="I4226" s="179"/>
      <c r="J4226" s="184"/>
    </row>
    <row r="4227" spans="8:10" ht="15.75" customHeight="1">
      <c r="H4227" s="178"/>
      <c r="I4227" s="179"/>
      <c r="J4227" s="184"/>
    </row>
    <row r="4228" spans="8:10" ht="15.75" customHeight="1">
      <c r="H4228" s="178"/>
      <c r="I4228" s="179"/>
      <c r="J4228" s="184"/>
    </row>
    <row r="4229" spans="8:10" ht="15.75" customHeight="1">
      <c r="H4229" s="178"/>
      <c r="I4229" s="179"/>
      <c r="J4229" s="184"/>
    </row>
    <row r="4230" spans="8:10" ht="15.75" customHeight="1">
      <c r="H4230" s="178"/>
      <c r="I4230" s="179"/>
      <c r="J4230" s="184"/>
    </row>
    <row r="4231" spans="8:10" ht="15.75" customHeight="1">
      <c r="H4231" s="178"/>
      <c r="I4231" s="179"/>
      <c r="J4231" s="184"/>
    </row>
    <row r="4232" spans="8:10" ht="15.75" customHeight="1">
      <c r="H4232" s="178"/>
      <c r="I4232" s="179"/>
      <c r="J4232" s="184"/>
    </row>
    <row r="4233" spans="8:10" ht="15.75" customHeight="1">
      <c r="H4233" s="178"/>
      <c r="I4233" s="179"/>
      <c r="J4233" s="184"/>
    </row>
    <row r="4234" spans="8:10" ht="15.75" customHeight="1">
      <c r="H4234" s="178"/>
      <c r="I4234" s="179"/>
      <c r="J4234" s="184"/>
    </row>
    <row r="4235" spans="8:10" ht="15.75" customHeight="1">
      <c r="H4235" s="178"/>
      <c r="I4235" s="179"/>
      <c r="J4235" s="184"/>
    </row>
    <row r="4236" spans="8:10" ht="15.75" customHeight="1">
      <c r="H4236" s="178"/>
      <c r="I4236" s="179"/>
      <c r="J4236" s="184"/>
    </row>
    <row r="4237" spans="8:10" ht="15.75" customHeight="1">
      <c r="H4237" s="178"/>
      <c r="I4237" s="179"/>
      <c r="J4237" s="184"/>
    </row>
    <row r="4238" spans="8:10" ht="15.75" customHeight="1">
      <c r="H4238" s="178"/>
      <c r="I4238" s="179"/>
      <c r="J4238" s="184"/>
    </row>
    <row r="4239" spans="8:10" ht="15.75" customHeight="1">
      <c r="H4239" s="178"/>
      <c r="I4239" s="179"/>
      <c r="J4239" s="184"/>
    </row>
    <row r="4240" spans="8:10" ht="15.75" customHeight="1">
      <c r="H4240" s="178"/>
      <c r="I4240" s="179"/>
      <c r="J4240" s="184"/>
    </row>
    <row r="4241" spans="8:10" ht="15.75" customHeight="1">
      <c r="H4241" s="178"/>
      <c r="I4241" s="179"/>
      <c r="J4241" s="184"/>
    </row>
    <row r="4242" spans="8:10" ht="15.75" customHeight="1">
      <c r="H4242" s="178"/>
      <c r="I4242" s="179"/>
      <c r="J4242" s="184"/>
    </row>
    <row r="4243" spans="8:10" ht="15.75" customHeight="1">
      <c r="H4243" s="178"/>
      <c r="I4243" s="179"/>
      <c r="J4243" s="184"/>
    </row>
    <row r="4244" spans="8:10" ht="15.75" customHeight="1">
      <c r="H4244" s="178"/>
      <c r="I4244" s="179"/>
      <c r="J4244" s="184"/>
    </row>
    <row r="4245" spans="8:10" ht="15.75" customHeight="1">
      <c r="H4245" s="178"/>
      <c r="I4245" s="179"/>
      <c r="J4245" s="184"/>
    </row>
    <row r="4246" spans="8:10" ht="15.75" customHeight="1">
      <c r="H4246" s="178"/>
      <c r="I4246" s="179"/>
      <c r="J4246" s="184"/>
    </row>
    <row r="4247" spans="8:10" ht="15.75" customHeight="1">
      <c r="H4247" s="178"/>
      <c r="I4247" s="179"/>
      <c r="J4247" s="184"/>
    </row>
    <row r="4248" spans="8:10" ht="15.75" customHeight="1">
      <c r="H4248" s="178"/>
      <c r="I4248" s="179"/>
      <c r="J4248" s="184"/>
    </row>
    <row r="4249" spans="8:10" ht="15.75" customHeight="1">
      <c r="H4249" s="178"/>
      <c r="I4249" s="179"/>
      <c r="J4249" s="184"/>
    </row>
    <row r="4250" spans="8:10" ht="15.75" customHeight="1">
      <c r="H4250" s="178"/>
      <c r="I4250" s="179"/>
      <c r="J4250" s="184"/>
    </row>
    <row r="4251" spans="8:10" ht="15.75" customHeight="1">
      <c r="H4251" s="178"/>
      <c r="I4251" s="179"/>
      <c r="J4251" s="184"/>
    </row>
    <row r="4252" spans="8:10" ht="15.75" customHeight="1">
      <c r="H4252" s="178"/>
      <c r="I4252" s="179"/>
      <c r="J4252" s="184"/>
    </row>
    <row r="4253" spans="8:10" ht="15.75" customHeight="1">
      <c r="H4253" s="178"/>
      <c r="I4253" s="179"/>
      <c r="J4253" s="184"/>
    </row>
    <row r="4254" spans="8:10" ht="15.75" customHeight="1">
      <c r="H4254" s="178"/>
      <c r="I4254" s="179"/>
      <c r="J4254" s="184"/>
    </row>
    <row r="4255" spans="8:10" ht="15.75" customHeight="1">
      <c r="H4255" s="178"/>
      <c r="I4255" s="179"/>
      <c r="J4255" s="184"/>
    </row>
    <row r="4256" spans="8:10" ht="15.75" customHeight="1">
      <c r="H4256" s="178"/>
      <c r="I4256" s="179"/>
      <c r="J4256" s="184"/>
    </row>
    <row r="4257" spans="8:10" ht="15.75" customHeight="1">
      <c r="H4257" s="178"/>
      <c r="I4257" s="179"/>
      <c r="J4257" s="184"/>
    </row>
    <row r="4258" spans="8:10" ht="15.75" customHeight="1">
      <c r="H4258" s="178"/>
      <c r="I4258" s="179"/>
      <c r="J4258" s="184"/>
    </row>
    <row r="4259" spans="8:10" ht="15.75" customHeight="1">
      <c r="H4259" s="178"/>
      <c r="I4259" s="179"/>
      <c r="J4259" s="184"/>
    </row>
    <row r="4260" spans="8:10" ht="15.75" customHeight="1">
      <c r="H4260" s="178"/>
      <c r="I4260" s="179"/>
      <c r="J4260" s="184"/>
    </row>
    <row r="4261" spans="8:10" ht="15.75" customHeight="1">
      <c r="H4261" s="178"/>
      <c r="I4261" s="179"/>
      <c r="J4261" s="184"/>
    </row>
    <row r="4262" spans="8:10" ht="15.75" customHeight="1">
      <c r="H4262" s="178"/>
      <c r="I4262" s="179"/>
      <c r="J4262" s="184"/>
    </row>
    <row r="4263" spans="8:10" ht="15.75" customHeight="1">
      <c r="H4263" s="178"/>
      <c r="I4263" s="179"/>
      <c r="J4263" s="184"/>
    </row>
    <row r="4264" spans="8:10" ht="15.75" customHeight="1">
      <c r="H4264" s="178"/>
      <c r="I4264" s="179"/>
      <c r="J4264" s="184"/>
    </row>
    <row r="4265" spans="8:10" ht="15.75" customHeight="1">
      <c r="H4265" s="178"/>
      <c r="I4265" s="179"/>
      <c r="J4265" s="184"/>
    </row>
    <row r="4266" spans="8:10" ht="15.75" customHeight="1">
      <c r="H4266" s="178"/>
      <c r="I4266" s="179"/>
      <c r="J4266" s="184"/>
    </row>
    <row r="4267" spans="8:10" ht="15.75" customHeight="1">
      <c r="H4267" s="178"/>
      <c r="I4267" s="179"/>
      <c r="J4267" s="184"/>
    </row>
    <row r="4268" spans="8:10" ht="15.75" customHeight="1">
      <c r="H4268" s="178"/>
      <c r="I4268" s="179"/>
      <c r="J4268" s="184"/>
    </row>
    <row r="4269" spans="8:10" ht="15.75" customHeight="1">
      <c r="H4269" s="178"/>
      <c r="I4269" s="179"/>
      <c r="J4269" s="184"/>
    </row>
    <row r="4270" spans="8:10" ht="15.75" customHeight="1">
      <c r="H4270" s="178"/>
      <c r="I4270" s="179"/>
      <c r="J4270" s="184"/>
    </row>
    <row r="4271" spans="8:10" ht="15.75" customHeight="1">
      <c r="H4271" s="178"/>
      <c r="I4271" s="179"/>
      <c r="J4271" s="184"/>
    </row>
    <row r="4272" spans="8:10" ht="15.75" customHeight="1">
      <c r="H4272" s="178"/>
      <c r="I4272" s="179"/>
      <c r="J4272" s="184"/>
    </row>
    <row r="4273" spans="8:10" ht="15.75" customHeight="1">
      <c r="H4273" s="178"/>
      <c r="I4273" s="179"/>
      <c r="J4273" s="184"/>
    </row>
    <row r="4274" spans="8:10" ht="15.75" customHeight="1">
      <c r="H4274" s="178"/>
      <c r="I4274" s="179"/>
      <c r="J4274" s="184"/>
    </row>
    <row r="4275" spans="8:10" ht="15.75" customHeight="1">
      <c r="H4275" s="178"/>
      <c r="I4275" s="179"/>
      <c r="J4275" s="184"/>
    </row>
    <row r="4276" spans="8:10" ht="15.75" customHeight="1">
      <c r="H4276" s="178"/>
      <c r="I4276" s="179"/>
      <c r="J4276" s="184"/>
    </row>
    <row r="4277" spans="8:10" ht="15.75" customHeight="1">
      <c r="H4277" s="178"/>
      <c r="I4277" s="179"/>
      <c r="J4277" s="184"/>
    </row>
    <row r="4278" spans="8:10" ht="15.75" customHeight="1">
      <c r="H4278" s="178"/>
      <c r="I4278" s="179"/>
      <c r="J4278" s="184"/>
    </row>
    <row r="4279" spans="8:10" ht="15.75" customHeight="1">
      <c r="H4279" s="178"/>
      <c r="I4279" s="179"/>
      <c r="J4279" s="184"/>
    </row>
    <row r="4280" spans="8:10" ht="15.75" customHeight="1">
      <c r="H4280" s="178"/>
      <c r="I4280" s="179"/>
      <c r="J4280" s="184"/>
    </row>
    <row r="4281" spans="8:10" ht="15.75" customHeight="1">
      <c r="H4281" s="178"/>
      <c r="I4281" s="179"/>
      <c r="J4281" s="184"/>
    </row>
    <row r="4282" spans="8:10" ht="15.75" customHeight="1">
      <c r="H4282" s="178"/>
      <c r="I4282" s="179"/>
      <c r="J4282" s="184"/>
    </row>
    <row r="4283" spans="8:10" ht="15.75" customHeight="1">
      <c r="H4283" s="178"/>
      <c r="I4283" s="179"/>
      <c r="J4283" s="184"/>
    </row>
    <row r="4284" spans="8:10" ht="15.75" customHeight="1">
      <c r="H4284" s="178"/>
      <c r="I4284" s="179"/>
      <c r="J4284" s="184"/>
    </row>
    <row r="4285" spans="8:10" ht="15.75" customHeight="1">
      <c r="H4285" s="178"/>
      <c r="I4285" s="179"/>
      <c r="J4285" s="184"/>
    </row>
    <row r="4286" spans="8:10" ht="15.75" customHeight="1">
      <c r="H4286" s="178"/>
      <c r="I4286" s="179"/>
      <c r="J4286" s="184"/>
    </row>
    <row r="4287" spans="8:10" ht="15.75" customHeight="1">
      <c r="H4287" s="178"/>
      <c r="I4287" s="179"/>
      <c r="J4287" s="184"/>
    </row>
    <row r="4288" spans="8:10" ht="15.75" customHeight="1">
      <c r="H4288" s="178"/>
      <c r="I4288" s="179"/>
      <c r="J4288" s="184"/>
    </row>
    <row r="4289" spans="8:10" ht="15.75" customHeight="1">
      <c r="H4289" s="178"/>
      <c r="I4289" s="179"/>
      <c r="J4289" s="184"/>
    </row>
    <row r="4290" spans="8:10" ht="15.75" customHeight="1">
      <c r="H4290" s="178"/>
      <c r="I4290" s="179"/>
      <c r="J4290" s="184"/>
    </row>
    <row r="4291" spans="8:10" ht="15.75" customHeight="1">
      <c r="H4291" s="178"/>
      <c r="I4291" s="179"/>
      <c r="J4291" s="184"/>
    </row>
    <row r="4292" spans="8:10" ht="15.75" customHeight="1">
      <c r="H4292" s="178"/>
      <c r="I4292" s="179"/>
      <c r="J4292" s="184"/>
    </row>
    <row r="4293" spans="8:10" ht="15.75" customHeight="1">
      <c r="H4293" s="178"/>
      <c r="I4293" s="179"/>
      <c r="J4293" s="184"/>
    </row>
    <row r="4294" spans="8:10" ht="15.75" customHeight="1">
      <c r="H4294" s="178"/>
      <c r="I4294" s="179"/>
      <c r="J4294" s="184"/>
    </row>
    <row r="4295" spans="8:10" ht="15.75" customHeight="1">
      <c r="H4295" s="178"/>
      <c r="I4295" s="179"/>
      <c r="J4295" s="184"/>
    </row>
    <row r="4296" spans="8:10" ht="15.75" customHeight="1">
      <c r="H4296" s="178"/>
      <c r="I4296" s="179"/>
      <c r="J4296" s="184"/>
    </row>
    <row r="4297" spans="8:10" ht="15.75" customHeight="1">
      <c r="H4297" s="178"/>
      <c r="I4297" s="179"/>
      <c r="J4297" s="184"/>
    </row>
    <row r="4298" spans="8:10" ht="15.75" customHeight="1">
      <c r="H4298" s="178"/>
      <c r="I4298" s="179"/>
      <c r="J4298" s="184"/>
    </row>
    <row r="4299" spans="8:10" ht="15.75" customHeight="1">
      <c r="H4299" s="178"/>
      <c r="I4299" s="179"/>
      <c r="J4299" s="184"/>
    </row>
    <row r="4300" spans="8:10" ht="15.75" customHeight="1">
      <c r="H4300" s="178"/>
      <c r="I4300" s="179"/>
      <c r="J4300" s="184"/>
    </row>
    <row r="4301" spans="8:10" ht="15.75" customHeight="1">
      <c r="H4301" s="178"/>
      <c r="I4301" s="179"/>
      <c r="J4301" s="184"/>
    </row>
    <row r="4302" spans="8:10" ht="15.75" customHeight="1">
      <c r="H4302" s="178"/>
      <c r="I4302" s="179"/>
      <c r="J4302" s="184"/>
    </row>
    <row r="4303" spans="8:10" ht="15.75" customHeight="1">
      <c r="H4303" s="178"/>
      <c r="I4303" s="179"/>
      <c r="J4303" s="184"/>
    </row>
    <row r="4304" spans="8:10" ht="15.75" customHeight="1">
      <c r="H4304" s="178"/>
      <c r="I4304" s="179"/>
      <c r="J4304" s="184"/>
    </row>
    <row r="4305" spans="8:10" ht="15.75" customHeight="1">
      <c r="H4305" s="178"/>
      <c r="I4305" s="179"/>
      <c r="J4305" s="184"/>
    </row>
    <row r="4306" spans="8:10" ht="15.75" customHeight="1">
      <c r="H4306" s="178"/>
      <c r="I4306" s="179"/>
      <c r="J4306" s="184"/>
    </row>
    <row r="4307" spans="8:10" ht="15.75" customHeight="1">
      <c r="H4307" s="178"/>
      <c r="I4307" s="179"/>
      <c r="J4307" s="184"/>
    </row>
    <row r="4308" spans="8:10" ht="15.75" customHeight="1">
      <c r="H4308" s="178"/>
      <c r="I4308" s="179"/>
      <c r="J4308" s="184"/>
    </row>
    <row r="4309" spans="8:10" ht="15.75" customHeight="1">
      <c r="H4309" s="178"/>
      <c r="I4309" s="179"/>
      <c r="J4309" s="184"/>
    </row>
    <row r="4310" spans="8:10" ht="15.75" customHeight="1">
      <c r="H4310" s="178"/>
      <c r="I4310" s="179"/>
      <c r="J4310" s="184"/>
    </row>
    <row r="4311" spans="8:10" ht="15.75" customHeight="1">
      <c r="H4311" s="178"/>
      <c r="I4311" s="179"/>
      <c r="J4311" s="184"/>
    </row>
    <row r="4312" spans="8:10" ht="15.75" customHeight="1">
      <c r="H4312" s="178"/>
      <c r="I4312" s="179"/>
      <c r="J4312" s="184"/>
    </row>
    <row r="4313" spans="8:10" ht="15.75" customHeight="1">
      <c r="H4313" s="178"/>
      <c r="I4313" s="179"/>
      <c r="J4313" s="184"/>
    </row>
    <row r="4314" spans="8:10" ht="15.75" customHeight="1">
      <c r="H4314" s="178"/>
      <c r="I4314" s="179"/>
      <c r="J4314" s="184"/>
    </row>
    <row r="4315" spans="8:10" ht="15.75" customHeight="1">
      <c r="H4315" s="178"/>
      <c r="I4315" s="179"/>
      <c r="J4315" s="184"/>
    </row>
    <row r="4316" spans="8:10" ht="15.75" customHeight="1">
      <c r="H4316" s="178"/>
      <c r="I4316" s="179"/>
      <c r="J4316" s="184"/>
    </row>
    <row r="4317" spans="8:10" ht="15.75" customHeight="1">
      <c r="H4317" s="178"/>
      <c r="I4317" s="179"/>
      <c r="J4317" s="184"/>
    </row>
    <row r="4318" spans="8:10" ht="15.75" customHeight="1">
      <c r="H4318" s="178"/>
      <c r="I4318" s="179"/>
      <c r="J4318" s="184"/>
    </row>
    <row r="4319" spans="8:10" ht="15.75" customHeight="1">
      <c r="H4319" s="178"/>
      <c r="I4319" s="179"/>
      <c r="J4319" s="184"/>
    </row>
    <row r="4320" spans="8:10" ht="15.75" customHeight="1">
      <c r="H4320" s="178"/>
      <c r="I4320" s="179"/>
      <c r="J4320" s="184"/>
    </row>
    <row r="4321" spans="8:10" ht="15.75" customHeight="1">
      <c r="H4321" s="178"/>
      <c r="I4321" s="179"/>
      <c r="J4321" s="184"/>
    </row>
    <row r="4322" spans="8:10" ht="15.75" customHeight="1">
      <c r="H4322" s="178"/>
      <c r="I4322" s="179"/>
      <c r="J4322" s="184"/>
    </row>
    <row r="4323" spans="8:10" ht="15.75" customHeight="1">
      <c r="H4323" s="178"/>
      <c r="I4323" s="179"/>
      <c r="J4323" s="184"/>
    </row>
    <row r="4324" spans="8:10" ht="15.75" customHeight="1">
      <c r="H4324" s="178"/>
      <c r="I4324" s="179"/>
      <c r="J4324" s="184"/>
    </row>
    <row r="4325" spans="8:10" ht="15.75" customHeight="1">
      <c r="H4325" s="178"/>
      <c r="I4325" s="179"/>
      <c r="J4325" s="184"/>
    </row>
    <row r="4326" spans="8:10" ht="15.75" customHeight="1">
      <c r="H4326" s="178"/>
      <c r="I4326" s="179"/>
      <c r="J4326" s="184"/>
    </row>
    <row r="4327" spans="8:10" ht="15.75" customHeight="1">
      <c r="H4327" s="178"/>
      <c r="I4327" s="179"/>
      <c r="J4327" s="184"/>
    </row>
    <row r="4328" spans="8:10" ht="15.75" customHeight="1">
      <c r="H4328" s="178"/>
      <c r="I4328" s="179"/>
      <c r="J4328" s="184"/>
    </row>
    <row r="4329" spans="8:10" ht="15.75" customHeight="1">
      <c r="H4329" s="178"/>
      <c r="I4329" s="179"/>
      <c r="J4329" s="184"/>
    </row>
    <row r="4330" spans="8:10" ht="15.75" customHeight="1">
      <c r="H4330" s="178"/>
      <c r="I4330" s="179"/>
      <c r="J4330" s="184"/>
    </row>
    <row r="4331" spans="8:10" ht="15.75" customHeight="1">
      <c r="H4331" s="178"/>
      <c r="I4331" s="179"/>
      <c r="J4331" s="184"/>
    </row>
    <row r="4332" spans="8:10" ht="15.75" customHeight="1">
      <c r="H4332" s="178"/>
      <c r="I4332" s="179"/>
      <c r="J4332" s="184"/>
    </row>
    <row r="4333" spans="8:10" ht="15.75" customHeight="1">
      <c r="H4333" s="178"/>
      <c r="I4333" s="179"/>
      <c r="J4333" s="184"/>
    </row>
    <row r="4334" spans="8:10" ht="15.75" customHeight="1">
      <c r="H4334" s="178"/>
      <c r="I4334" s="179"/>
      <c r="J4334" s="184"/>
    </row>
    <row r="4335" spans="8:10" ht="15.75" customHeight="1">
      <c r="H4335" s="178"/>
      <c r="I4335" s="179"/>
      <c r="J4335" s="184"/>
    </row>
    <row r="4336" spans="8:10" ht="15.75" customHeight="1">
      <c r="H4336" s="178"/>
      <c r="I4336" s="179"/>
      <c r="J4336" s="184"/>
    </row>
    <row r="4337" spans="8:10" ht="15.75" customHeight="1">
      <c r="H4337" s="178"/>
      <c r="I4337" s="179"/>
      <c r="J4337" s="184"/>
    </row>
    <row r="4338" spans="8:10" ht="15.75" customHeight="1">
      <c r="H4338" s="178"/>
      <c r="I4338" s="179"/>
      <c r="J4338" s="184"/>
    </row>
    <row r="4339" spans="8:10" ht="15.75" customHeight="1">
      <c r="H4339" s="178"/>
      <c r="I4339" s="179"/>
      <c r="J4339" s="184"/>
    </row>
    <row r="4340" spans="8:10" ht="15.75" customHeight="1">
      <c r="H4340" s="178"/>
      <c r="I4340" s="179"/>
      <c r="J4340" s="184"/>
    </row>
    <row r="4341" spans="8:10" ht="15.75" customHeight="1">
      <c r="H4341" s="178"/>
      <c r="I4341" s="179"/>
      <c r="J4341" s="184"/>
    </row>
    <row r="4342" spans="8:10" ht="15.75" customHeight="1">
      <c r="H4342" s="178"/>
      <c r="I4342" s="179"/>
      <c r="J4342" s="184"/>
    </row>
    <row r="4343" spans="8:10" ht="15.75" customHeight="1">
      <c r="H4343" s="178"/>
      <c r="I4343" s="179"/>
      <c r="J4343" s="184"/>
    </row>
    <row r="4344" spans="8:10" ht="15.75" customHeight="1">
      <c r="H4344" s="178"/>
      <c r="I4344" s="179"/>
      <c r="J4344" s="184"/>
    </row>
    <row r="4345" spans="8:10" ht="15.75" customHeight="1">
      <c r="H4345" s="178"/>
      <c r="I4345" s="179"/>
      <c r="J4345" s="184"/>
    </row>
    <row r="4346" spans="8:10" ht="15.75" customHeight="1">
      <c r="H4346" s="178"/>
      <c r="I4346" s="179"/>
      <c r="J4346" s="184"/>
    </row>
    <row r="4347" spans="8:10" ht="15.75" customHeight="1">
      <c r="H4347" s="178"/>
      <c r="I4347" s="179"/>
      <c r="J4347" s="184"/>
    </row>
    <row r="4348" spans="8:10" ht="15.75" customHeight="1">
      <c r="H4348" s="178"/>
      <c r="I4348" s="179"/>
      <c r="J4348" s="184"/>
    </row>
    <row r="4349" spans="8:10" ht="15.75" customHeight="1">
      <c r="H4349" s="178"/>
      <c r="I4349" s="179"/>
      <c r="J4349" s="184"/>
    </row>
    <row r="4350" spans="8:10" ht="15.75" customHeight="1">
      <c r="H4350" s="178"/>
      <c r="I4350" s="179"/>
      <c r="J4350" s="184"/>
    </row>
    <row r="4351" spans="8:10" ht="15.75" customHeight="1">
      <c r="H4351" s="178"/>
      <c r="I4351" s="179"/>
      <c r="J4351" s="184"/>
    </row>
    <row r="4352" spans="8:10" ht="15.75" customHeight="1">
      <c r="H4352" s="178"/>
      <c r="I4352" s="179"/>
      <c r="J4352" s="184"/>
    </row>
    <row r="4353" spans="8:10" ht="15.75" customHeight="1">
      <c r="H4353" s="178"/>
      <c r="I4353" s="179"/>
      <c r="J4353" s="184"/>
    </row>
    <row r="4354" spans="8:10" ht="15.75" customHeight="1">
      <c r="H4354" s="178"/>
      <c r="I4354" s="179"/>
      <c r="J4354" s="184"/>
    </row>
    <row r="4355" spans="8:10" ht="15.75" customHeight="1">
      <c r="H4355" s="178"/>
      <c r="I4355" s="179"/>
      <c r="J4355" s="184"/>
    </row>
    <row r="4356" spans="8:10" ht="15.75" customHeight="1">
      <c r="H4356" s="178"/>
      <c r="I4356" s="179"/>
      <c r="J4356" s="184"/>
    </row>
    <row r="4357" spans="8:10" ht="15.75" customHeight="1">
      <c r="H4357" s="178"/>
      <c r="I4357" s="179"/>
      <c r="J4357" s="184"/>
    </row>
    <row r="4358" spans="8:10" ht="15.75" customHeight="1">
      <c r="H4358" s="178"/>
      <c r="I4358" s="179"/>
      <c r="J4358" s="184"/>
    </row>
    <row r="4359" spans="8:10" ht="15.75" customHeight="1">
      <c r="H4359" s="178"/>
      <c r="I4359" s="179"/>
      <c r="J4359" s="184"/>
    </row>
    <row r="4360" spans="8:10" ht="15.75" customHeight="1">
      <c r="H4360" s="178"/>
      <c r="I4360" s="179"/>
      <c r="J4360" s="184"/>
    </row>
    <row r="4361" spans="8:10" ht="15.75" customHeight="1">
      <c r="H4361" s="178"/>
      <c r="I4361" s="179"/>
      <c r="J4361" s="184"/>
    </row>
    <row r="4362" spans="8:10" ht="15.75" customHeight="1">
      <c r="H4362" s="178"/>
      <c r="I4362" s="179"/>
      <c r="J4362" s="184"/>
    </row>
    <row r="4363" spans="8:10" ht="15.75" customHeight="1">
      <c r="H4363" s="178"/>
      <c r="I4363" s="179"/>
      <c r="J4363" s="184"/>
    </row>
    <row r="4364" spans="8:10" ht="15.75" customHeight="1">
      <c r="H4364" s="178"/>
      <c r="I4364" s="179"/>
      <c r="J4364" s="184"/>
    </row>
    <row r="4365" spans="8:10" ht="15.75" customHeight="1">
      <c r="H4365" s="178"/>
      <c r="I4365" s="179"/>
      <c r="J4365" s="184"/>
    </row>
    <row r="4366" spans="8:10" ht="15.75" customHeight="1">
      <c r="H4366" s="178"/>
      <c r="I4366" s="179"/>
      <c r="J4366" s="184"/>
    </row>
    <row r="4367" spans="8:10" ht="15.75" customHeight="1">
      <c r="H4367" s="178"/>
      <c r="I4367" s="179"/>
      <c r="J4367" s="184"/>
    </row>
    <row r="4368" spans="8:10" ht="15.75" customHeight="1">
      <c r="H4368" s="178"/>
      <c r="I4368" s="179"/>
      <c r="J4368" s="184"/>
    </row>
    <row r="4369" spans="8:10" ht="15.75" customHeight="1">
      <c r="H4369" s="178"/>
      <c r="I4369" s="179"/>
      <c r="J4369" s="184"/>
    </row>
    <row r="4370" spans="8:10" ht="15.75" customHeight="1">
      <c r="H4370" s="178"/>
      <c r="I4370" s="179"/>
      <c r="J4370" s="184"/>
    </row>
    <row r="4371" spans="8:10" ht="15.75" customHeight="1">
      <c r="H4371" s="178"/>
      <c r="I4371" s="179"/>
      <c r="J4371" s="184"/>
    </row>
    <row r="4372" spans="8:10" ht="15.75" customHeight="1">
      <c r="H4372" s="178"/>
      <c r="I4372" s="179"/>
      <c r="J4372" s="184"/>
    </row>
    <row r="4373" spans="8:10" ht="15.75" customHeight="1">
      <c r="H4373" s="178"/>
      <c r="I4373" s="179"/>
      <c r="J4373" s="184"/>
    </row>
    <row r="4374" spans="8:10" ht="15.75" customHeight="1">
      <c r="H4374" s="178"/>
      <c r="I4374" s="179"/>
      <c r="J4374" s="184"/>
    </row>
    <row r="4375" spans="8:10" ht="15.75" customHeight="1">
      <c r="H4375" s="178"/>
      <c r="I4375" s="179"/>
      <c r="J4375" s="184"/>
    </row>
    <row r="4376" spans="8:10" ht="15.75" customHeight="1">
      <c r="H4376" s="178"/>
      <c r="I4376" s="179"/>
      <c r="J4376" s="184"/>
    </row>
    <row r="4377" spans="8:10" ht="15.75" customHeight="1">
      <c r="H4377" s="178"/>
      <c r="I4377" s="179"/>
      <c r="J4377" s="184"/>
    </row>
    <row r="4378" spans="8:10" ht="15.75" customHeight="1">
      <c r="H4378" s="178"/>
      <c r="I4378" s="179"/>
      <c r="J4378" s="184"/>
    </row>
    <row r="4379" spans="8:10" ht="15.75" customHeight="1">
      <c r="H4379" s="178"/>
      <c r="I4379" s="179"/>
      <c r="J4379" s="184"/>
    </row>
    <row r="4380" spans="8:10" ht="15.75" customHeight="1">
      <c r="H4380" s="178"/>
      <c r="I4380" s="179"/>
      <c r="J4380" s="184"/>
    </row>
    <row r="4381" spans="8:10" ht="15.75" customHeight="1">
      <c r="H4381" s="178"/>
      <c r="I4381" s="179"/>
      <c r="J4381" s="184"/>
    </row>
    <row r="4382" spans="8:10" ht="15.75" customHeight="1">
      <c r="H4382" s="178"/>
      <c r="I4382" s="179"/>
      <c r="J4382" s="184"/>
    </row>
    <row r="4383" spans="8:10" ht="15.75" customHeight="1">
      <c r="H4383" s="178"/>
      <c r="I4383" s="179"/>
      <c r="J4383" s="184"/>
    </row>
    <row r="4384" spans="8:10" ht="15.75" customHeight="1">
      <c r="H4384" s="178"/>
      <c r="I4384" s="179"/>
      <c r="J4384" s="184"/>
    </row>
    <row r="4385" spans="8:10" ht="15.75" customHeight="1">
      <c r="H4385" s="178"/>
      <c r="I4385" s="179"/>
      <c r="J4385" s="184"/>
    </row>
    <row r="4386" spans="8:10" ht="15.75" customHeight="1">
      <c r="H4386" s="178"/>
      <c r="I4386" s="179"/>
      <c r="J4386" s="184"/>
    </row>
    <row r="4387" spans="8:10" ht="15.75" customHeight="1">
      <c r="H4387" s="178"/>
      <c r="I4387" s="179"/>
      <c r="J4387" s="184"/>
    </row>
    <row r="4388" spans="8:10" ht="15.75" customHeight="1">
      <c r="H4388" s="178"/>
      <c r="I4388" s="179"/>
      <c r="J4388" s="184"/>
    </row>
    <row r="4389" spans="8:10" ht="15.75" customHeight="1">
      <c r="H4389" s="178"/>
      <c r="I4389" s="179"/>
      <c r="J4389" s="184"/>
    </row>
    <row r="4390" spans="8:10" ht="15.75" customHeight="1">
      <c r="H4390" s="178"/>
      <c r="I4390" s="179"/>
      <c r="J4390" s="184"/>
    </row>
    <row r="4391" spans="8:10" ht="15.75" customHeight="1">
      <c r="H4391" s="178"/>
      <c r="I4391" s="179"/>
      <c r="J4391" s="184"/>
    </row>
    <row r="4392" spans="8:10" ht="15.75" customHeight="1">
      <c r="H4392" s="178"/>
      <c r="I4392" s="179"/>
      <c r="J4392" s="184"/>
    </row>
    <row r="4393" spans="8:10" ht="15.75" customHeight="1">
      <c r="H4393" s="178"/>
      <c r="I4393" s="179"/>
      <c r="J4393" s="184"/>
    </row>
    <row r="4394" spans="8:10" ht="15.75" customHeight="1">
      <c r="H4394" s="178"/>
      <c r="I4394" s="179"/>
      <c r="J4394" s="184"/>
    </row>
    <row r="4395" spans="8:10" ht="15.75" customHeight="1">
      <c r="H4395" s="178"/>
      <c r="I4395" s="179"/>
      <c r="J4395" s="184"/>
    </row>
    <row r="4396" spans="8:10" ht="15.75" customHeight="1">
      <c r="H4396" s="178"/>
      <c r="I4396" s="179"/>
      <c r="J4396" s="184"/>
    </row>
    <row r="4397" spans="8:10" ht="15.75" customHeight="1">
      <c r="H4397" s="178"/>
      <c r="I4397" s="179"/>
      <c r="J4397" s="184"/>
    </row>
    <row r="4398" spans="8:10" ht="15.75" customHeight="1">
      <c r="H4398" s="178"/>
      <c r="I4398" s="179"/>
      <c r="J4398" s="184"/>
    </row>
    <row r="4399" spans="8:10" ht="15.75" customHeight="1">
      <c r="H4399" s="178"/>
      <c r="I4399" s="179"/>
      <c r="J4399" s="184"/>
    </row>
    <row r="4400" spans="8:10" ht="15.75" customHeight="1">
      <c r="H4400" s="178"/>
      <c r="I4400" s="179"/>
      <c r="J4400" s="184"/>
    </row>
    <row r="4401" spans="8:10" ht="15.75" customHeight="1">
      <c r="H4401" s="178"/>
      <c r="I4401" s="179"/>
      <c r="J4401" s="184"/>
    </row>
    <row r="4402" spans="8:10" ht="15.75" customHeight="1">
      <c r="H4402" s="178"/>
      <c r="I4402" s="179"/>
      <c r="J4402" s="184"/>
    </row>
    <row r="4403" spans="8:10" ht="15.75" customHeight="1">
      <c r="H4403" s="178"/>
      <c r="I4403" s="179"/>
      <c r="J4403" s="184"/>
    </row>
    <row r="4404" spans="8:10" ht="15.75" customHeight="1">
      <c r="H4404" s="178"/>
      <c r="I4404" s="179"/>
      <c r="J4404" s="184"/>
    </row>
    <row r="4405" spans="8:10" ht="15.75" customHeight="1">
      <c r="H4405" s="178"/>
      <c r="I4405" s="179"/>
      <c r="J4405" s="184"/>
    </row>
    <row r="4406" spans="8:10" ht="15.75" customHeight="1">
      <c r="H4406" s="178"/>
      <c r="I4406" s="179"/>
      <c r="J4406" s="184"/>
    </row>
    <row r="4407" spans="8:10" ht="15.75" customHeight="1">
      <c r="H4407" s="178"/>
      <c r="I4407" s="179"/>
      <c r="J4407" s="184"/>
    </row>
    <row r="4408" spans="8:10" ht="15.75" customHeight="1">
      <c r="H4408" s="178"/>
      <c r="I4408" s="179"/>
      <c r="J4408" s="184"/>
    </row>
    <row r="4409" spans="8:10" ht="15.75" customHeight="1">
      <c r="H4409" s="178"/>
      <c r="I4409" s="179"/>
      <c r="J4409" s="184"/>
    </row>
    <row r="4410" spans="8:10" ht="15.75" customHeight="1">
      <c r="H4410" s="178"/>
      <c r="I4410" s="179"/>
      <c r="J4410" s="184"/>
    </row>
    <row r="4411" spans="8:10" ht="15.75" customHeight="1">
      <c r="H4411" s="178"/>
      <c r="I4411" s="179"/>
      <c r="J4411" s="184"/>
    </row>
    <row r="4412" spans="8:10" ht="15.75" customHeight="1">
      <c r="H4412" s="178"/>
      <c r="I4412" s="179"/>
      <c r="J4412" s="184"/>
    </row>
    <row r="4413" spans="8:10" ht="15.75" customHeight="1">
      <c r="H4413" s="178"/>
      <c r="I4413" s="179"/>
      <c r="J4413" s="184"/>
    </row>
    <row r="4414" spans="8:10" ht="15.75" customHeight="1">
      <c r="H4414" s="178"/>
      <c r="I4414" s="179"/>
      <c r="J4414" s="184"/>
    </row>
    <row r="4415" spans="8:10" ht="15.75" customHeight="1">
      <c r="H4415" s="178"/>
      <c r="I4415" s="179"/>
      <c r="J4415" s="184"/>
    </row>
    <row r="4416" spans="8:10" ht="15.75" customHeight="1">
      <c r="H4416" s="178"/>
      <c r="I4416" s="179"/>
      <c r="J4416" s="184"/>
    </row>
    <row r="4417" spans="8:10" ht="15.75" customHeight="1">
      <c r="H4417" s="178"/>
      <c r="I4417" s="179"/>
      <c r="J4417" s="184"/>
    </row>
    <row r="4418" spans="8:10" ht="15.75" customHeight="1">
      <c r="H4418" s="178"/>
      <c r="I4418" s="179"/>
      <c r="J4418" s="184"/>
    </row>
    <row r="4419" spans="8:10" ht="15.75" customHeight="1">
      <c r="H4419" s="178"/>
      <c r="I4419" s="179"/>
      <c r="J4419" s="184"/>
    </row>
    <row r="4420" spans="8:10" ht="15.75" customHeight="1">
      <c r="H4420" s="178"/>
      <c r="I4420" s="179"/>
      <c r="J4420" s="184"/>
    </row>
    <row r="4421" spans="8:10" ht="15.75" customHeight="1">
      <c r="H4421" s="178"/>
      <c r="I4421" s="179"/>
      <c r="J4421" s="184"/>
    </row>
    <row r="4422" spans="8:10" ht="15.75" customHeight="1">
      <c r="H4422" s="178"/>
      <c r="I4422" s="179"/>
      <c r="J4422" s="184"/>
    </row>
    <row r="4423" spans="8:10" ht="15.75" customHeight="1">
      <c r="H4423" s="178"/>
      <c r="I4423" s="179"/>
      <c r="J4423" s="184"/>
    </row>
    <row r="4424" spans="8:10" ht="15.75" customHeight="1">
      <c r="H4424" s="178"/>
      <c r="I4424" s="179"/>
      <c r="J4424" s="184"/>
    </row>
    <row r="4425" spans="8:10" ht="15.75" customHeight="1">
      <c r="H4425" s="178"/>
      <c r="I4425" s="179"/>
      <c r="J4425" s="184"/>
    </row>
    <row r="4426" spans="8:10" ht="15.75" customHeight="1">
      <c r="H4426" s="178"/>
      <c r="I4426" s="179"/>
      <c r="J4426" s="184"/>
    </row>
    <row r="4427" spans="8:10" ht="15.75" customHeight="1">
      <c r="H4427" s="178"/>
      <c r="I4427" s="179"/>
      <c r="J4427" s="184"/>
    </row>
    <row r="4428" spans="8:10" ht="15.75" customHeight="1">
      <c r="H4428" s="178"/>
      <c r="I4428" s="179"/>
      <c r="J4428" s="184"/>
    </row>
    <row r="4429" spans="8:10" ht="15.75" customHeight="1">
      <c r="H4429" s="178"/>
      <c r="I4429" s="179"/>
      <c r="J4429" s="184"/>
    </row>
    <row r="4430" spans="8:10" ht="15.75" customHeight="1">
      <c r="H4430" s="178"/>
      <c r="I4430" s="179"/>
      <c r="J4430" s="184"/>
    </row>
    <row r="4431" spans="8:10" ht="15.75" customHeight="1">
      <c r="H4431" s="178"/>
      <c r="I4431" s="179"/>
      <c r="J4431" s="184"/>
    </row>
    <row r="4432" spans="8:10" ht="15.75" customHeight="1">
      <c r="H4432" s="178"/>
      <c r="I4432" s="179"/>
      <c r="J4432" s="184"/>
    </row>
    <row r="4433" spans="8:10" ht="15.75" customHeight="1">
      <c r="H4433" s="178"/>
      <c r="I4433" s="179"/>
      <c r="J4433" s="184"/>
    </row>
    <row r="4434" spans="8:10" ht="15.75" customHeight="1">
      <c r="H4434" s="178"/>
      <c r="I4434" s="179"/>
      <c r="J4434" s="184"/>
    </row>
    <row r="4435" spans="8:10" ht="15.75" customHeight="1">
      <c r="H4435" s="178"/>
      <c r="I4435" s="179"/>
      <c r="J4435" s="184"/>
    </row>
    <row r="4436" spans="8:10" ht="15.75" customHeight="1">
      <c r="H4436" s="178"/>
      <c r="I4436" s="179"/>
      <c r="J4436" s="184"/>
    </row>
    <row r="4437" spans="8:10" ht="15.75" customHeight="1">
      <c r="H4437" s="178"/>
      <c r="I4437" s="179"/>
      <c r="J4437" s="184"/>
    </row>
    <row r="4438" spans="8:10" ht="15.75" customHeight="1">
      <c r="H4438" s="178"/>
      <c r="I4438" s="179"/>
      <c r="J4438" s="184"/>
    </row>
    <row r="4439" spans="8:10" ht="15.75" customHeight="1">
      <c r="H4439" s="178"/>
      <c r="I4439" s="179"/>
      <c r="J4439" s="184"/>
    </row>
    <row r="4440" spans="8:10" ht="15.75" customHeight="1">
      <c r="H4440" s="178"/>
      <c r="I4440" s="179"/>
      <c r="J4440" s="184"/>
    </row>
    <row r="4441" spans="8:10" ht="15.75" customHeight="1">
      <c r="H4441" s="178"/>
      <c r="I4441" s="179"/>
      <c r="J4441" s="184"/>
    </row>
    <row r="4442" spans="8:10" ht="15.75" customHeight="1">
      <c r="H4442" s="178"/>
      <c r="I4442" s="179"/>
      <c r="J4442" s="184"/>
    </row>
    <row r="4443" spans="8:10" ht="15.75" customHeight="1">
      <c r="H4443" s="178"/>
      <c r="I4443" s="179"/>
      <c r="J4443" s="184"/>
    </row>
    <row r="4444" spans="8:10" ht="15.75" customHeight="1">
      <c r="H4444" s="178"/>
      <c r="I4444" s="179"/>
      <c r="J4444" s="184"/>
    </row>
    <row r="4445" spans="8:10" ht="15.75" customHeight="1">
      <c r="H4445" s="178"/>
      <c r="I4445" s="179"/>
      <c r="J4445" s="184"/>
    </row>
    <row r="4446" spans="8:10" ht="15.75" customHeight="1">
      <c r="H4446" s="178"/>
      <c r="I4446" s="179"/>
      <c r="J4446" s="184"/>
    </row>
    <row r="4447" spans="8:10" ht="15.75" customHeight="1">
      <c r="H4447" s="178"/>
      <c r="I4447" s="179"/>
      <c r="J4447" s="184"/>
    </row>
    <row r="4448" spans="8:10" ht="15.75" customHeight="1">
      <c r="H4448" s="178"/>
      <c r="I4448" s="179"/>
      <c r="J4448" s="184"/>
    </row>
    <row r="4449" spans="8:10" ht="15.75" customHeight="1">
      <c r="H4449" s="178"/>
      <c r="I4449" s="179"/>
      <c r="J4449" s="184"/>
    </row>
    <row r="4450" spans="8:10" ht="15.75" customHeight="1">
      <c r="H4450" s="178"/>
      <c r="I4450" s="179"/>
      <c r="J4450" s="184"/>
    </row>
  </sheetData>
  <autoFilter ref="A2:BG246" xr:uid="{00000000-0009-0000-0000-00001C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autoFilter>
  <mergeCells count="12">
    <mergeCell ref="BD1:BG1"/>
    <mergeCell ref="A1:BB1"/>
    <mergeCell ref="L341:M341"/>
    <mergeCell ref="L351:M351"/>
    <mergeCell ref="AT2:AV2"/>
    <mergeCell ref="AN2:AP2"/>
    <mergeCell ref="N2:P2"/>
    <mergeCell ref="T2:V2"/>
    <mergeCell ref="W2:Y2"/>
    <mergeCell ref="Z2:AB2"/>
    <mergeCell ref="AC2:AE2"/>
    <mergeCell ref="AQ2:AS2"/>
  </mergeCells>
  <phoneticPr fontId="0" type="noConversion"/>
  <conditionalFormatting sqref="B5:BA235">
    <cfRule type="expression" dxfId="424" priority="106">
      <formula>$M6="NON DEFINED"</formula>
    </cfRule>
    <cfRule type="expression" dxfId="423" priority="107">
      <formula>$AY6="N.D."</formula>
    </cfRule>
  </conditionalFormatting>
  <conditionalFormatting sqref="BD3:BG3 BD8:BF8 BD44:BF44 BD6:BE6 BD9 BD12:BE12 BD14:BE14 BD16:BE16 BD18:BE18 BD17 BD19 BD26:BG26 BD28:BG28 BD30:BG30 BD32:BG32 BD34:BG34 BD36:BE36 BD38:BE38 BD42:BF42 BD41 BD46:BF46 BD48:BF48 BD47 BD50:BF50 BD49 BD54:BF54 BD52:BE52 BD118:BF118 BD120:BF120 BG122 BD126 BD128:BF128 BD130:BF130 BD132 BD134:BE134 BD136:BE136 BD138:BE138 BD140:BG140 BD139 BD142:BG142 BD144:BG144 BD146:BG146 BD145 BD148:BG148 BD150:BG150 BD152:BG152 BD154:BG154 BD156:BG156 BD158:BG158 BD157 BD160:BG160 BD162:BG162 BD164:BG164 BD166:BG166 BD165 BD168:BG168 BD170:BG170 BD172:BF172 BD174:BE174 BD176:BG176 BD175 BD178:BG178 BD177 BD180:BG180 BD182:BG182 BD181 BD184:BG184 BD190:BG190 BE186 BG186 BD192:BG192 BD191 BD194:BG194 BD196:BG196 BD198:BG198 BD200:BG200 BD202:BG202 BD204:BG204 BD206:BG206 BD205 BD208:BG208 BD210:BG210 BD212:BG212 BD220:BG220 BD214:BE214 BG214 BD222:BG222 BD221 BD224:BG224 BD226:BG226 BD228:BG228 BD230:BG230 BD235:BG235 BE232 BG232 BG188 BG216 BG218 BG234 BD53 BE188 BD216:BE216 BD218:BE218 BD234:BE234 BG132 BD214:BD215 BD203 BD199 BD20:BF20 BD10:BF10 BD22:BF22 BD24:BF24 BD40:BG40 BD128:BD129 BD121:BD124 BG38 BG36 BD32:BD35 BD37 BD116:BG116">
    <cfRule type="containsBlanks" dxfId="422" priority="79">
      <formula>LEN(TRIM(BD3))=0</formula>
    </cfRule>
  </conditionalFormatting>
  <conditionalFormatting sqref="BC247:BC2000 BC5:BC235">
    <cfRule type="containsText" dxfId="421" priority="61" operator="containsText" text="a">
      <formula>NOT(ISERROR(SEARCH("a",BC5)))</formula>
    </cfRule>
    <cfRule type="containsText" dxfId="420" priority="62" operator="containsText" text="R">
      <formula>NOT(ISERROR(SEARCH("R",BC5)))</formula>
    </cfRule>
  </conditionalFormatting>
  <conditionalFormatting sqref="BA5:BA235">
    <cfRule type="expression" dxfId="419" priority="60">
      <formula>$BC5="R"</formula>
    </cfRule>
  </conditionalFormatting>
  <conditionalFormatting sqref="BA4">
    <cfRule type="expression" dxfId="418" priority="59">
      <formula>$BC4="R"</formula>
    </cfRule>
  </conditionalFormatting>
  <conditionalFormatting sqref="B4:BA4 BC4:BG4">
    <cfRule type="expression" dxfId="417" priority="57">
      <formula>$M4="NON DEFINED"</formula>
    </cfRule>
    <cfRule type="expression" dxfId="416" priority="58">
      <formula>$AY4="N.D."</formula>
    </cfRule>
  </conditionalFormatting>
  <conditionalFormatting sqref="A4:BG4">
    <cfRule type="cellIs" dxfId="415" priority="56" operator="equal">
      <formula>0</formula>
    </cfRule>
  </conditionalFormatting>
  <conditionalFormatting sqref="BA236:BA246">
    <cfRule type="expression" dxfId="414" priority="55">
      <formula>$BC236="R"</formula>
    </cfRule>
  </conditionalFormatting>
  <conditionalFormatting sqref="B236:BA246 BC236:BG246">
    <cfRule type="expression" dxfId="413" priority="53">
      <formula>$M236="NON DEFINED"</formula>
    </cfRule>
    <cfRule type="expression" dxfId="412" priority="54">
      <formula>$AY236="N.D."</formula>
    </cfRule>
  </conditionalFormatting>
  <conditionalFormatting sqref="A236:BG246">
    <cfRule type="cellIs" dxfId="411" priority="52" operator="equal">
      <formula>0</formula>
    </cfRule>
  </conditionalFormatting>
  <conditionalFormatting sqref="BE132">
    <cfRule type="containsBlanks" dxfId="410" priority="51">
      <formula>LEN(TRIM(BE132))=0</formula>
    </cfRule>
  </conditionalFormatting>
  <conditionalFormatting sqref="AN4:AN246">
    <cfRule type="cellIs" dxfId="409" priority="50" operator="notEqual">
      <formula>5.5</formula>
    </cfRule>
  </conditionalFormatting>
  <conditionalFormatting sqref="BG6 BG8 BG10 BG12 BG14 BG16 BG18">
    <cfRule type="containsBlanks" dxfId="408" priority="49">
      <formula>LEN(TRIM(BG6))=0</formula>
    </cfRule>
  </conditionalFormatting>
  <conditionalFormatting sqref="BG42 BG44 BG46 BG48 BG50 BG52 BG54">
    <cfRule type="containsBlanks" dxfId="407" priority="48">
      <formula>LEN(TRIM(BG42))=0</formula>
    </cfRule>
  </conditionalFormatting>
  <conditionalFormatting sqref="BG118 BG120">
    <cfRule type="containsBlanks" dxfId="406" priority="47">
      <formula>LEN(TRIM(BG118))=0</formula>
    </cfRule>
  </conditionalFormatting>
  <conditionalFormatting sqref="BF132">
    <cfRule type="containsBlanks" dxfId="405" priority="46">
      <formula>LEN(TRIM(BF132))=0</formula>
    </cfRule>
  </conditionalFormatting>
  <conditionalFormatting sqref="BF134 BF136 BF138">
    <cfRule type="containsBlanks" dxfId="404" priority="45">
      <formula>LEN(TRIM(BF134))=0</formula>
    </cfRule>
  </conditionalFormatting>
  <conditionalFormatting sqref="BF174">
    <cfRule type="containsBlanks" dxfId="403" priority="44">
      <formula>LEN(TRIM(BF174))=0</formula>
    </cfRule>
  </conditionalFormatting>
  <conditionalFormatting sqref="BG174">
    <cfRule type="containsBlanks" dxfId="402" priority="38">
      <formula>LEN(TRIM(BG174))=0</formula>
    </cfRule>
  </conditionalFormatting>
  <conditionalFormatting sqref="BG134 BG136 BG138">
    <cfRule type="containsBlanks" dxfId="401" priority="36">
      <formula>LEN(TRIM(BG134))=0</formula>
    </cfRule>
  </conditionalFormatting>
  <conditionalFormatting sqref="BG20 BG22 BG24">
    <cfRule type="containsBlanks" dxfId="400" priority="34">
      <formula>LEN(TRIM(BG20))=0</formula>
    </cfRule>
  </conditionalFormatting>
  <conditionalFormatting sqref="BG172">
    <cfRule type="containsBlanks" dxfId="399" priority="32">
      <formula>LEN(TRIM(BG172))=0</formula>
    </cfRule>
  </conditionalFormatting>
  <conditionalFormatting sqref="BE122 BE124 BE126">
    <cfRule type="containsBlanks" dxfId="398" priority="30">
      <formula>LEN(TRIM(BE122))=0</formula>
    </cfRule>
  </conditionalFormatting>
  <conditionalFormatting sqref="BF12 BF14 BF16 BF18">
    <cfRule type="containsBlanks" dxfId="397" priority="26">
      <formula>LEN(TRIM(BF12))=0</formula>
    </cfRule>
  </conditionalFormatting>
  <conditionalFormatting sqref="BF124 BF126">
    <cfRule type="containsBlanks" dxfId="396" priority="24">
      <formula>LEN(TRIM(BF124))=0</formula>
    </cfRule>
  </conditionalFormatting>
  <conditionalFormatting sqref="BG124 BG126 BG128 BG130">
    <cfRule type="containsBlanks" dxfId="395" priority="21">
      <formula>LEN(TRIM(BG124))=0</formula>
    </cfRule>
  </conditionalFormatting>
  <conditionalFormatting sqref="BE64">
    <cfRule type="containsBlanks" dxfId="394" priority="11">
      <formula>LEN(TRIM(BE64))=0</formula>
    </cfRule>
  </conditionalFormatting>
  <conditionalFormatting sqref="BE66 BE68 BE70 BE72 BE74 BE76">
    <cfRule type="containsBlanks" dxfId="393" priority="10">
      <formula>LEN(TRIM(BE66))=0</formula>
    </cfRule>
  </conditionalFormatting>
  <conditionalFormatting sqref="BE94">
    <cfRule type="containsBlanks" dxfId="392" priority="9">
      <formula>LEN(TRIM(BE94))=0</formula>
    </cfRule>
  </conditionalFormatting>
  <conditionalFormatting sqref="BE96 BE98 BE100 BE102 BE104 BE106 BE108 BE110 BE112">
    <cfRule type="containsBlanks" dxfId="391" priority="8">
      <formula>LEN(TRIM(BE96))=0</formula>
    </cfRule>
  </conditionalFormatting>
  <conditionalFormatting sqref="BE60">
    <cfRule type="containsBlanks" dxfId="390" priority="7">
      <formula>LEN(TRIM(BE60))=0</formula>
    </cfRule>
  </conditionalFormatting>
  <conditionalFormatting sqref="BE62">
    <cfRule type="containsBlanks" dxfId="389" priority="6">
      <formula>LEN(TRIM(BE62))=0</formula>
    </cfRule>
  </conditionalFormatting>
  <conditionalFormatting sqref="BE58">
    <cfRule type="containsBlanks" dxfId="388" priority="5">
      <formula>LEN(TRIM(BE58))=0</formula>
    </cfRule>
  </conditionalFormatting>
  <conditionalFormatting sqref="BE56">
    <cfRule type="containsBlanks" dxfId="387" priority="4">
      <formula>LEN(TRIM(BE56))=0</formula>
    </cfRule>
  </conditionalFormatting>
  <conditionalFormatting sqref="BF36 BF38">
    <cfRule type="containsBlanks" dxfId="386" priority="3">
      <formula>LEN(TRIM(BF36))=0</formula>
    </cfRule>
  </conditionalFormatting>
  <printOptions horizontalCentered="1" gridLines="1"/>
  <pageMargins left="0.39370078740157483" right="0.39370078740157483" top="0.78740157480314965" bottom="0.78740157480314965" header="0.31496062992125984" footer="0.31496062992125984"/>
  <pageSetup paperSize="8" scale="76" fitToHeight="0" orientation="landscape" cellComments="asDisplayed" r:id="rId1"/>
  <headerFooter alignWithMargins="0">
    <oddHeader>&amp;L&amp;G&amp;C
LAYOUT AND EQUIPMENT
EP06 TRACK 1 TSA-THA
KP93+478 - 97+400
&amp;R&amp;G</oddHeader>
    <oddFooter>&amp;L&amp;G
&amp;F&amp;C&amp;D&amp;RPag &amp;P of &amp;N</oddFooter>
  </headerFooter>
  <legacyDrawingHF r:id="rId2"/>
  <extLst>
    <ext xmlns:x14="http://schemas.microsoft.com/office/spreadsheetml/2009/9/main" uri="{78C0D931-6437-407d-A8EE-F0AAD7539E65}">
      <x14:conditionalFormattings>
        <x14:conditionalFormatting xmlns:xm="http://schemas.microsoft.com/office/excel/2006/main">
          <x14:cfRule type="containsText" priority="70" operator="containsText" id="{C3076ECA-640E-4F06-A40D-FD99A16567E1}">
            <xm:f>NOT(ISERROR(SEARCH("-",BF8)))</xm:f>
            <xm:f>"-"</xm:f>
            <x14:dxf>
              <font>
                <color theme="0" tint="-0.14996795556505021"/>
              </font>
              <fill>
                <patternFill>
                  <bgColor theme="0" tint="-0.14996795556505021"/>
                </patternFill>
              </fill>
            </x14:dxf>
          </x14:cfRule>
          <xm:sqref>BF8 BF44 BF20 BF26 BF28 BF30 BF32 BF34 BF40 BF42 BF46 BF48 BF50 BF54 BF118 BF120 BF128 BF130 BF140 BF142 BF144 BF146 BF148 BF150 BF152 BF154 BF156 BF158 BF160 BF162 BF164 BF166 BF168 BF170 BF172 BF176 BF178 BF180 BF182 BF184 BF190 BF192 BF194 BF196 BF198 BF200 BF202 BF204 BF206 BF208 BF210 BF212 BF220 BF222 BF224 BF226 BF228 BF230 BF235 BF10 BF22 BF24 BF116</xm:sqref>
        </x14:conditionalFormatting>
        <x14:conditionalFormatting xmlns:xm="http://schemas.microsoft.com/office/excel/2006/main">
          <x14:cfRule type="containsText" priority="67" operator="containsText" id="{12933E53-A2D3-47B5-83D4-1BDB90F4B816}">
            <xm:f>NOT(ISERROR(SEARCH("-",BF118)))</xm:f>
            <xm:f>"-"</xm:f>
            <x14:dxf>
              <font>
                <color theme="0" tint="-0.14996795556505021"/>
              </font>
              <fill>
                <patternFill>
                  <bgColor theme="0" tint="-0.14996795556505021"/>
                </patternFill>
              </fill>
            </x14:dxf>
          </x14:cfRule>
          <xm:sqref>BF118</xm:sqref>
        </x14:conditionalFormatting>
        <x14:conditionalFormatting xmlns:xm="http://schemas.microsoft.com/office/excel/2006/main">
          <x14:cfRule type="containsText" priority="65" operator="containsText" id="{EA895547-4F52-44B2-9DFB-12D609DCC9C6}">
            <xm:f>NOT(ISERROR(SEARCH("-",BE118)))</xm:f>
            <xm:f>"-"</xm:f>
            <x14:dxf>
              <font>
                <color theme="0" tint="-0.14996795556505021"/>
              </font>
              <fill>
                <patternFill>
                  <bgColor theme="0" tint="-0.14996795556505021"/>
                </patternFill>
              </fill>
            </x14:dxf>
          </x14:cfRule>
          <xm:sqref>BE118 BE120</xm:sqref>
        </x14:conditionalFormatting>
        <x14:conditionalFormatting xmlns:xm="http://schemas.microsoft.com/office/excel/2006/main">
          <x14:cfRule type="containsText" priority="71" operator="containsText" id="{EDA404F2-0109-4E11-B79D-23AD25772D55}">
            <xm:f>NOT(ISERROR(SEARCH("-",BE6)))</xm:f>
            <xm:f>"-"</xm:f>
            <x14:dxf>
              <font>
                <color theme="0" tint="-0.14996795556505021"/>
              </font>
              <fill>
                <patternFill>
                  <bgColor theme="0" tint="-0.14996795556505021"/>
                </patternFill>
              </fill>
            </x14:dxf>
          </x14:cfRule>
          <xm:sqref>BE6 BE44 BE8 BE10 BE12 BE14 BE16 BE18 BE22 BE24 BE26 BE28 BE30 BE32 BE34 BE36 BE38 BE42 BE46 BE48 BE50 BE52 BE54 BE116 BE118 BE120 BE128 BE130 BE134 BE136 BE138 BE140 BE142 BE144 BE146 BE148 BE150 BE152 BE154 BE156 BE158 BE160 BE162 BE164 BE166 BE168 BE170 BE172 BE174 BE176 BE178 BE180 BE182 BE184 BE186 BE188 BE190 BE192 BE194 BE196 BE198 BE200 BE202 BE204 BE206 BE208 BE210 BE212 BE214 BE216 BE218 BE220 BE222 BE224 BE226 BE228 BE230 BE232 BE234:BE235 BE20 BE40</xm:sqref>
        </x14:conditionalFormatting>
        <x14:conditionalFormatting xmlns:xm="http://schemas.microsoft.com/office/excel/2006/main">
          <x14:cfRule type="containsText" priority="69" operator="containsText" id="{23B23616-E594-4C49-A61A-FBFA4D8DD080}">
            <xm:f>NOT(ISERROR(SEARCH("-",BG26)))</xm:f>
            <xm:f>"-"</xm:f>
            <x14:dxf>
              <font>
                <color theme="0" tint="-0.14996795556505021"/>
              </font>
              <fill>
                <patternFill>
                  <bgColor theme="0" tint="-0.14996795556505021"/>
                </patternFill>
              </fill>
            </x14:dxf>
          </x14:cfRule>
          <xm:sqref>BG26 BG28 BG30 BG32 BG34 BG36 BG38 BG40 BG116 BG122 BG132 BG140 BG142 BG144 BG146 BG148 BG150 BG152 BG154 BG156 BG158 BG160 BG162 BG164 BG166 BG168 BG170 BG176 BG178 BG180 BG182 BG184 BG186 BG188 BG190 BG192 BG194 BG196 BG198 BG200 BG202 BG204 BG206 BG208 BG210 BG212 BG214 BG216 BG218 BG220 BG222 BG224 BG226 BG228 BG230 BG232 BG234:BG235</xm:sqref>
        </x14:conditionalFormatting>
        <x14:conditionalFormatting xmlns:xm="http://schemas.microsoft.com/office/excel/2006/main">
          <x14:cfRule type="containsText" priority="68" operator="containsText" id="{E8AE7C9D-D701-4957-AE1A-F2786B157867}">
            <xm:f>NOT(ISERROR(SEARCH("-",BF140)))</xm:f>
            <xm:f>"-"</xm:f>
            <x14:dxf>
              <font>
                <color theme="0" tint="-0.14996795556505021"/>
              </font>
              <fill>
                <patternFill>
                  <bgColor theme="0" tint="-0.14996795556505021"/>
                </patternFill>
              </fill>
            </x14:dxf>
          </x14:cfRule>
          <xm:sqref>BF140 BF142 BF144 BF146 BF148 BF150 BF152 BF154 BF156 BF158 BF160 BF162 BF164 BF166 BF168 BF170 BF172 BF176 BF178 BF180 BF182 BF184 BF190 BF192 BF194 BF196 BF198 BF200 BF202 BF204 BF206 BF208 BF210 BF212 BF220 BF222 BF224 BF226 BF228 BF230</xm:sqref>
        </x14:conditionalFormatting>
        <x14:conditionalFormatting xmlns:xm="http://schemas.microsoft.com/office/excel/2006/main">
          <x14:cfRule type="containsText" priority="66" operator="containsText" id="{2FEF7517-BC23-43DB-8DAA-880BC3122DC1}">
            <xm:f>NOT(ISERROR(SEARCH("-",BF120)))</xm:f>
            <xm:f>"-"</xm:f>
            <x14:dxf>
              <font>
                <color theme="0" tint="-0.14996795556505021"/>
              </font>
              <fill>
                <patternFill>
                  <bgColor theme="0" tint="-0.14996795556505021"/>
                </patternFill>
              </fill>
            </x14:dxf>
          </x14:cfRule>
          <xm:sqref>BF120</xm:sqref>
        </x14:conditionalFormatting>
        <x14:conditionalFormatting xmlns:xm="http://schemas.microsoft.com/office/excel/2006/main">
          <x14:cfRule type="containsText" priority="64" operator="containsText" id="{8F544971-7BC3-4EC6-90F8-DC9031365992}">
            <xm:f>NOT(ISERROR(SEARCH("-",BE118)))</xm:f>
            <xm:f>"-"</xm:f>
            <x14:dxf>
              <font>
                <color theme="0" tint="-0.14996795556505021"/>
              </font>
              <fill>
                <patternFill>
                  <bgColor theme="0" tint="-0.14996795556505021"/>
                </patternFill>
              </fill>
            </x14:dxf>
          </x14:cfRule>
          <xm:sqref>BE118</xm:sqref>
        </x14:conditionalFormatting>
        <x14:conditionalFormatting xmlns:xm="http://schemas.microsoft.com/office/excel/2006/main">
          <x14:cfRule type="containsText" priority="63" operator="containsText" id="{D1AE14E8-E1B7-428C-9C82-CC0212976A77}">
            <xm:f>NOT(ISERROR(SEARCH("-",BE120)))</xm:f>
            <xm:f>"-"</xm:f>
            <x14:dxf>
              <font>
                <color theme="0" tint="-0.14996795556505021"/>
              </font>
              <fill>
                <patternFill>
                  <bgColor theme="0" tint="-0.14996795556505021"/>
                </patternFill>
              </fill>
            </x14:dxf>
          </x14:cfRule>
          <xm:sqref>BE120</xm:sqref>
        </x14:conditionalFormatting>
        <x14:conditionalFormatting xmlns:xm="http://schemas.microsoft.com/office/excel/2006/main">
          <x14:cfRule type="containsText" priority="43" operator="containsText" id="{039F44B9-193D-4104-9E2A-9DC44015A31E}">
            <xm:f>NOT(ISERROR(SEARCH("-",BF174)))</xm:f>
            <xm:f>"-"</xm:f>
            <x14:dxf>
              <font>
                <color theme="0" tint="-0.14996795556505021"/>
              </font>
              <fill>
                <patternFill>
                  <bgColor theme="0" tint="-0.14996795556505021"/>
                </patternFill>
              </fill>
            </x14:dxf>
          </x14:cfRule>
          <xm:sqref>BF174</xm:sqref>
        </x14:conditionalFormatting>
        <x14:conditionalFormatting xmlns:xm="http://schemas.microsoft.com/office/excel/2006/main">
          <x14:cfRule type="containsText" priority="42" operator="containsText" id="{2D9CA87F-703A-4552-BAAE-B0F5E0FFBFE6}">
            <xm:f>NOT(ISERROR(SEARCH("-",BF174)))</xm:f>
            <xm:f>"-"</xm:f>
            <x14:dxf>
              <font>
                <color theme="0" tint="-0.14996795556505021"/>
              </font>
              <fill>
                <patternFill>
                  <bgColor theme="0" tint="-0.14996795556505021"/>
                </patternFill>
              </fill>
            </x14:dxf>
          </x14:cfRule>
          <xm:sqref>BF174</xm:sqref>
        </x14:conditionalFormatting>
        <x14:conditionalFormatting xmlns:xm="http://schemas.microsoft.com/office/excel/2006/main">
          <x14:cfRule type="containsText" priority="37" operator="containsText" id="{4C1F1A1F-A6BE-4DF3-957C-00B620E2C9CF}">
            <xm:f>NOT(ISERROR(SEARCH("-",BG174)))</xm:f>
            <xm:f>"-"</xm:f>
            <x14:dxf>
              <font>
                <color theme="0" tint="-0.14996795556505021"/>
              </font>
              <fill>
                <patternFill>
                  <bgColor theme="0" tint="-0.14996795556505021"/>
                </patternFill>
              </fill>
            </x14:dxf>
          </x14:cfRule>
          <xm:sqref>BG174</xm:sqref>
        </x14:conditionalFormatting>
        <x14:conditionalFormatting xmlns:xm="http://schemas.microsoft.com/office/excel/2006/main">
          <x14:cfRule type="containsText" priority="35" operator="containsText" id="{27EBFC2C-3488-4413-B446-9322B01E0465}">
            <xm:f>NOT(ISERROR(SEARCH("-",BG134)))</xm:f>
            <xm:f>"-"</xm:f>
            <x14:dxf>
              <font>
                <color theme="0" tint="-0.14996795556505021"/>
              </font>
              <fill>
                <patternFill>
                  <bgColor theme="0" tint="-0.14996795556505021"/>
                </patternFill>
              </fill>
            </x14:dxf>
          </x14:cfRule>
          <xm:sqref>BG134 BG136 BG138</xm:sqref>
        </x14:conditionalFormatting>
        <x14:conditionalFormatting xmlns:xm="http://schemas.microsoft.com/office/excel/2006/main">
          <x14:cfRule type="containsText" priority="33" operator="containsText" id="{4FAB9E42-FB19-4851-AE3B-EE5D6D29A36E}">
            <xm:f>NOT(ISERROR(SEARCH("-",BG20)))</xm:f>
            <xm:f>"-"</xm:f>
            <x14:dxf>
              <font>
                <color theme="0" tint="-0.14996795556505021"/>
              </font>
              <fill>
                <patternFill>
                  <bgColor theme="0" tint="-0.14996795556505021"/>
                </patternFill>
              </fill>
            </x14:dxf>
          </x14:cfRule>
          <xm:sqref>BG20 BG22 BG24</xm:sqref>
        </x14:conditionalFormatting>
        <x14:conditionalFormatting xmlns:xm="http://schemas.microsoft.com/office/excel/2006/main">
          <x14:cfRule type="containsText" priority="31" operator="containsText" id="{6B103EB3-4B52-4C0F-924E-B8976EE583BF}">
            <xm:f>NOT(ISERROR(SEARCH("-",BG172)))</xm:f>
            <xm:f>"-"</xm:f>
            <x14:dxf>
              <font>
                <color theme="0" tint="-0.14996795556505021"/>
              </font>
              <fill>
                <patternFill>
                  <bgColor theme="0" tint="-0.14996795556505021"/>
                </patternFill>
              </fill>
            </x14:dxf>
          </x14:cfRule>
          <xm:sqref>BG172</xm:sqref>
        </x14:conditionalFormatting>
        <x14:conditionalFormatting xmlns:xm="http://schemas.microsoft.com/office/excel/2006/main">
          <x14:cfRule type="containsText" priority="28" operator="containsText" id="{C9376AE3-5F56-4505-ADE0-DBEA865198D3}">
            <xm:f>NOT(ISERROR(SEARCH("-",BE122)))</xm:f>
            <xm:f>"-"</xm:f>
            <x14:dxf>
              <font>
                <color theme="0" tint="-0.14996795556505021"/>
              </font>
              <fill>
                <patternFill>
                  <bgColor theme="0" tint="-0.14996795556505021"/>
                </patternFill>
              </fill>
            </x14:dxf>
          </x14:cfRule>
          <xm:sqref>BE122 BE124 BE126</xm:sqref>
        </x14:conditionalFormatting>
        <x14:conditionalFormatting xmlns:xm="http://schemas.microsoft.com/office/excel/2006/main">
          <x14:cfRule type="containsText" priority="29" operator="containsText" id="{D2C7B662-E762-4378-B341-69F2A81D086A}">
            <xm:f>NOT(ISERROR(SEARCH("-",BE122)))</xm:f>
            <xm:f>"-"</xm:f>
            <x14:dxf>
              <font>
                <color theme="0" tint="-0.14996795556505021"/>
              </font>
              <fill>
                <patternFill>
                  <bgColor theme="0" tint="-0.14996795556505021"/>
                </patternFill>
              </fill>
            </x14:dxf>
          </x14:cfRule>
          <xm:sqref>BE122 BE124 BE126</xm:sqref>
        </x14:conditionalFormatting>
        <x14:conditionalFormatting xmlns:xm="http://schemas.microsoft.com/office/excel/2006/main">
          <x14:cfRule type="containsText" priority="27" operator="containsText" id="{E3A64FD6-8D2F-4B7E-9784-F4CFE79BB97C}">
            <xm:f>NOT(ISERROR(SEARCH("-",BE122)))</xm:f>
            <xm:f>"-"</xm:f>
            <x14:dxf>
              <font>
                <color theme="0" tint="-0.14996795556505021"/>
              </font>
              <fill>
                <patternFill>
                  <bgColor theme="0" tint="-0.14996795556505021"/>
                </patternFill>
              </fill>
            </x14:dxf>
          </x14:cfRule>
          <xm:sqref>BE122 BE124 BE126</xm:sqref>
        </x14:conditionalFormatting>
        <x14:conditionalFormatting xmlns:xm="http://schemas.microsoft.com/office/excel/2006/main">
          <x14:cfRule type="containsText" priority="25" operator="containsText" id="{5BFD821C-A362-4568-A48E-4F9BD90D1398}">
            <xm:f>NOT(ISERROR(SEARCH("-",BF12)))</xm:f>
            <xm:f>"-"</xm:f>
            <x14:dxf>
              <font>
                <color theme="0" tint="-0.14996795556505021"/>
              </font>
              <fill>
                <patternFill>
                  <bgColor theme="0" tint="-0.14996795556505021"/>
                </patternFill>
              </fill>
            </x14:dxf>
          </x14:cfRule>
          <xm:sqref>BF12 BF14 BF16 BF18</xm:sqref>
        </x14:conditionalFormatting>
        <x14:conditionalFormatting xmlns:xm="http://schemas.microsoft.com/office/excel/2006/main">
          <x14:cfRule type="containsText" priority="23" operator="containsText" id="{44B205C5-4783-4F2D-B755-E4EA87BA57FF}">
            <xm:f>NOT(ISERROR(SEARCH("-",BF124)))</xm:f>
            <xm:f>"-"</xm:f>
            <x14:dxf>
              <font>
                <color theme="0" tint="-0.14996795556505021"/>
              </font>
              <fill>
                <patternFill>
                  <bgColor theme="0" tint="-0.14996795556505021"/>
                </patternFill>
              </fill>
            </x14:dxf>
          </x14:cfRule>
          <xm:sqref>BF124 BF126</xm:sqref>
        </x14:conditionalFormatting>
        <x14:conditionalFormatting xmlns:xm="http://schemas.microsoft.com/office/excel/2006/main">
          <x14:cfRule type="containsText" priority="22" operator="containsText" id="{10F9E6CC-AC95-4A2D-89ED-3874524893C1}">
            <xm:f>NOT(ISERROR(SEARCH("-",BF124)))</xm:f>
            <xm:f>"-"</xm:f>
            <x14:dxf>
              <font>
                <color theme="0" tint="-0.14996795556505021"/>
              </font>
              <fill>
                <patternFill>
                  <bgColor theme="0" tint="-0.14996795556505021"/>
                </patternFill>
              </fill>
            </x14:dxf>
          </x14:cfRule>
          <xm:sqref>BF124 BF126</xm:sqref>
        </x14:conditionalFormatting>
        <x14:conditionalFormatting xmlns:xm="http://schemas.microsoft.com/office/excel/2006/main">
          <x14:cfRule type="containsText" priority="20" operator="containsText" id="{2BF048B8-180B-403C-AEC4-B008B210B716}">
            <xm:f>NOT(ISERROR(SEARCH("-",BG124)))</xm:f>
            <xm:f>"-"</xm:f>
            <x14:dxf>
              <font>
                <color theme="0" tint="-0.14996795556505021"/>
              </font>
              <fill>
                <patternFill>
                  <bgColor theme="0" tint="-0.14996795556505021"/>
                </patternFill>
              </fill>
            </x14:dxf>
          </x14:cfRule>
          <xm:sqref>BG124 BG126 BG128 BG130</xm:sqref>
        </x14:conditionalFormatting>
        <x14:conditionalFormatting xmlns:xm="http://schemas.microsoft.com/office/excel/2006/main">
          <x14:cfRule type="containsText" priority="2" operator="containsText" id="{CB28BDA6-ED20-4E7E-B8E0-FC42795089FD}">
            <xm:f>NOT(ISERROR(SEARCH("-",BF36)))</xm:f>
            <xm:f>"-"</xm:f>
            <x14:dxf>
              <font>
                <color theme="0" tint="-0.14996795556505021"/>
              </font>
              <fill>
                <patternFill>
                  <bgColor theme="0" tint="-0.14996795556505021"/>
                </patternFill>
              </fill>
            </x14:dxf>
          </x14:cfRule>
          <xm:sqref>BF36 BF38</xm:sqref>
        </x14:conditionalFormatting>
        <x14:conditionalFormatting xmlns:xm="http://schemas.microsoft.com/office/excel/2006/main">
          <x14:cfRule type="containsText" priority="1" operator="containsText" id="{D6CBE744-412B-4FF3-BD9B-148C67D7D7F6}">
            <xm:f>NOT(ISERROR(SEARCH("-",BF116)))</xm:f>
            <xm:f>"-"</xm:f>
            <x14:dxf>
              <font>
                <color theme="0" tint="-0.14996795556505021"/>
              </font>
              <fill>
                <patternFill>
                  <bgColor theme="0" tint="-0.14996795556505021"/>
                </patternFill>
              </fill>
            </x14:dxf>
          </x14:cfRule>
          <xm:sqref>BF116</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7">
    <tabColor theme="6" tint="-0.499984740745262"/>
    <pageSetUpPr fitToPage="1"/>
  </sheetPr>
  <dimension ref="A1:CR4373"/>
  <sheetViews>
    <sheetView view="pageBreakPreview" zoomScale="80" zoomScaleNormal="90" zoomScaleSheetLayoutView="80" workbookViewId="0">
      <pane xSplit="2" ySplit="2" topLeftCell="C3" activePane="bottomRight" state="frozen"/>
      <selection activeCell="G124" sqref="G124"/>
      <selection pane="topRight" activeCell="G124" sqref="G124"/>
      <selection pane="bottomLeft" activeCell="G124" sqref="G124"/>
      <selection pane="bottomRight" activeCell="G124" sqref="G124"/>
    </sheetView>
  </sheetViews>
  <sheetFormatPr baseColWidth="10" defaultColWidth="11.453125" defaultRowHeight="15.75" customHeight="1"/>
  <cols>
    <col min="1" max="1" width="20.6328125" style="628" customWidth="1"/>
    <col min="2" max="2" width="12.6328125" style="169" customWidth="1"/>
    <col min="3" max="3" width="12.6328125" style="617" customWidth="1"/>
    <col min="4" max="4" width="12.6328125" style="617" hidden="1" customWidth="1"/>
    <col min="5" max="5" width="12.6328125" style="169" hidden="1" customWidth="1"/>
    <col min="6" max="6" width="12.6328125" style="629" customWidth="1"/>
    <col min="7" max="7" width="12.6328125" style="458" customWidth="1"/>
    <col min="8" max="8" width="18.6328125" style="169" customWidth="1"/>
    <col min="9" max="9" width="12.6328125" style="169" customWidth="1"/>
    <col min="10" max="10" width="12.6328125" style="617" customWidth="1"/>
    <col min="11" max="11" width="12.6328125" style="169" customWidth="1"/>
    <col min="12" max="13" width="14.6328125" style="169" customWidth="1"/>
    <col min="14" max="16" width="8.6328125" style="169" hidden="1" customWidth="1"/>
    <col min="17" max="19" width="12.6328125" style="169" hidden="1" customWidth="1"/>
    <col min="20" max="28" width="8.6328125" style="169" hidden="1" customWidth="1"/>
    <col min="29" max="31" width="10.6328125" style="169" hidden="1" customWidth="1"/>
    <col min="32" max="32" width="13.54296875" style="169" hidden="1" customWidth="1"/>
    <col min="33" max="33" width="12.6328125" style="617" hidden="1" customWidth="1"/>
    <col min="34" max="36" width="12.6328125" style="169" hidden="1" customWidth="1"/>
    <col min="37" max="38" width="12.6328125" style="169" customWidth="1"/>
    <col min="39" max="39" width="12.6328125" style="169" hidden="1" customWidth="1"/>
    <col min="40" max="48" width="8.6328125" style="169" hidden="1" customWidth="1"/>
    <col min="49" max="50" width="12.6328125" style="169" customWidth="1"/>
    <col min="51" max="52" width="12.6328125" style="458" customWidth="1"/>
    <col min="53" max="53" width="12.6328125" style="169" customWidth="1"/>
    <col min="54" max="54" width="21.6328125" style="628" customWidth="1"/>
    <col min="55" max="55" width="18" style="169" customWidth="1"/>
    <col min="56" max="59" width="14.54296875" style="1324" customWidth="1"/>
    <col min="60" max="60" width="11.453125" style="169" customWidth="1"/>
    <col min="61" max="16384" width="11.453125" style="169"/>
  </cols>
  <sheetData>
    <row r="1" spans="1:59" ht="35.25" customHeight="1">
      <c r="A1" s="1617" t="s">
        <v>2432</v>
      </c>
      <c r="B1" s="1617"/>
      <c r="C1" s="1617"/>
      <c r="D1" s="1617"/>
      <c r="E1" s="1617"/>
      <c r="F1" s="1617"/>
      <c r="G1" s="1617"/>
      <c r="H1" s="1617"/>
      <c r="I1" s="1617"/>
      <c r="J1" s="1617"/>
      <c r="K1" s="1617"/>
      <c r="L1" s="1617"/>
      <c r="M1" s="1617"/>
      <c r="N1" s="1617"/>
      <c r="O1" s="1617"/>
      <c r="P1" s="1617"/>
      <c r="Q1" s="1617"/>
      <c r="R1" s="1617"/>
      <c r="S1" s="1617"/>
      <c r="T1" s="1617"/>
      <c r="U1" s="1617"/>
      <c r="V1" s="1617"/>
      <c r="W1" s="1617"/>
      <c r="X1" s="1617"/>
      <c r="Y1" s="1617"/>
      <c r="Z1" s="1617"/>
      <c r="AA1" s="1617"/>
      <c r="AB1" s="1617"/>
      <c r="AC1" s="1617"/>
      <c r="AD1" s="1617"/>
      <c r="AE1" s="1617"/>
      <c r="AF1" s="1617"/>
      <c r="AG1" s="1617"/>
      <c r="AH1" s="1617"/>
      <c r="AI1" s="1617"/>
      <c r="AJ1" s="1617"/>
      <c r="AK1" s="1617"/>
      <c r="AL1" s="1617"/>
      <c r="AM1" s="1617"/>
      <c r="AN1" s="1617"/>
      <c r="AO1" s="1617"/>
      <c r="AP1" s="1617"/>
      <c r="AQ1" s="1617"/>
      <c r="AR1" s="1617"/>
      <c r="AS1" s="1617"/>
      <c r="AT1" s="1617"/>
      <c r="AU1" s="1617"/>
      <c r="AV1" s="1617"/>
      <c r="AW1" s="1617"/>
      <c r="AX1" s="1617"/>
      <c r="AY1" s="1617"/>
      <c r="AZ1" s="1617"/>
      <c r="BA1" s="1617"/>
      <c r="BB1" s="1617"/>
      <c r="BC1" s="693" t="s">
        <v>4947</v>
      </c>
      <c r="BD1" s="1616" t="s">
        <v>4916</v>
      </c>
      <c r="BE1" s="1616"/>
      <c r="BF1" s="1616"/>
      <c r="BG1" s="1616"/>
    </row>
    <row r="2" spans="1:59" s="693" customFormat="1" ht="42" customHeight="1">
      <c r="A2" s="1262" t="s">
        <v>4417</v>
      </c>
      <c r="B2" s="1262" t="s">
        <v>4418</v>
      </c>
      <c r="C2" s="969" t="s">
        <v>2315</v>
      </c>
      <c r="D2" s="969" t="s">
        <v>4419</v>
      </c>
      <c r="E2" s="970" t="s">
        <v>4855</v>
      </c>
      <c r="F2" s="971" t="s">
        <v>4856</v>
      </c>
      <c r="G2" s="972" t="s">
        <v>4857</v>
      </c>
      <c r="H2" s="970" t="s">
        <v>455</v>
      </c>
      <c r="I2" s="1262" t="s">
        <v>454</v>
      </c>
      <c r="J2" s="1262" t="s">
        <v>4423</v>
      </c>
      <c r="K2" s="1262" t="s">
        <v>1362</v>
      </c>
      <c r="L2" s="1262" t="s">
        <v>456</v>
      </c>
      <c r="M2" s="1262" t="s">
        <v>453</v>
      </c>
      <c r="N2" s="1620" t="s">
        <v>457</v>
      </c>
      <c r="O2" s="1620"/>
      <c r="P2" s="1620"/>
      <c r="Q2" s="1262" t="s">
        <v>4858</v>
      </c>
      <c r="R2" s="1262" t="s">
        <v>4859</v>
      </c>
      <c r="S2" s="1262" t="s">
        <v>4860</v>
      </c>
      <c r="T2" s="1620" t="s">
        <v>4861</v>
      </c>
      <c r="U2" s="1620"/>
      <c r="V2" s="1620"/>
      <c r="W2" s="1620" t="s">
        <v>4862</v>
      </c>
      <c r="X2" s="1620"/>
      <c r="Y2" s="1620"/>
      <c r="Z2" s="1620" t="s">
        <v>4863</v>
      </c>
      <c r="AA2" s="1620"/>
      <c r="AB2" s="1620"/>
      <c r="AC2" s="1620" t="s">
        <v>628</v>
      </c>
      <c r="AD2" s="1620"/>
      <c r="AE2" s="1620"/>
      <c r="AF2" s="1262" t="s">
        <v>4872</v>
      </c>
      <c r="AG2" s="969" t="s">
        <v>4864</v>
      </c>
      <c r="AH2" s="1262" t="s">
        <v>4865</v>
      </c>
      <c r="AI2" s="1262" t="s">
        <v>4866</v>
      </c>
      <c r="AJ2" s="973" t="s">
        <v>629</v>
      </c>
      <c r="AK2" s="1262" t="s">
        <v>458</v>
      </c>
      <c r="AL2" s="1262" t="s">
        <v>459</v>
      </c>
      <c r="AM2" s="1262" t="s">
        <v>631</v>
      </c>
      <c r="AN2" s="1620" t="s">
        <v>4867</v>
      </c>
      <c r="AO2" s="1620"/>
      <c r="AP2" s="1620"/>
      <c r="AQ2" s="1620" t="s">
        <v>460</v>
      </c>
      <c r="AR2" s="1620"/>
      <c r="AS2" s="1620"/>
      <c r="AT2" s="1620" t="s">
        <v>630</v>
      </c>
      <c r="AU2" s="1620"/>
      <c r="AV2" s="1620"/>
      <c r="AW2" s="1262" t="s">
        <v>4868</v>
      </c>
      <c r="AX2" s="1262" t="s">
        <v>4904</v>
      </c>
      <c r="AY2" s="972" t="s">
        <v>4869</v>
      </c>
      <c r="AZ2" s="972" t="s">
        <v>4870</v>
      </c>
      <c r="BA2" s="1262" t="s">
        <v>1670</v>
      </c>
      <c r="BB2" s="1262" t="s">
        <v>4871</v>
      </c>
      <c r="BC2" s="693" t="s">
        <v>4948</v>
      </c>
      <c r="BD2" s="1321" t="s">
        <v>453</v>
      </c>
      <c r="BE2" s="1321" t="s">
        <v>4922</v>
      </c>
      <c r="BF2" s="1321" t="s">
        <v>4915</v>
      </c>
      <c r="BG2" s="1321" t="s">
        <v>457</v>
      </c>
    </row>
    <row r="3" spans="1:59" ht="15.75" customHeight="1">
      <c r="A3" s="974"/>
      <c r="B3" s="638"/>
      <c r="C3" s="446"/>
      <c r="D3" s="446"/>
      <c r="E3" s="638"/>
      <c r="F3" s="185"/>
      <c r="G3" s="484"/>
      <c r="H3" s="638"/>
      <c r="I3" s="638"/>
      <c r="J3" s="446"/>
      <c r="K3" s="638"/>
      <c r="L3" s="638"/>
      <c r="M3" s="638"/>
      <c r="N3" s="964" t="s">
        <v>123</v>
      </c>
      <c r="O3" s="964" t="s">
        <v>124</v>
      </c>
      <c r="P3" s="964" t="s">
        <v>125</v>
      </c>
      <c r="Q3" s="638"/>
      <c r="R3" s="638"/>
      <c r="S3" s="638"/>
      <c r="T3" s="964" t="s">
        <v>126</v>
      </c>
      <c r="U3" s="964" t="s">
        <v>127</v>
      </c>
      <c r="V3" s="964" t="s">
        <v>128</v>
      </c>
      <c r="W3" s="964" t="s">
        <v>129</v>
      </c>
      <c r="X3" s="964" t="s">
        <v>130</v>
      </c>
      <c r="Y3" s="964" t="s">
        <v>131</v>
      </c>
      <c r="Z3" s="964" t="s">
        <v>132</v>
      </c>
      <c r="AA3" s="964" t="s">
        <v>133</v>
      </c>
      <c r="AB3" s="964" t="s">
        <v>134</v>
      </c>
      <c r="AC3" s="964" t="s">
        <v>135</v>
      </c>
      <c r="AD3" s="964" t="s">
        <v>136</v>
      </c>
      <c r="AE3" s="964" t="s">
        <v>137</v>
      </c>
      <c r="AF3" s="638"/>
      <c r="AG3" s="446"/>
      <c r="AH3" s="638"/>
      <c r="AI3" s="638"/>
      <c r="AJ3" s="638"/>
      <c r="AK3" s="638"/>
      <c r="AL3" s="638"/>
      <c r="AM3" s="638"/>
      <c r="AN3" s="1338" t="s">
        <v>129</v>
      </c>
      <c r="AO3" s="964" t="s">
        <v>130</v>
      </c>
      <c r="AP3" s="964" t="s">
        <v>131</v>
      </c>
      <c r="AQ3" s="964" t="s">
        <v>613</v>
      </c>
      <c r="AR3" s="964" t="s">
        <v>614</v>
      </c>
      <c r="AS3" s="964" t="s">
        <v>615</v>
      </c>
      <c r="AT3" s="964" t="s">
        <v>616</v>
      </c>
      <c r="AU3" s="964" t="s">
        <v>617</v>
      </c>
      <c r="AV3" s="964" t="s">
        <v>618</v>
      </c>
      <c r="AW3" s="638"/>
      <c r="AX3" s="638"/>
      <c r="AY3" s="484"/>
      <c r="AZ3" s="484"/>
      <c r="BA3" s="638"/>
      <c r="BB3" s="974"/>
      <c r="BD3" s="1329"/>
      <c r="BE3" s="1329"/>
      <c r="BF3" s="1329"/>
      <c r="BG3" s="974"/>
    </row>
    <row r="4" spans="1:59" s="178" customFormat="1" ht="15.75" customHeight="1">
      <c r="A4" s="501" t="str">
        <f>'HR Track 4 TSA'!A46</f>
        <v>TSA-BF06</v>
      </c>
      <c r="B4" s="716" t="str">
        <f>'HR Track 4 TSA'!B46</f>
        <v>93-4.11</v>
      </c>
      <c r="C4" s="451">
        <f>'HR Track 4 TSA'!C46</f>
        <v>93451.35000000002</v>
      </c>
      <c r="D4" s="453">
        <f>'HR Track 4 TSA'!D46</f>
        <v>0</v>
      </c>
      <c r="E4" s="452">
        <f>'HR Track 4 TSA'!E46</f>
        <v>0</v>
      </c>
      <c r="F4" s="453">
        <f>'HR Track 4 TSA'!F46</f>
        <v>1123</v>
      </c>
      <c r="G4" s="500">
        <f>'HR Track 4 TSA'!G46</f>
        <v>0</v>
      </c>
      <c r="H4" s="453">
        <f>'HR Track 4 TSA'!H46</f>
        <v>0</v>
      </c>
      <c r="I4" s="501">
        <f>'HR Track 4 TSA'!I46</f>
        <v>0</v>
      </c>
      <c r="J4" s="583">
        <f>'HR Track 4 TSA'!J46</f>
        <v>0</v>
      </c>
      <c r="K4" s="452">
        <f>'HR Track 4 TSA'!K46</f>
        <v>0</v>
      </c>
      <c r="L4" s="452">
        <f>'HR Track 4 TSA'!L46</f>
        <v>0</v>
      </c>
      <c r="M4" s="452">
        <f>'HR Track 4 TSA'!M46</f>
        <v>0</v>
      </c>
      <c r="N4" s="501" t="str">
        <f>'HR Track 4 TSA'!N46</f>
        <v>EMT-1RH</v>
      </c>
      <c r="O4" s="501">
        <f>'HR Track 4 TSA'!O46</f>
        <v>0</v>
      </c>
      <c r="P4" s="501">
        <f>'HR Track 4 TSA'!P46</f>
        <v>0</v>
      </c>
      <c r="Q4" s="452">
        <f>'HR Track 4 TSA'!Q46</f>
        <v>40</v>
      </c>
      <c r="R4" s="452">
        <f>'HR Track 4 TSA'!R46</f>
        <v>1123.27</v>
      </c>
      <c r="S4" s="500">
        <f>'HR Track 4 TSA'!S46</f>
        <v>0</v>
      </c>
      <c r="T4" s="452">
        <f>'HR Track 4 TSA'!T46</f>
        <v>-30</v>
      </c>
      <c r="U4" s="452">
        <f>'HR Track 4 TSA'!U46</f>
        <v>0</v>
      </c>
      <c r="V4" s="452">
        <f>'HR Track 4 TSA'!V46</f>
        <v>0</v>
      </c>
      <c r="W4" s="452">
        <f>'HR Track 4 TSA'!W46</f>
        <v>0.6</v>
      </c>
      <c r="X4" s="452">
        <f>'HR Track 4 TSA'!X46</f>
        <v>0</v>
      </c>
      <c r="Y4" s="452">
        <f>'HR Track 4 TSA'!Y46</f>
        <v>0</v>
      </c>
      <c r="Z4" s="452">
        <f>'HR Track 4 TSA'!Z46</f>
        <v>0</v>
      </c>
      <c r="AA4" s="452">
        <f>'HR Track 4 TSA'!AA46</f>
        <v>0</v>
      </c>
      <c r="AB4" s="452">
        <f>'HR Track 4 TSA'!AB46</f>
        <v>0</v>
      </c>
      <c r="AC4" s="452" t="str">
        <f>'HR Track 4 TSA'!AC46</f>
        <v>PHQ-950</v>
      </c>
      <c r="AD4" s="452">
        <f>'HR Track 4 TSA'!AD46</f>
        <v>0</v>
      </c>
      <c r="AE4" s="452">
        <f>'HR Track 4 TSA'!AE46</f>
        <v>0</v>
      </c>
      <c r="AF4" s="452">
        <f>'HR Track 4 TSA'!AF46</f>
        <v>100</v>
      </c>
      <c r="AG4" s="451">
        <f>'HR Track 4 TSA'!AG46</f>
        <v>93451</v>
      </c>
      <c r="AH4" s="452">
        <f>'HR Track 4 TSA'!AH46</f>
        <v>1793</v>
      </c>
      <c r="AI4" s="452">
        <f>'HR Track 4 TSA'!AI46</f>
        <v>-5550</v>
      </c>
      <c r="AJ4" s="452" t="str">
        <f>'HR Track 4 TSA'!AJ46</f>
        <v>FS-1</v>
      </c>
      <c r="AK4" s="452" t="str">
        <f>'HR Track 4 TSA'!AK46</f>
        <v>S1</v>
      </c>
      <c r="AL4" s="452">
        <f>'HR Track 4 TSA'!AL46</f>
        <v>0</v>
      </c>
      <c r="AM4" s="452">
        <f>'HR Track 4 TSA'!AM46</f>
        <v>0</v>
      </c>
      <c r="AN4" s="500">
        <f>'HR Track 4 TSA'!AN46</f>
        <v>5.15</v>
      </c>
      <c r="AO4" s="452">
        <f>'HR Track 4 TSA'!AO46</f>
        <v>0</v>
      </c>
      <c r="AP4" s="452">
        <f>'HR Track 4 TSA'!AP46</f>
        <v>0</v>
      </c>
      <c r="AQ4" s="452">
        <f>'HR Track 4 TSA'!AQ46</f>
        <v>0</v>
      </c>
      <c r="AR4" s="452">
        <f>'HR Track 4 TSA'!AR46</f>
        <v>0</v>
      </c>
      <c r="AS4" s="452">
        <f>'HR Track 4 TSA'!AS46</f>
        <v>0</v>
      </c>
      <c r="AT4" s="452">
        <f>'HR Track 4 TSA'!AT46</f>
        <v>-6.0461085279425255</v>
      </c>
      <c r="AU4" s="452">
        <f>'HR Track 4 TSA'!AU46</f>
        <v>0</v>
      </c>
      <c r="AV4" s="452">
        <f>'HR Track 4 TSA'!AV46</f>
        <v>0</v>
      </c>
      <c r="AW4" s="452">
        <f>'HR Track 4 TSA'!AW46</f>
        <v>0</v>
      </c>
      <c r="AX4" s="452">
        <f>'HR Track 4 TSA'!AX46</f>
        <v>0</v>
      </c>
      <c r="AY4" s="500">
        <f>'HR Track 4 TSA'!AY46</f>
        <v>0</v>
      </c>
      <c r="AZ4" s="500">
        <f>'HR Track 4 TSA'!AZ46</f>
        <v>0</v>
      </c>
      <c r="BA4" s="1333">
        <f>'HR Track 4 TSA'!BA46</f>
        <v>0</v>
      </c>
      <c r="BB4" s="452">
        <f>'HR Track 4 TSA'!BB46</f>
        <v>0</v>
      </c>
      <c r="BC4" s="1334">
        <f>'HR Track 4 TSA'!BC46</f>
        <v>0</v>
      </c>
      <c r="BD4" s="1335">
        <f>'HR Track 4 TSA'!BD46</f>
        <v>0</v>
      </c>
      <c r="BE4" s="1335">
        <f>'HR Track 4 TSA'!BE46</f>
        <v>0</v>
      </c>
      <c r="BF4" s="1335">
        <f>'HR Track 4 TSA'!BF46</f>
        <v>0</v>
      </c>
      <c r="BG4" s="1335">
        <f>'HR Track 4 TSA'!BG46</f>
        <v>43893</v>
      </c>
    </row>
    <row r="5" spans="1:59" ht="12.5">
      <c r="A5" s="488"/>
      <c r="B5" s="494"/>
      <c r="C5" s="489"/>
      <c r="D5" s="489"/>
      <c r="E5" s="490"/>
      <c r="F5" s="491"/>
      <c r="G5" s="493">
        <v>40.700000000000003</v>
      </c>
      <c r="H5" s="495"/>
      <c r="I5" s="492"/>
      <c r="J5" s="489"/>
      <c r="K5" s="490"/>
      <c r="L5" s="490"/>
      <c r="M5" s="490"/>
      <c r="N5" s="495"/>
      <c r="O5" s="495"/>
      <c r="P5" s="495"/>
      <c r="Q5" s="490"/>
      <c r="R5" s="490"/>
      <c r="S5" s="790">
        <f>+AG6-AG4</f>
        <v>42.570000000006985</v>
      </c>
      <c r="T5" s="490"/>
      <c r="U5" s="490"/>
      <c r="V5" s="490"/>
      <c r="W5" s="490"/>
      <c r="X5" s="490"/>
      <c r="Y5" s="490"/>
      <c r="Z5" s="490"/>
      <c r="AA5" s="490"/>
      <c r="AB5" s="490"/>
      <c r="AC5" s="490"/>
      <c r="AD5" s="490"/>
      <c r="AE5" s="490"/>
      <c r="AF5" s="490"/>
      <c r="AG5" s="489"/>
      <c r="AH5" s="490"/>
      <c r="AI5" s="490"/>
      <c r="AJ5" s="490"/>
      <c r="AK5" s="490"/>
      <c r="AL5" s="490"/>
      <c r="AM5" s="490"/>
      <c r="AN5" s="493"/>
      <c r="AO5" s="493"/>
      <c r="AP5" s="493"/>
      <c r="AQ5" s="493">
        <f>+FL_2($T$6,$T$4,$G$5,1200,9.28,-1*$F$6)</f>
        <v>-0.3</v>
      </c>
      <c r="AR5" s="493"/>
      <c r="AS5" s="493"/>
      <c r="AT5" s="493"/>
      <c r="AU5" s="493"/>
      <c r="AV5" s="493"/>
      <c r="AW5" s="490"/>
      <c r="AX5" s="490"/>
      <c r="AY5" s="493"/>
      <c r="AZ5" s="493"/>
      <c r="BA5" s="602"/>
      <c r="BB5" s="488"/>
      <c r="BD5" s="1330"/>
      <c r="BE5" s="1330"/>
      <c r="BF5" s="1330"/>
      <c r="BG5" s="1330"/>
    </row>
    <row r="6" spans="1:59" ht="12.5">
      <c r="A6" s="488" t="s">
        <v>1851</v>
      </c>
      <c r="B6" s="434" t="s">
        <v>1951</v>
      </c>
      <c r="C6" s="489">
        <f>+$C$4+$G$5</f>
        <v>93492.050000000017</v>
      </c>
      <c r="D6" s="489"/>
      <c r="E6" s="490"/>
      <c r="F6" s="491">
        <v>617</v>
      </c>
      <c r="G6" s="493"/>
      <c r="H6" s="495"/>
      <c r="I6" s="492"/>
      <c r="J6" s="489"/>
      <c r="K6" s="490"/>
      <c r="L6" s="490" t="s">
        <v>234</v>
      </c>
      <c r="M6" s="490"/>
      <c r="N6" s="495" t="s">
        <v>2796</v>
      </c>
      <c r="O6" s="495"/>
      <c r="P6" s="495"/>
      <c r="Q6" s="490">
        <v>50</v>
      </c>
      <c r="R6" s="761">
        <v>610</v>
      </c>
      <c r="S6" s="790"/>
      <c r="T6" s="490">
        <v>-30</v>
      </c>
      <c r="U6" s="490"/>
      <c r="V6" s="490"/>
      <c r="W6" s="490">
        <v>0.4</v>
      </c>
      <c r="X6" s="490"/>
      <c r="Y6" s="490"/>
      <c r="Z6" s="490"/>
      <c r="AA6" s="490"/>
      <c r="AB6" s="490"/>
      <c r="AC6" s="490" t="s">
        <v>1418</v>
      </c>
      <c r="AD6" s="490"/>
      <c r="AE6" s="490"/>
      <c r="AF6" s="490">
        <v>100</v>
      </c>
      <c r="AG6" s="489">
        <v>93493.57</v>
      </c>
      <c r="AH6" s="490">
        <v>1673</v>
      </c>
      <c r="AI6" s="490">
        <v>-4890</v>
      </c>
      <c r="AJ6" s="490"/>
      <c r="AK6" s="490"/>
      <c r="AL6" s="490"/>
      <c r="AM6" s="490"/>
      <c r="AN6" s="493">
        <v>5.15</v>
      </c>
      <c r="AO6" s="493"/>
      <c r="AP6" s="493"/>
      <c r="AQ6" s="493"/>
      <c r="AR6" s="493"/>
      <c r="AS6" s="493"/>
      <c r="AT6" s="493">
        <f>+ab($T$6,$T$4,$T$8,$G$5,$G$7,-1*$F$6,1200)</f>
        <v>-2.8888261313749783</v>
      </c>
      <c r="AU6" s="493"/>
      <c r="AV6" s="493"/>
      <c r="AW6" s="490" t="s">
        <v>4177</v>
      </c>
      <c r="AX6" s="490"/>
      <c r="AY6" s="493"/>
      <c r="AZ6" s="493"/>
      <c r="BA6" s="602" t="s">
        <v>2809</v>
      </c>
      <c r="BB6" s="488"/>
      <c r="BD6" s="1330"/>
      <c r="BE6" s="1329" t="s">
        <v>4946</v>
      </c>
      <c r="BF6" s="1330"/>
      <c r="BG6" s="1329">
        <v>43808</v>
      </c>
    </row>
    <row r="7" spans="1:59" ht="12.5">
      <c r="A7" s="488"/>
      <c r="B7" s="494"/>
      <c r="C7" s="489"/>
      <c r="D7" s="489"/>
      <c r="E7" s="490"/>
      <c r="F7" s="491"/>
      <c r="G7" s="493">
        <v>41.2</v>
      </c>
      <c r="H7" s="495"/>
      <c r="I7" s="492"/>
      <c r="J7" s="489"/>
      <c r="K7" s="490"/>
      <c r="L7" s="490"/>
      <c r="M7" s="490"/>
      <c r="N7" s="495"/>
      <c r="O7" s="495"/>
      <c r="P7" s="495"/>
      <c r="Q7" s="490"/>
      <c r="R7" s="490"/>
      <c r="S7" s="790">
        <f>+AG8-AG6</f>
        <v>39.599999999991269</v>
      </c>
      <c r="T7" s="490"/>
      <c r="U7" s="490"/>
      <c r="V7" s="490"/>
      <c r="W7" s="490"/>
      <c r="X7" s="490"/>
      <c r="Y7" s="490"/>
      <c r="Z7" s="490"/>
      <c r="AA7" s="490"/>
      <c r="AB7" s="490"/>
      <c r="AC7" s="490"/>
      <c r="AD7" s="490"/>
      <c r="AE7" s="490"/>
      <c r="AF7" s="490"/>
      <c r="AG7" s="489"/>
      <c r="AH7" s="490"/>
      <c r="AI7" s="490"/>
      <c r="AJ7" s="490"/>
      <c r="AK7" s="490"/>
      <c r="AL7" s="490"/>
      <c r="AM7" s="490"/>
      <c r="AN7" s="493"/>
      <c r="AO7" s="493"/>
      <c r="AP7" s="493"/>
      <c r="AQ7" s="493">
        <f>+FL_2($T$8,$T$6,$G$7,1200,9.28,-1*$F$8)</f>
        <v>-0.3</v>
      </c>
      <c r="AR7" s="493"/>
      <c r="AS7" s="493"/>
      <c r="AT7" s="493"/>
      <c r="AU7" s="493"/>
      <c r="AV7" s="493"/>
      <c r="AW7" s="490"/>
      <c r="AX7" s="490"/>
      <c r="AY7" s="493"/>
      <c r="AZ7" s="493"/>
      <c r="BA7" s="602"/>
      <c r="BB7" s="488"/>
      <c r="BD7" s="1330"/>
      <c r="BE7" s="1330"/>
      <c r="BF7" s="1330"/>
      <c r="BG7" s="1330"/>
    </row>
    <row r="8" spans="1:59" ht="12.5">
      <c r="A8" s="449"/>
      <c r="B8" s="435" t="s">
        <v>1952</v>
      </c>
      <c r="C8" s="446">
        <f>+$C$6+$G$7</f>
        <v>93533.250000000015</v>
      </c>
      <c r="D8" s="446"/>
      <c r="E8" s="638"/>
      <c r="F8" s="447">
        <v>617</v>
      </c>
      <c r="G8" s="484"/>
      <c r="H8" s="1239"/>
      <c r="I8" s="448"/>
      <c r="J8" s="446"/>
      <c r="K8" s="638"/>
      <c r="L8" s="638"/>
      <c r="M8" s="638"/>
      <c r="N8" s="1239" t="s">
        <v>843</v>
      </c>
      <c r="O8" s="1239"/>
      <c r="P8" s="1239"/>
      <c r="Q8" s="638">
        <v>60</v>
      </c>
      <c r="R8" s="168">
        <v>626.25</v>
      </c>
      <c r="S8" s="1343"/>
      <c r="T8" s="638">
        <v>-30</v>
      </c>
      <c r="U8" s="638"/>
      <c r="V8" s="638"/>
      <c r="W8" s="638">
        <v>0.6</v>
      </c>
      <c r="X8" s="638"/>
      <c r="Y8" s="638"/>
      <c r="Z8" s="638"/>
      <c r="AA8" s="638"/>
      <c r="AB8" s="638"/>
      <c r="AC8" s="638" t="s">
        <v>3050</v>
      </c>
      <c r="AD8" s="638"/>
      <c r="AE8" s="638"/>
      <c r="AF8" s="638">
        <v>600</v>
      </c>
      <c r="AG8" s="446">
        <v>93533.17</v>
      </c>
      <c r="AH8" s="638">
        <v>1913</v>
      </c>
      <c r="AI8" s="638">
        <v>-5160</v>
      </c>
      <c r="AJ8" s="638"/>
      <c r="AK8" s="638" t="s">
        <v>139</v>
      </c>
      <c r="AL8" s="638"/>
      <c r="AM8" s="638"/>
      <c r="AN8" s="484">
        <v>5.15</v>
      </c>
      <c r="AO8" s="484"/>
      <c r="AP8" s="484"/>
      <c r="AQ8" s="484"/>
      <c r="AR8" s="484"/>
      <c r="AS8" s="484"/>
      <c r="AT8" s="484">
        <f>+ab($T$8,$T$6,$T$10,$G$7,$G$9,-1*$F$8,1200)</f>
        <v>-3.317403663746739</v>
      </c>
      <c r="AU8" s="484"/>
      <c r="AV8" s="484"/>
      <c r="AW8" s="574"/>
      <c r="AX8" s="574"/>
      <c r="AY8" s="576"/>
      <c r="AZ8" s="576"/>
      <c r="BA8" s="671"/>
      <c r="BB8" s="449"/>
      <c r="BD8" s="1330"/>
      <c r="BE8" s="1329" t="s">
        <v>4946</v>
      </c>
      <c r="BF8" s="1330"/>
      <c r="BG8" s="1329">
        <v>43838</v>
      </c>
    </row>
    <row r="9" spans="1:59" ht="12.5">
      <c r="A9" s="449"/>
      <c r="B9" s="445"/>
      <c r="C9" s="446"/>
      <c r="D9" s="446"/>
      <c r="E9" s="638"/>
      <c r="F9" s="447"/>
      <c r="G9" s="484">
        <v>30.1</v>
      </c>
      <c r="H9" s="1239"/>
      <c r="I9" s="448"/>
      <c r="J9" s="446"/>
      <c r="K9" s="638"/>
      <c r="L9" s="638"/>
      <c r="M9" s="638"/>
      <c r="N9" s="1239"/>
      <c r="O9" s="1239"/>
      <c r="P9" s="1239"/>
      <c r="Q9" s="638"/>
      <c r="R9" s="638"/>
      <c r="S9" s="1343">
        <f>+AG10-AG8</f>
        <v>30.139999999999418</v>
      </c>
      <c r="T9" s="638"/>
      <c r="U9" s="638"/>
      <c r="V9" s="638"/>
      <c r="W9" s="638"/>
      <c r="X9" s="638"/>
      <c r="Y9" s="638"/>
      <c r="Z9" s="638"/>
      <c r="AA9" s="638"/>
      <c r="AB9" s="638"/>
      <c r="AC9" s="638"/>
      <c r="AD9" s="638"/>
      <c r="AE9" s="638"/>
      <c r="AF9" s="638"/>
      <c r="AG9" s="446"/>
      <c r="AH9" s="638"/>
      <c r="AI9" s="638"/>
      <c r="AJ9" s="638"/>
      <c r="AK9" s="638"/>
      <c r="AL9" s="638"/>
      <c r="AM9" s="638"/>
      <c r="AN9" s="484"/>
      <c r="AO9" s="484"/>
      <c r="AP9" s="484"/>
      <c r="AQ9" s="484">
        <f>+FL_2($T$10,$T$8,$G$9,1200,9.28,-1*$F$10)</f>
        <v>-0.3</v>
      </c>
      <c r="AR9" s="484"/>
      <c r="AS9" s="484"/>
      <c r="AT9" s="484"/>
      <c r="AU9" s="484"/>
      <c r="AV9" s="484"/>
      <c r="AW9" s="638"/>
      <c r="AX9" s="638"/>
      <c r="AY9" s="484"/>
      <c r="AZ9" s="484"/>
      <c r="BA9" s="671"/>
      <c r="BB9" s="449"/>
      <c r="BD9" s="1330"/>
      <c r="BE9" s="1330"/>
      <c r="BF9" s="1330"/>
      <c r="BG9" s="1330"/>
    </row>
    <row r="10" spans="1:59" ht="12.5">
      <c r="A10" s="449"/>
      <c r="B10" s="485" t="s">
        <v>1953</v>
      </c>
      <c r="C10" s="446">
        <f>+$C$8+$G$9+0.1</f>
        <v>93563.450000000026</v>
      </c>
      <c r="D10" s="446"/>
      <c r="E10" s="638"/>
      <c r="F10" s="447">
        <v>617</v>
      </c>
      <c r="G10" s="484"/>
      <c r="H10" s="1239"/>
      <c r="I10" s="448"/>
      <c r="J10" s="446"/>
      <c r="K10" s="638"/>
      <c r="L10" s="638"/>
      <c r="M10" s="638"/>
      <c r="N10" s="1239" t="s">
        <v>843</v>
      </c>
      <c r="O10" s="1239"/>
      <c r="P10" s="1239"/>
      <c r="Q10" s="638">
        <v>40</v>
      </c>
      <c r="R10" s="168">
        <v>626.25</v>
      </c>
      <c r="S10" s="1343"/>
      <c r="T10" s="638">
        <v>-30</v>
      </c>
      <c r="U10" s="638"/>
      <c r="V10" s="638"/>
      <c r="W10" s="638">
        <v>0.6</v>
      </c>
      <c r="X10" s="638"/>
      <c r="Y10" s="638"/>
      <c r="Z10" s="638"/>
      <c r="AA10" s="638"/>
      <c r="AB10" s="638"/>
      <c r="AC10" s="638" t="s">
        <v>4128</v>
      </c>
      <c r="AD10" s="638"/>
      <c r="AE10" s="638"/>
      <c r="AF10" s="638">
        <v>700</v>
      </c>
      <c r="AG10" s="446">
        <v>93563.31</v>
      </c>
      <c r="AH10" s="638">
        <v>1803</v>
      </c>
      <c r="AI10" s="638">
        <v>-5030</v>
      </c>
      <c r="AJ10" s="638"/>
      <c r="AK10" s="638" t="s">
        <v>139</v>
      </c>
      <c r="AL10" s="638"/>
      <c r="AM10" s="638"/>
      <c r="AN10" s="484">
        <v>5.15</v>
      </c>
      <c r="AO10" s="484"/>
      <c r="AP10" s="484"/>
      <c r="AQ10" s="484"/>
      <c r="AR10" s="484"/>
      <c r="AS10" s="484"/>
      <c r="AT10" s="484">
        <f>+ab($T$10,$T$8,$U$12,$G$9,$G$11,-1*$F$10,1200)</f>
        <v>-3.1045113854491069</v>
      </c>
      <c r="AU10" s="484"/>
      <c r="AV10" s="484"/>
      <c r="AW10" s="574"/>
      <c r="AX10" s="574"/>
      <c r="AY10" s="576"/>
      <c r="AZ10" s="576"/>
      <c r="BA10" s="671"/>
      <c r="BB10" s="449"/>
      <c r="BD10" s="1330"/>
      <c r="BE10" s="1329" t="s">
        <v>4946</v>
      </c>
      <c r="BF10" s="1330"/>
      <c r="BG10" s="1329">
        <v>43838</v>
      </c>
    </row>
    <row r="11" spans="1:59" ht="12.5">
      <c r="A11" s="488" t="s">
        <v>1851</v>
      </c>
      <c r="B11" s="494"/>
      <c r="C11" s="489"/>
      <c r="D11" s="489"/>
      <c r="E11" s="490"/>
      <c r="F11" s="491"/>
      <c r="G11" s="493">
        <v>46.1</v>
      </c>
      <c r="H11" s="495"/>
      <c r="I11" s="492"/>
      <c r="J11" s="489"/>
      <c r="K11" s="490"/>
      <c r="L11" s="490"/>
      <c r="M11" s="490"/>
      <c r="N11" s="495"/>
      <c r="O11" s="495"/>
      <c r="P11" s="495"/>
      <c r="Q11" s="490"/>
      <c r="R11" s="490"/>
      <c r="S11" s="790">
        <f>+AG12-AG10</f>
        <v>47.990000000005239</v>
      </c>
      <c r="T11" s="490"/>
      <c r="U11" s="490"/>
      <c r="V11" s="490"/>
      <c r="W11" s="490"/>
      <c r="X11" s="490"/>
      <c r="Y11" s="490"/>
      <c r="Z11" s="490"/>
      <c r="AA11" s="490"/>
      <c r="AB11" s="490"/>
      <c r="AC11" s="490"/>
      <c r="AD11" s="490"/>
      <c r="AE11" s="490"/>
      <c r="AF11" s="490"/>
      <c r="AG11" s="489"/>
      <c r="AH11" s="490"/>
      <c r="AI11" s="490"/>
      <c r="AJ11" s="490"/>
      <c r="AK11" s="490"/>
      <c r="AL11" s="490"/>
      <c r="AM11" s="490"/>
      <c r="AN11" s="493"/>
      <c r="AO11" s="493"/>
      <c r="AP11" s="493"/>
      <c r="AQ11" s="493">
        <f>+FL_1($U$12,$T$10,$G$11,1200,9.28,-1*$F$12)</f>
        <v>0.33614037462903573</v>
      </c>
      <c r="AR11" s="493"/>
      <c r="AS11" s="493"/>
      <c r="AT11" s="493"/>
      <c r="AU11" s="493"/>
      <c r="AV11" s="493"/>
      <c r="AW11" s="493"/>
      <c r="AX11" s="493"/>
      <c r="AY11" s="493"/>
      <c r="AZ11" s="493"/>
      <c r="BA11" s="1309"/>
      <c r="BB11" s="488"/>
      <c r="BD11" s="1330"/>
      <c r="BE11" s="1330"/>
      <c r="BF11" s="1330"/>
      <c r="BG11" s="1330"/>
    </row>
    <row r="12" spans="1:59" ht="12.5">
      <c r="A12" s="449" t="s">
        <v>2945</v>
      </c>
      <c r="B12" s="435" t="s">
        <v>1954</v>
      </c>
      <c r="C12" s="446">
        <f>+$C$10+$G$11</f>
        <v>93609.550000000032</v>
      </c>
      <c r="D12" s="446"/>
      <c r="E12" s="638"/>
      <c r="F12" s="447">
        <v>617</v>
      </c>
      <c r="G12" s="484"/>
      <c r="H12" s="638" t="s">
        <v>619</v>
      </c>
      <c r="I12" s="1239" t="s">
        <v>1429</v>
      </c>
      <c r="J12" s="446"/>
      <c r="K12" s="638"/>
      <c r="L12" s="638"/>
      <c r="M12" s="638"/>
      <c r="N12" s="1239" t="s">
        <v>845</v>
      </c>
      <c r="O12" s="1239" t="s">
        <v>2794</v>
      </c>
      <c r="P12" s="1239"/>
      <c r="Q12" s="638">
        <v>80</v>
      </c>
      <c r="R12" s="168">
        <v>626.25</v>
      </c>
      <c r="S12" s="1343"/>
      <c r="T12" s="638">
        <v>15</v>
      </c>
      <c r="U12" s="638">
        <v>-30</v>
      </c>
      <c r="V12" s="638"/>
      <c r="W12" s="638">
        <v>0.65</v>
      </c>
      <c r="X12" s="638">
        <v>0.7</v>
      </c>
      <c r="Y12" s="638"/>
      <c r="Z12" s="638">
        <v>0.25</v>
      </c>
      <c r="AA12" s="638"/>
      <c r="AB12" s="638"/>
      <c r="AC12" s="638" t="s">
        <v>3050</v>
      </c>
      <c r="AD12" s="638"/>
      <c r="AE12" s="638"/>
      <c r="AF12" s="638">
        <v>200</v>
      </c>
      <c r="AG12" s="446">
        <v>93611.3</v>
      </c>
      <c r="AH12" s="638">
        <v>1713</v>
      </c>
      <c r="AI12" s="638">
        <v>-5230</v>
      </c>
      <c r="AJ12" s="638" t="s">
        <v>2154</v>
      </c>
      <c r="AK12" s="638" t="s">
        <v>228</v>
      </c>
      <c r="AL12" s="638"/>
      <c r="AM12" s="638"/>
      <c r="AN12" s="484">
        <v>5.15</v>
      </c>
      <c r="AO12" s="484"/>
      <c r="AP12" s="484"/>
      <c r="AQ12" s="484"/>
      <c r="AR12" s="484"/>
      <c r="AS12" s="484"/>
      <c r="AT12" s="484">
        <f>+ab($U$12,$T$10,$T$14,$G$11,$G$13,-1*$F$12,1200)</f>
        <v>-2.3529986192021628</v>
      </c>
      <c r="AU12" s="484"/>
      <c r="AV12" s="484"/>
      <c r="AW12" s="574"/>
      <c r="AX12" s="574"/>
      <c r="AY12" s="576"/>
      <c r="AZ12" s="576"/>
      <c r="BA12" s="671"/>
      <c r="BB12" s="449"/>
      <c r="BD12" s="1330"/>
      <c r="BE12" s="1329" t="s">
        <v>4946</v>
      </c>
      <c r="BF12" s="1330"/>
      <c r="BG12" s="1329">
        <v>43838</v>
      </c>
    </row>
    <row r="13" spans="1:59" ht="12.5">
      <c r="A13" s="449"/>
      <c r="B13" s="445"/>
      <c r="C13" s="446"/>
      <c r="D13" s="446"/>
      <c r="E13" s="638"/>
      <c r="F13" s="447"/>
      <c r="G13" s="484">
        <v>43</v>
      </c>
      <c r="H13" s="1239"/>
      <c r="I13" s="447"/>
      <c r="J13" s="446"/>
      <c r="K13" s="638"/>
      <c r="L13" s="638"/>
      <c r="M13" s="638"/>
      <c r="N13" s="1239"/>
      <c r="O13" s="1239"/>
      <c r="P13" s="1239"/>
      <c r="Q13" s="638"/>
      <c r="R13" s="638"/>
      <c r="S13" s="1343">
        <f>+AG14-AG12</f>
        <v>39.039999999993597</v>
      </c>
      <c r="T13" s="638"/>
      <c r="U13" s="638"/>
      <c r="V13" s="638"/>
      <c r="W13" s="638"/>
      <c r="X13" s="638"/>
      <c r="Y13" s="638"/>
      <c r="Z13" s="638"/>
      <c r="AA13" s="638"/>
      <c r="AB13" s="638"/>
      <c r="AC13" s="638"/>
      <c r="AD13" s="638"/>
      <c r="AE13" s="638"/>
      <c r="AF13" s="638"/>
      <c r="AG13" s="446"/>
      <c r="AH13" s="638"/>
      <c r="AI13" s="638"/>
      <c r="AJ13" s="638"/>
      <c r="AK13" s="638"/>
      <c r="AL13" s="638"/>
      <c r="AM13" s="638"/>
      <c r="AN13" s="484"/>
      <c r="AO13" s="484"/>
      <c r="AP13" s="484"/>
      <c r="AQ13" s="484">
        <f>+FL_1($T$14,$U$12,$G$13,1200,9.28,-1*$F$14)</f>
        <v>0.47151028202187545</v>
      </c>
      <c r="AR13" s="484"/>
      <c r="AS13" s="484"/>
      <c r="AT13" s="484"/>
      <c r="AU13" s="484"/>
      <c r="AV13" s="484"/>
      <c r="AW13" s="484"/>
      <c r="AX13" s="484"/>
      <c r="AY13" s="484"/>
      <c r="AZ13" s="484"/>
      <c r="BA13" s="1310"/>
      <c r="BB13" s="449"/>
      <c r="BD13" s="1330"/>
      <c r="BE13" s="1330"/>
      <c r="BF13" s="1330"/>
      <c r="BG13" s="1330"/>
    </row>
    <row r="14" spans="1:59" ht="12.5">
      <c r="A14" s="449"/>
      <c r="B14" s="485" t="s">
        <v>1955</v>
      </c>
      <c r="C14" s="446">
        <f>+$C$12+$G$13</f>
        <v>93652.550000000032</v>
      </c>
      <c r="D14" s="446"/>
      <c r="E14" s="638"/>
      <c r="F14" s="447">
        <v>617</v>
      </c>
      <c r="G14" s="484"/>
      <c r="H14" s="1239" t="s">
        <v>619</v>
      </c>
      <c r="I14" s="448"/>
      <c r="J14" s="446"/>
      <c r="K14" s="638"/>
      <c r="L14" s="638"/>
      <c r="M14" s="638"/>
      <c r="N14" s="1239" t="s">
        <v>2794</v>
      </c>
      <c r="O14" s="1239" t="s">
        <v>845</v>
      </c>
      <c r="P14" s="1239"/>
      <c r="Q14" s="638">
        <v>60</v>
      </c>
      <c r="R14" s="168">
        <v>626.25</v>
      </c>
      <c r="S14" s="1343"/>
      <c r="T14" s="638">
        <v>10</v>
      </c>
      <c r="U14" s="638">
        <v>-35</v>
      </c>
      <c r="V14" s="638"/>
      <c r="W14" s="638">
        <v>0.9</v>
      </c>
      <c r="X14" s="638">
        <v>1.2</v>
      </c>
      <c r="Y14" s="638"/>
      <c r="Z14" s="638"/>
      <c r="AA14" s="638">
        <v>0.24</v>
      </c>
      <c r="AB14" s="638"/>
      <c r="AC14" s="638" t="s">
        <v>4483</v>
      </c>
      <c r="AD14" s="638"/>
      <c r="AE14" s="638"/>
      <c r="AF14" s="638">
        <v>200</v>
      </c>
      <c r="AG14" s="446">
        <v>93650.34</v>
      </c>
      <c r="AH14" s="638">
        <v>1793</v>
      </c>
      <c r="AI14" s="638">
        <v>-5150</v>
      </c>
      <c r="AJ14" s="638"/>
      <c r="AK14" s="638" t="s">
        <v>228</v>
      </c>
      <c r="AL14" s="638"/>
      <c r="AM14" s="638"/>
      <c r="AN14" s="484">
        <v>5.21</v>
      </c>
      <c r="AO14" s="484"/>
      <c r="AP14" s="484"/>
      <c r="AQ14" s="484"/>
      <c r="AR14" s="484"/>
      <c r="AS14" s="484"/>
      <c r="AT14" s="484">
        <f>+ab($T$14,$U$12,$T$16,$G$13,$G$15,-1*$F$14,1200)</f>
        <v>-4.1518993900642496</v>
      </c>
      <c r="AU14" s="484"/>
      <c r="AV14" s="484"/>
      <c r="AW14" s="574"/>
      <c r="AX14" s="574"/>
      <c r="AY14" s="576"/>
      <c r="AZ14" s="576"/>
      <c r="BA14" s="671"/>
      <c r="BB14" s="449"/>
      <c r="BD14" s="1330"/>
      <c r="BE14" s="1329" t="s">
        <v>4946</v>
      </c>
      <c r="BF14" s="1330"/>
      <c r="BG14" s="1329">
        <v>43838</v>
      </c>
    </row>
    <row r="15" spans="1:59" ht="12.5">
      <c r="A15" s="449"/>
      <c r="B15" s="445"/>
      <c r="C15" s="446"/>
      <c r="D15" s="446"/>
      <c r="E15" s="638"/>
      <c r="F15" s="447"/>
      <c r="G15" s="484">
        <v>38.299999999999997</v>
      </c>
      <c r="H15" s="1239"/>
      <c r="I15" s="448"/>
      <c r="J15" s="446"/>
      <c r="K15" s="638"/>
      <c r="L15" s="638"/>
      <c r="M15" s="638"/>
      <c r="N15" s="1239"/>
      <c r="O15" s="1239"/>
      <c r="P15" s="1239"/>
      <c r="Q15" s="638"/>
      <c r="R15" s="638"/>
      <c r="S15" s="1343">
        <f>+AG16-AG14</f>
        <v>40.470000000001164</v>
      </c>
      <c r="T15" s="638"/>
      <c r="U15" s="638"/>
      <c r="V15" s="638"/>
      <c r="W15" s="638"/>
      <c r="X15" s="638"/>
      <c r="Y15" s="638"/>
      <c r="Z15" s="638"/>
      <c r="AA15" s="638"/>
      <c r="AB15" s="638"/>
      <c r="AC15" s="638"/>
      <c r="AD15" s="638"/>
      <c r="AE15" s="638"/>
      <c r="AF15" s="638"/>
      <c r="AG15" s="446"/>
      <c r="AH15" s="638"/>
      <c r="AI15" s="638"/>
      <c r="AJ15" s="638"/>
      <c r="AK15" s="638"/>
      <c r="AL15" s="638"/>
      <c r="AM15" s="638"/>
      <c r="AN15" s="484"/>
      <c r="AO15" s="484"/>
      <c r="AP15" s="484"/>
      <c r="AQ15" s="484">
        <f>+FL_1($T$16,$T$14,$G$15,1200,9.28,-1*$F$16)</f>
        <v>0.36182567412626587</v>
      </c>
      <c r="AR15" s="484"/>
      <c r="AS15" s="484"/>
      <c r="AT15" s="484"/>
      <c r="AU15" s="484"/>
      <c r="AV15" s="484"/>
      <c r="AW15" s="484"/>
      <c r="AX15" s="484"/>
      <c r="AY15" s="484"/>
      <c r="AZ15" s="484"/>
      <c r="BA15" s="1310"/>
      <c r="BB15" s="449"/>
      <c r="BD15" s="1330"/>
      <c r="BE15" s="1330"/>
      <c r="BF15" s="1330"/>
      <c r="BG15" s="1330"/>
    </row>
    <row r="16" spans="1:59" ht="12.5">
      <c r="A16" s="449"/>
      <c r="B16" s="435" t="s">
        <v>1956</v>
      </c>
      <c r="C16" s="446">
        <f>+$C$14+$G$15</f>
        <v>93690.850000000035</v>
      </c>
      <c r="D16" s="446"/>
      <c r="E16" s="638"/>
      <c r="F16" s="447">
        <v>617</v>
      </c>
      <c r="G16" s="484"/>
      <c r="H16" s="1239"/>
      <c r="I16" s="448"/>
      <c r="J16" s="446"/>
      <c r="K16" s="638"/>
      <c r="L16" s="638"/>
      <c r="M16" s="638"/>
      <c r="N16" s="1239" t="s">
        <v>2794</v>
      </c>
      <c r="O16" s="1239"/>
      <c r="P16" s="1239"/>
      <c r="Q16" s="638">
        <v>70</v>
      </c>
      <c r="R16" s="168">
        <v>626.25</v>
      </c>
      <c r="S16" s="1343"/>
      <c r="T16" s="638">
        <v>-30</v>
      </c>
      <c r="U16" s="638"/>
      <c r="V16" s="638"/>
      <c r="W16" s="638">
        <v>1.4</v>
      </c>
      <c r="X16" s="638"/>
      <c r="Y16" s="638"/>
      <c r="Z16" s="638"/>
      <c r="AA16" s="638"/>
      <c r="AB16" s="638"/>
      <c r="AC16" s="638" t="s">
        <v>4133</v>
      </c>
      <c r="AD16" s="638"/>
      <c r="AE16" s="638"/>
      <c r="AF16" s="638">
        <v>100</v>
      </c>
      <c r="AG16" s="446">
        <v>93690.81</v>
      </c>
      <c r="AH16" s="638">
        <v>1633</v>
      </c>
      <c r="AI16" s="638">
        <v>-5160</v>
      </c>
      <c r="AJ16" s="638"/>
      <c r="AK16" s="638" t="s">
        <v>139</v>
      </c>
      <c r="AL16" s="638"/>
      <c r="AM16" s="638"/>
      <c r="AN16" s="484">
        <v>5.32</v>
      </c>
      <c r="AO16" s="484"/>
      <c r="AP16" s="484"/>
      <c r="AQ16" s="484"/>
      <c r="AR16" s="484"/>
      <c r="AS16" s="484"/>
      <c r="AT16" s="484">
        <f>+ab($T$16,$T$14,$T$18,$G$15,$G$17,-1*$F$16,1200)</f>
        <v>-2.6295726533574664</v>
      </c>
      <c r="AU16" s="484"/>
      <c r="AV16" s="484"/>
      <c r="AW16" s="574"/>
      <c r="AX16" s="574"/>
      <c r="AY16" s="576"/>
      <c r="AZ16" s="576"/>
      <c r="BA16" s="671"/>
      <c r="BB16" s="449"/>
      <c r="BD16" s="1330"/>
      <c r="BE16" s="1329" t="s">
        <v>4946</v>
      </c>
      <c r="BF16" s="1330"/>
      <c r="BG16" s="1329">
        <v>43838</v>
      </c>
    </row>
    <row r="17" spans="1:59" ht="12.5">
      <c r="A17" s="449"/>
      <c r="B17" s="445"/>
      <c r="C17" s="446"/>
      <c r="D17" s="446"/>
      <c r="E17" s="638"/>
      <c r="F17" s="447"/>
      <c r="G17" s="484">
        <v>38.799999999999997</v>
      </c>
      <c r="H17" s="1239"/>
      <c r="I17" s="448"/>
      <c r="J17" s="446"/>
      <c r="K17" s="638"/>
      <c r="L17" s="638"/>
      <c r="M17" s="638"/>
      <c r="N17" s="1239"/>
      <c r="O17" s="1239"/>
      <c r="P17" s="1239"/>
      <c r="Q17" s="638"/>
      <c r="R17" s="638"/>
      <c r="S17" s="1343">
        <f>+AG18-AG16</f>
        <v>38.720000000001164</v>
      </c>
      <c r="T17" s="638"/>
      <c r="U17" s="638"/>
      <c r="V17" s="638"/>
      <c r="W17" s="638"/>
      <c r="X17" s="638"/>
      <c r="Y17" s="638"/>
      <c r="Z17" s="638"/>
      <c r="AA17" s="638"/>
      <c r="AB17" s="638"/>
      <c r="AC17" s="638"/>
      <c r="AD17" s="638"/>
      <c r="AE17" s="638"/>
      <c r="AF17" s="638"/>
      <c r="AG17" s="446"/>
      <c r="AH17" s="638"/>
      <c r="AI17" s="638"/>
      <c r="AJ17" s="638"/>
      <c r="AK17" s="638"/>
      <c r="AL17" s="638"/>
      <c r="AM17" s="638"/>
      <c r="AN17" s="484"/>
      <c r="AO17" s="484"/>
      <c r="AP17" s="484"/>
      <c r="AQ17" s="484">
        <f>+FL_2($T$18,$T$16,$G$17,1200,9.28,-1*$F$18)</f>
        <v>-0.3</v>
      </c>
      <c r="AR17" s="484"/>
      <c r="AS17" s="484"/>
      <c r="AT17" s="484"/>
      <c r="AU17" s="484"/>
      <c r="AV17" s="484"/>
      <c r="AW17" s="638"/>
      <c r="AX17" s="638"/>
      <c r="AY17" s="484"/>
      <c r="AZ17" s="484"/>
      <c r="BA17" s="1310"/>
      <c r="BB17" s="449"/>
      <c r="BD17" s="1330"/>
      <c r="BE17" s="1330"/>
      <c r="BF17" s="1330"/>
      <c r="BG17" s="1330"/>
    </row>
    <row r="18" spans="1:59" ht="12.5">
      <c r="A18" s="449"/>
      <c r="B18" s="435" t="s">
        <v>1957</v>
      </c>
      <c r="C18" s="446">
        <f>+$C$16+$G$17</f>
        <v>93729.650000000038</v>
      </c>
      <c r="D18" s="446"/>
      <c r="E18" s="638"/>
      <c r="F18" s="447">
        <v>617</v>
      </c>
      <c r="G18" s="484"/>
      <c r="H18" s="1239"/>
      <c r="I18" s="448"/>
      <c r="J18" s="446"/>
      <c r="K18" s="638"/>
      <c r="L18" s="638"/>
      <c r="M18" s="638"/>
      <c r="N18" s="1239" t="s">
        <v>2794</v>
      </c>
      <c r="O18" s="1239"/>
      <c r="P18" s="1239"/>
      <c r="Q18" s="638">
        <v>40</v>
      </c>
      <c r="R18" s="168">
        <v>626.25</v>
      </c>
      <c r="S18" s="1343"/>
      <c r="T18" s="638">
        <v>-30</v>
      </c>
      <c r="U18" s="638"/>
      <c r="V18" s="638"/>
      <c r="W18" s="638">
        <v>1.4</v>
      </c>
      <c r="X18" s="638"/>
      <c r="Y18" s="638"/>
      <c r="Z18" s="638"/>
      <c r="AA18" s="638"/>
      <c r="AB18" s="638"/>
      <c r="AC18" s="638" t="s">
        <v>3050</v>
      </c>
      <c r="AD18" s="638"/>
      <c r="AE18" s="638"/>
      <c r="AF18" s="638">
        <v>200</v>
      </c>
      <c r="AG18" s="446">
        <v>93729.53</v>
      </c>
      <c r="AH18" s="638">
        <v>1753</v>
      </c>
      <c r="AI18" s="638">
        <v>-4900</v>
      </c>
      <c r="AJ18" s="638"/>
      <c r="AK18" s="638" t="s">
        <v>139</v>
      </c>
      <c r="AL18" s="638"/>
      <c r="AM18" s="638"/>
      <c r="AN18" s="484">
        <v>5.44</v>
      </c>
      <c r="AO18" s="484"/>
      <c r="AP18" s="484"/>
      <c r="AQ18" s="484"/>
      <c r="AR18" s="484"/>
      <c r="AS18" s="484"/>
      <c r="AT18" s="484">
        <f>+ab($T$18,$T$16,$T$20,$G$17,$G$19,-1*$F$18,1200)</f>
        <v>-3.0137213827799365</v>
      </c>
      <c r="AU18" s="484"/>
      <c r="AV18" s="484"/>
      <c r="AW18" s="574"/>
      <c r="AX18" s="574"/>
      <c r="AY18" s="576"/>
      <c r="AZ18" s="576"/>
      <c r="BA18" s="671"/>
      <c r="BB18" s="449"/>
      <c r="BD18" s="1330"/>
      <c r="BE18" s="1329" t="s">
        <v>4946</v>
      </c>
      <c r="BF18" s="1330"/>
      <c r="BG18" s="1329">
        <v>43838</v>
      </c>
    </row>
    <row r="19" spans="1:59" ht="12.5">
      <c r="A19" s="449"/>
      <c r="B19" s="445"/>
      <c r="C19" s="446"/>
      <c r="D19" s="446"/>
      <c r="E19" s="638"/>
      <c r="F19" s="447"/>
      <c r="G19" s="484">
        <v>39.700000000000003</v>
      </c>
      <c r="H19" s="1239"/>
      <c r="I19" s="1239"/>
      <c r="J19" s="446"/>
      <c r="K19" s="638"/>
      <c r="L19" s="638"/>
      <c r="M19" s="638"/>
      <c r="N19" s="1239"/>
      <c r="O19" s="1239"/>
      <c r="P19" s="1239"/>
      <c r="Q19" s="638"/>
      <c r="R19" s="638"/>
      <c r="S19" s="1343">
        <f>+AG20-AG18</f>
        <v>37.589999999996508</v>
      </c>
      <c r="T19" s="638"/>
      <c r="U19" s="638"/>
      <c r="V19" s="638"/>
      <c r="W19" s="638"/>
      <c r="X19" s="638"/>
      <c r="Y19" s="638"/>
      <c r="Z19" s="638"/>
      <c r="AA19" s="638"/>
      <c r="AB19" s="638"/>
      <c r="AC19" s="638"/>
      <c r="AD19" s="638"/>
      <c r="AE19" s="638"/>
      <c r="AF19" s="638"/>
      <c r="AG19" s="446"/>
      <c r="AH19" s="638"/>
      <c r="AI19" s="638"/>
      <c r="AJ19" s="638"/>
      <c r="AK19" s="638"/>
      <c r="AL19" s="638"/>
      <c r="AM19" s="638"/>
      <c r="AN19" s="484"/>
      <c r="AO19" s="484"/>
      <c r="AP19" s="484"/>
      <c r="AQ19" s="484">
        <f>+FL_2($T$20,$T$18,$G$19,1200,9.28,-1*$F$20)</f>
        <v>-0.32550312170099094</v>
      </c>
      <c r="AR19" s="484"/>
      <c r="AS19" s="484"/>
      <c r="AT19" s="484"/>
      <c r="AU19" s="484"/>
      <c r="AV19" s="484"/>
      <c r="AW19" s="638"/>
      <c r="AX19" s="638"/>
      <c r="AY19" s="484"/>
      <c r="AZ19" s="484"/>
      <c r="BA19" s="1310"/>
      <c r="BB19" s="449"/>
      <c r="BD19" s="1330"/>
      <c r="BE19" s="1330"/>
      <c r="BF19" s="1330"/>
      <c r="BG19" s="1330"/>
    </row>
    <row r="20" spans="1:59" ht="12.5">
      <c r="A20" s="449"/>
      <c r="B20" s="435" t="s">
        <v>1958</v>
      </c>
      <c r="C20" s="446">
        <f>+$C$18+$G$19</f>
        <v>93769.350000000035</v>
      </c>
      <c r="D20" s="446"/>
      <c r="E20" s="638"/>
      <c r="F20" s="447">
        <v>1553.14</v>
      </c>
      <c r="G20" s="484"/>
      <c r="H20" s="1239"/>
      <c r="I20" s="1239"/>
      <c r="J20" s="446"/>
      <c r="K20" s="638"/>
      <c r="L20" s="638"/>
      <c r="M20" s="638"/>
      <c r="N20" s="1239" t="s">
        <v>843</v>
      </c>
      <c r="O20" s="1239"/>
      <c r="P20" s="1239"/>
      <c r="Q20" s="638">
        <v>40</v>
      </c>
      <c r="R20" s="168">
        <v>1576.44</v>
      </c>
      <c r="S20" s="1343"/>
      <c r="T20" s="638">
        <v>-30</v>
      </c>
      <c r="U20" s="638"/>
      <c r="V20" s="638"/>
      <c r="W20" s="638">
        <v>1.4</v>
      </c>
      <c r="X20" s="638"/>
      <c r="Y20" s="638"/>
      <c r="Z20" s="638"/>
      <c r="AA20" s="638"/>
      <c r="AB20" s="638"/>
      <c r="AC20" s="638" t="s">
        <v>4090</v>
      </c>
      <c r="AD20" s="638"/>
      <c r="AE20" s="638"/>
      <c r="AF20" s="638">
        <v>300</v>
      </c>
      <c r="AG20" s="446">
        <v>93767.12</v>
      </c>
      <c r="AH20" s="638">
        <v>1833</v>
      </c>
      <c r="AI20" s="638">
        <v>-5340</v>
      </c>
      <c r="AJ20" s="638"/>
      <c r="AK20" s="638" t="s">
        <v>139</v>
      </c>
      <c r="AL20" s="638"/>
      <c r="AM20" s="638"/>
      <c r="AN20" s="484">
        <v>5.5</v>
      </c>
      <c r="AO20" s="484"/>
      <c r="AP20" s="484"/>
      <c r="AQ20" s="484"/>
      <c r="AR20" s="484"/>
      <c r="AS20" s="484"/>
      <c r="AT20" s="484">
        <f>+ab($T$20,$T$18,$U$22,$G$19,$G$21,-1*$F$20,1200)</f>
        <v>-4.6483907073744186</v>
      </c>
      <c r="AU20" s="484"/>
      <c r="AV20" s="484"/>
      <c r="AW20" s="574"/>
      <c r="AX20" s="574"/>
      <c r="AY20" s="576"/>
      <c r="AZ20" s="576"/>
      <c r="BA20" s="671"/>
      <c r="BB20" s="449"/>
      <c r="BD20" s="1330"/>
      <c r="BE20" s="1329">
        <v>43810</v>
      </c>
      <c r="BF20" s="1330"/>
      <c r="BG20" s="1329">
        <v>43838</v>
      </c>
    </row>
    <row r="21" spans="1:59" ht="12.5">
      <c r="A21" s="449"/>
      <c r="B21" s="445"/>
      <c r="C21" s="446"/>
      <c r="D21" s="446"/>
      <c r="E21" s="638"/>
      <c r="F21" s="447"/>
      <c r="G21" s="484">
        <v>35</v>
      </c>
      <c r="H21" s="1239"/>
      <c r="I21" s="1239"/>
      <c r="J21" s="446"/>
      <c r="K21" s="638"/>
      <c r="L21" s="638"/>
      <c r="M21" s="638"/>
      <c r="N21" s="1239"/>
      <c r="O21" s="1239"/>
      <c r="P21" s="1239"/>
      <c r="Q21" s="638"/>
      <c r="R21" s="638"/>
      <c r="S21" s="1343">
        <f>+AG22-AG20</f>
        <v>37.139999999999418</v>
      </c>
      <c r="T21" s="638"/>
      <c r="U21" s="638"/>
      <c r="V21" s="638"/>
      <c r="W21" s="638"/>
      <c r="X21" s="638"/>
      <c r="Y21" s="638"/>
      <c r="Z21" s="638"/>
      <c r="AA21" s="638"/>
      <c r="AB21" s="638"/>
      <c r="AC21" s="638"/>
      <c r="AD21" s="638"/>
      <c r="AE21" s="638"/>
      <c r="AF21" s="638"/>
      <c r="AG21" s="446"/>
      <c r="AH21" s="638"/>
      <c r="AI21" s="638"/>
      <c r="AJ21" s="638"/>
      <c r="AK21" s="638"/>
      <c r="AL21" s="638"/>
      <c r="AM21" s="638"/>
      <c r="AN21" s="484"/>
      <c r="AO21" s="484"/>
      <c r="AP21" s="484"/>
      <c r="AQ21" s="484">
        <f>+FL_2($U$22,$T$20,$G$21,1200,9.28,-1*$F$22)</f>
        <v>-0.30000000000000587</v>
      </c>
      <c r="AR21" s="484"/>
      <c r="AS21" s="484"/>
      <c r="AT21" s="484"/>
      <c r="AU21" s="484"/>
      <c r="AV21" s="484"/>
      <c r="AW21" s="638"/>
      <c r="AX21" s="638"/>
      <c r="AY21" s="484"/>
      <c r="AZ21" s="484"/>
      <c r="BA21" s="1310"/>
      <c r="BB21" s="449"/>
      <c r="BD21" s="1330"/>
      <c r="BE21" s="1330"/>
      <c r="BF21" s="1330"/>
      <c r="BG21" s="1330"/>
    </row>
    <row r="22" spans="1:59" ht="12.5">
      <c r="A22" s="449"/>
      <c r="B22" s="435" t="s">
        <v>1959</v>
      </c>
      <c r="C22" s="446">
        <f>+$C$20+$G$21</f>
        <v>93804.350000000035</v>
      </c>
      <c r="D22" s="446"/>
      <c r="E22" s="638"/>
      <c r="F22" s="447">
        <v>0</v>
      </c>
      <c r="G22" s="484"/>
      <c r="H22" s="1239" t="s">
        <v>619</v>
      </c>
      <c r="I22" s="1239"/>
      <c r="J22" s="446"/>
      <c r="K22" s="638"/>
      <c r="L22" s="638"/>
      <c r="M22" s="638"/>
      <c r="N22" s="1239" t="s">
        <v>845</v>
      </c>
      <c r="O22" s="1239" t="s">
        <v>844</v>
      </c>
      <c r="P22" s="1239"/>
      <c r="Q22" s="638">
        <v>0</v>
      </c>
      <c r="R22" s="638">
        <v>0</v>
      </c>
      <c r="S22" s="484"/>
      <c r="T22" s="638">
        <v>45</v>
      </c>
      <c r="U22" s="638">
        <v>30</v>
      </c>
      <c r="V22" s="638"/>
      <c r="W22" s="638">
        <v>1.4</v>
      </c>
      <c r="X22" s="638">
        <v>1.8</v>
      </c>
      <c r="Y22" s="638"/>
      <c r="Z22" s="638">
        <v>0.38</v>
      </c>
      <c r="AA22" s="638"/>
      <c r="AB22" s="638"/>
      <c r="AC22" s="638" t="s">
        <v>1421</v>
      </c>
      <c r="AD22" s="638"/>
      <c r="AE22" s="638"/>
      <c r="AF22" s="638">
        <v>200</v>
      </c>
      <c r="AG22" s="446">
        <v>93804.26</v>
      </c>
      <c r="AH22" s="638">
        <v>2113</v>
      </c>
      <c r="AI22" s="638">
        <v>-5290</v>
      </c>
      <c r="AJ22" s="638"/>
      <c r="AK22" s="638" t="s">
        <v>228</v>
      </c>
      <c r="AL22" s="638"/>
      <c r="AM22" s="638"/>
      <c r="AN22" s="484">
        <v>5.5</v>
      </c>
      <c r="AO22" s="484"/>
      <c r="AP22" s="484"/>
      <c r="AQ22" s="484"/>
      <c r="AR22" s="484"/>
      <c r="AS22" s="484"/>
      <c r="AT22" s="484">
        <f>+ab($U$22,$T$20,$U$24,$G$21,$G$23,-1*$F$22,1200)</f>
        <v>7.8894877346032777</v>
      </c>
      <c r="AU22" s="484"/>
      <c r="AV22" s="484"/>
      <c r="AW22" s="574"/>
      <c r="AX22" s="574"/>
      <c r="AY22" s="576"/>
      <c r="AZ22" s="576"/>
      <c r="BA22" s="671"/>
      <c r="BB22" s="449"/>
      <c r="BD22" s="1330"/>
      <c r="BE22" s="1329">
        <v>43810</v>
      </c>
      <c r="BF22" s="1330"/>
      <c r="BG22" s="1329">
        <v>43838</v>
      </c>
    </row>
    <row r="23" spans="1:59" ht="12.5">
      <c r="A23" s="449"/>
      <c r="B23" s="445"/>
      <c r="C23" s="446"/>
      <c r="D23" s="446"/>
      <c r="E23" s="638"/>
      <c r="F23" s="447"/>
      <c r="G23" s="484">
        <v>42.7</v>
      </c>
      <c r="H23" s="1239"/>
      <c r="I23" s="1239"/>
      <c r="J23" s="446"/>
      <c r="K23" s="638"/>
      <c r="L23" s="638"/>
      <c r="M23" s="638"/>
      <c r="N23" s="1239"/>
      <c r="O23" s="1239"/>
      <c r="P23" s="1239"/>
      <c r="Q23" s="638"/>
      <c r="R23" s="638"/>
      <c r="S23" s="484">
        <f>+AG24-AG22</f>
        <v>43.05000000000291</v>
      </c>
      <c r="T23" s="638"/>
      <c r="U23" s="638"/>
      <c r="V23" s="638"/>
      <c r="W23" s="638"/>
      <c r="X23" s="638"/>
      <c r="Y23" s="638"/>
      <c r="Z23" s="638"/>
      <c r="AA23" s="638"/>
      <c r="AB23" s="638"/>
      <c r="AC23" s="638"/>
      <c r="AD23" s="638"/>
      <c r="AE23" s="638"/>
      <c r="AF23" s="638"/>
      <c r="AG23" s="446"/>
      <c r="AH23" s="638"/>
      <c r="AI23" s="638"/>
      <c r="AJ23" s="638" t="s">
        <v>864</v>
      </c>
      <c r="AK23" s="638"/>
      <c r="AL23" s="638"/>
      <c r="AM23" s="638"/>
      <c r="AN23" s="484"/>
      <c r="AO23" s="484"/>
      <c r="AP23" s="484"/>
      <c r="AQ23" s="484">
        <f>+FL_1($U$24,$U$22,$G$23,1200,9.28,-1*$F$24)</f>
        <v>0.35816600328493364</v>
      </c>
      <c r="AR23" s="484"/>
      <c r="AS23" s="484"/>
      <c r="AT23" s="484"/>
      <c r="AU23" s="484"/>
      <c r="AV23" s="484"/>
      <c r="AW23" s="638"/>
      <c r="AX23" s="638"/>
      <c r="AY23" s="484"/>
      <c r="AZ23" s="484"/>
      <c r="BA23" s="1310"/>
      <c r="BB23" s="449"/>
      <c r="BD23" s="1330"/>
      <c r="BE23" s="1330"/>
      <c r="BF23" s="1330"/>
      <c r="BG23" s="1330"/>
    </row>
    <row r="24" spans="1:59" ht="12.5">
      <c r="A24" s="449" t="s">
        <v>2131</v>
      </c>
      <c r="B24" s="435" t="s">
        <v>1960</v>
      </c>
      <c r="C24" s="446">
        <f>+$C$22+$G$23</f>
        <v>93847.050000000032</v>
      </c>
      <c r="D24" s="446"/>
      <c r="E24" s="638"/>
      <c r="F24" s="447">
        <v>0</v>
      </c>
      <c r="G24" s="484"/>
      <c r="H24" s="1239" t="s">
        <v>2508</v>
      </c>
      <c r="I24" s="1239"/>
      <c r="J24" s="446"/>
      <c r="K24" s="638"/>
      <c r="L24" s="638"/>
      <c r="M24" s="638"/>
      <c r="N24" s="1239" t="s">
        <v>2794</v>
      </c>
      <c r="O24" s="1239" t="s">
        <v>844</v>
      </c>
      <c r="P24" s="1239" t="s">
        <v>844</v>
      </c>
      <c r="Q24" s="638">
        <v>0</v>
      </c>
      <c r="R24" s="638">
        <v>0</v>
      </c>
      <c r="S24" s="484"/>
      <c r="T24" s="638">
        <v>-15</v>
      </c>
      <c r="U24" s="638">
        <v>0</v>
      </c>
      <c r="V24" s="638">
        <v>15</v>
      </c>
      <c r="W24" s="638">
        <v>2.1</v>
      </c>
      <c r="X24" s="638">
        <v>1.6</v>
      </c>
      <c r="Y24" s="638">
        <v>1.4</v>
      </c>
      <c r="Z24" s="638"/>
      <c r="AA24" s="638"/>
      <c r="AB24" s="638"/>
      <c r="AC24" s="638" t="s">
        <v>4965</v>
      </c>
      <c r="AD24" s="638" t="s">
        <v>1427</v>
      </c>
      <c r="AE24" s="638" t="s">
        <v>4207</v>
      </c>
      <c r="AF24" s="638">
        <v>300</v>
      </c>
      <c r="AG24" s="446">
        <v>93847.31</v>
      </c>
      <c r="AH24" s="638">
        <v>1803</v>
      </c>
      <c r="AI24" s="638">
        <v>-5030</v>
      </c>
      <c r="AJ24" s="638"/>
      <c r="AK24" s="638" t="s">
        <v>3133</v>
      </c>
      <c r="AL24" s="638"/>
      <c r="AM24" s="638"/>
      <c r="AN24" s="484">
        <v>5.5</v>
      </c>
      <c r="AO24" s="484"/>
      <c r="AP24" s="484"/>
      <c r="AQ24" s="484"/>
      <c r="AR24" s="484"/>
      <c r="AS24" s="484"/>
      <c r="AT24" s="484">
        <f>+ab($U$24,$U$22,$U$26,$G$23,$G$25,-1*$F$24,1200)</f>
        <v>-13.451493139475582</v>
      </c>
      <c r="AU24" s="484"/>
      <c r="AV24" s="484"/>
      <c r="AW24" s="574"/>
      <c r="AX24" s="574"/>
      <c r="AY24" s="576"/>
      <c r="AZ24" s="576"/>
      <c r="BA24" s="671"/>
      <c r="BB24" s="449"/>
      <c r="BD24" s="1330"/>
      <c r="BE24" s="1329">
        <v>43810</v>
      </c>
      <c r="BF24" s="1330"/>
      <c r="BG24" s="1329">
        <v>43838</v>
      </c>
    </row>
    <row r="25" spans="1:59" ht="12.5">
      <c r="A25" s="449" t="s">
        <v>1852</v>
      </c>
      <c r="B25" s="445"/>
      <c r="C25" s="446"/>
      <c r="D25" s="446"/>
      <c r="E25" s="638"/>
      <c r="F25" s="447"/>
      <c r="G25" s="484">
        <v>43</v>
      </c>
      <c r="H25" s="1239"/>
      <c r="I25" s="1239"/>
      <c r="J25" s="446"/>
      <c r="K25" s="638"/>
      <c r="L25" s="638"/>
      <c r="M25" s="638"/>
      <c r="N25" s="1239"/>
      <c r="O25" s="1239"/>
      <c r="P25" s="1239"/>
      <c r="Q25" s="638"/>
      <c r="R25" s="638"/>
      <c r="S25" s="484">
        <f>+AG26-AG24</f>
        <v>42.880000000004657</v>
      </c>
      <c r="T25" s="638"/>
      <c r="U25" s="638"/>
      <c r="V25" s="638"/>
      <c r="W25" s="638"/>
      <c r="X25" s="638"/>
      <c r="Y25" s="638"/>
      <c r="Z25" s="638"/>
      <c r="AA25" s="638"/>
      <c r="AB25" s="638"/>
      <c r="AC25" s="638"/>
      <c r="AD25" s="638"/>
      <c r="AE25" s="638"/>
      <c r="AF25" s="638"/>
      <c r="AG25" s="446"/>
      <c r="AH25" s="638"/>
      <c r="AI25" s="638"/>
      <c r="AJ25" s="638" t="s">
        <v>864</v>
      </c>
      <c r="AK25" s="638"/>
      <c r="AL25" s="638"/>
      <c r="AM25" s="638"/>
      <c r="AN25" s="484"/>
      <c r="AO25" s="484"/>
      <c r="AP25" s="484"/>
      <c r="AQ25" s="484">
        <f>+FL_1($U$26,$U$24,$G$25,1200,9.28,-1*$F$26)</f>
        <v>0.36020754455813953</v>
      </c>
      <c r="AR25" s="484"/>
      <c r="AS25" s="484"/>
      <c r="AT25" s="484"/>
      <c r="AU25" s="484"/>
      <c r="AV25" s="484"/>
      <c r="AW25" s="638"/>
      <c r="AX25" s="638"/>
      <c r="AY25" s="484"/>
      <c r="AZ25" s="484"/>
      <c r="BA25" s="1310"/>
      <c r="BB25" s="449"/>
      <c r="BD25" s="1330"/>
      <c r="BE25" s="1330"/>
      <c r="BF25" s="1330"/>
      <c r="BG25" s="1330"/>
    </row>
    <row r="26" spans="1:59" ht="12.5">
      <c r="A26" s="449"/>
      <c r="B26" s="435" t="s">
        <v>1961</v>
      </c>
      <c r="C26" s="446">
        <f>+$C$24+$G$25</f>
        <v>93890.050000000032</v>
      </c>
      <c r="D26" s="446"/>
      <c r="E26" s="638"/>
      <c r="F26" s="447">
        <v>0</v>
      </c>
      <c r="G26" s="484"/>
      <c r="H26" s="1239" t="s">
        <v>4093</v>
      </c>
      <c r="I26" s="1239"/>
      <c r="J26" s="446"/>
      <c r="K26" s="638"/>
      <c r="L26" s="638"/>
      <c r="M26" s="638"/>
      <c r="N26" s="1239" t="s">
        <v>845</v>
      </c>
      <c r="O26" s="1239" t="s">
        <v>844</v>
      </c>
      <c r="P26" s="1239" t="s">
        <v>2794</v>
      </c>
      <c r="Q26" s="638">
        <v>0</v>
      </c>
      <c r="R26" s="638">
        <v>0</v>
      </c>
      <c r="S26" s="484"/>
      <c r="T26" s="638">
        <v>45</v>
      </c>
      <c r="U26" s="638">
        <v>30</v>
      </c>
      <c r="V26" s="638">
        <v>15</v>
      </c>
      <c r="W26" s="638">
        <v>1.4</v>
      </c>
      <c r="X26" s="638">
        <v>1.6</v>
      </c>
      <c r="Y26" s="638">
        <v>1.8</v>
      </c>
      <c r="Z26" s="638">
        <v>0.3</v>
      </c>
      <c r="AA26" s="638"/>
      <c r="AB26" s="638"/>
      <c r="AC26" s="638" t="s">
        <v>1427</v>
      </c>
      <c r="AD26" s="638" t="s">
        <v>4471</v>
      </c>
      <c r="AE26" s="638"/>
      <c r="AF26" s="638">
        <v>200</v>
      </c>
      <c r="AG26" s="446">
        <v>93890.19</v>
      </c>
      <c r="AH26" s="638">
        <v>1433</v>
      </c>
      <c r="AI26" s="638">
        <v>-5290</v>
      </c>
      <c r="AJ26" s="638"/>
      <c r="AK26" s="638" t="s">
        <v>3133</v>
      </c>
      <c r="AL26" s="638"/>
      <c r="AM26" s="638"/>
      <c r="AN26" s="484">
        <v>5.5</v>
      </c>
      <c r="AO26" s="484"/>
      <c r="AP26" s="484"/>
      <c r="AQ26" s="484"/>
      <c r="AR26" s="484"/>
      <c r="AS26" s="484"/>
      <c r="AT26" s="484">
        <f>+ab($U$26,$U$24,-$U$28,$G$25,$G$27,-1*$F$26,1200)</f>
        <v>7.9369643799544143</v>
      </c>
      <c r="AU26" s="484"/>
      <c r="AV26" s="484"/>
      <c r="AW26" s="574"/>
      <c r="AX26" s="574"/>
      <c r="AY26" s="576"/>
      <c r="AZ26" s="576"/>
      <c r="BA26" s="671"/>
      <c r="BB26" s="449"/>
      <c r="BD26" s="1330"/>
      <c r="BE26" s="1329">
        <v>43852</v>
      </c>
      <c r="BF26" s="1330"/>
      <c r="BG26" s="1329">
        <v>43870</v>
      </c>
    </row>
    <row r="27" spans="1:59" ht="12.5">
      <c r="A27" s="449"/>
      <c r="B27" s="445"/>
      <c r="C27" s="446"/>
      <c r="D27" s="446"/>
      <c r="E27" s="638"/>
      <c r="F27" s="447"/>
      <c r="G27" s="484">
        <v>35.200000000000003</v>
      </c>
      <c r="H27" s="1239"/>
      <c r="I27" s="448"/>
      <c r="J27" s="446"/>
      <c r="K27" s="638"/>
      <c r="L27" s="638"/>
      <c r="M27" s="638"/>
      <c r="N27" s="1239"/>
      <c r="O27" s="1239"/>
      <c r="P27" s="1239"/>
      <c r="Q27" s="638"/>
      <c r="R27" s="638"/>
      <c r="S27" s="484">
        <f>+AG28-AG26</f>
        <v>35.190000000002328</v>
      </c>
      <c r="T27" s="638"/>
      <c r="U27" s="638"/>
      <c r="V27" s="638"/>
      <c r="W27" s="638"/>
      <c r="X27" s="638"/>
      <c r="Y27" s="638"/>
      <c r="Z27" s="638"/>
      <c r="AA27" s="638"/>
      <c r="AB27" s="638"/>
      <c r="AC27" s="638"/>
      <c r="AD27" s="638"/>
      <c r="AE27" s="638"/>
      <c r="AF27" s="638"/>
      <c r="AG27" s="446"/>
      <c r="AH27" s="638"/>
      <c r="AI27" s="638"/>
      <c r="AJ27" s="638"/>
      <c r="AK27" s="638"/>
      <c r="AL27" s="638"/>
      <c r="AM27" s="638"/>
      <c r="AN27" s="484"/>
      <c r="AO27" s="484"/>
      <c r="AP27" s="484"/>
      <c r="AQ27" s="484">
        <f>+FL_1(-$U$28,$U$26,$G$27,1200,9.28,-1*$F$28)</f>
        <v>0.30000000000000532</v>
      </c>
      <c r="AR27" s="484"/>
      <c r="AS27" s="484"/>
      <c r="AT27" s="484"/>
      <c r="AU27" s="484"/>
      <c r="AV27" s="484"/>
      <c r="AW27" s="638"/>
      <c r="AX27" s="638"/>
      <c r="AY27" s="484"/>
      <c r="AZ27" s="484"/>
      <c r="BA27" s="1310"/>
      <c r="BB27" s="449"/>
      <c r="BD27" s="1330"/>
      <c r="BE27" s="1330"/>
      <c r="BF27" s="1330"/>
      <c r="BG27" s="1330"/>
    </row>
    <row r="28" spans="1:59" ht="12.5">
      <c r="A28" s="449"/>
      <c r="B28" s="435" t="s">
        <v>1962</v>
      </c>
      <c r="C28" s="446">
        <f>+$C$26+$G$27</f>
        <v>93925.250000000029</v>
      </c>
      <c r="D28" s="446"/>
      <c r="E28" s="638"/>
      <c r="F28" s="447">
        <v>0</v>
      </c>
      <c r="G28" s="484"/>
      <c r="H28" s="1239" t="s">
        <v>2818</v>
      </c>
      <c r="I28" s="1239"/>
      <c r="J28" s="446"/>
      <c r="K28" s="638"/>
      <c r="L28" s="638"/>
      <c r="M28" s="638"/>
      <c r="N28" s="1239" t="s">
        <v>2794</v>
      </c>
      <c r="O28" s="1239" t="s">
        <v>844</v>
      </c>
      <c r="P28" s="1239" t="s">
        <v>845</v>
      </c>
      <c r="Q28" s="638">
        <v>0</v>
      </c>
      <c r="R28" s="638">
        <v>0</v>
      </c>
      <c r="S28" s="484"/>
      <c r="T28" s="638">
        <v>15</v>
      </c>
      <c r="U28" s="638">
        <v>30</v>
      </c>
      <c r="V28" s="638">
        <v>45</v>
      </c>
      <c r="W28" s="638">
        <v>1.8</v>
      </c>
      <c r="X28" s="638">
        <v>1.6</v>
      </c>
      <c r="Y28" s="638">
        <v>1.4</v>
      </c>
      <c r="Z28" s="638"/>
      <c r="AA28" s="638">
        <v>0.3</v>
      </c>
      <c r="AB28" s="638"/>
      <c r="AC28" s="638" t="s">
        <v>4471</v>
      </c>
      <c r="AD28" s="638" t="s">
        <v>1421</v>
      </c>
      <c r="AE28" s="638"/>
      <c r="AF28" s="638">
        <v>200</v>
      </c>
      <c r="AG28" s="446">
        <v>93925.38</v>
      </c>
      <c r="AH28" s="638">
        <v>1453</v>
      </c>
      <c r="AI28" s="638">
        <v>-5110</v>
      </c>
      <c r="AJ28" s="638"/>
      <c r="AK28" s="638" t="s">
        <v>3133</v>
      </c>
      <c r="AL28" s="638"/>
      <c r="AM28" s="638"/>
      <c r="AN28" s="484">
        <v>5.5</v>
      </c>
      <c r="AO28" s="484"/>
      <c r="AP28" s="484"/>
      <c r="AQ28" s="484"/>
      <c r="AR28" s="484"/>
      <c r="AS28" s="484"/>
      <c r="AT28" s="484">
        <f>+ab($U$28,-$T$26,$T$30,$G$27,$G$29,-1*$F$28,1200)</f>
        <v>5.0218595712546668</v>
      </c>
      <c r="AU28" s="484"/>
      <c r="AV28" s="484"/>
      <c r="AW28" s="574"/>
      <c r="AX28" s="574"/>
      <c r="AY28" s="576"/>
      <c r="AZ28" s="576"/>
      <c r="BA28" s="671"/>
      <c r="BB28" s="449"/>
      <c r="BD28" s="1330"/>
      <c r="BE28" s="1329">
        <v>43852</v>
      </c>
      <c r="BF28" s="1330"/>
      <c r="BG28" s="1329">
        <v>43870</v>
      </c>
    </row>
    <row r="29" spans="1:59" ht="12.5">
      <c r="A29" s="449"/>
      <c r="B29" s="445"/>
      <c r="C29" s="446"/>
      <c r="D29" s="446"/>
      <c r="E29" s="638"/>
      <c r="F29" s="447"/>
      <c r="G29" s="484">
        <v>35.700000000000003</v>
      </c>
      <c r="H29" s="1239"/>
      <c r="I29" s="448"/>
      <c r="J29" s="446"/>
      <c r="K29" s="638"/>
      <c r="L29" s="638"/>
      <c r="M29" s="638"/>
      <c r="N29" s="1239"/>
      <c r="O29" s="1239"/>
      <c r="P29" s="1239"/>
      <c r="Q29" s="638"/>
      <c r="R29" s="638"/>
      <c r="S29" s="484">
        <f>+AG30-AG28</f>
        <v>35.929999999993015</v>
      </c>
      <c r="T29" s="638"/>
      <c r="U29" s="638"/>
      <c r="V29" s="638"/>
      <c r="W29" s="638"/>
      <c r="X29" s="638"/>
      <c r="Y29" s="638"/>
      <c r="Z29" s="638"/>
      <c r="AA29" s="638"/>
      <c r="AB29" s="638"/>
      <c r="AC29" s="638"/>
      <c r="AD29" s="638"/>
      <c r="AE29" s="638"/>
      <c r="AF29" s="638"/>
      <c r="AG29" s="446"/>
      <c r="AH29" s="638"/>
      <c r="AI29" s="638"/>
      <c r="AJ29" s="638" t="s">
        <v>864</v>
      </c>
      <c r="AK29" s="638"/>
      <c r="AL29" s="638"/>
      <c r="AM29" s="638"/>
      <c r="AN29" s="484"/>
      <c r="AO29" s="484"/>
      <c r="AP29" s="484"/>
      <c r="AQ29" s="484">
        <f>+FL_2($T$30,-$U$28,$G$29,1200,9.28,-1*$F$30)</f>
        <v>-0.42320069999999999</v>
      </c>
      <c r="AR29" s="484"/>
      <c r="AS29" s="484"/>
      <c r="AT29" s="484"/>
      <c r="AU29" s="484"/>
      <c r="AV29" s="484"/>
      <c r="AW29" s="638"/>
      <c r="AX29" s="638"/>
      <c r="AY29" s="484"/>
      <c r="AZ29" s="484"/>
      <c r="BA29" s="1310"/>
      <c r="BB29" s="449"/>
      <c r="BD29" s="1330"/>
      <c r="BE29" s="1330"/>
      <c r="BF29" s="1330"/>
      <c r="BG29" s="1330"/>
    </row>
    <row r="30" spans="1:59" ht="12.5">
      <c r="A30" s="449"/>
      <c r="B30" s="485" t="s">
        <v>1963</v>
      </c>
      <c r="C30" s="446">
        <f>+$C$28+$G$29</f>
        <v>93960.950000000026</v>
      </c>
      <c r="D30" s="446"/>
      <c r="E30" s="638"/>
      <c r="F30" s="447">
        <v>0</v>
      </c>
      <c r="G30" s="484"/>
      <c r="H30" s="638" t="s">
        <v>619</v>
      </c>
      <c r="I30" s="1239"/>
      <c r="J30" s="446"/>
      <c r="K30" s="638"/>
      <c r="L30" s="638"/>
      <c r="M30" s="638"/>
      <c r="N30" s="1239" t="s">
        <v>843</v>
      </c>
      <c r="O30" s="1239" t="s">
        <v>845</v>
      </c>
      <c r="P30" s="1239"/>
      <c r="Q30" s="638">
        <v>0</v>
      </c>
      <c r="R30" s="638">
        <v>0</v>
      </c>
      <c r="S30" s="484"/>
      <c r="T30" s="638">
        <v>-30</v>
      </c>
      <c r="U30" s="638">
        <v>-15</v>
      </c>
      <c r="V30" s="638"/>
      <c r="W30" s="638">
        <v>1.8</v>
      </c>
      <c r="X30" s="638">
        <v>1.4</v>
      </c>
      <c r="Y30" s="638"/>
      <c r="Z30" s="638"/>
      <c r="AA30" s="638">
        <v>0.45</v>
      </c>
      <c r="AB30" s="638"/>
      <c r="AC30" s="638" t="s">
        <v>1417</v>
      </c>
      <c r="AD30" s="638"/>
      <c r="AE30" s="638"/>
      <c r="AF30" s="638">
        <v>300</v>
      </c>
      <c r="AG30" s="446">
        <v>93961.31</v>
      </c>
      <c r="AH30" s="638">
        <v>1703</v>
      </c>
      <c r="AI30" s="638">
        <v>-5070</v>
      </c>
      <c r="AJ30" s="638"/>
      <c r="AK30" s="638" t="s">
        <v>228</v>
      </c>
      <c r="AL30" s="638"/>
      <c r="AM30" s="638"/>
      <c r="AN30" s="484">
        <v>5.5</v>
      </c>
      <c r="AO30" s="484"/>
      <c r="AP30" s="484"/>
      <c r="AQ30" s="484"/>
      <c r="AR30" s="484"/>
      <c r="AS30" s="484"/>
      <c r="AT30" s="484">
        <f>+ab($T$30,$U$28,$T$32,$G$29,$G$31,-1*$F$30,1200)</f>
        <v>-6.265373669838044</v>
      </c>
      <c r="AU30" s="484"/>
      <c r="AV30" s="484"/>
      <c r="AW30" s="574"/>
      <c r="AX30" s="574"/>
      <c r="AY30" s="576"/>
      <c r="AZ30" s="576"/>
      <c r="BA30" s="671"/>
      <c r="BB30" s="449"/>
      <c r="BD30" s="1330"/>
      <c r="BE30" s="1329">
        <v>43854</v>
      </c>
      <c r="BF30" s="1330"/>
      <c r="BG30" s="1329">
        <v>43870</v>
      </c>
    </row>
    <row r="31" spans="1:59" ht="12.5">
      <c r="A31" s="449"/>
      <c r="B31" s="445"/>
      <c r="C31" s="446"/>
      <c r="D31" s="446"/>
      <c r="E31" s="638"/>
      <c r="F31" s="447"/>
      <c r="G31" s="484">
        <v>43.8</v>
      </c>
      <c r="H31" s="1239"/>
      <c r="I31" s="448">
        <f>SUM(G9:G31)</f>
        <v>471.4</v>
      </c>
      <c r="J31" s="446"/>
      <c r="K31" s="638"/>
      <c r="L31" s="638"/>
      <c r="M31" s="638"/>
      <c r="N31" s="1239"/>
      <c r="O31" s="1239"/>
      <c r="P31" s="1239"/>
      <c r="Q31" s="638"/>
      <c r="R31" s="638"/>
      <c r="S31" s="484">
        <f>+AG32-AG30</f>
        <v>44.850000000005821</v>
      </c>
      <c r="T31" s="638"/>
      <c r="U31" s="638"/>
      <c r="V31" s="638"/>
      <c r="W31" s="638"/>
      <c r="X31" s="638"/>
      <c r="Y31" s="638"/>
      <c r="Z31" s="638"/>
      <c r="AA31" s="638"/>
      <c r="AB31" s="638"/>
      <c r="AC31" s="638"/>
      <c r="AD31" s="638"/>
      <c r="AE31" s="638"/>
      <c r="AF31" s="638"/>
      <c r="AG31" s="446"/>
      <c r="AH31" s="638"/>
      <c r="AI31" s="638"/>
      <c r="AJ31" s="638"/>
      <c r="AK31" s="638" t="s">
        <v>2760</v>
      </c>
      <c r="AL31" s="638"/>
      <c r="AM31" s="638"/>
      <c r="AN31" s="484"/>
      <c r="AO31" s="484"/>
      <c r="AP31" s="484"/>
      <c r="AQ31" s="484">
        <f>+FL_2($T$32,-$T$30,$G$31,1200,9.28,-1*$F$32)</f>
        <v>-4.9844701025182944E-2</v>
      </c>
      <c r="AR31" s="484"/>
      <c r="AS31" s="484"/>
      <c r="AT31" s="484"/>
      <c r="AU31" s="484"/>
      <c r="AV31" s="484"/>
      <c r="AW31" s="638"/>
      <c r="AX31" s="638"/>
      <c r="AY31" s="484"/>
      <c r="AZ31" s="484"/>
      <c r="BA31" s="1310"/>
      <c r="BB31" s="449"/>
      <c r="BD31" s="1330"/>
      <c r="BE31" s="1330"/>
      <c r="BF31" s="1330"/>
      <c r="BG31" s="1330"/>
    </row>
    <row r="32" spans="1:59" ht="12.5">
      <c r="A32" s="449"/>
      <c r="B32" s="485" t="s">
        <v>1964</v>
      </c>
      <c r="C32" s="446">
        <f>+$C$30+$G$31</f>
        <v>94004.750000000029</v>
      </c>
      <c r="D32" s="446"/>
      <c r="E32" s="638"/>
      <c r="F32" s="447">
        <v>-1458.79</v>
      </c>
      <c r="G32" s="484"/>
      <c r="H32" s="1239" t="s">
        <v>874</v>
      </c>
      <c r="I32" s="1239"/>
      <c r="J32" s="171"/>
      <c r="K32" s="638"/>
      <c r="L32" s="638"/>
      <c r="M32" s="638"/>
      <c r="N32" s="1239" t="s">
        <v>844</v>
      </c>
      <c r="O32" s="1239"/>
      <c r="P32" s="1239"/>
      <c r="Q32" s="638">
        <v>30</v>
      </c>
      <c r="R32" s="638">
        <v>-1458.79</v>
      </c>
      <c r="S32" s="484"/>
      <c r="T32" s="638">
        <v>30</v>
      </c>
      <c r="U32" s="638"/>
      <c r="V32" s="638"/>
      <c r="W32" s="638">
        <v>1.2</v>
      </c>
      <c r="X32" s="638"/>
      <c r="Y32" s="638"/>
      <c r="Z32" s="638"/>
      <c r="AA32" s="638"/>
      <c r="AB32" s="638"/>
      <c r="AC32" s="638" t="s">
        <v>4090</v>
      </c>
      <c r="AD32" s="638"/>
      <c r="AE32" s="638"/>
      <c r="AF32" s="638">
        <v>200</v>
      </c>
      <c r="AG32" s="446">
        <v>94006.16</v>
      </c>
      <c r="AH32" s="638">
        <v>1693</v>
      </c>
      <c r="AI32" s="638">
        <v>-4950</v>
      </c>
      <c r="AJ32" s="638"/>
      <c r="AK32" s="638" t="s">
        <v>139</v>
      </c>
      <c r="AL32" s="638"/>
      <c r="AM32" s="638"/>
      <c r="AN32" s="484">
        <v>5.5</v>
      </c>
      <c r="AO32" s="484"/>
      <c r="AP32" s="484"/>
      <c r="AQ32" s="484"/>
      <c r="AR32" s="484"/>
      <c r="AS32" s="484"/>
      <c r="AT32" s="484">
        <f>+ab($T$32,$T$30,$T$34,$G$31,$G$33,-1*$F$32,1200)</f>
        <v>4.0453378754260223</v>
      </c>
      <c r="AU32" s="484"/>
      <c r="AV32" s="484"/>
      <c r="AW32" s="574"/>
      <c r="AX32" s="574"/>
      <c r="AY32" s="576"/>
      <c r="AZ32" s="576"/>
      <c r="BA32" s="671"/>
      <c r="BB32" s="449"/>
      <c r="BD32" s="1330"/>
      <c r="BE32" s="1329">
        <v>43853</v>
      </c>
      <c r="BF32" s="1330"/>
      <c r="BG32" s="1329">
        <v>43870</v>
      </c>
    </row>
    <row r="33" spans="1:59" ht="12.5">
      <c r="A33" s="488" t="s">
        <v>1851</v>
      </c>
      <c r="B33" s="494"/>
      <c r="C33" s="489"/>
      <c r="D33" s="489"/>
      <c r="E33" s="490"/>
      <c r="F33" s="491"/>
      <c r="G33" s="493">
        <v>54.4</v>
      </c>
      <c r="H33" s="495"/>
      <c r="I33" s="492">
        <f>SUM(G33:G51)</f>
        <v>380.5</v>
      </c>
      <c r="J33" s="431"/>
      <c r="K33" s="490"/>
      <c r="L33" s="490"/>
      <c r="M33" s="490"/>
      <c r="N33" s="495"/>
      <c r="O33" s="495"/>
      <c r="P33" s="495"/>
      <c r="Q33" s="490"/>
      <c r="R33" s="490"/>
      <c r="S33" s="493">
        <f>+AG34-AG32</f>
        <v>52.839999999996508</v>
      </c>
      <c r="T33" s="490"/>
      <c r="U33" s="490"/>
      <c r="V33" s="490"/>
      <c r="W33" s="490"/>
      <c r="X33" s="490"/>
      <c r="Y33" s="490"/>
      <c r="Z33" s="490"/>
      <c r="AA33" s="490"/>
      <c r="AB33" s="490"/>
      <c r="AC33" s="490"/>
      <c r="AD33" s="490"/>
      <c r="AE33" s="490"/>
      <c r="AF33" s="490"/>
      <c r="AG33" s="489"/>
      <c r="AH33" s="490"/>
      <c r="AI33" s="490"/>
      <c r="AJ33" s="490"/>
      <c r="AK33" s="490" t="s">
        <v>2760</v>
      </c>
      <c r="AL33" s="490"/>
      <c r="AM33" s="490"/>
      <c r="AN33" s="493"/>
      <c r="AO33" s="493"/>
      <c r="AP33" s="493"/>
      <c r="AQ33" s="493">
        <f>+FL_2($T$34,$T$32,$G$33,1200,9.28,-1*$F$34)</f>
        <v>-0.4729642723273258</v>
      </c>
      <c r="AR33" s="493"/>
      <c r="AS33" s="493"/>
      <c r="AT33" s="493"/>
      <c r="AU33" s="493"/>
      <c r="AV33" s="493"/>
      <c r="AW33" s="490"/>
      <c r="AX33" s="490"/>
      <c r="AY33" s="493"/>
      <c r="AZ33" s="493"/>
      <c r="BA33" s="1309"/>
      <c r="BB33" s="488"/>
      <c r="BD33" s="1330"/>
      <c r="BE33" s="1330"/>
      <c r="BF33" s="1330"/>
      <c r="BG33" s="1330"/>
    </row>
    <row r="34" spans="1:59" ht="12.5">
      <c r="A34" s="449"/>
      <c r="B34" s="485" t="s">
        <v>1965</v>
      </c>
      <c r="C34" s="446">
        <f>+$C$32+$G$33</f>
        <v>94059.150000000023</v>
      </c>
      <c r="D34" s="446"/>
      <c r="E34" s="638"/>
      <c r="F34" s="447">
        <v>-760</v>
      </c>
      <c r="G34" s="484"/>
      <c r="H34" s="1239"/>
      <c r="I34" s="1239"/>
      <c r="J34" s="171"/>
      <c r="K34" s="638"/>
      <c r="L34" s="638"/>
      <c r="M34" s="638"/>
      <c r="N34" s="1239" t="s">
        <v>844</v>
      </c>
      <c r="O34" s="1239"/>
      <c r="P34" s="1239"/>
      <c r="Q34" s="638">
        <v>40</v>
      </c>
      <c r="R34" s="638">
        <v>-760</v>
      </c>
      <c r="S34" s="484"/>
      <c r="T34" s="638">
        <v>30</v>
      </c>
      <c r="U34" s="638"/>
      <c r="V34" s="638"/>
      <c r="W34" s="638">
        <v>1.2</v>
      </c>
      <c r="X34" s="638"/>
      <c r="Y34" s="638"/>
      <c r="Z34" s="638"/>
      <c r="AA34" s="638"/>
      <c r="AB34" s="638"/>
      <c r="AC34" s="638" t="s">
        <v>3050</v>
      </c>
      <c r="AD34" s="638"/>
      <c r="AE34" s="638"/>
      <c r="AF34" s="638">
        <v>200</v>
      </c>
      <c r="AG34" s="446">
        <v>94059</v>
      </c>
      <c r="AH34" s="638">
        <v>1673</v>
      </c>
      <c r="AI34" s="638">
        <v>-4960</v>
      </c>
      <c r="AJ34" s="638"/>
      <c r="AK34" s="638" t="s">
        <v>139</v>
      </c>
      <c r="AL34" s="638"/>
      <c r="AM34" s="638"/>
      <c r="AN34" s="484">
        <v>5.43</v>
      </c>
      <c r="AO34" s="484"/>
      <c r="AP34" s="484"/>
      <c r="AQ34" s="484"/>
      <c r="AR34" s="484"/>
      <c r="AS34" s="484"/>
      <c r="AT34" s="484">
        <f>+ab($T$34,$T$32,$T$36,$G$33,$G$35,-1*$F$34,1200)</f>
        <v>3.0481341813667622</v>
      </c>
      <c r="AU34" s="484"/>
      <c r="AV34" s="484"/>
      <c r="AW34" s="574"/>
      <c r="AX34" s="574"/>
      <c r="AY34" s="576"/>
      <c r="AZ34" s="576"/>
      <c r="BA34" s="671"/>
      <c r="BB34" s="449"/>
      <c r="BD34" s="1330"/>
      <c r="BE34" s="1329">
        <v>43852</v>
      </c>
      <c r="BF34" s="1330"/>
      <c r="BG34" s="1329">
        <v>43870</v>
      </c>
    </row>
    <row r="35" spans="1:59" ht="12.5">
      <c r="A35" s="449"/>
      <c r="B35" s="445"/>
      <c r="C35" s="446"/>
      <c r="D35" s="446"/>
      <c r="E35" s="638"/>
      <c r="F35" s="447"/>
      <c r="G35" s="484">
        <v>41.2</v>
      </c>
      <c r="H35" s="1239"/>
      <c r="I35" s="172"/>
      <c r="J35" s="446"/>
      <c r="K35" s="638"/>
      <c r="L35" s="638"/>
      <c r="M35" s="638"/>
      <c r="N35" s="1239"/>
      <c r="O35" s="1239"/>
      <c r="P35" s="1239"/>
      <c r="Q35" s="638"/>
      <c r="R35" s="638"/>
      <c r="S35" s="484">
        <f>+AG36-AG34</f>
        <v>40.770000000004075</v>
      </c>
      <c r="T35" s="638"/>
      <c r="U35" s="638"/>
      <c r="V35" s="638"/>
      <c r="W35" s="638"/>
      <c r="X35" s="638"/>
      <c r="Y35" s="638"/>
      <c r="Z35" s="638"/>
      <c r="AA35" s="638"/>
      <c r="AB35" s="638"/>
      <c r="AC35" s="638"/>
      <c r="AD35" s="638"/>
      <c r="AE35" s="638"/>
      <c r="AF35" s="638"/>
      <c r="AG35" s="446"/>
      <c r="AH35" s="638"/>
      <c r="AI35" s="638"/>
      <c r="AJ35" s="638"/>
      <c r="AK35" s="638"/>
      <c r="AL35" s="638"/>
      <c r="AM35" s="638"/>
      <c r="AN35" s="484"/>
      <c r="AO35" s="484"/>
      <c r="AP35" s="484"/>
      <c r="AQ35" s="484">
        <f>+FL_1($T$36,$T$34,$G$35,1200,9.28,-1*$F$36)</f>
        <v>0.3</v>
      </c>
      <c r="AR35" s="484"/>
      <c r="AS35" s="484"/>
      <c r="AT35" s="484"/>
      <c r="AU35" s="484"/>
      <c r="AV35" s="484"/>
      <c r="AW35" s="638"/>
      <c r="AX35" s="638"/>
      <c r="AY35" s="484"/>
      <c r="AZ35" s="484"/>
      <c r="BA35" s="1310"/>
      <c r="BB35" s="449"/>
      <c r="BD35" s="1330"/>
      <c r="BE35" s="1330"/>
      <c r="BF35" s="1330"/>
      <c r="BG35" s="1330"/>
    </row>
    <row r="36" spans="1:59" ht="12.5">
      <c r="A36" s="449"/>
      <c r="B36" s="485" t="s">
        <v>1966</v>
      </c>
      <c r="C36" s="446">
        <f>+$C$34+$G$35</f>
        <v>94100.35000000002</v>
      </c>
      <c r="D36" s="446"/>
      <c r="E36" s="638"/>
      <c r="F36" s="447">
        <v>-760</v>
      </c>
      <c r="G36" s="484"/>
      <c r="H36" s="638"/>
      <c r="I36" s="448"/>
      <c r="J36" s="446"/>
      <c r="K36" s="638"/>
      <c r="L36" s="638"/>
      <c r="M36" s="638"/>
      <c r="N36" s="1239" t="s">
        <v>844</v>
      </c>
      <c r="O36" s="1239"/>
      <c r="P36" s="1239"/>
      <c r="Q36" s="638">
        <v>40</v>
      </c>
      <c r="R36" s="638">
        <v>-760</v>
      </c>
      <c r="S36" s="484"/>
      <c r="T36" s="638">
        <v>30</v>
      </c>
      <c r="U36" s="638"/>
      <c r="V36" s="638"/>
      <c r="W36" s="638">
        <v>1.4</v>
      </c>
      <c r="X36" s="638"/>
      <c r="Y36" s="638"/>
      <c r="Z36" s="638"/>
      <c r="AA36" s="638"/>
      <c r="AB36" s="638"/>
      <c r="AC36" s="638" t="s">
        <v>3050</v>
      </c>
      <c r="AD36" s="638"/>
      <c r="AE36" s="638"/>
      <c r="AF36" s="638">
        <v>200</v>
      </c>
      <c r="AG36" s="446">
        <v>94099.77</v>
      </c>
      <c r="AH36" s="638">
        <v>1793</v>
      </c>
      <c r="AI36" s="638">
        <v>-4890</v>
      </c>
      <c r="AJ36" s="638"/>
      <c r="AK36" s="638" t="s">
        <v>139</v>
      </c>
      <c r="AL36" s="638"/>
      <c r="AM36" s="638"/>
      <c r="AN36" s="484">
        <v>5.31</v>
      </c>
      <c r="AO36" s="484"/>
      <c r="AP36" s="484"/>
      <c r="AQ36" s="484"/>
      <c r="AR36" s="484"/>
      <c r="AS36" s="484"/>
      <c r="AT36" s="484">
        <f>+ab($T$36,$T$34,$T$38,$G$35,$G$37,-1*$F$36,1200)</f>
        <v>3.3411257128557845</v>
      </c>
      <c r="AU36" s="484"/>
      <c r="AV36" s="484"/>
      <c r="AW36" s="574"/>
      <c r="AX36" s="574"/>
      <c r="AY36" s="576"/>
      <c r="AZ36" s="576"/>
      <c r="BA36" s="671"/>
      <c r="BB36" s="449"/>
      <c r="BD36" s="1330"/>
      <c r="BE36" s="1329">
        <v>43858</v>
      </c>
      <c r="BF36" s="1330"/>
      <c r="BG36" s="1329">
        <v>43870</v>
      </c>
    </row>
    <row r="37" spans="1:59" ht="12.5">
      <c r="A37" s="449"/>
      <c r="B37" s="445"/>
      <c r="C37" s="446"/>
      <c r="D37" s="446"/>
      <c r="E37" s="638"/>
      <c r="F37" s="447"/>
      <c r="G37" s="484">
        <v>46</v>
      </c>
      <c r="H37" s="1239"/>
      <c r="I37" s="448"/>
      <c r="J37" s="446"/>
      <c r="K37" s="638"/>
      <c r="L37" s="638"/>
      <c r="M37" s="638"/>
      <c r="N37" s="1239"/>
      <c r="O37" s="1239"/>
      <c r="P37" s="1239"/>
      <c r="Q37" s="638"/>
      <c r="R37" s="638"/>
      <c r="S37" s="484">
        <f>+AG38-AG36</f>
        <v>45.940000000002328</v>
      </c>
      <c r="T37" s="638"/>
      <c r="U37" s="638"/>
      <c r="V37" s="638"/>
      <c r="W37" s="638"/>
      <c r="X37" s="638"/>
      <c r="Y37" s="638"/>
      <c r="Z37" s="638"/>
      <c r="AA37" s="638"/>
      <c r="AB37" s="638"/>
      <c r="AC37" s="638"/>
      <c r="AD37" s="638"/>
      <c r="AE37" s="638"/>
      <c r="AF37" s="638"/>
      <c r="AG37" s="446"/>
      <c r="AH37" s="638"/>
      <c r="AI37" s="638"/>
      <c r="AJ37" s="638"/>
      <c r="AK37" s="638"/>
      <c r="AL37" s="638"/>
      <c r="AM37" s="638"/>
      <c r="AN37" s="484"/>
      <c r="AO37" s="484"/>
      <c r="AP37" s="484"/>
      <c r="AQ37" s="484">
        <f>+FL_1($T$38,$T$36,$G$37,1200,9.28,-1*$F$38)</f>
        <v>0.30012479197482028</v>
      </c>
      <c r="AR37" s="484"/>
      <c r="AS37" s="484"/>
      <c r="AT37" s="484"/>
      <c r="AU37" s="484"/>
      <c r="AV37" s="484"/>
      <c r="AW37" s="638"/>
      <c r="AX37" s="638"/>
      <c r="AY37" s="484"/>
      <c r="AZ37" s="484"/>
      <c r="BA37" s="1310"/>
      <c r="BB37" s="449"/>
      <c r="BD37" s="1330"/>
      <c r="BE37" s="1330"/>
      <c r="BF37" s="1330"/>
      <c r="BG37" s="1330"/>
    </row>
    <row r="38" spans="1:59" ht="12.5">
      <c r="A38" s="449"/>
      <c r="B38" s="485" t="s">
        <v>1967</v>
      </c>
      <c r="C38" s="446">
        <f>+$C$36+$G$37</f>
        <v>94146.35000000002</v>
      </c>
      <c r="D38" s="446"/>
      <c r="E38" s="638"/>
      <c r="F38" s="447">
        <v>-760</v>
      </c>
      <c r="G38" s="484"/>
      <c r="H38" s="1239"/>
      <c r="I38" s="448"/>
      <c r="J38" s="446"/>
      <c r="K38" s="638"/>
      <c r="L38" s="638"/>
      <c r="M38" s="638"/>
      <c r="N38" s="1239" t="s">
        <v>844</v>
      </c>
      <c r="O38" s="1239"/>
      <c r="P38" s="638"/>
      <c r="Q38" s="638">
        <v>40</v>
      </c>
      <c r="R38" s="638">
        <v>-760</v>
      </c>
      <c r="S38" s="484"/>
      <c r="T38" s="638">
        <v>30</v>
      </c>
      <c r="U38" s="638"/>
      <c r="V38" s="638"/>
      <c r="W38" s="638">
        <v>1</v>
      </c>
      <c r="X38" s="638"/>
      <c r="Y38" s="638"/>
      <c r="Z38" s="638"/>
      <c r="AA38" s="638"/>
      <c r="AB38" s="638"/>
      <c r="AC38" s="638" t="s">
        <v>3050</v>
      </c>
      <c r="AD38" s="638"/>
      <c r="AE38" s="638"/>
      <c r="AF38" s="638">
        <v>200</v>
      </c>
      <c r="AG38" s="446">
        <v>94145.71</v>
      </c>
      <c r="AH38" s="638">
        <v>1893</v>
      </c>
      <c r="AI38" s="638">
        <v>-5040</v>
      </c>
      <c r="AJ38" s="638"/>
      <c r="AK38" s="638" t="s">
        <v>139</v>
      </c>
      <c r="AL38" s="638"/>
      <c r="AM38" s="638"/>
      <c r="AN38" s="484">
        <v>5.21</v>
      </c>
      <c r="AO38" s="484"/>
      <c r="AP38" s="484"/>
      <c r="AQ38" s="484"/>
      <c r="AR38" s="484"/>
      <c r="AS38" s="484"/>
      <c r="AT38" s="484">
        <f>+ab($T$38,$T$36,$T$40,$G$37,$G$39,-1*$F$38,1200)</f>
        <v>3.2445990842392707</v>
      </c>
      <c r="AU38" s="484"/>
      <c r="AV38" s="484"/>
      <c r="AW38" s="574"/>
      <c r="AX38" s="574"/>
      <c r="AY38" s="576"/>
      <c r="AZ38" s="576"/>
      <c r="BA38" s="671"/>
      <c r="BB38" s="449"/>
      <c r="BD38" s="1330"/>
      <c r="BE38" s="1329">
        <v>43858</v>
      </c>
      <c r="BF38" s="1330"/>
      <c r="BG38" s="1329">
        <v>43870</v>
      </c>
    </row>
    <row r="39" spans="1:59" ht="12.5">
      <c r="A39" s="449"/>
      <c r="B39" s="445"/>
      <c r="C39" s="446"/>
      <c r="D39" s="446"/>
      <c r="E39" s="638"/>
      <c r="F39" s="447"/>
      <c r="G39" s="484">
        <v>43.8</v>
      </c>
      <c r="H39" s="1239"/>
      <c r="I39" s="448"/>
      <c r="J39" s="446"/>
      <c r="K39" s="638"/>
      <c r="L39" s="638"/>
      <c r="M39" s="638"/>
      <c r="N39" s="1239"/>
      <c r="O39" s="1239"/>
      <c r="P39" s="638"/>
      <c r="Q39" s="638"/>
      <c r="R39" s="638"/>
      <c r="S39" s="484">
        <f>+AG40-AG38</f>
        <v>44.009999999994761</v>
      </c>
      <c r="T39" s="638"/>
      <c r="U39" s="638"/>
      <c r="V39" s="638"/>
      <c r="W39" s="638"/>
      <c r="X39" s="638"/>
      <c r="Y39" s="638"/>
      <c r="Z39" s="638"/>
      <c r="AA39" s="638"/>
      <c r="AB39" s="638"/>
      <c r="AC39" s="638"/>
      <c r="AD39" s="638"/>
      <c r="AE39" s="638"/>
      <c r="AF39" s="638"/>
      <c r="AG39" s="446"/>
      <c r="AH39" s="638"/>
      <c r="AI39" s="638"/>
      <c r="AJ39" s="638"/>
      <c r="AK39" s="638"/>
      <c r="AL39" s="638"/>
      <c r="AM39" s="638"/>
      <c r="AN39" s="484"/>
      <c r="AO39" s="484"/>
      <c r="AP39" s="484"/>
      <c r="AQ39" s="484">
        <f>+FL_1($T$40,$T$38,$G$39,1200,9.28,-1*$F$40)</f>
        <v>0.30011882496291759</v>
      </c>
      <c r="AR39" s="484"/>
      <c r="AS39" s="484"/>
      <c r="AT39" s="484"/>
      <c r="AU39" s="484"/>
      <c r="AV39" s="484"/>
      <c r="AW39" s="638"/>
      <c r="AX39" s="638"/>
      <c r="AY39" s="484"/>
      <c r="AZ39" s="484"/>
      <c r="BA39" s="1310"/>
      <c r="BB39" s="449"/>
      <c r="BD39" s="1330"/>
      <c r="BE39" s="1330"/>
      <c r="BF39" s="1330"/>
      <c r="BG39" s="1330"/>
    </row>
    <row r="40" spans="1:59" ht="12.5">
      <c r="A40" s="449"/>
      <c r="B40" s="485" t="s">
        <v>1968</v>
      </c>
      <c r="C40" s="446">
        <f>+$C$38+$G$39</f>
        <v>94190.150000000023</v>
      </c>
      <c r="D40" s="446"/>
      <c r="E40" s="638"/>
      <c r="F40" s="447">
        <v>-760</v>
      </c>
      <c r="G40" s="484"/>
      <c r="H40" s="1239"/>
      <c r="I40" s="448"/>
      <c r="J40" s="446"/>
      <c r="K40" s="638"/>
      <c r="L40" s="638"/>
      <c r="M40" s="638"/>
      <c r="N40" s="1239" t="s">
        <v>2797</v>
      </c>
      <c r="O40" s="1239"/>
      <c r="P40" s="638"/>
      <c r="Q40" s="638">
        <v>40</v>
      </c>
      <c r="R40" s="638">
        <v>771.4</v>
      </c>
      <c r="S40" s="484"/>
      <c r="T40" s="638">
        <v>30</v>
      </c>
      <c r="U40" s="638"/>
      <c r="V40" s="638"/>
      <c r="W40" s="638">
        <v>0.55000000000000004</v>
      </c>
      <c r="X40" s="638"/>
      <c r="Y40" s="638"/>
      <c r="Z40" s="638"/>
      <c r="AA40" s="638"/>
      <c r="AB40" s="638"/>
      <c r="AC40" s="638" t="s">
        <v>3050</v>
      </c>
      <c r="AD40" s="638"/>
      <c r="AE40" s="638"/>
      <c r="AF40" s="638">
        <v>400</v>
      </c>
      <c r="AG40" s="446">
        <v>94189.72</v>
      </c>
      <c r="AH40" s="638">
        <v>1763</v>
      </c>
      <c r="AI40" s="638">
        <v>-5250</v>
      </c>
      <c r="AJ40" s="638"/>
      <c r="AK40" s="638" t="s">
        <v>139</v>
      </c>
      <c r="AL40" s="638"/>
      <c r="AM40" s="638"/>
      <c r="AN40" s="484">
        <v>5.15</v>
      </c>
      <c r="AO40" s="484"/>
      <c r="AP40" s="484"/>
      <c r="AQ40" s="484"/>
      <c r="AR40" s="484"/>
      <c r="AS40" s="484"/>
      <c r="AT40" s="484">
        <f>+ab($T$40,$T$38,$T$42,$G$39,$G$41,-1*$F$40,1200)</f>
        <v>3.4763585222948024</v>
      </c>
      <c r="AU40" s="484"/>
      <c r="AV40" s="484"/>
      <c r="AW40" s="574"/>
      <c r="AX40" s="574"/>
      <c r="AY40" s="576"/>
      <c r="AZ40" s="576"/>
      <c r="BA40" s="671"/>
      <c r="BB40" s="449"/>
      <c r="BD40" s="1330"/>
      <c r="BE40" s="1329" t="s">
        <v>4946</v>
      </c>
      <c r="BF40" s="1330"/>
      <c r="BG40" s="1329">
        <v>43839</v>
      </c>
    </row>
    <row r="41" spans="1:59" ht="12.5">
      <c r="A41" s="488" t="s">
        <v>1851</v>
      </c>
      <c r="B41" s="494"/>
      <c r="C41" s="489"/>
      <c r="D41" s="489"/>
      <c r="E41" s="490"/>
      <c r="F41" s="491"/>
      <c r="G41" s="493">
        <v>40</v>
      </c>
      <c r="H41" s="495"/>
      <c r="I41" s="492"/>
      <c r="J41" s="489"/>
      <c r="K41" s="490"/>
      <c r="L41" s="490"/>
      <c r="M41" s="490"/>
      <c r="N41" s="495"/>
      <c r="O41" s="495"/>
      <c r="P41" s="490"/>
      <c r="Q41" s="490"/>
      <c r="R41" s="490"/>
      <c r="S41" s="493">
        <f>+AG42-AG40</f>
        <v>39.69999999999709</v>
      </c>
      <c r="T41" s="490"/>
      <c r="U41" s="490"/>
      <c r="V41" s="490"/>
      <c r="W41" s="490"/>
      <c r="X41" s="490"/>
      <c r="Y41" s="490"/>
      <c r="Z41" s="490"/>
      <c r="AA41" s="490"/>
      <c r="AB41" s="490"/>
      <c r="AC41" s="490"/>
      <c r="AD41" s="490"/>
      <c r="AE41" s="490"/>
      <c r="AF41" s="490"/>
      <c r="AG41" s="489"/>
      <c r="AH41" s="490"/>
      <c r="AI41" s="490"/>
      <c r="AJ41" s="490"/>
      <c r="AK41" s="490"/>
      <c r="AL41" s="490"/>
      <c r="AM41" s="490"/>
      <c r="AN41" s="493"/>
      <c r="AO41" s="493"/>
      <c r="AP41" s="493"/>
      <c r="AQ41" s="493">
        <f>+FL_1($T$42,$T$40,$G$41,1200,9.28,-1*$F$42)</f>
        <v>0.3</v>
      </c>
      <c r="AR41" s="493"/>
      <c r="AS41" s="493"/>
      <c r="AT41" s="493"/>
      <c r="AU41" s="493"/>
      <c r="AV41" s="493"/>
      <c r="AW41" s="490"/>
      <c r="AX41" s="490"/>
      <c r="AY41" s="493"/>
      <c r="AZ41" s="493"/>
      <c r="BA41" s="602"/>
      <c r="BB41" s="488"/>
      <c r="BD41" s="1330"/>
      <c r="BE41" s="1330"/>
      <c r="BF41" s="1330"/>
      <c r="BG41" s="1330"/>
    </row>
    <row r="42" spans="1:59" ht="12.5">
      <c r="A42" s="449"/>
      <c r="B42" s="485" t="s">
        <v>1969</v>
      </c>
      <c r="C42" s="446">
        <f>+$C$40+$G$41</f>
        <v>94230.150000000023</v>
      </c>
      <c r="D42" s="446"/>
      <c r="E42" s="638"/>
      <c r="F42" s="447">
        <v>-760</v>
      </c>
      <c r="G42" s="484"/>
      <c r="H42" s="1239"/>
      <c r="I42" s="448"/>
      <c r="J42" s="446"/>
      <c r="K42" s="638"/>
      <c r="L42" s="638"/>
      <c r="M42" s="638"/>
      <c r="N42" s="1239" t="s">
        <v>2797</v>
      </c>
      <c r="O42" s="1239"/>
      <c r="P42" s="638"/>
      <c r="Q42" s="638">
        <v>50</v>
      </c>
      <c r="R42" s="638">
        <v>771.4</v>
      </c>
      <c r="S42" s="484"/>
      <c r="T42" s="638">
        <v>30</v>
      </c>
      <c r="U42" s="638"/>
      <c r="V42" s="638"/>
      <c r="W42" s="638">
        <v>0.55000000000000004</v>
      </c>
      <c r="X42" s="638"/>
      <c r="Y42" s="638"/>
      <c r="Z42" s="638"/>
      <c r="AA42" s="638"/>
      <c r="AB42" s="638"/>
      <c r="AC42" s="638" t="s">
        <v>4090</v>
      </c>
      <c r="AD42" s="638"/>
      <c r="AE42" s="638"/>
      <c r="AF42" s="638">
        <v>700</v>
      </c>
      <c r="AG42" s="446">
        <v>94229.42</v>
      </c>
      <c r="AH42" s="638">
        <v>1923</v>
      </c>
      <c r="AI42" s="638">
        <v>-4930</v>
      </c>
      <c r="AJ42" s="638"/>
      <c r="AK42" s="638" t="s">
        <v>139</v>
      </c>
      <c r="AL42" s="638"/>
      <c r="AM42" s="638"/>
      <c r="AN42" s="484">
        <v>5.15</v>
      </c>
      <c r="AO42" s="484"/>
      <c r="AP42" s="484"/>
      <c r="AQ42" s="484"/>
      <c r="AR42" s="484"/>
      <c r="AS42" s="484"/>
      <c r="AT42" s="484">
        <f>+ab($T$42,$T$40,$U$44,$G$41,$G$43,-1*$F$42,1200)</f>
        <v>4.1011064217043698</v>
      </c>
      <c r="AU42" s="484"/>
      <c r="AV42" s="484"/>
      <c r="AW42" s="574"/>
      <c r="AX42" s="574"/>
      <c r="AY42" s="576"/>
      <c r="AZ42" s="576"/>
      <c r="BA42" s="671"/>
      <c r="BB42" s="449"/>
      <c r="BD42" s="1330"/>
      <c r="BE42" s="1329" t="s">
        <v>4946</v>
      </c>
      <c r="BF42" s="1330"/>
      <c r="BG42" s="1329">
        <v>43839</v>
      </c>
    </row>
    <row r="43" spans="1:59" ht="12.5">
      <c r="A43" s="449"/>
      <c r="B43" s="170"/>
      <c r="C43" s="446"/>
      <c r="D43" s="446"/>
      <c r="E43" s="638"/>
      <c r="F43" s="447"/>
      <c r="G43" s="484">
        <v>31</v>
      </c>
      <c r="H43" s="1239"/>
      <c r="I43" s="1239"/>
      <c r="J43" s="446"/>
      <c r="K43" s="638"/>
      <c r="L43" s="638"/>
      <c r="M43" s="638"/>
      <c r="N43" s="1239"/>
      <c r="O43" s="1239"/>
      <c r="P43" s="638"/>
      <c r="Q43" s="638"/>
      <c r="R43" s="638"/>
      <c r="S43" s="484">
        <f>+AG44-AG42</f>
        <v>30.910000000003492</v>
      </c>
      <c r="T43" s="638"/>
      <c r="U43" s="638"/>
      <c r="V43" s="638"/>
      <c r="W43" s="638"/>
      <c r="X43" s="638"/>
      <c r="Y43" s="638"/>
      <c r="Z43" s="638"/>
      <c r="AA43" s="638"/>
      <c r="AB43" s="638"/>
      <c r="AC43" s="638"/>
      <c r="AD43" s="638"/>
      <c r="AE43" s="638"/>
      <c r="AF43" s="638"/>
      <c r="AG43" s="446"/>
      <c r="AH43" s="638"/>
      <c r="AI43" s="638"/>
      <c r="AJ43" s="638"/>
      <c r="AK43" s="638"/>
      <c r="AL43" s="638"/>
      <c r="AM43" s="638"/>
      <c r="AN43" s="484"/>
      <c r="AO43" s="484"/>
      <c r="AP43" s="484"/>
      <c r="AQ43" s="484">
        <f>+FL_1($U$44,$T$42,$G$43,1200,9.28,-1*$F$44)</f>
        <v>0.3000000000000892</v>
      </c>
      <c r="AR43" s="484"/>
      <c r="AS43" s="484"/>
      <c r="AT43" s="484"/>
      <c r="AU43" s="484"/>
      <c r="AV43" s="484"/>
      <c r="AW43" s="638"/>
      <c r="AX43" s="638"/>
      <c r="AY43" s="484"/>
      <c r="AZ43" s="484"/>
      <c r="BA43" s="671"/>
      <c r="BB43" s="449"/>
      <c r="BD43" s="1330"/>
      <c r="BE43" s="1330"/>
      <c r="BF43" s="1330"/>
      <c r="BG43" s="1330"/>
    </row>
    <row r="44" spans="1:59" ht="12.5">
      <c r="A44" s="449"/>
      <c r="B44" s="436" t="s">
        <v>1970</v>
      </c>
      <c r="C44" s="446">
        <f>+$C$42+$G$43</f>
        <v>94261.150000000023</v>
      </c>
      <c r="D44" s="446"/>
      <c r="E44" s="638"/>
      <c r="F44" s="447">
        <v>-760</v>
      </c>
      <c r="G44" s="484"/>
      <c r="H44" s="1239" t="s">
        <v>619</v>
      </c>
      <c r="I44" s="1239"/>
      <c r="J44" s="171"/>
      <c r="K44" s="638"/>
      <c r="L44" s="638"/>
      <c r="M44" s="638"/>
      <c r="N44" s="1239" t="s">
        <v>845</v>
      </c>
      <c r="O44" s="1239" t="s">
        <v>844</v>
      </c>
      <c r="P44" s="638"/>
      <c r="Q44" s="638">
        <v>50</v>
      </c>
      <c r="R44" s="638">
        <v>771.4</v>
      </c>
      <c r="S44" s="484"/>
      <c r="T44" s="638">
        <v>75</v>
      </c>
      <c r="U44" s="638">
        <v>30</v>
      </c>
      <c r="V44" s="638"/>
      <c r="W44" s="638">
        <v>0.8</v>
      </c>
      <c r="X44" s="638">
        <v>1</v>
      </c>
      <c r="Y44" s="638"/>
      <c r="Z44" s="638">
        <v>0.38</v>
      </c>
      <c r="AA44" s="638"/>
      <c r="AB44" s="638"/>
      <c r="AC44" s="638" t="s">
        <v>4090</v>
      </c>
      <c r="AD44" s="638"/>
      <c r="AE44" s="638"/>
      <c r="AF44" s="638">
        <v>200</v>
      </c>
      <c r="AG44" s="446">
        <v>94260.33</v>
      </c>
      <c r="AH44" s="638">
        <v>1853</v>
      </c>
      <c r="AI44" s="638">
        <v>-4910</v>
      </c>
      <c r="AJ44" s="638"/>
      <c r="AK44" s="638" t="s">
        <v>228</v>
      </c>
      <c r="AL44" s="638"/>
      <c r="AM44" s="638"/>
      <c r="AN44" s="484">
        <v>5.15</v>
      </c>
      <c r="AO44" s="484"/>
      <c r="AP44" s="484"/>
      <c r="AQ44" s="484"/>
      <c r="AR44" s="484"/>
      <c r="AS44" s="484"/>
      <c r="AT44" s="484">
        <f>+ab($U$44,$T$42,$U$46,$G$43,$G$45,-1*$F$44,1200)</f>
        <v>4.7242782819667388</v>
      </c>
      <c r="AU44" s="484"/>
      <c r="AV44" s="484"/>
      <c r="AW44" s="574"/>
      <c r="AX44" s="574"/>
      <c r="AY44" s="576"/>
      <c r="AZ44" s="576"/>
      <c r="BA44" s="671"/>
      <c r="BB44" s="449"/>
      <c r="BD44" s="1330"/>
      <c r="BE44" s="1329" t="s">
        <v>4946</v>
      </c>
      <c r="BF44" s="1330"/>
      <c r="BG44" s="1329">
        <v>43839</v>
      </c>
    </row>
    <row r="45" spans="1:59" ht="12.5">
      <c r="A45" s="449"/>
      <c r="B45" s="170"/>
      <c r="C45" s="446"/>
      <c r="D45" s="446"/>
      <c r="E45" s="638"/>
      <c r="F45" s="447"/>
      <c r="G45" s="484">
        <v>30.6</v>
      </c>
      <c r="H45" s="1239"/>
      <c r="I45" s="1239"/>
      <c r="J45" s="171"/>
      <c r="K45" s="638"/>
      <c r="L45" s="638"/>
      <c r="M45" s="497"/>
      <c r="N45" s="1239"/>
      <c r="O45" s="1239"/>
      <c r="P45" s="638"/>
      <c r="Q45" s="638"/>
      <c r="R45" s="638"/>
      <c r="S45" s="484">
        <f>+AG46-AG44</f>
        <v>30.490000000005239</v>
      </c>
      <c r="T45" s="638"/>
      <c r="U45" s="638"/>
      <c r="V45" s="638"/>
      <c r="W45" s="638"/>
      <c r="X45" s="638"/>
      <c r="Y45" s="638"/>
      <c r="Z45" s="638"/>
      <c r="AA45" s="638"/>
      <c r="AB45" s="638"/>
      <c r="AC45" s="638"/>
      <c r="AD45" s="638"/>
      <c r="AE45" s="638"/>
      <c r="AF45" s="638"/>
      <c r="AG45" s="446"/>
      <c r="AH45" s="638"/>
      <c r="AI45" s="638"/>
      <c r="AJ45" s="638"/>
      <c r="AK45" s="638"/>
      <c r="AL45" s="638"/>
      <c r="AM45" s="638"/>
      <c r="AN45" s="484"/>
      <c r="AO45" s="484"/>
      <c r="AP45" s="484"/>
      <c r="AQ45" s="484">
        <f>+FL_1($U$46,$U$44,$G$45,1200,9.28,-1*$F$46)</f>
        <v>0.30000000000009025</v>
      </c>
      <c r="AR45" s="484"/>
      <c r="AS45" s="484"/>
      <c r="AT45" s="484"/>
      <c r="AU45" s="484"/>
      <c r="AV45" s="484"/>
      <c r="AW45" s="638"/>
      <c r="AX45" s="638"/>
      <c r="AY45" s="484"/>
      <c r="AZ45" s="484"/>
      <c r="BA45" s="671"/>
      <c r="BB45" s="449"/>
      <c r="BD45" s="1330"/>
      <c r="BE45" s="1330"/>
      <c r="BF45" s="1330"/>
      <c r="BG45" s="1330"/>
    </row>
    <row r="46" spans="1:59" ht="12.5">
      <c r="A46" s="449"/>
      <c r="B46" s="436" t="s">
        <v>1971</v>
      </c>
      <c r="C46" s="446">
        <f>+$C$44+$G$45</f>
        <v>94291.750000000029</v>
      </c>
      <c r="D46" s="446"/>
      <c r="E46" s="638"/>
      <c r="F46" s="447">
        <v>-760</v>
      </c>
      <c r="G46" s="484"/>
      <c r="H46" s="1239" t="s">
        <v>619</v>
      </c>
      <c r="I46" s="1239"/>
      <c r="J46" s="171"/>
      <c r="K46" s="638"/>
      <c r="L46" s="638"/>
      <c r="M46" s="638"/>
      <c r="N46" s="1239" t="s">
        <v>844</v>
      </c>
      <c r="O46" s="1239" t="s">
        <v>844</v>
      </c>
      <c r="P46" s="638"/>
      <c r="Q46" s="638">
        <v>50</v>
      </c>
      <c r="R46" s="638">
        <v>771.4</v>
      </c>
      <c r="S46" s="484"/>
      <c r="T46" s="638">
        <v>75</v>
      </c>
      <c r="U46" s="638">
        <v>30</v>
      </c>
      <c r="V46" s="638"/>
      <c r="W46" s="638">
        <v>1.2</v>
      </c>
      <c r="X46" s="638">
        <v>1.7</v>
      </c>
      <c r="Y46" s="638"/>
      <c r="Z46" s="638">
        <v>0.2</v>
      </c>
      <c r="AA46" s="638"/>
      <c r="AB46" s="638"/>
      <c r="AC46" s="638" t="s">
        <v>3050</v>
      </c>
      <c r="AD46" s="638" t="s">
        <v>4483</v>
      </c>
      <c r="AE46" s="638"/>
      <c r="AF46" s="638">
        <v>200</v>
      </c>
      <c r="AG46" s="446">
        <v>94290.82</v>
      </c>
      <c r="AH46" s="638">
        <v>2103</v>
      </c>
      <c r="AI46" s="638">
        <v>-5410</v>
      </c>
      <c r="AJ46" s="638"/>
      <c r="AK46" s="638" t="s">
        <v>228</v>
      </c>
      <c r="AL46" s="638"/>
      <c r="AM46" s="638"/>
      <c r="AN46" s="484">
        <v>5.15</v>
      </c>
      <c r="AO46" s="484"/>
      <c r="AP46" s="484"/>
      <c r="AQ46" s="484"/>
      <c r="AR46" s="484"/>
      <c r="AS46" s="484"/>
      <c r="AT46" s="484">
        <f>+ab($U$46,$U$44,$T$48,$G$45,$G$47,-1*$F$46,1200)</f>
        <v>4.4076568464324533</v>
      </c>
      <c r="AU46" s="484"/>
      <c r="AV46" s="484"/>
      <c r="AW46" s="574"/>
      <c r="AX46" s="574"/>
      <c r="AY46" s="576"/>
      <c r="AZ46" s="576"/>
      <c r="BA46" s="671"/>
      <c r="BB46" s="449"/>
      <c r="BD46" s="1330"/>
      <c r="BE46" s="1329">
        <v>43810</v>
      </c>
      <c r="BF46" s="1330"/>
      <c r="BG46" s="1329">
        <v>43814</v>
      </c>
    </row>
    <row r="47" spans="1:59" ht="12.5">
      <c r="A47" s="449"/>
      <c r="B47" s="170"/>
      <c r="C47" s="446"/>
      <c r="D47" s="446"/>
      <c r="E47" s="638"/>
      <c r="F47" s="447"/>
      <c r="G47" s="484">
        <v>27</v>
      </c>
      <c r="H47" s="1239"/>
      <c r="I47" s="1239"/>
      <c r="J47" s="171"/>
      <c r="K47" s="638"/>
      <c r="L47" s="638"/>
      <c r="M47" s="497"/>
      <c r="N47" s="1239"/>
      <c r="O47" s="1239"/>
      <c r="P47" s="638"/>
      <c r="Q47" s="638"/>
      <c r="R47" s="638"/>
      <c r="S47" s="484">
        <f>+AG48-AG46</f>
        <v>27.929999999993015</v>
      </c>
      <c r="T47" s="638"/>
      <c r="U47" s="638"/>
      <c r="V47" s="638"/>
      <c r="W47" s="638"/>
      <c r="X47" s="638"/>
      <c r="Y47" s="638"/>
      <c r="Z47" s="638"/>
      <c r="AA47" s="638"/>
      <c r="AB47" s="638"/>
      <c r="AC47" s="638"/>
      <c r="AD47" s="638"/>
      <c r="AE47" s="638"/>
      <c r="AF47" s="638"/>
      <c r="AG47" s="446"/>
      <c r="AH47" s="638"/>
      <c r="AI47" s="638"/>
      <c r="AJ47" s="638"/>
      <c r="AK47" s="638"/>
      <c r="AL47" s="638"/>
      <c r="AM47" s="638"/>
      <c r="AN47" s="484"/>
      <c r="AO47" s="484"/>
      <c r="AP47" s="484"/>
      <c r="AQ47" s="484">
        <f>+FL_1($T$48,$U$46,$G$47,1200,9.28,-1*$F$48)</f>
        <v>0.29999999999999305</v>
      </c>
      <c r="AR47" s="484"/>
      <c r="AS47" s="484"/>
      <c r="AT47" s="484"/>
      <c r="AU47" s="484"/>
      <c r="AV47" s="484"/>
      <c r="AW47" s="638"/>
      <c r="AX47" s="638"/>
      <c r="AY47" s="484"/>
      <c r="AZ47" s="484"/>
      <c r="BA47" s="671"/>
      <c r="BB47" s="449"/>
      <c r="BD47" s="1330"/>
      <c r="BE47" s="1330"/>
      <c r="BF47" s="1330"/>
      <c r="BG47" s="1330"/>
    </row>
    <row r="48" spans="1:59" ht="12.5">
      <c r="A48" s="449"/>
      <c r="B48" s="436" t="s">
        <v>1972</v>
      </c>
      <c r="C48" s="446">
        <f>+$C$46+$G$47</f>
        <v>94318.750000000029</v>
      </c>
      <c r="D48" s="446"/>
      <c r="E48" s="638"/>
      <c r="F48" s="447">
        <v>-760</v>
      </c>
      <c r="G48" s="484"/>
      <c r="H48" s="1239" t="s">
        <v>619</v>
      </c>
      <c r="I48" s="1239"/>
      <c r="J48" s="171"/>
      <c r="K48" s="638"/>
      <c r="L48" s="638"/>
      <c r="M48" s="638"/>
      <c r="N48" s="1239" t="s">
        <v>844</v>
      </c>
      <c r="O48" s="1239" t="s">
        <v>844</v>
      </c>
      <c r="P48" s="638"/>
      <c r="Q48" s="638">
        <v>50</v>
      </c>
      <c r="R48" s="638">
        <v>771.4</v>
      </c>
      <c r="S48" s="484"/>
      <c r="T48" s="638">
        <v>15</v>
      </c>
      <c r="U48" s="638">
        <v>-30</v>
      </c>
      <c r="V48" s="638"/>
      <c r="W48" s="638">
        <v>1.4</v>
      </c>
      <c r="X48" s="638">
        <v>2.1</v>
      </c>
      <c r="Y48" s="638"/>
      <c r="Z48" s="638"/>
      <c r="AA48" s="638">
        <v>0.2</v>
      </c>
      <c r="AB48" s="638"/>
      <c r="AC48" s="638" t="s">
        <v>1421</v>
      </c>
      <c r="AD48" s="638" t="s">
        <v>1427</v>
      </c>
      <c r="AE48" s="638"/>
      <c r="AF48" s="638">
        <v>200</v>
      </c>
      <c r="AG48" s="446">
        <v>94318.75</v>
      </c>
      <c r="AH48" s="638">
        <v>1853</v>
      </c>
      <c r="AI48" s="638">
        <v>-5230</v>
      </c>
      <c r="AJ48" s="638"/>
      <c r="AK48" s="638" t="s">
        <v>228</v>
      </c>
      <c r="AL48" s="638"/>
      <c r="AM48" s="638"/>
      <c r="AN48" s="484">
        <v>5.15</v>
      </c>
      <c r="AO48" s="484"/>
      <c r="AP48" s="484"/>
      <c r="AQ48" s="484"/>
      <c r="AR48" s="484"/>
      <c r="AS48" s="484"/>
      <c r="AT48" s="484">
        <f>+ab($T$48,$U$46,$T$50,$G$47,$G$49,-1*$F$48,1200)</f>
        <v>5.8418684000395338</v>
      </c>
      <c r="AU48" s="484"/>
      <c r="AV48" s="484"/>
      <c r="AW48" s="574"/>
      <c r="AX48" s="574"/>
      <c r="AY48" s="576"/>
      <c r="AZ48" s="576"/>
      <c r="BA48" s="671"/>
      <c r="BB48" s="449"/>
      <c r="BD48" s="1330"/>
      <c r="BE48" s="1329">
        <v>43815</v>
      </c>
      <c r="BF48" s="1330"/>
      <c r="BG48" s="1329">
        <v>43839</v>
      </c>
    </row>
    <row r="49" spans="1:59" ht="12.5">
      <c r="A49" s="449"/>
      <c r="B49" s="170"/>
      <c r="C49" s="446"/>
      <c r="D49" s="446"/>
      <c r="E49" s="638"/>
      <c r="F49" s="447"/>
      <c r="G49" s="484">
        <v>31.2</v>
      </c>
      <c r="H49" s="1239"/>
      <c r="I49" s="1239"/>
      <c r="J49" s="446"/>
      <c r="K49" s="638"/>
      <c r="L49" s="638"/>
      <c r="M49" s="497"/>
      <c r="N49" s="1239"/>
      <c r="O49" s="1239"/>
      <c r="P49" s="638"/>
      <c r="Q49" s="638"/>
      <c r="R49" s="638"/>
      <c r="S49" s="484">
        <f>+AG50-AG48</f>
        <v>31.220000000001164</v>
      </c>
      <c r="T49" s="638"/>
      <c r="U49" s="638"/>
      <c r="V49" s="638"/>
      <c r="W49" s="638"/>
      <c r="X49" s="638"/>
      <c r="Y49" s="638"/>
      <c r="Z49" s="638"/>
      <c r="AA49" s="638"/>
      <c r="AB49" s="638"/>
      <c r="AC49" s="638"/>
      <c r="AD49" s="638"/>
      <c r="AE49" s="638"/>
      <c r="AF49" s="638"/>
      <c r="AG49" s="446"/>
      <c r="AH49" s="638"/>
      <c r="AI49" s="638"/>
      <c r="AJ49" s="638"/>
      <c r="AK49" s="638"/>
      <c r="AL49" s="638"/>
      <c r="AM49" s="638"/>
      <c r="AN49" s="484"/>
      <c r="AO49" s="484"/>
      <c r="AP49" s="484"/>
      <c r="AQ49" s="484">
        <f>+FL_1($T$50,$T$48,$G$49,1200,9.28,-1*$F$50)</f>
        <v>0.15</v>
      </c>
      <c r="AR49" s="484"/>
      <c r="AS49" s="484"/>
      <c r="AT49" s="484"/>
      <c r="AU49" s="484"/>
      <c r="AV49" s="484"/>
      <c r="AW49" s="638"/>
      <c r="AX49" s="638"/>
      <c r="AY49" s="484"/>
      <c r="AZ49" s="484"/>
      <c r="BA49" s="671"/>
      <c r="BB49" s="449"/>
      <c r="BD49" s="1330"/>
      <c r="BE49" s="1330"/>
      <c r="BF49" s="1330"/>
      <c r="BG49" s="1330"/>
    </row>
    <row r="50" spans="1:59" ht="12.5">
      <c r="A50" s="449" t="s">
        <v>2946</v>
      </c>
      <c r="B50" s="436" t="s">
        <v>1973</v>
      </c>
      <c r="C50" s="446">
        <f>+$C$48+$G$49</f>
        <v>94349.950000000026</v>
      </c>
      <c r="D50" s="446"/>
      <c r="E50" s="638"/>
      <c r="F50" s="447">
        <v>-620</v>
      </c>
      <c r="G50" s="484"/>
      <c r="H50" s="638" t="s">
        <v>619</v>
      </c>
      <c r="I50" s="1239" t="s">
        <v>1429</v>
      </c>
      <c r="J50" s="446"/>
      <c r="K50" s="638"/>
      <c r="L50" s="638"/>
      <c r="M50" s="638"/>
      <c r="N50" s="1239" t="s">
        <v>844</v>
      </c>
      <c r="O50" s="1239" t="s">
        <v>845</v>
      </c>
      <c r="P50" s="638"/>
      <c r="Q50" s="638">
        <v>50</v>
      </c>
      <c r="R50" s="638">
        <v>629.29999999999995</v>
      </c>
      <c r="S50" s="484"/>
      <c r="T50" s="638">
        <v>15</v>
      </c>
      <c r="U50" s="638">
        <v>-30</v>
      </c>
      <c r="V50" s="638"/>
      <c r="W50" s="638">
        <v>1.4</v>
      </c>
      <c r="X50" s="638">
        <v>2.2999999999999998</v>
      </c>
      <c r="Y50" s="638"/>
      <c r="Z50" s="638"/>
      <c r="AA50" s="638">
        <v>0.45</v>
      </c>
      <c r="AB50" s="638"/>
      <c r="AC50" s="638" t="s">
        <v>4090</v>
      </c>
      <c r="AD50" s="638"/>
      <c r="AE50" s="638"/>
      <c r="AF50" s="638">
        <v>200</v>
      </c>
      <c r="AG50" s="446">
        <v>94349.97</v>
      </c>
      <c r="AH50" s="638">
        <v>2053</v>
      </c>
      <c r="AI50" s="638">
        <v>-5170</v>
      </c>
      <c r="AJ50" s="638" t="s">
        <v>2755</v>
      </c>
      <c r="AK50" s="638" t="s">
        <v>228</v>
      </c>
      <c r="AL50" s="638"/>
      <c r="AM50" s="638"/>
      <c r="AN50" s="484">
        <v>5.15</v>
      </c>
      <c r="AO50" s="484"/>
      <c r="AP50" s="484"/>
      <c r="AQ50" s="484"/>
      <c r="AR50" s="484"/>
      <c r="AS50" s="484"/>
      <c r="AT50" s="484">
        <f>+ab($T$50,$T$48,$T$52,$G$49,$G$51,-1*$F$50,1200)</f>
        <v>3.8801181647845207</v>
      </c>
      <c r="AU50" s="484"/>
      <c r="AV50" s="484"/>
      <c r="AW50" s="574"/>
      <c r="AX50" s="574"/>
      <c r="AY50" s="576"/>
      <c r="AZ50" s="576"/>
      <c r="BA50" s="671"/>
      <c r="BB50" s="449"/>
      <c r="BD50" s="1330"/>
      <c r="BE50" s="1329">
        <v>43810</v>
      </c>
      <c r="BF50" s="1330"/>
      <c r="BG50" s="1329">
        <v>43814</v>
      </c>
    </row>
    <row r="51" spans="1:59" ht="12.5">
      <c r="A51" s="449"/>
      <c r="B51" s="170"/>
      <c r="C51" s="446"/>
      <c r="D51" s="446"/>
      <c r="E51" s="638"/>
      <c r="F51" s="447"/>
      <c r="G51" s="484">
        <v>35.299999999999997</v>
      </c>
      <c r="H51" s="1239"/>
      <c r="I51" s="448"/>
      <c r="J51" s="171"/>
      <c r="K51" s="638"/>
      <c r="L51" s="638"/>
      <c r="M51" s="497"/>
      <c r="N51" s="1239"/>
      <c r="O51" s="1239"/>
      <c r="P51" s="638"/>
      <c r="Q51" s="638"/>
      <c r="R51" s="638"/>
      <c r="S51" s="484">
        <f>+AG52-AG50</f>
        <v>35.289999999993597</v>
      </c>
      <c r="T51" s="638"/>
      <c r="U51" s="638"/>
      <c r="V51" s="638"/>
      <c r="W51" s="638"/>
      <c r="X51" s="638"/>
      <c r="Y51" s="638"/>
      <c r="Z51" s="638"/>
      <c r="AA51" s="638"/>
      <c r="AB51" s="638"/>
      <c r="AC51" s="638"/>
      <c r="AD51" s="638"/>
      <c r="AE51" s="638"/>
      <c r="AF51" s="638"/>
      <c r="AG51" s="446"/>
      <c r="AH51" s="638"/>
      <c r="AI51" s="638"/>
      <c r="AJ51" s="638"/>
      <c r="AK51" s="638"/>
      <c r="AL51" s="638"/>
      <c r="AM51" s="638"/>
      <c r="AN51" s="484"/>
      <c r="AO51" s="484"/>
      <c r="AP51" s="484"/>
      <c r="AQ51" s="484">
        <f>+FL_1($T$52,$T$50,$G$51,1200,9.28,-1*$F$52)</f>
        <v>0.3</v>
      </c>
      <c r="AR51" s="484"/>
      <c r="AS51" s="484"/>
      <c r="AT51" s="484"/>
      <c r="AU51" s="484"/>
      <c r="AV51" s="484"/>
      <c r="AW51" s="638"/>
      <c r="AX51" s="638"/>
      <c r="AY51" s="484"/>
      <c r="AZ51" s="484"/>
      <c r="BA51" s="671"/>
      <c r="BB51" s="449"/>
      <c r="BD51" s="1330"/>
      <c r="BE51" s="1330"/>
      <c r="BF51" s="1330"/>
      <c r="BG51" s="1330"/>
    </row>
    <row r="52" spans="1:59" ht="12.5">
      <c r="A52" s="449"/>
      <c r="B52" s="436" t="s">
        <v>1974</v>
      </c>
      <c r="C52" s="446">
        <f>+$C$50+$G$51</f>
        <v>94385.250000000029</v>
      </c>
      <c r="D52" s="446"/>
      <c r="E52" s="638"/>
      <c r="F52" s="447">
        <v>-620</v>
      </c>
      <c r="G52" s="484"/>
      <c r="H52" s="1239" t="s">
        <v>138</v>
      </c>
      <c r="I52" s="1239" t="s">
        <v>4231</v>
      </c>
      <c r="J52" s="171"/>
      <c r="K52" s="638"/>
      <c r="L52" s="638" t="s">
        <v>819</v>
      </c>
      <c r="M52" s="638" t="s">
        <v>3671</v>
      </c>
      <c r="N52" s="1239" t="s">
        <v>144</v>
      </c>
      <c r="O52" s="1239"/>
      <c r="P52" s="638"/>
      <c r="Q52" s="638">
        <v>40</v>
      </c>
      <c r="R52" s="638">
        <v>629.29999999999995</v>
      </c>
      <c r="S52" s="484"/>
      <c r="T52" s="638">
        <v>30</v>
      </c>
      <c r="U52" s="638"/>
      <c r="V52" s="638"/>
      <c r="W52" s="638">
        <v>1</v>
      </c>
      <c r="X52" s="638"/>
      <c r="Y52" s="638"/>
      <c r="Z52" s="638"/>
      <c r="AA52" s="638"/>
      <c r="AB52" s="638"/>
      <c r="AC52" s="638" t="s">
        <v>3050</v>
      </c>
      <c r="AD52" s="638"/>
      <c r="AE52" s="638"/>
      <c r="AF52" s="638">
        <v>5300</v>
      </c>
      <c r="AG52" s="446">
        <v>94385.26</v>
      </c>
      <c r="AH52" s="638">
        <v>2183</v>
      </c>
      <c r="AI52" s="638">
        <v>140</v>
      </c>
      <c r="AJ52" s="638"/>
      <c r="AK52" s="638"/>
      <c r="AL52" s="638"/>
      <c r="AM52" s="638" t="s">
        <v>1042</v>
      </c>
      <c r="AN52" s="484">
        <v>5.15</v>
      </c>
      <c r="AO52" s="484"/>
      <c r="AP52" s="484"/>
      <c r="AQ52" s="484"/>
      <c r="AR52" s="484"/>
      <c r="AS52" s="484"/>
      <c r="AT52" s="484">
        <f>+ab($T$52,$T$50,$T$54,$G$51,$G$53,-1*$F$52,1200)</f>
        <v>2.7688840445674625</v>
      </c>
      <c r="AU52" s="484"/>
      <c r="AV52" s="484"/>
      <c r="AW52" s="638" t="str">
        <f>VLOOKUP(C52,'Foundation Calculation'!$A$2:$C$33,3,1)</f>
        <v>Soil A</v>
      </c>
      <c r="AX52" s="572" t="str">
        <f>VLOOKUP(C52,'Foundation Calculation'!$E$2:$G$33,3,1)</f>
        <v>PT</v>
      </c>
      <c r="AY52" s="636">
        <f>IF(AX52="PT",VLOOKUP(L52,'Foundation Calculation'!$K$2:$R$40,VLOOKUP(AW52,'Foundation Calculation'!$I$2:$J$8,2,FALSE),0),IF(AX52="K",VLOOKUP(L52,'Foundation Calculation'!$K$42:$R$80,VLOOKUP(AW52,'Foundation Calculation'!$I$2:$J$8,2,FALSE),0),""))</f>
        <v>3.5</v>
      </c>
      <c r="AZ52" s="484"/>
      <c r="BA52" s="671" t="s">
        <v>2809</v>
      </c>
      <c r="BB52" s="449" t="str">
        <f>Pole_Calculations!A178</f>
        <v>App.8-V08F-P10.3</v>
      </c>
      <c r="BD52" s="1329">
        <v>43729</v>
      </c>
      <c r="BE52" s="1329">
        <v>43802</v>
      </c>
      <c r="BF52" s="1330"/>
      <c r="BG52" s="1329">
        <v>43814</v>
      </c>
    </row>
    <row r="53" spans="1:59" ht="12.5">
      <c r="A53" s="449"/>
      <c r="B53" s="170"/>
      <c r="C53" s="446"/>
      <c r="D53" s="446"/>
      <c r="E53" s="638"/>
      <c r="F53" s="447"/>
      <c r="G53" s="484">
        <v>45.3</v>
      </c>
      <c r="H53" s="1239"/>
      <c r="I53" s="448"/>
      <c r="J53" s="171">
        <f>C52+7.5</f>
        <v>94392.750000000029</v>
      </c>
      <c r="K53" s="638" t="s">
        <v>2787</v>
      </c>
      <c r="L53" s="638"/>
      <c r="M53" s="638"/>
      <c r="N53" s="1239"/>
      <c r="O53" s="1239"/>
      <c r="P53" s="638"/>
      <c r="Q53" s="638"/>
      <c r="R53" s="638"/>
      <c r="S53" s="484">
        <f>+AG54-AG52</f>
        <v>45.740000000005239</v>
      </c>
      <c r="T53" s="638"/>
      <c r="U53" s="638"/>
      <c r="V53" s="638"/>
      <c r="W53" s="638"/>
      <c r="X53" s="638"/>
      <c r="Y53" s="638"/>
      <c r="Z53" s="638"/>
      <c r="AA53" s="638"/>
      <c r="AB53" s="638"/>
      <c r="AC53" s="638"/>
      <c r="AD53" s="638"/>
      <c r="AE53" s="638"/>
      <c r="AF53" s="638"/>
      <c r="AG53" s="446"/>
      <c r="AH53" s="638"/>
      <c r="AI53" s="638"/>
      <c r="AJ53" s="638"/>
      <c r="AK53" s="638"/>
      <c r="AL53" s="638"/>
      <c r="AM53" s="638"/>
      <c r="AN53" s="484"/>
      <c r="AO53" s="484"/>
      <c r="AP53" s="484"/>
      <c r="AQ53" s="484">
        <f>+FL_1($T$54,$T$52,$G$53,1200,9.28,-1*$F$54)</f>
        <v>0.30018440440529742</v>
      </c>
      <c r="AR53" s="484"/>
      <c r="AS53" s="484"/>
      <c r="AT53" s="484"/>
      <c r="AU53" s="484"/>
      <c r="AV53" s="484"/>
      <c r="AW53" s="638" t="str">
        <f>VLOOKUP(J53,'Foundation Calculation'!$A$2:$C$33,3,1)</f>
        <v>Soil A</v>
      </c>
      <c r="AX53" s="572" t="str">
        <f>VLOOKUP(J53,'Foundation Calculation'!$E$2:$G$33,3,1)</f>
        <v>PT</v>
      </c>
      <c r="AY53" s="484"/>
      <c r="AZ53" s="689">
        <f>IF(AX53="PT",VLOOKUP(K53,'Foundation Calculation'!$K$2:$R$40,VLOOKUP(AW53,'Foundation Calculation'!$I$2:$J$8,2,FALSE),0),IF(AX53="K",VLOOKUP(K53,'Foundation Calculation'!$K$42:$R$80,VLOOKUP(AW53,'Foundation Calculation'!$I$2:$J$8,2,FALSE),0),""))</f>
        <v>3.3</v>
      </c>
      <c r="BA53" s="671" t="s">
        <v>2809</v>
      </c>
      <c r="BB53" s="449"/>
      <c r="BD53" s="1329">
        <v>43729</v>
      </c>
      <c r="BE53" s="1330"/>
      <c r="BF53" s="1330"/>
      <c r="BG53" s="1330"/>
    </row>
    <row r="54" spans="1:59" ht="12.5">
      <c r="A54" s="449"/>
      <c r="B54" s="436" t="s">
        <v>1975</v>
      </c>
      <c r="C54" s="446">
        <f>+$C$52+$G$53</f>
        <v>94430.550000000032</v>
      </c>
      <c r="D54" s="770"/>
      <c r="E54" s="638"/>
      <c r="F54" s="447">
        <v>-630</v>
      </c>
      <c r="G54" s="484"/>
      <c r="H54" s="1239"/>
      <c r="I54" s="1239"/>
      <c r="J54" s="446"/>
      <c r="K54" s="638"/>
      <c r="L54" s="638"/>
      <c r="M54" s="638"/>
      <c r="N54" s="1239" t="s">
        <v>2797</v>
      </c>
      <c r="O54" s="1239"/>
      <c r="P54" s="638"/>
      <c r="Q54" s="638">
        <v>40</v>
      </c>
      <c r="R54" s="638">
        <v>640.38</v>
      </c>
      <c r="S54" s="484"/>
      <c r="T54" s="638">
        <v>30</v>
      </c>
      <c r="U54" s="638"/>
      <c r="V54" s="638"/>
      <c r="W54" s="638">
        <v>0.6</v>
      </c>
      <c r="X54" s="638"/>
      <c r="Y54" s="638"/>
      <c r="Z54" s="638"/>
      <c r="AA54" s="638"/>
      <c r="AB54" s="638"/>
      <c r="AC54" s="638" t="s">
        <v>3050</v>
      </c>
      <c r="AD54" s="638"/>
      <c r="AE54" s="638"/>
      <c r="AF54" s="638">
        <v>600</v>
      </c>
      <c r="AG54" s="446">
        <v>94431</v>
      </c>
      <c r="AH54" s="638">
        <v>1883</v>
      </c>
      <c r="AI54" s="638">
        <v>-5050</v>
      </c>
      <c r="AJ54" s="638"/>
      <c r="AK54" s="638" t="s">
        <v>139</v>
      </c>
      <c r="AL54" s="638"/>
      <c r="AM54" s="638"/>
      <c r="AN54" s="484">
        <v>5.15</v>
      </c>
      <c r="AO54" s="484"/>
      <c r="AP54" s="484"/>
      <c r="AQ54" s="484"/>
      <c r="AR54" s="484"/>
      <c r="AS54" s="484"/>
      <c r="AT54" s="484">
        <f>+ab($T$54,$T$52,$T$58,$G$53,$G$55,-1*$F$54,1200)</f>
        <v>2.8824702703083207</v>
      </c>
      <c r="AU54" s="484"/>
      <c r="AV54" s="484"/>
      <c r="AW54" s="574"/>
      <c r="AX54" s="574"/>
      <c r="AY54" s="576"/>
      <c r="AZ54" s="576"/>
      <c r="BA54" s="671"/>
      <c r="BB54" s="449"/>
      <c r="BD54" s="1330"/>
      <c r="BE54" s="1329" t="s">
        <v>4946</v>
      </c>
      <c r="BF54" s="1330"/>
      <c r="BG54" s="1329">
        <v>43839</v>
      </c>
    </row>
    <row r="55" spans="1:59" ht="12.5">
      <c r="A55" s="414"/>
      <c r="B55" s="423"/>
      <c r="C55" s="416"/>
      <c r="D55" s="416"/>
      <c r="E55" s="417"/>
      <c r="F55" s="418"/>
      <c r="G55" s="422">
        <v>34.9</v>
      </c>
      <c r="H55" s="420"/>
      <c r="I55" s="420"/>
      <c r="J55" s="432"/>
      <c r="K55" s="417"/>
      <c r="L55" s="417"/>
      <c r="M55" s="417"/>
      <c r="N55" s="420"/>
      <c r="O55" s="420"/>
      <c r="P55" s="417"/>
      <c r="Q55" s="417"/>
      <c r="R55" s="417"/>
      <c r="S55" s="422">
        <f>+AG58-AG54</f>
        <v>-94431</v>
      </c>
      <c r="T55" s="417"/>
      <c r="U55" s="417"/>
      <c r="V55" s="417"/>
      <c r="W55" s="417"/>
      <c r="X55" s="417"/>
      <c r="Y55" s="417"/>
      <c r="Z55" s="417"/>
      <c r="AA55" s="417"/>
      <c r="AB55" s="417"/>
      <c r="AC55" s="417"/>
      <c r="AD55" s="417"/>
      <c r="AE55" s="417"/>
      <c r="AF55" s="417"/>
      <c r="AG55" s="416"/>
      <c r="AH55" s="417"/>
      <c r="AI55" s="417"/>
      <c r="AJ55" s="417"/>
      <c r="AK55" s="417"/>
      <c r="AL55" s="417"/>
      <c r="AM55" s="417"/>
      <c r="AN55" s="422"/>
      <c r="AO55" s="422"/>
      <c r="AP55" s="422"/>
      <c r="AQ55" s="422">
        <f>+FL_2(-$T$58,$T$54,$G$55,1200,9.28,-1*$F$58)</f>
        <v>-0.2</v>
      </c>
      <c r="AR55" s="422"/>
      <c r="AS55" s="422"/>
      <c r="AT55" s="422"/>
      <c r="AU55" s="422"/>
      <c r="AV55" s="422"/>
      <c r="AW55" s="417"/>
      <c r="AX55" s="417"/>
      <c r="AY55" s="422"/>
      <c r="AZ55" s="422"/>
      <c r="BA55" s="604"/>
      <c r="BB55" s="414"/>
      <c r="BD55" s="1330"/>
      <c r="BE55" s="1330"/>
      <c r="BF55" s="1330"/>
      <c r="BG55" s="1330"/>
    </row>
    <row r="56" spans="1:59" ht="12.5">
      <c r="A56" s="414"/>
      <c r="B56" s="423" t="s">
        <v>4625</v>
      </c>
      <c r="C56" s="416">
        <f>C54+G55</f>
        <v>94465.450000000026</v>
      </c>
      <c r="D56" s="416"/>
      <c r="E56" s="417"/>
      <c r="F56" s="418">
        <v>0</v>
      </c>
      <c r="G56" s="422"/>
      <c r="H56" s="420" t="s">
        <v>873</v>
      </c>
      <c r="I56" s="420"/>
      <c r="J56" s="432">
        <f>C56</f>
        <v>94465.450000000026</v>
      </c>
      <c r="K56" s="417" t="s">
        <v>897</v>
      </c>
      <c r="L56" s="417"/>
      <c r="M56" s="417"/>
      <c r="N56" s="420"/>
      <c r="O56" s="420"/>
      <c r="P56" s="417"/>
      <c r="Q56" s="417"/>
      <c r="R56" s="417"/>
      <c r="S56" s="422"/>
      <c r="T56" s="417">
        <v>12</v>
      </c>
      <c r="U56" s="417"/>
      <c r="V56" s="417"/>
      <c r="W56" s="417"/>
      <c r="X56" s="417"/>
      <c r="Y56" s="417"/>
      <c r="Z56" s="417"/>
      <c r="AA56" s="417"/>
      <c r="AB56" s="417"/>
      <c r="AC56" s="417"/>
      <c r="AD56" s="417"/>
      <c r="AE56" s="417"/>
      <c r="AF56" s="417"/>
      <c r="AG56" s="416"/>
      <c r="AH56" s="417"/>
      <c r="AI56" s="417"/>
      <c r="AJ56" s="417"/>
      <c r="AK56" s="417" t="s">
        <v>4624</v>
      </c>
      <c r="AL56" s="417"/>
      <c r="AM56" s="417"/>
      <c r="AN56" s="422">
        <v>5.15</v>
      </c>
      <c r="AO56" s="422"/>
      <c r="AP56" s="422"/>
      <c r="AQ56" s="422"/>
      <c r="AR56" s="422"/>
      <c r="AS56" s="422"/>
      <c r="AT56" s="422"/>
      <c r="AU56" s="422"/>
      <c r="AV56" s="422"/>
      <c r="AW56" s="417" t="s">
        <v>4971</v>
      </c>
      <c r="AX56" s="417"/>
      <c r="AY56" s="422"/>
      <c r="AZ56" s="422"/>
      <c r="BA56" s="604" t="s">
        <v>2809</v>
      </c>
      <c r="BB56" s="414"/>
      <c r="BC56" s="169" t="s">
        <v>4955</v>
      </c>
      <c r="BD56" s="1330"/>
      <c r="BE56" s="1329">
        <v>43848</v>
      </c>
      <c r="BF56" s="1330"/>
      <c r="BG56" s="1330"/>
    </row>
    <row r="57" spans="1:59" ht="12.5">
      <c r="A57" s="414"/>
      <c r="B57" s="423"/>
      <c r="C57" s="416"/>
      <c r="D57" s="416"/>
      <c r="E57" s="417"/>
      <c r="F57" s="418"/>
      <c r="G57" s="422">
        <v>6</v>
      </c>
      <c r="H57" s="420"/>
      <c r="I57" s="420"/>
      <c r="J57" s="432"/>
      <c r="K57" s="417"/>
      <c r="L57" s="417"/>
      <c r="M57" s="417"/>
      <c r="N57" s="420"/>
      <c r="O57" s="420"/>
      <c r="P57" s="417"/>
      <c r="Q57" s="417"/>
      <c r="R57" s="417"/>
      <c r="S57" s="422"/>
      <c r="T57" s="417"/>
      <c r="U57" s="417"/>
      <c r="V57" s="417"/>
      <c r="W57" s="417"/>
      <c r="X57" s="417"/>
      <c r="Y57" s="417"/>
      <c r="Z57" s="417"/>
      <c r="AA57" s="417"/>
      <c r="AB57" s="417"/>
      <c r="AC57" s="417"/>
      <c r="AD57" s="417"/>
      <c r="AE57" s="417"/>
      <c r="AF57" s="417"/>
      <c r="AG57" s="416"/>
      <c r="AH57" s="417"/>
      <c r="AI57" s="417"/>
      <c r="AJ57" s="417"/>
      <c r="AK57" s="417"/>
      <c r="AL57" s="417"/>
      <c r="AM57" s="417"/>
      <c r="AN57" s="422"/>
      <c r="AO57" s="422"/>
      <c r="AP57" s="422"/>
      <c r="AQ57" s="422"/>
      <c r="AR57" s="422"/>
      <c r="AS57" s="422"/>
      <c r="AT57" s="422"/>
      <c r="AU57" s="422"/>
      <c r="AV57" s="422"/>
      <c r="AW57" s="417"/>
      <c r="AX57" s="417"/>
      <c r="AY57" s="422"/>
      <c r="AZ57" s="422"/>
      <c r="BA57" s="604"/>
      <c r="BB57" s="414"/>
      <c r="BD57" s="1330"/>
      <c r="BE57" s="1330"/>
      <c r="BF57" s="1330"/>
      <c r="BG57" s="1330"/>
    </row>
    <row r="58" spans="1:59" ht="12.5">
      <c r="A58" s="414"/>
      <c r="B58" s="603" t="s">
        <v>1976</v>
      </c>
      <c r="C58" s="416">
        <f>C56+G57</f>
        <v>94471.450000000026</v>
      </c>
      <c r="D58" s="416"/>
      <c r="E58" s="417"/>
      <c r="F58" s="418">
        <v>0</v>
      </c>
      <c r="G58" s="422"/>
      <c r="H58" s="420"/>
      <c r="I58" s="420"/>
      <c r="J58" s="432"/>
      <c r="K58" s="417"/>
      <c r="L58" s="417"/>
      <c r="M58" s="417"/>
      <c r="N58" s="420"/>
      <c r="O58" s="420"/>
      <c r="P58" s="417"/>
      <c r="Q58" s="417"/>
      <c r="R58" s="417"/>
      <c r="S58" s="422"/>
      <c r="T58" s="417">
        <v>20</v>
      </c>
      <c r="U58" s="417"/>
      <c r="V58" s="417"/>
      <c r="W58" s="417"/>
      <c r="X58" s="417"/>
      <c r="Y58" s="417"/>
      <c r="Z58" s="417"/>
      <c r="AA58" s="417"/>
      <c r="AB58" s="417"/>
      <c r="AC58" s="417"/>
      <c r="AD58" s="417"/>
      <c r="AE58" s="417"/>
      <c r="AF58" s="417"/>
      <c r="AG58" s="416"/>
      <c r="AH58" s="417"/>
      <c r="AI58" s="417"/>
      <c r="AJ58" s="417"/>
      <c r="AK58" s="417" t="s">
        <v>4624</v>
      </c>
      <c r="AL58" s="417"/>
      <c r="AM58" s="417"/>
      <c r="AN58" s="422">
        <v>5.15</v>
      </c>
      <c r="AO58" s="422"/>
      <c r="AP58" s="422"/>
      <c r="AQ58" s="422"/>
      <c r="AR58" s="422"/>
      <c r="AS58" s="422"/>
      <c r="AT58" s="422"/>
      <c r="AU58" s="422"/>
      <c r="AV58" s="422"/>
      <c r="AW58" s="417" t="s">
        <v>4969</v>
      </c>
      <c r="AX58" s="417"/>
      <c r="AY58" s="422"/>
      <c r="AZ58" s="422"/>
      <c r="BA58" s="604" t="s">
        <v>2809</v>
      </c>
      <c r="BB58" s="414"/>
      <c r="BC58" s="169" t="s">
        <v>4955</v>
      </c>
      <c r="BD58" s="1330"/>
      <c r="BE58" s="1329">
        <v>43848</v>
      </c>
      <c r="BF58" s="1330"/>
      <c r="BG58" s="1330"/>
    </row>
    <row r="59" spans="1:59" ht="12.5">
      <c r="A59" s="414"/>
      <c r="B59" s="603"/>
      <c r="C59" s="416"/>
      <c r="D59" s="416"/>
      <c r="E59" s="417"/>
      <c r="F59" s="418"/>
      <c r="G59" s="422">
        <v>6</v>
      </c>
      <c r="H59" s="420"/>
      <c r="I59" s="420"/>
      <c r="J59" s="432"/>
      <c r="K59" s="417"/>
      <c r="L59" s="417"/>
      <c r="M59" s="417"/>
      <c r="N59" s="420"/>
      <c r="O59" s="420"/>
      <c r="P59" s="417"/>
      <c r="Q59" s="417"/>
      <c r="R59" s="417"/>
      <c r="S59" s="422"/>
      <c r="T59" s="417"/>
      <c r="U59" s="417"/>
      <c r="V59" s="417"/>
      <c r="W59" s="417"/>
      <c r="X59" s="417"/>
      <c r="Y59" s="417"/>
      <c r="Z59" s="417"/>
      <c r="AA59" s="417"/>
      <c r="AB59" s="417"/>
      <c r="AC59" s="417"/>
      <c r="AD59" s="417"/>
      <c r="AE59" s="417"/>
      <c r="AF59" s="417"/>
      <c r="AG59" s="416"/>
      <c r="AH59" s="417"/>
      <c r="AI59" s="417"/>
      <c r="AJ59" s="417"/>
      <c r="AK59" s="417"/>
      <c r="AL59" s="417"/>
      <c r="AM59" s="417"/>
      <c r="AN59" s="422"/>
      <c r="AO59" s="422"/>
      <c r="AP59" s="422"/>
      <c r="AQ59" s="422"/>
      <c r="AR59" s="422"/>
      <c r="AS59" s="422"/>
      <c r="AT59" s="422"/>
      <c r="AU59" s="422"/>
      <c r="AV59" s="422"/>
      <c r="AW59" s="417"/>
      <c r="AX59" s="417"/>
      <c r="AY59" s="422"/>
      <c r="AZ59" s="422"/>
      <c r="BA59" s="604"/>
      <c r="BB59" s="414"/>
      <c r="BD59" s="1330"/>
      <c r="BE59" s="1330"/>
      <c r="BF59" s="1330"/>
      <c r="BG59" s="1330"/>
    </row>
    <row r="60" spans="1:59" ht="12.5">
      <c r="A60" s="414"/>
      <c r="B60" s="603" t="s">
        <v>4626</v>
      </c>
      <c r="C60" s="416">
        <f>C58+G59</f>
        <v>94477.450000000026</v>
      </c>
      <c r="D60" s="416"/>
      <c r="E60" s="417"/>
      <c r="F60" s="418">
        <v>0</v>
      </c>
      <c r="G60" s="422"/>
      <c r="H60" s="420"/>
      <c r="I60" s="420"/>
      <c r="J60" s="432"/>
      <c r="K60" s="417"/>
      <c r="L60" s="417"/>
      <c r="M60" s="417"/>
      <c r="N60" s="420"/>
      <c r="O60" s="420"/>
      <c r="P60" s="417"/>
      <c r="Q60" s="417"/>
      <c r="R60" s="417"/>
      <c r="S60" s="422"/>
      <c r="T60" s="417">
        <v>18</v>
      </c>
      <c r="U60" s="417"/>
      <c r="V60" s="417"/>
      <c r="W60" s="417"/>
      <c r="X60" s="417"/>
      <c r="Y60" s="417"/>
      <c r="Z60" s="417"/>
      <c r="AA60" s="417"/>
      <c r="AB60" s="417"/>
      <c r="AC60" s="417"/>
      <c r="AD60" s="417"/>
      <c r="AE60" s="417"/>
      <c r="AF60" s="417"/>
      <c r="AG60" s="416"/>
      <c r="AH60" s="417"/>
      <c r="AI60" s="417"/>
      <c r="AJ60" s="417"/>
      <c r="AK60" s="417" t="s">
        <v>4624</v>
      </c>
      <c r="AL60" s="417"/>
      <c r="AM60" s="417"/>
      <c r="AN60" s="422">
        <v>5.15</v>
      </c>
      <c r="AO60" s="422"/>
      <c r="AP60" s="422"/>
      <c r="AQ60" s="422"/>
      <c r="AR60" s="422"/>
      <c r="AS60" s="422"/>
      <c r="AT60" s="422"/>
      <c r="AU60" s="422"/>
      <c r="AV60" s="422"/>
      <c r="AW60" s="417" t="s">
        <v>4969</v>
      </c>
      <c r="AX60" s="417"/>
      <c r="AY60" s="422"/>
      <c r="AZ60" s="422"/>
      <c r="BA60" s="604" t="s">
        <v>2809</v>
      </c>
      <c r="BB60" s="414"/>
      <c r="BC60" s="169" t="s">
        <v>4955</v>
      </c>
      <c r="BD60" s="1330"/>
      <c r="BE60" s="1329">
        <v>43848</v>
      </c>
      <c r="BF60" s="1330"/>
      <c r="BG60" s="1330"/>
    </row>
    <row r="61" spans="1:59" ht="12.5">
      <c r="A61" s="414"/>
      <c r="B61" s="603"/>
      <c r="C61" s="416"/>
      <c r="D61" s="416"/>
      <c r="E61" s="417"/>
      <c r="F61" s="418"/>
      <c r="G61" s="422">
        <v>6</v>
      </c>
      <c r="H61" s="420"/>
      <c r="I61" s="420"/>
      <c r="J61" s="432"/>
      <c r="K61" s="417"/>
      <c r="L61" s="417"/>
      <c r="M61" s="417"/>
      <c r="N61" s="420"/>
      <c r="O61" s="420"/>
      <c r="P61" s="417"/>
      <c r="Q61" s="417"/>
      <c r="R61" s="417"/>
      <c r="S61" s="422"/>
      <c r="T61" s="417"/>
      <c r="U61" s="417"/>
      <c r="V61" s="417"/>
      <c r="W61" s="417"/>
      <c r="X61" s="417"/>
      <c r="Y61" s="417"/>
      <c r="Z61" s="417"/>
      <c r="AA61" s="417"/>
      <c r="AB61" s="417"/>
      <c r="AC61" s="417"/>
      <c r="AD61" s="417"/>
      <c r="AE61" s="417"/>
      <c r="AF61" s="417"/>
      <c r="AG61" s="416"/>
      <c r="AH61" s="417"/>
      <c r="AI61" s="417"/>
      <c r="AJ61" s="417"/>
      <c r="AK61" s="417"/>
      <c r="AL61" s="417"/>
      <c r="AM61" s="417"/>
      <c r="AN61" s="422"/>
      <c r="AO61" s="422"/>
      <c r="AP61" s="422"/>
      <c r="AQ61" s="422"/>
      <c r="AR61" s="422"/>
      <c r="AS61" s="422"/>
      <c r="AT61" s="422"/>
      <c r="AU61" s="422"/>
      <c r="AV61" s="422"/>
      <c r="AW61" s="417"/>
      <c r="AX61" s="417"/>
      <c r="AY61" s="422"/>
      <c r="AZ61" s="422"/>
      <c r="BA61" s="604"/>
      <c r="BB61" s="414"/>
      <c r="BD61" s="1330"/>
      <c r="BE61" s="1330"/>
      <c r="BF61" s="1330"/>
      <c r="BG61" s="1330"/>
    </row>
    <row r="62" spans="1:59" ht="12.5">
      <c r="A62" s="414"/>
      <c r="B62" s="603" t="s">
        <v>4627</v>
      </c>
      <c r="C62" s="416">
        <f>C60+G61</f>
        <v>94483.450000000026</v>
      </c>
      <c r="D62" s="416"/>
      <c r="E62" s="417"/>
      <c r="F62" s="418">
        <v>0</v>
      </c>
      <c r="G62" s="422"/>
      <c r="H62" s="420"/>
      <c r="I62" s="420"/>
      <c r="J62" s="432"/>
      <c r="K62" s="417"/>
      <c r="L62" s="417"/>
      <c r="M62" s="417"/>
      <c r="N62" s="420"/>
      <c r="O62" s="420"/>
      <c r="P62" s="417"/>
      <c r="Q62" s="417"/>
      <c r="R62" s="417"/>
      <c r="S62" s="422"/>
      <c r="T62" s="417">
        <v>17</v>
      </c>
      <c r="U62" s="417"/>
      <c r="V62" s="417"/>
      <c r="W62" s="417"/>
      <c r="X62" s="417"/>
      <c r="Y62" s="417"/>
      <c r="Z62" s="417"/>
      <c r="AA62" s="417"/>
      <c r="AB62" s="417"/>
      <c r="AC62" s="417"/>
      <c r="AD62" s="417"/>
      <c r="AE62" s="417"/>
      <c r="AF62" s="417"/>
      <c r="AG62" s="416"/>
      <c r="AH62" s="417"/>
      <c r="AI62" s="417"/>
      <c r="AJ62" s="417"/>
      <c r="AK62" s="417" t="s">
        <v>4624</v>
      </c>
      <c r="AL62" s="417"/>
      <c r="AM62" s="417"/>
      <c r="AN62" s="422">
        <v>5.15</v>
      </c>
      <c r="AO62" s="422"/>
      <c r="AP62" s="422"/>
      <c r="AQ62" s="422"/>
      <c r="AR62" s="422"/>
      <c r="AS62" s="422"/>
      <c r="AT62" s="422"/>
      <c r="AU62" s="422"/>
      <c r="AV62" s="422"/>
      <c r="AW62" s="417" t="s">
        <v>4969</v>
      </c>
      <c r="AX62" s="417"/>
      <c r="AY62" s="422"/>
      <c r="AZ62" s="422"/>
      <c r="BA62" s="604" t="s">
        <v>2809</v>
      </c>
      <c r="BB62" s="414"/>
      <c r="BC62" s="169" t="s">
        <v>4955</v>
      </c>
      <c r="BD62" s="1330"/>
      <c r="BE62" s="1329">
        <v>43845</v>
      </c>
      <c r="BF62" s="1330"/>
      <c r="BG62" s="1330"/>
    </row>
    <row r="63" spans="1:59" ht="12.5">
      <c r="A63" s="414" t="s">
        <v>1853</v>
      </c>
      <c r="B63" s="603"/>
      <c r="C63" s="416"/>
      <c r="D63" s="416"/>
      <c r="E63" s="417"/>
      <c r="F63" s="418"/>
      <c r="G63" s="422">
        <v>6</v>
      </c>
      <c r="H63" s="420"/>
      <c r="I63" s="420"/>
      <c r="J63" s="432"/>
      <c r="K63" s="417"/>
      <c r="L63" s="417"/>
      <c r="M63" s="417"/>
      <c r="N63" s="420"/>
      <c r="O63" s="420"/>
      <c r="P63" s="417"/>
      <c r="Q63" s="417"/>
      <c r="R63" s="417"/>
      <c r="S63" s="422"/>
      <c r="T63" s="417"/>
      <c r="U63" s="417"/>
      <c r="V63" s="417"/>
      <c r="W63" s="417"/>
      <c r="X63" s="417"/>
      <c r="Y63" s="417"/>
      <c r="Z63" s="417"/>
      <c r="AA63" s="417"/>
      <c r="AB63" s="417"/>
      <c r="AC63" s="417"/>
      <c r="AD63" s="417"/>
      <c r="AE63" s="417"/>
      <c r="AF63" s="417"/>
      <c r="AG63" s="416"/>
      <c r="AH63" s="417"/>
      <c r="AI63" s="417"/>
      <c r="AJ63" s="417"/>
      <c r="AK63" s="417"/>
      <c r="AL63" s="417"/>
      <c r="AM63" s="417"/>
      <c r="AN63" s="422"/>
      <c r="AO63" s="422"/>
      <c r="AP63" s="422"/>
      <c r="AQ63" s="422"/>
      <c r="AR63" s="422"/>
      <c r="AS63" s="422"/>
      <c r="AT63" s="422"/>
      <c r="AU63" s="422"/>
      <c r="AV63" s="422"/>
      <c r="AW63" s="417"/>
      <c r="AX63" s="417"/>
      <c r="AY63" s="422"/>
      <c r="AZ63" s="422"/>
      <c r="BA63" s="604"/>
      <c r="BB63" s="414"/>
      <c r="BD63" s="1330"/>
      <c r="BE63" s="1330"/>
      <c r="BF63" s="1330"/>
      <c r="BG63" s="1330"/>
    </row>
    <row r="64" spans="1:59" ht="12.5">
      <c r="A64" s="414" t="s">
        <v>4623</v>
      </c>
      <c r="B64" s="603" t="s">
        <v>4628</v>
      </c>
      <c r="C64" s="416">
        <f>C62+G63</f>
        <v>94489.450000000026</v>
      </c>
      <c r="D64" s="416"/>
      <c r="E64" s="417"/>
      <c r="F64" s="418">
        <v>0</v>
      </c>
      <c r="G64" s="422"/>
      <c r="H64" s="420"/>
      <c r="I64" s="420"/>
      <c r="J64" s="432"/>
      <c r="K64" s="417"/>
      <c r="L64" s="417"/>
      <c r="M64" s="417"/>
      <c r="N64" s="420"/>
      <c r="O64" s="420"/>
      <c r="P64" s="417"/>
      <c r="Q64" s="417"/>
      <c r="R64" s="417"/>
      <c r="S64" s="422"/>
      <c r="T64" s="417">
        <v>15</v>
      </c>
      <c r="U64" s="417"/>
      <c r="V64" s="417"/>
      <c r="W64" s="417"/>
      <c r="X64" s="417"/>
      <c r="Y64" s="417"/>
      <c r="Z64" s="417"/>
      <c r="AA64" s="417"/>
      <c r="AB64" s="417"/>
      <c r="AC64" s="417"/>
      <c r="AD64" s="417"/>
      <c r="AE64" s="417"/>
      <c r="AF64" s="417"/>
      <c r="AG64" s="416"/>
      <c r="AH64" s="417"/>
      <c r="AI64" s="417"/>
      <c r="AJ64" s="417"/>
      <c r="AK64" s="417" t="s">
        <v>4624</v>
      </c>
      <c r="AL64" s="417"/>
      <c r="AM64" s="417"/>
      <c r="AN64" s="422">
        <v>5.15</v>
      </c>
      <c r="AO64" s="422"/>
      <c r="AP64" s="422"/>
      <c r="AQ64" s="422"/>
      <c r="AR64" s="422"/>
      <c r="AS64" s="422"/>
      <c r="AT64" s="422"/>
      <c r="AU64" s="422"/>
      <c r="AV64" s="422"/>
      <c r="AW64" s="417" t="s">
        <v>4969</v>
      </c>
      <c r="AX64" s="417"/>
      <c r="AY64" s="422"/>
      <c r="AZ64" s="422"/>
      <c r="BA64" s="604" t="s">
        <v>2809</v>
      </c>
      <c r="BB64" s="414"/>
      <c r="BC64" s="169" t="s">
        <v>4955</v>
      </c>
      <c r="BD64" s="1330"/>
      <c r="BE64" s="1329">
        <v>43845</v>
      </c>
      <c r="BF64" s="1330"/>
      <c r="BG64" s="1330"/>
    </row>
    <row r="65" spans="1:59" ht="12.5">
      <c r="A65" s="414"/>
      <c r="B65" s="603"/>
      <c r="C65" s="416"/>
      <c r="D65" s="416"/>
      <c r="E65" s="417"/>
      <c r="F65" s="418"/>
      <c r="G65" s="422">
        <v>6</v>
      </c>
      <c r="H65" s="420"/>
      <c r="I65" s="420"/>
      <c r="J65" s="432"/>
      <c r="K65" s="417"/>
      <c r="L65" s="417"/>
      <c r="M65" s="417"/>
      <c r="N65" s="420"/>
      <c r="O65" s="420"/>
      <c r="P65" s="417"/>
      <c r="Q65" s="417"/>
      <c r="R65" s="417"/>
      <c r="S65" s="422"/>
      <c r="T65" s="417"/>
      <c r="U65" s="417"/>
      <c r="V65" s="417"/>
      <c r="W65" s="417"/>
      <c r="X65" s="417"/>
      <c r="Y65" s="417"/>
      <c r="Z65" s="417"/>
      <c r="AA65" s="417"/>
      <c r="AB65" s="417"/>
      <c r="AC65" s="417"/>
      <c r="AD65" s="417"/>
      <c r="AE65" s="417"/>
      <c r="AF65" s="417"/>
      <c r="AG65" s="416"/>
      <c r="AH65" s="417"/>
      <c r="AI65" s="417"/>
      <c r="AJ65" s="417"/>
      <c r="AK65" s="417"/>
      <c r="AL65" s="417"/>
      <c r="AM65" s="417"/>
      <c r="AN65" s="422"/>
      <c r="AO65" s="422"/>
      <c r="AP65" s="422"/>
      <c r="AQ65" s="422"/>
      <c r="AR65" s="422"/>
      <c r="AS65" s="422"/>
      <c r="AT65" s="422"/>
      <c r="AU65" s="422"/>
      <c r="AV65" s="422"/>
      <c r="AW65" s="417"/>
      <c r="AX65" s="417"/>
      <c r="AY65" s="422"/>
      <c r="AZ65" s="422"/>
      <c r="BA65" s="604"/>
      <c r="BB65" s="414"/>
      <c r="BD65" s="1330"/>
      <c r="BE65" s="1330"/>
      <c r="BF65" s="1330"/>
      <c r="BG65" s="1330"/>
    </row>
    <row r="66" spans="1:59" ht="12.5">
      <c r="A66" s="414"/>
      <c r="B66" s="603" t="s">
        <v>4629</v>
      </c>
      <c r="C66" s="416">
        <f>C64+G65</f>
        <v>94495.450000000026</v>
      </c>
      <c r="D66" s="416"/>
      <c r="E66" s="417"/>
      <c r="F66" s="418">
        <v>0</v>
      </c>
      <c r="G66" s="422"/>
      <c r="H66" s="420"/>
      <c r="I66" s="420"/>
      <c r="J66" s="432"/>
      <c r="K66" s="417"/>
      <c r="L66" s="417"/>
      <c r="M66" s="417"/>
      <c r="N66" s="420"/>
      <c r="O66" s="420"/>
      <c r="P66" s="417"/>
      <c r="Q66" s="417"/>
      <c r="R66" s="417"/>
      <c r="S66" s="422"/>
      <c r="T66" s="417">
        <v>13</v>
      </c>
      <c r="U66" s="417"/>
      <c r="V66" s="417"/>
      <c r="W66" s="417"/>
      <c r="X66" s="417"/>
      <c r="Y66" s="417"/>
      <c r="Z66" s="417"/>
      <c r="AA66" s="417"/>
      <c r="AB66" s="417"/>
      <c r="AC66" s="417"/>
      <c r="AD66" s="417"/>
      <c r="AE66" s="417"/>
      <c r="AF66" s="417"/>
      <c r="AG66" s="416"/>
      <c r="AH66" s="417"/>
      <c r="AI66" s="417"/>
      <c r="AJ66" s="417"/>
      <c r="AK66" s="417" t="s">
        <v>4624</v>
      </c>
      <c r="AL66" s="417"/>
      <c r="AM66" s="417"/>
      <c r="AN66" s="422">
        <v>5.15</v>
      </c>
      <c r="AO66" s="422"/>
      <c r="AP66" s="422"/>
      <c r="AQ66" s="422"/>
      <c r="AR66" s="422"/>
      <c r="AS66" s="422"/>
      <c r="AT66" s="422"/>
      <c r="AU66" s="422"/>
      <c r="AV66" s="422"/>
      <c r="AW66" s="417" t="s">
        <v>4969</v>
      </c>
      <c r="AX66" s="417"/>
      <c r="AY66" s="422"/>
      <c r="AZ66" s="422"/>
      <c r="BA66" s="604" t="s">
        <v>2809</v>
      </c>
      <c r="BB66" s="414"/>
      <c r="BC66" s="169" t="s">
        <v>4955</v>
      </c>
      <c r="BD66" s="1330"/>
      <c r="BE66" s="1329">
        <v>43845</v>
      </c>
      <c r="BF66" s="1330"/>
      <c r="BG66" s="1330"/>
    </row>
    <row r="67" spans="1:59" ht="12.5">
      <c r="A67" s="414"/>
      <c r="B67" s="603"/>
      <c r="C67" s="416"/>
      <c r="D67" s="416"/>
      <c r="E67" s="417"/>
      <c r="F67" s="418"/>
      <c r="G67" s="422">
        <v>6</v>
      </c>
      <c r="H67" s="420"/>
      <c r="I67" s="420"/>
      <c r="J67" s="432"/>
      <c r="K67" s="417"/>
      <c r="L67" s="417"/>
      <c r="M67" s="417"/>
      <c r="N67" s="420"/>
      <c r="O67" s="420"/>
      <c r="P67" s="417"/>
      <c r="Q67" s="417"/>
      <c r="R67" s="417"/>
      <c r="S67" s="422"/>
      <c r="T67" s="417"/>
      <c r="U67" s="417"/>
      <c r="V67" s="417"/>
      <c r="W67" s="417"/>
      <c r="X67" s="417"/>
      <c r="Y67" s="417"/>
      <c r="Z67" s="417"/>
      <c r="AA67" s="417"/>
      <c r="AB67" s="417"/>
      <c r="AC67" s="417"/>
      <c r="AD67" s="417"/>
      <c r="AE67" s="417"/>
      <c r="AF67" s="417"/>
      <c r="AG67" s="416"/>
      <c r="AH67" s="417"/>
      <c r="AI67" s="417"/>
      <c r="AJ67" s="417"/>
      <c r="AK67" s="417"/>
      <c r="AL67" s="417"/>
      <c r="AM67" s="417"/>
      <c r="AN67" s="422"/>
      <c r="AO67" s="422"/>
      <c r="AP67" s="422"/>
      <c r="AQ67" s="422"/>
      <c r="AR67" s="422"/>
      <c r="AS67" s="422"/>
      <c r="AT67" s="422"/>
      <c r="AU67" s="422"/>
      <c r="AV67" s="422"/>
      <c r="AW67" s="417"/>
      <c r="AX67" s="417"/>
      <c r="AY67" s="422"/>
      <c r="AZ67" s="422"/>
      <c r="BA67" s="604"/>
      <c r="BB67" s="414"/>
      <c r="BD67" s="1330"/>
      <c r="BE67" s="1330"/>
      <c r="BF67" s="1330"/>
      <c r="BG67" s="1330"/>
    </row>
    <row r="68" spans="1:59" ht="12.5">
      <c r="A68" s="414"/>
      <c r="B68" s="603" t="s">
        <v>4630</v>
      </c>
      <c r="C68" s="416">
        <f>C66+G67</f>
        <v>94501.450000000026</v>
      </c>
      <c r="D68" s="416"/>
      <c r="E68" s="417"/>
      <c r="F68" s="418">
        <v>0</v>
      </c>
      <c r="G68" s="422"/>
      <c r="H68" s="420"/>
      <c r="I68" s="420"/>
      <c r="J68" s="432"/>
      <c r="K68" s="417"/>
      <c r="L68" s="417"/>
      <c r="M68" s="417"/>
      <c r="N68" s="420"/>
      <c r="O68" s="420"/>
      <c r="P68" s="417"/>
      <c r="Q68" s="417"/>
      <c r="R68" s="417"/>
      <c r="S68" s="422"/>
      <c r="T68" s="417">
        <v>12</v>
      </c>
      <c r="U68" s="417"/>
      <c r="V68" s="417"/>
      <c r="W68" s="417"/>
      <c r="X68" s="417"/>
      <c r="Y68" s="417"/>
      <c r="Z68" s="417"/>
      <c r="AA68" s="417"/>
      <c r="AB68" s="417"/>
      <c r="AC68" s="417"/>
      <c r="AD68" s="417"/>
      <c r="AE68" s="417"/>
      <c r="AF68" s="417"/>
      <c r="AG68" s="416"/>
      <c r="AH68" s="417"/>
      <c r="AI68" s="417"/>
      <c r="AJ68" s="417"/>
      <c r="AK68" s="417" t="s">
        <v>4624</v>
      </c>
      <c r="AL68" s="417"/>
      <c r="AM68" s="417"/>
      <c r="AN68" s="422">
        <v>5.15</v>
      </c>
      <c r="AO68" s="422"/>
      <c r="AP68" s="422"/>
      <c r="AQ68" s="422"/>
      <c r="AR68" s="422"/>
      <c r="AS68" s="422"/>
      <c r="AT68" s="422"/>
      <c r="AU68" s="422"/>
      <c r="AV68" s="422"/>
      <c r="AW68" s="417" t="s">
        <v>4969</v>
      </c>
      <c r="AX68" s="417"/>
      <c r="AY68" s="422"/>
      <c r="AZ68" s="422"/>
      <c r="BA68" s="604" t="s">
        <v>2809</v>
      </c>
      <c r="BB68" s="414"/>
      <c r="BC68" s="169" t="s">
        <v>4955</v>
      </c>
      <c r="BD68" s="1330"/>
      <c r="BE68" s="1329">
        <v>43845</v>
      </c>
      <c r="BF68" s="1330"/>
      <c r="BG68" s="1330"/>
    </row>
    <row r="69" spans="1:59" ht="12.5">
      <c r="A69" s="414"/>
      <c r="B69" s="423"/>
      <c r="C69" s="416"/>
      <c r="D69" s="416"/>
      <c r="E69" s="417"/>
      <c r="F69" s="418"/>
      <c r="G69" s="422">
        <v>6</v>
      </c>
      <c r="H69" s="420"/>
      <c r="I69" s="420"/>
      <c r="J69" s="432"/>
      <c r="K69" s="417"/>
      <c r="L69" s="417"/>
      <c r="M69" s="417"/>
      <c r="N69" s="420"/>
      <c r="O69" s="420"/>
      <c r="P69" s="417"/>
      <c r="Q69" s="417"/>
      <c r="R69" s="417"/>
      <c r="S69" s="422">
        <f>+AG70-AG58</f>
        <v>0</v>
      </c>
      <c r="T69" s="417"/>
      <c r="U69" s="417"/>
      <c r="V69" s="417"/>
      <c r="W69" s="417"/>
      <c r="X69" s="417"/>
      <c r="Y69" s="417"/>
      <c r="Z69" s="417"/>
      <c r="AA69" s="417"/>
      <c r="AB69" s="417"/>
      <c r="AC69" s="417"/>
      <c r="AD69" s="417"/>
      <c r="AE69" s="417"/>
      <c r="AF69" s="417"/>
      <c r="AG69" s="416"/>
      <c r="AH69" s="417"/>
      <c r="AI69" s="417"/>
      <c r="AJ69" s="417"/>
      <c r="AK69" s="417"/>
      <c r="AL69" s="417"/>
      <c r="AM69" s="417"/>
      <c r="AN69" s="422"/>
      <c r="AO69" s="422"/>
      <c r="AP69" s="422"/>
      <c r="AQ69" s="422"/>
      <c r="AR69" s="422"/>
      <c r="AS69" s="422"/>
      <c r="AT69" s="422"/>
      <c r="AU69" s="422"/>
      <c r="AV69" s="422"/>
      <c r="AW69" s="417"/>
      <c r="AX69" s="417"/>
      <c r="AY69" s="422"/>
      <c r="AZ69" s="422"/>
      <c r="BA69" s="1308"/>
      <c r="BB69" s="414"/>
      <c r="BD69" s="1330"/>
      <c r="BE69" s="1330"/>
      <c r="BF69" s="1330"/>
      <c r="BG69" s="1330"/>
    </row>
    <row r="70" spans="1:59" ht="12.5">
      <c r="A70" s="414"/>
      <c r="B70" s="603" t="s">
        <v>1977</v>
      </c>
      <c r="C70" s="416">
        <f>C68+G69</f>
        <v>94507.450000000026</v>
      </c>
      <c r="D70" s="416"/>
      <c r="E70" s="417"/>
      <c r="F70" s="418">
        <v>0</v>
      </c>
      <c r="G70" s="422"/>
      <c r="H70" s="420"/>
      <c r="I70" s="420"/>
      <c r="J70" s="432"/>
      <c r="K70" s="417"/>
      <c r="L70" s="417"/>
      <c r="M70" s="417"/>
      <c r="N70" s="420"/>
      <c r="O70" s="420"/>
      <c r="P70" s="417"/>
      <c r="Q70" s="417"/>
      <c r="R70" s="417"/>
      <c r="S70" s="422"/>
      <c r="T70" s="417">
        <v>10</v>
      </c>
      <c r="U70" s="417"/>
      <c r="V70" s="417"/>
      <c r="W70" s="417"/>
      <c r="X70" s="417"/>
      <c r="Y70" s="417"/>
      <c r="Z70" s="417"/>
      <c r="AA70" s="417"/>
      <c r="AB70" s="417"/>
      <c r="AC70" s="417"/>
      <c r="AD70" s="417"/>
      <c r="AE70" s="417"/>
      <c r="AF70" s="417"/>
      <c r="AG70" s="416"/>
      <c r="AH70" s="417"/>
      <c r="AI70" s="417"/>
      <c r="AJ70" s="417"/>
      <c r="AK70" s="417" t="s">
        <v>4624</v>
      </c>
      <c r="AL70" s="417"/>
      <c r="AM70" s="417"/>
      <c r="AN70" s="422">
        <v>5.15</v>
      </c>
      <c r="AO70" s="422"/>
      <c r="AP70" s="422"/>
      <c r="AQ70" s="422"/>
      <c r="AR70" s="422"/>
      <c r="AS70" s="422"/>
      <c r="AT70" s="422"/>
      <c r="AU70" s="422"/>
      <c r="AV70" s="422"/>
      <c r="AW70" s="417" t="s">
        <v>4969</v>
      </c>
      <c r="AX70" s="417"/>
      <c r="AY70" s="422"/>
      <c r="AZ70" s="422"/>
      <c r="BA70" s="604" t="s">
        <v>2809</v>
      </c>
      <c r="BB70" s="414"/>
      <c r="BC70" s="169" t="s">
        <v>4955</v>
      </c>
      <c r="BD70" s="1330"/>
      <c r="BE70" s="1329">
        <v>43845</v>
      </c>
      <c r="BF70" s="1330"/>
      <c r="BG70" s="1330"/>
    </row>
    <row r="71" spans="1:59" ht="12.5">
      <c r="A71" s="414"/>
      <c r="B71" s="603"/>
      <c r="C71" s="416"/>
      <c r="D71" s="416"/>
      <c r="E71" s="417"/>
      <c r="F71" s="418"/>
      <c r="G71" s="422">
        <v>6</v>
      </c>
      <c r="H71" s="420"/>
      <c r="I71" s="420"/>
      <c r="J71" s="432"/>
      <c r="K71" s="417"/>
      <c r="L71" s="417"/>
      <c r="M71" s="417"/>
      <c r="N71" s="420"/>
      <c r="O71" s="420"/>
      <c r="P71" s="417"/>
      <c r="Q71" s="417"/>
      <c r="R71" s="417"/>
      <c r="S71" s="422"/>
      <c r="T71" s="417"/>
      <c r="U71" s="417"/>
      <c r="V71" s="417"/>
      <c r="W71" s="417"/>
      <c r="X71" s="417"/>
      <c r="Y71" s="417"/>
      <c r="Z71" s="417"/>
      <c r="AA71" s="417"/>
      <c r="AB71" s="417"/>
      <c r="AC71" s="417"/>
      <c r="AD71" s="417"/>
      <c r="AE71" s="417"/>
      <c r="AF71" s="417"/>
      <c r="AG71" s="416"/>
      <c r="AH71" s="417"/>
      <c r="AI71" s="417"/>
      <c r="AJ71" s="417"/>
      <c r="AK71" s="417"/>
      <c r="AL71" s="417"/>
      <c r="AM71" s="417"/>
      <c r="AN71" s="422"/>
      <c r="AO71" s="422"/>
      <c r="AP71" s="422"/>
      <c r="AQ71" s="422"/>
      <c r="AR71" s="422"/>
      <c r="AS71" s="422"/>
      <c r="AT71" s="422"/>
      <c r="AU71" s="422"/>
      <c r="AV71" s="422"/>
      <c r="AW71" s="417"/>
      <c r="AX71" s="417"/>
      <c r="AY71" s="422"/>
      <c r="AZ71" s="422"/>
      <c r="BA71" s="604"/>
      <c r="BB71" s="414"/>
      <c r="BD71" s="1330"/>
      <c r="BE71" s="1330"/>
      <c r="BF71" s="1330"/>
      <c r="BG71" s="1330"/>
    </row>
    <row r="72" spans="1:59" ht="12.5">
      <c r="A72" s="414"/>
      <c r="B72" s="603" t="s">
        <v>4631</v>
      </c>
      <c r="C72" s="416">
        <f>C70+G71</f>
        <v>94513.450000000026</v>
      </c>
      <c r="D72" s="416"/>
      <c r="E72" s="417"/>
      <c r="F72" s="418">
        <v>0</v>
      </c>
      <c r="G72" s="422"/>
      <c r="H72" s="420"/>
      <c r="I72" s="420"/>
      <c r="J72" s="432"/>
      <c r="K72" s="417"/>
      <c r="L72" s="417"/>
      <c r="M72" s="417"/>
      <c r="N72" s="420"/>
      <c r="O72" s="420"/>
      <c r="P72" s="417"/>
      <c r="Q72" s="417"/>
      <c r="R72" s="417"/>
      <c r="S72" s="422"/>
      <c r="T72" s="417">
        <v>9</v>
      </c>
      <c r="U72" s="417"/>
      <c r="V72" s="417"/>
      <c r="W72" s="417"/>
      <c r="X72" s="417"/>
      <c r="Y72" s="417"/>
      <c r="Z72" s="417"/>
      <c r="AA72" s="417"/>
      <c r="AB72" s="417"/>
      <c r="AC72" s="417"/>
      <c r="AD72" s="417"/>
      <c r="AE72" s="417"/>
      <c r="AF72" s="417"/>
      <c r="AG72" s="416"/>
      <c r="AH72" s="417"/>
      <c r="AI72" s="417"/>
      <c r="AJ72" s="417"/>
      <c r="AK72" s="417" t="s">
        <v>4624</v>
      </c>
      <c r="AL72" s="417"/>
      <c r="AM72" s="417"/>
      <c r="AN72" s="422">
        <v>5.15</v>
      </c>
      <c r="AO72" s="422"/>
      <c r="AP72" s="422"/>
      <c r="AQ72" s="422"/>
      <c r="AR72" s="422"/>
      <c r="AS72" s="422"/>
      <c r="AT72" s="422"/>
      <c r="AU72" s="422"/>
      <c r="AV72" s="422"/>
      <c r="AW72" s="417" t="s">
        <v>4969</v>
      </c>
      <c r="AX72" s="417"/>
      <c r="AY72" s="422"/>
      <c r="AZ72" s="422"/>
      <c r="BA72" s="604" t="s">
        <v>2809</v>
      </c>
      <c r="BB72" s="414"/>
      <c r="BC72" s="169" t="s">
        <v>4955</v>
      </c>
      <c r="BD72" s="1330"/>
      <c r="BE72" s="1329">
        <v>43845</v>
      </c>
      <c r="BF72" s="1330"/>
      <c r="BG72" s="1330"/>
    </row>
    <row r="73" spans="1:59" ht="12.5">
      <c r="A73" s="414"/>
      <c r="B73" s="603"/>
      <c r="C73" s="416"/>
      <c r="D73" s="416"/>
      <c r="E73" s="417"/>
      <c r="F73" s="418"/>
      <c r="G73" s="422">
        <v>6</v>
      </c>
      <c r="H73" s="420"/>
      <c r="I73" s="420"/>
      <c r="J73" s="432"/>
      <c r="K73" s="417"/>
      <c r="L73" s="417"/>
      <c r="M73" s="417"/>
      <c r="N73" s="420"/>
      <c r="O73" s="420"/>
      <c r="P73" s="417"/>
      <c r="Q73" s="417"/>
      <c r="R73" s="417"/>
      <c r="S73" s="422"/>
      <c r="T73" s="417"/>
      <c r="U73" s="417"/>
      <c r="V73" s="417"/>
      <c r="W73" s="417"/>
      <c r="X73" s="417"/>
      <c r="Y73" s="417"/>
      <c r="Z73" s="417"/>
      <c r="AA73" s="417"/>
      <c r="AB73" s="417"/>
      <c r="AC73" s="417"/>
      <c r="AD73" s="417"/>
      <c r="AE73" s="417"/>
      <c r="AF73" s="417"/>
      <c r="AG73" s="416"/>
      <c r="AH73" s="417"/>
      <c r="AI73" s="417"/>
      <c r="AJ73" s="417"/>
      <c r="AK73" s="417"/>
      <c r="AL73" s="417"/>
      <c r="AM73" s="417"/>
      <c r="AN73" s="422"/>
      <c r="AO73" s="422"/>
      <c r="AP73" s="422"/>
      <c r="AQ73" s="422"/>
      <c r="AR73" s="422"/>
      <c r="AS73" s="422"/>
      <c r="AT73" s="422"/>
      <c r="AU73" s="422"/>
      <c r="AV73" s="422"/>
      <c r="AW73" s="417"/>
      <c r="AX73" s="417"/>
      <c r="AY73" s="422"/>
      <c r="AZ73" s="422"/>
      <c r="BA73" s="604"/>
      <c r="BB73" s="414"/>
      <c r="BD73" s="1330"/>
      <c r="BE73" s="1330"/>
      <c r="BF73" s="1330"/>
      <c r="BG73" s="1330"/>
    </row>
    <row r="74" spans="1:59" ht="12.5">
      <c r="A74" s="414"/>
      <c r="B74" s="603" t="s">
        <v>4632</v>
      </c>
      <c r="C74" s="416">
        <f>C72+G73</f>
        <v>94519.450000000026</v>
      </c>
      <c r="D74" s="416"/>
      <c r="E74" s="417"/>
      <c r="F74" s="418">
        <v>0</v>
      </c>
      <c r="G74" s="422"/>
      <c r="H74" s="420"/>
      <c r="I74" s="420"/>
      <c r="J74" s="432"/>
      <c r="K74" s="417"/>
      <c r="L74" s="417"/>
      <c r="M74" s="417"/>
      <c r="N74" s="420"/>
      <c r="O74" s="420"/>
      <c r="P74" s="417"/>
      <c r="Q74" s="417"/>
      <c r="R74" s="417"/>
      <c r="S74" s="422"/>
      <c r="T74" s="417">
        <v>7</v>
      </c>
      <c r="U74" s="417"/>
      <c r="V74" s="417"/>
      <c r="W74" s="417"/>
      <c r="X74" s="417"/>
      <c r="Y74" s="417"/>
      <c r="Z74" s="417"/>
      <c r="AA74" s="417"/>
      <c r="AB74" s="417"/>
      <c r="AC74" s="417"/>
      <c r="AD74" s="417"/>
      <c r="AE74" s="417"/>
      <c r="AF74" s="417"/>
      <c r="AG74" s="416"/>
      <c r="AH74" s="417"/>
      <c r="AI74" s="417"/>
      <c r="AJ74" s="417"/>
      <c r="AK74" s="417" t="s">
        <v>4624</v>
      </c>
      <c r="AL74" s="417"/>
      <c r="AM74" s="417"/>
      <c r="AN74" s="422">
        <v>5.15</v>
      </c>
      <c r="AO74" s="422"/>
      <c r="AP74" s="422"/>
      <c r="AQ74" s="422"/>
      <c r="AR74" s="422"/>
      <c r="AS74" s="422"/>
      <c r="AT74" s="422"/>
      <c r="AU74" s="422"/>
      <c r="AV74" s="422"/>
      <c r="AW74" s="417" t="s">
        <v>4969</v>
      </c>
      <c r="AX74" s="417"/>
      <c r="AY74" s="422"/>
      <c r="AZ74" s="422"/>
      <c r="BA74" s="604" t="s">
        <v>2809</v>
      </c>
      <c r="BB74" s="414"/>
      <c r="BC74" s="169" t="s">
        <v>4955</v>
      </c>
      <c r="BD74" s="1330"/>
      <c r="BE74" s="1329">
        <v>43845</v>
      </c>
      <c r="BF74" s="1330"/>
      <c r="BG74" s="1330"/>
    </row>
    <row r="75" spans="1:59" ht="12.5">
      <c r="A75" s="488"/>
      <c r="B75" s="632"/>
      <c r="C75" s="489"/>
      <c r="D75" s="489"/>
      <c r="E75" s="490"/>
      <c r="F75" s="491"/>
      <c r="G75" s="493">
        <v>6</v>
      </c>
      <c r="H75" s="495"/>
      <c r="I75" s="495"/>
      <c r="J75" s="431"/>
      <c r="K75" s="490"/>
      <c r="L75" s="490"/>
      <c r="M75" s="490"/>
      <c r="N75" s="495"/>
      <c r="O75" s="495"/>
      <c r="P75" s="490"/>
      <c r="Q75" s="490"/>
      <c r="R75" s="490"/>
      <c r="S75" s="493"/>
      <c r="T75" s="490"/>
      <c r="U75" s="490"/>
      <c r="V75" s="490"/>
      <c r="W75" s="490"/>
      <c r="X75" s="490"/>
      <c r="Y75" s="490"/>
      <c r="Z75" s="490"/>
      <c r="AA75" s="490"/>
      <c r="AB75" s="490"/>
      <c r="AC75" s="490"/>
      <c r="AD75" s="490"/>
      <c r="AE75" s="490"/>
      <c r="AF75" s="490"/>
      <c r="AG75" s="489"/>
      <c r="AH75" s="490"/>
      <c r="AI75" s="490"/>
      <c r="AJ75" s="490"/>
      <c r="AK75" s="490"/>
      <c r="AL75" s="490"/>
      <c r="AM75" s="490"/>
      <c r="AN75" s="493"/>
      <c r="AO75" s="493"/>
      <c r="AP75" s="493"/>
      <c r="AQ75" s="493"/>
      <c r="AR75" s="493"/>
      <c r="AS75" s="493"/>
      <c r="AT75" s="493"/>
      <c r="AU75" s="493"/>
      <c r="AV75" s="493"/>
      <c r="AW75" s="490"/>
      <c r="AX75" s="490"/>
      <c r="AY75" s="493"/>
      <c r="AZ75" s="493"/>
      <c r="BA75" s="602"/>
      <c r="BB75" s="488"/>
      <c r="BD75" s="1330"/>
      <c r="BE75" s="1330"/>
      <c r="BF75" s="1330"/>
      <c r="BG75" s="1330"/>
    </row>
    <row r="76" spans="1:59" ht="12.5">
      <c r="A76" s="488"/>
      <c r="B76" s="632" t="s">
        <v>4633</v>
      </c>
      <c r="C76" s="489">
        <f>C74+G75</f>
        <v>94525.450000000026</v>
      </c>
      <c r="D76" s="489"/>
      <c r="E76" s="490"/>
      <c r="F76" s="491">
        <v>0</v>
      </c>
      <c r="G76" s="493"/>
      <c r="H76" s="495"/>
      <c r="I76" s="495"/>
      <c r="J76" s="431"/>
      <c r="K76" s="490"/>
      <c r="L76" s="490"/>
      <c r="M76" s="490"/>
      <c r="N76" s="495"/>
      <c r="O76" s="495"/>
      <c r="P76" s="490"/>
      <c r="Q76" s="490"/>
      <c r="R76" s="490"/>
      <c r="S76" s="493"/>
      <c r="T76" s="490">
        <v>5</v>
      </c>
      <c r="U76" s="490"/>
      <c r="V76" s="490"/>
      <c r="W76" s="490"/>
      <c r="X76" s="490"/>
      <c r="Y76" s="490"/>
      <c r="Z76" s="490"/>
      <c r="AA76" s="490"/>
      <c r="AB76" s="490"/>
      <c r="AC76" s="490"/>
      <c r="AD76" s="490"/>
      <c r="AE76" s="490"/>
      <c r="AF76" s="490"/>
      <c r="AG76" s="489"/>
      <c r="AH76" s="490"/>
      <c r="AI76" s="490"/>
      <c r="AJ76" s="490"/>
      <c r="AK76" s="490" t="s">
        <v>4624</v>
      </c>
      <c r="AL76" s="490"/>
      <c r="AM76" s="490"/>
      <c r="AN76" s="493">
        <v>5.15</v>
      </c>
      <c r="AO76" s="493"/>
      <c r="AP76" s="493"/>
      <c r="AQ76" s="493"/>
      <c r="AR76" s="493"/>
      <c r="AS76" s="493"/>
      <c r="AT76" s="493"/>
      <c r="AU76" s="493"/>
      <c r="AV76" s="493"/>
      <c r="AW76" s="490" t="s">
        <v>4970</v>
      </c>
      <c r="AX76" s="490"/>
      <c r="AY76" s="493"/>
      <c r="AZ76" s="493"/>
      <c r="BA76" s="602" t="s">
        <v>2809</v>
      </c>
      <c r="BB76" s="488"/>
      <c r="BC76" s="169" t="s">
        <v>4955</v>
      </c>
      <c r="BD76" s="1330"/>
      <c r="BE76" s="1329">
        <v>43845</v>
      </c>
      <c r="BF76" s="1330"/>
      <c r="BG76" s="1330"/>
    </row>
    <row r="77" spans="1:59" ht="12.5">
      <c r="A77" s="488"/>
      <c r="B77" s="632"/>
      <c r="C77" s="489"/>
      <c r="D77" s="489"/>
      <c r="E77" s="490"/>
      <c r="F77" s="491"/>
      <c r="G77" s="493">
        <v>6</v>
      </c>
      <c r="H77" s="495"/>
      <c r="I77" s="495"/>
      <c r="J77" s="431"/>
      <c r="K77" s="490"/>
      <c r="L77" s="490"/>
      <c r="M77" s="490"/>
      <c r="N77" s="495"/>
      <c r="O77" s="495"/>
      <c r="P77" s="490"/>
      <c r="Q77" s="490"/>
      <c r="R77" s="490"/>
      <c r="S77" s="493"/>
      <c r="T77" s="490"/>
      <c r="U77" s="490"/>
      <c r="V77" s="490"/>
      <c r="W77" s="490"/>
      <c r="X77" s="490"/>
      <c r="Y77" s="490"/>
      <c r="Z77" s="490"/>
      <c r="AA77" s="490"/>
      <c r="AB77" s="490"/>
      <c r="AC77" s="490"/>
      <c r="AD77" s="490"/>
      <c r="AE77" s="490"/>
      <c r="AF77" s="490"/>
      <c r="AG77" s="489"/>
      <c r="AH77" s="490"/>
      <c r="AI77" s="490"/>
      <c r="AJ77" s="490"/>
      <c r="AK77" s="490"/>
      <c r="AL77" s="490"/>
      <c r="AM77" s="490"/>
      <c r="AN77" s="493"/>
      <c r="AO77" s="493"/>
      <c r="AP77" s="493"/>
      <c r="AQ77" s="493"/>
      <c r="AR77" s="493"/>
      <c r="AS77" s="493"/>
      <c r="AT77" s="493"/>
      <c r="AU77" s="493"/>
      <c r="AV77" s="493"/>
      <c r="AW77" s="490"/>
      <c r="AX77" s="490"/>
      <c r="AY77" s="493"/>
      <c r="AZ77" s="493"/>
      <c r="BA77" s="602"/>
      <c r="BB77" s="488"/>
      <c r="BD77" s="1330"/>
      <c r="BE77" s="1330"/>
      <c r="BF77" s="1330"/>
      <c r="BG77" s="1330"/>
    </row>
    <row r="78" spans="1:59" ht="12.5">
      <c r="A78" s="488"/>
      <c r="B78" s="632" t="s">
        <v>4634</v>
      </c>
      <c r="C78" s="489">
        <f>C76+G77</f>
        <v>94531.450000000026</v>
      </c>
      <c r="D78" s="489"/>
      <c r="E78" s="490"/>
      <c r="F78" s="491">
        <v>0</v>
      </c>
      <c r="G78" s="493"/>
      <c r="H78" s="495"/>
      <c r="I78" s="495"/>
      <c r="J78" s="431"/>
      <c r="K78" s="490"/>
      <c r="L78" s="490"/>
      <c r="M78" s="490"/>
      <c r="N78" s="495"/>
      <c r="O78" s="495"/>
      <c r="P78" s="490"/>
      <c r="Q78" s="490"/>
      <c r="R78" s="490"/>
      <c r="S78" s="493"/>
      <c r="T78" s="490">
        <v>4</v>
      </c>
      <c r="U78" s="490"/>
      <c r="V78" s="490"/>
      <c r="W78" s="490"/>
      <c r="X78" s="490"/>
      <c r="Y78" s="490"/>
      <c r="Z78" s="490"/>
      <c r="AA78" s="490"/>
      <c r="AB78" s="490"/>
      <c r="AC78" s="490"/>
      <c r="AD78" s="490"/>
      <c r="AE78" s="490"/>
      <c r="AF78" s="490"/>
      <c r="AG78" s="489"/>
      <c r="AH78" s="490"/>
      <c r="AI78" s="490"/>
      <c r="AJ78" s="490"/>
      <c r="AK78" s="490" t="s">
        <v>4624</v>
      </c>
      <c r="AL78" s="490"/>
      <c r="AM78" s="490"/>
      <c r="AN78" s="493">
        <v>5.15</v>
      </c>
      <c r="AO78" s="493"/>
      <c r="AP78" s="493"/>
      <c r="AQ78" s="493"/>
      <c r="AR78" s="493"/>
      <c r="AS78" s="493"/>
      <c r="AT78" s="493"/>
      <c r="AU78" s="493"/>
      <c r="AV78" s="493"/>
      <c r="AW78" s="490" t="s">
        <v>4970</v>
      </c>
      <c r="AX78" s="490"/>
      <c r="AY78" s="493"/>
      <c r="AZ78" s="493"/>
      <c r="BA78" s="602" t="s">
        <v>2809</v>
      </c>
      <c r="BB78" s="488"/>
      <c r="BC78" s="169" t="s">
        <v>4955</v>
      </c>
      <c r="BD78" s="1330"/>
      <c r="BE78" s="1329"/>
      <c r="BF78" s="1330"/>
      <c r="BG78" s="1330"/>
    </row>
    <row r="79" spans="1:59" ht="12.5">
      <c r="A79" s="488"/>
      <c r="B79" s="632"/>
      <c r="C79" s="489"/>
      <c r="D79" s="489"/>
      <c r="E79" s="490"/>
      <c r="F79" s="491"/>
      <c r="G79" s="493">
        <v>6</v>
      </c>
      <c r="H79" s="495"/>
      <c r="I79" s="495"/>
      <c r="J79" s="431"/>
      <c r="K79" s="490"/>
      <c r="L79" s="490"/>
      <c r="M79" s="490"/>
      <c r="N79" s="495"/>
      <c r="O79" s="495"/>
      <c r="P79" s="490"/>
      <c r="Q79" s="490"/>
      <c r="R79" s="490"/>
      <c r="S79" s="493"/>
      <c r="T79" s="490"/>
      <c r="U79" s="490"/>
      <c r="V79" s="490"/>
      <c r="W79" s="490"/>
      <c r="X79" s="490"/>
      <c r="Y79" s="490"/>
      <c r="Z79" s="490"/>
      <c r="AA79" s="490"/>
      <c r="AB79" s="490"/>
      <c r="AC79" s="490"/>
      <c r="AD79" s="490"/>
      <c r="AE79" s="490"/>
      <c r="AF79" s="490"/>
      <c r="AG79" s="489"/>
      <c r="AH79" s="490"/>
      <c r="AI79" s="490"/>
      <c r="AJ79" s="490"/>
      <c r="AK79" s="490"/>
      <c r="AL79" s="490"/>
      <c r="AM79" s="490"/>
      <c r="AN79" s="493"/>
      <c r="AO79" s="493"/>
      <c r="AP79" s="493"/>
      <c r="AQ79" s="493"/>
      <c r="AR79" s="493"/>
      <c r="AS79" s="493"/>
      <c r="AT79" s="493"/>
      <c r="AU79" s="493"/>
      <c r="AV79" s="493"/>
      <c r="AW79" s="490"/>
      <c r="AX79" s="490"/>
      <c r="AY79" s="493"/>
      <c r="AZ79" s="493"/>
      <c r="BA79" s="602"/>
      <c r="BB79" s="488"/>
      <c r="BD79" s="1330"/>
      <c r="BE79" s="1330"/>
      <c r="BF79" s="1330"/>
      <c r="BG79" s="1330"/>
    </row>
    <row r="80" spans="1:59" ht="12.5">
      <c r="A80" s="488"/>
      <c r="B80" s="632" t="s">
        <v>4635</v>
      </c>
      <c r="C80" s="489">
        <f>C78+G79</f>
        <v>94537.450000000026</v>
      </c>
      <c r="D80" s="489"/>
      <c r="E80" s="490"/>
      <c r="F80" s="491">
        <v>0</v>
      </c>
      <c r="G80" s="493"/>
      <c r="H80" s="495"/>
      <c r="I80" s="495"/>
      <c r="J80" s="431"/>
      <c r="K80" s="490"/>
      <c r="L80" s="490"/>
      <c r="M80" s="490"/>
      <c r="N80" s="495"/>
      <c r="O80" s="495"/>
      <c r="P80" s="490"/>
      <c r="Q80" s="490"/>
      <c r="R80" s="490"/>
      <c r="S80" s="493"/>
      <c r="T80" s="490">
        <v>2</v>
      </c>
      <c r="U80" s="490"/>
      <c r="V80" s="490"/>
      <c r="W80" s="490"/>
      <c r="X80" s="490"/>
      <c r="Y80" s="490"/>
      <c r="Z80" s="490"/>
      <c r="AA80" s="490"/>
      <c r="AB80" s="490"/>
      <c r="AC80" s="490"/>
      <c r="AD80" s="490"/>
      <c r="AE80" s="490"/>
      <c r="AF80" s="490"/>
      <c r="AG80" s="489"/>
      <c r="AH80" s="490"/>
      <c r="AI80" s="490"/>
      <c r="AJ80" s="490"/>
      <c r="AK80" s="490" t="s">
        <v>4624</v>
      </c>
      <c r="AL80" s="490"/>
      <c r="AM80" s="490"/>
      <c r="AN80" s="493">
        <v>5.15</v>
      </c>
      <c r="AO80" s="493"/>
      <c r="AP80" s="493"/>
      <c r="AQ80" s="493"/>
      <c r="AR80" s="493"/>
      <c r="AS80" s="493"/>
      <c r="AT80" s="493"/>
      <c r="AU80" s="493"/>
      <c r="AV80" s="493"/>
      <c r="AW80" s="490" t="s">
        <v>4970</v>
      </c>
      <c r="AX80" s="490"/>
      <c r="AY80" s="493"/>
      <c r="AZ80" s="493"/>
      <c r="BA80" s="602" t="s">
        <v>2809</v>
      </c>
      <c r="BB80" s="488"/>
      <c r="BC80" s="169" t="s">
        <v>4955</v>
      </c>
      <c r="BD80" s="1330"/>
      <c r="BE80" s="1329"/>
      <c r="BF80" s="1330"/>
      <c r="BG80" s="1330"/>
    </row>
    <row r="81" spans="1:59" ht="12.5">
      <c r="A81" s="488"/>
      <c r="B81" s="494"/>
      <c r="C81" s="489"/>
      <c r="D81" s="489"/>
      <c r="E81" s="490"/>
      <c r="F81" s="491"/>
      <c r="G81" s="493">
        <v>6</v>
      </c>
      <c r="H81" s="495"/>
      <c r="I81" s="1190"/>
      <c r="J81" s="431"/>
      <c r="K81" s="490"/>
      <c r="L81" s="490"/>
      <c r="M81" s="490"/>
      <c r="N81" s="495"/>
      <c r="O81" s="495"/>
      <c r="P81" s="490"/>
      <c r="Q81" s="490"/>
      <c r="R81" s="490"/>
      <c r="S81" s="493">
        <f>+AG82-AG70</f>
        <v>0</v>
      </c>
      <c r="T81" s="490"/>
      <c r="U81" s="490"/>
      <c r="V81" s="490"/>
      <c r="W81" s="490"/>
      <c r="X81" s="490"/>
      <c r="Y81" s="490"/>
      <c r="Z81" s="490"/>
      <c r="AA81" s="490"/>
      <c r="AB81" s="490"/>
      <c r="AC81" s="490"/>
      <c r="AD81" s="490"/>
      <c r="AE81" s="490"/>
      <c r="AF81" s="490"/>
      <c r="AG81" s="489"/>
      <c r="AH81" s="490"/>
      <c r="AI81" s="490"/>
      <c r="AJ81" s="490"/>
      <c r="AK81" s="490"/>
      <c r="AL81" s="490"/>
      <c r="AM81" s="490"/>
      <c r="AN81" s="493"/>
      <c r="AO81" s="493"/>
      <c r="AP81" s="493"/>
      <c r="AQ81" s="493"/>
      <c r="AR81" s="493"/>
      <c r="AS81" s="493"/>
      <c r="AT81" s="493"/>
      <c r="AU81" s="493"/>
      <c r="AV81" s="493"/>
      <c r="AW81" s="490"/>
      <c r="AX81" s="490"/>
      <c r="AY81" s="493"/>
      <c r="AZ81" s="493"/>
      <c r="BA81" s="602"/>
      <c r="BB81" s="488"/>
      <c r="BD81" s="1330"/>
      <c r="BE81" s="1330"/>
      <c r="BF81" s="1330"/>
      <c r="BG81" s="1330"/>
    </row>
    <row r="82" spans="1:59" ht="12.5">
      <c r="A82" s="488" t="s">
        <v>1851</v>
      </c>
      <c r="B82" s="434" t="s">
        <v>1978</v>
      </c>
      <c r="C82" s="489">
        <f>C80+G81</f>
        <v>94543.450000000026</v>
      </c>
      <c r="D82" s="489"/>
      <c r="E82" s="490"/>
      <c r="F82" s="491">
        <v>0</v>
      </c>
      <c r="G82" s="493"/>
      <c r="H82" s="495" t="s">
        <v>873</v>
      </c>
      <c r="I82" s="495"/>
      <c r="J82" s="431">
        <f>C82</f>
        <v>94543.450000000026</v>
      </c>
      <c r="K82" s="490" t="s">
        <v>897</v>
      </c>
      <c r="L82" s="490"/>
      <c r="M82" s="490"/>
      <c r="N82" s="495"/>
      <c r="O82" s="495"/>
      <c r="P82" s="490"/>
      <c r="Q82" s="490"/>
      <c r="R82" s="490"/>
      <c r="S82" s="493"/>
      <c r="T82" s="490">
        <v>0</v>
      </c>
      <c r="U82" s="490"/>
      <c r="V82" s="490"/>
      <c r="W82" s="490"/>
      <c r="X82" s="490"/>
      <c r="Y82" s="490"/>
      <c r="Z82" s="490"/>
      <c r="AA82" s="490"/>
      <c r="AB82" s="490"/>
      <c r="AC82" s="490"/>
      <c r="AD82" s="490"/>
      <c r="AE82" s="490"/>
      <c r="AF82" s="490"/>
      <c r="AG82" s="489"/>
      <c r="AH82" s="490"/>
      <c r="AI82" s="490"/>
      <c r="AJ82" s="490"/>
      <c r="AK82" s="490" t="s">
        <v>4624</v>
      </c>
      <c r="AL82" s="490"/>
      <c r="AM82" s="490"/>
      <c r="AN82" s="493">
        <v>5.15</v>
      </c>
      <c r="AO82" s="493"/>
      <c r="AP82" s="493"/>
      <c r="AQ82" s="493"/>
      <c r="AR82" s="493"/>
      <c r="AS82" s="493"/>
      <c r="AT82" s="493"/>
      <c r="AU82" s="493"/>
      <c r="AV82" s="493"/>
      <c r="AW82" s="490" t="s">
        <v>4970</v>
      </c>
      <c r="AX82" s="490"/>
      <c r="AY82" s="493"/>
      <c r="AZ82" s="493"/>
      <c r="BA82" s="602" t="s">
        <v>2809</v>
      </c>
      <c r="BB82" s="488"/>
      <c r="BC82" s="169" t="s">
        <v>4955</v>
      </c>
      <c r="BD82" s="1330"/>
      <c r="BE82" s="1329"/>
      <c r="BF82" s="1330"/>
      <c r="BG82" s="1330"/>
    </row>
    <row r="83" spans="1:59" ht="12.5">
      <c r="A83" s="488"/>
      <c r="B83" s="434"/>
      <c r="C83" s="489"/>
      <c r="D83" s="489"/>
      <c r="E83" s="490"/>
      <c r="F83" s="491"/>
      <c r="G83" s="493">
        <v>6</v>
      </c>
      <c r="H83" s="495"/>
      <c r="I83" s="492">
        <f>SUM(G41:G83)</f>
        <v>359.29999999999995</v>
      </c>
      <c r="J83" s="431"/>
      <c r="K83" s="490"/>
      <c r="L83" s="490"/>
      <c r="M83" s="490"/>
      <c r="N83" s="495"/>
      <c r="O83" s="495"/>
      <c r="P83" s="490"/>
      <c r="Q83" s="490"/>
      <c r="R83" s="490"/>
      <c r="S83" s="493"/>
      <c r="T83" s="490"/>
      <c r="U83" s="490"/>
      <c r="V83" s="490"/>
      <c r="W83" s="490"/>
      <c r="X83" s="490"/>
      <c r="Y83" s="490"/>
      <c r="Z83" s="490"/>
      <c r="AA83" s="490"/>
      <c r="AB83" s="490"/>
      <c r="AC83" s="490"/>
      <c r="AD83" s="490"/>
      <c r="AE83" s="490"/>
      <c r="AF83" s="490"/>
      <c r="AG83" s="489"/>
      <c r="AH83" s="490"/>
      <c r="AI83" s="490"/>
      <c r="AJ83" s="490"/>
      <c r="AK83" s="490"/>
      <c r="AL83" s="490"/>
      <c r="AM83" s="490"/>
      <c r="AN83" s="493"/>
      <c r="AO83" s="493"/>
      <c r="AP83" s="493"/>
      <c r="AQ83" s="493"/>
      <c r="AR83" s="493"/>
      <c r="AS83" s="493"/>
      <c r="AT83" s="493"/>
      <c r="AU83" s="493"/>
      <c r="AV83" s="493"/>
      <c r="AW83" s="490"/>
      <c r="AX83" s="490"/>
      <c r="AY83" s="493"/>
      <c r="AZ83" s="493"/>
      <c r="BA83" s="602"/>
      <c r="BB83" s="488"/>
      <c r="BD83" s="1330"/>
      <c r="BE83" s="1330"/>
      <c r="BF83" s="1330"/>
      <c r="BG83" s="1330"/>
    </row>
    <row r="84" spans="1:59" ht="12.5">
      <c r="A84" s="488"/>
      <c r="B84" s="434" t="s">
        <v>4636</v>
      </c>
      <c r="C84" s="489">
        <f>C82+G83</f>
        <v>94549.450000000026</v>
      </c>
      <c r="D84" s="489"/>
      <c r="E84" s="490"/>
      <c r="F84" s="491">
        <v>0</v>
      </c>
      <c r="G84" s="493"/>
      <c r="H84" s="495" t="s">
        <v>874</v>
      </c>
      <c r="I84" s="495"/>
      <c r="J84" s="431"/>
      <c r="K84" s="490"/>
      <c r="L84" s="490"/>
      <c r="M84" s="490"/>
      <c r="N84" s="495"/>
      <c r="O84" s="495"/>
      <c r="P84" s="490"/>
      <c r="Q84" s="490"/>
      <c r="R84" s="490"/>
      <c r="S84" s="493"/>
      <c r="T84" s="490">
        <v>-1</v>
      </c>
      <c r="U84" s="490"/>
      <c r="V84" s="490"/>
      <c r="W84" s="490"/>
      <c r="X84" s="490"/>
      <c r="Y84" s="490"/>
      <c r="Z84" s="490"/>
      <c r="AA84" s="490"/>
      <c r="AB84" s="490"/>
      <c r="AC84" s="490"/>
      <c r="AD84" s="490"/>
      <c r="AE84" s="490"/>
      <c r="AF84" s="490"/>
      <c r="AG84" s="489"/>
      <c r="AH84" s="490"/>
      <c r="AI84" s="490"/>
      <c r="AJ84" s="490"/>
      <c r="AK84" s="490" t="s">
        <v>4624</v>
      </c>
      <c r="AL84" s="490"/>
      <c r="AM84" s="490"/>
      <c r="AN84" s="493">
        <v>5.15</v>
      </c>
      <c r="AO84" s="493"/>
      <c r="AP84" s="493"/>
      <c r="AQ84" s="493"/>
      <c r="AR84" s="493"/>
      <c r="AS84" s="493"/>
      <c r="AT84" s="493"/>
      <c r="AU84" s="493"/>
      <c r="AV84" s="493"/>
      <c r="AW84" s="490" t="s">
        <v>4970</v>
      </c>
      <c r="AX84" s="490"/>
      <c r="AY84" s="493"/>
      <c r="AZ84" s="493"/>
      <c r="BA84" s="602" t="s">
        <v>2809</v>
      </c>
      <c r="BB84" s="488"/>
      <c r="BC84" s="169" t="s">
        <v>4955</v>
      </c>
      <c r="BD84" s="1330"/>
      <c r="BE84" s="1329"/>
      <c r="BF84" s="1330"/>
      <c r="BG84" s="1330"/>
    </row>
    <row r="85" spans="1:59" ht="12.5">
      <c r="A85" s="488"/>
      <c r="B85" s="434"/>
      <c r="C85" s="489"/>
      <c r="D85" s="489"/>
      <c r="E85" s="490"/>
      <c r="F85" s="491"/>
      <c r="G85" s="493">
        <v>6</v>
      </c>
      <c r="H85" s="495"/>
      <c r="I85" s="492">
        <f>SUM(G85:G129)</f>
        <v>467.7</v>
      </c>
      <c r="J85" s="431"/>
      <c r="K85" s="490"/>
      <c r="L85" s="490"/>
      <c r="M85" s="490"/>
      <c r="N85" s="495"/>
      <c r="O85" s="495"/>
      <c r="P85" s="490"/>
      <c r="Q85" s="490"/>
      <c r="R85" s="490"/>
      <c r="S85" s="493"/>
      <c r="T85" s="490"/>
      <c r="U85" s="490"/>
      <c r="V85" s="490"/>
      <c r="W85" s="490"/>
      <c r="X85" s="490"/>
      <c r="Y85" s="490"/>
      <c r="Z85" s="490"/>
      <c r="AA85" s="490"/>
      <c r="AB85" s="490"/>
      <c r="AC85" s="490"/>
      <c r="AD85" s="490"/>
      <c r="AE85" s="490"/>
      <c r="AF85" s="490"/>
      <c r="AG85" s="489"/>
      <c r="AH85" s="490"/>
      <c r="AI85" s="490"/>
      <c r="AJ85" s="490"/>
      <c r="AK85" s="490"/>
      <c r="AL85" s="490"/>
      <c r="AM85" s="490"/>
      <c r="AN85" s="493"/>
      <c r="AO85" s="493"/>
      <c r="AP85" s="493"/>
      <c r="AQ85" s="493"/>
      <c r="AR85" s="493"/>
      <c r="AS85" s="493"/>
      <c r="AT85" s="493"/>
      <c r="AU85" s="493"/>
      <c r="AV85" s="493"/>
      <c r="AW85" s="490"/>
      <c r="AX85" s="490"/>
      <c r="AY85" s="493"/>
      <c r="AZ85" s="493"/>
      <c r="BA85" s="602"/>
      <c r="BB85" s="488"/>
      <c r="BD85" s="1330"/>
      <c r="BE85" s="1330"/>
      <c r="BF85" s="1330"/>
      <c r="BG85" s="1330"/>
    </row>
    <row r="86" spans="1:59" ht="12.5">
      <c r="A86" s="488"/>
      <c r="B86" s="434" t="s">
        <v>4637</v>
      </c>
      <c r="C86" s="489">
        <f>C84+G85</f>
        <v>94555.450000000026</v>
      </c>
      <c r="D86" s="489"/>
      <c r="E86" s="490"/>
      <c r="F86" s="491">
        <v>0</v>
      </c>
      <c r="G86" s="493"/>
      <c r="H86" s="495" t="s">
        <v>873</v>
      </c>
      <c r="I86" s="495"/>
      <c r="J86" s="431">
        <f>C86</f>
        <v>94555.450000000026</v>
      </c>
      <c r="K86" s="490" t="s">
        <v>897</v>
      </c>
      <c r="L86" s="490"/>
      <c r="M86" s="490"/>
      <c r="N86" s="495"/>
      <c r="O86" s="495"/>
      <c r="P86" s="490"/>
      <c r="Q86" s="490"/>
      <c r="R86" s="490"/>
      <c r="S86" s="493"/>
      <c r="T86" s="490">
        <v>-2</v>
      </c>
      <c r="U86" s="490"/>
      <c r="V86" s="490"/>
      <c r="W86" s="490"/>
      <c r="X86" s="490"/>
      <c r="Y86" s="490"/>
      <c r="Z86" s="490"/>
      <c r="AA86" s="490"/>
      <c r="AB86" s="490"/>
      <c r="AC86" s="490"/>
      <c r="AD86" s="490"/>
      <c r="AE86" s="490"/>
      <c r="AF86" s="490"/>
      <c r="AG86" s="489"/>
      <c r="AH86" s="490"/>
      <c r="AI86" s="490"/>
      <c r="AJ86" s="490"/>
      <c r="AK86" s="490" t="s">
        <v>4624</v>
      </c>
      <c r="AL86" s="490"/>
      <c r="AM86" s="490"/>
      <c r="AN86" s="493">
        <v>5.15</v>
      </c>
      <c r="AO86" s="493"/>
      <c r="AP86" s="493"/>
      <c r="AQ86" s="493"/>
      <c r="AR86" s="493"/>
      <c r="AS86" s="493"/>
      <c r="AT86" s="493"/>
      <c r="AU86" s="493"/>
      <c r="AV86" s="493"/>
      <c r="AW86" s="490" t="s">
        <v>4970</v>
      </c>
      <c r="AX86" s="490"/>
      <c r="AY86" s="493"/>
      <c r="AZ86" s="493"/>
      <c r="BA86" s="602" t="s">
        <v>2809</v>
      </c>
      <c r="BB86" s="488"/>
      <c r="BC86" s="169" t="s">
        <v>4955</v>
      </c>
      <c r="BD86" s="1330"/>
      <c r="BE86" s="1329"/>
      <c r="BF86" s="1330"/>
      <c r="BG86" s="1330"/>
    </row>
    <row r="87" spans="1:59" ht="12.5">
      <c r="A87" s="488"/>
      <c r="B87" s="434"/>
      <c r="C87" s="489"/>
      <c r="D87" s="489"/>
      <c r="E87" s="490"/>
      <c r="F87" s="491"/>
      <c r="G87" s="493">
        <v>6</v>
      </c>
      <c r="H87" s="495"/>
      <c r="I87" s="495"/>
      <c r="J87" s="431"/>
      <c r="K87" s="490"/>
      <c r="L87" s="490"/>
      <c r="M87" s="490"/>
      <c r="N87" s="495"/>
      <c r="O87" s="495"/>
      <c r="P87" s="490"/>
      <c r="Q87" s="490"/>
      <c r="R87" s="490"/>
      <c r="S87" s="493"/>
      <c r="T87" s="490"/>
      <c r="U87" s="490"/>
      <c r="V87" s="490"/>
      <c r="W87" s="490"/>
      <c r="X87" s="490"/>
      <c r="Y87" s="490"/>
      <c r="Z87" s="490"/>
      <c r="AA87" s="490"/>
      <c r="AB87" s="490"/>
      <c r="AC87" s="490"/>
      <c r="AD87" s="490"/>
      <c r="AE87" s="490"/>
      <c r="AF87" s="490"/>
      <c r="AG87" s="489"/>
      <c r="AH87" s="490"/>
      <c r="AI87" s="490"/>
      <c r="AJ87" s="490"/>
      <c r="AK87" s="490"/>
      <c r="AL87" s="490"/>
      <c r="AM87" s="490"/>
      <c r="AN87" s="493"/>
      <c r="AO87" s="493"/>
      <c r="AP87" s="493"/>
      <c r="AQ87" s="493"/>
      <c r="AR87" s="493"/>
      <c r="AS87" s="493"/>
      <c r="AT87" s="493"/>
      <c r="AU87" s="493"/>
      <c r="AV87" s="493"/>
      <c r="AW87" s="490"/>
      <c r="AX87" s="490"/>
      <c r="AY87" s="493"/>
      <c r="AZ87" s="493"/>
      <c r="BA87" s="602"/>
      <c r="BB87" s="488"/>
      <c r="BD87" s="1330"/>
      <c r="BE87" s="1330"/>
      <c r="BF87" s="1330"/>
      <c r="BG87" s="1330"/>
    </row>
    <row r="88" spans="1:59" ht="12.5">
      <c r="A88" s="488"/>
      <c r="B88" s="434" t="s">
        <v>4638</v>
      </c>
      <c r="C88" s="489">
        <f>C86+G87</f>
        <v>94561.450000000026</v>
      </c>
      <c r="D88" s="489"/>
      <c r="E88" s="490"/>
      <c r="F88" s="491">
        <v>0</v>
      </c>
      <c r="G88" s="493"/>
      <c r="H88" s="495"/>
      <c r="I88" s="495"/>
      <c r="J88" s="431"/>
      <c r="K88" s="490"/>
      <c r="L88" s="490"/>
      <c r="M88" s="490"/>
      <c r="N88" s="495"/>
      <c r="O88" s="495"/>
      <c r="P88" s="490"/>
      <c r="Q88" s="490"/>
      <c r="R88" s="490"/>
      <c r="S88" s="493"/>
      <c r="T88" s="490">
        <v>-4</v>
      </c>
      <c r="U88" s="490"/>
      <c r="V88" s="490"/>
      <c r="W88" s="490"/>
      <c r="X88" s="490"/>
      <c r="Y88" s="490"/>
      <c r="Z88" s="490"/>
      <c r="AA88" s="490"/>
      <c r="AB88" s="490"/>
      <c r="AC88" s="490"/>
      <c r="AD88" s="490"/>
      <c r="AE88" s="490"/>
      <c r="AF88" s="490"/>
      <c r="AG88" s="489"/>
      <c r="AH88" s="490"/>
      <c r="AI88" s="490"/>
      <c r="AJ88" s="490"/>
      <c r="AK88" s="490" t="s">
        <v>4624</v>
      </c>
      <c r="AL88" s="490"/>
      <c r="AM88" s="490"/>
      <c r="AN88" s="493">
        <v>5.15</v>
      </c>
      <c r="AO88" s="493"/>
      <c r="AP88" s="493"/>
      <c r="AQ88" s="493"/>
      <c r="AR88" s="493"/>
      <c r="AS88" s="493"/>
      <c r="AT88" s="493"/>
      <c r="AU88" s="493"/>
      <c r="AV88" s="493"/>
      <c r="AW88" s="490" t="s">
        <v>4970</v>
      </c>
      <c r="AX88" s="490"/>
      <c r="AY88" s="493"/>
      <c r="AZ88" s="493"/>
      <c r="BA88" s="602" t="s">
        <v>2809</v>
      </c>
      <c r="BB88" s="488"/>
      <c r="BC88" s="169" t="s">
        <v>4955</v>
      </c>
      <c r="BD88" s="1330"/>
      <c r="BE88" s="1329"/>
      <c r="BF88" s="1330"/>
      <c r="BG88" s="1330"/>
    </row>
    <row r="89" spans="1:59" ht="12.5">
      <c r="A89" s="488"/>
      <c r="B89" s="434"/>
      <c r="C89" s="489"/>
      <c r="D89" s="489"/>
      <c r="E89" s="490"/>
      <c r="F89" s="491"/>
      <c r="G89" s="493">
        <v>6</v>
      </c>
      <c r="H89" s="495"/>
      <c r="I89" s="495"/>
      <c r="J89" s="431"/>
      <c r="K89" s="490"/>
      <c r="L89" s="490"/>
      <c r="M89" s="490"/>
      <c r="N89" s="495"/>
      <c r="O89" s="495"/>
      <c r="P89" s="490"/>
      <c r="Q89" s="490"/>
      <c r="R89" s="490"/>
      <c r="S89" s="493"/>
      <c r="T89" s="490"/>
      <c r="U89" s="490"/>
      <c r="V89" s="490"/>
      <c r="W89" s="490"/>
      <c r="X89" s="490"/>
      <c r="Y89" s="490"/>
      <c r="Z89" s="490"/>
      <c r="AA89" s="490"/>
      <c r="AB89" s="490"/>
      <c r="AC89" s="490"/>
      <c r="AD89" s="490"/>
      <c r="AE89" s="490"/>
      <c r="AF89" s="490"/>
      <c r="AG89" s="489"/>
      <c r="AH89" s="490"/>
      <c r="AI89" s="490"/>
      <c r="AJ89" s="490"/>
      <c r="AK89" s="490"/>
      <c r="AL89" s="490"/>
      <c r="AM89" s="490"/>
      <c r="AN89" s="493"/>
      <c r="AO89" s="493"/>
      <c r="AP89" s="493"/>
      <c r="AQ89" s="493"/>
      <c r="AR89" s="493"/>
      <c r="AS89" s="493"/>
      <c r="AT89" s="493"/>
      <c r="AU89" s="493"/>
      <c r="AV89" s="493"/>
      <c r="AW89" s="490"/>
      <c r="AX89" s="490"/>
      <c r="AY89" s="493"/>
      <c r="AZ89" s="493"/>
      <c r="BA89" s="602"/>
      <c r="BB89" s="488"/>
      <c r="BD89" s="1330"/>
      <c r="BE89" s="1330"/>
      <c r="BF89" s="1330"/>
      <c r="BG89" s="1330"/>
    </row>
    <row r="90" spans="1:59" ht="12.5">
      <c r="A90" s="488"/>
      <c r="B90" s="434" t="s">
        <v>4639</v>
      </c>
      <c r="C90" s="489">
        <f>C88+G89</f>
        <v>94567.450000000026</v>
      </c>
      <c r="D90" s="489"/>
      <c r="E90" s="490"/>
      <c r="F90" s="491">
        <v>0</v>
      </c>
      <c r="G90" s="493"/>
      <c r="H90" s="495"/>
      <c r="I90" s="495"/>
      <c r="J90" s="431"/>
      <c r="K90" s="490"/>
      <c r="L90" s="490"/>
      <c r="M90" s="490"/>
      <c r="N90" s="495"/>
      <c r="O90" s="495"/>
      <c r="P90" s="490"/>
      <c r="Q90" s="490"/>
      <c r="R90" s="490"/>
      <c r="S90" s="493"/>
      <c r="T90" s="490">
        <v>-5</v>
      </c>
      <c r="U90" s="490"/>
      <c r="V90" s="490"/>
      <c r="W90" s="490"/>
      <c r="X90" s="490"/>
      <c r="Y90" s="490"/>
      <c r="Z90" s="490"/>
      <c r="AA90" s="490"/>
      <c r="AB90" s="490"/>
      <c r="AC90" s="490"/>
      <c r="AD90" s="490"/>
      <c r="AE90" s="490"/>
      <c r="AF90" s="490"/>
      <c r="AG90" s="489"/>
      <c r="AH90" s="490"/>
      <c r="AI90" s="490"/>
      <c r="AJ90" s="490"/>
      <c r="AK90" s="490" t="s">
        <v>4624</v>
      </c>
      <c r="AL90" s="490"/>
      <c r="AM90" s="490"/>
      <c r="AN90" s="493">
        <v>5.15</v>
      </c>
      <c r="AO90" s="493"/>
      <c r="AP90" s="493"/>
      <c r="AQ90" s="493"/>
      <c r="AR90" s="493"/>
      <c r="AS90" s="493"/>
      <c r="AT90" s="493"/>
      <c r="AU90" s="493"/>
      <c r="AV90" s="493"/>
      <c r="AW90" s="490" t="s">
        <v>4970</v>
      </c>
      <c r="AX90" s="490"/>
      <c r="AY90" s="493"/>
      <c r="AZ90" s="493"/>
      <c r="BA90" s="602" t="s">
        <v>2809</v>
      </c>
      <c r="BB90" s="488"/>
      <c r="BC90" s="169" t="s">
        <v>4955</v>
      </c>
      <c r="BD90" s="1330"/>
      <c r="BE90" s="1329"/>
      <c r="BF90" s="1330"/>
      <c r="BG90" s="1330"/>
    </row>
    <row r="91" spans="1:59" ht="12.5">
      <c r="A91" s="488"/>
      <c r="B91" s="434"/>
      <c r="C91" s="489"/>
      <c r="D91" s="489"/>
      <c r="E91" s="490"/>
      <c r="F91" s="491"/>
      <c r="G91" s="493">
        <v>6</v>
      </c>
      <c r="H91" s="495"/>
      <c r="I91" s="495"/>
      <c r="J91" s="431"/>
      <c r="K91" s="490"/>
      <c r="L91" s="490"/>
      <c r="M91" s="490"/>
      <c r="N91" s="495"/>
      <c r="O91" s="495"/>
      <c r="P91" s="490"/>
      <c r="Q91" s="490"/>
      <c r="R91" s="490"/>
      <c r="S91" s="493"/>
      <c r="T91" s="490"/>
      <c r="U91" s="490"/>
      <c r="V91" s="490"/>
      <c r="W91" s="490"/>
      <c r="X91" s="490"/>
      <c r="Y91" s="490"/>
      <c r="Z91" s="490"/>
      <c r="AA91" s="490"/>
      <c r="AB91" s="490"/>
      <c r="AC91" s="490"/>
      <c r="AD91" s="490"/>
      <c r="AE91" s="490"/>
      <c r="AF91" s="490"/>
      <c r="AG91" s="489"/>
      <c r="AH91" s="490"/>
      <c r="AI91" s="490"/>
      <c r="AJ91" s="490"/>
      <c r="AK91" s="490"/>
      <c r="AL91" s="490"/>
      <c r="AM91" s="490"/>
      <c r="AN91" s="493"/>
      <c r="AO91" s="493"/>
      <c r="AP91" s="493"/>
      <c r="AQ91" s="493"/>
      <c r="AR91" s="493"/>
      <c r="AS91" s="493"/>
      <c r="AT91" s="493"/>
      <c r="AU91" s="493"/>
      <c r="AV91" s="493"/>
      <c r="AW91" s="490"/>
      <c r="AX91" s="490"/>
      <c r="AY91" s="493"/>
      <c r="AZ91" s="493"/>
      <c r="BA91" s="602"/>
      <c r="BB91" s="488"/>
      <c r="BD91" s="1330"/>
      <c r="BE91" s="1330"/>
      <c r="BF91" s="1330"/>
      <c r="BG91" s="1330"/>
    </row>
    <row r="92" spans="1:59" ht="12.5">
      <c r="A92" s="488"/>
      <c r="B92" s="434" t="s">
        <v>4640</v>
      </c>
      <c r="C92" s="489">
        <f>C90+G91</f>
        <v>94573.450000000026</v>
      </c>
      <c r="D92" s="489"/>
      <c r="E92" s="490"/>
      <c r="F92" s="491">
        <v>0</v>
      </c>
      <c r="G92" s="493"/>
      <c r="H92" s="495"/>
      <c r="I92" s="495"/>
      <c r="J92" s="431"/>
      <c r="K92" s="490"/>
      <c r="L92" s="490"/>
      <c r="M92" s="490"/>
      <c r="N92" s="495"/>
      <c r="O92" s="495"/>
      <c r="P92" s="490"/>
      <c r="Q92" s="490"/>
      <c r="R92" s="490"/>
      <c r="S92" s="493"/>
      <c r="T92" s="490">
        <v>-7</v>
      </c>
      <c r="U92" s="490"/>
      <c r="V92" s="490"/>
      <c r="W92" s="490"/>
      <c r="X92" s="490"/>
      <c r="Y92" s="490"/>
      <c r="Z92" s="490"/>
      <c r="AA92" s="490"/>
      <c r="AB92" s="490"/>
      <c r="AC92" s="490"/>
      <c r="AD92" s="490"/>
      <c r="AE92" s="490"/>
      <c r="AF92" s="490"/>
      <c r="AG92" s="489"/>
      <c r="AH92" s="490"/>
      <c r="AI92" s="490"/>
      <c r="AJ92" s="490"/>
      <c r="AK92" s="490" t="s">
        <v>4624</v>
      </c>
      <c r="AL92" s="490"/>
      <c r="AM92" s="490"/>
      <c r="AN92" s="493">
        <v>5.15</v>
      </c>
      <c r="AO92" s="493"/>
      <c r="AP92" s="493"/>
      <c r="AQ92" s="493"/>
      <c r="AR92" s="493"/>
      <c r="AS92" s="493"/>
      <c r="AT92" s="493"/>
      <c r="AU92" s="493"/>
      <c r="AV92" s="493"/>
      <c r="AW92" s="490" t="s">
        <v>4970</v>
      </c>
      <c r="AX92" s="490"/>
      <c r="AY92" s="493"/>
      <c r="AZ92" s="493"/>
      <c r="BA92" s="602" t="s">
        <v>2809</v>
      </c>
      <c r="BB92" s="488"/>
      <c r="BC92" s="169" t="s">
        <v>4955</v>
      </c>
      <c r="BD92" s="1330"/>
      <c r="BE92" s="1329"/>
      <c r="BF92" s="1330"/>
      <c r="BG92" s="1330"/>
    </row>
    <row r="93" spans="1:59" ht="12.5">
      <c r="A93" s="488"/>
      <c r="B93" s="434"/>
      <c r="C93" s="489"/>
      <c r="D93" s="489"/>
      <c r="E93" s="490"/>
      <c r="F93" s="491"/>
      <c r="G93" s="493">
        <v>6</v>
      </c>
      <c r="H93" s="495"/>
      <c r="I93" s="495"/>
      <c r="J93" s="431"/>
      <c r="K93" s="490"/>
      <c r="L93" s="490"/>
      <c r="M93" s="490"/>
      <c r="N93" s="495"/>
      <c r="O93" s="495"/>
      <c r="P93" s="490"/>
      <c r="Q93" s="490"/>
      <c r="R93" s="490"/>
      <c r="S93" s="493"/>
      <c r="T93" s="490"/>
      <c r="U93" s="490"/>
      <c r="V93" s="490"/>
      <c r="W93" s="490"/>
      <c r="X93" s="490"/>
      <c r="Y93" s="490"/>
      <c r="Z93" s="490"/>
      <c r="AA93" s="490"/>
      <c r="AB93" s="490"/>
      <c r="AC93" s="490"/>
      <c r="AD93" s="490"/>
      <c r="AE93" s="490"/>
      <c r="AF93" s="490"/>
      <c r="AG93" s="489"/>
      <c r="AH93" s="490"/>
      <c r="AI93" s="490"/>
      <c r="AJ93" s="490"/>
      <c r="AK93" s="490"/>
      <c r="AL93" s="490"/>
      <c r="AM93" s="490"/>
      <c r="AN93" s="493"/>
      <c r="AO93" s="493"/>
      <c r="AP93" s="493"/>
      <c r="AQ93" s="493"/>
      <c r="AR93" s="493"/>
      <c r="AS93" s="493"/>
      <c r="AT93" s="493"/>
      <c r="AU93" s="493"/>
      <c r="AV93" s="493"/>
      <c r="AW93" s="490"/>
      <c r="AX93" s="490"/>
      <c r="AY93" s="493"/>
      <c r="AZ93" s="493"/>
      <c r="BA93" s="602"/>
      <c r="BB93" s="488"/>
      <c r="BD93" s="1330"/>
      <c r="BE93" s="1330"/>
      <c r="BF93" s="1330"/>
      <c r="BG93" s="1330"/>
    </row>
    <row r="94" spans="1:59" ht="12.5">
      <c r="A94" s="414"/>
      <c r="B94" s="437" t="s">
        <v>4641</v>
      </c>
      <c r="C94" s="416">
        <f>C92+G93</f>
        <v>94579.450000000026</v>
      </c>
      <c r="D94" s="416"/>
      <c r="E94" s="417"/>
      <c r="F94" s="418">
        <v>0</v>
      </c>
      <c r="G94" s="422"/>
      <c r="H94" s="420" t="s">
        <v>873</v>
      </c>
      <c r="I94" s="420"/>
      <c r="J94" s="432">
        <f>C94</f>
        <v>94579.450000000026</v>
      </c>
      <c r="K94" s="417" t="s">
        <v>897</v>
      </c>
      <c r="L94" s="417"/>
      <c r="M94" s="417"/>
      <c r="N94" s="420"/>
      <c r="O94" s="420"/>
      <c r="P94" s="417"/>
      <c r="Q94" s="417"/>
      <c r="R94" s="417"/>
      <c r="S94" s="422"/>
      <c r="T94" s="417">
        <v>-9</v>
      </c>
      <c r="U94" s="417"/>
      <c r="V94" s="417"/>
      <c r="W94" s="417"/>
      <c r="X94" s="417"/>
      <c r="Y94" s="417"/>
      <c r="Z94" s="417"/>
      <c r="AA94" s="417"/>
      <c r="AB94" s="417"/>
      <c r="AC94" s="417"/>
      <c r="AD94" s="417"/>
      <c r="AE94" s="417"/>
      <c r="AF94" s="417"/>
      <c r="AG94" s="416"/>
      <c r="AH94" s="417"/>
      <c r="AI94" s="417"/>
      <c r="AJ94" s="417"/>
      <c r="AK94" s="417" t="s">
        <v>4624</v>
      </c>
      <c r="AL94" s="417"/>
      <c r="AM94" s="417"/>
      <c r="AN94" s="422">
        <v>5.15</v>
      </c>
      <c r="AO94" s="422"/>
      <c r="AP94" s="422"/>
      <c r="AQ94" s="422"/>
      <c r="AR94" s="422"/>
      <c r="AS94" s="422"/>
      <c r="AT94" s="422"/>
      <c r="AU94" s="422"/>
      <c r="AV94" s="422"/>
      <c r="AW94" s="417" t="s">
        <v>4969</v>
      </c>
      <c r="AX94" s="417"/>
      <c r="AY94" s="422"/>
      <c r="AZ94" s="422"/>
      <c r="BA94" s="604" t="s">
        <v>2809</v>
      </c>
      <c r="BB94" s="414"/>
      <c r="BC94" s="169" t="s">
        <v>4955</v>
      </c>
      <c r="BD94" s="1330"/>
      <c r="BE94" s="1329">
        <v>43846</v>
      </c>
      <c r="BF94" s="1330"/>
      <c r="BG94" s="1330"/>
    </row>
    <row r="95" spans="1:59" ht="12.5">
      <c r="A95" s="414"/>
      <c r="B95" s="415"/>
      <c r="C95" s="416"/>
      <c r="D95" s="416"/>
      <c r="E95" s="417"/>
      <c r="F95" s="418"/>
      <c r="G95" s="422">
        <v>6</v>
      </c>
      <c r="H95" s="420"/>
      <c r="I95" s="1189"/>
      <c r="J95" s="432"/>
      <c r="K95" s="417"/>
      <c r="L95" s="417"/>
      <c r="M95" s="417"/>
      <c r="N95" s="420"/>
      <c r="O95" s="420"/>
      <c r="P95" s="417"/>
      <c r="Q95" s="417"/>
      <c r="R95" s="417"/>
      <c r="S95" s="422">
        <f>+AG96-AG82</f>
        <v>0</v>
      </c>
      <c r="T95" s="417"/>
      <c r="U95" s="417"/>
      <c r="V95" s="417"/>
      <c r="W95" s="417"/>
      <c r="X95" s="417"/>
      <c r="Y95" s="417"/>
      <c r="Z95" s="417"/>
      <c r="AA95" s="417"/>
      <c r="AB95" s="417"/>
      <c r="AC95" s="417"/>
      <c r="AD95" s="417"/>
      <c r="AE95" s="417"/>
      <c r="AF95" s="417"/>
      <c r="AG95" s="416"/>
      <c r="AH95" s="417"/>
      <c r="AI95" s="417"/>
      <c r="AJ95" s="417"/>
      <c r="AK95" s="417"/>
      <c r="AL95" s="417"/>
      <c r="AM95" s="417"/>
      <c r="AN95" s="422"/>
      <c r="AO95" s="422"/>
      <c r="AP95" s="422"/>
      <c r="AQ95" s="422"/>
      <c r="AR95" s="422"/>
      <c r="AS95" s="422"/>
      <c r="AT95" s="422"/>
      <c r="AU95" s="422"/>
      <c r="AV95" s="422"/>
      <c r="AW95" s="417"/>
      <c r="AX95" s="417"/>
      <c r="AY95" s="422"/>
      <c r="AZ95" s="422"/>
      <c r="BA95" s="1308"/>
      <c r="BB95" s="414"/>
      <c r="BD95" s="1330"/>
      <c r="BE95" s="1330"/>
      <c r="BF95" s="1330"/>
      <c r="BG95" s="1330"/>
    </row>
    <row r="96" spans="1:59" ht="12.5">
      <c r="A96" s="414"/>
      <c r="B96" s="437" t="s">
        <v>1979</v>
      </c>
      <c r="C96" s="416">
        <f>C94+G95</f>
        <v>94585.450000000026</v>
      </c>
      <c r="D96" s="416"/>
      <c r="E96" s="417"/>
      <c r="F96" s="418">
        <v>0</v>
      </c>
      <c r="G96" s="422"/>
      <c r="H96" s="420"/>
      <c r="I96" s="420"/>
      <c r="J96" s="432"/>
      <c r="K96" s="417"/>
      <c r="L96" s="417"/>
      <c r="M96" s="417"/>
      <c r="N96" s="420"/>
      <c r="O96" s="420"/>
      <c r="P96" s="417"/>
      <c r="Q96" s="417"/>
      <c r="R96" s="417"/>
      <c r="S96" s="422"/>
      <c r="T96" s="417">
        <v>-10</v>
      </c>
      <c r="U96" s="417"/>
      <c r="V96" s="417"/>
      <c r="W96" s="417"/>
      <c r="X96" s="417"/>
      <c r="Y96" s="417"/>
      <c r="Z96" s="417"/>
      <c r="AA96" s="417"/>
      <c r="AB96" s="417"/>
      <c r="AC96" s="417"/>
      <c r="AD96" s="417"/>
      <c r="AE96" s="417"/>
      <c r="AF96" s="417"/>
      <c r="AG96" s="416"/>
      <c r="AH96" s="417"/>
      <c r="AI96" s="417"/>
      <c r="AJ96" s="417"/>
      <c r="AK96" s="417" t="s">
        <v>4624</v>
      </c>
      <c r="AL96" s="417"/>
      <c r="AM96" s="417"/>
      <c r="AN96" s="422">
        <v>5.15</v>
      </c>
      <c r="AO96" s="422"/>
      <c r="AP96" s="422"/>
      <c r="AQ96" s="422"/>
      <c r="AR96" s="422"/>
      <c r="AS96" s="422"/>
      <c r="AT96" s="422"/>
      <c r="AU96" s="422"/>
      <c r="AV96" s="422"/>
      <c r="AW96" s="417" t="s">
        <v>4969</v>
      </c>
      <c r="AX96" s="417"/>
      <c r="AY96" s="422"/>
      <c r="AZ96" s="422"/>
      <c r="BA96" s="604" t="s">
        <v>2809</v>
      </c>
      <c r="BB96" s="414"/>
      <c r="BC96" s="169" t="s">
        <v>4955</v>
      </c>
      <c r="BD96" s="1330"/>
      <c r="BE96" s="1329">
        <v>43846</v>
      </c>
      <c r="BF96" s="1330"/>
      <c r="BG96" s="1330"/>
    </row>
    <row r="97" spans="1:59" ht="12.5">
      <c r="A97" s="414"/>
      <c r="B97" s="437"/>
      <c r="C97" s="416"/>
      <c r="D97" s="416"/>
      <c r="E97" s="417"/>
      <c r="F97" s="418"/>
      <c r="G97" s="422">
        <v>6</v>
      </c>
      <c r="H97" s="420"/>
      <c r="I97" s="420"/>
      <c r="J97" s="432"/>
      <c r="K97" s="417"/>
      <c r="L97" s="417"/>
      <c r="M97" s="417"/>
      <c r="N97" s="420"/>
      <c r="O97" s="420"/>
      <c r="P97" s="417"/>
      <c r="Q97" s="417"/>
      <c r="R97" s="417"/>
      <c r="S97" s="422"/>
      <c r="T97" s="417"/>
      <c r="U97" s="417"/>
      <c r="V97" s="417"/>
      <c r="W97" s="417"/>
      <c r="X97" s="417"/>
      <c r="Y97" s="417"/>
      <c r="Z97" s="417"/>
      <c r="AA97" s="417"/>
      <c r="AB97" s="417"/>
      <c r="AC97" s="417"/>
      <c r="AD97" s="417"/>
      <c r="AE97" s="417"/>
      <c r="AF97" s="417"/>
      <c r="AG97" s="416"/>
      <c r="AH97" s="417"/>
      <c r="AI97" s="417"/>
      <c r="AJ97" s="417"/>
      <c r="AK97" s="417"/>
      <c r="AL97" s="417"/>
      <c r="AM97" s="417"/>
      <c r="AN97" s="422"/>
      <c r="AO97" s="422"/>
      <c r="AP97" s="422"/>
      <c r="AQ97" s="422"/>
      <c r="AR97" s="422"/>
      <c r="AS97" s="422"/>
      <c r="AT97" s="422"/>
      <c r="AU97" s="422"/>
      <c r="AV97" s="422"/>
      <c r="AW97" s="417"/>
      <c r="AX97" s="417"/>
      <c r="AY97" s="422"/>
      <c r="AZ97" s="422"/>
      <c r="BA97" s="604"/>
      <c r="BB97" s="414"/>
      <c r="BD97" s="1330"/>
      <c r="BE97" s="1330"/>
      <c r="BF97" s="1330"/>
      <c r="BG97" s="1330"/>
    </row>
    <row r="98" spans="1:59" ht="12.5">
      <c r="A98" s="414"/>
      <c r="B98" s="437" t="s">
        <v>4642</v>
      </c>
      <c r="C98" s="416">
        <f>C96+G97</f>
        <v>94591.450000000026</v>
      </c>
      <c r="D98" s="416"/>
      <c r="E98" s="417"/>
      <c r="F98" s="418">
        <v>0</v>
      </c>
      <c r="G98" s="422"/>
      <c r="H98" s="420"/>
      <c r="I98" s="420"/>
      <c r="J98" s="432"/>
      <c r="K98" s="417"/>
      <c r="L98" s="417"/>
      <c r="M98" s="417"/>
      <c r="N98" s="420"/>
      <c r="O98" s="420"/>
      <c r="P98" s="417"/>
      <c r="Q98" s="417"/>
      <c r="R98" s="417"/>
      <c r="S98" s="422"/>
      <c r="T98" s="417">
        <v>-11</v>
      </c>
      <c r="U98" s="417"/>
      <c r="V98" s="417"/>
      <c r="W98" s="417"/>
      <c r="X98" s="417"/>
      <c r="Y98" s="417"/>
      <c r="Z98" s="417"/>
      <c r="AA98" s="417"/>
      <c r="AB98" s="417"/>
      <c r="AC98" s="417"/>
      <c r="AD98" s="417"/>
      <c r="AE98" s="417"/>
      <c r="AF98" s="417"/>
      <c r="AG98" s="416"/>
      <c r="AH98" s="417"/>
      <c r="AI98" s="417"/>
      <c r="AJ98" s="417"/>
      <c r="AK98" s="417" t="s">
        <v>4624</v>
      </c>
      <c r="AL98" s="417"/>
      <c r="AM98" s="417"/>
      <c r="AN98" s="422">
        <v>5.15</v>
      </c>
      <c r="AO98" s="422"/>
      <c r="AP98" s="422"/>
      <c r="AQ98" s="422"/>
      <c r="AR98" s="422"/>
      <c r="AS98" s="422"/>
      <c r="AT98" s="422"/>
      <c r="AU98" s="422"/>
      <c r="AV98" s="422"/>
      <c r="AW98" s="417" t="s">
        <v>4969</v>
      </c>
      <c r="AX98" s="417"/>
      <c r="AY98" s="422"/>
      <c r="AZ98" s="422"/>
      <c r="BA98" s="604" t="s">
        <v>2809</v>
      </c>
      <c r="BB98" s="414"/>
      <c r="BC98" s="169" t="s">
        <v>4955</v>
      </c>
      <c r="BD98" s="1330"/>
      <c r="BE98" s="1329">
        <v>43846</v>
      </c>
      <c r="BF98" s="1330"/>
      <c r="BG98" s="1330"/>
    </row>
    <row r="99" spans="1:59" ht="12.5">
      <c r="A99" s="414"/>
      <c r="B99" s="437"/>
      <c r="C99" s="416"/>
      <c r="D99" s="416"/>
      <c r="E99" s="417"/>
      <c r="F99" s="418"/>
      <c r="G99" s="422">
        <v>6</v>
      </c>
      <c r="H99" s="420"/>
      <c r="I99" s="420"/>
      <c r="J99" s="432"/>
      <c r="K99" s="417"/>
      <c r="L99" s="417"/>
      <c r="M99" s="417"/>
      <c r="N99" s="420"/>
      <c r="O99" s="420"/>
      <c r="P99" s="417"/>
      <c r="Q99" s="417"/>
      <c r="R99" s="417"/>
      <c r="S99" s="422"/>
      <c r="T99" s="417"/>
      <c r="U99" s="417"/>
      <c r="V99" s="417"/>
      <c r="W99" s="417"/>
      <c r="X99" s="417"/>
      <c r="Y99" s="417"/>
      <c r="Z99" s="417"/>
      <c r="AA99" s="417"/>
      <c r="AB99" s="417"/>
      <c r="AC99" s="417"/>
      <c r="AD99" s="417"/>
      <c r="AE99" s="417"/>
      <c r="AF99" s="417"/>
      <c r="AG99" s="416"/>
      <c r="AH99" s="417"/>
      <c r="AI99" s="417"/>
      <c r="AJ99" s="417"/>
      <c r="AK99" s="417"/>
      <c r="AL99" s="417"/>
      <c r="AM99" s="417"/>
      <c r="AN99" s="422"/>
      <c r="AO99" s="422"/>
      <c r="AP99" s="422"/>
      <c r="AQ99" s="422"/>
      <c r="AR99" s="422"/>
      <c r="AS99" s="422"/>
      <c r="AT99" s="422"/>
      <c r="AU99" s="422"/>
      <c r="AV99" s="422"/>
      <c r="AW99" s="417"/>
      <c r="AX99" s="417"/>
      <c r="AY99" s="422"/>
      <c r="AZ99" s="422"/>
      <c r="BA99" s="604"/>
      <c r="BB99" s="414"/>
      <c r="BD99" s="1330"/>
      <c r="BE99" s="1330"/>
      <c r="BF99" s="1330"/>
      <c r="BG99" s="1330"/>
    </row>
    <row r="100" spans="1:59" ht="12.5">
      <c r="A100" s="414"/>
      <c r="B100" s="437" t="s">
        <v>4643</v>
      </c>
      <c r="C100" s="416">
        <f>C98+G99</f>
        <v>94597.450000000026</v>
      </c>
      <c r="D100" s="416"/>
      <c r="E100" s="417"/>
      <c r="F100" s="418">
        <v>0</v>
      </c>
      <c r="G100" s="422"/>
      <c r="H100" s="420"/>
      <c r="I100" s="420"/>
      <c r="J100" s="432"/>
      <c r="K100" s="417"/>
      <c r="L100" s="417"/>
      <c r="M100" s="417"/>
      <c r="N100" s="420"/>
      <c r="O100" s="420"/>
      <c r="P100" s="417"/>
      <c r="Q100" s="417"/>
      <c r="R100" s="417"/>
      <c r="S100" s="422"/>
      <c r="T100" s="417">
        <v>-13</v>
      </c>
      <c r="U100" s="417"/>
      <c r="V100" s="417"/>
      <c r="W100" s="417"/>
      <c r="X100" s="417"/>
      <c r="Y100" s="417"/>
      <c r="Z100" s="417"/>
      <c r="AA100" s="417"/>
      <c r="AB100" s="417"/>
      <c r="AC100" s="417"/>
      <c r="AD100" s="417"/>
      <c r="AE100" s="417"/>
      <c r="AF100" s="417"/>
      <c r="AG100" s="416"/>
      <c r="AH100" s="417"/>
      <c r="AI100" s="417"/>
      <c r="AJ100" s="417"/>
      <c r="AK100" s="417" t="s">
        <v>4624</v>
      </c>
      <c r="AL100" s="417"/>
      <c r="AM100" s="417"/>
      <c r="AN100" s="422">
        <v>5.15</v>
      </c>
      <c r="AO100" s="422"/>
      <c r="AP100" s="422"/>
      <c r="AQ100" s="422"/>
      <c r="AR100" s="422"/>
      <c r="AS100" s="422"/>
      <c r="AT100" s="422"/>
      <c r="AU100" s="422"/>
      <c r="AV100" s="422"/>
      <c r="AW100" s="417" t="s">
        <v>4969</v>
      </c>
      <c r="AX100" s="417"/>
      <c r="AY100" s="422"/>
      <c r="AZ100" s="422"/>
      <c r="BA100" s="604" t="s">
        <v>2809</v>
      </c>
      <c r="BB100" s="414"/>
      <c r="BC100" s="169" t="s">
        <v>4955</v>
      </c>
      <c r="BD100" s="1330"/>
      <c r="BE100" s="1329">
        <v>43846</v>
      </c>
      <c r="BF100" s="1330"/>
      <c r="BG100" s="1330"/>
    </row>
    <row r="101" spans="1:59" ht="12.5">
      <c r="A101" s="414"/>
      <c r="B101" s="437"/>
      <c r="C101" s="416"/>
      <c r="D101" s="416"/>
      <c r="E101" s="417"/>
      <c r="F101" s="418"/>
      <c r="G101" s="422">
        <v>6</v>
      </c>
      <c r="H101" s="420"/>
      <c r="I101" s="420"/>
      <c r="J101" s="432"/>
      <c r="K101" s="417"/>
      <c r="L101" s="417"/>
      <c r="M101" s="417"/>
      <c r="N101" s="420"/>
      <c r="O101" s="420"/>
      <c r="P101" s="417"/>
      <c r="Q101" s="417"/>
      <c r="R101" s="417"/>
      <c r="S101" s="422"/>
      <c r="T101" s="417"/>
      <c r="U101" s="417"/>
      <c r="V101" s="417"/>
      <c r="W101" s="417"/>
      <c r="X101" s="417"/>
      <c r="Y101" s="417"/>
      <c r="Z101" s="417"/>
      <c r="AA101" s="417"/>
      <c r="AB101" s="417"/>
      <c r="AC101" s="417"/>
      <c r="AD101" s="417"/>
      <c r="AE101" s="417"/>
      <c r="AF101" s="417"/>
      <c r="AG101" s="416"/>
      <c r="AH101" s="417"/>
      <c r="AI101" s="417"/>
      <c r="AJ101" s="417"/>
      <c r="AK101" s="417"/>
      <c r="AL101" s="417"/>
      <c r="AM101" s="417"/>
      <c r="AN101" s="422"/>
      <c r="AO101" s="422"/>
      <c r="AP101" s="422"/>
      <c r="AQ101" s="422"/>
      <c r="AR101" s="422"/>
      <c r="AS101" s="422"/>
      <c r="AT101" s="422"/>
      <c r="AU101" s="422"/>
      <c r="AV101" s="422"/>
      <c r="AW101" s="417"/>
      <c r="AX101" s="417"/>
      <c r="AY101" s="422"/>
      <c r="AZ101" s="422"/>
      <c r="BA101" s="604"/>
      <c r="BB101" s="414"/>
      <c r="BD101" s="1330"/>
      <c r="BE101" s="1330"/>
      <c r="BF101" s="1330"/>
      <c r="BG101" s="1330"/>
    </row>
    <row r="102" spans="1:59" ht="12.5">
      <c r="A102" s="414"/>
      <c r="B102" s="437" t="s">
        <v>4644</v>
      </c>
      <c r="C102" s="416">
        <f>C100+G101</f>
        <v>94603.450000000026</v>
      </c>
      <c r="D102" s="416"/>
      <c r="E102" s="417"/>
      <c r="F102" s="418">
        <v>0</v>
      </c>
      <c r="G102" s="422"/>
      <c r="H102" s="420"/>
      <c r="I102" s="420"/>
      <c r="J102" s="432"/>
      <c r="K102" s="417"/>
      <c r="L102" s="417"/>
      <c r="M102" s="417"/>
      <c r="N102" s="420"/>
      <c r="O102" s="420"/>
      <c r="P102" s="417"/>
      <c r="Q102" s="417"/>
      <c r="R102" s="417"/>
      <c r="S102" s="422"/>
      <c r="T102" s="417">
        <v>-14</v>
      </c>
      <c r="U102" s="417"/>
      <c r="V102" s="417"/>
      <c r="W102" s="417"/>
      <c r="X102" s="417"/>
      <c r="Y102" s="417"/>
      <c r="Z102" s="417"/>
      <c r="AA102" s="417"/>
      <c r="AB102" s="417"/>
      <c r="AC102" s="417"/>
      <c r="AD102" s="417"/>
      <c r="AE102" s="417"/>
      <c r="AF102" s="417"/>
      <c r="AG102" s="416"/>
      <c r="AH102" s="417"/>
      <c r="AI102" s="417"/>
      <c r="AJ102" s="417"/>
      <c r="AK102" s="417" t="s">
        <v>4624</v>
      </c>
      <c r="AL102" s="417"/>
      <c r="AM102" s="417"/>
      <c r="AN102" s="422">
        <v>5.15</v>
      </c>
      <c r="AO102" s="422"/>
      <c r="AP102" s="422"/>
      <c r="AQ102" s="422"/>
      <c r="AR102" s="422"/>
      <c r="AS102" s="422"/>
      <c r="AT102" s="422"/>
      <c r="AU102" s="422"/>
      <c r="AV102" s="422"/>
      <c r="AW102" s="417" t="s">
        <v>4969</v>
      </c>
      <c r="AX102" s="417"/>
      <c r="AY102" s="422"/>
      <c r="AZ102" s="422"/>
      <c r="BA102" s="604" t="s">
        <v>2809</v>
      </c>
      <c r="BB102" s="414"/>
      <c r="BC102" s="169" t="s">
        <v>4955</v>
      </c>
      <c r="BD102" s="1330"/>
      <c r="BE102" s="1329">
        <v>43846</v>
      </c>
      <c r="BF102" s="1330"/>
      <c r="BG102" s="1330"/>
    </row>
    <row r="103" spans="1:59" ht="12.5">
      <c r="A103" s="414"/>
      <c r="B103" s="437"/>
      <c r="C103" s="416"/>
      <c r="D103" s="416"/>
      <c r="E103" s="417"/>
      <c r="F103" s="418"/>
      <c r="G103" s="422">
        <v>6</v>
      </c>
      <c r="H103" s="420"/>
      <c r="I103" s="420"/>
      <c r="J103" s="432"/>
      <c r="K103" s="417"/>
      <c r="L103" s="417"/>
      <c r="M103" s="417"/>
      <c r="N103" s="420"/>
      <c r="O103" s="420"/>
      <c r="P103" s="417"/>
      <c r="Q103" s="417"/>
      <c r="R103" s="417"/>
      <c r="S103" s="422"/>
      <c r="T103" s="417"/>
      <c r="U103" s="417"/>
      <c r="V103" s="417"/>
      <c r="W103" s="417"/>
      <c r="X103" s="417"/>
      <c r="Y103" s="417"/>
      <c r="Z103" s="417"/>
      <c r="AA103" s="417"/>
      <c r="AB103" s="417"/>
      <c r="AC103" s="417"/>
      <c r="AD103" s="417"/>
      <c r="AE103" s="417"/>
      <c r="AF103" s="417"/>
      <c r="AG103" s="416"/>
      <c r="AH103" s="417"/>
      <c r="AI103" s="417"/>
      <c r="AJ103" s="417"/>
      <c r="AK103" s="417"/>
      <c r="AL103" s="417"/>
      <c r="AM103" s="417"/>
      <c r="AN103" s="422"/>
      <c r="AO103" s="422"/>
      <c r="AP103" s="422"/>
      <c r="AQ103" s="422"/>
      <c r="AR103" s="422"/>
      <c r="AS103" s="422"/>
      <c r="AT103" s="422"/>
      <c r="AU103" s="422"/>
      <c r="AV103" s="422"/>
      <c r="AW103" s="417"/>
      <c r="AX103" s="417"/>
      <c r="AY103" s="422"/>
      <c r="AZ103" s="422"/>
      <c r="BA103" s="604"/>
      <c r="BB103" s="414"/>
      <c r="BD103" s="1330"/>
      <c r="BE103" s="1330"/>
      <c r="BF103" s="1330"/>
      <c r="BG103" s="1330"/>
    </row>
    <row r="104" spans="1:59" ht="12.5">
      <c r="A104" s="414" t="s">
        <v>1853</v>
      </c>
      <c r="B104" s="437" t="s">
        <v>4645</v>
      </c>
      <c r="C104" s="416">
        <f>C102+G103</f>
        <v>94609.450000000026</v>
      </c>
      <c r="D104" s="416"/>
      <c r="E104" s="417"/>
      <c r="F104" s="418">
        <v>0</v>
      </c>
      <c r="G104" s="422"/>
      <c r="H104" s="420"/>
      <c r="I104" s="420"/>
      <c r="J104" s="432"/>
      <c r="K104" s="417"/>
      <c r="L104" s="417"/>
      <c r="M104" s="417"/>
      <c r="N104" s="420"/>
      <c r="O104" s="420"/>
      <c r="P104" s="417"/>
      <c r="Q104" s="417"/>
      <c r="R104" s="417"/>
      <c r="S104" s="422"/>
      <c r="T104" s="417">
        <v>-16</v>
      </c>
      <c r="U104" s="417"/>
      <c r="V104" s="417"/>
      <c r="W104" s="417"/>
      <c r="X104" s="417"/>
      <c r="Y104" s="417"/>
      <c r="Z104" s="417"/>
      <c r="AA104" s="417"/>
      <c r="AB104" s="417"/>
      <c r="AC104" s="417"/>
      <c r="AD104" s="417"/>
      <c r="AE104" s="417"/>
      <c r="AF104" s="417"/>
      <c r="AG104" s="416"/>
      <c r="AH104" s="417"/>
      <c r="AI104" s="417"/>
      <c r="AJ104" s="417"/>
      <c r="AK104" s="417" t="s">
        <v>4624</v>
      </c>
      <c r="AL104" s="417"/>
      <c r="AM104" s="417"/>
      <c r="AN104" s="422">
        <v>5.15</v>
      </c>
      <c r="AO104" s="422"/>
      <c r="AP104" s="422"/>
      <c r="AQ104" s="422"/>
      <c r="AR104" s="422"/>
      <c r="AS104" s="422"/>
      <c r="AT104" s="422"/>
      <c r="AU104" s="422"/>
      <c r="AV104" s="422"/>
      <c r="AW104" s="417" t="s">
        <v>4969</v>
      </c>
      <c r="AX104" s="417"/>
      <c r="AY104" s="422"/>
      <c r="AZ104" s="422"/>
      <c r="BA104" s="604" t="s">
        <v>2809</v>
      </c>
      <c r="BB104" s="414"/>
      <c r="BC104" s="169" t="s">
        <v>4955</v>
      </c>
      <c r="BD104" s="1330"/>
      <c r="BE104" s="1329">
        <v>43846</v>
      </c>
      <c r="BF104" s="1330"/>
      <c r="BG104" s="1330"/>
    </row>
    <row r="105" spans="1:59" ht="12.5">
      <c r="A105" s="414" t="s">
        <v>4622</v>
      </c>
      <c r="B105" s="437"/>
      <c r="C105" s="416"/>
      <c r="D105" s="416"/>
      <c r="E105" s="417"/>
      <c r="F105" s="418"/>
      <c r="G105" s="422">
        <v>6</v>
      </c>
      <c r="H105" s="420"/>
      <c r="I105" s="420"/>
      <c r="J105" s="432"/>
      <c r="K105" s="417"/>
      <c r="L105" s="417"/>
      <c r="M105" s="417"/>
      <c r="N105" s="420"/>
      <c r="O105" s="420"/>
      <c r="P105" s="417"/>
      <c r="Q105" s="417"/>
      <c r="R105" s="417"/>
      <c r="S105" s="422"/>
      <c r="T105" s="417"/>
      <c r="U105" s="417"/>
      <c r="V105" s="417"/>
      <c r="W105" s="417"/>
      <c r="X105" s="417"/>
      <c r="Y105" s="417"/>
      <c r="Z105" s="417"/>
      <c r="AA105" s="417"/>
      <c r="AB105" s="417"/>
      <c r="AC105" s="417"/>
      <c r="AD105" s="417"/>
      <c r="AE105" s="417"/>
      <c r="AF105" s="417"/>
      <c r="AG105" s="416"/>
      <c r="AH105" s="417"/>
      <c r="AI105" s="417"/>
      <c r="AJ105" s="417"/>
      <c r="AK105" s="417"/>
      <c r="AL105" s="417"/>
      <c r="AM105" s="417"/>
      <c r="AN105" s="422"/>
      <c r="AO105" s="422"/>
      <c r="AP105" s="422"/>
      <c r="AQ105" s="422"/>
      <c r="AR105" s="422"/>
      <c r="AS105" s="422"/>
      <c r="AT105" s="422"/>
      <c r="AU105" s="422"/>
      <c r="AV105" s="422"/>
      <c r="AW105" s="417"/>
      <c r="AX105" s="417"/>
      <c r="AY105" s="422"/>
      <c r="AZ105" s="422"/>
      <c r="BA105" s="604"/>
      <c r="BB105" s="414"/>
      <c r="BD105" s="1330"/>
      <c r="BE105" s="1330"/>
      <c r="BF105" s="1330"/>
      <c r="BG105" s="1330"/>
    </row>
    <row r="106" spans="1:59" ht="12.5">
      <c r="A106" s="414"/>
      <c r="B106" s="437" t="s">
        <v>4646</v>
      </c>
      <c r="C106" s="416">
        <f>C104+G105</f>
        <v>94615.450000000026</v>
      </c>
      <c r="D106" s="416"/>
      <c r="E106" s="417"/>
      <c r="F106" s="418">
        <v>0</v>
      </c>
      <c r="G106" s="422"/>
      <c r="H106" s="420"/>
      <c r="I106" s="420"/>
      <c r="J106" s="432"/>
      <c r="K106" s="417"/>
      <c r="L106" s="417"/>
      <c r="M106" s="417"/>
      <c r="N106" s="420"/>
      <c r="O106" s="420"/>
      <c r="P106" s="417"/>
      <c r="Q106" s="417"/>
      <c r="R106" s="417"/>
      <c r="S106" s="422"/>
      <c r="T106" s="417">
        <v>-17</v>
      </c>
      <c r="U106" s="417"/>
      <c r="V106" s="417"/>
      <c r="W106" s="417"/>
      <c r="X106" s="417"/>
      <c r="Y106" s="417"/>
      <c r="Z106" s="417"/>
      <c r="AA106" s="417"/>
      <c r="AB106" s="417"/>
      <c r="AC106" s="417"/>
      <c r="AD106" s="417"/>
      <c r="AE106" s="417"/>
      <c r="AF106" s="417"/>
      <c r="AG106" s="416"/>
      <c r="AH106" s="417"/>
      <c r="AI106" s="417"/>
      <c r="AJ106" s="417"/>
      <c r="AK106" s="417" t="s">
        <v>4624</v>
      </c>
      <c r="AL106" s="417"/>
      <c r="AM106" s="417"/>
      <c r="AN106" s="422">
        <v>5.15</v>
      </c>
      <c r="AO106" s="422"/>
      <c r="AP106" s="422"/>
      <c r="AQ106" s="422"/>
      <c r="AR106" s="422"/>
      <c r="AS106" s="422"/>
      <c r="AT106" s="422"/>
      <c r="AU106" s="422"/>
      <c r="AV106" s="422"/>
      <c r="AW106" s="417" t="s">
        <v>4969</v>
      </c>
      <c r="AX106" s="417"/>
      <c r="AY106" s="422"/>
      <c r="AZ106" s="422"/>
      <c r="BA106" s="604" t="s">
        <v>2809</v>
      </c>
      <c r="BB106" s="414"/>
      <c r="BC106" s="169" t="s">
        <v>4955</v>
      </c>
      <c r="BD106" s="1330"/>
      <c r="BE106" s="1329">
        <v>43846</v>
      </c>
      <c r="BF106" s="1330"/>
      <c r="BG106" s="1330"/>
    </row>
    <row r="107" spans="1:59" ht="12.5">
      <c r="A107" s="414"/>
      <c r="B107" s="437"/>
      <c r="C107" s="416"/>
      <c r="D107" s="416"/>
      <c r="E107" s="417"/>
      <c r="F107" s="418"/>
      <c r="G107" s="422">
        <v>6</v>
      </c>
      <c r="H107" s="420"/>
      <c r="I107" s="420"/>
      <c r="J107" s="432"/>
      <c r="K107" s="417"/>
      <c r="L107" s="417"/>
      <c r="M107" s="417"/>
      <c r="N107" s="420"/>
      <c r="O107" s="420"/>
      <c r="P107" s="417"/>
      <c r="Q107" s="417"/>
      <c r="R107" s="417"/>
      <c r="S107" s="422"/>
      <c r="T107" s="417"/>
      <c r="U107" s="417"/>
      <c r="V107" s="417"/>
      <c r="W107" s="417"/>
      <c r="X107" s="417"/>
      <c r="Y107" s="417"/>
      <c r="Z107" s="417"/>
      <c r="AA107" s="417"/>
      <c r="AB107" s="417"/>
      <c r="AC107" s="417"/>
      <c r="AD107" s="417"/>
      <c r="AE107" s="417"/>
      <c r="AF107" s="417"/>
      <c r="AG107" s="416"/>
      <c r="AH107" s="417"/>
      <c r="AI107" s="417"/>
      <c r="AJ107" s="417"/>
      <c r="AK107" s="417"/>
      <c r="AL107" s="417"/>
      <c r="AM107" s="417"/>
      <c r="AN107" s="422"/>
      <c r="AO107" s="422"/>
      <c r="AP107" s="422"/>
      <c r="AQ107" s="422"/>
      <c r="AR107" s="422"/>
      <c r="AS107" s="422"/>
      <c r="AT107" s="422"/>
      <c r="AU107" s="422"/>
      <c r="AV107" s="422"/>
      <c r="AW107" s="417"/>
      <c r="AX107" s="417"/>
      <c r="AY107" s="422"/>
      <c r="AZ107" s="422"/>
      <c r="BA107" s="604"/>
      <c r="BB107" s="414"/>
      <c r="BD107" s="1330"/>
      <c r="BE107" s="1330"/>
      <c r="BF107" s="1330"/>
      <c r="BG107" s="1330"/>
    </row>
    <row r="108" spans="1:59" ht="12.5">
      <c r="A108" s="414"/>
      <c r="B108" s="437" t="s">
        <v>4647</v>
      </c>
      <c r="C108" s="416">
        <f>C106+G107</f>
        <v>94621.450000000026</v>
      </c>
      <c r="D108" s="416"/>
      <c r="E108" s="417"/>
      <c r="F108" s="418">
        <v>0</v>
      </c>
      <c r="G108" s="422"/>
      <c r="H108" s="420"/>
      <c r="I108" s="420"/>
      <c r="J108" s="432"/>
      <c r="K108" s="417"/>
      <c r="L108" s="417"/>
      <c r="M108" s="417"/>
      <c r="N108" s="420"/>
      <c r="O108" s="420"/>
      <c r="P108" s="417"/>
      <c r="Q108" s="417"/>
      <c r="R108" s="417"/>
      <c r="S108" s="422"/>
      <c r="T108" s="417">
        <v>-19</v>
      </c>
      <c r="U108" s="417"/>
      <c r="V108" s="417"/>
      <c r="W108" s="417"/>
      <c r="X108" s="417"/>
      <c r="Y108" s="417"/>
      <c r="Z108" s="417"/>
      <c r="AA108" s="417"/>
      <c r="AB108" s="417"/>
      <c r="AC108" s="417"/>
      <c r="AD108" s="417"/>
      <c r="AE108" s="417"/>
      <c r="AF108" s="417"/>
      <c r="AG108" s="416"/>
      <c r="AH108" s="417"/>
      <c r="AI108" s="417"/>
      <c r="AJ108" s="417"/>
      <c r="AK108" s="417" t="s">
        <v>4624</v>
      </c>
      <c r="AL108" s="417"/>
      <c r="AM108" s="417"/>
      <c r="AN108" s="422">
        <v>5.15</v>
      </c>
      <c r="AO108" s="422"/>
      <c r="AP108" s="422"/>
      <c r="AQ108" s="422"/>
      <c r="AR108" s="422"/>
      <c r="AS108" s="422"/>
      <c r="AT108" s="422"/>
      <c r="AU108" s="422"/>
      <c r="AV108" s="422"/>
      <c r="AW108" s="417" t="s">
        <v>4969</v>
      </c>
      <c r="AX108" s="417"/>
      <c r="AY108" s="422"/>
      <c r="AZ108" s="422"/>
      <c r="BA108" s="604" t="s">
        <v>2809</v>
      </c>
      <c r="BB108" s="414"/>
      <c r="BC108" s="169" t="s">
        <v>4955</v>
      </c>
      <c r="BD108" s="1330"/>
      <c r="BE108" s="1329">
        <v>43846</v>
      </c>
      <c r="BF108" s="1330"/>
      <c r="BG108" s="1330"/>
    </row>
    <row r="109" spans="1:59" ht="12.5">
      <c r="A109" s="414"/>
      <c r="B109" s="415"/>
      <c r="C109" s="416"/>
      <c r="D109" s="416"/>
      <c r="E109" s="417"/>
      <c r="F109" s="418"/>
      <c r="G109" s="422">
        <v>6</v>
      </c>
      <c r="H109" s="420"/>
      <c r="I109" s="433"/>
      <c r="J109" s="432"/>
      <c r="K109" s="417"/>
      <c r="L109" s="417"/>
      <c r="M109" s="623"/>
      <c r="N109" s="420"/>
      <c r="O109" s="420"/>
      <c r="P109" s="417"/>
      <c r="Q109" s="417"/>
      <c r="R109" s="417"/>
      <c r="S109" s="422">
        <f>+AG110-AG96</f>
        <v>0</v>
      </c>
      <c r="T109" s="417"/>
      <c r="U109" s="417"/>
      <c r="V109" s="417"/>
      <c r="W109" s="417"/>
      <c r="X109" s="417"/>
      <c r="Y109" s="417"/>
      <c r="Z109" s="417"/>
      <c r="AA109" s="417"/>
      <c r="AB109" s="417"/>
      <c r="AC109" s="417"/>
      <c r="AD109" s="417"/>
      <c r="AE109" s="417"/>
      <c r="AF109" s="417"/>
      <c r="AG109" s="416"/>
      <c r="AH109" s="417"/>
      <c r="AI109" s="417"/>
      <c r="AJ109" s="417"/>
      <c r="AK109" s="417"/>
      <c r="AL109" s="417"/>
      <c r="AM109" s="417"/>
      <c r="AN109" s="422"/>
      <c r="AO109" s="422"/>
      <c r="AP109" s="422"/>
      <c r="AQ109" s="422"/>
      <c r="AR109" s="422"/>
      <c r="AS109" s="422"/>
      <c r="AT109" s="422"/>
      <c r="AU109" s="422"/>
      <c r="AV109" s="422"/>
      <c r="AW109" s="417"/>
      <c r="AX109" s="417"/>
      <c r="AY109" s="422"/>
      <c r="AZ109" s="422"/>
      <c r="BA109" s="1308"/>
      <c r="BB109" s="414"/>
      <c r="BD109" s="1330"/>
      <c r="BE109" s="1330"/>
      <c r="BF109" s="1330"/>
      <c r="BG109" s="1330"/>
    </row>
    <row r="110" spans="1:59" ht="12.5">
      <c r="A110" s="414"/>
      <c r="B110" s="437" t="s">
        <v>1980</v>
      </c>
      <c r="C110" s="416">
        <f>C108+G109</f>
        <v>94627.450000000026</v>
      </c>
      <c r="D110" s="416"/>
      <c r="E110" s="417"/>
      <c r="F110" s="418">
        <v>0</v>
      </c>
      <c r="G110" s="422"/>
      <c r="H110" s="420"/>
      <c r="I110" s="420"/>
      <c r="J110" s="432"/>
      <c r="K110" s="417"/>
      <c r="L110" s="417"/>
      <c r="M110" s="417"/>
      <c r="N110" s="420"/>
      <c r="O110" s="420"/>
      <c r="P110" s="417"/>
      <c r="Q110" s="417"/>
      <c r="R110" s="417"/>
      <c r="S110" s="422"/>
      <c r="T110" s="417">
        <v>-20</v>
      </c>
      <c r="U110" s="417"/>
      <c r="V110" s="417"/>
      <c r="W110" s="417"/>
      <c r="X110" s="417"/>
      <c r="Y110" s="417"/>
      <c r="Z110" s="417"/>
      <c r="AA110" s="417"/>
      <c r="AB110" s="417"/>
      <c r="AC110" s="417"/>
      <c r="AD110" s="417"/>
      <c r="AE110" s="417"/>
      <c r="AF110" s="417"/>
      <c r="AG110" s="416"/>
      <c r="AH110" s="417"/>
      <c r="AI110" s="417"/>
      <c r="AJ110" s="417"/>
      <c r="AK110" s="417" t="s">
        <v>4624</v>
      </c>
      <c r="AL110" s="417"/>
      <c r="AM110" s="417"/>
      <c r="AN110" s="422">
        <v>5.15</v>
      </c>
      <c r="AO110" s="422"/>
      <c r="AP110" s="422"/>
      <c r="AQ110" s="422"/>
      <c r="AR110" s="422"/>
      <c r="AS110" s="422"/>
      <c r="AT110" s="422"/>
      <c r="AU110" s="422"/>
      <c r="AV110" s="422"/>
      <c r="AW110" s="417" t="s">
        <v>4969</v>
      </c>
      <c r="AX110" s="417"/>
      <c r="AY110" s="422"/>
      <c r="AZ110" s="422"/>
      <c r="BA110" s="604" t="s">
        <v>2809</v>
      </c>
      <c r="BB110" s="414"/>
      <c r="BC110" s="169" t="s">
        <v>4955</v>
      </c>
      <c r="BD110" s="1330"/>
      <c r="BE110" s="1329">
        <v>43846</v>
      </c>
      <c r="BF110" s="1330"/>
      <c r="BG110" s="1330"/>
    </row>
    <row r="111" spans="1:59" ht="12.5">
      <c r="A111" s="414"/>
      <c r="B111" s="437"/>
      <c r="C111" s="416"/>
      <c r="D111" s="416"/>
      <c r="E111" s="417"/>
      <c r="F111" s="418"/>
      <c r="G111" s="422">
        <v>6</v>
      </c>
      <c r="H111" s="420"/>
      <c r="I111" s="420"/>
      <c r="J111" s="432"/>
      <c r="K111" s="417"/>
      <c r="L111" s="417"/>
      <c r="M111" s="417"/>
      <c r="N111" s="420"/>
      <c r="O111" s="420"/>
      <c r="P111" s="417"/>
      <c r="Q111" s="417"/>
      <c r="R111" s="417"/>
      <c r="S111" s="422"/>
      <c r="T111" s="417"/>
      <c r="U111" s="417"/>
      <c r="V111" s="417"/>
      <c r="W111" s="417"/>
      <c r="X111" s="417"/>
      <c r="Y111" s="417"/>
      <c r="Z111" s="417"/>
      <c r="AA111" s="417"/>
      <c r="AB111" s="417"/>
      <c r="AC111" s="417"/>
      <c r="AD111" s="417"/>
      <c r="AE111" s="417"/>
      <c r="AF111" s="417"/>
      <c r="AG111" s="416"/>
      <c r="AH111" s="417"/>
      <c r="AI111" s="417"/>
      <c r="AJ111" s="417"/>
      <c r="AK111" s="417"/>
      <c r="AL111" s="417"/>
      <c r="AM111" s="417"/>
      <c r="AN111" s="422"/>
      <c r="AO111" s="422"/>
      <c r="AP111" s="422"/>
      <c r="AQ111" s="422"/>
      <c r="AR111" s="422"/>
      <c r="AS111" s="422"/>
      <c r="AT111" s="422"/>
      <c r="AU111" s="422"/>
      <c r="AV111" s="422"/>
      <c r="AW111" s="417"/>
      <c r="AX111" s="417"/>
      <c r="AY111" s="422"/>
      <c r="AZ111" s="422"/>
      <c r="BA111" s="604"/>
      <c r="BB111" s="414"/>
      <c r="BD111" s="1330"/>
      <c r="BE111" s="1330"/>
      <c r="BF111" s="1330"/>
      <c r="BG111" s="1330"/>
    </row>
    <row r="112" spans="1:59" ht="12.5">
      <c r="A112" s="414"/>
      <c r="B112" s="437" t="s">
        <v>4648</v>
      </c>
      <c r="C112" s="416">
        <f>C110+G111</f>
        <v>94633.450000000026</v>
      </c>
      <c r="D112" s="416"/>
      <c r="E112" s="417"/>
      <c r="F112" s="418">
        <v>0</v>
      </c>
      <c r="G112" s="422"/>
      <c r="H112" s="420"/>
      <c r="I112" s="420"/>
      <c r="J112" s="432"/>
      <c r="K112" s="417"/>
      <c r="L112" s="417"/>
      <c r="M112" s="417"/>
      <c r="N112" s="420"/>
      <c r="O112" s="420"/>
      <c r="P112" s="417"/>
      <c r="Q112" s="417"/>
      <c r="R112" s="417"/>
      <c r="S112" s="422"/>
      <c r="T112" s="417">
        <v>-20</v>
      </c>
      <c r="U112" s="417"/>
      <c r="V112" s="417"/>
      <c r="W112" s="417"/>
      <c r="X112" s="417"/>
      <c r="Y112" s="417"/>
      <c r="Z112" s="417"/>
      <c r="AA112" s="417"/>
      <c r="AB112" s="417"/>
      <c r="AC112" s="417"/>
      <c r="AD112" s="417"/>
      <c r="AE112" s="417"/>
      <c r="AF112" s="417"/>
      <c r="AG112" s="416"/>
      <c r="AH112" s="417"/>
      <c r="AI112" s="417"/>
      <c r="AJ112" s="417"/>
      <c r="AK112" s="417" t="s">
        <v>4624</v>
      </c>
      <c r="AL112" s="417"/>
      <c r="AM112" s="417"/>
      <c r="AN112" s="422">
        <v>5.15</v>
      </c>
      <c r="AO112" s="422"/>
      <c r="AP112" s="422"/>
      <c r="AQ112" s="422"/>
      <c r="AR112" s="422"/>
      <c r="AS112" s="422"/>
      <c r="AT112" s="422"/>
      <c r="AU112" s="422"/>
      <c r="AV112" s="422"/>
      <c r="AW112" s="417" t="s">
        <v>4969</v>
      </c>
      <c r="AX112" s="417"/>
      <c r="AY112" s="422"/>
      <c r="AZ112" s="422"/>
      <c r="BA112" s="604" t="s">
        <v>2809</v>
      </c>
      <c r="BB112" s="414"/>
      <c r="BC112" s="169" t="s">
        <v>4955</v>
      </c>
      <c r="BD112" s="1330"/>
      <c r="BE112" s="1329">
        <v>43846</v>
      </c>
      <c r="BF112" s="1330"/>
      <c r="BG112" s="1330"/>
    </row>
    <row r="113" spans="1:59" ht="12.5">
      <c r="A113" s="414"/>
      <c r="B113" s="437"/>
      <c r="C113" s="416"/>
      <c r="D113" s="416"/>
      <c r="E113" s="417"/>
      <c r="F113" s="418"/>
      <c r="G113" s="422">
        <v>6</v>
      </c>
      <c r="H113" s="420"/>
      <c r="I113" s="420"/>
      <c r="J113" s="432"/>
      <c r="K113" s="417"/>
      <c r="L113" s="417"/>
      <c r="M113" s="417"/>
      <c r="N113" s="420"/>
      <c r="O113" s="420"/>
      <c r="P113" s="417"/>
      <c r="Q113" s="417"/>
      <c r="R113" s="417"/>
      <c r="S113" s="422"/>
      <c r="T113" s="417"/>
      <c r="U113" s="417"/>
      <c r="V113" s="417"/>
      <c r="W113" s="417"/>
      <c r="X113" s="417"/>
      <c r="Y113" s="417"/>
      <c r="Z113" s="417"/>
      <c r="AA113" s="417"/>
      <c r="AB113" s="417"/>
      <c r="AC113" s="417"/>
      <c r="AD113" s="417"/>
      <c r="AE113" s="417"/>
      <c r="AF113" s="417"/>
      <c r="AG113" s="416"/>
      <c r="AH113" s="417"/>
      <c r="AI113" s="417"/>
      <c r="AJ113" s="417"/>
      <c r="AK113" s="417"/>
      <c r="AL113" s="417"/>
      <c r="AM113" s="417"/>
      <c r="AN113" s="422"/>
      <c r="AO113" s="422"/>
      <c r="AP113" s="422"/>
      <c r="AQ113" s="422"/>
      <c r="AR113" s="422"/>
      <c r="AS113" s="422"/>
      <c r="AT113" s="422"/>
      <c r="AU113" s="422"/>
      <c r="AV113" s="422"/>
      <c r="AW113" s="417"/>
      <c r="AX113" s="417"/>
      <c r="AY113" s="422"/>
      <c r="AZ113" s="422"/>
      <c r="BA113" s="604"/>
      <c r="BB113" s="414"/>
      <c r="BD113" s="1330"/>
      <c r="BE113" s="1330"/>
      <c r="BF113" s="1330"/>
      <c r="BG113" s="1330"/>
    </row>
    <row r="114" spans="1:59" ht="12.5">
      <c r="A114" s="414"/>
      <c r="B114" s="437" t="s">
        <v>4649</v>
      </c>
      <c r="C114" s="416">
        <f>C112+G113</f>
        <v>94639.450000000026</v>
      </c>
      <c r="D114" s="416"/>
      <c r="E114" s="417"/>
      <c r="F114" s="418">
        <v>0</v>
      </c>
      <c r="G114" s="422"/>
      <c r="H114" s="420" t="s">
        <v>873</v>
      </c>
      <c r="I114" s="420"/>
      <c r="J114" s="432">
        <f>C114</f>
        <v>94639.450000000026</v>
      </c>
      <c r="K114" s="417" t="s">
        <v>897</v>
      </c>
      <c r="L114" s="417"/>
      <c r="M114" s="417"/>
      <c r="N114" s="420"/>
      <c r="O114" s="420"/>
      <c r="P114" s="417"/>
      <c r="Q114" s="417"/>
      <c r="R114" s="417"/>
      <c r="S114" s="422"/>
      <c r="T114" s="417">
        <v>-19</v>
      </c>
      <c r="U114" s="417"/>
      <c r="V114" s="417"/>
      <c r="W114" s="417"/>
      <c r="X114" s="417"/>
      <c r="Y114" s="417"/>
      <c r="Z114" s="417"/>
      <c r="AA114" s="417"/>
      <c r="AB114" s="417"/>
      <c r="AC114" s="417"/>
      <c r="AD114" s="417"/>
      <c r="AE114" s="417"/>
      <c r="AF114" s="417"/>
      <c r="AG114" s="416"/>
      <c r="AH114" s="417"/>
      <c r="AI114" s="417"/>
      <c r="AJ114" s="417"/>
      <c r="AK114" s="417" t="s">
        <v>4624</v>
      </c>
      <c r="AL114" s="417"/>
      <c r="AM114" s="417"/>
      <c r="AN114" s="422">
        <v>5.15</v>
      </c>
      <c r="AO114" s="422"/>
      <c r="AP114" s="422"/>
      <c r="AQ114" s="422"/>
      <c r="AR114" s="422"/>
      <c r="AS114" s="422"/>
      <c r="AT114" s="422"/>
      <c r="AU114" s="422"/>
      <c r="AV114" s="422"/>
      <c r="AW114" s="417" t="s">
        <v>4971</v>
      </c>
      <c r="AX114" s="417"/>
      <c r="AY114" s="422"/>
      <c r="AZ114" s="422"/>
      <c r="BA114" s="604" t="s">
        <v>2809</v>
      </c>
      <c r="BB114" s="414"/>
      <c r="BC114" s="169" t="s">
        <v>4955</v>
      </c>
      <c r="BD114" s="1330"/>
      <c r="BE114" s="1329">
        <v>43848</v>
      </c>
      <c r="BF114" s="1330"/>
      <c r="BG114" s="1330"/>
    </row>
    <row r="115" spans="1:59" ht="12.5">
      <c r="A115" s="414"/>
      <c r="B115" s="415"/>
      <c r="C115" s="416"/>
      <c r="D115" s="416"/>
      <c r="E115" s="417"/>
      <c r="F115" s="418"/>
      <c r="G115" s="422">
        <v>44.2</v>
      </c>
      <c r="H115" s="420"/>
      <c r="I115" s="433"/>
      <c r="J115" s="432"/>
      <c r="K115" s="417"/>
      <c r="L115" s="417"/>
      <c r="M115" s="623"/>
      <c r="N115" s="420"/>
      <c r="O115" s="420"/>
      <c r="P115" s="417"/>
      <c r="Q115" s="417"/>
      <c r="R115" s="417"/>
      <c r="S115" s="422">
        <f>+AG116-AG110</f>
        <v>94683.73</v>
      </c>
      <c r="T115" s="417"/>
      <c r="U115" s="417"/>
      <c r="V115" s="417"/>
      <c r="W115" s="417"/>
      <c r="X115" s="417"/>
      <c r="Y115" s="417"/>
      <c r="Z115" s="417"/>
      <c r="AA115" s="417"/>
      <c r="AB115" s="417"/>
      <c r="AC115" s="417"/>
      <c r="AD115" s="417"/>
      <c r="AE115" s="417"/>
      <c r="AF115" s="417"/>
      <c r="AG115" s="416"/>
      <c r="AH115" s="417"/>
      <c r="AI115" s="417"/>
      <c r="AJ115" s="417"/>
      <c r="AK115" s="417"/>
      <c r="AL115" s="417"/>
      <c r="AM115" s="417"/>
      <c r="AN115" s="422"/>
      <c r="AO115" s="422"/>
      <c r="AP115" s="422"/>
      <c r="AQ115" s="422"/>
      <c r="AR115" s="422"/>
      <c r="AS115" s="422"/>
      <c r="AT115" s="422"/>
      <c r="AU115" s="422"/>
      <c r="AV115" s="422"/>
      <c r="AW115" s="417"/>
      <c r="AX115" s="417"/>
      <c r="AY115" s="422"/>
      <c r="AZ115" s="422"/>
      <c r="BA115" s="1308"/>
      <c r="BB115" s="414"/>
      <c r="BD115" s="1330"/>
      <c r="BE115" s="1330"/>
      <c r="BF115" s="1330"/>
      <c r="BG115" s="1330"/>
    </row>
    <row r="116" spans="1:59" ht="12.5">
      <c r="A116" s="414"/>
      <c r="B116" s="437" t="s">
        <v>1981</v>
      </c>
      <c r="C116" s="416">
        <f>+$C$114+$G$115+0.1</f>
        <v>94683.750000000029</v>
      </c>
      <c r="D116" s="416"/>
      <c r="E116" s="417"/>
      <c r="F116" s="418">
        <v>0</v>
      </c>
      <c r="G116" s="422"/>
      <c r="H116" s="420"/>
      <c r="I116" s="420"/>
      <c r="J116" s="432"/>
      <c r="K116" s="417"/>
      <c r="L116" s="417"/>
      <c r="M116" s="417"/>
      <c r="N116" s="420" t="s">
        <v>2797</v>
      </c>
      <c r="O116" s="420"/>
      <c r="P116" s="417"/>
      <c r="Q116" s="417">
        <v>30</v>
      </c>
      <c r="R116" s="417">
        <v>2150</v>
      </c>
      <c r="S116" s="422"/>
      <c r="T116" s="417">
        <v>30</v>
      </c>
      <c r="U116" s="417"/>
      <c r="V116" s="417"/>
      <c r="W116" s="417">
        <v>0.6</v>
      </c>
      <c r="X116" s="417"/>
      <c r="Y116" s="417"/>
      <c r="Z116" s="417"/>
      <c r="AA116" s="417"/>
      <c r="AB116" s="417"/>
      <c r="AC116" s="417" t="s">
        <v>4115</v>
      </c>
      <c r="AD116" s="417"/>
      <c r="AE116" s="417"/>
      <c r="AF116" s="417">
        <v>900</v>
      </c>
      <c r="AG116" s="416">
        <v>94683.73</v>
      </c>
      <c r="AH116" s="417">
        <v>1693</v>
      </c>
      <c r="AI116" s="417">
        <v>-4810</v>
      </c>
      <c r="AJ116" s="417"/>
      <c r="AK116" s="417" t="s">
        <v>139</v>
      </c>
      <c r="AL116" s="417"/>
      <c r="AM116" s="417"/>
      <c r="AN116" s="422">
        <v>5.15</v>
      </c>
      <c r="AO116" s="422"/>
      <c r="AP116" s="422"/>
      <c r="AQ116" s="422"/>
      <c r="AR116" s="422"/>
      <c r="AS116" s="422"/>
      <c r="AT116" s="422"/>
      <c r="AU116" s="422"/>
      <c r="AV116" s="422"/>
      <c r="AW116" s="417"/>
      <c r="AX116" s="417"/>
      <c r="AY116" s="422"/>
      <c r="AZ116" s="422"/>
      <c r="BA116" s="604"/>
      <c r="BB116" s="414"/>
      <c r="BD116" s="1330"/>
      <c r="BE116" s="1329">
        <v>43853</v>
      </c>
      <c r="BF116" s="1330"/>
      <c r="BG116" s="1329">
        <v>43870</v>
      </c>
    </row>
    <row r="117" spans="1:59" ht="12.5">
      <c r="A117" s="414"/>
      <c r="B117" s="415"/>
      <c r="C117" s="416"/>
      <c r="D117" s="416"/>
      <c r="E117" s="417"/>
      <c r="F117" s="418"/>
      <c r="G117" s="422">
        <v>52.4</v>
      </c>
      <c r="H117" s="420"/>
      <c r="I117" s="421"/>
      <c r="J117" s="416"/>
      <c r="K117" s="417"/>
      <c r="L117" s="417"/>
      <c r="M117" s="417"/>
      <c r="N117" s="420"/>
      <c r="O117" s="420"/>
      <c r="P117" s="417"/>
      <c r="Q117" s="417"/>
      <c r="R117" s="417"/>
      <c r="S117" s="422">
        <f>+AG118-AG116</f>
        <v>52.190000000002328</v>
      </c>
      <c r="T117" s="417"/>
      <c r="U117" s="417"/>
      <c r="V117" s="417"/>
      <c r="W117" s="417"/>
      <c r="X117" s="417"/>
      <c r="Y117" s="417"/>
      <c r="Z117" s="417"/>
      <c r="AA117" s="417"/>
      <c r="AB117" s="417"/>
      <c r="AC117" s="417"/>
      <c r="AD117" s="417"/>
      <c r="AE117" s="417"/>
      <c r="AF117" s="417"/>
      <c r="AG117" s="416"/>
      <c r="AH117" s="417"/>
      <c r="AI117" s="417"/>
      <c r="AJ117" s="417"/>
      <c r="AK117" s="417"/>
      <c r="AL117" s="417"/>
      <c r="AM117" s="417"/>
      <c r="AN117" s="422"/>
      <c r="AO117" s="422"/>
      <c r="AP117" s="422"/>
      <c r="AQ117" s="422">
        <f>+FL_2($T$118,$T$116,$G$117,1200,9.28,-1*$F$118)</f>
        <v>-0.2</v>
      </c>
      <c r="AR117" s="422"/>
      <c r="AS117" s="422"/>
      <c r="AT117" s="422"/>
      <c r="AU117" s="422"/>
      <c r="AV117" s="422"/>
      <c r="AW117" s="417"/>
      <c r="AX117" s="417"/>
      <c r="AY117" s="422"/>
      <c r="AZ117" s="422"/>
      <c r="BA117" s="604"/>
      <c r="BB117" s="414"/>
      <c r="BD117" s="1330"/>
      <c r="BE117" s="1330"/>
      <c r="BF117" s="1330"/>
      <c r="BG117" s="1330"/>
    </row>
    <row r="118" spans="1:59" ht="12.5">
      <c r="A118" s="449"/>
      <c r="B118" s="485" t="s">
        <v>1982</v>
      </c>
      <c r="C118" s="446">
        <f>+$C$116+$G$117</f>
        <v>94736.150000000023</v>
      </c>
      <c r="D118" s="446"/>
      <c r="E118" s="638"/>
      <c r="F118" s="447">
        <v>2150</v>
      </c>
      <c r="G118" s="484"/>
      <c r="H118" s="1239"/>
      <c r="I118" s="448"/>
      <c r="J118" s="446"/>
      <c r="K118" s="638"/>
      <c r="L118" s="638"/>
      <c r="M118" s="638"/>
      <c r="N118" s="1239" t="s">
        <v>2796</v>
      </c>
      <c r="O118" s="1239"/>
      <c r="P118" s="638"/>
      <c r="Q118" s="638">
        <v>30</v>
      </c>
      <c r="R118" s="638">
        <v>2150</v>
      </c>
      <c r="S118" s="484"/>
      <c r="T118" s="638">
        <v>-20</v>
      </c>
      <c r="U118" s="638"/>
      <c r="V118" s="638"/>
      <c r="W118" s="638">
        <v>0.6</v>
      </c>
      <c r="X118" s="638"/>
      <c r="Y118" s="638"/>
      <c r="Z118" s="638"/>
      <c r="AA118" s="638"/>
      <c r="AB118" s="638"/>
      <c r="AC118" s="638" t="s">
        <v>1421</v>
      </c>
      <c r="AD118" s="638"/>
      <c r="AE118" s="638"/>
      <c r="AF118" s="638">
        <v>250</v>
      </c>
      <c r="AG118" s="446">
        <v>94735.92</v>
      </c>
      <c r="AH118" s="638">
        <v>1913</v>
      </c>
      <c r="AI118" s="638">
        <v>-5400</v>
      </c>
      <c r="AJ118" s="638"/>
      <c r="AK118" s="638" t="s">
        <v>139</v>
      </c>
      <c r="AL118" s="638"/>
      <c r="AM118" s="638"/>
      <c r="AN118" s="484">
        <v>5.15</v>
      </c>
      <c r="AO118" s="484"/>
      <c r="AP118" s="484"/>
      <c r="AQ118" s="484"/>
      <c r="AR118" s="484"/>
      <c r="AS118" s="484"/>
      <c r="AT118" s="484">
        <f>+ab($T$118,$T$116,$T$120,$G$117,$G$119,-1*$F$118,1200)</f>
        <v>-6.1019697267972512</v>
      </c>
      <c r="AU118" s="484"/>
      <c r="AV118" s="484"/>
      <c r="AW118" s="638"/>
      <c r="AX118" s="638"/>
      <c r="AY118" s="484"/>
      <c r="AZ118" s="484"/>
      <c r="BA118" s="671"/>
      <c r="BB118" s="449"/>
      <c r="BD118" s="1330"/>
      <c r="BE118" s="1329" t="s">
        <v>4946</v>
      </c>
      <c r="BF118" s="1330"/>
      <c r="BG118" s="1329">
        <v>43839</v>
      </c>
    </row>
    <row r="119" spans="1:59" ht="12.5">
      <c r="A119" s="449"/>
      <c r="B119" s="445"/>
      <c r="C119" s="446"/>
      <c r="D119" s="446"/>
      <c r="E119" s="638"/>
      <c r="F119" s="447"/>
      <c r="G119" s="484">
        <v>49.9</v>
      </c>
      <c r="H119" s="1239"/>
      <c r="I119" s="448"/>
      <c r="J119" s="446"/>
      <c r="K119" s="638"/>
      <c r="L119" s="638"/>
      <c r="M119" s="638"/>
      <c r="N119" s="1239"/>
      <c r="O119" s="1239"/>
      <c r="P119" s="638"/>
      <c r="Q119" s="638"/>
      <c r="R119" s="638"/>
      <c r="S119" s="484">
        <f>+AG120-AG118</f>
        <v>50.040000000008149</v>
      </c>
      <c r="T119" s="638"/>
      <c r="U119" s="638"/>
      <c r="V119" s="638"/>
      <c r="W119" s="638"/>
      <c r="X119" s="638"/>
      <c r="Y119" s="638"/>
      <c r="Z119" s="638"/>
      <c r="AA119" s="638"/>
      <c r="AB119" s="638"/>
      <c r="AC119" s="638"/>
      <c r="AD119" s="638"/>
      <c r="AE119" s="638"/>
      <c r="AF119" s="638"/>
      <c r="AG119" s="446"/>
      <c r="AH119" s="638"/>
      <c r="AI119" s="638"/>
      <c r="AJ119" s="638"/>
      <c r="AK119" s="638"/>
      <c r="AL119" s="638"/>
      <c r="AM119" s="638"/>
      <c r="AN119" s="484"/>
      <c r="AO119" s="484"/>
      <c r="AP119" s="484"/>
      <c r="AQ119" s="484">
        <f>+FL_2($T$120,$T$118,$G$119,1200,9.28,-1*$F$120)</f>
        <v>-0.35244367521901604</v>
      </c>
      <c r="AR119" s="484"/>
      <c r="AS119" s="484"/>
      <c r="AT119" s="484"/>
      <c r="AU119" s="484"/>
      <c r="AV119" s="484"/>
      <c r="AW119" s="638"/>
      <c r="AX119" s="638"/>
      <c r="AY119" s="484"/>
      <c r="AZ119" s="484"/>
      <c r="BA119" s="671"/>
      <c r="BB119" s="449"/>
      <c r="BD119" s="1330"/>
      <c r="BE119" s="1330"/>
      <c r="BF119" s="1330"/>
      <c r="BG119" s="1330"/>
    </row>
    <row r="120" spans="1:59" ht="12.5">
      <c r="A120" s="449"/>
      <c r="B120" s="485" t="s">
        <v>1983</v>
      </c>
      <c r="C120" s="446">
        <f>+$C$118+$G$119</f>
        <v>94786.050000000017</v>
      </c>
      <c r="D120" s="446"/>
      <c r="E120" s="638"/>
      <c r="F120" s="447">
        <v>2150</v>
      </c>
      <c r="G120" s="484"/>
      <c r="H120" s="1239"/>
      <c r="I120" s="448"/>
      <c r="J120" s="446"/>
      <c r="K120" s="638"/>
      <c r="L120" s="638"/>
      <c r="M120" s="638"/>
      <c r="N120" s="1239" t="s">
        <v>2796</v>
      </c>
      <c r="O120" s="1239"/>
      <c r="P120" s="638"/>
      <c r="Q120" s="638">
        <v>40</v>
      </c>
      <c r="R120" s="638">
        <v>2182.25</v>
      </c>
      <c r="S120" s="484"/>
      <c r="T120" s="638">
        <v>-30</v>
      </c>
      <c r="U120" s="638"/>
      <c r="V120" s="638"/>
      <c r="W120" s="638">
        <v>0.6</v>
      </c>
      <c r="X120" s="638"/>
      <c r="Y120" s="638"/>
      <c r="Z120" s="638"/>
      <c r="AA120" s="638"/>
      <c r="AB120" s="638"/>
      <c r="AC120" s="638" t="s">
        <v>4090</v>
      </c>
      <c r="AD120" s="638"/>
      <c r="AE120" s="638"/>
      <c r="AF120" s="638">
        <v>400</v>
      </c>
      <c r="AG120" s="446">
        <v>94785.96</v>
      </c>
      <c r="AH120" s="638">
        <v>1773</v>
      </c>
      <c r="AI120" s="638">
        <v>-5330</v>
      </c>
      <c r="AJ120" s="638"/>
      <c r="AK120" s="638" t="s">
        <v>139</v>
      </c>
      <c r="AL120" s="638"/>
      <c r="AM120" s="638" t="s">
        <v>1042</v>
      </c>
      <c r="AN120" s="484">
        <v>5.22</v>
      </c>
      <c r="AO120" s="484"/>
      <c r="AP120" s="484"/>
      <c r="AQ120" s="484"/>
      <c r="AR120" s="484"/>
      <c r="AS120" s="484"/>
      <c r="AT120" s="484">
        <f>+ab($T$120,$T$118,$T$122,$G$119,$G$121,-1*$F$120,1200)</f>
        <v>-7.9277497754684614</v>
      </c>
      <c r="AU120" s="484"/>
      <c r="AV120" s="484"/>
      <c r="AW120" s="574"/>
      <c r="AX120" s="574"/>
      <c r="AY120" s="576"/>
      <c r="AZ120" s="576"/>
      <c r="BA120" s="671"/>
      <c r="BB120" s="449"/>
      <c r="BD120" s="1330"/>
      <c r="BE120" s="1329" t="s">
        <v>4946</v>
      </c>
      <c r="BF120" s="1330"/>
      <c r="BG120" s="1329">
        <v>43839</v>
      </c>
    </row>
    <row r="121" spans="1:59" ht="12.5">
      <c r="A121" s="449"/>
      <c r="B121" s="445"/>
      <c r="C121" s="446"/>
      <c r="D121" s="446"/>
      <c r="E121" s="638"/>
      <c r="F121" s="447"/>
      <c r="G121" s="484">
        <v>44.9</v>
      </c>
      <c r="H121" s="1239"/>
      <c r="I121" s="448"/>
      <c r="J121" s="446">
        <f>C122-7.5</f>
        <v>94823.450000000012</v>
      </c>
      <c r="K121" s="638" t="s">
        <v>2787</v>
      </c>
      <c r="L121" s="638"/>
      <c r="M121" s="638"/>
      <c r="N121" s="1239"/>
      <c r="O121" s="1239"/>
      <c r="P121" s="638"/>
      <c r="Q121" s="638"/>
      <c r="R121" s="638"/>
      <c r="S121" s="484">
        <f>+AG122-AG120</f>
        <v>44.849999999991269</v>
      </c>
      <c r="T121" s="638"/>
      <c r="U121" s="638"/>
      <c r="V121" s="638"/>
      <c r="W121" s="638"/>
      <c r="X121" s="638"/>
      <c r="Y121" s="638"/>
      <c r="Z121" s="638"/>
      <c r="AA121" s="638"/>
      <c r="AB121" s="638"/>
      <c r="AC121" s="638"/>
      <c r="AD121" s="638"/>
      <c r="AE121" s="638"/>
      <c r="AF121" s="638"/>
      <c r="AG121" s="446"/>
      <c r="AH121" s="638"/>
      <c r="AI121" s="638"/>
      <c r="AJ121" s="638"/>
      <c r="AK121" s="638"/>
      <c r="AL121" s="638"/>
      <c r="AM121" s="638"/>
      <c r="AN121" s="484"/>
      <c r="AO121" s="484"/>
      <c r="AP121" s="484"/>
      <c r="AQ121" s="484">
        <f>+FL_2($T$122,$T$120,$G$121,1200,9.28,-1*$F$122)</f>
        <v>-0.37766788785122757</v>
      </c>
      <c r="AR121" s="484"/>
      <c r="AS121" s="484"/>
      <c r="AT121" s="484"/>
      <c r="AU121" s="484"/>
      <c r="AV121" s="484"/>
      <c r="AW121" s="638" t="str">
        <f>VLOOKUP(J121,'Foundation Calculation'!$A$2:$C$33,3,1)</f>
        <v>Soil A</v>
      </c>
      <c r="AX121" s="572" t="str">
        <f>VLOOKUP(J121,'Foundation Calculation'!$E$2:$G$33,3,1)</f>
        <v>PT</v>
      </c>
      <c r="AY121" s="484"/>
      <c r="AZ121" s="689">
        <f>IF(AX121="PT",VLOOKUP(K121,'Foundation Calculation'!$K$2:$R$40,VLOOKUP(AW121,'Foundation Calculation'!$I$2:$J$8,2,FALSE),0),IF(AX121="K",VLOOKUP(K121,'Foundation Calculation'!$K$42:$R$80,VLOOKUP(AW121,'Foundation Calculation'!$I$2:$J$8,2,FALSE),0),""))</f>
        <v>3.3</v>
      </c>
      <c r="BA121" s="671" t="s">
        <v>2809</v>
      </c>
      <c r="BB121" s="449"/>
      <c r="BD121" s="1329">
        <v>43729</v>
      </c>
      <c r="BE121" s="1330"/>
      <c r="BF121" s="1330"/>
      <c r="BG121" s="1330"/>
    </row>
    <row r="122" spans="1:59" ht="12.5">
      <c r="A122" s="449" t="s">
        <v>3277</v>
      </c>
      <c r="B122" s="485" t="s">
        <v>1984</v>
      </c>
      <c r="C122" s="446">
        <f>+$C$120+$G$121</f>
        <v>94830.950000000012</v>
      </c>
      <c r="D122" s="446"/>
      <c r="E122" s="638"/>
      <c r="F122" s="447">
        <v>2150</v>
      </c>
      <c r="G122" s="484"/>
      <c r="H122" s="1239" t="s">
        <v>138</v>
      </c>
      <c r="I122" s="448" t="s">
        <v>4231</v>
      </c>
      <c r="J122" s="446"/>
      <c r="K122" s="638"/>
      <c r="L122" s="638" t="s">
        <v>819</v>
      </c>
      <c r="M122" s="638" t="s">
        <v>3671</v>
      </c>
      <c r="N122" s="1239" t="s">
        <v>143</v>
      </c>
      <c r="O122" s="1239"/>
      <c r="P122" s="638"/>
      <c r="Q122" s="638">
        <v>50</v>
      </c>
      <c r="R122" s="638">
        <v>2150</v>
      </c>
      <c r="S122" s="484"/>
      <c r="T122" s="638">
        <v>-30</v>
      </c>
      <c r="U122" s="638"/>
      <c r="V122" s="638"/>
      <c r="W122" s="638">
        <v>1.4</v>
      </c>
      <c r="X122" s="638"/>
      <c r="Y122" s="638"/>
      <c r="Z122" s="638"/>
      <c r="AA122" s="638"/>
      <c r="AB122" s="638"/>
      <c r="AC122" s="638" t="s">
        <v>1419</v>
      </c>
      <c r="AD122" s="638"/>
      <c r="AE122" s="638"/>
      <c r="AF122" s="638">
        <v>5500</v>
      </c>
      <c r="AG122" s="446">
        <v>94830.81</v>
      </c>
      <c r="AH122" s="638">
        <v>2203</v>
      </c>
      <c r="AI122" s="638">
        <v>-30</v>
      </c>
      <c r="AJ122" s="638" t="s">
        <v>884</v>
      </c>
      <c r="AK122" s="638"/>
      <c r="AL122" s="638"/>
      <c r="AM122" s="638" t="s">
        <v>1042</v>
      </c>
      <c r="AN122" s="484">
        <v>5.35</v>
      </c>
      <c r="AO122" s="484"/>
      <c r="AP122" s="484"/>
      <c r="AQ122" s="484"/>
      <c r="AR122" s="484"/>
      <c r="AS122" s="484"/>
      <c r="AT122" s="484">
        <f>+ab($T$122,$T$120,$U$124,$G$121,$G$123,-1*$F$122,1200)</f>
        <v>-8.2931979751839648</v>
      </c>
      <c r="AU122" s="484"/>
      <c r="AV122" s="484"/>
      <c r="AW122" s="638" t="str">
        <f>VLOOKUP(C122,'Foundation Calculation'!$A$2:$C$33,3,1)</f>
        <v>Soil A</v>
      </c>
      <c r="AX122" s="572" t="str">
        <f>VLOOKUP(C122,'Foundation Calculation'!$E$2:$G$33,3,1)</f>
        <v>PT</v>
      </c>
      <c r="AY122" s="636">
        <f>IF(AX122="PT",VLOOKUP(L122,'Foundation Calculation'!$K$2:$R$40,VLOOKUP(AW122,'Foundation Calculation'!$I$2:$J$8,2,FALSE),0),IF(AX122="K",VLOOKUP(L122,'Foundation Calculation'!$K$42:$R$80,VLOOKUP(AW122,'Foundation Calculation'!$I$2:$J$8,2,FALSE),0),""))</f>
        <v>3.5</v>
      </c>
      <c r="AZ122" s="484"/>
      <c r="BA122" s="671" t="s">
        <v>2809</v>
      </c>
      <c r="BB122" s="449" t="str">
        <f>Pole_Calculations!A20</f>
        <v>App.7-V11A-P9.5.1.6</v>
      </c>
      <c r="BD122" s="1329">
        <v>43729</v>
      </c>
      <c r="BE122" s="1329" t="s">
        <v>4946</v>
      </c>
      <c r="BF122" s="1330"/>
      <c r="BG122" s="1329">
        <v>43839</v>
      </c>
    </row>
    <row r="123" spans="1:59" ht="12.5">
      <c r="A123" s="449"/>
      <c r="B123" s="445"/>
      <c r="C123" s="446"/>
      <c r="D123" s="446"/>
      <c r="E123" s="638"/>
      <c r="F123" s="447"/>
      <c r="G123" s="484">
        <v>53.9</v>
      </c>
      <c r="H123" s="1239"/>
      <c r="I123" s="448"/>
      <c r="J123" s="446"/>
      <c r="K123" s="638"/>
      <c r="L123" s="638"/>
      <c r="M123" s="638"/>
      <c r="N123" s="1239"/>
      <c r="O123" s="1239"/>
      <c r="P123" s="638"/>
      <c r="Q123" s="638"/>
      <c r="R123" s="638"/>
      <c r="S123" s="484">
        <f>+AG124-AG122</f>
        <v>53.930000000007567</v>
      </c>
      <c r="T123" s="638"/>
      <c r="U123" s="638"/>
      <c r="V123" s="638"/>
      <c r="W123" s="638"/>
      <c r="X123" s="638"/>
      <c r="Y123" s="638"/>
      <c r="Z123" s="638"/>
      <c r="AA123" s="638"/>
      <c r="AB123" s="638"/>
      <c r="AC123" s="638"/>
      <c r="AD123" s="638"/>
      <c r="AE123" s="638"/>
      <c r="AF123" s="638"/>
      <c r="AG123" s="446"/>
      <c r="AH123" s="638"/>
      <c r="AI123" s="638"/>
      <c r="AJ123" s="638"/>
      <c r="AK123" s="638"/>
      <c r="AL123" s="638"/>
      <c r="AM123" s="638"/>
      <c r="AN123" s="484"/>
      <c r="AO123" s="484"/>
      <c r="AP123" s="484"/>
      <c r="AQ123" s="484">
        <f>+FL_2($U$124,$T$122,$G$123,1200,9.28,-1*$F$124)</f>
        <v>-0.411922773177267</v>
      </c>
      <c r="AR123" s="484"/>
      <c r="AS123" s="484"/>
      <c r="AT123" s="484"/>
      <c r="AU123" s="484"/>
      <c r="AV123" s="484"/>
      <c r="AW123" s="638"/>
      <c r="AX123" s="638"/>
      <c r="AY123" s="484"/>
      <c r="AZ123" s="484"/>
      <c r="BA123" s="671"/>
      <c r="BB123" s="449"/>
      <c r="BD123" s="1330"/>
      <c r="BE123" s="1330"/>
      <c r="BF123" s="1330"/>
      <c r="BG123" s="1330"/>
    </row>
    <row r="124" spans="1:59" ht="12.5">
      <c r="A124" s="449"/>
      <c r="B124" s="485" t="s">
        <v>1985</v>
      </c>
      <c r="C124" s="446">
        <f>+$C$122+$G$123</f>
        <v>94884.85</v>
      </c>
      <c r="D124" s="446"/>
      <c r="E124" s="638"/>
      <c r="F124" s="447">
        <v>2150</v>
      </c>
      <c r="G124" s="484"/>
      <c r="H124" s="1239" t="s">
        <v>619</v>
      </c>
      <c r="I124" s="448"/>
      <c r="J124" s="446"/>
      <c r="K124" s="638"/>
      <c r="L124" s="638"/>
      <c r="M124" s="638"/>
      <c r="N124" s="1239" t="s">
        <v>845</v>
      </c>
      <c r="O124" s="1239" t="s">
        <v>843</v>
      </c>
      <c r="P124" s="638"/>
      <c r="Q124" s="638">
        <v>50</v>
      </c>
      <c r="R124" s="638">
        <v>2182.25</v>
      </c>
      <c r="S124" s="484"/>
      <c r="T124" s="638">
        <v>-10</v>
      </c>
      <c r="U124" s="638">
        <v>-30</v>
      </c>
      <c r="V124" s="638"/>
      <c r="W124" s="638">
        <v>1.4</v>
      </c>
      <c r="X124" s="638">
        <v>1.8</v>
      </c>
      <c r="Y124" s="638"/>
      <c r="Z124" s="638">
        <v>0.5</v>
      </c>
      <c r="AA124" s="638"/>
      <c r="AB124" s="638"/>
      <c r="AC124" s="638" t="s">
        <v>1417</v>
      </c>
      <c r="AD124" s="638"/>
      <c r="AE124" s="638"/>
      <c r="AF124" s="638">
        <v>200</v>
      </c>
      <c r="AG124" s="446">
        <v>94884.74</v>
      </c>
      <c r="AH124" s="638">
        <v>1733</v>
      </c>
      <c r="AI124" s="638">
        <v>-5360</v>
      </c>
      <c r="AJ124" s="638"/>
      <c r="AK124" s="638" t="s">
        <v>228</v>
      </c>
      <c r="AL124" s="638"/>
      <c r="AM124" s="638"/>
      <c r="AN124" s="484">
        <v>5.45</v>
      </c>
      <c r="AO124" s="484"/>
      <c r="AP124" s="484"/>
      <c r="AQ124" s="484"/>
      <c r="AR124" s="484"/>
      <c r="AS124" s="484"/>
      <c r="AT124" s="484">
        <f>+ab($U$124,$T$122,$T$126,$G$123,$G$125,-1*$F$124,1200)</f>
        <v>-6.9973506255943994</v>
      </c>
      <c r="AU124" s="484"/>
      <c r="AV124" s="484"/>
      <c r="AW124" s="574"/>
      <c r="AX124" s="574"/>
      <c r="AY124" s="576"/>
      <c r="AZ124" s="576"/>
      <c r="BA124" s="671"/>
      <c r="BB124" s="449"/>
      <c r="BD124" s="1330"/>
      <c r="BE124" s="1329" t="s">
        <v>4946</v>
      </c>
      <c r="BF124" s="1330"/>
      <c r="BG124" s="1329">
        <v>43839</v>
      </c>
    </row>
    <row r="125" spans="1:59" ht="12.5">
      <c r="A125" s="488" t="s">
        <v>1851</v>
      </c>
      <c r="B125" s="494"/>
      <c r="C125" s="489"/>
      <c r="D125" s="489"/>
      <c r="E125" s="490"/>
      <c r="F125" s="491"/>
      <c r="G125" s="493">
        <v>43.8</v>
      </c>
      <c r="H125" s="495"/>
      <c r="I125" s="492"/>
      <c r="J125" s="489"/>
      <c r="K125" s="490"/>
      <c r="L125" s="490"/>
      <c r="M125" s="490"/>
      <c r="N125" s="495"/>
      <c r="O125" s="495"/>
      <c r="P125" s="490"/>
      <c r="Q125" s="490"/>
      <c r="R125" s="490"/>
      <c r="S125" s="493">
        <f>+AG126-AG124</f>
        <v>43.259999999994761</v>
      </c>
      <c r="T125" s="490"/>
      <c r="U125" s="490"/>
      <c r="V125" s="490"/>
      <c r="W125" s="490"/>
      <c r="X125" s="490"/>
      <c r="Y125" s="490"/>
      <c r="Z125" s="490"/>
      <c r="AA125" s="490"/>
      <c r="AB125" s="490"/>
      <c r="AC125" s="490"/>
      <c r="AD125" s="490"/>
      <c r="AE125" s="490"/>
      <c r="AF125" s="490"/>
      <c r="AG125" s="489"/>
      <c r="AH125" s="490"/>
      <c r="AI125" s="490"/>
      <c r="AJ125" s="490"/>
      <c r="AK125" s="490"/>
      <c r="AL125" s="490"/>
      <c r="AM125" s="490"/>
      <c r="AN125" s="493"/>
      <c r="AO125" s="493"/>
      <c r="AP125" s="493"/>
      <c r="AQ125" s="493">
        <f>+FL_1($T$126,$U$124,$G$125,1200,9.28,-1*$F$126)</f>
        <v>0.19179145847473086</v>
      </c>
      <c r="AR125" s="493"/>
      <c r="AS125" s="493"/>
      <c r="AT125" s="493"/>
      <c r="AU125" s="493"/>
      <c r="AV125" s="493"/>
      <c r="AW125" s="490"/>
      <c r="AX125" s="490"/>
      <c r="AY125" s="493"/>
      <c r="AZ125" s="493"/>
      <c r="BA125" s="602"/>
      <c r="BB125" s="488"/>
      <c r="BD125" s="1330"/>
      <c r="BE125" s="1330"/>
      <c r="BF125" s="1330"/>
      <c r="BG125" s="1330"/>
    </row>
    <row r="126" spans="1:59" ht="12.5">
      <c r="A126" s="449"/>
      <c r="B126" s="485" t="s">
        <v>1986</v>
      </c>
      <c r="C126" s="446">
        <f>+$C$124+$G$125</f>
        <v>94928.650000000009</v>
      </c>
      <c r="D126" s="446"/>
      <c r="E126" s="638"/>
      <c r="F126" s="447">
        <v>1200</v>
      </c>
      <c r="G126" s="484"/>
      <c r="H126" s="1239" t="s">
        <v>619</v>
      </c>
      <c r="I126" s="448"/>
      <c r="J126" s="446"/>
      <c r="K126" s="638"/>
      <c r="L126" s="638"/>
      <c r="M126" s="638"/>
      <c r="N126" s="1239" t="s">
        <v>843</v>
      </c>
      <c r="O126" s="1239" t="s">
        <v>845</v>
      </c>
      <c r="P126" s="638"/>
      <c r="Q126" s="638">
        <v>40</v>
      </c>
      <c r="R126" s="638">
        <v>1218</v>
      </c>
      <c r="S126" s="484"/>
      <c r="T126" s="638">
        <v>-10</v>
      </c>
      <c r="U126" s="638">
        <v>-30</v>
      </c>
      <c r="V126" s="638"/>
      <c r="W126" s="638">
        <v>1.4</v>
      </c>
      <c r="X126" s="638">
        <v>1.8</v>
      </c>
      <c r="Y126" s="638"/>
      <c r="Z126" s="638"/>
      <c r="AA126" s="638">
        <v>0.4</v>
      </c>
      <c r="AB126" s="638"/>
      <c r="AC126" s="638" t="s">
        <v>4090</v>
      </c>
      <c r="AD126" s="638"/>
      <c r="AE126" s="638"/>
      <c r="AF126" s="638">
        <v>200</v>
      </c>
      <c r="AG126" s="446">
        <v>94928</v>
      </c>
      <c r="AH126" s="638">
        <v>1823</v>
      </c>
      <c r="AI126" s="638">
        <v>-5440</v>
      </c>
      <c r="AJ126" s="638"/>
      <c r="AK126" s="638" t="s">
        <v>228</v>
      </c>
      <c r="AL126" s="638"/>
      <c r="AM126" s="638"/>
      <c r="AN126" s="484">
        <v>5.5</v>
      </c>
      <c r="AO126" s="484"/>
      <c r="AP126" s="484"/>
      <c r="AQ126" s="484"/>
      <c r="AR126" s="484"/>
      <c r="AS126" s="484"/>
      <c r="AT126" s="484">
        <f>+ab($T$126,$U$124,$T$128,$G$125,$G$127,-1*$F$126,1200)</f>
        <v>-6.9769868045551577</v>
      </c>
      <c r="AU126" s="484"/>
      <c r="AV126" s="484"/>
      <c r="AW126" s="574"/>
      <c r="AX126" s="574"/>
      <c r="AY126" s="576"/>
      <c r="AZ126" s="576"/>
      <c r="BA126" s="671"/>
      <c r="BB126" s="449"/>
      <c r="BD126" s="1330"/>
      <c r="BE126" s="1329" t="s">
        <v>4946</v>
      </c>
      <c r="BF126" s="1330"/>
      <c r="BG126" s="1329">
        <v>43839</v>
      </c>
    </row>
    <row r="127" spans="1:59" ht="12.5">
      <c r="A127" s="449"/>
      <c r="B127" s="445"/>
      <c r="C127" s="446"/>
      <c r="D127" s="446"/>
      <c r="E127" s="638"/>
      <c r="F127" s="447"/>
      <c r="G127" s="484">
        <v>43.8</v>
      </c>
      <c r="H127" s="1239"/>
      <c r="I127" s="448"/>
      <c r="J127" s="446"/>
      <c r="K127" s="638"/>
      <c r="L127" s="638"/>
      <c r="M127" s="638"/>
      <c r="N127" s="1239"/>
      <c r="O127" s="1239"/>
      <c r="P127" s="638"/>
      <c r="Q127" s="638"/>
      <c r="R127" s="638"/>
      <c r="S127" s="484">
        <f>+AG128-AG126</f>
        <v>44.470000000001164</v>
      </c>
      <c r="T127" s="638"/>
      <c r="U127" s="638"/>
      <c r="V127" s="638"/>
      <c r="W127" s="638"/>
      <c r="X127" s="638"/>
      <c r="Y127" s="638"/>
      <c r="Z127" s="638"/>
      <c r="AA127" s="638"/>
      <c r="AB127" s="638"/>
      <c r="AC127" s="638"/>
      <c r="AD127" s="638"/>
      <c r="AE127" s="638"/>
      <c r="AF127" s="638"/>
      <c r="AG127" s="446"/>
      <c r="AH127" s="638"/>
      <c r="AI127" s="638"/>
      <c r="AJ127" s="638"/>
      <c r="AK127" s="638"/>
      <c r="AL127" s="638"/>
      <c r="AM127" s="638"/>
      <c r="AN127" s="484"/>
      <c r="AO127" s="484"/>
      <c r="AP127" s="484"/>
      <c r="AQ127" s="484">
        <f>+FL_2($T$128,$T$126,$G$127,1200,9.28,-1*$F$128)</f>
        <v>-0.3</v>
      </c>
      <c r="AR127" s="484"/>
      <c r="AS127" s="484"/>
      <c r="AT127" s="484"/>
      <c r="AU127" s="484"/>
      <c r="AV127" s="484"/>
      <c r="AW127" s="638"/>
      <c r="AX127" s="638"/>
      <c r="AY127" s="484"/>
      <c r="AZ127" s="484"/>
      <c r="BA127" s="671"/>
      <c r="BB127" s="449"/>
      <c r="BD127" s="1330"/>
      <c r="BE127" s="1330"/>
      <c r="BF127" s="1330"/>
      <c r="BG127" s="1330"/>
    </row>
    <row r="128" spans="1:59" ht="12.5">
      <c r="A128" s="449"/>
      <c r="B128" s="485" t="s">
        <v>1987</v>
      </c>
      <c r="C128" s="446">
        <f>+$C$126+$G$127</f>
        <v>94972.450000000012</v>
      </c>
      <c r="D128" s="446"/>
      <c r="E128" s="638"/>
      <c r="F128" s="447">
        <v>1200</v>
      </c>
      <c r="G128" s="484"/>
      <c r="H128" s="1239"/>
      <c r="I128" s="448"/>
      <c r="J128" s="446"/>
      <c r="K128" s="638"/>
      <c r="L128" s="638"/>
      <c r="M128" s="638"/>
      <c r="N128" s="1239" t="s">
        <v>843</v>
      </c>
      <c r="O128" s="1239"/>
      <c r="P128" s="638"/>
      <c r="Q128" s="638">
        <v>40</v>
      </c>
      <c r="R128" s="638">
        <v>1218</v>
      </c>
      <c r="S128" s="484"/>
      <c r="T128" s="638">
        <v>-30</v>
      </c>
      <c r="U128" s="638"/>
      <c r="V128" s="638"/>
      <c r="W128" s="638">
        <v>1.4</v>
      </c>
      <c r="X128" s="638"/>
      <c r="Y128" s="638"/>
      <c r="Z128" s="638"/>
      <c r="AA128" s="638"/>
      <c r="AB128" s="638"/>
      <c r="AC128" s="638" t="s">
        <v>4115</v>
      </c>
      <c r="AD128" s="638"/>
      <c r="AE128" s="638"/>
      <c r="AF128" s="638">
        <v>200</v>
      </c>
      <c r="AG128" s="446">
        <v>94972.47</v>
      </c>
      <c r="AH128" s="638">
        <v>1873</v>
      </c>
      <c r="AI128" s="638">
        <v>-5230</v>
      </c>
      <c r="AJ128" s="638"/>
      <c r="AK128" s="638" t="s">
        <v>139</v>
      </c>
      <c r="AL128" s="638"/>
      <c r="AM128" s="638"/>
      <c r="AN128" s="484">
        <v>5.5</v>
      </c>
      <c r="AO128" s="484"/>
      <c r="AP128" s="484"/>
      <c r="AQ128" s="484"/>
      <c r="AR128" s="484"/>
      <c r="AS128" s="484"/>
      <c r="AT128" s="484">
        <f>+ab($T$128,$T$126,$T$130,$G$127,$G$129,-1*$F$128,1200)</f>
        <v>-4.6158165742292256</v>
      </c>
      <c r="AU128" s="484"/>
      <c r="AV128" s="484"/>
      <c r="AW128" s="574"/>
      <c r="AX128" s="574"/>
      <c r="AY128" s="576"/>
      <c r="AZ128" s="576"/>
      <c r="BA128" s="671"/>
      <c r="BB128" s="449"/>
      <c r="BD128" s="1330"/>
      <c r="BE128" s="1329">
        <v>43815</v>
      </c>
      <c r="BF128" s="1330"/>
      <c r="BG128" s="1329">
        <v>43839</v>
      </c>
    </row>
    <row r="129" spans="1:59" ht="12.5">
      <c r="A129" s="449"/>
      <c r="B129" s="445"/>
      <c r="C129" s="446"/>
      <c r="D129" s="446"/>
      <c r="E129" s="638"/>
      <c r="F129" s="447"/>
      <c r="G129" s="484">
        <v>44.8</v>
      </c>
      <c r="H129" s="1239"/>
      <c r="I129" s="448"/>
      <c r="J129" s="446"/>
      <c r="K129" s="638"/>
      <c r="L129" s="638"/>
      <c r="M129" s="638"/>
      <c r="N129" s="1239"/>
      <c r="O129" s="1239"/>
      <c r="P129" s="638"/>
      <c r="Q129" s="638"/>
      <c r="R129" s="638"/>
      <c r="S129" s="484">
        <f>+AG130-AG128</f>
        <v>44.759999999994761</v>
      </c>
      <c r="T129" s="638"/>
      <c r="U129" s="638"/>
      <c r="V129" s="638"/>
      <c r="W129" s="638"/>
      <c r="X129" s="638"/>
      <c r="Y129" s="638"/>
      <c r="Z129" s="638"/>
      <c r="AA129" s="638"/>
      <c r="AB129" s="638"/>
      <c r="AC129" s="638"/>
      <c r="AD129" s="638"/>
      <c r="AE129" s="638"/>
      <c r="AF129" s="638"/>
      <c r="AG129" s="446"/>
      <c r="AH129" s="638"/>
      <c r="AI129" s="638"/>
      <c r="AJ129" s="638"/>
      <c r="AK129" s="638"/>
      <c r="AL129" s="638"/>
      <c r="AM129" s="638"/>
      <c r="AN129" s="484"/>
      <c r="AO129" s="484"/>
      <c r="AP129" s="484"/>
      <c r="AQ129" s="484">
        <f>+FL_2($T$130,$T$128,$G$129,1200,9.28,-1*$F$130)</f>
        <v>-0.30001344298545163</v>
      </c>
      <c r="AR129" s="484"/>
      <c r="AS129" s="484"/>
      <c r="AT129" s="484"/>
      <c r="AU129" s="484"/>
      <c r="AV129" s="484"/>
      <c r="AW129" s="638"/>
      <c r="AX129" s="638"/>
      <c r="AY129" s="484"/>
      <c r="AZ129" s="484"/>
      <c r="BA129" s="671"/>
      <c r="BB129" s="449"/>
      <c r="BD129" s="1330"/>
      <c r="BE129" s="1330"/>
      <c r="BF129" s="1330"/>
      <c r="BG129" s="1330"/>
    </row>
    <row r="130" spans="1:59" ht="12.5">
      <c r="A130" s="449"/>
      <c r="B130" s="485" t="s">
        <v>1988</v>
      </c>
      <c r="C130" s="446">
        <f>+$C$128+$G$129</f>
        <v>95017.250000000015</v>
      </c>
      <c r="D130" s="446"/>
      <c r="E130" s="638"/>
      <c r="F130" s="447">
        <v>1200</v>
      </c>
      <c r="G130" s="484"/>
      <c r="H130" s="1239"/>
      <c r="I130" s="448"/>
      <c r="J130" s="446"/>
      <c r="K130" s="638"/>
      <c r="L130" s="638"/>
      <c r="M130" s="638"/>
      <c r="N130" s="1239" t="s">
        <v>843</v>
      </c>
      <c r="O130" s="1239"/>
      <c r="P130" s="638"/>
      <c r="Q130" s="638">
        <v>40</v>
      </c>
      <c r="R130" s="638">
        <v>1218</v>
      </c>
      <c r="S130" s="484"/>
      <c r="T130" s="638">
        <v>-30</v>
      </c>
      <c r="U130" s="638"/>
      <c r="V130" s="638"/>
      <c r="W130" s="638">
        <v>1.4</v>
      </c>
      <c r="X130" s="638"/>
      <c r="Y130" s="638"/>
      <c r="Z130" s="638"/>
      <c r="AA130" s="638"/>
      <c r="AB130" s="638"/>
      <c r="AC130" s="638" t="s">
        <v>4115</v>
      </c>
      <c r="AD130" s="638"/>
      <c r="AE130" s="638"/>
      <c r="AF130" s="638">
        <v>200</v>
      </c>
      <c r="AG130" s="446">
        <v>95017.23</v>
      </c>
      <c r="AH130" s="638">
        <v>1893</v>
      </c>
      <c r="AI130" s="638">
        <v>-5280</v>
      </c>
      <c r="AJ130" s="638"/>
      <c r="AK130" s="638" t="s">
        <v>139</v>
      </c>
      <c r="AL130" s="638"/>
      <c r="AM130" s="638"/>
      <c r="AN130" s="484">
        <v>5.5</v>
      </c>
      <c r="AO130" s="484"/>
      <c r="AP130" s="484"/>
      <c r="AQ130" s="484"/>
      <c r="AR130" s="484"/>
      <c r="AS130" s="484"/>
      <c r="AT130" s="484">
        <f>+ab($T$130,$T$128,$T$132,$G$129,$G$131,-1*$F$130,1200)</f>
        <v>-5.1262597247918862</v>
      </c>
      <c r="AU130" s="484"/>
      <c r="AV130" s="484"/>
      <c r="AW130" s="574"/>
      <c r="AX130" s="574"/>
      <c r="AY130" s="576"/>
      <c r="AZ130" s="576"/>
      <c r="BA130" s="671"/>
      <c r="BB130" s="449"/>
      <c r="BD130" s="1330"/>
      <c r="BE130" s="1329">
        <v>43815</v>
      </c>
      <c r="BF130" s="1330"/>
      <c r="BG130" s="1329">
        <v>43839</v>
      </c>
    </row>
    <row r="131" spans="1:59" ht="12.5">
      <c r="A131" s="449"/>
      <c r="B131" s="445"/>
      <c r="C131" s="446"/>
      <c r="D131" s="446"/>
      <c r="E131" s="638"/>
      <c r="F131" s="447"/>
      <c r="G131" s="484">
        <v>44.8</v>
      </c>
      <c r="H131" s="1239"/>
      <c r="I131" s="448"/>
      <c r="J131" s="446"/>
      <c r="K131" s="638"/>
      <c r="L131" s="638"/>
      <c r="M131" s="638"/>
      <c r="N131" s="1239"/>
      <c r="O131" s="1239"/>
      <c r="P131" s="638"/>
      <c r="Q131" s="638"/>
      <c r="R131" s="638"/>
      <c r="S131" s="484">
        <f>+AG132-AG130</f>
        <v>44.69999999999709</v>
      </c>
      <c r="T131" s="638"/>
      <c r="U131" s="638"/>
      <c r="V131" s="638"/>
      <c r="W131" s="638"/>
      <c r="X131" s="638"/>
      <c r="Y131" s="638"/>
      <c r="Z131" s="638"/>
      <c r="AA131" s="638"/>
      <c r="AB131" s="638"/>
      <c r="AC131" s="638"/>
      <c r="AD131" s="638"/>
      <c r="AE131" s="638"/>
      <c r="AF131" s="638"/>
      <c r="AG131" s="446"/>
      <c r="AH131" s="638"/>
      <c r="AI131" s="638"/>
      <c r="AJ131" s="638"/>
      <c r="AK131" s="638"/>
      <c r="AL131" s="638"/>
      <c r="AM131" s="638"/>
      <c r="AN131" s="484"/>
      <c r="AO131" s="484"/>
      <c r="AP131" s="484"/>
      <c r="AQ131" s="484">
        <f>+FL_2($T$132,$T$130,$G$131,1200,9.28,-1*$F$132)</f>
        <v>-0.30001344298545163</v>
      </c>
      <c r="AR131" s="484"/>
      <c r="AS131" s="484"/>
      <c r="AT131" s="484"/>
      <c r="AU131" s="484"/>
      <c r="AV131" s="484"/>
      <c r="AW131" s="638"/>
      <c r="AX131" s="638"/>
      <c r="AY131" s="484"/>
      <c r="AZ131" s="484"/>
      <c r="BA131" s="671"/>
      <c r="BB131" s="449"/>
      <c r="BD131" s="1330"/>
      <c r="BE131" s="1330"/>
      <c r="BF131" s="1330"/>
      <c r="BG131" s="1330"/>
    </row>
    <row r="132" spans="1:59" ht="12.5">
      <c r="A132" s="449"/>
      <c r="B132" s="485" t="s">
        <v>1989</v>
      </c>
      <c r="C132" s="446">
        <f>+$C$130+$G$131</f>
        <v>95062.050000000017</v>
      </c>
      <c r="D132" s="446"/>
      <c r="E132" s="638"/>
      <c r="F132" s="447">
        <v>1200</v>
      </c>
      <c r="G132" s="484"/>
      <c r="H132" s="1239"/>
      <c r="I132" s="448"/>
      <c r="J132" s="446"/>
      <c r="K132" s="638"/>
      <c r="L132" s="638"/>
      <c r="M132" s="638"/>
      <c r="N132" s="1239" t="s">
        <v>2794</v>
      </c>
      <c r="O132" s="1239"/>
      <c r="P132" s="638"/>
      <c r="Q132" s="638">
        <v>50</v>
      </c>
      <c r="R132" s="638">
        <v>1218</v>
      </c>
      <c r="S132" s="484"/>
      <c r="T132" s="638">
        <v>-30</v>
      </c>
      <c r="U132" s="638"/>
      <c r="V132" s="638"/>
      <c r="W132" s="638">
        <v>1.4</v>
      </c>
      <c r="X132" s="638"/>
      <c r="Y132" s="638"/>
      <c r="Z132" s="638"/>
      <c r="AA132" s="638"/>
      <c r="AB132" s="638"/>
      <c r="AC132" s="638" t="s">
        <v>4090</v>
      </c>
      <c r="AD132" s="638"/>
      <c r="AE132" s="638"/>
      <c r="AF132" s="638">
        <v>200</v>
      </c>
      <c r="AG132" s="446">
        <v>95061.93</v>
      </c>
      <c r="AH132" s="638">
        <v>1813</v>
      </c>
      <c r="AI132" s="638">
        <v>-5130</v>
      </c>
      <c r="AJ132" s="638"/>
      <c r="AK132" s="638" t="s">
        <v>139</v>
      </c>
      <c r="AL132" s="638"/>
      <c r="AM132" s="638"/>
      <c r="AN132" s="484">
        <v>5.5</v>
      </c>
      <c r="AO132" s="484"/>
      <c r="AP132" s="484"/>
      <c r="AQ132" s="484"/>
      <c r="AR132" s="484"/>
      <c r="AS132" s="484"/>
      <c r="AT132" s="484">
        <f>+ab($T$132,$T$130,$T$134,$G$131,$G$133,-1*$F$132,1200)</f>
        <v>-5.120575229889285</v>
      </c>
      <c r="AU132" s="484"/>
      <c r="AV132" s="484"/>
      <c r="AW132" s="574"/>
      <c r="AX132" s="574"/>
      <c r="AY132" s="576"/>
      <c r="AZ132" s="576"/>
      <c r="BA132" s="671"/>
      <c r="BB132" s="449"/>
      <c r="BD132" s="1330"/>
      <c r="BE132" s="1329">
        <v>43807</v>
      </c>
      <c r="BF132" s="1330"/>
      <c r="BG132" s="1329">
        <v>43814</v>
      </c>
    </row>
    <row r="133" spans="1:59" ht="12.5">
      <c r="A133" s="449"/>
      <c r="B133" s="445"/>
      <c r="C133" s="446"/>
      <c r="D133" s="446"/>
      <c r="E133" s="638"/>
      <c r="F133" s="447"/>
      <c r="G133" s="484">
        <v>44.9</v>
      </c>
      <c r="H133" s="1239"/>
      <c r="I133" s="448"/>
      <c r="J133" s="446"/>
      <c r="K133" s="638"/>
      <c r="L133" s="638"/>
      <c r="M133" s="638"/>
      <c r="N133" s="1239"/>
      <c r="O133" s="1239"/>
      <c r="P133" s="638"/>
      <c r="Q133" s="638"/>
      <c r="R133" s="638"/>
      <c r="S133" s="484">
        <f>+AG134-AG132</f>
        <v>44.970000000001164</v>
      </c>
      <c r="T133" s="638"/>
      <c r="U133" s="638"/>
      <c r="V133" s="638"/>
      <c r="W133" s="638"/>
      <c r="X133" s="638"/>
      <c r="Y133" s="638"/>
      <c r="Z133" s="638"/>
      <c r="AA133" s="638"/>
      <c r="AB133" s="638"/>
      <c r="AC133" s="638"/>
      <c r="AD133" s="638"/>
      <c r="AE133" s="638"/>
      <c r="AF133" s="638"/>
      <c r="AG133" s="446"/>
      <c r="AH133" s="638"/>
      <c r="AI133" s="638"/>
      <c r="AJ133" s="638"/>
      <c r="AK133" s="638"/>
      <c r="AL133" s="638"/>
      <c r="AM133" s="638"/>
      <c r="AN133" s="484"/>
      <c r="AO133" s="484"/>
      <c r="AP133" s="484"/>
      <c r="AQ133" s="484">
        <f>+FL_2($T$134,$T$132,$G$133,1200,9.28,-1*$F$134)</f>
        <v>-0.30001347298536568</v>
      </c>
      <c r="AR133" s="484"/>
      <c r="AS133" s="484"/>
      <c r="AT133" s="484"/>
      <c r="AU133" s="484"/>
      <c r="AV133" s="484"/>
      <c r="AW133" s="638"/>
      <c r="AX133" s="638"/>
      <c r="AY133" s="484"/>
      <c r="AZ133" s="484"/>
      <c r="BA133" s="671"/>
      <c r="BB133" s="449"/>
      <c r="BD133" s="1330"/>
      <c r="BE133" s="1330"/>
      <c r="BF133" s="1330"/>
      <c r="BG133" s="1330"/>
    </row>
    <row r="134" spans="1:59" ht="12.5">
      <c r="A134" s="449"/>
      <c r="B134" s="485" t="s">
        <v>1990</v>
      </c>
      <c r="C134" s="446">
        <f>+$C$132+$G$133</f>
        <v>95106.950000000012</v>
      </c>
      <c r="D134" s="446"/>
      <c r="E134" s="638"/>
      <c r="F134" s="447">
        <v>1200</v>
      </c>
      <c r="G134" s="484"/>
      <c r="H134" s="1239"/>
      <c r="I134" s="448"/>
      <c r="J134" s="446"/>
      <c r="K134" s="638"/>
      <c r="L134" s="638"/>
      <c r="M134" s="638"/>
      <c r="N134" s="1239" t="s">
        <v>2794</v>
      </c>
      <c r="O134" s="1239"/>
      <c r="P134" s="638"/>
      <c r="Q134" s="638">
        <v>50</v>
      </c>
      <c r="R134" s="638">
        <v>1218</v>
      </c>
      <c r="S134" s="484"/>
      <c r="T134" s="638">
        <v>-30</v>
      </c>
      <c r="U134" s="638"/>
      <c r="V134" s="638"/>
      <c r="W134" s="638">
        <v>1.4</v>
      </c>
      <c r="X134" s="638"/>
      <c r="Y134" s="638"/>
      <c r="Z134" s="638"/>
      <c r="AA134" s="638"/>
      <c r="AB134" s="638"/>
      <c r="AC134" s="638" t="s">
        <v>4090</v>
      </c>
      <c r="AD134" s="638"/>
      <c r="AE134" s="638"/>
      <c r="AF134" s="638">
        <v>200</v>
      </c>
      <c r="AG134" s="446">
        <v>95106.9</v>
      </c>
      <c r="AH134" s="638">
        <v>1533</v>
      </c>
      <c r="AI134" s="638">
        <v>-5200</v>
      </c>
      <c r="AJ134" s="638"/>
      <c r="AK134" s="638" t="s">
        <v>139</v>
      </c>
      <c r="AL134" s="638"/>
      <c r="AM134" s="638"/>
      <c r="AN134" s="484">
        <v>5.5</v>
      </c>
      <c r="AO134" s="484"/>
      <c r="AP134" s="484"/>
      <c r="AQ134" s="484"/>
      <c r="AR134" s="484"/>
      <c r="AS134" s="484"/>
      <c r="AT134" s="484">
        <f>+ab($T$134,$T$132,$T$136,$G$133,$G$135,-1*$F$134,1200)</f>
        <v>-4.8515436357828685</v>
      </c>
      <c r="AU134" s="484"/>
      <c r="AV134" s="484"/>
      <c r="AW134" s="574"/>
      <c r="AX134" s="574"/>
      <c r="AY134" s="576"/>
      <c r="AZ134" s="576"/>
      <c r="BA134" s="671"/>
      <c r="BB134" s="449"/>
      <c r="BD134" s="1330"/>
      <c r="BE134" s="1329">
        <v>43807</v>
      </c>
      <c r="BF134" s="1330"/>
      <c r="BG134" s="1329">
        <v>43814</v>
      </c>
    </row>
    <row r="135" spans="1:59" ht="12.5">
      <c r="A135" s="449"/>
      <c r="B135" s="445"/>
      <c r="C135" s="446"/>
      <c r="D135" s="446"/>
      <c r="E135" s="638"/>
      <c r="F135" s="447"/>
      <c r="G135" s="484">
        <v>49.8</v>
      </c>
      <c r="H135" s="1239"/>
      <c r="I135" s="448"/>
      <c r="J135" s="446"/>
      <c r="K135" s="638"/>
      <c r="L135" s="638"/>
      <c r="M135" s="638"/>
      <c r="N135" s="1239"/>
      <c r="O135" s="1239"/>
      <c r="P135" s="638"/>
      <c r="Q135" s="638"/>
      <c r="R135" s="638"/>
      <c r="S135" s="484">
        <f>+AG136-AG134</f>
        <v>46.100000000005821</v>
      </c>
      <c r="T135" s="638"/>
      <c r="U135" s="638"/>
      <c r="V135" s="638"/>
      <c r="W135" s="638"/>
      <c r="X135" s="638"/>
      <c r="Y135" s="638"/>
      <c r="Z135" s="638"/>
      <c r="AA135" s="638"/>
      <c r="AB135" s="638"/>
      <c r="AC135" s="638"/>
      <c r="AD135" s="638"/>
      <c r="AE135" s="638"/>
      <c r="AF135" s="638"/>
      <c r="AG135" s="446"/>
      <c r="AH135" s="638"/>
      <c r="AI135" s="638"/>
      <c r="AJ135" s="638"/>
      <c r="AK135" s="638"/>
      <c r="AL135" s="638"/>
      <c r="AM135" s="638"/>
      <c r="AN135" s="484"/>
      <c r="AO135" s="484"/>
      <c r="AP135" s="484"/>
      <c r="AQ135" s="484">
        <f>+FL_2($T$136,$T$134,$G$135,1200,9.28,-1*$F$136)</f>
        <v>-0.30001494298206505</v>
      </c>
      <c r="AR135" s="484"/>
      <c r="AS135" s="484"/>
      <c r="AT135" s="484"/>
      <c r="AU135" s="484"/>
      <c r="AV135" s="484"/>
      <c r="AW135" s="638"/>
      <c r="AX135" s="638"/>
      <c r="AY135" s="484"/>
      <c r="AZ135" s="484"/>
      <c r="BA135" s="671"/>
      <c r="BB135" s="449"/>
      <c r="BD135" s="1330"/>
      <c r="BE135" s="1330"/>
      <c r="BF135" s="1330"/>
      <c r="BG135" s="1330"/>
    </row>
    <row r="136" spans="1:59" ht="12.5">
      <c r="A136" s="449"/>
      <c r="B136" s="485" t="s">
        <v>1991</v>
      </c>
      <c r="C136" s="446">
        <f>+$C$134+$G$135</f>
        <v>95156.750000000015</v>
      </c>
      <c r="D136" s="446"/>
      <c r="E136" s="638"/>
      <c r="F136" s="447">
        <v>1200</v>
      </c>
      <c r="G136" s="484"/>
      <c r="H136" s="1239"/>
      <c r="I136" s="448"/>
      <c r="J136" s="446"/>
      <c r="K136" s="638"/>
      <c r="L136" s="638"/>
      <c r="M136" s="638"/>
      <c r="N136" s="1239" t="s">
        <v>2794</v>
      </c>
      <c r="O136" s="1239"/>
      <c r="P136" s="638"/>
      <c r="Q136" s="638">
        <v>70</v>
      </c>
      <c r="R136" s="638">
        <v>1218</v>
      </c>
      <c r="S136" s="484"/>
      <c r="T136" s="638">
        <v>-30</v>
      </c>
      <c r="U136" s="638"/>
      <c r="V136" s="638"/>
      <c r="W136" s="638">
        <v>1.4</v>
      </c>
      <c r="X136" s="638"/>
      <c r="Y136" s="638"/>
      <c r="Z136" s="638"/>
      <c r="AA136" s="638"/>
      <c r="AB136" s="638"/>
      <c r="AC136" s="638" t="s">
        <v>4090</v>
      </c>
      <c r="AD136" s="638"/>
      <c r="AE136" s="638"/>
      <c r="AF136" s="638">
        <v>200</v>
      </c>
      <c r="AG136" s="446">
        <v>95153</v>
      </c>
      <c r="AH136" s="638">
        <v>1683</v>
      </c>
      <c r="AI136" s="638">
        <v>-5170</v>
      </c>
      <c r="AJ136" s="638"/>
      <c r="AK136" s="638" t="s">
        <v>139</v>
      </c>
      <c r="AL136" s="638"/>
      <c r="AM136" s="638"/>
      <c r="AN136" s="484">
        <v>5.5</v>
      </c>
      <c r="AO136" s="484"/>
      <c r="AP136" s="484"/>
      <c r="AQ136" s="484"/>
      <c r="AR136" s="484"/>
      <c r="AS136" s="484"/>
      <c r="AT136" s="484">
        <f>+ab($T$136,$T$134,$T$138,$G$135,$G$137,-1*$F$136,1200)</f>
        <v>-4.708047032161633</v>
      </c>
      <c r="AU136" s="484"/>
      <c r="AV136" s="484"/>
      <c r="AW136" s="574"/>
      <c r="AX136" s="574"/>
      <c r="AY136" s="576"/>
      <c r="AZ136" s="576"/>
      <c r="BA136" s="671"/>
      <c r="BB136" s="449"/>
      <c r="BD136" s="1330"/>
      <c r="BE136" s="1329">
        <v>43807</v>
      </c>
      <c r="BF136" s="1330"/>
      <c r="BG136" s="1329">
        <v>43814</v>
      </c>
    </row>
    <row r="137" spans="1:59" ht="12.5">
      <c r="A137" s="449"/>
      <c r="B137" s="445"/>
      <c r="C137" s="446"/>
      <c r="D137" s="446"/>
      <c r="E137" s="638"/>
      <c r="F137" s="447"/>
      <c r="G137" s="484">
        <v>47.8</v>
      </c>
      <c r="H137" s="1239"/>
      <c r="I137" s="448"/>
      <c r="J137" s="446"/>
      <c r="K137" s="638"/>
      <c r="L137" s="638"/>
      <c r="M137" s="638"/>
      <c r="N137" s="1239"/>
      <c r="O137" s="1239"/>
      <c r="P137" s="638"/>
      <c r="Q137" s="638"/>
      <c r="R137" s="638"/>
      <c r="S137" s="484">
        <f>+AG138-AG136</f>
        <v>51.720000000001164</v>
      </c>
      <c r="T137" s="638"/>
      <c r="U137" s="638"/>
      <c r="V137" s="638"/>
      <c r="W137" s="638"/>
      <c r="X137" s="638"/>
      <c r="Y137" s="638"/>
      <c r="Z137" s="638"/>
      <c r="AA137" s="638"/>
      <c r="AB137" s="638"/>
      <c r="AC137" s="638"/>
      <c r="AD137" s="638"/>
      <c r="AE137" s="638"/>
      <c r="AF137" s="638"/>
      <c r="AG137" s="446"/>
      <c r="AH137" s="638"/>
      <c r="AI137" s="638"/>
      <c r="AJ137" s="638"/>
      <c r="AK137" s="638"/>
      <c r="AL137" s="638"/>
      <c r="AM137" s="638"/>
      <c r="AN137" s="484"/>
      <c r="AO137" s="484"/>
      <c r="AP137" s="484"/>
      <c r="AQ137" s="484">
        <f>+FL_2($T$138,$T$136,$G$137,1200,9.28,-1*$F$138)</f>
        <v>-0.30001434298355567</v>
      </c>
      <c r="AR137" s="484"/>
      <c r="AS137" s="484"/>
      <c r="AT137" s="484"/>
      <c r="AU137" s="484"/>
      <c r="AV137" s="484"/>
      <c r="AW137" s="638"/>
      <c r="AX137" s="638"/>
      <c r="AY137" s="484"/>
      <c r="AZ137" s="484"/>
      <c r="BA137" s="671"/>
      <c r="BB137" s="449"/>
      <c r="BD137" s="1330"/>
      <c r="BE137" s="1330"/>
      <c r="BF137" s="1330"/>
      <c r="BG137" s="1330"/>
    </row>
    <row r="138" spans="1:59" ht="12.5">
      <c r="A138" s="449"/>
      <c r="B138" s="485" t="s">
        <v>1992</v>
      </c>
      <c r="C138" s="446">
        <f>+$C$136+$G$137</f>
        <v>95204.550000000017</v>
      </c>
      <c r="D138" s="446"/>
      <c r="E138" s="638"/>
      <c r="F138" s="447">
        <v>1200</v>
      </c>
      <c r="G138" s="484"/>
      <c r="H138" s="1239"/>
      <c r="I138" s="448"/>
      <c r="J138" s="446"/>
      <c r="K138" s="638"/>
      <c r="L138" s="638"/>
      <c r="M138" s="638"/>
      <c r="N138" s="1239" t="s">
        <v>843</v>
      </c>
      <c r="O138" s="1239"/>
      <c r="P138" s="638"/>
      <c r="Q138" s="638">
        <v>50</v>
      </c>
      <c r="R138" s="638">
        <v>1218</v>
      </c>
      <c r="S138" s="484"/>
      <c r="T138" s="638">
        <v>-30</v>
      </c>
      <c r="U138" s="638"/>
      <c r="V138" s="638"/>
      <c r="W138" s="638">
        <v>1.4</v>
      </c>
      <c r="X138" s="638"/>
      <c r="Y138" s="638"/>
      <c r="Z138" s="638"/>
      <c r="AA138" s="638"/>
      <c r="AB138" s="638"/>
      <c r="AC138" s="638" t="s">
        <v>4115</v>
      </c>
      <c r="AD138" s="638"/>
      <c r="AE138" s="638"/>
      <c r="AF138" s="638">
        <v>200</v>
      </c>
      <c r="AG138" s="446">
        <v>95204.72</v>
      </c>
      <c r="AH138" s="638">
        <v>1843</v>
      </c>
      <c r="AI138" s="638">
        <v>-5290</v>
      </c>
      <c r="AJ138" s="638"/>
      <c r="AK138" s="638" t="s">
        <v>139</v>
      </c>
      <c r="AL138" s="638"/>
      <c r="AM138" s="638"/>
      <c r="AN138" s="484">
        <v>5.5</v>
      </c>
      <c r="AO138" s="484"/>
      <c r="AP138" s="484"/>
      <c r="AQ138" s="484"/>
      <c r="AR138" s="484"/>
      <c r="AS138" s="484"/>
      <c r="AT138" s="484">
        <f>+ab($T$138,$T$136,$T$140,$G$137,$G$139,-1*$F$138,1200)</f>
        <v>-5.4274710035570575</v>
      </c>
      <c r="AU138" s="484"/>
      <c r="AV138" s="484"/>
      <c r="AW138" s="574"/>
      <c r="AX138" s="574"/>
      <c r="AY138" s="576"/>
      <c r="AZ138" s="576"/>
      <c r="BA138" s="671"/>
      <c r="BB138" s="449"/>
      <c r="BD138" s="1330"/>
      <c r="BE138" s="1329">
        <v>43810</v>
      </c>
      <c r="BF138" s="1330"/>
      <c r="BG138" s="1329">
        <v>43839</v>
      </c>
    </row>
    <row r="139" spans="1:59" ht="12.5">
      <c r="A139" s="449"/>
      <c r="B139" s="445"/>
      <c r="C139" s="446"/>
      <c r="D139" s="446"/>
      <c r="E139" s="638"/>
      <c r="F139" s="447"/>
      <c r="G139" s="484">
        <v>36.799999999999997</v>
      </c>
      <c r="H139" s="1239"/>
      <c r="I139" s="448"/>
      <c r="J139" s="446"/>
      <c r="K139" s="638"/>
      <c r="L139" s="638"/>
      <c r="M139" s="638"/>
      <c r="N139" s="1239"/>
      <c r="O139" s="1239"/>
      <c r="P139" s="638"/>
      <c r="Q139" s="638"/>
      <c r="R139" s="638"/>
      <c r="S139" s="484">
        <f>+AG140-AG138</f>
        <v>36.580000000001746</v>
      </c>
      <c r="T139" s="638"/>
      <c r="U139" s="638"/>
      <c r="V139" s="638"/>
      <c r="W139" s="638"/>
      <c r="X139" s="638"/>
      <c r="Y139" s="638"/>
      <c r="Z139" s="638"/>
      <c r="AA139" s="638"/>
      <c r="AB139" s="638"/>
      <c r="AC139" s="638"/>
      <c r="AD139" s="638"/>
      <c r="AE139" s="638"/>
      <c r="AF139" s="638"/>
      <c r="AG139" s="446"/>
      <c r="AH139" s="638"/>
      <c r="AI139" s="638"/>
      <c r="AJ139" s="638"/>
      <c r="AK139" s="638"/>
      <c r="AL139" s="638"/>
      <c r="AM139" s="638"/>
      <c r="AN139" s="484"/>
      <c r="AO139" s="484"/>
      <c r="AP139" s="484"/>
      <c r="AQ139" s="484">
        <f>+FL_2($T$140,$T$138,$G$139,1200,9.28,-1*$F$140)</f>
        <v>-0.3</v>
      </c>
      <c r="AR139" s="484"/>
      <c r="AS139" s="484"/>
      <c r="AT139" s="484"/>
      <c r="AU139" s="484"/>
      <c r="AV139" s="484"/>
      <c r="AW139" s="638"/>
      <c r="AX139" s="572"/>
      <c r="AY139" s="484"/>
      <c r="AZ139" s="689"/>
      <c r="BA139" s="671"/>
      <c r="BB139" s="449"/>
      <c r="BD139" s="1330"/>
      <c r="BE139" s="1330"/>
      <c r="BF139" s="1330"/>
      <c r="BG139" s="1330"/>
    </row>
    <row r="140" spans="1:59" ht="12.5">
      <c r="A140" s="449"/>
      <c r="B140" s="485" t="s">
        <v>1993</v>
      </c>
      <c r="C140" s="446">
        <f>+$C$138+$G$139</f>
        <v>95241.35000000002</v>
      </c>
      <c r="D140" s="446"/>
      <c r="E140" s="638"/>
      <c r="F140" s="447">
        <v>1200</v>
      </c>
      <c r="G140" s="484"/>
      <c r="H140" s="1239"/>
      <c r="I140" s="448"/>
      <c r="J140" s="446"/>
      <c r="K140" s="638"/>
      <c r="L140" s="638"/>
      <c r="M140" s="638"/>
      <c r="N140" s="1239" t="s">
        <v>2794</v>
      </c>
      <c r="O140" s="1239"/>
      <c r="P140" s="638"/>
      <c r="Q140" s="638">
        <v>60</v>
      </c>
      <c r="R140" s="638">
        <v>679.91</v>
      </c>
      <c r="S140" s="484"/>
      <c r="T140" s="638">
        <v>-30</v>
      </c>
      <c r="U140" s="638"/>
      <c r="V140" s="638"/>
      <c r="W140" s="638">
        <v>1.4</v>
      </c>
      <c r="X140" s="638"/>
      <c r="Y140" s="638"/>
      <c r="Z140" s="638"/>
      <c r="AA140" s="638"/>
      <c r="AB140" s="638"/>
      <c r="AC140" s="638" t="s">
        <v>3050</v>
      </c>
      <c r="AD140" s="638"/>
      <c r="AE140" s="638"/>
      <c r="AF140" s="638">
        <v>100</v>
      </c>
      <c r="AG140" s="446">
        <v>95241.3</v>
      </c>
      <c r="AH140" s="638">
        <v>1723</v>
      </c>
      <c r="AI140" s="638">
        <v>-5250</v>
      </c>
      <c r="AJ140" s="638"/>
      <c r="AK140" s="638" t="s">
        <v>139</v>
      </c>
      <c r="AL140" s="638"/>
      <c r="AM140" s="638"/>
      <c r="AN140" s="484">
        <v>5.5</v>
      </c>
      <c r="AO140" s="484"/>
      <c r="AP140" s="484"/>
      <c r="AQ140" s="484"/>
      <c r="AR140" s="484"/>
      <c r="AS140" s="484"/>
      <c r="AT140" s="484">
        <f>+ab($T$140,$T$138,$T$142,$G$139,$G$141,-1*$F$140,1200)</f>
        <v>-6.3178282253113558</v>
      </c>
      <c r="AU140" s="484"/>
      <c r="AV140" s="484"/>
      <c r="AW140" s="638"/>
      <c r="AX140" s="572"/>
      <c r="AY140" s="636"/>
      <c r="AZ140" s="484"/>
      <c r="BA140" s="671"/>
      <c r="BB140" s="449"/>
      <c r="BD140" s="1330"/>
      <c r="BE140" s="1329" t="s">
        <v>4946</v>
      </c>
      <c r="BF140" s="1330"/>
      <c r="BG140" s="1329">
        <v>43814</v>
      </c>
    </row>
    <row r="141" spans="1:59" ht="12.5">
      <c r="A141" s="449"/>
      <c r="B141" s="445"/>
      <c r="C141" s="446"/>
      <c r="D141" s="446"/>
      <c r="E141" s="638"/>
      <c r="F141" s="447"/>
      <c r="G141" s="484">
        <v>35.799999999999997</v>
      </c>
      <c r="H141" s="1239"/>
      <c r="I141" s="448">
        <f>SUM(G123:G141)</f>
        <v>446.20000000000005</v>
      </c>
      <c r="J141" s="171"/>
      <c r="K141" s="638"/>
      <c r="L141" s="638"/>
      <c r="M141" s="638"/>
      <c r="N141" s="1239"/>
      <c r="O141" s="638"/>
      <c r="P141" s="638"/>
      <c r="Q141" s="638"/>
      <c r="R141" s="638"/>
      <c r="S141" s="484">
        <f>+AG142-AG140</f>
        <v>35.69999999999709</v>
      </c>
      <c r="T141" s="638"/>
      <c r="U141" s="638"/>
      <c r="V141" s="638"/>
      <c r="W141" s="638"/>
      <c r="X141" s="638"/>
      <c r="Y141" s="638"/>
      <c r="Z141" s="638"/>
      <c r="AA141" s="638"/>
      <c r="AB141" s="638"/>
      <c r="AC141" s="638"/>
      <c r="AD141" s="638"/>
      <c r="AE141" s="638"/>
      <c r="AF141" s="638"/>
      <c r="AG141" s="446"/>
      <c r="AH141" s="638"/>
      <c r="AI141" s="638"/>
      <c r="AJ141" s="638"/>
      <c r="AK141" s="638" t="s">
        <v>2760</v>
      </c>
      <c r="AL141" s="638"/>
      <c r="AM141" s="638"/>
      <c r="AN141" s="484"/>
      <c r="AO141" s="484"/>
      <c r="AP141" s="484"/>
      <c r="AQ141" s="484">
        <f>+FL_2($T$142,$T$140,$G$141,1200,9.28,-1*$F$142)</f>
        <v>-0.30000000000009358</v>
      </c>
      <c r="AR141" s="484"/>
      <c r="AS141" s="484"/>
      <c r="AT141" s="484"/>
      <c r="AU141" s="484"/>
      <c r="AV141" s="484"/>
      <c r="AW141" s="638"/>
      <c r="AX141" s="572"/>
      <c r="AY141" s="484"/>
      <c r="AZ141" s="689"/>
      <c r="BA141" s="671"/>
      <c r="BB141" s="449"/>
      <c r="BD141" s="1330"/>
      <c r="BE141" s="1330"/>
      <c r="BF141" s="1330"/>
      <c r="BG141" s="1330"/>
    </row>
    <row r="142" spans="1:59" ht="12.5">
      <c r="A142" s="449"/>
      <c r="B142" s="485" t="s">
        <v>1994</v>
      </c>
      <c r="C142" s="446">
        <f>+$C$140+$G$141</f>
        <v>95277.150000000023</v>
      </c>
      <c r="D142" s="446"/>
      <c r="E142" s="638"/>
      <c r="F142" s="447">
        <v>754.77</v>
      </c>
      <c r="G142" s="484"/>
      <c r="H142" s="1239" t="s">
        <v>874</v>
      </c>
      <c r="I142" s="1239"/>
      <c r="J142" s="171"/>
      <c r="K142" s="638"/>
      <c r="L142" s="638"/>
      <c r="M142" s="638"/>
      <c r="N142" s="1239" t="s">
        <v>2789</v>
      </c>
      <c r="O142" s="638"/>
      <c r="P142" s="638"/>
      <c r="Q142" s="638">
        <v>60</v>
      </c>
      <c r="R142" s="638">
        <v>750</v>
      </c>
      <c r="S142" s="484"/>
      <c r="T142" s="638">
        <v>-30</v>
      </c>
      <c r="U142" s="638"/>
      <c r="V142" s="638"/>
      <c r="W142" s="638">
        <v>1.4</v>
      </c>
      <c r="X142" s="638"/>
      <c r="Y142" s="638"/>
      <c r="Z142" s="638"/>
      <c r="AA142" s="638"/>
      <c r="AB142" s="638"/>
      <c r="AC142" s="638" t="s">
        <v>3050</v>
      </c>
      <c r="AD142" s="638"/>
      <c r="AE142" s="638"/>
      <c r="AF142" s="638">
        <v>100</v>
      </c>
      <c r="AG142" s="446">
        <v>95277</v>
      </c>
      <c r="AH142" s="638">
        <v>1763</v>
      </c>
      <c r="AI142" s="638">
        <v>-5160</v>
      </c>
      <c r="AJ142" s="638"/>
      <c r="AK142" s="638" t="s">
        <v>139</v>
      </c>
      <c r="AL142" s="638"/>
      <c r="AM142" s="638"/>
      <c r="AN142" s="484">
        <v>5.5</v>
      </c>
      <c r="AO142" s="484"/>
      <c r="AP142" s="484"/>
      <c r="AQ142" s="484"/>
      <c r="AR142" s="484"/>
      <c r="AS142" s="484"/>
      <c r="AT142" s="484">
        <f>+ab($T$142,$T$140,$T$144,$G$141,$G$143,-1*$F$142,1200)</f>
        <v>-4.0959776926818039</v>
      </c>
      <c r="AU142" s="484"/>
      <c r="AV142" s="484"/>
      <c r="AW142" s="638"/>
      <c r="AX142" s="572"/>
      <c r="AY142" s="636"/>
      <c r="AZ142" s="484"/>
      <c r="BA142" s="671"/>
      <c r="BB142" s="449"/>
      <c r="BD142" s="1330"/>
      <c r="BE142" s="1329" t="s">
        <v>4946</v>
      </c>
      <c r="BF142" s="1330"/>
      <c r="BG142" s="1329">
        <v>43786</v>
      </c>
    </row>
    <row r="143" spans="1:59" ht="12.5">
      <c r="A143" s="449"/>
      <c r="B143" s="445"/>
      <c r="C143" s="446"/>
      <c r="D143" s="446"/>
      <c r="E143" s="638"/>
      <c r="F143" s="447"/>
      <c r="G143" s="484">
        <v>34.799999999999997</v>
      </c>
      <c r="H143" s="1239"/>
      <c r="I143" s="448">
        <f>SUM(G143:G163)</f>
        <v>486.90000000000003</v>
      </c>
      <c r="J143" s="171"/>
      <c r="K143" s="638"/>
      <c r="L143" s="638"/>
      <c r="M143" s="638"/>
      <c r="N143" s="1239"/>
      <c r="O143" s="638"/>
      <c r="P143" s="638"/>
      <c r="Q143" s="638"/>
      <c r="R143" s="638"/>
      <c r="S143" s="484">
        <f>+AG144-AG142</f>
        <v>35</v>
      </c>
      <c r="T143" s="638"/>
      <c r="U143" s="638"/>
      <c r="V143" s="638"/>
      <c r="W143" s="638"/>
      <c r="X143" s="638"/>
      <c r="Y143" s="638"/>
      <c r="Z143" s="638"/>
      <c r="AA143" s="638"/>
      <c r="AB143" s="638"/>
      <c r="AC143" s="638"/>
      <c r="AD143" s="638"/>
      <c r="AE143" s="638"/>
      <c r="AF143" s="638"/>
      <c r="AG143" s="446"/>
      <c r="AH143" s="638"/>
      <c r="AI143" s="638"/>
      <c r="AJ143" s="638"/>
      <c r="AK143" s="638" t="s">
        <v>2760</v>
      </c>
      <c r="AL143" s="638"/>
      <c r="AM143" s="638"/>
      <c r="AN143" s="484"/>
      <c r="AO143" s="484"/>
      <c r="AP143" s="484"/>
      <c r="AQ143" s="484">
        <f>+FL_2($T$144,$T$142,$G$143,1200,9.28,-1*$F$144)</f>
        <v>-0.30000000000009153</v>
      </c>
      <c r="AR143" s="484"/>
      <c r="AS143" s="484"/>
      <c r="AT143" s="484"/>
      <c r="AU143" s="484"/>
      <c r="AV143" s="484"/>
      <c r="AW143" s="638"/>
      <c r="AX143" s="638"/>
      <c r="AY143" s="484"/>
      <c r="AZ143" s="484"/>
      <c r="BA143" s="671"/>
      <c r="BB143" s="449"/>
      <c r="BD143" s="1330"/>
      <c r="BE143" s="1330"/>
      <c r="BF143" s="1330"/>
      <c r="BG143" s="1330"/>
    </row>
    <row r="144" spans="1:59" ht="12.5">
      <c r="A144" s="449"/>
      <c r="B144" s="485" t="s">
        <v>1995</v>
      </c>
      <c r="C144" s="446">
        <f>+$C$142+$G$143</f>
        <v>95311.950000000026</v>
      </c>
      <c r="D144" s="446"/>
      <c r="E144" s="638"/>
      <c r="F144" s="447">
        <v>754.77</v>
      </c>
      <c r="G144" s="484"/>
      <c r="H144" s="1239"/>
      <c r="I144" s="1239"/>
      <c r="J144" s="446"/>
      <c r="K144" s="638"/>
      <c r="L144" s="638"/>
      <c r="M144" s="638"/>
      <c r="N144" s="1239" t="s">
        <v>2789</v>
      </c>
      <c r="O144" s="638"/>
      <c r="P144" s="638"/>
      <c r="Q144" s="638">
        <v>60</v>
      </c>
      <c r="R144" s="638">
        <v>750</v>
      </c>
      <c r="S144" s="484"/>
      <c r="T144" s="638">
        <v>-30</v>
      </c>
      <c r="U144" s="638"/>
      <c r="V144" s="638"/>
      <c r="W144" s="638">
        <v>1.4</v>
      </c>
      <c r="X144" s="638"/>
      <c r="Y144" s="638"/>
      <c r="Z144" s="638"/>
      <c r="AA144" s="638"/>
      <c r="AB144" s="638"/>
      <c r="AC144" s="638" t="s">
        <v>4090</v>
      </c>
      <c r="AD144" s="638"/>
      <c r="AE144" s="638"/>
      <c r="AF144" s="638">
        <v>100</v>
      </c>
      <c r="AG144" s="446">
        <v>95312</v>
      </c>
      <c r="AH144" s="638">
        <v>1853</v>
      </c>
      <c r="AI144" s="638">
        <v>-5140</v>
      </c>
      <c r="AJ144" s="638"/>
      <c r="AK144" s="638" t="s">
        <v>139</v>
      </c>
      <c r="AL144" s="638"/>
      <c r="AM144" s="638"/>
      <c r="AN144" s="484">
        <v>5.5</v>
      </c>
      <c r="AO144" s="484"/>
      <c r="AP144" s="484"/>
      <c r="AQ144" s="484"/>
      <c r="AR144" s="484"/>
      <c r="AS144" s="484"/>
      <c r="AT144" s="484">
        <f>+ab($T$144,$T$142,$T$146,$G$143,$G$145,-1*$F$144,1200)</f>
        <v>-4.1546233255781777</v>
      </c>
      <c r="AU144" s="484"/>
      <c r="AV144" s="484"/>
      <c r="AW144" s="638"/>
      <c r="AX144" s="572"/>
      <c r="AY144" s="636"/>
      <c r="AZ144" s="484"/>
      <c r="BA144" s="671"/>
      <c r="BB144" s="449"/>
      <c r="BD144" s="1330"/>
      <c r="BE144" s="1329" t="s">
        <v>4946</v>
      </c>
      <c r="BF144" s="1330"/>
      <c r="BG144" s="1329">
        <v>43786</v>
      </c>
    </row>
    <row r="145" spans="1:59" ht="12.5">
      <c r="A145" s="449"/>
      <c r="B145" s="445"/>
      <c r="C145" s="446"/>
      <c r="D145" s="446"/>
      <c r="E145" s="638"/>
      <c r="F145" s="447"/>
      <c r="G145" s="484">
        <v>34.799999999999997</v>
      </c>
      <c r="H145" s="1239"/>
      <c r="I145" s="1239"/>
      <c r="J145" s="446"/>
      <c r="K145" s="638"/>
      <c r="L145" s="638"/>
      <c r="M145" s="638"/>
      <c r="N145" s="1239"/>
      <c r="O145" s="638"/>
      <c r="P145" s="638"/>
      <c r="Q145" s="638"/>
      <c r="R145" s="638"/>
      <c r="S145" s="484">
        <f>+AG146-AG144</f>
        <v>34.690000000002328</v>
      </c>
      <c r="T145" s="624"/>
      <c r="U145" s="638"/>
      <c r="V145" s="638"/>
      <c r="W145" s="638"/>
      <c r="X145" s="638"/>
      <c r="Y145" s="638"/>
      <c r="Z145" s="638"/>
      <c r="AA145" s="638"/>
      <c r="AB145" s="638"/>
      <c r="AC145" s="638"/>
      <c r="AD145" s="638"/>
      <c r="AE145" s="638"/>
      <c r="AF145" s="638"/>
      <c r="AG145" s="446"/>
      <c r="AH145" s="638"/>
      <c r="AI145" s="638"/>
      <c r="AJ145" s="638"/>
      <c r="AK145" s="638"/>
      <c r="AL145" s="638"/>
      <c r="AM145" s="638"/>
      <c r="AN145" s="484"/>
      <c r="AO145" s="484"/>
      <c r="AP145" s="484"/>
      <c r="AQ145" s="484">
        <f>+FL_2($T$146,$T$144,$G$145,1200,9.28,-1*$F$146)</f>
        <v>-0.30000000000009153</v>
      </c>
      <c r="AR145" s="484"/>
      <c r="AS145" s="484"/>
      <c r="AT145" s="484"/>
      <c r="AU145" s="484"/>
      <c r="AV145" s="484"/>
      <c r="AW145" s="638"/>
      <c r="AX145" s="572"/>
      <c r="AY145" s="484"/>
      <c r="AZ145" s="689"/>
      <c r="BA145" s="671"/>
      <c r="BB145" s="449"/>
      <c r="BD145" s="1330"/>
      <c r="BE145" s="1330"/>
      <c r="BF145" s="1330"/>
      <c r="BG145" s="1330"/>
    </row>
    <row r="146" spans="1:59" ht="12.5">
      <c r="A146" s="449"/>
      <c r="B146" s="485" t="s">
        <v>1996</v>
      </c>
      <c r="C146" s="446">
        <f>+$C$144+$G$145</f>
        <v>95346.750000000029</v>
      </c>
      <c r="D146" s="446"/>
      <c r="E146" s="638"/>
      <c r="F146" s="447">
        <v>754.77</v>
      </c>
      <c r="G146" s="484"/>
      <c r="H146" s="1239"/>
      <c r="I146" s="448"/>
      <c r="J146" s="446"/>
      <c r="K146" s="638"/>
      <c r="L146" s="638"/>
      <c r="M146" s="638"/>
      <c r="N146" s="1239" t="s">
        <v>2789</v>
      </c>
      <c r="O146" s="638"/>
      <c r="P146" s="638"/>
      <c r="Q146" s="638">
        <v>60</v>
      </c>
      <c r="R146" s="638">
        <v>750</v>
      </c>
      <c r="S146" s="484"/>
      <c r="T146" s="638">
        <v>-30</v>
      </c>
      <c r="U146" s="638"/>
      <c r="V146" s="638"/>
      <c r="W146" s="638">
        <v>1.4</v>
      </c>
      <c r="X146" s="638"/>
      <c r="Y146" s="638"/>
      <c r="Z146" s="638"/>
      <c r="AA146" s="638"/>
      <c r="AB146" s="638"/>
      <c r="AC146" s="638" t="s">
        <v>3050</v>
      </c>
      <c r="AD146" s="638"/>
      <c r="AE146" s="638"/>
      <c r="AF146" s="638">
        <v>100</v>
      </c>
      <c r="AG146" s="446">
        <v>95346.69</v>
      </c>
      <c r="AH146" s="638">
        <v>1593</v>
      </c>
      <c r="AI146" s="638">
        <v>-5310</v>
      </c>
      <c r="AJ146" s="638"/>
      <c r="AK146" s="638" t="s">
        <v>139</v>
      </c>
      <c r="AL146" s="638"/>
      <c r="AM146" s="638"/>
      <c r="AN146" s="484">
        <v>5.5</v>
      </c>
      <c r="AO146" s="484"/>
      <c r="AP146" s="484"/>
      <c r="AQ146" s="484"/>
      <c r="AR146" s="484"/>
      <c r="AS146" s="484"/>
      <c r="AT146" s="484">
        <f>+ab($T$146,$T$144,$T$148,$G$145,$G$147,-1*$F$146,1200)</f>
        <v>-3.8822310859815832</v>
      </c>
      <c r="AU146" s="484"/>
      <c r="AV146" s="484"/>
      <c r="AW146" s="638"/>
      <c r="AX146" s="572"/>
      <c r="AY146" s="636"/>
      <c r="AZ146" s="484"/>
      <c r="BA146" s="671"/>
      <c r="BB146" s="449"/>
      <c r="BD146" s="1330"/>
      <c r="BE146" s="1329" t="s">
        <v>4946</v>
      </c>
      <c r="BF146" s="1330"/>
      <c r="BG146" s="1329">
        <v>43786</v>
      </c>
    </row>
    <row r="147" spans="1:59" ht="12.5">
      <c r="A147" s="449"/>
      <c r="B147" s="445"/>
      <c r="C147" s="446"/>
      <c r="D147" s="446"/>
      <c r="E147" s="638"/>
      <c r="F147" s="447"/>
      <c r="G147" s="484">
        <v>39.700000000000003</v>
      </c>
      <c r="H147" s="1239"/>
      <c r="I147" s="448"/>
      <c r="J147" s="446"/>
      <c r="K147" s="638"/>
      <c r="L147" s="638"/>
      <c r="M147" s="638"/>
      <c r="N147" s="1239"/>
      <c r="O147" s="638"/>
      <c r="P147" s="638"/>
      <c r="Q147" s="638"/>
      <c r="R147" s="638"/>
      <c r="S147" s="484">
        <f>+AG148-AG146</f>
        <v>39.639999999999418</v>
      </c>
      <c r="T147" s="638"/>
      <c r="U147" s="638"/>
      <c r="V147" s="638"/>
      <c r="W147" s="638"/>
      <c r="X147" s="638"/>
      <c r="Y147" s="638"/>
      <c r="Z147" s="638"/>
      <c r="AA147" s="638"/>
      <c r="AB147" s="638"/>
      <c r="AC147" s="638"/>
      <c r="AD147" s="638"/>
      <c r="AE147" s="638"/>
      <c r="AF147" s="638"/>
      <c r="AG147" s="446"/>
      <c r="AH147" s="638"/>
      <c r="AI147" s="638"/>
      <c r="AJ147" s="638"/>
      <c r="AK147" s="638"/>
      <c r="AL147" s="638"/>
      <c r="AM147" s="638"/>
      <c r="AN147" s="484"/>
      <c r="AO147" s="484"/>
      <c r="AP147" s="484"/>
      <c r="AQ147" s="484">
        <f>+FL_2($T$148,$T$146,$G$147,1200,9.28,-1*$F$148)</f>
        <v>-0.3</v>
      </c>
      <c r="AR147" s="484"/>
      <c r="AS147" s="484"/>
      <c r="AT147" s="484"/>
      <c r="AU147" s="484"/>
      <c r="AV147" s="484"/>
      <c r="AW147" s="638"/>
      <c r="AX147" s="638"/>
      <c r="AY147" s="484"/>
      <c r="AZ147" s="484"/>
      <c r="BA147" s="671"/>
      <c r="BB147" s="449"/>
      <c r="BD147" s="1330"/>
      <c r="BE147" s="1330"/>
      <c r="BF147" s="1330"/>
      <c r="BG147" s="1330"/>
    </row>
    <row r="148" spans="1:59" ht="12.5">
      <c r="A148" s="449"/>
      <c r="B148" s="485" t="s">
        <v>1997</v>
      </c>
      <c r="C148" s="446">
        <f>+$C$146+$G$147</f>
        <v>95386.450000000026</v>
      </c>
      <c r="D148" s="446"/>
      <c r="E148" s="638"/>
      <c r="F148" s="447">
        <v>754.77</v>
      </c>
      <c r="G148" s="484"/>
      <c r="H148" s="1239"/>
      <c r="I148" s="172"/>
      <c r="J148" s="446"/>
      <c r="K148" s="638"/>
      <c r="L148" s="638"/>
      <c r="M148" s="638"/>
      <c r="N148" s="1239" t="s">
        <v>2789</v>
      </c>
      <c r="O148" s="638"/>
      <c r="P148" s="638"/>
      <c r="Q148" s="638">
        <v>60</v>
      </c>
      <c r="R148" s="638">
        <v>750</v>
      </c>
      <c r="S148" s="484"/>
      <c r="T148" s="638">
        <v>-30</v>
      </c>
      <c r="U148" s="638"/>
      <c r="V148" s="638"/>
      <c r="W148" s="638">
        <v>1.4</v>
      </c>
      <c r="X148" s="638"/>
      <c r="Y148" s="638"/>
      <c r="Z148" s="638"/>
      <c r="AA148" s="638"/>
      <c r="AB148" s="638"/>
      <c r="AC148" s="638" t="s">
        <v>3050</v>
      </c>
      <c r="AD148" s="638"/>
      <c r="AE148" s="638"/>
      <c r="AF148" s="638">
        <v>100</v>
      </c>
      <c r="AG148" s="446">
        <v>95386.33</v>
      </c>
      <c r="AH148" s="638">
        <v>1863</v>
      </c>
      <c r="AI148" s="638">
        <v>-5400</v>
      </c>
      <c r="AJ148" s="638"/>
      <c r="AK148" s="638" t="s">
        <v>139</v>
      </c>
      <c r="AL148" s="638"/>
      <c r="AM148" s="638"/>
      <c r="AN148" s="484">
        <v>5.44</v>
      </c>
      <c r="AO148" s="484"/>
      <c r="AP148" s="484"/>
      <c r="AQ148" s="484"/>
      <c r="AR148" s="484"/>
      <c r="AS148" s="484"/>
      <c r="AT148" s="484">
        <f>+ab($T$148,$T$146,$T$150,$G$147,$G$149,-1*$F$148,1200)</f>
        <v>-3.6387435189419901</v>
      </c>
      <c r="AU148" s="484"/>
      <c r="AV148" s="484"/>
      <c r="AW148" s="574"/>
      <c r="AX148" s="574"/>
      <c r="AY148" s="576"/>
      <c r="AZ148" s="576"/>
      <c r="BA148" s="671"/>
      <c r="BB148" s="449"/>
      <c r="BD148" s="1330"/>
      <c r="BE148" s="1329" t="s">
        <v>4946</v>
      </c>
      <c r="BF148" s="1330"/>
      <c r="BG148" s="1329">
        <v>43786</v>
      </c>
    </row>
    <row r="149" spans="1:59" ht="12.5">
      <c r="A149" s="449"/>
      <c r="B149" s="445"/>
      <c r="C149" s="446"/>
      <c r="D149" s="446"/>
      <c r="E149" s="638"/>
      <c r="F149" s="447"/>
      <c r="G149" s="484">
        <v>39.799999999999997</v>
      </c>
      <c r="H149" s="638"/>
      <c r="I149" s="1239"/>
      <c r="J149" s="446"/>
      <c r="K149" s="638"/>
      <c r="L149" s="638"/>
      <c r="M149" s="638"/>
      <c r="N149" s="1239"/>
      <c r="O149" s="638"/>
      <c r="P149" s="638"/>
      <c r="Q149" s="638"/>
      <c r="R149" s="638"/>
      <c r="S149" s="484">
        <f>+AG150-AG148</f>
        <v>39.669999999998254</v>
      </c>
      <c r="T149" s="638"/>
      <c r="U149" s="638"/>
      <c r="V149" s="638"/>
      <c r="W149" s="638"/>
      <c r="X149" s="638"/>
      <c r="Y149" s="638"/>
      <c r="Z149" s="638"/>
      <c r="AA149" s="638"/>
      <c r="AB149" s="638"/>
      <c r="AC149" s="638"/>
      <c r="AD149" s="638"/>
      <c r="AE149" s="638"/>
      <c r="AF149" s="638"/>
      <c r="AG149" s="446"/>
      <c r="AH149" s="638"/>
      <c r="AI149" s="638"/>
      <c r="AJ149" s="638"/>
      <c r="AK149" s="638"/>
      <c r="AL149" s="638"/>
      <c r="AM149" s="638"/>
      <c r="AN149" s="484"/>
      <c r="AO149" s="484"/>
      <c r="AP149" s="484"/>
      <c r="AQ149" s="484">
        <f>+FL_2($T$150,$T$148,$G$149,1200,9.28,-1*$F$150)</f>
        <v>-0.3</v>
      </c>
      <c r="AR149" s="484"/>
      <c r="AS149" s="484"/>
      <c r="AT149" s="484"/>
      <c r="AU149" s="484"/>
      <c r="AV149" s="484"/>
      <c r="AW149" s="638"/>
      <c r="AX149" s="638"/>
      <c r="AY149" s="484"/>
      <c r="AZ149" s="484"/>
      <c r="BA149" s="671"/>
      <c r="BB149" s="449"/>
      <c r="BD149" s="1330"/>
      <c r="BE149" s="1330"/>
      <c r="BF149" s="1330"/>
      <c r="BG149" s="1330"/>
    </row>
    <row r="150" spans="1:59" ht="12.5">
      <c r="A150" s="449"/>
      <c r="B150" s="485" t="s">
        <v>1998</v>
      </c>
      <c r="C150" s="446">
        <f>+$C$148+$G$149</f>
        <v>95426.250000000029</v>
      </c>
      <c r="D150" s="446"/>
      <c r="E150" s="638"/>
      <c r="F150" s="447">
        <v>754.77</v>
      </c>
      <c r="G150" s="484"/>
      <c r="H150" s="638"/>
      <c r="I150" s="638"/>
      <c r="J150" s="446"/>
      <c r="K150" s="638"/>
      <c r="L150" s="638"/>
      <c r="M150" s="638"/>
      <c r="N150" s="1239" t="s">
        <v>2794</v>
      </c>
      <c r="O150" s="638"/>
      <c r="P150" s="638"/>
      <c r="Q150" s="638">
        <v>60</v>
      </c>
      <c r="R150" s="638">
        <v>766.09</v>
      </c>
      <c r="S150" s="484"/>
      <c r="T150" s="638">
        <v>-30</v>
      </c>
      <c r="U150" s="638"/>
      <c r="V150" s="638"/>
      <c r="W150" s="638">
        <v>1.4</v>
      </c>
      <c r="X150" s="638"/>
      <c r="Y150" s="638"/>
      <c r="Z150" s="638"/>
      <c r="AA150" s="638"/>
      <c r="AB150" s="638"/>
      <c r="AC150" s="638" t="s">
        <v>3050</v>
      </c>
      <c r="AD150" s="638"/>
      <c r="AE150" s="638"/>
      <c r="AF150" s="638">
        <v>100</v>
      </c>
      <c r="AG150" s="446">
        <v>95426</v>
      </c>
      <c r="AH150" s="638">
        <v>1623</v>
      </c>
      <c r="AI150" s="638">
        <v>-5150</v>
      </c>
      <c r="AJ150" s="638"/>
      <c r="AK150" s="638" t="s">
        <v>139</v>
      </c>
      <c r="AL150" s="638"/>
      <c r="AM150" s="638"/>
      <c r="AN150" s="484">
        <v>5.33</v>
      </c>
      <c r="AO150" s="484"/>
      <c r="AP150" s="484"/>
      <c r="AQ150" s="484"/>
      <c r="AR150" s="484"/>
      <c r="AS150" s="484"/>
      <c r="AT150" s="484">
        <f>+ab($T$150,$T$148,$T$152,$G$149,$G$151,-1*$F$150,1200)</f>
        <v>-3.78103319528139</v>
      </c>
      <c r="AU150" s="484"/>
      <c r="AV150" s="484"/>
      <c r="AW150" s="574"/>
      <c r="AX150" s="574"/>
      <c r="AY150" s="576"/>
      <c r="AZ150" s="576"/>
      <c r="BA150" s="671"/>
      <c r="BB150" s="449"/>
      <c r="BD150" s="1330"/>
      <c r="BE150" s="1329" t="s">
        <v>4946</v>
      </c>
      <c r="BF150" s="1330"/>
      <c r="BG150" s="1329">
        <v>43814</v>
      </c>
    </row>
    <row r="151" spans="1:59" ht="12.5">
      <c r="A151" s="449"/>
      <c r="B151" s="445"/>
      <c r="C151" s="446"/>
      <c r="D151" s="446"/>
      <c r="E151" s="638"/>
      <c r="F151" s="447"/>
      <c r="G151" s="484">
        <v>36.700000000000003</v>
      </c>
      <c r="H151" s="638"/>
      <c r="I151" s="1239"/>
      <c r="J151" s="446"/>
      <c r="K151" s="638"/>
      <c r="L151" s="638"/>
      <c r="M151" s="638"/>
      <c r="N151" s="1239"/>
      <c r="O151" s="638"/>
      <c r="P151" s="638"/>
      <c r="Q151" s="638"/>
      <c r="R151" s="638"/>
      <c r="S151" s="484">
        <f>+AG152-AG150</f>
        <v>37</v>
      </c>
      <c r="T151" s="638"/>
      <c r="U151" s="638"/>
      <c r="V151" s="638"/>
      <c r="W151" s="638"/>
      <c r="X151" s="638"/>
      <c r="Y151" s="638"/>
      <c r="Z151" s="638"/>
      <c r="AA151" s="638"/>
      <c r="AB151" s="638"/>
      <c r="AC151" s="638"/>
      <c r="AD151" s="638"/>
      <c r="AE151" s="638"/>
      <c r="AF151" s="638"/>
      <c r="AG151" s="446"/>
      <c r="AH151" s="638"/>
      <c r="AI151" s="638"/>
      <c r="AJ151" s="638"/>
      <c r="AK151" s="638"/>
      <c r="AL151" s="638"/>
      <c r="AM151" s="638"/>
      <c r="AN151" s="484"/>
      <c r="AO151" s="484"/>
      <c r="AP151" s="484"/>
      <c r="AQ151" s="484">
        <f>+FL_2($T$152,$T$150,$G$151,1200,9.28,-1*$F$152)</f>
        <v>-0.30000000000000004</v>
      </c>
      <c r="AR151" s="484"/>
      <c r="AS151" s="484"/>
      <c r="AT151" s="484"/>
      <c r="AU151" s="484"/>
      <c r="AV151" s="484"/>
      <c r="AW151" s="638"/>
      <c r="AX151" s="638"/>
      <c r="AY151" s="484"/>
      <c r="AZ151" s="484"/>
      <c r="BA151" s="671"/>
      <c r="BB151" s="449"/>
      <c r="BD151" s="1330"/>
      <c r="BE151" s="1330"/>
      <c r="BF151" s="1330"/>
      <c r="BG151" s="1330"/>
    </row>
    <row r="152" spans="1:59" ht="12.5">
      <c r="A152" s="449"/>
      <c r="B152" s="436" t="s">
        <v>1999</v>
      </c>
      <c r="C152" s="446">
        <f>+$C$150+$G$151</f>
        <v>95462.950000000026</v>
      </c>
      <c r="D152" s="446"/>
      <c r="E152" s="638"/>
      <c r="F152" s="447">
        <v>754.77</v>
      </c>
      <c r="G152" s="484"/>
      <c r="H152" s="1239"/>
      <c r="I152" s="448"/>
      <c r="J152" s="171"/>
      <c r="K152" s="638"/>
      <c r="L152" s="638"/>
      <c r="M152" s="638"/>
      <c r="N152" s="1239" t="s">
        <v>2794</v>
      </c>
      <c r="O152" s="638"/>
      <c r="P152" s="638"/>
      <c r="Q152" s="638">
        <v>60</v>
      </c>
      <c r="R152" s="638">
        <v>766.09</v>
      </c>
      <c r="S152" s="484"/>
      <c r="T152" s="638">
        <v>-30</v>
      </c>
      <c r="U152" s="638"/>
      <c r="V152" s="638"/>
      <c r="W152" s="638">
        <v>1.4</v>
      </c>
      <c r="X152" s="638"/>
      <c r="Y152" s="638"/>
      <c r="Z152" s="638"/>
      <c r="AA152" s="638"/>
      <c r="AB152" s="638"/>
      <c r="AC152" s="638" t="s">
        <v>3050</v>
      </c>
      <c r="AD152" s="638"/>
      <c r="AE152" s="638"/>
      <c r="AF152" s="638">
        <v>100</v>
      </c>
      <c r="AG152" s="446">
        <v>95463</v>
      </c>
      <c r="AH152" s="638">
        <v>1943</v>
      </c>
      <c r="AI152" s="638">
        <v>-4820</v>
      </c>
      <c r="AJ152" s="638"/>
      <c r="AK152" s="638" t="s">
        <v>139</v>
      </c>
      <c r="AL152" s="638"/>
      <c r="AM152" s="638"/>
      <c r="AN152" s="484">
        <v>5.22</v>
      </c>
      <c r="AO152" s="484"/>
      <c r="AP152" s="484"/>
      <c r="AQ152" s="484"/>
      <c r="AR152" s="484"/>
      <c r="AS152" s="484"/>
      <c r="AT152" s="484">
        <f>+ab($T$152,$T$150,$T$154,$G$151,$G$153,-1*$F$152,1200)</f>
        <v>-3.5496803743078873</v>
      </c>
      <c r="AU152" s="484"/>
      <c r="AV152" s="484"/>
      <c r="AW152" s="574"/>
      <c r="AX152" s="574"/>
      <c r="AY152" s="576"/>
      <c r="AZ152" s="576"/>
      <c r="BA152" s="671"/>
      <c r="BB152" s="449"/>
      <c r="BD152" s="1330"/>
      <c r="BE152" s="1329" t="s">
        <v>4946</v>
      </c>
      <c r="BF152" s="1330"/>
      <c r="BG152" s="1329">
        <v>43814</v>
      </c>
    </row>
    <row r="153" spans="1:59" ht="12.5">
      <c r="A153" s="449"/>
      <c r="B153" s="170"/>
      <c r="C153" s="446"/>
      <c r="D153" s="446"/>
      <c r="E153" s="638"/>
      <c r="F153" s="447"/>
      <c r="G153" s="484">
        <v>44.8</v>
      </c>
      <c r="H153" s="1239"/>
      <c r="I153" s="1239"/>
      <c r="J153" s="171"/>
      <c r="K153" s="638"/>
      <c r="L153" s="638"/>
      <c r="M153" s="638"/>
      <c r="N153" s="1239"/>
      <c r="O153" s="1239"/>
      <c r="P153" s="1239"/>
      <c r="Q153" s="638"/>
      <c r="R153" s="638"/>
      <c r="S153" s="484">
        <f>+AG154-AG152</f>
        <v>43.679999999993015</v>
      </c>
      <c r="T153" s="638"/>
      <c r="U153" s="638"/>
      <c r="V153" s="638"/>
      <c r="W153" s="638"/>
      <c r="X153" s="638"/>
      <c r="Y153" s="638"/>
      <c r="Z153" s="638"/>
      <c r="AA153" s="638"/>
      <c r="AB153" s="638"/>
      <c r="AC153" s="638"/>
      <c r="AD153" s="638"/>
      <c r="AE153" s="638"/>
      <c r="AF153" s="638"/>
      <c r="AG153" s="446"/>
      <c r="AH153" s="638"/>
      <c r="AI153" s="638"/>
      <c r="AJ153" s="638"/>
      <c r="AK153" s="638"/>
      <c r="AL153" s="638"/>
      <c r="AM153" s="638"/>
      <c r="AN153" s="484"/>
      <c r="AO153" s="484"/>
      <c r="AP153" s="484"/>
      <c r="AQ153" s="484">
        <f>+FL_2($T$154,$T$152,$G$153,1200,9.28,-1*$F$154)</f>
        <v>-0.30012358000498451</v>
      </c>
      <c r="AR153" s="484"/>
      <c r="AS153" s="484"/>
      <c r="AT153" s="484"/>
      <c r="AU153" s="484"/>
      <c r="AV153" s="484"/>
      <c r="AW153" s="638"/>
      <c r="AX153" s="638"/>
      <c r="AY153" s="484"/>
      <c r="AZ153" s="484"/>
      <c r="BA153" s="671"/>
      <c r="BB153" s="449"/>
      <c r="BD153" s="1330"/>
      <c r="BE153" s="1330"/>
      <c r="BF153" s="1330"/>
      <c r="BG153" s="1330"/>
    </row>
    <row r="154" spans="1:59" ht="12.5">
      <c r="A154" s="449"/>
      <c r="B154" s="436" t="s">
        <v>2000</v>
      </c>
      <c r="C154" s="446">
        <f>+$C$152+$G$153</f>
        <v>95507.750000000029</v>
      </c>
      <c r="D154" s="446"/>
      <c r="E154" s="638"/>
      <c r="F154" s="447">
        <v>754.77</v>
      </c>
      <c r="G154" s="484"/>
      <c r="H154" s="1239"/>
      <c r="I154" s="172"/>
      <c r="J154" s="171"/>
      <c r="K154" s="638"/>
      <c r="L154" s="638"/>
      <c r="M154" s="638"/>
      <c r="N154" s="1239" t="s">
        <v>2789</v>
      </c>
      <c r="O154" s="638"/>
      <c r="P154" s="638"/>
      <c r="Q154" s="638">
        <v>50</v>
      </c>
      <c r="R154" s="638">
        <v>882.89</v>
      </c>
      <c r="S154" s="484"/>
      <c r="T154" s="638">
        <v>-30</v>
      </c>
      <c r="U154" s="638"/>
      <c r="V154" s="638"/>
      <c r="W154" s="638">
        <v>1</v>
      </c>
      <c r="X154" s="638"/>
      <c r="Y154" s="638"/>
      <c r="Z154" s="638"/>
      <c r="AA154" s="638"/>
      <c r="AB154" s="638"/>
      <c r="AC154" s="638" t="s">
        <v>3050</v>
      </c>
      <c r="AD154" s="638"/>
      <c r="AE154" s="638"/>
      <c r="AF154" s="638">
        <v>100</v>
      </c>
      <c r="AG154" s="446">
        <v>95506.68</v>
      </c>
      <c r="AH154" s="638">
        <v>1973</v>
      </c>
      <c r="AI154" s="638">
        <v>-4890</v>
      </c>
      <c r="AJ154" s="638"/>
      <c r="AK154" s="638" t="s">
        <v>139</v>
      </c>
      <c r="AL154" s="638"/>
      <c r="AM154" s="638"/>
      <c r="AN154" s="484">
        <v>5.15</v>
      </c>
      <c r="AO154" s="484"/>
      <c r="AP154" s="484"/>
      <c r="AQ154" s="484"/>
      <c r="AR154" s="484"/>
      <c r="AS154" s="484"/>
      <c r="AT154" s="484">
        <f>+ab($T$154,$T$152,$T$156,$G$153,$G$155,-1*$F$154,1200)</f>
        <v>-2.4898339847750797</v>
      </c>
      <c r="AU154" s="484"/>
      <c r="AV154" s="484"/>
      <c r="AW154" s="574"/>
      <c r="AX154" s="574"/>
      <c r="AY154" s="576"/>
      <c r="AZ154" s="576"/>
      <c r="BA154" s="671"/>
      <c r="BB154" s="449"/>
      <c r="BD154" s="1330"/>
      <c r="BE154" s="1329" t="s">
        <v>4946</v>
      </c>
      <c r="BF154" s="1330"/>
      <c r="BG154" s="1329">
        <v>43786</v>
      </c>
    </row>
    <row r="155" spans="1:59" ht="12.5">
      <c r="A155" s="488" t="s">
        <v>1851</v>
      </c>
      <c r="B155" s="443"/>
      <c r="C155" s="489"/>
      <c r="D155" s="489"/>
      <c r="E155" s="490"/>
      <c r="F155" s="491"/>
      <c r="G155" s="493">
        <v>55</v>
      </c>
      <c r="H155" s="495"/>
      <c r="I155" s="495"/>
      <c r="J155" s="431"/>
      <c r="K155" s="490"/>
      <c r="L155" s="490"/>
      <c r="M155" s="490"/>
      <c r="N155" s="495"/>
      <c r="O155" s="495"/>
      <c r="P155" s="495"/>
      <c r="Q155" s="490"/>
      <c r="R155" s="490"/>
      <c r="S155" s="493">
        <f>+AG156-AG154</f>
        <v>56.120000000009895</v>
      </c>
      <c r="T155" s="490"/>
      <c r="U155" s="490"/>
      <c r="V155" s="490"/>
      <c r="W155" s="490"/>
      <c r="X155" s="490"/>
      <c r="Y155" s="490"/>
      <c r="Z155" s="490"/>
      <c r="AA155" s="490"/>
      <c r="AB155" s="490"/>
      <c r="AC155" s="490"/>
      <c r="AD155" s="490"/>
      <c r="AE155" s="490"/>
      <c r="AF155" s="490"/>
      <c r="AG155" s="489"/>
      <c r="AH155" s="490"/>
      <c r="AI155" s="490"/>
      <c r="AJ155" s="490"/>
      <c r="AK155" s="490"/>
      <c r="AL155" s="490"/>
      <c r="AM155" s="490"/>
      <c r="AN155" s="493"/>
      <c r="AO155" s="493"/>
      <c r="AP155" s="493"/>
      <c r="AQ155" s="493">
        <f>+FL_2($T$156,$T$154,$G$155,1200,9.28,-1*$F$156)</f>
        <v>-0.36936166072727272</v>
      </c>
      <c r="AR155" s="493"/>
      <c r="AS155" s="493"/>
      <c r="AT155" s="493"/>
      <c r="AU155" s="493"/>
      <c r="AV155" s="493"/>
      <c r="AW155" s="490"/>
      <c r="AX155" s="490"/>
      <c r="AY155" s="493"/>
      <c r="AZ155" s="493"/>
      <c r="BA155" s="602"/>
      <c r="BB155" s="488"/>
      <c r="BD155" s="1330"/>
      <c r="BE155" s="1330"/>
      <c r="BF155" s="1330"/>
      <c r="BG155" s="1330"/>
    </row>
    <row r="156" spans="1:59" ht="12.5">
      <c r="A156" s="449"/>
      <c r="B156" s="436" t="s">
        <v>2001</v>
      </c>
      <c r="C156" s="446">
        <f>+$C$154+$G$155</f>
        <v>95562.750000000029</v>
      </c>
      <c r="D156" s="446"/>
      <c r="E156" s="638"/>
      <c r="F156" s="447">
        <v>0</v>
      </c>
      <c r="G156" s="484"/>
      <c r="H156" s="1239"/>
      <c r="I156" s="1239"/>
      <c r="J156" s="171"/>
      <c r="K156" s="638"/>
      <c r="L156" s="638"/>
      <c r="M156" s="638"/>
      <c r="N156" s="1239" t="s">
        <v>144</v>
      </c>
      <c r="O156" s="1239"/>
      <c r="P156" s="1239"/>
      <c r="Q156" s="638">
        <v>0</v>
      </c>
      <c r="R156" s="638">
        <v>0</v>
      </c>
      <c r="S156" s="484"/>
      <c r="T156" s="638">
        <v>30</v>
      </c>
      <c r="U156" s="638"/>
      <c r="V156" s="638"/>
      <c r="W156" s="638">
        <v>1</v>
      </c>
      <c r="X156" s="638"/>
      <c r="Y156" s="638"/>
      <c r="Z156" s="638"/>
      <c r="AA156" s="638"/>
      <c r="AB156" s="638"/>
      <c r="AC156" s="638" t="s">
        <v>1421</v>
      </c>
      <c r="AD156" s="638"/>
      <c r="AE156" s="638"/>
      <c r="AF156" s="638">
        <v>200</v>
      </c>
      <c r="AG156" s="446">
        <v>95562.8</v>
      </c>
      <c r="AH156" s="638">
        <v>1873</v>
      </c>
      <c r="AI156" s="638">
        <v>-4980</v>
      </c>
      <c r="AJ156" s="638"/>
      <c r="AK156" s="638" t="s">
        <v>139</v>
      </c>
      <c r="AL156" s="638"/>
      <c r="AM156" s="638"/>
      <c r="AN156" s="484">
        <v>5.15</v>
      </c>
      <c r="AO156" s="484"/>
      <c r="AP156" s="484"/>
      <c r="AQ156" s="484"/>
      <c r="AR156" s="484"/>
      <c r="AS156" s="484"/>
      <c r="AT156" s="484">
        <f>+ab($T$156,$T$154,$T$158,$G$155,$G$157,-1*$F$156,1200)</f>
        <v>9.4498885725235535</v>
      </c>
      <c r="AU156" s="484"/>
      <c r="AV156" s="484"/>
      <c r="AW156" s="574"/>
      <c r="AX156" s="574"/>
      <c r="AY156" s="576"/>
      <c r="AZ156" s="576"/>
      <c r="BA156" s="671"/>
      <c r="BB156" s="449"/>
      <c r="BD156" s="1330"/>
      <c r="BE156" s="1329">
        <v>43816</v>
      </c>
      <c r="BF156" s="1330"/>
      <c r="BG156" s="1329">
        <v>43839</v>
      </c>
    </row>
    <row r="157" spans="1:59" ht="12.5">
      <c r="A157" s="449"/>
      <c r="B157" s="170"/>
      <c r="C157" s="446"/>
      <c r="D157" s="446"/>
      <c r="E157" s="638"/>
      <c r="F157" s="447"/>
      <c r="G157" s="484">
        <v>59.7</v>
      </c>
      <c r="H157" s="1239"/>
      <c r="I157" s="1239"/>
      <c r="J157" s="171"/>
      <c r="K157" s="638"/>
      <c r="L157" s="638"/>
      <c r="M157" s="638"/>
      <c r="N157" s="1239"/>
      <c r="O157" s="1239"/>
      <c r="P157" s="1239"/>
      <c r="Q157" s="638"/>
      <c r="R157" s="638"/>
      <c r="S157" s="484">
        <f>+AG158-AG156</f>
        <v>61.55000000000291</v>
      </c>
      <c r="T157" s="638"/>
      <c r="U157" s="638"/>
      <c r="V157" s="638"/>
      <c r="W157" s="638"/>
      <c r="X157" s="638"/>
      <c r="Y157" s="638"/>
      <c r="Z157" s="638"/>
      <c r="AA157" s="638"/>
      <c r="AB157" s="638"/>
      <c r="AC157" s="638"/>
      <c r="AD157" s="638"/>
      <c r="AE157" s="638"/>
      <c r="AF157" s="638"/>
      <c r="AG157" s="446"/>
      <c r="AH157" s="638"/>
      <c r="AI157" s="638"/>
      <c r="AJ157" s="638"/>
      <c r="AK157" s="638"/>
      <c r="AL157" s="638"/>
      <c r="AM157" s="638"/>
      <c r="AN157" s="484"/>
      <c r="AO157" s="484"/>
      <c r="AP157" s="484"/>
      <c r="AQ157" s="484">
        <f>+FL_1($T$158,$T$156,$G$157,1200,9.28,-1*$F$158)</f>
        <v>0.42440438609045222</v>
      </c>
      <c r="AR157" s="484"/>
      <c r="AS157" s="484"/>
      <c r="AT157" s="484"/>
      <c r="AU157" s="484"/>
      <c r="AV157" s="484"/>
      <c r="AW157" s="638"/>
      <c r="AX157" s="572"/>
      <c r="AY157" s="484"/>
      <c r="AZ157" s="689"/>
      <c r="BA157" s="671"/>
      <c r="BB157" s="449"/>
      <c r="BD157" s="1330"/>
      <c r="BE157" s="1330"/>
      <c r="BF157" s="1330"/>
      <c r="BG157" s="1330"/>
    </row>
    <row r="158" spans="1:59" ht="12.5">
      <c r="A158" s="449"/>
      <c r="B158" s="436" t="s">
        <v>2002</v>
      </c>
      <c r="C158" s="446">
        <f>+$C$156+$G$157</f>
        <v>95622.450000000026</v>
      </c>
      <c r="D158" s="446"/>
      <c r="E158" s="638"/>
      <c r="F158" s="447">
        <v>0</v>
      </c>
      <c r="G158" s="484"/>
      <c r="H158" s="1239"/>
      <c r="I158" s="1239"/>
      <c r="J158" s="171"/>
      <c r="K158" s="638"/>
      <c r="L158" s="638"/>
      <c r="M158" s="638"/>
      <c r="N158" s="1239" t="s">
        <v>2789</v>
      </c>
      <c r="O158" s="1239"/>
      <c r="P158" s="1239"/>
      <c r="Q158" s="638">
        <v>0</v>
      </c>
      <c r="R158" s="638">
        <v>0</v>
      </c>
      <c r="S158" s="484"/>
      <c r="T158" s="638">
        <v>-25</v>
      </c>
      <c r="U158" s="638"/>
      <c r="V158" s="638"/>
      <c r="W158" s="638">
        <v>1.4</v>
      </c>
      <c r="X158" s="638"/>
      <c r="Y158" s="638"/>
      <c r="Z158" s="638"/>
      <c r="AA158" s="638"/>
      <c r="AB158" s="638"/>
      <c r="AC158" s="638" t="s">
        <v>1421</v>
      </c>
      <c r="AD158" s="638"/>
      <c r="AE158" s="638"/>
      <c r="AF158" s="638">
        <v>100</v>
      </c>
      <c r="AG158" s="446">
        <v>95624.35</v>
      </c>
      <c r="AH158" s="638">
        <v>1673</v>
      </c>
      <c r="AI158" s="638">
        <v>-5150</v>
      </c>
      <c r="AJ158" s="638"/>
      <c r="AK158" s="638" t="s">
        <v>139</v>
      </c>
      <c r="AL158" s="638"/>
      <c r="AM158" s="638"/>
      <c r="AN158" s="484">
        <v>5.24</v>
      </c>
      <c r="AO158" s="484"/>
      <c r="AP158" s="484"/>
      <c r="AQ158" s="484"/>
      <c r="AR158" s="484"/>
      <c r="AS158" s="484"/>
      <c r="AT158" s="484">
        <f>+ab($T$158,$T$156,$U$160,$G$157,$G$159,-1*$F$158,1200)</f>
        <v>-9.3066739496126925</v>
      </c>
      <c r="AU158" s="484"/>
      <c r="AV158" s="484"/>
      <c r="AW158" s="638"/>
      <c r="AX158" s="572"/>
      <c r="AY158" s="636"/>
      <c r="AZ158" s="484"/>
      <c r="BA158" s="671"/>
      <c r="BB158" s="449"/>
      <c r="BD158" s="1330"/>
      <c r="BE158" s="1329" t="s">
        <v>4946</v>
      </c>
      <c r="BF158" s="1330"/>
      <c r="BG158" s="1329">
        <v>43786</v>
      </c>
    </row>
    <row r="159" spans="1:59" ht="12.5">
      <c r="A159" s="449"/>
      <c r="B159" s="170"/>
      <c r="C159" s="446"/>
      <c r="D159" s="446"/>
      <c r="E159" s="638"/>
      <c r="F159" s="447"/>
      <c r="G159" s="484">
        <v>49</v>
      </c>
      <c r="H159" s="1239"/>
      <c r="I159" s="1239"/>
      <c r="J159" s="171"/>
      <c r="K159" s="638"/>
      <c r="L159" s="638"/>
      <c r="M159" s="638"/>
      <c r="N159" s="1239"/>
      <c r="O159" s="1239"/>
      <c r="P159" s="1239"/>
      <c r="Q159" s="638"/>
      <c r="R159" s="638"/>
      <c r="S159" s="484">
        <f>+AG160-AG158</f>
        <v>47.19999999999709</v>
      </c>
      <c r="T159" s="638"/>
      <c r="U159" s="638"/>
      <c r="V159" s="638"/>
      <c r="W159" s="638"/>
      <c r="X159" s="638"/>
      <c r="Y159" s="638"/>
      <c r="Z159" s="638"/>
      <c r="AA159" s="638"/>
      <c r="AB159" s="638"/>
      <c r="AC159" s="638"/>
      <c r="AD159" s="638"/>
      <c r="AE159" s="638"/>
      <c r="AF159" s="638"/>
      <c r="AG159" s="446"/>
      <c r="AH159" s="638"/>
      <c r="AI159" s="638"/>
      <c r="AJ159" s="638"/>
      <c r="AK159" s="638" t="s">
        <v>4188</v>
      </c>
      <c r="AL159" s="638"/>
      <c r="AM159" s="638"/>
      <c r="AN159" s="484"/>
      <c r="AO159" s="484"/>
      <c r="AP159" s="484"/>
      <c r="AQ159" s="484">
        <f>+FL_2($U$160,$T$158,$G$159,1200,9.28,-1*$F$160)</f>
        <v>-0.4579457853961082</v>
      </c>
      <c r="AR159" s="484"/>
      <c r="AS159" s="484"/>
      <c r="AT159" s="484"/>
      <c r="AU159" s="484"/>
      <c r="AV159" s="484"/>
      <c r="AW159" s="638"/>
      <c r="AX159" s="638"/>
      <c r="AY159" s="484"/>
      <c r="AZ159" s="484"/>
      <c r="BA159" s="671"/>
      <c r="BB159" s="449"/>
      <c r="BD159" s="1330"/>
      <c r="BE159" s="1330"/>
      <c r="BF159" s="1330"/>
      <c r="BG159" s="1330"/>
    </row>
    <row r="160" spans="1:59" ht="12.5">
      <c r="A160" s="449"/>
      <c r="B160" s="436" t="s">
        <v>2003</v>
      </c>
      <c r="C160" s="446">
        <f>+$C$158+$G$159</f>
        <v>95671.450000000026</v>
      </c>
      <c r="D160" s="446"/>
      <c r="E160" s="638"/>
      <c r="F160" s="447">
        <v>-1443.85</v>
      </c>
      <c r="G160" s="484"/>
      <c r="H160" s="1239" t="s">
        <v>619</v>
      </c>
      <c r="I160" s="1239"/>
      <c r="J160" s="171"/>
      <c r="K160" s="638"/>
      <c r="L160" s="638"/>
      <c r="M160" s="638"/>
      <c r="N160" s="1239" t="s">
        <v>140</v>
      </c>
      <c r="O160" s="1239" t="s">
        <v>144</v>
      </c>
      <c r="P160" s="1239"/>
      <c r="Q160" s="638">
        <v>40</v>
      </c>
      <c r="R160" s="638">
        <v>1465.51</v>
      </c>
      <c r="S160" s="484"/>
      <c r="T160" s="638">
        <v>75</v>
      </c>
      <c r="U160" s="638">
        <v>30</v>
      </c>
      <c r="V160" s="638"/>
      <c r="W160" s="638">
        <v>1.4</v>
      </c>
      <c r="X160" s="638">
        <v>2.2999999999999998</v>
      </c>
      <c r="Y160" s="638"/>
      <c r="Z160" s="638">
        <v>0.55000000000000004</v>
      </c>
      <c r="AA160" s="638"/>
      <c r="AB160" s="638"/>
      <c r="AC160" s="638" t="s">
        <v>3050</v>
      </c>
      <c r="AD160" s="638"/>
      <c r="AE160" s="638"/>
      <c r="AF160" s="638">
        <v>200</v>
      </c>
      <c r="AG160" s="446">
        <v>95671.55</v>
      </c>
      <c r="AH160" s="638">
        <v>1803</v>
      </c>
      <c r="AI160" s="638">
        <v>-5160</v>
      </c>
      <c r="AJ160" s="638"/>
      <c r="AK160" s="638" t="s">
        <v>139</v>
      </c>
      <c r="AL160" s="638"/>
      <c r="AM160" s="638"/>
      <c r="AN160" s="484">
        <v>5.34</v>
      </c>
      <c r="AO160" s="484"/>
      <c r="AP160" s="484"/>
      <c r="AQ160" s="484"/>
      <c r="AR160" s="484"/>
      <c r="AS160" s="484"/>
      <c r="AT160" s="484">
        <f>+ab($U$160,$T$158,$T$162,$G$159,$G$161,-1*$F$160,1200)</f>
        <v>3.942675511429961</v>
      </c>
      <c r="AU160" s="484"/>
      <c r="AV160" s="484"/>
      <c r="AW160" s="638"/>
      <c r="AX160" s="572"/>
      <c r="AY160" s="636"/>
      <c r="AZ160" s="484"/>
      <c r="BA160" s="671"/>
      <c r="BB160" s="449"/>
      <c r="BD160" s="1330"/>
      <c r="BE160" s="1329" t="s">
        <v>4946</v>
      </c>
      <c r="BF160" s="1330"/>
      <c r="BG160" s="1329">
        <v>43814</v>
      </c>
    </row>
    <row r="161" spans="1:59" ht="12.5">
      <c r="A161" s="449"/>
      <c r="B161" s="170"/>
      <c r="C161" s="446"/>
      <c r="D161" s="446"/>
      <c r="E161" s="638"/>
      <c r="F161" s="447"/>
      <c r="G161" s="484">
        <v>50.3</v>
      </c>
      <c r="H161" s="1239"/>
      <c r="I161" s="1239"/>
      <c r="J161" s="171"/>
      <c r="K161" s="638"/>
      <c r="L161" s="638"/>
      <c r="M161" s="638"/>
      <c r="N161" s="1239"/>
      <c r="O161" s="1239"/>
      <c r="P161" s="1239"/>
      <c r="Q161" s="638"/>
      <c r="R161" s="638"/>
      <c r="S161" s="484">
        <f>+AG162-AG160</f>
        <v>50.229999999995925</v>
      </c>
      <c r="T161" s="638"/>
      <c r="U161" s="638"/>
      <c r="V161" s="638"/>
      <c r="W161" s="638"/>
      <c r="X161" s="638"/>
      <c r="Y161" s="638"/>
      <c r="Z161" s="638"/>
      <c r="AA161" s="638"/>
      <c r="AB161" s="638"/>
      <c r="AC161" s="638"/>
      <c r="AD161" s="638"/>
      <c r="AE161" s="638"/>
      <c r="AF161" s="638"/>
      <c r="AG161" s="446"/>
      <c r="AH161" s="638"/>
      <c r="AI161" s="638"/>
      <c r="AJ161" s="638"/>
      <c r="AK161" s="638"/>
      <c r="AL161" s="638"/>
      <c r="AM161" s="638"/>
      <c r="AN161" s="484"/>
      <c r="AO161" s="484"/>
      <c r="AP161" s="484"/>
      <c r="AQ161" s="484">
        <f>+FL_2($T$162,$U$160,$G$161,1200,9.28,-1*$F$162)</f>
        <v>-0.44348553952636394</v>
      </c>
      <c r="AR161" s="484"/>
      <c r="AS161" s="484"/>
      <c r="AT161" s="484"/>
      <c r="AU161" s="484"/>
      <c r="AV161" s="484"/>
      <c r="AW161" s="638"/>
      <c r="AX161" s="638"/>
      <c r="AY161" s="484"/>
      <c r="AZ161" s="484"/>
      <c r="BA161" s="671"/>
      <c r="BB161" s="449"/>
      <c r="BD161" s="1330"/>
      <c r="BE161" s="1330"/>
      <c r="BF161" s="1330"/>
      <c r="BG161" s="1330"/>
    </row>
    <row r="162" spans="1:59" ht="12.5">
      <c r="A162" s="449" t="s">
        <v>2955</v>
      </c>
      <c r="B162" s="436" t="s">
        <v>2004</v>
      </c>
      <c r="C162" s="446">
        <f>+$C$160+$G$161</f>
        <v>95721.750000000029</v>
      </c>
      <c r="D162" s="446"/>
      <c r="E162" s="638"/>
      <c r="F162" s="447">
        <v>-750</v>
      </c>
      <c r="G162" s="484"/>
      <c r="H162" s="1239" t="s">
        <v>619</v>
      </c>
      <c r="I162" s="1239" t="s">
        <v>1429</v>
      </c>
      <c r="J162" s="171"/>
      <c r="K162" s="638"/>
      <c r="L162" s="638"/>
      <c r="M162" s="638"/>
      <c r="N162" s="1239" t="s">
        <v>144</v>
      </c>
      <c r="O162" s="1239" t="s">
        <v>140</v>
      </c>
      <c r="P162" s="1239"/>
      <c r="Q162" s="638">
        <v>60</v>
      </c>
      <c r="R162" s="638">
        <v>-750</v>
      </c>
      <c r="S162" s="484"/>
      <c r="T162" s="638">
        <v>15</v>
      </c>
      <c r="U162" s="638">
        <v>-30</v>
      </c>
      <c r="V162" s="638"/>
      <c r="W162" s="638">
        <v>1.4</v>
      </c>
      <c r="X162" s="638">
        <v>2.2999999999999998</v>
      </c>
      <c r="Y162" s="638"/>
      <c r="Z162" s="638"/>
      <c r="AA162" s="638">
        <v>0.35</v>
      </c>
      <c r="AB162" s="638"/>
      <c r="AC162" s="638" t="s">
        <v>4090</v>
      </c>
      <c r="AD162" s="638"/>
      <c r="AE162" s="638"/>
      <c r="AF162" s="638">
        <v>200</v>
      </c>
      <c r="AG162" s="446">
        <v>95721.78</v>
      </c>
      <c r="AH162" s="638">
        <v>1573</v>
      </c>
      <c r="AI162" s="638">
        <v>-5150</v>
      </c>
      <c r="AJ162" s="638" t="s">
        <v>2154</v>
      </c>
      <c r="AK162" s="638" t="s">
        <v>139</v>
      </c>
      <c r="AL162" s="638"/>
      <c r="AM162" s="638"/>
      <c r="AN162" s="484">
        <v>5.44</v>
      </c>
      <c r="AO162" s="484"/>
      <c r="AP162" s="484"/>
      <c r="AQ162" s="484"/>
      <c r="AR162" s="484"/>
      <c r="AS162" s="484"/>
      <c r="AT162" s="484">
        <f>+ab($T$162,$U$160,$T$164,$G$161,$G$163,-1*$F$162,1200)</f>
        <v>3.4717384345622571</v>
      </c>
      <c r="AU162" s="484"/>
      <c r="AV162" s="484"/>
      <c r="AW162" s="638"/>
      <c r="AX162" s="572"/>
      <c r="AY162" s="636"/>
      <c r="AZ162" s="484"/>
      <c r="BA162" s="671"/>
      <c r="BB162" s="449"/>
      <c r="BD162" s="1330"/>
      <c r="BE162" s="1329" t="s">
        <v>4946</v>
      </c>
      <c r="BF162" s="1330"/>
      <c r="BG162" s="1329">
        <v>43779</v>
      </c>
    </row>
    <row r="163" spans="1:59" ht="12.5">
      <c r="A163" s="449"/>
      <c r="B163" s="170"/>
      <c r="C163" s="446"/>
      <c r="D163" s="446"/>
      <c r="E163" s="638"/>
      <c r="F163" s="447"/>
      <c r="G163" s="484">
        <v>42.3</v>
      </c>
      <c r="H163" s="1239"/>
      <c r="I163" s="1239"/>
      <c r="J163" s="171"/>
      <c r="K163" s="638"/>
      <c r="L163" s="638"/>
      <c r="M163" s="638"/>
      <c r="N163" s="1239"/>
      <c r="O163" s="1239"/>
      <c r="P163" s="1239"/>
      <c r="Q163" s="638"/>
      <c r="R163" s="638"/>
      <c r="S163" s="484">
        <f>+AG164-AG162</f>
        <v>42.44999999999709</v>
      </c>
      <c r="T163" s="638"/>
      <c r="U163" s="638"/>
      <c r="V163" s="638"/>
      <c r="W163" s="638"/>
      <c r="X163" s="638"/>
      <c r="Y163" s="638"/>
      <c r="Z163" s="638"/>
      <c r="AA163" s="638"/>
      <c r="AB163" s="638"/>
      <c r="AC163" s="638"/>
      <c r="AD163" s="638"/>
      <c r="AE163" s="638"/>
      <c r="AF163" s="638"/>
      <c r="AG163" s="446"/>
      <c r="AH163" s="638"/>
      <c r="AI163" s="638"/>
      <c r="AJ163" s="638"/>
      <c r="AK163" s="638" t="s">
        <v>4188</v>
      </c>
      <c r="AL163" s="638"/>
      <c r="AM163" s="638"/>
      <c r="AN163" s="484"/>
      <c r="AO163" s="484"/>
      <c r="AP163" s="484"/>
      <c r="AQ163" s="484">
        <f>+FL_1($T$164,$T$162,$G$163,1200,9.28,-1*$F$164)</f>
        <v>0.3</v>
      </c>
      <c r="AR163" s="484"/>
      <c r="AS163" s="484"/>
      <c r="AT163" s="484"/>
      <c r="AU163" s="484"/>
      <c r="AV163" s="484"/>
      <c r="AW163" s="638"/>
      <c r="AX163" s="638"/>
      <c r="AY163" s="484"/>
      <c r="AZ163" s="484"/>
      <c r="BA163" s="671"/>
      <c r="BB163" s="449"/>
      <c r="BD163" s="1330"/>
      <c r="BE163" s="1330"/>
      <c r="BF163" s="1330"/>
      <c r="BG163" s="1330"/>
    </row>
    <row r="164" spans="1:59" ht="12.5">
      <c r="A164" s="449"/>
      <c r="B164" s="436" t="s">
        <v>2005</v>
      </c>
      <c r="C164" s="446">
        <f>+$C$162+$G$163</f>
        <v>95764.050000000032</v>
      </c>
      <c r="D164" s="446"/>
      <c r="E164" s="638"/>
      <c r="F164" s="447">
        <v>-750</v>
      </c>
      <c r="G164" s="484"/>
      <c r="H164" s="1239"/>
      <c r="I164" s="1239"/>
      <c r="J164" s="171"/>
      <c r="K164" s="638"/>
      <c r="L164" s="638"/>
      <c r="M164" s="638"/>
      <c r="N164" s="1239" t="s">
        <v>144</v>
      </c>
      <c r="O164" s="1239"/>
      <c r="P164" s="1239"/>
      <c r="Q164" s="638">
        <v>50</v>
      </c>
      <c r="R164" s="638">
        <v>-750</v>
      </c>
      <c r="S164" s="484"/>
      <c r="T164" s="638">
        <v>30</v>
      </c>
      <c r="U164" s="638"/>
      <c r="V164" s="638"/>
      <c r="W164" s="638">
        <v>1.4</v>
      </c>
      <c r="X164" s="638"/>
      <c r="Y164" s="638"/>
      <c r="Z164" s="638"/>
      <c r="AA164" s="638"/>
      <c r="AB164" s="638"/>
      <c r="AC164" s="638" t="s">
        <v>3050</v>
      </c>
      <c r="AD164" s="638"/>
      <c r="AE164" s="638"/>
      <c r="AF164" s="638">
        <v>200</v>
      </c>
      <c r="AG164" s="446">
        <v>95764.23</v>
      </c>
      <c r="AH164" s="638">
        <v>1923</v>
      </c>
      <c r="AI164" s="638">
        <v>-5520</v>
      </c>
      <c r="AJ164" s="638"/>
      <c r="AK164" s="638" t="s">
        <v>139</v>
      </c>
      <c r="AL164" s="638"/>
      <c r="AM164" s="638"/>
      <c r="AN164" s="484">
        <v>5.5</v>
      </c>
      <c r="AO164" s="484"/>
      <c r="AP164" s="484"/>
      <c r="AQ164" s="484"/>
      <c r="AR164" s="484"/>
      <c r="AS164" s="484"/>
      <c r="AT164" s="484">
        <f>+ab($T$164,$T$162,$T$166,$G$163,$G$165,-1*$F$164,1200)</f>
        <v>3.1977623660875838</v>
      </c>
      <c r="AU164" s="484"/>
      <c r="AV164" s="484"/>
      <c r="AW164" s="638"/>
      <c r="AX164" s="572"/>
      <c r="AY164" s="636"/>
      <c r="AZ164" s="484"/>
      <c r="BA164" s="671"/>
      <c r="BB164" s="449"/>
      <c r="BD164" s="1330"/>
      <c r="BE164" s="1329" t="s">
        <v>4946</v>
      </c>
      <c r="BF164" s="1330"/>
      <c r="BG164" s="1329">
        <v>43779</v>
      </c>
    </row>
    <row r="165" spans="1:59" ht="12.5">
      <c r="A165" s="449"/>
      <c r="B165" s="170"/>
      <c r="C165" s="446"/>
      <c r="D165" s="446"/>
      <c r="E165" s="638"/>
      <c r="F165" s="447"/>
      <c r="G165" s="484">
        <v>42.3</v>
      </c>
      <c r="H165" s="1239"/>
      <c r="I165" s="1239"/>
      <c r="J165" s="171"/>
      <c r="K165" s="638"/>
      <c r="L165" s="638"/>
      <c r="M165" s="638"/>
      <c r="N165" s="1239"/>
      <c r="O165" s="1239"/>
      <c r="P165" s="1239"/>
      <c r="Q165" s="638"/>
      <c r="R165" s="638"/>
      <c r="S165" s="484">
        <f>+AG166-AG164</f>
        <v>41.770000000004075</v>
      </c>
      <c r="T165" s="638"/>
      <c r="U165" s="638"/>
      <c r="V165" s="638"/>
      <c r="W165" s="638"/>
      <c r="X165" s="638"/>
      <c r="Y165" s="638"/>
      <c r="Z165" s="638"/>
      <c r="AA165" s="638"/>
      <c r="AB165" s="638"/>
      <c r="AC165" s="638"/>
      <c r="AD165" s="638"/>
      <c r="AE165" s="638"/>
      <c r="AF165" s="638"/>
      <c r="AG165" s="446"/>
      <c r="AH165" s="638"/>
      <c r="AI165" s="638"/>
      <c r="AJ165" s="638"/>
      <c r="AK165" s="638"/>
      <c r="AL165" s="638"/>
      <c r="AM165" s="638"/>
      <c r="AN165" s="484"/>
      <c r="AO165" s="484"/>
      <c r="AP165" s="484"/>
      <c r="AQ165" s="484">
        <f>+FL_1($T$166,$T$164,$G$165,1200,9.28,-1*$F$166)</f>
        <v>0.3</v>
      </c>
      <c r="AR165" s="484"/>
      <c r="AS165" s="484"/>
      <c r="AT165" s="484"/>
      <c r="AU165" s="484"/>
      <c r="AV165" s="484"/>
      <c r="AW165" s="638"/>
      <c r="AX165" s="572"/>
      <c r="AY165" s="484"/>
      <c r="AZ165" s="689"/>
      <c r="BA165" s="671"/>
      <c r="BB165" s="449"/>
      <c r="BD165" s="1330"/>
      <c r="BE165" s="1330"/>
      <c r="BF165" s="1330"/>
      <c r="BG165" s="1330"/>
    </row>
    <row r="166" spans="1:59" ht="12.5">
      <c r="A166" s="449"/>
      <c r="B166" s="436" t="s">
        <v>2006</v>
      </c>
      <c r="C166" s="446">
        <f>+$C$164+$G$165</f>
        <v>95806.350000000035</v>
      </c>
      <c r="D166" s="446"/>
      <c r="E166" s="638"/>
      <c r="F166" s="447">
        <v>-750</v>
      </c>
      <c r="G166" s="484"/>
      <c r="H166" s="1239"/>
      <c r="I166" s="1239"/>
      <c r="J166" s="171"/>
      <c r="K166" s="638"/>
      <c r="L166" s="638"/>
      <c r="M166" s="638"/>
      <c r="N166" s="1239" t="s">
        <v>144</v>
      </c>
      <c r="O166" s="1239"/>
      <c r="P166" s="1239"/>
      <c r="Q166" s="638">
        <v>50</v>
      </c>
      <c r="R166" s="638">
        <v>-750</v>
      </c>
      <c r="S166" s="484"/>
      <c r="T166" s="638">
        <v>30</v>
      </c>
      <c r="U166" s="638"/>
      <c r="V166" s="638"/>
      <c r="W166" s="638">
        <v>1.4</v>
      </c>
      <c r="X166" s="638"/>
      <c r="Y166" s="638"/>
      <c r="Z166" s="638"/>
      <c r="AA166" s="638"/>
      <c r="AB166" s="638"/>
      <c r="AC166" s="638" t="s">
        <v>3050</v>
      </c>
      <c r="AD166" s="638"/>
      <c r="AE166" s="638"/>
      <c r="AF166" s="638">
        <v>100</v>
      </c>
      <c r="AG166" s="446">
        <v>95806</v>
      </c>
      <c r="AH166" s="638">
        <v>1753</v>
      </c>
      <c r="AI166" s="638">
        <v>-5470</v>
      </c>
      <c r="AJ166" s="638"/>
      <c r="AK166" s="638" t="s">
        <v>139</v>
      </c>
      <c r="AL166" s="638"/>
      <c r="AM166" s="638"/>
      <c r="AN166" s="484">
        <v>5.5</v>
      </c>
      <c r="AO166" s="484"/>
      <c r="AP166" s="484"/>
      <c r="AQ166" s="484"/>
      <c r="AR166" s="484"/>
      <c r="AS166" s="484"/>
      <c r="AT166" s="484">
        <f>+ab($T$166,$T$164,$T$168,$G$165,$G$167,-1*$F$166,1200)</f>
        <v>3.4023737622298431</v>
      </c>
      <c r="AU166" s="484"/>
      <c r="AV166" s="484"/>
      <c r="AW166" s="638"/>
      <c r="AX166" s="572"/>
      <c r="AY166" s="636"/>
      <c r="AZ166" s="484"/>
      <c r="BA166" s="671"/>
      <c r="BB166" s="449"/>
      <c r="BD166" s="1330"/>
      <c r="BE166" s="1329" t="s">
        <v>4946</v>
      </c>
      <c r="BF166" s="1330"/>
      <c r="BG166" s="1329">
        <v>43786</v>
      </c>
    </row>
    <row r="167" spans="1:59" ht="12.5">
      <c r="A167" s="449"/>
      <c r="B167" s="170"/>
      <c r="C167" s="446"/>
      <c r="D167" s="446"/>
      <c r="E167" s="638"/>
      <c r="F167" s="447"/>
      <c r="G167" s="484">
        <v>42.2</v>
      </c>
      <c r="H167" s="1239"/>
      <c r="I167" s="1239"/>
      <c r="J167" s="171"/>
      <c r="K167" s="638"/>
      <c r="L167" s="638"/>
      <c r="M167" s="638"/>
      <c r="N167" s="1239"/>
      <c r="O167" s="1239"/>
      <c r="P167" s="1239"/>
      <c r="Q167" s="638"/>
      <c r="R167" s="638"/>
      <c r="S167" s="484">
        <f>+AG168-AG166</f>
        <v>42</v>
      </c>
      <c r="T167" s="638"/>
      <c r="U167" s="638"/>
      <c r="V167" s="638"/>
      <c r="W167" s="638"/>
      <c r="X167" s="638"/>
      <c r="Y167" s="638"/>
      <c r="Z167" s="638"/>
      <c r="AA167" s="638"/>
      <c r="AB167" s="638"/>
      <c r="AC167" s="638"/>
      <c r="AD167" s="638"/>
      <c r="AE167" s="638"/>
      <c r="AF167" s="638"/>
      <c r="AG167" s="446"/>
      <c r="AH167" s="638"/>
      <c r="AI167" s="638"/>
      <c r="AJ167" s="638"/>
      <c r="AK167" s="638"/>
      <c r="AL167" s="638"/>
      <c r="AM167" s="638"/>
      <c r="AN167" s="484"/>
      <c r="AO167" s="484"/>
      <c r="AP167" s="484"/>
      <c r="AQ167" s="484">
        <f>+FL_1($T$168,$T$166,$G$167,1200,9.28,-1*$F$168)</f>
        <v>0.30000000000000004</v>
      </c>
      <c r="AR167" s="484"/>
      <c r="AS167" s="484"/>
      <c r="AT167" s="484"/>
      <c r="AU167" s="484"/>
      <c r="AV167" s="484"/>
      <c r="AW167" s="638"/>
      <c r="AX167" s="638"/>
      <c r="AY167" s="484"/>
      <c r="AZ167" s="484"/>
      <c r="BA167" s="671"/>
      <c r="BB167" s="449"/>
      <c r="BD167" s="1330"/>
      <c r="BE167" s="1330"/>
      <c r="BF167" s="1330"/>
      <c r="BG167" s="1330"/>
    </row>
    <row r="168" spans="1:59" ht="12.5">
      <c r="A168" s="449"/>
      <c r="B168" s="436" t="s">
        <v>2007</v>
      </c>
      <c r="C168" s="446">
        <f>+$C$166+$G$167</f>
        <v>95848.550000000032</v>
      </c>
      <c r="D168" s="446"/>
      <c r="E168" s="638"/>
      <c r="F168" s="447">
        <v>-750</v>
      </c>
      <c r="G168" s="484"/>
      <c r="H168" s="1239"/>
      <c r="I168" s="1239"/>
      <c r="J168" s="171"/>
      <c r="K168" s="638"/>
      <c r="L168" s="638"/>
      <c r="M168" s="638"/>
      <c r="N168" s="1239" t="s">
        <v>144</v>
      </c>
      <c r="O168" s="1239"/>
      <c r="P168" s="1239"/>
      <c r="Q168" s="638">
        <v>60</v>
      </c>
      <c r="R168" s="638">
        <v>-750</v>
      </c>
      <c r="S168" s="484"/>
      <c r="T168" s="638">
        <v>30</v>
      </c>
      <c r="U168" s="638"/>
      <c r="V168" s="638"/>
      <c r="W168" s="638">
        <v>1.4</v>
      </c>
      <c r="X168" s="638"/>
      <c r="Y168" s="638"/>
      <c r="Z168" s="638"/>
      <c r="AA168" s="638"/>
      <c r="AB168" s="638"/>
      <c r="AC168" s="638" t="s">
        <v>3050</v>
      </c>
      <c r="AD168" s="638"/>
      <c r="AE168" s="638"/>
      <c r="AF168" s="638">
        <v>100</v>
      </c>
      <c r="AG168" s="446">
        <v>95848</v>
      </c>
      <c r="AH168" s="638">
        <v>2103</v>
      </c>
      <c r="AI168" s="638">
        <v>-5450</v>
      </c>
      <c r="AJ168" s="638"/>
      <c r="AK168" s="638" t="s">
        <v>139</v>
      </c>
      <c r="AL168" s="638"/>
      <c r="AM168" s="638"/>
      <c r="AN168" s="484">
        <v>5.5</v>
      </c>
      <c r="AO168" s="484"/>
      <c r="AP168" s="484"/>
      <c r="AQ168" s="484"/>
      <c r="AR168" s="484"/>
      <c r="AS168" s="484"/>
      <c r="AT168" s="484">
        <f>+ab($T$168,$T$166,$T$170,$G$167,$G$169,-1*$F$168,1200)</f>
        <v>3.4023737622298431</v>
      </c>
      <c r="AU168" s="484"/>
      <c r="AV168" s="484"/>
      <c r="AW168" s="638"/>
      <c r="AX168" s="572"/>
      <c r="AY168" s="636"/>
      <c r="AZ168" s="484"/>
      <c r="BA168" s="671"/>
      <c r="BB168" s="449"/>
      <c r="BD168" s="1330"/>
      <c r="BE168" s="1329" t="s">
        <v>4946</v>
      </c>
      <c r="BF168" s="1330"/>
      <c r="BG168" s="1329">
        <v>43786</v>
      </c>
    </row>
    <row r="169" spans="1:59" ht="12.5">
      <c r="A169" s="449"/>
      <c r="B169" s="170"/>
      <c r="C169" s="446"/>
      <c r="D169" s="446"/>
      <c r="E169" s="638"/>
      <c r="F169" s="447"/>
      <c r="G169" s="484">
        <v>42.3</v>
      </c>
      <c r="H169" s="1239"/>
      <c r="I169" s="1239"/>
      <c r="J169" s="171"/>
      <c r="K169" s="638"/>
      <c r="L169" s="638"/>
      <c r="M169" s="638"/>
      <c r="N169" s="1239"/>
      <c r="O169" s="1239"/>
      <c r="P169" s="1239"/>
      <c r="Q169" s="638"/>
      <c r="R169" s="638"/>
      <c r="S169" s="484">
        <f>+AG170-AG168</f>
        <v>42</v>
      </c>
      <c r="T169" s="638"/>
      <c r="U169" s="638"/>
      <c r="V169" s="638"/>
      <c r="W169" s="638"/>
      <c r="X169" s="638"/>
      <c r="Y169" s="638"/>
      <c r="Z169" s="638"/>
      <c r="AA169" s="638"/>
      <c r="AB169" s="638"/>
      <c r="AC169" s="638"/>
      <c r="AD169" s="638"/>
      <c r="AE169" s="638"/>
      <c r="AF169" s="638"/>
      <c r="AG169" s="446"/>
      <c r="AH169" s="638"/>
      <c r="AI169" s="638"/>
      <c r="AJ169" s="638"/>
      <c r="AK169" s="638"/>
      <c r="AL169" s="638"/>
      <c r="AM169" s="638"/>
      <c r="AN169" s="484"/>
      <c r="AO169" s="484"/>
      <c r="AP169" s="484"/>
      <c r="AQ169" s="484">
        <f>+FL_1($T$170,$T$168,$G$169,1200,9.28,-1*$F$170)</f>
        <v>0.3</v>
      </c>
      <c r="AR169" s="484"/>
      <c r="AS169" s="484"/>
      <c r="AT169" s="484"/>
      <c r="AU169" s="484"/>
      <c r="AV169" s="484"/>
      <c r="AW169" s="638"/>
      <c r="AX169" s="572"/>
      <c r="AY169" s="484"/>
      <c r="AZ169" s="689"/>
      <c r="BA169" s="671"/>
      <c r="BB169" s="449"/>
      <c r="BD169" s="1330"/>
      <c r="BE169" s="1330"/>
      <c r="BF169" s="1330"/>
      <c r="BG169" s="1330"/>
    </row>
    <row r="170" spans="1:59" ht="12.5">
      <c r="A170" s="449"/>
      <c r="B170" s="436" t="s">
        <v>2008</v>
      </c>
      <c r="C170" s="446">
        <f>+$C$168+$G$169</f>
        <v>95890.850000000035</v>
      </c>
      <c r="D170" s="446"/>
      <c r="E170" s="638"/>
      <c r="F170" s="447">
        <v>-750</v>
      </c>
      <c r="G170" s="484"/>
      <c r="H170" s="1239"/>
      <c r="I170" s="1239"/>
      <c r="J170" s="171"/>
      <c r="K170" s="638"/>
      <c r="L170" s="638"/>
      <c r="M170" s="638"/>
      <c r="N170" s="1239" t="s">
        <v>144</v>
      </c>
      <c r="O170" s="1239"/>
      <c r="P170" s="1239"/>
      <c r="Q170" s="638">
        <v>50</v>
      </c>
      <c r="R170" s="638">
        <v>-750</v>
      </c>
      <c r="S170" s="484"/>
      <c r="T170" s="638">
        <v>30</v>
      </c>
      <c r="U170" s="638"/>
      <c r="V170" s="638"/>
      <c r="W170" s="638">
        <v>1.4</v>
      </c>
      <c r="X170" s="638"/>
      <c r="Y170" s="638"/>
      <c r="Z170" s="638"/>
      <c r="AA170" s="638"/>
      <c r="AB170" s="638"/>
      <c r="AC170" s="638" t="s">
        <v>3050</v>
      </c>
      <c r="AD170" s="638"/>
      <c r="AE170" s="638"/>
      <c r="AF170" s="638">
        <v>100</v>
      </c>
      <c r="AG170" s="446">
        <v>95890</v>
      </c>
      <c r="AH170" s="638">
        <v>2173</v>
      </c>
      <c r="AI170" s="638">
        <v>-5360</v>
      </c>
      <c r="AJ170" s="638"/>
      <c r="AK170" s="638" t="s">
        <v>139</v>
      </c>
      <c r="AL170" s="638"/>
      <c r="AM170" s="638"/>
      <c r="AN170" s="484">
        <v>5.5</v>
      </c>
      <c r="AO170" s="484"/>
      <c r="AP170" s="484"/>
      <c r="AQ170" s="484"/>
      <c r="AR170" s="484"/>
      <c r="AS170" s="484"/>
      <c r="AT170" s="484">
        <f>+ab($T$170,$T$168,$T$172,$G$169,$G$171,-1*$F$170,1200)</f>
        <v>3.3943586286895466</v>
      </c>
      <c r="AU170" s="484"/>
      <c r="AV170" s="484"/>
      <c r="AW170" s="574"/>
      <c r="AX170" s="574"/>
      <c r="AY170" s="576"/>
      <c r="AZ170" s="576"/>
      <c r="BA170" s="671"/>
      <c r="BB170" s="449"/>
      <c r="BD170" s="1330"/>
      <c r="BE170" s="1329" t="s">
        <v>4946</v>
      </c>
      <c r="BF170" s="1330"/>
      <c r="BG170" s="1329">
        <v>43789</v>
      </c>
    </row>
    <row r="171" spans="1:59" ht="12.5">
      <c r="A171" s="449"/>
      <c r="B171" s="170"/>
      <c r="C171" s="446"/>
      <c r="D171" s="446"/>
      <c r="E171" s="638"/>
      <c r="F171" s="447"/>
      <c r="G171" s="484">
        <v>42.4</v>
      </c>
      <c r="H171" s="1239"/>
      <c r="I171" s="1239"/>
      <c r="J171" s="171"/>
      <c r="K171" s="638"/>
      <c r="L171" s="638"/>
      <c r="M171" s="638"/>
      <c r="N171" s="1239"/>
      <c r="O171" s="1239"/>
      <c r="P171" s="1239"/>
      <c r="Q171" s="638"/>
      <c r="R171" s="638"/>
      <c r="S171" s="484">
        <f>+AG172-AG170</f>
        <v>42</v>
      </c>
      <c r="T171" s="638"/>
      <c r="U171" s="638"/>
      <c r="V171" s="638"/>
      <c r="W171" s="638"/>
      <c r="X171" s="638"/>
      <c r="Y171" s="638"/>
      <c r="Z171" s="638"/>
      <c r="AA171" s="638"/>
      <c r="AB171" s="638"/>
      <c r="AC171" s="638"/>
      <c r="AD171" s="638"/>
      <c r="AE171" s="638"/>
      <c r="AF171" s="638"/>
      <c r="AG171" s="446"/>
      <c r="AH171" s="638"/>
      <c r="AI171" s="638"/>
      <c r="AJ171" s="638"/>
      <c r="AK171" s="638"/>
      <c r="AL171" s="638"/>
      <c r="AM171" s="638"/>
      <c r="AN171" s="484"/>
      <c r="AO171" s="484"/>
      <c r="AP171" s="484"/>
      <c r="AQ171" s="484">
        <f>+FL_1($T$172,$T$170,$G$171,1200,9.28,-1*$F$172)</f>
        <v>0.3</v>
      </c>
      <c r="AR171" s="484"/>
      <c r="AS171" s="484"/>
      <c r="AT171" s="484"/>
      <c r="AU171" s="484"/>
      <c r="AV171" s="484"/>
      <c r="AW171" s="638"/>
      <c r="AX171" s="638"/>
      <c r="AY171" s="484"/>
      <c r="AZ171" s="484"/>
      <c r="BA171" s="671"/>
      <c r="BB171" s="449"/>
      <c r="BD171" s="1330"/>
      <c r="BE171" s="1330"/>
      <c r="BF171" s="1330"/>
      <c r="BG171" s="1330"/>
    </row>
    <row r="172" spans="1:59" ht="12.5">
      <c r="A172" s="449"/>
      <c r="B172" s="436" t="s">
        <v>2009</v>
      </c>
      <c r="C172" s="446">
        <f>+$C$170+$G$171</f>
        <v>95933.250000000029</v>
      </c>
      <c r="D172" s="446"/>
      <c r="E172" s="638"/>
      <c r="F172" s="447">
        <v>-750</v>
      </c>
      <c r="G172" s="484"/>
      <c r="H172" s="1239"/>
      <c r="I172" s="1239"/>
      <c r="J172" s="171"/>
      <c r="K172" s="638"/>
      <c r="L172" s="638"/>
      <c r="M172" s="638"/>
      <c r="N172" s="1239" t="s">
        <v>144</v>
      </c>
      <c r="O172" s="1239"/>
      <c r="P172" s="1239"/>
      <c r="Q172" s="638">
        <v>50</v>
      </c>
      <c r="R172" s="638">
        <v>-750</v>
      </c>
      <c r="S172" s="484"/>
      <c r="T172" s="638">
        <v>30</v>
      </c>
      <c r="U172" s="638"/>
      <c r="V172" s="638"/>
      <c r="W172" s="638">
        <v>1.4</v>
      </c>
      <c r="X172" s="638"/>
      <c r="Y172" s="638"/>
      <c r="Z172" s="638"/>
      <c r="AA172" s="638"/>
      <c r="AB172" s="638"/>
      <c r="AC172" s="638" t="s">
        <v>3050</v>
      </c>
      <c r="AD172" s="638"/>
      <c r="AE172" s="638"/>
      <c r="AF172" s="638">
        <v>100</v>
      </c>
      <c r="AG172" s="446">
        <v>95932</v>
      </c>
      <c r="AH172" s="638">
        <v>2053</v>
      </c>
      <c r="AI172" s="638">
        <v>-5410</v>
      </c>
      <c r="AJ172" s="638"/>
      <c r="AK172" s="638" t="s">
        <v>139</v>
      </c>
      <c r="AL172" s="638"/>
      <c r="AM172" s="638"/>
      <c r="AN172" s="484">
        <v>5.5</v>
      </c>
      <c r="AO172" s="484"/>
      <c r="AP172" s="484"/>
      <c r="AQ172" s="484"/>
      <c r="AR172" s="484"/>
      <c r="AS172" s="484"/>
      <c r="AT172" s="484">
        <f>+ab($T$172,$T$170,$T$174,$G$171,$G$173,-1*$F$172,1200)</f>
        <v>3.3983614750286546</v>
      </c>
      <c r="AU172" s="484"/>
      <c r="AV172" s="484"/>
      <c r="AW172" s="574"/>
      <c r="AX172" s="574"/>
      <c r="AY172" s="576"/>
      <c r="AZ172" s="576"/>
      <c r="BA172" s="671"/>
      <c r="BB172" s="449"/>
      <c r="BD172" s="1330"/>
      <c r="BE172" s="1329">
        <v>43813</v>
      </c>
      <c r="BF172" s="1330"/>
      <c r="BG172" s="1329">
        <v>43839</v>
      </c>
    </row>
    <row r="173" spans="1:59" ht="12.5">
      <c r="A173" s="449"/>
      <c r="B173" s="170"/>
      <c r="C173" s="446"/>
      <c r="D173" s="446"/>
      <c r="E173" s="638"/>
      <c r="F173" s="447"/>
      <c r="G173" s="484">
        <v>42.2</v>
      </c>
      <c r="H173" s="1239"/>
      <c r="I173" s="1239"/>
      <c r="J173" s="171"/>
      <c r="K173" s="638"/>
      <c r="L173" s="638"/>
      <c r="M173" s="638"/>
      <c r="N173" s="1239"/>
      <c r="O173" s="1239"/>
      <c r="P173" s="1239"/>
      <c r="Q173" s="638"/>
      <c r="R173" s="638"/>
      <c r="S173" s="484">
        <f>+AG174-AG172</f>
        <v>43</v>
      </c>
      <c r="T173" s="638"/>
      <c r="U173" s="638"/>
      <c r="V173" s="638"/>
      <c r="W173" s="638"/>
      <c r="X173" s="638"/>
      <c r="Y173" s="638"/>
      <c r="Z173" s="638"/>
      <c r="AA173" s="638"/>
      <c r="AB173" s="638"/>
      <c r="AC173" s="638"/>
      <c r="AD173" s="638"/>
      <c r="AE173" s="638"/>
      <c r="AF173" s="638"/>
      <c r="AG173" s="446"/>
      <c r="AH173" s="638"/>
      <c r="AI173" s="638"/>
      <c r="AJ173" s="638"/>
      <c r="AK173" s="638"/>
      <c r="AL173" s="638"/>
      <c r="AM173" s="638"/>
      <c r="AN173" s="484"/>
      <c r="AO173" s="484"/>
      <c r="AP173" s="484"/>
      <c r="AQ173" s="484">
        <f>+FL_1($T$174,$T$172,$G$173,1200,9.28,-1*$F$174)</f>
        <v>0.30000000000000004</v>
      </c>
      <c r="AR173" s="484"/>
      <c r="AS173" s="484"/>
      <c r="AT173" s="484"/>
      <c r="AU173" s="484"/>
      <c r="AV173" s="484"/>
      <c r="AW173" s="638"/>
      <c r="AX173" s="638"/>
      <c r="AY173" s="484"/>
      <c r="AZ173" s="484"/>
      <c r="BA173" s="671"/>
      <c r="BB173" s="449"/>
      <c r="BD173" s="1330"/>
      <c r="BE173" s="1330"/>
      <c r="BF173" s="1330"/>
      <c r="BG173" s="1330"/>
    </row>
    <row r="174" spans="1:59" ht="12.5">
      <c r="A174" s="449"/>
      <c r="B174" s="436" t="s">
        <v>2010</v>
      </c>
      <c r="C174" s="446">
        <f>+$C$172+$G$173</f>
        <v>95975.450000000026</v>
      </c>
      <c r="D174" s="446"/>
      <c r="E174" s="638"/>
      <c r="F174" s="447">
        <v>-750</v>
      </c>
      <c r="G174" s="484"/>
      <c r="H174" s="1239"/>
      <c r="I174" s="1239"/>
      <c r="J174" s="171"/>
      <c r="K174" s="638"/>
      <c r="L174" s="638"/>
      <c r="M174" s="638"/>
      <c r="N174" s="1239" t="s">
        <v>144</v>
      </c>
      <c r="O174" s="1239"/>
      <c r="P174" s="1239"/>
      <c r="Q174" s="638">
        <v>50</v>
      </c>
      <c r="R174" s="638">
        <v>-750</v>
      </c>
      <c r="S174" s="484"/>
      <c r="T174" s="638">
        <v>30</v>
      </c>
      <c r="U174" s="638"/>
      <c r="V174" s="638"/>
      <c r="W174" s="638">
        <v>1.4</v>
      </c>
      <c r="X174" s="638"/>
      <c r="Y174" s="638"/>
      <c r="Z174" s="638"/>
      <c r="AA174" s="638"/>
      <c r="AB174" s="638"/>
      <c r="AC174" s="638" t="s">
        <v>3050</v>
      </c>
      <c r="AD174" s="638"/>
      <c r="AE174" s="638"/>
      <c r="AF174" s="638">
        <v>100</v>
      </c>
      <c r="AG174" s="446">
        <v>95975</v>
      </c>
      <c r="AH174" s="638">
        <v>1883</v>
      </c>
      <c r="AI174" s="638">
        <v>-5160</v>
      </c>
      <c r="AJ174" s="638"/>
      <c r="AK174" s="638" t="s">
        <v>139</v>
      </c>
      <c r="AL174" s="638"/>
      <c r="AM174" s="638"/>
      <c r="AN174" s="484">
        <v>5.5</v>
      </c>
      <c r="AO174" s="484"/>
      <c r="AP174" s="484"/>
      <c r="AQ174" s="484"/>
      <c r="AR174" s="484"/>
      <c r="AS174" s="484"/>
      <c r="AT174" s="484">
        <f>+ab($T$174,$T$172,$T$176,$G$173,$G$175,-1*$F$174,1200)</f>
        <v>3.4430233083578083</v>
      </c>
      <c r="AU174" s="484"/>
      <c r="AV174" s="484"/>
      <c r="AW174" s="574"/>
      <c r="AX174" s="574"/>
      <c r="AY174" s="576"/>
      <c r="AZ174" s="576"/>
      <c r="BA174" s="671"/>
      <c r="BB174" s="449"/>
      <c r="BD174" s="1330"/>
      <c r="BE174" s="1329">
        <v>43807</v>
      </c>
      <c r="BF174" s="1330"/>
      <c r="BG174" s="1329">
        <v>43839</v>
      </c>
    </row>
    <row r="175" spans="1:59" ht="12.5">
      <c r="A175" s="449"/>
      <c r="B175" s="170"/>
      <c r="C175" s="446"/>
      <c r="D175" s="446"/>
      <c r="E175" s="638"/>
      <c r="F175" s="447"/>
      <c r="G175" s="484">
        <v>41.3</v>
      </c>
      <c r="H175" s="1239"/>
      <c r="I175" s="172">
        <f>SUM(G159:G175)</f>
        <v>394.29999999999995</v>
      </c>
      <c r="J175" s="171"/>
      <c r="K175" s="638"/>
      <c r="L175" s="638"/>
      <c r="M175" s="638"/>
      <c r="N175" s="1239"/>
      <c r="O175" s="1239"/>
      <c r="P175" s="1239"/>
      <c r="Q175" s="638"/>
      <c r="R175" s="638"/>
      <c r="S175" s="484">
        <f>+AG176-AG174</f>
        <v>39.889999999999418</v>
      </c>
      <c r="T175" s="638"/>
      <c r="U175" s="638"/>
      <c r="V175" s="638"/>
      <c r="W175" s="638"/>
      <c r="X175" s="638"/>
      <c r="Y175" s="638"/>
      <c r="Z175" s="638"/>
      <c r="AA175" s="638"/>
      <c r="AB175" s="638"/>
      <c r="AC175" s="638"/>
      <c r="AD175" s="638"/>
      <c r="AE175" s="638"/>
      <c r="AF175" s="638"/>
      <c r="AG175" s="446"/>
      <c r="AH175" s="638"/>
      <c r="AI175" s="638"/>
      <c r="AJ175" s="638"/>
      <c r="AK175" s="638" t="s">
        <v>2760</v>
      </c>
      <c r="AL175" s="638"/>
      <c r="AM175" s="638"/>
      <c r="AN175" s="484"/>
      <c r="AO175" s="484"/>
      <c r="AP175" s="484"/>
      <c r="AQ175" s="484">
        <f>+FL_1($T$176,$T$174,$G$175,1200,9.28,-1*$F$176)</f>
        <v>0.3</v>
      </c>
      <c r="AR175" s="484"/>
      <c r="AS175" s="484"/>
      <c r="AT175" s="484"/>
      <c r="AU175" s="484"/>
      <c r="AV175" s="484"/>
      <c r="AW175" s="638"/>
      <c r="AX175" s="638"/>
      <c r="AY175" s="484"/>
      <c r="AZ175" s="484"/>
      <c r="BA175" s="671"/>
      <c r="BB175" s="449"/>
      <c r="BD175" s="1330"/>
      <c r="BE175" s="1330"/>
      <c r="BF175" s="1330"/>
      <c r="BG175" s="1330"/>
    </row>
    <row r="176" spans="1:59" ht="12.5">
      <c r="A176" s="449"/>
      <c r="B176" s="436" t="s">
        <v>2011</v>
      </c>
      <c r="C176" s="446">
        <f>+$C$174+$G$175</f>
        <v>96016.750000000029</v>
      </c>
      <c r="D176" s="446"/>
      <c r="E176" s="638"/>
      <c r="F176" s="447">
        <v>-750</v>
      </c>
      <c r="G176" s="484"/>
      <c r="H176" s="1239" t="s">
        <v>874</v>
      </c>
      <c r="I176" s="1239"/>
      <c r="J176" s="171"/>
      <c r="K176" s="638"/>
      <c r="L176" s="638"/>
      <c r="M176" s="638"/>
      <c r="N176" s="1239" t="s">
        <v>144</v>
      </c>
      <c r="O176" s="1239"/>
      <c r="P176" s="1239"/>
      <c r="Q176" s="638">
        <v>50</v>
      </c>
      <c r="R176" s="638">
        <v>-750</v>
      </c>
      <c r="S176" s="484"/>
      <c r="T176" s="638">
        <v>30</v>
      </c>
      <c r="U176" s="638"/>
      <c r="V176" s="638"/>
      <c r="W176" s="638">
        <v>1.4</v>
      </c>
      <c r="X176" s="638"/>
      <c r="Y176" s="638"/>
      <c r="Z176" s="638"/>
      <c r="AA176" s="638"/>
      <c r="AB176" s="638"/>
      <c r="AC176" s="638" t="s">
        <v>3050</v>
      </c>
      <c r="AD176" s="638"/>
      <c r="AE176" s="638"/>
      <c r="AF176" s="638">
        <v>100</v>
      </c>
      <c r="AG176" s="446">
        <v>96014.89</v>
      </c>
      <c r="AH176" s="638">
        <v>1683</v>
      </c>
      <c r="AI176" s="638">
        <v>-5250</v>
      </c>
      <c r="AJ176" s="638"/>
      <c r="AK176" s="638" t="s">
        <v>139</v>
      </c>
      <c r="AL176" s="638"/>
      <c r="AM176" s="638"/>
      <c r="AN176" s="484">
        <v>5.5</v>
      </c>
      <c r="AO176" s="484"/>
      <c r="AP176" s="484"/>
      <c r="AQ176" s="484"/>
      <c r="AR176" s="484"/>
      <c r="AS176" s="484"/>
      <c r="AT176" s="484">
        <f>+ab($T$176,$T$174,$T$178,$G$175,$G$177,-1*$F$176,1200)</f>
        <v>3.4804463668788128</v>
      </c>
      <c r="AU176" s="484"/>
      <c r="AV176" s="484"/>
      <c r="AW176" s="574"/>
      <c r="AX176" s="574"/>
      <c r="AY176" s="576"/>
      <c r="AZ176" s="576"/>
      <c r="BA176" s="671"/>
      <c r="BB176" s="449"/>
      <c r="BD176" s="1330"/>
      <c r="BE176" s="1329" t="s">
        <v>4946</v>
      </c>
      <c r="BF176" s="1330"/>
      <c r="BG176" s="1329">
        <v>43789</v>
      </c>
    </row>
    <row r="177" spans="1:59" ht="12.5">
      <c r="A177" s="449"/>
      <c r="B177" s="170"/>
      <c r="C177" s="446"/>
      <c r="D177" s="446"/>
      <c r="E177" s="638"/>
      <c r="F177" s="447"/>
      <c r="G177" s="484">
        <v>41.3</v>
      </c>
      <c r="H177" s="1239"/>
      <c r="I177" s="172">
        <f>SUM(G177:G203)</f>
        <v>587.40000000000009</v>
      </c>
      <c r="J177" s="171"/>
      <c r="K177" s="638"/>
      <c r="L177" s="638"/>
      <c r="M177" s="638"/>
      <c r="N177" s="1239"/>
      <c r="O177" s="1239"/>
      <c r="P177" s="1239"/>
      <c r="Q177" s="638"/>
      <c r="R177" s="638"/>
      <c r="S177" s="484">
        <f>+AG178-AG176</f>
        <v>42.110000000000582</v>
      </c>
      <c r="T177" s="638"/>
      <c r="U177" s="638"/>
      <c r="V177" s="638"/>
      <c r="W177" s="638"/>
      <c r="X177" s="638"/>
      <c r="Y177" s="638"/>
      <c r="Z177" s="638"/>
      <c r="AA177" s="638"/>
      <c r="AB177" s="638"/>
      <c r="AC177" s="638"/>
      <c r="AD177" s="638"/>
      <c r="AE177" s="638"/>
      <c r="AF177" s="638"/>
      <c r="AG177" s="446"/>
      <c r="AH177" s="638"/>
      <c r="AI177" s="638"/>
      <c r="AJ177" s="638"/>
      <c r="AK177" s="638" t="s">
        <v>2760</v>
      </c>
      <c r="AL177" s="638"/>
      <c r="AM177" s="638"/>
      <c r="AN177" s="484"/>
      <c r="AO177" s="484"/>
      <c r="AP177" s="484"/>
      <c r="AQ177" s="484">
        <f>+FL_1($T$178,$T$176,$G$177,1200,9.28,-1*$F$178)</f>
        <v>0.3</v>
      </c>
      <c r="AR177" s="484"/>
      <c r="AS177" s="484"/>
      <c r="AT177" s="484"/>
      <c r="AU177" s="484"/>
      <c r="AV177" s="484"/>
      <c r="AW177" s="638"/>
      <c r="AX177" s="638"/>
      <c r="AY177" s="484"/>
      <c r="AZ177" s="484"/>
      <c r="BA177" s="671"/>
      <c r="BB177" s="449"/>
      <c r="BD177" s="1330"/>
      <c r="BE177" s="1330"/>
      <c r="BF177" s="1330"/>
      <c r="BG177" s="1330"/>
    </row>
    <row r="178" spans="1:59" ht="12.5">
      <c r="A178" s="449"/>
      <c r="B178" s="436" t="s">
        <v>2012</v>
      </c>
      <c r="C178" s="446">
        <f>+$C$176+$G$177</f>
        <v>96058.050000000032</v>
      </c>
      <c r="D178" s="446"/>
      <c r="E178" s="638"/>
      <c r="F178" s="447">
        <v>-750</v>
      </c>
      <c r="G178" s="484"/>
      <c r="H178" s="1239"/>
      <c r="I178" s="1239"/>
      <c r="J178" s="171"/>
      <c r="K178" s="638"/>
      <c r="L178" s="638"/>
      <c r="M178" s="638"/>
      <c r="N178" s="1239" t="s">
        <v>144</v>
      </c>
      <c r="O178" s="1239"/>
      <c r="P178" s="1239"/>
      <c r="Q178" s="638">
        <v>50</v>
      </c>
      <c r="R178" s="638">
        <v>-750</v>
      </c>
      <c r="S178" s="484"/>
      <c r="T178" s="638">
        <v>30</v>
      </c>
      <c r="U178" s="638"/>
      <c r="V178" s="638"/>
      <c r="W178" s="638">
        <v>1.4</v>
      </c>
      <c r="X178" s="638"/>
      <c r="Y178" s="638"/>
      <c r="Z178" s="638"/>
      <c r="AA178" s="638"/>
      <c r="AB178" s="638"/>
      <c r="AC178" s="638" t="s">
        <v>3050</v>
      </c>
      <c r="AD178" s="638"/>
      <c r="AE178" s="638"/>
      <c r="AF178" s="638">
        <v>100</v>
      </c>
      <c r="AG178" s="446">
        <v>96057</v>
      </c>
      <c r="AH178" s="638">
        <v>1783</v>
      </c>
      <c r="AI178" s="638">
        <v>-5350</v>
      </c>
      <c r="AJ178" s="638"/>
      <c r="AK178" s="638" t="s">
        <v>139</v>
      </c>
      <c r="AL178" s="638"/>
      <c r="AM178" s="638"/>
      <c r="AN178" s="484">
        <v>5.43</v>
      </c>
      <c r="AO178" s="484"/>
      <c r="AP178" s="484"/>
      <c r="AQ178" s="484"/>
      <c r="AR178" s="484"/>
      <c r="AS178" s="484"/>
      <c r="AT178" s="484">
        <f>+ab($T$178,$T$176,$T$180,$G$177,$G$179,-1*$F$178,1200)</f>
        <v>3.4888732108051594</v>
      </c>
      <c r="AU178" s="484"/>
      <c r="AV178" s="484"/>
      <c r="AW178" s="574"/>
      <c r="AX178" s="574"/>
      <c r="AY178" s="576"/>
      <c r="AZ178" s="576"/>
      <c r="BA178" s="671"/>
      <c r="BB178" s="449"/>
      <c r="BD178" s="1330"/>
      <c r="BE178" s="1329" t="s">
        <v>4946</v>
      </c>
      <c r="BF178" s="1330"/>
      <c r="BG178" s="1329">
        <v>43789</v>
      </c>
    </row>
    <row r="179" spans="1:59" ht="12.5">
      <c r="A179" s="449"/>
      <c r="B179" s="170"/>
      <c r="C179" s="446"/>
      <c r="D179" s="446"/>
      <c r="E179" s="638"/>
      <c r="F179" s="447"/>
      <c r="G179" s="484">
        <v>41.1</v>
      </c>
      <c r="H179" s="1239"/>
      <c r="I179" s="1239"/>
      <c r="J179" s="171"/>
      <c r="K179" s="638"/>
      <c r="L179" s="638"/>
      <c r="M179" s="638"/>
      <c r="N179" s="1239"/>
      <c r="O179" s="1239"/>
      <c r="P179" s="1239"/>
      <c r="Q179" s="638"/>
      <c r="R179" s="638"/>
      <c r="S179" s="484">
        <f>+AG180-AG178</f>
        <v>42</v>
      </c>
      <c r="T179" s="638"/>
      <c r="U179" s="638"/>
      <c r="V179" s="638"/>
      <c r="W179" s="638"/>
      <c r="X179" s="638"/>
      <c r="Y179" s="638"/>
      <c r="Z179" s="638"/>
      <c r="AA179" s="638"/>
      <c r="AB179" s="638"/>
      <c r="AC179" s="638"/>
      <c r="AD179" s="638"/>
      <c r="AE179" s="638"/>
      <c r="AF179" s="638"/>
      <c r="AG179" s="446"/>
      <c r="AH179" s="638"/>
      <c r="AI179" s="638"/>
      <c r="AJ179" s="638"/>
      <c r="AK179" s="638"/>
      <c r="AL179" s="638"/>
      <c r="AM179" s="638"/>
      <c r="AN179" s="484"/>
      <c r="AO179" s="484"/>
      <c r="AP179" s="484"/>
      <c r="AQ179" s="484">
        <f>+FL_1($T$180,$T$178,$G$179,1200,9.28,-1*$F$180)</f>
        <v>0.3</v>
      </c>
      <c r="AR179" s="484"/>
      <c r="AS179" s="484"/>
      <c r="AT179" s="484"/>
      <c r="AU179" s="484"/>
      <c r="AV179" s="484"/>
      <c r="AW179" s="638"/>
      <c r="AX179" s="638"/>
      <c r="AY179" s="484"/>
      <c r="AZ179" s="484"/>
      <c r="BA179" s="671"/>
      <c r="BB179" s="449"/>
      <c r="BD179" s="1330"/>
      <c r="BE179" s="1330"/>
      <c r="BF179" s="1330"/>
      <c r="BG179" s="1330"/>
    </row>
    <row r="180" spans="1:59" ht="12.5">
      <c r="A180" s="449"/>
      <c r="B180" s="436" t="s">
        <v>2013</v>
      </c>
      <c r="C180" s="446">
        <f>+$C$178+$G$179</f>
        <v>96099.150000000038</v>
      </c>
      <c r="D180" s="446"/>
      <c r="E180" s="638"/>
      <c r="F180" s="447">
        <v>-750</v>
      </c>
      <c r="G180" s="484"/>
      <c r="H180" s="1239"/>
      <c r="I180" s="1239"/>
      <c r="J180" s="171"/>
      <c r="K180" s="638"/>
      <c r="L180" s="638"/>
      <c r="M180" s="638"/>
      <c r="N180" s="1239" t="s">
        <v>144</v>
      </c>
      <c r="O180" s="1239"/>
      <c r="P180" s="1239"/>
      <c r="Q180" s="638">
        <v>30</v>
      </c>
      <c r="R180" s="638">
        <v>-1552.75</v>
      </c>
      <c r="S180" s="484"/>
      <c r="T180" s="638">
        <v>30</v>
      </c>
      <c r="U180" s="638"/>
      <c r="V180" s="638"/>
      <c r="W180" s="638">
        <v>1.4</v>
      </c>
      <c r="X180" s="638"/>
      <c r="Y180" s="638"/>
      <c r="Z180" s="638"/>
      <c r="AA180" s="638"/>
      <c r="AB180" s="638"/>
      <c r="AC180" s="638" t="s">
        <v>4090</v>
      </c>
      <c r="AD180" s="638"/>
      <c r="AE180" s="638"/>
      <c r="AF180" s="638">
        <v>100</v>
      </c>
      <c r="AG180" s="446">
        <v>96099</v>
      </c>
      <c r="AH180" s="638">
        <v>1793</v>
      </c>
      <c r="AI180" s="638">
        <v>-5390</v>
      </c>
      <c r="AJ180" s="638"/>
      <c r="AK180" s="638" t="s">
        <v>139</v>
      </c>
      <c r="AL180" s="638"/>
      <c r="AM180" s="638"/>
      <c r="AN180" s="484">
        <v>5.34</v>
      </c>
      <c r="AO180" s="484"/>
      <c r="AP180" s="484"/>
      <c r="AQ180" s="484"/>
      <c r="AR180" s="484"/>
      <c r="AS180" s="484"/>
      <c r="AT180" s="484">
        <f>+ab($T$180,$T$178,$T$182,$G$179,$G$181,-1*$F$180,1200)</f>
        <v>2.5993014793824996</v>
      </c>
      <c r="AU180" s="484"/>
      <c r="AV180" s="484"/>
      <c r="AW180" s="574"/>
      <c r="AX180" s="574"/>
      <c r="AY180" s="576"/>
      <c r="AZ180" s="576"/>
      <c r="BA180" s="671"/>
      <c r="BB180" s="449"/>
      <c r="BD180" s="1330"/>
      <c r="BE180" s="1329" t="s">
        <v>4946</v>
      </c>
      <c r="BF180" s="1330"/>
      <c r="BG180" s="1329">
        <v>43786</v>
      </c>
    </row>
    <row r="181" spans="1:59" ht="12.5">
      <c r="A181" s="449"/>
      <c r="B181" s="170"/>
      <c r="C181" s="446"/>
      <c r="D181" s="446"/>
      <c r="E181" s="638"/>
      <c r="F181" s="447"/>
      <c r="G181" s="484">
        <v>50.1</v>
      </c>
      <c r="H181" s="1239"/>
      <c r="I181" s="1239"/>
      <c r="J181" s="171"/>
      <c r="K181" s="638"/>
      <c r="L181" s="638"/>
      <c r="M181" s="638"/>
      <c r="N181" s="1239"/>
      <c r="O181" s="1239"/>
      <c r="P181" s="1239"/>
      <c r="Q181" s="638"/>
      <c r="R181" s="638"/>
      <c r="S181" s="484">
        <f>+AG182-AG180</f>
        <v>47</v>
      </c>
      <c r="T181" s="638"/>
      <c r="U181" s="638"/>
      <c r="V181" s="638"/>
      <c r="W181" s="638"/>
      <c r="X181" s="638"/>
      <c r="Y181" s="638"/>
      <c r="Z181" s="638"/>
      <c r="AA181" s="638"/>
      <c r="AB181" s="638"/>
      <c r="AC181" s="638"/>
      <c r="AD181" s="638"/>
      <c r="AE181" s="638"/>
      <c r="AF181" s="638"/>
      <c r="AG181" s="446"/>
      <c r="AH181" s="638"/>
      <c r="AI181" s="638"/>
      <c r="AJ181" s="638"/>
      <c r="AK181" s="638"/>
      <c r="AL181" s="638"/>
      <c r="AM181" s="638"/>
      <c r="AN181" s="484"/>
      <c r="AO181" s="484"/>
      <c r="AP181" s="484"/>
      <c r="AQ181" s="484">
        <f>+FL_2($T$182,$T$180,$G$181,1200,9.28,-1*$F$182)</f>
        <v>-0.37646577615169657</v>
      </c>
      <c r="AR181" s="484"/>
      <c r="AS181" s="484"/>
      <c r="AT181" s="484"/>
      <c r="AU181" s="484"/>
      <c r="AV181" s="484"/>
      <c r="AW181" s="638"/>
      <c r="AX181" s="638"/>
      <c r="AY181" s="484"/>
      <c r="AZ181" s="484"/>
      <c r="BA181" s="671"/>
      <c r="BB181" s="449"/>
      <c r="BD181" s="1330"/>
      <c r="BE181" s="1330"/>
      <c r="BF181" s="1330"/>
      <c r="BG181" s="1330"/>
    </row>
    <row r="182" spans="1:59" ht="12.5">
      <c r="A182" s="449"/>
      <c r="B182" s="436" t="s">
        <v>2014</v>
      </c>
      <c r="C182" s="446">
        <f>+$C$180+$G$181</f>
        <v>96149.250000000044</v>
      </c>
      <c r="D182" s="446"/>
      <c r="E182" s="638"/>
      <c r="F182" s="447">
        <v>0</v>
      </c>
      <c r="G182" s="484"/>
      <c r="H182" s="1239"/>
      <c r="I182" s="1239"/>
      <c r="J182" s="171"/>
      <c r="K182" s="638"/>
      <c r="L182" s="638"/>
      <c r="M182" s="638"/>
      <c r="N182" s="1239" t="s">
        <v>2789</v>
      </c>
      <c r="O182" s="1239"/>
      <c r="P182" s="1239"/>
      <c r="Q182" s="638">
        <v>10</v>
      </c>
      <c r="R182" s="638">
        <v>0</v>
      </c>
      <c r="S182" s="484"/>
      <c r="T182" s="638">
        <v>-35</v>
      </c>
      <c r="U182" s="638"/>
      <c r="V182" s="638"/>
      <c r="W182" s="638">
        <v>1.2</v>
      </c>
      <c r="X182" s="638"/>
      <c r="Y182" s="638"/>
      <c r="Z182" s="638"/>
      <c r="AA182" s="638"/>
      <c r="AB182" s="638"/>
      <c r="AC182" s="638" t="s">
        <v>4090</v>
      </c>
      <c r="AD182" s="638"/>
      <c r="AE182" s="638"/>
      <c r="AF182" s="638">
        <v>100</v>
      </c>
      <c r="AG182" s="446">
        <v>96146</v>
      </c>
      <c r="AH182" s="638">
        <v>1733</v>
      </c>
      <c r="AI182" s="638">
        <v>-5470</v>
      </c>
      <c r="AJ182" s="638"/>
      <c r="AK182" s="638" t="s">
        <v>139</v>
      </c>
      <c r="AL182" s="638"/>
      <c r="AM182" s="638"/>
      <c r="AN182" s="484">
        <v>5.23</v>
      </c>
      <c r="AO182" s="484"/>
      <c r="AP182" s="484"/>
      <c r="AQ182" s="484"/>
      <c r="AR182" s="484"/>
      <c r="AS182" s="484"/>
      <c r="AT182" s="484">
        <f>+ab($T$182,$T$180,$T$184,$G$181,$G$183,-1*$F$182,1200)</f>
        <v>-6.9294128704021833</v>
      </c>
      <c r="AU182" s="484"/>
      <c r="AV182" s="484"/>
      <c r="AW182" s="574"/>
      <c r="AX182" s="574"/>
      <c r="AY182" s="576"/>
      <c r="AZ182" s="576"/>
      <c r="BA182" s="671"/>
      <c r="BB182" s="449"/>
      <c r="BD182" s="1330"/>
      <c r="BE182" s="1329" t="s">
        <v>4946</v>
      </c>
      <c r="BF182" s="1330"/>
      <c r="BG182" s="1329">
        <v>43786</v>
      </c>
    </row>
    <row r="183" spans="1:59" ht="12.5">
      <c r="A183" s="449"/>
      <c r="B183" s="170"/>
      <c r="C183" s="446"/>
      <c r="D183" s="446"/>
      <c r="E183" s="638"/>
      <c r="F183" s="447"/>
      <c r="G183" s="484">
        <v>48</v>
      </c>
      <c r="H183" s="1239"/>
      <c r="I183" s="1239"/>
      <c r="J183" s="171"/>
      <c r="K183" s="638"/>
      <c r="L183" s="638"/>
      <c r="M183" s="638"/>
      <c r="N183" s="1239"/>
      <c r="O183" s="1239"/>
      <c r="P183" s="1239"/>
      <c r="Q183" s="638"/>
      <c r="R183" s="638"/>
      <c r="S183" s="484">
        <f>+AG184-AG182</f>
        <v>50</v>
      </c>
      <c r="T183" s="638"/>
      <c r="U183" s="638"/>
      <c r="V183" s="638"/>
      <c r="W183" s="638"/>
      <c r="X183" s="638"/>
      <c r="Y183" s="638"/>
      <c r="Z183" s="638"/>
      <c r="AA183" s="638"/>
      <c r="AB183" s="638"/>
      <c r="AC183" s="638"/>
      <c r="AD183" s="638"/>
      <c r="AE183" s="638"/>
      <c r="AF183" s="638"/>
      <c r="AG183" s="446"/>
      <c r="AH183" s="638"/>
      <c r="AI183" s="638"/>
      <c r="AJ183" s="638"/>
      <c r="AK183" s="638"/>
      <c r="AL183" s="638"/>
      <c r="AM183" s="638"/>
      <c r="AN183" s="484"/>
      <c r="AO183" s="484"/>
      <c r="AP183" s="484"/>
      <c r="AQ183" s="484">
        <f>+FL_2($T$184,$T$182,$G$183,1200,9.28,-1*$F$184)</f>
        <v>-0.36022448800000006</v>
      </c>
      <c r="AR183" s="484"/>
      <c r="AS183" s="484"/>
      <c r="AT183" s="484"/>
      <c r="AU183" s="484"/>
      <c r="AV183" s="484"/>
      <c r="AW183" s="638"/>
      <c r="AX183" s="638"/>
      <c r="AY183" s="484"/>
      <c r="AZ183" s="484"/>
      <c r="BA183" s="671"/>
      <c r="BB183" s="449"/>
      <c r="BD183" s="1330"/>
      <c r="BE183" s="1330"/>
      <c r="BF183" s="1330"/>
      <c r="BG183" s="1330"/>
    </row>
    <row r="184" spans="1:59" ht="12.5">
      <c r="A184" s="449"/>
      <c r="B184" s="436" t="s">
        <v>2015</v>
      </c>
      <c r="C184" s="446">
        <f>+$C$182+$G$183</f>
        <v>96197.250000000044</v>
      </c>
      <c r="D184" s="446"/>
      <c r="E184" s="638"/>
      <c r="F184" s="447">
        <v>0</v>
      </c>
      <c r="G184" s="484"/>
      <c r="H184" s="1239" t="s">
        <v>2509</v>
      </c>
      <c r="I184" s="1239"/>
      <c r="J184" s="171"/>
      <c r="K184" s="638"/>
      <c r="L184" s="638"/>
      <c r="M184" s="638"/>
      <c r="N184" s="1239" t="s">
        <v>844</v>
      </c>
      <c r="O184" s="1239" t="s">
        <v>2794</v>
      </c>
      <c r="P184" s="1239"/>
      <c r="Q184" s="638">
        <v>0</v>
      </c>
      <c r="R184" s="638">
        <v>0</v>
      </c>
      <c r="S184" s="484"/>
      <c r="T184" s="638">
        <v>35</v>
      </c>
      <c r="U184" s="638">
        <v>20</v>
      </c>
      <c r="V184" s="638"/>
      <c r="W184" s="638">
        <v>0.9</v>
      </c>
      <c r="X184" s="638">
        <v>1.1000000000000001</v>
      </c>
      <c r="Y184" s="638"/>
      <c r="Z184" s="638"/>
      <c r="AA184" s="638"/>
      <c r="AB184" s="638"/>
      <c r="AC184" s="638" t="s">
        <v>4124</v>
      </c>
      <c r="AD184" s="638" t="s">
        <v>4882</v>
      </c>
      <c r="AE184" s="638"/>
      <c r="AF184" s="638">
        <v>200</v>
      </c>
      <c r="AG184" s="446">
        <v>96196</v>
      </c>
      <c r="AH184" s="638">
        <v>1633</v>
      </c>
      <c r="AI184" s="638">
        <v>-5000</v>
      </c>
      <c r="AJ184" s="638"/>
      <c r="AK184" s="638" t="s">
        <v>228</v>
      </c>
      <c r="AL184" s="638"/>
      <c r="AM184" s="638"/>
      <c r="AN184" s="484">
        <v>5.15</v>
      </c>
      <c r="AO184" s="484"/>
      <c r="AP184" s="484"/>
      <c r="AQ184" s="484"/>
      <c r="AR184" s="484"/>
      <c r="AS184" s="484"/>
      <c r="AT184" s="484">
        <f>+ab($T$184,$T$182,$T$186,$G$183,$G$185,-1*$F$184,1200)</f>
        <v>6.4084266774984577</v>
      </c>
      <c r="AU184" s="484"/>
      <c r="AV184" s="484"/>
      <c r="AW184" s="574"/>
      <c r="AX184" s="574"/>
      <c r="AY184" s="576"/>
      <c r="AZ184" s="576"/>
      <c r="BA184" s="671"/>
      <c r="BB184" s="449"/>
      <c r="BD184" s="1330"/>
      <c r="BE184" s="1329" t="s">
        <v>4946</v>
      </c>
      <c r="BF184" s="1330"/>
      <c r="BG184" s="1329">
        <v>43786</v>
      </c>
    </row>
    <row r="185" spans="1:59" ht="12.5">
      <c r="A185" s="449"/>
      <c r="B185" s="170"/>
      <c r="C185" s="446"/>
      <c r="D185" s="446"/>
      <c r="E185" s="638"/>
      <c r="F185" s="447"/>
      <c r="G185" s="484">
        <v>36.1</v>
      </c>
      <c r="H185" s="1239"/>
      <c r="I185" s="1239">
        <v>173</v>
      </c>
      <c r="J185" s="171"/>
      <c r="K185" s="638"/>
      <c r="L185" s="638"/>
      <c r="M185" s="638"/>
      <c r="N185" s="1239"/>
      <c r="O185" s="1239"/>
      <c r="P185" s="1239"/>
      <c r="Q185" s="638"/>
      <c r="R185" s="638"/>
      <c r="S185" s="484">
        <f>+AG186-AG184</f>
        <v>40</v>
      </c>
      <c r="T185" s="638"/>
      <c r="U185" s="638"/>
      <c r="V185" s="638"/>
      <c r="W185" s="638"/>
      <c r="X185" s="638"/>
      <c r="Y185" s="638"/>
      <c r="Z185" s="638"/>
      <c r="AA185" s="638"/>
      <c r="AB185" s="638"/>
      <c r="AC185" s="638"/>
      <c r="AD185" s="638"/>
      <c r="AE185" s="638"/>
      <c r="AF185" s="638"/>
      <c r="AG185" s="446"/>
      <c r="AH185" s="638"/>
      <c r="AI185" s="638"/>
      <c r="AJ185" s="638"/>
      <c r="AK185" s="638"/>
      <c r="AL185" s="638"/>
      <c r="AM185" s="638"/>
      <c r="AN185" s="484"/>
      <c r="AO185" s="484"/>
      <c r="AP185" s="484"/>
      <c r="AQ185" s="484">
        <f>+FL_1($T$186,$T$184,$G$185,1200,9.28,-1*$F$186)</f>
        <v>0.35000000000000181</v>
      </c>
      <c r="AR185" s="484"/>
      <c r="AS185" s="484"/>
      <c r="AT185" s="484"/>
      <c r="AU185" s="484"/>
      <c r="AV185" s="484"/>
      <c r="AW185" s="638"/>
      <c r="AX185" s="638"/>
      <c r="AY185" s="484"/>
      <c r="AZ185" s="484"/>
      <c r="BA185" s="671"/>
      <c r="BB185" s="449"/>
      <c r="BD185" s="1330"/>
      <c r="BE185" s="1330"/>
      <c r="BF185" s="1330"/>
      <c r="BG185" s="1330"/>
    </row>
    <row r="186" spans="1:59" ht="12.5">
      <c r="A186" s="488"/>
      <c r="B186" s="632" t="s">
        <v>2016</v>
      </c>
      <c r="C186" s="489">
        <f>+$C$184+$G$185</f>
        <v>96233.350000000049</v>
      </c>
      <c r="D186" s="489"/>
      <c r="E186" s="490"/>
      <c r="F186" s="491">
        <v>0</v>
      </c>
      <c r="G186" s="493"/>
      <c r="H186" s="495" t="s">
        <v>2686</v>
      </c>
      <c r="I186" s="495"/>
      <c r="J186" s="431"/>
      <c r="K186" s="490"/>
      <c r="L186" s="490" t="s">
        <v>452</v>
      </c>
      <c r="M186" s="490"/>
      <c r="N186" s="495" t="s">
        <v>2796</v>
      </c>
      <c r="O186" s="495" t="s">
        <v>2796</v>
      </c>
      <c r="P186" s="495"/>
      <c r="Q186" s="490">
        <v>0</v>
      </c>
      <c r="R186" s="490">
        <v>0</v>
      </c>
      <c r="S186" s="493"/>
      <c r="T186" s="490">
        <v>-20</v>
      </c>
      <c r="U186" s="490">
        <v>-10</v>
      </c>
      <c r="V186" s="490"/>
      <c r="W186" s="490">
        <v>0.6</v>
      </c>
      <c r="X186" s="490">
        <v>0.6</v>
      </c>
      <c r="Y186" s="490"/>
      <c r="Z186" s="490"/>
      <c r="AA186" s="490">
        <v>0.15</v>
      </c>
      <c r="AB186" s="490"/>
      <c r="AC186" s="490" t="s">
        <v>4213</v>
      </c>
      <c r="AD186" s="490" t="s">
        <v>4968</v>
      </c>
      <c r="AE186" s="490"/>
      <c r="AF186" s="490">
        <v>200</v>
      </c>
      <c r="AG186" s="489">
        <v>96236</v>
      </c>
      <c r="AH186" s="490">
        <v>1503</v>
      </c>
      <c r="AI186" s="490">
        <v>-5280</v>
      </c>
      <c r="AJ186" s="490"/>
      <c r="AK186" s="490"/>
      <c r="AL186" s="490"/>
      <c r="AM186" s="490" t="s">
        <v>1042</v>
      </c>
      <c r="AN186" s="493">
        <v>5.15</v>
      </c>
      <c r="AO186" s="493"/>
      <c r="AP186" s="493"/>
      <c r="AQ186" s="493"/>
      <c r="AR186" s="493"/>
      <c r="AS186" s="493"/>
      <c r="AT186" s="493">
        <f>+ab($T$186,$T$184,$U$188,$G$185,$G$187,-1*$F$186,1200)</f>
        <v>-6.2723977456783997</v>
      </c>
      <c r="AU186" s="493"/>
      <c r="AV186" s="493"/>
      <c r="AW186" s="490" t="s">
        <v>2846</v>
      </c>
      <c r="AX186" s="490"/>
      <c r="AY186" s="493"/>
      <c r="AZ186" s="493"/>
      <c r="BA186" s="602" t="s">
        <v>2809</v>
      </c>
      <c r="BB186" s="488"/>
      <c r="BD186" s="1330"/>
      <c r="BE186" s="1329" t="s">
        <v>4946</v>
      </c>
      <c r="BF186" s="1330"/>
      <c r="BG186" s="1329">
        <v>43839</v>
      </c>
    </row>
    <row r="187" spans="1:59" ht="12.5">
      <c r="A187" s="488" t="s">
        <v>1851</v>
      </c>
      <c r="B187" s="443"/>
      <c r="C187" s="489"/>
      <c r="D187" s="489"/>
      <c r="E187" s="490"/>
      <c r="F187" s="491"/>
      <c r="G187" s="493">
        <v>36.1</v>
      </c>
      <c r="H187" s="495" t="s">
        <v>873</v>
      </c>
      <c r="I187" s="495">
        <v>207</v>
      </c>
      <c r="J187" s="431">
        <f>C188-10</f>
        <v>96259.450000000055</v>
      </c>
      <c r="K187" s="495" t="s">
        <v>625</v>
      </c>
      <c r="L187" s="495"/>
      <c r="M187" s="490"/>
      <c r="N187" s="495"/>
      <c r="O187" s="495"/>
      <c r="P187" s="495"/>
      <c r="Q187" s="490"/>
      <c r="R187" s="490"/>
      <c r="S187" s="493">
        <f>+AG188-AG186</f>
        <v>34.80000000000291</v>
      </c>
      <c r="T187" s="490"/>
      <c r="U187" s="490"/>
      <c r="V187" s="490"/>
      <c r="W187" s="490"/>
      <c r="X187" s="490"/>
      <c r="Y187" s="490"/>
      <c r="Z187" s="490"/>
      <c r="AA187" s="490"/>
      <c r="AB187" s="490"/>
      <c r="AC187" s="490"/>
      <c r="AD187" s="490"/>
      <c r="AE187" s="490"/>
      <c r="AF187" s="490"/>
      <c r="AG187" s="489"/>
      <c r="AH187" s="490"/>
      <c r="AI187" s="490"/>
      <c r="AJ187" s="490"/>
      <c r="AK187" s="490"/>
      <c r="AL187" s="490"/>
      <c r="AM187" s="490"/>
      <c r="AN187" s="493"/>
      <c r="AO187" s="493"/>
      <c r="AP187" s="493"/>
      <c r="AQ187" s="493">
        <f>+FL_1($U$188,$T$186,$G$187,1200,9.28,-1*$F$188)</f>
        <v>0.35</v>
      </c>
      <c r="AR187" s="493"/>
      <c r="AS187" s="493"/>
      <c r="AT187" s="493"/>
      <c r="AU187" s="493"/>
      <c r="AV187" s="493"/>
      <c r="AW187" s="490" t="s">
        <v>4178</v>
      </c>
      <c r="AX187" s="490"/>
      <c r="AY187" s="493"/>
      <c r="AZ187" s="493"/>
      <c r="BA187" s="602" t="s">
        <v>2809</v>
      </c>
      <c r="BB187" s="488"/>
      <c r="BD187" s="1330"/>
      <c r="BE187" s="1330"/>
      <c r="BF187" s="1330"/>
      <c r="BG187" s="1330"/>
    </row>
    <row r="188" spans="1:59" ht="12.5">
      <c r="A188" s="488"/>
      <c r="B188" s="632" t="s">
        <v>2017</v>
      </c>
      <c r="C188" s="489">
        <f>+$C$186+$G$187</f>
        <v>96269.450000000055</v>
      </c>
      <c r="D188" s="489"/>
      <c r="E188" s="490"/>
      <c r="F188" s="491">
        <v>0</v>
      </c>
      <c r="G188" s="493"/>
      <c r="H188" s="495" t="s">
        <v>2509</v>
      </c>
      <c r="I188" s="495"/>
      <c r="J188" s="431"/>
      <c r="K188" s="490"/>
      <c r="L188" s="490" t="s">
        <v>452</v>
      </c>
      <c r="M188" s="490"/>
      <c r="N188" s="495" t="s">
        <v>2796</v>
      </c>
      <c r="O188" s="495" t="s">
        <v>2797</v>
      </c>
      <c r="P188" s="495"/>
      <c r="Q188" s="490">
        <v>0</v>
      </c>
      <c r="R188" s="490">
        <v>0</v>
      </c>
      <c r="S188" s="493"/>
      <c r="T188" s="490">
        <v>20</v>
      </c>
      <c r="U188" s="490">
        <v>35</v>
      </c>
      <c r="V188" s="490"/>
      <c r="W188" s="490">
        <v>0.6</v>
      </c>
      <c r="X188" s="490">
        <v>0.6</v>
      </c>
      <c r="Y188" s="490"/>
      <c r="Z188" s="490"/>
      <c r="AA188" s="490"/>
      <c r="AB188" s="490"/>
      <c r="AC188" s="490" t="s">
        <v>4215</v>
      </c>
      <c r="AD188" s="490" t="s">
        <v>4124</v>
      </c>
      <c r="AE188" s="490"/>
      <c r="AF188" s="490">
        <v>200</v>
      </c>
      <c r="AG188" s="489">
        <v>96270.8</v>
      </c>
      <c r="AH188" s="490">
        <v>1533</v>
      </c>
      <c r="AI188" s="490">
        <v>-5120</v>
      </c>
      <c r="AJ188" s="490"/>
      <c r="AK188" s="490"/>
      <c r="AL188" s="490"/>
      <c r="AM188" s="490" t="s">
        <v>1042</v>
      </c>
      <c r="AN188" s="493">
        <v>5.15</v>
      </c>
      <c r="AO188" s="493"/>
      <c r="AP188" s="493"/>
      <c r="AQ188" s="493"/>
      <c r="AR188" s="493"/>
      <c r="AS188" s="493"/>
      <c r="AT188" s="493">
        <f>+ab($U$188,$T$186,$T$190,$G$187,$G$189,-1*$F$188,1200)</f>
        <v>11.59541854911563</v>
      </c>
      <c r="AU188" s="493"/>
      <c r="AV188" s="493"/>
      <c r="AW188" s="490" t="s">
        <v>2846</v>
      </c>
      <c r="AX188" s="490"/>
      <c r="AY188" s="493"/>
      <c r="AZ188" s="493"/>
      <c r="BA188" s="602" t="s">
        <v>2809</v>
      </c>
      <c r="BB188" s="488"/>
      <c r="BD188" s="1330"/>
      <c r="BE188" s="1329" t="s">
        <v>4946</v>
      </c>
      <c r="BF188" s="1330"/>
      <c r="BG188" s="1329">
        <v>43839</v>
      </c>
    </row>
    <row r="189" spans="1:59" ht="12.5">
      <c r="A189" s="449" t="s">
        <v>1852</v>
      </c>
      <c r="B189" s="170"/>
      <c r="C189" s="446"/>
      <c r="D189" s="446"/>
      <c r="E189" s="638"/>
      <c r="F189" s="447"/>
      <c r="G189" s="484">
        <v>46</v>
      </c>
      <c r="H189" s="1239"/>
      <c r="I189" s="1239"/>
      <c r="J189" s="171"/>
      <c r="K189" s="638"/>
      <c r="L189" s="638"/>
      <c r="M189" s="638"/>
      <c r="N189" s="1239"/>
      <c r="O189" s="1239"/>
      <c r="P189" s="1239"/>
      <c r="Q189" s="638"/>
      <c r="R189" s="638"/>
      <c r="S189" s="484">
        <f>+AG190-AG188</f>
        <v>44.19999999999709</v>
      </c>
      <c r="T189" s="638"/>
      <c r="U189" s="638"/>
      <c r="V189" s="638"/>
      <c r="W189" s="638"/>
      <c r="X189" s="638"/>
      <c r="Y189" s="638"/>
      <c r="Z189" s="638"/>
      <c r="AA189" s="638"/>
      <c r="AB189" s="638"/>
      <c r="AC189" s="638"/>
      <c r="AD189" s="638"/>
      <c r="AE189" s="638"/>
      <c r="AF189" s="638"/>
      <c r="AG189" s="446"/>
      <c r="AH189" s="638"/>
      <c r="AI189" s="638"/>
      <c r="AJ189" s="638" t="s">
        <v>864</v>
      </c>
      <c r="AK189" s="638"/>
      <c r="AL189" s="638"/>
      <c r="AM189" s="638"/>
      <c r="AN189" s="484"/>
      <c r="AO189" s="484"/>
      <c r="AP189" s="484"/>
      <c r="AQ189" s="484">
        <f>+FL_1($T$190,-$U$188,$G$189,1200,9.28,-1*$F$190)</f>
        <v>0.30864312214492751</v>
      </c>
      <c r="AR189" s="484"/>
      <c r="AS189" s="484"/>
      <c r="AT189" s="484"/>
      <c r="AU189" s="484"/>
      <c r="AV189" s="484"/>
      <c r="AW189" s="638"/>
      <c r="AX189" s="638"/>
      <c r="AY189" s="484"/>
      <c r="AZ189" s="484"/>
      <c r="BA189" s="671"/>
      <c r="BB189" s="449"/>
      <c r="BD189" s="1330"/>
      <c r="BE189" s="1330"/>
      <c r="BF189" s="1330"/>
      <c r="BG189" s="1330"/>
    </row>
    <row r="190" spans="1:59" ht="12.5">
      <c r="A190" s="449"/>
      <c r="B190" s="436" t="s">
        <v>2018</v>
      </c>
      <c r="C190" s="446">
        <f>+$C$188+$G$189</f>
        <v>96315.450000000055</v>
      </c>
      <c r="D190" s="446"/>
      <c r="E190" s="638"/>
      <c r="F190" s="447">
        <v>0</v>
      </c>
      <c r="G190" s="484"/>
      <c r="H190" s="1239" t="s">
        <v>2509</v>
      </c>
      <c r="I190" s="1239"/>
      <c r="J190" s="171"/>
      <c r="K190" s="638"/>
      <c r="L190" s="638"/>
      <c r="M190" s="638"/>
      <c r="N190" s="1239" t="s">
        <v>844</v>
      </c>
      <c r="O190" s="1239" t="s">
        <v>2794</v>
      </c>
      <c r="P190" s="1239"/>
      <c r="Q190" s="638">
        <v>0</v>
      </c>
      <c r="R190" s="638">
        <v>0</v>
      </c>
      <c r="S190" s="484"/>
      <c r="T190" s="638">
        <v>30</v>
      </c>
      <c r="U190" s="638">
        <v>15</v>
      </c>
      <c r="V190" s="638"/>
      <c r="W190" s="638">
        <v>0.9</v>
      </c>
      <c r="X190" s="638">
        <v>1.1000000000000001</v>
      </c>
      <c r="Y190" s="638"/>
      <c r="Z190" s="638"/>
      <c r="AA190" s="638"/>
      <c r="AB190" s="638"/>
      <c r="AC190" s="638" t="s">
        <v>1425</v>
      </c>
      <c r="AD190" s="638" t="s">
        <v>4471</v>
      </c>
      <c r="AE190" s="638"/>
      <c r="AF190" s="638">
        <v>200</v>
      </c>
      <c r="AG190" s="446">
        <v>96315</v>
      </c>
      <c r="AH190" s="638">
        <v>1523</v>
      </c>
      <c r="AI190" s="638">
        <v>-5200</v>
      </c>
      <c r="AJ190" s="638"/>
      <c r="AK190" s="638" t="s">
        <v>228</v>
      </c>
      <c r="AL190" s="638"/>
      <c r="AM190" s="638"/>
      <c r="AN190" s="484">
        <v>5.15</v>
      </c>
      <c r="AO190" s="484"/>
      <c r="AP190" s="484"/>
      <c r="AQ190" s="484"/>
      <c r="AR190" s="484"/>
      <c r="AS190" s="484"/>
      <c r="AT190" s="484">
        <f>+ab($T$190,$U$188,-$T$192,$G$189,$G$191,-1*$F$190,1200)</f>
        <v>16.742876609337777</v>
      </c>
      <c r="AU190" s="484"/>
      <c r="AV190" s="484"/>
      <c r="AW190" s="574"/>
      <c r="AX190" s="574"/>
      <c r="AY190" s="576"/>
      <c r="AZ190" s="576"/>
      <c r="BA190" s="671"/>
      <c r="BB190" s="449"/>
      <c r="BD190" s="1330"/>
      <c r="BE190" s="1329" t="s">
        <v>4946</v>
      </c>
      <c r="BF190" s="1330"/>
      <c r="BG190" s="1329">
        <v>43656</v>
      </c>
    </row>
    <row r="191" spans="1:59" ht="12.5">
      <c r="A191" s="449"/>
      <c r="B191" s="170"/>
      <c r="C191" s="446"/>
      <c r="D191" s="446"/>
      <c r="E191" s="638"/>
      <c r="F191" s="447"/>
      <c r="G191" s="484">
        <v>49.1</v>
      </c>
      <c r="H191" s="1239"/>
      <c r="I191" s="1239"/>
      <c r="J191" s="171"/>
      <c r="K191" s="638"/>
      <c r="L191" s="638"/>
      <c r="M191" s="638"/>
      <c r="N191" s="1239"/>
      <c r="O191" s="1239"/>
      <c r="P191" s="1239"/>
      <c r="Q191" s="638"/>
      <c r="R191" s="638"/>
      <c r="S191" s="484">
        <f>+AG192-AG190</f>
        <v>49</v>
      </c>
      <c r="T191" s="638"/>
      <c r="U191" s="638"/>
      <c r="V191" s="638"/>
      <c r="W191" s="638"/>
      <c r="X191" s="638"/>
      <c r="Y191" s="638"/>
      <c r="Z191" s="638"/>
      <c r="AA191" s="638"/>
      <c r="AB191" s="638"/>
      <c r="AC191" s="638"/>
      <c r="AD191" s="638"/>
      <c r="AE191" s="638"/>
      <c r="AF191" s="638"/>
      <c r="AG191" s="446"/>
      <c r="AH191" s="638"/>
      <c r="AI191" s="638"/>
      <c r="AJ191" s="638"/>
      <c r="AK191" s="638"/>
      <c r="AL191" s="638"/>
      <c r="AM191" s="638"/>
      <c r="AN191" s="484"/>
      <c r="AO191" s="484"/>
      <c r="AP191" s="484"/>
      <c r="AQ191" s="484">
        <f>+FL_1($T$192,$T$190,$G$191,1200,9.28,-1*$F$192)</f>
        <v>0.53304496666666668</v>
      </c>
      <c r="AR191" s="484"/>
      <c r="AS191" s="484"/>
      <c r="AT191" s="484"/>
      <c r="AU191" s="484"/>
      <c r="AV191" s="484"/>
      <c r="AW191" s="638"/>
      <c r="AX191" s="638"/>
      <c r="AY191" s="484"/>
      <c r="AZ191" s="484"/>
      <c r="BA191" s="671"/>
      <c r="BB191" s="449"/>
      <c r="BD191" s="1330"/>
      <c r="BE191" s="1330"/>
      <c r="BF191" s="1330"/>
      <c r="BG191" s="1330"/>
    </row>
    <row r="192" spans="1:59" ht="12.5">
      <c r="A192" s="449"/>
      <c r="B192" s="436" t="s">
        <v>2019</v>
      </c>
      <c r="C192" s="446">
        <f>+$C$190+$G$191</f>
        <v>96364.550000000061</v>
      </c>
      <c r="D192" s="446"/>
      <c r="E192" s="638"/>
      <c r="F192" s="447">
        <v>0</v>
      </c>
      <c r="G192" s="484"/>
      <c r="H192" s="1239" t="s">
        <v>619</v>
      </c>
      <c r="I192" s="1239"/>
      <c r="J192" s="171"/>
      <c r="K192" s="638"/>
      <c r="L192" s="638"/>
      <c r="M192" s="638"/>
      <c r="N192" s="1239" t="s">
        <v>844</v>
      </c>
      <c r="O192" s="1239" t="s">
        <v>845</v>
      </c>
      <c r="P192" s="1239"/>
      <c r="Q192" s="638">
        <v>0</v>
      </c>
      <c r="R192" s="638">
        <v>0</v>
      </c>
      <c r="S192" s="484"/>
      <c r="T192" s="638">
        <v>30</v>
      </c>
      <c r="U192" s="638">
        <v>45</v>
      </c>
      <c r="V192" s="638"/>
      <c r="W192" s="638">
        <v>1.4</v>
      </c>
      <c r="X192" s="638">
        <v>1.1000000000000001</v>
      </c>
      <c r="Y192" s="638"/>
      <c r="Z192" s="638"/>
      <c r="AA192" s="638">
        <v>0.38</v>
      </c>
      <c r="AB192" s="638"/>
      <c r="AC192" s="638" t="s">
        <v>4090</v>
      </c>
      <c r="AD192" s="638"/>
      <c r="AE192" s="638"/>
      <c r="AF192" s="638">
        <v>200</v>
      </c>
      <c r="AG192" s="446">
        <v>96364</v>
      </c>
      <c r="AH192" s="638">
        <v>1763</v>
      </c>
      <c r="AI192" s="638">
        <v>-5150</v>
      </c>
      <c r="AJ192" s="638"/>
      <c r="AK192" s="638" t="s">
        <v>228</v>
      </c>
      <c r="AL192" s="638"/>
      <c r="AM192" s="638"/>
      <c r="AN192" s="484">
        <v>5.22</v>
      </c>
      <c r="AO192" s="484"/>
      <c r="AP192" s="484"/>
      <c r="AQ192" s="484"/>
      <c r="AR192" s="484"/>
      <c r="AS192" s="484"/>
      <c r="AT192" s="484">
        <f>+ab($T$192,$T$190,$U$194,$G$191,$G$193,-1*$F$192,1200)</f>
        <v>11.669277384418399</v>
      </c>
      <c r="AU192" s="484"/>
      <c r="AV192" s="484"/>
      <c r="AW192" s="574"/>
      <c r="AX192" s="574"/>
      <c r="AY192" s="576"/>
      <c r="AZ192" s="576"/>
      <c r="BA192" s="671"/>
      <c r="BB192" s="449"/>
      <c r="BD192" s="1330"/>
      <c r="BE192" s="1329" t="s">
        <v>4946</v>
      </c>
      <c r="BF192" s="1330"/>
      <c r="BG192" s="1329">
        <v>43657</v>
      </c>
    </row>
    <row r="193" spans="1:59" ht="12.5">
      <c r="A193" s="449"/>
      <c r="B193" s="170"/>
      <c r="C193" s="446"/>
      <c r="D193" s="446"/>
      <c r="E193" s="638"/>
      <c r="F193" s="447"/>
      <c r="G193" s="484">
        <v>37</v>
      </c>
      <c r="H193" s="1239"/>
      <c r="I193" s="1239"/>
      <c r="J193" s="171"/>
      <c r="K193" s="638"/>
      <c r="L193" s="638"/>
      <c r="M193" s="638"/>
      <c r="N193" s="1239"/>
      <c r="O193" s="1239"/>
      <c r="P193" s="1239"/>
      <c r="Q193" s="638"/>
      <c r="R193" s="638"/>
      <c r="S193" s="484">
        <f>+AG194-AG192</f>
        <v>37</v>
      </c>
      <c r="T193" s="638"/>
      <c r="U193" s="638"/>
      <c r="V193" s="638"/>
      <c r="W193" s="638"/>
      <c r="X193" s="638"/>
      <c r="Y193" s="638"/>
      <c r="Z193" s="638"/>
      <c r="AA193" s="638"/>
      <c r="AB193" s="638"/>
      <c r="AC193" s="638"/>
      <c r="AD193" s="638"/>
      <c r="AE193" s="638"/>
      <c r="AF193" s="638"/>
      <c r="AG193" s="446"/>
      <c r="AH193" s="638"/>
      <c r="AI193" s="638"/>
      <c r="AJ193" s="638"/>
      <c r="AK193" s="638"/>
      <c r="AL193" s="638"/>
      <c r="AM193" s="638"/>
      <c r="AN193" s="484"/>
      <c r="AO193" s="484"/>
      <c r="AP193" s="484"/>
      <c r="AQ193" s="484">
        <f>+FL_1($U$194,$T$192,$G$193,1200,9.28,-1*$F$194)</f>
        <v>0.30000000000000226</v>
      </c>
      <c r="AR193" s="484"/>
      <c r="AS193" s="484"/>
      <c r="AT193" s="484"/>
      <c r="AU193" s="484"/>
      <c r="AV193" s="484"/>
      <c r="AW193" s="638"/>
      <c r="AX193" s="638"/>
      <c r="AY193" s="484"/>
      <c r="AZ193" s="484"/>
      <c r="BA193" s="671"/>
      <c r="BB193" s="449"/>
      <c r="BD193" s="1330"/>
      <c r="BE193" s="1330"/>
      <c r="BF193" s="1330"/>
      <c r="BG193" s="1330"/>
    </row>
    <row r="194" spans="1:59" ht="12.5">
      <c r="A194" s="449"/>
      <c r="B194" s="436" t="s">
        <v>2020</v>
      </c>
      <c r="C194" s="446">
        <f>+$C$192+$G$193</f>
        <v>96401.550000000061</v>
      </c>
      <c r="D194" s="446"/>
      <c r="E194" s="638"/>
      <c r="F194" s="447">
        <v>0</v>
      </c>
      <c r="G194" s="484"/>
      <c r="H194" s="1239" t="s">
        <v>2551</v>
      </c>
      <c r="I194" s="1239"/>
      <c r="J194" s="171"/>
      <c r="K194" s="638"/>
      <c r="L194" s="638"/>
      <c r="M194" s="638"/>
      <c r="N194" s="1239" t="s">
        <v>845</v>
      </c>
      <c r="O194" s="1239" t="s">
        <v>2794</v>
      </c>
      <c r="P194" s="1239" t="s">
        <v>845</v>
      </c>
      <c r="Q194" s="638">
        <v>0</v>
      </c>
      <c r="R194" s="638">
        <v>0</v>
      </c>
      <c r="S194" s="484"/>
      <c r="T194" s="638">
        <v>-45</v>
      </c>
      <c r="U194" s="638">
        <v>-30</v>
      </c>
      <c r="V194" s="638">
        <v>-15</v>
      </c>
      <c r="W194" s="638">
        <v>2.1</v>
      </c>
      <c r="X194" s="638">
        <v>1.8</v>
      </c>
      <c r="Y194" s="638">
        <v>1.4</v>
      </c>
      <c r="Z194" s="638">
        <v>0.4</v>
      </c>
      <c r="AA194" s="638"/>
      <c r="AB194" s="638">
        <v>0.4</v>
      </c>
      <c r="AC194" s="638" t="s">
        <v>4115</v>
      </c>
      <c r="AD194" s="638"/>
      <c r="AE194" s="638"/>
      <c r="AF194" s="638">
        <v>200</v>
      </c>
      <c r="AG194" s="446">
        <v>96401</v>
      </c>
      <c r="AH194" s="638">
        <v>1533</v>
      </c>
      <c r="AI194" s="638">
        <v>-4900</v>
      </c>
      <c r="AJ194" s="638"/>
      <c r="AK194" s="638" t="s">
        <v>3133</v>
      </c>
      <c r="AL194" s="638"/>
      <c r="AM194" s="638"/>
      <c r="AN194" s="484">
        <v>5.33</v>
      </c>
      <c r="AO194" s="484"/>
      <c r="AP194" s="484"/>
      <c r="AQ194" s="484"/>
      <c r="AR194" s="484"/>
      <c r="AS194" s="484"/>
      <c r="AT194" s="484">
        <f>+ab($U$194,$T$192,$U$196,$G$193,$G$195,-1*$F$194,1200)</f>
        <v>-6.3345146874666298</v>
      </c>
      <c r="AU194" s="484"/>
      <c r="AV194" s="484"/>
      <c r="AW194" s="574"/>
      <c r="AX194" s="574"/>
      <c r="AY194" s="576"/>
      <c r="AZ194" s="576"/>
      <c r="BA194" s="671"/>
      <c r="BB194" s="449"/>
      <c r="BD194" s="1330"/>
      <c r="BE194" s="1329" t="s">
        <v>4946</v>
      </c>
      <c r="BF194" s="1330"/>
      <c r="BG194" s="1329">
        <v>43639</v>
      </c>
    </row>
    <row r="195" spans="1:59" ht="12.5">
      <c r="A195" s="449"/>
      <c r="B195" s="170"/>
      <c r="C195" s="446"/>
      <c r="D195" s="446"/>
      <c r="E195" s="638"/>
      <c r="F195" s="447"/>
      <c r="G195" s="484">
        <v>43</v>
      </c>
      <c r="H195" s="1239"/>
      <c r="I195" s="1239"/>
      <c r="J195" s="171"/>
      <c r="K195" s="638"/>
      <c r="L195" s="638"/>
      <c r="M195" s="638"/>
      <c r="N195" s="1239"/>
      <c r="O195" s="1239"/>
      <c r="P195" s="1239"/>
      <c r="Q195" s="638"/>
      <c r="R195" s="638"/>
      <c r="S195" s="484">
        <f>+AG196-AG194</f>
        <v>43</v>
      </c>
      <c r="T195" s="638"/>
      <c r="U195" s="638"/>
      <c r="V195" s="638"/>
      <c r="W195" s="638"/>
      <c r="X195" s="638"/>
      <c r="Y195" s="638"/>
      <c r="Z195" s="638"/>
      <c r="AA195" s="638"/>
      <c r="AB195" s="638"/>
      <c r="AC195" s="638"/>
      <c r="AD195" s="638"/>
      <c r="AE195" s="638"/>
      <c r="AF195" s="638"/>
      <c r="AG195" s="446"/>
      <c r="AH195" s="638"/>
      <c r="AI195" s="638"/>
      <c r="AJ195" s="638"/>
      <c r="AK195" s="638"/>
      <c r="AL195" s="638"/>
      <c r="AM195" s="638"/>
      <c r="AN195" s="484"/>
      <c r="AO195" s="484"/>
      <c r="AP195" s="484"/>
      <c r="AQ195" s="484">
        <f>+FL_1($U$196,$U$194,$G$195,1200,9.28,-1*$F$196)</f>
        <v>0.3046201782325581</v>
      </c>
      <c r="AR195" s="484"/>
      <c r="AS195" s="484"/>
      <c r="AT195" s="484"/>
      <c r="AU195" s="484"/>
      <c r="AV195" s="484"/>
      <c r="AW195" s="638"/>
      <c r="AX195" s="638"/>
      <c r="AY195" s="484"/>
      <c r="AZ195" s="484"/>
      <c r="BA195" s="671"/>
      <c r="BB195" s="449"/>
      <c r="BD195" s="1330"/>
      <c r="BE195" s="1330"/>
      <c r="BF195" s="1330"/>
      <c r="BG195" s="1330"/>
    </row>
    <row r="196" spans="1:59" ht="12.5">
      <c r="A196" s="449"/>
      <c r="B196" s="436" t="s">
        <v>2021</v>
      </c>
      <c r="C196" s="446">
        <f>+$C$194+$G$195</f>
        <v>96444.550000000061</v>
      </c>
      <c r="D196" s="446"/>
      <c r="E196" s="638"/>
      <c r="F196" s="447">
        <v>0</v>
      </c>
      <c r="G196" s="484"/>
      <c r="H196" s="1239" t="s">
        <v>2510</v>
      </c>
      <c r="I196" s="1239"/>
      <c r="J196" s="171"/>
      <c r="K196" s="638"/>
      <c r="L196" s="638"/>
      <c r="M196" s="638"/>
      <c r="N196" s="1239" t="s">
        <v>2794</v>
      </c>
      <c r="O196" s="1239" t="s">
        <v>844</v>
      </c>
      <c r="P196" s="1239"/>
      <c r="Q196" s="638">
        <v>0</v>
      </c>
      <c r="R196" s="638">
        <v>0</v>
      </c>
      <c r="S196" s="484"/>
      <c r="T196" s="638">
        <v>15</v>
      </c>
      <c r="U196" s="638">
        <v>30</v>
      </c>
      <c r="V196" s="638"/>
      <c r="W196" s="638">
        <v>2.2999999999999998</v>
      </c>
      <c r="X196" s="638">
        <v>1.8</v>
      </c>
      <c r="Y196" s="638"/>
      <c r="Z196" s="638"/>
      <c r="AA196" s="638"/>
      <c r="AB196" s="638"/>
      <c r="AC196" s="638" t="s">
        <v>4207</v>
      </c>
      <c r="AD196" s="638" t="s">
        <v>4124</v>
      </c>
      <c r="AE196" s="638"/>
      <c r="AF196" s="638">
        <v>200</v>
      </c>
      <c r="AG196" s="446">
        <v>96444</v>
      </c>
      <c r="AH196" s="638">
        <v>1843</v>
      </c>
      <c r="AI196" s="638">
        <v>-5100</v>
      </c>
      <c r="AJ196" s="638"/>
      <c r="AK196" s="638" t="s">
        <v>228</v>
      </c>
      <c r="AL196" s="638"/>
      <c r="AM196" s="638"/>
      <c r="AN196" s="484">
        <v>5.44</v>
      </c>
      <c r="AO196" s="484"/>
      <c r="AP196" s="484"/>
      <c r="AQ196" s="484"/>
      <c r="AR196" s="484"/>
      <c r="AS196" s="484"/>
      <c r="AT196" s="484">
        <f>+ab($U$196,$U$194,$U$198,$G$195,$G$197,-1*$F$196,1200)</f>
        <v>6.880794003629414</v>
      </c>
      <c r="AU196" s="484"/>
      <c r="AV196" s="484"/>
      <c r="AW196" s="574"/>
      <c r="AX196" s="574"/>
      <c r="AY196" s="576"/>
      <c r="AZ196" s="576"/>
      <c r="BA196" s="671"/>
      <c r="BB196" s="449"/>
      <c r="BD196" s="1330"/>
      <c r="BE196" s="1329" t="s">
        <v>4946</v>
      </c>
      <c r="BF196" s="1330"/>
      <c r="BG196" s="1329">
        <v>43639</v>
      </c>
    </row>
    <row r="197" spans="1:59" ht="12.5">
      <c r="A197" s="449"/>
      <c r="B197" s="170"/>
      <c r="C197" s="446"/>
      <c r="D197" s="446"/>
      <c r="E197" s="638"/>
      <c r="F197" s="447"/>
      <c r="G197" s="484">
        <v>47.1</v>
      </c>
      <c r="H197" s="1239"/>
      <c r="I197" s="1239"/>
      <c r="J197" s="171"/>
      <c r="K197" s="638"/>
      <c r="L197" s="638"/>
      <c r="M197" s="638"/>
      <c r="N197" s="1239"/>
      <c r="O197" s="1239"/>
      <c r="P197" s="1239"/>
      <c r="Q197" s="638"/>
      <c r="R197" s="638"/>
      <c r="S197" s="484">
        <f>+AG198-AG196</f>
        <v>47</v>
      </c>
      <c r="T197" s="638"/>
      <c r="U197" s="638"/>
      <c r="V197" s="638"/>
      <c r="W197" s="638"/>
      <c r="X197" s="638"/>
      <c r="Y197" s="638"/>
      <c r="Z197" s="638"/>
      <c r="AA197" s="638"/>
      <c r="AB197" s="638"/>
      <c r="AC197" s="638"/>
      <c r="AD197" s="638"/>
      <c r="AE197" s="638"/>
      <c r="AF197" s="638"/>
      <c r="AG197" s="446"/>
      <c r="AH197" s="638"/>
      <c r="AI197" s="638"/>
      <c r="AJ197" s="638" t="s">
        <v>864</v>
      </c>
      <c r="AK197" s="638"/>
      <c r="AL197" s="638"/>
      <c r="AM197" s="638"/>
      <c r="AN197" s="484"/>
      <c r="AO197" s="484"/>
      <c r="AP197" s="484"/>
      <c r="AQ197" s="484">
        <f>+FL_1($U$198,$U$196,$G$197,1200,9.28,-1*$F$198)</f>
        <v>0.31258317961783427</v>
      </c>
      <c r="AR197" s="484"/>
      <c r="AS197" s="484"/>
      <c r="AT197" s="484"/>
      <c r="AU197" s="484"/>
      <c r="AV197" s="484"/>
      <c r="AW197" s="638"/>
      <c r="AX197" s="638"/>
      <c r="AY197" s="484"/>
      <c r="AZ197" s="484"/>
      <c r="BA197" s="671"/>
      <c r="BB197" s="449"/>
      <c r="BD197" s="1330"/>
      <c r="BE197" s="1330"/>
      <c r="BF197" s="1330"/>
      <c r="BG197" s="1330"/>
    </row>
    <row r="198" spans="1:59" ht="12.5">
      <c r="A198" s="449"/>
      <c r="B198" s="436" t="s">
        <v>2022</v>
      </c>
      <c r="C198" s="446">
        <f>+$C$196+$G$197</f>
        <v>96491.650000000067</v>
      </c>
      <c r="D198" s="446"/>
      <c r="E198" s="638"/>
      <c r="F198" s="447">
        <v>0</v>
      </c>
      <c r="G198" s="484"/>
      <c r="H198" s="1239" t="s">
        <v>619</v>
      </c>
      <c r="I198" s="1239"/>
      <c r="J198" s="171"/>
      <c r="K198" s="638"/>
      <c r="L198" s="638"/>
      <c r="M198" s="638"/>
      <c r="N198" s="1239" t="s">
        <v>845</v>
      </c>
      <c r="O198" s="1239" t="s">
        <v>2794</v>
      </c>
      <c r="P198" s="1239"/>
      <c r="Q198" s="638">
        <v>0</v>
      </c>
      <c r="R198" s="638">
        <v>0</v>
      </c>
      <c r="S198" s="484"/>
      <c r="T198" s="638">
        <v>10</v>
      </c>
      <c r="U198" s="638">
        <v>-35</v>
      </c>
      <c r="V198" s="638"/>
      <c r="W198" s="638">
        <v>1.4</v>
      </c>
      <c r="X198" s="638">
        <v>2.2999999999999998</v>
      </c>
      <c r="Y198" s="638"/>
      <c r="Z198" s="638">
        <v>0.39</v>
      </c>
      <c r="AA198" s="638"/>
      <c r="AB198" s="638"/>
      <c r="AC198" s="638" t="s">
        <v>1417</v>
      </c>
      <c r="AD198" s="638"/>
      <c r="AE198" s="638"/>
      <c r="AF198" s="638">
        <v>200</v>
      </c>
      <c r="AG198" s="446">
        <v>96491</v>
      </c>
      <c r="AH198" s="638">
        <v>1513</v>
      </c>
      <c r="AI198" s="638">
        <v>-5050</v>
      </c>
      <c r="AJ198" s="638"/>
      <c r="AK198" s="638" t="s">
        <v>228</v>
      </c>
      <c r="AL198" s="638"/>
      <c r="AM198" s="638"/>
      <c r="AN198" s="484">
        <v>5.5</v>
      </c>
      <c r="AO198" s="484"/>
      <c r="AP198" s="484"/>
      <c r="AQ198" s="484"/>
      <c r="AR198" s="484"/>
      <c r="AS198" s="484"/>
      <c r="AT198" s="484">
        <f>+ab($U$198,$U$196,$T$200,$G$197,$G$199,-1*$F$198,1200)</f>
        <v>-6.6066226957413443</v>
      </c>
      <c r="AU198" s="484"/>
      <c r="AV198" s="484"/>
      <c r="AW198" s="574"/>
      <c r="AX198" s="574"/>
      <c r="AY198" s="576"/>
      <c r="AZ198" s="576"/>
      <c r="BA198" s="671"/>
      <c r="BB198" s="449"/>
      <c r="BD198" s="1330"/>
      <c r="BE198" s="1329" t="s">
        <v>4946</v>
      </c>
      <c r="BF198" s="1330"/>
      <c r="BG198" s="1329">
        <v>43639</v>
      </c>
    </row>
    <row r="199" spans="1:59" ht="12.5">
      <c r="A199" s="449"/>
      <c r="B199" s="170"/>
      <c r="C199" s="446"/>
      <c r="D199" s="446"/>
      <c r="E199" s="638"/>
      <c r="F199" s="447"/>
      <c r="G199" s="484">
        <v>43</v>
      </c>
      <c r="H199" s="1239"/>
      <c r="I199" s="1239"/>
      <c r="J199" s="171"/>
      <c r="K199" s="638"/>
      <c r="L199" s="638"/>
      <c r="M199" s="638"/>
      <c r="N199" s="1239"/>
      <c r="O199" s="1239"/>
      <c r="P199" s="1239"/>
      <c r="Q199" s="638"/>
      <c r="R199" s="638"/>
      <c r="S199" s="484">
        <f>+AG200-AG198</f>
        <v>43</v>
      </c>
      <c r="T199" s="638"/>
      <c r="U199" s="638"/>
      <c r="V199" s="638"/>
      <c r="W199" s="638"/>
      <c r="X199" s="638"/>
      <c r="Y199" s="638"/>
      <c r="Z199" s="638"/>
      <c r="AA199" s="638"/>
      <c r="AB199" s="638"/>
      <c r="AC199" s="638"/>
      <c r="AD199" s="638"/>
      <c r="AE199" s="638"/>
      <c r="AF199" s="638"/>
      <c r="AG199" s="446"/>
      <c r="AH199" s="638"/>
      <c r="AI199" s="638"/>
      <c r="AJ199" s="638"/>
      <c r="AK199" s="638"/>
      <c r="AL199" s="638"/>
      <c r="AM199" s="638"/>
      <c r="AN199" s="484"/>
      <c r="AO199" s="484"/>
      <c r="AP199" s="484"/>
      <c r="AQ199" s="484">
        <f>+FL_2($T$200,$U$198,$G$199,1200,9.28,-1*$F$200)</f>
        <v>-0.35147495581395355</v>
      </c>
      <c r="AR199" s="484"/>
      <c r="AS199" s="484"/>
      <c r="AT199" s="484"/>
      <c r="AU199" s="484"/>
      <c r="AV199" s="484"/>
      <c r="AW199" s="638"/>
      <c r="AX199" s="638"/>
      <c r="AY199" s="484"/>
      <c r="AZ199" s="484"/>
      <c r="BA199" s="671"/>
      <c r="BB199" s="449"/>
      <c r="BD199" s="1330"/>
      <c r="BE199" s="1330"/>
      <c r="BF199" s="1330"/>
      <c r="BG199" s="1330"/>
    </row>
    <row r="200" spans="1:59" ht="12.5">
      <c r="A200" s="449" t="s">
        <v>2956</v>
      </c>
      <c r="B200" s="436" t="s">
        <v>2023</v>
      </c>
      <c r="C200" s="446">
        <f>+$C$198+$G$199</f>
        <v>96534.650000000067</v>
      </c>
      <c r="D200" s="446"/>
      <c r="E200" s="638"/>
      <c r="F200" s="447">
        <v>0</v>
      </c>
      <c r="G200" s="484"/>
      <c r="H200" s="1239" t="s">
        <v>619</v>
      </c>
      <c r="I200" s="1239" t="s">
        <v>1429</v>
      </c>
      <c r="J200" s="171"/>
      <c r="K200" s="638"/>
      <c r="L200" s="638"/>
      <c r="M200" s="638"/>
      <c r="N200" s="1239" t="s">
        <v>844</v>
      </c>
      <c r="O200" s="1239" t="s">
        <v>845</v>
      </c>
      <c r="P200" s="1239"/>
      <c r="Q200" s="638">
        <v>0</v>
      </c>
      <c r="R200" s="638">
        <v>0</v>
      </c>
      <c r="S200" s="484"/>
      <c r="T200" s="638">
        <v>30</v>
      </c>
      <c r="U200" s="638">
        <v>-15</v>
      </c>
      <c r="V200" s="638"/>
      <c r="W200" s="638">
        <v>1.4</v>
      </c>
      <c r="X200" s="638">
        <v>1.8</v>
      </c>
      <c r="Y200" s="638"/>
      <c r="Z200" s="638"/>
      <c r="AA200" s="638">
        <v>0.45</v>
      </c>
      <c r="AB200" s="638"/>
      <c r="AC200" s="638" t="s">
        <v>1421</v>
      </c>
      <c r="AD200" s="638"/>
      <c r="AE200" s="638"/>
      <c r="AF200" s="638">
        <v>200</v>
      </c>
      <c r="AG200" s="446">
        <v>96534</v>
      </c>
      <c r="AH200" s="638">
        <v>1763</v>
      </c>
      <c r="AI200" s="638">
        <v>-5500</v>
      </c>
      <c r="AJ200" s="638" t="s">
        <v>2154</v>
      </c>
      <c r="AK200" s="638" t="s">
        <v>228</v>
      </c>
      <c r="AL200" s="638"/>
      <c r="AM200" s="638"/>
      <c r="AN200" s="484">
        <v>5.5</v>
      </c>
      <c r="AO200" s="484"/>
      <c r="AP200" s="484"/>
      <c r="AQ200" s="484"/>
      <c r="AR200" s="484"/>
      <c r="AS200" s="484"/>
      <c r="AT200" s="484">
        <f>+ab($T$200,$U$198,$U$202,$G$199,$G$201,-1*$F$200,1200)</f>
        <v>12.492600007559549</v>
      </c>
      <c r="AU200" s="484"/>
      <c r="AV200" s="484"/>
      <c r="AW200" s="574"/>
      <c r="AX200" s="574"/>
      <c r="AY200" s="576"/>
      <c r="AZ200" s="576"/>
      <c r="BA200" s="671"/>
      <c r="BB200" s="449"/>
      <c r="BD200" s="1330"/>
      <c r="BE200" s="1329" t="s">
        <v>4946</v>
      </c>
      <c r="BF200" s="1330"/>
      <c r="BG200" s="1329">
        <v>43639</v>
      </c>
    </row>
    <row r="201" spans="1:59" ht="12.5">
      <c r="A201" s="449"/>
      <c r="B201" s="170"/>
      <c r="C201" s="446"/>
      <c r="D201" s="446"/>
      <c r="E201" s="638"/>
      <c r="F201" s="447"/>
      <c r="G201" s="484">
        <v>33</v>
      </c>
      <c r="H201" s="1239"/>
      <c r="I201" s="1239"/>
      <c r="J201" s="171"/>
      <c r="K201" s="638"/>
      <c r="L201" s="638"/>
      <c r="M201" s="638"/>
      <c r="N201" s="1239"/>
      <c r="O201" s="1239"/>
      <c r="P201" s="1239"/>
      <c r="Q201" s="638"/>
      <c r="R201" s="638"/>
      <c r="S201" s="484">
        <f>+AG202-AG200</f>
        <v>33</v>
      </c>
      <c r="T201" s="638"/>
      <c r="U201" s="638"/>
      <c r="V201" s="638"/>
      <c r="W201" s="638"/>
      <c r="X201" s="638"/>
      <c r="Y201" s="638"/>
      <c r="Z201" s="638"/>
      <c r="AA201" s="638"/>
      <c r="AB201" s="638"/>
      <c r="AC201" s="638"/>
      <c r="AD201" s="638"/>
      <c r="AE201" s="638"/>
      <c r="AF201" s="638"/>
      <c r="AG201" s="446"/>
      <c r="AH201" s="638"/>
      <c r="AI201" s="638"/>
      <c r="AJ201" s="638"/>
      <c r="AK201" s="638"/>
      <c r="AL201" s="638"/>
      <c r="AM201" s="638"/>
      <c r="AN201" s="484"/>
      <c r="AO201" s="484"/>
      <c r="AP201" s="484"/>
      <c r="AQ201" s="484">
        <f>+FL_1($U$202,$T$200,$G$201,1200,9.28,-1*$F$202)</f>
        <v>0.40526999999999996</v>
      </c>
      <c r="AR201" s="484"/>
      <c r="AS201" s="484"/>
      <c r="AT201" s="484"/>
      <c r="AU201" s="484"/>
      <c r="AV201" s="484"/>
      <c r="AW201" s="638"/>
      <c r="AX201" s="638"/>
      <c r="AY201" s="484"/>
      <c r="AZ201" s="484"/>
      <c r="BA201" s="671"/>
      <c r="BB201" s="449"/>
      <c r="BD201" s="1330"/>
      <c r="BE201" s="1330"/>
      <c r="BF201" s="1330"/>
      <c r="BG201" s="1330"/>
    </row>
    <row r="202" spans="1:59" ht="12.5">
      <c r="A202" s="449"/>
      <c r="B202" s="436" t="s">
        <v>2024</v>
      </c>
      <c r="C202" s="446">
        <f>+$C$200+$G$201</f>
        <v>96567.650000000067</v>
      </c>
      <c r="D202" s="446"/>
      <c r="E202" s="638"/>
      <c r="F202" s="447">
        <v>0</v>
      </c>
      <c r="G202" s="484"/>
      <c r="H202" s="1239" t="s">
        <v>619</v>
      </c>
      <c r="I202" s="1239"/>
      <c r="J202" s="171"/>
      <c r="K202" s="638"/>
      <c r="L202" s="638"/>
      <c r="M202" s="638"/>
      <c r="N202" s="1239" t="s">
        <v>845</v>
      </c>
      <c r="O202" s="1239" t="s">
        <v>844</v>
      </c>
      <c r="P202" s="1239"/>
      <c r="Q202" s="638">
        <v>0</v>
      </c>
      <c r="R202" s="638">
        <v>0</v>
      </c>
      <c r="S202" s="484"/>
      <c r="T202" s="638">
        <v>15</v>
      </c>
      <c r="U202" s="638">
        <v>30</v>
      </c>
      <c r="V202" s="638"/>
      <c r="W202" s="638">
        <v>2</v>
      </c>
      <c r="X202" s="638">
        <v>1.4</v>
      </c>
      <c r="Y202" s="638"/>
      <c r="Z202" s="638">
        <v>0.39</v>
      </c>
      <c r="AA202" s="638"/>
      <c r="AB202" s="638"/>
      <c r="AC202" s="638" t="s">
        <v>1421</v>
      </c>
      <c r="AD202" s="638"/>
      <c r="AE202" s="638"/>
      <c r="AF202" s="638">
        <v>200</v>
      </c>
      <c r="AG202" s="446">
        <v>96567</v>
      </c>
      <c r="AH202" s="638">
        <v>1623</v>
      </c>
      <c r="AI202" s="638">
        <v>-5400</v>
      </c>
      <c r="AJ202" s="638"/>
      <c r="AK202" s="638" t="s">
        <v>228</v>
      </c>
      <c r="AL202" s="638"/>
      <c r="AM202" s="638"/>
      <c r="AN202" s="484">
        <v>5.5</v>
      </c>
      <c r="AO202" s="484"/>
      <c r="AP202" s="484"/>
      <c r="AQ202" s="484"/>
      <c r="AR202" s="484"/>
      <c r="AS202" s="484"/>
      <c r="AT202" s="484">
        <f>+ab(-$U$202,$T$200,-$U$204,$G$201,$G$203,-1*$F$202,1200)</f>
        <v>-10.437118031683021</v>
      </c>
      <c r="AU202" s="484"/>
      <c r="AV202" s="484"/>
      <c r="AW202" s="574"/>
      <c r="AX202" s="574"/>
      <c r="AY202" s="576"/>
      <c r="AZ202" s="576"/>
      <c r="BA202" s="671"/>
      <c r="BB202" s="449"/>
      <c r="BD202" s="1330"/>
      <c r="BE202" s="1329" t="s">
        <v>4946</v>
      </c>
      <c r="BF202" s="1330"/>
      <c r="BG202" s="1329">
        <v>43639</v>
      </c>
    </row>
    <row r="203" spans="1:59" ht="12.5">
      <c r="A203" s="449"/>
      <c r="B203" s="170"/>
      <c r="C203" s="446"/>
      <c r="D203" s="446"/>
      <c r="E203" s="638"/>
      <c r="F203" s="447"/>
      <c r="G203" s="484">
        <v>36.5</v>
      </c>
      <c r="H203" s="1239"/>
      <c r="I203" s="1239"/>
      <c r="J203" s="171"/>
      <c r="K203" s="638"/>
      <c r="L203" s="638"/>
      <c r="M203" s="638"/>
      <c r="N203" s="1239"/>
      <c r="O203" s="1239"/>
      <c r="P203" s="1239"/>
      <c r="Q203" s="638"/>
      <c r="R203" s="638"/>
      <c r="S203" s="484">
        <f>+AG204-AG202</f>
        <v>37</v>
      </c>
      <c r="T203" s="638"/>
      <c r="U203" s="638"/>
      <c r="V203" s="638"/>
      <c r="W203" s="638"/>
      <c r="X203" s="638"/>
      <c r="Y203" s="638"/>
      <c r="Z203" s="638"/>
      <c r="AA203" s="638"/>
      <c r="AB203" s="638"/>
      <c r="AC203" s="638"/>
      <c r="AD203" s="638"/>
      <c r="AE203" s="638"/>
      <c r="AF203" s="638"/>
      <c r="AG203" s="446"/>
      <c r="AH203" s="638"/>
      <c r="AI203" s="638"/>
      <c r="AJ203" s="638"/>
      <c r="AK203" s="638"/>
      <c r="AL203" s="638"/>
      <c r="AM203" s="638"/>
      <c r="AN203" s="484"/>
      <c r="AO203" s="484"/>
      <c r="AP203" s="484"/>
      <c r="AQ203" s="484">
        <f>+FL_1($U$204,$U$202,$G$203,1200,9.28,-1*$F$204)</f>
        <v>0.42878416666666663</v>
      </c>
      <c r="AR203" s="484"/>
      <c r="AS203" s="484"/>
      <c r="AT203" s="484"/>
      <c r="AU203" s="484"/>
      <c r="AV203" s="484"/>
      <c r="AW203" s="638"/>
      <c r="AX203" s="638"/>
      <c r="AY203" s="484"/>
      <c r="AZ203" s="484"/>
      <c r="BA203" s="671"/>
      <c r="BB203" s="449"/>
      <c r="BD203" s="1330"/>
      <c r="BE203" s="1330"/>
      <c r="BF203" s="1330"/>
      <c r="BG203" s="1330"/>
    </row>
    <row r="204" spans="1:59" ht="12.5">
      <c r="A204" s="966" t="s">
        <v>1663</v>
      </c>
      <c r="B204" s="625" t="s">
        <v>2025</v>
      </c>
      <c r="C204" s="505">
        <f>+$C$202+$G$203</f>
        <v>96604.150000000067</v>
      </c>
      <c r="D204" s="505"/>
      <c r="E204" s="506"/>
      <c r="F204" s="507">
        <v>0</v>
      </c>
      <c r="G204" s="508"/>
      <c r="H204" s="509" t="s">
        <v>2511</v>
      </c>
      <c r="I204" s="509"/>
      <c r="J204" s="510"/>
      <c r="K204" s="506"/>
      <c r="L204" s="506"/>
      <c r="M204" s="506"/>
      <c r="N204" s="509" t="s">
        <v>2794</v>
      </c>
      <c r="O204" s="509" t="s">
        <v>844</v>
      </c>
      <c r="P204" s="509"/>
      <c r="Q204" s="506">
        <v>0</v>
      </c>
      <c r="R204" s="506">
        <v>0</v>
      </c>
      <c r="S204" s="508"/>
      <c r="T204" s="506">
        <v>15</v>
      </c>
      <c r="U204" s="506">
        <v>30</v>
      </c>
      <c r="V204" s="506"/>
      <c r="W204" s="506">
        <v>2.2999999999999998</v>
      </c>
      <c r="X204" s="506">
        <v>1.4</v>
      </c>
      <c r="Y204" s="506"/>
      <c r="Z204" s="506"/>
      <c r="AA204" s="506"/>
      <c r="AB204" s="506"/>
      <c r="AC204" s="506" t="s">
        <v>4470</v>
      </c>
      <c r="AD204" s="506" t="s">
        <v>1427</v>
      </c>
      <c r="AE204" s="506"/>
      <c r="AF204" s="506">
        <v>600</v>
      </c>
      <c r="AG204" s="505">
        <v>96604</v>
      </c>
      <c r="AH204" s="506">
        <v>1603</v>
      </c>
      <c r="AI204" s="506">
        <v>-4780</v>
      </c>
      <c r="AJ204" s="506"/>
      <c r="AK204" s="506" t="s">
        <v>228</v>
      </c>
      <c r="AL204" s="506"/>
      <c r="AM204" s="506"/>
      <c r="AN204" s="508">
        <v>5.5</v>
      </c>
      <c r="AO204" s="508"/>
      <c r="AP204" s="508"/>
      <c r="AQ204" s="508"/>
      <c r="AR204" s="508"/>
      <c r="AS204" s="508"/>
      <c r="AT204" s="508">
        <f>+ab($U$204,$U$202,$U$206,$G$203,$G$205,-1*$F$204,1200)</f>
        <v>34.407130369051778</v>
      </c>
      <c r="AU204" s="508"/>
      <c r="AV204" s="508"/>
      <c r="AW204" s="506"/>
      <c r="AX204" s="506"/>
      <c r="AY204" s="508"/>
      <c r="AZ204" s="508"/>
      <c r="BA204" s="968"/>
      <c r="BB204" s="966"/>
      <c r="BD204" s="1330"/>
      <c r="BE204" s="1329" t="s">
        <v>4946</v>
      </c>
      <c r="BF204" s="1330"/>
      <c r="BG204" s="1329">
        <v>43656</v>
      </c>
    </row>
    <row r="205" spans="1:59" ht="12.5">
      <c r="A205" s="966"/>
      <c r="B205" s="626"/>
      <c r="C205" s="505"/>
      <c r="D205" s="505"/>
      <c r="E205" s="506"/>
      <c r="F205" s="507"/>
      <c r="G205" s="508">
        <v>40.9</v>
      </c>
      <c r="H205" s="507"/>
      <c r="I205" s="507"/>
      <c r="J205" s="505"/>
      <c r="K205" s="507"/>
      <c r="L205" s="506"/>
      <c r="M205" s="506"/>
      <c r="N205" s="509"/>
      <c r="O205" s="509"/>
      <c r="P205" s="509"/>
      <c r="Q205" s="506"/>
      <c r="R205" s="506"/>
      <c r="S205" s="508">
        <f>+AG206-AG204</f>
        <v>41</v>
      </c>
      <c r="T205" s="506"/>
      <c r="U205" s="506"/>
      <c r="V205" s="506"/>
      <c r="W205" s="506"/>
      <c r="X205" s="506"/>
      <c r="Y205" s="506"/>
      <c r="Z205" s="506"/>
      <c r="AA205" s="506"/>
      <c r="AB205" s="506"/>
      <c r="AC205" s="506"/>
      <c r="AD205" s="506"/>
      <c r="AE205" s="506"/>
      <c r="AF205" s="506"/>
      <c r="AG205" s="505"/>
      <c r="AH205" s="506"/>
      <c r="AI205" s="506"/>
      <c r="AJ205" s="506" t="s">
        <v>864</v>
      </c>
      <c r="AK205" s="506"/>
      <c r="AL205" s="506"/>
      <c r="AM205" s="506"/>
      <c r="AN205" s="508"/>
      <c r="AO205" s="508"/>
      <c r="AP205" s="508"/>
      <c r="AQ205" s="508">
        <f>+FL_1($U$206,$U$204,$G$205,1200,9.28,-1*$F$206)</f>
        <v>0.37716521747677262</v>
      </c>
      <c r="AR205" s="508"/>
      <c r="AS205" s="508"/>
      <c r="AT205" s="508"/>
      <c r="AU205" s="508"/>
      <c r="AV205" s="508"/>
      <c r="AW205" s="506"/>
      <c r="AX205" s="506"/>
      <c r="AY205" s="508"/>
      <c r="AZ205" s="508"/>
      <c r="BA205" s="968"/>
      <c r="BB205" s="966"/>
      <c r="BD205" s="1330"/>
      <c r="BE205" s="1330"/>
      <c r="BF205" s="1330"/>
      <c r="BG205" s="1330"/>
    </row>
    <row r="206" spans="1:59" ht="12.5">
      <c r="A206" s="449"/>
      <c r="B206" s="436" t="s">
        <v>2026</v>
      </c>
      <c r="C206" s="446">
        <f>+$C$204+$G$205</f>
        <v>96645.050000000061</v>
      </c>
      <c r="D206" s="446"/>
      <c r="E206" s="638"/>
      <c r="F206" s="447">
        <v>0</v>
      </c>
      <c r="G206" s="484"/>
      <c r="H206" s="447" t="s">
        <v>619</v>
      </c>
      <c r="I206" s="1239"/>
      <c r="J206" s="446"/>
      <c r="K206" s="447"/>
      <c r="L206" s="638"/>
      <c r="M206" s="638"/>
      <c r="N206" s="1239" t="s">
        <v>845</v>
      </c>
      <c r="O206" s="1239" t="s">
        <v>844</v>
      </c>
      <c r="P206" s="1239"/>
      <c r="Q206" s="638">
        <v>0</v>
      </c>
      <c r="R206" s="638">
        <v>0</v>
      </c>
      <c r="S206" s="484"/>
      <c r="T206" s="638">
        <v>55</v>
      </c>
      <c r="U206" s="638">
        <v>10</v>
      </c>
      <c r="V206" s="638"/>
      <c r="W206" s="638">
        <v>1.4</v>
      </c>
      <c r="X206" s="638">
        <v>1.8</v>
      </c>
      <c r="Y206" s="638"/>
      <c r="Z206" s="638">
        <v>0.27</v>
      </c>
      <c r="AA206" s="638"/>
      <c r="AB206" s="638"/>
      <c r="AC206" s="638" t="s">
        <v>4133</v>
      </c>
      <c r="AD206" s="638"/>
      <c r="AE206" s="638"/>
      <c r="AF206" s="638">
        <v>200</v>
      </c>
      <c r="AG206" s="446">
        <v>96645</v>
      </c>
      <c r="AH206" s="638">
        <v>1913</v>
      </c>
      <c r="AI206" s="638">
        <v>-5150</v>
      </c>
      <c r="AJ206" s="638"/>
      <c r="AK206" s="638" t="s">
        <v>228</v>
      </c>
      <c r="AL206" s="638"/>
      <c r="AM206" s="638"/>
      <c r="AN206" s="484">
        <v>5.44</v>
      </c>
      <c r="AO206" s="484"/>
      <c r="AP206" s="484"/>
      <c r="AQ206" s="484"/>
      <c r="AR206" s="484"/>
      <c r="AS206" s="484"/>
      <c r="AT206" s="484">
        <f>+ab($U$206,$U$204,$T$208,$G$205,$G$207,-1*$F$206,1200)</f>
        <v>37.199738875537726</v>
      </c>
      <c r="AU206" s="484"/>
      <c r="AV206" s="484"/>
      <c r="AW206" s="574"/>
      <c r="AX206" s="574"/>
      <c r="AY206" s="576"/>
      <c r="AZ206" s="576"/>
      <c r="BA206" s="671"/>
      <c r="BB206" s="449"/>
      <c r="BD206" s="1330"/>
      <c r="BE206" s="1329" t="s">
        <v>4946</v>
      </c>
      <c r="BF206" s="1330"/>
      <c r="BG206" s="1329">
        <v>43656</v>
      </c>
    </row>
    <row r="207" spans="1:59" ht="12.5">
      <c r="A207" s="449"/>
      <c r="B207" s="170"/>
      <c r="C207" s="446"/>
      <c r="D207" s="446"/>
      <c r="E207" s="447"/>
      <c r="F207" s="447"/>
      <c r="G207" s="484">
        <v>43</v>
      </c>
      <c r="H207" s="638"/>
      <c r="I207" s="1239"/>
      <c r="J207" s="446"/>
      <c r="K207" s="447"/>
      <c r="L207" s="638"/>
      <c r="M207" s="638"/>
      <c r="N207" s="1239"/>
      <c r="O207" s="1239"/>
      <c r="P207" s="1239"/>
      <c r="Q207" s="638"/>
      <c r="R207" s="638"/>
      <c r="S207" s="484">
        <f>+AG208-AG206</f>
        <v>43</v>
      </c>
      <c r="T207" s="638"/>
      <c r="U207" s="638"/>
      <c r="V207" s="638"/>
      <c r="W207" s="638"/>
      <c r="X207" s="638"/>
      <c r="Y207" s="638"/>
      <c r="Z207" s="638"/>
      <c r="AA207" s="638"/>
      <c r="AB207" s="638"/>
      <c r="AC207" s="638"/>
      <c r="AD207" s="638"/>
      <c r="AE207" s="638"/>
      <c r="AF207" s="638"/>
      <c r="AG207" s="446"/>
      <c r="AH207" s="638"/>
      <c r="AI207" s="638"/>
      <c r="AJ207" s="638"/>
      <c r="AK207" s="638"/>
      <c r="AL207" s="638"/>
      <c r="AM207" s="638"/>
      <c r="AN207" s="484"/>
      <c r="AO207" s="484"/>
      <c r="AP207" s="484"/>
      <c r="AQ207" s="484">
        <f>+FL_2($T$208,$U$206,$G$207,1200,9.28,-1*$F$208)</f>
        <v>-0.59295708181897133</v>
      </c>
      <c r="AR207" s="484"/>
      <c r="AS207" s="484"/>
      <c r="AT207" s="484"/>
      <c r="AU207" s="484"/>
      <c r="AV207" s="484"/>
      <c r="AW207" s="638"/>
      <c r="AX207" s="638"/>
      <c r="AY207" s="484"/>
      <c r="AZ207" s="484"/>
      <c r="BA207" s="671"/>
      <c r="BB207" s="449"/>
      <c r="BD207" s="1330"/>
      <c r="BE207" s="1330"/>
      <c r="BF207" s="1330"/>
      <c r="BG207" s="1330"/>
    </row>
    <row r="208" spans="1:59" ht="12.5">
      <c r="A208" s="449" t="s">
        <v>2957</v>
      </c>
      <c r="B208" s="436" t="s">
        <v>2027</v>
      </c>
      <c r="C208" s="446">
        <f>+$C$206+$G$207</f>
        <v>96688.050000000061</v>
      </c>
      <c r="D208" s="446"/>
      <c r="E208" s="638"/>
      <c r="F208" s="447">
        <v>-788.9</v>
      </c>
      <c r="G208" s="484"/>
      <c r="H208" s="1239" t="s">
        <v>619</v>
      </c>
      <c r="I208" s="1239" t="s">
        <v>1429</v>
      </c>
      <c r="J208" s="171"/>
      <c r="K208" s="638"/>
      <c r="L208" s="638"/>
      <c r="M208" s="638"/>
      <c r="N208" s="1239" t="s">
        <v>2794</v>
      </c>
      <c r="O208" s="1239" t="s">
        <v>845</v>
      </c>
      <c r="P208" s="1239"/>
      <c r="Q208" s="638">
        <v>40</v>
      </c>
      <c r="R208" s="638">
        <v>-288.86</v>
      </c>
      <c r="S208" s="484"/>
      <c r="T208" s="638">
        <v>-30</v>
      </c>
      <c r="U208" s="638">
        <v>-75</v>
      </c>
      <c r="V208" s="638"/>
      <c r="W208" s="638">
        <v>1.2</v>
      </c>
      <c r="X208" s="638">
        <v>1.8</v>
      </c>
      <c r="Y208" s="638"/>
      <c r="Z208" s="638"/>
      <c r="AA208" s="638">
        <v>0.4</v>
      </c>
      <c r="AB208" s="638"/>
      <c r="AC208" s="638" t="s">
        <v>4128</v>
      </c>
      <c r="AD208" s="638"/>
      <c r="AE208" s="638"/>
      <c r="AF208" s="638">
        <v>200</v>
      </c>
      <c r="AG208" s="446">
        <v>96688</v>
      </c>
      <c r="AH208" s="638">
        <v>1553</v>
      </c>
      <c r="AI208" s="638">
        <v>-5310</v>
      </c>
      <c r="AJ208" s="638" t="s">
        <v>2154</v>
      </c>
      <c r="AK208" s="638" t="s">
        <v>228</v>
      </c>
      <c r="AL208" s="638"/>
      <c r="AM208" s="638"/>
      <c r="AN208" s="484">
        <v>5.32</v>
      </c>
      <c r="AO208" s="484"/>
      <c r="AP208" s="484"/>
      <c r="AQ208" s="484"/>
      <c r="AR208" s="484"/>
      <c r="AS208" s="484"/>
      <c r="AT208" s="484">
        <f>+ab($T$208,$U$206,$T$210,$G$207,$G$209,-1*$F$208,1200)</f>
        <v>4.3969932150152555</v>
      </c>
      <c r="AU208" s="484"/>
      <c r="AV208" s="484"/>
      <c r="AW208" s="574"/>
      <c r="AX208" s="574"/>
      <c r="AY208" s="576"/>
      <c r="AZ208" s="576"/>
      <c r="BA208" s="671"/>
      <c r="BB208" s="449"/>
      <c r="BD208" s="1330"/>
      <c r="BE208" s="1329" t="s">
        <v>4946</v>
      </c>
      <c r="BF208" s="1330"/>
      <c r="BG208" s="1329">
        <v>43639</v>
      </c>
    </row>
    <row r="209" spans="1:59" ht="12.5">
      <c r="A209" s="449"/>
      <c r="B209" s="170"/>
      <c r="C209" s="446"/>
      <c r="D209" s="446"/>
      <c r="E209" s="638"/>
      <c r="F209" s="447"/>
      <c r="G209" s="484">
        <v>40.4</v>
      </c>
      <c r="H209" s="1239"/>
      <c r="I209" s="448"/>
      <c r="J209" s="171"/>
      <c r="K209" s="638"/>
      <c r="L209" s="638"/>
      <c r="M209" s="638"/>
      <c r="N209" s="1239"/>
      <c r="O209" s="1239"/>
      <c r="P209" s="1239"/>
      <c r="Q209" s="638"/>
      <c r="R209" s="638"/>
      <c r="S209" s="484">
        <f>+AG210-AG208</f>
        <v>40</v>
      </c>
      <c r="T209" s="638"/>
      <c r="U209" s="638"/>
      <c r="V209" s="638"/>
      <c r="W209" s="638"/>
      <c r="X209" s="638"/>
      <c r="Y209" s="638"/>
      <c r="Z209" s="624"/>
      <c r="AA209" s="638"/>
      <c r="AB209" s="638"/>
      <c r="AC209" s="638"/>
      <c r="AD209" s="638"/>
      <c r="AE209" s="638"/>
      <c r="AF209" s="638"/>
      <c r="AG209" s="446"/>
      <c r="AH209" s="638"/>
      <c r="AI209" s="638"/>
      <c r="AJ209" s="638"/>
      <c r="AK209" s="638"/>
      <c r="AL209" s="638"/>
      <c r="AM209" s="638"/>
      <c r="AN209" s="484"/>
      <c r="AO209" s="484"/>
      <c r="AP209" s="484"/>
      <c r="AQ209" s="484">
        <f>+FL_2(-$T$210,$T$208,$G$209,1200,9.28,-1*$F$210)</f>
        <v>-0.4964407375482896</v>
      </c>
      <c r="AR209" s="484"/>
      <c r="AS209" s="484"/>
      <c r="AT209" s="484"/>
      <c r="AU209" s="484"/>
      <c r="AV209" s="484"/>
      <c r="AW209" s="638"/>
      <c r="AX209" s="638"/>
      <c r="AY209" s="484"/>
      <c r="AZ209" s="484"/>
      <c r="BA209" s="671"/>
      <c r="BB209" s="449"/>
      <c r="BD209" s="1330"/>
      <c r="BE209" s="1330"/>
      <c r="BF209" s="1330"/>
      <c r="BG209" s="1330"/>
    </row>
    <row r="210" spans="1:59" ht="12.5">
      <c r="A210" s="414"/>
      <c r="B210" s="603" t="s">
        <v>2028</v>
      </c>
      <c r="C210" s="416">
        <f>+$C$208+$G$209</f>
        <v>96728.450000000055</v>
      </c>
      <c r="D210" s="416"/>
      <c r="E210" s="417"/>
      <c r="F210" s="418">
        <v>-708</v>
      </c>
      <c r="G210" s="422"/>
      <c r="H210" s="417" t="s">
        <v>619</v>
      </c>
      <c r="I210" s="417"/>
      <c r="J210" s="432"/>
      <c r="K210" s="417"/>
      <c r="L210" s="417"/>
      <c r="M210" s="417"/>
      <c r="N210" s="420" t="s">
        <v>2794</v>
      </c>
      <c r="O210" s="420" t="s">
        <v>845</v>
      </c>
      <c r="P210" s="420"/>
      <c r="Q210" s="417">
        <v>60</v>
      </c>
      <c r="R210" s="418">
        <v>-1150</v>
      </c>
      <c r="S210" s="422"/>
      <c r="T210" s="417">
        <v>-30</v>
      </c>
      <c r="U210" s="417">
        <v>-45</v>
      </c>
      <c r="V210" s="417"/>
      <c r="W210" s="417">
        <v>0.8</v>
      </c>
      <c r="X210" s="417">
        <v>1</v>
      </c>
      <c r="Y210" s="417"/>
      <c r="Z210" s="417"/>
      <c r="AA210" s="417">
        <v>0.4</v>
      </c>
      <c r="AB210" s="417"/>
      <c r="AC210" s="417" t="s">
        <v>4117</v>
      </c>
      <c r="AD210" s="417"/>
      <c r="AE210" s="417"/>
      <c r="AF210" s="417">
        <v>200</v>
      </c>
      <c r="AG210" s="416">
        <v>96728</v>
      </c>
      <c r="AH210" s="417">
        <v>1673</v>
      </c>
      <c r="AI210" s="417">
        <v>-5210</v>
      </c>
      <c r="AJ210" s="417"/>
      <c r="AK210" s="417" t="s">
        <v>228</v>
      </c>
      <c r="AL210" s="417"/>
      <c r="AM210" s="417"/>
      <c r="AN210" s="422">
        <v>5.21</v>
      </c>
      <c r="AO210" s="422"/>
      <c r="AP210" s="422"/>
      <c r="AQ210" s="422"/>
      <c r="AR210" s="422"/>
      <c r="AS210" s="422"/>
      <c r="AT210" s="422">
        <f>+ab($T$210,$T$208,$T$212,$G$209,$G$211,-1*$F$210,1200)</f>
        <v>4.2670037264070046</v>
      </c>
      <c r="AU210" s="422"/>
      <c r="AV210" s="422"/>
      <c r="AW210" s="417"/>
      <c r="AX210" s="417"/>
      <c r="AY210" s="422"/>
      <c r="AZ210" s="422"/>
      <c r="BA210" s="604"/>
      <c r="BB210" s="414"/>
      <c r="BD210" s="1330"/>
      <c r="BE210" s="1329" t="s">
        <v>4946</v>
      </c>
      <c r="BF210" s="1330"/>
      <c r="BG210" s="1329">
        <v>43639</v>
      </c>
    </row>
    <row r="211" spans="1:59" ht="12.5">
      <c r="A211" s="414"/>
      <c r="B211" s="423"/>
      <c r="C211" s="416"/>
      <c r="D211" s="416"/>
      <c r="E211" s="417"/>
      <c r="F211" s="418"/>
      <c r="G211" s="422">
        <v>40.6</v>
      </c>
      <c r="H211" s="417"/>
      <c r="I211" s="417"/>
      <c r="J211" s="432"/>
      <c r="K211" s="417"/>
      <c r="L211" s="417"/>
      <c r="M211" s="417"/>
      <c r="N211" s="420"/>
      <c r="O211" s="420"/>
      <c r="P211" s="420"/>
      <c r="Q211" s="417"/>
      <c r="R211" s="418"/>
      <c r="S211" s="422">
        <f>+AG212-AG210</f>
        <v>41.419999999998254</v>
      </c>
      <c r="T211" s="417"/>
      <c r="U211" s="417"/>
      <c r="V211" s="417"/>
      <c r="W211" s="417"/>
      <c r="X211" s="417"/>
      <c r="Y211" s="417"/>
      <c r="Z211" s="417"/>
      <c r="AA211" s="417"/>
      <c r="AB211" s="417"/>
      <c r="AC211" s="417"/>
      <c r="AD211" s="417"/>
      <c r="AE211" s="417"/>
      <c r="AF211" s="417"/>
      <c r="AG211" s="416"/>
      <c r="AH211" s="417"/>
      <c r="AI211" s="417"/>
      <c r="AJ211" s="417"/>
      <c r="AK211" s="417"/>
      <c r="AL211" s="417"/>
      <c r="AM211" s="417"/>
      <c r="AN211" s="422"/>
      <c r="AO211" s="422"/>
      <c r="AP211" s="422"/>
      <c r="AQ211" s="422">
        <f>+FL_2($T$212,-$T$210,$G$211,1200,9.28,-1*$F$212)</f>
        <v>-0.20181269610332617</v>
      </c>
      <c r="AR211" s="422"/>
      <c r="AS211" s="422"/>
      <c r="AT211" s="422"/>
      <c r="AU211" s="422"/>
      <c r="AV211" s="422"/>
      <c r="AW211" s="417"/>
      <c r="AX211" s="417"/>
      <c r="AY211" s="422"/>
      <c r="AZ211" s="422"/>
      <c r="BA211" s="604"/>
      <c r="BB211" s="414"/>
      <c r="BD211" s="1330"/>
      <c r="BE211" s="1330"/>
      <c r="BF211" s="1330"/>
      <c r="BG211" s="1330"/>
    </row>
    <row r="212" spans="1:59" ht="12.5">
      <c r="A212" s="414"/>
      <c r="B212" s="603" t="s">
        <v>2029</v>
      </c>
      <c r="C212" s="416">
        <f>+$C$210+$G$211</f>
        <v>96769.050000000061</v>
      </c>
      <c r="D212" s="416"/>
      <c r="E212" s="417"/>
      <c r="F212" s="418">
        <v>-708</v>
      </c>
      <c r="G212" s="422"/>
      <c r="H212" s="417" t="s">
        <v>619</v>
      </c>
      <c r="I212" s="417"/>
      <c r="J212" s="432"/>
      <c r="K212" s="417"/>
      <c r="L212" s="417"/>
      <c r="M212" s="417"/>
      <c r="N212" s="420" t="s">
        <v>844</v>
      </c>
      <c r="O212" s="420" t="s">
        <v>845</v>
      </c>
      <c r="P212" s="420"/>
      <c r="Q212" s="417">
        <v>40</v>
      </c>
      <c r="R212" s="418">
        <v>-708</v>
      </c>
      <c r="S212" s="422"/>
      <c r="T212" s="417">
        <v>20</v>
      </c>
      <c r="U212" s="417">
        <v>-75</v>
      </c>
      <c r="V212" s="417"/>
      <c r="W212" s="417">
        <v>0.8</v>
      </c>
      <c r="X212" s="417">
        <v>1.2</v>
      </c>
      <c r="Y212" s="417"/>
      <c r="Z212" s="417"/>
      <c r="AA212" s="417">
        <v>0.6</v>
      </c>
      <c r="AB212" s="417"/>
      <c r="AC212" s="417" t="s">
        <v>3050</v>
      </c>
      <c r="AD212" s="417"/>
      <c r="AE212" s="417"/>
      <c r="AF212" s="417">
        <v>200</v>
      </c>
      <c r="AG212" s="416">
        <v>96769.42</v>
      </c>
      <c r="AH212" s="417">
        <v>1550</v>
      </c>
      <c r="AI212" s="417">
        <v>-5100</v>
      </c>
      <c r="AJ212" s="417"/>
      <c r="AK212" s="417" t="s">
        <v>228</v>
      </c>
      <c r="AL212" s="417"/>
      <c r="AM212" s="417"/>
      <c r="AN212" s="422">
        <v>5.15</v>
      </c>
      <c r="AO212" s="422"/>
      <c r="AP212" s="422"/>
      <c r="AQ212" s="422"/>
      <c r="AR212" s="422"/>
      <c r="AS212" s="422"/>
      <c r="AT212" s="422">
        <f>+ab($T$212,$T$210,$T$214,$G$211,$G$213,-1*$F$212,1200)</f>
        <v>2.3709502228276533</v>
      </c>
      <c r="AU212" s="422"/>
      <c r="AV212" s="422"/>
      <c r="AW212" s="417"/>
      <c r="AX212" s="417"/>
      <c r="AY212" s="422"/>
      <c r="AZ212" s="422"/>
      <c r="BA212" s="604"/>
      <c r="BB212" s="414"/>
      <c r="BD212" s="1330"/>
      <c r="BE212" s="1329" t="s">
        <v>4946</v>
      </c>
      <c r="BF212" s="1330"/>
      <c r="BG212" s="1329">
        <v>43636</v>
      </c>
    </row>
    <row r="213" spans="1:59" ht="12.5">
      <c r="A213" s="488" t="s">
        <v>1851</v>
      </c>
      <c r="B213" s="443"/>
      <c r="C213" s="489"/>
      <c r="D213" s="489"/>
      <c r="E213" s="490"/>
      <c r="F213" s="491"/>
      <c r="G213" s="493">
        <v>56.5</v>
      </c>
      <c r="H213" s="495" t="s">
        <v>890</v>
      </c>
      <c r="I213" s="495" t="s">
        <v>840</v>
      </c>
      <c r="J213" s="431">
        <f>C212+30</f>
        <v>96799.050000000061</v>
      </c>
      <c r="K213" s="490" t="s">
        <v>894</v>
      </c>
      <c r="L213" s="490"/>
      <c r="M213" s="490"/>
      <c r="N213" s="495"/>
      <c r="O213" s="495"/>
      <c r="P213" s="495"/>
      <c r="Q213" s="490"/>
      <c r="R213" s="491"/>
      <c r="S213" s="493">
        <v>59.4</v>
      </c>
      <c r="T213" s="490"/>
      <c r="U213" s="490"/>
      <c r="V213" s="490"/>
      <c r="W213" s="490"/>
      <c r="X213" s="490"/>
      <c r="Y213" s="490"/>
      <c r="Z213" s="490"/>
      <c r="AA213" s="490"/>
      <c r="AB213" s="490"/>
      <c r="AC213" s="490"/>
      <c r="AD213" s="490"/>
      <c r="AE213" s="490"/>
      <c r="AF213" s="490"/>
      <c r="AG213" s="489"/>
      <c r="AH213" s="490"/>
      <c r="AI213" s="490"/>
      <c r="AJ213" s="490"/>
      <c r="AK213" s="490"/>
      <c r="AL213" s="490"/>
      <c r="AM213" s="490" t="s">
        <v>2879</v>
      </c>
      <c r="AN213" s="493"/>
      <c r="AO213" s="493"/>
      <c r="AP213" s="493"/>
      <c r="AQ213" s="493">
        <f>+FL_1($T$214,$T$212,$G$213,1200,9.28,-1*$F$214)</f>
        <v>0.29855611093400247</v>
      </c>
      <c r="AR213" s="493"/>
      <c r="AS213" s="493"/>
      <c r="AT213" s="493"/>
      <c r="AU213" s="493"/>
      <c r="AV213" s="493"/>
      <c r="AW213" s="490" t="s">
        <v>4484</v>
      </c>
      <c r="AX213" s="490"/>
      <c r="AY213" s="493"/>
      <c r="AZ213" s="493"/>
      <c r="BA213" s="602"/>
      <c r="BB213" s="488"/>
      <c r="BD213" s="1330"/>
      <c r="BE213" s="1330"/>
      <c r="BF213" s="1330"/>
      <c r="BG213" s="1330"/>
    </row>
    <row r="214" spans="1:59" ht="12.5">
      <c r="A214" s="414"/>
      <c r="B214" s="603" t="s">
        <v>2030</v>
      </c>
      <c r="C214" s="416">
        <f>+$C$212+$G$213</f>
        <v>96825.550000000061</v>
      </c>
      <c r="D214" s="416"/>
      <c r="E214" s="417"/>
      <c r="F214" s="418">
        <v>-1900</v>
      </c>
      <c r="G214" s="422"/>
      <c r="H214" s="420"/>
      <c r="I214" s="420"/>
      <c r="J214" s="432"/>
      <c r="K214" s="417"/>
      <c r="L214" s="417" t="s">
        <v>2399</v>
      </c>
      <c r="M214" s="417" t="s">
        <v>2811</v>
      </c>
      <c r="N214" s="420" t="s">
        <v>634</v>
      </c>
      <c r="O214" s="420"/>
      <c r="P214" s="420"/>
      <c r="Q214" s="417">
        <v>30</v>
      </c>
      <c r="R214" s="418">
        <v>-1900</v>
      </c>
      <c r="S214" s="422"/>
      <c r="T214" s="417">
        <v>20</v>
      </c>
      <c r="U214" s="417"/>
      <c r="V214" s="417"/>
      <c r="W214" s="417">
        <v>0.8</v>
      </c>
      <c r="X214" s="417"/>
      <c r="Y214" s="417"/>
      <c r="Z214" s="417"/>
      <c r="AA214" s="417"/>
      <c r="AB214" s="417"/>
      <c r="AC214" s="417" t="s">
        <v>4090</v>
      </c>
      <c r="AD214" s="417"/>
      <c r="AE214" s="417"/>
      <c r="AF214" s="417">
        <v>200</v>
      </c>
      <c r="AG214" s="416">
        <v>96807.41</v>
      </c>
      <c r="AH214" s="417">
        <v>1913</v>
      </c>
      <c r="AI214" s="417">
        <v>-5205</v>
      </c>
      <c r="AJ214" s="417"/>
      <c r="AK214" s="417"/>
      <c r="AL214" s="417"/>
      <c r="AM214" s="417" t="s">
        <v>2879</v>
      </c>
      <c r="AN214" s="422">
        <v>5.15</v>
      </c>
      <c r="AO214" s="422"/>
      <c r="AP214" s="422"/>
      <c r="AQ214" s="422"/>
      <c r="AR214" s="422"/>
      <c r="AS214" s="422"/>
      <c r="AT214" s="422">
        <f>+ab($T$214,$T$212,$T$216,$G$213,$G$215,-1*$F$214,1200)</f>
        <v>7.4217923480746588</v>
      </c>
      <c r="AU214" s="422"/>
      <c r="AV214" s="422"/>
      <c r="AW214" s="417" t="s">
        <v>4179</v>
      </c>
      <c r="AX214" s="417"/>
      <c r="AY214" s="422"/>
      <c r="AZ214" s="422"/>
      <c r="BA214" s="604" t="s">
        <v>2809</v>
      </c>
      <c r="BB214" s="414"/>
      <c r="BD214" s="1330"/>
      <c r="BE214" s="1329" t="s">
        <v>4946</v>
      </c>
      <c r="BF214" s="1330"/>
      <c r="BG214" s="1329">
        <v>43556</v>
      </c>
    </row>
    <row r="215" spans="1:59" ht="12.5">
      <c r="A215" s="414"/>
      <c r="B215" s="423"/>
      <c r="C215" s="416"/>
      <c r="D215" s="416"/>
      <c r="E215" s="417"/>
      <c r="F215" s="418"/>
      <c r="G215" s="422">
        <v>41.2</v>
      </c>
      <c r="H215" s="420"/>
      <c r="I215" s="420"/>
      <c r="J215" s="432"/>
      <c r="K215" s="417"/>
      <c r="L215" s="417"/>
      <c r="M215" s="417"/>
      <c r="N215" s="420"/>
      <c r="O215" s="420"/>
      <c r="P215" s="420"/>
      <c r="Q215" s="417"/>
      <c r="R215" s="418"/>
      <c r="S215" s="422">
        <f>+AG216-AG214</f>
        <v>59.25</v>
      </c>
      <c r="T215" s="417"/>
      <c r="U215" s="417"/>
      <c r="V215" s="417"/>
      <c r="W215" s="417"/>
      <c r="X215" s="417"/>
      <c r="Y215" s="417"/>
      <c r="Z215" s="417"/>
      <c r="AA215" s="417"/>
      <c r="AB215" s="417"/>
      <c r="AC215" s="417"/>
      <c r="AD215" s="417"/>
      <c r="AE215" s="417"/>
      <c r="AF215" s="417"/>
      <c r="AG215" s="416"/>
      <c r="AH215" s="417"/>
      <c r="AI215" s="417"/>
      <c r="AJ215" s="417"/>
      <c r="AK215" s="417"/>
      <c r="AL215" s="417"/>
      <c r="AM215" s="417"/>
      <c r="AN215" s="422"/>
      <c r="AO215" s="422"/>
      <c r="AP215" s="422"/>
      <c r="AQ215" s="422">
        <f>+FL_1($T$216,$T$214,$G$215,1200,9.28,-1*$F$216)</f>
        <v>0.25240890041814273</v>
      </c>
      <c r="AR215" s="422"/>
      <c r="AS215" s="422"/>
      <c r="AT215" s="422"/>
      <c r="AU215" s="422"/>
      <c r="AV215" s="422"/>
      <c r="AW215" s="417"/>
      <c r="AX215" s="417"/>
      <c r="AY215" s="422"/>
      <c r="AZ215" s="422"/>
      <c r="BA215" s="604"/>
      <c r="BB215" s="414"/>
      <c r="BD215" s="1330"/>
      <c r="BE215" s="1330"/>
      <c r="BF215" s="1330"/>
      <c r="BG215" s="1330"/>
    </row>
    <row r="216" spans="1:59" ht="12.5">
      <c r="A216" s="414" t="s">
        <v>1855</v>
      </c>
      <c r="B216" s="603" t="s">
        <v>2031</v>
      </c>
      <c r="C216" s="416">
        <f>+$C$214+$G$215</f>
        <v>96866.750000000058</v>
      </c>
      <c r="D216" s="416"/>
      <c r="E216" s="417"/>
      <c r="F216" s="418">
        <v>-1900</v>
      </c>
      <c r="G216" s="422"/>
      <c r="H216" s="420"/>
      <c r="I216" s="420"/>
      <c r="J216" s="432"/>
      <c r="K216" s="417"/>
      <c r="L216" s="417" t="s">
        <v>2399</v>
      </c>
      <c r="M216" s="417" t="s">
        <v>2811</v>
      </c>
      <c r="N216" s="420" t="s">
        <v>634</v>
      </c>
      <c r="O216" s="420"/>
      <c r="P216" s="420"/>
      <c r="Q216" s="417">
        <v>33</v>
      </c>
      <c r="R216" s="418">
        <v>-1900</v>
      </c>
      <c r="S216" s="422"/>
      <c r="T216" s="417">
        <v>20</v>
      </c>
      <c r="U216" s="417"/>
      <c r="V216" s="417"/>
      <c r="W216" s="417">
        <v>0.8</v>
      </c>
      <c r="X216" s="417"/>
      <c r="Y216" s="417"/>
      <c r="Z216" s="417"/>
      <c r="AA216" s="417"/>
      <c r="AB216" s="417"/>
      <c r="AC216" s="417" t="s">
        <v>4090</v>
      </c>
      <c r="AD216" s="417"/>
      <c r="AE216" s="417"/>
      <c r="AF216" s="417">
        <v>200</v>
      </c>
      <c r="AG216" s="416">
        <v>96866.66</v>
      </c>
      <c r="AH216" s="417">
        <v>1803</v>
      </c>
      <c r="AI216" s="417">
        <v>-5208</v>
      </c>
      <c r="AJ216" s="417"/>
      <c r="AK216" s="417"/>
      <c r="AL216" s="417"/>
      <c r="AM216" s="417" t="s">
        <v>2879</v>
      </c>
      <c r="AN216" s="422">
        <v>5.15</v>
      </c>
      <c r="AO216" s="422"/>
      <c r="AP216" s="422"/>
      <c r="AQ216" s="422"/>
      <c r="AR216" s="422"/>
      <c r="AS216" s="422"/>
      <c r="AT216" s="422">
        <f>+ab($T$216,$T$214,$T$218,$G$215,$G$217,-1*$F$216,1200)</f>
        <v>7.5361966634298998</v>
      </c>
      <c r="AU216" s="422"/>
      <c r="AV216" s="422"/>
      <c r="AW216" s="417" t="s">
        <v>4179</v>
      </c>
      <c r="AX216" s="417"/>
      <c r="AY216" s="422"/>
      <c r="AZ216" s="422"/>
      <c r="BA216" s="604" t="s">
        <v>2809</v>
      </c>
      <c r="BB216" s="414"/>
      <c r="BD216" s="1330"/>
      <c r="BE216" s="1329" t="s">
        <v>4946</v>
      </c>
      <c r="BF216" s="1330"/>
      <c r="BG216" s="1329">
        <v>43557</v>
      </c>
    </row>
    <row r="217" spans="1:59" ht="12.5">
      <c r="A217" s="414" t="s">
        <v>1854</v>
      </c>
      <c r="B217" s="423"/>
      <c r="C217" s="416"/>
      <c r="D217" s="416"/>
      <c r="E217" s="417"/>
      <c r="F217" s="418"/>
      <c r="G217" s="422">
        <v>55</v>
      </c>
      <c r="H217" s="420"/>
      <c r="I217" s="417"/>
      <c r="J217" s="432"/>
      <c r="K217" s="417"/>
      <c r="L217" s="417"/>
      <c r="M217" s="417"/>
      <c r="N217" s="420"/>
      <c r="O217" s="420"/>
      <c r="P217" s="420"/>
      <c r="Q217" s="417"/>
      <c r="R217" s="418"/>
      <c r="S217" s="422">
        <f>+AG218-AG216</f>
        <v>55.559999999997672</v>
      </c>
      <c r="T217" s="417"/>
      <c r="U217" s="417"/>
      <c r="V217" s="417"/>
      <c r="W217" s="417"/>
      <c r="X217" s="417"/>
      <c r="Y217" s="417"/>
      <c r="Z217" s="417"/>
      <c r="AA217" s="417"/>
      <c r="AB217" s="417"/>
      <c r="AC217" s="417"/>
      <c r="AD217" s="417"/>
      <c r="AE217" s="417"/>
      <c r="AF217" s="417"/>
      <c r="AG217" s="416"/>
      <c r="AH217" s="417"/>
      <c r="AI217" s="417"/>
      <c r="AJ217" s="417"/>
      <c r="AK217" s="417"/>
      <c r="AL217" s="417"/>
      <c r="AM217" s="417"/>
      <c r="AN217" s="422"/>
      <c r="AO217" s="422"/>
      <c r="AP217" s="422"/>
      <c r="AQ217" s="422">
        <f>+FL_1($T$218,$T$216,$G$217,1200,9.28,-1*$F$218)</f>
        <v>0.29339308498601774</v>
      </c>
      <c r="AR217" s="422"/>
      <c r="AS217" s="422"/>
      <c r="AT217" s="422"/>
      <c r="AU217" s="422"/>
      <c r="AV217" s="422"/>
      <c r="AW217" s="417"/>
      <c r="AX217" s="417"/>
      <c r="AY217" s="422"/>
      <c r="AZ217" s="422"/>
      <c r="BA217" s="604"/>
      <c r="BB217" s="414"/>
      <c r="BD217" s="1330"/>
      <c r="BE217" s="1330"/>
      <c r="BF217" s="1330"/>
      <c r="BG217" s="1330"/>
    </row>
    <row r="218" spans="1:59" ht="13">
      <c r="A218" s="414"/>
      <c r="B218" s="603" t="s">
        <v>2032</v>
      </c>
      <c r="C218" s="627">
        <f>+$C$216+$G$217+1.1</f>
        <v>96922.850000000064</v>
      </c>
      <c r="D218" s="416"/>
      <c r="E218" s="417"/>
      <c r="F218" s="418">
        <v>-1900</v>
      </c>
      <c r="G218" s="422"/>
      <c r="H218" s="420"/>
      <c r="I218" s="420"/>
      <c r="J218" s="432"/>
      <c r="K218" s="417"/>
      <c r="L218" s="417"/>
      <c r="M218" s="417"/>
      <c r="N218" s="420" t="s">
        <v>844</v>
      </c>
      <c r="O218" s="420"/>
      <c r="P218" s="420"/>
      <c r="Q218" s="417">
        <v>17</v>
      </c>
      <c r="R218" s="418">
        <v>-1900</v>
      </c>
      <c r="S218" s="422"/>
      <c r="T218" s="417">
        <v>20</v>
      </c>
      <c r="U218" s="417"/>
      <c r="V218" s="417"/>
      <c r="W218" s="417">
        <v>1</v>
      </c>
      <c r="X218" s="417"/>
      <c r="Y218" s="417"/>
      <c r="Z218" s="417"/>
      <c r="AA218" s="417"/>
      <c r="AB218" s="417"/>
      <c r="AC218" s="417" t="s">
        <v>4090</v>
      </c>
      <c r="AD218" s="417"/>
      <c r="AE218" s="417"/>
      <c r="AF218" s="417">
        <v>200</v>
      </c>
      <c r="AG218" s="416">
        <v>96922.22</v>
      </c>
      <c r="AH218" s="417">
        <v>1743</v>
      </c>
      <c r="AI218" s="417">
        <v>-5491</v>
      </c>
      <c r="AJ218" s="417"/>
      <c r="AK218" s="417" t="s">
        <v>139</v>
      </c>
      <c r="AL218" s="417"/>
      <c r="AM218" s="417"/>
      <c r="AN218" s="422">
        <v>5.24</v>
      </c>
      <c r="AO218" s="422"/>
      <c r="AP218" s="422"/>
      <c r="AQ218" s="422"/>
      <c r="AR218" s="422"/>
      <c r="AS218" s="422"/>
      <c r="AT218" s="422">
        <f>+ab($T$218,-$T$216,$T$220,$G$217,$G$219,-1*$F$218,1200)</f>
        <v>5.3840647778778399</v>
      </c>
      <c r="AU218" s="422"/>
      <c r="AV218" s="422"/>
      <c r="AW218" s="417"/>
      <c r="AX218" s="417"/>
      <c r="AY218" s="422"/>
      <c r="AZ218" s="422"/>
      <c r="BA218" s="604"/>
      <c r="BB218" s="414"/>
      <c r="BD218" s="1330"/>
      <c r="BE218" s="1329" t="s">
        <v>4946</v>
      </c>
      <c r="BF218" s="1330"/>
      <c r="BG218" s="1329">
        <v>43557</v>
      </c>
    </row>
    <row r="219" spans="1:59" ht="12.5">
      <c r="A219" s="414"/>
      <c r="B219" s="423"/>
      <c r="C219" s="416"/>
      <c r="D219" s="416"/>
      <c r="E219" s="417"/>
      <c r="F219" s="418"/>
      <c r="G219" s="422">
        <v>52.4</v>
      </c>
      <c r="H219" s="420"/>
      <c r="I219" s="420"/>
      <c r="J219" s="432"/>
      <c r="K219" s="417"/>
      <c r="L219" s="417"/>
      <c r="M219" s="417"/>
      <c r="N219" s="420"/>
      <c r="O219" s="420"/>
      <c r="P219" s="420"/>
      <c r="Q219" s="417"/>
      <c r="R219" s="418"/>
      <c r="S219" s="422">
        <f>+AG220-AG218</f>
        <v>53.779999999998836</v>
      </c>
      <c r="T219" s="417"/>
      <c r="U219" s="417"/>
      <c r="V219" s="417"/>
      <c r="W219" s="417"/>
      <c r="X219" s="417"/>
      <c r="Y219" s="417"/>
      <c r="Z219" s="417"/>
      <c r="AA219" s="417"/>
      <c r="AB219" s="417"/>
      <c r="AC219" s="417"/>
      <c r="AD219" s="417"/>
      <c r="AE219" s="417"/>
      <c r="AF219" s="417"/>
      <c r="AG219" s="416"/>
      <c r="AH219" s="417"/>
      <c r="AI219" s="417"/>
      <c r="AJ219" s="417"/>
      <c r="AK219" s="417"/>
      <c r="AL219" s="417"/>
      <c r="AM219" s="417"/>
      <c r="AN219" s="422"/>
      <c r="AO219" s="422"/>
      <c r="AP219" s="422"/>
      <c r="AQ219" s="422">
        <f>+FL_2($T$220,$T$218,$G$219,1200,9.28,-1*$F$220)</f>
        <v>-6.5423466666666624E-2</v>
      </c>
      <c r="AR219" s="422"/>
      <c r="AS219" s="422"/>
      <c r="AT219" s="422"/>
      <c r="AU219" s="422"/>
      <c r="AV219" s="422"/>
      <c r="AW219" s="417"/>
      <c r="AX219" s="417"/>
      <c r="AY219" s="422"/>
      <c r="AZ219" s="422"/>
      <c r="BA219" s="604"/>
      <c r="BB219" s="414"/>
      <c r="BD219" s="1330"/>
      <c r="BE219" s="1330"/>
      <c r="BF219" s="1330"/>
      <c r="BG219" s="1330"/>
    </row>
    <row r="220" spans="1:59" ht="12.5">
      <c r="A220" s="414"/>
      <c r="B220" s="603" t="s">
        <v>2033</v>
      </c>
      <c r="C220" s="416">
        <f>+$C$218+$G$219</f>
        <v>96975.250000000058</v>
      </c>
      <c r="D220" s="416"/>
      <c r="E220" s="417"/>
      <c r="F220" s="418">
        <v>0</v>
      </c>
      <c r="G220" s="422"/>
      <c r="H220" s="420"/>
      <c r="I220" s="420"/>
      <c r="J220" s="432"/>
      <c r="K220" s="417"/>
      <c r="L220" s="417"/>
      <c r="M220" s="417"/>
      <c r="N220" s="420" t="s">
        <v>844</v>
      </c>
      <c r="O220" s="420"/>
      <c r="P220" s="420"/>
      <c r="Q220" s="417">
        <v>0</v>
      </c>
      <c r="R220" s="418">
        <v>0</v>
      </c>
      <c r="S220" s="422"/>
      <c r="T220" s="417">
        <v>20</v>
      </c>
      <c r="U220" s="417"/>
      <c r="V220" s="417"/>
      <c r="W220" s="417">
        <v>1.2</v>
      </c>
      <c r="X220" s="417"/>
      <c r="Y220" s="417"/>
      <c r="Z220" s="417"/>
      <c r="AA220" s="417"/>
      <c r="AB220" s="417"/>
      <c r="AC220" s="417" t="str">
        <f>IF(OR(AT220&gt;8,AT220&lt;-8),"PH-1150",IF(OR(AT220&gt;5,AT220&lt;-5),"PHQ-",IF(OR(AT220&gt;1,AT220&lt;-1),"PHC-")))</f>
        <v>PH-1150</v>
      </c>
      <c r="AD220" s="417"/>
      <c r="AE220" s="417"/>
      <c r="AF220" s="417">
        <v>200</v>
      </c>
      <c r="AG220" s="768">
        <v>96976</v>
      </c>
      <c r="AH220" s="417">
        <v>930</v>
      </c>
      <c r="AI220" s="417">
        <v>-5410</v>
      </c>
      <c r="AJ220" s="417"/>
      <c r="AK220" s="417" t="s">
        <v>139</v>
      </c>
      <c r="AL220" s="417"/>
      <c r="AM220" s="417"/>
      <c r="AN220" s="422">
        <v>5.33</v>
      </c>
      <c r="AO220" s="422"/>
      <c r="AP220" s="422"/>
      <c r="AQ220" s="422"/>
      <c r="AR220" s="422"/>
      <c r="AS220" s="422"/>
      <c r="AT220" s="422">
        <f>+ab($T$220,-$T$218,$T$222,$G$219,$G$221,-1*$F$220,1200)</f>
        <v>12.641131249919129</v>
      </c>
      <c r="AU220" s="422"/>
      <c r="AV220" s="422"/>
      <c r="AW220" s="417"/>
      <c r="AX220" s="417"/>
      <c r="AY220" s="422"/>
      <c r="AZ220" s="422"/>
      <c r="BA220" s="604"/>
      <c r="BB220" s="414"/>
      <c r="BD220" s="1330"/>
      <c r="BE220" s="1329" t="s">
        <v>4946</v>
      </c>
      <c r="BF220" s="1330"/>
      <c r="BG220" s="1329">
        <v>43668</v>
      </c>
    </row>
    <row r="221" spans="1:59" ht="12.5">
      <c r="A221" s="414"/>
      <c r="B221" s="423"/>
      <c r="C221" s="416"/>
      <c r="D221" s="416"/>
      <c r="E221" s="417"/>
      <c r="F221" s="418"/>
      <c r="G221" s="422">
        <v>54.8</v>
      </c>
      <c r="H221" s="420"/>
      <c r="I221" s="433">
        <f>SUM(G201:G221)</f>
        <v>494.29999999999995</v>
      </c>
      <c r="J221" s="432"/>
      <c r="K221" s="417"/>
      <c r="L221" s="417"/>
      <c r="M221" s="417"/>
      <c r="N221" s="420"/>
      <c r="O221" s="420"/>
      <c r="P221" s="420"/>
      <c r="Q221" s="417"/>
      <c r="R221" s="418"/>
      <c r="S221" s="422">
        <f>+AG222-AG220</f>
        <v>54</v>
      </c>
      <c r="T221" s="417"/>
      <c r="U221" s="417"/>
      <c r="V221" s="417"/>
      <c r="W221" s="417"/>
      <c r="X221" s="417"/>
      <c r="Y221" s="417"/>
      <c r="Z221" s="417"/>
      <c r="AA221" s="417"/>
      <c r="AB221" s="417"/>
      <c r="AC221" s="417"/>
      <c r="AD221" s="417"/>
      <c r="AE221" s="417"/>
      <c r="AF221" s="417"/>
      <c r="AG221" s="768"/>
      <c r="AH221" s="417"/>
      <c r="AI221" s="417"/>
      <c r="AJ221" s="417"/>
      <c r="AK221" s="417" t="s">
        <v>2761</v>
      </c>
      <c r="AL221" s="417"/>
      <c r="AM221" s="417"/>
      <c r="AN221" s="422"/>
      <c r="AO221" s="422"/>
      <c r="AP221" s="422"/>
      <c r="AQ221" s="422">
        <f>+FL_2($T$222,$T$220,$G$221,1200,9.28,-1*$F$222)</f>
        <v>-0.32474171748905101</v>
      </c>
      <c r="AR221" s="422"/>
      <c r="AS221" s="422"/>
      <c r="AT221" s="422"/>
      <c r="AU221" s="422"/>
      <c r="AV221" s="422"/>
      <c r="AW221" s="417"/>
      <c r="AX221" s="417"/>
      <c r="AY221" s="422"/>
      <c r="AZ221" s="422"/>
      <c r="BA221" s="604"/>
      <c r="BB221" s="414"/>
      <c r="BD221" s="1330"/>
      <c r="BE221" s="1330"/>
      <c r="BF221" s="1330"/>
      <c r="BG221" s="1330"/>
    </row>
    <row r="222" spans="1:59" ht="12.5">
      <c r="A222" s="414"/>
      <c r="B222" s="603" t="s">
        <v>2034</v>
      </c>
      <c r="C222" s="416">
        <f>+$C$220+$G$221</f>
        <v>97030.050000000061</v>
      </c>
      <c r="D222" s="416"/>
      <c r="E222" s="417"/>
      <c r="F222" s="418">
        <v>0</v>
      </c>
      <c r="G222" s="422"/>
      <c r="H222" s="420" t="s">
        <v>874</v>
      </c>
      <c r="I222" s="420"/>
      <c r="J222" s="432"/>
      <c r="K222" s="417"/>
      <c r="L222" s="417"/>
      <c r="M222" s="417"/>
      <c r="N222" s="420" t="s">
        <v>2794</v>
      </c>
      <c r="O222" s="420"/>
      <c r="P222" s="420"/>
      <c r="Q222" s="417">
        <v>0</v>
      </c>
      <c r="R222" s="418">
        <v>0</v>
      </c>
      <c r="S222" s="422"/>
      <c r="T222" s="417">
        <v>-20</v>
      </c>
      <c r="U222" s="417"/>
      <c r="V222" s="417"/>
      <c r="W222" s="417">
        <v>1.4</v>
      </c>
      <c r="X222" s="417"/>
      <c r="Y222" s="417"/>
      <c r="Z222" s="417"/>
      <c r="AA222" s="417"/>
      <c r="AB222" s="417"/>
      <c r="AC222" s="417" t="s">
        <v>1421</v>
      </c>
      <c r="AD222" s="417"/>
      <c r="AE222" s="417"/>
      <c r="AF222" s="417">
        <v>200</v>
      </c>
      <c r="AG222" s="768">
        <v>97030</v>
      </c>
      <c r="AH222" s="417">
        <v>1853</v>
      </c>
      <c r="AI222" s="417">
        <v>-5200</v>
      </c>
      <c r="AJ222" s="417"/>
      <c r="AK222" s="417" t="s">
        <v>139</v>
      </c>
      <c r="AL222" s="417"/>
      <c r="AM222" s="417"/>
      <c r="AN222" s="422">
        <v>5.43</v>
      </c>
      <c r="AO222" s="422"/>
      <c r="AP222" s="422"/>
      <c r="AQ222" s="422"/>
      <c r="AR222" s="422"/>
      <c r="AS222" s="422"/>
      <c r="AT222" s="422">
        <f>+ab($T$222,$T$220,$T$224,$G$221,$G$223,-1*$F$222,1200)</f>
        <v>-11.689011673913836</v>
      </c>
      <c r="AU222" s="422"/>
      <c r="AV222" s="422"/>
      <c r="AW222" s="417"/>
      <c r="AX222" s="417"/>
      <c r="AY222" s="422"/>
      <c r="AZ222" s="422"/>
      <c r="BA222" s="604"/>
      <c r="BB222" s="414"/>
      <c r="BD222" s="1330"/>
      <c r="BE222" s="1329" t="s">
        <v>4946</v>
      </c>
      <c r="BF222" s="1330"/>
      <c r="BG222" s="1329">
        <v>43670</v>
      </c>
    </row>
    <row r="223" spans="1:59" ht="12.5">
      <c r="A223" s="966" t="s">
        <v>1663</v>
      </c>
      <c r="B223" s="511"/>
      <c r="C223" s="505"/>
      <c r="D223" s="505"/>
      <c r="E223" s="506"/>
      <c r="F223" s="507"/>
      <c r="G223" s="508">
        <v>45</v>
      </c>
      <c r="H223" s="509"/>
      <c r="I223" s="513">
        <f>SUM(G223:G245)</f>
        <v>397.4</v>
      </c>
      <c r="J223" s="510"/>
      <c r="K223" s="506"/>
      <c r="L223" s="506"/>
      <c r="M223" s="506"/>
      <c r="N223" s="509"/>
      <c r="O223" s="509"/>
      <c r="P223" s="509"/>
      <c r="Q223" s="506"/>
      <c r="R223" s="507"/>
      <c r="S223" s="508">
        <f>+AG224-AG222</f>
        <v>45.059999999997672</v>
      </c>
      <c r="T223" s="506"/>
      <c r="U223" s="506"/>
      <c r="V223" s="506"/>
      <c r="W223" s="506"/>
      <c r="X223" s="506"/>
      <c r="Y223" s="506"/>
      <c r="Z223" s="506"/>
      <c r="AA223" s="506"/>
      <c r="AB223" s="506"/>
      <c r="AC223" s="506"/>
      <c r="AD223" s="506"/>
      <c r="AE223" s="506"/>
      <c r="AF223" s="506"/>
      <c r="AG223" s="769"/>
      <c r="AH223" s="506"/>
      <c r="AI223" s="506"/>
      <c r="AJ223" s="506"/>
      <c r="AK223" s="506" t="s">
        <v>2761</v>
      </c>
      <c r="AL223" s="506"/>
      <c r="AM223" s="506"/>
      <c r="AN223" s="508"/>
      <c r="AO223" s="508"/>
      <c r="AP223" s="508"/>
      <c r="AQ223" s="508">
        <f>+FL_2($T$224,$T$222,$G$223,1200,9.28,-1*$F$224)</f>
        <v>-0.24683556133333331</v>
      </c>
      <c r="AR223" s="508"/>
      <c r="AS223" s="508"/>
      <c r="AT223" s="508"/>
      <c r="AU223" s="508"/>
      <c r="AV223" s="508"/>
      <c r="AW223" s="506"/>
      <c r="AX223" s="506"/>
      <c r="AY223" s="508"/>
      <c r="AZ223" s="508"/>
      <c r="BA223" s="968"/>
      <c r="BB223" s="966"/>
      <c r="BD223" s="1330"/>
      <c r="BE223" s="1330"/>
      <c r="BF223" s="1330"/>
      <c r="BG223" s="1330"/>
    </row>
    <row r="224" spans="1:59" ht="12.5">
      <c r="A224" s="414"/>
      <c r="B224" s="603" t="s">
        <v>2035</v>
      </c>
      <c r="C224" s="416">
        <f>+$C$222+$G$223</f>
        <v>97075.050000000061</v>
      </c>
      <c r="D224" s="416"/>
      <c r="E224" s="417"/>
      <c r="F224" s="418">
        <v>0</v>
      </c>
      <c r="G224" s="422"/>
      <c r="H224" s="420"/>
      <c r="I224" s="420"/>
      <c r="J224" s="432"/>
      <c r="K224" s="417"/>
      <c r="L224" s="417"/>
      <c r="M224" s="417"/>
      <c r="N224" s="420" t="s">
        <v>844</v>
      </c>
      <c r="O224" s="420"/>
      <c r="P224" s="420"/>
      <c r="Q224" s="417">
        <v>0</v>
      </c>
      <c r="R224" s="418">
        <v>0</v>
      </c>
      <c r="S224" s="422"/>
      <c r="T224" s="417">
        <v>20</v>
      </c>
      <c r="U224" s="417"/>
      <c r="V224" s="417"/>
      <c r="W224" s="417">
        <v>1.4</v>
      </c>
      <c r="X224" s="417"/>
      <c r="Y224" s="417"/>
      <c r="Z224" s="417"/>
      <c r="AA224" s="417"/>
      <c r="AB224" s="417"/>
      <c r="AC224" s="417" t="s">
        <v>1421</v>
      </c>
      <c r="AD224" s="417"/>
      <c r="AE224" s="417"/>
      <c r="AF224" s="417">
        <v>200</v>
      </c>
      <c r="AG224" s="768">
        <v>97075.06</v>
      </c>
      <c r="AH224" s="417">
        <v>1993</v>
      </c>
      <c r="AI224" s="417">
        <v>-5630</v>
      </c>
      <c r="AJ224" s="417"/>
      <c r="AK224" s="417" t="s">
        <v>139</v>
      </c>
      <c r="AL224" s="417"/>
      <c r="AM224" s="417"/>
      <c r="AN224" s="422">
        <v>5.5</v>
      </c>
      <c r="AO224" s="422"/>
      <c r="AP224" s="422"/>
      <c r="AQ224" s="422"/>
      <c r="AR224" s="422"/>
      <c r="AS224" s="422"/>
      <c r="AT224" s="422">
        <f>+ab($T$224,$T$222,-$T$226,$G$223,$G$225,-1*$F$224,1200)</f>
        <v>8.7699942624287335</v>
      </c>
      <c r="AU224" s="422"/>
      <c r="AV224" s="422"/>
      <c r="AW224" s="417"/>
      <c r="AX224" s="417"/>
      <c r="AY224" s="422"/>
      <c r="AZ224" s="422"/>
      <c r="BA224" s="604"/>
      <c r="BB224" s="414"/>
      <c r="BD224" s="1330"/>
      <c r="BE224" s="1329" t="s">
        <v>4946</v>
      </c>
      <c r="BF224" s="1330"/>
      <c r="BG224" s="1329">
        <v>43604</v>
      </c>
    </row>
    <row r="225" spans="1:59" ht="12.5">
      <c r="A225" s="449"/>
      <c r="B225" s="170"/>
      <c r="C225" s="446"/>
      <c r="D225" s="446"/>
      <c r="E225" s="638"/>
      <c r="F225" s="447"/>
      <c r="G225" s="484">
        <v>39</v>
      </c>
      <c r="H225" s="1239"/>
      <c r="I225" s="1239"/>
      <c r="J225" s="171"/>
      <c r="K225" s="638"/>
      <c r="L225" s="638"/>
      <c r="M225" s="638"/>
      <c r="N225" s="1239"/>
      <c r="O225" s="1239"/>
      <c r="P225" s="1239"/>
      <c r="Q225" s="638"/>
      <c r="R225" s="447"/>
      <c r="S225" s="484">
        <f>+AG226-AG224</f>
        <v>38.940000000002328</v>
      </c>
      <c r="T225" s="638"/>
      <c r="U225" s="638"/>
      <c r="V225" s="638"/>
      <c r="W225" s="638"/>
      <c r="X225" s="638"/>
      <c r="Y225" s="638"/>
      <c r="Z225" s="638"/>
      <c r="AA225" s="638"/>
      <c r="AB225" s="638"/>
      <c r="AC225" s="638"/>
      <c r="AD225" s="638"/>
      <c r="AE225" s="638"/>
      <c r="AF225" s="638"/>
      <c r="AG225" s="770"/>
      <c r="AH225" s="638"/>
      <c r="AI225" s="638"/>
      <c r="AJ225" s="638"/>
      <c r="AK225" s="638"/>
      <c r="AL225" s="638"/>
      <c r="AM225" s="638"/>
      <c r="AN225" s="484"/>
      <c r="AO225" s="484"/>
      <c r="AP225" s="484"/>
      <c r="AQ225" s="484">
        <f>+FL_2($T$226,-$T$224,$G$225,1200,9.28,-1*$F$226)</f>
        <v>-0.33107054998687363</v>
      </c>
      <c r="AR225" s="484"/>
      <c r="AS225" s="484"/>
      <c r="AT225" s="484"/>
      <c r="AU225" s="484"/>
      <c r="AV225" s="484"/>
      <c r="AW225" s="638"/>
      <c r="AX225" s="638"/>
      <c r="AY225" s="484"/>
      <c r="AZ225" s="484"/>
      <c r="BA225" s="671"/>
      <c r="BB225" s="449"/>
      <c r="BD225" s="1330"/>
      <c r="BE225" s="1330"/>
      <c r="BF225" s="1330"/>
      <c r="BG225" s="1330"/>
    </row>
    <row r="226" spans="1:59" ht="12.5">
      <c r="A226" s="449"/>
      <c r="B226" s="436" t="s">
        <v>2036</v>
      </c>
      <c r="C226" s="446">
        <f>+$C$224+$G$225</f>
        <v>97114.050000000061</v>
      </c>
      <c r="D226" s="446"/>
      <c r="E226" s="638"/>
      <c r="F226" s="447">
        <v>-1015.13</v>
      </c>
      <c r="G226" s="484"/>
      <c r="H226" s="1239"/>
      <c r="I226" s="1239"/>
      <c r="J226" s="171"/>
      <c r="K226" s="638"/>
      <c r="L226" s="638"/>
      <c r="M226" s="638"/>
      <c r="N226" s="1239" t="s">
        <v>844</v>
      </c>
      <c r="O226" s="1239"/>
      <c r="P226" s="1239"/>
      <c r="Q226" s="638">
        <v>20</v>
      </c>
      <c r="R226" s="447">
        <v>-1015.13</v>
      </c>
      <c r="S226" s="484"/>
      <c r="T226" s="638">
        <v>30</v>
      </c>
      <c r="U226" s="638"/>
      <c r="V226" s="638"/>
      <c r="W226" s="638">
        <v>1.2</v>
      </c>
      <c r="X226" s="638"/>
      <c r="Y226" s="638"/>
      <c r="Z226" s="638"/>
      <c r="AA226" s="638"/>
      <c r="AB226" s="638"/>
      <c r="AC226" s="638" t="s">
        <v>3050</v>
      </c>
      <c r="AD226" s="638"/>
      <c r="AE226" s="638"/>
      <c r="AF226" s="638">
        <v>200</v>
      </c>
      <c r="AG226" s="770">
        <v>97114</v>
      </c>
      <c r="AH226" s="638">
        <v>1573</v>
      </c>
      <c r="AI226" s="638">
        <v>-5324</v>
      </c>
      <c r="AJ226" s="638"/>
      <c r="AK226" s="638" t="s">
        <v>139</v>
      </c>
      <c r="AL226" s="638"/>
      <c r="AM226" s="638"/>
      <c r="AN226" s="484">
        <v>5.5</v>
      </c>
      <c r="AO226" s="484"/>
      <c r="AP226" s="484"/>
      <c r="AQ226" s="484"/>
      <c r="AR226" s="484"/>
      <c r="AS226" s="484"/>
      <c r="AT226" s="484">
        <f>+ab($T$226,$T$224,$T$228,$G$225,$G$227,-1*$F$226,1200)</f>
        <v>4.7747181051526821</v>
      </c>
      <c r="AU226" s="484"/>
      <c r="AV226" s="484"/>
      <c r="AW226" s="574"/>
      <c r="AX226" s="574"/>
      <c r="AY226" s="576"/>
      <c r="AZ226" s="576"/>
      <c r="BA226" s="671"/>
      <c r="BB226" s="449"/>
      <c r="BD226" s="1330"/>
      <c r="BE226" s="1329" t="s">
        <v>4946</v>
      </c>
      <c r="BF226" s="1330"/>
      <c r="BG226" s="1329">
        <v>43661</v>
      </c>
    </row>
    <row r="227" spans="1:59" ht="12.5">
      <c r="A227" s="449"/>
      <c r="B227" s="170"/>
      <c r="C227" s="446"/>
      <c r="D227" s="446"/>
      <c r="E227" s="638"/>
      <c r="F227" s="447"/>
      <c r="G227" s="484">
        <v>37.200000000000003</v>
      </c>
      <c r="H227" s="1239"/>
      <c r="I227" s="1239"/>
      <c r="J227" s="171"/>
      <c r="K227" s="638"/>
      <c r="L227" s="638"/>
      <c r="M227" s="638"/>
      <c r="N227" s="1239"/>
      <c r="O227" s="1239"/>
      <c r="P227" s="1239"/>
      <c r="Q227" s="638"/>
      <c r="R227" s="447"/>
      <c r="S227" s="484">
        <f>+AG228-AG226</f>
        <v>37.320000000006985</v>
      </c>
      <c r="T227" s="638"/>
      <c r="U227" s="638"/>
      <c r="V227" s="638"/>
      <c r="W227" s="638"/>
      <c r="X227" s="638"/>
      <c r="Y227" s="638"/>
      <c r="Z227" s="638"/>
      <c r="AA227" s="638"/>
      <c r="AB227" s="638"/>
      <c r="AC227" s="638"/>
      <c r="AD227" s="638"/>
      <c r="AE227" s="638"/>
      <c r="AF227" s="638"/>
      <c r="AG227" s="770"/>
      <c r="AH227" s="638"/>
      <c r="AI227" s="638"/>
      <c r="AJ227" s="638"/>
      <c r="AK227" s="638"/>
      <c r="AL227" s="638"/>
      <c r="AM227" s="638"/>
      <c r="AN227" s="484"/>
      <c r="AO227" s="484"/>
      <c r="AP227" s="484"/>
      <c r="AQ227" s="484">
        <f>+FL_1($T$228,$T$226,$G$227,1200,9.28,-1*$F$228)</f>
        <v>0.30000000000000004</v>
      </c>
      <c r="AR227" s="484"/>
      <c r="AS227" s="484"/>
      <c r="AT227" s="484"/>
      <c r="AU227" s="484"/>
      <c r="AV227" s="484"/>
      <c r="AW227" s="638"/>
      <c r="AX227" s="638"/>
      <c r="AY227" s="484"/>
      <c r="AZ227" s="484"/>
      <c r="BA227" s="671"/>
      <c r="BB227" s="449"/>
      <c r="BD227" s="1330"/>
      <c r="BE227" s="1330"/>
      <c r="BF227" s="1330"/>
      <c r="BG227" s="1330"/>
    </row>
    <row r="228" spans="1:59" ht="12.5">
      <c r="A228" s="449"/>
      <c r="B228" s="436" t="s">
        <v>2037</v>
      </c>
      <c r="C228" s="446">
        <f>+$C$226+$G$227</f>
        <v>97151.250000000058</v>
      </c>
      <c r="D228" s="446"/>
      <c r="E228" s="638"/>
      <c r="F228" s="447">
        <v>-1015</v>
      </c>
      <c r="G228" s="484"/>
      <c r="H228" s="1239"/>
      <c r="I228" s="1239"/>
      <c r="J228" s="171"/>
      <c r="K228" s="638"/>
      <c r="L228" s="638"/>
      <c r="M228" s="638"/>
      <c r="N228" s="1239" t="s">
        <v>844</v>
      </c>
      <c r="O228" s="1239"/>
      <c r="P228" s="1239"/>
      <c r="Q228" s="638">
        <v>70</v>
      </c>
      <c r="R228" s="447">
        <v>-1015.13</v>
      </c>
      <c r="S228" s="484"/>
      <c r="T228" s="638">
        <v>30</v>
      </c>
      <c r="U228" s="638"/>
      <c r="V228" s="638"/>
      <c r="W228" s="638">
        <v>1</v>
      </c>
      <c r="X228" s="638"/>
      <c r="Y228" s="638"/>
      <c r="Z228" s="638"/>
      <c r="AA228" s="638"/>
      <c r="AB228" s="638"/>
      <c r="AC228" s="638" t="s">
        <v>4090</v>
      </c>
      <c r="AD228" s="638"/>
      <c r="AE228" s="638"/>
      <c r="AF228" s="638">
        <v>200</v>
      </c>
      <c r="AG228" s="770">
        <v>97151.32</v>
      </c>
      <c r="AH228" s="638">
        <v>2113</v>
      </c>
      <c r="AI228" s="638">
        <v>-5612</v>
      </c>
      <c r="AJ228" s="638"/>
      <c r="AK228" s="638" t="s">
        <v>139</v>
      </c>
      <c r="AL228" s="638"/>
      <c r="AM228" s="638"/>
      <c r="AN228" s="484">
        <v>5.44</v>
      </c>
      <c r="AO228" s="484"/>
      <c r="AP228" s="484"/>
      <c r="AQ228" s="484"/>
      <c r="AR228" s="484"/>
      <c r="AS228" s="484"/>
      <c r="AT228" s="484">
        <f>+ab($T$228,$T$226,$T$230,$G$227,$G$229,-1*$F$228,1200)</f>
        <v>5.7600725345723589</v>
      </c>
      <c r="AU228" s="484"/>
      <c r="AV228" s="484"/>
      <c r="AW228" s="574"/>
      <c r="AX228" s="574"/>
      <c r="AY228" s="576"/>
      <c r="AZ228" s="576"/>
      <c r="BA228" s="671"/>
      <c r="BB228" s="449"/>
      <c r="BD228" s="1330"/>
      <c r="BE228" s="1329" t="s">
        <v>4946</v>
      </c>
      <c r="BF228" s="1330"/>
      <c r="BG228" s="1329">
        <v>43661</v>
      </c>
    </row>
    <row r="229" spans="1:59" ht="12.5">
      <c r="A229" s="449"/>
      <c r="B229" s="170"/>
      <c r="C229" s="446"/>
      <c r="D229" s="446"/>
      <c r="E229" s="638"/>
      <c r="F229" s="447"/>
      <c r="G229" s="484">
        <v>30.2</v>
      </c>
      <c r="H229" s="1239"/>
      <c r="I229" s="1239"/>
      <c r="J229" s="171"/>
      <c r="K229" s="638"/>
      <c r="L229" s="638"/>
      <c r="M229" s="638"/>
      <c r="N229" s="1239"/>
      <c r="O229" s="1239"/>
      <c r="P229" s="1239"/>
      <c r="Q229" s="638"/>
      <c r="R229" s="447"/>
      <c r="S229" s="484">
        <f>+AG230-AG228</f>
        <v>30.329999999987194</v>
      </c>
      <c r="T229" s="638"/>
      <c r="U229" s="638"/>
      <c r="V229" s="638"/>
      <c r="W229" s="638"/>
      <c r="X229" s="638"/>
      <c r="Y229" s="638"/>
      <c r="Z229" s="638"/>
      <c r="AA229" s="638"/>
      <c r="AB229" s="638"/>
      <c r="AC229" s="638"/>
      <c r="AD229" s="638"/>
      <c r="AE229" s="638"/>
      <c r="AF229" s="638"/>
      <c r="AG229" s="770"/>
      <c r="AH229" s="638"/>
      <c r="AI229" s="638"/>
      <c r="AJ229" s="638"/>
      <c r="AK229" s="638"/>
      <c r="AL229" s="638"/>
      <c r="AM229" s="638"/>
      <c r="AN229" s="484"/>
      <c r="AO229" s="484"/>
      <c r="AP229" s="484"/>
      <c r="AQ229" s="484">
        <f>+FL_1($T$230,$T$228,$G$229,1200,9.28,-1*$F$230)</f>
        <v>0.30000000000003441</v>
      </c>
      <c r="AR229" s="484"/>
      <c r="AS229" s="484"/>
      <c r="AT229" s="484"/>
      <c r="AU229" s="484"/>
      <c r="AV229" s="484"/>
      <c r="AW229" s="638"/>
      <c r="AX229" s="638"/>
      <c r="AY229" s="484"/>
      <c r="AZ229" s="484"/>
      <c r="BA229" s="671"/>
      <c r="BB229" s="449"/>
      <c r="BD229" s="1330"/>
      <c r="BE229" s="1330"/>
      <c r="BF229" s="1330"/>
      <c r="BG229" s="1330"/>
    </row>
    <row r="230" spans="1:59" ht="12.5">
      <c r="A230" s="449"/>
      <c r="B230" s="436" t="s">
        <v>2038</v>
      </c>
      <c r="C230" s="446">
        <f>+$C$228+$G$229</f>
        <v>97181.450000000055</v>
      </c>
      <c r="D230" s="446"/>
      <c r="E230" s="638"/>
      <c r="F230" s="447">
        <v>-445</v>
      </c>
      <c r="G230" s="484"/>
      <c r="H230" s="1239"/>
      <c r="I230" s="1239"/>
      <c r="J230" s="171"/>
      <c r="K230" s="638"/>
      <c r="L230" s="638" t="s">
        <v>2141</v>
      </c>
      <c r="M230" s="638" t="str">
        <f>IF(AX230="PT",VLOOKUP(L230,'Foundation Calculation'!$V$2:$X$40,VLOOKUP(AX230,'Foundation Calculation'!$I$10:$J$13,2,FALSE),0),IF(AX230="K",VLOOKUP(L230,'Foundation Calculation'!$V$42:$X$80,VLOOKUP(AX230,'Foundation Calculation'!$I$10:$J$13,2,FALSE),0),""))</f>
        <v>C9R</v>
      </c>
      <c r="N230" s="1239" t="s">
        <v>144</v>
      </c>
      <c r="O230" s="1239"/>
      <c r="P230" s="1239"/>
      <c r="Q230" s="638">
        <v>100</v>
      </c>
      <c r="R230" s="447">
        <v>-445</v>
      </c>
      <c r="S230" s="484"/>
      <c r="T230" s="638">
        <v>30</v>
      </c>
      <c r="U230" s="638"/>
      <c r="V230" s="638"/>
      <c r="W230" s="638">
        <v>0.8</v>
      </c>
      <c r="X230" s="638"/>
      <c r="Y230" s="638"/>
      <c r="Z230" s="638"/>
      <c r="AA230" s="638"/>
      <c r="AB230" s="638"/>
      <c r="AC230" s="638" t="s">
        <v>3050</v>
      </c>
      <c r="AD230" s="638"/>
      <c r="AE230" s="638"/>
      <c r="AF230" s="638">
        <v>5800</v>
      </c>
      <c r="AG230" s="770">
        <v>97181.65</v>
      </c>
      <c r="AH230" s="638">
        <v>2553</v>
      </c>
      <c r="AI230" s="638">
        <v>394</v>
      </c>
      <c r="AJ230" s="638"/>
      <c r="AK230" s="638"/>
      <c r="AL230" s="638" t="s">
        <v>828</v>
      </c>
      <c r="AM230" s="638"/>
      <c r="AN230" s="484">
        <v>5.36</v>
      </c>
      <c r="AO230" s="484"/>
      <c r="AP230" s="484"/>
      <c r="AQ230" s="484"/>
      <c r="AR230" s="484"/>
      <c r="AS230" s="484"/>
      <c r="AT230" s="484">
        <f>+ab($T$230,$T$228,$T$232,$G$229,$G$231,-1*$F$230,1200)</f>
        <v>2.1884796051789945</v>
      </c>
      <c r="AU230" s="484"/>
      <c r="AV230" s="484"/>
      <c r="AW230" s="638" t="str">
        <f>VLOOKUP(C230,'Foundation Calculation'!$A$2:$C$33,3,1)</f>
        <v>Soil A</v>
      </c>
      <c r="AX230" s="572" t="str">
        <f>VLOOKUP(C230,'Foundation Calculation'!$E$2:$G$33,3,1)</f>
        <v>PT</v>
      </c>
      <c r="AY230" s="636">
        <f>IF(AX230="PT",VLOOKUP(L230,'Foundation Calculation'!$K$2:$R$40,VLOOKUP(AW230,'Foundation Calculation'!$I$2:$J$8,2,FALSE),0),IF(AX230="K",VLOOKUP(L230,'Foundation Calculation'!$K$42:$R$80,VLOOKUP(AW230,'Foundation Calculation'!$I$2:$J$8,2,FALSE),0),""))</f>
        <v>4.5999999999999996</v>
      </c>
      <c r="AZ230" s="484"/>
      <c r="BA230" s="671" t="s">
        <v>2809</v>
      </c>
      <c r="BB230" s="449" t="str">
        <f>Pole_Calculations!A178</f>
        <v>App.8-V08F-P10.3</v>
      </c>
      <c r="BD230" s="1329">
        <v>43414</v>
      </c>
      <c r="BE230" s="1329" t="s">
        <v>4946</v>
      </c>
      <c r="BF230" s="1329" t="s">
        <v>4946</v>
      </c>
      <c r="BG230" s="1329">
        <v>43661</v>
      </c>
    </row>
    <row r="231" spans="1:59" ht="12.5">
      <c r="A231" s="449"/>
      <c r="B231" s="170"/>
      <c r="C231" s="446"/>
      <c r="D231" s="446"/>
      <c r="E231" s="638"/>
      <c r="F231" s="447"/>
      <c r="G231" s="484">
        <v>30</v>
      </c>
      <c r="H231" s="1239"/>
      <c r="I231" s="1239"/>
      <c r="J231" s="171"/>
      <c r="K231" s="638"/>
      <c r="L231" s="638"/>
      <c r="M231" s="638"/>
      <c r="N231" s="1239"/>
      <c r="O231" s="1239"/>
      <c r="P231" s="1239"/>
      <c r="Q231" s="638"/>
      <c r="R231" s="447"/>
      <c r="S231" s="484"/>
      <c r="T231" s="638"/>
      <c r="U231" s="638"/>
      <c r="V231" s="638"/>
      <c r="W231" s="638"/>
      <c r="X231" s="638"/>
      <c r="Y231" s="638"/>
      <c r="Z231" s="638"/>
      <c r="AA231" s="638"/>
      <c r="AB231" s="638"/>
      <c r="AC231" s="638"/>
      <c r="AD231" s="638"/>
      <c r="AE231" s="638"/>
      <c r="AF231" s="638"/>
      <c r="AG231" s="770"/>
      <c r="AH231" s="638"/>
      <c r="AI231" s="638"/>
      <c r="AJ231" s="638"/>
      <c r="AK231" s="638"/>
      <c r="AL231" s="638"/>
      <c r="AM231" s="638"/>
      <c r="AN231" s="484"/>
      <c r="AO231" s="484"/>
      <c r="AP231" s="484"/>
      <c r="AQ231" s="484"/>
      <c r="AR231" s="484"/>
      <c r="AS231" s="484"/>
      <c r="AT231" s="484"/>
      <c r="AU231" s="484"/>
      <c r="AV231" s="484"/>
      <c r="AW231" s="638"/>
      <c r="AX231" s="638"/>
      <c r="AY231" s="484"/>
      <c r="AZ231" s="484"/>
      <c r="BA231" s="671"/>
      <c r="BB231" s="449"/>
      <c r="BD231" s="1330"/>
      <c r="BE231" s="1330"/>
      <c r="BF231" s="1330"/>
      <c r="BG231" s="1330"/>
    </row>
    <row r="232" spans="1:59" ht="12.5">
      <c r="A232" s="449"/>
      <c r="B232" s="436" t="s">
        <v>2393</v>
      </c>
      <c r="C232" s="446">
        <f>+$C$230+$G$231</f>
        <v>97211.450000000055</v>
      </c>
      <c r="D232" s="446"/>
      <c r="E232" s="638"/>
      <c r="F232" s="447">
        <v>-445</v>
      </c>
      <c r="G232" s="484"/>
      <c r="H232" s="1239"/>
      <c r="I232" s="1239"/>
      <c r="J232" s="171"/>
      <c r="K232" s="638"/>
      <c r="L232" s="638" t="s">
        <v>230</v>
      </c>
      <c r="M232" s="638" t="str">
        <f>IF(AX232="PT",VLOOKUP(L232,'Foundation Calculation'!$V$2:$X$40,VLOOKUP(AX232,'Foundation Calculation'!$I$10:$J$13,2,FALSE),0),IF(AX232="K",VLOOKUP(L232,'Foundation Calculation'!$V$42:$X$80,VLOOKUP(AX232,'Foundation Calculation'!$I$10:$J$13,2,FALSE),0),""))</f>
        <v>C4R</v>
      </c>
      <c r="N232" s="1239" t="s">
        <v>2789</v>
      </c>
      <c r="O232" s="1239"/>
      <c r="P232" s="1239"/>
      <c r="Q232" s="638">
        <v>114</v>
      </c>
      <c r="R232" s="447">
        <v>-445</v>
      </c>
      <c r="S232" s="484"/>
      <c r="T232" s="638">
        <v>-30</v>
      </c>
      <c r="U232" s="638"/>
      <c r="V232" s="638"/>
      <c r="W232" s="638">
        <v>0.6</v>
      </c>
      <c r="X232" s="638"/>
      <c r="Y232" s="638"/>
      <c r="Z232" s="638"/>
      <c r="AA232" s="638"/>
      <c r="AB232" s="638"/>
      <c r="AC232" s="638" t="s">
        <v>3050</v>
      </c>
      <c r="AD232" s="638"/>
      <c r="AE232" s="638"/>
      <c r="AF232" s="638">
        <v>4900</v>
      </c>
      <c r="AG232" s="770">
        <v>97210.1</v>
      </c>
      <c r="AH232" s="638">
        <v>2413</v>
      </c>
      <c r="AI232" s="638">
        <v>-201</v>
      </c>
      <c r="AJ232" s="638"/>
      <c r="AK232" s="638"/>
      <c r="AL232" s="638"/>
      <c r="AM232" s="638" t="s">
        <v>1042</v>
      </c>
      <c r="AN232" s="484">
        <v>5.29</v>
      </c>
      <c r="AO232" s="484"/>
      <c r="AP232" s="484"/>
      <c r="AQ232" s="484"/>
      <c r="AR232" s="484"/>
      <c r="AS232" s="484"/>
      <c r="AT232" s="484">
        <f>+ab($T$232,$T$230,$T$234,$G$231,$G$233,-1*$F$232,1200)</f>
        <v>6.9648535385001695</v>
      </c>
      <c r="AU232" s="484"/>
      <c r="AV232" s="484"/>
      <c r="AW232" s="638" t="str">
        <f>VLOOKUP(C232,'Foundation Calculation'!$A$2:$C$33,3,1)</f>
        <v>Soil A</v>
      </c>
      <c r="AX232" s="572" t="str">
        <f>VLOOKUP(C232,'Foundation Calculation'!$E$2:$G$33,3,1)</f>
        <v>PT</v>
      </c>
      <c r="AY232" s="636">
        <f>IF(AX232="PT",VLOOKUP(L232,'Foundation Calculation'!$K$2:$R$40,VLOOKUP(AW232,'Foundation Calculation'!$I$2:$J$8,2,FALSE),0),IF(AX232="K",VLOOKUP(L232,'Foundation Calculation'!$K$42:$R$80,VLOOKUP(AW232,'Foundation Calculation'!$I$2:$J$8,2,FALSE),0),""))</f>
        <v>3.5</v>
      </c>
      <c r="AZ232" s="484"/>
      <c r="BA232" s="671" t="s">
        <v>2809</v>
      </c>
      <c r="BB232" s="449" t="str">
        <f>Pole_Calculations!A15</f>
        <v>App.7-V11A-P9.5.1.1</v>
      </c>
      <c r="BD232" s="1329">
        <v>43414</v>
      </c>
      <c r="BE232" s="1329" t="s">
        <v>4946</v>
      </c>
      <c r="BF232" s="1330"/>
      <c r="BG232" s="1329">
        <v>43636</v>
      </c>
    </row>
    <row r="233" spans="1:59" ht="12.5">
      <c r="A233" s="488"/>
      <c r="B233" s="443"/>
      <c r="C233" s="489"/>
      <c r="D233" s="489"/>
      <c r="E233" s="490"/>
      <c r="F233" s="491"/>
      <c r="G233" s="493">
        <v>30</v>
      </c>
      <c r="H233" s="495"/>
      <c r="I233" s="495"/>
      <c r="J233" s="431"/>
      <c r="K233" s="490"/>
      <c r="L233" s="490"/>
      <c r="M233" s="490"/>
      <c r="N233" s="495"/>
      <c r="O233" s="495"/>
      <c r="P233" s="495"/>
      <c r="Q233" s="490"/>
      <c r="R233" s="491"/>
      <c r="S233" s="493">
        <f>+AG234-AG230</f>
        <v>46.430000000007567</v>
      </c>
      <c r="T233" s="490"/>
      <c r="U233" s="490"/>
      <c r="V233" s="490"/>
      <c r="W233" s="490"/>
      <c r="X233" s="490"/>
      <c r="Y233" s="490"/>
      <c r="Z233" s="490"/>
      <c r="AA233" s="490"/>
      <c r="AB233" s="490"/>
      <c r="AC233" s="490"/>
      <c r="AD233" s="490"/>
      <c r="AE233" s="490"/>
      <c r="AF233" s="490"/>
      <c r="AG233" s="771"/>
      <c r="AH233" s="490"/>
      <c r="AI233" s="490"/>
      <c r="AJ233" s="490"/>
      <c r="AK233" s="490"/>
      <c r="AL233" s="490"/>
      <c r="AM233" s="490"/>
      <c r="AN233" s="493"/>
      <c r="AO233" s="493"/>
      <c r="AP233" s="493"/>
      <c r="AQ233" s="493">
        <f>+FL_2($T$234,-$T$232,$G$233,1200,9.28,-1*$F$234)</f>
        <v>-3.9880841258274818E-2</v>
      </c>
      <c r="AR233" s="493"/>
      <c r="AS233" s="493"/>
      <c r="AT233" s="493"/>
      <c r="AU233" s="493"/>
      <c r="AV233" s="493"/>
      <c r="AW233" s="490"/>
      <c r="AX233" s="490"/>
      <c r="AY233" s="493"/>
      <c r="AZ233" s="493"/>
      <c r="BA233" s="602"/>
      <c r="BB233" s="488"/>
      <c r="BD233" s="1329"/>
      <c r="BE233" s="1329"/>
      <c r="BF233" s="1329"/>
      <c r="BG233" s="1329"/>
    </row>
    <row r="234" spans="1:59" s="178" customFormat="1" ht="15.75" customHeight="1">
      <c r="A234" s="501"/>
      <c r="B234" s="716" t="s">
        <v>2039</v>
      </c>
      <c r="C234" s="451">
        <v>97208.5</v>
      </c>
      <c r="D234" s="453"/>
      <c r="E234" s="452"/>
      <c r="F234" s="453">
        <v>-445</v>
      </c>
      <c r="G234" s="500"/>
      <c r="H234" s="453" t="s">
        <v>138</v>
      </c>
      <c r="I234" s="501"/>
      <c r="J234" s="583"/>
      <c r="K234" s="452"/>
      <c r="L234" s="452"/>
      <c r="M234" s="452"/>
      <c r="N234" s="501" t="s">
        <v>634</v>
      </c>
      <c r="O234" s="501"/>
      <c r="P234" s="501"/>
      <c r="Q234" s="452"/>
      <c r="R234" s="452"/>
      <c r="S234" s="500"/>
      <c r="T234" s="452">
        <v>30</v>
      </c>
      <c r="U234" s="452"/>
      <c r="V234" s="452"/>
      <c r="W234" s="452">
        <v>0.6</v>
      </c>
      <c r="X234" s="452"/>
      <c r="Y234" s="452"/>
      <c r="Z234" s="452"/>
      <c r="AA234" s="452"/>
      <c r="AB234" s="452"/>
      <c r="AC234" s="452" t="s">
        <v>3050</v>
      </c>
      <c r="AD234" s="452"/>
      <c r="AE234" s="452"/>
      <c r="AF234" s="452">
        <v>100</v>
      </c>
      <c r="AG234" s="451">
        <v>97228.08</v>
      </c>
      <c r="AH234" s="452">
        <v>2523</v>
      </c>
      <c r="AI234" s="452">
        <v>-5070</v>
      </c>
      <c r="AJ234" s="452"/>
      <c r="AK234" s="452"/>
      <c r="AL234" s="452"/>
      <c r="AM234" s="452"/>
      <c r="AN234" s="500">
        <v>5.25</v>
      </c>
      <c r="AO234" s="452"/>
      <c r="AP234" s="452"/>
      <c r="AQ234" s="452"/>
      <c r="AR234" s="452"/>
      <c r="AS234" s="452"/>
      <c r="AT234" s="452">
        <f>+ab($T$234,$T$232,$T$236,$G$233,$G$235,-1*$F$234,1200)</f>
        <v>1.9508824011367838</v>
      </c>
      <c r="AU234" s="452"/>
      <c r="AV234" s="452"/>
      <c r="AW234" s="452"/>
      <c r="AX234" s="452"/>
      <c r="AY234" s="500"/>
      <c r="AZ234" s="500"/>
      <c r="BA234" s="1333"/>
      <c r="BB234" s="452"/>
      <c r="BC234" s="1334"/>
      <c r="BD234" s="1335"/>
      <c r="BE234" s="1335"/>
      <c r="BF234" s="1335"/>
      <c r="BG234" s="1335"/>
    </row>
    <row r="235" spans="1:59" s="178" customFormat="1" ht="15.75" customHeight="1">
      <c r="A235" s="501" t="s">
        <v>1851</v>
      </c>
      <c r="B235" s="716"/>
      <c r="C235" s="451"/>
      <c r="D235" s="453"/>
      <c r="E235" s="452"/>
      <c r="F235" s="453"/>
      <c r="G235" s="500">
        <v>36</v>
      </c>
      <c r="H235" s="453"/>
      <c r="I235" s="501" t="s">
        <v>1564</v>
      </c>
      <c r="J235" s="583">
        <f>C234+17.5</f>
        <v>97226</v>
      </c>
      <c r="K235" s="452" t="s">
        <v>1744</v>
      </c>
      <c r="L235" s="452"/>
      <c r="M235" s="452"/>
      <c r="N235" s="501"/>
      <c r="O235" s="501"/>
      <c r="P235" s="501"/>
      <c r="Q235" s="452"/>
      <c r="R235" s="452"/>
      <c r="S235" s="500">
        <f>+AG236-AG234</f>
        <v>40</v>
      </c>
      <c r="T235" s="452"/>
      <c r="U235" s="452"/>
      <c r="V235" s="452"/>
      <c r="W235" s="452"/>
      <c r="X235" s="452"/>
      <c r="Y235" s="452"/>
      <c r="Z235" s="452"/>
      <c r="AA235" s="452"/>
      <c r="AB235" s="452"/>
      <c r="AC235" s="452"/>
      <c r="AD235" s="452"/>
      <c r="AE235" s="452"/>
      <c r="AF235" s="452"/>
      <c r="AG235" s="451"/>
      <c r="AH235" s="452"/>
      <c r="AI235" s="452"/>
      <c r="AJ235" s="452"/>
      <c r="AK235" s="452"/>
      <c r="AL235" s="452"/>
      <c r="AM235" s="452"/>
      <c r="AN235" s="500"/>
      <c r="AO235" s="452"/>
      <c r="AP235" s="452"/>
      <c r="AQ235" s="452">
        <f>+FL_2($U$236,$T$234,$G$235,1200,9.28,-1*$F$236)</f>
        <v>-0.53542896682242547</v>
      </c>
      <c r="AR235" s="452"/>
      <c r="AS235" s="452"/>
      <c r="AT235" s="452"/>
      <c r="AU235" s="452"/>
      <c r="AV235" s="452"/>
      <c r="AW235" s="452"/>
      <c r="AX235" s="452"/>
      <c r="AY235" s="500"/>
      <c r="AZ235" s="500"/>
      <c r="BA235" s="1333"/>
      <c r="BB235" s="452"/>
      <c r="BC235" s="1334"/>
      <c r="BD235" s="1335"/>
      <c r="BE235" s="1335"/>
      <c r="BF235" s="1335"/>
      <c r="BG235" s="1335"/>
    </row>
    <row r="236" spans="1:59" s="178" customFormat="1" ht="15.75" customHeight="1">
      <c r="A236" s="501"/>
      <c r="B236" s="716" t="s">
        <v>2148</v>
      </c>
      <c r="C236" s="451">
        <f>C234+G235</f>
        <v>97244.5</v>
      </c>
      <c r="D236" s="453"/>
      <c r="E236" s="452"/>
      <c r="F236" s="453">
        <v>-445</v>
      </c>
      <c r="G236" s="500"/>
      <c r="H236" s="453" t="s">
        <v>619</v>
      </c>
      <c r="I236" s="501"/>
      <c r="J236" s="583"/>
      <c r="K236" s="452"/>
      <c r="L236" s="452" t="s">
        <v>895</v>
      </c>
      <c r="M236" s="452" t="s">
        <v>4440</v>
      </c>
      <c r="N236" s="501" t="s">
        <v>635</v>
      </c>
      <c r="O236" s="501" t="s">
        <v>633</v>
      </c>
      <c r="P236" s="501"/>
      <c r="Q236" s="452"/>
      <c r="R236" s="452"/>
      <c r="S236" s="500"/>
      <c r="T236" s="452">
        <v>15</v>
      </c>
      <c r="U236" s="452">
        <v>-30</v>
      </c>
      <c r="V236" s="452"/>
      <c r="W236" s="452">
        <v>0.8</v>
      </c>
      <c r="X236" s="452">
        <v>1</v>
      </c>
      <c r="Y236" s="452"/>
      <c r="Z236" s="452">
        <v>0.3</v>
      </c>
      <c r="AA236" s="452"/>
      <c r="AB236" s="452"/>
      <c r="AC236" s="452"/>
      <c r="AD236" s="452" t="s">
        <v>4133</v>
      </c>
      <c r="AE236" s="452"/>
      <c r="AF236" s="452">
        <v>5800</v>
      </c>
      <c r="AG236" s="451">
        <v>97268.08</v>
      </c>
      <c r="AH236" s="452">
        <v>2473</v>
      </c>
      <c r="AI236" s="452">
        <v>252</v>
      </c>
      <c r="AJ236" s="452"/>
      <c r="AK236" s="452"/>
      <c r="AL236" s="452"/>
      <c r="AM236" s="452"/>
      <c r="AN236" s="500">
        <v>5.25</v>
      </c>
      <c r="AO236" s="452"/>
      <c r="AP236" s="452"/>
      <c r="AQ236" s="452"/>
      <c r="AR236" s="452"/>
      <c r="AS236" s="452"/>
      <c r="AT236" s="452">
        <f>+ab($U$236,$T$234,$U$238,$G$235,$G$237,-1*$F$236,1200)</f>
        <v>5.3410192517705832</v>
      </c>
      <c r="AU236" s="452"/>
      <c r="AV236" s="452"/>
      <c r="AW236" s="452"/>
      <c r="AX236" s="452"/>
      <c r="AY236" s="500"/>
      <c r="AZ236" s="500"/>
      <c r="BA236" s="1333"/>
      <c r="BB236" s="452"/>
      <c r="BC236" s="1334"/>
      <c r="BD236" s="1335"/>
      <c r="BE236" s="1335"/>
      <c r="BF236" s="1335"/>
      <c r="BG236" s="1335"/>
    </row>
    <row r="237" spans="1:59" s="178" customFormat="1" ht="15.75" customHeight="1">
      <c r="A237" s="501"/>
      <c r="B237" s="716"/>
      <c r="C237" s="451"/>
      <c r="D237" s="453"/>
      <c r="E237" s="452"/>
      <c r="F237" s="453"/>
      <c r="G237" s="500">
        <v>30</v>
      </c>
      <c r="H237" s="453"/>
      <c r="I237" s="501"/>
      <c r="J237" s="583"/>
      <c r="K237" s="452"/>
      <c r="L237" s="452"/>
      <c r="M237" s="452"/>
      <c r="N237" s="501"/>
      <c r="O237" s="501"/>
      <c r="P237" s="501"/>
      <c r="Q237" s="452"/>
      <c r="R237" s="452"/>
      <c r="S237" s="500">
        <f>+AG238-AG236</f>
        <v>30.020000000004075</v>
      </c>
      <c r="T237" s="452"/>
      <c r="U237" s="452"/>
      <c r="V237" s="452"/>
      <c r="W237" s="452"/>
      <c r="X237" s="452"/>
      <c r="Y237" s="452"/>
      <c r="Z237" s="452"/>
      <c r="AA237" s="452"/>
      <c r="AB237" s="452"/>
      <c r="AC237" s="452"/>
      <c r="AD237" s="452"/>
      <c r="AE237" s="452"/>
      <c r="AF237" s="452"/>
      <c r="AG237" s="451"/>
      <c r="AH237" s="452"/>
      <c r="AI237" s="452"/>
      <c r="AJ237" s="452"/>
      <c r="AK237" s="452"/>
      <c r="AL237" s="452"/>
      <c r="AM237" s="452"/>
      <c r="AN237" s="500"/>
      <c r="AO237" s="452"/>
      <c r="AP237" s="452"/>
      <c r="AQ237" s="452">
        <f>+FL_2($U$238,$U$236,$G$237,1200,9.28,-1*$F$238)</f>
        <v>-0.39256083547849208</v>
      </c>
      <c r="AR237" s="452"/>
      <c r="AS237" s="452"/>
      <c r="AT237" s="452"/>
      <c r="AU237" s="452"/>
      <c r="AV237" s="452"/>
      <c r="AW237" s="452"/>
      <c r="AX237" s="452"/>
      <c r="AY237" s="500"/>
      <c r="AZ237" s="500"/>
      <c r="BA237" s="1333"/>
      <c r="BB237" s="452"/>
      <c r="BC237" s="1334"/>
      <c r="BD237" s="1335"/>
      <c r="BE237" s="1335"/>
      <c r="BF237" s="1335"/>
      <c r="BG237" s="1335"/>
    </row>
    <row r="238" spans="1:59" s="178" customFormat="1" ht="15.75" customHeight="1">
      <c r="A238" s="501"/>
      <c r="B238" s="716" t="s">
        <v>2149</v>
      </c>
      <c r="C238" s="451">
        <f>C236+G237</f>
        <v>97274.5</v>
      </c>
      <c r="D238" s="453"/>
      <c r="E238" s="452"/>
      <c r="F238" s="453">
        <v>-445</v>
      </c>
      <c r="G238" s="500"/>
      <c r="H238" s="453" t="s">
        <v>619</v>
      </c>
      <c r="I238" s="501"/>
      <c r="J238" s="583"/>
      <c r="K238" s="452"/>
      <c r="L238" s="452"/>
      <c r="M238" s="452"/>
      <c r="N238" s="501" t="s">
        <v>845</v>
      </c>
      <c r="O238" s="501" t="s">
        <v>844</v>
      </c>
      <c r="P238" s="501"/>
      <c r="Q238" s="452"/>
      <c r="R238" s="452"/>
      <c r="S238" s="500"/>
      <c r="T238" s="452">
        <v>-10</v>
      </c>
      <c r="U238" s="452">
        <v>35</v>
      </c>
      <c r="V238" s="452"/>
      <c r="W238" s="452">
        <v>1.8</v>
      </c>
      <c r="X238" s="452">
        <v>1.4</v>
      </c>
      <c r="Y238" s="452"/>
      <c r="Z238" s="452">
        <v>0.1</v>
      </c>
      <c r="AA238" s="452"/>
      <c r="AB238" s="452"/>
      <c r="AC238" s="452" t="s">
        <v>4482</v>
      </c>
      <c r="AD238" s="452" t="s">
        <v>3050</v>
      </c>
      <c r="AE238" s="452"/>
      <c r="AF238" s="452">
        <v>200</v>
      </c>
      <c r="AG238" s="451">
        <v>97298.1</v>
      </c>
      <c r="AH238" s="452">
        <v>1760</v>
      </c>
      <c r="AI238" s="452">
        <v>-5540</v>
      </c>
      <c r="AJ238" s="452"/>
      <c r="AK238" s="452" t="s">
        <v>228</v>
      </c>
      <c r="AL238" s="452"/>
      <c r="AM238" s="452"/>
      <c r="AN238" s="500">
        <v>5.35</v>
      </c>
      <c r="AO238" s="452"/>
      <c r="AP238" s="452"/>
      <c r="AQ238" s="452"/>
      <c r="AR238" s="452"/>
      <c r="AS238" s="452"/>
      <c r="AT238" s="452">
        <f>+ab($U$238,$U$236,$T$240,$G$237,$G$239,-1*$F$238,1200)</f>
        <v>1.8430251665431976</v>
      </c>
      <c r="AU238" s="452"/>
      <c r="AV238" s="452"/>
      <c r="AW238" s="452"/>
      <c r="AX238" s="452"/>
      <c r="AY238" s="500"/>
      <c r="AZ238" s="500"/>
      <c r="BA238" s="1333"/>
      <c r="BB238" s="452"/>
      <c r="BC238" s="1334"/>
      <c r="BD238" s="1335"/>
      <c r="BE238" s="1335"/>
      <c r="BF238" s="1335"/>
      <c r="BG238" s="1335"/>
    </row>
    <row r="239" spans="1:59" s="178" customFormat="1" ht="15.75" customHeight="1">
      <c r="A239" s="501"/>
      <c r="B239" s="716"/>
      <c r="C239" s="451"/>
      <c r="D239" s="453"/>
      <c r="E239" s="452"/>
      <c r="F239" s="453"/>
      <c r="G239" s="500">
        <v>30</v>
      </c>
      <c r="H239" s="453"/>
      <c r="I239" s="501"/>
      <c r="J239" s="583"/>
      <c r="K239" s="452"/>
      <c r="L239" s="452"/>
      <c r="M239" s="452"/>
      <c r="N239" s="501"/>
      <c r="O239" s="501"/>
      <c r="P239" s="501"/>
      <c r="Q239" s="452"/>
      <c r="R239" s="452"/>
      <c r="S239" s="500">
        <f>+AG240-AG238</f>
        <v>29.899999999994179</v>
      </c>
      <c r="T239" s="452"/>
      <c r="U239" s="452"/>
      <c r="V239" s="452"/>
      <c r="W239" s="452"/>
      <c r="X239" s="452"/>
      <c r="Y239" s="452"/>
      <c r="Z239" s="452"/>
      <c r="AA239" s="452"/>
      <c r="AB239" s="452"/>
      <c r="AC239" s="452"/>
      <c r="AD239" s="452"/>
      <c r="AE239" s="452"/>
      <c r="AF239" s="452"/>
      <c r="AG239" s="451"/>
      <c r="AH239" s="452"/>
      <c r="AI239" s="452"/>
      <c r="AJ239" s="452"/>
      <c r="AK239" s="452"/>
      <c r="AL239" s="452"/>
      <c r="AM239" s="452"/>
      <c r="AN239" s="500"/>
      <c r="AO239" s="452"/>
      <c r="AP239" s="452"/>
      <c r="AQ239" s="452">
        <f>+FL_1($T$240,$U$238,$G$239,1200,9.28,-1*$F$240)</f>
        <v>0.3500000000000632</v>
      </c>
      <c r="AR239" s="452"/>
      <c r="AS239" s="452"/>
      <c r="AT239" s="452"/>
      <c r="AU239" s="452"/>
      <c r="AV239" s="452"/>
      <c r="AW239" s="452"/>
      <c r="AX239" s="452"/>
      <c r="AY239" s="500"/>
      <c r="AZ239" s="500"/>
      <c r="BA239" s="1333"/>
      <c r="BB239" s="452"/>
      <c r="BC239" s="1334"/>
      <c r="BD239" s="1335"/>
      <c r="BE239" s="1335"/>
      <c r="BF239" s="1335"/>
      <c r="BG239" s="1335"/>
    </row>
    <row r="240" spans="1:59" s="178" customFormat="1" ht="15.75" customHeight="1">
      <c r="A240" s="501" t="s">
        <v>2296</v>
      </c>
      <c r="B240" s="716" t="s">
        <v>2150</v>
      </c>
      <c r="C240" s="451">
        <f>C238+G239</f>
        <v>97304.5</v>
      </c>
      <c r="D240" s="453"/>
      <c r="E240" s="452"/>
      <c r="F240" s="453">
        <v>-445</v>
      </c>
      <c r="G240" s="500"/>
      <c r="H240" s="453" t="s">
        <v>619</v>
      </c>
      <c r="I240" s="501"/>
      <c r="J240" s="583"/>
      <c r="K240" s="452"/>
      <c r="L240" s="452"/>
      <c r="M240" s="452"/>
      <c r="N240" s="501" t="s">
        <v>844</v>
      </c>
      <c r="O240" s="501" t="s">
        <v>845</v>
      </c>
      <c r="P240" s="501"/>
      <c r="Q240" s="452"/>
      <c r="R240" s="452"/>
      <c r="S240" s="500"/>
      <c r="T240" s="452">
        <v>-10</v>
      </c>
      <c r="U240" s="452">
        <v>35</v>
      </c>
      <c r="V240" s="452"/>
      <c r="W240" s="452">
        <v>2.2999999999999998</v>
      </c>
      <c r="X240" s="452">
        <v>1.4</v>
      </c>
      <c r="Y240" s="452"/>
      <c r="Z240" s="452"/>
      <c r="AA240" s="452">
        <v>0.1</v>
      </c>
      <c r="AB240" s="452"/>
      <c r="AC240" s="452" t="s">
        <v>4482</v>
      </c>
      <c r="AD240" s="452" t="s">
        <v>4090</v>
      </c>
      <c r="AE240" s="452"/>
      <c r="AF240" s="452">
        <v>200</v>
      </c>
      <c r="AG240" s="451">
        <v>97328</v>
      </c>
      <c r="AH240" s="452">
        <v>1710</v>
      </c>
      <c r="AI240" s="452">
        <v>-5670</v>
      </c>
      <c r="AJ240" s="452" t="s">
        <v>2154</v>
      </c>
      <c r="AK240" s="452" t="s">
        <v>228</v>
      </c>
      <c r="AL240" s="452"/>
      <c r="AM240" s="452"/>
      <c r="AN240" s="500">
        <v>5.45</v>
      </c>
      <c r="AO240" s="452"/>
      <c r="AP240" s="452"/>
      <c r="AQ240" s="452"/>
      <c r="AR240" s="452"/>
      <c r="AS240" s="452"/>
      <c r="AT240" s="452">
        <f>+ab($T$240,$U$238,$T$242,$G$239,$G$241,-1*$F$240,1200)</f>
        <v>3.656004683891104</v>
      </c>
      <c r="AU240" s="452"/>
      <c r="AV240" s="452"/>
      <c r="AW240" s="452"/>
      <c r="AX240" s="452"/>
      <c r="AY240" s="500"/>
      <c r="AZ240" s="500"/>
      <c r="BA240" s="1333"/>
      <c r="BB240" s="452"/>
      <c r="BC240" s="1334"/>
      <c r="BD240" s="1335"/>
      <c r="BE240" s="1335"/>
      <c r="BF240" s="1335"/>
      <c r="BG240" s="1335"/>
    </row>
    <row r="241" spans="1:59" s="178" customFormat="1" ht="15.75" customHeight="1">
      <c r="A241" s="501"/>
      <c r="B241" s="716"/>
      <c r="C241" s="451"/>
      <c r="D241" s="453"/>
      <c r="E241" s="452"/>
      <c r="F241" s="453"/>
      <c r="G241" s="500">
        <v>30</v>
      </c>
      <c r="H241" s="453"/>
      <c r="I241" s="501"/>
      <c r="J241" s="583"/>
      <c r="K241" s="452"/>
      <c r="L241" s="452"/>
      <c r="M241" s="452"/>
      <c r="N241" s="501"/>
      <c r="O241" s="501"/>
      <c r="P241" s="501"/>
      <c r="Q241" s="452"/>
      <c r="R241" s="452"/>
      <c r="S241" s="500">
        <f>+AG242-AG240</f>
        <v>30</v>
      </c>
      <c r="T241" s="452"/>
      <c r="U241" s="452"/>
      <c r="V241" s="452"/>
      <c r="W241" s="452"/>
      <c r="X241" s="452"/>
      <c r="Y241" s="452"/>
      <c r="Z241" s="452"/>
      <c r="AA241" s="452"/>
      <c r="AB241" s="452"/>
      <c r="AC241" s="452"/>
      <c r="AD241" s="452"/>
      <c r="AE241" s="452"/>
      <c r="AF241" s="452"/>
      <c r="AG241" s="451"/>
      <c r="AH241" s="452"/>
      <c r="AI241" s="452"/>
      <c r="AJ241" s="452"/>
      <c r="AK241" s="452"/>
      <c r="AL241" s="452"/>
      <c r="AM241" s="452"/>
      <c r="AN241" s="500"/>
      <c r="AO241" s="452"/>
      <c r="AP241" s="452"/>
      <c r="AQ241" s="452">
        <f>+FL_1($T$242,$T$240,$G$241,1200,9.28,-1*$F$242)</f>
        <v>-1.3000000000000012E-2</v>
      </c>
      <c r="AR241" s="452"/>
      <c r="AS241" s="452"/>
      <c r="AT241" s="452"/>
      <c r="AU241" s="452"/>
      <c r="AV241" s="452"/>
      <c r="AW241" s="452"/>
      <c r="AX241" s="452"/>
      <c r="AY241" s="500"/>
      <c r="AZ241" s="500"/>
      <c r="BA241" s="1333"/>
      <c r="BB241" s="452"/>
      <c r="BC241" s="1334"/>
      <c r="BD241" s="1335"/>
      <c r="BE241" s="1335"/>
      <c r="BF241" s="1335"/>
      <c r="BG241" s="1335"/>
    </row>
    <row r="242" spans="1:59" s="178" customFormat="1" ht="15.75" customHeight="1">
      <c r="A242" s="501"/>
      <c r="B242" s="716" t="s">
        <v>2151</v>
      </c>
      <c r="C242" s="451">
        <f>C240+G241</f>
        <v>97334.5</v>
      </c>
      <c r="D242" s="453"/>
      <c r="E242" s="452"/>
      <c r="F242" s="453">
        <v>0</v>
      </c>
      <c r="G242" s="500"/>
      <c r="H242" s="453" t="s">
        <v>619</v>
      </c>
      <c r="I242" s="501"/>
      <c r="J242" s="583"/>
      <c r="K242" s="452"/>
      <c r="L242" s="452"/>
      <c r="M242" s="452"/>
      <c r="N242" s="501" t="s">
        <v>844</v>
      </c>
      <c r="O242" s="501" t="s">
        <v>845</v>
      </c>
      <c r="P242" s="501"/>
      <c r="Q242" s="452"/>
      <c r="R242" s="452"/>
      <c r="S242" s="500"/>
      <c r="T242" s="452">
        <v>-10</v>
      </c>
      <c r="U242" s="452">
        <v>35</v>
      </c>
      <c r="V242" s="452"/>
      <c r="W242" s="452">
        <v>2.2999999999999998</v>
      </c>
      <c r="X242" s="452">
        <v>1.4</v>
      </c>
      <c r="Y242" s="452"/>
      <c r="Z242" s="452"/>
      <c r="AA242" s="452">
        <v>0.6</v>
      </c>
      <c r="AB242" s="452"/>
      <c r="AC242" s="452" t="s">
        <v>4124</v>
      </c>
      <c r="AD242" s="452"/>
      <c r="AE242" s="452"/>
      <c r="AF242" s="452">
        <v>200</v>
      </c>
      <c r="AG242" s="451">
        <v>97358</v>
      </c>
      <c r="AH242" s="452">
        <v>1730</v>
      </c>
      <c r="AI242" s="452">
        <v>-5650</v>
      </c>
      <c r="AJ242" s="452"/>
      <c r="AK242" s="452" t="s">
        <v>228</v>
      </c>
      <c r="AL242" s="452"/>
      <c r="AM242" s="452"/>
      <c r="AN242" s="500">
        <v>5.5</v>
      </c>
      <c r="AO242" s="452"/>
      <c r="AP242" s="452"/>
      <c r="AQ242" s="452"/>
      <c r="AR242" s="452"/>
      <c r="AS242" s="452"/>
      <c r="AT242" s="452">
        <f>+ab($T$242,$T$240,$U$244,$G$241,$G$243,-1*$F$242,1200)</f>
        <v>21.895071922715115</v>
      </c>
      <c r="AU242" s="452"/>
      <c r="AV242" s="452"/>
      <c r="AW242" s="452"/>
      <c r="AX242" s="452"/>
      <c r="AY242" s="500"/>
      <c r="AZ242" s="500"/>
      <c r="BA242" s="1333"/>
      <c r="BB242" s="452"/>
      <c r="BC242" s="1334"/>
      <c r="BD242" s="1335"/>
      <c r="BE242" s="1335"/>
      <c r="BF242" s="1335"/>
      <c r="BG242" s="1335"/>
    </row>
    <row r="243" spans="1:59" s="178" customFormat="1" ht="15.75" customHeight="1">
      <c r="A243" s="501"/>
      <c r="B243" s="716"/>
      <c r="C243" s="451"/>
      <c r="D243" s="453"/>
      <c r="E243" s="452"/>
      <c r="F243" s="453"/>
      <c r="G243" s="500">
        <v>30</v>
      </c>
      <c r="H243" s="453"/>
      <c r="I243" s="501"/>
      <c r="J243" s="583"/>
      <c r="K243" s="452"/>
      <c r="L243" s="452"/>
      <c r="M243" s="452"/>
      <c r="N243" s="501"/>
      <c r="O243" s="501"/>
      <c r="P243" s="501"/>
      <c r="Q243" s="452"/>
      <c r="R243" s="452"/>
      <c r="S243" s="500">
        <f>+AG244-AG242</f>
        <v>33.05000000000291</v>
      </c>
      <c r="T243" s="452"/>
      <c r="U243" s="452"/>
      <c r="V243" s="452"/>
      <c r="W243" s="452"/>
      <c r="X243" s="452"/>
      <c r="Y243" s="452"/>
      <c r="Z243" s="452"/>
      <c r="AA243" s="452"/>
      <c r="AB243" s="452"/>
      <c r="AC243" s="452"/>
      <c r="AD243" s="452"/>
      <c r="AE243" s="452"/>
      <c r="AF243" s="452"/>
      <c r="AG243" s="451"/>
      <c r="AH243" s="452"/>
      <c r="AI243" s="452"/>
      <c r="AJ243" s="452"/>
      <c r="AK243" s="452"/>
      <c r="AL243" s="452"/>
      <c r="AM243" s="452"/>
      <c r="AN243" s="500"/>
      <c r="AO243" s="452"/>
      <c r="AP243" s="452"/>
      <c r="AQ243" s="452">
        <f>+FL_1($U$244,$T$242,$G$243,1200,9.28,-1*$F$244)</f>
        <v>-9.3100581333333363E-2</v>
      </c>
      <c r="AR243" s="452"/>
      <c r="AS243" s="452"/>
      <c r="AT243" s="452"/>
      <c r="AU243" s="452"/>
      <c r="AV243" s="452"/>
      <c r="AW243" s="452"/>
      <c r="AX243" s="452"/>
      <c r="AY243" s="500"/>
      <c r="AZ243" s="500"/>
      <c r="BA243" s="1333"/>
      <c r="BB243" s="452"/>
      <c r="BC243" s="1334"/>
      <c r="BD243" s="1335"/>
      <c r="BE243" s="1335"/>
      <c r="BF243" s="1335"/>
      <c r="BG243" s="1335"/>
    </row>
    <row r="244" spans="1:59" s="178" customFormat="1" ht="15.75" customHeight="1">
      <c r="A244" s="501"/>
      <c r="B244" s="716" t="s">
        <v>2152</v>
      </c>
      <c r="C244" s="451">
        <v>97392</v>
      </c>
      <c r="D244" s="453"/>
      <c r="E244" s="452"/>
      <c r="F244" s="453">
        <v>0</v>
      </c>
      <c r="G244" s="500"/>
      <c r="H244" s="453" t="s">
        <v>619</v>
      </c>
      <c r="I244" s="501"/>
      <c r="J244" s="583"/>
      <c r="K244" s="452"/>
      <c r="L244" s="452"/>
      <c r="M244" s="452"/>
      <c r="N244" s="501" t="s">
        <v>845</v>
      </c>
      <c r="O244" s="501" t="s">
        <v>844</v>
      </c>
      <c r="P244" s="501"/>
      <c r="Q244" s="452"/>
      <c r="R244" s="452"/>
      <c r="S244" s="500"/>
      <c r="T244" s="452">
        <v>-55</v>
      </c>
      <c r="U244" s="452">
        <v>-35</v>
      </c>
      <c r="V244" s="452">
        <v>-20</v>
      </c>
      <c r="W244" s="452">
        <v>2</v>
      </c>
      <c r="X244" s="452">
        <v>1.8</v>
      </c>
      <c r="Y244" s="452">
        <v>1.4</v>
      </c>
      <c r="Z244" s="452">
        <v>0.7</v>
      </c>
      <c r="AA244" s="452">
        <v>0.45</v>
      </c>
      <c r="AB244" s="452"/>
      <c r="AC244" s="452"/>
      <c r="AD244" s="452"/>
      <c r="AE244" s="452" t="s">
        <v>1417</v>
      </c>
      <c r="AF244" s="452">
        <v>200</v>
      </c>
      <c r="AG244" s="451">
        <v>97391.05</v>
      </c>
      <c r="AH244" s="452">
        <v>1470</v>
      </c>
      <c r="AI244" s="452">
        <v>-6280</v>
      </c>
      <c r="AJ244" s="452"/>
      <c r="AK244" s="452" t="s">
        <v>228</v>
      </c>
      <c r="AL244" s="452"/>
      <c r="AM244" s="452"/>
      <c r="AN244" s="500">
        <v>5.5</v>
      </c>
      <c r="AO244" s="452"/>
      <c r="AP244" s="452"/>
      <c r="AQ244" s="452"/>
      <c r="AR244" s="452"/>
      <c r="AS244" s="452"/>
      <c r="AT244" s="452">
        <f>+ab($U$244,$U$242,$U$246,$G$243,$G$245,-1*$F$244,1200)</f>
        <v>-4.7861565010948954</v>
      </c>
      <c r="AU244" s="452"/>
      <c r="AV244" s="452"/>
      <c r="AW244" s="452"/>
      <c r="AX244" s="452"/>
      <c r="AY244" s="500"/>
      <c r="AZ244" s="500"/>
      <c r="BA244" s="1333"/>
      <c r="BB244" s="452"/>
      <c r="BC244" s="1334"/>
      <c r="BD244" s="1335"/>
      <c r="BE244" s="1335"/>
      <c r="BF244" s="1335"/>
      <c r="BG244" s="1335"/>
    </row>
    <row r="245" spans="1:59" s="178" customFormat="1" ht="15.75" customHeight="1">
      <c r="A245" s="501"/>
      <c r="B245" s="716"/>
      <c r="C245" s="451"/>
      <c r="D245" s="453"/>
      <c r="E245" s="452"/>
      <c r="F245" s="453"/>
      <c r="G245" s="500">
        <v>30</v>
      </c>
      <c r="H245" s="453"/>
      <c r="I245" s="501"/>
      <c r="J245" s="583"/>
      <c r="K245" s="452"/>
      <c r="L245" s="452"/>
      <c r="M245" s="452"/>
      <c r="N245" s="501"/>
      <c r="O245" s="501"/>
      <c r="P245" s="501"/>
      <c r="Q245" s="452"/>
      <c r="R245" s="452"/>
      <c r="S245" s="500">
        <f>+AG246-AG244</f>
        <v>30.940000000002328</v>
      </c>
      <c r="T245" s="452"/>
      <c r="U245" s="452"/>
      <c r="V245" s="452"/>
      <c r="W245" s="452"/>
      <c r="X245" s="452"/>
      <c r="Y245" s="452"/>
      <c r="Z245" s="452"/>
      <c r="AA245" s="452"/>
      <c r="AB245" s="452"/>
      <c r="AC245" s="452"/>
      <c r="AD245" s="452"/>
      <c r="AE245" s="452"/>
      <c r="AF245" s="452"/>
      <c r="AG245" s="451"/>
      <c r="AH245" s="452"/>
      <c r="AI245" s="452"/>
      <c r="AJ245" s="452"/>
      <c r="AK245" s="452"/>
      <c r="AL245" s="452"/>
      <c r="AM245" s="452"/>
      <c r="AN245" s="500"/>
      <c r="AO245" s="452"/>
      <c r="AP245" s="452"/>
      <c r="AQ245" s="452">
        <f>+FL_1($U$246,$U$244,$G$245,1200,9.28,-1*$F$246)</f>
        <v>0.15</v>
      </c>
      <c r="AR245" s="452"/>
      <c r="AS245" s="452"/>
      <c r="AT245" s="452"/>
      <c r="AU245" s="452"/>
      <c r="AV245" s="452"/>
      <c r="AW245" s="452"/>
      <c r="AX245" s="452"/>
      <c r="AY245" s="500"/>
      <c r="AZ245" s="500"/>
      <c r="BA245" s="1333"/>
      <c r="BB245" s="452"/>
      <c r="BC245" s="1334"/>
      <c r="BD245" s="1335"/>
      <c r="BE245" s="1335"/>
      <c r="BF245" s="1335"/>
      <c r="BG245" s="1335"/>
    </row>
    <row r="246" spans="1:59" s="178" customFormat="1" ht="15.75" customHeight="1">
      <c r="A246" s="501"/>
      <c r="B246" s="716" t="s">
        <v>2153</v>
      </c>
      <c r="C246" s="451">
        <v>97422</v>
      </c>
      <c r="D246" s="453"/>
      <c r="E246" s="452"/>
      <c r="F246" s="453">
        <v>0</v>
      </c>
      <c r="G246" s="500"/>
      <c r="H246" s="453" t="s">
        <v>142</v>
      </c>
      <c r="I246" s="501"/>
      <c r="J246" s="583"/>
      <c r="K246" s="452"/>
      <c r="L246" s="452"/>
      <c r="M246" s="452"/>
      <c r="N246" s="501" t="s">
        <v>843</v>
      </c>
      <c r="O246" s="501" t="s">
        <v>844</v>
      </c>
      <c r="P246" s="501"/>
      <c r="Q246" s="452"/>
      <c r="R246" s="452"/>
      <c r="S246" s="500"/>
      <c r="T246" s="452">
        <v>-40</v>
      </c>
      <c r="U246" s="452">
        <v>15</v>
      </c>
      <c r="V246" s="452">
        <v>30</v>
      </c>
      <c r="W246" s="452">
        <v>2</v>
      </c>
      <c r="X246" s="452">
        <v>1.8</v>
      </c>
      <c r="Y246" s="452">
        <v>1.4</v>
      </c>
      <c r="Z246" s="452">
        <v>0.7</v>
      </c>
      <c r="AA246" s="452"/>
      <c r="AB246" s="452"/>
      <c r="AC246" s="452"/>
      <c r="AD246" s="452" t="s">
        <v>4207</v>
      </c>
      <c r="AE246" s="452" t="s">
        <v>1427</v>
      </c>
      <c r="AF246" s="452">
        <v>200</v>
      </c>
      <c r="AG246" s="451">
        <v>97421.99</v>
      </c>
      <c r="AH246" s="452">
        <v>1840</v>
      </c>
      <c r="AI246" s="452">
        <v>-6290</v>
      </c>
      <c r="AJ246" s="452"/>
      <c r="AK246" s="452" t="s">
        <v>228</v>
      </c>
      <c r="AL246" s="452"/>
      <c r="AM246" s="452"/>
      <c r="AN246" s="500">
        <v>5.5</v>
      </c>
      <c r="AO246" s="452"/>
      <c r="AP246" s="452"/>
      <c r="AQ246" s="452"/>
      <c r="AR246" s="452"/>
      <c r="AS246" s="452"/>
      <c r="AT246" s="452" t="e">
        <f>+ab($U$246,$U$244,#REF!,$G$245,$G$247,-1*$F$246,1200)</f>
        <v>#VALUE!</v>
      </c>
      <c r="AU246" s="452"/>
      <c r="AV246" s="452"/>
      <c r="AW246" s="452"/>
      <c r="AX246" s="452"/>
      <c r="AY246" s="500"/>
      <c r="AZ246" s="500"/>
      <c r="BA246" s="1333"/>
      <c r="BB246" s="452"/>
      <c r="BC246" s="1334"/>
      <c r="BD246" s="1335"/>
      <c r="BE246" s="1335"/>
      <c r="BF246" s="1335"/>
      <c r="BG246" s="1335"/>
    </row>
    <row r="247" spans="1:59" s="178" customFormat="1" ht="15.75" customHeight="1">
      <c r="A247" s="501"/>
      <c r="B247" s="716"/>
      <c r="C247" s="451"/>
      <c r="D247" s="453"/>
      <c r="E247" s="452"/>
      <c r="F247" s="453"/>
      <c r="G247" s="500">
        <v>44</v>
      </c>
      <c r="H247" s="453"/>
      <c r="I247" s="501"/>
      <c r="J247" s="583"/>
      <c r="K247" s="452"/>
      <c r="L247" s="452"/>
      <c r="M247" s="452"/>
      <c r="N247" s="501"/>
      <c r="O247" s="501"/>
      <c r="P247" s="501"/>
      <c r="Q247" s="452"/>
      <c r="R247" s="452"/>
      <c r="S247" s="500"/>
      <c r="T247" s="452"/>
      <c r="U247" s="452"/>
      <c r="V247" s="452"/>
      <c r="W247" s="452"/>
      <c r="X247" s="452"/>
      <c r="Y247" s="452"/>
      <c r="Z247" s="452"/>
      <c r="AA247" s="452"/>
      <c r="AB247" s="452"/>
      <c r="AC247" s="452"/>
      <c r="AD247" s="452"/>
      <c r="AE247" s="452"/>
      <c r="AF247" s="452"/>
      <c r="AG247" s="451"/>
      <c r="AH247" s="452"/>
      <c r="AI247" s="452"/>
      <c r="AJ247" s="452"/>
      <c r="AK247" s="452"/>
      <c r="AL247" s="452"/>
      <c r="AM247" s="452"/>
      <c r="AN247" s="500"/>
      <c r="AO247" s="452"/>
      <c r="AP247" s="452"/>
      <c r="AQ247" s="452" t="e">
        <f>+FL_1(#REF!,$T$246,$G$247,1200,9.28,-1*#REF!)</f>
        <v>#VALUE!</v>
      </c>
      <c r="AR247" s="452"/>
      <c r="AS247" s="452"/>
      <c r="AT247" s="452"/>
      <c r="AU247" s="452"/>
      <c r="AV247" s="452"/>
      <c r="AW247" s="452"/>
      <c r="AX247" s="452"/>
      <c r="AY247" s="500"/>
      <c r="AZ247" s="500"/>
      <c r="BA247" s="1333"/>
      <c r="BB247" s="452"/>
      <c r="BC247" s="1334"/>
      <c r="BD247" s="1335"/>
      <c r="BE247" s="1335"/>
      <c r="BF247" s="1335"/>
      <c r="BG247" s="1335"/>
    </row>
    <row r="248" spans="1:59" ht="12.5">
      <c r="A248" s="174"/>
      <c r="B248" s="175"/>
      <c r="F248" s="177"/>
      <c r="H248" s="178"/>
      <c r="I248" s="178"/>
      <c r="J248" s="184"/>
      <c r="N248" s="178"/>
      <c r="O248" s="178"/>
      <c r="P248" s="178"/>
      <c r="S248" s="458"/>
      <c r="AN248" s="458"/>
      <c r="AO248" s="458"/>
      <c r="AP248" s="458"/>
      <c r="AQ248" s="458"/>
      <c r="AR248" s="458"/>
      <c r="AS248" s="458"/>
      <c r="AT248" s="458"/>
      <c r="AU248" s="458"/>
      <c r="AV248" s="458"/>
      <c r="BA248" s="1305"/>
      <c r="BB248" s="174"/>
    </row>
    <row r="249" spans="1:59" ht="12.5">
      <c r="A249" s="174"/>
      <c r="B249" s="175"/>
      <c r="F249" s="177"/>
      <c r="H249" s="178"/>
      <c r="I249" s="178"/>
      <c r="J249" s="184"/>
      <c r="N249" s="178"/>
      <c r="O249" s="178"/>
      <c r="P249" s="178"/>
      <c r="S249" s="458"/>
      <c r="AN249" s="458"/>
      <c r="AO249" s="458"/>
      <c r="AP249" s="458"/>
      <c r="AQ249" s="458"/>
      <c r="AR249" s="458"/>
      <c r="AS249" s="458"/>
      <c r="AT249" s="458"/>
      <c r="AU249" s="458"/>
      <c r="AV249" s="458"/>
      <c r="BA249" s="1305"/>
      <c r="BB249" s="174"/>
    </row>
    <row r="250" spans="1:59" ht="12.5">
      <c r="A250" s="174"/>
      <c r="B250" s="175"/>
      <c r="F250" s="177"/>
      <c r="H250" s="178"/>
      <c r="I250" s="178"/>
      <c r="J250" s="184"/>
      <c r="N250" s="178"/>
      <c r="O250" s="178"/>
      <c r="P250" s="178"/>
      <c r="S250" s="458"/>
      <c r="AN250" s="458"/>
      <c r="AO250" s="458"/>
      <c r="AP250" s="458"/>
      <c r="AQ250" s="458"/>
      <c r="AR250" s="458"/>
      <c r="AS250" s="458"/>
      <c r="AT250" s="458"/>
      <c r="AU250" s="458"/>
      <c r="AV250" s="458"/>
      <c r="BA250" s="1305"/>
      <c r="BB250" s="174"/>
    </row>
    <row r="251" spans="1:59" ht="12.5">
      <c r="A251" s="174"/>
      <c r="B251" s="175"/>
      <c r="F251" s="177"/>
      <c r="H251" s="178"/>
      <c r="I251" s="178"/>
      <c r="J251" s="184"/>
      <c r="N251" s="178"/>
      <c r="O251" s="178"/>
      <c r="P251" s="178"/>
      <c r="S251" s="458"/>
      <c r="AN251" s="458"/>
      <c r="AO251" s="458"/>
      <c r="AP251" s="458"/>
      <c r="AQ251" s="458"/>
      <c r="AR251" s="458"/>
      <c r="AS251" s="458"/>
      <c r="AT251" s="458"/>
      <c r="AU251" s="458"/>
      <c r="AV251" s="458"/>
      <c r="BA251" s="1305"/>
      <c r="BB251" s="174"/>
    </row>
    <row r="252" spans="1:59" ht="12.5">
      <c r="A252" s="174"/>
      <c r="B252" s="175"/>
      <c r="F252" s="177"/>
      <c r="H252" s="178"/>
      <c r="I252" s="178"/>
      <c r="J252" s="184"/>
      <c r="N252" s="178"/>
      <c r="O252" s="178"/>
      <c r="P252" s="178"/>
      <c r="S252" s="458"/>
      <c r="AN252" s="458"/>
      <c r="AO252" s="458"/>
      <c r="AP252" s="458"/>
      <c r="AQ252" s="458"/>
      <c r="AR252" s="458"/>
      <c r="AS252" s="458"/>
      <c r="AT252" s="458"/>
      <c r="AU252" s="458"/>
      <c r="AV252" s="458"/>
      <c r="BA252" s="1305"/>
      <c r="BB252" s="174"/>
    </row>
    <row r="253" spans="1:59" ht="12.5">
      <c r="A253" s="174"/>
      <c r="B253" s="175"/>
      <c r="F253" s="177"/>
      <c r="H253" s="178"/>
      <c r="I253" s="178"/>
      <c r="J253" s="184"/>
      <c r="N253" s="178"/>
      <c r="O253" s="178"/>
      <c r="P253" s="178"/>
      <c r="S253" s="458"/>
      <c r="AN253" s="458"/>
      <c r="AO253" s="458"/>
      <c r="AP253" s="458"/>
      <c r="AQ253" s="458"/>
      <c r="AR253" s="458"/>
      <c r="AS253" s="458"/>
      <c r="AT253" s="458"/>
      <c r="AU253" s="458"/>
      <c r="AV253" s="458"/>
      <c r="BA253" s="1305"/>
      <c r="BB253" s="174"/>
    </row>
    <row r="254" spans="1:59" ht="12.5">
      <c r="A254" s="174"/>
      <c r="B254" s="175"/>
      <c r="F254" s="177"/>
      <c r="H254" s="178"/>
      <c r="I254" s="178"/>
      <c r="J254" s="184"/>
      <c r="N254" s="178"/>
      <c r="O254" s="178"/>
      <c r="P254" s="178"/>
      <c r="S254" s="458"/>
      <c r="AN254" s="458"/>
      <c r="AO254" s="458"/>
      <c r="AP254" s="458"/>
      <c r="AQ254" s="458"/>
      <c r="AR254" s="458"/>
      <c r="AS254" s="458"/>
      <c r="AT254" s="458"/>
      <c r="AU254" s="458"/>
      <c r="AV254" s="458"/>
      <c r="BA254" s="1305"/>
      <c r="BB254" s="174"/>
    </row>
    <row r="255" spans="1:59" ht="12.5">
      <c r="A255" s="174"/>
      <c r="B255" s="175"/>
      <c r="F255" s="177"/>
      <c r="H255" s="178"/>
      <c r="I255" s="178"/>
      <c r="J255" s="184"/>
      <c r="N255" s="178"/>
      <c r="O255" s="178"/>
      <c r="P255" s="178"/>
      <c r="S255" s="458"/>
      <c r="AN255" s="458"/>
      <c r="AO255" s="458"/>
      <c r="AP255" s="458"/>
      <c r="AQ255" s="458"/>
      <c r="AR255" s="458"/>
      <c r="AS255" s="458"/>
      <c r="AT255" s="458"/>
      <c r="AU255" s="458"/>
      <c r="AV255" s="458"/>
      <c r="BA255" s="1305"/>
      <c r="BB255" s="174"/>
    </row>
    <row r="256" spans="1:59" ht="12.5">
      <c r="A256" s="174"/>
      <c r="B256" s="175"/>
      <c r="F256" s="177"/>
      <c r="H256" s="178"/>
      <c r="I256" s="178"/>
      <c r="J256" s="184"/>
      <c r="N256" s="178"/>
      <c r="O256" s="178"/>
      <c r="P256" s="178"/>
      <c r="S256" s="458"/>
      <c r="AN256" s="458"/>
      <c r="AO256" s="458"/>
      <c r="AP256" s="458"/>
      <c r="AQ256" s="458"/>
      <c r="AR256" s="458"/>
      <c r="AS256" s="458"/>
      <c r="AT256" s="458"/>
      <c r="AU256" s="458"/>
      <c r="AV256" s="458"/>
      <c r="BA256" s="1305"/>
      <c r="BB256" s="174"/>
    </row>
    <row r="257" spans="1:54" ht="12.5">
      <c r="A257" s="174"/>
      <c r="B257" s="175"/>
      <c r="F257" s="177"/>
      <c r="H257" s="178"/>
      <c r="I257" s="178"/>
      <c r="J257" s="184"/>
      <c r="N257" s="178"/>
      <c r="O257" s="178"/>
      <c r="P257" s="178"/>
      <c r="S257" s="458"/>
      <c r="AN257" s="458"/>
      <c r="AO257" s="458"/>
      <c r="AP257" s="458"/>
      <c r="AQ257" s="458"/>
      <c r="AR257" s="458"/>
      <c r="AS257" s="458"/>
      <c r="AT257" s="458"/>
      <c r="AU257" s="458"/>
      <c r="AV257" s="458"/>
      <c r="BA257" s="1305"/>
      <c r="BB257" s="174"/>
    </row>
    <row r="258" spans="1:54" ht="12.5">
      <c r="A258" s="174"/>
      <c r="B258" s="175"/>
      <c r="F258" s="177"/>
      <c r="H258" s="178"/>
      <c r="I258" s="178"/>
      <c r="J258" s="184"/>
      <c r="N258" s="178"/>
      <c r="O258" s="178"/>
      <c r="P258" s="178"/>
      <c r="S258" s="458"/>
      <c r="AN258" s="458"/>
      <c r="AO258" s="458"/>
      <c r="AP258" s="458"/>
      <c r="AQ258" s="458"/>
      <c r="AR258" s="458"/>
      <c r="AS258" s="458"/>
      <c r="AT258" s="458"/>
      <c r="AU258" s="458"/>
      <c r="AV258" s="458"/>
      <c r="BA258" s="1305"/>
      <c r="BB258" s="174"/>
    </row>
    <row r="259" spans="1:54" ht="12.5">
      <c r="A259" s="174"/>
      <c r="B259" s="175"/>
      <c r="F259" s="177"/>
      <c r="H259" s="178"/>
      <c r="I259" s="178"/>
      <c r="J259" s="184"/>
      <c r="N259" s="178"/>
      <c r="O259" s="178"/>
      <c r="P259" s="178"/>
      <c r="S259" s="458"/>
      <c r="AN259" s="458"/>
      <c r="AO259" s="458"/>
      <c r="AP259" s="458"/>
      <c r="AQ259" s="458"/>
      <c r="AR259" s="458"/>
      <c r="AS259" s="458"/>
      <c r="AT259" s="458"/>
      <c r="AU259" s="458"/>
      <c r="AV259" s="458"/>
      <c r="BA259" s="1305"/>
      <c r="BB259" s="174"/>
    </row>
    <row r="260" spans="1:54" ht="12.5">
      <c r="A260" s="174"/>
      <c r="B260" s="175"/>
      <c r="F260" s="177"/>
      <c r="H260" s="178"/>
      <c r="I260" s="178"/>
      <c r="J260" s="184"/>
      <c r="N260" s="178"/>
      <c r="O260" s="178"/>
      <c r="P260" s="178"/>
      <c r="S260" s="458"/>
      <c r="AN260" s="458"/>
      <c r="AO260" s="458"/>
      <c r="AP260" s="458"/>
      <c r="AQ260" s="458"/>
      <c r="AR260" s="458"/>
      <c r="AS260" s="458"/>
      <c r="AT260" s="458"/>
      <c r="AU260" s="458"/>
      <c r="AV260" s="458"/>
      <c r="BA260" s="1305"/>
      <c r="BB260" s="174"/>
    </row>
    <row r="261" spans="1:54" ht="12.5">
      <c r="A261" s="174"/>
      <c r="B261" s="175"/>
      <c r="F261" s="177"/>
      <c r="H261" s="178"/>
      <c r="I261" s="179"/>
      <c r="J261" s="184"/>
      <c r="N261" s="178"/>
      <c r="O261" s="178"/>
      <c r="P261" s="178"/>
      <c r="S261" s="458"/>
      <c r="AN261" s="458"/>
      <c r="AO261" s="458"/>
      <c r="AP261" s="458"/>
      <c r="AQ261" s="458"/>
      <c r="AR261" s="458"/>
      <c r="AS261" s="458"/>
      <c r="AT261" s="458"/>
      <c r="AU261" s="458"/>
      <c r="AV261" s="458"/>
      <c r="BA261" s="1305"/>
      <c r="BB261" s="174"/>
    </row>
    <row r="262" spans="1:54" ht="12.5">
      <c r="A262" s="174"/>
      <c r="B262" s="175"/>
      <c r="F262" s="177"/>
      <c r="H262" s="178"/>
      <c r="I262" s="178"/>
      <c r="J262" s="184"/>
      <c r="N262" s="178"/>
      <c r="O262" s="178"/>
      <c r="P262" s="178"/>
      <c r="S262" s="458"/>
      <c r="AN262" s="458"/>
      <c r="AO262" s="458"/>
      <c r="AP262" s="458"/>
      <c r="AQ262" s="458"/>
      <c r="AR262" s="458"/>
      <c r="AS262" s="458"/>
      <c r="AT262" s="458"/>
      <c r="AU262" s="458"/>
      <c r="AV262" s="458"/>
      <c r="BA262" s="1305"/>
      <c r="BB262" s="174"/>
    </row>
    <row r="263" spans="1:54" ht="12.5">
      <c r="A263" s="174"/>
      <c r="B263" s="175"/>
      <c r="F263" s="177"/>
      <c r="H263" s="178"/>
      <c r="I263" s="179"/>
      <c r="J263" s="184"/>
      <c r="N263" s="178"/>
      <c r="O263" s="178"/>
      <c r="P263" s="178"/>
      <c r="S263" s="458"/>
      <c r="AN263" s="458"/>
      <c r="AO263" s="458"/>
      <c r="AP263" s="458"/>
      <c r="AQ263" s="458"/>
      <c r="AR263" s="458"/>
      <c r="AS263" s="458"/>
      <c r="AT263" s="458"/>
      <c r="AU263" s="458"/>
      <c r="AV263" s="458"/>
      <c r="BA263" s="1305"/>
      <c r="BB263" s="174"/>
    </row>
    <row r="264" spans="1:54" ht="12.5">
      <c r="A264" s="174"/>
      <c r="B264" s="175"/>
      <c r="F264" s="177"/>
      <c r="H264" s="178"/>
      <c r="I264" s="178"/>
      <c r="J264" s="184"/>
      <c r="N264" s="178"/>
      <c r="O264" s="178"/>
      <c r="P264" s="178"/>
      <c r="S264" s="458"/>
      <c r="AN264" s="458"/>
      <c r="AO264" s="458"/>
      <c r="AP264" s="458"/>
      <c r="AQ264" s="458"/>
      <c r="AR264" s="458"/>
      <c r="AS264" s="458"/>
      <c r="AT264" s="458"/>
      <c r="AU264" s="458"/>
      <c r="AV264" s="458"/>
      <c r="BA264" s="1305"/>
      <c r="BB264" s="174"/>
    </row>
    <row r="265" spans="1:54" ht="12.5">
      <c r="A265" s="174"/>
      <c r="B265" s="175"/>
      <c r="F265" s="177"/>
      <c r="H265" s="178"/>
      <c r="I265" s="179"/>
      <c r="J265" s="184"/>
      <c r="N265" s="178"/>
      <c r="O265" s="178"/>
      <c r="P265" s="178"/>
      <c r="S265" s="458"/>
      <c r="AN265" s="458"/>
      <c r="AO265" s="458"/>
      <c r="AP265" s="458"/>
      <c r="AQ265" s="458"/>
      <c r="AR265" s="458"/>
      <c r="AS265" s="458"/>
      <c r="AT265" s="458"/>
      <c r="AU265" s="458"/>
      <c r="AV265" s="458"/>
      <c r="BA265" s="1305"/>
      <c r="BB265" s="174"/>
    </row>
    <row r="266" spans="1:54" ht="12.5">
      <c r="A266" s="174"/>
      <c r="B266" s="175"/>
      <c r="F266" s="177"/>
      <c r="H266" s="178"/>
      <c r="I266" s="179"/>
      <c r="J266" s="184"/>
      <c r="N266" s="178"/>
      <c r="O266" s="178"/>
      <c r="P266" s="178"/>
      <c r="S266" s="458"/>
      <c r="AN266" s="458"/>
      <c r="AO266" s="458"/>
      <c r="AP266" s="458"/>
      <c r="AQ266" s="458"/>
      <c r="AR266" s="458"/>
      <c r="AS266" s="458"/>
      <c r="AT266" s="458"/>
      <c r="AU266" s="458"/>
      <c r="AV266" s="458"/>
      <c r="BA266" s="1305"/>
      <c r="BB266" s="174"/>
    </row>
    <row r="267" spans="1:54" ht="12.5">
      <c r="A267" s="174"/>
      <c r="B267" s="175"/>
      <c r="F267" s="177"/>
      <c r="H267" s="178"/>
      <c r="I267" s="179"/>
      <c r="J267" s="184"/>
      <c r="N267" s="178"/>
      <c r="O267" s="178"/>
      <c r="P267" s="178"/>
      <c r="S267" s="458"/>
      <c r="AN267" s="458"/>
      <c r="AO267" s="458"/>
      <c r="AP267" s="458"/>
      <c r="AQ267" s="458"/>
      <c r="AR267" s="458"/>
      <c r="AS267" s="458"/>
      <c r="AT267" s="458"/>
      <c r="AU267" s="458"/>
      <c r="AV267" s="458"/>
      <c r="BA267" s="1305"/>
      <c r="BB267" s="174"/>
    </row>
    <row r="268" spans="1:54" ht="12.5">
      <c r="A268" s="174"/>
      <c r="B268" s="175"/>
      <c r="F268" s="177"/>
      <c r="H268" s="178"/>
      <c r="I268" s="178"/>
      <c r="J268" s="184"/>
      <c r="N268" s="178"/>
      <c r="O268" s="178"/>
      <c r="P268" s="178"/>
      <c r="S268" s="458"/>
      <c r="AN268" s="458"/>
      <c r="AO268" s="458"/>
      <c r="AP268" s="458"/>
      <c r="AQ268" s="458"/>
      <c r="AR268" s="458"/>
      <c r="AS268" s="458"/>
      <c r="AT268" s="458"/>
      <c r="AU268" s="458"/>
      <c r="AV268" s="458"/>
      <c r="BA268" s="1305"/>
      <c r="BB268" s="174"/>
    </row>
    <row r="269" spans="1:54" ht="12.5">
      <c r="A269" s="174"/>
      <c r="B269" s="175"/>
      <c r="F269" s="177"/>
      <c r="H269" s="178"/>
      <c r="I269" s="178"/>
      <c r="J269" s="184"/>
      <c r="N269" s="178"/>
      <c r="O269" s="178"/>
      <c r="P269" s="178"/>
      <c r="S269" s="458"/>
      <c r="AN269" s="458"/>
      <c r="AO269" s="458"/>
      <c r="AP269" s="458"/>
      <c r="AQ269" s="458"/>
      <c r="AR269" s="458"/>
      <c r="AS269" s="458"/>
      <c r="AT269" s="458"/>
      <c r="AU269" s="458"/>
      <c r="AV269" s="458"/>
      <c r="BA269" s="1305"/>
      <c r="BB269" s="174"/>
    </row>
    <row r="270" spans="1:54" ht="12.5">
      <c r="A270" s="174"/>
      <c r="B270" s="175"/>
      <c r="F270" s="177"/>
      <c r="H270" s="178"/>
      <c r="I270" s="178"/>
      <c r="J270" s="184"/>
      <c r="N270" s="178"/>
      <c r="O270" s="178"/>
      <c r="P270" s="178"/>
      <c r="S270" s="458"/>
      <c r="AN270" s="458"/>
      <c r="AO270" s="458"/>
      <c r="AP270" s="458"/>
      <c r="AQ270" s="458"/>
      <c r="AR270" s="458"/>
      <c r="AS270" s="458"/>
      <c r="AT270" s="458"/>
      <c r="AU270" s="458"/>
      <c r="AV270" s="458"/>
      <c r="BA270" s="1305"/>
      <c r="BB270" s="174"/>
    </row>
    <row r="271" spans="1:54" ht="12.5">
      <c r="A271" s="174"/>
      <c r="B271" s="175"/>
      <c r="F271" s="177"/>
      <c r="H271" s="178"/>
      <c r="I271" s="178"/>
      <c r="J271" s="184"/>
      <c r="N271" s="178"/>
      <c r="O271" s="178"/>
      <c r="P271" s="178"/>
      <c r="S271" s="458"/>
      <c r="AN271" s="458"/>
      <c r="AO271" s="458"/>
      <c r="AP271" s="458"/>
      <c r="AQ271" s="458"/>
      <c r="AR271" s="458"/>
      <c r="AS271" s="458"/>
      <c r="AT271" s="458"/>
      <c r="AU271" s="458"/>
      <c r="AV271" s="458"/>
      <c r="BA271" s="1305"/>
      <c r="BB271" s="174"/>
    </row>
    <row r="272" spans="1:54" ht="12.5">
      <c r="A272" s="174"/>
      <c r="B272" s="175"/>
      <c r="F272" s="177"/>
      <c r="H272" s="178"/>
      <c r="I272" s="178"/>
      <c r="J272" s="184"/>
      <c r="N272" s="178"/>
      <c r="O272" s="178"/>
      <c r="P272" s="178"/>
      <c r="S272" s="458"/>
      <c r="AN272" s="458"/>
      <c r="AO272" s="458"/>
      <c r="AP272" s="458"/>
      <c r="AQ272" s="458"/>
      <c r="AR272" s="458"/>
      <c r="AS272" s="458"/>
      <c r="AT272" s="458"/>
      <c r="AU272" s="458"/>
      <c r="AV272" s="458"/>
      <c r="BA272" s="1305"/>
      <c r="BB272" s="174"/>
    </row>
    <row r="273" spans="1:54" ht="12.5">
      <c r="A273" s="174"/>
      <c r="B273" s="175"/>
      <c r="F273" s="177"/>
      <c r="H273" s="178"/>
      <c r="I273" s="178"/>
      <c r="J273" s="184"/>
      <c r="N273" s="178"/>
      <c r="O273" s="178"/>
      <c r="P273" s="178"/>
      <c r="S273" s="458"/>
      <c r="AN273" s="458"/>
      <c r="AO273" s="458"/>
      <c r="AP273" s="458"/>
      <c r="AQ273" s="458"/>
      <c r="AR273" s="458"/>
      <c r="AS273" s="458"/>
      <c r="AT273" s="458"/>
      <c r="AU273" s="458"/>
      <c r="AV273" s="458"/>
      <c r="BA273" s="1305"/>
      <c r="BB273" s="174"/>
    </row>
    <row r="274" spans="1:54" ht="12.5">
      <c r="A274" s="174"/>
      <c r="B274" s="175"/>
      <c r="F274" s="177"/>
      <c r="H274" s="178"/>
      <c r="I274" s="178"/>
      <c r="J274" s="184"/>
      <c r="N274" s="178"/>
      <c r="O274" s="178"/>
      <c r="P274" s="178"/>
      <c r="S274" s="458"/>
      <c r="AN274" s="458"/>
      <c r="AO274" s="458"/>
      <c r="AP274" s="458"/>
      <c r="AQ274" s="458"/>
      <c r="AR274" s="458"/>
      <c r="AS274" s="458"/>
      <c r="AT274" s="458"/>
      <c r="AU274" s="458"/>
      <c r="AV274" s="458"/>
      <c r="BA274" s="1305"/>
      <c r="BB274" s="174"/>
    </row>
    <row r="275" spans="1:54" ht="12.5">
      <c r="A275" s="174"/>
      <c r="B275" s="175"/>
      <c r="F275" s="177"/>
      <c r="H275" s="178"/>
      <c r="I275" s="178"/>
      <c r="J275" s="184"/>
      <c r="N275" s="178"/>
      <c r="O275" s="178"/>
      <c r="P275" s="178"/>
      <c r="S275" s="458"/>
      <c r="AN275" s="458"/>
      <c r="AO275" s="458"/>
      <c r="AP275" s="458"/>
      <c r="AQ275" s="458"/>
      <c r="AR275" s="458"/>
      <c r="AS275" s="458"/>
      <c r="AT275" s="458"/>
      <c r="AU275" s="458"/>
      <c r="AV275" s="458"/>
      <c r="BA275" s="1305"/>
      <c r="BB275" s="174"/>
    </row>
    <row r="276" spans="1:54" ht="12.5">
      <c r="A276" s="174"/>
      <c r="B276" s="176"/>
      <c r="F276" s="177"/>
      <c r="H276" s="178"/>
      <c r="I276" s="179"/>
      <c r="J276" s="184"/>
      <c r="N276" s="178"/>
      <c r="O276" s="178"/>
      <c r="P276" s="178"/>
      <c r="S276" s="458"/>
      <c r="AN276" s="458"/>
      <c r="AO276" s="458"/>
      <c r="AP276" s="458"/>
      <c r="AQ276" s="458"/>
      <c r="AR276" s="458"/>
      <c r="AS276" s="458"/>
      <c r="AT276" s="458"/>
      <c r="AU276" s="458"/>
      <c r="AV276" s="458"/>
      <c r="BA276" s="1305"/>
      <c r="BB276" s="174"/>
    </row>
    <row r="277" spans="1:54" ht="12.5">
      <c r="A277" s="174"/>
      <c r="B277" s="176"/>
      <c r="F277" s="177"/>
      <c r="H277" s="178"/>
      <c r="I277" s="179"/>
      <c r="J277" s="184"/>
      <c r="N277" s="178"/>
      <c r="O277" s="178"/>
      <c r="P277" s="178"/>
      <c r="S277" s="458"/>
      <c r="AN277" s="458"/>
      <c r="AO277" s="458"/>
      <c r="AP277" s="458"/>
      <c r="AQ277" s="458"/>
      <c r="AR277" s="458"/>
      <c r="AS277" s="458"/>
      <c r="AT277" s="458"/>
      <c r="AU277" s="458"/>
      <c r="AV277" s="458"/>
      <c r="BA277" s="1305"/>
      <c r="BB277" s="174"/>
    </row>
    <row r="278" spans="1:54" ht="12.5">
      <c r="A278" s="174"/>
      <c r="B278" s="176"/>
      <c r="F278" s="177"/>
      <c r="H278" s="178"/>
      <c r="I278" s="179"/>
      <c r="J278" s="184"/>
      <c r="N278" s="178"/>
      <c r="O278" s="178"/>
      <c r="P278" s="178"/>
      <c r="S278" s="458"/>
      <c r="AN278" s="458"/>
      <c r="AO278" s="458"/>
      <c r="AP278" s="458"/>
      <c r="AQ278" s="458"/>
      <c r="AR278" s="458"/>
      <c r="AS278" s="458"/>
      <c r="AT278" s="458"/>
      <c r="AU278" s="458"/>
      <c r="AV278" s="458"/>
      <c r="BA278" s="1305"/>
      <c r="BB278" s="174"/>
    </row>
    <row r="279" spans="1:54" ht="12.5">
      <c r="A279" s="174"/>
      <c r="B279" s="176"/>
      <c r="F279" s="177"/>
      <c r="H279" s="178"/>
      <c r="I279" s="179"/>
      <c r="J279" s="184"/>
      <c r="O279" s="178"/>
      <c r="P279" s="178"/>
      <c r="S279" s="458"/>
      <c r="AN279" s="458"/>
      <c r="AO279" s="458"/>
      <c r="AP279" s="458"/>
      <c r="AQ279" s="458"/>
      <c r="AR279" s="458"/>
      <c r="AS279" s="458"/>
      <c r="AT279" s="458"/>
      <c r="AU279" s="458"/>
      <c r="AV279" s="458"/>
      <c r="BA279" s="1305"/>
      <c r="BB279" s="174"/>
    </row>
    <row r="280" spans="1:54" ht="12.5">
      <c r="A280" s="174"/>
      <c r="B280" s="176"/>
      <c r="F280" s="177"/>
      <c r="H280" s="178"/>
      <c r="I280" s="179"/>
      <c r="J280" s="184"/>
      <c r="O280" s="178"/>
      <c r="P280" s="178"/>
      <c r="S280" s="458"/>
      <c r="AN280" s="458"/>
      <c r="AO280" s="458"/>
      <c r="AP280" s="458"/>
      <c r="AQ280" s="458"/>
      <c r="AR280" s="458"/>
      <c r="AS280" s="458"/>
      <c r="AT280" s="458"/>
      <c r="AU280" s="458"/>
      <c r="AV280" s="458"/>
      <c r="BA280" s="1305"/>
      <c r="BB280" s="174"/>
    </row>
    <row r="281" spans="1:54" ht="12.5">
      <c r="A281" s="174"/>
      <c r="B281" s="176"/>
      <c r="F281" s="177"/>
      <c r="H281" s="178"/>
      <c r="I281" s="179"/>
      <c r="J281" s="184"/>
      <c r="O281" s="178"/>
      <c r="P281" s="178"/>
      <c r="S281" s="458"/>
      <c r="AN281" s="458"/>
      <c r="AO281" s="458"/>
      <c r="AP281" s="458"/>
      <c r="AQ281" s="458"/>
      <c r="AR281" s="458"/>
      <c r="AS281" s="458"/>
      <c r="AT281" s="458"/>
      <c r="AU281" s="458"/>
      <c r="AV281" s="458"/>
      <c r="BA281" s="1305"/>
      <c r="BB281" s="174"/>
    </row>
    <row r="282" spans="1:54" ht="12.5">
      <c r="A282" s="174"/>
      <c r="B282" s="176"/>
      <c r="F282" s="177"/>
      <c r="H282" s="178"/>
      <c r="I282" s="179"/>
      <c r="J282" s="184"/>
      <c r="O282" s="178"/>
      <c r="P282" s="178"/>
      <c r="S282" s="458"/>
      <c r="AN282" s="458"/>
      <c r="AO282" s="458"/>
      <c r="AP282" s="458"/>
      <c r="AQ282" s="458"/>
      <c r="AR282" s="458"/>
      <c r="AS282" s="458"/>
      <c r="AT282" s="458"/>
      <c r="AU282" s="458"/>
      <c r="AV282" s="458"/>
      <c r="BA282" s="1305"/>
      <c r="BB282" s="174"/>
    </row>
    <row r="283" spans="1:54" ht="12.5">
      <c r="A283" s="174"/>
      <c r="B283" s="176"/>
      <c r="F283" s="177"/>
      <c r="H283" s="178"/>
      <c r="I283" s="179"/>
      <c r="J283" s="184"/>
      <c r="O283" s="178"/>
      <c r="P283" s="178"/>
      <c r="S283" s="458"/>
      <c r="AN283" s="458"/>
      <c r="AO283" s="458"/>
      <c r="AP283" s="458"/>
      <c r="AQ283" s="458"/>
      <c r="AR283" s="458"/>
      <c r="AS283" s="458"/>
      <c r="AT283" s="458"/>
      <c r="AU283" s="458"/>
      <c r="AV283" s="458"/>
      <c r="BA283" s="1305"/>
      <c r="BB283" s="174"/>
    </row>
    <row r="284" spans="1:54" ht="12.5">
      <c r="A284" s="174"/>
      <c r="B284" s="176"/>
      <c r="F284" s="177"/>
      <c r="H284" s="178"/>
      <c r="I284" s="179"/>
      <c r="J284" s="184"/>
      <c r="O284" s="178"/>
      <c r="P284" s="178"/>
      <c r="S284" s="458"/>
      <c r="AN284" s="458"/>
      <c r="AO284" s="458"/>
      <c r="AP284" s="458"/>
      <c r="AQ284" s="458"/>
      <c r="AR284" s="458"/>
      <c r="AS284" s="458"/>
      <c r="AT284" s="458"/>
      <c r="AU284" s="458"/>
      <c r="AV284" s="458"/>
      <c r="BA284" s="1305"/>
      <c r="BB284" s="174"/>
    </row>
    <row r="285" spans="1:54" ht="12.5">
      <c r="A285" s="174"/>
      <c r="B285" s="176"/>
      <c r="F285" s="177"/>
      <c r="H285" s="178"/>
      <c r="I285" s="179"/>
      <c r="J285" s="184"/>
      <c r="O285" s="178"/>
      <c r="P285" s="178"/>
      <c r="S285" s="458"/>
      <c r="AN285" s="458"/>
      <c r="AO285" s="458"/>
      <c r="AP285" s="458"/>
      <c r="AQ285" s="458"/>
      <c r="AR285" s="458"/>
      <c r="AS285" s="458"/>
      <c r="AT285" s="458"/>
      <c r="AU285" s="458"/>
      <c r="AV285" s="458"/>
      <c r="BA285" s="1305"/>
      <c r="BB285" s="174"/>
    </row>
    <row r="286" spans="1:54" ht="12.5">
      <c r="A286" s="174"/>
      <c r="B286" s="176"/>
      <c r="F286" s="177"/>
      <c r="H286" s="178"/>
      <c r="I286" s="179"/>
      <c r="J286" s="184"/>
      <c r="O286" s="178"/>
      <c r="P286" s="178"/>
      <c r="S286" s="458"/>
      <c r="AN286" s="458"/>
      <c r="AO286" s="458"/>
      <c r="AP286" s="458"/>
      <c r="AQ286" s="458"/>
      <c r="AR286" s="458"/>
      <c r="AS286" s="458"/>
      <c r="AT286" s="458"/>
      <c r="AU286" s="458"/>
      <c r="AV286" s="458"/>
      <c r="BA286" s="1305"/>
      <c r="BB286" s="174"/>
    </row>
    <row r="287" spans="1:54" ht="12.5">
      <c r="A287" s="174"/>
      <c r="B287" s="176"/>
      <c r="F287" s="177"/>
      <c r="H287" s="178"/>
      <c r="I287" s="179"/>
      <c r="J287" s="184"/>
      <c r="O287" s="178"/>
      <c r="P287" s="178"/>
      <c r="S287" s="458"/>
      <c r="AN287" s="458"/>
      <c r="AO287" s="458"/>
      <c r="AP287" s="458"/>
      <c r="AQ287" s="458"/>
      <c r="AR287" s="458"/>
      <c r="AS287" s="458"/>
      <c r="AT287" s="458"/>
      <c r="AU287" s="458"/>
      <c r="AV287" s="458"/>
      <c r="BA287" s="1305"/>
      <c r="BB287" s="174"/>
    </row>
    <row r="288" spans="1:54" ht="12.5">
      <c r="A288" s="174"/>
      <c r="B288" s="176"/>
      <c r="F288" s="177"/>
      <c r="H288" s="178"/>
      <c r="I288" s="178"/>
      <c r="J288" s="184"/>
      <c r="N288" s="178"/>
      <c r="O288" s="178"/>
      <c r="P288" s="178"/>
      <c r="S288" s="458"/>
      <c r="AN288" s="458"/>
      <c r="AO288" s="458"/>
      <c r="AP288" s="458"/>
      <c r="AQ288" s="458"/>
      <c r="AR288" s="458"/>
      <c r="AS288" s="458"/>
      <c r="AT288" s="458"/>
      <c r="AU288" s="458"/>
      <c r="AV288" s="458"/>
      <c r="BA288" s="1305"/>
      <c r="BB288" s="174"/>
    </row>
    <row r="289" spans="1:54" ht="12.5">
      <c r="A289" s="174"/>
      <c r="B289" s="176"/>
      <c r="F289" s="177"/>
      <c r="H289" s="178"/>
      <c r="I289" s="178"/>
      <c r="J289" s="184"/>
      <c r="N289" s="178"/>
      <c r="O289" s="178"/>
      <c r="P289" s="178"/>
      <c r="S289" s="458"/>
      <c r="AN289" s="458"/>
      <c r="AO289" s="458"/>
      <c r="AP289" s="458"/>
      <c r="AQ289" s="458"/>
      <c r="AR289" s="458"/>
      <c r="AS289" s="458"/>
      <c r="AT289" s="458"/>
      <c r="AU289" s="458"/>
      <c r="AV289" s="458"/>
      <c r="BA289" s="1305"/>
      <c r="BB289" s="174"/>
    </row>
    <row r="290" spans="1:54" ht="12.5">
      <c r="A290" s="174"/>
      <c r="B290" s="176"/>
      <c r="F290" s="177"/>
      <c r="H290" s="178"/>
      <c r="I290" s="178"/>
      <c r="J290" s="184"/>
      <c r="N290" s="178"/>
      <c r="O290" s="178"/>
      <c r="P290" s="178"/>
      <c r="S290" s="458"/>
      <c r="AN290" s="458"/>
      <c r="AO290" s="458"/>
      <c r="AP290" s="458"/>
      <c r="AQ290" s="458"/>
      <c r="AR290" s="458"/>
      <c r="AS290" s="458"/>
      <c r="AT290" s="458"/>
      <c r="AU290" s="458"/>
      <c r="AV290" s="458"/>
      <c r="BA290" s="1305"/>
      <c r="BB290" s="174"/>
    </row>
    <row r="291" spans="1:54" ht="12.5">
      <c r="A291" s="174"/>
      <c r="B291" s="176"/>
      <c r="F291" s="177"/>
      <c r="H291" s="178"/>
      <c r="I291" s="178"/>
      <c r="J291" s="184"/>
      <c r="N291" s="178"/>
      <c r="O291" s="178"/>
      <c r="P291" s="178"/>
      <c r="S291" s="458"/>
      <c r="AN291" s="458"/>
      <c r="AO291" s="458"/>
      <c r="AP291" s="458"/>
      <c r="AQ291" s="458"/>
      <c r="AR291" s="458"/>
      <c r="AS291" s="458"/>
      <c r="AT291" s="458"/>
      <c r="AU291" s="458"/>
      <c r="AV291" s="458"/>
      <c r="BA291" s="1305"/>
      <c r="BB291" s="174"/>
    </row>
    <row r="292" spans="1:54" ht="12.5">
      <c r="A292" s="174"/>
      <c r="B292" s="176"/>
      <c r="F292" s="177"/>
      <c r="H292" s="178"/>
      <c r="I292" s="178"/>
      <c r="J292" s="184"/>
      <c r="N292" s="178"/>
      <c r="O292" s="178"/>
      <c r="P292" s="178"/>
      <c r="S292" s="458"/>
      <c r="AN292" s="458"/>
      <c r="AO292" s="458"/>
      <c r="AP292" s="458"/>
      <c r="AQ292" s="458"/>
      <c r="AR292" s="458"/>
      <c r="AS292" s="458"/>
      <c r="AT292" s="458"/>
      <c r="AU292" s="458"/>
      <c r="AV292" s="458"/>
      <c r="BA292" s="1305"/>
      <c r="BB292" s="174"/>
    </row>
    <row r="293" spans="1:54" ht="12.5">
      <c r="A293" s="174"/>
      <c r="B293" s="176"/>
      <c r="F293" s="177"/>
      <c r="H293" s="178"/>
      <c r="I293" s="178"/>
      <c r="J293" s="184"/>
      <c r="N293" s="178"/>
      <c r="O293" s="178"/>
      <c r="P293" s="178"/>
      <c r="S293" s="458"/>
      <c r="AN293" s="458"/>
      <c r="AO293" s="458"/>
      <c r="AP293" s="458"/>
      <c r="AQ293" s="458"/>
      <c r="AR293" s="458"/>
      <c r="AS293" s="458"/>
      <c r="AT293" s="458"/>
      <c r="AU293" s="458"/>
      <c r="AV293" s="458"/>
      <c r="BA293" s="1305"/>
      <c r="BB293" s="174"/>
    </row>
    <row r="294" spans="1:54" ht="12.5">
      <c r="A294" s="174"/>
      <c r="B294" s="176"/>
      <c r="F294" s="177"/>
      <c r="H294" s="178"/>
      <c r="I294" s="178"/>
      <c r="J294" s="184"/>
      <c r="N294" s="178"/>
      <c r="O294" s="178"/>
      <c r="P294" s="178"/>
      <c r="S294" s="458"/>
      <c r="AN294" s="458"/>
      <c r="AO294" s="458"/>
      <c r="AP294" s="458"/>
      <c r="AQ294" s="458"/>
      <c r="AR294" s="458"/>
      <c r="AS294" s="458"/>
      <c r="AT294" s="458"/>
      <c r="AU294" s="458"/>
      <c r="AV294" s="458"/>
      <c r="BA294" s="1305"/>
      <c r="BB294" s="174"/>
    </row>
    <row r="295" spans="1:54" ht="12.5">
      <c r="A295" s="174"/>
      <c r="B295" s="176"/>
      <c r="F295" s="177"/>
      <c r="H295" s="178"/>
      <c r="I295" s="179"/>
      <c r="J295" s="184"/>
      <c r="N295" s="178"/>
      <c r="O295" s="178"/>
      <c r="P295" s="178"/>
      <c r="S295" s="458"/>
      <c r="AN295" s="458"/>
      <c r="AO295" s="458"/>
      <c r="AP295" s="458"/>
      <c r="AQ295" s="458"/>
      <c r="AR295" s="458"/>
      <c r="AS295" s="458"/>
      <c r="AT295" s="458"/>
      <c r="AU295" s="458"/>
      <c r="AV295" s="458"/>
      <c r="BA295" s="1305"/>
      <c r="BB295" s="174"/>
    </row>
    <row r="296" spans="1:54" ht="12.5">
      <c r="A296" s="174"/>
      <c r="B296" s="176"/>
      <c r="F296" s="177"/>
      <c r="H296" s="178"/>
      <c r="I296" s="179"/>
      <c r="J296" s="184"/>
      <c r="N296" s="178"/>
      <c r="O296" s="178"/>
      <c r="P296" s="178"/>
      <c r="S296" s="458"/>
      <c r="AN296" s="458"/>
      <c r="AO296" s="458"/>
      <c r="AP296" s="458"/>
      <c r="AQ296" s="458"/>
      <c r="AR296" s="458"/>
      <c r="AS296" s="458"/>
      <c r="AT296" s="458"/>
      <c r="AU296" s="458"/>
      <c r="AV296" s="458"/>
      <c r="BA296" s="1305"/>
      <c r="BB296" s="174"/>
    </row>
    <row r="297" spans="1:54" ht="12.5">
      <c r="A297" s="174"/>
      <c r="B297" s="176"/>
      <c r="F297" s="177"/>
      <c r="H297" s="178"/>
      <c r="I297" s="179"/>
      <c r="J297" s="184"/>
      <c r="N297" s="178"/>
      <c r="O297" s="178"/>
      <c r="P297" s="178"/>
      <c r="S297" s="458"/>
      <c r="AN297" s="458"/>
      <c r="AO297" s="458"/>
      <c r="AP297" s="458"/>
      <c r="AQ297" s="458"/>
      <c r="AR297" s="458"/>
      <c r="AS297" s="458"/>
      <c r="AT297" s="458"/>
      <c r="AU297" s="458"/>
      <c r="AV297" s="458"/>
      <c r="BA297" s="1305"/>
      <c r="BB297" s="174"/>
    </row>
    <row r="298" spans="1:54" ht="12.5">
      <c r="A298" s="174"/>
      <c r="B298" s="176"/>
      <c r="F298" s="177"/>
      <c r="H298" s="178"/>
      <c r="I298" s="178"/>
      <c r="J298" s="184"/>
      <c r="N298" s="178"/>
      <c r="O298" s="178"/>
      <c r="P298" s="178"/>
      <c r="S298" s="458"/>
      <c r="AN298" s="458"/>
      <c r="AO298" s="458"/>
      <c r="AP298" s="458"/>
      <c r="AQ298" s="458"/>
      <c r="AR298" s="458"/>
      <c r="AS298" s="458"/>
      <c r="AT298" s="458"/>
      <c r="AU298" s="458"/>
      <c r="AV298" s="458"/>
      <c r="BA298" s="1305"/>
      <c r="BB298" s="174"/>
    </row>
    <row r="299" spans="1:54" ht="12.5">
      <c r="A299" s="174"/>
      <c r="B299" s="176"/>
      <c r="F299" s="177"/>
      <c r="H299" s="178"/>
      <c r="I299" s="179"/>
      <c r="J299" s="184"/>
      <c r="N299" s="178"/>
      <c r="O299" s="178"/>
      <c r="P299" s="178"/>
      <c r="S299" s="458"/>
      <c r="AN299" s="458"/>
      <c r="AO299" s="458"/>
      <c r="AP299" s="458"/>
      <c r="AQ299" s="458"/>
      <c r="AR299" s="458"/>
      <c r="AS299" s="458"/>
      <c r="AT299" s="458"/>
      <c r="AU299" s="458"/>
      <c r="AV299" s="458"/>
      <c r="BA299" s="1305"/>
      <c r="BB299" s="174"/>
    </row>
    <row r="300" spans="1:54" ht="12.5">
      <c r="A300" s="174"/>
      <c r="B300" s="176"/>
      <c r="F300" s="177"/>
      <c r="H300" s="178"/>
      <c r="I300" s="178"/>
      <c r="J300" s="184"/>
      <c r="N300" s="178"/>
      <c r="O300" s="178"/>
      <c r="P300" s="178"/>
      <c r="S300" s="458"/>
      <c r="AN300" s="458"/>
      <c r="AO300" s="458"/>
      <c r="AP300" s="458"/>
      <c r="AQ300" s="458"/>
      <c r="AR300" s="458"/>
      <c r="AS300" s="458"/>
      <c r="AT300" s="458"/>
      <c r="AU300" s="458"/>
      <c r="AV300" s="458"/>
      <c r="BA300" s="1305"/>
      <c r="BB300" s="174"/>
    </row>
    <row r="301" spans="1:54" ht="12.5">
      <c r="A301" s="174"/>
      <c r="B301" s="176"/>
      <c r="F301" s="177"/>
      <c r="H301" s="178"/>
      <c r="I301" s="179"/>
      <c r="J301" s="184"/>
      <c r="N301" s="178"/>
      <c r="O301" s="178"/>
      <c r="P301" s="178"/>
      <c r="S301" s="458"/>
      <c r="AN301" s="458"/>
      <c r="AO301" s="458"/>
      <c r="AP301" s="458"/>
      <c r="AQ301" s="458"/>
      <c r="AR301" s="458"/>
      <c r="AS301" s="458"/>
      <c r="AT301" s="458"/>
      <c r="AU301" s="458"/>
      <c r="AV301" s="458"/>
      <c r="BA301" s="1305"/>
      <c r="BB301" s="174"/>
    </row>
    <row r="302" spans="1:54" ht="12.5">
      <c r="A302" s="174"/>
      <c r="B302" s="176"/>
      <c r="F302" s="177"/>
      <c r="H302" s="178"/>
      <c r="I302" s="178"/>
      <c r="J302" s="184"/>
      <c r="N302" s="178"/>
      <c r="O302" s="178"/>
      <c r="P302" s="178"/>
      <c r="S302" s="458"/>
      <c r="AN302" s="458"/>
      <c r="AO302" s="458"/>
      <c r="AP302" s="458"/>
      <c r="AQ302" s="458"/>
      <c r="AR302" s="458"/>
      <c r="AS302" s="458"/>
      <c r="AT302" s="458"/>
      <c r="AU302" s="458"/>
      <c r="AV302" s="458"/>
      <c r="BA302" s="1305"/>
      <c r="BB302" s="174"/>
    </row>
    <row r="303" spans="1:54" ht="12.5">
      <c r="A303" s="174"/>
      <c r="B303" s="176"/>
      <c r="F303" s="177"/>
      <c r="H303" s="178"/>
      <c r="I303" s="178"/>
      <c r="J303" s="184"/>
      <c r="N303" s="178"/>
      <c r="O303" s="178"/>
      <c r="P303" s="178"/>
      <c r="S303" s="458"/>
      <c r="AN303" s="458"/>
      <c r="AO303" s="458"/>
      <c r="AP303" s="458"/>
      <c r="AQ303" s="458"/>
      <c r="AR303" s="458"/>
      <c r="AS303" s="458"/>
      <c r="AT303" s="458"/>
      <c r="AU303" s="458"/>
      <c r="AV303" s="458"/>
      <c r="BA303" s="1305"/>
      <c r="BB303" s="174"/>
    </row>
    <row r="304" spans="1:54" ht="12.5">
      <c r="A304" s="174"/>
      <c r="B304" s="176"/>
      <c r="F304" s="177"/>
      <c r="H304" s="178"/>
      <c r="I304" s="178"/>
      <c r="J304" s="184"/>
      <c r="N304" s="178"/>
      <c r="O304" s="178"/>
      <c r="P304" s="178"/>
      <c r="S304" s="458"/>
      <c r="AN304" s="458"/>
      <c r="AO304" s="458"/>
      <c r="AP304" s="458"/>
      <c r="AQ304" s="458"/>
      <c r="AR304" s="458"/>
      <c r="AS304" s="458"/>
      <c r="AT304" s="458"/>
      <c r="AU304" s="458"/>
      <c r="AV304" s="458"/>
      <c r="BA304" s="1305"/>
      <c r="BB304" s="174"/>
    </row>
    <row r="305" spans="1:54" ht="12.5">
      <c r="A305" s="174"/>
      <c r="B305" s="176"/>
      <c r="F305" s="177"/>
      <c r="H305" s="178"/>
      <c r="I305" s="178"/>
      <c r="J305" s="184"/>
      <c r="N305" s="178"/>
      <c r="O305" s="178"/>
      <c r="P305" s="178"/>
      <c r="S305" s="458"/>
      <c r="AN305" s="458"/>
      <c r="AO305" s="458"/>
      <c r="AP305" s="458"/>
      <c r="AQ305" s="458"/>
      <c r="AR305" s="458"/>
      <c r="AS305" s="458"/>
      <c r="AT305" s="458"/>
      <c r="AU305" s="458"/>
      <c r="AV305" s="458"/>
      <c r="BA305" s="1305"/>
      <c r="BB305" s="174"/>
    </row>
    <row r="306" spans="1:54" ht="12.5">
      <c r="A306" s="174"/>
      <c r="B306" s="176"/>
      <c r="F306" s="177"/>
      <c r="H306" s="178"/>
      <c r="I306" s="178"/>
      <c r="J306" s="184"/>
      <c r="N306" s="178"/>
      <c r="O306" s="178"/>
      <c r="P306" s="178"/>
      <c r="S306" s="458"/>
      <c r="AN306" s="458"/>
      <c r="AO306" s="458"/>
      <c r="AP306" s="458"/>
      <c r="AQ306" s="458"/>
      <c r="AR306" s="458"/>
      <c r="AS306" s="458"/>
      <c r="AT306" s="458"/>
      <c r="AU306" s="458"/>
      <c r="AV306" s="458"/>
      <c r="BA306" s="1305"/>
      <c r="BB306" s="174"/>
    </row>
    <row r="307" spans="1:54" ht="12.5">
      <c r="A307" s="174"/>
      <c r="B307" s="176"/>
      <c r="F307" s="177"/>
      <c r="H307" s="178"/>
      <c r="I307" s="178"/>
      <c r="J307" s="184"/>
      <c r="N307" s="178"/>
      <c r="O307" s="178"/>
      <c r="P307" s="178"/>
      <c r="S307" s="458"/>
      <c r="AN307" s="458"/>
      <c r="AO307" s="458"/>
      <c r="AP307" s="458"/>
      <c r="AQ307" s="458"/>
      <c r="AR307" s="458"/>
      <c r="AS307" s="458"/>
      <c r="AT307" s="458"/>
      <c r="AU307" s="458"/>
      <c r="AV307" s="458"/>
      <c r="BA307" s="1305"/>
      <c r="BB307" s="174"/>
    </row>
    <row r="308" spans="1:54" ht="12.5">
      <c r="A308" s="174"/>
      <c r="B308" s="176"/>
      <c r="F308" s="177"/>
      <c r="H308" s="178"/>
      <c r="I308" s="178"/>
      <c r="J308" s="184"/>
      <c r="N308" s="178"/>
      <c r="O308" s="178"/>
      <c r="P308" s="178"/>
      <c r="S308" s="458"/>
      <c r="AN308" s="458"/>
      <c r="AO308" s="458"/>
      <c r="AP308" s="458"/>
      <c r="AQ308" s="458"/>
      <c r="AR308" s="458"/>
      <c r="AS308" s="458"/>
      <c r="AT308" s="458"/>
      <c r="AU308" s="458"/>
      <c r="AV308" s="458"/>
      <c r="BA308" s="1305"/>
      <c r="BB308" s="174"/>
    </row>
    <row r="309" spans="1:54" ht="12.5">
      <c r="A309" s="174"/>
      <c r="B309" s="176"/>
      <c r="F309" s="177"/>
      <c r="H309" s="178"/>
      <c r="I309" s="178"/>
      <c r="J309" s="184"/>
      <c r="N309" s="178"/>
      <c r="O309" s="178"/>
      <c r="P309" s="178"/>
      <c r="S309" s="458"/>
      <c r="AN309" s="458"/>
      <c r="AO309" s="458"/>
      <c r="AP309" s="458"/>
      <c r="AQ309" s="458"/>
      <c r="AR309" s="458"/>
      <c r="AS309" s="458"/>
      <c r="AT309" s="458"/>
      <c r="AU309" s="458"/>
      <c r="AV309" s="458"/>
      <c r="BA309" s="1305"/>
      <c r="BB309" s="174"/>
    </row>
    <row r="310" spans="1:54" ht="12.5">
      <c r="A310" s="174"/>
      <c r="B310" s="176"/>
      <c r="F310" s="177"/>
      <c r="H310" s="178"/>
      <c r="I310" s="178"/>
      <c r="J310" s="184"/>
      <c r="N310" s="178"/>
      <c r="O310" s="178"/>
      <c r="P310" s="178"/>
      <c r="S310" s="458"/>
      <c r="AN310" s="458"/>
      <c r="AO310" s="458"/>
      <c r="AP310" s="458"/>
      <c r="AQ310" s="458"/>
      <c r="AR310" s="458"/>
      <c r="AS310" s="458"/>
      <c r="AT310" s="458"/>
      <c r="AU310" s="458"/>
      <c r="AV310" s="458"/>
      <c r="BA310" s="1305"/>
      <c r="BB310" s="174"/>
    </row>
    <row r="311" spans="1:54" ht="12.5">
      <c r="A311" s="174"/>
      <c r="B311" s="176"/>
      <c r="F311" s="177"/>
      <c r="H311" s="178"/>
      <c r="I311" s="178"/>
      <c r="J311" s="184"/>
      <c r="N311" s="178"/>
      <c r="O311" s="178"/>
      <c r="P311" s="178"/>
      <c r="S311" s="458"/>
      <c r="AN311" s="458"/>
      <c r="AO311" s="458"/>
      <c r="AP311" s="458"/>
      <c r="AQ311" s="458"/>
      <c r="AR311" s="458"/>
      <c r="AS311" s="458"/>
      <c r="AT311" s="458"/>
      <c r="AU311" s="458"/>
      <c r="AV311" s="458"/>
      <c r="BA311" s="1305"/>
      <c r="BB311" s="174"/>
    </row>
    <row r="312" spans="1:54" ht="12.5">
      <c r="A312" s="174"/>
      <c r="B312" s="176"/>
      <c r="F312" s="177"/>
      <c r="H312" s="178"/>
      <c r="I312" s="178"/>
      <c r="J312" s="184"/>
      <c r="N312" s="178"/>
      <c r="O312" s="178"/>
      <c r="P312" s="178"/>
      <c r="S312" s="458"/>
      <c r="AN312" s="458"/>
      <c r="AO312" s="458"/>
      <c r="AP312" s="458"/>
      <c r="AQ312" s="458"/>
      <c r="AR312" s="458"/>
      <c r="AS312" s="458"/>
      <c r="AT312" s="458"/>
      <c r="AU312" s="458"/>
      <c r="AV312" s="458"/>
      <c r="BA312" s="1305"/>
      <c r="BB312" s="174"/>
    </row>
    <row r="313" spans="1:54" ht="12.5">
      <c r="A313" s="174"/>
      <c r="B313" s="175"/>
      <c r="F313" s="177"/>
      <c r="H313" s="178"/>
      <c r="I313" s="178"/>
      <c r="J313" s="184"/>
      <c r="N313" s="178"/>
      <c r="O313" s="178"/>
      <c r="P313" s="178"/>
      <c r="S313" s="458"/>
      <c r="AN313" s="458"/>
      <c r="AO313" s="458"/>
      <c r="AP313" s="458"/>
      <c r="AQ313" s="458"/>
      <c r="AR313" s="458"/>
      <c r="AS313" s="458"/>
      <c r="AT313" s="458"/>
      <c r="AU313" s="458"/>
      <c r="AV313" s="458"/>
      <c r="BA313" s="1305"/>
      <c r="BB313" s="174"/>
    </row>
    <row r="314" spans="1:54" ht="12.5">
      <c r="A314" s="174"/>
      <c r="B314" s="175"/>
      <c r="F314" s="177"/>
      <c r="H314" s="178"/>
      <c r="I314" s="178"/>
      <c r="J314" s="184"/>
      <c r="N314" s="178"/>
      <c r="O314" s="178"/>
      <c r="P314" s="178"/>
      <c r="S314" s="458"/>
      <c r="AN314" s="458"/>
      <c r="AO314" s="458"/>
      <c r="AP314" s="458"/>
      <c r="AQ314" s="458"/>
      <c r="AR314" s="458"/>
      <c r="AS314" s="458"/>
      <c r="AT314" s="458"/>
      <c r="AU314" s="458"/>
      <c r="AV314" s="458"/>
      <c r="BA314" s="1305"/>
      <c r="BB314" s="174"/>
    </row>
    <row r="315" spans="1:54" ht="12.5">
      <c r="A315" s="174"/>
      <c r="B315" s="175"/>
      <c r="F315" s="177"/>
      <c r="H315" s="178"/>
      <c r="I315" s="178"/>
      <c r="J315" s="184"/>
      <c r="N315" s="178"/>
      <c r="O315" s="178"/>
      <c r="P315" s="178"/>
      <c r="S315" s="458"/>
      <c r="AN315" s="458"/>
      <c r="AO315" s="458"/>
      <c r="AP315" s="458"/>
      <c r="AQ315" s="458"/>
      <c r="AR315" s="458"/>
      <c r="AS315" s="458"/>
      <c r="AT315" s="458"/>
      <c r="AU315" s="458"/>
      <c r="AV315" s="458"/>
      <c r="BA315" s="1305"/>
      <c r="BB315" s="174"/>
    </row>
    <row r="316" spans="1:54" ht="12.5">
      <c r="A316" s="174"/>
      <c r="B316" s="175"/>
      <c r="F316" s="177"/>
      <c r="H316" s="178"/>
      <c r="I316" s="178"/>
      <c r="J316" s="184"/>
      <c r="N316" s="178"/>
      <c r="O316" s="178"/>
      <c r="P316" s="178"/>
      <c r="S316" s="458"/>
      <c r="AN316" s="458"/>
      <c r="AO316" s="458"/>
      <c r="AP316" s="458"/>
      <c r="AQ316" s="458"/>
      <c r="AR316" s="458"/>
      <c r="AS316" s="458"/>
      <c r="AT316" s="458"/>
      <c r="AU316" s="458"/>
      <c r="AV316" s="458"/>
      <c r="BA316" s="1305"/>
      <c r="BB316" s="174"/>
    </row>
    <row r="317" spans="1:54" ht="12.5">
      <c r="A317" s="174"/>
      <c r="B317" s="175"/>
      <c r="F317" s="177"/>
      <c r="H317" s="178"/>
      <c r="I317" s="178"/>
      <c r="J317" s="184"/>
      <c r="N317" s="178"/>
      <c r="O317" s="178"/>
      <c r="P317" s="178"/>
      <c r="S317" s="458"/>
      <c r="AN317" s="458"/>
      <c r="AO317" s="458"/>
      <c r="AP317" s="458"/>
      <c r="AQ317" s="458"/>
      <c r="AR317" s="458"/>
      <c r="AS317" s="458"/>
      <c r="AT317" s="458"/>
      <c r="AU317" s="458"/>
      <c r="AV317" s="458"/>
      <c r="BA317" s="1305"/>
      <c r="BB317" s="174"/>
    </row>
    <row r="318" spans="1:54" ht="12.5">
      <c r="A318" s="174"/>
      <c r="B318" s="175"/>
      <c r="F318" s="177"/>
      <c r="H318" s="178"/>
      <c r="I318" s="178"/>
      <c r="J318" s="184"/>
      <c r="N318" s="178"/>
      <c r="O318" s="178"/>
      <c r="P318" s="178"/>
      <c r="S318" s="458"/>
      <c r="AN318" s="458"/>
      <c r="AO318" s="458"/>
      <c r="AP318" s="458"/>
      <c r="AQ318" s="458"/>
      <c r="AR318" s="458"/>
      <c r="AS318" s="458"/>
      <c r="AT318" s="458"/>
      <c r="AU318" s="458"/>
      <c r="AV318" s="458"/>
      <c r="BA318" s="1305"/>
      <c r="BB318" s="174"/>
    </row>
    <row r="319" spans="1:54" ht="12.5">
      <c r="A319" s="174"/>
      <c r="B319" s="175"/>
      <c r="F319" s="177"/>
      <c r="H319" s="178"/>
      <c r="I319" s="178"/>
      <c r="J319" s="184"/>
      <c r="N319" s="178"/>
      <c r="O319" s="178"/>
      <c r="P319" s="178"/>
      <c r="S319" s="458"/>
      <c r="AN319" s="458"/>
      <c r="AO319" s="458"/>
      <c r="AP319" s="458"/>
      <c r="AQ319" s="458"/>
      <c r="AR319" s="458"/>
      <c r="AS319" s="458"/>
      <c r="AT319" s="458"/>
      <c r="AU319" s="458"/>
      <c r="AV319" s="458"/>
      <c r="BA319" s="1305"/>
      <c r="BB319" s="174"/>
    </row>
    <row r="320" spans="1:54" ht="12.5">
      <c r="A320" s="174"/>
      <c r="B320" s="175"/>
      <c r="F320" s="177"/>
      <c r="H320" s="178"/>
      <c r="I320" s="179"/>
      <c r="J320" s="184"/>
      <c r="N320" s="178"/>
      <c r="O320" s="178"/>
      <c r="P320" s="178"/>
      <c r="S320" s="458"/>
      <c r="AN320" s="458"/>
      <c r="AO320" s="458"/>
      <c r="AP320" s="458"/>
      <c r="AQ320" s="458"/>
      <c r="AR320" s="458"/>
      <c r="AS320" s="458"/>
      <c r="AT320" s="458"/>
      <c r="AU320" s="458"/>
      <c r="AV320" s="458"/>
      <c r="BA320" s="1305"/>
      <c r="BB320" s="174"/>
    </row>
    <row r="321" spans="1:54" ht="12.5">
      <c r="A321" s="174"/>
      <c r="B321" s="175"/>
      <c r="F321" s="177"/>
      <c r="H321" s="178"/>
      <c r="I321" s="178"/>
      <c r="J321" s="184"/>
      <c r="N321" s="178"/>
      <c r="O321" s="178"/>
      <c r="P321" s="178"/>
      <c r="S321" s="458"/>
      <c r="AN321" s="458"/>
      <c r="AO321" s="458"/>
      <c r="AP321" s="458"/>
      <c r="AQ321" s="458"/>
      <c r="AR321" s="458"/>
      <c r="AS321" s="458"/>
      <c r="AT321" s="458"/>
      <c r="AU321" s="458"/>
      <c r="AV321" s="458"/>
      <c r="BA321" s="1305"/>
      <c r="BB321" s="174"/>
    </row>
    <row r="322" spans="1:54" ht="12.5">
      <c r="A322" s="174"/>
      <c r="B322" s="175"/>
      <c r="F322" s="177"/>
      <c r="H322" s="178"/>
      <c r="I322" s="179"/>
      <c r="J322" s="184"/>
      <c r="N322" s="178"/>
      <c r="O322" s="178"/>
      <c r="P322" s="178"/>
      <c r="S322" s="458"/>
      <c r="AN322" s="458"/>
      <c r="AO322" s="458"/>
      <c r="AP322" s="458"/>
      <c r="AQ322" s="458"/>
      <c r="AR322" s="458"/>
      <c r="AS322" s="458"/>
      <c r="AT322" s="458"/>
      <c r="AU322" s="458"/>
      <c r="AV322" s="458"/>
      <c r="BA322" s="1305"/>
      <c r="BB322" s="174"/>
    </row>
    <row r="323" spans="1:54" ht="12.5">
      <c r="A323" s="174"/>
      <c r="B323" s="175"/>
      <c r="F323" s="177"/>
      <c r="H323" s="178"/>
      <c r="I323" s="178"/>
      <c r="J323" s="184"/>
      <c r="N323" s="178"/>
      <c r="O323" s="178"/>
      <c r="P323" s="178"/>
      <c r="S323" s="458"/>
      <c r="AN323" s="458"/>
      <c r="AO323" s="458"/>
      <c r="AP323" s="458"/>
      <c r="AQ323" s="458"/>
      <c r="AR323" s="458"/>
      <c r="AS323" s="458"/>
      <c r="AT323" s="458"/>
      <c r="AU323" s="458"/>
      <c r="AV323" s="458"/>
      <c r="BA323" s="1305"/>
      <c r="BB323" s="174"/>
    </row>
    <row r="324" spans="1:54" ht="12.5">
      <c r="A324" s="174"/>
      <c r="B324" s="175"/>
      <c r="F324" s="177"/>
      <c r="H324" s="178"/>
      <c r="I324" s="179"/>
      <c r="J324" s="184"/>
      <c r="N324" s="178"/>
      <c r="O324" s="178"/>
      <c r="P324" s="178"/>
      <c r="S324" s="458"/>
      <c r="AN324" s="458"/>
      <c r="AO324" s="458"/>
      <c r="AP324" s="458"/>
      <c r="AQ324" s="458"/>
      <c r="AR324" s="458"/>
      <c r="AS324" s="458"/>
      <c r="AT324" s="458"/>
      <c r="AU324" s="458"/>
      <c r="AV324" s="458"/>
      <c r="BA324" s="1305"/>
      <c r="BB324" s="174"/>
    </row>
    <row r="325" spans="1:54" ht="12.5">
      <c r="A325" s="174"/>
      <c r="B325" s="175"/>
      <c r="F325" s="177"/>
      <c r="H325" s="178"/>
      <c r="I325" s="178"/>
      <c r="J325" s="184"/>
      <c r="N325" s="178"/>
      <c r="O325" s="178"/>
      <c r="P325" s="178"/>
      <c r="S325" s="458"/>
      <c r="AN325" s="458"/>
      <c r="AO325" s="458"/>
      <c r="AP325" s="458"/>
      <c r="AQ325" s="458"/>
      <c r="AR325" s="458"/>
      <c r="AS325" s="458"/>
      <c r="AT325" s="458"/>
      <c r="AU325" s="458"/>
      <c r="AV325" s="458"/>
      <c r="BA325" s="1305"/>
      <c r="BB325" s="174"/>
    </row>
    <row r="326" spans="1:54" ht="12.5">
      <c r="A326" s="174"/>
      <c r="B326" s="175"/>
      <c r="F326" s="177"/>
      <c r="H326" s="178"/>
      <c r="I326" s="178"/>
      <c r="J326" s="184"/>
      <c r="N326" s="178"/>
      <c r="O326" s="178"/>
      <c r="P326" s="178"/>
      <c r="S326" s="458"/>
      <c r="AN326" s="458"/>
      <c r="AO326" s="458"/>
      <c r="AP326" s="458"/>
      <c r="AQ326" s="458"/>
      <c r="AR326" s="458"/>
      <c r="AS326" s="458"/>
      <c r="AT326" s="458"/>
      <c r="AU326" s="458"/>
      <c r="AV326" s="458"/>
      <c r="BA326" s="1305"/>
      <c r="BB326" s="174"/>
    </row>
    <row r="327" spans="1:54" ht="12.5">
      <c r="A327" s="174"/>
      <c r="B327" s="175"/>
      <c r="F327" s="177"/>
      <c r="H327" s="178"/>
      <c r="I327" s="182"/>
      <c r="J327" s="184"/>
      <c r="N327" s="178"/>
      <c r="O327" s="178"/>
      <c r="P327" s="178"/>
      <c r="S327" s="458"/>
      <c r="AN327" s="458"/>
      <c r="AO327" s="458"/>
      <c r="AP327" s="458"/>
      <c r="AQ327" s="458"/>
      <c r="AR327" s="458"/>
      <c r="AS327" s="458"/>
      <c r="AT327" s="458"/>
      <c r="AU327" s="458"/>
      <c r="AV327" s="458"/>
      <c r="BA327" s="1305"/>
      <c r="BB327" s="174"/>
    </row>
    <row r="328" spans="1:54" ht="12.5">
      <c r="A328" s="174"/>
      <c r="B328" s="175"/>
      <c r="F328" s="177"/>
      <c r="H328" s="178"/>
      <c r="I328" s="178"/>
      <c r="J328" s="184"/>
      <c r="N328" s="178"/>
      <c r="O328" s="178"/>
      <c r="P328" s="178"/>
      <c r="S328" s="458"/>
      <c r="AN328" s="458"/>
      <c r="AO328" s="458"/>
      <c r="AP328" s="458"/>
      <c r="AQ328" s="458"/>
      <c r="AR328" s="458"/>
      <c r="AS328" s="458"/>
      <c r="AT328" s="458"/>
      <c r="AU328" s="458"/>
      <c r="AV328" s="458"/>
      <c r="BA328" s="1305"/>
      <c r="BB328" s="174"/>
    </row>
    <row r="329" spans="1:54" ht="12.5">
      <c r="A329" s="174"/>
      <c r="B329" s="175"/>
      <c r="F329" s="177"/>
      <c r="H329" s="178"/>
      <c r="I329" s="178"/>
      <c r="J329" s="184"/>
      <c r="N329" s="178"/>
      <c r="O329" s="178"/>
      <c r="P329" s="178"/>
      <c r="S329" s="458"/>
      <c r="AN329" s="458"/>
      <c r="AO329" s="458"/>
      <c r="AP329" s="458"/>
      <c r="AQ329" s="458"/>
      <c r="AR329" s="458"/>
      <c r="AS329" s="458"/>
      <c r="AT329" s="458"/>
      <c r="AU329" s="458"/>
      <c r="AV329" s="458"/>
      <c r="BA329" s="1305"/>
      <c r="BB329" s="174"/>
    </row>
    <row r="330" spans="1:54" ht="12.5">
      <c r="A330" s="174"/>
      <c r="B330" s="175"/>
      <c r="F330" s="177"/>
      <c r="H330" s="178"/>
      <c r="I330" s="178"/>
      <c r="J330" s="184"/>
      <c r="N330" s="178"/>
      <c r="O330" s="178"/>
      <c r="P330" s="178"/>
      <c r="S330" s="458"/>
      <c r="AN330" s="458"/>
      <c r="AO330" s="458"/>
      <c r="AP330" s="458"/>
      <c r="AQ330" s="458"/>
      <c r="AR330" s="458"/>
      <c r="AS330" s="458"/>
      <c r="AT330" s="458"/>
      <c r="AU330" s="458"/>
      <c r="AV330" s="458"/>
      <c r="BA330" s="1305"/>
      <c r="BB330" s="174"/>
    </row>
    <row r="331" spans="1:54" ht="12.5">
      <c r="A331" s="174"/>
      <c r="B331" s="175"/>
      <c r="F331" s="177"/>
      <c r="H331" s="178"/>
      <c r="I331" s="178"/>
      <c r="J331" s="184"/>
      <c r="N331" s="178"/>
      <c r="O331" s="178"/>
      <c r="P331" s="178"/>
      <c r="S331" s="458"/>
      <c r="AN331" s="458"/>
      <c r="AO331" s="458"/>
      <c r="AP331" s="458"/>
      <c r="AQ331" s="458"/>
      <c r="AR331" s="458"/>
      <c r="AS331" s="458"/>
      <c r="AT331" s="458"/>
      <c r="AU331" s="458"/>
      <c r="AV331" s="458"/>
      <c r="BA331" s="1305"/>
      <c r="BB331" s="174"/>
    </row>
    <row r="332" spans="1:54" ht="12.5">
      <c r="A332" s="174"/>
      <c r="B332" s="175"/>
      <c r="F332" s="177"/>
      <c r="H332" s="178"/>
      <c r="I332" s="178"/>
      <c r="J332" s="184"/>
      <c r="N332" s="178"/>
      <c r="O332" s="178"/>
      <c r="P332" s="178"/>
      <c r="S332" s="458"/>
      <c r="AN332" s="458"/>
      <c r="AO332" s="458"/>
      <c r="AP332" s="458"/>
      <c r="AQ332" s="458"/>
      <c r="AR332" s="458"/>
      <c r="AS332" s="458"/>
      <c r="AT332" s="458"/>
      <c r="AU332" s="458"/>
      <c r="AV332" s="458"/>
      <c r="BA332" s="1305"/>
      <c r="BB332" s="174"/>
    </row>
    <row r="333" spans="1:54" ht="12.5">
      <c r="A333" s="174"/>
      <c r="B333" s="175"/>
      <c r="F333" s="177"/>
      <c r="H333" s="178"/>
      <c r="I333" s="179"/>
      <c r="J333" s="184"/>
      <c r="N333" s="178"/>
      <c r="O333" s="178"/>
      <c r="P333" s="178"/>
      <c r="S333" s="458"/>
      <c r="AN333" s="458"/>
      <c r="AO333" s="458"/>
      <c r="AP333" s="458"/>
      <c r="AQ333" s="458"/>
      <c r="AR333" s="458"/>
      <c r="AS333" s="458"/>
      <c r="AT333" s="458"/>
      <c r="AU333" s="458"/>
      <c r="AV333" s="458"/>
      <c r="BA333" s="1305"/>
      <c r="BB333" s="174"/>
    </row>
    <row r="334" spans="1:54" ht="12.5">
      <c r="A334" s="174"/>
      <c r="B334" s="175"/>
      <c r="F334" s="177"/>
      <c r="H334" s="178"/>
      <c r="I334" s="178"/>
      <c r="J334" s="184"/>
      <c r="N334" s="178"/>
      <c r="O334" s="178"/>
      <c r="P334" s="178"/>
      <c r="S334" s="458"/>
      <c r="AN334" s="458"/>
      <c r="AO334" s="458"/>
      <c r="AP334" s="458"/>
      <c r="AQ334" s="458"/>
      <c r="AR334" s="458"/>
      <c r="AS334" s="458"/>
      <c r="AT334" s="458"/>
      <c r="AU334" s="458"/>
      <c r="AV334" s="458"/>
      <c r="BA334" s="1305"/>
      <c r="BB334" s="174"/>
    </row>
    <row r="335" spans="1:54" ht="12.5">
      <c r="A335" s="174"/>
      <c r="B335" s="175"/>
      <c r="F335" s="177"/>
      <c r="H335" s="178"/>
      <c r="I335" s="179"/>
      <c r="J335" s="184"/>
      <c r="N335" s="178"/>
      <c r="O335" s="178"/>
      <c r="P335" s="178"/>
      <c r="S335" s="458"/>
      <c r="AN335" s="458"/>
      <c r="AO335" s="458"/>
      <c r="AP335" s="458"/>
      <c r="AQ335" s="458"/>
      <c r="AR335" s="458"/>
      <c r="AS335" s="458"/>
      <c r="AT335" s="458"/>
      <c r="AU335" s="458"/>
      <c r="AV335" s="458"/>
      <c r="BA335" s="1305"/>
      <c r="BB335" s="174"/>
    </row>
    <row r="336" spans="1:54" ht="12.5">
      <c r="A336" s="174"/>
      <c r="B336" s="175"/>
      <c r="F336" s="177"/>
      <c r="H336" s="178"/>
      <c r="I336" s="178"/>
      <c r="J336" s="184"/>
      <c r="N336" s="178"/>
      <c r="O336" s="178"/>
      <c r="P336" s="178"/>
      <c r="S336" s="458"/>
      <c r="AN336" s="458"/>
      <c r="AO336" s="458"/>
      <c r="AP336" s="458"/>
      <c r="AQ336" s="458"/>
      <c r="AR336" s="458"/>
      <c r="AS336" s="458"/>
      <c r="AT336" s="458"/>
      <c r="AU336" s="458"/>
      <c r="AV336" s="458"/>
      <c r="BA336" s="1305"/>
      <c r="BB336" s="174"/>
    </row>
    <row r="337" spans="1:96" s="824" customFormat="1" ht="12.5">
      <c r="A337" s="174"/>
      <c r="B337" s="175"/>
      <c r="C337" s="617"/>
      <c r="D337" s="617"/>
      <c r="E337" s="169"/>
      <c r="F337" s="177"/>
      <c r="G337" s="458"/>
      <c r="H337" s="178"/>
      <c r="I337" s="178"/>
      <c r="J337" s="184"/>
      <c r="K337" s="169"/>
      <c r="L337" s="169"/>
      <c r="M337" s="169"/>
      <c r="N337" s="178"/>
      <c r="O337" s="178"/>
      <c r="P337" s="178"/>
      <c r="Q337" s="169"/>
      <c r="R337" s="169"/>
      <c r="S337" s="458"/>
      <c r="T337" s="169"/>
      <c r="U337" s="169"/>
      <c r="V337" s="169"/>
      <c r="W337" s="169"/>
      <c r="X337" s="169"/>
      <c r="Y337" s="169"/>
      <c r="Z337" s="169"/>
      <c r="AA337" s="169"/>
      <c r="AB337" s="169"/>
      <c r="AC337" s="169"/>
      <c r="AD337" s="169"/>
      <c r="AE337" s="169"/>
      <c r="AF337" s="169"/>
      <c r="AG337" s="617"/>
      <c r="AH337" s="169"/>
      <c r="AI337" s="169"/>
      <c r="AJ337" s="169"/>
      <c r="AK337" s="169"/>
      <c r="AL337" s="169"/>
      <c r="AM337" s="169"/>
      <c r="AN337" s="458"/>
      <c r="AO337" s="458"/>
      <c r="AP337" s="458"/>
      <c r="AQ337" s="458"/>
      <c r="AR337" s="458"/>
      <c r="AS337" s="458"/>
      <c r="AT337" s="458"/>
      <c r="AU337" s="458"/>
      <c r="AV337" s="458"/>
      <c r="AW337" s="169"/>
      <c r="AX337" s="169"/>
      <c r="AY337" s="458"/>
      <c r="AZ337" s="458"/>
      <c r="BA337" s="1305"/>
      <c r="BB337" s="174"/>
      <c r="BC337" s="169"/>
      <c r="BD337" s="1324"/>
      <c r="BE337" s="1324"/>
      <c r="BF337" s="1324"/>
      <c r="BG337" s="1324"/>
      <c r="BH337" s="823"/>
      <c r="BI337" s="823"/>
      <c r="BJ337" s="823"/>
      <c r="BK337" s="823"/>
      <c r="BL337" s="823"/>
      <c r="BM337" s="823"/>
      <c r="BN337" s="823"/>
      <c r="BO337" s="823"/>
      <c r="BP337" s="823"/>
      <c r="BQ337" s="823"/>
      <c r="BR337" s="823"/>
      <c r="BS337" s="823"/>
      <c r="BT337" s="823"/>
      <c r="BU337" s="823"/>
      <c r="BV337" s="823"/>
      <c r="BW337" s="823"/>
      <c r="BX337" s="823"/>
      <c r="BY337" s="823"/>
      <c r="BZ337" s="823"/>
      <c r="CA337" s="823"/>
      <c r="CB337" s="823"/>
      <c r="CC337" s="823"/>
      <c r="CD337" s="823"/>
      <c r="CE337" s="823"/>
      <c r="CF337" s="823"/>
      <c r="CG337" s="823"/>
      <c r="CH337" s="823"/>
      <c r="CI337" s="823"/>
      <c r="CJ337" s="823"/>
      <c r="CK337" s="823"/>
      <c r="CL337" s="823"/>
      <c r="CM337" s="823"/>
      <c r="CN337" s="823"/>
      <c r="CO337" s="823"/>
      <c r="CP337" s="823"/>
      <c r="CQ337" s="823"/>
      <c r="CR337" s="823"/>
    </row>
    <row r="338" spans="1:96" ht="12.5">
      <c r="A338" s="174"/>
      <c r="B338" s="175"/>
      <c r="F338" s="177"/>
      <c r="H338" s="178"/>
      <c r="I338" s="178"/>
      <c r="J338" s="184"/>
      <c r="N338" s="178"/>
      <c r="O338" s="178"/>
      <c r="P338" s="178"/>
      <c r="S338" s="458"/>
      <c r="AN338" s="458"/>
      <c r="AO338" s="458"/>
      <c r="AP338" s="458"/>
      <c r="AQ338" s="458"/>
      <c r="AR338" s="458"/>
      <c r="AS338" s="458"/>
      <c r="AT338" s="458"/>
      <c r="AU338" s="458"/>
      <c r="AV338" s="458"/>
      <c r="BA338" s="1305"/>
      <c r="BB338" s="174"/>
    </row>
    <row r="339" spans="1:96" ht="12.5">
      <c r="A339" s="174"/>
      <c r="B339" s="175"/>
      <c r="F339" s="177"/>
      <c r="H339" s="178"/>
      <c r="I339" s="178"/>
      <c r="J339" s="184"/>
      <c r="N339" s="178"/>
      <c r="O339" s="178"/>
      <c r="P339" s="178"/>
      <c r="S339" s="458"/>
      <c r="AN339" s="458"/>
      <c r="AO339" s="458"/>
      <c r="AP339" s="458"/>
      <c r="AQ339" s="458"/>
      <c r="AR339" s="458"/>
      <c r="AS339" s="458"/>
      <c r="AT339" s="458"/>
      <c r="AU339" s="458"/>
      <c r="AV339" s="458"/>
      <c r="BA339" s="1305"/>
      <c r="BB339" s="174"/>
    </row>
    <row r="340" spans="1:96" ht="12.5">
      <c r="A340" s="174"/>
      <c r="B340" s="175"/>
      <c r="F340" s="177"/>
      <c r="H340" s="178"/>
      <c r="I340" s="178"/>
      <c r="J340" s="184"/>
      <c r="N340" s="178"/>
      <c r="O340" s="178"/>
      <c r="P340" s="178"/>
      <c r="S340" s="458"/>
      <c r="AN340" s="458"/>
      <c r="AO340" s="458"/>
      <c r="AP340" s="458"/>
      <c r="AQ340" s="458"/>
      <c r="AR340" s="458"/>
      <c r="AS340" s="458"/>
      <c r="AT340" s="458"/>
      <c r="AU340" s="458"/>
      <c r="AV340" s="458"/>
      <c r="BA340" s="1305"/>
      <c r="BB340" s="174"/>
    </row>
    <row r="341" spans="1:96" ht="12.5">
      <c r="A341" s="174"/>
      <c r="B341" s="175"/>
      <c r="F341" s="177"/>
      <c r="H341" s="178"/>
      <c r="I341" s="178"/>
      <c r="J341" s="184"/>
      <c r="N341" s="178"/>
      <c r="O341" s="178"/>
      <c r="P341" s="178"/>
      <c r="S341" s="458"/>
      <c r="AN341" s="458"/>
      <c r="AO341" s="458"/>
      <c r="AP341" s="458"/>
      <c r="AQ341" s="458"/>
      <c r="AR341" s="458"/>
      <c r="AS341" s="458"/>
      <c r="AT341" s="458"/>
      <c r="AU341" s="458"/>
      <c r="AV341" s="458"/>
      <c r="BA341" s="1305"/>
      <c r="BB341" s="174"/>
    </row>
    <row r="342" spans="1:96" ht="12.5">
      <c r="A342" s="174"/>
      <c r="B342" s="175"/>
      <c r="F342" s="177"/>
      <c r="H342" s="178"/>
      <c r="I342" s="178"/>
      <c r="J342" s="184"/>
      <c r="N342" s="178"/>
      <c r="O342" s="178"/>
      <c r="P342" s="178"/>
      <c r="S342" s="458"/>
      <c r="AN342" s="458"/>
      <c r="AO342" s="458"/>
      <c r="AP342" s="458"/>
      <c r="AQ342" s="458"/>
      <c r="AR342" s="458"/>
      <c r="AS342" s="458"/>
      <c r="AT342" s="458"/>
      <c r="AU342" s="458"/>
      <c r="AV342" s="458"/>
      <c r="BA342" s="1305"/>
      <c r="BB342" s="174"/>
    </row>
    <row r="343" spans="1:96" ht="12.5">
      <c r="A343" s="174"/>
      <c r="B343" s="175"/>
      <c r="F343" s="177"/>
      <c r="H343" s="178"/>
      <c r="I343" s="178"/>
      <c r="J343" s="184"/>
      <c r="N343" s="178"/>
      <c r="O343" s="178"/>
      <c r="P343" s="178"/>
      <c r="S343" s="458"/>
      <c r="AN343" s="458"/>
      <c r="AO343" s="458"/>
      <c r="AP343" s="458"/>
      <c r="AQ343" s="458"/>
      <c r="AR343" s="458"/>
      <c r="AS343" s="458"/>
      <c r="AT343" s="458"/>
      <c r="AU343" s="458"/>
      <c r="AV343" s="458"/>
      <c r="BA343" s="1305"/>
      <c r="BB343" s="174"/>
    </row>
    <row r="344" spans="1:96" ht="12.5">
      <c r="A344" s="174"/>
      <c r="B344" s="175"/>
      <c r="F344" s="177"/>
      <c r="H344" s="178"/>
      <c r="I344" s="178"/>
      <c r="J344" s="184"/>
      <c r="N344" s="178"/>
      <c r="O344" s="178"/>
      <c r="P344" s="178"/>
      <c r="S344" s="458"/>
      <c r="AN344" s="458"/>
      <c r="AO344" s="458"/>
      <c r="AP344" s="458"/>
      <c r="AQ344" s="458"/>
      <c r="AR344" s="458"/>
      <c r="AS344" s="458"/>
      <c r="AT344" s="458"/>
      <c r="AU344" s="458"/>
      <c r="AV344" s="458"/>
      <c r="BA344" s="1305"/>
      <c r="BB344" s="174"/>
    </row>
    <row r="345" spans="1:96" ht="12.5">
      <c r="A345" s="174"/>
      <c r="B345" s="175"/>
      <c r="F345" s="177"/>
      <c r="H345" s="178"/>
      <c r="I345" s="178"/>
      <c r="J345" s="184"/>
      <c r="N345" s="178"/>
      <c r="O345" s="178"/>
      <c r="P345" s="178"/>
      <c r="S345" s="458"/>
      <c r="AN345" s="458"/>
      <c r="AO345" s="458"/>
      <c r="AP345" s="458"/>
      <c r="AQ345" s="458"/>
      <c r="AR345" s="458"/>
      <c r="AS345" s="458"/>
      <c r="AT345" s="458"/>
      <c r="AU345" s="458"/>
      <c r="AV345" s="458"/>
      <c r="BA345" s="1305"/>
      <c r="BB345" s="174"/>
    </row>
    <row r="346" spans="1:96" ht="12.5">
      <c r="A346" s="174"/>
      <c r="B346" s="175"/>
      <c r="F346" s="177"/>
      <c r="H346" s="178"/>
      <c r="I346" s="178"/>
      <c r="J346" s="184"/>
      <c r="N346" s="178"/>
      <c r="O346" s="178"/>
      <c r="P346" s="178"/>
      <c r="S346" s="458"/>
      <c r="AN346" s="458"/>
      <c r="AO346" s="458"/>
      <c r="AP346" s="458"/>
      <c r="AQ346" s="458"/>
      <c r="AR346" s="458"/>
      <c r="AS346" s="458"/>
      <c r="AT346" s="458"/>
      <c r="AU346" s="458"/>
      <c r="AV346" s="458"/>
      <c r="BA346" s="1305"/>
      <c r="BB346" s="174"/>
    </row>
    <row r="347" spans="1:96" ht="12.5">
      <c r="A347" s="174"/>
      <c r="B347" s="175"/>
      <c r="F347" s="177"/>
      <c r="H347" s="178"/>
      <c r="I347" s="178"/>
      <c r="J347" s="184"/>
      <c r="N347" s="178"/>
      <c r="O347" s="178"/>
      <c r="P347" s="178"/>
      <c r="S347" s="458"/>
      <c r="AN347" s="458"/>
      <c r="AO347" s="458"/>
      <c r="AP347" s="458"/>
      <c r="AQ347" s="458"/>
      <c r="AR347" s="458"/>
      <c r="AS347" s="458"/>
      <c r="AT347" s="458"/>
      <c r="AU347" s="458"/>
      <c r="AV347" s="458"/>
      <c r="BA347" s="1305"/>
      <c r="BB347" s="174"/>
    </row>
    <row r="348" spans="1:96" ht="12.5">
      <c r="A348" s="174"/>
      <c r="B348" s="175"/>
      <c r="F348" s="177"/>
      <c r="H348" s="178"/>
      <c r="I348" s="178"/>
      <c r="J348" s="184"/>
      <c r="N348" s="178"/>
      <c r="O348" s="178"/>
      <c r="P348" s="178"/>
      <c r="S348" s="458"/>
      <c r="AN348" s="458"/>
      <c r="AO348" s="458"/>
      <c r="AP348" s="458"/>
      <c r="AQ348" s="458"/>
      <c r="AR348" s="458"/>
      <c r="AS348" s="458"/>
      <c r="AT348" s="458"/>
      <c r="AU348" s="458"/>
      <c r="AV348" s="458"/>
      <c r="BA348" s="1305"/>
      <c r="BB348" s="174"/>
    </row>
    <row r="349" spans="1:96" ht="12.5">
      <c r="A349" s="174"/>
      <c r="B349" s="175"/>
      <c r="F349" s="177"/>
      <c r="H349" s="178"/>
      <c r="I349" s="178"/>
      <c r="J349" s="184"/>
      <c r="N349" s="178"/>
      <c r="O349" s="178"/>
      <c r="P349" s="178"/>
      <c r="S349" s="458"/>
      <c r="AN349" s="458"/>
      <c r="AO349" s="458"/>
      <c r="AP349" s="458"/>
      <c r="AQ349" s="458"/>
      <c r="AR349" s="458"/>
      <c r="AS349" s="458"/>
      <c r="AT349" s="458"/>
      <c r="AU349" s="458"/>
      <c r="AV349" s="458"/>
      <c r="BA349" s="1305"/>
      <c r="BB349" s="174"/>
    </row>
    <row r="350" spans="1:96" ht="12.5">
      <c r="A350" s="174"/>
      <c r="B350" s="175"/>
      <c r="F350" s="177"/>
      <c r="H350" s="178"/>
      <c r="I350" s="178"/>
      <c r="J350" s="184"/>
      <c r="N350" s="178"/>
      <c r="O350" s="178"/>
      <c r="P350" s="178"/>
      <c r="S350" s="458"/>
      <c r="AN350" s="458"/>
      <c r="AO350" s="458"/>
      <c r="AP350" s="458"/>
      <c r="AQ350" s="458"/>
      <c r="AR350" s="458"/>
      <c r="AS350" s="458"/>
      <c r="AT350" s="458"/>
      <c r="AU350" s="458"/>
      <c r="AV350" s="458"/>
      <c r="BA350" s="1305"/>
      <c r="BB350" s="174"/>
    </row>
    <row r="351" spans="1:96" ht="12.5">
      <c r="A351" s="174"/>
      <c r="B351" s="175"/>
      <c r="F351" s="177"/>
      <c r="H351" s="178"/>
      <c r="I351" s="178"/>
      <c r="J351" s="184"/>
      <c r="N351" s="178"/>
      <c r="O351" s="178"/>
      <c r="P351" s="178"/>
      <c r="S351" s="458"/>
      <c r="AN351" s="458"/>
      <c r="AO351" s="458"/>
      <c r="AP351" s="458"/>
      <c r="AQ351" s="458"/>
      <c r="AR351" s="458"/>
      <c r="AS351" s="458"/>
      <c r="AT351" s="458"/>
      <c r="AU351" s="458"/>
      <c r="AV351" s="458"/>
      <c r="BA351" s="1305"/>
      <c r="BB351" s="174"/>
    </row>
    <row r="352" spans="1:96" ht="12.5">
      <c r="A352" s="174"/>
      <c r="B352" s="175"/>
      <c r="F352" s="177"/>
      <c r="H352" s="178"/>
      <c r="I352" s="178"/>
      <c r="J352" s="184"/>
      <c r="N352" s="178"/>
      <c r="O352" s="178"/>
      <c r="P352" s="178"/>
      <c r="S352" s="458"/>
      <c r="AN352" s="458"/>
      <c r="AO352" s="458"/>
      <c r="AP352" s="458"/>
      <c r="AQ352" s="458"/>
      <c r="AR352" s="458"/>
      <c r="AS352" s="458"/>
      <c r="AT352" s="458"/>
      <c r="AU352" s="458"/>
      <c r="AV352" s="458"/>
      <c r="BA352" s="1305"/>
      <c r="BB352" s="174"/>
    </row>
    <row r="353" spans="1:96" ht="12.5">
      <c r="A353" s="174"/>
      <c r="B353" s="175"/>
      <c r="F353" s="177"/>
      <c r="H353" s="178"/>
      <c r="I353" s="178"/>
      <c r="J353" s="184"/>
      <c r="N353" s="178"/>
      <c r="O353" s="178"/>
      <c r="P353" s="178"/>
      <c r="S353" s="458"/>
      <c r="AN353" s="458"/>
      <c r="AO353" s="458"/>
      <c r="AP353" s="458"/>
      <c r="AQ353" s="458"/>
      <c r="AR353" s="458"/>
      <c r="AS353" s="458"/>
      <c r="AT353" s="458"/>
      <c r="AU353" s="458"/>
      <c r="AV353" s="458"/>
      <c r="BA353" s="1305"/>
      <c r="BB353" s="174"/>
    </row>
    <row r="354" spans="1:96" ht="12.5">
      <c r="A354" s="174"/>
      <c r="B354" s="175"/>
      <c r="F354" s="177"/>
      <c r="H354" s="178"/>
      <c r="I354" s="179"/>
      <c r="J354" s="184"/>
      <c r="N354" s="178"/>
      <c r="O354" s="178"/>
      <c r="P354" s="178"/>
      <c r="S354" s="458"/>
      <c r="AN354" s="458"/>
      <c r="AO354" s="458"/>
      <c r="AP354" s="458"/>
      <c r="AQ354" s="458"/>
      <c r="AR354" s="458"/>
      <c r="AS354" s="458"/>
      <c r="AT354" s="458"/>
      <c r="AU354" s="458"/>
      <c r="AV354" s="458"/>
      <c r="BA354" s="1305"/>
      <c r="BB354" s="174"/>
    </row>
    <row r="355" spans="1:96" ht="12.5">
      <c r="A355" s="174"/>
      <c r="B355" s="175"/>
      <c r="F355" s="177"/>
      <c r="H355" s="178"/>
      <c r="I355" s="178"/>
      <c r="J355" s="184"/>
      <c r="N355" s="178"/>
      <c r="O355" s="178"/>
      <c r="P355" s="178"/>
      <c r="S355" s="458"/>
      <c r="AN355" s="458"/>
      <c r="AO355" s="458"/>
      <c r="AP355" s="458"/>
      <c r="AQ355" s="458"/>
      <c r="AR355" s="458"/>
      <c r="AS355" s="458"/>
      <c r="AT355" s="458"/>
      <c r="AU355" s="458"/>
      <c r="AV355" s="458"/>
      <c r="BA355" s="1305"/>
      <c r="BB355" s="174"/>
    </row>
    <row r="356" spans="1:96" ht="12.5">
      <c r="A356" s="174"/>
      <c r="B356" s="175"/>
      <c r="F356" s="177"/>
      <c r="H356" s="178"/>
      <c r="I356" s="179"/>
      <c r="J356" s="184"/>
      <c r="N356" s="178"/>
      <c r="O356" s="178"/>
      <c r="P356" s="178"/>
      <c r="S356" s="458"/>
      <c r="AN356" s="458"/>
      <c r="AO356" s="458"/>
      <c r="AP356" s="458"/>
      <c r="AQ356" s="458"/>
      <c r="AR356" s="458"/>
      <c r="AS356" s="458"/>
      <c r="AT356" s="458"/>
      <c r="AU356" s="458"/>
      <c r="AV356" s="458"/>
      <c r="BA356" s="1305"/>
      <c r="BB356" s="174"/>
    </row>
    <row r="357" spans="1:96" ht="12.5">
      <c r="A357" s="174"/>
      <c r="B357" s="175"/>
      <c r="F357" s="177"/>
      <c r="H357" s="178"/>
      <c r="I357" s="178"/>
      <c r="J357" s="184"/>
      <c r="N357" s="178"/>
      <c r="O357" s="178"/>
      <c r="P357" s="178"/>
      <c r="S357" s="458"/>
      <c r="AN357" s="458"/>
      <c r="AO357" s="458"/>
      <c r="AP357" s="458"/>
      <c r="AQ357" s="458"/>
      <c r="AR357" s="458"/>
      <c r="AS357" s="458"/>
      <c r="AT357" s="458"/>
      <c r="AU357" s="458"/>
      <c r="AV357" s="458"/>
      <c r="BA357" s="1305"/>
      <c r="BB357" s="174"/>
    </row>
    <row r="358" spans="1:96" ht="12.5">
      <c r="A358" s="174"/>
      <c r="B358" s="175"/>
      <c r="F358" s="177"/>
      <c r="H358" s="178"/>
      <c r="I358" s="179"/>
      <c r="J358" s="184"/>
      <c r="N358" s="178"/>
      <c r="O358" s="178"/>
      <c r="P358" s="178"/>
      <c r="S358" s="458"/>
      <c r="AN358" s="458"/>
      <c r="AO358" s="458"/>
      <c r="AP358" s="458"/>
      <c r="AQ358" s="458"/>
      <c r="AR358" s="458"/>
      <c r="AS358" s="458"/>
      <c r="AT358" s="458"/>
      <c r="AU358" s="458"/>
      <c r="AV358" s="458"/>
      <c r="BA358" s="1305"/>
      <c r="BB358" s="174"/>
    </row>
    <row r="359" spans="1:96" s="824" customFormat="1" ht="12.5">
      <c r="A359" s="174"/>
      <c r="B359" s="175"/>
      <c r="C359" s="617"/>
      <c r="D359" s="617"/>
      <c r="E359" s="169"/>
      <c r="F359" s="177"/>
      <c r="G359" s="458"/>
      <c r="H359" s="178"/>
      <c r="I359" s="178"/>
      <c r="J359" s="184"/>
      <c r="K359" s="169"/>
      <c r="L359" s="169"/>
      <c r="M359" s="169"/>
      <c r="N359" s="178"/>
      <c r="O359" s="178"/>
      <c r="P359" s="178"/>
      <c r="Q359" s="169"/>
      <c r="R359" s="169"/>
      <c r="S359" s="458"/>
      <c r="T359" s="169"/>
      <c r="U359" s="169"/>
      <c r="V359" s="169"/>
      <c r="W359" s="169"/>
      <c r="X359" s="169"/>
      <c r="Y359" s="169"/>
      <c r="Z359" s="169"/>
      <c r="AA359" s="169"/>
      <c r="AB359" s="169"/>
      <c r="AC359" s="169"/>
      <c r="AD359" s="169"/>
      <c r="AE359" s="169"/>
      <c r="AF359" s="169"/>
      <c r="AG359" s="617"/>
      <c r="AH359" s="169"/>
      <c r="AI359" s="169"/>
      <c r="AJ359" s="169"/>
      <c r="AK359" s="169"/>
      <c r="AL359" s="169"/>
      <c r="AM359" s="169"/>
      <c r="AN359" s="458"/>
      <c r="AO359" s="458"/>
      <c r="AP359" s="458"/>
      <c r="AQ359" s="458"/>
      <c r="AR359" s="458"/>
      <c r="AS359" s="458"/>
      <c r="AT359" s="458"/>
      <c r="AU359" s="458"/>
      <c r="AV359" s="458"/>
      <c r="AW359" s="169"/>
      <c r="AX359" s="169"/>
      <c r="AY359" s="458"/>
      <c r="AZ359" s="458"/>
      <c r="BA359" s="1305"/>
      <c r="BB359" s="174"/>
      <c r="BC359" s="169"/>
      <c r="BD359" s="1324"/>
      <c r="BE359" s="1324"/>
      <c r="BF359" s="1324"/>
      <c r="BG359" s="1324"/>
      <c r="BH359" s="823"/>
      <c r="BI359" s="823"/>
      <c r="BJ359" s="823"/>
      <c r="BK359" s="823"/>
      <c r="BL359" s="823"/>
      <c r="BM359" s="823"/>
      <c r="BN359" s="823"/>
      <c r="BO359" s="823"/>
      <c r="BP359" s="823"/>
      <c r="BQ359" s="823"/>
      <c r="BR359" s="823"/>
      <c r="BS359" s="823"/>
      <c r="BT359" s="823"/>
      <c r="BU359" s="823"/>
      <c r="BV359" s="823"/>
      <c r="BW359" s="823"/>
      <c r="BX359" s="823"/>
      <c r="BY359" s="823"/>
      <c r="BZ359" s="823"/>
      <c r="CA359" s="823"/>
      <c r="CB359" s="823"/>
      <c r="CC359" s="823"/>
      <c r="CD359" s="823"/>
      <c r="CE359" s="823"/>
      <c r="CF359" s="823"/>
      <c r="CG359" s="823"/>
      <c r="CH359" s="823"/>
      <c r="CI359" s="823"/>
      <c r="CJ359" s="823"/>
      <c r="CK359" s="823"/>
      <c r="CL359" s="823"/>
      <c r="CM359" s="823"/>
      <c r="CN359" s="823"/>
      <c r="CO359" s="823"/>
      <c r="CP359" s="823"/>
      <c r="CQ359" s="823"/>
      <c r="CR359" s="823"/>
    </row>
    <row r="360" spans="1:96" ht="12.5">
      <c r="A360" s="174"/>
      <c r="B360" s="175"/>
      <c r="F360" s="177"/>
      <c r="H360" s="178"/>
      <c r="I360" s="178"/>
      <c r="J360" s="184"/>
      <c r="N360" s="178"/>
      <c r="O360" s="178"/>
      <c r="P360" s="178"/>
      <c r="S360" s="458"/>
      <c r="AN360" s="458"/>
      <c r="AO360" s="458"/>
      <c r="AP360" s="458"/>
      <c r="AQ360" s="458"/>
      <c r="AR360" s="458"/>
      <c r="AS360" s="458"/>
      <c r="AT360" s="458"/>
      <c r="AU360" s="458"/>
      <c r="AV360" s="458"/>
      <c r="BA360" s="1305"/>
      <c r="BB360" s="174"/>
    </row>
    <row r="361" spans="1:96" ht="12.5">
      <c r="A361" s="174"/>
      <c r="B361" s="175"/>
      <c r="F361" s="177"/>
      <c r="H361" s="178"/>
      <c r="I361" s="179"/>
      <c r="J361" s="184"/>
      <c r="N361" s="178"/>
      <c r="O361" s="178"/>
      <c r="P361" s="178"/>
      <c r="S361" s="458"/>
      <c r="AN361" s="458"/>
      <c r="AO361" s="458"/>
      <c r="AP361" s="458"/>
      <c r="AQ361" s="458"/>
      <c r="AR361" s="458"/>
      <c r="AS361" s="458"/>
      <c r="AT361" s="458"/>
      <c r="AU361" s="458"/>
      <c r="AV361" s="458"/>
      <c r="BA361" s="1305"/>
      <c r="BB361" s="174"/>
    </row>
    <row r="362" spans="1:96" ht="12.5">
      <c r="A362" s="174"/>
      <c r="B362" s="175"/>
      <c r="F362" s="177"/>
      <c r="H362" s="178"/>
      <c r="I362" s="178"/>
      <c r="J362" s="184"/>
      <c r="N362" s="178"/>
      <c r="O362" s="178"/>
      <c r="P362" s="178"/>
      <c r="S362" s="458"/>
      <c r="AN362" s="458"/>
      <c r="AO362" s="458"/>
      <c r="AP362" s="458"/>
      <c r="AQ362" s="458"/>
      <c r="AR362" s="458"/>
      <c r="AS362" s="458"/>
      <c r="AT362" s="458"/>
      <c r="AU362" s="458"/>
      <c r="AV362" s="458"/>
      <c r="BA362" s="1305"/>
      <c r="BB362" s="174"/>
    </row>
    <row r="363" spans="1:96" ht="12.5">
      <c r="A363" s="174"/>
      <c r="B363" s="175"/>
      <c r="F363" s="177"/>
      <c r="H363" s="178"/>
      <c r="I363" s="179"/>
      <c r="J363" s="184"/>
      <c r="N363" s="178"/>
      <c r="O363" s="178"/>
      <c r="P363" s="178"/>
      <c r="S363" s="458"/>
      <c r="AN363" s="458"/>
      <c r="AO363" s="458"/>
      <c r="AP363" s="458"/>
      <c r="AQ363" s="458"/>
      <c r="AR363" s="458"/>
      <c r="AS363" s="458"/>
      <c r="AT363" s="458"/>
      <c r="AU363" s="458"/>
      <c r="AV363" s="458"/>
      <c r="BA363" s="1305"/>
      <c r="BB363" s="174"/>
    </row>
    <row r="364" spans="1:96" ht="12.5">
      <c r="A364" s="174"/>
      <c r="B364" s="175"/>
      <c r="F364" s="177"/>
      <c r="H364" s="178"/>
      <c r="I364" s="178"/>
      <c r="J364" s="184"/>
      <c r="N364" s="178"/>
      <c r="O364" s="178"/>
      <c r="P364" s="178"/>
      <c r="S364" s="458"/>
      <c r="AN364" s="458"/>
      <c r="AO364" s="458"/>
      <c r="AP364" s="458"/>
      <c r="AQ364" s="458"/>
      <c r="AR364" s="458"/>
      <c r="AS364" s="458"/>
      <c r="AT364" s="458"/>
      <c r="AU364" s="458"/>
      <c r="AV364" s="458"/>
      <c r="BA364" s="1305"/>
      <c r="BB364" s="174"/>
    </row>
    <row r="365" spans="1:96" ht="12.5">
      <c r="A365" s="174"/>
      <c r="B365" s="175"/>
      <c r="F365" s="177"/>
      <c r="H365" s="178"/>
      <c r="I365" s="179"/>
      <c r="J365" s="184"/>
      <c r="N365" s="178"/>
      <c r="O365" s="178"/>
      <c r="P365" s="178"/>
      <c r="S365" s="458"/>
      <c r="AN365" s="458"/>
      <c r="AO365" s="458"/>
      <c r="AP365" s="458"/>
      <c r="AQ365" s="458"/>
      <c r="AR365" s="458"/>
      <c r="AS365" s="458"/>
      <c r="AT365" s="458"/>
      <c r="AU365" s="458"/>
      <c r="AV365" s="458"/>
      <c r="BA365" s="1305"/>
      <c r="BB365" s="174"/>
    </row>
    <row r="366" spans="1:96" ht="12.5">
      <c r="A366" s="174"/>
      <c r="B366" s="175"/>
      <c r="F366" s="177"/>
      <c r="H366" s="178"/>
      <c r="I366" s="178"/>
      <c r="N366" s="178"/>
      <c r="O366" s="178"/>
      <c r="P366" s="178"/>
      <c r="S366" s="458"/>
      <c r="AN366" s="458"/>
      <c r="AO366" s="458"/>
      <c r="AP366" s="458"/>
      <c r="AQ366" s="458"/>
      <c r="AR366" s="458"/>
      <c r="AS366" s="458"/>
      <c r="AT366" s="458"/>
      <c r="AU366" s="458"/>
      <c r="AV366" s="458"/>
      <c r="BA366" s="1305"/>
      <c r="BB366" s="174"/>
    </row>
    <row r="367" spans="1:96" ht="12.5">
      <c r="A367" s="174"/>
      <c r="B367" s="175"/>
      <c r="F367" s="177"/>
      <c r="H367" s="178"/>
      <c r="I367" s="179"/>
      <c r="J367" s="184"/>
      <c r="N367" s="178"/>
      <c r="O367" s="178"/>
      <c r="P367" s="178"/>
      <c r="S367" s="458"/>
      <c r="AN367" s="458"/>
      <c r="AO367" s="458"/>
      <c r="AP367" s="458"/>
      <c r="AQ367" s="458"/>
      <c r="AR367" s="458"/>
      <c r="AS367" s="458"/>
      <c r="AT367" s="458"/>
      <c r="AU367" s="458"/>
      <c r="AV367" s="458"/>
      <c r="BA367" s="1305"/>
      <c r="BB367" s="174"/>
    </row>
    <row r="368" spans="1:96" ht="12.5">
      <c r="A368" s="174"/>
      <c r="B368" s="175"/>
      <c r="F368" s="177"/>
      <c r="H368" s="178"/>
      <c r="I368" s="178"/>
      <c r="J368" s="184"/>
      <c r="N368" s="178"/>
      <c r="O368" s="178"/>
      <c r="P368" s="178"/>
      <c r="S368" s="458"/>
      <c r="AN368" s="458"/>
      <c r="AO368" s="458"/>
      <c r="AP368" s="458"/>
      <c r="AQ368" s="458"/>
      <c r="AR368" s="458"/>
      <c r="AS368" s="458"/>
      <c r="AT368" s="458"/>
      <c r="AU368" s="458"/>
      <c r="AV368" s="458"/>
      <c r="BA368" s="1305"/>
      <c r="BB368" s="174"/>
    </row>
    <row r="369" spans="1:54" ht="12.5">
      <c r="A369" s="174"/>
      <c r="B369" s="175"/>
      <c r="F369" s="177"/>
      <c r="H369" s="178"/>
      <c r="I369" s="179"/>
      <c r="J369" s="184"/>
      <c r="N369" s="178"/>
      <c r="O369" s="178"/>
      <c r="P369" s="178"/>
      <c r="S369" s="458"/>
      <c r="AN369" s="458"/>
      <c r="AO369" s="458"/>
      <c r="AP369" s="458"/>
      <c r="AQ369" s="458"/>
      <c r="AR369" s="458"/>
      <c r="AS369" s="458"/>
      <c r="AT369" s="458"/>
      <c r="AU369" s="458"/>
      <c r="AV369" s="458"/>
      <c r="BA369" s="1305"/>
      <c r="BB369" s="174"/>
    </row>
    <row r="370" spans="1:54" ht="12.5">
      <c r="A370" s="174"/>
      <c r="B370" s="175"/>
      <c r="F370" s="177"/>
      <c r="H370" s="178"/>
      <c r="I370" s="178"/>
      <c r="J370" s="184"/>
      <c r="N370" s="178"/>
      <c r="O370" s="178"/>
      <c r="P370" s="178"/>
      <c r="S370" s="458"/>
      <c r="AN370" s="458"/>
      <c r="AO370" s="458"/>
      <c r="AP370" s="458"/>
      <c r="AQ370" s="458"/>
      <c r="AR370" s="458"/>
      <c r="AS370" s="458"/>
      <c r="AT370" s="458"/>
      <c r="AU370" s="458"/>
      <c r="AV370" s="458"/>
      <c r="BA370" s="1305"/>
      <c r="BB370" s="174"/>
    </row>
    <row r="371" spans="1:54" ht="12.5">
      <c r="A371" s="174"/>
      <c r="B371" s="175"/>
      <c r="F371" s="177"/>
      <c r="H371" s="178"/>
      <c r="I371" s="178"/>
      <c r="J371" s="184"/>
      <c r="N371" s="178"/>
      <c r="O371" s="178"/>
      <c r="P371" s="178"/>
      <c r="S371" s="458"/>
      <c r="AN371" s="458"/>
      <c r="AO371" s="458"/>
      <c r="AP371" s="458"/>
      <c r="AQ371" s="458"/>
      <c r="AR371" s="458"/>
      <c r="AS371" s="458"/>
      <c r="AT371" s="458"/>
      <c r="AU371" s="458"/>
      <c r="AV371" s="458"/>
      <c r="BA371" s="1305"/>
      <c r="BB371" s="174"/>
    </row>
    <row r="372" spans="1:54" ht="12.5">
      <c r="A372" s="174"/>
      <c r="B372" s="175"/>
      <c r="F372" s="177"/>
      <c r="H372" s="178"/>
      <c r="I372" s="178"/>
      <c r="J372" s="184"/>
      <c r="N372" s="178"/>
      <c r="O372" s="178"/>
      <c r="P372" s="178"/>
      <c r="S372" s="458"/>
      <c r="AN372" s="458"/>
      <c r="AO372" s="458"/>
      <c r="AP372" s="458"/>
      <c r="AQ372" s="458"/>
      <c r="AR372" s="458"/>
      <c r="AS372" s="458"/>
      <c r="AT372" s="458"/>
      <c r="AU372" s="458"/>
      <c r="AV372" s="458"/>
      <c r="BA372" s="1305"/>
      <c r="BB372" s="174"/>
    </row>
    <row r="373" spans="1:54" ht="12.5">
      <c r="A373" s="174"/>
      <c r="B373" s="175"/>
      <c r="F373" s="177"/>
      <c r="H373" s="178"/>
      <c r="I373" s="178"/>
      <c r="J373" s="184"/>
      <c r="N373" s="178"/>
      <c r="O373" s="178"/>
      <c r="P373" s="178"/>
      <c r="S373" s="458"/>
      <c r="AN373" s="458"/>
      <c r="AO373" s="458"/>
      <c r="AP373" s="458"/>
      <c r="AQ373" s="458"/>
      <c r="AR373" s="458"/>
      <c r="AS373" s="458"/>
      <c r="AT373" s="458"/>
      <c r="AU373" s="458"/>
      <c r="AV373" s="458"/>
      <c r="BA373" s="1305"/>
      <c r="BB373" s="174"/>
    </row>
    <row r="374" spans="1:54" ht="12.5">
      <c r="A374" s="174"/>
      <c r="B374" s="175"/>
      <c r="F374" s="177"/>
      <c r="H374" s="178"/>
      <c r="I374" s="178"/>
      <c r="J374" s="184"/>
      <c r="N374" s="178"/>
      <c r="O374" s="178"/>
      <c r="P374" s="178"/>
      <c r="S374" s="458"/>
      <c r="AN374" s="458"/>
      <c r="AO374" s="458"/>
      <c r="AP374" s="458"/>
      <c r="AQ374" s="458"/>
      <c r="AR374" s="458"/>
      <c r="AS374" s="458"/>
      <c r="AT374" s="458"/>
      <c r="AU374" s="458"/>
      <c r="AV374" s="458"/>
      <c r="BA374" s="1305"/>
      <c r="BB374" s="174"/>
    </row>
    <row r="375" spans="1:54" ht="12.5">
      <c r="A375" s="174"/>
      <c r="B375" s="175"/>
      <c r="F375" s="177"/>
      <c r="H375" s="178"/>
      <c r="I375" s="178"/>
      <c r="J375" s="184"/>
      <c r="N375" s="178"/>
      <c r="O375" s="178"/>
      <c r="P375" s="178"/>
      <c r="S375" s="458"/>
      <c r="AN375" s="458"/>
      <c r="AO375" s="458"/>
      <c r="AP375" s="458"/>
      <c r="AQ375" s="458"/>
      <c r="AR375" s="458"/>
      <c r="AS375" s="458"/>
      <c r="AT375" s="458"/>
      <c r="AU375" s="458"/>
      <c r="AV375" s="458"/>
      <c r="BA375" s="1305"/>
      <c r="BB375" s="174"/>
    </row>
    <row r="376" spans="1:54" ht="12.5">
      <c r="A376" s="174"/>
      <c r="B376" s="175"/>
      <c r="F376" s="177"/>
      <c r="H376" s="178"/>
      <c r="I376" s="178"/>
      <c r="J376" s="184"/>
      <c r="N376" s="178"/>
      <c r="O376" s="178"/>
      <c r="P376" s="178"/>
      <c r="S376" s="458"/>
      <c r="AN376" s="458"/>
      <c r="AO376" s="458"/>
      <c r="AP376" s="458"/>
      <c r="AQ376" s="458"/>
      <c r="AR376" s="458"/>
      <c r="AS376" s="458"/>
      <c r="AT376" s="458"/>
      <c r="AU376" s="458"/>
      <c r="AV376" s="458"/>
      <c r="BA376" s="1305"/>
      <c r="BB376" s="174"/>
    </row>
    <row r="377" spans="1:54" ht="12.5">
      <c r="A377" s="174"/>
      <c r="B377" s="175"/>
      <c r="F377" s="177"/>
      <c r="H377" s="178"/>
      <c r="I377" s="178"/>
      <c r="J377" s="184"/>
      <c r="N377" s="178"/>
      <c r="O377" s="178"/>
      <c r="P377" s="178"/>
      <c r="S377" s="458"/>
      <c r="AN377" s="458"/>
      <c r="AO377" s="458"/>
      <c r="AP377" s="458"/>
      <c r="AQ377" s="458"/>
      <c r="AR377" s="458"/>
      <c r="AS377" s="458"/>
      <c r="AT377" s="458"/>
      <c r="AU377" s="458"/>
      <c r="AV377" s="458"/>
      <c r="BA377" s="1305"/>
      <c r="BB377" s="174"/>
    </row>
    <row r="378" spans="1:54" ht="12.5">
      <c r="A378" s="174"/>
      <c r="B378" s="175"/>
      <c r="F378" s="177"/>
      <c r="H378" s="178"/>
      <c r="I378" s="178"/>
      <c r="J378" s="184"/>
      <c r="N378" s="178"/>
      <c r="O378" s="178"/>
      <c r="P378" s="178"/>
      <c r="S378" s="458"/>
      <c r="AN378" s="458"/>
      <c r="AO378" s="458"/>
      <c r="AP378" s="458"/>
      <c r="AQ378" s="458"/>
      <c r="AR378" s="458"/>
      <c r="AS378" s="458"/>
      <c r="AT378" s="458"/>
      <c r="AU378" s="458"/>
      <c r="AV378" s="458"/>
      <c r="BA378" s="1305"/>
      <c r="BB378" s="174"/>
    </row>
    <row r="379" spans="1:54" ht="12.5">
      <c r="A379" s="174"/>
      <c r="B379" s="175"/>
      <c r="F379" s="177"/>
      <c r="H379" s="178"/>
      <c r="I379" s="178"/>
      <c r="J379" s="184"/>
      <c r="N379" s="178"/>
      <c r="S379" s="458"/>
      <c r="AN379" s="458"/>
      <c r="AO379" s="458"/>
      <c r="AP379" s="458"/>
      <c r="AQ379" s="458"/>
      <c r="AR379" s="458"/>
      <c r="AS379" s="458"/>
      <c r="AT379" s="458"/>
      <c r="AU379" s="458"/>
      <c r="AV379" s="458"/>
      <c r="BA379" s="1305"/>
      <c r="BB379" s="174"/>
    </row>
    <row r="380" spans="1:54" ht="12.5">
      <c r="A380" s="174"/>
      <c r="B380" s="175"/>
      <c r="F380" s="177"/>
      <c r="H380" s="178"/>
      <c r="I380" s="178"/>
      <c r="J380" s="184"/>
      <c r="N380" s="178"/>
      <c r="O380" s="178"/>
      <c r="P380" s="178"/>
      <c r="S380" s="458"/>
      <c r="AN380" s="458"/>
      <c r="AO380" s="458"/>
      <c r="AP380" s="458"/>
      <c r="AQ380" s="458"/>
      <c r="AR380" s="458"/>
      <c r="AS380" s="458"/>
      <c r="AT380" s="458"/>
      <c r="AU380" s="458"/>
      <c r="AV380" s="458"/>
      <c r="BA380" s="1305"/>
      <c r="BB380" s="174"/>
    </row>
    <row r="381" spans="1:54" ht="12.5">
      <c r="A381" s="174"/>
      <c r="B381" s="175"/>
      <c r="F381" s="177"/>
      <c r="H381" s="178"/>
      <c r="I381" s="178"/>
      <c r="J381" s="184"/>
      <c r="N381" s="178"/>
      <c r="O381" s="178"/>
      <c r="P381" s="178"/>
      <c r="S381" s="458"/>
      <c r="AN381" s="458"/>
      <c r="AO381" s="458"/>
      <c r="AP381" s="458"/>
      <c r="AQ381" s="458"/>
      <c r="AR381" s="458"/>
      <c r="AS381" s="458"/>
      <c r="AT381" s="458"/>
      <c r="AU381" s="458"/>
      <c r="AV381" s="458"/>
      <c r="BA381" s="1305"/>
      <c r="BB381" s="174"/>
    </row>
    <row r="382" spans="1:54" ht="12.5">
      <c r="A382" s="174"/>
      <c r="B382" s="175"/>
      <c r="F382" s="177"/>
      <c r="H382" s="178"/>
      <c r="I382" s="178"/>
      <c r="J382" s="184"/>
      <c r="N382" s="178"/>
      <c r="O382" s="178"/>
      <c r="P382" s="178"/>
      <c r="S382" s="458"/>
      <c r="AN382" s="458"/>
      <c r="AO382" s="458"/>
      <c r="AP382" s="458"/>
      <c r="AQ382" s="458"/>
      <c r="AR382" s="458"/>
      <c r="AS382" s="458"/>
      <c r="AT382" s="458"/>
      <c r="AU382" s="458"/>
      <c r="AV382" s="458"/>
      <c r="BA382" s="1305"/>
      <c r="BB382" s="174"/>
    </row>
    <row r="383" spans="1:54" ht="12.5">
      <c r="A383" s="174"/>
      <c r="B383" s="175"/>
      <c r="F383" s="177"/>
      <c r="H383" s="178"/>
      <c r="I383" s="178"/>
      <c r="J383" s="184"/>
      <c r="N383" s="178"/>
      <c r="O383" s="178"/>
      <c r="P383" s="178"/>
      <c r="S383" s="458"/>
      <c r="AN383" s="458"/>
      <c r="AO383" s="458"/>
      <c r="AP383" s="458"/>
      <c r="AQ383" s="458"/>
      <c r="AR383" s="458"/>
      <c r="AS383" s="458"/>
      <c r="AT383" s="458"/>
      <c r="AU383" s="458"/>
      <c r="AV383" s="458"/>
      <c r="BA383" s="1305"/>
      <c r="BB383" s="174"/>
    </row>
    <row r="384" spans="1:54" ht="12.5">
      <c r="A384" s="174"/>
      <c r="B384" s="175"/>
      <c r="F384" s="177"/>
      <c r="H384" s="178"/>
      <c r="I384" s="178"/>
      <c r="J384" s="184"/>
      <c r="N384" s="178"/>
      <c r="O384" s="178"/>
      <c r="P384" s="178"/>
      <c r="S384" s="458"/>
      <c r="AN384" s="458"/>
      <c r="AO384" s="458"/>
      <c r="AP384" s="458"/>
      <c r="AQ384" s="458"/>
      <c r="AR384" s="458"/>
      <c r="AS384" s="458"/>
      <c r="AT384" s="458"/>
      <c r="AU384" s="458"/>
      <c r="AV384" s="458"/>
      <c r="BA384" s="1305"/>
      <c r="BB384" s="174"/>
    </row>
    <row r="385" spans="1:54" ht="12.5">
      <c r="A385" s="174"/>
      <c r="B385" s="175"/>
      <c r="F385" s="177"/>
      <c r="H385" s="178"/>
      <c r="I385" s="178"/>
      <c r="J385" s="184"/>
      <c r="N385" s="178"/>
      <c r="O385" s="178"/>
      <c r="P385" s="178"/>
      <c r="S385" s="458"/>
      <c r="AN385" s="458"/>
      <c r="AO385" s="458"/>
      <c r="AP385" s="458"/>
      <c r="AQ385" s="458"/>
      <c r="AR385" s="458"/>
      <c r="AS385" s="458"/>
      <c r="AT385" s="458"/>
      <c r="AU385" s="458"/>
      <c r="AV385" s="458"/>
      <c r="BA385" s="1305"/>
      <c r="BB385" s="174"/>
    </row>
    <row r="386" spans="1:54" ht="12.5">
      <c r="A386" s="174"/>
      <c r="B386" s="175"/>
      <c r="F386" s="177"/>
      <c r="H386" s="178"/>
      <c r="I386" s="178"/>
      <c r="J386" s="184"/>
      <c r="N386" s="178"/>
      <c r="O386" s="178"/>
      <c r="P386" s="178"/>
      <c r="S386" s="458"/>
      <c r="AN386" s="458"/>
      <c r="AO386" s="458"/>
      <c r="AP386" s="458"/>
      <c r="AQ386" s="458"/>
      <c r="AR386" s="458"/>
      <c r="AS386" s="458"/>
      <c r="AT386" s="458"/>
      <c r="AU386" s="458"/>
      <c r="AV386" s="458"/>
      <c r="BA386" s="1305"/>
      <c r="BB386" s="174"/>
    </row>
    <row r="387" spans="1:54" ht="12.5">
      <c r="A387" s="174"/>
      <c r="B387" s="175"/>
      <c r="F387" s="177"/>
      <c r="H387" s="178"/>
      <c r="I387" s="178"/>
      <c r="J387" s="184"/>
      <c r="N387" s="178"/>
      <c r="O387" s="178"/>
      <c r="P387" s="178"/>
      <c r="S387" s="458"/>
      <c r="AN387" s="458"/>
      <c r="AO387" s="458"/>
      <c r="AP387" s="458"/>
      <c r="AQ387" s="458"/>
      <c r="AR387" s="458"/>
      <c r="AS387" s="458"/>
      <c r="AT387" s="458"/>
      <c r="AU387" s="458"/>
      <c r="AV387" s="458"/>
      <c r="BA387" s="1305"/>
      <c r="BB387" s="174"/>
    </row>
    <row r="388" spans="1:54" ht="12.5">
      <c r="A388" s="174"/>
      <c r="B388" s="175"/>
      <c r="F388" s="177"/>
      <c r="H388" s="178"/>
      <c r="I388" s="179"/>
      <c r="J388" s="184"/>
      <c r="N388" s="178"/>
      <c r="O388" s="178"/>
      <c r="P388" s="178"/>
      <c r="S388" s="458"/>
      <c r="AN388" s="458"/>
      <c r="AO388" s="458"/>
      <c r="AP388" s="458"/>
      <c r="AQ388" s="458"/>
      <c r="AR388" s="458"/>
      <c r="AS388" s="458"/>
      <c r="AT388" s="458"/>
      <c r="AU388" s="458"/>
      <c r="AV388" s="458"/>
      <c r="BA388" s="1305"/>
      <c r="BB388" s="174"/>
    </row>
    <row r="389" spans="1:54" ht="12.5">
      <c r="A389" s="174"/>
      <c r="B389" s="175"/>
      <c r="F389" s="177"/>
      <c r="H389" s="178"/>
      <c r="I389" s="178"/>
      <c r="J389" s="184"/>
      <c r="N389" s="178"/>
      <c r="O389" s="178"/>
      <c r="P389" s="178"/>
      <c r="S389" s="458"/>
      <c r="AN389" s="458"/>
      <c r="AO389" s="458"/>
      <c r="AP389" s="458"/>
      <c r="AQ389" s="458"/>
      <c r="AR389" s="458"/>
      <c r="AS389" s="458"/>
      <c r="AT389" s="458"/>
      <c r="AU389" s="458"/>
      <c r="AV389" s="458"/>
      <c r="BA389" s="1305"/>
      <c r="BB389" s="174"/>
    </row>
    <row r="390" spans="1:54" ht="12.5">
      <c r="A390" s="174"/>
      <c r="B390" s="175"/>
      <c r="F390" s="177"/>
      <c r="H390" s="178"/>
      <c r="I390" s="178"/>
      <c r="J390" s="184"/>
      <c r="N390" s="178"/>
      <c r="O390" s="178"/>
      <c r="P390" s="178"/>
      <c r="S390" s="458"/>
      <c r="AN390" s="458"/>
      <c r="AO390" s="458"/>
      <c r="AP390" s="458"/>
      <c r="AQ390" s="458"/>
      <c r="AR390" s="458"/>
      <c r="AS390" s="458"/>
      <c r="AT390" s="458"/>
      <c r="AU390" s="458"/>
      <c r="AV390" s="458"/>
      <c r="BA390" s="1305"/>
      <c r="BB390" s="174"/>
    </row>
    <row r="391" spans="1:54" ht="12.5">
      <c r="A391" s="174"/>
      <c r="B391" s="175"/>
      <c r="F391" s="177"/>
      <c r="H391" s="178"/>
      <c r="I391" s="179"/>
      <c r="J391" s="184"/>
      <c r="N391" s="178"/>
      <c r="O391" s="178"/>
      <c r="P391" s="178"/>
      <c r="S391" s="458"/>
      <c r="AN391" s="458"/>
      <c r="AO391" s="458"/>
      <c r="AP391" s="458"/>
      <c r="AQ391" s="458"/>
      <c r="AR391" s="458"/>
      <c r="AS391" s="458"/>
      <c r="AT391" s="458"/>
      <c r="AU391" s="458"/>
      <c r="AV391" s="458"/>
      <c r="BA391" s="1305"/>
      <c r="BB391" s="174"/>
    </row>
    <row r="392" spans="1:54" ht="12.5">
      <c r="A392" s="174"/>
      <c r="B392" s="175"/>
      <c r="F392" s="177"/>
      <c r="H392" s="178"/>
      <c r="I392" s="178"/>
      <c r="J392" s="184"/>
      <c r="N392" s="178"/>
      <c r="O392" s="178"/>
      <c r="P392" s="178"/>
      <c r="S392" s="458"/>
      <c r="AN392" s="458"/>
      <c r="AO392" s="458"/>
      <c r="AP392" s="458"/>
      <c r="AQ392" s="458"/>
      <c r="AR392" s="458"/>
      <c r="AS392" s="458"/>
      <c r="AT392" s="458"/>
      <c r="AU392" s="458"/>
      <c r="AV392" s="458"/>
      <c r="BA392" s="1305"/>
      <c r="BB392" s="174"/>
    </row>
    <row r="393" spans="1:54" ht="12.5">
      <c r="A393" s="174"/>
      <c r="B393" s="175"/>
      <c r="F393" s="177"/>
      <c r="H393" s="178"/>
      <c r="I393" s="179"/>
      <c r="J393" s="184"/>
      <c r="N393" s="178"/>
      <c r="O393" s="178"/>
      <c r="P393" s="178"/>
      <c r="S393" s="458"/>
      <c r="AN393" s="458"/>
      <c r="AO393" s="458"/>
      <c r="AP393" s="458"/>
      <c r="AQ393" s="458"/>
      <c r="AR393" s="458"/>
      <c r="AS393" s="458"/>
      <c r="AT393" s="458"/>
      <c r="AU393" s="458"/>
      <c r="AV393" s="458"/>
      <c r="BA393" s="1305"/>
      <c r="BB393" s="174"/>
    </row>
    <row r="394" spans="1:54" ht="12.5">
      <c r="A394" s="174"/>
      <c r="B394" s="175"/>
      <c r="F394" s="177"/>
      <c r="H394" s="178"/>
      <c r="I394" s="178"/>
      <c r="J394" s="184"/>
      <c r="N394" s="178"/>
      <c r="O394" s="178"/>
      <c r="P394" s="178"/>
      <c r="S394" s="458"/>
      <c r="AN394" s="458"/>
      <c r="AO394" s="458"/>
      <c r="AP394" s="458"/>
      <c r="AQ394" s="458"/>
      <c r="AR394" s="458"/>
      <c r="AS394" s="458"/>
      <c r="AT394" s="458"/>
      <c r="AU394" s="458"/>
      <c r="AV394" s="458"/>
      <c r="BA394" s="1305"/>
      <c r="BB394" s="174"/>
    </row>
    <row r="395" spans="1:54" ht="12.5">
      <c r="A395" s="174"/>
      <c r="B395" s="175"/>
      <c r="F395" s="177"/>
      <c r="H395" s="178"/>
      <c r="I395" s="178"/>
      <c r="J395" s="184"/>
      <c r="N395" s="178"/>
      <c r="O395" s="178"/>
      <c r="P395" s="178"/>
      <c r="S395" s="458"/>
      <c r="AN395" s="458"/>
      <c r="AO395" s="458"/>
      <c r="AP395" s="458"/>
      <c r="AQ395" s="458"/>
      <c r="AR395" s="458"/>
      <c r="AS395" s="458"/>
      <c r="AT395" s="458"/>
      <c r="AU395" s="458"/>
      <c r="AV395" s="458"/>
      <c r="BA395" s="1305"/>
      <c r="BB395" s="174"/>
    </row>
    <row r="396" spans="1:54" ht="12.5">
      <c r="A396" s="174"/>
      <c r="B396" s="175"/>
      <c r="F396" s="177"/>
      <c r="H396" s="178"/>
      <c r="I396" s="178"/>
      <c r="J396" s="184"/>
      <c r="N396" s="178"/>
      <c r="O396" s="178"/>
      <c r="P396" s="178"/>
      <c r="S396" s="458"/>
      <c r="AN396" s="458"/>
      <c r="AO396" s="458"/>
      <c r="AP396" s="458"/>
      <c r="AQ396" s="458"/>
      <c r="AR396" s="458"/>
      <c r="AS396" s="458"/>
      <c r="AT396" s="458"/>
      <c r="AU396" s="458"/>
      <c r="AV396" s="458"/>
      <c r="BA396" s="1305"/>
      <c r="BB396" s="174"/>
    </row>
    <row r="397" spans="1:54" ht="12.5">
      <c r="A397" s="174"/>
      <c r="B397" s="175"/>
      <c r="F397" s="177"/>
      <c r="H397" s="178"/>
      <c r="I397" s="178"/>
      <c r="J397" s="184"/>
      <c r="N397" s="178"/>
      <c r="O397" s="178"/>
      <c r="P397" s="178"/>
      <c r="S397" s="458"/>
      <c r="AN397" s="458"/>
      <c r="AO397" s="458"/>
      <c r="AP397" s="458"/>
      <c r="AQ397" s="458"/>
      <c r="AR397" s="458"/>
      <c r="AS397" s="458"/>
      <c r="AT397" s="458"/>
      <c r="AU397" s="458"/>
      <c r="AV397" s="458"/>
      <c r="BA397" s="1305"/>
      <c r="BB397" s="174"/>
    </row>
    <row r="398" spans="1:54" ht="12.5">
      <c r="A398" s="174"/>
      <c r="B398" s="175"/>
      <c r="F398" s="177"/>
      <c r="H398" s="178"/>
      <c r="I398" s="178"/>
      <c r="J398" s="184"/>
      <c r="N398" s="178"/>
      <c r="O398" s="178"/>
      <c r="P398" s="178"/>
      <c r="S398" s="458"/>
      <c r="AN398" s="458"/>
      <c r="AO398" s="458"/>
      <c r="AP398" s="458"/>
      <c r="AQ398" s="458"/>
      <c r="AR398" s="458"/>
      <c r="AS398" s="458"/>
      <c r="AT398" s="458"/>
      <c r="AU398" s="458"/>
      <c r="AV398" s="458"/>
      <c r="BA398" s="1305"/>
      <c r="BB398" s="174"/>
    </row>
    <row r="399" spans="1:54" ht="12.5">
      <c r="A399" s="174"/>
      <c r="B399" s="175"/>
      <c r="F399" s="177"/>
      <c r="H399" s="178"/>
      <c r="I399" s="179"/>
      <c r="J399" s="184"/>
      <c r="N399" s="178"/>
      <c r="O399" s="178"/>
      <c r="P399" s="178"/>
      <c r="S399" s="458"/>
      <c r="AN399" s="458"/>
      <c r="AO399" s="458"/>
      <c r="AP399" s="458"/>
      <c r="AQ399" s="458"/>
      <c r="AR399" s="458"/>
      <c r="AS399" s="458"/>
      <c r="AT399" s="458"/>
      <c r="AU399" s="458"/>
      <c r="AV399" s="458"/>
      <c r="BA399" s="1305"/>
      <c r="BB399" s="174"/>
    </row>
    <row r="400" spans="1:54" ht="12.5">
      <c r="A400" s="174"/>
      <c r="B400" s="175"/>
      <c r="F400" s="177"/>
      <c r="H400" s="178"/>
      <c r="I400" s="178"/>
      <c r="J400" s="184"/>
      <c r="N400" s="178"/>
      <c r="O400" s="178"/>
      <c r="P400" s="178"/>
      <c r="S400" s="458"/>
      <c r="AN400" s="458"/>
      <c r="AO400" s="458"/>
      <c r="AP400" s="458"/>
      <c r="AQ400" s="458"/>
      <c r="AR400" s="458"/>
      <c r="AS400" s="458"/>
      <c r="AT400" s="458"/>
      <c r="AU400" s="458"/>
      <c r="AV400" s="458"/>
      <c r="BA400" s="1305"/>
      <c r="BB400" s="174"/>
    </row>
    <row r="401" spans="1:54" ht="12.5">
      <c r="A401" s="174"/>
      <c r="B401" s="175"/>
      <c r="F401" s="177"/>
      <c r="H401" s="178"/>
      <c r="I401" s="178"/>
      <c r="J401" s="184"/>
      <c r="N401" s="178"/>
      <c r="O401" s="178"/>
      <c r="P401" s="178"/>
      <c r="S401" s="458"/>
      <c r="AN401" s="458"/>
      <c r="AO401" s="458"/>
      <c r="AP401" s="458"/>
      <c r="AQ401" s="458"/>
      <c r="AR401" s="458"/>
      <c r="AS401" s="458"/>
      <c r="AT401" s="458"/>
      <c r="AU401" s="458"/>
      <c r="AV401" s="458"/>
      <c r="BA401" s="1305"/>
      <c r="BB401" s="174"/>
    </row>
    <row r="402" spans="1:54" ht="12.5">
      <c r="A402" s="174"/>
      <c r="B402" s="175"/>
      <c r="F402" s="177"/>
      <c r="H402" s="178"/>
      <c r="I402" s="178"/>
      <c r="J402" s="184"/>
      <c r="N402" s="178"/>
      <c r="O402" s="178"/>
      <c r="P402" s="178"/>
      <c r="S402" s="458"/>
      <c r="AN402" s="458"/>
      <c r="AO402" s="458"/>
      <c r="AP402" s="458"/>
      <c r="AQ402" s="458"/>
      <c r="AR402" s="458"/>
      <c r="AS402" s="458"/>
      <c r="AT402" s="458"/>
      <c r="AU402" s="458"/>
      <c r="AV402" s="458"/>
      <c r="AW402" s="177"/>
      <c r="AX402" s="177"/>
      <c r="BA402" s="1307"/>
      <c r="BB402" s="174"/>
    </row>
    <row r="403" spans="1:54" ht="12.5">
      <c r="A403" s="174"/>
      <c r="B403" s="175"/>
      <c r="F403" s="177"/>
      <c r="H403" s="178"/>
      <c r="I403" s="178"/>
      <c r="J403" s="184"/>
      <c r="N403" s="178"/>
      <c r="O403" s="178"/>
      <c r="P403" s="178"/>
      <c r="S403" s="458"/>
      <c r="AN403" s="458"/>
      <c r="AO403" s="458"/>
      <c r="AP403" s="458"/>
      <c r="AQ403" s="458"/>
      <c r="AR403" s="458"/>
      <c r="AS403" s="458"/>
      <c r="AT403" s="458"/>
      <c r="AU403" s="458"/>
      <c r="AV403" s="458"/>
      <c r="AW403" s="177"/>
      <c r="AX403" s="177"/>
      <c r="BA403" s="1307"/>
      <c r="BB403" s="174"/>
    </row>
    <row r="404" spans="1:54" ht="12.5">
      <c r="A404" s="174"/>
      <c r="B404" s="175"/>
      <c r="F404" s="177"/>
      <c r="H404" s="178"/>
      <c r="I404" s="178"/>
      <c r="J404" s="184"/>
      <c r="N404" s="178"/>
      <c r="O404" s="178"/>
      <c r="P404" s="178"/>
      <c r="S404" s="458"/>
      <c r="AN404" s="458"/>
      <c r="AO404" s="458"/>
      <c r="AP404" s="458"/>
      <c r="AQ404" s="458"/>
      <c r="AR404" s="458"/>
      <c r="AS404" s="458"/>
      <c r="AT404" s="458"/>
      <c r="AU404" s="458"/>
      <c r="AV404" s="458"/>
      <c r="AW404" s="177"/>
      <c r="AX404" s="177"/>
      <c r="BA404" s="1307"/>
      <c r="BB404" s="174"/>
    </row>
    <row r="405" spans="1:54" ht="12.5">
      <c r="A405" s="174"/>
      <c r="B405" s="175"/>
      <c r="F405" s="177"/>
      <c r="H405" s="178"/>
      <c r="I405" s="178"/>
      <c r="J405" s="184"/>
      <c r="N405" s="178"/>
      <c r="O405" s="178"/>
      <c r="P405" s="178"/>
      <c r="S405" s="458"/>
      <c r="AN405" s="458"/>
      <c r="AO405" s="458"/>
      <c r="AP405" s="458"/>
      <c r="AQ405" s="458"/>
      <c r="AR405" s="458"/>
      <c r="AS405" s="458"/>
      <c r="AT405" s="458"/>
      <c r="AU405" s="458"/>
      <c r="AV405" s="458"/>
      <c r="AW405" s="177"/>
      <c r="AX405" s="177"/>
      <c r="BA405" s="1307"/>
      <c r="BB405" s="174"/>
    </row>
    <row r="406" spans="1:54" ht="12.5">
      <c r="A406" s="174"/>
      <c r="B406" s="175"/>
      <c r="F406" s="177"/>
      <c r="H406" s="178"/>
      <c r="I406" s="178"/>
      <c r="J406" s="184"/>
      <c r="N406" s="178"/>
      <c r="O406" s="178"/>
      <c r="P406" s="178"/>
      <c r="S406" s="458"/>
      <c r="AN406" s="458"/>
      <c r="AO406" s="458"/>
      <c r="AP406" s="458"/>
      <c r="AQ406" s="458"/>
      <c r="AR406" s="458"/>
      <c r="AS406" s="458"/>
      <c r="AT406" s="458"/>
      <c r="AU406" s="458"/>
      <c r="AV406" s="458"/>
      <c r="AW406" s="177"/>
      <c r="AX406" s="177"/>
      <c r="BA406" s="1307"/>
      <c r="BB406" s="174"/>
    </row>
    <row r="407" spans="1:54" ht="12.5">
      <c r="A407" s="174"/>
      <c r="B407" s="175"/>
      <c r="F407" s="177"/>
      <c r="H407" s="178"/>
      <c r="I407" s="178"/>
      <c r="J407" s="184"/>
      <c r="N407" s="178"/>
      <c r="O407" s="178"/>
      <c r="P407" s="178"/>
      <c r="S407" s="458"/>
      <c r="AN407" s="458"/>
      <c r="AO407" s="458"/>
      <c r="AP407" s="458"/>
      <c r="AQ407" s="458"/>
      <c r="AR407" s="458"/>
      <c r="AS407" s="458"/>
      <c r="AT407" s="458"/>
      <c r="AU407" s="458"/>
      <c r="AV407" s="458"/>
      <c r="AW407" s="177"/>
      <c r="AX407" s="177"/>
      <c r="BA407" s="1307"/>
      <c r="BB407" s="174"/>
    </row>
    <row r="408" spans="1:54" ht="12.5">
      <c r="A408" s="174"/>
      <c r="B408" s="175"/>
      <c r="F408" s="177"/>
      <c r="H408" s="178"/>
      <c r="I408" s="178"/>
      <c r="J408" s="184"/>
      <c r="N408" s="178"/>
      <c r="O408" s="178"/>
      <c r="P408" s="178"/>
      <c r="S408" s="458"/>
      <c r="AN408" s="458"/>
      <c r="AO408" s="458"/>
      <c r="AP408" s="458"/>
      <c r="AQ408" s="458"/>
      <c r="AR408" s="458"/>
      <c r="AS408" s="458"/>
      <c r="AT408" s="458"/>
      <c r="AU408" s="458"/>
      <c r="AV408" s="458"/>
      <c r="AW408" s="177"/>
      <c r="AX408" s="177"/>
      <c r="BA408" s="1307"/>
      <c r="BB408" s="174"/>
    </row>
    <row r="409" spans="1:54" ht="12.5">
      <c r="A409" s="174"/>
      <c r="B409" s="175"/>
      <c r="F409" s="177"/>
      <c r="H409" s="178"/>
      <c r="I409" s="178"/>
      <c r="J409" s="184"/>
      <c r="N409" s="178"/>
      <c r="P409" s="178"/>
      <c r="S409" s="458"/>
      <c r="AN409" s="458"/>
      <c r="AO409" s="458"/>
      <c r="AP409" s="458"/>
      <c r="AQ409" s="458"/>
      <c r="AR409" s="458"/>
      <c r="AS409" s="458"/>
      <c r="AT409" s="458"/>
      <c r="AU409" s="458"/>
      <c r="AV409" s="458"/>
      <c r="AW409" s="177"/>
      <c r="AX409" s="177"/>
      <c r="BA409" s="1307"/>
      <c r="BB409" s="174"/>
    </row>
    <row r="410" spans="1:54" ht="12.5">
      <c r="A410" s="174"/>
      <c r="B410" s="175"/>
      <c r="F410" s="177"/>
      <c r="H410" s="178"/>
      <c r="I410" s="178"/>
      <c r="J410" s="184"/>
      <c r="N410" s="178"/>
      <c r="P410" s="178"/>
      <c r="S410" s="458"/>
      <c r="AN410" s="458"/>
      <c r="AO410" s="458"/>
      <c r="AP410" s="458"/>
      <c r="AQ410" s="458"/>
      <c r="AR410" s="458"/>
      <c r="AS410" s="458"/>
      <c r="AT410" s="458"/>
      <c r="AU410" s="458"/>
      <c r="AV410" s="458"/>
      <c r="AW410" s="177"/>
      <c r="AX410" s="177"/>
      <c r="BA410" s="1307"/>
      <c r="BB410" s="174"/>
    </row>
    <row r="411" spans="1:54" ht="12.5">
      <c r="A411" s="174"/>
      <c r="B411" s="175"/>
      <c r="F411" s="177"/>
      <c r="H411" s="178"/>
      <c r="I411" s="178"/>
      <c r="J411" s="184"/>
      <c r="N411" s="178"/>
      <c r="O411" s="178"/>
      <c r="P411" s="178"/>
      <c r="S411" s="458"/>
      <c r="AN411" s="458"/>
      <c r="AO411" s="458"/>
      <c r="AP411" s="458"/>
      <c r="AQ411" s="458"/>
      <c r="AR411" s="458"/>
      <c r="AS411" s="458"/>
      <c r="AT411" s="458"/>
      <c r="AU411" s="458"/>
      <c r="AV411" s="458"/>
      <c r="AW411" s="177"/>
      <c r="AX411" s="177"/>
      <c r="BA411" s="1307"/>
      <c r="BB411" s="174"/>
    </row>
    <row r="412" spans="1:54" ht="12.5">
      <c r="A412" s="174"/>
      <c r="B412" s="175"/>
      <c r="F412" s="177"/>
      <c r="H412" s="178"/>
      <c r="I412" s="178"/>
      <c r="J412" s="184"/>
      <c r="N412" s="178"/>
      <c r="O412" s="178"/>
      <c r="P412" s="178"/>
      <c r="S412" s="458"/>
      <c r="AN412" s="458"/>
      <c r="AO412" s="458"/>
      <c r="AP412" s="458"/>
      <c r="AQ412" s="458"/>
      <c r="AR412" s="458"/>
      <c r="AS412" s="458"/>
      <c r="AT412" s="458"/>
      <c r="AU412" s="458"/>
      <c r="AV412" s="458"/>
      <c r="AW412" s="177"/>
      <c r="AX412" s="177"/>
      <c r="BA412" s="1307"/>
      <c r="BB412" s="174"/>
    </row>
    <row r="413" spans="1:54" ht="12.5">
      <c r="A413" s="174"/>
      <c r="B413" s="175"/>
      <c r="F413" s="177"/>
      <c r="H413" s="178"/>
      <c r="I413" s="178"/>
      <c r="J413" s="184"/>
      <c r="N413" s="178"/>
      <c r="O413" s="178"/>
      <c r="P413" s="178"/>
      <c r="S413" s="458"/>
      <c r="AN413" s="458"/>
      <c r="AO413" s="458"/>
      <c r="AP413" s="458"/>
      <c r="AQ413" s="458"/>
      <c r="AR413" s="458"/>
      <c r="AS413" s="458"/>
      <c r="AT413" s="458"/>
      <c r="AU413" s="458"/>
      <c r="AV413" s="458"/>
      <c r="AW413" s="177"/>
      <c r="AX413" s="177"/>
      <c r="BA413" s="1307"/>
      <c r="BB413" s="174"/>
    </row>
    <row r="414" spans="1:54" ht="12.5">
      <c r="A414" s="174"/>
      <c r="B414" s="175"/>
      <c r="F414" s="177"/>
      <c r="H414" s="178"/>
      <c r="I414" s="178"/>
      <c r="J414" s="184"/>
      <c r="N414" s="178"/>
      <c r="O414" s="178"/>
      <c r="P414" s="178"/>
      <c r="S414" s="458"/>
      <c r="AN414" s="458"/>
      <c r="AO414" s="458"/>
      <c r="AP414" s="458"/>
      <c r="AQ414" s="458"/>
      <c r="AR414" s="458"/>
      <c r="AS414" s="458"/>
      <c r="AT414" s="458"/>
      <c r="AU414" s="458"/>
      <c r="AV414" s="458"/>
      <c r="AW414" s="177"/>
      <c r="AX414" s="177"/>
      <c r="BA414" s="1307"/>
      <c r="BB414" s="174"/>
    </row>
    <row r="415" spans="1:54" ht="12.5">
      <c r="A415" s="174"/>
      <c r="B415" s="175"/>
      <c r="F415" s="177"/>
      <c r="H415" s="178"/>
      <c r="I415" s="178"/>
      <c r="J415" s="184"/>
      <c r="N415" s="178"/>
      <c r="O415" s="178"/>
      <c r="P415" s="178"/>
      <c r="S415" s="458"/>
      <c r="AN415" s="458"/>
      <c r="AO415" s="458"/>
      <c r="AP415" s="458"/>
      <c r="AQ415" s="458"/>
      <c r="AR415" s="458"/>
      <c r="AS415" s="458"/>
      <c r="AT415" s="458"/>
      <c r="AU415" s="458"/>
      <c r="AV415" s="458"/>
      <c r="BA415" s="1305"/>
      <c r="BB415" s="174"/>
    </row>
    <row r="416" spans="1:54" ht="12.5">
      <c r="A416" s="174"/>
      <c r="B416" s="175"/>
      <c r="F416" s="177"/>
      <c r="H416" s="178"/>
      <c r="I416" s="178"/>
      <c r="J416" s="184"/>
      <c r="N416" s="178"/>
      <c r="O416" s="178"/>
      <c r="P416" s="178"/>
      <c r="S416" s="458"/>
      <c r="AN416" s="458"/>
      <c r="AO416" s="458"/>
      <c r="AP416" s="458"/>
      <c r="AQ416" s="458"/>
      <c r="AR416" s="458"/>
      <c r="AS416" s="458"/>
      <c r="AT416" s="458"/>
      <c r="AU416" s="458"/>
      <c r="AV416" s="458"/>
      <c r="BA416" s="1305"/>
      <c r="BB416" s="174"/>
    </row>
    <row r="417" spans="1:54" ht="12.5">
      <c r="A417" s="174"/>
      <c r="B417" s="175"/>
      <c r="F417" s="177"/>
      <c r="H417" s="178"/>
      <c r="I417" s="178"/>
      <c r="J417" s="184"/>
      <c r="N417" s="178"/>
      <c r="O417" s="178"/>
      <c r="P417" s="178"/>
      <c r="S417" s="458"/>
      <c r="AN417" s="458"/>
      <c r="AO417" s="458"/>
      <c r="AP417" s="458"/>
      <c r="AQ417" s="458"/>
      <c r="AR417" s="458"/>
      <c r="AS417" s="458"/>
      <c r="AT417" s="458"/>
      <c r="AU417" s="458"/>
      <c r="AV417" s="458"/>
      <c r="BA417" s="1305"/>
      <c r="BB417" s="174"/>
    </row>
    <row r="418" spans="1:54" ht="12.5">
      <c r="A418" s="174"/>
      <c r="B418" s="175"/>
      <c r="F418" s="177"/>
      <c r="H418" s="178"/>
      <c r="I418" s="178"/>
      <c r="J418" s="184"/>
      <c r="N418" s="178"/>
      <c r="O418" s="178"/>
      <c r="P418" s="178"/>
      <c r="S418" s="458"/>
      <c r="AN418" s="458"/>
      <c r="AO418" s="458"/>
      <c r="AP418" s="458"/>
      <c r="AQ418" s="458"/>
      <c r="AR418" s="458"/>
      <c r="AS418" s="458"/>
      <c r="AT418" s="458"/>
      <c r="AU418" s="458"/>
      <c r="AV418" s="458"/>
      <c r="BA418" s="1305"/>
      <c r="BB418" s="174"/>
    </row>
    <row r="419" spans="1:54" ht="12.5">
      <c r="A419" s="174"/>
      <c r="B419" s="175"/>
      <c r="F419" s="177"/>
      <c r="H419" s="178"/>
      <c r="I419" s="178"/>
      <c r="J419" s="184"/>
      <c r="N419" s="178"/>
      <c r="O419" s="178"/>
      <c r="P419" s="178"/>
      <c r="S419" s="458"/>
      <c r="AN419" s="458"/>
      <c r="AO419" s="458"/>
      <c r="AP419" s="458"/>
      <c r="AQ419" s="458"/>
      <c r="AR419" s="458"/>
      <c r="AS419" s="458"/>
      <c r="AT419" s="458"/>
      <c r="AU419" s="458"/>
      <c r="AV419" s="458"/>
      <c r="BA419" s="1305"/>
      <c r="BB419" s="174"/>
    </row>
    <row r="420" spans="1:54" ht="12.5">
      <c r="A420" s="174"/>
      <c r="B420" s="175"/>
      <c r="F420" s="177"/>
      <c r="H420" s="178"/>
      <c r="I420" s="178"/>
      <c r="J420" s="184"/>
      <c r="N420" s="178"/>
      <c r="O420" s="178"/>
      <c r="P420" s="178"/>
      <c r="S420" s="458"/>
      <c r="AN420" s="458"/>
      <c r="AO420" s="458"/>
      <c r="AP420" s="458"/>
      <c r="AQ420" s="458"/>
      <c r="AR420" s="458"/>
      <c r="AS420" s="458"/>
      <c r="AT420" s="458"/>
      <c r="AU420" s="458"/>
      <c r="AV420" s="458"/>
      <c r="AW420" s="177"/>
      <c r="AX420" s="177"/>
      <c r="BA420" s="1307"/>
      <c r="BB420" s="174"/>
    </row>
    <row r="421" spans="1:54" ht="12.5">
      <c r="A421" s="174"/>
      <c r="B421" s="175"/>
      <c r="F421" s="177"/>
      <c r="H421" s="178"/>
      <c r="I421" s="179"/>
      <c r="J421" s="184"/>
      <c r="N421" s="178"/>
      <c r="O421" s="178"/>
      <c r="P421" s="178"/>
      <c r="S421" s="458"/>
      <c r="AN421" s="458"/>
      <c r="AO421" s="458"/>
      <c r="AP421" s="458"/>
      <c r="AQ421" s="458"/>
      <c r="AR421" s="458"/>
      <c r="AS421" s="458"/>
      <c r="AT421" s="458"/>
      <c r="AU421" s="458"/>
      <c r="AV421" s="458"/>
      <c r="AW421" s="177"/>
      <c r="AX421" s="177"/>
      <c r="BA421" s="1307"/>
      <c r="BB421" s="174"/>
    </row>
    <row r="422" spans="1:54" ht="12.5">
      <c r="A422" s="174"/>
      <c r="B422" s="175"/>
      <c r="F422" s="177"/>
      <c r="H422" s="178"/>
      <c r="I422" s="178"/>
      <c r="J422" s="184"/>
      <c r="N422" s="178"/>
      <c r="O422" s="178"/>
      <c r="P422" s="178"/>
      <c r="S422" s="458"/>
      <c r="AN422" s="458"/>
      <c r="AO422" s="458"/>
      <c r="AP422" s="458"/>
      <c r="AQ422" s="458"/>
      <c r="AR422" s="458"/>
      <c r="AS422" s="458"/>
      <c r="AT422" s="458"/>
      <c r="AU422" s="458"/>
      <c r="AV422" s="458"/>
      <c r="AW422" s="177"/>
      <c r="AX422" s="177"/>
      <c r="BA422" s="1307"/>
      <c r="BB422" s="174"/>
    </row>
    <row r="423" spans="1:54" ht="12.5">
      <c r="A423" s="174"/>
      <c r="B423" s="175"/>
      <c r="F423" s="177"/>
      <c r="H423" s="178"/>
      <c r="I423" s="179"/>
      <c r="J423" s="184"/>
      <c r="N423" s="178"/>
      <c r="O423" s="178"/>
      <c r="P423" s="178"/>
      <c r="S423" s="458"/>
      <c r="AN423" s="458"/>
      <c r="AO423" s="458"/>
      <c r="AP423" s="458"/>
      <c r="AQ423" s="458"/>
      <c r="AR423" s="458"/>
      <c r="AS423" s="458"/>
      <c r="AT423" s="458"/>
      <c r="AU423" s="458"/>
      <c r="AV423" s="458"/>
      <c r="AW423" s="177"/>
      <c r="AX423" s="177"/>
      <c r="BA423" s="1307"/>
      <c r="BB423" s="174"/>
    </row>
    <row r="424" spans="1:54" ht="12.5">
      <c r="A424" s="174"/>
      <c r="B424" s="175"/>
      <c r="F424" s="177"/>
      <c r="H424" s="178"/>
      <c r="I424" s="178"/>
      <c r="J424" s="184"/>
      <c r="N424" s="178"/>
      <c r="O424" s="178"/>
      <c r="P424" s="178"/>
      <c r="S424" s="458"/>
      <c r="AN424" s="458"/>
      <c r="AO424" s="458"/>
      <c r="AP424" s="458"/>
      <c r="AQ424" s="458"/>
      <c r="AR424" s="458"/>
      <c r="AS424" s="458"/>
      <c r="AT424" s="458"/>
      <c r="AU424" s="458"/>
      <c r="AV424" s="458"/>
      <c r="AW424" s="177"/>
      <c r="AX424" s="177"/>
      <c r="BA424" s="1307"/>
      <c r="BB424" s="174"/>
    </row>
    <row r="425" spans="1:54" ht="12.5">
      <c r="A425" s="174"/>
      <c r="B425" s="175"/>
      <c r="F425" s="177"/>
      <c r="H425" s="178"/>
      <c r="I425" s="179"/>
      <c r="J425" s="184"/>
      <c r="N425" s="178"/>
      <c r="O425" s="178"/>
      <c r="P425" s="178"/>
      <c r="S425" s="458"/>
      <c r="AN425" s="458"/>
      <c r="AO425" s="458"/>
      <c r="AP425" s="458"/>
      <c r="AQ425" s="458"/>
      <c r="AR425" s="458"/>
      <c r="AS425" s="458"/>
      <c r="AT425" s="458"/>
      <c r="AU425" s="458"/>
      <c r="AV425" s="458"/>
      <c r="BA425" s="1305"/>
      <c r="BB425" s="174"/>
    </row>
    <row r="426" spans="1:54" ht="12.5">
      <c r="A426" s="174"/>
      <c r="B426" s="175"/>
      <c r="F426" s="177"/>
      <c r="H426" s="178"/>
      <c r="I426" s="178"/>
      <c r="J426" s="184"/>
      <c r="N426" s="178"/>
      <c r="O426" s="178"/>
      <c r="P426" s="178"/>
      <c r="S426" s="458"/>
      <c r="AN426" s="458"/>
      <c r="AO426" s="458"/>
      <c r="AP426" s="458"/>
      <c r="AQ426" s="458"/>
      <c r="AR426" s="458"/>
      <c r="AS426" s="458"/>
      <c r="AT426" s="458"/>
      <c r="AU426" s="458"/>
      <c r="AV426" s="458"/>
      <c r="BA426" s="1305"/>
      <c r="BB426" s="174"/>
    </row>
    <row r="427" spans="1:54" ht="12.5">
      <c r="A427" s="174"/>
      <c r="B427" s="175"/>
      <c r="F427" s="177"/>
      <c r="H427" s="178"/>
      <c r="I427" s="178"/>
      <c r="J427" s="184"/>
      <c r="N427" s="178"/>
      <c r="O427" s="178"/>
      <c r="P427" s="178"/>
      <c r="S427" s="458"/>
      <c r="AN427" s="458"/>
      <c r="AO427" s="458"/>
      <c r="AP427" s="458"/>
      <c r="AQ427" s="458"/>
      <c r="AR427" s="458"/>
      <c r="AS427" s="458"/>
      <c r="AT427" s="458"/>
      <c r="AU427" s="458"/>
      <c r="AV427" s="458"/>
      <c r="BA427" s="1305"/>
      <c r="BB427" s="174"/>
    </row>
    <row r="428" spans="1:54" ht="12.5">
      <c r="A428" s="174"/>
      <c r="B428" s="175"/>
      <c r="F428" s="177"/>
      <c r="H428" s="178"/>
      <c r="I428" s="179"/>
      <c r="J428" s="184"/>
      <c r="N428" s="178"/>
      <c r="O428" s="178"/>
      <c r="P428" s="178"/>
      <c r="S428" s="458"/>
      <c r="AN428" s="458"/>
      <c r="AO428" s="458"/>
      <c r="AP428" s="458"/>
      <c r="AQ428" s="458"/>
      <c r="AR428" s="458"/>
      <c r="AS428" s="458"/>
      <c r="AT428" s="458"/>
      <c r="AU428" s="458"/>
      <c r="AV428" s="458"/>
      <c r="AW428" s="177"/>
      <c r="AX428" s="177"/>
      <c r="BA428" s="1307"/>
      <c r="BB428" s="174"/>
    </row>
    <row r="429" spans="1:54" ht="12.5">
      <c r="A429" s="174"/>
      <c r="B429" s="175"/>
      <c r="F429" s="177"/>
      <c r="H429" s="178"/>
      <c r="I429" s="178"/>
      <c r="J429" s="184"/>
      <c r="N429" s="178"/>
      <c r="O429" s="178"/>
      <c r="P429" s="178"/>
      <c r="S429" s="458"/>
      <c r="AN429" s="458"/>
      <c r="AO429" s="458"/>
      <c r="AP429" s="458"/>
      <c r="AQ429" s="458"/>
      <c r="AR429" s="458"/>
      <c r="AS429" s="458"/>
      <c r="AT429" s="458"/>
      <c r="AU429" s="458"/>
      <c r="AV429" s="458"/>
      <c r="AW429" s="177"/>
      <c r="AX429" s="177"/>
      <c r="BA429" s="1307"/>
      <c r="BB429" s="174"/>
    </row>
    <row r="430" spans="1:54" ht="12.5">
      <c r="A430" s="174"/>
      <c r="B430" s="175"/>
      <c r="F430" s="177"/>
      <c r="H430" s="178"/>
      <c r="I430" s="178"/>
      <c r="J430" s="184"/>
      <c r="N430" s="178"/>
      <c r="O430" s="178"/>
      <c r="P430" s="178"/>
      <c r="S430" s="458"/>
      <c r="AN430" s="458"/>
      <c r="AO430" s="458"/>
      <c r="AP430" s="458"/>
      <c r="AQ430" s="458"/>
      <c r="AR430" s="458"/>
      <c r="AS430" s="458"/>
      <c r="AT430" s="458"/>
      <c r="AU430" s="458"/>
      <c r="AV430" s="458"/>
      <c r="AW430" s="177"/>
      <c r="AX430" s="177"/>
      <c r="BA430" s="1307"/>
      <c r="BB430" s="174"/>
    </row>
    <row r="431" spans="1:54" ht="12.5">
      <c r="A431" s="174"/>
      <c r="B431" s="175"/>
      <c r="F431" s="177"/>
      <c r="H431" s="178"/>
      <c r="I431" s="179"/>
      <c r="J431" s="184"/>
      <c r="N431" s="178"/>
      <c r="O431" s="178"/>
      <c r="P431" s="178"/>
      <c r="S431" s="458"/>
      <c r="AN431" s="458"/>
      <c r="AO431" s="458"/>
      <c r="AP431" s="458"/>
      <c r="AQ431" s="458"/>
      <c r="AR431" s="458"/>
      <c r="AS431" s="458"/>
      <c r="AT431" s="458"/>
      <c r="AU431" s="458"/>
      <c r="AV431" s="458"/>
      <c r="AW431" s="177"/>
      <c r="AX431" s="177"/>
      <c r="BA431" s="1307"/>
      <c r="BB431" s="174"/>
    </row>
    <row r="432" spans="1:54" ht="12.5">
      <c r="A432" s="174"/>
      <c r="B432" s="175"/>
      <c r="F432" s="177"/>
      <c r="H432" s="178"/>
      <c r="I432" s="178"/>
      <c r="J432" s="184"/>
      <c r="N432" s="178"/>
      <c r="O432" s="178"/>
      <c r="P432" s="178"/>
      <c r="S432" s="458"/>
      <c r="AN432" s="458"/>
      <c r="AO432" s="458"/>
      <c r="AP432" s="458"/>
      <c r="AQ432" s="458"/>
      <c r="AR432" s="458"/>
      <c r="AS432" s="458"/>
      <c r="AT432" s="458"/>
      <c r="AU432" s="458"/>
      <c r="AV432" s="458"/>
      <c r="AW432" s="177"/>
      <c r="AX432" s="177"/>
      <c r="BA432" s="1307"/>
      <c r="BB432" s="174"/>
    </row>
    <row r="433" spans="1:54" ht="12.5">
      <c r="A433" s="174"/>
      <c r="B433" s="175"/>
      <c r="F433" s="177"/>
      <c r="H433" s="178"/>
      <c r="I433" s="179"/>
      <c r="J433" s="184"/>
      <c r="N433" s="178"/>
      <c r="O433" s="178"/>
      <c r="P433" s="178"/>
      <c r="S433" s="458"/>
      <c r="AN433" s="458"/>
      <c r="AO433" s="458"/>
      <c r="AP433" s="458"/>
      <c r="AQ433" s="458"/>
      <c r="AR433" s="458"/>
      <c r="AS433" s="458"/>
      <c r="AT433" s="458"/>
      <c r="AU433" s="458"/>
      <c r="AV433" s="458"/>
      <c r="AW433" s="177"/>
      <c r="AX433" s="177"/>
      <c r="BA433" s="1307"/>
      <c r="BB433" s="174"/>
    </row>
    <row r="434" spans="1:54" ht="12.5">
      <c r="A434" s="174"/>
      <c r="B434" s="175"/>
      <c r="F434" s="177"/>
      <c r="I434" s="177"/>
      <c r="J434" s="184"/>
      <c r="N434" s="178"/>
      <c r="O434" s="178"/>
      <c r="P434" s="178"/>
      <c r="S434" s="458"/>
      <c r="AN434" s="458"/>
      <c r="AO434" s="458"/>
      <c r="AP434" s="458"/>
      <c r="AQ434" s="458"/>
      <c r="AR434" s="458"/>
      <c r="AS434" s="458"/>
      <c r="AT434" s="458"/>
      <c r="AU434" s="458"/>
      <c r="AV434" s="458"/>
      <c r="AW434" s="177"/>
      <c r="AX434" s="177"/>
      <c r="BA434" s="1307"/>
      <c r="BB434" s="174"/>
    </row>
    <row r="435" spans="1:54" ht="12.5">
      <c r="A435" s="174"/>
      <c r="B435" s="175"/>
      <c r="F435" s="177"/>
      <c r="I435" s="177"/>
      <c r="J435" s="184"/>
      <c r="N435" s="178"/>
      <c r="O435" s="178"/>
      <c r="P435" s="178"/>
      <c r="S435" s="458"/>
      <c r="AN435" s="458"/>
      <c r="AO435" s="458"/>
      <c r="AP435" s="458"/>
      <c r="AQ435" s="458"/>
      <c r="AR435" s="458"/>
      <c r="AS435" s="458"/>
      <c r="AT435" s="458"/>
      <c r="AU435" s="458"/>
      <c r="AV435" s="458"/>
      <c r="BA435" s="1305"/>
      <c r="BB435" s="174"/>
    </row>
    <row r="436" spans="1:54" ht="12.5">
      <c r="A436" s="174"/>
      <c r="B436" s="175"/>
      <c r="F436" s="177"/>
      <c r="H436" s="178"/>
      <c r="I436" s="178"/>
      <c r="J436" s="184"/>
      <c r="N436" s="178"/>
      <c r="O436" s="178"/>
      <c r="P436" s="178"/>
      <c r="S436" s="458"/>
      <c r="AN436" s="458"/>
      <c r="AO436" s="458"/>
      <c r="AP436" s="458"/>
      <c r="AQ436" s="458"/>
      <c r="AR436" s="458"/>
      <c r="AS436" s="458"/>
      <c r="AT436" s="458"/>
      <c r="AU436" s="458"/>
      <c r="AV436" s="458"/>
      <c r="BA436" s="1305"/>
      <c r="BB436" s="174"/>
    </row>
    <row r="437" spans="1:54" ht="12.5">
      <c r="A437" s="174"/>
      <c r="B437" s="175"/>
      <c r="F437" s="177"/>
      <c r="H437" s="178"/>
      <c r="I437" s="178"/>
      <c r="J437" s="184"/>
      <c r="N437" s="178"/>
      <c r="O437" s="178"/>
      <c r="P437" s="178"/>
      <c r="S437" s="458"/>
      <c r="AN437" s="458"/>
      <c r="AO437" s="458"/>
      <c r="AP437" s="458"/>
      <c r="AQ437" s="458"/>
      <c r="AR437" s="458"/>
      <c r="AS437" s="458"/>
      <c r="AT437" s="458"/>
      <c r="AU437" s="458"/>
      <c r="AV437" s="458"/>
      <c r="BA437" s="1305"/>
      <c r="BB437" s="174"/>
    </row>
    <row r="438" spans="1:54" ht="12.5">
      <c r="A438" s="174"/>
      <c r="B438" s="175"/>
      <c r="F438" s="177"/>
      <c r="H438" s="178"/>
      <c r="I438" s="178"/>
      <c r="J438" s="184"/>
      <c r="N438" s="178"/>
      <c r="O438" s="178"/>
      <c r="P438" s="178"/>
      <c r="S438" s="458"/>
      <c r="AN438" s="458"/>
      <c r="AO438" s="458"/>
      <c r="AP438" s="458"/>
      <c r="AQ438" s="458"/>
      <c r="AR438" s="458"/>
      <c r="AS438" s="458"/>
      <c r="AT438" s="458"/>
      <c r="AU438" s="458"/>
      <c r="AV438" s="458"/>
      <c r="BA438" s="1305"/>
      <c r="BB438" s="174"/>
    </row>
    <row r="439" spans="1:54" ht="12.5">
      <c r="A439" s="174"/>
      <c r="B439" s="175"/>
      <c r="F439" s="177"/>
      <c r="H439" s="178"/>
      <c r="I439" s="178"/>
      <c r="J439" s="184"/>
      <c r="N439" s="178"/>
      <c r="O439" s="178"/>
      <c r="P439" s="178"/>
      <c r="S439" s="458"/>
      <c r="AN439" s="458"/>
      <c r="AO439" s="458"/>
      <c r="AP439" s="458"/>
      <c r="AQ439" s="458"/>
      <c r="AR439" s="458"/>
      <c r="AS439" s="458"/>
      <c r="AT439" s="458"/>
      <c r="AU439" s="458"/>
      <c r="AV439" s="458"/>
      <c r="BA439" s="1305"/>
      <c r="BB439" s="174"/>
    </row>
    <row r="440" spans="1:54" ht="12.5">
      <c r="A440" s="174"/>
      <c r="B440" s="175"/>
      <c r="F440" s="177"/>
      <c r="H440" s="178"/>
      <c r="I440" s="178"/>
      <c r="J440" s="184"/>
      <c r="N440" s="178"/>
      <c r="O440" s="178"/>
      <c r="P440" s="178"/>
      <c r="S440" s="458"/>
      <c r="AN440" s="458"/>
      <c r="AO440" s="458"/>
      <c r="AP440" s="458"/>
      <c r="AQ440" s="458"/>
      <c r="AR440" s="458"/>
      <c r="AS440" s="458"/>
      <c r="AT440" s="458"/>
      <c r="AU440" s="458"/>
      <c r="AV440" s="458"/>
      <c r="BA440" s="1305"/>
      <c r="BB440" s="174"/>
    </row>
    <row r="441" spans="1:54" ht="12.5">
      <c r="A441" s="174"/>
      <c r="B441" s="175"/>
      <c r="F441" s="177"/>
      <c r="H441" s="178"/>
      <c r="I441" s="178"/>
      <c r="J441" s="184"/>
      <c r="N441" s="178"/>
      <c r="O441" s="178"/>
      <c r="P441" s="178"/>
      <c r="S441" s="458"/>
      <c r="AN441" s="458"/>
      <c r="AO441" s="458"/>
      <c r="AP441" s="458"/>
      <c r="AQ441" s="458"/>
      <c r="AR441" s="458"/>
      <c r="AS441" s="458"/>
      <c r="AT441" s="458"/>
      <c r="AU441" s="458"/>
      <c r="AV441" s="458"/>
      <c r="BA441" s="1305"/>
      <c r="BB441" s="174"/>
    </row>
    <row r="442" spans="1:54" ht="12.5">
      <c r="A442" s="174"/>
      <c r="B442" s="175"/>
      <c r="F442" s="177"/>
      <c r="H442" s="178"/>
      <c r="I442" s="178"/>
      <c r="J442" s="184"/>
      <c r="N442" s="178"/>
      <c r="O442" s="178"/>
      <c r="P442" s="178"/>
      <c r="S442" s="458"/>
      <c r="AN442" s="458"/>
      <c r="AO442" s="458"/>
      <c r="AP442" s="458"/>
      <c r="AQ442" s="458"/>
      <c r="AR442" s="458"/>
      <c r="AS442" s="458"/>
      <c r="AT442" s="458"/>
      <c r="AU442" s="458"/>
      <c r="AV442" s="458"/>
      <c r="BA442" s="1305"/>
      <c r="BB442" s="174"/>
    </row>
    <row r="443" spans="1:54" ht="12.5">
      <c r="A443" s="174"/>
      <c r="B443" s="175"/>
      <c r="F443" s="177"/>
      <c r="H443" s="178"/>
      <c r="I443" s="178"/>
      <c r="J443" s="184"/>
      <c r="N443" s="178"/>
      <c r="P443" s="178"/>
      <c r="S443" s="458"/>
      <c r="AN443" s="458"/>
      <c r="AO443" s="458"/>
      <c r="AP443" s="458"/>
      <c r="AQ443" s="458"/>
      <c r="AR443" s="458"/>
      <c r="AS443" s="458"/>
      <c r="AT443" s="458"/>
      <c r="AU443" s="458"/>
      <c r="AV443" s="458"/>
      <c r="BA443" s="1305"/>
      <c r="BB443" s="174"/>
    </row>
    <row r="444" spans="1:54" ht="12.5">
      <c r="A444" s="174"/>
      <c r="B444" s="175"/>
      <c r="F444" s="177"/>
      <c r="H444" s="178"/>
      <c r="I444" s="178"/>
      <c r="J444" s="184"/>
      <c r="N444" s="178"/>
      <c r="P444" s="178"/>
      <c r="S444" s="458"/>
      <c r="AN444" s="458"/>
      <c r="AO444" s="458"/>
      <c r="AP444" s="458"/>
      <c r="AQ444" s="458"/>
      <c r="AR444" s="458"/>
      <c r="AS444" s="458"/>
      <c r="AT444" s="458"/>
      <c r="AU444" s="458"/>
      <c r="AV444" s="458"/>
      <c r="BA444" s="1305"/>
      <c r="BB444" s="174"/>
    </row>
    <row r="445" spans="1:54" ht="12.5">
      <c r="A445" s="174"/>
      <c r="B445" s="175"/>
      <c r="F445" s="177"/>
      <c r="H445" s="178"/>
      <c r="I445" s="178"/>
      <c r="J445" s="184"/>
      <c r="N445" s="178"/>
      <c r="O445" s="178"/>
      <c r="P445" s="178"/>
      <c r="S445" s="458"/>
      <c r="AN445" s="458"/>
      <c r="AO445" s="458"/>
      <c r="AP445" s="458"/>
      <c r="AQ445" s="458"/>
      <c r="AR445" s="458"/>
      <c r="AS445" s="458"/>
      <c r="AT445" s="458"/>
      <c r="AU445" s="458"/>
      <c r="AV445" s="458"/>
      <c r="BA445" s="1305"/>
      <c r="BB445" s="174"/>
    </row>
    <row r="446" spans="1:54" ht="12.5">
      <c r="A446" s="174"/>
      <c r="B446" s="175"/>
      <c r="F446" s="177"/>
      <c r="H446" s="178"/>
      <c r="I446" s="178"/>
      <c r="J446" s="184"/>
      <c r="N446" s="178"/>
      <c r="O446" s="178"/>
      <c r="P446" s="178"/>
      <c r="S446" s="458"/>
      <c r="AN446" s="458"/>
      <c r="AO446" s="458"/>
      <c r="AP446" s="458"/>
      <c r="AQ446" s="458"/>
      <c r="AR446" s="458"/>
      <c r="AS446" s="458"/>
      <c r="AT446" s="458"/>
      <c r="AU446" s="458"/>
      <c r="AV446" s="458"/>
      <c r="BA446" s="1305"/>
      <c r="BB446" s="174"/>
    </row>
    <row r="447" spans="1:54" ht="12.5">
      <c r="A447" s="174"/>
      <c r="B447" s="175"/>
      <c r="F447" s="177"/>
      <c r="H447" s="178"/>
      <c r="I447" s="178"/>
      <c r="J447" s="184"/>
      <c r="N447" s="178"/>
      <c r="O447" s="178"/>
      <c r="P447" s="178"/>
      <c r="S447" s="458"/>
      <c r="AN447" s="458"/>
      <c r="AO447" s="458"/>
      <c r="AP447" s="458"/>
      <c r="AQ447" s="458"/>
      <c r="AR447" s="458"/>
      <c r="AS447" s="458"/>
      <c r="AT447" s="458"/>
      <c r="AU447" s="458"/>
      <c r="AV447" s="458"/>
      <c r="BA447" s="1305"/>
      <c r="BB447" s="174"/>
    </row>
    <row r="448" spans="1:54" ht="12.5">
      <c r="A448" s="174"/>
      <c r="B448" s="175"/>
      <c r="F448" s="177"/>
      <c r="H448" s="178"/>
      <c r="I448" s="178"/>
      <c r="J448" s="184"/>
      <c r="N448" s="178"/>
      <c r="O448" s="178"/>
      <c r="P448" s="178"/>
      <c r="S448" s="458"/>
      <c r="AN448" s="458"/>
      <c r="AO448" s="458"/>
      <c r="AP448" s="458"/>
      <c r="AQ448" s="458"/>
      <c r="AR448" s="458"/>
      <c r="AS448" s="458"/>
      <c r="AT448" s="458"/>
      <c r="AU448" s="458"/>
      <c r="AV448" s="458"/>
      <c r="BA448" s="1305"/>
      <c r="BB448" s="174"/>
    </row>
    <row r="449" spans="1:54" ht="12.5">
      <c r="A449" s="174"/>
      <c r="B449" s="175"/>
      <c r="F449" s="177"/>
      <c r="H449" s="178"/>
      <c r="I449" s="178"/>
      <c r="J449" s="184"/>
      <c r="N449" s="178"/>
      <c r="O449" s="178"/>
      <c r="P449" s="178"/>
      <c r="S449" s="458"/>
      <c r="AN449" s="458"/>
      <c r="AO449" s="458"/>
      <c r="AP449" s="458"/>
      <c r="AQ449" s="458"/>
      <c r="AR449" s="458"/>
      <c r="AS449" s="458"/>
      <c r="AT449" s="458"/>
      <c r="AU449" s="458"/>
      <c r="AV449" s="458"/>
      <c r="BA449" s="1305"/>
      <c r="BB449" s="174"/>
    </row>
    <row r="450" spans="1:54" ht="12.5">
      <c r="A450" s="174"/>
      <c r="B450" s="175"/>
      <c r="F450" s="177"/>
      <c r="H450" s="178"/>
      <c r="I450" s="178"/>
      <c r="J450" s="184"/>
      <c r="N450" s="178"/>
      <c r="O450" s="178"/>
      <c r="P450" s="178"/>
      <c r="S450" s="458"/>
      <c r="AL450" s="177"/>
      <c r="AN450" s="458"/>
      <c r="AO450" s="458"/>
      <c r="AP450" s="458"/>
      <c r="AQ450" s="458"/>
      <c r="AR450" s="458"/>
      <c r="AS450" s="458"/>
      <c r="AT450" s="458"/>
      <c r="AU450" s="458"/>
      <c r="AV450" s="458"/>
      <c r="BA450" s="1305"/>
      <c r="BB450" s="174"/>
    </row>
    <row r="451" spans="1:54" ht="12.5">
      <c r="A451" s="174"/>
      <c r="B451" s="175"/>
      <c r="F451" s="177"/>
      <c r="H451" s="178"/>
      <c r="I451" s="178"/>
      <c r="J451" s="184"/>
      <c r="N451" s="178"/>
      <c r="O451" s="178"/>
      <c r="P451" s="178"/>
      <c r="S451" s="458"/>
      <c r="AL451" s="177"/>
      <c r="AN451" s="458"/>
      <c r="AO451" s="458"/>
      <c r="AP451" s="458"/>
      <c r="AQ451" s="458"/>
      <c r="AR451" s="458"/>
      <c r="AS451" s="458"/>
      <c r="AT451" s="458"/>
      <c r="AU451" s="458"/>
      <c r="AV451" s="458"/>
      <c r="BA451" s="1305"/>
      <c r="BB451" s="174"/>
    </row>
    <row r="452" spans="1:54" ht="12.5">
      <c r="A452" s="174"/>
      <c r="B452" s="175"/>
      <c r="F452" s="177"/>
      <c r="H452" s="178"/>
      <c r="I452" s="179"/>
      <c r="J452" s="184"/>
      <c r="N452" s="178"/>
      <c r="O452" s="178"/>
      <c r="P452" s="178"/>
      <c r="S452" s="458"/>
      <c r="AL452" s="177"/>
      <c r="AN452" s="458"/>
      <c r="AO452" s="458"/>
      <c r="AP452" s="458"/>
      <c r="AQ452" s="458"/>
      <c r="AR452" s="458"/>
      <c r="AS452" s="458"/>
      <c r="AT452" s="458"/>
      <c r="AU452" s="458"/>
      <c r="AV452" s="458"/>
      <c r="BA452" s="1305"/>
      <c r="BB452" s="174"/>
    </row>
    <row r="453" spans="1:54" ht="12.5">
      <c r="A453" s="174"/>
      <c r="B453" s="175"/>
      <c r="F453" s="177"/>
      <c r="H453" s="178"/>
      <c r="I453" s="178"/>
      <c r="J453" s="184"/>
      <c r="N453" s="178"/>
      <c r="O453" s="178"/>
      <c r="P453" s="178"/>
      <c r="S453" s="458"/>
      <c r="AL453" s="177"/>
      <c r="AN453" s="458"/>
      <c r="AO453" s="458"/>
      <c r="AP453" s="458"/>
      <c r="AQ453" s="458"/>
      <c r="AR453" s="458"/>
      <c r="AS453" s="458"/>
      <c r="AT453" s="458"/>
      <c r="AU453" s="458"/>
      <c r="AV453" s="458"/>
      <c r="BA453" s="1305"/>
      <c r="BB453" s="174"/>
    </row>
    <row r="454" spans="1:54" ht="12.5">
      <c r="A454" s="174"/>
      <c r="B454" s="175"/>
      <c r="F454" s="177"/>
      <c r="H454" s="178"/>
      <c r="I454" s="178"/>
      <c r="J454" s="184"/>
      <c r="N454" s="178"/>
      <c r="O454" s="178"/>
      <c r="P454" s="178"/>
      <c r="S454" s="458"/>
      <c r="AL454" s="177"/>
      <c r="AN454" s="458"/>
      <c r="AO454" s="458"/>
      <c r="AP454" s="458"/>
      <c r="AQ454" s="458"/>
      <c r="AR454" s="458"/>
      <c r="AS454" s="458"/>
      <c r="AT454" s="458"/>
      <c r="AU454" s="458"/>
      <c r="AV454" s="458"/>
      <c r="BA454" s="1305"/>
      <c r="BB454" s="174"/>
    </row>
    <row r="455" spans="1:54" ht="12.5">
      <c r="A455" s="174"/>
      <c r="B455" s="175"/>
      <c r="F455" s="177"/>
      <c r="H455" s="178"/>
      <c r="I455" s="179"/>
      <c r="J455" s="184"/>
      <c r="N455" s="178"/>
      <c r="O455" s="178"/>
      <c r="P455" s="178"/>
      <c r="S455" s="458"/>
      <c r="AL455" s="177"/>
      <c r="AN455" s="458"/>
      <c r="AO455" s="458"/>
      <c r="AP455" s="458"/>
      <c r="AQ455" s="458"/>
      <c r="AR455" s="458"/>
      <c r="AS455" s="458"/>
      <c r="AT455" s="458"/>
      <c r="AU455" s="458"/>
      <c r="AV455" s="458"/>
      <c r="BA455" s="1305"/>
      <c r="BB455" s="174"/>
    </row>
    <row r="456" spans="1:54" ht="12.5">
      <c r="A456" s="174"/>
      <c r="B456" s="175"/>
      <c r="F456" s="177"/>
      <c r="H456" s="178"/>
      <c r="I456" s="178"/>
      <c r="J456" s="184"/>
      <c r="N456" s="178"/>
      <c r="O456" s="178"/>
      <c r="P456" s="178"/>
      <c r="S456" s="458"/>
      <c r="AL456" s="177"/>
      <c r="AN456" s="458"/>
      <c r="AO456" s="458"/>
      <c r="AP456" s="458"/>
      <c r="AQ456" s="458"/>
      <c r="AR456" s="458"/>
      <c r="AS456" s="458"/>
      <c r="AT456" s="458"/>
      <c r="AU456" s="458"/>
      <c r="AV456" s="458"/>
      <c r="BA456" s="1305"/>
      <c r="BB456" s="174"/>
    </row>
    <row r="457" spans="1:54" ht="12.5">
      <c r="A457" s="174"/>
      <c r="B457" s="175"/>
      <c r="F457" s="177"/>
      <c r="H457" s="178"/>
      <c r="I457" s="179"/>
      <c r="J457" s="184"/>
      <c r="N457" s="178"/>
      <c r="O457" s="178"/>
      <c r="P457" s="178"/>
      <c r="S457" s="458"/>
      <c r="AL457" s="177"/>
      <c r="AN457" s="458"/>
      <c r="AO457" s="458"/>
      <c r="AP457" s="458"/>
      <c r="AQ457" s="458"/>
      <c r="AR457" s="458"/>
      <c r="AS457" s="458"/>
      <c r="AT457" s="458"/>
      <c r="AU457" s="458"/>
      <c r="AV457" s="458"/>
      <c r="BA457" s="1305"/>
      <c r="BB457" s="174"/>
    </row>
    <row r="458" spans="1:54" ht="12.5">
      <c r="A458" s="174"/>
      <c r="B458" s="175"/>
      <c r="F458" s="177"/>
      <c r="H458" s="178"/>
      <c r="I458" s="178"/>
      <c r="J458" s="184"/>
      <c r="N458" s="178"/>
      <c r="O458" s="178"/>
      <c r="P458" s="178"/>
      <c r="S458" s="458"/>
      <c r="AL458" s="177"/>
      <c r="AN458" s="458"/>
      <c r="AO458" s="458"/>
      <c r="AP458" s="458"/>
      <c r="AQ458" s="458"/>
      <c r="AR458" s="458"/>
      <c r="AS458" s="458"/>
      <c r="AT458" s="458"/>
      <c r="AU458" s="458"/>
      <c r="AV458" s="458"/>
      <c r="BA458" s="1305"/>
      <c r="BB458" s="174"/>
    </row>
    <row r="459" spans="1:54" ht="12.5">
      <c r="A459" s="174"/>
      <c r="B459" s="175"/>
      <c r="F459" s="177"/>
      <c r="H459" s="178"/>
      <c r="I459" s="178"/>
      <c r="J459" s="184"/>
      <c r="N459" s="178"/>
      <c r="O459" s="178"/>
      <c r="P459" s="178"/>
      <c r="S459" s="458"/>
      <c r="AL459" s="177"/>
      <c r="AN459" s="458"/>
      <c r="AO459" s="458"/>
      <c r="AP459" s="458"/>
      <c r="AQ459" s="458"/>
      <c r="AR459" s="458"/>
      <c r="AS459" s="458"/>
      <c r="AT459" s="458"/>
      <c r="AU459" s="458"/>
      <c r="AV459" s="458"/>
      <c r="BA459" s="1305"/>
      <c r="BB459" s="174"/>
    </row>
    <row r="460" spans="1:54" ht="12.5">
      <c r="A460" s="174"/>
      <c r="B460" s="175"/>
      <c r="F460" s="177"/>
      <c r="H460" s="178"/>
      <c r="I460" s="178"/>
      <c r="J460" s="184"/>
      <c r="N460" s="178"/>
      <c r="O460" s="178"/>
      <c r="P460" s="178"/>
      <c r="S460" s="458"/>
      <c r="AL460" s="177"/>
      <c r="AN460" s="458"/>
      <c r="AO460" s="458"/>
      <c r="AP460" s="458"/>
      <c r="AQ460" s="458"/>
      <c r="AR460" s="458"/>
      <c r="AS460" s="458"/>
      <c r="AT460" s="458"/>
      <c r="AU460" s="458"/>
      <c r="AV460" s="458"/>
      <c r="BA460" s="1305"/>
      <c r="BB460" s="174"/>
    </row>
    <row r="461" spans="1:54" ht="12.5">
      <c r="A461" s="174"/>
      <c r="B461" s="175"/>
      <c r="F461" s="177"/>
      <c r="H461" s="178"/>
      <c r="I461" s="178"/>
      <c r="J461" s="184"/>
      <c r="N461" s="178"/>
      <c r="O461" s="178"/>
      <c r="P461" s="178"/>
      <c r="S461" s="458"/>
      <c r="AL461" s="177"/>
      <c r="AN461" s="458"/>
      <c r="AO461" s="458"/>
      <c r="AP461" s="458"/>
      <c r="AQ461" s="458"/>
      <c r="AR461" s="458"/>
      <c r="AS461" s="458"/>
      <c r="AT461" s="458"/>
      <c r="AU461" s="458"/>
      <c r="AV461" s="458"/>
      <c r="BA461" s="1305"/>
      <c r="BB461" s="174"/>
    </row>
    <row r="462" spans="1:54" ht="12.5">
      <c r="A462" s="174"/>
      <c r="B462" s="175"/>
      <c r="F462" s="177"/>
      <c r="H462" s="178"/>
      <c r="I462" s="178"/>
      <c r="J462" s="184"/>
      <c r="N462" s="178"/>
      <c r="O462" s="178"/>
      <c r="P462" s="178"/>
      <c r="S462" s="458"/>
      <c r="AL462" s="177"/>
      <c r="AN462" s="458"/>
      <c r="AO462" s="458"/>
      <c r="AP462" s="458"/>
      <c r="AQ462" s="458"/>
      <c r="AR462" s="458"/>
      <c r="AS462" s="458"/>
      <c r="AT462" s="458"/>
      <c r="AU462" s="458"/>
      <c r="AV462" s="458"/>
      <c r="BA462" s="1305"/>
      <c r="BB462" s="174"/>
    </row>
    <row r="463" spans="1:54" ht="12.5">
      <c r="A463" s="174"/>
      <c r="B463" s="175"/>
      <c r="F463" s="177"/>
      <c r="H463" s="178"/>
      <c r="I463" s="179"/>
      <c r="J463" s="184"/>
      <c r="N463" s="178"/>
      <c r="O463" s="178"/>
      <c r="P463" s="178"/>
      <c r="S463" s="458"/>
      <c r="AN463" s="458"/>
      <c r="AO463" s="458"/>
      <c r="AP463" s="458"/>
      <c r="AQ463" s="458"/>
      <c r="AR463" s="458"/>
      <c r="AS463" s="458"/>
      <c r="AT463" s="458"/>
      <c r="AU463" s="458"/>
      <c r="AV463" s="458"/>
      <c r="BA463" s="1305"/>
      <c r="BB463" s="174"/>
    </row>
    <row r="464" spans="1:54" ht="12.5">
      <c r="A464" s="174"/>
      <c r="B464" s="175"/>
      <c r="F464" s="177"/>
      <c r="H464" s="178"/>
      <c r="I464" s="178"/>
      <c r="J464" s="184"/>
      <c r="N464" s="178"/>
      <c r="O464" s="178"/>
      <c r="P464" s="178"/>
      <c r="S464" s="458"/>
      <c r="AN464" s="458"/>
      <c r="AO464" s="458"/>
      <c r="AP464" s="458"/>
      <c r="AQ464" s="458"/>
      <c r="AR464" s="458"/>
      <c r="AS464" s="458"/>
      <c r="AT464" s="458"/>
      <c r="AU464" s="458"/>
      <c r="AV464" s="458"/>
      <c r="BA464" s="1305"/>
      <c r="BB464" s="174"/>
    </row>
    <row r="465" spans="1:54" ht="12.5">
      <c r="A465" s="174"/>
      <c r="B465" s="175"/>
      <c r="F465" s="177"/>
      <c r="H465" s="178"/>
      <c r="I465" s="179"/>
      <c r="J465" s="184"/>
      <c r="N465" s="178"/>
      <c r="O465" s="178"/>
      <c r="P465" s="178"/>
      <c r="S465" s="458"/>
      <c r="AN465" s="458"/>
      <c r="AO465" s="458"/>
      <c r="AP465" s="458"/>
      <c r="AQ465" s="458"/>
      <c r="AR465" s="458"/>
      <c r="AS465" s="458"/>
      <c r="AT465" s="458"/>
      <c r="AU465" s="458"/>
      <c r="AV465" s="458"/>
      <c r="BA465" s="1305"/>
      <c r="BB465" s="174"/>
    </row>
    <row r="466" spans="1:54" ht="12.5">
      <c r="A466" s="174"/>
      <c r="B466" s="175"/>
      <c r="F466" s="177"/>
      <c r="H466" s="178"/>
      <c r="I466" s="178"/>
      <c r="J466" s="184"/>
      <c r="N466" s="178"/>
      <c r="O466" s="178"/>
      <c r="P466" s="178"/>
      <c r="S466" s="458"/>
      <c r="AN466" s="458"/>
      <c r="AO466" s="458"/>
      <c r="AP466" s="458"/>
      <c r="AQ466" s="458"/>
      <c r="AR466" s="458"/>
      <c r="AS466" s="458"/>
      <c r="AT466" s="458"/>
      <c r="AU466" s="458"/>
      <c r="AV466" s="458"/>
      <c r="BA466" s="1305"/>
      <c r="BB466" s="174"/>
    </row>
    <row r="467" spans="1:54" ht="12.5">
      <c r="A467" s="174"/>
      <c r="B467" s="175"/>
      <c r="F467" s="177"/>
      <c r="H467" s="178"/>
      <c r="I467" s="179"/>
      <c r="J467" s="184"/>
      <c r="N467" s="178"/>
      <c r="O467" s="178"/>
      <c r="P467" s="178"/>
      <c r="S467" s="458"/>
      <c r="AN467" s="458"/>
      <c r="AO467" s="458"/>
      <c r="AP467" s="458"/>
      <c r="AQ467" s="458"/>
      <c r="AR467" s="458"/>
      <c r="AS467" s="458"/>
      <c r="AT467" s="458"/>
      <c r="AU467" s="458"/>
      <c r="AV467" s="458"/>
      <c r="BA467" s="1305"/>
      <c r="BB467" s="174"/>
    </row>
    <row r="468" spans="1:54" ht="12.5">
      <c r="A468" s="174"/>
      <c r="B468" s="175"/>
      <c r="F468" s="177"/>
      <c r="H468" s="178"/>
      <c r="I468" s="178"/>
      <c r="J468" s="184"/>
      <c r="N468" s="178"/>
      <c r="O468" s="178"/>
      <c r="P468" s="178"/>
      <c r="S468" s="458"/>
      <c r="AL468" s="177"/>
      <c r="AN468" s="458"/>
      <c r="AO468" s="458"/>
      <c r="AP468" s="458"/>
      <c r="AQ468" s="458"/>
      <c r="AR468" s="458"/>
      <c r="AS468" s="458"/>
      <c r="AT468" s="458"/>
      <c r="AU468" s="458"/>
      <c r="AV468" s="458"/>
      <c r="BA468" s="1305"/>
      <c r="BB468" s="174"/>
    </row>
    <row r="469" spans="1:54" ht="12.5">
      <c r="A469" s="174"/>
      <c r="B469" s="175"/>
      <c r="F469" s="177"/>
      <c r="H469" s="178"/>
      <c r="I469" s="178"/>
      <c r="J469" s="184"/>
      <c r="N469" s="178"/>
      <c r="O469" s="178"/>
      <c r="P469" s="178"/>
      <c r="S469" s="458"/>
      <c r="AL469" s="177"/>
      <c r="AN469" s="458"/>
      <c r="AO469" s="458"/>
      <c r="AP469" s="458"/>
      <c r="AQ469" s="458"/>
      <c r="AR469" s="458"/>
      <c r="AS469" s="458"/>
      <c r="AT469" s="458"/>
      <c r="AU469" s="458"/>
      <c r="AV469" s="458"/>
      <c r="BA469" s="1305"/>
      <c r="BB469" s="174"/>
    </row>
    <row r="470" spans="1:54" ht="12.5">
      <c r="A470" s="174"/>
      <c r="B470" s="175"/>
      <c r="F470" s="177"/>
      <c r="H470" s="178"/>
      <c r="I470" s="178"/>
      <c r="J470" s="184"/>
      <c r="N470" s="178"/>
      <c r="O470" s="178"/>
      <c r="P470" s="178"/>
      <c r="S470" s="458"/>
      <c r="AL470" s="177"/>
      <c r="AN470" s="458"/>
      <c r="AO470" s="458"/>
      <c r="AP470" s="458"/>
      <c r="AQ470" s="458"/>
      <c r="AR470" s="458"/>
      <c r="AS470" s="458"/>
      <c r="AT470" s="458"/>
      <c r="AU470" s="458"/>
      <c r="AV470" s="458"/>
      <c r="BA470" s="1305"/>
      <c r="BB470" s="174"/>
    </row>
    <row r="471" spans="1:54" ht="12.5">
      <c r="A471" s="174"/>
      <c r="B471" s="175"/>
      <c r="F471" s="177"/>
      <c r="H471" s="178"/>
      <c r="I471" s="178"/>
      <c r="J471" s="184"/>
      <c r="N471" s="178"/>
      <c r="O471" s="178"/>
      <c r="P471" s="178"/>
      <c r="S471" s="458"/>
      <c r="AL471" s="177"/>
      <c r="AN471" s="458"/>
      <c r="AO471" s="458"/>
      <c r="AP471" s="458"/>
      <c r="AQ471" s="458"/>
      <c r="AR471" s="458"/>
      <c r="AS471" s="458"/>
      <c r="AT471" s="458"/>
      <c r="AU471" s="458"/>
      <c r="AV471" s="458"/>
      <c r="BA471" s="1305"/>
      <c r="BB471" s="174"/>
    </row>
    <row r="472" spans="1:54" ht="12.5">
      <c r="A472" s="174"/>
      <c r="B472" s="175"/>
      <c r="F472" s="177"/>
      <c r="H472" s="178"/>
      <c r="I472" s="178"/>
      <c r="J472" s="184"/>
      <c r="N472" s="178"/>
      <c r="O472" s="178"/>
      <c r="P472" s="178"/>
      <c r="S472" s="458"/>
      <c r="AL472" s="177"/>
      <c r="AN472" s="458"/>
      <c r="AO472" s="458"/>
      <c r="AP472" s="458"/>
      <c r="AQ472" s="458"/>
      <c r="AR472" s="458"/>
      <c r="AS472" s="458"/>
      <c r="AT472" s="458"/>
      <c r="AU472" s="458"/>
      <c r="AV472" s="458"/>
      <c r="BA472" s="1305"/>
      <c r="BB472" s="174"/>
    </row>
    <row r="473" spans="1:54" ht="12.5">
      <c r="A473" s="174"/>
      <c r="B473" s="175"/>
      <c r="F473" s="177"/>
      <c r="H473" s="178"/>
      <c r="I473" s="178"/>
      <c r="J473" s="184"/>
      <c r="N473" s="178"/>
      <c r="O473" s="178"/>
      <c r="P473" s="178"/>
      <c r="S473" s="458"/>
      <c r="AN473" s="458"/>
      <c r="AO473" s="458"/>
      <c r="AP473" s="458"/>
      <c r="AQ473" s="458"/>
      <c r="AR473" s="458"/>
      <c r="AS473" s="458"/>
      <c r="AT473" s="458"/>
      <c r="AU473" s="458"/>
      <c r="AV473" s="458"/>
      <c r="BA473" s="1305"/>
      <c r="BB473" s="174"/>
    </row>
    <row r="474" spans="1:54" ht="12.5">
      <c r="A474" s="174"/>
      <c r="B474" s="175"/>
      <c r="F474" s="177"/>
      <c r="H474" s="178"/>
      <c r="I474" s="178"/>
      <c r="J474" s="184"/>
      <c r="N474" s="178"/>
      <c r="P474" s="178"/>
      <c r="S474" s="458"/>
      <c r="AN474" s="458"/>
      <c r="AO474" s="458"/>
      <c r="AP474" s="458"/>
      <c r="AQ474" s="458"/>
      <c r="AR474" s="458"/>
      <c r="AS474" s="458"/>
      <c r="AT474" s="458"/>
      <c r="AU474" s="458"/>
      <c r="AV474" s="458"/>
      <c r="BA474" s="1305"/>
      <c r="BB474" s="174"/>
    </row>
    <row r="475" spans="1:54" ht="12.5">
      <c r="A475" s="174"/>
      <c r="B475" s="175"/>
      <c r="F475" s="177"/>
      <c r="H475" s="178"/>
      <c r="I475" s="178"/>
      <c r="J475" s="184"/>
      <c r="N475" s="178"/>
      <c r="P475" s="178"/>
      <c r="S475" s="458"/>
      <c r="AN475" s="458"/>
      <c r="AO475" s="458"/>
      <c r="AP475" s="458"/>
      <c r="AQ475" s="458"/>
      <c r="AR475" s="458"/>
      <c r="AS475" s="458"/>
      <c r="AT475" s="458"/>
      <c r="AU475" s="458"/>
      <c r="AV475" s="458"/>
      <c r="BA475" s="1305"/>
      <c r="BB475" s="174"/>
    </row>
    <row r="476" spans="1:54" ht="12.5">
      <c r="A476" s="174"/>
      <c r="B476" s="175"/>
      <c r="F476" s="177"/>
      <c r="H476" s="178"/>
      <c r="I476" s="178"/>
      <c r="J476" s="184"/>
      <c r="N476" s="178"/>
      <c r="O476" s="178"/>
      <c r="P476" s="178"/>
      <c r="S476" s="458"/>
      <c r="AL476" s="177"/>
      <c r="AM476" s="177"/>
      <c r="AN476" s="458"/>
      <c r="AO476" s="458"/>
      <c r="AP476" s="458"/>
      <c r="AQ476" s="458"/>
      <c r="AR476" s="458"/>
      <c r="AS476" s="458"/>
      <c r="AT476" s="458"/>
      <c r="AU476" s="458"/>
      <c r="AV476" s="458"/>
      <c r="BA476" s="1305"/>
      <c r="BB476" s="174"/>
    </row>
    <row r="477" spans="1:54" ht="12.5">
      <c r="A477" s="174"/>
      <c r="B477" s="175"/>
      <c r="F477" s="177"/>
      <c r="H477" s="178"/>
      <c r="I477" s="178"/>
      <c r="J477" s="184"/>
      <c r="N477" s="178"/>
      <c r="O477" s="178"/>
      <c r="P477" s="178"/>
      <c r="S477" s="458"/>
      <c r="AL477" s="177"/>
      <c r="AM477" s="177"/>
      <c r="AN477" s="458"/>
      <c r="AO477" s="458"/>
      <c r="AP477" s="458"/>
      <c r="AQ477" s="458"/>
      <c r="AR477" s="458"/>
      <c r="AS477" s="458"/>
      <c r="AT477" s="458"/>
      <c r="AU477" s="458"/>
      <c r="AV477" s="458"/>
      <c r="BA477" s="1305"/>
      <c r="BB477" s="174"/>
    </row>
    <row r="478" spans="1:54" ht="12.5">
      <c r="A478" s="174"/>
      <c r="B478" s="175"/>
      <c r="F478" s="177"/>
      <c r="H478" s="178"/>
      <c r="I478" s="178"/>
      <c r="J478" s="184"/>
      <c r="N478" s="178"/>
      <c r="O478" s="178"/>
      <c r="P478" s="178"/>
      <c r="S478" s="458"/>
      <c r="AL478" s="177"/>
      <c r="AM478" s="177"/>
      <c r="AN478" s="458"/>
      <c r="AO478" s="458"/>
      <c r="AP478" s="458"/>
      <c r="AQ478" s="458"/>
      <c r="AR478" s="458"/>
      <c r="AS478" s="458"/>
      <c r="AT478" s="458"/>
      <c r="AU478" s="458"/>
      <c r="AV478" s="458"/>
      <c r="BA478" s="1305"/>
      <c r="BB478" s="174"/>
    </row>
    <row r="479" spans="1:54" ht="12.5">
      <c r="A479" s="174"/>
      <c r="B479" s="175"/>
      <c r="F479" s="177"/>
      <c r="H479" s="178"/>
      <c r="I479" s="178"/>
      <c r="J479" s="184"/>
      <c r="N479" s="178"/>
      <c r="O479" s="178"/>
      <c r="P479" s="178"/>
      <c r="S479" s="458"/>
      <c r="AL479" s="177"/>
      <c r="AM479" s="177"/>
      <c r="AN479" s="458"/>
      <c r="AO479" s="458"/>
      <c r="AP479" s="458"/>
      <c r="AQ479" s="458"/>
      <c r="AR479" s="458"/>
      <c r="AS479" s="458"/>
      <c r="AT479" s="458"/>
      <c r="AU479" s="458"/>
      <c r="AV479" s="458"/>
      <c r="BA479" s="1305"/>
      <c r="BB479" s="174"/>
    </row>
    <row r="480" spans="1:54" ht="12.5">
      <c r="A480" s="174"/>
      <c r="B480" s="175"/>
      <c r="F480" s="177"/>
      <c r="H480" s="178"/>
      <c r="I480" s="178"/>
      <c r="J480" s="184"/>
      <c r="N480" s="178"/>
      <c r="O480" s="178"/>
      <c r="P480" s="178"/>
      <c r="S480" s="458"/>
      <c r="AL480" s="177"/>
      <c r="AM480" s="177"/>
      <c r="AN480" s="458"/>
      <c r="AO480" s="458"/>
      <c r="AP480" s="458"/>
      <c r="AQ480" s="458"/>
      <c r="AR480" s="458"/>
      <c r="AS480" s="458"/>
      <c r="AT480" s="458"/>
      <c r="AU480" s="458"/>
      <c r="AV480" s="458"/>
      <c r="BA480" s="1305"/>
      <c r="BB480" s="174"/>
    </row>
    <row r="481" spans="1:54" ht="12.5">
      <c r="A481" s="174"/>
      <c r="B481" s="175"/>
      <c r="F481" s="177"/>
      <c r="H481" s="178"/>
      <c r="I481" s="178"/>
      <c r="J481" s="184"/>
      <c r="N481" s="178"/>
      <c r="O481" s="178"/>
      <c r="P481" s="178"/>
      <c r="S481" s="458"/>
      <c r="AL481" s="177"/>
      <c r="AM481" s="177"/>
      <c r="AN481" s="458"/>
      <c r="AO481" s="458"/>
      <c r="AP481" s="458"/>
      <c r="AQ481" s="458"/>
      <c r="AR481" s="458"/>
      <c r="AS481" s="458"/>
      <c r="AT481" s="458"/>
      <c r="AU481" s="458"/>
      <c r="AV481" s="458"/>
      <c r="BA481" s="1305"/>
      <c r="BB481" s="174"/>
    </row>
    <row r="482" spans="1:54" ht="12.5">
      <c r="A482" s="174"/>
      <c r="B482" s="175"/>
      <c r="F482" s="177"/>
      <c r="H482" s="178"/>
      <c r="I482" s="178"/>
      <c r="J482" s="184"/>
      <c r="N482" s="178"/>
      <c r="O482" s="178"/>
      <c r="P482" s="178"/>
      <c r="S482" s="458"/>
      <c r="AL482" s="177"/>
      <c r="AM482" s="177"/>
      <c r="AN482" s="458"/>
      <c r="AO482" s="458"/>
      <c r="AP482" s="458"/>
      <c r="AQ482" s="458"/>
      <c r="AR482" s="458"/>
      <c r="AS482" s="458"/>
      <c r="AT482" s="458"/>
      <c r="AU482" s="458"/>
      <c r="AV482" s="458"/>
      <c r="BA482" s="1305"/>
      <c r="BB482" s="174"/>
    </row>
    <row r="483" spans="1:54" ht="12.5">
      <c r="A483" s="174"/>
      <c r="B483" s="175"/>
      <c r="F483" s="177"/>
      <c r="H483" s="178"/>
      <c r="I483" s="178"/>
      <c r="J483" s="184"/>
      <c r="N483" s="178"/>
      <c r="O483" s="178"/>
      <c r="P483" s="178"/>
      <c r="S483" s="458"/>
      <c r="AN483" s="458"/>
      <c r="AO483" s="458"/>
      <c r="AP483" s="458"/>
      <c r="AQ483" s="458"/>
      <c r="AR483" s="458"/>
      <c r="AS483" s="458"/>
      <c r="AT483" s="458"/>
      <c r="AU483" s="458"/>
      <c r="AV483" s="458"/>
      <c r="BA483" s="1305"/>
      <c r="BB483" s="174"/>
    </row>
    <row r="484" spans="1:54" ht="12.5">
      <c r="A484" s="174"/>
      <c r="B484" s="175"/>
      <c r="F484" s="177"/>
      <c r="H484" s="178"/>
      <c r="I484" s="178"/>
      <c r="J484" s="184"/>
      <c r="N484" s="178"/>
      <c r="O484" s="178"/>
      <c r="P484" s="178"/>
      <c r="S484" s="458"/>
      <c r="AN484" s="458"/>
      <c r="AO484" s="458"/>
      <c r="AP484" s="458"/>
      <c r="AQ484" s="458"/>
      <c r="AR484" s="458"/>
      <c r="AS484" s="458"/>
      <c r="AT484" s="458"/>
      <c r="AU484" s="458"/>
      <c r="AV484" s="458"/>
      <c r="BA484" s="1305"/>
      <c r="BB484" s="174"/>
    </row>
    <row r="485" spans="1:54" ht="12.5">
      <c r="A485" s="174"/>
      <c r="B485" s="175"/>
      <c r="F485" s="177"/>
      <c r="H485" s="178"/>
      <c r="I485" s="178"/>
      <c r="J485" s="184"/>
      <c r="N485" s="178"/>
      <c r="O485" s="178"/>
      <c r="P485" s="178"/>
      <c r="S485" s="458"/>
      <c r="AN485" s="458"/>
      <c r="AO485" s="458"/>
      <c r="AP485" s="458"/>
      <c r="AQ485" s="458"/>
      <c r="AR485" s="458"/>
      <c r="AS485" s="458"/>
      <c r="AT485" s="458"/>
      <c r="AU485" s="458"/>
      <c r="AV485" s="458"/>
      <c r="BA485" s="1305"/>
      <c r="BB485" s="174"/>
    </row>
    <row r="486" spans="1:54" ht="12.5">
      <c r="A486" s="174"/>
      <c r="B486" s="175"/>
      <c r="F486" s="177"/>
      <c r="H486" s="178"/>
      <c r="I486" s="179"/>
      <c r="J486" s="184"/>
      <c r="N486" s="178"/>
      <c r="O486" s="178"/>
      <c r="P486" s="178"/>
      <c r="S486" s="458"/>
      <c r="AN486" s="458"/>
      <c r="AO486" s="458"/>
      <c r="AP486" s="458"/>
      <c r="AQ486" s="458"/>
      <c r="AR486" s="458"/>
      <c r="AS486" s="458"/>
      <c r="AT486" s="458"/>
      <c r="AU486" s="458"/>
      <c r="AV486" s="458"/>
      <c r="BA486" s="1305"/>
      <c r="BB486" s="174"/>
    </row>
    <row r="487" spans="1:54" ht="12.5">
      <c r="A487" s="174"/>
      <c r="B487" s="175"/>
      <c r="F487" s="177"/>
      <c r="H487" s="178"/>
      <c r="I487" s="178"/>
      <c r="J487" s="184"/>
      <c r="N487" s="178"/>
      <c r="O487" s="178"/>
      <c r="P487" s="178"/>
      <c r="S487" s="458"/>
      <c r="AN487" s="458"/>
      <c r="AO487" s="458"/>
      <c r="AP487" s="458"/>
      <c r="AQ487" s="458"/>
      <c r="AR487" s="458"/>
      <c r="AS487" s="458"/>
      <c r="AT487" s="458"/>
      <c r="AU487" s="458"/>
      <c r="AV487" s="458"/>
      <c r="BA487" s="1305"/>
      <c r="BB487" s="174"/>
    </row>
    <row r="488" spans="1:54" ht="12.5">
      <c r="A488" s="174"/>
      <c r="B488" s="175"/>
      <c r="F488" s="177"/>
      <c r="H488" s="178"/>
      <c r="I488" s="178"/>
      <c r="J488" s="184"/>
      <c r="N488" s="178"/>
      <c r="O488" s="178"/>
      <c r="P488" s="178"/>
      <c r="S488" s="458"/>
      <c r="AN488" s="458"/>
      <c r="AO488" s="458"/>
      <c r="AP488" s="458"/>
      <c r="AQ488" s="458"/>
      <c r="AR488" s="458"/>
      <c r="AS488" s="458"/>
      <c r="AT488" s="458"/>
      <c r="AU488" s="458"/>
      <c r="AV488" s="458"/>
      <c r="BA488" s="1305"/>
      <c r="BB488" s="174"/>
    </row>
    <row r="489" spans="1:54" ht="12.5">
      <c r="A489" s="174"/>
      <c r="B489" s="175"/>
      <c r="F489" s="177"/>
      <c r="H489" s="178"/>
      <c r="I489" s="179"/>
      <c r="J489" s="184"/>
      <c r="N489" s="178"/>
      <c r="O489" s="178"/>
      <c r="P489" s="178"/>
      <c r="S489" s="458"/>
      <c r="AN489" s="458"/>
      <c r="AO489" s="458"/>
      <c r="AP489" s="458"/>
      <c r="AQ489" s="458"/>
      <c r="AR489" s="458"/>
      <c r="AS489" s="458"/>
      <c r="AT489" s="458"/>
      <c r="AU489" s="458"/>
      <c r="AV489" s="458"/>
      <c r="BA489" s="1305"/>
      <c r="BB489" s="174"/>
    </row>
    <row r="490" spans="1:54" ht="12.5">
      <c r="A490" s="174"/>
      <c r="B490" s="175"/>
      <c r="F490" s="177"/>
      <c r="H490" s="178"/>
      <c r="I490" s="178"/>
      <c r="J490" s="184"/>
      <c r="N490" s="178"/>
      <c r="O490" s="178"/>
      <c r="P490" s="178"/>
      <c r="S490" s="458"/>
      <c r="AN490" s="458"/>
      <c r="AO490" s="458"/>
      <c r="AP490" s="458"/>
      <c r="AQ490" s="458"/>
      <c r="AR490" s="458"/>
      <c r="AS490" s="458"/>
      <c r="AT490" s="458"/>
      <c r="AU490" s="458"/>
      <c r="AV490" s="458"/>
      <c r="BA490" s="1305"/>
      <c r="BB490" s="174"/>
    </row>
    <row r="491" spans="1:54" ht="12.5">
      <c r="A491" s="174"/>
      <c r="B491" s="175"/>
      <c r="F491" s="177"/>
      <c r="H491" s="178"/>
      <c r="I491" s="179"/>
      <c r="J491" s="184"/>
      <c r="N491" s="178"/>
      <c r="O491" s="178"/>
      <c r="P491" s="178"/>
      <c r="S491" s="458"/>
      <c r="AN491" s="458"/>
      <c r="AO491" s="458"/>
      <c r="AP491" s="458"/>
      <c r="AQ491" s="458"/>
      <c r="AR491" s="458"/>
      <c r="AS491" s="458"/>
      <c r="AT491" s="458"/>
      <c r="AU491" s="458"/>
      <c r="AV491" s="458"/>
      <c r="BA491" s="1305"/>
      <c r="BB491" s="174"/>
    </row>
    <row r="492" spans="1:54" ht="12.5">
      <c r="A492" s="174"/>
      <c r="B492" s="175"/>
      <c r="F492" s="177"/>
      <c r="H492" s="178"/>
      <c r="I492" s="178"/>
      <c r="J492" s="184"/>
      <c r="N492" s="178"/>
      <c r="O492" s="178"/>
      <c r="P492" s="178"/>
      <c r="S492" s="458"/>
      <c r="AN492" s="458"/>
      <c r="AO492" s="458"/>
      <c r="AP492" s="458"/>
      <c r="AQ492" s="458"/>
      <c r="AR492" s="458"/>
      <c r="AS492" s="458"/>
      <c r="AT492" s="458"/>
      <c r="AU492" s="458"/>
      <c r="AV492" s="458"/>
      <c r="BA492" s="1305"/>
      <c r="BB492" s="174"/>
    </row>
    <row r="493" spans="1:54" ht="12.5">
      <c r="A493" s="174"/>
      <c r="B493" s="175"/>
      <c r="F493" s="177"/>
      <c r="H493" s="178"/>
      <c r="I493" s="178"/>
      <c r="J493" s="184"/>
      <c r="N493" s="178"/>
      <c r="O493" s="178"/>
      <c r="P493" s="178"/>
      <c r="S493" s="458"/>
      <c r="AN493" s="458"/>
      <c r="AO493" s="458"/>
      <c r="AP493" s="458"/>
      <c r="AQ493" s="458"/>
      <c r="AR493" s="458"/>
      <c r="AS493" s="458"/>
      <c r="AT493" s="458"/>
      <c r="AU493" s="458"/>
      <c r="AV493" s="458"/>
      <c r="BA493" s="1305"/>
      <c r="BB493" s="174"/>
    </row>
    <row r="494" spans="1:54" ht="12.5">
      <c r="A494" s="174"/>
      <c r="B494" s="175"/>
      <c r="F494" s="177"/>
      <c r="H494" s="178"/>
      <c r="I494" s="178"/>
      <c r="J494" s="184"/>
      <c r="N494" s="178"/>
      <c r="O494" s="178"/>
      <c r="P494" s="178"/>
      <c r="S494" s="458"/>
      <c r="AN494" s="458"/>
      <c r="AO494" s="458"/>
      <c r="AP494" s="458"/>
      <c r="AQ494" s="458"/>
      <c r="AR494" s="458"/>
      <c r="AS494" s="458"/>
      <c r="AT494" s="458"/>
      <c r="AU494" s="458"/>
      <c r="AV494" s="458"/>
      <c r="BA494" s="1305"/>
      <c r="BB494" s="174"/>
    </row>
    <row r="495" spans="1:54" ht="12.5">
      <c r="A495" s="174"/>
      <c r="B495" s="175"/>
      <c r="F495" s="177"/>
      <c r="H495" s="178"/>
      <c r="I495" s="178"/>
      <c r="J495" s="184"/>
      <c r="N495" s="178"/>
      <c r="O495" s="178"/>
      <c r="P495" s="178"/>
      <c r="S495" s="458"/>
      <c r="AN495" s="458"/>
      <c r="AO495" s="458"/>
      <c r="AP495" s="458"/>
      <c r="AQ495" s="458"/>
      <c r="AR495" s="458"/>
      <c r="AS495" s="458"/>
      <c r="AT495" s="458"/>
      <c r="AU495" s="458"/>
      <c r="AV495" s="458"/>
      <c r="BA495" s="1305"/>
      <c r="BB495" s="174"/>
    </row>
    <row r="496" spans="1:54" ht="12.5">
      <c r="A496" s="174"/>
      <c r="B496" s="175"/>
      <c r="F496" s="177"/>
      <c r="H496" s="178"/>
      <c r="I496" s="178"/>
      <c r="J496" s="184"/>
      <c r="N496" s="178"/>
      <c r="O496" s="178"/>
      <c r="P496" s="178"/>
      <c r="S496" s="458"/>
      <c r="AN496" s="458"/>
      <c r="AO496" s="458"/>
      <c r="AP496" s="458"/>
      <c r="AQ496" s="458"/>
      <c r="AR496" s="458"/>
      <c r="AS496" s="458"/>
      <c r="AT496" s="458"/>
      <c r="AU496" s="458"/>
      <c r="AV496" s="458"/>
      <c r="BA496" s="1305"/>
      <c r="BB496" s="174"/>
    </row>
    <row r="497" spans="1:54" ht="12.5">
      <c r="A497" s="174"/>
      <c r="B497" s="175"/>
      <c r="F497" s="177"/>
      <c r="H497" s="178"/>
      <c r="I497" s="179"/>
      <c r="J497" s="184"/>
      <c r="N497" s="178"/>
      <c r="O497" s="178"/>
      <c r="P497" s="178"/>
      <c r="S497" s="458"/>
      <c r="AN497" s="458"/>
      <c r="AO497" s="458"/>
      <c r="AP497" s="458"/>
      <c r="AQ497" s="458"/>
      <c r="AR497" s="458"/>
      <c r="AS497" s="458"/>
      <c r="AT497" s="458"/>
      <c r="AU497" s="458"/>
      <c r="AV497" s="458"/>
      <c r="BA497" s="1305"/>
      <c r="BB497" s="174"/>
    </row>
    <row r="498" spans="1:54" ht="12.5">
      <c r="A498" s="174"/>
      <c r="B498" s="175"/>
      <c r="F498" s="177"/>
      <c r="H498" s="178"/>
      <c r="I498" s="178"/>
      <c r="J498" s="184"/>
      <c r="N498" s="178"/>
      <c r="O498" s="178"/>
      <c r="P498" s="178"/>
      <c r="S498" s="458"/>
      <c r="AN498" s="458"/>
      <c r="AO498" s="458"/>
      <c r="AP498" s="458"/>
      <c r="AQ498" s="458"/>
      <c r="AR498" s="458"/>
      <c r="AS498" s="458"/>
      <c r="AT498" s="458"/>
      <c r="AU498" s="458"/>
      <c r="AV498" s="458"/>
      <c r="BA498" s="1305"/>
      <c r="BB498" s="174"/>
    </row>
    <row r="499" spans="1:54" ht="12.5">
      <c r="A499" s="174"/>
      <c r="B499" s="175"/>
      <c r="F499" s="177"/>
      <c r="H499" s="178"/>
      <c r="I499" s="179"/>
      <c r="J499" s="184"/>
      <c r="N499" s="178"/>
      <c r="O499" s="178"/>
      <c r="P499" s="178"/>
      <c r="S499" s="458"/>
      <c r="AN499" s="458"/>
      <c r="AO499" s="458"/>
      <c r="AP499" s="458"/>
      <c r="AQ499" s="458"/>
      <c r="AR499" s="458"/>
      <c r="AS499" s="458"/>
      <c r="AT499" s="458"/>
      <c r="AU499" s="458"/>
      <c r="AV499" s="458"/>
      <c r="BA499" s="1305"/>
      <c r="BB499" s="174"/>
    </row>
    <row r="500" spans="1:54" ht="12.5">
      <c r="A500" s="174"/>
      <c r="B500" s="175"/>
      <c r="F500" s="177"/>
      <c r="H500" s="178"/>
      <c r="I500" s="178"/>
      <c r="J500" s="184"/>
      <c r="N500" s="178"/>
      <c r="O500" s="178"/>
      <c r="P500" s="178"/>
      <c r="S500" s="458"/>
      <c r="AN500" s="458"/>
      <c r="AO500" s="458"/>
      <c r="AP500" s="458"/>
      <c r="AQ500" s="458"/>
      <c r="AR500" s="458"/>
      <c r="AS500" s="458"/>
      <c r="AT500" s="458"/>
      <c r="AU500" s="458"/>
      <c r="AV500" s="458"/>
      <c r="BA500" s="1305"/>
      <c r="BB500" s="174"/>
    </row>
    <row r="501" spans="1:54" ht="12.5">
      <c r="A501" s="174"/>
      <c r="B501" s="175"/>
      <c r="F501" s="177"/>
      <c r="H501" s="178"/>
      <c r="I501" s="179"/>
      <c r="J501" s="184"/>
      <c r="N501" s="178"/>
      <c r="O501" s="178"/>
      <c r="P501" s="178"/>
      <c r="S501" s="458"/>
      <c r="AN501" s="458"/>
      <c r="AO501" s="458"/>
      <c r="AP501" s="458"/>
      <c r="AQ501" s="458"/>
      <c r="AR501" s="458"/>
      <c r="AS501" s="458"/>
      <c r="AT501" s="458"/>
      <c r="AU501" s="458"/>
      <c r="AV501" s="458"/>
      <c r="BA501" s="1305"/>
      <c r="BB501" s="174"/>
    </row>
    <row r="502" spans="1:54" ht="12.5">
      <c r="A502" s="174"/>
      <c r="B502" s="175"/>
      <c r="F502" s="177"/>
      <c r="H502" s="178"/>
      <c r="I502" s="178"/>
      <c r="J502" s="184"/>
      <c r="N502" s="178"/>
      <c r="O502" s="178"/>
      <c r="P502" s="178"/>
      <c r="S502" s="458"/>
      <c r="AN502" s="458"/>
      <c r="AO502" s="458"/>
      <c r="AP502" s="458"/>
      <c r="AQ502" s="458"/>
      <c r="AR502" s="458"/>
      <c r="AS502" s="458"/>
      <c r="AT502" s="458"/>
      <c r="AU502" s="458"/>
      <c r="AV502" s="458"/>
      <c r="BA502" s="1305"/>
      <c r="BB502" s="174"/>
    </row>
    <row r="503" spans="1:54" ht="12.5">
      <c r="A503" s="174"/>
      <c r="B503" s="175"/>
      <c r="F503" s="177"/>
      <c r="H503" s="178"/>
      <c r="I503" s="178"/>
      <c r="J503" s="184"/>
      <c r="N503" s="178"/>
      <c r="O503" s="178"/>
      <c r="P503" s="178"/>
      <c r="S503" s="458"/>
      <c r="AN503" s="458"/>
      <c r="AO503" s="458"/>
      <c r="AP503" s="458"/>
      <c r="AQ503" s="458"/>
      <c r="AR503" s="458"/>
      <c r="AS503" s="458"/>
      <c r="AT503" s="458"/>
      <c r="AU503" s="458"/>
      <c r="AV503" s="458"/>
      <c r="BA503" s="1305"/>
      <c r="BB503" s="174"/>
    </row>
    <row r="504" spans="1:54" ht="12.5">
      <c r="A504" s="174"/>
      <c r="B504" s="175"/>
      <c r="F504" s="177"/>
      <c r="H504" s="178"/>
      <c r="I504" s="178"/>
      <c r="J504" s="184"/>
      <c r="N504" s="178"/>
      <c r="O504" s="178"/>
      <c r="P504" s="178"/>
      <c r="S504" s="458"/>
      <c r="AN504" s="458"/>
      <c r="AO504" s="458"/>
      <c r="AP504" s="458"/>
      <c r="AQ504" s="458"/>
      <c r="AR504" s="458"/>
      <c r="AS504" s="458"/>
      <c r="AT504" s="458"/>
      <c r="AU504" s="458"/>
      <c r="AV504" s="458"/>
      <c r="BA504" s="1305"/>
      <c r="BB504" s="174"/>
    </row>
    <row r="505" spans="1:54" ht="12.5">
      <c r="A505" s="174"/>
      <c r="B505" s="175"/>
      <c r="F505" s="177"/>
      <c r="H505" s="178"/>
      <c r="I505" s="178"/>
      <c r="J505" s="184"/>
      <c r="N505" s="178"/>
      <c r="O505" s="178"/>
      <c r="P505" s="178"/>
      <c r="S505" s="458"/>
      <c r="AN505" s="458"/>
      <c r="AO505" s="458"/>
      <c r="AP505" s="458"/>
      <c r="AQ505" s="458"/>
      <c r="AR505" s="458"/>
      <c r="AS505" s="458"/>
      <c r="AT505" s="458"/>
      <c r="AU505" s="458"/>
      <c r="AV505" s="458"/>
      <c r="BA505" s="1305"/>
      <c r="BB505" s="174"/>
    </row>
    <row r="506" spans="1:54" ht="12.5">
      <c r="A506" s="174"/>
      <c r="B506" s="175"/>
      <c r="F506" s="177"/>
      <c r="H506" s="178"/>
      <c r="I506" s="178"/>
      <c r="J506" s="184"/>
      <c r="N506" s="178"/>
      <c r="O506" s="178"/>
      <c r="P506" s="178"/>
      <c r="S506" s="458"/>
      <c r="AN506" s="458"/>
      <c r="AO506" s="458"/>
      <c r="AP506" s="458"/>
      <c r="AQ506" s="458"/>
      <c r="AR506" s="458"/>
      <c r="AS506" s="458"/>
      <c r="AT506" s="458"/>
      <c r="AU506" s="458"/>
      <c r="AV506" s="458"/>
      <c r="BA506" s="1305"/>
      <c r="BB506" s="174"/>
    </row>
    <row r="507" spans="1:54" ht="12.5">
      <c r="A507" s="174"/>
      <c r="B507" s="175"/>
      <c r="F507" s="177"/>
      <c r="H507" s="178"/>
      <c r="I507" s="178"/>
      <c r="J507" s="184"/>
      <c r="N507" s="178"/>
      <c r="O507" s="178"/>
      <c r="P507" s="178"/>
      <c r="S507" s="458"/>
      <c r="AN507" s="458"/>
      <c r="AO507" s="458"/>
      <c r="AP507" s="458"/>
      <c r="AQ507" s="458"/>
      <c r="AR507" s="458"/>
      <c r="AS507" s="458"/>
      <c r="AT507" s="458"/>
      <c r="AU507" s="458"/>
      <c r="AV507" s="458"/>
      <c r="BA507" s="1305"/>
      <c r="BB507" s="174"/>
    </row>
    <row r="508" spans="1:54" ht="12.5">
      <c r="A508" s="174"/>
      <c r="B508" s="175"/>
      <c r="F508" s="177"/>
      <c r="H508" s="178"/>
      <c r="I508" s="178"/>
      <c r="J508" s="184"/>
      <c r="N508" s="178"/>
      <c r="O508" s="178"/>
      <c r="P508" s="178"/>
      <c r="S508" s="458"/>
      <c r="AN508" s="458"/>
      <c r="AO508" s="458"/>
      <c r="AP508" s="458"/>
      <c r="AQ508" s="458"/>
      <c r="AR508" s="458"/>
      <c r="AS508" s="458"/>
      <c r="AT508" s="458"/>
      <c r="AU508" s="458"/>
      <c r="AV508" s="458"/>
      <c r="BA508" s="1305"/>
      <c r="BB508" s="174"/>
    </row>
    <row r="509" spans="1:54" ht="12.5">
      <c r="A509" s="174"/>
      <c r="B509" s="175"/>
      <c r="F509" s="177"/>
      <c r="H509" s="178"/>
      <c r="I509" s="178"/>
      <c r="J509" s="184"/>
      <c r="N509" s="178"/>
      <c r="O509" s="178"/>
      <c r="P509" s="178"/>
      <c r="S509" s="458"/>
      <c r="AN509" s="458"/>
      <c r="AO509" s="458"/>
      <c r="AP509" s="458"/>
      <c r="AQ509" s="458"/>
      <c r="AR509" s="458"/>
      <c r="AS509" s="458"/>
      <c r="AT509" s="458"/>
      <c r="AU509" s="458"/>
      <c r="AV509" s="458"/>
      <c r="BA509" s="1305"/>
      <c r="BB509" s="174"/>
    </row>
    <row r="510" spans="1:54" ht="12.5">
      <c r="A510" s="174"/>
      <c r="B510" s="175"/>
      <c r="F510" s="177"/>
      <c r="H510" s="178"/>
      <c r="I510" s="178"/>
      <c r="J510" s="184"/>
      <c r="N510" s="178"/>
      <c r="O510" s="178"/>
      <c r="P510" s="178"/>
      <c r="S510" s="458"/>
      <c r="AN510" s="458"/>
      <c r="AO510" s="458"/>
      <c r="AP510" s="458"/>
      <c r="AQ510" s="458"/>
      <c r="AR510" s="458"/>
      <c r="AS510" s="458"/>
      <c r="AT510" s="458"/>
      <c r="AU510" s="458"/>
      <c r="AV510" s="458"/>
      <c r="BA510" s="1305"/>
      <c r="BB510" s="174"/>
    </row>
    <row r="511" spans="1:54" ht="12.5">
      <c r="A511" s="174"/>
      <c r="B511" s="175"/>
      <c r="F511" s="177"/>
      <c r="H511" s="178"/>
      <c r="I511" s="178"/>
      <c r="J511" s="184"/>
      <c r="N511" s="178"/>
      <c r="O511" s="178"/>
      <c r="P511" s="178"/>
      <c r="S511" s="458"/>
      <c r="AN511" s="458"/>
      <c r="AO511" s="458"/>
      <c r="AP511" s="458"/>
      <c r="AQ511" s="458"/>
      <c r="AR511" s="458"/>
      <c r="AS511" s="458"/>
      <c r="AT511" s="458"/>
      <c r="AU511" s="458"/>
      <c r="AV511" s="458"/>
      <c r="BA511" s="1305"/>
      <c r="BB511" s="174"/>
    </row>
    <row r="512" spans="1:54" ht="12.5">
      <c r="A512" s="174"/>
      <c r="B512" s="175"/>
      <c r="F512" s="177"/>
      <c r="H512" s="178"/>
      <c r="I512" s="178"/>
      <c r="J512" s="184"/>
      <c r="N512" s="178"/>
      <c r="O512" s="178"/>
      <c r="P512" s="178"/>
      <c r="S512" s="458"/>
      <c r="AN512" s="458"/>
      <c r="AO512" s="458"/>
      <c r="AP512" s="458"/>
      <c r="AQ512" s="458"/>
      <c r="AR512" s="458"/>
      <c r="AS512" s="458"/>
      <c r="AT512" s="458"/>
      <c r="AU512" s="458"/>
      <c r="AV512" s="458"/>
      <c r="BA512" s="1305"/>
      <c r="BB512" s="174"/>
    </row>
    <row r="513" spans="1:54" ht="12.5">
      <c r="A513" s="174"/>
      <c r="B513" s="175"/>
      <c r="F513" s="177"/>
      <c r="H513" s="178"/>
      <c r="I513" s="178"/>
      <c r="J513" s="184"/>
      <c r="N513" s="178"/>
      <c r="O513" s="178"/>
      <c r="P513" s="178"/>
      <c r="S513" s="458"/>
      <c r="AN513" s="458"/>
      <c r="AO513" s="458"/>
      <c r="AP513" s="458"/>
      <c r="AQ513" s="458"/>
      <c r="AR513" s="458"/>
      <c r="AS513" s="458"/>
      <c r="AT513" s="458"/>
      <c r="AU513" s="458"/>
      <c r="AV513" s="458"/>
      <c r="BA513" s="1305"/>
      <c r="BB513" s="174"/>
    </row>
    <row r="514" spans="1:54" ht="12.5">
      <c r="A514" s="174"/>
      <c r="B514" s="175"/>
      <c r="F514" s="177"/>
      <c r="H514" s="178"/>
      <c r="I514" s="178"/>
      <c r="J514" s="184"/>
      <c r="N514" s="178"/>
      <c r="O514" s="178"/>
      <c r="P514" s="178"/>
      <c r="S514" s="458"/>
      <c r="AN514" s="458"/>
      <c r="AO514" s="458"/>
      <c r="AP514" s="458"/>
      <c r="AQ514" s="458"/>
      <c r="AR514" s="458"/>
      <c r="AS514" s="458"/>
      <c r="AT514" s="458"/>
      <c r="AU514" s="458"/>
      <c r="AV514" s="458"/>
      <c r="BA514" s="1305"/>
      <c r="BB514" s="174"/>
    </row>
    <row r="515" spans="1:54" ht="12.5">
      <c r="A515" s="174"/>
      <c r="B515" s="175"/>
      <c r="F515" s="177"/>
      <c r="H515" s="178"/>
      <c r="I515" s="178"/>
      <c r="J515" s="184"/>
      <c r="N515" s="178"/>
      <c r="O515" s="178"/>
      <c r="P515" s="178"/>
      <c r="S515" s="458"/>
      <c r="AN515" s="458"/>
      <c r="AO515" s="458"/>
      <c r="AP515" s="458"/>
      <c r="AQ515" s="458"/>
      <c r="AR515" s="458"/>
      <c r="AS515" s="458"/>
      <c r="AT515" s="458"/>
      <c r="AU515" s="458"/>
      <c r="AV515" s="458"/>
      <c r="BA515" s="1305"/>
      <c r="BB515" s="174"/>
    </row>
    <row r="516" spans="1:54" ht="12.5">
      <c r="A516" s="174"/>
      <c r="B516" s="175"/>
      <c r="F516" s="177"/>
      <c r="H516" s="178"/>
      <c r="I516" s="178"/>
      <c r="J516" s="184"/>
      <c r="N516" s="178"/>
      <c r="O516" s="178"/>
      <c r="P516" s="178"/>
      <c r="S516" s="458"/>
      <c r="AN516" s="458"/>
      <c r="AO516" s="458"/>
      <c r="AP516" s="458"/>
      <c r="AQ516" s="458"/>
      <c r="AR516" s="458"/>
      <c r="AS516" s="458"/>
      <c r="AT516" s="458"/>
      <c r="AU516" s="458"/>
      <c r="AV516" s="458"/>
      <c r="BA516" s="1305"/>
      <c r="BB516" s="174"/>
    </row>
    <row r="517" spans="1:54" ht="12.5">
      <c r="A517" s="174"/>
      <c r="B517" s="175"/>
      <c r="F517" s="177"/>
      <c r="H517" s="178"/>
      <c r="I517" s="178"/>
      <c r="J517" s="184"/>
      <c r="N517" s="178"/>
      <c r="O517" s="178"/>
      <c r="P517" s="178"/>
      <c r="S517" s="458"/>
      <c r="AN517" s="458"/>
      <c r="AO517" s="458"/>
      <c r="AP517" s="458"/>
      <c r="AQ517" s="458"/>
      <c r="AR517" s="458"/>
      <c r="AS517" s="458"/>
      <c r="AT517" s="458"/>
      <c r="AU517" s="458"/>
      <c r="AV517" s="458"/>
      <c r="BA517" s="1305"/>
      <c r="BB517" s="174"/>
    </row>
    <row r="518" spans="1:54" ht="12.5">
      <c r="A518" s="174"/>
      <c r="B518" s="175"/>
      <c r="F518" s="177"/>
      <c r="H518" s="178"/>
      <c r="I518" s="178"/>
      <c r="J518" s="184"/>
      <c r="N518" s="178"/>
      <c r="O518" s="178"/>
      <c r="P518" s="178"/>
      <c r="S518" s="458"/>
      <c r="AN518" s="458"/>
      <c r="AO518" s="458"/>
      <c r="AP518" s="458"/>
      <c r="AQ518" s="458"/>
      <c r="AR518" s="458"/>
      <c r="AS518" s="458"/>
      <c r="AT518" s="458"/>
      <c r="AU518" s="458"/>
      <c r="AV518" s="458"/>
      <c r="BA518" s="1305"/>
      <c r="BB518" s="174"/>
    </row>
    <row r="519" spans="1:54" ht="12.5">
      <c r="A519" s="174"/>
      <c r="B519" s="175"/>
      <c r="F519" s="177"/>
      <c r="H519" s="178"/>
      <c r="I519" s="178"/>
      <c r="J519" s="184"/>
      <c r="N519" s="178"/>
      <c r="O519" s="178"/>
      <c r="P519" s="178"/>
      <c r="S519" s="458"/>
      <c r="AN519" s="458"/>
      <c r="AO519" s="458"/>
      <c r="AP519" s="458"/>
      <c r="AQ519" s="458"/>
      <c r="AR519" s="458"/>
      <c r="AS519" s="458"/>
      <c r="AT519" s="458"/>
      <c r="AU519" s="458"/>
      <c r="AV519" s="458"/>
      <c r="BA519" s="1305"/>
      <c r="BB519" s="174"/>
    </row>
    <row r="520" spans="1:54" ht="12.5">
      <c r="A520" s="174"/>
      <c r="B520" s="175"/>
      <c r="F520" s="177"/>
      <c r="H520" s="178"/>
      <c r="I520" s="179"/>
      <c r="J520" s="184"/>
      <c r="N520" s="178"/>
      <c r="O520" s="178"/>
      <c r="P520" s="178"/>
      <c r="S520" s="458"/>
      <c r="AN520" s="458"/>
      <c r="AO520" s="458"/>
      <c r="AP520" s="458"/>
      <c r="AQ520" s="458"/>
      <c r="AR520" s="458"/>
      <c r="AS520" s="458"/>
      <c r="AT520" s="458"/>
      <c r="AU520" s="458"/>
      <c r="AV520" s="458"/>
      <c r="BA520" s="1305"/>
      <c r="BB520" s="174"/>
    </row>
    <row r="521" spans="1:54" ht="12.5">
      <c r="A521" s="174"/>
      <c r="B521" s="175"/>
      <c r="F521" s="177"/>
      <c r="H521" s="178"/>
      <c r="I521" s="178"/>
      <c r="J521" s="184"/>
      <c r="N521" s="178"/>
      <c r="O521" s="178"/>
      <c r="P521" s="178"/>
      <c r="S521" s="458"/>
      <c r="AN521" s="458"/>
      <c r="AO521" s="458"/>
      <c r="AP521" s="458"/>
      <c r="AQ521" s="458"/>
      <c r="AR521" s="458"/>
      <c r="AS521" s="458"/>
      <c r="AT521" s="458"/>
      <c r="AU521" s="458"/>
      <c r="AV521" s="458"/>
      <c r="BA521" s="1305"/>
      <c r="BB521" s="174"/>
    </row>
    <row r="522" spans="1:54" ht="12.5">
      <c r="A522" s="174"/>
      <c r="B522" s="175"/>
      <c r="F522" s="177"/>
      <c r="H522" s="178"/>
      <c r="I522" s="178"/>
      <c r="J522" s="184"/>
      <c r="N522" s="178"/>
      <c r="O522" s="178"/>
      <c r="P522" s="178"/>
      <c r="S522" s="458"/>
      <c r="AN522" s="458"/>
      <c r="AO522" s="458"/>
      <c r="AP522" s="458"/>
      <c r="AQ522" s="458"/>
      <c r="AR522" s="458"/>
      <c r="AS522" s="458"/>
      <c r="AT522" s="458"/>
      <c r="AU522" s="458"/>
      <c r="AV522" s="458"/>
      <c r="BA522" s="1305"/>
      <c r="BB522" s="174"/>
    </row>
    <row r="523" spans="1:54" ht="12.5">
      <c r="A523" s="174"/>
      <c r="B523" s="175"/>
      <c r="F523" s="177"/>
      <c r="H523" s="178"/>
      <c r="I523" s="179"/>
      <c r="J523" s="184"/>
      <c r="N523" s="178"/>
      <c r="O523" s="178"/>
      <c r="P523" s="178"/>
      <c r="S523" s="458"/>
      <c r="AN523" s="458"/>
      <c r="AO523" s="458"/>
      <c r="AP523" s="458"/>
      <c r="AQ523" s="458"/>
      <c r="AR523" s="458"/>
      <c r="AS523" s="458"/>
      <c r="AT523" s="458"/>
      <c r="AU523" s="458"/>
      <c r="AV523" s="458"/>
      <c r="BA523" s="1305"/>
      <c r="BB523" s="174"/>
    </row>
    <row r="524" spans="1:54" ht="12.5">
      <c r="A524" s="174"/>
      <c r="B524" s="175"/>
      <c r="F524" s="177"/>
      <c r="H524" s="178"/>
      <c r="I524" s="178"/>
      <c r="J524" s="184"/>
      <c r="N524" s="178"/>
      <c r="O524" s="178"/>
      <c r="P524" s="178"/>
      <c r="S524" s="458"/>
      <c r="AN524" s="458"/>
      <c r="AO524" s="458"/>
      <c r="AP524" s="458"/>
      <c r="AQ524" s="458"/>
      <c r="AR524" s="458"/>
      <c r="AS524" s="458"/>
      <c r="AT524" s="458"/>
      <c r="AU524" s="458"/>
      <c r="AV524" s="458"/>
      <c r="BA524" s="1305"/>
      <c r="BB524" s="174"/>
    </row>
    <row r="525" spans="1:54" ht="12.5">
      <c r="A525" s="174"/>
      <c r="B525" s="175"/>
      <c r="F525" s="177"/>
      <c r="H525" s="178"/>
      <c r="I525" s="179"/>
      <c r="J525" s="184"/>
      <c r="N525" s="178"/>
      <c r="O525" s="178"/>
      <c r="P525" s="178"/>
      <c r="S525" s="458"/>
      <c r="AN525" s="458"/>
      <c r="AO525" s="458"/>
      <c r="AP525" s="458"/>
      <c r="AQ525" s="458"/>
      <c r="AR525" s="458"/>
      <c r="AS525" s="458"/>
      <c r="AT525" s="458"/>
      <c r="AU525" s="458"/>
      <c r="AV525" s="458"/>
      <c r="BA525" s="1305"/>
      <c r="BB525" s="174"/>
    </row>
    <row r="526" spans="1:54" ht="12.5">
      <c r="A526" s="174"/>
      <c r="B526" s="175"/>
      <c r="F526" s="177"/>
      <c r="H526" s="178"/>
      <c r="I526" s="178"/>
      <c r="J526" s="184"/>
      <c r="N526" s="178"/>
      <c r="O526" s="178"/>
      <c r="P526" s="178"/>
      <c r="S526" s="458"/>
      <c r="AN526" s="458"/>
      <c r="AO526" s="458"/>
      <c r="AP526" s="458"/>
      <c r="AQ526" s="458"/>
      <c r="AR526" s="458"/>
      <c r="AS526" s="458"/>
      <c r="AT526" s="458"/>
      <c r="AU526" s="458"/>
      <c r="AV526" s="458"/>
      <c r="BA526" s="1305"/>
      <c r="BB526" s="174"/>
    </row>
    <row r="527" spans="1:54" ht="12.5">
      <c r="A527" s="174"/>
      <c r="B527" s="175"/>
      <c r="F527" s="177"/>
      <c r="H527" s="178"/>
      <c r="I527" s="178"/>
      <c r="J527" s="184"/>
      <c r="N527" s="178"/>
      <c r="O527" s="178"/>
      <c r="P527" s="178"/>
      <c r="S527" s="458"/>
      <c r="AN527" s="458"/>
      <c r="AO527" s="458"/>
      <c r="AP527" s="458"/>
      <c r="AQ527" s="458"/>
      <c r="AR527" s="458"/>
      <c r="AS527" s="458"/>
      <c r="AT527" s="458"/>
      <c r="AU527" s="458"/>
      <c r="AV527" s="458"/>
      <c r="BA527" s="1305"/>
      <c r="BB527" s="174"/>
    </row>
    <row r="528" spans="1:54" ht="12.5">
      <c r="A528" s="174"/>
      <c r="B528" s="175"/>
      <c r="F528" s="177"/>
      <c r="H528" s="178"/>
      <c r="I528" s="178"/>
      <c r="J528" s="184"/>
      <c r="N528" s="178"/>
      <c r="O528" s="178"/>
      <c r="P528" s="178"/>
      <c r="S528" s="458"/>
      <c r="AN528" s="458"/>
      <c r="AO528" s="458"/>
      <c r="AP528" s="458"/>
      <c r="AQ528" s="458"/>
      <c r="AR528" s="458"/>
      <c r="AS528" s="458"/>
      <c r="AT528" s="458"/>
      <c r="AU528" s="458"/>
      <c r="AV528" s="458"/>
      <c r="BA528" s="1305"/>
      <c r="BB528" s="174"/>
    </row>
    <row r="529" spans="1:54" ht="12.5">
      <c r="A529" s="174"/>
      <c r="B529" s="175"/>
      <c r="F529" s="177"/>
      <c r="H529" s="178"/>
      <c r="I529" s="178"/>
      <c r="J529" s="184"/>
      <c r="N529" s="178"/>
      <c r="O529" s="178"/>
      <c r="P529" s="178"/>
      <c r="S529" s="458"/>
      <c r="AN529" s="458"/>
      <c r="AO529" s="458"/>
      <c r="AP529" s="458"/>
      <c r="AQ529" s="458"/>
      <c r="AR529" s="458"/>
      <c r="AS529" s="458"/>
      <c r="AT529" s="458"/>
      <c r="AU529" s="458"/>
      <c r="AV529" s="458"/>
      <c r="BA529" s="1305"/>
      <c r="BB529" s="174"/>
    </row>
    <row r="530" spans="1:54" ht="12.5">
      <c r="A530" s="174"/>
      <c r="B530" s="175"/>
      <c r="F530" s="177"/>
      <c r="H530" s="178"/>
      <c r="I530" s="178"/>
      <c r="J530" s="184"/>
      <c r="N530" s="178"/>
      <c r="O530" s="178"/>
      <c r="P530" s="178"/>
      <c r="S530" s="458"/>
      <c r="AN530" s="458"/>
      <c r="AO530" s="458"/>
      <c r="AP530" s="458"/>
      <c r="AQ530" s="458"/>
      <c r="AR530" s="458"/>
      <c r="AS530" s="458"/>
      <c r="AT530" s="458"/>
      <c r="AU530" s="458"/>
      <c r="AV530" s="458"/>
      <c r="BA530" s="1305"/>
      <c r="BB530" s="174"/>
    </row>
    <row r="531" spans="1:54" ht="12.5">
      <c r="A531" s="174"/>
      <c r="B531" s="175"/>
      <c r="F531" s="177"/>
      <c r="H531" s="178"/>
      <c r="I531" s="179"/>
      <c r="J531" s="184"/>
      <c r="N531" s="178"/>
      <c r="O531" s="178"/>
      <c r="P531" s="178"/>
      <c r="S531" s="458"/>
      <c r="AN531" s="458"/>
      <c r="AO531" s="458"/>
      <c r="AP531" s="458"/>
      <c r="AQ531" s="458"/>
      <c r="AR531" s="458"/>
      <c r="AS531" s="458"/>
      <c r="AT531" s="458"/>
      <c r="AU531" s="458"/>
      <c r="AV531" s="458"/>
      <c r="BA531" s="1305"/>
      <c r="BB531" s="174"/>
    </row>
    <row r="532" spans="1:54" ht="12.5">
      <c r="A532" s="174"/>
      <c r="B532" s="175"/>
      <c r="F532" s="177"/>
      <c r="H532" s="178"/>
      <c r="I532" s="178"/>
      <c r="J532" s="184"/>
      <c r="N532" s="178"/>
      <c r="O532" s="178"/>
      <c r="P532" s="178"/>
      <c r="S532" s="458"/>
      <c r="AN532" s="458"/>
      <c r="AO532" s="458"/>
      <c r="AP532" s="458"/>
      <c r="AQ532" s="458"/>
      <c r="AR532" s="458"/>
      <c r="AS532" s="458"/>
      <c r="AT532" s="458"/>
      <c r="AU532" s="458"/>
      <c r="AV532" s="458"/>
      <c r="BA532" s="1305"/>
      <c r="BB532" s="174"/>
    </row>
    <row r="533" spans="1:54" ht="12.5">
      <c r="A533" s="174"/>
      <c r="B533" s="175"/>
      <c r="F533" s="177"/>
      <c r="H533" s="178"/>
      <c r="I533" s="179"/>
      <c r="J533" s="184"/>
      <c r="N533" s="178"/>
      <c r="O533" s="178"/>
      <c r="P533" s="178"/>
      <c r="S533" s="458"/>
      <c r="AN533" s="458"/>
      <c r="AO533" s="458"/>
      <c r="AP533" s="458"/>
      <c r="AQ533" s="458"/>
      <c r="AR533" s="458"/>
      <c r="AS533" s="458"/>
      <c r="AT533" s="458"/>
      <c r="AU533" s="458"/>
      <c r="AV533" s="458"/>
      <c r="BA533" s="1305"/>
      <c r="BB533" s="174"/>
    </row>
    <row r="534" spans="1:54" ht="12.5">
      <c r="A534" s="174"/>
      <c r="B534" s="175"/>
      <c r="F534" s="177"/>
      <c r="H534" s="178"/>
      <c r="I534" s="178"/>
      <c r="J534" s="184"/>
      <c r="N534" s="178"/>
      <c r="O534" s="178"/>
      <c r="P534" s="178"/>
      <c r="S534" s="458"/>
      <c r="AN534" s="458"/>
      <c r="AO534" s="458"/>
      <c r="AP534" s="458"/>
      <c r="AQ534" s="458"/>
      <c r="AR534" s="458"/>
      <c r="AS534" s="458"/>
      <c r="AT534" s="458"/>
      <c r="AU534" s="458"/>
      <c r="AV534" s="458"/>
      <c r="BA534" s="1305"/>
      <c r="BB534" s="174"/>
    </row>
    <row r="535" spans="1:54" ht="12.5">
      <c r="A535" s="174"/>
      <c r="B535" s="175"/>
      <c r="F535" s="177"/>
      <c r="H535" s="178"/>
      <c r="I535" s="179"/>
      <c r="J535" s="184"/>
      <c r="N535" s="178"/>
      <c r="O535" s="178"/>
      <c r="P535" s="178"/>
      <c r="S535" s="458"/>
      <c r="AN535" s="458"/>
      <c r="AO535" s="458"/>
      <c r="AP535" s="458"/>
      <c r="AQ535" s="458"/>
      <c r="AR535" s="458"/>
      <c r="AS535" s="458"/>
      <c r="AT535" s="458"/>
      <c r="AU535" s="458"/>
      <c r="AV535" s="458"/>
      <c r="BA535" s="1305"/>
      <c r="BB535" s="174"/>
    </row>
    <row r="536" spans="1:54" ht="12.5">
      <c r="A536" s="174"/>
      <c r="B536" s="175"/>
      <c r="F536" s="177"/>
      <c r="H536" s="178"/>
      <c r="I536" s="178"/>
      <c r="J536" s="184"/>
      <c r="N536" s="178"/>
      <c r="O536" s="178"/>
      <c r="P536" s="178"/>
      <c r="S536" s="458"/>
      <c r="AN536" s="458"/>
      <c r="AO536" s="458"/>
      <c r="AP536" s="458"/>
      <c r="AQ536" s="458"/>
      <c r="AR536" s="458"/>
      <c r="AS536" s="458"/>
      <c r="AT536" s="458"/>
      <c r="AU536" s="458"/>
      <c r="AV536" s="458"/>
      <c r="BA536" s="1305"/>
      <c r="BB536" s="174"/>
    </row>
    <row r="537" spans="1:54" ht="12.5">
      <c r="A537" s="174"/>
      <c r="B537" s="175"/>
      <c r="F537" s="177"/>
      <c r="H537" s="178"/>
      <c r="I537" s="178"/>
      <c r="J537" s="184"/>
      <c r="N537" s="178"/>
      <c r="O537" s="178"/>
      <c r="P537" s="178"/>
      <c r="S537" s="458"/>
      <c r="AN537" s="458"/>
      <c r="AO537" s="458"/>
      <c r="AP537" s="458"/>
      <c r="AQ537" s="458"/>
      <c r="AR537" s="458"/>
      <c r="AS537" s="458"/>
      <c r="AT537" s="458"/>
      <c r="AU537" s="458"/>
      <c r="AV537" s="458"/>
      <c r="BA537" s="1305"/>
      <c r="BB537" s="174"/>
    </row>
    <row r="538" spans="1:54" ht="12.5">
      <c r="A538" s="174"/>
      <c r="B538" s="175"/>
      <c r="F538" s="177"/>
      <c r="H538" s="178"/>
      <c r="I538" s="178"/>
      <c r="J538" s="184"/>
      <c r="N538" s="178"/>
      <c r="O538" s="178"/>
      <c r="P538" s="178"/>
      <c r="S538" s="458"/>
      <c r="AN538" s="458"/>
      <c r="AO538" s="458"/>
      <c r="AP538" s="458"/>
      <c r="AQ538" s="458"/>
      <c r="AR538" s="458"/>
      <c r="AS538" s="458"/>
      <c r="AT538" s="458"/>
      <c r="AU538" s="458"/>
      <c r="AV538" s="458"/>
      <c r="BA538" s="1305"/>
      <c r="BB538" s="174"/>
    </row>
    <row r="539" spans="1:54" ht="12.5">
      <c r="A539" s="174"/>
      <c r="B539" s="175"/>
      <c r="F539" s="177"/>
      <c r="H539" s="178"/>
      <c r="I539" s="178"/>
      <c r="J539" s="184"/>
      <c r="N539" s="178"/>
      <c r="O539" s="178"/>
      <c r="P539" s="178"/>
      <c r="S539" s="458"/>
      <c r="AN539" s="458"/>
      <c r="AO539" s="458"/>
      <c r="AP539" s="458"/>
      <c r="AQ539" s="458"/>
      <c r="AR539" s="458"/>
      <c r="AS539" s="458"/>
      <c r="AT539" s="458"/>
      <c r="AU539" s="458"/>
      <c r="AV539" s="458"/>
      <c r="BA539" s="1305"/>
      <c r="BB539" s="174"/>
    </row>
    <row r="540" spans="1:54" ht="12.5">
      <c r="A540" s="174"/>
      <c r="B540" s="175"/>
      <c r="F540" s="177"/>
      <c r="H540" s="178"/>
      <c r="I540" s="178"/>
      <c r="J540" s="184"/>
      <c r="N540" s="178"/>
      <c r="O540" s="178"/>
      <c r="P540" s="178"/>
      <c r="S540" s="458"/>
      <c r="AN540" s="458"/>
      <c r="AO540" s="458"/>
      <c r="AP540" s="458"/>
      <c r="AQ540" s="458"/>
      <c r="AR540" s="458"/>
      <c r="AS540" s="458"/>
      <c r="AT540" s="458"/>
      <c r="AU540" s="458"/>
      <c r="AV540" s="458"/>
      <c r="BA540" s="1305"/>
      <c r="BB540" s="174"/>
    </row>
    <row r="541" spans="1:54" ht="12.5">
      <c r="A541" s="174"/>
      <c r="B541" s="175"/>
      <c r="F541" s="177"/>
      <c r="H541" s="178"/>
      <c r="I541" s="178"/>
      <c r="J541" s="184"/>
      <c r="N541" s="178"/>
      <c r="O541" s="178"/>
      <c r="P541" s="178"/>
      <c r="S541" s="458"/>
      <c r="AN541" s="458"/>
      <c r="AO541" s="458"/>
      <c r="AP541" s="458"/>
      <c r="AQ541" s="458"/>
      <c r="AR541" s="458"/>
      <c r="AS541" s="458"/>
      <c r="AT541" s="458"/>
      <c r="AU541" s="458"/>
      <c r="AV541" s="458"/>
      <c r="BA541" s="1305"/>
      <c r="BB541" s="174"/>
    </row>
    <row r="542" spans="1:54" ht="12.5">
      <c r="A542" s="174"/>
      <c r="B542" s="175"/>
      <c r="F542" s="177"/>
      <c r="H542" s="178"/>
      <c r="I542" s="178"/>
      <c r="J542" s="184"/>
      <c r="N542" s="178"/>
      <c r="O542" s="178"/>
      <c r="P542" s="178"/>
      <c r="S542" s="458"/>
      <c r="AN542" s="458"/>
      <c r="AO542" s="458"/>
      <c r="AP542" s="458"/>
      <c r="AQ542" s="458"/>
      <c r="AR542" s="458"/>
      <c r="AS542" s="458"/>
      <c r="AT542" s="458"/>
      <c r="AU542" s="458"/>
      <c r="AV542" s="458"/>
      <c r="BA542" s="1305"/>
      <c r="BB542" s="174"/>
    </row>
    <row r="543" spans="1:54" ht="12.5">
      <c r="A543" s="174"/>
      <c r="B543" s="175"/>
      <c r="F543" s="177"/>
      <c r="H543" s="178"/>
      <c r="I543" s="178"/>
      <c r="J543" s="184"/>
      <c r="N543" s="178"/>
      <c r="O543" s="178"/>
      <c r="P543" s="178"/>
      <c r="S543" s="458"/>
      <c r="AN543" s="458"/>
      <c r="AO543" s="458"/>
      <c r="AP543" s="458"/>
      <c r="AQ543" s="458"/>
      <c r="AR543" s="458"/>
      <c r="AS543" s="458"/>
      <c r="AT543" s="458"/>
      <c r="AU543" s="458"/>
      <c r="AV543" s="458"/>
      <c r="BA543" s="1305"/>
      <c r="BB543" s="174"/>
    </row>
    <row r="544" spans="1:54" ht="12.5">
      <c r="A544" s="174"/>
      <c r="B544" s="175"/>
      <c r="F544" s="177"/>
      <c r="H544" s="178"/>
      <c r="I544" s="178"/>
      <c r="J544" s="184"/>
      <c r="N544" s="178"/>
      <c r="O544" s="178"/>
      <c r="P544" s="178"/>
      <c r="S544" s="458"/>
      <c r="AN544" s="458"/>
      <c r="AO544" s="458"/>
      <c r="AP544" s="458"/>
      <c r="AQ544" s="458"/>
      <c r="AR544" s="458"/>
      <c r="AS544" s="458"/>
      <c r="AT544" s="458"/>
      <c r="AU544" s="458"/>
      <c r="AV544" s="458"/>
      <c r="BA544" s="1305"/>
      <c r="BB544" s="174"/>
    </row>
    <row r="545" spans="1:54" ht="12.5">
      <c r="A545" s="174"/>
      <c r="B545" s="175"/>
      <c r="F545" s="177"/>
      <c r="H545" s="178"/>
      <c r="I545" s="178"/>
      <c r="J545" s="184"/>
      <c r="N545" s="178"/>
      <c r="O545" s="178"/>
      <c r="P545" s="178"/>
      <c r="S545" s="458"/>
      <c r="AN545" s="458"/>
      <c r="AO545" s="458"/>
      <c r="AP545" s="458"/>
      <c r="AQ545" s="458"/>
      <c r="AR545" s="458"/>
      <c r="AS545" s="458"/>
      <c r="AT545" s="458"/>
      <c r="AU545" s="458"/>
      <c r="AV545" s="458"/>
      <c r="BA545" s="1305"/>
      <c r="BB545" s="174"/>
    </row>
    <row r="546" spans="1:54" ht="12.5">
      <c r="A546" s="174"/>
      <c r="B546" s="175"/>
      <c r="F546" s="177"/>
      <c r="H546" s="178"/>
      <c r="I546" s="178"/>
      <c r="J546" s="184"/>
      <c r="N546" s="178"/>
      <c r="O546" s="178"/>
      <c r="P546" s="178"/>
      <c r="S546" s="458"/>
      <c r="AN546" s="458"/>
      <c r="AO546" s="458"/>
      <c r="AP546" s="458"/>
      <c r="AQ546" s="458"/>
      <c r="AR546" s="458"/>
      <c r="AS546" s="458"/>
      <c r="AT546" s="458"/>
      <c r="AU546" s="458"/>
      <c r="AV546" s="458"/>
      <c r="BA546" s="1305"/>
      <c r="BB546" s="174"/>
    </row>
    <row r="547" spans="1:54" ht="12.5">
      <c r="A547" s="174"/>
      <c r="B547" s="175"/>
      <c r="F547" s="177"/>
      <c r="H547" s="178"/>
      <c r="I547" s="178"/>
      <c r="J547" s="184"/>
      <c r="N547" s="178"/>
      <c r="O547" s="178"/>
      <c r="P547" s="178"/>
      <c r="S547" s="458"/>
      <c r="AN547" s="458"/>
      <c r="AO547" s="458"/>
      <c r="AP547" s="458"/>
      <c r="AQ547" s="458"/>
      <c r="AR547" s="458"/>
      <c r="AS547" s="458"/>
      <c r="AT547" s="458"/>
      <c r="AU547" s="458"/>
      <c r="AV547" s="458"/>
      <c r="BA547" s="1305"/>
      <c r="BB547" s="174"/>
    </row>
    <row r="548" spans="1:54" ht="12.5">
      <c r="A548" s="174"/>
      <c r="B548" s="175"/>
      <c r="F548" s="177"/>
      <c r="H548" s="178"/>
      <c r="I548" s="178"/>
      <c r="J548" s="184"/>
      <c r="N548" s="178"/>
      <c r="O548" s="178"/>
      <c r="P548" s="178"/>
      <c r="S548" s="458"/>
      <c r="AN548" s="458"/>
      <c r="AO548" s="458"/>
      <c r="AP548" s="458"/>
      <c r="AQ548" s="458"/>
      <c r="AR548" s="458"/>
      <c r="AS548" s="458"/>
      <c r="AT548" s="458"/>
      <c r="AU548" s="458"/>
      <c r="AV548" s="458"/>
      <c r="BA548" s="1305"/>
      <c r="BB548" s="174"/>
    </row>
    <row r="549" spans="1:54" ht="12.5">
      <c r="A549" s="174"/>
      <c r="B549" s="175"/>
      <c r="F549" s="177"/>
      <c r="H549" s="178"/>
      <c r="I549" s="178"/>
      <c r="J549" s="184"/>
      <c r="N549" s="178"/>
      <c r="O549" s="178"/>
      <c r="P549" s="178"/>
      <c r="S549" s="458"/>
      <c r="AN549" s="458"/>
      <c r="AO549" s="458"/>
      <c r="AP549" s="458"/>
      <c r="AQ549" s="458"/>
      <c r="AR549" s="458"/>
      <c r="AS549" s="458"/>
      <c r="AT549" s="458"/>
      <c r="AU549" s="458"/>
      <c r="AV549" s="458"/>
      <c r="BA549" s="1305"/>
      <c r="BB549" s="174"/>
    </row>
    <row r="550" spans="1:54" ht="12.5">
      <c r="A550" s="174"/>
      <c r="B550" s="175"/>
      <c r="F550" s="177"/>
      <c r="H550" s="178"/>
      <c r="I550" s="178"/>
      <c r="J550" s="184"/>
      <c r="N550" s="178"/>
      <c r="O550" s="178"/>
      <c r="P550" s="178"/>
      <c r="S550" s="458"/>
      <c r="AN550" s="458"/>
      <c r="AO550" s="458"/>
      <c r="AP550" s="458"/>
      <c r="AQ550" s="458"/>
      <c r="AR550" s="458"/>
      <c r="AS550" s="458"/>
      <c r="AT550" s="458"/>
      <c r="AU550" s="458"/>
      <c r="AV550" s="458"/>
      <c r="BA550" s="1305"/>
      <c r="BB550" s="174"/>
    </row>
    <row r="551" spans="1:54" ht="12.5">
      <c r="A551" s="174"/>
      <c r="B551" s="175"/>
      <c r="F551" s="177"/>
      <c r="H551" s="178"/>
      <c r="I551" s="178"/>
      <c r="J551" s="184"/>
      <c r="N551" s="178"/>
      <c r="O551" s="178"/>
      <c r="P551" s="178"/>
      <c r="S551" s="458"/>
      <c r="AN551" s="458"/>
      <c r="AO551" s="458"/>
      <c r="AP551" s="458"/>
      <c r="AQ551" s="458"/>
      <c r="AR551" s="458"/>
      <c r="AS551" s="458"/>
      <c r="AT551" s="458"/>
      <c r="AU551" s="458"/>
      <c r="AV551" s="458"/>
      <c r="BA551" s="1305"/>
      <c r="BB551" s="174"/>
    </row>
    <row r="552" spans="1:54" ht="12.5">
      <c r="A552" s="174"/>
      <c r="B552" s="175"/>
      <c r="F552" s="177"/>
      <c r="H552" s="178"/>
      <c r="I552" s="178"/>
      <c r="J552" s="184"/>
      <c r="N552" s="178"/>
      <c r="O552" s="178"/>
      <c r="P552" s="178"/>
      <c r="S552" s="458"/>
      <c r="AN552" s="458"/>
      <c r="AO552" s="458"/>
      <c r="AP552" s="458"/>
      <c r="AQ552" s="458"/>
      <c r="AR552" s="458"/>
      <c r="AS552" s="458"/>
      <c r="AT552" s="458"/>
      <c r="AU552" s="458"/>
      <c r="AV552" s="458"/>
      <c r="BA552" s="1305"/>
      <c r="BB552" s="174"/>
    </row>
    <row r="553" spans="1:54" ht="12.5">
      <c r="A553" s="174"/>
      <c r="B553" s="175"/>
      <c r="F553" s="177"/>
      <c r="H553" s="178"/>
      <c r="I553" s="178"/>
      <c r="J553" s="184"/>
      <c r="N553" s="178"/>
      <c r="O553" s="178"/>
      <c r="P553" s="178"/>
      <c r="S553" s="458"/>
      <c r="AN553" s="458"/>
      <c r="AO553" s="458"/>
      <c r="AP553" s="458"/>
      <c r="AQ553" s="458"/>
      <c r="AR553" s="458"/>
      <c r="AS553" s="458"/>
      <c r="AT553" s="458"/>
      <c r="AU553" s="458"/>
      <c r="AV553" s="458"/>
      <c r="BA553" s="1305"/>
      <c r="BB553" s="174"/>
    </row>
    <row r="554" spans="1:54" ht="12.5">
      <c r="A554" s="174"/>
      <c r="B554" s="175"/>
      <c r="F554" s="177"/>
      <c r="H554" s="178"/>
      <c r="I554" s="178"/>
      <c r="J554" s="184"/>
      <c r="N554" s="178"/>
      <c r="O554" s="178"/>
      <c r="P554" s="178"/>
      <c r="S554" s="458"/>
      <c r="AN554" s="458"/>
      <c r="AO554" s="458"/>
      <c r="AP554" s="458"/>
      <c r="AQ554" s="458"/>
      <c r="AR554" s="458"/>
      <c r="AS554" s="458"/>
      <c r="AT554" s="458"/>
      <c r="AU554" s="458"/>
      <c r="AV554" s="458"/>
      <c r="BA554" s="1305"/>
      <c r="BB554" s="174"/>
    </row>
    <row r="555" spans="1:54" ht="12.5">
      <c r="A555" s="174"/>
      <c r="B555" s="175"/>
      <c r="F555" s="177"/>
      <c r="H555" s="178"/>
      <c r="I555" s="179"/>
      <c r="J555" s="184"/>
      <c r="N555" s="178"/>
      <c r="O555" s="178"/>
      <c r="P555" s="178"/>
      <c r="S555" s="458"/>
      <c r="AN555" s="458"/>
      <c r="AO555" s="458"/>
      <c r="AP555" s="458"/>
      <c r="AQ555" s="458"/>
      <c r="AR555" s="458"/>
      <c r="AS555" s="458"/>
      <c r="AT555" s="458"/>
      <c r="AU555" s="458"/>
      <c r="AV555" s="458"/>
      <c r="BA555" s="1305"/>
      <c r="BB555" s="174"/>
    </row>
    <row r="556" spans="1:54" ht="12.5">
      <c r="A556" s="174"/>
      <c r="B556" s="175"/>
      <c r="F556" s="177"/>
      <c r="H556" s="178"/>
      <c r="I556" s="178"/>
      <c r="J556" s="184"/>
      <c r="N556" s="178"/>
      <c r="O556" s="178"/>
      <c r="P556" s="178"/>
      <c r="S556" s="458"/>
      <c r="AN556" s="458"/>
      <c r="AO556" s="458"/>
      <c r="AP556" s="458"/>
      <c r="AQ556" s="458"/>
      <c r="AR556" s="458"/>
      <c r="AS556" s="458"/>
      <c r="AT556" s="458"/>
      <c r="AU556" s="458"/>
      <c r="AV556" s="458"/>
      <c r="BA556" s="1305"/>
      <c r="BB556" s="174"/>
    </row>
    <row r="557" spans="1:54" ht="12.5">
      <c r="A557" s="174"/>
      <c r="B557" s="175"/>
      <c r="F557" s="177"/>
      <c r="H557" s="178"/>
      <c r="I557" s="179"/>
      <c r="J557" s="184"/>
      <c r="N557" s="178"/>
      <c r="O557" s="178"/>
      <c r="P557" s="178"/>
      <c r="S557" s="458"/>
      <c r="AN557" s="458"/>
      <c r="AO557" s="458"/>
      <c r="AP557" s="458"/>
      <c r="AQ557" s="458"/>
      <c r="AR557" s="458"/>
      <c r="AS557" s="458"/>
      <c r="AT557" s="458"/>
      <c r="AU557" s="458"/>
      <c r="AV557" s="458"/>
      <c r="BA557" s="1305"/>
      <c r="BB557" s="174"/>
    </row>
    <row r="558" spans="1:54" ht="12.5">
      <c r="A558" s="174"/>
      <c r="B558" s="175"/>
      <c r="F558" s="177"/>
      <c r="H558" s="178"/>
      <c r="I558" s="178"/>
      <c r="J558" s="184"/>
      <c r="N558" s="178"/>
      <c r="O558" s="178"/>
      <c r="P558" s="178"/>
      <c r="S558" s="458"/>
      <c r="AN558" s="458"/>
      <c r="AO558" s="458"/>
      <c r="AP558" s="458"/>
      <c r="AQ558" s="458"/>
      <c r="AR558" s="458"/>
      <c r="AS558" s="458"/>
      <c r="AT558" s="458"/>
      <c r="AU558" s="458"/>
      <c r="AV558" s="458"/>
      <c r="BA558" s="1305"/>
      <c r="BB558" s="174"/>
    </row>
    <row r="559" spans="1:54" ht="12.5">
      <c r="A559" s="174"/>
      <c r="B559" s="175"/>
      <c r="F559" s="177"/>
      <c r="H559" s="178"/>
      <c r="I559" s="178"/>
      <c r="J559" s="184"/>
      <c r="N559" s="178"/>
      <c r="O559" s="178"/>
      <c r="P559" s="178"/>
      <c r="S559" s="458"/>
      <c r="AN559" s="458"/>
      <c r="AO559" s="458"/>
      <c r="AP559" s="458"/>
      <c r="AQ559" s="458"/>
      <c r="AR559" s="458"/>
      <c r="AS559" s="458"/>
      <c r="AT559" s="458"/>
      <c r="AU559" s="458"/>
      <c r="AV559" s="458"/>
      <c r="BA559" s="1305"/>
      <c r="BB559" s="174"/>
    </row>
    <row r="560" spans="1:54" ht="12.5">
      <c r="A560" s="174"/>
      <c r="B560" s="175"/>
      <c r="F560" s="177"/>
      <c r="H560" s="178"/>
      <c r="I560" s="179"/>
      <c r="J560" s="184"/>
      <c r="N560" s="178"/>
      <c r="O560" s="178"/>
      <c r="P560" s="178"/>
      <c r="S560" s="458"/>
      <c r="AN560" s="458"/>
      <c r="AO560" s="458"/>
      <c r="AP560" s="458"/>
      <c r="AQ560" s="458"/>
      <c r="AR560" s="458"/>
      <c r="AS560" s="458"/>
      <c r="AT560" s="458"/>
      <c r="AU560" s="458"/>
      <c r="AV560" s="458"/>
      <c r="BA560" s="1305"/>
      <c r="BB560" s="174"/>
    </row>
    <row r="561" spans="1:54" ht="12.5">
      <c r="A561" s="174"/>
      <c r="B561" s="175"/>
      <c r="F561" s="177"/>
      <c r="H561" s="178"/>
      <c r="I561" s="178"/>
      <c r="J561" s="184"/>
      <c r="N561" s="178"/>
      <c r="O561" s="178"/>
      <c r="P561" s="178"/>
      <c r="S561" s="458"/>
      <c r="AN561" s="458"/>
      <c r="AO561" s="458"/>
      <c r="AP561" s="458"/>
      <c r="AQ561" s="458"/>
      <c r="AR561" s="458"/>
      <c r="AS561" s="458"/>
      <c r="AT561" s="458"/>
      <c r="AU561" s="458"/>
      <c r="AV561" s="458"/>
      <c r="BA561" s="1305"/>
      <c r="BB561" s="174"/>
    </row>
    <row r="562" spans="1:54" ht="12.5">
      <c r="A562" s="174"/>
      <c r="B562" s="175"/>
      <c r="F562" s="177"/>
      <c r="H562" s="178"/>
      <c r="I562" s="178"/>
      <c r="J562" s="184"/>
      <c r="N562" s="178"/>
      <c r="O562" s="178"/>
      <c r="P562" s="178"/>
      <c r="S562" s="458"/>
      <c r="AN562" s="458"/>
      <c r="AO562" s="458"/>
      <c r="AP562" s="458"/>
      <c r="AQ562" s="458"/>
      <c r="AR562" s="458"/>
      <c r="AS562" s="458"/>
      <c r="AT562" s="458"/>
      <c r="AU562" s="458"/>
      <c r="AV562" s="458"/>
      <c r="BA562" s="1305"/>
      <c r="BB562" s="174"/>
    </row>
    <row r="563" spans="1:54" ht="12.5">
      <c r="A563" s="174"/>
      <c r="B563" s="175"/>
      <c r="F563" s="177"/>
      <c r="H563" s="178"/>
      <c r="I563" s="178"/>
      <c r="J563" s="184"/>
      <c r="N563" s="178"/>
      <c r="O563" s="178"/>
      <c r="P563" s="178"/>
      <c r="S563" s="458"/>
      <c r="AN563" s="458"/>
      <c r="AO563" s="458"/>
      <c r="AP563" s="458"/>
      <c r="AQ563" s="458"/>
      <c r="AR563" s="458"/>
      <c r="AS563" s="458"/>
      <c r="AT563" s="458"/>
      <c r="AU563" s="458"/>
      <c r="AV563" s="458"/>
      <c r="BA563" s="1305"/>
      <c r="BB563" s="174"/>
    </row>
    <row r="564" spans="1:54" ht="12.5">
      <c r="A564" s="174"/>
      <c r="B564" s="175"/>
      <c r="F564" s="177"/>
      <c r="H564" s="178"/>
      <c r="I564" s="178"/>
      <c r="J564" s="184"/>
      <c r="N564" s="178"/>
      <c r="O564" s="178"/>
      <c r="P564" s="178"/>
      <c r="S564" s="458"/>
      <c r="AN564" s="458"/>
      <c r="AO564" s="458"/>
      <c r="AP564" s="458"/>
      <c r="AQ564" s="458"/>
      <c r="AR564" s="458"/>
      <c r="AS564" s="458"/>
      <c r="AT564" s="458"/>
      <c r="AU564" s="458"/>
      <c r="AV564" s="458"/>
      <c r="BA564" s="1305"/>
      <c r="BB564" s="174"/>
    </row>
    <row r="565" spans="1:54" ht="12.5">
      <c r="A565" s="174"/>
      <c r="B565" s="175"/>
      <c r="F565" s="177"/>
      <c r="H565" s="178"/>
      <c r="I565" s="179"/>
      <c r="J565" s="184"/>
      <c r="N565" s="178"/>
      <c r="O565" s="178"/>
      <c r="P565" s="178"/>
      <c r="S565" s="458"/>
      <c r="AN565" s="458"/>
      <c r="AO565" s="458"/>
      <c r="AP565" s="458"/>
      <c r="AQ565" s="458"/>
      <c r="AR565" s="458"/>
      <c r="AS565" s="458"/>
      <c r="AT565" s="458"/>
      <c r="AU565" s="458"/>
      <c r="AV565" s="458"/>
      <c r="BA565" s="1305"/>
      <c r="BB565" s="174"/>
    </row>
    <row r="566" spans="1:54" ht="12.5">
      <c r="A566" s="174"/>
      <c r="B566" s="175"/>
      <c r="F566" s="177"/>
      <c r="H566" s="178"/>
      <c r="I566" s="178"/>
      <c r="J566" s="184"/>
      <c r="N566" s="178"/>
      <c r="O566" s="178"/>
      <c r="P566" s="178"/>
      <c r="S566" s="458"/>
      <c r="AN566" s="458"/>
      <c r="AO566" s="458"/>
      <c r="AP566" s="458"/>
      <c r="AQ566" s="458"/>
      <c r="AR566" s="458"/>
      <c r="AS566" s="458"/>
      <c r="AT566" s="458"/>
      <c r="AU566" s="458"/>
      <c r="AV566" s="458"/>
      <c r="BA566" s="1305"/>
      <c r="BB566" s="174"/>
    </row>
    <row r="567" spans="1:54" ht="12.5">
      <c r="A567" s="174"/>
      <c r="B567" s="175"/>
      <c r="F567" s="177"/>
      <c r="H567" s="178"/>
      <c r="I567" s="179"/>
      <c r="J567" s="184"/>
      <c r="N567" s="178"/>
      <c r="O567" s="178"/>
      <c r="P567" s="178"/>
      <c r="S567" s="458"/>
      <c r="AN567" s="458"/>
      <c r="AO567" s="458"/>
      <c r="AP567" s="458"/>
      <c r="AQ567" s="458"/>
      <c r="AR567" s="458"/>
      <c r="AS567" s="458"/>
      <c r="AT567" s="458"/>
      <c r="AU567" s="458"/>
      <c r="AV567" s="458"/>
      <c r="BA567" s="1305"/>
      <c r="BB567" s="174"/>
    </row>
    <row r="568" spans="1:54" ht="12.5">
      <c r="A568" s="174"/>
      <c r="B568" s="175"/>
      <c r="F568" s="177"/>
      <c r="H568" s="178"/>
      <c r="I568" s="178"/>
      <c r="J568" s="184"/>
      <c r="N568" s="178"/>
      <c r="O568" s="178"/>
      <c r="P568" s="178"/>
      <c r="S568" s="458"/>
      <c r="AN568" s="458"/>
      <c r="AO568" s="458"/>
      <c r="AP568" s="458"/>
      <c r="AQ568" s="458"/>
      <c r="AR568" s="458"/>
      <c r="AS568" s="458"/>
      <c r="AT568" s="458"/>
      <c r="AU568" s="458"/>
      <c r="AV568" s="458"/>
      <c r="BA568" s="1305"/>
      <c r="BB568" s="174"/>
    </row>
    <row r="569" spans="1:54" ht="12.5">
      <c r="A569" s="174"/>
      <c r="B569" s="175"/>
      <c r="F569" s="177"/>
      <c r="H569" s="178"/>
      <c r="I569" s="179"/>
      <c r="J569" s="184"/>
      <c r="N569" s="178"/>
      <c r="O569" s="178"/>
      <c r="P569" s="178"/>
      <c r="S569" s="458"/>
      <c r="AN569" s="458"/>
      <c r="AO569" s="458"/>
      <c r="AP569" s="458"/>
      <c r="AQ569" s="458"/>
      <c r="AR569" s="458"/>
      <c r="AS569" s="458"/>
      <c r="AT569" s="458"/>
      <c r="AU569" s="458"/>
      <c r="AV569" s="458"/>
      <c r="BA569" s="1305"/>
      <c r="BB569" s="174"/>
    </row>
    <row r="570" spans="1:54" ht="12.5">
      <c r="A570" s="174"/>
      <c r="B570" s="175"/>
      <c r="F570" s="177"/>
      <c r="H570" s="178"/>
      <c r="I570" s="178"/>
      <c r="J570" s="184"/>
      <c r="N570" s="178"/>
      <c r="O570" s="178"/>
      <c r="P570" s="178"/>
      <c r="S570" s="458"/>
      <c r="AN570" s="458"/>
      <c r="AO570" s="458"/>
      <c r="AP570" s="458"/>
      <c r="AQ570" s="458"/>
      <c r="AR570" s="458"/>
      <c r="AS570" s="458"/>
      <c r="AT570" s="458"/>
      <c r="AU570" s="458"/>
      <c r="AV570" s="458"/>
      <c r="BA570" s="1305"/>
      <c r="BB570" s="174"/>
    </row>
    <row r="571" spans="1:54" ht="12.5">
      <c r="A571" s="174"/>
      <c r="B571" s="175"/>
      <c r="F571" s="177"/>
      <c r="H571" s="178"/>
      <c r="I571" s="178"/>
      <c r="J571" s="184"/>
      <c r="N571" s="178"/>
      <c r="O571" s="178"/>
      <c r="P571" s="178"/>
      <c r="S571" s="458"/>
      <c r="AN571" s="458"/>
      <c r="AO571" s="458"/>
      <c r="AP571" s="458"/>
      <c r="AQ571" s="458"/>
      <c r="AR571" s="458"/>
      <c r="AS571" s="458"/>
      <c r="AT571" s="458"/>
      <c r="AU571" s="458"/>
      <c r="AV571" s="458"/>
      <c r="BA571" s="1305"/>
      <c r="BB571" s="174"/>
    </row>
    <row r="572" spans="1:54" ht="12.5">
      <c r="A572" s="174"/>
      <c r="B572" s="175"/>
      <c r="F572" s="177"/>
      <c r="H572" s="178"/>
      <c r="I572" s="178"/>
      <c r="J572" s="184"/>
      <c r="N572" s="178"/>
      <c r="O572" s="178"/>
      <c r="P572" s="178"/>
      <c r="S572" s="458"/>
      <c r="AN572" s="458"/>
      <c r="AO572" s="458"/>
      <c r="AP572" s="458"/>
      <c r="AQ572" s="458"/>
      <c r="AR572" s="458"/>
      <c r="AS572" s="458"/>
      <c r="AT572" s="458"/>
      <c r="AU572" s="458"/>
      <c r="AV572" s="458"/>
      <c r="BA572" s="1305"/>
      <c r="BB572" s="174"/>
    </row>
    <row r="573" spans="1:54" ht="12.5">
      <c r="A573" s="174"/>
      <c r="B573" s="175"/>
      <c r="F573" s="177"/>
      <c r="H573" s="178"/>
      <c r="I573" s="178"/>
      <c r="J573" s="184"/>
      <c r="N573" s="178"/>
      <c r="O573" s="178"/>
      <c r="P573" s="178"/>
      <c r="S573" s="458"/>
      <c r="AN573" s="458"/>
      <c r="AO573" s="458"/>
      <c r="AP573" s="458"/>
      <c r="AQ573" s="458"/>
      <c r="AR573" s="458"/>
      <c r="AS573" s="458"/>
      <c r="AT573" s="458"/>
      <c r="AU573" s="458"/>
      <c r="AV573" s="458"/>
      <c r="BA573" s="1305"/>
      <c r="BB573" s="174"/>
    </row>
    <row r="574" spans="1:54" ht="12.5">
      <c r="A574" s="174"/>
      <c r="B574" s="175"/>
      <c r="F574" s="177"/>
      <c r="H574" s="178"/>
      <c r="I574" s="178"/>
      <c r="J574" s="184"/>
      <c r="N574" s="178"/>
      <c r="O574" s="178"/>
      <c r="P574" s="178"/>
      <c r="S574" s="458"/>
      <c r="AN574" s="458"/>
      <c r="AO574" s="458"/>
      <c r="AP574" s="458"/>
      <c r="AQ574" s="458"/>
      <c r="AR574" s="458"/>
      <c r="AS574" s="458"/>
      <c r="AT574" s="458"/>
      <c r="AU574" s="458"/>
      <c r="AV574" s="458"/>
      <c r="BA574" s="1305"/>
      <c r="BB574" s="174"/>
    </row>
    <row r="575" spans="1:54" ht="12.5">
      <c r="A575" s="174"/>
      <c r="B575" s="175"/>
      <c r="F575" s="177"/>
      <c r="H575" s="178"/>
      <c r="I575" s="178"/>
      <c r="J575" s="184"/>
      <c r="N575" s="178"/>
      <c r="O575" s="178"/>
      <c r="P575" s="178"/>
      <c r="S575" s="458"/>
      <c r="AN575" s="458"/>
      <c r="AO575" s="458"/>
      <c r="AP575" s="458"/>
      <c r="AQ575" s="458"/>
      <c r="AR575" s="458"/>
      <c r="AS575" s="458"/>
      <c r="AT575" s="458"/>
      <c r="AU575" s="458"/>
      <c r="AV575" s="458"/>
      <c r="BA575" s="1305"/>
      <c r="BB575" s="174"/>
    </row>
    <row r="576" spans="1:54" ht="12.5">
      <c r="A576" s="174"/>
      <c r="B576" s="175"/>
      <c r="F576" s="177"/>
      <c r="H576" s="178"/>
      <c r="I576" s="178"/>
      <c r="J576" s="184"/>
      <c r="N576" s="178"/>
      <c r="O576" s="178"/>
      <c r="P576" s="178"/>
      <c r="S576" s="458"/>
      <c r="AN576" s="458"/>
      <c r="AO576" s="458"/>
      <c r="AP576" s="458"/>
      <c r="AQ576" s="458"/>
      <c r="AR576" s="458"/>
      <c r="AS576" s="458"/>
      <c r="AT576" s="458"/>
      <c r="AU576" s="458"/>
      <c r="AV576" s="458"/>
      <c r="BA576" s="1305"/>
      <c r="BB576" s="174"/>
    </row>
    <row r="577" spans="1:54" ht="12.5">
      <c r="A577" s="174"/>
      <c r="B577" s="175"/>
      <c r="F577" s="177"/>
      <c r="H577" s="178"/>
      <c r="I577" s="178"/>
      <c r="J577" s="184"/>
      <c r="N577" s="178"/>
      <c r="O577" s="178"/>
      <c r="P577" s="178"/>
      <c r="S577" s="458"/>
      <c r="AN577" s="458"/>
      <c r="AO577" s="458"/>
      <c r="AP577" s="458"/>
      <c r="AQ577" s="458"/>
      <c r="AR577" s="458"/>
      <c r="AS577" s="458"/>
      <c r="AT577" s="458"/>
      <c r="AU577" s="458"/>
      <c r="AV577" s="458"/>
      <c r="BA577" s="1305"/>
      <c r="BB577" s="174"/>
    </row>
    <row r="578" spans="1:54" ht="12.5">
      <c r="A578" s="174"/>
      <c r="B578" s="175"/>
      <c r="F578" s="177"/>
      <c r="H578" s="178"/>
      <c r="I578" s="178"/>
      <c r="J578" s="184"/>
      <c r="N578" s="178"/>
      <c r="O578" s="178"/>
      <c r="P578" s="178"/>
      <c r="S578" s="458"/>
      <c r="AN578" s="458"/>
      <c r="AO578" s="458"/>
      <c r="AP578" s="458"/>
      <c r="AQ578" s="458"/>
      <c r="AR578" s="458"/>
      <c r="AS578" s="458"/>
      <c r="AT578" s="458"/>
      <c r="AU578" s="458"/>
      <c r="AV578" s="458"/>
      <c r="BA578" s="1305"/>
      <c r="BB578" s="174"/>
    </row>
    <row r="579" spans="1:54" ht="12.5">
      <c r="A579" s="174"/>
      <c r="B579" s="175"/>
      <c r="F579" s="177"/>
      <c r="H579" s="178"/>
      <c r="I579" s="178"/>
      <c r="J579" s="184"/>
      <c r="N579" s="178"/>
      <c r="O579" s="178"/>
      <c r="P579" s="178"/>
      <c r="S579" s="458"/>
      <c r="AN579" s="458"/>
      <c r="AO579" s="458"/>
      <c r="AP579" s="458"/>
      <c r="AQ579" s="458"/>
      <c r="AR579" s="458"/>
      <c r="AS579" s="458"/>
      <c r="AT579" s="458"/>
      <c r="AU579" s="458"/>
      <c r="AV579" s="458"/>
      <c r="BA579" s="1305"/>
      <c r="BB579" s="174"/>
    </row>
    <row r="580" spans="1:54" ht="12.5">
      <c r="A580" s="174"/>
      <c r="B580" s="175"/>
      <c r="F580" s="177"/>
      <c r="H580" s="178"/>
      <c r="I580" s="178"/>
      <c r="J580" s="184"/>
      <c r="N580" s="178"/>
      <c r="O580" s="178"/>
      <c r="P580" s="178"/>
      <c r="S580" s="458"/>
      <c r="AN580" s="458"/>
      <c r="AO580" s="458"/>
      <c r="AP580" s="458"/>
      <c r="AQ580" s="458"/>
      <c r="AR580" s="458"/>
      <c r="AS580" s="458"/>
      <c r="AT580" s="458"/>
      <c r="AU580" s="458"/>
      <c r="AV580" s="458"/>
      <c r="BA580" s="1305"/>
      <c r="BB580" s="174"/>
    </row>
    <row r="581" spans="1:54" ht="12.5">
      <c r="A581" s="174"/>
      <c r="B581" s="175"/>
      <c r="F581" s="177"/>
      <c r="H581" s="178"/>
      <c r="I581" s="178"/>
      <c r="J581" s="184"/>
      <c r="N581" s="178"/>
      <c r="O581" s="178"/>
      <c r="P581" s="178"/>
      <c r="S581" s="458"/>
      <c r="AN581" s="458"/>
      <c r="AO581" s="458"/>
      <c r="AP581" s="458"/>
      <c r="AQ581" s="458"/>
      <c r="AR581" s="458"/>
      <c r="AS581" s="458"/>
      <c r="AT581" s="458"/>
      <c r="AU581" s="458"/>
      <c r="AV581" s="458"/>
      <c r="BA581" s="1305"/>
      <c r="BB581" s="174"/>
    </row>
    <row r="582" spans="1:54" ht="12.5">
      <c r="A582" s="174"/>
      <c r="B582" s="175"/>
      <c r="F582" s="177"/>
      <c r="H582" s="178"/>
      <c r="I582" s="178"/>
      <c r="J582" s="184"/>
      <c r="N582" s="178"/>
      <c r="O582" s="178"/>
      <c r="P582" s="178"/>
      <c r="S582" s="458"/>
      <c r="AN582" s="458"/>
      <c r="AO582" s="458"/>
      <c r="AP582" s="458"/>
      <c r="AQ582" s="458"/>
      <c r="AR582" s="458"/>
      <c r="AS582" s="458"/>
      <c r="AT582" s="458"/>
      <c r="AU582" s="458"/>
      <c r="AV582" s="458"/>
      <c r="BA582" s="1305"/>
      <c r="BB582" s="174"/>
    </row>
    <row r="583" spans="1:54" ht="12.5">
      <c r="A583" s="174"/>
      <c r="B583" s="175"/>
      <c r="F583" s="177"/>
      <c r="H583" s="178"/>
      <c r="I583" s="178"/>
      <c r="J583" s="184"/>
      <c r="N583" s="178"/>
      <c r="O583" s="178"/>
      <c r="P583" s="178"/>
      <c r="S583" s="458"/>
      <c r="AN583" s="458"/>
      <c r="AO583" s="458"/>
      <c r="AP583" s="458"/>
      <c r="AQ583" s="458"/>
      <c r="AR583" s="458"/>
      <c r="AS583" s="458"/>
      <c r="AT583" s="458"/>
      <c r="AU583" s="458"/>
      <c r="AV583" s="458"/>
      <c r="BA583" s="1305"/>
      <c r="BB583" s="174"/>
    </row>
    <row r="584" spans="1:54" ht="12.5">
      <c r="A584" s="174"/>
      <c r="B584" s="175"/>
      <c r="F584" s="177"/>
      <c r="H584" s="178"/>
      <c r="I584" s="178"/>
      <c r="J584" s="184"/>
      <c r="N584" s="178"/>
      <c r="O584" s="178"/>
      <c r="P584" s="178"/>
      <c r="S584" s="458"/>
      <c r="AN584" s="458"/>
      <c r="AO584" s="458"/>
      <c r="AP584" s="458"/>
      <c r="AQ584" s="458"/>
      <c r="AR584" s="458"/>
      <c r="AS584" s="458"/>
      <c r="AT584" s="458"/>
      <c r="AU584" s="458"/>
      <c r="AV584" s="458"/>
      <c r="BA584" s="1305"/>
      <c r="BB584" s="174"/>
    </row>
    <row r="585" spans="1:54" ht="12.5">
      <c r="A585" s="174"/>
      <c r="B585" s="175"/>
      <c r="F585" s="177"/>
      <c r="H585" s="178"/>
      <c r="I585" s="178"/>
      <c r="J585" s="184"/>
      <c r="N585" s="178"/>
      <c r="O585" s="178"/>
      <c r="P585" s="178"/>
      <c r="S585" s="458"/>
      <c r="AN585" s="458"/>
      <c r="AO585" s="458"/>
      <c r="AP585" s="458"/>
      <c r="AQ585" s="458"/>
      <c r="AR585" s="458"/>
      <c r="AS585" s="458"/>
      <c r="AT585" s="458"/>
      <c r="AU585" s="458"/>
      <c r="AV585" s="458"/>
      <c r="BA585" s="1305"/>
      <c r="BB585" s="174"/>
    </row>
    <row r="586" spans="1:54" ht="12.5">
      <c r="A586" s="174"/>
      <c r="B586" s="175"/>
      <c r="F586" s="177"/>
      <c r="H586" s="178"/>
      <c r="I586" s="178"/>
      <c r="J586" s="184"/>
      <c r="N586" s="178"/>
      <c r="O586" s="178"/>
      <c r="P586" s="178"/>
      <c r="S586" s="458"/>
      <c r="AN586" s="458"/>
      <c r="AO586" s="458"/>
      <c r="AP586" s="458"/>
      <c r="AQ586" s="458"/>
      <c r="AR586" s="458"/>
      <c r="AS586" s="458"/>
      <c r="AT586" s="458"/>
      <c r="AU586" s="458"/>
      <c r="AV586" s="458"/>
      <c r="BA586" s="1305"/>
      <c r="BB586" s="174"/>
    </row>
    <row r="587" spans="1:54" ht="12.5">
      <c r="A587" s="174"/>
      <c r="B587" s="175"/>
      <c r="F587" s="177"/>
      <c r="H587" s="178"/>
      <c r="I587" s="178"/>
      <c r="J587" s="184"/>
      <c r="N587" s="178"/>
      <c r="O587" s="178"/>
      <c r="P587" s="178"/>
      <c r="S587" s="458"/>
      <c r="AN587" s="458"/>
      <c r="AO587" s="458"/>
      <c r="AP587" s="458"/>
      <c r="AQ587" s="458"/>
      <c r="AR587" s="458"/>
      <c r="AS587" s="458"/>
      <c r="AT587" s="458"/>
      <c r="AU587" s="458"/>
      <c r="AV587" s="458"/>
      <c r="BA587" s="1305"/>
      <c r="BB587" s="174"/>
    </row>
    <row r="588" spans="1:54" ht="12.5">
      <c r="A588" s="174"/>
      <c r="B588" s="175"/>
      <c r="F588" s="177"/>
      <c r="H588" s="178"/>
      <c r="I588" s="178"/>
      <c r="J588" s="184"/>
      <c r="N588" s="178"/>
      <c r="O588" s="178"/>
      <c r="P588" s="178"/>
      <c r="S588" s="458"/>
      <c r="AN588" s="458"/>
      <c r="AO588" s="458"/>
      <c r="AP588" s="458"/>
      <c r="AQ588" s="458"/>
      <c r="AR588" s="458"/>
      <c r="AS588" s="458"/>
      <c r="AT588" s="458"/>
      <c r="AU588" s="458"/>
      <c r="AV588" s="458"/>
      <c r="BA588" s="1305"/>
      <c r="BB588" s="174"/>
    </row>
    <row r="589" spans="1:54" ht="12.5">
      <c r="A589" s="174"/>
      <c r="B589" s="175"/>
      <c r="F589" s="177"/>
      <c r="H589" s="178"/>
      <c r="I589" s="179"/>
      <c r="J589" s="184"/>
      <c r="N589" s="178"/>
      <c r="O589" s="178"/>
      <c r="P589" s="178"/>
      <c r="S589" s="458"/>
      <c r="AN589" s="458"/>
      <c r="AO589" s="458"/>
      <c r="AP589" s="458"/>
      <c r="AQ589" s="458"/>
      <c r="AR589" s="458"/>
      <c r="AS589" s="458"/>
      <c r="AT589" s="458"/>
      <c r="AU589" s="458"/>
      <c r="AV589" s="458"/>
      <c r="BA589" s="1305"/>
      <c r="BB589" s="174"/>
    </row>
    <row r="590" spans="1:54" ht="12.5">
      <c r="A590" s="174"/>
      <c r="B590" s="175"/>
      <c r="F590" s="177"/>
      <c r="H590" s="178"/>
      <c r="I590" s="178"/>
      <c r="J590" s="184"/>
      <c r="N590" s="178"/>
      <c r="O590" s="178"/>
      <c r="P590" s="178"/>
      <c r="S590" s="458"/>
      <c r="AN590" s="458"/>
      <c r="AO590" s="458"/>
      <c r="AP590" s="458"/>
      <c r="AQ590" s="458"/>
      <c r="AR590" s="458"/>
      <c r="AS590" s="458"/>
      <c r="AT590" s="458"/>
      <c r="AU590" s="458"/>
      <c r="AV590" s="458"/>
      <c r="BA590" s="1305"/>
      <c r="BB590" s="174"/>
    </row>
    <row r="591" spans="1:54" ht="12.5">
      <c r="A591" s="174"/>
      <c r="B591" s="175"/>
      <c r="F591" s="177"/>
      <c r="H591" s="178"/>
      <c r="I591" s="179"/>
      <c r="J591" s="184"/>
      <c r="N591" s="178"/>
      <c r="O591" s="178"/>
      <c r="P591" s="178"/>
      <c r="S591" s="458"/>
      <c r="AN591" s="458"/>
      <c r="AO591" s="458"/>
      <c r="AP591" s="458"/>
      <c r="AQ591" s="458"/>
      <c r="AR591" s="458"/>
      <c r="AS591" s="458"/>
      <c r="AT591" s="458"/>
      <c r="AU591" s="458"/>
      <c r="AV591" s="458"/>
      <c r="BA591" s="1305"/>
      <c r="BB591" s="174"/>
    </row>
    <row r="592" spans="1:54" ht="12.5">
      <c r="A592" s="174"/>
      <c r="B592" s="175"/>
      <c r="F592" s="177"/>
      <c r="H592" s="178"/>
      <c r="I592" s="178"/>
      <c r="J592" s="184"/>
      <c r="N592" s="178"/>
      <c r="O592" s="178"/>
      <c r="P592" s="178"/>
      <c r="S592" s="458"/>
      <c r="AN592" s="458"/>
      <c r="AO592" s="458"/>
      <c r="AP592" s="458"/>
      <c r="AQ592" s="458"/>
      <c r="AR592" s="458"/>
      <c r="AS592" s="458"/>
      <c r="AT592" s="458"/>
      <c r="AU592" s="458"/>
      <c r="AV592" s="458"/>
      <c r="BA592" s="1305"/>
      <c r="BB592" s="174"/>
    </row>
    <row r="593" spans="1:54" ht="12.5">
      <c r="A593" s="174"/>
      <c r="B593" s="175"/>
      <c r="F593" s="177"/>
      <c r="H593" s="178"/>
      <c r="I593" s="178"/>
      <c r="J593" s="184"/>
      <c r="N593" s="178"/>
      <c r="O593" s="178"/>
      <c r="P593" s="178"/>
      <c r="S593" s="458"/>
      <c r="AN593" s="458"/>
      <c r="AO593" s="458"/>
      <c r="AP593" s="458"/>
      <c r="AQ593" s="458"/>
      <c r="AR593" s="458"/>
      <c r="AS593" s="458"/>
      <c r="AT593" s="458"/>
      <c r="AU593" s="458"/>
      <c r="AV593" s="458"/>
      <c r="BA593" s="1305"/>
      <c r="BB593" s="174"/>
    </row>
    <row r="594" spans="1:54" ht="12.5">
      <c r="A594" s="174"/>
      <c r="B594" s="175"/>
      <c r="F594" s="177"/>
      <c r="H594" s="178"/>
      <c r="I594" s="179"/>
      <c r="J594" s="184"/>
      <c r="N594" s="178"/>
      <c r="O594" s="178"/>
      <c r="P594" s="178"/>
      <c r="S594" s="458"/>
      <c r="AN594" s="458"/>
      <c r="AO594" s="458"/>
      <c r="AP594" s="458"/>
      <c r="AQ594" s="458"/>
      <c r="AR594" s="458"/>
      <c r="AS594" s="458"/>
      <c r="AT594" s="458"/>
      <c r="AU594" s="458"/>
      <c r="AV594" s="458"/>
      <c r="BA594" s="1305"/>
      <c r="BB594" s="174"/>
    </row>
    <row r="595" spans="1:54" ht="12.5">
      <c r="A595" s="174"/>
      <c r="B595" s="175"/>
      <c r="F595" s="177"/>
      <c r="H595" s="178"/>
      <c r="I595" s="178"/>
      <c r="J595" s="184"/>
      <c r="N595" s="178"/>
      <c r="O595" s="178"/>
      <c r="P595" s="178"/>
      <c r="S595" s="458"/>
      <c r="AN595" s="458"/>
      <c r="AO595" s="458"/>
      <c r="AP595" s="458"/>
      <c r="AQ595" s="458"/>
      <c r="AR595" s="458"/>
      <c r="AS595" s="458"/>
      <c r="AT595" s="458"/>
      <c r="AU595" s="458"/>
      <c r="AV595" s="458"/>
      <c r="BA595" s="1305"/>
      <c r="BB595" s="174"/>
    </row>
    <row r="596" spans="1:54" ht="12.5">
      <c r="A596" s="174"/>
      <c r="B596" s="175"/>
      <c r="F596" s="177"/>
      <c r="H596" s="178"/>
      <c r="I596" s="178"/>
      <c r="J596" s="184"/>
      <c r="N596" s="178"/>
      <c r="O596" s="178"/>
      <c r="P596" s="178"/>
      <c r="S596" s="458"/>
      <c r="AN596" s="458"/>
      <c r="AO596" s="458"/>
      <c r="AP596" s="458"/>
      <c r="AQ596" s="458"/>
      <c r="AR596" s="458"/>
      <c r="AS596" s="458"/>
      <c r="AT596" s="458"/>
      <c r="AU596" s="458"/>
      <c r="AV596" s="458"/>
      <c r="BA596" s="1305"/>
      <c r="BB596" s="174"/>
    </row>
    <row r="597" spans="1:54" ht="12.5">
      <c r="A597" s="174"/>
      <c r="B597" s="175"/>
      <c r="F597" s="177"/>
      <c r="H597" s="178"/>
      <c r="I597" s="178"/>
      <c r="J597" s="184"/>
      <c r="N597" s="178"/>
      <c r="O597" s="178"/>
      <c r="P597" s="178"/>
      <c r="S597" s="458"/>
      <c r="AN597" s="458"/>
      <c r="AO597" s="458"/>
      <c r="AP597" s="458"/>
      <c r="AQ597" s="458"/>
      <c r="AR597" s="458"/>
      <c r="AS597" s="458"/>
      <c r="AT597" s="458"/>
      <c r="AU597" s="458"/>
      <c r="AV597" s="458"/>
      <c r="BA597" s="1305"/>
      <c r="BB597" s="174"/>
    </row>
    <row r="598" spans="1:54" ht="12.5">
      <c r="A598" s="174"/>
      <c r="B598" s="175"/>
      <c r="F598" s="177"/>
      <c r="H598" s="178"/>
      <c r="I598" s="178"/>
      <c r="J598" s="184"/>
      <c r="N598" s="178"/>
      <c r="O598" s="178"/>
      <c r="P598" s="178"/>
      <c r="S598" s="458"/>
      <c r="AN598" s="458"/>
      <c r="AO598" s="458"/>
      <c r="AP598" s="458"/>
      <c r="AQ598" s="458"/>
      <c r="AR598" s="458"/>
      <c r="AS598" s="458"/>
      <c r="AT598" s="458"/>
      <c r="AU598" s="458"/>
      <c r="AV598" s="458"/>
      <c r="BA598" s="1305"/>
      <c r="BB598" s="174"/>
    </row>
    <row r="599" spans="1:54" ht="12.5">
      <c r="A599" s="174"/>
      <c r="B599" s="175"/>
      <c r="F599" s="177"/>
      <c r="H599" s="178"/>
      <c r="I599" s="179"/>
      <c r="J599" s="184"/>
      <c r="N599" s="178"/>
      <c r="O599" s="178"/>
      <c r="P599" s="178"/>
      <c r="S599" s="458"/>
      <c r="AN599" s="458"/>
      <c r="AO599" s="458"/>
      <c r="AP599" s="458"/>
      <c r="AQ599" s="458"/>
      <c r="AR599" s="458"/>
      <c r="AS599" s="458"/>
      <c r="AT599" s="458"/>
      <c r="AU599" s="458"/>
      <c r="AV599" s="458"/>
      <c r="BA599" s="1305"/>
      <c r="BB599" s="174"/>
    </row>
    <row r="600" spans="1:54" ht="12.5">
      <c r="A600" s="174"/>
      <c r="B600" s="175"/>
      <c r="F600" s="177"/>
      <c r="H600" s="178"/>
      <c r="I600" s="178"/>
      <c r="J600" s="184"/>
      <c r="N600" s="178"/>
      <c r="O600" s="178"/>
      <c r="P600" s="178"/>
      <c r="S600" s="458"/>
      <c r="AN600" s="458"/>
      <c r="AO600" s="458"/>
      <c r="AP600" s="458"/>
      <c r="AQ600" s="458"/>
      <c r="AR600" s="458"/>
      <c r="AS600" s="458"/>
      <c r="AT600" s="458"/>
      <c r="AU600" s="458"/>
      <c r="AV600" s="458"/>
      <c r="BA600" s="1305"/>
      <c r="BB600" s="174"/>
    </row>
    <row r="601" spans="1:54" ht="12.5">
      <c r="A601" s="174"/>
      <c r="B601" s="175"/>
      <c r="F601" s="177"/>
      <c r="H601" s="178"/>
      <c r="I601" s="179"/>
      <c r="J601" s="184"/>
      <c r="N601" s="178"/>
      <c r="O601" s="178"/>
      <c r="P601" s="178"/>
      <c r="S601" s="458"/>
      <c r="AN601" s="458"/>
      <c r="AO601" s="458"/>
      <c r="AP601" s="458"/>
      <c r="AQ601" s="458"/>
      <c r="AR601" s="458"/>
      <c r="AS601" s="458"/>
      <c r="AT601" s="458"/>
      <c r="AU601" s="458"/>
      <c r="AV601" s="458"/>
      <c r="BA601" s="1305"/>
      <c r="BB601" s="174"/>
    </row>
    <row r="602" spans="1:54" ht="12.5">
      <c r="A602" s="174"/>
      <c r="B602" s="175"/>
      <c r="F602" s="177"/>
      <c r="H602" s="178"/>
      <c r="I602" s="178"/>
      <c r="J602" s="184"/>
      <c r="N602" s="178"/>
      <c r="O602" s="178"/>
      <c r="P602" s="178"/>
      <c r="S602" s="458"/>
      <c r="AN602" s="458"/>
      <c r="AO602" s="458"/>
      <c r="AP602" s="458"/>
      <c r="AQ602" s="458"/>
      <c r="AR602" s="458"/>
      <c r="AS602" s="458"/>
      <c r="AT602" s="458"/>
      <c r="AU602" s="458"/>
      <c r="AV602" s="458"/>
      <c r="BA602" s="1305"/>
      <c r="BB602" s="174"/>
    </row>
    <row r="603" spans="1:54" ht="12.5">
      <c r="A603" s="174"/>
      <c r="B603" s="175"/>
      <c r="F603" s="177"/>
      <c r="H603" s="178"/>
      <c r="I603" s="179"/>
      <c r="J603" s="184"/>
      <c r="N603" s="178"/>
      <c r="O603" s="178"/>
      <c r="P603" s="178"/>
      <c r="S603" s="458"/>
      <c r="AN603" s="458"/>
      <c r="AO603" s="458"/>
      <c r="AP603" s="458"/>
      <c r="AQ603" s="458"/>
      <c r="AR603" s="458"/>
      <c r="AS603" s="458"/>
      <c r="AT603" s="458"/>
      <c r="AU603" s="458"/>
      <c r="AV603" s="458"/>
      <c r="BA603" s="1305"/>
      <c r="BB603" s="174"/>
    </row>
    <row r="604" spans="1:54" ht="12.5">
      <c r="A604" s="174"/>
      <c r="B604" s="175"/>
      <c r="F604" s="177"/>
      <c r="H604" s="178"/>
      <c r="I604" s="178"/>
      <c r="J604" s="184"/>
      <c r="N604" s="178"/>
      <c r="O604" s="178"/>
      <c r="P604" s="178"/>
      <c r="S604" s="458"/>
      <c r="AN604" s="458"/>
      <c r="AO604" s="458"/>
      <c r="AP604" s="458"/>
      <c r="AQ604" s="458"/>
      <c r="AR604" s="458"/>
      <c r="AS604" s="458"/>
      <c r="AT604" s="458"/>
      <c r="AU604" s="458"/>
      <c r="AV604" s="458"/>
      <c r="BA604" s="1305"/>
      <c r="BB604" s="174"/>
    </row>
    <row r="605" spans="1:54" ht="12.5">
      <c r="A605" s="174"/>
      <c r="B605" s="175"/>
      <c r="F605" s="177"/>
      <c r="H605" s="178"/>
      <c r="I605" s="178"/>
      <c r="J605" s="184"/>
      <c r="N605" s="178"/>
      <c r="O605" s="178"/>
      <c r="P605" s="178"/>
      <c r="S605" s="458"/>
      <c r="AN605" s="458"/>
      <c r="AO605" s="458"/>
      <c r="AP605" s="458"/>
      <c r="AQ605" s="458"/>
      <c r="AR605" s="458"/>
      <c r="AS605" s="458"/>
      <c r="AT605" s="458"/>
      <c r="AU605" s="458"/>
      <c r="AV605" s="458"/>
      <c r="BA605" s="1305"/>
      <c r="BB605" s="174"/>
    </row>
    <row r="606" spans="1:54" ht="12.5">
      <c r="A606" s="174"/>
      <c r="B606" s="175"/>
      <c r="F606" s="177"/>
      <c r="H606" s="178"/>
      <c r="I606" s="178"/>
      <c r="J606" s="184"/>
      <c r="N606" s="178"/>
      <c r="O606" s="178"/>
      <c r="P606" s="178"/>
      <c r="S606" s="458"/>
      <c r="AN606" s="458"/>
      <c r="AO606" s="458"/>
      <c r="AP606" s="458"/>
      <c r="AQ606" s="458"/>
      <c r="AR606" s="458"/>
      <c r="AS606" s="458"/>
      <c r="AT606" s="458"/>
      <c r="AU606" s="458"/>
      <c r="AV606" s="458"/>
      <c r="BA606" s="1305"/>
      <c r="BB606" s="174"/>
    </row>
    <row r="607" spans="1:54" ht="12.5">
      <c r="A607" s="174"/>
      <c r="B607" s="175"/>
      <c r="F607" s="177"/>
      <c r="H607" s="178"/>
      <c r="I607" s="178"/>
      <c r="J607" s="184"/>
      <c r="N607" s="178"/>
      <c r="O607" s="178"/>
      <c r="P607" s="178"/>
      <c r="S607" s="458"/>
      <c r="AN607" s="458"/>
      <c r="AO607" s="458"/>
      <c r="AP607" s="458"/>
      <c r="AQ607" s="458"/>
      <c r="AR607" s="458"/>
      <c r="AS607" s="458"/>
      <c r="AT607" s="458"/>
      <c r="AU607" s="458"/>
      <c r="AV607" s="458"/>
      <c r="BA607" s="1305"/>
      <c r="BB607" s="174"/>
    </row>
    <row r="608" spans="1:54" ht="12.5">
      <c r="A608" s="174"/>
      <c r="B608" s="175"/>
      <c r="F608" s="177"/>
      <c r="H608" s="178"/>
      <c r="I608" s="178"/>
      <c r="J608" s="184"/>
      <c r="N608" s="178"/>
      <c r="O608" s="178"/>
      <c r="P608" s="178"/>
      <c r="S608" s="458"/>
      <c r="AN608" s="458"/>
      <c r="AO608" s="458"/>
      <c r="AP608" s="458"/>
      <c r="AQ608" s="458"/>
      <c r="AR608" s="458"/>
      <c r="AS608" s="458"/>
      <c r="AT608" s="458"/>
      <c r="AU608" s="458"/>
      <c r="AV608" s="458"/>
      <c r="BA608" s="1305"/>
      <c r="BB608" s="174"/>
    </row>
    <row r="609" spans="1:54" ht="12.5">
      <c r="A609" s="174"/>
      <c r="B609" s="175"/>
      <c r="F609" s="177"/>
      <c r="H609" s="178"/>
      <c r="I609" s="178"/>
      <c r="J609" s="184"/>
      <c r="N609" s="178"/>
      <c r="O609" s="178"/>
      <c r="P609" s="178"/>
      <c r="S609" s="458"/>
      <c r="AN609" s="458"/>
      <c r="AO609" s="458"/>
      <c r="AP609" s="458"/>
      <c r="AQ609" s="458"/>
      <c r="AR609" s="458"/>
      <c r="AS609" s="458"/>
      <c r="AT609" s="458"/>
      <c r="AU609" s="458"/>
      <c r="AV609" s="458"/>
      <c r="BA609" s="1305"/>
      <c r="BB609" s="174"/>
    </row>
    <row r="610" spans="1:54" ht="12.5">
      <c r="A610" s="174"/>
      <c r="B610" s="175"/>
      <c r="F610" s="177"/>
      <c r="H610" s="178"/>
      <c r="I610" s="178"/>
      <c r="J610" s="184"/>
      <c r="N610" s="178"/>
      <c r="O610" s="178"/>
      <c r="P610" s="178"/>
      <c r="S610" s="458"/>
      <c r="AN610" s="458"/>
      <c r="AO610" s="458"/>
      <c r="AP610" s="458"/>
      <c r="AQ610" s="458"/>
      <c r="AR610" s="458"/>
      <c r="AS610" s="458"/>
      <c r="AT610" s="458"/>
      <c r="AU610" s="458"/>
      <c r="AV610" s="458"/>
      <c r="BA610" s="1305"/>
      <c r="BB610" s="174"/>
    </row>
    <row r="611" spans="1:54" ht="12.5">
      <c r="A611" s="174"/>
      <c r="B611" s="175"/>
      <c r="F611" s="177"/>
      <c r="H611" s="178"/>
      <c r="I611" s="178"/>
      <c r="J611" s="184"/>
      <c r="N611" s="178"/>
      <c r="O611" s="178"/>
      <c r="P611" s="178"/>
      <c r="S611" s="458"/>
      <c r="AN611" s="458"/>
      <c r="AO611" s="458"/>
      <c r="AP611" s="458"/>
      <c r="AQ611" s="458"/>
      <c r="AR611" s="458"/>
      <c r="AS611" s="458"/>
      <c r="AT611" s="458"/>
      <c r="AU611" s="458"/>
      <c r="AV611" s="458"/>
      <c r="BA611" s="1305"/>
      <c r="BB611" s="174"/>
    </row>
    <row r="612" spans="1:54" ht="12.5">
      <c r="A612" s="174"/>
      <c r="B612" s="175"/>
      <c r="F612" s="177"/>
      <c r="H612" s="178"/>
      <c r="I612" s="178"/>
      <c r="J612" s="184"/>
      <c r="N612" s="178"/>
      <c r="O612" s="178"/>
      <c r="P612" s="178"/>
      <c r="S612" s="458"/>
      <c r="AN612" s="458"/>
      <c r="AO612" s="458"/>
      <c r="AP612" s="458"/>
      <c r="AQ612" s="458"/>
      <c r="AR612" s="458"/>
      <c r="AS612" s="458"/>
      <c r="AT612" s="458"/>
      <c r="AU612" s="458"/>
      <c r="AV612" s="458"/>
      <c r="BA612" s="1305"/>
      <c r="BB612" s="174"/>
    </row>
    <row r="613" spans="1:54" ht="12.5">
      <c r="A613" s="174"/>
      <c r="B613" s="175"/>
      <c r="F613" s="177"/>
      <c r="H613" s="178"/>
      <c r="I613" s="178"/>
      <c r="J613" s="184"/>
      <c r="N613" s="178"/>
      <c r="O613" s="178"/>
      <c r="P613" s="178"/>
      <c r="S613" s="458"/>
      <c r="AN613" s="458"/>
      <c r="AO613" s="458"/>
      <c r="AP613" s="458"/>
      <c r="AQ613" s="458"/>
      <c r="AR613" s="458"/>
      <c r="AS613" s="458"/>
      <c r="AT613" s="458"/>
      <c r="AU613" s="458"/>
      <c r="AV613" s="458"/>
      <c r="BA613" s="1305"/>
      <c r="BB613" s="174"/>
    </row>
    <row r="614" spans="1:54" ht="12.5">
      <c r="A614" s="174"/>
      <c r="B614" s="175"/>
      <c r="F614" s="177"/>
      <c r="H614" s="178"/>
      <c r="I614" s="178"/>
      <c r="J614" s="184"/>
      <c r="N614" s="178"/>
      <c r="O614" s="178"/>
      <c r="P614" s="178"/>
      <c r="S614" s="458"/>
      <c r="AN614" s="458"/>
      <c r="AO614" s="458"/>
      <c r="AP614" s="458"/>
      <c r="AQ614" s="458"/>
      <c r="AR614" s="458"/>
      <c r="AS614" s="458"/>
      <c r="AT614" s="458"/>
      <c r="AU614" s="458"/>
      <c r="AV614" s="458"/>
      <c r="BA614" s="1305"/>
      <c r="BB614" s="174"/>
    </row>
    <row r="615" spans="1:54" ht="12.5">
      <c r="A615" s="174"/>
      <c r="B615" s="175"/>
      <c r="F615" s="177"/>
      <c r="H615" s="178"/>
      <c r="I615" s="178"/>
      <c r="J615" s="184"/>
      <c r="N615" s="178"/>
      <c r="O615" s="178"/>
      <c r="P615" s="178"/>
      <c r="S615" s="458"/>
      <c r="AN615" s="458"/>
      <c r="AO615" s="458"/>
      <c r="AP615" s="458"/>
      <c r="AQ615" s="458"/>
      <c r="AR615" s="458"/>
      <c r="AS615" s="458"/>
      <c r="AT615" s="458"/>
      <c r="AU615" s="458"/>
      <c r="AV615" s="458"/>
      <c r="BA615" s="1305"/>
      <c r="BB615" s="174"/>
    </row>
    <row r="616" spans="1:54" ht="12.5">
      <c r="A616" s="174"/>
      <c r="B616" s="175"/>
      <c r="F616" s="177"/>
      <c r="H616" s="178"/>
      <c r="I616" s="178"/>
      <c r="J616" s="184"/>
      <c r="N616" s="178"/>
      <c r="O616" s="178"/>
      <c r="P616" s="178"/>
      <c r="S616" s="458"/>
      <c r="AN616" s="458"/>
      <c r="AO616" s="458"/>
      <c r="AP616" s="458"/>
      <c r="AQ616" s="458"/>
      <c r="AR616" s="458"/>
      <c r="AS616" s="458"/>
      <c r="AT616" s="458"/>
      <c r="AU616" s="458"/>
      <c r="AV616" s="458"/>
      <c r="BA616" s="1305"/>
      <c r="BB616" s="174"/>
    </row>
    <row r="617" spans="1:54" ht="12.5">
      <c r="A617" s="174"/>
      <c r="B617" s="175"/>
      <c r="F617" s="177"/>
      <c r="H617" s="178"/>
      <c r="I617" s="178"/>
      <c r="J617" s="184"/>
      <c r="N617" s="178"/>
      <c r="O617" s="178"/>
      <c r="P617" s="178"/>
      <c r="S617" s="458"/>
      <c r="AN617" s="458"/>
      <c r="AO617" s="458"/>
      <c r="AP617" s="458"/>
      <c r="AQ617" s="458"/>
      <c r="AR617" s="458"/>
      <c r="AS617" s="458"/>
      <c r="AT617" s="458"/>
      <c r="AU617" s="458"/>
      <c r="AV617" s="458"/>
      <c r="BA617" s="1305"/>
      <c r="BB617" s="174"/>
    </row>
    <row r="618" spans="1:54" ht="12.5">
      <c r="A618" s="174"/>
      <c r="B618" s="175"/>
      <c r="F618" s="177"/>
      <c r="H618" s="178"/>
      <c r="I618" s="178"/>
      <c r="J618" s="184"/>
      <c r="N618" s="178"/>
      <c r="O618" s="178"/>
      <c r="P618" s="178"/>
      <c r="S618" s="458"/>
      <c r="AN618" s="458"/>
      <c r="AO618" s="458"/>
      <c r="AP618" s="458"/>
      <c r="AQ618" s="458"/>
      <c r="AR618" s="458"/>
      <c r="AS618" s="458"/>
      <c r="AT618" s="458"/>
      <c r="AU618" s="458"/>
      <c r="AV618" s="458"/>
      <c r="BA618" s="1305"/>
      <c r="BB618" s="174"/>
    </row>
    <row r="619" spans="1:54" ht="12.5">
      <c r="A619" s="174"/>
      <c r="B619" s="175"/>
      <c r="F619" s="177"/>
      <c r="H619" s="178"/>
      <c r="I619" s="179"/>
      <c r="J619" s="184"/>
      <c r="N619" s="178"/>
      <c r="O619" s="178"/>
      <c r="P619" s="178"/>
      <c r="S619" s="458"/>
      <c r="AN619" s="458"/>
      <c r="AO619" s="458"/>
      <c r="AP619" s="458"/>
      <c r="AQ619" s="458"/>
      <c r="AR619" s="458"/>
      <c r="AS619" s="458"/>
      <c r="AT619" s="458"/>
      <c r="AU619" s="458"/>
      <c r="AV619" s="458"/>
      <c r="BA619" s="1305"/>
      <c r="BB619" s="174"/>
    </row>
    <row r="620" spans="1:54" ht="12.5">
      <c r="A620" s="174"/>
      <c r="B620" s="175"/>
      <c r="F620" s="177"/>
      <c r="H620" s="178"/>
      <c r="I620" s="178"/>
      <c r="J620" s="184"/>
      <c r="N620" s="178"/>
      <c r="O620" s="178"/>
      <c r="P620" s="178"/>
      <c r="S620" s="458"/>
      <c r="AN620" s="458"/>
      <c r="AO620" s="458"/>
      <c r="AP620" s="458"/>
      <c r="AQ620" s="458"/>
      <c r="AR620" s="458"/>
      <c r="AS620" s="458"/>
      <c r="AT620" s="458"/>
      <c r="AU620" s="458"/>
      <c r="AV620" s="458"/>
      <c r="BA620" s="1305"/>
      <c r="BB620" s="174"/>
    </row>
    <row r="621" spans="1:54" ht="12.5">
      <c r="A621" s="174"/>
      <c r="B621" s="175"/>
      <c r="F621" s="177"/>
      <c r="H621" s="178"/>
      <c r="I621" s="179"/>
      <c r="J621" s="184"/>
      <c r="N621" s="178"/>
      <c r="O621" s="178"/>
      <c r="P621" s="178"/>
      <c r="S621" s="458"/>
      <c r="AN621" s="458"/>
      <c r="AO621" s="458"/>
      <c r="AP621" s="458"/>
      <c r="AQ621" s="458"/>
      <c r="AR621" s="458"/>
      <c r="AS621" s="458"/>
      <c r="AT621" s="458"/>
      <c r="AU621" s="458"/>
      <c r="AV621" s="458"/>
      <c r="BA621" s="1305"/>
      <c r="BB621" s="174"/>
    </row>
    <row r="622" spans="1:54" ht="12.5">
      <c r="A622" s="174"/>
      <c r="B622" s="175"/>
      <c r="F622" s="177"/>
      <c r="H622" s="178"/>
      <c r="I622" s="178"/>
      <c r="J622" s="184"/>
      <c r="N622" s="178"/>
      <c r="O622" s="178"/>
      <c r="P622" s="178"/>
      <c r="S622" s="458"/>
      <c r="AN622" s="458"/>
      <c r="AO622" s="458"/>
      <c r="AP622" s="458"/>
      <c r="AQ622" s="458"/>
      <c r="AR622" s="458"/>
      <c r="AS622" s="458"/>
      <c r="AT622" s="458"/>
      <c r="AU622" s="458"/>
      <c r="AV622" s="458"/>
      <c r="BA622" s="1305"/>
      <c r="BB622" s="174"/>
    </row>
    <row r="623" spans="1:54" ht="12.5">
      <c r="A623" s="174"/>
      <c r="B623" s="175"/>
      <c r="F623" s="177"/>
      <c r="H623" s="178"/>
      <c r="I623" s="178"/>
      <c r="J623" s="184"/>
      <c r="N623" s="178"/>
      <c r="O623" s="178"/>
      <c r="P623" s="178"/>
      <c r="S623" s="458"/>
      <c r="AN623" s="458"/>
      <c r="AO623" s="458"/>
      <c r="AP623" s="458"/>
      <c r="AQ623" s="458"/>
      <c r="AR623" s="458"/>
      <c r="AS623" s="458"/>
      <c r="AT623" s="458"/>
      <c r="AU623" s="458"/>
      <c r="AV623" s="458"/>
      <c r="BA623" s="1305"/>
      <c r="BB623" s="174"/>
    </row>
    <row r="624" spans="1:54" ht="12.5">
      <c r="A624" s="174"/>
      <c r="B624" s="175"/>
      <c r="F624" s="177"/>
      <c r="H624" s="178"/>
      <c r="I624" s="179"/>
      <c r="J624" s="184"/>
      <c r="N624" s="178"/>
      <c r="O624" s="178"/>
      <c r="P624" s="178"/>
      <c r="S624" s="458"/>
      <c r="AN624" s="458"/>
      <c r="AO624" s="458"/>
      <c r="AP624" s="458"/>
      <c r="AQ624" s="458"/>
      <c r="AR624" s="458"/>
      <c r="AS624" s="458"/>
      <c r="AT624" s="458"/>
      <c r="AU624" s="458"/>
      <c r="AV624" s="458"/>
      <c r="BA624" s="1305"/>
      <c r="BB624" s="174"/>
    </row>
    <row r="625" spans="1:54" ht="12.5">
      <c r="A625" s="174"/>
      <c r="B625" s="175"/>
      <c r="F625" s="177"/>
      <c r="H625" s="178"/>
      <c r="I625" s="178"/>
      <c r="J625" s="184"/>
      <c r="N625" s="178"/>
      <c r="O625" s="178"/>
      <c r="P625" s="178"/>
      <c r="S625" s="458"/>
      <c r="AN625" s="458"/>
      <c r="AO625" s="458"/>
      <c r="AP625" s="458"/>
      <c r="AQ625" s="458"/>
      <c r="AR625" s="458"/>
      <c r="AS625" s="458"/>
      <c r="AT625" s="458"/>
      <c r="AU625" s="458"/>
      <c r="AV625" s="458"/>
      <c r="BA625" s="1305"/>
      <c r="BB625" s="174"/>
    </row>
    <row r="626" spans="1:54" ht="12.5">
      <c r="A626" s="174"/>
      <c r="B626" s="175"/>
      <c r="F626" s="177"/>
      <c r="H626" s="178"/>
      <c r="I626" s="179"/>
      <c r="J626" s="184"/>
      <c r="N626" s="178"/>
      <c r="O626" s="178"/>
      <c r="P626" s="178"/>
      <c r="S626" s="458"/>
      <c r="AN626" s="458"/>
      <c r="AO626" s="458"/>
      <c r="AP626" s="458"/>
      <c r="AQ626" s="458"/>
      <c r="AR626" s="458"/>
      <c r="AS626" s="458"/>
      <c r="AT626" s="458"/>
      <c r="AU626" s="458"/>
      <c r="AV626" s="458"/>
      <c r="BA626" s="1305"/>
      <c r="BB626" s="174"/>
    </row>
    <row r="627" spans="1:54" ht="12.5">
      <c r="A627" s="174"/>
      <c r="B627" s="175"/>
      <c r="F627" s="177"/>
      <c r="H627" s="178"/>
      <c r="I627" s="178"/>
      <c r="J627" s="184"/>
      <c r="N627" s="178"/>
      <c r="O627" s="178"/>
      <c r="P627" s="178"/>
      <c r="S627" s="458"/>
      <c r="AN627" s="458"/>
      <c r="AO627" s="458"/>
      <c r="AP627" s="458"/>
      <c r="AQ627" s="458"/>
      <c r="AR627" s="458"/>
      <c r="AS627" s="458"/>
      <c r="AT627" s="458"/>
      <c r="AU627" s="458"/>
      <c r="AV627" s="458"/>
      <c r="BA627" s="1305"/>
      <c r="BB627" s="174"/>
    </row>
    <row r="628" spans="1:54" ht="12.5">
      <c r="A628" s="174"/>
      <c r="B628" s="175"/>
      <c r="F628" s="177"/>
      <c r="H628" s="178"/>
      <c r="I628" s="178"/>
      <c r="J628" s="184"/>
      <c r="N628" s="178"/>
      <c r="O628" s="178"/>
      <c r="P628" s="178"/>
      <c r="S628" s="458"/>
      <c r="AN628" s="458"/>
      <c r="AO628" s="458"/>
      <c r="AP628" s="458"/>
      <c r="AQ628" s="458"/>
      <c r="AR628" s="458"/>
      <c r="AS628" s="458"/>
      <c r="AT628" s="458"/>
      <c r="AU628" s="458"/>
      <c r="AV628" s="458"/>
      <c r="BA628" s="1305"/>
      <c r="BB628" s="174"/>
    </row>
    <row r="629" spans="1:54" ht="12.5">
      <c r="A629" s="174"/>
      <c r="B629" s="175"/>
      <c r="F629" s="177"/>
      <c r="H629" s="178"/>
      <c r="I629" s="178"/>
      <c r="J629" s="184"/>
      <c r="N629" s="178"/>
      <c r="O629" s="178"/>
      <c r="P629" s="178"/>
      <c r="S629" s="458"/>
      <c r="AN629" s="458"/>
      <c r="AO629" s="458"/>
      <c r="AP629" s="458"/>
      <c r="AQ629" s="458"/>
      <c r="AR629" s="458"/>
      <c r="AS629" s="458"/>
      <c r="AT629" s="458"/>
      <c r="AU629" s="458"/>
      <c r="AV629" s="458"/>
      <c r="BA629" s="1305"/>
      <c r="BB629" s="174"/>
    </row>
    <row r="630" spans="1:54" ht="12.5">
      <c r="A630" s="174"/>
      <c r="B630" s="175"/>
      <c r="F630" s="177"/>
      <c r="H630" s="178"/>
      <c r="I630" s="178"/>
      <c r="J630" s="184"/>
      <c r="N630" s="178"/>
      <c r="O630" s="178"/>
      <c r="P630" s="178"/>
      <c r="S630" s="458"/>
      <c r="AN630" s="458"/>
      <c r="AO630" s="458"/>
      <c r="AP630" s="458"/>
      <c r="AQ630" s="458"/>
      <c r="AR630" s="458"/>
      <c r="AS630" s="458"/>
      <c r="AT630" s="458"/>
      <c r="AU630" s="458"/>
      <c r="AV630" s="458"/>
      <c r="BA630" s="1305"/>
      <c r="BB630" s="174"/>
    </row>
    <row r="631" spans="1:54" ht="12.5">
      <c r="A631" s="174"/>
      <c r="B631" s="175"/>
      <c r="F631" s="177"/>
      <c r="H631" s="178"/>
      <c r="I631" s="178"/>
      <c r="J631" s="184"/>
      <c r="N631" s="178"/>
      <c r="O631" s="178"/>
      <c r="P631" s="178"/>
      <c r="S631" s="458"/>
      <c r="AN631" s="458"/>
      <c r="AO631" s="458"/>
      <c r="AP631" s="458"/>
      <c r="AQ631" s="458"/>
      <c r="AR631" s="458"/>
      <c r="AS631" s="458"/>
      <c r="AT631" s="458"/>
      <c r="AU631" s="458"/>
      <c r="AV631" s="458"/>
      <c r="BA631" s="1305"/>
      <c r="BB631" s="174"/>
    </row>
    <row r="632" spans="1:54" ht="15.75" customHeight="1">
      <c r="A632" s="174"/>
      <c r="B632" s="175"/>
      <c r="F632" s="177"/>
      <c r="H632" s="178"/>
      <c r="I632" s="178"/>
      <c r="J632" s="184"/>
      <c r="N632" s="178"/>
      <c r="O632" s="178"/>
      <c r="P632" s="178"/>
      <c r="S632" s="458"/>
      <c r="AN632" s="458"/>
      <c r="AO632" s="458"/>
      <c r="AP632" s="458"/>
      <c r="AQ632" s="458"/>
      <c r="AR632" s="458"/>
      <c r="AS632" s="458"/>
      <c r="AT632" s="458"/>
      <c r="AU632" s="458"/>
      <c r="AV632" s="458"/>
      <c r="BA632" s="1305"/>
      <c r="BB632" s="174"/>
    </row>
    <row r="633" spans="1:54" ht="15.75" customHeight="1">
      <c r="A633" s="174"/>
      <c r="B633" s="175"/>
      <c r="F633" s="177"/>
      <c r="H633" s="178"/>
      <c r="I633" s="178"/>
      <c r="J633" s="184"/>
      <c r="N633" s="178"/>
      <c r="O633" s="178"/>
      <c r="P633" s="178"/>
      <c r="S633" s="458"/>
      <c r="AN633" s="458"/>
      <c r="AO633" s="458"/>
      <c r="AP633" s="458"/>
      <c r="AQ633" s="458"/>
      <c r="AR633" s="458"/>
      <c r="AS633" s="458"/>
      <c r="AT633" s="458"/>
      <c r="AU633" s="458"/>
      <c r="AV633" s="458"/>
      <c r="BA633" s="1305"/>
      <c r="BB633" s="174"/>
    </row>
    <row r="634" spans="1:54" ht="15.75" customHeight="1">
      <c r="A634" s="174"/>
      <c r="B634" s="175"/>
      <c r="F634" s="177"/>
      <c r="H634" s="178"/>
      <c r="I634" s="178"/>
      <c r="J634" s="184"/>
      <c r="N634" s="178"/>
      <c r="O634" s="178"/>
      <c r="P634" s="178"/>
      <c r="S634" s="458"/>
      <c r="AN634" s="458"/>
      <c r="AO634" s="458"/>
      <c r="AP634" s="458"/>
      <c r="AQ634" s="458"/>
      <c r="AR634" s="458"/>
      <c r="AS634" s="458"/>
      <c r="AT634" s="458"/>
      <c r="AU634" s="458"/>
      <c r="AV634" s="458"/>
      <c r="BA634" s="1305"/>
      <c r="BB634" s="174"/>
    </row>
    <row r="635" spans="1:54" ht="15.75" customHeight="1">
      <c r="A635" s="174"/>
      <c r="B635" s="175"/>
      <c r="F635" s="177"/>
      <c r="H635" s="178"/>
      <c r="I635" s="178"/>
      <c r="J635" s="184"/>
      <c r="N635" s="178"/>
      <c r="O635" s="178"/>
      <c r="P635" s="178"/>
      <c r="S635" s="458"/>
      <c r="AN635" s="458"/>
      <c r="AO635" s="458"/>
      <c r="AP635" s="458"/>
      <c r="AQ635" s="458"/>
      <c r="AR635" s="458"/>
      <c r="AS635" s="458"/>
      <c r="AT635" s="458"/>
      <c r="AU635" s="458"/>
      <c r="AV635" s="458"/>
      <c r="BA635" s="1305"/>
      <c r="BB635" s="174"/>
    </row>
    <row r="636" spans="1:54" ht="15.75" customHeight="1">
      <c r="A636" s="174"/>
      <c r="B636" s="175"/>
      <c r="F636" s="177"/>
      <c r="H636" s="178"/>
      <c r="I636" s="178"/>
      <c r="J636" s="184"/>
      <c r="N636" s="178"/>
      <c r="O636" s="178"/>
      <c r="P636" s="178"/>
      <c r="S636" s="458"/>
      <c r="AN636" s="458"/>
      <c r="AO636" s="458"/>
      <c r="AP636" s="458"/>
      <c r="AQ636" s="458"/>
      <c r="AR636" s="458"/>
      <c r="AS636" s="458"/>
      <c r="AT636" s="458"/>
      <c r="AU636" s="458"/>
      <c r="AV636" s="458"/>
      <c r="BA636" s="1305"/>
      <c r="BB636" s="174"/>
    </row>
    <row r="637" spans="1:54" ht="15.75" customHeight="1">
      <c r="A637" s="174"/>
      <c r="B637" s="175"/>
      <c r="F637" s="177"/>
      <c r="H637" s="178"/>
      <c r="I637" s="179"/>
      <c r="J637" s="184"/>
      <c r="N637" s="178"/>
      <c r="O637" s="178"/>
      <c r="P637" s="178"/>
      <c r="S637" s="458"/>
      <c r="AN637" s="458"/>
      <c r="AO637" s="458"/>
      <c r="AP637" s="458"/>
      <c r="AQ637" s="458"/>
      <c r="AR637" s="458"/>
      <c r="AS637" s="458"/>
      <c r="AT637" s="458"/>
      <c r="AU637" s="458"/>
      <c r="AV637" s="458"/>
      <c r="BA637" s="1305"/>
      <c r="BB637" s="174"/>
    </row>
    <row r="638" spans="1:54" ht="15.75" customHeight="1">
      <c r="A638" s="174"/>
      <c r="B638" s="175"/>
      <c r="F638" s="177"/>
      <c r="H638" s="178"/>
      <c r="I638" s="178"/>
      <c r="J638" s="184"/>
      <c r="N638" s="178"/>
      <c r="O638" s="178"/>
      <c r="P638" s="178"/>
      <c r="S638" s="458"/>
      <c r="AN638" s="458"/>
      <c r="AO638" s="458"/>
      <c r="AP638" s="458"/>
      <c r="AQ638" s="458"/>
      <c r="AR638" s="458"/>
      <c r="AS638" s="458"/>
      <c r="AT638" s="458"/>
      <c r="AU638" s="458"/>
      <c r="AV638" s="458"/>
      <c r="BA638" s="1305"/>
      <c r="BB638" s="174"/>
    </row>
    <row r="639" spans="1:54" ht="15.75" customHeight="1">
      <c r="A639" s="174"/>
      <c r="B639" s="175"/>
      <c r="F639" s="177"/>
      <c r="H639" s="178"/>
      <c r="I639" s="178"/>
      <c r="J639" s="184"/>
      <c r="N639" s="178"/>
      <c r="O639" s="178"/>
      <c r="P639" s="178"/>
      <c r="S639" s="458"/>
      <c r="AN639" s="458"/>
      <c r="AO639" s="458"/>
      <c r="AP639" s="458"/>
      <c r="AQ639" s="458"/>
      <c r="AR639" s="458"/>
      <c r="AS639" s="458"/>
      <c r="AT639" s="458"/>
      <c r="AU639" s="458"/>
      <c r="AV639" s="458"/>
      <c r="BA639" s="1305"/>
      <c r="BB639" s="174"/>
    </row>
    <row r="640" spans="1:54" ht="15.75" customHeight="1">
      <c r="A640" s="174"/>
      <c r="B640" s="175"/>
      <c r="F640" s="177"/>
      <c r="H640" s="178"/>
      <c r="I640" s="178"/>
      <c r="J640" s="184"/>
      <c r="N640" s="178"/>
      <c r="O640" s="178"/>
      <c r="P640" s="178"/>
      <c r="S640" s="458"/>
      <c r="AN640" s="458"/>
      <c r="AO640" s="458"/>
      <c r="AP640" s="458"/>
      <c r="AQ640" s="458"/>
      <c r="AR640" s="458"/>
      <c r="AS640" s="458"/>
      <c r="AT640" s="458"/>
      <c r="AU640" s="458"/>
      <c r="AV640" s="458"/>
      <c r="BA640" s="1305"/>
      <c r="BB640" s="174"/>
    </row>
    <row r="641" spans="1:54" ht="15.75" customHeight="1">
      <c r="A641" s="174"/>
      <c r="B641" s="175"/>
      <c r="F641" s="177"/>
      <c r="H641" s="178"/>
      <c r="I641" s="178"/>
      <c r="J641" s="184"/>
      <c r="N641" s="178"/>
      <c r="O641" s="178"/>
      <c r="P641" s="178"/>
      <c r="S641" s="458"/>
      <c r="AN641" s="458"/>
      <c r="AO641" s="458"/>
      <c r="AP641" s="458"/>
      <c r="AQ641" s="458"/>
      <c r="AR641" s="458"/>
      <c r="AS641" s="458"/>
      <c r="AT641" s="458"/>
      <c r="AU641" s="458"/>
      <c r="AV641" s="458"/>
      <c r="BA641" s="1305"/>
      <c r="BB641" s="174"/>
    </row>
    <row r="642" spans="1:54" ht="15.75" customHeight="1">
      <c r="A642" s="174"/>
      <c r="B642" s="175"/>
      <c r="F642" s="177"/>
      <c r="H642" s="178"/>
      <c r="I642" s="178"/>
      <c r="J642" s="184"/>
      <c r="N642" s="178"/>
      <c r="O642" s="178"/>
      <c r="P642" s="178"/>
      <c r="S642" s="458"/>
      <c r="AN642" s="458"/>
      <c r="AO642" s="458"/>
      <c r="AP642" s="458"/>
      <c r="AQ642" s="458"/>
      <c r="AR642" s="458"/>
      <c r="AS642" s="458"/>
      <c r="AT642" s="458"/>
      <c r="AU642" s="458"/>
      <c r="AV642" s="458"/>
      <c r="BA642" s="1305"/>
      <c r="BB642" s="174"/>
    </row>
    <row r="643" spans="1:54" ht="15.75" customHeight="1">
      <c r="A643" s="174"/>
      <c r="B643" s="175"/>
      <c r="F643" s="177"/>
      <c r="H643" s="178"/>
      <c r="I643" s="178"/>
      <c r="J643" s="184"/>
      <c r="N643" s="178"/>
      <c r="O643" s="178"/>
      <c r="P643" s="178"/>
      <c r="S643" s="458"/>
      <c r="AN643" s="458"/>
      <c r="AO643" s="458"/>
      <c r="AP643" s="458"/>
      <c r="AQ643" s="458"/>
      <c r="AR643" s="458"/>
      <c r="AS643" s="458"/>
      <c r="AT643" s="458"/>
      <c r="AU643" s="458"/>
      <c r="AV643" s="458"/>
      <c r="BA643" s="1305"/>
      <c r="BB643" s="174"/>
    </row>
    <row r="644" spans="1:54" ht="15.75" customHeight="1">
      <c r="A644" s="174"/>
      <c r="B644" s="175"/>
      <c r="F644" s="177"/>
      <c r="H644" s="178"/>
      <c r="I644" s="178"/>
      <c r="J644" s="184"/>
      <c r="N644" s="178"/>
      <c r="O644" s="178"/>
      <c r="P644" s="178"/>
      <c r="S644" s="458"/>
      <c r="AN644" s="458"/>
      <c r="AO644" s="458"/>
      <c r="AP644" s="458"/>
      <c r="AQ644" s="458"/>
      <c r="AR644" s="458"/>
      <c r="AS644" s="458"/>
      <c r="AT644" s="458"/>
      <c r="AU644" s="458"/>
      <c r="AV644" s="458"/>
      <c r="BA644" s="1305"/>
      <c r="BB644" s="174"/>
    </row>
    <row r="645" spans="1:54" ht="15.75" customHeight="1">
      <c r="A645" s="174"/>
      <c r="B645" s="175"/>
      <c r="F645" s="177"/>
      <c r="H645" s="178"/>
      <c r="I645" s="178"/>
      <c r="J645" s="184"/>
      <c r="N645" s="178"/>
      <c r="O645" s="178"/>
      <c r="P645" s="178"/>
      <c r="S645" s="458"/>
      <c r="AN645" s="458"/>
      <c r="AO645" s="458"/>
      <c r="AP645" s="458"/>
      <c r="AQ645" s="458"/>
      <c r="AR645" s="458"/>
      <c r="AS645" s="458"/>
      <c r="AT645" s="458"/>
      <c r="AU645" s="458"/>
      <c r="AV645" s="458"/>
      <c r="BA645" s="1305"/>
      <c r="BB645" s="174"/>
    </row>
    <row r="646" spans="1:54" ht="15.75" customHeight="1">
      <c r="A646" s="174"/>
      <c r="B646" s="175"/>
      <c r="F646" s="177"/>
      <c r="H646" s="178"/>
      <c r="I646" s="178"/>
      <c r="J646" s="184"/>
      <c r="N646" s="178"/>
      <c r="O646" s="178"/>
      <c r="P646" s="178"/>
      <c r="S646" s="458"/>
      <c r="AN646" s="458"/>
      <c r="AO646" s="458"/>
      <c r="AP646" s="458"/>
      <c r="AQ646" s="458"/>
      <c r="AR646" s="458"/>
      <c r="AS646" s="458"/>
      <c r="AT646" s="458"/>
      <c r="AU646" s="458"/>
      <c r="AV646" s="458"/>
      <c r="BA646" s="1305"/>
      <c r="BB646" s="174"/>
    </row>
    <row r="647" spans="1:54" ht="15.75" customHeight="1">
      <c r="A647" s="174"/>
      <c r="B647" s="175"/>
      <c r="F647" s="177"/>
      <c r="H647" s="178"/>
      <c r="I647" s="178"/>
      <c r="J647" s="184"/>
      <c r="N647" s="178"/>
      <c r="O647" s="178"/>
      <c r="P647" s="178"/>
      <c r="S647" s="458"/>
      <c r="AN647" s="458"/>
      <c r="AO647" s="458"/>
      <c r="AP647" s="458"/>
      <c r="AQ647" s="458"/>
      <c r="AR647" s="458"/>
      <c r="AS647" s="458"/>
      <c r="AT647" s="458"/>
      <c r="AU647" s="458"/>
      <c r="AV647" s="458"/>
      <c r="BA647" s="1305"/>
      <c r="BB647" s="174"/>
    </row>
    <row r="648" spans="1:54" ht="15.75" customHeight="1">
      <c r="A648" s="174"/>
      <c r="B648" s="175"/>
      <c r="F648" s="177"/>
      <c r="H648" s="178"/>
      <c r="I648" s="178"/>
      <c r="J648" s="184"/>
      <c r="N648" s="178"/>
      <c r="O648" s="178"/>
      <c r="P648" s="178"/>
      <c r="S648" s="458"/>
      <c r="AN648" s="458"/>
      <c r="AO648" s="458"/>
      <c r="AP648" s="458"/>
      <c r="AQ648" s="458"/>
      <c r="AR648" s="458"/>
      <c r="AS648" s="458"/>
      <c r="AT648" s="458"/>
      <c r="AU648" s="458"/>
      <c r="AV648" s="458"/>
      <c r="BA648" s="1305"/>
      <c r="BB648" s="174"/>
    </row>
    <row r="649" spans="1:54" ht="15.75" customHeight="1">
      <c r="A649" s="174"/>
      <c r="B649" s="175"/>
      <c r="F649" s="177"/>
      <c r="H649" s="178"/>
      <c r="I649" s="179"/>
      <c r="J649" s="184"/>
      <c r="N649" s="178"/>
      <c r="O649" s="178"/>
      <c r="P649" s="178"/>
      <c r="S649" s="458"/>
      <c r="AN649" s="458"/>
      <c r="AO649" s="458"/>
      <c r="AP649" s="458"/>
      <c r="AQ649" s="458"/>
      <c r="AR649" s="458"/>
      <c r="AS649" s="458"/>
      <c r="AT649" s="458"/>
      <c r="AU649" s="458"/>
      <c r="AV649" s="458"/>
      <c r="BA649" s="1305"/>
      <c r="BB649" s="174"/>
    </row>
    <row r="650" spans="1:54" ht="15.75" customHeight="1">
      <c r="A650" s="174"/>
      <c r="B650" s="175"/>
      <c r="F650" s="177"/>
      <c r="H650" s="178"/>
      <c r="I650" s="178"/>
      <c r="J650" s="184"/>
      <c r="N650" s="178"/>
      <c r="O650" s="178"/>
      <c r="P650" s="178"/>
      <c r="S650" s="458"/>
      <c r="AN650" s="458"/>
      <c r="AO650" s="458"/>
      <c r="AP650" s="458"/>
      <c r="AQ650" s="458"/>
      <c r="AR650" s="458"/>
      <c r="AS650" s="458"/>
      <c r="AT650" s="458"/>
      <c r="AU650" s="458"/>
      <c r="AV650" s="458"/>
      <c r="BA650" s="1305"/>
      <c r="BB650" s="174"/>
    </row>
    <row r="651" spans="1:54" ht="15.75" customHeight="1">
      <c r="A651" s="174"/>
      <c r="B651" s="175"/>
      <c r="F651" s="177"/>
      <c r="H651" s="178"/>
      <c r="I651" s="179"/>
      <c r="J651" s="184"/>
      <c r="N651" s="178"/>
      <c r="O651" s="178"/>
      <c r="P651" s="178"/>
      <c r="S651" s="458"/>
      <c r="AN651" s="458"/>
      <c r="AO651" s="458"/>
      <c r="AP651" s="458"/>
      <c r="AQ651" s="458"/>
      <c r="AR651" s="458"/>
      <c r="AS651" s="458"/>
      <c r="AT651" s="458"/>
      <c r="AU651" s="458"/>
      <c r="AV651" s="458"/>
      <c r="BA651" s="1305"/>
      <c r="BB651" s="174"/>
    </row>
    <row r="652" spans="1:54" ht="15.75" customHeight="1">
      <c r="A652" s="174"/>
      <c r="B652" s="175"/>
      <c r="F652" s="177"/>
      <c r="H652" s="178"/>
      <c r="I652" s="178"/>
      <c r="J652" s="184"/>
      <c r="N652" s="178"/>
      <c r="O652" s="178"/>
      <c r="P652" s="178"/>
      <c r="S652" s="458"/>
      <c r="AN652" s="458"/>
      <c r="AO652" s="458"/>
      <c r="AP652" s="458"/>
      <c r="AQ652" s="458"/>
      <c r="AR652" s="458"/>
      <c r="AS652" s="458"/>
      <c r="AT652" s="458"/>
      <c r="AU652" s="458"/>
      <c r="AV652" s="458"/>
      <c r="BA652" s="1305"/>
      <c r="BB652" s="174"/>
    </row>
    <row r="653" spans="1:54" ht="15.75" customHeight="1">
      <c r="A653" s="174"/>
      <c r="B653" s="175"/>
      <c r="F653" s="177"/>
      <c r="H653" s="178"/>
      <c r="I653" s="178"/>
      <c r="J653" s="184"/>
      <c r="N653" s="178"/>
      <c r="O653" s="178"/>
      <c r="P653" s="178"/>
      <c r="S653" s="458"/>
      <c r="AN653" s="458"/>
      <c r="AO653" s="458"/>
      <c r="AP653" s="458"/>
      <c r="AQ653" s="458"/>
      <c r="AR653" s="458"/>
      <c r="AS653" s="458"/>
      <c r="AT653" s="458"/>
      <c r="AU653" s="458"/>
      <c r="AV653" s="458"/>
      <c r="BA653" s="1305"/>
      <c r="BB653" s="174"/>
    </row>
    <row r="654" spans="1:54" ht="15.75" customHeight="1">
      <c r="A654" s="174"/>
      <c r="B654" s="175"/>
      <c r="F654" s="177"/>
      <c r="H654" s="178"/>
      <c r="I654" s="179"/>
      <c r="J654" s="184"/>
      <c r="N654" s="178"/>
      <c r="O654" s="178"/>
      <c r="P654" s="178"/>
      <c r="S654" s="458"/>
      <c r="AN654" s="458"/>
      <c r="AO654" s="458"/>
      <c r="AP654" s="458"/>
      <c r="AQ654" s="458"/>
      <c r="AR654" s="458"/>
      <c r="AS654" s="458"/>
      <c r="AT654" s="458"/>
      <c r="AU654" s="458"/>
      <c r="AV654" s="458"/>
      <c r="BA654" s="1305"/>
      <c r="BB654" s="174"/>
    </row>
    <row r="655" spans="1:54" ht="15.75" customHeight="1">
      <c r="A655" s="174"/>
      <c r="B655" s="175"/>
      <c r="F655" s="177"/>
      <c r="H655" s="178"/>
      <c r="I655" s="178"/>
      <c r="J655" s="184"/>
      <c r="N655" s="178"/>
      <c r="O655" s="178"/>
      <c r="P655" s="178"/>
      <c r="S655" s="458"/>
      <c r="AN655" s="458"/>
      <c r="AO655" s="458"/>
      <c r="AP655" s="458"/>
      <c r="AQ655" s="458"/>
      <c r="AR655" s="458"/>
      <c r="AS655" s="458"/>
      <c r="AT655" s="458"/>
      <c r="AU655" s="458"/>
      <c r="AV655" s="458"/>
      <c r="BA655" s="1305"/>
      <c r="BB655" s="174"/>
    </row>
    <row r="656" spans="1:54" ht="15.75" customHeight="1">
      <c r="A656" s="174"/>
      <c r="B656" s="175"/>
      <c r="F656" s="177"/>
      <c r="H656" s="178"/>
      <c r="I656" s="179"/>
      <c r="J656" s="184"/>
      <c r="N656" s="178"/>
      <c r="O656" s="178"/>
      <c r="P656" s="178"/>
      <c r="S656" s="458"/>
      <c r="AN656" s="458"/>
      <c r="AO656" s="458"/>
      <c r="AP656" s="458"/>
      <c r="AQ656" s="458"/>
      <c r="AR656" s="458"/>
      <c r="AS656" s="458"/>
      <c r="AT656" s="458"/>
      <c r="AU656" s="458"/>
      <c r="AV656" s="458"/>
      <c r="BA656" s="1305"/>
      <c r="BB656" s="174"/>
    </row>
    <row r="657" spans="1:54" ht="15.75" customHeight="1">
      <c r="A657" s="174"/>
      <c r="B657" s="175"/>
      <c r="F657" s="177"/>
      <c r="H657" s="178"/>
      <c r="I657" s="178"/>
      <c r="J657" s="184"/>
      <c r="N657" s="178"/>
      <c r="O657" s="178"/>
      <c r="P657" s="178"/>
      <c r="S657" s="458"/>
      <c r="AN657" s="458"/>
      <c r="AO657" s="458"/>
      <c r="AP657" s="458"/>
      <c r="AQ657" s="458"/>
      <c r="AR657" s="458"/>
      <c r="AS657" s="458"/>
      <c r="AT657" s="458"/>
      <c r="AU657" s="458"/>
      <c r="AV657" s="458"/>
      <c r="BA657" s="1305"/>
      <c r="BB657" s="174"/>
    </row>
    <row r="658" spans="1:54" ht="15.75" customHeight="1">
      <c r="A658" s="174"/>
      <c r="B658" s="175"/>
      <c r="F658" s="177"/>
      <c r="H658" s="178"/>
      <c r="I658" s="179"/>
      <c r="J658" s="184"/>
      <c r="N658" s="178"/>
      <c r="O658" s="178"/>
      <c r="P658" s="178"/>
      <c r="S658" s="458"/>
      <c r="AN658" s="458"/>
      <c r="AO658" s="458"/>
      <c r="AP658" s="458"/>
      <c r="AQ658" s="458"/>
      <c r="AR658" s="458"/>
      <c r="AS658" s="458"/>
      <c r="AT658" s="458"/>
      <c r="AU658" s="458"/>
      <c r="AV658" s="458"/>
      <c r="BA658" s="1305"/>
      <c r="BB658" s="174"/>
    </row>
    <row r="659" spans="1:54" ht="15.75" customHeight="1">
      <c r="A659" s="174"/>
      <c r="B659" s="175"/>
      <c r="F659" s="177"/>
      <c r="H659" s="178"/>
      <c r="I659" s="178"/>
      <c r="J659" s="184"/>
      <c r="N659" s="178"/>
      <c r="O659" s="178"/>
      <c r="P659" s="178"/>
      <c r="S659" s="458"/>
      <c r="AN659" s="458"/>
      <c r="AO659" s="458"/>
      <c r="AP659" s="458"/>
      <c r="AQ659" s="458"/>
      <c r="AR659" s="458"/>
      <c r="AS659" s="458"/>
      <c r="AT659" s="458"/>
      <c r="AU659" s="458"/>
      <c r="AV659" s="458"/>
      <c r="BA659" s="1305"/>
      <c r="BB659" s="174"/>
    </row>
    <row r="660" spans="1:54" ht="15.75" customHeight="1">
      <c r="A660" s="174"/>
      <c r="B660" s="175"/>
      <c r="F660" s="177"/>
      <c r="H660" s="178"/>
      <c r="I660" s="178"/>
      <c r="J660" s="184"/>
      <c r="N660" s="178"/>
      <c r="O660" s="178"/>
      <c r="P660" s="178"/>
      <c r="S660" s="458"/>
      <c r="AN660" s="458"/>
      <c r="AO660" s="458"/>
      <c r="AP660" s="458"/>
      <c r="AQ660" s="458"/>
      <c r="AR660" s="458"/>
      <c r="AS660" s="458"/>
      <c r="AT660" s="458"/>
      <c r="AU660" s="458"/>
      <c r="AV660" s="458"/>
      <c r="BA660" s="1305"/>
      <c r="BB660" s="174"/>
    </row>
    <row r="661" spans="1:54" ht="15.75" customHeight="1">
      <c r="A661" s="174"/>
      <c r="B661" s="175"/>
      <c r="F661" s="177"/>
      <c r="H661" s="178"/>
      <c r="I661" s="179"/>
      <c r="J661" s="184"/>
      <c r="N661" s="178"/>
      <c r="O661" s="178"/>
      <c r="P661" s="178"/>
      <c r="S661" s="458"/>
      <c r="AN661" s="458"/>
      <c r="AO661" s="458"/>
      <c r="AP661" s="458"/>
      <c r="AQ661" s="458"/>
      <c r="AR661" s="458"/>
      <c r="AS661" s="458"/>
      <c r="AT661" s="458"/>
      <c r="AU661" s="458"/>
      <c r="AV661" s="458"/>
      <c r="BA661" s="1305"/>
      <c r="BB661" s="174"/>
    </row>
    <row r="662" spans="1:54" ht="15.75" customHeight="1">
      <c r="A662" s="174"/>
      <c r="B662" s="175"/>
      <c r="F662" s="177"/>
      <c r="H662" s="178"/>
      <c r="I662" s="178"/>
      <c r="J662" s="184"/>
      <c r="N662" s="178"/>
      <c r="O662" s="178"/>
      <c r="P662" s="178"/>
      <c r="S662" s="458"/>
      <c r="AN662" s="458"/>
      <c r="AO662" s="458"/>
      <c r="AP662" s="458"/>
      <c r="AQ662" s="458"/>
      <c r="AR662" s="458"/>
      <c r="AS662" s="458"/>
      <c r="AT662" s="458"/>
      <c r="AU662" s="458"/>
      <c r="AV662" s="458"/>
      <c r="BA662" s="1305"/>
      <c r="BB662" s="174"/>
    </row>
    <row r="663" spans="1:54" ht="15.75" customHeight="1">
      <c r="A663" s="174"/>
      <c r="B663" s="175"/>
      <c r="F663" s="177"/>
      <c r="H663" s="178"/>
      <c r="I663" s="179"/>
      <c r="J663" s="184"/>
      <c r="N663" s="178"/>
      <c r="O663" s="178"/>
      <c r="P663" s="178"/>
      <c r="S663" s="458"/>
      <c r="AN663" s="458"/>
      <c r="AO663" s="458"/>
      <c r="AP663" s="458"/>
      <c r="AQ663" s="458"/>
      <c r="AR663" s="458"/>
      <c r="AS663" s="458"/>
      <c r="AT663" s="458"/>
      <c r="AU663" s="458"/>
      <c r="AV663" s="458"/>
      <c r="BA663" s="1305"/>
      <c r="BB663" s="174"/>
    </row>
    <row r="664" spans="1:54" ht="15.75" customHeight="1">
      <c r="A664" s="174"/>
      <c r="B664" s="175"/>
      <c r="F664" s="177"/>
      <c r="H664" s="178"/>
      <c r="I664" s="178"/>
      <c r="J664" s="184"/>
      <c r="N664" s="178"/>
      <c r="O664" s="178"/>
      <c r="P664" s="178"/>
      <c r="S664" s="458"/>
      <c r="AN664" s="458"/>
      <c r="AO664" s="458"/>
      <c r="AP664" s="458"/>
      <c r="AQ664" s="458"/>
      <c r="AR664" s="458"/>
      <c r="AS664" s="458"/>
      <c r="AT664" s="458"/>
      <c r="AU664" s="458"/>
      <c r="AV664" s="458"/>
      <c r="BA664" s="1305"/>
      <c r="BB664" s="174"/>
    </row>
    <row r="665" spans="1:54" ht="15.75" customHeight="1">
      <c r="A665" s="174"/>
      <c r="B665" s="175"/>
      <c r="F665" s="177"/>
      <c r="H665" s="178"/>
      <c r="I665" s="178"/>
      <c r="J665" s="184"/>
      <c r="N665" s="178"/>
      <c r="O665" s="178"/>
      <c r="P665" s="178"/>
      <c r="S665" s="458"/>
      <c r="AN665" s="458"/>
      <c r="AO665" s="458"/>
      <c r="AP665" s="458"/>
      <c r="AQ665" s="458"/>
      <c r="AR665" s="458"/>
      <c r="AS665" s="458"/>
      <c r="AT665" s="458"/>
      <c r="AU665" s="458"/>
      <c r="AV665" s="458"/>
      <c r="BA665" s="1305"/>
      <c r="BB665" s="174"/>
    </row>
    <row r="666" spans="1:54" ht="15.75" customHeight="1">
      <c r="A666" s="174"/>
      <c r="B666" s="175"/>
      <c r="F666" s="177"/>
      <c r="H666" s="178"/>
      <c r="I666" s="178"/>
      <c r="J666" s="184"/>
      <c r="N666" s="178"/>
      <c r="O666" s="178"/>
      <c r="P666" s="178"/>
      <c r="S666" s="458"/>
      <c r="AN666" s="458"/>
      <c r="AO666" s="458"/>
      <c r="AP666" s="458"/>
      <c r="AQ666" s="458"/>
      <c r="AR666" s="458"/>
      <c r="AS666" s="458"/>
      <c r="AT666" s="458"/>
      <c r="AU666" s="458"/>
      <c r="AV666" s="458"/>
      <c r="BA666" s="1305"/>
      <c r="BB666" s="174"/>
    </row>
    <row r="667" spans="1:54" ht="15.75" customHeight="1">
      <c r="A667" s="174"/>
      <c r="B667" s="175"/>
      <c r="F667" s="177"/>
      <c r="H667" s="178"/>
      <c r="I667" s="178"/>
      <c r="J667" s="184"/>
      <c r="N667" s="178"/>
      <c r="O667" s="178"/>
      <c r="P667" s="178"/>
      <c r="S667" s="458"/>
      <c r="AN667" s="458"/>
      <c r="AO667" s="458"/>
      <c r="AP667" s="458"/>
      <c r="AQ667" s="458"/>
      <c r="AR667" s="458"/>
      <c r="AS667" s="458"/>
      <c r="AT667" s="458"/>
      <c r="AU667" s="458"/>
      <c r="AV667" s="458"/>
      <c r="BA667" s="1305"/>
      <c r="BB667" s="174"/>
    </row>
    <row r="668" spans="1:54" ht="15.75" customHeight="1">
      <c r="A668" s="174"/>
      <c r="B668" s="175"/>
      <c r="F668" s="177"/>
      <c r="H668" s="178"/>
      <c r="I668" s="178"/>
      <c r="J668" s="184"/>
      <c r="N668" s="178"/>
      <c r="O668" s="178"/>
      <c r="P668" s="178"/>
      <c r="S668" s="458"/>
      <c r="AN668" s="458"/>
      <c r="AO668" s="458"/>
      <c r="AP668" s="458"/>
      <c r="AQ668" s="458"/>
      <c r="AR668" s="458"/>
      <c r="AS668" s="458"/>
      <c r="AT668" s="458"/>
      <c r="AU668" s="458"/>
      <c r="AV668" s="458"/>
      <c r="BA668" s="1305"/>
      <c r="BB668" s="174"/>
    </row>
    <row r="669" spans="1:54" ht="15.75" customHeight="1">
      <c r="A669" s="174"/>
      <c r="B669" s="175"/>
      <c r="F669" s="177"/>
      <c r="H669" s="178"/>
      <c r="I669" s="178"/>
      <c r="J669" s="184"/>
      <c r="N669" s="178"/>
      <c r="O669" s="178"/>
      <c r="P669" s="178"/>
      <c r="S669" s="458"/>
      <c r="AN669" s="458"/>
      <c r="AO669" s="458"/>
      <c r="AP669" s="458"/>
      <c r="AQ669" s="458"/>
      <c r="AR669" s="458"/>
      <c r="AS669" s="458"/>
      <c r="AT669" s="458"/>
      <c r="AU669" s="458"/>
      <c r="AV669" s="458"/>
      <c r="BA669" s="1305"/>
      <c r="BB669" s="174"/>
    </row>
    <row r="670" spans="1:54" ht="15.75" customHeight="1">
      <c r="A670" s="174"/>
      <c r="B670" s="175"/>
      <c r="F670" s="177"/>
      <c r="H670" s="178"/>
      <c r="I670" s="178"/>
      <c r="J670" s="184"/>
      <c r="N670" s="178"/>
      <c r="O670" s="178"/>
      <c r="P670" s="178"/>
      <c r="S670" s="458"/>
      <c r="AN670" s="458"/>
      <c r="AO670" s="458"/>
      <c r="AP670" s="458"/>
      <c r="AQ670" s="458"/>
      <c r="AR670" s="458"/>
      <c r="AS670" s="458"/>
      <c r="AT670" s="458"/>
      <c r="AU670" s="458"/>
      <c r="AV670" s="458"/>
      <c r="BA670" s="1305"/>
      <c r="BB670" s="174"/>
    </row>
    <row r="671" spans="1:54" ht="15.75" customHeight="1">
      <c r="A671" s="174"/>
      <c r="B671" s="175"/>
      <c r="F671" s="177"/>
      <c r="H671" s="178"/>
      <c r="I671" s="178"/>
      <c r="J671" s="184"/>
      <c r="N671" s="178"/>
      <c r="O671" s="178"/>
      <c r="P671" s="178"/>
      <c r="S671" s="458"/>
      <c r="AN671" s="458"/>
      <c r="AO671" s="458"/>
      <c r="AP671" s="458"/>
      <c r="AQ671" s="458"/>
      <c r="AR671" s="458"/>
      <c r="AS671" s="458"/>
      <c r="AT671" s="458"/>
      <c r="AU671" s="458"/>
      <c r="AV671" s="458"/>
      <c r="BA671" s="1305"/>
      <c r="BB671" s="174"/>
    </row>
    <row r="672" spans="1:54" ht="15.75" customHeight="1">
      <c r="A672" s="174"/>
      <c r="B672" s="175"/>
      <c r="F672" s="177"/>
      <c r="H672" s="178"/>
      <c r="I672" s="178"/>
      <c r="J672" s="184"/>
      <c r="N672" s="178"/>
      <c r="O672" s="178"/>
      <c r="P672" s="178"/>
      <c r="S672" s="458"/>
      <c r="AN672" s="458"/>
      <c r="AO672" s="458"/>
      <c r="AP672" s="458"/>
      <c r="AQ672" s="458"/>
      <c r="AR672" s="458"/>
      <c r="AS672" s="458"/>
      <c r="AT672" s="458"/>
      <c r="AU672" s="458"/>
      <c r="AV672" s="458"/>
      <c r="BA672" s="1305"/>
      <c r="BB672" s="174"/>
    </row>
    <row r="673" spans="1:54" ht="15.75" customHeight="1">
      <c r="A673" s="174"/>
      <c r="B673" s="175"/>
      <c r="F673" s="177"/>
      <c r="H673" s="178"/>
      <c r="I673" s="178"/>
      <c r="J673" s="184"/>
      <c r="N673" s="178"/>
      <c r="O673" s="178"/>
      <c r="P673" s="178"/>
      <c r="S673" s="458"/>
      <c r="AN673" s="458"/>
      <c r="AO673" s="458"/>
      <c r="AP673" s="458"/>
      <c r="AQ673" s="458"/>
      <c r="AR673" s="458"/>
      <c r="AS673" s="458"/>
      <c r="AT673" s="458"/>
      <c r="AU673" s="458"/>
      <c r="AV673" s="458"/>
      <c r="BA673" s="1305"/>
      <c r="BB673" s="174"/>
    </row>
    <row r="674" spans="1:54" ht="15.75" customHeight="1">
      <c r="A674" s="174"/>
      <c r="B674" s="175"/>
      <c r="F674" s="177"/>
      <c r="H674" s="178"/>
      <c r="I674" s="178"/>
      <c r="J674" s="184"/>
      <c r="N674" s="178"/>
      <c r="O674" s="178"/>
      <c r="P674" s="178"/>
      <c r="S674" s="458"/>
      <c r="AN674" s="458"/>
      <c r="AO674" s="458"/>
      <c r="AP674" s="458"/>
      <c r="AQ674" s="458"/>
      <c r="AR674" s="458"/>
      <c r="AS674" s="458"/>
      <c r="AT674" s="458"/>
      <c r="AU674" s="458"/>
      <c r="AV674" s="458"/>
      <c r="BA674" s="1305"/>
      <c r="BB674" s="174"/>
    </row>
    <row r="675" spans="1:54" ht="15.75" customHeight="1">
      <c r="A675" s="174"/>
      <c r="B675" s="175"/>
      <c r="F675" s="177"/>
      <c r="H675" s="178"/>
      <c r="I675" s="178"/>
      <c r="J675" s="184"/>
      <c r="N675" s="178"/>
      <c r="O675" s="178"/>
      <c r="P675" s="178"/>
      <c r="S675" s="458"/>
      <c r="AN675" s="458"/>
      <c r="AO675" s="458"/>
      <c r="AP675" s="458"/>
      <c r="AQ675" s="458"/>
      <c r="AR675" s="458"/>
      <c r="AS675" s="458"/>
      <c r="AT675" s="458"/>
      <c r="AU675" s="458"/>
      <c r="AV675" s="458"/>
      <c r="BA675" s="1305"/>
      <c r="BB675" s="174"/>
    </row>
    <row r="676" spans="1:54" ht="15.75" customHeight="1">
      <c r="A676" s="174"/>
      <c r="B676" s="175"/>
      <c r="F676" s="177"/>
      <c r="H676" s="178"/>
      <c r="I676" s="178"/>
      <c r="J676" s="184"/>
      <c r="N676" s="178"/>
      <c r="O676" s="178"/>
      <c r="P676" s="178"/>
      <c r="S676" s="458"/>
      <c r="AN676" s="458"/>
      <c r="AO676" s="458"/>
      <c r="AP676" s="458"/>
      <c r="AQ676" s="458"/>
      <c r="AR676" s="458"/>
      <c r="AS676" s="458"/>
      <c r="AT676" s="458"/>
      <c r="AU676" s="458"/>
      <c r="AV676" s="458"/>
      <c r="BA676" s="1305"/>
      <c r="BB676" s="174"/>
    </row>
    <row r="677" spans="1:54" ht="15.75" customHeight="1">
      <c r="A677" s="174"/>
      <c r="B677" s="175"/>
      <c r="F677" s="177"/>
      <c r="H677" s="178"/>
      <c r="I677" s="178"/>
      <c r="J677" s="184"/>
      <c r="N677" s="178"/>
      <c r="O677" s="178"/>
      <c r="P677" s="178"/>
      <c r="S677" s="458"/>
      <c r="AN677" s="458"/>
      <c r="AO677" s="458"/>
      <c r="AP677" s="458"/>
      <c r="AQ677" s="458"/>
      <c r="AR677" s="458"/>
      <c r="AS677" s="458"/>
      <c r="AT677" s="458"/>
      <c r="AU677" s="458"/>
      <c r="AV677" s="458"/>
      <c r="BA677" s="1305"/>
      <c r="BB677" s="174"/>
    </row>
    <row r="678" spans="1:54" ht="15.75" customHeight="1">
      <c r="A678" s="174"/>
      <c r="B678" s="175"/>
      <c r="F678" s="177"/>
      <c r="H678" s="178"/>
      <c r="I678" s="178"/>
      <c r="J678" s="184"/>
      <c r="N678" s="178"/>
      <c r="O678" s="178"/>
      <c r="P678" s="178"/>
      <c r="S678" s="458"/>
      <c r="AN678" s="458"/>
      <c r="AO678" s="458"/>
      <c r="AP678" s="458"/>
      <c r="AQ678" s="458"/>
      <c r="AR678" s="458"/>
      <c r="AS678" s="458"/>
      <c r="AT678" s="458"/>
      <c r="AU678" s="458"/>
      <c r="AV678" s="458"/>
      <c r="BA678" s="1305"/>
      <c r="BB678" s="174"/>
    </row>
    <row r="679" spans="1:54" ht="15.75" customHeight="1">
      <c r="A679" s="174"/>
      <c r="B679" s="175"/>
      <c r="F679" s="177"/>
      <c r="H679" s="178"/>
      <c r="I679" s="178"/>
      <c r="J679" s="184"/>
      <c r="N679" s="178"/>
      <c r="O679" s="178"/>
      <c r="P679" s="178"/>
      <c r="S679" s="458"/>
      <c r="AN679" s="458"/>
      <c r="AO679" s="458"/>
      <c r="AP679" s="458"/>
      <c r="AQ679" s="458"/>
      <c r="AR679" s="458"/>
      <c r="AS679" s="458"/>
      <c r="AT679" s="458"/>
      <c r="AU679" s="458"/>
      <c r="AV679" s="458"/>
      <c r="BA679" s="1305"/>
      <c r="BB679" s="174"/>
    </row>
    <row r="680" spans="1:54" ht="15.75" customHeight="1">
      <c r="A680" s="174"/>
      <c r="B680" s="175"/>
      <c r="F680" s="177"/>
      <c r="H680" s="178"/>
      <c r="I680" s="178"/>
      <c r="J680" s="184"/>
      <c r="N680" s="178"/>
      <c r="O680" s="178"/>
      <c r="P680" s="178"/>
      <c r="S680" s="458"/>
      <c r="AN680" s="458"/>
      <c r="AO680" s="458"/>
      <c r="AP680" s="458"/>
      <c r="AQ680" s="458"/>
      <c r="AR680" s="458"/>
      <c r="AS680" s="458"/>
      <c r="AT680" s="458"/>
      <c r="AU680" s="458"/>
      <c r="AV680" s="458"/>
      <c r="BA680" s="1305"/>
      <c r="BB680" s="174"/>
    </row>
    <row r="681" spans="1:54" ht="15.75" customHeight="1">
      <c r="A681" s="174"/>
      <c r="B681" s="175"/>
      <c r="F681" s="177"/>
      <c r="H681" s="178"/>
      <c r="I681" s="178"/>
      <c r="J681" s="184"/>
      <c r="N681" s="178"/>
      <c r="O681" s="178"/>
      <c r="P681" s="178"/>
      <c r="S681" s="458"/>
      <c r="AN681" s="458"/>
      <c r="AO681" s="458"/>
      <c r="AP681" s="458"/>
      <c r="AQ681" s="458"/>
      <c r="AR681" s="458"/>
      <c r="AS681" s="458"/>
      <c r="AT681" s="458"/>
      <c r="AU681" s="458"/>
      <c r="AV681" s="458"/>
      <c r="BA681" s="1305"/>
      <c r="BB681" s="174"/>
    </row>
    <row r="682" spans="1:54" ht="15.75" customHeight="1">
      <c r="A682" s="174"/>
      <c r="B682" s="175"/>
      <c r="F682" s="177"/>
      <c r="H682" s="178"/>
      <c r="I682" s="178"/>
      <c r="J682" s="184"/>
      <c r="N682" s="178"/>
      <c r="O682" s="178"/>
      <c r="P682" s="178"/>
      <c r="S682" s="458"/>
      <c r="AN682" s="458"/>
      <c r="AO682" s="458"/>
      <c r="AP682" s="458"/>
      <c r="AQ682" s="458"/>
      <c r="AR682" s="458"/>
      <c r="AS682" s="458"/>
      <c r="AT682" s="458"/>
      <c r="AU682" s="458"/>
      <c r="AV682" s="458"/>
      <c r="BA682" s="1305"/>
      <c r="BB682" s="174"/>
    </row>
    <row r="683" spans="1:54" ht="15.75" customHeight="1">
      <c r="A683" s="174"/>
      <c r="B683" s="175"/>
      <c r="F683" s="177"/>
      <c r="H683" s="178"/>
      <c r="I683" s="179"/>
      <c r="J683" s="184"/>
      <c r="N683" s="178"/>
      <c r="O683" s="178"/>
      <c r="P683" s="178"/>
      <c r="S683" s="458"/>
      <c r="AN683" s="458"/>
      <c r="AO683" s="458"/>
      <c r="AP683" s="458"/>
      <c r="AQ683" s="458"/>
      <c r="AR683" s="458"/>
      <c r="AS683" s="458"/>
      <c r="AT683" s="458"/>
      <c r="AU683" s="458"/>
      <c r="AV683" s="458"/>
      <c r="BA683" s="1305"/>
      <c r="BB683" s="174"/>
    </row>
    <row r="684" spans="1:54" ht="15.75" customHeight="1">
      <c r="A684" s="174"/>
      <c r="B684" s="175"/>
      <c r="F684" s="177"/>
      <c r="H684" s="178"/>
      <c r="I684" s="178"/>
      <c r="J684" s="184"/>
      <c r="N684" s="178"/>
      <c r="O684" s="178"/>
      <c r="P684" s="178"/>
      <c r="S684" s="458"/>
      <c r="AN684" s="458"/>
      <c r="AO684" s="458"/>
      <c r="AP684" s="458"/>
      <c r="AQ684" s="458"/>
      <c r="AR684" s="458"/>
      <c r="AS684" s="458"/>
      <c r="AT684" s="458"/>
      <c r="AU684" s="458"/>
      <c r="AV684" s="458"/>
      <c r="BA684" s="1305"/>
      <c r="BB684" s="174"/>
    </row>
    <row r="685" spans="1:54" ht="15.75" customHeight="1">
      <c r="A685" s="174"/>
      <c r="B685" s="175"/>
      <c r="F685" s="177"/>
      <c r="H685" s="178"/>
      <c r="I685" s="179"/>
      <c r="J685" s="184"/>
      <c r="N685" s="178"/>
      <c r="O685" s="178"/>
      <c r="P685" s="178"/>
      <c r="S685" s="458"/>
      <c r="AN685" s="458"/>
      <c r="AO685" s="458"/>
      <c r="AP685" s="458"/>
      <c r="AQ685" s="458"/>
      <c r="AR685" s="458"/>
      <c r="AS685" s="458"/>
      <c r="AT685" s="458"/>
      <c r="AU685" s="458"/>
      <c r="AV685" s="458"/>
      <c r="BA685" s="1305"/>
      <c r="BB685" s="174"/>
    </row>
    <row r="686" spans="1:54" ht="15.75" customHeight="1">
      <c r="A686" s="174"/>
      <c r="B686" s="175"/>
      <c r="F686" s="177"/>
      <c r="H686" s="178"/>
      <c r="I686" s="178"/>
      <c r="J686" s="184"/>
      <c r="N686" s="178"/>
      <c r="O686" s="178"/>
      <c r="P686" s="178"/>
      <c r="S686" s="458"/>
      <c r="AN686" s="458"/>
      <c r="AO686" s="458"/>
      <c r="AP686" s="458"/>
      <c r="AQ686" s="458"/>
      <c r="AR686" s="458"/>
      <c r="AS686" s="458"/>
      <c r="AT686" s="458"/>
      <c r="AU686" s="458"/>
      <c r="AV686" s="458"/>
      <c r="BA686" s="1305"/>
      <c r="BB686" s="174"/>
    </row>
    <row r="687" spans="1:54" ht="15.75" customHeight="1">
      <c r="A687" s="174"/>
      <c r="B687" s="175"/>
      <c r="F687" s="177"/>
      <c r="H687" s="178"/>
      <c r="I687" s="178"/>
      <c r="J687" s="184"/>
      <c r="N687" s="178"/>
      <c r="O687" s="178"/>
      <c r="P687" s="178"/>
      <c r="S687" s="458"/>
      <c r="AN687" s="458"/>
      <c r="AO687" s="458"/>
      <c r="AP687" s="458"/>
      <c r="AQ687" s="458"/>
      <c r="AR687" s="458"/>
      <c r="AS687" s="458"/>
      <c r="AT687" s="458"/>
      <c r="AU687" s="458"/>
      <c r="AV687" s="458"/>
      <c r="BA687" s="1305"/>
      <c r="BB687" s="174"/>
    </row>
    <row r="688" spans="1:54" ht="15.75" customHeight="1">
      <c r="A688" s="174"/>
      <c r="B688" s="175"/>
      <c r="F688" s="177"/>
      <c r="H688" s="178"/>
      <c r="I688" s="179"/>
      <c r="J688" s="184"/>
      <c r="N688" s="178"/>
      <c r="O688" s="178"/>
      <c r="P688" s="178"/>
      <c r="S688" s="458"/>
      <c r="AN688" s="458"/>
      <c r="AO688" s="458"/>
      <c r="AP688" s="458"/>
      <c r="AQ688" s="458"/>
      <c r="AR688" s="458"/>
      <c r="AS688" s="458"/>
      <c r="AT688" s="458"/>
      <c r="AU688" s="458"/>
      <c r="AV688" s="458"/>
      <c r="BA688" s="1305"/>
      <c r="BB688" s="174"/>
    </row>
    <row r="689" spans="1:54" ht="15.75" customHeight="1">
      <c r="A689" s="174"/>
      <c r="B689" s="175"/>
      <c r="F689" s="177"/>
      <c r="H689" s="178"/>
      <c r="I689" s="178"/>
      <c r="J689" s="184"/>
      <c r="N689" s="178"/>
      <c r="O689" s="178"/>
      <c r="P689" s="178"/>
      <c r="S689" s="458"/>
      <c r="AN689" s="458"/>
      <c r="AO689" s="458"/>
      <c r="AP689" s="458"/>
      <c r="AQ689" s="458"/>
      <c r="AR689" s="458"/>
      <c r="AS689" s="458"/>
      <c r="AT689" s="458"/>
      <c r="AU689" s="458"/>
      <c r="AV689" s="458"/>
      <c r="BA689" s="1305"/>
      <c r="BB689" s="174"/>
    </row>
    <row r="690" spans="1:54" ht="15.75" customHeight="1">
      <c r="A690" s="174"/>
      <c r="B690" s="175"/>
      <c r="F690" s="177"/>
      <c r="H690" s="178"/>
      <c r="I690" s="178"/>
      <c r="J690" s="184"/>
      <c r="N690" s="178"/>
      <c r="O690" s="178"/>
      <c r="P690" s="178"/>
      <c r="S690" s="458"/>
      <c r="AN690" s="458"/>
      <c r="AO690" s="458"/>
      <c r="AP690" s="458"/>
      <c r="AQ690" s="458"/>
      <c r="AR690" s="458"/>
      <c r="AS690" s="458"/>
      <c r="AT690" s="458"/>
      <c r="AU690" s="458"/>
      <c r="AV690" s="458"/>
      <c r="BA690" s="1305"/>
      <c r="BB690" s="174"/>
    </row>
    <row r="691" spans="1:54" ht="15.75" customHeight="1">
      <c r="A691" s="174"/>
      <c r="B691" s="175"/>
      <c r="F691" s="177"/>
      <c r="H691" s="178"/>
      <c r="I691" s="179"/>
      <c r="J691" s="184"/>
      <c r="N691" s="178"/>
      <c r="O691" s="178"/>
      <c r="P691" s="178"/>
      <c r="S691" s="458"/>
      <c r="AN691" s="458"/>
      <c r="AO691" s="458"/>
      <c r="AP691" s="458"/>
      <c r="AQ691" s="458"/>
      <c r="AR691" s="458"/>
      <c r="AS691" s="458"/>
      <c r="AT691" s="458"/>
      <c r="AU691" s="458"/>
      <c r="AV691" s="458"/>
      <c r="BA691" s="1305"/>
      <c r="BB691" s="174"/>
    </row>
    <row r="692" spans="1:54" ht="15.75" customHeight="1">
      <c r="A692" s="174"/>
      <c r="B692" s="175"/>
      <c r="F692" s="177"/>
      <c r="H692" s="178"/>
      <c r="I692" s="178"/>
      <c r="J692" s="184"/>
      <c r="N692" s="178"/>
      <c r="O692" s="178"/>
      <c r="P692" s="178"/>
      <c r="S692" s="458"/>
      <c r="AN692" s="458"/>
      <c r="AO692" s="458"/>
      <c r="AP692" s="458"/>
      <c r="AQ692" s="458"/>
      <c r="AR692" s="458"/>
      <c r="AS692" s="458"/>
      <c r="AT692" s="458"/>
      <c r="AU692" s="458"/>
      <c r="AV692" s="458"/>
      <c r="BA692" s="1305"/>
      <c r="BB692" s="174"/>
    </row>
    <row r="693" spans="1:54" ht="15.75" customHeight="1">
      <c r="A693" s="174"/>
      <c r="B693" s="175"/>
      <c r="F693" s="177"/>
      <c r="H693" s="178"/>
      <c r="I693" s="179"/>
      <c r="J693" s="184"/>
      <c r="N693" s="178"/>
      <c r="O693" s="178"/>
      <c r="P693" s="178"/>
      <c r="S693" s="458"/>
      <c r="AN693" s="458"/>
      <c r="AO693" s="458"/>
      <c r="AP693" s="458"/>
      <c r="AQ693" s="458"/>
      <c r="AR693" s="458"/>
      <c r="AS693" s="458"/>
      <c r="AT693" s="458"/>
      <c r="AU693" s="458"/>
      <c r="AV693" s="458"/>
      <c r="BA693" s="1305"/>
      <c r="BB693" s="174"/>
    </row>
    <row r="694" spans="1:54" ht="15.75" customHeight="1">
      <c r="A694" s="174"/>
      <c r="B694" s="175"/>
      <c r="F694" s="177"/>
      <c r="I694" s="177"/>
      <c r="J694" s="184"/>
      <c r="N694" s="178"/>
      <c r="O694" s="178"/>
      <c r="P694" s="178"/>
      <c r="S694" s="458"/>
      <c r="AN694" s="458"/>
      <c r="AO694" s="458"/>
      <c r="AP694" s="458"/>
      <c r="AQ694" s="458"/>
      <c r="AR694" s="458"/>
      <c r="AS694" s="458"/>
      <c r="AT694" s="458"/>
      <c r="AU694" s="458"/>
      <c r="AV694" s="458"/>
      <c r="BA694" s="1305"/>
      <c r="BB694" s="174"/>
    </row>
    <row r="695" spans="1:54" ht="15.75" customHeight="1">
      <c r="A695" s="174"/>
      <c r="B695" s="175"/>
      <c r="F695" s="177"/>
      <c r="I695" s="177"/>
      <c r="J695" s="184"/>
      <c r="N695" s="178"/>
      <c r="O695" s="178"/>
      <c r="P695" s="178"/>
      <c r="S695" s="458"/>
      <c r="AN695" s="458"/>
      <c r="AO695" s="458"/>
      <c r="AP695" s="458"/>
      <c r="AQ695" s="458"/>
      <c r="AR695" s="458"/>
      <c r="AS695" s="458"/>
      <c r="AT695" s="458"/>
      <c r="AU695" s="458"/>
      <c r="AV695" s="458"/>
      <c r="BA695" s="1305"/>
      <c r="BB695" s="174"/>
    </row>
    <row r="696" spans="1:54" ht="15.75" customHeight="1">
      <c r="A696" s="174"/>
      <c r="B696" s="175"/>
      <c r="F696" s="177"/>
      <c r="H696" s="178"/>
      <c r="I696" s="178"/>
      <c r="J696" s="184"/>
      <c r="N696" s="178"/>
      <c r="O696" s="178"/>
      <c r="P696" s="178"/>
      <c r="S696" s="458"/>
      <c r="AN696" s="458"/>
      <c r="AO696" s="458"/>
      <c r="AP696" s="458"/>
      <c r="AQ696" s="458"/>
      <c r="AR696" s="458"/>
      <c r="AS696" s="458"/>
      <c r="AT696" s="458"/>
      <c r="AU696" s="458"/>
      <c r="AV696" s="458"/>
      <c r="BA696" s="1305"/>
      <c r="BB696" s="174"/>
    </row>
    <row r="697" spans="1:54" ht="15.75" customHeight="1">
      <c r="A697" s="174"/>
      <c r="B697" s="175"/>
      <c r="F697" s="177"/>
      <c r="H697" s="178"/>
      <c r="I697" s="179"/>
      <c r="J697" s="184"/>
      <c r="N697" s="178"/>
      <c r="O697" s="178"/>
      <c r="P697" s="178"/>
      <c r="S697" s="458"/>
      <c r="AN697" s="458"/>
      <c r="AO697" s="458"/>
      <c r="AP697" s="458"/>
      <c r="AQ697" s="458"/>
      <c r="AR697" s="458"/>
      <c r="AS697" s="458"/>
      <c r="AT697" s="458"/>
      <c r="AU697" s="458"/>
      <c r="AV697" s="458"/>
      <c r="BA697" s="1305"/>
      <c r="BB697" s="174"/>
    </row>
    <row r="698" spans="1:54" ht="15.75" customHeight="1">
      <c r="A698" s="174"/>
      <c r="B698" s="175"/>
      <c r="F698" s="177"/>
      <c r="H698" s="178"/>
      <c r="I698" s="178"/>
      <c r="J698" s="184"/>
      <c r="N698" s="178"/>
      <c r="O698" s="178"/>
      <c r="P698" s="178"/>
      <c r="S698" s="458"/>
      <c r="AN698" s="458"/>
      <c r="AO698" s="458"/>
      <c r="AP698" s="458"/>
      <c r="AQ698" s="458"/>
      <c r="AR698" s="458"/>
      <c r="AS698" s="458"/>
      <c r="AT698" s="458"/>
      <c r="AU698" s="458"/>
      <c r="AV698" s="458"/>
      <c r="BA698" s="1305"/>
      <c r="BB698" s="174"/>
    </row>
    <row r="699" spans="1:54" ht="15.75" customHeight="1">
      <c r="A699" s="174"/>
      <c r="B699" s="175"/>
      <c r="F699" s="177"/>
      <c r="H699" s="178"/>
      <c r="I699" s="178"/>
      <c r="J699" s="184"/>
      <c r="N699" s="178"/>
      <c r="O699" s="178"/>
      <c r="P699" s="178"/>
      <c r="S699" s="458"/>
      <c r="AN699" s="458"/>
      <c r="AO699" s="458"/>
      <c r="AP699" s="458"/>
      <c r="AQ699" s="458"/>
      <c r="AR699" s="458"/>
      <c r="AS699" s="458"/>
      <c r="AT699" s="458"/>
      <c r="AU699" s="458"/>
      <c r="AV699" s="458"/>
      <c r="BA699" s="1305"/>
      <c r="BB699" s="174"/>
    </row>
    <row r="700" spans="1:54" ht="15.75" customHeight="1">
      <c r="A700" s="174"/>
      <c r="B700" s="175"/>
      <c r="F700" s="177"/>
      <c r="H700" s="178"/>
      <c r="I700" s="178"/>
      <c r="J700" s="184"/>
      <c r="N700" s="178"/>
      <c r="O700" s="178"/>
      <c r="P700" s="178"/>
      <c r="S700" s="458"/>
      <c r="AN700" s="458"/>
      <c r="AO700" s="458"/>
      <c r="AP700" s="458"/>
      <c r="AQ700" s="458"/>
      <c r="AR700" s="458"/>
      <c r="AS700" s="458"/>
      <c r="AT700" s="458"/>
      <c r="AU700" s="458"/>
      <c r="AV700" s="458"/>
      <c r="BA700" s="1305"/>
      <c r="BB700" s="174"/>
    </row>
    <row r="701" spans="1:54" ht="15.75" customHeight="1">
      <c r="A701" s="174"/>
      <c r="B701" s="175"/>
      <c r="F701" s="177"/>
      <c r="H701" s="178"/>
      <c r="I701" s="178"/>
      <c r="J701" s="184"/>
      <c r="N701" s="178"/>
      <c r="O701" s="178"/>
      <c r="P701" s="178"/>
      <c r="S701" s="458"/>
      <c r="AN701" s="458"/>
      <c r="AO701" s="458"/>
      <c r="AP701" s="458"/>
      <c r="AQ701" s="458"/>
      <c r="AR701" s="458"/>
      <c r="AS701" s="458"/>
      <c r="AT701" s="458"/>
      <c r="AU701" s="458"/>
      <c r="AV701" s="458"/>
      <c r="BA701" s="1305"/>
      <c r="BB701" s="174"/>
    </row>
    <row r="702" spans="1:54" ht="15.75" customHeight="1">
      <c r="A702" s="174"/>
      <c r="B702" s="175"/>
      <c r="F702" s="177"/>
      <c r="H702" s="178"/>
      <c r="I702" s="178"/>
      <c r="J702" s="184"/>
      <c r="N702" s="178"/>
      <c r="O702" s="178"/>
      <c r="P702" s="178"/>
      <c r="S702" s="458"/>
      <c r="AN702" s="458"/>
      <c r="AO702" s="458"/>
      <c r="AP702" s="458"/>
      <c r="AQ702" s="458"/>
      <c r="AR702" s="458"/>
      <c r="AS702" s="458"/>
      <c r="AT702" s="458"/>
      <c r="AU702" s="458"/>
      <c r="AV702" s="458"/>
      <c r="BA702" s="1305"/>
      <c r="BB702" s="174"/>
    </row>
    <row r="703" spans="1:54" ht="15.75" customHeight="1">
      <c r="A703" s="174"/>
      <c r="B703" s="175"/>
      <c r="F703" s="177"/>
      <c r="H703" s="178"/>
      <c r="I703" s="178"/>
      <c r="J703" s="184"/>
      <c r="N703" s="178"/>
      <c r="O703" s="178"/>
      <c r="P703" s="178"/>
      <c r="S703" s="458"/>
      <c r="AN703" s="458"/>
      <c r="AO703" s="458"/>
      <c r="AP703" s="458"/>
      <c r="AQ703" s="458"/>
      <c r="AR703" s="458"/>
      <c r="AS703" s="458"/>
      <c r="AT703" s="458"/>
      <c r="AU703" s="458"/>
      <c r="AV703" s="458"/>
      <c r="BA703" s="1305"/>
      <c r="BB703" s="174"/>
    </row>
    <row r="704" spans="1:54" ht="15.75" customHeight="1">
      <c r="A704" s="174"/>
      <c r="B704" s="175"/>
      <c r="F704" s="177"/>
      <c r="H704" s="178"/>
      <c r="I704" s="178"/>
      <c r="J704" s="184"/>
      <c r="N704" s="178"/>
      <c r="O704" s="178"/>
      <c r="P704" s="178"/>
      <c r="S704" s="458"/>
      <c r="AN704" s="458"/>
      <c r="AO704" s="458"/>
      <c r="AP704" s="458"/>
      <c r="AQ704" s="458"/>
      <c r="AR704" s="458"/>
      <c r="AS704" s="458"/>
      <c r="AT704" s="458"/>
      <c r="AU704" s="458"/>
      <c r="AV704" s="458"/>
      <c r="BA704" s="1305"/>
      <c r="BB704" s="174"/>
    </row>
    <row r="705" spans="1:54" ht="15.75" customHeight="1">
      <c r="A705" s="174"/>
      <c r="B705" s="175"/>
      <c r="F705" s="177"/>
      <c r="H705" s="178"/>
      <c r="I705" s="178"/>
      <c r="J705" s="184"/>
      <c r="N705" s="178"/>
      <c r="O705" s="178"/>
      <c r="P705" s="178"/>
      <c r="S705" s="458"/>
      <c r="AN705" s="458"/>
      <c r="AO705" s="458"/>
      <c r="AP705" s="458"/>
      <c r="AQ705" s="458"/>
      <c r="AR705" s="458"/>
      <c r="AS705" s="458"/>
      <c r="AT705" s="458"/>
      <c r="AU705" s="458"/>
      <c r="AV705" s="458"/>
      <c r="BA705" s="1305"/>
      <c r="BB705" s="174"/>
    </row>
    <row r="706" spans="1:54" ht="15.75" customHeight="1">
      <c r="A706" s="174"/>
      <c r="B706" s="175"/>
      <c r="F706" s="177"/>
      <c r="H706" s="178"/>
      <c r="I706" s="178"/>
      <c r="J706" s="184"/>
      <c r="N706" s="178"/>
      <c r="O706" s="178"/>
      <c r="P706" s="178"/>
      <c r="S706" s="458"/>
      <c r="AN706" s="458"/>
      <c r="AO706" s="458"/>
      <c r="AP706" s="458"/>
      <c r="AQ706" s="458"/>
      <c r="AR706" s="458"/>
      <c r="AS706" s="458"/>
      <c r="AT706" s="458"/>
      <c r="AU706" s="458"/>
      <c r="AV706" s="458"/>
      <c r="BA706" s="1305"/>
      <c r="BB706" s="174"/>
    </row>
    <row r="707" spans="1:54" ht="15.75" customHeight="1">
      <c r="A707" s="174"/>
      <c r="B707" s="175"/>
      <c r="F707" s="177"/>
      <c r="H707" s="178"/>
      <c r="I707" s="178"/>
      <c r="J707" s="184"/>
      <c r="N707" s="178"/>
      <c r="O707" s="178"/>
      <c r="P707" s="178"/>
      <c r="S707" s="458"/>
      <c r="AN707" s="458"/>
      <c r="AO707" s="458"/>
      <c r="AP707" s="458"/>
      <c r="AQ707" s="458"/>
      <c r="AR707" s="458"/>
      <c r="AS707" s="458"/>
      <c r="AT707" s="458"/>
      <c r="AU707" s="458"/>
      <c r="AV707" s="458"/>
      <c r="BA707" s="1305"/>
      <c r="BB707" s="174"/>
    </row>
    <row r="708" spans="1:54" ht="15.75" customHeight="1">
      <c r="A708" s="174"/>
      <c r="B708" s="175"/>
      <c r="F708" s="177"/>
      <c r="H708" s="178"/>
      <c r="I708" s="178"/>
      <c r="J708" s="184"/>
      <c r="N708" s="178"/>
      <c r="O708" s="178"/>
      <c r="P708" s="178"/>
      <c r="S708" s="458"/>
      <c r="AN708" s="458"/>
      <c r="AO708" s="458"/>
      <c r="AP708" s="458"/>
      <c r="AQ708" s="458"/>
      <c r="AR708" s="458"/>
      <c r="AS708" s="458"/>
      <c r="AT708" s="458"/>
      <c r="AU708" s="458"/>
      <c r="AV708" s="458"/>
      <c r="BA708" s="1305"/>
      <c r="BB708" s="174"/>
    </row>
    <row r="709" spans="1:54" ht="15.75" customHeight="1">
      <c r="A709" s="174"/>
      <c r="B709" s="175"/>
      <c r="F709" s="177"/>
      <c r="H709" s="178"/>
      <c r="I709" s="178"/>
      <c r="J709" s="184"/>
      <c r="N709" s="178"/>
      <c r="O709" s="178"/>
      <c r="P709" s="178"/>
      <c r="S709" s="458"/>
      <c r="AN709" s="458"/>
      <c r="AO709" s="458"/>
      <c r="AP709" s="458"/>
      <c r="AQ709" s="458"/>
      <c r="AR709" s="458"/>
      <c r="AS709" s="458"/>
      <c r="AT709" s="458"/>
      <c r="AU709" s="458"/>
      <c r="AV709" s="458"/>
      <c r="BA709" s="1305"/>
      <c r="BB709" s="174"/>
    </row>
    <row r="710" spans="1:54" ht="15.75" customHeight="1">
      <c r="A710" s="174"/>
      <c r="B710" s="175"/>
      <c r="F710" s="177"/>
      <c r="H710" s="178"/>
      <c r="I710" s="178"/>
      <c r="J710" s="184"/>
      <c r="N710" s="178"/>
      <c r="O710" s="178"/>
      <c r="P710" s="178"/>
      <c r="S710" s="458"/>
      <c r="AN710" s="458"/>
      <c r="AO710" s="458"/>
      <c r="AP710" s="458"/>
      <c r="AQ710" s="458"/>
      <c r="AR710" s="458"/>
      <c r="AS710" s="458"/>
      <c r="AT710" s="458"/>
      <c r="AU710" s="458"/>
      <c r="AV710" s="458"/>
      <c r="BA710" s="1305"/>
      <c r="BB710" s="174"/>
    </row>
    <row r="711" spans="1:54" ht="15.75" customHeight="1">
      <c r="A711" s="174"/>
      <c r="B711" s="175"/>
      <c r="F711" s="177"/>
      <c r="H711" s="178"/>
      <c r="I711" s="178"/>
      <c r="J711" s="184"/>
      <c r="N711" s="178"/>
      <c r="O711" s="178"/>
      <c r="P711" s="178"/>
      <c r="S711" s="458"/>
      <c r="AN711" s="458"/>
      <c r="AO711" s="458"/>
      <c r="AP711" s="458"/>
      <c r="AQ711" s="458"/>
      <c r="AR711" s="458"/>
      <c r="AS711" s="458"/>
      <c r="AT711" s="458"/>
      <c r="AU711" s="458"/>
      <c r="AV711" s="458"/>
      <c r="BA711" s="1305"/>
      <c r="BB711" s="174"/>
    </row>
    <row r="712" spans="1:54" ht="15.75" customHeight="1">
      <c r="A712" s="174"/>
      <c r="B712" s="175"/>
      <c r="F712" s="177"/>
      <c r="H712" s="178"/>
      <c r="I712" s="178"/>
      <c r="J712" s="184"/>
      <c r="N712" s="178"/>
      <c r="O712" s="178"/>
      <c r="P712" s="178"/>
      <c r="S712" s="458"/>
      <c r="AN712" s="458"/>
      <c r="AO712" s="458"/>
      <c r="AP712" s="458"/>
      <c r="AQ712" s="458"/>
      <c r="AR712" s="458"/>
      <c r="AS712" s="458"/>
      <c r="AT712" s="458"/>
      <c r="AU712" s="458"/>
      <c r="AV712" s="458"/>
      <c r="BA712" s="1305"/>
      <c r="BB712" s="174"/>
    </row>
    <row r="713" spans="1:54" ht="15.75" customHeight="1">
      <c r="A713" s="174"/>
      <c r="B713" s="175"/>
      <c r="F713" s="177"/>
      <c r="H713" s="178"/>
      <c r="I713" s="178"/>
      <c r="J713" s="184"/>
      <c r="N713" s="178"/>
      <c r="O713" s="178"/>
      <c r="P713" s="178"/>
      <c r="S713" s="458"/>
      <c r="AN713" s="458"/>
      <c r="AO713" s="458"/>
      <c r="AP713" s="458"/>
      <c r="AQ713" s="458"/>
      <c r="AR713" s="458"/>
      <c r="AS713" s="458"/>
      <c r="AT713" s="458"/>
      <c r="AU713" s="458"/>
      <c r="AV713" s="458"/>
      <c r="BA713" s="1305"/>
      <c r="BB713" s="174"/>
    </row>
    <row r="714" spans="1:54" ht="15.75" customHeight="1">
      <c r="A714" s="174"/>
      <c r="B714" s="175"/>
      <c r="F714" s="177"/>
      <c r="H714" s="178"/>
      <c r="I714" s="179"/>
      <c r="J714" s="184"/>
      <c r="N714" s="178"/>
      <c r="O714" s="178"/>
      <c r="P714" s="178"/>
      <c r="S714" s="458"/>
      <c r="AN714" s="458"/>
      <c r="AO714" s="458"/>
      <c r="AP714" s="458"/>
      <c r="AQ714" s="458"/>
      <c r="AR714" s="458"/>
      <c r="AS714" s="458"/>
      <c r="AT714" s="458"/>
      <c r="AU714" s="458"/>
      <c r="AV714" s="458"/>
      <c r="BA714" s="1305"/>
      <c r="BB714" s="174"/>
    </row>
    <row r="715" spans="1:54" ht="15.75" customHeight="1">
      <c r="A715" s="174"/>
      <c r="B715" s="175"/>
      <c r="F715" s="177"/>
      <c r="H715" s="178"/>
      <c r="I715" s="178"/>
      <c r="J715" s="184"/>
      <c r="N715" s="178"/>
      <c r="O715" s="178"/>
      <c r="P715" s="178"/>
      <c r="S715" s="458"/>
      <c r="AN715" s="458"/>
      <c r="AO715" s="458"/>
      <c r="AP715" s="458"/>
      <c r="AQ715" s="458"/>
      <c r="AR715" s="458"/>
      <c r="AS715" s="458"/>
      <c r="AT715" s="458"/>
      <c r="AU715" s="458"/>
      <c r="AV715" s="458"/>
      <c r="BA715" s="1305"/>
      <c r="BB715" s="174"/>
    </row>
    <row r="716" spans="1:54" ht="15.75" customHeight="1">
      <c r="A716" s="174"/>
      <c r="B716" s="175"/>
      <c r="F716" s="177"/>
      <c r="H716" s="178"/>
      <c r="I716" s="178"/>
      <c r="J716" s="184"/>
      <c r="N716" s="178"/>
      <c r="O716" s="178"/>
      <c r="P716" s="178"/>
      <c r="S716" s="458"/>
      <c r="AN716" s="458"/>
      <c r="AO716" s="458"/>
      <c r="AP716" s="458"/>
      <c r="AQ716" s="458"/>
      <c r="AR716" s="458"/>
      <c r="AS716" s="458"/>
      <c r="AT716" s="458"/>
      <c r="AU716" s="458"/>
      <c r="AV716" s="458"/>
      <c r="BA716" s="1305"/>
      <c r="BB716" s="174"/>
    </row>
    <row r="717" spans="1:54" ht="15.75" customHeight="1">
      <c r="A717" s="174"/>
      <c r="B717" s="175"/>
      <c r="F717" s="177"/>
      <c r="H717" s="178"/>
      <c r="I717" s="179"/>
      <c r="J717" s="184"/>
      <c r="N717" s="178"/>
      <c r="O717" s="178"/>
      <c r="P717" s="178"/>
      <c r="S717" s="458"/>
      <c r="AN717" s="458"/>
      <c r="AO717" s="458"/>
      <c r="AP717" s="458"/>
      <c r="AQ717" s="458"/>
      <c r="AR717" s="458"/>
      <c r="AS717" s="458"/>
      <c r="AT717" s="458"/>
      <c r="AU717" s="458"/>
      <c r="AV717" s="458"/>
      <c r="BA717" s="1305"/>
      <c r="BB717" s="174"/>
    </row>
    <row r="718" spans="1:54" ht="15.75" customHeight="1">
      <c r="A718" s="174"/>
      <c r="B718" s="175"/>
      <c r="F718" s="177"/>
      <c r="H718" s="178"/>
      <c r="I718" s="178"/>
      <c r="J718" s="184"/>
      <c r="N718" s="178"/>
      <c r="O718" s="178"/>
      <c r="P718" s="178"/>
      <c r="S718" s="458"/>
      <c r="AN718" s="458"/>
      <c r="AO718" s="458"/>
      <c r="AP718" s="458"/>
      <c r="AQ718" s="458"/>
      <c r="AR718" s="458"/>
      <c r="AS718" s="458"/>
      <c r="AT718" s="458"/>
      <c r="AU718" s="458"/>
      <c r="AV718" s="458"/>
      <c r="BA718" s="1305"/>
      <c r="BB718" s="174"/>
    </row>
    <row r="719" spans="1:54" ht="15.75" customHeight="1">
      <c r="A719" s="174"/>
      <c r="B719" s="175"/>
      <c r="F719" s="177"/>
      <c r="H719" s="178"/>
      <c r="I719" s="179"/>
      <c r="J719" s="184"/>
      <c r="N719" s="178"/>
      <c r="O719" s="178"/>
      <c r="P719" s="178"/>
      <c r="S719" s="458"/>
      <c r="AN719" s="458"/>
      <c r="AO719" s="458"/>
      <c r="AP719" s="458"/>
      <c r="AQ719" s="458"/>
      <c r="AR719" s="458"/>
      <c r="AS719" s="458"/>
      <c r="AT719" s="458"/>
      <c r="AU719" s="458"/>
      <c r="AV719" s="458"/>
      <c r="BA719" s="1305"/>
      <c r="BB719" s="174"/>
    </row>
    <row r="720" spans="1:54" ht="15.75" customHeight="1">
      <c r="A720" s="174"/>
      <c r="B720" s="175"/>
      <c r="F720" s="177"/>
      <c r="H720" s="178"/>
      <c r="I720" s="178"/>
      <c r="J720" s="184"/>
      <c r="N720" s="178"/>
      <c r="O720" s="178"/>
      <c r="P720" s="178"/>
      <c r="S720" s="458"/>
      <c r="AN720" s="458"/>
      <c r="AO720" s="458"/>
      <c r="AP720" s="458"/>
      <c r="AQ720" s="458"/>
      <c r="AR720" s="458"/>
      <c r="AS720" s="458"/>
      <c r="AT720" s="458"/>
      <c r="AU720" s="458"/>
      <c r="AV720" s="458"/>
      <c r="BA720" s="1305"/>
      <c r="BB720" s="174"/>
    </row>
    <row r="721" spans="1:54" ht="15.75" customHeight="1">
      <c r="A721" s="174"/>
      <c r="B721" s="175"/>
      <c r="F721" s="177"/>
      <c r="H721" s="178"/>
      <c r="I721" s="179"/>
      <c r="J721" s="184"/>
      <c r="N721" s="178"/>
      <c r="O721" s="178"/>
      <c r="P721" s="178"/>
      <c r="S721" s="458"/>
      <c r="AN721" s="458"/>
      <c r="AO721" s="458"/>
      <c r="AP721" s="458"/>
      <c r="AQ721" s="458"/>
      <c r="AR721" s="458"/>
      <c r="AS721" s="458"/>
      <c r="AT721" s="458"/>
      <c r="AU721" s="458"/>
      <c r="AV721" s="458"/>
      <c r="BA721" s="1305"/>
      <c r="BB721" s="174"/>
    </row>
    <row r="722" spans="1:54" ht="15.75" customHeight="1">
      <c r="A722" s="174"/>
      <c r="B722" s="175"/>
      <c r="F722" s="177"/>
      <c r="H722" s="178"/>
      <c r="I722" s="178"/>
      <c r="J722" s="184"/>
      <c r="N722" s="178"/>
      <c r="O722" s="178"/>
      <c r="P722" s="178"/>
      <c r="S722" s="458"/>
      <c r="AN722" s="458"/>
      <c r="AO722" s="458"/>
      <c r="AP722" s="458"/>
      <c r="AQ722" s="458"/>
      <c r="AR722" s="458"/>
      <c r="AS722" s="458"/>
      <c r="AT722" s="458"/>
      <c r="AU722" s="458"/>
      <c r="AV722" s="458"/>
      <c r="BA722" s="1305"/>
      <c r="BB722" s="174"/>
    </row>
    <row r="723" spans="1:54" ht="15.75" customHeight="1">
      <c r="A723" s="174"/>
      <c r="B723" s="175"/>
      <c r="F723" s="177"/>
      <c r="H723" s="178"/>
      <c r="I723" s="179"/>
      <c r="J723" s="184"/>
      <c r="N723" s="178"/>
      <c r="O723" s="178"/>
      <c r="P723" s="178"/>
      <c r="S723" s="458"/>
      <c r="AN723" s="458"/>
      <c r="AO723" s="458"/>
      <c r="AP723" s="458"/>
      <c r="AQ723" s="458"/>
      <c r="AR723" s="458"/>
      <c r="AS723" s="458"/>
      <c r="AT723" s="458"/>
      <c r="AU723" s="458"/>
      <c r="AV723" s="458"/>
      <c r="BA723" s="1305"/>
      <c r="BB723" s="174"/>
    </row>
    <row r="724" spans="1:54" ht="15.75" customHeight="1">
      <c r="A724" s="174"/>
      <c r="B724" s="175"/>
      <c r="F724" s="177"/>
      <c r="I724" s="177"/>
      <c r="J724" s="184"/>
      <c r="N724" s="178"/>
      <c r="O724" s="178"/>
      <c r="P724" s="178"/>
      <c r="S724" s="458"/>
      <c r="AN724" s="458"/>
      <c r="AO724" s="458"/>
      <c r="AP724" s="458"/>
      <c r="AQ724" s="458"/>
      <c r="AR724" s="458"/>
      <c r="AS724" s="458"/>
      <c r="AT724" s="458"/>
      <c r="AU724" s="458"/>
      <c r="AV724" s="458"/>
      <c r="BA724" s="1305"/>
      <c r="BB724" s="174"/>
    </row>
    <row r="725" spans="1:54" ht="15.75" customHeight="1">
      <c r="A725" s="174"/>
      <c r="B725" s="175"/>
      <c r="F725" s="177"/>
      <c r="I725" s="177"/>
      <c r="J725" s="184"/>
      <c r="N725" s="178"/>
      <c r="O725" s="178"/>
      <c r="P725" s="178"/>
      <c r="S725" s="458"/>
      <c r="AN725" s="458"/>
      <c r="AO725" s="458"/>
      <c r="AP725" s="458"/>
      <c r="AQ725" s="458"/>
      <c r="AR725" s="458"/>
      <c r="AS725" s="458"/>
      <c r="AT725" s="458"/>
      <c r="AU725" s="458"/>
      <c r="AV725" s="458"/>
      <c r="BA725" s="1305"/>
      <c r="BB725" s="174"/>
    </row>
    <row r="726" spans="1:54" ht="15.75" customHeight="1">
      <c r="A726" s="174"/>
      <c r="B726" s="175"/>
      <c r="F726" s="177"/>
      <c r="H726" s="178"/>
      <c r="I726" s="178"/>
      <c r="J726" s="184"/>
      <c r="N726" s="178"/>
      <c r="O726" s="178"/>
      <c r="P726" s="178"/>
      <c r="S726" s="458"/>
      <c r="AN726" s="458"/>
      <c r="AO726" s="458"/>
      <c r="AP726" s="458"/>
      <c r="AQ726" s="458"/>
      <c r="AR726" s="458"/>
      <c r="AS726" s="458"/>
      <c r="AT726" s="458"/>
      <c r="AU726" s="458"/>
      <c r="AV726" s="458"/>
      <c r="BA726" s="1305"/>
      <c r="BB726" s="174"/>
    </row>
    <row r="727" spans="1:54" ht="15.75" customHeight="1">
      <c r="A727" s="174"/>
      <c r="B727" s="175"/>
      <c r="F727" s="177"/>
      <c r="H727" s="178"/>
      <c r="I727" s="179"/>
      <c r="J727" s="184"/>
      <c r="N727" s="178"/>
      <c r="O727" s="178"/>
      <c r="P727" s="178"/>
      <c r="S727" s="458"/>
      <c r="AN727" s="458"/>
      <c r="AO727" s="458"/>
      <c r="AP727" s="458"/>
      <c r="AQ727" s="458"/>
      <c r="AR727" s="458"/>
      <c r="AS727" s="458"/>
      <c r="AT727" s="458"/>
      <c r="AU727" s="458"/>
      <c r="AV727" s="458"/>
      <c r="BA727" s="1305"/>
      <c r="BB727" s="174"/>
    </row>
    <row r="728" spans="1:54" ht="15.75" customHeight="1">
      <c r="A728" s="174"/>
      <c r="B728" s="175"/>
      <c r="F728" s="177"/>
      <c r="H728" s="178"/>
      <c r="I728" s="178"/>
      <c r="J728" s="184"/>
      <c r="N728" s="178"/>
      <c r="O728" s="178"/>
      <c r="P728" s="178"/>
      <c r="S728" s="458"/>
      <c r="AN728" s="458"/>
      <c r="BA728" s="1305"/>
      <c r="BB728" s="174"/>
    </row>
    <row r="729" spans="1:54" ht="15.75" customHeight="1">
      <c r="A729" s="174"/>
      <c r="B729" s="175"/>
      <c r="F729" s="177"/>
      <c r="H729" s="178"/>
      <c r="I729" s="178"/>
      <c r="J729" s="184"/>
      <c r="N729" s="178"/>
      <c r="O729" s="178"/>
      <c r="P729" s="178"/>
      <c r="S729" s="458"/>
      <c r="AN729" s="458"/>
      <c r="BA729" s="1305"/>
      <c r="BB729" s="174"/>
    </row>
    <row r="730" spans="1:54" ht="15.75" customHeight="1">
      <c r="A730" s="174"/>
      <c r="B730" s="175"/>
      <c r="F730" s="177"/>
      <c r="H730" s="178"/>
      <c r="I730" s="178"/>
      <c r="J730" s="184"/>
      <c r="N730" s="178"/>
      <c r="O730" s="178"/>
      <c r="P730" s="178"/>
      <c r="S730" s="458"/>
      <c r="AN730" s="458"/>
      <c r="BA730" s="1305"/>
      <c r="BB730" s="174"/>
    </row>
    <row r="731" spans="1:54" ht="15.75" customHeight="1">
      <c r="A731" s="174"/>
      <c r="B731" s="175"/>
      <c r="F731" s="177"/>
      <c r="H731" s="178"/>
      <c r="I731" s="178"/>
      <c r="J731" s="184"/>
      <c r="N731" s="178"/>
      <c r="O731" s="178"/>
      <c r="P731" s="178"/>
      <c r="S731" s="458"/>
      <c r="AN731" s="458"/>
      <c r="BA731" s="1305"/>
      <c r="BB731" s="174"/>
    </row>
    <row r="732" spans="1:54" ht="15.75" customHeight="1">
      <c r="A732" s="174"/>
      <c r="B732" s="175"/>
      <c r="F732" s="177"/>
      <c r="H732" s="178"/>
      <c r="I732" s="178"/>
      <c r="J732" s="184"/>
      <c r="N732" s="178"/>
      <c r="O732" s="178"/>
      <c r="P732" s="178"/>
      <c r="S732" s="458"/>
      <c r="AN732" s="458"/>
      <c r="BA732" s="1305"/>
      <c r="BB732" s="174"/>
    </row>
    <row r="733" spans="1:54" ht="15.75" customHeight="1">
      <c r="A733" s="174"/>
      <c r="B733" s="175"/>
      <c r="F733" s="177"/>
      <c r="H733" s="178"/>
      <c r="I733" s="178"/>
      <c r="J733" s="184"/>
      <c r="N733" s="178"/>
      <c r="O733" s="178"/>
      <c r="P733" s="178"/>
      <c r="S733" s="458"/>
      <c r="AN733" s="458"/>
      <c r="BA733" s="1305"/>
      <c r="BB733" s="174"/>
    </row>
    <row r="734" spans="1:54" ht="15.75" customHeight="1">
      <c r="A734" s="174"/>
      <c r="B734" s="175"/>
      <c r="F734" s="177"/>
      <c r="H734" s="178"/>
      <c r="I734" s="178"/>
      <c r="J734" s="184"/>
      <c r="N734" s="178"/>
      <c r="O734" s="178"/>
      <c r="P734" s="178"/>
      <c r="S734" s="458"/>
      <c r="AN734" s="458"/>
      <c r="BA734" s="1305"/>
      <c r="BB734" s="174"/>
    </row>
    <row r="735" spans="1:54" ht="15.75" customHeight="1">
      <c r="A735" s="174"/>
      <c r="B735" s="175"/>
      <c r="F735" s="177"/>
      <c r="H735" s="178"/>
      <c r="I735" s="178"/>
      <c r="J735" s="184"/>
      <c r="N735" s="178"/>
      <c r="O735" s="178"/>
      <c r="P735" s="178"/>
      <c r="S735" s="458"/>
      <c r="AN735" s="458"/>
      <c r="BA735" s="1305"/>
      <c r="BB735" s="174"/>
    </row>
    <row r="736" spans="1:54" ht="15.75" customHeight="1">
      <c r="A736" s="174"/>
      <c r="B736" s="175"/>
      <c r="F736" s="177"/>
      <c r="H736" s="178"/>
      <c r="I736" s="178"/>
      <c r="J736" s="184"/>
      <c r="N736" s="178"/>
      <c r="O736" s="178"/>
      <c r="P736" s="178"/>
      <c r="S736" s="458"/>
      <c r="AN736" s="458"/>
      <c r="BA736" s="1305"/>
      <c r="BB736" s="174"/>
    </row>
    <row r="737" spans="1:54" ht="15.75" customHeight="1">
      <c r="A737" s="174"/>
      <c r="B737" s="175"/>
      <c r="F737" s="177"/>
      <c r="H737" s="178"/>
      <c r="I737" s="178"/>
      <c r="J737" s="184"/>
      <c r="N737" s="178"/>
      <c r="O737" s="178"/>
      <c r="P737" s="178"/>
      <c r="S737" s="458"/>
      <c r="AN737" s="458"/>
      <c r="BA737" s="1305"/>
      <c r="BB737" s="174"/>
    </row>
    <row r="738" spans="1:54" ht="15.75" customHeight="1">
      <c r="A738" s="174"/>
      <c r="B738" s="175"/>
      <c r="F738" s="177"/>
      <c r="H738" s="178"/>
      <c r="I738" s="178"/>
      <c r="J738" s="184"/>
      <c r="N738" s="178"/>
      <c r="O738" s="178"/>
      <c r="P738" s="178"/>
      <c r="S738" s="458"/>
      <c r="AN738" s="458"/>
      <c r="BA738" s="1305"/>
      <c r="BB738" s="174"/>
    </row>
    <row r="739" spans="1:54" ht="15.75" customHeight="1">
      <c r="A739" s="174"/>
      <c r="B739" s="175"/>
      <c r="F739" s="177"/>
      <c r="H739" s="178"/>
      <c r="I739" s="178"/>
      <c r="J739" s="184"/>
      <c r="N739" s="178"/>
      <c r="O739" s="178"/>
      <c r="P739" s="178"/>
      <c r="S739" s="458"/>
      <c r="AN739" s="458"/>
      <c r="BA739" s="1305"/>
      <c r="BB739" s="174"/>
    </row>
    <row r="740" spans="1:54" ht="15.75" customHeight="1">
      <c r="A740" s="174"/>
      <c r="B740" s="175"/>
      <c r="F740" s="177"/>
      <c r="H740" s="178"/>
      <c r="I740" s="178"/>
      <c r="J740" s="184"/>
      <c r="N740" s="178"/>
      <c r="O740" s="178"/>
      <c r="P740" s="178"/>
      <c r="S740" s="458"/>
      <c r="AN740" s="458"/>
      <c r="BA740" s="1305"/>
      <c r="BB740" s="174"/>
    </row>
    <row r="741" spans="1:54" ht="15.75" customHeight="1">
      <c r="A741" s="174"/>
      <c r="B741" s="175"/>
      <c r="F741" s="177"/>
      <c r="H741" s="178"/>
      <c r="I741" s="179"/>
      <c r="J741" s="184"/>
      <c r="N741" s="178"/>
      <c r="O741" s="178"/>
      <c r="P741" s="178"/>
      <c r="S741" s="458"/>
      <c r="AN741" s="458"/>
      <c r="BA741" s="1305"/>
      <c r="BB741" s="174"/>
    </row>
    <row r="742" spans="1:54" ht="15.75" customHeight="1">
      <c r="A742" s="174"/>
      <c r="B742" s="175"/>
      <c r="F742" s="177"/>
      <c r="H742" s="178"/>
      <c r="I742" s="178"/>
      <c r="J742" s="184"/>
      <c r="N742" s="178"/>
      <c r="O742" s="178"/>
      <c r="P742" s="178"/>
      <c r="S742" s="458"/>
      <c r="AN742" s="458"/>
      <c r="BA742" s="1305"/>
      <c r="BB742" s="174"/>
    </row>
    <row r="743" spans="1:54" ht="15.75" customHeight="1">
      <c r="A743" s="174"/>
      <c r="B743" s="175"/>
      <c r="F743" s="177"/>
      <c r="H743" s="178"/>
      <c r="I743" s="179"/>
      <c r="J743" s="184"/>
      <c r="N743" s="178"/>
      <c r="O743" s="178"/>
      <c r="P743" s="178"/>
      <c r="S743" s="458"/>
      <c r="AN743" s="458"/>
      <c r="BA743" s="1305"/>
      <c r="BB743" s="174"/>
    </row>
    <row r="744" spans="1:54" ht="15.75" customHeight="1">
      <c r="A744" s="174"/>
      <c r="B744" s="175"/>
      <c r="F744" s="177"/>
      <c r="H744" s="178"/>
      <c r="I744" s="178"/>
      <c r="J744" s="184"/>
      <c r="N744" s="178"/>
      <c r="O744" s="178"/>
      <c r="P744" s="178"/>
      <c r="S744" s="458"/>
      <c r="AN744" s="458"/>
      <c r="BA744" s="1305"/>
      <c r="BB744" s="174"/>
    </row>
    <row r="745" spans="1:54" ht="15.75" customHeight="1">
      <c r="A745" s="174"/>
      <c r="B745" s="175"/>
      <c r="F745" s="177"/>
      <c r="H745" s="178"/>
      <c r="I745" s="178"/>
      <c r="J745" s="184"/>
      <c r="N745" s="178"/>
      <c r="O745" s="178"/>
      <c r="P745" s="178"/>
      <c r="S745" s="458"/>
      <c r="AN745" s="458"/>
      <c r="BA745" s="1305"/>
      <c r="BB745" s="174"/>
    </row>
    <row r="746" spans="1:54" ht="15.75" customHeight="1">
      <c r="A746" s="174"/>
      <c r="B746" s="175"/>
      <c r="F746" s="177"/>
      <c r="H746" s="178"/>
      <c r="I746" s="178"/>
      <c r="J746" s="184"/>
      <c r="N746" s="178"/>
      <c r="O746" s="178"/>
      <c r="P746" s="178"/>
      <c r="S746" s="458"/>
      <c r="AN746" s="458"/>
      <c r="BA746" s="1305"/>
      <c r="BB746" s="174"/>
    </row>
    <row r="747" spans="1:54" ht="15.75" customHeight="1">
      <c r="A747" s="174"/>
      <c r="B747" s="175"/>
      <c r="F747" s="177"/>
      <c r="H747" s="178"/>
      <c r="I747" s="179"/>
      <c r="J747" s="184"/>
      <c r="N747" s="178"/>
      <c r="O747" s="178"/>
      <c r="P747" s="178"/>
      <c r="S747" s="458"/>
      <c r="AN747" s="458"/>
      <c r="BA747" s="1305"/>
      <c r="BB747" s="174"/>
    </row>
    <row r="748" spans="1:54" ht="15.75" customHeight="1">
      <c r="A748" s="174"/>
      <c r="B748" s="175"/>
      <c r="F748" s="177"/>
      <c r="H748" s="178"/>
      <c r="I748" s="178"/>
      <c r="J748" s="184"/>
      <c r="N748" s="178"/>
      <c r="O748" s="178"/>
      <c r="P748" s="178"/>
      <c r="S748" s="458"/>
      <c r="AN748" s="458"/>
      <c r="BA748" s="1305"/>
      <c r="BB748" s="174"/>
    </row>
    <row r="749" spans="1:54" ht="15.75" customHeight="1">
      <c r="A749" s="174"/>
      <c r="B749" s="175"/>
      <c r="F749" s="177"/>
      <c r="H749" s="178"/>
      <c r="I749" s="179"/>
      <c r="J749" s="184"/>
      <c r="N749" s="178"/>
      <c r="O749" s="178"/>
      <c r="P749" s="178"/>
      <c r="S749" s="458"/>
      <c r="AN749" s="458"/>
      <c r="BA749" s="1305"/>
      <c r="BB749" s="174"/>
    </row>
    <row r="750" spans="1:54" ht="15.75" customHeight="1">
      <c r="A750" s="174"/>
      <c r="B750" s="175"/>
      <c r="F750" s="177"/>
      <c r="H750" s="178"/>
      <c r="I750" s="178"/>
      <c r="J750" s="184"/>
      <c r="N750" s="178"/>
      <c r="O750" s="178"/>
      <c r="P750" s="178"/>
      <c r="S750" s="458"/>
      <c r="AN750" s="458"/>
      <c r="BA750" s="1305"/>
      <c r="BB750" s="174"/>
    </row>
    <row r="751" spans="1:54" ht="15.75" customHeight="1">
      <c r="A751" s="174"/>
      <c r="B751" s="175"/>
      <c r="F751" s="177"/>
      <c r="H751" s="178"/>
      <c r="I751" s="178"/>
      <c r="J751" s="184"/>
      <c r="N751" s="178"/>
      <c r="O751" s="178"/>
      <c r="P751" s="178"/>
      <c r="S751" s="458"/>
      <c r="AN751" s="458"/>
      <c r="BA751" s="1305"/>
      <c r="BB751" s="174"/>
    </row>
    <row r="752" spans="1:54" ht="15.75" customHeight="1">
      <c r="A752" s="174"/>
      <c r="B752" s="176"/>
      <c r="F752" s="177"/>
      <c r="H752" s="178"/>
      <c r="I752" s="179"/>
      <c r="N752" s="178"/>
      <c r="O752" s="178"/>
      <c r="P752" s="178"/>
      <c r="S752" s="458"/>
      <c r="AN752" s="458"/>
      <c r="BA752" s="1305"/>
      <c r="BB752" s="174"/>
    </row>
    <row r="753" spans="1:54" ht="15.75" customHeight="1">
      <c r="A753" s="174"/>
      <c r="B753" s="175"/>
      <c r="F753" s="177"/>
      <c r="H753" s="178"/>
      <c r="I753" s="179"/>
      <c r="N753" s="178"/>
      <c r="O753" s="178"/>
      <c r="P753" s="178"/>
      <c r="S753" s="458"/>
      <c r="AN753" s="458"/>
      <c r="BA753" s="1305"/>
      <c r="BB753" s="174"/>
    </row>
    <row r="754" spans="1:54" ht="15.75" customHeight="1">
      <c r="A754" s="174"/>
      <c r="B754" s="175"/>
      <c r="F754" s="177"/>
      <c r="H754" s="178"/>
      <c r="I754" s="178"/>
      <c r="J754" s="184"/>
      <c r="N754" s="178"/>
      <c r="O754" s="178"/>
      <c r="P754" s="178"/>
      <c r="S754" s="458"/>
      <c r="AN754" s="458"/>
      <c r="BA754" s="1305"/>
      <c r="BB754" s="174"/>
    </row>
    <row r="755" spans="1:54" ht="15.75" customHeight="1">
      <c r="A755" s="174"/>
      <c r="B755" s="175"/>
      <c r="F755" s="177"/>
      <c r="H755" s="178"/>
      <c r="I755" s="178"/>
      <c r="J755" s="184"/>
      <c r="N755" s="178"/>
      <c r="O755" s="178"/>
      <c r="P755" s="178"/>
      <c r="S755" s="458"/>
      <c r="AN755" s="458"/>
      <c r="BA755" s="1305"/>
      <c r="BB755" s="174"/>
    </row>
    <row r="756" spans="1:54" ht="15.75" customHeight="1">
      <c r="A756" s="174"/>
      <c r="B756" s="175"/>
      <c r="F756" s="177"/>
      <c r="H756" s="178"/>
      <c r="I756" s="178"/>
      <c r="J756" s="184"/>
      <c r="N756" s="178"/>
      <c r="O756" s="178"/>
      <c r="P756" s="178"/>
      <c r="S756" s="458"/>
      <c r="AN756" s="458"/>
      <c r="BA756" s="1305"/>
      <c r="BB756" s="174"/>
    </row>
    <row r="757" spans="1:54" ht="15.75" customHeight="1">
      <c r="A757" s="174"/>
      <c r="B757" s="175"/>
      <c r="F757" s="177"/>
      <c r="H757" s="178"/>
      <c r="I757" s="178"/>
      <c r="J757" s="184"/>
      <c r="N757" s="178"/>
      <c r="O757" s="178"/>
      <c r="P757" s="178"/>
      <c r="S757" s="458"/>
      <c r="AN757" s="458"/>
      <c r="BA757" s="1305"/>
      <c r="BB757" s="174"/>
    </row>
    <row r="758" spans="1:54" ht="15.75" customHeight="1">
      <c r="A758" s="174"/>
      <c r="B758" s="175"/>
      <c r="F758" s="177"/>
      <c r="H758" s="178"/>
      <c r="I758" s="178"/>
      <c r="J758" s="184"/>
      <c r="N758" s="178"/>
      <c r="O758" s="178"/>
      <c r="P758" s="178"/>
      <c r="S758" s="458"/>
      <c r="AN758" s="458"/>
      <c r="BA758" s="1305"/>
      <c r="BB758" s="174"/>
    </row>
    <row r="759" spans="1:54" ht="15.75" customHeight="1">
      <c r="A759" s="174"/>
      <c r="B759" s="175"/>
      <c r="F759" s="177"/>
      <c r="H759" s="178"/>
      <c r="I759" s="178"/>
      <c r="J759" s="184"/>
      <c r="N759" s="178"/>
      <c r="O759" s="178"/>
      <c r="P759" s="178"/>
      <c r="S759" s="458"/>
      <c r="AN759" s="458"/>
      <c r="BA759" s="1305"/>
      <c r="BB759" s="174"/>
    </row>
    <row r="760" spans="1:54" ht="15.75" customHeight="1">
      <c r="A760" s="174"/>
      <c r="B760" s="175"/>
      <c r="F760" s="177"/>
      <c r="H760" s="178"/>
      <c r="I760" s="179"/>
      <c r="J760" s="184"/>
      <c r="N760" s="178"/>
      <c r="O760" s="178"/>
      <c r="P760" s="178"/>
      <c r="S760" s="458"/>
      <c r="AN760" s="458"/>
      <c r="BA760" s="1305"/>
      <c r="BB760" s="174"/>
    </row>
    <row r="761" spans="1:54" ht="15.75" customHeight="1">
      <c r="A761" s="174"/>
      <c r="B761" s="175"/>
      <c r="F761" s="177"/>
      <c r="H761" s="178"/>
      <c r="I761" s="178"/>
      <c r="J761" s="184"/>
      <c r="N761" s="178"/>
      <c r="O761" s="178"/>
      <c r="P761" s="178"/>
      <c r="S761" s="458"/>
      <c r="AN761" s="458"/>
      <c r="BA761" s="1305"/>
      <c r="BB761" s="174"/>
    </row>
    <row r="762" spans="1:54" ht="15.75" customHeight="1">
      <c r="A762" s="174"/>
      <c r="B762" s="175"/>
      <c r="F762" s="177"/>
      <c r="H762" s="178"/>
      <c r="I762" s="179"/>
      <c r="J762" s="184"/>
      <c r="N762" s="178"/>
      <c r="O762" s="178"/>
      <c r="P762" s="178"/>
      <c r="S762" s="458"/>
      <c r="AN762" s="458"/>
      <c r="BA762" s="1305"/>
      <c r="BB762" s="174"/>
    </row>
    <row r="763" spans="1:54" ht="15.75" customHeight="1">
      <c r="A763" s="174"/>
      <c r="B763" s="175"/>
      <c r="F763" s="177"/>
      <c r="H763" s="178"/>
      <c r="I763" s="178"/>
      <c r="J763" s="184"/>
      <c r="N763" s="178"/>
      <c r="O763" s="178"/>
      <c r="P763" s="178"/>
      <c r="S763" s="458"/>
      <c r="AN763" s="458"/>
      <c r="BA763" s="1305"/>
      <c r="BB763" s="174"/>
    </row>
    <row r="764" spans="1:54" ht="15.75" customHeight="1">
      <c r="A764" s="174"/>
      <c r="B764" s="176"/>
      <c r="F764" s="177"/>
      <c r="H764" s="178"/>
      <c r="I764" s="178"/>
      <c r="J764" s="184"/>
      <c r="N764" s="178"/>
      <c r="O764" s="178"/>
      <c r="P764" s="178"/>
      <c r="S764" s="458"/>
      <c r="AN764" s="458"/>
      <c r="BA764" s="1305"/>
      <c r="BB764" s="174"/>
    </row>
    <row r="765" spans="1:54" ht="15.75" customHeight="1">
      <c r="A765" s="174"/>
      <c r="B765" s="176"/>
      <c r="F765" s="177"/>
      <c r="H765" s="178"/>
      <c r="I765" s="178"/>
      <c r="J765" s="184"/>
      <c r="N765" s="178"/>
      <c r="O765" s="178"/>
      <c r="P765" s="178"/>
      <c r="S765" s="458"/>
      <c r="AN765" s="458"/>
      <c r="BA765" s="1305"/>
      <c r="BB765" s="174"/>
    </row>
    <row r="766" spans="1:54" ht="15.75" customHeight="1">
      <c r="A766" s="174"/>
      <c r="B766" s="176"/>
      <c r="F766" s="177"/>
      <c r="H766" s="178"/>
      <c r="I766" s="178"/>
      <c r="J766" s="184"/>
      <c r="N766" s="178"/>
      <c r="O766" s="178"/>
      <c r="P766" s="178"/>
      <c r="S766" s="458"/>
      <c r="AN766" s="458"/>
      <c r="BA766" s="1305"/>
      <c r="BB766" s="174"/>
    </row>
    <row r="767" spans="1:54" ht="15.75" customHeight="1">
      <c r="A767" s="174"/>
      <c r="B767" s="176"/>
      <c r="F767" s="177"/>
      <c r="H767" s="178"/>
      <c r="I767" s="178"/>
      <c r="J767" s="184"/>
      <c r="N767" s="178"/>
      <c r="O767" s="178"/>
      <c r="P767" s="178"/>
      <c r="S767" s="458"/>
      <c r="AN767" s="458"/>
      <c r="BA767" s="1305"/>
      <c r="BB767" s="174"/>
    </row>
    <row r="768" spans="1:54" ht="15.75" customHeight="1">
      <c r="A768" s="174"/>
      <c r="B768" s="176"/>
      <c r="F768" s="177"/>
      <c r="H768" s="178"/>
      <c r="I768" s="178"/>
      <c r="J768" s="184"/>
      <c r="N768" s="178"/>
      <c r="O768" s="178"/>
      <c r="P768" s="178"/>
      <c r="S768" s="458"/>
      <c r="AN768" s="458"/>
      <c r="BA768" s="1305"/>
      <c r="BB768" s="174"/>
    </row>
    <row r="769" spans="1:54" ht="15.75" customHeight="1">
      <c r="A769" s="174"/>
      <c r="B769" s="176"/>
      <c r="F769" s="177"/>
      <c r="H769" s="178"/>
      <c r="I769" s="178"/>
      <c r="J769" s="184"/>
      <c r="N769" s="178"/>
      <c r="O769" s="178"/>
      <c r="P769" s="178"/>
      <c r="S769" s="458"/>
      <c r="AN769" s="458"/>
      <c r="BA769" s="1305"/>
      <c r="BB769" s="174"/>
    </row>
    <row r="770" spans="1:54" ht="15.75" customHeight="1">
      <c r="A770" s="174"/>
      <c r="B770" s="176"/>
      <c r="F770" s="177"/>
      <c r="H770" s="178"/>
      <c r="I770" s="178"/>
      <c r="J770" s="184"/>
      <c r="N770" s="178"/>
      <c r="O770" s="178"/>
      <c r="P770" s="178"/>
      <c r="S770" s="458"/>
      <c r="AN770" s="458"/>
      <c r="BA770" s="1305"/>
      <c r="BB770" s="174"/>
    </row>
    <row r="771" spans="1:54" ht="15.75" customHeight="1">
      <c r="A771" s="174"/>
      <c r="B771" s="176"/>
      <c r="F771" s="177"/>
      <c r="H771" s="178"/>
      <c r="I771" s="178"/>
      <c r="J771" s="184"/>
      <c r="N771" s="178"/>
      <c r="O771" s="178"/>
      <c r="P771" s="178"/>
      <c r="S771" s="458"/>
      <c r="AN771" s="458"/>
      <c r="BA771" s="1305"/>
      <c r="BB771" s="174"/>
    </row>
    <row r="772" spans="1:54" ht="15.75" customHeight="1">
      <c r="A772" s="174"/>
      <c r="B772" s="176"/>
      <c r="F772" s="177"/>
      <c r="H772" s="178"/>
      <c r="I772" s="178"/>
      <c r="J772" s="184"/>
      <c r="N772" s="178"/>
      <c r="O772" s="178"/>
      <c r="P772" s="178"/>
      <c r="S772" s="458"/>
      <c r="AN772" s="458"/>
      <c r="BA772" s="1305"/>
      <c r="BB772" s="174"/>
    </row>
    <row r="773" spans="1:54" ht="15.75" customHeight="1">
      <c r="A773" s="174"/>
      <c r="B773" s="176"/>
      <c r="F773" s="177"/>
      <c r="H773" s="178"/>
      <c r="I773" s="179"/>
      <c r="J773" s="184"/>
      <c r="N773" s="178"/>
      <c r="O773" s="178"/>
      <c r="P773" s="178"/>
      <c r="S773" s="458"/>
      <c r="AN773" s="458"/>
      <c r="BA773" s="1305"/>
      <c r="BB773" s="174"/>
    </row>
    <row r="774" spans="1:54" ht="15.75" customHeight="1">
      <c r="A774" s="174"/>
      <c r="B774" s="176"/>
      <c r="F774" s="177"/>
      <c r="H774" s="178"/>
      <c r="I774" s="178"/>
      <c r="J774" s="184"/>
      <c r="N774" s="178"/>
      <c r="O774" s="178"/>
      <c r="P774" s="178"/>
      <c r="S774" s="458"/>
      <c r="AN774" s="458"/>
      <c r="BA774" s="1305"/>
      <c r="BB774" s="174"/>
    </row>
    <row r="775" spans="1:54" ht="15.75" customHeight="1">
      <c r="A775" s="174"/>
      <c r="B775" s="176"/>
      <c r="F775" s="177"/>
      <c r="H775" s="178"/>
      <c r="I775" s="179"/>
      <c r="J775" s="184"/>
      <c r="N775" s="178"/>
      <c r="O775" s="178"/>
      <c r="P775" s="178"/>
      <c r="S775" s="458"/>
      <c r="AN775" s="458"/>
      <c r="BA775" s="1305"/>
      <c r="BB775" s="174"/>
    </row>
    <row r="776" spans="1:54" ht="15.75" customHeight="1">
      <c r="A776" s="174"/>
      <c r="B776" s="176"/>
      <c r="F776" s="177"/>
      <c r="H776" s="178"/>
      <c r="I776" s="178"/>
      <c r="J776" s="184"/>
      <c r="N776" s="178"/>
      <c r="O776" s="178"/>
      <c r="P776" s="178"/>
      <c r="S776" s="458"/>
      <c r="AN776" s="458"/>
      <c r="BA776" s="1305"/>
      <c r="BB776" s="174"/>
    </row>
    <row r="777" spans="1:54" ht="15.75" customHeight="1">
      <c r="A777" s="174"/>
      <c r="B777" s="176"/>
      <c r="F777" s="177"/>
      <c r="H777" s="178"/>
      <c r="I777" s="179"/>
      <c r="J777" s="184"/>
      <c r="N777" s="178"/>
      <c r="O777" s="178"/>
      <c r="P777" s="178"/>
      <c r="S777" s="458"/>
      <c r="AN777" s="458"/>
      <c r="BA777" s="1305"/>
      <c r="BB777" s="174"/>
    </row>
    <row r="778" spans="1:54" ht="15.75" customHeight="1">
      <c r="A778" s="174"/>
      <c r="B778" s="176"/>
      <c r="F778" s="177"/>
      <c r="H778" s="178"/>
      <c r="I778" s="178"/>
      <c r="J778" s="184"/>
      <c r="N778" s="178"/>
      <c r="O778" s="178"/>
      <c r="P778" s="178"/>
      <c r="S778" s="458"/>
      <c r="AN778" s="458"/>
      <c r="BA778" s="1305"/>
      <c r="BB778" s="174"/>
    </row>
    <row r="779" spans="1:54" ht="15.75" customHeight="1">
      <c r="A779" s="174"/>
      <c r="B779" s="176"/>
      <c r="F779" s="177"/>
      <c r="H779" s="178"/>
      <c r="I779" s="179"/>
      <c r="J779" s="184"/>
      <c r="N779" s="178"/>
      <c r="O779" s="178"/>
      <c r="P779" s="178"/>
      <c r="S779" s="458"/>
      <c r="AN779" s="458"/>
      <c r="BA779" s="1305"/>
      <c r="BB779" s="174"/>
    </row>
    <row r="780" spans="1:54" ht="15.75" customHeight="1">
      <c r="A780" s="174"/>
      <c r="B780" s="176"/>
      <c r="F780" s="177"/>
      <c r="H780" s="178"/>
      <c r="I780" s="178"/>
      <c r="J780" s="184"/>
      <c r="N780" s="178"/>
      <c r="O780" s="178"/>
      <c r="P780" s="178"/>
      <c r="S780" s="458"/>
      <c r="AN780" s="458"/>
      <c r="BA780" s="1305"/>
      <c r="BB780" s="174"/>
    </row>
    <row r="781" spans="1:54" ht="15.75" customHeight="1">
      <c r="A781" s="174"/>
      <c r="B781" s="176"/>
      <c r="F781" s="177"/>
      <c r="H781" s="178"/>
      <c r="I781" s="179"/>
      <c r="J781" s="184"/>
      <c r="N781" s="178"/>
      <c r="O781" s="178"/>
      <c r="P781" s="178"/>
      <c r="S781" s="458"/>
      <c r="AN781" s="458"/>
      <c r="BA781" s="1305"/>
      <c r="BB781" s="174"/>
    </row>
    <row r="782" spans="1:54" ht="15.75" customHeight="1">
      <c r="A782" s="174"/>
      <c r="B782" s="176"/>
      <c r="F782" s="177"/>
      <c r="H782" s="178"/>
      <c r="I782" s="178"/>
      <c r="J782" s="184"/>
      <c r="N782" s="178"/>
      <c r="O782" s="178"/>
      <c r="P782" s="178"/>
      <c r="S782" s="458"/>
      <c r="AN782" s="458"/>
      <c r="BA782" s="1305"/>
      <c r="BB782" s="174"/>
    </row>
    <row r="783" spans="1:54" ht="15.75" customHeight="1">
      <c r="A783" s="174"/>
      <c r="B783" s="176"/>
      <c r="F783" s="177"/>
      <c r="H783" s="178"/>
      <c r="I783" s="179"/>
      <c r="J783" s="184"/>
      <c r="N783" s="178"/>
      <c r="O783" s="178"/>
      <c r="P783" s="178"/>
      <c r="S783" s="458"/>
      <c r="AN783" s="458"/>
      <c r="BA783" s="1305"/>
      <c r="BB783" s="174"/>
    </row>
    <row r="784" spans="1:54" ht="15.75" customHeight="1">
      <c r="A784" s="174"/>
      <c r="B784" s="176"/>
      <c r="F784" s="177"/>
      <c r="H784" s="178"/>
      <c r="I784" s="178"/>
      <c r="J784" s="184"/>
      <c r="N784" s="178"/>
      <c r="O784" s="178"/>
      <c r="P784" s="178"/>
      <c r="S784" s="458"/>
      <c r="AN784" s="458"/>
      <c r="BA784" s="1305"/>
      <c r="BB784" s="174"/>
    </row>
    <row r="785" spans="1:54" ht="15.75" customHeight="1">
      <c r="A785" s="174"/>
      <c r="B785" s="176"/>
      <c r="F785" s="177"/>
      <c r="H785" s="178"/>
      <c r="I785" s="178"/>
      <c r="J785" s="184"/>
      <c r="N785" s="178"/>
      <c r="O785" s="178"/>
      <c r="P785" s="178"/>
      <c r="S785" s="458"/>
      <c r="AN785" s="458"/>
      <c r="BA785" s="1305"/>
      <c r="BB785" s="174"/>
    </row>
    <row r="786" spans="1:54" ht="15.75" customHeight="1">
      <c r="A786" s="174"/>
      <c r="B786" s="176"/>
      <c r="F786" s="177"/>
      <c r="H786" s="178"/>
      <c r="I786" s="178"/>
      <c r="J786" s="184"/>
      <c r="N786" s="178"/>
      <c r="O786" s="178"/>
      <c r="P786" s="178"/>
      <c r="S786" s="458"/>
      <c r="AN786" s="458"/>
      <c r="BA786" s="1305"/>
      <c r="BB786" s="174"/>
    </row>
    <row r="787" spans="1:54" ht="15.75" customHeight="1">
      <c r="A787" s="174"/>
      <c r="B787" s="176"/>
      <c r="F787" s="177"/>
      <c r="H787" s="178"/>
      <c r="I787" s="178"/>
      <c r="J787" s="184"/>
      <c r="N787" s="178"/>
      <c r="O787" s="178"/>
      <c r="P787" s="178"/>
      <c r="S787" s="458"/>
      <c r="AN787" s="458"/>
      <c r="BA787" s="1305"/>
      <c r="BB787" s="174"/>
    </row>
    <row r="788" spans="1:54" ht="15.75" customHeight="1">
      <c r="A788" s="174"/>
      <c r="B788" s="176"/>
      <c r="F788" s="177"/>
      <c r="H788" s="178"/>
      <c r="I788" s="178"/>
      <c r="J788" s="184"/>
      <c r="N788" s="178"/>
      <c r="O788" s="178"/>
      <c r="P788" s="178"/>
      <c r="S788" s="458"/>
      <c r="AN788" s="458"/>
      <c r="BA788" s="1305"/>
      <c r="BB788" s="174"/>
    </row>
    <row r="789" spans="1:54" ht="15.75" customHeight="1">
      <c r="A789" s="174"/>
      <c r="B789" s="176"/>
      <c r="F789" s="177"/>
      <c r="H789" s="178"/>
      <c r="I789" s="178"/>
      <c r="J789" s="184"/>
      <c r="N789" s="178"/>
      <c r="O789" s="178"/>
      <c r="P789" s="178"/>
      <c r="S789" s="458"/>
      <c r="AN789" s="458"/>
      <c r="BA789" s="1305"/>
      <c r="BB789" s="174"/>
    </row>
    <row r="790" spans="1:54" ht="15.75" customHeight="1">
      <c r="A790" s="174"/>
      <c r="B790" s="176"/>
      <c r="F790" s="177"/>
      <c r="H790" s="178"/>
      <c r="I790" s="178"/>
      <c r="J790" s="184"/>
      <c r="N790" s="178"/>
      <c r="O790" s="178"/>
      <c r="P790" s="178"/>
      <c r="S790" s="458"/>
      <c r="AN790" s="458"/>
      <c r="BA790" s="1305"/>
      <c r="BB790" s="174"/>
    </row>
    <row r="791" spans="1:54" ht="15.75" customHeight="1">
      <c r="A791" s="174"/>
      <c r="B791" s="176"/>
      <c r="F791" s="177"/>
      <c r="H791" s="178"/>
      <c r="I791" s="178"/>
      <c r="J791" s="184"/>
      <c r="N791" s="178"/>
      <c r="O791" s="178"/>
      <c r="P791" s="178"/>
      <c r="S791" s="458"/>
      <c r="AN791" s="458"/>
      <c r="BA791" s="1305"/>
      <c r="BB791" s="174"/>
    </row>
    <row r="792" spans="1:54" ht="15.75" customHeight="1">
      <c r="A792" s="174"/>
      <c r="B792" s="176"/>
      <c r="F792" s="177"/>
      <c r="H792" s="178"/>
      <c r="I792" s="178"/>
      <c r="J792" s="184"/>
      <c r="N792" s="178"/>
      <c r="O792" s="178"/>
      <c r="P792" s="178"/>
      <c r="S792" s="458"/>
      <c r="AN792" s="458"/>
      <c r="BA792" s="1305"/>
      <c r="BB792" s="174"/>
    </row>
    <row r="793" spans="1:54" ht="15.75" customHeight="1">
      <c r="A793" s="174"/>
      <c r="B793" s="176"/>
      <c r="F793" s="177"/>
      <c r="H793" s="178"/>
      <c r="I793" s="178"/>
      <c r="J793" s="184"/>
      <c r="N793" s="178"/>
      <c r="O793" s="178"/>
      <c r="P793" s="178"/>
      <c r="S793" s="458"/>
      <c r="AN793" s="458"/>
      <c r="BA793" s="1305"/>
      <c r="BB793" s="174"/>
    </row>
    <row r="794" spans="1:54" ht="15.75" customHeight="1">
      <c r="A794" s="174"/>
      <c r="B794" s="176"/>
      <c r="F794" s="177"/>
      <c r="H794" s="178"/>
      <c r="I794" s="178"/>
      <c r="J794" s="184"/>
      <c r="N794" s="178"/>
      <c r="O794" s="178"/>
      <c r="P794" s="178"/>
      <c r="S794" s="458"/>
      <c r="AN794" s="458"/>
      <c r="BA794" s="1305"/>
      <c r="BB794" s="174"/>
    </row>
    <row r="795" spans="1:54" ht="15.75" customHeight="1">
      <c r="A795" s="174"/>
      <c r="B795" s="176"/>
      <c r="F795" s="177"/>
      <c r="H795" s="178"/>
      <c r="I795" s="178"/>
      <c r="J795" s="184"/>
      <c r="N795" s="178"/>
      <c r="O795" s="178"/>
      <c r="P795" s="178"/>
      <c r="S795" s="458"/>
      <c r="AN795" s="458"/>
      <c r="BA795" s="1305"/>
      <c r="BB795" s="174"/>
    </row>
    <row r="796" spans="1:54" ht="15.75" customHeight="1">
      <c r="A796" s="174"/>
      <c r="B796" s="175"/>
      <c r="F796" s="177"/>
      <c r="H796" s="178"/>
      <c r="I796" s="179"/>
      <c r="J796" s="184"/>
      <c r="N796" s="178"/>
      <c r="O796" s="178"/>
      <c r="P796" s="178"/>
      <c r="S796" s="458"/>
      <c r="AN796" s="458"/>
      <c r="BA796" s="1305"/>
      <c r="BB796" s="174"/>
    </row>
    <row r="797" spans="1:54" ht="15.75" customHeight="1">
      <c r="A797" s="174"/>
      <c r="B797" s="175"/>
      <c r="F797" s="177"/>
      <c r="H797" s="178"/>
      <c r="I797" s="179"/>
      <c r="J797" s="184"/>
      <c r="N797" s="178"/>
      <c r="O797" s="178"/>
      <c r="P797" s="178"/>
      <c r="S797" s="458"/>
      <c r="AN797" s="458"/>
      <c r="BA797" s="1305"/>
      <c r="BB797" s="174"/>
    </row>
    <row r="798" spans="1:54" ht="15.75" customHeight="1">
      <c r="A798" s="174"/>
      <c r="B798" s="176"/>
      <c r="F798" s="177"/>
      <c r="H798" s="178"/>
      <c r="I798" s="178"/>
      <c r="J798" s="184"/>
      <c r="N798" s="178"/>
      <c r="O798" s="178"/>
      <c r="P798" s="178"/>
      <c r="S798" s="458"/>
      <c r="AN798" s="458"/>
      <c r="BA798" s="1305"/>
      <c r="BB798" s="174"/>
    </row>
    <row r="799" spans="1:54" ht="15.75" customHeight="1">
      <c r="A799" s="174"/>
      <c r="B799" s="176"/>
      <c r="F799" s="177"/>
      <c r="H799" s="178"/>
      <c r="I799" s="178"/>
      <c r="J799" s="184"/>
      <c r="N799" s="178"/>
      <c r="O799" s="178"/>
      <c r="P799" s="178"/>
      <c r="S799" s="458"/>
      <c r="AN799" s="458"/>
      <c r="BA799" s="1305"/>
      <c r="BB799" s="174"/>
    </row>
    <row r="800" spans="1:54" ht="15.75" customHeight="1">
      <c r="A800" s="174"/>
      <c r="B800" s="176"/>
      <c r="F800" s="177"/>
      <c r="H800" s="178"/>
      <c r="I800" s="178"/>
      <c r="J800" s="184"/>
      <c r="N800" s="178"/>
      <c r="O800" s="178"/>
      <c r="P800" s="178"/>
      <c r="S800" s="458"/>
      <c r="AN800" s="458"/>
      <c r="BA800" s="1305"/>
      <c r="BB800" s="174"/>
    </row>
    <row r="801" spans="1:54" ht="15.75" customHeight="1">
      <c r="A801" s="174"/>
      <c r="B801" s="176"/>
      <c r="F801" s="177"/>
      <c r="H801" s="178"/>
      <c r="I801" s="178"/>
      <c r="J801" s="184"/>
      <c r="N801" s="178"/>
      <c r="O801" s="178"/>
      <c r="P801" s="178"/>
      <c r="S801" s="458"/>
      <c r="AN801" s="458"/>
      <c r="BA801" s="1305"/>
      <c r="BB801" s="174"/>
    </row>
    <row r="802" spans="1:54" ht="15.75" customHeight="1">
      <c r="A802" s="174"/>
      <c r="B802" s="176"/>
      <c r="F802" s="177"/>
      <c r="H802" s="178"/>
      <c r="I802" s="179"/>
      <c r="J802" s="184"/>
      <c r="N802" s="178"/>
      <c r="O802" s="178"/>
      <c r="P802" s="178"/>
      <c r="S802" s="458"/>
      <c r="AN802" s="458"/>
      <c r="BA802" s="1305"/>
      <c r="BB802" s="174"/>
    </row>
    <row r="803" spans="1:54" ht="15.75" customHeight="1">
      <c r="A803" s="174"/>
      <c r="B803" s="176"/>
      <c r="F803" s="177"/>
      <c r="H803" s="178"/>
      <c r="I803" s="178"/>
      <c r="J803" s="184"/>
      <c r="N803" s="178"/>
      <c r="O803" s="178"/>
      <c r="P803" s="178"/>
      <c r="S803" s="458"/>
      <c r="AN803" s="458"/>
      <c r="BA803" s="1305"/>
      <c r="BB803" s="174"/>
    </row>
    <row r="804" spans="1:54" ht="15.75" customHeight="1">
      <c r="A804" s="174"/>
      <c r="B804" s="176"/>
      <c r="F804" s="177"/>
      <c r="H804" s="178"/>
      <c r="I804" s="178"/>
      <c r="J804" s="184"/>
      <c r="N804" s="178"/>
      <c r="O804" s="178"/>
      <c r="P804" s="178"/>
      <c r="S804" s="458"/>
      <c r="AN804" s="458"/>
      <c r="BA804" s="1305"/>
      <c r="BB804" s="174"/>
    </row>
    <row r="805" spans="1:54" ht="15.75" customHeight="1">
      <c r="A805" s="174"/>
      <c r="B805" s="176"/>
      <c r="F805" s="177"/>
      <c r="H805" s="178"/>
      <c r="I805" s="178"/>
      <c r="J805" s="184"/>
      <c r="N805" s="178"/>
      <c r="O805" s="178"/>
      <c r="P805" s="178"/>
      <c r="S805" s="458"/>
      <c r="AN805" s="458"/>
      <c r="BA805" s="1305"/>
      <c r="BB805" s="174"/>
    </row>
    <row r="806" spans="1:54" ht="15.75" customHeight="1">
      <c r="A806" s="174"/>
      <c r="B806" s="176"/>
      <c r="F806" s="177"/>
      <c r="H806" s="178"/>
      <c r="I806" s="178"/>
      <c r="J806" s="184"/>
      <c r="N806" s="178"/>
      <c r="O806" s="178"/>
      <c r="P806" s="178"/>
      <c r="S806" s="458"/>
      <c r="AN806" s="458"/>
      <c r="BA806" s="1305"/>
      <c r="BB806" s="174"/>
    </row>
    <row r="807" spans="1:54" ht="15.75" customHeight="1">
      <c r="A807" s="174"/>
      <c r="B807" s="176"/>
      <c r="F807" s="177"/>
      <c r="H807" s="178"/>
      <c r="I807" s="179"/>
      <c r="J807" s="184"/>
      <c r="N807" s="178"/>
      <c r="O807" s="178"/>
      <c r="P807" s="178"/>
      <c r="S807" s="458"/>
      <c r="AN807" s="458"/>
      <c r="BA807" s="1305"/>
      <c r="BB807" s="174"/>
    </row>
    <row r="808" spans="1:54" ht="15.75" customHeight="1">
      <c r="A808" s="174"/>
      <c r="B808" s="176"/>
      <c r="F808" s="177"/>
      <c r="H808" s="178"/>
      <c r="I808" s="178"/>
      <c r="J808" s="184"/>
      <c r="N808" s="178"/>
      <c r="O808" s="178"/>
      <c r="P808" s="178"/>
      <c r="S808" s="458"/>
      <c r="AN808" s="458"/>
      <c r="BA808" s="1305"/>
      <c r="BB808" s="174"/>
    </row>
    <row r="809" spans="1:54" ht="15.75" customHeight="1">
      <c r="A809" s="174"/>
      <c r="B809" s="176"/>
      <c r="F809" s="177"/>
      <c r="H809" s="178"/>
      <c r="I809" s="179"/>
      <c r="J809" s="184"/>
      <c r="N809" s="178"/>
      <c r="O809" s="178"/>
      <c r="P809" s="178"/>
      <c r="S809" s="458"/>
      <c r="AN809" s="458"/>
      <c r="BA809" s="1305"/>
      <c r="BB809" s="174"/>
    </row>
    <row r="810" spans="1:54" ht="15.75" customHeight="1">
      <c r="A810" s="174"/>
      <c r="B810" s="176"/>
      <c r="F810" s="177"/>
      <c r="H810" s="178"/>
      <c r="I810" s="178"/>
      <c r="J810" s="184"/>
      <c r="N810" s="178"/>
      <c r="O810" s="178"/>
      <c r="P810" s="178"/>
      <c r="S810" s="458"/>
      <c r="AN810" s="458"/>
      <c r="BA810" s="1305"/>
      <c r="BB810" s="174"/>
    </row>
    <row r="811" spans="1:54" ht="15.75" customHeight="1">
      <c r="A811" s="174"/>
      <c r="B811" s="176"/>
      <c r="F811" s="177"/>
      <c r="H811" s="178"/>
      <c r="I811" s="179"/>
      <c r="J811" s="184"/>
      <c r="N811" s="178"/>
      <c r="O811" s="178"/>
      <c r="P811" s="178"/>
      <c r="S811" s="458"/>
      <c r="AN811" s="458"/>
      <c r="BA811" s="1305"/>
      <c r="BB811" s="174"/>
    </row>
    <row r="812" spans="1:54" ht="15.75" customHeight="1">
      <c r="A812" s="174"/>
      <c r="B812" s="176"/>
      <c r="F812" s="177"/>
      <c r="H812" s="178"/>
      <c r="I812" s="178"/>
      <c r="J812" s="184"/>
      <c r="N812" s="178"/>
      <c r="O812" s="178"/>
      <c r="P812" s="178"/>
      <c r="S812" s="458"/>
      <c r="AN812" s="458"/>
      <c r="BA812" s="1305"/>
      <c r="BB812" s="174"/>
    </row>
    <row r="813" spans="1:54" ht="15.75" customHeight="1">
      <c r="A813" s="174"/>
      <c r="B813" s="176"/>
      <c r="F813" s="177"/>
      <c r="H813" s="178"/>
      <c r="I813" s="179"/>
      <c r="J813" s="184"/>
      <c r="N813" s="178"/>
      <c r="O813" s="178"/>
      <c r="P813" s="178"/>
      <c r="S813" s="458"/>
      <c r="AN813" s="458"/>
      <c r="BA813" s="1305"/>
      <c r="BB813" s="174"/>
    </row>
    <row r="814" spans="1:54" ht="15.75" customHeight="1">
      <c r="A814" s="174"/>
      <c r="B814" s="176"/>
      <c r="F814" s="177"/>
      <c r="H814" s="178"/>
      <c r="I814" s="178"/>
      <c r="J814" s="184"/>
      <c r="N814" s="178"/>
      <c r="O814" s="178"/>
      <c r="P814" s="178"/>
      <c r="S814" s="458"/>
      <c r="AN814" s="458"/>
      <c r="BA814" s="1305"/>
      <c r="BB814" s="174"/>
    </row>
    <row r="815" spans="1:54" ht="15.75" customHeight="1">
      <c r="A815" s="174"/>
      <c r="B815" s="176"/>
      <c r="F815" s="177"/>
      <c r="H815" s="178"/>
      <c r="I815" s="179"/>
      <c r="J815" s="184"/>
      <c r="N815" s="178"/>
      <c r="O815" s="178"/>
      <c r="P815" s="178"/>
      <c r="S815" s="458"/>
      <c r="AN815" s="458"/>
      <c r="BA815" s="1305"/>
      <c r="BB815" s="174"/>
    </row>
    <row r="816" spans="1:54" ht="15.75" customHeight="1">
      <c r="A816" s="174"/>
      <c r="B816" s="176"/>
      <c r="F816" s="177"/>
      <c r="H816" s="178"/>
      <c r="I816" s="178"/>
      <c r="J816" s="184"/>
      <c r="N816" s="178"/>
      <c r="O816" s="178"/>
      <c r="P816" s="178"/>
      <c r="S816" s="458"/>
      <c r="AN816" s="458"/>
      <c r="BA816" s="1305"/>
      <c r="BB816" s="174"/>
    </row>
    <row r="817" spans="1:54" ht="15.75" customHeight="1">
      <c r="A817" s="174"/>
      <c r="B817" s="176"/>
      <c r="F817" s="177"/>
      <c r="H817" s="178"/>
      <c r="I817" s="178"/>
      <c r="J817" s="184"/>
      <c r="N817" s="178"/>
      <c r="O817" s="178"/>
      <c r="P817" s="178"/>
      <c r="S817" s="458"/>
      <c r="AN817" s="458"/>
      <c r="BA817" s="1305"/>
      <c r="BB817" s="174"/>
    </row>
    <row r="818" spans="1:54" ht="15.75" customHeight="1">
      <c r="A818" s="174"/>
      <c r="B818" s="176"/>
      <c r="F818" s="177"/>
      <c r="H818" s="178"/>
      <c r="I818" s="178"/>
      <c r="J818" s="184"/>
      <c r="N818" s="178"/>
      <c r="O818" s="178"/>
      <c r="P818" s="178"/>
      <c r="S818" s="458"/>
      <c r="AN818" s="458"/>
      <c r="BA818" s="1305"/>
      <c r="BB818" s="174"/>
    </row>
    <row r="819" spans="1:54" ht="15.75" customHeight="1">
      <c r="A819" s="174"/>
      <c r="B819" s="176"/>
      <c r="F819" s="177"/>
      <c r="H819" s="178"/>
      <c r="I819" s="178"/>
      <c r="J819" s="184"/>
      <c r="N819" s="178"/>
      <c r="O819" s="178"/>
      <c r="P819" s="178"/>
      <c r="S819" s="458"/>
      <c r="AN819" s="458"/>
      <c r="BA819" s="1305"/>
      <c r="BB819" s="174"/>
    </row>
    <row r="820" spans="1:54" ht="15.75" customHeight="1">
      <c r="A820" s="174"/>
      <c r="B820" s="176"/>
      <c r="F820" s="177"/>
      <c r="H820" s="178"/>
      <c r="I820" s="178"/>
      <c r="J820" s="184"/>
      <c r="N820" s="178"/>
      <c r="O820" s="178"/>
      <c r="P820" s="178"/>
      <c r="S820" s="458"/>
      <c r="AN820" s="458"/>
      <c r="BA820" s="1305"/>
      <c r="BB820" s="174"/>
    </row>
    <row r="821" spans="1:54" ht="15.75" customHeight="1">
      <c r="A821" s="174"/>
      <c r="B821" s="176"/>
      <c r="F821" s="177"/>
      <c r="H821" s="178"/>
      <c r="I821" s="178"/>
      <c r="J821" s="184"/>
      <c r="N821" s="178"/>
      <c r="O821" s="178"/>
      <c r="P821" s="178"/>
      <c r="S821" s="458"/>
      <c r="AN821" s="458"/>
      <c r="BA821" s="1305"/>
      <c r="BB821" s="174"/>
    </row>
    <row r="822" spans="1:54" ht="15.75" customHeight="1">
      <c r="A822" s="174"/>
      <c r="B822" s="176"/>
      <c r="F822" s="177"/>
      <c r="H822" s="178"/>
      <c r="I822" s="178"/>
      <c r="J822" s="184"/>
      <c r="N822" s="178"/>
      <c r="O822" s="178"/>
      <c r="P822" s="178"/>
      <c r="S822" s="458"/>
      <c r="AN822" s="458"/>
      <c r="BA822" s="1305"/>
      <c r="BB822" s="174"/>
    </row>
    <row r="823" spans="1:54" ht="15.75" customHeight="1">
      <c r="A823" s="174"/>
      <c r="B823" s="176"/>
      <c r="F823" s="177"/>
      <c r="H823" s="178"/>
      <c r="I823" s="178"/>
      <c r="J823" s="184"/>
      <c r="N823" s="178"/>
      <c r="O823" s="178"/>
      <c r="P823" s="178"/>
      <c r="S823" s="458"/>
      <c r="AN823" s="458"/>
      <c r="BA823" s="1305"/>
      <c r="BB823" s="174"/>
    </row>
    <row r="824" spans="1:54" ht="15.75" customHeight="1">
      <c r="A824" s="174"/>
      <c r="B824" s="176"/>
      <c r="F824" s="177"/>
      <c r="H824" s="178"/>
      <c r="I824" s="178"/>
      <c r="J824" s="184"/>
      <c r="N824" s="178"/>
      <c r="O824" s="178"/>
      <c r="P824" s="178"/>
      <c r="S824" s="458"/>
      <c r="AN824" s="458"/>
      <c r="BA824" s="1305"/>
      <c r="BB824" s="174"/>
    </row>
    <row r="825" spans="1:54" ht="15.75" customHeight="1">
      <c r="A825" s="174"/>
      <c r="B825" s="176"/>
      <c r="F825" s="177"/>
      <c r="H825" s="178"/>
      <c r="I825" s="178"/>
      <c r="J825" s="184"/>
      <c r="N825" s="178"/>
      <c r="O825" s="178"/>
      <c r="P825" s="178"/>
      <c r="S825" s="458"/>
      <c r="AN825" s="458"/>
      <c r="BA825" s="1305"/>
      <c r="BB825" s="174"/>
    </row>
    <row r="826" spans="1:54" ht="15.75" customHeight="1">
      <c r="A826" s="174"/>
      <c r="B826" s="176"/>
      <c r="F826" s="177"/>
      <c r="H826" s="178"/>
      <c r="I826" s="178"/>
      <c r="J826" s="184"/>
      <c r="N826" s="178"/>
      <c r="O826" s="178"/>
      <c r="P826" s="178"/>
      <c r="S826" s="458"/>
      <c r="AN826" s="458"/>
      <c r="BA826" s="1305"/>
      <c r="BB826" s="174"/>
    </row>
    <row r="827" spans="1:54" ht="15.75" customHeight="1">
      <c r="A827" s="174"/>
      <c r="B827" s="176"/>
      <c r="F827" s="177"/>
      <c r="H827" s="178"/>
      <c r="I827" s="178"/>
      <c r="J827" s="184"/>
      <c r="N827" s="178"/>
      <c r="O827" s="178"/>
      <c r="P827" s="178"/>
      <c r="S827" s="458"/>
      <c r="AN827" s="458"/>
      <c r="BA827" s="1305"/>
      <c r="BB827" s="174"/>
    </row>
    <row r="828" spans="1:54" ht="15.75" customHeight="1">
      <c r="A828" s="174"/>
      <c r="B828" s="176"/>
      <c r="F828" s="177"/>
      <c r="H828" s="178"/>
      <c r="I828" s="179"/>
      <c r="J828" s="184"/>
      <c r="N828" s="178"/>
      <c r="O828" s="178"/>
      <c r="P828" s="178"/>
      <c r="S828" s="458"/>
      <c r="AN828" s="458"/>
      <c r="BA828" s="1305"/>
      <c r="BB828" s="174"/>
    </row>
    <row r="829" spans="1:54" ht="15.75" customHeight="1">
      <c r="A829" s="174"/>
      <c r="B829" s="176"/>
      <c r="F829" s="177"/>
      <c r="H829" s="178"/>
      <c r="I829" s="179"/>
      <c r="J829" s="184"/>
      <c r="N829" s="178"/>
      <c r="O829" s="178"/>
      <c r="P829" s="178"/>
      <c r="S829" s="458"/>
      <c r="AN829" s="458"/>
      <c r="BA829" s="1305"/>
      <c r="BB829" s="174"/>
    </row>
    <row r="830" spans="1:54" ht="15.75" customHeight="1">
      <c r="A830" s="174"/>
      <c r="B830" s="176"/>
      <c r="F830" s="177"/>
      <c r="H830" s="178"/>
      <c r="I830" s="179"/>
      <c r="J830" s="184"/>
      <c r="N830" s="178"/>
      <c r="O830" s="178"/>
      <c r="P830" s="178"/>
      <c r="S830" s="458"/>
      <c r="AN830" s="458"/>
      <c r="BA830" s="1305"/>
      <c r="BB830" s="174"/>
    </row>
    <row r="831" spans="1:54" ht="15.75" customHeight="1">
      <c r="A831" s="174"/>
      <c r="B831" s="176"/>
      <c r="F831" s="177"/>
      <c r="H831" s="178"/>
      <c r="I831" s="178"/>
      <c r="J831" s="184"/>
      <c r="N831" s="178"/>
      <c r="O831" s="178"/>
      <c r="P831" s="178"/>
      <c r="S831" s="458"/>
      <c r="AN831" s="458"/>
      <c r="BA831" s="1305"/>
      <c r="BB831" s="174"/>
    </row>
    <row r="832" spans="1:54" ht="15.75" customHeight="1">
      <c r="A832" s="174"/>
      <c r="B832" s="176"/>
      <c r="F832" s="177"/>
      <c r="H832" s="178"/>
      <c r="I832" s="179"/>
      <c r="J832" s="184"/>
      <c r="N832" s="178"/>
      <c r="O832" s="178"/>
      <c r="P832" s="178"/>
      <c r="S832" s="458"/>
      <c r="AN832" s="458"/>
      <c r="BA832" s="1305"/>
      <c r="BB832" s="174"/>
    </row>
    <row r="833" spans="1:54" ht="15.75" customHeight="1">
      <c r="A833" s="174"/>
      <c r="B833" s="176"/>
      <c r="F833" s="177"/>
      <c r="H833" s="178"/>
      <c r="I833" s="178"/>
      <c r="J833" s="184"/>
      <c r="N833" s="178"/>
      <c r="O833" s="178"/>
      <c r="P833" s="178"/>
      <c r="S833" s="458"/>
      <c r="AN833" s="458"/>
      <c r="BA833" s="1305"/>
      <c r="BB833" s="174"/>
    </row>
    <row r="834" spans="1:54" ht="15.75" customHeight="1">
      <c r="A834" s="174"/>
      <c r="B834" s="176"/>
      <c r="F834" s="177"/>
      <c r="H834" s="178"/>
      <c r="I834" s="179"/>
      <c r="J834" s="184"/>
      <c r="N834" s="178"/>
      <c r="O834" s="178"/>
      <c r="P834" s="178"/>
      <c r="S834" s="458"/>
      <c r="AN834" s="458"/>
      <c r="BA834" s="1305"/>
      <c r="BB834" s="174"/>
    </row>
    <row r="835" spans="1:54" ht="15.75" customHeight="1">
      <c r="A835" s="174"/>
      <c r="B835" s="176"/>
      <c r="F835" s="177"/>
      <c r="H835" s="178"/>
      <c r="I835" s="178"/>
      <c r="J835" s="184"/>
      <c r="N835" s="178"/>
      <c r="O835" s="178"/>
      <c r="P835" s="178"/>
      <c r="S835" s="458"/>
      <c r="AN835" s="458"/>
      <c r="BA835" s="1305"/>
      <c r="BB835" s="174"/>
    </row>
    <row r="836" spans="1:54" ht="15.75" customHeight="1">
      <c r="A836" s="174"/>
      <c r="B836" s="176"/>
      <c r="F836" s="177"/>
      <c r="H836" s="178"/>
      <c r="I836" s="179"/>
      <c r="J836" s="184"/>
      <c r="N836" s="178"/>
      <c r="O836" s="178"/>
      <c r="P836" s="178"/>
      <c r="S836" s="458"/>
      <c r="AN836" s="458"/>
      <c r="BA836" s="1305"/>
      <c r="BB836" s="174"/>
    </row>
    <row r="837" spans="1:54" ht="15.75" customHeight="1">
      <c r="A837" s="174"/>
      <c r="B837" s="175"/>
      <c r="F837" s="177"/>
      <c r="H837" s="178"/>
      <c r="I837" s="178"/>
      <c r="J837" s="184"/>
      <c r="N837" s="178"/>
      <c r="O837" s="178"/>
      <c r="P837" s="178"/>
      <c r="S837" s="458"/>
      <c r="AN837" s="458"/>
      <c r="BA837" s="1305"/>
      <c r="BB837" s="174"/>
    </row>
    <row r="838" spans="1:54" ht="15.75" customHeight="1">
      <c r="A838" s="174"/>
      <c r="B838" s="175"/>
      <c r="F838" s="177"/>
      <c r="H838" s="178"/>
      <c r="I838" s="179"/>
      <c r="J838" s="184"/>
      <c r="N838" s="178"/>
      <c r="O838" s="178"/>
      <c r="P838" s="178"/>
      <c r="S838" s="458"/>
      <c r="AN838" s="458"/>
      <c r="BA838" s="1305"/>
      <c r="BB838" s="174"/>
    </row>
    <row r="839" spans="1:54" ht="15.75" customHeight="1">
      <c r="A839" s="174"/>
      <c r="B839" s="175"/>
      <c r="F839" s="177"/>
      <c r="H839" s="178"/>
      <c r="I839" s="178"/>
      <c r="J839" s="184"/>
      <c r="N839" s="178"/>
      <c r="O839" s="178"/>
      <c r="P839" s="178"/>
      <c r="S839" s="458"/>
      <c r="AN839" s="458"/>
      <c r="BA839" s="1305"/>
      <c r="BB839" s="174"/>
    </row>
    <row r="840" spans="1:54" ht="15.75" customHeight="1">
      <c r="A840" s="174"/>
      <c r="B840" s="175"/>
      <c r="F840" s="177"/>
      <c r="H840" s="178"/>
      <c r="I840" s="178"/>
      <c r="J840" s="184"/>
      <c r="N840" s="178"/>
      <c r="O840" s="178"/>
      <c r="P840" s="178"/>
      <c r="S840" s="458"/>
      <c r="AN840" s="458"/>
      <c r="BA840" s="1305"/>
      <c r="BB840" s="174"/>
    </row>
    <row r="841" spans="1:54" ht="15.75" customHeight="1">
      <c r="A841" s="174"/>
      <c r="B841" s="175"/>
      <c r="F841" s="177"/>
      <c r="H841" s="178"/>
      <c r="I841" s="178"/>
      <c r="J841" s="184"/>
      <c r="N841" s="178"/>
      <c r="O841" s="178"/>
      <c r="P841" s="178"/>
      <c r="S841" s="458"/>
      <c r="AN841" s="458"/>
      <c r="BA841" s="1305"/>
      <c r="BB841" s="174"/>
    </row>
    <row r="842" spans="1:54" ht="15.75" customHeight="1">
      <c r="A842" s="174"/>
      <c r="B842" s="175"/>
      <c r="F842" s="177"/>
      <c r="H842" s="178"/>
      <c r="I842" s="179"/>
      <c r="J842" s="184"/>
      <c r="N842" s="178"/>
      <c r="O842" s="178"/>
      <c r="P842" s="178"/>
      <c r="S842" s="458"/>
      <c r="AN842" s="458"/>
      <c r="BA842" s="1305"/>
      <c r="BB842" s="174"/>
    </row>
    <row r="843" spans="1:54" ht="15.75" customHeight="1">
      <c r="A843" s="174"/>
      <c r="B843" s="175"/>
      <c r="F843" s="177"/>
      <c r="H843" s="178"/>
      <c r="I843" s="179"/>
      <c r="J843" s="184"/>
      <c r="N843" s="178"/>
      <c r="O843" s="178"/>
      <c r="P843" s="178"/>
      <c r="S843" s="458"/>
      <c r="AN843" s="458"/>
      <c r="BA843" s="1305"/>
      <c r="BB843" s="174"/>
    </row>
    <row r="844" spans="1:54" ht="15.75" customHeight="1">
      <c r="A844" s="174"/>
      <c r="B844" s="175"/>
      <c r="F844" s="177"/>
      <c r="H844" s="178"/>
      <c r="I844" s="179"/>
      <c r="J844" s="184"/>
      <c r="N844" s="178"/>
      <c r="O844" s="178"/>
      <c r="P844" s="178"/>
      <c r="S844" s="458"/>
      <c r="AN844" s="458"/>
      <c r="BA844" s="1305"/>
      <c r="BB844" s="174"/>
    </row>
    <row r="845" spans="1:54" ht="15.75" customHeight="1">
      <c r="A845" s="174"/>
      <c r="B845" s="176"/>
      <c r="F845" s="177"/>
      <c r="H845" s="178"/>
      <c r="I845" s="179"/>
      <c r="J845" s="184"/>
      <c r="N845" s="178"/>
      <c r="O845" s="178"/>
      <c r="P845" s="178"/>
      <c r="S845" s="458"/>
      <c r="AN845" s="458"/>
      <c r="BA845" s="1305"/>
      <c r="BB845" s="174"/>
    </row>
    <row r="846" spans="1:54" ht="15.75" customHeight="1">
      <c r="A846" s="174"/>
      <c r="B846" s="176"/>
      <c r="F846" s="177"/>
      <c r="H846" s="178"/>
      <c r="I846" s="178"/>
      <c r="J846" s="184"/>
      <c r="N846" s="178"/>
      <c r="O846" s="178"/>
      <c r="P846" s="178"/>
      <c r="S846" s="458"/>
      <c r="AN846" s="458"/>
      <c r="BA846" s="1305"/>
      <c r="BB846" s="174"/>
    </row>
    <row r="847" spans="1:54" ht="15.75" customHeight="1">
      <c r="A847" s="174"/>
      <c r="B847" s="176"/>
      <c r="F847" s="177"/>
      <c r="H847" s="178"/>
      <c r="I847" s="178"/>
      <c r="J847" s="184"/>
      <c r="N847" s="178"/>
      <c r="O847" s="178"/>
      <c r="P847" s="178"/>
      <c r="S847" s="458"/>
      <c r="AN847" s="458"/>
      <c r="BA847" s="1305"/>
      <c r="BB847" s="174"/>
    </row>
    <row r="848" spans="1:54" ht="15.75" customHeight="1">
      <c r="A848" s="174"/>
      <c r="B848" s="176"/>
      <c r="F848" s="177"/>
      <c r="H848" s="178"/>
      <c r="I848" s="179"/>
      <c r="J848" s="184"/>
      <c r="N848" s="178"/>
      <c r="O848" s="178"/>
      <c r="P848" s="178"/>
      <c r="S848" s="458"/>
      <c r="AN848" s="458"/>
      <c r="BA848" s="1305"/>
      <c r="BB848" s="174"/>
    </row>
    <row r="849" spans="1:54" ht="15.75" customHeight="1">
      <c r="A849" s="174"/>
      <c r="B849" s="176"/>
      <c r="F849" s="177"/>
      <c r="H849" s="178"/>
      <c r="I849" s="178"/>
      <c r="J849" s="184"/>
      <c r="N849" s="178"/>
      <c r="O849" s="178"/>
      <c r="P849" s="178"/>
      <c r="S849" s="458"/>
      <c r="AN849" s="458"/>
      <c r="BA849" s="1305"/>
      <c r="BB849" s="174"/>
    </row>
    <row r="850" spans="1:54" ht="15.75" customHeight="1">
      <c r="A850" s="174"/>
      <c r="B850" s="176"/>
      <c r="F850" s="177"/>
      <c r="H850" s="178"/>
      <c r="I850" s="178"/>
      <c r="J850" s="184"/>
      <c r="N850" s="178"/>
      <c r="O850" s="178"/>
      <c r="P850" s="178"/>
      <c r="S850" s="458"/>
      <c r="AN850" s="458"/>
      <c r="BA850" s="1305"/>
      <c r="BB850" s="174"/>
    </row>
    <row r="851" spans="1:54" ht="15.75" customHeight="1">
      <c r="A851" s="174"/>
      <c r="B851" s="176"/>
      <c r="F851" s="177"/>
      <c r="H851" s="178"/>
      <c r="I851" s="179"/>
      <c r="J851" s="184"/>
      <c r="N851" s="178"/>
      <c r="O851" s="178"/>
      <c r="P851" s="178"/>
      <c r="S851" s="458"/>
      <c r="AN851" s="458"/>
      <c r="BA851" s="1305"/>
      <c r="BB851" s="174"/>
    </row>
    <row r="852" spans="1:54" ht="15.75" customHeight="1">
      <c r="A852" s="174"/>
      <c r="B852" s="176"/>
      <c r="F852" s="177"/>
      <c r="H852" s="178"/>
      <c r="I852" s="178"/>
      <c r="J852" s="184"/>
      <c r="N852" s="178"/>
      <c r="O852" s="178"/>
      <c r="P852" s="178"/>
      <c r="S852" s="458"/>
      <c r="AN852" s="458"/>
      <c r="BA852" s="1305"/>
      <c r="BB852" s="174"/>
    </row>
    <row r="853" spans="1:54" ht="15.75" customHeight="1">
      <c r="A853" s="174"/>
      <c r="B853" s="176"/>
      <c r="F853" s="177"/>
      <c r="H853" s="178"/>
      <c r="I853" s="179"/>
      <c r="J853" s="184"/>
      <c r="N853" s="178"/>
      <c r="O853" s="178"/>
      <c r="P853" s="178"/>
      <c r="S853" s="458"/>
      <c r="AN853" s="458"/>
      <c r="BA853" s="1305"/>
      <c r="BB853" s="174"/>
    </row>
    <row r="854" spans="1:54" ht="15.75" customHeight="1">
      <c r="A854" s="174"/>
      <c r="B854" s="176"/>
      <c r="F854" s="177"/>
      <c r="H854" s="178"/>
      <c r="I854" s="178"/>
      <c r="J854" s="184"/>
      <c r="N854" s="178"/>
      <c r="O854" s="178"/>
      <c r="P854" s="178"/>
      <c r="S854" s="458"/>
      <c r="AN854" s="458"/>
      <c r="BA854" s="1305"/>
      <c r="BB854" s="174"/>
    </row>
    <row r="855" spans="1:54" ht="15.75" customHeight="1">
      <c r="A855" s="174"/>
      <c r="B855" s="176"/>
      <c r="F855" s="177"/>
      <c r="H855" s="178"/>
      <c r="I855" s="179"/>
      <c r="J855" s="184"/>
      <c r="N855" s="178"/>
      <c r="O855" s="178"/>
      <c r="P855" s="178"/>
      <c r="S855" s="458"/>
      <c r="AN855" s="458"/>
      <c r="BA855" s="1305"/>
      <c r="BB855" s="174"/>
    </row>
    <row r="856" spans="1:54" ht="15.75" customHeight="1">
      <c r="A856" s="174"/>
      <c r="B856" s="176"/>
      <c r="F856" s="177"/>
      <c r="H856" s="178"/>
      <c r="I856" s="178"/>
      <c r="J856" s="184"/>
      <c r="N856" s="178"/>
      <c r="O856" s="178"/>
      <c r="P856" s="178"/>
      <c r="S856" s="458"/>
      <c r="AN856" s="458"/>
      <c r="BA856" s="1305"/>
      <c r="BB856" s="174"/>
    </row>
    <row r="857" spans="1:54" ht="15.75" customHeight="1">
      <c r="A857" s="174"/>
      <c r="B857" s="176"/>
      <c r="F857" s="177"/>
      <c r="H857" s="178"/>
      <c r="I857" s="178"/>
      <c r="J857" s="184"/>
      <c r="N857" s="178"/>
      <c r="O857" s="178"/>
      <c r="P857" s="178"/>
      <c r="S857" s="458"/>
      <c r="AN857" s="458"/>
      <c r="BA857" s="1305"/>
      <c r="BB857" s="174"/>
    </row>
    <row r="858" spans="1:54" ht="15.75" customHeight="1">
      <c r="A858" s="174"/>
      <c r="B858" s="176"/>
      <c r="F858" s="177"/>
      <c r="H858" s="178"/>
      <c r="I858" s="178"/>
      <c r="J858" s="184"/>
      <c r="N858" s="178"/>
      <c r="O858" s="178"/>
      <c r="P858" s="178"/>
      <c r="S858" s="458"/>
      <c r="AN858" s="458"/>
      <c r="BA858" s="1305"/>
      <c r="BB858" s="174"/>
    </row>
    <row r="859" spans="1:54" ht="15.75" customHeight="1">
      <c r="A859" s="174"/>
      <c r="B859" s="176"/>
      <c r="F859" s="177"/>
      <c r="H859" s="178"/>
      <c r="I859" s="179"/>
      <c r="J859" s="184"/>
      <c r="N859" s="178"/>
      <c r="O859" s="178"/>
      <c r="P859" s="178"/>
      <c r="S859" s="458"/>
      <c r="AN859" s="458"/>
      <c r="BA859" s="1305"/>
      <c r="BB859" s="174"/>
    </row>
    <row r="860" spans="1:54" ht="15.75" customHeight="1">
      <c r="A860" s="174"/>
      <c r="B860" s="176"/>
      <c r="F860" s="177"/>
      <c r="H860" s="178"/>
      <c r="I860" s="178"/>
      <c r="J860" s="184"/>
      <c r="N860" s="178"/>
      <c r="O860" s="178"/>
      <c r="P860" s="178"/>
      <c r="S860" s="458"/>
      <c r="AN860" s="458"/>
      <c r="BA860" s="1305"/>
      <c r="BB860" s="174"/>
    </row>
    <row r="861" spans="1:54" ht="15.75" customHeight="1">
      <c r="A861" s="174"/>
      <c r="B861" s="176"/>
      <c r="F861" s="177"/>
      <c r="H861" s="178"/>
      <c r="I861" s="179"/>
      <c r="J861" s="184"/>
      <c r="N861" s="178"/>
      <c r="P861" s="178"/>
      <c r="S861" s="458"/>
      <c r="AN861" s="458"/>
      <c r="BA861" s="1305"/>
      <c r="BB861" s="174"/>
    </row>
    <row r="862" spans="1:54" ht="15.75" customHeight="1">
      <c r="A862" s="174"/>
      <c r="B862" s="176"/>
      <c r="F862" s="177"/>
      <c r="H862" s="178"/>
      <c r="I862" s="178"/>
      <c r="J862" s="184"/>
      <c r="N862" s="178"/>
      <c r="O862" s="178"/>
      <c r="P862" s="178"/>
      <c r="S862" s="458"/>
      <c r="AN862" s="458"/>
      <c r="BA862" s="1305"/>
      <c r="BB862" s="174"/>
    </row>
    <row r="863" spans="1:54" ht="15.75" customHeight="1">
      <c r="A863" s="174"/>
      <c r="B863" s="176"/>
      <c r="F863" s="177"/>
      <c r="H863" s="178"/>
      <c r="I863" s="179"/>
      <c r="J863" s="184"/>
      <c r="N863" s="178"/>
      <c r="O863" s="178"/>
      <c r="P863" s="178"/>
      <c r="S863" s="458"/>
      <c r="AN863" s="458"/>
      <c r="BA863" s="1305"/>
      <c r="BB863" s="174"/>
    </row>
    <row r="864" spans="1:54" ht="15.75" customHeight="1">
      <c r="A864" s="174"/>
      <c r="B864" s="176"/>
      <c r="F864" s="177"/>
      <c r="H864" s="178"/>
      <c r="I864" s="178"/>
      <c r="J864" s="184"/>
      <c r="N864" s="178"/>
      <c r="O864" s="178"/>
      <c r="P864" s="178"/>
      <c r="S864" s="458"/>
      <c r="AN864" s="458"/>
      <c r="BA864" s="1305"/>
      <c r="BB864" s="174"/>
    </row>
    <row r="865" spans="1:54" ht="15.75" customHeight="1">
      <c r="A865" s="174"/>
      <c r="B865" s="176"/>
      <c r="F865" s="177"/>
      <c r="H865" s="178"/>
      <c r="I865" s="179"/>
      <c r="N865" s="178"/>
      <c r="P865" s="178"/>
      <c r="S865" s="458"/>
      <c r="AN865" s="458"/>
      <c r="BA865" s="1305"/>
      <c r="BB865" s="174"/>
    </row>
    <row r="866" spans="1:54" ht="15.75" customHeight="1">
      <c r="A866" s="174"/>
      <c r="B866" s="176"/>
      <c r="F866" s="177"/>
      <c r="H866" s="178"/>
      <c r="I866" s="178"/>
      <c r="N866" s="178"/>
      <c r="P866" s="178"/>
      <c r="S866" s="458"/>
      <c r="AN866" s="458"/>
      <c r="BA866" s="1305"/>
      <c r="BB866" s="174"/>
    </row>
    <row r="867" spans="1:54" ht="15.75" customHeight="1">
      <c r="A867" s="174"/>
      <c r="B867" s="176"/>
      <c r="F867" s="177"/>
      <c r="H867" s="178"/>
      <c r="I867" s="179"/>
      <c r="N867" s="178"/>
      <c r="P867" s="178"/>
      <c r="S867" s="458"/>
      <c r="AN867" s="458"/>
      <c r="BA867" s="1305"/>
      <c r="BB867" s="174"/>
    </row>
    <row r="868" spans="1:54" ht="15.75" customHeight="1">
      <c r="A868" s="174"/>
      <c r="B868" s="176"/>
      <c r="F868" s="177"/>
      <c r="H868" s="178"/>
      <c r="I868" s="178"/>
      <c r="N868" s="178"/>
      <c r="P868" s="178"/>
      <c r="S868" s="458"/>
      <c r="AN868" s="458"/>
      <c r="BA868" s="1305"/>
      <c r="BB868" s="174"/>
    </row>
    <row r="869" spans="1:54" ht="15.75" customHeight="1">
      <c r="A869" s="174"/>
      <c r="B869" s="176"/>
      <c r="F869" s="177"/>
      <c r="H869" s="178"/>
      <c r="I869" s="179"/>
      <c r="N869" s="178"/>
      <c r="P869" s="178"/>
      <c r="S869" s="458"/>
      <c r="AN869" s="458"/>
      <c r="BA869" s="1305"/>
      <c r="BB869" s="174"/>
    </row>
    <row r="870" spans="1:54" ht="15.75" customHeight="1">
      <c r="A870" s="174"/>
      <c r="B870" s="176"/>
      <c r="F870" s="177"/>
      <c r="H870" s="178"/>
      <c r="I870" s="178"/>
      <c r="N870" s="178"/>
      <c r="P870" s="178"/>
      <c r="S870" s="458"/>
      <c r="AN870" s="458"/>
      <c r="BA870" s="1305"/>
      <c r="BB870" s="174"/>
    </row>
    <row r="871" spans="1:54" ht="15.75" customHeight="1">
      <c r="A871" s="174"/>
      <c r="B871" s="176"/>
      <c r="F871" s="177"/>
      <c r="H871" s="178"/>
      <c r="I871" s="179"/>
      <c r="N871" s="178"/>
      <c r="P871" s="178"/>
      <c r="S871" s="458"/>
      <c r="AN871" s="458"/>
      <c r="BA871" s="1305"/>
      <c r="BB871" s="174"/>
    </row>
    <row r="872" spans="1:54" ht="15.75" customHeight="1">
      <c r="A872" s="174"/>
      <c r="B872" s="176"/>
      <c r="F872" s="177"/>
      <c r="H872" s="178"/>
      <c r="I872" s="178"/>
      <c r="N872" s="178"/>
      <c r="P872" s="178"/>
      <c r="S872" s="458"/>
      <c r="AN872" s="458"/>
      <c r="BA872" s="1305"/>
      <c r="BB872" s="174"/>
    </row>
    <row r="873" spans="1:54" ht="15.75" customHeight="1">
      <c r="A873" s="174"/>
      <c r="B873" s="176"/>
      <c r="F873" s="177"/>
      <c r="H873" s="178"/>
      <c r="I873" s="178"/>
      <c r="N873" s="178"/>
      <c r="P873" s="178"/>
      <c r="S873" s="458"/>
      <c r="AN873" s="458"/>
      <c r="BA873" s="1305"/>
      <c r="BB873" s="174"/>
    </row>
    <row r="874" spans="1:54" ht="15.75" customHeight="1">
      <c r="A874" s="174"/>
      <c r="B874" s="176"/>
      <c r="F874" s="177"/>
      <c r="H874" s="178"/>
      <c r="I874" s="178"/>
      <c r="J874" s="184"/>
      <c r="N874" s="178"/>
      <c r="P874" s="178"/>
      <c r="S874" s="458"/>
      <c r="AN874" s="458"/>
      <c r="BA874" s="1305"/>
      <c r="BB874" s="174"/>
    </row>
    <row r="875" spans="1:54" ht="15.75" customHeight="1">
      <c r="A875" s="174"/>
      <c r="B875" s="175"/>
      <c r="F875" s="177"/>
      <c r="H875" s="178"/>
      <c r="I875" s="178"/>
      <c r="J875" s="184"/>
      <c r="N875" s="178"/>
      <c r="O875" s="178"/>
      <c r="P875" s="178"/>
      <c r="S875" s="458"/>
      <c r="AN875" s="458"/>
      <c r="BA875" s="1305"/>
      <c r="BB875" s="174"/>
    </row>
    <row r="876" spans="1:54" ht="15.75" customHeight="1">
      <c r="A876" s="174"/>
      <c r="B876" s="176"/>
      <c r="F876" s="177"/>
      <c r="H876" s="178"/>
      <c r="I876" s="178"/>
      <c r="J876" s="184"/>
      <c r="N876" s="178"/>
      <c r="O876" s="178"/>
      <c r="P876" s="178"/>
      <c r="S876" s="458"/>
      <c r="AN876" s="458"/>
      <c r="BA876" s="1305"/>
      <c r="BB876" s="174"/>
    </row>
    <row r="877" spans="1:54" ht="15.75" customHeight="1">
      <c r="A877" s="174"/>
      <c r="B877" s="175"/>
      <c r="F877" s="177"/>
      <c r="H877" s="178"/>
      <c r="I877" s="178"/>
      <c r="J877" s="184"/>
      <c r="N877" s="178"/>
      <c r="O877" s="178"/>
      <c r="P877" s="178"/>
      <c r="S877" s="458"/>
      <c r="AN877" s="458"/>
      <c r="BA877" s="1305"/>
      <c r="BB877" s="174"/>
    </row>
    <row r="878" spans="1:54" ht="15.75" customHeight="1">
      <c r="A878" s="174"/>
      <c r="B878" s="175"/>
      <c r="F878" s="177"/>
      <c r="H878" s="178"/>
      <c r="I878" s="178"/>
      <c r="J878" s="184"/>
      <c r="N878" s="178"/>
      <c r="O878" s="178"/>
      <c r="P878" s="178"/>
      <c r="S878" s="458"/>
      <c r="AN878" s="458"/>
      <c r="BA878" s="1305"/>
      <c r="BB878" s="174"/>
    </row>
    <row r="879" spans="1:54" ht="15.75" customHeight="1">
      <c r="A879" s="174"/>
      <c r="B879" s="175"/>
      <c r="F879" s="177"/>
      <c r="H879" s="178"/>
      <c r="I879" s="178"/>
      <c r="J879" s="184"/>
      <c r="N879" s="178"/>
      <c r="O879" s="178"/>
      <c r="P879" s="178"/>
      <c r="S879" s="458"/>
      <c r="AN879" s="458"/>
      <c r="BA879" s="1305"/>
      <c r="BB879" s="174"/>
    </row>
    <row r="880" spans="1:54" ht="15.75" customHeight="1">
      <c r="A880" s="174"/>
      <c r="B880" s="175"/>
      <c r="F880" s="177"/>
      <c r="H880" s="178"/>
      <c r="I880" s="178"/>
      <c r="J880" s="184"/>
      <c r="N880" s="178"/>
      <c r="O880" s="178"/>
      <c r="P880" s="178"/>
      <c r="S880" s="458"/>
      <c r="AN880" s="458"/>
      <c r="BA880" s="1305"/>
      <c r="BB880" s="174"/>
    </row>
    <row r="881" spans="1:54" ht="15.75" customHeight="1">
      <c r="A881" s="174"/>
      <c r="B881" s="175"/>
      <c r="F881" s="177"/>
      <c r="H881" s="178"/>
      <c r="I881" s="178"/>
      <c r="J881" s="184"/>
      <c r="N881" s="178"/>
      <c r="O881" s="178"/>
      <c r="P881" s="178"/>
      <c r="S881" s="458"/>
      <c r="AN881" s="458"/>
      <c r="BA881" s="1305"/>
      <c r="BB881" s="174"/>
    </row>
    <row r="882" spans="1:54" ht="15.75" customHeight="1">
      <c r="A882" s="174"/>
      <c r="B882" s="175"/>
      <c r="F882" s="177"/>
      <c r="H882" s="178"/>
      <c r="I882" s="178"/>
      <c r="J882" s="184"/>
      <c r="N882" s="178"/>
      <c r="O882" s="178"/>
      <c r="P882" s="178"/>
      <c r="S882" s="458"/>
      <c r="AN882" s="458"/>
      <c r="BA882" s="1305"/>
      <c r="BB882" s="174"/>
    </row>
    <row r="883" spans="1:54" ht="15.75" customHeight="1">
      <c r="A883" s="174"/>
      <c r="B883" s="175"/>
      <c r="F883" s="177"/>
      <c r="H883" s="178"/>
      <c r="I883" s="178"/>
      <c r="J883" s="184"/>
      <c r="N883" s="178"/>
      <c r="O883" s="178"/>
      <c r="P883" s="178"/>
      <c r="S883" s="458"/>
      <c r="AN883" s="458"/>
      <c r="BA883" s="1305"/>
      <c r="BB883" s="174"/>
    </row>
    <row r="884" spans="1:54" ht="15.75" customHeight="1">
      <c r="A884" s="174"/>
      <c r="B884" s="175"/>
      <c r="F884" s="177"/>
      <c r="H884" s="178"/>
      <c r="I884" s="178"/>
      <c r="J884" s="184"/>
      <c r="N884" s="178"/>
      <c r="O884" s="178"/>
      <c r="P884" s="178"/>
      <c r="S884" s="458"/>
      <c r="AN884" s="458"/>
      <c r="BA884" s="1305"/>
      <c r="BB884" s="174"/>
    </row>
    <row r="885" spans="1:54" ht="15.75" customHeight="1">
      <c r="A885" s="174"/>
      <c r="B885" s="175"/>
      <c r="F885" s="177"/>
      <c r="H885" s="178"/>
      <c r="I885" s="179"/>
      <c r="J885" s="184"/>
      <c r="N885" s="178"/>
      <c r="O885" s="178"/>
      <c r="P885" s="178"/>
      <c r="S885" s="458"/>
      <c r="AN885" s="458"/>
      <c r="BA885" s="1305"/>
      <c r="BB885" s="174"/>
    </row>
    <row r="886" spans="1:54" ht="15.75" customHeight="1">
      <c r="A886" s="174"/>
      <c r="B886" s="175"/>
      <c r="F886" s="177"/>
      <c r="H886" s="178"/>
      <c r="I886" s="178"/>
      <c r="J886" s="184"/>
      <c r="N886" s="178"/>
      <c r="O886" s="178"/>
      <c r="P886" s="178"/>
      <c r="S886" s="458"/>
      <c r="AN886" s="458"/>
      <c r="BA886" s="1305"/>
      <c r="BB886" s="174"/>
    </row>
    <row r="887" spans="1:54" ht="15.75" customHeight="1">
      <c r="A887" s="174"/>
      <c r="B887" s="175"/>
      <c r="F887" s="177"/>
      <c r="H887" s="178"/>
      <c r="I887" s="179"/>
      <c r="J887" s="184"/>
      <c r="N887" s="178"/>
      <c r="O887" s="178"/>
      <c r="P887" s="178"/>
      <c r="S887" s="458"/>
      <c r="AN887" s="458"/>
      <c r="BA887" s="1305"/>
      <c r="BB887" s="174"/>
    </row>
    <row r="888" spans="1:54" ht="15.75" customHeight="1">
      <c r="A888" s="174"/>
      <c r="B888" s="175"/>
      <c r="F888" s="177"/>
      <c r="H888" s="178"/>
      <c r="I888" s="178"/>
      <c r="J888" s="184"/>
      <c r="N888" s="178"/>
      <c r="O888" s="178"/>
      <c r="P888" s="178"/>
      <c r="S888" s="458"/>
      <c r="AN888" s="458"/>
      <c r="BA888" s="1305"/>
      <c r="BB888" s="174"/>
    </row>
    <row r="889" spans="1:54" ht="15.75" customHeight="1">
      <c r="A889" s="174"/>
      <c r="B889" s="175"/>
      <c r="F889" s="177"/>
      <c r="H889" s="178"/>
      <c r="I889" s="179"/>
      <c r="J889" s="184"/>
      <c r="N889" s="178"/>
      <c r="O889" s="178"/>
      <c r="P889" s="178"/>
      <c r="S889" s="458"/>
      <c r="AN889" s="458"/>
      <c r="BA889" s="1305"/>
      <c r="BB889" s="174"/>
    </row>
    <row r="890" spans="1:54" ht="15.75" customHeight="1">
      <c r="A890" s="174"/>
      <c r="B890" s="175"/>
      <c r="F890" s="177"/>
      <c r="H890" s="178"/>
      <c r="I890" s="178"/>
      <c r="J890" s="184"/>
      <c r="N890" s="178"/>
      <c r="O890" s="178"/>
      <c r="P890" s="178"/>
      <c r="S890" s="458"/>
      <c r="AN890" s="458"/>
      <c r="BA890" s="1305"/>
      <c r="BB890" s="174"/>
    </row>
    <row r="891" spans="1:54" ht="15.75" customHeight="1">
      <c r="A891" s="174"/>
      <c r="B891" s="175"/>
      <c r="F891" s="177"/>
      <c r="H891" s="178"/>
      <c r="I891" s="178"/>
      <c r="J891" s="184"/>
      <c r="N891" s="178"/>
      <c r="O891" s="178"/>
      <c r="P891" s="178"/>
      <c r="S891" s="458"/>
      <c r="AN891" s="458"/>
      <c r="BA891" s="1305"/>
      <c r="BB891" s="174"/>
    </row>
    <row r="892" spans="1:54" ht="15.75" customHeight="1">
      <c r="A892" s="174"/>
      <c r="B892" s="175"/>
      <c r="F892" s="177"/>
      <c r="H892" s="178"/>
      <c r="I892" s="178"/>
      <c r="J892" s="184"/>
      <c r="N892" s="178"/>
      <c r="O892" s="178"/>
      <c r="P892" s="178"/>
      <c r="S892" s="458"/>
      <c r="AN892" s="458"/>
      <c r="BA892" s="1305"/>
      <c r="BB892" s="174"/>
    </row>
    <row r="893" spans="1:54" ht="15.75" customHeight="1">
      <c r="A893" s="174"/>
      <c r="B893" s="175"/>
      <c r="F893" s="177"/>
      <c r="H893" s="178"/>
      <c r="I893" s="178"/>
      <c r="J893" s="184"/>
      <c r="N893" s="178"/>
      <c r="O893" s="178"/>
      <c r="P893" s="178"/>
      <c r="S893" s="458"/>
      <c r="AN893" s="458"/>
      <c r="BA893" s="1305"/>
      <c r="BB893" s="174"/>
    </row>
    <row r="894" spans="1:54" ht="15.75" customHeight="1">
      <c r="A894" s="174"/>
      <c r="B894" s="175"/>
      <c r="F894" s="177"/>
      <c r="H894" s="178"/>
      <c r="I894" s="178"/>
      <c r="J894" s="184"/>
      <c r="N894" s="178"/>
      <c r="O894" s="178"/>
      <c r="P894" s="178"/>
      <c r="S894" s="458"/>
      <c r="AN894" s="458"/>
      <c r="BA894" s="1305"/>
      <c r="BB894" s="174"/>
    </row>
    <row r="895" spans="1:54" ht="15.75" customHeight="1">
      <c r="A895" s="174"/>
      <c r="B895" s="175"/>
      <c r="F895" s="177"/>
      <c r="H895" s="178"/>
      <c r="I895" s="178"/>
      <c r="J895" s="184"/>
      <c r="N895" s="178"/>
      <c r="O895" s="178"/>
      <c r="P895" s="178"/>
      <c r="S895" s="458"/>
      <c r="AN895" s="458"/>
      <c r="BA895" s="1305"/>
      <c r="BB895" s="174"/>
    </row>
    <row r="896" spans="1:54" ht="15.75" customHeight="1">
      <c r="A896" s="174"/>
      <c r="B896" s="175"/>
      <c r="F896" s="177"/>
      <c r="H896" s="178"/>
      <c r="I896" s="178"/>
      <c r="J896" s="184"/>
      <c r="N896" s="178"/>
      <c r="O896" s="178"/>
      <c r="P896" s="178"/>
      <c r="S896" s="458"/>
      <c r="AN896" s="458"/>
      <c r="BA896" s="1305"/>
      <c r="BB896" s="174"/>
    </row>
    <row r="897" spans="1:54" ht="15.75" customHeight="1">
      <c r="A897" s="174"/>
      <c r="B897" s="175"/>
      <c r="F897" s="177"/>
      <c r="H897" s="178"/>
      <c r="I897" s="182"/>
      <c r="J897" s="184"/>
      <c r="N897" s="178"/>
      <c r="O897" s="178"/>
      <c r="P897" s="178"/>
      <c r="S897" s="458"/>
      <c r="AN897" s="458"/>
      <c r="BA897" s="1305"/>
      <c r="BB897" s="174"/>
    </row>
    <row r="898" spans="1:54" ht="15.75" customHeight="1">
      <c r="A898" s="174"/>
      <c r="B898" s="175"/>
      <c r="F898" s="177"/>
      <c r="H898" s="178"/>
      <c r="I898" s="178"/>
      <c r="J898" s="184"/>
      <c r="N898" s="178"/>
      <c r="O898" s="178"/>
      <c r="P898" s="178"/>
      <c r="S898" s="458"/>
      <c r="AN898" s="458"/>
      <c r="BA898" s="1305"/>
      <c r="BB898" s="174"/>
    </row>
    <row r="899" spans="1:54" ht="15.75" customHeight="1">
      <c r="A899" s="174"/>
      <c r="B899" s="175"/>
      <c r="F899" s="177"/>
      <c r="H899" s="178"/>
      <c r="I899" s="178"/>
      <c r="J899" s="184"/>
      <c r="N899" s="178"/>
      <c r="O899" s="178"/>
      <c r="P899" s="178"/>
      <c r="S899" s="458"/>
      <c r="AN899" s="458"/>
      <c r="BA899" s="1305"/>
      <c r="BB899" s="174"/>
    </row>
    <row r="900" spans="1:54" ht="15.75" customHeight="1">
      <c r="A900" s="174"/>
      <c r="B900" s="175"/>
      <c r="F900" s="177"/>
      <c r="H900" s="178"/>
      <c r="I900" s="178"/>
      <c r="J900" s="184"/>
      <c r="N900" s="178"/>
      <c r="O900" s="178"/>
      <c r="P900" s="178"/>
      <c r="S900" s="458"/>
      <c r="AN900" s="458"/>
      <c r="BA900" s="1305"/>
      <c r="BB900" s="174"/>
    </row>
    <row r="901" spans="1:54" ht="15.75" customHeight="1">
      <c r="A901" s="174"/>
      <c r="B901" s="175"/>
      <c r="F901" s="177"/>
      <c r="H901" s="178"/>
      <c r="I901" s="177"/>
      <c r="N901" s="178"/>
      <c r="O901" s="178"/>
      <c r="P901" s="178"/>
      <c r="S901" s="458"/>
      <c r="AN901" s="458"/>
      <c r="BA901" s="1305"/>
      <c r="BB901" s="174"/>
    </row>
    <row r="902" spans="1:54" ht="15.75" customHeight="1">
      <c r="A902" s="174"/>
      <c r="B902" s="175"/>
      <c r="F902" s="177"/>
      <c r="H902" s="178"/>
      <c r="I902" s="177"/>
      <c r="N902" s="178"/>
      <c r="O902" s="178"/>
      <c r="P902" s="178"/>
      <c r="S902" s="458"/>
      <c r="AN902" s="458"/>
      <c r="BA902" s="1305"/>
      <c r="BB902" s="174"/>
    </row>
    <row r="903" spans="1:54" ht="15.75" customHeight="1">
      <c r="A903" s="174"/>
      <c r="B903" s="175"/>
      <c r="F903" s="177"/>
      <c r="H903" s="178"/>
      <c r="I903" s="179"/>
      <c r="J903" s="184"/>
      <c r="N903" s="178"/>
      <c r="O903" s="178"/>
      <c r="P903" s="178"/>
      <c r="S903" s="458"/>
      <c r="AN903" s="458"/>
      <c r="BA903" s="1305"/>
      <c r="BB903" s="174"/>
    </row>
    <row r="904" spans="1:54" ht="15.75" customHeight="1">
      <c r="A904" s="174"/>
      <c r="B904" s="175"/>
      <c r="F904" s="177"/>
      <c r="H904" s="178"/>
      <c r="I904" s="179"/>
      <c r="J904" s="184"/>
      <c r="N904" s="178"/>
      <c r="O904" s="178"/>
      <c r="P904" s="178"/>
      <c r="S904" s="458"/>
      <c r="AN904" s="458"/>
      <c r="BA904" s="1305"/>
      <c r="BB904" s="174"/>
    </row>
    <row r="905" spans="1:54" ht="15.75" customHeight="1">
      <c r="A905" s="174"/>
      <c r="B905" s="175"/>
      <c r="F905" s="177"/>
      <c r="H905" s="178"/>
      <c r="I905" s="179"/>
      <c r="J905" s="184"/>
      <c r="N905" s="178"/>
      <c r="O905" s="178"/>
      <c r="P905" s="178"/>
      <c r="S905" s="458"/>
      <c r="AN905" s="458"/>
      <c r="BA905" s="1305"/>
      <c r="BB905" s="174"/>
    </row>
    <row r="906" spans="1:54" ht="15.75" customHeight="1">
      <c r="A906" s="174"/>
      <c r="B906" s="175"/>
      <c r="F906" s="177"/>
      <c r="H906" s="178"/>
      <c r="I906" s="178"/>
      <c r="J906" s="184"/>
      <c r="N906" s="178"/>
      <c r="O906" s="178"/>
      <c r="P906" s="178"/>
      <c r="S906" s="458"/>
      <c r="AN906" s="458"/>
      <c r="BA906" s="1305"/>
      <c r="BB906" s="174"/>
    </row>
    <row r="907" spans="1:54" ht="15.75" customHeight="1">
      <c r="A907" s="174"/>
      <c r="B907" s="175"/>
      <c r="F907" s="177"/>
      <c r="H907" s="178"/>
      <c r="I907" s="179"/>
      <c r="J907" s="184"/>
      <c r="N907" s="178"/>
      <c r="O907" s="178"/>
      <c r="P907" s="178"/>
      <c r="S907" s="458"/>
      <c r="AN907" s="458"/>
      <c r="BA907" s="1305"/>
      <c r="BB907" s="174"/>
    </row>
    <row r="908" spans="1:54" ht="15.75" customHeight="1">
      <c r="A908" s="174"/>
      <c r="B908" s="175"/>
      <c r="F908" s="177"/>
      <c r="H908" s="178"/>
      <c r="I908" s="179"/>
      <c r="J908" s="184"/>
      <c r="N908" s="178"/>
      <c r="O908" s="178"/>
      <c r="P908" s="178"/>
      <c r="S908" s="458"/>
      <c r="AN908" s="458"/>
      <c r="BA908" s="1305"/>
      <c r="BB908" s="174"/>
    </row>
    <row r="909" spans="1:54" ht="15.75" customHeight="1">
      <c r="A909" s="174"/>
      <c r="B909" s="175"/>
      <c r="F909" s="177"/>
      <c r="H909" s="178"/>
      <c r="I909" s="179"/>
      <c r="J909" s="184"/>
      <c r="N909" s="178"/>
      <c r="O909" s="178"/>
      <c r="P909" s="178"/>
      <c r="S909" s="458"/>
      <c r="AN909" s="458"/>
      <c r="BA909" s="1305"/>
      <c r="BB909" s="174"/>
    </row>
    <row r="910" spans="1:54" ht="15.75" customHeight="1">
      <c r="A910" s="174"/>
      <c r="B910" s="175"/>
      <c r="F910" s="177"/>
      <c r="H910" s="178"/>
      <c r="I910" s="178"/>
      <c r="J910" s="184"/>
      <c r="N910" s="178"/>
      <c r="O910" s="178"/>
      <c r="P910" s="178"/>
      <c r="S910" s="458"/>
      <c r="AN910" s="458"/>
      <c r="BA910" s="1305"/>
      <c r="BB910" s="174"/>
    </row>
    <row r="911" spans="1:54" ht="15.75" customHeight="1">
      <c r="A911" s="174"/>
      <c r="B911" s="175"/>
      <c r="F911" s="177"/>
      <c r="H911" s="178"/>
      <c r="I911" s="179"/>
      <c r="J911" s="184"/>
      <c r="N911" s="178"/>
      <c r="O911" s="178"/>
      <c r="P911" s="178"/>
      <c r="S911" s="458"/>
      <c r="AN911" s="458"/>
      <c r="BA911" s="1305"/>
      <c r="BB911" s="174"/>
    </row>
    <row r="912" spans="1:54" ht="15.75" customHeight="1">
      <c r="A912" s="174"/>
      <c r="B912" s="175"/>
      <c r="F912" s="177"/>
      <c r="H912" s="178"/>
      <c r="I912" s="179"/>
      <c r="J912" s="184"/>
      <c r="N912" s="178"/>
      <c r="O912" s="178"/>
      <c r="P912" s="178"/>
      <c r="S912" s="458"/>
      <c r="AN912" s="458"/>
      <c r="BA912" s="1305"/>
      <c r="BB912" s="174"/>
    </row>
    <row r="913" spans="1:54" ht="15.75" customHeight="1">
      <c r="A913" s="174"/>
      <c r="B913" s="175"/>
      <c r="F913" s="177"/>
      <c r="H913" s="178"/>
      <c r="I913" s="179"/>
      <c r="J913" s="184"/>
      <c r="N913" s="178"/>
      <c r="O913" s="178"/>
      <c r="P913" s="178"/>
      <c r="S913" s="458"/>
      <c r="AN913" s="458"/>
      <c r="BA913" s="1305"/>
      <c r="BB913" s="174"/>
    </row>
    <row r="914" spans="1:54" ht="15.75" customHeight="1">
      <c r="A914" s="174"/>
      <c r="B914" s="175"/>
      <c r="F914" s="177"/>
      <c r="H914" s="178"/>
      <c r="I914" s="178"/>
      <c r="J914" s="184"/>
      <c r="N914" s="178"/>
      <c r="O914" s="178"/>
      <c r="P914" s="178"/>
      <c r="S914" s="458"/>
      <c r="AN914" s="458"/>
      <c r="BA914" s="1305"/>
      <c r="BB914" s="174"/>
    </row>
    <row r="915" spans="1:54" ht="15.75" customHeight="1">
      <c r="A915" s="174"/>
      <c r="B915" s="175"/>
      <c r="F915" s="177"/>
      <c r="H915" s="178"/>
      <c r="I915" s="179"/>
      <c r="J915" s="184"/>
      <c r="N915" s="178"/>
      <c r="O915" s="178"/>
      <c r="P915" s="178"/>
      <c r="S915" s="458"/>
      <c r="AN915" s="458"/>
      <c r="BA915" s="1305"/>
      <c r="BB915" s="174"/>
    </row>
    <row r="916" spans="1:54" ht="15.75" customHeight="1">
      <c r="A916" s="174"/>
      <c r="B916" s="175"/>
      <c r="F916" s="177"/>
      <c r="H916" s="178"/>
      <c r="I916" s="178"/>
      <c r="J916" s="184"/>
      <c r="N916" s="178"/>
      <c r="O916" s="178"/>
      <c r="P916" s="178"/>
      <c r="S916" s="458"/>
      <c r="AN916" s="458"/>
      <c r="BA916" s="1305"/>
      <c r="BB916" s="174"/>
    </row>
    <row r="917" spans="1:54" ht="15.75" customHeight="1">
      <c r="A917" s="174"/>
      <c r="B917" s="175"/>
      <c r="F917" s="177"/>
      <c r="H917" s="178"/>
      <c r="I917" s="179"/>
      <c r="J917" s="184"/>
      <c r="N917" s="178"/>
      <c r="O917" s="178"/>
      <c r="P917" s="178"/>
      <c r="S917" s="458"/>
      <c r="AN917" s="458"/>
      <c r="BA917" s="1305"/>
      <c r="BB917" s="174"/>
    </row>
    <row r="918" spans="1:54" ht="15.75" customHeight="1">
      <c r="A918" s="174"/>
      <c r="B918" s="175"/>
      <c r="F918" s="177"/>
      <c r="H918" s="178"/>
      <c r="I918" s="178"/>
      <c r="J918" s="184"/>
      <c r="N918" s="178"/>
      <c r="O918" s="178"/>
      <c r="P918" s="178"/>
      <c r="S918" s="458"/>
      <c r="AN918" s="458"/>
      <c r="BA918" s="1305"/>
      <c r="BB918" s="174"/>
    </row>
    <row r="919" spans="1:54" ht="15.75" customHeight="1">
      <c r="A919" s="174"/>
      <c r="B919" s="175"/>
      <c r="F919" s="177"/>
      <c r="H919" s="178"/>
      <c r="I919" s="179"/>
      <c r="J919" s="184"/>
      <c r="N919" s="178"/>
      <c r="O919" s="178"/>
      <c r="P919" s="178"/>
      <c r="S919" s="458"/>
      <c r="AN919" s="458"/>
      <c r="BA919" s="1305"/>
      <c r="BB919" s="174"/>
    </row>
    <row r="920" spans="1:54" ht="15.75" customHeight="1">
      <c r="A920" s="174"/>
      <c r="B920" s="175"/>
      <c r="F920" s="177"/>
      <c r="H920" s="178"/>
      <c r="I920" s="178"/>
      <c r="J920" s="184"/>
      <c r="N920" s="178"/>
      <c r="O920" s="178"/>
      <c r="P920" s="178"/>
      <c r="S920" s="458"/>
      <c r="AN920" s="458"/>
      <c r="BA920" s="1305"/>
      <c r="BB920" s="174"/>
    </row>
    <row r="921" spans="1:54" ht="15.75" customHeight="1">
      <c r="A921" s="174"/>
      <c r="B921" s="175"/>
      <c r="F921" s="177"/>
      <c r="H921" s="178"/>
      <c r="I921" s="179"/>
      <c r="J921" s="184"/>
      <c r="N921" s="178"/>
      <c r="O921" s="178"/>
      <c r="P921" s="178"/>
      <c r="S921" s="458"/>
      <c r="AN921" s="458"/>
      <c r="BA921" s="1305"/>
      <c r="BB921" s="174"/>
    </row>
    <row r="922" spans="1:54" ht="15.75" customHeight="1">
      <c r="A922" s="174"/>
      <c r="B922" s="175"/>
      <c r="F922" s="177"/>
      <c r="H922" s="178"/>
      <c r="I922" s="178"/>
      <c r="J922" s="184"/>
      <c r="N922" s="178"/>
      <c r="O922" s="178"/>
      <c r="P922" s="178"/>
      <c r="S922" s="458"/>
      <c r="AN922" s="458"/>
      <c r="BA922" s="1305"/>
      <c r="BB922" s="174"/>
    </row>
    <row r="923" spans="1:54" ht="15.75" customHeight="1">
      <c r="A923" s="174"/>
      <c r="B923" s="175"/>
      <c r="F923" s="177"/>
      <c r="H923" s="178"/>
      <c r="I923" s="179"/>
      <c r="J923" s="184"/>
      <c r="N923" s="178"/>
      <c r="O923" s="178"/>
      <c r="P923" s="178"/>
      <c r="S923" s="458"/>
      <c r="AN923" s="458"/>
      <c r="BA923" s="1305"/>
      <c r="BB923" s="174"/>
    </row>
    <row r="924" spans="1:54" ht="15.75" customHeight="1">
      <c r="A924" s="174"/>
      <c r="B924" s="175"/>
      <c r="F924" s="177"/>
      <c r="H924" s="178"/>
      <c r="I924" s="178"/>
      <c r="J924" s="184"/>
      <c r="N924" s="178"/>
      <c r="O924" s="178"/>
      <c r="P924" s="178"/>
      <c r="S924" s="458"/>
      <c r="AN924" s="458"/>
      <c r="BA924" s="1305"/>
      <c r="BB924" s="174"/>
    </row>
    <row r="925" spans="1:54" ht="15.75" customHeight="1">
      <c r="A925" s="174"/>
      <c r="B925" s="175"/>
      <c r="F925" s="177"/>
      <c r="H925" s="178"/>
      <c r="I925" s="179"/>
      <c r="J925" s="184"/>
      <c r="N925" s="178"/>
      <c r="O925" s="178"/>
      <c r="P925" s="178"/>
      <c r="S925" s="458"/>
      <c r="AN925" s="458"/>
      <c r="BA925" s="1305"/>
      <c r="BB925" s="174"/>
    </row>
    <row r="926" spans="1:54" ht="15.75" customHeight="1">
      <c r="A926" s="174"/>
      <c r="B926" s="175"/>
      <c r="F926" s="177"/>
      <c r="H926" s="178"/>
      <c r="I926" s="178"/>
      <c r="J926" s="184"/>
      <c r="N926" s="178"/>
      <c r="O926" s="178"/>
      <c r="P926" s="178"/>
      <c r="S926" s="458"/>
      <c r="AN926" s="458"/>
      <c r="BA926" s="1305"/>
      <c r="BB926" s="174"/>
    </row>
    <row r="927" spans="1:54" ht="15.75" customHeight="1">
      <c r="A927" s="174"/>
      <c r="B927" s="175"/>
      <c r="F927" s="177"/>
      <c r="H927" s="178"/>
      <c r="I927" s="179"/>
      <c r="J927" s="184"/>
      <c r="N927" s="178"/>
      <c r="O927" s="178"/>
      <c r="P927" s="178"/>
      <c r="S927" s="458"/>
      <c r="AN927" s="458"/>
      <c r="BA927" s="1305"/>
      <c r="BB927" s="174"/>
    </row>
    <row r="928" spans="1:54" ht="15.75" customHeight="1">
      <c r="A928" s="174"/>
      <c r="B928" s="175"/>
      <c r="F928" s="177"/>
      <c r="H928" s="178"/>
      <c r="I928" s="178"/>
      <c r="J928" s="184"/>
      <c r="N928" s="178"/>
      <c r="O928" s="178"/>
      <c r="P928" s="178"/>
      <c r="S928" s="458"/>
      <c r="AN928" s="458"/>
      <c r="BA928" s="1305"/>
      <c r="BB928" s="174"/>
    </row>
    <row r="929" spans="1:54" ht="15.75" customHeight="1">
      <c r="A929" s="174"/>
      <c r="B929" s="175"/>
      <c r="F929" s="177"/>
      <c r="H929" s="178"/>
      <c r="I929" s="179"/>
      <c r="J929" s="184"/>
      <c r="N929" s="178"/>
      <c r="O929" s="178"/>
      <c r="P929" s="178"/>
      <c r="S929" s="458"/>
      <c r="AN929" s="458"/>
      <c r="BA929" s="1305"/>
      <c r="BB929" s="174"/>
    </row>
    <row r="930" spans="1:54" ht="15.75" customHeight="1">
      <c r="A930" s="174"/>
      <c r="B930" s="175"/>
      <c r="F930" s="177"/>
      <c r="H930" s="178"/>
      <c r="I930" s="179"/>
      <c r="J930" s="184"/>
      <c r="N930" s="178"/>
      <c r="O930" s="178"/>
      <c r="P930" s="178"/>
      <c r="S930" s="458"/>
      <c r="AN930" s="458"/>
      <c r="BA930" s="1305"/>
      <c r="BB930" s="174"/>
    </row>
    <row r="931" spans="1:54" ht="15.75" customHeight="1">
      <c r="A931" s="174"/>
      <c r="B931" s="175"/>
      <c r="F931" s="177"/>
      <c r="H931" s="178"/>
      <c r="I931" s="179"/>
      <c r="J931" s="184"/>
      <c r="N931" s="178"/>
      <c r="O931" s="178"/>
      <c r="P931" s="178"/>
      <c r="S931" s="458"/>
      <c r="AN931" s="458"/>
      <c r="BA931" s="1305"/>
      <c r="BB931" s="174"/>
    </row>
    <row r="932" spans="1:54" ht="15.75" customHeight="1">
      <c r="A932" s="174"/>
      <c r="B932" s="175"/>
      <c r="F932" s="177"/>
      <c r="H932" s="178"/>
      <c r="I932" s="179"/>
      <c r="J932" s="184"/>
      <c r="N932" s="178"/>
      <c r="O932" s="178"/>
      <c r="P932" s="178"/>
      <c r="S932" s="458"/>
      <c r="AN932" s="458"/>
      <c r="BA932" s="1305"/>
      <c r="BB932" s="174"/>
    </row>
    <row r="933" spans="1:54" ht="15.75" customHeight="1">
      <c r="A933" s="174"/>
      <c r="B933" s="175"/>
      <c r="F933" s="177"/>
      <c r="H933" s="178"/>
      <c r="I933" s="179"/>
      <c r="J933" s="184"/>
      <c r="N933" s="178"/>
      <c r="O933" s="178"/>
      <c r="P933" s="178"/>
      <c r="S933" s="458"/>
      <c r="AN933" s="458"/>
      <c r="BA933" s="1305"/>
      <c r="BB933" s="174"/>
    </row>
    <row r="934" spans="1:54" ht="15.75" customHeight="1">
      <c r="A934" s="174"/>
      <c r="B934" s="175"/>
      <c r="F934" s="177"/>
      <c r="H934" s="178"/>
      <c r="I934" s="179"/>
      <c r="J934" s="184"/>
      <c r="N934" s="178"/>
      <c r="O934" s="178"/>
      <c r="P934" s="178"/>
      <c r="S934" s="458"/>
      <c r="AN934" s="458"/>
      <c r="BA934" s="1305"/>
      <c r="BB934" s="174"/>
    </row>
    <row r="935" spans="1:54" ht="15.75" customHeight="1">
      <c r="A935" s="174"/>
      <c r="B935" s="175"/>
      <c r="F935" s="177"/>
      <c r="H935" s="178"/>
      <c r="I935" s="179"/>
      <c r="J935" s="184"/>
      <c r="N935" s="178"/>
      <c r="O935" s="178"/>
      <c r="P935" s="178"/>
      <c r="S935" s="458"/>
      <c r="AN935" s="458"/>
      <c r="BA935" s="1305"/>
      <c r="BB935" s="174"/>
    </row>
    <row r="936" spans="1:54" ht="15.75" customHeight="1">
      <c r="A936" s="174"/>
      <c r="B936" s="175"/>
      <c r="F936" s="177"/>
      <c r="H936" s="178"/>
      <c r="I936" s="179"/>
      <c r="J936" s="184"/>
      <c r="N936" s="178"/>
      <c r="O936" s="178"/>
      <c r="P936" s="178"/>
      <c r="S936" s="458"/>
      <c r="AN936" s="458"/>
      <c r="BA936" s="1305"/>
      <c r="BB936" s="174"/>
    </row>
    <row r="937" spans="1:54" ht="15.75" customHeight="1">
      <c r="A937" s="174"/>
      <c r="B937" s="175"/>
      <c r="F937" s="177"/>
      <c r="H937" s="178"/>
      <c r="I937" s="179"/>
      <c r="J937" s="184"/>
      <c r="N937" s="178"/>
      <c r="O937" s="178"/>
      <c r="P937" s="178"/>
      <c r="S937" s="458"/>
      <c r="AN937" s="458"/>
      <c r="BA937" s="1305"/>
      <c r="BB937" s="174"/>
    </row>
    <row r="938" spans="1:54" ht="15.75" customHeight="1">
      <c r="A938" s="174"/>
      <c r="B938" s="175"/>
      <c r="F938" s="177"/>
      <c r="H938" s="178"/>
      <c r="I938" s="179"/>
      <c r="J938" s="184"/>
      <c r="N938" s="178"/>
      <c r="O938" s="178"/>
      <c r="P938" s="178"/>
      <c r="S938" s="458"/>
      <c r="AN938" s="458"/>
      <c r="BA938" s="1305"/>
      <c r="BB938" s="174"/>
    </row>
    <row r="939" spans="1:54" ht="15.75" customHeight="1">
      <c r="A939" s="174"/>
      <c r="B939" s="175"/>
      <c r="F939" s="177"/>
      <c r="H939" s="178"/>
      <c r="I939" s="179"/>
      <c r="J939" s="184"/>
      <c r="N939" s="178"/>
      <c r="O939" s="178"/>
      <c r="P939" s="178"/>
      <c r="S939" s="458"/>
      <c r="AN939" s="458"/>
      <c r="BA939" s="1305"/>
      <c r="BB939" s="174"/>
    </row>
    <row r="940" spans="1:54" ht="15.75" customHeight="1">
      <c r="A940" s="174"/>
      <c r="B940" s="175"/>
      <c r="F940" s="177"/>
      <c r="H940" s="178"/>
      <c r="I940" s="179"/>
      <c r="J940" s="184"/>
      <c r="N940" s="178"/>
      <c r="O940" s="178"/>
      <c r="P940" s="178"/>
      <c r="S940" s="458"/>
      <c r="AN940" s="458"/>
      <c r="BA940" s="1305"/>
      <c r="BB940" s="174"/>
    </row>
    <row r="941" spans="1:54" ht="15.75" customHeight="1">
      <c r="A941" s="174"/>
      <c r="B941" s="175"/>
      <c r="F941" s="177"/>
      <c r="H941" s="178"/>
      <c r="I941" s="179"/>
      <c r="J941" s="184"/>
      <c r="N941" s="178"/>
      <c r="O941" s="178"/>
      <c r="P941" s="178"/>
      <c r="S941" s="458"/>
      <c r="AN941" s="458"/>
      <c r="BA941" s="1305"/>
      <c r="BB941" s="174"/>
    </row>
    <row r="942" spans="1:54" ht="15.75" customHeight="1">
      <c r="A942" s="174"/>
      <c r="B942" s="175"/>
      <c r="F942" s="177"/>
      <c r="H942" s="178"/>
      <c r="I942" s="179"/>
      <c r="J942" s="184"/>
      <c r="N942" s="178"/>
      <c r="O942" s="178"/>
      <c r="P942" s="178"/>
      <c r="S942" s="458"/>
      <c r="AN942" s="458"/>
      <c r="BA942" s="1305"/>
      <c r="BB942" s="174"/>
    </row>
    <row r="943" spans="1:54" ht="15.75" customHeight="1">
      <c r="A943" s="174"/>
      <c r="B943" s="175"/>
      <c r="F943" s="177"/>
      <c r="H943" s="178"/>
      <c r="I943" s="179"/>
      <c r="J943" s="184"/>
      <c r="N943" s="178"/>
      <c r="O943" s="178"/>
      <c r="P943" s="178"/>
      <c r="S943" s="458"/>
      <c r="AN943" s="458"/>
      <c r="BA943" s="1305"/>
      <c r="BB943" s="174"/>
    </row>
    <row r="944" spans="1:54" ht="15.75" customHeight="1">
      <c r="A944" s="174"/>
      <c r="B944" s="175"/>
      <c r="F944" s="177"/>
      <c r="H944" s="178"/>
      <c r="I944" s="179"/>
      <c r="J944" s="184"/>
      <c r="N944" s="178"/>
      <c r="O944" s="178"/>
      <c r="P944" s="178"/>
      <c r="S944" s="458"/>
      <c r="AN944" s="458"/>
      <c r="BA944" s="1305"/>
      <c r="BB944" s="174"/>
    </row>
    <row r="945" spans="1:54" ht="15.75" customHeight="1">
      <c r="A945" s="174"/>
      <c r="B945" s="175"/>
      <c r="F945" s="177"/>
      <c r="H945" s="178"/>
      <c r="I945" s="179"/>
      <c r="J945" s="184"/>
      <c r="N945" s="178"/>
      <c r="O945" s="178"/>
      <c r="P945" s="178"/>
      <c r="S945" s="458"/>
      <c r="AN945" s="458"/>
      <c r="BA945" s="1305"/>
      <c r="BB945" s="174"/>
    </row>
    <row r="946" spans="1:54" ht="15.75" customHeight="1">
      <c r="A946" s="174"/>
      <c r="B946" s="175"/>
      <c r="F946" s="177"/>
      <c r="H946" s="178"/>
      <c r="I946" s="179"/>
      <c r="N946" s="178"/>
      <c r="O946" s="178"/>
      <c r="P946" s="178"/>
      <c r="S946" s="458"/>
      <c r="AN946" s="458"/>
      <c r="BA946" s="1305"/>
      <c r="BB946" s="174"/>
    </row>
    <row r="947" spans="1:54" ht="15.75" customHeight="1">
      <c r="B947" s="175"/>
      <c r="H947" s="178"/>
      <c r="I947" s="179"/>
      <c r="J947" s="184"/>
      <c r="N947" s="178"/>
      <c r="O947" s="178"/>
      <c r="P947" s="178"/>
      <c r="S947" s="458"/>
      <c r="AN947" s="458"/>
      <c r="BA947" s="1305"/>
    </row>
    <row r="948" spans="1:54" ht="15.75" customHeight="1">
      <c r="B948" s="175"/>
      <c r="H948" s="178"/>
      <c r="I948" s="178"/>
      <c r="J948" s="184"/>
      <c r="N948" s="178"/>
      <c r="O948" s="178"/>
      <c r="P948" s="178"/>
      <c r="S948" s="458"/>
      <c r="AN948" s="458"/>
      <c r="BA948" s="1305"/>
    </row>
    <row r="949" spans="1:54" ht="15.75" customHeight="1">
      <c r="B949" s="175"/>
      <c r="H949" s="178"/>
      <c r="I949" s="179"/>
      <c r="J949" s="184"/>
      <c r="N949" s="178"/>
      <c r="O949" s="178"/>
      <c r="P949" s="178"/>
      <c r="S949" s="458"/>
      <c r="AN949" s="458"/>
      <c r="BA949" s="1305"/>
    </row>
    <row r="950" spans="1:54" ht="15.75" customHeight="1">
      <c r="B950" s="175"/>
      <c r="H950" s="178"/>
      <c r="I950" s="178"/>
      <c r="J950" s="184"/>
      <c r="N950" s="178"/>
      <c r="O950" s="178"/>
      <c r="P950" s="178"/>
      <c r="S950" s="458"/>
      <c r="AN950" s="458"/>
      <c r="BA950" s="1305"/>
    </row>
    <row r="951" spans="1:54" ht="15.75" customHeight="1">
      <c r="B951" s="175"/>
      <c r="H951" s="178"/>
      <c r="I951" s="178"/>
      <c r="J951" s="184"/>
      <c r="N951" s="178"/>
      <c r="O951" s="178"/>
      <c r="P951" s="178"/>
      <c r="S951" s="458"/>
      <c r="AN951" s="458"/>
      <c r="BA951" s="1305"/>
    </row>
    <row r="952" spans="1:54" ht="15.75" customHeight="1">
      <c r="B952" s="175"/>
      <c r="H952" s="178"/>
      <c r="I952" s="178"/>
      <c r="J952" s="184"/>
      <c r="N952" s="178"/>
      <c r="O952" s="178"/>
      <c r="P952" s="178"/>
      <c r="S952" s="458"/>
      <c r="AN952" s="458"/>
      <c r="BA952" s="1305"/>
    </row>
    <row r="953" spans="1:54" ht="15.75" customHeight="1">
      <c r="B953" s="175"/>
      <c r="H953" s="178"/>
      <c r="I953" s="178"/>
      <c r="J953" s="184"/>
      <c r="N953" s="178"/>
      <c r="O953" s="178"/>
      <c r="P953" s="178"/>
      <c r="S953" s="458"/>
      <c r="AN953" s="458"/>
      <c r="BA953" s="1305"/>
    </row>
    <row r="954" spans="1:54" ht="15.75" customHeight="1">
      <c r="B954" s="175"/>
      <c r="H954" s="178"/>
      <c r="I954" s="178"/>
      <c r="J954" s="184"/>
      <c r="N954" s="178"/>
      <c r="O954" s="178"/>
      <c r="P954" s="178"/>
      <c r="S954" s="458"/>
      <c r="AN954" s="458"/>
      <c r="BA954" s="1305"/>
    </row>
    <row r="955" spans="1:54" ht="15.75" customHeight="1">
      <c r="B955" s="175"/>
      <c r="H955" s="178"/>
      <c r="I955" s="178"/>
      <c r="J955" s="184"/>
      <c r="N955" s="178"/>
      <c r="O955" s="178"/>
      <c r="P955" s="178"/>
      <c r="S955" s="458"/>
      <c r="AN955" s="458"/>
      <c r="BA955" s="1305"/>
    </row>
    <row r="956" spans="1:54" ht="15.75" customHeight="1">
      <c r="B956" s="175"/>
      <c r="H956" s="178"/>
      <c r="I956" s="178"/>
      <c r="J956" s="184"/>
      <c r="N956" s="178"/>
      <c r="O956" s="178"/>
      <c r="P956" s="178"/>
      <c r="S956" s="458"/>
      <c r="AN956" s="458"/>
      <c r="BA956" s="1305"/>
    </row>
    <row r="957" spans="1:54" ht="15.75" customHeight="1">
      <c r="B957" s="175"/>
      <c r="H957" s="178"/>
      <c r="I957" s="178"/>
      <c r="J957" s="184"/>
      <c r="N957" s="178"/>
      <c r="O957" s="178"/>
      <c r="P957" s="178"/>
      <c r="S957" s="458"/>
      <c r="AN957" s="458"/>
      <c r="BA957" s="1305"/>
    </row>
    <row r="958" spans="1:54" ht="15.75" customHeight="1">
      <c r="B958" s="175"/>
      <c r="H958" s="178"/>
      <c r="I958" s="178"/>
      <c r="J958" s="184"/>
      <c r="N958" s="178"/>
      <c r="O958" s="178"/>
      <c r="P958" s="178"/>
      <c r="S958" s="458"/>
      <c r="AN958" s="458"/>
      <c r="BA958" s="1305"/>
    </row>
    <row r="959" spans="1:54" ht="15.75" customHeight="1">
      <c r="B959" s="175"/>
      <c r="H959" s="178"/>
      <c r="I959" s="178"/>
      <c r="J959" s="184"/>
      <c r="N959" s="178"/>
      <c r="O959" s="178"/>
      <c r="P959" s="178"/>
      <c r="S959" s="458"/>
      <c r="AN959" s="458"/>
      <c r="BA959" s="1305"/>
    </row>
    <row r="960" spans="1:54" ht="15.75" customHeight="1">
      <c r="B960" s="175"/>
      <c r="H960" s="178"/>
      <c r="I960" s="178"/>
      <c r="J960" s="184"/>
      <c r="N960" s="178"/>
      <c r="O960" s="178"/>
      <c r="P960" s="178"/>
      <c r="S960" s="458"/>
      <c r="AN960" s="458"/>
      <c r="BA960" s="1305"/>
    </row>
    <row r="961" spans="2:53" ht="15.75" customHeight="1">
      <c r="B961" s="175"/>
      <c r="H961" s="178"/>
      <c r="I961" s="178"/>
      <c r="J961" s="184"/>
      <c r="N961" s="178"/>
      <c r="O961" s="178"/>
      <c r="P961" s="178"/>
      <c r="S961" s="458"/>
      <c r="AN961" s="458"/>
      <c r="BA961" s="1305"/>
    </row>
    <row r="962" spans="2:53" ht="15.75" customHeight="1">
      <c r="B962" s="175"/>
      <c r="H962" s="178"/>
      <c r="I962" s="178"/>
      <c r="J962" s="184"/>
      <c r="N962" s="178"/>
      <c r="O962" s="178"/>
      <c r="P962" s="178"/>
      <c r="S962" s="458"/>
      <c r="AN962" s="458"/>
      <c r="BA962" s="1305"/>
    </row>
    <row r="963" spans="2:53" ht="15.75" customHeight="1">
      <c r="B963" s="175"/>
      <c r="H963" s="178"/>
      <c r="I963" s="178"/>
      <c r="J963" s="184"/>
      <c r="N963" s="178"/>
      <c r="O963" s="178"/>
      <c r="P963" s="178"/>
      <c r="S963" s="458"/>
      <c r="AN963" s="458"/>
      <c r="BA963" s="1305"/>
    </row>
    <row r="964" spans="2:53" ht="15.75" customHeight="1">
      <c r="B964" s="175"/>
      <c r="H964" s="178"/>
      <c r="I964" s="178"/>
      <c r="J964" s="184"/>
      <c r="N964" s="178"/>
      <c r="O964" s="178"/>
      <c r="P964" s="178"/>
      <c r="S964" s="458"/>
      <c r="AN964" s="458"/>
      <c r="BA964" s="1305"/>
    </row>
    <row r="965" spans="2:53" ht="15.75" customHeight="1">
      <c r="B965" s="175"/>
      <c r="H965" s="178"/>
      <c r="I965" s="178"/>
      <c r="J965" s="184"/>
      <c r="N965" s="178"/>
      <c r="O965" s="178"/>
      <c r="P965" s="178"/>
      <c r="S965" s="458"/>
      <c r="AN965" s="458"/>
      <c r="BA965" s="1305"/>
    </row>
    <row r="966" spans="2:53" ht="15.75" customHeight="1">
      <c r="B966" s="175"/>
      <c r="H966" s="178"/>
      <c r="I966" s="178"/>
      <c r="J966" s="184"/>
      <c r="N966" s="178"/>
      <c r="O966" s="178"/>
      <c r="P966" s="178"/>
      <c r="S966" s="458"/>
      <c r="AN966" s="458"/>
      <c r="BA966" s="1305"/>
    </row>
    <row r="967" spans="2:53" ht="15.75" customHeight="1">
      <c r="B967" s="175"/>
      <c r="H967" s="178"/>
      <c r="I967" s="178"/>
      <c r="J967" s="184"/>
      <c r="N967" s="178"/>
      <c r="O967" s="178"/>
      <c r="P967" s="178"/>
      <c r="S967" s="458"/>
      <c r="AN967" s="458"/>
      <c r="BA967" s="1305"/>
    </row>
    <row r="968" spans="2:53" ht="15.75" customHeight="1">
      <c r="B968" s="175"/>
      <c r="H968" s="178"/>
      <c r="I968" s="178"/>
      <c r="J968" s="184"/>
      <c r="N968" s="178"/>
      <c r="O968" s="178"/>
      <c r="P968" s="178"/>
      <c r="S968" s="458"/>
      <c r="AN968" s="458"/>
      <c r="BA968" s="1305"/>
    </row>
    <row r="969" spans="2:53" ht="15.75" customHeight="1">
      <c r="B969" s="175"/>
      <c r="H969" s="178"/>
      <c r="I969" s="178"/>
      <c r="J969" s="184"/>
      <c r="N969" s="178"/>
      <c r="O969" s="178"/>
      <c r="P969" s="178"/>
      <c r="S969" s="458"/>
      <c r="AN969" s="458"/>
      <c r="BA969" s="1305"/>
    </row>
    <row r="970" spans="2:53" ht="15.75" customHeight="1">
      <c r="B970" s="175"/>
      <c r="H970" s="178"/>
      <c r="I970" s="178"/>
      <c r="J970" s="184"/>
      <c r="N970" s="178"/>
      <c r="O970" s="178"/>
      <c r="P970" s="178"/>
      <c r="S970" s="458"/>
      <c r="AN970" s="458"/>
      <c r="BA970" s="1305"/>
    </row>
    <row r="971" spans="2:53" ht="15.75" customHeight="1">
      <c r="B971" s="175"/>
      <c r="H971" s="178"/>
      <c r="I971" s="178"/>
      <c r="J971" s="184"/>
      <c r="N971" s="178"/>
      <c r="O971" s="178"/>
      <c r="P971" s="178"/>
      <c r="S971" s="458"/>
      <c r="AN971" s="458"/>
      <c r="BA971" s="1305"/>
    </row>
    <row r="972" spans="2:53" ht="15.75" customHeight="1">
      <c r="B972" s="175"/>
      <c r="H972" s="178"/>
      <c r="I972" s="178"/>
      <c r="J972" s="184"/>
      <c r="N972" s="178"/>
      <c r="O972" s="178"/>
      <c r="P972" s="178"/>
      <c r="S972" s="458"/>
      <c r="AN972" s="458"/>
      <c r="BA972" s="1305"/>
    </row>
    <row r="973" spans="2:53" ht="15.75" customHeight="1">
      <c r="B973" s="175"/>
      <c r="H973" s="178"/>
      <c r="I973" s="178"/>
      <c r="J973" s="184"/>
      <c r="N973" s="178"/>
      <c r="O973" s="178"/>
      <c r="P973" s="178"/>
      <c r="S973" s="458"/>
      <c r="AN973" s="458"/>
      <c r="BA973" s="1305"/>
    </row>
    <row r="974" spans="2:53" ht="15.75" customHeight="1">
      <c r="B974" s="175"/>
      <c r="H974" s="178"/>
      <c r="I974" s="178"/>
      <c r="J974" s="184"/>
      <c r="N974" s="178"/>
      <c r="O974" s="178"/>
      <c r="P974" s="178"/>
      <c r="S974" s="458"/>
      <c r="AN974" s="458"/>
      <c r="BA974" s="1305"/>
    </row>
    <row r="975" spans="2:53" ht="15.75" customHeight="1">
      <c r="B975" s="175"/>
      <c r="H975" s="178"/>
      <c r="I975" s="178"/>
      <c r="J975" s="184"/>
      <c r="N975" s="178"/>
      <c r="O975" s="178"/>
      <c r="P975" s="178"/>
      <c r="S975" s="458"/>
      <c r="AN975" s="458"/>
      <c r="BA975" s="1305"/>
    </row>
    <row r="976" spans="2:53" ht="15.75" customHeight="1">
      <c r="B976" s="175"/>
      <c r="H976" s="178"/>
      <c r="I976" s="178"/>
      <c r="J976" s="184"/>
      <c r="N976" s="178"/>
      <c r="O976" s="178"/>
      <c r="P976" s="178"/>
      <c r="S976" s="458"/>
      <c r="AN976" s="458"/>
      <c r="BA976" s="1305"/>
    </row>
    <row r="977" spans="2:53" ht="15.75" customHeight="1">
      <c r="B977" s="175"/>
      <c r="H977" s="178"/>
      <c r="I977" s="178"/>
      <c r="J977" s="184"/>
      <c r="N977" s="178"/>
      <c r="O977" s="178"/>
      <c r="P977" s="178"/>
      <c r="S977" s="458"/>
      <c r="AN977" s="458"/>
      <c r="BA977" s="1305"/>
    </row>
    <row r="978" spans="2:53" ht="15.75" customHeight="1">
      <c r="B978" s="175"/>
      <c r="H978" s="178"/>
      <c r="I978" s="178"/>
      <c r="J978" s="184"/>
      <c r="N978" s="178"/>
      <c r="O978" s="178"/>
      <c r="P978" s="178"/>
      <c r="S978" s="458"/>
      <c r="AN978" s="458"/>
      <c r="BA978" s="1305"/>
    </row>
    <row r="979" spans="2:53" ht="15.75" customHeight="1">
      <c r="B979" s="175"/>
      <c r="H979" s="178"/>
      <c r="I979" s="178"/>
      <c r="J979" s="184"/>
      <c r="N979" s="178"/>
      <c r="O979" s="178"/>
      <c r="P979" s="178"/>
      <c r="S979" s="458"/>
      <c r="AN979" s="458"/>
      <c r="BA979" s="1305"/>
    </row>
    <row r="980" spans="2:53" ht="15.75" customHeight="1">
      <c r="B980" s="175"/>
      <c r="H980" s="178"/>
      <c r="I980" s="178"/>
      <c r="J980" s="184"/>
      <c r="N980" s="178"/>
      <c r="O980" s="178"/>
      <c r="P980" s="178"/>
      <c r="S980" s="458"/>
      <c r="AN980" s="458"/>
      <c r="BA980" s="1305"/>
    </row>
    <row r="981" spans="2:53" ht="15.75" customHeight="1">
      <c r="B981" s="175"/>
      <c r="H981" s="178"/>
      <c r="I981" s="178"/>
      <c r="J981" s="184"/>
      <c r="N981" s="178"/>
      <c r="O981" s="178"/>
      <c r="P981" s="178"/>
      <c r="S981" s="458"/>
      <c r="AN981" s="458"/>
      <c r="BA981" s="1305"/>
    </row>
    <row r="982" spans="2:53" ht="15.75" customHeight="1">
      <c r="B982" s="175"/>
      <c r="H982" s="178"/>
      <c r="I982" s="178"/>
      <c r="J982" s="184"/>
      <c r="N982" s="178"/>
      <c r="O982" s="178"/>
      <c r="P982" s="178"/>
      <c r="S982" s="458"/>
      <c r="AN982" s="458"/>
      <c r="BA982" s="1305"/>
    </row>
    <row r="983" spans="2:53" ht="15.75" customHeight="1">
      <c r="B983" s="175"/>
      <c r="H983" s="178"/>
      <c r="I983" s="178"/>
      <c r="J983" s="184"/>
      <c r="N983" s="178"/>
      <c r="O983" s="178"/>
      <c r="P983" s="178"/>
      <c r="S983" s="458"/>
      <c r="AN983" s="458"/>
      <c r="BA983" s="1305"/>
    </row>
    <row r="984" spans="2:53" ht="15.75" customHeight="1">
      <c r="B984" s="175"/>
      <c r="H984" s="178"/>
      <c r="I984" s="178"/>
      <c r="J984" s="184"/>
      <c r="N984" s="178"/>
      <c r="O984" s="178"/>
      <c r="P984" s="178"/>
      <c r="S984" s="458"/>
      <c r="AN984" s="458"/>
      <c r="BA984" s="1305"/>
    </row>
    <row r="985" spans="2:53" ht="15.75" customHeight="1">
      <c r="B985" s="175"/>
      <c r="H985" s="178"/>
      <c r="I985" s="178"/>
      <c r="J985" s="184"/>
      <c r="N985" s="178"/>
      <c r="O985" s="178"/>
      <c r="P985" s="178"/>
      <c r="S985" s="458"/>
      <c r="AN985" s="458"/>
      <c r="BA985" s="1305"/>
    </row>
    <row r="986" spans="2:53" ht="15.75" customHeight="1">
      <c r="B986" s="175"/>
      <c r="H986" s="178"/>
      <c r="I986" s="178"/>
      <c r="J986" s="184"/>
      <c r="N986" s="178"/>
      <c r="O986" s="178"/>
      <c r="P986" s="178"/>
      <c r="S986" s="458"/>
      <c r="AN986" s="458"/>
      <c r="BA986" s="1305"/>
    </row>
    <row r="987" spans="2:53" ht="15.75" customHeight="1">
      <c r="B987" s="175"/>
      <c r="H987" s="178"/>
      <c r="I987" s="178"/>
      <c r="J987" s="184"/>
      <c r="N987" s="178"/>
      <c r="O987" s="178"/>
      <c r="P987" s="178"/>
      <c r="S987" s="458"/>
      <c r="AN987" s="458"/>
      <c r="BA987" s="1305"/>
    </row>
    <row r="988" spans="2:53" ht="15.75" customHeight="1">
      <c r="B988" s="175"/>
      <c r="H988" s="178"/>
      <c r="I988" s="178"/>
      <c r="J988" s="184"/>
      <c r="N988" s="178"/>
      <c r="O988" s="178"/>
      <c r="P988" s="178"/>
      <c r="S988" s="458"/>
      <c r="AN988" s="458"/>
      <c r="BA988" s="1305"/>
    </row>
    <row r="989" spans="2:53" ht="15.75" customHeight="1">
      <c r="B989" s="175"/>
      <c r="H989" s="178"/>
      <c r="I989" s="178"/>
      <c r="J989" s="184"/>
      <c r="N989" s="178"/>
      <c r="O989" s="178"/>
      <c r="P989" s="178"/>
      <c r="S989" s="458"/>
      <c r="AN989" s="458"/>
      <c r="BA989" s="1305"/>
    </row>
    <row r="990" spans="2:53" ht="15.75" customHeight="1">
      <c r="B990" s="175"/>
      <c r="H990" s="178"/>
      <c r="I990" s="178"/>
      <c r="J990" s="184"/>
      <c r="N990" s="178"/>
      <c r="O990" s="178"/>
      <c r="P990" s="178"/>
      <c r="S990" s="458"/>
      <c r="AN990" s="458"/>
      <c r="BA990" s="1305"/>
    </row>
    <row r="991" spans="2:53" ht="15.75" customHeight="1">
      <c r="B991" s="175"/>
      <c r="H991" s="178"/>
      <c r="I991" s="178"/>
      <c r="J991" s="184"/>
      <c r="N991" s="178"/>
      <c r="O991" s="178"/>
      <c r="P991" s="178"/>
      <c r="S991" s="458"/>
      <c r="AN991" s="458"/>
      <c r="BA991" s="1305"/>
    </row>
    <row r="992" spans="2:53" ht="15.75" customHeight="1">
      <c r="B992" s="175"/>
      <c r="H992" s="178"/>
      <c r="I992" s="178"/>
      <c r="J992" s="184"/>
      <c r="N992" s="178"/>
      <c r="O992" s="178"/>
      <c r="P992" s="178"/>
      <c r="S992" s="458"/>
      <c r="AN992" s="458"/>
      <c r="BA992" s="1305"/>
    </row>
    <row r="993" spans="2:53" ht="15.75" customHeight="1">
      <c r="B993" s="175"/>
      <c r="H993" s="178"/>
      <c r="I993" s="178"/>
      <c r="J993" s="184"/>
      <c r="N993" s="178"/>
      <c r="O993" s="178"/>
      <c r="P993" s="178"/>
      <c r="S993" s="458"/>
      <c r="AN993" s="458"/>
      <c r="BA993" s="1305"/>
    </row>
    <row r="994" spans="2:53" ht="15.75" customHeight="1">
      <c r="B994" s="175"/>
      <c r="H994" s="178"/>
      <c r="I994" s="178"/>
      <c r="J994" s="184"/>
      <c r="N994" s="178"/>
      <c r="O994" s="178"/>
      <c r="P994" s="178"/>
      <c r="S994" s="458"/>
      <c r="AN994" s="458"/>
      <c r="BA994" s="1305"/>
    </row>
    <row r="995" spans="2:53" ht="15.75" customHeight="1">
      <c r="B995" s="175"/>
      <c r="H995" s="178"/>
      <c r="I995" s="179"/>
      <c r="J995" s="184"/>
      <c r="N995" s="178"/>
      <c r="O995" s="178"/>
      <c r="P995" s="178"/>
      <c r="S995" s="458"/>
      <c r="AN995" s="458"/>
      <c r="BA995" s="1305"/>
    </row>
    <row r="996" spans="2:53" ht="15.75" customHeight="1">
      <c r="B996" s="175"/>
      <c r="H996" s="178"/>
      <c r="I996" s="178"/>
      <c r="J996" s="184"/>
      <c r="N996" s="178"/>
      <c r="O996" s="178"/>
      <c r="P996" s="178"/>
      <c r="S996" s="458"/>
      <c r="AN996" s="458"/>
      <c r="BA996" s="1305"/>
    </row>
    <row r="997" spans="2:53" ht="15.75" customHeight="1">
      <c r="B997" s="175"/>
      <c r="H997" s="178"/>
      <c r="I997" s="179"/>
      <c r="J997" s="184"/>
      <c r="N997" s="178"/>
      <c r="O997" s="178"/>
      <c r="P997" s="178"/>
      <c r="S997" s="458"/>
      <c r="AN997" s="458"/>
      <c r="BA997" s="1305"/>
    </row>
    <row r="998" spans="2:53" ht="15.75" customHeight="1">
      <c r="B998" s="175"/>
      <c r="H998" s="178"/>
      <c r="I998" s="178"/>
      <c r="J998" s="184"/>
      <c r="N998" s="178"/>
      <c r="O998" s="178"/>
      <c r="P998" s="178"/>
      <c r="S998" s="458"/>
      <c r="AN998" s="458"/>
      <c r="BA998" s="1305"/>
    </row>
    <row r="999" spans="2:53" ht="15.75" customHeight="1">
      <c r="B999" s="175"/>
      <c r="H999" s="178"/>
      <c r="I999" s="178"/>
      <c r="J999" s="184"/>
      <c r="N999" s="178"/>
      <c r="O999" s="178"/>
      <c r="P999" s="178"/>
      <c r="S999" s="458"/>
      <c r="AN999" s="458"/>
      <c r="BA999" s="1305"/>
    </row>
    <row r="1000" spans="2:53" ht="15.75" customHeight="1">
      <c r="B1000" s="175"/>
      <c r="H1000" s="178"/>
      <c r="I1000" s="178"/>
      <c r="J1000" s="184"/>
      <c r="N1000" s="178"/>
      <c r="O1000" s="178"/>
      <c r="P1000" s="178"/>
      <c r="S1000" s="458"/>
      <c r="AN1000" s="458"/>
      <c r="BA1000" s="1305"/>
    </row>
    <row r="1001" spans="2:53" ht="15.75" customHeight="1">
      <c r="B1001" s="175"/>
      <c r="H1001" s="178"/>
      <c r="I1001" s="178"/>
      <c r="J1001" s="184"/>
      <c r="N1001" s="178"/>
      <c r="O1001" s="178"/>
      <c r="P1001" s="178"/>
      <c r="S1001" s="458"/>
      <c r="AN1001" s="458"/>
      <c r="BA1001" s="1305"/>
    </row>
    <row r="1002" spans="2:53" ht="15.75" customHeight="1">
      <c r="B1002" s="175"/>
      <c r="H1002" s="178"/>
      <c r="I1002" s="178"/>
      <c r="J1002" s="184"/>
      <c r="N1002" s="178"/>
      <c r="O1002" s="178"/>
      <c r="P1002" s="178"/>
      <c r="S1002" s="458"/>
      <c r="AN1002" s="458"/>
      <c r="BA1002" s="1305"/>
    </row>
    <row r="1003" spans="2:53" ht="15.75" customHeight="1">
      <c r="B1003" s="175"/>
      <c r="H1003" s="178"/>
      <c r="I1003" s="178"/>
      <c r="J1003" s="184"/>
      <c r="N1003" s="178"/>
      <c r="O1003" s="178"/>
      <c r="P1003" s="178"/>
      <c r="S1003" s="458"/>
      <c r="AN1003" s="458"/>
      <c r="BA1003" s="1305"/>
    </row>
    <row r="1004" spans="2:53" ht="15.75" customHeight="1">
      <c r="B1004" s="175"/>
      <c r="H1004" s="178"/>
      <c r="I1004" s="178"/>
      <c r="J1004" s="184"/>
      <c r="N1004" s="178"/>
      <c r="O1004" s="178"/>
      <c r="P1004" s="178"/>
      <c r="S1004" s="458"/>
      <c r="AN1004" s="458"/>
      <c r="BA1004" s="1305"/>
    </row>
    <row r="1005" spans="2:53" ht="15.75" customHeight="1">
      <c r="B1005" s="175"/>
      <c r="H1005" s="178"/>
      <c r="I1005" s="178"/>
      <c r="J1005" s="184"/>
      <c r="N1005" s="178"/>
      <c r="O1005" s="178"/>
      <c r="P1005" s="178"/>
      <c r="S1005" s="458"/>
      <c r="AN1005" s="458"/>
      <c r="BA1005" s="1305"/>
    </row>
    <row r="1006" spans="2:53" ht="15.75" customHeight="1">
      <c r="B1006" s="175"/>
      <c r="H1006" s="178"/>
      <c r="I1006" s="178"/>
      <c r="J1006" s="184"/>
      <c r="N1006" s="178"/>
      <c r="O1006" s="178"/>
      <c r="P1006" s="178"/>
      <c r="S1006" s="458"/>
      <c r="AN1006" s="458"/>
      <c r="BA1006" s="1305"/>
    </row>
    <row r="1007" spans="2:53" ht="15.75" customHeight="1">
      <c r="B1007" s="175"/>
      <c r="H1007" s="178"/>
      <c r="I1007" s="178"/>
      <c r="J1007" s="184"/>
      <c r="N1007" s="178"/>
      <c r="O1007" s="178"/>
      <c r="P1007" s="178"/>
      <c r="S1007" s="458"/>
      <c r="AN1007" s="458"/>
      <c r="BA1007" s="1305"/>
    </row>
    <row r="1008" spans="2:53" ht="15.75" customHeight="1">
      <c r="B1008" s="175"/>
      <c r="H1008" s="178"/>
      <c r="I1008" s="178"/>
      <c r="J1008" s="184"/>
      <c r="N1008" s="178"/>
      <c r="O1008" s="178"/>
      <c r="P1008" s="178"/>
      <c r="S1008" s="458"/>
      <c r="AN1008" s="458"/>
      <c r="BA1008" s="1305"/>
    </row>
    <row r="1009" spans="2:53" ht="15.75" customHeight="1">
      <c r="B1009" s="175"/>
      <c r="H1009" s="178"/>
      <c r="I1009" s="178"/>
      <c r="J1009" s="184"/>
      <c r="N1009" s="178"/>
      <c r="O1009" s="178"/>
      <c r="P1009" s="178"/>
      <c r="S1009" s="458"/>
      <c r="AN1009" s="458"/>
      <c r="BA1009" s="1305"/>
    </row>
    <row r="1010" spans="2:53" ht="15.75" customHeight="1">
      <c r="B1010" s="175"/>
      <c r="H1010" s="178"/>
      <c r="I1010" s="178"/>
      <c r="J1010" s="184"/>
      <c r="N1010" s="178"/>
      <c r="O1010" s="178"/>
      <c r="P1010" s="178"/>
      <c r="S1010" s="458"/>
      <c r="AN1010" s="458"/>
      <c r="BA1010" s="1305"/>
    </row>
    <row r="1011" spans="2:53" ht="15.75" customHeight="1">
      <c r="B1011" s="175"/>
      <c r="H1011" s="178"/>
      <c r="I1011" s="178"/>
      <c r="J1011" s="184"/>
      <c r="N1011" s="178"/>
      <c r="O1011" s="178"/>
      <c r="P1011" s="178"/>
      <c r="S1011" s="458"/>
      <c r="AN1011" s="458"/>
      <c r="BA1011" s="1305"/>
    </row>
    <row r="1012" spans="2:53" ht="15.75" customHeight="1">
      <c r="B1012" s="175"/>
      <c r="H1012" s="178"/>
      <c r="I1012" s="178"/>
      <c r="J1012" s="184"/>
      <c r="N1012" s="178"/>
      <c r="O1012" s="178"/>
      <c r="P1012" s="178"/>
      <c r="S1012" s="458"/>
      <c r="AN1012" s="458"/>
      <c r="BA1012" s="1305"/>
    </row>
    <row r="1013" spans="2:53" ht="15.75" customHeight="1">
      <c r="B1013" s="175"/>
      <c r="H1013" s="178"/>
      <c r="I1013" s="178"/>
      <c r="J1013" s="184"/>
      <c r="N1013" s="178"/>
      <c r="O1013" s="178"/>
      <c r="P1013" s="178"/>
      <c r="S1013" s="458"/>
      <c r="AN1013" s="458"/>
      <c r="BA1013" s="1305"/>
    </row>
    <row r="1014" spans="2:53" ht="15.75" customHeight="1">
      <c r="B1014" s="175"/>
      <c r="H1014" s="178"/>
      <c r="I1014" s="178"/>
      <c r="J1014" s="184"/>
      <c r="N1014" s="178"/>
      <c r="O1014" s="178"/>
      <c r="P1014" s="178"/>
      <c r="S1014" s="458"/>
      <c r="AN1014" s="458"/>
      <c r="BA1014" s="1305"/>
    </row>
    <row r="1015" spans="2:53" ht="15.75" customHeight="1">
      <c r="B1015" s="175"/>
      <c r="H1015" s="178"/>
      <c r="I1015" s="178"/>
      <c r="J1015" s="184"/>
      <c r="N1015" s="178"/>
      <c r="O1015" s="178"/>
      <c r="P1015" s="178"/>
      <c r="S1015" s="458"/>
      <c r="AN1015" s="458"/>
      <c r="BA1015" s="1305"/>
    </row>
    <row r="1016" spans="2:53" ht="15.75" customHeight="1">
      <c r="B1016" s="175"/>
      <c r="H1016" s="178"/>
      <c r="I1016" s="178"/>
      <c r="J1016" s="184"/>
      <c r="N1016" s="178"/>
      <c r="O1016" s="178"/>
      <c r="P1016" s="178"/>
      <c r="S1016" s="458"/>
      <c r="AN1016" s="458"/>
      <c r="BA1016" s="1305"/>
    </row>
    <row r="1017" spans="2:53" ht="15.75" customHeight="1">
      <c r="B1017" s="175"/>
      <c r="H1017" s="178"/>
      <c r="I1017" s="178"/>
      <c r="J1017" s="184"/>
      <c r="N1017" s="178"/>
      <c r="O1017" s="178"/>
      <c r="P1017" s="178"/>
      <c r="S1017" s="458"/>
      <c r="AN1017" s="458"/>
      <c r="BA1017" s="1305"/>
    </row>
    <row r="1018" spans="2:53" ht="15.75" customHeight="1">
      <c r="B1018" s="175"/>
      <c r="H1018" s="178"/>
      <c r="I1018" s="178"/>
      <c r="J1018" s="184"/>
      <c r="N1018" s="178"/>
      <c r="O1018" s="178"/>
      <c r="P1018" s="178"/>
      <c r="S1018" s="458"/>
      <c r="AN1018" s="458"/>
      <c r="BA1018" s="1305"/>
    </row>
    <row r="1019" spans="2:53" ht="15.75" customHeight="1">
      <c r="B1019" s="175"/>
      <c r="H1019" s="178"/>
      <c r="I1019" s="178"/>
      <c r="J1019" s="184"/>
      <c r="N1019" s="178"/>
      <c r="O1019" s="178"/>
      <c r="P1019" s="178"/>
      <c r="S1019" s="458"/>
      <c r="AN1019" s="458"/>
      <c r="BA1019" s="1305"/>
    </row>
    <row r="1020" spans="2:53" ht="15.75" customHeight="1">
      <c r="B1020" s="175"/>
      <c r="H1020" s="178"/>
      <c r="I1020" s="178"/>
      <c r="J1020" s="184"/>
      <c r="N1020" s="178"/>
      <c r="O1020" s="178"/>
      <c r="P1020" s="178"/>
      <c r="S1020" s="458"/>
      <c r="AN1020" s="458"/>
      <c r="BA1020" s="1305"/>
    </row>
    <row r="1021" spans="2:53" ht="15.75" customHeight="1">
      <c r="B1021" s="175"/>
      <c r="H1021" s="178"/>
      <c r="I1021" s="178"/>
      <c r="J1021" s="184"/>
      <c r="N1021" s="178"/>
      <c r="O1021" s="178"/>
      <c r="P1021" s="178"/>
      <c r="S1021" s="458"/>
      <c r="AN1021" s="458"/>
      <c r="BA1021" s="1305"/>
    </row>
    <row r="1022" spans="2:53" ht="15.75" customHeight="1">
      <c r="B1022" s="175"/>
      <c r="H1022" s="178"/>
      <c r="I1022" s="178"/>
      <c r="J1022" s="184"/>
      <c r="N1022" s="178"/>
      <c r="O1022" s="178"/>
      <c r="P1022" s="178"/>
      <c r="S1022" s="458"/>
      <c r="AN1022" s="458"/>
      <c r="BA1022" s="1305"/>
    </row>
    <row r="1023" spans="2:53" ht="15.75" customHeight="1">
      <c r="B1023" s="175"/>
      <c r="H1023" s="178"/>
      <c r="I1023" s="178"/>
      <c r="J1023" s="184"/>
      <c r="N1023" s="178"/>
      <c r="O1023" s="178"/>
      <c r="P1023" s="178"/>
      <c r="S1023" s="458"/>
      <c r="AN1023" s="458"/>
      <c r="BA1023" s="1305"/>
    </row>
    <row r="1024" spans="2:53" ht="15.75" customHeight="1">
      <c r="B1024" s="175"/>
      <c r="H1024" s="178"/>
      <c r="I1024" s="178"/>
      <c r="J1024" s="184"/>
      <c r="N1024" s="178"/>
      <c r="O1024" s="178"/>
      <c r="P1024" s="178"/>
      <c r="S1024" s="458"/>
      <c r="AN1024" s="458"/>
      <c r="BA1024" s="1305"/>
    </row>
    <row r="1025" spans="2:53" ht="15.75" customHeight="1">
      <c r="B1025" s="175"/>
      <c r="H1025" s="178"/>
      <c r="I1025" s="178"/>
      <c r="J1025" s="184"/>
      <c r="N1025" s="178"/>
      <c r="O1025" s="178"/>
      <c r="P1025" s="178"/>
      <c r="S1025" s="458"/>
      <c r="AN1025" s="458"/>
      <c r="BA1025" s="1305"/>
    </row>
    <row r="1026" spans="2:53" ht="15.75" customHeight="1">
      <c r="B1026" s="175"/>
      <c r="H1026" s="178"/>
      <c r="I1026" s="178"/>
      <c r="J1026" s="184"/>
      <c r="N1026" s="178"/>
      <c r="O1026" s="178"/>
      <c r="P1026" s="178"/>
      <c r="S1026" s="458"/>
      <c r="AN1026" s="458"/>
      <c r="BA1026" s="1305"/>
    </row>
    <row r="1027" spans="2:53" ht="15.75" customHeight="1">
      <c r="B1027" s="175"/>
      <c r="H1027" s="178"/>
      <c r="I1027" s="178"/>
      <c r="J1027" s="184"/>
      <c r="N1027" s="178"/>
      <c r="O1027" s="178"/>
      <c r="P1027" s="178"/>
      <c r="S1027" s="458"/>
      <c r="AN1027" s="458"/>
      <c r="BA1027" s="1305"/>
    </row>
    <row r="1028" spans="2:53" ht="15.75" customHeight="1">
      <c r="B1028" s="175"/>
      <c r="H1028" s="178"/>
      <c r="I1028" s="178"/>
      <c r="J1028" s="184"/>
      <c r="N1028" s="178"/>
      <c r="O1028" s="178"/>
      <c r="P1028" s="178"/>
      <c r="S1028" s="458"/>
      <c r="AN1028" s="458"/>
      <c r="BA1028" s="1305"/>
    </row>
    <row r="1029" spans="2:53" ht="15.75" customHeight="1">
      <c r="B1029" s="175"/>
      <c r="H1029" s="178"/>
      <c r="I1029" s="178"/>
      <c r="J1029" s="184"/>
      <c r="N1029" s="178"/>
      <c r="O1029" s="178"/>
      <c r="P1029" s="178"/>
      <c r="S1029" s="458"/>
      <c r="AN1029" s="458"/>
      <c r="BA1029" s="1305"/>
    </row>
    <row r="1030" spans="2:53" ht="15.75" customHeight="1">
      <c r="B1030" s="175"/>
      <c r="H1030" s="178"/>
      <c r="I1030" s="178"/>
      <c r="J1030" s="184"/>
      <c r="N1030" s="178"/>
      <c r="O1030" s="178"/>
      <c r="P1030" s="178"/>
      <c r="S1030" s="458"/>
      <c r="AN1030" s="458"/>
      <c r="BA1030" s="1305"/>
    </row>
    <row r="1031" spans="2:53" ht="15.75" customHeight="1">
      <c r="B1031" s="175"/>
      <c r="H1031" s="178"/>
      <c r="I1031" s="178"/>
      <c r="J1031" s="184"/>
      <c r="N1031" s="178"/>
      <c r="O1031" s="178"/>
      <c r="P1031" s="178"/>
      <c r="S1031" s="458"/>
      <c r="AN1031" s="458"/>
      <c r="BA1031" s="1305"/>
    </row>
    <row r="1032" spans="2:53" ht="15.75" customHeight="1">
      <c r="B1032" s="175"/>
      <c r="H1032" s="178"/>
      <c r="I1032" s="178"/>
      <c r="J1032" s="184"/>
      <c r="N1032" s="178"/>
      <c r="O1032" s="178"/>
      <c r="P1032" s="178"/>
      <c r="S1032" s="458"/>
      <c r="AN1032" s="458"/>
      <c r="BA1032" s="1305"/>
    </row>
    <row r="1033" spans="2:53" ht="15.75" customHeight="1">
      <c r="B1033" s="175"/>
      <c r="H1033" s="178"/>
      <c r="I1033" s="178"/>
      <c r="J1033" s="184"/>
      <c r="N1033" s="178"/>
      <c r="O1033" s="178"/>
      <c r="P1033" s="178"/>
      <c r="S1033" s="458"/>
      <c r="AN1033" s="458"/>
      <c r="BA1033" s="1305"/>
    </row>
    <row r="1034" spans="2:53" ht="15.75" customHeight="1">
      <c r="B1034" s="175"/>
      <c r="H1034" s="178"/>
      <c r="I1034" s="178"/>
      <c r="J1034" s="184"/>
      <c r="N1034" s="178"/>
      <c r="O1034" s="178"/>
      <c r="P1034" s="178"/>
      <c r="S1034" s="458"/>
      <c r="AN1034" s="458"/>
      <c r="BA1034" s="1305"/>
    </row>
    <row r="1035" spans="2:53" ht="15.75" customHeight="1">
      <c r="B1035" s="175"/>
      <c r="H1035" s="178"/>
      <c r="I1035" s="179"/>
      <c r="J1035" s="184"/>
      <c r="N1035" s="178"/>
      <c r="O1035" s="178"/>
      <c r="P1035" s="178"/>
      <c r="S1035" s="458"/>
      <c r="AN1035" s="458"/>
      <c r="BA1035" s="1305"/>
    </row>
    <row r="1036" spans="2:53" ht="15.75" customHeight="1">
      <c r="B1036" s="175"/>
      <c r="H1036" s="178"/>
      <c r="I1036" s="178"/>
      <c r="J1036" s="184"/>
      <c r="N1036" s="178"/>
      <c r="O1036" s="178"/>
      <c r="P1036" s="178"/>
      <c r="S1036" s="458"/>
      <c r="AN1036" s="458"/>
      <c r="BA1036" s="1305"/>
    </row>
    <row r="1037" spans="2:53" ht="15.75" customHeight="1">
      <c r="B1037" s="175"/>
      <c r="H1037" s="178"/>
      <c r="I1037" s="179"/>
      <c r="J1037" s="184"/>
      <c r="N1037" s="178"/>
      <c r="O1037" s="178"/>
      <c r="P1037" s="178"/>
      <c r="S1037" s="458"/>
      <c r="AN1037" s="458"/>
      <c r="BA1037" s="1305"/>
    </row>
    <row r="1038" spans="2:53" ht="15.75" customHeight="1">
      <c r="B1038" s="175"/>
      <c r="H1038" s="178"/>
      <c r="I1038" s="178"/>
      <c r="J1038" s="184"/>
      <c r="N1038" s="178"/>
      <c r="O1038" s="178"/>
      <c r="P1038" s="178"/>
      <c r="S1038" s="458"/>
      <c r="AN1038" s="458"/>
      <c r="BA1038" s="1305"/>
    </row>
    <row r="1039" spans="2:53" ht="15.75" customHeight="1">
      <c r="B1039" s="175"/>
      <c r="H1039" s="178"/>
      <c r="I1039" s="178"/>
      <c r="J1039" s="184"/>
      <c r="N1039" s="178"/>
      <c r="O1039" s="178"/>
      <c r="P1039" s="178"/>
      <c r="S1039" s="458"/>
      <c r="AN1039" s="458"/>
      <c r="BA1039" s="1305"/>
    </row>
    <row r="1040" spans="2:53" ht="15.75" customHeight="1">
      <c r="B1040" s="175"/>
      <c r="H1040" s="178"/>
      <c r="I1040" s="178"/>
      <c r="J1040" s="184"/>
      <c r="N1040" s="178"/>
      <c r="O1040" s="178"/>
      <c r="P1040" s="178"/>
      <c r="S1040" s="458"/>
      <c r="AN1040" s="458"/>
      <c r="BA1040" s="1305"/>
    </row>
    <row r="1041" spans="2:53" ht="15.75" customHeight="1">
      <c r="B1041" s="175"/>
      <c r="H1041" s="178"/>
      <c r="I1041" s="178"/>
      <c r="J1041" s="184"/>
      <c r="N1041" s="178"/>
      <c r="O1041" s="178"/>
      <c r="P1041" s="178"/>
      <c r="S1041" s="458"/>
      <c r="AN1041" s="458"/>
      <c r="BA1041" s="1305"/>
    </row>
    <row r="1042" spans="2:53" ht="15.75" customHeight="1">
      <c r="B1042" s="175"/>
      <c r="H1042" s="178"/>
      <c r="I1042" s="178"/>
      <c r="J1042" s="184"/>
      <c r="N1042" s="178"/>
      <c r="O1042" s="178"/>
      <c r="P1042" s="178"/>
      <c r="S1042" s="458"/>
      <c r="AN1042" s="458"/>
      <c r="BA1042" s="1305"/>
    </row>
    <row r="1043" spans="2:53" ht="15.75" customHeight="1">
      <c r="B1043" s="175"/>
      <c r="H1043" s="178"/>
      <c r="I1043" s="178"/>
      <c r="J1043" s="184"/>
      <c r="N1043" s="178"/>
      <c r="O1043" s="178"/>
      <c r="P1043" s="178"/>
      <c r="S1043" s="458"/>
      <c r="AN1043" s="458"/>
      <c r="BA1043" s="1305"/>
    </row>
    <row r="1044" spans="2:53" ht="15.75" customHeight="1">
      <c r="B1044" s="175"/>
      <c r="H1044" s="178"/>
      <c r="I1044" s="178"/>
      <c r="J1044" s="184"/>
      <c r="N1044" s="178"/>
      <c r="O1044" s="178"/>
      <c r="P1044" s="178"/>
      <c r="S1044" s="458"/>
      <c r="AN1044" s="458"/>
      <c r="BA1044" s="1305"/>
    </row>
    <row r="1045" spans="2:53" ht="15.75" customHeight="1">
      <c r="B1045" s="175"/>
      <c r="H1045" s="178"/>
      <c r="I1045" s="178"/>
      <c r="J1045" s="184"/>
      <c r="N1045" s="178"/>
      <c r="O1045" s="178"/>
      <c r="P1045" s="178"/>
      <c r="S1045" s="458"/>
      <c r="AN1045" s="458"/>
      <c r="BA1045" s="1305"/>
    </row>
    <row r="1046" spans="2:53" ht="15.75" customHeight="1">
      <c r="B1046" s="175"/>
      <c r="H1046" s="178"/>
      <c r="I1046" s="178"/>
      <c r="J1046" s="184"/>
      <c r="N1046" s="178"/>
      <c r="O1046" s="178"/>
      <c r="P1046" s="178"/>
      <c r="S1046" s="458"/>
      <c r="AN1046" s="458"/>
      <c r="BA1046" s="1305"/>
    </row>
    <row r="1047" spans="2:53" ht="15.75" customHeight="1">
      <c r="B1047" s="175"/>
      <c r="H1047" s="178"/>
      <c r="I1047" s="178"/>
      <c r="J1047" s="184"/>
      <c r="N1047" s="178"/>
      <c r="O1047" s="178"/>
      <c r="P1047" s="178"/>
      <c r="S1047" s="458"/>
      <c r="AN1047" s="458"/>
      <c r="BA1047" s="1305"/>
    </row>
    <row r="1048" spans="2:53" ht="15.75" customHeight="1">
      <c r="B1048" s="175"/>
      <c r="H1048" s="178"/>
      <c r="I1048" s="178"/>
      <c r="J1048" s="184"/>
      <c r="N1048" s="178"/>
      <c r="O1048" s="178"/>
      <c r="P1048" s="178"/>
      <c r="S1048" s="458"/>
      <c r="AN1048" s="458"/>
      <c r="BA1048" s="1305"/>
    </row>
    <row r="1049" spans="2:53" ht="15.75" customHeight="1">
      <c r="B1049" s="175"/>
      <c r="H1049" s="178"/>
      <c r="I1049" s="178"/>
      <c r="J1049" s="184"/>
      <c r="N1049" s="178"/>
      <c r="O1049" s="178"/>
      <c r="P1049" s="178"/>
      <c r="S1049" s="458"/>
      <c r="AN1049" s="458"/>
      <c r="BA1049" s="1305"/>
    </row>
    <row r="1050" spans="2:53" ht="15.75" customHeight="1">
      <c r="B1050" s="175"/>
      <c r="H1050" s="178"/>
      <c r="I1050" s="178"/>
      <c r="J1050" s="184"/>
      <c r="N1050" s="178"/>
      <c r="O1050" s="178"/>
      <c r="P1050" s="178"/>
      <c r="S1050" s="458"/>
      <c r="AN1050" s="458"/>
      <c r="BA1050" s="1305"/>
    </row>
    <row r="1051" spans="2:53" ht="15.75" customHeight="1">
      <c r="B1051" s="175"/>
      <c r="H1051" s="178"/>
      <c r="I1051" s="179"/>
      <c r="J1051" s="184"/>
      <c r="N1051" s="178"/>
      <c r="O1051" s="178"/>
      <c r="P1051" s="178"/>
      <c r="S1051" s="458"/>
      <c r="AN1051" s="458"/>
      <c r="BA1051" s="1305"/>
    </row>
    <row r="1052" spans="2:53" ht="15.75" customHeight="1">
      <c r="B1052" s="175"/>
      <c r="H1052" s="178"/>
      <c r="I1052" s="178"/>
      <c r="J1052" s="184"/>
      <c r="N1052" s="178"/>
      <c r="O1052" s="178"/>
      <c r="P1052" s="178"/>
      <c r="S1052" s="458"/>
      <c r="AN1052" s="458"/>
      <c r="BA1052" s="1305"/>
    </row>
    <row r="1053" spans="2:53" ht="15.75" customHeight="1">
      <c r="B1053" s="175"/>
      <c r="H1053" s="178"/>
      <c r="I1053" s="178"/>
      <c r="J1053" s="184"/>
      <c r="N1053" s="178"/>
      <c r="O1053" s="178"/>
      <c r="P1053" s="178"/>
      <c r="S1053" s="458"/>
      <c r="AN1053" s="458"/>
      <c r="BA1053" s="1305"/>
    </row>
    <row r="1054" spans="2:53" ht="15.75" customHeight="1">
      <c r="B1054" s="175"/>
      <c r="H1054" s="178"/>
      <c r="I1054" s="178"/>
      <c r="J1054" s="184"/>
      <c r="N1054" s="178"/>
      <c r="O1054" s="178"/>
      <c r="P1054" s="178"/>
      <c r="S1054" s="458"/>
      <c r="AN1054" s="458"/>
      <c r="BA1054" s="1305"/>
    </row>
    <row r="1055" spans="2:53" ht="15.75" customHeight="1">
      <c r="B1055" s="175"/>
      <c r="H1055" s="178"/>
      <c r="I1055" s="178"/>
      <c r="J1055" s="184"/>
      <c r="N1055" s="178"/>
      <c r="O1055" s="178"/>
      <c r="P1055" s="178"/>
      <c r="S1055" s="458"/>
      <c r="AN1055" s="458"/>
      <c r="BA1055" s="1305"/>
    </row>
    <row r="1056" spans="2:53" ht="15.75" customHeight="1">
      <c r="B1056" s="175"/>
      <c r="H1056" s="178"/>
      <c r="I1056" s="178"/>
      <c r="J1056" s="184"/>
      <c r="N1056" s="178"/>
      <c r="O1056" s="178"/>
      <c r="P1056" s="178"/>
      <c r="S1056" s="458"/>
      <c r="AN1056" s="458"/>
      <c r="BA1056" s="1305"/>
    </row>
    <row r="1057" spans="2:53" ht="15.75" customHeight="1">
      <c r="B1057" s="175"/>
      <c r="H1057" s="178"/>
      <c r="I1057" s="178"/>
      <c r="J1057" s="184"/>
      <c r="N1057" s="178"/>
      <c r="O1057" s="178"/>
      <c r="P1057" s="178"/>
      <c r="S1057" s="458"/>
      <c r="AN1057" s="458"/>
      <c r="BA1057" s="1305"/>
    </row>
    <row r="1058" spans="2:53" ht="15.75" customHeight="1">
      <c r="B1058" s="175"/>
      <c r="H1058" s="178"/>
      <c r="I1058" s="178"/>
      <c r="J1058" s="184"/>
      <c r="N1058" s="178"/>
      <c r="O1058" s="178"/>
      <c r="P1058" s="178"/>
      <c r="S1058" s="458"/>
      <c r="AN1058" s="458"/>
      <c r="BA1058" s="1305"/>
    </row>
    <row r="1059" spans="2:53" ht="15.75" customHeight="1">
      <c r="B1059" s="175"/>
      <c r="H1059" s="178"/>
      <c r="I1059" s="178"/>
      <c r="J1059" s="184"/>
      <c r="N1059" s="178"/>
      <c r="O1059" s="178"/>
      <c r="P1059" s="178"/>
      <c r="S1059" s="458"/>
      <c r="AN1059" s="458"/>
      <c r="BA1059" s="1305"/>
    </row>
    <row r="1060" spans="2:53" ht="15.75" customHeight="1">
      <c r="B1060" s="175"/>
      <c r="H1060" s="178"/>
      <c r="I1060" s="178"/>
      <c r="J1060" s="184"/>
      <c r="N1060" s="178"/>
      <c r="O1060" s="178"/>
      <c r="P1060" s="178"/>
      <c r="S1060" s="458"/>
      <c r="AN1060" s="458"/>
      <c r="BA1060" s="1305"/>
    </row>
    <row r="1061" spans="2:53" ht="15.75" customHeight="1">
      <c r="B1061" s="175"/>
      <c r="H1061" s="178"/>
      <c r="I1061" s="178"/>
      <c r="J1061" s="184"/>
      <c r="N1061" s="178"/>
      <c r="O1061" s="178"/>
      <c r="P1061" s="178"/>
      <c r="S1061" s="458"/>
      <c r="AN1061" s="458"/>
      <c r="BA1061" s="1305"/>
    </row>
    <row r="1062" spans="2:53" ht="15.75" customHeight="1">
      <c r="B1062" s="175"/>
      <c r="H1062" s="178"/>
      <c r="I1062" s="178"/>
      <c r="J1062" s="184"/>
      <c r="N1062" s="178"/>
      <c r="O1062" s="178"/>
      <c r="P1062" s="178"/>
      <c r="S1062" s="458"/>
      <c r="AN1062" s="458"/>
      <c r="BA1062" s="1305"/>
    </row>
    <row r="1063" spans="2:53" ht="15.75" customHeight="1">
      <c r="B1063" s="175"/>
      <c r="H1063" s="178"/>
      <c r="I1063" s="178"/>
      <c r="J1063" s="184"/>
      <c r="N1063" s="178"/>
      <c r="O1063" s="178"/>
      <c r="P1063" s="178"/>
      <c r="S1063" s="458"/>
      <c r="AN1063" s="458"/>
      <c r="BA1063" s="1305"/>
    </row>
    <row r="1064" spans="2:53" ht="15.75" customHeight="1">
      <c r="B1064" s="175"/>
      <c r="H1064" s="178"/>
      <c r="I1064" s="178"/>
      <c r="J1064" s="184"/>
      <c r="N1064" s="178"/>
      <c r="O1064" s="178"/>
      <c r="P1064" s="178"/>
      <c r="S1064" s="458"/>
      <c r="AN1064" s="458"/>
      <c r="BA1064" s="1305"/>
    </row>
    <row r="1065" spans="2:53" ht="15.75" customHeight="1">
      <c r="B1065" s="175"/>
      <c r="H1065" s="178"/>
      <c r="I1065" s="178"/>
      <c r="J1065" s="184"/>
      <c r="N1065" s="178"/>
      <c r="O1065" s="178"/>
      <c r="P1065" s="178"/>
      <c r="S1065" s="458"/>
      <c r="AN1065" s="458"/>
      <c r="BA1065" s="1305"/>
    </row>
    <row r="1066" spans="2:53" ht="15.75" customHeight="1">
      <c r="B1066" s="175"/>
      <c r="H1066" s="178"/>
      <c r="I1066" s="178"/>
      <c r="J1066" s="184"/>
      <c r="N1066" s="178"/>
      <c r="O1066" s="178"/>
      <c r="P1066" s="178"/>
      <c r="S1066" s="458"/>
      <c r="AN1066" s="458"/>
      <c r="BA1066" s="1305"/>
    </row>
    <row r="1067" spans="2:53" ht="15.75" customHeight="1">
      <c r="B1067" s="175"/>
      <c r="H1067" s="178"/>
      <c r="I1067" s="178"/>
      <c r="J1067" s="184"/>
      <c r="N1067" s="178"/>
      <c r="O1067" s="178"/>
      <c r="P1067" s="178"/>
      <c r="S1067" s="458"/>
      <c r="AN1067" s="458"/>
      <c r="BA1067" s="1305"/>
    </row>
    <row r="1068" spans="2:53" ht="15.75" customHeight="1">
      <c r="B1068" s="175"/>
      <c r="H1068" s="178"/>
      <c r="I1068" s="178"/>
      <c r="J1068" s="184"/>
      <c r="N1068" s="178"/>
      <c r="O1068" s="178"/>
      <c r="P1068" s="178"/>
      <c r="S1068" s="458"/>
      <c r="AN1068" s="458"/>
      <c r="BA1068" s="1305"/>
    </row>
    <row r="1069" spans="2:53" ht="15.75" customHeight="1">
      <c r="B1069" s="175"/>
      <c r="H1069" s="178"/>
      <c r="I1069" s="179"/>
      <c r="J1069" s="184"/>
      <c r="N1069" s="178"/>
      <c r="O1069" s="178"/>
      <c r="P1069" s="178"/>
      <c r="S1069" s="458"/>
      <c r="AN1069" s="458"/>
      <c r="BA1069" s="1305"/>
    </row>
    <row r="1070" spans="2:53" ht="15.75" customHeight="1">
      <c r="B1070" s="175"/>
      <c r="H1070" s="178"/>
      <c r="I1070" s="178"/>
      <c r="J1070" s="184"/>
      <c r="N1070" s="178"/>
      <c r="O1070" s="178"/>
      <c r="P1070" s="178"/>
      <c r="S1070" s="458"/>
      <c r="AN1070" s="458"/>
      <c r="BA1070" s="1305"/>
    </row>
    <row r="1071" spans="2:53" ht="15.75" customHeight="1">
      <c r="B1071" s="175"/>
      <c r="H1071" s="178"/>
      <c r="I1071" s="179"/>
      <c r="J1071" s="184"/>
      <c r="N1071" s="178"/>
      <c r="O1071" s="178"/>
      <c r="P1071" s="178"/>
      <c r="S1071" s="458"/>
      <c r="AN1071" s="458"/>
      <c r="BA1071" s="1305"/>
    </row>
    <row r="1072" spans="2:53" ht="15.75" customHeight="1">
      <c r="B1072" s="175"/>
      <c r="H1072" s="178"/>
      <c r="I1072" s="178"/>
      <c r="J1072" s="184"/>
      <c r="N1072" s="178"/>
      <c r="O1072" s="178"/>
      <c r="P1072" s="178"/>
      <c r="S1072" s="458"/>
      <c r="AN1072" s="458"/>
      <c r="BA1072" s="1305"/>
    </row>
    <row r="1073" spans="2:53" ht="15.75" customHeight="1">
      <c r="B1073" s="175"/>
      <c r="H1073" s="178"/>
      <c r="I1073" s="178"/>
      <c r="J1073" s="184"/>
      <c r="N1073" s="178"/>
      <c r="O1073" s="178"/>
      <c r="P1073" s="178"/>
      <c r="S1073" s="458"/>
      <c r="AN1073" s="458"/>
      <c r="BA1073" s="1305"/>
    </row>
    <row r="1074" spans="2:53" ht="15.75" customHeight="1">
      <c r="B1074" s="175"/>
      <c r="H1074" s="178"/>
      <c r="I1074" s="178"/>
      <c r="J1074" s="184"/>
      <c r="N1074" s="178"/>
      <c r="O1074" s="178"/>
      <c r="P1074" s="178"/>
      <c r="S1074" s="458"/>
      <c r="AN1074" s="458"/>
      <c r="BA1074" s="1305"/>
    </row>
    <row r="1075" spans="2:53" ht="15.75" customHeight="1">
      <c r="B1075" s="175"/>
      <c r="H1075" s="178"/>
      <c r="I1075" s="178"/>
      <c r="J1075" s="184"/>
      <c r="N1075" s="178"/>
      <c r="O1075" s="178"/>
      <c r="P1075" s="178"/>
      <c r="S1075" s="458"/>
      <c r="AN1075" s="458"/>
      <c r="BA1075" s="1305"/>
    </row>
    <row r="1076" spans="2:53" ht="15.75" customHeight="1">
      <c r="B1076" s="175"/>
      <c r="H1076" s="178"/>
      <c r="I1076" s="178"/>
      <c r="J1076" s="184"/>
      <c r="N1076" s="178"/>
      <c r="O1076" s="178"/>
      <c r="P1076" s="178"/>
      <c r="S1076" s="458"/>
      <c r="AN1076" s="458"/>
      <c r="BA1076" s="1305"/>
    </row>
    <row r="1077" spans="2:53" ht="15.75" customHeight="1">
      <c r="B1077" s="175"/>
      <c r="H1077" s="178"/>
      <c r="I1077" s="178"/>
      <c r="J1077" s="184"/>
      <c r="N1077" s="178"/>
      <c r="O1077" s="178"/>
      <c r="P1077" s="178"/>
      <c r="S1077" s="458"/>
      <c r="AN1077" s="458"/>
      <c r="BA1077" s="1305"/>
    </row>
    <row r="1078" spans="2:53" ht="15.75" customHeight="1">
      <c r="B1078" s="175"/>
      <c r="H1078" s="178"/>
      <c r="I1078" s="178"/>
      <c r="J1078" s="184"/>
      <c r="N1078" s="178"/>
      <c r="O1078" s="178"/>
      <c r="P1078" s="178"/>
      <c r="S1078" s="458"/>
      <c r="AN1078" s="458"/>
      <c r="BA1078" s="1305"/>
    </row>
    <row r="1079" spans="2:53" ht="15.75" customHeight="1">
      <c r="B1079" s="175"/>
      <c r="H1079" s="178"/>
      <c r="I1079" s="178"/>
      <c r="J1079" s="184"/>
      <c r="N1079" s="178"/>
      <c r="O1079" s="178"/>
      <c r="P1079" s="178"/>
      <c r="S1079" s="458"/>
      <c r="AN1079" s="458"/>
      <c r="BA1079" s="1305"/>
    </row>
    <row r="1080" spans="2:53" ht="15.75" customHeight="1">
      <c r="B1080" s="175"/>
      <c r="H1080" s="178"/>
      <c r="I1080" s="178"/>
      <c r="J1080" s="184"/>
      <c r="N1080" s="178"/>
      <c r="O1080" s="178"/>
      <c r="P1080" s="178"/>
      <c r="S1080" s="458"/>
      <c r="AN1080" s="458"/>
      <c r="BA1080" s="1305"/>
    </row>
    <row r="1081" spans="2:53" ht="15.75" customHeight="1">
      <c r="B1081" s="175"/>
      <c r="H1081" s="178"/>
      <c r="I1081" s="178"/>
      <c r="J1081" s="184"/>
      <c r="N1081" s="178"/>
      <c r="O1081" s="178"/>
      <c r="P1081" s="178"/>
      <c r="S1081" s="458"/>
      <c r="AN1081" s="458"/>
      <c r="BA1081" s="1305"/>
    </row>
    <row r="1082" spans="2:53" ht="15.75" customHeight="1">
      <c r="B1082" s="175"/>
      <c r="H1082" s="178"/>
      <c r="I1082" s="178"/>
      <c r="J1082" s="184"/>
      <c r="N1082" s="178"/>
      <c r="O1082" s="178"/>
      <c r="P1082" s="178"/>
      <c r="S1082" s="458"/>
      <c r="AN1082" s="458"/>
      <c r="BA1082" s="1305"/>
    </row>
    <row r="1083" spans="2:53" ht="15.75" customHeight="1">
      <c r="B1083" s="175"/>
      <c r="H1083" s="178"/>
      <c r="I1083" s="178"/>
      <c r="J1083" s="184"/>
      <c r="N1083" s="178"/>
      <c r="O1083" s="178"/>
      <c r="P1083" s="178"/>
      <c r="S1083" s="458"/>
      <c r="AN1083" s="458"/>
      <c r="BA1083" s="1305"/>
    </row>
    <row r="1084" spans="2:53" ht="15.75" customHeight="1">
      <c r="B1084" s="175"/>
      <c r="H1084" s="178"/>
      <c r="I1084" s="178"/>
      <c r="J1084" s="184"/>
      <c r="N1084" s="178"/>
      <c r="O1084" s="178"/>
      <c r="P1084" s="178"/>
      <c r="S1084" s="458"/>
      <c r="AN1084" s="458"/>
      <c r="BA1084" s="1305"/>
    </row>
    <row r="1085" spans="2:53" ht="15.75" customHeight="1">
      <c r="B1085" s="175"/>
      <c r="H1085" s="178"/>
      <c r="I1085" s="178"/>
      <c r="J1085" s="184"/>
      <c r="N1085" s="178"/>
      <c r="O1085" s="178"/>
      <c r="P1085" s="178"/>
      <c r="S1085" s="458"/>
      <c r="AN1085" s="458"/>
      <c r="BA1085" s="1305"/>
    </row>
    <row r="1086" spans="2:53" ht="15.75" customHeight="1">
      <c r="B1086" s="175"/>
      <c r="H1086" s="178"/>
      <c r="I1086" s="178"/>
      <c r="J1086" s="184"/>
      <c r="N1086" s="178"/>
      <c r="O1086" s="178"/>
      <c r="P1086" s="178"/>
      <c r="S1086" s="458"/>
      <c r="AN1086" s="458"/>
      <c r="BA1086" s="1305"/>
    </row>
    <row r="1087" spans="2:53" ht="15.75" customHeight="1">
      <c r="B1087" s="175"/>
      <c r="H1087" s="178"/>
      <c r="I1087" s="178"/>
      <c r="J1087" s="184"/>
      <c r="N1087" s="178"/>
      <c r="O1087" s="178"/>
      <c r="P1087" s="178"/>
      <c r="S1087" s="458"/>
      <c r="AN1087" s="458"/>
      <c r="BA1087" s="1305"/>
    </row>
    <row r="1088" spans="2:53" ht="15.75" customHeight="1">
      <c r="B1088" s="175"/>
      <c r="H1088" s="178"/>
      <c r="I1088" s="178"/>
      <c r="J1088" s="184"/>
      <c r="N1088" s="178"/>
      <c r="O1088" s="178"/>
      <c r="P1088" s="178"/>
      <c r="S1088" s="458"/>
      <c r="AN1088" s="458"/>
      <c r="BA1088" s="1305"/>
    </row>
    <row r="1089" spans="2:53" ht="15.75" customHeight="1">
      <c r="B1089" s="175"/>
      <c r="H1089" s="178"/>
      <c r="I1089" s="178"/>
      <c r="J1089" s="184"/>
      <c r="N1089" s="178"/>
      <c r="O1089" s="178"/>
      <c r="P1089" s="178"/>
      <c r="S1089" s="458"/>
      <c r="AN1089" s="458"/>
      <c r="BA1089" s="1305"/>
    </row>
    <row r="1090" spans="2:53" ht="15.75" customHeight="1">
      <c r="B1090" s="175"/>
      <c r="H1090" s="178"/>
      <c r="I1090" s="178"/>
      <c r="J1090" s="184"/>
      <c r="N1090" s="178"/>
      <c r="O1090" s="178"/>
      <c r="P1090" s="178"/>
      <c r="S1090" s="458"/>
      <c r="AN1090" s="458"/>
      <c r="BA1090" s="1305"/>
    </row>
    <row r="1091" spans="2:53" ht="15.75" customHeight="1">
      <c r="B1091" s="175"/>
      <c r="H1091" s="178"/>
      <c r="I1091" s="178"/>
      <c r="J1091" s="184"/>
      <c r="N1091" s="178"/>
      <c r="O1091" s="178"/>
      <c r="P1091" s="178"/>
      <c r="S1091" s="458"/>
      <c r="AN1091" s="458"/>
      <c r="BA1091" s="1305"/>
    </row>
    <row r="1092" spans="2:53" ht="15.75" customHeight="1">
      <c r="B1092" s="175"/>
      <c r="H1092" s="178"/>
      <c r="I1092" s="178"/>
      <c r="J1092" s="184"/>
      <c r="N1092" s="178"/>
      <c r="O1092" s="178"/>
      <c r="P1092" s="178"/>
      <c r="S1092" s="458"/>
      <c r="AN1092" s="458"/>
      <c r="BA1092" s="1305"/>
    </row>
    <row r="1093" spans="2:53" ht="15.75" customHeight="1">
      <c r="B1093" s="175"/>
      <c r="H1093" s="178"/>
      <c r="I1093" s="178"/>
      <c r="J1093" s="184"/>
      <c r="N1093" s="178"/>
      <c r="O1093" s="178"/>
      <c r="P1093" s="178"/>
      <c r="S1093" s="458"/>
      <c r="AN1093" s="458"/>
      <c r="BA1093" s="1305"/>
    </row>
    <row r="1094" spans="2:53" ht="15.75" customHeight="1">
      <c r="B1094" s="175"/>
      <c r="H1094" s="178"/>
      <c r="I1094" s="178"/>
      <c r="J1094" s="184"/>
      <c r="N1094" s="178"/>
      <c r="O1094" s="178"/>
      <c r="P1094" s="178"/>
      <c r="S1094" s="458"/>
      <c r="AN1094" s="458"/>
      <c r="BA1094" s="1305"/>
    </row>
    <row r="1095" spans="2:53" ht="15.75" customHeight="1">
      <c r="B1095" s="175"/>
      <c r="H1095" s="178"/>
      <c r="I1095" s="178"/>
      <c r="J1095" s="184"/>
      <c r="N1095" s="178"/>
      <c r="O1095" s="178"/>
      <c r="P1095" s="178"/>
      <c r="S1095" s="458"/>
      <c r="AN1095" s="458"/>
      <c r="BA1095" s="1266"/>
    </row>
    <row r="1096" spans="2:53" ht="15.75" customHeight="1">
      <c r="B1096" s="175"/>
      <c r="H1096" s="178"/>
      <c r="I1096" s="178"/>
      <c r="J1096" s="184"/>
      <c r="N1096" s="178"/>
      <c r="O1096" s="178"/>
      <c r="P1096" s="178"/>
      <c r="S1096" s="458"/>
      <c r="AN1096" s="458"/>
      <c r="BA1096" s="1266"/>
    </row>
    <row r="1097" spans="2:53" ht="15.75" customHeight="1">
      <c r="B1097" s="175"/>
      <c r="H1097" s="178"/>
      <c r="I1097" s="178"/>
      <c r="J1097" s="184"/>
      <c r="N1097" s="178"/>
      <c r="O1097" s="178"/>
      <c r="P1097" s="178"/>
      <c r="S1097" s="458"/>
      <c r="AN1097" s="458"/>
      <c r="BA1097" s="1266"/>
    </row>
    <row r="1098" spans="2:53" ht="15.75" customHeight="1">
      <c r="B1098" s="175"/>
      <c r="H1098" s="178"/>
      <c r="I1098" s="178"/>
      <c r="J1098" s="184"/>
      <c r="N1098" s="178"/>
      <c r="O1098" s="178"/>
      <c r="P1098" s="178"/>
      <c r="S1098" s="458"/>
      <c r="AN1098" s="458"/>
      <c r="BA1098" s="1266"/>
    </row>
    <row r="1099" spans="2:53" ht="15.75" customHeight="1">
      <c r="B1099" s="175"/>
      <c r="H1099" s="178"/>
      <c r="I1099" s="178"/>
      <c r="J1099" s="184"/>
      <c r="N1099" s="178"/>
      <c r="O1099" s="178"/>
      <c r="P1099" s="178"/>
      <c r="S1099" s="458"/>
      <c r="AN1099" s="458"/>
      <c r="BA1099" s="1266"/>
    </row>
    <row r="1100" spans="2:53" ht="15.75" customHeight="1">
      <c r="B1100" s="175"/>
      <c r="H1100" s="178"/>
      <c r="I1100" s="178"/>
      <c r="J1100" s="184"/>
      <c r="N1100" s="178"/>
      <c r="O1100" s="178"/>
      <c r="P1100" s="178"/>
      <c r="S1100" s="458"/>
      <c r="AN1100" s="458"/>
      <c r="BA1100" s="1266"/>
    </row>
    <row r="1101" spans="2:53" ht="15.75" customHeight="1">
      <c r="B1101" s="175"/>
      <c r="H1101" s="178"/>
      <c r="I1101" s="178"/>
      <c r="J1101" s="184"/>
      <c r="N1101" s="178"/>
      <c r="O1101" s="178"/>
      <c r="P1101" s="178"/>
      <c r="S1101" s="458"/>
      <c r="AN1101" s="458"/>
      <c r="BA1101" s="1266"/>
    </row>
    <row r="1102" spans="2:53" ht="15.75" customHeight="1">
      <c r="B1102" s="175"/>
      <c r="H1102" s="178"/>
      <c r="I1102" s="178"/>
      <c r="J1102" s="184"/>
      <c r="N1102" s="178"/>
      <c r="O1102" s="178"/>
      <c r="P1102" s="178"/>
      <c r="S1102" s="458"/>
      <c r="AN1102" s="458"/>
      <c r="BA1102" s="1266"/>
    </row>
    <row r="1103" spans="2:53" ht="15.75" customHeight="1">
      <c r="B1103" s="175"/>
      <c r="H1103" s="178"/>
      <c r="I1103" s="178"/>
      <c r="J1103" s="184"/>
      <c r="N1103" s="178"/>
      <c r="O1103" s="178"/>
      <c r="P1103" s="178"/>
      <c r="S1103" s="458"/>
      <c r="AN1103" s="458"/>
      <c r="BA1103" s="1266"/>
    </row>
    <row r="1104" spans="2:53" ht="15.75" customHeight="1">
      <c r="B1104" s="175"/>
      <c r="H1104" s="178"/>
      <c r="I1104" s="178"/>
      <c r="J1104" s="184"/>
      <c r="N1104" s="178"/>
      <c r="O1104" s="178"/>
      <c r="P1104" s="178"/>
      <c r="S1104" s="458"/>
      <c r="AN1104" s="458"/>
      <c r="BA1104" s="1266"/>
    </row>
    <row r="1105" spans="2:53" ht="15.75" customHeight="1">
      <c r="B1105" s="175"/>
      <c r="H1105" s="178"/>
      <c r="I1105" s="178"/>
      <c r="J1105" s="184"/>
      <c r="N1105" s="178"/>
      <c r="O1105" s="178"/>
      <c r="P1105" s="178"/>
      <c r="S1105" s="458"/>
      <c r="AN1105" s="458"/>
      <c r="BA1105" s="1266"/>
    </row>
    <row r="1106" spans="2:53" ht="15.75" customHeight="1">
      <c r="B1106" s="175"/>
      <c r="H1106" s="178"/>
      <c r="I1106" s="178"/>
      <c r="J1106" s="184"/>
      <c r="N1106" s="178"/>
      <c r="O1106" s="178"/>
      <c r="P1106" s="178"/>
      <c r="S1106" s="458"/>
      <c r="AN1106" s="458"/>
      <c r="BA1106" s="1266"/>
    </row>
    <row r="1107" spans="2:53" ht="15.75" customHeight="1">
      <c r="B1107" s="175"/>
      <c r="H1107" s="178"/>
      <c r="I1107" s="179"/>
      <c r="J1107" s="184"/>
      <c r="N1107" s="178"/>
      <c r="O1107" s="178"/>
      <c r="P1107" s="178"/>
      <c r="S1107" s="458"/>
      <c r="AN1107" s="458"/>
      <c r="BA1107" s="1266"/>
    </row>
    <row r="1108" spans="2:53" ht="15.75" customHeight="1">
      <c r="B1108" s="175"/>
      <c r="H1108" s="178"/>
      <c r="I1108" s="178"/>
      <c r="J1108" s="184"/>
      <c r="N1108" s="178"/>
      <c r="O1108" s="178"/>
      <c r="P1108" s="178"/>
      <c r="S1108" s="458"/>
      <c r="AN1108" s="458"/>
      <c r="BA1108" s="1266"/>
    </row>
    <row r="1109" spans="2:53" ht="15.75" customHeight="1">
      <c r="B1109" s="175"/>
      <c r="H1109" s="178"/>
      <c r="I1109" s="179"/>
      <c r="J1109" s="184"/>
      <c r="N1109" s="178"/>
      <c r="O1109" s="178"/>
      <c r="P1109" s="178"/>
      <c r="S1109" s="458"/>
      <c r="AN1109" s="458"/>
      <c r="BA1109" s="1266"/>
    </row>
    <row r="1110" spans="2:53" ht="15.75" customHeight="1">
      <c r="B1110" s="175"/>
      <c r="H1110" s="178"/>
      <c r="I1110" s="178"/>
      <c r="J1110" s="184"/>
      <c r="N1110" s="178"/>
      <c r="O1110" s="178"/>
      <c r="P1110" s="178"/>
      <c r="S1110" s="458"/>
      <c r="AN1110" s="458"/>
      <c r="BA1110" s="1266"/>
    </row>
    <row r="1111" spans="2:53" ht="15.75" customHeight="1">
      <c r="B1111" s="175"/>
      <c r="H1111" s="178"/>
      <c r="I1111" s="178"/>
      <c r="J1111" s="184"/>
      <c r="N1111" s="178"/>
      <c r="O1111" s="178"/>
      <c r="P1111" s="178"/>
      <c r="S1111" s="458"/>
      <c r="AN1111" s="458"/>
      <c r="BA1111" s="1266"/>
    </row>
    <row r="1112" spans="2:53" ht="15.75" customHeight="1">
      <c r="B1112" s="175"/>
      <c r="H1112" s="178"/>
      <c r="I1112" s="178"/>
      <c r="J1112" s="184"/>
      <c r="N1112" s="178"/>
      <c r="O1112" s="178"/>
      <c r="P1112" s="178"/>
      <c r="S1112" s="458"/>
      <c r="AN1112" s="458"/>
      <c r="BA1112" s="1266"/>
    </row>
    <row r="1113" spans="2:53" ht="15.75" customHeight="1">
      <c r="B1113" s="175"/>
      <c r="H1113" s="178"/>
      <c r="I1113" s="178"/>
      <c r="J1113" s="184"/>
      <c r="N1113" s="178"/>
      <c r="O1113" s="178"/>
      <c r="P1113" s="178"/>
      <c r="S1113" s="458"/>
      <c r="AN1113" s="458"/>
      <c r="BA1113" s="1266"/>
    </row>
    <row r="1114" spans="2:53" ht="15.75" customHeight="1">
      <c r="B1114" s="175"/>
      <c r="H1114" s="178"/>
      <c r="I1114" s="178"/>
      <c r="J1114" s="184"/>
      <c r="N1114" s="178"/>
      <c r="O1114" s="178"/>
      <c r="P1114" s="178"/>
      <c r="S1114" s="458"/>
      <c r="AN1114" s="458"/>
      <c r="BA1114" s="1266"/>
    </row>
    <row r="1115" spans="2:53" ht="15.75" customHeight="1">
      <c r="B1115" s="175"/>
      <c r="H1115" s="178"/>
      <c r="I1115" s="178"/>
      <c r="J1115" s="184"/>
      <c r="N1115" s="178"/>
      <c r="O1115" s="178"/>
      <c r="P1115" s="178"/>
      <c r="S1115" s="458"/>
      <c r="AN1115" s="458"/>
      <c r="BA1115" s="1266"/>
    </row>
    <row r="1116" spans="2:53" ht="15.75" customHeight="1">
      <c r="B1116" s="175"/>
      <c r="H1116" s="178"/>
      <c r="I1116" s="178"/>
      <c r="J1116" s="184"/>
      <c r="N1116" s="178"/>
      <c r="O1116" s="178"/>
      <c r="P1116" s="178"/>
      <c r="S1116" s="458"/>
      <c r="AN1116" s="458"/>
      <c r="BA1116" s="1266"/>
    </row>
    <row r="1117" spans="2:53" ht="15.75" customHeight="1">
      <c r="B1117" s="175"/>
      <c r="H1117" s="178"/>
      <c r="I1117" s="178"/>
      <c r="J1117" s="184"/>
      <c r="N1117" s="178"/>
      <c r="O1117" s="178"/>
      <c r="P1117" s="178"/>
      <c r="S1117" s="458"/>
      <c r="AN1117" s="458"/>
      <c r="BA1117" s="1266"/>
    </row>
    <row r="1118" spans="2:53" ht="15.75" customHeight="1">
      <c r="B1118" s="175"/>
      <c r="H1118" s="178"/>
      <c r="I1118" s="178"/>
      <c r="J1118" s="184"/>
      <c r="N1118" s="178"/>
      <c r="O1118" s="178"/>
      <c r="P1118" s="178"/>
      <c r="S1118" s="458"/>
      <c r="AN1118" s="458"/>
      <c r="BA1118" s="1266"/>
    </row>
    <row r="1119" spans="2:53" ht="15.75" customHeight="1">
      <c r="B1119" s="175"/>
      <c r="H1119" s="178"/>
      <c r="I1119" s="178"/>
      <c r="J1119" s="184"/>
      <c r="N1119" s="178"/>
      <c r="O1119" s="178"/>
      <c r="P1119" s="178"/>
      <c r="S1119" s="458"/>
      <c r="AN1119" s="458"/>
      <c r="BA1119" s="1266"/>
    </row>
    <row r="1120" spans="2:53" ht="15.75" customHeight="1">
      <c r="B1120" s="175"/>
      <c r="H1120" s="178"/>
      <c r="I1120" s="178"/>
      <c r="J1120" s="184"/>
      <c r="N1120" s="178"/>
      <c r="O1120" s="178"/>
      <c r="P1120" s="178"/>
      <c r="S1120" s="458"/>
      <c r="AN1120" s="458"/>
      <c r="BA1120" s="1266"/>
    </row>
    <row r="1121" spans="2:53" ht="15.75" customHeight="1">
      <c r="B1121" s="175"/>
      <c r="H1121" s="178"/>
      <c r="I1121" s="178"/>
      <c r="J1121" s="184"/>
      <c r="N1121" s="178"/>
      <c r="O1121" s="178"/>
      <c r="P1121" s="178"/>
      <c r="S1121" s="458"/>
      <c r="AN1121" s="458"/>
      <c r="BA1121" s="1266"/>
    </row>
    <row r="1122" spans="2:53" ht="15.75" customHeight="1">
      <c r="B1122" s="175"/>
      <c r="H1122" s="178"/>
      <c r="I1122" s="178"/>
      <c r="J1122" s="184"/>
      <c r="N1122" s="178"/>
      <c r="O1122" s="178"/>
      <c r="P1122" s="178"/>
      <c r="S1122" s="458"/>
      <c r="AN1122" s="458"/>
      <c r="BA1122" s="1266"/>
    </row>
    <row r="1123" spans="2:53" ht="15.75" customHeight="1">
      <c r="B1123" s="175"/>
      <c r="H1123" s="178"/>
      <c r="I1123" s="178"/>
      <c r="J1123" s="184"/>
      <c r="N1123" s="178"/>
      <c r="O1123" s="178"/>
      <c r="P1123" s="178"/>
      <c r="S1123" s="458"/>
      <c r="AN1123" s="458"/>
      <c r="BA1123" s="1266"/>
    </row>
    <row r="1124" spans="2:53" ht="15.75" customHeight="1">
      <c r="B1124" s="175"/>
      <c r="H1124" s="178"/>
      <c r="I1124" s="178"/>
      <c r="J1124" s="184"/>
      <c r="N1124" s="178"/>
      <c r="O1124" s="178"/>
      <c r="P1124" s="178"/>
      <c r="S1124" s="458"/>
      <c r="AN1124" s="458"/>
      <c r="BA1124" s="1266"/>
    </row>
    <row r="1125" spans="2:53" ht="15.75" customHeight="1">
      <c r="B1125" s="175"/>
      <c r="H1125" s="178"/>
      <c r="I1125" s="179"/>
      <c r="J1125" s="184"/>
      <c r="N1125" s="178"/>
      <c r="O1125" s="178"/>
      <c r="P1125" s="178"/>
      <c r="S1125" s="458"/>
      <c r="AN1125" s="458"/>
      <c r="BA1125" s="1266"/>
    </row>
    <row r="1126" spans="2:53" ht="15.75" customHeight="1">
      <c r="B1126" s="175"/>
      <c r="H1126" s="178"/>
      <c r="I1126" s="178"/>
      <c r="J1126" s="184"/>
      <c r="N1126" s="178"/>
      <c r="O1126" s="178"/>
      <c r="P1126" s="178"/>
      <c r="S1126" s="458"/>
      <c r="AN1126" s="458"/>
      <c r="BA1126" s="1266"/>
    </row>
    <row r="1127" spans="2:53" ht="15.75" customHeight="1">
      <c r="B1127" s="175"/>
      <c r="H1127" s="178"/>
      <c r="I1127" s="178"/>
      <c r="J1127" s="184"/>
      <c r="N1127" s="178"/>
      <c r="O1127" s="178"/>
      <c r="P1127" s="178"/>
      <c r="S1127" s="458"/>
      <c r="AN1127" s="458"/>
      <c r="BA1127" s="1266"/>
    </row>
    <row r="1128" spans="2:53" ht="15.75" customHeight="1">
      <c r="B1128" s="175"/>
      <c r="H1128" s="178"/>
      <c r="I1128" s="178"/>
      <c r="J1128" s="184"/>
      <c r="N1128" s="178"/>
      <c r="O1128" s="178"/>
      <c r="P1128" s="178"/>
      <c r="S1128" s="458"/>
      <c r="AN1128" s="458"/>
      <c r="BA1128" s="1266"/>
    </row>
    <row r="1129" spans="2:53" ht="15.75" customHeight="1">
      <c r="B1129" s="175"/>
      <c r="H1129" s="178"/>
      <c r="I1129" s="178"/>
      <c r="J1129" s="184"/>
      <c r="N1129" s="178"/>
      <c r="O1129" s="178"/>
      <c r="P1129" s="178"/>
      <c r="S1129" s="458"/>
      <c r="AN1129" s="458"/>
      <c r="BA1129" s="1266"/>
    </row>
    <row r="1130" spans="2:53" ht="15.75" customHeight="1">
      <c r="B1130" s="175"/>
      <c r="H1130" s="178"/>
      <c r="I1130" s="178"/>
      <c r="J1130" s="184"/>
      <c r="N1130" s="178"/>
      <c r="O1130" s="178"/>
      <c r="P1130" s="178"/>
      <c r="S1130" s="458"/>
      <c r="AN1130" s="458"/>
      <c r="BA1130" s="1266"/>
    </row>
    <row r="1131" spans="2:53" ht="15.75" customHeight="1">
      <c r="B1131" s="175"/>
      <c r="H1131" s="178"/>
      <c r="I1131" s="178"/>
      <c r="J1131" s="184"/>
      <c r="N1131" s="178"/>
      <c r="O1131" s="178"/>
      <c r="P1131" s="178"/>
      <c r="S1131" s="458"/>
      <c r="AN1131" s="458"/>
      <c r="BA1131" s="1266"/>
    </row>
    <row r="1132" spans="2:53" ht="15.75" customHeight="1">
      <c r="B1132" s="175"/>
      <c r="H1132" s="178"/>
      <c r="I1132" s="178"/>
      <c r="J1132" s="184"/>
      <c r="N1132" s="178"/>
      <c r="O1132" s="178"/>
      <c r="P1132" s="178"/>
      <c r="S1132" s="458"/>
      <c r="AN1132" s="458"/>
      <c r="BA1132" s="1266"/>
    </row>
    <row r="1133" spans="2:53" ht="15.75" customHeight="1">
      <c r="B1133" s="175"/>
      <c r="H1133" s="178"/>
      <c r="I1133" s="178"/>
      <c r="J1133" s="184"/>
      <c r="N1133" s="178"/>
      <c r="O1133" s="178"/>
      <c r="P1133" s="178"/>
      <c r="S1133" s="458"/>
      <c r="AN1133" s="458"/>
      <c r="BA1133" s="1266"/>
    </row>
    <row r="1134" spans="2:53" ht="15.75" customHeight="1">
      <c r="B1134" s="175"/>
      <c r="H1134" s="178"/>
      <c r="I1134" s="178"/>
      <c r="J1134" s="184"/>
      <c r="N1134" s="178"/>
      <c r="O1134" s="178"/>
      <c r="P1134" s="178"/>
      <c r="S1134" s="458"/>
      <c r="AN1134" s="458"/>
      <c r="BA1134" s="1266"/>
    </row>
    <row r="1135" spans="2:53" ht="15.75" customHeight="1">
      <c r="B1135" s="175"/>
      <c r="H1135" s="178"/>
      <c r="I1135" s="178"/>
      <c r="J1135" s="184"/>
      <c r="N1135" s="178"/>
      <c r="O1135" s="178"/>
      <c r="P1135" s="178"/>
      <c r="S1135" s="458"/>
      <c r="AN1135" s="458"/>
      <c r="BA1135" s="1266"/>
    </row>
    <row r="1136" spans="2:53" ht="15.75" customHeight="1">
      <c r="B1136" s="175"/>
      <c r="H1136" s="178"/>
      <c r="I1136" s="178"/>
      <c r="J1136" s="184"/>
      <c r="N1136" s="178"/>
      <c r="O1136" s="178"/>
      <c r="P1136" s="178"/>
      <c r="S1136" s="458"/>
      <c r="AN1136" s="458"/>
      <c r="BA1136" s="1266"/>
    </row>
    <row r="1137" spans="2:53" ht="15.75" customHeight="1">
      <c r="B1137" s="175"/>
      <c r="H1137" s="178"/>
      <c r="I1137" s="178"/>
      <c r="J1137" s="184"/>
      <c r="N1137" s="178"/>
      <c r="O1137" s="178"/>
      <c r="P1137" s="178"/>
      <c r="S1137" s="458"/>
      <c r="AN1137" s="458"/>
      <c r="BA1137" s="1266"/>
    </row>
    <row r="1138" spans="2:53" ht="15.75" customHeight="1">
      <c r="B1138" s="175"/>
      <c r="N1138" s="178"/>
      <c r="O1138" s="178"/>
      <c r="P1138" s="178"/>
      <c r="S1138" s="458"/>
      <c r="AN1138" s="458"/>
      <c r="BA1138" s="1266"/>
    </row>
    <row r="1139" spans="2:53" ht="15.75" customHeight="1">
      <c r="B1139" s="175"/>
      <c r="H1139" s="178"/>
      <c r="I1139" s="178"/>
      <c r="J1139" s="184"/>
      <c r="O1139" s="178"/>
      <c r="P1139" s="178"/>
      <c r="S1139" s="458"/>
      <c r="AN1139" s="458"/>
      <c r="BA1139" s="1266"/>
    </row>
    <row r="1140" spans="2:53" ht="15.75" customHeight="1">
      <c r="B1140" s="175"/>
      <c r="H1140" s="178"/>
      <c r="I1140" s="178"/>
      <c r="J1140" s="184"/>
      <c r="N1140" s="178"/>
      <c r="O1140" s="178"/>
      <c r="P1140" s="178"/>
      <c r="S1140" s="458"/>
      <c r="AN1140" s="458"/>
      <c r="BA1140" s="1266"/>
    </row>
    <row r="1141" spans="2:53" ht="15.75" customHeight="1">
      <c r="B1141" s="175"/>
      <c r="H1141" s="178"/>
      <c r="I1141" s="179"/>
      <c r="J1141" s="184"/>
      <c r="N1141" s="178"/>
      <c r="O1141" s="178"/>
      <c r="P1141" s="178"/>
      <c r="S1141" s="458"/>
      <c r="AN1141" s="458"/>
      <c r="BA1141" s="1266"/>
    </row>
    <row r="1142" spans="2:53" ht="15.75" customHeight="1">
      <c r="B1142" s="175"/>
      <c r="H1142" s="178"/>
      <c r="I1142" s="178"/>
      <c r="J1142" s="184"/>
      <c r="N1142" s="178"/>
      <c r="P1142" s="178"/>
      <c r="S1142" s="458"/>
      <c r="AN1142" s="458"/>
      <c r="BA1142" s="1266"/>
    </row>
    <row r="1143" spans="2:53" ht="15.75" customHeight="1">
      <c r="B1143" s="175"/>
      <c r="H1143" s="178"/>
      <c r="I1143" s="178"/>
      <c r="J1143" s="184"/>
      <c r="N1143" s="178"/>
      <c r="P1143" s="178"/>
      <c r="S1143" s="458"/>
      <c r="AN1143" s="458"/>
      <c r="BA1143" s="1266"/>
    </row>
    <row r="1144" spans="2:53" ht="15.75" customHeight="1">
      <c r="B1144" s="175"/>
      <c r="H1144" s="178"/>
      <c r="I1144" s="178"/>
      <c r="J1144" s="184"/>
      <c r="N1144" s="178"/>
      <c r="P1144" s="178"/>
      <c r="S1144" s="458"/>
      <c r="AN1144" s="458"/>
      <c r="BA1144" s="1266"/>
    </row>
    <row r="1145" spans="2:53" ht="15.75" customHeight="1">
      <c r="B1145" s="175"/>
      <c r="H1145" s="178"/>
      <c r="I1145" s="178"/>
      <c r="J1145" s="184"/>
      <c r="N1145" s="178"/>
      <c r="P1145" s="178"/>
      <c r="S1145" s="458"/>
      <c r="AN1145" s="458"/>
      <c r="BA1145" s="1266"/>
    </row>
    <row r="1146" spans="2:53" ht="15.75" customHeight="1">
      <c r="B1146" s="175"/>
      <c r="H1146" s="178"/>
      <c r="I1146" s="178"/>
      <c r="J1146" s="184"/>
      <c r="N1146" s="178"/>
      <c r="P1146" s="178"/>
      <c r="S1146" s="458"/>
      <c r="AN1146" s="458"/>
      <c r="BA1146" s="1266"/>
    </row>
    <row r="1147" spans="2:53" ht="15.75" customHeight="1">
      <c r="B1147" s="175"/>
      <c r="H1147" s="178"/>
      <c r="I1147" s="179"/>
      <c r="J1147" s="184"/>
      <c r="N1147" s="178"/>
      <c r="O1147" s="178"/>
      <c r="P1147" s="178"/>
      <c r="S1147" s="458"/>
      <c r="AN1147" s="458"/>
      <c r="BA1147" s="1266"/>
    </row>
    <row r="1148" spans="2:53" ht="15.75" customHeight="1">
      <c r="B1148" s="175"/>
      <c r="H1148" s="178"/>
      <c r="I1148" s="178"/>
      <c r="J1148" s="184"/>
      <c r="N1148" s="178"/>
      <c r="O1148" s="178"/>
      <c r="P1148" s="178"/>
      <c r="S1148" s="458"/>
      <c r="AN1148" s="458"/>
      <c r="BA1148" s="1266"/>
    </row>
    <row r="1149" spans="2:53" ht="15.75" customHeight="1">
      <c r="B1149" s="175"/>
      <c r="H1149" s="178"/>
      <c r="I1149" s="179"/>
      <c r="J1149" s="184"/>
      <c r="N1149" s="178"/>
      <c r="O1149" s="178"/>
      <c r="P1149" s="178"/>
      <c r="S1149" s="458"/>
      <c r="AN1149" s="458"/>
      <c r="BA1149" s="1266"/>
    </row>
    <row r="1150" spans="2:53" ht="15.75" customHeight="1">
      <c r="B1150" s="175"/>
      <c r="H1150" s="178"/>
      <c r="I1150" s="178"/>
      <c r="J1150" s="184"/>
      <c r="N1150" s="178"/>
      <c r="O1150" s="178"/>
      <c r="P1150" s="178"/>
      <c r="S1150" s="458"/>
      <c r="AN1150" s="458"/>
      <c r="BA1150" s="1266"/>
    </row>
    <row r="1151" spans="2:53" ht="15.75" customHeight="1">
      <c r="B1151" s="175"/>
      <c r="H1151" s="178"/>
      <c r="I1151" s="178"/>
      <c r="J1151" s="184"/>
      <c r="N1151" s="178"/>
      <c r="O1151" s="178"/>
      <c r="P1151" s="178"/>
      <c r="S1151" s="458"/>
      <c r="AN1151" s="458"/>
      <c r="BA1151" s="1266"/>
    </row>
    <row r="1152" spans="2:53" ht="15.75" customHeight="1">
      <c r="B1152" s="175"/>
      <c r="H1152" s="178"/>
      <c r="I1152" s="178"/>
      <c r="J1152" s="184"/>
      <c r="N1152" s="178"/>
      <c r="O1152" s="178"/>
      <c r="P1152" s="178"/>
      <c r="S1152" s="458"/>
      <c r="AN1152" s="458"/>
      <c r="BA1152" s="1266"/>
    </row>
    <row r="1153" spans="2:53" ht="15.75" customHeight="1">
      <c r="B1153" s="175"/>
      <c r="H1153" s="178"/>
      <c r="I1153" s="178"/>
      <c r="J1153" s="184"/>
      <c r="N1153" s="178"/>
      <c r="O1153" s="178"/>
      <c r="P1153" s="178"/>
      <c r="S1153" s="458"/>
      <c r="AN1153" s="458"/>
      <c r="BA1153" s="1266"/>
    </row>
    <row r="1154" spans="2:53" ht="15.75" customHeight="1">
      <c r="B1154" s="175"/>
      <c r="H1154" s="178"/>
      <c r="I1154" s="178"/>
      <c r="J1154" s="184"/>
      <c r="N1154" s="178"/>
      <c r="O1154" s="178"/>
      <c r="P1154" s="178"/>
      <c r="S1154" s="458"/>
      <c r="AN1154" s="458"/>
      <c r="BA1154" s="1266"/>
    </row>
    <row r="1155" spans="2:53" ht="15.75" customHeight="1">
      <c r="B1155" s="175"/>
      <c r="H1155" s="178"/>
      <c r="I1155" s="178"/>
      <c r="J1155" s="184"/>
      <c r="N1155" s="178"/>
      <c r="O1155" s="178"/>
      <c r="P1155" s="178"/>
      <c r="S1155" s="458"/>
      <c r="AN1155" s="458"/>
      <c r="BA1155" s="1266"/>
    </row>
    <row r="1156" spans="2:53" ht="15.75" customHeight="1">
      <c r="B1156" s="175"/>
      <c r="H1156" s="178"/>
      <c r="I1156" s="178"/>
      <c r="J1156" s="184"/>
      <c r="N1156" s="178"/>
      <c r="O1156" s="178"/>
      <c r="P1156" s="178"/>
      <c r="S1156" s="458"/>
      <c r="AN1156" s="458"/>
      <c r="BA1156" s="1266"/>
    </row>
    <row r="1157" spans="2:53" ht="15.75" customHeight="1">
      <c r="B1157" s="175"/>
      <c r="H1157" s="178"/>
      <c r="I1157" s="178"/>
      <c r="J1157" s="184"/>
      <c r="N1157" s="178"/>
      <c r="O1157" s="178"/>
      <c r="P1157" s="178"/>
      <c r="S1157" s="458"/>
      <c r="AN1157" s="458"/>
      <c r="BA1157" s="1266"/>
    </row>
    <row r="1158" spans="2:53" ht="15.75" customHeight="1">
      <c r="B1158" s="175"/>
      <c r="H1158" s="178"/>
      <c r="I1158" s="178"/>
      <c r="J1158" s="184"/>
      <c r="N1158" s="178"/>
      <c r="O1158" s="178"/>
      <c r="P1158" s="178"/>
      <c r="S1158" s="458"/>
      <c r="AN1158" s="458"/>
      <c r="BA1158" s="1266"/>
    </row>
    <row r="1159" spans="2:53" ht="15.75" customHeight="1">
      <c r="B1159" s="175"/>
      <c r="H1159" s="178"/>
      <c r="I1159" s="178"/>
      <c r="J1159" s="184"/>
      <c r="N1159" s="178"/>
      <c r="O1159" s="178"/>
      <c r="P1159" s="178"/>
      <c r="S1159" s="458"/>
      <c r="AN1159" s="458"/>
      <c r="BA1159" s="1266"/>
    </row>
    <row r="1160" spans="2:53" ht="15.75" customHeight="1">
      <c r="B1160" s="175"/>
      <c r="H1160" s="178"/>
      <c r="I1160" s="178"/>
      <c r="J1160" s="184"/>
      <c r="N1160" s="178"/>
      <c r="O1160" s="178"/>
      <c r="P1160" s="178"/>
      <c r="S1160" s="458"/>
      <c r="AN1160" s="458"/>
      <c r="BA1160" s="1266"/>
    </row>
    <row r="1161" spans="2:53" ht="15.75" customHeight="1">
      <c r="B1161" s="175"/>
      <c r="H1161" s="178"/>
      <c r="I1161" s="178"/>
      <c r="J1161" s="184"/>
      <c r="N1161" s="178"/>
      <c r="O1161" s="178"/>
      <c r="P1161" s="178"/>
      <c r="S1161" s="458"/>
      <c r="AN1161" s="458"/>
      <c r="BA1161" s="1266"/>
    </row>
    <row r="1162" spans="2:53" ht="15.75" customHeight="1">
      <c r="B1162" s="175"/>
      <c r="H1162" s="178"/>
      <c r="I1162" s="178"/>
      <c r="J1162" s="184"/>
      <c r="N1162" s="178"/>
      <c r="O1162" s="178"/>
      <c r="P1162" s="178"/>
      <c r="S1162" s="458"/>
      <c r="AN1162" s="458"/>
      <c r="BA1162" s="1266"/>
    </row>
    <row r="1163" spans="2:53" ht="15.75" customHeight="1">
      <c r="B1163" s="175"/>
      <c r="H1163" s="178"/>
      <c r="I1163" s="178"/>
      <c r="J1163" s="184"/>
      <c r="N1163" s="178"/>
      <c r="O1163" s="178"/>
      <c r="P1163" s="178"/>
      <c r="S1163" s="458"/>
      <c r="AN1163" s="458"/>
      <c r="BA1163" s="1266"/>
    </row>
    <row r="1164" spans="2:53" ht="15.75" customHeight="1">
      <c r="B1164" s="175"/>
      <c r="H1164" s="178"/>
      <c r="I1164" s="178"/>
      <c r="J1164" s="184"/>
      <c r="N1164" s="178"/>
      <c r="O1164" s="178"/>
      <c r="P1164" s="178"/>
      <c r="S1164" s="458"/>
      <c r="AN1164" s="458"/>
      <c r="BA1164" s="1266"/>
    </row>
    <row r="1165" spans="2:53" ht="15.75" customHeight="1">
      <c r="B1165" s="175"/>
      <c r="H1165" s="178"/>
      <c r="I1165" s="178"/>
      <c r="J1165" s="184"/>
      <c r="N1165" s="178"/>
      <c r="O1165" s="178"/>
      <c r="P1165" s="178"/>
      <c r="S1165" s="458"/>
      <c r="AN1165" s="458"/>
      <c r="BA1165" s="1266"/>
    </row>
    <row r="1166" spans="2:53" ht="15.75" customHeight="1">
      <c r="B1166" s="175"/>
      <c r="H1166" s="178"/>
      <c r="I1166" s="178"/>
      <c r="J1166" s="184"/>
      <c r="N1166" s="178"/>
      <c r="O1166" s="178"/>
      <c r="P1166" s="178"/>
      <c r="S1166" s="458"/>
      <c r="AN1166" s="458"/>
      <c r="BA1166" s="1266"/>
    </row>
    <row r="1167" spans="2:53" ht="15.75" customHeight="1">
      <c r="B1167" s="175"/>
      <c r="H1167" s="178"/>
      <c r="I1167" s="178"/>
      <c r="J1167" s="184"/>
      <c r="N1167" s="178"/>
      <c r="O1167" s="178"/>
      <c r="P1167" s="178"/>
      <c r="S1167" s="458"/>
      <c r="AN1167" s="458"/>
      <c r="BA1167" s="1266"/>
    </row>
    <row r="1168" spans="2:53" ht="15.75" customHeight="1">
      <c r="B1168" s="175"/>
      <c r="H1168" s="178"/>
      <c r="I1168" s="178"/>
      <c r="J1168" s="184"/>
      <c r="N1168" s="178"/>
      <c r="O1168" s="178"/>
      <c r="P1168" s="178"/>
      <c r="S1168" s="458"/>
      <c r="AN1168" s="458"/>
      <c r="BA1168" s="1266"/>
    </row>
    <row r="1169" spans="2:53" ht="15.75" customHeight="1">
      <c r="B1169" s="175"/>
      <c r="H1169" s="178"/>
      <c r="I1169" s="178"/>
      <c r="J1169" s="184"/>
      <c r="N1169" s="178"/>
      <c r="O1169" s="178"/>
      <c r="P1169" s="178"/>
      <c r="S1169" s="458"/>
      <c r="AN1169" s="458"/>
      <c r="BA1169" s="1266"/>
    </row>
    <row r="1170" spans="2:53" ht="15.75" customHeight="1">
      <c r="B1170" s="175"/>
      <c r="H1170" s="178"/>
      <c r="I1170" s="178"/>
      <c r="J1170" s="184"/>
      <c r="N1170" s="178"/>
      <c r="O1170" s="178"/>
      <c r="P1170" s="178"/>
      <c r="S1170" s="458"/>
      <c r="AN1170" s="458"/>
      <c r="BA1170" s="1266"/>
    </row>
    <row r="1171" spans="2:53" ht="15.75" customHeight="1">
      <c r="B1171" s="175"/>
      <c r="H1171" s="178"/>
      <c r="I1171" s="178"/>
      <c r="J1171" s="184"/>
      <c r="N1171" s="178"/>
      <c r="O1171" s="178"/>
      <c r="P1171" s="178"/>
      <c r="S1171" s="458"/>
      <c r="AN1171" s="458"/>
      <c r="BA1171" s="1266"/>
    </row>
    <row r="1172" spans="2:53" ht="15.75" customHeight="1">
      <c r="B1172" s="175"/>
      <c r="N1172" s="178"/>
      <c r="O1172" s="178"/>
      <c r="P1172" s="178"/>
      <c r="S1172" s="458"/>
      <c r="AN1172" s="458"/>
      <c r="BA1172" s="1266"/>
    </row>
    <row r="1173" spans="2:53" ht="15.75" customHeight="1">
      <c r="B1173" s="175"/>
      <c r="N1173" s="178"/>
      <c r="O1173" s="178"/>
      <c r="P1173" s="178"/>
      <c r="S1173" s="458"/>
      <c r="AN1173" s="458"/>
      <c r="BA1173" s="1266"/>
    </row>
    <row r="1174" spans="2:53" ht="15.75" customHeight="1">
      <c r="B1174" s="175"/>
      <c r="H1174" s="178"/>
      <c r="I1174" s="178"/>
      <c r="J1174" s="184"/>
      <c r="N1174" s="178"/>
      <c r="O1174" s="178"/>
      <c r="P1174" s="178"/>
      <c r="S1174" s="458"/>
      <c r="AN1174" s="458"/>
      <c r="BA1174" s="1266"/>
    </row>
    <row r="1175" spans="2:53" ht="15.75" customHeight="1">
      <c r="B1175" s="175"/>
      <c r="H1175" s="178"/>
      <c r="I1175" s="179"/>
      <c r="J1175" s="184"/>
      <c r="N1175" s="178"/>
      <c r="O1175" s="178"/>
      <c r="P1175" s="178"/>
      <c r="S1175" s="458"/>
      <c r="AN1175" s="458"/>
      <c r="BA1175" s="1266"/>
    </row>
    <row r="1176" spans="2:53" ht="15.75" customHeight="1">
      <c r="B1176" s="175"/>
      <c r="H1176" s="178"/>
      <c r="I1176" s="178"/>
      <c r="J1176" s="184"/>
      <c r="N1176" s="178"/>
      <c r="O1176" s="178"/>
      <c r="P1176" s="178"/>
      <c r="S1176" s="458"/>
      <c r="AN1176" s="458"/>
      <c r="BA1176" s="1266"/>
    </row>
    <row r="1177" spans="2:53" ht="15.75" customHeight="1">
      <c r="B1177" s="175"/>
      <c r="H1177" s="178"/>
      <c r="I1177" s="179"/>
      <c r="J1177" s="184"/>
      <c r="N1177" s="178"/>
      <c r="O1177" s="178"/>
      <c r="P1177" s="178"/>
      <c r="S1177" s="458"/>
      <c r="AN1177" s="458"/>
      <c r="BA1177" s="1266"/>
    </row>
    <row r="1178" spans="2:53" ht="15.75" customHeight="1">
      <c r="B1178" s="175"/>
      <c r="H1178" s="178"/>
      <c r="I1178" s="178"/>
      <c r="J1178" s="184"/>
      <c r="N1178" s="178"/>
      <c r="O1178" s="178"/>
      <c r="P1178" s="178"/>
      <c r="S1178" s="458"/>
      <c r="AN1178" s="458"/>
      <c r="BA1178" s="1266"/>
    </row>
    <row r="1179" spans="2:53" ht="15.75" customHeight="1">
      <c r="B1179" s="175"/>
      <c r="N1179" s="178"/>
      <c r="O1179" s="178"/>
      <c r="P1179" s="178"/>
      <c r="S1179" s="458"/>
      <c r="AN1179" s="458"/>
      <c r="BA1179" s="1266"/>
    </row>
    <row r="1180" spans="2:53" ht="15.75" customHeight="1">
      <c r="B1180" s="175"/>
      <c r="N1180" s="178"/>
      <c r="O1180" s="178"/>
      <c r="P1180" s="178"/>
      <c r="S1180" s="458"/>
      <c r="AN1180" s="458"/>
      <c r="BA1180" s="1266"/>
    </row>
    <row r="1181" spans="2:53" ht="15.75" customHeight="1">
      <c r="B1181" s="175"/>
      <c r="H1181" s="178"/>
      <c r="I1181" s="178"/>
      <c r="J1181" s="184"/>
      <c r="N1181" s="178"/>
      <c r="O1181" s="178"/>
      <c r="P1181" s="178"/>
      <c r="S1181" s="458"/>
      <c r="AN1181" s="458"/>
      <c r="BA1181" s="1266"/>
    </row>
    <row r="1182" spans="2:53" ht="15.75" customHeight="1">
      <c r="B1182" s="175"/>
      <c r="H1182" s="178"/>
      <c r="I1182" s="178"/>
      <c r="J1182" s="184"/>
      <c r="N1182" s="178"/>
      <c r="O1182" s="178"/>
      <c r="P1182" s="178"/>
      <c r="S1182" s="458"/>
      <c r="AN1182" s="458"/>
      <c r="BA1182" s="1266"/>
    </row>
    <row r="1183" spans="2:53" ht="15.75" customHeight="1">
      <c r="B1183" s="175"/>
      <c r="H1183" s="178"/>
      <c r="I1183" s="178"/>
      <c r="J1183" s="184"/>
      <c r="N1183" s="178"/>
      <c r="O1183" s="178"/>
      <c r="P1183" s="178"/>
      <c r="S1183" s="458"/>
      <c r="AN1183" s="458"/>
      <c r="BA1183" s="1266"/>
    </row>
    <row r="1184" spans="2:53" ht="15.75" customHeight="1">
      <c r="B1184" s="175"/>
      <c r="H1184" s="178"/>
      <c r="I1184" s="178"/>
      <c r="J1184" s="184"/>
      <c r="N1184" s="178"/>
      <c r="O1184" s="178"/>
      <c r="P1184" s="178"/>
      <c r="S1184" s="458"/>
      <c r="AN1184" s="458"/>
      <c r="BA1184" s="1266"/>
    </row>
    <row r="1185" spans="2:53" ht="15.75" customHeight="1">
      <c r="B1185" s="175"/>
      <c r="H1185" s="178"/>
      <c r="I1185" s="178"/>
      <c r="J1185" s="184"/>
      <c r="N1185" s="178"/>
      <c r="O1185" s="178"/>
      <c r="P1185" s="178"/>
      <c r="S1185" s="458"/>
      <c r="AN1185" s="458"/>
      <c r="BA1185" s="1266"/>
    </row>
    <row r="1186" spans="2:53" ht="15.75" customHeight="1">
      <c r="B1186" s="175"/>
      <c r="H1186" s="178"/>
      <c r="I1186" s="178"/>
      <c r="J1186" s="184"/>
      <c r="N1186" s="178"/>
      <c r="O1186" s="178"/>
      <c r="P1186" s="178"/>
      <c r="S1186" s="458"/>
      <c r="AN1186" s="458"/>
      <c r="BA1186" s="1266"/>
    </row>
    <row r="1187" spans="2:53" ht="15.75" customHeight="1">
      <c r="B1187" s="175"/>
      <c r="H1187" s="178"/>
      <c r="I1187" s="178"/>
      <c r="J1187" s="184"/>
      <c r="N1187" s="178"/>
      <c r="O1187" s="178"/>
      <c r="P1187" s="178"/>
      <c r="S1187" s="458"/>
      <c r="AN1187" s="458"/>
      <c r="BA1187" s="1266"/>
    </row>
    <row r="1188" spans="2:53" ht="15.75" customHeight="1">
      <c r="B1188" s="175"/>
      <c r="H1188" s="178"/>
      <c r="I1188" s="178"/>
      <c r="J1188" s="184"/>
      <c r="N1188" s="178"/>
      <c r="O1188" s="178"/>
      <c r="P1188" s="178"/>
      <c r="S1188" s="458"/>
      <c r="AN1188" s="458"/>
      <c r="BA1188" s="1266"/>
    </row>
    <row r="1189" spans="2:53" ht="15.75" customHeight="1">
      <c r="B1189" s="175"/>
      <c r="H1189" s="178"/>
      <c r="I1189" s="178"/>
      <c r="J1189" s="184"/>
      <c r="N1189" s="178"/>
      <c r="O1189" s="178"/>
      <c r="P1189" s="178"/>
      <c r="S1189" s="458"/>
      <c r="AN1189" s="458"/>
      <c r="BA1189" s="1266"/>
    </row>
    <row r="1190" spans="2:53" ht="15.75" customHeight="1">
      <c r="B1190" s="175"/>
      <c r="H1190" s="178"/>
      <c r="I1190" s="178"/>
      <c r="J1190" s="184"/>
      <c r="N1190" s="178"/>
      <c r="O1190" s="178"/>
      <c r="P1190" s="178"/>
      <c r="S1190" s="458"/>
      <c r="AN1190" s="458"/>
      <c r="BA1190" s="1266"/>
    </row>
    <row r="1191" spans="2:53" ht="15.75" customHeight="1">
      <c r="B1191" s="175"/>
      <c r="H1191" s="178"/>
      <c r="I1191" s="178"/>
      <c r="J1191" s="184"/>
      <c r="N1191" s="178"/>
      <c r="O1191" s="178"/>
      <c r="P1191" s="178"/>
      <c r="S1191" s="458"/>
      <c r="AN1191" s="458"/>
      <c r="BA1191" s="1266"/>
    </row>
    <row r="1192" spans="2:53" ht="15.75" customHeight="1">
      <c r="B1192" s="175"/>
      <c r="H1192" s="178"/>
      <c r="I1192" s="178"/>
      <c r="J1192" s="184"/>
      <c r="N1192" s="178"/>
      <c r="O1192" s="178"/>
      <c r="P1192" s="178"/>
      <c r="S1192" s="458"/>
      <c r="AN1192" s="458"/>
      <c r="BA1192" s="1266"/>
    </row>
    <row r="1193" spans="2:53" ht="15.75" customHeight="1">
      <c r="B1193" s="175"/>
      <c r="H1193" s="178"/>
      <c r="I1193" s="178"/>
      <c r="J1193" s="184"/>
      <c r="N1193" s="178"/>
      <c r="O1193" s="178"/>
      <c r="P1193" s="178"/>
      <c r="S1193" s="458"/>
      <c r="AN1193" s="458"/>
      <c r="BA1193" s="1266"/>
    </row>
    <row r="1194" spans="2:53" ht="15.75" customHeight="1">
      <c r="B1194" s="175"/>
      <c r="H1194" s="178"/>
      <c r="I1194" s="178"/>
      <c r="J1194" s="184"/>
      <c r="N1194" s="178"/>
      <c r="O1194" s="178"/>
      <c r="P1194" s="178"/>
      <c r="S1194" s="458"/>
      <c r="AN1194" s="458"/>
      <c r="BA1194" s="1266"/>
    </row>
    <row r="1195" spans="2:53" ht="15.75" customHeight="1">
      <c r="B1195" s="175"/>
      <c r="H1195" s="178"/>
      <c r="I1195" s="178"/>
      <c r="J1195" s="184"/>
      <c r="N1195" s="178"/>
      <c r="O1195" s="178"/>
      <c r="P1195" s="178"/>
      <c r="S1195" s="458"/>
      <c r="AN1195" s="458"/>
      <c r="BA1195" s="1266"/>
    </row>
    <row r="1196" spans="2:53" ht="15.75" customHeight="1">
      <c r="B1196" s="175"/>
      <c r="H1196" s="178"/>
      <c r="I1196" s="178"/>
      <c r="J1196" s="184"/>
      <c r="N1196" s="178"/>
      <c r="O1196" s="178"/>
      <c r="P1196" s="178"/>
      <c r="S1196" s="458"/>
      <c r="AN1196" s="458"/>
      <c r="BA1196" s="1266"/>
    </row>
    <row r="1197" spans="2:53" ht="15.75" customHeight="1">
      <c r="B1197" s="175"/>
      <c r="H1197" s="178"/>
      <c r="I1197" s="178"/>
      <c r="J1197" s="184"/>
      <c r="N1197" s="178"/>
      <c r="O1197" s="178"/>
      <c r="P1197" s="178"/>
      <c r="S1197" s="458"/>
      <c r="AN1197" s="458"/>
      <c r="BA1197" s="1266"/>
    </row>
    <row r="1198" spans="2:53" ht="15.75" customHeight="1">
      <c r="B1198" s="175"/>
      <c r="H1198" s="178"/>
      <c r="I1198" s="178"/>
      <c r="J1198" s="184"/>
      <c r="N1198" s="178"/>
      <c r="O1198" s="178"/>
      <c r="P1198" s="178"/>
      <c r="S1198" s="458"/>
      <c r="AN1198" s="458"/>
      <c r="BA1198" s="1266"/>
    </row>
    <row r="1199" spans="2:53" ht="15.75" customHeight="1">
      <c r="B1199" s="175"/>
      <c r="H1199" s="178"/>
      <c r="I1199" s="178"/>
      <c r="J1199" s="184"/>
      <c r="N1199" s="178"/>
      <c r="O1199" s="178"/>
      <c r="P1199" s="178"/>
      <c r="S1199" s="458"/>
      <c r="AN1199" s="458"/>
      <c r="BA1199" s="1266"/>
    </row>
    <row r="1200" spans="2:53" ht="15.75" customHeight="1">
      <c r="B1200" s="175"/>
      <c r="H1200" s="178"/>
      <c r="I1200" s="178"/>
      <c r="J1200" s="184"/>
      <c r="N1200" s="178"/>
      <c r="O1200" s="178"/>
      <c r="P1200" s="178"/>
      <c r="S1200" s="458"/>
      <c r="AN1200" s="458"/>
      <c r="BA1200" s="1266"/>
    </row>
    <row r="1201" spans="2:53" ht="15.75" customHeight="1">
      <c r="B1201" s="175"/>
      <c r="H1201" s="178"/>
      <c r="I1201" s="178"/>
      <c r="J1201" s="184"/>
      <c r="N1201" s="178"/>
      <c r="O1201" s="178"/>
      <c r="P1201" s="178"/>
      <c r="S1201" s="458"/>
      <c r="AN1201" s="458"/>
      <c r="BA1201" s="1266"/>
    </row>
    <row r="1202" spans="2:53" ht="15.75" customHeight="1">
      <c r="B1202" s="175"/>
      <c r="H1202" s="178"/>
      <c r="I1202" s="178"/>
      <c r="J1202" s="184"/>
      <c r="N1202" s="178"/>
      <c r="O1202" s="178"/>
      <c r="P1202" s="178"/>
      <c r="S1202" s="458"/>
      <c r="AN1202" s="458"/>
      <c r="BA1202" s="1266"/>
    </row>
    <row r="1203" spans="2:53" ht="15.75" customHeight="1">
      <c r="B1203" s="175"/>
      <c r="H1203" s="178"/>
      <c r="I1203" s="178"/>
      <c r="J1203" s="184"/>
      <c r="N1203" s="178"/>
      <c r="O1203" s="178"/>
      <c r="P1203" s="178"/>
      <c r="S1203" s="458"/>
      <c r="AN1203" s="458"/>
      <c r="BA1203" s="1266"/>
    </row>
    <row r="1204" spans="2:53" ht="15.75" customHeight="1">
      <c r="B1204" s="175"/>
      <c r="H1204" s="178"/>
      <c r="I1204" s="178"/>
      <c r="J1204" s="184"/>
      <c r="N1204" s="178"/>
      <c r="O1204" s="178"/>
      <c r="P1204" s="178"/>
      <c r="S1204" s="458"/>
      <c r="AN1204" s="458"/>
      <c r="BA1204" s="1266"/>
    </row>
    <row r="1205" spans="2:53" ht="15.75" customHeight="1">
      <c r="B1205" s="175"/>
      <c r="H1205" s="178"/>
      <c r="I1205" s="178"/>
      <c r="J1205" s="184"/>
      <c r="N1205" s="178"/>
      <c r="O1205" s="178"/>
      <c r="P1205" s="178"/>
      <c r="S1205" s="458"/>
      <c r="AN1205" s="458"/>
      <c r="BA1205" s="1266"/>
    </row>
    <row r="1206" spans="2:53" ht="15.75" customHeight="1">
      <c r="B1206" s="175"/>
      <c r="H1206" s="178"/>
      <c r="I1206" s="178"/>
      <c r="J1206" s="184"/>
      <c r="N1206" s="178"/>
      <c r="O1206" s="178"/>
      <c r="P1206" s="178"/>
      <c r="S1206" s="458"/>
      <c r="AN1206" s="458"/>
      <c r="BA1206" s="1266"/>
    </row>
    <row r="1207" spans="2:53" ht="15.75" customHeight="1">
      <c r="B1207" s="175"/>
      <c r="H1207" s="178"/>
      <c r="I1207" s="178"/>
      <c r="J1207" s="184"/>
      <c r="N1207" s="178"/>
      <c r="O1207" s="178"/>
      <c r="P1207" s="178"/>
      <c r="S1207" s="458"/>
      <c r="AN1207" s="458"/>
      <c r="BA1207" s="1266"/>
    </row>
    <row r="1208" spans="2:53" ht="15.75" customHeight="1">
      <c r="B1208" s="175"/>
      <c r="H1208" s="178"/>
      <c r="I1208" s="178"/>
      <c r="J1208" s="184"/>
      <c r="N1208" s="178"/>
      <c r="O1208" s="178"/>
      <c r="P1208" s="178"/>
      <c r="S1208" s="458"/>
      <c r="AN1208" s="458"/>
      <c r="BA1208" s="1266"/>
    </row>
    <row r="1209" spans="2:53" ht="15.75" customHeight="1">
      <c r="B1209" s="175"/>
      <c r="H1209" s="178"/>
      <c r="I1209" s="179"/>
      <c r="J1209" s="184"/>
      <c r="N1209" s="178"/>
      <c r="O1209" s="178"/>
      <c r="P1209" s="178"/>
      <c r="S1209" s="458"/>
      <c r="AN1209" s="458"/>
      <c r="BA1209" s="1266"/>
    </row>
    <row r="1210" spans="2:53" ht="15.75" customHeight="1">
      <c r="B1210" s="175"/>
      <c r="H1210" s="178"/>
      <c r="I1210" s="178"/>
      <c r="J1210" s="184"/>
      <c r="N1210" s="178"/>
      <c r="O1210" s="178"/>
      <c r="P1210" s="178"/>
      <c r="S1210" s="458"/>
      <c r="AN1210" s="458"/>
      <c r="BA1210" s="1266"/>
    </row>
    <row r="1211" spans="2:53" ht="15.75" customHeight="1">
      <c r="B1211" s="175"/>
      <c r="H1211" s="178"/>
      <c r="I1211" s="179"/>
      <c r="J1211" s="184"/>
      <c r="N1211" s="178"/>
      <c r="O1211" s="178"/>
      <c r="P1211" s="178"/>
      <c r="S1211" s="458"/>
      <c r="AN1211" s="458"/>
      <c r="BA1211" s="1266"/>
    </row>
    <row r="1212" spans="2:53" ht="15.75" customHeight="1">
      <c r="B1212" s="175"/>
      <c r="H1212" s="178"/>
      <c r="I1212" s="178"/>
      <c r="J1212" s="184"/>
      <c r="N1212" s="178"/>
      <c r="O1212" s="178"/>
      <c r="P1212" s="178"/>
      <c r="S1212" s="458"/>
      <c r="AN1212" s="458"/>
      <c r="BA1212" s="1266"/>
    </row>
    <row r="1213" spans="2:53" ht="15.75" customHeight="1">
      <c r="B1213" s="175"/>
      <c r="H1213" s="178"/>
      <c r="I1213" s="178"/>
      <c r="J1213" s="184"/>
      <c r="N1213" s="178"/>
      <c r="O1213" s="178"/>
      <c r="P1213" s="178"/>
      <c r="S1213" s="458"/>
      <c r="AN1213" s="458"/>
      <c r="BA1213" s="1266"/>
    </row>
    <row r="1214" spans="2:53" ht="15.75" customHeight="1">
      <c r="B1214" s="175"/>
      <c r="H1214" s="178"/>
      <c r="I1214" s="178"/>
      <c r="J1214" s="184"/>
      <c r="N1214" s="178"/>
      <c r="O1214" s="178"/>
      <c r="P1214" s="178"/>
      <c r="S1214" s="458"/>
      <c r="AN1214" s="458"/>
      <c r="BA1214" s="1266"/>
    </row>
    <row r="1215" spans="2:53" ht="15.75" customHeight="1">
      <c r="B1215" s="175"/>
      <c r="H1215" s="178"/>
      <c r="I1215" s="178"/>
      <c r="J1215" s="184"/>
      <c r="N1215" s="178"/>
      <c r="O1215" s="178"/>
      <c r="P1215" s="178"/>
      <c r="S1215" s="458"/>
      <c r="AN1215" s="458"/>
      <c r="BA1215" s="1266"/>
    </row>
    <row r="1216" spans="2:53" ht="15.75" customHeight="1">
      <c r="B1216" s="175"/>
      <c r="H1216" s="178"/>
      <c r="I1216" s="178"/>
      <c r="J1216" s="184"/>
      <c r="N1216" s="178"/>
      <c r="O1216" s="178"/>
      <c r="P1216" s="178"/>
      <c r="S1216" s="458"/>
      <c r="AN1216" s="458"/>
      <c r="BA1216" s="1266"/>
    </row>
    <row r="1217" spans="2:53" ht="15.75" customHeight="1">
      <c r="B1217" s="175"/>
      <c r="H1217" s="178"/>
      <c r="I1217" s="178"/>
      <c r="J1217" s="184"/>
      <c r="N1217" s="178"/>
      <c r="O1217" s="178"/>
      <c r="P1217" s="178"/>
      <c r="S1217" s="458"/>
      <c r="AN1217" s="458"/>
      <c r="BA1217" s="1266"/>
    </row>
    <row r="1218" spans="2:53" ht="15.75" customHeight="1">
      <c r="B1218" s="175"/>
      <c r="H1218" s="178"/>
      <c r="I1218" s="178"/>
      <c r="J1218" s="184"/>
      <c r="N1218" s="178"/>
      <c r="O1218" s="178"/>
      <c r="P1218" s="178"/>
      <c r="S1218" s="458"/>
      <c r="AN1218" s="458"/>
      <c r="BA1218" s="1266"/>
    </row>
    <row r="1219" spans="2:53" ht="15.75" customHeight="1">
      <c r="B1219" s="175"/>
      <c r="H1219" s="178"/>
      <c r="I1219" s="178"/>
      <c r="J1219" s="184"/>
      <c r="N1219" s="178"/>
      <c r="O1219" s="178"/>
      <c r="P1219" s="178"/>
      <c r="S1219" s="458"/>
      <c r="AN1219" s="458"/>
      <c r="BA1219" s="1266"/>
    </row>
    <row r="1220" spans="2:53" ht="15.75" customHeight="1">
      <c r="B1220" s="175"/>
      <c r="H1220" s="178"/>
      <c r="I1220" s="178"/>
      <c r="J1220" s="184"/>
      <c r="N1220" s="178"/>
      <c r="O1220" s="178"/>
      <c r="P1220" s="178"/>
      <c r="S1220" s="458"/>
      <c r="AN1220" s="458"/>
      <c r="BA1220" s="1266"/>
    </row>
    <row r="1221" spans="2:53" ht="15.75" customHeight="1">
      <c r="B1221" s="175"/>
      <c r="H1221" s="178"/>
      <c r="I1221" s="178"/>
      <c r="J1221" s="184"/>
      <c r="N1221" s="178"/>
      <c r="O1221" s="178"/>
      <c r="P1221" s="178"/>
      <c r="S1221" s="458"/>
      <c r="AN1221" s="458"/>
      <c r="BA1221" s="1266"/>
    </row>
    <row r="1222" spans="2:53" ht="15.75" customHeight="1">
      <c r="B1222" s="175"/>
      <c r="H1222" s="178"/>
      <c r="I1222" s="178"/>
      <c r="J1222" s="184"/>
      <c r="N1222" s="178"/>
      <c r="O1222" s="178"/>
      <c r="P1222" s="178"/>
      <c r="S1222" s="458"/>
      <c r="AN1222" s="458"/>
      <c r="BA1222" s="1266"/>
    </row>
    <row r="1223" spans="2:53" ht="15.75" customHeight="1">
      <c r="B1223" s="175"/>
      <c r="H1223" s="178"/>
      <c r="I1223" s="178"/>
      <c r="J1223" s="184"/>
      <c r="N1223" s="178"/>
      <c r="O1223" s="178"/>
      <c r="P1223" s="178"/>
      <c r="S1223" s="458"/>
      <c r="AN1223" s="458"/>
      <c r="BA1223" s="1266"/>
    </row>
    <row r="1224" spans="2:53" ht="15.75" customHeight="1">
      <c r="B1224" s="175"/>
      <c r="H1224" s="178"/>
      <c r="I1224" s="178"/>
      <c r="J1224" s="184"/>
      <c r="N1224" s="178"/>
      <c r="O1224" s="178"/>
      <c r="P1224" s="178"/>
      <c r="S1224" s="458"/>
      <c r="AN1224" s="458"/>
      <c r="BA1224" s="1266"/>
    </row>
    <row r="1225" spans="2:53" ht="15.75" customHeight="1">
      <c r="B1225" s="175"/>
      <c r="H1225" s="178"/>
      <c r="I1225" s="178"/>
      <c r="J1225" s="184"/>
      <c r="N1225" s="178"/>
      <c r="O1225" s="178"/>
      <c r="P1225" s="178"/>
      <c r="S1225" s="458"/>
      <c r="AN1225" s="458"/>
      <c r="BA1225" s="1266"/>
    </row>
    <row r="1226" spans="2:53" ht="15.75" customHeight="1">
      <c r="B1226" s="175"/>
      <c r="H1226" s="178"/>
      <c r="I1226" s="178"/>
      <c r="J1226" s="184"/>
      <c r="N1226" s="178"/>
      <c r="O1226" s="178"/>
      <c r="P1226" s="178"/>
      <c r="S1226" s="458"/>
      <c r="AN1226" s="458"/>
      <c r="BA1226" s="1266"/>
    </row>
    <row r="1227" spans="2:53" ht="15.75" customHeight="1">
      <c r="B1227" s="175"/>
      <c r="H1227" s="178"/>
      <c r="I1227" s="178"/>
      <c r="J1227" s="184"/>
      <c r="N1227" s="178"/>
      <c r="O1227" s="178"/>
      <c r="P1227" s="178"/>
      <c r="S1227" s="458"/>
      <c r="AN1227" s="458"/>
      <c r="BA1227" s="1266"/>
    </row>
    <row r="1228" spans="2:53" ht="15.75" customHeight="1">
      <c r="B1228" s="175"/>
      <c r="H1228" s="178"/>
      <c r="I1228" s="178"/>
      <c r="J1228" s="184"/>
      <c r="N1228" s="178"/>
      <c r="O1228" s="178"/>
      <c r="P1228" s="178"/>
      <c r="S1228" s="458"/>
      <c r="AN1228" s="458"/>
      <c r="BA1228" s="1266"/>
    </row>
    <row r="1229" spans="2:53" ht="15.75" customHeight="1">
      <c r="B1229" s="175"/>
      <c r="H1229" s="178"/>
      <c r="I1229" s="178"/>
      <c r="J1229" s="184"/>
      <c r="N1229" s="178"/>
      <c r="O1229" s="178"/>
      <c r="P1229" s="178"/>
      <c r="S1229" s="458"/>
      <c r="AN1229" s="458"/>
      <c r="BA1229" s="1266"/>
    </row>
    <row r="1230" spans="2:53" ht="15.75" customHeight="1">
      <c r="B1230" s="175"/>
      <c r="H1230" s="178"/>
      <c r="I1230" s="178"/>
      <c r="J1230" s="184"/>
      <c r="N1230" s="178"/>
      <c r="O1230" s="178"/>
      <c r="P1230" s="178"/>
      <c r="S1230" s="458"/>
      <c r="AN1230" s="458"/>
      <c r="BA1230" s="1266"/>
    </row>
    <row r="1231" spans="2:53" ht="15.75" customHeight="1">
      <c r="B1231" s="175"/>
      <c r="H1231" s="178"/>
      <c r="I1231" s="178"/>
      <c r="J1231" s="184"/>
      <c r="N1231" s="178"/>
      <c r="O1231" s="178"/>
      <c r="P1231" s="178"/>
      <c r="S1231" s="458"/>
      <c r="AN1231" s="458"/>
      <c r="BA1231" s="1266"/>
    </row>
    <row r="1232" spans="2:53" ht="15.75" customHeight="1">
      <c r="B1232" s="175"/>
      <c r="H1232" s="178"/>
      <c r="I1232" s="178"/>
      <c r="J1232" s="184"/>
      <c r="N1232" s="178"/>
      <c r="O1232" s="178"/>
      <c r="P1232" s="178"/>
      <c r="S1232" s="458"/>
      <c r="AN1232" s="458"/>
      <c r="BA1232" s="1266"/>
    </row>
    <row r="1233" spans="2:53" ht="15.75" customHeight="1">
      <c r="B1233" s="175"/>
      <c r="H1233" s="178"/>
      <c r="I1233" s="178"/>
      <c r="J1233" s="184"/>
      <c r="N1233" s="178"/>
      <c r="O1233" s="178"/>
      <c r="P1233" s="178"/>
      <c r="S1233" s="458"/>
      <c r="AN1233" s="458"/>
      <c r="BA1233" s="1266"/>
    </row>
    <row r="1234" spans="2:53" ht="15.75" customHeight="1">
      <c r="B1234" s="175"/>
      <c r="H1234" s="178"/>
      <c r="I1234" s="178"/>
      <c r="J1234" s="184"/>
      <c r="N1234" s="178"/>
      <c r="O1234" s="178"/>
      <c r="P1234" s="178"/>
      <c r="S1234" s="458"/>
      <c r="AN1234" s="458"/>
      <c r="BA1234" s="1266"/>
    </row>
    <row r="1235" spans="2:53" ht="15.75" customHeight="1">
      <c r="B1235" s="175"/>
      <c r="H1235" s="178"/>
      <c r="I1235" s="178"/>
      <c r="J1235" s="184"/>
      <c r="N1235" s="178"/>
      <c r="O1235" s="178"/>
      <c r="P1235" s="178"/>
      <c r="S1235" s="458"/>
      <c r="AN1235" s="458"/>
      <c r="BA1235" s="1266"/>
    </row>
    <row r="1236" spans="2:53" ht="15.75" customHeight="1">
      <c r="B1236" s="175"/>
      <c r="H1236" s="178"/>
      <c r="I1236" s="178"/>
      <c r="J1236" s="184"/>
      <c r="N1236" s="178"/>
      <c r="O1236" s="178"/>
      <c r="P1236" s="178"/>
      <c r="S1236" s="458"/>
      <c r="AN1236" s="458"/>
      <c r="BA1236" s="1266"/>
    </row>
    <row r="1237" spans="2:53" ht="15.75" customHeight="1">
      <c r="B1237" s="175"/>
      <c r="H1237" s="178"/>
      <c r="I1237" s="178"/>
      <c r="J1237" s="184"/>
      <c r="N1237" s="178"/>
      <c r="O1237" s="178"/>
      <c r="P1237" s="178"/>
      <c r="S1237" s="458"/>
      <c r="AN1237" s="458"/>
      <c r="BA1237" s="1266"/>
    </row>
    <row r="1238" spans="2:53" ht="15.75" customHeight="1">
      <c r="B1238" s="175"/>
      <c r="H1238" s="178"/>
      <c r="I1238" s="178"/>
      <c r="J1238" s="184"/>
      <c r="N1238" s="178"/>
      <c r="O1238" s="178"/>
      <c r="P1238" s="178"/>
      <c r="S1238" s="458"/>
      <c r="AN1238" s="458"/>
      <c r="BA1238" s="1266"/>
    </row>
    <row r="1239" spans="2:53" ht="15.75" customHeight="1">
      <c r="B1239" s="175"/>
      <c r="H1239" s="178"/>
      <c r="I1239" s="178"/>
      <c r="J1239" s="184"/>
      <c r="N1239" s="178"/>
      <c r="O1239" s="178"/>
      <c r="P1239" s="178"/>
      <c r="S1239" s="458"/>
      <c r="AN1239" s="458"/>
      <c r="BA1239" s="1266"/>
    </row>
    <row r="1240" spans="2:53" ht="15.75" customHeight="1">
      <c r="B1240" s="175"/>
      <c r="H1240" s="178"/>
      <c r="I1240" s="178"/>
      <c r="J1240" s="184"/>
      <c r="N1240" s="178"/>
      <c r="O1240" s="178"/>
      <c r="P1240" s="178"/>
      <c r="S1240" s="458"/>
      <c r="AN1240" s="458"/>
      <c r="BA1240" s="1266"/>
    </row>
    <row r="1241" spans="2:53" ht="15.75" customHeight="1">
      <c r="B1241" s="175"/>
      <c r="H1241" s="178"/>
      <c r="I1241" s="178"/>
      <c r="J1241" s="184"/>
      <c r="N1241" s="178"/>
      <c r="O1241" s="178"/>
      <c r="P1241" s="178"/>
      <c r="S1241" s="458"/>
      <c r="AN1241" s="458"/>
      <c r="BA1241" s="1266"/>
    </row>
    <row r="1242" spans="2:53" ht="15.75" customHeight="1">
      <c r="B1242" s="175"/>
      <c r="H1242" s="178"/>
      <c r="I1242" s="178"/>
      <c r="J1242" s="184"/>
      <c r="N1242" s="178"/>
      <c r="O1242" s="178"/>
      <c r="P1242" s="178"/>
      <c r="S1242" s="458"/>
      <c r="AN1242" s="458"/>
      <c r="BA1242" s="1266"/>
    </row>
    <row r="1243" spans="2:53" ht="15.75" customHeight="1">
      <c r="B1243" s="175"/>
      <c r="H1243" s="178"/>
      <c r="I1243" s="178"/>
      <c r="J1243" s="184"/>
      <c r="N1243" s="178"/>
      <c r="O1243" s="178"/>
      <c r="P1243" s="178"/>
      <c r="S1243" s="458"/>
      <c r="AN1243" s="458"/>
      <c r="BA1243" s="1266"/>
    </row>
    <row r="1244" spans="2:53" ht="15.75" customHeight="1">
      <c r="B1244" s="175"/>
      <c r="H1244" s="178"/>
      <c r="I1244" s="178"/>
      <c r="J1244" s="184"/>
      <c r="N1244" s="178"/>
      <c r="O1244" s="178"/>
      <c r="P1244" s="178"/>
      <c r="S1244" s="458"/>
      <c r="AN1244" s="458"/>
      <c r="BA1244" s="1266"/>
    </row>
    <row r="1245" spans="2:53" ht="15.75" customHeight="1">
      <c r="B1245" s="175"/>
      <c r="H1245" s="178"/>
      <c r="I1245" s="178"/>
      <c r="J1245" s="184"/>
      <c r="N1245" s="178"/>
      <c r="O1245" s="178"/>
      <c r="P1245" s="178"/>
      <c r="S1245" s="458"/>
      <c r="AN1245" s="458"/>
      <c r="BA1245" s="1266"/>
    </row>
    <row r="1246" spans="2:53" ht="15.75" customHeight="1">
      <c r="B1246" s="175"/>
      <c r="H1246" s="178"/>
      <c r="I1246" s="178"/>
      <c r="J1246" s="184"/>
      <c r="N1246" s="178"/>
      <c r="O1246" s="178"/>
      <c r="P1246" s="178"/>
      <c r="S1246" s="458"/>
      <c r="AN1246" s="458"/>
      <c r="BA1246" s="1266"/>
    </row>
    <row r="1247" spans="2:53" ht="15.75" customHeight="1">
      <c r="B1247" s="175"/>
      <c r="H1247" s="178"/>
      <c r="I1247" s="179"/>
      <c r="J1247" s="184"/>
      <c r="N1247" s="178"/>
      <c r="O1247" s="178"/>
      <c r="P1247" s="178"/>
      <c r="S1247" s="458"/>
      <c r="AN1247" s="458"/>
      <c r="BA1247" s="1266"/>
    </row>
    <row r="1248" spans="2:53" ht="15.75" customHeight="1">
      <c r="B1248" s="175"/>
      <c r="H1248" s="178"/>
      <c r="I1248" s="178"/>
      <c r="J1248" s="184"/>
      <c r="N1248" s="178"/>
      <c r="O1248" s="178"/>
      <c r="P1248" s="178"/>
      <c r="S1248" s="458"/>
      <c r="AN1248" s="458"/>
      <c r="BA1248" s="1266"/>
    </row>
    <row r="1249" spans="2:53" ht="15.75" customHeight="1">
      <c r="B1249" s="175"/>
      <c r="H1249" s="178"/>
      <c r="I1249" s="179"/>
      <c r="J1249" s="184"/>
      <c r="N1249" s="178"/>
      <c r="O1249" s="178"/>
      <c r="P1249" s="178"/>
      <c r="S1249" s="458"/>
      <c r="AN1249" s="458"/>
      <c r="BA1249" s="1266"/>
    </row>
    <row r="1250" spans="2:53" ht="15.75" customHeight="1">
      <c r="B1250" s="175"/>
      <c r="H1250" s="178"/>
      <c r="I1250" s="178"/>
      <c r="J1250" s="184"/>
      <c r="N1250" s="178"/>
      <c r="O1250" s="178"/>
      <c r="P1250" s="178"/>
      <c r="S1250" s="458"/>
      <c r="AN1250" s="458"/>
      <c r="BA1250" s="1266"/>
    </row>
    <row r="1251" spans="2:53" ht="15.75" customHeight="1">
      <c r="B1251" s="175"/>
      <c r="H1251" s="178"/>
      <c r="I1251" s="178"/>
      <c r="J1251" s="184"/>
      <c r="N1251" s="178"/>
      <c r="O1251" s="178"/>
      <c r="P1251" s="178"/>
      <c r="S1251" s="458"/>
      <c r="AN1251" s="458"/>
      <c r="BA1251" s="1266"/>
    </row>
    <row r="1252" spans="2:53" ht="15.75" customHeight="1">
      <c r="B1252" s="175"/>
      <c r="H1252" s="178"/>
      <c r="I1252" s="178"/>
      <c r="J1252" s="184"/>
      <c r="N1252" s="178"/>
      <c r="O1252" s="178"/>
      <c r="P1252" s="178"/>
      <c r="S1252" s="458"/>
      <c r="AN1252" s="458"/>
      <c r="BA1252" s="1266"/>
    </row>
    <row r="1253" spans="2:53" ht="15.75" customHeight="1">
      <c r="B1253" s="175"/>
      <c r="H1253" s="178"/>
      <c r="I1253" s="178"/>
      <c r="J1253" s="184"/>
      <c r="N1253" s="178"/>
      <c r="O1253" s="178"/>
      <c r="P1253" s="178"/>
      <c r="S1253" s="458"/>
      <c r="AN1253" s="458"/>
      <c r="BA1253" s="1266"/>
    </row>
    <row r="1254" spans="2:53" ht="15.75" customHeight="1">
      <c r="B1254" s="175"/>
      <c r="H1254" s="178"/>
      <c r="I1254" s="178"/>
      <c r="J1254" s="184"/>
      <c r="N1254" s="178"/>
      <c r="O1254" s="178"/>
      <c r="P1254" s="178"/>
      <c r="S1254" s="458"/>
      <c r="AN1254" s="458"/>
      <c r="BA1254" s="1266"/>
    </row>
    <row r="1255" spans="2:53" ht="15.75" customHeight="1">
      <c r="B1255" s="175"/>
      <c r="H1255" s="178"/>
      <c r="I1255" s="178"/>
      <c r="J1255" s="184"/>
      <c r="N1255" s="178"/>
      <c r="O1255" s="178"/>
      <c r="P1255" s="178"/>
      <c r="S1255" s="458"/>
      <c r="AN1255" s="458"/>
      <c r="BA1255" s="1266"/>
    </row>
    <row r="1256" spans="2:53" ht="15.75" customHeight="1">
      <c r="B1256" s="175"/>
      <c r="H1256" s="178"/>
      <c r="I1256" s="178"/>
      <c r="J1256" s="184"/>
      <c r="N1256" s="178"/>
      <c r="O1256" s="178"/>
      <c r="P1256" s="178"/>
      <c r="S1256" s="458"/>
      <c r="AN1256" s="458"/>
      <c r="BA1256" s="1266"/>
    </row>
    <row r="1257" spans="2:53" ht="15.75" customHeight="1">
      <c r="B1257" s="175"/>
      <c r="H1257" s="178"/>
      <c r="I1257" s="178"/>
      <c r="J1257" s="184"/>
      <c r="N1257" s="178"/>
      <c r="O1257" s="178"/>
      <c r="P1257" s="178"/>
      <c r="S1257" s="458"/>
      <c r="AN1257" s="458"/>
      <c r="BA1257" s="1266"/>
    </row>
    <row r="1258" spans="2:53" ht="15.75" customHeight="1">
      <c r="B1258" s="175"/>
      <c r="H1258" s="178"/>
      <c r="I1258" s="178"/>
      <c r="J1258" s="184"/>
      <c r="N1258" s="178"/>
      <c r="O1258" s="178"/>
      <c r="P1258" s="178"/>
      <c r="S1258" s="458"/>
      <c r="AN1258" s="458"/>
      <c r="BA1258" s="1266"/>
    </row>
    <row r="1259" spans="2:53" ht="15.75" customHeight="1">
      <c r="B1259" s="175"/>
      <c r="H1259" s="178"/>
      <c r="I1259" s="178"/>
      <c r="J1259" s="184"/>
      <c r="N1259" s="178"/>
      <c r="O1259" s="178"/>
      <c r="P1259" s="178"/>
      <c r="S1259" s="458"/>
      <c r="AN1259" s="458"/>
      <c r="BA1259" s="1266"/>
    </row>
    <row r="1260" spans="2:53" ht="15.75" customHeight="1">
      <c r="B1260" s="175"/>
      <c r="H1260" s="178"/>
      <c r="I1260" s="178"/>
      <c r="J1260" s="184"/>
      <c r="N1260" s="178"/>
      <c r="O1260" s="178"/>
      <c r="P1260" s="178"/>
      <c r="S1260" s="458"/>
      <c r="AN1260" s="458"/>
      <c r="BA1260" s="1266"/>
    </row>
    <row r="1261" spans="2:53" ht="15.75" customHeight="1">
      <c r="B1261" s="175"/>
      <c r="H1261" s="178"/>
      <c r="I1261" s="178"/>
      <c r="J1261" s="184"/>
      <c r="N1261" s="178"/>
      <c r="O1261" s="178"/>
      <c r="P1261" s="178"/>
      <c r="S1261" s="458"/>
      <c r="AN1261" s="458"/>
      <c r="BA1261" s="1266"/>
    </row>
    <row r="1262" spans="2:53" ht="15.75" customHeight="1">
      <c r="B1262" s="175"/>
      <c r="H1262" s="178"/>
      <c r="I1262" s="178"/>
      <c r="J1262" s="184"/>
      <c r="N1262" s="178"/>
      <c r="O1262" s="178"/>
      <c r="P1262" s="178"/>
      <c r="S1262" s="458"/>
      <c r="AN1262" s="458"/>
      <c r="BA1262" s="1266"/>
    </row>
    <row r="1263" spans="2:53" ht="15.75" customHeight="1">
      <c r="B1263" s="175"/>
      <c r="H1263" s="178"/>
      <c r="I1263" s="178"/>
      <c r="J1263" s="184"/>
      <c r="N1263" s="178"/>
      <c r="O1263" s="178"/>
      <c r="P1263" s="178"/>
      <c r="S1263" s="458"/>
      <c r="AN1263" s="458"/>
      <c r="BA1263" s="1266"/>
    </row>
    <row r="1264" spans="2:53" ht="15.75" customHeight="1">
      <c r="B1264" s="175"/>
      <c r="H1264" s="178"/>
      <c r="I1264" s="178"/>
      <c r="J1264" s="184"/>
      <c r="N1264" s="178"/>
      <c r="O1264" s="178"/>
      <c r="P1264" s="178"/>
      <c r="S1264" s="458"/>
      <c r="AN1264" s="458"/>
      <c r="BA1264" s="1266"/>
    </row>
    <row r="1265" spans="2:53" ht="15.75" customHeight="1">
      <c r="B1265" s="175"/>
      <c r="H1265" s="178"/>
      <c r="I1265" s="178"/>
      <c r="J1265" s="184"/>
      <c r="N1265" s="178"/>
      <c r="O1265" s="178"/>
      <c r="P1265" s="178"/>
      <c r="S1265" s="458"/>
      <c r="AN1265" s="458"/>
      <c r="BA1265" s="1266"/>
    </row>
    <row r="1266" spans="2:53" ht="15.75" customHeight="1">
      <c r="B1266" s="175"/>
      <c r="H1266" s="178"/>
      <c r="I1266" s="178"/>
      <c r="J1266" s="184"/>
      <c r="N1266" s="178"/>
      <c r="O1266" s="178"/>
      <c r="P1266" s="178"/>
      <c r="S1266" s="458"/>
      <c r="AN1266" s="458"/>
      <c r="BA1266" s="1266"/>
    </row>
    <row r="1267" spans="2:53" ht="15.75" customHeight="1">
      <c r="B1267" s="175"/>
      <c r="H1267" s="178"/>
      <c r="I1267" s="178"/>
      <c r="J1267" s="184"/>
      <c r="N1267" s="178"/>
      <c r="O1267" s="178"/>
      <c r="P1267" s="178"/>
      <c r="S1267" s="458"/>
      <c r="AN1267" s="458"/>
      <c r="BA1267" s="1266"/>
    </row>
    <row r="1268" spans="2:53" ht="15.75" customHeight="1">
      <c r="B1268" s="175"/>
      <c r="H1268" s="178"/>
      <c r="I1268" s="178"/>
      <c r="J1268" s="184"/>
      <c r="N1268" s="178"/>
      <c r="O1268" s="178"/>
      <c r="P1268" s="178"/>
      <c r="S1268" s="458"/>
      <c r="AN1268" s="458"/>
      <c r="BA1268" s="1266"/>
    </row>
    <row r="1269" spans="2:53" ht="15.75" customHeight="1">
      <c r="B1269" s="175"/>
      <c r="H1269" s="178"/>
      <c r="I1269" s="178"/>
      <c r="J1269" s="184"/>
      <c r="N1269" s="178"/>
      <c r="O1269" s="178"/>
      <c r="P1269" s="178"/>
      <c r="S1269" s="458"/>
      <c r="AN1269" s="458"/>
      <c r="BA1269" s="1266"/>
    </row>
    <row r="1270" spans="2:53" ht="15.75" customHeight="1">
      <c r="B1270" s="175"/>
      <c r="H1270" s="178"/>
      <c r="I1270" s="178"/>
      <c r="J1270" s="184"/>
      <c r="N1270" s="178"/>
      <c r="O1270" s="178"/>
      <c r="P1270" s="178"/>
      <c r="S1270" s="458"/>
      <c r="AN1270" s="458"/>
      <c r="BA1270" s="1266"/>
    </row>
    <row r="1271" spans="2:53" ht="15.75" customHeight="1">
      <c r="B1271" s="175"/>
      <c r="H1271" s="178"/>
      <c r="I1271" s="178"/>
      <c r="J1271" s="184"/>
      <c r="N1271" s="178"/>
      <c r="O1271" s="178"/>
      <c r="P1271" s="178"/>
      <c r="S1271" s="458"/>
      <c r="AN1271" s="458"/>
      <c r="BA1271" s="1266"/>
    </row>
    <row r="1272" spans="2:53" ht="15.75" customHeight="1">
      <c r="B1272" s="175"/>
      <c r="H1272" s="178"/>
      <c r="I1272" s="178"/>
      <c r="J1272" s="184"/>
      <c r="N1272" s="178"/>
      <c r="O1272" s="178"/>
      <c r="P1272" s="178"/>
      <c r="S1272" s="458"/>
      <c r="AN1272" s="458"/>
      <c r="BA1272" s="1266"/>
    </row>
    <row r="1273" spans="2:53" ht="15.75" customHeight="1">
      <c r="B1273" s="175"/>
      <c r="H1273" s="178"/>
      <c r="I1273" s="178"/>
      <c r="J1273" s="184"/>
      <c r="N1273" s="178"/>
      <c r="O1273" s="178"/>
      <c r="P1273" s="178"/>
      <c r="S1273" s="458"/>
      <c r="AN1273" s="458"/>
      <c r="BA1273" s="1266"/>
    </row>
    <row r="1274" spans="2:53" ht="15.75" customHeight="1">
      <c r="B1274" s="175"/>
      <c r="H1274" s="178"/>
      <c r="I1274" s="178"/>
      <c r="J1274" s="184"/>
      <c r="N1274" s="178"/>
      <c r="O1274" s="178"/>
      <c r="P1274" s="178"/>
      <c r="S1274" s="458"/>
      <c r="AN1274" s="458"/>
      <c r="BA1274" s="1266"/>
    </row>
    <row r="1275" spans="2:53" ht="15.75" customHeight="1">
      <c r="B1275" s="175"/>
      <c r="H1275" s="178"/>
      <c r="I1275" s="178"/>
      <c r="J1275" s="184"/>
      <c r="N1275" s="178"/>
      <c r="O1275" s="178"/>
      <c r="P1275" s="178"/>
      <c r="S1275" s="458"/>
      <c r="AN1275" s="458"/>
      <c r="BA1275" s="1266"/>
    </row>
    <row r="1276" spans="2:53" ht="15.75" customHeight="1">
      <c r="B1276" s="175"/>
      <c r="H1276" s="178"/>
      <c r="I1276" s="178"/>
      <c r="J1276" s="184"/>
      <c r="N1276" s="178"/>
      <c r="O1276" s="178"/>
      <c r="P1276" s="178"/>
      <c r="S1276" s="458"/>
      <c r="AN1276" s="458"/>
      <c r="BA1276" s="1266"/>
    </row>
    <row r="1277" spans="2:53" ht="15.75" customHeight="1">
      <c r="B1277" s="175"/>
      <c r="H1277" s="178"/>
      <c r="I1277" s="178"/>
      <c r="J1277" s="184"/>
      <c r="N1277" s="178"/>
      <c r="O1277" s="178"/>
      <c r="P1277" s="178"/>
      <c r="S1277" s="458"/>
      <c r="AN1277" s="458"/>
      <c r="BA1277" s="1266"/>
    </row>
    <row r="1278" spans="2:53" ht="15.75" customHeight="1">
      <c r="B1278" s="175"/>
      <c r="H1278" s="178"/>
      <c r="I1278" s="178"/>
      <c r="J1278" s="184"/>
      <c r="N1278" s="178"/>
      <c r="O1278" s="178"/>
      <c r="P1278" s="178"/>
      <c r="S1278" s="458"/>
      <c r="AN1278" s="458"/>
      <c r="BA1278" s="1266"/>
    </row>
    <row r="1279" spans="2:53" ht="15.75" customHeight="1">
      <c r="B1279" s="175"/>
      <c r="H1279" s="178"/>
      <c r="I1279" s="178"/>
      <c r="J1279" s="184"/>
      <c r="N1279" s="178"/>
      <c r="O1279" s="178"/>
      <c r="P1279" s="178"/>
      <c r="S1279" s="458"/>
      <c r="AN1279" s="458"/>
      <c r="BA1279" s="1266"/>
    </row>
    <row r="1280" spans="2:53" ht="15.75" customHeight="1">
      <c r="B1280" s="175"/>
      <c r="H1280" s="178"/>
      <c r="I1280" s="178"/>
      <c r="J1280" s="184"/>
      <c r="N1280" s="178"/>
      <c r="O1280" s="178"/>
      <c r="P1280" s="178"/>
      <c r="S1280" s="458"/>
      <c r="AN1280" s="458"/>
      <c r="BA1280" s="1266"/>
    </row>
    <row r="1281" spans="2:53" ht="15.75" customHeight="1">
      <c r="B1281" s="175"/>
      <c r="H1281" s="178"/>
      <c r="I1281" s="179"/>
      <c r="J1281" s="184"/>
      <c r="N1281" s="178"/>
      <c r="O1281" s="178"/>
      <c r="P1281" s="178"/>
      <c r="S1281" s="458"/>
      <c r="AN1281" s="458"/>
      <c r="BA1281" s="1266"/>
    </row>
    <row r="1282" spans="2:53" ht="15.75" customHeight="1">
      <c r="B1282" s="175"/>
      <c r="H1282" s="178"/>
      <c r="I1282" s="178"/>
      <c r="J1282" s="184"/>
      <c r="N1282" s="178"/>
      <c r="O1282" s="178"/>
      <c r="P1282" s="178"/>
      <c r="S1282" s="458"/>
      <c r="AN1282" s="458"/>
      <c r="BA1282" s="1266"/>
    </row>
    <row r="1283" spans="2:53" ht="15.75" customHeight="1">
      <c r="B1283" s="175"/>
      <c r="H1283" s="178"/>
      <c r="I1283" s="179"/>
      <c r="J1283" s="184"/>
      <c r="N1283" s="178"/>
      <c r="O1283" s="178"/>
      <c r="P1283" s="178"/>
      <c r="S1283" s="458"/>
      <c r="AN1283" s="458"/>
      <c r="BA1283" s="1266"/>
    </row>
    <row r="1284" spans="2:53" ht="15.75" customHeight="1">
      <c r="B1284" s="175"/>
      <c r="H1284" s="178"/>
      <c r="I1284" s="178"/>
      <c r="J1284" s="184"/>
      <c r="N1284" s="178"/>
      <c r="O1284" s="178"/>
      <c r="P1284" s="178"/>
      <c r="S1284" s="458"/>
      <c r="AN1284" s="458"/>
      <c r="BA1284" s="1266"/>
    </row>
    <row r="1285" spans="2:53" ht="15.75" customHeight="1">
      <c r="B1285" s="175"/>
      <c r="H1285" s="178"/>
      <c r="I1285" s="178"/>
      <c r="J1285" s="184"/>
      <c r="N1285" s="178"/>
      <c r="O1285" s="178"/>
      <c r="P1285" s="178"/>
      <c r="S1285" s="458"/>
      <c r="AN1285" s="458"/>
      <c r="BA1285" s="1266"/>
    </row>
    <row r="1286" spans="2:53" ht="15.75" customHeight="1">
      <c r="B1286" s="175"/>
      <c r="H1286" s="178"/>
      <c r="I1286" s="178"/>
      <c r="J1286" s="184"/>
      <c r="N1286" s="178"/>
      <c r="O1286" s="178"/>
      <c r="P1286" s="178"/>
      <c r="S1286" s="458"/>
      <c r="AN1286" s="458"/>
      <c r="BA1286" s="1266"/>
    </row>
    <row r="1287" spans="2:53" ht="15.75" customHeight="1">
      <c r="B1287" s="175"/>
      <c r="H1287" s="178"/>
      <c r="I1287" s="178"/>
      <c r="J1287" s="184"/>
      <c r="N1287" s="178"/>
      <c r="O1287" s="178"/>
      <c r="P1287" s="178"/>
      <c r="S1287" s="458"/>
      <c r="AN1287" s="458"/>
      <c r="BA1287" s="1266"/>
    </row>
    <row r="1288" spans="2:53" ht="15.75" customHeight="1">
      <c r="B1288" s="175"/>
      <c r="H1288" s="178"/>
      <c r="I1288" s="178"/>
      <c r="J1288" s="184"/>
      <c r="N1288" s="178"/>
      <c r="O1288" s="178"/>
      <c r="P1288" s="178"/>
      <c r="S1288" s="458"/>
      <c r="AN1288" s="458"/>
      <c r="BA1288" s="1266"/>
    </row>
    <row r="1289" spans="2:53" ht="15.75" customHeight="1">
      <c r="B1289" s="175"/>
      <c r="H1289" s="178"/>
      <c r="I1289" s="178"/>
      <c r="J1289" s="184"/>
      <c r="N1289" s="178"/>
      <c r="O1289" s="178"/>
      <c r="P1289" s="178"/>
      <c r="S1289" s="458"/>
      <c r="AN1289" s="458"/>
      <c r="BA1289" s="1266"/>
    </row>
    <row r="1290" spans="2:53" ht="15.75" customHeight="1">
      <c r="B1290" s="175"/>
      <c r="H1290" s="178"/>
      <c r="I1290" s="178"/>
      <c r="J1290" s="184"/>
      <c r="N1290" s="178"/>
      <c r="O1290" s="178"/>
      <c r="P1290" s="178"/>
      <c r="S1290" s="458"/>
      <c r="AN1290" s="458"/>
      <c r="BA1290" s="1266"/>
    </row>
    <row r="1291" spans="2:53" ht="15.75" customHeight="1">
      <c r="B1291" s="175"/>
      <c r="H1291" s="178"/>
      <c r="I1291" s="178"/>
      <c r="J1291" s="184"/>
      <c r="N1291" s="178"/>
      <c r="O1291" s="178"/>
      <c r="P1291" s="178"/>
      <c r="S1291" s="458"/>
      <c r="AN1291" s="458"/>
      <c r="BA1291" s="1266"/>
    </row>
    <row r="1292" spans="2:53" ht="15.75" customHeight="1">
      <c r="B1292" s="175"/>
      <c r="H1292" s="178"/>
      <c r="I1292" s="178"/>
      <c r="J1292" s="184"/>
      <c r="N1292" s="178"/>
      <c r="O1292" s="178"/>
      <c r="P1292" s="178"/>
      <c r="S1292" s="458"/>
      <c r="AN1292" s="458"/>
      <c r="BA1292" s="1266"/>
    </row>
    <row r="1293" spans="2:53" ht="15.75" customHeight="1">
      <c r="B1293" s="175"/>
      <c r="H1293" s="178"/>
      <c r="I1293" s="178"/>
      <c r="J1293" s="184"/>
      <c r="N1293" s="178"/>
      <c r="O1293" s="178"/>
      <c r="P1293" s="178"/>
      <c r="S1293" s="458"/>
      <c r="AN1293" s="458"/>
      <c r="BA1293" s="1266"/>
    </row>
    <row r="1294" spans="2:53" ht="15.75" customHeight="1">
      <c r="B1294" s="175"/>
      <c r="H1294" s="178"/>
      <c r="I1294" s="178"/>
      <c r="J1294" s="184"/>
      <c r="N1294" s="178"/>
      <c r="O1294" s="178"/>
      <c r="P1294" s="178"/>
      <c r="S1294" s="458"/>
      <c r="AN1294" s="458"/>
      <c r="BA1294" s="1266"/>
    </row>
    <row r="1295" spans="2:53" ht="15.75" customHeight="1">
      <c r="B1295" s="175"/>
      <c r="H1295" s="178"/>
      <c r="I1295" s="178"/>
      <c r="J1295" s="184"/>
      <c r="N1295" s="178"/>
      <c r="O1295" s="178"/>
      <c r="P1295" s="178"/>
      <c r="S1295" s="458"/>
      <c r="AN1295" s="458"/>
      <c r="BA1295" s="1266"/>
    </row>
    <row r="1296" spans="2:53" ht="15.75" customHeight="1">
      <c r="B1296" s="175"/>
      <c r="H1296" s="178"/>
      <c r="I1296" s="178"/>
      <c r="J1296" s="184"/>
      <c r="N1296" s="178"/>
      <c r="O1296" s="178"/>
      <c r="P1296" s="178"/>
      <c r="S1296" s="458"/>
      <c r="AN1296" s="458"/>
      <c r="BA1296" s="1266"/>
    </row>
    <row r="1297" spans="2:53" ht="15.75" customHeight="1">
      <c r="B1297" s="175"/>
      <c r="H1297" s="178"/>
      <c r="I1297" s="178"/>
      <c r="J1297" s="184"/>
      <c r="N1297" s="178"/>
      <c r="O1297" s="178"/>
      <c r="P1297" s="178"/>
      <c r="S1297" s="458"/>
      <c r="AN1297" s="458"/>
      <c r="BA1297" s="1266"/>
    </row>
    <row r="1298" spans="2:53" ht="15.75" customHeight="1">
      <c r="B1298" s="175"/>
      <c r="H1298" s="178"/>
      <c r="I1298" s="178"/>
      <c r="J1298" s="184"/>
      <c r="N1298" s="178"/>
      <c r="O1298" s="178"/>
      <c r="P1298" s="178"/>
      <c r="S1298" s="458"/>
      <c r="AN1298" s="458"/>
    </row>
    <row r="1299" spans="2:53" ht="15.75" customHeight="1">
      <c r="B1299" s="175"/>
      <c r="H1299" s="178"/>
      <c r="I1299" s="178"/>
      <c r="J1299" s="184"/>
      <c r="N1299" s="178"/>
      <c r="O1299" s="178"/>
      <c r="P1299" s="178"/>
      <c r="S1299" s="458"/>
      <c r="AN1299" s="458"/>
    </row>
    <row r="1300" spans="2:53" ht="15.75" customHeight="1">
      <c r="B1300" s="175"/>
      <c r="H1300" s="178"/>
      <c r="I1300" s="178"/>
      <c r="J1300" s="184"/>
      <c r="N1300" s="178"/>
      <c r="O1300" s="178"/>
      <c r="P1300" s="178"/>
      <c r="S1300" s="458"/>
      <c r="AN1300" s="458"/>
    </row>
    <row r="1301" spans="2:53" ht="15.75" customHeight="1">
      <c r="B1301" s="175"/>
      <c r="H1301" s="178"/>
      <c r="I1301" s="178"/>
      <c r="J1301" s="184"/>
      <c r="N1301" s="178"/>
      <c r="O1301" s="178"/>
      <c r="P1301" s="178"/>
      <c r="S1301" s="458"/>
      <c r="AN1301" s="458"/>
    </row>
    <row r="1302" spans="2:53" ht="15.75" customHeight="1">
      <c r="B1302" s="175"/>
      <c r="H1302" s="178"/>
      <c r="I1302" s="178"/>
      <c r="J1302" s="184"/>
      <c r="N1302" s="178"/>
      <c r="O1302" s="178"/>
      <c r="P1302" s="178"/>
      <c r="S1302" s="458"/>
      <c r="AN1302" s="458"/>
    </row>
    <row r="1303" spans="2:53" ht="15.75" customHeight="1">
      <c r="B1303" s="175"/>
      <c r="H1303" s="178"/>
      <c r="I1303" s="178"/>
      <c r="J1303" s="184"/>
      <c r="N1303" s="178"/>
      <c r="O1303" s="178"/>
      <c r="P1303" s="178"/>
      <c r="S1303" s="458"/>
      <c r="AN1303" s="458"/>
    </row>
    <row r="1304" spans="2:53" ht="15.75" customHeight="1">
      <c r="B1304" s="175"/>
      <c r="H1304" s="178"/>
      <c r="I1304" s="178"/>
      <c r="J1304" s="184"/>
      <c r="N1304" s="178"/>
      <c r="O1304" s="178"/>
      <c r="P1304" s="178"/>
      <c r="S1304" s="458"/>
      <c r="AN1304" s="458"/>
    </row>
    <row r="1305" spans="2:53" ht="15.75" customHeight="1">
      <c r="B1305" s="175"/>
      <c r="H1305" s="178"/>
      <c r="I1305" s="178"/>
      <c r="J1305" s="184"/>
      <c r="N1305" s="178"/>
      <c r="O1305" s="178"/>
      <c r="P1305" s="178"/>
      <c r="S1305" s="458"/>
      <c r="AN1305" s="458"/>
    </row>
    <row r="1306" spans="2:53" ht="15.75" customHeight="1">
      <c r="B1306" s="175"/>
      <c r="H1306" s="178"/>
      <c r="I1306" s="178"/>
      <c r="J1306" s="184"/>
      <c r="N1306" s="178"/>
      <c r="O1306" s="178"/>
      <c r="P1306" s="178"/>
      <c r="S1306" s="458"/>
      <c r="AN1306" s="458"/>
    </row>
    <row r="1307" spans="2:53" ht="15.75" customHeight="1">
      <c r="B1307" s="175"/>
      <c r="H1307" s="178"/>
      <c r="I1307" s="178"/>
      <c r="J1307" s="184"/>
      <c r="N1307" s="178"/>
      <c r="O1307" s="178"/>
      <c r="P1307" s="178"/>
      <c r="S1307" s="458"/>
      <c r="AN1307" s="458"/>
    </row>
    <row r="1308" spans="2:53" ht="15.75" customHeight="1">
      <c r="B1308" s="175"/>
      <c r="H1308" s="178"/>
      <c r="I1308" s="178"/>
      <c r="J1308" s="184"/>
      <c r="N1308" s="178"/>
      <c r="O1308" s="178"/>
      <c r="P1308" s="178"/>
      <c r="S1308" s="458"/>
      <c r="AN1308" s="458"/>
    </row>
    <row r="1309" spans="2:53" ht="15.75" customHeight="1">
      <c r="B1309" s="175"/>
      <c r="H1309" s="178"/>
      <c r="I1309" s="178"/>
      <c r="J1309" s="184"/>
      <c r="N1309" s="178"/>
      <c r="O1309" s="178"/>
      <c r="P1309" s="178"/>
      <c r="S1309" s="458"/>
      <c r="AN1309" s="458"/>
    </row>
    <row r="1310" spans="2:53" ht="15.75" customHeight="1">
      <c r="B1310" s="175"/>
      <c r="H1310" s="178"/>
      <c r="I1310" s="178"/>
      <c r="J1310" s="184"/>
      <c r="N1310" s="178"/>
      <c r="O1310" s="178"/>
      <c r="P1310" s="178"/>
      <c r="S1310" s="458"/>
      <c r="AN1310" s="458"/>
    </row>
    <row r="1311" spans="2:53" ht="15.75" customHeight="1">
      <c r="B1311" s="175"/>
      <c r="H1311" s="178"/>
      <c r="I1311" s="178"/>
      <c r="J1311" s="184"/>
      <c r="N1311" s="178"/>
      <c r="O1311" s="178"/>
      <c r="P1311" s="178"/>
      <c r="S1311" s="458"/>
      <c r="AN1311" s="458"/>
    </row>
    <row r="1312" spans="2:53" ht="15.75" customHeight="1">
      <c r="B1312" s="175"/>
      <c r="N1312" s="178"/>
      <c r="O1312" s="178"/>
      <c r="P1312" s="178"/>
      <c r="S1312" s="458"/>
      <c r="AN1312" s="458"/>
    </row>
    <row r="1313" spans="2:40" ht="15.75" customHeight="1">
      <c r="B1313" s="175"/>
      <c r="N1313" s="178"/>
      <c r="O1313" s="178"/>
      <c r="P1313" s="178"/>
      <c r="S1313" s="458"/>
      <c r="AN1313" s="458"/>
    </row>
    <row r="1314" spans="2:40" ht="15.75" customHeight="1">
      <c r="B1314" s="175"/>
      <c r="H1314" s="178"/>
      <c r="I1314" s="178"/>
      <c r="J1314" s="184"/>
      <c r="N1314" s="178"/>
      <c r="O1314" s="178"/>
      <c r="P1314" s="178"/>
      <c r="S1314" s="458"/>
      <c r="AN1314" s="458"/>
    </row>
    <row r="1315" spans="2:40" ht="15.75" customHeight="1">
      <c r="B1315" s="175"/>
      <c r="H1315" s="178"/>
      <c r="I1315" s="179"/>
      <c r="J1315" s="184"/>
      <c r="N1315" s="178"/>
      <c r="O1315" s="178"/>
      <c r="P1315" s="178"/>
      <c r="S1315" s="458"/>
      <c r="AN1315" s="458"/>
    </row>
    <row r="1316" spans="2:40" ht="15.75" customHeight="1">
      <c r="B1316" s="175"/>
      <c r="H1316" s="178"/>
      <c r="I1316" s="178"/>
      <c r="J1316" s="184"/>
      <c r="N1316" s="178"/>
      <c r="O1316" s="178"/>
      <c r="P1316" s="178"/>
      <c r="S1316" s="458"/>
      <c r="AN1316" s="458"/>
    </row>
    <row r="1317" spans="2:40" ht="15.75" customHeight="1">
      <c r="B1317" s="175"/>
      <c r="H1317" s="178"/>
      <c r="I1317" s="179"/>
      <c r="J1317" s="184"/>
      <c r="N1317" s="178"/>
      <c r="O1317" s="178"/>
      <c r="P1317" s="178"/>
      <c r="S1317" s="458"/>
      <c r="AN1317" s="458"/>
    </row>
    <row r="1318" spans="2:40" ht="15.75" customHeight="1">
      <c r="B1318" s="175"/>
      <c r="H1318" s="178"/>
      <c r="I1318" s="178"/>
      <c r="J1318" s="184"/>
      <c r="N1318" s="178"/>
      <c r="O1318" s="178"/>
      <c r="P1318" s="178"/>
      <c r="S1318" s="458"/>
      <c r="AN1318" s="458"/>
    </row>
    <row r="1319" spans="2:40" ht="15.75" customHeight="1">
      <c r="B1319" s="175"/>
      <c r="H1319" s="178"/>
      <c r="I1319" s="178"/>
      <c r="J1319" s="184"/>
      <c r="N1319" s="178"/>
      <c r="O1319" s="178"/>
      <c r="P1319" s="178"/>
      <c r="S1319" s="458"/>
      <c r="AN1319" s="458"/>
    </row>
    <row r="1320" spans="2:40" ht="15.75" customHeight="1">
      <c r="B1320" s="175"/>
      <c r="H1320" s="178"/>
      <c r="I1320" s="178"/>
      <c r="J1320" s="184"/>
      <c r="N1320" s="178"/>
      <c r="O1320" s="178"/>
      <c r="P1320" s="178"/>
      <c r="S1320" s="458"/>
      <c r="AN1320" s="458"/>
    </row>
    <row r="1321" spans="2:40" ht="15.75" customHeight="1">
      <c r="B1321" s="175"/>
      <c r="H1321" s="178"/>
      <c r="I1321" s="178"/>
      <c r="J1321" s="184"/>
      <c r="N1321" s="178"/>
      <c r="O1321" s="178"/>
      <c r="P1321" s="178"/>
      <c r="S1321" s="458"/>
      <c r="AN1321" s="458"/>
    </row>
    <row r="1322" spans="2:40" ht="15.75" customHeight="1">
      <c r="B1322" s="175"/>
      <c r="H1322" s="178"/>
      <c r="I1322" s="178"/>
      <c r="J1322" s="184"/>
      <c r="N1322" s="178"/>
      <c r="O1322" s="178"/>
      <c r="P1322" s="178"/>
      <c r="S1322" s="458"/>
      <c r="AN1322" s="458"/>
    </row>
    <row r="1323" spans="2:40" ht="15.75" customHeight="1">
      <c r="B1323" s="175"/>
      <c r="H1323" s="178"/>
      <c r="I1323" s="178"/>
      <c r="J1323" s="184"/>
      <c r="N1323" s="178"/>
      <c r="O1323" s="178"/>
      <c r="P1323" s="178"/>
      <c r="S1323" s="458"/>
      <c r="AN1323" s="458"/>
    </row>
    <row r="1324" spans="2:40" ht="15.75" customHeight="1">
      <c r="B1324" s="175"/>
      <c r="H1324" s="178"/>
      <c r="I1324" s="178"/>
      <c r="J1324" s="184"/>
      <c r="N1324" s="178"/>
      <c r="O1324" s="178"/>
      <c r="P1324" s="178"/>
      <c r="S1324" s="458"/>
      <c r="AN1324" s="458"/>
    </row>
    <row r="1325" spans="2:40" ht="15.75" customHeight="1">
      <c r="B1325" s="175"/>
      <c r="N1325" s="178"/>
      <c r="O1325" s="178"/>
      <c r="P1325" s="178"/>
      <c r="S1325" s="458"/>
      <c r="AN1325" s="458"/>
    </row>
    <row r="1326" spans="2:40" ht="15.75" customHeight="1">
      <c r="B1326" s="175"/>
      <c r="N1326" s="178"/>
      <c r="O1326" s="178"/>
      <c r="P1326" s="178"/>
      <c r="S1326" s="458"/>
      <c r="AN1326" s="458"/>
    </row>
    <row r="1327" spans="2:40" ht="15.75" customHeight="1">
      <c r="B1327" s="175"/>
      <c r="N1327" s="178"/>
      <c r="O1327" s="178"/>
      <c r="P1327" s="178"/>
      <c r="S1327" s="458"/>
      <c r="AN1327" s="458"/>
    </row>
    <row r="1328" spans="2:40" ht="15.75" customHeight="1">
      <c r="B1328" s="175"/>
      <c r="N1328" s="178"/>
      <c r="P1328" s="178"/>
      <c r="S1328" s="458"/>
      <c r="AN1328" s="458"/>
    </row>
    <row r="1329" spans="2:40" ht="15.75" customHeight="1">
      <c r="B1329" s="175"/>
      <c r="H1329" s="178"/>
      <c r="I1329" s="178"/>
      <c r="J1329" s="184"/>
      <c r="N1329" s="178"/>
      <c r="P1329" s="178"/>
      <c r="S1329" s="458"/>
      <c r="AN1329" s="458"/>
    </row>
    <row r="1330" spans="2:40" ht="15.75" customHeight="1">
      <c r="B1330" s="175"/>
      <c r="H1330" s="178"/>
      <c r="I1330" s="178"/>
      <c r="J1330" s="184"/>
      <c r="N1330" s="178"/>
      <c r="P1330" s="178"/>
      <c r="S1330" s="458"/>
      <c r="AN1330" s="458"/>
    </row>
    <row r="1331" spans="2:40" ht="15.75" customHeight="1">
      <c r="B1331" s="175"/>
      <c r="H1331" s="178"/>
      <c r="I1331" s="178"/>
      <c r="J1331" s="184"/>
      <c r="N1331" s="178"/>
      <c r="O1331" s="178"/>
      <c r="P1331" s="178"/>
      <c r="S1331" s="458"/>
      <c r="AN1331" s="458"/>
    </row>
    <row r="1332" spans="2:40" ht="15.75" customHeight="1">
      <c r="B1332" s="175"/>
      <c r="H1332" s="178"/>
      <c r="I1332" s="178"/>
      <c r="J1332" s="184"/>
      <c r="N1332" s="178"/>
      <c r="O1332" s="178"/>
      <c r="P1332" s="178"/>
      <c r="S1332" s="458"/>
      <c r="AN1332" s="458"/>
    </row>
    <row r="1333" spans="2:40" ht="15.75" customHeight="1">
      <c r="B1333" s="175"/>
      <c r="H1333" s="178"/>
      <c r="I1333" s="178"/>
      <c r="J1333" s="184"/>
      <c r="N1333" s="178"/>
      <c r="O1333" s="178"/>
      <c r="P1333" s="178"/>
      <c r="S1333" s="458"/>
      <c r="AN1333" s="458"/>
    </row>
    <row r="1334" spans="2:40" ht="15.75" customHeight="1">
      <c r="B1334" s="175"/>
      <c r="H1334" s="178"/>
      <c r="I1334" s="178"/>
      <c r="J1334" s="184"/>
      <c r="N1334" s="178"/>
      <c r="O1334" s="178"/>
      <c r="P1334" s="178"/>
      <c r="S1334" s="458"/>
      <c r="AN1334" s="458"/>
    </row>
    <row r="1335" spans="2:40" ht="15.75" customHeight="1">
      <c r="B1335" s="175"/>
      <c r="H1335" s="178"/>
      <c r="I1335" s="178"/>
      <c r="J1335" s="184"/>
      <c r="N1335" s="178"/>
      <c r="O1335" s="178"/>
      <c r="P1335" s="178"/>
      <c r="S1335" s="458"/>
      <c r="AN1335" s="458"/>
    </row>
    <row r="1336" spans="2:40" ht="15.75" customHeight="1">
      <c r="B1336" s="175"/>
      <c r="H1336" s="178"/>
      <c r="I1336" s="178"/>
      <c r="J1336" s="184"/>
      <c r="N1336" s="178"/>
      <c r="O1336" s="178"/>
      <c r="P1336" s="178"/>
      <c r="S1336" s="458"/>
      <c r="AN1336" s="458"/>
    </row>
    <row r="1337" spans="2:40" ht="15.75" customHeight="1">
      <c r="B1337" s="175"/>
      <c r="H1337" s="178"/>
      <c r="I1337" s="178"/>
      <c r="J1337" s="184"/>
      <c r="N1337" s="178"/>
      <c r="O1337" s="178"/>
      <c r="P1337" s="178"/>
      <c r="S1337" s="458"/>
      <c r="AN1337" s="458"/>
    </row>
    <row r="1338" spans="2:40" ht="15.75" customHeight="1">
      <c r="B1338" s="175"/>
      <c r="N1338" s="178"/>
      <c r="O1338" s="178"/>
      <c r="P1338" s="178"/>
      <c r="S1338" s="458"/>
      <c r="AN1338" s="458"/>
    </row>
    <row r="1339" spans="2:40" ht="15.75" customHeight="1">
      <c r="B1339" s="175"/>
      <c r="H1339" s="178"/>
      <c r="I1339" s="178"/>
      <c r="J1339" s="184"/>
      <c r="N1339" s="178"/>
      <c r="O1339" s="178"/>
      <c r="P1339" s="178"/>
      <c r="S1339" s="458"/>
      <c r="AN1339" s="458"/>
    </row>
    <row r="1340" spans="2:40" ht="15.75" customHeight="1">
      <c r="B1340" s="175"/>
      <c r="H1340" s="178"/>
      <c r="I1340" s="178"/>
      <c r="J1340" s="184"/>
      <c r="N1340" s="178"/>
      <c r="O1340" s="178"/>
      <c r="P1340" s="178"/>
      <c r="S1340" s="458"/>
      <c r="AN1340" s="458"/>
    </row>
    <row r="1341" spans="2:40" ht="15.75" customHeight="1">
      <c r="B1341" s="175"/>
      <c r="N1341" s="178"/>
      <c r="O1341" s="178"/>
      <c r="P1341" s="178"/>
      <c r="S1341" s="458"/>
      <c r="AN1341" s="458"/>
    </row>
    <row r="1342" spans="2:40" ht="15.75" customHeight="1">
      <c r="B1342" s="175"/>
      <c r="H1342" s="178"/>
      <c r="I1342" s="178"/>
      <c r="J1342" s="184"/>
      <c r="N1342" s="178"/>
      <c r="O1342" s="178"/>
      <c r="P1342" s="178"/>
      <c r="S1342" s="458"/>
      <c r="AN1342" s="458"/>
    </row>
    <row r="1343" spans="2:40" ht="15.75" customHeight="1">
      <c r="B1343" s="175"/>
      <c r="H1343" s="178"/>
      <c r="I1343" s="179"/>
      <c r="J1343" s="184"/>
      <c r="N1343" s="178"/>
      <c r="O1343" s="178"/>
      <c r="P1343" s="178"/>
      <c r="S1343" s="458"/>
      <c r="AN1343" s="458"/>
    </row>
    <row r="1344" spans="2:40" ht="15.75" customHeight="1">
      <c r="B1344" s="175"/>
      <c r="H1344" s="178"/>
      <c r="I1344" s="178"/>
      <c r="J1344" s="184"/>
      <c r="N1344" s="178"/>
      <c r="O1344" s="178"/>
      <c r="P1344" s="178"/>
      <c r="S1344" s="458"/>
      <c r="AN1344" s="458"/>
    </row>
    <row r="1345" spans="2:40" ht="15.75" customHeight="1">
      <c r="B1345" s="175"/>
      <c r="H1345" s="178"/>
      <c r="I1345" s="179"/>
      <c r="J1345" s="184"/>
      <c r="N1345" s="178"/>
      <c r="O1345" s="178"/>
      <c r="P1345" s="178"/>
      <c r="S1345" s="458"/>
      <c r="AN1345" s="458"/>
    </row>
    <row r="1346" spans="2:40" ht="15.75" customHeight="1">
      <c r="B1346" s="175"/>
      <c r="H1346" s="178"/>
      <c r="I1346" s="178"/>
      <c r="J1346" s="184"/>
      <c r="N1346" s="178"/>
      <c r="O1346" s="178"/>
      <c r="P1346" s="178"/>
      <c r="S1346" s="458"/>
      <c r="AN1346" s="458"/>
    </row>
    <row r="1347" spans="2:40" ht="15.75" customHeight="1">
      <c r="B1347" s="175"/>
      <c r="N1347" s="178"/>
      <c r="O1347" s="178"/>
      <c r="P1347" s="178"/>
      <c r="S1347" s="458"/>
      <c r="AN1347" s="458"/>
    </row>
    <row r="1348" spans="2:40" ht="15.75" customHeight="1">
      <c r="B1348" s="175"/>
      <c r="N1348" s="178"/>
      <c r="O1348" s="178"/>
      <c r="P1348" s="178"/>
      <c r="S1348" s="458"/>
      <c r="AN1348" s="458"/>
    </row>
    <row r="1349" spans="2:40" ht="15.75" customHeight="1">
      <c r="B1349" s="175"/>
      <c r="N1349" s="178"/>
      <c r="O1349" s="178"/>
      <c r="P1349" s="178"/>
      <c r="S1349" s="458"/>
      <c r="AN1349" s="458"/>
    </row>
    <row r="1350" spans="2:40" ht="15.75" customHeight="1">
      <c r="B1350" s="175"/>
      <c r="N1350" s="178"/>
      <c r="O1350" s="178"/>
      <c r="P1350" s="178"/>
      <c r="S1350" s="458"/>
      <c r="AN1350" s="458"/>
    </row>
    <row r="1351" spans="2:40" ht="15.75" customHeight="1">
      <c r="B1351" s="175"/>
      <c r="H1351" s="178"/>
      <c r="I1351" s="178"/>
      <c r="J1351" s="184"/>
      <c r="N1351" s="178"/>
      <c r="O1351" s="178"/>
      <c r="P1351" s="178"/>
      <c r="S1351" s="458"/>
      <c r="AN1351" s="458"/>
    </row>
    <row r="1352" spans="2:40" ht="15.75" customHeight="1">
      <c r="B1352" s="175"/>
      <c r="H1352" s="178"/>
      <c r="I1352" s="178"/>
      <c r="J1352" s="184"/>
      <c r="N1352" s="178"/>
      <c r="O1352" s="178"/>
      <c r="P1352" s="178"/>
      <c r="S1352" s="458"/>
      <c r="AN1352" s="458"/>
    </row>
    <row r="1353" spans="2:40" ht="15.75" customHeight="1">
      <c r="B1353" s="175"/>
      <c r="H1353" s="178"/>
      <c r="I1353" s="178"/>
      <c r="J1353" s="184"/>
      <c r="N1353" s="178"/>
      <c r="O1353" s="178"/>
      <c r="P1353" s="178"/>
      <c r="S1353" s="458"/>
      <c r="AN1353" s="458"/>
    </row>
    <row r="1354" spans="2:40" ht="15.75" customHeight="1">
      <c r="B1354" s="175"/>
      <c r="H1354" s="178"/>
      <c r="I1354" s="178"/>
      <c r="J1354" s="184"/>
      <c r="N1354" s="178"/>
      <c r="O1354" s="178"/>
      <c r="P1354" s="178"/>
      <c r="S1354" s="458"/>
      <c r="AN1354" s="458"/>
    </row>
    <row r="1355" spans="2:40" ht="15.75" customHeight="1">
      <c r="B1355" s="175"/>
      <c r="H1355" s="178"/>
      <c r="I1355" s="178"/>
      <c r="J1355" s="184"/>
      <c r="N1355" s="178"/>
      <c r="O1355" s="178"/>
      <c r="P1355" s="178"/>
      <c r="S1355" s="458"/>
      <c r="AN1355" s="458"/>
    </row>
    <row r="1356" spans="2:40" ht="15.75" customHeight="1">
      <c r="B1356" s="175"/>
      <c r="H1356" s="178"/>
      <c r="I1356" s="178"/>
      <c r="J1356" s="184"/>
      <c r="N1356" s="178"/>
      <c r="O1356" s="178"/>
      <c r="P1356" s="178"/>
      <c r="S1356" s="458"/>
      <c r="AN1356" s="458"/>
    </row>
    <row r="1357" spans="2:40" ht="15.75" customHeight="1">
      <c r="B1357" s="175"/>
      <c r="H1357" s="178"/>
      <c r="I1357" s="178"/>
      <c r="J1357" s="184"/>
      <c r="N1357" s="178"/>
      <c r="O1357" s="178"/>
      <c r="P1357" s="178"/>
      <c r="S1357" s="458"/>
      <c r="AN1357" s="458"/>
    </row>
    <row r="1358" spans="2:40" ht="15.75" customHeight="1">
      <c r="B1358" s="175"/>
      <c r="H1358" s="178"/>
      <c r="I1358" s="178"/>
      <c r="J1358" s="184"/>
      <c r="N1358" s="178"/>
      <c r="O1358" s="178"/>
      <c r="P1358" s="178"/>
      <c r="S1358" s="458"/>
      <c r="AN1358" s="458"/>
    </row>
    <row r="1359" spans="2:40" ht="15.75" customHeight="1">
      <c r="B1359" s="175"/>
      <c r="H1359" s="178"/>
      <c r="I1359" s="178"/>
      <c r="J1359" s="184"/>
      <c r="N1359" s="178"/>
      <c r="O1359" s="178"/>
      <c r="P1359" s="178"/>
      <c r="S1359" s="458"/>
      <c r="AN1359" s="458"/>
    </row>
    <row r="1360" spans="2:40" ht="15.75" customHeight="1">
      <c r="B1360" s="175"/>
      <c r="H1360" s="178"/>
      <c r="I1360" s="178"/>
      <c r="J1360" s="184"/>
      <c r="N1360" s="178"/>
      <c r="O1360" s="178"/>
      <c r="P1360" s="178"/>
      <c r="S1360" s="458"/>
      <c r="AN1360" s="458"/>
    </row>
    <row r="1361" spans="2:40" ht="15.75" customHeight="1">
      <c r="B1361" s="175"/>
      <c r="H1361" s="178"/>
      <c r="I1361" s="178"/>
      <c r="J1361" s="184"/>
      <c r="N1361" s="178"/>
      <c r="O1361" s="178"/>
      <c r="P1361" s="178"/>
      <c r="S1361" s="458"/>
      <c r="AN1361" s="458"/>
    </row>
    <row r="1362" spans="2:40" ht="15.75" customHeight="1">
      <c r="B1362" s="175"/>
      <c r="H1362" s="178"/>
      <c r="I1362" s="178"/>
      <c r="J1362" s="184"/>
      <c r="N1362" s="178"/>
      <c r="O1362" s="178"/>
      <c r="P1362" s="178"/>
      <c r="S1362" s="458"/>
      <c r="AN1362" s="458"/>
    </row>
    <row r="1363" spans="2:40" ht="15.75" customHeight="1">
      <c r="B1363" s="175"/>
      <c r="H1363" s="178"/>
      <c r="I1363" s="178"/>
      <c r="J1363" s="184"/>
      <c r="N1363" s="178"/>
      <c r="O1363" s="178"/>
      <c r="P1363" s="178"/>
      <c r="S1363" s="458"/>
      <c r="AN1363" s="458"/>
    </row>
    <row r="1364" spans="2:40" ht="15.75" customHeight="1">
      <c r="B1364" s="175"/>
      <c r="H1364" s="178"/>
      <c r="I1364" s="178"/>
      <c r="J1364" s="184"/>
      <c r="N1364" s="178"/>
      <c r="O1364" s="178"/>
      <c r="P1364" s="178"/>
      <c r="S1364" s="458"/>
      <c r="AN1364" s="458"/>
    </row>
    <row r="1365" spans="2:40" ht="15.75" customHeight="1">
      <c r="B1365" s="175"/>
      <c r="H1365" s="178"/>
      <c r="I1365" s="178"/>
      <c r="J1365" s="184"/>
      <c r="N1365" s="178"/>
      <c r="O1365" s="178"/>
      <c r="P1365" s="178"/>
      <c r="S1365" s="458"/>
      <c r="AN1365" s="458"/>
    </row>
    <row r="1366" spans="2:40" ht="15.75" customHeight="1">
      <c r="B1366" s="175"/>
      <c r="H1366" s="178"/>
      <c r="I1366" s="178"/>
      <c r="J1366" s="184"/>
      <c r="N1366" s="178"/>
      <c r="O1366" s="178"/>
      <c r="P1366" s="178"/>
      <c r="S1366" s="458"/>
      <c r="AN1366" s="458"/>
    </row>
    <row r="1367" spans="2:40" ht="15.75" customHeight="1">
      <c r="B1367" s="175"/>
      <c r="H1367" s="178"/>
      <c r="I1367" s="178"/>
      <c r="J1367" s="184"/>
      <c r="N1367" s="178"/>
      <c r="O1367" s="178"/>
      <c r="P1367" s="178"/>
      <c r="S1367" s="458"/>
      <c r="AN1367" s="458"/>
    </row>
    <row r="1368" spans="2:40" ht="15.75" customHeight="1">
      <c r="B1368" s="175"/>
      <c r="H1368" s="178"/>
      <c r="I1368" s="178"/>
      <c r="J1368" s="184"/>
      <c r="N1368" s="178"/>
      <c r="O1368" s="178"/>
      <c r="P1368" s="178"/>
      <c r="S1368" s="458"/>
      <c r="AN1368" s="458"/>
    </row>
    <row r="1369" spans="2:40" ht="15.75" customHeight="1">
      <c r="B1369" s="175"/>
      <c r="H1369" s="178"/>
      <c r="I1369" s="178"/>
      <c r="J1369" s="184"/>
      <c r="N1369" s="178"/>
      <c r="O1369" s="178"/>
      <c r="P1369" s="178"/>
      <c r="S1369" s="458"/>
      <c r="AN1369" s="458"/>
    </row>
    <row r="1370" spans="2:40" ht="15.75" customHeight="1">
      <c r="B1370" s="175"/>
      <c r="H1370" s="178"/>
      <c r="I1370" s="178"/>
      <c r="J1370" s="184"/>
      <c r="N1370" s="178"/>
      <c r="O1370" s="178"/>
      <c r="P1370" s="178"/>
      <c r="S1370" s="458"/>
      <c r="AN1370" s="458"/>
    </row>
    <row r="1371" spans="2:40" ht="15.75" customHeight="1">
      <c r="B1371" s="175"/>
      <c r="H1371" s="178"/>
      <c r="I1371" s="178"/>
      <c r="J1371" s="184"/>
      <c r="N1371" s="178"/>
      <c r="O1371" s="178"/>
      <c r="P1371" s="178"/>
      <c r="S1371" s="458"/>
      <c r="AN1371" s="458"/>
    </row>
    <row r="1372" spans="2:40" ht="15.75" customHeight="1">
      <c r="B1372" s="175"/>
      <c r="H1372" s="178"/>
      <c r="I1372" s="178"/>
      <c r="J1372" s="184"/>
      <c r="N1372" s="178"/>
      <c r="O1372" s="178"/>
      <c r="P1372" s="178"/>
      <c r="S1372" s="458"/>
      <c r="AN1372" s="458"/>
    </row>
    <row r="1373" spans="2:40" ht="15.75" customHeight="1">
      <c r="B1373" s="175"/>
      <c r="H1373" s="178"/>
      <c r="I1373" s="179"/>
      <c r="J1373" s="184"/>
      <c r="N1373" s="178"/>
      <c r="O1373" s="178"/>
      <c r="P1373" s="178"/>
      <c r="S1373" s="458"/>
      <c r="AN1373" s="458"/>
    </row>
    <row r="1374" spans="2:40" ht="15.75" customHeight="1">
      <c r="B1374" s="175"/>
      <c r="H1374" s="178"/>
      <c r="I1374" s="178"/>
      <c r="J1374" s="184"/>
      <c r="N1374" s="178"/>
      <c r="O1374" s="178"/>
      <c r="P1374" s="178"/>
      <c r="S1374" s="458"/>
      <c r="AN1374" s="458"/>
    </row>
    <row r="1375" spans="2:40" ht="15.75" customHeight="1">
      <c r="B1375" s="175"/>
      <c r="H1375" s="178"/>
      <c r="I1375" s="179"/>
      <c r="J1375" s="184"/>
      <c r="N1375" s="178"/>
      <c r="O1375" s="178"/>
      <c r="P1375" s="178"/>
      <c r="S1375" s="458"/>
      <c r="AN1375" s="458"/>
    </row>
    <row r="1376" spans="2:40" ht="15.75" customHeight="1">
      <c r="B1376" s="175"/>
      <c r="H1376" s="178"/>
      <c r="I1376" s="178"/>
      <c r="J1376" s="184"/>
      <c r="N1376" s="178"/>
      <c r="O1376" s="178"/>
      <c r="P1376" s="178"/>
      <c r="S1376" s="458"/>
      <c r="AN1376" s="458"/>
    </row>
    <row r="1377" spans="2:40" ht="15.75" customHeight="1">
      <c r="B1377" s="175"/>
      <c r="H1377" s="178"/>
      <c r="I1377" s="178"/>
      <c r="J1377" s="184"/>
      <c r="N1377" s="178"/>
      <c r="O1377" s="178"/>
      <c r="P1377" s="178"/>
      <c r="S1377" s="458"/>
      <c r="AN1377" s="458"/>
    </row>
    <row r="1378" spans="2:40" ht="15.75" customHeight="1">
      <c r="B1378" s="175"/>
      <c r="H1378" s="178"/>
      <c r="I1378" s="178"/>
      <c r="J1378" s="184"/>
      <c r="N1378" s="178"/>
      <c r="O1378" s="178"/>
      <c r="P1378" s="178"/>
      <c r="S1378" s="458"/>
      <c r="AN1378" s="458"/>
    </row>
    <row r="1379" spans="2:40" ht="15.75" customHeight="1">
      <c r="B1379" s="175"/>
      <c r="H1379" s="178"/>
      <c r="I1379" s="178"/>
      <c r="J1379" s="184"/>
      <c r="N1379" s="178"/>
      <c r="O1379" s="178"/>
      <c r="P1379" s="178"/>
      <c r="S1379" s="458"/>
      <c r="AN1379" s="458"/>
    </row>
    <row r="1380" spans="2:40" ht="15.75" customHeight="1">
      <c r="B1380" s="175"/>
      <c r="H1380" s="178"/>
      <c r="I1380" s="178"/>
      <c r="J1380" s="184"/>
      <c r="N1380" s="178"/>
      <c r="O1380" s="178"/>
      <c r="P1380" s="178"/>
      <c r="S1380" s="458"/>
      <c r="AN1380" s="458"/>
    </row>
    <row r="1381" spans="2:40" ht="15.75" customHeight="1">
      <c r="B1381" s="175"/>
      <c r="H1381" s="178"/>
      <c r="I1381" s="178"/>
      <c r="J1381" s="184"/>
      <c r="N1381" s="178"/>
      <c r="O1381" s="178"/>
      <c r="P1381" s="178"/>
      <c r="S1381" s="458"/>
      <c r="AN1381" s="458"/>
    </row>
    <row r="1382" spans="2:40" ht="15.75" customHeight="1">
      <c r="B1382" s="175"/>
      <c r="H1382" s="178"/>
      <c r="I1382" s="178"/>
      <c r="J1382" s="184"/>
      <c r="N1382" s="178"/>
      <c r="O1382" s="178"/>
      <c r="P1382" s="178"/>
      <c r="S1382" s="458"/>
      <c r="AN1382" s="458"/>
    </row>
    <row r="1383" spans="2:40" ht="15.75" customHeight="1">
      <c r="B1383" s="175"/>
      <c r="H1383" s="178"/>
      <c r="I1383" s="178"/>
      <c r="J1383" s="184"/>
      <c r="N1383" s="178"/>
      <c r="O1383" s="178"/>
      <c r="P1383" s="178"/>
      <c r="S1383" s="458"/>
      <c r="AN1383" s="458"/>
    </row>
    <row r="1384" spans="2:40" ht="15.75" customHeight="1">
      <c r="B1384" s="175"/>
      <c r="H1384" s="178"/>
      <c r="I1384" s="178"/>
      <c r="J1384" s="184"/>
      <c r="N1384" s="178"/>
      <c r="O1384" s="178"/>
      <c r="P1384" s="178"/>
      <c r="S1384" s="458"/>
      <c r="AN1384" s="458"/>
    </row>
    <row r="1385" spans="2:40" ht="15.75" customHeight="1">
      <c r="B1385" s="175"/>
      <c r="H1385" s="178"/>
      <c r="I1385" s="178"/>
      <c r="J1385" s="184"/>
      <c r="N1385" s="178"/>
      <c r="O1385" s="178"/>
      <c r="P1385" s="178"/>
      <c r="S1385" s="458"/>
      <c r="AN1385" s="458"/>
    </row>
    <row r="1386" spans="2:40" ht="15.75" customHeight="1">
      <c r="B1386" s="175"/>
      <c r="H1386" s="178"/>
      <c r="I1386" s="178"/>
      <c r="J1386" s="184"/>
      <c r="N1386" s="178"/>
      <c r="O1386" s="178"/>
      <c r="P1386" s="178"/>
      <c r="S1386" s="458"/>
      <c r="AN1386" s="458"/>
    </row>
    <row r="1387" spans="2:40" ht="15.75" customHeight="1">
      <c r="B1387" s="175"/>
      <c r="H1387" s="178"/>
      <c r="I1387" s="178"/>
      <c r="J1387" s="184"/>
      <c r="N1387" s="178"/>
      <c r="O1387" s="178"/>
      <c r="P1387" s="178"/>
      <c r="S1387" s="458"/>
      <c r="AN1387" s="458"/>
    </row>
    <row r="1388" spans="2:40" ht="15.75" customHeight="1">
      <c r="B1388" s="175"/>
      <c r="H1388" s="178"/>
      <c r="I1388" s="178"/>
      <c r="J1388" s="184"/>
      <c r="N1388" s="178"/>
      <c r="O1388" s="178"/>
      <c r="P1388" s="178"/>
      <c r="S1388" s="458"/>
      <c r="AN1388" s="458"/>
    </row>
    <row r="1389" spans="2:40" ht="15.75" customHeight="1">
      <c r="B1389" s="175"/>
      <c r="H1389" s="178"/>
      <c r="I1389" s="178"/>
      <c r="J1389" s="184"/>
      <c r="N1389" s="178"/>
      <c r="O1389" s="178"/>
      <c r="P1389" s="178"/>
      <c r="S1389" s="458"/>
      <c r="AN1389" s="458"/>
    </row>
    <row r="1390" spans="2:40" ht="15.75" customHeight="1">
      <c r="B1390" s="175"/>
      <c r="H1390" s="178"/>
      <c r="I1390" s="178"/>
      <c r="J1390" s="184"/>
      <c r="N1390" s="178"/>
      <c r="O1390" s="178"/>
      <c r="P1390" s="178"/>
      <c r="S1390" s="458"/>
      <c r="AN1390" s="458"/>
    </row>
    <row r="1391" spans="2:40" ht="15.75" customHeight="1">
      <c r="B1391" s="175"/>
      <c r="H1391" s="178"/>
      <c r="I1391" s="178"/>
      <c r="J1391" s="184"/>
      <c r="N1391" s="178"/>
      <c r="O1391" s="178"/>
      <c r="P1391" s="178"/>
      <c r="S1391" s="458"/>
      <c r="AN1391" s="458"/>
    </row>
    <row r="1392" spans="2:40" ht="15.75" customHeight="1">
      <c r="B1392" s="175"/>
      <c r="H1392" s="178"/>
      <c r="I1392" s="178"/>
      <c r="J1392" s="184"/>
      <c r="N1392" s="178"/>
      <c r="O1392" s="178"/>
      <c r="P1392" s="178"/>
      <c r="S1392" s="458"/>
      <c r="AN1392" s="458"/>
    </row>
    <row r="1393" spans="2:40" ht="15.75" customHeight="1">
      <c r="B1393" s="175"/>
      <c r="H1393" s="178"/>
      <c r="I1393" s="178"/>
      <c r="J1393" s="184"/>
      <c r="N1393" s="178"/>
      <c r="O1393" s="178"/>
      <c r="P1393" s="178"/>
      <c r="S1393" s="458"/>
      <c r="AN1393" s="458"/>
    </row>
    <row r="1394" spans="2:40" ht="15.75" customHeight="1">
      <c r="B1394" s="175"/>
      <c r="H1394" s="178"/>
      <c r="I1394" s="178"/>
      <c r="J1394" s="184"/>
      <c r="N1394" s="178"/>
      <c r="O1394" s="178"/>
      <c r="P1394" s="178"/>
      <c r="S1394" s="458"/>
      <c r="AN1394" s="458"/>
    </row>
    <row r="1395" spans="2:40" ht="15.75" customHeight="1">
      <c r="B1395" s="175"/>
      <c r="H1395" s="178"/>
      <c r="I1395" s="178"/>
      <c r="J1395" s="184"/>
      <c r="N1395" s="178"/>
      <c r="O1395" s="178"/>
      <c r="P1395" s="178"/>
      <c r="S1395" s="458"/>
      <c r="AN1395" s="458"/>
    </row>
    <row r="1396" spans="2:40" ht="15.75" customHeight="1">
      <c r="B1396" s="175"/>
      <c r="H1396" s="178"/>
      <c r="I1396" s="178"/>
      <c r="J1396" s="184"/>
      <c r="N1396" s="178"/>
      <c r="O1396" s="178"/>
      <c r="P1396" s="178"/>
      <c r="S1396" s="458"/>
      <c r="AN1396" s="458"/>
    </row>
    <row r="1397" spans="2:40" ht="15.75" customHeight="1">
      <c r="B1397" s="175"/>
      <c r="H1397" s="178"/>
      <c r="I1397" s="178"/>
      <c r="J1397" s="184"/>
      <c r="N1397" s="178"/>
      <c r="O1397" s="178"/>
      <c r="P1397" s="178"/>
      <c r="S1397" s="458"/>
      <c r="AN1397" s="458"/>
    </row>
    <row r="1398" spans="2:40" ht="15.75" customHeight="1">
      <c r="B1398" s="175"/>
      <c r="H1398" s="178"/>
      <c r="I1398" s="178"/>
      <c r="J1398" s="184"/>
      <c r="N1398" s="178"/>
      <c r="O1398" s="178"/>
      <c r="P1398" s="178"/>
      <c r="S1398" s="458"/>
      <c r="AN1398" s="458"/>
    </row>
    <row r="1399" spans="2:40" ht="15.75" customHeight="1">
      <c r="B1399" s="175"/>
      <c r="H1399" s="178"/>
      <c r="I1399" s="178"/>
      <c r="J1399" s="184"/>
      <c r="N1399" s="178"/>
      <c r="O1399" s="178"/>
      <c r="P1399" s="178"/>
      <c r="S1399" s="458"/>
      <c r="AN1399" s="458"/>
    </row>
    <row r="1400" spans="2:40" ht="15.75" customHeight="1">
      <c r="B1400" s="175"/>
      <c r="H1400" s="178"/>
      <c r="I1400" s="178"/>
      <c r="J1400" s="184"/>
      <c r="N1400" s="178"/>
      <c r="O1400" s="178"/>
      <c r="P1400" s="178"/>
      <c r="S1400" s="458"/>
      <c r="AN1400" s="458"/>
    </row>
    <row r="1401" spans="2:40" ht="15.75" customHeight="1">
      <c r="B1401" s="175"/>
      <c r="H1401" s="178"/>
      <c r="I1401" s="178"/>
      <c r="J1401" s="184"/>
      <c r="N1401" s="178"/>
      <c r="O1401" s="178"/>
      <c r="P1401" s="178"/>
      <c r="S1401" s="458"/>
      <c r="AN1401" s="458"/>
    </row>
    <row r="1402" spans="2:40" ht="15.75" customHeight="1">
      <c r="B1402" s="175"/>
      <c r="H1402" s="178"/>
      <c r="I1402" s="178"/>
      <c r="J1402" s="184"/>
      <c r="N1402" s="178"/>
      <c r="O1402" s="178"/>
      <c r="P1402" s="178"/>
      <c r="S1402" s="458"/>
      <c r="AN1402" s="458"/>
    </row>
    <row r="1403" spans="2:40" ht="15.75" customHeight="1">
      <c r="B1403" s="175"/>
      <c r="H1403" s="178"/>
      <c r="I1403" s="178"/>
      <c r="J1403" s="184"/>
      <c r="N1403" s="178"/>
      <c r="O1403" s="178"/>
      <c r="P1403" s="178"/>
      <c r="S1403" s="458"/>
      <c r="AN1403" s="458"/>
    </row>
    <row r="1404" spans="2:40" ht="15.75" customHeight="1">
      <c r="B1404" s="175"/>
      <c r="H1404" s="178"/>
      <c r="I1404" s="178"/>
      <c r="J1404" s="184"/>
      <c r="N1404" s="178"/>
      <c r="O1404" s="178"/>
      <c r="P1404" s="178"/>
      <c r="S1404" s="458"/>
      <c r="AN1404" s="458"/>
    </row>
    <row r="1405" spans="2:40" ht="15.75" customHeight="1">
      <c r="B1405" s="175"/>
      <c r="H1405" s="178"/>
      <c r="I1405" s="178"/>
      <c r="J1405" s="184"/>
      <c r="N1405" s="178"/>
      <c r="O1405" s="178"/>
      <c r="P1405" s="178"/>
      <c r="S1405" s="458"/>
      <c r="AN1405" s="458"/>
    </row>
    <row r="1406" spans="2:40" ht="15.75" customHeight="1">
      <c r="B1406" s="175"/>
      <c r="H1406" s="178"/>
      <c r="I1406" s="178"/>
      <c r="J1406" s="184"/>
      <c r="N1406" s="178"/>
      <c r="O1406" s="178"/>
      <c r="P1406" s="178"/>
      <c r="S1406" s="458"/>
      <c r="AN1406" s="458"/>
    </row>
    <row r="1407" spans="2:40" ht="15.75" customHeight="1">
      <c r="B1407" s="175"/>
      <c r="H1407" s="178"/>
      <c r="I1407" s="178"/>
      <c r="J1407" s="184"/>
      <c r="N1407" s="178"/>
      <c r="O1407" s="178"/>
      <c r="P1407" s="178"/>
      <c r="S1407" s="458"/>
      <c r="AN1407" s="458"/>
    </row>
    <row r="1408" spans="2:40" ht="15.75" customHeight="1">
      <c r="B1408" s="175"/>
      <c r="N1408" s="178"/>
      <c r="O1408" s="178"/>
      <c r="P1408" s="178"/>
      <c r="S1408" s="458"/>
      <c r="AN1408" s="458"/>
    </row>
    <row r="1409" spans="2:40" ht="15.75" customHeight="1">
      <c r="B1409" s="175"/>
      <c r="N1409" s="178"/>
      <c r="O1409" s="178"/>
      <c r="P1409" s="178"/>
      <c r="S1409" s="458"/>
      <c r="AN1409" s="458"/>
    </row>
    <row r="1410" spans="2:40" ht="15.75" customHeight="1">
      <c r="B1410" s="175"/>
      <c r="H1410" s="178"/>
      <c r="I1410" s="178"/>
      <c r="J1410" s="184"/>
      <c r="N1410" s="178"/>
      <c r="O1410" s="178"/>
      <c r="P1410" s="178"/>
      <c r="S1410" s="458"/>
      <c r="AN1410" s="458"/>
    </row>
    <row r="1411" spans="2:40" ht="15.75" customHeight="1">
      <c r="B1411" s="175"/>
      <c r="H1411" s="178"/>
      <c r="I1411" s="179"/>
      <c r="J1411" s="184"/>
      <c r="N1411" s="178"/>
      <c r="O1411" s="178"/>
      <c r="P1411" s="178"/>
      <c r="S1411" s="458"/>
      <c r="AN1411" s="458"/>
    </row>
    <row r="1412" spans="2:40" ht="15.75" customHeight="1">
      <c r="B1412" s="175"/>
      <c r="H1412" s="178"/>
      <c r="I1412" s="178"/>
      <c r="J1412" s="184"/>
      <c r="N1412" s="178"/>
      <c r="O1412" s="178"/>
      <c r="P1412" s="178"/>
      <c r="S1412" s="458"/>
      <c r="AN1412" s="458"/>
    </row>
    <row r="1413" spans="2:40" ht="15.75" customHeight="1">
      <c r="B1413" s="175"/>
      <c r="H1413" s="178"/>
      <c r="I1413" s="179"/>
      <c r="J1413" s="184"/>
      <c r="N1413" s="178"/>
      <c r="O1413" s="178"/>
      <c r="P1413" s="178"/>
      <c r="S1413" s="458"/>
      <c r="AN1413" s="458"/>
    </row>
    <row r="1414" spans="2:40" ht="15.75" customHeight="1">
      <c r="B1414" s="175"/>
      <c r="H1414" s="178"/>
      <c r="I1414" s="178"/>
      <c r="J1414" s="184"/>
      <c r="N1414" s="178"/>
      <c r="O1414" s="178"/>
      <c r="P1414" s="178"/>
      <c r="S1414" s="458"/>
      <c r="AN1414" s="458"/>
    </row>
    <row r="1415" spans="2:40" ht="15.75" customHeight="1">
      <c r="B1415" s="175"/>
      <c r="N1415" s="178"/>
      <c r="O1415" s="178"/>
      <c r="P1415" s="178"/>
      <c r="S1415" s="458"/>
      <c r="AN1415" s="458"/>
    </row>
    <row r="1416" spans="2:40" ht="15.75" customHeight="1">
      <c r="B1416" s="175"/>
      <c r="N1416" s="178"/>
      <c r="O1416" s="178"/>
      <c r="P1416" s="178"/>
      <c r="S1416" s="458"/>
      <c r="AN1416" s="458"/>
    </row>
    <row r="1417" spans="2:40" ht="15.75" customHeight="1">
      <c r="B1417" s="175"/>
      <c r="H1417" s="178"/>
      <c r="I1417" s="178"/>
      <c r="J1417" s="184"/>
      <c r="N1417" s="178"/>
      <c r="O1417" s="178"/>
      <c r="P1417" s="178"/>
      <c r="S1417" s="458"/>
      <c r="AN1417" s="458"/>
    </row>
    <row r="1418" spans="2:40" ht="15.75" customHeight="1">
      <c r="B1418" s="175"/>
      <c r="H1418" s="178"/>
      <c r="I1418" s="178"/>
      <c r="J1418" s="184"/>
      <c r="N1418" s="178"/>
      <c r="O1418" s="178"/>
      <c r="P1418" s="178"/>
      <c r="S1418" s="458"/>
      <c r="AN1418" s="458"/>
    </row>
    <row r="1419" spans="2:40" ht="15.75" customHeight="1">
      <c r="B1419" s="175"/>
      <c r="H1419" s="178"/>
      <c r="I1419" s="178"/>
      <c r="J1419" s="184"/>
      <c r="N1419" s="178"/>
      <c r="O1419" s="178"/>
      <c r="P1419" s="178"/>
      <c r="S1419" s="458"/>
      <c r="AN1419" s="458"/>
    </row>
    <row r="1420" spans="2:40" ht="15.75" customHeight="1">
      <c r="B1420" s="175"/>
      <c r="H1420" s="178"/>
      <c r="I1420" s="178"/>
      <c r="J1420" s="184"/>
      <c r="N1420" s="178"/>
      <c r="O1420" s="178"/>
      <c r="P1420" s="178"/>
      <c r="S1420" s="458"/>
      <c r="AN1420" s="458"/>
    </row>
    <row r="1421" spans="2:40" ht="15.75" customHeight="1">
      <c r="B1421" s="175"/>
      <c r="H1421" s="178"/>
      <c r="I1421" s="178"/>
      <c r="J1421" s="184"/>
      <c r="N1421" s="178"/>
      <c r="O1421" s="178"/>
      <c r="P1421" s="178"/>
      <c r="S1421" s="458"/>
      <c r="AN1421" s="458"/>
    </row>
    <row r="1422" spans="2:40" ht="15.75" customHeight="1">
      <c r="B1422" s="175"/>
      <c r="H1422" s="178"/>
      <c r="I1422" s="178"/>
      <c r="J1422" s="184"/>
      <c r="N1422" s="178"/>
      <c r="O1422" s="178"/>
      <c r="P1422" s="178"/>
      <c r="S1422" s="458"/>
      <c r="AN1422" s="458"/>
    </row>
    <row r="1423" spans="2:40" ht="15.75" customHeight="1">
      <c r="B1423" s="175"/>
      <c r="H1423" s="178"/>
      <c r="I1423" s="178"/>
      <c r="J1423" s="184"/>
      <c r="N1423" s="178"/>
      <c r="O1423" s="178"/>
      <c r="P1423" s="178"/>
      <c r="S1423" s="458"/>
      <c r="AN1423" s="458"/>
    </row>
    <row r="1424" spans="2:40" ht="15.75" customHeight="1">
      <c r="B1424" s="175"/>
      <c r="H1424" s="178"/>
      <c r="I1424" s="178"/>
      <c r="J1424" s="184"/>
      <c r="N1424" s="178"/>
      <c r="O1424" s="178"/>
      <c r="P1424" s="178"/>
      <c r="S1424" s="458"/>
      <c r="AN1424" s="458"/>
    </row>
    <row r="1425" spans="2:40" ht="15.75" customHeight="1">
      <c r="B1425" s="175"/>
      <c r="H1425" s="178"/>
      <c r="I1425" s="178"/>
      <c r="J1425" s="184"/>
      <c r="N1425" s="178"/>
      <c r="O1425" s="178"/>
      <c r="P1425" s="178"/>
      <c r="S1425" s="458"/>
      <c r="AN1425" s="458"/>
    </row>
    <row r="1426" spans="2:40" ht="15.75" customHeight="1">
      <c r="B1426" s="175"/>
      <c r="H1426" s="178"/>
      <c r="I1426" s="178"/>
      <c r="J1426" s="184"/>
      <c r="N1426" s="178"/>
      <c r="O1426" s="178"/>
      <c r="P1426" s="178"/>
      <c r="S1426" s="458"/>
      <c r="AN1426" s="458"/>
    </row>
    <row r="1427" spans="2:40" ht="15.75" customHeight="1">
      <c r="B1427" s="175"/>
      <c r="H1427" s="178"/>
      <c r="I1427" s="178"/>
      <c r="J1427" s="184"/>
      <c r="N1427" s="178"/>
      <c r="O1427" s="178"/>
      <c r="P1427" s="178"/>
      <c r="S1427" s="458"/>
      <c r="AN1427" s="458"/>
    </row>
    <row r="1428" spans="2:40" ht="15.75" customHeight="1">
      <c r="B1428" s="175"/>
      <c r="H1428" s="178"/>
      <c r="I1428" s="178"/>
      <c r="J1428" s="184"/>
      <c r="N1428" s="178"/>
      <c r="O1428" s="178"/>
      <c r="P1428" s="178"/>
      <c r="S1428" s="458"/>
      <c r="AN1428" s="458"/>
    </row>
    <row r="1429" spans="2:40" ht="15.75" customHeight="1">
      <c r="B1429" s="175"/>
      <c r="H1429" s="178"/>
      <c r="I1429" s="178"/>
      <c r="J1429" s="184"/>
      <c r="N1429" s="178"/>
      <c r="O1429" s="178"/>
      <c r="P1429" s="178"/>
      <c r="S1429" s="458"/>
      <c r="AN1429" s="458"/>
    </row>
    <row r="1430" spans="2:40" ht="15.75" customHeight="1">
      <c r="B1430" s="175"/>
      <c r="H1430" s="178"/>
      <c r="I1430" s="178"/>
      <c r="J1430" s="184"/>
      <c r="N1430" s="178"/>
      <c r="O1430" s="178"/>
      <c r="P1430" s="178"/>
      <c r="S1430" s="458"/>
      <c r="AN1430" s="458"/>
    </row>
    <row r="1431" spans="2:40" ht="15.75" customHeight="1">
      <c r="B1431" s="175"/>
      <c r="H1431" s="178"/>
      <c r="I1431" s="178"/>
      <c r="J1431" s="184"/>
      <c r="N1431" s="178"/>
      <c r="O1431" s="178"/>
      <c r="P1431" s="178"/>
      <c r="S1431" s="458"/>
      <c r="AN1431" s="458"/>
    </row>
    <row r="1432" spans="2:40" ht="15.75" customHeight="1">
      <c r="B1432" s="175"/>
      <c r="H1432" s="178"/>
      <c r="I1432" s="178"/>
      <c r="J1432" s="184"/>
      <c r="N1432" s="178"/>
      <c r="P1432" s="178"/>
      <c r="S1432" s="458"/>
      <c r="AN1432" s="458"/>
    </row>
    <row r="1433" spans="2:40" ht="15.75" customHeight="1">
      <c r="B1433" s="175"/>
      <c r="H1433" s="178"/>
      <c r="I1433" s="178"/>
      <c r="J1433" s="184"/>
      <c r="N1433" s="178"/>
      <c r="P1433" s="178"/>
      <c r="S1433" s="458"/>
      <c r="AN1433" s="458"/>
    </row>
    <row r="1434" spans="2:40" ht="15.75" customHeight="1">
      <c r="B1434" s="175"/>
      <c r="H1434" s="178"/>
      <c r="I1434" s="178"/>
      <c r="J1434" s="184"/>
      <c r="N1434" s="178"/>
      <c r="O1434" s="178"/>
      <c r="P1434" s="178"/>
      <c r="S1434" s="458"/>
      <c r="AN1434" s="458"/>
    </row>
    <row r="1435" spans="2:40" ht="15.75" customHeight="1">
      <c r="B1435" s="175"/>
      <c r="H1435" s="178"/>
      <c r="I1435" s="178"/>
      <c r="J1435" s="184"/>
      <c r="N1435" s="178"/>
      <c r="O1435" s="178"/>
      <c r="P1435" s="178"/>
      <c r="S1435" s="458"/>
      <c r="AN1435" s="458"/>
    </row>
    <row r="1436" spans="2:40" ht="15.75" customHeight="1">
      <c r="B1436" s="175"/>
      <c r="H1436" s="178"/>
      <c r="I1436" s="178"/>
      <c r="J1436" s="184"/>
      <c r="N1436" s="178"/>
      <c r="O1436" s="178"/>
      <c r="P1436" s="178"/>
      <c r="S1436" s="458"/>
      <c r="AN1436" s="458"/>
    </row>
    <row r="1437" spans="2:40" ht="15.75" customHeight="1">
      <c r="B1437" s="175"/>
      <c r="H1437" s="178"/>
      <c r="I1437" s="178"/>
      <c r="J1437" s="184"/>
      <c r="N1437" s="178"/>
      <c r="O1437" s="178"/>
      <c r="P1437" s="178"/>
      <c r="S1437" s="458"/>
      <c r="AN1437" s="458"/>
    </row>
    <row r="1438" spans="2:40" ht="15.75" customHeight="1">
      <c r="B1438" s="175"/>
      <c r="H1438" s="178"/>
      <c r="I1438" s="178"/>
      <c r="J1438" s="184"/>
      <c r="N1438" s="178"/>
      <c r="O1438" s="178"/>
      <c r="P1438" s="178"/>
      <c r="S1438" s="458"/>
      <c r="AN1438" s="458"/>
    </row>
    <row r="1439" spans="2:40" ht="15.75" customHeight="1">
      <c r="B1439" s="175"/>
      <c r="H1439" s="178"/>
      <c r="I1439" s="178"/>
      <c r="J1439" s="184"/>
      <c r="N1439" s="178"/>
      <c r="O1439" s="178"/>
      <c r="P1439" s="178"/>
      <c r="S1439" s="458"/>
      <c r="AN1439" s="458"/>
    </row>
    <row r="1440" spans="2:40" ht="15.75" customHeight="1">
      <c r="B1440" s="175"/>
      <c r="N1440" s="178"/>
      <c r="O1440" s="178"/>
      <c r="P1440" s="178"/>
      <c r="S1440" s="458"/>
      <c r="AN1440" s="458"/>
    </row>
    <row r="1441" spans="2:40" ht="15.75" customHeight="1">
      <c r="B1441" s="175"/>
      <c r="N1441" s="178"/>
      <c r="O1441" s="178"/>
      <c r="P1441" s="178"/>
      <c r="S1441" s="458"/>
      <c r="AN1441" s="458"/>
    </row>
    <row r="1442" spans="2:40" ht="15.75" customHeight="1">
      <c r="B1442" s="175"/>
      <c r="H1442" s="178"/>
      <c r="I1442" s="178"/>
      <c r="J1442" s="184"/>
      <c r="N1442" s="178"/>
      <c r="O1442" s="178"/>
      <c r="P1442" s="178"/>
      <c r="S1442" s="458"/>
      <c r="AN1442" s="458"/>
    </row>
    <row r="1443" spans="2:40" ht="15.75" customHeight="1">
      <c r="B1443" s="175"/>
      <c r="H1443" s="178"/>
      <c r="I1443" s="179"/>
      <c r="J1443" s="184"/>
      <c r="N1443" s="178"/>
      <c r="O1443" s="178"/>
      <c r="P1443" s="178"/>
      <c r="S1443" s="458"/>
      <c r="AN1443" s="458"/>
    </row>
    <row r="1444" spans="2:40" ht="15.75" customHeight="1">
      <c r="B1444" s="175"/>
      <c r="H1444" s="178"/>
      <c r="I1444" s="178"/>
      <c r="J1444" s="184"/>
      <c r="N1444" s="178"/>
      <c r="O1444" s="178"/>
      <c r="P1444" s="178"/>
      <c r="S1444" s="458"/>
      <c r="AN1444" s="458"/>
    </row>
    <row r="1445" spans="2:40" ht="15.75" customHeight="1">
      <c r="B1445" s="175"/>
      <c r="H1445" s="178"/>
      <c r="I1445" s="179"/>
      <c r="J1445" s="184"/>
      <c r="N1445" s="178"/>
      <c r="O1445" s="178"/>
      <c r="P1445" s="178"/>
      <c r="S1445" s="458"/>
      <c r="AN1445" s="458"/>
    </row>
    <row r="1446" spans="2:40" ht="15.75" customHeight="1">
      <c r="B1446" s="175"/>
      <c r="H1446" s="178"/>
      <c r="I1446" s="178"/>
      <c r="J1446" s="184"/>
      <c r="N1446" s="178"/>
      <c r="O1446" s="178"/>
      <c r="P1446" s="178"/>
      <c r="S1446" s="458"/>
      <c r="AN1446" s="458"/>
    </row>
    <row r="1447" spans="2:40" ht="15.75" customHeight="1">
      <c r="B1447" s="175"/>
      <c r="H1447" s="178"/>
      <c r="I1447" s="178"/>
      <c r="J1447" s="184"/>
      <c r="N1447" s="178"/>
      <c r="O1447" s="178"/>
      <c r="P1447" s="178"/>
      <c r="S1447" s="458"/>
      <c r="AN1447" s="458"/>
    </row>
    <row r="1448" spans="2:40" ht="15.75" customHeight="1">
      <c r="B1448" s="175"/>
      <c r="H1448" s="178"/>
      <c r="I1448" s="178"/>
      <c r="J1448" s="184"/>
      <c r="N1448" s="178"/>
      <c r="O1448" s="178"/>
      <c r="P1448" s="178"/>
      <c r="S1448" s="458"/>
      <c r="AN1448" s="458"/>
    </row>
    <row r="1449" spans="2:40" ht="15.75" customHeight="1">
      <c r="B1449" s="175"/>
      <c r="H1449" s="178"/>
      <c r="I1449" s="178"/>
      <c r="J1449" s="184"/>
      <c r="N1449" s="178"/>
      <c r="O1449" s="178"/>
      <c r="P1449" s="178"/>
      <c r="S1449" s="458"/>
      <c r="AN1449" s="458"/>
    </row>
    <row r="1450" spans="2:40" ht="15.75" customHeight="1">
      <c r="B1450" s="175"/>
      <c r="H1450" s="178"/>
      <c r="I1450" s="178"/>
      <c r="J1450" s="184"/>
      <c r="N1450" s="178"/>
      <c r="O1450" s="178"/>
      <c r="P1450" s="178"/>
      <c r="S1450" s="458"/>
      <c r="AN1450" s="458"/>
    </row>
    <row r="1451" spans="2:40" ht="15.75" customHeight="1">
      <c r="B1451" s="175"/>
      <c r="H1451" s="178"/>
      <c r="I1451" s="178"/>
      <c r="J1451" s="184"/>
      <c r="N1451" s="178"/>
      <c r="O1451" s="178"/>
      <c r="P1451" s="178"/>
      <c r="S1451" s="458"/>
      <c r="AN1451" s="458"/>
    </row>
    <row r="1452" spans="2:40" ht="15.75" customHeight="1">
      <c r="B1452" s="175"/>
      <c r="H1452" s="178"/>
      <c r="I1452" s="178"/>
      <c r="J1452" s="184"/>
      <c r="N1452" s="178"/>
      <c r="O1452" s="178"/>
      <c r="P1452" s="178"/>
      <c r="S1452" s="458"/>
      <c r="AN1452" s="458"/>
    </row>
    <row r="1453" spans="2:40" ht="15.75" customHeight="1">
      <c r="B1453" s="175"/>
      <c r="H1453" s="178"/>
      <c r="I1453" s="178"/>
      <c r="J1453" s="184"/>
      <c r="N1453" s="178"/>
      <c r="O1453" s="178"/>
      <c r="P1453" s="178"/>
      <c r="S1453" s="458"/>
      <c r="AN1453" s="458"/>
    </row>
    <row r="1454" spans="2:40" ht="15.75" customHeight="1">
      <c r="B1454" s="175"/>
      <c r="H1454" s="178"/>
      <c r="I1454" s="178"/>
      <c r="J1454" s="184"/>
      <c r="N1454" s="178"/>
      <c r="O1454" s="178"/>
      <c r="P1454" s="178"/>
      <c r="S1454" s="458"/>
      <c r="AN1454" s="458"/>
    </row>
    <row r="1455" spans="2:40" ht="15.75" customHeight="1">
      <c r="B1455" s="175"/>
      <c r="H1455" s="178"/>
      <c r="I1455" s="178"/>
      <c r="J1455" s="184"/>
      <c r="N1455" s="178"/>
      <c r="O1455" s="178"/>
      <c r="P1455" s="178"/>
      <c r="S1455" s="458"/>
      <c r="AN1455" s="458"/>
    </row>
    <row r="1456" spans="2:40" ht="15.75" customHeight="1">
      <c r="B1456" s="175"/>
      <c r="H1456" s="178"/>
      <c r="I1456" s="178"/>
      <c r="J1456" s="184"/>
      <c r="N1456" s="178"/>
      <c r="O1456" s="178"/>
      <c r="P1456" s="178"/>
      <c r="S1456" s="458"/>
      <c r="AN1456" s="458"/>
    </row>
    <row r="1457" spans="2:40" ht="15.75" customHeight="1">
      <c r="B1457" s="175"/>
      <c r="H1457" s="178"/>
      <c r="I1457" s="178"/>
      <c r="J1457" s="184"/>
      <c r="N1457" s="178"/>
      <c r="O1457" s="178"/>
      <c r="P1457" s="178"/>
      <c r="S1457" s="458"/>
      <c r="AN1457" s="458"/>
    </row>
    <row r="1458" spans="2:40" ht="15.75" customHeight="1">
      <c r="B1458" s="175"/>
      <c r="H1458" s="178"/>
      <c r="I1458" s="178"/>
      <c r="J1458" s="184"/>
      <c r="N1458" s="178"/>
      <c r="O1458" s="178"/>
      <c r="P1458" s="178"/>
      <c r="S1458" s="458"/>
      <c r="AN1458" s="458"/>
    </row>
    <row r="1459" spans="2:40" ht="15.75" customHeight="1">
      <c r="B1459" s="175"/>
      <c r="H1459" s="178"/>
      <c r="I1459" s="178"/>
      <c r="J1459" s="184"/>
      <c r="N1459" s="178"/>
      <c r="O1459" s="178"/>
      <c r="P1459" s="178"/>
      <c r="S1459" s="458"/>
      <c r="AN1459" s="458"/>
    </row>
    <row r="1460" spans="2:40" ht="15.75" customHeight="1">
      <c r="B1460" s="175"/>
      <c r="H1460" s="178"/>
      <c r="I1460" s="178"/>
      <c r="J1460" s="184"/>
      <c r="N1460" s="178"/>
      <c r="O1460" s="178"/>
      <c r="P1460" s="178"/>
      <c r="S1460" s="458"/>
      <c r="AN1460" s="458"/>
    </row>
    <row r="1461" spans="2:40" ht="15.75" customHeight="1">
      <c r="B1461" s="175"/>
      <c r="H1461" s="178"/>
      <c r="I1461" s="178"/>
      <c r="J1461" s="184"/>
      <c r="N1461" s="178"/>
      <c r="O1461" s="178"/>
      <c r="P1461" s="178"/>
      <c r="S1461" s="458"/>
      <c r="AN1461" s="458"/>
    </row>
    <row r="1462" spans="2:40" ht="15.75" customHeight="1">
      <c r="B1462" s="175"/>
      <c r="H1462" s="178"/>
      <c r="I1462" s="178"/>
      <c r="J1462" s="184"/>
      <c r="N1462" s="178"/>
      <c r="O1462" s="178"/>
      <c r="P1462" s="178"/>
      <c r="S1462" s="458"/>
      <c r="AN1462" s="458"/>
    </row>
    <row r="1463" spans="2:40" ht="15.75" customHeight="1">
      <c r="B1463" s="175"/>
      <c r="H1463" s="178"/>
      <c r="I1463" s="178"/>
      <c r="J1463" s="184"/>
      <c r="N1463" s="178"/>
      <c r="O1463" s="178"/>
      <c r="P1463" s="178"/>
      <c r="S1463" s="458"/>
      <c r="AN1463" s="458"/>
    </row>
    <row r="1464" spans="2:40" ht="15.75" customHeight="1">
      <c r="B1464" s="175"/>
      <c r="H1464" s="178"/>
      <c r="I1464" s="178"/>
      <c r="J1464" s="184"/>
      <c r="N1464" s="178"/>
      <c r="O1464" s="178"/>
      <c r="P1464" s="178"/>
      <c r="S1464" s="458"/>
      <c r="AN1464" s="458"/>
    </row>
    <row r="1465" spans="2:40" ht="15.75" customHeight="1">
      <c r="B1465" s="175"/>
      <c r="H1465" s="178"/>
      <c r="I1465" s="178"/>
      <c r="J1465" s="184"/>
      <c r="N1465" s="178"/>
      <c r="O1465" s="178"/>
      <c r="P1465" s="178"/>
      <c r="S1465" s="458"/>
      <c r="AN1465" s="458"/>
    </row>
    <row r="1466" spans="2:40" ht="15.75" customHeight="1">
      <c r="B1466" s="175"/>
      <c r="H1466" s="178"/>
      <c r="I1466" s="178"/>
      <c r="J1466" s="184"/>
      <c r="N1466" s="178"/>
      <c r="O1466" s="178"/>
      <c r="P1466" s="178"/>
      <c r="S1466" s="458"/>
      <c r="AN1466" s="458"/>
    </row>
    <row r="1467" spans="2:40" ht="15.75" customHeight="1">
      <c r="B1467" s="175"/>
      <c r="H1467" s="178"/>
      <c r="I1467" s="178"/>
      <c r="J1467" s="184"/>
      <c r="N1467" s="178"/>
      <c r="O1467" s="178"/>
      <c r="P1467" s="178"/>
      <c r="S1467" s="458"/>
      <c r="AN1467" s="458"/>
    </row>
    <row r="1468" spans="2:40" ht="15.75" customHeight="1">
      <c r="B1468" s="175"/>
      <c r="H1468" s="178"/>
      <c r="I1468" s="178"/>
      <c r="J1468" s="184"/>
      <c r="N1468" s="178"/>
      <c r="O1468" s="178"/>
      <c r="P1468" s="178"/>
      <c r="S1468" s="458"/>
      <c r="AN1468" s="458"/>
    </row>
    <row r="1469" spans="2:40" ht="15.75" customHeight="1">
      <c r="B1469" s="175"/>
      <c r="H1469" s="178"/>
      <c r="I1469" s="178"/>
      <c r="J1469" s="184"/>
      <c r="N1469" s="178"/>
      <c r="O1469" s="178"/>
      <c r="P1469" s="178"/>
      <c r="S1469" s="458"/>
      <c r="AN1469" s="458"/>
    </row>
    <row r="1470" spans="2:40" ht="15.75" customHeight="1">
      <c r="B1470" s="175"/>
      <c r="H1470" s="178"/>
      <c r="I1470" s="178"/>
      <c r="J1470" s="184"/>
      <c r="N1470" s="178"/>
      <c r="O1470" s="178"/>
      <c r="P1470" s="178"/>
      <c r="S1470" s="458"/>
      <c r="AN1470" s="458"/>
    </row>
    <row r="1471" spans="2:40" ht="15.75" customHeight="1">
      <c r="B1471" s="175"/>
      <c r="H1471" s="178"/>
      <c r="I1471" s="178"/>
      <c r="J1471" s="184"/>
      <c r="N1471" s="178"/>
      <c r="O1471" s="178"/>
      <c r="P1471" s="178"/>
      <c r="S1471" s="458"/>
      <c r="AN1471" s="458"/>
    </row>
    <row r="1472" spans="2:40" ht="15.75" customHeight="1">
      <c r="B1472" s="175"/>
      <c r="H1472" s="178"/>
      <c r="I1472" s="178"/>
      <c r="J1472" s="184"/>
      <c r="N1472" s="178"/>
      <c r="O1472" s="178"/>
      <c r="P1472" s="178"/>
      <c r="S1472" s="458"/>
      <c r="AN1472" s="458"/>
    </row>
    <row r="1473" spans="2:40" ht="15.75" customHeight="1">
      <c r="B1473" s="175"/>
      <c r="H1473" s="178"/>
      <c r="I1473" s="178"/>
      <c r="J1473" s="184"/>
      <c r="N1473" s="178"/>
      <c r="O1473" s="178"/>
      <c r="P1473" s="178"/>
      <c r="S1473" s="458"/>
      <c r="AN1473" s="458"/>
    </row>
    <row r="1474" spans="2:40" ht="15.75" customHeight="1">
      <c r="B1474" s="175"/>
      <c r="H1474" s="178"/>
      <c r="I1474" s="178"/>
      <c r="J1474" s="184"/>
      <c r="N1474" s="178"/>
      <c r="O1474" s="178"/>
      <c r="P1474" s="178"/>
      <c r="S1474" s="458"/>
      <c r="AN1474" s="458"/>
    </row>
    <row r="1475" spans="2:40" ht="15.75" customHeight="1">
      <c r="B1475" s="175"/>
      <c r="H1475" s="178"/>
      <c r="I1475" s="179"/>
      <c r="J1475" s="184"/>
      <c r="N1475" s="178"/>
      <c r="O1475" s="178"/>
      <c r="P1475" s="178"/>
      <c r="S1475" s="458"/>
      <c r="AN1475" s="458"/>
    </row>
    <row r="1476" spans="2:40" ht="15.75" customHeight="1">
      <c r="B1476" s="175"/>
      <c r="H1476" s="178"/>
      <c r="I1476" s="178"/>
      <c r="J1476" s="184"/>
      <c r="N1476" s="178"/>
      <c r="O1476" s="178"/>
      <c r="P1476" s="178"/>
      <c r="S1476" s="458"/>
      <c r="AN1476" s="458"/>
    </row>
    <row r="1477" spans="2:40" ht="15.75" customHeight="1">
      <c r="B1477" s="175"/>
      <c r="H1477" s="178"/>
      <c r="I1477" s="179"/>
      <c r="J1477" s="184"/>
      <c r="N1477" s="178"/>
      <c r="O1477" s="178"/>
      <c r="P1477" s="178"/>
      <c r="S1477" s="458"/>
      <c r="AN1477" s="458"/>
    </row>
    <row r="1478" spans="2:40" ht="15.75" customHeight="1">
      <c r="B1478" s="175"/>
      <c r="H1478" s="178"/>
      <c r="I1478" s="178"/>
      <c r="J1478" s="184"/>
      <c r="N1478" s="178"/>
      <c r="O1478" s="178"/>
      <c r="P1478" s="178"/>
      <c r="S1478" s="458"/>
      <c r="AN1478" s="458"/>
    </row>
    <row r="1479" spans="2:40" ht="15.75" customHeight="1">
      <c r="B1479" s="175"/>
      <c r="H1479" s="178"/>
      <c r="I1479" s="178"/>
      <c r="J1479" s="184"/>
      <c r="N1479" s="178"/>
      <c r="O1479" s="178"/>
      <c r="P1479" s="178"/>
      <c r="S1479" s="458"/>
      <c r="AN1479" s="458"/>
    </row>
    <row r="1480" spans="2:40" ht="15.75" customHeight="1">
      <c r="B1480" s="175"/>
      <c r="H1480" s="178"/>
      <c r="I1480" s="178"/>
      <c r="J1480" s="184"/>
      <c r="N1480" s="178"/>
      <c r="O1480" s="178"/>
      <c r="P1480" s="178"/>
      <c r="S1480" s="458"/>
      <c r="AN1480" s="458"/>
    </row>
    <row r="1481" spans="2:40" ht="15.75" customHeight="1">
      <c r="B1481" s="175"/>
      <c r="H1481" s="178"/>
      <c r="I1481" s="178"/>
      <c r="J1481" s="184"/>
      <c r="N1481" s="178"/>
      <c r="O1481" s="178"/>
      <c r="P1481" s="178"/>
      <c r="S1481" s="458"/>
      <c r="AN1481" s="458"/>
    </row>
    <row r="1482" spans="2:40" ht="15.75" customHeight="1">
      <c r="B1482" s="175"/>
      <c r="H1482" s="178"/>
      <c r="I1482" s="178"/>
      <c r="J1482" s="184"/>
      <c r="N1482" s="178"/>
      <c r="O1482" s="178"/>
      <c r="P1482" s="178"/>
      <c r="S1482" s="458"/>
      <c r="AN1482" s="458"/>
    </row>
    <row r="1483" spans="2:40" ht="15.75" customHeight="1">
      <c r="B1483" s="175"/>
      <c r="H1483" s="178"/>
      <c r="I1483" s="178"/>
      <c r="J1483" s="184"/>
      <c r="N1483" s="178"/>
      <c r="O1483" s="178"/>
      <c r="P1483" s="178"/>
      <c r="S1483" s="458"/>
      <c r="AN1483" s="458"/>
    </row>
    <row r="1484" spans="2:40" ht="15.75" customHeight="1">
      <c r="B1484" s="175"/>
      <c r="H1484" s="178"/>
      <c r="I1484" s="178"/>
      <c r="J1484" s="184"/>
      <c r="N1484" s="178"/>
      <c r="O1484" s="178"/>
      <c r="P1484" s="178"/>
      <c r="S1484" s="458"/>
      <c r="AN1484" s="458"/>
    </row>
    <row r="1485" spans="2:40" ht="15.75" customHeight="1">
      <c r="B1485" s="175"/>
      <c r="H1485" s="178"/>
      <c r="I1485" s="178"/>
      <c r="J1485" s="184"/>
      <c r="N1485" s="178"/>
      <c r="O1485" s="178"/>
      <c r="P1485" s="178"/>
      <c r="S1485" s="458"/>
      <c r="AN1485" s="458"/>
    </row>
    <row r="1486" spans="2:40" ht="15.75" customHeight="1">
      <c r="B1486" s="175"/>
      <c r="H1486" s="178"/>
      <c r="I1486" s="178"/>
      <c r="J1486" s="184"/>
      <c r="N1486" s="178"/>
      <c r="O1486" s="178"/>
      <c r="P1486" s="178"/>
      <c r="S1486" s="458"/>
      <c r="AN1486" s="458"/>
    </row>
    <row r="1487" spans="2:40" ht="15.75" customHeight="1">
      <c r="B1487" s="175"/>
      <c r="H1487" s="178"/>
      <c r="I1487" s="178"/>
      <c r="J1487" s="184"/>
      <c r="N1487" s="178"/>
      <c r="O1487" s="178"/>
      <c r="P1487" s="178"/>
      <c r="S1487" s="458"/>
      <c r="AN1487" s="458"/>
    </row>
    <row r="1488" spans="2:40" ht="15.75" customHeight="1">
      <c r="B1488" s="175"/>
      <c r="H1488" s="178"/>
      <c r="I1488" s="178"/>
      <c r="J1488" s="184"/>
      <c r="N1488" s="178"/>
      <c r="O1488" s="178"/>
      <c r="P1488" s="178"/>
      <c r="S1488" s="458"/>
      <c r="AN1488" s="458"/>
    </row>
    <row r="1489" spans="2:40" ht="15.75" customHeight="1">
      <c r="B1489" s="175"/>
      <c r="H1489" s="178"/>
      <c r="I1489" s="178"/>
      <c r="J1489" s="184"/>
      <c r="N1489" s="178"/>
      <c r="O1489" s="178"/>
      <c r="P1489" s="178"/>
      <c r="S1489" s="458"/>
      <c r="AN1489" s="458"/>
    </row>
    <row r="1490" spans="2:40" ht="15.75" customHeight="1">
      <c r="B1490" s="175"/>
      <c r="H1490" s="178"/>
      <c r="I1490" s="178"/>
      <c r="J1490" s="184"/>
      <c r="N1490" s="178"/>
      <c r="O1490" s="178"/>
      <c r="P1490" s="178"/>
      <c r="S1490" s="458"/>
      <c r="AN1490" s="458"/>
    </row>
    <row r="1491" spans="2:40" ht="15.75" customHeight="1">
      <c r="B1491" s="175"/>
      <c r="H1491" s="178"/>
      <c r="I1491" s="178"/>
      <c r="J1491" s="184"/>
      <c r="N1491" s="178"/>
      <c r="O1491" s="178"/>
      <c r="P1491" s="178"/>
      <c r="S1491" s="458"/>
      <c r="AN1491" s="458"/>
    </row>
    <row r="1492" spans="2:40" ht="15.75" customHeight="1">
      <c r="B1492" s="175"/>
      <c r="H1492" s="178"/>
      <c r="I1492" s="178"/>
      <c r="J1492" s="184"/>
      <c r="N1492" s="178"/>
      <c r="O1492" s="178"/>
      <c r="P1492" s="178"/>
      <c r="S1492" s="458"/>
      <c r="AN1492" s="458"/>
    </row>
    <row r="1493" spans="2:40" ht="15.75" customHeight="1">
      <c r="B1493" s="175"/>
      <c r="H1493" s="178"/>
      <c r="I1493" s="178"/>
      <c r="J1493" s="184"/>
      <c r="N1493" s="178"/>
      <c r="O1493" s="178"/>
      <c r="P1493" s="178"/>
      <c r="S1493" s="458"/>
      <c r="AN1493" s="458"/>
    </row>
    <row r="1494" spans="2:40" ht="15.75" customHeight="1">
      <c r="B1494" s="175"/>
      <c r="H1494" s="178"/>
      <c r="I1494" s="178"/>
      <c r="J1494" s="184"/>
      <c r="N1494" s="178"/>
      <c r="O1494" s="178"/>
      <c r="P1494" s="178"/>
      <c r="AN1494" s="458"/>
    </row>
    <row r="1495" spans="2:40" ht="15.75" customHeight="1">
      <c r="B1495" s="175"/>
      <c r="H1495" s="178"/>
      <c r="I1495" s="178"/>
      <c r="J1495" s="184"/>
      <c r="N1495" s="178"/>
      <c r="O1495" s="178"/>
      <c r="P1495" s="178"/>
      <c r="AN1495" s="458"/>
    </row>
    <row r="1496" spans="2:40" ht="15.75" customHeight="1">
      <c r="B1496" s="175"/>
      <c r="H1496" s="178"/>
      <c r="I1496" s="178"/>
      <c r="J1496" s="184"/>
      <c r="N1496" s="178"/>
      <c r="O1496" s="178"/>
      <c r="P1496" s="178"/>
      <c r="AN1496" s="458"/>
    </row>
    <row r="1497" spans="2:40" ht="15.75" customHeight="1">
      <c r="B1497" s="175"/>
      <c r="H1497" s="178"/>
      <c r="I1497" s="178"/>
      <c r="J1497" s="184"/>
      <c r="N1497" s="178"/>
      <c r="O1497" s="178"/>
      <c r="P1497" s="178"/>
      <c r="AN1497" s="458"/>
    </row>
    <row r="1498" spans="2:40" ht="15.75" customHeight="1">
      <c r="B1498" s="175"/>
      <c r="H1498" s="178"/>
      <c r="I1498" s="178"/>
      <c r="J1498" s="184"/>
      <c r="N1498" s="178"/>
      <c r="O1498" s="178"/>
      <c r="P1498" s="178"/>
      <c r="AN1498" s="458"/>
    </row>
    <row r="1499" spans="2:40" ht="15.75" customHeight="1">
      <c r="B1499" s="175"/>
      <c r="H1499" s="178"/>
      <c r="I1499" s="178"/>
      <c r="J1499" s="184"/>
      <c r="N1499" s="178"/>
      <c r="O1499" s="178"/>
      <c r="P1499" s="178"/>
      <c r="AN1499" s="458"/>
    </row>
    <row r="1500" spans="2:40" ht="15.75" customHeight="1">
      <c r="B1500" s="175"/>
      <c r="H1500" s="178"/>
      <c r="I1500" s="178"/>
      <c r="J1500" s="184"/>
      <c r="N1500" s="178"/>
      <c r="O1500" s="178"/>
      <c r="P1500" s="178"/>
      <c r="AN1500" s="458"/>
    </row>
    <row r="1501" spans="2:40" ht="15.75" customHeight="1">
      <c r="B1501" s="175"/>
      <c r="H1501" s="178"/>
      <c r="I1501" s="178"/>
      <c r="J1501" s="184"/>
      <c r="N1501" s="178"/>
      <c r="O1501" s="178"/>
      <c r="P1501" s="178"/>
      <c r="AN1501" s="458"/>
    </row>
    <row r="1502" spans="2:40" ht="15.75" customHeight="1">
      <c r="B1502" s="175"/>
      <c r="H1502" s="178"/>
      <c r="I1502" s="178"/>
      <c r="J1502" s="184"/>
      <c r="N1502" s="178"/>
      <c r="O1502" s="178"/>
      <c r="P1502" s="178"/>
      <c r="AN1502" s="458"/>
    </row>
    <row r="1503" spans="2:40" ht="15.75" customHeight="1">
      <c r="B1503" s="175"/>
      <c r="H1503" s="178"/>
      <c r="I1503" s="178"/>
      <c r="J1503" s="184"/>
      <c r="N1503" s="178"/>
      <c r="O1503" s="178"/>
      <c r="P1503" s="178"/>
      <c r="AN1503" s="458"/>
    </row>
    <row r="1504" spans="2:40" ht="15.75" customHeight="1">
      <c r="B1504" s="175"/>
      <c r="H1504" s="178"/>
      <c r="I1504" s="178"/>
      <c r="J1504" s="184"/>
      <c r="N1504" s="178"/>
      <c r="O1504" s="178"/>
      <c r="P1504" s="178"/>
      <c r="AN1504" s="458"/>
    </row>
    <row r="1505" spans="2:40" ht="15.75" customHeight="1">
      <c r="B1505" s="175"/>
      <c r="H1505" s="178"/>
      <c r="I1505" s="178"/>
      <c r="J1505" s="184"/>
      <c r="N1505" s="178"/>
      <c r="O1505" s="178"/>
      <c r="P1505" s="178"/>
      <c r="AN1505" s="458"/>
    </row>
    <row r="1506" spans="2:40" ht="15.75" customHeight="1">
      <c r="B1506" s="175"/>
      <c r="H1506" s="178"/>
      <c r="I1506" s="178"/>
      <c r="J1506" s="184"/>
      <c r="N1506" s="178"/>
      <c r="O1506" s="178"/>
      <c r="P1506" s="178"/>
      <c r="AN1506" s="458"/>
    </row>
    <row r="1507" spans="2:40" ht="15.75" customHeight="1">
      <c r="B1507" s="175"/>
      <c r="H1507" s="178"/>
      <c r="I1507" s="178"/>
      <c r="J1507" s="184"/>
      <c r="N1507" s="178"/>
      <c r="O1507" s="178"/>
      <c r="P1507" s="178"/>
      <c r="AN1507" s="458"/>
    </row>
    <row r="1508" spans="2:40" ht="15.75" customHeight="1">
      <c r="B1508" s="175"/>
      <c r="H1508" s="178"/>
      <c r="I1508" s="178"/>
      <c r="J1508" s="184"/>
      <c r="N1508" s="178"/>
      <c r="O1508" s="178"/>
      <c r="P1508" s="178"/>
      <c r="AN1508" s="458"/>
    </row>
    <row r="1509" spans="2:40" ht="15.75" customHeight="1">
      <c r="B1509" s="175"/>
      <c r="H1509" s="178"/>
      <c r="I1509" s="178"/>
      <c r="J1509" s="184"/>
      <c r="N1509" s="178"/>
      <c r="O1509" s="178"/>
      <c r="P1509" s="178"/>
      <c r="AN1509" s="458"/>
    </row>
    <row r="1510" spans="2:40" ht="15.75" customHeight="1">
      <c r="B1510" s="175"/>
      <c r="H1510" s="178"/>
      <c r="I1510" s="178"/>
      <c r="J1510" s="184"/>
      <c r="N1510" s="178"/>
      <c r="O1510" s="178"/>
      <c r="P1510" s="178"/>
      <c r="AN1510" s="458"/>
    </row>
    <row r="1511" spans="2:40" ht="15.75" customHeight="1">
      <c r="B1511" s="175"/>
      <c r="H1511" s="178"/>
      <c r="I1511" s="178"/>
      <c r="J1511" s="184"/>
      <c r="N1511" s="178"/>
      <c r="O1511" s="178"/>
      <c r="P1511" s="178"/>
      <c r="AN1511" s="458"/>
    </row>
    <row r="1512" spans="2:40" ht="15.75" customHeight="1">
      <c r="B1512" s="175"/>
      <c r="H1512" s="178"/>
      <c r="I1512" s="178"/>
      <c r="J1512" s="184"/>
      <c r="N1512" s="178"/>
      <c r="O1512" s="178"/>
      <c r="P1512" s="178"/>
      <c r="AN1512" s="458"/>
    </row>
    <row r="1513" spans="2:40" ht="15.75" customHeight="1">
      <c r="B1513" s="175"/>
      <c r="H1513" s="178"/>
      <c r="I1513" s="178"/>
      <c r="J1513" s="184"/>
      <c r="N1513" s="178"/>
      <c r="O1513" s="178"/>
      <c r="P1513" s="178"/>
      <c r="AN1513" s="458"/>
    </row>
    <row r="1514" spans="2:40" ht="15.75" customHeight="1">
      <c r="B1514" s="175"/>
      <c r="H1514" s="178"/>
      <c r="I1514" s="178"/>
      <c r="J1514" s="184"/>
      <c r="N1514" s="178"/>
      <c r="O1514" s="178"/>
      <c r="P1514" s="178"/>
      <c r="AN1514" s="458"/>
    </row>
    <row r="1515" spans="2:40" ht="15.75" customHeight="1">
      <c r="B1515" s="175"/>
      <c r="H1515" s="178"/>
      <c r="I1515" s="178"/>
      <c r="J1515" s="184"/>
      <c r="N1515" s="178"/>
      <c r="O1515" s="178"/>
      <c r="P1515" s="178"/>
      <c r="AN1515" s="458"/>
    </row>
    <row r="1516" spans="2:40" ht="15.75" customHeight="1">
      <c r="B1516" s="175"/>
      <c r="H1516" s="178"/>
      <c r="I1516" s="178"/>
      <c r="J1516" s="184"/>
      <c r="N1516" s="178"/>
      <c r="O1516" s="178"/>
      <c r="P1516" s="178"/>
      <c r="AN1516" s="458"/>
    </row>
    <row r="1517" spans="2:40" ht="15.75" customHeight="1">
      <c r="B1517" s="175"/>
      <c r="H1517" s="178"/>
      <c r="I1517" s="178"/>
      <c r="J1517" s="184"/>
      <c r="N1517" s="178"/>
      <c r="O1517" s="178"/>
      <c r="P1517" s="178"/>
      <c r="AN1517" s="458"/>
    </row>
    <row r="1518" spans="2:40" ht="15.75" customHeight="1">
      <c r="B1518" s="175"/>
      <c r="H1518" s="178"/>
      <c r="I1518" s="178"/>
      <c r="J1518" s="184"/>
      <c r="N1518" s="178"/>
      <c r="O1518" s="178"/>
      <c r="P1518" s="178"/>
      <c r="AN1518" s="458"/>
    </row>
    <row r="1519" spans="2:40" ht="15.75" customHeight="1">
      <c r="B1519" s="175"/>
      <c r="H1519" s="178"/>
      <c r="I1519" s="178"/>
      <c r="J1519" s="184"/>
      <c r="N1519" s="178"/>
      <c r="O1519" s="178"/>
      <c r="P1519" s="178"/>
      <c r="AN1519" s="458"/>
    </row>
    <row r="1520" spans="2:40" ht="15.75" customHeight="1">
      <c r="B1520" s="175"/>
      <c r="H1520" s="178"/>
      <c r="I1520" s="178"/>
      <c r="J1520" s="184"/>
      <c r="N1520" s="178"/>
      <c r="O1520" s="178"/>
      <c r="P1520" s="178"/>
      <c r="AN1520" s="458"/>
    </row>
    <row r="1521" spans="2:40" ht="15.75" customHeight="1">
      <c r="B1521" s="175"/>
      <c r="H1521" s="178"/>
      <c r="I1521" s="178"/>
      <c r="J1521" s="184"/>
      <c r="N1521" s="178"/>
      <c r="O1521" s="178"/>
      <c r="P1521" s="178"/>
      <c r="AN1521" s="458"/>
    </row>
    <row r="1522" spans="2:40" ht="15.75" customHeight="1">
      <c r="B1522" s="175"/>
      <c r="H1522" s="178"/>
      <c r="I1522" s="178"/>
      <c r="J1522" s="184"/>
      <c r="N1522" s="178"/>
      <c r="O1522" s="178"/>
      <c r="P1522" s="178"/>
      <c r="AN1522" s="458"/>
    </row>
    <row r="1523" spans="2:40" ht="15.75" customHeight="1">
      <c r="B1523" s="175"/>
      <c r="H1523" s="178"/>
      <c r="I1523" s="178"/>
      <c r="J1523" s="184"/>
      <c r="N1523" s="178"/>
      <c r="O1523" s="178"/>
      <c r="P1523" s="178"/>
      <c r="AN1523" s="458"/>
    </row>
    <row r="1524" spans="2:40" ht="15.75" customHeight="1">
      <c r="B1524" s="175"/>
      <c r="H1524" s="178"/>
      <c r="I1524" s="178"/>
      <c r="J1524" s="184"/>
      <c r="N1524" s="178"/>
      <c r="O1524" s="178"/>
      <c r="P1524" s="178"/>
      <c r="AN1524" s="458"/>
    </row>
    <row r="1525" spans="2:40" ht="15.75" customHeight="1">
      <c r="B1525" s="175"/>
      <c r="H1525" s="178"/>
      <c r="I1525" s="178"/>
      <c r="J1525" s="184"/>
      <c r="N1525" s="178"/>
      <c r="O1525" s="178"/>
      <c r="P1525" s="178"/>
      <c r="AN1525" s="458"/>
    </row>
    <row r="1526" spans="2:40" ht="15.75" customHeight="1">
      <c r="B1526" s="175"/>
      <c r="H1526" s="178"/>
      <c r="I1526" s="178"/>
      <c r="J1526" s="184"/>
      <c r="N1526" s="178"/>
      <c r="O1526" s="178"/>
      <c r="P1526" s="178"/>
      <c r="AN1526" s="458"/>
    </row>
    <row r="1527" spans="2:40" ht="15.75" customHeight="1">
      <c r="B1527" s="175"/>
      <c r="H1527" s="178"/>
      <c r="I1527" s="178"/>
      <c r="J1527" s="184"/>
      <c r="N1527" s="178"/>
      <c r="O1527" s="178"/>
      <c r="P1527" s="178"/>
      <c r="AN1527" s="458"/>
    </row>
    <row r="1528" spans="2:40" ht="15.75" customHeight="1">
      <c r="B1528" s="175"/>
      <c r="H1528" s="178"/>
      <c r="I1528" s="178"/>
      <c r="J1528" s="184"/>
      <c r="N1528" s="178"/>
      <c r="O1528" s="178"/>
      <c r="P1528" s="178"/>
      <c r="AN1528" s="458"/>
    </row>
    <row r="1529" spans="2:40" ht="15.75" customHeight="1">
      <c r="B1529" s="175"/>
      <c r="H1529" s="178"/>
      <c r="I1529" s="178"/>
      <c r="J1529" s="184"/>
      <c r="N1529" s="178"/>
      <c r="O1529" s="178"/>
      <c r="P1529" s="178"/>
      <c r="AN1529" s="458"/>
    </row>
    <row r="1530" spans="2:40" ht="15.75" customHeight="1">
      <c r="B1530" s="175"/>
      <c r="H1530" s="178"/>
      <c r="I1530" s="178"/>
      <c r="J1530" s="184"/>
      <c r="N1530" s="178"/>
      <c r="O1530" s="178"/>
      <c r="P1530" s="178"/>
      <c r="AN1530" s="458"/>
    </row>
    <row r="1531" spans="2:40" ht="15.75" customHeight="1">
      <c r="B1531" s="175"/>
      <c r="H1531" s="178"/>
      <c r="I1531" s="178"/>
      <c r="J1531" s="184"/>
      <c r="N1531" s="178"/>
      <c r="O1531" s="178"/>
      <c r="P1531" s="178"/>
      <c r="AN1531" s="458"/>
    </row>
    <row r="1532" spans="2:40" ht="15.75" customHeight="1">
      <c r="B1532" s="175"/>
      <c r="H1532" s="178"/>
      <c r="I1532" s="178"/>
      <c r="J1532" s="184"/>
      <c r="N1532" s="178"/>
      <c r="O1532" s="178"/>
      <c r="P1532" s="178"/>
      <c r="AN1532" s="458"/>
    </row>
    <row r="1533" spans="2:40" ht="15.75" customHeight="1">
      <c r="B1533" s="175"/>
      <c r="H1533" s="178"/>
      <c r="I1533" s="178"/>
      <c r="J1533" s="184"/>
      <c r="N1533" s="178"/>
      <c r="O1533" s="178"/>
      <c r="P1533" s="178"/>
      <c r="AN1533" s="458"/>
    </row>
    <row r="1534" spans="2:40" ht="15.75" customHeight="1">
      <c r="B1534" s="175"/>
      <c r="H1534" s="178"/>
      <c r="I1534" s="178"/>
      <c r="J1534" s="184"/>
      <c r="N1534" s="178"/>
      <c r="O1534" s="178"/>
      <c r="P1534" s="178"/>
      <c r="AN1534" s="458"/>
    </row>
    <row r="1535" spans="2:40" ht="15.75" customHeight="1">
      <c r="B1535" s="175"/>
      <c r="H1535" s="178"/>
      <c r="I1535" s="178"/>
      <c r="J1535" s="184"/>
      <c r="N1535" s="178"/>
      <c r="O1535" s="178"/>
      <c r="P1535" s="178"/>
      <c r="AN1535" s="458"/>
    </row>
    <row r="1536" spans="2:40" ht="15.75" customHeight="1">
      <c r="B1536" s="175"/>
      <c r="H1536" s="178"/>
      <c r="I1536" s="178"/>
      <c r="J1536" s="184"/>
      <c r="N1536" s="178"/>
      <c r="O1536" s="178"/>
      <c r="P1536" s="178"/>
      <c r="AN1536" s="458"/>
    </row>
    <row r="1537" spans="2:40" ht="15.75" customHeight="1">
      <c r="B1537" s="175"/>
      <c r="H1537" s="178"/>
      <c r="I1537" s="178"/>
      <c r="J1537" s="184"/>
      <c r="N1537" s="178"/>
      <c r="O1537" s="178"/>
      <c r="P1537" s="178"/>
      <c r="AN1537" s="458"/>
    </row>
    <row r="1538" spans="2:40" ht="15.75" customHeight="1">
      <c r="B1538" s="175"/>
      <c r="H1538" s="178"/>
      <c r="I1538" s="178"/>
      <c r="J1538" s="184"/>
      <c r="N1538" s="178"/>
      <c r="O1538" s="178"/>
      <c r="P1538" s="178"/>
      <c r="AN1538" s="458"/>
    </row>
    <row r="1539" spans="2:40" ht="15.75" customHeight="1">
      <c r="B1539" s="175"/>
      <c r="H1539" s="178"/>
      <c r="I1539" s="178"/>
      <c r="J1539" s="184"/>
      <c r="N1539" s="178"/>
      <c r="O1539" s="178"/>
      <c r="P1539" s="178"/>
      <c r="AN1539" s="458"/>
    </row>
    <row r="1540" spans="2:40" ht="15.75" customHeight="1">
      <c r="B1540" s="175"/>
      <c r="H1540" s="178"/>
      <c r="I1540" s="178"/>
      <c r="J1540" s="184"/>
      <c r="N1540" s="178"/>
      <c r="O1540" s="178"/>
      <c r="P1540" s="178"/>
      <c r="AN1540" s="458"/>
    </row>
    <row r="1541" spans="2:40" ht="15.75" customHeight="1">
      <c r="B1541" s="175"/>
      <c r="H1541" s="178"/>
      <c r="I1541" s="178"/>
      <c r="J1541" s="184"/>
      <c r="N1541" s="178"/>
      <c r="O1541" s="178"/>
      <c r="P1541" s="178"/>
      <c r="AN1541" s="458"/>
    </row>
    <row r="1542" spans="2:40" ht="15.75" customHeight="1">
      <c r="B1542" s="175"/>
      <c r="H1542" s="178"/>
      <c r="I1542" s="178"/>
      <c r="J1542" s="184"/>
      <c r="N1542" s="178"/>
      <c r="O1542" s="178"/>
      <c r="P1542" s="178"/>
      <c r="AN1542" s="458"/>
    </row>
    <row r="1543" spans="2:40" ht="15.75" customHeight="1">
      <c r="B1543" s="175"/>
      <c r="H1543" s="178"/>
      <c r="I1543" s="178"/>
      <c r="J1543" s="184"/>
      <c r="N1543" s="178"/>
      <c r="O1543" s="178"/>
      <c r="P1543" s="178"/>
      <c r="AN1543" s="458"/>
    </row>
    <row r="1544" spans="2:40" ht="15.75" customHeight="1">
      <c r="B1544" s="175"/>
      <c r="H1544" s="178"/>
      <c r="I1544" s="178"/>
      <c r="J1544" s="184"/>
      <c r="N1544" s="178"/>
      <c r="P1544" s="178"/>
      <c r="AN1544" s="458"/>
    </row>
    <row r="1545" spans="2:40" ht="15.75" customHeight="1">
      <c r="B1545" s="175"/>
      <c r="N1545" s="178"/>
      <c r="P1545" s="178"/>
      <c r="AN1545" s="458"/>
    </row>
    <row r="1546" spans="2:40" ht="15.75" customHeight="1">
      <c r="B1546" s="175"/>
      <c r="N1546" s="178"/>
      <c r="P1546" s="178"/>
      <c r="AN1546" s="458"/>
    </row>
    <row r="1547" spans="2:40" ht="15.75" customHeight="1">
      <c r="B1547" s="175"/>
      <c r="N1547" s="178"/>
      <c r="O1547" s="178"/>
      <c r="P1547" s="178"/>
      <c r="AN1547" s="458"/>
    </row>
    <row r="1548" spans="2:40" ht="15.75" customHeight="1">
      <c r="B1548" s="175"/>
      <c r="H1548" s="178"/>
      <c r="I1548" s="178"/>
      <c r="J1548" s="184"/>
      <c r="N1548" s="178"/>
      <c r="O1548" s="178"/>
      <c r="P1548" s="178"/>
      <c r="AN1548" s="458"/>
    </row>
    <row r="1549" spans="2:40" ht="15.75" customHeight="1">
      <c r="B1549" s="175"/>
      <c r="H1549" s="178"/>
      <c r="I1549" s="178"/>
      <c r="J1549" s="184"/>
      <c r="N1549" s="178"/>
      <c r="O1549" s="178"/>
      <c r="P1549" s="178"/>
      <c r="AN1549" s="458"/>
    </row>
    <row r="1550" spans="2:40" ht="15.75" customHeight="1">
      <c r="B1550" s="175"/>
      <c r="H1550" s="178"/>
      <c r="I1550" s="178"/>
      <c r="J1550" s="184"/>
      <c r="N1550" s="178"/>
      <c r="O1550" s="178"/>
      <c r="P1550" s="178"/>
      <c r="AN1550" s="458"/>
    </row>
    <row r="1551" spans="2:40" ht="15.75" customHeight="1">
      <c r="B1551" s="175"/>
      <c r="H1551" s="178"/>
      <c r="I1551" s="178"/>
      <c r="J1551" s="184"/>
      <c r="N1551" s="178"/>
      <c r="O1551" s="178"/>
      <c r="P1551" s="178"/>
      <c r="AN1551" s="458"/>
    </row>
    <row r="1552" spans="2:40" ht="15.75" customHeight="1">
      <c r="B1552" s="175"/>
      <c r="H1552" s="178"/>
      <c r="I1552" s="178"/>
      <c r="J1552" s="184"/>
      <c r="N1552" s="178"/>
      <c r="O1552" s="178"/>
      <c r="P1552" s="178"/>
      <c r="AN1552" s="458"/>
    </row>
    <row r="1553" spans="2:40" ht="15.75" customHeight="1">
      <c r="B1553" s="175"/>
      <c r="H1553" s="178"/>
      <c r="I1553" s="178"/>
      <c r="J1553" s="184"/>
      <c r="N1553" s="178"/>
      <c r="O1553" s="178"/>
      <c r="P1553" s="178"/>
      <c r="AN1553" s="458"/>
    </row>
    <row r="1554" spans="2:40" ht="15.75" customHeight="1">
      <c r="B1554" s="175"/>
      <c r="H1554" s="178"/>
      <c r="I1554" s="178"/>
      <c r="J1554" s="184"/>
      <c r="N1554" s="178"/>
      <c r="O1554" s="178"/>
      <c r="P1554" s="178"/>
      <c r="AN1554" s="458"/>
    </row>
    <row r="1555" spans="2:40" ht="15.75" customHeight="1">
      <c r="B1555" s="175"/>
      <c r="H1555" s="178"/>
      <c r="I1555" s="178"/>
      <c r="J1555" s="184"/>
      <c r="N1555" s="178"/>
      <c r="O1555" s="178"/>
      <c r="P1555" s="178"/>
      <c r="AN1555" s="458"/>
    </row>
    <row r="1556" spans="2:40" ht="15.75" customHeight="1">
      <c r="B1556" s="175"/>
      <c r="H1556" s="178"/>
      <c r="I1556" s="178"/>
      <c r="J1556" s="184"/>
      <c r="N1556" s="178"/>
      <c r="O1556" s="178"/>
      <c r="P1556" s="178"/>
      <c r="AN1556" s="458"/>
    </row>
    <row r="1557" spans="2:40" ht="15.75" customHeight="1">
      <c r="B1557" s="175"/>
      <c r="H1557" s="178"/>
      <c r="I1557" s="178"/>
      <c r="J1557" s="184"/>
      <c r="N1557" s="178"/>
      <c r="O1557" s="178"/>
      <c r="P1557" s="178"/>
      <c r="AN1557" s="458"/>
    </row>
    <row r="1558" spans="2:40" ht="15.75" customHeight="1">
      <c r="B1558" s="175"/>
      <c r="H1558" s="178"/>
      <c r="I1558" s="178"/>
      <c r="J1558" s="184"/>
      <c r="N1558" s="178"/>
      <c r="O1558" s="178"/>
      <c r="P1558" s="178"/>
      <c r="AN1558" s="458"/>
    </row>
    <row r="1559" spans="2:40" ht="15.75" customHeight="1">
      <c r="B1559" s="175"/>
      <c r="H1559" s="178"/>
      <c r="I1559" s="178"/>
      <c r="J1559" s="184"/>
      <c r="N1559" s="178"/>
      <c r="O1559" s="178"/>
      <c r="P1559" s="178"/>
      <c r="AN1559" s="458"/>
    </row>
    <row r="1560" spans="2:40" ht="15.75" customHeight="1">
      <c r="B1560" s="175"/>
      <c r="H1560" s="178"/>
      <c r="I1560" s="178"/>
      <c r="J1560" s="184"/>
      <c r="N1560" s="178"/>
      <c r="O1560" s="178"/>
      <c r="P1560" s="178"/>
      <c r="AN1560" s="458"/>
    </row>
    <row r="1561" spans="2:40" ht="15.75" customHeight="1">
      <c r="B1561" s="175"/>
      <c r="H1561" s="178"/>
      <c r="I1561" s="178"/>
      <c r="J1561" s="184"/>
      <c r="N1561" s="178"/>
      <c r="O1561" s="178"/>
      <c r="P1561" s="178"/>
      <c r="AN1561" s="458"/>
    </row>
    <row r="1562" spans="2:40" ht="15.75" customHeight="1">
      <c r="B1562" s="175"/>
      <c r="H1562" s="178"/>
      <c r="I1562" s="178"/>
      <c r="J1562" s="184"/>
      <c r="N1562" s="178"/>
      <c r="O1562" s="178"/>
      <c r="P1562" s="178"/>
      <c r="AN1562" s="458"/>
    </row>
    <row r="1563" spans="2:40" ht="15.75" customHeight="1">
      <c r="B1563" s="175"/>
      <c r="H1563" s="178"/>
      <c r="I1563" s="178"/>
      <c r="J1563" s="184"/>
      <c r="N1563" s="178"/>
      <c r="O1563" s="178"/>
      <c r="P1563" s="178"/>
      <c r="AN1563" s="458"/>
    </row>
    <row r="1564" spans="2:40" ht="15.75" customHeight="1">
      <c r="B1564" s="175"/>
      <c r="N1564" s="178"/>
      <c r="O1564" s="178"/>
      <c r="P1564" s="178"/>
      <c r="AN1564" s="458"/>
    </row>
    <row r="1565" spans="2:40" ht="15.75" customHeight="1">
      <c r="B1565" s="175"/>
      <c r="N1565" s="178"/>
      <c r="O1565" s="178"/>
      <c r="P1565" s="178"/>
      <c r="AN1565" s="458"/>
    </row>
    <row r="1566" spans="2:40" ht="15.75" customHeight="1">
      <c r="B1566" s="175"/>
      <c r="N1566" s="178"/>
      <c r="O1566" s="178"/>
      <c r="P1566" s="178"/>
      <c r="AN1566" s="458"/>
    </row>
    <row r="1567" spans="2:40" ht="15.75" customHeight="1">
      <c r="B1567" s="175"/>
      <c r="N1567" s="178"/>
      <c r="O1567" s="178"/>
      <c r="P1567" s="178"/>
      <c r="AN1567" s="458"/>
    </row>
    <row r="1568" spans="2:40" ht="15.75" customHeight="1">
      <c r="B1568" s="175"/>
      <c r="N1568" s="178"/>
      <c r="O1568" s="178"/>
      <c r="P1568" s="178"/>
      <c r="AN1568" s="458"/>
    </row>
    <row r="1569" spans="2:40" ht="15.75" customHeight="1">
      <c r="B1569" s="175"/>
      <c r="N1569" s="178"/>
      <c r="O1569" s="178"/>
      <c r="P1569" s="178"/>
      <c r="AN1569" s="458"/>
    </row>
    <row r="1570" spans="2:40" ht="15.75" customHeight="1">
      <c r="B1570" s="175"/>
      <c r="H1570" s="178"/>
      <c r="I1570" s="178"/>
      <c r="J1570" s="184"/>
      <c r="N1570" s="178"/>
      <c r="O1570" s="178"/>
      <c r="P1570" s="178"/>
      <c r="AN1570" s="458"/>
    </row>
    <row r="1571" spans="2:40" ht="15.75" customHeight="1">
      <c r="B1571" s="175"/>
      <c r="H1571" s="178"/>
      <c r="I1571" s="178"/>
      <c r="J1571" s="184"/>
      <c r="N1571" s="178"/>
      <c r="O1571" s="178"/>
      <c r="P1571" s="178"/>
      <c r="AN1571" s="458"/>
    </row>
    <row r="1572" spans="2:40" ht="15.75" customHeight="1">
      <c r="B1572" s="175"/>
      <c r="H1572" s="178"/>
      <c r="I1572" s="178"/>
      <c r="J1572" s="184"/>
      <c r="N1572" s="178"/>
      <c r="O1572" s="178"/>
      <c r="P1572" s="178"/>
      <c r="AN1572" s="458"/>
    </row>
    <row r="1573" spans="2:40" ht="15.75" customHeight="1">
      <c r="B1573" s="175"/>
      <c r="H1573" s="178"/>
      <c r="I1573" s="178"/>
      <c r="J1573" s="184"/>
      <c r="N1573" s="178"/>
      <c r="O1573" s="178"/>
      <c r="P1573" s="178"/>
      <c r="AN1573" s="458"/>
    </row>
    <row r="1574" spans="2:40" ht="15.75" customHeight="1">
      <c r="B1574" s="175"/>
      <c r="H1574" s="178"/>
      <c r="I1574" s="178"/>
      <c r="J1574" s="184"/>
      <c r="N1574" s="178"/>
      <c r="O1574" s="178"/>
      <c r="P1574" s="178"/>
      <c r="AN1574" s="458"/>
    </row>
    <row r="1575" spans="2:40" ht="15.75" customHeight="1">
      <c r="B1575" s="175"/>
      <c r="H1575" s="178"/>
      <c r="I1575" s="178"/>
      <c r="J1575" s="184"/>
      <c r="N1575" s="178"/>
      <c r="O1575" s="178"/>
      <c r="P1575" s="178"/>
      <c r="AN1575" s="458"/>
    </row>
    <row r="1576" spans="2:40" ht="15.75" customHeight="1">
      <c r="B1576" s="175"/>
      <c r="H1576" s="178"/>
      <c r="I1576" s="178"/>
      <c r="J1576" s="184"/>
      <c r="N1576" s="178"/>
      <c r="O1576" s="178"/>
      <c r="P1576" s="178"/>
      <c r="AN1576" s="458"/>
    </row>
    <row r="1577" spans="2:40" ht="15.75" customHeight="1">
      <c r="B1577" s="175"/>
      <c r="H1577" s="178"/>
      <c r="I1577" s="178"/>
      <c r="J1577" s="184"/>
      <c r="N1577" s="178"/>
      <c r="O1577" s="178"/>
      <c r="P1577" s="178"/>
      <c r="AN1577" s="458"/>
    </row>
    <row r="1578" spans="2:40" ht="15.75" customHeight="1">
      <c r="B1578" s="175"/>
      <c r="H1578" s="178"/>
      <c r="I1578" s="178"/>
      <c r="J1578" s="184"/>
      <c r="N1578" s="178"/>
      <c r="O1578" s="178"/>
      <c r="P1578" s="178"/>
      <c r="AN1578" s="458"/>
    </row>
    <row r="1579" spans="2:40" ht="15.75" customHeight="1">
      <c r="B1579" s="175"/>
      <c r="H1579" s="178"/>
      <c r="I1579" s="178"/>
      <c r="J1579" s="184"/>
      <c r="N1579" s="178"/>
      <c r="O1579" s="178"/>
      <c r="P1579" s="178"/>
      <c r="AN1579" s="458"/>
    </row>
    <row r="1580" spans="2:40" ht="15.75" customHeight="1">
      <c r="B1580" s="175"/>
      <c r="H1580" s="178"/>
      <c r="I1580" s="178"/>
      <c r="J1580" s="184"/>
      <c r="N1580" s="178"/>
      <c r="O1580" s="178"/>
      <c r="P1580" s="178"/>
      <c r="AN1580" s="458"/>
    </row>
    <row r="1581" spans="2:40" ht="15.75" customHeight="1">
      <c r="B1581" s="175"/>
      <c r="H1581" s="178"/>
      <c r="I1581" s="178"/>
      <c r="J1581" s="184"/>
      <c r="N1581" s="178"/>
      <c r="O1581" s="178"/>
      <c r="P1581" s="178"/>
      <c r="AN1581" s="458"/>
    </row>
    <row r="1582" spans="2:40" ht="15.75" customHeight="1">
      <c r="B1582" s="175"/>
      <c r="H1582" s="178"/>
      <c r="I1582" s="178"/>
      <c r="J1582" s="184"/>
      <c r="N1582" s="178"/>
      <c r="P1582" s="178"/>
      <c r="AN1582" s="458"/>
    </row>
    <row r="1583" spans="2:40" ht="15.75" customHeight="1">
      <c r="B1583" s="175"/>
      <c r="H1583" s="178"/>
      <c r="I1583" s="178"/>
      <c r="J1583" s="184"/>
      <c r="N1583" s="178"/>
      <c r="P1583" s="178"/>
      <c r="AN1583" s="458"/>
    </row>
    <row r="1584" spans="2:40" ht="15.75" customHeight="1">
      <c r="B1584" s="175"/>
      <c r="H1584" s="178"/>
      <c r="I1584" s="178"/>
      <c r="J1584" s="184"/>
      <c r="N1584" s="178"/>
      <c r="O1584" s="178"/>
      <c r="P1584" s="178"/>
      <c r="AN1584" s="458"/>
    </row>
    <row r="1585" spans="2:40" ht="15.75" customHeight="1">
      <c r="B1585" s="175"/>
      <c r="H1585" s="178"/>
      <c r="I1585" s="178"/>
      <c r="J1585" s="184"/>
      <c r="N1585" s="178"/>
      <c r="O1585" s="178"/>
      <c r="P1585" s="178"/>
      <c r="AN1585" s="458"/>
    </row>
    <row r="1586" spans="2:40" ht="15.75" customHeight="1">
      <c r="B1586" s="175"/>
      <c r="H1586" s="178"/>
      <c r="I1586" s="178"/>
      <c r="J1586" s="184"/>
      <c r="N1586" s="178"/>
      <c r="O1586" s="178"/>
      <c r="P1586" s="178"/>
      <c r="AN1586" s="458"/>
    </row>
    <row r="1587" spans="2:40" ht="15.75" customHeight="1">
      <c r="B1587" s="175"/>
      <c r="H1587" s="178"/>
      <c r="I1587" s="178"/>
      <c r="J1587" s="184"/>
      <c r="N1587" s="178"/>
      <c r="O1587" s="178"/>
      <c r="P1587" s="178"/>
      <c r="AN1587" s="458"/>
    </row>
    <row r="1588" spans="2:40" ht="15.75" customHeight="1">
      <c r="B1588" s="175"/>
      <c r="H1588" s="178"/>
      <c r="I1588" s="178"/>
      <c r="J1588" s="184"/>
      <c r="N1588" s="178"/>
      <c r="O1588" s="178"/>
      <c r="P1588" s="178"/>
      <c r="AN1588" s="458"/>
    </row>
    <row r="1589" spans="2:40" ht="15.75" customHeight="1">
      <c r="B1589" s="175"/>
      <c r="H1589" s="178"/>
      <c r="I1589" s="178"/>
      <c r="J1589" s="184"/>
      <c r="N1589" s="178"/>
      <c r="O1589" s="178"/>
      <c r="P1589" s="178"/>
      <c r="AN1589" s="458"/>
    </row>
    <row r="1590" spans="2:40" ht="15.75" customHeight="1">
      <c r="B1590" s="175"/>
      <c r="H1590" s="178"/>
      <c r="I1590" s="178"/>
      <c r="J1590" s="184"/>
      <c r="N1590" s="178"/>
      <c r="O1590" s="178"/>
      <c r="P1590" s="178"/>
      <c r="AN1590" s="458"/>
    </row>
    <row r="1591" spans="2:40" ht="15.75" customHeight="1">
      <c r="B1591" s="175"/>
      <c r="H1591" s="178"/>
      <c r="I1591" s="178"/>
      <c r="J1591" s="184"/>
      <c r="N1591" s="178"/>
      <c r="O1591" s="178"/>
      <c r="P1591" s="178"/>
      <c r="AN1591" s="458"/>
    </row>
    <row r="1592" spans="2:40" ht="15.75" customHeight="1">
      <c r="B1592" s="175"/>
      <c r="H1592" s="178"/>
      <c r="I1592" s="178"/>
      <c r="J1592" s="184"/>
      <c r="N1592" s="178"/>
      <c r="O1592" s="178"/>
      <c r="P1592" s="178"/>
      <c r="AN1592" s="458"/>
    </row>
    <row r="1593" spans="2:40" ht="15.75" customHeight="1">
      <c r="B1593" s="175"/>
      <c r="H1593" s="178"/>
      <c r="I1593" s="178"/>
      <c r="J1593" s="184"/>
      <c r="N1593" s="178"/>
      <c r="O1593" s="178"/>
      <c r="P1593" s="178"/>
      <c r="AN1593" s="458"/>
    </row>
    <row r="1594" spans="2:40" ht="15.75" customHeight="1">
      <c r="B1594" s="175"/>
      <c r="H1594" s="178"/>
      <c r="I1594" s="178"/>
      <c r="J1594" s="184"/>
      <c r="N1594" s="178"/>
      <c r="O1594" s="178"/>
      <c r="P1594" s="178"/>
      <c r="AN1594" s="458"/>
    </row>
    <row r="1595" spans="2:40" ht="15.75" customHeight="1">
      <c r="B1595" s="175"/>
      <c r="H1595" s="178"/>
      <c r="I1595" s="178"/>
      <c r="J1595" s="184"/>
      <c r="N1595" s="178"/>
      <c r="O1595" s="178"/>
      <c r="P1595" s="178"/>
      <c r="AN1595" s="458"/>
    </row>
    <row r="1596" spans="2:40" ht="15.75" customHeight="1">
      <c r="B1596" s="175"/>
      <c r="H1596" s="178"/>
      <c r="I1596" s="178"/>
      <c r="J1596" s="184"/>
      <c r="N1596" s="178"/>
      <c r="O1596" s="178"/>
      <c r="P1596" s="178"/>
      <c r="AN1596" s="458"/>
    </row>
    <row r="1597" spans="2:40" ht="15.75" customHeight="1">
      <c r="B1597" s="175"/>
      <c r="H1597" s="178"/>
      <c r="I1597" s="178"/>
      <c r="J1597" s="184"/>
      <c r="N1597" s="178"/>
      <c r="O1597" s="178"/>
      <c r="P1597" s="178"/>
      <c r="AN1597" s="458"/>
    </row>
    <row r="1598" spans="2:40" ht="15.75" customHeight="1">
      <c r="B1598" s="175"/>
      <c r="H1598" s="178"/>
      <c r="I1598" s="178"/>
      <c r="J1598" s="184"/>
      <c r="N1598" s="178"/>
      <c r="O1598" s="178"/>
      <c r="P1598" s="178"/>
      <c r="AN1598" s="458"/>
    </row>
    <row r="1599" spans="2:40" ht="15.75" customHeight="1">
      <c r="B1599" s="175"/>
      <c r="H1599" s="178"/>
      <c r="I1599" s="178"/>
      <c r="J1599" s="184"/>
      <c r="N1599" s="178"/>
      <c r="O1599" s="178"/>
      <c r="P1599" s="178"/>
      <c r="AN1599" s="458"/>
    </row>
    <row r="1600" spans="2:40" ht="15.75" customHeight="1">
      <c r="B1600" s="175"/>
      <c r="H1600" s="178"/>
      <c r="I1600" s="178"/>
      <c r="J1600" s="184"/>
      <c r="N1600" s="178"/>
      <c r="O1600" s="178"/>
      <c r="P1600" s="178"/>
      <c r="AN1600" s="458"/>
    </row>
    <row r="1601" spans="2:40" ht="15.75" customHeight="1">
      <c r="B1601" s="175"/>
      <c r="H1601" s="178"/>
      <c r="I1601" s="178"/>
      <c r="J1601" s="184"/>
      <c r="N1601" s="178"/>
      <c r="O1601" s="178"/>
      <c r="P1601" s="178"/>
      <c r="AN1601" s="458"/>
    </row>
    <row r="1602" spans="2:40" ht="15.75" customHeight="1">
      <c r="B1602" s="175"/>
      <c r="H1602" s="178"/>
      <c r="I1602" s="178"/>
      <c r="J1602" s="184"/>
      <c r="N1602" s="178"/>
      <c r="O1602" s="178"/>
      <c r="P1602" s="178"/>
      <c r="AN1602" s="458"/>
    </row>
    <row r="1603" spans="2:40" ht="15.75" customHeight="1">
      <c r="B1603" s="175"/>
      <c r="H1603" s="178"/>
      <c r="I1603" s="178"/>
      <c r="J1603" s="184"/>
      <c r="N1603" s="178"/>
      <c r="O1603" s="178"/>
      <c r="P1603" s="178"/>
      <c r="AN1603" s="458"/>
    </row>
    <row r="1604" spans="2:40" ht="15.75" customHeight="1">
      <c r="B1604" s="175"/>
      <c r="H1604" s="178"/>
      <c r="I1604" s="178"/>
      <c r="J1604" s="184"/>
      <c r="N1604" s="178"/>
      <c r="O1604" s="178"/>
      <c r="P1604" s="178"/>
      <c r="AN1604" s="458"/>
    </row>
    <row r="1605" spans="2:40" ht="15.75" customHeight="1">
      <c r="B1605" s="175"/>
      <c r="H1605" s="178"/>
      <c r="I1605" s="178"/>
      <c r="J1605" s="184"/>
      <c r="N1605" s="178"/>
      <c r="O1605" s="178"/>
      <c r="P1605" s="178"/>
      <c r="AN1605" s="458"/>
    </row>
    <row r="1606" spans="2:40" ht="15.75" customHeight="1">
      <c r="B1606" s="175"/>
      <c r="H1606" s="178"/>
      <c r="I1606" s="178"/>
      <c r="J1606" s="184"/>
      <c r="N1606" s="178"/>
      <c r="O1606" s="178"/>
      <c r="P1606" s="178"/>
      <c r="AN1606" s="458"/>
    </row>
    <row r="1607" spans="2:40" ht="15.75" customHeight="1">
      <c r="B1607" s="175"/>
      <c r="H1607" s="178"/>
      <c r="I1607" s="178"/>
      <c r="J1607" s="184"/>
      <c r="N1607" s="178"/>
      <c r="O1607" s="178"/>
      <c r="P1607" s="178"/>
      <c r="AN1607" s="458"/>
    </row>
    <row r="1608" spans="2:40" ht="15.75" customHeight="1">
      <c r="B1608" s="175"/>
      <c r="H1608" s="178"/>
      <c r="I1608" s="178"/>
      <c r="J1608" s="184"/>
      <c r="N1608" s="178"/>
      <c r="O1608" s="178"/>
      <c r="P1608" s="178"/>
      <c r="AN1608" s="458"/>
    </row>
    <row r="1609" spans="2:40" ht="15.75" customHeight="1">
      <c r="B1609" s="175"/>
      <c r="H1609" s="178"/>
      <c r="I1609" s="178"/>
      <c r="J1609" s="184"/>
      <c r="N1609" s="178"/>
      <c r="O1609" s="178"/>
      <c r="P1609" s="178"/>
      <c r="AN1609" s="458"/>
    </row>
    <row r="1610" spans="2:40" ht="15.75" customHeight="1">
      <c r="B1610" s="175"/>
      <c r="H1610" s="178"/>
      <c r="I1610" s="178"/>
      <c r="J1610" s="184"/>
      <c r="N1610" s="178"/>
      <c r="O1610" s="178"/>
      <c r="P1610" s="178"/>
      <c r="AN1610" s="458"/>
    </row>
    <row r="1611" spans="2:40" ht="15.75" customHeight="1">
      <c r="B1611" s="175"/>
      <c r="H1611" s="178"/>
      <c r="I1611" s="178"/>
      <c r="J1611" s="184"/>
      <c r="N1611" s="178"/>
      <c r="O1611" s="178"/>
      <c r="P1611" s="178"/>
      <c r="AN1611" s="458"/>
    </row>
    <row r="1612" spans="2:40" ht="15.75" customHeight="1">
      <c r="B1612" s="175"/>
      <c r="H1612" s="178"/>
      <c r="I1612" s="178"/>
      <c r="J1612" s="184"/>
      <c r="N1612" s="178"/>
      <c r="O1612" s="178"/>
      <c r="P1612" s="178"/>
      <c r="AN1612" s="458"/>
    </row>
    <row r="1613" spans="2:40" ht="15.75" customHeight="1">
      <c r="B1613" s="175"/>
      <c r="H1613" s="178"/>
      <c r="I1613" s="178"/>
      <c r="J1613" s="184"/>
      <c r="N1613" s="178"/>
      <c r="O1613" s="178"/>
      <c r="P1613" s="178"/>
      <c r="AN1613" s="458"/>
    </row>
    <row r="1614" spans="2:40" ht="15.75" customHeight="1">
      <c r="B1614" s="175"/>
      <c r="H1614" s="178"/>
      <c r="I1614" s="178"/>
      <c r="J1614" s="184"/>
      <c r="N1614" s="178"/>
      <c r="O1614" s="178"/>
      <c r="P1614" s="178"/>
      <c r="AN1614" s="458"/>
    </row>
    <row r="1615" spans="2:40" ht="15.75" customHeight="1">
      <c r="B1615" s="175"/>
      <c r="H1615" s="178"/>
      <c r="I1615" s="178"/>
      <c r="J1615" s="184"/>
      <c r="N1615" s="178"/>
      <c r="O1615" s="178"/>
      <c r="P1615" s="178"/>
      <c r="AN1615" s="458"/>
    </row>
    <row r="1616" spans="2:40" ht="15.75" customHeight="1">
      <c r="B1616" s="175"/>
      <c r="H1616" s="178"/>
      <c r="I1616" s="178"/>
      <c r="J1616" s="184"/>
      <c r="N1616" s="178"/>
      <c r="O1616" s="178"/>
      <c r="P1616" s="178"/>
      <c r="AN1616" s="458"/>
    </row>
    <row r="1617" spans="2:40" ht="15.75" customHeight="1">
      <c r="B1617" s="175"/>
      <c r="H1617" s="178"/>
      <c r="I1617" s="178"/>
      <c r="J1617" s="184"/>
      <c r="N1617" s="178"/>
      <c r="O1617" s="178"/>
      <c r="P1617" s="178"/>
      <c r="AN1617" s="458"/>
    </row>
    <row r="1618" spans="2:40" ht="15.75" customHeight="1">
      <c r="B1618" s="175"/>
      <c r="H1618" s="178"/>
      <c r="I1618" s="178"/>
      <c r="J1618" s="184"/>
      <c r="N1618" s="178"/>
      <c r="O1618" s="178"/>
      <c r="P1618" s="178"/>
      <c r="AN1618" s="458"/>
    </row>
    <row r="1619" spans="2:40" ht="15.75" customHeight="1">
      <c r="B1619" s="175"/>
      <c r="H1619" s="178"/>
      <c r="I1619" s="178"/>
      <c r="J1619" s="184"/>
      <c r="N1619" s="178"/>
      <c r="O1619" s="178"/>
      <c r="P1619" s="178"/>
      <c r="AN1619" s="458"/>
    </row>
    <row r="1620" spans="2:40" ht="15.75" customHeight="1">
      <c r="B1620" s="175"/>
      <c r="H1620" s="178"/>
      <c r="I1620" s="178"/>
      <c r="J1620" s="184"/>
      <c r="N1620" s="178"/>
      <c r="O1620" s="178"/>
      <c r="P1620" s="178"/>
      <c r="AN1620" s="458"/>
    </row>
    <row r="1621" spans="2:40" ht="15.75" customHeight="1">
      <c r="B1621" s="175"/>
      <c r="H1621" s="178"/>
      <c r="I1621" s="178"/>
      <c r="J1621" s="184"/>
      <c r="N1621" s="178"/>
      <c r="O1621" s="178"/>
      <c r="P1621" s="178"/>
      <c r="AN1621" s="458"/>
    </row>
    <row r="1622" spans="2:40" ht="15.75" customHeight="1">
      <c r="B1622" s="175"/>
      <c r="H1622" s="178"/>
      <c r="N1622" s="178"/>
      <c r="O1622" s="178"/>
      <c r="P1622" s="178"/>
      <c r="AN1622" s="458"/>
    </row>
    <row r="1623" spans="2:40" ht="15.75" customHeight="1">
      <c r="B1623" s="175"/>
      <c r="H1623" s="178"/>
      <c r="I1623" s="178"/>
      <c r="J1623" s="184"/>
      <c r="N1623" s="178"/>
      <c r="O1623" s="178"/>
      <c r="P1623" s="178"/>
      <c r="AN1623" s="458"/>
    </row>
    <row r="1624" spans="2:40" ht="15.75" customHeight="1">
      <c r="B1624" s="175"/>
      <c r="N1624" s="178"/>
      <c r="O1624" s="178"/>
      <c r="P1624" s="178"/>
      <c r="AN1624" s="458"/>
    </row>
    <row r="1625" spans="2:40" ht="15.75" customHeight="1">
      <c r="B1625" s="175"/>
      <c r="N1625" s="178"/>
      <c r="O1625" s="178"/>
      <c r="P1625" s="178"/>
      <c r="AN1625" s="458"/>
    </row>
    <row r="1626" spans="2:40" ht="15.75" customHeight="1">
      <c r="B1626" s="175"/>
      <c r="N1626" s="178"/>
      <c r="O1626" s="178"/>
      <c r="P1626" s="178"/>
      <c r="AN1626" s="458"/>
    </row>
    <row r="1627" spans="2:40" ht="15.75" customHeight="1">
      <c r="B1627" s="175"/>
      <c r="N1627" s="178"/>
      <c r="O1627" s="178"/>
      <c r="P1627" s="178"/>
      <c r="AN1627" s="458"/>
    </row>
    <row r="1628" spans="2:40" ht="15.75" customHeight="1">
      <c r="B1628" s="175"/>
      <c r="N1628" s="178"/>
      <c r="O1628" s="178"/>
      <c r="P1628" s="178"/>
      <c r="AN1628" s="458"/>
    </row>
    <row r="1629" spans="2:40" ht="15.75" customHeight="1">
      <c r="B1629" s="175"/>
      <c r="N1629" s="178"/>
      <c r="O1629" s="178"/>
      <c r="P1629" s="178"/>
      <c r="AN1629" s="458"/>
    </row>
    <row r="1630" spans="2:40" ht="15.75" customHeight="1">
      <c r="B1630" s="175"/>
      <c r="N1630" s="178"/>
      <c r="O1630" s="178"/>
      <c r="P1630" s="178"/>
      <c r="AN1630" s="458"/>
    </row>
    <row r="1631" spans="2:40" ht="15.75" customHeight="1">
      <c r="B1631" s="175"/>
      <c r="H1631" s="178"/>
      <c r="I1631" s="178"/>
      <c r="J1631" s="184"/>
      <c r="N1631" s="178"/>
      <c r="O1631" s="178"/>
      <c r="P1631" s="178"/>
      <c r="AN1631" s="458"/>
    </row>
    <row r="1632" spans="2:40" ht="15.75" customHeight="1">
      <c r="B1632" s="175"/>
      <c r="H1632" s="178"/>
      <c r="I1632" s="178"/>
      <c r="J1632" s="184"/>
      <c r="N1632" s="178"/>
      <c r="O1632" s="178"/>
      <c r="P1632" s="178"/>
      <c r="AN1632" s="458"/>
    </row>
    <row r="1633" spans="2:40" ht="15.75" customHeight="1">
      <c r="B1633" s="175"/>
      <c r="H1633" s="178"/>
      <c r="I1633" s="178"/>
      <c r="J1633" s="184"/>
      <c r="N1633" s="178"/>
      <c r="O1633" s="178"/>
      <c r="P1633" s="178"/>
      <c r="AN1633" s="458"/>
    </row>
    <row r="1634" spans="2:40" ht="15.75" customHeight="1">
      <c r="B1634" s="175"/>
      <c r="H1634" s="178"/>
      <c r="I1634" s="178"/>
      <c r="J1634" s="184"/>
      <c r="N1634" s="178"/>
      <c r="O1634" s="178"/>
      <c r="P1634" s="178"/>
      <c r="AN1634" s="458"/>
    </row>
    <row r="1635" spans="2:40" ht="15.75" customHeight="1">
      <c r="B1635" s="175"/>
      <c r="H1635" s="178"/>
      <c r="I1635" s="178"/>
      <c r="J1635" s="184"/>
      <c r="N1635" s="178"/>
      <c r="O1635" s="178"/>
      <c r="P1635" s="178"/>
      <c r="AN1635" s="458"/>
    </row>
    <row r="1636" spans="2:40" ht="15.75" customHeight="1">
      <c r="B1636" s="175"/>
      <c r="H1636" s="178"/>
      <c r="I1636" s="178"/>
      <c r="J1636" s="184"/>
      <c r="N1636" s="178"/>
      <c r="O1636" s="178"/>
      <c r="P1636" s="178"/>
      <c r="AN1636" s="458"/>
    </row>
    <row r="1637" spans="2:40" ht="15.75" customHeight="1">
      <c r="B1637" s="175"/>
      <c r="H1637" s="178"/>
      <c r="I1637" s="178"/>
      <c r="J1637" s="184"/>
      <c r="N1637" s="178"/>
      <c r="O1637" s="178"/>
      <c r="P1637" s="178"/>
      <c r="AN1637" s="458"/>
    </row>
    <row r="1638" spans="2:40" ht="15.75" customHeight="1">
      <c r="B1638" s="175"/>
      <c r="H1638" s="178"/>
      <c r="I1638" s="178"/>
      <c r="J1638" s="184"/>
      <c r="N1638" s="178"/>
      <c r="O1638" s="178"/>
      <c r="P1638" s="178"/>
      <c r="AN1638" s="458"/>
    </row>
    <row r="1639" spans="2:40" ht="15.75" customHeight="1">
      <c r="B1639" s="175"/>
      <c r="H1639" s="178"/>
      <c r="I1639" s="178"/>
      <c r="J1639" s="184"/>
      <c r="N1639" s="178"/>
      <c r="O1639" s="178"/>
      <c r="P1639" s="178"/>
      <c r="AN1639" s="458"/>
    </row>
    <row r="1640" spans="2:40" ht="15.75" customHeight="1">
      <c r="B1640" s="175"/>
      <c r="N1640" s="178"/>
      <c r="O1640" s="178"/>
      <c r="P1640" s="178"/>
      <c r="AN1640" s="458"/>
    </row>
    <row r="1641" spans="2:40" ht="15.75" customHeight="1">
      <c r="B1641" s="175"/>
      <c r="N1641" s="178"/>
      <c r="O1641" s="178"/>
      <c r="P1641" s="178"/>
      <c r="AN1641" s="458"/>
    </row>
    <row r="1642" spans="2:40" ht="15.75" customHeight="1">
      <c r="B1642" s="175"/>
      <c r="H1642" s="178"/>
      <c r="N1642" s="178"/>
      <c r="O1642" s="178"/>
      <c r="P1642" s="178"/>
      <c r="AN1642" s="458"/>
    </row>
    <row r="1643" spans="2:40" ht="15.75" customHeight="1">
      <c r="B1643" s="175"/>
      <c r="H1643" s="178"/>
      <c r="I1643" s="178"/>
      <c r="J1643" s="184"/>
      <c r="N1643" s="178"/>
      <c r="O1643" s="178"/>
      <c r="P1643" s="178"/>
      <c r="AN1643" s="458"/>
    </row>
    <row r="1644" spans="2:40" ht="15.75" customHeight="1">
      <c r="B1644" s="175"/>
      <c r="H1644" s="178"/>
      <c r="I1644" s="178"/>
      <c r="J1644" s="184"/>
      <c r="N1644" s="178"/>
      <c r="O1644" s="178"/>
      <c r="P1644" s="178"/>
      <c r="AN1644" s="458"/>
    </row>
    <row r="1645" spans="2:40" ht="15.75" customHeight="1">
      <c r="B1645" s="175"/>
      <c r="H1645" s="178"/>
      <c r="I1645" s="178"/>
      <c r="J1645" s="184"/>
      <c r="N1645" s="178"/>
      <c r="O1645" s="178"/>
      <c r="P1645" s="178"/>
      <c r="AN1645" s="458"/>
    </row>
    <row r="1646" spans="2:40" ht="15.75" customHeight="1">
      <c r="B1646" s="175"/>
      <c r="H1646" s="178"/>
      <c r="I1646" s="178"/>
      <c r="J1646" s="184"/>
      <c r="N1646" s="178"/>
      <c r="O1646" s="178"/>
      <c r="P1646" s="178"/>
      <c r="AN1646" s="458"/>
    </row>
    <row r="1647" spans="2:40" ht="15.75" customHeight="1">
      <c r="B1647" s="175"/>
      <c r="H1647" s="178"/>
      <c r="I1647" s="178"/>
      <c r="J1647" s="184"/>
      <c r="N1647" s="178"/>
      <c r="O1647" s="178"/>
      <c r="P1647" s="178"/>
      <c r="AN1647" s="458"/>
    </row>
    <row r="1648" spans="2:40" ht="15.75" customHeight="1">
      <c r="B1648" s="175"/>
      <c r="H1648" s="178"/>
      <c r="I1648" s="178"/>
      <c r="J1648" s="184"/>
      <c r="N1648" s="178"/>
      <c r="O1648" s="178"/>
      <c r="P1648" s="178"/>
      <c r="AN1648" s="458"/>
    </row>
    <row r="1649" spans="2:40" ht="15.75" customHeight="1">
      <c r="B1649" s="175"/>
      <c r="H1649" s="178"/>
      <c r="I1649" s="178"/>
      <c r="J1649" s="184"/>
      <c r="N1649" s="178"/>
      <c r="O1649" s="178"/>
      <c r="P1649" s="178"/>
      <c r="AN1649" s="458"/>
    </row>
    <row r="1650" spans="2:40" ht="15.75" customHeight="1">
      <c r="B1650" s="175"/>
      <c r="H1650" s="178"/>
      <c r="I1650" s="178"/>
      <c r="J1650" s="184"/>
      <c r="N1650" s="178"/>
      <c r="O1650" s="178"/>
      <c r="P1650" s="178"/>
      <c r="AN1650" s="458"/>
    </row>
    <row r="1651" spans="2:40" ht="15.75" customHeight="1">
      <c r="B1651" s="175"/>
      <c r="H1651" s="178"/>
      <c r="I1651" s="178"/>
      <c r="J1651" s="184"/>
      <c r="N1651" s="178"/>
      <c r="O1651" s="178"/>
      <c r="P1651" s="178"/>
      <c r="AN1651" s="458"/>
    </row>
    <row r="1652" spans="2:40" ht="15.75" customHeight="1">
      <c r="B1652" s="175"/>
      <c r="H1652" s="178"/>
      <c r="I1652" s="178"/>
      <c r="J1652" s="184"/>
      <c r="N1652" s="178"/>
      <c r="O1652" s="178"/>
      <c r="P1652" s="178"/>
      <c r="AN1652" s="458"/>
    </row>
    <row r="1653" spans="2:40" ht="15.75" customHeight="1">
      <c r="B1653" s="175"/>
      <c r="H1653" s="178"/>
      <c r="I1653" s="178"/>
      <c r="J1653" s="184"/>
      <c r="N1653" s="178"/>
      <c r="O1653" s="178"/>
      <c r="P1653" s="178"/>
      <c r="AN1653" s="458"/>
    </row>
    <row r="1654" spans="2:40" ht="15.75" customHeight="1">
      <c r="B1654" s="175"/>
      <c r="H1654" s="178"/>
      <c r="I1654" s="178"/>
      <c r="J1654" s="184"/>
      <c r="N1654" s="178"/>
      <c r="O1654" s="178"/>
      <c r="P1654" s="178"/>
      <c r="AN1654" s="458"/>
    </row>
    <row r="1655" spans="2:40" ht="15.75" customHeight="1">
      <c r="B1655" s="175"/>
      <c r="H1655" s="178"/>
      <c r="I1655" s="178"/>
      <c r="J1655" s="184"/>
      <c r="N1655" s="178"/>
      <c r="O1655" s="178"/>
      <c r="P1655" s="178"/>
      <c r="AN1655" s="458"/>
    </row>
    <row r="1656" spans="2:40" ht="15.75" customHeight="1">
      <c r="B1656" s="175"/>
      <c r="H1656" s="178"/>
      <c r="I1656" s="178"/>
      <c r="J1656" s="184"/>
      <c r="N1656" s="178"/>
      <c r="O1656" s="178"/>
      <c r="P1656" s="178"/>
      <c r="AN1656" s="458"/>
    </row>
    <row r="1657" spans="2:40" ht="15.75" customHeight="1">
      <c r="B1657" s="175"/>
      <c r="H1657" s="178"/>
      <c r="I1657" s="178"/>
      <c r="J1657" s="184"/>
      <c r="N1657" s="178"/>
      <c r="O1657" s="178"/>
      <c r="P1657" s="178"/>
      <c r="AN1657" s="458"/>
    </row>
    <row r="1658" spans="2:40" ht="15.75" customHeight="1">
      <c r="B1658" s="175"/>
      <c r="H1658" s="178"/>
      <c r="I1658" s="178"/>
      <c r="J1658" s="184"/>
      <c r="N1658" s="178"/>
      <c r="O1658" s="178"/>
      <c r="P1658" s="178"/>
      <c r="AN1658" s="458"/>
    </row>
    <row r="1659" spans="2:40" ht="15.75" customHeight="1">
      <c r="B1659" s="175"/>
      <c r="H1659" s="178"/>
      <c r="I1659" s="178"/>
      <c r="J1659" s="184"/>
      <c r="N1659" s="178"/>
      <c r="O1659" s="178"/>
      <c r="P1659" s="178"/>
      <c r="AN1659" s="458"/>
    </row>
    <row r="1660" spans="2:40" ht="15.75" customHeight="1">
      <c r="B1660" s="175"/>
      <c r="H1660" s="178"/>
      <c r="I1660" s="178"/>
      <c r="J1660" s="184"/>
      <c r="N1660" s="178"/>
      <c r="O1660" s="178"/>
      <c r="P1660" s="178"/>
      <c r="AN1660" s="458"/>
    </row>
    <row r="1661" spans="2:40" ht="15.75" customHeight="1">
      <c r="B1661" s="175"/>
      <c r="H1661" s="178"/>
      <c r="I1661" s="178"/>
      <c r="J1661" s="184"/>
      <c r="N1661" s="178"/>
      <c r="O1661" s="178"/>
      <c r="P1661" s="178"/>
      <c r="AN1661" s="458"/>
    </row>
    <row r="1662" spans="2:40" ht="15.75" customHeight="1">
      <c r="B1662" s="175"/>
      <c r="H1662" s="178"/>
      <c r="I1662" s="178"/>
      <c r="J1662" s="184"/>
      <c r="N1662" s="178"/>
      <c r="O1662" s="178"/>
      <c r="P1662" s="178"/>
      <c r="AN1662" s="458"/>
    </row>
    <row r="1663" spans="2:40" ht="15.75" customHeight="1">
      <c r="B1663" s="175"/>
      <c r="H1663" s="178"/>
      <c r="I1663" s="178"/>
      <c r="J1663" s="184"/>
      <c r="N1663" s="178"/>
      <c r="O1663" s="178"/>
      <c r="P1663" s="178"/>
      <c r="AN1663" s="458"/>
    </row>
    <row r="1664" spans="2:40" ht="15.75" customHeight="1">
      <c r="B1664" s="175"/>
      <c r="H1664" s="178"/>
      <c r="I1664" s="178"/>
      <c r="J1664" s="184"/>
      <c r="N1664" s="178"/>
      <c r="O1664" s="178"/>
      <c r="P1664" s="178"/>
      <c r="AN1664" s="458"/>
    </row>
    <row r="1665" spans="2:40" ht="15.75" customHeight="1">
      <c r="B1665" s="175"/>
      <c r="H1665" s="178"/>
      <c r="I1665" s="178"/>
      <c r="J1665" s="184"/>
      <c r="N1665" s="178"/>
      <c r="O1665" s="178"/>
      <c r="P1665" s="178"/>
      <c r="AN1665" s="458"/>
    </row>
    <row r="1666" spans="2:40" ht="15.75" customHeight="1">
      <c r="B1666" s="175"/>
      <c r="H1666" s="178"/>
      <c r="I1666" s="178"/>
      <c r="J1666" s="184"/>
      <c r="N1666" s="178"/>
      <c r="O1666" s="178"/>
      <c r="P1666" s="178"/>
      <c r="AN1666" s="458"/>
    </row>
    <row r="1667" spans="2:40" ht="15.75" customHeight="1">
      <c r="B1667" s="175"/>
      <c r="H1667" s="178"/>
      <c r="I1667" s="178"/>
      <c r="J1667" s="184"/>
      <c r="N1667" s="178"/>
      <c r="O1667" s="178"/>
      <c r="P1667" s="178"/>
      <c r="AN1667" s="458"/>
    </row>
    <row r="1668" spans="2:40" ht="15.75" customHeight="1">
      <c r="B1668" s="175"/>
      <c r="H1668" s="178"/>
      <c r="I1668" s="178"/>
      <c r="J1668" s="184"/>
      <c r="N1668" s="178"/>
      <c r="O1668" s="178"/>
      <c r="P1668" s="178"/>
      <c r="AN1668" s="458"/>
    </row>
    <row r="1669" spans="2:40" ht="15.75" customHeight="1">
      <c r="B1669" s="175"/>
      <c r="H1669" s="178"/>
      <c r="I1669" s="178"/>
      <c r="J1669" s="184"/>
      <c r="N1669" s="178"/>
      <c r="O1669" s="178"/>
      <c r="P1669" s="178"/>
      <c r="AN1669" s="458"/>
    </row>
    <row r="1670" spans="2:40" ht="15.75" customHeight="1">
      <c r="B1670" s="175"/>
      <c r="H1670" s="178"/>
      <c r="I1670" s="178"/>
      <c r="J1670" s="184"/>
      <c r="N1670" s="178"/>
      <c r="O1670" s="178"/>
      <c r="P1670" s="178"/>
      <c r="AN1670" s="458"/>
    </row>
    <row r="1671" spans="2:40" ht="15.75" customHeight="1">
      <c r="B1671" s="175"/>
      <c r="H1671" s="178"/>
      <c r="I1671" s="178"/>
      <c r="J1671" s="184"/>
      <c r="N1671" s="178"/>
      <c r="O1671" s="178"/>
      <c r="P1671" s="178"/>
      <c r="AN1671" s="458"/>
    </row>
    <row r="1672" spans="2:40" ht="15.75" customHeight="1">
      <c r="B1672" s="175"/>
      <c r="H1672" s="178"/>
      <c r="I1672" s="178"/>
      <c r="J1672" s="184"/>
      <c r="N1672" s="178"/>
      <c r="O1672" s="178"/>
      <c r="P1672" s="178"/>
      <c r="AN1672" s="458"/>
    </row>
    <row r="1673" spans="2:40" ht="15.75" customHeight="1">
      <c r="B1673" s="175"/>
      <c r="H1673" s="178"/>
      <c r="I1673" s="178"/>
      <c r="J1673" s="184"/>
      <c r="N1673" s="178"/>
      <c r="O1673" s="178"/>
      <c r="P1673" s="178"/>
      <c r="AN1673" s="458"/>
    </row>
    <row r="1674" spans="2:40" ht="15.75" customHeight="1">
      <c r="B1674" s="175"/>
      <c r="H1674" s="178"/>
      <c r="I1674" s="178"/>
      <c r="J1674" s="184"/>
      <c r="N1674" s="178"/>
      <c r="O1674" s="178"/>
      <c r="P1674" s="178"/>
      <c r="AN1674" s="458"/>
    </row>
    <row r="1675" spans="2:40" ht="15.75" customHeight="1">
      <c r="B1675" s="175"/>
      <c r="H1675" s="178"/>
      <c r="I1675" s="178"/>
      <c r="J1675" s="184"/>
      <c r="N1675" s="178"/>
      <c r="O1675" s="178"/>
      <c r="P1675" s="178"/>
      <c r="AN1675" s="458"/>
    </row>
    <row r="1676" spans="2:40" ht="15.75" customHeight="1">
      <c r="B1676" s="175"/>
      <c r="H1676" s="178"/>
      <c r="I1676" s="178"/>
      <c r="J1676" s="184"/>
      <c r="N1676" s="178"/>
      <c r="O1676" s="178"/>
      <c r="P1676" s="178"/>
      <c r="AN1676" s="458"/>
    </row>
    <row r="1677" spans="2:40" ht="15.75" customHeight="1">
      <c r="B1677" s="175"/>
      <c r="H1677" s="178"/>
      <c r="I1677" s="178"/>
      <c r="J1677" s="184"/>
      <c r="N1677" s="178"/>
      <c r="O1677" s="178"/>
      <c r="P1677" s="178"/>
      <c r="AN1677" s="458"/>
    </row>
    <row r="1678" spans="2:40" ht="15.75" customHeight="1">
      <c r="B1678" s="175"/>
      <c r="H1678" s="178"/>
      <c r="I1678" s="178"/>
      <c r="J1678" s="184"/>
      <c r="N1678" s="178"/>
      <c r="O1678" s="178"/>
      <c r="P1678" s="178"/>
      <c r="AN1678" s="458"/>
    </row>
    <row r="1679" spans="2:40" ht="15.75" customHeight="1">
      <c r="B1679" s="175"/>
      <c r="H1679" s="178"/>
      <c r="I1679" s="178"/>
      <c r="J1679" s="184"/>
      <c r="N1679" s="178"/>
      <c r="O1679" s="178"/>
      <c r="P1679" s="178"/>
      <c r="AN1679" s="458"/>
    </row>
    <row r="1680" spans="2:40" ht="15.75" customHeight="1">
      <c r="B1680" s="175"/>
      <c r="H1680" s="178"/>
      <c r="I1680" s="178"/>
      <c r="J1680" s="184"/>
      <c r="N1680" s="178"/>
      <c r="O1680" s="178"/>
      <c r="P1680" s="178"/>
      <c r="AN1680" s="458"/>
    </row>
    <row r="1681" spans="2:40" ht="15.75" customHeight="1">
      <c r="B1681" s="175"/>
      <c r="H1681" s="178"/>
      <c r="I1681" s="178"/>
      <c r="J1681" s="184"/>
      <c r="N1681" s="178"/>
      <c r="O1681" s="178"/>
      <c r="P1681" s="178"/>
      <c r="AN1681" s="458"/>
    </row>
    <row r="1682" spans="2:40" ht="15.75" customHeight="1">
      <c r="B1682" s="175"/>
      <c r="H1682" s="178"/>
      <c r="I1682" s="178"/>
      <c r="J1682" s="184"/>
      <c r="N1682" s="178"/>
      <c r="O1682" s="178"/>
      <c r="P1682" s="178"/>
      <c r="AN1682" s="458"/>
    </row>
    <row r="1683" spans="2:40" ht="15.75" customHeight="1">
      <c r="B1683" s="175"/>
      <c r="H1683" s="178"/>
      <c r="I1683" s="178"/>
      <c r="J1683" s="184"/>
      <c r="N1683" s="178"/>
      <c r="O1683" s="178"/>
      <c r="P1683" s="178"/>
      <c r="AN1683" s="458"/>
    </row>
    <row r="1684" spans="2:40" ht="15.75" customHeight="1">
      <c r="B1684" s="175"/>
      <c r="H1684" s="178"/>
      <c r="I1684" s="178"/>
      <c r="J1684" s="184"/>
      <c r="N1684" s="178"/>
      <c r="O1684" s="178"/>
      <c r="P1684" s="178"/>
      <c r="AN1684" s="458"/>
    </row>
    <row r="1685" spans="2:40" ht="15.75" customHeight="1">
      <c r="B1685" s="175"/>
      <c r="H1685" s="178"/>
      <c r="I1685" s="178"/>
      <c r="J1685" s="184"/>
      <c r="N1685" s="178"/>
      <c r="O1685" s="178"/>
      <c r="P1685" s="178"/>
      <c r="AN1685" s="458"/>
    </row>
    <row r="1686" spans="2:40" ht="15.75" customHeight="1">
      <c r="B1686" s="175"/>
      <c r="H1686" s="178"/>
      <c r="I1686" s="178"/>
      <c r="J1686" s="184"/>
      <c r="N1686" s="178"/>
      <c r="O1686" s="178"/>
      <c r="P1686" s="178"/>
      <c r="AN1686" s="458"/>
    </row>
    <row r="1687" spans="2:40" ht="15.75" customHeight="1">
      <c r="B1687" s="175"/>
      <c r="H1687" s="178"/>
      <c r="I1687" s="178"/>
      <c r="J1687" s="184"/>
      <c r="N1687" s="178"/>
      <c r="O1687" s="178"/>
      <c r="P1687" s="178"/>
      <c r="AN1687" s="458"/>
    </row>
    <row r="1688" spans="2:40" ht="15.75" customHeight="1">
      <c r="B1688" s="175"/>
      <c r="N1688" s="178"/>
      <c r="O1688" s="178"/>
      <c r="P1688" s="178"/>
      <c r="AN1688" s="458"/>
    </row>
    <row r="1689" spans="2:40" ht="15.75" customHeight="1">
      <c r="B1689" s="175"/>
      <c r="N1689" s="178"/>
      <c r="O1689" s="178"/>
      <c r="P1689" s="178"/>
      <c r="AN1689" s="458"/>
    </row>
    <row r="1690" spans="2:40" ht="15.75" customHeight="1">
      <c r="B1690" s="175"/>
      <c r="N1690" s="178"/>
      <c r="O1690" s="178"/>
      <c r="P1690" s="178"/>
      <c r="AN1690" s="458"/>
    </row>
    <row r="1691" spans="2:40" ht="15.75" customHeight="1">
      <c r="B1691" s="175"/>
      <c r="N1691" s="178"/>
      <c r="O1691" s="178"/>
      <c r="P1691" s="178"/>
      <c r="AN1691" s="458"/>
    </row>
    <row r="1692" spans="2:40" ht="15.75" customHeight="1">
      <c r="B1692" s="175"/>
      <c r="H1692" s="178"/>
      <c r="I1692" s="178"/>
      <c r="J1692" s="184"/>
      <c r="N1692" s="178"/>
      <c r="O1692" s="178"/>
      <c r="P1692" s="178"/>
      <c r="AN1692" s="458"/>
    </row>
    <row r="1693" spans="2:40" ht="15.75" customHeight="1">
      <c r="B1693" s="175"/>
      <c r="H1693" s="178"/>
      <c r="I1693" s="178"/>
      <c r="J1693" s="184"/>
      <c r="N1693" s="178"/>
      <c r="O1693" s="178"/>
      <c r="P1693" s="178"/>
      <c r="AN1693" s="458"/>
    </row>
    <row r="1694" spans="2:40" ht="15.75" customHeight="1">
      <c r="B1694" s="175"/>
      <c r="H1694" s="178"/>
      <c r="I1694" s="178"/>
      <c r="J1694" s="184"/>
      <c r="N1694" s="178"/>
      <c r="O1694" s="178"/>
      <c r="P1694" s="178"/>
      <c r="AN1694" s="458"/>
    </row>
    <row r="1695" spans="2:40" ht="15.75" customHeight="1">
      <c r="B1695" s="175"/>
      <c r="H1695" s="178"/>
      <c r="I1695" s="178"/>
      <c r="J1695" s="184"/>
      <c r="N1695" s="178"/>
      <c r="O1695" s="178"/>
      <c r="P1695" s="178"/>
      <c r="AN1695" s="458"/>
    </row>
    <row r="1696" spans="2:40" ht="15.75" customHeight="1">
      <c r="B1696" s="175"/>
      <c r="H1696" s="178"/>
      <c r="I1696" s="178"/>
      <c r="J1696" s="184"/>
      <c r="N1696" s="178"/>
      <c r="O1696" s="178"/>
      <c r="P1696" s="178"/>
      <c r="AN1696" s="458"/>
    </row>
    <row r="1697" spans="2:40" ht="15.75" customHeight="1">
      <c r="B1697" s="175"/>
      <c r="N1697" s="178"/>
      <c r="O1697" s="178"/>
      <c r="P1697" s="178"/>
      <c r="AN1697" s="458"/>
    </row>
    <row r="1698" spans="2:40" ht="15.75" customHeight="1">
      <c r="B1698" s="175"/>
      <c r="N1698" s="178"/>
      <c r="O1698" s="178"/>
      <c r="P1698" s="178"/>
      <c r="AN1698" s="458"/>
    </row>
    <row r="1699" spans="2:40" ht="15.75" customHeight="1">
      <c r="B1699" s="175"/>
      <c r="H1699" s="178"/>
      <c r="I1699" s="178"/>
      <c r="J1699" s="184"/>
      <c r="N1699" s="178"/>
      <c r="O1699" s="178"/>
      <c r="P1699" s="178"/>
      <c r="AN1699" s="458"/>
    </row>
    <row r="1700" spans="2:40" ht="15.75" customHeight="1">
      <c r="B1700" s="175"/>
      <c r="H1700" s="178"/>
      <c r="I1700" s="178"/>
      <c r="J1700" s="184"/>
      <c r="N1700" s="178"/>
      <c r="O1700" s="178"/>
      <c r="P1700" s="178"/>
      <c r="AN1700" s="458"/>
    </row>
    <row r="1701" spans="2:40" ht="15.75" customHeight="1">
      <c r="B1701" s="175"/>
      <c r="N1701" s="178"/>
      <c r="O1701" s="178"/>
      <c r="P1701" s="178"/>
      <c r="AN1701" s="458"/>
    </row>
    <row r="1702" spans="2:40" ht="15.75" customHeight="1">
      <c r="B1702" s="175"/>
      <c r="N1702" s="178"/>
      <c r="O1702" s="178"/>
      <c r="P1702" s="178"/>
      <c r="AN1702" s="458"/>
    </row>
    <row r="1703" spans="2:40" ht="15.75" customHeight="1">
      <c r="B1703" s="175"/>
      <c r="N1703" s="178"/>
      <c r="O1703" s="178"/>
      <c r="P1703" s="178"/>
      <c r="AN1703" s="458"/>
    </row>
    <row r="1704" spans="2:40" ht="15.75" customHeight="1">
      <c r="B1704" s="175"/>
      <c r="N1704" s="178"/>
      <c r="O1704" s="178"/>
      <c r="P1704" s="178"/>
      <c r="AN1704" s="458"/>
    </row>
    <row r="1705" spans="2:40" ht="15.75" customHeight="1">
      <c r="B1705" s="175"/>
      <c r="N1705" s="178"/>
      <c r="O1705" s="178"/>
      <c r="P1705" s="178"/>
      <c r="AN1705" s="458"/>
    </row>
    <row r="1706" spans="2:40" ht="15.75" customHeight="1">
      <c r="B1706" s="175"/>
      <c r="N1706" s="178"/>
      <c r="O1706" s="178"/>
      <c r="P1706" s="178"/>
      <c r="AN1706" s="458"/>
    </row>
    <row r="1707" spans="2:40" ht="15.75" customHeight="1">
      <c r="B1707" s="175"/>
      <c r="N1707" s="178"/>
      <c r="O1707" s="178"/>
      <c r="P1707" s="178"/>
      <c r="AN1707" s="458"/>
    </row>
    <row r="1708" spans="2:40" ht="15.75" customHeight="1">
      <c r="B1708" s="175"/>
      <c r="N1708" s="178"/>
      <c r="O1708" s="178"/>
      <c r="P1708" s="178"/>
      <c r="AN1708" s="458"/>
    </row>
    <row r="1709" spans="2:40" ht="15.75" customHeight="1">
      <c r="B1709" s="175"/>
      <c r="H1709" s="178"/>
      <c r="I1709" s="178"/>
      <c r="J1709" s="184"/>
      <c r="N1709" s="178"/>
      <c r="O1709" s="178"/>
      <c r="P1709" s="178"/>
      <c r="AN1709" s="458"/>
    </row>
    <row r="1710" spans="2:40" ht="15.75" customHeight="1">
      <c r="B1710" s="175"/>
      <c r="H1710" s="178"/>
      <c r="I1710" s="178"/>
      <c r="J1710" s="184"/>
      <c r="N1710" s="178"/>
      <c r="O1710" s="178"/>
      <c r="P1710" s="178"/>
      <c r="AN1710" s="458"/>
    </row>
    <row r="1711" spans="2:40" ht="15.75" customHeight="1">
      <c r="B1711" s="175"/>
      <c r="H1711" s="178"/>
      <c r="I1711" s="178"/>
      <c r="J1711" s="184"/>
      <c r="N1711" s="178"/>
      <c r="O1711" s="178"/>
      <c r="P1711" s="178"/>
      <c r="AN1711" s="458"/>
    </row>
    <row r="1712" spans="2:40" ht="15.75" customHeight="1">
      <c r="B1712" s="175"/>
      <c r="H1712" s="178"/>
      <c r="I1712" s="178"/>
      <c r="J1712" s="184"/>
      <c r="N1712" s="178"/>
      <c r="O1712" s="178"/>
      <c r="P1712" s="178"/>
      <c r="AN1712" s="458"/>
    </row>
    <row r="1713" spans="2:40" ht="15.75" customHeight="1">
      <c r="B1713" s="175"/>
      <c r="H1713" s="178"/>
      <c r="I1713" s="178"/>
      <c r="J1713" s="184"/>
      <c r="N1713" s="178"/>
      <c r="O1713" s="178"/>
      <c r="P1713" s="178"/>
      <c r="AN1713" s="458"/>
    </row>
    <row r="1714" spans="2:40" ht="15.75" customHeight="1">
      <c r="B1714" s="175"/>
      <c r="H1714" s="178"/>
      <c r="I1714" s="178"/>
      <c r="J1714" s="184"/>
      <c r="N1714" s="178"/>
      <c r="O1714" s="178"/>
      <c r="P1714" s="178"/>
      <c r="AN1714" s="458"/>
    </row>
    <row r="1715" spans="2:40" ht="15.75" customHeight="1">
      <c r="B1715" s="175"/>
      <c r="H1715" s="178"/>
      <c r="I1715" s="178"/>
      <c r="J1715" s="184"/>
      <c r="N1715" s="178"/>
      <c r="O1715" s="178"/>
      <c r="P1715" s="178"/>
      <c r="AN1715" s="458"/>
    </row>
    <row r="1716" spans="2:40" ht="15.75" customHeight="1">
      <c r="B1716" s="175"/>
      <c r="H1716" s="178"/>
      <c r="I1716" s="178"/>
      <c r="J1716" s="184"/>
      <c r="N1716" s="178"/>
      <c r="O1716" s="178"/>
      <c r="P1716" s="178"/>
      <c r="AN1716" s="458"/>
    </row>
    <row r="1717" spans="2:40" ht="15.75" customHeight="1">
      <c r="B1717" s="175"/>
      <c r="H1717" s="178"/>
      <c r="I1717" s="178"/>
      <c r="J1717" s="184"/>
      <c r="N1717" s="178"/>
      <c r="O1717" s="178"/>
      <c r="P1717" s="178"/>
      <c r="AN1717" s="458"/>
    </row>
    <row r="1718" spans="2:40" ht="15.75" customHeight="1">
      <c r="B1718" s="175"/>
      <c r="N1718" s="178"/>
      <c r="O1718" s="178"/>
      <c r="P1718" s="178"/>
      <c r="AN1718" s="458"/>
    </row>
    <row r="1719" spans="2:40" ht="15.75" customHeight="1">
      <c r="B1719" s="175"/>
      <c r="N1719" s="178"/>
      <c r="O1719" s="178"/>
      <c r="P1719" s="178"/>
      <c r="AN1719" s="458"/>
    </row>
    <row r="1720" spans="2:40" ht="15.75" customHeight="1">
      <c r="B1720" s="175"/>
      <c r="H1720" s="178"/>
      <c r="I1720" s="178"/>
      <c r="J1720" s="184"/>
      <c r="N1720" s="178"/>
      <c r="O1720" s="178"/>
      <c r="P1720" s="178"/>
      <c r="AN1720" s="458"/>
    </row>
    <row r="1721" spans="2:40" ht="15.75" customHeight="1">
      <c r="B1721" s="175"/>
      <c r="H1721" s="178"/>
      <c r="I1721" s="178"/>
      <c r="J1721" s="184"/>
      <c r="N1721" s="178"/>
      <c r="O1721" s="178"/>
      <c r="P1721" s="178"/>
      <c r="AN1721" s="458"/>
    </row>
    <row r="1722" spans="2:40" ht="15.75" customHeight="1">
      <c r="B1722" s="175"/>
      <c r="H1722" s="178"/>
      <c r="I1722" s="178"/>
      <c r="J1722" s="184"/>
      <c r="N1722" s="178"/>
      <c r="O1722" s="178"/>
      <c r="P1722" s="178"/>
      <c r="AN1722" s="458"/>
    </row>
    <row r="1723" spans="2:40" ht="15.75" customHeight="1">
      <c r="B1723" s="175"/>
      <c r="H1723" s="178"/>
      <c r="I1723" s="178"/>
      <c r="J1723" s="184"/>
      <c r="N1723" s="178"/>
      <c r="O1723" s="178"/>
      <c r="P1723" s="178"/>
      <c r="AN1723" s="458"/>
    </row>
    <row r="1724" spans="2:40" ht="15.75" customHeight="1">
      <c r="B1724" s="175"/>
      <c r="H1724" s="178"/>
      <c r="I1724" s="178"/>
      <c r="J1724" s="184"/>
      <c r="N1724" s="178"/>
      <c r="O1724" s="178"/>
      <c r="P1724" s="178"/>
      <c r="AN1724" s="458"/>
    </row>
    <row r="1725" spans="2:40" ht="15.75" customHeight="1">
      <c r="B1725" s="175"/>
      <c r="H1725" s="178"/>
      <c r="I1725" s="178"/>
      <c r="J1725" s="184"/>
      <c r="N1725" s="178"/>
      <c r="O1725" s="178"/>
      <c r="P1725" s="178"/>
      <c r="AN1725" s="458"/>
    </row>
    <row r="1726" spans="2:40" ht="15.75" customHeight="1">
      <c r="B1726" s="175"/>
      <c r="H1726" s="178"/>
      <c r="I1726" s="178"/>
      <c r="J1726" s="184"/>
      <c r="N1726" s="178"/>
      <c r="O1726" s="178"/>
      <c r="P1726" s="178"/>
      <c r="AN1726" s="458"/>
    </row>
    <row r="1727" spans="2:40" ht="15.75" customHeight="1">
      <c r="B1727" s="175"/>
      <c r="H1727" s="178"/>
      <c r="I1727" s="178"/>
      <c r="J1727" s="184"/>
      <c r="N1727" s="178"/>
      <c r="O1727" s="178"/>
      <c r="P1727" s="178"/>
      <c r="AN1727" s="458"/>
    </row>
    <row r="1728" spans="2:40" ht="15.75" customHeight="1">
      <c r="B1728" s="175"/>
      <c r="H1728" s="178"/>
      <c r="I1728" s="178"/>
      <c r="J1728" s="184"/>
      <c r="N1728" s="178"/>
      <c r="O1728" s="178"/>
      <c r="P1728" s="178"/>
      <c r="AN1728" s="458"/>
    </row>
    <row r="1729" spans="2:40" ht="15.75" customHeight="1">
      <c r="B1729" s="175"/>
      <c r="H1729" s="178"/>
      <c r="I1729" s="178"/>
      <c r="J1729" s="184"/>
      <c r="N1729" s="178"/>
      <c r="O1729" s="178"/>
      <c r="P1729" s="178"/>
      <c r="AN1729" s="458"/>
    </row>
    <row r="1730" spans="2:40" ht="15.75" customHeight="1">
      <c r="B1730" s="175"/>
      <c r="N1730" s="178"/>
      <c r="O1730" s="178"/>
      <c r="P1730" s="178"/>
      <c r="AN1730" s="458"/>
    </row>
    <row r="1731" spans="2:40" ht="15.75" customHeight="1">
      <c r="B1731" s="175"/>
      <c r="H1731" s="178"/>
      <c r="I1731" s="178"/>
      <c r="J1731" s="184"/>
      <c r="N1731" s="178"/>
      <c r="O1731" s="178"/>
      <c r="P1731" s="178"/>
      <c r="AN1731" s="458"/>
    </row>
    <row r="1732" spans="2:40" ht="15.75" customHeight="1">
      <c r="B1732" s="175"/>
      <c r="H1732" s="178"/>
      <c r="I1732" s="178"/>
      <c r="J1732" s="184"/>
      <c r="N1732" s="178"/>
      <c r="O1732" s="178"/>
      <c r="P1732" s="178"/>
      <c r="AN1732" s="458"/>
    </row>
    <row r="1733" spans="2:40" ht="15.75" customHeight="1">
      <c r="B1733" s="175"/>
      <c r="H1733" s="178"/>
      <c r="I1733" s="178"/>
      <c r="J1733" s="184"/>
      <c r="N1733" s="178"/>
      <c r="O1733" s="178"/>
      <c r="P1733" s="178"/>
      <c r="AN1733" s="458"/>
    </row>
    <row r="1734" spans="2:40" ht="15.75" customHeight="1">
      <c r="B1734" s="175"/>
      <c r="H1734" s="178"/>
      <c r="I1734" s="178"/>
      <c r="J1734" s="184"/>
      <c r="N1734" s="178"/>
      <c r="O1734" s="178"/>
      <c r="P1734" s="178"/>
      <c r="AN1734" s="458"/>
    </row>
    <row r="1735" spans="2:40" ht="15.75" customHeight="1">
      <c r="B1735" s="175"/>
      <c r="H1735" s="178"/>
      <c r="I1735" s="178"/>
      <c r="J1735" s="184"/>
      <c r="N1735" s="178"/>
      <c r="O1735" s="178"/>
      <c r="P1735" s="178"/>
      <c r="AN1735" s="458"/>
    </row>
    <row r="1736" spans="2:40" ht="15.75" customHeight="1">
      <c r="B1736" s="175"/>
      <c r="H1736" s="178"/>
      <c r="I1736" s="178"/>
      <c r="J1736" s="184"/>
      <c r="N1736" s="178"/>
      <c r="O1736" s="178"/>
      <c r="P1736" s="178"/>
      <c r="AN1736" s="458"/>
    </row>
    <row r="1737" spans="2:40" ht="15.75" customHeight="1">
      <c r="B1737" s="175"/>
      <c r="H1737" s="178"/>
      <c r="I1737" s="178"/>
      <c r="J1737" s="184"/>
      <c r="N1737" s="178"/>
      <c r="O1737" s="178"/>
      <c r="P1737" s="178"/>
      <c r="AN1737" s="458"/>
    </row>
    <row r="1738" spans="2:40" ht="15.75" customHeight="1">
      <c r="B1738" s="175"/>
      <c r="H1738" s="178"/>
      <c r="I1738" s="178"/>
      <c r="J1738" s="184"/>
      <c r="N1738" s="178"/>
      <c r="O1738" s="178"/>
      <c r="P1738" s="178"/>
      <c r="AN1738" s="458"/>
    </row>
    <row r="1739" spans="2:40" ht="15.75" customHeight="1">
      <c r="B1739" s="175"/>
      <c r="H1739" s="178"/>
      <c r="I1739" s="178"/>
      <c r="J1739" s="184"/>
      <c r="N1739" s="178"/>
      <c r="O1739" s="178"/>
      <c r="P1739" s="178"/>
      <c r="AN1739" s="458"/>
    </row>
    <row r="1740" spans="2:40" ht="15.75" customHeight="1">
      <c r="B1740" s="175"/>
      <c r="H1740" s="178"/>
      <c r="I1740" s="178"/>
      <c r="J1740" s="184"/>
      <c r="N1740" s="178"/>
      <c r="O1740" s="178"/>
      <c r="P1740" s="178"/>
      <c r="AN1740" s="458"/>
    </row>
    <row r="1741" spans="2:40" ht="15.75" customHeight="1">
      <c r="B1741" s="175"/>
      <c r="H1741" s="178"/>
      <c r="I1741" s="178"/>
      <c r="J1741" s="184"/>
      <c r="N1741" s="178"/>
      <c r="O1741" s="178"/>
      <c r="P1741" s="178"/>
      <c r="AN1741" s="458"/>
    </row>
    <row r="1742" spans="2:40" ht="15.75" customHeight="1">
      <c r="B1742" s="175"/>
      <c r="H1742" s="178"/>
      <c r="I1742" s="178"/>
      <c r="J1742" s="184"/>
      <c r="N1742" s="178"/>
      <c r="O1742" s="178"/>
      <c r="P1742" s="178"/>
      <c r="AN1742" s="458"/>
    </row>
    <row r="1743" spans="2:40" ht="15.75" customHeight="1">
      <c r="B1743" s="175"/>
      <c r="H1743" s="178"/>
      <c r="I1743" s="178"/>
      <c r="J1743" s="184"/>
      <c r="N1743" s="178"/>
      <c r="O1743" s="178"/>
      <c r="P1743" s="178"/>
      <c r="AN1743" s="458"/>
    </row>
    <row r="1744" spans="2:40" ht="15.75" customHeight="1">
      <c r="B1744" s="175"/>
      <c r="H1744" s="178"/>
      <c r="I1744" s="178"/>
      <c r="J1744" s="184"/>
      <c r="N1744" s="178"/>
      <c r="O1744" s="178"/>
      <c r="P1744" s="178"/>
      <c r="AN1744" s="458"/>
    </row>
    <row r="1745" spans="2:40" ht="15.75" customHeight="1">
      <c r="B1745" s="175"/>
      <c r="H1745" s="178"/>
      <c r="I1745" s="178"/>
      <c r="J1745" s="184"/>
      <c r="N1745" s="178"/>
      <c r="O1745" s="178"/>
      <c r="P1745" s="178"/>
      <c r="AN1745" s="458"/>
    </row>
    <row r="1746" spans="2:40" ht="15.75" customHeight="1">
      <c r="B1746" s="175"/>
      <c r="H1746" s="178"/>
      <c r="I1746" s="178"/>
      <c r="J1746" s="184"/>
      <c r="N1746" s="178"/>
      <c r="O1746" s="178"/>
      <c r="P1746" s="178"/>
      <c r="AN1746" s="458"/>
    </row>
    <row r="1747" spans="2:40" ht="15.75" customHeight="1">
      <c r="B1747" s="175"/>
      <c r="H1747" s="178"/>
      <c r="I1747" s="178"/>
      <c r="J1747" s="184"/>
      <c r="N1747" s="178"/>
      <c r="O1747" s="178"/>
      <c r="P1747" s="178"/>
      <c r="AN1747" s="458"/>
    </row>
    <row r="1748" spans="2:40" ht="15.75" customHeight="1">
      <c r="B1748" s="175"/>
      <c r="H1748" s="178"/>
      <c r="I1748" s="178"/>
      <c r="J1748" s="184"/>
      <c r="N1748" s="178"/>
      <c r="O1748" s="178"/>
      <c r="P1748" s="178"/>
      <c r="AN1748" s="458"/>
    </row>
    <row r="1749" spans="2:40" ht="15.75" customHeight="1">
      <c r="B1749" s="175"/>
      <c r="H1749" s="178"/>
      <c r="I1749" s="178"/>
      <c r="J1749" s="184"/>
      <c r="N1749" s="178"/>
      <c r="O1749" s="178"/>
      <c r="P1749" s="178"/>
      <c r="AN1749" s="458"/>
    </row>
    <row r="1750" spans="2:40" ht="15.75" customHeight="1">
      <c r="B1750" s="175"/>
      <c r="H1750" s="178"/>
      <c r="I1750" s="178"/>
      <c r="J1750" s="184"/>
      <c r="N1750" s="178"/>
      <c r="O1750" s="178"/>
      <c r="P1750" s="178"/>
      <c r="AN1750" s="458"/>
    </row>
    <row r="1751" spans="2:40" ht="15.75" customHeight="1">
      <c r="B1751" s="175"/>
      <c r="H1751" s="178"/>
      <c r="I1751" s="178"/>
      <c r="J1751" s="184"/>
      <c r="N1751" s="178"/>
      <c r="O1751" s="178"/>
      <c r="P1751" s="178"/>
      <c r="AN1751" s="458"/>
    </row>
    <row r="1752" spans="2:40" ht="15.75" customHeight="1">
      <c r="B1752" s="175"/>
      <c r="H1752" s="178"/>
      <c r="I1752" s="178"/>
      <c r="J1752" s="184"/>
      <c r="N1752" s="178"/>
      <c r="O1752" s="178"/>
      <c r="P1752" s="178"/>
      <c r="AN1752" s="458"/>
    </row>
    <row r="1753" spans="2:40" ht="15.75" customHeight="1">
      <c r="B1753" s="175"/>
      <c r="H1753" s="178"/>
      <c r="I1753" s="178"/>
      <c r="J1753" s="184"/>
      <c r="N1753" s="178"/>
      <c r="O1753" s="178"/>
      <c r="P1753" s="178"/>
      <c r="AN1753" s="458"/>
    </row>
    <row r="1754" spans="2:40" ht="15.75" customHeight="1">
      <c r="B1754" s="175"/>
      <c r="H1754" s="178"/>
      <c r="I1754" s="178"/>
      <c r="J1754" s="184"/>
      <c r="N1754" s="178"/>
      <c r="O1754" s="178"/>
      <c r="P1754" s="178"/>
      <c r="AN1754" s="458"/>
    </row>
    <row r="1755" spans="2:40" ht="15.75" customHeight="1">
      <c r="B1755" s="175"/>
      <c r="H1755" s="178"/>
      <c r="I1755" s="178"/>
      <c r="J1755" s="184"/>
      <c r="N1755" s="178"/>
      <c r="O1755" s="178"/>
      <c r="P1755" s="178"/>
      <c r="AN1755" s="458"/>
    </row>
    <row r="1756" spans="2:40" ht="15.75" customHeight="1">
      <c r="B1756" s="175"/>
      <c r="H1756" s="178"/>
      <c r="I1756" s="178"/>
      <c r="J1756" s="184"/>
      <c r="N1756" s="178"/>
      <c r="O1756" s="178"/>
      <c r="P1756" s="178"/>
      <c r="AN1756" s="458"/>
    </row>
    <row r="1757" spans="2:40" ht="15.75" customHeight="1">
      <c r="B1757" s="175"/>
      <c r="H1757" s="178"/>
      <c r="I1757" s="178"/>
      <c r="J1757" s="184"/>
      <c r="N1757" s="178"/>
      <c r="O1757" s="178"/>
      <c r="P1757" s="178"/>
      <c r="AN1757" s="458"/>
    </row>
    <row r="1758" spans="2:40" ht="15.75" customHeight="1">
      <c r="B1758" s="175"/>
      <c r="H1758" s="178"/>
      <c r="I1758" s="178"/>
      <c r="J1758" s="184"/>
      <c r="N1758" s="178"/>
      <c r="O1758" s="178"/>
      <c r="P1758" s="178"/>
      <c r="AN1758" s="458"/>
    </row>
    <row r="1759" spans="2:40" ht="15.75" customHeight="1">
      <c r="B1759" s="175"/>
      <c r="H1759" s="178"/>
      <c r="I1759" s="178"/>
      <c r="J1759" s="184"/>
      <c r="N1759" s="178"/>
      <c r="O1759" s="178"/>
      <c r="P1759" s="178"/>
      <c r="AN1759" s="458"/>
    </row>
    <row r="1760" spans="2:40" ht="15.75" customHeight="1">
      <c r="B1760" s="175"/>
      <c r="H1760" s="178"/>
      <c r="I1760" s="178"/>
      <c r="J1760" s="184"/>
      <c r="N1760" s="178"/>
      <c r="O1760" s="178"/>
      <c r="P1760" s="178"/>
      <c r="AN1760" s="458"/>
    </row>
    <row r="1761" spans="2:40" ht="15.75" customHeight="1">
      <c r="B1761" s="175"/>
      <c r="H1761" s="178"/>
      <c r="I1761" s="178"/>
      <c r="J1761" s="184"/>
      <c r="N1761" s="178"/>
      <c r="O1761" s="178"/>
      <c r="P1761" s="178"/>
      <c r="AN1761" s="458"/>
    </row>
    <row r="1762" spans="2:40" ht="15.75" customHeight="1">
      <c r="B1762" s="175"/>
      <c r="H1762" s="178"/>
      <c r="I1762" s="178"/>
      <c r="J1762" s="184"/>
      <c r="N1762" s="178"/>
      <c r="O1762" s="178"/>
      <c r="P1762" s="178"/>
      <c r="AN1762" s="458"/>
    </row>
    <row r="1763" spans="2:40" ht="15.75" customHeight="1">
      <c r="B1763" s="175"/>
      <c r="H1763" s="178"/>
      <c r="I1763" s="178"/>
      <c r="J1763" s="184"/>
      <c r="N1763" s="178"/>
      <c r="O1763" s="178"/>
      <c r="P1763" s="178"/>
      <c r="AN1763" s="458"/>
    </row>
    <row r="1764" spans="2:40" ht="15.75" customHeight="1">
      <c r="B1764" s="175"/>
      <c r="H1764" s="178"/>
      <c r="I1764" s="178"/>
      <c r="J1764" s="184"/>
      <c r="N1764" s="178"/>
      <c r="O1764" s="178"/>
      <c r="P1764" s="178"/>
      <c r="AN1764" s="458"/>
    </row>
    <row r="1765" spans="2:40" ht="15.75" customHeight="1">
      <c r="B1765" s="175"/>
      <c r="H1765" s="178"/>
      <c r="I1765" s="178"/>
      <c r="J1765" s="184"/>
      <c r="N1765" s="178"/>
      <c r="O1765" s="178"/>
      <c r="P1765" s="178"/>
      <c r="AN1765" s="458"/>
    </row>
    <row r="1766" spans="2:40" ht="15.75" customHeight="1">
      <c r="B1766" s="175"/>
      <c r="H1766" s="178"/>
      <c r="I1766" s="178"/>
      <c r="J1766" s="184"/>
      <c r="N1766" s="178"/>
      <c r="O1766" s="178"/>
      <c r="P1766" s="178"/>
      <c r="AN1766" s="458"/>
    </row>
    <row r="1767" spans="2:40" ht="15.75" customHeight="1">
      <c r="B1767" s="175"/>
      <c r="H1767" s="178"/>
      <c r="I1767" s="178"/>
      <c r="J1767" s="184"/>
      <c r="N1767" s="178"/>
      <c r="O1767" s="178"/>
      <c r="P1767" s="178"/>
      <c r="AN1767" s="458"/>
    </row>
    <row r="1768" spans="2:40" ht="15.75" customHeight="1">
      <c r="B1768" s="175"/>
      <c r="H1768" s="178"/>
      <c r="I1768" s="178"/>
      <c r="J1768" s="184"/>
      <c r="N1768" s="178"/>
      <c r="O1768" s="178"/>
      <c r="P1768" s="178"/>
      <c r="AN1768" s="458"/>
    </row>
    <row r="1769" spans="2:40" ht="15.75" customHeight="1">
      <c r="B1769" s="175"/>
      <c r="H1769" s="178"/>
      <c r="I1769" s="178"/>
      <c r="J1769" s="184"/>
      <c r="N1769" s="178"/>
      <c r="O1769" s="178"/>
      <c r="P1769" s="178"/>
      <c r="AN1769" s="458"/>
    </row>
    <row r="1770" spans="2:40" ht="15.75" customHeight="1">
      <c r="B1770" s="175"/>
      <c r="H1770" s="178"/>
      <c r="I1770" s="178"/>
      <c r="J1770" s="184"/>
      <c r="N1770" s="178"/>
      <c r="O1770" s="178"/>
      <c r="P1770" s="178"/>
      <c r="AN1770" s="458"/>
    </row>
    <row r="1771" spans="2:40" ht="15.75" customHeight="1">
      <c r="B1771" s="175"/>
      <c r="H1771" s="178"/>
      <c r="I1771" s="178"/>
      <c r="J1771" s="184"/>
      <c r="N1771" s="178"/>
      <c r="O1771" s="178"/>
      <c r="P1771" s="178"/>
      <c r="AN1771" s="458"/>
    </row>
    <row r="1772" spans="2:40" ht="15.75" customHeight="1">
      <c r="B1772" s="175"/>
      <c r="H1772" s="178"/>
      <c r="I1772" s="178"/>
      <c r="J1772" s="184"/>
      <c r="N1772" s="178"/>
      <c r="O1772" s="178"/>
      <c r="P1772" s="178"/>
      <c r="AN1772" s="458"/>
    </row>
    <row r="1773" spans="2:40" ht="15.75" customHeight="1">
      <c r="B1773" s="175"/>
      <c r="H1773" s="178"/>
      <c r="I1773" s="178"/>
      <c r="J1773" s="184"/>
      <c r="N1773" s="178"/>
      <c r="O1773" s="178"/>
      <c r="P1773" s="178"/>
      <c r="AN1773" s="458"/>
    </row>
    <row r="1774" spans="2:40" ht="15.75" customHeight="1">
      <c r="B1774" s="175"/>
      <c r="H1774" s="178"/>
      <c r="I1774" s="178"/>
      <c r="J1774" s="184"/>
      <c r="N1774" s="178"/>
      <c r="O1774" s="178"/>
      <c r="P1774" s="178"/>
      <c r="AN1774" s="458"/>
    </row>
    <row r="1775" spans="2:40" ht="15.75" customHeight="1">
      <c r="B1775" s="175"/>
      <c r="H1775" s="178"/>
      <c r="I1775" s="178"/>
      <c r="J1775" s="184"/>
      <c r="N1775" s="178"/>
      <c r="O1775" s="178"/>
      <c r="P1775" s="178"/>
      <c r="AN1775" s="458"/>
    </row>
    <row r="1776" spans="2:40" ht="15.75" customHeight="1">
      <c r="B1776" s="175"/>
      <c r="H1776" s="178"/>
      <c r="I1776" s="178"/>
      <c r="J1776" s="184"/>
      <c r="N1776" s="178"/>
      <c r="O1776" s="178"/>
      <c r="P1776" s="178"/>
      <c r="AN1776" s="458"/>
    </row>
    <row r="1777" spans="2:40" ht="15.75" customHeight="1">
      <c r="B1777" s="175"/>
      <c r="H1777" s="178"/>
      <c r="I1777" s="178"/>
      <c r="J1777" s="184"/>
      <c r="N1777" s="178"/>
      <c r="O1777" s="178"/>
      <c r="P1777" s="178"/>
      <c r="AN1777" s="458"/>
    </row>
    <row r="1778" spans="2:40" ht="15.75" customHeight="1">
      <c r="B1778" s="175"/>
      <c r="H1778" s="178"/>
      <c r="I1778" s="178"/>
      <c r="J1778" s="184"/>
      <c r="N1778" s="178"/>
      <c r="O1778" s="178"/>
      <c r="P1778" s="178"/>
      <c r="AN1778" s="458"/>
    </row>
    <row r="1779" spans="2:40" ht="15.75" customHeight="1">
      <c r="B1779" s="175"/>
      <c r="H1779" s="178"/>
      <c r="I1779" s="178"/>
      <c r="J1779" s="184"/>
      <c r="N1779" s="178"/>
      <c r="O1779" s="178"/>
      <c r="P1779" s="178"/>
      <c r="AN1779" s="458"/>
    </row>
    <row r="1780" spans="2:40" ht="15.75" customHeight="1">
      <c r="B1780" s="175"/>
      <c r="H1780" s="178"/>
      <c r="I1780" s="178"/>
      <c r="J1780" s="184"/>
      <c r="N1780" s="178"/>
      <c r="O1780" s="178"/>
      <c r="P1780" s="178"/>
      <c r="AN1780" s="458"/>
    </row>
    <row r="1781" spans="2:40" ht="15.75" customHeight="1">
      <c r="B1781" s="175"/>
      <c r="H1781" s="178"/>
      <c r="I1781" s="178"/>
      <c r="J1781" s="184"/>
      <c r="N1781" s="178"/>
      <c r="O1781" s="178"/>
      <c r="P1781" s="178"/>
      <c r="AN1781" s="458"/>
    </row>
    <row r="1782" spans="2:40" ht="15.75" customHeight="1">
      <c r="B1782" s="175"/>
      <c r="H1782" s="178"/>
      <c r="I1782" s="178"/>
      <c r="J1782" s="184"/>
      <c r="N1782" s="178"/>
      <c r="O1782" s="178"/>
      <c r="P1782" s="178"/>
      <c r="AN1782" s="458"/>
    </row>
    <row r="1783" spans="2:40" ht="15.75" customHeight="1">
      <c r="B1783" s="175"/>
      <c r="H1783" s="178"/>
      <c r="I1783" s="178"/>
      <c r="J1783" s="184"/>
      <c r="N1783" s="178"/>
      <c r="O1783" s="178"/>
      <c r="P1783" s="178"/>
      <c r="AN1783" s="458"/>
    </row>
    <row r="1784" spans="2:40" ht="15.75" customHeight="1">
      <c r="B1784" s="175"/>
      <c r="H1784" s="178"/>
      <c r="I1784" s="178"/>
      <c r="J1784" s="184"/>
      <c r="N1784" s="178"/>
      <c r="O1784" s="178"/>
      <c r="P1784" s="178"/>
      <c r="AN1784" s="458"/>
    </row>
    <row r="1785" spans="2:40" ht="15.75" customHeight="1">
      <c r="B1785" s="175"/>
      <c r="H1785" s="178"/>
      <c r="I1785" s="178"/>
      <c r="J1785" s="184"/>
      <c r="N1785" s="178"/>
      <c r="O1785" s="178"/>
      <c r="P1785" s="178"/>
      <c r="AN1785" s="458"/>
    </row>
    <row r="1786" spans="2:40" ht="15.75" customHeight="1">
      <c r="B1786" s="175"/>
      <c r="H1786" s="178"/>
      <c r="I1786" s="178"/>
      <c r="J1786" s="184"/>
      <c r="N1786" s="178"/>
      <c r="O1786" s="178"/>
      <c r="P1786" s="178"/>
      <c r="AN1786" s="458"/>
    </row>
    <row r="1787" spans="2:40" ht="15.75" customHeight="1">
      <c r="B1787" s="175"/>
      <c r="H1787" s="178"/>
      <c r="I1787" s="178"/>
      <c r="J1787" s="184"/>
      <c r="N1787" s="178"/>
      <c r="O1787" s="178"/>
      <c r="P1787" s="178"/>
      <c r="AN1787" s="458"/>
    </row>
    <row r="1788" spans="2:40" ht="15.75" customHeight="1">
      <c r="B1788" s="175"/>
      <c r="H1788" s="178"/>
      <c r="I1788" s="178"/>
      <c r="J1788" s="184"/>
      <c r="N1788" s="178"/>
      <c r="O1788" s="178"/>
      <c r="P1788" s="178"/>
      <c r="AN1788" s="458"/>
    </row>
    <row r="1789" spans="2:40" ht="15.75" customHeight="1">
      <c r="B1789" s="175"/>
      <c r="H1789" s="178"/>
      <c r="I1789" s="178"/>
      <c r="J1789" s="184"/>
      <c r="N1789" s="178"/>
      <c r="O1789" s="178"/>
      <c r="P1789" s="178"/>
      <c r="AN1789" s="458"/>
    </row>
    <row r="1790" spans="2:40" ht="15.75" customHeight="1">
      <c r="B1790" s="175"/>
      <c r="H1790" s="178"/>
      <c r="I1790" s="178"/>
      <c r="J1790" s="184"/>
      <c r="N1790" s="178"/>
      <c r="O1790" s="178"/>
      <c r="P1790" s="178"/>
      <c r="AN1790" s="458"/>
    </row>
    <row r="1791" spans="2:40" ht="15.75" customHeight="1">
      <c r="B1791" s="175"/>
      <c r="H1791" s="178"/>
      <c r="I1791" s="178"/>
      <c r="J1791" s="184"/>
      <c r="N1791" s="178"/>
      <c r="O1791" s="178"/>
      <c r="P1791" s="178"/>
      <c r="AN1791" s="458"/>
    </row>
    <row r="1792" spans="2:40" ht="15.75" customHeight="1">
      <c r="B1792" s="175"/>
      <c r="H1792" s="178"/>
      <c r="I1792" s="178"/>
      <c r="J1792" s="184"/>
      <c r="N1792" s="178"/>
      <c r="O1792" s="178"/>
      <c r="P1792" s="178"/>
      <c r="AN1792" s="458"/>
    </row>
    <row r="1793" spans="2:40" ht="15.75" customHeight="1">
      <c r="B1793" s="175"/>
      <c r="H1793" s="178"/>
      <c r="I1793" s="178"/>
      <c r="J1793" s="184"/>
      <c r="N1793" s="178"/>
      <c r="O1793" s="178"/>
      <c r="P1793" s="178"/>
      <c r="AN1793" s="458"/>
    </row>
    <row r="1794" spans="2:40" ht="15.75" customHeight="1">
      <c r="B1794" s="175"/>
      <c r="H1794" s="178"/>
      <c r="I1794" s="178"/>
      <c r="J1794" s="184"/>
      <c r="N1794" s="178"/>
      <c r="O1794" s="178"/>
      <c r="P1794" s="178"/>
      <c r="AN1794" s="458"/>
    </row>
    <row r="1795" spans="2:40" ht="15.75" customHeight="1">
      <c r="B1795" s="175"/>
      <c r="H1795" s="178"/>
      <c r="I1795" s="178"/>
      <c r="J1795" s="184"/>
      <c r="N1795" s="178"/>
      <c r="O1795" s="178"/>
      <c r="P1795" s="178"/>
      <c r="AN1795" s="458"/>
    </row>
    <row r="1796" spans="2:40" ht="15.75" customHeight="1">
      <c r="B1796" s="175"/>
      <c r="H1796" s="178"/>
      <c r="I1796" s="178"/>
      <c r="J1796" s="184"/>
      <c r="N1796" s="178"/>
      <c r="O1796" s="178"/>
      <c r="P1796" s="178"/>
      <c r="AN1796" s="458"/>
    </row>
    <row r="1797" spans="2:40" ht="15.75" customHeight="1">
      <c r="B1797" s="175"/>
      <c r="H1797" s="178"/>
      <c r="I1797" s="178"/>
      <c r="J1797" s="184"/>
      <c r="N1797" s="178"/>
      <c r="O1797" s="178"/>
      <c r="P1797" s="178"/>
      <c r="AN1797" s="458"/>
    </row>
    <row r="1798" spans="2:40" ht="15.75" customHeight="1">
      <c r="B1798" s="175"/>
      <c r="H1798" s="178"/>
      <c r="I1798" s="178"/>
      <c r="J1798" s="184"/>
      <c r="N1798" s="178"/>
      <c r="O1798" s="178"/>
      <c r="P1798" s="178"/>
      <c r="AN1798" s="458"/>
    </row>
    <row r="1799" spans="2:40" ht="15.75" customHeight="1">
      <c r="B1799" s="175"/>
      <c r="H1799" s="178"/>
      <c r="I1799" s="178"/>
      <c r="J1799" s="184"/>
      <c r="N1799" s="178"/>
      <c r="O1799" s="178"/>
      <c r="P1799" s="178"/>
      <c r="AN1799" s="458"/>
    </row>
    <row r="1800" spans="2:40" ht="15.75" customHeight="1">
      <c r="B1800" s="175"/>
      <c r="H1800" s="178"/>
      <c r="I1800" s="178"/>
      <c r="J1800" s="184"/>
      <c r="N1800" s="178"/>
      <c r="O1800" s="178"/>
      <c r="P1800" s="178"/>
      <c r="AN1800" s="458"/>
    </row>
    <row r="1801" spans="2:40" ht="15.75" customHeight="1">
      <c r="B1801" s="175"/>
      <c r="H1801" s="178"/>
      <c r="I1801" s="178"/>
      <c r="J1801" s="184"/>
      <c r="N1801" s="178"/>
      <c r="O1801" s="178"/>
      <c r="P1801" s="178"/>
      <c r="AN1801" s="458"/>
    </row>
    <row r="1802" spans="2:40" ht="15.75" customHeight="1">
      <c r="B1802" s="175"/>
      <c r="H1802" s="178"/>
      <c r="I1802" s="178"/>
      <c r="J1802" s="184"/>
      <c r="N1802" s="178"/>
      <c r="O1802" s="178"/>
      <c r="P1802" s="178"/>
      <c r="AN1802" s="458"/>
    </row>
    <row r="1803" spans="2:40" ht="15.75" customHeight="1">
      <c r="B1803" s="175"/>
      <c r="H1803" s="178"/>
      <c r="I1803" s="178"/>
      <c r="J1803" s="184"/>
      <c r="N1803" s="178"/>
      <c r="O1803" s="178"/>
      <c r="P1803" s="178"/>
      <c r="AN1803" s="458"/>
    </row>
    <row r="1804" spans="2:40" ht="15.75" customHeight="1">
      <c r="B1804" s="175"/>
      <c r="H1804" s="178"/>
      <c r="I1804" s="178"/>
      <c r="J1804" s="184"/>
      <c r="N1804" s="178"/>
      <c r="O1804" s="178"/>
      <c r="P1804" s="178"/>
      <c r="AN1804" s="458"/>
    </row>
    <row r="1805" spans="2:40" ht="15.75" customHeight="1">
      <c r="B1805" s="175"/>
      <c r="H1805" s="178"/>
      <c r="I1805" s="178"/>
      <c r="J1805" s="184"/>
      <c r="N1805" s="178"/>
      <c r="O1805" s="178"/>
      <c r="P1805" s="178"/>
      <c r="AN1805" s="458"/>
    </row>
    <row r="1806" spans="2:40" ht="15.75" customHeight="1">
      <c r="B1806" s="175"/>
      <c r="H1806" s="178"/>
      <c r="I1806" s="178"/>
      <c r="J1806" s="184"/>
      <c r="N1806" s="178"/>
      <c r="O1806" s="178"/>
      <c r="P1806" s="178"/>
      <c r="AN1806" s="458"/>
    </row>
    <row r="1807" spans="2:40" ht="15.75" customHeight="1">
      <c r="B1807" s="175"/>
      <c r="H1807" s="178"/>
      <c r="I1807" s="178"/>
      <c r="J1807" s="184"/>
      <c r="N1807" s="178"/>
      <c r="O1807" s="178"/>
      <c r="P1807" s="178"/>
      <c r="AN1807" s="458"/>
    </row>
    <row r="1808" spans="2:40" ht="15.75" customHeight="1">
      <c r="B1808" s="175"/>
      <c r="H1808" s="178"/>
      <c r="I1808" s="178"/>
      <c r="J1808" s="184"/>
      <c r="N1808" s="178"/>
      <c r="O1808" s="178"/>
      <c r="P1808" s="178"/>
      <c r="AN1808" s="458"/>
    </row>
    <row r="1809" spans="2:40" ht="15.75" customHeight="1">
      <c r="B1809" s="175"/>
      <c r="H1809" s="178"/>
      <c r="I1809" s="178"/>
      <c r="J1809" s="184"/>
      <c r="N1809" s="178"/>
      <c r="O1809" s="178"/>
      <c r="P1809" s="178"/>
      <c r="AN1809" s="458"/>
    </row>
    <row r="1810" spans="2:40" ht="15.75" customHeight="1">
      <c r="B1810" s="175"/>
      <c r="H1810" s="178"/>
      <c r="I1810" s="178"/>
      <c r="J1810" s="184"/>
      <c r="N1810" s="178"/>
      <c r="O1810" s="178"/>
      <c r="P1810" s="178"/>
      <c r="AN1810" s="458"/>
    </row>
    <row r="1811" spans="2:40" ht="15.75" customHeight="1">
      <c r="B1811" s="175"/>
      <c r="H1811" s="178"/>
      <c r="I1811" s="178"/>
      <c r="J1811" s="184"/>
      <c r="N1811" s="178"/>
      <c r="O1811" s="178"/>
      <c r="P1811" s="178"/>
      <c r="AN1811" s="458"/>
    </row>
    <row r="1812" spans="2:40" ht="15.75" customHeight="1">
      <c r="B1812" s="175"/>
      <c r="H1812" s="178"/>
      <c r="I1812" s="178"/>
      <c r="J1812" s="184"/>
      <c r="N1812" s="178"/>
      <c r="O1812" s="178"/>
      <c r="P1812" s="178"/>
      <c r="AN1812" s="458"/>
    </row>
    <row r="1813" spans="2:40" ht="15.75" customHeight="1">
      <c r="B1813" s="175"/>
      <c r="H1813" s="178"/>
      <c r="I1813" s="178"/>
      <c r="J1813" s="184"/>
      <c r="N1813" s="178"/>
      <c r="O1813" s="178"/>
      <c r="P1813" s="178"/>
      <c r="AN1813" s="458"/>
    </row>
    <row r="1814" spans="2:40" ht="15.75" customHeight="1">
      <c r="B1814" s="175"/>
      <c r="H1814" s="178"/>
      <c r="I1814" s="178"/>
      <c r="J1814" s="184"/>
      <c r="N1814" s="178"/>
      <c r="O1814" s="178"/>
      <c r="P1814" s="178"/>
      <c r="AN1814" s="458"/>
    </row>
    <row r="1815" spans="2:40" ht="15.75" customHeight="1">
      <c r="B1815" s="175"/>
      <c r="H1815" s="178"/>
      <c r="I1815" s="178"/>
      <c r="J1815" s="184"/>
      <c r="N1815" s="178"/>
      <c r="O1815" s="178"/>
      <c r="P1815" s="178"/>
      <c r="AN1815" s="458"/>
    </row>
    <row r="1816" spans="2:40" ht="15.75" customHeight="1">
      <c r="B1816" s="175"/>
      <c r="H1816" s="178"/>
      <c r="I1816" s="178"/>
      <c r="J1816" s="184"/>
      <c r="N1816" s="178"/>
      <c r="O1816" s="178"/>
      <c r="P1816" s="178"/>
      <c r="AN1816" s="458"/>
    </row>
    <row r="1817" spans="2:40" ht="15.75" customHeight="1">
      <c r="B1817" s="175"/>
      <c r="H1817" s="178"/>
      <c r="I1817" s="178"/>
      <c r="J1817" s="184"/>
      <c r="N1817" s="178"/>
      <c r="O1817" s="178"/>
      <c r="P1817" s="178"/>
      <c r="AN1817" s="458"/>
    </row>
    <row r="1818" spans="2:40" ht="15.75" customHeight="1">
      <c r="B1818" s="175"/>
      <c r="H1818" s="178"/>
      <c r="I1818" s="178"/>
      <c r="J1818" s="184"/>
      <c r="N1818" s="178"/>
      <c r="O1818" s="178"/>
      <c r="P1818" s="178"/>
      <c r="AN1818" s="458"/>
    </row>
    <row r="1819" spans="2:40" ht="15.75" customHeight="1">
      <c r="B1819" s="175"/>
      <c r="H1819" s="178"/>
      <c r="I1819" s="178"/>
      <c r="J1819" s="184"/>
      <c r="N1819" s="178"/>
      <c r="O1819" s="178"/>
      <c r="P1819" s="178"/>
      <c r="AN1819" s="458"/>
    </row>
    <row r="1820" spans="2:40" ht="15.75" customHeight="1">
      <c r="B1820" s="175"/>
      <c r="N1820" s="178"/>
      <c r="P1820" s="178"/>
      <c r="AN1820" s="458"/>
    </row>
    <row r="1821" spans="2:40" ht="15.75" customHeight="1">
      <c r="B1821" s="175"/>
      <c r="N1821" s="178"/>
      <c r="P1821" s="178"/>
      <c r="AN1821" s="458"/>
    </row>
    <row r="1822" spans="2:40" ht="15.75" customHeight="1">
      <c r="B1822" s="175"/>
      <c r="N1822" s="178"/>
      <c r="P1822" s="178"/>
      <c r="AN1822" s="458"/>
    </row>
    <row r="1823" spans="2:40" ht="15.75" customHeight="1">
      <c r="B1823" s="175"/>
      <c r="N1823" s="178"/>
      <c r="P1823" s="178"/>
      <c r="AN1823" s="458"/>
    </row>
    <row r="1824" spans="2:40" ht="15.75" customHeight="1">
      <c r="B1824" s="175"/>
      <c r="N1824" s="178"/>
      <c r="P1824" s="178"/>
      <c r="AN1824" s="458"/>
    </row>
    <row r="1825" spans="2:40" ht="15.75" customHeight="1">
      <c r="B1825" s="175"/>
      <c r="P1825" s="178"/>
      <c r="AN1825" s="458"/>
    </row>
    <row r="1826" spans="2:40" ht="15.75" customHeight="1">
      <c r="B1826" s="175"/>
      <c r="H1826" s="178"/>
      <c r="I1826" s="178"/>
      <c r="J1826" s="184"/>
      <c r="N1826" s="178"/>
      <c r="O1826" s="178"/>
      <c r="P1826" s="178"/>
      <c r="AN1826" s="458"/>
    </row>
    <row r="1827" spans="2:40" ht="15.75" customHeight="1">
      <c r="B1827" s="175"/>
      <c r="H1827" s="178"/>
      <c r="I1827" s="178"/>
      <c r="J1827" s="184"/>
      <c r="N1827" s="178"/>
      <c r="O1827" s="178"/>
      <c r="P1827" s="178"/>
      <c r="AN1827" s="458"/>
    </row>
    <row r="1828" spans="2:40" ht="15.75" customHeight="1">
      <c r="B1828" s="175"/>
      <c r="H1828" s="178"/>
      <c r="I1828" s="178"/>
      <c r="J1828" s="184"/>
      <c r="N1828" s="178"/>
      <c r="O1828" s="178"/>
      <c r="P1828" s="178"/>
      <c r="AN1828" s="458"/>
    </row>
    <row r="1829" spans="2:40" ht="15.75" customHeight="1">
      <c r="B1829" s="175"/>
      <c r="H1829" s="178"/>
      <c r="I1829" s="178"/>
      <c r="J1829" s="184"/>
      <c r="N1829" s="178"/>
      <c r="O1829" s="178"/>
      <c r="P1829" s="178"/>
      <c r="AN1829" s="458"/>
    </row>
    <row r="1830" spans="2:40" ht="15.75" customHeight="1">
      <c r="B1830" s="175"/>
      <c r="H1830" s="178"/>
      <c r="I1830" s="178"/>
      <c r="J1830" s="184"/>
      <c r="N1830" s="178"/>
      <c r="O1830" s="178"/>
      <c r="P1830" s="178"/>
      <c r="AN1830" s="458"/>
    </row>
    <row r="1831" spans="2:40" ht="15.75" customHeight="1">
      <c r="B1831" s="175"/>
      <c r="H1831" s="178"/>
      <c r="I1831" s="178"/>
      <c r="J1831" s="184"/>
      <c r="N1831" s="178"/>
      <c r="O1831" s="178"/>
      <c r="P1831" s="178"/>
      <c r="AN1831" s="458"/>
    </row>
    <row r="1832" spans="2:40" ht="15.75" customHeight="1">
      <c r="B1832" s="175"/>
      <c r="H1832" s="178"/>
      <c r="I1832" s="178"/>
      <c r="J1832" s="184"/>
      <c r="N1832" s="178"/>
      <c r="O1832" s="178"/>
      <c r="P1832" s="178"/>
      <c r="AN1832" s="458"/>
    </row>
    <row r="1833" spans="2:40" ht="15.75" customHeight="1">
      <c r="B1833" s="175"/>
      <c r="H1833" s="178"/>
      <c r="I1833" s="178"/>
      <c r="J1833" s="184"/>
      <c r="N1833" s="178"/>
      <c r="O1833" s="178"/>
      <c r="P1833" s="178"/>
      <c r="AN1833" s="458"/>
    </row>
    <row r="1834" spans="2:40" ht="15.75" customHeight="1">
      <c r="B1834" s="175"/>
      <c r="H1834" s="178"/>
      <c r="I1834" s="178"/>
      <c r="J1834" s="184"/>
      <c r="N1834" s="178"/>
      <c r="O1834" s="178"/>
      <c r="P1834" s="178"/>
      <c r="AN1834" s="458"/>
    </row>
    <row r="1835" spans="2:40" ht="15.75" customHeight="1">
      <c r="B1835" s="175"/>
      <c r="H1835" s="178"/>
      <c r="I1835" s="178"/>
      <c r="J1835" s="184"/>
      <c r="N1835" s="178"/>
      <c r="O1835" s="178"/>
      <c r="P1835" s="178"/>
      <c r="AN1835" s="458"/>
    </row>
    <row r="1836" spans="2:40" ht="15.75" customHeight="1">
      <c r="B1836" s="175"/>
      <c r="H1836" s="178"/>
      <c r="I1836" s="178"/>
      <c r="J1836" s="184"/>
      <c r="N1836" s="178"/>
      <c r="O1836" s="178"/>
      <c r="P1836" s="178"/>
      <c r="AN1836" s="458"/>
    </row>
    <row r="1837" spans="2:40" ht="15.75" customHeight="1">
      <c r="B1837" s="175"/>
      <c r="H1837" s="178"/>
      <c r="I1837" s="178"/>
      <c r="J1837" s="184"/>
      <c r="N1837" s="178"/>
      <c r="O1837" s="178"/>
      <c r="P1837" s="178"/>
      <c r="AN1837" s="458"/>
    </row>
    <row r="1838" spans="2:40" ht="15.75" customHeight="1">
      <c r="B1838" s="175"/>
      <c r="H1838" s="178"/>
      <c r="I1838" s="178"/>
      <c r="J1838" s="184"/>
      <c r="N1838" s="178"/>
      <c r="O1838" s="178"/>
      <c r="P1838" s="178"/>
      <c r="AN1838" s="458"/>
    </row>
    <row r="1839" spans="2:40" ht="15.75" customHeight="1">
      <c r="B1839" s="175"/>
      <c r="H1839" s="178"/>
      <c r="I1839" s="178"/>
      <c r="J1839" s="184"/>
      <c r="N1839" s="178"/>
      <c r="O1839" s="178"/>
      <c r="P1839" s="178"/>
      <c r="AN1839" s="458"/>
    </row>
    <row r="1840" spans="2:40" ht="15.75" customHeight="1">
      <c r="B1840" s="175"/>
      <c r="H1840" s="178"/>
      <c r="I1840" s="178"/>
      <c r="J1840" s="184"/>
      <c r="N1840" s="178"/>
      <c r="O1840" s="178"/>
      <c r="P1840" s="178"/>
      <c r="AN1840" s="458"/>
    </row>
    <row r="1841" spans="2:40" ht="15.75" customHeight="1">
      <c r="B1841" s="175"/>
      <c r="H1841" s="178"/>
      <c r="I1841" s="178"/>
      <c r="J1841" s="184"/>
      <c r="N1841" s="178"/>
      <c r="O1841" s="178"/>
      <c r="P1841" s="178"/>
      <c r="AN1841" s="458"/>
    </row>
    <row r="1842" spans="2:40" ht="15.75" customHeight="1">
      <c r="B1842" s="175"/>
      <c r="H1842" s="178"/>
      <c r="I1842" s="178"/>
      <c r="J1842" s="184"/>
      <c r="N1842" s="178"/>
      <c r="O1842" s="178"/>
      <c r="P1842" s="178"/>
      <c r="AN1842" s="458"/>
    </row>
    <row r="1843" spans="2:40" ht="15.75" customHeight="1">
      <c r="B1843" s="175"/>
      <c r="H1843" s="178"/>
      <c r="I1843" s="178"/>
      <c r="J1843" s="184"/>
      <c r="N1843" s="178"/>
      <c r="O1843" s="178"/>
      <c r="P1843" s="178"/>
      <c r="AN1843" s="458"/>
    </row>
    <row r="1844" spans="2:40" ht="15.75" customHeight="1">
      <c r="B1844" s="175"/>
      <c r="H1844" s="178"/>
      <c r="I1844" s="178"/>
      <c r="J1844" s="184"/>
      <c r="N1844" s="178"/>
      <c r="O1844" s="178"/>
      <c r="P1844" s="178"/>
      <c r="AN1844" s="458"/>
    </row>
    <row r="1845" spans="2:40" ht="15.75" customHeight="1">
      <c r="B1845" s="175"/>
      <c r="H1845" s="178"/>
      <c r="I1845" s="178"/>
      <c r="J1845" s="184"/>
      <c r="N1845" s="178"/>
      <c r="O1845" s="178"/>
      <c r="P1845" s="178"/>
      <c r="AN1845" s="458"/>
    </row>
    <row r="1846" spans="2:40" ht="15.75" customHeight="1">
      <c r="B1846" s="175"/>
      <c r="H1846" s="178"/>
      <c r="I1846" s="178"/>
      <c r="J1846" s="184"/>
      <c r="N1846" s="178"/>
      <c r="O1846" s="178"/>
      <c r="P1846" s="178"/>
      <c r="AN1846" s="458"/>
    </row>
    <row r="1847" spans="2:40" ht="15.75" customHeight="1">
      <c r="B1847" s="175"/>
      <c r="H1847" s="178"/>
      <c r="I1847" s="178"/>
      <c r="J1847" s="184"/>
      <c r="N1847" s="178"/>
      <c r="O1847" s="178"/>
      <c r="P1847" s="178"/>
      <c r="AN1847" s="458"/>
    </row>
    <row r="1848" spans="2:40" ht="15.75" customHeight="1">
      <c r="B1848" s="175"/>
      <c r="H1848" s="178"/>
      <c r="I1848" s="178"/>
      <c r="J1848" s="184"/>
      <c r="N1848" s="178"/>
      <c r="O1848" s="178"/>
      <c r="P1848" s="178"/>
      <c r="AN1848" s="458"/>
    </row>
    <row r="1849" spans="2:40" ht="15.75" customHeight="1">
      <c r="B1849" s="175"/>
      <c r="H1849" s="178"/>
      <c r="I1849" s="178"/>
      <c r="J1849" s="184"/>
      <c r="N1849" s="178"/>
      <c r="O1849" s="178"/>
      <c r="P1849" s="178"/>
      <c r="AN1849" s="458"/>
    </row>
    <row r="1850" spans="2:40" ht="15.75" customHeight="1">
      <c r="B1850" s="175"/>
      <c r="H1850" s="178"/>
      <c r="I1850" s="178"/>
      <c r="J1850" s="184"/>
      <c r="N1850" s="178"/>
      <c r="O1850" s="178"/>
      <c r="P1850" s="178"/>
      <c r="AN1850" s="458"/>
    </row>
    <row r="1851" spans="2:40" ht="15.75" customHeight="1">
      <c r="B1851" s="175"/>
      <c r="H1851" s="178"/>
      <c r="I1851" s="178"/>
      <c r="J1851" s="184"/>
      <c r="N1851" s="178"/>
      <c r="O1851" s="178"/>
      <c r="P1851" s="178"/>
      <c r="AN1851" s="458"/>
    </row>
    <row r="1852" spans="2:40" ht="15.75" customHeight="1">
      <c r="B1852" s="175"/>
      <c r="H1852" s="178"/>
      <c r="I1852" s="178"/>
      <c r="J1852" s="184"/>
      <c r="N1852" s="178"/>
      <c r="O1852" s="178"/>
      <c r="P1852" s="178"/>
      <c r="AN1852" s="458"/>
    </row>
    <row r="1853" spans="2:40" ht="15.75" customHeight="1">
      <c r="B1853" s="175"/>
      <c r="H1853" s="178"/>
      <c r="I1853" s="178"/>
      <c r="J1853" s="184"/>
      <c r="N1853" s="178"/>
      <c r="O1853" s="178"/>
      <c r="P1853" s="178"/>
      <c r="AN1853" s="458"/>
    </row>
    <row r="1854" spans="2:40" ht="15.75" customHeight="1">
      <c r="B1854" s="175"/>
      <c r="H1854" s="178"/>
      <c r="I1854" s="178"/>
      <c r="J1854" s="184"/>
      <c r="N1854" s="178"/>
      <c r="O1854" s="178"/>
      <c r="P1854" s="178"/>
      <c r="AN1854" s="458"/>
    </row>
    <row r="1855" spans="2:40" ht="15.75" customHeight="1">
      <c r="B1855" s="175"/>
      <c r="H1855" s="178"/>
      <c r="I1855" s="178"/>
      <c r="J1855" s="184"/>
      <c r="N1855" s="178"/>
      <c r="O1855" s="178"/>
      <c r="P1855" s="178"/>
      <c r="AN1855" s="458"/>
    </row>
    <row r="1856" spans="2:40" ht="15.75" customHeight="1">
      <c r="B1856" s="175"/>
      <c r="H1856" s="178"/>
      <c r="I1856" s="178"/>
      <c r="J1856" s="184"/>
      <c r="N1856" s="178"/>
      <c r="O1856" s="178"/>
      <c r="P1856" s="178"/>
      <c r="AN1856" s="458"/>
    </row>
    <row r="1857" spans="2:40" ht="15.75" customHeight="1">
      <c r="B1857" s="175"/>
      <c r="H1857" s="178"/>
      <c r="I1857" s="178"/>
      <c r="J1857" s="184"/>
      <c r="N1857" s="178"/>
      <c r="O1857" s="178"/>
      <c r="P1857" s="178"/>
      <c r="AN1857" s="458"/>
    </row>
    <row r="1858" spans="2:40" ht="15.75" customHeight="1">
      <c r="B1858" s="175"/>
      <c r="H1858" s="178"/>
      <c r="I1858" s="178"/>
      <c r="J1858" s="184"/>
      <c r="N1858" s="178"/>
      <c r="O1858" s="178"/>
      <c r="P1858" s="178"/>
      <c r="AN1858" s="458"/>
    </row>
    <row r="1859" spans="2:40" ht="15.75" customHeight="1">
      <c r="B1859" s="175"/>
      <c r="H1859" s="178"/>
      <c r="I1859" s="178"/>
      <c r="J1859" s="184"/>
      <c r="N1859" s="178"/>
      <c r="O1859" s="178"/>
      <c r="P1859" s="178"/>
      <c r="AN1859" s="458"/>
    </row>
    <row r="1860" spans="2:40" ht="15.75" customHeight="1">
      <c r="B1860" s="175"/>
      <c r="H1860" s="178"/>
      <c r="I1860" s="178"/>
      <c r="J1860" s="184"/>
      <c r="N1860" s="178"/>
      <c r="O1860" s="178"/>
      <c r="P1860" s="178"/>
      <c r="AN1860" s="458"/>
    </row>
    <row r="1861" spans="2:40" ht="15.75" customHeight="1">
      <c r="B1861" s="175"/>
      <c r="H1861" s="178"/>
      <c r="I1861" s="178"/>
      <c r="J1861" s="184"/>
      <c r="N1861" s="178"/>
      <c r="O1861" s="178"/>
      <c r="P1861" s="178"/>
      <c r="AN1861" s="458"/>
    </row>
    <row r="1862" spans="2:40" ht="15.75" customHeight="1">
      <c r="B1862" s="175"/>
      <c r="H1862" s="178"/>
      <c r="I1862" s="178"/>
      <c r="J1862" s="184"/>
      <c r="N1862" s="178"/>
      <c r="O1862" s="178"/>
      <c r="P1862" s="178"/>
      <c r="AN1862" s="458"/>
    </row>
    <row r="1863" spans="2:40" ht="15.75" customHeight="1">
      <c r="B1863" s="175"/>
      <c r="H1863" s="178"/>
      <c r="I1863" s="178"/>
      <c r="J1863" s="184"/>
      <c r="N1863" s="178"/>
      <c r="O1863" s="178"/>
      <c r="P1863" s="178"/>
      <c r="AN1863" s="458"/>
    </row>
    <row r="1864" spans="2:40" ht="15.75" customHeight="1">
      <c r="B1864" s="175"/>
      <c r="H1864" s="178"/>
      <c r="I1864" s="178"/>
      <c r="J1864" s="184"/>
      <c r="N1864" s="178"/>
      <c r="O1864" s="178"/>
      <c r="P1864" s="178"/>
      <c r="AN1864" s="458"/>
    </row>
    <row r="1865" spans="2:40" ht="15.75" customHeight="1">
      <c r="B1865" s="175"/>
      <c r="H1865" s="178"/>
      <c r="I1865" s="178"/>
      <c r="J1865" s="184"/>
      <c r="N1865" s="178"/>
      <c r="O1865" s="178"/>
      <c r="P1865" s="178"/>
      <c r="AN1865" s="458"/>
    </row>
    <row r="1866" spans="2:40" ht="15.75" customHeight="1">
      <c r="B1866" s="175"/>
      <c r="H1866" s="178"/>
      <c r="I1866" s="178"/>
      <c r="J1866" s="184"/>
      <c r="N1866" s="178"/>
      <c r="O1866" s="178"/>
      <c r="P1866" s="178"/>
      <c r="AN1866" s="458"/>
    </row>
    <row r="1867" spans="2:40" ht="15.75" customHeight="1">
      <c r="B1867" s="175"/>
      <c r="H1867" s="178"/>
      <c r="I1867" s="178"/>
      <c r="J1867" s="184"/>
      <c r="N1867" s="178"/>
      <c r="O1867" s="178"/>
      <c r="P1867" s="178"/>
      <c r="AN1867" s="458"/>
    </row>
    <row r="1868" spans="2:40" ht="15.75" customHeight="1">
      <c r="B1868" s="175"/>
      <c r="H1868" s="178"/>
      <c r="I1868" s="178"/>
      <c r="J1868" s="184"/>
      <c r="N1868" s="178"/>
      <c r="O1868" s="178"/>
      <c r="P1868" s="178"/>
      <c r="AN1868" s="458"/>
    </row>
    <row r="1869" spans="2:40" ht="15.75" customHeight="1">
      <c r="B1869" s="175"/>
      <c r="H1869" s="178"/>
      <c r="I1869" s="178"/>
      <c r="J1869" s="184"/>
      <c r="N1869" s="178"/>
      <c r="O1869" s="178"/>
      <c r="P1869" s="178"/>
      <c r="AN1869" s="458"/>
    </row>
    <row r="1870" spans="2:40" ht="15.75" customHeight="1">
      <c r="B1870" s="175"/>
      <c r="N1870" s="178"/>
      <c r="O1870" s="178"/>
      <c r="P1870" s="178"/>
      <c r="AN1870" s="458"/>
    </row>
    <row r="1871" spans="2:40" ht="15.75" customHeight="1">
      <c r="B1871" s="175"/>
      <c r="N1871" s="178"/>
      <c r="O1871" s="178"/>
      <c r="P1871" s="178"/>
      <c r="AN1871" s="458"/>
    </row>
    <row r="1872" spans="2:40" ht="15.75" customHeight="1">
      <c r="B1872" s="175"/>
      <c r="N1872" s="178"/>
      <c r="O1872" s="178"/>
      <c r="P1872" s="178"/>
      <c r="AN1872" s="458"/>
    </row>
    <row r="1873" spans="2:40" ht="15.75" customHeight="1">
      <c r="B1873" s="175"/>
      <c r="N1873" s="178"/>
      <c r="O1873" s="178"/>
      <c r="P1873" s="178"/>
      <c r="AN1873" s="458"/>
    </row>
    <row r="1874" spans="2:40" ht="15.75" customHeight="1">
      <c r="B1874" s="175"/>
      <c r="H1874" s="178"/>
      <c r="I1874" s="178"/>
      <c r="J1874" s="184"/>
      <c r="N1874" s="178"/>
      <c r="O1874" s="178"/>
      <c r="P1874" s="178"/>
      <c r="AN1874" s="458"/>
    </row>
    <row r="1875" spans="2:40" ht="15.75" customHeight="1">
      <c r="B1875" s="175"/>
      <c r="H1875" s="178"/>
      <c r="I1875" s="178"/>
      <c r="J1875" s="184"/>
      <c r="N1875" s="178"/>
      <c r="O1875" s="178"/>
      <c r="P1875" s="178"/>
      <c r="AN1875" s="458"/>
    </row>
    <row r="1876" spans="2:40" ht="15.75" customHeight="1">
      <c r="B1876" s="175"/>
      <c r="H1876" s="178"/>
      <c r="I1876" s="178"/>
      <c r="J1876" s="184"/>
      <c r="N1876" s="178"/>
      <c r="O1876" s="178"/>
      <c r="P1876" s="178"/>
      <c r="AN1876" s="458"/>
    </row>
    <row r="1877" spans="2:40" ht="15.75" customHeight="1">
      <c r="B1877" s="175"/>
      <c r="H1877" s="178"/>
      <c r="I1877" s="178"/>
      <c r="J1877" s="184"/>
      <c r="N1877" s="178"/>
      <c r="O1877" s="178"/>
      <c r="P1877" s="178"/>
      <c r="AN1877" s="458"/>
    </row>
    <row r="1878" spans="2:40" ht="15.75" customHeight="1">
      <c r="B1878" s="175"/>
      <c r="H1878" s="178"/>
      <c r="I1878" s="178"/>
      <c r="J1878" s="184"/>
      <c r="N1878" s="178"/>
      <c r="O1878" s="178"/>
      <c r="P1878" s="178"/>
      <c r="AN1878" s="458"/>
    </row>
    <row r="1879" spans="2:40" ht="15.75" customHeight="1">
      <c r="B1879" s="175"/>
      <c r="H1879" s="178"/>
      <c r="I1879" s="178"/>
      <c r="J1879" s="184"/>
      <c r="N1879" s="178"/>
      <c r="O1879" s="178"/>
      <c r="P1879" s="178"/>
      <c r="AN1879" s="458"/>
    </row>
    <row r="1880" spans="2:40" ht="15.75" customHeight="1">
      <c r="B1880" s="175"/>
      <c r="H1880" s="178"/>
      <c r="I1880" s="178"/>
      <c r="J1880" s="184"/>
      <c r="N1880" s="178"/>
      <c r="O1880" s="178"/>
      <c r="P1880" s="178"/>
      <c r="AN1880" s="458"/>
    </row>
    <row r="1881" spans="2:40" ht="15.75" customHeight="1">
      <c r="B1881" s="175"/>
      <c r="H1881" s="178"/>
      <c r="I1881" s="178"/>
      <c r="J1881" s="184"/>
      <c r="N1881" s="178"/>
      <c r="O1881" s="178"/>
      <c r="P1881" s="178"/>
      <c r="AN1881" s="458"/>
    </row>
    <row r="1882" spans="2:40" ht="15.75" customHeight="1">
      <c r="B1882" s="175"/>
      <c r="H1882" s="178"/>
      <c r="I1882" s="178"/>
      <c r="J1882" s="184"/>
      <c r="N1882" s="178"/>
      <c r="O1882" s="178"/>
      <c r="P1882" s="178"/>
      <c r="AN1882" s="458"/>
    </row>
    <row r="1883" spans="2:40" ht="15.75" customHeight="1">
      <c r="B1883" s="175"/>
      <c r="H1883" s="178"/>
      <c r="I1883" s="178"/>
      <c r="J1883" s="184"/>
      <c r="N1883" s="178"/>
      <c r="O1883" s="178"/>
      <c r="P1883" s="178"/>
      <c r="AN1883" s="458"/>
    </row>
    <row r="1884" spans="2:40" ht="15.75" customHeight="1">
      <c r="B1884" s="175"/>
      <c r="H1884" s="178"/>
      <c r="I1884" s="178"/>
      <c r="J1884" s="184"/>
      <c r="N1884" s="178"/>
      <c r="O1884" s="178"/>
      <c r="P1884" s="178"/>
      <c r="AN1884" s="458"/>
    </row>
    <row r="1885" spans="2:40" ht="15.75" customHeight="1">
      <c r="B1885" s="175"/>
      <c r="H1885" s="178"/>
      <c r="I1885" s="178"/>
      <c r="J1885" s="184"/>
      <c r="N1885" s="178"/>
      <c r="O1885" s="178"/>
      <c r="P1885" s="178"/>
      <c r="AN1885" s="458"/>
    </row>
    <row r="1886" spans="2:40" ht="15.75" customHeight="1">
      <c r="B1886" s="175"/>
      <c r="H1886" s="178"/>
      <c r="I1886" s="178"/>
      <c r="J1886" s="184"/>
      <c r="N1886" s="178"/>
      <c r="O1886" s="178"/>
      <c r="P1886" s="178"/>
      <c r="AN1886" s="458"/>
    </row>
    <row r="1887" spans="2:40" ht="15.75" customHeight="1">
      <c r="B1887" s="175"/>
      <c r="N1887" s="178"/>
      <c r="O1887" s="178"/>
      <c r="P1887" s="178"/>
      <c r="AN1887" s="458"/>
    </row>
    <row r="1888" spans="2:40" ht="15.75" customHeight="1">
      <c r="B1888" s="175"/>
      <c r="N1888" s="178"/>
      <c r="P1888" s="178"/>
      <c r="AN1888" s="458"/>
    </row>
    <row r="1889" spans="2:40" ht="15.75" customHeight="1">
      <c r="B1889" s="175"/>
      <c r="N1889" s="178"/>
      <c r="P1889" s="178"/>
      <c r="AN1889" s="458"/>
    </row>
    <row r="1890" spans="2:40" ht="15.75" customHeight="1">
      <c r="B1890" s="175"/>
      <c r="N1890" s="178"/>
      <c r="P1890" s="178"/>
      <c r="AN1890" s="458"/>
    </row>
    <row r="1891" spans="2:40" ht="15.75" customHeight="1">
      <c r="B1891" s="175"/>
      <c r="N1891" s="178"/>
      <c r="O1891" s="178"/>
      <c r="P1891" s="178"/>
      <c r="AN1891" s="458"/>
    </row>
    <row r="1892" spans="2:40" ht="15.75" customHeight="1">
      <c r="B1892" s="175"/>
      <c r="N1892" s="178"/>
      <c r="O1892" s="178"/>
      <c r="P1892" s="178"/>
      <c r="AN1892" s="458"/>
    </row>
    <row r="1893" spans="2:40" ht="15.75" customHeight="1">
      <c r="B1893" s="175"/>
      <c r="N1893" s="178"/>
      <c r="O1893" s="178"/>
      <c r="P1893" s="178"/>
      <c r="AN1893" s="458"/>
    </row>
    <row r="1894" spans="2:40" ht="15.75" customHeight="1">
      <c r="B1894" s="175"/>
      <c r="N1894" s="178"/>
      <c r="O1894" s="178"/>
      <c r="P1894" s="178"/>
      <c r="AN1894" s="458"/>
    </row>
    <row r="1895" spans="2:40" ht="15.75" customHeight="1">
      <c r="B1895" s="175"/>
      <c r="N1895" s="178"/>
      <c r="O1895" s="178"/>
      <c r="P1895" s="178"/>
      <c r="AN1895" s="458"/>
    </row>
    <row r="1896" spans="2:40" ht="15.75" customHeight="1">
      <c r="B1896" s="175"/>
      <c r="N1896" s="178"/>
      <c r="O1896" s="178"/>
      <c r="P1896" s="178"/>
      <c r="AN1896" s="458"/>
    </row>
    <row r="1897" spans="2:40" ht="15.75" customHeight="1">
      <c r="B1897" s="175"/>
      <c r="H1897" s="178"/>
      <c r="I1897" s="178"/>
      <c r="J1897" s="184"/>
      <c r="N1897" s="178"/>
      <c r="O1897" s="178"/>
      <c r="P1897" s="178"/>
      <c r="AN1897" s="458"/>
    </row>
    <row r="1898" spans="2:40" ht="15.75" customHeight="1">
      <c r="B1898" s="175"/>
      <c r="H1898" s="178"/>
      <c r="I1898" s="178"/>
      <c r="J1898" s="184"/>
      <c r="N1898" s="178"/>
      <c r="O1898" s="178"/>
      <c r="P1898" s="178"/>
      <c r="AN1898" s="458"/>
    </row>
    <row r="1899" spans="2:40" ht="15.75" customHeight="1">
      <c r="B1899" s="175"/>
      <c r="H1899" s="178"/>
      <c r="I1899" s="178"/>
      <c r="J1899" s="184"/>
      <c r="N1899" s="178"/>
      <c r="O1899" s="178"/>
      <c r="P1899" s="178"/>
      <c r="AN1899" s="458"/>
    </row>
    <row r="1900" spans="2:40" ht="15.75" customHeight="1">
      <c r="B1900" s="175"/>
      <c r="H1900" s="178"/>
      <c r="I1900" s="178"/>
      <c r="J1900" s="184"/>
      <c r="N1900" s="178"/>
      <c r="O1900" s="178"/>
      <c r="P1900" s="178"/>
      <c r="AN1900" s="458"/>
    </row>
    <row r="1901" spans="2:40" ht="15.75" customHeight="1">
      <c r="B1901" s="175"/>
      <c r="H1901" s="178"/>
      <c r="I1901" s="178"/>
      <c r="J1901" s="184"/>
      <c r="N1901" s="178"/>
      <c r="O1901" s="178"/>
      <c r="P1901" s="178"/>
      <c r="AN1901" s="458"/>
    </row>
    <row r="1902" spans="2:40" ht="15.75" customHeight="1">
      <c r="B1902" s="175"/>
      <c r="H1902" s="178"/>
      <c r="I1902" s="178"/>
      <c r="J1902" s="184"/>
      <c r="N1902" s="178"/>
      <c r="O1902" s="178"/>
      <c r="P1902" s="178"/>
      <c r="AN1902" s="458"/>
    </row>
    <row r="1903" spans="2:40" ht="15.75" customHeight="1">
      <c r="B1903" s="175"/>
      <c r="H1903" s="178"/>
      <c r="I1903" s="178"/>
      <c r="J1903" s="184"/>
      <c r="N1903" s="178"/>
      <c r="O1903" s="178"/>
      <c r="P1903" s="178"/>
      <c r="AN1903" s="458"/>
    </row>
    <row r="1904" spans="2:40" ht="15.75" customHeight="1">
      <c r="B1904" s="175"/>
      <c r="H1904" s="178"/>
      <c r="I1904" s="178"/>
      <c r="J1904" s="184"/>
      <c r="N1904" s="178"/>
      <c r="O1904" s="178"/>
      <c r="P1904" s="178"/>
      <c r="AN1904" s="458"/>
    </row>
    <row r="1905" spans="2:40" ht="15.75" customHeight="1">
      <c r="B1905" s="175"/>
      <c r="H1905" s="178"/>
      <c r="I1905" s="178"/>
      <c r="J1905" s="184"/>
      <c r="N1905" s="178"/>
      <c r="O1905" s="178"/>
      <c r="P1905" s="178"/>
      <c r="AN1905" s="458"/>
    </row>
    <row r="1906" spans="2:40" ht="15.75" customHeight="1">
      <c r="B1906" s="175"/>
      <c r="H1906" s="178"/>
      <c r="I1906" s="178"/>
      <c r="J1906" s="184"/>
      <c r="N1906" s="178"/>
      <c r="O1906" s="178"/>
      <c r="P1906" s="178"/>
      <c r="AN1906" s="458"/>
    </row>
    <row r="1907" spans="2:40" ht="15.75" customHeight="1">
      <c r="B1907" s="175"/>
      <c r="H1907" s="178"/>
      <c r="I1907" s="178"/>
      <c r="J1907" s="184"/>
      <c r="N1907" s="178"/>
      <c r="O1907" s="178"/>
      <c r="P1907" s="178"/>
      <c r="AN1907" s="458"/>
    </row>
    <row r="1908" spans="2:40" ht="15.75" customHeight="1">
      <c r="B1908" s="175"/>
      <c r="H1908" s="178"/>
      <c r="I1908" s="178"/>
      <c r="J1908" s="184"/>
      <c r="N1908" s="178"/>
      <c r="O1908" s="178"/>
      <c r="P1908" s="178"/>
      <c r="AN1908" s="458"/>
    </row>
    <row r="1909" spans="2:40" ht="15.75" customHeight="1">
      <c r="B1909" s="175"/>
      <c r="H1909" s="178"/>
      <c r="I1909" s="178"/>
      <c r="J1909" s="184"/>
      <c r="N1909" s="178"/>
      <c r="O1909" s="178"/>
      <c r="P1909" s="178"/>
      <c r="AN1909" s="458"/>
    </row>
    <row r="1910" spans="2:40" ht="15.75" customHeight="1">
      <c r="B1910" s="175"/>
      <c r="H1910" s="178"/>
      <c r="I1910" s="178"/>
      <c r="J1910" s="184"/>
      <c r="N1910" s="178"/>
      <c r="O1910" s="178"/>
      <c r="P1910" s="178"/>
      <c r="AN1910" s="458"/>
    </row>
    <row r="1911" spans="2:40" ht="15.75" customHeight="1">
      <c r="B1911" s="175"/>
      <c r="H1911" s="178"/>
      <c r="I1911" s="178"/>
      <c r="J1911" s="184"/>
      <c r="N1911" s="178"/>
      <c r="O1911" s="178"/>
      <c r="P1911" s="178"/>
      <c r="AN1911" s="458"/>
    </row>
    <row r="1912" spans="2:40" ht="15.75" customHeight="1">
      <c r="B1912" s="175"/>
      <c r="H1912" s="178"/>
      <c r="I1912" s="178"/>
      <c r="J1912" s="184"/>
      <c r="N1912" s="178"/>
      <c r="O1912" s="178"/>
      <c r="P1912" s="178"/>
      <c r="AN1912" s="458"/>
    </row>
    <row r="1913" spans="2:40" ht="15.75" customHeight="1">
      <c r="B1913" s="175"/>
      <c r="H1913" s="178"/>
      <c r="I1913" s="178"/>
      <c r="J1913" s="184"/>
      <c r="N1913" s="178"/>
      <c r="O1913" s="178"/>
      <c r="P1913" s="178"/>
      <c r="AN1913" s="458"/>
    </row>
    <row r="1914" spans="2:40" ht="15.75" customHeight="1">
      <c r="B1914" s="175"/>
      <c r="H1914" s="178"/>
      <c r="I1914" s="178"/>
      <c r="J1914" s="184"/>
      <c r="N1914" s="178"/>
      <c r="O1914" s="178"/>
      <c r="P1914" s="178"/>
      <c r="AN1914" s="458"/>
    </row>
    <row r="1915" spans="2:40" ht="15.75" customHeight="1">
      <c r="B1915" s="175"/>
      <c r="H1915" s="178"/>
      <c r="I1915" s="178"/>
      <c r="J1915" s="184"/>
      <c r="N1915" s="178"/>
      <c r="O1915" s="178"/>
      <c r="P1915" s="178"/>
      <c r="AN1915" s="458"/>
    </row>
    <row r="1916" spans="2:40" ht="15.75" customHeight="1">
      <c r="B1916" s="175"/>
      <c r="H1916" s="178"/>
      <c r="I1916" s="178"/>
      <c r="J1916" s="184"/>
      <c r="N1916" s="178"/>
      <c r="O1916" s="178"/>
      <c r="P1916" s="178"/>
      <c r="AN1916" s="458"/>
    </row>
    <row r="1917" spans="2:40" ht="15.75" customHeight="1">
      <c r="B1917" s="175"/>
      <c r="N1917" s="178"/>
      <c r="AN1917" s="458"/>
    </row>
    <row r="1918" spans="2:40" ht="15.75" customHeight="1">
      <c r="B1918" s="175"/>
      <c r="H1918" s="178"/>
      <c r="I1918" s="178"/>
      <c r="J1918" s="184"/>
      <c r="N1918" s="178"/>
      <c r="O1918" s="178"/>
      <c r="P1918" s="178"/>
      <c r="AN1918" s="458"/>
    </row>
    <row r="1919" spans="2:40" ht="15.75" customHeight="1">
      <c r="B1919" s="175"/>
      <c r="H1919" s="178"/>
      <c r="I1919" s="178"/>
      <c r="J1919" s="184"/>
      <c r="N1919" s="178"/>
      <c r="O1919" s="178"/>
      <c r="P1919" s="178"/>
      <c r="AN1919" s="458"/>
    </row>
    <row r="1920" spans="2:40" ht="15.75" customHeight="1">
      <c r="B1920" s="175"/>
      <c r="H1920" s="178"/>
      <c r="I1920" s="178"/>
      <c r="J1920" s="184"/>
      <c r="N1920" s="178"/>
      <c r="O1920" s="178"/>
      <c r="P1920" s="178"/>
      <c r="AN1920" s="458"/>
    </row>
    <row r="1921" spans="2:40" ht="15.75" customHeight="1">
      <c r="B1921" s="175"/>
      <c r="H1921" s="178"/>
      <c r="I1921" s="178"/>
      <c r="J1921" s="184"/>
      <c r="N1921" s="178"/>
      <c r="O1921" s="178"/>
      <c r="P1921" s="178"/>
      <c r="AN1921" s="458"/>
    </row>
    <row r="1922" spans="2:40" ht="15.75" customHeight="1">
      <c r="B1922" s="175"/>
      <c r="H1922" s="178"/>
      <c r="I1922" s="178"/>
      <c r="J1922" s="184"/>
      <c r="N1922" s="178"/>
      <c r="O1922" s="178"/>
      <c r="P1922" s="178"/>
      <c r="AN1922" s="458"/>
    </row>
    <row r="1923" spans="2:40" ht="15.75" customHeight="1">
      <c r="B1923" s="175"/>
      <c r="H1923" s="178"/>
      <c r="I1923" s="178"/>
      <c r="J1923" s="184"/>
      <c r="N1923" s="178"/>
      <c r="O1923" s="178"/>
      <c r="P1923" s="178"/>
      <c r="AN1923" s="458"/>
    </row>
    <row r="1924" spans="2:40" ht="15.75" customHeight="1">
      <c r="B1924" s="175"/>
      <c r="H1924" s="178"/>
      <c r="I1924" s="178"/>
      <c r="J1924" s="184"/>
      <c r="N1924" s="178"/>
      <c r="O1924" s="178"/>
      <c r="P1924" s="178"/>
      <c r="AN1924" s="458"/>
    </row>
    <row r="1925" spans="2:40" ht="15.75" customHeight="1">
      <c r="B1925" s="175"/>
      <c r="H1925" s="178"/>
      <c r="I1925" s="178"/>
      <c r="J1925" s="184"/>
      <c r="N1925" s="178"/>
      <c r="O1925" s="178"/>
      <c r="P1925" s="178"/>
      <c r="AN1925" s="458"/>
    </row>
    <row r="1926" spans="2:40" ht="15.75" customHeight="1">
      <c r="B1926" s="175"/>
      <c r="H1926" s="178"/>
      <c r="I1926" s="178"/>
      <c r="J1926" s="184"/>
      <c r="N1926" s="178"/>
      <c r="O1926" s="178"/>
      <c r="P1926" s="178"/>
      <c r="AN1926" s="458"/>
    </row>
    <row r="1927" spans="2:40" ht="15.75" customHeight="1">
      <c r="B1927" s="175"/>
      <c r="H1927" s="178"/>
      <c r="I1927" s="178"/>
      <c r="J1927" s="184"/>
      <c r="N1927" s="178"/>
      <c r="O1927" s="178"/>
      <c r="P1927" s="178"/>
      <c r="AN1927" s="458"/>
    </row>
    <row r="1928" spans="2:40" ht="15.75" customHeight="1">
      <c r="B1928" s="175"/>
      <c r="H1928" s="178"/>
      <c r="I1928" s="178"/>
      <c r="J1928" s="184"/>
      <c r="N1928" s="178"/>
      <c r="O1928" s="178"/>
      <c r="P1928" s="178"/>
      <c r="AN1928" s="458"/>
    </row>
    <row r="1929" spans="2:40" ht="15.75" customHeight="1">
      <c r="B1929" s="175"/>
      <c r="H1929" s="178"/>
      <c r="I1929" s="178"/>
      <c r="J1929" s="184"/>
      <c r="N1929" s="178"/>
      <c r="O1929" s="178"/>
      <c r="P1929" s="178"/>
      <c r="AN1929" s="458"/>
    </row>
    <row r="1930" spans="2:40" ht="15.75" customHeight="1">
      <c r="B1930" s="175"/>
      <c r="N1930" s="178"/>
      <c r="O1930" s="178"/>
      <c r="P1930" s="178"/>
      <c r="AN1930" s="458"/>
    </row>
    <row r="1931" spans="2:40" ht="15.75" customHeight="1">
      <c r="B1931" s="175"/>
      <c r="H1931" s="178"/>
      <c r="I1931" s="178"/>
      <c r="J1931" s="184"/>
      <c r="N1931" s="178"/>
      <c r="O1931" s="178"/>
      <c r="P1931" s="178"/>
      <c r="AN1931" s="458"/>
    </row>
    <row r="1932" spans="2:40" ht="15.75" customHeight="1">
      <c r="B1932" s="175"/>
      <c r="H1932" s="178"/>
      <c r="I1932" s="178"/>
      <c r="J1932" s="184"/>
      <c r="N1932" s="178"/>
      <c r="O1932" s="178"/>
      <c r="P1932" s="178"/>
      <c r="AN1932" s="458"/>
    </row>
    <row r="1933" spans="2:40" ht="15.75" customHeight="1">
      <c r="B1933" s="175"/>
      <c r="H1933" s="178"/>
      <c r="I1933" s="178"/>
      <c r="J1933" s="184"/>
      <c r="N1933" s="178"/>
      <c r="O1933" s="178"/>
      <c r="P1933" s="178"/>
      <c r="AN1933" s="458"/>
    </row>
    <row r="1934" spans="2:40" ht="15.75" customHeight="1">
      <c r="B1934" s="175"/>
      <c r="H1934" s="178"/>
      <c r="I1934" s="178"/>
      <c r="J1934" s="184"/>
      <c r="N1934" s="178"/>
      <c r="O1934" s="178"/>
      <c r="P1934" s="178"/>
      <c r="AN1934" s="458"/>
    </row>
    <row r="1935" spans="2:40" ht="15.75" customHeight="1">
      <c r="B1935" s="175"/>
      <c r="H1935" s="178"/>
      <c r="I1935" s="178"/>
      <c r="J1935" s="184"/>
      <c r="N1935" s="178"/>
      <c r="O1935" s="178"/>
      <c r="P1935" s="178"/>
      <c r="AN1935" s="458"/>
    </row>
    <row r="1936" spans="2:40" ht="15.75" customHeight="1">
      <c r="B1936" s="175"/>
      <c r="H1936" s="178"/>
      <c r="I1936" s="178"/>
      <c r="J1936" s="184"/>
      <c r="N1936" s="178"/>
      <c r="O1936" s="178"/>
      <c r="P1936" s="178"/>
      <c r="AN1936" s="458"/>
    </row>
    <row r="1937" spans="2:40" ht="15.75" customHeight="1">
      <c r="B1937" s="175"/>
      <c r="H1937" s="178"/>
      <c r="I1937" s="178"/>
      <c r="J1937" s="184"/>
      <c r="N1937" s="178"/>
      <c r="O1937" s="178"/>
      <c r="P1937" s="178"/>
      <c r="AN1937" s="458"/>
    </row>
    <row r="1938" spans="2:40" ht="15.75" customHeight="1">
      <c r="B1938" s="175"/>
      <c r="H1938" s="178"/>
      <c r="I1938" s="178"/>
      <c r="J1938" s="184"/>
      <c r="N1938" s="178"/>
      <c r="O1938" s="178"/>
      <c r="P1938" s="178"/>
      <c r="AN1938" s="458"/>
    </row>
    <row r="1939" spans="2:40" ht="15.75" customHeight="1">
      <c r="B1939" s="175"/>
      <c r="H1939" s="178"/>
      <c r="I1939" s="178"/>
      <c r="J1939" s="184"/>
      <c r="N1939" s="178"/>
      <c r="O1939" s="178"/>
      <c r="P1939" s="178"/>
      <c r="AN1939" s="458"/>
    </row>
    <row r="1940" spans="2:40" ht="15.75" customHeight="1">
      <c r="B1940" s="175"/>
      <c r="H1940" s="178"/>
      <c r="I1940" s="178"/>
      <c r="J1940" s="184"/>
      <c r="N1940" s="178"/>
      <c r="O1940" s="178"/>
      <c r="P1940" s="178"/>
      <c r="AN1940" s="458"/>
    </row>
    <row r="1941" spans="2:40" ht="15.75" customHeight="1">
      <c r="B1941" s="175"/>
      <c r="H1941" s="178"/>
      <c r="I1941" s="178"/>
      <c r="J1941" s="184"/>
      <c r="N1941" s="178"/>
      <c r="O1941" s="178"/>
      <c r="P1941" s="178"/>
      <c r="AN1941" s="458"/>
    </row>
    <row r="1942" spans="2:40" ht="15.75" customHeight="1">
      <c r="B1942" s="175"/>
      <c r="H1942" s="178"/>
      <c r="I1942" s="178"/>
      <c r="J1942" s="184"/>
      <c r="N1942" s="178"/>
      <c r="O1942" s="178"/>
      <c r="P1942" s="178"/>
      <c r="AN1942" s="458"/>
    </row>
    <row r="1943" spans="2:40" ht="15.75" customHeight="1">
      <c r="B1943" s="175"/>
      <c r="H1943" s="178"/>
      <c r="I1943" s="178"/>
      <c r="J1943" s="184"/>
      <c r="N1943" s="178"/>
      <c r="O1943" s="178"/>
      <c r="P1943" s="178"/>
      <c r="AN1943" s="458"/>
    </row>
    <row r="1944" spans="2:40" ht="15.75" customHeight="1">
      <c r="B1944" s="175"/>
      <c r="H1944" s="178"/>
      <c r="I1944" s="178"/>
      <c r="J1944" s="184"/>
      <c r="N1944" s="178"/>
      <c r="O1944" s="178"/>
      <c r="P1944" s="178"/>
      <c r="AN1944" s="458"/>
    </row>
    <row r="1945" spans="2:40" ht="15.75" customHeight="1">
      <c r="AN1945" s="458"/>
    </row>
    <row r="1946" spans="2:40" ht="15.75" customHeight="1">
      <c r="B1946" s="175"/>
      <c r="H1946" s="178"/>
      <c r="I1946" s="178"/>
      <c r="J1946" s="184"/>
      <c r="N1946" s="178"/>
      <c r="O1946" s="178"/>
      <c r="P1946" s="178"/>
      <c r="AN1946" s="458"/>
    </row>
    <row r="1947" spans="2:40" ht="15.75" customHeight="1">
      <c r="B1947" s="175"/>
      <c r="H1947" s="178"/>
      <c r="I1947" s="178"/>
      <c r="J1947" s="184"/>
      <c r="N1947" s="178"/>
      <c r="O1947" s="178"/>
      <c r="P1947" s="178"/>
      <c r="AN1947" s="458"/>
    </row>
    <row r="1948" spans="2:40" ht="15.75" customHeight="1">
      <c r="B1948" s="175"/>
      <c r="H1948" s="178"/>
      <c r="I1948" s="178"/>
      <c r="J1948" s="184"/>
      <c r="N1948" s="178"/>
      <c r="O1948" s="178"/>
      <c r="P1948" s="178"/>
      <c r="AN1948" s="458"/>
    </row>
    <row r="1949" spans="2:40" ht="15.75" customHeight="1">
      <c r="B1949" s="175"/>
      <c r="H1949" s="178"/>
      <c r="I1949" s="178"/>
      <c r="J1949" s="184"/>
      <c r="N1949" s="178"/>
      <c r="O1949" s="178"/>
      <c r="P1949" s="178"/>
      <c r="AN1949" s="458"/>
    </row>
    <row r="1950" spans="2:40" ht="15.75" customHeight="1">
      <c r="B1950" s="175"/>
      <c r="H1950" s="178"/>
      <c r="I1950" s="178"/>
      <c r="J1950" s="184"/>
      <c r="N1950" s="178"/>
      <c r="O1950" s="178"/>
      <c r="P1950" s="178"/>
      <c r="AN1950" s="458"/>
    </row>
    <row r="1951" spans="2:40" ht="15.75" customHeight="1">
      <c r="B1951" s="175"/>
      <c r="H1951" s="178"/>
      <c r="I1951" s="178"/>
      <c r="J1951" s="184"/>
      <c r="N1951" s="178"/>
      <c r="O1951" s="178"/>
      <c r="P1951" s="178"/>
      <c r="AN1951" s="458"/>
    </row>
    <row r="1952" spans="2:40" ht="15.75" customHeight="1">
      <c r="B1952" s="175"/>
      <c r="H1952" s="178"/>
      <c r="I1952" s="178"/>
      <c r="J1952" s="184"/>
      <c r="N1952" s="178"/>
      <c r="O1952" s="178"/>
      <c r="P1952" s="178"/>
      <c r="AN1952" s="458"/>
    </row>
    <row r="1953" spans="2:40" ht="15.75" customHeight="1">
      <c r="B1953" s="175"/>
      <c r="H1953" s="178"/>
      <c r="I1953" s="178"/>
      <c r="J1953" s="184"/>
      <c r="N1953" s="178"/>
      <c r="O1953" s="178"/>
      <c r="P1953" s="178"/>
      <c r="AN1953" s="458"/>
    </row>
    <row r="1954" spans="2:40" ht="15.75" customHeight="1">
      <c r="B1954" s="175"/>
      <c r="H1954" s="178"/>
      <c r="I1954" s="178"/>
      <c r="J1954" s="184"/>
      <c r="N1954" s="178"/>
      <c r="O1954" s="178"/>
      <c r="P1954" s="178"/>
      <c r="AN1954" s="458"/>
    </row>
    <row r="1955" spans="2:40" ht="15.75" customHeight="1">
      <c r="B1955" s="175"/>
      <c r="H1955" s="178"/>
      <c r="I1955" s="178"/>
      <c r="J1955" s="184"/>
      <c r="N1955" s="178"/>
      <c r="O1955" s="178"/>
      <c r="P1955" s="178"/>
      <c r="AN1955" s="458"/>
    </row>
    <row r="1956" spans="2:40" ht="15.75" customHeight="1">
      <c r="B1956" s="175"/>
      <c r="H1956" s="178"/>
      <c r="I1956" s="178"/>
      <c r="J1956" s="184"/>
      <c r="N1956" s="178"/>
      <c r="O1956" s="178"/>
      <c r="P1956" s="178"/>
      <c r="AN1956" s="458"/>
    </row>
    <row r="1957" spans="2:40" ht="15.75" customHeight="1">
      <c r="B1957" s="175"/>
      <c r="H1957" s="178"/>
      <c r="I1957" s="178"/>
      <c r="J1957" s="184"/>
      <c r="N1957" s="178"/>
      <c r="O1957" s="178"/>
      <c r="P1957" s="178"/>
      <c r="AN1957" s="458"/>
    </row>
    <row r="1958" spans="2:40" ht="15.75" customHeight="1">
      <c r="B1958" s="175"/>
      <c r="H1958" s="178"/>
      <c r="I1958" s="178"/>
      <c r="J1958" s="184"/>
      <c r="N1958" s="178"/>
      <c r="O1958" s="178"/>
      <c r="P1958" s="178"/>
      <c r="AN1958" s="458"/>
    </row>
    <row r="1959" spans="2:40" ht="15.75" customHeight="1">
      <c r="B1959" s="175"/>
      <c r="H1959" s="178"/>
      <c r="I1959" s="178"/>
      <c r="J1959" s="184"/>
      <c r="N1959" s="178"/>
      <c r="O1959" s="178"/>
      <c r="P1959" s="178"/>
      <c r="AN1959" s="458"/>
    </row>
    <row r="1960" spans="2:40" ht="15.75" customHeight="1">
      <c r="B1960" s="175"/>
      <c r="H1960" s="178"/>
      <c r="I1960" s="178"/>
      <c r="J1960" s="184"/>
      <c r="N1960" s="178"/>
      <c r="O1960" s="178"/>
      <c r="P1960" s="178"/>
      <c r="AN1960" s="458"/>
    </row>
    <row r="1961" spans="2:40" ht="15.75" customHeight="1">
      <c r="B1961" s="175"/>
      <c r="H1961" s="178"/>
      <c r="I1961" s="178"/>
      <c r="J1961" s="184"/>
      <c r="N1961" s="178"/>
      <c r="O1961" s="178"/>
      <c r="P1961" s="178"/>
      <c r="AN1961" s="458"/>
    </row>
    <row r="1962" spans="2:40" ht="15.75" customHeight="1">
      <c r="B1962" s="175"/>
      <c r="H1962" s="178"/>
      <c r="I1962" s="178"/>
      <c r="J1962" s="184"/>
      <c r="N1962" s="178"/>
      <c r="O1962" s="178"/>
      <c r="P1962" s="178"/>
      <c r="AN1962" s="458"/>
    </row>
    <row r="1963" spans="2:40" ht="15.75" customHeight="1">
      <c r="B1963" s="175"/>
      <c r="H1963" s="178"/>
      <c r="I1963" s="178"/>
      <c r="J1963" s="184"/>
      <c r="N1963" s="178"/>
      <c r="O1963" s="178"/>
      <c r="P1963" s="178"/>
      <c r="AN1963" s="458"/>
    </row>
    <row r="1964" spans="2:40" ht="15.75" customHeight="1">
      <c r="B1964" s="175"/>
      <c r="H1964" s="178"/>
      <c r="I1964" s="178"/>
      <c r="J1964" s="184"/>
      <c r="N1964" s="178"/>
      <c r="O1964" s="178"/>
      <c r="P1964" s="178"/>
      <c r="AN1964" s="458"/>
    </row>
    <row r="1965" spans="2:40" ht="15.75" customHeight="1">
      <c r="B1965" s="175"/>
      <c r="H1965" s="178"/>
      <c r="I1965" s="178"/>
      <c r="J1965" s="184"/>
      <c r="N1965" s="178"/>
      <c r="O1965" s="178"/>
      <c r="P1965" s="178"/>
      <c r="AN1965" s="458"/>
    </row>
    <row r="1966" spans="2:40" ht="15.75" customHeight="1">
      <c r="B1966" s="175"/>
      <c r="H1966" s="178"/>
      <c r="I1966" s="178"/>
      <c r="J1966" s="184"/>
      <c r="N1966" s="178"/>
      <c r="O1966" s="178"/>
      <c r="P1966" s="178"/>
      <c r="AN1966" s="458"/>
    </row>
    <row r="1967" spans="2:40" ht="15.75" customHeight="1">
      <c r="B1967" s="175"/>
      <c r="H1967" s="178"/>
      <c r="I1967" s="178"/>
      <c r="J1967" s="184"/>
      <c r="N1967" s="178"/>
      <c r="O1967" s="178"/>
      <c r="P1967" s="178"/>
      <c r="AN1967" s="458"/>
    </row>
    <row r="1968" spans="2:40" ht="15.75" customHeight="1">
      <c r="B1968" s="175"/>
      <c r="H1968" s="178"/>
      <c r="I1968" s="178"/>
      <c r="J1968" s="184"/>
      <c r="N1968" s="178"/>
      <c r="O1968" s="178"/>
      <c r="P1968" s="178"/>
      <c r="AN1968" s="458"/>
    </row>
    <row r="1969" spans="2:40" ht="15.75" customHeight="1">
      <c r="B1969" s="175"/>
      <c r="H1969" s="178"/>
      <c r="I1969" s="178"/>
      <c r="J1969" s="184"/>
      <c r="N1969" s="178"/>
      <c r="O1969" s="178"/>
      <c r="P1969" s="178"/>
      <c r="AN1969" s="458"/>
    </row>
    <row r="1970" spans="2:40" ht="15.75" customHeight="1">
      <c r="B1970" s="175"/>
      <c r="H1970" s="178"/>
      <c r="I1970" s="178"/>
      <c r="J1970" s="184"/>
      <c r="N1970" s="178"/>
      <c r="O1970" s="178"/>
      <c r="P1970" s="178"/>
      <c r="AN1970" s="458"/>
    </row>
    <row r="1971" spans="2:40" ht="15.75" customHeight="1">
      <c r="B1971" s="175"/>
      <c r="H1971" s="178"/>
      <c r="I1971" s="178"/>
      <c r="J1971" s="184"/>
      <c r="N1971" s="178"/>
      <c r="O1971" s="178"/>
      <c r="P1971" s="178"/>
      <c r="AN1971" s="458"/>
    </row>
    <row r="1972" spans="2:40" ht="15.75" customHeight="1">
      <c r="B1972" s="175"/>
      <c r="H1972" s="178"/>
      <c r="I1972" s="178"/>
      <c r="J1972" s="184"/>
      <c r="N1972" s="178"/>
      <c r="O1972" s="178"/>
      <c r="P1972" s="178"/>
      <c r="AN1972" s="458"/>
    </row>
    <row r="1973" spans="2:40" ht="15.75" customHeight="1">
      <c r="B1973" s="175"/>
      <c r="H1973" s="178"/>
      <c r="I1973" s="178"/>
      <c r="J1973" s="184"/>
      <c r="N1973" s="178"/>
      <c r="O1973" s="178"/>
      <c r="P1973" s="178"/>
      <c r="AN1973" s="458"/>
    </row>
    <row r="1974" spans="2:40" ht="15.75" customHeight="1">
      <c r="B1974" s="175"/>
      <c r="H1974" s="178"/>
      <c r="I1974" s="178"/>
      <c r="J1974" s="184"/>
      <c r="N1974" s="178"/>
      <c r="O1974" s="178"/>
      <c r="P1974" s="178"/>
      <c r="AN1974" s="458"/>
    </row>
    <row r="1975" spans="2:40" ht="15.75" customHeight="1">
      <c r="B1975" s="175"/>
      <c r="H1975" s="178"/>
      <c r="I1975" s="178"/>
      <c r="J1975" s="184"/>
      <c r="N1975" s="178"/>
      <c r="O1975" s="178"/>
      <c r="P1975" s="178"/>
      <c r="AN1975" s="458"/>
    </row>
    <row r="1976" spans="2:40" ht="15.75" customHeight="1">
      <c r="B1976" s="175"/>
      <c r="H1976" s="178"/>
      <c r="I1976" s="178"/>
      <c r="J1976" s="184"/>
      <c r="N1976" s="178"/>
      <c r="O1976" s="178"/>
      <c r="P1976" s="178"/>
      <c r="AN1976" s="458"/>
    </row>
    <row r="1977" spans="2:40" ht="15.75" customHeight="1">
      <c r="B1977" s="175"/>
      <c r="H1977" s="178"/>
      <c r="I1977" s="178"/>
      <c r="J1977" s="184"/>
      <c r="N1977" s="178"/>
      <c r="O1977" s="178"/>
      <c r="P1977" s="178"/>
      <c r="AN1977" s="458"/>
    </row>
    <row r="1978" spans="2:40" ht="15.75" customHeight="1">
      <c r="B1978" s="175"/>
      <c r="H1978" s="178"/>
      <c r="I1978" s="178"/>
      <c r="J1978" s="184"/>
      <c r="N1978" s="178"/>
      <c r="O1978" s="178"/>
      <c r="P1978" s="178"/>
      <c r="AN1978" s="458"/>
    </row>
    <row r="1979" spans="2:40" ht="15.75" customHeight="1">
      <c r="B1979" s="175"/>
      <c r="H1979" s="178"/>
      <c r="I1979" s="178"/>
      <c r="J1979" s="184"/>
      <c r="N1979" s="178"/>
      <c r="O1979" s="178"/>
      <c r="P1979" s="178"/>
      <c r="AN1979" s="458"/>
    </row>
    <row r="1980" spans="2:40" ht="15.75" customHeight="1">
      <c r="B1980" s="175"/>
      <c r="H1980" s="178"/>
      <c r="I1980" s="178"/>
      <c r="J1980" s="184"/>
      <c r="N1980" s="178"/>
      <c r="O1980" s="178"/>
      <c r="P1980" s="178"/>
      <c r="AN1980" s="458"/>
    </row>
    <row r="1981" spans="2:40" ht="15.75" customHeight="1">
      <c r="B1981" s="175"/>
      <c r="H1981" s="178"/>
      <c r="I1981" s="178"/>
      <c r="J1981" s="184"/>
      <c r="N1981" s="178"/>
      <c r="O1981" s="178"/>
      <c r="P1981" s="178"/>
      <c r="AN1981" s="458"/>
    </row>
    <row r="1982" spans="2:40" ht="15.75" customHeight="1">
      <c r="B1982" s="175"/>
      <c r="H1982" s="178"/>
      <c r="I1982" s="178"/>
      <c r="J1982" s="184"/>
      <c r="N1982" s="178"/>
      <c r="O1982" s="178"/>
      <c r="P1982" s="178"/>
      <c r="AN1982" s="458"/>
    </row>
    <row r="1983" spans="2:40" ht="15.75" customHeight="1">
      <c r="B1983" s="175"/>
      <c r="H1983" s="178"/>
      <c r="I1983" s="178"/>
      <c r="J1983" s="184"/>
      <c r="N1983" s="178"/>
      <c r="O1983" s="178"/>
      <c r="P1983" s="178"/>
      <c r="AN1983" s="458"/>
    </row>
    <row r="1984" spans="2:40" ht="15.75" customHeight="1">
      <c r="B1984" s="175"/>
      <c r="H1984" s="178"/>
      <c r="I1984" s="178"/>
      <c r="J1984" s="184"/>
      <c r="N1984" s="178"/>
      <c r="O1984" s="178"/>
      <c r="P1984" s="178"/>
      <c r="AN1984" s="458"/>
    </row>
    <row r="1985" spans="2:40" ht="15.75" customHeight="1">
      <c r="B1985" s="175"/>
      <c r="H1985" s="178"/>
      <c r="I1985" s="178"/>
      <c r="J1985" s="184"/>
      <c r="N1985" s="178"/>
      <c r="O1985" s="178"/>
      <c r="P1985" s="178"/>
      <c r="AN1985" s="458"/>
    </row>
    <row r="1986" spans="2:40" ht="15.75" customHeight="1">
      <c r="B1986" s="175"/>
      <c r="H1986" s="178"/>
      <c r="I1986" s="178"/>
      <c r="J1986" s="184"/>
      <c r="N1986" s="178"/>
      <c r="O1986" s="178"/>
      <c r="P1986" s="178"/>
      <c r="AN1986" s="458"/>
    </row>
    <row r="1987" spans="2:40" ht="15.75" customHeight="1">
      <c r="B1987" s="175"/>
      <c r="H1987" s="178"/>
      <c r="I1987" s="178"/>
      <c r="J1987" s="184"/>
      <c r="N1987" s="178"/>
      <c r="O1987" s="178"/>
      <c r="P1987" s="178"/>
      <c r="AN1987" s="458"/>
    </row>
    <row r="1988" spans="2:40" ht="15.75" customHeight="1">
      <c r="B1988" s="175"/>
      <c r="H1988" s="178"/>
      <c r="I1988" s="178"/>
      <c r="J1988" s="184"/>
      <c r="N1988" s="178"/>
      <c r="O1988" s="178"/>
      <c r="P1988" s="178"/>
      <c r="AN1988" s="458"/>
    </row>
    <row r="1989" spans="2:40" ht="15.75" customHeight="1">
      <c r="B1989" s="175"/>
      <c r="H1989" s="178"/>
      <c r="I1989" s="178"/>
      <c r="J1989" s="184"/>
      <c r="N1989" s="178"/>
      <c r="O1989" s="178"/>
      <c r="P1989" s="178"/>
      <c r="AN1989" s="458"/>
    </row>
    <row r="1990" spans="2:40" ht="15.75" customHeight="1">
      <c r="B1990" s="175"/>
      <c r="H1990" s="178"/>
      <c r="I1990" s="178"/>
      <c r="J1990" s="184"/>
      <c r="N1990" s="178"/>
      <c r="O1990" s="178"/>
      <c r="P1990" s="178"/>
      <c r="AN1990" s="458"/>
    </row>
    <row r="1991" spans="2:40" ht="15.75" customHeight="1">
      <c r="B1991" s="175"/>
      <c r="H1991" s="178"/>
      <c r="I1991" s="178"/>
      <c r="J1991" s="184"/>
      <c r="N1991" s="178"/>
      <c r="O1991" s="178"/>
      <c r="P1991" s="178"/>
      <c r="AN1991" s="458"/>
    </row>
    <row r="1992" spans="2:40" ht="15.75" customHeight="1">
      <c r="B1992" s="175"/>
      <c r="H1992" s="178"/>
      <c r="I1992" s="178"/>
      <c r="J1992" s="184"/>
      <c r="N1992" s="178"/>
      <c r="O1992" s="178"/>
      <c r="P1992" s="178"/>
      <c r="AN1992" s="458"/>
    </row>
    <row r="1993" spans="2:40" ht="15.75" customHeight="1">
      <c r="B1993" s="175"/>
      <c r="H1993" s="178"/>
      <c r="I1993" s="178"/>
      <c r="J1993" s="184"/>
      <c r="N1993" s="178"/>
      <c r="O1993" s="178"/>
      <c r="P1993" s="178"/>
      <c r="AN1993" s="458"/>
    </row>
    <row r="1994" spans="2:40" ht="15.75" customHeight="1">
      <c r="B1994" s="175"/>
      <c r="H1994" s="178"/>
      <c r="I1994" s="178"/>
      <c r="J1994" s="184"/>
      <c r="N1994" s="178"/>
      <c r="O1994" s="178"/>
      <c r="P1994" s="178"/>
      <c r="AN1994" s="458"/>
    </row>
    <row r="1995" spans="2:40" ht="15.75" customHeight="1">
      <c r="B1995" s="175"/>
      <c r="H1995" s="178"/>
      <c r="I1995" s="178"/>
      <c r="J1995" s="184"/>
      <c r="N1995" s="178"/>
      <c r="O1995" s="178"/>
      <c r="P1995" s="178"/>
      <c r="AN1995" s="458"/>
    </row>
    <row r="1996" spans="2:40" ht="15.75" customHeight="1">
      <c r="B1996" s="175"/>
      <c r="H1996" s="178"/>
      <c r="I1996" s="178"/>
      <c r="J1996" s="184"/>
      <c r="N1996" s="178"/>
      <c r="O1996" s="178"/>
      <c r="P1996" s="178"/>
      <c r="AN1996" s="458"/>
    </row>
    <row r="1997" spans="2:40" ht="15.75" customHeight="1">
      <c r="B1997" s="175"/>
      <c r="H1997" s="178"/>
      <c r="I1997" s="178"/>
      <c r="J1997" s="184"/>
      <c r="N1997" s="178"/>
      <c r="O1997" s="178"/>
      <c r="P1997" s="178"/>
      <c r="AN1997" s="458"/>
    </row>
    <row r="1998" spans="2:40" ht="15.75" customHeight="1">
      <c r="B1998" s="175"/>
      <c r="H1998" s="178"/>
      <c r="I1998" s="178"/>
      <c r="J1998" s="184"/>
      <c r="N1998" s="178"/>
      <c r="O1998" s="178"/>
      <c r="P1998" s="178"/>
      <c r="AN1998" s="458"/>
    </row>
    <row r="1999" spans="2:40" ht="15.75" customHeight="1">
      <c r="B1999" s="175"/>
      <c r="H1999" s="178"/>
      <c r="I1999" s="178"/>
      <c r="J1999" s="184"/>
      <c r="N1999" s="178"/>
      <c r="O1999" s="178"/>
      <c r="P1999" s="178"/>
      <c r="AN1999" s="458"/>
    </row>
    <row r="2000" spans="2:40" ht="15.75" customHeight="1">
      <c r="B2000" s="175"/>
      <c r="H2000" s="178"/>
      <c r="I2000" s="178"/>
      <c r="J2000" s="184"/>
      <c r="N2000" s="178"/>
      <c r="O2000" s="178"/>
      <c r="P2000" s="178"/>
      <c r="AN2000" s="458"/>
    </row>
    <row r="2001" spans="2:40" ht="15.75" customHeight="1">
      <c r="B2001" s="175"/>
      <c r="H2001" s="178"/>
      <c r="I2001" s="178"/>
      <c r="J2001" s="184"/>
      <c r="N2001" s="178"/>
      <c r="O2001" s="178"/>
      <c r="P2001" s="178"/>
      <c r="AN2001" s="458"/>
    </row>
    <row r="2002" spans="2:40" ht="15.75" customHeight="1">
      <c r="B2002" s="175"/>
      <c r="H2002" s="178"/>
      <c r="I2002" s="178"/>
      <c r="J2002" s="184"/>
      <c r="N2002" s="178"/>
      <c r="O2002" s="178"/>
      <c r="P2002" s="178"/>
      <c r="AN2002" s="458"/>
    </row>
    <row r="2003" spans="2:40" ht="15.75" customHeight="1">
      <c r="B2003" s="175"/>
      <c r="H2003" s="178"/>
      <c r="I2003" s="178"/>
      <c r="J2003" s="184"/>
      <c r="N2003" s="178"/>
      <c r="O2003" s="178"/>
      <c r="P2003" s="178"/>
      <c r="AN2003" s="458"/>
    </row>
    <row r="2004" spans="2:40" ht="15.75" customHeight="1">
      <c r="B2004" s="175"/>
      <c r="H2004" s="178"/>
      <c r="I2004" s="178"/>
      <c r="J2004" s="184"/>
      <c r="N2004" s="178"/>
      <c r="O2004" s="178"/>
      <c r="P2004" s="178"/>
      <c r="AN2004" s="458"/>
    </row>
    <row r="2005" spans="2:40" ht="15.75" customHeight="1">
      <c r="B2005" s="175"/>
      <c r="H2005" s="178"/>
      <c r="I2005" s="178"/>
      <c r="J2005" s="184"/>
      <c r="N2005" s="178"/>
      <c r="O2005" s="178"/>
      <c r="P2005" s="178"/>
      <c r="AN2005" s="458"/>
    </row>
    <row r="2006" spans="2:40" ht="15.75" customHeight="1">
      <c r="B2006" s="175"/>
      <c r="H2006" s="178"/>
      <c r="I2006" s="178"/>
      <c r="J2006" s="184"/>
      <c r="N2006" s="178"/>
      <c r="O2006" s="178"/>
      <c r="P2006" s="178"/>
      <c r="AN2006" s="458"/>
    </row>
    <row r="2007" spans="2:40" ht="15.75" customHeight="1">
      <c r="B2007" s="175"/>
      <c r="H2007" s="178"/>
      <c r="I2007" s="178"/>
      <c r="J2007" s="184"/>
      <c r="N2007" s="178"/>
      <c r="O2007" s="178"/>
      <c r="P2007" s="178"/>
      <c r="AN2007" s="458"/>
    </row>
    <row r="2008" spans="2:40" ht="15.75" customHeight="1">
      <c r="B2008" s="175"/>
      <c r="H2008" s="178"/>
      <c r="I2008" s="178"/>
      <c r="J2008" s="184"/>
      <c r="N2008" s="178"/>
      <c r="O2008" s="178"/>
      <c r="P2008" s="178"/>
      <c r="AN2008" s="458"/>
    </row>
    <row r="2009" spans="2:40" ht="15.75" customHeight="1">
      <c r="B2009" s="175"/>
      <c r="H2009" s="178"/>
      <c r="I2009" s="178"/>
      <c r="J2009" s="184"/>
      <c r="N2009" s="178"/>
      <c r="O2009" s="178"/>
      <c r="P2009" s="178"/>
      <c r="AN2009" s="458"/>
    </row>
    <row r="2010" spans="2:40" ht="15.75" customHeight="1">
      <c r="B2010" s="175"/>
      <c r="H2010" s="178"/>
      <c r="I2010" s="178"/>
      <c r="J2010" s="184"/>
      <c r="N2010" s="178"/>
      <c r="O2010" s="178"/>
      <c r="P2010" s="178"/>
      <c r="AN2010" s="458"/>
    </row>
    <row r="2011" spans="2:40" ht="15.75" customHeight="1">
      <c r="B2011" s="175"/>
      <c r="H2011" s="178"/>
      <c r="I2011" s="178"/>
      <c r="J2011" s="184"/>
      <c r="N2011" s="178"/>
      <c r="O2011" s="178"/>
      <c r="P2011" s="178"/>
      <c r="AN2011" s="458"/>
    </row>
    <row r="2012" spans="2:40" ht="15.75" customHeight="1">
      <c r="B2012" s="175"/>
      <c r="H2012" s="178"/>
      <c r="I2012" s="178"/>
      <c r="J2012" s="184"/>
      <c r="N2012" s="178"/>
      <c r="O2012" s="178"/>
      <c r="P2012" s="178"/>
      <c r="AN2012" s="458"/>
    </row>
    <row r="2013" spans="2:40" ht="15.75" customHeight="1">
      <c r="B2013" s="175"/>
      <c r="H2013" s="178"/>
      <c r="I2013" s="178"/>
      <c r="J2013" s="184"/>
      <c r="N2013" s="178"/>
      <c r="O2013" s="178"/>
      <c r="P2013" s="178"/>
      <c r="AN2013" s="458"/>
    </row>
    <row r="2014" spans="2:40" ht="15.75" customHeight="1">
      <c r="B2014" s="175"/>
      <c r="H2014" s="178"/>
      <c r="I2014" s="178"/>
      <c r="J2014" s="184"/>
      <c r="N2014" s="178"/>
      <c r="O2014" s="178"/>
      <c r="P2014" s="178"/>
      <c r="AN2014" s="458"/>
    </row>
    <row r="2015" spans="2:40" ht="15.75" customHeight="1">
      <c r="B2015" s="175"/>
      <c r="H2015" s="178"/>
      <c r="I2015" s="178"/>
      <c r="J2015" s="184"/>
      <c r="N2015" s="178"/>
      <c r="O2015" s="178"/>
      <c r="P2015" s="178"/>
      <c r="AN2015" s="458"/>
    </row>
    <row r="2016" spans="2:40" ht="15.75" customHeight="1">
      <c r="B2016" s="175"/>
      <c r="H2016" s="178"/>
      <c r="I2016" s="178"/>
      <c r="J2016" s="184"/>
      <c r="N2016" s="178"/>
      <c r="O2016" s="178"/>
      <c r="P2016" s="178"/>
      <c r="AN2016" s="458"/>
    </row>
    <row r="2017" spans="2:40" ht="15.75" customHeight="1">
      <c r="B2017" s="175"/>
      <c r="H2017" s="178"/>
      <c r="I2017" s="178"/>
      <c r="J2017" s="184"/>
      <c r="N2017" s="178"/>
      <c r="O2017" s="178"/>
      <c r="P2017" s="178"/>
      <c r="AN2017" s="458"/>
    </row>
    <row r="2018" spans="2:40" ht="15.75" customHeight="1">
      <c r="B2018" s="175"/>
      <c r="H2018" s="178"/>
      <c r="I2018" s="178"/>
      <c r="J2018" s="184"/>
      <c r="N2018" s="178"/>
      <c r="O2018" s="178"/>
      <c r="P2018" s="178"/>
      <c r="AN2018" s="458"/>
    </row>
    <row r="2019" spans="2:40" ht="15.75" customHeight="1">
      <c r="B2019" s="175"/>
      <c r="H2019" s="178"/>
      <c r="I2019" s="178"/>
      <c r="J2019" s="184"/>
      <c r="N2019" s="178"/>
      <c r="O2019" s="178"/>
      <c r="P2019" s="178"/>
      <c r="AN2019" s="458"/>
    </row>
    <row r="2020" spans="2:40" ht="15.75" customHeight="1">
      <c r="B2020" s="175"/>
      <c r="H2020" s="178"/>
      <c r="I2020" s="178"/>
      <c r="J2020" s="184"/>
      <c r="N2020" s="178"/>
      <c r="O2020" s="178"/>
      <c r="P2020" s="178"/>
      <c r="AN2020" s="458"/>
    </row>
    <row r="2021" spans="2:40" ht="15.75" customHeight="1">
      <c r="B2021" s="175"/>
      <c r="H2021" s="178"/>
      <c r="I2021" s="178"/>
      <c r="J2021" s="184"/>
      <c r="N2021" s="178"/>
      <c r="O2021" s="178"/>
      <c r="P2021" s="178"/>
      <c r="AN2021" s="458"/>
    </row>
    <row r="2022" spans="2:40" ht="15.75" customHeight="1">
      <c r="B2022" s="175"/>
      <c r="H2022" s="178"/>
      <c r="I2022" s="178"/>
      <c r="J2022" s="184"/>
      <c r="N2022" s="178"/>
      <c r="O2022" s="178"/>
      <c r="P2022" s="178"/>
      <c r="AN2022" s="458"/>
    </row>
    <row r="2023" spans="2:40" ht="15.75" customHeight="1">
      <c r="B2023" s="175"/>
      <c r="H2023" s="178"/>
      <c r="I2023" s="178"/>
      <c r="J2023" s="184"/>
      <c r="N2023" s="178"/>
      <c r="O2023" s="178"/>
      <c r="P2023" s="178"/>
      <c r="AN2023" s="458"/>
    </row>
    <row r="2024" spans="2:40" ht="15.75" customHeight="1">
      <c r="B2024" s="175"/>
      <c r="H2024" s="178"/>
      <c r="I2024" s="178"/>
      <c r="J2024" s="184"/>
      <c r="N2024" s="178"/>
      <c r="O2024" s="178"/>
      <c r="P2024" s="178"/>
      <c r="AN2024" s="458"/>
    </row>
    <row r="2025" spans="2:40" ht="15.75" customHeight="1">
      <c r="B2025" s="175"/>
      <c r="H2025" s="178"/>
      <c r="I2025" s="178"/>
      <c r="J2025" s="184"/>
      <c r="N2025" s="178"/>
      <c r="O2025" s="178"/>
      <c r="P2025" s="178"/>
      <c r="AN2025" s="458"/>
    </row>
    <row r="2026" spans="2:40" ht="15.75" customHeight="1">
      <c r="B2026" s="175"/>
      <c r="H2026" s="178"/>
      <c r="I2026" s="178"/>
      <c r="J2026" s="184"/>
      <c r="N2026" s="178"/>
      <c r="O2026" s="178"/>
      <c r="P2026" s="178"/>
      <c r="AN2026" s="458"/>
    </row>
    <row r="2027" spans="2:40" ht="15.75" customHeight="1">
      <c r="B2027" s="175"/>
      <c r="H2027" s="178"/>
      <c r="I2027" s="178"/>
      <c r="J2027" s="184"/>
      <c r="N2027" s="178"/>
      <c r="O2027" s="178"/>
      <c r="P2027" s="178"/>
      <c r="AN2027" s="458"/>
    </row>
    <row r="2028" spans="2:40" ht="15.75" customHeight="1">
      <c r="B2028" s="175"/>
      <c r="H2028" s="178"/>
      <c r="I2028" s="178"/>
      <c r="J2028" s="184"/>
      <c r="N2028" s="178"/>
      <c r="O2028" s="178"/>
      <c r="P2028" s="178"/>
      <c r="AN2028" s="458"/>
    </row>
    <row r="2029" spans="2:40" ht="15.75" customHeight="1">
      <c r="B2029" s="175"/>
      <c r="H2029" s="178"/>
      <c r="I2029" s="178"/>
      <c r="J2029" s="184"/>
      <c r="N2029" s="178"/>
      <c r="O2029" s="178"/>
      <c r="P2029" s="178"/>
      <c r="AN2029" s="458"/>
    </row>
    <row r="2030" spans="2:40" ht="15.75" customHeight="1">
      <c r="B2030" s="175"/>
      <c r="H2030" s="178"/>
      <c r="I2030" s="178"/>
      <c r="J2030" s="184"/>
      <c r="N2030" s="178"/>
      <c r="O2030" s="178"/>
      <c r="P2030" s="178"/>
      <c r="AN2030" s="458"/>
    </row>
    <row r="2031" spans="2:40" ht="15.75" customHeight="1">
      <c r="B2031" s="175"/>
      <c r="H2031" s="178"/>
      <c r="I2031" s="178"/>
      <c r="J2031" s="184"/>
      <c r="N2031" s="178"/>
      <c r="O2031" s="178"/>
      <c r="P2031" s="178"/>
      <c r="AN2031" s="458"/>
    </row>
    <row r="2032" spans="2:40" ht="15.75" customHeight="1">
      <c r="B2032" s="175"/>
      <c r="H2032" s="178"/>
      <c r="I2032" s="178"/>
      <c r="J2032" s="184"/>
      <c r="N2032" s="178"/>
      <c r="O2032" s="178"/>
      <c r="P2032" s="178"/>
      <c r="AN2032" s="458"/>
    </row>
    <row r="2033" spans="2:40" ht="15.75" customHeight="1">
      <c r="B2033" s="175"/>
      <c r="H2033" s="178"/>
      <c r="I2033" s="178"/>
      <c r="J2033" s="184"/>
      <c r="N2033" s="178"/>
      <c r="O2033" s="178"/>
      <c r="P2033" s="178"/>
      <c r="AN2033" s="458"/>
    </row>
    <row r="2034" spans="2:40" ht="15.75" customHeight="1">
      <c r="B2034" s="175"/>
      <c r="H2034" s="178"/>
      <c r="I2034" s="178"/>
      <c r="J2034" s="184"/>
      <c r="N2034" s="178"/>
      <c r="O2034" s="178"/>
      <c r="P2034" s="178"/>
      <c r="AN2034" s="458"/>
    </row>
    <row r="2035" spans="2:40" ht="15.75" customHeight="1">
      <c r="B2035" s="175"/>
      <c r="H2035" s="178"/>
      <c r="I2035" s="178"/>
      <c r="J2035" s="184"/>
      <c r="N2035" s="178"/>
      <c r="O2035" s="178"/>
      <c r="P2035" s="178"/>
      <c r="AN2035" s="458"/>
    </row>
    <row r="2036" spans="2:40" ht="15.75" customHeight="1">
      <c r="B2036" s="175"/>
      <c r="H2036" s="178"/>
      <c r="I2036" s="178"/>
      <c r="J2036" s="184"/>
      <c r="N2036" s="178"/>
      <c r="O2036" s="178"/>
      <c r="P2036" s="178"/>
      <c r="AN2036" s="458"/>
    </row>
    <row r="2037" spans="2:40" ht="15.75" customHeight="1">
      <c r="B2037" s="175"/>
      <c r="H2037" s="178"/>
      <c r="I2037" s="178"/>
      <c r="J2037" s="184"/>
      <c r="N2037" s="178"/>
      <c r="O2037" s="178"/>
      <c r="P2037" s="178"/>
      <c r="AN2037" s="458"/>
    </row>
    <row r="2038" spans="2:40" ht="15.75" customHeight="1">
      <c r="B2038" s="175"/>
      <c r="H2038" s="178"/>
      <c r="I2038" s="178"/>
      <c r="J2038" s="184"/>
      <c r="N2038" s="178"/>
      <c r="O2038" s="178"/>
      <c r="P2038" s="178"/>
      <c r="AN2038" s="458"/>
    </row>
    <row r="2039" spans="2:40" ht="15.75" customHeight="1">
      <c r="B2039" s="175"/>
      <c r="H2039" s="178"/>
      <c r="I2039" s="178"/>
      <c r="J2039" s="184"/>
      <c r="N2039" s="178"/>
      <c r="O2039" s="178"/>
      <c r="P2039" s="178"/>
      <c r="AN2039" s="458"/>
    </row>
    <row r="2040" spans="2:40" ht="15.75" customHeight="1">
      <c r="B2040" s="175"/>
      <c r="H2040" s="178"/>
      <c r="I2040" s="178"/>
      <c r="J2040" s="184"/>
      <c r="N2040" s="178"/>
      <c r="O2040" s="178"/>
      <c r="P2040" s="178"/>
      <c r="AN2040" s="458"/>
    </row>
    <row r="2041" spans="2:40" ht="15.75" customHeight="1">
      <c r="B2041" s="175"/>
      <c r="H2041" s="178"/>
      <c r="I2041" s="178"/>
      <c r="J2041" s="184"/>
      <c r="N2041" s="178"/>
      <c r="O2041" s="178"/>
      <c r="P2041" s="178"/>
      <c r="AN2041" s="458"/>
    </row>
    <row r="2042" spans="2:40" ht="15.75" customHeight="1">
      <c r="B2042" s="175"/>
      <c r="H2042" s="178"/>
      <c r="I2042" s="178"/>
      <c r="J2042" s="184"/>
      <c r="N2042" s="178"/>
      <c r="O2042" s="178"/>
      <c r="P2042" s="178"/>
      <c r="AN2042" s="458"/>
    </row>
    <row r="2043" spans="2:40" ht="15.75" customHeight="1">
      <c r="B2043" s="175"/>
      <c r="H2043" s="178"/>
      <c r="I2043" s="178"/>
      <c r="J2043" s="184"/>
      <c r="N2043" s="178"/>
      <c r="O2043" s="178"/>
      <c r="P2043" s="178"/>
      <c r="AN2043" s="458"/>
    </row>
    <row r="2044" spans="2:40" ht="15.75" customHeight="1">
      <c r="B2044" s="175"/>
      <c r="H2044" s="178"/>
      <c r="I2044" s="178"/>
      <c r="J2044" s="184"/>
      <c r="N2044" s="178"/>
      <c r="O2044" s="178"/>
      <c r="P2044" s="178"/>
      <c r="AN2044" s="458"/>
    </row>
    <row r="2045" spans="2:40" ht="15.75" customHeight="1">
      <c r="B2045" s="175"/>
      <c r="H2045" s="178"/>
      <c r="I2045" s="178"/>
      <c r="J2045" s="184"/>
      <c r="N2045" s="178"/>
      <c r="O2045" s="178"/>
      <c r="P2045" s="178"/>
      <c r="AN2045" s="458"/>
    </row>
    <row r="2046" spans="2:40" ht="15.75" customHeight="1">
      <c r="B2046" s="175"/>
      <c r="H2046" s="178"/>
      <c r="I2046" s="178"/>
      <c r="J2046" s="184"/>
      <c r="N2046" s="178"/>
      <c r="O2046" s="178"/>
      <c r="P2046" s="178"/>
      <c r="AN2046" s="458"/>
    </row>
    <row r="2047" spans="2:40" ht="15.75" customHeight="1">
      <c r="B2047" s="175"/>
      <c r="H2047" s="178"/>
      <c r="I2047" s="178"/>
      <c r="J2047" s="184"/>
      <c r="N2047" s="178"/>
      <c r="O2047" s="178"/>
      <c r="P2047" s="178"/>
      <c r="AN2047" s="458"/>
    </row>
    <row r="2048" spans="2:40" ht="15.75" customHeight="1">
      <c r="B2048" s="175"/>
      <c r="H2048" s="178"/>
      <c r="I2048" s="178"/>
      <c r="J2048" s="184"/>
      <c r="N2048" s="178"/>
      <c r="O2048" s="178"/>
      <c r="P2048" s="178"/>
      <c r="AN2048" s="458"/>
    </row>
    <row r="2049" spans="2:40" ht="15.75" customHeight="1">
      <c r="B2049" s="175"/>
      <c r="H2049" s="178"/>
      <c r="I2049" s="178"/>
      <c r="J2049" s="184"/>
      <c r="N2049" s="178"/>
      <c r="O2049" s="178"/>
      <c r="P2049" s="178"/>
      <c r="AN2049" s="458"/>
    </row>
    <row r="2050" spans="2:40" ht="15.75" customHeight="1">
      <c r="B2050" s="175"/>
      <c r="H2050" s="178"/>
      <c r="I2050" s="178"/>
      <c r="J2050" s="184"/>
      <c r="N2050" s="178"/>
      <c r="O2050" s="178"/>
      <c r="P2050" s="178"/>
      <c r="AN2050" s="458"/>
    </row>
    <row r="2051" spans="2:40" ht="15.75" customHeight="1">
      <c r="B2051" s="175"/>
      <c r="H2051" s="178"/>
      <c r="I2051" s="178"/>
      <c r="J2051" s="184"/>
      <c r="N2051" s="178"/>
      <c r="O2051" s="178"/>
      <c r="P2051" s="178"/>
      <c r="AN2051" s="458"/>
    </row>
    <row r="2052" spans="2:40" ht="15.75" customHeight="1">
      <c r="B2052" s="175"/>
      <c r="H2052" s="178"/>
      <c r="I2052" s="178"/>
      <c r="J2052" s="184"/>
      <c r="N2052" s="178"/>
      <c r="O2052" s="178"/>
      <c r="P2052" s="178"/>
      <c r="AN2052" s="458"/>
    </row>
    <row r="2053" spans="2:40" ht="15.75" customHeight="1">
      <c r="B2053" s="175"/>
      <c r="H2053" s="178"/>
      <c r="I2053" s="178"/>
      <c r="J2053" s="184"/>
      <c r="N2053" s="178"/>
      <c r="O2053" s="178"/>
      <c r="P2053" s="178"/>
      <c r="AN2053" s="458"/>
    </row>
    <row r="2054" spans="2:40" ht="15.75" customHeight="1">
      <c r="B2054" s="175"/>
      <c r="H2054" s="178"/>
      <c r="I2054" s="178"/>
      <c r="J2054" s="184"/>
      <c r="N2054" s="178"/>
      <c r="O2054" s="178"/>
      <c r="P2054" s="178"/>
      <c r="AN2054" s="458"/>
    </row>
    <row r="2055" spans="2:40" ht="15.75" customHeight="1">
      <c r="B2055" s="175"/>
      <c r="H2055" s="178"/>
      <c r="I2055" s="178"/>
      <c r="J2055" s="184"/>
      <c r="N2055" s="178"/>
      <c r="O2055" s="178"/>
      <c r="P2055" s="178"/>
      <c r="AN2055" s="458"/>
    </row>
    <row r="2056" spans="2:40" ht="15.75" customHeight="1">
      <c r="B2056" s="175"/>
      <c r="H2056" s="178"/>
      <c r="I2056" s="178"/>
      <c r="J2056" s="184"/>
      <c r="N2056" s="178"/>
      <c r="O2056" s="178"/>
      <c r="P2056" s="178"/>
      <c r="AN2056" s="458"/>
    </row>
    <row r="2057" spans="2:40" ht="15.75" customHeight="1">
      <c r="B2057" s="175"/>
      <c r="H2057" s="178"/>
      <c r="I2057" s="178"/>
      <c r="J2057" s="184"/>
      <c r="N2057" s="178"/>
      <c r="O2057" s="178"/>
      <c r="P2057" s="178"/>
      <c r="AN2057" s="458"/>
    </row>
    <row r="2058" spans="2:40" ht="15.75" customHeight="1">
      <c r="B2058" s="175"/>
      <c r="H2058" s="178"/>
      <c r="I2058" s="178"/>
      <c r="J2058" s="184"/>
      <c r="N2058" s="178"/>
      <c r="O2058" s="178"/>
      <c r="P2058" s="178"/>
      <c r="AN2058" s="458"/>
    </row>
    <row r="2059" spans="2:40" ht="15.75" customHeight="1">
      <c r="B2059" s="175"/>
      <c r="H2059" s="178"/>
      <c r="I2059" s="178"/>
      <c r="J2059" s="184"/>
      <c r="N2059" s="178"/>
      <c r="O2059" s="178"/>
      <c r="P2059" s="178"/>
      <c r="AN2059" s="458"/>
    </row>
    <row r="2060" spans="2:40" ht="15.75" customHeight="1">
      <c r="B2060" s="175"/>
      <c r="H2060" s="178"/>
      <c r="I2060" s="178"/>
      <c r="J2060" s="184"/>
      <c r="N2060" s="178"/>
      <c r="O2060" s="178"/>
      <c r="P2060" s="178"/>
      <c r="AN2060" s="458"/>
    </row>
    <row r="2061" spans="2:40" ht="15.75" customHeight="1">
      <c r="B2061" s="175"/>
      <c r="H2061" s="178"/>
      <c r="I2061" s="178"/>
      <c r="J2061" s="184"/>
      <c r="N2061" s="178"/>
      <c r="O2061" s="178"/>
      <c r="P2061" s="178"/>
      <c r="AN2061" s="458"/>
    </row>
    <row r="2062" spans="2:40" ht="15.75" customHeight="1">
      <c r="B2062" s="618"/>
      <c r="H2062" s="178"/>
      <c r="I2062" s="178"/>
      <c r="J2062" s="184"/>
      <c r="N2062" s="178"/>
      <c r="O2062" s="178"/>
      <c r="P2062" s="178"/>
      <c r="AN2062" s="458"/>
    </row>
    <row r="2063" spans="2:40" ht="15.75" customHeight="1">
      <c r="B2063" s="618"/>
      <c r="H2063" s="178"/>
      <c r="I2063" s="178"/>
      <c r="J2063" s="184"/>
      <c r="N2063" s="178"/>
      <c r="O2063" s="178"/>
      <c r="P2063" s="178"/>
      <c r="AN2063" s="458"/>
    </row>
    <row r="2064" spans="2:40" ht="15.75" customHeight="1">
      <c r="B2064" s="618"/>
      <c r="H2064" s="178"/>
      <c r="I2064" s="178"/>
      <c r="J2064" s="184"/>
      <c r="N2064" s="178"/>
      <c r="O2064" s="178"/>
      <c r="P2064" s="178"/>
      <c r="AN2064" s="458"/>
    </row>
    <row r="2065" spans="2:40" ht="15.75" customHeight="1">
      <c r="B2065" s="618"/>
      <c r="H2065" s="178"/>
      <c r="I2065" s="178"/>
      <c r="J2065" s="184"/>
      <c r="N2065" s="178"/>
      <c r="O2065" s="178"/>
      <c r="P2065" s="178"/>
      <c r="AN2065" s="458"/>
    </row>
    <row r="2066" spans="2:40" ht="15.75" customHeight="1">
      <c r="B2066" s="618"/>
      <c r="H2066" s="178"/>
      <c r="I2066" s="178"/>
      <c r="J2066" s="184"/>
      <c r="N2066" s="178"/>
      <c r="O2066" s="178"/>
      <c r="P2066" s="178"/>
      <c r="AN2066" s="458"/>
    </row>
    <row r="2067" spans="2:40" ht="15.75" customHeight="1">
      <c r="B2067" s="618"/>
      <c r="H2067" s="178"/>
      <c r="I2067" s="178"/>
      <c r="J2067" s="184"/>
      <c r="N2067" s="178"/>
      <c r="O2067" s="178"/>
      <c r="P2067" s="178"/>
      <c r="AN2067" s="458"/>
    </row>
    <row r="2068" spans="2:40" ht="15.75" customHeight="1">
      <c r="B2068" s="618"/>
      <c r="H2068" s="178"/>
      <c r="I2068" s="178"/>
      <c r="J2068" s="184"/>
      <c r="N2068" s="178"/>
      <c r="O2068" s="178"/>
      <c r="P2068" s="178"/>
      <c r="AN2068" s="458"/>
    </row>
    <row r="2069" spans="2:40" ht="15.75" customHeight="1">
      <c r="B2069" s="618"/>
      <c r="H2069" s="178"/>
      <c r="I2069" s="178"/>
      <c r="J2069" s="184"/>
      <c r="N2069" s="178"/>
      <c r="O2069" s="178"/>
      <c r="P2069" s="178"/>
      <c r="AN2069" s="458"/>
    </row>
    <row r="2070" spans="2:40" ht="15.75" customHeight="1">
      <c r="B2070" s="618"/>
      <c r="H2070" s="178"/>
      <c r="I2070" s="178"/>
      <c r="J2070" s="184"/>
      <c r="N2070" s="178"/>
      <c r="O2070" s="178"/>
      <c r="P2070" s="178"/>
      <c r="AN2070" s="458"/>
    </row>
    <row r="2071" spans="2:40" ht="15.75" customHeight="1">
      <c r="B2071" s="618"/>
      <c r="H2071" s="178"/>
      <c r="I2071" s="178"/>
      <c r="J2071" s="184"/>
      <c r="N2071" s="178"/>
      <c r="O2071" s="178"/>
      <c r="P2071" s="178"/>
      <c r="AN2071" s="458"/>
    </row>
    <row r="2072" spans="2:40" ht="15.75" customHeight="1">
      <c r="B2072" s="618"/>
      <c r="H2072" s="178"/>
      <c r="I2072" s="178"/>
      <c r="J2072" s="184"/>
      <c r="N2072" s="178"/>
      <c r="O2072" s="178"/>
      <c r="P2072" s="178"/>
      <c r="AN2072" s="458"/>
    </row>
    <row r="2073" spans="2:40" ht="15.75" customHeight="1">
      <c r="B2073" s="618"/>
      <c r="H2073" s="178"/>
      <c r="I2073" s="178"/>
      <c r="J2073" s="184"/>
      <c r="N2073" s="178"/>
      <c r="O2073" s="178"/>
      <c r="P2073" s="178"/>
      <c r="AN2073" s="458"/>
    </row>
    <row r="2074" spans="2:40" ht="15.75" customHeight="1">
      <c r="B2074" s="618"/>
      <c r="H2074" s="178"/>
      <c r="I2074" s="178"/>
      <c r="J2074" s="184"/>
      <c r="N2074" s="178"/>
      <c r="O2074" s="178"/>
      <c r="P2074" s="178"/>
      <c r="AN2074" s="458"/>
    </row>
    <row r="2075" spans="2:40" ht="15.75" customHeight="1">
      <c r="B2075" s="618"/>
      <c r="H2075" s="178"/>
      <c r="I2075" s="178"/>
      <c r="J2075" s="184"/>
      <c r="N2075" s="178"/>
      <c r="O2075" s="178"/>
      <c r="P2075" s="178"/>
      <c r="AN2075" s="458"/>
    </row>
    <row r="2076" spans="2:40" ht="15.75" customHeight="1">
      <c r="B2076" s="618"/>
      <c r="H2076" s="178"/>
      <c r="I2076" s="178"/>
      <c r="J2076" s="184"/>
      <c r="N2076" s="178"/>
      <c r="O2076" s="178"/>
      <c r="P2076" s="178"/>
      <c r="AN2076" s="458"/>
    </row>
    <row r="2077" spans="2:40" ht="15.75" customHeight="1">
      <c r="B2077" s="618"/>
      <c r="H2077" s="178"/>
      <c r="I2077" s="178"/>
      <c r="J2077" s="184"/>
      <c r="N2077" s="178"/>
      <c r="O2077" s="178"/>
      <c r="P2077" s="178"/>
      <c r="AN2077" s="458"/>
    </row>
    <row r="2078" spans="2:40" ht="15.75" customHeight="1">
      <c r="B2078" s="618"/>
      <c r="H2078" s="178"/>
      <c r="I2078" s="178"/>
      <c r="J2078" s="184"/>
      <c r="N2078" s="178"/>
      <c r="O2078" s="178"/>
      <c r="P2078" s="178"/>
      <c r="AN2078" s="458"/>
    </row>
    <row r="2079" spans="2:40" ht="15.75" customHeight="1">
      <c r="B2079" s="618"/>
      <c r="H2079" s="178"/>
      <c r="I2079" s="178"/>
      <c r="J2079" s="184"/>
      <c r="N2079" s="178"/>
      <c r="O2079" s="178"/>
      <c r="P2079" s="178"/>
      <c r="AN2079" s="458"/>
    </row>
    <row r="2080" spans="2:40" ht="15.75" customHeight="1">
      <c r="B2080" s="618"/>
      <c r="H2080" s="178"/>
      <c r="I2080" s="178"/>
      <c r="J2080" s="184"/>
      <c r="N2080" s="178"/>
      <c r="O2080" s="178"/>
      <c r="P2080" s="178"/>
      <c r="AN2080" s="458"/>
    </row>
    <row r="2081" spans="2:40" ht="15.75" customHeight="1">
      <c r="B2081" s="618"/>
      <c r="H2081" s="178"/>
      <c r="I2081" s="178"/>
      <c r="J2081" s="184"/>
      <c r="N2081" s="178"/>
      <c r="O2081" s="178"/>
      <c r="P2081" s="178"/>
      <c r="AN2081" s="458"/>
    </row>
    <row r="2082" spans="2:40" ht="15.75" customHeight="1">
      <c r="B2082" s="618"/>
      <c r="H2082" s="178"/>
      <c r="I2082" s="178"/>
      <c r="J2082" s="184"/>
      <c r="N2082" s="178"/>
      <c r="O2082" s="178"/>
      <c r="P2082" s="178"/>
      <c r="AN2082" s="458"/>
    </row>
    <row r="2083" spans="2:40" ht="15.75" customHeight="1">
      <c r="B2083" s="618"/>
      <c r="H2083" s="178"/>
      <c r="I2083" s="178"/>
      <c r="J2083" s="184"/>
      <c r="N2083" s="178"/>
      <c r="O2083" s="178"/>
      <c r="P2083" s="178"/>
      <c r="AN2083" s="458"/>
    </row>
    <row r="2084" spans="2:40" ht="15.75" customHeight="1">
      <c r="B2084" s="618"/>
      <c r="H2084" s="178"/>
      <c r="I2084" s="178"/>
      <c r="J2084" s="184"/>
      <c r="N2084" s="178"/>
      <c r="O2084" s="178"/>
      <c r="P2084" s="178"/>
      <c r="AN2084" s="458"/>
    </row>
    <row r="2085" spans="2:40" ht="15.75" customHeight="1">
      <c r="B2085" s="618"/>
      <c r="H2085" s="178"/>
      <c r="I2085" s="178"/>
      <c r="J2085" s="184"/>
      <c r="N2085" s="178"/>
      <c r="O2085" s="178"/>
      <c r="P2085" s="178"/>
      <c r="AN2085" s="458"/>
    </row>
    <row r="2086" spans="2:40" ht="15.75" customHeight="1">
      <c r="B2086" s="618"/>
      <c r="H2086" s="178"/>
      <c r="I2086" s="178"/>
      <c r="J2086" s="184"/>
      <c r="N2086" s="178"/>
      <c r="O2086" s="178"/>
      <c r="P2086" s="178"/>
      <c r="AN2086" s="458"/>
    </row>
    <row r="2087" spans="2:40" ht="15.75" customHeight="1">
      <c r="B2087" s="618"/>
      <c r="H2087" s="178"/>
      <c r="I2087" s="178"/>
      <c r="J2087" s="184"/>
      <c r="N2087" s="178"/>
      <c r="O2087" s="178"/>
      <c r="P2087" s="178"/>
      <c r="AN2087" s="458"/>
    </row>
    <row r="2088" spans="2:40" ht="15.75" customHeight="1">
      <c r="B2088" s="618"/>
      <c r="H2088" s="178"/>
      <c r="I2088" s="178"/>
      <c r="J2088" s="184"/>
      <c r="N2088" s="178"/>
      <c r="O2088" s="178"/>
      <c r="P2088" s="178"/>
      <c r="AN2088" s="458"/>
    </row>
    <row r="2089" spans="2:40" ht="15.75" customHeight="1">
      <c r="B2089" s="618"/>
      <c r="H2089" s="178"/>
      <c r="I2089" s="178"/>
      <c r="J2089" s="184"/>
      <c r="N2089" s="178"/>
      <c r="O2089" s="178"/>
      <c r="P2089" s="178"/>
      <c r="AN2089" s="458"/>
    </row>
    <row r="2090" spans="2:40" ht="15.75" customHeight="1">
      <c r="B2090" s="618"/>
      <c r="H2090" s="178"/>
      <c r="I2090" s="178"/>
      <c r="J2090" s="184"/>
      <c r="N2090" s="178"/>
      <c r="O2090" s="178"/>
      <c r="P2090" s="178"/>
      <c r="AN2090" s="458"/>
    </row>
    <row r="2091" spans="2:40" ht="15.75" customHeight="1">
      <c r="B2091" s="618"/>
      <c r="H2091" s="178"/>
      <c r="I2091" s="178"/>
      <c r="J2091" s="184"/>
      <c r="N2091" s="178"/>
      <c r="O2091" s="178"/>
      <c r="P2091" s="178"/>
      <c r="AN2091" s="458"/>
    </row>
    <row r="2092" spans="2:40" ht="15.75" customHeight="1">
      <c r="B2092" s="618"/>
      <c r="H2092" s="178"/>
      <c r="I2092" s="178"/>
      <c r="J2092" s="184"/>
      <c r="N2092" s="178"/>
      <c r="O2092" s="178"/>
      <c r="P2092" s="178"/>
      <c r="AN2092" s="458"/>
    </row>
    <row r="2093" spans="2:40" ht="15.75" customHeight="1">
      <c r="B2093" s="618"/>
      <c r="H2093" s="178"/>
      <c r="I2093" s="178"/>
      <c r="J2093" s="184"/>
      <c r="N2093" s="178"/>
      <c r="O2093" s="178"/>
      <c r="P2093" s="178"/>
      <c r="AN2093" s="458"/>
    </row>
    <row r="2094" spans="2:40" ht="15.75" customHeight="1">
      <c r="B2094" s="618"/>
      <c r="H2094" s="178"/>
      <c r="I2094" s="178"/>
      <c r="J2094" s="184"/>
      <c r="N2094" s="178"/>
      <c r="O2094" s="178"/>
      <c r="P2094" s="178"/>
      <c r="AN2094" s="458"/>
    </row>
    <row r="2095" spans="2:40" ht="15.75" customHeight="1">
      <c r="B2095" s="618"/>
      <c r="H2095" s="178"/>
      <c r="I2095" s="178"/>
      <c r="J2095" s="184"/>
      <c r="N2095" s="178"/>
      <c r="O2095" s="178"/>
      <c r="P2095" s="178"/>
      <c r="AN2095" s="458"/>
    </row>
    <row r="2096" spans="2:40" ht="15.75" customHeight="1">
      <c r="B2096" s="618"/>
      <c r="H2096" s="178"/>
      <c r="I2096" s="178"/>
      <c r="J2096" s="184"/>
      <c r="N2096" s="178"/>
      <c r="O2096" s="178"/>
      <c r="P2096" s="178"/>
      <c r="AN2096" s="458"/>
    </row>
    <row r="2097" spans="2:40" ht="15.75" customHeight="1">
      <c r="B2097" s="618"/>
      <c r="H2097" s="178"/>
      <c r="I2097" s="178"/>
      <c r="J2097" s="184"/>
      <c r="N2097" s="178"/>
      <c r="O2097" s="178"/>
      <c r="P2097" s="178"/>
      <c r="AN2097" s="458"/>
    </row>
    <row r="2098" spans="2:40" ht="15.75" customHeight="1">
      <c r="B2098" s="618"/>
      <c r="H2098" s="178"/>
      <c r="I2098" s="178"/>
      <c r="J2098" s="184"/>
      <c r="N2098" s="178"/>
      <c r="O2098" s="178"/>
      <c r="P2098" s="178"/>
      <c r="AN2098" s="458"/>
    </row>
    <row r="2099" spans="2:40" ht="15.75" customHeight="1">
      <c r="B2099" s="618"/>
      <c r="H2099" s="178"/>
      <c r="I2099" s="178"/>
      <c r="J2099" s="184"/>
      <c r="N2099" s="178"/>
      <c r="O2099" s="178"/>
      <c r="P2099" s="178"/>
      <c r="AN2099" s="458"/>
    </row>
    <row r="2100" spans="2:40" ht="15.75" customHeight="1">
      <c r="B2100" s="618"/>
      <c r="H2100" s="178"/>
      <c r="I2100" s="178"/>
      <c r="J2100" s="184"/>
      <c r="N2100" s="178"/>
      <c r="O2100" s="178"/>
      <c r="P2100" s="178"/>
      <c r="AN2100" s="458"/>
    </row>
    <row r="2101" spans="2:40" ht="15.75" customHeight="1">
      <c r="B2101" s="618"/>
      <c r="H2101" s="178"/>
      <c r="I2101" s="178"/>
      <c r="J2101" s="184"/>
      <c r="N2101" s="178"/>
      <c r="O2101" s="178"/>
      <c r="P2101" s="178"/>
      <c r="AN2101" s="458"/>
    </row>
    <row r="2102" spans="2:40" ht="15.75" customHeight="1">
      <c r="B2102" s="618"/>
      <c r="H2102" s="178"/>
      <c r="I2102" s="178"/>
      <c r="J2102" s="184"/>
      <c r="N2102" s="178"/>
      <c r="O2102" s="178"/>
      <c r="P2102" s="178"/>
      <c r="AN2102" s="458"/>
    </row>
    <row r="2103" spans="2:40" ht="15.75" customHeight="1">
      <c r="B2103" s="618"/>
      <c r="H2103" s="178"/>
      <c r="I2103" s="178"/>
      <c r="J2103" s="184"/>
      <c r="N2103" s="178"/>
      <c r="O2103" s="178"/>
      <c r="P2103" s="178"/>
      <c r="AN2103" s="458"/>
    </row>
    <row r="2104" spans="2:40" ht="15.75" customHeight="1">
      <c r="B2104" s="618"/>
      <c r="H2104" s="178"/>
      <c r="I2104" s="178"/>
      <c r="J2104" s="184"/>
      <c r="N2104" s="178"/>
      <c r="O2104" s="178"/>
      <c r="P2104" s="178"/>
      <c r="AN2104" s="458"/>
    </row>
    <row r="2105" spans="2:40" ht="15.75" customHeight="1">
      <c r="B2105" s="618"/>
      <c r="H2105" s="178"/>
      <c r="I2105" s="178"/>
      <c r="J2105" s="184"/>
      <c r="N2105" s="178"/>
      <c r="O2105" s="178"/>
      <c r="P2105" s="178"/>
      <c r="AN2105" s="458"/>
    </row>
    <row r="2106" spans="2:40" ht="15.75" customHeight="1">
      <c r="B2106" s="618"/>
      <c r="H2106" s="178"/>
      <c r="I2106" s="178"/>
      <c r="J2106" s="184"/>
      <c r="N2106" s="178"/>
      <c r="O2106" s="178"/>
      <c r="P2106" s="178"/>
      <c r="AN2106" s="458"/>
    </row>
    <row r="2107" spans="2:40" ht="15.75" customHeight="1">
      <c r="B2107" s="618"/>
      <c r="H2107" s="178"/>
      <c r="I2107" s="178"/>
      <c r="J2107" s="184"/>
      <c r="N2107" s="178"/>
      <c r="O2107" s="178"/>
      <c r="P2107" s="178"/>
      <c r="AN2107" s="458"/>
    </row>
    <row r="2108" spans="2:40" ht="15.75" customHeight="1">
      <c r="B2108" s="618"/>
      <c r="H2108" s="178"/>
      <c r="I2108" s="178"/>
      <c r="J2108" s="184"/>
      <c r="N2108" s="178"/>
      <c r="O2108" s="178"/>
      <c r="P2108" s="178"/>
      <c r="AN2108" s="458"/>
    </row>
    <row r="2109" spans="2:40" ht="15.75" customHeight="1">
      <c r="B2109" s="618"/>
      <c r="H2109" s="178"/>
      <c r="I2109" s="178"/>
      <c r="J2109" s="184"/>
      <c r="N2109" s="178"/>
      <c r="O2109" s="178"/>
      <c r="P2109" s="178"/>
      <c r="AN2109" s="458"/>
    </row>
    <row r="2110" spans="2:40" ht="15.75" customHeight="1">
      <c r="B2110" s="618"/>
      <c r="H2110" s="178"/>
      <c r="I2110" s="178"/>
      <c r="J2110" s="184"/>
      <c r="N2110" s="178"/>
      <c r="O2110" s="178"/>
      <c r="P2110" s="178"/>
      <c r="AN2110" s="458"/>
    </row>
    <row r="2111" spans="2:40" ht="15.75" customHeight="1">
      <c r="B2111" s="618"/>
      <c r="H2111" s="178"/>
      <c r="I2111" s="178"/>
      <c r="J2111" s="184"/>
      <c r="N2111" s="178"/>
      <c r="O2111" s="178"/>
      <c r="P2111" s="178"/>
      <c r="AN2111" s="458"/>
    </row>
    <row r="2112" spans="2:40" ht="15.75" customHeight="1">
      <c r="B2112" s="618"/>
      <c r="H2112" s="178"/>
      <c r="I2112" s="178"/>
      <c r="J2112" s="184"/>
      <c r="N2112" s="178"/>
      <c r="O2112" s="178"/>
      <c r="P2112" s="178"/>
      <c r="AN2112" s="458"/>
    </row>
    <row r="2113" spans="2:40" ht="15.75" customHeight="1">
      <c r="B2113" s="618"/>
      <c r="H2113" s="178"/>
      <c r="I2113" s="178"/>
      <c r="J2113" s="184"/>
      <c r="N2113" s="178"/>
      <c r="O2113" s="178"/>
      <c r="P2113" s="178"/>
      <c r="AN2113" s="458"/>
    </row>
    <row r="2114" spans="2:40" ht="15.75" customHeight="1">
      <c r="B2114" s="618"/>
      <c r="H2114" s="178"/>
      <c r="I2114" s="178"/>
      <c r="J2114" s="184"/>
      <c r="N2114" s="178"/>
      <c r="O2114" s="178"/>
      <c r="P2114" s="178"/>
      <c r="AN2114" s="458"/>
    </row>
    <row r="2115" spans="2:40" ht="15.75" customHeight="1">
      <c r="B2115" s="618"/>
      <c r="H2115" s="178"/>
      <c r="I2115" s="178"/>
      <c r="J2115" s="184"/>
      <c r="N2115" s="178"/>
      <c r="O2115" s="178"/>
      <c r="P2115" s="178"/>
      <c r="AN2115" s="458"/>
    </row>
    <row r="2116" spans="2:40" ht="15.75" customHeight="1">
      <c r="B2116" s="618"/>
      <c r="H2116" s="178"/>
      <c r="I2116" s="178"/>
      <c r="J2116" s="184"/>
      <c r="N2116" s="178"/>
      <c r="O2116" s="178"/>
      <c r="P2116" s="178"/>
      <c r="AN2116" s="458"/>
    </row>
    <row r="2117" spans="2:40" ht="15.75" customHeight="1">
      <c r="B2117" s="618"/>
      <c r="H2117" s="178"/>
      <c r="I2117" s="178"/>
      <c r="J2117" s="184"/>
      <c r="N2117" s="178"/>
      <c r="O2117" s="178"/>
      <c r="P2117" s="178"/>
      <c r="AN2117" s="458"/>
    </row>
    <row r="2118" spans="2:40" ht="15.75" customHeight="1">
      <c r="B2118" s="618"/>
      <c r="H2118" s="178"/>
      <c r="I2118" s="178"/>
      <c r="J2118" s="184"/>
      <c r="N2118" s="178"/>
      <c r="O2118" s="178"/>
      <c r="P2118" s="178"/>
      <c r="AN2118" s="458"/>
    </row>
    <row r="2119" spans="2:40" ht="15.75" customHeight="1">
      <c r="B2119" s="618"/>
      <c r="H2119" s="178"/>
      <c r="I2119" s="178"/>
      <c r="J2119" s="184"/>
      <c r="N2119" s="178"/>
      <c r="O2119" s="178"/>
      <c r="P2119" s="178"/>
      <c r="AN2119" s="458"/>
    </row>
    <row r="2120" spans="2:40" ht="15.75" customHeight="1">
      <c r="B2120" s="618"/>
      <c r="H2120" s="178"/>
      <c r="I2120" s="178"/>
      <c r="J2120" s="184"/>
      <c r="N2120" s="178"/>
      <c r="O2120" s="178"/>
      <c r="P2120" s="178"/>
      <c r="AN2120" s="458"/>
    </row>
    <row r="2121" spans="2:40" ht="15.75" customHeight="1">
      <c r="B2121" s="618"/>
      <c r="H2121" s="178"/>
      <c r="I2121" s="178"/>
      <c r="J2121" s="184"/>
      <c r="N2121" s="178"/>
      <c r="O2121" s="178"/>
      <c r="P2121" s="178"/>
      <c r="AN2121" s="458"/>
    </row>
    <row r="2122" spans="2:40" ht="15.75" customHeight="1">
      <c r="B2122" s="618"/>
      <c r="H2122" s="178"/>
      <c r="I2122" s="178"/>
      <c r="J2122" s="184"/>
      <c r="N2122" s="178"/>
      <c r="O2122" s="178"/>
      <c r="P2122" s="178"/>
      <c r="AN2122" s="458"/>
    </row>
    <row r="2123" spans="2:40" ht="15.75" customHeight="1">
      <c r="B2123" s="618"/>
      <c r="H2123" s="178"/>
      <c r="I2123" s="178"/>
      <c r="J2123" s="184"/>
      <c r="N2123" s="178"/>
      <c r="O2123" s="178"/>
      <c r="P2123" s="178"/>
      <c r="AN2123" s="458"/>
    </row>
    <row r="2124" spans="2:40" ht="15.75" customHeight="1">
      <c r="B2124" s="618"/>
      <c r="H2124" s="178"/>
      <c r="I2124" s="178"/>
      <c r="J2124" s="184"/>
      <c r="N2124" s="178"/>
      <c r="O2124" s="178"/>
      <c r="P2124" s="178"/>
      <c r="AN2124" s="458"/>
    </row>
    <row r="2125" spans="2:40" ht="15.75" customHeight="1">
      <c r="B2125" s="618"/>
      <c r="H2125" s="178"/>
      <c r="I2125" s="178"/>
      <c r="J2125" s="184"/>
      <c r="N2125" s="178"/>
      <c r="O2125" s="178"/>
      <c r="P2125" s="178"/>
      <c r="AN2125" s="458"/>
    </row>
    <row r="2126" spans="2:40" ht="15.75" customHeight="1">
      <c r="B2126" s="618"/>
      <c r="H2126" s="178"/>
      <c r="I2126" s="178"/>
      <c r="J2126" s="184"/>
      <c r="N2126" s="178"/>
      <c r="O2126" s="178"/>
      <c r="P2126" s="178"/>
      <c r="AN2126" s="458"/>
    </row>
    <row r="2127" spans="2:40" ht="15.75" customHeight="1">
      <c r="B2127" s="618"/>
      <c r="H2127" s="178"/>
      <c r="I2127" s="178"/>
      <c r="J2127" s="184"/>
      <c r="N2127" s="178"/>
      <c r="O2127" s="178"/>
      <c r="P2127" s="178"/>
      <c r="AN2127" s="458"/>
    </row>
    <row r="2128" spans="2:40" ht="15.75" customHeight="1">
      <c r="B2128" s="618"/>
      <c r="H2128" s="178"/>
      <c r="I2128" s="178"/>
      <c r="J2128" s="184"/>
      <c r="N2128" s="178"/>
      <c r="O2128" s="178"/>
      <c r="P2128" s="178"/>
      <c r="AN2128" s="458"/>
    </row>
    <row r="2129" spans="2:40" ht="15.75" customHeight="1">
      <c r="B2129" s="618"/>
      <c r="H2129" s="178"/>
      <c r="I2129" s="178"/>
      <c r="J2129" s="184"/>
      <c r="N2129" s="178"/>
      <c r="O2129" s="178"/>
      <c r="P2129" s="178"/>
      <c r="AN2129" s="458"/>
    </row>
    <row r="2130" spans="2:40" ht="15.75" customHeight="1">
      <c r="B2130" s="618"/>
      <c r="H2130" s="178"/>
      <c r="I2130" s="178"/>
      <c r="J2130" s="184"/>
      <c r="N2130" s="178"/>
      <c r="O2130" s="178"/>
      <c r="P2130" s="178"/>
      <c r="AN2130" s="458"/>
    </row>
    <row r="2131" spans="2:40" ht="15.75" customHeight="1">
      <c r="B2131" s="618"/>
      <c r="G2131" s="630"/>
      <c r="H2131" s="178"/>
      <c r="I2131" s="178"/>
      <c r="J2131" s="184"/>
      <c r="N2131" s="178"/>
      <c r="O2131" s="178"/>
      <c r="P2131" s="178"/>
      <c r="AN2131" s="458"/>
    </row>
    <row r="2132" spans="2:40" ht="15.75" customHeight="1">
      <c r="B2132" s="618"/>
      <c r="H2132" s="178"/>
      <c r="I2132" s="178"/>
      <c r="J2132" s="184"/>
      <c r="N2132" s="178"/>
      <c r="O2132" s="178"/>
      <c r="P2132" s="178"/>
      <c r="AN2132" s="458"/>
    </row>
    <row r="2133" spans="2:40" ht="15.75" customHeight="1">
      <c r="B2133" s="618"/>
      <c r="H2133" s="178"/>
      <c r="I2133" s="178"/>
      <c r="J2133" s="184"/>
      <c r="N2133" s="178"/>
      <c r="O2133" s="178"/>
      <c r="P2133" s="178"/>
      <c r="AN2133" s="458"/>
    </row>
    <row r="2134" spans="2:40" ht="15.75" customHeight="1">
      <c r="B2134" s="618"/>
      <c r="H2134" s="178"/>
      <c r="I2134" s="178"/>
      <c r="J2134" s="184"/>
      <c r="N2134" s="178"/>
      <c r="O2134" s="178"/>
      <c r="P2134" s="178"/>
      <c r="AN2134" s="458"/>
    </row>
    <row r="2135" spans="2:40" ht="15.75" customHeight="1">
      <c r="B2135" s="618"/>
      <c r="H2135" s="178"/>
      <c r="I2135" s="178"/>
      <c r="J2135" s="184"/>
      <c r="N2135" s="178"/>
      <c r="O2135" s="178"/>
      <c r="P2135" s="178"/>
      <c r="AN2135" s="458"/>
    </row>
    <row r="2136" spans="2:40" ht="15.75" customHeight="1">
      <c r="B2136" s="618"/>
      <c r="H2136" s="178"/>
      <c r="I2136" s="178"/>
      <c r="J2136" s="184"/>
      <c r="N2136" s="178"/>
      <c r="O2136" s="178"/>
      <c r="P2136" s="178"/>
      <c r="AN2136" s="458"/>
    </row>
    <row r="2137" spans="2:40" ht="15.75" customHeight="1">
      <c r="B2137" s="618"/>
      <c r="H2137" s="178"/>
      <c r="I2137" s="178"/>
      <c r="J2137" s="184"/>
      <c r="N2137" s="178"/>
      <c r="O2137" s="178"/>
      <c r="P2137" s="178"/>
      <c r="AN2137" s="458"/>
    </row>
    <row r="2138" spans="2:40" ht="15.75" customHeight="1">
      <c r="B2138" s="618"/>
      <c r="H2138" s="178"/>
      <c r="I2138" s="178"/>
      <c r="J2138" s="184"/>
      <c r="N2138" s="178"/>
      <c r="O2138" s="178"/>
      <c r="P2138" s="178"/>
      <c r="AN2138" s="458"/>
    </row>
    <row r="2139" spans="2:40" ht="15.75" customHeight="1">
      <c r="B2139" s="618"/>
      <c r="H2139" s="178"/>
      <c r="I2139" s="178"/>
      <c r="J2139" s="184"/>
      <c r="N2139" s="178"/>
      <c r="O2139" s="178"/>
      <c r="P2139" s="178"/>
      <c r="AN2139" s="458"/>
    </row>
    <row r="2140" spans="2:40" ht="15.75" customHeight="1">
      <c r="B2140" s="618"/>
      <c r="H2140" s="178"/>
      <c r="I2140" s="178"/>
      <c r="J2140" s="184"/>
      <c r="N2140" s="178"/>
      <c r="O2140" s="178"/>
      <c r="P2140" s="178"/>
      <c r="AG2140" s="773"/>
      <c r="AN2140" s="458"/>
    </row>
    <row r="2141" spans="2:40" ht="15.75" customHeight="1">
      <c r="B2141" s="618"/>
      <c r="H2141" s="178"/>
      <c r="I2141" s="178"/>
      <c r="J2141" s="184"/>
      <c r="N2141" s="178"/>
      <c r="O2141" s="178"/>
      <c r="P2141" s="178"/>
      <c r="AN2141" s="458"/>
    </row>
    <row r="2142" spans="2:40" ht="15.75" customHeight="1">
      <c r="B2142" s="618"/>
      <c r="H2142" s="178"/>
      <c r="I2142" s="178"/>
      <c r="J2142" s="184"/>
      <c r="N2142" s="178"/>
      <c r="O2142" s="178"/>
      <c r="P2142" s="178"/>
      <c r="AN2142" s="458"/>
    </row>
    <row r="2143" spans="2:40" ht="15.75" customHeight="1">
      <c r="B2143" s="618"/>
      <c r="H2143" s="178"/>
      <c r="I2143" s="178"/>
      <c r="J2143" s="184"/>
      <c r="N2143" s="178"/>
      <c r="O2143" s="178"/>
      <c r="P2143" s="178"/>
      <c r="AN2143" s="458"/>
    </row>
    <row r="2144" spans="2:40" ht="15.75" customHeight="1">
      <c r="B2144" s="618"/>
      <c r="H2144" s="178"/>
      <c r="I2144" s="178"/>
      <c r="J2144" s="184"/>
      <c r="N2144" s="178"/>
      <c r="O2144" s="178"/>
      <c r="P2144" s="178"/>
      <c r="AN2144" s="458"/>
    </row>
    <row r="2145" spans="2:40" ht="15.75" customHeight="1">
      <c r="B2145" s="618"/>
      <c r="H2145" s="178"/>
      <c r="I2145" s="178"/>
      <c r="J2145" s="184"/>
      <c r="N2145" s="178"/>
      <c r="O2145" s="178"/>
      <c r="P2145" s="178"/>
      <c r="AN2145" s="458"/>
    </row>
    <row r="2146" spans="2:40" ht="15.75" customHeight="1">
      <c r="B2146" s="618"/>
      <c r="H2146" s="178"/>
      <c r="I2146" s="178"/>
      <c r="J2146" s="631"/>
      <c r="N2146" s="178"/>
      <c r="O2146" s="178"/>
      <c r="P2146" s="178"/>
      <c r="AN2146" s="458"/>
    </row>
    <row r="2147" spans="2:40" ht="15.75" customHeight="1">
      <c r="B2147" s="618"/>
      <c r="H2147" s="178"/>
      <c r="I2147" s="178"/>
      <c r="J2147" s="184"/>
      <c r="N2147" s="178"/>
      <c r="O2147" s="178"/>
      <c r="P2147" s="178"/>
      <c r="AN2147" s="458"/>
    </row>
    <row r="2148" spans="2:40" ht="15.75" customHeight="1">
      <c r="B2148" s="618"/>
      <c r="H2148" s="178"/>
      <c r="I2148" s="178"/>
      <c r="J2148" s="184"/>
      <c r="N2148" s="178"/>
      <c r="O2148" s="178"/>
      <c r="P2148" s="178"/>
      <c r="AN2148" s="458"/>
    </row>
    <row r="2149" spans="2:40" ht="15.75" customHeight="1">
      <c r="B2149" s="618"/>
      <c r="H2149" s="178"/>
      <c r="I2149" s="178"/>
      <c r="J2149" s="184"/>
      <c r="N2149" s="178"/>
      <c r="O2149" s="178"/>
      <c r="P2149" s="178"/>
      <c r="AN2149" s="458"/>
    </row>
    <row r="2150" spans="2:40" ht="15.75" customHeight="1">
      <c r="B2150" s="618"/>
      <c r="H2150" s="178"/>
      <c r="I2150" s="178"/>
      <c r="J2150" s="184"/>
      <c r="N2150" s="178"/>
      <c r="O2150" s="178"/>
      <c r="P2150" s="178"/>
      <c r="AN2150" s="458"/>
    </row>
    <row r="2151" spans="2:40" ht="15.75" customHeight="1">
      <c r="B2151" s="618"/>
      <c r="H2151" s="178"/>
      <c r="I2151" s="178"/>
      <c r="J2151" s="184"/>
      <c r="N2151" s="178"/>
      <c r="O2151" s="178"/>
      <c r="P2151" s="178"/>
      <c r="AN2151" s="458"/>
    </row>
    <row r="2152" spans="2:40" ht="15.75" customHeight="1">
      <c r="B2152" s="618"/>
      <c r="H2152" s="178"/>
      <c r="I2152" s="178"/>
      <c r="J2152" s="184"/>
      <c r="N2152" s="178"/>
      <c r="O2152" s="178"/>
      <c r="P2152" s="178"/>
      <c r="AN2152" s="458"/>
    </row>
    <row r="2153" spans="2:40" ht="15.75" customHeight="1">
      <c r="B2153" s="618"/>
      <c r="H2153" s="178"/>
      <c r="I2153" s="178"/>
      <c r="J2153" s="184"/>
      <c r="N2153" s="178"/>
      <c r="O2153" s="178"/>
      <c r="P2153" s="178"/>
      <c r="AN2153" s="458"/>
    </row>
    <row r="2154" spans="2:40" ht="15.75" customHeight="1">
      <c r="B2154" s="618"/>
      <c r="H2154" s="178"/>
      <c r="I2154" s="178"/>
      <c r="J2154" s="184"/>
      <c r="N2154" s="178"/>
      <c r="O2154" s="178"/>
      <c r="P2154" s="178"/>
      <c r="AN2154" s="458"/>
    </row>
    <row r="2155" spans="2:40" ht="15.75" customHeight="1">
      <c r="B2155" s="618"/>
      <c r="H2155" s="178"/>
      <c r="I2155" s="178"/>
      <c r="J2155" s="184"/>
      <c r="N2155" s="178"/>
      <c r="O2155" s="178"/>
      <c r="P2155" s="178"/>
      <c r="AN2155" s="458"/>
    </row>
    <row r="2156" spans="2:40" ht="15.75" customHeight="1">
      <c r="B2156" s="618"/>
      <c r="H2156" s="178"/>
      <c r="I2156" s="178"/>
      <c r="J2156" s="184"/>
      <c r="N2156" s="178"/>
      <c r="O2156" s="178"/>
      <c r="P2156" s="178"/>
      <c r="AN2156" s="458"/>
    </row>
    <row r="2157" spans="2:40" ht="15.75" customHeight="1">
      <c r="B2157" s="618"/>
      <c r="H2157" s="178"/>
      <c r="I2157" s="178"/>
      <c r="J2157" s="184"/>
      <c r="N2157" s="178"/>
      <c r="O2157" s="178"/>
      <c r="P2157" s="178"/>
      <c r="AN2157" s="458"/>
    </row>
    <row r="2158" spans="2:40" ht="15.75" customHeight="1">
      <c r="B2158" s="618"/>
      <c r="H2158" s="178"/>
      <c r="I2158" s="178"/>
      <c r="J2158" s="184"/>
      <c r="N2158" s="178"/>
      <c r="O2158" s="178"/>
      <c r="P2158" s="178"/>
      <c r="AN2158" s="458"/>
    </row>
    <row r="2159" spans="2:40" ht="15.75" customHeight="1">
      <c r="B2159" s="618"/>
      <c r="H2159" s="178"/>
      <c r="I2159" s="178"/>
      <c r="J2159" s="184"/>
      <c r="N2159" s="178"/>
      <c r="O2159" s="178"/>
      <c r="P2159" s="178"/>
      <c r="AN2159" s="458"/>
    </row>
    <row r="2160" spans="2:40" ht="15.75" customHeight="1">
      <c r="B2160" s="618"/>
      <c r="H2160" s="178"/>
      <c r="I2160" s="178"/>
      <c r="J2160" s="184"/>
      <c r="N2160" s="178"/>
      <c r="O2160" s="178"/>
      <c r="P2160" s="178"/>
      <c r="AN2160" s="458"/>
    </row>
    <row r="2161" spans="2:40" ht="15.75" customHeight="1">
      <c r="B2161" s="618"/>
      <c r="H2161" s="178"/>
      <c r="I2161" s="178"/>
      <c r="J2161" s="184"/>
      <c r="N2161" s="178"/>
      <c r="O2161" s="178"/>
      <c r="P2161" s="178"/>
      <c r="AN2161" s="458"/>
    </row>
    <row r="2162" spans="2:40" ht="15.75" customHeight="1">
      <c r="B2162" s="618"/>
      <c r="H2162" s="178"/>
      <c r="I2162" s="178"/>
      <c r="J2162" s="184"/>
      <c r="N2162" s="178"/>
      <c r="O2162" s="178"/>
      <c r="P2162" s="178"/>
      <c r="AN2162" s="458"/>
    </row>
    <row r="2163" spans="2:40" ht="15.75" customHeight="1">
      <c r="B2163" s="618"/>
      <c r="H2163" s="178"/>
      <c r="I2163" s="178"/>
      <c r="J2163" s="184"/>
      <c r="N2163" s="178"/>
      <c r="O2163" s="178"/>
      <c r="P2163" s="178"/>
      <c r="AN2163" s="458"/>
    </row>
    <row r="2164" spans="2:40" ht="15.75" customHeight="1">
      <c r="B2164" s="618"/>
      <c r="H2164" s="178"/>
      <c r="I2164" s="178"/>
      <c r="J2164" s="184"/>
      <c r="N2164" s="178"/>
      <c r="O2164" s="178"/>
      <c r="P2164" s="178"/>
      <c r="AN2164" s="458"/>
    </row>
    <row r="2165" spans="2:40" ht="15.75" customHeight="1">
      <c r="B2165" s="618"/>
      <c r="H2165" s="178"/>
      <c r="I2165" s="178"/>
      <c r="J2165" s="184"/>
      <c r="N2165" s="178"/>
      <c r="O2165" s="178"/>
      <c r="P2165" s="178"/>
      <c r="AN2165" s="458"/>
    </row>
    <row r="2166" spans="2:40" ht="15.75" customHeight="1">
      <c r="B2166" s="618"/>
      <c r="H2166" s="178"/>
      <c r="I2166" s="178"/>
      <c r="J2166" s="184"/>
      <c r="N2166" s="178"/>
      <c r="O2166" s="178"/>
      <c r="P2166" s="178"/>
    </row>
    <row r="2167" spans="2:40" ht="15.75" customHeight="1">
      <c r="B2167" s="618"/>
      <c r="H2167" s="178"/>
      <c r="I2167" s="178"/>
      <c r="J2167" s="184"/>
      <c r="N2167" s="178"/>
      <c r="O2167" s="178"/>
      <c r="P2167" s="178"/>
    </row>
    <row r="2168" spans="2:40" ht="15.75" customHeight="1">
      <c r="B2168" s="618"/>
      <c r="H2168" s="178"/>
      <c r="I2168" s="178"/>
      <c r="J2168" s="184"/>
      <c r="N2168" s="178"/>
      <c r="O2168" s="178"/>
      <c r="P2168" s="178"/>
    </row>
    <row r="2169" spans="2:40" ht="15.75" customHeight="1">
      <c r="B2169" s="618"/>
      <c r="H2169" s="178"/>
      <c r="I2169" s="178"/>
      <c r="J2169" s="184"/>
      <c r="N2169" s="178"/>
      <c r="O2169" s="178"/>
      <c r="P2169" s="178"/>
    </row>
    <row r="2170" spans="2:40" ht="15.75" customHeight="1">
      <c r="B2170" s="618"/>
      <c r="H2170" s="178"/>
      <c r="I2170" s="178"/>
      <c r="J2170" s="184"/>
      <c r="N2170" s="178"/>
      <c r="O2170" s="178"/>
      <c r="P2170" s="178"/>
    </row>
    <row r="2171" spans="2:40" ht="15.75" customHeight="1">
      <c r="B2171" s="618"/>
      <c r="H2171" s="178"/>
      <c r="I2171" s="178"/>
      <c r="J2171" s="184"/>
      <c r="N2171" s="178"/>
      <c r="O2171" s="178"/>
      <c r="P2171" s="178"/>
    </row>
    <row r="2172" spans="2:40" ht="15.75" customHeight="1">
      <c r="B2172" s="618"/>
      <c r="H2172" s="178"/>
      <c r="I2172" s="178"/>
      <c r="J2172" s="184"/>
      <c r="N2172" s="178"/>
      <c r="O2172" s="178"/>
      <c r="P2172" s="178"/>
    </row>
    <row r="2173" spans="2:40" ht="15.75" customHeight="1">
      <c r="B2173" s="618"/>
      <c r="H2173" s="178"/>
      <c r="I2173" s="178"/>
      <c r="J2173" s="184"/>
      <c r="N2173" s="178"/>
      <c r="O2173" s="178"/>
      <c r="P2173" s="178"/>
    </row>
    <row r="2174" spans="2:40" ht="15.75" customHeight="1">
      <c r="B2174" s="618"/>
      <c r="H2174" s="178"/>
      <c r="I2174" s="178"/>
      <c r="J2174" s="184"/>
      <c r="N2174" s="178"/>
      <c r="O2174" s="178"/>
      <c r="P2174" s="178"/>
    </row>
    <row r="2175" spans="2:40" ht="15.75" customHeight="1">
      <c r="B2175" s="618"/>
      <c r="H2175" s="178"/>
      <c r="I2175" s="178"/>
      <c r="J2175" s="184"/>
      <c r="N2175" s="178"/>
      <c r="O2175" s="178"/>
      <c r="P2175" s="178"/>
    </row>
    <row r="2176" spans="2:40" ht="15.75" customHeight="1">
      <c r="B2176" s="618"/>
      <c r="H2176" s="178"/>
      <c r="I2176" s="178"/>
      <c r="J2176" s="184"/>
      <c r="N2176" s="178"/>
      <c r="O2176" s="178"/>
      <c r="P2176" s="178"/>
    </row>
    <row r="2177" spans="2:16" ht="15.75" customHeight="1">
      <c r="B2177" s="618"/>
      <c r="H2177" s="178"/>
      <c r="I2177" s="178"/>
      <c r="J2177" s="184"/>
      <c r="N2177" s="178"/>
      <c r="O2177" s="178"/>
      <c r="P2177" s="178"/>
    </row>
    <row r="2178" spans="2:16" ht="15.75" customHeight="1">
      <c r="B2178" s="618"/>
      <c r="H2178" s="178"/>
      <c r="I2178" s="178"/>
      <c r="J2178" s="184"/>
      <c r="N2178" s="178"/>
      <c r="O2178" s="178"/>
      <c r="P2178" s="178"/>
    </row>
    <row r="2179" spans="2:16" ht="15.75" customHeight="1">
      <c r="B2179" s="618"/>
      <c r="H2179" s="178"/>
      <c r="I2179" s="178"/>
      <c r="J2179" s="184"/>
      <c r="N2179" s="178"/>
      <c r="O2179" s="178"/>
      <c r="P2179" s="178"/>
    </row>
    <row r="2180" spans="2:16" ht="15.75" customHeight="1">
      <c r="B2180" s="618"/>
      <c r="H2180" s="178"/>
      <c r="I2180" s="178"/>
      <c r="J2180" s="184"/>
      <c r="N2180" s="178"/>
      <c r="O2180" s="178"/>
      <c r="P2180" s="178"/>
    </row>
    <row r="2181" spans="2:16" ht="15.75" customHeight="1">
      <c r="B2181" s="618"/>
      <c r="H2181" s="178"/>
      <c r="I2181" s="178"/>
      <c r="J2181" s="184"/>
      <c r="N2181" s="178"/>
      <c r="O2181" s="178"/>
      <c r="P2181" s="178"/>
    </row>
    <row r="2182" spans="2:16" ht="15.75" customHeight="1">
      <c r="B2182" s="618"/>
      <c r="H2182" s="178"/>
      <c r="I2182" s="178"/>
      <c r="J2182" s="184"/>
      <c r="N2182" s="178"/>
      <c r="O2182" s="178"/>
      <c r="P2182" s="178"/>
    </row>
    <row r="2183" spans="2:16" ht="15.75" customHeight="1">
      <c r="B2183" s="618"/>
      <c r="H2183" s="178"/>
      <c r="I2183" s="178"/>
      <c r="J2183" s="184"/>
      <c r="N2183" s="178"/>
      <c r="O2183" s="178"/>
      <c r="P2183" s="178"/>
    </row>
    <row r="2184" spans="2:16" ht="15.75" customHeight="1">
      <c r="B2184" s="618"/>
      <c r="H2184" s="178"/>
      <c r="I2184" s="178"/>
      <c r="J2184" s="184"/>
      <c r="N2184" s="178"/>
      <c r="O2184" s="178"/>
      <c r="P2184" s="178"/>
    </row>
    <row r="2185" spans="2:16" ht="15.75" customHeight="1">
      <c r="B2185" s="618"/>
      <c r="H2185" s="178"/>
      <c r="I2185" s="178"/>
      <c r="J2185" s="184"/>
      <c r="N2185" s="178"/>
      <c r="O2185" s="178"/>
      <c r="P2185" s="178"/>
    </row>
    <row r="2186" spans="2:16" ht="15.75" customHeight="1">
      <c r="B2186" s="618"/>
      <c r="H2186" s="178"/>
      <c r="I2186" s="178"/>
      <c r="J2186" s="184"/>
      <c r="N2186" s="178"/>
      <c r="O2186" s="178"/>
      <c r="P2186" s="178"/>
    </row>
    <row r="2187" spans="2:16" ht="15.75" customHeight="1">
      <c r="B2187" s="618"/>
      <c r="H2187" s="178"/>
      <c r="I2187" s="178"/>
      <c r="J2187" s="184"/>
      <c r="N2187" s="178"/>
      <c r="O2187" s="178"/>
      <c r="P2187" s="178"/>
    </row>
    <row r="2188" spans="2:16" ht="15.75" customHeight="1">
      <c r="B2188" s="618"/>
      <c r="H2188" s="178"/>
      <c r="I2188" s="178"/>
      <c r="J2188" s="184"/>
      <c r="N2188" s="178"/>
      <c r="O2188" s="178"/>
      <c r="P2188" s="178"/>
    </row>
    <row r="2189" spans="2:16" ht="15.75" customHeight="1">
      <c r="B2189" s="618"/>
      <c r="H2189" s="178"/>
      <c r="I2189" s="178"/>
      <c r="J2189" s="184"/>
      <c r="N2189" s="178"/>
      <c r="O2189" s="178"/>
      <c r="P2189" s="178"/>
    </row>
    <row r="2190" spans="2:16" ht="15.75" customHeight="1">
      <c r="B2190" s="618"/>
      <c r="H2190" s="178"/>
      <c r="I2190" s="178"/>
      <c r="J2190" s="184"/>
      <c r="N2190" s="178"/>
      <c r="O2190" s="178"/>
      <c r="P2190" s="178"/>
    </row>
    <row r="2191" spans="2:16" ht="15.75" customHeight="1">
      <c r="B2191" s="618"/>
      <c r="H2191" s="178"/>
      <c r="I2191" s="178"/>
      <c r="J2191" s="184"/>
      <c r="N2191" s="178"/>
      <c r="O2191" s="178"/>
      <c r="P2191" s="178"/>
    </row>
    <row r="2192" spans="2:16" ht="15.75" customHeight="1">
      <c r="B2192" s="618"/>
      <c r="H2192" s="178"/>
      <c r="I2192" s="178"/>
      <c r="J2192" s="184"/>
      <c r="N2192" s="178"/>
      <c r="O2192" s="178"/>
      <c r="P2192" s="178"/>
    </row>
    <row r="2193" spans="2:16" ht="15.75" customHeight="1">
      <c r="B2193" s="618"/>
      <c r="H2193" s="178"/>
      <c r="I2193" s="178"/>
      <c r="J2193" s="184"/>
      <c r="N2193" s="178"/>
      <c r="O2193" s="178"/>
      <c r="P2193" s="178"/>
    </row>
    <row r="2194" spans="2:16" ht="15.75" customHeight="1">
      <c r="B2194" s="618"/>
      <c r="H2194" s="178"/>
      <c r="I2194" s="178"/>
      <c r="J2194" s="184"/>
      <c r="N2194" s="178"/>
      <c r="O2194" s="178"/>
      <c r="P2194" s="178"/>
    </row>
    <row r="2195" spans="2:16" ht="15.75" customHeight="1">
      <c r="B2195" s="618"/>
      <c r="H2195" s="178"/>
      <c r="I2195" s="178"/>
      <c r="J2195" s="184"/>
      <c r="N2195" s="178"/>
      <c r="O2195" s="178"/>
      <c r="P2195" s="178"/>
    </row>
    <row r="2196" spans="2:16" ht="15.75" customHeight="1">
      <c r="B2196" s="618"/>
      <c r="H2196" s="178"/>
      <c r="I2196" s="178"/>
      <c r="J2196" s="184"/>
      <c r="N2196" s="178"/>
      <c r="O2196" s="178"/>
      <c r="P2196" s="178"/>
    </row>
    <row r="2197" spans="2:16" ht="15.75" customHeight="1">
      <c r="B2197" s="618"/>
      <c r="H2197" s="178"/>
      <c r="I2197" s="178"/>
      <c r="J2197" s="184"/>
      <c r="N2197" s="178"/>
      <c r="O2197" s="178"/>
      <c r="P2197" s="178"/>
    </row>
    <row r="2198" spans="2:16" ht="15.75" customHeight="1">
      <c r="B2198" s="618"/>
      <c r="H2198" s="178"/>
      <c r="I2198" s="178"/>
      <c r="J2198" s="184"/>
      <c r="N2198" s="178"/>
      <c r="O2198" s="178"/>
      <c r="P2198" s="178"/>
    </row>
    <row r="2199" spans="2:16" ht="15.75" customHeight="1">
      <c r="B2199" s="618"/>
      <c r="H2199" s="178"/>
      <c r="I2199" s="178"/>
      <c r="J2199" s="184"/>
      <c r="N2199" s="178"/>
      <c r="O2199" s="178"/>
      <c r="P2199" s="178"/>
    </row>
    <row r="2200" spans="2:16" ht="15.75" customHeight="1">
      <c r="B2200" s="618"/>
      <c r="H2200" s="178"/>
      <c r="I2200" s="178"/>
      <c r="J2200" s="184"/>
      <c r="N2200" s="178"/>
      <c r="O2200" s="178"/>
      <c r="P2200" s="178"/>
    </row>
    <row r="2201" spans="2:16" ht="15.75" customHeight="1">
      <c r="B2201" s="618"/>
      <c r="H2201" s="178"/>
      <c r="I2201" s="178"/>
      <c r="J2201" s="184"/>
      <c r="N2201" s="178"/>
      <c r="O2201" s="178"/>
      <c r="P2201" s="178"/>
    </row>
    <row r="2202" spans="2:16" ht="15.75" customHeight="1">
      <c r="B2202" s="618"/>
      <c r="H2202" s="178"/>
      <c r="I2202" s="178"/>
      <c r="J2202" s="184"/>
      <c r="N2202" s="178"/>
      <c r="O2202" s="178"/>
      <c r="P2202" s="178"/>
    </row>
    <row r="2203" spans="2:16" ht="15.75" customHeight="1">
      <c r="B2203" s="618"/>
      <c r="H2203" s="178"/>
      <c r="I2203" s="178"/>
      <c r="J2203" s="184"/>
      <c r="N2203" s="178"/>
      <c r="O2203" s="178"/>
      <c r="P2203" s="178"/>
    </row>
    <row r="2204" spans="2:16" ht="15.75" customHeight="1">
      <c r="B2204" s="618"/>
      <c r="H2204" s="178"/>
      <c r="I2204" s="178"/>
      <c r="J2204" s="184"/>
      <c r="N2204" s="178"/>
      <c r="O2204" s="178"/>
      <c r="P2204" s="178"/>
    </row>
    <row r="2205" spans="2:16" ht="15.75" customHeight="1">
      <c r="B2205" s="618"/>
      <c r="H2205" s="178"/>
      <c r="I2205" s="178"/>
      <c r="J2205" s="184"/>
      <c r="N2205" s="178"/>
      <c r="O2205" s="178"/>
      <c r="P2205" s="178"/>
    </row>
    <row r="2206" spans="2:16" ht="15.75" customHeight="1">
      <c r="B2206" s="618"/>
      <c r="H2206" s="178"/>
      <c r="I2206" s="178"/>
      <c r="J2206" s="184"/>
      <c r="N2206" s="178"/>
      <c r="O2206" s="178"/>
      <c r="P2206" s="178"/>
    </row>
    <row r="2207" spans="2:16" ht="15.75" customHeight="1">
      <c r="B2207" s="618"/>
      <c r="H2207" s="178"/>
      <c r="I2207" s="178"/>
      <c r="J2207" s="184"/>
      <c r="N2207" s="178"/>
      <c r="O2207" s="178"/>
      <c r="P2207" s="178"/>
    </row>
    <row r="2208" spans="2:16" ht="15.75" customHeight="1">
      <c r="B2208" s="618"/>
      <c r="H2208" s="178"/>
      <c r="I2208" s="178"/>
      <c r="J2208" s="184"/>
      <c r="N2208" s="178"/>
      <c r="O2208" s="178"/>
      <c r="P2208" s="178"/>
    </row>
    <row r="2209" spans="2:16" ht="15.75" customHeight="1">
      <c r="B2209" s="618"/>
      <c r="H2209" s="178"/>
      <c r="I2209" s="178"/>
      <c r="J2209" s="184"/>
      <c r="N2209" s="178"/>
      <c r="O2209" s="178"/>
      <c r="P2209" s="178"/>
    </row>
    <row r="2210" spans="2:16" ht="15.75" customHeight="1">
      <c r="B2210" s="618"/>
      <c r="H2210" s="178"/>
      <c r="I2210" s="178"/>
      <c r="J2210" s="184"/>
      <c r="N2210" s="178"/>
      <c r="O2210" s="178"/>
      <c r="P2210" s="178"/>
    </row>
    <row r="2211" spans="2:16" ht="15.75" customHeight="1">
      <c r="B2211" s="618"/>
      <c r="H2211" s="178"/>
      <c r="I2211" s="178"/>
      <c r="J2211" s="184"/>
      <c r="N2211" s="178"/>
      <c r="O2211" s="178"/>
      <c r="P2211" s="178"/>
    </row>
    <row r="2212" spans="2:16" ht="15.75" customHeight="1">
      <c r="B2212" s="618"/>
      <c r="H2212" s="178"/>
      <c r="I2212" s="178"/>
      <c r="J2212" s="184"/>
      <c r="N2212" s="178"/>
      <c r="O2212" s="178"/>
      <c r="P2212" s="178"/>
    </row>
    <row r="2213" spans="2:16" ht="15.75" customHeight="1">
      <c r="B2213" s="618"/>
      <c r="H2213" s="178"/>
      <c r="I2213" s="178"/>
      <c r="J2213" s="184"/>
      <c r="N2213" s="178"/>
      <c r="O2213" s="178"/>
      <c r="P2213" s="178"/>
    </row>
    <row r="2214" spans="2:16" ht="15.75" customHeight="1">
      <c r="B2214" s="618"/>
      <c r="H2214" s="178"/>
      <c r="I2214" s="178"/>
      <c r="J2214" s="184"/>
      <c r="N2214" s="178"/>
      <c r="O2214" s="178"/>
      <c r="P2214" s="178"/>
    </row>
    <row r="2215" spans="2:16" ht="15.75" customHeight="1">
      <c r="B2215" s="618"/>
      <c r="H2215" s="178"/>
      <c r="I2215" s="178"/>
      <c r="J2215" s="184"/>
      <c r="N2215" s="178"/>
      <c r="O2215" s="178"/>
      <c r="P2215" s="178"/>
    </row>
    <row r="2216" spans="2:16" ht="15.75" customHeight="1">
      <c r="B2216" s="618"/>
      <c r="H2216" s="178"/>
      <c r="I2216" s="178"/>
      <c r="J2216" s="184"/>
      <c r="N2216" s="178"/>
      <c r="O2216" s="178"/>
      <c r="P2216" s="178"/>
    </row>
    <row r="2217" spans="2:16" ht="15.75" customHeight="1">
      <c r="B2217" s="618"/>
      <c r="H2217" s="178"/>
      <c r="I2217" s="178"/>
      <c r="J2217" s="184"/>
      <c r="N2217" s="178"/>
      <c r="O2217" s="178"/>
      <c r="P2217" s="178"/>
    </row>
    <row r="2218" spans="2:16" ht="15.75" customHeight="1">
      <c r="B2218" s="618"/>
      <c r="H2218" s="178"/>
      <c r="I2218" s="178"/>
      <c r="J2218" s="184"/>
      <c r="N2218" s="178"/>
      <c r="O2218" s="178"/>
      <c r="P2218" s="178"/>
    </row>
    <row r="2219" spans="2:16" ht="15.75" customHeight="1">
      <c r="B2219" s="618"/>
      <c r="H2219" s="178"/>
      <c r="I2219" s="178"/>
      <c r="J2219" s="184"/>
      <c r="N2219" s="178"/>
      <c r="O2219" s="178"/>
      <c r="P2219" s="178"/>
    </row>
    <row r="2220" spans="2:16" ht="15.75" customHeight="1">
      <c r="B2220" s="618"/>
      <c r="H2220" s="178"/>
      <c r="I2220" s="178"/>
      <c r="J2220" s="184"/>
      <c r="N2220" s="178"/>
      <c r="O2220" s="178"/>
      <c r="P2220" s="178"/>
    </row>
    <row r="2221" spans="2:16" ht="15.75" customHeight="1">
      <c r="B2221" s="618"/>
      <c r="H2221" s="178"/>
      <c r="I2221" s="178"/>
      <c r="J2221" s="184"/>
      <c r="N2221" s="178"/>
      <c r="O2221" s="178"/>
      <c r="P2221" s="178"/>
    </row>
    <row r="2222" spans="2:16" ht="15.75" customHeight="1">
      <c r="B2222" s="618"/>
      <c r="H2222" s="178"/>
      <c r="I2222" s="178"/>
      <c r="J2222" s="184"/>
      <c r="N2222" s="178"/>
      <c r="O2222" s="178"/>
      <c r="P2222" s="178"/>
    </row>
    <row r="2223" spans="2:16" ht="15.75" customHeight="1">
      <c r="B2223" s="618"/>
      <c r="H2223" s="178"/>
      <c r="I2223" s="178"/>
      <c r="J2223" s="184"/>
      <c r="N2223" s="178"/>
      <c r="O2223" s="178"/>
      <c r="P2223" s="178"/>
    </row>
    <row r="2224" spans="2:16" ht="15.75" customHeight="1">
      <c r="B2224" s="618"/>
      <c r="H2224" s="178"/>
      <c r="I2224" s="178"/>
      <c r="J2224" s="184"/>
      <c r="N2224" s="178"/>
      <c r="O2224" s="178"/>
      <c r="P2224" s="178"/>
    </row>
    <row r="2225" spans="2:16" ht="15.75" customHeight="1">
      <c r="B2225" s="618"/>
      <c r="H2225" s="178"/>
      <c r="I2225" s="178"/>
      <c r="J2225" s="184"/>
      <c r="N2225" s="178"/>
      <c r="O2225" s="178"/>
      <c r="P2225" s="178"/>
    </row>
    <row r="2226" spans="2:16" ht="15.75" customHeight="1">
      <c r="B2226" s="618"/>
      <c r="H2226" s="178"/>
      <c r="I2226" s="178"/>
      <c r="J2226" s="184"/>
      <c r="N2226" s="178"/>
      <c r="O2226" s="178"/>
      <c r="P2226" s="178"/>
    </row>
    <row r="2227" spans="2:16" ht="15.75" customHeight="1">
      <c r="B2227" s="618"/>
      <c r="H2227" s="178"/>
      <c r="I2227" s="178"/>
      <c r="J2227" s="184"/>
      <c r="N2227" s="178"/>
      <c r="O2227" s="178"/>
      <c r="P2227" s="178"/>
    </row>
    <row r="2228" spans="2:16" ht="15.75" customHeight="1">
      <c r="B2228" s="618"/>
      <c r="H2228" s="178"/>
      <c r="I2228" s="178"/>
      <c r="J2228" s="184"/>
      <c r="N2228" s="178"/>
      <c r="O2228" s="178"/>
      <c r="P2228" s="178"/>
    </row>
    <row r="2229" spans="2:16" ht="15.75" customHeight="1">
      <c r="B2229" s="618"/>
      <c r="H2229" s="178"/>
      <c r="I2229" s="178"/>
      <c r="J2229" s="184"/>
      <c r="N2229" s="178"/>
      <c r="O2229" s="178"/>
      <c r="P2229" s="178"/>
    </row>
    <row r="2230" spans="2:16" ht="15.75" customHeight="1">
      <c r="B2230" s="618"/>
      <c r="H2230" s="178"/>
      <c r="I2230" s="178"/>
      <c r="J2230" s="184"/>
      <c r="N2230" s="178"/>
      <c r="O2230" s="178"/>
      <c r="P2230" s="178"/>
    </row>
    <row r="2231" spans="2:16" ht="15.75" customHeight="1">
      <c r="B2231" s="618"/>
      <c r="H2231" s="178"/>
      <c r="I2231" s="178"/>
      <c r="J2231" s="184"/>
      <c r="N2231" s="178"/>
      <c r="O2231" s="178"/>
      <c r="P2231" s="178"/>
    </row>
    <row r="2232" spans="2:16" ht="15.75" customHeight="1">
      <c r="B2232" s="618"/>
      <c r="H2232" s="178"/>
      <c r="I2232" s="178"/>
      <c r="J2232" s="184"/>
      <c r="N2232" s="178"/>
      <c r="O2232" s="178"/>
      <c r="P2232" s="178"/>
    </row>
    <row r="2233" spans="2:16" ht="15.75" customHeight="1">
      <c r="B2233" s="618"/>
      <c r="H2233" s="178"/>
      <c r="I2233" s="178"/>
      <c r="J2233" s="184"/>
      <c r="N2233" s="178"/>
      <c r="O2233" s="178"/>
      <c r="P2233" s="178"/>
    </row>
    <row r="2234" spans="2:16" ht="15.75" customHeight="1">
      <c r="B2234" s="618"/>
      <c r="H2234" s="178"/>
      <c r="I2234" s="178"/>
      <c r="J2234" s="184"/>
      <c r="N2234" s="178"/>
      <c r="O2234" s="178"/>
      <c r="P2234" s="178"/>
    </row>
    <row r="2235" spans="2:16" ht="15.75" customHeight="1">
      <c r="B2235" s="618"/>
      <c r="H2235" s="178"/>
      <c r="I2235" s="178"/>
      <c r="J2235" s="184"/>
      <c r="N2235" s="178"/>
      <c r="O2235" s="178"/>
      <c r="P2235" s="178"/>
    </row>
    <row r="2236" spans="2:16" ht="15.75" customHeight="1">
      <c r="B2236" s="618"/>
      <c r="H2236" s="178"/>
      <c r="I2236" s="178"/>
      <c r="J2236" s="184"/>
      <c r="N2236" s="178"/>
      <c r="O2236" s="178"/>
      <c r="P2236" s="178"/>
    </row>
    <row r="2237" spans="2:16" ht="15.75" customHeight="1">
      <c r="B2237" s="618"/>
      <c r="H2237" s="178"/>
      <c r="I2237" s="178"/>
      <c r="J2237" s="184"/>
      <c r="N2237" s="178"/>
      <c r="O2237" s="178"/>
      <c r="P2237" s="178"/>
    </row>
    <row r="2238" spans="2:16" ht="15.75" customHeight="1">
      <c r="B2238" s="618"/>
      <c r="H2238" s="178"/>
      <c r="I2238" s="178"/>
      <c r="J2238" s="184"/>
      <c r="N2238" s="178"/>
      <c r="O2238" s="178"/>
      <c r="P2238" s="178"/>
    </row>
    <row r="2239" spans="2:16" ht="15.75" customHeight="1">
      <c r="B2239" s="618"/>
      <c r="H2239" s="178"/>
      <c r="I2239" s="178"/>
      <c r="J2239" s="184"/>
      <c r="N2239" s="178"/>
      <c r="O2239" s="178"/>
      <c r="P2239" s="178"/>
    </row>
    <row r="2240" spans="2:16" ht="15.75" customHeight="1">
      <c r="B2240" s="618"/>
      <c r="H2240" s="178"/>
      <c r="I2240" s="178"/>
      <c r="J2240" s="184"/>
      <c r="N2240" s="178"/>
      <c r="O2240" s="178"/>
      <c r="P2240" s="178"/>
    </row>
    <row r="2241" spans="2:16" ht="15.75" customHeight="1">
      <c r="B2241" s="618"/>
      <c r="H2241" s="178"/>
      <c r="I2241" s="178"/>
      <c r="J2241" s="184"/>
      <c r="N2241" s="178"/>
      <c r="O2241" s="178"/>
      <c r="P2241" s="178"/>
    </row>
    <row r="2242" spans="2:16" ht="15.75" customHeight="1">
      <c r="B2242" s="618"/>
      <c r="H2242" s="178"/>
      <c r="I2242" s="178"/>
      <c r="J2242" s="184"/>
      <c r="N2242" s="178"/>
      <c r="O2242" s="178"/>
      <c r="P2242" s="178"/>
    </row>
    <row r="2243" spans="2:16" ht="15.75" customHeight="1">
      <c r="B2243" s="618"/>
      <c r="H2243" s="178"/>
      <c r="I2243" s="178"/>
      <c r="J2243" s="184"/>
      <c r="N2243" s="178"/>
      <c r="O2243" s="178"/>
      <c r="P2243" s="178"/>
    </row>
    <row r="2244" spans="2:16" ht="15.75" customHeight="1">
      <c r="B2244" s="618"/>
      <c r="H2244" s="178"/>
      <c r="I2244" s="178"/>
      <c r="J2244" s="184"/>
      <c r="N2244" s="178"/>
      <c r="O2244" s="178"/>
      <c r="P2244" s="178"/>
    </row>
    <row r="2245" spans="2:16" ht="15.75" customHeight="1">
      <c r="B2245" s="618"/>
      <c r="H2245" s="178"/>
      <c r="I2245" s="178"/>
      <c r="J2245" s="184"/>
      <c r="N2245" s="178"/>
      <c r="O2245" s="178"/>
      <c r="P2245" s="178"/>
    </row>
    <row r="2246" spans="2:16" ht="15.75" customHeight="1">
      <c r="B2246" s="618"/>
      <c r="H2246" s="178"/>
      <c r="I2246" s="178"/>
      <c r="J2246" s="184"/>
      <c r="N2246" s="178"/>
      <c r="O2246" s="178"/>
      <c r="P2246" s="178"/>
    </row>
    <row r="2247" spans="2:16" ht="15.75" customHeight="1">
      <c r="B2247" s="618"/>
      <c r="H2247" s="178"/>
      <c r="I2247" s="178"/>
      <c r="J2247" s="184"/>
      <c r="N2247" s="178"/>
      <c r="O2247" s="178"/>
      <c r="P2247" s="178"/>
    </row>
    <row r="2248" spans="2:16" ht="15.75" customHeight="1">
      <c r="B2248" s="618"/>
      <c r="H2248" s="178"/>
      <c r="I2248" s="178"/>
      <c r="J2248" s="184"/>
      <c r="N2248" s="178"/>
      <c r="O2248" s="178"/>
      <c r="P2248" s="178"/>
    </row>
    <row r="2249" spans="2:16" ht="15.75" customHeight="1">
      <c r="B2249" s="618"/>
      <c r="H2249" s="178"/>
      <c r="I2249" s="178"/>
      <c r="J2249" s="184"/>
      <c r="N2249" s="178"/>
      <c r="O2249" s="178"/>
      <c r="P2249" s="178"/>
    </row>
    <row r="2250" spans="2:16" ht="15.75" customHeight="1">
      <c r="B2250" s="618"/>
      <c r="H2250" s="178"/>
      <c r="I2250" s="178"/>
      <c r="J2250" s="184"/>
      <c r="N2250" s="178"/>
      <c r="O2250" s="178"/>
      <c r="P2250" s="178"/>
    </row>
    <row r="2251" spans="2:16" ht="15.75" customHeight="1">
      <c r="B2251" s="618"/>
      <c r="H2251" s="178"/>
      <c r="I2251" s="178"/>
      <c r="J2251" s="184"/>
      <c r="N2251" s="178"/>
      <c r="O2251" s="178"/>
      <c r="P2251" s="178"/>
    </row>
    <row r="2252" spans="2:16" ht="15.75" customHeight="1">
      <c r="B2252" s="618"/>
      <c r="H2252" s="178"/>
      <c r="I2252" s="178"/>
      <c r="J2252" s="184"/>
      <c r="N2252" s="178"/>
      <c r="O2252" s="178"/>
      <c r="P2252" s="178"/>
    </row>
    <row r="2253" spans="2:16" ht="15.75" customHeight="1">
      <c r="B2253" s="618"/>
      <c r="H2253" s="178"/>
      <c r="I2253" s="178"/>
      <c r="J2253" s="184"/>
      <c r="N2253" s="178"/>
      <c r="O2253" s="178"/>
      <c r="P2253" s="178"/>
    </row>
    <row r="2254" spans="2:16" ht="15.75" customHeight="1">
      <c r="B2254" s="618"/>
      <c r="H2254" s="178"/>
      <c r="I2254" s="178"/>
      <c r="J2254" s="184"/>
      <c r="N2254" s="178"/>
      <c r="O2254" s="178"/>
      <c r="P2254" s="178"/>
    </row>
    <row r="2255" spans="2:16" ht="15.75" customHeight="1">
      <c r="B2255" s="618"/>
      <c r="H2255" s="178"/>
      <c r="I2255" s="178"/>
      <c r="J2255" s="184"/>
      <c r="N2255" s="178"/>
      <c r="O2255" s="178"/>
      <c r="P2255" s="178"/>
    </row>
    <row r="2256" spans="2:16" ht="15.75" customHeight="1">
      <c r="B2256" s="618"/>
      <c r="H2256" s="178"/>
      <c r="I2256" s="178"/>
      <c r="J2256" s="184"/>
      <c r="N2256" s="178"/>
      <c r="O2256" s="178"/>
      <c r="P2256" s="178"/>
    </row>
    <row r="2257" spans="2:16" ht="15.75" customHeight="1">
      <c r="B2257" s="618"/>
      <c r="H2257" s="178"/>
      <c r="I2257" s="178"/>
      <c r="J2257" s="184"/>
      <c r="N2257" s="178"/>
      <c r="O2257" s="178"/>
      <c r="P2257" s="178"/>
    </row>
    <row r="2258" spans="2:16" ht="15.75" customHeight="1">
      <c r="B2258" s="618"/>
      <c r="H2258" s="178"/>
      <c r="I2258" s="178"/>
      <c r="J2258" s="184"/>
      <c r="N2258" s="178"/>
      <c r="O2258" s="178"/>
      <c r="P2258" s="178"/>
    </row>
    <row r="2259" spans="2:16" ht="15.75" customHeight="1">
      <c r="B2259" s="618"/>
      <c r="H2259" s="178"/>
      <c r="I2259" s="178"/>
      <c r="J2259" s="184"/>
      <c r="N2259" s="178"/>
      <c r="O2259" s="178"/>
      <c r="P2259" s="178"/>
    </row>
    <row r="2260" spans="2:16" ht="15.75" customHeight="1">
      <c r="B2260" s="618"/>
      <c r="H2260" s="178"/>
      <c r="I2260" s="178"/>
      <c r="J2260" s="184"/>
      <c r="N2260" s="178"/>
      <c r="O2260" s="178"/>
      <c r="P2260" s="178"/>
    </row>
    <row r="2261" spans="2:16" ht="15.75" customHeight="1">
      <c r="B2261" s="618"/>
      <c r="H2261" s="178"/>
      <c r="I2261" s="178"/>
      <c r="J2261" s="184"/>
      <c r="N2261" s="178"/>
      <c r="O2261" s="178"/>
      <c r="P2261" s="178"/>
    </row>
    <row r="2262" spans="2:16" ht="15.75" customHeight="1">
      <c r="B2262" s="618"/>
      <c r="H2262" s="178"/>
      <c r="I2262" s="178"/>
      <c r="J2262" s="184"/>
      <c r="N2262" s="178"/>
      <c r="O2262" s="178"/>
      <c r="P2262" s="178"/>
    </row>
    <row r="2263" spans="2:16" ht="15.75" customHeight="1">
      <c r="B2263" s="618"/>
      <c r="H2263" s="178"/>
      <c r="I2263" s="178"/>
      <c r="J2263" s="184"/>
      <c r="N2263" s="178"/>
      <c r="O2263" s="178"/>
      <c r="P2263" s="178"/>
    </row>
    <row r="2264" spans="2:16" ht="15.75" customHeight="1">
      <c r="B2264" s="618"/>
      <c r="H2264" s="178"/>
      <c r="I2264" s="178"/>
      <c r="J2264" s="184"/>
      <c r="N2264" s="178"/>
      <c r="O2264" s="178"/>
      <c r="P2264" s="178"/>
    </row>
    <row r="2265" spans="2:16" ht="15.75" customHeight="1">
      <c r="B2265" s="618"/>
      <c r="H2265" s="178"/>
      <c r="I2265" s="178"/>
      <c r="J2265" s="184"/>
      <c r="N2265" s="178"/>
      <c r="O2265" s="178"/>
      <c r="P2265" s="178"/>
    </row>
    <row r="2266" spans="2:16" ht="15.75" customHeight="1">
      <c r="B2266" s="618"/>
      <c r="H2266" s="178"/>
      <c r="I2266" s="178"/>
      <c r="J2266" s="184"/>
      <c r="N2266" s="178"/>
      <c r="O2266" s="178"/>
      <c r="P2266" s="178"/>
    </row>
    <row r="2267" spans="2:16" ht="15.75" customHeight="1">
      <c r="B2267" s="618"/>
      <c r="H2267" s="178"/>
      <c r="I2267" s="178"/>
      <c r="J2267" s="184"/>
      <c r="N2267" s="178"/>
      <c r="O2267" s="178"/>
      <c r="P2267" s="178"/>
    </row>
    <row r="2268" spans="2:16" ht="15.75" customHeight="1">
      <c r="B2268" s="618"/>
      <c r="H2268" s="178"/>
      <c r="I2268" s="178"/>
      <c r="J2268" s="184"/>
      <c r="N2268" s="178"/>
      <c r="O2268" s="178"/>
      <c r="P2268" s="178"/>
    </row>
    <row r="2269" spans="2:16" ht="15.75" customHeight="1">
      <c r="B2269" s="618"/>
      <c r="H2269" s="178"/>
      <c r="I2269" s="178"/>
      <c r="J2269" s="184"/>
      <c r="N2269" s="178"/>
      <c r="O2269" s="178"/>
      <c r="P2269" s="178"/>
    </row>
    <row r="2270" spans="2:16" ht="15.75" customHeight="1">
      <c r="B2270" s="618"/>
      <c r="H2270" s="178"/>
      <c r="I2270" s="178"/>
      <c r="J2270" s="184"/>
      <c r="N2270" s="178"/>
      <c r="O2270" s="178"/>
      <c r="P2270" s="178"/>
    </row>
    <row r="2271" spans="2:16" ht="15.75" customHeight="1">
      <c r="B2271" s="618"/>
      <c r="H2271" s="178"/>
      <c r="I2271" s="178"/>
      <c r="J2271" s="184"/>
      <c r="N2271" s="178"/>
      <c r="O2271" s="178"/>
      <c r="P2271" s="178"/>
    </row>
    <row r="2272" spans="2:16" ht="15.75" customHeight="1">
      <c r="B2272" s="618"/>
      <c r="H2272" s="178"/>
      <c r="I2272" s="178"/>
      <c r="J2272" s="184"/>
      <c r="N2272" s="178"/>
      <c r="O2272" s="178"/>
      <c r="P2272" s="178"/>
    </row>
    <row r="2273" spans="2:16" ht="15.75" customHeight="1">
      <c r="B2273" s="618"/>
      <c r="H2273" s="178"/>
      <c r="I2273" s="178"/>
      <c r="J2273" s="184"/>
      <c r="N2273" s="178"/>
      <c r="O2273" s="178"/>
      <c r="P2273" s="178"/>
    </row>
    <row r="2274" spans="2:16" ht="15.75" customHeight="1">
      <c r="B2274" s="618"/>
      <c r="H2274" s="178"/>
      <c r="I2274" s="178"/>
      <c r="J2274" s="184"/>
      <c r="N2274" s="178"/>
      <c r="O2274" s="178"/>
      <c r="P2274" s="178"/>
    </row>
    <row r="2275" spans="2:16" ht="15.75" customHeight="1">
      <c r="B2275" s="618"/>
      <c r="H2275" s="178"/>
      <c r="I2275" s="178"/>
      <c r="J2275" s="184"/>
      <c r="N2275" s="178"/>
      <c r="O2275" s="178"/>
      <c r="P2275" s="178"/>
    </row>
    <row r="2276" spans="2:16" ht="15.75" customHeight="1">
      <c r="B2276" s="618"/>
      <c r="H2276" s="178"/>
      <c r="I2276" s="178"/>
      <c r="J2276" s="184"/>
      <c r="N2276" s="178"/>
      <c r="O2276" s="178"/>
      <c r="P2276" s="178"/>
    </row>
    <row r="2277" spans="2:16" ht="15.75" customHeight="1">
      <c r="B2277" s="618"/>
      <c r="H2277" s="178"/>
      <c r="I2277" s="178"/>
      <c r="J2277" s="184"/>
      <c r="N2277" s="178"/>
      <c r="O2277" s="178"/>
      <c r="P2277" s="178"/>
    </row>
    <row r="2278" spans="2:16" ht="15.75" customHeight="1">
      <c r="B2278" s="618"/>
      <c r="H2278" s="178"/>
      <c r="I2278" s="178"/>
      <c r="J2278" s="184"/>
      <c r="N2278" s="178"/>
      <c r="O2278" s="178"/>
      <c r="P2278" s="178"/>
    </row>
    <row r="2279" spans="2:16" ht="15.75" customHeight="1">
      <c r="B2279" s="618"/>
      <c r="H2279" s="178"/>
      <c r="I2279" s="178"/>
      <c r="J2279" s="184"/>
      <c r="N2279" s="178"/>
      <c r="O2279" s="178"/>
      <c r="P2279" s="178"/>
    </row>
    <row r="2280" spans="2:16" ht="15.75" customHeight="1">
      <c r="B2280" s="618"/>
      <c r="H2280" s="178"/>
      <c r="I2280" s="178"/>
      <c r="J2280" s="184"/>
      <c r="N2280" s="178"/>
      <c r="O2280" s="178"/>
      <c r="P2280" s="178"/>
    </row>
    <row r="2281" spans="2:16" ht="15.75" customHeight="1">
      <c r="B2281" s="618"/>
      <c r="H2281" s="178"/>
      <c r="I2281" s="178"/>
      <c r="J2281" s="184"/>
      <c r="N2281" s="178"/>
      <c r="O2281" s="178"/>
      <c r="P2281" s="178"/>
    </row>
    <row r="2282" spans="2:16" ht="15.75" customHeight="1">
      <c r="B2282" s="618"/>
      <c r="H2282" s="178"/>
      <c r="I2282" s="178"/>
      <c r="J2282" s="184"/>
      <c r="N2282" s="178"/>
      <c r="O2282" s="178"/>
      <c r="P2282" s="178"/>
    </row>
    <row r="2283" spans="2:16" ht="15.75" customHeight="1">
      <c r="B2283" s="618"/>
      <c r="H2283" s="178"/>
      <c r="I2283" s="178"/>
      <c r="J2283" s="184"/>
      <c r="N2283" s="178"/>
      <c r="O2283" s="178"/>
      <c r="P2283" s="178"/>
    </row>
    <row r="2284" spans="2:16" ht="15.75" customHeight="1">
      <c r="B2284" s="618"/>
      <c r="H2284" s="178"/>
      <c r="I2284" s="178"/>
      <c r="J2284" s="184"/>
      <c r="N2284" s="178"/>
      <c r="O2284" s="178"/>
      <c r="P2284" s="178"/>
    </row>
    <row r="2285" spans="2:16" ht="15.75" customHeight="1">
      <c r="B2285" s="618"/>
      <c r="H2285" s="178"/>
      <c r="I2285" s="178"/>
      <c r="J2285" s="184"/>
      <c r="N2285" s="178"/>
      <c r="O2285" s="178"/>
      <c r="P2285" s="178"/>
    </row>
    <row r="2286" spans="2:16" ht="15.75" customHeight="1">
      <c r="B2286" s="618"/>
      <c r="H2286" s="178"/>
      <c r="I2286" s="178"/>
      <c r="J2286" s="184"/>
      <c r="N2286" s="178"/>
      <c r="O2286" s="178"/>
      <c r="P2286" s="178"/>
    </row>
    <row r="2287" spans="2:16" ht="15.75" customHeight="1">
      <c r="B2287" s="618"/>
      <c r="H2287" s="178"/>
      <c r="I2287" s="178"/>
      <c r="J2287" s="184"/>
      <c r="N2287" s="178"/>
      <c r="O2287" s="178"/>
      <c r="P2287" s="178"/>
    </row>
    <row r="2288" spans="2:16" ht="15.75" customHeight="1">
      <c r="B2288" s="618"/>
      <c r="H2288" s="178"/>
      <c r="I2288" s="178"/>
      <c r="J2288" s="184"/>
      <c r="N2288" s="178"/>
      <c r="O2288" s="178"/>
      <c r="P2288" s="178"/>
    </row>
    <row r="2289" spans="2:16" ht="15.75" customHeight="1">
      <c r="B2289" s="618"/>
      <c r="H2289" s="178"/>
      <c r="I2289" s="178"/>
      <c r="J2289" s="184"/>
      <c r="N2289" s="178"/>
      <c r="O2289" s="178"/>
      <c r="P2289" s="178"/>
    </row>
    <row r="2290" spans="2:16" ht="15.75" customHeight="1">
      <c r="B2290" s="618"/>
      <c r="H2290" s="178"/>
      <c r="I2290" s="178"/>
      <c r="J2290" s="184"/>
      <c r="N2290" s="178"/>
      <c r="O2290" s="178"/>
      <c r="P2290" s="178"/>
    </row>
    <row r="2291" spans="2:16" ht="15.75" customHeight="1">
      <c r="B2291" s="618"/>
      <c r="H2291" s="178"/>
      <c r="I2291" s="178"/>
      <c r="J2291" s="184"/>
      <c r="N2291" s="178"/>
      <c r="O2291" s="178"/>
      <c r="P2291" s="178"/>
    </row>
    <row r="2292" spans="2:16" ht="15.75" customHeight="1">
      <c r="B2292" s="618"/>
      <c r="H2292" s="178"/>
      <c r="I2292" s="178"/>
      <c r="J2292" s="184"/>
      <c r="N2292" s="178"/>
      <c r="O2292" s="178"/>
      <c r="P2292" s="178"/>
    </row>
    <row r="2293" spans="2:16" ht="15.75" customHeight="1">
      <c r="B2293" s="618"/>
      <c r="H2293" s="178"/>
      <c r="I2293" s="178"/>
      <c r="J2293" s="184"/>
      <c r="N2293" s="178"/>
      <c r="O2293" s="178"/>
      <c r="P2293" s="178"/>
    </row>
    <row r="2294" spans="2:16" ht="15.75" customHeight="1">
      <c r="B2294" s="618"/>
      <c r="H2294" s="178"/>
      <c r="I2294" s="178"/>
      <c r="J2294" s="184"/>
      <c r="N2294" s="178"/>
      <c r="O2294" s="178"/>
      <c r="P2294" s="178"/>
    </row>
    <row r="2295" spans="2:16" ht="15.75" customHeight="1">
      <c r="B2295" s="618"/>
      <c r="H2295" s="178"/>
      <c r="I2295" s="178"/>
      <c r="J2295" s="184"/>
      <c r="N2295" s="178"/>
      <c r="O2295" s="178"/>
      <c r="P2295" s="178"/>
    </row>
    <row r="2296" spans="2:16" ht="15.75" customHeight="1">
      <c r="B2296" s="618"/>
      <c r="H2296" s="178"/>
      <c r="I2296" s="178"/>
      <c r="J2296" s="184"/>
      <c r="N2296" s="178"/>
      <c r="O2296" s="178"/>
      <c r="P2296" s="178"/>
    </row>
    <row r="2297" spans="2:16" ht="15.75" customHeight="1">
      <c r="B2297" s="618"/>
      <c r="H2297" s="178"/>
      <c r="I2297" s="178"/>
      <c r="J2297" s="184"/>
      <c r="N2297" s="178"/>
      <c r="O2297" s="178"/>
      <c r="P2297" s="178"/>
    </row>
    <row r="2298" spans="2:16" ht="15.75" customHeight="1">
      <c r="B2298" s="618"/>
      <c r="H2298" s="178"/>
      <c r="I2298" s="178"/>
      <c r="J2298" s="184"/>
      <c r="N2298" s="178"/>
      <c r="O2298" s="178"/>
      <c r="P2298" s="178"/>
    </row>
    <row r="2299" spans="2:16" ht="15.75" customHeight="1">
      <c r="B2299" s="618"/>
      <c r="H2299" s="178"/>
      <c r="I2299" s="178"/>
      <c r="J2299" s="184"/>
      <c r="N2299" s="178"/>
      <c r="O2299" s="178"/>
      <c r="P2299" s="178"/>
    </row>
    <row r="2300" spans="2:16" ht="15.75" customHeight="1">
      <c r="B2300" s="618"/>
      <c r="H2300" s="178"/>
      <c r="I2300" s="178"/>
      <c r="J2300" s="184"/>
      <c r="N2300" s="178"/>
      <c r="O2300" s="178"/>
      <c r="P2300" s="178"/>
    </row>
    <row r="2301" spans="2:16" ht="15.75" customHeight="1">
      <c r="B2301" s="618"/>
      <c r="H2301" s="178"/>
      <c r="I2301" s="178"/>
      <c r="J2301" s="184"/>
      <c r="N2301" s="178"/>
      <c r="O2301" s="178"/>
      <c r="P2301" s="178"/>
    </row>
    <row r="2302" spans="2:16" ht="15.75" customHeight="1">
      <c r="B2302" s="618"/>
      <c r="H2302" s="178"/>
      <c r="I2302" s="178"/>
      <c r="J2302" s="184"/>
      <c r="N2302" s="178"/>
      <c r="O2302" s="178"/>
      <c r="P2302" s="178"/>
    </row>
    <row r="2303" spans="2:16" ht="15.75" customHeight="1">
      <c r="B2303" s="618"/>
      <c r="H2303" s="178"/>
      <c r="I2303" s="178"/>
      <c r="J2303" s="184"/>
      <c r="N2303" s="178"/>
      <c r="O2303" s="178"/>
      <c r="P2303" s="178"/>
    </row>
    <row r="2304" spans="2:16" ht="15.75" customHeight="1">
      <c r="B2304" s="618"/>
      <c r="H2304" s="178"/>
      <c r="I2304" s="178"/>
      <c r="J2304" s="184"/>
      <c r="N2304" s="178"/>
      <c r="O2304" s="178"/>
      <c r="P2304" s="178"/>
    </row>
    <row r="2305" spans="2:16" ht="15.75" customHeight="1">
      <c r="B2305" s="618"/>
      <c r="H2305" s="178"/>
      <c r="I2305" s="178"/>
      <c r="J2305" s="184"/>
      <c r="N2305" s="178"/>
      <c r="O2305" s="178"/>
      <c r="P2305" s="178"/>
    </row>
    <row r="2306" spans="2:16" ht="15.75" customHeight="1">
      <c r="B2306" s="618"/>
      <c r="H2306" s="178"/>
      <c r="I2306" s="178"/>
      <c r="J2306" s="184"/>
      <c r="N2306" s="178"/>
      <c r="O2306" s="178"/>
      <c r="P2306" s="178"/>
    </row>
    <row r="2307" spans="2:16" ht="15.75" customHeight="1">
      <c r="B2307" s="618"/>
      <c r="H2307" s="178"/>
      <c r="I2307" s="178"/>
      <c r="J2307" s="184"/>
      <c r="N2307" s="178"/>
      <c r="O2307" s="178"/>
      <c r="P2307" s="178"/>
    </row>
    <row r="2308" spans="2:16" ht="15.75" customHeight="1">
      <c r="B2308" s="618"/>
      <c r="H2308" s="178"/>
      <c r="I2308" s="178"/>
      <c r="J2308" s="184"/>
      <c r="N2308" s="178"/>
      <c r="O2308" s="178"/>
      <c r="P2308" s="178"/>
    </row>
    <row r="2309" spans="2:16" ht="15.75" customHeight="1">
      <c r="B2309" s="618"/>
      <c r="H2309" s="178"/>
      <c r="I2309" s="178"/>
      <c r="J2309" s="184"/>
      <c r="N2309" s="178"/>
      <c r="O2309" s="178"/>
      <c r="P2309" s="178"/>
    </row>
    <row r="2310" spans="2:16" ht="15.75" customHeight="1">
      <c r="B2310" s="618"/>
      <c r="H2310" s="178"/>
      <c r="I2310" s="178"/>
      <c r="J2310" s="184"/>
      <c r="N2310" s="178"/>
      <c r="O2310" s="178"/>
      <c r="P2310" s="178"/>
    </row>
    <row r="2311" spans="2:16" ht="15.75" customHeight="1">
      <c r="B2311" s="618"/>
      <c r="H2311" s="178"/>
      <c r="I2311" s="178"/>
      <c r="J2311" s="184"/>
      <c r="N2311" s="178"/>
      <c r="O2311" s="178"/>
      <c r="P2311" s="178"/>
    </row>
    <row r="2312" spans="2:16" ht="15.75" customHeight="1">
      <c r="B2312" s="618"/>
      <c r="H2312" s="178"/>
      <c r="I2312" s="178"/>
      <c r="J2312" s="184"/>
      <c r="N2312" s="178"/>
      <c r="O2312" s="178"/>
      <c r="P2312" s="178"/>
    </row>
    <row r="2313" spans="2:16" ht="15.75" customHeight="1">
      <c r="B2313" s="618"/>
      <c r="H2313" s="178"/>
      <c r="I2313" s="178"/>
      <c r="J2313" s="184"/>
      <c r="N2313" s="178"/>
      <c r="O2313" s="178"/>
      <c r="P2313" s="178"/>
    </row>
    <row r="2314" spans="2:16" ht="15.75" customHeight="1">
      <c r="B2314" s="618"/>
      <c r="H2314" s="178"/>
      <c r="I2314" s="178"/>
      <c r="J2314" s="184"/>
      <c r="N2314" s="178"/>
      <c r="O2314" s="178"/>
      <c r="P2314" s="178"/>
    </row>
    <row r="2315" spans="2:16" ht="15.75" customHeight="1">
      <c r="B2315" s="618"/>
      <c r="H2315" s="178"/>
      <c r="I2315" s="178"/>
      <c r="J2315" s="184"/>
      <c r="N2315" s="178"/>
      <c r="O2315" s="178"/>
      <c r="P2315" s="178"/>
    </row>
    <row r="2316" spans="2:16" ht="15.75" customHeight="1">
      <c r="B2316" s="618"/>
      <c r="H2316" s="178"/>
      <c r="I2316" s="178"/>
      <c r="J2316" s="184"/>
      <c r="N2316" s="178"/>
      <c r="O2316" s="178"/>
      <c r="P2316" s="178"/>
    </row>
    <row r="2317" spans="2:16" ht="15.75" customHeight="1">
      <c r="B2317" s="618"/>
      <c r="H2317" s="178"/>
      <c r="I2317" s="178"/>
      <c r="J2317" s="184"/>
      <c r="N2317" s="178"/>
      <c r="O2317" s="178"/>
      <c r="P2317" s="178"/>
    </row>
    <row r="2318" spans="2:16" ht="15.75" customHeight="1">
      <c r="B2318" s="618"/>
      <c r="H2318" s="178"/>
      <c r="I2318" s="178"/>
      <c r="J2318" s="184"/>
      <c r="N2318" s="178"/>
      <c r="O2318" s="178"/>
      <c r="P2318" s="178"/>
    </row>
    <row r="2319" spans="2:16" ht="15.75" customHeight="1">
      <c r="B2319" s="618"/>
      <c r="H2319" s="178"/>
      <c r="I2319" s="178"/>
      <c r="J2319" s="184"/>
      <c r="N2319" s="178"/>
      <c r="O2319" s="178"/>
      <c r="P2319" s="178"/>
    </row>
    <row r="2320" spans="2:16" ht="15.75" customHeight="1">
      <c r="B2320" s="618"/>
      <c r="H2320" s="178"/>
      <c r="I2320" s="178"/>
      <c r="J2320" s="184"/>
      <c r="N2320" s="178"/>
      <c r="O2320" s="178"/>
      <c r="P2320" s="178"/>
    </row>
    <row r="2321" spans="2:16" ht="15.75" customHeight="1">
      <c r="B2321" s="618"/>
      <c r="H2321" s="178"/>
      <c r="I2321" s="178"/>
      <c r="J2321" s="184"/>
      <c r="N2321" s="178"/>
      <c r="O2321" s="178"/>
      <c r="P2321" s="178"/>
    </row>
    <row r="2322" spans="2:16" ht="15.75" customHeight="1">
      <c r="B2322" s="618"/>
      <c r="H2322" s="178"/>
      <c r="I2322" s="178"/>
      <c r="J2322" s="184"/>
      <c r="N2322" s="178"/>
      <c r="O2322" s="178"/>
      <c r="P2322" s="178"/>
    </row>
    <row r="2323" spans="2:16" ht="15.75" customHeight="1">
      <c r="B2323" s="618"/>
      <c r="H2323" s="178"/>
      <c r="I2323" s="178"/>
      <c r="J2323" s="184"/>
      <c r="N2323" s="178"/>
      <c r="O2323" s="178"/>
      <c r="P2323" s="178"/>
    </row>
    <row r="2324" spans="2:16" ht="15.75" customHeight="1">
      <c r="B2324" s="618"/>
      <c r="H2324" s="178"/>
      <c r="I2324" s="178"/>
      <c r="J2324" s="184"/>
      <c r="N2324" s="178"/>
      <c r="O2324" s="178"/>
      <c r="P2324" s="178"/>
    </row>
    <row r="2325" spans="2:16" ht="15.75" customHeight="1">
      <c r="B2325" s="618"/>
      <c r="H2325" s="178"/>
      <c r="I2325" s="178"/>
      <c r="J2325" s="184"/>
      <c r="N2325" s="178"/>
      <c r="O2325" s="178"/>
      <c r="P2325" s="178"/>
    </row>
    <row r="2326" spans="2:16" ht="15.75" customHeight="1">
      <c r="B2326" s="618"/>
      <c r="H2326" s="178"/>
      <c r="I2326" s="178"/>
      <c r="J2326" s="184"/>
      <c r="N2326" s="178"/>
      <c r="O2326" s="178"/>
      <c r="P2326" s="178"/>
    </row>
    <row r="2327" spans="2:16" ht="15.75" customHeight="1">
      <c r="B2327" s="618"/>
      <c r="H2327" s="178"/>
      <c r="I2327" s="178"/>
      <c r="J2327" s="184"/>
      <c r="N2327" s="178"/>
      <c r="O2327" s="178"/>
      <c r="P2327" s="178"/>
    </row>
    <row r="2328" spans="2:16" ht="15.75" customHeight="1">
      <c r="B2328" s="618"/>
      <c r="H2328" s="178"/>
      <c r="I2328" s="178"/>
      <c r="J2328" s="184"/>
      <c r="N2328" s="178"/>
      <c r="O2328" s="178"/>
      <c r="P2328" s="178"/>
    </row>
    <row r="2329" spans="2:16" ht="15.75" customHeight="1">
      <c r="B2329" s="618"/>
      <c r="H2329" s="178"/>
      <c r="I2329" s="178"/>
      <c r="J2329" s="184"/>
      <c r="N2329" s="178"/>
      <c r="O2329" s="178"/>
      <c r="P2329" s="178"/>
    </row>
    <row r="2330" spans="2:16" ht="15.75" customHeight="1">
      <c r="B2330" s="618"/>
      <c r="H2330" s="178"/>
      <c r="I2330" s="178"/>
      <c r="J2330" s="184"/>
      <c r="N2330" s="178"/>
      <c r="O2330" s="178"/>
      <c r="P2330" s="178"/>
    </row>
    <row r="2331" spans="2:16" ht="15.75" customHeight="1">
      <c r="B2331" s="618"/>
      <c r="H2331" s="178"/>
      <c r="I2331" s="178"/>
      <c r="J2331" s="184"/>
      <c r="N2331" s="178"/>
      <c r="O2331" s="178"/>
      <c r="P2331" s="178"/>
    </row>
    <row r="2332" spans="2:16" ht="15.75" customHeight="1">
      <c r="B2332" s="618"/>
      <c r="H2332" s="178"/>
      <c r="I2332" s="178"/>
      <c r="J2332" s="184"/>
      <c r="N2332" s="178"/>
      <c r="O2332" s="178"/>
      <c r="P2332" s="178"/>
    </row>
    <row r="2333" spans="2:16" ht="15.75" customHeight="1">
      <c r="B2333" s="618"/>
      <c r="H2333" s="178"/>
      <c r="I2333" s="178"/>
      <c r="J2333" s="184"/>
      <c r="N2333" s="178"/>
      <c r="O2333" s="178"/>
      <c r="P2333" s="178"/>
    </row>
    <row r="2334" spans="2:16" ht="15.75" customHeight="1">
      <c r="B2334" s="618"/>
      <c r="H2334" s="178"/>
      <c r="I2334" s="178"/>
      <c r="J2334" s="184"/>
      <c r="N2334" s="178"/>
      <c r="O2334" s="178"/>
      <c r="P2334" s="178"/>
    </row>
    <row r="2335" spans="2:16" ht="15.75" customHeight="1">
      <c r="B2335" s="618"/>
      <c r="H2335" s="178"/>
      <c r="I2335" s="178"/>
      <c r="J2335" s="184"/>
      <c r="N2335" s="178"/>
      <c r="O2335" s="178"/>
      <c r="P2335" s="178"/>
    </row>
    <row r="2336" spans="2:16" ht="15.75" customHeight="1">
      <c r="B2336" s="618"/>
      <c r="H2336" s="178"/>
      <c r="I2336" s="178"/>
      <c r="J2336" s="184"/>
      <c r="N2336" s="178"/>
      <c r="O2336" s="178"/>
      <c r="P2336" s="178"/>
    </row>
    <row r="2337" spans="2:16" ht="15.75" customHeight="1">
      <c r="B2337" s="618"/>
      <c r="H2337" s="178"/>
      <c r="I2337" s="178"/>
      <c r="J2337" s="184"/>
      <c r="N2337" s="178"/>
      <c r="O2337" s="178"/>
      <c r="P2337" s="178"/>
    </row>
    <row r="2338" spans="2:16" ht="15.75" customHeight="1">
      <c r="B2338" s="618"/>
      <c r="H2338" s="178"/>
      <c r="I2338" s="178"/>
      <c r="J2338" s="184"/>
      <c r="N2338" s="178"/>
      <c r="O2338" s="178"/>
      <c r="P2338" s="178"/>
    </row>
    <row r="2339" spans="2:16" ht="15.75" customHeight="1">
      <c r="B2339" s="618"/>
      <c r="H2339" s="178"/>
      <c r="I2339" s="178"/>
      <c r="J2339" s="184"/>
      <c r="N2339" s="178"/>
      <c r="O2339" s="178"/>
      <c r="P2339" s="178"/>
    </row>
    <row r="2340" spans="2:16" ht="15.75" customHeight="1">
      <c r="B2340" s="618"/>
      <c r="H2340" s="178"/>
      <c r="I2340" s="178"/>
      <c r="J2340" s="184"/>
      <c r="N2340" s="178"/>
      <c r="O2340" s="178"/>
      <c r="P2340" s="178"/>
    </row>
    <row r="2341" spans="2:16" ht="15.75" customHeight="1">
      <c r="B2341" s="618"/>
      <c r="H2341" s="178"/>
      <c r="I2341" s="178"/>
      <c r="J2341" s="184"/>
      <c r="N2341" s="178"/>
      <c r="O2341" s="178"/>
      <c r="P2341" s="178"/>
    </row>
    <row r="2342" spans="2:16" ht="15.75" customHeight="1">
      <c r="B2342" s="618"/>
      <c r="H2342" s="178"/>
      <c r="I2342" s="178"/>
      <c r="J2342" s="184"/>
      <c r="N2342" s="178"/>
      <c r="O2342" s="178"/>
      <c r="P2342" s="178"/>
    </row>
    <row r="2343" spans="2:16" ht="15.75" customHeight="1">
      <c r="B2343" s="618"/>
      <c r="H2343" s="178"/>
      <c r="I2343" s="178"/>
      <c r="J2343" s="184"/>
      <c r="N2343" s="178"/>
      <c r="O2343" s="178"/>
      <c r="P2343" s="178"/>
    </row>
    <row r="2344" spans="2:16" ht="15.75" customHeight="1">
      <c r="B2344" s="618"/>
      <c r="H2344" s="178"/>
      <c r="I2344" s="178"/>
      <c r="J2344" s="184"/>
      <c r="N2344" s="178"/>
      <c r="O2344" s="178"/>
      <c r="P2344" s="178"/>
    </row>
    <row r="2345" spans="2:16" ht="15.75" customHeight="1">
      <c r="B2345" s="618"/>
      <c r="H2345" s="178"/>
      <c r="I2345" s="178"/>
      <c r="J2345" s="184"/>
      <c r="N2345" s="178"/>
      <c r="O2345" s="178"/>
      <c r="P2345" s="178"/>
    </row>
    <row r="2346" spans="2:16" ht="15.75" customHeight="1">
      <c r="B2346" s="618"/>
      <c r="H2346" s="178"/>
      <c r="I2346" s="178"/>
      <c r="J2346" s="184"/>
      <c r="N2346" s="178"/>
      <c r="O2346" s="178"/>
      <c r="P2346" s="178"/>
    </row>
    <row r="2347" spans="2:16" ht="15.75" customHeight="1">
      <c r="B2347" s="618"/>
      <c r="H2347" s="178"/>
      <c r="I2347" s="178"/>
      <c r="J2347" s="184"/>
      <c r="N2347" s="178"/>
      <c r="O2347" s="178"/>
      <c r="P2347" s="178"/>
    </row>
    <row r="2348" spans="2:16" ht="15.75" customHeight="1">
      <c r="B2348" s="618"/>
      <c r="H2348" s="178"/>
      <c r="I2348" s="178"/>
      <c r="J2348" s="184"/>
      <c r="N2348" s="178"/>
      <c r="O2348" s="178"/>
      <c r="P2348" s="178"/>
    </row>
    <row r="2349" spans="2:16" ht="15.75" customHeight="1">
      <c r="B2349" s="618"/>
      <c r="H2349" s="178"/>
      <c r="I2349" s="178"/>
      <c r="J2349" s="184"/>
      <c r="N2349" s="178"/>
      <c r="O2349" s="178"/>
      <c r="P2349" s="178"/>
    </row>
    <row r="2350" spans="2:16" ht="15.75" customHeight="1">
      <c r="B2350" s="618"/>
      <c r="H2350" s="178"/>
      <c r="I2350" s="178"/>
      <c r="J2350" s="184"/>
      <c r="N2350" s="178"/>
      <c r="O2350" s="178"/>
      <c r="P2350" s="178"/>
    </row>
    <row r="2351" spans="2:16" ht="15.75" customHeight="1">
      <c r="B2351" s="618"/>
      <c r="H2351" s="178"/>
      <c r="I2351" s="178"/>
      <c r="J2351" s="184"/>
      <c r="N2351" s="178"/>
      <c r="O2351" s="178"/>
      <c r="P2351" s="178"/>
    </row>
    <row r="2352" spans="2:16" ht="15.75" customHeight="1">
      <c r="B2352" s="618"/>
      <c r="H2352" s="178"/>
      <c r="I2352" s="178"/>
      <c r="J2352" s="184"/>
      <c r="N2352" s="178"/>
      <c r="O2352" s="178"/>
      <c r="P2352" s="178"/>
    </row>
    <row r="2353" spans="2:16" ht="15.75" customHeight="1">
      <c r="B2353" s="618"/>
      <c r="H2353" s="178"/>
      <c r="I2353" s="178"/>
      <c r="J2353" s="184"/>
      <c r="N2353" s="178"/>
      <c r="O2353" s="178"/>
      <c r="P2353" s="178"/>
    </row>
    <row r="2354" spans="2:16" ht="15.75" customHeight="1">
      <c r="B2354" s="618"/>
      <c r="H2354" s="178"/>
      <c r="I2354" s="178"/>
      <c r="J2354" s="184"/>
      <c r="N2354" s="178"/>
      <c r="O2354" s="178"/>
      <c r="P2354" s="178"/>
    </row>
    <row r="2355" spans="2:16" ht="15.75" customHeight="1">
      <c r="B2355" s="618"/>
      <c r="H2355" s="178"/>
      <c r="I2355" s="178"/>
      <c r="J2355" s="184"/>
      <c r="N2355" s="178"/>
      <c r="O2355" s="178"/>
      <c r="P2355" s="178"/>
    </row>
    <row r="2356" spans="2:16" ht="15.75" customHeight="1">
      <c r="B2356" s="618"/>
      <c r="H2356" s="178"/>
      <c r="I2356" s="178"/>
      <c r="J2356" s="184"/>
      <c r="N2356" s="178"/>
      <c r="O2356" s="178"/>
      <c r="P2356" s="178"/>
    </row>
    <row r="2357" spans="2:16" ht="15.75" customHeight="1">
      <c r="B2357" s="618"/>
      <c r="H2357" s="178"/>
      <c r="I2357" s="178"/>
      <c r="J2357" s="184"/>
      <c r="N2357" s="178"/>
      <c r="O2357" s="178"/>
      <c r="P2357" s="178"/>
    </row>
    <row r="2358" spans="2:16" ht="15.75" customHeight="1">
      <c r="B2358" s="618"/>
      <c r="H2358" s="178"/>
      <c r="I2358" s="178"/>
      <c r="J2358" s="184"/>
      <c r="N2358" s="178"/>
      <c r="O2358" s="178"/>
      <c r="P2358" s="178"/>
    </row>
    <row r="2359" spans="2:16" ht="15.75" customHeight="1">
      <c r="B2359" s="618"/>
      <c r="H2359" s="178"/>
      <c r="I2359" s="178"/>
      <c r="J2359" s="184"/>
      <c r="N2359" s="178"/>
      <c r="O2359" s="178"/>
      <c r="P2359" s="178"/>
    </row>
    <row r="2360" spans="2:16" ht="15.75" customHeight="1">
      <c r="B2360" s="618"/>
      <c r="H2360" s="178"/>
      <c r="I2360" s="178"/>
      <c r="J2360" s="184"/>
      <c r="N2360" s="178"/>
      <c r="O2360" s="178"/>
      <c r="P2360" s="178"/>
    </row>
    <row r="2361" spans="2:16" ht="15.75" customHeight="1">
      <c r="B2361" s="618"/>
      <c r="H2361" s="178"/>
      <c r="I2361" s="178"/>
      <c r="J2361" s="184"/>
      <c r="N2361" s="178"/>
      <c r="O2361" s="178"/>
      <c r="P2361" s="178"/>
    </row>
    <row r="2362" spans="2:16" ht="15.75" customHeight="1">
      <c r="B2362" s="618"/>
      <c r="H2362" s="178"/>
      <c r="I2362" s="178"/>
      <c r="J2362" s="184"/>
      <c r="N2362" s="178"/>
      <c r="O2362" s="178"/>
      <c r="P2362" s="178"/>
    </row>
    <row r="2363" spans="2:16" ht="15.75" customHeight="1">
      <c r="B2363" s="618"/>
      <c r="H2363" s="178"/>
      <c r="I2363" s="178"/>
      <c r="J2363" s="184"/>
      <c r="N2363" s="178"/>
      <c r="O2363" s="178"/>
      <c r="P2363" s="178"/>
    </row>
    <row r="2364" spans="2:16" ht="15.75" customHeight="1">
      <c r="B2364" s="618"/>
      <c r="H2364" s="178"/>
      <c r="I2364" s="178"/>
      <c r="J2364" s="184"/>
      <c r="N2364" s="178"/>
      <c r="O2364" s="178"/>
      <c r="P2364" s="178"/>
    </row>
    <row r="2365" spans="2:16" ht="15.75" customHeight="1">
      <c r="B2365" s="618"/>
      <c r="H2365" s="178"/>
      <c r="I2365" s="178"/>
      <c r="J2365" s="184"/>
      <c r="N2365" s="178"/>
      <c r="O2365" s="178"/>
      <c r="P2365" s="178"/>
    </row>
    <row r="2366" spans="2:16" ht="15.75" customHeight="1">
      <c r="B2366" s="618"/>
      <c r="H2366" s="178"/>
      <c r="I2366" s="178"/>
      <c r="J2366" s="184"/>
      <c r="N2366" s="178"/>
      <c r="O2366" s="178"/>
      <c r="P2366" s="178"/>
    </row>
    <row r="2367" spans="2:16" ht="15.75" customHeight="1">
      <c r="B2367" s="618"/>
      <c r="H2367" s="178"/>
      <c r="I2367" s="178"/>
      <c r="J2367" s="184"/>
      <c r="N2367" s="178"/>
      <c r="O2367" s="178"/>
      <c r="P2367" s="178"/>
    </row>
    <row r="2368" spans="2:16" ht="15.75" customHeight="1">
      <c r="B2368" s="618"/>
      <c r="H2368" s="178"/>
      <c r="I2368" s="178"/>
      <c r="J2368" s="184"/>
      <c r="N2368" s="178"/>
      <c r="O2368" s="178"/>
      <c r="P2368" s="178"/>
    </row>
    <row r="2369" spans="2:16" ht="15.75" customHeight="1">
      <c r="B2369" s="618"/>
      <c r="H2369" s="178"/>
      <c r="I2369" s="178"/>
      <c r="J2369" s="184"/>
      <c r="N2369" s="178"/>
      <c r="O2369" s="178"/>
      <c r="P2369" s="178"/>
    </row>
    <row r="2370" spans="2:16" ht="15.75" customHeight="1">
      <c r="B2370" s="618"/>
      <c r="H2370" s="178"/>
      <c r="I2370" s="178"/>
      <c r="J2370" s="184"/>
      <c r="N2370" s="178"/>
      <c r="O2370" s="178"/>
      <c r="P2370" s="178"/>
    </row>
    <row r="2371" spans="2:16" ht="15.75" customHeight="1">
      <c r="B2371" s="618"/>
      <c r="H2371" s="178"/>
      <c r="I2371" s="178"/>
      <c r="J2371" s="184"/>
      <c r="N2371" s="178"/>
      <c r="O2371" s="178"/>
      <c r="P2371" s="178"/>
    </row>
    <row r="2372" spans="2:16" ht="15.75" customHeight="1">
      <c r="B2372" s="618"/>
      <c r="H2372" s="178"/>
      <c r="I2372" s="178"/>
      <c r="J2372" s="184"/>
      <c r="N2372" s="178"/>
      <c r="O2372" s="178"/>
      <c r="P2372" s="178"/>
    </row>
    <row r="2373" spans="2:16" ht="15.75" customHeight="1">
      <c r="B2373" s="618"/>
      <c r="H2373" s="178"/>
      <c r="I2373" s="178"/>
      <c r="J2373" s="184"/>
      <c r="N2373" s="178"/>
      <c r="O2373" s="178"/>
      <c r="P2373" s="178"/>
    </row>
    <row r="2374" spans="2:16" ht="15.75" customHeight="1">
      <c r="B2374" s="618"/>
      <c r="H2374" s="178"/>
      <c r="I2374" s="178"/>
      <c r="J2374" s="184"/>
      <c r="N2374" s="178"/>
      <c r="O2374" s="178"/>
      <c r="P2374" s="178"/>
    </row>
    <row r="2375" spans="2:16" ht="15.75" customHeight="1">
      <c r="B2375" s="618"/>
      <c r="H2375" s="178"/>
      <c r="I2375" s="178"/>
      <c r="J2375" s="184"/>
      <c r="N2375" s="178"/>
      <c r="O2375" s="178"/>
      <c r="P2375" s="178"/>
    </row>
    <row r="2376" spans="2:16" ht="15.75" customHeight="1">
      <c r="B2376" s="618"/>
      <c r="H2376" s="178"/>
      <c r="I2376" s="178"/>
      <c r="J2376" s="184"/>
      <c r="N2376" s="178"/>
      <c r="O2376" s="178"/>
      <c r="P2376" s="178"/>
    </row>
    <row r="2377" spans="2:16" ht="15.75" customHeight="1">
      <c r="B2377" s="618"/>
      <c r="H2377" s="178"/>
      <c r="I2377" s="178"/>
      <c r="J2377" s="184"/>
      <c r="N2377" s="178"/>
      <c r="O2377" s="178"/>
      <c r="P2377" s="178"/>
    </row>
    <row r="2378" spans="2:16" ht="15.75" customHeight="1">
      <c r="B2378" s="618"/>
      <c r="H2378" s="178"/>
      <c r="I2378" s="178"/>
      <c r="J2378" s="184"/>
      <c r="N2378" s="178"/>
      <c r="O2378" s="178"/>
      <c r="P2378" s="178"/>
    </row>
    <row r="2379" spans="2:16" ht="15.75" customHeight="1">
      <c r="B2379" s="618"/>
      <c r="H2379" s="178"/>
      <c r="I2379" s="178"/>
      <c r="J2379" s="184"/>
      <c r="N2379" s="178"/>
      <c r="O2379" s="178"/>
      <c r="P2379" s="178"/>
    </row>
    <row r="2380" spans="2:16" ht="15.75" customHeight="1">
      <c r="B2380" s="618"/>
      <c r="H2380" s="178"/>
      <c r="I2380" s="178"/>
      <c r="J2380" s="184"/>
      <c r="N2380" s="178"/>
      <c r="O2380" s="178"/>
      <c r="P2380" s="178"/>
    </row>
    <row r="2381" spans="2:16" ht="15.75" customHeight="1">
      <c r="B2381" s="618"/>
      <c r="H2381" s="178"/>
      <c r="I2381" s="178"/>
      <c r="J2381" s="184"/>
      <c r="N2381" s="178"/>
      <c r="O2381" s="178"/>
      <c r="P2381" s="178"/>
    </row>
    <row r="2382" spans="2:16" ht="15.75" customHeight="1">
      <c r="B2382" s="618"/>
      <c r="H2382" s="178"/>
      <c r="I2382" s="178"/>
      <c r="J2382" s="184"/>
      <c r="N2382" s="178"/>
      <c r="O2382" s="178"/>
      <c r="P2382" s="178"/>
    </row>
    <row r="2383" spans="2:16" ht="15.75" customHeight="1">
      <c r="B2383" s="618"/>
      <c r="H2383" s="178"/>
      <c r="I2383" s="178"/>
      <c r="J2383" s="184"/>
      <c r="N2383" s="178"/>
      <c r="O2383" s="178"/>
      <c r="P2383" s="178"/>
    </row>
    <row r="2384" spans="2:16" ht="15.75" customHeight="1">
      <c r="B2384" s="618"/>
      <c r="H2384" s="178"/>
      <c r="I2384" s="178"/>
      <c r="J2384" s="184"/>
      <c r="N2384" s="178"/>
      <c r="O2384" s="178"/>
      <c r="P2384" s="178"/>
    </row>
    <row r="2385" spans="2:16" ht="15.75" customHeight="1">
      <c r="B2385" s="618"/>
      <c r="H2385" s="178"/>
      <c r="I2385" s="178"/>
      <c r="J2385" s="184"/>
      <c r="N2385" s="178"/>
      <c r="O2385" s="178"/>
      <c r="P2385" s="178"/>
    </row>
    <row r="2386" spans="2:16" ht="15.75" customHeight="1">
      <c r="B2386" s="618"/>
      <c r="H2386" s="178"/>
      <c r="I2386" s="178"/>
      <c r="J2386" s="184"/>
      <c r="N2386" s="178"/>
      <c r="O2386" s="178"/>
      <c r="P2386" s="178"/>
    </row>
    <row r="2387" spans="2:16" ht="15.75" customHeight="1">
      <c r="B2387" s="618"/>
      <c r="H2387" s="178"/>
      <c r="I2387" s="178"/>
      <c r="J2387" s="184"/>
      <c r="N2387" s="178"/>
      <c r="O2387" s="178"/>
      <c r="P2387" s="178"/>
    </row>
    <row r="2388" spans="2:16" ht="15.75" customHeight="1">
      <c r="B2388" s="618"/>
      <c r="H2388" s="178"/>
      <c r="I2388" s="178"/>
      <c r="J2388" s="184"/>
      <c r="N2388" s="178"/>
      <c r="O2388" s="178"/>
      <c r="P2388" s="178"/>
    </row>
    <row r="2389" spans="2:16" ht="15.75" customHeight="1">
      <c r="B2389" s="618"/>
      <c r="H2389" s="178"/>
      <c r="I2389" s="178"/>
      <c r="J2389" s="184"/>
      <c r="N2389" s="178"/>
      <c r="O2389" s="178"/>
      <c r="P2389" s="178"/>
    </row>
    <row r="2390" spans="2:16" ht="15.75" customHeight="1">
      <c r="B2390" s="618"/>
      <c r="H2390" s="178"/>
      <c r="I2390" s="178"/>
      <c r="J2390" s="184"/>
      <c r="N2390" s="178"/>
      <c r="O2390" s="178"/>
      <c r="P2390" s="178"/>
    </row>
    <row r="2391" spans="2:16" ht="15.75" customHeight="1">
      <c r="B2391" s="618"/>
      <c r="H2391" s="178"/>
      <c r="I2391" s="178"/>
      <c r="J2391" s="184"/>
      <c r="N2391" s="178"/>
      <c r="O2391" s="178"/>
      <c r="P2391" s="178"/>
    </row>
    <row r="2392" spans="2:16" ht="15.75" customHeight="1">
      <c r="B2392" s="618"/>
      <c r="H2392" s="178"/>
      <c r="I2392" s="178"/>
      <c r="J2392" s="184"/>
      <c r="N2392" s="178"/>
      <c r="O2392" s="178"/>
      <c r="P2392" s="178"/>
    </row>
    <row r="2393" spans="2:16" ht="15.75" customHeight="1">
      <c r="B2393" s="618"/>
      <c r="H2393" s="178"/>
      <c r="I2393" s="178"/>
      <c r="J2393" s="184"/>
      <c r="N2393" s="178"/>
      <c r="O2393" s="178"/>
      <c r="P2393" s="178"/>
    </row>
    <row r="2394" spans="2:16" ht="15.75" customHeight="1">
      <c r="B2394" s="618"/>
      <c r="H2394" s="178"/>
      <c r="I2394" s="178"/>
      <c r="J2394" s="184"/>
      <c r="N2394" s="178"/>
      <c r="O2394" s="178"/>
      <c r="P2394" s="178"/>
    </row>
    <row r="2395" spans="2:16" ht="15.75" customHeight="1">
      <c r="B2395" s="618"/>
      <c r="H2395" s="178"/>
      <c r="I2395" s="178"/>
      <c r="J2395" s="184"/>
      <c r="N2395" s="178"/>
      <c r="O2395" s="178"/>
      <c r="P2395" s="178"/>
    </row>
    <row r="2396" spans="2:16" ht="15.75" customHeight="1">
      <c r="B2396" s="618"/>
      <c r="H2396" s="178"/>
      <c r="I2396" s="178"/>
      <c r="J2396" s="184"/>
      <c r="N2396" s="178"/>
      <c r="O2396" s="178"/>
      <c r="P2396" s="178"/>
    </row>
    <row r="2397" spans="2:16" ht="15.75" customHeight="1">
      <c r="B2397" s="618"/>
      <c r="H2397" s="178"/>
      <c r="I2397" s="178"/>
      <c r="J2397" s="184"/>
      <c r="N2397" s="178"/>
      <c r="O2397" s="178"/>
      <c r="P2397" s="178"/>
    </row>
    <row r="2398" spans="2:16" ht="15.75" customHeight="1">
      <c r="B2398" s="618"/>
      <c r="H2398" s="178"/>
      <c r="I2398" s="178"/>
      <c r="J2398" s="184"/>
      <c r="N2398" s="178"/>
      <c r="O2398" s="178"/>
      <c r="P2398" s="178"/>
    </row>
    <row r="2399" spans="2:16" ht="15.75" customHeight="1">
      <c r="B2399" s="618"/>
      <c r="H2399" s="178"/>
      <c r="I2399" s="178"/>
      <c r="J2399" s="184"/>
      <c r="N2399" s="178"/>
      <c r="O2399" s="178"/>
      <c r="P2399" s="178"/>
    </row>
    <row r="2400" spans="2:16" ht="15.75" customHeight="1">
      <c r="B2400" s="618"/>
      <c r="H2400" s="178"/>
      <c r="I2400" s="178"/>
      <c r="J2400" s="184"/>
      <c r="N2400" s="178"/>
      <c r="O2400" s="178"/>
      <c r="P2400" s="178"/>
    </row>
    <row r="2401" spans="2:16" ht="15.75" customHeight="1">
      <c r="B2401" s="618"/>
      <c r="H2401" s="178"/>
      <c r="I2401" s="178"/>
      <c r="J2401" s="184"/>
      <c r="N2401" s="178"/>
      <c r="O2401" s="178"/>
      <c r="P2401" s="178"/>
    </row>
    <row r="2402" spans="2:16" ht="15.75" customHeight="1">
      <c r="B2402" s="618"/>
      <c r="H2402" s="178"/>
      <c r="I2402" s="178"/>
      <c r="J2402" s="184"/>
      <c r="N2402" s="178"/>
      <c r="O2402" s="178"/>
      <c r="P2402" s="178"/>
    </row>
    <row r="2403" spans="2:16" ht="15.75" customHeight="1">
      <c r="B2403" s="618"/>
      <c r="H2403" s="178"/>
      <c r="I2403" s="178"/>
      <c r="J2403" s="184"/>
      <c r="N2403" s="178"/>
      <c r="O2403" s="178"/>
      <c r="P2403" s="178"/>
    </row>
    <row r="2404" spans="2:16" ht="15.75" customHeight="1">
      <c r="B2404" s="618"/>
      <c r="H2404" s="178"/>
      <c r="I2404" s="178"/>
      <c r="J2404" s="184"/>
      <c r="N2404" s="178"/>
      <c r="O2404" s="178"/>
      <c r="P2404" s="178"/>
    </row>
    <row r="2405" spans="2:16" ht="15.75" customHeight="1">
      <c r="B2405" s="618"/>
      <c r="H2405" s="178"/>
      <c r="I2405" s="178"/>
      <c r="J2405" s="184"/>
      <c r="N2405" s="178"/>
      <c r="O2405" s="178"/>
      <c r="P2405" s="178"/>
    </row>
    <row r="2406" spans="2:16" ht="15.75" customHeight="1">
      <c r="B2406" s="618"/>
      <c r="H2406" s="178"/>
      <c r="I2406" s="178"/>
      <c r="J2406" s="184"/>
      <c r="N2406" s="178"/>
      <c r="O2406" s="178"/>
      <c r="P2406" s="178"/>
    </row>
    <row r="2407" spans="2:16" ht="15.75" customHeight="1">
      <c r="B2407" s="618"/>
      <c r="H2407" s="178"/>
      <c r="I2407" s="178"/>
      <c r="J2407" s="184"/>
      <c r="N2407" s="178"/>
      <c r="O2407" s="178"/>
      <c r="P2407" s="178"/>
    </row>
    <row r="2408" spans="2:16" ht="15.75" customHeight="1">
      <c r="B2408" s="618"/>
      <c r="H2408" s="178"/>
      <c r="I2408" s="178"/>
      <c r="J2408" s="184"/>
      <c r="N2408" s="178"/>
      <c r="O2408" s="178"/>
      <c r="P2408" s="178"/>
    </row>
    <row r="2409" spans="2:16" ht="15.75" customHeight="1">
      <c r="B2409" s="618"/>
      <c r="H2409" s="178"/>
      <c r="I2409" s="178"/>
      <c r="J2409" s="184"/>
      <c r="N2409" s="178"/>
      <c r="O2409" s="178"/>
      <c r="P2409" s="178"/>
    </row>
    <row r="2410" spans="2:16" ht="15.75" customHeight="1">
      <c r="B2410" s="618"/>
      <c r="H2410" s="178"/>
      <c r="I2410" s="178"/>
      <c r="J2410" s="184"/>
      <c r="N2410" s="178"/>
      <c r="O2410" s="178"/>
      <c r="P2410" s="178"/>
    </row>
    <row r="2411" spans="2:16" ht="15.75" customHeight="1">
      <c r="B2411" s="618"/>
      <c r="H2411" s="178"/>
      <c r="I2411" s="178"/>
      <c r="J2411" s="184"/>
      <c r="N2411" s="178"/>
      <c r="O2411" s="178"/>
      <c r="P2411" s="178"/>
    </row>
    <row r="2412" spans="2:16" ht="15.75" customHeight="1">
      <c r="B2412" s="618"/>
      <c r="H2412" s="178"/>
      <c r="I2412" s="178"/>
      <c r="J2412" s="184"/>
      <c r="N2412" s="178"/>
      <c r="O2412" s="178"/>
      <c r="P2412" s="178"/>
    </row>
    <row r="2413" spans="2:16" ht="15.75" customHeight="1">
      <c r="B2413" s="618"/>
      <c r="H2413" s="178"/>
      <c r="I2413" s="178"/>
      <c r="J2413" s="184"/>
      <c r="N2413" s="178"/>
      <c r="O2413" s="178"/>
      <c r="P2413" s="178"/>
    </row>
    <row r="2414" spans="2:16" ht="15.75" customHeight="1">
      <c r="B2414" s="618"/>
      <c r="H2414" s="178"/>
      <c r="I2414" s="178"/>
      <c r="J2414" s="184"/>
      <c r="N2414" s="178"/>
      <c r="O2414" s="178"/>
      <c r="P2414" s="178"/>
    </row>
    <row r="2415" spans="2:16" ht="15.75" customHeight="1">
      <c r="B2415" s="618"/>
      <c r="H2415" s="178"/>
      <c r="I2415" s="178"/>
      <c r="J2415" s="184"/>
      <c r="N2415" s="178"/>
      <c r="O2415" s="178"/>
      <c r="P2415" s="178"/>
    </row>
    <row r="2416" spans="2:16" ht="15.75" customHeight="1">
      <c r="B2416" s="618"/>
      <c r="H2416" s="178"/>
      <c r="I2416" s="178"/>
      <c r="J2416" s="184"/>
      <c r="N2416" s="178"/>
      <c r="O2416" s="178"/>
      <c r="P2416" s="178"/>
    </row>
    <row r="2417" spans="2:16" ht="15.75" customHeight="1">
      <c r="B2417" s="618"/>
      <c r="H2417" s="178"/>
      <c r="I2417" s="178"/>
      <c r="J2417" s="184"/>
      <c r="N2417" s="178"/>
      <c r="O2417" s="178"/>
      <c r="P2417" s="178"/>
    </row>
    <row r="2418" spans="2:16" ht="15.75" customHeight="1">
      <c r="B2418" s="618"/>
      <c r="H2418" s="178"/>
      <c r="I2418" s="178"/>
      <c r="J2418" s="184"/>
      <c r="N2418" s="178"/>
      <c r="O2418" s="178"/>
      <c r="P2418" s="178"/>
    </row>
    <row r="2419" spans="2:16" ht="15.75" customHeight="1">
      <c r="B2419" s="618"/>
      <c r="H2419" s="178"/>
      <c r="I2419" s="178"/>
      <c r="J2419" s="184"/>
      <c r="N2419" s="178"/>
      <c r="O2419" s="178"/>
      <c r="P2419" s="178"/>
    </row>
    <row r="2420" spans="2:16" ht="15.75" customHeight="1">
      <c r="B2420" s="618"/>
      <c r="H2420" s="178"/>
      <c r="I2420" s="178"/>
      <c r="J2420" s="184"/>
      <c r="N2420" s="178"/>
      <c r="O2420" s="178"/>
      <c r="P2420" s="178"/>
    </row>
    <row r="2421" spans="2:16" ht="15.75" customHeight="1">
      <c r="B2421" s="618"/>
      <c r="H2421" s="178"/>
      <c r="I2421" s="178"/>
      <c r="J2421" s="184"/>
      <c r="N2421" s="178"/>
      <c r="O2421" s="178"/>
      <c r="P2421" s="178"/>
    </row>
    <row r="2422" spans="2:16" ht="15.75" customHeight="1">
      <c r="B2422" s="618"/>
      <c r="H2422" s="178"/>
      <c r="I2422" s="178"/>
      <c r="J2422" s="184"/>
      <c r="N2422" s="178"/>
      <c r="O2422" s="178"/>
      <c r="P2422" s="178"/>
    </row>
    <row r="2423" spans="2:16" ht="15.75" customHeight="1">
      <c r="B2423" s="618"/>
      <c r="H2423" s="178"/>
      <c r="I2423" s="178"/>
      <c r="J2423" s="184"/>
      <c r="N2423" s="178"/>
      <c r="O2423" s="178"/>
      <c r="P2423" s="178"/>
    </row>
    <row r="2424" spans="2:16" ht="15.75" customHeight="1">
      <c r="B2424" s="618"/>
      <c r="H2424" s="178"/>
      <c r="I2424" s="178"/>
      <c r="J2424" s="184"/>
      <c r="N2424" s="178"/>
      <c r="O2424" s="178"/>
      <c r="P2424" s="178"/>
    </row>
    <row r="2425" spans="2:16" ht="15.75" customHeight="1">
      <c r="B2425" s="618"/>
      <c r="H2425" s="178"/>
      <c r="I2425" s="178"/>
      <c r="J2425" s="184"/>
      <c r="N2425" s="178"/>
      <c r="O2425" s="178"/>
      <c r="P2425" s="178"/>
    </row>
    <row r="2426" spans="2:16" ht="15.75" customHeight="1">
      <c r="B2426" s="618"/>
      <c r="H2426" s="178"/>
      <c r="I2426" s="178"/>
      <c r="J2426" s="184"/>
      <c r="N2426" s="178"/>
      <c r="O2426" s="178"/>
      <c r="P2426" s="178"/>
    </row>
    <row r="2427" spans="2:16" ht="15.75" customHeight="1">
      <c r="B2427" s="618"/>
      <c r="H2427" s="178"/>
      <c r="I2427" s="178"/>
      <c r="J2427" s="184"/>
      <c r="N2427" s="178"/>
      <c r="O2427" s="178"/>
      <c r="P2427" s="178"/>
    </row>
    <row r="2428" spans="2:16" ht="15.75" customHeight="1">
      <c r="B2428" s="618"/>
      <c r="H2428" s="178"/>
      <c r="I2428" s="178"/>
      <c r="J2428" s="184"/>
      <c r="N2428" s="178"/>
      <c r="O2428" s="178"/>
      <c r="P2428" s="178"/>
    </row>
    <row r="2429" spans="2:16" ht="15.75" customHeight="1">
      <c r="B2429" s="618"/>
      <c r="H2429" s="178"/>
      <c r="I2429" s="178"/>
      <c r="J2429" s="184"/>
      <c r="N2429" s="178"/>
      <c r="O2429" s="178"/>
      <c r="P2429" s="178"/>
    </row>
    <row r="2430" spans="2:16" ht="15.75" customHeight="1">
      <c r="B2430" s="618"/>
      <c r="H2430" s="178"/>
      <c r="I2430" s="178"/>
      <c r="J2430" s="184"/>
      <c r="N2430" s="178"/>
      <c r="O2430" s="178"/>
      <c r="P2430" s="178"/>
    </row>
    <row r="2431" spans="2:16" ht="15.75" customHeight="1">
      <c r="B2431" s="618"/>
      <c r="H2431" s="178"/>
      <c r="I2431" s="178"/>
      <c r="J2431" s="184"/>
      <c r="N2431" s="178"/>
      <c r="O2431" s="178"/>
      <c r="P2431" s="178"/>
    </row>
    <row r="2432" spans="2:16" ht="15.75" customHeight="1">
      <c r="B2432" s="618"/>
      <c r="H2432" s="178"/>
      <c r="I2432" s="178"/>
      <c r="J2432" s="184"/>
      <c r="N2432" s="178"/>
      <c r="O2432" s="178"/>
      <c r="P2432" s="178"/>
    </row>
    <row r="2433" spans="2:16" ht="15.75" customHeight="1">
      <c r="B2433" s="618"/>
      <c r="H2433" s="178"/>
      <c r="I2433" s="178"/>
      <c r="J2433" s="184"/>
      <c r="N2433" s="178"/>
      <c r="O2433" s="178"/>
      <c r="P2433" s="178"/>
    </row>
    <row r="2434" spans="2:16" ht="15.75" customHeight="1">
      <c r="B2434" s="618"/>
      <c r="H2434" s="178"/>
      <c r="I2434" s="178"/>
      <c r="J2434" s="184"/>
      <c r="N2434" s="178"/>
      <c r="O2434" s="178"/>
      <c r="P2434" s="178"/>
    </row>
    <row r="2435" spans="2:16" ht="15.75" customHeight="1">
      <c r="B2435" s="618"/>
      <c r="H2435" s="178"/>
      <c r="I2435" s="178"/>
      <c r="J2435" s="184"/>
      <c r="N2435" s="178"/>
      <c r="O2435" s="178"/>
      <c r="P2435" s="178"/>
    </row>
    <row r="2436" spans="2:16" ht="15.75" customHeight="1">
      <c r="B2436" s="618"/>
      <c r="H2436" s="178"/>
      <c r="I2436" s="178"/>
      <c r="J2436" s="184"/>
      <c r="N2436" s="178"/>
      <c r="O2436" s="178"/>
      <c r="P2436" s="178"/>
    </row>
    <row r="2437" spans="2:16" ht="15.75" customHeight="1">
      <c r="B2437" s="618"/>
      <c r="H2437" s="178"/>
      <c r="I2437" s="178"/>
      <c r="J2437" s="184"/>
      <c r="N2437" s="178"/>
      <c r="O2437" s="178"/>
      <c r="P2437" s="178"/>
    </row>
    <row r="2438" spans="2:16" ht="15.75" customHeight="1">
      <c r="B2438" s="618"/>
      <c r="H2438" s="178"/>
      <c r="I2438" s="178"/>
      <c r="J2438" s="184"/>
      <c r="N2438" s="178"/>
      <c r="O2438" s="178"/>
      <c r="P2438" s="178"/>
    </row>
    <row r="2439" spans="2:16" ht="15.75" customHeight="1">
      <c r="B2439" s="618"/>
      <c r="H2439" s="178"/>
      <c r="I2439" s="178"/>
      <c r="J2439" s="184"/>
      <c r="N2439" s="178"/>
      <c r="O2439" s="178"/>
      <c r="P2439" s="178"/>
    </row>
    <row r="2440" spans="2:16" ht="15.75" customHeight="1">
      <c r="B2440" s="618"/>
      <c r="H2440" s="178"/>
      <c r="I2440" s="178"/>
      <c r="J2440" s="184"/>
      <c r="N2440" s="178"/>
      <c r="O2440" s="178"/>
      <c r="P2440" s="178"/>
    </row>
    <row r="2441" spans="2:16" ht="15.75" customHeight="1">
      <c r="B2441" s="618"/>
      <c r="H2441" s="178"/>
      <c r="I2441" s="178"/>
      <c r="J2441" s="184"/>
      <c r="N2441" s="178"/>
      <c r="O2441" s="178"/>
      <c r="P2441" s="178"/>
    </row>
    <row r="2442" spans="2:16" ht="15.75" customHeight="1">
      <c r="B2442" s="618"/>
      <c r="H2442" s="178"/>
      <c r="I2442" s="178"/>
      <c r="J2442" s="184"/>
      <c r="N2442" s="178"/>
      <c r="O2442" s="178"/>
      <c r="P2442" s="178"/>
    </row>
    <row r="2443" spans="2:16" ht="15.75" customHeight="1">
      <c r="B2443" s="618"/>
      <c r="H2443" s="178"/>
      <c r="I2443" s="178"/>
      <c r="J2443" s="184"/>
      <c r="N2443" s="178"/>
      <c r="O2443" s="178"/>
      <c r="P2443" s="178"/>
    </row>
    <row r="2444" spans="2:16" ht="15.75" customHeight="1">
      <c r="B2444" s="618"/>
      <c r="H2444" s="178"/>
      <c r="I2444" s="178"/>
      <c r="J2444" s="184"/>
      <c r="N2444" s="178"/>
      <c r="O2444" s="178"/>
      <c r="P2444" s="178"/>
    </row>
    <row r="2445" spans="2:16" ht="15.75" customHeight="1">
      <c r="B2445" s="618"/>
      <c r="H2445" s="178"/>
      <c r="I2445" s="178"/>
      <c r="J2445" s="184"/>
      <c r="N2445" s="178"/>
      <c r="O2445" s="178"/>
      <c r="P2445" s="178"/>
    </row>
    <row r="2446" spans="2:16" ht="15.75" customHeight="1">
      <c r="B2446" s="618"/>
      <c r="H2446" s="178"/>
      <c r="I2446" s="178"/>
      <c r="J2446" s="184"/>
      <c r="N2446" s="178"/>
      <c r="O2446" s="178"/>
      <c r="P2446" s="178"/>
    </row>
    <row r="2447" spans="2:16" ht="15.75" customHeight="1">
      <c r="B2447" s="618"/>
      <c r="H2447" s="178"/>
      <c r="I2447" s="178"/>
      <c r="J2447" s="184"/>
      <c r="N2447" s="178"/>
      <c r="O2447" s="178"/>
      <c r="P2447" s="178"/>
    </row>
    <row r="2448" spans="2:16" ht="15.75" customHeight="1">
      <c r="B2448" s="618"/>
      <c r="H2448" s="178"/>
      <c r="I2448" s="178"/>
      <c r="J2448" s="184"/>
      <c r="N2448" s="178"/>
      <c r="O2448" s="178"/>
      <c r="P2448" s="178"/>
    </row>
    <row r="2449" spans="2:16" ht="15.75" customHeight="1">
      <c r="B2449" s="618"/>
      <c r="H2449" s="178"/>
      <c r="I2449" s="178"/>
      <c r="J2449" s="184"/>
      <c r="N2449" s="178"/>
      <c r="O2449" s="178"/>
      <c r="P2449" s="178"/>
    </row>
    <row r="2450" spans="2:16" ht="15.75" customHeight="1">
      <c r="B2450" s="618"/>
      <c r="H2450" s="178"/>
      <c r="I2450" s="178"/>
      <c r="J2450" s="184"/>
      <c r="N2450" s="178"/>
      <c r="O2450" s="178"/>
      <c r="P2450" s="178"/>
    </row>
    <row r="2451" spans="2:16" ht="15.75" customHeight="1">
      <c r="B2451" s="618"/>
      <c r="H2451" s="178"/>
      <c r="I2451" s="178"/>
      <c r="J2451" s="184"/>
      <c r="N2451" s="178"/>
      <c r="O2451" s="178"/>
      <c r="P2451" s="178"/>
    </row>
    <row r="2452" spans="2:16" ht="15.75" customHeight="1">
      <c r="B2452" s="618"/>
      <c r="H2452" s="178"/>
      <c r="I2452" s="178"/>
      <c r="J2452" s="184"/>
      <c r="N2452" s="178"/>
      <c r="O2452" s="178"/>
      <c r="P2452" s="178"/>
    </row>
    <row r="2453" spans="2:16" ht="15.75" customHeight="1">
      <c r="B2453" s="618"/>
      <c r="H2453" s="178"/>
      <c r="I2453" s="178"/>
      <c r="J2453" s="184"/>
      <c r="N2453" s="178"/>
      <c r="O2453" s="178"/>
      <c r="P2453" s="178"/>
    </row>
    <row r="2454" spans="2:16" ht="15.75" customHeight="1">
      <c r="B2454" s="618"/>
      <c r="H2454" s="178"/>
      <c r="I2454" s="178"/>
      <c r="J2454" s="184"/>
      <c r="N2454" s="178"/>
      <c r="O2454" s="178"/>
      <c r="P2454" s="178"/>
    </row>
    <row r="2455" spans="2:16" ht="15.75" customHeight="1">
      <c r="B2455" s="618"/>
      <c r="H2455" s="178"/>
      <c r="I2455" s="178"/>
      <c r="J2455" s="184"/>
      <c r="N2455" s="178"/>
      <c r="O2455" s="178"/>
      <c r="P2455" s="178"/>
    </row>
    <row r="2456" spans="2:16" ht="15.75" customHeight="1">
      <c r="B2456" s="618"/>
      <c r="H2456" s="178"/>
      <c r="I2456" s="178"/>
      <c r="J2456" s="184"/>
      <c r="N2456" s="178"/>
      <c r="O2456" s="178"/>
      <c r="P2456" s="178"/>
    </row>
    <row r="2457" spans="2:16" ht="15.75" customHeight="1">
      <c r="B2457" s="618"/>
      <c r="H2457" s="178"/>
      <c r="I2457" s="178"/>
      <c r="J2457" s="184"/>
      <c r="N2457" s="178"/>
      <c r="O2457" s="178"/>
      <c r="P2457" s="178"/>
    </row>
    <row r="2458" spans="2:16" ht="15.75" customHeight="1">
      <c r="B2458" s="618"/>
      <c r="H2458" s="178"/>
      <c r="I2458" s="178"/>
      <c r="J2458" s="184"/>
      <c r="N2458" s="178"/>
      <c r="O2458" s="178"/>
      <c r="P2458" s="178"/>
    </row>
    <row r="2459" spans="2:16" ht="15.75" customHeight="1">
      <c r="B2459" s="618"/>
      <c r="H2459" s="178"/>
      <c r="I2459" s="178"/>
      <c r="J2459" s="184"/>
      <c r="N2459" s="178"/>
      <c r="O2459" s="178"/>
      <c r="P2459" s="178"/>
    </row>
    <row r="2460" spans="2:16" ht="15.75" customHeight="1">
      <c r="B2460" s="618"/>
      <c r="H2460" s="178"/>
      <c r="I2460" s="178"/>
      <c r="J2460" s="184"/>
      <c r="N2460" s="178"/>
      <c r="O2460" s="178"/>
      <c r="P2460" s="178"/>
    </row>
    <row r="2461" spans="2:16" ht="15.75" customHeight="1">
      <c r="B2461" s="618"/>
      <c r="H2461" s="178"/>
      <c r="I2461" s="178"/>
      <c r="J2461" s="184"/>
      <c r="N2461" s="178"/>
      <c r="O2461" s="178"/>
      <c r="P2461" s="178"/>
    </row>
    <row r="2462" spans="2:16" ht="15.75" customHeight="1">
      <c r="B2462" s="618"/>
      <c r="H2462" s="178"/>
      <c r="I2462" s="178"/>
      <c r="J2462" s="184"/>
      <c r="N2462" s="178"/>
      <c r="O2462" s="178"/>
      <c r="P2462" s="178"/>
    </row>
    <row r="2463" spans="2:16" ht="15.75" customHeight="1">
      <c r="B2463" s="618"/>
      <c r="H2463" s="178"/>
      <c r="I2463" s="178"/>
      <c r="J2463" s="184"/>
      <c r="N2463" s="178"/>
      <c r="O2463" s="178"/>
      <c r="P2463" s="178"/>
    </row>
    <row r="2464" spans="2:16" ht="15.75" customHeight="1">
      <c r="B2464" s="618"/>
      <c r="H2464" s="178"/>
      <c r="I2464" s="178"/>
      <c r="J2464" s="184"/>
      <c r="N2464" s="178"/>
      <c r="O2464" s="178"/>
      <c r="P2464" s="178"/>
    </row>
    <row r="2465" spans="2:16" ht="15.75" customHeight="1">
      <c r="B2465" s="618"/>
      <c r="H2465" s="178"/>
      <c r="I2465" s="178"/>
      <c r="J2465" s="184"/>
      <c r="N2465" s="178"/>
      <c r="O2465" s="178"/>
      <c r="P2465" s="178"/>
    </row>
    <row r="2466" spans="2:16" ht="15.75" customHeight="1">
      <c r="B2466" s="618"/>
      <c r="H2466" s="178"/>
      <c r="I2466" s="178"/>
      <c r="J2466" s="184"/>
      <c r="N2466" s="178"/>
      <c r="O2466" s="178"/>
      <c r="P2466" s="178"/>
    </row>
    <row r="2467" spans="2:16" ht="15.75" customHeight="1">
      <c r="B2467" s="618"/>
      <c r="H2467" s="178"/>
      <c r="I2467" s="178"/>
      <c r="J2467" s="184"/>
      <c r="N2467" s="178"/>
      <c r="O2467" s="178"/>
      <c r="P2467" s="178"/>
    </row>
    <row r="2468" spans="2:16" ht="15.75" customHeight="1">
      <c r="B2468" s="618"/>
      <c r="H2468" s="178"/>
      <c r="I2468" s="178"/>
      <c r="J2468" s="184"/>
      <c r="N2468" s="178"/>
      <c r="O2468" s="178"/>
      <c r="P2468" s="178"/>
    </row>
    <row r="2469" spans="2:16" ht="15.75" customHeight="1">
      <c r="B2469" s="618"/>
      <c r="H2469" s="178"/>
      <c r="I2469" s="178"/>
      <c r="J2469" s="184"/>
      <c r="N2469" s="178"/>
      <c r="O2469" s="178"/>
      <c r="P2469" s="178"/>
    </row>
    <row r="2470" spans="2:16" ht="15.75" customHeight="1">
      <c r="B2470" s="618"/>
      <c r="H2470" s="178"/>
      <c r="I2470" s="178"/>
      <c r="J2470" s="184"/>
      <c r="N2470" s="178"/>
      <c r="O2470" s="178"/>
      <c r="P2470" s="178"/>
    </row>
    <row r="2471" spans="2:16" ht="15.75" customHeight="1">
      <c r="B2471" s="618"/>
      <c r="H2471" s="178"/>
      <c r="I2471" s="178"/>
      <c r="J2471" s="184"/>
      <c r="N2471" s="178"/>
      <c r="O2471" s="178"/>
      <c r="P2471" s="178"/>
    </row>
    <row r="2472" spans="2:16" ht="15.75" customHeight="1">
      <c r="B2472" s="618"/>
      <c r="H2472" s="178"/>
      <c r="I2472" s="178"/>
      <c r="J2472" s="184"/>
      <c r="N2472" s="178"/>
      <c r="O2472" s="178"/>
      <c r="P2472" s="178"/>
    </row>
    <row r="2473" spans="2:16" ht="15.75" customHeight="1">
      <c r="B2473" s="618"/>
      <c r="H2473" s="178"/>
      <c r="I2473" s="178"/>
      <c r="J2473" s="184"/>
      <c r="N2473" s="178"/>
      <c r="O2473" s="178"/>
      <c r="P2473" s="178"/>
    </row>
    <row r="2474" spans="2:16" ht="15.75" customHeight="1">
      <c r="B2474" s="618"/>
      <c r="H2474" s="178"/>
      <c r="I2474" s="178"/>
      <c r="J2474" s="184"/>
      <c r="N2474" s="178"/>
      <c r="O2474" s="178"/>
      <c r="P2474" s="178"/>
    </row>
    <row r="2475" spans="2:16" ht="15.75" customHeight="1">
      <c r="B2475" s="618"/>
      <c r="H2475" s="178"/>
      <c r="I2475" s="178"/>
      <c r="J2475" s="184"/>
      <c r="N2475" s="178"/>
      <c r="O2475" s="178"/>
      <c r="P2475" s="178"/>
    </row>
    <row r="2476" spans="2:16" ht="15.75" customHeight="1">
      <c r="B2476" s="618"/>
      <c r="H2476" s="178"/>
      <c r="I2476" s="178"/>
      <c r="J2476" s="184"/>
      <c r="N2476" s="178"/>
      <c r="O2476" s="178"/>
      <c r="P2476" s="178"/>
    </row>
    <row r="2477" spans="2:16" ht="15.75" customHeight="1">
      <c r="B2477" s="618"/>
      <c r="H2477" s="178"/>
      <c r="I2477" s="178"/>
      <c r="J2477" s="184"/>
      <c r="N2477" s="178"/>
      <c r="O2477" s="178"/>
      <c r="P2477" s="178"/>
    </row>
    <row r="2478" spans="2:16" ht="15.75" customHeight="1">
      <c r="B2478" s="618"/>
      <c r="H2478" s="178"/>
      <c r="I2478" s="178"/>
      <c r="J2478" s="184"/>
      <c r="N2478" s="178"/>
      <c r="O2478" s="178"/>
      <c r="P2478" s="178"/>
    </row>
    <row r="2479" spans="2:16" ht="15.75" customHeight="1">
      <c r="B2479" s="618"/>
      <c r="H2479" s="178"/>
      <c r="I2479" s="178"/>
      <c r="J2479" s="184"/>
      <c r="N2479" s="178"/>
      <c r="O2479" s="178"/>
      <c r="P2479" s="178"/>
    </row>
    <row r="2480" spans="2:16" ht="15.75" customHeight="1">
      <c r="B2480" s="618"/>
      <c r="H2480" s="178"/>
      <c r="I2480" s="178"/>
      <c r="J2480" s="184"/>
      <c r="N2480" s="178"/>
      <c r="O2480" s="178"/>
      <c r="P2480" s="178"/>
    </row>
    <row r="2481" spans="2:16" ht="15.75" customHeight="1">
      <c r="B2481" s="618"/>
      <c r="H2481" s="178"/>
      <c r="I2481" s="178"/>
      <c r="J2481" s="184"/>
      <c r="N2481" s="178"/>
      <c r="O2481" s="178"/>
      <c r="P2481" s="178"/>
    </row>
    <row r="2482" spans="2:16" ht="15.75" customHeight="1">
      <c r="B2482" s="618"/>
      <c r="H2482" s="178"/>
      <c r="I2482" s="178"/>
      <c r="J2482" s="184"/>
      <c r="N2482" s="178"/>
      <c r="O2482" s="178"/>
      <c r="P2482" s="178"/>
    </row>
    <row r="2483" spans="2:16" ht="15.75" customHeight="1">
      <c r="B2483" s="618"/>
      <c r="H2483" s="178"/>
      <c r="I2483" s="178"/>
      <c r="J2483" s="184"/>
      <c r="N2483" s="178"/>
      <c r="O2483" s="178"/>
      <c r="P2483" s="178"/>
    </row>
    <row r="2484" spans="2:16" ht="15.75" customHeight="1">
      <c r="B2484" s="618"/>
      <c r="H2484" s="178"/>
      <c r="I2484" s="178"/>
      <c r="J2484" s="184"/>
      <c r="N2484" s="178"/>
      <c r="O2484" s="178"/>
      <c r="P2484" s="178"/>
    </row>
    <row r="2485" spans="2:16" ht="15.75" customHeight="1">
      <c r="B2485" s="618"/>
      <c r="H2485" s="178"/>
      <c r="I2485" s="178"/>
      <c r="J2485" s="184"/>
      <c r="N2485" s="178"/>
      <c r="O2485" s="178"/>
      <c r="P2485" s="178"/>
    </row>
    <row r="2486" spans="2:16" ht="15.75" customHeight="1">
      <c r="B2486" s="618"/>
      <c r="H2486" s="178"/>
      <c r="I2486" s="178"/>
      <c r="J2486" s="184"/>
      <c r="N2486" s="178"/>
      <c r="O2486" s="178"/>
      <c r="P2486" s="178"/>
    </row>
    <row r="2487" spans="2:16" ht="15.75" customHeight="1">
      <c r="B2487" s="618"/>
      <c r="H2487" s="178"/>
      <c r="I2487" s="178"/>
      <c r="J2487" s="184"/>
      <c r="N2487" s="178"/>
      <c r="O2487" s="178"/>
      <c r="P2487" s="178"/>
    </row>
    <row r="2488" spans="2:16" ht="15.75" customHeight="1">
      <c r="B2488" s="618"/>
      <c r="H2488" s="178"/>
      <c r="I2488" s="178"/>
      <c r="J2488" s="184"/>
      <c r="N2488" s="178"/>
      <c r="O2488" s="178"/>
      <c r="P2488" s="178"/>
    </row>
    <row r="2489" spans="2:16" ht="15.75" customHeight="1">
      <c r="B2489" s="618"/>
      <c r="H2489" s="178"/>
      <c r="I2489" s="178"/>
      <c r="J2489" s="184"/>
      <c r="N2489" s="178"/>
      <c r="O2489" s="178"/>
      <c r="P2489" s="178"/>
    </row>
    <row r="2490" spans="2:16" ht="15.75" customHeight="1">
      <c r="B2490" s="618"/>
      <c r="H2490" s="178"/>
      <c r="I2490" s="178"/>
      <c r="J2490" s="184"/>
      <c r="N2490" s="178"/>
      <c r="O2490" s="178"/>
      <c r="P2490" s="178"/>
    </row>
    <row r="2491" spans="2:16" ht="15.75" customHeight="1">
      <c r="B2491" s="618"/>
      <c r="H2491" s="178"/>
      <c r="I2491" s="178"/>
      <c r="J2491" s="184"/>
      <c r="N2491" s="178"/>
      <c r="O2491" s="178"/>
      <c r="P2491" s="178"/>
    </row>
    <row r="2492" spans="2:16" ht="15.75" customHeight="1">
      <c r="B2492" s="618"/>
      <c r="H2492" s="178"/>
      <c r="I2492" s="178"/>
      <c r="J2492" s="184"/>
      <c r="N2492" s="178"/>
      <c r="O2492" s="178"/>
      <c r="P2492" s="178"/>
    </row>
    <row r="2493" spans="2:16" ht="15.75" customHeight="1">
      <c r="B2493" s="618"/>
      <c r="H2493" s="178"/>
      <c r="I2493" s="178"/>
      <c r="J2493" s="184"/>
      <c r="N2493" s="178"/>
      <c r="O2493" s="178"/>
      <c r="P2493" s="178"/>
    </row>
    <row r="2494" spans="2:16" ht="15.75" customHeight="1">
      <c r="B2494" s="618"/>
      <c r="H2494" s="178"/>
      <c r="I2494" s="178"/>
      <c r="J2494" s="184"/>
      <c r="N2494" s="178"/>
      <c r="O2494" s="178"/>
      <c r="P2494" s="178"/>
    </row>
    <row r="2495" spans="2:16" ht="15.75" customHeight="1">
      <c r="B2495" s="618"/>
      <c r="H2495" s="178"/>
      <c r="I2495" s="178"/>
      <c r="J2495" s="184"/>
      <c r="N2495" s="178"/>
      <c r="O2495" s="178"/>
      <c r="P2495" s="178"/>
    </row>
    <row r="2496" spans="2:16" ht="15.75" customHeight="1">
      <c r="B2496" s="618"/>
      <c r="H2496" s="178"/>
      <c r="I2496" s="178"/>
      <c r="J2496" s="184"/>
      <c r="N2496" s="178"/>
      <c r="O2496" s="178"/>
      <c r="P2496" s="178"/>
    </row>
    <row r="2497" spans="2:16" ht="15.75" customHeight="1">
      <c r="B2497" s="618"/>
      <c r="H2497" s="178"/>
      <c r="I2497" s="178"/>
      <c r="J2497" s="184"/>
      <c r="N2497" s="178"/>
      <c r="O2497" s="178"/>
      <c r="P2497" s="178"/>
    </row>
    <row r="2498" spans="2:16" ht="15.75" customHeight="1">
      <c r="B2498" s="618"/>
      <c r="H2498" s="178"/>
      <c r="I2498" s="178"/>
      <c r="J2498" s="184"/>
      <c r="N2498" s="178"/>
      <c r="O2498" s="178"/>
      <c r="P2498" s="178"/>
    </row>
    <row r="2499" spans="2:16" ht="15.75" customHeight="1">
      <c r="B2499" s="618"/>
      <c r="H2499" s="178"/>
      <c r="I2499" s="178"/>
      <c r="J2499" s="184"/>
      <c r="N2499" s="178"/>
      <c r="O2499" s="178"/>
      <c r="P2499" s="178"/>
    </row>
    <row r="2500" spans="2:16" ht="15.75" customHeight="1">
      <c r="B2500" s="618"/>
      <c r="H2500" s="178"/>
      <c r="I2500" s="178"/>
      <c r="J2500" s="184"/>
      <c r="N2500" s="178"/>
      <c r="O2500" s="178"/>
      <c r="P2500" s="178"/>
    </row>
    <row r="2501" spans="2:16" ht="15.75" customHeight="1">
      <c r="B2501" s="618"/>
      <c r="H2501" s="178"/>
      <c r="I2501" s="178"/>
      <c r="J2501" s="184"/>
      <c r="N2501" s="178"/>
      <c r="O2501" s="178"/>
      <c r="P2501" s="178"/>
    </row>
    <row r="2502" spans="2:16" ht="15.75" customHeight="1">
      <c r="B2502" s="618"/>
      <c r="H2502" s="178"/>
      <c r="I2502" s="178"/>
      <c r="J2502" s="184"/>
      <c r="N2502" s="178"/>
      <c r="O2502" s="178"/>
      <c r="P2502" s="178"/>
    </row>
    <row r="2503" spans="2:16" ht="15.75" customHeight="1">
      <c r="B2503" s="618"/>
      <c r="H2503" s="178"/>
      <c r="I2503" s="178"/>
      <c r="J2503" s="184"/>
      <c r="N2503" s="178"/>
      <c r="O2503" s="178"/>
      <c r="P2503" s="178"/>
    </row>
    <row r="2504" spans="2:16" ht="15.75" customHeight="1">
      <c r="B2504" s="618"/>
      <c r="H2504" s="178"/>
      <c r="I2504" s="178"/>
      <c r="J2504" s="184"/>
      <c r="N2504" s="178"/>
      <c r="O2504" s="178"/>
      <c r="P2504" s="178"/>
    </row>
    <row r="2505" spans="2:16" ht="15.75" customHeight="1">
      <c r="B2505" s="618"/>
      <c r="H2505" s="178"/>
      <c r="I2505" s="178"/>
      <c r="J2505" s="184"/>
      <c r="N2505" s="178"/>
      <c r="O2505" s="178"/>
      <c r="P2505" s="178"/>
    </row>
    <row r="2506" spans="2:16" ht="15.75" customHeight="1">
      <c r="B2506" s="618"/>
      <c r="H2506" s="178"/>
      <c r="I2506" s="178"/>
      <c r="J2506" s="184"/>
      <c r="N2506" s="178"/>
      <c r="O2506" s="178"/>
      <c r="P2506" s="178"/>
    </row>
    <row r="2507" spans="2:16" ht="15.75" customHeight="1">
      <c r="B2507" s="618"/>
      <c r="H2507" s="178"/>
      <c r="I2507" s="178"/>
      <c r="J2507" s="184"/>
      <c r="N2507" s="178"/>
      <c r="O2507" s="178"/>
      <c r="P2507" s="178"/>
    </row>
    <row r="2508" spans="2:16" ht="15.75" customHeight="1">
      <c r="B2508" s="618"/>
      <c r="H2508" s="178"/>
      <c r="I2508" s="178"/>
      <c r="J2508" s="184"/>
      <c r="N2508" s="178"/>
      <c r="O2508" s="178"/>
      <c r="P2508" s="178"/>
    </row>
    <row r="2509" spans="2:16" ht="15.75" customHeight="1">
      <c r="B2509" s="618"/>
      <c r="H2509" s="178"/>
      <c r="I2509" s="178"/>
      <c r="J2509" s="184"/>
      <c r="N2509" s="178"/>
      <c r="O2509" s="178"/>
      <c r="P2509" s="178"/>
    </row>
    <row r="2510" spans="2:16" ht="15.75" customHeight="1">
      <c r="B2510" s="618"/>
      <c r="H2510" s="178"/>
      <c r="I2510" s="178"/>
      <c r="J2510" s="184"/>
      <c r="N2510" s="178"/>
      <c r="O2510" s="178"/>
      <c r="P2510" s="178"/>
    </row>
    <row r="2511" spans="2:16" ht="15.75" customHeight="1">
      <c r="B2511" s="618"/>
      <c r="H2511" s="178"/>
      <c r="I2511" s="178"/>
      <c r="J2511" s="184"/>
      <c r="N2511" s="178"/>
      <c r="O2511" s="178"/>
      <c r="P2511" s="178"/>
    </row>
    <row r="2512" spans="2:16" ht="15.75" customHeight="1">
      <c r="B2512" s="618"/>
      <c r="H2512" s="178"/>
      <c r="I2512" s="178"/>
      <c r="J2512" s="184"/>
      <c r="N2512" s="178"/>
      <c r="O2512" s="178"/>
      <c r="P2512" s="178"/>
    </row>
    <row r="2513" spans="2:16" ht="15.75" customHeight="1">
      <c r="B2513" s="618"/>
      <c r="H2513" s="178"/>
      <c r="I2513" s="178"/>
      <c r="J2513" s="184"/>
      <c r="N2513" s="178"/>
      <c r="O2513" s="178"/>
      <c r="P2513" s="178"/>
    </row>
    <row r="2514" spans="2:16" ht="15.75" customHeight="1">
      <c r="B2514" s="618"/>
      <c r="H2514" s="178"/>
      <c r="I2514" s="178"/>
      <c r="J2514" s="184"/>
      <c r="N2514" s="178"/>
      <c r="O2514" s="178"/>
      <c r="P2514" s="178"/>
    </row>
    <row r="2515" spans="2:16" ht="15.75" customHeight="1">
      <c r="B2515" s="618"/>
      <c r="H2515" s="178"/>
      <c r="I2515" s="178"/>
      <c r="J2515" s="184"/>
      <c r="N2515" s="178"/>
      <c r="O2515" s="178"/>
      <c r="P2515" s="178"/>
    </row>
    <row r="2516" spans="2:16" ht="15.75" customHeight="1">
      <c r="B2516" s="618"/>
      <c r="H2516" s="178"/>
      <c r="I2516" s="178"/>
      <c r="J2516" s="184"/>
      <c r="N2516" s="178"/>
      <c r="O2516" s="178"/>
      <c r="P2516" s="178"/>
    </row>
    <row r="2517" spans="2:16" ht="15.75" customHeight="1">
      <c r="B2517" s="618"/>
      <c r="H2517" s="178"/>
      <c r="I2517" s="178"/>
      <c r="J2517" s="184"/>
      <c r="N2517" s="178"/>
      <c r="O2517" s="178"/>
      <c r="P2517" s="178"/>
    </row>
    <row r="2518" spans="2:16" ht="15.75" customHeight="1">
      <c r="B2518" s="618"/>
      <c r="H2518" s="178"/>
      <c r="I2518" s="178"/>
      <c r="J2518" s="184"/>
      <c r="N2518" s="178"/>
      <c r="O2518" s="178"/>
      <c r="P2518" s="178"/>
    </row>
    <row r="2519" spans="2:16" ht="15.75" customHeight="1">
      <c r="B2519" s="618"/>
      <c r="H2519" s="178"/>
      <c r="I2519" s="178"/>
      <c r="J2519" s="184"/>
      <c r="N2519" s="178"/>
      <c r="O2519" s="178"/>
      <c r="P2519" s="178"/>
    </row>
    <row r="2520" spans="2:16" ht="15.75" customHeight="1">
      <c r="B2520" s="618"/>
      <c r="H2520" s="178"/>
      <c r="I2520" s="178"/>
      <c r="J2520" s="184"/>
      <c r="N2520" s="178"/>
      <c r="O2520" s="178"/>
      <c r="P2520" s="178"/>
    </row>
    <row r="2521" spans="2:16" ht="15.75" customHeight="1">
      <c r="B2521" s="618"/>
      <c r="H2521" s="178"/>
      <c r="I2521" s="178"/>
      <c r="J2521" s="184"/>
      <c r="N2521" s="178"/>
      <c r="O2521" s="178"/>
      <c r="P2521" s="178"/>
    </row>
    <row r="2522" spans="2:16" ht="15.75" customHeight="1">
      <c r="B2522" s="618"/>
      <c r="H2522" s="178"/>
      <c r="I2522" s="178"/>
      <c r="J2522" s="184"/>
      <c r="N2522" s="178"/>
      <c r="O2522" s="178"/>
      <c r="P2522" s="178"/>
    </row>
    <row r="2523" spans="2:16" ht="15.75" customHeight="1">
      <c r="B2523" s="618"/>
      <c r="H2523" s="178"/>
      <c r="I2523" s="178"/>
      <c r="J2523" s="184"/>
      <c r="N2523" s="178"/>
      <c r="O2523" s="178"/>
      <c r="P2523" s="178"/>
    </row>
    <row r="2524" spans="2:16" ht="15.75" customHeight="1">
      <c r="B2524" s="618"/>
      <c r="H2524" s="178"/>
      <c r="I2524" s="178"/>
      <c r="J2524" s="184"/>
      <c r="N2524" s="178"/>
      <c r="O2524" s="178"/>
      <c r="P2524" s="178"/>
    </row>
    <row r="2525" spans="2:16" ht="15.75" customHeight="1">
      <c r="B2525" s="618"/>
      <c r="H2525" s="178"/>
      <c r="I2525" s="178"/>
      <c r="J2525" s="184"/>
      <c r="N2525" s="178"/>
      <c r="O2525" s="178"/>
      <c r="P2525" s="178"/>
    </row>
    <row r="2526" spans="2:16" ht="15.75" customHeight="1">
      <c r="B2526" s="618"/>
      <c r="H2526" s="178"/>
      <c r="I2526" s="178"/>
      <c r="J2526" s="184"/>
      <c r="N2526" s="178"/>
      <c r="O2526" s="178"/>
      <c r="P2526" s="178"/>
    </row>
    <row r="2527" spans="2:16" ht="15.75" customHeight="1">
      <c r="B2527" s="618"/>
      <c r="H2527" s="178"/>
      <c r="I2527" s="178"/>
      <c r="J2527" s="184"/>
      <c r="N2527" s="178"/>
      <c r="O2527" s="178"/>
      <c r="P2527" s="178"/>
    </row>
    <row r="2528" spans="2:16" ht="15.75" customHeight="1">
      <c r="B2528" s="618"/>
      <c r="H2528" s="178"/>
      <c r="I2528" s="178"/>
      <c r="J2528" s="184"/>
      <c r="N2528" s="178"/>
      <c r="O2528" s="178"/>
      <c r="P2528" s="178"/>
    </row>
    <row r="2529" spans="2:16" ht="15.75" customHeight="1">
      <c r="B2529" s="618"/>
      <c r="H2529" s="178"/>
      <c r="I2529" s="178"/>
      <c r="J2529" s="184"/>
      <c r="N2529" s="178"/>
      <c r="O2529" s="178"/>
      <c r="P2529" s="178"/>
    </row>
    <row r="2530" spans="2:16" ht="15.75" customHeight="1">
      <c r="B2530" s="618"/>
      <c r="H2530" s="178"/>
      <c r="I2530" s="178"/>
      <c r="J2530" s="184"/>
      <c r="N2530" s="178"/>
      <c r="O2530" s="178"/>
      <c r="P2530" s="178"/>
    </row>
    <row r="2531" spans="2:16" ht="15.75" customHeight="1">
      <c r="B2531" s="618"/>
      <c r="H2531" s="178"/>
      <c r="I2531" s="178"/>
      <c r="J2531" s="184"/>
      <c r="N2531" s="178"/>
      <c r="O2531" s="178"/>
      <c r="P2531" s="178"/>
    </row>
    <row r="2532" spans="2:16" ht="15.75" customHeight="1">
      <c r="B2532" s="618"/>
      <c r="H2532" s="178"/>
      <c r="I2532" s="178"/>
      <c r="J2532" s="184"/>
      <c r="N2532" s="178"/>
      <c r="O2532" s="178"/>
      <c r="P2532" s="178"/>
    </row>
    <row r="2533" spans="2:16" ht="15.75" customHeight="1">
      <c r="B2533" s="618"/>
      <c r="H2533" s="178"/>
      <c r="I2533" s="178"/>
      <c r="J2533" s="184"/>
      <c r="N2533" s="178"/>
      <c r="O2533" s="178"/>
      <c r="P2533" s="178"/>
    </row>
    <row r="2534" spans="2:16" ht="15.75" customHeight="1">
      <c r="B2534" s="618"/>
      <c r="H2534" s="178"/>
      <c r="I2534" s="178"/>
      <c r="J2534" s="184"/>
      <c r="N2534" s="178"/>
      <c r="O2534" s="178"/>
      <c r="P2534" s="178"/>
    </row>
    <row r="2535" spans="2:16" ht="15.75" customHeight="1">
      <c r="B2535" s="618"/>
      <c r="H2535" s="178"/>
      <c r="I2535" s="178"/>
      <c r="J2535" s="184"/>
      <c r="N2535" s="178"/>
      <c r="O2535" s="178"/>
      <c r="P2535" s="178"/>
    </row>
    <row r="2536" spans="2:16" ht="15.75" customHeight="1">
      <c r="B2536" s="618"/>
      <c r="H2536" s="178"/>
      <c r="I2536" s="178"/>
      <c r="J2536" s="184"/>
      <c r="N2536" s="178"/>
      <c r="O2536" s="178"/>
      <c r="P2536" s="178"/>
    </row>
    <row r="2537" spans="2:16" ht="15.75" customHeight="1">
      <c r="B2537" s="618"/>
      <c r="H2537" s="178"/>
      <c r="I2537" s="178"/>
      <c r="J2537" s="184"/>
      <c r="N2537" s="178"/>
      <c r="O2537" s="178"/>
      <c r="P2537" s="178"/>
    </row>
    <row r="2538" spans="2:16" ht="15.75" customHeight="1">
      <c r="B2538" s="618"/>
      <c r="H2538" s="178"/>
      <c r="I2538" s="178"/>
      <c r="J2538" s="184"/>
      <c r="N2538" s="178"/>
      <c r="O2538" s="178"/>
      <c r="P2538" s="178"/>
    </row>
    <row r="2539" spans="2:16" ht="15.75" customHeight="1">
      <c r="B2539" s="618"/>
      <c r="H2539" s="178"/>
      <c r="I2539" s="178"/>
      <c r="J2539" s="184"/>
      <c r="N2539" s="178"/>
      <c r="O2539" s="178"/>
      <c r="P2539" s="178"/>
    </row>
    <row r="2540" spans="2:16" ht="15.75" customHeight="1">
      <c r="B2540" s="618"/>
      <c r="H2540" s="178"/>
      <c r="I2540" s="178"/>
      <c r="J2540" s="184"/>
      <c r="N2540" s="178"/>
      <c r="O2540" s="178"/>
      <c r="P2540" s="178"/>
    </row>
    <row r="2541" spans="2:16" ht="15.75" customHeight="1">
      <c r="B2541" s="618"/>
      <c r="H2541" s="178"/>
      <c r="I2541" s="178"/>
      <c r="J2541" s="184"/>
      <c r="N2541" s="178"/>
      <c r="O2541" s="178"/>
      <c r="P2541" s="178"/>
    </row>
    <row r="2542" spans="2:16" ht="15.75" customHeight="1">
      <c r="B2542" s="618"/>
      <c r="H2542" s="178"/>
      <c r="I2542" s="178"/>
      <c r="J2542" s="184"/>
      <c r="N2542" s="178"/>
      <c r="O2542" s="178"/>
      <c r="P2542" s="178"/>
    </row>
    <row r="2543" spans="2:16" ht="15.75" customHeight="1">
      <c r="B2543" s="618"/>
      <c r="H2543" s="178"/>
      <c r="I2543" s="178"/>
      <c r="J2543" s="184"/>
      <c r="N2543" s="178"/>
      <c r="O2543" s="178"/>
      <c r="P2543" s="178"/>
    </row>
    <row r="2544" spans="2:16" ht="15.75" customHeight="1">
      <c r="B2544" s="618"/>
      <c r="H2544" s="178"/>
      <c r="I2544" s="178"/>
      <c r="J2544" s="184"/>
      <c r="N2544" s="178"/>
      <c r="O2544" s="178"/>
      <c r="P2544" s="178"/>
    </row>
    <row r="2545" spans="2:16" ht="15.75" customHeight="1">
      <c r="B2545" s="618"/>
      <c r="H2545" s="178"/>
      <c r="I2545" s="178"/>
      <c r="J2545" s="184"/>
      <c r="N2545" s="178"/>
      <c r="O2545" s="178"/>
      <c r="P2545" s="178"/>
    </row>
    <row r="2546" spans="2:16" ht="15.75" customHeight="1">
      <c r="B2546" s="618"/>
      <c r="H2546" s="178"/>
      <c r="I2546" s="178"/>
      <c r="J2546" s="184"/>
      <c r="N2546" s="178"/>
      <c r="O2546" s="178"/>
      <c r="P2546" s="178"/>
    </row>
    <row r="2547" spans="2:16" ht="15.75" customHeight="1">
      <c r="B2547" s="618"/>
      <c r="H2547" s="178"/>
      <c r="I2547" s="178"/>
      <c r="J2547" s="184"/>
      <c r="N2547" s="178"/>
      <c r="O2547" s="178"/>
      <c r="P2547" s="178"/>
    </row>
    <row r="2548" spans="2:16" ht="15.75" customHeight="1">
      <c r="B2548" s="618"/>
      <c r="H2548" s="178"/>
      <c r="I2548" s="178"/>
      <c r="J2548" s="184"/>
      <c r="N2548" s="178"/>
      <c r="O2548" s="178"/>
      <c r="P2548" s="178"/>
    </row>
    <row r="2549" spans="2:16" ht="15.75" customHeight="1">
      <c r="B2549" s="618"/>
      <c r="H2549" s="178"/>
      <c r="I2549" s="178"/>
      <c r="J2549" s="184"/>
      <c r="N2549" s="178"/>
      <c r="O2549" s="178"/>
      <c r="P2549" s="178"/>
    </row>
    <row r="2550" spans="2:16" ht="15.75" customHeight="1">
      <c r="B2550" s="618"/>
      <c r="H2550" s="178"/>
      <c r="I2550" s="178"/>
      <c r="J2550" s="184"/>
      <c r="N2550" s="178"/>
      <c r="O2550" s="178"/>
      <c r="P2550" s="178"/>
    </row>
    <row r="2551" spans="2:16" ht="15.75" customHeight="1">
      <c r="B2551" s="618"/>
      <c r="H2551" s="178"/>
      <c r="I2551" s="178"/>
      <c r="J2551" s="184"/>
      <c r="N2551" s="178"/>
      <c r="O2551" s="178"/>
      <c r="P2551" s="178"/>
    </row>
    <row r="2552" spans="2:16" ht="15.75" customHeight="1">
      <c r="B2552" s="618"/>
      <c r="H2552" s="178"/>
      <c r="I2552" s="178"/>
      <c r="J2552" s="184"/>
      <c r="N2552" s="178"/>
      <c r="O2552" s="178"/>
      <c r="P2552" s="178"/>
    </row>
    <row r="2553" spans="2:16" ht="15.75" customHeight="1">
      <c r="B2553" s="618"/>
      <c r="H2553" s="178"/>
      <c r="I2553" s="178"/>
      <c r="J2553" s="184"/>
      <c r="N2553" s="178"/>
      <c r="O2553" s="178"/>
      <c r="P2553" s="178"/>
    </row>
    <row r="2554" spans="2:16" ht="15.75" customHeight="1">
      <c r="B2554" s="618"/>
      <c r="H2554" s="178"/>
      <c r="I2554" s="178"/>
      <c r="J2554" s="184"/>
      <c r="N2554" s="178"/>
      <c r="O2554" s="178"/>
      <c r="P2554" s="178"/>
    </row>
    <row r="2555" spans="2:16" ht="15.75" customHeight="1">
      <c r="B2555" s="618"/>
      <c r="H2555" s="178"/>
      <c r="I2555" s="178"/>
      <c r="J2555" s="184"/>
      <c r="N2555" s="178"/>
      <c r="O2555" s="178"/>
      <c r="P2555" s="178"/>
    </row>
    <row r="2556" spans="2:16" ht="15.75" customHeight="1">
      <c r="B2556" s="618"/>
      <c r="H2556" s="178"/>
      <c r="I2556" s="178"/>
      <c r="J2556" s="184"/>
      <c r="N2556" s="178"/>
      <c r="O2556" s="178"/>
      <c r="P2556" s="178"/>
    </row>
    <row r="2557" spans="2:16" ht="15.75" customHeight="1">
      <c r="B2557" s="618"/>
      <c r="H2557" s="178"/>
      <c r="I2557" s="178"/>
      <c r="J2557" s="184"/>
      <c r="N2557" s="178"/>
      <c r="O2557" s="178"/>
      <c r="P2557" s="178"/>
    </row>
    <row r="2558" spans="2:16" ht="15.75" customHeight="1">
      <c r="B2558" s="618"/>
      <c r="H2558" s="178"/>
      <c r="I2558" s="178"/>
      <c r="J2558" s="184"/>
      <c r="N2558" s="178"/>
      <c r="O2558" s="178"/>
      <c r="P2558" s="178"/>
    </row>
    <row r="2559" spans="2:16" ht="15.75" customHeight="1">
      <c r="B2559" s="618"/>
      <c r="H2559" s="178"/>
      <c r="I2559" s="178"/>
      <c r="J2559" s="184"/>
      <c r="N2559" s="178"/>
      <c r="O2559" s="178"/>
      <c r="P2559" s="178"/>
    </row>
    <row r="2560" spans="2:16" ht="15.75" customHeight="1">
      <c r="B2560" s="618"/>
      <c r="H2560" s="178"/>
      <c r="I2560" s="178"/>
      <c r="J2560" s="184"/>
      <c r="N2560" s="178"/>
      <c r="O2560" s="178"/>
      <c r="P2560" s="178"/>
    </row>
    <row r="2561" spans="2:16" ht="15.75" customHeight="1">
      <c r="B2561" s="618"/>
      <c r="H2561" s="178"/>
      <c r="I2561" s="178"/>
      <c r="J2561" s="184"/>
      <c r="N2561" s="178"/>
      <c r="O2561" s="178"/>
      <c r="P2561" s="178"/>
    </row>
    <row r="2562" spans="2:16" ht="15.75" customHeight="1">
      <c r="B2562" s="618"/>
      <c r="H2562" s="178"/>
      <c r="I2562" s="178"/>
      <c r="J2562" s="184"/>
      <c r="N2562" s="178"/>
      <c r="O2562" s="178"/>
      <c r="P2562" s="178"/>
    </row>
    <row r="2563" spans="2:16" ht="15.75" customHeight="1">
      <c r="B2563" s="618"/>
      <c r="H2563" s="178"/>
      <c r="I2563" s="178"/>
      <c r="J2563" s="184"/>
      <c r="N2563" s="178"/>
      <c r="O2563" s="178"/>
      <c r="P2563" s="178"/>
    </row>
    <row r="2564" spans="2:16" ht="15.75" customHeight="1">
      <c r="B2564" s="618"/>
      <c r="H2564" s="178"/>
      <c r="I2564" s="178"/>
      <c r="J2564" s="184"/>
      <c r="N2564" s="178"/>
      <c r="O2564" s="178"/>
      <c r="P2564" s="178"/>
    </row>
    <row r="2565" spans="2:16" ht="15.75" customHeight="1">
      <c r="B2565" s="618"/>
      <c r="H2565" s="178"/>
      <c r="I2565" s="178"/>
      <c r="J2565" s="184"/>
      <c r="N2565" s="178"/>
      <c r="O2565" s="178"/>
      <c r="P2565" s="178"/>
    </row>
    <row r="2566" spans="2:16" ht="15.75" customHeight="1">
      <c r="B2566" s="618"/>
      <c r="H2566" s="178"/>
      <c r="I2566" s="178"/>
      <c r="J2566" s="184"/>
      <c r="N2566" s="178"/>
      <c r="O2566" s="178"/>
      <c r="P2566" s="178"/>
    </row>
    <row r="2567" spans="2:16" ht="15.75" customHeight="1">
      <c r="B2567" s="618"/>
      <c r="H2567" s="178"/>
      <c r="I2567" s="178"/>
      <c r="J2567" s="184"/>
      <c r="N2567" s="178"/>
      <c r="O2567" s="178"/>
      <c r="P2567" s="178"/>
    </row>
    <row r="2568" spans="2:16" ht="15.75" customHeight="1">
      <c r="B2568" s="618"/>
      <c r="H2568" s="178"/>
      <c r="I2568" s="178"/>
      <c r="J2568" s="184"/>
      <c r="N2568" s="178"/>
      <c r="O2568" s="178"/>
      <c r="P2568" s="178"/>
    </row>
    <row r="2569" spans="2:16" ht="15.75" customHeight="1">
      <c r="B2569" s="618"/>
      <c r="H2569" s="178"/>
      <c r="I2569" s="178"/>
      <c r="J2569" s="184"/>
      <c r="N2569" s="178"/>
      <c r="O2569" s="178"/>
      <c r="P2569" s="178"/>
    </row>
    <row r="2570" spans="2:16" ht="15.75" customHeight="1">
      <c r="B2570" s="618"/>
      <c r="H2570" s="178"/>
      <c r="I2570" s="178"/>
      <c r="J2570" s="184"/>
      <c r="N2570" s="178"/>
      <c r="O2570" s="178"/>
      <c r="P2570" s="178"/>
    </row>
    <row r="2571" spans="2:16" ht="15.75" customHeight="1">
      <c r="B2571" s="618"/>
      <c r="H2571" s="178"/>
      <c r="I2571" s="178"/>
      <c r="J2571" s="184"/>
      <c r="N2571" s="178"/>
      <c r="O2571" s="178"/>
      <c r="P2571" s="178"/>
    </row>
    <row r="2572" spans="2:16" ht="15.75" customHeight="1">
      <c r="B2572" s="618"/>
      <c r="H2572" s="178"/>
      <c r="I2572" s="178"/>
      <c r="J2572" s="184"/>
      <c r="N2572" s="178"/>
      <c r="O2572" s="178"/>
      <c r="P2572" s="178"/>
    </row>
    <row r="2573" spans="2:16" ht="15.75" customHeight="1">
      <c r="B2573" s="618"/>
      <c r="H2573" s="178"/>
      <c r="I2573" s="178"/>
      <c r="J2573" s="184"/>
      <c r="N2573" s="178"/>
      <c r="O2573" s="178"/>
      <c r="P2573" s="178"/>
    </row>
    <row r="2574" spans="2:16" ht="15.75" customHeight="1">
      <c r="B2574" s="618"/>
      <c r="H2574" s="178"/>
      <c r="I2574" s="178"/>
      <c r="J2574" s="184"/>
      <c r="N2574" s="178"/>
      <c r="O2574" s="178"/>
      <c r="P2574" s="178"/>
    </row>
    <row r="2575" spans="2:16" ht="15.75" customHeight="1">
      <c r="B2575" s="618"/>
      <c r="H2575" s="178"/>
      <c r="I2575" s="178"/>
      <c r="J2575" s="184"/>
      <c r="N2575" s="178"/>
      <c r="O2575" s="178"/>
      <c r="P2575" s="178"/>
    </row>
    <row r="2576" spans="2:16" ht="15.75" customHeight="1">
      <c r="B2576" s="618"/>
      <c r="H2576" s="178"/>
      <c r="I2576" s="178"/>
      <c r="J2576" s="184"/>
      <c r="N2576" s="178"/>
      <c r="O2576" s="178"/>
      <c r="P2576" s="178"/>
    </row>
    <row r="2577" spans="2:16" ht="15.75" customHeight="1">
      <c r="B2577" s="618"/>
      <c r="H2577" s="178"/>
      <c r="I2577" s="178"/>
      <c r="J2577" s="184"/>
      <c r="N2577" s="178"/>
      <c r="O2577" s="178"/>
      <c r="P2577" s="178"/>
    </row>
    <row r="2578" spans="2:16" ht="15.75" customHeight="1">
      <c r="B2578" s="618"/>
      <c r="H2578" s="178"/>
      <c r="I2578" s="178"/>
      <c r="J2578" s="184"/>
      <c r="N2578" s="178"/>
      <c r="O2578" s="178"/>
      <c r="P2578" s="178"/>
    </row>
    <row r="2579" spans="2:16" ht="15.75" customHeight="1">
      <c r="B2579" s="618"/>
      <c r="H2579" s="178"/>
      <c r="I2579" s="178"/>
      <c r="J2579" s="184"/>
      <c r="N2579" s="178"/>
      <c r="O2579" s="178"/>
      <c r="P2579" s="178"/>
    </row>
    <row r="2580" spans="2:16" ht="15.75" customHeight="1">
      <c r="B2580" s="618"/>
      <c r="H2580" s="178"/>
      <c r="I2580" s="178"/>
      <c r="J2580" s="184"/>
      <c r="N2580" s="178"/>
      <c r="O2580" s="178"/>
      <c r="P2580" s="178"/>
    </row>
    <row r="2581" spans="2:16" ht="15.75" customHeight="1">
      <c r="B2581" s="618"/>
      <c r="H2581" s="178"/>
      <c r="I2581" s="178"/>
      <c r="J2581" s="184"/>
      <c r="N2581" s="178"/>
      <c r="O2581" s="178"/>
      <c r="P2581" s="178"/>
    </row>
    <row r="2582" spans="2:16" ht="15.75" customHeight="1">
      <c r="B2582" s="618"/>
      <c r="H2582" s="178"/>
      <c r="I2582" s="178"/>
      <c r="J2582" s="184"/>
      <c r="N2582" s="178"/>
      <c r="O2582" s="178"/>
      <c r="P2582" s="178"/>
    </row>
    <row r="2583" spans="2:16" ht="15.75" customHeight="1">
      <c r="B2583" s="618"/>
      <c r="H2583" s="178"/>
      <c r="I2583" s="178"/>
      <c r="J2583" s="184"/>
      <c r="N2583" s="178"/>
      <c r="O2583" s="178"/>
      <c r="P2583" s="178"/>
    </row>
    <row r="2584" spans="2:16" ht="15.75" customHeight="1">
      <c r="B2584" s="618"/>
      <c r="H2584" s="178"/>
      <c r="I2584" s="178"/>
      <c r="J2584" s="184"/>
      <c r="N2584" s="178"/>
      <c r="O2584" s="178"/>
      <c r="P2584" s="178"/>
    </row>
    <row r="2585" spans="2:16" ht="15.75" customHeight="1">
      <c r="B2585" s="618"/>
      <c r="H2585" s="178"/>
      <c r="I2585" s="178"/>
      <c r="J2585" s="184"/>
      <c r="N2585" s="178"/>
      <c r="O2585" s="178"/>
      <c r="P2585" s="178"/>
    </row>
    <row r="2586" spans="2:16" ht="15.75" customHeight="1">
      <c r="B2586" s="618"/>
      <c r="H2586" s="178"/>
      <c r="I2586" s="178"/>
      <c r="J2586" s="184"/>
      <c r="N2586" s="178"/>
      <c r="O2586" s="178"/>
      <c r="P2586" s="178"/>
    </row>
    <row r="2587" spans="2:16" ht="15.75" customHeight="1">
      <c r="B2587" s="618"/>
      <c r="H2587" s="178"/>
      <c r="I2587" s="178"/>
      <c r="J2587" s="184"/>
      <c r="N2587" s="178"/>
      <c r="O2587" s="178"/>
      <c r="P2587" s="178"/>
    </row>
    <row r="2588" spans="2:16" ht="15.75" customHeight="1">
      <c r="B2588" s="618"/>
      <c r="H2588" s="178"/>
      <c r="I2588" s="178"/>
      <c r="J2588" s="184"/>
      <c r="N2588" s="178"/>
      <c r="O2588" s="178"/>
      <c r="P2588" s="178"/>
    </row>
    <row r="2589" spans="2:16" ht="15.75" customHeight="1">
      <c r="B2589" s="618"/>
      <c r="H2589" s="178"/>
      <c r="I2589" s="178"/>
      <c r="J2589" s="184"/>
      <c r="N2589" s="178"/>
      <c r="O2589" s="178"/>
      <c r="P2589" s="178"/>
    </row>
    <row r="2590" spans="2:16" ht="15.75" customHeight="1">
      <c r="B2590" s="618"/>
      <c r="H2590" s="178"/>
      <c r="I2590" s="178"/>
      <c r="J2590" s="184"/>
      <c r="N2590" s="178"/>
      <c r="O2590" s="178"/>
      <c r="P2590" s="178"/>
    </row>
    <row r="2591" spans="2:16" ht="15.75" customHeight="1">
      <c r="B2591" s="618"/>
      <c r="H2591" s="178"/>
      <c r="I2591" s="178"/>
      <c r="J2591" s="184"/>
      <c r="N2591" s="178"/>
      <c r="O2591" s="178"/>
      <c r="P2591" s="178"/>
    </row>
    <row r="2592" spans="2:16" ht="15.75" customHeight="1">
      <c r="B2592" s="618"/>
      <c r="H2592" s="178"/>
      <c r="I2592" s="178"/>
      <c r="J2592" s="184"/>
      <c r="N2592" s="178"/>
      <c r="O2592" s="178"/>
      <c r="P2592" s="178"/>
    </row>
    <row r="2593" spans="2:16" ht="15.75" customHeight="1">
      <c r="B2593" s="618"/>
      <c r="H2593" s="178"/>
      <c r="I2593" s="178"/>
      <c r="J2593" s="184"/>
      <c r="N2593" s="178"/>
      <c r="O2593" s="178"/>
      <c r="P2593" s="178"/>
    </row>
    <row r="2594" spans="2:16" ht="15.75" customHeight="1">
      <c r="B2594" s="618"/>
      <c r="H2594" s="178"/>
      <c r="I2594" s="178"/>
      <c r="J2594" s="184"/>
      <c r="N2594" s="178"/>
      <c r="O2594" s="178"/>
      <c r="P2594" s="178"/>
    </row>
    <row r="2595" spans="2:16" ht="15.75" customHeight="1">
      <c r="B2595" s="618"/>
      <c r="H2595" s="178"/>
      <c r="I2595" s="178"/>
      <c r="J2595" s="184"/>
      <c r="N2595" s="178"/>
      <c r="O2595" s="178"/>
      <c r="P2595" s="178"/>
    </row>
    <row r="2596" spans="2:16" ht="15.75" customHeight="1">
      <c r="B2596" s="618"/>
      <c r="H2596" s="178"/>
      <c r="I2596" s="178"/>
      <c r="J2596" s="184"/>
      <c r="N2596" s="178"/>
      <c r="O2596" s="178"/>
      <c r="P2596" s="178"/>
    </row>
    <row r="2597" spans="2:16" ht="15.75" customHeight="1">
      <c r="B2597" s="618"/>
      <c r="H2597" s="178"/>
      <c r="I2597" s="178"/>
      <c r="J2597" s="184"/>
      <c r="N2597" s="178"/>
      <c r="O2597" s="178"/>
      <c r="P2597" s="178"/>
    </row>
    <row r="2598" spans="2:16" ht="15.75" customHeight="1">
      <c r="B2598" s="618"/>
      <c r="H2598" s="178"/>
      <c r="I2598" s="178"/>
      <c r="J2598" s="184"/>
      <c r="N2598" s="178"/>
      <c r="O2598" s="178"/>
      <c r="P2598" s="178"/>
    </row>
    <row r="2599" spans="2:16" ht="15.75" customHeight="1">
      <c r="B2599" s="618"/>
      <c r="H2599" s="178"/>
      <c r="I2599" s="178"/>
      <c r="J2599" s="184"/>
      <c r="N2599" s="178"/>
      <c r="O2599" s="178"/>
      <c r="P2599" s="178"/>
    </row>
    <row r="2600" spans="2:16" ht="15.75" customHeight="1">
      <c r="B2600" s="618"/>
      <c r="H2600" s="178"/>
      <c r="I2600" s="178"/>
      <c r="J2600" s="184"/>
      <c r="N2600" s="178"/>
      <c r="O2600" s="178"/>
      <c r="P2600" s="178"/>
    </row>
    <row r="2601" spans="2:16" ht="15.75" customHeight="1">
      <c r="B2601" s="618"/>
      <c r="H2601" s="178"/>
      <c r="I2601" s="178"/>
      <c r="J2601" s="184"/>
      <c r="N2601" s="178"/>
      <c r="O2601" s="178"/>
      <c r="P2601" s="178"/>
    </row>
    <row r="2602" spans="2:16" ht="15.75" customHeight="1">
      <c r="B2602" s="618"/>
      <c r="H2602" s="178"/>
      <c r="I2602" s="178"/>
      <c r="J2602" s="184"/>
      <c r="N2602" s="178"/>
      <c r="O2602" s="178"/>
      <c r="P2602" s="178"/>
    </row>
    <row r="2603" spans="2:16" ht="15.75" customHeight="1">
      <c r="B2603" s="618"/>
      <c r="H2603" s="178"/>
      <c r="I2603" s="178"/>
      <c r="J2603" s="184"/>
      <c r="N2603" s="178"/>
      <c r="O2603" s="178"/>
      <c r="P2603" s="178"/>
    </row>
    <row r="2604" spans="2:16" ht="15.75" customHeight="1">
      <c r="B2604" s="618"/>
      <c r="H2604" s="178"/>
      <c r="I2604" s="178"/>
      <c r="J2604" s="184"/>
      <c r="N2604" s="178"/>
      <c r="O2604" s="178"/>
      <c r="P2604" s="178"/>
    </row>
    <row r="2605" spans="2:16" ht="15.75" customHeight="1">
      <c r="B2605" s="618"/>
      <c r="H2605" s="178"/>
      <c r="I2605" s="178"/>
      <c r="J2605" s="184"/>
      <c r="N2605" s="178"/>
      <c r="O2605" s="178"/>
      <c r="P2605" s="178"/>
    </row>
    <row r="2606" spans="2:16" ht="15.75" customHeight="1">
      <c r="B2606" s="618"/>
      <c r="H2606" s="178"/>
      <c r="I2606" s="178"/>
      <c r="J2606" s="184"/>
      <c r="N2606" s="178"/>
      <c r="O2606" s="178"/>
      <c r="P2606" s="178"/>
    </row>
    <row r="2607" spans="2:16" ht="15.75" customHeight="1">
      <c r="B2607" s="618"/>
      <c r="H2607" s="178"/>
      <c r="I2607" s="178"/>
      <c r="J2607" s="184"/>
      <c r="N2607" s="178"/>
      <c r="O2607" s="178"/>
      <c r="P2607" s="178"/>
    </row>
    <row r="2608" spans="2:16" ht="15.75" customHeight="1">
      <c r="B2608" s="618"/>
      <c r="H2608" s="178"/>
      <c r="I2608" s="178"/>
      <c r="J2608" s="184"/>
      <c r="N2608" s="178"/>
      <c r="O2608" s="178"/>
      <c r="P2608" s="178"/>
    </row>
    <row r="2609" spans="2:16" ht="15.75" customHeight="1">
      <c r="B2609" s="618"/>
      <c r="H2609" s="178"/>
      <c r="I2609" s="178"/>
      <c r="J2609" s="184"/>
      <c r="N2609" s="178"/>
      <c r="O2609" s="178"/>
      <c r="P2609" s="178"/>
    </row>
    <row r="2610" spans="2:16" ht="15.75" customHeight="1">
      <c r="B2610" s="618"/>
      <c r="H2610" s="178"/>
      <c r="I2610" s="178"/>
      <c r="J2610" s="184"/>
      <c r="N2610" s="178"/>
      <c r="O2610" s="178"/>
      <c r="P2610" s="178"/>
    </row>
    <row r="2611" spans="2:16" ht="15.75" customHeight="1">
      <c r="B2611" s="618"/>
      <c r="H2611" s="178"/>
      <c r="I2611" s="178"/>
      <c r="J2611" s="184"/>
      <c r="N2611" s="178"/>
      <c r="O2611" s="178"/>
      <c r="P2611" s="178"/>
    </row>
    <row r="2612" spans="2:16" ht="15.75" customHeight="1">
      <c r="B2612" s="618"/>
      <c r="H2612" s="178"/>
      <c r="I2612" s="178"/>
      <c r="J2612" s="184"/>
      <c r="N2612" s="178"/>
      <c r="O2612" s="178"/>
      <c r="P2612" s="178"/>
    </row>
    <row r="2613" spans="2:16" ht="15.75" customHeight="1">
      <c r="B2613" s="618"/>
      <c r="H2613" s="178"/>
      <c r="I2613" s="178"/>
      <c r="J2613" s="184"/>
      <c r="N2613" s="178"/>
      <c r="O2613" s="178"/>
      <c r="P2613" s="178"/>
    </row>
    <row r="2614" spans="2:16" ht="15.75" customHeight="1">
      <c r="B2614" s="618"/>
      <c r="H2614" s="178"/>
      <c r="I2614" s="178"/>
      <c r="J2614" s="184"/>
      <c r="N2614" s="178"/>
      <c r="O2614" s="178"/>
      <c r="P2614" s="178"/>
    </row>
    <row r="2615" spans="2:16" ht="15.75" customHeight="1">
      <c r="B2615" s="618"/>
      <c r="H2615" s="178"/>
      <c r="I2615" s="178"/>
      <c r="J2615" s="184"/>
      <c r="N2615" s="178"/>
      <c r="O2615" s="178"/>
      <c r="P2615" s="178"/>
    </row>
    <row r="2616" spans="2:16" ht="15.75" customHeight="1">
      <c r="B2616" s="618"/>
      <c r="H2616" s="178"/>
      <c r="I2616" s="178"/>
      <c r="J2616" s="184"/>
      <c r="N2616" s="178"/>
      <c r="O2616" s="178"/>
      <c r="P2616" s="178"/>
    </row>
    <row r="2617" spans="2:16" ht="15.75" customHeight="1">
      <c r="B2617" s="618"/>
      <c r="H2617" s="178"/>
      <c r="I2617" s="178"/>
      <c r="J2617" s="184"/>
      <c r="N2617" s="178"/>
      <c r="O2617" s="178"/>
      <c r="P2617" s="178"/>
    </row>
    <row r="2618" spans="2:16" ht="15.75" customHeight="1">
      <c r="B2618" s="618"/>
      <c r="H2618" s="178"/>
      <c r="I2618" s="178"/>
      <c r="J2618" s="184"/>
      <c r="N2618" s="178"/>
      <c r="O2618" s="178"/>
      <c r="P2618" s="178"/>
    </row>
    <row r="2619" spans="2:16" ht="15.75" customHeight="1">
      <c r="B2619" s="618"/>
      <c r="H2619" s="178"/>
      <c r="I2619" s="178"/>
      <c r="J2619" s="184"/>
      <c r="N2619" s="178"/>
      <c r="O2619" s="178"/>
      <c r="P2619" s="178"/>
    </row>
    <row r="2620" spans="2:16" ht="15.75" customHeight="1">
      <c r="B2620" s="618"/>
      <c r="H2620" s="178"/>
      <c r="I2620" s="178"/>
      <c r="J2620" s="184"/>
      <c r="N2620" s="178"/>
      <c r="O2620" s="178"/>
      <c r="P2620" s="178"/>
    </row>
    <row r="2621" spans="2:16" ht="15.75" customHeight="1">
      <c r="B2621" s="618"/>
      <c r="H2621" s="178"/>
      <c r="I2621" s="178"/>
      <c r="J2621" s="184"/>
      <c r="N2621" s="178"/>
      <c r="O2621" s="178"/>
      <c r="P2621" s="178"/>
    </row>
    <row r="2622" spans="2:16" ht="15.75" customHeight="1">
      <c r="B2622" s="618"/>
      <c r="H2622" s="178"/>
      <c r="I2622" s="178"/>
      <c r="J2622" s="184"/>
      <c r="N2622" s="178"/>
      <c r="O2622" s="178"/>
      <c r="P2622" s="178"/>
    </row>
    <row r="2623" spans="2:16" ht="15.75" customHeight="1">
      <c r="B2623" s="618"/>
      <c r="H2623" s="178"/>
      <c r="I2623" s="178"/>
      <c r="J2623" s="184"/>
      <c r="N2623" s="178"/>
      <c r="O2623" s="178"/>
      <c r="P2623" s="178"/>
    </row>
    <row r="2624" spans="2:16" ht="15.75" customHeight="1">
      <c r="B2624" s="618"/>
      <c r="H2624" s="178"/>
      <c r="I2624" s="178"/>
      <c r="J2624" s="184"/>
      <c r="N2624" s="178"/>
      <c r="O2624" s="178"/>
      <c r="P2624" s="178"/>
    </row>
    <row r="2625" spans="2:16" ht="15.75" customHeight="1">
      <c r="B2625" s="618"/>
      <c r="H2625" s="178"/>
      <c r="I2625" s="178"/>
      <c r="J2625" s="184"/>
      <c r="N2625" s="178"/>
      <c r="O2625" s="178"/>
      <c r="P2625" s="178"/>
    </row>
    <row r="2626" spans="2:16" ht="15.75" customHeight="1">
      <c r="B2626" s="618"/>
      <c r="H2626" s="178"/>
      <c r="I2626" s="178"/>
      <c r="J2626" s="184"/>
      <c r="N2626" s="178"/>
      <c r="O2626" s="178"/>
      <c r="P2626" s="178"/>
    </row>
    <row r="2627" spans="2:16" ht="15.75" customHeight="1">
      <c r="B2627" s="618"/>
      <c r="H2627" s="178"/>
      <c r="I2627" s="178"/>
      <c r="J2627" s="184"/>
      <c r="N2627" s="178"/>
      <c r="O2627" s="178"/>
      <c r="P2627" s="178"/>
    </row>
    <row r="2628" spans="2:16" ht="15.75" customHeight="1">
      <c r="B2628" s="618"/>
      <c r="H2628" s="178"/>
      <c r="I2628" s="178"/>
      <c r="J2628" s="184"/>
      <c r="N2628" s="178"/>
      <c r="O2628" s="178"/>
      <c r="P2628" s="178"/>
    </row>
    <row r="2629" spans="2:16" ht="15.75" customHeight="1">
      <c r="B2629" s="618"/>
      <c r="H2629" s="178"/>
      <c r="I2629" s="178"/>
      <c r="J2629" s="184"/>
      <c r="N2629" s="178"/>
      <c r="O2629" s="178"/>
      <c r="P2629" s="178"/>
    </row>
    <row r="2630" spans="2:16" ht="15.75" customHeight="1">
      <c r="B2630" s="618"/>
      <c r="H2630" s="178"/>
      <c r="I2630" s="178"/>
      <c r="J2630" s="184"/>
      <c r="N2630" s="178"/>
      <c r="O2630" s="178"/>
      <c r="P2630" s="178"/>
    </row>
    <row r="2631" spans="2:16" ht="15.75" customHeight="1">
      <c r="B2631" s="618"/>
      <c r="H2631" s="178"/>
      <c r="I2631" s="178"/>
      <c r="J2631" s="184"/>
      <c r="N2631" s="178"/>
      <c r="O2631" s="178"/>
      <c r="P2631" s="178"/>
    </row>
    <row r="2632" spans="2:16" ht="15.75" customHeight="1">
      <c r="B2632" s="618"/>
      <c r="H2632" s="178"/>
      <c r="I2632" s="178"/>
      <c r="J2632" s="184"/>
      <c r="N2632" s="178"/>
      <c r="O2632" s="178"/>
      <c r="P2632" s="178"/>
    </row>
    <row r="2633" spans="2:16" ht="15.75" customHeight="1">
      <c r="B2633" s="618"/>
      <c r="H2633" s="178"/>
      <c r="I2633" s="178"/>
      <c r="J2633" s="184"/>
      <c r="N2633" s="178"/>
      <c r="O2633" s="178"/>
      <c r="P2633" s="178"/>
    </row>
    <row r="2634" spans="2:16" ht="15.75" customHeight="1">
      <c r="B2634" s="618"/>
      <c r="H2634" s="178"/>
      <c r="I2634" s="178"/>
      <c r="J2634" s="184"/>
      <c r="N2634" s="178"/>
      <c r="O2634" s="178"/>
      <c r="P2634" s="178"/>
    </row>
    <row r="2635" spans="2:16" ht="15.75" customHeight="1">
      <c r="B2635" s="618"/>
      <c r="H2635" s="178"/>
      <c r="I2635" s="178"/>
      <c r="J2635" s="184"/>
      <c r="N2635" s="178"/>
      <c r="O2635" s="178"/>
      <c r="P2635" s="178"/>
    </row>
    <row r="2636" spans="2:16" ht="15.75" customHeight="1">
      <c r="B2636" s="618"/>
      <c r="H2636" s="178"/>
      <c r="I2636" s="178"/>
      <c r="J2636" s="184"/>
      <c r="N2636" s="178"/>
      <c r="O2636" s="178"/>
      <c r="P2636" s="178"/>
    </row>
    <row r="2637" spans="2:16" ht="15.75" customHeight="1">
      <c r="B2637" s="618"/>
      <c r="H2637" s="178"/>
      <c r="I2637" s="178"/>
      <c r="J2637" s="184"/>
      <c r="N2637" s="178"/>
      <c r="O2637" s="178"/>
      <c r="P2637" s="178"/>
    </row>
    <row r="2638" spans="2:16" ht="15.75" customHeight="1">
      <c r="B2638" s="618"/>
      <c r="H2638" s="178"/>
      <c r="I2638" s="178"/>
      <c r="J2638" s="184"/>
      <c r="N2638" s="178"/>
      <c r="O2638" s="178"/>
      <c r="P2638" s="178"/>
    </row>
    <row r="2639" spans="2:16" ht="15.75" customHeight="1">
      <c r="B2639" s="618"/>
      <c r="H2639" s="178"/>
      <c r="I2639" s="178"/>
      <c r="J2639" s="184"/>
      <c r="N2639" s="178"/>
      <c r="O2639" s="178"/>
      <c r="P2639" s="178"/>
    </row>
    <row r="2640" spans="2:16" ht="15.75" customHeight="1">
      <c r="B2640" s="618"/>
      <c r="H2640" s="178"/>
      <c r="I2640" s="178"/>
      <c r="J2640" s="184"/>
      <c r="N2640" s="178"/>
      <c r="O2640" s="178"/>
      <c r="P2640" s="178"/>
    </row>
    <row r="2641" spans="2:16" ht="15.75" customHeight="1">
      <c r="B2641" s="618"/>
      <c r="H2641" s="178"/>
      <c r="I2641" s="178"/>
      <c r="J2641" s="184"/>
      <c r="N2641" s="178"/>
      <c r="O2641" s="178"/>
      <c r="P2641" s="178"/>
    </row>
    <row r="2642" spans="2:16" ht="15.75" customHeight="1">
      <c r="B2642" s="618"/>
      <c r="H2642" s="178"/>
      <c r="I2642" s="178"/>
      <c r="J2642" s="184"/>
      <c r="N2642" s="178"/>
      <c r="O2642" s="178"/>
      <c r="P2642" s="178"/>
    </row>
    <row r="2643" spans="2:16" ht="15.75" customHeight="1">
      <c r="B2643" s="618"/>
      <c r="H2643" s="178"/>
      <c r="I2643" s="178"/>
      <c r="J2643" s="184"/>
      <c r="N2643" s="178"/>
      <c r="O2643" s="178"/>
      <c r="P2643" s="178"/>
    </row>
    <row r="2644" spans="2:16" ht="15.75" customHeight="1">
      <c r="B2644" s="618"/>
      <c r="H2644" s="178"/>
      <c r="I2644" s="178"/>
      <c r="J2644" s="184"/>
      <c r="N2644" s="178"/>
      <c r="O2644" s="178"/>
      <c r="P2644" s="178"/>
    </row>
    <row r="2645" spans="2:16" ht="15.75" customHeight="1">
      <c r="B2645" s="618"/>
      <c r="H2645" s="178"/>
      <c r="I2645" s="178"/>
      <c r="J2645" s="184"/>
      <c r="N2645" s="178"/>
      <c r="O2645" s="178"/>
      <c r="P2645" s="178"/>
    </row>
    <row r="2646" spans="2:16" ht="15.75" customHeight="1">
      <c r="B2646" s="618"/>
      <c r="H2646" s="178"/>
      <c r="I2646" s="178"/>
      <c r="J2646" s="184"/>
      <c r="N2646" s="178"/>
      <c r="O2646" s="178"/>
      <c r="P2646" s="178"/>
    </row>
    <row r="2647" spans="2:16" ht="15.75" customHeight="1">
      <c r="B2647" s="618"/>
      <c r="H2647" s="178"/>
      <c r="I2647" s="178"/>
      <c r="J2647" s="184"/>
      <c r="N2647" s="178"/>
      <c r="O2647" s="178"/>
      <c r="P2647" s="178"/>
    </row>
    <row r="2648" spans="2:16" ht="15.75" customHeight="1">
      <c r="B2648" s="618"/>
      <c r="H2648" s="178"/>
      <c r="I2648" s="178"/>
      <c r="J2648" s="184"/>
      <c r="N2648" s="178"/>
      <c r="O2648" s="178"/>
      <c r="P2648" s="178"/>
    </row>
    <row r="2649" spans="2:16" ht="15.75" customHeight="1">
      <c r="B2649" s="618"/>
      <c r="H2649" s="178"/>
      <c r="I2649" s="178"/>
      <c r="J2649" s="184"/>
      <c r="N2649" s="178"/>
      <c r="O2649" s="178"/>
      <c r="P2649" s="178"/>
    </row>
    <row r="2650" spans="2:16" ht="15.75" customHeight="1">
      <c r="B2650" s="618"/>
      <c r="H2650" s="178"/>
      <c r="I2650" s="178"/>
      <c r="J2650" s="184"/>
      <c r="N2650" s="178"/>
      <c r="O2650" s="178"/>
      <c r="P2650" s="178"/>
    </row>
    <row r="2651" spans="2:16" ht="15.75" customHeight="1">
      <c r="B2651" s="618"/>
      <c r="H2651" s="178"/>
      <c r="I2651" s="178"/>
      <c r="J2651" s="184"/>
      <c r="N2651" s="178"/>
      <c r="O2651" s="178"/>
      <c r="P2651" s="178"/>
    </row>
    <row r="2652" spans="2:16" ht="15.75" customHeight="1">
      <c r="B2652" s="618"/>
      <c r="H2652" s="178"/>
      <c r="I2652" s="178"/>
      <c r="J2652" s="184"/>
      <c r="N2652" s="178"/>
      <c r="O2652" s="178"/>
      <c r="P2652" s="178"/>
    </row>
    <row r="2653" spans="2:16" ht="15.75" customHeight="1">
      <c r="B2653" s="618"/>
      <c r="H2653" s="178"/>
      <c r="I2653" s="178"/>
      <c r="J2653" s="184"/>
      <c r="N2653" s="178"/>
      <c r="O2653" s="178"/>
      <c r="P2653" s="178"/>
    </row>
    <row r="2654" spans="2:16" ht="15.75" customHeight="1">
      <c r="B2654" s="618"/>
      <c r="H2654" s="178"/>
      <c r="I2654" s="178"/>
      <c r="J2654" s="184"/>
      <c r="N2654" s="178"/>
      <c r="O2654" s="178"/>
      <c r="P2654" s="178"/>
    </row>
    <row r="2655" spans="2:16" ht="15.75" customHeight="1">
      <c r="B2655" s="618"/>
      <c r="H2655" s="178"/>
      <c r="I2655" s="178"/>
      <c r="J2655" s="184"/>
      <c r="N2655" s="178"/>
      <c r="O2655" s="178"/>
      <c r="P2655" s="178"/>
    </row>
    <row r="2656" spans="2:16" ht="15.75" customHeight="1">
      <c r="B2656" s="618"/>
      <c r="H2656" s="178"/>
      <c r="I2656" s="178"/>
      <c r="J2656" s="184"/>
      <c r="N2656" s="178"/>
      <c r="O2656" s="178"/>
      <c r="P2656" s="178"/>
    </row>
    <row r="2657" spans="2:16" ht="15.75" customHeight="1">
      <c r="B2657" s="618"/>
      <c r="H2657" s="178"/>
      <c r="I2657" s="178"/>
      <c r="J2657" s="184"/>
      <c r="N2657" s="178"/>
      <c r="O2657" s="178"/>
      <c r="P2657" s="178"/>
    </row>
    <row r="2658" spans="2:16" ht="15.75" customHeight="1">
      <c r="B2658" s="618"/>
      <c r="H2658" s="178"/>
      <c r="I2658" s="178"/>
      <c r="J2658" s="184"/>
      <c r="N2658" s="178"/>
      <c r="O2658" s="178"/>
      <c r="P2658" s="178"/>
    </row>
    <row r="2659" spans="2:16" ht="15.75" customHeight="1">
      <c r="B2659" s="618"/>
      <c r="H2659" s="178"/>
      <c r="I2659" s="178"/>
      <c r="J2659" s="184"/>
      <c r="N2659" s="178"/>
      <c r="O2659" s="178"/>
      <c r="P2659" s="178"/>
    </row>
    <row r="2660" spans="2:16" ht="15.75" customHeight="1">
      <c r="B2660" s="618"/>
      <c r="H2660" s="178"/>
      <c r="I2660" s="178"/>
      <c r="J2660" s="184"/>
      <c r="N2660" s="178"/>
      <c r="O2660" s="178"/>
      <c r="P2660" s="178"/>
    </row>
    <row r="2661" spans="2:16" ht="15.75" customHeight="1">
      <c r="B2661" s="618"/>
      <c r="H2661" s="178"/>
      <c r="I2661" s="178"/>
      <c r="J2661" s="184"/>
      <c r="N2661" s="178"/>
      <c r="O2661" s="178"/>
      <c r="P2661" s="178"/>
    </row>
    <row r="2662" spans="2:16" ht="15.75" customHeight="1">
      <c r="B2662" s="618"/>
      <c r="H2662" s="178"/>
      <c r="I2662" s="178"/>
      <c r="J2662" s="184"/>
      <c r="N2662" s="178"/>
      <c r="O2662" s="178"/>
      <c r="P2662" s="178"/>
    </row>
    <row r="2663" spans="2:16" ht="15.75" customHeight="1">
      <c r="B2663" s="618"/>
      <c r="H2663" s="178"/>
      <c r="I2663" s="178"/>
      <c r="J2663" s="184"/>
      <c r="N2663" s="178"/>
      <c r="O2663" s="178"/>
      <c r="P2663" s="178"/>
    </row>
    <row r="2664" spans="2:16" ht="15.75" customHeight="1">
      <c r="B2664" s="618"/>
      <c r="H2664" s="178"/>
      <c r="I2664" s="178"/>
      <c r="J2664" s="184"/>
      <c r="N2664" s="178"/>
      <c r="O2664" s="178"/>
      <c r="P2664" s="178"/>
    </row>
    <row r="2665" spans="2:16" ht="15.75" customHeight="1">
      <c r="B2665" s="618"/>
      <c r="H2665" s="178"/>
      <c r="I2665" s="178"/>
      <c r="J2665" s="184"/>
      <c r="N2665" s="178"/>
      <c r="O2665" s="178"/>
      <c r="P2665" s="178"/>
    </row>
    <row r="2666" spans="2:16" ht="15.75" customHeight="1">
      <c r="B2666" s="618"/>
      <c r="H2666" s="178"/>
      <c r="I2666" s="178"/>
      <c r="J2666" s="184"/>
      <c r="N2666" s="178"/>
      <c r="O2666" s="178"/>
      <c r="P2666" s="178"/>
    </row>
    <row r="2667" spans="2:16" ht="15.75" customHeight="1">
      <c r="B2667" s="618"/>
      <c r="H2667" s="178"/>
      <c r="I2667" s="178"/>
      <c r="J2667" s="184"/>
      <c r="N2667" s="178"/>
      <c r="O2667" s="178"/>
      <c r="P2667" s="178"/>
    </row>
    <row r="2668" spans="2:16" ht="15.75" customHeight="1">
      <c r="B2668" s="618"/>
      <c r="H2668" s="178"/>
      <c r="I2668" s="178"/>
      <c r="J2668" s="184"/>
      <c r="N2668" s="178"/>
      <c r="O2668" s="178"/>
      <c r="P2668" s="178"/>
    </row>
    <row r="2669" spans="2:16" ht="15.75" customHeight="1">
      <c r="B2669" s="618"/>
      <c r="H2669" s="178"/>
      <c r="I2669" s="178"/>
      <c r="J2669" s="184"/>
      <c r="N2669" s="178"/>
      <c r="O2669" s="178"/>
      <c r="P2669" s="178"/>
    </row>
    <row r="2670" spans="2:16" ht="15.75" customHeight="1">
      <c r="B2670" s="618"/>
      <c r="H2670" s="178"/>
      <c r="I2670" s="178"/>
      <c r="J2670" s="184"/>
      <c r="N2670" s="178"/>
      <c r="O2670" s="178"/>
      <c r="P2670" s="178"/>
    </row>
    <row r="2671" spans="2:16" ht="15.75" customHeight="1">
      <c r="B2671" s="618"/>
      <c r="H2671" s="178"/>
      <c r="I2671" s="178"/>
      <c r="J2671" s="184"/>
      <c r="N2671" s="178"/>
      <c r="O2671" s="178"/>
      <c r="P2671" s="178"/>
    </row>
    <row r="2672" spans="2:16" ht="15.75" customHeight="1">
      <c r="B2672" s="618"/>
      <c r="H2672" s="178"/>
      <c r="I2672" s="178"/>
      <c r="J2672" s="184"/>
      <c r="N2672" s="178"/>
      <c r="O2672" s="178"/>
      <c r="P2672" s="178"/>
    </row>
    <row r="2673" spans="2:16" ht="15.75" customHeight="1">
      <c r="B2673" s="618"/>
      <c r="H2673" s="178"/>
      <c r="I2673" s="178"/>
      <c r="J2673" s="184"/>
      <c r="N2673" s="178"/>
      <c r="O2673" s="178"/>
      <c r="P2673" s="178"/>
    </row>
    <row r="2674" spans="2:16" ht="15.75" customHeight="1">
      <c r="B2674" s="618"/>
      <c r="H2674" s="178"/>
      <c r="I2674" s="178"/>
      <c r="J2674" s="184"/>
      <c r="N2674" s="178"/>
      <c r="O2674" s="178"/>
      <c r="P2674" s="178"/>
    </row>
    <row r="2675" spans="2:16" ht="15.75" customHeight="1">
      <c r="B2675" s="618"/>
      <c r="H2675" s="178"/>
      <c r="I2675" s="178"/>
      <c r="J2675" s="184"/>
      <c r="N2675" s="178"/>
      <c r="O2675" s="178"/>
      <c r="P2675" s="178"/>
    </row>
    <row r="2676" spans="2:16" ht="15.75" customHeight="1">
      <c r="B2676" s="618"/>
      <c r="H2676" s="178"/>
      <c r="I2676" s="178"/>
      <c r="J2676" s="184"/>
      <c r="N2676" s="178"/>
      <c r="O2676" s="178"/>
      <c r="P2676" s="178"/>
    </row>
    <row r="2677" spans="2:16" ht="15.75" customHeight="1">
      <c r="B2677" s="618"/>
      <c r="H2677" s="178"/>
      <c r="I2677" s="178"/>
      <c r="J2677" s="184"/>
      <c r="N2677" s="178"/>
      <c r="O2677" s="178"/>
      <c r="P2677" s="178"/>
    </row>
    <row r="2678" spans="2:16" ht="15.75" customHeight="1">
      <c r="B2678" s="618"/>
      <c r="H2678" s="178"/>
      <c r="I2678" s="178"/>
      <c r="J2678" s="184"/>
      <c r="N2678" s="178"/>
      <c r="O2678" s="178"/>
      <c r="P2678" s="178"/>
    </row>
    <row r="2679" spans="2:16" ht="15.75" customHeight="1">
      <c r="B2679" s="618"/>
      <c r="H2679" s="178"/>
      <c r="I2679" s="178"/>
      <c r="J2679" s="184"/>
      <c r="N2679" s="178"/>
      <c r="O2679" s="178"/>
      <c r="P2679" s="178"/>
    </row>
    <row r="2680" spans="2:16" ht="15.75" customHeight="1">
      <c r="B2680" s="618"/>
      <c r="H2680" s="178"/>
      <c r="I2680" s="178"/>
      <c r="J2680" s="184"/>
      <c r="N2680" s="178"/>
      <c r="O2680" s="178"/>
      <c r="P2680" s="178"/>
    </row>
    <row r="2681" spans="2:16" ht="15.75" customHeight="1">
      <c r="B2681" s="618"/>
      <c r="H2681" s="178"/>
      <c r="I2681" s="178"/>
      <c r="J2681" s="184"/>
      <c r="N2681" s="178"/>
      <c r="O2681" s="178"/>
      <c r="P2681" s="178"/>
    </row>
    <row r="2682" spans="2:16" ht="15.75" customHeight="1">
      <c r="B2682" s="618"/>
      <c r="H2682" s="178"/>
      <c r="I2682" s="178"/>
      <c r="J2682" s="184"/>
      <c r="N2682" s="178"/>
      <c r="O2682" s="178"/>
      <c r="P2682" s="178"/>
    </row>
    <row r="2683" spans="2:16" ht="15.75" customHeight="1">
      <c r="B2683" s="618"/>
      <c r="H2683" s="178"/>
      <c r="I2683" s="178"/>
      <c r="J2683" s="184"/>
      <c r="N2683" s="178"/>
      <c r="O2683" s="178"/>
      <c r="P2683" s="178"/>
    </row>
    <row r="2684" spans="2:16" ht="15.75" customHeight="1">
      <c r="B2684" s="618"/>
      <c r="H2684" s="178"/>
      <c r="I2684" s="178"/>
      <c r="J2684" s="184"/>
      <c r="N2684" s="178"/>
      <c r="O2684" s="178"/>
      <c r="P2684" s="178"/>
    </row>
    <row r="2685" spans="2:16" ht="15.75" customHeight="1">
      <c r="B2685" s="618"/>
      <c r="H2685" s="178"/>
      <c r="I2685" s="178"/>
      <c r="J2685" s="184"/>
      <c r="N2685" s="178"/>
      <c r="O2685" s="178"/>
      <c r="P2685" s="178"/>
    </row>
    <row r="2686" spans="2:16" ht="15.75" customHeight="1">
      <c r="B2686" s="618"/>
      <c r="H2686" s="178"/>
      <c r="I2686" s="178"/>
      <c r="J2686" s="184"/>
      <c r="N2686" s="178"/>
      <c r="O2686" s="178"/>
      <c r="P2686" s="178"/>
    </row>
    <row r="2687" spans="2:16" ht="15.75" customHeight="1">
      <c r="B2687" s="618"/>
      <c r="H2687" s="178"/>
      <c r="I2687" s="178"/>
      <c r="J2687" s="184"/>
      <c r="N2687" s="178"/>
      <c r="O2687" s="178"/>
      <c r="P2687" s="178"/>
    </row>
    <row r="2688" spans="2:16" ht="15.75" customHeight="1">
      <c r="B2688" s="618"/>
      <c r="H2688" s="178"/>
      <c r="I2688" s="178"/>
      <c r="J2688" s="184"/>
      <c r="N2688" s="178"/>
      <c r="O2688" s="178"/>
      <c r="P2688" s="178"/>
    </row>
    <row r="2689" spans="2:16" ht="15.75" customHeight="1">
      <c r="B2689" s="618"/>
      <c r="H2689" s="178"/>
      <c r="I2689" s="178"/>
      <c r="J2689" s="184"/>
      <c r="N2689" s="178"/>
      <c r="O2689" s="178"/>
      <c r="P2689" s="178"/>
    </row>
    <row r="2690" spans="2:16" ht="15.75" customHeight="1">
      <c r="B2690" s="618"/>
      <c r="H2690" s="178"/>
      <c r="I2690" s="178"/>
      <c r="J2690" s="184"/>
      <c r="N2690" s="178"/>
      <c r="O2690" s="178"/>
      <c r="P2690" s="178"/>
    </row>
    <row r="2691" spans="2:16" ht="15.75" customHeight="1">
      <c r="B2691" s="618"/>
      <c r="H2691" s="178"/>
      <c r="I2691" s="178"/>
      <c r="J2691" s="184"/>
      <c r="N2691" s="178"/>
      <c r="O2691" s="178"/>
      <c r="P2691" s="178"/>
    </row>
    <row r="2692" spans="2:16" ht="15.75" customHeight="1">
      <c r="B2692" s="618"/>
      <c r="H2692" s="178"/>
      <c r="I2692" s="178"/>
      <c r="J2692" s="184"/>
      <c r="N2692" s="178"/>
      <c r="O2692" s="178"/>
      <c r="P2692" s="178"/>
    </row>
    <row r="2693" spans="2:16" ht="15.75" customHeight="1">
      <c r="B2693" s="618"/>
      <c r="H2693" s="178"/>
      <c r="I2693" s="178"/>
      <c r="J2693" s="184"/>
      <c r="N2693" s="178"/>
      <c r="O2693" s="178"/>
      <c r="P2693" s="178"/>
    </row>
    <row r="2694" spans="2:16" ht="15.75" customHeight="1">
      <c r="B2694" s="618"/>
      <c r="H2694" s="178"/>
      <c r="I2694" s="178"/>
      <c r="J2694" s="184"/>
      <c r="N2694" s="178"/>
      <c r="O2694" s="178"/>
      <c r="P2694" s="178"/>
    </row>
    <row r="2695" spans="2:16" ht="15.75" customHeight="1">
      <c r="B2695" s="618"/>
      <c r="H2695" s="178"/>
      <c r="I2695" s="178"/>
      <c r="J2695" s="184"/>
      <c r="N2695" s="178"/>
      <c r="O2695" s="178"/>
      <c r="P2695" s="178"/>
    </row>
    <row r="2696" spans="2:16" ht="15.75" customHeight="1">
      <c r="B2696" s="618"/>
      <c r="H2696" s="178"/>
      <c r="I2696" s="178"/>
      <c r="J2696" s="184"/>
      <c r="N2696" s="178"/>
      <c r="O2696" s="178"/>
      <c r="P2696" s="178"/>
    </row>
    <row r="2697" spans="2:16" ht="15.75" customHeight="1">
      <c r="B2697" s="618"/>
      <c r="H2697" s="178"/>
      <c r="I2697" s="178"/>
      <c r="J2697" s="184"/>
      <c r="N2697" s="178"/>
      <c r="O2697" s="178"/>
      <c r="P2697" s="178"/>
    </row>
    <row r="2698" spans="2:16" ht="15.75" customHeight="1">
      <c r="B2698" s="618"/>
      <c r="H2698" s="178"/>
      <c r="I2698" s="178"/>
      <c r="J2698" s="184"/>
      <c r="N2698" s="178"/>
      <c r="O2698" s="178"/>
      <c r="P2698" s="178"/>
    </row>
    <row r="2699" spans="2:16" ht="15.75" customHeight="1">
      <c r="B2699" s="618"/>
      <c r="H2699" s="178"/>
      <c r="I2699" s="178"/>
      <c r="J2699" s="184"/>
      <c r="N2699" s="178"/>
      <c r="O2699" s="178"/>
      <c r="P2699" s="178"/>
    </row>
    <row r="2700" spans="2:16" ht="15.75" customHeight="1">
      <c r="B2700" s="618"/>
      <c r="H2700" s="178"/>
      <c r="I2700" s="178"/>
      <c r="J2700" s="184"/>
      <c r="N2700" s="178"/>
      <c r="O2700" s="178"/>
      <c r="P2700" s="178"/>
    </row>
    <row r="2701" spans="2:16" ht="15.75" customHeight="1">
      <c r="B2701" s="618"/>
      <c r="H2701" s="178"/>
      <c r="I2701" s="178"/>
      <c r="J2701" s="184"/>
      <c r="N2701" s="178"/>
      <c r="O2701" s="178"/>
      <c r="P2701" s="178"/>
    </row>
    <row r="2702" spans="2:16" ht="15.75" customHeight="1">
      <c r="B2702" s="618"/>
      <c r="H2702" s="178"/>
      <c r="I2702" s="178"/>
      <c r="J2702" s="184"/>
      <c r="N2702" s="178"/>
      <c r="O2702" s="178"/>
      <c r="P2702" s="178"/>
    </row>
    <row r="2703" spans="2:16" ht="15.75" customHeight="1">
      <c r="B2703" s="618"/>
      <c r="H2703" s="178"/>
      <c r="I2703" s="178"/>
      <c r="J2703" s="184"/>
      <c r="N2703" s="178"/>
      <c r="O2703" s="178"/>
      <c r="P2703" s="178"/>
    </row>
    <row r="2704" spans="2:16" ht="15.75" customHeight="1">
      <c r="B2704" s="618"/>
      <c r="H2704" s="178"/>
      <c r="I2704" s="178"/>
      <c r="J2704" s="184"/>
      <c r="N2704" s="178"/>
      <c r="O2704" s="178"/>
      <c r="P2704" s="178"/>
    </row>
    <row r="2705" spans="2:16" ht="15.75" customHeight="1">
      <c r="B2705" s="618"/>
      <c r="H2705" s="178"/>
      <c r="I2705" s="178"/>
      <c r="J2705" s="184"/>
      <c r="N2705" s="178"/>
      <c r="O2705" s="178"/>
      <c r="P2705" s="178"/>
    </row>
    <row r="2706" spans="2:16" ht="15.75" customHeight="1">
      <c r="B2706" s="618"/>
      <c r="H2706" s="178"/>
      <c r="I2706" s="178"/>
      <c r="J2706" s="184"/>
      <c r="N2706" s="178"/>
      <c r="O2706" s="178"/>
      <c r="P2706" s="178"/>
    </row>
    <row r="2707" spans="2:16" ht="15.75" customHeight="1">
      <c r="B2707" s="618"/>
      <c r="H2707" s="178"/>
      <c r="I2707" s="178"/>
      <c r="J2707" s="184"/>
      <c r="N2707" s="178"/>
      <c r="O2707" s="178"/>
      <c r="P2707" s="178"/>
    </row>
    <row r="2708" spans="2:16" ht="15.75" customHeight="1">
      <c r="B2708" s="618"/>
      <c r="H2708" s="178"/>
      <c r="I2708" s="178"/>
      <c r="J2708" s="184"/>
      <c r="N2708" s="178"/>
      <c r="O2708" s="178"/>
      <c r="P2708" s="178"/>
    </row>
    <row r="2709" spans="2:16" ht="15.75" customHeight="1">
      <c r="B2709" s="618"/>
      <c r="H2709" s="178"/>
      <c r="I2709" s="178"/>
      <c r="J2709" s="184"/>
      <c r="N2709" s="178"/>
      <c r="O2709" s="178"/>
      <c r="P2709" s="178"/>
    </row>
    <row r="2710" spans="2:16" ht="15.75" customHeight="1">
      <c r="B2710" s="618"/>
      <c r="H2710" s="178"/>
      <c r="I2710" s="178"/>
      <c r="J2710" s="184"/>
      <c r="N2710" s="178"/>
      <c r="O2710" s="178"/>
      <c r="P2710" s="178"/>
    </row>
    <row r="2711" spans="2:16" ht="15.75" customHeight="1">
      <c r="B2711" s="618"/>
      <c r="H2711" s="178"/>
      <c r="I2711" s="178"/>
      <c r="J2711" s="184"/>
      <c r="N2711" s="178"/>
      <c r="O2711" s="178"/>
      <c r="P2711" s="178"/>
    </row>
    <row r="2712" spans="2:16" ht="15.75" customHeight="1">
      <c r="B2712" s="618"/>
      <c r="H2712" s="178"/>
      <c r="I2712" s="178"/>
      <c r="J2712" s="184"/>
      <c r="N2712" s="178"/>
      <c r="O2712" s="178"/>
      <c r="P2712" s="178"/>
    </row>
    <row r="2713" spans="2:16" ht="15.75" customHeight="1">
      <c r="B2713" s="618"/>
      <c r="H2713" s="178"/>
      <c r="I2713" s="178"/>
      <c r="J2713" s="184"/>
      <c r="N2713" s="178"/>
      <c r="O2713" s="178"/>
      <c r="P2713" s="178"/>
    </row>
    <row r="2714" spans="2:16" ht="15.75" customHeight="1">
      <c r="B2714" s="618"/>
      <c r="H2714" s="178"/>
      <c r="I2714" s="178"/>
      <c r="J2714" s="184"/>
      <c r="N2714" s="178"/>
      <c r="O2714" s="178"/>
      <c r="P2714" s="178"/>
    </row>
    <row r="2715" spans="2:16" ht="15.75" customHeight="1">
      <c r="B2715" s="618"/>
      <c r="H2715" s="178"/>
      <c r="I2715" s="178"/>
      <c r="J2715" s="184"/>
      <c r="N2715" s="178"/>
      <c r="O2715" s="178"/>
      <c r="P2715" s="178"/>
    </row>
    <row r="2716" spans="2:16" ht="15.75" customHeight="1">
      <c r="B2716" s="618"/>
      <c r="H2716" s="178"/>
      <c r="I2716" s="178"/>
      <c r="J2716" s="184"/>
      <c r="N2716" s="178"/>
      <c r="O2716" s="178"/>
      <c r="P2716" s="178"/>
    </row>
    <row r="2717" spans="2:16" ht="15.75" customHeight="1">
      <c r="B2717" s="618"/>
      <c r="H2717" s="178"/>
      <c r="I2717" s="178"/>
      <c r="J2717" s="184"/>
      <c r="N2717" s="178"/>
      <c r="O2717" s="178"/>
      <c r="P2717" s="178"/>
    </row>
    <row r="2718" spans="2:16" ht="15.75" customHeight="1">
      <c r="B2718" s="618"/>
      <c r="H2718" s="178"/>
      <c r="I2718" s="178"/>
      <c r="J2718" s="184"/>
      <c r="N2718" s="178"/>
      <c r="O2718" s="178"/>
      <c r="P2718" s="178"/>
    </row>
    <row r="2719" spans="2:16" ht="15.75" customHeight="1">
      <c r="B2719" s="618"/>
      <c r="H2719" s="178"/>
      <c r="I2719" s="178"/>
      <c r="J2719" s="184"/>
      <c r="N2719" s="178"/>
      <c r="O2719" s="178"/>
      <c r="P2719" s="178"/>
    </row>
    <row r="2720" spans="2:16" ht="15.75" customHeight="1">
      <c r="B2720" s="618"/>
      <c r="H2720" s="178"/>
      <c r="I2720" s="178"/>
      <c r="J2720" s="184"/>
      <c r="N2720" s="178"/>
      <c r="O2720" s="178"/>
      <c r="P2720" s="178"/>
    </row>
    <row r="2721" spans="2:16" ht="15.75" customHeight="1">
      <c r="B2721" s="618"/>
      <c r="H2721" s="178"/>
      <c r="I2721" s="178"/>
      <c r="J2721" s="184"/>
      <c r="N2721" s="178"/>
      <c r="O2721" s="178"/>
      <c r="P2721" s="178"/>
    </row>
    <row r="2722" spans="2:16" ht="15.75" customHeight="1">
      <c r="B2722" s="618"/>
      <c r="H2722" s="178"/>
      <c r="I2722" s="178"/>
      <c r="J2722" s="184"/>
      <c r="N2722" s="178"/>
      <c r="O2722" s="178"/>
      <c r="P2722" s="178"/>
    </row>
    <row r="2723" spans="2:16" ht="15.75" customHeight="1">
      <c r="B2723" s="618"/>
      <c r="H2723" s="178"/>
      <c r="I2723" s="178"/>
      <c r="J2723" s="184"/>
      <c r="N2723" s="178"/>
      <c r="O2723" s="178"/>
      <c r="P2723" s="178"/>
    </row>
    <row r="2724" spans="2:16" ht="15.75" customHeight="1">
      <c r="B2724" s="618"/>
      <c r="H2724" s="178"/>
      <c r="I2724" s="178"/>
      <c r="J2724" s="184"/>
      <c r="N2724" s="178"/>
      <c r="O2724" s="178"/>
      <c r="P2724" s="178"/>
    </row>
    <row r="2725" spans="2:16" ht="15.75" customHeight="1">
      <c r="B2725" s="618"/>
      <c r="H2725" s="178"/>
      <c r="I2725" s="178"/>
      <c r="J2725" s="184"/>
      <c r="N2725" s="178"/>
      <c r="O2725" s="178"/>
      <c r="P2725" s="178"/>
    </row>
    <row r="2726" spans="2:16" ht="15.75" customHeight="1">
      <c r="B2726" s="618"/>
      <c r="H2726" s="178"/>
      <c r="I2726" s="178"/>
      <c r="J2726" s="184"/>
      <c r="N2726" s="178"/>
      <c r="O2726" s="178"/>
      <c r="P2726" s="178"/>
    </row>
    <row r="2727" spans="2:16" ht="15.75" customHeight="1">
      <c r="B2727" s="618"/>
      <c r="H2727" s="178"/>
      <c r="I2727" s="178"/>
      <c r="J2727" s="184"/>
      <c r="N2727" s="178"/>
      <c r="O2727" s="178"/>
      <c r="P2727" s="178"/>
    </row>
    <row r="2728" spans="2:16" ht="15.75" customHeight="1">
      <c r="B2728" s="618"/>
      <c r="H2728" s="178"/>
      <c r="I2728" s="178"/>
      <c r="J2728" s="184"/>
      <c r="N2728" s="178"/>
      <c r="O2728" s="178"/>
      <c r="P2728" s="178"/>
    </row>
    <row r="2729" spans="2:16" ht="15.75" customHeight="1">
      <c r="B2729" s="618"/>
      <c r="H2729" s="178"/>
      <c r="I2729" s="178"/>
      <c r="J2729" s="184"/>
      <c r="N2729" s="178"/>
      <c r="O2729" s="178"/>
      <c r="P2729" s="178"/>
    </row>
    <row r="2730" spans="2:16" ht="15.75" customHeight="1">
      <c r="B2730" s="618"/>
      <c r="H2730" s="178"/>
      <c r="I2730" s="178"/>
      <c r="J2730" s="184"/>
      <c r="N2730" s="178"/>
      <c r="O2730" s="178"/>
      <c r="P2730" s="178"/>
    </row>
    <row r="2731" spans="2:16" ht="15.75" customHeight="1">
      <c r="B2731" s="618"/>
      <c r="H2731" s="178"/>
      <c r="I2731" s="178"/>
      <c r="J2731" s="184"/>
      <c r="N2731" s="178"/>
      <c r="O2731" s="178"/>
      <c r="P2731" s="178"/>
    </row>
    <row r="2732" spans="2:16" ht="15.75" customHeight="1">
      <c r="B2732" s="618"/>
      <c r="H2732" s="178"/>
      <c r="I2732" s="178"/>
      <c r="J2732" s="184"/>
      <c r="N2732" s="178"/>
      <c r="O2732" s="178"/>
      <c r="P2732" s="178"/>
    </row>
    <row r="2733" spans="2:16" ht="15.75" customHeight="1">
      <c r="B2733" s="618"/>
      <c r="H2733" s="178"/>
      <c r="I2733" s="178"/>
      <c r="J2733" s="184"/>
      <c r="N2733" s="178"/>
      <c r="O2733" s="178"/>
      <c r="P2733" s="178"/>
    </row>
    <row r="2734" spans="2:16" ht="15.75" customHeight="1">
      <c r="B2734" s="618"/>
      <c r="H2734" s="178"/>
      <c r="I2734" s="178"/>
      <c r="J2734" s="184"/>
      <c r="N2734" s="178"/>
      <c r="O2734" s="178"/>
      <c r="P2734" s="178"/>
    </row>
    <row r="2735" spans="2:16" ht="15.75" customHeight="1">
      <c r="B2735" s="618"/>
      <c r="H2735" s="178"/>
      <c r="I2735" s="178"/>
      <c r="J2735" s="184"/>
      <c r="N2735" s="178"/>
      <c r="O2735" s="178"/>
      <c r="P2735" s="178"/>
    </row>
    <row r="2736" spans="2:16" ht="15.75" customHeight="1">
      <c r="B2736" s="618"/>
      <c r="H2736" s="178"/>
      <c r="I2736" s="178"/>
      <c r="J2736" s="184"/>
      <c r="N2736" s="178"/>
      <c r="O2736" s="178"/>
      <c r="P2736" s="178"/>
    </row>
    <row r="2737" spans="2:16" ht="15.75" customHeight="1">
      <c r="B2737" s="618"/>
      <c r="H2737" s="178"/>
      <c r="I2737" s="178"/>
      <c r="J2737" s="184"/>
      <c r="N2737" s="178"/>
      <c r="O2737" s="178"/>
      <c r="P2737" s="178"/>
    </row>
    <row r="2738" spans="2:16" ht="15.75" customHeight="1">
      <c r="B2738" s="618"/>
      <c r="H2738" s="178"/>
      <c r="I2738" s="178"/>
      <c r="J2738" s="184"/>
      <c r="N2738" s="178"/>
      <c r="O2738" s="178"/>
      <c r="P2738" s="178"/>
    </row>
    <row r="2739" spans="2:16" ht="15.75" customHeight="1">
      <c r="B2739" s="618"/>
      <c r="H2739" s="178"/>
      <c r="I2739" s="178"/>
      <c r="J2739" s="184"/>
      <c r="N2739" s="178"/>
      <c r="O2739" s="178"/>
      <c r="P2739" s="178"/>
    </row>
    <row r="2740" spans="2:16" ht="15.75" customHeight="1">
      <c r="B2740" s="618"/>
      <c r="H2740" s="178"/>
      <c r="I2740" s="178"/>
      <c r="J2740" s="184"/>
      <c r="N2740" s="178"/>
      <c r="O2740" s="178"/>
      <c r="P2740" s="178"/>
    </row>
    <row r="2741" spans="2:16" ht="15.75" customHeight="1">
      <c r="B2741" s="618"/>
      <c r="H2741" s="178"/>
      <c r="I2741" s="178"/>
      <c r="J2741" s="184"/>
      <c r="N2741" s="178"/>
      <c r="O2741" s="178"/>
      <c r="P2741" s="178"/>
    </row>
    <row r="2742" spans="2:16" ht="15.75" customHeight="1">
      <c r="B2742" s="618"/>
      <c r="H2742" s="178"/>
      <c r="I2742" s="178"/>
      <c r="J2742" s="184"/>
      <c r="N2742" s="178"/>
      <c r="O2742" s="178"/>
      <c r="P2742" s="178"/>
    </row>
    <row r="2743" spans="2:16" ht="15.75" customHeight="1">
      <c r="B2743" s="618"/>
      <c r="H2743" s="178"/>
      <c r="I2743" s="178"/>
      <c r="J2743" s="184"/>
      <c r="N2743" s="178"/>
      <c r="O2743" s="178"/>
      <c r="P2743" s="178"/>
    </row>
    <row r="2744" spans="2:16" ht="15.75" customHeight="1">
      <c r="B2744" s="618"/>
      <c r="H2744" s="178"/>
      <c r="I2744" s="178"/>
      <c r="J2744" s="184"/>
      <c r="N2744" s="178"/>
      <c r="O2744" s="178"/>
      <c r="P2744" s="178"/>
    </row>
    <row r="2745" spans="2:16" ht="15.75" customHeight="1">
      <c r="B2745" s="618"/>
      <c r="H2745" s="178"/>
      <c r="I2745" s="178"/>
      <c r="J2745" s="184"/>
      <c r="N2745" s="178"/>
      <c r="O2745" s="178"/>
      <c r="P2745" s="178"/>
    </row>
    <row r="2746" spans="2:16" ht="15.75" customHeight="1">
      <c r="B2746" s="618"/>
      <c r="H2746" s="178"/>
      <c r="I2746" s="178"/>
      <c r="J2746" s="184"/>
      <c r="N2746" s="178"/>
      <c r="O2746" s="178"/>
      <c r="P2746" s="178"/>
    </row>
    <row r="2747" spans="2:16" ht="15.75" customHeight="1">
      <c r="B2747" s="618"/>
      <c r="H2747" s="178"/>
      <c r="I2747" s="178"/>
      <c r="J2747" s="184"/>
      <c r="N2747" s="178"/>
      <c r="O2747" s="178"/>
      <c r="P2747" s="178"/>
    </row>
    <row r="2748" spans="2:16" ht="15.75" customHeight="1">
      <c r="B2748" s="618"/>
      <c r="H2748" s="178"/>
      <c r="I2748" s="178"/>
      <c r="J2748" s="184"/>
      <c r="N2748" s="178"/>
      <c r="O2748" s="178"/>
      <c r="P2748" s="178"/>
    </row>
    <row r="2749" spans="2:16" ht="15.75" customHeight="1">
      <c r="B2749" s="618"/>
      <c r="H2749" s="178"/>
      <c r="I2749" s="178"/>
      <c r="J2749" s="184"/>
      <c r="N2749" s="178"/>
      <c r="O2749" s="178"/>
      <c r="P2749" s="178"/>
    </row>
    <row r="2750" spans="2:16" ht="15.75" customHeight="1">
      <c r="B2750" s="618"/>
      <c r="H2750" s="178"/>
      <c r="I2750" s="178"/>
      <c r="J2750" s="184"/>
      <c r="N2750" s="178"/>
      <c r="O2750" s="178"/>
      <c r="P2750" s="178"/>
    </row>
    <row r="2751" spans="2:16" ht="15.75" customHeight="1">
      <c r="B2751" s="618"/>
      <c r="H2751" s="178"/>
      <c r="I2751" s="178"/>
      <c r="J2751" s="184"/>
      <c r="N2751" s="178"/>
      <c r="O2751" s="178"/>
      <c r="P2751" s="178"/>
    </row>
    <row r="2752" spans="2:16" ht="15.75" customHeight="1">
      <c r="B2752" s="618"/>
      <c r="H2752" s="178"/>
      <c r="I2752" s="178"/>
      <c r="J2752" s="184"/>
      <c r="N2752" s="178"/>
      <c r="O2752" s="178"/>
      <c r="P2752" s="178"/>
    </row>
    <row r="2753" spans="2:16" ht="15.75" customHeight="1">
      <c r="B2753" s="618"/>
      <c r="H2753" s="178"/>
      <c r="I2753" s="178"/>
      <c r="J2753" s="184"/>
      <c r="N2753" s="178"/>
      <c r="O2753" s="178"/>
      <c r="P2753" s="178"/>
    </row>
    <row r="2754" spans="2:16" ht="15.75" customHeight="1">
      <c r="B2754" s="618"/>
      <c r="H2754" s="178"/>
      <c r="I2754" s="178"/>
      <c r="J2754" s="184"/>
      <c r="N2754" s="178"/>
      <c r="O2754" s="178"/>
      <c r="P2754" s="178"/>
    </row>
    <row r="2755" spans="2:16" ht="15.75" customHeight="1">
      <c r="B2755" s="618"/>
      <c r="H2755" s="178"/>
      <c r="I2755" s="178"/>
      <c r="J2755" s="184"/>
      <c r="N2755" s="178"/>
      <c r="O2755" s="178"/>
      <c r="P2755" s="178"/>
    </row>
    <row r="2756" spans="2:16" ht="15.75" customHeight="1">
      <c r="B2756" s="618"/>
      <c r="H2756" s="178"/>
      <c r="I2756" s="178"/>
      <c r="J2756" s="184"/>
      <c r="N2756" s="178"/>
      <c r="O2756" s="178"/>
      <c r="P2756" s="178"/>
    </row>
    <row r="2757" spans="2:16" ht="15.75" customHeight="1">
      <c r="B2757" s="618"/>
      <c r="H2757" s="178"/>
      <c r="I2757" s="178"/>
      <c r="J2757" s="184"/>
      <c r="N2757" s="178"/>
      <c r="O2757" s="178"/>
      <c r="P2757" s="178"/>
    </row>
    <row r="2758" spans="2:16" ht="15.75" customHeight="1">
      <c r="B2758" s="618"/>
      <c r="H2758" s="178"/>
      <c r="I2758" s="178"/>
      <c r="J2758" s="184"/>
      <c r="N2758" s="178"/>
      <c r="O2758" s="178"/>
      <c r="P2758" s="178"/>
    </row>
    <row r="2759" spans="2:16" ht="15.75" customHeight="1">
      <c r="B2759" s="618"/>
      <c r="H2759" s="178"/>
      <c r="I2759" s="178"/>
      <c r="J2759" s="184"/>
      <c r="N2759" s="178"/>
      <c r="O2759" s="178"/>
      <c r="P2759" s="178"/>
    </row>
    <row r="2760" spans="2:16" ht="15.75" customHeight="1">
      <c r="B2760" s="618"/>
      <c r="H2760" s="178"/>
      <c r="I2760" s="178"/>
      <c r="J2760" s="184"/>
      <c r="N2760" s="178"/>
      <c r="O2760" s="178"/>
      <c r="P2760" s="178"/>
    </row>
    <row r="2761" spans="2:16" ht="15.75" customHeight="1">
      <c r="B2761" s="618"/>
      <c r="H2761" s="178"/>
      <c r="I2761" s="178"/>
      <c r="J2761" s="184"/>
      <c r="N2761" s="178"/>
      <c r="O2761" s="178"/>
      <c r="P2761" s="178"/>
    </row>
    <row r="2762" spans="2:16" ht="15.75" customHeight="1">
      <c r="B2762" s="618"/>
      <c r="H2762" s="178"/>
      <c r="I2762" s="178"/>
      <c r="J2762" s="184"/>
      <c r="N2762" s="178"/>
      <c r="O2762" s="178"/>
      <c r="P2762" s="178"/>
    </row>
    <row r="2763" spans="2:16" ht="15.75" customHeight="1">
      <c r="B2763" s="618"/>
      <c r="H2763" s="178"/>
      <c r="I2763" s="178"/>
      <c r="J2763" s="184"/>
      <c r="N2763" s="178"/>
      <c r="O2763" s="178"/>
      <c r="P2763" s="178"/>
    </row>
    <row r="2764" spans="2:16" ht="15.75" customHeight="1">
      <c r="B2764" s="618"/>
      <c r="H2764" s="178"/>
      <c r="I2764" s="178"/>
      <c r="J2764" s="184"/>
      <c r="N2764" s="178"/>
      <c r="O2764" s="178"/>
      <c r="P2764" s="178"/>
    </row>
    <row r="2765" spans="2:16" ht="15.75" customHeight="1">
      <c r="B2765" s="618"/>
      <c r="H2765" s="178"/>
      <c r="I2765" s="178"/>
      <c r="J2765" s="184"/>
      <c r="N2765" s="178"/>
      <c r="O2765" s="178"/>
      <c r="P2765" s="178"/>
    </row>
    <row r="2766" spans="2:16" ht="15.75" customHeight="1">
      <c r="B2766" s="618"/>
      <c r="H2766" s="178"/>
      <c r="I2766" s="178"/>
      <c r="J2766" s="184"/>
      <c r="N2766" s="178"/>
      <c r="O2766" s="178"/>
      <c r="P2766" s="178"/>
    </row>
    <row r="2767" spans="2:16" ht="15.75" customHeight="1">
      <c r="B2767" s="618"/>
      <c r="H2767" s="178"/>
      <c r="I2767" s="178"/>
      <c r="J2767" s="184"/>
      <c r="N2767" s="178"/>
      <c r="O2767" s="178"/>
      <c r="P2767" s="178"/>
    </row>
    <row r="2768" spans="2:16" ht="15.75" customHeight="1">
      <c r="B2768" s="618"/>
      <c r="H2768" s="178"/>
      <c r="I2768" s="178"/>
      <c r="J2768" s="184"/>
      <c r="N2768" s="178"/>
      <c r="O2768" s="178"/>
      <c r="P2768" s="178"/>
    </row>
    <row r="2769" spans="2:16" ht="15.75" customHeight="1">
      <c r="B2769" s="618"/>
      <c r="H2769" s="178"/>
      <c r="I2769" s="178"/>
      <c r="J2769" s="184"/>
      <c r="N2769" s="178"/>
      <c r="O2769" s="178"/>
      <c r="P2769" s="178"/>
    </row>
    <row r="2770" spans="2:16" ht="15.75" customHeight="1">
      <c r="B2770" s="618"/>
      <c r="H2770" s="178"/>
      <c r="I2770" s="178"/>
      <c r="J2770" s="184"/>
      <c r="N2770" s="178"/>
      <c r="O2770" s="178"/>
      <c r="P2770" s="178"/>
    </row>
    <row r="2771" spans="2:16" ht="15.75" customHeight="1">
      <c r="B2771" s="618"/>
      <c r="H2771" s="178"/>
      <c r="I2771" s="178"/>
      <c r="J2771" s="184"/>
      <c r="N2771" s="178"/>
      <c r="O2771" s="178"/>
      <c r="P2771" s="178"/>
    </row>
    <row r="2772" spans="2:16" ht="15.75" customHeight="1">
      <c r="B2772" s="618"/>
      <c r="H2772" s="178"/>
      <c r="I2772" s="178"/>
      <c r="J2772" s="184"/>
      <c r="N2772" s="178"/>
      <c r="O2772" s="178"/>
      <c r="P2772" s="178"/>
    </row>
    <row r="2773" spans="2:16" ht="15.75" customHeight="1">
      <c r="B2773" s="618"/>
      <c r="H2773" s="178"/>
      <c r="I2773" s="178"/>
      <c r="J2773" s="184"/>
      <c r="N2773" s="178"/>
      <c r="O2773" s="178"/>
      <c r="P2773" s="178"/>
    </row>
    <row r="2774" spans="2:16" ht="15.75" customHeight="1">
      <c r="B2774" s="618"/>
      <c r="H2774" s="178"/>
      <c r="I2774" s="178"/>
      <c r="J2774" s="184"/>
      <c r="N2774" s="178"/>
      <c r="O2774" s="178"/>
      <c r="P2774" s="178"/>
    </row>
    <row r="2775" spans="2:16" ht="15.75" customHeight="1">
      <c r="B2775" s="618"/>
      <c r="H2775" s="178"/>
      <c r="I2775" s="178"/>
      <c r="J2775" s="184"/>
      <c r="N2775" s="178"/>
      <c r="O2775" s="178"/>
      <c r="P2775" s="178"/>
    </row>
    <row r="2776" spans="2:16" ht="15.75" customHeight="1">
      <c r="B2776" s="618"/>
      <c r="H2776" s="178"/>
      <c r="I2776" s="178"/>
      <c r="J2776" s="184"/>
      <c r="N2776" s="178"/>
      <c r="O2776" s="178"/>
      <c r="P2776" s="178"/>
    </row>
    <row r="2777" spans="2:16" ht="15.75" customHeight="1">
      <c r="B2777" s="618"/>
      <c r="H2777" s="178"/>
      <c r="I2777" s="178"/>
      <c r="J2777" s="184"/>
      <c r="N2777" s="178"/>
      <c r="O2777" s="178"/>
      <c r="P2777" s="178"/>
    </row>
    <row r="2778" spans="2:16" ht="15.75" customHeight="1">
      <c r="B2778" s="618"/>
      <c r="H2778" s="178"/>
      <c r="I2778" s="178"/>
      <c r="J2778" s="184"/>
      <c r="N2778" s="178"/>
      <c r="O2778" s="178"/>
      <c r="P2778" s="178"/>
    </row>
    <row r="2779" spans="2:16" ht="15.75" customHeight="1">
      <c r="B2779" s="618"/>
      <c r="H2779" s="178"/>
      <c r="I2779" s="178"/>
      <c r="J2779" s="184"/>
      <c r="N2779" s="178"/>
      <c r="O2779" s="178"/>
      <c r="P2779" s="178"/>
    </row>
    <row r="2780" spans="2:16" ht="15.75" customHeight="1">
      <c r="B2780" s="618"/>
      <c r="H2780" s="178"/>
      <c r="I2780" s="178"/>
      <c r="J2780" s="184"/>
      <c r="N2780" s="178"/>
      <c r="O2780" s="178"/>
      <c r="P2780" s="178"/>
    </row>
    <row r="2781" spans="2:16" ht="15.75" customHeight="1">
      <c r="B2781" s="618"/>
      <c r="H2781" s="178"/>
      <c r="I2781" s="178"/>
      <c r="J2781" s="184"/>
      <c r="N2781" s="178"/>
      <c r="O2781" s="178"/>
      <c r="P2781" s="178"/>
    </row>
    <row r="2782" spans="2:16" ht="15.75" customHeight="1">
      <c r="B2782" s="618"/>
      <c r="H2782" s="178"/>
      <c r="I2782" s="178"/>
      <c r="J2782" s="184"/>
      <c r="N2782" s="178"/>
      <c r="O2782" s="178"/>
      <c r="P2782" s="178"/>
    </row>
    <row r="2783" spans="2:16" ht="15.75" customHeight="1">
      <c r="B2783" s="618"/>
      <c r="H2783" s="178"/>
      <c r="I2783" s="178"/>
      <c r="J2783" s="184"/>
      <c r="N2783" s="178"/>
      <c r="O2783" s="178"/>
      <c r="P2783" s="178"/>
    </row>
    <row r="2784" spans="2:16" ht="15.75" customHeight="1">
      <c r="B2784" s="618"/>
      <c r="H2784" s="178"/>
      <c r="I2784" s="178"/>
      <c r="J2784" s="184"/>
      <c r="N2784" s="178"/>
      <c r="O2784" s="178"/>
      <c r="P2784" s="178"/>
    </row>
    <row r="2785" spans="2:16" ht="15.75" customHeight="1">
      <c r="B2785" s="618"/>
      <c r="H2785" s="178"/>
      <c r="I2785" s="178"/>
      <c r="J2785" s="184"/>
      <c r="N2785" s="178"/>
      <c r="O2785" s="178"/>
      <c r="P2785" s="178"/>
    </row>
    <row r="2786" spans="2:16" ht="15.75" customHeight="1">
      <c r="B2786" s="618"/>
      <c r="H2786" s="178"/>
      <c r="I2786" s="178"/>
      <c r="J2786" s="184"/>
      <c r="N2786" s="178"/>
      <c r="O2786" s="178"/>
      <c r="P2786" s="178"/>
    </row>
    <row r="2787" spans="2:16" ht="15.75" customHeight="1">
      <c r="B2787" s="618"/>
      <c r="H2787" s="178"/>
      <c r="I2787" s="178"/>
      <c r="J2787" s="184"/>
      <c r="N2787" s="178"/>
      <c r="O2787" s="178"/>
      <c r="P2787" s="178"/>
    </row>
    <row r="2788" spans="2:16" ht="15.75" customHeight="1">
      <c r="B2788" s="618"/>
      <c r="H2788" s="178"/>
      <c r="I2788" s="178"/>
      <c r="J2788" s="184"/>
      <c r="N2788" s="178"/>
      <c r="O2788" s="178"/>
      <c r="P2788" s="178"/>
    </row>
    <row r="2789" spans="2:16" ht="15.75" customHeight="1">
      <c r="B2789" s="618"/>
      <c r="H2789" s="178"/>
      <c r="I2789" s="178"/>
      <c r="J2789" s="184"/>
      <c r="N2789" s="178"/>
      <c r="O2789" s="178"/>
      <c r="P2789" s="178"/>
    </row>
    <row r="2790" spans="2:16" ht="15.75" customHeight="1">
      <c r="B2790" s="618"/>
      <c r="H2790" s="178"/>
      <c r="I2790" s="178"/>
      <c r="J2790" s="184"/>
      <c r="N2790" s="178"/>
      <c r="O2790" s="178"/>
      <c r="P2790" s="178"/>
    </row>
    <row r="2791" spans="2:16" ht="15.75" customHeight="1">
      <c r="B2791" s="618"/>
      <c r="H2791" s="178"/>
      <c r="I2791" s="178"/>
      <c r="J2791" s="184"/>
      <c r="N2791" s="178"/>
      <c r="O2791" s="178"/>
      <c r="P2791" s="178"/>
    </row>
    <row r="2792" spans="2:16" ht="15.75" customHeight="1">
      <c r="B2792" s="618"/>
      <c r="H2792" s="178"/>
      <c r="I2792" s="178"/>
      <c r="J2792" s="184"/>
      <c r="N2792" s="178"/>
      <c r="O2792" s="178"/>
      <c r="P2792" s="178"/>
    </row>
    <row r="2793" spans="2:16" ht="15.75" customHeight="1">
      <c r="B2793" s="618"/>
      <c r="H2793" s="178"/>
      <c r="I2793" s="178"/>
      <c r="J2793" s="184"/>
      <c r="N2793" s="178"/>
      <c r="O2793" s="178"/>
      <c r="P2793" s="178"/>
    </row>
    <row r="2794" spans="2:16" ht="15.75" customHeight="1">
      <c r="B2794" s="618"/>
      <c r="H2794" s="178"/>
      <c r="I2794" s="178"/>
      <c r="J2794" s="184"/>
      <c r="N2794" s="178"/>
      <c r="O2794" s="178"/>
      <c r="P2794" s="178"/>
    </row>
    <row r="2795" spans="2:16" ht="15.75" customHeight="1">
      <c r="B2795" s="618"/>
      <c r="H2795" s="178"/>
      <c r="I2795" s="178"/>
      <c r="J2795" s="184"/>
      <c r="N2795" s="178"/>
      <c r="O2795" s="178"/>
      <c r="P2795" s="178"/>
    </row>
    <row r="2796" spans="2:16" ht="15.75" customHeight="1">
      <c r="B2796" s="618"/>
      <c r="H2796" s="178"/>
      <c r="I2796" s="178"/>
      <c r="J2796" s="184"/>
      <c r="N2796" s="178"/>
      <c r="O2796" s="178"/>
      <c r="P2796" s="178"/>
    </row>
    <row r="2797" spans="2:16" ht="15.75" customHeight="1">
      <c r="B2797" s="618"/>
      <c r="H2797" s="178"/>
      <c r="I2797" s="178"/>
      <c r="J2797" s="184"/>
      <c r="N2797" s="178"/>
      <c r="O2797" s="178"/>
      <c r="P2797" s="178"/>
    </row>
    <row r="2798" spans="2:16" ht="15.75" customHeight="1">
      <c r="B2798" s="618"/>
      <c r="H2798" s="178"/>
      <c r="I2798" s="178"/>
      <c r="J2798" s="184"/>
      <c r="N2798" s="178"/>
      <c r="O2798" s="178"/>
      <c r="P2798" s="178"/>
    </row>
    <row r="2799" spans="2:16" ht="15.75" customHeight="1">
      <c r="B2799" s="618"/>
      <c r="H2799" s="178"/>
      <c r="I2799" s="178"/>
      <c r="J2799" s="184"/>
      <c r="N2799" s="178"/>
      <c r="O2799" s="178"/>
      <c r="P2799" s="178"/>
    </row>
    <row r="2800" spans="2:16" ht="15.75" customHeight="1">
      <c r="B2800" s="618"/>
      <c r="H2800" s="178"/>
      <c r="I2800" s="178"/>
      <c r="J2800" s="184"/>
      <c r="N2800" s="178"/>
      <c r="O2800" s="178"/>
      <c r="P2800" s="178"/>
    </row>
    <row r="2801" spans="2:16" ht="15.75" customHeight="1">
      <c r="B2801" s="618"/>
      <c r="H2801" s="178"/>
      <c r="I2801" s="178"/>
      <c r="J2801" s="184"/>
      <c r="N2801" s="178"/>
      <c r="O2801" s="178"/>
      <c r="P2801" s="178"/>
    </row>
    <row r="2802" spans="2:16" ht="15.75" customHeight="1">
      <c r="B2802" s="618"/>
      <c r="H2802" s="178"/>
      <c r="I2802" s="178"/>
      <c r="J2802" s="184"/>
      <c r="N2802" s="178"/>
      <c r="O2802" s="178"/>
      <c r="P2802" s="178"/>
    </row>
    <row r="2803" spans="2:16" ht="15.75" customHeight="1">
      <c r="B2803" s="618"/>
      <c r="H2803" s="178"/>
      <c r="I2803" s="178"/>
      <c r="J2803" s="184"/>
      <c r="N2803" s="178"/>
      <c r="O2803" s="178"/>
      <c r="P2803" s="178"/>
    </row>
    <row r="2804" spans="2:16" ht="15.75" customHeight="1">
      <c r="B2804" s="618"/>
      <c r="H2804" s="178"/>
      <c r="I2804" s="178"/>
      <c r="J2804" s="184"/>
      <c r="N2804" s="178"/>
      <c r="O2804" s="178"/>
      <c r="P2804" s="178"/>
    </row>
    <row r="2805" spans="2:16" ht="15.75" customHeight="1">
      <c r="B2805" s="618"/>
      <c r="H2805" s="178"/>
      <c r="I2805" s="178"/>
      <c r="J2805" s="184"/>
      <c r="N2805" s="178"/>
      <c r="O2805" s="178"/>
      <c r="P2805" s="178"/>
    </row>
    <row r="2806" spans="2:16" ht="15.75" customHeight="1">
      <c r="B2806" s="618"/>
      <c r="H2806" s="178"/>
      <c r="I2806" s="178"/>
      <c r="J2806" s="184"/>
      <c r="N2806" s="178"/>
      <c r="O2806" s="178"/>
      <c r="P2806" s="178"/>
    </row>
    <row r="2807" spans="2:16" ht="15.75" customHeight="1">
      <c r="B2807" s="618"/>
      <c r="H2807" s="178"/>
      <c r="I2807" s="178"/>
      <c r="J2807" s="184"/>
      <c r="N2807" s="178"/>
      <c r="O2807" s="178"/>
      <c r="P2807" s="178"/>
    </row>
    <row r="2808" spans="2:16" ht="15.75" customHeight="1">
      <c r="B2808" s="618"/>
      <c r="H2808" s="178"/>
      <c r="I2808" s="178"/>
      <c r="J2808" s="184"/>
      <c r="N2808" s="178"/>
      <c r="O2808" s="178"/>
      <c r="P2808" s="178"/>
    </row>
    <row r="2809" spans="2:16" ht="15.75" customHeight="1">
      <c r="B2809" s="618"/>
      <c r="H2809" s="178"/>
      <c r="I2809" s="178"/>
      <c r="J2809" s="184"/>
      <c r="N2809" s="178"/>
      <c r="O2809" s="178"/>
      <c r="P2809" s="178"/>
    </row>
    <row r="2810" spans="2:16" ht="15.75" customHeight="1">
      <c r="H2810" s="178"/>
      <c r="I2810" s="178"/>
      <c r="J2810" s="184"/>
      <c r="N2810" s="178"/>
      <c r="O2810" s="178"/>
      <c r="P2810" s="178"/>
    </row>
    <row r="2811" spans="2:16" ht="15.75" customHeight="1">
      <c r="H2811" s="178"/>
      <c r="I2811" s="178"/>
      <c r="J2811" s="184"/>
      <c r="N2811" s="178"/>
      <c r="O2811" s="178"/>
      <c r="P2811" s="178"/>
    </row>
    <row r="2812" spans="2:16" ht="15.75" customHeight="1">
      <c r="H2812" s="178"/>
      <c r="I2812" s="178"/>
      <c r="J2812" s="184"/>
      <c r="N2812" s="178"/>
      <c r="O2812" s="178"/>
      <c r="P2812" s="178"/>
    </row>
    <row r="2813" spans="2:16" ht="15.75" customHeight="1">
      <c r="H2813" s="178"/>
      <c r="I2813" s="178"/>
      <c r="J2813" s="184"/>
      <c r="N2813" s="178"/>
      <c r="O2813" s="178"/>
      <c r="P2813" s="178"/>
    </row>
    <row r="2814" spans="2:16" ht="15.75" customHeight="1">
      <c r="H2814" s="178"/>
      <c r="I2814" s="178"/>
      <c r="J2814" s="184"/>
      <c r="N2814" s="178"/>
      <c r="O2814" s="178"/>
      <c r="P2814" s="178"/>
    </row>
    <row r="2815" spans="2:16" ht="15.75" customHeight="1">
      <c r="H2815" s="178"/>
      <c r="I2815" s="178"/>
      <c r="J2815" s="184"/>
      <c r="N2815" s="178"/>
      <c r="O2815" s="178"/>
      <c r="P2815" s="178"/>
    </row>
    <row r="2816" spans="2:16" ht="15.75" customHeight="1">
      <c r="H2816" s="178"/>
      <c r="I2816" s="178"/>
      <c r="J2816" s="184"/>
      <c r="N2816" s="178"/>
      <c r="O2816" s="178"/>
      <c r="P2816" s="178"/>
    </row>
    <row r="2817" spans="8:16" ht="15.75" customHeight="1">
      <c r="H2817" s="178"/>
      <c r="I2817" s="178"/>
      <c r="J2817" s="184"/>
      <c r="N2817" s="178"/>
      <c r="O2817" s="178"/>
      <c r="P2817" s="178"/>
    </row>
    <row r="2818" spans="8:16" ht="15.75" customHeight="1">
      <c r="H2818" s="178"/>
      <c r="I2818" s="178"/>
      <c r="J2818" s="184"/>
      <c r="N2818" s="178"/>
      <c r="O2818" s="178"/>
      <c r="P2818" s="178"/>
    </row>
    <row r="2819" spans="8:16" ht="15.75" customHeight="1">
      <c r="H2819" s="178"/>
      <c r="I2819" s="178"/>
      <c r="J2819" s="184"/>
      <c r="N2819" s="178"/>
      <c r="O2819" s="178"/>
      <c r="P2819" s="178"/>
    </row>
    <row r="2820" spans="8:16" ht="15.75" customHeight="1">
      <c r="H2820" s="178"/>
      <c r="I2820" s="178"/>
      <c r="J2820" s="184"/>
      <c r="N2820" s="178"/>
      <c r="O2820" s="178"/>
      <c r="P2820" s="178"/>
    </row>
    <row r="2821" spans="8:16" ht="15.75" customHeight="1">
      <c r="H2821" s="178"/>
      <c r="I2821" s="178"/>
      <c r="J2821" s="184"/>
      <c r="N2821" s="178"/>
      <c r="O2821" s="178"/>
      <c r="P2821" s="178"/>
    </row>
    <row r="2822" spans="8:16" ht="15.75" customHeight="1">
      <c r="H2822" s="178"/>
      <c r="I2822" s="178"/>
      <c r="J2822" s="184"/>
      <c r="N2822" s="178"/>
      <c r="O2822" s="178"/>
      <c r="P2822" s="178"/>
    </row>
    <row r="2823" spans="8:16" ht="15.75" customHeight="1">
      <c r="H2823" s="178"/>
      <c r="I2823" s="178"/>
      <c r="J2823" s="184"/>
      <c r="N2823" s="178"/>
      <c r="O2823" s="178"/>
      <c r="P2823" s="178"/>
    </row>
    <row r="2824" spans="8:16" ht="15.75" customHeight="1">
      <c r="H2824" s="178"/>
      <c r="I2824" s="178"/>
      <c r="J2824" s="184"/>
      <c r="N2824" s="178"/>
      <c r="O2824" s="178"/>
      <c r="P2824" s="178"/>
    </row>
    <row r="2825" spans="8:16" ht="15.75" customHeight="1">
      <c r="H2825" s="178"/>
      <c r="I2825" s="178"/>
      <c r="J2825" s="184"/>
      <c r="N2825" s="178"/>
      <c r="O2825" s="178"/>
      <c r="P2825" s="178"/>
    </row>
    <row r="2826" spans="8:16" ht="15.75" customHeight="1">
      <c r="H2826" s="178"/>
      <c r="I2826" s="178"/>
      <c r="J2826" s="184"/>
      <c r="N2826" s="178"/>
      <c r="O2826" s="178"/>
      <c r="P2826" s="178"/>
    </row>
    <row r="2827" spans="8:16" ht="15.75" customHeight="1">
      <c r="H2827" s="178"/>
      <c r="I2827" s="178"/>
      <c r="J2827" s="184"/>
      <c r="N2827" s="178"/>
      <c r="O2827" s="178"/>
      <c r="P2827" s="178"/>
    </row>
    <row r="2828" spans="8:16" ht="15.75" customHeight="1">
      <c r="H2828" s="178"/>
      <c r="I2828" s="178"/>
      <c r="J2828" s="184"/>
      <c r="N2828" s="178"/>
      <c r="O2828" s="178"/>
      <c r="P2828" s="178"/>
    </row>
    <row r="2829" spans="8:16" ht="15.75" customHeight="1">
      <c r="H2829" s="178"/>
      <c r="I2829" s="178"/>
      <c r="J2829" s="184"/>
      <c r="N2829" s="178"/>
      <c r="O2829" s="178"/>
      <c r="P2829" s="178"/>
    </row>
    <row r="2830" spans="8:16" ht="15.75" customHeight="1">
      <c r="H2830" s="178"/>
      <c r="I2830" s="178"/>
      <c r="J2830" s="184"/>
      <c r="N2830" s="178"/>
      <c r="O2830" s="178"/>
      <c r="P2830" s="178"/>
    </row>
    <row r="2831" spans="8:16" ht="15.75" customHeight="1">
      <c r="H2831" s="178"/>
      <c r="I2831" s="178"/>
      <c r="J2831" s="184"/>
      <c r="N2831" s="178"/>
      <c r="O2831" s="178"/>
      <c r="P2831" s="178"/>
    </row>
    <row r="2832" spans="8:16" ht="15.75" customHeight="1">
      <c r="H2832" s="178"/>
      <c r="I2832" s="178"/>
      <c r="J2832" s="184"/>
      <c r="N2832" s="178"/>
      <c r="O2832" s="178"/>
      <c r="P2832" s="178"/>
    </row>
    <row r="2833" spans="8:16" ht="15.75" customHeight="1">
      <c r="H2833" s="178"/>
      <c r="I2833" s="178"/>
      <c r="J2833" s="184"/>
      <c r="N2833" s="178"/>
      <c r="O2833" s="178"/>
      <c r="P2833" s="178"/>
    </row>
    <row r="2834" spans="8:16" ht="15.75" customHeight="1">
      <c r="H2834" s="178"/>
      <c r="I2834" s="178"/>
      <c r="J2834" s="184"/>
      <c r="N2834" s="178"/>
      <c r="O2834" s="178"/>
      <c r="P2834" s="178"/>
    </row>
    <row r="2835" spans="8:16" ht="15.75" customHeight="1">
      <c r="H2835" s="178"/>
      <c r="I2835" s="178"/>
      <c r="J2835" s="184"/>
      <c r="N2835" s="178"/>
      <c r="O2835" s="178"/>
      <c r="P2835" s="178"/>
    </row>
    <row r="2836" spans="8:16" ht="15.75" customHeight="1">
      <c r="H2836" s="178"/>
      <c r="I2836" s="178"/>
      <c r="J2836" s="184"/>
      <c r="N2836" s="178"/>
      <c r="O2836" s="178"/>
      <c r="P2836" s="178"/>
    </row>
    <row r="2837" spans="8:16" ht="15.75" customHeight="1">
      <c r="H2837" s="178"/>
      <c r="I2837" s="178"/>
      <c r="J2837" s="184"/>
      <c r="N2837" s="178"/>
      <c r="O2837" s="178"/>
      <c r="P2837" s="178"/>
    </row>
    <row r="2838" spans="8:16" ht="15.75" customHeight="1">
      <c r="H2838" s="178"/>
      <c r="I2838" s="178"/>
      <c r="J2838" s="184"/>
      <c r="N2838" s="178"/>
      <c r="O2838" s="178"/>
      <c r="P2838" s="178"/>
    </row>
    <row r="2839" spans="8:16" ht="15.75" customHeight="1">
      <c r="H2839" s="178"/>
      <c r="I2839" s="178"/>
      <c r="J2839" s="184"/>
      <c r="N2839" s="178"/>
      <c r="O2839" s="178"/>
      <c r="P2839" s="178"/>
    </row>
    <row r="2840" spans="8:16" ht="15.75" customHeight="1">
      <c r="H2840" s="178"/>
      <c r="I2840" s="178"/>
      <c r="J2840" s="184"/>
      <c r="N2840" s="178"/>
      <c r="O2840" s="178"/>
      <c r="P2840" s="178"/>
    </row>
    <row r="2841" spans="8:16" ht="15.75" customHeight="1">
      <c r="H2841" s="178"/>
      <c r="I2841" s="178"/>
      <c r="J2841" s="184"/>
      <c r="N2841" s="178"/>
      <c r="O2841" s="178"/>
      <c r="P2841" s="178"/>
    </row>
    <row r="2842" spans="8:16" ht="15.75" customHeight="1">
      <c r="H2842" s="178"/>
      <c r="I2842" s="178"/>
      <c r="J2842" s="184"/>
      <c r="N2842" s="178"/>
      <c r="O2842" s="178"/>
      <c r="P2842" s="178"/>
    </row>
    <row r="2843" spans="8:16" ht="15.75" customHeight="1">
      <c r="H2843" s="178"/>
      <c r="I2843" s="178"/>
      <c r="J2843" s="184"/>
      <c r="N2843" s="178"/>
      <c r="O2843" s="178"/>
      <c r="P2843" s="178"/>
    </row>
    <row r="2844" spans="8:16" ht="15.75" customHeight="1">
      <c r="H2844" s="178"/>
      <c r="I2844" s="178"/>
      <c r="J2844" s="184"/>
      <c r="N2844" s="178"/>
      <c r="O2844" s="178"/>
      <c r="P2844" s="178"/>
    </row>
    <row r="2845" spans="8:16" ht="15.75" customHeight="1">
      <c r="H2845" s="178"/>
      <c r="I2845" s="178"/>
      <c r="J2845" s="184"/>
      <c r="N2845" s="178"/>
      <c r="O2845" s="178"/>
      <c r="P2845" s="178"/>
    </row>
    <row r="2846" spans="8:16" ht="15.75" customHeight="1">
      <c r="H2846" s="178"/>
      <c r="I2846" s="178"/>
      <c r="J2846" s="184"/>
      <c r="N2846" s="178"/>
      <c r="O2846" s="178"/>
      <c r="P2846" s="178"/>
    </row>
    <row r="2847" spans="8:16" ht="15.75" customHeight="1">
      <c r="H2847" s="178"/>
      <c r="I2847" s="178"/>
      <c r="J2847" s="184"/>
      <c r="N2847" s="178"/>
      <c r="O2847" s="178"/>
      <c r="P2847" s="178"/>
    </row>
    <row r="2848" spans="8:16" ht="15.75" customHeight="1">
      <c r="H2848" s="178"/>
      <c r="I2848" s="178"/>
      <c r="J2848" s="184"/>
      <c r="N2848" s="178"/>
      <c r="O2848" s="178"/>
      <c r="P2848" s="178"/>
    </row>
    <row r="2849" spans="8:16" ht="15.75" customHeight="1">
      <c r="H2849" s="178"/>
      <c r="I2849" s="178"/>
      <c r="J2849" s="184"/>
      <c r="N2849" s="178"/>
      <c r="O2849" s="178"/>
      <c r="P2849" s="178"/>
    </row>
    <row r="2850" spans="8:16" ht="15.75" customHeight="1">
      <c r="H2850" s="178"/>
      <c r="I2850" s="178"/>
      <c r="J2850" s="184"/>
      <c r="N2850" s="178"/>
      <c r="O2850" s="178"/>
      <c r="P2850" s="178"/>
    </row>
    <row r="2851" spans="8:16" ht="15.75" customHeight="1">
      <c r="H2851" s="178"/>
      <c r="I2851" s="178"/>
      <c r="J2851" s="184"/>
      <c r="N2851" s="178"/>
      <c r="O2851" s="178"/>
      <c r="P2851" s="178"/>
    </row>
    <row r="2852" spans="8:16" ht="15.75" customHeight="1">
      <c r="H2852" s="178"/>
      <c r="I2852" s="178"/>
      <c r="J2852" s="184"/>
      <c r="N2852" s="178"/>
      <c r="O2852" s="178"/>
      <c r="P2852" s="178"/>
    </row>
    <row r="2853" spans="8:16" ht="15.75" customHeight="1">
      <c r="H2853" s="178"/>
      <c r="I2853" s="178"/>
      <c r="J2853" s="184"/>
      <c r="N2853" s="178"/>
      <c r="O2853" s="178"/>
      <c r="P2853" s="178"/>
    </row>
    <row r="2854" spans="8:16" ht="15.75" customHeight="1">
      <c r="H2854" s="178"/>
      <c r="I2854" s="178"/>
      <c r="J2854" s="184"/>
      <c r="N2854" s="178"/>
      <c r="O2854" s="178"/>
      <c r="P2854" s="178"/>
    </row>
    <row r="2855" spans="8:16" ht="15.75" customHeight="1">
      <c r="H2855" s="178"/>
      <c r="I2855" s="178"/>
      <c r="J2855" s="184"/>
      <c r="N2855" s="178"/>
      <c r="O2855" s="178"/>
      <c r="P2855" s="178"/>
    </row>
    <row r="2856" spans="8:16" ht="15.75" customHeight="1">
      <c r="H2856" s="178"/>
      <c r="I2856" s="178"/>
      <c r="J2856" s="184"/>
      <c r="N2856" s="178"/>
      <c r="O2856" s="178"/>
      <c r="P2856" s="178"/>
    </row>
    <row r="2857" spans="8:16" ht="15.75" customHeight="1">
      <c r="H2857" s="178"/>
      <c r="I2857" s="178"/>
      <c r="J2857" s="184"/>
      <c r="N2857" s="178"/>
      <c r="O2857" s="178"/>
      <c r="P2857" s="178"/>
    </row>
    <row r="2858" spans="8:16" ht="15.75" customHeight="1">
      <c r="H2858" s="178"/>
      <c r="I2858" s="178"/>
      <c r="J2858" s="184"/>
      <c r="N2858" s="178"/>
      <c r="O2858" s="178"/>
      <c r="P2858" s="178"/>
    </row>
    <row r="2859" spans="8:16" ht="15.75" customHeight="1">
      <c r="H2859" s="178"/>
      <c r="I2859" s="178"/>
      <c r="J2859" s="184"/>
      <c r="N2859" s="178"/>
      <c r="O2859" s="178"/>
      <c r="P2859" s="178"/>
    </row>
    <row r="2860" spans="8:16" ht="15.75" customHeight="1">
      <c r="H2860" s="178"/>
      <c r="I2860" s="178"/>
      <c r="J2860" s="184"/>
      <c r="N2860" s="178"/>
      <c r="O2860" s="178"/>
      <c r="P2860" s="178"/>
    </row>
    <row r="2861" spans="8:16" ht="15.75" customHeight="1">
      <c r="H2861" s="178"/>
      <c r="I2861" s="178"/>
      <c r="J2861" s="184"/>
      <c r="N2861" s="178"/>
      <c r="O2861" s="178"/>
      <c r="P2861" s="178"/>
    </row>
    <row r="2862" spans="8:16" ht="15.75" customHeight="1">
      <c r="H2862" s="178"/>
      <c r="I2862" s="178"/>
      <c r="J2862" s="184"/>
      <c r="N2862" s="178"/>
      <c r="O2862" s="178"/>
      <c r="P2862" s="178"/>
    </row>
    <row r="2863" spans="8:16" ht="15.75" customHeight="1">
      <c r="H2863" s="178"/>
      <c r="I2863" s="178"/>
      <c r="J2863" s="184"/>
      <c r="N2863" s="178"/>
      <c r="O2863" s="178"/>
      <c r="P2863" s="178"/>
    </row>
    <row r="2864" spans="8:16" ht="15.75" customHeight="1">
      <c r="H2864" s="178"/>
      <c r="I2864" s="178"/>
      <c r="J2864" s="184"/>
      <c r="N2864" s="178"/>
      <c r="O2864" s="178"/>
      <c r="P2864" s="178"/>
    </row>
    <row r="2865" spans="8:16" ht="15.75" customHeight="1">
      <c r="H2865" s="178"/>
      <c r="I2865" s="178"/>
      <c r="J2865" s="184"/>
      <c r="N2865" s="178"/>
      <c r="O2865" s="178"/>
      <c r="P2865" s="178"/>
    </row>
    <row r="2866" spans="8:16" ht="15.75" customHeight="1">
      <c r="H2866" s="178"/>
      <c r="I2866" s="178"/>
      <c r="J2866" s="184"/>
      <c r="N2866" s="178"/>
      <c r="O2866" s="178"/>
      <c r="P2866" s="178"/>
    </row>
    <row r="2867" spans="8:16" ht="15.75" customHeight="1">
      <c r="H2867" s="178"/>
      <c r="I2867" s="178"/>
      <c r="J2867" s="184"/>
      <c r="N2867" s="178"/>
      <c r="O2867" s="178"/>
      <c r="P2867" s="178"/>
    </row>
    <row r="2868" spans="8:16" ht="15.75" customHeight="1">
      <c r="H2868" s="178"/>
      <c r="I2868" s="178"/>
      <c r="J2868" s="184"/>
      <c r="N2868" s="178"/>
      <c r="O2868" s="178"/>
      <c r="P2868" s="178"/>
    </row>
    <row r="2869" spans="8:16" ht="15.75" customHeight="1">
      <c r="H2869" s="178"/>
      <c r="I2869" s="178"/>
      <c r="J2869" s="184"/>
      <c r="N2869" s="178"/>
      <c r="O2869" s="178"/>
      <c r="P2869" s="178"/>
    </row>
    <row r="2870" spans="8:16" ht="15.75" customHeight="1">
      <c r="H2870" s="178"/>
      <c r="I2870" s="178"/>
      <c r="J2870" s="184"/>
      <c r="N2870" s="178"/>
      <c r="O2870" s="178"/>
      <c r="P2870" s="178"/>
    </row>
    <row r="2871" spans="8:16" ht="15.75" customHeight="1">
      <c r="H2871" s="178"/>
      <c r="I2871" s="178"/>
      <c r="J2871" s="184"/>
      <c r="N2871" s="178"/>
      <c r="O2871" s="178"/>
      <c r="P2871" s="178"/>
    </row>
    <row r="2872" spans="8:16" ht="15.75" customHeight="1">
      <c r="H2872" s="178"/>
      <c r="I2872" s="178"/>
      <c r="J2872" s="184"/>
      <c r="N2872" s="178"/>
      <c r="O2872" s="178"/>
      <c r="P2872" s="178"/>
    </row>
    <row r="2873" spans="8:16" ht="15.75" customHeight="1">
      <c r="H2873" s="178"/>
      <c r="I2873" s="178"/>
      <c r="J2873" s="184"/>
      <c r="N2873" s="178"/>
      <c r="O2873" s="178"/>
      <c r="P2873" s="178"/>
    </row>
    <row r="2874" spans="8:16" ht="15.75" customHeight="1">
      <c r="H2874" s="178"/>
      <c r="I2874" s="178"/>
      <c r="J2874" s="184"/>
      <c r="N2874" s="178"/>
      <c r="O2874" s="178"/>
      <c r="P2874" s="178"/>
    </row>
    <row r="2875" spans="8:16" ht="15.75" customHeight="1">
      <c r="H2875" s="178"/>
      <c r="I2875" s="178"/>
      <c r="J2875" s="184"/>
      <c r="N2875" s="178"/>
      <c r="O2875" s="178"/>
      <c r="P2875" s="178"/>
    </row>
    <row r="2876" spans="8:16" ht="15.75" customHeight="1">
      <c r="H2876" s="178"/>
      <c r="I2876" s="178"/>
      <c r="J2876" s="184"/>
      <c r="N2876" s="178"/>
      <c r="O2876" s="178"/>
      <c r="P2876" s="178"/>
    </row>
    <row r="2877" spans="8:16" ht="15.75" customHeight="1">
      <c r="H2877" s="178"/>
      <c r="I2877" s="178"/>
      <c r="J2877" s="184"/>
      <c r="N2877" s="178"/>
      <c r="O2877" s="178"/>
      <c r="P2877" s="178"/>
    </row>
    <row r="2878" spans="8:16" ht="15.75" customHeight="1">
      <c r="H2878" s="178"/>
      <c r="I2878" s="178"/>
      <c r="J2878" s="184"/>
      <c r="N2878" s="178"/>
      <c r="O2878" s="178"/>
      <c r="P2878" s="178"/>
    </row>
    <row r="2879" spans="8:16" ht="15.75" customHeight="1">
      <c r="H2879" s="178"/>
      <c r="I2879" s="178"/>
      <c r="J2879" s="184"/>
      <c r="N2879" s="178"/>
      <c r="O2879" s="178"/>
      <c r="P2879" s="178"/>
    </row>
    <row r="2880" spans="8:16" ht="15.75" customHeight="1">
      <c r="H2880" s="178"/>
      <c r="I2880" s="178"/>
      <c r="J2880" s="184"/>
      <c r="N2880" s="178"/>
      <c r="O2880" s="178"/>
      <c r="P2880" s="178"/>
    </row>
    <row r="2881" spans="8:16" ht="15.75" customHeight="1">
      <c r="H2881" s="178"/>
      <c r="I2881" s="178"/>
      <c r="J2881" s="184"/>
      <c r="N2881" s="178"/>
      <c r="O2881" s="178"/>
      <c r="P2881" s="178"/>
    </row>
    <row r="2882" spans="8:16" ht="15.75" customHeight="1">
      <c r="H2882" s="178"/>
      <c r="I2882" s="178"/>
      <c r="J2882" s="184"/>
      <c r="N2882" s="178"/>
      <c r="O2882" s="178"/>
      <c r="P2882" s="178"/>
    </row>
    <row r="2883" spans="8:16" ht="15.75" customHeight="1">
      <c r="H2883" s="178"/>
      <c r="I2883" s="178"/>
      <c r="J2883" s="184"/>
      <c r="N2883" s="178"/>
      <c r="O2883" s="178"/>
      <c r="P2883" s="178"/>
    </row>
    <row r="2884" spans="8:16" ht="15.75" customHeight="1">
      <c r="H2884" s="178"/>
      <c r="I2884" s="178"/>
      <c r="J2884" s="184"/>
      <c r="N2884" s="178"/>
      <c r="O2884" s="178"/>
      <c r="P2884" s="178"/>
    </row>
    <row r="2885" spans="8:16" ht="15.75" customHeight="1">
      <c r="H2885" s="178"/>
      <c r="I2885" s="178"/>
      <c r="J2885" s="184"/>
      <c r="N2885" s="178"/>
      <c r="O2885" s="178"/>
      <c r="P2885" s="178"/>
    </row>
    <row r="2886" spans="8:16" ht="15.75" customHeight="1">
      <c r="H2886" s="178"/>
      <c r="I2886" s="178"/>
      <c r="J2886" s="184"/>
      <c r="N2886" s="178"/>
      <c r="O2886" s="178"/>
      <c r="P2886" s="178"/>
    </row>
    <row r="2887" spans="8:16" ht="15.75" customHeight="1">
      <c r="H2887" s="178"/>
      <c r="I2887" s="178"/>
      <c r="J2887" s="184"/>
      <c r="N2887" s="178"/>
      <c r="O2887" s="178"/>
      <c r="P2887" s="178"/>
    </row>
    <row r="2888" spans="8:16" ht="15.75" customHeight="1">
      <c r="H2888" s="178"/>
      <c r="I2888" s="178"/>
      <c r="J2888" s="184"/>
      <c r="N2888" s="178"/>
      <c r="O2888" s="178"/>
      <c r="P2888" s="178"/>
    </row>
    <row r="2889" spans="8:16" ht="15.75" customHeight="1">
      <c r="H2889" s="178"/>
      <c r="I2889" s="178"/>
      <c r="J2889" s="184"/>
      <c r="N2889" s="178"/>
      <c r="O2889" s="178"/>
      <c r="P2889" s="178"/>
    </row>
    <row r="2890" spans="8:16" ht="15.75" customHeight="1">
      <c r="H2890" s="178"/>
      <c r="I2890" s="178"/>
      <c r="J2890" s="184"/>
      <c r="N2890" s="178"/>
      <c r="O2890" s="178"/>
      <c r="P2890" s="178"/>
    </row>
    <row r="2891" spans="8:16" ht="15.75" customHeight="1">
      <c r="H2891" s="178"/>
      <c r="I2891" s="178"/>
      <c r="J2891" s="184"/>
      <c r="N2891" s="178"/>
      <c r="O2891" s="178"/>
      <c r="P2891" s="178"/>
    </row>
    <row r="2892" spans="8:16" ht="15.75" customHeight="1">
      <c r="H2892" s="178"/>
      <c r="I2892" s="178"/>
      <c r="J2892" s="184"/>
      <c r="N2892" s="178"/>
      <c r="O2892" s="178"/>
      <c r="P2892" s="178"/>
    </row>
    <row r="2893" spans="8:16" ht="15.75" customHeight="1">
      <c r="H2893" s="178"/>
      <c r="I2893" s="178"/>
      <c r="J2893" s="184"/>
      <c r="N2893" s="178"/>
      <c r="O2893" s="178"/>
      <c r="P2893" s="178"/>
    </row>
    <row r="2894" spans="8:16" ht="15.75" customHeight="1">
      <c r="H2894" s="178"/>
      <c r="I2894" s="178"/>
      <c r="J2894" s="184"/>
      <c r="N2894" s="178"/>
      <c r="O2894" s="178"/>
      <c r="P2894" s="178"/>
    </row>
    <row r="2895" spans="8:16" ht="15.75" customHeight="1">
      <c r="H2895" s="178"/>
      <c r="I2895" s="178"/>
      <c r="J2895" s="184"/>
      <c r="N2895" s="178"/>
      <c r="O2895" s="178"/>
      <c r="P2895" s="178"/>
    </row>
    <row r="2896" spans="8:16" ht="15.75" customHeight="1">
      <c r="H2896" s="178"/>
      <c r="I2896" s="178"/>
      <c r="J2896" s="184"/>
      <c r="N2896" s="178"/>
      <c r="O2896" s="178"/>
      <c r="P2896" s="178"/>
    </row>
    <row r="2897" spans="8:16" ht="15.75" customHeight="1">
      <c r="H2897" s="178"/>
      <c r="I2897" s="178"/>
      <c r="J2897" s="184"/>
      <c r="N2897" s="178"/>
      <c r="O2897" s="178"/>
      <c r="P2897" s="178"/>
    </row>
    <row r="2898" spans="8:16" ht="15.75" customHeight="1">
      <c r="H2898" s="178"/>
      <c r="I2898" s="178"/>
      <c r="J2898" s="184"/>
      <c r="N2898" s="178"/>
      <c r="O2898" s="178"/>
      <c r="P2898" s="178"/>
    </row>
    <row r="2899" spans="8:16" ht="15.75" customHeight="1">
      <c r="H2899" s="178"/>
      <c r="I2899" s="178"/>
      <c r="J2899" s="184"/>
      <c r="N2899" s="178"/>
      <c r="O2899" s="178"/>
      <c r="P2899" s="178"/>
    </row>
    <row r="2900" spans="8:16" ht="15.75" customHeight="1">
      <c r="H2900" s="178"/>
      <c r="I2900" s="178"/>
      <c r="J2900" s="184"/>
      <c r="N2900" s="178"/>
      <c r="O2900" s="178"/>
      <c r="P2900" s="178"/>
    </row>
    <row r="2901" spans="8:16" ht="15.75" customHeight="1">
      <c r="H2901" s="178"/>
      <c r="I2901" s="178"/>
      <c r="J2901" s="184"/>
      <c r="N2901" s="178"/>
      <c r="O2901" s="178"/>
      <c r="P2901" s="178"/>
    </row>
    <row r="2902" spans="8:16" ht="15.75" customHeight="1">
      <c r="H2902" s="178"/>
      <c r="I2902" s="178"/>
      <c r="J2902" s="184"/>
      <c r="N2902" s="178"/>
      <c r="O2902" s="178"/>
      <c r="P2902" s="178"/>
    </row>
    <row r="2903" spans="8:16" ht="15.75" customHeight="1">
      <c r="H2903" s="178"/>
      <c r="I2903" s="178"/>
      <c r="J2903" s="184"/>
      <c r="N2903" s="178"/>
      <c r="O2903" s="178"/>
      <c r="P2903" s="178"/>
    </row>
    <row r="2904" spans="8:16" ht="15.75" customHeight="1">
      <c r="H2904" s="178"/>
      <c r="I2904" s="178"/>
      <c r="J2904" s="184"/>
      <c r="N2904" s="178"/>
      <c r="O2904" s="178"/>
      <c r="P2904" s="178"/>
    </row>
    <row r="2905" spans="8:16" ht="15.75" customHeight="1">
      <c r="H2905" s="178"/>
      <c r="I2905" s="178"/>
      <c r="J2905" s="184"/>
      <c r="N2905" s="178"/>
      <c r="O2905" s="178"/>
      <c r="P2905" s="178"/>
    </row>
    <row r="2906" spans="8:16" ht="15.75" customHeight="1">
      <c r="H2906" s="178"/>
      <c r="I2906" s="178"/>
      <c r="J2906" s="184"/>
      <c r="N2906" s="178"/>
      <c r="O2906" s="178"/>
      <c r="P2906" s="178"/>
    </row>
    <row r="2907" spans="8:16" ht="15.75" customHeight="1">
      <c r="H2907" s="178"/>
      <c r="I2907" s="178"/>
      <c r="J2907" s="184"/>
      <c r="N2907" s="178"/>
      <c r="O2907" s="178"/>
      <c r="P2907" s="178"/>
    </row>
    <row r="2908" spans="8:16" ht="15.75" customHeight="1">
      <c r="H2908" s="178"/>
      <c r="I2908" s="178"/>
      <c r="J2908" s="184"/>
      <c r="N2908" s="178"/>
      <c r="O2908" s="178"/>
      <c r="P2908" s="178"/>
    </row>
    <row r="2909" spans="8:16" ht="15.75" customHeight="1">
      <c r="H2909" s="178"/>
      <c r="I2909" s="178"/>
      <c r="J2909" s="184"/>
      <c r="N2909" s="178"/>
      <c r="O2909" s="178"/>
      <c r="P2909" s="178"/>
    </row>
    <row r="2910" spans="8:16" ht="15.75" customHeight="1">
      <c r="H2910" s="178"/>
      <c r="I2910" s="178"/>
      <c r="J2910" s="184"/>
      <c r="N2910" s="178"/>
      <c r="O2910" s="178"/>
      <c r="P2910" s="178"/>
    </row>
    <row r="2911" spans="8:16" ht="15.75" customHeight="1">
      <c r="H2911" s="178"/>
      <c r="I2911" s="178"/>
      <c r="J2911" s="184"/>
      <c r="N2911" s="178"/>
      <c r="O2911" s="178"/>
      <c r="P2911" s="178"/>
    </row>
    <row r="2912" spans="8:16" ht="15.75" customHeight="1">
      <c r="H2912" s="178"/>
      <c r="I2912" s="178"/>
      <c r="J2912" s="184"/>
      <c r="N2912" s="178"/>
      <c r="O2912" s="178"/>
      <c r="P2912" s="178"/>
    </row>
    <row r="2913" spans="8:16" ht="15.75" customHeight="1">
      <c r="H2913" s="178"/>
      <c r="I2913" s="178"/>
      <c r="J2913" s="184"/>
      <c r="N2913" s="178"/>
      <c r="O2913" s="178"/>
      <c r="P2913" s="178"/>
    </row>
    <row r="2914" spans="8:16" ht="15.75" customHeight="1">
      <c r="H2914" s="178"/>
      <c r="I2914" s="178"/>
      <c r="J2914" s="184"/>
      <c r="N2914" s="178"/>
      <c r="O2914" s="178"/>
      <c r="P2914" s="178"/>
    </row>
    <row r="2915" spans="8:16" ht="15.75" customHeight="1">
      <c r="H2915" s="178"/>
      <c r="I2915" s="178"/>
      <c r="J2915" s="184"/>
      <c r="N2915" s="178"/>
      <c r="O2915" s="178"/>
      <c r="P2915" s="178"/>
    </row>
    <row r="2916" spans="8:16" ht="15.75" customHeight="1">
      <c r="H2916" s="178"/>
      <c r="I2916" s="178"/>
      <c r="J2916" s="184"/>
      <c r="N2916" s="178"/>
      <c r="O2916" s="178"/>
      <c r="P2916" s="178"/>
    </row>
    <row r="2917" spans="8:16" ht="15.75" customHeight="1">
      <c r="H2917" s="178"/>
      <c r="I2917" s="178"/>
      <c r="J2917" s="184"/>
      <c r="N2917" s="178"/>
      <c r="O2917" s="178"/>
      <c r="P2917" s="178"/>
    </row>
    <row r="2918" spans="8:16" ht="15.75" customHeight="1">
      <c r="H2918" s="178"/>
      <c r="I2918" s="178"/>
      <c r="J2918" s="184"/>
      <c r="N2918" s="178"/>
      <c r="O2918" s="178"/>
      <c r="P2918" s="178"/>
    </row>
    <row r="2919" spans="8:16" ht="15.75" customHeight="1">
      <c r="H2919" s="178"/>
      <c r="I2919" s="178"/>
      <c r="J2919" s="184"/>
      <c r="N2919" s="178"/>
      <c r="O2919" s="178"/>
      <c r="P2919" s="178"/>
    </row>
    <row r="2920" spans="8:16" ht="15.75" customHeight="1">
      <c r="H2920" s="178"/>
      <c r="I2920" s="178"/>
      <c r="J2920" s="184"/>
      <c r="N2920" s="178"/>
      <c r="O2920" s="178"/>
      <c r="P2920" s="178"/>
    </row>
    <row r="2921" spans="8:16" ht="15.75" customHeight="1">
      <c r="H2921" s="178"/>
      <c r="I2921" s="178"/>
      <c r="J2921" s="184"/>
      <c r="N2921" s="178"/>
      <c r="O2921" s="178"/>
      <c r="P2921" s="178"/>
    </row>
    <row r="2922" spans="8:16" ht="15.75" customHeight="1">
      <c r="H2922" s="178"/>
      <c r="I2922" s="178"/>
      <c r="J2922" s="184"/>
      <c r="N2922" s="178"/>
      <c r="O2922" s="178"/>
      <c r="P2922" s="178"/>
    </row>
    <row r="2923" spans="8:16" ht="15.75" customHeight="1">
      <c r="H2923" s="178"/>
      <c r="I2923" s="178"/>
      <c r="J2923" s="184"/>
      <c r="N2923" s="178"/>
      <c r="O2923" s="178"/>
      <c r="P2923" s="178"/>
    </row>
    <row r="2924" spans="8:16" ht="15.75" customHeight="1">
      <c r="H2924" s="178"/>
      <c r="I2924" s="178"/>
      <c r="J2924" s="184"/>
      <c r="N2924" s="178"/>
      <c r="O2924" s="178"/>
      <c r="P2924" s="178"/>
    </row>
    <row r="2925" spans="8:16" ht="15.75" customHeight="1">
      <c r="H2925" s="178"/>
      <c r="I2925" s="178"/>
      <c r="J2925" s="184"/>
      <c r="N2925" s="178"/>
      <c r="O2925" s="178"/>
      <c r="P2925" s="178"/>
    </row>
    <row r="2926" spans="8:16" ht="15.75" customHeight="1">
      <c r="H2926" s="178"/>
      <c r="I2926" s="178"/>
      <c r="J2926" s="184"/>
      <c r="N2926" s="178"/>
      <c r="O2926" s="178"/>
      <c r="P2926" s="178"/>
    </row>
    <row r="2927" spans="8:16" ht="15.75" customHeight="1">
      <c r="H2927" s="178"/>
      <c r="I2927" s="178"/>
      <c r="J2927" s="184"/>
      <c r="N2927" s="178"/>
      <c r="O2927" s="178"/>
      <c r="P2927" s="178"/>
    </row>
    <row r="2928" spans="8:16" ht="15.75" customHeight="1">
      <c r="H2928" s="178"/>
      <c r="I2928" s="178"/>
      <c r="J2928" s="184"/>
      <c r="N2928" s="178"/>
      <c r="O2928" s="178"/>
      <c r="P2928" s="178"/>
    </row>
    <row r="2929" spans="8:16" ht="15.75" customHeight="1">
      <c r="H2929" s="178"/>
      <c r="I2929" s="178"/>
      <c r="J2929" s="184"/>
      <c r="N2929" s="178"/>
      <c r="O2929" s="178"/>
      <c r="P2929" s="178"/>
    </row>
    <row r="2930" spans="8:16" ht="15.75" customHeight="1">
      <c r="H2930" s="178"/>
      <c r="I2930" s="178"/>
      <c r="J2930" s="184"/>
      <c r="N2930" s="178"/>
      <c r="O2930" s="178"/>
      <c r="P2930" s="178"/>
    </row>
    <row r="2931" spans="8:16" ht="15.75" customHeight="1">
      <c r="H2931" s="178"/>
      <c r="I2931" s="178"/>
      <c r="J2931" s="184"/>
      <c r="N2931" s="178"/>
      <c r="O2931" s="178"/>
      <c r="P2931" s="178"/>
    </row>
    <row r="2932" spans="8:16" ht="15.75" customHeight="1">
      <c r="H2932" s="178"/>
      <c r="I2932" s="178"/>
      <c r="J2932" s="184"/>
      <c r="N2932" s="178"/>
      <c r="O2932" s="178"/>
      <c r="P2932" s="178"/>
    </row>
    <row r="2933" spans="8:16" ht="15.75" customHeight="1">
      <c r="H2933" s="178"/>
      <c r="I2933" s="178"/>
      <c r="J2933" s="184"/>
      <c r="N2933" s="178"/>
      <c r="O2933" s="178"/>
      <c r="P2933" s="178"/>
    </row>
    <row r="2934" spans="8:16" ht="15.75" customHeight="1">
      <c r="H2934" s="178"/>
      <c r="I2934" s="178"/>
      <c r="J2934" s="184"/>
      <c r="N2934" s="178"/>
      <c r="O2934" s="178"/>
      <c r="P2934" s="178"/>
    </row>
    <row r="2935" spans="8:16" ht="15.75" customHeight="1">
      <c r="H2935" s="178"/>
      <c r="I2935" s="178"/>
      <c r="J2935" s="184"/>
      <c r="N2935" s="178"/>
      <c r="O2935" s="178"/>
      <c r="P2935" s="178"/>
    </row>
    <row r="2936" spans="8:16" ht="15.75" customHeight="1">
      <c r="H2936" s="178"/>
      <c r="I2936" s="178"/>
      <c r="J2936" s="184"/>
      <c r="N2936" s="178"/>
      <c r="O2936" s="178"/>
      <c r="P2936" s="178"/>
    </row>
    <row r="2937" spans="8:16" ht="15.75" customHeight="1">
      <c r="H2937" s="178"/>
      <c r="I2937" s="178"/>
      <c r="J2937" s="184"/>
      <c r="N2937" s="178"/>
      <c r="O2937" s="178"/>
      <c r="P2937" s="178"/>
    </row>
    <row r="2938" spans="8:16" ht="15.75" customHeight="1">
      <c r="H2938" s="178"/>
      <c r="I2938" s="178"/>
      <c r="J2938" s="184"/>
      <c r="N2938" s="178"/>
      <c r="O2938" s="178"/>
      <c r="P2938" s="178"/>
    </row>
    <row r="2939" spans="8:16" ht="15.75" customHeight="1">
      <c r="H2939" s="178"/>
      <c r="I2939" s="178"/>
      <c r="J2939" s="184"/>
      <c r="N2939" s="178"/>
      <c r="O2939" s="178"/>
      <c r="P2939" s="178"/>
    </row>
    <row r="2940" spans="8:16" ht="15.75" customHeight="1">
      <c r="H2940" s="178"/>
      <c r="I2940" s="178"/>
      <c r="J2940" s="184"/>
      <c r="N2940" s="178"/>
      <c r="O2940" s="178"/>
      <c r="P2940" s="178"/>
    </row>
    <row r="2941" spans="8:16" ht="15.75" customHeight="1">
      <c r="H2941" s="178"/>
      <c r="I2941" s="178"/>
      <c r="J2941" s="184"/>
      <c r="N2941" s="178"/>
      <c r="O2941" s="178"/>
      <c r="P2941" s="178"/>
    </row>
    <row r="2942" spans="8:16" ht="15.75" customHeight="1">
      <c r="H2942" s="178"/>
      <c r="I2942" s="178"/>
      <c r="J2942" s="184"/>
      <c r="N2942" s="178"/>
      <c r="O2942" s="178"/>
      <c r="P2942" s="178"/>
    </row>
    <row r="2943" spans="8:16" ht="15.75" customHeight="1">
      <c r="H2943" s="178"/>
      <c r="I2943" s="178"/>
      <c r="J2943" s="184"/>
      <c r="N2943" s="178"/>
      <c r="O2943" s="178"/>
      <c r="P2943" s="178"/>
    </row>
    <row r="2944" spans="8:16" ht="15.75" customHeight="1">
      <c r="H2944" s="178"/>
      <c r="I2944" s="178"/>
      <c r="J2944" s="184"/>
      <c r="N2944" s="178"/>
      <c r="O2944" s="178"/>
      <c r="P2944" s="178"/>
    </row>
    <row r="2945" spans="8:16" ht="15.75" customHeight="1">
      <c r="H2945" s="178"/>
      <c r="I2945" s="178"/>
      <c r="J2945" s="184"/>
      <c r="N2945" s="178"/>
      <c r="O2945" s="178"/>
      <c r="P2945" s="178"/>
    </row>
    <row r="2946" spans="8:16" ht="15.75" customHeight="1">
      <c r="H2946" s="178"/>
      <c r="I2946" s="178"/>
      <c r="J2946" s="184"/>
      <c r="N2946" s="178"/>
      <c r="O2946" s="178"/>
      <c r="P2946" s="178"/>
    </row>
    <row r="2947" spans="8:16" ht="15.75" customHeight="1">
      <c r="H2947" s="178"/>
      <c r="I2947" s="178"/>
      <c r="J2947" s="184"/>
      <c r="N2947" s="178"/>
      <c r="O2947" s="178"/>
      <c r="P2947" s="178"/>
    </row>
    <row r="2948" spans="8:16" ht="15.75" customHeight="1">
      <c r="H2948" s="178"/>
      <c r="I2948" s="178"/>
      <c r="J2948" s="184"/>
      <c r="N2948" s="178"/>
      <c r="O2948" s="178"/>
      <c r="P2948" s="178"/>
    </row>
    <row r="2949" spans="8:16" ht="15.75" customHeight="1">
      <c r="H2949" s="178"/>
      <c r="I2949" s="178"/>
      <c r="J2949" s="184"/>
      <c r="N2949" s="178"/>
      <c r="O2949" s="178"/>
      <c r="P2949" s="178"/>
    </row>
    <row r="2950" spans="8:16" ht="15.75" customHeight="1">
      <c r="H2950" s="178"/>
      <c r="I2950" s="178"/>
      <c r="J2950" s="184"/>
      <c r="N2950" s="178"/>
      <c r="O2950" s="178"/>
      <c r="P2950" s="178"/>
    </row>
    <row r="2951" spans="8:16" ht="15.75" customHeight="1">
      <c r="H2951" s="178"/>
      <c r="I2951" s="178"/>
      <c r="J2951" s="184"/>
      <c r="N2951" s="178"/>
      <c r="O2951" s="178"/>
      <c r="P2951" s="178"/>
    </row>
    <row r="2952" spans="8:16" ht="15.75" customHeight="1">
      <c r="H2952" s="178"/>
      <c r="I2952" s="178"/>
      <c r="J2952" s="184"/>
      <c r="N2952" s="178"/>
      <c r="O2952" s="178"/>
      <c r="P2952" s="178"/>
    </row>
    <row r="2953" spans="8:16" ht="15.75" customHeight="1">
      <c r="H2953" s="178"/>
      <c r="I2953" s="178"/>
      <c r="J2953" s="184"/>
      <c r="N2953" s="178"/>
      <c r="O2953" s="178"/>
      <c r="P2953" s="178"/>
    </row>
    <row r="2954" spans="8:16" ht="15.75" customHeight="1">
      <c r="H2954" s="178"/>
      <c r="I2954" s="178"/>
      <c r="J2954" s="184"/>
      <c r="N2954" s="178"/>
      <c r="O2954" s="178"/>
      <c r="P2954" s="178"/>
    </row>
    <row r="2955" spans="8:16" ht="15.75" customHeight="1">
      <c r="H2955" s="178"/>
      <c r="I2955" s="178"/>
      <c r="J2955" s="184"/>
      <c r="N2955" s="178"/>
      <c r="O2955" s="178"/>
      <c r="P2955" s="178"/>
    </row>
    <row r="2956" spans="8:16" ht="15.75" customHeight="1">
      <c r="H2956" s="178"/>
      <c r="I2956" s="178"/>
      <c r="J2956" s="184"/>
      <c r="N2956" s="178"/>
      <c r="O2956" s="178"/>
      <c r="P2956" s="178"/>
    </row>
    <row r="2957" spans="8:16" ht="15.75" customHeight="1">
      <c r="H2957" s="178"/>
      <c r="I2957" s="178"/>
      <c r="J2957" s="184"/>
      <c r="N2957" s="178"/>
      <c r="O2957" s="178"/>
      <c r="P2957" s="178"/>
    </row>
    <row r="2958" spans="8:16" ht="15.75" customHeight="1">
      <c r="H2958" s="178"/>
      <c r="I2958" s="178"/>
      <c r="J2958" s="184"/>
      <c r="N2958" s="178"/>
      <c r="O2958" s="178"/>
      <c r="P2958" s="178"/>
    </row>
    <row r="2959" spans="8:16" ht="15.75" customHeight="1">
      <c r="H2959" s="178"/>
      <c r="I2959" s="178"/>
      <c r="J2959" s="184"/>
      <c r="N2959" s="178"/>
      <c r="O2959" s="178"/>
      <c r="P2959" s="178"/>
    </row>
    <row r="2960" spans="8:16" ht="15.75" customHeight="1">
      <c r="H2960" s="178"/>
      <c r="I2960" s="178"/>
      <c r="J2960" s="184"/>
      <c r="N2960" s="178"/>
      <c r="O2960" s="178"/>
      <c r="P2960" s="178"/>
    </row>
    <row r="2961" spans="8:16" ht="15.75" customHeight="1">
      <c r="H2961" s="178"/>
      <c r="I2961" s="178"/>
      <c r="J2961" s="184"/>
      <c r="N2961" s="178"/>
      <c r="O2961" s="178"/>
      <c r="P2961" s="178"/>
    </row>
    <row r="2962" spans="8:16" ht="15.75" customHeight="1">
      <c r="H2962" s="178"/>
      <c r="I2962" s="178"/>
      <c r="J2962" s="184"/>
      <c r="N2962" s="178"/>
      <c r="O2962" s="178"/>
      <c r="P2962" s="178"/>
    </row>
    <row r="2963" spans="8:16" ht="15.75" customHeight="1">
      <c r="H2963" s="178"/>
      <c r="I2963" s="178"/>
      <c r="J2963" s="184"/>
      <c r="N2963" s="178"/>
      <c r="O2963" s="178"/>
      <c r="P2963" s="178"/>
    </row>
    <row r="2964" spans="8:16" ht="15.75" customHeight="1">
      <c r="H2964" s="178"/>
      <c r="I2964" s="178"/>
      <c r="J2964" s="184"/>
      <c r="N2964" s="178"/>
      <c r="O2964" s="178"/>
      <c r="P2964" s="178"/>
    </row>
    <row r="2965" spans="8:16" ht="15.75" customHeight="1">
      <c r="H2965" s="178"/>
      <c r="I2965" s="178"/>
      <c r="J2965" s="184"/>
      <c r="N2965" s="178"/>
      <c r="O2965" s="178"/>
      <c r="P2965" s="178"/>
    </row>
    <row r="2966" spans="8:16" ht="15.75" customHeight="1">
      <c r="H2966" s="178"/>
      <c r="I2966" s="178"/>
      <c r="J2966" s="184"/>
      <c r="N2966" s="178"/>
      <c r="O2966" s="178"/>
      <c r="P2966" s="178"/>
    </row>
    <row r="2967" spans="8:16" ht="15.75" customHeight="1">
      <c r="H2967" s="178"/>
      <c r="I2967" s="178"/>
      <c r="J2967" s="184"/>
      <c r="N2967" s="178"/>
      <c r="O2967" s="178"/>
      <c r="P2967" s="178"/>
    </row>
    <row r="2968" spans="8:16" ht="15.75" customHeight="1">
      <c r="H2968" s="178"/>
      <c r="I2968" s="178"/>
      <c r="J2968" s="184"/>
      <c r="N2968" s="178"/>
      <c r="O2968" s="178"/>
      <c r="P2968" s="178"/>
    </row>
    <row r="2969" spans="8:16" ht="15.75" customHeight="1">
      <c r="H2969" s="178"/>
      <c r="I2969" s="178"/>
      <c r="J2969" s="184"/>
      <c r="N2969" s="178"/>
      <c r="O2969" s="178"/>
      <c r="P2969" s="178"/>
    </row>
    <row r="2970" spans="8:16" ht="15.75" customHeight="1">
      <c r="H2970" s="178"/>
      <c r="I2970" s="178"/>
      <c r="J2970" s="184"/>
      <c r="N2970" s="178"/>
      <c r="O2970" s="178"/>
      <c r="P2970" s="178"/>
    </row>
    <row r="2971" spans="8:16" ht="15.75" customHeight="1">
      <c r="H2971" s="178"/>
      <c r="I2971" s="178"/>
      <c r="J2971" s="184"/>
      <c r="N2971" s="178"/>
      <c r="O2971" s="178"/>
      <c r="P2971" s="178"/>
    </row>
    <row r="2972" spans="8:16" ht="15.75" customHeight="1">
      <c r="H2972" s="178"/>
      <c r="I2972" s="178"/>
      <c r="J2972" s="184"/>
      <c r="N2972" s="178"/>
      <c r="O2972" s="178"/>
      <c r="P2972" s="178"/>
    </row>
    <row r="2973" spans="8:16" ht="15.75" customHeight="1">
      <c r="H2973" s="178"/>
      <c r="I2973" s="178"/>
      <c r="J2973" s="184"/>
      <c r="N2973" s="178"/>
      <c r="O2973" s="178"/>
      <c r="P2973" s="178"/>
    </row>
    <row r="2974" spans="8:16" ht="15.75" customHeight="1">
      <c r="H2974" s="178"/>
      <c r="I2974" s="178"/>
      <c r="J2974" s="184"/>
      <c r="N2974" s="178"/>
      <c r="O2974" s="178"/>
      <c r="P2974" s="178"/>
    </row>
    <row r="2975" spans="8:16" ht="15.75" customHeight="1">
      <c r="H2975" s="178"/>
      <c r="I2975" s="178"/>
      <c r="J2975" s="184"/>
      <c r="N2975" s="178"/>
      <c r="O2975" s="178"/>
      <c r="P2975" s="178"/>
    </row>
    <row r="2976" spans="8:16" ht="15.75" customHeight="1">
      <c r="H2976" s="178"/>
      <c r="I2976" s="178"/>
      <c r="J2976" s="184"/>
      <c r="N2976" s="178"/>
      <c r="O2976" s="178"/>
      <c r="P2976" s="178"/>
    </row>
    <row r="2977" spans="8:16" ht="15.75" customHeight="1">
      <c r="H2977" s="178"/>
      <c r="I2977" s="178"/>
      <c r="J2977" s="184"/>
      <c r="N2977" s="178"/>
      <c r="O2977" s="178"/>
      <c r="P2977" s="178"/>
    </row>
    <row r="2978" spans="8:16" ht="15.75" customHeight="1">
      <c r="H2978" s="178"/>
      <c r="I2978" s="178"/>
      <c r="J2978" s="184"/>
      <c r="N2978" s="178"/>
      <c r="O2978" s="178"/>
      <c r="P2978" s="178"/>
    </row>
    <row r="2979" spans="8:16" ht="15.75" customHeight="1">
      <c r="H2979" s="178"/>
      <c r="I2979" s="178"/>
      <c r="J2979" s="184"/>
      <c r="N2979" s="178"/>
      <c r="O2979" s="178"/>
      <c r="P2979" s="178"/>
    </row>
    <row r="2980" spans="8:16" ht="15.75" customHeight="1">
      <c r="H2980" s="178"/>
      <c r="I2980" s="178"/>
      <c r="J2980" s="184"/>
      <c r="N2980" s="178"/>
      <c r="O2980" s="178"/>
      <c r="P2980" s="178"/>
    </row>
    <row r="2981" spans="8:16" ht="15.75" customHeight="1">
      <c r="H2981" s="178"/>
      <c r="I2981" s="178"/>
      <c r="J2981" s="184"/>
      <c r="N2981" s="178"/>
      <c r="O2981" s="178"/>
      <c r="P2981" s="178"/>
    </row>
    <row r="2982" spans="8:16" ht="15.75" customHeight="1">
      <c r="H2982" s="178"/>
      <c r="I2982" s="178"/>
      <c r="J2982" s="184"/>
      <c r="N2982" s="178"/>
      <c r="O2982" s="178"/>
      <c r="P2982" s="178"/>
    </row>
    <row r="2983" spans="8:16" ht="15.75" customHeight="1">
      <c r="H2983" s="178"/>
      <c r="I2983" s="178"/>
      <c r="J2983" s="184"/>
      <c r="N2983" s="178"/>
      <c r="O2983" s="178"/>
      <c r="P2983" s="178"/>
    </row>
    <row r="2984" spans="8:16" ht="15.75" customHeight="1">
      <c r="H2984" s="178"/>
      <c r="I2984" s="178"/>
      <c r="J2984" s="184"/>
      <c r="N2984" s="178"/>
      <c r="O2984" s="178"/>
      <c r="P2984" s="178"/>
    </row>
    <row r="2985" spans="8:16" ht="15.75" customHeight="1">
      <c r="H2985" s="178"/>
      <c r="I2985" s="178"/>
      <c r="J2985" s="184"/>
      <c r="N2985" s="178"/>
      <c r="O2985" s="178"/>
      <c r="P2985" s="178"/>
    </row>
    <row r="2986" spans="8:16" ht="15.75" customHeight="1">
      <c r="H2986" s="178"/>
      <c r="I2986" s="178"/>
      <c r="J2986" s="184"/>
      <c r="N2986" s="178"/>
      <c r="O2986" s="178"/>
      <c r="P2986" s="178"/>
    </row>
    <row r="2987" spans="8:16" ht="15.75" customHeight="1">
      <c r="H2987" s="178"/>
      <c r="I2987" s="178"/>
      <c r="J2987" s="184"/>
      <c r="N2987" s="178"/>
      <c r="O2987" s="178"/>
      <c r="P2987" s="178"/>
    </row>
    <row r="2988" spans="8:16" ht="15.75" customHeight="1">
      <c r="H2988" s="178"/>
      <c r="I2988" s="178"/>
      <c r="J2988" s="184"/>
      <c r="N2988" s="178"/>
      <c r="O2988" s="178"/>
      <c r="P2988" s="178"/>
    </row>
    <row r="2989" spans="8:16" ht="15.75" customHeight="1">
      <c r="H2989" s="178"/>
      <c r="I2989" s="178"/>
      <c r="J2989" s="184"/>
      <c r="N2989" s="178"/>
      <c r="O2989" s="178"/>
      <c r="P2989" s="178"/>
    </row>
    <row r="2990" spans="8:16" ht="15.75" customHeight="1">
      <c r="H2990" s="178"/>
      <c r="I2990" s="178"/>
      <c r="J2990" s="184"/>
      <c r="N2990" s="178"/>
      <c r="O2990" s="178"/>
      <c r="P2990" s="178"/>
    </row>
    <row r="2991" spans="8:16" ht="15.75" customHeight="1">
      <c r="H2991" s="178"/>
      <c r="I2991" s="178"/>
      <c r="J2991" s="184"/>
      <c r="N2991" s="178"/>
      <c r="O2991" s="178"/>
      <c r="P2991" s="178"/>
    </row>
    <row r="2992" spans="8:16" ht="15.75" customHeight="1">
      <c r="H2992" s="178"/>
      <c r="I2992" s="178"/>
      <c r="J2992" s="184"/>
      <c r="N2992" s="178"/>
      <c r="O2992" s="178"/>
      <c r="P2992" s="178"/>
    </row>
    <row r="2993" spans="8:16" ht="15.75" customHeight="1">
      <c r="H2993" s="178"/>
      <c r="I2993" s="178"/>
      <c r="J2993" s="184"/>
      <c r="N2993" s="178"/>
      <c r="O2993" s="178"/>
      <c r="P2993" s="178"/>
    </row>
    <row r="2994" spans="8:16" ht="15.75" customHeight="1">
      <c r="H2994" s="178"/>
      <c r="I2994" s="178"/>
      <c r="J2994" s="184"/>
      <c r="N2994" s="178"/>
      <c r="O2994" s="178"/>
      <c r="P2994" s="178"/>
    </row>
    <row r="2995" spans="8:16" ht="15.75" customHeight="1">
      <c r="H2995" s="178"/>
      <c r="I2995" s="178"/>
      <c r="J2995" s="184"/>
      <c r="N2995" s="178"/>
      <c r="O2995" s="178"/>
      <c r="P2995" s="178"/>
    </row>
    <row r="2996" spans="8:16" ht="15.75" customHeight="1">
      <c r="H2996" s="178"/>
      <c r="I2996" s="178"/>
      <c r="J2996" s="184"/>
      <c r="N2996" s="178"/>
      <c r="O2996" s="178"/>
      <c r="P2996" s="178"/>
    </row>
    <row r="2997" spans="8:16" ht="15.75" customHeight="1">
      <c r="H2997" s="178"/>
      <c r="I2997" s="178"/>
      <c r="J2997" s="184"/>
      <c r="N2997" s="178"/>
      <c r="O2997" s="178"/>
      <c r="P2997" s="178"/>
    </row>
    <row r="2998" spans="8:16" ht="15.75" customHeight="1">
      <c r="H2998" s="178"/>
      <c r="I2998" s="178"/>
      <c r="J2998" s="184"/>
      <c r="N2998" s="178"/>
      <c r="O2998" s="178"/>
      <c r="P2998" s="178"/>
    </row>
    <row r="2999" spans="8:16" ht="15.75" customHeight="1">
      <c r="H2999" s="178"/>
      <c r="I2999" s="178"/>
      <c r="J2999" s="184"/>
      <c r="N2999" s="178"/>
      <c r="O2999" s="178"/>
      <c r="P2999" s="178"/>
    </row>
    <row r="3000" spans="8:16" ht="15.75" customHeight="1">
      <c r="H3000" s="178"/>
      <c r="I3000" s="178"/>
      <c r="J3000" s="184"/>
      <c r="N3000" s="178"/>
      <c r="O3000" s="178"/>
      <c r="P3000" s="178"/>
    </row>
    <row r="3001" spans="8:16" ht="15.75" customHeight="1">
      <c r="H3001" s="178"/>
      <c r="I3001" s="178"/>
      <c r="J3001" s="184"/>
      <c r="N3001" s="178"/>
      <c r="O3001" s="178"/>
      <c r="P3001" s="178"/>
    </row>
    <row r="3002" spans="8:16" ht="15.75" customHeight="1">
      <c r="H3002" s="178"/>
      <c r="I3002" s="178"/>
      <c r="J3002" s="184"/>
      <c r="N3002" s="178"/>
      <c r="O3002" s="178"/>
      <c r="P3002" s="178"/>
    </row>
    <row r="3003" spans="8:16" ht="15.75" customHeight="1">
      <c r="H3003" s="178"/>
      <c r="I3003" s="178"/>
      <c r="J3003" s="184"/>
      <c r="N3003" s="178"/>
      <c r="O3003" s="178"/>
      <c r="P3003" s="178"/>
    </row>
    <row r="3004" spans="8:16" ht="15.75" customHeight="1">
      <c r="H3004" s="178"/>
      <c r="I3004" s="178"/>
      <c r="J3004" s="184"/>
      <c r="N3004" s="178"/>
      <c r="O3004" s="178"/>
      <c r="P3004" s="178"/>
    </row>
    <row r="3005" spans="8:16" ht="15.75" customHeight="1">
      <c r="H3005" s="178"/>
      <c r="I3005" s="178"/>
      <c r="J3005" s="184"/>
      <c r="N3005" s="178"/>
      <c r="O3005" s="178"/>
      <c r="P3005" s="178"/>
    </row>
    <row r="3006" spans="8:16" ht="15.75" customHeight="1">
      <c r="H3006" s="178"/>
      <c r="I3006" s="178"/>
      <c r="J3006" s="184"/>
      <c r="N3006" s="178"/>
      <c r="O3006" s="178"/>
      <c r="P3006" s="178"/>
    </row>
    <row r="3007" spans="8:16" ht="15.75" customHeight="1">
      <c r="H3007" s="178"/>
      <c r="I3007" s="178"/>
      <c r="J3007" s="184"/>
      <c r="N3007" s="178"/>
      <c r="O3007" s="178"/>
      <c r="P3007" s="178"/>
    </row>
    <row r="3008" spans="8:16" ht="15.75" customHeight="1">
      <c r="H3008" s="178"/>
      <c r="I3008" s="178"/>
      <c r="J3008" s="184"/>
      <c r="N3008" s="178"/>
      <c r="O3008" s="178"/>
      <c r="P3008" s="178"/>
    </row>
    <row r="3009" spans="8:16" ht="15.75" customHeight="1">
      <c r="H3009" s="178"/>
      <c r="I3009" s="178"/>
      <c r="J3009" s="184"/>
      <c r="N3009" s="178"/>
      <c r="O3009" s="178"/>
      <c r="P3009" s="178"/>
    </row>
    <row r="3010" spans="8:16" ht="15.75" customHeight="1">
      <c r="H3010" s="178"/>
      <c r="I3010" s="178"/>
      <c r="J3010" s="184"/>
      <c r="N3010" s="178"/>
      <c r="O3010" s="178"/>
      <c r="P3010" s="178"/>
    </row>
    <row r="3011" spans="8:16" ht="15.75" customHeight="1">
      <c r="H3011" s="178"/>
      <c r="I3011" s="178"/>
      <c r="J3011" s="184"/>
      <c r="N3011" s="178"/>
      <c r="O3011" s="178"/>
      <c r="P3011" s="178"/>
    </row>
    <row r="3012" spans="8:16" ht="15.75" customHeight="1">
      <c r="H3012" s="178"/>
      <c r="I3012" s="178"/>
      <c r="J3012" s="184"/>
      <c r="N3012" s="178"/>
      <c r="O3012" s="178"/>
      <c r="P3012" s="178"/>
    </row>
    <row r="3013" spans="8:16" ht="15.75" customHeight="1">
      <c r="H3013" s="178"/>
      <c r="I3013" s="178"/>
      <c r="J3013" s="184"/>
      <c r="N3013" s="178"/>
      <c r="O3013" s="178"/>
      <c r="P3013" s="178"/>
    </row>
    <row r="3014" spans="8:16" ht="15.75" customHeight="1">
      <c r="H3014" s="178"/>
      <c r="I3014" s="178"/>
      <c r="J3014" s="184"/>
      <c r="N3014" s="178"/>
      <c r="O3014" s="178"/>
      <c r="P3014" s="178"/>
    </row>
    <row r="3015" spans="8:16" ht="15.75" customHeight="1">
      <c r="H3015" s="178"/>
      <c r="I3015" s="178"/>
      <c r="J3015" s="184"/>
      <c r="N3015" s="178"/>
      <c r="O3015" s="178"/>
      <c r="P3015" s="178"/>
    </row>
    <row r="3016" spans="8:16" ht="15.75" customHeight="1">
      <c r="H3016" s="178"/>
      <c r="I3016" s="178"/>
      <c r="J3016" s="184"/>
      <c r="N3016" s="178"/>
      <c r="O3016" s="178"/>
      <c r="P3016" s="178"/>
    </row>
    <row r="3017" spans="8:16" ht="15.75" customHeight="1">
      <c r="H3017" s="178"/>
      <c r="I3017" s="178"/>
      <c r="J3017" s="184"/>
      <c r="N3017" s="178"/>
      <c r="O3017" s="178"/>
      <c r="P3017" s="178"/>
    </row>
    <row r="3018" spans="8:16" ht="15.75" customHeight="1">
      <c r="H3018" s="178"/>
      <c r="I3018" s="178"/>
      <c r="J3018" s="184"/>
      <c r="N3018" s="178"/>
      <c r="O3018" s="178"/>
      <c r="P3018" s="178"/>
    </row>
    <row r="3019" spans="8:16" ht="15.75" customHeight="1">
      <c r="H3019" s="178"/>
      <c r="I3019" s="178"/>
      <c r="J3019" s="184"/>
      <c r="N3019" s="178"/>
      <c r="O3019" s="178"/>
      <c r="P3019" s="178"/>
    </row>
    <row r="3020" spans="8:16" ht="15.75" customHeight="1">
      <c r="H3020" s="178"/>
      <c r="I3020" s="178"/>
      <c r="J3020" s="184"/>
      <c r="N3020" s="178"/>
      <c r="O3020" s="178"/>
      <c r="P3020" s="178"/>
    </row>
    <row r="3021" spans="8:16" ht="15.75" customHeight="1">
      <c r="H3021" s="178"/>
      <c r="I3021" s="178"/>
      <c r="J3021" s="184"/>
      <c r="N3021" s="178"/>
      <c r="O3021" s="178"/>
      <c r="P3021" s="178"/>
    </row>
    <row r="3022" spans="8:16" ht="15.75" customHeight="1">
      <c r="H3022" s="178"/>
      <c r="I3022" s="178"/>
      <c r="J3022" s="184"/>
      <c r="N3022" s="178"/>
      <c r="O3022" s="178"/>
      <c r="P3022" s="178"/>
    </row>
    <row r="3023" spans="8:16" ht="15.75" customHeight="1">
      <c r="H3023" s="178"/>
      <c r="I3023" s="178"/>
      <c r="J3023" s="184"/>
      <c r="N3023" s="178"/>
      <c r="O3023" s="178"/>
      <c r="P3023" s="178"/>
    </row>
    <row r="3024" spans="8:16" ht="15.75" customHeight="1">
      <c r="H3024" s="178"/>
      <c r="I3024" s="178"/>
      <c r="J3024" s="184"/>
      <c r="N3024" s="178"/>
      <c r="O3024" s="178"/>
      <c r="P3024" s="178"/>
    </row>
    <row r="3025" spans="8:16" ht="15.75" customHeight="1">
      <c r="H3025" s="178"/>
      <c r="I3025" s="178"/>
      <c r="J3025" s="184"/>
      <c r="N3025" s="178"/>
      <c r="O3025" s="178"/>
      <c r="P3025" s="178"/>
    </row>
    <row r="3026" spans="8:16" ht="15.75" customHeight="1">
      <c r="H3026" s="178"/>
      <c r="I3026" s="178"/>
      <c r="J3026" s="184"/>
      <c r="N3026" s="178"/>
      <c r="O3026" s="178"/>
      <c r="P3026" s="178"/>
    </row>
    <row r="3027" spans="8:16" ht="15.75" customHeight="1">
      <c r="H3027" s="178"/>
      <c r="I3027" s="178"/>
      <c r="J3027" s="184"/>
      <c r="N3027" s="178"/>
      <c r="O3027" s="178"/>
      <c r="P3027" s="178"/>
    </row>
    <row r="3028" spans="8:16" ht="15.75" customHeight="1">
      <c r="H3028" s="178"/>
      <c r="I3028" s="178"/>
      <c r="J3028" s="184"/>
      <c r="N3028" s="178"/>
      <c r="O3028" s="178"/>
      <c r="P3028" s="178"/>
    </row>
    <row r="3029" spans="8:16" ht="15.75" customHeight="1">
      <c r="H3029" s="178"/>
      <c r="I3029" s="178"/>
      <c r="J3029" s="184"/>
      <c r="N3029" s="178"/>
      <c r="O3029" s="178"/>
      <c r="P3029" s="178"/>
    </row>
    <row r="3030" spans="8:16" ht="15.75" customHeight="1">
      <c r="H3030" s="178"/>
      <c r="I3030" s="178"/>
      <c r="J3030" s="184"/>
      <c r="N3030" s="178"/>
      <c r="O3030" s="178"/>
      <c r="P3030" s="178"/>
    </row>
    <row r="3031" spans="8:16" ht="15.75" customHeight="1">
      <c r="H3031" s="178"/>
      <c r="I3031" s="178"/>
      <c r="J3031" s="184"/>
      <c r="N3031" s="178"/>
      <c r="O3031" s="178"/>
      <c r="P3031" s="178"/>
    </row>
    <row r="3032" spans="8:16" ht="15.75" customHeight="1">
      <c r="H3032" s="178"/>
      <c r="I3032" s="178"/>
      <c r="J3032" s="184"/>
      <c r="N3032" s="178"/>
      <c r="O3032" s="178"/>
      <c r="P3032" s="178"/>
    </row>
    <row r="3033" spans="8:16" ht="15.75" customHeight="1">
      <c r="H3033" s="178"/>
      <c r="I3033" s="178"/>
      <c r="J3033" s="184"/>
      <c r="N3033" s="178"/>
      <c r="O3033" s="178"/>
      <c r="P3033" s="178"/>
    </row>
    <row r="3034" spans="8:16" ht="15.75" customHeight="1">
      <c r="H3034" s="178"/>
      <c r="I3034" s="178"/>
      <c r="J3034" s="184"/>
      <c r="N3034" s="178"/>
      <c r="O3034" s="178"/>
      <c r="P3034" s="178"/>
    </row>
    <row r="3035" spans="8:16" ht="15.75" customHeight="1">
      <c r="H3035" s="178"/>
      <c r="I3035" s="178"/>
      <c r="J3035" s="184"/>
      <c r="N3035" s="178"/>
      <c r="O3035" s="178"/>
      <c r="P3035" s="178"/>
    </row>
    <row r="3036" spans="8:16" ht="15.75" customHeight="1">
      <c r="H3036" s="178"/>
      <c r="I3036" s="178"/>
      <c r="J3036" s="184"/>
      <c r="N3036" s="178"/>
      <c r="O3036" s="178"/>
      <c r="P3036" s="178"/>
    </row>
    <row r="3037" spans="8:16" ht="15.75" customHeight="1">
      <c r="H3037" s="178"/>
      <c r="I3037" s="178"/>
      <c r="J3037" s="184"/>
      <c r="N3037" s="178"/>
      <c r="O3037" s="178"/>
      <c r="P3037" s="178"/>
    </row>
    <row r="3038" spans="8:16" ht="15.75" customHeight="1">
      <c r="H3038" s="178"/>
      <c r="I3038" s="178"/>
      <c r="J3038" s="184"/>
      <c r="N3038" s="178"/>
      <c r="O3038" s="178"/>
      <c r="P3038" s="178"/>
    </row>
    <row r="3039" spans="8:16" ht="15.75" customHeight="1">
      <c r="H3039" s="178"/>
      <c r="I3039" s="178"/>
      <c r="J3039" s="184"/>
      <c r="N3039" s="178"/>
      <c r="O3039" s="178"/>
      <c r="P3039" s="178"/>
    </row>
    <row r="3040" spans="8:16" ht="15.75" customHeight="1">
      <c r="H3040" s="178"/>
      <c r="I3040" s="178"/>
      <c r="J3040" s="184"/>
      <c r="N3040" s="178"/>
      <c r="O3040" s="178"/>
      <c r="P3040" s="178"/>
    </row>
    <row r="3041" spans="8:16" ht="15.75" customHeight="1">
      <c r="H3041" s="178"/>
      <c r="I3041" s="178"/>
      <c r="J3041" s="184"/>
      <c r="N3041" s="178"/>
      <c r="O3041" s="178"/>
      <c r="P3041" s="178"/>
    </row>
    <row r="3042" spans="8:16" ht="15.75" customHeight="1">
      <c r="H3042" s="178"/>
      <c r="I3042" s="178"/>
      <c r="J3042" s="184"/>
      <c r="N3042" s="178"/>
      <c r="O3042" s="178"/>
      <c r="P3042" s="178"/>
    </row>
    <row r="3043" spans="8:16" ht="15.75" customHeight="1">
      <c r="H3043" s="178"/>
      <c r="I3043" s="178"/>
      <c r="J3043" s="184"/>
      <c r="N3043" s="178"/>
      <c r="O3043" s="178"/>
      <c r="P3043" s="178"/>
    </row>
    <row r="3044" spans="8:16" ht="15.75" customHeight="1">
      <c r="H3044" s="178"/>
      <c r="I3044" s="178"/>
      <c r="J3044" s="184"/>
      <c r="N3044" s="178"/>
      <c r="O3044" s="178"/>
      <c r="P3044" s="178"/>
    </row>
    <row r="3045" spans="8:16" ht="15.75" customHeight="1">
      <c r="H3045" s="178"/>
      <c r="I3045" s="178"/>
      <c r="J3045" s="184"/>
      <c r="N3045" s="178"/>
      <c r="O3045" s="178"/>
      <c r="P3045" s="178"/>
    </row>
    <row r="3046" spans="8:16" ht="15.75" customHeight="1">
      <c r="H3046" s="178"/>
      <c r="I3046" s="178"/>
      <c r="J3046" s="184"/>
      <c r="N3046" s="178"/>
      <c r="O3046" s="178"/>
      <c r="P3046" s="178"/>
    </row>
    <row r="3047" spans="8:16" ht="15.75" customHeight="1">
      <c r="H3047" s="178"/>
      <c r="I3047" s="178"/>
      <c r="J3047" s="184"/>
      <c r="N3047" s="178"/>
      <c r="O3047" s="178"/>
      <c r="P3047" s="178"/>
    </row>
    <row r="3048" spans="8:16" ht="15.75" customHeight="1">
      <c r="H3048" s="178"/>
      <c r="I3048" s="178"/>
      <c r="J3048" s="184"/>
      <c r="N3048" s="178"/>
      <c r="O3048" s="178"/>
      <c r="P3048" s="178"/>
    </row>
    <row r="3049" spans="8:16" ht="15.75" customHeight="1">
      <c r="H3049" s="178"/>
      <c r="I3049" s="178"/>
      <c r="J3049" s="184"/>
      <c r="N3049" s="178"/>
      <c r="O3049" s="178"/>
      <c r="P3049" s="178"/>
    </row>
    <row r="3050" spans="8:16" ht="15.75" customHeight="1">
      <c r="H3050" s="178"/>
      <c r="I3050" s="178"/>
      <c r="J3050" s="184"/>
      <c r="N3050" s="178"/>
      <c r="O3050" s="178"/>
      <c r="P3050" s="178"/>
    </row>
    <row r="3051" spans="8:16" ht="15.75" customHeight="1">
      <c r="H3051" s="178"/>
      <c r="I3051" s="178"/>
      <c r="J3051" s="184"/>
      <c r="N3051" s="178"/>
      <c r="O3051" s="178"/>
      <c r="P3051" s="178"/>
    </row>
    <row r="3052" spans="8:16" ht="15.75" customHeight="1">
      <c r="H3052" s="178"/>
      <c r="I3052" s="178"/>
      <c r="J3052" s="184"/>
      <c r="N3052" s="178"/>
      <c r="O3052" s="178"/>
      <c r="P3052" s="178"/>
    </row>
    <row r="3053" spans="8:16" ht="15.75" customHeight="1">
      <c r="H3053" s="178"/>
      <c r="I3053" s="178"/>
      <c r="J3053" s="184"/>
      <c r="N3053" s="178"/>
      <c r="O3053" s="178"/>
      <c r="P3053" s="178"/>
    </row>
    <row r="3054" spans="8:16" ht="15.75" customHeight="1">
      <c r="H3054" s="178"/>
      <c r="I3054" s="178"/>
      <c r="J3054" s="184"/>
      <c r="N3054" s="178"/>
      <c r="O3054" s="178"/>
      <c r="P3054" s="178"/>
    </row>
    <row r="3055" spans="8:16" ht="15.75" customHeight="1">
      <c r="H3055" s="178"/>
      <c r="I3055" s="178"/>
      <c r="J3055" s="184"/>
      <c r="N3055" s="178"/>
      <c r="O3055" s="178"/>
      <c r="P3055" s="178"/>
    </row>
    <row r="3056" spans="8:16" ht="15.75" customHeight="1">
      <c r="H3056" s="178"/>
      <c r="I3056" s="178"/>
      <c r="J3056" s="184"/>
      <c r="N3056" s="178"/>
      <c r="O3056" s="178"/>
      <c r="P3056" s="178"/>
    </row>
    <row r="3057" spans="8:16" ht="15.75" customHeight="1">
      <c r="H3057" s="178"/>
      <c r="I3057" s="178"/>
      <c r="J3057" s="184"/>
      <c r="N3057" s="178"/>
      <c r="O3057" s="178"/>
      <c r="P3057" s="178"/>
    </row>
    <row r="3058" spans="8:16" ht="15.75" customHeight="1">
      <c r="H3058" s="178"/>
      <c r="I3058" s="178"/>
      <c r="J3058" s="184"/>
      <c r="N3058" s="178"/>
      <c r="O3058" s="178"/>
      <c r="P3058" s="178"/>
    </row>
    <row r="3059" spans="8:16" ht="15.75" customHeight="1">
      <c r="H3059" s="178"/>
      <c r="I3059" s="178"/>
      <c r="J3059" s="184"/>
      <c r="N3059" s="178"/>
      <c r="O3059" s="178"/>
      <c r="P3059" s="178"/>
    </row>
    <row r="3060" spans="8:16" ht="15.75" customHeight="1">
      <c r="H3060" s="178"/>
      <c r="I3060" s="178"/>
      <c r="J3060" s="184"/>
      <c r="N3060" s="178"/>
      <c r="O3060" s="178"/>
      <c r="P3060" s="178"/>
    </row>
    <row r="3061" spans="8:16" ht="15.75" customHeight="1">
      <c r="H3061" s="178"/>
      <c r="I3061" s="178"/>
      <c r="J3061" s="184"/>
      <c r="N3061" s="178"/>
      <c r="O3061" s="178"/>
      <c r="P3061" s="178"/>
    </row>
    <row r="3062" spans="8:16" ht="15.75" customHeight="1">
      <c r="H3062" s="178"/>
      <c r="I3062" s="178"/>
      <c r="J3062" s="184"/>
      <c r="N3062" s="178"/>
      <c r="O3062" s="178"/>
      <c r="P3062" s="178"/>
    </row>
    <row r="3063" spans="8:16" ht="15.75" customHeight="1">
      <c r="H3063" s="178"/>
      <c r="I3063" s="178"/>
      <c r="J3063" s="184"/>
      <c r="N3063" s="178"/>
      <c r="O3063" s="178"/>
      <c r="P3063" s="178"/>
    </row>
    <row r="3064" spans="8:16" ht="15.75" customHeight="1">
      <c r="H3064" s="178"/>
      <c r="I3064" s="178"/>
      <c r="J3064" s="184"/>
      <c r="N3064" s="178"/>
      <c r="O3064" s="178"/>
      <c r="P3064" s="178"/>
    </row>
    <row r="3065" spans="8:16" ht="15.75" customHeight="1">
      <c r="H3065" s="178"/>
      <c r="I3065" s="178"/>
      <c r="J3065" s="184"/>
      <c r="N3065" s="178"/>
      <c r="O3065" s="178"/>
      <c r="P3065" s="178"/>
    </row>
    <row r="3066" spans="8:16" ht="15.75" customHeight="1">
      <c r="H3066" s="178"/>
      <c r="I3066" s="178"/>
      <c r="J3066" s="184"/>
      <c r="N3066" s="178"/>
      <c r="O3066" s="178"/>
      <c r="P3066" s="178"/>
    </row>
    <row r="3067" spans="8:16" ht="15.75" customHeight="1">
      <c r="H3067" s="178"/>
      <c r="I3067" s="178"/>
      <c r="J3067" s="184"/>
      <c r="N3067" s="178"/>
      <c r="O3067" s="178"/>
      <c r="P3067" s="178"/>
    </row>
    <row r="3068" spans="8:16" ht="15.75" customHeight="1">
      <c r="H3068" s="178"/>
      <c r="I3068" s="178"/>
      <c r="J3068" s="184"/>
      <c r="N3068" s="178"/>
      <c r="O3068" s="178"/>
      <c r="P3068" s="178"/>
    </row>
    <row r="3069" spans="8:16" ht="15.75" customHeight="1">
      <c r="H3069" s="178"/>
      <c r="I3069" s="178"/>
      <c r="J3069" s="184"/>
      <c r="N3069" s="178"/>
      <c r="O3069" s="178"/>
      <c r="P3069" s="178"/>
    </row>
    <row r="3070" spans="8:16" ht="15.75" customHeight="1">
      <c r="H3070" s="178"/>
      <c r="I3070" s="178"/>
      <c r="J3070" s="184"/>
      <c r="N3070" s="178"/>
      <c r="O3070" s="178"/>
      <c r="P3070" s="178"/>
    </row>
    <row r="3071" spans="8:16" ht="15.75" customHeight="1">
      <c r="H3071" s="178"/>
      <c r="I3071" s="178"/>
      <c r="J3071" s="184"/>
      <c r="N3071" s="178"/>
      <c r="O3071" s="178"/>
      <c r="P3071" s="178"/>
    </row>
    <row r="3072" spans="8:16" ht="15.75" customHeight="1">
      <c r="H3072" s="178"/>
      <c r="I3072" s="178"/>
      <c r="J3072" s="184"/>
      <c r="N3072" s="178"/>
      <c r="O3072" s="178"/>
      <c r="P3072" s="178"/>
    </row>
    <row r="3073" spans="8:16" ht="15.75" customHeight="1">
      <c r="H3073" s="178"/>
      <c r="I3073" s="178"/>
      <c r="J3073" s="184"/>
      <c r="N3073" s="178"/>
      <c r="O3073" s="178"/>
      <c r="P3073" s="178"/>
    </row>
    <row r="3074" spans="8:16" ht="15.75" customHeight="1">
      <c r="H3074" s="178"/>
      <c r="I3074" s="178"/>
      <c r="J3074" s="184"/>
      <c r="N3074" s="178"/>
      <c r="O3074" s="178"/>
      <c r="P3074" s="178"/>
    </row>
    <row r="3075" spans="8:16" ht="15.75" customHeight="1">
      <c r="H3075" s="178"/>
      <c r="I3075" s="178"/>
      <c r="J3075" s="184"/>
      <c r="N3075" s="178"/>
      <c r="O3075" s="178"/>
      <c r="P3075" s="178"/>
    </row>
    <row r="3076" spans="8:16" ht="15.75" customHeight="1">
      <c r="H3076" s="178"/>
      <c r="I3076" s="178"/>
      <c r="J3076" s="184"/>
      <c r="N3076" s="178"/>
      <c r="O3076" s="178"/>
      <c r="P3076" s="178"/>
    </row>
    <row r="3077" spans="8:16" ht="15.75" customHeight="1">
      <c r="H3077" s="178"/>
      <c r="I3077" s="178"/>
      <c r="J3077" s="184"/>
      <c r="N3077" s="178"/>
      <c r="O3077" s="178"/>
      <c r="P3077" s="178"/>
    </row>
    <row r="3078" spans="8:16" ht="15.75" customHeight="1">
      <c r="H3078" s="178"/>
      <c r="I3078" s="178"/>
      <c r="J3078" s="184"/>
      <c r="N3078" s="178"/>
      <c r="O3078" s="178"/>
      <c r="P3078" s="178"/>
    </row>
    <row r="3079" spans="8:16" ht="15.75" customHeight="1">
      <c r="H3079" s="178"/>
      <c r="I3079" s="178"/>
      <c r="J3079" s="184"/>
      <c r="N3079" s="178"/>
      <c r="O3079" s="178"/>
      <c r="P3079" s="178"/>
    </row>
    <row r="3080" spans="8:16" ht="15.75" customHeight="1">
      <c r="H3080" s="178"/>
      <c r="I3080" s="178"/>
      <c r="J3080" s="184"/>
      <c r="N3080" s="178"/>
      <c r="O3080" s="178"/>
      <c r="P3080" s="178"/>
    </row>
    <row r="3081" spans="8:16" ht="15.75" customHeight="1">
      <c r="H3081" s="178"/>
      <c r="I3081" s="178"/>
      <c r="J3081" s="184"/>
      <c r="N3081" s="178"/>
      <c r="O3081" s="178"/>
      <c r="P3081" s="178"/>
    </row>
    <row r="3082" spans="8:16" ht="15.75" customHeight="1">
      <c r="H3082" s="178"/>
      <c r="I3082" s="178"/>
      <c r="J3082" s="184"/>
      <c r="N3082" s="178"/>
      <c r="O3082" s="178"/>
      <c r="P3082" s="178"/>
    </row>
    <row r="3083" spans="8:16" ht="15.75" customHeight="1">
      <c r="H3083" s="178"/>
      <c r="I3083" s="178"/>
      <c r="J3083" s="184"/>
      <c r="N3083" s="178"/>
      <c r="O3083" s="178"/>
      <c r="P3083" s="178"/>
    </row>
    <row r="3084" spans="8:16" ht="15.75" customHeight="1">
      <c r="H3084" s="178"/>
      <c r="I3084" s="178"/>
      <c r="J3084" s="184"/>
      <c r="N3084" s="178"/>
      <c r="O3084" s="178"/>
      <c r="P3084" s="178"/>
    </row>
    <row r="3085" spans="8:16" ht="15.75" customHeight="1">
      <c r="H3085" s="178"/>
      <c r="I3085" s="178"/>
      <c r="J3085" s="184"/>
      <c r="N3085" s="178"/>
      <c r="O3085" s="178"/>
      <c r="P3085" s="178"/>
    </row>
    <row r="3086" spans="8:16" ht="15.75" customHeight="1">
      <c r="H3086" s="178"/>
      <c r="I3086" s="178"/>
      <c r="J3086" s="184"/>
      <c r="N3086" s="178"/>
      <c r="O3086" s="178"/>
      <c r="P3086" s="178"/>
    </row>
    <row r="3087" spans="8:16" ht="15.75" customHeight="1">
      <c r="H3087" s="178"/>
      <c r="I3087" s="178"/>
      <c r="J3087" s="184"/>
      <c r="N3087" s="178"/>
      <c r="O3087" s="178"/>
      <c r="P3087" s="178"/>
    </row>
    <row r="3088" spans="8:16" ht="15.75" customHeight="1">
      <c r="H3088" s="178"/>
      <c r="I3088" s="178"/>
      <c r="J3088" s="184"/>
      <c r="N3088" s="178"/>
      <c r="O3088" s="178"/>
      <c r="P3088" s="178"/>
    </row>
    <row r="3089" spans="8:16" ht="15.75" customHeight="1">
      <c r="H3089" s="178"/>
      <c r="I3089" s="178"/>
      <c r="J3089" s="184"/>
      <c r="N3089" s="178"/>
      <c r="O3089" s="178"/>
      <c r="P3089" s="178"/>
    </row>
    <row r="3090" spans="8:16" ht="15.75" customHeight="1">
      <c r="H3090" s="178"/>
      <c r="I3090" s="178"/>
      <c r="J3090" s="184"/>
      <c r="N3090" s="178"/>
      <c r="O3090" s="178"/>
      <c r="P3090" s="178"/>
    </row>
    <row r="3091" spans="8:16" ht="15.75" customHeight="1">
      <c r="H3091" s="178"/>
      <c r="I3091" s="178"/>
      <c r="J3091" s="184"/>
      <c r="N3091" s="178"/>
      <c r="O3091" s="178"/>
      <c r="P3091" s="178"/>
    </row>
    <row r="3092" spans="8:16" ht="15.75" customHeight="1">
      <c r="H3092" s="178"/>
      <c r="I3092" s="178"/>
      <c r="J3092" s="184"/>
      <c r="N3092" s="178"/>
      <c r="O3092" s="178"/>
      <c r="P3092" s="178"/>
    </row>
    <row r="3093" spans="8:16" ht="15.75" customHeight="1">
      <c r="H3093" s="178"/>
      <c r="I3093" s="178"/>
      <c r="J3093" s="184"/>
      <c r="N3093" s="178"/>
      <c r="O3093" s="178"/>
      <c r="P3093" s="178"/>
    </row>
    <row r="3094" spans="8:16" ht="15.75" customHeight="1">
      <c r="H3094" s="178"/>
      <c r="I3094" s="178"/>
      <c r="J3094" s="184"/>
      <c r="N3094" s="178"/>
      <c r="O3094" s="178"/>
      <c r="P3094" s="178"/>
    </row>
    <row r="3095" spans="8:16" ht="15.75" customHeight="1">
      <c r="H3095" s="178"/>
      <c r="I3095" s="178"/>
      <c r="J3095" s="184"/>
      <c r="N3095" s="178"/>
      <c r="O3095" s="178"/>
      <c r="P3095" s="178"/>
    </row>
    <row r="3096" spans="8:16" ht="15.75" customHeight="1">
      <c r="H3096" s="178"/>
      <c r="I3096" s="178"/>
      <c r="J3096" s="184"/>
      <c r="N3096" s="178"/>
      <c r="O3096" s="178"/>
      <c r="P3096" s="178"/>
    </row>
    <row r="3097" spans="8:16" ht="15.75" customHeight="1">
      <c r="H3097" s="178"/>
      <c r="I3097" s="178"/>
      <c r="J3097" s="184"/>
      <c r="N3097" s="178"/>
      <c r="O3097" s="178"/>
      <c r="P3097" s="178"/>
    </row>
    <row r="3098" spans="8:16" ht="15.75" customHeight="1">
      <c r="H3098" s="178"/>
      <c r="I3098" s="178"/>
      <c r="J3098" s="184"/>
      <c r="N3098" s="178"/>
      <c r="O3098" s="178"/>
      <c r="P3098" s="178"/>
    </row>
    <row r="3099" spans="8:16" ht="15.75" customHeight="1">
      <c r="H3099" s="178"/>
      <c r="I3099" s="178"/>
      <c r="J3099" s="184"/>
      <c r="N3099" s="178"/>
      <c r="O3099" s="178"/>
      <c r="P3099" s="178"/>
    </row>
    <row r="3100" spans="8:16" ht="15.75" customHeight="1">
      <c r="H3100" s="178"/>
      <c r="I3100" s="178"/>
      <c r="J3100" s="184"/>
      <c r="N3100" s="178"/>
      <c r="O3100" s="178"/>
      <c r="P3100" s="178"/>
    </row>
    <row r="3101" spans="8:16" ht="15.75" customHeight="1">
      <c r="H3101" s="178"/>
      <c r="I3101" s="178"/>
      <c r="J3101" s="184"/>
      <c r="N3101" s="178"/>
      <c r="O3101" s="178"/>
      <c r="P3101" s="178"/>
    </row>
    <row r="3102" spans="8:16" ht="15.75" customHeight="1">
      <c r="H3102" s="178"/>
      <c r="I3102" s="178"/>
      <c r="J3102" s="184"/>
      <c r="N3102" s="178"/>
      <c r="O3102" s="178"/>
      <c r="P3102" s="178"/>
    </row>
    <row r="3103" spans="8:16" ht="15.75" customHeight="1">
      <c r="H3103" s="178"/>
      <c r="I3103" s="178"/>
      <c r="J3103" s="184"/>
      <c r="N3103" s="178"/>
      <c r="O3103" s="178"/>
      <c r="P3103" s="178"/>
    </row>
    <row r="3104" spans="8:16" ht="15.75" customHeight="1">
      <c r="H3104" s="178"/>
      <c r="I3104" s="178"/>
      <c r="J3104" s="184"/>
      <c r="N3104" s="178"/>
      <c r="O3104" s="178"/>
      <c r="P3104" s="178"/>
    </row>
    <row r="3105" spans="8:16" ht="15.75" customHeight="1">
      <c r="H3105" s="178"/>
      <c r="I3105" s="178"/>
      <c r="J3105" s="184"/>
      <c r="N3105" s="178"/>
      <c r="O3105" s="178"/>
      <c r="P3105" s="178"/>
    </row>
    <row r="3106" spans="8:16" ht="15.75" customHeight="1">
      <c r="H3106" s="178"/>
      <c r="I3106" s="178"/>
      <c r="J3106" s="184"/>
      <c r="N3106" s="178"/>
      <c r="O3106" s="178"/>
      <c r="P3106" s="178"/>
    </row>
    <row r="3107" spans="8:16" ht="15.75" customHeight="1">
      <c r="H3107" s="178"/>
      <c r="I3107" s="178"/>
      <c r="J3107" s="184"/>
      <c r="N3107" s="178"/>
      <c r="O3107" s="178"/>
      <c r="P3107" s="178"/>
    </row>
    <row r="3108" spans="8:16" ht="15.75" customHeight="1">
      <c r="H3108" s="178"/>
      <c r="I3108" s="178"/>
      <c r="J3108" s="184"/>
      <c r="N3108" s="178"/>
      <c r="O3108" s="178"/>
      <c r="P3108" s="178"/>
    </row>
    <row r="3109" spans="8:16" ht="15.75" customHeight="1">
      <c r="H3109" s="178"/>
      <c r="I3109" s="178"/>
      <c r="J3109" s="184"/>
      <c r="N3109" s="178"/>
      <c r="O3109" s="178"/>
      <c r="P3109" s="178"/>
    </row>
    <row r="3110" spans="8:16" ht="15.75" customHeight="1">
      <c r="H3110" s="178"/>
      <c r="I3110" s="178"/>
      <c r="J3110" s="184"/>
      <c r="N3110" s="178"/>
      <c r="O3110" s="178"/>
      <c r="P3110" s="178"/>
    </row>
    <row r="3111" spans="8:16" ht="15.75" customHeight="1">
      <c r="H3111" s="178"/>
      <c r="I3111" s="178"/>
      <c r="J3111" s="184"/>
      <c r="N3111" s="178"/>
      <c r="O3111" s="178"/>
      <c r="P3111" s="178"/>
    </row>
    <row r="3112" spans="8:16" ht="15.75" customHeight="1">
      <c r="H3112" s="178"/>
      <c r="I3112" s="178"/>
      <c r="J3112" s="184"/>
      <c r="N3112" s="178"/>
      <c r="O3112" s="178"/>
      <c r="P3112" s="178"/>
    </row>
    <row r="3113" spans="8:16" ht="15.75" customHeight="1">
      <c r="H3113" s="178"/>
      <c r="I3113" s="178"/>
      <c r="J3113" s="184"/>
      <c r="N3113" s="178"/>
      <c r="O3113" s="178"/>
      <c r="P3113" s="178"/>
    </row>
    <row r="3114" spans="8:16" ht="15.75" customHeight="1">
      <c r="H3114" s="178"/>
      <c r="I3114" s="178"/>
      <c r="J3114" s="184"/>
      <c r="N3114" s="178"/>
      <c r="O3114" s="178"/>
      <c r="P3114" s="178"/>
    </row>
    <row r="3115" spans="8:16" ht="15.75" customHeight="1">
      <c r="H3115" s="178"/>
      <c r="I3115" s="178"/>
      <c r="J3115" s="184"/>
      <c r="N3115" s="178"/>
      <c r="O3115" s="178"/>
      <c r="P3115" s="178"/>
    </row>
    <row r="3116" spans="8:16" ht="15.75" customHeight="1">
      <c r="H3116" s="178"/>
      <c r="I3116" s="178"/>
      <c r="J3116" s="184"/>
      <c r="N3116" s="178"/>
      <c r="O3116" s="178"/>
      <c r="P3116" s="178"/>
    </row>
    <row r="3117" spans="8:16" ht="15.75" customHeight="1">
      <c r="H3117" s="178"/>
      <c r="I3117" s="178"/>
      <c r="J3117" s="184"/>
      <c r="N3117" s="178"/>
      <c r="O3117" s="178"/>
      <c r="P3117" s="178"/>
    </row>
    <row r="3118" spans="8:16" ht="15.75" customHeight="1">
      <c r="H3118" s="178"/>
      <c r="I3118" s="178"/>
      <c r="J3118" s="184"/>
      <c r="N3118" s="178"/>
      <c r="O3118" s="178"/>
      <c r="P3118" s="178"/>
    </row>
    <row r="3119" spans="8:16" ht="15.75" customHeight="1">
      <c r="H3119" s="178"/>
      <c r="I3119" s="178"/>
      <c r="J3119" s="184"/>
      <c r="N3119" s="178"/>
      <c r="O3119" s="178"/>
      <c r="P3119" s="178"/>
    </row>
    <row r="3120" spans="8:16" ht="15.75" customHeight="1">
      <c r="H3120" s="178"/>
      <c r="I3120" s="178"/>
      <c r="J3120" s="184"/>
      <c r="N3120" s="178"/>
      <c r="O3120" s="178"/>
      <c r="P3120" s="178"/>
    </row>
    <row r="3121" spans="8:16" ht="15.75" customHeight="1">
      <c r="H3121" s="178"/>
      <c r="I3121" s="178"/>
      <c r="J3121" s="184"/>
      <c r="N3121" s="178"/>
      <c r="O3121" s="178"/>
      <c r="P3121" s="178"/>
    </row>
    <row r="3122" spans="8:16" ht="15.75" customHeight="1">
      <c r="H3122" s="178"/>
      <c r="I3122" s="178"/>
      <c r="J3122" s="184"/>
      <c r="N3122" s="178"/>
      <c r="O3122" s="178"/>
      <c r="P3122" s="178"/>
    </row>
    <row r="3123" spans="8:16" ht="15.75" customHeight="1">
      <c r="H3123" s="178"/>
      <c r="I3123" s="178"/>
      <c r="J3123" s="184"/>
      <c r="N3123" s="178"/>
      <c r="O3123" s="178"/>
      <c r="P3123" s="178"/>
    </row>
    <row r="3124" spans="8:16" ht="15.75" customHeight="1">
      <c r="H3124" s="178"/>
      <c r="I3124" s="178"/>
      <c r="J3124" s="184"/>
      <c r="N3124" s="178"/>
      <c r="O3124" s="178"/>
      <c r="P3124" s="178"/>
    </row>
    <row r="3125" spans="8:16" ht="15.75" customHeight="1">
      <c r="H3125" s="178"/>
      <c r="I3125" s="178"/>
      <c r="J3125" s="184"/>
      <c r="N3125" s="178"/>
      <c r="O3125" s="178"/>
      <c r="P3125" s="178"/>
    </row>
    <row r="3126" spans="8:16" ht="15.75" customHeight="1">
      <c r="H3126" s="178"/>
      <c r="I3126" s="178"/>
      <c r="J3126" s="184"/>
      <c r="N3126" s="178"/>
      <c r="O3126" s="178"/>
      <c r="P3126" s="178"/>
    </row>
    <row r="3127" spans="8:16" ht="15.75" customHeight="1">
      <c r="H3127" s="178"/>
      <c r="I3127" s="178"/>
      <c r="J3127" s="184"/>
      <c r="N3127" s="178"/>
      <c r="O3127" s="178"/>
      <c r="P3127" s="178"/>
    </row>
    <row r="3128" spans="8:16" ht="15.75" customHeight="1">
      <c r="H3128" s="178"/>
      <c r="I3128" s="178"/>
      <c r="J3128" s="184"/>
      <c r="N3128" s="178"/>
      <c r="O3128" s="178"/>
      <c r="P3128" s="178"/>
    </row>
    <row r="3129" spans="8:16" ht="15.75" customHeight="1">
      <c r="H3129" s="178"/>
      <c r="I3129" s="178"/>
      <c r="J3129" s="184"/>
      <c r="N3129" s="178"/>
      <c r="O3129" s="178"/>
      <c r="P3129" s="178"/>
    </row>
    <row r="3130" spans="8:16" ht="15.75" customHeight="1">
      <c r="H3130" s="178"/>
      <c r="I3130" s="178"/>
      <c r="J3130" s="184"/>
      <c r="N3130" s="178"/>
      <c r="O3130" s="178"/>
      <c r="P3130" s="178"/>
    </row>
    <row r="3131" spans="8:16" ht="15.75" customHeight="1">
      <c r="H3131" s="178"/>
      <c r="I3131" s="178"/>
      <c r="J3131" s="184"/>
      <c r="N3131" s="178"/>
      <c r="O3131" s="178"/>
      <c r="P3131" s="178"/>
    </row>
    <row r="3132" spans="8:16" ht="15.75" customHeight="1">
      <c r="H3132" s="178"/>
      <c r="I3132" s="178"/>
      <c r="J3132" s="184"/>
      <c r="N3132" s="178"/>
      <c r="O3132" s="178"/>
      <c r="P3132" s="178"/>
    </row>
    <row r="3133" spans="8:16" ht="15.75" customHeight="1">
      <c r="H3133" s="178"/>
      <c r="I3133" s="178"/>
      <c r="J3133" s="184"/>
      <c r="N3133" s="178"/>
      <c r="O3133" s="178"/>
      <c r="P3133" s="178"/>
    </row>
    <row r="3134" spans="8:16" ht="15.75" customHeight="1">
      <c r="H3134" s="178"/>
      <c r="I3134" s="178"/>
      <c r="J3134" s="184"/>
      <c r="N3134" s="178"/>
      <c r="O3134" s="178"/>
      <c r="P3134" s="178"/>
    </row>
    <row r="3135" spans="8:16" ht="15.75" customHeight="1">
      <c r="H3135" s="178"/>
      <c r="I3135" s="178"/>
      <c r="J3135" s="184"/>
      <c r="N3135" s="178"/>
      <c r="O3135" s="178"/>
      <c r="P3135" s="178"/>
    </row>
    <row r="3136" spans="8:16" ht="15.75" customHeight="1">
      <c r="H3136" s="178"/>
      <c r="I3136" s="178"/>
      <c r="J3136" s="184"/>
      <c r="N3136" s="178"/>
      <c r="O3136" s="178"/>
      <c r="P3136" s="178"/>
    </row>
    <row r="3137" spans="8:16" ht="15.75" customHeight="1">
      <c r="H3137" s="178"/>
      <c r="I3137" s="178"/>
      <c r="J3137" s="184"/>
      <c r="N3137" s="178"/>
      <c r="O3137" s="178"/>
      <c r="P3137" s="178"/>
    </row>
    <row r="3138" spans="8:16" ht="15.75" customHeight="1">
      <c r="H3138" s="178"/>
      <c r="I3138" s="178"/>
      <c r="J3138" s="184"/>
      <c r="N3138" s="178"/>
      <c r="O3138" s="178"/>
      <c r="P3138" s="178"/>
    </row>
    <row r="3139" spans="8:16" ht="15.75" customHeight="1">
      <c r="H3139" s="178"/>
      <c r="I3139" s="178"/>
      <c r="J3139" s="184"/>
      <c r="N3139" s="178"/>
      <c r="O3139" s="178"/>
      <c r="P3139" s="178"/>
    </row>
    <row r="3140" spans="8:16" ht="15.75" customHeight="1">
      <c r="H3140" s="178"/>
      <c r="I3140" s="178"/>
      <c r="J3140" s="184"/>
      <c r="N3140" s="178"/>
      <c r="O3140" s="178"/>
      <c r="P3140" s="178"/>
    </row>
    <row r="3141" spans="8:16" ht="15.75" customHeight="1">
      <c r="H3141" s="178"/>
      <c r="I3141" s="178"/>
      <c r="J3141" s="184"/>
      <c r="N3141" s="178"/>
      <c r="O3141" s="178"/>
      <c r="P3141" s="178"/>
    </row>
    <row r="3142" spans="8:16" ht="15.75" customHeight="1">
      <c r="H3142" s="178"/>
      <c r="I3142" s="178"/>
      <c r="J3142" s="184"/>
      <c r="N3142" s="178"/>
      <c r="O3142" s="178"/>
      <c r="P3142" s="178"/>
    </row>
    <row r="3143" spans="8:16" ht="15.75" customHeight="1">
      <c r="H3143" s="178"/>
      <c r="I3143" s="178"/>
      <c r="J3143" s="184"/>
      <c r="N3143" s="178"/>
      <c r="O3143" s="178"/>
      <c r="P3143" s="178"/>
    </row>
    <row r="3144" spans="8:16" ht="15.75" customHeight="1">
      <c r="H3144" s="178"/>
      <c r="I3144" s="178"/>
      <c r="J3144" s="184"/>
      <c r="N3144" s="178"/>
      <c r="O3144" s="178"/>
      <c r="P3144" s="178"/>
    </row>
    <row r="3145" spans="8:16" ht="15.75" customHeight="1">
      <c r="H3145" s="178"/>
      <c r="I3145" s="178"/>
      <c r="J3145" s="184"/>
      <c r="N3145" s="178"/>
      <c r="O3145" s="178"/>
      <c r="P3145" s="178"/>
    </row>
    <row r="3146" spans="8:16" ht="15.75" customHeight="1">
      <c r="H3146" s="178"/>
      <c r="I3146" s="178"/>
      <c r="J3146" s="184"/>
      <c r="N3146" s="178"/>
      <c r="O3146" s="178"/>
      <c r="P3146" s="178"/>
    </row>
    <row r="3147" spans="8:16" ht="15.75" customHeight="1">
      <c r="H3147" s="178"/>
      <c r="I3147" s="178"/>
      <c r="J3147" s="184"/>
      <c r="N3147" s="178"/>
      <c r="O3147" s="178"/>
      <c r="P3147" s="178"/>
    </row>
    <row r="3148" spans="8:16" ht="15.75" customHeight="1">
      <c r="H3148" s="178"/>
      <c r="I3148" s="178"/>
      <c r="J3148" s="184"/>
      <c r="N3148" s="178"/>
      <c r="O3148" s="178"/>
      <c r="P3148" s="178"/>
    </row>
    <row r="3149" spans="8:16" ht="15.75" customHeight="1">
      <c r="H3149" s="178"/>
      <c r="I3149" s="178"/>
      <c r="J3149" s="184"/>
      <c r="N3149" s="178"/>
      <c r="O3149" s="178"/>
      <c r="P3149" s="178"/>
    </row>
    <row r="3150" spans="8:16" ht="15.75" customHeight="1">
      <c r="H3150" s="178"/>
      <c r="I3150" s="178"/>
      <c r="J3150" s="184"/>
      <c r="N3150" s="178"/>
      <c r="O3150" s="178"/>
      <c r="P3150" s="178"/>
    </row>
    <row r="3151" spans="8:16" ht="15.75" customHeight="1">
      <c r="H3151" s="178"/>
      <c r="I3151" s="178"/>
      <c r="J3151" s="184"/>
      <c r="N3151" s="178"/>
      <c r="O3151" s="178"/>
      <c r="P3151" s="178"/>
    </row>
    <row r="3152" spans="8:16" ht="15.75" customHeight="1">
      <c r="H3152" s="178"/>
      <c r="I3152" s="178"/>
      <c r="J3152" s="184"/>
      <c r="N3152" s="178"/>
      <c r="O3152" s="178"/>
      <c r="P3152" s="178"/>
    </row>
    <row r="3153" spans="8:16" ht="15.75" customHeight="1">
      <c r="H3153" s="178"/>
      <c r="I3153" s="178"/>
      <c r="J3153" s="184"/>
      <c r="N3153" s="178"/>
      <c r="O3153" s="178"/>
      <c r="P3153" s="178"/>
    </row>
    <row r="3154" spans="8:16" ht="15.75" customHeight="1">
      <c r="H3154" s="178"/>
      <c r="I3154" s="178"/>
      <c r="J3154" s="184"/>
      <c r="N3154" s="178"/>
      <c r="O3154" s="178"/>
      <c r="P3154" s="178"/>
    </row>
    <row r="3155" spans="8:16" ht="15.75" customHeight="1">
      <c r="H3155" s="178"/>
      <c r="I3155" s="178"/>
      <c r="J3155" s="184"/>
      <c r="N3155" s="178"/>
      <c r="O3155" s="178"/>
      <c r="P3155" s="178"/>
    </row>
    <row r="3156" spans="8:16" ht="15.75" customHeight="1">
      <c r="H3156" s="178"/>
      <c r="I3156" s="178"/>
      <c r="J3156" s="184"/>
      <c r="N3156" s="178"/>
      <c r="O3156" s="178"/>
      <c r="P3156" s="178"/>
    </row>
    <row r="3157" spans="8:16" ht="15.75" customHeight="1">
      <c r="H3157" s="178"/>
      <c r="I3157" s="178"/>
      <c r="J3157" s="184"/>
      <c r="N3157" s="178"/>
      <c r="O3157" s="178"/>
      <c r="P3157" s="178"/>
    </row>
    <row r="3158" spans="8:16" ht="15.75" customHeight="1">
      <c r="H3158" s="178"/>
      <c r="I3158" s="178"/>
      <c r="J3158" s="184"/>
      <c r="N3158" s="178"/>
      <c r="O3158" s="178"/>
      <c r="P3158" s="178"/>
    </row>
    <row r="3159" spans="8:16" ht="15.75" customHeight="1">
      <c r="H3159" s="178"/>
      <c r="I3159" s="178"/>
      <c r="J3159" s="184"/>
      <c r="N3159" s="178"/>
      <c r="O3159" s="178"/>
      <c r="P3159" s="178"/>
    </row>
    <row r="3160" spans="8:16" ht="15.75" customHeight="1">
      <c r="H3160" s="178"/>
      <c r="I3160" s="178"/>
      <c r="J3160" s="184"/>
      <c r="N3160" s="178"/>
      <c r="O3160" s="178"/>
      <c r="P3160" s="178"/>
    </row>
    <row r="3161" spans="8:16" ht="15.75" customHeight="1">
      <c r="H3161" s="178"/>
      <c r="I3161" s="178"/>
      <c r="J3161" s="184"/>
      <c r="N3161" s="178"/>
      <c r="O3161" s="178"/>
      <c r="P3161" s="178"/>
    </row>
    <row r="3162" spans="8:16" ht="15.75" customHeight="1">
      <c r="H3162" s="178"/>
      <c r="I3162" s="178"/>
      <c r="J3162" s="184"/>
      <c r="N3162" s="178"/>
      <c r="O3162" s="178"/>
      <c r="P3162" s="178"/>
    </row>
    <row r="3163" spans="8:16" ht="15.75" customHeight="1">
      <c r="H3163" s="178"/>
      <c r="I3163" s="178"/>
      <c r="J3163" s="184"/>
      <c r="N3163" s="178"/>
      <c r="O3163" s="178"/>
      <c r="P3163" s="178"/>
    </row>
    <row r="3164" spans="8:16" ht="15.75" customHeight="1">
      <c r="H3164" s="178"/>
      <c r="I3164" s="178"/>
      <c r="J3164" s="184"/>
      <c r="N3164" s="178"/>
      <c r="O3164" s="178"/>
      <c r="P3164" s="178"/>
    </row>
    <row r="3165" spans="8:16" ht="15.75" customHeight="1">
      <c r="H3165" s="178"/>
      <c r="I3165" s="178"/>
      <c r="J3165" s="184"/>
      <c r="N3165" s="178"/>
      <c r="O3165" s="178"/>
      <c r="P3165" s="178"/>
    </row>
    <row r="3166" spans="8:16" ht="15.75" customHeight="1">
      <c r="H3166" s="178"/>
      <c r="I3166" s="178"/>
      <c r="J3166" s="184"/>
      <c r="N3166" s="178"/>
      <c r="O3166" s="178"/>
      <c r="P3166" s="178"/>
    </row>
    <row r="3167" spans="8:16" ht="15.75" customHeight="1">
      <c r="H3167" s="178"/>
      <c r="I3167" s="178"/>
      <c r="J3167" s="184"/>
      <c r="N3167" s="178"/>
      <c r="O3167" s="178"/>
      <c r="P3167" s="178"/>
    </row>
    <row r="3168" spans="8:16" ht="15.75" customHeight="1">
      <c r="H3168" s="178"/>
      <c r="I3168" s="178"/>
      <c r="J3168" s="184"/>
      <c r="N3168" s="178"/>
      <c r="O3168" s="178"/>
      <c r="P3168" s="178"/>
    </row>
    <row r="3169" spans="8:16" ht="15.75" customHeight="1">
      <c r="H3169" s="178"/>
      <c r="I3169" s="178"/>
      <c r="J3169" s="184"/>
      <c r="N3169" s="178"/>
      <c r="O3169" s="178"/>
      <c r="P3169" s="178"/>
    </row>
    <row r="3170" spans="8:16" ht="15.75" customHeight="1">
      <c r="H3170" s="178"/>
      <c r="I3170" s="178"/>
      <c r="J3170" s="184"/>
      <c r="N3170" s="178"/>
      <c r="O3170" s="178"/>
      <c r="P3170" s="178"/>
    </row>
    <row r="3171" spans="8:16" ht="15.75" customHeight="1">
      <c r="H3171" s="178"/>
      <c r="I3171" s="178"/>
      <c r="J3171" s="184"/>
      <c r="N3171" s="178"/>
      <c r="O3171" s="178"/>
      <c r="P3171" s="178"/>
    </row>
    <row r="3172" spans="8:16" ht="15.75" customHeight="1">
      <c r="H3172" s="178"/>
      <c r="I3172" s="178"/>
      <c r="J3172" s="184"/>
      <c r="N3172" s="178"/>
      <c r="O3172" s="178"/>
      <c r="P3172" s="178"/>
    </row>
    <row r="3173" spans="8:16" ht="15.75" customHeight="1">
      <c r="H3173" s="178"/>
      <c r="I3173" s="178"/>
      <c r="J3173" s="184"/>
      <c r="N3173" s="178"/>
      <c r="O3173" s="178"/>
      <c r="P3173" s="178"/>
    </row>
    <row r="3174" spans="8:16" ht="15.75" customHeight="1">
      <c r="H3174" s="178"/>
      <c r="I3174" s="178"/>
      <c r="J3174" s="184"/>
      <c r="N3174" s="178"/>
      <c r="O3174" s="178"/>
      <c r="P3174" s="178"/>
    </row>
    <row r="3175" spans="8:16" ht="15.75" customHeight="1">
      <c r="H3175" s="178"/>
      <c r="I3175" s="178"/>
      <c r="J3175" s="184"/>
      <c r="N3175" s="178"/>
      <c r="O3175" s="178"/>
      <c r="P3175" s="178"/>
    </row>
    <row r="3176" spans="8:16" ht="15.75" customHeight="1">
      <c r="H3176" s="178"/>
      <c r="I3176" s="178"/>
      <c r="J3176" s="184"/>
      <c r="N3176" s="178"/>
      <c r="O3176" s="178"/>
      <c r="P3176" s="178"/>
    </row>
    <row r="3177" spans="8:16" ht="15.75" customHeight="1">
      <c r="H3177" s="178"/>
      <c r="I3177" s="178"/>
      <c r="J3177" s="184"/>
      <c r="N3177" s="178"/>
      <c r="O3177" s="178"/>
      <c r="P3177" s="178"/>
    </row>
    <row r="3178" spans="8:16" ht="15.75" customHeight="1">
      <c r="H3178" s="178"/>
      <c r="I3178" s="178"/>
      <c r="J3178" s="184"/>
      <c r="N3178" s="178"/>
      <c r="O3178" s="178"/>
      <c r="P3178" s="178"/>
    </row>
    <row r="3179" spans="8:16" ht="15.75" customHeight="1">
      <c r="H3179" s="178"/>
      <c r="I3179" s="178"/>
      <c r="J3179" s="184"/>
      <c r="N3179" s="178"/>
      <c r="O3179" s="178"/>
      <c r="P3179" s="178"/>
    </row>
    <row r="3180" spans="8:16" ht="15.75" customHeight="1">
      <c r="H3180" s="178"/>
      <c r="I3180" s="178"/>
      <c r="J3180" s="184"/>
      <c r="N3180" s="178"/>
      <c r="O3180" s="178"/>
      <c r="P3180" s="178"/>
    </row>
    <row r="3181" spans="8:16" ht="15.75" customHeight="1">
      <c r="H3181" s="178"/>
      <c r="I3181" s="178"/>
      <c r="J3181" s="184"/>
      <c r="N3181" s="178"/>
      <c r="O3181" s="178"/>
      <c r="P3181" s="178"/>
    </row>
    <row r="3182" spans="8:16" ht="15.75" customHeight="1">
      <c r="H3182" s="178"/>
      <c r="I3182" s="178"/>
      <c r="J3182" s="184"/>
      <c r="N3182" s="178"/>
      <c r="O3182" s="178"/>
      <c r="P3182" s="178"/>
    </row>
    <row r="3183" spans="8:16" ht="15.75" customHeight="1">
      <c r="H3183" s="178"/>
      <c r="I3183" s="178"/>
      <c r="J3183" s="184"/>
      <c r="N3183" s="178"/>
      <c r="O3183" s="178"/>
      <c r="P3183" s="178"/>
    </row>
    <row r="3184" spans="8:16" ht="15.75" customHeight="1">
      <c r="H3184" s="178"/>
      <c r="I3184" s="178"/>
      <c r="J3184" s="184"/>
      <c r="N3184" s="178"/>
      <c r="O3184" s="178"/>
      <c r="P3184" s="178"/>
    </row>
    <row r="3185" spans="8:16" ht="15.75" customHeight="1">
      <c r="H3185" s="178"/>
      <c r="I3185" s="178"/>
      <c r="J3185" s="184"/>
      <c r="N3185" s="178"/>
      <c r="O3185" s="178"/>
      <c r="P3185" s="178"/>
    </row>
    <row r="3186" spans="8:16" ht="15.75" customHeight="1">
      <c r="H3186" s="178"/>
      <c r="I3186" s="178"/>
      <c r="J3186" s="184"/>
      <c r="N3186" s="178"/>
      <c r="O3186" s="178"/>
      <c r="P3186" s="178"/>
    </row>
    <row r="3187" spans="8:16" ht="15.75" customHeight="1">
      <c r="H3187" s="178"/>
      <c r="I3187" s="178"/>
      <c r="J3187" s="184"/>
      <c r="N3187" s="178"/>
      <c r="O3187" s="178"/>
      <c r="P3187" s="178"/>
    </row>
    <row r="3188" spans="8:16" ht="15.75" customHeight="1">
      <c r="H3188" s="178"/>
      <c r="I3188" s="178"/>
      <c r="J3188" s="184"/>
      <c r="N3188" s="178"/>
      <c r="O3188" s="178"/>
      <c r="P3188" s="178"/>
    </row>
    <row r="3189" spans="8:16" ht="15.75" customHeight="1">
      <c r="H3189" s="178"/>
      <c r="I3189" s="178"/>
      <c r="J3189" s="184"/>
      <c r="N3189" s="178"/>
      <c r="O3189" s="178"/>
      <c r="P3189" s="178"/>
    </row>
    <row r="3190" spans="8:16" ht="15.75" customHeight="1">
      <c r="H3190" s="178"/>
      <c r="I3190" s="178"/>
      <c r="J3190" s="184"/>
      <c r="N3190" s="178"/>
      <c r="O3190" s="178"/>
      <c r="P3190" s="178"/>
    </row>
    <row r="3191" spans="8:16" ht="15.75" customHeight="1">
      <c r="H3191" s="178"/>
      <c r="I3191" s="178"/>
      <c r="J3191" s="184"/>
      <c r="N3191" s="178"/>
      <c r="O3191" s="178"/>
      <c r="P3191" s="178"/>
    </row>
    <row r="3192" spans="8:16" ht="15.75" customHeight="1">
      <c r="H3192" s="178"/>
      <c r="I3192" s="178"/>
      <c r="J3192" s="184"/>
      <c r="N3192" s="178"/>
      <c r="O3192" s="178"/>
      <c r="P3192" s="178"/>
    </row>
    <row r="3193" spans="8:16" ht="15.75" customHeight="1">
      <c r="H3193" s="178"/>
      <c r="I3193" s="178"/>
      <c r="J3193" s="184"/>
      <c r="N3193" s="178"/>
      <c r="O3193" s="178"/>
      <c r="P3193" s="178"/>
    </row>
    <row r="3194" spans="8:16" ht="15.75" customHeight="1">
      <c r="H3194" s="178"/>
      <c r="I3194" s="178"/>
      <c r="J3194" s="184"/>
      <c r="N3194" s="178"/>
      <c r="O3194" s="178"/>
      <c r="P3194" s="178"/>
    </row>
    <row r="3195" spans="8:16" ht="15.75" customHeight="1">
      <c r="H3195" s="178"/>
      <c r="I3195" s="178"/>
      <c r="J3195" s="184"/>
      <c r="N3195" s="178"/>
      <c r="O3195" s="178"/>
      <c r="P3195" s="178"/>
    </row>
    <row r="3196" spans="8:16" ht="15.75" customHeight="1">
      <c r="H3196" s="178"/>
      <c r="I3196" s="178"/>
      <c r="J3196" s="184"/>
      <c r="N3196" s="178"/>
      <c r="O3196" s="178"/>
      <c r="P3196" s="178"/>
    </row>
    <row r="3197" spans="8:16" ht="15.75" customHeight="1">
      <c r="H3197" s="178"/>
      <c r="I3197" s="178"/>
      <c r="J3197" s="184"/>
      <c r="N3197" s="178"/>
      <c r="O3197" s="178"/>
      <c r="P3197" s="178"/>
    </row>
    <row r="3198" spans="8:16" ht="15.75" customHeight="1">
      <c r="H3198" s="178"/>
      <c r="I3198" s="178"/>
      <c r="J3198" s="184"/>
      <c r="N3198" s="178"/>
      <c r="O3198" s="178"/>
      <c r="P3198" s="178"/>
    </row>
    <row r="3199" spans="8:16" ht="15.75" customHeight="1">
      <c r="H3199" s="178"/>
      <c r="I3199" s="178"/>
      <c r="J3199" s="184"/>
      <c r="N3199" s="178"/>
      <c r="O3199" s="178"/>
      <c r="P3199" s="178"/>
    </row>
    <row r="3200" spans="8:16" ht="15.75" customHeight="1">
      <c r="H3200" s="178"/>
      <c r="I3200" s="178"/>
      <c r="J3200" s="184"/>
      <c r="N3200" s="178"/>
      <c r="O3200" s="178"/>
      <c r="P3200" s="178"/>
    </row>
    <row r="3201" spans="8:16" ht="15.75" customHeight="1">
      <c r="H3201" s="178"/>
      <c r="I3201" s="178"/>
      <c r="J3201" s="184"/>
      <c r="N3201" s="178"/>
      <c r="O3201" s="178"/>
      <c r="P3201" s="178"/>
    </row>
    <row r="3202" spans="8:16" ht="15.75" customHeight="1">
      <c r="H3202" s="178"/>
      <c r="I3202" s="178"/>
      <c r="J3202" s="184"/>
      <c r="N3202" s="178"/>
      <c r="O3202" s="178"/>
      <c r="P3202" s="178"/>
    </row>
    <row r="3203" spans="8:16" ht="15.75" customHeight="1">
      <c r="H3203" s="178"/>
      <c r="I3203" s="178"/>
      <c r="J3203" s="184"/>
      <c r="N3203" s="178"/>
      <c r="O3203" s="178"/>
      <c r="P3203" s="178"/>
    </row>
    <row r="3204" spans="8:16" ht="15.75" customHeight="1">
      <c r="H3204" s="178"/>
      <c r="I3204" s="178"/>
      <c r="J3204" s="184"/>
      <c r="N3204" s="178"/>
      <c r="O3204" s="178"/>
      <c r="P3204" s="178"/>
    </row>
    <row r="3205" spans="8:16" ht="15.75" customHeight="1">
      <c r="H3205" s="178"/>
      <c r="I3205" s="178"/>
      <c r="J3205" s="184"/>
      <c r="P3205" s="178"/>
    </row>
    <row r="3206" spans="8:16" ht="15.75" customHeight="1">
      <c r="H3206" s="178"/>
      <c r="I3206" s="178"/>
      <c r="J3206" s="184"/>
      <c r="P3206" s="178"/>
    </row>
    <row r="3207" spans="8:16" ht="15.75" customHeight="1">
      <c r="H3207" s="178"/>
      <c r="I3207" s="178"/>
      <c r="J3207" s="184"/>
      <c r="P3207" s="178"/>
    </row>
    <row r="3208" spans="8:16" ht="15.75" customHeight="1">
      <c r="H3208" s="178"/>
      <c r="I3208" s="178"/>
      <c r="J3208" s="184"/>
      <c r="P3208" s="178"/>
    </row>
    <row r="3209" spans="8:16" ht="15.75" customHeight="1">
      <c r="H3209" s="178"/>
      <c r="I3209" s="178"/>
      <c r="J3209" s="184"/>
      <c r="P3209" s="178"/>
    </row>
    <row r="3210" spans="8:16" ht="15.75" customHeight="1">
      <c r="H3210" s="178"/>
      <c r="I3210" s="178"/>
      <c r="J3210" s="184"/>
      <c r="P3210" s="178"/>
    </row>
    <row r="3211" spans="8:16" ht="15.75" customHeight="1">
      <c r="H3211" s="178"/>
      <c r="I3211" s="178"/>
      <c r="J3211" s="184"/>
      <c r="P3211" s="178"/>
    </row>
    <row r="3212" spans="8:16" ht="15.75" customHeight="1">
      <c r="H3212" s="178"/>
      <c r="I3212" s="178"/>
      <c r="J3212" s="184"/>
      <c r="P3212" s="178"/>
    </row>
    <row r="3213" spans="8:16" ht="15.75" customHeight="1">
      <c r="H3213" s="178"/>
      <c r="I3213" s="178"/>
      <c r="J3213" s="184"/>
      <c r="P3213" s="178"/>
    </row>
    <row r="3214" spans="8:16" ht="15.75" customHeight="1">
      <c r="H3214" s="178"/>
      <c r="I3214" s="178"/>
      <c r="J3214" s="184"/>
      <c r="P3214" s="178"/>
    </row>
    <row r="3215" spans="8:16" ht="15.75" customHeight="1">
      <c r="H3215" s="178"/>
      <c r="I3215" s="178"/>
      <c r="J3215" s="184"/>
      <c r="P3215" s="178"/>
    </row>
    <row r="3216" spans="8:16" ht="15.75" customHeight="1">
      <c r="H3216" s="178"/>
      <c r="I3216" s="178"/>
      <c r="J3216" s="184"/>
      <c r="P3216" s="178"/>
    </row>
    <row r="3217" spans="8:16" ht="15.75" customHeight="1">
      <c r="H3217" s="178"/>
      <c r="I3217" s="178"/>
      <c r="J3217" s="184"/>
      <c r="P3217" s="178"/>
    </row>
    <row r="3218" spans="8:16" ht="15.75" customHeight="1">
      <c r="H3218" s="178"/>
      <c r="I3218" s="178"/>
      <c r="J3218" s="184"/>
    </row>
    <row r="3219" spans="8:16" ht="15.75" customHeight="1">
      <c r="H3219" s="178"/>
      <c r="I3219" s="178"/>
      <c r="J3219" s="184"/>
    </row>
    <row r="3220" spans="8:16" ht="15.75" customHeight="1">
      <c r="H3220" s="178"/>
      <c r="I3220" s="178"/>
      <c r="J3220" s="184"/>
    </row>
    <row r="3221" spans="8:16" ht="15.75" customHeight="1">
      <c r="H3221" s="178"/>
      <c r="I3221" s="178"/>
      <c r="J3221" s="184"/>
    </row>
    <row r="3222" spans="8:16" ht="15.75" customHeight="1">
      <c r="H3222" s="178"/>
      <c r="I3222" s="178"/>
      <c r="J3222" s="184"/>
    </row>
    <row r="3223" spans="8:16" ht="15.75" customHeight="1">
      <c r="H3223" s="178"/>
      <c r="I3223" s="178"/>
      <c r="J3223" s="184"/>
    </row>
    <row r="3224" spans="8:16" ht="15.75" customHeight="1">
      <c r="H3224" s="178"/>
      <c r="I3224" s="178"/>
      <c r="J3224" s="184"/>
    </row>
    <row r="3225" spans="8:16" ht="15.75" customHeight="1">
      <c r="H3225" s="178"/>
      <c r="I3225" s="178"/>
      <c r="J3225" s="184"/>
    </row>
    <row r="3226" spans="8:16" ht="15.75" customHeight="1">
      <c r="H3226" s="178"/>
      <c r="I3226" s="178"/>
      <c r="J3226" s="184"/>
    </row>
    <row r="3227" spans="8:16" ht="15.75" customHeight="1">
      <c r="H3227" s="178"/>
      <c r="I3227" s="178"/>
      <c r="J3227" s="184"/>
    </row>
    <row r="3228" spans="8:16" ht="15.75" customHeight="1">
      <c r="H3228" s="178"/>
      <c r="I3228" s="178"/>
      <c r="J3228" s="184"/>
    </row>
    <row r="3229" spans="8:16" ht="15.75" customHeight="1">
      <c r="H3229" s="178"/>
      <c r="I3229" s="178"/>
      <c r="J3229" s="184"/>
    </row>
    <row r="3230" spans="8:16" ht="15.75" customHeight="1">
      <c r="H3230" s="178"/>
      <c r="I3230" s="178"/>
      <c r="J3230" s="184"/>
    </row>
    <row r="3231" spans="8:16" ht="15.75" customHeight="1">
      <c r="H3231" s="178"/>
      <c r="I3231" s="178"/>
      <c r="J3231" s="184"/>
    </row>
    <row r="3232" spans="8:16" ht="15.75" customHeight="1">
      <c r="H3232" s="178"/>
      <c r="I3232" s="178"/>
      <c r="J3232" s="184"/>
    </row>
    <row r="3233" spans="8:10" ht="15.75" customHeight="1">
      <c r="H3233" s="178"/>
      <c r="I3233" s="178"/>
      <c r="J3233" s="184"/>
    </row>
    <row r="3234" spans="8:10" ht="15.75" customHeight="1">
      <c r="H3234" s="178"/>
      <c r="I3234" s="178"/>
      <c r="J3234" s="184"/>
    </row>
    <row r="3235" spans="8:10" ht="15.75" customHeight="1">
      <c r="H3235" s="178"/>
      <c r="I3235" s="178"/>
      <c r="J3235" s="184"/>
    </row>
    <row r="3236" spans="8:10" ht="15.75" customHeight="1">
      <c r="H3236" s="178"/>
      <c r="I3236" s="178"/>
      <c r="J3236" s="184"/>
    </row>
    <row r="3237" spans="8:10" ht="15.75" customHeight="1">
      <c r="H3237" s="178"/>
      <c r="I3237" s="178"/>
      <c r="J3237" s="184"/>
    </row>
    <row r="3238" spans="8:10" ht="15.75" customHeight="1">
      <c r="H3238" s="178"/>
      <c r="I3238" s="178"/>
      <c r="J3238" s="184"/>
    </row>
    <row r="3239" spans="8:10" ht="15.75" customHeight="1">
      <c r="H3239" s="178"/>
      <c r="I3239" s="178"/>
      <c r="J3239" s="184"/>
    </row>
    <row r="3240" spans="8:10" ht="15.75" customHeight="1">
      <c r="H3240" s="178"/>
      <c r="I3240" s="178"/>
      <c r="J3240" s="184"/>
    </row>
    <row r="3241" spans="8:10" ht="15.75" customHeight="1">
      <c r="H3241" s="178"/>
      <c r="I3241" s="178"/>
      <c r="J3241" s="184"/>
    </row>
    <row r="3242" spans="8:10" ht="15.75" customHeight="1">
      <c r="H3242" s="178"/>
      <c r="I3242" s="178"/>
      <c r="J3242" s="184"/>
    </row>
    <row r="3243" spans="8:10" ht="15.75" customHeight="1">
      <c r="H3243" s="178"/>
      <c r="I3243" s="178"/>
      <c r="J3243" s="184"/>
    </row>
    <row r="3244" spans="8:10" ht="15.75" customHeight="1">
      <c r="H3244" s="178"/>
      <c r="I3244" s="178"/>
      <c r="J3244" s="184"/>
    </row>
    <row r="3245" spans="8:10" ht="15.75" customHeight="1">
      <c r="H3245" s="178"/>
      <c r="I3245" s="178"/>
      <c r="J3245" s="184"/>
    </row>
    <row r="3246" spans="8:10" ht="15.75" customHeight="1">
      <c r="H3246" s="178"/>
      <c r="I3246" s="178"/>
      <c r="J3246" s="184"/>
    </row>
    <row r="3247" spans="8:10" ht="15.75" customHeight="1">
      <c r="H3247" s="178"/>
      <c r="I3247" s="178"/>
      <c r="J3247" s="184"/>
    </row>
    <row r="3248" spans="8:10" ht="15.75" customHeight="1">
      <c r="H3248" s="178"/>
      <c r="I3248" s="178"/>
      <c r="J3248" s="184"/>
    </row>
    <row r="3249" spans="8:10" ht="15.75" customHeight="1">
      <c r="H3249" s="178"/>
      <c r="I3249" s="178"/>
      <c r="J3249" s="184"/>
    </row>
    <row r="3250" spans="8:10" ht="15.75" customHeight="1">
      <c r="H3250" s="178"/>
      <c r="I3250" s="178"/>
      <c r="J3250" s="184"/>
    </row>
    <row r="3251" spans="8:10" ht="15.75" customHeight="1">
      <c r="H3251" s="178"/>
      <c r="I3251" s="178"/>
      <c r="J3251" s="184"/>
    </row>
    <row r="3252" spans="8:10" ht="15.75" customHeight="1">
      <c r="H3252" s="178"/>
      <c r="I3252" s="178"/>
      <c r="J3252" s="184"/>
    </row>
    <row r="3253" spans="8:10" ht="15.75" customHeight="1">
      <c r="H3253" s="178"/>
      <c r="I3253" s="178"/>
      <c r="J3253" s="184"/>
    </row>
    <row r="3254" spans="8:10" ht="15.75" customHeight="1">
      <c r="H3254" s="178"/>
      <c r="I3254" s="178"/>
      <c r="J3254" s="184"/>
    </row>
    <row r="3255" spans="8:10" ht="15.75" customHeight="1">
      <c r="H3255" s="178"/>
      <c r="I3255" s="178"/>
      <c r="J3255" s="184"/>
    </row>
    <row r="3256" spans="8:10" ht="15.75" customHeight="1">
      <c r="H3256" s="178"/>
      <c r="I3256" s="178"/>
      <c r="J3256" s="184"/>
    </row>
    <row r="3257" spans="8:10" ht="15.75" customHeight="1">
      <c r="H3257" s="178"/>
      <c r="I3257" s="178"/>
      <c r="J3257" s="184"/>
    </row>
    <row r="3258" spans="8:10" ht="15.75" customHeight="1">
      <c r="H3258" s="178"/>
      <c r="I3258" s="178"/>
      <c r="J3258" s="184"/>
    </row>
    <row r="3259" spans="8:10" ht="15.75" customHeight="1">
      <c r="H3259" s="178"/>
      <c r="I3259" s="178"/>
      <c r="J3259" s="184"/>
    </row>
    <row r="3260" spans="8:10" ht="15.75" customHeight="1">
      <c r="H3260" s="178"/>
      <c r="I3260" s="178"/>
      <c r="J3260" s="184"/>
    </row>
    <row r="3261" spans="8:10" ht="15.75" customHeight="1">
      <c r="H3261" s="178"/>
      <c r="I3261" s="178"/>
      <c r="J3261" s="184"/>
    </row>
    <row r="3262" spans="8:10" ht="15.75" customHeight="1">
      <c r="H3262" s="178"/>
      <c r="I3262" s="178"/>
      <c r="J3262" s="184"/>
    </row>
    <row r="3263" spans="8:10" ht="15.75" customHeight="1">
      <c r="H3263" s="178"/>
      <c r="I3263" s="178"/>
      <c r="J3263" s="184"/>
    </row>
    <row r="3264" spans="8:10" ht="15.75" customHeight="1">
      <c r="H3264" s="178"/>
      <c r="I3264" s="178"/>
      <c r="J3264" s="184"/>
    </row>
    <row r="3265" spans="8:10" ht="15.75" customHeight="1">
      <c r="H3265" s="178"/>
      <c r="I3265" s="178"/>
      <c r="J3265" s="184"/>
    </row>
    <row r="3266" spans="8:10" ht="15.75" customHeight="1">
      <c r="H3266" s="178"/>
      <c r="I3266" s="178"/>
      <c r="J3266" s="184"/>
    </row>
    <row r="3267" spans="8:10" ht="15.75" customHeight="1">
      <c r="H3267" s="178"/>
      <c r="I3267" s="178"/>
      <c r="J3267" s="184"/>
    </row>
    <row r="3268" spans="8:10" ht="15.75" customHeight="1">
      <c r="H3268" s="178"/>
      <c r="I3268" s="178"/>
      <c r="J3268" s="184"/>
    </row>
    <row r="3269" spans="8:10" ht="15.75" customHeight="1">
      <c r="H3269" s="178"/>
      <c r="I3269" s="178"/>
      <c r="J3269" s="184"/>
    </row>
    <row r="3270" spans="8:10" ht="15.75" customHeight="1">
      <c r="H3270" s="178"/>
      <c r="I3270" s="178"/>
      <c r="J3270" s="184"/>
    </row>
    <row r="3271" spans="8:10" ht="15.75" customHeight="1">
      <c r="H3271" s="178"/>
      <c r="I3271" s="178"/>
      <c r="J3271" s="184"/>
    </row>
    <row r="3272" spans="8:10" ht="15.75" customHeight="1">
      <c r="H3272" s="178"/>
      <c r="I3272" s="178"/>
      <c r="J3272" s="184"/>
    </row>
    <row r="3273" spans="8:10" ht="15.75" customHeight="1">
      <c r="H3273" s="178"/>
      <c r="I3273" s="178"/>
      <c r="J3273" s="184"/>
    </row>
    <row r="3274" spans="8:10" ht="15.75" customHeight="1">
      <c r="H3274" s="178"/>
      <c r="I3274" s="178"/>
      <c r="J3274" s="184"/>
    </row>
    <row r="3275" spans="8:10" ht="15.75" customHeight="1">
      <c r="H3275" s="178"/>
      <c r="I3275" s="178"/>
      <c r="J3275" s="184"/>
    </row>
    <row r="3276" spans="8:10" ht="15.75" customHeight="1">
      <c r="H3276" s="178"/>
      <c r="I3276" s="178"/>
      <c r="J3276" s="184"/>
    </row>
    <row r="3277" spans="8:10" ht="15.75" customHeight="1">
      <c r="H3277" s="178"/>
      <c r="I3277" s="178"/>
      <c r="J3277" s="184"/>
    </row>
    <row r="3278" spans="8:10" ht="15.75" customHeight="1">
      <c r="H3278" s="178"/>
      <c r="I3278" s="178"/>
      <c r="J3278" s="184"/>
    </row>
    <row r="3279" spans="8:10" ht="15.75" customHeight="1">
      <c r="H3279" s="178"/>
      <c r="I3279" s="178"/>
      <c r="J3279" s="184"/>
    </row>
    <row r="3280" spans="8:10" ht="15.75" customHeight="1">
      <c r="H3280" s="178"/>
      <c r="I3280" s="178"/>
      <c r="J3280" s="184"/>
    </row>
    <row r="3281" spans="8:10" ht="15.75" customHeight="1">
      <c r="H3281" s="178"/>
      <c r="I3281" s="178"/>
      <c r="J3281" s="184"/>
    </row>
    <row r="3282" spans="8:10" ht="15.75" customHeight="1">
      <c r="H3282" s="178"/>
      <c r="I3282" s="178"/>
      <c r="J3282" s="184"/>
    </row>
    <row r="3283" spans="8:10" ht="15.75" customHeight="1">
      <c r="H3283" s="178"/>
      <c r="I3283" s="178"/>
      <c r="J3283" s="184"/>
    </row>
    <row r="3284" spans="8:10" ht="15.75" customHeight="1">
      <c r="H3284" s="178"/>
      <c r="I3284" s="178"/>
      <c r="J3284" s="184"/>
    </row>
    <row r="3285" spans="8:10" ht="15.75" customHeight="1">
      <c r="H3285" s="178"/>
      <c r="I3285" s="178"/>
      <c r="J3285" s="184"/>
    </row>
    <row r="3286" spans="8:10" ht="15.75" customHeight="1">
      <c r="H3286" s="178"/>
      <c r="I3286" s="178"/>
      <c r="J3286" s="184"/>
    </row>
    <row r="3287" spans="8:10" ht="15.75" customHeight="1">
      <c r="H3287" s="178"/>
      <c r="I3287" s="178"/>
      <c r="J3287" s="184"/>
    </row>
    <row r="3288" spans="8:10" ht="15.75" customHeight="1">
      <c r="H3288" s="178"/>
      <c r="I3288" s="178"/>
      <c r="J3288" s="184"/>
    </row>
    <row r="3289" spans="8:10" ht="15.75" customHeight="1">
      <c r="H3289" s="178"/>
      <c r="I3289" s="178"/>
      <c r="J3289" s="184"/>
    </row>
    <row r="3290" spans="8:10" ht="15.75" customHeight="1">
      <c r="H3290" s="178"/>
      <c r="I3290" s="178"/>
      <c r="J3290" s="184"/>
    </row>
    <row r="3291" spans="8:10" ht="15.75" customHeight="1">
      <c r="H3291" s="178"/>
      <c r="I3291" s="178"/>
      <c r="J3291" s="184"/>
    </row>
    <row r="3292" spans="8:10" ht="15.75" customHeight="1">
      <c r="H3292" s="178"/>
      <c r="I3292" s="178"/>
      <c r="J3292" s="184"/>
    </row>
    <row r="3293" spans="8:10" ht="15.75" customHeight="1">
      <c r="H3293" s="178"/>
      <c r="I3293" s="178"/>
      <c r="J3293" s="184"/>
    </row>
    <row r="3294" spans="8:10" ht="15.75" customHeight="1">
      <c r="H3294" s="178"/>
      <c r="I3294" s="178"/>
      <c r="J3294" s="184"/>
    </row>
    <row r="3295" spans="8:10" ht="15.75" customHeight="1">
      <c r="H3295" s="178"/>
      <c r="I3295" s="178"/>
      <c r="J3295" s="184"/>
    </row>
    <row r="3296" spans="8:10" ht="15.75" customHeight="1">
      <c r="H3296" s="178"/>
      <c r="I3296" s="178"/>
      <c r="J3296" s="184"/>
    </row>
    <row r="3297" spans="8:10" ht="15.75" customHeight="1">
      <c r="H3297" s="178"/>
      <c r="I3297" s="178"/>
      <c r="J3297" s="184"/>
    </row>
    <row r="3298" spans="8:10" ht="15.75" customHeight="1">
      <c r="H3298" s="178"/>
      <c r="I3298" s="178"/>
      <c r="J3298" s="184"/>
    </row>
    <row r="3299" spans="8:10" ht="15.75" customHeight="1">
      <c r="H3299" s="178"/>
      <c r="I3299" s="178"/>
      <c r="J3299" s="184"/>
    </row>
    <row r="3300" spans="8:10" ht="15.75" customHeight="1">
      <c r="H3300" s="178"/>
      <c r="I3300" s="178"/>
      <c r="J3300" s="184"/>
    </row>
    <row r="3301" spans="8:10" ht="15.75" customHeight="1">
      <c r="H3301" s="178"/>
      <c r="I3301" s="178"/>
      <c r="J3301" s="184"/>
    </row>
    <row r="3302" spans="8:10" ht="15.75" customHeight="1">
      <c r="H3302" s="178"/>
      <c r="I3302" s="178"/>
      <c r="J3302" s="184"/>
    </row>
    <row r="3303" spans="8:10" ht="15.75" customHeight="1">
      <c r="H3303" s="178"/>
      <c r="I3303" s="178"/>
      <c r="J3303" s="184"/>
    </row>
    <row r="3304" spans="8:10" ht="15.75" customHeight="1">
      <c r="H3304" s="178"/>
      <c r="I3304" s="178"/>
      <c r="J3304" s="184"/>
    </row>
    <row r="3305" spans="8:10" ht="15.75" customHeight="1">
      <c r="H3305" s="178"/>
      <c r="I3305" s="178"/>
      <c r="J3305" s="184"/>
    </row>
    <row r="3306" spans="8:10" ht="15.75" customHeight="1">
      <c r="H3306" s="178"/>
      <c r="I3306" s="178"/>
      <c r="J3306" s="184"/>
    </row>
    <row r="3307" spans="8:10" ht="15.75" customHeight="1">
      <c r="H3307" s="178"/>
      <c r="I3307" s="178"/>
      <c r="J3307" s="184"/>
    </row>
    <row r="3308" spans="8:10" ht="15.75" customHeight="1">
      <c r="H3308" s="178"/>
      <c r="I3308" s="178"/>
      <c r="J3308" s="184"/>
    </row>
    <row r="3309" spans="8:10" ht="15.75" customHeight="1">
      <c r="H3309" s="178"/>
      <c r="I3309" s="178"/>
      <c r="J3309" s="184"/>
    </row>
    <row r="3310" spans="8:10" ht="15.75" customHeight="1">
      <c r="H3310" s="178"/>
      <c r="I3310" s="178"/>
      <c r="J3310" s="184"/>
    </row>
    <row r="3311" spans="8:10" ht="15.75" customHeight="1">
      <c r="H3311" s="178"/>
      <c r="I3311" s="178"/>
      <c r="J3311" s="184"/>
    </row>
    <row r="3312" spans="8:10" ht="15.75" customHeight="1">
      <c r="H3312" s="178"/>
      <c r="I3312" s="178"/>
      <c r="J3312" s="184"/>
    </row>
    <row r="3313" spans="8:10" ht="15.75" customHeight="1">
      <c r="H3313" s="178"/>
      <c r="I3313" s="178"/>
      <c r="J3313" s="184"/>
    </row>
    <row r="3314" spans="8:10" ht="15.75" customHeight="1">
      <c r="H3314" s="178"/>
      <c r="I3314" s="178"/>
      <c r="J3314" s="184"/>
    </row>
    <row r="3315" spans="8:10" ht="15.75" customHeight="1">
      <c r="H3315" s="178"/>
      <c r="I3315" s="178"/>
      <c r="J3315" s="184"/>
    </row>
    <row r="3316" spans="8:10" ht="15.75" customHeight="1">
      <c r="H3316" s="178"/>
      <c r="I3316" s="178"/>
      <c r="J3316" s="184"/>
    </row>
    <row r="3317" spans="8:10" ht="15.75" customHeight="1">
      <c r="H3317" s="178"/>
      <c r="I3317" s="178"/>
      <c r="J3317" s="184"/>
    </row>
    <row r="3318" spans="8:10" ht="15.75" customHeight="1">
      <c r="H3318" s="178"/>
      <c r="I3318" s="178"/>
      <c r="J3318" s="184"/>
    </row>
    <row r="3319" spans="8:10" ht="15.75" customHeight="1">
      <c r="H3319" s="178"/>
      <c r="I3319" s="178"/>
      <c r="J3319" s="184"/>
    </row>
    <row r="3320" spans="8:10" ht="15.75" customHeight="1">
      <c r="H3320" s="178"/>
      <c r="I3320" s="178"/>
      <c r="J3320" s="184"/>
    </row>
    <row r="3321" spans="8:10" ht="15.75" customHeight="1">
      <c r="H3321" s="178"/>
      <c r="I3321" s="178"/>
      <c r="J3321" s="184"/>
    </row>
    <row r="3322" spans="8:10" ht="15.75" customHeight="1">
      <c r="H3322" s="178"/>
      <c r="I3322" s="178"/>
      <c r="J3322" s="184"/>
    </row>
    <row r="3323" spans="8:10" ht="15.75" customHeight="1">
      <c r="H3323" s="178"/>
      <c r="I3323" s="178"/>
      <c r="J3323" s="184"/>
    </row>
    <row r="3324" spans="8:10" ht="15.75" customHeight="1">
      <c r="H3324" s="178"/>
      <c r="I3324" s="178"/>
      <c r="J3324" s="184"/>
    </row>
    <row r="3325" spans="8:10" ht="15.75" customHeight="1">
      <c r="H3325" s="178"/>
      <c r="I3325" s="178"/>
      <c r="J3325" s="184"/>
    </row>
    <row r="3326" spans="8:10" ht="15.75" customHeight="1">
      <c r="H3326" s="178"/>
      <c r="I3326" s="178"/>
      <c r="J3326" s="184"/>
    </row>
    <row r="3327" spans="8:10" ht="15.75" customHeight="1">
      <c r="H3327" s="178"/>
      <c r="I3327" s="178"/>
      <c r="J3327" s="184"/>
    </row>
    <row r="3328" spans="8:10" ht="15.75" customHeight="1">
      <c r="H3328" s="178"/>
      <c r="I3328" s="178"/>
      <c r="J3328" s="184"/>
    </row>
    <row r="3329" spans="8:10" ht="15.75" customHeight="1">
      <c r="H3329" s="178"/>
      <c r="I3329" s="178"/>
      <c r="J3329" s="184"/>
    </row>
    <row r="3330" spans="8:10" ht="15.75" customHeight="1">
      <c r="H3330" s="178"/>
      <c r="I3330" s="178"/>
      <c r="J3330" s="184"/>
    </row>
    <row r="3331" spans="8:10" ht="15.75" customHeight="1">
      <c r="H3331" s="178"/>
      <c r="I3331" s="178"/>
      <c r="J3331" s="184"/>
    </row>
    <row r="3332" spans="8:10" ht="15.75" customHeight="1">
      <c r="H3332" s="178"/>
      <c r="I3332" s="178"/>
      <c r="J3332" s="184"/>
    </row>
    <row r="3333" spans="8:10" ht="15.75" customHeight="1">
      <c r="H3333" s="178"/>
      <c r="I3333" s="178"/>
      <c r="J3333" s="184"/>
    </row>
    <row r="3334" spans="8:10" ht="15.75" customHeight="1">
      <c r="H3334" s="178"/>
      <c r="I3334" s="178"/>
      <c r="J3334" s="184"/>
    </row>
    <row r="3335" spans="8:10" ht="15.75" customHeight="1">
      <c r="H3335" s="178"/>
      <c r="I3335" s="178"/>
      <c r="J3335" s="184"/>
    </row>
    <row r="3336" spans="8:10" ht="15.75" customHeight="1">
      <c r="H3336" s="178"/>
      <c r="I3336" s="178"/>
      <c r="J3336" s="184"/>
    </row>
    <row r="3337" spans="8:10" ht="15.75" customHeight="1">
      <c r="H3337" s="178"/>
      <c r="I3337" s="178"/>
      <c r="J3337" s="184"/>
    </row>
    <row r="3338" spans="8:10" ht="15.75" customHeight="1">
      <c r="H3338" s="178"/>
      <c r="I3338" s="178"/>
      <c r="J3338" s="184"/>
    </row>
    <row r="3339" spans="8:10" ht="15.75" customHeight="1">
      <c r="H3339" s="178"/>
      <c r="I3339" s="178"/>
      <c r="J3339" s="184"/>
    </row>
    <row r="3340" spans="8:10" ht="15.75" customHeight="1">
      <c r="H3340" s="178"/>
      <c r="I3340" s="178"/>
      <c r="J3340" s="184"/>
    </row>
    <row r="3341" spans="8:10" ht="15.75" customHeight="1">
      <c r="H3341" s="178"/>
      <c r="I3341" s="178"/>
      <c r="J3341" s="184"/>
    </row>
    <row r="3342" spans="8:10" ht="15.75" customHeight="1">
      <c r="H3342" s="178"/>
      <c r="I3342" s="178"/>
      <c r="J3342" s="184"/>
    </row>
    <row r="3343" spans="8:10" ht="15.75" customHeight="1">
      <c r="H3343" s="178"/>
      <c r="I3343" s="178"/>
      <c r="J3343" s="184"/>
    </row>
    <row r="3344" spans="8:10" ht="15.75" customHeight="1">
      <c r="H3344" s="178"/>
      <c r="I3344" s="178"/>
      <c r="J3344" s="184"/>
    </row>
    <row r="3345" spans="8:10" ht="15.75" customHeight="1">
      <c r="H3345" s="178"/>
      <c r="I3345" s="178"/>
      <c r="J3345" s="184"/>
    </row>
    <row r="3346" spans="8:10" ht="15.75" customHeight="1">
      <c r="H3346" s="178"/>
      <c r="I3346" s="178"/>
      <c r="J3346" s="184"/>
    </row>
    <row r="3347" spans="8:10" ht="15.75" customHeight="1">
      <c r="H3347" s="178"/>
      <c r="I3347" s="178"/>
      <c r="J3347" s="184"/>
    </row>
    <row r="3348" spans="8:10" ht="15.75" customHeight="1">
      <c r="H3348" s="178"/>
      <c r="I3348" s="178"/>
      <c r="J3348" s="184"/>
    </row>
    <row r="3349" spans="8:10" ht="15.75" customHeight="1">
      <c r="H3349" s="178"/>
      <c r="I3349" s="178"/>
      <c r="J3349" s="184"/>
    </row>
    <row r="3350" spans="8:10" ht="15.75" customHeight="1">
      <c r="H3350" s="178"/>
      <c r="I3350" s="178"/>
      <c r="J3350" s="184"/>
    </row>
    <row r="3351" spans="8:10" ht="15.75" customHeight="1">
      <c r="H3351" s="178"/>
      <c r="I3351" s="178"/>
      <c r="J3351" s="184"/>
    </row>
    <row r="3352" spans="8:10" ht="15.75" customHeight="1">
      <c r="H3352" s="178"/>
      <c r="I3352" s="178"/>
      <c r="J3352" s="184"/>
    </row>
    <row r="3353" spans="8:10" ht="15.75" customHeight="1">
      <c r="H3353" s="178"/>
      <c r="I3353" s="178"/>
      <c r="J3353" s="184"/>
    </row>
    <row r="3354" spans="8:10" ht="15.75" customHeight="1">
      <c r="H3354" s="178"/>
      <c r="I3354" s="178"/>
      <c r="J3354" s="184"/>
    </row>
    <row r="3355" spans="8:10" ht="15.75" customHeight="1">
      <c r="H3355" s="178"/>
      <c r="I3355" s="178"/>
      <c r="J3355" s="184"/>
    </row>
    <row r="3356" spans="8:10" ht="15.75" customHeight="1">
      <c r="H3356" s="178"/>
      <c r="I3356" s="178"/>
      <c r="J3356" s="184"/>
    </row>
    <row r="3357" spans="8:10" ht="15.75" customHeight="1">
      <c r="H3357" s="178"/>
      <c r="I3357" s="178"/>
      <c r="J3357" s="184"/>
    </row>
    <row r="3358" spans="8:10" ht="15.75" customHeight="1">
      <c r="H3358" s="178"/>
      <c r="I3358" s="178"/>
      <c r="J3358" s="184"/>
    </row>
    <row r="3359" spans="8:10" ht="15.75" customHeight="1">
      <c r="H3359" s="178"/>
      <c r="I3359" s="178"/>
      <c r="J3359" s="184"/>
    </row>
    <row r="3360" spans="8:10" ht="15.75" customHeight="1">
      <c r="H3360" s="178"/>
      <c r="I3360" s="178"/>
      <c r="J3360" s="184"/>
    </row>
    <row r="3361" spans="8:10" ht="15.75" customHeight="1">
      <c r="H3361" s="178"/>
      <c r="I3361" s="178"/>
      <c r="J3361" s="184"/>
    </row>
    <row r="3362" spans="8:10" ht="15.75" customHeight="1">
      <c r="H3362" s="178"/>
      <c r="I3362" s="178"/>
      <c r="J3362" s="184"/>
    </row>
    <row r="3363" spans="8:10" ht="15.75" customHeight="1">
      <c r="H3363" s="178"/>
      <c r="I3363" s="178"/>
      <c r="J3363" s="184"/>
    </row>
    <row r="3364" spans="8:10" ht="15.75" customHeight="1">
      <c r="H3364" s="178"/>
      <c r="I3364" s="178"/>
      <c r="J3364" s="184"/>
    </row>
    <row r="3365" spans="8:10" ht="15.75" customHeight="1">
      <c r="H3365" s="178"/>
      <c r="I3365" s="178"/>
      <c r="J3365" s="184"/>
    </row>
    <row r="3366" spans="8:10" ht="15.75" customHeight="1">
      <c r="H3366" s="178"/>
      <c r="I3366" s="178"/>
      <c r="J3366" s="184"/>
    </row>
    <row r="3367" spans="8:10" ht="15.75" customHeight="1">
      <c r="H3367" s="178"/>
      <c r="I3367" s="178"/>
      <c r="J3367" s="184"/>
    </row>
    <row r="3368" spans="8:10" ht="15.75" customHeight="1">
      <c r="H3368" s="178"/>
      <c r="I3368" s="178"/>
      <c r="J3368" s="184"/>
    </row>
    <row r="3369" spans="8:10" ht="15.75" customHeight="1">
      <c r="H3369" s="178"/>
      <c r="I3369" s="178"/>
      <c r="J3369" s="184"/>
    </row>
    <row r="3370" spans="8:10" ht="15.75" customHeight="1">
      <c r="H3370" s="178"/>
      <c r="I3370" s="178"/>
      <c r="J3370" s="184"/>
    </row>
    <row r="3371" spans="8:10" ht="15.75" customHeight="1">
      <c r="H3371" s="178"/>
      <c r="I3371" s="178"/>
      <c r="J3371" s="184"/>
    </row>
    <row r="3372" spans="8:10" ht="15.75" customHeight="1">
      <c r="H3372" s="178"/>
      <c r="I3372" s="178"/>
      <c r="J3372" s="184"/>
    </row>
    <row r="3373" spans="8:10" ht="15.75" customHeight="1">
      <c r="H3373" s="178"/>
      <c r="I3373" s="178"/>
      <c r="J3373" s="184"/>
    </row>
    <row r="3374" spans="8:10" ht="15.75" customHeight="1">
      <c r="H3374" s="178"/>
      <c r="I3374" s="178"/>
      <c r="J3374" s="184"/>
    </row>
    <row r="3375" spans="8:10" ht="15.75" customHeight="1">
      <c r="H3375" s="178"/>
      <c r="I3375" s="178"/>
      <c r="J3375" s="184"/>
    </row>
    <row r="3376" spans="8:10" ht="15.75" customHeight="1">
      <c r="H3376" s="178"/>
      <c r="I3376" s="178"/>
      <c r="J3376" s="184"/>
    </row>
    <row r="3377" spans="1:54" ht="15.75" customHeight="1">
      <c r="H3377" s="178"/>
      <c r="I3377" s="178"/>
      <c r="J3377" s="184"/>
    </row>
    <row r="3378" spans="1:54" ht="15.75" customHeight="1">
      <c r="H3378" s="178"/>
      <c r="I3378" s="178"/>
      <c r="J3378" s="184"/>
    </row>
    <row r="3379" spans="1:54" ht="15.75" customHeight="1">
      <c r="H3379" s="178"/>
      <c r="I3379" s="178"/>
      <c r="J3379" s="184"/>
    </row>
    <row r="3380" spans="1:54" ht="15.75" customHeight="1">
      <c r="H3380" s="178"/>
      <c r="I3380" s="178"/>
      <c r="J3380" s="184"/>
    </row>
    <row r="3381" spans="1:54" ht="15.75" customHeight="1">
      <c r="H3381" s="178"/>
      <c r="I3381" s="178"/>
      <c r="J3381" s="184"/>
    </row>
    <row r="3382" spans="1:54" ht="15.75" customHeight="1">
      <c r="H3382" s="178"/>
      <c r="I3382" s="178"/>
      <c r="J3382" s="184"/>
    </row>
    <row r="3383" spans="1:54" ht="15.75" customHeight="1">
      <c r="H3383" s="178"/>
      <c r="I3383" s="178"/>
      <c r="J3383" s="184"/>
    </row>
    <row r="3384" spans="1:54" ht="15.75" customHeight="1">
      <c r="H3384" s="178"/>
      <c r="I3384" s="178"/>
      <c r="J3384" s="184"/>
    </row>
    <row r="3385" spans="1:54" ht="15.75" customHeight="1">
      <c r="H3385" s="178"/>
      <c r="I3385" s="178"/>
      <c r="J3385" s="184"/>
    </row>
    <row r="3386" spans="1:54" ht="15.75" customHeight="1">
      <c r="H3386" s="178"/>
      <c r="I3386" s="178"/>
      <c r="J3386" s="184"/>
    </row>
    <row r="3387" spans="1:54" ht="15.75" customHeight="1">
      <c r="H3387" s="178"/>
      <c r="I3387" s="178"/>
      <c r="J3387" s="184"/>
    </row>
    <row r="3388" spans="1:54" ht="15.75" customHeight="1">
      <c r="H3388" s="178"/>
      <c r="I3388" s="178"/>
      <c r="J3388" s="184"/>
    </row>
    <row r="3389" spans="1:54" ht="15.75" customHeight="1">
      <c r="A3389" s="169"/>
      <c r="C3389" s="169"/>
      <c r="F3389" s="169"/>
      <c r="H3389" s="178"/>
      <c r="I3389" s="178"/>
      <c r="J3389" s="184"/>
      <c r="BB3389" s="169"/>
    </row>
    <row r="3390" spans="1:54" ht="15.75" customHeight="1">
      <c r="A3390" s="169"/>
      <c r="C3390" s="169"/>
      <c r="F3390" s="169"/>
      <c r="H3390" s="178"/>
      <c r="I3390" s="178"/>
      <c r="J3390" s="184"/>
      <c r="BB3390" s="169"/>
    </row>
    <row r="3391" spans="1:54" ht="15.75" customHeight="1">
      <c r="A3391" s="169"/>
      <c r="C3391" s="169"/>
      <c r="F3391" s="169"/>
      <c r="H3391" s="178"/>
      <c r="I3391" s="178"/>
      <c r="J3391" s="184"/>
      <c r="BB3391" s="169"/>
    </row>
    <row r="3392" spans="1:54" ht="15.75" customHeight="1">
      <c r="A3392" s="169"/>
      <c r="C3392" s="169"/>
      <c r="F3392" s="169"/>
      <c r="H3392" s="178"/>
      <c r="I3392" s="178"/>
      <c r="J3392" s="184"/>
      <c r="BB3392" s="169"/>
    </row>
    <row r="3393" spans="1:54" ht="15.75" customHeight="1">
      <c r="A3393" s="169"/>
      <c r="C3393" s="169"/>
      <c r="F3393" s="169"/>
      <c r="H3393" s="178"/>
      <c r="I3393" s="178"/>
      <c r="J3393" s="184"/>
      <c r="BB3393" s="169"/>
    </row>
    <row r="3394" spans="1:54" ht="15.75" customHeight="1">
      <c r="A3394" s="169"/>
      <c r="C3394" s="169"/>
      <c r="F3394" s="169"/>
      <c r="H3394" s="178"/>
      <c r="I3394" s="178"/>
      <c r="J3394" s="184"/>
      <c r="BB3394" s="169"/>
    </row>
    <row r="3395" spans="1:54" ht="15.75" customHeight="1">
      <c r="A3395" s="169"/>
      <c r="C3395" s="169"/>
      <c r="F3395" s="169"/>
      <c r="H3395" s="178"/>
      <c r="I3395" s="178"/>
      <c r="J3395" s="184"/>
      <c r="BB3395" s="169"/>
    </row>
    <row r="3396" spans="1:54" ht="15.75" customHeight="1">
      <c r="A3396" s="169"/>
      <c r="C3396" s="169"/>
      <c r="F3396" s="169"/>
      <c r="H3396" s="178"/>
      <c r="I3396" s="178"/>
      <c r="J3396" s="184"/>
      <c r="BB3396" s="169"/>
    </row>
    <row r="3397" spans="1:54" ht="15.75" customHeight="1">
      <c r="A3397" s="169"/>
      <c r="C3397" s="169"/>
      <c r="F3397" s="169"/>
      <c r="H3397" s="178"/>
      <c r="I3397" s="178"/>
      <c r="J3397" s="184"/>
      <c r="BB3397" s="169"/>
    </row>
    <row r="3398" spans="1:54" ht="15.75" customHeight="1">
      <c r="A3398" s="169"/>
      <c r="C3398" s="169"/>
      <c r="F3398" s="169"/>
      <c r="H3398" s="178"/>
      <c r="I3398" s="178"/>
      <c r="J3398" s="184"/>
      <c r="BB3398" s="169"/>
    </row>
    <row r="3399" spans="1:54" ht="15.75" customHeight="1">
      <c r="A3399" s="169"/>
      <c r="C3399" s="169"/>
      <c r="F3399" s="169"/>
      <c r="H3399" s="178"/>
      <c r="I3399" s="178"/>
      <c r="J3399" s="184"/>
      <c r="BB3399" s="169"/>
    </row>
    <row r="3400" spans="1:54" ht="15.75" customHeight="1">
      <c r="A3400" s="169"/>
      <c r="C3400" s="169"/>
      <c r="F3400" s="169"/>
      <c r="H3400" s="178"/>
      <c r="I3400" s="178"/>
      <c r="J3400" s="184"/>
      <c r="BB3400" s="169"/>
    </row>
    <row r="3401" spans="1:54" ht="15.75" customHeight="1">
      <c r="A3401" s="169"/>
      <c r="C3401" s="169"/>
      <c r="F3401" s="169"/>
      <c r="H3401" s="178"/>
      <c r="I3401" s="178"/>
      <c r="J3401" s="184"/>
      <c r="BB3401" s="169"/>
    </row>
    <row r="3402" spans="1:54" ht="15.75" customHeight="1">
      <c r="A3402" s="169"/>
      <c r="C3402" s="169"/>
      <c r="F3402" s="169"/>
      <c r="H3402" s="178"/>
      <c r="I3402" s="178"/>
      <c r="J3402" s="184"/>
      <c r="BB3402" s="169"/>
    </row>
    <row r="3403" spans="1:54" ht="15.75" customHeight="1">
      <c r="A3403" s="169"/>
      <c r="C3403" s="169"/>
      <c r="F3403" s="169"/>
      <c r="H3403" s="178"/>
      <c r="I3403" s="178"/>
      <c r="J3403" s="184"/>
      <c r="BB3403" s="169"/>
    </row>
    <row r="3404" spans="1:54" ht="15.75" customHeight="1">
      <c r="A3404" s="169"/>
      <c r="C3404" s="169"/>
      <c r="F3404" s="169"/>
      <c r="H3404" s="178"/>
      <c r="I3404" s="178"/>
      <c r="J3404" s="184"/>
      <c r="BB3404" s="169"/>
    </row>
    <row r="3405" spans="1:54" ht="15.75" customHeight="1">
      <c r="A3405" s="169"/>
      <c r="C3405" s="169"/>
      <c r="F3405" s="169"/>
      <c r="H3405" s="178"/>
      <c r="I3405" s="178"/>
      <c r="J3405" s="184"/>
      <c r="BB3405" s="169"/>
    </row>
    <row r="3406" spans="1:54" ht="15.75" customHeight="1">
      <c r="A3406" s="169"/>
      <c r="C3406" s="169"/>
      <c r="F3406" s="169"/>
      <c r="H3406" s="178"/>
      <c r="I3406" s="178"/>
      <c r="J3406" s="184"/>
      <c r="BB3406" s="169"/>
    </row>
    <row r="3407" spans="1:54" ht="15.75" customHeight="1">
      <c r="A3407" s="169"/>
      <c r="C3407" s="169"/>
      <c r="F3407" s="169"/>
      <c r="H3407" s="178"/>
      <c r="I3407" s="178"/>
      <c r="J3407" s="184"/>
      <c r="BB3407" s="169"/>
    </row>
    <row r="3408" spans="1:54" ht="15.75" customHeight="1">
      <c r="A3408" s="169"/>
      <c r="C3408" s="169"/>
      <c r="F3408" s="169"/>
      <c r="H3408" s="178"/>
      <c r="I3408" s="178"/>
      <c r="J3408" s="184"/>
      <c r="BB3408" s="169"/>
    </row>
    <row r="3409" spans="1:54" ht="15.75" customHeight="1">
      <c r="A3409" s="169"/>
      <c r="C3409" s="169"/>
      <c r="F3409" s="169"/>
      <c r="H3409" s="178"/>
      <c r="I3409" s="178"/>
      <c r="J3409" s="184"/>
      <c r="BB3409" s="169"/>
    </row>
    <row r="3410" spans="1:54" ht="15.75" customHeight="1">
      <c r="A3410" s="169"/>
      <c r="C3410" s="169"/>
      <c r="F3410" s="169"/>
      <c r="H3410" s="178"/>
      <c r="I3410" s="178"/>
      <c r="J3410" s="184"/>
      <c r="BB3410" s="169"/>
    </row>
    <row r="3411" spans="1:54" ht="15.75" customHeight="1">
      <c r="A3411" s="169"/>
      <c r="C3411" s="169"/>
      <c r="F3411" s="169"/>
      <c r="H3411" s="178"/>
      <c r="I3411" s="178"/>
      <c r="J3411" s="184"/>
      <c r="BB3411" s="169"/>
    </row>
    <row r="3412" spans="1:54" ht="15.75" customHeight="1">
      <c r="A3412" s="169"/>
      <c r="C3412" s="169"/>
      <c r="F3412" s="169"/>
      <c r="H3412" s="178"/>
      <c r="I3412" s="178"/>
      <c r="J3412" s="184"/>
      <c r="BB3412" s="169"/>
    </row>
    <row r="3413" spans="1:54" ht="15.75" customHeight="1">
      <c r="A3413" s="169"/>
      <c r="C3413" s="169"/>
      <c r="F3413" s="169"/>
      <c r="H3413" s="178"/>
      <c r="I3413" s="178"/>
      <c r="J3413" s="184"/>
      <c r="BB3413" s="169"/>
    </row>
    <row r="3414" spans="1:54" ht="15.75" customHeight="1">
      <c r="A3414" s="169"/>
      <c r="C3414" s="169"/>
      <c r="F3414" s="169"/>
      <c r="H3414" s="178"/>
      <c r="I3414" s="178"/>
      <c r="J3414" s="184"/>
      <c r="BB3414" s="169"/>
    </row>
    <row r="3415" spans="1:54" ht="15.75" customHeight="1">
      <c r="A3415" s="169"/>
      <c r="C3415" s="169"/>
      <c r="F3415" s="169"/>
      <c r="H3415" s="178"/>
      <c r="I3415" s="178"/>
      <c r="J3415" s="184"/>
      <c r="BB3415" s="169"/>
    </row>
    <row r="3416" spans="1:54" ht="15.75" customHeight="1">
      <c r="A3416" s="169"/>
      <c r="C3416" s="169"/>
      <c r="F3416" s="169"/>
      <c r="H3416" s="178"/>
      <c r="I3416" s="178"/>
      <c r="J3416" s="184"/>
      <c r="BB3416" s="169"/>
    </row>
    <row r="3417" spans="1:54" ht="15.75" customHeight="1">
      <c r="A3417" s="169"/>
      <c r="C3417" s="169"/>
      <c r="F3417" s="169"/>
      <c r="H3417" s="178"/>
      <c r="I3417" s="178"/>
      <c r="J3417" s="184"/>
      <c r="BB3417" s="169"/>
    </row>
    <row r="3418" spans="1:54" ht="15.75" customHeight="1">
      <c r="A3418" s="169"/>
      <c r="C3418" s="169"/>
      <c r="F3418" s="169"/>
      <c r="H3418" s="178"/>
      <c r="I3418" s="178"/>
      <c r="J3418" s="184"/>
      <c r="BB3418" s="169"/>
    </row>
    <row r="3419" spans="1:54" ht="15.75" customHeight="1">
      <c r="A3419" s="169"/>
      <c r="C3419" s="169"/>
      <c r="F3419" s="169"/>
      <c r="H3419" s="178"/>
      <c r="I3419" s="178"/>
      <c r="J3419" s="184"/>
      <c r="BB3419" s="169"/>
    </row>
    <row r="3420" spans="1:54" ht="15.75" customHeight="1">
      <c r="A3420" s="169"/>
      <c r="C3420" s="169"/>
      <c r="F3420" s="169"/>
      <c r="H3420" s="178"/>
      <c r="I3420" s="178"/>
      <c r="J3420" s="184"/>
      <c r="BB3420" s="169"/>
    </row>
    <row r="3421" spans="1:54" ht="15.75" customHeight="1">
      <c r="A3421" s="169"/>
      <c r="C3421" s="169"/>
      <c r="F3421" s="169"/>
      <c r="H3421" s="178"/>
      <c r="I3421" s="178"/>
      <c r="J3421" s="184"/>
      <c r="BB3421" s="169"/>
    </row>
    <row r="3422" spans="1:54" ht="15.75" customHeight="1">
      <c r="A3422" s="169"/>
      <c r="C3422" s="169"/>
      <c r="F3422" s="169"/>
      <c r="H3422" s="178"/>
      <c r="I3422" s="178"/>
      <c r="J3422" s="184"/>
      <c r="BB3422" s="169"/>
    </row>
    <row r="3423" spans="1:54" ht="15.75" customHeight="1">
      <c r="A3423" s="169"/>
      <c r="C3423" s="169"/>
      <c r="F3423" s="169"/>
      <c r="H3423" s="178"/>
      <c r="I3423" s="178"/>
      <c r="J3423" s="184"/>
      <c r="BB3423" s="169"/>
    </row>
    <row r="3424" spans="1:54" ht="15.75" customHeight="1">
      <c r="A3424" s="169"/>
      <c r="C3424" s="169"/>
      <c r="F3424" s="169"/>
      <c r="H3424" s="178"/>
      <c r="I3424" s="178"/>
      <c r="J3424" s="184"/>
      <c r="BB3424" s="169"/>
    </row>
    <row r="3425" spans="1:54" ht="15.75" customHeight="1">
      <c r="A3425" s="169"/>
      <c r="C3425" s="169"/>
      <c r="F3425" s="169"/>
      <c r="H3425" s="178"/>
      <c r="I3425" s="178"/>
      <c r="J3425" s="184"/>
      <c r="BB3425" s="169"/>
    </row>
    <row r="3426" spans="1:54" ht="15.75" customHeight="1">
      <c r="A3426" s="169"/>
      <c r="C3426" s="169"/>
      <c r="F3426" s="169"/>
      <c r="H3426" s="178"/>
      <c r="I3426" s="178"/>
      <c r="J3426" s="184"/>
      <c r="BB3426" s="169"/>
    </row>
    <row r="3427" spans="1:54" ht="15.75" customHeight="1">
      <c r="A3427" s="169"/>
      <c r="C3427" s="169"/>
      <c r="F3427" s="169"/>
      <c r="H3427" s="178"/>
      <c r="I3427" s="178"/>
      <c r="J3427" s="184"/>
      <c r="BB3427" s="169"/>
    </row>
    <row r="3428" spans="1:54" ht="15.75" customHeight="1">
      <c r="A3428" s="169"/>
      <c r="C3428" s="169"/>
      <c r="F3428" s="169"/>
      <c r="H3428" s="178"/>
      <c r="I3428" s="178"/>
      <c r="J3428" s="184"/>
      <c r="BB3428" s="169"/>
    </row>
    <row r="3429" spans="1:54" ht="15.75" customHeight="1">
      <c r="A3429" s="169"/>
      <c r="C3429" s="169"/>
      <c r="F3429" s="169"/>
      <c r="H3429" s="178"/>
      <c r="I3429" s="178"/>
      <c r="J3429" s="184"/>
      <c r="BB3429" s="169"/>
    </row>
    <row r="3430" spans="1:54" ht="15.75" customHeight="1">
      <c r="A3430" s="169"/>
      <c r="C3430" s="169"/>
      <c r="F3430" s="169"/>
      <c r="H3430" s="178"/>
      <c r="I3430" s="178"/>
      <c r="J3430" s="184"/>
      <c r="BB3430" s="169"/>
    </row>
    <row r="3431" spans="1:54" ht="15.75" customHeight="1">
      <c r="A3431" s="169"/>
      <c r="C3431" s="169"/>
      <c r="F3431" s="169"/>
      <c r="H3431" s="178"/>
      <c r="I3431" s="178"/>
      <c r="J3431" s="184"/>
      <c r="BB3431" s="169"/>
    </row>
    <row r="3432" spans="1:54" ht="15.75" customHeight="1">
      <c r="A3432" s="169"/>
      <c r="C3432" s="169"/>
      <c r="F3432" s="169"/>
      <c r="H3432" s="178"/>
      <c r="I3432" s="178"/>
      <c r="J3432" s="184"/>
      <c r="BB3432" s="169"/>
    </row>
    <row r="3433" spans="1:54" ht="15.75" customHeight="1">
      <c r="A3433" s="169"/>
      <c r="C3433" s="169"/>
      <c r="F3433" s="169"/>
      <c r="H3433" s="178"/>
      <c r="I3433" s="178"/>
      <c r="J3433" s="184"/>
      <c r="BB3433" s="169"/>
    </row>
    <row r="3434" spans="1:54" ht="15.75" customHeight="1">
      <c r="A3434" s="169"/>
      <c r="C3434" s="169"/>
      <c r="F3434" s="169"/>
      <c r="H3434" s="178"/>
      <c r="I3434" s="178"/>
      <c r="J3434" s="184"/>
      <c r="BB3434" s="169"/>
    </row>
    <row r="3435" spans="1:54" ht="15.75" customHeight="1">
      <c r="A3435" s="169"/>
      <c r="C3435" s="169"/>
      <c r="F3435" s="169"/>
      <c r="H3435" s="178"/>
      <c r="I3435" s="178"/>
      <c r="J3435" s="184"/>
      <c r="BB3435" s="169"/>
    </row>
    <row r="3436" spans="1:54" ht="15.75" customHeight="1">
      <c r="A3436" s="169"/>
      <c r="C3436" s="169"/>
      <c r="F3436" s="169"/>
      <c r="H3436" s="178"/>
      <c r="I3436" s="178"/>
      <c r="J3436" s="184"/>
      <c r="BB3436" s="169"/>
    </row>
    <row r="3437" spans="1:54" ht="15.75" customHeight="1">
      <c r="A3437" s="169"/>
      <c r="C3437" s="169"/>
      <c r="F3437" s="169"/>
      <c r="H3437" s="178"/>
      <c r="I3437" s="178"/>
      <c r="J3437" s="184"/>
      <c r="BB3437" s="169"/>
    </row>
    <row r="3438" spans="1:54" ht="15.75" customHeight="1">
      <c r="A3438" s="169"/>
      <c r="C3438" s="169"/>
      <c r="F3438" s="169"/>
      <c r="H3438" s="178"/>
      <c r="I3438" s="178"/>
      <c r="J3438" s="184"/>
      <c r="BB3438" s="169"/>
    </row>
    <row r="3439" spans="1:54" ht="15.75" customHeight="1">
      <c r="A3439" s="169"/>
      <c r="C3439" s="169"/>
      <c r="F3439" s="169"/>
      <c r="H3439" s="178"/>
      <c r="I3439" s="178"/>
      <c r="J3439" s="184"/>
      <c r="BB3439" s="169"/>
    </row>
    <row r="3440" spans="1:54" ht="15.75" customHeight="1">
      <c r="A3440" s="169"/>
      <c r="C3440" s="169"/>
      <c r="F3440" s="169"/>
      <c r="H3440" s="178"/>
      <c r="I3440" s="178"/>
      <c r="J3440" s="184"/>
      <c r="BB3440" s="169"/>
    </row>
    <row r="3441" spans="1:54" ht="15.75" customHeight="1">
      <c r="A3441" s="169"/>
      <c r="C3441" s="169"/>
      <c r="F3441" s="169"/>
      <c r="H3441" s="178"/>
      <c r="I3441" s="178"/>
      <c r="J3441" s="184"/>
      <c r="BB3441" s="169"/>
    </row>
    <row r="3442" spans="1:54" ht="15.75" customHeight="1">
      <c r="A3442" s="169"/>
      <c r="C3442" s="169"/>
      <c r="F3442" s="169"/>
      <c r="H3442" s="178"/>
      <c r="I3442" s="178"/>
      <c r="J3442" s="184"/>
      <c r="BB3442" s="169"/>
    </row>
    <row r="3443" spans="1:54" ht="15.75" customHeight="1">
      <c r="A3443" s="169"/>
      <c r="C3443" s="169"/>
      <c r="F3443" s="169"/>
      <c r="H3443" s="178"/>
      <c r="I3443" s="178"/>
      <c r="J3443" s="184"/>
      <c r="BB3443" s="169"/>
    </row>
    <row r="3444" spans="1:54" ht="15.75" customHeight="1">
      <c r="A3444" s="169"/>
      <c r="C3444" s="169"/>
      <c r="F3444" s="169"/>
      <c r="H3444" s="178"/>
      <c r="I3444" s="178"/>
      <c r="J3444" s="184"/>
      <c r="BB3444" s="169"/>
    </row>
    <row r="3445" spans="1:54" ht="15.75" customHeight="1">
      <c r="A3445" s="169"/>
      <c r="C3445" s="169"/>
      <c r="F3445" s="169"/>
      <c r="H3445" s="178"/>
      <c r="I3445" s="178"/>
      <c r="J3445" s="184"/>
      <c r="BB3445" s="169"/>
    </row>
    <row r="3446" spans="1:54" ht="15.75" customHeight="1">
      <c r="A3446" s="169"/>
      <c r="C3446" s="169"/>
      <c r="F3446" s="169"/>
      <c r="H3446" s="178"/>
      <c r="I3446" s="178"/>
      <c r="J3446" s="184"/>
      <c r="BB3446" s="169"/>
    </row>
    <row r="3447" spans="1:54" ht="15.75" customHeight="1">
      <c r="A3447" s="169"/>
      <c r="C3447" s="169"/>
      <c r="F3447" s="169"/>
      <c r="H3447" s="178"/>
      <c r="I3447" s="178"/>
      <c r="J3447" s="184"/>
      <c r="BB3447" s="169"/>
    </row>
    <row r="3448" spans="1:54" ht="15.75" customHeight="1">
      <c r="A3448" s="169"/>
      <c r="C3448" s="169"/>
      <c r="F3448" s="169"/>
      <c r="H3448" s="178"/>
      <c r="I3448" s="178"/>
      <c r="J3448" s="184"/>
      <c r="BB3448" s="169"/>
    </row>
    <row r="3449" spans="1:54" ht="15.75" customHeight="1">
      <c r="A3449" s="169"/>
      <c r="C3449" s="169"/>
      <c r="F3449" s="169"/>
      <c r="H3449" s="178"/>
      <c r="I3449" s="178"/>
      <c r="J3449" s="184"/>
      <c r="BB3449" s="169"/>
    </row>
    <row r="3450" spans="1:54" ht="15.75" customHeight="1">
      <c r="A3450" s="169"/>
      <c r="C3450" s="169"/>
      <c r="F3450" s="169"/>
      <c r="H3450" s="178"/>
      <c r="I3450" s="178"/>
      <c r="J3450" s="184"/>
      <c r="BB3450" s="169"/>
    </row>
    <row r="3451" spans="1:54" ht="15.75" customHeight="1">
      <c r="A3451" s="169"/>
      <c r="C3451" s="169"/>
      <c r="F3451" s="169"/>
      <c r="H3451" s="178"/>
      <c r="I3451" s="178"/>
      <c r="J3451" s="184"/>
      <c r="BB3451" s="169"/>
    </row>
    <row r="3452" spans="1:54" ht="15.75" customHeight="1">
      <c r="A3452" s="169"/>
      <c r="C3452" s="169"/>
      <c r="F3452" s="169"/>
      <c r="H3452" s="178"/>
      <c r="I3452" s="178"/>
      <c r="J3452" s="184"/>
      <c r="BB3452" s="169"/>
    </row>
    <row r="3453" spans="1:54" ht="15.75" customHeight="1">
      <c r="A3453" s="169"/>
      <c r="C3453" s="169"/>
      <c r="F3453" s="169"/>
      <c r="H3453" s="178"/>
      <c r="I3453" s="178"/>
      <c r="J3453" s="184"/>
      <c r="BB3453" s="169"/>
    </row>
    <row r="3454" spans="1:54" ht="15.75" customHeight="1">
      <c r="A3454" s="169"/>
      <c r="C3454" s="169"/>
      <c r="F3454" s="169"/>
      <c r="H3454" s="178"/>
      <c r="I3454" s="178"/>
      <c r="J3454" s="184"/>
      <c r="BB3454" s="169"/>
    </row>
    <row r="3455" spans="1:54" ht="15.75" customHeight="1">
      <c r="A3455" s="169"/>
      <c r="C3455" s="169"/>
      <c r="F3455" s="169"/>
      <c r="H3455" s="178"/>
      <c r="I3455" s="178"/>
      <c r="J3455" s="184"/>
      <c r="BB3455" s="169"/>
    </row>
    <row r="3456" spans="1:54" ht="15.75" customHeight="1">
      <c r="A3456" s="169"/>
      <c r="C3456" s="169"/>
      <c r="F3456" s="169"/>
      <c r="H3456" s="178"/>
      <c r="I3456" s="178"/>
      <c r="J3456" s="184"/>
      <c r="BB3456" s="169"/>
    </row>
    <row r="3457" spans="1:54" ht="15.75" customHeight="1">
      <c r="A3457" s="169"/>
      <c r="C3457" s="169"/>
      <c r="F3457" s="169"/>
      <c r="H3457" s="178"/>
      <c r="I3457" s="178"/>
      <c r="J3457" s="184"/>
      <c r="BB3457" s="169"/>
    </row>
    <row r="3458" spans="1:54" ht="15.75" customHeight="1">
      <c r="A3458" s="169"/>
      <c r="C3458" s="169"/>
      <c r="F3458" s="169"/>
      <c r="H3458" s="178"/>
      <c r="I3458" s="178"/>
      <c r="J3458" s="184"/>
      <c r="BB3458" s="169"/>
    </row>
    <row r="3459" spans="1:54" ht="15.75" customHeight="1">
      <c r="A3459" s="169"/>
      <c r="C3459" s="169"/>
      <c r="F3459" s="169"/>
      <c r="H3459" s="178"/>
      <c r="I3459" s="178"/>
      <c r="J3459" s="184"/>
      <c r="BB3459" s="169"/>
    </row>
    <row r="3460" spans="1:54" ht="15.75" customHeight="1">
      <c r="A3460" s="169"/>
      <c r="C3460" s="169"/>
      <c r="F3460" s="169"/>
      <c r="H3460" s="178"/>
      <c r="I3460" s="178"/>
      <c r="J3460" s="184"/>
      <c r="BB3460" s="169"/>
    </row>
    <row r="3461" spans="1:54" ht="15.75" customHeight="1">
      <c r="A3461" s="169"/>
      <c r="C3461" s="169"/>
      <c r="F3461" s="169"/>
      <c r="H3461" s="178"/>
      <c r="I3461" s="178"/>
      <c r="J3461" s="184"/>
      <c r="BB3461" s="169"/>
    </row>
    <row r="3462" spans="1:54" ht="15.75" customHeight="1">
      <c r="A3462" s="169"/>
      <c r="C3462" s="169"/>
      <c r="F3462" s="169"/>
      <c r="H3462" s="178"/>
      <c r="I3462" s="178"/>
      <c r="J3462" s="184"/>
      <c r="BB3462" s="169"/>
    </row>
    <row r="3463" spans="1:54" ht="15.75" customHeight="1">
      <c r="A3463" s="169"/>
      <c r="C3463" s="169"/>
      <c r="F3463" s="169"/>
      <c r="H3463" s="178"/>
      <c r="I3463" s="178"/>
      <c r="J3463" s="184"/>
      <c r="BB3463" s="169"/>
    </row>
    <row r="3464" spans="1:54" ht="15.75" customHeight="1">
      <c r="A3464" s="169"/>
      <c r="C3464" s="169"/>
      <c r="F3464" s="169"/>
      <c r="H3464" s="178"/>
      <c r="I3464" s="178"/>
      <c r="J3464" s="184"/>
      <c r="BB3464" s="169"/>
    </row>
    <row r="3465" spans="1:54" ht="15.75" customHeight="1">
      <c r="A3465" s="169"/>
      <c r="C3465" s="169"/>
      <c r="F3465" s="169"/>
      <c r="H3465" s="178"/>
      <c r="I3465" s="178"/>
      <c r="J3465" s="184"/>
      <c r="BB3465" s="169"/>
    </row>
    <row r="3466" spans="1:54" ht="15.75" customHeight="1">
      <c r="A3466" s="169"/>
      <c r="C3466" s="169"/>
      <c r="F3466" s="169"/>
      <c r="H3466" s="178"/>
      <c r="I3466" s="178"/>
      <c r="J3466" s="184"/>
      <c r="BB3466" s="169"/>
    </row>
    <row r="3467" spans="1:54" ht="15.75" customHeight="1">
      <c r="A3467" s="169"/>
      <c r="C3467" s="169"/>
      <c r="F3467" s="169"/>
      <c r="H3467" s="178"/>
      <c r="I3467" s="178"/>
      <c r="J3467" s="184"/>
      <c r="BB3467" s="169"/>
    </row>
    <row r="3468" spans="1:54" ht="15.75" customHeight="1">
      <c r="A3468" s="169"/>
      <c r="C3468" s="169"/>
      <c r="F3468" s="169"/>
      <c r="H3468" s="178"/>
      <c r="I3468" s="178"/>
      <c r="J3468" s="184"/>
      <c r="BB3468" s="169"/>
    </row>
    <row r="3469" spans="1:54" ht="15.75" customHeight="1">
      <c r="A3469" s="169"/>
      <c r="C3469" s="169"/>
      <c r="F3469" s="169"/>
      <c r="H3469" s="178"/>
      <c r="I3469" s="178"/>
      <c r="J3469" s="184"/>
      <c r="BB3469" s="169"/>
    </row>
    <row r="3470" spans="1:54" ht="15.75" customHeight="1">
      <c r="A3470" s="169"/>
      <c r="C3470" s="169"/>
      <c r="F3470" s="169"/>
      <c r="H3470" s="178"/>
      <c r="I3470" s="178"/>
      <c r="J3470" s="184"/>
      <c r="BB3470" s="169"/>
    </row>
    <row r="3471" spans="1:54" ht="15.75" customHeight="1">
      <c r="A3471" s="169"/>
      <c r="C3471" s="169"/>
      <c r="F3471" s="169"/>
      <c r="H3471" s="178"/>
      <c r="I3471" s="178"/>
      <c r="J3471" s="184"/>
      <c r="BB3471" s="169"/>
    </row>
    <row r="3472" spans="1:54" ht="15.75" customHeight="1">
      <c r="A3472" s="169"/>
      <c r="C3472" s="169"/>
      <c r="F3472" s="169"/>
      <c r="H3472" s="178"/>
      <c r="I3472" s="178"/>
      <c r="J3472" s="184"/>
      <c r="BB3472" s="169"/>
    </row>
    <row r="3473" spans="1:54" ht="15.75" customHeight="1">
      <c r="A3473" s="169"/>
      <c r="C3473" s="169"/>
      <c r="F3473" s="169"/>
      <c r="H3473" s="178"/>
      <c r="I3473" s="178"/>
      <c r="J3473" s="184"/>
      <c r="BB3473" s="169"/>
    </row>
    <row r="3474" spans="1:54" ht="15.75" customHeight="1">
      <c r="A3474" s="169"/>
      <c r="C3474" s="169"/>
      <c r="F3474" s="169"/>
      <c r="H3474" s="178"/>
      <c r="I3474" s="178"/>
      <c r="J3474" s="184"/>
      <c r="BB3474" s="169"/>
    </row>
    <row r="3475" spans="1:54" ht="15.75" customHeight="1">
      <c r="A3475" s="169"/>
      <c r="C3475" s="169"/>
      <c r="F3475" s="169"/>
      <c r="H3475" s="178"/>
      <c r="I3475" s="178"/>
      <c r="J3475" s="184"/>
      <c r="BB3475" s="169"/>
    </row>
    <row r="3476" spans="1:54" ht="15.75" customHeight="1">
      <c r="A3476" s="169"/>
      <c r="C3476" s="169"/>
      <c r="F3476" s="169"/>
      <c r="H3476" s="178"/>
      <c r="I3476" s="178"/>
      <c r="J3476" s="184"/>
      <c r="BB3476" s="169"/>
    </row>
    <row r="3477" spans="1:54" ht="15.75" customHeight="1">
      <c r="A3477" s="169"/>
      <c r="C3477" s="169"/>
      <c r="F3477" s="169"/>
      <c r="H3477" s="178"/>
      <c r="I3477" s="178"/>
      <c r="J3477" s="184"/>
      <c r="BB3477" s="169"/>
    </row>
    <row r="3478" spans="1:54" ht="15.75" customHeight="1">
      <c r="A3478" s="169"/>
      <c r="C3478" s="169"/>
      <c r="F3478" s="169"/>
      <c r="H3478" s="178"/>
      <c r="I3478" s="178"/>
      <c r="J3478" s="184"/>
      <c r="BB3478" s="169"/>
    </row>
    <row r="3479" spans="1:54" ht="15.75" customHeight="1">
      <c r="A3479" s="169"/>
      <c r="C3479" s="169"/>
      <c r="F3479" s="169"/>
      <c r="H3479" s="178"/>
      <c r="I3479" s="178"/>
      <c r="J3479" s="184"/>
      <c r="BB3479" s="169"/>
    </row>
    <row r="3480" spans="1:54" ht="15.75" customHeight="1">
      <c r="A3480" s="169"/>
      <c r="C3480" s="169"/>
      <c r="F3480" s="169"/>
      <c r="H3480" s="178"/>
      <c r="I3480" s="178"/>
      <c r="J3480" s="184"/>
      <c r="BB3480" s="169"/>
    </row>
    <row r="3481" spans="1:54" ht="15.75" customHeight="1">
      <c r="A3481" s="169"/>
      <c r="C3481" s="169"/>
      <c r="F3481" s="169"/>
      <c r="H3481" s="178"/>
      <c r="I3481" s="178"/>
      <c r="J3481" s="184"/>
      <c r="BB3481" s="169"/>
    </row>
    <row r="3482" spans="1:54" ht="15.75" customHeight="1">
      <c r="A3482" s="169"/>
      <c r="C3482" s="169"/>
      <c r="F3482" s="169"/>
      <c r="H3482" s="178"/>
      <c r="I3482" s="178"/>
      <c r="J3482" s="184"/>
      <c r="BB3482" s="169"/>
    </row>
    <row r="3483" spans="1:54" ht="15.75" customHeight="1">
      <c r="A3483" s="169"/>
      <c r="C3483" s="169"/>
      <c r="F3483" s="169"/>
      <c r="H3483" s="178"/>
      <c r="I3483" s="178"/>
      <c r="J3483" s="184"/>
      <c r="BB3483" s="169"/>
    </row>
    <row r="3484" spans="1:54" ht="15.75" customHeight="1">
      <c r="A3484" s="169"/>
      <c r="C3484" s="169"/>
      <c r="F3484" s="169"/>
      <c r="H3484" s="178"/>
      <c r="I3484" s="178"/>
      <c r="J3484" s="184"/>
      <c r="BB3484" s="169"/>
    </row>
    <row r="3485" spans="1:54" ht="15.75" customHeight="1">
      <c r="A3485" s="169"/>
      <c r="C3485" s="169"/>
      <c r="F3485" s="169"/>
      <c r="H3485" s="178"/>
      <c r="I3485" s="178"/>
      <c r="J3485" s="184"/>
      <c r="BB3485" s="169"/>
    </row>
    <row r="3486" spans="1:54" ht="15.75" customHeight="1">
      <c r="A3486" s="169"/>
      <c r="C3486" s="169"/>
      <c r="F3486" s="169"/>
      <c r="H3486" s="178"/>
      <c r="I3486" s="178"/>
      <c r="J3486" s="184"/>
      <c r="BB3486" s="169"/>
    </row>
    <row r="3487" spans="1:54" ht="15.75" customHeight="1">
      <c r="A3487" s="169"/>
      <c r="C3487" s="169"/>
      <c r="F3487" s="169"/>
      <c r="H3487" s="178"/>
      <c r="I3487" s="178"/>
      <c r="J3487" s="184"/>
      <c r="BB3487" s="169"/>
    </row>
    <row r="3488" spans="1:54" ht="15.75" customHeight="1">
      <c r="A3488" s="169"/>
      <c r="C3488" s="169"/>
      <c r="F3488" s="169"/>
      <c r="H3488" s="178"/>
      <c r="I3488" s="178"/>
      <c r="J3488" s="184"/>
      <c r="BB3488" s="169"/>
    </row>
    <row r="3489" spans="1:54" ht="15.75" customHeight="1">
      <c r="A3489" s="169"/>
      <c r="C3489" s="169"/>
      <c r="F3489" s="169"/>
      <c r="H3489" s="178"/>
      <c r="I3489" s="178"/>
      <c r="J3489" s="184"/>
      <c r="BB3489" s="169"/>
    </row>
    <row r="3490" spans="1:54" ht="15.75" customHeight="1">
      <c r="A3490" s="169"/>
      <c r="C3490" s="169"/>
      <c r="F3490" s="169"/>
      <c r="H3490" s="178"/>
      <c r="I3490" s="178"/>
      <c r="J3490" s="184"/>
      <c r="BB3490" s="169"/>
    </row>
    <row r="3491" spans="1:54" ht="15.75" customHeight="1">
      <c r="A3491" s="169"/>
      <c r="C3491" s="169"/>
      <c r="F3491" s="169"/>
      <c r="H3491" s="178"/>
      <c r="I3491" s="178"/>
      <c r="J3491" s="184"/>
      <c r="BB3491" s="169"/>
    </row>
    <row r="3492" spans="1:54" ht="15.75" customHeight="1">
      <c r="A3492" s="169"/>
      <c r="C3492" s="169"/>
      <c r="F3492" s="169"/>
      <c r="H3492" s="178"/>
      <c r="I3492" s="178"/>
      <c r="J3492" s="184"/>
      <c r="BB3492" s="169"/>
    </row>
    <row r="3493" spans="1:54" ht="15.75" customHeight="1">
      <c r="A3493" s="169"/>
      <c r="C3493" s="169"/>
      <c r="F3493" s="169"/>
      <c r="H3493" s="178"/>
      <c r="I3493" s="178"/>
      <c r="J3493" s="184"/>
      <c r="BB3493" s="169"/>
    </row>
    <row r="3494" spans="1:54" ht="15.75" customHeight="1">
      <c r="A3494" s="169"/>
      <c r="C3494" s="169"/>
      <c r="F3494" s="169"/>
      <c r="H3494" s="178"/>
      <c r="I3494" s="178"/>
      <c r="J3494" s="184"/>
      <c r="BB3494" s="169"/>
    </row>
    <row r="3495" spans="1:54" ht="15.75" customHeight="1">
      <c r="A3495" s="169"/>
      <c r="C3495" s="169"/>
      <c r="F3495" s="169"/>
      <c r="H3495" s="178"/>
      <c r="I3495" s="178"/>
      <c r="J3495" s="184"/>
      <c r="BB3495" s="169"/>
    </row>
    <row r="3496" spans="1:54" ht="15.75" customHeight="1">
      <c r="A3496" s="169"/>
      <c r="C3496" s="169"/>
      <c r="F3496" s="169"/>
      <c r="H3496" s="178"/>
      <c r="I3496" s="178"/>
      <c r="J3496" s="184"/>
      <c r="BB3496" s="169"/>
    </row>
    <row r="3497" spans="1:54" ht="15.75" customHeight="1">
      <c r="A3497" s="169"/>
      <c r="C3497" s="169"/>
      <c r="F3497" s="169"/>
      <c r="H3497" s="178"/>
      <c r="I3497" s="178"/>
      <c r="J3497" s="184"/>
      <c r="BB3497" s="169"/>
    </row>
    <row r="3498" spans="1:54" ht="15.75" customHeight="1">
      <c r="A3498" s="169"/>
      <c r="C3498" s="169"/>
      <c r="F3498" s="169"/>
      <c r="H3498" s="178"/>
      <c r="I3498" s="178"/>
      <c r="J3498" s="184"/>
      <c r="BB3498" s="169"/>
    </row>
    <row r="3499" spans="1:54" ht="15.75" customHeight="1">
      <c r="A3499" s="169"/>
      <c r="C3499" s="169"/>
      <c r="F3499" s="169"/>
      <c r="H3499" s="178"/>
      <c r="I3499" s="178"/>
      <c r="J3499" s="184"/>
      <c r="BB3499" s="169"/>
    </row>
    <row r="3500" spans="1:54" ht="15.75" customHeight="1">
      <c r="A3500" s="169"/>
      <c r="C3500" s="169"/>
      <c r="F3500" s="169"/>
      <c r="H3500" s="178"/>
      <c r="I3500" s="178"/>
      <c r="J3500" s="184"/>
      <c r="BB3500" s="169"/>
    </row>
    <row r="3501" spans="1:54" ht="15.75" customHeight="1">
      <c r="A3501" s="169"/>
      <c r="C3501" s="169"/>
      <c r="F3501" s="169"/>
      <c r="H3501" s="178"/>
      <c r="I3501" s="178"/>
      <c r="J3501" s="184"/>
      <c r="BB3501" s="169"/>
    </row>
    <row r="3502" spans="1:54" ht="15.75" customHeight="1">
      <c r="A3502" s="169"/>
      <c r="C3502" s="169"/>
      <c r="F3502" s="169"/>
      <c r="H3502" s="178"/>
      <c r="I3502" s="178"/>
      <c r="J3502" s="184"/>
      <c r="BB3502" s="169"/>
    </row>
    <row r="3503" spans="1:54" ht="15.75" customHeight="1">
      <c r="A3503" s="169"/>
      <c r="C3503" s="169"/>
      <c r="F3503" s="169"/>
      <c r="H3503" s="178"/>
      <c r="I3503" s="178"/>
      <c r="J3503" s="184"/>
      <c r="BB3503" s="169"/>
    </row>
    <row r="3504" spans="1:54" ht="15.75" customHeight="1">
      <c r="A3504" s="169"/>
      <c r="C3504" s="169"/>
      <c r="F3504" s="169"/>
      <c r="H3504" s="178"/>
      <c r="I3504" s="178"/>
      <c r="J3504" s="184"/>
      <c r="BB3504" s="169"/>
    </row>
    <row r="3505" spans="1:54" ht="15.75" customHeight="1">
      <c r="A3505" s="169"/>
      <c r="C3505" s="169"/>
      <c r="F3505" s="169"/>
      <c r="H3505" s="178"/>
      <c r="I3505" s="178"/>
      <c r="J3505" s="184"/>
      <c r="BB3505" s="169"/>
    </row>
    <row r="3506" spans="1:54" ht="15.75" customHeight="1">
      <c r="A3506" s="169"/>
      <c r="C3506" s="169"/>
      <c r="F3506" s="169"/>
      <c r="H3506" s="178"/>
      <c r="I3506" s="178"/>
      <c r="J3506" s="184"/>
      <c r="BB3506" s="169"/>
    </row>
    <row r="3507" spans="1:54" ht="15.75" customHeight="1">
      <c r="A3507" s="169"/>
      <c r="C3507" s="169"/>
      <c r="F3507" s="169"/>
      <c r="H3507" s="178"/>
      <c r="I3507" s="178"/>
      <c r="J3507" s="184"/>
      <c r="BB3507" s="169"/>
    </row>
    <row r="3508" spans="1:54" ht="15.75" customHeight="1">
      <c r="A3508" s="169"/>
      <c r="C3508" s="169"/>
      <c r="F3508" s="169"/>
      <c r="H3508" s="178"/>
      <c r="I3508" s="178"/>
      <c r="J3508" s="184"/>
      <c r="BB3508" s="169"/>
    </row>
    <row r="3509" spans="1:54" ht="15.75" customHeight="1">
      <c r="A3509" s="169"/>
      <c r="C3509" s="169"/>
      <c r="F3509" s="169"/>
      <c r="H3509" s="178"/>
      <c r="I3509" s="178"/>
      <c r="J3509" s="184"/>
      <c r="BB3509" s="169"/>
    </row>
    <row r="3510" spans="1:54" ht="15.75" customHeight="1">
      <c r="A3510" s="169"/>
      <c r="C3510" s="169"/>
      <c r="F3510" s="169"/>
      <c r="H3510" s="178"/>
      <c r="I3510" s="178"/>
      <c r="J3510" s="184"/>
      <c r="BB3510" s="169"/>
    </row>
    <row r="3511" spans="1:54" ht="15.75" customHeight="1">
      <c r="A3511" s="169"/>
      <c r="C3511" s="169"/>
      <c r="F3511" s="169"/>
      <c r="H3511" s="178"/>
      <c r="I3511" s="178"/>
      <c r="J3511" s="184"/>
      <c r="BB3511" s="169"/>
    </row>
    <row r="3512" spans="1:54" ht="15.75" customHeight="1">
      <c r="A3512" s="169"/>
      <c r="C3512" s="169"/>
      <c r="F3512" s="169"/>
      <c r="H3512" s="178"/>
      <c r="I3512" s="178"/>
      <c r="J3512" s="184"/>
      <c r="BB3512" s="169"/>
    </row>
    <row r="3513" spans="1:54" ht="15.75" customHeight="1">
      <c r="A3513" s="169"/>
      <c r="C3513" s="169"/>
      <c r="F3513" s="169"/>
      <c r="H3513" s="178"/>
      <c r="I3513" s="178"/>
      <c r="J3513" s="184"/>
      <c r="BB3513" s="169"/>
    </row>
    <row r="3514" spans="1:54" ht="15.75" customHeight="1">
      <c r="A3514" s="169"/>
      <c r="C3514" s="169"/>
      <c r="F3514" s="169"/>
      <c r="H3514" s="178"/>
      <c r="I3514" s="178"/>
      <c r="J3514" s="184"/>
      <c r="BB3514" s="169"/>
    </row>
    <row r="3515" spans="1:54" ht="15.75" customHeight="1">
      <c r="A3515" s="169"/>
      <c r="C3515" s="169"/>
      <c r="F3515" s="169"/>
      <c r="H3515" s="178"/>
      <c r="I3515" s="178"/>
      <c r="J3515" s="184"/>
      <c r="BB3515" s="169"/>
    </row>
    <row r="3516" spans="1:54" ht="15.75" customHeight="1">
      <c r="A3516" s="169"/>
      <c r="C3516" s="169"/>
      <c r="F3516" s="169"/>
      <c r="H3516" s="178"/>
      <c r="I3516" s="178"/>
      <c r="J3516" s="184"/>
      <c r="BB3516" s="169"/>
    </row>
    <row r="3517" spans="1:54" ht="15.75" customHeight="1">
      <c r="A3517" s="169"/>
      <c r="C3517" s="169"/>
      <c r="F3517" s="169"/>
      <c r="H3517" s="178"/>
      <c r="I3517" s="178"/>
      <c r="J3517" s="184"/>
      <c r="BB3517" s="169"/>
    </row>
    <row r="3518" spans="1:54" ht="15.75" customHeight="1">
      <c r="A3518" s="169"/>
      <c r="C3518" s="169"/>
      <c r="F3518" s="169"/>
      <c r="H3518" s="178"/>
      <c r="I3518" s="178"/>
      <c r="J3518" s="184"/>
      <c r="BB3518" s="169"/>
    </row>
    <row r="3519" spans="1:54" ht="15.75" customHeight="1">
      <c r="A3519" s="169"/>
      <c r="C3519" s="169"/>
      <c r="F3519" s="169"/>
      <c r="H3519" s="178"/>
      <c r="I3519" s="178"/>
      <c r="J3519" s="184"/>
      <c r="BB3519" s="169"/>
    </row>
    <row r="3520" spans="1:54" ht="15.75" customHeight="1">
      <c r="A3520" s="169"/>
      <c r="C3520" s="169"/>
      <c r="F3520" s="169"/>
      <c r="H3520" s="178"/>
      <c r="I3520" s="178"/>
      <c r="J3520" s="184"/>
      <c r="BB3520" s="169"/>
    </row>
    <row r="3521" spans="1:54" ht="15.75" customHeight="1">
      <c r="A3521" s="169"/>
      <c r="C3521" s="169"/>
      <c r="F3521" s="169"/>
      <c r="H3521" s="178"/>
      <c r="I3521" s="178"/>
      <c r="J3521" s="184"/>
      <c r="BB3521" s="169"/>
    </row>
    <row r="3522" spans="1:54" ht="15.75" customHeight="1">
      <c r="A3522" s="169"/>
      <c r="C3522" s="169"/>
      <c r="F3522" s="169"/>
      <c r="H3522" s="178"/>
      <c r="I3522" s="178"/>
      <c r="J3522" s="184"/>
      <c r="BB3522" s="169"/>
    </row>
    <row r="3523" spans="1:54" ht="15.75" customHeight="1">
      <c r="A3523" s="169"/>
      <c r="C3523" s="169"/>
      <c r="F3523" s="169"/>
      <c r="H3523" s="178"/>
      <c r="I3523" s="178"/>
      <c r="J3523" s="184"/>
      <c r="BB3523" s="169"/>
    </row>
    <row r="3524" spans="1:54" ht="15.75" customHeight="1">
      <c r="A3524" s="169"/>
      <c r="C3524" s="169"/>
      <c r="F3524" s="169"/>
      <c r="H3524" s="178"/>
      <c r="I3524" s="178"/>
      <c r="J3524" s="184"/>
      <c r="BB3524" s="169"/>
    </row>
    <row r="3525" spans="1:54" ht="15.75" customHeight="1">
      <c r="A3525" s="169"/>
      <c r="C3525" s="169"/>
      <c r="F3525" s="169"/>
      <c r="H3525" s="178"/>
      <c r="I3525" s="178"/>
      <c r="J3525" s="184"/>
      <c r="BB3525" s="169"/>
    </row>
    <row r="3526" spans="1:54" ht="15.75" customHeight="1">
      <c r="A3526" s="169"/>
      <c r="C3526" s="169"/>
      <c r="F3526" s="169"/>
      <c r="H3526" s="178"/>
      <c r="I3526" s="178"/>
      <c r="J3526" s="184"/>
      <c r="BB3526" s="169"/>
    </row>
    <row r="3527" spans="1:54" ht="15.75" customHeight="1">
      <c r="A3527" s="169"/>
      <c r="C3527" s="169"/>
      <c r="F3527" s="169"/>
      <c r="H3527" s="178"/>
      <c r="I3527" s="178"/>
      <c r="J3527" s="184"/>
      <c r="BB3527" s="169"/>
    </row>
    <row r="3528" spans="1:54" ht="15.75" customHeight="1">
      <c r="A3528" s="169"/>
      <c r="C3528" s="169"/>
      <c r="F3528" s="169"/>
      <c r="H3528" s="178"/>
      <c r="I3528" s="178"/>
      <c r="J3528" s="184"/>
      <c r="BB3528" s="169"/>
    </row>
    <row r="3529" spans="1:54" ht="15.75" customHeight="1">
      <c r="A3529" s="169"/>
      <c r="C3529" s="169"/>
      <c r="F3529" s="169"/>
      <c r="H3529" s="178"/>
      <c r="I3529" s="178"/>
      <c r="J3529" s="184"/>
      <c r="BB3529" s="169"/>
    </row>
    <row r="3530" spans="1:54" ht="15.75" customHeight="1">
      <c r="A3530" s="169"/>
      <c r="C3530" s="169"/>
      <c r="F3530" s="169"/>
      <c r="H3530" s="178"/>
      <c r="I3530" s="178"/>
      <c r="J3530" s="184"/>
      <c r="BB3530" s="169"/>
    </row>
    <row r="3531" spans="1:54" ht="15.75" customHeight="1">
      <c r="A3531" s="169"/>
      <c r="C3531" s="169"/>
      <c r="F3531" s="169"/>
      <c r="H3531" s="178"/>
      <c r="I3531" s="178"/>
      <c r="J3531" s="184"/>
      <c r="BB3531" s="169"/>
    </row>
    <row r="3532" spans="1:54" ht="15.75" customHeight="1">
      <c r="A3532" s="169"/>
      <c r="C3532" s="169"/>
      <c r="F3532" s="169"/>
      <c r="H3532" s="178"/>
      <c r="I3532" s="178"/>
      <c r="J3532" s="184"/>
      <c r="BB3532" s="169"/>
    </row>
    <row r="3533" spans="1:54" ht="15.75" customHeight="1">
      <c r="A3533" s="169"/>
      <c r="C3533" s="169"/>
      <c r="F3533" s="169"/>
      <c r="H3533" s="178"/>
      <c r="I3533" s="178"/>
      <c r="J3533" s="184"/>
      <c r="BB3533" s="169"/>
    </row>
    <row r="3534" spans="1:54" ht="15.75" customHeight="1">
      <c r="A3534" s="169"/>
      <c r="C3534" s="169"/>
      <c r="F3534" s="169"/>
      <c r="H3534" s="178"/>
      <c r="I3534" s="178"/>
      <c r="J3534" s="184"/>
      <c r="BB3534" s="169"/>
    </row>
    <row r="3535" spans="1:54" ht="15.75" customHeight="1">
      <c r="A3535" s="169"/>
      <c r="C3535" s="169"/>
      <c r="F3535" s="169"/>
      <c r="H3535" s="178"/>
      <c r="I3535" s="178"/>
      <c r="J3535" s="184"/>
      <c r="BB3535" s="169"/>
    </row>
    <row r="3536" spans="1:54" ht="15.75" customHeight="1">
      <c r="A3536" s="169"/>
      <c r="C3536" s="169"/>
      <c r="F3536" s="169"/>
      <c r="H3536" s="178"/>
      <c r="I3536" s="178"/>
      <c r="J3536" s="184"/>
      <c r="BB3536" s="169"/>
    </row>
    <row r="3537" spans="1:54" ht="15.75" customHeight="1">
      <c r="A3537" s="169"/>
      <c r="C3537" s="169"/>
      <c r="F3537" s="169"/>
      <c r="H3537" s="178"/>
      <c r="I3537" s="178"/>
      <c r="J3537" s="184"/>
      <c r="BB3537" s="169"/>
    </row>
    <row r="3538" spans="1:54" ht="15.75" customHeight="1">
      <c r="A3538" s="169"/>
      <c r="C3538" s="169"/>
      <c r="F3538" s="169"/>
      <c r="H3538" s="178"/>
      <c r="I3538" s="178"/>
      <c r="J3538" s="184"/>
      <c r="BB3538" s="169"/>
    </row>
    <row r="3539" spans="1:54" ht="15.75" customHeight="1">
      <c r="A3539" s="169"/>
      <c r="C3539" s="169"/>
      <c r="F3539" s="169"/>
      <c r="H3539" s="178"/>
      <c r="I3539" s="178"/>
      <c r="J3539" s="184"/>
      <c r="BB3539" s="169"/>
    </row>
    <row r="3540" spans="1:54" ht="15.75" customHeight="1">
      <c r="A3540" s="169"/>
      <c r="C3540" s="169"/>
      <c r="F3540" s="169"/>
      <c r="H3540" s="178"/>
      <c r="I3540" s="178"/>
      <c r="J3540" s="184"/>
      <c r="BB3540" s="169"/>
    </row>
    <row r="3541" spans="1:54" ht="15.75" customHeight="1">
      <c r="A3541" s="169"/>
      <c r="C3541" s="169"/>
      <c r="F3541" s="169"/>
      <c r="H3541" s="178"/>
      <c r="I3541" s="178"/>
      <c r="J3541" s="184"/>
      <c r="BB3541" s="169"/>
    </row>
    <row r="3542" spans="1:54" ht="15.75" customHeight="1">
      <c r="A3542" s="169"/>
      <c r="C3542" s="169"/>
      <c r="F3542" s="169"/>
      <c r="H3542" s="178"/>
      <c r="I3542" s="178"/>
      <c r="J3542" s="184"/>
      <c r="BB3542" s="169"/>
    </row>
    <row r="3543" spans="1:54" ht="15.75" customHeight="1">
      <c r="A3543" s="169"/>
      <c r="C3543" s="169"/>
      <c r="F3543" s="169"/>
      <c r="H3543" s="178"/>
      <c r="I3543" s="178"/>
      <c r="J3543" s="184"/>
      <c r="BB3543" s="169"/>
    </row>
    <row r="3544" spans="1:54" ht="15.75" customHeight="1">
      <c r="A3544" s="169"/>
      <c r="C3544" s="169"/>
      <c r="F3544" s="169"/>
      <c r="H3544" s="178"/>
      <c r="I3544" s="178"/>
      <c r="J3544" s="184"/>
      <c r="BB3544" s="169"/>
    </row>
    <row r="3545" spans="1:54" ht="15.75" customHeight="1">
      <c r="A3545" s="169"/>
      <c r="C3545" s="169"/>
      <c r="F3545" s="169"/>
      <c r="H3545" s="178"/>
      <c r="I3545" s="178"/>
      <c r="J3545" s="184"/>
      <c r="BB3545" s="169"/>
    </row>
    <row r="3546" spans="1:54" ht="15.75" customHeight="1">
      <c r="A3546" s="169"/>
      <c r="C3546" s="169"/>
      <c r="F3546" s="169"/>
      <c r="H3546" s="178"/>
      <c r="I3546" s="178"/>
      <c r="J3546" s="184"/>
      <c r="BB3546" s="169"/>
    </row>
    <row r="3547" spans="1:54" ht="15.75" customHeight="1">
      <c r="A3547" s="169"/>
      <c r="C3547" s="169"/>
      <c r="F3547" s="169"/>
      <c r="H3547" s="178"/>
      <c r="I3547" s="178"/>
      <c r="J3547" s="184"/>
      <c r="BB3547" s="169"/>
    </row>
    <row r="3548" spans="1:54" ht="15.75" customHeight="1">
      <c r="A3548" s="169"/>
      <c r="C3548" s="169"/>
      <c r="F3548" s="169"/>
      <c r="H3548" s="178"/>
      <c r="I3548" s="178"/>
      <c r="J3548" s="184"/>
      <c r="BB3548" s="169"/>
    </row>
    <row r="3549" spans="1:54" ht="15.75" customHeight="1">
      <c r="A3549" s="169"/>
      <c r="C3549" s="169"/>
      <c r="F3549" s="169"/>
      <c r="H3549" s="178"/>
      <c r="I3549" s="178"/>
      <c r="J3549" s="184"/>
      <c r="BB3549" s="169"/>
    </row>
    <row r="3550" spans="1:54" ht="15.75" customHeight="1">
      <c r="A3550" s="169"/>
      <c r="C3550" s="169"/>
      <c r="F3550" s="169"/>
      <c r="H3550" s="178"/>
      <c r="I3550" s="178"/>
      <c r="J3550" s="184"/>
      <c r="BB3550" s="169"/>
    </row>
    <row r="3551" spans="1:54" ht="15.75" customHeight="1">
      <c r="A3551" s="169"/>
      <c r="C3551" s="169"/>
      <c r="F3551" s="169"/>
      <c r="H3551" s="178"/>
      <c r="I3551" s="178"/>
      <c r="J3551" s="184"/>
      <c r="BB3551" s="169"/>
    </row>
    <row r="3552" spans="1:54" ht="15.75" customHeight="1">
      <c r="A3552" s="169"/>
      <c r="C3552" s="169"/>
      <c r="F3552" s="169"/>
      <c r="H3552" s="178"/>
      <c r="I3552" s="178"/>
      <c r="J3552" s="184"/>
      <c r="BB3552" s="169"/>
    </row>
    <row r="3553" spans="1:54" ht="15.75" customHeight="1">
      <c r="A3553" s="169"/>
      <c r="C3553" s="169"/>
      <c r="F3553" s="169"/>
      <c r="H3553" s="178"/>
      <c r="I3553" s="178"/>
      <c r="J3553" s="184"/>
      <c r="BB3553" s="169"/>
    </row>
    <row r="3554" spans="1:54" ht="15.75" customHeight="1">
      <c r="A3554" s="169"/>
      <c r="C3554" s="169"/>
      <c r="F3554" s="169"/>
      <c r="H3554" s="178"/>
      <c r="I3554" s="178"/>
      <c r="J3554" s="184"/>
      <c r="BB3554" s="169"/>
    </row>
    <row r="3555" spans="1:54" ht="15.75" customHeight="1">
      <c r="A3555" s="169"/>
      <c r="C3555" s="169"/>
      <c r="F3555" s="169"/>
      <c r="H3555" s="178"/>
      <c r="I3555" s="178"/>
      <c r="J3555" s="184"/>
      <c r="BB3555" s="169"/>
    </row>
    <row r="3556" spans="1:54" ht="15.75" customHeight="1">
      <c r="A3556" s="169"/>
      <c r="C3556" s="169"/>
      <c r="F3556" s="169"/>
      <c r="H3556" s="178"/>
      <c r="I3556" s="178"/>
      <c r="J3556" s="184"/>
      <c r="BB3556" s="169"/>
    </row>
    <row r="3557" spans="1:54" ht="15.75" customHeight="1">
      <c r="A3557" s="169"/>
      <c r="C3557" s="169"/>
      <c r="F3557" s="169"/>
      <c r="H3557" s="178"/>
      <c r="I3557" s="178"/>
      <c r="J3557" s="184"/>
      <c r="BB3557" s="169"/>
    </row>
    <row r="3558" spans="1:54" ht="15.75" customHeight="1">
      <c r="A3558" s="169"/>
      <c r="C3558" s="169"/>
      <c r="F3558" s="169"/>
      <c r="H3558" s="178"/>
      <c r="I3558" s="178"/>
      <c r="J3558" s="184"/>
      <c r="BB3558" s="169"/>
    </row>
    <row r="3559" spans="1:54" ht="15.75" customHeight="1">
      <c r="A3559" s="169"/>
      <c r="C3559" s="169"/>
      <c r="F3559" s="169"/>
      <c r="H3559" s="178"/>
      <c r="I3559" s="178"/>
      <c r="J3559" s="184"/>
      <c r="BB3559" s="169"/>
    </row>
    <row r="3560" spans="1:54" ht="15.75" customHeight="1">
      <c r="A3560" s="169"/>
      <c r="C3560" s="169"/>
      <c r="F3560" s="169"/>
      <c r="H3560" s="178"/>
      <c r="I3560" s="178"/>
      <c r="J3560" s="184"/>
      <c r="BB3560" s="169"/>
    </row>
    <row r="3561" spans="1:54" ht="15.75" customHeight="1">
      <c r="A3561" s="169"/>
      <c r="C3561" s="169"/>
      <c r="F3561" s="169"/>
      <c r="H3561" s="178"/>
      <c r="I3561" s="178"/>
      <c r="J3561" s="184"/>
      <c r="BB3561" s="169"/>
    </row>
    <row r="3562" spans="1:54" ht="15.75" customHeight="1">
      <c r="A3562" s="169"/>
      <c r="C3562" s="169"/>
      <c r="F3562" s="169"/>
      <c r="H3562" s="178"/>
      <c r="I3562" s="178"/>
      <c r="J3562" s="184"/>
      <c r="BB3562" s="169"/>
    </row>
    <row r="3563" spans="1:54" ht="15.75" customHeight="1">
      <c r="A3563" s="169"/>
      <c r="C3563" s="169"/>
      <c r="F3563" s="169"/>
      <c r="H3563" s="178"/>
      <c r="I3563" s="178"/>
      <c r="J3563" s="184"/>
      <c r="BB3563" s="169"/>
    </row>
    <row r="3564" spans="1:54" ht="15.75" customHeight="1">
      <c r="A3564" s="169"/>
      <c r="C3564" s="169"/>
      <c r="F3564" s="169"/>
      <c r="H3564" s="178"/>
      <c r="I3564" s="178"/>
      <c r="J3564" s="184"/>
      <c r="BB3564" s="169"/>
    </row>
    <row r="3565" spans="1:54" ht="15.75" customHeight="1">
      <c r="A3565" s="169"/>
      <c r="C3565" s="169"/>
      <c r="F3565" s="169"/>
      <c r="H3565" s="178"/>
      <c r="I3565" s="178"/>
      <c r="J3565" s="184"/>
      <c r="BB3565" s="169"/>
    </row>
    <row r="3566" spans="1:54" ht="15.75" customHeight="1">
      <c r="A3566" s="169"/>
      <c r="C3566" s="169"/>
      <c r="F3566" s="169"/>
      <c r="H3566" s="178"/>
      <c r="I3566" s="178"/>
      <c r="J3566" s="184"/>
      <c r="BB3566" s="169"/>
    </row>
    <row r="3567" spans="1:54" ht="15.75" customHeight="1">
      <c r="A3567" s="169"/>
      <c r="C3567" s="169"/>
      <c r="F3567" s="169"/>
      <c r="H3567" s="178"/>
      <c r="I3567" s="178"/>
      <c r="J3567" s="184"/>
      <c r="BB3567" s="169"/>
    </row>
    <row r="3568" spans="1:54" ht="15.75" customHeight="1">
      <c r="A3568" s="169"/>
      <c r="C3568" s="169"/>
      <c r="F3568" s="169"/>
      <c r="H3568" s="178"/>
      <c r="I3568" s="178"/>
      <c r="J3568" s="184"/>
      <c r="BB3568" s="169"/>
    </row>
    <row r="3569" spans="1:54" ht="15.75" customHeight="1">
      <c r="A3569" s="169"/>
      <c r="C3569" s="169"/>
      <c r="F3569" s="169"/>
      <c r="H3569" s="178"/>
      <c r="I3569" s="178"/>
      <c r="J3569" s="184"/>
      <c r="BB3569" s="169"/>
    </row>
    <row r="3570" spans="1:54" ht="15.75" customHeight="1">
      <c r="A3570" s="169"/>
      <c r="C3570" s="169"/>
      <c r="F3570" s="169"/>
      <c r="H3570" s="178"/>
      <c r="I3570" s="178"/>
      <c r="J3570" s="184"/>
      <c r="BB3570" s="169"/>
    </row>
    <row r="3571" spans="1:54" ht="15.75" customHeight="1">
      <c r="A3571" s="169"/>
      <c r="C3571" s="169"/>
      <c r="F3571" s="169"/>
      <c r="H3571" s="178"/>
      <c r="I3571" s="178"/>
      <c r="J3571" s="184"/>
      <c r="BB3571" s="169"/>
    </row>
    <row r="3572" spans="1:54" ht="15.75" customHeight="1">
      <c r="A3572" s="169"/>
      <c r="C3572" s="169"/>
      <c r="F3572" s="169"/>
      <c r="H3572" s="178"/>
      <c r="I3572" s="178"/>
      <c r="J3572" s="184"/>
      <c r="BB3572" s="169"/>
    </row>
    <row r="3573" spans="1:54" ht="15.75" customHeight="1">
      <c r="A3573" s="169"/>
      <c r="C3573" s="169"/>
      <c r="F3573" s="169"/>
      <c r="H3573" s="178"/>
      <c r="I3573" s="178"/>
      <c r="J3573" s="184"/>
      <c r="BB3573" s="169"/>
    </row>
    <row r="3574" spans="1:54" ht="15.75" customHeight="1">
      <c r="A3574" s="169"/>
      <c r="C3574" s="169"/>
      <c r="F3574" s="169"/>
      <c r="H3574" s="178"/>
      <c r="I3574" s="178"/>
      <c r="J3574" s="184"/>
      <c r="BB3574" s="169"/>
    </row>
    <row r="3575" spans="1:54" ht="15.75" customHeight="1">
      <c r="A3575" s="169"/>
      <c r="C3575" s="169"/>
      <c r="F3575" s="169"/>
      <c r="H3575" s="178"/>
      <c r="I3575" s="178"/>
      <c r="J3575" s="184"/>
      <c r="BB3575" s="169"/>
    </row>
    <row r="3576" spans="1:54" ht="15.75" customHeight="1">
      <c r="A3576" s="169"/>
      <c r="C3576" s="169"/>
      <c r="F3576" s="169"/>
      <c r="H3576" s="178"/>
      <c r="I3576" s="178"/>
      <c r="J3576" s="184"/>
      <c r="BB3576" s="169"/>
    </row>
    <row r="3577" spans="1:54" ht="15.75" customHeight="1">
      <c r="A3577" s="169"/>
      <c r="C3577" s="169"/>
      <c r="F3577" s="169"/>
      <c r="H3577" s="178"/>
      <c r="I3577" s="178"/>
      <c r="J3577" s="184"/>
      <c r="BB3577" s="169"/>
    </row>
    <row r="3578" spans="1:54" ht="15.75" customHeight="1">
      <c r="A3578" s="169"/>
      <c r="C3578" s="169"/>
      <c r="F3578" s="169"/>
      <c r="H3578" s="178"/>
      <c r="I3578" s="178"/>
      <c r="J3578" s="184"/>
      <c r="BB3578" s="169"/>
    </row>
    <row r="3579" spans="1:54" ht="15.75" customHeight="1">
      <c r="A3579" s="169"/>
      <c r="C3579" s="169"/>
      <c r="F3579" s="169"/>
      <c r="H3579" s="178"/>
      <c r="I3579" s="178"/>
      <c r="J3579" s="184"/>
      <c r="BB3579" s="169"/>
    </row>
    <row r="3580" spans="1:54" ht="15.75" customHeight="1">
      <c r="A3580" s="169"/>
      <c r="C3580" s="169"/>
      <c r="F3580" s="169"/>
      <c r="H3580" s="178"/>
      <c r="I3580" s="178"/>
      <c r="J3580" s="184"/>
      <c r="BB3580" s="169"/>
    </row>
    <row r="3581" spans="1:54" ht="15.75" customHeight="1">
      <c r="A3581" s="169"/>
      <c r="C3581" s="169"/>
      <c r="F3581" s="169"/>
      <c r="H3581" s="178"/>
      <c r="I3581" s="178"/>
      <c r="J3581" s="184"/>
      <c r="BB3581" s="169"/>
    </row>
    <row r="3582" spans="1:54" ht="15.75" customHeight="1">
      <c r="A3582" s="169"/>
      <c r="C3582" s="169"/>
      <c r="F3582" s="169"/>
      <c r="H3582" s="178"/>
      <c r="I3582" s="178"/>
      <c r="J3582" s="184"/>
      <c r="BB3582" s="169"/>
    </row>
    <row r="3583" spans="1:54" ht="15.75" customHeight="1">
      <c r="A3583" s="169"/>
      <c r="C3583" s="169"/>
      <c r="F3583" s="169"/>
      <c r="H3583" s="178"/>
      <c r="I3583" s="178"/>
      <c r="J3583" s="184"/>
      <c r="BB3583" s="169"/>
    </row>
    <row r="3584" spans="1:54" ht="15.75" customHeight="1">
      <c r="A3584" s="169"/>
      <c r="C3584" s="169"/>
      <c r="F3584" s="169"/>
      <c r="H3584" s="178"/>
      <c r="I3584" s="178"/>
      <c r="J3584" s="184"/>
      <c r="BB3584" s="169"/>
    </row>
    <row r="3585" spans="1:54" ht="15.75" customHeight="1">
      <c r="A3585" s="169"/>
      <c r="C3585" s="169"/>
      <c r="F3585" s="169"/>
      <c r="H3585" s="178"/>
      <c r="I3585" s="178"/>
      <c r="J3585" s="184"/>
      <c r="BB3585" s="169"/>
    </row>
    <row r="3586" spans="1:54" ht="15.75" customHeight="1">
      <c r="A3586" s="169"/>
      <c r="C3586" s="169"/>
      <c r="F3586" s="169"/>
      <c r="H3586" s="178"/>
      <c r="I3586" s="178"/>
      <c r="J3586" s="184"/>
      <c r="BB3586" s="169"/>
    </row>
    <row r="3587" spans="1:54" ht="15.75" customHeight="1">
      <c r="A3587" s="169"/>
      <c r="C3587" s="169"/>
      <c r="F3587" s="169"/>
      <c r="H3587" s="178"/>
      <c r="I3587" s="178"/>
      <c r="J3587" s="184"/>
      <c r="BB3587" s="169"/>
    </row>
    <row r="3588" spans="1:54" ht="15.75" customHeight="1">
      <c r="A3588" s="169"/>
      <c r="C3588" s="169"/>
      <c r="F3588" s="169"/>
      <c r="H3588" s="178"/>
      <c r="I3588" s="178"/>
      <c r="J3588" s="184"/>
      <c r="BB3588" s="169"/>
    </row>
    <row r="3589" spans="1:54" ht="15.75" customHeight="1">
      <c r="A3589" s="169"/>
      <c r="C3589" s="169"/>
      <c r="F3589" s="169"/>
      <c r="H3589" s="178"/>
      <c r="I3589" s="178"/>
      <c r="J3589" s="184"/>
      <c r="BB3589" s="169"/>
    </row>
    <row r="3590" spans="1:54" ht="15.75" customHeight="1">
      <c r="A3590" s="169"/>
      <c r="C3590" s="169"/>
      <c r="F3590" s="169"/>
      <c r="H3590" s="178"/>
      <c r="I3590" s="178"/>
      <c r="J3590" s="184"/>
      <c r="BB3590" s="169"/>
    </row>
    <row r="3591" spans="1:54" ht="15.75" customHeight="1">
      <c r="A3591" s="169"/>
      <c r="C3591" s="169"/>
      <c r="F3591" s="169"/>
      <c r="H3591" s="178"/>
      <c r="I3591" s="178"/>
      <c r="J3591" s="184"/>
      <c r="BB3591" s="169"/>
    </row>
    <row r="3592" spans="1:54" ht="15.75" customHeight="1">
      <c r="A3592" s="169"/>
      <c r="C3592" s="169"/>
      <c r="F3592" s="169"/>
      <c r="H3592" s="178"/>
      <c r="I3592" s="178"/>
      <c r="J3592" s="184"/>
      <c r="BB3592" s="169"/>
    </row>
    <row r="3593" spans="1:54" ht="15.75" customHeight="1">
      <c r="A3593" s="169"/>
      <c r="C3593" s="169"/>
      <c r="F3593" s="169"/>
      <c r="H3593" s="178"/>
      <c r="I3593" s="178"/>
      <c r="J3593" s="184"/>
      <c r="BB3593" s="169"/>
    </row>
    <row r="3594" spans="1:54" ht="15.75" customHeight="1">
      <c r="A3594" s="169"/>
      <c r="C3594" s="169"/>
      <c r="F3594" s="169"/>
      <c r="H3594" s="178"/>
      <c r="I3594" s="178"/>
      <c r="J3594" s="184"/>
      <c r="BB3594" s="169"/>
    </row>
    <row r="3595" spans="1:54" ht="15.75" customHeight="1">
      <c r="A3595" s="169"/>
      <c r="C3595" s="169"/>
      <c r="F3595" s="169"/>
      <c r="H3595" s="178"/>
      <c r="I3595" s="178"/>
      <c r="J3595" s="184"/>
      <c r="BB3595" s="169"/>
    </row>
    <row r="3596" spans="1:54" ht="15.75" customHeight="1">
      <c r="A3596" s="169"/>
      <c r="C3596" s="169"/>
      <c r="F3596" s="169"/>
      <c r="H3596" s="178"/>
      <c r="I3596" s="178"/>
      <c r="J3596" s="184"/>
      <c r="BB3596" s="169"/>
    </row>
    <row r="3597" spans="1:54" ht="15.75" customHeight="1">
      <c r="A3597" s="169"/>
      <c r="C3597" s="169"/>
      <c r="F3597" s="169"/>
      <c r="H3597" s="178"/>
      <c r="I3597" s="178"/>
      <c r="J3597" s="184"/>
      <c r="BB3597" s="169"/>
    </row>
    <row r="3598" spans="1:54" ht="15.75" customHeight="1">
      <c r="A3598" s="169"/>
      <c r="C3598" s="169"/>
      <c r="F3598" s="169"/>
      <c r="H3598" s="178"/>
      <c r="I3598" s="178"/>
      <c r="J3598" s="184"/>
      <c r="BB3598" s="169"/>
    </row>
    <row r="3599" spans="1:54" ht="15.75" customHeight="1">
      <c r="A3599" s="169"/>
      <c r="C3599" s="169"/>
      <c r="F3599" s="169"/>
      <c r="H3599" s="178"/>
      <c r="I3599" s="178"/>
      <c r="J3599" s="184"/>
      <c r="BB3599" s="169"/>
    </row>
    <row r="3600" spans="1:54" ht="15.75" customHeight="1">
      <c r="A3600" s="169"/>
      <c r="C3600" s="169"/>
      <c r="F3600" s="169"/>
      <c r="H3600" s="178"/>
      <c r="I3600" s="178"/>
      <c r="J3600" s="184"/>
      <c r="BB3600" s="169"/>
    </row>
    <row r="3601" spans="1:54" ht="15.75" customHeight="1">
      <c r="A3601" s="169"/>
      <c r="C3601" s="169"/>
      <c r="F3601" s="169"/>
      <c r="H3601" s="178"/>
      <c r="I3601" s="178"/>
      <c r="J3601" s="184"/>
      <c r="BB3601" s="169"/>
    </row>
    <row r="3602" spans="1:54" ht="15.75" customHeight="1">
      <c r="A3602" s="169"/>
      <c r="C3602" s="169"/>
      <c r="F3602" s="169"/>
      <c r="H3602" s="178"/>
      <c r="I3602" s="178"/>
      <c r="J3602" s="184"/>
      <c r="BB3602" s="169"/>
    </row>
    <row r="3603" spans="1:54" ht="15.75" customHeight="1">
      <c r="A3603" s="169"/>
      <c r="C3603" s="169"/>
      <c r="F3603" s="169"/>
      <c r="H3603" s="178"/>
      <c r="I3603" s="178"/>
      <c r="J3603" s="184"/>
      <c r="BB3603" s="169"/>
    </row>
    <row r="3604" spans="1:54" ht="15.75" customHeight="1">
      <c r="A3604" s="169"/>
      <c r="C3604" s="169"/>
      <c r="F3604" s="169"/>
      <c r="H3604" s="178"/>
      <c r="I3604" s="178"/>
      <c r="J3604" s="184"/>
      <c r="BB3604" s="169"/>
    </row>
    <row r="3605" spans="1:54" ht="15.75" customHeight="1">
      <c r="A3605" s="169"/>
      <c r="C3605" s="169"/>
      <c r="F3605" s="169"/>
      <c r="H3605" s="178"/>
      <c r="I3605" s="178"/>
      <c r="J3605" s="184"/>
      <c r="BB3605" s="169"/>
    </row>
    <row r="3606" spans="1:54" ht="15.75" customHeight="1">
      <c r="A3606" s="169"/>
      <c r="C3606" s="169"/>
      <c r="F3606" s="169"/>
      <c r="H3606" s="178"/>
      <c r="I3606" s="178"/>
      <c r="J3606" s="184"/>
      <c r="BB3606" s="169"/>
    </row>
    <row r="3607" spans="1:54" ht="15.75" customHeight="1">
      <c r="A3607" s="169"/>
      <c r="C3607" s="169"/>
      <c r="F3607" s="169"/>
      <c r="H3607" s="178"/>
      <c r="I3607" s="178"/>
      <c r="J3607" s="184"/>
      <c r="BB3607" s="169"/>
    </row>
    <row r="3608" spans="1:54" ht="15.75" customHeight="1">
      <c r="A3608" s="169"/>
      <c r="C3608" s="169"/>
      <c r="F3608" s="169"/>
      <c r="H3608" s="178"/>
      <c r="I3608" s="178"/>
      <c r="J3608" s="184"/>
      <c r="BB3608" s="169"/>
    </row>
    <row r="3609" spans="1:54" ht="15.75" customHeight="1">
      <c r="A3609" s="169"/>
      <c r="C3609" s="169"/>
      <c r="F3609" s="169"/>
      <c r="H3609" s="178"/>
      <c r="I3609" s="178"/>
      <c r="J3609" s="184"/>
      <c r="BB3609" s="169"/>
    </row>
    <row r="3610" spans="1:54" ht="15.75" customHeight="1">
      <c r="A3610" s="169"/>
      <c r="C3610" s="169"/>
      <c r="F3610" s="169"/>
      <c r="H3610" s="178"/>
      <c r="I3610" s="178"/>
      <c r="J3610" s="184"/>
      <c r="BB3610" s="169"/>
    </row>
    <row r="3611" spans="1:54" ht="15.75" customHeight="1">
      <c r="A3611" s="169"/>
      <c r="C3611" s="169"/>
      <c r="F3611" s="169"/>
      <c r="H3611" s="178"/>
      <c r="I3611" s="178"/>
      <c r="J3611" s="184"/>
      <c r="BB3611" s="169"/>
    </row>
    <row r="3612" spans="1:54" ht="15.75" customHeight="1">
      <c r="A3612" s="169"/>
      <c r="C3612" s="169"/>
      <c r="F3612" s="169"/>
      <c r="H3612" s="178"/>
      <c r="I3612" s="178"/>
      <c r="J3612" s="184"/>
      <c r="BB3612" s="169"/>
    </row>
    <row r="3613" spans="1:54" ht="15.75" customHeight="1">
      <c r="A3613" s="169"/>
      <c r="C3613" s="169"/>
      <c r="F3613" s="169"/>
      <c r="H3613" s="178"/>
      <c r="I3613" s="178"/>
      <c r="J3613" s="184"/>
      <c r="BB3613" s="169"/>
    </row>
    <row r="3614" spans="1:54" ht="15.75" customHeight="1">
      <c r="A3614" s="169"/>
      <c r="C3614" s="169"/>
      <c r="F3614" s="169"/>
      <c r="H3614" s="178"/>
      <c r="I3614" s="178"/>
      <c r="J3614" s="184"/>
      <c r="BB3614" s="169"/>
    </row>
    <row r="3615" spans="1:54" ht="15.75" customHeight="1">
      <c r="A3615" s="169"/>
      <c r="C3615" s="169"/>
      <c r="F3615" s="169"/>
      <c r="H3615" s="178"/>
      <c r="I3615" s="178"/>
      <c r="J3615" s="184"/>
      <c r="BB3615" s="169"/>
    </row>
    <row r="3616" spans="1:54" ht="15.75" customHeight="1">
      <c r="A3616" s="169"/>
      <c r="C3616" s="169"/>
      <c r="F3616" s="169"/>
      <c r="H3616" s="178"/>
      <c r="I3616" s="178"/>
      <c r="J3616" s="184"/>
      <c r="BB3616" s="169"/>
    </row>
    <row r="3617" spans="1:54" ht="15.75" customHeight="1">
      <c r="A3617" s="169"/>
      <c r="C3617" s="169"/>
      <c r="F3617" s="169"/>
      <c r="H3617" s="178"/>
      <c r="I3617" s="178"/>
      <c r="J3617" s="184"/>
      <c r="BB3617" s="169"/>
    </row>
    <row r="3618" spans="1:54" ht="15.75" customHeight="1">
      <c r="A3618" s="169"/>
      <c r="C3618" s="169"/>
      <c r="F3618" s="169"/>
      <c r="H3618" s="178"/>
      <c r="I3618" s="178"/>
      <c r="J3618" s="184"/>
      <c r="BB3618" s="169"/>
    </row>
    <row r="3619" spans="1:54" ht="15.75" customHeight="1">
      <c r="A3619" s="169"/>
      <c r="C3619" s="169"/>
      <c r="F3619" s="169"/>
      <c r="H3619" s="178"/>
      <c r="I3619" s="178"/>
      <c r="J3619" s="184"/>
      <c r="BB3619" s="169"/>
    </row>
    <row r="3620" spans="1:54" ht="15.75" customHeight="1">
      <c r="A3620" s="169"/>
      <c r="C3620" s="169"/>
      <c r="F3620" s="169"/>
      <c r="H3620" s="178"/>
      <c r="I3620" s="178"/>
      <c r="J3620" s="184"/>
      <c r="BB3620" s="169"/>
    </row>
    <row r="3621" spans="1:54" ht="15.75" customHeight="1">
      <c r="A3621" s="169"/>
      <c r="C3621" s="169"/>
      <c r="F3621" s="169"/>
      <c r="H3621" s="178"/>
      <c r="I3621" s="178"/>
      <c r="J3621" s="184"/>
      <c r="BB3621" s="169"/>
    </row>
    <row r="3622" spans="1:54" ht="15.75" customHeight="1">
      <c r="A3622" s="169"/>
      <c r="C3622" s="169"/>
      <c r="F3622" s="169"/>
      <c r="H3622" s="178"/>
      <c r="I3622" s="178"/>
      <c r="J3622" s="184"/>
      <c r="BB3622" s="169"/>
    </row>
    <row r="3623" spans="1:54" ht="15.75" customHeight="1">
      <c r="A3623" s="169"/>
      <c r="C3623" s="169"/>
      <c r="F3623" s="169"/>
      <c r="H3623" s="178"/>
      <c r="I3623" s="178"/>
      <c r="J3623" s="184"/>
      <c r="BB3623" s="169"/>
    </row>
    <row r="3624" spans="1:54" ht="15.75" customHeight="1">
      <c r="A3624" s="169"/>
      <c r="C3624" s="169"/>
      <c r="F3624" s="169"/>
      <c r="H3624" s="178"/>
      <c r="I3624" s="178"/>
      <c r="J3624" s="184"/>
      <c r="BB3624" s="169"/>
    </row>
    <row r="3625" spans="1:54" ht="15.75" customHeight="1">
      <c r="A3625" s="169"/>
      <c r="C3625" s="169"/>
      <c r="F3625" s="169"/>
      <c r="H3625" s="178"/>
      <c r="I3625" s="178"/>
      <c r="J3625" s="184"/>
      <c r="BB3625" s="169"/>
    </row>
    <row r="3626" spans="1:54" ht="15.75" customHeight="1">
      <c r="A3626" s="169"/>
      <c r="C3626" s="169"/>
      <c r="F3626" s="169"/>
      <c r="H3626" s="178"/>
      <c r="I3626" s="178"/>
      <c r="J3626" s="184"/>
      <c r="BB3626" s="169"/>
    </row>
    <row r="3627" spans="1:54" ht="15.75" customHeight="1">
      <c r="A3627" s="169"/>
      <c r="C3627" s="169"/>
      <c r="F3627" s="169"/>
      <c r="H3627" s="178"/>
      <c r="I3627" s="178"/>
      <c r="J3627" s="184"/>
      <c r="BB3627" s="169"/>
    </row>
    <row r="3628" spans="1:54" ht="15.75" customHeight="1">
      <c r="A3628" s="169"/>
      <c r="C3628" s="169"/>
      <c r="F3628" s="169"/>
      <c r="H3628" s="178"/>
      <c r="I3628" s="178"/>
      <c r="J3628" s="184"/>
      <c r="BB3628" s="169"/>
    </row>
    <row r="3629" spans="1:54" ht="15.75" customHeight="1">
      <c r="A3629" s="169"/>
      <c r="C3629" s="169"/>
      <c r="F3629" s="169"/>
      <c r="H3629" s="178"/>
      <c r="I3629" s="178"/>
      <c r="J3629" s="184"/>
      <c r="BB3629" s="169"/>
    </row>
    <row r="3630" spans="1:54" ht="15.75" customHeight="1">
      <c r="A3630" s="169"/>
      <c r="C3630" s="169"/>
      <c r="F3630" s="169"/>
      <c r="H3630" s="178"/>
      <c r="I3630" s="178"/>
      <c r="J3630" s="184"/>
      <c r="BB3630" s="169"/>
    </row>
    <row r="3631" spans="1:54" ht="15.75" customHeight="1">
      <c r="A3631" s="169"/>
      <c r="C3631" s="169"/>
      <c r="F3631" s="169"/>
      <c r="H3631" s="178"/>
      <c r="I3631" s="178"/>
      <c r="J3631" s="184"/>
      <c r="BB3631" s="169"/>
    </row>
    <row r="3632" spans="1:54" ht="15.75" customHeight="1">
      <c r="A3632" s="169"/>
      <c r="C3632" s="169"/>
      <c r="F3632" s="169"/>
      <c r="H3632" s="178"/>
      <c r="I3632" s="178"/>
      <c r="J3632" s="184"/>
      <c r="BB3632" s="169"/>
    </row>
    <row r="3633" spans="1:54" ht="15.75" customHeight="1">
      <c r="A3633" s="169"/>
      <c r="C3633" s="169"/>
      <c r="F3633" s="169"/>
      <c r="H3633" s="178"/>
      <c r="I3633" s="178"/>
      <c r="J3633" s="184"/>
      <c r="BB3633" s="169"/>
    </row>
    <row r="3634" spans="1:54" ht="15.75" customHeight="1">
      <c r="A3634" s="169"/>
      <c r="C3634" s="169"/>
      <c r="F3634" s="169"/>
      <c r="H3634" s="178"/>
      <c r="I3634" s="178"/>
      <c r="J3634" s="184"/>
      <c r="BB3634" s="169"/>
    </row>
    <row r="3635" spans="1:54" ht="15.75" customHeight="1">
      <c r="A3635" s="169"/>
      <c r="C3635" s="169"/>
      <c r="F3635" s="169"/>
      <c r="H3635" s="178"/>
      <c r="I3635" s="178"/>
      <c r="J3635" s="184"/>
      <c r="BB3635" s="169"/>
    </row>
    <row r="3636" spans="1:54" ht="15.75" customHeight="1">
      <c r="A3636" s="169"/>
      <c r="C3636" s="169"/>
      <c r="F3636" s="169"/>
      <c r="H3636" s="178"/>
      <c r="I3636" s="178"/>
      <c r="J3636" s="184"/>
      <c r="BB3636" s="169"/>
    </row>
    <row r="3637" spans="1:54" ht="15.75" customHeight="1">
      <c r="A3637" s="169"/>
      <c r="C3637" s="169"/>
      <c r="F3637" s="169"/>
      <c r="H3637" s="178"/>
      <c r="I3637" s="178"/>
      <c r="J3637" s="184"/>
      <c r="BB3637" s="169"/>
    </row>
    <row r="3638" spans="1:54" ht="15.75" customHeight="1">
      <c r="A3638" s="169"/>
      <c r="C3638" s="169"/>
      <c r="F3638" s="169"/>
      <c r="H3638" s="178"/>
      <c r="I3638" s="178"/>
      <c r="J3638" s="184"/>
      <c r="BB3638" s="169"/>
    </row>
    <row r="3639" spans="1:54" ht="15.75" customHeight="1">
      <c r="A3639" s="169"/>
      <c r="C3639" s="169"/>
      <c r="F3639" s="169"/>
      <c r="H3639" s="178"/>
      <c r="I3639" s="178"/>
      <c r="J3639" s="184"/>
      <c r="BB3639" s="169"/>
    </row>
    <row r="3640" spans="1:54" ht="15.75" customHeight="1">
      <c r="A3640" s="169"/>
      <c r="C3640" s="169"/>
      <c r="F3640" s="169"/>
      <c r="H3640" s="178"/>
      <c r="I3640" s="178"/>
      <c r="J3640" s="184"/>
      <c r="BB3640" s="169"/>
    </row>
    <row r="3641" spans="1:54" ht="15.75" customHeight="1">
      <c r="A3641" s="169"/>
      <c r="C3641" s="169"/>
      <c r="F3641" s="169"/>
      <c r="H3641" s="178"/>
      <c r="I3641" s="178"/>
      <c r="J3641" s="184"/>
      <c r="BB3641" s="169"/>
    </row>
    <row r="3642" spans="1:54" ht="15.75" customHeight="1">
      <c r="A3642" s="169"/>
      <c r="C3642" s="169"/>
      <c r="F3642" s="169"/>
      <c r="H3642" s="178"/>
      <c r="I3642" s="178"/>
      <c r="J3642" s="184"/>
      <c r="BB3642" s="169"/>
    </row>
    <row r="3643" spans="1:54" ht="15.75" customHeight="1">
      <c r="A3643" s="169"/>
      <c r="C3643" s="169"/>
      <c r="F3643" s="169"/>
      <c r="H3643" s="178"/>
      <c r="I3643" s="178"/>
      <c r="J3643" s="184"/>
      <c r="BB3643" s="169"/>
    </row>
    <row r="3644" spans="1:54" ht="15.75" customHeight="1">
      <c r="A3644" s="169"/>
      <c r="C3644" s="169"/>
      <c r="F3644" s="169"/>
      <c r="H3644" s="178"/>
      <c r="I3644" s="178"/>
      <c r="J3644" s="184"/>
      <c r="BB3644" s="169"/>
    </row>
    <row r="3645" spans="1:54" ht="15.75" customHeight="1">
      <c r="A3645" s="169"/>
      <c r="C3645" s="169"/>
      <c r="F3645" s="169"/>
      <c r="H3645" s="178"/>
      <c r="I3645" s="178"/>
      <c r="J3645" s="184"/>
      <c r="BB3645" s="169"/>
    </row>
    <row r="3646" spans="1:54" ht="15.75" customHeight="1">
      <c r="A3646" s="169"/>
      <c r="C3646" s="169"/>
      <c r="F3646" s="169"/>
      <c r="H3646" s="178"/>
      <c r="I3646" s="178"/>
      <c r="J3646" s="184"/>
      <c r="BB3646" s="169"/>
    </row>
    <row r="3647" spans="1:54" ht="15.75" customHeight="1">
      <c r="A3647" s="169"/>
      <c r="C3647" s="169"/>
      <c r="F3647" s="169"/>
      <c r="H3647" s="178"/>
      <c r="I3647" s="178"/>
      <c r="J3647" s="184"/>
      <c r="BB3647" s="169"/>
    </row>
    <row r="3648" spans="1:54" ht="15.75" customHeight="1">
      <c r="A3648" s="169"/>
      <c r="C3648" s="169"/>
      <c r="F3648" s="169"/>
      <c r="H3648" s="178"/>
      <c r="I3648" s="178"/>
      <c r="J3648" s="184"/>
      <c r="BB3648" s="169"/>
    </row>
    <row r="3649" spans="1:54" ht="15.75" customHeight="1">
      <c r="A3649" s="169"/>
      <c r="C3649" s="169"/>
      <c r="F3649" s="169"/>
      <c r="H3649" s="178"/>
      <c r="I3649" s="178"/>
      <c r="J3649" s="184"/>
      <c r="BB3649" s="169"/>
    </row>
    <row r="3650" spans="1:54" ht="15.75" customHeight="1">
      <c r="A3650" s="169"/>
      <c r="C3650" s="169"/>
      <c r="F3650" s="169"/>
      <c r="H3650" s="178"/>
      <c r="I3650" s="178"/>
      <c r="J3650" s="184"/>
      <c r="BB3650" s="169"/>
    </row>
    <row r="3651" spans="1:54" ht="15.75" customHeight="1">
      <c r="A3651" s="169"/>
      <c r="C3651" s="169"/>
      <c r="F3651" s="169"/>
      <c r="H3651" s="178"/>
      <c r="I3651" s="178"/>
      <c r="J3651" s="184"/>
      <c r="BB3651" s="169"/>
    </row>
    <row r="3652" spans="1:54" ht="15.75" customHeight="1">
      <c r="A3652" s="169"/>
      <c r="C3652" s="169"/>
      <c r="F3652" s="169"/>
      <c r="H3652" s="178"/>
      <c r="I3652" s="178"/>
      <c r="J3652" s="184"/>
      <c r="BB3652" s="169"/>
    </row>
    <row r="3653" spans="1:54" ht="15.75" customHeight="1">
      <c r="A3653" s="169"/>
      <c r="C3653" s="169"/>
      <c r="F3653" s="169"/>
      <c r="H3653" s="178"/>
      <c r="I3653" s="178"/>
      <c r="J3653" s="184"/>
      <c r="BB3653" s="169"/>
    </row>
    <row r="3654" spans="1:54" ht="15.75" customHeight="1">
      <c r="A3654" s="169"/>
      <c r="C3654" s="169"/>
      <c r="F3654" s="169"/>
      <c r="H3654" s="178"/>
      <c r="I3654" s="178"/>
      <c r="J3654" s="184"/>
      <c r="BB3654" s="169"/>
    </row>
    <row r="3655" spans="1:54" ht="15.75" customHeight="1">
      <c r="A3655" s="169"/>
      <c r="C3655" s="169"/>
      <c r="F3655" s="169"/>
      <c r="H3655" s="178"/>
      <c r="I3655" s="178"/>
      <c r="J3655" s="184"/>
      <c r="BB3655" s="169"/>
    </row>
    <row r="3656" spans="1:54" ht="15.75" customHeight="1">
      <c r="A3656" s="169"/>
      <c r="C3656" s="169"/>
      <c r="F3656" s="169"/>
      <c r="H3656" s="178"/>
      <c r="I3656" s="178"/>
      <c r="J3656" s="184"/>
      <c r="BB3656" s="169"/>
    </row>
    <row r="3657" spans="1:54" ht="15.75" customHeight="1">
      <c r="A3657" s="169"/>
      <c r="C3657" s="169"/>
      <c r="F3657" s="169"/>
      <c r="H3657" s="178"/>
      <c r="I3657" s="178"/>
      <c r="J3657" s="184"/>
      <c r="BB3657" s="169"/>
    </row>
    <row r="3658" spans="1:54" ht="15.75" customHeight="1">
      <c r="A3658" s="169"/>
      <c r="C3658" s="169"/>
      <c r="F3658" s="169"/>
      <c r="H3658" s="178"/>
      <c r="I3658" s="178"/>
      <c r="J3658" s="184"/>
      <c r="BB3658" s="169"/>
    </row>
    <row r="3659" spans="1:54" ht="15.75" customHeight="1">
      <c r="A3659" s="169"/>
      <c r="C3659" s="169"/>
      <c r="F3659" s="169"/>
      <c r="H3659" s="178"/>
      <c r="I3659" s="178"/>
      <c r="J3659" s="184"/>
      <c r="BB3659" s="169"/>
    </row>
    <row r="3660" spans="1:54" ht="15.75" customHeight="1">
      <c r="A3660" s="169"/>
      <c r="C3660" s="169"/>
      <c r="F3660" s="169"/>
      <c r="H3660" s="178"/>
      <c r="I3660" s="178"/>
      <c r="J3660" s="184"/>
      <c r="BB3660" s="169"/>
    </row>
    <row r="3661" spans="1:54" ht="15.75" customHeight="1">
      <c r="A3661" s="169"/>
      <c r="C3661" s="169"/>
      <c r="F3661" s="169"/>
      <c r="H3661" s="178"/>
      <c r="I3661" s="178"/>
      <c r="J3661" s="184"/>
      <c r="BB3661" s="169"/>
    </row>
    <row r="3662" spans="1:54" ht="15.75" customHeight="1">
      <c r="A3662" s="169"/>
      <c r="C3662" s="169"/>
      <c r="F3662" s="169"/>
      <c r="H3662" s="178"/>
      <c r="I3662" s="178"/>
      <c r="J3662" s="184"/>
      <c r="BB3662" s="169"/>
    </row>
    <row r="3663" spans="1:54" ht="15.75" customHeight="1">
      <c r="A3663" s="169"/>
      <c r="C3663" s="169"/>
      <c r="F3663" s="169"/>
      <c r="H3663" s="178"/>
      <c r="I3663" s="178"/>
      <c r="J3663" s="184"/>
      <c r="BB3663" s="169"/>
    </row>
    <row r="3664" spans="1:54" ht="15.75" customHeight="1">
      <c r="A3664" s="169"/>
      <c r="C3664" s="169"/>
      <c r="F3664" s="169"/>
      <c r="H3664" s="178"/>
      <c r="I3664" s="178"/>
      <c r="J3664" s="184"/>
      <c r="BB3664" s="169"/>
    </row>
    <row r="3665" spans="1:54" ht="15.75" customHeight="1">
      <c r="A3665" s="169"/>
      <c r="C3665" s="169"/>
      <c r="F3665" s="169"/>
      <c r="H3665" s="178"/>
      <c r="I3665" s="178"/>
      <c r="J3665" s="184"/>
      <c r="BB3665" s="169"/>
    </row>
    <row r="3666" spans="1:54" ht="15.75" customHeight="1">
      <c r="A3666" s="169"/>
      <c r="C3666" s="169"/>
      <c r="F3666" s="169"/>
      <c r="H3666" s="178"/>
      <c r="I3666" s="178"/>
      <c r="J3666" s="184"/>
      <c r="BB3666" s="169"/>
    </row>
    <row r="3667" spans="1:54" ht="15.75" customHeight="1">
      <c r="A3667" s="169"/>
      <c r="C3667" s="169"/>
      <c r="F3667" s="169"/>
      <c r="H3667" s="178"/>
      <c r="I3667" s="178"/>
      <c r="J3667" s="184"/>
      <c r="BB3667" s="169"/>
    </row>
    <row r="3668" spans="1:54" ht="15.75" customHeight="1">
      <c r="A3668" s="169"/>
      <c r="C3668" s="169"/>
      <c r="F3668" s="169"/>
      <c r="H3668" s="178"/>
      <c r="I3668" s="178"/>
      <c r="J3668" s="184"/>
      <c r="BB3668" s="169"/>
    </row>
    <row r="3669" spans="1:54" ht="15.75" customHeight="1">
      <c r="A3669" s="169"/>
      <c r="C3669" s="169"/>
      <c r="F3669" s="169"/>
      <c r="H3669" s="178"/>
      <c r="I3669" s="178"/>
      <c r="J3669" s="184"/>
      <c r="BB3669" s="169"/>
    </row>
    <row r="3670" spans="1:54" ht="15.75" customHeight="1">
      <c r="A3670" s="169"/>
      <c r="C3670" s="169"/>
      <c r="F3670" s="169"/>
      <c r="H3670" s="178"/>
      <c r="I3670" s="178"/>
      <c r="J3670" s="184"/>
      <c r="BB3670" s="169"/>
    </row>
    <row r="3671" spans="1:54" ht="15.75" customHeight="1">
      <c r="A3671" s="169"/>
      <c r="C3671" s="169"/>
      <c r="F3671" s="169"/>
      <c r="H3671" s="178"/>
      <c r="I3671" s="178"/>
      <c r="J3671" s="184"/>
      <c r="BB3671" s="169"/>
    </row>
    <row r="3672" spans="1:54" ht="15.75" customHeight="1">
      <c r="A3672" s="169"/>
      <c r="C3672" s="169"/>
      <c r="F3672" s="169"/>
      <c r="H3672" s="178"/>
      <c r="I3672" s="178"/>
      <c r="J3672" s="184"/>
      <c r="BB3672" s="169"/>
    </row>
    <row r="3673" spans="1:54" ht="15.75" customHeight="1">
      <c r="A3673" s="169"/>
      <c r="C3673" s="169"/>
      <c r="F3673" s="169"/>
      <c r="H3673" s="178"/>
      <c r="I3673" s="178"/>
      <c r="J3673" s="184"/>
      <c r="BB3673" s="169"/>
    </row>
    <row r="3674" spans="1:54" ht="15.75" customHeight="1">
      <c r="A3674" s="169"/>
      <c r="C3674" s="169"/>
      <c r="F3674" s="169"/>
      <c r="H3674" s="178"/>
      <c r="I3674" s="178"/>
      <c r="J3674" s="184"/>
      <c r="BB3674" s="169"/>
    </row>
    <row r="3675" spans="1:54" ht="15.75" customHeight="1">
      <c r="A3675" s="169"/>
      <c r="C3675" s="169"/>
      <c r="F3675" s="169"/>
      <c r="H3675" s="178"/>
      <c r="I3675" s="178"/>
      <c r="J3675" s="184"/>
      <c r="BB3675" s="169"/>
    </row>
    <row r="3676" spans="1:54" ht="15.75" customHeight="1">
      <c r="A3676" s="169"/>
      <c r="C3676" s="169"/>
      <c r="F3676" s="169"/>
      <c r="H3676" s="178"/>
      <c r="I3676" s="178"/>
      <c r="J3676" s="184"/>
      <c r="BB3676" s="169"/>
    </row>
    <row r="3677" spans="1:54" ht="15.75" customHeight="1">
      <c r="A3677" s="169"/>
      <c r="C3677" s="169"/>
      <c r="F3677" s="169"/>
      <c r="H3677" s="178"/>
      <c r="I3677" s="178"/>
      <c r="J3677" s="184"/>
      <c r="BB3677" s="169"/>
    </row>
    <row r="3678" spans="1:54" ht="15.75" customHeight="1">
      <c r="A3678" s="169"/>
      <c r="C3678" s="169"/>
      <c r="F3678" s="169"/>
      <c r="H3678" s="178"/>
      <c r="I3678" s="178"/>
      <c r="J3678" s="184"/>
      <c r="BB3678" s="169"/>
    </row>
    <row r="3679" spans="1:54" ht="15.75" customHeight="1">
      <c r="A3679" s="169"/>
      <c r="C3679" s="169"/>
      <c r="F3679" s="169"/>
      <c r="H3679" s="178"/>
      <c r="I3679" s="178"/>
      <c r="J3679" s="184"/>
      <c r="BB3679" s="169"/>
    </row>
    <row r="3680" spans="1:54" ht="15.75" customHeight="1">
      <c r="A3680" s="169"/>
      <c r="C3680" s="169"/>
      <c r="F3680" s="169"/>
      <c r="H3680" s="178"/>
      <c r="I3680" s="178"/>
      <c r="J3680" s="184"/>
      <c r="BB3680" s="169"/>
    </row>
    <row r="3681" spans="1:54" ht="15.75" customHeight="1">
      <c r="A3681" s="169"/>
      <c r="C3681" s="169"/>
      <c r="F3681" s="169"/>
      <c r="H3681" s="178"/>
      <c r="I3681" s="178"/>
      <c r="J3681" s="184"/>
      <c r="BB3681" s="169"/>
    </row>
    <row r="3682" spans="1:54" ht="15.75" customHeight="1">
      <c r="A3682" s="169"/>
      <c r="C3682" s="169"/>
      <c r="F3682" s="169"/>
      <c r="H3682" s="178"/>
      <c r="I3682" s="178"/>
      <c r="J3682" s="184"/>
      <c r="BB3682" s="169"/>
    </row>
    <row r="3683" spans="1:54" ht="15.75" customHeight="1">
      <c r="A3683" s="169"/>
      <c r="C3683" s="169"/>
      <c r="F3683" s="169"/>
      <c r="H3683" s="178"/>
      <c r="I3683" s="178"/>
      <c r="J3683" s="184"/>
      <c r="BB3683" s="169"/>
    </row>
    <row r="3684" spans="1:54" ht="15.75" customHeight="1">
      <c r="A3684" s="169"/>
      <c r="C3684" s="169"/>
      <c r="F3684" s="169"/>
      <c r="H3684" s="178"/>
      <c r="I3684" s="178"/>
      <c r="J3684" s="184"/>
      <c r="BB3684" s="169"/>
    </row>
    <row r="3685" spans="1:54" ht="15.75" customHeight="1">
      <c r="A3685" s="169"/>
      <c r="C3685" s="169"/>
      <c r="F3685" s="169"/>
      <c r="H3685" s="178"/>
      <c r="I3685" s="178"/>
      <c r="J3685" s="184"/>
      <c r="BB3685" s="169"/>
    </row>
    <row r="3686" spans="1:54" ht="15.75" customHeight="1">
      <c r="A3686" s="169"/>
      <c r="C3686" s="169"/>
      <c r="F3686" s="169"/>
      <c r="H3686" s="178"/>
      <c r="I3686" s="178"/>
      <c r="J3686" s="184"/>
      <c r="BB3686" s="169"/>
    </row>
    <row r="3687" spans="1:54" ht="15.75" customHeight="1">
      <c r="A3687" s="169"/>
      <c r="C3687" s="169"/>
      <c r="F3687" s="169"/>
      <c r="H3687" s="178"/>
      <c r="I3687" s="178"/>
      <c r="J3687" s="184"/>
      <c r="BB3687" s="169"/>
    </row>
    <row r="3688" spans="1:54" ht="15.75" customHeight="1">
      <c r="A3688" s="169"/>
      <c r="C3688" s="169"/>
      <c r="F3688" s="169"/>
      <c r="H3688" s="178"/>
      <c r="I3688" s="178"/>
      <c r="J3688" s="184"/>
      <c r="BB3688" s="169"/>
    </row>
    <row r="3689" spans="1:54" ht="15.75" customHeight="1">
      <c r="A3689" s="169"/>
      <c r="C3689" s="169"/>
      <c r="F3689" s="169"/>
      <c r="H3689" s="178"/>
      <c r="I3689" s="178"/>
      <c r="J3689" s="184"/>
      <c r="BB3689" s="169"/>
    </row>
    <row r="3690" spans="1:54" ht="15.75" customHeight="1">
      <c r="A3690" s="169"/>
      <c r="C3690" s="169"/>
      <c r="F3690" s="169"/>
      <c r="H3690" s="178"/>
      <c r="I3690" s="178"/>
      <c r="J3690" s="184"/>
      <c r="BB3690" s="169"/>
    </row>
    <row r="3691" spans="1:54" ht="15.75" customHeight="1">
      <c r="A3691" s="169"/>
      <c r="C3691" s="169"/>
      <c r="F3691" s="169"/>
      <c r="H3691" s="178"/>
      <c r="I3691" s="178"/>
      <c r="J3691" s="184"/>
      <c r="BB3691" s="169"/>
    </row>
    <row r="3692" spans="1:54" ht="15.75" customHeight="1">
      <c r="A3692" s="169"/>
      <c r="C3692" s="169"/>
      <c r="F3692" s="169"/>
      <c r="H3692" s="178"/>
      <c r="I3692" s="178"/>
      <c r="J3692" s="184"/>
      <c r="BB3692" s="169"/>
    </row>
    <row r="3693" spans="1:54" ht="15.75" customHeight="1">
      <c r="A3693" s="169"/>
      <c r="C3693" s="169"/>
      <c r="F3693" s="169"/>
      <c r="H3693" s="178"/>
      <c r="I3693" s="178"/>
      <c r="J3693" s="184"/>
      <c r="BB3693" s="169"/>
    </row>
    <row r="3694" spans="1:54" ht="15.75" customHeight="1">
      <c r="A3694" s="169"/>
      <c r="C3694" s="169"/>
      <c r="F3694" s="169"/>
      <c r="H3694" s="178"/>
      <c r="I3694" s="178"/>
      <c r="J3694" s="184"/>
      <c r="BB3694" s="169"/>
    </row>
    <row r="3695" spans="1:54" ht="15.75" customHeight="1">
      <c r="A3695" s="169"/>
      <c r="C3695" s="169"/>
      <c r="F3695" s="169"/>
      <c r="H3695" s="178"/>
      <c r="I3695" s="178"/>
      <c r="J3695" s="184"/>
      <c r="BB3695" s="169"/>
    </row>
    <row r="3696" spans="1:54" ht="15.75" customHeight="1">
      <c r="A3696" s="169"/>
      <c r="C3696" s="169"/>
      <c r="F3696" s="169"/>
      <c r="H3696" s="178"/>
      <c r="I3696" s="178"/>
      <c r="J3696" s="184"/>
      <c r="BB3696" s="169"/>
    </row>
    <row r="3697" spans="1:54" ht="15.75" customHeight="1">
      <c r="A3697" s="169"/>
      <c r="C3697" s="169"/>
      <c r="F3697" s="169"/>
      <c r="H3697" s="178"/>
      <c r="I3697" s="178"/>
      <c r="J3697" s="184"/>
      <c r="BB3697" s="169"/>
    </row>
    <row r="3698" spans="1:54" ht="15.75" customHeight="1">
      <c r="A3698" s="169"/>
      <c r="C3698" s="169"/>
      <c r="F3698" s="169"/>
      <c r="H3698" s="178"/>
      <c r="I3698" s="178"/>
      <c r="J3698" s="184"/>
      <c r="BB3698" s="169"/>
    </row>
    <row r="3699" spans="1:54" ht="15.75" customHeight="1">
      <c r="A3699" s="169"/>
      <c r="C3699" s="169"/>
      <c r="F3699" s="169"/>
      <c r="H3699" s="178"/>
      <c r="I3699" s="178"/>
      <c r="J3699" s="184"/>
      <c r="BB3699" s="169"/>
    </row>
    <row r="3700" spans="1:54" ht="15.75" customHeight="1">
      <c r="A3700" s="169"/>
      <c r="C3700" s="169"/>
      <c r="F3700" s="169"/>
      <c r="H3700" s="178"/>
      <c r="I3700" s="178"/>
      <c r="J3700" s="184"/>
      <c r="BB3700" s="169"/>
    </row>
    <row r="3701" spans="1:54" ht="15.75" customHeight="1">
      <c r="A3701" s="169"/>
      <c r="C3701" s="169"/>
      <c r="F3701" s="169"/>
      <c r="H3701" s="178"/>
      <c r="I3701" s="178"/>
      <c r="J3701" s="184"/>
      <c r="BB3701" s="169"/>
    </row>
    <row r="3702" spans="1:54" ht="15.75" customHeight="1">
      <c r="A3702" s="169"/>
      <c r="C3702" s="169"/>
      <c r="F3702" s="169"/>
      <c r="H3702" s="178"/>
      <c r="I3702" s="178"/>
      <c r="J3702" s="184"/>
      <c r="BB3702" s="169"/>
    </row>
    <row r="3703" spans="1:54" ht="15.75" customHeight="1">
      <c r="A3703" s="169"/>
      <c r="C3703" s="169"/>
      <c r="F3703" s="169"/>
      <c r="H3703" s="178"/>
      <c r="I3703" s="178"/>
      <c r="J3703" s="184"/>
      <c r="BB3703" s="169"/>
    </row>
    <row r="3704" spans="1:54" ht="15.75" customHeight="1">
      <c r="A3704" s="169"/>
      <c r="C3704" s="169"/>
      <c r="F3704" s="169"/>
      <c r="H3704" s="178"/>
      <c r="I3704" s="178"/>
      <c r="J3704" s="184"/>
      <c r="BB3704" s="169"/>
    </row>
    <row r="3705" spans="1:54" ht="15.75" customHeight="1">
      <c r="A3705" s="169"/>
      <c r="C3705" s="169"/>
      <c r="F3705" s="169"/>
      <c r="H3705" s="178"/>
      <c r="I3705" s="178"/>
      <c r="J3705" s="184"/>
      <c r="BB3705" s="169"/>
    </row>
    <row r="3706" spans="1:54" ht="15.75" customHeight="1">
      <c r="A3706" s="169"/>
      <c r="C3706" s="169"/>
      <c r="F3706" s="169"/>
      <c r="H3706" s="178"/>
      <c r="I3706" s="178"/>
      <c r="J3706" s="184"/>
      <c r="BB3706" s="169"/>
    </row>
    <row r="3707" spans="1:54" ht="15.75" customHeight="1">
      <c r="A3707" s="169"/>
      <c r="C3707" s="169"/>
      <c r="F3707" s="169"/>
      <c r="H3707" s="178"/>
      <c r="I3707" s="178"/>
      <c r="J3707" s="184"/>
      <c r="BB3707" s="169"/>
    </row>
    <row r="3708" spans="1:54" ht="15.75" customHeight="1">
      <c r="A3708" s="169"/>
      <c r="C3708" s="169"/>
      <c r="F3708" s="169"/>
      <c r="H3708" s="178"/>
      <c r="I3708" s="178"/>
      <c r="J3708" s="184"/>
      <c r="BB3708" s="169"/>
    </row>
    <row r="3709" spans="1:54" ht="15.75" customHeight="1">
      <c r="A3709" s="169"/>
      <c r="C3709" s="169"/>
      <c r="F3709" s="169"/>
      <c r="H3709" s="178"/>
      <c r="I3709" s="178"/>
      <c r="J3709" s="184"/>
      <c r="BB3709" s="169"/>
    </row>
    <row r="3710" spans="1:54" ht="15.75" customHeight="1">
      <c r="A3710" s="169"/>
      <c r="C3710" s="169"/>
      <c r="F3710" s="169"/>
      <c r="H3710" s="178"/>
      <c r="I3710" s="178"/>
      <c r="J3710" s="184"/>
      <c r="BB3710" s="169"/>
    </row>
    <row r="3711" spans="1:54" ht="15.75" customHeight="1">
      <c r="A3711" s="169"/>
      <c r="C3711" s="169"/>
      <c r="F3711" s="169"/>
      <c r="H3711" s="178"/>
      <c r="I3711" s="178"/>
      <c r="J3711" s="184"/>
      <c r="BB3711" s="169"/>
    </row>
    <row r="3712" spans="1:54" ht="15.75" customHeight="1">
      <c r="A3712" s="169"/>
      <c r="C3712" s="169"/>
      <c r="F3712" s="169"/>
      <c r="H3712" s="178"/>
      <c r="I3712" s="178"/>
      <c r="J3712" s="184"/>
      <c r="BB3712" s="169"/>
    </row>
    <row r="3713" spans="1:54" ht="15.75" customHeight="1">
      <c r="A3713" s="169"/>
      <c r="C3713" s="169"/>
      <c r="F3713" s="169"/>
      <c r="H3713" s="178"/>
      <c r="I3713" s="178"/>
      <c r="J3713" s="184"/>
      <c r="BB3713" s="169"/>
    </row>
    <row r="3714" spans="1:54" ht="15.75" customHeight="1">
      <c r="A3714" s="169"/>
      <c r="C3714" s="169"/>
      <c r="F3714" s="169"/>
      <c r="H3714" s="178"/>
      <c r="I3714" s="178"/>
      <c r="J3714" s="184"/>
      <c r="BB3714" s="169"/>
    </row>
    <row r="3715" spans="1:54" ht="15.75" customHeight="1">
      <c r="A3715" s="169"/>
      <c r="C3715" s="169"/>
      <c r="F3715" s="169"/>
      <c r="H3715" s="178"/>
      <c r="I3715" s="178"/>
      <c r="J3715" s="184"/>
      <c r="BB3715" s="169"/>
    </row>
    <row r="3716" spans="1:54" ht="15.75" customHeight="1">
      <c r="A3716" s="169"/>
      <c r="C3716" s="169"/>
      <c r="F3716" s="169"/>
      <c r="H3716" s="178"/>
      <c r="I3716" s="178"/>
      <c r="J3716" s="184"/>
      <c r="BB3716" s="169"/>
    </row>
    <row r="3717" spans="1:54" ht="15.75" customHeight="1">
      <c r="A3717" s="169"/>
      <c r="C3717" s="169"/>
      <c r="F3717" s="169"/>
      <c r="H3717" s="178"/>
      <c r="I3717" s="178"/>
      <c r="J3717" s="184"/>
      <c r="BB3717" s="169"/>
    </row>
    <row r="3718" spans="1:54" ht="15.75" customHeight="1">
      <c r="A3718" s="169"/>
      <c r="C3718" s="169"/>
      <c r="F3718" s="169"/>
      <c r="H3718" s="178"/>
      <c r="I3718" s="178"/>
      <c r="J3718" s="184"/>
      <c r="BB3718" s="169"/>
    </row>
    <row r="3719" spans="1:54" ht="15.75" customHeight="1">
      <c r="A3719" s="169"/>
      <c r="C3719" s="169"/>
      <c r="F3719" s="169"/>
      <c r="H3719" s="178"/>
      <c r="I3719" s="178"/>
      <c r="J3719" s="184"/>
      <c r="BB3719" s="169"/>
    </row>
    <row r="3720" spans="1:54" ht="15.75" customHeight="1">
      <c r="A3720" s="169"/>
      <c r="C3720" s="169"/>
      <c r="F3720" s="169"/>
      <c r="H3720" s="178"/>
      <c r="I3720" s="178"/>
      <c r="J3720" s="184"/>
      <c r="BB3720" s="169"/>
    </row>
    <row r="3721" spans="1:54" ht="15.75" customHeight="1">
      <c r="A3721" s="169"/>
      <c r="C3721" s="169"/>
      <c r="F3721" s="169"/>
      <c r="H3721" s="178"/>
      <c r="I3721" s="178"/>
      <c r="J3721" s="184"/>
      <c r="BB3721" s="169"/>
    </row>
    <row r="3722" spans="1:54" ht="15.75" customHeight="1">
      <c r="A3722" s="169"/>
      <c r="C3722" s="169"/>
      <c r="F3722" s="169"/>
      <c r="H3722" s="178"/>
      <c r="I3722" s="178"/>
      <c r="J3722" s="184"/>
      <c r="BB3722" s="169"/>
    </row>
    <row r="3723" spans="1:54" ht="15.75" customHeight="1">
      <c r="A3723" s="169"/>
      <c r="C3723" s="169"/>
      <c r="F3723" s="169"/>
      <c r="H3723" s="178"/>
      <c r="I3723" s="178"/>
      <c r="J3723" s="184"/>
      <c r="BB3723" s="169"/>
    </row>
    <row r="3724" spans="1:54" ht="15.75" customHeight="1">
      <c r="A3724" s="169"/>
      <c r="C3724" s="169"/>
      <c r="F3724" s="169"/>
      <c r="H3724" s="178"/>
      <c r="I3724" s="178"/>
      <c r="J3724" s="184"/>
      <c r="BB3724" s="169"/>
    </row>
    <row r="3725" spans="1:54" ht="15.75" customHeight="1">
      <c r="A3725" s="169"/>
      <c r="C3725" s="169"/>
      <c r="F3725" s="169"/>
      <c r="H3725" s="178"/>
      <c r="I3725" s="178"/>
      <c r="J3725" s="184"/>
      <c r="BB3725" s="169"/>
    </row>
    <row r="3726" spans="1:54" ht="15.75" customHeight="1">
      <c r="A3726" s="169"/>
      <c r="C3726" s="169"/>
      <c r="F3726" s="169"/>
      <c r="H3726" s="178"/>
      <c r="I3726" s="178"/>
      <c r="J3726" s="184"/>
      <c r="BB3726" s="169"/>
    </row>
    <row r="3727" spans="1:54" ht="15.75" customHeight="1">
      <c r="A3727" s="169"/>
      <c r="C3727" s="169"/>
      <c r="F3727" s="169"/>
      <c r="H3727" s="178"/>
      <c r="I3727" s="178"/>
      <c r="J3727" s="184"/>
      <c r="BB3727" s="169"/>
    </row>
    <row r="3728" spans="1:54" ht="15.75" customHeight="1">
      <c r="A3728" s="169"/>
      <c r="C3728" s="169"/>
      <c r="F3728" s="169"/>
      <c r="H3728" s="178"/>
      <c r="I3728" s="178"/>
      <c r="J3728" s="184"/>
      <c r="BB3728" s="169"/>
    </row>
    <row r="3729" spans="1:54" ht="15.75" customHeight="1">
      <c r="A3729" s="169"/>
      <c r="C3729" s="169"/>
      <c r="F3729" s="169"/>
      <c r="H3729" s="178"/>
      <c r="I3729" s="178"/>
      <c r="J3729" s="184"/>
      <c r="BB3729" s="169"/>
    </row>
    <row r="3730" spans="1:54" ht="15.75" customHeight="1">
      <c r="A3730" s="169"/>
      <c r="C3730" s="169"/>
      <c r="F3730" s="169"/>
      <c r="H3730" s="178"/>
      <c r="I3730" s="178"/>
      <c r="J3730" s="184"/>
      <c r="BB3730" s="169"/>
    </row>
    <row r="3731" spans="1:54" ht="15.75" customHeight="1">
      <c r="A3731" s="169"/>
      <c r="C3731" s="169"/>
      <c r="F3731" s="169"/>
      <c r="H3731" s="178"/>
      <c r="I3731" s="178"/>
      <c r="J3731" s="184"/>
      <c r="BB3731" s="169"/>
    </row>
    <row r="3732" spans="1:54" ht="15.75" customHeight="1">
      <c r="A3732" s="169"/>
      <c r="C3732" s="169"/>
      <c r="F3732" s="169"/>
      <c r="H3732" s="178"/>
      <c r="I3732" s="178"/>
      <c r="J3732" s="184"/>
      <c r="BB3732" s="169"/>
    </row>
    <row r="3733" spans="1:54" ht="15.75" customHeight="1">
      <c r="A3733" s="169"/>
      <c r="C3733" s="169"/>
      <c r="F3733" s="169"/>
      <c r="H3733" s="178"/>
      <c r="I3733" s="178"/>
      <c r="J3733" s="184"/>
      <c r="BB3733" s="169"/>
    </row>
    <row r="3734" spans="1:54" ht="15.75" customHeight="1">
      <c r="A3734" s="169"/>
      <c r="C3734" s="169"/>
      <c r="F3734" s="169"/>
      <c r="H3734" s="178"/>
      <c r="I3734" s="178"/>
      <c r="J3734" s="184"/>
      <c r="BB3734" s="169"/>
    </row>
    <row r="3735" spans="1:54" ht="15.75" customHeight="1">
      <c r="A3735" s="169"/>
      <c r="C3735" s="169"/>
      <c r="F3735" s="169"/>
      <c r="H3735" s="178"/>
      <c r="I3735" s="178"/>
      <c r="J3735" s="184"/>
      <c r="BB3735" s="169"/>
    </row>
    <row r="3736" spans="1:54" ht="15.75" customHeight="1">
      <c r="A3736" s="169"/>
      <c r="C3736" s="169"/>
      <c r="F3736" s="169"/>
      <c r="H3736" s="178"/>
      <c r="I3736" s="178"/>
      <c r="J3736" s="184"/>
      <c r="BB3736" s="169"/>
    </row>
    <row r="3737" spans="1:54" ht="15.75" customHeight="1">
      <c r="A3737" s="169"/>
      <c r="C3737" s="169"/>
      <c r="F3737" s="169"/>
      <c r="H3737" s="178"/>
      <c r="I3737" s="178"/>
      <c r="J3737" s="184"/>
      <c r="BB3737" s="169"/>
    </row>
    <row r="3738" spans="1:54" ht="15.75" customHeight="1">
      <c r="A3738" s="169"/>
      <c r="C3738" s="169"/>
      <c r="F3738" s="169"/>
      <c r="H3738" s="178"/>
      <c r="I3738" s="178"/>
      <c r="J3738" s="184"/>
      <c r="BB3738" s="169"/>
    </row>
    <row r="3739" spans="1:54" ht="15.75" customHeight="1">
      <c r="A3739" s="169"/>
      <c r="C3739" s="169"/>
      <c r="F3739" s="169"/>
      <c r="H3739" s="178"/>
      <c r="I3739" s="178"/>
      <c r="J3739" s="184"/>
      <c r="BB3739" s="169"/>
    </row>
    <row r="3740" spans="1:54" ht="15.75" customHeight="1">
      <c r="A3740" s="169"/>
      <c r="C3740" s="169"/>
      <c r="F3740" s="169"/>
      <c r="H3740" s="178"/>
      <c r="I3740" s="178"/>
      <c r="J3740" s="184"/>
      <c r="BB3740" s="169"/>
    </row>
    <row r="3741" spans="1:54" ht="15.75" customHeight="1">
      <c r="A3741" s="169"/>
      <c r="C3741" s="169"/>
      <c r="F3741" s="169"/>
      <c r="H3741" s="178"/>
      <c r="I3741" s="178"/>
      <c r="J3741" s="184"/>
      <c r="BB3741" s="169"/>
    </row>
    <row r="3742" spans="1:54" ht="15.75" customHeight="1">
      <c r="A3742" s="169"/>
      <c r="C3742" s="169"/>
      <c r="F3742" s="169"/>
      <c r="H3742" s="178"/>
      <c r="I3742" s="178"/>
      <c r="J3742" s="184"/>
      <c r="BB3742" s="169"/>
    </row>
    <row r="3743" spans="1:54" ht="15.75" customHeight="1">
      <c r="A3743" s="169"/>
      <c r="C3743" s="169"/>
      <c r="F3743" s="169"/>
      <c r="H3743" s="178"/>
      <c r="I3743" s="178"/>
      <c r="J3743" s="184"/>
      <c r="BB3743" s="169"/>
    </row>
    <row r="3744" spans="1:54" ht="15.75" customHeight="1">
      <c r="A3744" s="169"/>
      <c r="C3744" s="169"/>
      <c r="F3744" s="169"/>
      <c r="H3744" s="178"/>
      <c r="I3744" s="178"/>
      <c r="J3744" s="184"/>
      <c r="BB3744" s="169"/>
    </row>
    <row r="3745" spans="1:54" ht="15.75" customHeight="1">
      <c r="A3745" s="169"/>
      <c r="C3745" s="169"/>
      <c r="F3745" s="169"/>
      <c r="H3745" s="178"/>
      <c r="I3745" s="178"/>
      <c r="J3745" s="184"/>
      <c r="BB3745" s="169"/>
    </row>
    <row r="3746" spans="1:54" ht="15.75" customHeight="1">
      <c r="A3746" s="169"/>
      <c r="C3746" s="169"/>
      <c r="F3746" s="169"/>
      <c r="H3746" s="178"/>
      <c r="I3746" s="178"/>
      <c r="J3746" s="184"/>
      <c r="BB3746" s="169"/>
    </row>
    <row r="3747" spans="1:54" ht="15.75" customHeight="1">
      <c r="A3747" s="169"/>
      <c r="C3747" s="169"/>
      <c r="F3747" s="169"/>
      <c r="H3747" s="178"/>
      <c r="I3747" s="178"/>
      <c r="J3747" s="184"/>
      <c r="BB3747" s="169"/>
    </row>
    <row r="3748" spans="1:54" ht="15.75" customHeight="1">
      <c r="A3748" s="169"/>
      <c r="C3748" s="169"/>
      <c r="F3748" s="169"/>
      <c r="H3748" s="178"/>
      <c r="I3748" s="178"/>
      <c r="J3748" s="184"/>
      <c r="BB3748" s="169"/>
    </row>
    <row r="3749" spans="1:54" ht="15.75" customHeight="1">
      <c r="A3749" s="169"/>
      <c r="C3749" s="169"/>
      <c r="F3749" s="169"/>
      <c r="H3749" s="178"/>
      <c r="I3749" s="178"/>
      <c r="J3749" s="184"/>
      <c r="BB3749" s="169"/>
    </row>
    <row r="3750" spans="1:54" ht="15.75" customHeight="1">
      <c r="A3750" s="169"/>
      <c r="C3750" s="169"/>
      <c r="F3750" s="169"/>
      <c r="H3750" s="178"/>
      <c r="I3750" s="178"/>
      <c r="J3750" s="184"/>
      <c r="BB3750" s="169"/>
    </row>
    <row r="3751" spans="1:54" ht="15.75" customHeight="1">
      <c r="A3751" s="169"/>
      <c r="C3751" s="169"/>
      <c r="F3751" s="169"/>
      <c r="H3751" s="178"/>
      <c r="I3751" s="178"/>
      <c r="J3751" s="184"/>
      <c r="BB3751" s="169"/>
    </row>
    <row r="3752" spans="1:54" ht="15.75" customHeight="1">
      <c r="A3752" s="169"/>
      <c r="C3752" s="169"/>
      <c r="F3752" s="169"/>
      <c r="H3752" s="178"/>
      <c r="I3752" s="178"/>
      <c r="J3752" s="184"/>
      <c r="BB3752" s="169"/>
    </row>
    <row r="3753" spans="1:54" ht="15.75" customHeight="1">
      <c r="A3753" s="169"/>
      <c r="C3753" s="169"/>
      <c r="F3753" s="169"/>
      <c r="H3753" s="178"/>
      <c r="I3753" s="178"/>
      <c r="J3753" s="184"/>
      <c r="BB3753" s="169"/>
    </row>
    <row r="3754" spans="1:54" ht="15.75" customHeight="1">
      <c r="A3754" s="169"/>
      <c r="C3754" s="169"/>
      <c r="F3754" s="169"/>
      <c r="H3754" s="178"/>
      <c r="I3754" s="178"/>
      <c r="J3754" s="184"/>
      <c r="BB3754" s="169"/>
    </row>
    <row r="3755" spans="1:54" ht="15.75" customHeight="1">
      <c r="A3755" s="169"/>
      <c r="C3755" s="169"/>
      <c r="F3755" s="169"/>
      <c r="H3755" s="178"/>
      <c r="I3755" s="178"/>
      <c r="J3755" s="184"/>
      <c r="BB3755" s="169"/>
    </row>
    <row r="3756" spans="1:54" ht="15.75" customHeight="1">
      <c r="A3756" s="169"/>
      <c r="C3756" s="169"/>
      <c r="F3756" s="169"/>
      <c r="H3756" s="178"/>
      <c r="I3756" s="178"/>
      <c r="J3756" s="184"/>
      <c r="BB3756" s="169"/>
    </row>
    <row r="3757" spans="1:54" ht="15.75" customHeight="1">
      <c r="A3757" s="169"/>
      <c r="C3757" s="169"/>
      <c r="F3757" s="169"/>
      <c r="H3757" s="178"/>
      <c r="I3757" s="178"/>
      <c r="J3757" s="184"/>
      <c r="BB3757" s="169"/>
    </row>
    <row r="3758" spans="1:54" ht="15.75" customHeight="1">
      <c r="A3758" s="169"/>
      <c r="C3758" s="169"/>
      <c r="F3758" s="169"/>
      <c r="H3758" s="178"/>
      <c r="I3758" s="178"/>
      <c r="J3758" s="184"/>
      <c r="BB3758" s="169"/>
    </row>
    <row r="3759" spans="1:54" ht="15.75" customHeight="1">
      <c r="A3759" s="169"/>
      <c r="C3759" s="169"/>
      <c r="F3759" s="169"/>
      <c r="H3759" s="178"/>
      <c r="I3759" s="178"/>
      <c r="J3759" s="184"/>
      <c r="BB3759" s="169"/>
    </row>
    <row r="3760" spans="1:54" ht="15.75" customHeight="1">
      <c r="A3760" s="169"/>
      <c r="C3760" s="169"/>
      <c r="F3760" s="169"/>
      <c r="H3760" s="178"/>
      <c r="I3760" s="178"/>
      <c r="J3760" s="184"/>
      <c r="BB3760" s="169"/>
    </row>
    <row r="3761" spans="1:54" ht="15.75" customHeight="1">
      <c r="A3761" s="169"/>
      <c r="C3761" s="169"/>
      <c r="F3761" s="169"/>
      <c r="H3761" s="178"/>
      <c r="I3761" s="178"/>
      <c r="J3761" s="184"/>
      <c r="BB3761" s="169"/>
    </row>
    <row r="3762" spans="1:54" ht="15.75" customHeight="1">
      <c r="A3762" s="169"/>
      <c r="C3762" s="169"/>
      <c r="F3762" s="169"/>
      <c r="H3762" s="178"/>
      <c r="I3762" s="178"/>
      <c r="J3762" s="184"/>
      <c r="BB3762" s="169"/>
    </row>
    <row r="3763" spans="1:54" ht="15.75" customHeight="1">
      <c r="A3763" s="169"/>
      <c r="C3763" s="169"/>
      <c r="F3763" s="169"/>
      <c r="H3763" s="178"/>
      <c r="I3763" s="178"/>
      <c r="J3763" s="184"/>
      <c r="BB3763" s="169"/>
    </row>
    <row r="3764" spans="1:54" ht="15.75" customHeight="1">
      <c r="A3764" s="169"/>
      <c r="C3764" s="169"/>
      <c r="F3764" s="169"/>
      <c r="H3764" s="178"/>
      <c r="I3764" s="178"/>
      <c r="J3764" s="184"/>
      <c r="BB3764" s="169"/>
    </row>
    <row r="3765" spans="1:54" ht="15.75" customHeight="1">
      <c r="A3765" s="169"/>
      <c r="C3765" s="169"/>
      <c r="F3765" s="169"/>
      <c r="H3765" s="178"/>
      <c r="I3765" s="178"/>
      <c r="J3765" s="184"/>
      <c r="BB3765" s="169"/>
    </row>
    <row r="3766" spans="1:54" ht="15.75" customHeight="1">
      <c r="A3766" s="169"/>
      <c r="C3766" s="169"/>
      <c r="F3766" s="169"/>
      <c r="H3766" s="178"/>
      <c r="I3766" s="178"/>
      <c r="J3766" s="184"/>
      <c r="BB3766" s="169"/>
    </row>
    <row r="3767" spans="1:54" ht="15.75" customHeight="1">
      <c r="A3767" s="169"/>
      <c r="C3767" s="169"/>
      <c r="F3767" s="169"/>
      <c r="H3767" s="178"/>
      <c r="I3767" s="178"/>
      <c r="J3767" s="184"/>
      <c r="BB3767" s="169"/>
    </row>
    <row r="3768" spans="1:54" ht="15.75" customHeight="1">
      <c r="A3768" s="169"/>
      <c r="C3768" s="169"/>
      <c r="F3768" s="169"/>
      <c r="H3768" s="178"/>
      <c r="I3768" s="178"/>
      <c r="J3768" s="184"/>
      <c r="BB3768" s="169"/>
    </row>
    <row r="3769" spans="1:54" ht="15.75" customHeight="1">
      <c r="A3769" s="169"/>
      <c r="C3769" s="169"/>
      <c r="F3769" s="169"/>
      <c r="H3769" s="178"/>
      <c r="I3769" s="178"/>
      <c r="J3769" s="184"/>
      <c r="BB3769" s="169"/>
    </row>
    <row r="3770" spans="1:54" ht="15.75" customHeight="1">
      <c r="A3770" s="169"/>
      <c r="C3770" s="169"/>
      <c r="F3770" s="169"/>
      <c r="H3770" s="178"/>
      <c r="I3770" s="178"/>
      <c r="J3770" s="184"/>
      <c r="BB3770" s="169"/>
    </row>
    <row r="3771" spans="1:54" ht="15.75" customHeight="1">
      <c r="A3771" s="169"/>
      <c r="C3771" s="169"/>
      <c r="F3771" s="169"/>
      <c r="H3771" s="178"/>
      <c r="I3771" s="178"/>
      <c r="J3771" s="184"/>
      <c r="BB3771" s="169"/>
    </row>
    <row r="3772" spans="1:54" ht="15.75" customHeight="1">
      <c r="A3772" s="169"/>
      <c r="C3772" s="169"/>
      <c r="F3772" s="169"/>
      <c r="H3772" s="178"/>
      <c r="I3772" s="178"/>
      <c r="J3772" s="184"/>
      <c r="BB3772" s="169"/>
    </row>
    <row r="3773" spans="1:54" ht="15.75" customHeight="1">
      <c r="A3773" s="169"/>
      <c r="C3773" s="169"/>
      <c r="F3773" s="169"/>
      <c r="H3773" s="178"/>
      <c r="I3773" s="178"/>
      <c r="J3773" s="184"/>
      <c r="BB3773" s="169"/>
    </row>
    <row r="3774" spans="1:54" ht="15.75" customHeight="1">
      <c r="A3774" s="169"/>
      <c r="C3774" s="169"/>
      <c r="F3774" s="169"/>
      <c r="H3774" s="178"/>
      <c r="I3774" s="178"/>
      <c r="J3774" s="184"/>
      <c r="BB3774" s="169"/>
    </row>
    <row r="3775" spans="1:54" ht="15.75" customHeight="1">
      <c r="A3775" s="169"/>
      <c r="C3775" s="169"/>
      <c r="F3775" s="169"/>
      <c r="H3775" s="178"/>
      <c r="I3775" s="178"/>
      <c r="J3775" s="184"/>
      <c r="BB3775" s="169"/>
    </row>
    <row r="3776" spans="1:54" ht="15.75" customHeight="1">
      <c r="A3776" s="169"/>
      <c r="C3776" s="169"/>
      <c r="F3776" s="169"/>
      <c r="H3776" s="178"/>
      <c r="I3776" s="178"/>
      <c r="J3776" s="184"/>
      <c r="BB3776" s="169"/>
    </row>
    <row r="3777" spans="1:54" ht="15.75" customHeight="1">
      <c r="A3777" s="169"/>
      <c r="C3777" s="169"/>
      <c r="F3777" s="169"/>
      <c r="H3777" s="178"/>
      <c r="I3777" s="178"/>
      <c r="J3777" s="184"/>
      <c r="BB3777" s="169"/>
    </row>
    <row r="3778" spans="1:54" ht="15.75" customHeight="1">
      <c r="A3778" s="169"/>
      <c r="C3778" s="169"/>
      <c r="F3778" s="169"/>
      <c r="H3778" s="178"/>
      <c r="I3778" s="178"/>
      <c r="J3778" s="184"/>
      <c r="BB3778" s="169"/>
    </row>
    <row r="3779" spans="1:54" ht="15.75" customHeight="1">
      <c r="A3779" s="169"/>
      <c r="C3779" s="169"/>
      <c r="F3779" s="169"/>
      <c r="H3779" s="178"/>
      <c r="I3779" s="178"/>
      <c r="J3779" s="184"/>
      <c r="BB3779" s="169"/>
    </row>
    <row r="3780" spans="1:54" ht="15.75" customHeight="1">
      <c r="A3780" s="169"/>
      <c r="C3780" s="169"/>
      <c r="F3780" s="169"/>
      <c r="H3780" s="178"/>
      <c r="I3780" s="178"/>
      <c r="J3780" s="184"/>
      <c r="BB3780" s="169"/>
    </row>
    <row r="3781" spans="1:54" ht="15.75" customHeight="1">
      <c r="A3781" s="169"/>
      <c r="C3781" s="169"/>
      <c r="F3781" s="169"/>
      <c r="H3781" s="178"/>
      <c r="I3781" s="178"/>
      <c r="J3781" s="184"/>
      <c r="BB3781" s="169"/>
    </row>
    <row r="3782" spans="1:54" ht="15.75" customHeight="1">
      <c r="A3782" s="169"/>
      <c r="C3782" s="169"/>
      <c r="F3782" s="169"/>
      <c r="H3782" s="178"/>
      <c r="I3782" s="178"/>
      <c r="J3782" s="184"/>
      <c r="BB3782" s="169"/>
    </row>
    <row r="3783" spans="1:54" ht="15.75" customHeight="1">
      <c r="A3783" s="169"/>
      <c r="C3783" s="169"/>
      <c r="F3783" s="169"/>
      <c r="H3783" s="178"/>
      <c r="I3783" s="178"/>
      <c r="J3783" s="184"/>
      <c r="BB3783" s="169"/>
    </row>
    <row r="3784" spans="1:54" ht="15.75" customHeight="1">
      <c r="A3784" s="169"/>
      <c r="C3784" s="169"/>
      <c r="F3784" s="169"/>
      <c r="H3784" s="178"/>
      <c r="I3784" s="178"/>
      <c r="J3784" s="184"/>
      <c r="BB3784" s="169"/>
    </row>
    <row r="3785" spans="1:54" ht="15.75" customHeight="1">
      <c r="A3785" s="169"/>
      <c r="C3785" s="169"/>
      <c r="F3785" s="169"/>
      <c r="H3785" s="178"/>
      <c r="I3785" s="178"/>
      <c r="J3785" s="184"/>
      <c r="BB3785" s="169"/>
    </row>
    <row r="3786" spans="1:54" ht="15.75" customHeight="1">
      <c r="A3786" s="169"/>
      <c r="C3786" s="169"/>
      <c r="F3786" s="169"/>
      <c r="H3786" s="178"/>
      <c r="I3786" s="178"/>
      <c r="J3786" s="184"/>
      <c r="BB3786" s="169"/>
    </row>
    <row r="3787" spans="1:54" ht="15.75" customHeight="1">
      <c r="A3787" s="169"/>
      <c r="C3787" s="169"/>
      <c r="F3787" s="169"/>
      <c r="H3787" s="178"/>
      <c r="I3787" s="178"/>
      <c r="J3787" s="184"/>
      <c r="BB3787" s="169"/>
    </row>
    <row r="3788" spans="1:54" ht="15.75" customHeight="1">
      <c r="A3788" s="169"/>
      <c r="C3788" s="169"/>
      <c r="F3788" s="169"/>
      <c r="H3788" s="178"/>
      <c r="I3788" s="178"/>
      <c r="J3788" s="184"/>
      <c r="BB3788" s="169"/>
    </row>
    <row r="3789" spans="1:54" ht="15.75" customHeight="1">
      <c r="A3789" s="169"/>
      <c r="C3789" s="169"/>
      <c r="F3789" s="169"/>
      <c r="H3789" s="178"/>
      <c r="I3789" s="178"/>
      <c r="J3789" s="184"/>
      <c r="BB3789" s="169"/>
    </row>
    <row r="3790" spans="1:54" ht="15.75" customHeight="1">
      <c r="A3790" s="169"/>
      <c r="C3790" s="169"/>
      <c r="F3790" s="169"/>
      <c r="H3790" s="178"/>
      <c r="I3790" s="178"/>
      <c r="J3790" s="184"/>
      <c r="BB3790" s="169"/>
    </row>
    <row r="3791" spans="1:54" ht="15.75" customHeight="1">
      <c r="A3791" s="169"/>
      <c r="C3791" s="169"/>
      <c r="F3791" s="169"/>
      <c r="H3791" s="178"/>
      <c r="I3791" s="178"/>
      <c r="J3791" s="184"/>
      <c r="BB3791" s="169"/>
    </row>
    <row r="3792" spans="1:54" ht="15.75" customHeight="1">
      <c r="A3792" s="169"/>
      <c r="C3792" s="169"/>
      <c r="F3792" s="169"/>
      <c r="H3792" s="178"/>
      <c r="I3792" s="178"/>
      <c r="J3792" s="184"/>
      <c r="BB3792" s="169"/>
    </row>
    <row r="3793" spans="1:54" ht="15.75" customHeight="1">
      <c r="A3793" s="169"/>
      <c r="C3793" s="169"/>
      <c r="F3793" s="169"/>
      <c r="H3793" s="178"/>
      <c r="I3793" s="178"/>
      <c r="J3793" s="184"/>
      <c r="BB3793" s="169"/>
    </row>
    <row r="3794" spans="1:54" ht="15.75" customHeight="1">
      <c r="A3794" s="169"/>
      <c r="C3794" s="169"/>
      <c r="F3794" s="169"/>
      <c r="H3794" s="178"/>
      <c r="I3794" s="178"/>
      <c r="J3794" s="184"/>
      <c r="BB3794" s="169"/>
    </row>
    <row r="3795" spans="1:54" ht="15.75" customHeight="1">
      <c r="A3795" s="169"/>
      <c r="C3795" s="169"/>
      <c r="F3795" s="169"/>
      <c r="H3795" s="178"/>
      <c r="I3795" s="178"/>
      <c r="J3795" s="184"/>
      <c r="BB3795" s="169"/>
    </row>
    <row r="3796" spans="1:54" ht="15.75" customHeight="1">
      <c r="A3796" s="169"/>
      <c r="C3796" s="169"/>
      <c r="F3796" s="169"/>
      <c r="H3796" s="178"/>
      <c r="I3796" s="178"/>
      <c r="J3796" s="184"/>
      <c r="BB3796" s="169"/>
    </row>
    <row r="3797" spans="1:54" ht="15.75" customHeight="1">
      <c r="A3797" s="169"/>
      <c r="C3797" s="169"/>
      <c r="F3797" s="169"/>
      <c r="H3797" s="178"/>
      <c r="I3797" s="178"/>
      <c r="J3797" s="184"/>
      <c r="BB3797" s="169"/>
    </row>
    <row r="3798" spans="1:54" ht="15.75" customHeight="1">
      <c r="A3798" s="169"/>
      <c r="C3798" s="169"/>
      <c r="F3798" s="169"/>
      <c r="H3798" s="178"/>
      <c r="I3798" s="178"/>
      <c r="J3798" s="184"/>
      <c r="BB3798" s="169"/>
    </row>
    <row r="3799" spans="1:54" ht="15.75" customHeight="1">
      <c r="A3799" s="169"/>
      <c r="C3799" s="169"/>
      <c r="F3799" s="169"/>
      <c r="H3799" s="178"/>
      <c r="I3799" s="178"/>
      <c r="J3799" s="184"/>
      <c r="BB3799" s="169"/>
    </row>
    <row r="3800" spans="1:54" ht="15.75" customHeight="1">
      <c r="A3800" s="169"/>
      <c r="C3800" s="169"/>
      <c r="F3800" s="169"/>
      <c r="H3800" s="178"/>
      <c r="I3800" s="178"/>
      <c r="J3800" s="184"/>
      <c r="BB3800" s="169"/>
    </row>
    <row r="3801" spans="1:54" ht="15.75" customHeight="1">
      <c r="A3801" s="169"/>
      <c r="C3801" s="169"/>
      <c r="F3801" s="169"/>
      <c r="H3801" s="178"/>
      <c r="I3801" s="178"/>
      <c r="J3801" s="184"/>
      <c r="BB3801" s="169"/>
    </row>
    <row r="3802" spans="1:54" ht="15.75" customHeight="1">
      <c r="A3802" s="169"/>
      <c r="C3802" s="169"/>
      <c r="F3802" s="169"/>
      <c r="H3802" s="178"/>
      <c r="I3802" s="178"/>
      <c r="J3802" s="184"/>
      <c r="BB3802" s="169"/>
    </row>
    <row r="3803" spans="1:54" ht="15.75" customHeight="1">
      <c r="A3803" s="169"/>
      <c r="C3803" s="169"/>
      <c r="F3803" s="169"/>
      <c r="H3803" s="178"/>
      <c r="I3803" s="178"/>
      <c r="J3803" s="184"/>
      <c r="BB3803" s="169"/>
    </row>
    <row r="3804" spans="1:54" ht="15.75" customHeight="1">
      <c r="A3804" s="169"/>
      <c r="C3804" s="169"/>
      <c r="F3804" s="169"/>
      <c r="H3804" s="178"/>
      <c r="I3804" s="178"/>
      <c r="J3804" s="184"/>
      <c r="BB3804" s="169"/>
    </row>
    <row r="3805" spans="1:54" ht="15.75" customHeight="1">
      <c r="A3805" s="169"/>
      <c r="C3805" s="169"/>
      <c r="F3805" s="169"/>
      <c r="H3805" s="178"/>
      <c r="I3805" s="178"/>
      <c r="J3805" s="184"/>
      <c r="BB3805" s="169"/>
    </row>
    <row r="3806" spans="1:54" ht="15.75" customHeight="1">
      <c r="A3806" s="169"/>
      <c r="C3806" s="169"/>
      <c r="F3806" s="169"/>
      <c r="H3806" s="178"/>
      <c r="I3806" s="178"/>
      <c r="J3806" s="184"/>
      <c r="BB3806" s="169"/>
    </row>
    <row r="3807" spans="1:54" ht="15.75" customHeight="1">
      <c r="A3807" s="169"/>
      <c r="C3807" s="169"/>
      <c r="F3807" s="169"/>
      <c r="H3807" s="178"/>
      <c r="I3807" s="178"/>
      <c r="J3807" s="184"/>
      <c r="BB3807" s="169"/>
    </row>
    <row r="3808" spans="1:54" ht="15.75" customHeight="1">
      <c r="A3808" s="169"/>
      <c r="C3808" s="169"/>
      <c r="F3808" s="169"/>
      <c r="H3808" s="178"/>
      <c r="I3808" s="178"/>
      <c r="J3808" s="184"/>
      <c r="BB3808" s="169"/>
    </row>
    <row r="3809" spans="1:54" ht="15.75" customHeight="1">
      <c r="A3809" s="169"/>
      <c r="C3809" s="169"/>
      <c r="F3809" s="169"/>
      <c r="H3809" s="178"/>
      <c r="I3809" s="178"/>
      <c r="J3809" s="184"/>
      <c r="BB3809" s="169"/>
    </row>
    <row r="3810" spans="1:54" ht="15.75" customHeight="1">
      <c r="A3810" s="169"/>
      <c r="C3810" s="169"/>
      <c r="F3810" s="169"/>
      <c r="H3810" s="178"/>
      <c r="I3810" s="178"/>
      <c r="J3810" s="184"/>
      <c r="BB3810" s="169"/>
    </row>
    <row r="3811" spans="1:54" ht="15.75" customHeight="1">
      <c r="A3811" s="169"/>
      <c r="C3811" s="169"/>
      <c r="F3811" s="169"/>
      <c r="H3811" s="178"/>
      <c r="I3811" s="178"/>
      <c r="J3811" s="184"/>
      <c r="BB3811" s="169"/>
    </row>
    <row r="3812" spans="1:54" ht="15.75" customHeight="1">
      <c r="A3812" s="169"/>
      <c r="C3812" s="169"/>
      <c r="F3812" s="169"/>
      <c r="H3812" s="178"/>
      <c r="I3812" s="178"/>
      <c r="J3812" s="184"/>
      <c r="BB3812" s="169"/>
    </row>
    <row r="3813" spans="1:54" ht="15.75" customHeight="1">
      <c r="A3813" s="169"/>
      <c r="C3813" s="169"/>
      <c r="F3813" s="169"/>
      <c r="H3813" s="178"/>
      <c r="I3813" s="178"/>
      <c r="J3813" s="184"/>
      <c r="BB3813" s="169"/>
    </row>
    <row r="3814" spans="1:54" ht="15.75" customHeight="1">
      <c r="A3814" s="169"/>
      <c r="C3814" s="169"/>
      <c r="F3814" s="169"/>
      <c r="H3814" s="178"/>
      <c r="I3814" s="178"/>
      <c r="J3814" s="184"/>
      <c r="BB3814" s="169"/>
    </row>
    <row r="3815" spans="1:54" ht="15.75" customHeight="1">
      <c r="A3815" s="169"/>
      <c r="C3815" s="169"/>
      <c r="F3815" s="169"/>
      <c r="H3815" s="178"/>
      <c r="I3815" s="178"/>
      <c r="J3815" s="184"/>
      <c r="BB3815" s="169"/>
    </row>
    <row r="3816" spans="1:54" ht="15.75" customHeight="1">
      <c r="A3816" s="169"/>
      <c r="C3816" s="169"/>
      <c r="F3816" s="169"/>
      <c r="H3816" s="178"/>
      <c r="I3816" s="178"/>
      <c r="J3816" s="184"/>
      <c r="BB3816" s="169"/>
    </row>
    <row r="3817" spans="1:54" ht="15.75" customHeight="1">
      <c r="A3817" s="169"/>
      <c r="C3817" s="169"/>
      <c r="F3817" s="169"/>
      <c r="H3817" s="178"/>
      <c r="I3817" s="178"/>
      <c r="J3817" s="184"/>
      <c r="BB3817" s="169"/>
    </row>
    <row r="3818" spans="1:54" ht="15.75" customHeight="1">
      <c r="A3818" s="169"/>
      <c r="C3818" s="169"/>
      <c r="F3818" s="169"/>
      <c r="H3818" s="178"/>
      <c r="I3818" s="178"/>
      <c r="J3818" s="184"/>
      <c r="BB3818" s="169"/>
    </row>
    <row r="3819" spans="1:54" ht="15.75" customHeight="1">
      <c r="A3819" s="169"/>
      <c r="C3819" s="169"/>
      <c r="F3819" s="169"/>
      <c r="H3819" s="178"/>
      <c r="I3819" s="178"/>
      <c r="J3819" s="184"/>
      <c r="BB3819" s="169"/>
    </row>
    <row r="3820" spans="1:54" ht="15.75" customHeight="1">
      <c r="A3820" s="169"/>
      <c r="C3820" s="169"/>
      <c r="F3820" s="169"/>
      <c r="H3820" s="178"/>
      <c r="I3820" s="178"/>
      <c r="J3820" s="184"/>
      <c r="BB3820" s="169"/>
    </row>
    <row r="3821" spans="1:54" ht="15.75" customHeight="1">
      <c r="A3821" s="169"/>
      <c r="C3821" s="169"/>
      <c r="F3821" s="169"/>
      <c r="H3821" s="178"/>
      <c r="I3821" s="178"/>
      <c r="J3821" s="184"/>
      <c r="BB3821" s="169"/>
    </row>
    <row r="3822" spans="1:54" ht="15.75" customHeight="1">
      <c r="A3822" s="169"/>
      <c r="C3822" s="169"/>
      <c r="F3822" s="169"/>
      <c r="H3822" s="178"/>
      <c r="I3822" s="178"/>
      <c r="J3822" s="184"/>
      <c r="BB3822" s="169"/>
    </row>
    <row r="3823" spans="1:54" ht="15.75" customHeight="1">
      <c r="A3823" s="169"/>
      <c r="C3823" s="169"/>
      <c r="F3823" s="169"/>
      <c r="H3823" s="178"/>
      <c r="I3823" s="178"/>
      <c r="J3823" s="184"/>
      <c r="BB3823" s="169"/>
    </row>
    <row r="3824" spans="1:54" ht="15.75" customHeight="1">
      <c r="A3824" s="169"/>
      <c r="C3824" s="169"/>
      <c r="F3824" s="169"/>
      <c r="H3824" s="178"/>
      <c r="I3824" s="178"/>
      <c r="J3824" s="184"/>
      <c r="BB3824" s="169"/>
    </row>
    <row r="3825" spans="1:54" ht="15.75" customHeight="1">
      <c r="A3825" s="169"/>
      <c r="C3825" s="169"/>
      <c r="F3825" s="169"/>
      <c r="H3825" s="178"/>
      <c r="I3825" s="178"/>
      <c r="J3825" s="184"/>
      <c r="BB3825" s="169"/>
    </row>
    <row r="3826" spans="1:54" ht="15.75" customHeight="1">
      <c r="A3826" s="169"/>
      <c r="C3826" s="169"/>
      <c r="F3826" s="169"/>
      <c r="H3826" s="178"/>
      <c r="I3826" s="178"/>
      <c r="J3826" s="184"/>
      <c r="BB3826" s="169"/>
    </row>
    <row r="3827" spans="1:54" ht="15.75" customHeight="1">
      <c r="A3827" s="169"/>
      <c r="C3827" s="169"/>
      <c r="F3827" s="169"/>
      <c r="H3827" s="178"/>
      <c r="I3827" s="178"/>
      <c r="J3827" s="184"/>
      <c r="BB3827" s="169"/>
    </row>
    <row r="3828" spans="1:54" ht="15.75" customHeight="1">
      <c r="A3828" s="169"/>
      <c r="C3828" s="169"/>
      <c r="F3828" s="169"/>
      <c r="H3828" s="178"/>
      <c r="I3828" s="178"/>
      <c r="J3828" s="184"/>
      <c r="BB3828" s="169"/>
    </row>
    <row r="3829" spans="1:54" ht="15.75" customHeight="1">
      <c r="A3829" s="169"/>
      <c r="C3829" s="169"/>
      <c r="F3829" s="169"/>
      <c r="H3829" s="178"/>
      <c r="I3829" s="178"/>
      <c r="J3829" s="184"/>
      <c r="BB3829" s="169"/>
    </row>
    <row r="3830" spans="1:54" ht="15.75" customHeight="1">
      <c r="A3830" s="169"/>
      <c r="C3830" s="169"/>
      <c r="F3830" s="169"/>
      <c r="H3830" s="178"/>
      <c r="I3830" s="178"/>
      <c r="J3830" s="184"/>
      <c r="BB3830" s="169"/>
    </row>
    <row r="3831" spans="1:54" ht="15.75" customHeight="1">
      <c r="A3831" s="169"/>
      <c r="C3831" s="169"/>
      <c r="F3831" s="169"/>
      <c r="H3831" s="178"/>
      <c r="I3831" s="178"/>
      <c r="J3831" s="184"/>
      <c r="BB3831" s="169"/>
    </row>
    <row r="3832" spans="1:54" ht="15.75" customHeight="1">
      <c r="A3832" s="169"/>
      <c r="C3832" s="169"/>
      <c r="F3832" s="169"/>
      <c r="H3832" s="178"/>
      <c r="I3832" s="178"/>
      <c r="J3832" s="184"/>
      <c r="BB3832" s="169"/>
    </row>
    <row r="3833" spans="1:54" ht="15.75" customHeight="1">
      <c r="A3833" s="169"/>
      <c r="C3833" s="169"/>
      <c r="F3833" s="169"/>
      <c r="H3833" s="178"/>
      <c r="I3833" s="178"/>
      <c r="J3833" s="184"/>
      <c r="BB3833" s="169"/>
    </row>
    <row r="3834" spans="1:54" ht="15.75" customHeight="1">
      <c r="A3834" s="169"/>
      <c r="C3834" s="169"/>
      <c r="F3834" s="169"/>
      <c r="H3834" s="178"/>
      <c r="I3834" s="178"/>
      <c r="J3834" s="184"/>
      <c r="BB3834" s="169"/>
    </row>
    <row r="3835" spans="1:54" ht="15.75" customHeight="1">
      <c r="A3835" s="169"/>
      <c r="C3835" s="169"/>
      <c r="F3835" s="169"/>
      <c r="H3835" s="178"/>
      <c r="I3835" s="178"/>
      <c r="J3835" s="184"/>
      <c r="BB3835" s="169"/>
    </row>
    <row r="3836" spans="1:54" ht="15.75" customHeight="1">
      <c r="A3836" s="169"/>
      <c r="C3836" s="169"/>
      <c r="F3836" s="169"/>
      <c r="H3836" s="178"/>
      <c r="I3836" s="178"/>
      <c r="J3836" s="184"/>
      <c r="BB3836" s="169"/>
    </row>
    <row r="3837" spans="1:54" ht="15.75" customHeight="1">
      <c r="A3837" s="169"/>
      <c r="C3837" s="169"/>
      <c r="F3837" s="169"/>
      <c r="H3837" s="178"/>
      <c r="I3837" s="178"/>
      <c r="J3837" s="184"/>
      <c r="BB3837" s="169"/>
    </row>
    <row r="3838" spans="1:54" ht="15.75" customHeight="1">
      <c r="A3838" s="169"/>
      <c r="C3838" s="169"/>
      <c r="F3838" s="169"/>
      <c r="H3838" s="178"/>
      <c r="I3838" s="178"/>
      <c r="J3838" s="184"/>
      <c r="BB3838" s="169"/>
    </row>
    <row r="3839" spans="1:54" ht="15.75" customHeight="1">
      <c r="A3839" s="169"/>
      <c r="C3839" s="169"/>
      <c r="F3839" s="169"/>
      <c r="H3839" s="178"/>
      <c r="I3839" s="178"/>
      <c r="J3839" s="184"/>
      <c r="BB3839" s="169"/>
    </row>
    <row r="3840" spans="1:54" ht="15.75" customHeight="1">
      <c r="A3840" s="169"/>
      <c r="C3840" s="169"/>
      <c r="F3840" s="169"/>
      <c r="H3840" s="178"/>
      <c r="I3840" s="178"/>
      <c r="J3840" s="184"/>
      <c r="BB3840" s="169"/>
    </row>
    <row r="3841" spans="1:54" ht="15.75" customHeight="1">
      <c r="A3841" s="169"/>
      <c r="C3841" s="169"/>
      <c r="F3841" s="169"/>
      <c r="H3841" s="178"/>
      <c r="I3841" s="178"/>
      <c r="J3841" s="184"/>
      <c r="BB3841" s="169"/>
    </row>
    <row r="3842" spans="1:54" ht="15.75" customHeight="1">
      <c r="A3842" s="169"/>
      <c r="C3842" s="169"/>
      <c r="F3842" s="169"/>
      <c r="H3842" s="178"/>
      <c r="I3842" s="178"/>
      <c r="J3842" s="184"/>
      <c r="BB3842" s="169"/>
    </row>
    <row r="3843" spans="1:54" ht="15.75" customHeight="1">
      <c r="A3843" s="169"/>
      <c r="C3843" s="169"/>
      <c r="F3843" s="169"/>
      <c r="H3843" s="178"/>
      <c r="I3843" s="178"/>
      <c r="J3843" s="184"/>
      <c r="BB3843" s="169"/>
    </row>
    <row r="3844" spans="1:54" ht="15.75" customHeight="1">
      <c r="A3844" s="169"/>
      <c r="C3844" s="169"/>
      <c r="F3844" s="169"/>
      <c r="H3844" s="178"/>
      <c r="I3844" s="178"/>
      <c r="J3844" s="184"/>
      <c r="BB3844" s="169"/>
    </row>
    <row r="3845" spans="1:54" ht="15.75" customHeight="1">
      <c r="A3845" s="169"/>
      <c r="C3845" s="169"/>
      <c r="F3845" s="169"/>
      <c r="H3845" s="178"/>
      <c r="I3845" s="178"/>
      <c r="J3845" s="184"/>
      <c r="BB3845" s="169"/>
    </row>
    <row r="3846" spans="1:54" ht="15.75" customHeight="1">
      <c r="A3846" s="169"/>
      <c r="C3846" s="169"/>
      <c r="F3846" s="169"/>
      <c r="H3846" s="178"/>
      <c r="I3846" s="178"/>
      <c r="J3846" s="184"/>
      <c r="BB3846" s="169"/>
    </row>
    <row r="3847" spans="1:54" ht="15.75" customHeight="1">
      <c r="A3847" s="169"/>
      <c r="C3847" s="169"/>
      <c r="F3847" s="169"/>
      <c r="H3847" s="178"/>
      <c r="I3847" s="178"/>
      <c r="J3847" s="184"/>
      <c r="BB3847" s="169"/>
    </row>
    <row r="3848" spans="1:54" ht="15.75" customHeight="1">
      <c r="A3848" s="169"/>
      <c r="C3848" s="169"/>
      <c r="F3848" s="169"/>
      <c r="H3848" s="178"/>
      <c r="I3848" s="178"/>
      <c r="J3848" s="184"/>
      <c r="BB3848" s="169"/>
    </row>
    <row r="3849" spans="1:54" ht="15.75" customHeight="1">
      <c r="A3849" s="169"/>
      <c r="C3849" s="169"/>
      <c r="F3849" s="169"/>
      <c r="H3849" s="178"/>
      <c r="I3849" s="178"/>
      <c r="J3849" s="184"/>
      <c r="BB3849" s="169"/>
    </row>
    <row r="3850" spans="1:54" ht="15.75" customHeight="1">
      <c r="A3850" s="169"/>
      <c r="C3850" s="169"/>
      <c r="F3850" s="169"/>
      <c r="H3850" s="178"/>
      <c r="I3850" s="178"/>
      <c r="J3850" s="184"/>
      <c r="BB3850" s="169"/>
    </row>
    <row r="3851" spans="1:54" ht="15.75" customHeight="1">
      <c r="A3851" s="169"/>
      <c r="C3851" s="169"/>
      <c r="F3851" s="169"/>
      <c r="H3851" s="178"/>
      <c r="I3851" s="178"/>
      <c r="J3851" s="184"/>
      <c r="BB3851" s="169"/>
    </row>
    <row r="3852" spans="1:54" ht="15.75" customHeight="1">
      <c r="A3852" s="169"/>
      <c r="C3852" s="169"/>
      <c r="F3852" s="169"/>
      <c r="H3852" s="178"/>
      <c r="I3852" s="178"/>
      <c r="J3852" s="184"/>
      <c r="BB3852" s="169"/>
    </row>
    <row r="3853" spans="1:54" ht="15.75" customHeight="1">
      <c r="A3853" s="169"/>
      <c r="C3853" s="169"/>
      <c r="F3853" s="169"/>
      <c r="H3853" s="178"/>
      <c r="I3853" s="178"/>
      <c r="J3853" s="184"/>
      <c r="BB3853" s="169"/>
    </row>
    <row r="3854" spans="1:54" ht="15.75" customHeight="1">
      <c r="A3854" s="169"/>
      <c r="C3854" s="169"/>
      <c r="F3854" s="169"/>
      <c r="H3854" s="178"/>
      <c r="I3854" s="178"/>
      <c r="J3854" s="184"/>
      <c r="BB3854" s="169"/>
    </row>
    <row r="3855" spans="1:54" ht="15.75" customHeight="1">
      <c r="A3855" s="169"/>
      <c r="C3855" s="169"/>
      <c r="F3855" s="169"/>
      <c r="H3855" s="178"/>
      <c r="I3855" s="178"/>
      <c r="J3855" s="184"/>
      <c r="BB3855" s="169"/>
    </row>
    <row r="3856" spans="1:54" ht="15.75" customHeight="1">
      <c r="A3856" s="169"/>
      <c r="C3856" s="169"/>
      <c r="F3856" s="169"/>
      <c r="H3856" s="178"/>
      <c r="I3856" s="178"/>
      <c r="J3856" s="184"/>
      <c r="BB3856" s="169"/>
    </row>
    <row r="3857" spans="1:54" ht="15.75" customHeight="1">
      <c r="A3857" s="169"/>
      <c r="C3857" s="169"/>
      <c r="F3857" s="169"/>
      <c r="H3857" s="178"/>
      <c r="I3857" s="178"/>
      <c r="J3857" s="184"/>
      <c r="BB3857" s="169"/>
    </row>
    <row r="3858" spans="1:54" ht="15.75" customHeight="1">
      <c r="A3858" s="169"/>
      <c r="C3858" s="169"/>
      <c r="F3858" s="169"/>
      <c r="H3858" s="178"/>
      <c r="I3858" s="178"/>
      <c r="J3858" s="184"/>
      <c r="BB3858" s="169"/>
    </row>
    <row r="3859" spans="1:54" ht="15.75" customHeight="1">
      <c r="A3859" s="169"/>
      <c r="C3859" s="169"/>
      <c r="F3859" s="169"/>
      <c r="H3859" s="178"/>
      <c r="I3859" s="178"/>
      <c r="J3859" s="184"/>
      <c r="BB3859" s="169"/>
    </row>
    <row r="3860" spans="1:54" ht="15.75" customHeight="1">
      <c r="A3860" s="169"/>
      <c r="C3860" s="169"/>
      <c r="F3860" s="169"/>
      <c r="H3860" s="178"/>
      <c r="I3860" s="178"/>
      <c r="J3860" s="184"/>
      <c r="BB3860" s="169"/>
    </row>
    <row r="3861" spans="1:54" ht="15.75" customHeight="1">
      <c r="A3861" s="169"/>
      <c r="C3861" s="169"/>
      <c r="F3861" s="169"/>
      <c r="H3861" s="178"/>
      <c r="I3861" s="178"/>
      <c r="J3861" s="184"/>
      <c r="BB3861" s="169"/>
    </row>
    <row r="3862" spans="1:54" ht="15.75" customHeight="1">
      <c r="A3862" s="169"/>
      <c r="C3862" s="169"/>
      <c r="F3862" s="169"/>
      <c r="H3862" s="178"/>
      <c r="I3862" s="178"/>
      <c r="J3862" s="184"/>
      <c r="BB3862" s="169"/>
    </row>
    <row r="3863" spans="1:54" ht="15.75" customHeight="1">
      <c r="A3863" s="169"/>
      <c r="C3863" s="169"/>
      <c r="F3863" s="169"/>
      <c r="H3863" s="178"/>
      <c r="I3863" s="178"/>
      <c r="J3863" s="184"/>
      <c r="BB3863" s="169"/>
    </row>
    <row r="3864" spans="1:54" ht="15.75" customHeight="1">
      <c r="A3864" s="169"/>
      <c r="C3864" s="169"/>
      <c r="F3864" s="169"/>
      <c r="H3864" s="178"/>
      <c r="I3864" s="178"/>
      <c r="J3864" s="184"/>
      <c r="BB3864" s="169"/>
    </row>
    <row r="3865" spans="1:54" ht="15.75" customHeight="1">
      <c r="A3865" s="169"/>
      <c r="C3865" s="169"/>
      <c r="F3865" s="169"/>
      <c r="H3865" s="178"/>
      <c r="I3865" s="178"/>
      <c r="J3865" s="184"/>
      <c r="BB3865" s="169"/>
    </row>
    <row r="3866" spans="1:54" ht="15.75" customHeight="1">
      <c r="A3866" s="169"/>
      <c r="C3866" s="169"/>
      <c r="F3866" s="169"/>
      <c r="H3866" s="178"/>
      <c r="I3866" s="178"/>
      <c r="J3866" s="184"/>
      <c r="BB3866" s="169"/>
    </row>
    <row r="3867" spans="1:54" ht="15.75" customHeight="1">
      <c r="A3867" s="169"/>
      <c r="C3867" s="169"/>
      <c r="F3867" s="169"/>
      <c r="H3867" s="178"/>
      <c r="I3867" s="178"/>
      <c r="J3867" s="184"/>
      <c r="BB3867" s="169"/>
    </row>
    <row r="3868" spans="1:54" ht="15.75" customHeight="1">
      <c r="A3868" s="169"/>
      <c r="C3868" s="169"/>
      <c r="F3868" s="169"/>
      <c r="H3868" s="178"/>
      <c r="I3868" s="178"/>
      <c r="J3868" s="184"/>
      <c r="BB3868" s="169"/>
    </row>
    <row r="3869" spans="1:54" ht="15.75" customHeight="1">
      <c r="A3869" s="169"/>
      <c r="C3869" s="169"/>
      <c r="F3869" s="169"/>
      <c r="H3869" s="178"/>
      <c r="I3869" s="178"/>
      <c r="J3869" s="184"/>
      <c r="BB3869" s="169"/>
    </row>
    <row r="3870" spans="1:54" ht="15.75" customHeight="1">
      <c r="A3870" s="169"/>
      <c r="C3870" s="169"/>
      <c r="F3870" s="169"/>
      <c r="H3870" s="178"/>
      <c r="I3870" s="178"/>
      <c r="J3870" s="184"/>
      <c r="BB3870" s="169"/>
    </row>
    <row r="3871" spans="1:54" ht="15.75" customHeight="1">
      <c r="A3871" s="169"/>
      <c r="C3871" s="169"/>
      <c r="F3871" s="169"/>
      <c r="H3871" s="178"/>
      <c r="I3871" s="178"/>
      <c r="J3871" s="184"/>
      <c r="BB3871" s="169"/>
    </row>
    <row r="3872" spans="1:54" ht="15.75" customHeight="1">
      <c r="A3872" s="169"/>
      <c r="C3872" s="169"/>
      <c r="F3872" s="169"/>
      <c r="H3872" s="178"/>
      <c r="I3872" s="178"/>
      <c r="J3872" s="184"/>
      <c r="BB3872" s="169"/>
    </row>
    <row r="3873" spans="1:54" ht="15.75" customHeight="1">
      <c r="A3873" s="169"/>
      <c r="C3873" s="169"/>
      <c r="F3873" s="169"/>
      <c r="H3873" s="178"/>
      <c r="I3873" s="178"/>
      <c r="J3873" s="184"/>
      <c r="BB3873" s="169"/>
    </row>
    <row r="3874" spans="1:54" ht="15.75" customHeight="1">
      <c r="A3874" s="169"/>
      <c r="C3874" s="169"/>
      <c r="F3874" s="169"/>
      <c r="H3874" s="178"/>
      <c r="I3874" s="178"/>
      <c r="J3874" s="184"/>
      <c r="BB3874" s="169"/>
    </row>
    <row r="3875" spans="1:54" ht="15.75" customHeight="1">
      <c r="A3875" s="169"/>
      <c r="C3875" s="169"/>
      <c r="F3875" s="169"/>
      <c r="H3875" s="178"/>
      <c r="I3875" s="178"/>
      <c r="J3875" s="184"/>
      <c r="BB3875" s="169"/>
    </row>
    <row r="3876" spans="1:54" ht="15.75" customHeight="1">
      <c r="A3876" s="169"/>
      <c r="C3876" s="169"/>
      <c r="F3876" s="169"/>
      <c r="H3876" s="178"/>
      <c r="I3876" s="178"/>
      <c r="J3876" s="184"/>
      <c r="BB3876" s="169"/>
    </row>
    <row r="3877" spans="1:54" ht="15.75" customHeight="1">
      <c r="A3877" s="169"/>
      <c r="C3877" s="169"/>
      <c r="F3877" s="169"/>
      <c r="H3877" s="178"/>
      <c r="I3877" s="178"/>
      <c r="J3877" s="184"/>
      <c r="BB3877" s="169"/>
    </row>
    <row r="3878" spans="1:54" ht="15.75" customHeight="1">
      <c r="A3878" s="169"/>
      <c r="C3878" s="169"/>
      <c r="F3878" s="169"/>
      <c r="H3878" s="178"/>
      <c r="I3878" s="178"/>
      <c r="J3878" s="184"/>
      <c r="BB3878" s="169"/>
    </row>
    <row r="3879" spans="1:54" ht="15.75" customHeight="1">
      <c r="A3879" s="169"/>
      <c r="C3879" s="169"/>
      <c r="F3879" s="169"/>
      <c r="H3879" s="178"/>
      <c r="I3879" s="178"/>
      <c r="J3879" s="184"/>
      <c r="BB3879" s="169"/>
    </row>
    <row r="3880" spans="1:54" ht="15.75" customHeight="1">
      <c r="A3880" s="169"/>
      <c r="C3880" s="169"/>
      <c r="F3880" s="169"/>
      <c r="H3880" s="178"/>
      <c r="I3880" s="178"/>
      <c r="J3880" s="184"/>
      <c r="BB3880" s="169"/>
    </row>
    <row r="3881" spans="1:54" ht="15.75" customHeight="1">
      <c r="A3881" s="169"/>
      <c r="C3881" s="169"/>
      <c r="F3881" s="169"/>
      <c r="H3881" s="178"/>
      <c r="I3881" s="178"/>
      <c r="J3881" s="184"/>
      <c r="BB3881" s="169"/>
    </row>
    <row r="3882" spans="1:54" ht="15.75" customHeight="1">
      <c r="A3882" s="169"/>
      <c r="C3882" s="169"/>
      <c r="F3882" s="169"/>
      <c r="H3882" s="178"/>
      <c r="I3882" s="178"/>
      <c r="J3882" s="184"/>
      <c r="BB3882" s="169"/>
    </row>
    <row r="3883" spans="1:54" ht="15.75" customHeight="1">
      <c r="A3883" s="169"/>
      <c r="C3883" s="169"/>
      <c r="F3883" s="169"/>
      <c r="H3883" s="178"/>
      <c r="I3883" s="178"/>
      <c r="J3883" s="184"/>
      <c r="BB3883" s="169"/>
    </row>
    <row r="3884" spans="1:54" ht="15.75" customHeight="1">
      <c r="A3884" s="169"/>
      <c r="C3884" s="169"/>
      <c r="F3884" s="169"/>
      <c r="H3884" s="178"/>
      <c r="I3884" s="178"/>
      <c r="J3884" s="184"/>
      <c r="BB3884" s="169"/>
    </row>
    <row r="3885" spans="1:54" ht="15.75" customHeight="1">
      <c r="A3885" s="169"/>
      <c r="C3885" s="169"/>
      <c r="F3885" s="169"/>
      <c r="H3885" s="178"/>
      <c r="I3885" s="178"/>
      <c r="J3885" s="184"/>
      <c r="BB3885" s="169"/>
    </row>
    <row r="3886" spans="1:54" ht="15.75" customHeight="1">
      <c r="A3886" s="169"/>
      <c r="C3886" s="169"/>
      <c r="F3886" s="169"/>
      <c r="H3886" s="178"/>
      <c r="I3886" s="178"/>
      <c r="J3886" s="184"/>
      <c r="BB3886" s="169"/>
    </row>
    <row r="3887" spans="1:54" ht="15.75" customHeight="1">
      <c r="A3887" s="169"/>
      <c r="C3887" s="169"/>
      <c r="F3887" s="169"/>
      <c r="H3887" s="178"/>
      <c r="I3887" s="178"/>
      <c r="J3887" s="184"/>
      <c r="BB3887" s="169"/>
    </row>
    <row r="3888" spans="1:54" ht="15.75" customHeight="1">
      <c r="A3888" s="169"/>
      <c r="C3888" s="169"/>
      <c r="F3888" s="169"/>
      <c r="H3888" s="178"/>
      <c r="I3888" s="178"/>
      <c r="J3888" s="184"/>
      <c r="BB3888" s="169"/>
    </row>
    <row r="3889" spans="1:54" ht="15.75" customHeight="1">
      <c r="A3889" s="169"/>
      <c r="C3889" s="169"/>
      <c r="F3889" s="169"/>
      <c r="H3889" s="178"/>
      <c r="I3889" s="178"/>
      <c r="J3889" s="184"/>
      <c r="BB3889" s="169"/>
    </row>
    <row r="3890" spans="1:54" ht="15.75" customHeight="1">
      <c r="A3890" s="169"/>
      <c r="C3890" s="169"/>
      <c r="F3890" s="169"/>
      <c r="H3890" s="178"/>
      <c r="I3890" s="178"/>
      <c r="J3890" s="184"/>
      <c r="BB3890" s="169"/>
    </row>
    <row r="3891" spans="1:54" ht="15.75" customHeight="1">
      <c r="A3891" s="169"/>
      <c r="C3891" s="169"/>
      <c r="F3891" s="169"/>
      <c r="H3891" s="178"/>
      <c r="I3891" s="178"/>
      <c r="J3891" s="184"/>
      <c r="BB3891" s="169"/>
    </row>
    <row r="3892" spans="1:54" ht="15.75" customHeight="1">
      <c r="A3892" s="169"/>
      <c r="C3892" s="169"/>
      <c r="F3892" s="169"/>
      <c r="H3892" s="178"/>
      <c r="I3892" s="178"/>
      <c r="J3892" s="184"/>
      <c r="BB3892" s="169"/>
    </row>
    <row r="3893" spans="1:54" ht="15.75" customHeight="1">
      <c r="A3893" s="169"/>
      <c r="C3893" s="169"/>
      <c r="F3893" s="169"/>
      <c r="H3893" s="178"/>
      <c r="I3893" s="178"/>
      <c r="J3893" s="184"/>
      <c r="BB3893" s="169"/>
    </row>
    <row r="3894" spans="1:54" ht="15.75" customHeight="1">
      <c r="A3894" s="169"/>
      <c r="C3894" s="169"/>
      <c r="F3894" s="169"/>
      <c r="H3894" s="178"/>
      <c r="I3894" s="178"/>
      <c r="J3894" s="184"/>
      <c r="BB3894" s="169"/>
    </row>
    <row r="3895" spans="1:54" ht="15.75" customHeight="1">
      <c r="A3895" s="169"/>
      <c r="C3895" s="169"/>
      <c r="F3895" s="169"/>
      <c r="H3895" s="178"/>
      <c r="I3895" s="178"/>
      <c r="J3895" s="184"/>
      <c r="BB3895" s="169"/>
    </row>
    <row r="3896" spans="1:54" ht="15.75" customHeight="1">
      <c r="A3896" s="169"/>
      <c r="C3896" s="169"/>
      <c r="F3896" s="169"/>
      <c r="H3896" s="178"/>
      <c r="I3896" s="178"/>
      <c r="J3896" s="184"/>
      <c r="BB3896" s="169"/>
    </row>
    <row r="3897" spans="1:54" ht="15.75" customHeight="1">
      <c r="A3897" s="169"/>
      <c r="C3897" s="169"/>
      <c r="F3897" s="169"/>
      <c r="H3897" s="178"/>
      <c r="I3897" s="178"/>
      <c r="J3897" s="184"/>
      <c r="BB3897" s="169"/>
    </row>
    <row r="3898" spans="1:54" ht="15.75" customHeight="1">
      <c r="A3898" s="169"/>
      <c r="C3898" s="169"/>
      <c r="F3898" s="169"/>
      <c r="H3898" s="178"/>
      <c r="I3898" s="178"/>
      <c r="J3898" s="184"/>
      <c r="BB3898" s="169"/>
    </row>
    <row r="3899" spans="1:54" ht="15.75" customHeight="1">
      <c r="A3899" s="169"/>
      <c r="C3899" s="169"/>
      <c r="F3899" s="169"/>
      <c r="H3899" s="178"/>
      <c r="I3899" s="178"/>
      <c r="J3899" s="184"/>
      <c r="BB3899" s="169"/>
    </row>
    <row r="3900" spans="1:54" ht="15.75" customHeight="1">
      <c r="A3900" s="169"/>
      <c r="C3900" s="169"/>
      <c r="F3900" s="169"/>
      <c r="H3900" s="178"/>
      <c r="I3900" s="178"/>
      <c r="J3900" s="184"/>
      <c r="BB3900" s="169"/>
    </row>
    <row r="3901" spans="1:54" ht="15.75" customHeight="1">
      <c r="A3901" s="169"/>
      <c r="C3901" s="169"/>
      <c r="F3901" s="169"/>
      <c r="H3901" s="178"/>
      <c r="I3901" s="178"/>
      <c r="J3901" s="184"/>
      <c r="BB3901" s="169"/>
    </row>
    <row r="3902" spans="1:54" ht="15.75" customHeight="1">
      <c r="A3902" s="169"/>
      <c r="C3902" s="169"/>
      <c r="F3902" s="169"/>
      <c r="H3902" s="178"/>
      <c r="I3902" s="178"/>
      <c r="J3902" s="184"/>
      <c r="BB3902" s="169"/>
    </row>
    <row r="3903" spans="1:54" ht="15.75" customHeight="1">
      <c r="A3903" s="169"/>
      <c r="C3903" s="169"/>
      <c r="F3903" s="169"/>
      <c r="H3903" s="178"/>
      <c r="I3903" s="178"/>
      <c r="J3903" s="184"/>
      <c r="BB3903" s="169"/>
    </row>
    <row r="3904" spans="1:54" ht="15.75" customHeight="1">
      <c r="A3904" s="169"/>
      <c r="C3904" s="169"/>
      <c r="F3904" s="169"/>
      <c r="H3904" s="178"/>
      <c r="I3904" s="178"/>
      <c r="J3904" s="184"/>
      <c r="BB3904" s="169"/>
    </row>
    <row r="3905" spans="1:54" ht="15.75" customHeight="1">
      <c r="A3905" s="169"/>
      <c r="C3905" s="169"/>
      <c r="F3905" s="169"/>
      <c r="H3905" s="178"/>
      <c r="I3905" s="178"/>
      <c r="J3905" s="184"/>
      <c r="BB3905" s="169"/>
    </row>
    <row r="3906" spans="1:54" ht="15.75" customHeight="1">
      <c r="A3906" s="169"/>
      <c r="C3906" s="169"/>
      <c r="F3906" s="169"/>
      <c r="H3906" s="178"/>
      <c r="I3906" s="178"/>
      <c r="J3906" s="184"/>
      <c r="BB3906" s="169"/>
    </row>
    <row r="3907" spans="1:54" ht="15.75" customHeight="1">
      <c r="A3907" s="169"/>
      <c r="C3907" s="169"/>
      <c r="F3907" s="169"/>
      <c r="H3907" s="178"/>
      <c r="I3907" s="178"/>
      <c r="J3907" s="184"/>
      <c r="BB3907" s="169"/>
    </row>
    <row r="3908" spans="1:54" ht="15.75" customHeight="1">
      <c r="A3908" s="169"/>
      <c r="C3908" s="169"/>
      <c r="F3908" s="169"/>
      <c r="H3908" s="178"/>
      <c r="I3908" s="178"/>
      <c r="J3908" s="184"/>
      <c r="BB3908" s="169"/>
    </row>
    <row r="3909" spans="1:54" ht="15.75" customHeight="1">
      <c r="A3909" s="169"/>
      <c r="C3909" s="169"/>
      <c r="F3909" s="169"/>
      <c r="H3909" s="178"/>
      <c r="I3909" s="178"/>
      <c r="J3909" s="184"/>
      <c r="BB3909" s="169"/>
    </row>
    <row r="3910" spans="1:54" ht="15.75" customHeight="1">
      <c r="A3910" s="169"/>
      <c r="C3910" s="169"/>
      <c r="F3910" s="169"/>
      <c r="H3910" s="178"/>
      <c r="I3910" s="178"/>
      <c r="J3910" s="184"/>
      <c r="BB3910" s="169"/>
    </row>
    <row r="3911" spans="1:54" ht="15.75" customHeight="1">
      <c r="A3911" s="169"/>
      <c r="C3911" s="169"/>
      <c r="F3911" s="169"/>
      <c r="H3911" s="178"/>
      <c r="I3911" s="178"/>
      <c r="J3911" s="184"/>
      <c r="BB3911" s="169"/>
    </row>
    <row r="3912" spans="1:54" ht="15.75" customHeight="1">
      <c r="A3912" s="169"/>
      <c r="C3912" s="169"/>
      <c r="F3912" s="169"/>
      <c r="H3912" s="178"/>
      <c r="I3912" s="178"/>
      <c r="J3912" s="184"/>
      <c r="BB3912" s="169"/>
    </row>
    <row r="3913" spans="1:54" ht="15.75" customHeight="1">
      <c r="A3913" s="169"/>
      <c r="C3913" s="169"/>
      <c r="F3913" s="169"/>
      <c r="H3913" s="178"/>
      <c r="I3913" s="178"/>
      <c r="J3913" s="184"/>
      <c r="BB3913" s="169"/>
    </row>
    <row r="3914" spans="1:54" ht="15.75" customHeight="1">
      <c r="A3914" s="169"/>
      <c r="C3914" s="169"/>
      <c r="F3914" s="169"/>
      <c r="H3914" s="178"/>
      <c r="I3914" s="178"/>
      <c r="J3914" s="184"/>
      <c r="BB3914" s="169"/>
    </row>
    <row r="3915" spans="1:54" ht="15.75" customHeight="1">
      <c r="A3915" s="169"/>
      <c r="C3915" s="169"/>
      <c r="F3915" s="169"/>
      <c r="H3915" s="178"/>
      <c r="I3915" s="178"/>
      <c r="J3915" s="184"/>
      <c r="BB3915" s="169"/>
    </row>
    <row r="3916" spans="1:54" ht="15.75" customHeight="1">
      <c r="A3916" s="169"/>
      <c r="C3916" s="169"/>
      <c r="F3916" s="169"/>
      <c r="H3916" s="178"/>
      <c r="I3916" s="178"/>
      <c r="J3916" s="184"/>
      <c r="BB3916" s="169"/>
    </row>
    <row r="3917" spans="1:54" ht="15.75" customHeight="1">
      <c r="A3917" s="169"/>
      <c r="C3917" s="169"/>
      <c r="F3917" s="169"/>
      <c r="H3917" s="178"/>
      <c r="I3917" s="178"/>
      <c r="J3917" s="184"/>
      <c r="BB3917" s="169"/>
    </row>
    <row r="3918" spans="1:54" ht="15.75" customHeight="1">
      <c r="A3918" s="169"/>
      <c r="C3918" s="169"/>
      <c r="F3918" s="169"/>
      <c r="H3918" s="178"/>
      <c r="I3918" s="178"/>
      <c r="J3918" s="184"/>
      <c r="BB3918" s="169"/>
    </row>
    <row r="3919" spans="1:54" ht="15.75" customHeight="1">
      <c r="A3919" s="169"/>
      <c r="C3919" s="169"/>
      <c r="F3919" s="169"/>
      <c r="H3919" s="178"/>
      <c r="I3919" s="178"/>
      <c r="J3919" s="184"/>
      <c r="BB3919" s="169"/>
    </row>
    <row r="3920" spans="1:54" ht="15.75" customHeight="1">
      <c r="A3920" s="169"/>
      <c r="C3920" s="169"/>
      <c r="F3920" s="169"/>
      <c r="H3920" s="178"/>
      <c r="I3920" s="178"/>
      <c r="J3920" s="184"/>
      <c r="BB3920" s="169"/>
    </row>
    <row r="3921" spans="1:54" ht="15.75" customHeight="1">
      <c r="A3921" s="169"/>
      <c r="C3921" s="169"/>
      <c r="F3921" s="169"/>
      <c r="H3921" s="178"/>
      <c r="I3921" s="178"/>
      <c r="J3921" s="184"/>
      <c r="BB3921" s="169"/>
    </row>
    <row r="3922" spans="1:54" ht="15.75" customHeight="1">
      <c r="A3922" s="169"/>
      <c r="C3922" s="169"/>
      <c r="F3922" s="169"/>
      <c r="H3922" s="178"/>
      <c r="I3922" s="178"/>
      <c r="J3922" s="184"/>
      <c r="BB3922" s="169"/>
    </row>
    <row r="3923" spans="1:54" ht="15.75" customHeight="1">
      <c r="A3923" s="169"/>
      <c r="C3923" s="169"/>
      <c r="F3923" s="169"/>
      <c r="H3923" s="178"/>
      <c r="I3923" s="178"/>
      <c r="J3923" s="184"/>
      <c r="BB3923" s="169"/>
    </row>
    <row r="3924" spans="1:54" ht="15.75" customHeight="1">
      <c r="A3924" s="169"/>
      <c r="C3924" s="169"/>
      <c r="F3924" s="169"/>
      <c r="H3924" s="178"/>
      <c r="I3924" s="178"/>
      <c r="J3924" s="184"/>
      <c r="BB3924" s="169"/>
    </row>
    <row r="3925" spans="1:54" ht="15.75" customHeight="1">
      <c r="A3925" s="169"/>
      <c r="C3925" s="169"/>
      <c r="F3925" s="169"/>
      <c r="H3925" s="178"/>
      <c r="I3925" s="178"/>
      <c r="J3925" s="184"/>
      <c r="BB3925" s="169"/>
    </row>
    <row r="3926" spans="1:54" ht="15.75" customHeight="1">
      <c r="A3926" s="169"/>
      <c r="C3926" s="169"/>
      <c r="F3926" s="169"/>
      <c r="H3926" s="178"/>
      <c r="I3926" s="178"/>
      <c r="J3926" s="184"/>
      <c r="BB3926" s="169"/>
    </row>
    <row r="3927" spans="1:54" ht="15.75" customHeight="1">
      <c r="A3927" s="169"/>
      <c r="C3927" s="169"/>
      <c r="F3927" s="169"/>
      <c r="H3927" s="178"/>
      <c r="I3927" s="178"/>
      <c r="J3927" s="184"/>
      <c r="BB3927" s="169"/>
    </row>
    <row r="3928" spans="1:54" ht="15.75" customHeight="1">
      <c r="A3928" s="169"/>
      <c r="C3928" s="169"/>
      <c r="F3928" s="169"/>
      <c r="H3928" s="178"/>
      <c r="I3928" s="178"/>
      <c r="J3928" s="184"/>
      <c r="BB3928" s="169"/>
    </row>
    <row r="3929" spans="1:54" ht="15.75" customHeight="1">
      <c r="A3929" s="169"/>
      <c r="C3929" s="169"/>
      <c r="F3929" s="169"/>
      <c r="H3929" s="178"/>
      <c r="I3929" s="178"/>
      <c r="J3929" s="184"/>
      <c r="BB3929" s="169"/>
    </row>
    <row r="3930" spans="1:54" ht="15.75" customHeight="1">
      <c r="A3930" s="169"/>
      <c r="C3930" s="169"/>
      <c r="F3930" s="169"/>
      <c r="H3930" s="178"/>
      <c r="I3930" s="178"/>
      <c r="J3930" s="184"/>
      <c r="BB3930" s="169"/>
    </row>
    <row r="3931" spans="1:54" ht="15.75" customHeight="1">
      <c r="A3931" s="169"/>
      <c r="C3931" s="169"/>
      <c r="F3931" s="169"/>
      <c r="H3931" s="178"/>
      <c r="I3931" s="178"/>
      <c r="J3931" s="184"/>
      <c r="BB3931" s="169"/>
    </row>
    <row r="3932" spans="1:54" ht="15.75" customHeight="1">
      <c r="A3932" s="169"/>
      <c r="C3932" s="169"/>
      <c r="F3932" s="169"/>
      <c r="H3932" s="178"/>
      <c r="I3932" s="178"/>
      <c r="J3932" s="184"/>
      <c r="BB3932" s="169"/>
    </row>
    <row r="3933" spans="1:54" ht="15.75" customHeight="1">
      <c r="A3933" s="169"/>
      <c r="C3933" s="169"/>
      <c r="F3933" s="169"/>
      <c r="H3933" s="178"/>
      <c r="I3933" s="178"/>
      <c r="J3933" s="184"/>
      <c r="BB3933" s="169"/>
    </row>
    <row r="3934" spans="1:54" ht="15.75" customHeight="1">
      <c r="A3934" s="169"/>
      <c r="C3934" s="169"/>
      <c r="F3934" s="169"/>
      <c r="H3934" s="178"/>
      <c r="I3934" s="178"/>
      <c r="J3934" s="184"/>
      <c r="BB3934" s="169"/>
    </row>
    <row r="3935" spans="1:54" ht="15.75" customHeight="1">
      <c r="A3935" s="169"/>
      <c r="C3935" s="169"/>
      <c r="F3935" s="169"/>
      <c r="H3935" s="178"/>
      <c r="I3935" s="178"/>
      <c r="J3935" s="184"/>
      <c r="BB3935" s="169"/>
    </row>
    <row r="3936" spans="1:54" ht="15.75" customHeight="1">
      <c r="A3936" s="169"/>
      <c r="C3936" s="169"/>
      <c r="F3936" s="169"/>
      <c r="H3936" s="178"/>
      <c r="I3936" s="178"/>
      <c r="J3936" s="184"/>
      <c r="BB3936" s="169"/>
    </row>
    <row r="3937" spans="1:54" ht="15.75" customHeight="1">
      <c r="A3937" s="169"/>
      <c r="C3937" s="169"/>
      <c r="F3937" s="169"/>
      <c r="H3937" s="178"/>
      <c r="I3937" s="178"/>
      <c r="J3937" s="184"/>
      <c r="BB3937" s="169"/>
    </row>
    <row r="3938" spans="1:54" ht="15.75" customHeight="1">
      <c r="A3938" s="169"/>
      <c r="C3938" s="169"/>
      <c r="F3938" s="169"/>
      <c r="H3938" s="178"/>
      <c r="I3938" s="178"/>
      <c r="J3938" s="184"/>
      <c r="BB3938" s="169"/>
    </row>
    <row r="3939" spans="1:54" ht="15.75" customHeight="1">
      <c r="A3939" s="169"/>
      <c r="C3939" s="169"/>
      <c r="F3939" s="169"/>
      <c r="H3939" s="178"/>
      <c r="I3939" s="178"/>
      <c r="J3939" s="184"/>
      <c r="BB3939" s="169"/>
    </row>
    <row r="3940" spans="1:54" ht="15.75" customHeight="1">
      <c r="A3940" s="169"/>
      <c r="C3940" s="169"/>
      <c r="F3940" s="169"/>
      <c r="H3940" s="178"/>
      <c r="I3940" s="178"/>
      <c r="J3940" s="184"/>
      <c r="BB3940" s="169"/>
    </row>
    <row r="3941" spans="1:54" ht="15.75" customHeight="1">
      <c r="A3941" s="169"/>
      <c r="C3941" s="169"/>
      <c r="F3941" s="169"/>
      <c r="H3941" s="178"/>
      <c r="I3941" s="178"/>
      <c r="J3941" s="184"/>
      <c r="BB3941" s="169"/>
    </row>
    <row r="3942" spans="1:54" ht="15.75" customHeight="1">
      <c r="A3942" s="169"/>
      <c r="C3942" s="169"/>
      <c r="F3942" s="169"/>
      <c r="H3942" s="178"/>
      <c r="I3942" s="178"/>
      <c r="J3942" s="184"/>
      <c r="BB3942" s="169"/>
    </row>
    <row r="3943" spans="1:54" ht="15.75" customHeight="1">
      <c r="A3943" s="169"/>
      <c r="C3943" s="169"/>
      <c r="F3943" s="169"/>
      <c r="H3943" s="178"/>
      <c r="I3943" s="178"/>
      <c r="J3943" s="184"/>
      <c r="BB3943" s="169"/>
    </row>
    <row r="3944" spans="1:54" ht="15.75" customHeight="1">
      <c r="A3944" s="169"/>
      <c r="C3944" s="169"/>
      <c r="F3944" s="169"/>
      <c r="H3944" s="178"/>
      <c r="I3944" s="178"/>
      <c r="J3944" s="184"/>
      <c r="BB3944" s="169"/>
    </row>
    <row r="3945" spans="1:54" ht="15.75" customHeight="1">
      <c r="A3945" s="169"/>
      <c r="C3945" s="169"/>
      <c r="F3945" s="169"/>
      <c r="H3945" s="178"/>
      <c r="I3945" s="178"/>
      <c r="J3945" s="184"/>
      <c r="BB3945" s="169"/>
    </row>
    <row r="3946" spans="1:54" ht="15.75" customHeight="1">
      <c r="A3946" s="169"/>
      <c r="C3946" s="169"/>
      <c r="F3946" s="169"/>
      <c r="H3946" s="178"/>
      <c r="I3946" s="178"/>
      <c r="J3946" s="184"/>
      <c r="BB3946" s="169"/>
    </row>
    <row r="3947" spans="1:54" ht="15.75" customHeight="1">
      <c r="A3947" s="169"/>
      <c r="C3947" s="169"/>
      <c r="F3947" s="169"/>
      <c r="H3947" s="178"/>
      <c r="I3947" s="178"/>
      <c r="J3947" s="184"/>
      <c r="BB3947" s="169"/>
    </row>
    <row r="3948" spans="1:54" ht="15.75" customHeight="1">
      <c r="A3948" s="169"/>
      <c r="C3948" s="169"/>
      <c r="F3948" s="169"/>
      <c r="H3948" s="178"/>
      <c r="I3948" s="178"/>
      <c r="J3948" s="184"/>
      <c r="BB3948" s="169"/>
    </row>
    <row r="3949" spans="1:54" ht="15.75" customHeight="1">
      <c r="A3949" s="169"/>
      <c r="C3949" s="169"/>
      <c r="F3949" s="169"/>
      <c r="H3949" s="178"/>
      <c r="I3949" s="178"/>
      <c r="J3949" s="184"/>
      <c r="BB3949" s="169"/>
    </row>
    <row r="3950" spans="1:54" ht="15.75" customHeight="1">
      <c r="A3950" s="169"/>
      <c r="C3950" s="169"/>
      <c r="F3950" s="169"/>
      <c r="H3950" s="178"/>
      <c r="I3950" s="178"/>
      <c r="J3950" s="184"/>
      <c r="BB3950" s="169"/>
    </row>
    <row r="3951" spans="1:54" ht="15.75" customHeight="1">
      <c r="A3951" s="169"/>
      <c r="C3951" s="169"/>
      <c r="F3951" s="169"/>
      <c r="H3951" s="178"/>
      <c r="I3951" s="178"/>
      <c r="J3951" s="184"/>
      <c r="BB3951" s="169"/>
    </row>
    <row r="3952" spans="1:54" ht="15.75" customHeight="1">
      <c r="A3952" s="169"/>
      <c r="C3952" s="169"/>
      <c r="F3952" s="169"/>
      <c r="H3952" s="178"/>
      <c r="I3952" s="178"/>
      <c r="J3952" s="184"/>
      <c r="BB3952" s="169"/>
    </row>
    <row r="3953" spans="1:54" ht="15.75" customHeight="1">
      <c r="A3953" s="169"/>
      <c r="C3953" s="169"/>
      <c r="F3953" s="169"/>
      <c r="H3953" s="178"/>
      <c r="I3953" s="178"/>
      <c r="J3953" s="184"/>
      <c r="BB3953" s="169"/>
    </row>
    <row r="3954" spans="1:54" ht="15.75" customHeight="1">
      <c r="A3954" s="169"/>
      <c r="C3954" s="169"/>
      <c r="F3954" s="169"/>
      <c r="H3954" s="178"/>
      <c r="I3954" s="178"/>
      <c r="J3954" s="184"/>
      <c r="BB3954" s="169"/>
    </row>
    <row r="3955" spans="1:54" ht="15.75" customHeight="1">
      <c r="A3955" s="169"/>
      <c r="C3955" s="169"/>
      <c r="F3955" s="169"/>
      <c r="H3955" s="178"/>
      <c r="I3955" s="178"/>
      <c r="J3955" s="184"/>
      <c r="BB3955" s="169"/>
    </row>
    <row r="3956" spans="1:54" ht="15.75" customHeight="1">
      <c r="A3956" s="169"/>
      <c r="C3956" s="169"/>
      <c r="F3956" s="169"/>
      <c r="H3956" s="178"/>
      <c r="I3956" s="178"/>
      <c r="J3956" s="184"/>
      <c r="BB3956" s="169"/>
    </row>
    <row r="3957" spans="1:54" ht="15.75" customHeight="1">
      <c r="A3957" s="169"/>
      <c r="C3957" s="169"/>
      <c r="F3957" s="169"/>
      <c r="H3957" s="178"/>
      <c r="I3957" s="178"/>
      <c r="J3957" s="184"/>
      <c r="BB3957" s="169"/>
    </row>
    <row r="3958" spans="1:54" ht="15.75" customHeight="1">
      <c r="A3958" s="169"/>
      <c r="C3958" s="169"/>
      <c r="F3958" s="169"/>
      <c r="H3958" s="178"/>
      <c r="I3958" s="178"/>
      <c r="J3958" s="184"/>
      <c r="BB3958" s="169"/>
    </row>
    <row r="3959" spans="1:54" ht="15.75" customHeight="1">
      <c r="A3959" s="169"/>
      <c r="C3959" s="169"/>
      <c r="F3959" s="169"/>
      <c r="H3959" s="178"/>
      <c r="I3959" s="178"/>
      <c r="J3959" s="184"/>
      <c r="BB3959" s="169"/>
    </row>
    <row r="3960" spans="1:54" ht="15.75" customHeight="1">
      <c r="A3960" s="169"/>
      <c r="C3960" s="169"/>
      <c r="F3960" s="169"/>
      <c r="H3960" s="178"/>
      <c r="I3960" s="178"/>
      <c r="J3960" s="184"/>
      <c r="BB3960" s="169"/>
    </row>
    <row r="3961" spans="1:54" ht="15.75" customHeight="1">
      <c r="A3961" s="169"/>
      <c r="C3961" s="169"/>
      <c r="F3961" s="169"/>
      <c r="H3961" s="178"/>
      <c r="I3961" s="178"/>
      <c r="J3961" s="184"/>
      <c r="BB3961" s="169"/>
    </row>
    <row r="3962" spans="1:54" ht="15.75" customHeight="1">
      <c r="A3962" s="169"/>
      <c r="C3962" s="169"/>
      <c r="F3962" s="169"/>
      <c r="H3962" s="178"/>
      <c r="I3962" s="178"/>
      <c r="J3962" s="184"/>
      <c r="BB3962" s="169"/>
    </row>
    <row r="3963" spans="1:54" ht="15.75" customHeight="1">
      <c r="A3963" s="169"/>
      <c r="C3963" s="169"/>
      <c r="F3963" s="169"/>
      <c r="H3963" s="178"/>
      <c r="I3963" s="178"/>
      <c r="J3963" s="184"/>
      <c r="BB3963" s="169"/>
    </row>
    <row r="3964" spans="1:54" ht="15.75" customHeight="1">
      <c r="A3964" s="169"/>
      <c r="C3964" s="169"/>
      <c r="F3964" s="169"/>
      <c r="H3964" s="178"/>
      <c r="I3964" s="178"/>
      <c r="J3964" s="184"/>
      <c r="BB3964" s="169"/>
    </row>
    <row r="3965" spans="1:54" ht="15.75" customHeight="1">
      <c r="A3965" s="169"/>
      <c r="C3965" s="169"/>
      <c r="F3965" s="169"/>
      <c r="H3965" s="178"/>
      <c r="I3965" s="178"/>
      <c r="J3965" s="184"/>
      <c r="BB3965" s="169"/>
    </row>
    <row r="3966" spans="1:54" ht="15.75" customHeight="1">
      <c r="A3966" s="169"/>
      <c r="C3966" s="169"/>
      <c r="F3966" s="169"/>
      <c r="H3966" s="178"/>
      <c r="I3966" s="178"/>
      <c r="J3966" s="184"/>
      <c r="BB3966" s="169"/>
    </row>
    <row r="3967" spans="1:54" ht="15.75" customHeight="1">
      <c r="A3967" s="169"/>
      <c r="C3967" s="169"/>
      <c r="F3967" s="169"/>
      <c r="H3967" s="178"/>
      <c r="I3967" s="178"/>
      <c r="J3967" s="184"/>
      <c r="BB3967" s="169"/>
    </row>
    <row r="3968" spans="1:54" ht="15.75" customHeight="1">
      <c r="A3968" s="169"/>
      <c r="C3968" s="169"/>
      <c r="F3968" s="169"/>
      <c r="H3968" s="178"/>
      <c r="I3968" s="178"/>
      <c r="J3968" s="184"/>
      <c r="BB3968" s="169"/>
    </row>
    <row r="3969" spans="1:54" ht="15.75" customHeight="1">
      <c r="A3969" s="169"/>
      <c r="C3969" s="169"/>
      <c r="F3969" s="169"/>
      <c r="H3969" s="178"/>
      <c r="I3969" s="178"/>
      <c r="J3969" s="184"/>
      <c r="BB3969" s="169"/>
    </row>
    <row r="3970" spans="1:54" ht="15.75" customHeight="1">
      <c r="A3970" s="169"/>
      <c r="C3970" s="169"/>
      <c r="F3970" s="169"/>
      <c r="H3970" s="178"/>
      <c r="I3970" s="178"/>
      <c r="J3970" s="184"/>
      <c r="BB3970" s="169"/>
    </row>
    <row r="3971" spans="1:54" ht="15.75" customHeight="1">
      <c r="A3971" s="169"/>
      <c r="C3971" s="169"/>
      <c r="F3971" s="169"/>
      <c r="H3971" s="178"/>
      <c r="I3971" s="178"/>
      <c r="J3971" s="184"/>
      <c r="BB3971" s="169"/>
    </row>
    <row r="3972" spans="1:54" ht="15.75" customHeight="1">
      <c r="A3972" s="169"/>
      <c r="C3972" s="169"/>
      <c r="F3972" s="169"/>
      <c r="H3972" s="178"/>
      <c r="I3972" s="178"/>
      <c r="J3972" s="184"/>
      <c r="BB3972" s="169"/>
    </row>
    <row r="3973" spans="1:54" ht="15.75" customHeight="1">
      <c r="A3973" s="169"/>
      <c r="C3973" s="169"/>
      <c r="F3973" s="169"/>
      <c r="H3973" s="178"/>
      <c r="I3973" s="178"/>
      <c r="J3973" s="184"/>
      <c r="BB3973" s="169"/>
    </row>
    <row r="3974" spans="1:54" ht="15.75" customHeight="1">
      <c r="A3974" s="169"/>
      <c r="C3974" s="169"/>
      <c r="F3974" s="169"/>
      <c r="H3974" s="178"/>
      <c r="I3974" s="178"/>
      <c r="J3974" s="184"/>
      <c r="BB3974" s="169"/>
    </row>
    <row r="3975" spans="1:54" ht="15.75" customHeight="1">
      <c r="A3975" s="169"/>
      <c r="C3975" s="169"/>
      <c r="F3975" s="169"/>
      <c r="H3975" s="178"/>
      <c r="I3975" s="178"/>
      <c r="J3975" s="184"/>
      <c r="BB3975" s="169"/>
    </row>
    <row r="3976" spans="1:54" ht="15.75" customHeight="1">
      <c r="A3976" s="169"/>
      <c r="C3976" s="169"/>
      <c r="F3976" s="169"/>
      <c r="H3976" s="178"/>
      <c r="I3976" s="178"/>
      <c r="J3976" s="184"/>
      <c r="BB3976" s="169"/>
    </row>
    <row r="3977" spans="1:54" ht="15.75" customHeight="1">
      <c r="A3977" s="169"/>
      <c r="C3977" s="169"/>
      <c r="F3977" s="169"/>
      <c r="H3977" s="178"/>
      <c r="I3977" s="178"/>
      <c r="J3977" s="184"/>
      <c r="BB3977" s="169"/>
    </row>
    <row r="3978" spans="1:54" ht="15.75" customHeight="1">
      <c r="A3978" s="169"/>
      <c r="C3978" s="169"/>
      <c r="F3978" s="169"/>
      <c r="H3978" s="178"/>
      <c r="I3978" s="178"/>
      <c r="J3978" s="184"/>
      <c r="BB3978" s="169"/>
    </row>
    <row r="3979" spans="1:54" ht="15.75" customHeight="1">
      <c r="A3979" s="169"/>
      <c r="C3979" s="169"/>
      <c r="F3979" s="169"/>
      <c r="H3979" s="178"/>
      <c r="I3979" s="178"/>
      <c r="J3979" s="184"/>
      <c r="BB3979" s="169"/>
    </row>
    <row r="3980" spans="1:54" ht="15.75" customHeight="1">
      <c r="A3980" s="169"/>
      <c r="C3980" s="169"/>
      <c r="F3980" s="169"/>
      <c r="H3980" s="178"/>
      <c r="I3980" s="178"/>
      <c r="J3980" s="184"/>
      <c r="BB3980" s="169"/>
    </row>
    <row r="3981" spans="1:54" ht="15.75" customHeight="1">
      <c r="A3981" s="169"/>
      <c r="C3981" s="169"/>
      <c r="F3981" s="169"/>
      <c r="H3981" s="178"/>
      <c r="I3981" s="178"/>
      <c r="J3981" s="184"/>
      <c r="BB3981" s="169"/>
    </row>
    <row r="3982" spans="1:54" ht="15.75" customHeight="1">
      <c r="A3982" s="169"/>
      <c r="C3982" s="169"/>
      <c r="F3982" s="169"/>
      <c r="H3982" s="178"/>
      <c r="I3982" s="178"/>
      <c r="J3982" s="184"/>
      <c r="BB3982" s="169"/>
    </row>
    <row r="3983" spans="1:54" ht="15.75" customHeight="1">
      <c r="A3983" s="169"/>
      <c r="C3983" s="169"/>
      <c r="F3983" s="169"/>
      <c r="H3983" s="178"/>
      <c r="I3983" s="178"/>
      <c r="J3983" s="184"/>
      <c r="BB3983" s="169"/>
    </row>
    <row r="3984" spans="1:54" ht="15.75" customHeight="1">
      <c r="A3984" s="169"/>
      <c r="C3984" s="169"/>
      <c r="F3984" s="169"/>
      <c r="H3984" s="178"/>
      <c r="I3984" s="178"/>
      <c r="J3984" s="184"/>
      <c r="BB3984" s="169"/>
    </row>
    <row r="3985" spans="1:54" ht="15.75" customHeight="1">
      <c r="A3985" s="169"/>
      <c r="C3985" s="169"/>
      <c r="F3985" s="169"/>
      <c r="H3985" s="178"/>
      <c r="I3985" s="178"/>
      <c r="J3985" s="184"/>
      <c r="BB3985" s="169"/>
    </row>
    <row r="3986" spans="1:54" ht="15.75" customHeight="1">
      <c r="A3986" s="169"/>
      <c r="C3986" s="169"/>
      <c r="F3986" s="169"/>
      <c r="H3986" s="178"/>
      <c r="I3986" s="178"/>
      <c r="J3986" s="184"/>
      <c r="BB3986" s="169"/>
    </row>
    <row r="3987" spans="1:54" ht="15.75" customHeight="1">
      <c r="A3987" s="169"/>
      <c r="C3987" s="169"/>
      <c r="F3987" s="169"/>
      <c r="H3987" s="178"/>
      <c r="I3987" s="178"/>
      <c r="J3987" s="184"/>
      <c r="BB3987" s="169"/>
    </row>
    <row r="3988" spans="1:54" ht="15.75" customHeight="1">
      <c r="A3988" s="169"/>
      <c r="C3988" s="169"/>
      <c r="F3988" s="169"/>
      <c r="H3988" s="178"/>
      <c r="I3988" s="178"/>
      <c r="J3988" s="184"/>
      <c r="BB3988" s="169"/>
    </row>
    <row r="3989" spans="1:54" ht="15.75" customHeight="1">
      <c r="A3989" s="169"/>
      <c r="C3989" s="169"/>
      <c r="F3989" s="169"/>
      <c r="H3989" s="178"/>
      <c r="I3989" s="178"/>
      <c r="J3989" s="184"/>
      <c r="BB3989" s="169"/>
    </row>
    <row r="3990" spans="1:54" ht="15.75" customHeight="1">
      <c r="A3990" s="169"/>
      <c r="C3990" s="169"/>
      <c r="F3990" s="169"/>
      <c r="H3990" s="178"/>
      <c r="I3990" s="178"/>
      <c r="J3990" s="184"/>
      <c r="BB3990" s="169"/>
    </row>
    <row r="3991" spans="1:54" ht="15.75" customHeight="1">
      <c r="A3991" s="169"/>
      <c r="C3991" s="169"/>
      <c r="F3991" s="169"/>
      <c r="H3991" s="178"/>
      <c r="I3991" s="178"/>
      <c r="J3991" s="184"/>
      <c r="BB3991" s="169"/>
    </row>
    <row r="3992" spans="1:54" ht="15.75" customHeight="1">
      <c r="A3992" s="169"/>
      <c r="C3992" s="169"/>
      <c r="F3992" s="169"/>
      <c r="H3992" s="178"/>
      <c r="I3992" s="178"/>
      <c r="J3992" s="184"/>
      <c r="BB3992" s="169"/>
    </row>
    <row r="3993" spans="1:54" ht="15.75" customHeight="1">
      <c r="A3993" s="169"/>
      <c r="C3993" s="169"/>
      <c r="F3993" s="169"/>
      <c r="H3993" s="178"/>
      <c r="I3993" s="178"/>
      <c r="J3993" s="184"/>
      <c r="BB3993" s="169"/>
    </row>
    <row r="3994" spans="1:54" ht="15.75" customHeight="1">
      <c r="A3994" s="169"/>
      <c r="C3994" s="169"/>
      <c r="F3994" s="169"/>
      <c r="H3994" s="178"/>
      <c r="I3994" s="178"/>
      <c r="J3994" s="184"/>
      <c r="BB3994" s="169"/>
    </row>
    <row r="3995" spans="1:54" ht="15.75" customHeight="1">
      <c r="A3995" s="169"/>
      <c r="C3995" s="169"/>
      <c r="F3995" s="169"/>
      <c r="H3995" s="178"/>
      <c r="I3995" s="178"/>
      <c r="J3995" s="184"/>
      <c r="BB3995" s="169"/>
    </row>
    <row r="3996" spans="1:54" ht="15.75" customHeight="1">
      <c r="A3996" s="169"/>
      <c r="C3996" s="169"/>
      <c r="F3996" s="169"/>
      <c r="H3996" s="178"/>
      <c r="I3996" s="178"/>
      <c r="J3996" s="184"/>
      <c r="BB3996" s="169"/>
    </row>
    <row r="3997" spans="1:54" ht="15.75" customHeight="1">
      <c r="A3997" s="169"/>
      <c r="C3997" s="169"/>
      <c r="F3997" s="169"/>
      <c r="H3997" s="178"/>
      <c r="I3997" s="178"/>
      <c r="J3997" s="184"/>
      <c r="BB3997" s="169"/>
    </row>
    <row r="3998" spans="1:54" ht="15.75" customHeight="1">
      <c r="A3998" s="169"/>
      <c r="C3998" s="169"/>
      <c r="F3998" s="169"/>
      <c r="H3998" s="178"/>
      <c r="I3998" s="178"/>
      <c r="J3998" s="184"/>
      <c r="BB3998" s="169"/>
    </row>
    <row r="3999" spans="1:54" ht="15.75" customHeight="1">
      <c r="A3999" s="169"/>
      <c r="C3999" s="169"/>
      <c r="F3999" s="169"/>
      <c r="H3999" s="178"/>
      <c r="I3999" s="178"/>
      <c r="J3999" s="184"/>
      <c r="BB3999" s="169"/>
    </row>
    <row r="4000" spans="1:54" ht="15.75" customHeight="1">
      <c r="A4000" s="169"/>
      <c r="C4000" s="169"/>
      <c r="F4000" s="169"/>
      <c r="H4000" s="178"/>
      <c r="I4000" s="178"/>
      <c r="J4000" s="184"/>
      <c r="BB4000" s="169"/>
    </row>
    <row r="4001" spans="1:54" ht="15.75" customHeight="1">
      <c r="A4001" s="169"/>
      <c r="C4001" s="169"/>
      <c r="F4001" s="169"/>
      <c r="H4001" s="178"/>
      <c r="I4001" s="178"/>
      <c r="J4001" s="184"/>
      <c r="BB4001" s="169"/>
    </row>
    <row r="4002" spans="1:54" ht="15.75" customHeight="1">
      <c r="A4002" s="169"/>
      <c r="C4002" s="169"/>
      <c r="F4002" s="169"/>
      <c r="H4002" s="178"/>
      <c r="I4002" s="178"/>
      <c r="J4002" s="184"/>
      <c r="BB4002" s="169"/>
    </row>
    <row r="4003" spans="1:54" ht="15.75" customHeight="1">
      <c r="A4003" s="169"/>
      <c r="C4003" s="169"/>
      <c r="F4003" s="169"/>
      <c r="H4003" s="178"/>
      <c r="I4003" s="178"/>
      <c r="J4003" s="184"/>
      <c r="BB4003" s="169"/>
    </row>
    <row r="4004" spans="1:54" ht="15.75" customHeight="1">
      <c r="A4004" s="169"/>
      <c r="C4004" s="169"/>
      <c r="F4004" s="169"/>
      <c r="H4004" s="178"/>
      <c r="I4004" s="178"/>
      <c r="J4004" s="184"/>
      <c r="BB4004" s="169"/>
    </row>
    <row r="4005" spans="1:54" ht="15.75" customHeight="1">
      <c r="A4005" s="169"/>
      <c r="C4005" s="169"/>
      <c r="F4005" s="169"/>
      <c r="H4005" s="178"/>
      <c r="I4005" s="178"/>
      <c r="J4005" s="184"/>
      <c r="BB4005" s="169"/>
    </row>
    <row r="4006" spans="1:54" ht="15.75" customHeight="1">
      <c r="A4006" s="169"/>
      <c r="C4006" s="169"/>
      <c r="F4006" s="169"/>
      <c r="H4006" s="178"/>
      <c r="I4006" s="178"/>
      <c r="J4006" s="184"/>
      <c r="BB4006" s="169"/>
    </row>
    <row r="4007" spans="1:54" ht="15.75" customHeight="1">
      <c r="A4007" s="169"/>
      <c r="C4007" s="169"/>
      <c r="F4007" s="169"/>
      <c r="H4007" s="178"/>
      <c r="I4007" s="178"/>
      <c r="J4007" s="184"/>
      <c r="BB4007" s="169"/>
    </row>
    <row r="4008" spans="1:54" ht="15.75" customHeight="1">
      <c r="A4008" s="169"/>
      <c r="C4008" s="169"/>
      <c r="F4008" s="169"/>
      <c r="H4008" s="178"/>
      <c r="I4008" s="178"/>
      <c r="J4008" s="184"/>
      <c r="BB4008" s="169"/>
    </row>
    <row r="4009" spans="1:54" ht="15.75" customHeight="1">
      <c r="A4009" s="169"/>
      <c r="C4009" s="169"/>
      <c r="F4009" s="169"/>
      <c r="H4009" s="178"/>
      <c r="I4009" s="178"/>
      <c r="J4009" s="184"/>
      <c r="BB4009" s="169"/>
    </row>
    <row r="4010" spans="1:54" ht="15.75" customHeight="1">
      <c r="A4010" s="169"/>
      <c r="C4010" s="169"/>
      <c r="F4010" s="169"/>
      <c r="H4010" s="178"/>
      <c r="I4010" s="178"/>
      <c r="J4010" s="184"/>
      <c r="BB4010" s="169"/>
    </row>
    <row r="4011" spans="1:54" ht="15.75" customHeight="1">
      <c r="A4011" s="169"/>
      <c r="C4011" s="169"/>
      <c r="F4011" s="169"/>
      <c r="H4011" s="178"/>
      <c r="I4011" s="178"/>
      <c r="J4011" s="184"/>
      <c r="BB4011" s="169"/>
    </row>
    <row r="4012" spans="1:54" ht="15.75" customHeight="1">
      <c r="A4012" s="169"/>
      <c r="C4012" s="169"/>
      <c r="F4012" s="169"/>
      <c r="H4012" s="178"/>
      <c r="I4012" s="178"/>
      <c r="J4012" s="184"/>
      <c r="BB4012" s="169"/>
    </row>
    <row r="4013" spans="1:54" ht="15.75" customHeight="1">
      <c r="A4013" s="169"/>
      <c r="C4013" s="169"/>
      <c r="F4013" s="169"/>
      <c r="H4013" s="178"/>
      <c r="I4013" s="178"/>
      <c r="J4013" s="184"/>
      <c r="BB4013" s="169"/>
    </row>
    <row r="4014" spans="1:54" ht="15.75" customHeight="1">
      <c r="A4014" s="169"/>
      <c r="C4014" s="169"/>
      <c r="F4014" s="169"/>
      <c r="H4014" s="178"/>
      <c r="I4014" s="178"/>
      <c r="J4014" s="184"/>
      <c r="BB4014" s="169"/>
    </row>
    <row r="4015" spans="1:54" ht="15.75" customHeight="1">
      <c r="A4015" s="169"/>
      <c r="C4015" s="169"/>
      <c r="F4015" s="169"/>
      <c r="H4015" s="178"/>
      <c r="I4015" s="178"/>
      <c r="J4015" s="184"/>
      <c r="BB4015" s="169"/>
    </row>
    <row r="4016" spans="1:54" ht="15.75" customHeight="1">
      <c r="A4016" s="169"/>
      <c r="C4016" s="169"/>
      <c r="F4016" s="169"/>
      <c r="H4016" s="178"/>
      <c r="I4016" s="178"/>
      <c r="J4016" s="184"/>
      <c r="BB4016" s="169"/>
    </row>
    <row r="4017" spans="1:54" ht="15.75" customHeight="1">
      <c r="A4017" s="169"/>
      <c r="C4017" s="169"/>
      <c r="F4017" s="169"/>
      <c r="H4017" s="178"/>
      <c r="I4017" s="178"/>
      <c r="J4017" s="184"/>
      <c r="BB4017" s="169"/>
    </row>
    <row r="4018" spans="1:54" ht="15.75" customHeight="1">
      <c r="A4018" s="169"/>
      <c r="C4018" s="169"/>
      <c r="F4018" s="169"/>
      <c r="H4018" s="178"/>
      <c r="I4018" s="178"/>
      <c r="J4018" s="184"/>
      <c r="BB4018" s="169"/>
    </row>
    <row r="4019" spans="1:54" ht="15.75" customHeight="1">
      <c r="A4019" s="169"/>
      <c r="C4019" s="169"/>
      <c r="F4019" s="169"/>
      <c r="H4019" s="178"/>
      <c r="I4019" s="178"/>
      <c r="J4019" s="184"/>
      <c r="BB4019" s="169"/>
    </row>
    <row r="4020" spans="1:54" ht="15.75" customHeight="1">
      <c r="A4020" s="169"/>
      <c r="C4020" s="169"/>
      <c r="F4020" s="169"/>
      <c r="H4020" s="178"/>
      <c r="I4020" s="178"/>
      <c r="J4020" s="184"/>
      <c r="BB4020" s="169"/>
    </row>
    <row r="4021" spans="1:54" ht="15.75" customHeight="1">
      <c r="A4021" s="169"/>
      <c r="C4021" s="169"/>
      <c r="F4021" s="169"/>
      <c r="H4021" s="178"/>
      <c r="I4021" s="178"/>
      <c r="J4021" s="184"/>
      <c r="BB4021" s="169"/>
    </row>
    <row r="4022" spans="1:54" ht="15.75" customHeight="1">
      <c r="A4022" s="169"/>
      <c r="C4022" s="169"/>
      <c r="F4022" s="169"/>
      <c r="H4022" s="178"/>
      <c r="I4022" s="178"/>
      <c r="J4022" s="184"/>
      <c r="BB4022" s="169"/>
    </row>
    <row r="4023" spans="1:54" ht="15.75" customHeight="1">
      <c r="A4023" s="169"/>
      <c r="C4023" s="169"/>
      <c r="F4023" s="169"/>
      <c r="H4023" s="178"/>
      <c r="I4023" s="178"/>
      <c r="J4023" s="184"/>
      <c r="BB4023" s="169"/>
    </row>
    <row r="4024" spans="1:54" ht="15.75" customHeight="1">
      <c r="A4024" s="169"/>
      <c r="C4024" s="169"/>
      <c r="F4024" s="169"/>
      <c r="H4024" s="178"/>
      <c r="I4024" s="178"/>
      <c r="J4024" s="184"/>
      <c r="BB4024" s="169"/>
    </row>
    <row r="4025" spans="1:54" ht="15.75" customHeight="1">
      <c r="A4025" s="169"/>
      <c r="C4025" s="169"/>
      <c r="F4025" s="169"/>
      <c r="H4025" s="178"/>
      <c r="I4025" s="178"/>
      <c r="J4025" s="184"/>
      <c r="BB4025" s="169"/>
    </row>
    <row r="4026" spans="1:54" ht="15.75" customHeight="1">
      <c r="A4026" s="169"/>
      <c r="C4026" s="169"/>
      <c r="F4026" s="169"/>
      <c r="H4026" s="178"/>
      <c r="I4026" s="178"/>
      <c r="J4026" s="184"/>
      <c r="BB4026" s="169"/>
    </row>
    <row r="4027" spans="1:54" ht="15.75" customHeight="1">
      <c r="A4027" s="169"/>
      <c r="C4027" s="169"/>
      <c r="F4027" s="169"/>
      <c r="H4027" s="178"/>
      <c r="I4027" s="178"/>
      <c r="J4027" s="184"/>
      <c r="BB4027" s="169"/>
    </row>
    <row r="4028" spans="1:54" ht="15.75" customHeight="1">
      <c r="A4028" s="169"/>
      <c r="C4028" s="169"/>
      <c r="F4028" s="169"/>
      <c r="H4028" s="178"/>
      <c r="I4028" s="178"/>
      <c r="J4028" s="184"/>
      <c r="BB4028" s="169"/>
    </row>
    <row r="4029" spans="1:54" ht="15.75" customHeight="1">
      <c r="A4029" s="169"/>
      <c r="C4029" s="169"/>
      <c r="F4029" s="169"/>
      <c r="H4029" s="178"/>
      <c r="I4029" s="178"/>
      <c r="J4029" s="184"/>
      <c r="BB4029" s="169"/>
    </row>
    <row r="4030" spans="1:54" ht="15.75" customHeight="1">
      <c r="A4030" s="169"/>
      <c r="C4030" s="169"/>
      <c r="F4030" s="169"/>
      <c r="H4030" s="178"/>
      <c r="I4030" s="178"/>
      <c r="J4030" s="184"/>
      <c r="BB4030" s="169"/>
    </row>
    <row r="4031" spans="1:54" ht="15.75" customHeight="1">
      <c r="A4031" s="169"/>
      <c r="C4031" s="169"/>
      <c r="F4031" s="169"/>
      <c r="H4031" s="178"/>
      <c r="I4031" s="178"/>
      <c r="J4031" s="184"/>
      <c r="BB4031" s="169"/>
    </row>
    <row r="4032" spans="1:54" ht="15.75" customHeight="1">
      <c r="A4032" s="169"/>
      <c r="C4032" s="169"/>
      <c r="F4032" s="169"/>
      <c r="H4032" s="178"/>
      <c r="I4032" s="178"/>
      <c r="J4032" s="184"/>
      <c r="BB4032" s="169"/>
    </row>
    <row r="4033" spans="1:54" ht="15.75" customHeight="1">
      <c r="A4033" s="169"/>
      <c r="C4033" s="169"/>
      <c r="F4033" s="169"/>
      <c r="H4033" s="178"/>
      <c r="I4033" s="178"/>
      <c r="J4033" s="184"/>
      <c r="BB4033" s="169"/>
    </row>
    <row r="4034" spans="1:54" ht="15.75" customHeight="1">
      <c r="A4034" s="169"/>
      <c r="C4034" s="169"/>
      <c r="F4034" s="169"/>
      <c r="H4034" s="178"/>
      <c r="I4034" s="178"/>
      <c r="J4034" s="184"/>
      <c r="BB4034" s="169"/>
    </row>
    <row r="4035" spans="1:54" ht="15.75" customHeight="1">
      <c r="A4035" s="169"/>
      <c r="C4035" s="169"/>
      <c r="F4035" s="169"/>
      <c r="H4035" s="178"/>
      <c r="I4035" s="178"/>
      <c r="J4035" s="184"/>
      <c r="BB4035" s="169"/>
    </row>
    <row r="4036" spans="1:54" ht="15.75" customHeight="1">
      <c r="A4036" s="169"/>
      <c r="C4036" s="169"/>
      <c r="F4036" s="169"/>
      <c r="H4036" s="178"/>
      <c r="I4036" s="178"/>
      <c r="J4036" s="184"/>
      <c r="BB4036" s="169"/>
    </row>
    <row r="4037" spans="1:54" ht="15.75" customHeight="1">
      <c r="A4037" s="169"/>
      <c r="C4037" s="169"/>
      <c r="F4037" s="169"/>
      <c r="H4037" s="178"/>
      <c r="I4037" s="178"/>
      <c r="J4037" s="184"/>
      <c r="BB4037" s="169"/>
    </row>
    <row r="4038" spans="1:54" ht="15.75" customHeight="1">
      <c r="A4038" s="169"/>
      <c r="C4038" s="169"/>
      <c r="F4038" s="169"/>
      <c r="H4038" s="178"/>
      <c r="I4038" s="178"/>
      <c r="J4038" s="184"/>
      <c r="BB4038" s="169"/>
    </row>
    <row r="4039" spans="1:54" ht="15.75" customHeight="1">
      <c r="A4039" s="169"/>
      <c r="C4039" s="169"/>
      <c r="F4039" s="169"/>
      <c r="H4039" s="178"/>
      <c r="I4039" s="178"/>
      <c r="J4039" s="184"/>
      <c r="BB4039" s="169"/>
    </row>
    <row r="4040" spans="1:54" ht="15.75" customHeight="1">
      <c r="A4040" s="169"/>
      <c r="C4040" s="169"/>
      <c r="F4040" s="169"/>
      <c r="H4040" s="178"/>
      <c r="I4040" s="178"/>
      <c r="J4040" s="184"/>
      <c r="BB4040" s="169"/>
    </row>
    <row r="4041" spans="1:54" ht="15.75" customHeight="1">
      <c r="A4041" s="169"/>
      <c r="C4041" s="169"/>
      <c r="F4041" s="169"/>
      <c r="H4041" s="178"/>
      <c r="I4041" s="178"/>
      <c r="J4041" s="184"/>
      <c r="BB4041" s="169"/>
    </row>
    <row r="4042" spans="1:54" ht="15.75" customHeight="1">
      <c r="A4042" s="169"/>
      <c r="C4042" s="169"/>
      <c r="F4042" s="169"/>
      <c r="H4042" s="178"/>
      <c r="I4042" s="178"/>
      <c r="J4042" s="184"/>
      <c r="BB4042" s="169"/>
    </row>
    <row r="4043" spans="1:54" ht="15.75" customHeight="1">
      <c r="A4043" s="169"/>
      <c r="C4043" s="169"/>
      <c r="F4043" s="169"/>
      <c r="H4043" s="178"/>
      <c r="I4043" s="178"/>
      <c r="J4043" s="184"/>
      <c r="BB4043" s="169"/>
    </row>
    <row r="4044" spans="1:54" ht="15.75" customHeight="1">
      <c r="A4044" s="169"/>
      <c r="C4044" s="169"/>
      <c r="F4044" s="169"/>
      <c r="H4044" s="178"/>
      <c r="I4044" s="178"/>
      <c r="J4044" s="184"/>
      <c r="BB4044" s="169"/>
    </row>
    <row r="4045" spans="1:54" ht="15.75" customHeight="1">
      <c r="A4045" s="169"/>
      <c r="C4045" s="169"/>
      <c r="F4045" s="169"/>
      <c r="H4045" s="178"/>
      <c r="I4045" s="178"/>
      <c r="J4045" s="184"/>
      <c r="BB4045" s="169"/>
    </row>
    <row r="4046" spans="1:54" ht="15.75" customHeight="1">
      <c r="A4046" s="169"/>
      <c r="C4046" s="169"/>
      <c r="F4046" s="169"/>
      <c r="H4046" s="178"/>
      <c r="I4046" s="178"/>
      <c r="J4046" s="184"/>
      <c r="BB4046" s="169"/>
    </row>
    <row r="4047" spans="1:54" ht="15.75" customHeight="1">
      <c r="A4047" s="169"/>
      <c r="C4047" s="169"/>
      <c r="F4047" s="169"/>
      <c r="H4047" s="178"/>
      <c r="I4047" s="178"/>
      <c r="J4047" s="184"/>
      <c r="BB4047" s="169"/>
    </row>
    <row r="4048" spans="1:54" ht="15.75" customHeight="1">
      <c r="A4048" s="169"/>
      <c r="C4048" s="169"/>
      <c r="F4048" s="169"/>
      <c r="H4048" s="178"/>
      <c r="I4048" s="178"/>
      <c r="J4048" s="184"/>
      <c r="BB4048" s="169"/>
    </row>
    <row r="4049" spans="1:54" ht="15.75" customHeight="1">
      <c r="A4049" s="169"/>
      <c r="C4049" s="169"/>
      <c r="F4049" s="169"/>
      <c r="H4049" s="178"/>
      <c r="I4049" s="178"/>
      <c r="J4049" s="184"/>
      <c r="BB4049" s="169"/>
    </row>
    <row r="4050" spans="1:54" ht="15.75" customHeight="1">
      <c r="A4050" s="169"/>
      <c r="C4050" s="169"/>
      <c r="F4050" s="169"/>
      <c r="H4050" s="178"/>
      <c r="I4050" s="178"/>
      <c r="J4050" s="184"/>
      <c r="BB4050" s="169"/>
    </row>
    <row r="4051" spans="1:54" ht="15.75" customHeight="1">
      <c r="A4051" s="169"/>
      <c r="C4051" s="169"/>
      <c r="F4051" s="169"/>
      <c r="H4051" s="178"/>
      <c r="I4051" s="178"/>
      <c r="J4051" s="184"/>
      <c r="BB4051" s="169"/>
    </row>
    <row r="4052" spans="1:54" ht="15.75" customHeight="1">
      <c r="A4052" s="169"/>
      <c r="C4052" s="169"/>
      <c r="F4052" s="169"/>
      <c r="H4052" s="178"/>
      <c r="I4052" s="178"/>
      <c r="J4052" s="184"/>
      <c r="BB4052" s="169"/>
    </row>
    <row r="4053" spans="1:54" ht="15.75" customHeight="1">
      <c r="A4053" s="169"/>
      <c r="C4053" s="169"/>
      <c r="F4053" s="169"/>
      <c r="H4053" s="178"/>
      <c r="I4053" s="178"/>
      <c r="J4053" s="184"/>
      <c r="BB4053" s="169"/>
    </row>
    <row r="4054" spans="1:54" ht="15.75" customHeight="1">
      <c r="A4054" s="169"/>
      <c r="C4054" s="169"/>
      <c r="F4054" s="169"/>
      <c r="H4054" s="178"/>
      <c r="I4054" s="178"/>
      <c r="J4054" s="184"/>
      <c r="BB4054" s="169"/>
    </row>
    <row r="4055" spans="1:54" ht="15.75" customHeight="1">
      <c r="A4055" s="169"/>
      <c r="C4055" s="169"/>
      <c r="F4055" s="169"/>
      <c r="H4055" s="178"/>
      <c r="I4055" s="178"/>
      <c r="J4055" s="184"/>
      <c r="BB4055" s="169"/>
    </row>
    <row r="4056" spans="1:54" ht="15.75" customHeight="1">
      <c r="A4056" s="169"/>
      <c r="C4056" s="169"/>
      <c r="F4056" s="169"/>
      <c r="H4056" s="178"/>
      <c r="I4056" s="178"/>
      <c r="J4056" s="184"/>
      <c r="BB4056" s="169"/>
    </row>
    <row r="4057" spans="1:54" ht="15.75" customHeight="1">
      <c r="A4057" s="169"/>
      <c r="C4057" s="169"/>
      <c r="F4057" s="169"/>
      <c r="H4057" s="178"/>
      <c r="I4057" s="178"/>
      <c r="J4057" s="184"/>
      <c r="BB4057" s="169"/>
    </row>
    <row r="4058" spans="1:54" ht="15.75" customHeight="1">
      <c r="A4058" s="169"/>
      <c r="C4058" s="169"/>
      <c r="F4058" s="169"/>
      <c r="H4058" s="178"/>
      <c r="I4058" s="178"/>
      <c r="J4058" s="184"/>
      <c r="BB4058" s="169"/>
    </row>
    <row r="4059" spans="1:54" ht="15.75" customHeight="1">
      <c r="A4059" s="169"/>
      <c r="C4059" s="169"/>
      <c r="F4059" s="169"/>
      <c r="H4059" s="178"/>
      <c r="I4059" s="178"/>
      <c r="J4059" s="184"/>
      <c r="BB4059" s="169"/>
    </row>
    <row r="4060" spans="1:54" ht="15.75" customHeight="1">
      <c r="A4060" s="169"/>
      <c r="C4060" s="169"/>
      <c r="F4060" s="169"/>
      <c r="H4060" s="178"/>
      <c r="I4060" s="178"/>
      <c r="J4060" s="184"/>
      <c r="BB4060" s="169"/>
    </row>
    <row r="4061" spans="1:54" ht="15.75" customHeight="1">
      <c r="A4061" s="169"/>
      <c r="C4061" s="169"/>
      <c r="F4061" s="169"/>
      <c r="H4061" s="178"/>
      <c r="I4061" s="178"/>
      <c r="J4061" s="184"/>
      <c r="BB4061" s="169"/>
    </row>
    <row r="4062" spans="1:54" ht="15.75" customHeight="1">
      <c r="A4062" s="169"/>
      <c r="C4062" s="169"/>
      <c r="F4062" s="169"/>
      <c r="H4062" s="178"/>
      <c r="I4062" s="178"/>
      <c r="J4062" s="184"/>
      <c r="BB4062" s="169"/>
    </row>
    <row r="4063" spans="1:54" ht="15.75" customHeight="1">
      <c r="A4063" s="169"/>
      <c r="C4063" s="169"/>
      <c r="F4063" s="169"/>
      <c r="H4063" s="178"/>
      <c r="I4063" s="178"/>
      <c r="J4063" s="184"/>
      <c r="BB4063" s="169"/>
    </row>
    <row r="4064" spans="1:54" ht="15.75" customHeight="1">
      <c r="A4064" s="169"/>
      <c r="C4064" s="169"/>
      <c r="F4064" s="169"/>
      <c r="H4064" s="178"/>
      <c r="I4064" s="178"/>
      <c r="J4064" s="184"/>
      <c r="BB4064" s="169"/>
    </row>
    <row r="4065" spans="1:54" ht="15.75" customHeight="1">
      <c r="A4065" s="169"/>
      <c r="C4065" s="169"/>
      <c r="F4065" s="169"/>
      <c r="H4065" s="178"/>
      <c r="I4065" s="178"/>
      <c r="J4065" s="184"/>
      <c r="BB4065" s="169"/>
    </row>
    <row r="4066" spans="1:54" ht="15.75" customHeight="1">
      <c r="A4066" s="169"/>
      <c r="C4066" s="169"/>
      <c r="F4066" s="169"/>
      <c r="H4066" s="178"/>
      <c r="I4066" s="178"/>
      <c r="J4066" s="184"/>
      <c r="BB4066" s="169"/>
    </row>
    <row r="4067" spans="1:54" ht="15.75" customHeight="1">
      <c r="A4067" s="169"/>
      <c r="C4067" s="169"/>
      <c r="F4067" s="169"/>
      <c r="H4067" s="178"/>
      <c r="I4067" s="178"/>
      <c r="J4067" s="184"/>
      <c r="BB4067" s="169"/>
    </row>
    <row r="4068" spans="1:54" ht="15.75" customHeight="1">
      <c r="A4068" s="169"/>
      <c r="C4068" s="169"/>
      <c r="F4068" s="169"/>
      <c r="H4068" s="178"/>
      <c r="I4068" s="178"/>
      <c r="J4068" s="184"/>
      <c r="BB4068" s="169"/>
    </row>
    <row r="4069" spans="1:54" ht="15.75" customHeight="1">
      <c r="A4069" s="169"/>
      <c r="C4069" s="169"/>
      <c r="F4069" s="169"/>
      <c r="H4069" s="178"/>
      <c r="I4069" s="178"/>
      <c r="J4069" s="184"/>
      <c r="BB4069" s="169"/>
    </row>
    <row r="4070" spans="1:54" ht="15.75" customHeight="1">
      <c r="A4070" s="169"/>
      <c r="C4070" s="169"/>
      <c r="F4070" s="169"/>
      <c r="H4070" s="178"/>
      <c r="I4070" s="178"/>
      <c r="J4070" s="184"/>
      <c r="BB4070" s="169"/>
    </row>
    <row r="4071" spans="1:54" ht="15.75" customHeight="1">
      <c r="A4071" s="169"/>
      <c r="C4071" s="169"/>
      <c r="F4071" s="169"/>
      <c r="H4071" s="178"/>
      <c r="I4071" s="178"/>
      <c r="J4071" s="184"/>
      <c r="BB4071" s="169"/>
    </row>
    <row r="4072" spans="1:54" ht="15.75" customHeight="1">
      <c r="A4072" s="169"/>
      <c r="C4072" s="169"/>
      <c r="F4072" s="169"/>
      <c r="H4072" s="178"/>
      <c r="I4072" s="178"/>
      <c r="J4072" s="184"/>
      <c r="BB4072" s="169"/>
    </row>
    <row r="4073" spans="1:54" ht="15.75" customHeight="1">
      <c r="A4073" s="169"/>
      <c r="C4073" s="169"/>
      <c r="F4073" s="169"/>
      <c r="H4073" s="178"/>
      <c r="I4073" s="178"/>
      <c r="J4073" s="184"/>
      <c r="BB4073" s="169"/>
    </row>
    <row r="4074" spans="1:54" ht="15.75" customHeight="1">
      <c r="A4074" s="169"/>
      <c r="C4074" s="169"/>
      <c r="F4074" s="169"/>
      <c r="H4074" s="178"/>
      <c r="I4074" s="178"/>
      <c r="J4074" s="184"/>
      <c r="BB4074" s="169"/>
    </row>
    <row r="4075" spans="1:54" ht="15.75" customHeight="1">
      <c r="A4075" s="169"/>
      <c r="C4075" s="169"/>
      <c r="F4075" s="169"/>
      <c r="H4075" s="178"/>
      <c r="I4075" s="178"/>
      <c r="J4075" s="184"/>
      <c r="BB4075" s="169"/>
    </row>
    <row r="4076" spans="1:54" ht="15.75" customHeight="1">
      <c r="A4076" s="169"/>
      <c r="C4076" s="169"/>
      <c r="F4076" s="169"/>
      <c r="H4076" s="178"/>
      <c r="I4076" s="178"/>
      <c r="J4076" s="184"/>
      <c r="BB4076" s="169"/>
    </row>
    <row r="4077" spans="1:54" ht="15.75" customHeight="1">
      <c r="A4077" s="169"/>
      <c r="C4077" s="169"/>
      <c r="F4077" s="169"/>
      <c r="H4077" s="178"/>
      <c r="I4077" s="178"/>
      <c r="J4077" s="184"/>
      <c r="BB4077" s="169"/>
    </row>
    <row r="4078" spans="1:54" ht="15.75" customHeight="1">
      <c r="A4078" s="169"/>
      <c r="C4078" s="169"/>
      <c r="F4078" s="169"/>
      <c r="H4078" s="178"/>
      <c r="I4078" s="178"/>
      <c r="J4078" s="184"/>
      <c r="BB4078" s="169"/>
    </row>
    <row r="4079" spans="1:54" ht="15.75" customHeight="1">
      <c r="A4079" s="169"/>
      <c r="C4079" s="169"/>
      <c r="F4079" s="169"/>
      <c r="H4079" s="178"/>
      <c r="I4079" s="178"/>
      <c r="J4079" s="184"/>
      <c r="BB4079" s="169"/>
    </row>
    <row r="4080" spans="1:54" ht="15.75" customHeight="1">
      <c r="A4080" s="169"/>
      <c r="C4080" s="169"/>
      <c r="F4080" s="169"/>
      <c r="H4080" s="178"/>
      <c r="I4080" s="178"/>
      <c r="J4080" s="184"/>
      <c r="BB4080" s="169"/>
    </row>
    <row r="4081" spans="1:54" ht="15.75" customHeight="1">
      <c r="A4081" s="169"/>
      <c r="C4081" s="169"/>
      <c r="F4081" s="169"/>
      <c r="H4081" s="178"/>
      <c r="I4081" s="178"/>
      <c r="J4081" s="184"/>
      <c r="BB4081" s="169"/>
    </row>
    <row r="4082" spans="1:54" ht="15.75" customHeight="1">
      <c r="A4082" s="169"/>
      <c r="C4082" s="169"/>
      <c r="F4082" s="169"/>
      <c r="H4082" s="178"/>
      <c r="I4082" s="178"/>
      <c r="J4082" s="184"/>
      <c r="BB4082" s="169"/>
    </row>
    <row r="4083" spans="1:54" ht="15.75" customHeight="1">
      <c r="A4083" s="169"/>
      <c r="C4083" s="169"/>
      <c r="F4083" s="169"/>
      <c r="H4083" s="178"/>
      <c r="I4083" s="178"/>
      <c r="J4083" s="184"/>
      <c r="BB4083" s="169"/>
    </row>
    <row r="4084" spans="1:54" ht="15.75" customHeight="1">
      <c r="A4084" s="169"/>
      <c r="C4084" s="169"/>
      <c r="F4084" s="169"/>
      <c r="H4084" s="178"/>
      <c r="I4084" s="178"/>
      <c r="J4084" s="184"/>
      <c r="BB4084" s="169"/>
    </row>
    <row r="4085" spans="1:54" ht="15.75" customHeight="1">
      <c r="A4085" s="169"/>
      <c r="C4085" s="169"/>
      <c r="F4085" s="169"/>
      <c r="H4085" s="178"/>
      <c r="I4085" s="178"/>
      <c r="J4085" s="184"/>
      <c r="BB4085" s="169"/>
    </row>
    <row r="4086" spans="1:54" ht="15.75" customHeight="1">
      <c r="A4086" s="169"/>
      <c r="C4086" s="169"/>
      <c r="F4086" s="169"/>
      <c r="H4086" s="178"/>
      <c r="I4086" s="178"/>
      <c r="J4086" s="184"/>
      <c r="BB4086" s="169"/>
    </row>
    <row r="4087" spans="1:54" ht="15.75" customHeight="1">
      <c r="A4087" s="169"/>
      <c r="C4087" s="169"/>
      <c r="F4087" s="169"/>
      <c r="H4087" s="178"/>
      <c r="I4087" s="178"/>
      <c r="J4087" s="184"/>
      <c r="BB4087" s="169"/>
    </row>
    <row r="4088" spans="1:54" ht="15.75" customHeight="1">
      <c r="A4088" s="169"/>
      <c r="C4088" s="169"/>
      <c r="F4088" s="169"/>
      <c r="H4088" s="178"/>
      <c r="I4088" s="178"/>
      <c r="J4088" s="184"/>
      <c r="BB4088" s="169"/>
    </row>
    <row r="4089" spans="1:54" ht="15.75" customHeight="1">
      <c r="A4089" s="169"/>
      <c r="C4089" s="169"/>
      <c r="F4089" s="169"/>
      <c r="H4089" s="178"/>
      <c r="I4089" s="178"/>
      <c r="J4089" s="184"/>
      <c r="BB4089" s="169"/>
    </row>
    <row r="4090" spans="1:54" ht="15.75" customHeight="1">
      <c r="A4090" s="169"/>
      <c r="C4090" s="169"/>
      <c r="F4090" s="169"/>
      <c r="H4090" s="178"/>
      <c r="I4090" s="178"/>
      <c r="J4090" s="184"/>
      <c r="BB4090" s="169"/>
    </row>
    <row r="4091" spans="1:54" ht="15.75" customHeight="1">
      <c r="A4091" s="169"/>
      <c r="C4091" s="169"/>
      <c r="F4091" s="169"/>
      <c r="H4091" s="178"/>
      <c r="I4091" s="178"/>
      <c r="J4091" s="184"/>
      <c r="BB4091" s="169"/>
    </row>
    <row r="4092" spans="1:54" ht="15.75" customHeight="1">
      <c r="A4092" s="169"/>
      <c r="C4092" s="169"/>
      <c r="F4092" s="169"/>
      <c r="H4092" s="178"/>
      <c r="I4092" s="178"/>
      <c r="J4092" s="184"/>
      <c r="BB4092" s="169"/>
    </row>
    <row r="4093" spans="1:54" ht="15.75" customHeight="1">
      <c r="A4093" s="169"/>
      <c r="C4093" s="169"/>
      <c r="F4093" s="169"/>
      <c r="H4093" s="178"/>
      <c r="I4093" s="178"/>
      <c r="J4093" s="184"/>
      <c r="BB4093" s="169"/>
    </row>
    <row r="4094" spans="1:54" ht="15.75" customHeight="1">
      <c r="A4094" s="169"/>
      <c r="C4094" s="169"/>
      <c r="F4094" s="169"/>
      <c r="H4094" s="178"/>
      <c r="I4094" s="178"/>
      <c r="J4094" s="184"/>
      <c r="BB4094" s="169"/>
    </row>
    <row r="4095" spans="1:54" ht="15.75" customHeight="1">
      <c r="A4095" s="169"/>
      <c r="C4095" s="169"/>
      <c r="F4095" s="169"/>
      <c r="H4095" s="178"/>
      <c r="I4095" s="178"/>
      <c r="J4095" s="184"/>
      <c r="BB4095" s="169"/>
    </row>
    <row r="4096" spans="1:54" ht="15.75" customHeight="1">
      <c r="A4096" s="169"/>
      <c r="C4096" s="169"/>
      <c r="F4096" s="169"/>
      <c r="H4096" s="178"/>
      <c r="I4096" s="178"/>
      <c r="J4096" s="184"/>
      <c r="BB4096" s="169"/>
    </row>
    <row r="4097" spans="1:54" ht="15.75" customHeight="1">
      <c r="A4097" s="169"/>
      <c r="C4097" s="169"/>
      <c r="F4097" s="169"/>
      <c r="H4097" s="178"/>
      <c r="I4097" s="178"/>
      <c r="J4097" s="184"/>
      <c r="BB4097" s="169"/>
    </row>
    <row r="4098" spans="1:54" ht="15.75" customHeight="1">
      <c r="A4098" s="169"/>
      <c r="C4098" s="169"/>
      <c r="F4098" s="169"/>
      <c r="H4098" s="178"/>
      <c r="I4098" s="178"/>
      <c r="J4098" s="184"/>
      <c r="BB4098" s="169"/>
    </row>
    <row r="4099" spans="1:54" ht="15.75" customHeight="1">
      <c r="A4099" s="169"/>
      <c r="C4099" s="169"/>
      <c r="F4099" s="169"/>
      <c r="H4099" s="178"/>
      <c r="I4099" s="178"/>
      <c r="J4099" s="184"/>
      <c r="BB4099" s="169"/>
    </row>
    <row r="4100" spans="1:54" ht="15.75" customHeight="1">
      <c r="A4100" s="169"/>
      <c r="C4100" s="169"/>
      <c r="F4100" s="169"/>
      <c r="H4100" s="178"/>
      <c r="I4100" s="178"/>
      <c r="J4100" s="184"/>
      <c r="BB4100" s="169"/>
    </row>
    <row r="4101" spans="1:54" ht="15.75" customHeight="1">
      <c r="A4101" s="169"/>
      <c r="C4101" s="169"/>
      <c r="F4101" s="169"/>
      <c r="H4101" s="178"/>
      <c r="I4101" s="178"/>
      <c r="J4101" s="184"/>
      <c r="BB4101" s="169"/>
    </row>
    <row r="4102" spans="1:54" ht="15.75" customHeight="1">
      <c r="A4102" s="169"/>
      <c r="C4102" s="169"/>
      <c r="F4102" s="169"/>
      <c r="H4102" s="178"/>
      <c r="I4102" s="178"/>
      <c r="J4102" s="184"/>
      <c r="BB4102" s="169"/>
    </row>
    <row r="4103" spans="1:54" ht="15.75" customHeight="1">
      <c r="A4103" s="169"/>
      <c r="C4103" s="169"/>
      <c r="F4103" s="169"/>
      <c r="H4103" s="178"/>
      <c r="I4103" s="178"/>
      <c r="J4103" s="184"/>
      <c r="BB4103" s="169"/>
    </row>
    <row r="4104" spans="1:54" ht="15.75" customHeight="1">
      <c r="A4104" s="169"/>
      <c r="C4104" s="169"/>
      <c r="F4104" s="169"/>
      <c r="H4104" s="178"/>
      <c r="I4104" s="178"/>
      <c r="J4104" s="184"/>
      <c r="BB4104" s="169"/>
    </row>
    <row r="4105" spans="1:54" ht="15.75" customHeight="1">
      <c r="A4105" s="169"/>
      <c r="C4105" s="169"/>
      <c r="F4105" s="169"/>
      <c r="H4105" s="178"/>
      <c r="I4105" s="178"/>
      <c r="J4105" s="184"/>
      <c r="BB4105" s="169"/>
    </row>
    <row r="4106" spans="1:54" ht="15.75" customHeight="1">
      <c r="A4106" s="169"/>
      <c r="C4106" s="169"/>
      <c r="F4106" s="169"/>
      <c r="H4106" s="178"/>
      <c r="I4106" s="178"/>
      <c r="J4106" s="184"/>
      <c r="BB4106" s="169"/>
    </row>
    <row r="4107" spans="1:54" ht="15.75" customHeight="1">
      <c r="A4107" s="169"/>
      <c r="C4107" s="169"/>
      <c r="F4107" s="169"/>
      <c r="H4107" s="178"/>
      <c r="I4107" s="178"/>
      <c r="J4107" s="184"/>
      <c r="BB4107" s="169"/>
    </row>
    <row r="4108" spans="1:54" ht="15.75" customHeight="1">
      <c r="A4108" s="169"/>
      <c r="C4108" s="169"/>
      <c r="F4108" s="169"/>
      <c r="H4108" s="178"/>
      <c r="I4108" s="178"/>
      <c r="J4108" s="184"/>
      <c r="BB4108" s="169"/>
    </row>
    <row r="4109" spans="1:54" ht="15.75" customHeight="1">
      <c r="A4109" s="169"/>
      <c r="C4109" s="169"/>
      <c r="F4109" s="169"/>
      <c r="H4109" s="178"/>
      <c r="I4109" s="178"/>
      <c r="J4109" s="184"/>
      <c r="BB4109" s="169"/>
    </row>
    <row r="4110" spans="1:54" ht="15.75" customHeight="1">
      <c r="A4110" s="169"/>
      <c r="C4110" s="169"/>
      <c r="F4110" s="169"/>
      <c r="H4110" s="178"/>
      <c r="I4110" s="178"/>
      <c r="J4110" s="184"/>
      <c r="BB4110" s="169"/>
    </row>
    <row r="4111" spans="1:54" ht="15.75" customHeight="1">
      <c r="A4111" s="169"/>
      <c r="C4111" s="169"/>
      <c r="F4111" s="169"/>
      <c r="H4111" s="178"/>
      <c r="I4111" s="178"/>
      <c r="J4111" s="184"/>
      <c r="BB4111" s="169"/>
    </row>
    <row r="4112" spans="1:54" ht="15.75" customHeight="1">
      <c r="A4112" s="169"/>
      <c r="C4112" s="169"/>
      <c r="F4112" s="169"/>
      <c r="H4112" s="178"/>
      <c r="I4112" s="178"/>
      <c r="J4112" s="184"/>
      <c r="BB4112" s="169"/>
    </row>
    <row r="4113" spans="1:54" ht="15.75" customHeight="1">
      <c r="A4113" s="169"/>
      <c r="C4113" s="169"/>
      <c r="F4113" s="169"/>
      <c r="H4113" s="178"/>
      <c r="I4113" s="178"/>
      <c r="J4113" s="184"/>
      <c r="BB4113" s="169"/>
    </row>
    <row r="4114" spans="1:54" ht="15.75" customHeight="1">
      <c r="A4114" s="169"/>
      <c r="C4114" s="169"/>
      <c r="F4114" s="169"/>
      <c r="H4114" s="178"/>
      <c r="I4114" s="178"/>
      <c r="J4114" s="184"/>
      <c r="BB4114" s="169"/>
    </row>
    <row r="4115" spans="1:54" ht="15.75" customHeight="1">
      <c r="A4115" s="169"/>
      <c r="C4115" s="169"/>
      <c r="F4115" s="169"/>
      <c r="H4115" s="178"/>
      <c r="I4115" s="178"/>
      <c r="J4115" s="184"/>
      <c r="BB4115" s="169"/>
    </row>
    <row r="4116" spans="1:54" ht="15.75" customHeight="1">
      <c r="A4116" s="169"/>
      <c r="C4116" s="169"/>
      <c r="F4116" s="169"/>
      <c r="H4116" s="178"/>
      <c r="I4116" s="178"/>
      <c r="J4116" s="184"/>
      <c r="BB4116" s="169"/>
    </row>
    <row r="4117" spans="1:54" ht="15.75" customHeight="1">
      <c r="A4117" s="169"/>
      <c r="C4117" s="169"/>
      <c r="F4117" s="169"/>
      <c r="H4117" s="178"/>
      <c r="I4117" s="178"/>
      <c r="J4117" s="184"/>
      <c r="BB4117" s="169"/>
    </row>
    <row r="4118" spans="1:54" ht="15.75" customHeight="1">
      <c r="A4118" s="169"/>
      <c r="C4118" s="169"/>
      <c r="F4118" s="169"/>
      <c r="H4118" s="178"/>
      <c r="I4118" s="178"/>
      <c r="J4118" s="184"/>
      <c r="BB4118" s="169"/>
    </row>
    <row r="4119" spans="1:54" ht="15.75" customHeight="1">
      <c r="A4119" s="169"/>
      <c r="C4119" s="169"/>
      <c r="F4119" s="169"/>
      <c r="H4119" s="178"/>
      <c r="I4119" s="178"/>
      <c r="J4119" s="184"/>
      <c r="BB4119" s="169"/>
    </row>
    <row r="4120" spans="1:54" ht="15.75" customHeight="1">
      <c r="A4120" s="169"/>
      <c r="C4120" s="169"/>
      <c r="F4120" s="169"/>
      <c r="H4120" s="178"/>
      <c r="I4120" s="178"/>
      <c r="J4120" s="184"/>
      <c r="BB4120" s="169"/>
    </row>
    <row r="4121" spans="1:54" ht="15.75" customHeight="1">
      <c r="A4121" s="169"/>
      <c r="C4121" s="169"/>
      <c r="F4121" s="169"/>
      <c r="H4121" s="178"/>
      <c r="I4121" s="178"/>
      <c r="J4121" s="184"/>
      <c r="BB4121" s="169"/>
    </row>
    <row r="4122" spans="1:54" ht="15.75" customHeight="1">
      <c r="A4122" s="169"/>
      <c r="C4122" s="169"/>
      <c r="F4122" s="169"/>
      <c r="H4122" s="178"/>
      <c r="I4122" s="178"/>
      <c r="J4122" s="184"/>
      <c r="BB4122" s="169"/>
    </row>
    <row r="4123" spans="1:54" ht="15.75" customHeight="1">
      <c r="A4123" s="169"/>
      <c r="C4123" s="169"/>
      <c r="F4123" s="169"/>
      <c r="H4123" s="178"/>
      <c r="I4123" s="178"/>
      <c r="J4123" s="184"/>
      <c r="BB4123" s="169"/>
    </row>
    <row r="4124" spans="1:54" ht="15.75" customHeight="1">
      <c r="A4124" s="169"/>
      <c r="C4124" s="169"/>
      <c r="F4124" s="169"/>
      <c r="H4124" s="178"/>
      <c r="I4124" s="178"/>
      <c r="J4124" s="184"/>
      <c r="BB4124" s="169"/>
    </row>
    <row r="4125" spans="1:54" ht="15.75" customHeight="1">
      <c r="A4125" s="169"/>
      <c r="C4125" s="169"/>
      <c r="F4125" s="169"/>
      <c r="H4125" s="178"/>
      <c r="I4125" s="178"/>
      <c r="J4125" s="184"/>
      <c r="BB4125" s="169"/>
    </row>
    <row r="4126" spans="1:54" ht="15.75" customHeight="1">
      <c r="A4126" s="169"/>
      <c r="C4126" s="169"/>
      <c r="F4126" s="169"/>
      <c r="H4126" s="178"/>
      <c r="I4126" s="178"/>
      <c r="J4126" s="184"/>
      <c r="BB4126" s="169"/>
    </row>
    <row r="4127" spans="1:54" ht="15.75" customHeight="1">
      <c r="A4127" s="169"/>
      <c r="C4127" s="169"/>
      <c r="F4127" s="169"/>
      <c r="H4127" s="178"/>
      <c r="I4127" s="178"/>
      <c r="J4127" s="184"/>
      <c r="BB4127" s="169"/>
    </row>
    <row r="4128" spans="1:54" ht="15.75" customHeight="1">
      <c r="A4128" s="169"/>
      <c r="C4128" s="169"/>
      <c r="F4128" s="169"/>
      <c r="H4128" s="178"/>
      <c r="I4128" s="178"/>
      <c r="J4128" s="184"/>
      <c r="BB4128" s="169"/>
    </row>
    <row r="4129" spans="1:54" ht="15.75" customHeight="1">
      <c r="A4129" s="169"/>
      <c r="C4129" s="169"/>
      <c r="F4129" s="169"/>
      <c r="H4129" s="178"/>
      <c r="I4129" s="178"/>
      <c r="J4129" s="184"/>
      <c r="BB4129" s="169"/>
    </row>
    <row r="4130" spans="1:54" ht="15.75" customHeight="1">
      <c r="A4130" s="169"/>
      <c r="C4130" s="169"/>
      <c r="F4130" s="169"/>
      <c r="H4130" s="178"/>
      <c r="I4130" s="178"/>
      <c r="J4130" s="184"/>
      <c r="BB4130" s="169"/>
    </row>
    <row r="4131" spans="1:54" ht="15.75" customHeight="1">
      <c r="A4131" s="169"/>
      <c r="C4131" s="169"/>
      <c r="F4131" s="169"/>
      <c r="H4131" s="178"/>
      <c r="I4131" s="178"/>
      <c r="J4131" s="184"/>
      <c r="BB4131" s="169"/>
    </row>
    <row r="4132" spans="1:54" ht="15.75" customHeight="1">
      <c r="A4132" s="169"/>
      <c r="C4132" s="169"/>
      <c r="F4132" s="169"/>
      <c r="H4132" s="178"/>
      <c r="I4132" s="178"/>
      <c r="J4132" s="184"/>
      <c r="BB4132" s="169"/>
    </row>
    <row r="4133" spans="1:54" ht="15.75" customHeight="1">
      <c r="A4133" s="169"/>
      <c r="C4133" s="169"/>
      <c r="F4133" s="169"/>
      <c r="H4133" s="178"/>
      <c r="I4133" s="178"/>
      <c r="J4133" s="184"/>
      <c r="BB4133" s="169"/>
    </row>
    <row r="4134" spans="1:54" ht="15.75" customHeight="1">
      <c r="A4134" s="169"/>
      <c r="C4134" s="169"/>
      <c r="F4134" s="169"/>
      <c r="H4134" s="178"/>
      <c r="I4134" s="178"/>
      <c r="J4134" s="184"/>
      <c r="BB4134" s="169"/>
    </row>
    <row r="4135" spans="1:54" ht="15.75" customHeight="1">
      <c r="A4135" s="169"/>
      <c r="C4135" s="169"/>
      <c r="F4135" s="169"/>
      <c r="H4135" s="178"/>
      <c r="I4135" s="178"/>
      <c r="J4135" s="184"/>
      <c r="BB4135" s="169"/>
    </row>
    <row r="4136" spans="1:54" ht="15.75" customHeight="1">
      <c r="A4136" s="169"/>
      <c r="C4136" s="169"/>
      <c r="F4136" s="169"/>
      <c r="H4136" s="178"/>
      <c r="I4136" s="178"/>
      <c r="J4136" s="184"/>
      <c r="BB4136" s="169"/>
    </row>
    <row r="4137" spans="1:54" ht="15.75" customHeight="1">
      <c r="A4137" s="169"/>
      <c r="C4137" s="169"/>
      <c r="F4137" s="169"/>
      <c r="H4137" s="178"/>
      <c r="I4137" s="178"/>
      <c r="J4137" s="184"/>
      <c r="BB4137" s="169"/>
    </row>
    <row r="4138" spans="1:54" ht="15.75" customHeight="1">
      <c r="A4138" s="169"/>
      <c r="C4138" s="169"/>
      <c r="F4138" s="169"/>
      <c r="H4138" s="178"/>
      <c r="I4138" s="178"/>
      <c r="J4138" s="184"/>
      <c r="BB4138" s="169"/>
    </row>
    <row r="4139" spans="1:54" ht="15.75" customHeight="1">
      <c r="A4139" s="169"/>
      <c r="C4139" s="169"/>
      <c r="F4139" s="169"/>
      <c r="H4139" s="178"/>
      <c r="I4139" s="178"/>
      <c r="J4139" s="184"/>
      <c r="BB4139" s="169"/>
    </row>
    <row r="4140" spans="1:54" ht="15.75" customHeight="1">
      <c r="A4140" s="169"/>
      <c r="C4140" s="169"/>
      <c r="F4140" s="169"/>
      <c r="H4140" s="178"/>
      <c r="I4140" s="178"/>
      <c r="J4140" s="184"/>
      <c r="BB4140" s="169"/>
    </row>
    <row r="4141" spans="1:54" ht="15.75" customHeight="1">
      <c r="A4141" s="169"/>
      <c r="C4141" s="169"/>
      <c r="F4141" s="169"/>
      <c r="H4141" s="178"/>
      <c r="I4141" s="178"/>
      <c r="J4141" s="184"/>
      <c r="BB4141" s="169"/>
    </row>
    <row r="4142" spans="1:54" ht="15.75" customHeight="1">
      <c r="A4142" s="169"/>
      <c r="C4142" s="169"/>
      <c r="F4142" s="169"/>
      <c r="H4142" s="178"/>
      <c r="I4142" s="178"/>
      <c r="J4142" s="184"/>
      <c r="BB4142" s="169"/>
    </row>
    <row r="4143" spans="1:54" ht="15.75" customHeight="1">
      <c r="A4143" s="169"/>
      <c r="C4143" s="169"/>
      <c r="F4143" s="169"/>
      <c r="H4143" s="178"/>
      <c r="I4143" s="178"/>
      <c r="J4143" s="184"/>
      <c r="BB4143" s="169"/>
    </row>
    <row r="4144" spans="1:54" ht="15.75" customHeight="1">
      <c r="A4144" s="169"/>
      <c r="C4144" s="169"/>
      <c r="F4144" s="169"/>
      <c r="H4144" s="178"/>
      <c r="I4144" s="178"/>
      <c r="J4144" s="184"/>
      <c r="BB4144" s="169"/>
    </row>
    <row r="4145" spans="1:54" ht="15.75" customHeight="1">
      <c r="A4145" s="169"/>
      <c r="C4145" s="169"/>
      <c r="F4145" s="169"/>
      <c r="H4145" s="178"/>
      <c r="I4145" s="178"/>
      <c r="J4145" s="184"/>
      <c r="BB4145" s="169"/>
    </row>
    <row r="4146" spans="1:54" ht="15.75" customHeight="1">
      <c r="A4146" s="169"/>
      <c r="C4146" s="169"/>
      <c r="F4146" s="169"/>
      <c r="H4146" s="178"/>
      <c r="I4146" s="178"/>
      <c r="J4146" s="184"/>
      <c r="BB4146" s="169"/>
    </row>
    <row r="4147" spans="1:54" ht="15.75" customHeight="1">
      <c r="A4147" s="169"/>
      <c r="C4147" s="169"/>
      <c r="F4147" s="169"/>
      <c r="H4147" s="178"/>
      <c r="I4147" s="178"/>
      <c r="J4147" s="184"/>
      <c r="BB4147" s="169"/>
    </row>
    <row r="4148" spans="1:54" ht="15.75" customHeight="1">
      <c r="A4148" s="169"/>
      <c r="C4148" s="169"/>
      <c r="F4148" s="169"/>
      <c r="H4148" s="178"/>
      <c r="I4148" s="178"/>
      <c r="J4148" s="184"/>
      <c r="BB4148" s="169"/>
    </row>
    <row r="4149" spans="1:54" ht="15.75" customHeight="1">
      <c r="A4149" s="169"/>
      <c r="C4149" s="169"/>
      <c r="F4149" s="169"/>
      <c r="H4149" s="178"/>
      <c r="I4149" s="178"/>
      <c r="J4149" s="184"/>
      <c r="BB4149" s="169"/>
    </row>
    <row r="4150" spans="1:54" ht="15.75" customHeight="1">
      <c r="A4150" s="169"/>
      <c r="C4150" s="169"/>
      <c r="F4150" s="169"/>
      <c r="H4150" s="178"/>
      <c r="I4150" s="178"/>
      <c r="J4150" s="184"/>
      <c r="BB4150" s="169"/>
    </row>
    <row r="4151" spans="1:54" ht="15.75" customHeight="1">
      <c r="A4151" s="169"/>
      <c r="C4151" s="169"/>
      <c r="F4151" s="169"/>
      <c r="H4151" s="178"/>
      <c r="I4151" s="178"/>
      <c r="J4151" s="184"/>
      <c r="BB4151" s="169"/>
    </row>
    <row r="4152" spans="1:54" ht="15.75" customHeight="1">
      <c r="A4152" s="169"/>
      <c r="C4152" s="169"/>
      <c r="F4152" s="169"/>
      <c r="H4152" s="178"/>
      <c r="I4152" s="178"/>
      <c r="J4152" s="184"/>
      <c r="BB4152" s="169"/>
    </row>
    <row r="4153" spans="1:54" ht="15.75" customHeight="1">
      <c r="A4153" s="169"/>
      <c r="C4153" s="169"/>
      <c r="F4153" s="169"/>
      <c r="H4153" s="178"/>
      <c r="I4153" s="178"/>
      <c r="J4153" s="184"/>
      <c r="BB4153" s="169"/>
    </row>
    <row r="4154" spans="1:54" ht="15.75" customHeight="1">
      <c r="A4154" s="169"/>
      <c r="C4154" s="169"/>
      <c r="F4154" s="169"/>
      <c r="H4154" s="178"/>
      <c r="I4154" s="178"/>
      <c r="J4154" s="184"/>
      <c r="BB4154" s="169"/>
    </row>
    <row r="4155" spans="1:54" ht="15.75" customHeight="1">
      <c r="A4155" s="169"/>
      <c r="C4155" s="169"/>
      <c r="F4155" s="169"/>
      <c r="H4155" s="178"/>
      <c r="I4155" s="178"/>
      <c r="J4155" s="184"/>
      <c r="BB4155" s="169"/>
    </row>
    <row r="4156" spans="1:54" ht="15.75" customHeight="1">
      <c r="A4156" s="169"/>
      <c r="C4156" s="169"/>
      <c r="F4156" s="169"/>
      <c r="H4156" s="178"/>
      <c r="I4156" s="178"/>
      <c r="J4156" s="184"/>
      <c r="BB4156" s="169"/>
    </row>
    <row r="4157" spans="1:54" ht="15.75" customHeight="1">
      <c r="A4157" s="169"/>
      <c r="C4157" s="169"/>
      <c r="F4157" s="169"/>
      <c r="H4157" s="178"/>
      <c r="I4157" s="178"/>
      <c r="J4157" s="184"/>
      <c r="BB4157" s="169"/>
    </row>
    <row r="4158" spans="1:54" ht="15.75" customHeight="1">
      <c r="A4158" s="169"/>
      <c r="C4158" s="169"/>
      <c r="F4158" s="169"/>
      <c r="H4158" s="178"/>
      <c r="I4158" s="178"/>
      <c r="J4158" s="184"/>
      <c r="BB4158" s="169"/>
    </row>
    <row r="4159" spans="1:54" ht="15.75" customHeight="1">
      <c r="A4159" s="169"/>
      <c r="C4159" s="169"/>
      <c r="F4159" s="169"/>
      <c r="H4159" s="178"/>
      <c r="I4159" s="178"/>
      <c r="J4159" s="184"/>
      <c r="BB4159" s="169"/>
    </row>
    <row r="4160" spans="1:54" ht="15.75" customHeight="1">
      <c r="A4160" s="169"/>
      <c r="C4160" s="169"/>
      <c r="F4160" s="169"/>
      <c r="H4160" s="178"/>
      <c r="I4160" s="178"/>
      <c r="J4160" s="184"/>
      <c r="BB4160" s="169"/>
    </row>
    <row r="4161" spans="1:54" ht="15.75" customHeight="1">
      <c r="A4161" s="169"/>
      <c r="C4161" s="169"/>
      <c r="F4161" s="169"/>
      <c r="H4161" s="178"/>
      <c r="I4161" s="178"/>
      <c r="J4161" s="184"/>
      <c r="BB4161" s="169"/>
    </row>
    <row r="4162" spans="1:54" ht="15.75" customHeight="1">
      <c r="A4162" s="169"/>
      <c r="C4162" s="169"/>
      <c r="F4162" s="169"/>
      <c r="H4162" s="178"/>
      <c r="I4162" s="178"/>
      <c r="J4162" s="184"/>
      <c r="BB4162" s="169"/>
    </row>
    <row r="4163" spans="1:54" ht="15.75" customHeight="1">
      <c r="A4163" s="169"/>
      <c r="C4163" s="169"/>
      <c r="F4163" s="169"/>
      <c r="H4163" s="178"/>
      <c r="I4163" s="178"/>
      <c r="J4163" s="184"/>
      <c r="BB4163" s="169"/>
    </row>
    <row r="4164" spans="1:54" ht="15.75" customHeight="1">
      <c r="A4164" s="169"/>
      <c r="C4164" s="169"/>
      <c r="F4164" s="169"/>
      <c r="H4164" s="178"/>
      <c r="I4164" s="178"/>
      <c r="J4164" s="184"/>
      <c r="BB4164" s="169"/>
    </row>
    <row r="4165" spans="1:54" ht="15.75" customHeight="1">
      <c r="A4165" s="169"/>
      <c r="C4165" s="169"/>
      <c r="F4165" s="169"/>
      <c r="H4165" s="178"/>
      <c r="I4165" s="178"/>
      <c r="J4165" s="184"/>
      <c r="BB4165" s="169"/>
    </row>
    <row r="4166" spans="1:54" ht="15.75" customHeight="1">
      <c r="A4166" s="169"/>
      <c r="C4166" s="169"/>
      <c r="F4166" s="169"/>
      <c r="H4166" s="178"/>
      <c r="I4166" s="178"/>
      <c r="J4166" s="184"/>
      <c r="BB4166" s="169"/>
    </row>
    <row r="4167" spans="1:54" ht="15.75" customHeight="1">
      <c r="A4167" s="169"/>
      <c r="C4167" s="169"/>
      <c r="F4167" s="169"/>
      <c r="H4167" s="178"/>
      <c r="I4167" s="178"/>
      <c r="J4167" s="184"/>
      <c r="BB4167" s="169"/>
    </row>
    <row r="4168" spans="1:54" ht="15.75" customHeight="1">
      <c r="A4168" s="169"/>
      <c r="C4168" s="169"/>
      <c r="F4168" s="169"/>
      <c r="H4168" s="178"/>
      <c r="I4168" s="178"/>
      <c r="J4168" s="184"/>
      <c r="BB4168" s="169"/>
    </row>
    <row r="4169" spans="1:54" ht="15.75" customHeight="1">
      <c r="A4169" s="169"/>
      <c r="C4169" s="169"/>
      <c r="F4169" s="169"/>
      <c r="H4169" s="178"/>
      <c r="I4169" s="178"/>
      <c r="J4169" s="184"/>
      <c r="BB4169" s="169"/>
    </row>
    <row r="4170" spans="1:54" ht="15.75" customHeight="1">
      <c r="A4170" s="169"/>
      <c r="C4170" s="169"/>
      <c r="F4170" s="169"/>
      <c r="H4170" s="178"/>
      <c r="I4170" s="178"/>
      <c r="J4170" s="184"/>
      <c r="BB4170" s="169"/>
    </row>
    <row r="4171" spans="1:54" ht="15.75" customHeight="1">
      <c r="A4171" s="169"/>
      <c r="C4171" s="169"/>
      <c r="F4171" s="169"/>
      <c r="H4171" s="178"/>
      <c r="I4171" s="178"/>
      <c r="J4171" s="184"/>
      <c r="BB4171" s="169"/>
    </row>
    <row r="4172" spans="1:54" ht="15.75" customHeight="1">
      <c r="A4172" s="169"/>
      <c r="C4172" s="169"/>
      <c r="F4172" s="169"/>
      <c r="H4172" s="178"/>
      <c r="I4172" s="178"/>
      <c r="J4172" s="184"/>
      <c r="BB4172" s="169"/>
    </row>
    <row r="4173" spans="1:54" ht="15.75" customHeight="1">
      <c r="A4173" s="169"/>
      <c r="C4173" s="169"/>
      <c r="F4173" s="169"/>
      <c r="H4173" s="178"/>
      <c r="I4173" s="178"/>
      <c r="J4173" s="184"/>
      <c r="BB4173" s="169"/>
    </row>
    <row r="4174" spans="1:54" ht="15.75" customHeight="1">
      <c r="A4174" s="169"/>
      <c r="C4174" s="169"/>
      <c r="F4174" s="169"/>
      <c r="H4174" s="178"/>
      <c r="I4174" s="178"/>
      <c r="J4174" s="184"/>
      <c r="BB4174" s="169"/>
    </row>
    <row r="4175" spans="1:54" ht="15.75" customHeight="1">
      <c r="A4175" s="169"/>
      <c r="C4175" s="169"/>
      <c r="F4175" s="169"/>
      <c r="H4175" s="178"/>
      <c r="I4175" s="178"/>
      <c r="J4175" s="184"/>
      <c r="BB4175" s="169"/>
    </row>
    <row r="4176" spans="1:54" ht="15.75" customHeight="1">
      <c r="A4176" s="169"/>
      <c r="C4176" s="169"/>
      <c r="F4176" s="169"/>
      <c r="H4176" s="178"/>
      <c r="I4176" s="178"/>
      <c r="J4176" s="184"/>
      <c r="BB4176" s="169"/>
    </row>
    <row r="4177" spans="1:54" ht="15.75" customHeight="1">
      <c r="A4177" s="169"/>
      <c r="C4177" s="169"/>
      <c r="F4177" s="169"/>
      <c r="H4177" s="178"/>
      <c r="I4177" s="178"/>
      <c r="J4177" s="184"/>
      <c r="BB4177" s="169"/>
    </row>
    <row r="4178" spans="1:54" ht="15.75" customHeight="1">
      <c r="A4178" s="169"/>
      <c r="C4178" s="169"/>
      <c r="F4178" s="169"/>
      <c r="H4178" s="178"/>
      <c r="I4178" s="178"/>
      <c r="J4178" s="184"/>
      <c r="BB4178" s="169"/>
    </row>
    <row r="4179" spans="1:54" ht="15.75" customHeight="1">
      <c r="A4179" s="169"/>
      <c r="C4179" s="169"/>
      <c r="F4179" s="169"/>
      <c r="H4179" s="178"/>
      <c r="I4179" s="178"/>
      <c r="J4179" s="184"/>
      <c r="BB4179" s="169"/>
    </row>
    <row r="4180" spans="1:54" ht="15.75" customHeight="1">
      <c r="A4180" s="169"/>
      <c r="C4180" s="169"/>
      <c r="F4180" s="169"/>
      <c r="H4180" s="178"/>
      <c r="I4180" s="178"/>
      <c r="J4180" s="184"/>
      <c r="BB4180" s="169"/>
    </row>
    <row r="4181" spans="1:54" ht="15.75" customHeight="1">
      <c r="A4181" s="169"/>
      <c r="C4181" s="169"/>
      <c r="F4181" s="169"/>
      <c r="H4181" s="178"/>
      <c r="I4181" s="178"/>
      <c r="J4181" s="184"/>
      <c r="BB4181" s="169"/>
    </row>
    <row r="4182" spans="1:54" ht="15.75" customHeight="1">
      <c r="A4182" s="169"/>
      <c r="C4182" s="169"/>
      <c r="F4182" s="169"/>
      <c r="H4182" s="178"/>
      <c r="I4182" s="178"/>
      <c r="J4182" s="184"/>
      <c r="BB4182" s="169"/>
    </row>
    <row r="4183" spans="1:54" ht="15.75" customHeight="1">
      <c r="A4183" s="169"/>
      <c r="C4183" s="169"/>
      <c r="F4183" s="169"/>
      <c r="H4183" s="178"/>
      <c r="I4183" s="178"/>
      <c r="J4183" s="184"/>
      <c r="BB4183" s="169"/>
    </row>
    <row r="4184" spans="1:54" ht="15.75" customHeight="1">
      <c r="A4184" s="169"/>
      <c r="C4184" s="169"/>
      <c r="F4184" s="169"/>
      <c r="H4184" s="178"/>
      <c r="I4184" s="178"/>
      <c r="J4184" s="184"/>
      <c r="BB4184" s="169"/>
    </row>
    <row r="4185" spans="1:54" ht="15.75" customHeight="1">
      <c r="A4185" s="169"/>
      <c r="C4185" s="169"/>
      <c r="F4185" s="169"/>
      <c r="H4185" s="178"/>
      <c r="I4185" s="178"/>
      <c r="J4185" s="184"/>
      <c r="BB4185" s="169"/>
    </row>
    <row r="4186" spans="1:54" ht="15.75" customHeight="1">
      <c r="A4186" s="169"/>
      <c r="C4186" s="169"/>
      <c r="F4186" s="169"/>
      <c r="H4186" s="178"/>
      <c r="I4186" s="178"/>
      <c r="J4186" s="184"/>
      <c r="BB4186" s="169"/>
    </row>
    <row r="4187" spans="1:54" ht="15.75" customHeight="1">
      <c r="A4187" s="169"/>
      <c r="C4187" s="169"/>
      <c r="F4187" s="169"/>
      <c r="H4187" s="178"/>
      <c r="I4187" s="178"/>
      <c r="J4187" s="184"/>
      <c r="BB4187" s="169"/>
    </row>
    <row r="4188" spans="1:54" ht="15.75" customHeight="1">
      <c r="A4188" s="169"/>
      <c r="C4188" s="169"/>
      <c r="F4188" s="169"/>
      <c r="H4188" s="178"/>
      <c r="I4188" s="178"/>
      <c r="J4188" s="184"/>
      <c r="BB4188" s="169"/>
    </row>
    <row r="4189" spans="1:54" ht="15.75" customHeight="1">
      <c r="A4189" s="169"/>
      <c r="C4189" s="169"/>
      <c r="F4189" s="169"/>
      <c r="H4189" s="178"/>
      <c r="I4189" s="178"/>
      <c r="J4189" s="184"/>
      <c r="BB4189" s="169"/>
    </row>
    <row r="4190" spans="1:54" ht="15.75" customHeight="1">
      <c r="A4190" s="169"/>
      <c r="C4190" s="169"/>
      <c r="F4190" s="169"/>
      <c r="H4190" s="178"/>
      <c r="I4190" s="178"/>
      <c r="J4190" s="184"/>
      <c r="BB4190" s="169"/>
    </row>
    <row r="4191" spans="1:54" ht="15.75" customHeight="1">
      <c r="A4191" s="169"/>
      <c r="C4191" s="169"/>
      <c r="F4191" s="169"/>
      <c r="H4191" s="178"/>
      <c r="I4191" s="178"/>
      <c r="J4191" s="184"/>
      <c r="BB4191" s="169"/>
    </row>
    <row r="4192" spans="1:54" ht="15.75" customHeight="1">
      <c r="A4192" s="169"/>
      <c r="C4192" s="169"/>
      <c r="F4192" s="169"/>
      <c r="H4192" s="178"/>
      <c r="I4192" s="178"/>
      <c r="J4192" s="184"/>
      <c r="BB4192" s="169"/>
    </row>
    <row r="4193" spans="1:54" ht="15.75" customHeight="1">
      <c r="A4193" s="169"/>
      <c r="C4193" s="169"/>
      <c r="F4193" s="169"/>
      <c r="H4193" s="178"/>
      <c r="I4193" s="178"/>
      <c r="J4193" s="184"/>
      <c r="BB4193" s="169"/>
    </row>
    <row r="4194" spans="1:54" ht="15.75" customHeight="1">
      <c r="A4194" s="169"/>
      <c r="C4194" s="169"/>
      <c r="F4194" s="169"/>
      <c r="H4194" s="178"/>
      <c r="I4194" s="178"/>
      <c r="J4194" s="184"/>
      <c r="BB4194" s="169"/>
    </row>
    <row r="4195" spans="1:54" ht="15.75" customHeight="1">
      <c r="A4195" s="169"/>
      <c r="C4195" s="169"/>
      <c r="F4195" s="169"/>
      <c r="H4195" s="178"/>
      <c r="I4195" s="178"/>
      <c r="J4195" s="184"/>
      <c r="BB4195" s="169"/>
    </row>
    <row r="4196" spans="1:54" ht="15.75" customHeight="1">
      <c r="A4196" s="169"/>
      <c r="C4196" s="169"/>
      <c r="F4196" s="169"/>
      <c r="H4196" s="178"/>
      <c r="I4196" s="178"/>
      <c r="J4196" s="184"/>
      <c r="BB4196" s="169"/>
    </row>
    <row r="4197" spans="1:54" ht="15.75" customHeight="1">
      <c r="A4197" s="169"/>
      <c r="C4197" s="169"/>
      <c r="F4197" s="169"/>
      <c r="H4197" s="178"/>
      <c r="I4197" s="178"/>
      <c r="J4197" s="184"/>
      <c r="BB4197" s="169"/>
    </row>
    <row r="4198" spans="1:54" ht="15.75" customHeight="1">
      <c r="A4198" s="169"/>
      <c r="C4198" s="169"/>
      <c r="F4198" s="169"/>
      <c r="H4198" s="178"/>
      <c r="I4198" s="178"/>
      <c r="J4198" s="184"/>
      <c r="BB4198" s="169"/>
    </row>
    <row r="4199" spans="1:54" ht="15.75" customHeight="1">
      <c r="A4199" s="169"/>
      <c r="C4199" s="169"/>
      <c r="F4199" s="169"/>
      <c r="H4199" s="178"/>
      <c r="I4199" s="178"/>
      <c r="J4199" s="184"/>
      <c r="BB4199" s="169"/>
    </row>
    <row r="4200" spans="1:54" ht="15.75" customHeight="1">
      <c r="A4200" s="169"/>
      <c r="C4200" s="169"/>
      <c r="F4200" s="169"/>
      <c r="H4200" s="178"/>
      <c r="I4200" s="178"/>
      <c r="J4200" s="184"/>
      <c r="BB4200" s="169"/>
    </row>
    <row r="4201" spans="1:54" ht="15.75" customHeight="1">
      <c r="A4201" s="169"/>
      <c r="C4201" s="169"/>
      <c r="F4201" s="169"/>
      <c r="H4201" s="178"/>
      <c r="I4201" s="178"/>
      <c r="J4201" s="184"/>
      <c r="BB4201" s="169"/>
    </row>
    <row r="4202" spans="1:54" ht="15.75" customHeight="1">
      <c r="A4202" s="169"/>
      <c r="C4202" s="169"/>
      <c r="F4202" s="169"/>
      <c r="H4202" s="178"/>
      <c r="I4202" s="178"/>
      <c r="J4202" s="184"/>
      <c r="BB4202" s="169"/>
    </row>
    <row r="4203" spans="1:54" ht="15.75" customHeight="1">
      <c r="A4203" s="169"/>
      <c r="C4203" s="169"/>
      <c r="F4203" s="169"/>
      <c r="H4203" s="178"/>
      <c r="I4203" s="178"/>
      <c r="J4203" s="184"/>
      <c r="BB4203" s="169"/>
    </row>
    <row r="4204" spans="1:54" ht="15.75" customHeight="1">
      <c r="A4204" s="169"/>
      <c r="C4204" s="169"/>
      <c r="F4204" s="169"/>
      <c r="H4204" s="178"/>
      <c r="I4204" s="178"/>
      <c r="J4204" s="184"/>
      <c r="BB4204" s="169"/>
    </row>
    <row r="4205" spans="1:54" ht="15.75" customHeight="1">
      <c r="A4205" s="169"/>
      <c r="C4205" s="169"/>
      <c r="F4205" s="169"/>
      <c r="H4205" s="178"/>
      <c r="I4205" s="178"/>
      <c r="J4205" s="184"/>
      <c r="BB4205" s="169"/>
    </row>
    <row r="4206" spans="1:54" ht="15.75" customHeight="1">
      <c r="A4206" s="169"/>
      <c r="C4206" s="169"/>
      <c r="F4206" s="169"/>
      <c r="H4206" s="178"/>
      <c r="I4206" s="178"/>
      <c r="J4206" s="184"/>
      <c r="BB4206" s="169"/>
    </row>
    <row r="4207" spans="1:54" ht="15.75" customHeight="1">
      <c r="A4207" s="169"/>
      <c r="C4207" s="169"/>
      <c r="F4207" s="169"/>
      <c r="H4207" s="178"/>
      <c r="I4207" s="178"/>
      <c r="J4207" s="184"/>
      <c r="BB4207" s="169"/>
    </row>
    <row r="4208" spans="1:54" ht="15.75" customHeight="1">
      <c r="A4208" s="169"/>
      <c r="C4208" s="169"/>
      <c r="F4208" s="169"/>
      <c r="H4208" s="178"/>
      <c r="I4208" s="178"/>
      <c r="J4208" s="184"/>
      <c r="BB4208" s="169"/>
    </row>
    <row r="4209" spans="1:54" ht="15.75" customHeight="1">
      <c r="A4209" s="169"/>
      <c r="C4209" s="169"/>
      <c r="F4209" s="169"/>
      <c r="H4209" s="178"/>
      <c r="I4209" s="178"/>
      <c r="J4209" s="184"/>
      <c r="BB4209" s="169"/>
    </row>
    <row r="4210" spans="1:54" ht="15.75" customHeight="1">
      <c r="A4210" s="169"/>
      <c r="C4210" s="169"/>
      <c r="F4210" s="169"/>
      <c r="H4210" s="178"/>
      <c r="I4210" s="178"/>
      <c r="J4210" s="184"/>
      <c r="BB4210" s="169"/>
    </row>
    <row r="4211" spans="1:54" ht="15.75" customHeight="1">
      <c r="A4211" s="169"/>
      <c r="C4211" s="169"/>
      <c r="F4211" s="169"/>
      <c r="H4211" s="178"/>
      <c r="I4211" s="178"/>
      <c r="J4211" s="184"/>
      <c r="BB4211" s="169"/>
    </row>
    <row r="4212" spans="1:54" ht="15.75" customHeight="1">
      <c r="A4212" s="169"/>
      <c r="C4212" s="169"/>
      <c r="F4212" s="169"/>
      <c r="H4212" s="178"/>
      <c r="I4212" s="178"/>
      <c r="J4212" s="184"/>
      <c r="BB4212" s="169"/>
    </row>
    <row r="4213" spans="1:54" ht="15.75" customHeight="1">
      <c r="A4213" s="169"/>
      <c r="C4213" s="169"/>
      <c r="F4213" s="169"/>
      <c r="H4213" s="178"/>
      <c r="I4213" s="178"/>
      <c r="J4213" s="184"/>
      <c r="BB4213" s="169"/>
    </row>
    <row r="4214" spans="1:54" ht="15.75" customHeight="1">
      <c r="A4214" s="169"/>
      <c r="C4214" s="169"/>
      <c r="F4214" s="169"/>
      <c r="H4214" s="178"/>
      <c r="I4214" s="178"/>
      <c r="J4214" s="184"/>
      <c r="BB4214" s="169"/>
    </row>
    <row r="4215" spans="1:54" ht="15.75" customHeight="1">
      <c r="A4215" s="169"/>
      <c r="C4215" s="169"/>
      <c r="F4215" s="169"/>
      <c r="H4215" s="178"/>
      <c r="I4215" s="178"/>
      <c r="J4215" s="184"/>
      <c r="BB4215" s="169"/>
    </row>
    <row r="4216" spans="1:54" ht="15.75" customHeight="1">
      <c r="A4216" s="169"/>
      <c r="C4216" s="169"/>
      <c r="F4216" s="169"/>
      <c r="H4216" s="178"/>
      <c r="I4216" s="178"/>
      <c r="J4216" s="184"/>
      <c r="BB4216" s="169"/>
    </row>
    <row r="4217" spans="1:54" ht="15.75" customHeight="1">
      <c r="A4217" s="169"/>
      <c r="C4217" s="169"/>
      <c r="F4217" s="169"/>
      <c r="H4217" s="178"/>
      <c r="I4217" s="178"/>
      <c r="J4217" s="184"/>
      <c r="BB4217" s="169"/>
    </row>
    <row r="4218" spans="1:54" ht="15.75" customHeight="1">
      <c r="A4218" s="169"/>
      <c r="C4218" s="169"/>
      <c r="F4218" s="169"/>
      <c r="H4218" s="178"/>
      <c r="I4218" s="178"/>
      <c r="J4218" s="184"/>
      <c r="BB4218" s="169"/>
    </row>
    <row r="4219" spans="1:54" ht="15.75" customHeight="1">
      <c r="A4219" s="169"/>
      <c r="C4219" s="169"/>
      <c r="F4219" s="169"/>
      <c r="H4219" s="178"/>
      <c r="I4219" s="178"/>
      <c r="J4219" s="184"/>
      <c r="BB4219" s="169"/>
    </row>
    <row r="4220" spans="1:54" ht="15.75" customHeight="1">
      <c r="A4220" s="169"/>
      <c r="C4220" s="169"/>
      <c r="F4220" s="169"/>
      <c r="H4220" s="178"/>
      <c r="I4220" s="178"/>
      <c r="J4220" s="184"/>
      <c r="BB4220" s="169"/>
    </row>
    <row r="4221" spans="1:54" ht="15.75" customHeight="1">
      <c r="A4221" s="169"/>
      <c r="C4221" s="169"/>
      <c r="F4221" s="169"/>
      <c r="H4221" s="178"/>
      <c r="I4221" s="178"/>
      <c r="J4221" s="184"/>
      <c r="BB4221" s="169"/>
    </row>
    <row r="4222" spans="1:54" ht="15.75" customHeight="1">
      <c r="A4222" s="169"/>
      <c r="C4222" s="169"/>
      <c r="F4222" s="169"/>
      <c r="H4222" s="178"/>
      <c r="I4222" s="178"/>
      <c r="J4222" s="184"/>
      <c r="BB4222" s="169"/>
    </row>
    <row r="4223" spans="1:54" ht="15.75" customHeight="1">
      <c r="A4223" s="169"/>
      <c r="C4223" s="169"/>
      <c r="F4223" s="169"/>
      <c r="H4223" s="178"/>
      <c r="I4223" s="178"/>
      <c r="J4223" s="184"/>
      <c r="BB4223" s="169"/>
    </row>
    <row r="4224" spans="1:54" ht="15.75" customHeight="1">
      <c r="A4224" s="169"/>
      <c r="C4224" s="169"/>
      <c r="F4224" s="169"/>
      <c r="H4224" s="178"/>
      <c r="I4224" s="178"/>
      <c r="J4224" s="184"/>
      <c r="BB4224" s="169"/>
    </row>
    <row r="4225" spans="1:54" ht="15.75" customHeight="1">
      <c r="A4225" s="169"/>
      <c r="C4225" s="169"/>
      <c r="F4225" s="169"/>
      <c r="H4225" s="178"/>
      <c r="I4225" s="178"/>
      <c r="J4225" s="184"/>
      <c r="BB4225" s="169"/>
    </row>
    <row r="4226" spans="1:54" ht="15.75" customHeight="1">
      <c r="A4226" s="169"/>
      <c r="C4226" s="169"/>
      <c r="F4226" s="169"/>
      <c r="H4226" s="178"/>
      <c r="I4226" s="178"/>
      <c r="J4226" s="184"/>
      <c r="BB4226" s="169"/>
    </row>
    <row r="4227" spans="1:54" ht="15.75" customHeight="1">
      <c r="A4227" s="169"/>
      <c r="C4227" s="169"/>
      <c r="F4227" s="169"/>
      <c r="H4227" s="178"/>
      <c r="I4227" s="178"/>
      <c r="J4227" s="184"/>
      <c r="BB4227" s="169"/>
    </row>
    <row r="4228" spans="1:54" ht="15.75" customHeight="1">
      <c r="A4228" s="169"/>
      <c r="C4228" s="169"/>
      <c r="F4228" s="169"/>
      <c r="H4228" s="178"/>
      <c r="I4228" s="178"/>
      <c r="J4228" s="184"/>
      <c r="BB4228" s="169"/>
    </row>
    <row r="4229" spans="1:54" ht="15.75" customHeight="1">
      <c r="A4229" s="169"/>
      <c r="C4229" s="169"/>
      <c r="F4229" s="169"/>
      <c r="H4229" s="178"/>
      <c r="I4229" s="178"/>
      <c r="J4229" s="184"/>
      <c r="BB4229" s="169"/>
    </row>
    <row r="4230" spans="1:54" ht="15.75" customHeight="1">
      <c r="A4230" s="169"/>
      <c r="C4230" s="169"/>
      <c r="F4230" s="169"/>
      <c r="H4230" s="178"/>
      <c r="I4230" s="178"/>
      <c r="J4230" s="184"/>
      <c r="BB4230" s="169"/>
    </row>
    <row r="4231" spans="1:54" ht="15.75" customHeight="1">
      <c r="A4231" s="169"/>
      <c r="C4231" s="169"/>
      <c r="F4231" s="169"/>
      <c r="H4231" s="178"/>
      <c r="I4231" s="178"/>
      <c r="J4231" s="184"/>
      <c r="BB4231" s="169"/>
    </row>
    <row r="4232" spans="1:54" ht="15.75" customHeight="1">
      <c r="A4232" s="169"/>
      <c r="C4232" s="169"/>
      <c r="F4232" s="169"/>
      <c r="H4232" s="178"/>
      <c r="I4232" s="178"/>
      <c r="J4232" s="184"/>
      <c r="BB4232" s="169"/>
    </row>
    <row r="4233" spans="1:54" ht="15.75" customHeight="1">
      <c r="A4233" s="169"/>
      <c r="C4233" s="169"/>
      <c r="F4233" s="169"/>
      <c r="H4233" s="178"/>
      <c r="I4233" s="178"/>
      <c r="J4233" s="184"/>
      <c r="BB4233" s="169"/>
    </row>
    <row r="4234" spans="1:54" ht="15.75" customHeight="1">
      <c r="A4234" s="169"/>
      <c r="C4234" s="169"/>
      <c r="F4234" s="169"/>
      <c r="H4234" s="178"/>
      <c r="I4234" s="178"/>
      <c r="J4234" s="184"/>
      <c r="BB4234" s="169"/>
    </row>
    <row r="4235" spans="1:54" ht="15.75" customHeight="1">
      <c r="A4235" s="169"/>
      <c r="C4235" s="169"/>
      <c r="F4235" s="169"/>
      <c r="H4235" s="178"/>
      <c r="I4235" s="178"/>
      <c r="J4235" s="184"/>
      <c r="BB4235" s="169"/>
    </row>
    <row r="4236" spans="1:54" ht="15.75" customHeight="1">
      <c r="A4236" s="169"/>
      <c r="C4236" s="169"/>
      <c r="F4236" s="169"/>
      <c r="H4236" s="178"/>
      <c r="I4236" s="178"/>
      <c r="J4236" s="184"/>
      <c r="BB4236" s="169"/>
    </row>
    <row r="4237" spans="1:54" ht="15.75" customHeight="1">
      <c r="A4237" s="169"/>
      <c r="C4237" s="169"/>
      <c r="F4237" s="169"/>
      <c r="H4237" s="178"/>
      <c r="I4237" s="178"/>
      <c r="J4237" s="184"/>
      <c r="BB4237" s="169"/>
    </row>
    <row r="4238" spans="1:54" ht="15.75" customHeight="1">
      <c r="A4238" s="169"/>
      <c r="C4238" s="169"/>
      <c r="F4238" s="169"/>
      <c r="H4238" s="178"/>
      <c r="I4238" s="178"/>
      <c r="J4238" s="184"/>
      <c r="BB4238" s="169"/>
    </row>
    <row r="4239" spans="1:54" ht="15.75" customHeight="1">
      <c r="A4239" s="169"/>
      <c r="C4239" s="169"/>
      <c r="F4239" s="169"/>
      <c r="H4239" s="178"/>
      <c r="I4239" s="178"/>
      <c r="J4239" s="184"/>
      <c r="BB4239" s="169"/>
    </row>
    <row r="4240" spans="1:54" ht="15.75" customHeight="1">
      <c r="A4240" s="169"/>
      <c r="C4240" s="169"/>
      <c r="F4240" s="169"/>
      <c r="H4240" s="178"/>
      <c r="I4240" s="178"/>
      <c r="J4240" s="184"/>
      <c r="BB4240" s="169"/>
    </row>
    <row r="4241" spans="1:54" ht="15.75" customHeight="1">
      <c r="A4241" s="169"/>
      <c r="C4241" s="169"/>
      <c r="F4241" s="169"/>
      <c r="H4241" s="178"/>
      <c r="I4241" s="178"/>
      <c r="J4241" s="184"/>
      <c r="BB4241" s="169"/>
    </row>
    <row r="4242" spans="1:54" ht="15.75" customHeight="1">
      <c r="A4242" s="169"/>
      <c r="C4242" s="169"/>
      <c r="F4242" s="169"/>
      <c r="H4242" s="178"/>
      <c r="I4242" s="178"/>
      <c r="J4242" s="184"/>
      <c r="BB4242" s="169"/>
    </row>
    <row r="4243" spans="1:54" ht="15.75" customHeight="1">
      <c r="A4243" s="169"/>
      <c r="C4243" s="169"/>
      <c r="F4243" s="169"/>
      <c r="H4243" s="178"/>
      <c r="I4243" s="178"/>
      <c r="J4243" s="184"/>
      <c r="BB4243" s="169"/>
    </row>
    <row r="4244" spans="1:54" ht="15.75" customHeight="1">
      <c r="A4244" s="169"/>
      <c r="C4244" s="169"/>
      <c r="F4244" s="169"/>
      <c r="H4244" s="178"/>
      <c r="I4244" s="178"/>
      <c r="J4244" s="184"/>
      <c r="BB4244" s="169"/>
    </row>
    <row r="4245" spans="1:54" ht="15.75" customHeight="1">
      <c r="A4245" s="169"/>
      <c r="C4245" s="169"/>
      <c r="F4245" s="169"/>
      <c r="H4245" s="178"/>
      <c r="I4245" s="178"/>
      <c r="J4245" s="184"/>
      <c r="BB4245" s="169"/>
    </row>
    <row r="4246" spans="1:54" ht="15.75" customHeight="1">
      <c r="A4246" s="169"/>
      <c r="C4246" s="169"/>
      <c r="F4246" s="169"/>
      <c r="H4246" s="178"/>
      <c r="I4246" s="178"/>
      <c r="J4246" s="184"/>
      <c r="BB4246" s="169"/>
    </row>
    <row r="4247" spans="1:54" ht="15.75" customHeight="1">
      <c r="A4247" s="169"/>
      <c r="C4247" s="169"/>
      <c r="F4247" s="169"/>
      <c r="H4247" s="178"/>
      <c r="I4247" s="178"/>
      <c r="J4247" s="184"/>
      <c r="BB4247" s="169"/>
    </row>
    <row r="4248" spans="1:54" ht="15.75" customHeight="1">
      <c r="A4248" s="169"/>
      <c r="C4248" s="169"/>
      <c r="F4248" s="169"/>
      <c r="H4248" s="178"/>
      <c r="I4248" s="178"/>
      <c r="J4248" s="184"/>
      <c r="BB4248" s="169"/>
    </row>
    <row r="4249" spans="1:54" ht="15.75" customHeight="1">
      <c r="A4249" s="169"/>
      <c r="C4249" s="169"/>
      <c r="F4249" s="169"/>
      <c r="H4249" s="178"/>
      <c r="I4249" s="178"/>
      <c r="J4249" s="184"/>
      <c r="BB4249" s="169"/>
    </row>
    <row r="4250" spans="1:54" ht="15.75" customHeight="1">
      <c r="A4250" s="169"/>
      <c r="C4250" s="169"/>
      <c r="F4250" s="169"/>
      <c r="H4250" s="178"/>
      <c r="I4250" s="178"/>
      <c r="J4250" s="184"/>
      <c r="BB4250" s="169"/>
    </row>
    <row r="4251" spans="1:54" ht="15.75" customHeight="1">
      <c r="A4251" s="169"/>
      <c r="C4251" s="169"/>
      <c r="F4251" s="169"/>
      <c r="H4251" s="178"/>
      <c r="I4251" s="178"/>
      <c r="J4251" s="184"/>
      <c r="BB4251" s="169"/>
    </row>
    <row r="4252" spans="1:54" ht="15.75" customHeight="1">
      <c r="A4252" s="169"/>
      <c r="C4252" s="169"/>
      <c r="F4252" s="169"/>
      <c r="H4252" s="178"/>
      <c r="I4252" s="178"/>
      <c r="J4252" s="184"/>
      <c r="BB4252" s="169"/>
    </row>
    <row r="4253" spans="1:54" ht="15.75" customHeight="1">
      <c r="A4253" s="169"/>
      <c r="C4253" s="169"/>
      <c r="F4253" s="169"/>
      <c r="H4253" s="178"/>
      <c r="I4253" s="178"/>
      <c r="J4253" s="184"/>
      <c r="BB4253" s="169"/>
    </row>
    <row r="4254" spans="1:54" ht="15.75" customHeight="1">
      <c r="A4254" s="169"/>
      <c r="C4254" s="169"/>
      <c r="F4254" s="169"/>
      <c r="H4254" s="178"/>
      <c r="I4254" s="178"/>
      <c r="J4254" s="184"/>
      <c r="BB4254" s="169"/>
    </row>
    <row r="4255" spans="1:54" ht="15.75" customHeight="1">
      <c r="A4255" s="169"/>
      <c r="C4255" s="169"/>
      <c r="F4255" s="169"/>
      <c r="H4255" s="178"/>
      <c r="I4255" s="178"/>
      <c r="J4255" s="184"/>
      <c r="BB4255" s="169"/>
    </row>
    <row r="4256" spans="1:54" ht="15.75" customHeight="1">
      <c r="A4256" s="169"/>
      <c r="C4256" s="169"/>
      <c r="F4256" s="169"/>
      <c r="H4256" s="178"/>
      <c r="I4256" s="178"/>
      <c r="J4256" s="184"/>
      <c r="BB4256" s="169"/>
    </row>
    <row r="4257" spans="1:54" ht="15.75" customHeight="1">
      <c r="A4257" s="169"/>
      <c r="C4257" s="169"/>
      <c r="F4257" s="169"/>
      <c r="H4257" s="178"/>
      <c r="I4257" s="178"/>
      <c r="J4257" s="184"/>
      <c r="BB4257" s="169"/>
    </row>
    <row r="4258" spans="1:54" ht="15.75" customHeight="1">
      <c r="A4258" s="169"/>
      <c r="C4258" s="169"/>
      <c r="F4258" s="169"/>
      <c r="H4258" s="178"/>
      <c r="I4258" s="178"/>
      <c r="J4258" s="184"/>
      <c r="BB4258" s="169"/>
    </row>
    <row r="4259" spans="1:54" ht="15.75" customHeight="1">
      <c r="A4259" s="169"/>
      <c r="C4259" s="169"/>
      <c r="F4259" s="169"/>
      <c r="H4259" s="178"/>
      <c r="I4259" s="178"/>
      <c r="J4259" s="184"/>
      <c r="BB4259" s="169"/>
    </row>
    <row r="4260" spans="1:54" ht="15.75" customHeight="1">
      <c r="A4260" s="169"/>
      <c r="C4260" s="169"/>
      <c r="F4260" s="169"/>
      <c r="H4260" s="178"/>
      <c r="I4260" s="178"/>
      <c r="J4260" s="184"/>
      <c r="BB4260" s="169"/>
    </row>
    <row r="4261" spans="1:54" ht="15.75" customHeight="1">
      <c r="A4261" s="169"/>
      <c r="C4261" s="169"/>
      <c r="F4261" s="169"/>
      <c r="H4261" s="178"/>
      <c r="I4261" s="178"/>
      <c r="J4261" s="184"/>
      <c r="BB4261" s="169"/>
    </row>
    <row r="4262" spans="1:54" ht="15.75" customHeight="1">
      <c r="A4262" s="169"/>
      <c r="C4262" s="169"/>
      <c r="F4262" s="169"/>
      <c r="H4262" s="178"/>
      <c r="I4262" s="178"/>
      <c r="J4262" s="184"/>
      <c r="BB4262" s="169"/>
    </row>
    <row r="4263" spans="1:54" ht="15.75" customHeight="1">
      <c r="A4263" s="169"/>
      <c r="C4263" s="169"/>
      <c r="F4263" s="169"/>
      <c r="H4263" s="178"/>
      <c r="I4263" s="178"/>
      <c r="J4263" s="184"/>
      <c r="BB4263" s="169"/>
    </row>
    <row r="4264" spans="1:54" ht="15.75" customHeight="1">
      <c r="A4264" s="169"/>
      <c r="C4264" s="169"/>
      <c r="F4264" s="169"/>
      <c r="H4264" s="178"/>
      <c r="I4264" s="178"/>
      <c r="J4264" s="184"/>
      <c r="BB4264" s="169"/>
    </row>
    <row r="4265" spans="1:54" ht="15.75" customHeight="1">
      <c r="A4265" s="169"/>
      <c r="C4265" s="169"/>
      <c r="F4265" s="169"/>
      <c r="H4265" s="178"/>
      <c r="I4265" s="178"/>
      <c r="J4265" s="184"/>
      <c r="BB4265" s="169"/>
    </row>
    <row r="4266" spans="1:54" ht="15.75" customHeight="1">
      <c r="A4266" s="169"/>
      <c r="C4266" s="169"/>
      <c r="F4266" s="169"/>
      <c r="H4266" s="178"/>
      <c r="I4266" s="178"/>
      <c r="J4266" s="184"/>
      <c r="BB4266" s="169"/>
    </row>
    <row r="4267" spans="1:54" ht="15.75" customHeight="1">
      <c r="A4267" s="169"/>
      <c r="C4267" s="169"/>
      <c r="F4267" s="169"/>
      <c r="H4267" s="178"/>
      <c r="I4267" s="178"/>
      <c r="J4267" s="184"/>
      <c r="BB4267" s="169"/>
    </row>
    <row r="4268" spans="1:54" ht="15.75" customHeight="1">
      <c r="A4268" s="169"/>
      <c r="C4268" s="169"/>
      <c r="F4268" s="169"/>
      <c r="H4268" s="178"/>
      <c r="I4268" s="178"/>
      <c r="J4268" s="184"/>
      <c r="BB4268" s="169"/>
    </row>
    <row r="4269" spans="1:54" ht="15.75" customHeight="1">
      <c r="A4269" s="169"/>
      <c r="C4269" s="169"/>
      <c r="F4269" s="169"/>
      <c r="H4269" s="178"/>
      <c r="I4269" s="178"/>
      <c r="J4269" s="184"/>
      <c r="BB4269" s="169"/>
    </row>
    <row r="4270" spans="1:54" ht="15.75" customHeight="1">
      <c r="A4270" s="169"/>
      <c r="C4270" s="169"/>
      <c r="F4270" s="169"/>
      <c r="H4270" s="178"/>
      <c r="I4270" s="178"/>
      <c r="J4270" s="184"/>
      <c r="BB4270" s="169"/>
    </row>
    <row r="4271" spans="1:54" ht="15.75" customHeight="1">
      <c r="A4271" s="169"/>
      <c r="C4271" s="169"/>
      <c r="F4271" s="169"/>
      <c r="H4271" s="178"/>
      <c r="I4271" s="178"/>
      <c r="J4271" s="184"/>
      <c r="BB4271" s="169"/>
    </row>
    <row r="4272" spans="1:54" ht="15.75" customHeight="1">
      <c r="A4272" s="169"/>
      <c r="C4272" s="169"/>
      <c r="F4272" s="169"/>
      <c r="H4272" s="178"/>
      <c r="I4272" s="178"/>
      <c r="J4272" s="184"/>
      <c r="BB4272" s="169"/>
    </row>
    <row r="4273" spans="1:54" ht="15.75" customHeight="1">
      <c r="A4273" s="169"/>
      <c r="C4273" s="169"/>
      <c r="F4273" s="169"/>
      <c r="H4273" s="178"/>
      <c r="I4273" s="178"/>
      <c r="J4273" s="184"/>
      <c r="BB4273" s="169"/>
    </row>
    <row r="4274" spans="1:54" ht="15.75" customHeight="1">
      <c r="A4274" s="169"/>
      <c r="C4274" s="169"/>
      <c r="F4274" s="169"/>
      <c r="H4274" s="178"/>
      <c r="I4274" s="178"/>
      <c r="J4274" s="184"/>
      <c r="BB4274" s="169"/>
    </row>
    <row r="4275" spans="1:54" ht="15.75" customHeight="1">
      <c r="A4275" s="169"/>
      <c r="C4275" s="169"/>
      <c r="F4275" s="169"/>
      <c r="H4275" s="178"/>
      <c r="I4275" s="178"/>
      <c r="J4275" s="184"/>
      <c r="BB4275" s="169"/>
    </row>
    <row r="4276" spans="1:54" ht="15.75" customHeight="1">
      <c r="A4276" s="169"/>
      <c r="C4276" s="169"/>
      <c r="F4276" s="169"/>
      <c r="H4276" s="178"/>
      <c r="I4276" s="178"/>
      <c r="J4276" s="184"/>
      <c r="BB4276" s="169"/>
    </row>
    <row r="4277" spans="1:54" ht="15.75" customHeight="1">
      <c r="A4277" s="169"/>
      <c r="C4277" s="169"/>
      <c r="F4277" s="169"/>
      <c r="H4277" s="178"/>
      <c r="I4277" s="178"/>
      <c r="J4277" s="184"/>
      <c r="BB4277" s="169"/>
    </row>
    <row r="4278" spans="1:54" ht="15.75" customHeight="1">
      <c r="A4278" s="169"/>
      <c r="C4278" s="169"/>
      <c r="F4278" s="169"/>
      <c r="H4278" s="178"/>
      <c r="I4278" s="178"/>
      <c r="J4278" s="184"/>
      <c r="BB4278" s="169"/>
    </row>
    <row r="4279" spans="1:54" ht="15.75" customHeight="1">
      <c r="A4279" s="169"/>
      <c r="C4279" s="169"/>
      <c r="F4279" s="169"/>
      <c r="H4279" s="178"/>
      <c r="I4279" s="178"/>
      <c r="J4279" s="184"/>
      <c r="BB4279" s="169"/>
    </row>
    <row r="4280" spans="1:54" ht="15.75" customHeight="1">
      <c r="A4280" s="169"/>
      <c r="C4280" s="169"/>
      <c r="F4280" s="169"/>
      <c r="H4280" s="178"/>
      <c r="I4280" s="178"/>
      <c r="J4280" s="184"/>
      <c r="BB4280" s="169"/>
    </row>
    <row r="4281" spans="1:54" ht="15.75" customHeight="1">
      <c r="A4281" s="169"/>
      <c r="C4281" s="169"/>
      <c r="F4281" s="169"/>
      <c r="H4281" s="178"/>
      <c r="I4281" s="178"/>
      <c r="J4281" s="184"/>
      <c r="BB4281" s="169"/>
    </row>
    <row r="4282" spans="1:54" ht="15.75" customHeight="1">
      <c r="A4282" s="169"/>
      <c r="C4282" s="169"/>
      <c r="F4282" s="169"/>
      <c r="H4282" s="178"/>
      <c r="I4282" s="178"/>
      <c r="J4282" s="184"/>
      <c r="BB4282" s="169"/>
    </row>
    <row r="4283" spans="1:54" ht="15.75" customHeight="1">
      <c r="A4283" s="169"/>
      <c r="C4283" s="169"/>
      <c r="F4283" s="169"/>
      <c r="H4283" s="178"/>
      <c r="I4283" s="178"/>
      <c r="J4283" s="184"/>
      <c r="BB4283" s="169"/>
    </row>
    <row r="4284" spans="1:54" ht="15.75" customHeight="1">
      <c r="A4284" s="169"/>
      <c r="C4284" s="169"/>
      <c r="F4284" s="169"/>
      <c r="H4284" s="178"/>
      <c r="I4284" s="178"/>
      <c r="J4284" s="184"/>
      <c r="BB4284" s="169"/>
    </row>
    <row r="4285" spans="1:54" ht="15.75" customHeight="1">
      <c r="A4285" s="169"/>
      <c r="C4285" s="169"/>
      <c r="F4285" s="169"/>
      <c r="H4285" s="178"/>
      <c r="I4285" s="178"/>
      <c r="J4285" s="184"/>
      <c r="BB4285" s="169"/>
    </row>
    <row r="4286" spans="1:54" ht="15.75" customHeight="1">
      <c r="A4286" s="169"/>
      <c r="C4286" s="169"/>
      <c r="F4286" s="169"/>
      <c r="H4286" s="178"/>
      <c r="I4286" s="178"/>
      <c r="J4286" s="184"/>
      <c r="BB4286" s="169"/>
    </row>
    <row r="4287" spans="1:54" ht="15.75" customHeight="1">
      <c r="A4287" s="169"/>
      <c r="C4287" s="169"/>
      <c r="F4287" s="169"/>
      <c r="H4287" s="178"/>
      <c r="I4287" s="178"/>
      <c r="J4287" s="184"/>
      <c r="BB4287" s="169"/>
    </row>
    <row r="4288" spans="1:54" ht="15.75" customHeight="1">
      <c r="A4288" s="169"/>
      <c r="C4288" s="169"/>
      <c r="F4288" s="169"/>
      <c r="H4288" s="178"/>
      <c r="I4288" s="178"/>
      <c r="J4288" s="184"/>
      <c r="BB4288" s="169"/>
    </row>
    <row r="4289" spans="1:54" ht="15.75" customHeight="1">
      <c r="A4289" s="169"/>
      <c r="C4289" s="169"/>
      <c r="F4289" s="169"/>
      <c r="H4289" s="178"/>
      <c r="I4289" s="178"/>
      <c r="J4289" s="184"/>
      <c r="BB4289" s="169"/>
    </row>
    <row r="4290" spans="1:54" ht="15.75" customHeight="1">
      <c r="A4290" s="169"/>
      <c r="C4290" s="169"/>
      <c r="F4290" s="169"/>
      <c r="H4290" s="178"/>
      <c r="I4290" s="178"/>
      <c r="J4290" s="184"/>
      <c r="BB4290" s="169"/>
    </row>
    <row r="4291" spans="1:54" ht="15.75" customHeight="1">
      <c r="A4291" s="169"/>
      <c r="C4291" s="169"/>
      <c r="F4291" s="169"/>
      <c r="H4291" s="178"/>
      <c r="I4291" s="178"/>
      <c r="J4291" s="184"/>
      <c r="BB4291" s="169"/>
    </row>
    <row r="4292" spans="1:54" ht="15.75" customHeight="1">
      <c r="A4292" s="169"/>
      <c r="C4292" s="169"/>
      <c r="F4292" s="169"/>
      <c r="H4292" s="178"/>
      <c r="I4292" s="178"/>
      <c r="J4292" s="184"/>
      <c r="BB4292" s="169"/>
    </row>
    <row r="4293" spans="1:54" ht="15.75" customHeight="1">
      <c r="A4293" s="169"/>
      <c r="C4293" s="169"/>
      <c r="F4293" s="169"/>
      <c r="H4293" s="178"/>
      <c r="I4293" s="178"/>
      <c r="J4293" s="184"/>
      <c r="BB4293" s="169"/>
    </row>
    <row r="4294" spans="1:54" ht="15.75" customHeight="1">
      <c r="A4294" s="169"/>
      <c r="C4294" s="169"/>
      <c r="F4294" s="169"/>
      <c r="H4294" s="178"/>
      <c r="I4294" s="178"/>
      <c r="J4294" s="184"/>
      <c r="BB4294" s="169"/>
    </row>
    <row r="4295" spans="1:54" ht="15.75" customHeight="1">
      <c r="A4295" s="169"/>
      <c r="C4295" s="169"/>
      <c r="F4295" s="169"/>
      <c r="H4295" s="178"/>
      <c r="I4295" s="178"/>
      <c r="J4295" s="184"/>
      <c r="BB4295" s="169"/>
    </row>
    <row r="4296" spans="1:54" ht="15.75" customHeight="1">
      <c r="A4296" s="169"/>
      <c r="C4296" s="169"/>
      <c r="F4296" s="169"/>
      <c r="H4296" s="178"/>
      <c r="I4296" s="178"/>
      <c r="J4296" s="184"/>
      <c r="BB4296" s="169"/>
    </row>
    <row r="4297" spans="1:54" ht="15.75" customHeight="1">
      <c r="A4297" s="169"/>
      <c r="C4297" s="169"/>
      <c r="F4297" s="169"/>
      <c r="H4297" s="178"/>
      <c r="I4297" s="178"/>
      <c r="J4297" s="184"/>
      <c r="BB4297" s="169"/>
    </row>
    <row r="4298" spans="1:54" ht="15.75" customHeight="1">
      <c r="A4298" s="169"/>
      <c r="C4298" s="169"/>
      <c r="F4298" s="169"/>
      <c r="H4298" s="178"/>
      <c r="I4298" s="178"/>
      <c r="J4298" s="184"/>
      <c r="BB4298" s="169"/>
    </row>
    <row r="4299" spans="1:54" ht="15.75" customHeight="1">
      <c r="A4299" s="169"/>
      <c r="C4299" s="169"/>
      <c r="F4299" s="169"/>
      <c r="H4299" s="178"/>
      <c r="I4299" s="178"/>
      <c r="J4299" s="184"/>
      <c r="BB4299" s="169"/>
    </row>
    <row r="4300" spans="1:54" ht="15.75" customHeight="1">
      <c r="A4300" s="169"/>
      <c r="C4300" s="169"/>
      <c r="F4300" s="169"/>
      <c r="H4300" s="178"/>
      <c r="I4300" s="178"/>
      <c r="J4300" s="184"/>
      <c r="BB4300" s="169"/>
    </row>
    <row r="4301" spans="1:54" ht="15.75" customHeight="1">
      <c r="A4301" s="169"/>
      <c r="C4301" s="169"/>
      <c r="F4301" s="169"/>
      <c r="H4301" s="178"/>
      <c r="I4301" s="178"/>
      <c r="J4301" s="184"/>
      <c r="BB4301" s="169"/>
    </row>
    <row r="4302" spans="1:54" ht="15.75" customHeight="1">
      <c r="A4302" s="169"/>
      <c r="C4302" s="169"/>
      <c r="F4302" s="169"/>
      <c r="H4302" s="178"/>
      <c r="I4302" s="178"/>
      <c r="J4302" s="184"/>
      <c r="BB4302" s="169"/>
    </row>
    <row r="4303" spans="1:54" ht="15.75" customHeight="1">
      <c r="A4303" s="169"/>
      <c r="C4303" s="169"/>
      <c r="F4303" s="169"/>
      <c r="H4303" s="178"/>
      <c r="I4303" s="178"/>
      <c r="J4303" s="184"/>
      <c r="BB4303" s="169"/>
    </row>
    <row r="4304" spans="1:54" ht="15.75" customHeight="1">
      <c r="A4304" s="169"/>
      <c r="C4304" s="169"/>
      <c r="F4304" s="169"/>
      <c r="H4304" s="178"/>
      <c r="I4304" s="178"/>
      <c r="J4304" s="184"/>
      <c r="BB4304" s="169"/>
    </row>
    <row r="4305" spans="1:54" ht="15.75" customHeight="1">
      <c r="A4305" s="169"/>
      <c r="C4305" s="169"/>
      <c r="F4305" s="169"/>
      <c r="H4305" s="178"/>
      <c r="I4305" s="178"/>
      <c r="J4305" s="184"/>
      <c r="BB4305" s="169"/>
    </row>
    <row r="4306" spans="1:54" ht="15.75" customHeight="1">
      <c r="A4306" s="169"/>
      <c r="C4306" s="169"/>
      <c r="F4306" s="169"/>
      <c r="H4306" s="178"/>
      <c r="I4306" s="178"/>
      <c r="J4306" s="184"/>
      <c r="BB4306" s="169"/>
    </row>
    <row r="4307" spans="1:54" ht="15.75" customHeight="1">
      <c r="A4307" s="169"/>
      <c r="C4307" s="169"/>
      <c r="F4307" s="169"/>
      <c r="H4307" s="178"/>
      <c r="I4307" s="178"/>
      <c r="J4307" s="184"/>
      <c r="BB4307" s="169"/>
    </row>
    <row r="4308" spans="1:54" ht="15.75" customHeight="1">
      <c r="A4308" s="169"/>
      <c r="C4308" s="169"/>
      <c r="F4308" s="169"/>
      <c r="H4308" s="178"/>
      <c r="I4308" s="178"/>
      <c r="J4308" s="184"/>
      <c r="BB4308" s="169"/>
    </row>
    <row r="4309" spans="1:54" ht="15.75" customHeight="1">
      <c r="A4309" s="169"/>
      <c r="C4309" s="169"/>
      <c r="F4309" s="169"/>
      <c r="H4309" s="178"/>
      <c r="I4309" s="178"/>
      <c r="J4309" s="184"/>
      <c r="BB4309" s="169"/>
    </row>
    <row r="4310" spans="1:54" ht="15.75" customHeight="1">
      <c r="A4310" s="169"/>
      <c r="C4310" s="169"/>
      <c r="F4310" s="169"/>
      <c r="H4310" s="178"/>
      <c r="I4310" s="178"/>
      <c r="J4310" s="184"/>
      <c r="BB4310" s="169"/>
    </row>
    <row r="4311" spans="1:54" ht="15.75" customHeight="1">
      <c r="A4311" s="169"/>
      <c r="C4311" s="169"/>
      <c r="F4311" s="169"/>
      <c r="H4311" s="178"/>
      <c r="I4311" s="178"/>
      <c r="J4311" s="184"/>
      <c r="BB4311" s="169"/>
    </row>
    <row r="4312" spans="1:54" ht="15.75" customHeight="1">
      <c r="A4312" s="169"/>
      <c r="C4312" s="169"/>
      <c r="F4312" s="169"/>
      <c r="H4312" s="178"/>
      <c r="I4312" s="178"/>
      <c r="J4312" s="184"/>
      <c r="BB4312" s="169"/>
    </row>
    <row r="4313" spans="1:54" ht="15.75" customHeight="1">
      <c r="A4313" s="169"/>
      <c r="C4313" s="169"/>
      <c r="F4313" s="169"/>
      <c r="H4313" s="178"/>
      <c r="I4313" s="178"/>
      <c r="J4313" s="184"/>
      <c r="BB4313" s="169"/>
    </row>
    <row r="4314" spans="1:54" ht="15.75" customHeight="1">
      <c r="A4314" s="169"/>
      <c r="C4314" s="169"/>
      <c r="F4314" s="169"/>
      <c r="H4314" s="178"/>
      <c r="I4314" s="178"/>
      <c r="J4314" s="184"/>
      <c r="BB4314" s="169"/>
    </row>
    <row r="4315" spans="1:54" ht="15.75" customHeight="1">
      <c r="A4315" s="169"/>
      <c r="C4315" s="169"/>
      <c r="F4315" s="169"/>
      <c r="H4315" s="178"/>
      <c r="I4315" s="178"/>
      <c r="J4315" s="184"/>
      <c r="BB4315" s="169"/>
    </row>
    <row r="4316" spans="1:54" ht="15.75" customHeight="1">
      <c r="A4316" s="169"/>
      <c r="C4316" s="169"/>
      <c r="F4316" s="169"/>
      <c r="H4316" s="178"/>
      <c r="I4316" s="178"/>
      <c r="J4316" s="184"/>
      <c r="BB4316" s="169"/>
    </row>
    <row r="4317" spans="1:54" ht="15.75" customHeight="1">
      <c r="A4317" s="169"/>
      <c r="C4317" s="169"/>
      <c r="F4317" s="169"/>
      <c r="H4317" s="178"/>
      <c r="I4317" s="178"/>
      <c r="J4317" s="184"/>
      <c r="BB4317" s="169"/>
    </row>
    <row r="4318" spans="1:54" ht="15.75" customHeight="1">
      <c r="A4318" s="169"/>
      <c r="C4318" s="169"/>
      <c r="F4318" s="169"/>
      <c r="H4318" s="178"/>
      <c r="I4318" s="178"/>
      <c r="J4318" s="184"/>
      <c r="BB4318" s="169"/>
    </row>
    <row r="4319" spans="1:54" ht="15.75" customHeight="1">
      <c r="A4319" s="169"/>
      <c r="C4319" s="169"/>
      <c r="F4319" s="169"/>
      <c r="H4319" s="178"/>
      <c r="I4319" s="178"/>
      <c r="J4319" s="184"/>
      <c r="BB4319" s="169"/>
    </row>
    <row r="4320" spans="1:54" ht="15.75" customHeight="1">
      <c r="A4320" s="169"/>
      <c r="C4320" s="169"/>
      <c r="F4320" s="169"/>
      <c r="H4320" s="178"/>
      <c r="I4320" s="178"/>
      <c r="J4320" s="184"/>
      <c r="BB4320" s="169"/>
    </row>
    <row r="4321" spans="1:54" ht="15.75" customHeight="1">
      <c r="A4321" s="169"/>
      <c r="C4321" s="169"/>
      <c r="F4321" s="169"/>
      <c r="H4321" s="178"/>
      <c r="I4321" s="178"/>
      <c r="J4321" s="184"/>
      <c r="BB4321" s="169"/>
    </row>
    <row r="4322" spans="1:54" ht="15.75" customHeight="1">
      <c r="A4322" s="169"/>
      <c r="C4322" s="169"/>
      <c r="F4322" s="169"/>
      <c r="H4322" s="178"/>
      <c r="I4322" s="178"/>
      <c r="J4322" s="184"/>
      <c r="BB4322" s="169"/>
    </row>
    <row r="4323" spans="1:54" ht="15.75" customHeight="1">
      <c r="A4323" s="169"/>
      <c r="C4323" s="169"/>
      <c r="F4323" s="169"/>
      <c r="H4323" s="178"/>
      <c r="I4323" s="178"/>
      <c r="J4323" s="184"/>
      <c r="BB4323" s="169"/>
    </row>
    <row r="4324" spans="1:54" ht="15.75" customHeight="1">
      <c r="A4324" s="169"/>
      <c r="C4324" s="169"/>
      <c r="F4324" s="169"/>
      <c r="H4324" s="178"/>
      <c r="I4324" s="178"/>
      <c r="J4324" s="184"/>
      <c r="BB4324" s="169"/>
    </row>
    <row r="4325" spans="1:54" ht="15.75" customHeight="1">
      <c r="A4325" s="169"/>
      <c r="C4325" s="169"/>
      <c r="F4325" s="169"/>
      <c r="H4325" s="178"/>
      <c r="I4325" s="178"/>
      <c r="J4325" s="184"/>
      <c r="BB4325" s="169"/>
    </row>
    <row r="4326" spans="1:54" ht="15.75" customHeight="1">
      <c r="A4326" s="169"/>
      <c r="C4326" s="169"/>
      <c r="F4326" s="169"/>
      <c r="H4326" s="178"/>
      <c r="I4326" s="178"/>
      <c r="J4326" s="184"/>
      <c r="BB4326" s="169"/>
    </row>
    <row r="4327" spans="1:54" ht="15.75" customHeight="1">
      <c r="A4327" s="169"/>
      <c r="C4327" s="169"/>
      <c r="F4327" s="169"/>
      <c r="H4327" s="178"/>
      <c r="I4327" s="178"/>
      <c r="J4327" s="184"/>
      <c r="BB4327" s="169"/>
    </row>
    <row r="4328" spans="1:54" ht="15.75" customHeight="1">
      <c r="A4328" s="169"/>
      <c r="C4328" s="169"/>
      <c r="F4328" s="169"/>
      <c r="H4328" s="178"/>
      <c r="I4328" s="178"/>
      <c r="J4328" s="184"/>
      <c r="BB4328" s="169"/>
    </row>
    <row r="4329" spans="1:54" ht="15.75" customHeight="1">
      <c r="A4329" s="169"/>
      <c r="C4329" s="169"/>
      <c r="F4329" s="169"/>
      <c r="H4329" s="178"/>
      <c r="I4329" s="178"/>
      <c r="J4329" s="184"/>
      <c r="BB4329" s="169"/>
    </row>
    <row r="4330" spans="1:54" ht="15.75" customHeight="1">
      <c r="A4330" s="169"/>
      <c r="C4330" s="169"/>
      <c r="F4330" s="169"/>
      <c r="H4330" s="178"/>
      <c r="I4330" s="178"/>
      <c r="J4330" s="184"/>
      <c r="BB4330" s="169"/>
    </row>
    <row r="4331" spans="1:54" ht="15.75" customHeight="1">
      <c r="A4331" s="169"/>
      <c r="C4331" s="169"/>
      <c r="F4331" s="169"/>
      <c r="H4331" s="178"/>
      <c r="I4331" s="178"/>
      <c r="J4331" s="184"/>
      <c r="BB4331" s="169"/>
    </row>
    <row r="4332" spans="1:54" ht="15.75" customHeight="1">
      <c r="A4332" s="169"/>
      <c r="C4332" s="169"/>
      <c r="F4332" s="169"/>
      <c r="H4332" s="178"/>
      <c r="I4332" s="178"/>
      <c r="J4332" s="184"/>
      <c r="BB4332" s="169"/>
    </row>
    <row r="4333" spans="1:54" ht="15.75" customHeight="1">
      <c r="A4333" s="169"/>
      <c r="C4333" s="169"/>
      <c r="F4333" s="169"/>
      <c r="H4333" s="178"/>
      <c r="I4333" s="178"/>
      <c r="J4333" s="184"/>
      <c r="BB4333" s="169"/>
    </row>
    <row r="4334" spans="1:54" ht="15.75" customHeight="1">
      <c r="A4334" s="169"/>
      <c r="C4334" s="169"/>
      <c r="F4334" s="169"/>
      <c r="H4334" s="178"/>
      <c r="I4334" s="178"/>
      <c r="J4334" s="184"/>
      <c r="BB4334" s="169"/>
    </row>
    <row r="4335" spans="1:54" ht="15.75" customHeight="1">
      <c r="A4335" s="169"/>
      <c r="C4335" s="169"/>
      <c r="F4335" s="169"/>
      <c r="H4335" s="178"/>
      <c r="I4335" s="178"/>
      <c r="J4335" s="184"/>
      <c r="BB4335" s="169"/>
    </row>
    <row r="4336" spans="1:54" ht="15.75" customHeight="1">
      <c r="A4336" s="169"/>
      <c r="C4336" s="169"/>
      <c r="F4336" s="169"/>
      <c r="H4336" s="178"/>
      <c r="I4336" s="178"/>
      <c r="J4336" s="184"/>
      <c r="BB4336" s="169"/>
    </row>
    <row r="4337" spans="1:54" ht="15.75" customHeight="1">
      <c r="A4337" s="169"/>
      <c r="C4337" s="169"/>
      <c r="F4337" s="169"/>
      <c r="H4337" s="178"/>
      <c r="I4337" s="178"/>
      <c r="J4337" s="184"/>
      <c r="BB4337" s="169"/>
    </row>
    <row r="4338" spans="1:54" ht="15.75" customHeight="1">
      <c r="A4338" s="169"/>
      <c r="C4338" s="169"/>
      <c r="F4338" s="169"/>
      <c r="H4338" s="178"/>
      <c r="I4338" s="178"/>
      <c r="J4338" s="184"/>
      <c r="BB4338" s="169"/>
    </row>
    <row r="4339" spans="1:54" ht="15.75" customHeight="1">
      <c r="A4339" s="169"/>
      <c r="C4339" s="169"/>
      <c r="F4339" s="169"/>
      <c r="H4339" s="178"/>
      <c r="I4339" s="178"/>
      <c r="J4339" s="184"/>
      <c r="BB4339" s="169"/>
    </row>
    <row r="4340" spans="1:54" ht="15.75" customHeight="1">
      <c r="A4340" s="169"/>
      <c r="C4340" s="169"/>
      <c r="F4340" s="169"/>
      <c r="H4340" s="178"/>
      <c r="I4340" s="178"/>
      <c r="J4340" s="184"/>
      <c r="BB4340" s="169"/>
    </row>
    <row r="4341" spans="1:54" ht="15.75" customHeight="1">
      <c r="A4341" s="169"/>
      <c r="C4341" s="169"/>
      <c r="F4341" s="169"/>
      <c r="H4341" s="178"/>
      <c r="I4341" s="178"/>
      <c r="J4341" s="184"/>
      <c r="BB4341" s="169"/>
    </row>
    <row r="4342" spans="1:54" ht="15.75" customHeight="1">
      <c r="A4342" s="169"/>
      <c r="C4342" s="169"/>
      <c r="F4342" s="169"/>
      <c r="H4342" s="178"/>
      <c r="I4342" s="178"/>
      <c r="J4342" s="184"/>
      <c r="BB4342" s="169"/>
    </row>
    <row r="4343" spans="1:54" ht="15.75" customHeight="1">
      <c r="A4343" s="169"/>
      <c r="C4343" s="169"/>
      <c r="F4343" s="169"/>
      <c r="H4343" s="178"/>
      <c r="I4343" s="178"/>
      <c r="J4343" s="184"/>
      <c r="BB4343" s="169"/>
    </row>
    <row r="4344" spans="1:54" ht="15.75" customHeight="1">
      <c r="A4344" s="169"/>
      <c r="C4344" s="169"/>
      <c r="F4344" s="169"/>
      <c r="H4344" s="178"/>
      <c r="I4344" s="178"/>
      <c r="J4344" s="184"/>
      <c r="BB4344" s="169"/>
    </row>
    <row r="4345" spans="1:54" ht="15.75" customHeight="1">
      <c r="A4345" s="169"/>
      <c r="C4345" s="169"/>
      <c r="F4345" s="169"/>
      <c r="H4345" s="178"/>
      <c r="I4345" s="178"/>
      <c r="J4345" s="184"/>
      <c r="BB4345" s="169"/>
    </row>
    <row r="4346" spans="1:54" ht="15.75" customHeight="1">
      <c r="A4346" s="169"/>
      <c r="C4346" s="169"/>
      <c r="F4346" s="169"/>
      <c r="H4346" s="178"/>
      <c r="I4346" s="178"/>
      <c r="J4346" s="184"/>
      <c r="BB4346" s="169"/>
    </row>
    <row r="4347" spans="1:54" ht="15.75" customHeight="1">
      <c r="A4347" s="169"/>
      <c r="C4347" s="169"/>
      <c r="F4347" s="169"/>
      <c r="H4347" s="178"/>
      <c r="I4347" s="178"/>
      <c r="J4347" s="184"/>
      <c r="BB4347" s="169"/>
    </row>
    <row r="4348" spans="1:54" ht="15.75" customHeight="1">
      <c r="A4348" s="169"/>
      <c r="C4348" s="169"/>
      <c r="F4348" s="169"/>
      <c r="H4348" s="178"/>
      <c r="I4348" s="178"/>
      <c r="J4348" s="184"/>
      <c r="BB4348" s="169"/>
    </row>
    <row r="4349" spans="1:54" ht="15.75" customHeight="1">
      <c r="A4349" s="169"/>
      <c r="C4349" s="169"/>
      <c r="F4349" s="169"/>
      <c r="H4349" s="178"/>
      <c r="I4349" s="178"/>
      <c r="J4349" s="184"/>
      <c r="BB4349" s="169"/>
    </row>
    <row r="4350" spans="1:54" ht="15.75" customHeight="1">
      <c r="A4350" s="169"/>
      <c r="C4350" s="169"/>
      <c r="F4350" s="169"/>
      <c r="H4350" s="178"/>
      <c r="I4350" s="178"/>
      <c r="J4350" s="184"/>
      <c r="BB4350" s="169"/>
    </row>
    <row r="4351" spans="1:54" ht="15.75" customHeight="1">
      <c r="A4351" s="169"/>
      <c r="C4351" s="169"/>
      <c r="F4351" s="169"/>
      <c r="H4351" s="178"/>
      <c r="I4351" s="178"/>
      <c r="J4351" s="184"/>
      <c r="BB4351" s="169"/>
    </row>
    <row r="4352" spans="1:54" ht="15.75" customHeight="1">
      <c r="A4352" s="169"/>
      <c r="C4352" s="169"/>
      <c r="F4352" s="169"/>
      <c r="H4352" s="178"/>
      <c r="I4352" s="178"/>
      <c r="J4352" s="184"/>
      <c r="BB4352" s="169"/>
    </row>
    <row r="4353" spans="1:54" ht="15.75" customHeight="1">
      <c r="A4353" s="169"/>
      <c r="C4353" s="169"/>
      <c r="F4353" s="169"/>
      <c r="H4353" s="178"/>
      <c r="I4353" s="178"/>
      <c r="J4353" s="184"/>
      <c r="BB4353" s="169"/>
    </row>
    <row r="4354" spans="1:54" ht="15.75" customHeight="1">
      <c r="A4354" s="169"/>
      <c r="C4354" s="169"/>
      <c r="F4354" s="169"/>
      <c r="H4354" s="178"/>
      <c r="I4354" s="178"/>
      <c r="J4354" s="184"/>
      <c r="BB4354" s="169"/>
    </row>
    <row r="4355" spans="1:54" ht="15.75" customHeight="1">
      <c r="A4355" s="169"/>
      <c r="C4355" s="169"/>
      <c r="F4355" s="169"/>
      <c r="H4355" s="178"/>
      <c r="I4355" s="178"/>
      <c r="J4355" s="184"/>
      <c r="BB4355" s="169"/>
    </row>
    <row r="4356" spans="1:54" ht="15.75" customHeight="1">
      <c r="A4356" s="169"/>
      <c r="C4356" s="169"/>
      <c r="F4356" s="169"/>
      <c r="H4356" s="178"/>
      <c r="I4356" s="178"/>
      <c r="J4356" s="184"/>
      <c r="BB4356" s="169"/>
    </row>
    <row r="4357" spans="1:54" ht="15.75" customHeight="1">
      <c r="A4357" s="169"/>
      <c r="C4357" s="169"/>
      <c r="F4357" s="169"/>
      <c r="H4357" s="178"/>
      <c r="I4357" s="178"/>
      <c r="J4357" s="184"/>
      <c r="BB4357" s="169"/>
    </row>
    <row r="4358" spans="1:54" ht="15.75" customHeight="1">
      <c r="A4358" s="169"/>
      <c r="C4358" s="169"/>
      <c r="F4358" s="169"/>
      <c r="H4358" s="178"/>
      <c r="I4358" s="178"/>
      <c r="J4358" s="184"/>
      <c r="BB4358" s="169"/>
    </row>
    <row r="4359" spans="1:54" ht="15.75" customHeight="1">
      <c r="A4359" s="169"/>
      <c r="C4359" s="169"/>
      <c r="F4359" s="169"/>
      <c r="H4359" s="178"/>
      <c r="I4359" s="178"/>
      <c r="J4359" s="184"/>
      <c r="BB4359" s="169"/>
    </row>
    <row r="4360" spans="1:54" ht="15.75" customHeight="1">
      <c r="A4360" s="169"/>
      <c r="C4360" s="169"/>
      <c r="F4360" s="169"/>
      <c r="H4360" s="178"/>
      <c r="I4360" s="178"/>
      <c r="J4360" s="184"/>
      <c r="BB4360" s="169"/>
    </row>
    <row r="4361" spans="1:54" ht="15.75" customHeight="1">
      <c r="A4361" s="169"/>
      <c r="C4361" s="169"/>
      <c r="F4361" s="169"/>
      <c r="H4361" s="178"/>
      <c r="I4361" s="178"/>
      <c r="J4361" s="184"/>
      <c r="BB4361" s="169"/>
    </row>
    <row r="4362" spans="1:54" ht="15.75" customHeight="1">
      <c r="A4362" s="169"/>
      <c r="C4362" s="169"/>
      <c r="F4362" s="169"/>
      <c r="H4362" s="178"/>
      <c r="I4362" s="178"/>
      <c r="J4362" s="184"/>
      <c r="BB4362" s="169"/>
    </row>
    <row r="4363" spans="1:54" ht="15.75" customHeight="1">
      <c r="A4363" s="169"/>
      <c r="C4363" s="169"/>
      <c r="F4363" s="169"/>
      <c r="H4363" s="178"/>
      <c r="I4363" s="178"/>
      <c r="J4363" s="184"/>
      <c r="BB4363" s="169"/>
    </row>
    <row r="4364" spans="1:54" ht="15.75" customHeight="1">
      <c r="A4364" s="169"/>
      <c r="C4364" s="169"/>
      <c r="F4364" s="169"/>
      <c r="H4364" s="178"/>
      <c r="I4364" s="178"/>
      <c r="J4364" s="184"/>
      <c r="BB4364" s="169"/>
    </row>
    <row r="4365" spans="1:54" ht="15.75" customHeight="1">
      <c r="A4365" s="169"/>
      <c r="C4365" s="169"/>
      <c r="F4365" s="169"/>
      <c r="H4365" s="178"/>
      <c r="I4365" s="178"/>
      <c r="J4365" s="184"/>
      <c r="BB4365" s="169"/>
    </row>
    <row r="4366" spans="1:54" ht="15.75" customHeight="1">
      <c r="A4366" s="169"/>
      <c r="C4366" s="169"/>
      <c r="F4366" s="169"/>
      <c r="H4366" s="178"/>
      <c r="I4366" s="178"/>
      <c r="J4366" s="184"/>
      <c r="BB4366" s="169"/>
    </row>
    <row r="4367" spans="1:54" ht="15.75" customHeight="1">
      <c r="A4367" s="169"/>
      <c r="C4367" s="169"/>
      <c r="F4367" s="169"/>
      <c r="H4367" s="178"/>
      <c r="I4367" s="178"/>
      <c r="J4367" s="184"/>
      <c r="BB4367" s="169"/>
    </row>
    <row r="4368" spans="1:54" ht="15.75" customHeight="1">
      <c r="A4368" s="169"/>
      <c r="C4368" s="169"/>
      <c r="F4368" s="169"/>
      <c r="H4368" s="178"/>
      <c r="I4368" s="178"/>
      <c r="J4368" s="184"/>
      <c r="BB4368" s="169"/>
    </row>
    <row r="4369" spans="1:54" ht="15.75" customHeight="1">
      <c r="A4369" s="169"/>
      <c r="C4369" s="169"/>
      <c r="F4369" s="169"/>
      <c r="H4369" s="178"/>
      <c r="I4369" s="178"/>
      <c r="J4369" s="184"/>
      <c r="BB4369" s="169"/>
    </row>
    <row r="4370" spans="1:54" ht="15.75" customHeight="1">
      <c r="A4370" s="169"/>
      <c r="C4370" s="169"/>
      <c r="F4370" s="169"/>
      <c r="H4370" s="178"/>
      <c r="I4370" s="178"/>
      <c r="J4370" s="184"/>
      <c r="BB4370" s="169"/>
    </row>
    <row r="4371" spans="1:54" ht="15.75" customHeight="1">
      <c r="A4371" s="169"/>
      <c r="C4371" s="169"/>
      <c r="F4371" s="169"/>
      <c r="H4371" s="178"/>
      <c r="I4371" s="178"/>
      <c r="J4371" s="184"/>
      <c r="BB4371" s="169"/>
    </row>
    <row r="4372" spans="1:54" ht="15.75" customHeight="1">
      <c r="A4372" s="169"/>
      <c r="C4372" s="169"/>
      <c r="F4372" s="169"/>
      <c r="H4372" s="178"/>
      <c r="I4372" s="178"/>
      <c r="J4372" s="184"/>
      <c r="BB4372" s="169"/>
    </row>
    <row r="4373" spans="1:54" ht="15.75" customHeight="1">
      <c r="A4373" s="169"/>
      <c r="C4373" s="169"/>
      <c r="F4373" s="169"/>
      <c r="H4373" s="178"/>
      <c r="I4373" s="178"/>
      <c r="J4373" s="184"/>
      <c r="BB4373" s="169"/>
    </row>
  </sheetData>
  <autoFilter ref="A2:BG247" xr:uid="{00000000-0009-0000-0000-00001D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autoFilter>
  <mergeCells count="10">
    <mergeCell ref="BD1:BG1"/>
    <mergeCell ref="A1:BB1"/>
    <mergeCell ref="AT2:AV2"/>
    <mergeCell ref="N2:P2"/>
    <mergeCell ref="T2:V2"/>
    <mergeCell ref="W2:Y2"/>
    <mergeCell ref="Z2:AB2"/>
    <mergeCell ref="AC2:AE2"/>
    <mergeCell ref="AN2:AP2"/>
    <mergeCell ref="AQ2:AS2"/>
  </mergeCells>
  <phoneticPr fontId="0" type="noConversion"/>
  <conditionalFormatting sqref="B5:BA51 B52:H52 J52:BA52 B53:BA233">
    <cfRule type="expression" dxfId="361" priority="40">
      <formula>$M5="NON DEFINED"</formula>
    </cfRule>
    <cfRule type="expression" dxfId="360" priority="41">
      <formula>$AY5="N.D."</formula>
    </cfRule>
  </conditionalFormatting>
  <conditionalFormatting sqref="I52">
    <cfRule type="expression" dxfId="359" priority="38">
      <formula>$M52="NON DEFINED"</formula>
    </cfRule>
    <cfRule type="expression" dxfId="358" priority="39">
      <formula>$AY52="N.D."</formula>
    </cfRule>
  </conditionalFormatting>
  <conditionalFormatting sqref="BD122:BE122 BG118 BE6 BE186 BD230 BD233:BE233 BG124 BG132 BG138 BG142 BG144 BG146 BG148 BG150 BG154 BG156 BG158 BG160 BG162 BG164 BG166 BG168 BG170 BG172 BG176 BG178 BG180 BG182 BG184 BG186 BG190 BG192 BG194 BG196 BG198 BG200 BG202 BG204 BG206 BG208 BG210 BG212 BG214 BG216 BG218 BG220 BG222 BG224 BG226 BG228 BG230 BG232:BG233 BG48 BG46 BG40 BG26 BE20 BE22 BE24 BE26 BE28 BE30 BE32 BE34 BE36 BE38 BE40 BE46 BE48 BE50 BD52:BD53 BE56 BE58 BE60 BE62 BE64 BE66 BE68 BE70 BE72 BE74 BE76 BE78 BE80 BE82 BE84 BE86 BE88 BE90 BE92 BE94 BE96 BE98 BE100 BE102 BE104 BE106 BE108 BE110 BE112 BE114 BE116 BE118 BD121 BE128 BE130 BE132 BE138 BE140 BE142 BE144 BE146 BE148 BE150 BE152 BE154 BE156 BE158 BE160 BE162 BE164 BE166 BE168 BE170 BE172 BE176 BE178 BE180 BE182 BE184 BE188 BD232 BE134 BE136 BG50 BG52 BG134 BG136 BG140 BG152 BE42 BE44 BE54 BG54 BG188 BG120 BG122 BG174">
    <cfRule type="containsBlanks" dxfId="357" priority="37">
      <formula>LEN(TRIM(BD6))=0</formula>
    </cfRule>
  </conditionalFormatting>
  <conditionalFormatting sqref="BD3:BF3">
    <cfRule type="containsBlanks" dxfId="356" priority="36">
      <formula>LEN(TRIM(BD3))=0</formula>
    </cfRule>
  </conditionalFormatting>
  <conditionalFormatting sqref="BF230 BF233">
    <cfRule type="containsBlanks" dxfId="355" priority="35">
      <formula>LEN(TRIM(BF230))=0</formula>
    </cfRule>
  </conditionalFormatting>
  <conditionalFormatting sqref="BC248:BC2000 BC233 BC231 BC217:BC229 BC215 BC189:BC213 BC187 BC7:BC51 BC5 BC53:BC185">
    <cfRule type="containsText" dxfId="354" priority="29" operator="containsText" text="a">
      <formula>NOT(ISERROR(SEARCH("a",BC5)))</formula>
    </cfRule>
    <cfRule type="containsText" dxfId="353" priority="30" operator="containsText" text="R">
      <formula>NOT(ISERROR(SEARCH("R",BC5)))</formula>
    </cfRule>
  </conditionalFormatting>
  <conditionalFormatting sqref="BA5:BA233">
    <cfRule type="expression" dxfId="352" priority="28">
      <formula>$BC5="R"</formula>
    </cfRule>
  </conditionalFormatting>
  <conditionalFormatting sqref="B4:BA4 BC4:BG4">
    <cfRule type="expression" dxfId="351" priority="26">
      <formula>$M4="NON DEFINED"</formula>
    </cfRule>
    <cfRule type="expression" dxfId="350" priority="27">
      <formula>$AY4="N.D."</formula>
    </cfRule>
  </conditionalFormatting>
  <conditionalFormatting sqref="BA4">
    <cfRule type="expression" dxfId="349" priority="25">
      <formula>$BC4="R"</formula>
    </cfRule>
  </conditionalFormatting>
  <conditionalFormatting sqref="A4:BG4">
    <cfRule type="cellIs" dxfId="348" priority="24" operator="equal">
      <formula>0</formula>
    </cfRule>
  </conditionalFormatting>
  <conditionalFormatting sqref="BA234:BA247">
    <cfRule type="expression" dxfId="347" priority="23">
      <formula>$BC234="R"</formula>
    </cfRule>
  </conditionalFormatting>
  <conditionalFormatting sqref="B234:BA247 BC234:BG247">
    <cfRule type="expression" dxfId="346" priority="21">
      <formula>$M234="NON DEFINED"</formula>
    </cfRule>
    <cfRule type="expression" dxfId="345" priority="22">
      <formula>$AY234="N.D."</formula>
    </cfRule>
  </conditionalFormatting>
  <conditionalFormatting sqref="A234:BG247">
    <cfRule type="cellIs" dxfId="344" priority="20" operator="equal">
      <formula>0</formula>
    </cfRule>
  </conditionalFormatting>
  <conditionalFormatting sqref="BE52">
    <cfRule type="containsBlanks" dxfId="343" priority="19">
      <formula>LEN(TRIM(BE52))=0</formula>
    </cfRule>
  </conditionalFormatting>
  <conditionalFormatting sqref="BE190 BE192 BE194 BE196 BE198 BE200 BE202 BE204 BE206 BE208 BE210 BE212 BE214 BE216 BE218 BE220 BE222 BE224 BE226 BE228 BE230">
    <cfRule type="containsBlanks" dxfId="342" priority="18">
      <formula>LEN(TRIM(BE190))=0</formula>
    </cfRule>
  </conditionalFormatting>
  <conditionalFormatting sqref="BE232">
    <cfRule type="containsBlanks" dxfId="341" priority="17">
      <formula>LEN(TRIM(BE232))=0</formula>
    </cfRule>
  </conditionalFormatting>
  <conditionalFormatting sqref="AN4:AN247">
    <cfRule type="cellIs" dxfId="340" priority="16" operator="notEqual">
      <formula>5.5</formula>
    </cfRule>
  </conditionalFormatting>
  <conditionalFormatting sqref="BG6">
    <cfRule type="containsBlanks" dxfId="339" priority="15">
      <formula>LEN(TRIM(BG6))=0</formula>
    </cfRule>
  </conditionalFormatting>
  <conditionalFormatting sqref="BE174">
    <cfRule type="containsBlanks" dxfId="338" priority="14">
      <formula>LEN(TRIM(BE174))=0</formula>
    </cfRule>
  </conditionalFormatting>
  <conditionalFormatting sqref="BG8">
    <cfRule type="containsBlanks" dxfId="337" priority="13">
      <formula>LEN(TRIM(BG8))=0</formula>
    </cfRule>
  </conditionalFormatting>
  <conditionalFormatting sqref="BG10">
    <cfRule type="containsBlanks" dxfId="336" priority="12">
      <formula>LEN(TRIM(BG10))=0</formula>
    </cfRule>
  </conditionalFormatting>
  <conditionalFormatting sqref="BG12 BG14 BG16 BG18 BG20 BG22 BG24">
    <cfRule type="containsBlanks" dxfId="335" priority="11">
      <formula>LEN(TRIM(BG12))=0</formula>
    </cfRule>
  </conditionalFormatting>
  <conditionalFormatting sqref="BE120">
    <cfRule type="containsBlanks" dxfId="334" priority="10">
      <formula>LEN(TRIM(BE120))=0</formula>
    </cfRule>
  </conditionalFormatting>
  <conditionalFormatting sqref="BE124 BE126">
    <cfRule type="containsBlanks" dxfId="333" priority="9">
      <formula>LEN(TRIM(BE124))=0</formula>
    </cfRule>
  </conditionalFormatting>
  <conditionalFormatting sqref="BE8 BE10 BE12 BE14 BE16 BE18">
    <cfRule type="containsBlanks" dxfId="332" priority="8">
      <formula>LEN(TRIM(BE8))=0</formula>
    </cfRule>
  </conditionalFormatting>
  <conditionalFormatting sqref="BG42 BG44">
    <cfRule type="containsBlanks" dxfId="331" priority="7">
      <formula>LEN(TRIM(BG42))=0</formula>
    </cfRule>
  </conditionalFormatting>
  <conditionalFormatting sqref="BG126 BG128 BG130">
    <cfRule type="containsBlanks" dxfId="330" priority="6">
      <formula>LEN(TRIM(BG126))=0</formula>
    </cfRule>
  </conditionalFormatting>
  <conditionalFormatting sqref="BG28 BG30 BG32 BG34 BG36 BG38">
    <cfRule type="containsBlanks" dxfId="329" priority="2">
      <formula>LEN(TRIM(BG28))=0</formula>
    </cfRule>
  </conditionalFormatting>
  <conditionalFormatting sqref="BG116">
    <cfRule type="containsBlanks" dxfId="328" priority="1">
      <formula>LEN(TRIM(BG116))=0</formula>
    </cfRule>
  </conditionalFormatting>
  <printOptions horizontalCentered="1" gridLines="1"/>
  <pageMargins left="0.39370078740157483" right="0.39370078740157483" top="0.78740157480314965" bottom="0.78740157480314965" header="0.31496062992125984" footer="0.31496062992125984"/>
  <pageSetup paperSize="8" scale="76" fitToHeight="0" orientation="landscape" cellComments="asDisplayed" r:id="rId1"/>
  <headerFooter alignWithMargins="0">
    <oddHeader>&amp;L&amp;G&amp;C
LAYOUT AND EQUIPMENT
EP06 TRACK 2 TSA-THA
KP93+478 - 97+400
&amp;R&amp;G</oddHeader>
    <oddFooter>&amp;L&amp;G
&amp;F&amp;C&amp;D&amp;RPag &amp;P of &amp;N</oddFooter>
  </headerFooter>
  <legacyDrawingHF r:id="rId2"/>
  <extLst>
    <ext xmlns:x14="http://schemas.microsoft.com/office/spreadsheetml/2009/9/main" uri="{78C0D931-6437-407d-A8EE-F0AAD7539E65}">
      <x14:conditionalFormattings>
        <x14:conditionalFormatting xmlns:xm="http://schemas.microsoft.com/office/excel/2006/main">
          <x14:cfRule type="containsText" priority="34" operator="containsText" id="{AF2BAFFD-0454-4FEF-99E9-96780D92F192}">
            <xm:f>NOT(ISERROR(SEARCH("-",BF230)))</xm:f>
            <xm:f>"-"</xm:f>
            <x14:dxf>
              <font>
                <color theme="0" tint="-0.14996795556505021"/>
              </font>
              <fill>
                <patternFill>
                  <bgColor theme="0" tint="-0.14996795556505021"/>
                </patternFill>
              </fill>
            </x14:dxf>
          </x14:cfRule>
          <xm:sqref>BF230 BF233</xm:sqref>
        </x14:conditionalFormatting>
        <x14:conditionalFormatting xmlns:xm="http://schemas.microsoft.com/office/excel/2006/main">
          <x14:cfRule type="containsText" priority="33" operator="containsText" id="{360299EC-427C-4E2F-A97B-8264721BB88C}">
            <xm:f>NOT(ISERROR(SEARCH("-",BF230)))</xm:f>
            <xm:f>"-"</xm:f>
            <x14:dxf>
              <font>
                <color theme="0" tint="-0.14996795556505021"/>
              </font>
              <fill>
                <patternFill>
                  <bgColor theme="0" tint="-0.14996795556505021"/>
                </patternFill>
              </fill>
            </x14:dxf>
          </x14:cfRule>
          <xm:sqref>BF230 BF233</xm:sqref>
        </x14:conditionalFormatting>
      </x14:conditionalFormatting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5">
    <tabColor theme="6" tint="-0.499984740745262"/>
    <pageSetUpPr fitToPage="1"/>
  </sheetPr>
  <dimension ref="A1:BG2165"/>
  <sheetViews>
    <sheetView view="pageBreakPreview" zoomScale="80" zoomScaleNormal="90" zoomScaleSheetLayoutView="80" workbookViewId="0">
      <pane xSplit="2" ySplit="2" topLeftCell="C3" activePane="bottomRight" state="frozen"/>
      <selection activeCell="G124" sqref="G124"/>
      <selection pane="topRight" activeCell="G124" sqref="G124"/>
      <selection pane="bottomLeft" activeCell="G124" sqref="G124"/>
      <selection pane="bottomRight" activeCell="G124" sqref="G124"/>
    </sheetView>
  </sheetViews>
  <sheetFormatPr baseColWidth="10" defaultColWidth="11.453125" defaultRowHeight="15.75" customHeight="1"/>
  <cols>
    <col min="1" max="1" width="20.6328125" style="178" customWidth="1"/>
    <col min="2" max="2" width="12.6328125" style="178" customWidth="1"/>
    <col min="3" max="3" width="12.6328125" style="184" customWidth="1"/>
    <col min="4" max="4" width="12.6328125" style="184" hidden="1" customWidth="1"/>
    <col min="5" max="5" width="12.6328125" style="178" hidden="1" customWidth="1"/>
    <col min="6" max="6" width="12.6328125" style="178" customWidth="1"/>
    <col min="7" max="7" width="12.6328125" style="454" customWidth="1"/>
    <col min="8" max="8" width="18.6328125" style="178" customWidth="1"/>
    <col min="9" max="9" width="12.6328125" style="178" customWidth="1"/>
    <col min="10" max="10" width="12.6328125" style="184" customWidth="1"/>
    <col min="11" max="11" width="12.6328125" style="178" customWidth="1"/>
    <col min="12" max="13" width="14.6328125" style="178" customWidth="1"/>
    <col min="14" max="16" width="8.6328125" style="178" hidden="1" customWidth="1"/>
    <col min="17" max="18" width="12.6328125" style="179" hidden="1" customWidth="1"/>
    <col min="19" max="19" width="12.6328125" style="178" hidden="1" customWidth="1"/>
    <col min="20" max="28" width="8.6328125" style="178" hidden="1" customWidth="1"/>
    <col min="29" max="31" width="10.6328125" style="178" hidden="1" customWidth="1"/>
    <col min="32" max="32" width="13.54296875" style="179" hidden="1" customWidth="1"/>
    <col min="33" max="33" width="12.6328125" style="184" hidden="1" customWidth="1"/>
    <col min="34" max="35" width="12.6328125" style="179" hidden="1" customWidth="1"/>
    <col min="36" max="36" width="12.6328125" style="178" hidden="1" customWidth="1"/>
    <col min="37" max="38" width="12.6328125" style="178" customWidth="1"/>
    <col min="39" max="39" width="12.6328125" style="178" hidden="1" customWidth="1"/>
    <col min="40" max="42" width="8.6328125" style="169" hidden="1" customWidth="1"/>
    <col min="43" max="43" width="8.6328125" style="458" hidden="1" customWidth="1"/>
    <col min="44" max="45" width="8.6328125" style="169" hidden="1" customWidth="1"/>
    <col min="46" max="46" width="8.6328125" style="458" hidden="1" customWidth="1"/>
    <col min="47" max="48" width="8.6328125" style="169" hidden="1" customWidth="1"/>
    <col min="49" max="50" width="12.6328125" style="169" customWidth="1"/>
    <col min="51" max="52" width="12.6328125" style="458" customWidth="1"/>
    <col min="53" max="53" width="12.6328125" style="169" customWidth="1"/>
    <col min="54" max="54" width="21.6328125" style="178" customWidth="1"/>
    <col min="55" max="55" width="18" style="178" customWidth="1"/>
    <col min="56" max="59" width="14.54296875" style="1323" customWidth="1"/>
    <col min="60" max="60" width="11.453125" style="178" customWidth="1"/>
    <col min="61" max="16384" width="11.453125" style="178"/>
  </cols>
  <sheetData>
    <row r="1" spans="1:59" ht="36" customHeight="1">
      <c r="A1" s="1621" t="s">
        <v>2433</v>
      </c>
      <c r="B1" s="1621"/>
      <c r="C1" s="1621"/>
      <c r="D1" s="1621"/>
      <c r="E1" s="1621"/>
      <c r="F1" s="1621"/>
      <c r="G1" s="1621"/>
      <c r="H1" s="1621"/>
      <c r="I1" s="1621"/>
      <c r="J1" s="1621"/>
      <c r="K1" s="1621"/>
      <c r="L1" s="1621"/>
      <c r="M1" s="1621"/>
      <c r="N1" s="1621"/>
      <c r="O1" s="1621"/>
      <c r="P1" s="1621"/>
      <c r="Q1" s="1621"/>
      <c r="R1" s="1621"/>
      <c r="S1" s="1621"/>
      <c r="T1" s="1621"/>
      <c r="U1" s="1621"/>
      <c r="V1" s="1621"/>
      <c r="W1" s="1621"/>
      <c r="X1" s="1621"/>
      <c r="Y1" s="1621"/>
      <c r="Z1" s="1621"/>
      <c r="AA1" s="1621"/>
      <c r="AB1" s="1621"/>
      <c r="AC1" s="1621"/>
      <c r="AD1" s="1621"/>
      <c r="AE1" s="1621"/>
      <c r="AF1" s="1621"/>
      <c r="AG1" s="1621"/>
      <c r="AH1" s="1621"/>
      <c r="AI1" s="1621"/>
      <c r="AJ1" s="1621"/>
      <c r="AK1" s="1621"/>
      <c r="AL1" s="1621"/>
      <c r="AM1" s="1621"/>
      <c r="AN1" s="1621"/>
      <c r="AO1" s="1621"/>
      <c r="AP1" s="1621"/>
      <c r="AQ1" s="1621"/>
      <c r="AR1" s="1621"/>
      <c r="AS1" s="1621"/>
      <c r="AT1" s="1621"/>
      <c r="AU1" s="1621"/>
      <c r="AV1" s="1621"/>
      <c r="AW1" s="1621"/>
      <c r="AX1" s="1621"/>
      <c r="AY1" s="1621"/>
      <c r="AZ1" s="1621"/>
      <c r="BA1" s="1621"/>
      <c r="BB1" s="1621"/>
      <c r="BC1" s="693" t="s">
        <v>4947</v>
      </c>
      <c r="BD1" s="1599" t="s">
        <v>4916</v>
      </c>
      <c r="BE1" s="1599"/>
      <c r="BF1" s="1599"/>
      <c r="BG1" s="1599"/>
    </row>
    <row r="2" spans="1:59" s="699" customFormat="1" ht="41.25" customHeight="1">
      <c r="A2" s="1263" t="s">
        <v>4417</v>
      </c>
      <c r="B2" s="1263" t="s">
        <v>4418</v>
      </c>
      <c r="C2" s="975" t="s">
        <v>2315</v>
      </c>
      <c r="D2" s="975" t="s">
        <v>4419</v>
      </c>
      <c r="E2" s="1263" t="s">
        <v>4855</v>
      </c>
      <c r="F2" s="1263" t="s">
        <v>4856</v>
      </c>
      <c r="G2" s="976" t="s">
        <v>4857</v>
      </c>
      <c r="H2" s="1263" t="s">
        <v>455</v>
      </c>
      <c r="I2" s="1263" t="s">
        <v>454</v>
      </c>
      <c r="J2" s="1263" t="s">
        <v>4423</v>
      </c>
      <c r="K2" s="1263" t="s">
        <v>1362</v>
      </c>
      <c r="L2" s="1263" t="s">
        <v>456</v>
      </c>
      <c r="M2" s="1263" t="s">
        <v>453</v>
      </c>
      <c r="N2" s="1623" t="s">
        <v>457</v>
      </c>
      <c r="O2" s="1623"/>
      <c r="P2" s="1623"/>
      <c r="Q2" s="977" t="s">
        <v>4858</v>
      </c>
      <c r="R2" s="977" t="s">
        <v>4859</v>
      </c>
      <c r="S2" s="1263" t="s">
        <v>4860</v>
      </c>
      <c r="T2" s="1623" t="s">
        <v>4861</v>
      </c>
      <c r="U2" s="1623"/>
      <c r="V2" s="1623"/>
      <c r="W2" s="1623" t="s">
        <v>4862</v>
      </c>
      <c r="X2" s="1623"/>
      <c r="Y2" s="1623"/>
      <c r="Z2" s="1623" t="s">
        <v>4863</v>
      </c>
      <c r="AA2" s="1623"/>
      <c r="AB2" s="1623"/>
      <c r="AC2" s="1623" t="s">
        <v>628</v>
      </c>
      <c r="AD2" s="1623"/>
      <c r="AE2" s="1623"/>
      <c r="AF2" s="977" t="s">
        <v>4872</v>
      </c>
      <c r="AG2" s="975" t="s">
        <v>4864</v>
      </c>
      <c r="AH2" s="977" t="s">
        <v>4865</v>
      </c>
      <c r="AI2" s="977" t="s">
        <v>4866</v>
      </c>
      <c r="AJ2" s="1263" t="s">
        <v>629</v>
      </c>
      <c r="AK2" s="1263" t="s">
        <v>458</v>
      </c>
      <c r="AL2" s="1263" t="s">
        <v>459</v>
      </c>
      <c r="AM2" s="1263" t="s">
        <v>631</v>
      </c>
      <c r="AN2" s="1623" t="s">
        <v>4867</v>
      </c>
      <c r="AO2" s="1623"/>
      <c r="AP2" s="1623"/>
      <c r="AQ2" s="1623" t="s">
        <v>460</v>
      </c>
      <c r="AR2" s="1623"/>
      <c r="AS2" s="1623"/>
      <c r="AT2" s="1623" t="s">
        <v>630</v>
      </c>
      <c r="AU2" s="1623"/>
      <c r="AV2" s="1623"/>
      <c r="AW2" s="1263" t="s">
        <v>4868</v>
      </c>
      <c r="AX2" s="1263" t="s">
        <v>4904</v>
      </c>
      <c r="AY2" s="976" t="s">
        <v>4869</v>
      </c>
      <c r="AZ2" s="976" t="s">
        <v>4870</v>
      </c>
      <c r="BA2" s="1263" t="s">
        <v>1670</v>
      </c>
      <c r="BB2" s="1263" t="s">
        <v>4871</v>
      </c>
      <c r="BC2" s="693" t="s">
        <v>4948</v>
      </c>
      <c r="BD2" s="1320" t="s">
        <v>453</v>
      </c>
      <c r="BE2" s="1320" t="s">
        <v>4922</v>
      </c>
      <c r="BF2" s="1320" t="s">
        <v>4915</v>
      </c>
      <c r="BG2" s="1320" t="s">
        <v>457</v>
      </c>
    </row>
    <row r="3" spans="1:59" ht="15.75" customHeight="1">
      <c r="A3" s="1239"/>
      <c r="B3" s="1239"/>
      <c r="C3" s="171"/>
      <c r="D3" s="171"/>
      <c r="E3" s="1239"/>
      <c r="F3" s="172"/>
      <c r="G3" s="455"/>
      <c r="H3" s="1239"/>
      <c r="I3" s="1239"/>
      <c r="J3" s="171"/>
      <c r="K3" s="638"/>
      <c r="L3" s="1239"/>
      <c r="M3" s="1239"/>
      <c r="N3" s="978" t="s">
        <v>123</v>
      </c>
      <c r="O3" s="978" t="s">
        <v>124</v>
      </c>
      <c r="P3" s="978" t="s">
        <v>125</v>
      </c>
      <c r="Q3" s="448"/>
      <c r="R3" s="448"/>
      <c r="S3" s="1239"/>
      <c r="T3" s="978" t="s">
        <v>126</v>
      </c>
      <c r="U3" s="978" t="s">
        <v>127</v>
      </c>
      <c r="V3" s="978" t="s">
        <v>128</v>
      </c>
      <c r="W3" s="978" t="s">
        <v>129</v>
      </c>
      <c r="X3" s="978" t="s">
        <v>130</v>
      </c>
      <c r="Y3" s="978" t="s">
        <v>131</v>
      </c>
      <c r="Z3" s="978" t="s">
        <v>132</v>
      </c>
      <c r="AA3" s="978" t="s">
        <v>133</v>
      </c>
      <c r="AB3" s="978" t="s">
        <v>134</v>
      </c>
      <c r="AC3" s="978" t="s">
        <v>135</v>
      </c>
      <c r="AD3" s="978" t="s">
        <v>136</v>
      </c>
      <c r="AE3" s="978" t="s">
        <v>137</v>
      </c>
      <c r="AF3" s="448"/>
      <c r="AG3" s="171"/>
      <c r="AH3" s="448"/>
      <c r="AI3" s="448"/>
      <c r="AJ3" s="1239"/>
      <c r="AK3" s="1239"/>
      <c r="AL3" s="1239"/>
      <c r="AM3" s="1239"/>
      <c r="AN3" s="1337" t="s">
        <v>129</v>
      </c>
      <c r="AO3" s="978" t="s">
        <v>130</v>
      </c>
      <c r="AP3" s="978" t="s">
        <v>131</v>
      </c>
      <c r="AQ3" s="979" t="s">
        <v>613</v>
      </c>
      <c r="AR3" s="978" t="s">
        <v>614</v>
      </c>
      <c r="AS3" s="978" t="s">
        <v>615</v>
      </c>
      <c r="AT3" s="979" t="s">
        <v>616</v>
      </c>
      <c r="AU3" s="978" t="s">
        <v>617</v>
      </c>
      <c r="AV3" s="978" t="s">
        <v>618</v>
      </c>
      <c r="AW3" s="1239"/>
      <c r="AX3" s="1239"/>
      <c r="AY3" s="455"/>
      <c r="AZ3" s="455"/>
      <c r="BA3" s="1239"/>
      <c r="BB3" s="1239"/>
      <c r="BD3" s="1239"/>
      <c r="BE3" s="1239"/>
      <c r="BF3" s="1239"/>
      <c r="BG3" s="1239"/>
    </row>
    <row r="4" spans="1:59" ht="15.75" customHeight="1">
      <c r="A4" s="501"/>
      <c r="B4" s="716" t="str">
        <f>'HR Track 6 TSA'!B49</f>
        <v>93-6.11</v>
      </c>
      <c r="C4" s="451">
        <f>'HR Track 6 TSA'!C49</f>
        <v>93451.35</v>
      </c>
      <c r="D4" s="453"/>
      <c r="E4" s="452"/>
      <c r="F4" s="453"/>
      <c r="G4" s="500"/>
      <c r="H4" s="453" t="str">
        <f>'HR Track 6 TSA'!H49</f>
        <v>S/A</v>
      </c>
      <c r="I4" s="501" t="str">
        <f>'HR Track 6 TSA'!I49</f>
        <v>AnRW AnRW</v>
      </c>
      <c r="J4" s="583"/>
      <c r="K4" s="452"/>
      <c r="L4" s="452" t="str">
        <f>'HR Track 6 TSA'!L49</f>
        <v>HEB-280L</v>
      </c>
      <c r="M4" s="452" t="str">
        <f>'HR Track 6 TSA'!M49</f>
        <v>Unique Solution</v>
      </c>
      <c r="N4" s="501" t="str">
        <f>'HR Track 6 TSA'!N49</f>
        <v>EMT-2</v>
      </c>
      <c r="O4" s="501" t="str">
        <f>'HR Track 6 TSA'!O49</f>
        <v>EMT-T</v>
      </c>
      <c r="P4" s="501"/>
      <c r="Q4" s="452"/>
      <c r="R4" s="452"/>
      <c r="S4" s="500"/>
      <c r="T4" s="452">
        <f>'HR Track 6 TSA'!T49</f>
        <v>30</v>
      </c>
      <c r="U4" s="452">
        <f>'HR Track 6 TSA'!U49</f>
        <v>15</v>
      </c>
      <c r="V4" s="452"/>
      <c r="W4" s="452">
        <f>'HR Track 6 TSA'!W49</f>
        <v>0.65</v>
      </c>
      <c r="X4" s="452">
        <f>'HR Track 6 TSA'!X49</f>
        <v>0.65</v>
      </c>
      <c r="Y4" s="452"/>
      <c r="Z4" s="452"/>
      <c r="AA4" s="452">
        <f>'HR Track 6 TSA'!AA49</f>
        <v>0.65</v>
      </c>
      <c r="AB4" s="452"/>
      <c r="AC4" s="452" t="str">
        <f>'HR Track 6 TSA'!AC49</f>
        <v>PHQ-950</v>
      </c>
      <c r="AD4" s="452"/>
      <c r="AE4" s="452"/>
      <c r="AF4" s="452"/>
      <c r="AG4" s="451"/>
      <c r="AH4" s="452"/>
      <c r="AI4" s="452"/>
      <c r="AJ4" s="452"/>
      <c r="AK4" s="452"/>
      <c r="AL4" s="452" t="str">
        <f>'HR Track 6 TSA'!AL49</f>
        <v>PR1B</v>
      </c>
      <c r="AM4" s="452" t="str">
        <f>'HR Track 6 TSA'!AM49</f>
        <v>RW2</v>
      </c>
      <c r="AN4" s="500">
        <f>'HR Track 6 TSA'!AN49</f>
        <v>5.15</v>
      </c>
      <c r="AO4" s="452"/>
      <c r="AP4" s="452"/>
      <c r="AQ4" s="452"/>
      <c r="AR4" s="452"/>
      <c r="AS4" s="452"/>
      <c r="AT4" s="452">
        <f>'HR Track 6 TSA'!AT49</f>
        <v>12.799433438546533</v>
      </c>
      <c r="AU4" s="452"/>
      <c r="AV4" s="452"/>
      <c r="AW4" s="452" t="str">
        <f>'HR Track 6 TSA'!AW49</f>
        <v>DW6928</v>
      </c>
      <c r="AX4" s="452"/>
      <c r="AY4" s="500" t="str">
        <f>'HR Track 6 TSA'!AY49</f>
        <v/>
      </c>
      <c r="AZ4" s="500" t="str">
        <f>'HR Track 6 TSA'!AZ49</f>
        <v/>
      </c>
      <c r="BA4" s="1333" t="s">
        <v>2809</v>
      </c>
      <c r="BB4" s="452" t="str">
        <f>'HR Track 6 TSA'!BB49</f>
        <v>App.8-V08F-P10.3</v>
      </c>
      <c r="BC4" s="1334"/>
      <c r="BD4" s="1335"/>
      <c r="BE4" s="1335"/>
      <c r="BF4" s="1335"/>
      <c r="BG4" s="1335"/>
    </row>
    <row r="5" spans="1:59" ht="15.75" customHeight="1">
      <c r="A5" s="488"/>
      <c r="B5" s="494"/>
      <c r="C5" s="489"/>
      <c r="D5" s="489"/>
      <c r="E5" s="490"/>
      <c r="F5" s="491"/>
      <c r="G5" s="493">
        <v>40.700000000000003</v>
      </c>
      <c r="H5" s="495"/>
      <c r="I5" s="492"/>
      <c r="J5" s="498">
        <f>'HR Track 6 TSA'!J50</f>
        <v>93458.85</v>
      </c>
      <c r="K5" s="499" t="str">
        <f>'HR Track 6 TSA'!K50</f>
        <v>AnM/W</v>
      </c>
      <c r="L5" s="490"/>
      <c r="M5" s="490"/>
      <c r="N5" s="495"/>
      <c r="O5" s="495"/>
      <c r="P5" s="495"/>
      <c r="Q5" s="491"/>
      <c r="R5" s="491"/>
      <c r="S5" s="790">
        <f>+AG6-AG4</f>
        <v>93493.57</v>
      </c>
      <c r="T5" s="490"/>
      <c r="U5" s="490"/>
      <c r="V5" s="490"/>
      <c r="W5" s="490"/>
      <c r="X5" s="490"/>
      <c r="Y5" s="490"/>
      <c r="Z5" s="490"/>
      <c r="AA5" s="490"/>
      <c r="AB5" s="490"/>
      <c r="AC5" s="490"/>
      <c r="AD5" s="490"/>
      <c r="AE5" s="490"/>
      <c r="AF5" s="491"/>
      <c r="AG5" s="489"/>
      <c r="AH5" s="491"/>
      <c r="AI5" s="491"/>
      <c r="AJ5" s="490"/>
      <c r="AK5" s="490"/>
      <c r="AL5" s="490"/>
      <c r="AM5" s="490"/>
      <c r="AN5" s="493"/>
      <c r="AO5" s="493"/>
      <c r="AP5" s="493"/>
      <c r="AQ5" s="493">
        <f>+FL_1($T$6,$T$4,$G$5,1200,9.28,-1*$F$6)</f>
        <v>0.45413795290359743</v>
      </c>
      <c r="AR5" s="493"/>
      <c r="AS5" s="493"/>
      <c r="AT5" s="493"/>
      <c r="AU5" s="493"/>
      <c r="AV5" s="493"/>
      <c r="AW5" s="499" t="str">
        <f>'HR Track 6 TSA'!AW50</f>
        <v>DW6999</v>
      </c>
      <c r="AX5" s="490"/>
      <c r="AY5" s="493"/>
      <c r="AZ5" s="493"/>
      <c r="BA5" s="602" t="s">
        <v>2809</v>
      </c>
      <c r="BB5" s="488"/>
      <c r="BC5" s="169"/>
      <c r="BD5" s="1330"/>
      <c r="BE5" s="1330"/>
      <c r="BF5" s="1330"/>
      <c r="BG5" s="1330"/>
    </row>
    <row r="6" spans="1:59" ht="25">
      <c r="A6" s="488" t="s">
        <v>1851</v>
      </c>
      <c r="B6" s="438" t="s">
        <v>2040</v>
      </c>
      <c r="C6" s="489">
        <f>+$C$4+$G$5</f>
        <v>93492.05</v>
      </c>
      <c r="D6" s="489"/>
      <c r="E6" s="490"/>
      <c r="F6" s="491">
        <v>872.26</v>
      </c>
      <c r="G6" s="493"/>
      <c r="H6" s="495" t="s">
        <v>890</v>
      </c>
      <c r="I6" s="492" t="s">
        <v>4231</v>
      </c>
      <c r="J6" s="489">
        <f>C6+7.5</f>
        <v>93499.55</v>
      </c>
      <c r="K6" s="490" t="s">
        <v>1684</v>
      </c>
      <c r="L6" s="490" t="s">
        <v>899</v>
      </c>
      <c r="M6" s="490" t="s">
        <v>2811</v>
      </c>
      <c r="N6" s="495" t="s">
        <v>2796</v>
      </c>
      <c r="O6" s="495"/>
      <c r="P6" s="495"/>
      <c r="Q6" s="491">
        <v>30</v>
      </c>
      <c r="R6" s="781">
        <v>885.34</v>
      </c>
      <c r="S6" s="790"/>
      <c r="T6" s="490">
        <v>-30</v>
      </c>
      <c r="U6" s="490"/>
      <c r="V6" s="490"/>
      <c r="W6" s="490">
        <v>0.4</v>
      </c>
      <c r="X6" s="490"/>
      <c r="Y6" s="490"/>
      <c r="Z6" s="490"/>
      <c r="AA6" s="490"/>
      <c r="AB6" s="490"/>
      <c r="AC6" s="490" t="s">
        <v>1419</v>
      </c>
      <c r="AD6" s="490"/>
      <c r="AE6" s="490"/>
      <c r="AF6" s="491">
        <v>4300</v>
      </c>
      <c r="AG6" s="489">
        <v>93493.57</v>
      </c>
      <c r="AH6" s="491">
        <v>2363</v>
      </c>
      <c r="AI6" s="491">
        <v>-590</v>
      </c>
      <c r="AJ6" s="490"/>
      <c r="AK6" s="490"/>
      <c r="AL6" s="490"/>
      <c r="AM6" s="490" t="s">
        <v>1043</v>
      </c>
      <c r="AN6" s="493">
        <v>5.15</v>
      </c>
      <c r="AO6" s="493"/>
      <c r="AP6" s="493"/>
      <c r="AQ6" s="493"/>
      <c r="AR6" s="493"/>
      <c r="AS6" s="493"/>
      <c r="AT6" s="493">
        <f>+ab($T$6,$T$4,$T$8,$G$5,$G$7,-1*$F$6,1200)</f>
        <v>-3.1075942550828484</v>
      </c>
      <c r="AU6" s="493"/>
      <c r="AV6" s="493"/>
      <c r="AW6" s="669" t="s">
        <v>4924</v>
      </c>
      <c r="AX6" s="490"/>
      <c r="AY6" s="493"/>
      <c r="AZ6" s="493"/>
      <c r="BA6" s="602" t="s">
        <v>2809</v>
      </c>
      <c r="BB6" s="488" t="str">
        <f>Pole_Calculations!A20</f>
        <v>App.7-V11A-P9.5.1.6</v>
      </c>
      <c r="BC6" s="169"/>
      <c r="BD6" s="1329">
        <v>43809</v>
      </c>
      <c r="BE6" s="1329">
        <v>43814</v>
      </c>
      <c r="BF6" s="1330"/>
      <c r="BG6" s="1329">
        <v>43838</v>
      </c>
    </row>
    <row r="7" spans="1:59" ht="15.75" customHeight="1">
      <c r="A7" s="488"/>
      <c r="B7" s="494"/>
      <c r="C7" s="489"/>
      <c r="D7" s="489"/>
      <c r="E7" s="490"/>
      <c r="F7" s="491"/>
      <c r="G7" s="493">
        <v>41.2</v>
      </c>
      <c r="H7" s="495"/>
      <c r="I7" s="492"/>
      <c r="J7" s="489">
        <f>C8-7.5</f>
        <v>93525.75</v>
      </c>
      <c r="K7" s="490" t="s">
        <v>1684</v>
      </c>
      <c r="L7" s="490"/>
      <c r="M7" s="490"/>
      <c r="N7" s="495"/>
      <c r="O7" s="495"/>
      <c r="P7" s="495"/>
      <c r="Q7" s="491"/>
      <c r="R7" s="491"/>
      <c r="S7" s="790">
        <f>+AG8-AG6</f>
        <v>39.599999999991269</v>
      </c>
      <c r="T7" s="490"/>
      <c r="U7" s="490"/>
      <c r="V7" s="490"/>
      <c r="W7" s="490"/>
      <c r="X7" s="490"/>
      <c r="Y7" s="490"/>
      <c r="Z7" s="490"/>
      <c r="AA7" s="490"/>
      <c r="AB7" s="490"/>
      <c r="AC7" s="490"/>
      <c r="AD7" s="490"/>
      <c r="AE7" s="490"/>
      <c r="AF7" s="491"/>
      <c r="AG7" s="489"/>
      <c r="AH7" s="491"/>
      <c r="AI7" s="491"/>
      <c r="AJ7" s="490"/>
      <c r="AK7" s="490"/>
      <c r="AL7" s="490"/>
      <c r="AM7" s="490"/>
      <c r="AN7" s="493"/>
      <c r="AO7" s="493"/>
      <c r="AP7" s="493"/>
      <c r="AQ7" s="493">
        <f>+FL_2($T$8,$T$6,$G$7,1200,9.28,-1*$F$8)</f>
        <v>-0.3</v>
      </c>
      <c r="AR7" s="493"/>
      <c r="AS7" s="493"/>
      <c r="AT7" s="493"/>
      <c r="AU7" s="493"/>
      <c r="AV7" s="493"/>
      <c r="AW7" s="490" t="s">
        <v>2846</v>
      </c>
      <c r="AX7" s="490"/>
      <c r="AY7" s="493"/>
      <c r="AZ7" s="493"/>
      <c r="BA7" s="602" t="s">
        <v>2809</v>
      </c>
      <c r="BB7" s="488"/>
      <c r="BC7" s="169"/>
      <c r="BD7" s="1329" t="s">
        <v>4946</v>
      </c>
      <c r="BE7" s="1330"/>
      <c r="BF7" s="1330"/>
      <c r="BG7" s="1330"/>
    </row>
    <row r="8" spans="1:59" ht="15.75" customHeight="1">
      <c r="A8" s="449"/>
      <c r="B8" s="438" t="s">
        <v>2041</v>
      </c>
      <c r="C8" s="446">
        <f>+$C$6+$G$7</f>
        <v>93533.25</v>
      </c>
      <c r="D8" s="446"/>
      <c r="E8" s="638"/>
      <c r="F8" s="447">
        <v>622</v>
      </c>
      <c r="G8" s="484"/>
      <c r="H8" s="1239" t="s">
        <v>138</v>
      </c>
      <c r="I8" s="448" t="s">
        <v>4231</v>
      </c>
      <c r="J8" s="446"/>
      <c r="K8" s="638"/>
      <c r="L8" s="638" t="s">
        <v>819</v>
      </c>
      <c r="M8" s="638" t="s">
        <v>2811</v>
      </c>
      <c r="N8" s="1239" t="s">
        <v>2796</v>
      </c>
      <c r="O8" s="1239"/>
      <c r="P8" s="1239"/>
      <c r="Q8" s="447">
        <v>30</v>
      </c>
      <c r="R8" s="702">
        <v>631.33000000000004</v>
      </c>
      <c r="S8" s="1343"/>
      <c r="T8" s="638">
        <v>-30</v>
      </c>
      <c r="U8" s="638"/>
      <c r="V8" s="638"/>
      <c r="W8" s="638">
        <v>0.6</v>
      </c>
      <c r="X8" s="638"/>
      <c r="Y8" s="638"/>
      <c r="Z8" s="638"/>
      <c r="AA8" s="638"/>
      <c r="AB8" s="638"/>
      <c r="AC8" s="638" t="s">
        <v>3050</v>
      </c>
      <c r="AD8" s="638"/>
      <c r="AE8" s="638"/>
      <c r="AF8" s="447">
        <v>5000</v>
      </c>
      <c r="AG8" s="446">
        <v>93533.17</v>
      </c>
      <c r="AH8" s="447">
        <v>2083</v>
      </c>
      <c r="AI8" s="447">
        <v>-700</v>
      </c>
      <c r="AJ8" s="638"/>
      <c r="AK8" s="638"/>
      <c r="AL8" s="638" t="s">
        <v>2127</v>
      </c>
      <c r="AM8" s="638" t="s">
        <v>1043</v>
      </c>
      <c r="AN8" s="484">
        <v>5.15</v>
      </c>
      <c r="AO8" s="484"/>
      <c r="AP8" s="484"/>
      <c r="AQ8" s="484"/>
      <c r="AR8" s="484"/>
      <c r="AS8" s="484"/>
      <c r="AT8" s="484">
        <f>+ab($T$8,$T$6,$U$10,$G$7,$G$9,-1*$F$8,1200)</f>
        <v>-3.3442262280718187</v>
      </c>
      <c r="AU8" s="484"/>
      <c r="AV8" s="484"/>
      <c r="AW8" s="638" t="s">
        <v>4899</v>
      </c>
      <c r="AX8" s="638"/>
      <c r="AY8" s="484"/>
      <c r="AZ8" s="484"/>
      <c r="BA8" s="671" t="s">
        <v>2809</v>
      </c>
      <c r="BB8" s="449" t="str">
        <f>Pole_Calculations!A178</f>
        <v>App.8-V08F-P10.3</v>
      </c>
      <c r="BC8" s="169"/>
      <c r="BD8" s="1329">
        <v>43809</v>
      </c>
      <c r="BE8" s="1329">
        <v>43814</v>
      </c>
      <c r="BF8" s="1329">
        <v>43815</v>
      </c>
      <c r="BG8" s="1329">
        <v>43838</v>
      </c>
    </row>
    <row r="9" spans="1:59" ht="15.75" customHeight="1">
      <c r="A9" s="449"/>
      <c r="B9" s="445"/>
      <c r="C9" s="446"/>
      <c r="D9" s="446"/>
      <c r="E9" s="638"/>
      <c r="F9" s="447"/>
      <c r="G9" s="484">
        <v>30.1</v>
      </c>
      <c r="H9" s="1239"/>
      <c r="I9" s="448"/>
      <c r="J9" s="446">
        <f>C10-7.5</f>
        <v>93555.950000000012</v>
      </c>
      <c r="K9" s="638" t="s">
        <v>1684</v>
      </c>
      <c r="L9" s="638"/>
      <c r="M9" s="638"/>
      <c r="N9" s="1239"/>
      <c r="O9" s="1239"/>
      <c r="P9" s="1239"/>
      <c r="Q9" s="447"/>
      <c r="R9" s="447"/>
      <c r="S9" s="1343">
        <f>+AG10-AG8</f>
        <v>30.139999999999418</v>
      </c>
      <c r="T9" s="638"/>
      <c r="U9" s="638"/>
      <c r="V9" s="638"/>
      <c r="W9" s="638"/>
      <c r="X9" s="638"/>
      <c r="Y9" s="638"/>
      <c r="Z9" s="638"/>
      <c r="AA9" s="638"/>
      <c r="AB9" s="638"/>
      <c r="AC9" s="638"/>
      <c r="AD9" s="638"/>
      <c r="AE9" s="638"/>
      <c r="AF9" s="447"/>
      <c r="AG9" s="446"/>
      <c r="AH9" s="447"/>
      <c r="AI9" s="447"/>
      <c r="AJ9" s="638"/>
      <c r="AK9" s="638"/>
      <c r="AL9" s="638"/>
      <c r="AM9" s="638"/>
      <c r="AN9" s="484"/>
      <c r="AO9" s="484"/>
      <c r="AP9" s="484"/>
      <c r="AQ9" s="484">
        <f>+FL_1($U$10,$T$8,$G$9,1200,9.28,-1*$F$10)</f>
        <v>-3.031641165745233E-2</v>
      </c>
      <c r="AR9" s="484"/>
      <c r="AS9" s="484"/>
      <c r="AT9" s="484"/>
      <c r="AU9" s="484"/>
      <c r="AV9" s="484"/>
      <c r="AW9" s="638" t="s">
        <v>2846</v>
      </c>
      <c r="AX9" s="638"/>
      <c r="AY9" s="484"/>
      <c r="AZ9" s="484"/>
      <c r="BA9" s="671" t="s">
        <v>2809</v>
      </c>
      <c r="BB9" s="449"/>
      <c r="BC9" s="169"/>
      <c r="BD9" s="1329" t="s">
        <v>4946</v>
      </c>
      <c r="BE9" s="1330"/>
      <c r="BF9" s="1330"/>
      <c r="BG9" s="1330"/>
    </row>
    <row r="10" spans="1:59" ht="15.75" customHeight="1">
      <c r="A10" s="449"/>
      <c r="B10" s="438" t="s">
        <v>2042</v>
      </c>
      <c r="C10" s="446">
        <f>+$C$8+$G$9+0.1</f>
        <v>93563.450000000012</v>
      </c>
      <c r="D10" s="446"/>
      <c r="E10" s="638"/>
      <c r="F10" s="447">
        <v>622</v>
      </c>
      <c r="G10" s="484"/>
      <c r="H10" s="1239" t="s">
        <v>2128</v>
      </c>
      <c r="I10" s="448" t="s">
        <v>624</v>
      </c>
      <c r="J10" s="446"/>
      <c r="K10" s="638"/>
      <c r="L10" s="638" t="s">
        <v>819</v>
      </c>
      <c r="M10" s="638" t="s">
        <v>2811</v>
      </c>
      <c r="N10" s="1239" t="s">
        <v>140</v>
      </c>
      <c r="O10" s="1239" t="s">
        <v>2789</v>
      </c>
      <c r="P10" s="1239"/>
      <c r="Q10" s="447">
        <v>30</v>
      </c>
      <c r="R10" s="702">
        <v>631.33000000000004</v>
      </c>
      <c r="S10" s="1343"/>
      <c r="T10" s="638">
        <v>55</v>
      </c>
      <c r="U10" s="638">
        <v>-30</v>
      </c>
      <c r="V10" s="638"/>
      <c r="W10" s="638">
        <v>0.7</v>
      </c>
      <c r="X10" s="638">
        <v>0.7</v>
      </c>
      <c r="Y10" s="638"/>
      <c r="Z10" s="638">
        <v>0.25</v>
      </c>
      <c r="AA10" s="638"/>
      <c r="AB10" s="638"/>
      <c r="AC10" s="638" t="s">
        <v>4128</v>
      </c>
      <c r="AD10" s="638"/>
      <c r="AE10" s="638"/>
      <c r="AF10" s="447">
        <v>4500</v>
      </c>
      <c r="AG10" s="446">
        <v>93563.31</v>
      </c>
      <c r="AH10" s="447">
        <v>2163</v>
      </c>
      <c r="AI10" s="447">
        <v>-730</v>
      </c>
      <c r="AJ10" s="638"/>
      <c r="AK10" s="638"/>
      <c r="AL10" s="638" t="s">
        <v>2127</v>
      </c>
      <c r="AM10" s="638" t="s">
        <v>1043</v>
      </c>
      <c r="AN10" s="484">
        <v>5.15</v>
      </c>
      <c r="AO10" s="484"/>
      <c r="AP10" s="484"/>
      <c r="AQ10" s="484"/>
      <c r="AR10" s="484"/>
      <c r="AS10" s="484"/>
      <c r="AT10" s="484">
        <f>+ab($U$10,$T$8,$U$12,$G$9,$G$11,-1*$F$10,1200)</f>
        <v>-3.1296196895449588</v>
      </c>
      <c r="AU10" s="484"/>
      <c r="AV10" s="484"/>
      <c r="AW10" s="638" t="s">
        <v>4899</v>
      </c>
      <c r="AX10" s="638"/>
      <c r="AY10" s="484"/>
      <c r="AZ10" s="484"/>
      <c r="BA10" s="671" t="s">
        <v>2809</v>
      </c>
      <c r="BB10" s="449" t="str">
        <f>Pole_Calculations!A178</f>
        <v>App.8-V08F-P10.3</v>
      </c>
      <c r="BC10" s="169"/>
      <c r="BD10" s="1329">
        <v>43809</v>
      </c>
      <c r="BE10" s="1329">
        <v>43814</v>
      </c>
      <c r="BF10" s="1329">
        <v>43815</v>
      </c>
      <c r="BG10" s="1329">
        <v>43838</v>
      </c>
    </row>
    <row r="11" spans="1:59" ht="15.75" customHeight="1">
      <c r="A11" s="488" t="s">
        <v>1851</v>
      </c>
      <c r="B11" s="494"/>
      <c r="C11" s="489"/>
      <c r="D11" s="489"/>
      <c r="E11" s="490"/>
      <c r="F11" s="491"/>
      <c r="G11" s="493">
        <v>46.1</v>
      </c>
      <c r="H11" s="495"/>
      <c r="I11" s="492"/>
      <c r="J11" s="489"/>
      <c r="K11" s="490"/>
      <c r="L11" s="490"/>
      <c r="M11" s="490"/>
      <c r="N11" s="495"/>
      <c r="O11" s="495"/>
      <c r="P11" s="495"/>
      <c r="Q11" s="491"/>
      <c r="R11" s="491"/>
      <c r="S11" s="790">
        <f>+AG12-AG10</f>
        <v>47.990000000005239</v>
      </c>
      <c r="T11" s="490"/>
      <c r="U11" s="490"/>
      <c r="V11" s="490"/>
      <c r="W11" s="490"/>
      <c r="X11" s="490"/>
      <c r="Y11" s="490"/>
      <c r="Z11" s="490"/>
      <c r="AA11" s="490"/>
      <c r="AB11" s="490"/>
      <c r="AC11" s="490"/>
      <c r="AD11" s="490"/>
      <c r="AE11" s="490"/>
      <c r="AF11" s="491"/>
      <c r="AG11" s="489"/>
      <c r="AH11" s="491"/>
      <c r="AI11" s="491"/>
      <c r="AJ11" s="490"/>
      <c r="AK11" s="490"/>
      <c r="AL11" s="490"/>
      <c r="AM11" s="490"/>
      <c r="AN11" s="493"/>
      <c r="AO11" s="493"/>
      <c r="AP11" s="493"/>
      <c r="AQ11" s="493">
        <f>+FL_1($U$12,$U$10,$G$11,1200,9.28,-1*$F$12)</f>
        <v>0.33267573914950438</v>
      </c>
      <c r="AR11" s="493"/>
      <c r="AS11" s="493"/>
      <c r="AT11" s="493"/>
      <c r="AU11" s="493"/>
      <c r="AV11" s="493"/>
      <c r="AW11" s="490"/>
      <c r="AX11" s="490"/>
      <c r="AY11" s="493"/>
      <c r="AZ11" s="493"/>
      <c r="BA11" s="602"/>
      <c r="BB11" s="488"/>
      <c r="BC11" s="169"/>
      <c r="BD11" s="1330"/>
      <c r="BE11" s="1330"/>
      <c r="BF11" s="1330"/>
      <c r="BG11" s="1330"/>
    </row>
    <row r="12" spans="1:59" ht="15.75" customHeight="1">
      <c r="A12" s="449"/>
      <c r="B12" s="1239" t="s">
        <v>2043</v>
      </c>
      <c r="C12" s="446">
        <f>+$C$10+$G$11</f>
        <v>93609.550000000017</v>
      </c>
      <c r="D12" s="446"/>
      <c r="E12" s="638"/>
      <c r="F12" s="447">
        <v>622</v>
      </c>
      <c r="G12" s="484"/>
      <c r="H12" s="638" t="s">
        <v>619</v>
      </c>
      <c r="I12" s="1239"/>
      <c r="J12" s="446"/>
      <c r="K12" s="638"/>
      <c r="L12" s="638" t="s">
        <v>819</v>
      </c>
      <c r="M12" s="638" t="s">
        <v>2811</v>
      </c>
      <c r="N12" s="1239" t="s">
        <v>140</v>
      </c>
      <c r="O12" s="1239" t="s">
        <v>2789</v>
      </c>
      <c r="P12" s="1239"/>
      <c r="Q12" s="447">
        <v>20</v>
      </c>
      <c r="R12" s="702">
        <v>631.33000000000004</v>
      </c>
      <c r="S12" s="1343"/>
      <c r="T12" s="638">
        <v>15</v>
      </c>
      <c r="U12" s="638">
        <v>-30</v>
      </c>
      <c r="V12" s="638"/>
      <c r="W12" s="638">
        <v>0.7</v>
      </c>
      <c r="X12" s="638">
        <v>0.7</v>
      </c>
      <c r="Y12" s="638"/>
      <c r="Z12" s="638">
        <v>0.25</v>
      </c>
      <c r="AA12" s="638"/>
      <c r="AB12" s="638"/>
      <c r="AC12" s="638" t="s">
        <v>4128</v>
      </c>
      <c r="AD12" s="638"/>
      <c r="AE12" s="638"/>
      <c r="AF12" s="447">
        <v>4500</v>
      </c>
      <c r="AG12" s="446">
        <v>93611.3</v>
      </c>
      <c r="AH12" s="447">
        <v>2143</v>
      </c>
      <c r="AI12" s="447">
        <v>-710</v>
      </c>
      <c r="AJ12" s="638"/>
      <c r="AK12" s="638"/>
      <c r="AL12" s="638" t="s">
        <v>2127</v>
      </c>
      <c r="AM12" s="638" t="s">
        <v>1043</v>
      </c>
      <c r="AN12" s="484">
        <v>5.15</v>
      </c>
      <c r="AO12" s="484"/>
      <c r="AP12" s="484"/>
      <c r="AQ12" s="484"/>
      <c r="AR12" s="484"/>
      <c r="AS12" s="484"/>
      <c r="AT12" s="484">
        <f>+ab($U$12,$U$10,$T$14,$G$11,$G$13,-1*$F$12,1200)</f>
        <v>-2.3698556639140933</v>
      </c>
      <c r="AU12" s="484"/>
      <c r="AV12" s="484"/>
      <c r="AW12" s="638" t="s">
        <v>4899</v>
      </c>
      <c r="AX12" s="638"/>
      <c r="AY12" s="484"/>
      <c r="AZ12" s="484"/>
      <c r="BA12" s="671" t="s">
        <v>2809</v>
      </c>
      <c r="BB12" s="449" t="str">
        <f>Pole_Calculations!A178</f>
        <v>App.8-V08F-P10.3</v>
      </c>
      <c r="BC12" s="169"/>
      <c r="BD12" s="1329">
        <v>43809</v>
      </c>
      <c r="BE12" s="1329">
        <v>43813</v>
      </c>
      <c r="BF12" s="1329" t="s">
        <v>4946</v>
      </c>
      <c r="BG12" s="1329">
        <v>43838</v>
      </c>
    </row>
    <row r="13" spans="1:59" ht="15.75" customHeight="1">
      <c r="A13" s="449"/>
      <c r="B13" s="445"/>
      <c r="C13" s="446"/>
      <c r="D13" s="446"/>
      <c r="E13" s="638"/>
      <c r="F13" s="447"/>
      <c r="G13" s="484">
        <v>43</v>
      </c>
      <c r="H13" s="1239"/>
      <c r="I13" s="447"/>
      <c r="J13" s="446"/>
      <c r="K13" s="638"/>
      <c r="L13" s="638"/>
      <c r="M13" s="638"/>
      <c r="N13" s="1239"/>
      <c r="O13" s="1239"/>
      <c r="P13" s="1239"/>
      <c r="Q13" s="447"/>
      <c r="R13" s="447"/>
      <c r="S13" s="1343">
        <f>+AG14-AG12</f>
        <v>39.039999999993597</v>
      </c>
      <c r="T13" s="638"/>
      <c r="U13" s="638"/>
      <c r="V13" s="638"/>
      <c r="W13" s="638"/>
      <c r="X13" s="638"/>
      <c r="Y13" s="638"/>
      <c r="Z13" s="638"/>
      <c r="AA13" s="638"/>
      <c r="AB13" s="638"/>
      <c r="AC13" s="638"/>
      <c r="AD13" s="638"/>
      <c r="AE13" s="638"/>
      <c r="AF13" s="447"/>
      <c r="AG13" s="446"/>
      <c r="AH13" s="447"/>
      <c r="AI13" s="447"/>
      <c r="AJ13" s="638"/>
      <c r="AK13" s="638"/>
      <c r="AL13" s="638"/>
      <c r="AM13" s="638"/>
      <c r="AN13" s="484"/>
      <c r="AO13" s="484"/>
      <c r="AP13" s="484"/>
      <c r="AQ13" s="484">
        <f>+FL_1($T$14,$U$12,$G$13,1200,9.28,-1*$F$14)</f>
        <v>0.46859532476630544</v>
      </c>
      <c r="AR13" s="484"/>
      <c r="AS13" s="484"/>
      <c r="AT13" s="484"/>
      <c r="AU13" s="484"/>
      <c r="AV13" s="484"/>
      <c r="AW13" s="638"/>
      <c r="AX13" s="638"/>
      <c r="AY13" s="484"/>
      <c r="AZ13" s="484"/>
      <c r="BA13" s="671"/>
      <c r="BB13" s="449"/>
      <c r="BC13" s="169"/>
      <c r="BD13" s="1330"/>
      <c r="BE13" s="1330"/>
      <c r="BF13" s="1330"/>
      <c r="BG13" s="1330"/>
    </row>
    <row r="14" spans="1:59" ht="15.75" customHeight="1">
      <c r="A14" s="449" t="s">
        <v>2947</v>
      </c>
      <c r="B14" s="1239" t="s">
        <v>2044</v>
      </c>
      <c r="C14" s="446">
        <f>+$C$12+$G$13</f>
        <v>93652.550000000017</v>
      </c>
      <c r="D14" s="446"/>
      <c r="E14" s="638"/>
      <c r="F14" s="447">
        <v>622</v>
      </c>
      <c r="G14" s="484"/>
      <c r="H14" s="1239" t="s">
        <v>619</v>
      </c>
      <c r="I14" s="448" t="s">
        <v>1429</v>
      </c>
      <c r="J14" s="446"/>
      <c r="K14" s="638"/>
      <c r="L14" s="638" t="s">
        <v>819</v>
      </c>
      <c r="M14" s="638" t="s">
        <v>2811</v>
      </c>
      <c r="N14" s="1239" t="s">
        <v>2789</v>
      </c>
      <c r="O14" s="1239" t="s">
        <v>140</v>
      </c>
      <c r="P14" s="1239"/>
      <c r="Q14" s="447">
        <v>40</v>
      </c>
      <c r="R14" s="702">
        <v>631.33000000000004</v>
      </c>
      <c r="S14" s="1343"/>
      <c r="T14" s="638">
        <v>10</v>
      </c>
      <c r="U14" s="638">
        <v>-35</v>
      </c>
      <c r="V14" s="638"/>
      <c r="W14" s="638">
        <v>0.9</v>
      </c>
      <c r="X14" s="638">
        <v>1.2</v>
      </c>
      <c r="Y14" s="638"/>
      <c r="Z14" s="638"/>
      <c r="AA14" s="638">
        <v>0.24</v>
      </c>
      <c r="AB14" s="638"/>
      <c r="AC14" s="638" t="s">
        <v>4966</v>
      </c>
      <c r="AD14" s="638"/>
      <c r="AE14" s="638"/>
      <c r="AF14" s="447">
        <v>4500</v>
      </c>
      <c r="AG14" s="446">
        <v>93650.34</v>
      </c>
      <c r="AH14" s="447">
        <v>2073</v>
      </c>
      <c r="AI14" s="447">
        <v>-730</v>
      </c>
      <c r="AJ14" s="638" t="s">
        <v>2154</v>
      </c>
      <c r="AK14" s="638"/>
      <c r="AL14" s="638" t="s">
        <v>2127</v>
      </c>
      <c r="AM14" s="638" t="s">
        <v>1043</v>
      </c>
      <c r="AN14" s="484">
        <v>5.21</v>
      </c>
      <c r="AO14" s="484"/>
      <c r="AP14" s="484"/>
      <c r="AQ14" s="484"/>
      <c r="AR14" s="484"/>
      <c r="AS14" s="484"/>
      <c r="AT14" s="484">
        <f>+ab($T$14,$U$12,$T$16,$G$13,$G$15,-1*$F$14,1200)</f>
        <v>-4.1999409976935436</v>
      </c>
      <c r="AU14" s="484"/>
      <c r="AV14" s="484"/>
      <c r="AW14" s="638" t="s">
        <v>4899</v>
      </c>
      <c r="AX14" s="638"/>
      <c r="AY14" s="484"/>
      <c r="AZ14" s="484"/>
      <c r="BA14" s="671" t="s">
        <v>2809</v>
      </c>
      <c r="BB14" s="449" t="str">
        <f>Pole_Calculations!A178</f>
        <v>App.8-V08F-P10.3</v>
      </c>
      <c r="BC14" s="169"/>
      <c r="BD14" s="1329">
        <v>43809</v>
      </c>
      <c r="BE14" s="1329">
        <v>43813</v>
      </c>
      <c r="BF14" s="1329" t="s">
        <v>4946</v>
      </c>
      <c r="BG14" s="1329">
        <v>43838</v>
      </c>
    </row>
    <row r="15" spans="1:59" ht="15.75" customHeight="1">
      <c r="A15" s="449"/>
      <c r="B15" s="445"/>
      <c r="C15" s="446"/>
      <c r="D15" s="446"/>
      <c r="E15" s="638"/>
      <c r="F15" s="447"/>
      <c r="G15" s="484">
        <v>38.299999999999997</v>
      </c>
      <c r="H15" s="1239"/>
      <c r="I15" s="448"/>
      <c r="J15" s="446"/>
      <c r="K15" s="638"/>
      <c r="L15" s="638"/>
      <c r="M15" s="638"/>
      <c r="N15" s="1239"/>
      <c r="O15" s="1239"/>
      <c r="P15" s="1239"/>
      <c r="Q15" s="447"/>
      <c r="R15" s="447"/>
      <c r="S15" s="1343">
        <f>+AG16-AG14</f>
        <v>40.470000000001164</v>
      </c>
      <c r="T15" s="638"/>
      <c r="U15" s="638"/>
      <c r="V15" s="638"/>
      <c r="W15" s="638"/>
      <c r="X15" s="638"/>
      <c r="Y15" s="638"/>
      <c r="Z15" s="638"/>
      <c r="AA15" s="638"/>
      <c r="AB15" s="638"/>
      <c r="AC15" s="638"/>
      <c r="AD15" s="638"/>
      <c r="AE15" s="638"/>
      <c r="AF15" s="447"/>
      <c r="AG15" s="446"/>
      <c r="AH15" s="447"/>
      <c r="AI15" s="447"/>
      <c r="AJ15" s="638"/>
      <c r="AK15" s="638"/>
      <c r="AL15" s="638"/>
      <c r="AM15" s="638"/>
      <c r="AN15" s="484"/>
      <c r="AO15" s="484"/>
      <c r="AP15" s="484"/>
      <c r="AQ15" s="484">
        <f>+FL_1($T$16,$T$14,$G$15,1200,9.28,-1*$F$16)</f>
        <v>0.35955975509397947</v>
      </c>
      <c r="AR15" s="484"/>
      <c r="AS15" s="484"/>
      <c r="AT15" s="484"/>
      <c r="AU15" s="484"/>
      <c r="AV15" s="484"/>
      <c r="AW15" s="638"/>
      <c r="AX15" s="638"/>
      <c r="AY15" s="484"/>
      <c r="AZ15" s="484"/>
      <c r="BA15" s="671"/>
      <c r="BB15" s="449"/>
      <c r="BC15" s="169"/>
      <c r="BD15" s="1330"/>
      <c r="BE15" s="1330"/>
      <c r="BF15" s="1330"/>
      <c r="BG15" s="1330"/>
    </row>
    <row r="16" spans="1:59" ht="25">
      <c r="A16" s="449"/>
      <c r="B16" s="1239" t="s">
        <v>2045</v>
      </c>
      <c r="C16" s="446">
        <f>+$C$14+$G$15</f>
        <v>93690.85000000002</v>
      </c>
      <c r="D16" s="446"/>
      <c r="E16" s="638"/>
      <c r="F16" s="447">
        <v>622</v>
      </c>
      <c r="G16" s="484"/>
      <c r="H16" s="1239" t="s">
        <v>2133</v>
      </c>
      <c r="I16" s="448" t="s">
        <v>4231</v>
      </c>
      <c r="J16" s="446">
        <f>C16+7.5</f>
        <v>93698.35000000002</v>
      </c>
      <c r="K16" s="638" t="s">
        <v>1684</v>
      </c>
      <c r="L16" s="638" t="s">
        <v>819</v>
      </c>
      <c r="M16" s="638" t="s">
        <v>2811</v>
      </c>
      <c r="N16" s="1239" t="s">
        <v>2789</v>
      </c>
      <c r="O16" s="1239" t="s">
        <v>140</v>
      </c>
      <c r="P16" s="1239"/>
      <c r="Q16" s="447">
        <v>30</v>
      </c>
      <c r="R16" s="702">
        <v>631.33000000000004</v>
      </c>
      <c r="S16" s="1343"/>
      <c r="T16" s="638">
        <v>-30</v>
      </c>
      <c r="U16" s="638">
        <v>15</v>
      </c>
      <c r="V16" s="638"/>
      <c r="W16" s="638">
        <v>1.4</v>
      </c>
      <c r="X16" s="638">
        <v>1.2</v>
      </c>
      <c r="Y16" s="638"/>
      <c r="Z16" s="638"/>
      <c r="AA16" s="638">
        <v>0.45</v>
      </c>
      <c r="AB16" s="638"/>
      <c r="AC16" s="638" t="s">
        <v>3050</v>
      </c>
      <c r="AD16" s="638"/>
      <c r="AE16" s="638"/>
      <c r="AF16" s="447">
        <v>4500</v>
      </c>
      <c r="AG16" s="446">
        <v>93690.81</v>
      </c>
      <c r="AH16" s="447">
        <v>1803</v>
      </c>
      <c r="AI16" s="447">
        <v>-730</v>
      </c>
      <c r="AJ16" s="638"/>
      <c r="AK16" s="638"/>
      <c r="AL16" s="638" t="s">
        <v>2127</v>
      </c>
      <c r="AM16" s="638" t="s">
        <v>1043</v>
      </c>
      <c r="AN16" s="484">
        <v>5.32</v>
      </c>
      <c r="AO16" s="484"/>
      <c r="AP16" s="484"/>
      <c r="AQ16" s="484"/>
      <c r="AR16" s="484"/>
      <c r="AS16" s="484"/>
      <c r="AT16" s="484">
        <f>+ab($T$16,$T$14,$T$18,$G$15,$G$17,-1*$F$16,1200)</f>
        <v>-2.6477831163545087</v>
      </c>
      <c r="AU16" s="484"/>
      <c r="AV16" s="484"/>
      <c r="AW16" s="644" t="s">
        <v>4924</v>
      </c>
      <c r="AX16" s="638"/>
      <c r="AY16" s="484"/>
      <c r="AZ16" s="484"/>
      <c r="BA16" s="671" t="s">
        <v>2809</v>
      </c>
      <c r="BB16" s="449" t="str">
        <f>Pole_Calculations!A178</f>
        <v>App.8-V08F-P10.3</v>
      </c>
      <c r="BC16" s="169"/>
      <c r="BD16" s="1329">
        <v>43808</v>
      </c>
      <c r="BE16" s="1329" t="s">
        <v>4946</v>
      </c>
      <c r="BF16" s="1329" t="s">
        <v>4946</v>
      </c>
      <c r="BG16" s="1329">
        <v>43838</v>
      </c>
    </row>
    <row r="17" spans="1:59" ht="15.75" customHeight="1">
      <c r="A17" s="449"/>
      <c r="B17" s="445"/>
      <c r="C17" s="446"/>
      <c r="D17" s="446"/>
      <c r="E17" s="638"/>
      <c r="F17" s="447"/>
      <c r="G17" s="484">
        <v>38.799999999999997</v>
      </c>
      <c r="H17" s="1239"/>
      <c r="I17" s="448"/>
      <c r="J17" s="446">
        <f>C18-7.5</f>
        <v>93722.150000000023</v>
      </c>
      <c r="K17" s="638" t="s">
        <v>1684</v>
      </c>
      <c r="L17" s="638"/>
      <c r="M17" s="638"/>
      <c r="N17" s="1239"/>
      <c r="O17" s="1239"/>
      <c r="P17" s="1239"/>
      <c r="Q17" s="447"/>
      <c r="R17" s="447"/>
      <c r="S17" s="1343">
        <f>+AG18-AG16</f>
        <v>38.720000000001164</v>
      </c>
      <c r="T17" s="638"/>
      <c r="U17" s="638"/>
      <c r="V17" s="638"/>
      <c r="W17" s="638"/>
      <c r="X17" s="638"/>
      <c r="Y17" s="638"/>
      <c r="Z17" s="638"/>
      <c r="AA17" s="638"/>
      <c r="AB17" s="638"/>
      <c r="AC17" s="638"/>
      <c r="AD17" s="638"/>
      <c r="AE17" s="638"/>
      <c r="AF17" s="447"/>
      <c r="AG17" s="446"/>
      <c r="AH17" s="447"/>
      <c r="AI17" s="447"/>
      <c r="AJ17" s="638"/>
      <c r="AK17" s="638"/>
      <c r="AL17" s="638"/>
      <c r="AM17" s="638"/>
      <c r="AN17" s="484"/>
      <c r="AO17" s="484"/>
      <c r="AP17" s="484"/>
      <c r="AQ17" s="484">
        <f>+FL_2($T$18,$T$16,$G$17,1200,9.28,-1*$F$18)</f>
        <v>-0.3</v>
      </c>
      <c r="AR17" s="484"/>
      <c r="AS17" s="484"/>
      <c r="AT17" s="484"/>
      <c r="AU17" s="484"/>
      <c r="AV17" s="484"/>
      <c r="AW17" s="638" t="s">
        <v>2846</v>
      </c>
      <c r="AX17" s="638"/>
      <c r="AY17" s="484"/>
      <c r="AZ17" s="484"/>
      <c r="BA17" s="671" t="s">
        <v>2809</v>
      </c>
      <c r="BB17" s="449"/>
      <c r="BC17" s="169"/>
      <c r="BD17" s="1329" t="s">
        <v>4946</v>
      </c>
      <c r="BE17" s="1330"/>
      <c r="BF17" s="1330"/>
      <c r="BG17" s="1330"/>
    </row>
    <row r="18" spans="1:59" ht="15.75" customHeight="1">
      <c r="A18" s="449"/>
      <c r="B18" s="1239" t="s">
        <v>2046</v>
      </c>
      <c r="C18" s="446">
        <f>+$C$16+$G$17</f>
        <v>93729.650000000023</v>
      </c>
      <c r="D18" s="446"/>
      <c r="E18" s="638"/>
      <c r="F18" s="447">
        <v>622</v>
      </c>
      <c r="G18" s="484"/>
      <c r="H18" s="1239" t="s">
        <v>2130</v>
      </c>
      <c r="I18" s="448" t="s">
        <v>4231</v>
      </c>
      <c r="J18" s="446"/>
      <c r="K18" s="638"/>
      <c r="L18" s="638" t="s">
        <v>819</v>
      </c>
      <c r="M18" s="638" t="s">
        <v>1692</v>
      </c>
      <c r="N18" s="1239" t="s">
        <v>143</v>
      </c>
      <c r="O18" s="1239" t="s">
        <v>140</v>
      </c>
      <c r="P18" s="1239"/>
      <c r="Q18" s="447">
        <v>20</v>
      </c>
      <c r="R18" s="702">
        <v>631.54999999999995</v>
      </c>
      <c r="S18" s="1343"/>
      <c r="T18" s="638">
        <v>-30</v>
      </c>
      <c r="U18" s="638">
        <v>15</v>
      </c>
      <c r="V18" s="638"/>
      <c r="W18" s="638">
        <v>1.4</v>
      </c>
      <c r="X18" s="638">
        <v>1.2</v>
      </c>
      <c r="Y18" s="638"/>
      <c r="Z18" s="638"/>
      <c r="AA18" s="638">
        <v>0.6</v>
      </c>
      <c r="AB18" s="638"/>
      <c r="AC18" s="638" t="s">
        <v>3050</v>
      </c>
      <c r="AD18" s="638"/>
      <c r="AE18" s="638"/>
      <c r="AF18" s="447">
        <v>3300</v>
      </c>
      <c r="AG18" s="446">
        <v>93729.53</v>
      </c>
      <c r="AH18" s="447">
        <v>2693</v>
      </c>
      <c r="AI18" s="447">
        <v>-2070</v>
      </c>
      <c r="AJ18" s="638"/>
      <c r="AK18" s="638"/>
      <c r="AL18" s="638" t="s">
        <v>2127</v>
      </c>
      <c r="AM18" s="638" t="s">
        <v>1043</v>
      </c>
      <c r="AN18" s="484">
        <v>5.44</v>
      </c>
      <c r="AO18" s="484"/>
      <c r="AP18" s="484"/>
      <c r="AQ18" s="484"/>
      <c r="AR18" s="484"/>
      <c r="AS18" s="484"/>
      <c r="AT18" s="484">
        <f>+ab($T$18,$T$16,$U$20,$G$17,$G$19,-1*$F$18,1200)</f>
        <v>-3.0380981913290537</v>
      </c>
      <c r="AU18" s="484"/>
      <c r="AV18" s="484"/>
      <c r="AW18" s="638" t="s">
        <v>2845</v>
      </c>
      <c r="AX18" s="638"/>
      <c r="AY18" s="484"/>
      <c r="AZ18" s="484"/>
      <c r="BA18" s="671" t="s">
        <v>2809</v>
      </c>
      <c r="BB18" s="449" t="str">
        <f>Pole_Calculations!A178</f>
        <v>App.8-V08F-P10.3</v>
      </c>
      <c r="BC18" s="169"/>
      <c r="BD18" s="1329">
        <v>43804</v>
      </c>
      <c r="BE18" s="1329" t="s">
        <v>4946</v>
      </c>
      <c r="BF18" s="1329" t="s">
        <v>4946</v>
      </c>
      <c r="BG18" s="1329">
        <v>43814</v>
      </c>
    </row>
    <row r="19" spans="1:59" ht="15.75" customHeight="1">
      <c r="A19" s="449"/>
      <c r="B19" s="445"/>
      <c r="C19" s="446"/>
      <c r="D19" s="446"/>
      <c r="E19" s="638"/>
      <c r="F19" s="447"/>
      <c r="G19" s="484">
        <v>39.700000000000003</v>
      </c>
      <c r="H19" s="1239"/>
      <c r="I19" s="1239">
        <v>324</v>
      </c>
      <c r="J19" s="446"/>
      <c r="K19" s="638"/>
      <c r="L19" s="638"/>
      <c r="M19" s="638"/>
      <c r="N19" s="1239"/>
      <c r="O19" s="1239"/>
      <c r="P19" s="1239"/>
      <c r="Q19" s="447"/>
      <c r="R19" s="447"/>
      <c r="S19" s="1343">
        <f>+AG20-AG18</f>
        <v>37.589999999996508</v>
      </c>
      <c r="T19" s="638"/>
      <c r="U19" s="638"/>
      <c r="V19" s="638"/>
      <c r="W19" s="638"/>
      <c r="X19" s="638"/>
      <c r="Y19" s="638"/>
      <c r="Z19" s="638"/>
      <c r="AA19" s="638"/>
      <c r="AB19" s="638"/>
      <c r="AC19" s="638"/>
      <c r="AD19" s="638"/>
      <c r="AE19" s="638"/>
      <c r="AF19" s="447"/>
      <c r="AG19" s="446"/>
      <c r="AH19" s="447"/>
      <c r="AI19" s="447"/>
      <c r="AJ19" s="638"/>
      <c r="AK19" s="638"/>
      <c r="AL19" s="638"/>
      <c r="AM19" s="638"/>
      <c r="AN19" s="484"/>
      <c r="AO19" s="484"/>
      <c r="AP19" s="484"/>
      <c r="AQ19" s="484">
        <f>+FL_2($U$20,$T$18,$G$19,1200,9.28,-1*$F$20)</f>
        <v>-0.3</v>
      </c>
      <c r="AR19" s="484"/>
      <c r="AS19" s="484"/>
      <c r="AT19" s="484"/>
      <c r="AU19" s="484"/>
      <c r="AV19" s="484"/>
      <c r="AW19" s="638"/>
      <c r="AX19" s="638"/>
      <c r="AY19" s="484"/>
      <c r="AZ19" s="484"/>
      <c r="BA19" s="671"/>
      <c r="BB19" s="449"/>
      <c r="BC19" s="169"/>
      <c r="BD19" s="1330"/>
      <c r="BE19" s="1330"/>
      <c r="BF19" s="1330"/>
      <c r="BG19" s="1330"/>
    </row>
    <row r="20" spans="1:59" ht="15.75" customHeight="1">
      <c r="A20" s="449"/>
      <c r="B20" s="1239" t="s">
        <v>2047</v>
      </c>
      <c r="C20" s="446">
        <f>+$C$18+$G$19</f>
        <v>93769.35000000002</v>
      </c>
      <c r="D20" s="446"/>
      <c r="E20" s="638"/>
      <c r="F20" s="447">
        <v>622</v>
      </c>
      <c r="G20" s="484"/>
      <c r="H20" s="1239" t="s">
        <v>2133</v>
      </c>
      <c r="I20" s="1239" t="s">
        <v>4231</v>
      </c>
      <c r="J20" s="446"/>
      <c r="K20" s="638"/>
      <c r="L20" s="638" t="s">
        <v>819</v>
      </c>
      <c r="M20" s="638" t="s">
        <v>1692</v>
      </c>
      <c r="N20" s="1239" t="s">
        <v>140</v>
      </c>
      <c r="O20" s="1239" t="s">
        <v>143</v>
      </c>
      <c r="P20" s="1239"/>
      <c r="Q20" s="447">
        <v>30</v>
      </c>
      <c r="R20" s="702">
        <v>1369.11</v>
      </c>
      <c r="S20" s="1343"/>
      <c r="T20" s="638">
        <v>-45</v>
      </c>
      <c r="U20" s="638">
        <v>-30</v>
      </c>
      <c r="V20" s="638"/>
      <c r="W20" s="638">
        <v>2.2999999999999998</v>
      </c>
      <c r="X20" s="638">
        <v>1.4</v>
      </c>
      <c r="Y20" s="638"/>
      <c r="Z20" s="638">
        <v>0.45</v>
      </c>
      <c r="AA20" s="638"/>
      <c r="AB20" s="638"/>
      <c r="AC20" s="638" t="s">
        <v>4090</v>
      </c>
      <c r="AD20" s="638"/>
      <c r="AE20" s="638"/>
      <c r="AF20" s="447">
        <v>3500</v>
      </c>
      <c r="AG20" s="446">
        <v>93767.12</v>
      </c>
      <c r="AH20" s="447">
        <v>2543</v>
      </c>
      <c r="AI20" s="447">
        <v>-2130</v>
      </c>
      <c r="AJ20" s="638"/>
      <c r="AK20" s="638"/>
      <c r="AL20" s="638" t="s">
        <v>2127</v>
      </c>
      <c r="AM20" s="638" t="s">
        <v>1043</v>
      </c>
      <c r="AN20" s="484">
        <v>5.5</v>
      </c>
      <c r="AO20" s="484"/>
      <c r="AP20" s="484"/>
      <c r="AQ20" s="484"/>
      <c r="AR20" s="484"/>
      <c r="AS20" s="484"/>
      <c r="AT20" s="484">
        <f>+ab($U$20,$T$18,$U$22,$G$19,$G$21,-1*$F$20,1200)</f>
        <v>-2.5311700546090767</v>
      </c>
      <c r="AU20" s="484"/>
      <c r="AV20" s="484"/>
      <c r="AW20" s="638" t="s">
        <v>2886</v>
      </c>
      <c r="AX20" s="638"/>
      <c r="AY20" s="484"/>
      <c r="AZ20" s="484"/>
      <c r="BA20" s="671" t="s">
        <v>2809</v>
      </c>
      <c r="BB20" s="449" t="str">
        <f>Pole_Calculations!A178</f>
        <v>App.8-V08F-P10.3</v>
      </c>
      <c r="BC20" s="169"/>
      <c r="BD20" s="1329" t="s">
        <v>4946</v>
      </c>
      <c r="BE20" s="1329">
        <v>43801</v>
      </c>
      <c r="BF20" s="1329">
        <v>43810</v>
      </c>
      <c r="BG20" s="1329">
        <v>43808</v>
      </c>
    </row>
    <row r="21" spans="1:59" ht="15.75" customHeight="1">
      <c r="A21" s="449"/>
      <c r="B21" s="445"/>
      <c r="C21" s="446"/>
      <c r="D21" s="446"/>
      <c r="E21" s="638"/>
      <c r="F21" s="447"/>
      <c r="G21" s="484">
        <v>35</v>
      </c>
      <c r="H21" s="1239"/>
      <c r="I21" s="1239"/>
      <c r="J21" s="446">
        <f>C20+7.5</f>
        <v>93776.85000000002</v>
      </c>
      <c r="K21" s="638" t="s">
        <v>1739</v>
      </c>
      <c r="L21" s="638"/>
      <c r="M21" s="638"/>
      <c r="N21" s="1239"/>
      <c r="O21" s="1239"/>
      <c r="P21" s="1239"/>
      <c r="Q21" s="447"/>
      <c r="R21" s="447"/>
      <c r="S21" s="1343">
        <f>+AG22-AG20</f>
        <v>37.139999999999418</v>
      </c>
      <c r="T21" s="638"/>
      <c r="U21" s="638"/>
      <c r="V21" s="638"/>
      <c r="W21" s="638"/>
      <c r="X21" s="638"/>
      <c r="Y21" s="638"/>
      <c r="Z21" s="638"/>
      <c r="AA21" s="638"/>
      <c r="AB21" s="638"/>
      <c r="AC21" s="638"/>
      <c r="AD21" s="638"/>
      <c r="AE21" s="638"/>
      <c r="AF21" s="447"/>
      <c r="AG21" s="446"/>
      <c r="AH21" s="447"/>
      <c r="AI21" s="447"/>
      <c r="AJ21" s="638"/>
      <c r="AK21" s="638"/>
      <c r="AL21" s="638"/>
      <c r="AM21" s="638"/>
      <c r="AN21" s="484"/>
      <c r="AO21" s="484"/>
      <c r="AP21" s="484"/>
      <c r="AQ21" s="484">
        <f>+FL_2($U$22,$U$20,$G$21,1200,9.28,-1*$F$22)</f>
        <v>-0.30000000000000343</v>
      </c>
      <c r="AR21" s="484"/>
      <c r="AS21" s="484"/>
      <c r="AT21" s="484"/>
      <c r="AU21" s="484"/>
      <c r="AV21" s="484"/>
      <c r="AW21" s="638" t="s">
        <v>2885</v>
      </c>
      <c r="AX21" s="638"/>
      <c r="AY21" s="484"/>
      <c r="AZ21" s="484"/>
      <c r="BA21" s="671" t="s">
        <v>2809</v>
      </c>
      <c r="BB21" s="449"/>
      <c r="BC21" s="169"/>
      <c r="BD21" s="1329" t="s">
        <v>4946</v>
      </c>
      <c r="BE21" s="1330"/>
      <c r="BF21" s="1330"/>
      <c r="BG21" s="1330"/>
    </row>
    <row r="22" spans="1:59" ht="25">
      <c r="A22" s="449"/>
      <c r="B22" s="1239" t="s">
        <v>2048</v>
      </c>
      <c r="C22" s="446">
        <f>+$C$20+$G$21</f>
        <v>93804.35000000002</v>
      </c>
      <c r="D22" s="446"/>
      <c r="E22" s="638"/>
      <c r="F22" s="447">
        <v>0</v>
      </c>
      <c r="G22" s="484"/>
      <c r="H22" s="1239" t="s">
        <v>2512</v>
      </c>
      <c r="I22" s="448" t="s">
        <v>624</v>
      </c>
      <c r="J22" s="446">
        <f>C22-7.5</f>
        <v>93796.85000000002</v>
      </c>
      <c r="K22" s="638" t="s">
        <v>1739</v>
      </c>
      <c r="L22" s="638" t="s">
        <v>819</v>
      </c>
      <c r="M22" s="638" t="s">
        <v>1692</v>
      </c>
      <c r="N22" s="1239" t="s">
        <v>143</v>
      </c>
      <c r="O22" s="1239" t="s">
        <v>144</v>
      </c>
      <c r="P22" s="1239"/>
      <c r="Q22" s="447">
        <v>0</v>
      </c>
      <c r="R22" s="447">
        <v>0</v>
      </c>
      <c r="S22" s="484"/>
      <c r="T22" s="638">
        <v>10</v>
      </c>
      <c r="U22" s="638">
        <v>25</v>
      </c>
      <c r="V22" s="638"/>
      <c r="W22" s="638">
        <v>2.2999999999999998</v>
      </c>
      <c r="X22" s="638">
        <v>1.4</v>
      </c>
      <c r="Y22" s="638"/>
      <c r="Z22" s="638"/>
      <c r="AA22" s="638"/>
      <c r="AB22" s="638"/>
      <c r="AC22" s="638" t="s">
        <v>4207</v>
      </c>
      <c r="AD22" s="638" t="s">
        <v>4124</v>
      </c>
      <c r="AE22" s="638"/>
      <c r="AF22" s="447">
        <v>3500</v>
      </c>
      <c r="AG22" s="446">
        <v>93804.26</v>
      </c>
      <c r="AH22" s="447">
        <v>2923</v>
      </c>
      <c r="AI22" s="447">
        <v>-2100</v>
      </c>
      <c r="AJ22" s="638"/>
      <c r="AK22" s="638"/>
      <c r="AL22" s="638" t="s">
        <v>2127</v>
      </c>
      <c r="AM22" s="638" t="s">
        <v>1043</v>
      </c>
      <c r="AN22" s="484">
        <v>5.5</v>
      </c>
      <c r="AO22" s="484"/>
      <c r="AP22" s="484"/>
      <c r="AQ22" s="484"/>
      <c r="AR22" s="484"/>
      <c r="AS22" s="484"/>
      <c r="AT22" s="484">
        <f>+ab($U$22,$U$20,$U$24,$G$21,$G$23,-1*$F$22,1200)</f>
        <v>6.4197390470519506</v>
      </c>
      <c r="AU22" s="484"/>
      <c r="AV22" s="484"/>
      <c r="AW22" s="644" t="s">
        <v>2923</v>
      </c>
      <c r="AX22" s="638"/>
      <c r="AY22" s="484"/>
      <c r="AZ22" s="484"/>
      <c r="BA22" s="671" t="s">
        <v>2809</v>
      </c>
      <c r="BB22" s="449" t="str">
        <f>Pole_Calculations!A178</f>
        <v>App.8-V08F-P10.3</v>
      </c>
      <c r="BC22" s="169"/>
      <c r="BD22" s="1329" t="s">
        <v>4946</v>
      </c>
      <c r="BE22" s="1329">
        <v>43801</v>
      </c>
      <c r="BF22" s="1329">
        <v>43810</v>
      </c>
      <c r="BG22" s="1329">
        <v>43808</v>
      </c>
    </row>
    <row r="23" spans="1:59" ht="15.75" customHeight="1">
      <c r="A23" s="449"/>
      <c r="B23" s="445"/>
      <c r="C23" s="446"/>
      <c r="D23" s="446"/>
      <c r="E23" s="638"/>
      <c r="F23" s="447"/>
      <c r="G23" s="484">
        <v>42.7</v>
      </c>
      <c r="H23" s="1239"/>
      <c r="I23" s="1239"/>
      <c r="J23" s="446"/>
      <c r="K23" s="638"/>
      <c r="L23" s="638"/>
      <c r="M23" s="638"/>
      <c r="N23" s="1239"/>
      <c r="O23" s="1239"/>
      <c r="P23" s="1239"/>
      <c r="Q23" s="447"/>
      <c r="R23" s="447"/>
      <c r="S23" s="484">
        <f>+AG24-AG22</f>
        <v>43.05000000000291</v>
      </c>
      <c r="T23" s="638"/>
      <c r="U23" s="638"/>
      <c r="V23" s="638"/>
      <c r="W23" s="638"/>
      <c r="X23" s="638"/>
      <c r="Y23" s="638"/>
      <c r="Z23" s="638"/>
      <c r="AA23" s="638"/>
      <c r="AB23" s="638"/>
      <c r="AC23" s="638"/>
      <c r="AD23" s="638"/>
      <c r="AE23" s="638"/>
      <c r="AF23" s="447"/>
      <c r="AG23" s="446"/>
      <c r="AH23" s="447"/>
      <c r="AI23" s="447"/>
      <c r="AJ23" s="638"/>
      <c r="AK23" s="638"/>
      <c r="AL23" s="638"/>
      <c r="AM23" s="638"/>
      <c r="AN23" s="484"/>
      <c r="AO23" s="484"/>
      <c r="AP23" s="484"/>
      <c r="AQ23" s="484">
        <f>+FL_1($U$24,$U$22,$G$23,1200,9.28,-1*$F$24)</f>
        <v>0.25390995125058552</v>
      </c>
      <c r="AR23" s="484"/>
      <c r="AS23" s="484"/>
      <c r="AT23" s="484"/>
      <c r="AU23" s="484"/>
      <c r="AV23" s="484"/>
      <c r="AW23" s="638"/>
      <c r="AX23" s="638"/>
      <c r="AY23" s="484"/>
      <c r="AZ23" s="484"/>
      <c r="BA23" s="671"/>
      <c r="BB23" s="449"/>
      <c r="BC23" s="169"/>
      <c r="BD23" s="1330"/>
      <c r="BE23" s="1330"/>
      <c r="BF23" s="1330"/>
      <c r="BG23" s="1330"/>
    </row>
    <row r="24" spans="1:59" ht="15.75" customHeight="1">
      <c r="A24" s="449"/>
      <c r="B24" s="438" t="s">
        <v>2049</v>
      </c>
      <c r="C24" s="446">
        <f>+$C$22+$G$23</f>
        <v>93847.050000000017</v>
      </c>
      <c r="D24" s="446"/>
      <c r="E24" s="638"/>
      <c r="F24" s="447">
        <v>0</v>
      </c>
      <c r="G24" s="484"/>
      <c r="H24" s="1239" t="s">
        <v>619</v>
      </c>
      <c r="I24" s="1239"/>
      <c r="J24" s="446"/>
      <c r="K24" s="638"/>
      <c r="L24" s="638" t="s">
        <v>819</v>
      </c>
      <c r="M24" s="638" t="s">
        <v>1692</v>
      </c>
      <c r="N24" s="1239" t="s">
        <v>140</v>
      </c>
      <c r="O24" s="1239" t="s">
        <v>143</v>
      </c>
      <c r="P24" s="1239"/>
      <c r="Q24" s="447">
        <v>0</v>
      </c>
      <c r="R24" s="447">
        <v>0</v>
      </c>
      <c r="S24" s="484"/>
      <c r="T24" s="638">
        <v>-10</v>
      </c>
      <c r="U24" s="638">
        <v>-35</v>
      </c>
      <c r="V24" s="638"/>
      <c r="W24" s="638">
        <v>1.4</v>
      </c>
      <c r="X24" s="638">
        <v>2.2999999999999998</v>
      </c>
      <c r="Y24" s="638"/>
      <c r="Z24" s="638">
        <v>0.45</v>
      </c>
      <c r="AA24" s="638"/>
      <c r="AB24" s="638"/>
      <c r="AC24" s="638" t="s">
        <v>1421</v>
      </c>
      <c r="AD24" s="638"/>
      <c r="AE24" s="638"/>
      <c r="AF24" s="447">
        <v>3500</v>
      </c>
      <c r="AG24" s="446">
        <v>93847.31</v>
      </c>
      <c r="AH24" s="447">
        <v>3013</v>
      </c>
      <c r="AI24" s="447">
        <v>-2060</v>
      </c>
      <c r="AJ24" s="638"/>
      <c r="AK24" s="638"/>
      <c r="AL24" s="638" t="s">
        <v>2127</v>
      </c>
      <c r="AM24" s="638" t="s">
        <v>1043</v>
      </c>
      <c r="AN24" s="484">
        <v>5.5</v>
      </c>
      <c r="AO24" s="484"/>
      <c r="AP24" s="484"/>
      <c r="AQ24" s="484"/>
      <c r="AR24" s="484"/>
      <c r="AS24" s="484"/>
      <c r="AT24" s="484">
        <f>+ab($U$24,$U$22,$T$26,$G$23,$G$25,-1*$F$24,1200)</f>
        <v>-6.5502438972526056</v>
      </c>
      <c r="AU24" s="484"/>
      <c r="AV24" s="484"/>
      <c r="AW24" s="638" t="s">
        <v>2844</v>
      </c>
      <c r="AX24" s="638"/>
      <c r="AY24" s="484"/>
      <c r="AZ24" s="484"/>
      <c r="BA24" s="671" t="s">
        <v>2809</v>
      </c>
      <c r="BB24" s="449" t="str">
        <f>Pole_Calculations!A178</f>
        <v>App.8-V08F-P10.3</v>
      </c>
      <c r="BC24" s="169"/>
      <c r="BD24" s="1329" t="s">
        <v>4946</v>
      </c>
      <c r="BE24" s="1329">
        <v>43801</v>
      </c>
      <c r="BF24" s="1329">
        <v>43810</v>
      </c>
      <c r="BG24" s="1329">
        <v>43808</v>
      </c>
    </row>
    <row r="25" spans="1:59" ht="15.75" customHeight="1">
      <c r="A25" s="449" t="s">
        <v>1852</v>
      </c>
      <c r="B25" s="445"/>
      <c r="C25" s="446"/>
      <c r="D25" s="446"/>
      <c r="E25" s="638"/>
      <c r="F25" s="447"/>
      <c r="G25" s="484">
        <v>43</v>
      </c>
      <c r="H25" s="1239"/>
      <c r="I25" s="1239"/>
      <c r="J25" s="446"/>
      <c r="K25" s="638"/>
      <c r="L25" s="638"/>
      <c r="M25" s="638"/>
      <c r="N25" s="1239"/>
      <c r="O25" s="1239"/>
      <c r="P25" s="1239"/>
      <c r="Q25" s="447"/>
      <c r="R25" s="447"/>
      <c r="S25" s="484">
        <f>+AG26-AG24</f>
        <v>42.880000000004657</v>
      </c>
      <c r="T25" s="638"/>
      <c r="U25" s="638"/>
      <c r="V25" s="638"/>
      <c r="W25" s="638"/>
      <c r="X25" s="638"/>
      <c r="Y25" s="638"/>
      <c r="Z25" s="638"/>
      <c r="AA25" s="638"/>
      <c r="AB25" s="638"/>
      <c r="AC25" s="638"/>
      <c r="AD25" s="638"/>
      <c r="AE25" s="638"/>
      <c r="AF25" s="447"/>
      <c r="AG25" s="446"/>
      <c r="AH25" s="447"/>
      <c r="AI25" s="447"/>
      <c r="AJ25" s="638"/>
      <c r="AK25" s="638"/>
      <c r="AL25" s="638"/>
      <c r="AM25" s="638"/>
      <c r="AN25" s="484"/>
      <c r="AO25" s="484"/>
      <c r="AP25" s="484"/>
      <c r="AQ25" s="484">
        <f>+FL_2($T$26,$U$24,$G$25,1200,9.28,-1*$F$26)</f>
        <v>-0.35147495581395355</v>
      </c>
      <c r="AR25" s="484"/>
      <c r="AS25" s="484"/>
      <c r="AT25" s="484"/>
      <c r="AU25" s="484"/>
      <c r="AV25" s="484"/>
      <c r="AW25" s="638"/>
      <c r="AX25" s="638"/>
      <c r="AY25" s="484"/>
      <c r="AZ25" s="484"/>
      <c r="BA25" s="671"/>
      <c r="BB25" s="449"/>
      <c r="BC25" s="169"/>
      <c r="BD25" s="1330"/>
      <c r="BE25" s="1330"/>
      <c r="BF25" s="1330"/>
      <c r="BG25" s="1330"/>
    </row>
    <row r="26" spans="1:59" ht="15.75" customHeight="1">
      <c r="A26" s="449" t="s">
        <v>2948</v>
      </c>
      <c r="B26" s="438" t="s">
        <v>2050</v>
      </c>
      <c r="C26" s="446">
        <f>+$C$24+$G$25</f>
        <v>93890.050000000017</v>
      </c>
      <c r="D26" s="446"/>
      <c r="E26" s="638"/>
      <c r="F26" s="447">
        <v>0</v>
      </c>
      <c r="G26" s="484"/>
      <c r="H26" s="1239" t="s">
        <v>619</v>
      </c>
      <c r="I26" s="1239" t="s">
        <v>1429</v>
      </c>
      <c r="J26" s="446"/>
      <c r="K26" s="638"/>
      <c r="L26" s="638" t="s">
        <v>819</v>
      </c>
      <c r="M26" s="638" t="s">
        <v>1692</v>
      </c>
      <c r="N26" s="1239" t="s">
        <v>144</v>
      </c>
      <c r="O26" s="1239" t="s">
        <v>140</v>
      </c>
      <c r="P26" s="1239"/>
      <c r="Q26" s="447">
        <v>10</v>
      </c>
      <c r="R26" s="447">
        <v>0</v>
      </c>
      <c r="S26" s="484"/>
      <c r="T26" s="638">
        <v>30</v>
      </c>
      <c r="U26" s="638">
        <v>15</v>
      </c>
      <c r="V26" s="638"/>
      <c r="W26" s="638">
        <v>1.4</v>
      </c>
      <c r="X26" s="638">
        <v>2.2999999999999998</v>
      </c>
      <c r="Y26" s="638"/>
      <c r="Z26" s="638"/>
      <c r="AA26" s="638">
        <v>0.45</v>
      </c>
      <c r="AB26" s="638"/>
      <c r="AC26" s="638" t="s">
        <v>1421</v>
      </c>
      <c r="AD26" s="638"/>
      <c r="AE26" s="638"/>
      <c r="AF26" s="447">
        <v>3500</v>
      </c>
      <c r="AG26" s="446">
        <v>93890.19</v>
      </c>
      <c r="AH26" s="447">
        <v>3103</v>
      </c>
      <c r="AI26" s="447">
        <v>-2070</v>
      </c>
      <c r="AJ26" s="638" t="s">
        <v>2154</v>
      </c>
      <c r="AK26" s="638"/>
      <c r="AL26" s="638" t="s">
        <v>2127</v>
      </c>
      <c r="AM26" s="638" t="s">
        <v>1043</v>
      </c>
      <c r="AN26" s="484">
        <v>5.5</v>
      </c>
      <c r="AO26" s="484"/>
      <c r="AP26" s="484"/>
      <c r="AQ26" s="484"/>
      <c r="AR26" s="484"/>
      <c r="AS26" s="484"/>
      <c r="AT26" s="484">
        <f>+ab($T$26,$U$24,$T$28,$G$25,$G$27,-1*$F$26,1200)</f>
        <v>5.6952815392840002</v>
      </c>
      <c r="AU26" s="484"/>
      <c r="AV26" s="484"/>
      <c r="AW26" s="638" t="s">
        <v>2844</v>
      </c>
      <c r="AX26" s="638"/>
      <c r="AY26" s="484"/>
      <c r="AZ26" s="484"/>
      <c r="BA26" s="671" t="s">
        <v>2809</v>
      </c>
      <c r="BB26" s="449" t="str">
        <f>Pole_Calculations!A178</f>
        <v>App.8-V08F-P10.3</v>
      </c>
      <c r="BC26" s="169"/>
      <c r="BD26" s="1329" t="s">
        <v>4946</v>
      </c>
      <c r="BE26" s="1329">
        <v>43801</v>
      </c>
      <c r="BF26" s="1329">
        <v>43848</v>
      </c>
      <c r="BG26" s="1329">
        <v>43808</v>
      </c>
    </row>
    <row r="27" spans="1:59" ht="15.75" customHeight="1">
      <c r="A27" s="449"/>
      <c r="B27" s="445"/>
      <c r="C27" s="446"/>
      <c r="D27" s="446"/>
      <c r="E27" s="638"/>
      <c r="F27" s="447"/>
      <c r="G27" s="484">
        <v>35.200000000000003</v>
      </c>
      <c r="H27" s="1239"/>
      <c r="I27" s="448">
        <f>SUM(G11:G27)</f>
        <v>361.79999999999995</v>
      </c>
      <c r="J27" s="446"/>
      <c r="K27" s="638"/>
      <c r="L27" s="638"/>
      <c r="M27" s="638"/>
      <c r="N27" s="1239"/>
      <c r="O27" s="1239"/>
      <c r="P27" s="1239"/>
      <c r="Q27" s="447"/>
      <c r="R27" s="447"/>
      <c r="S27" s="484">
        <f>+AG28-AG26</f>
        <v>35.190000000002328</v>
      </c>
      <c r="T27" s="638"/>
      <c r="U27" s="638"/>
      <c r="V27" s="638"/>
      <c r="W27" s="638"/>
      <c r="X27" s="638"/>
      <c r="Y27" s="638"/>
      <c r="Z27" s="638"/>
      <c r="AA27" s="638"/>
      <c r="AB27" s="638"/>
      <c r="AC27" s="638"/>
      <c r="AD27" s="638"/>
      <c r="AE27" s="638"/>
      <c r="AF27" s="447"/>
      <c r="AG27" s="446"/>
      <c r="AH27" s="447"/>
      <c r="AI27" s="447"/>
      <c r="AJ27" s="638"/>
      <c r="AK27" s="638"/>
      <c r="AL27" s="638"/>
      <c r="AM27" s="638"/>
      <c r="AN27" s="484"/>
      <c r="AO27" s="484"/>
      <c r="AP27" s="484"/>
      <c r="AQ27" s="484">
        <f>+FL_2($T$28,$T$26,$G$27,1200,9.28,-1*$F$28)</f>
        <v>-0.35</v>
      </c>
      <c r="AR27" s="484"/>
      <c r="AS27" s="484"/>
      <c r="AT27" s="484"/>
      <c r="AU27" s="484"/>
      <c r="AV27" s="484"/>
      <c r="AW27" s="638"/>
      <c r="AX27" s="638"/>
      <c r="AY27" s="484"/>
      <c r="AZ27" s="484"/>
      <c r="BA27" s="671"/>
      <c r="BB27" s="449"/>
      <c r="BC27" s="169"/>
      <c r="BD27" s="1330"/>
      <c r="BE27" s="1330"/>
      <c r="BF27" s="1330"/>
      <c r="BG27" s="1330"/>
    </row>
    <row r="28" spans="1:59" ht="15.75" customHeight="1">
      <c r="A28" s="449"/>
      <c r="B28" s="438" t="s">
        <v>2051</v>
      </c>
      <c r="C28" s="446">
        <f>+$C$26+$G$27</f>
        <v>93925.250000000015</v>
      </c>
      <c r="D28" s="446"/>
      <c r="E28" s="638"/>
      <c r="F28" s="447">
        <v>0</v>
      </c>
      <c r="G28" s="484"/>
      <c r="H28" s="1239" t="s">
        <v>138</v>
      </c>
      <c r="I28" s="1239" t="s">
        <v>4233</v>
      </c>
      <c r="J28" s="446"/>
      <c r="K28" s="638"/>
      <c r="L28" s="638" t="s">
        <v>819</v>
      </c>
      <c r="M28" s="638" t="s">
        <v>1692</v>
      </c>
      <c r="N28" s="1239" t="s">
        <v>143</v>
      </c>
      <c r="O28" s="1239"/>
      <c r="P28" s="1239"/>
      <c r="Q28" s="447">
        <v>0</v>
      </c>
      <c r="R28" s="447">
        <v>0</v>
      </c>
      <c r="S28" s="484"/>
      <c r="T28" s="638">
        <v>-35</v>
      </c>
      <c r="U28" s="638"/>
      <c r="V28" s="638"/>
      <c r="W28" s="638">
        <v>1.4</v>
      </c>
      <c r="X28" s="638"/>
      <c r="Y28" s="638"/>
      <c r="Z28" s="638"/>
      <c r="AA28" s="638"/>
      <c r="AB28" s="638"/>
      <c r="AC28" s="638" t="s">
        <v>4090</v>
      </c>
      <c r="AD28" s="638"/>
      <c r="AE28" s="638"/>
      <c r="AF28" s="447">
        <v>3100</v>
      </c>
      <c r="AG28" s="446">
        <v>93925.38</v>
      </c>
      <c r="AH28" s="447">
        <v>3083</v>
      </c>
      <c r="AI28" s="447">
        <v>-2030</v>
      </c>
      <c r="AJ28" s="638"/>
      <c r="AK28" s="638"/>
      <c r="AL28" s="638" t="s">
        <v>2127</v>
      </c>
      <c r="AM28" s="638" t="s">
        <v>1043</v>
      </c>
      <c r="AN28" s="484">
        <v>5.5</v>
      </c>
      <c r="AO28" s="484"/>
      <c r="AP28" s="484"/>
      <c r="AQ28" s="484"/>
      <c r="AR28" s="484"/>
      <c r="AS28" s="484"/>
      <c r="AT28" s="484">
        <f>+ab($T$28,$T$26,$T$30,$G$27,$G$29,-1*$F$28,1200)</f>
        <v>-5.0270900519961135</v>
      </c>
      <c r="AU28" s="484"/>
      <c r="AV28" s="484"/>
      <c r="AW28" s="638" t="s">
        <v>2844</v>
      </c>
      <c r="AX28" s="638"/>
      <c r="AY28" s="484"/>
      <c r="AZ28" s="484"/>
      <c r="BA28" s="671" t="s">
        <v>2809</v>
      </c>
      <c r="BB28" s="449" t="str">
        <f>Pole_Calculations!A178</f>
        <v>App.8-V08F-P10.3</v>
      </c>
      <c r="BC28" s="169"/>
      <c r="BD28" s="1329" t="s">
        <v>4946</v>
      </c>
      <c r="BE28" s="1329">
        <v>43801</v>
      </c>
      <c r="BF28" s="1329">
        <v>43848</v>
      </c>
      <c r="BG28" s="1329">
        <v>43808</v>
      </c>
    </row>
    <row r="29" spans="1:59" ht="15.75" customHeight="1">
      <c r="A29" s="449"/>
      <c r="B29" s="445"/>
      <c r="C29" s="446"/>
      <c r="D29" s="446"/>
      <c r="E29" s="638"/>
      <c r="F29" s="447"/>
      <c r="G29" s="484">
        <v>35.700000000000003</v>
      </c>
      <c r="H29" s="1239"/>
      <c r="I29" s="448"/>
      <c r="J29" s="446">
        <f>C28+7.5</f>
        <v>93932.750000000015</v>
      </c>
      <c r="K29" s="638" t="s">
        <v>1739</v>
      </c>
      <c r="L29" s="638"/>
      <c r="M29" s="638"/>
      <c r="N29" s="1239"/>
      <c r="O29" s="1239"/>
      <c r="P29" s="1239"/>
      <c r="Q29" s="447"/>
      <c r="R29" s="447"/>
      <c r="S29" s="484">
        <f>+AG30-AG28</f>
        <v>35.929999999993015</v>
      </c>
      <c r="T29" s="638"/>
      <c r="U29" s="638"/>
      <c r="V29" s="638"/>
      <c r="W29" s="638"/>
      <c r="X29" s="638"/>
      <c r="Y29" s="638"/>
      <c r="Z29" s="638"/>
      <c r="AA29" s="638"/>
      <c r="AB29" s="638"/>
      <c r="AC29" s="638"/>
      <c r="AD29" s="638"/>
      <c r="AE29" s="638"/>
      <c r="AF29" s="447"/>
      <c r="AG29" s="446"/>
      <c r="AH29" s="447"/>
      <c r="AI29" s="447"/>
      <c r="AJ29" s="638"/>
      <c r="AK29" s="638"/>
      <c r="AL29" s="638"/>
      <c r="AM29" s="638"/>
      <c r="AN29" s="484"/>
      <c r="AO29" s="484"/>
      <c r="AP29" s="484"/>
      <c r="AQ29" s="484">
        <f>+FL_2($T$30,$T$28,$G$29,1200,9.28,-1*$F$30)</f>
        <v>-0.35000000000000847</v>
      </c>
      <c r="AR29" s="484"/>
      <c r="AS29" s="484"/>
      <c r="AT29" s="484"/>
      <c r="AU29" s="484"/>
      <c r="AV29" s="484"/>
      <c r="AW29" s="638" t="s">
        <v>2885</v>
      </c>
      <c r="AX29" s="638"/>
      <c r="AY29" s="484"/>
      <c r="AZ29" s="484"/>
      <c r="BA29" s="671" t="s">
        <v>2809</v>
      </c>
      <c r="BB29" s="449"/>
      <c r="BC29" s="169"/>
      <c r="BD29" s="1329" t="s">
        <v>4946</v>
      </c>
      <c r="BE29" s="1330"/>
      <c r="BF29" s="1330"/>
      <c r="BG29" s="1330"/>
    </row>
    <row r="30" spans="1:59" ht="15.75" customHeight="1">
      <c r="A30" s="449"/>
      <c r="B30" s="438" t="s">
        <v>2052</v>
      </c>
      <c r="C30" s="446">
        <f>+$C$28+$G$29</f>
        <v>93960.950000000012</v>
      </c>
      <c r="D30" s="446"/>
      <c r="E30" s="638"/>
      <c r="F30" s="447">
        <v>0</v>
      </c>
      <c r="G30" s="484"/>
      <c r="H30" s="638" t="s">
        <v>4952</v>
      </c>
      <c r="I30" s="1239"/>
      <c r="J30" s="446"/>
      <c r="K30" s="638"/>
      <c r="L30" s="638" t="s">
        <v>819</v>
      </c>
      <c r="M30" s="638" t="s">
        <v>1692</v>
      </c>
      <c r="N30" s="1239" t="s">
        <v>144</v>
      </c>
      <c r="O30" s="1239" t="s">
        <v>143</v>
      </c>
      <c r="P30" s="1239"/>
      <c r="Q30" s="447">
        <v>0</v>
      </c>
      <c r="R30" s="447">
        <v>0</v>
      </c>
      <c r="S30" s="484"/>
      <c r="T30" s="638">
        <v>35</v>
      </c>
      <c r="U30" s="638">
        <v>20</v>
      </c>
      <c r="V30" s="638"/>
      <c r="W30" s="638">
        <v>1.4</v>
      </c>
      <c r="X30" s="638">
        <v>1.8</v>
      </c>
      <c r="Y30" s="638"/>
      <c r="Z30" s="638"/>
      <c r="AA30" s="638"/>
      <c r="AB30" s="638"/>
      <c r="AC30" s="638" t="s">
        <v>1427</v>
      </c>
      <c r="AD30" s="638" t="s">
        <v>4207</v>
      </c>
      <c r="AE30" s="638"/>
      <c r="AF30" s="447">
        <v>3200</v>
      </c>
      <c r="AG30" s="446">
        <v>93961.31</v>
      </c>
      <c r="AH30" s="447">
        <v>3153</v>
      </c>
      <c r="AI30" s="447">
        <v>-2010</v>
      </c>
      <c r="AJ30" s="638"/>
      <c r="AK30" s="638"/>
      <c r="AL30" s="638" t="s">
        <v>2127</v>
      </c>
      <c r="AM30" s="638" t="s">
        <v>1043</v>
      </c>
      <c r="AN30" s="484">
        <v>5.5</v>
      </c>
      <c r="AO30" s="484"/>
      <c r="AP30" s="484"/>
      <c r="AQ30" s="484"/>
      <c r="AR30" s="484"/>
      <c r="AS30" s="484"/>
      <c r="AT30" s="484">
        <f>+ab($T$30,$T$28,$T$32,$G$29,$G$31,-1*$F$30,1200)</f>
        <v>9.1678748716711898</v>
      </c>
      <c r="AU30" s="484"/>
      <c r="AV30" s="484"/>
      <c r="AW30" s="638" t="s">
        <v>2844</v>
      </c>
      <c r="AX30" s="638"/>
      <c r="AY30" s="484"/>
      <c r="AZ30" s="484"/>
      <c r="BA30" s="671" t="s">
        <v>2809</v>
      </c>
      <c r="BB30" s="449" t="str">
        <f>Pole_Calculations!A178</f>
        <v>App.8-V08F-P10.3</v>
      </c>
      <c r="BC30" s="169"/>
      <c r="BD30" s="1329" t="s">
        <v>4946</v>
      </c>
      <c r="BE30" s="1329">
        <v>43801</v>
      </c>
      <c r="BF30" s="1329"/>
      <c r="BG30" s="1329">
        <v>43808</v>
      </c>
    </row>
    <row r="31" spans="1:59" ht="15.75" customHeight="1">
      <c r="A31" s="449"/>
      <c r="B31" s="445"/>
      <c r="C31" s="446"/>
      <c r="D31" s="446"/>
      <c r="E31" s="638"/>
      <c r="F31" s="447"/>
      <c r="G31" s="484">
        <v>43.7</v>
      </c>
      <c r="H31" s="1239"/>
      <c r="I31" s="448"/>
      <c r="J31" s="446"/>
      <c r="K31" s="638"/>
      <c r="L31" s="638"/>
      <c r="M31" s="638"/>
      <c r="N31" s="1239"/>
      <c r="O31" s="1239"/>
      <c r="P31" s="1239"/>
      <c r="Q31" s="447"/>
      <c r="R31" s="447"/>
      <c r="S31" s="484">
        <f>+AG32-AG30</f>
        <v>44.850000000005821</v>
      </c>
      <c r="T31" s="638"/>
      <c r="U31" s="638"/>
      <c r="V31" s="638"/>
      <c r="W31" s="638"/>
      <c r="X31" s="638"/>
      <c r="Y31" s="638"/>
      <c r="Z31" s="638"/>
      <c r="AA31" s="638"/>
      <c r="AB31" s="638"/>
      <c r="AC31" s="638"/>
      <c r="AD31" s="638"/>
      <c r="AE31" s="638"/>
      <c r="AF31" s="447"/>
      <c r="AG31" s="446"/>
      <c r="AH31" s="447"/>
      <c r="AI31" s="447"/>
      <c r="AJ31" s="638"/>
      <c r="AK31" s="638"/>
      <c r="AL31" s="638"/>
      <c r="AM31" s="638"/>
      <c r="AN31" s="484"/>
      <c r="AO31" s="484"/>
      <c r="AP31" s="484"/>
      <c r="AQ31" s="484">
        <f>+FL_2($T$32,$T$30,$G$31,1200,9.28,-1*$F$32)</f>
        <v>-0.16999622694689531</v>
      </c>
      <c r="AR31" s="484"/>
      <c r="AS31" s="484"/>
      <c r="AT31" s="484"/>
      <c r="AU31" s="484"/>
      <c r="AV31" s="484"/>
      <c r="AW31" s="638"/>
      <c r="AX31" s="638"/>
      <c r="AY31" s="484"/>
      <c r="AZ31" s="484"/>
      <c r="BA31" s="671"/>
      <c r="BB31" s="449"/>
      <c r="BC31" s="169"/>
      <c r="BD31" s="1330"/>
      <c r="BE31" s="1330"/>
      <c r="BF31" s="1330"/>
      <c r="BG31" s="1330"/>
    </row>
    <row r="32" spans="1:59" ht="15.75" customHeight="1">
      <c r="A32" s="449"/>
      <c r="B32" s="1239" t="s">
        <v>2053</v>
      </c>
      <c r="C32" s="446">
        <f>+$C$30+$G$31</f>
        <v>94004.650000000009</v>
      </c>
      <c r="D32" s="446"/>
      <c r="E32" s="638"/>
      <c r="F32" s="447">
        <v>-770</v>
      </c>
      <c r="G32" s="484"/>
      <c r="H32" s="1239" t="s">
        <v>619</v>
      </c>
      <c r="I32" s="1239"/>
      <c r="J32" s="171"/>
      <c r="K32" s="638"/>
      <c r="L32" s="638" t="s">
        <v>819</v>
      </c>
      <c r="M32" s="638" t="s">
        <v>1692</v>
      </c>
      <c r="N32" s="1239" t="s">
        <v>144</v>
      </c>
      <c r="O32" s="1239" t="s">
        <v>140</v>
      </c>
      <c r="P32" s="1239"/>
      <c r="Q32" s="447">
        <v>20</v>
      </c>
      <c r="R32" s="447">
        <v>-781.55</v>
      </c>
      <c r="S32" s="484"/>
      <c r="T32" s="638">
        <v>30</v>
      </c>
      <c r="U32" s="638">
        <v>15</v>
      </c>
      <c r="V32" s="638"/>
      <c r="W32" s="638">
        <v>1</v>
      </c>
      <c r="X32" s="638">
        <v>1.4</v>
      </c>
      <c r="Y32" s="638"/>
      <c r="Z32" s="638"/>
      <c r="AA32" s="638">
        <v>0.4</v>
      </c>
      <c r="AB32" s="638"/>
      <c r="AC32" s="638" t="s">
        <v>3050</v>
      </c>
      <c r="AD32" s="638"/>
      <c r="AE32" s="638"/>
      <c r="AF32" s="447">
        <v>3700</v>
      </c>
      <c r="AG32" s="446">
        <v>94006.16</v>
      </c>
      <c r="AH32" s="447">
        <v>3253</v>
      </c>
      <c r="AI32" s="447">
        <v>-1930</v>
      </c>
      <c r="AJ32" s="638"/>
      <c r="AK32" s="638"/>
      <c r="AL32" s="638" t="s">
        <v>2127</v>
      </c>
      <c r="AM32" s="638" t="s">
        <v>1043</v>
      </c>
      <c r="AN32" s="484">
        <v>5.5</v>
      </c>
      <c r="AO32" s="484"/>
      <c r="AP32" s="484"/>
      <c r="AQ32" s="484"/>
      <c r="AR32" s="484"/>
      <c r="AS32" s="484"/>
      <c r="AT32" s="484">
        <f>+ab($T$32,$T$30,$T$34,$G$31,$G$33,-1*$F$32,1200)</f>
        <v>3.0645528151864112</v>
      </c>
      <c r="AU32" s="484"/>
      <c r="AV32" s="484"/>
      <c r="AW32" s="638" t="s">
        <v>2844</v>
      </c>
      <c r="AX32" s="638"/>
      <c r="AY32" s="484"/>
      <c r="AZ32" s="484"/>
      <c r="BA32" s="671" t="s">
        <v>2809</v>
      </c>
      <c r="BB32" s="449" t="str">
        <f>Pole_Calculations!A178</f>
        <v>App.8-V08F-P10.3</v>
      </c>
      <c r="BC32" s="169"/>
      <c r="BD32" s="1329" t="s">
        <v>4946</v>
      </c>
      <c r="BE32" s="1329" t="s">
        <v>4946</v>
      </c>
      <c r="BF32" s="1329">
        <v>43850</v>
      </c>
      <c r="BG32" s="1329">
        <v>43814</v>
      </c>
    </row>
    <row r="33" spans="1:59" ht="15.75" customHeight="1">
      <c r="A33" s="488" t="s">
        <v>1851</v>
      </c>
      <c r="B33" s="494"/>
      <c r="C33" s="489"/>
      <c r="D33" s="489"/>
      <c r="E33" s="490"/>
      <c r="F33" s="491"/>
      <c r="G33" s="493">
        <v>54.4</v>
      </c>
      <c r="H33" s="495"/>
      <c r="I33" s="492">
        <v>324</v>
      </c>
      <c r="J33" s="431"/>
      <c r="K33" s="490"/>
      <c r="L33" s="490"/>
      <c r="M33" s="490"/>
      <c r="N33" s="495"/>
      <c r="O33" s="495"/>
      <c r="P33" s="495"/>
      <c r="Q33" s="491"/>
      <c r="R33" s="491"/>
      <c r="S33" s="493">
        <f>+AG34-AG32</f>
        <v>52.839999999996508</v>
      </c>
      <c r="T33" s="490"/>
      <c r="U33" s="490"/>
      <c r="V33" s="490"/>
      <c r="W33" s="490"/>
      <c r="X33" s="490"/>
      <c r="Y33" s="490"/>
      <c r="Z33" s="490"/>
      <c r="AA33" s="490"/>
      <c r="AB33" s="490"/>
      <c r="AC33" s="490"/>
      <c r="AD33" s="490"/>
      <c r="AE33" s="490"/>
      <c r="AF33" s="491"/>
      <c r="AG33" s="489"/>
      <c r="AH33" s="491"/>
      <c r="AI33" s="491"/>
      <c r="AJ33" s="490"/>
      <c r="AK33" s="490"/>
      <c r="AL33" s="490"/>
      <c r="AM33" s="490"/>
      <c r="AN33" s="493"/>
      <c r="AO33" s="493"/>
      <c r="AP33" s="493"/>
      <c r="AQ33" s="493">
        <f>+FL_1($T$34,$T$32,$G$33,1200,9.28,-1*$F$34)</f>
        <v>0.30014292627382805</v>
      </c>
      <c r="AR33" s="493"/>
      <c r="AS33" s="493"/>
      <c r="AT33" s="493"/>
      <c r="AU33" s="493"/>
      <c r="AV33" s="493"/>
      <c r="AW33" s="490"/>
      <c r="AX33" s="490"/>
      <c r="AY33" s="493"/>
      <c r="AZ33" s="493"/>
      <c r="BA33" s="602"/>
      <c r="BB33" s="488"/>
      <c r="BC33" s="169"/>
      <c r="BD33" s="1330"/>
      <c r="BE33" s="1330"/>
      <c r="BF33" s="1330"/>
      <c r="BG33" s="1330"/>
    </row>
    <row r="34" spans="1:59" ht="15.75" customHeight="1">
      <c r="A34" s="449"/>
      <c r="B34" s="445" t="s">
        <v>2054</v>
      </c>
      <c r="C34" s="446">
        <f>+$C$32+$G$33</f>
        <v>94059.05</v>
      </c>
      <c r="D34" s="446"/>
      <c r="E34" s="638"/>
      <c r="F34" s="447">
        <v>-770</v>
      </c>
      <c r="G34" s="484"/>
      <c r="H34" s="1239" t="s">
        <v>890</v>
      </c>
      <c r="I34" s="1239" t="s">
        <v>624</v>
      </c>
      <c r="J34" s="171"/>
      <c r="K34" s="638"/>
      <c r="L34" s="638" t="s">
        <v>819</v>
      </c>
      <c r="M34" s="638" t="s">
        <v>1692</v>
      </c>
      <c r="N34" s="1239" t="s">
        <v>144</v>
      </c>
      <c r="O34" s="1239"/>
      <c r="P34" s="1239"/>
      <c r="Q34" s="447">
        <v>30</v>
      </c>
      <c r="R34" s="447">
        <v>-781.55</v>
      </c>
      <c r="S34" s="484"/>
      <c r="T34" s="638">
        <v>30</v>
      </c>
      <c r="U34" s="638"/>
      <c r="V34" s="638"/>
      <c r="W34" s="638">
        <v>1.2</v>
      </c>
      <c r="X34" s="638"/>
      <c r="Y34" s="638"/>
      <c r="Z34" s="638"/>
      <c r="AA34" s="638"/>
      <c r="AB34" s="638"/>
      <c r="AC34" s="638" t="s">
        <v>3050</v>
      </c>
      <c r="AD34" s="638"/>
      <c r="AE34" s="638"/>
      <c r="AF34" s="447">
        <v>3500</v>
      </c>
      <c r="AG34" s="446">
        <v>94059</v>
      </c>
      <c r="AH34" s="447">
        <v>2583</v>
      </c>
      <c r="AI34" s="447">
        <v>-1930</v>
      </c>
      <c r="AJ34" s="638"/>
      <c r="AK34" s="638"/>
      <c r="AL34" s="638" t="s">
        <v>2127</v>
      </c>
      <c r="AM34" s="638" t="s">
        <v>1043</v>
      </c>
      <c r="AN34" s="484">
        <v>5.43</v>
      </c>
      <c r="AO34" s="484"/>
      <c r="AP34" s="484"/>
      <c r="AQ34" s="484"/>
      <c r="AR34" s="484"/>
      <c r="AS34" s="484"/>
      <c r="AT34" s="484">
        <f>+ab($T$34,$T$32,$T$36,$G$33,$G$35,-1*$F$34,1200)</f>
        <v>3.0881640817654938</v>
      </c>
      <c r="AU34" s="484"/>
      <c r="AV34" s="484"/>
      <c r="AW34" s="638" t="s">
        <v>2844</v>
      </c>
      <c r="AX34" s="638"/>
      <c r="AY34" s="484"/>
      <c r="AZ34" s="484"/>
      <c r="BA34" s="671" t="s">
        <v>2809</v>
      </c>
      <c r="BB34" s="449" t="str">
        <f>Pole_Calculations!A178</f>
        <v>App.8-V08F-P10.3</v>
      </c>
      <c r="BC34" s="169"/>
      <c r="BD34" s="1329" t="s">
        <v>4946</v>
      </c>
      <c r="BE34" s="1329">
        <v>43802</v>
      </c>
      <c r="BF34" s="1329">
        <v>43850</v>
      </c>
      <c r="BG34" s="1329">
        <v>43814</v>
      </c>
    </row>
    <row r="35" spans="1:59" ht="15.75" customHeight="1">
      <c r="A35" s="449"/>
      <c r="B35" s="445"/>
      <c r="C35" s="446"/>
      <c r="D35" s="446"/>
      <c r="E35" s="638"/>
      <c r="F35" s="447"/>
      <c r="G35" s="484">
        <v>41.2</v>
      </c>
      <c r="H35" s="1239"/>
      <c r="I35" s="448"/>
      <c r="J35" s="446">
        <f>C34+7.5</f>
        <v>94066.55</v>
      </c>
      <c r="K35" s="638" t="s">
        <v>1739</v>
      </c>
      <c r="L35" s="638"/>
      <c r="M35" s="638"/>
      <c r="N35" s="1239"/>
      <c r="O35" s="1239"/>
      <c r="P35" s="1239"/>
      <c r="Q35" s="447"/>
      <c r="R35" s="447"/>
      <c r="S35" s="484">
        <f>+AG36-AG34</f>
        <v>40.770000000004075</v>
      </c>
      <c r="T35" s="638"/>
      <c r="U35" s="638"/>
      <c r="V35" s="638"/>
      <c r="W35" s="638"/>
      <c r="X35" s="638"/>
      <c r="Y35" s="638"/>
      <c r="Z35" s="638"/>
      <c r="AA35" s="638"/>
      <c r="AB35" s="638"/>
      <c r="AC35" s="638"/>
      <c r="AD35" s="638"/>
      <c r="AE35" s="638"/>
      <c r="AF35" s="447"/>
      <c r="AG35" s="446"/>
      <c r="AH35" s="447"/>
      <c r="AI35" s="447"/>
      <c r="AJ35" s="638"/>
      <c r="AK35" s="638"/>
      <c r="AL35" s="638"/>
      <c r="AM35" s="638"/>
      <c r="AN35" s="484"/>
      <c r="AO35" s="484"/>
      <c r="AP35" s="484"/>
      <c r="AQ35" s="484">
        <f>+FL_1($T$36,$T$34,$G$35,1200,9.28,-1*$F$36)</f>
        <v>0.3</v>
      </c>
      <c r="AR35" s="484"/>
      <c r="AS35" s="484"/>
      <c r="AT35" s="484"/>
      <c r="AU35" s="484"/>
      <c r="AV35" s="484"/>
      <c r="AW35" s="638" t="s">
        <v>2885</v>
      </c>
      <c r="AX35" s="638"/>
      <c r="AY35" s="484"/>
      <c r="AZ35" s="484"/>
      <c r="BA35" s="671" t="s">
        <v>2809</v>
      </c>
      <c r="BB35" s="449"/>
      <c r="BC35" s="169"/>
      <c r="BD35" s="1329" t="s">
        <v>4946</v>
      </c>
      <c r="BE35" s="1330"/>
      <c r="BF35" s="1330"/>
      <c r="BG35" s="1330"/>
    </row>
    <row r="36" spans="1:59" ht="15.75" customHeight="1">
      <c r="A36" s="449"/>
      <c r="B36" s="445" t="s">
        <v>2055</v>
      </c>
      <c r="C36" s="446">
        <f>+$C$34+$G$35</f>
        <v>94100.25</v>
      </c>
      <c r="D36" s="446"/>
      <c r="E36" s="638"/>
      <c r="F36" s="447">
        <v>-770</v>
      </c>
      <c r="G36" s="484"/>
      <c r="H36" s="638"/>
      <c r="I36" s="448"/>
      <c r="J36" s="446"/>
      <c r="K36" s="638"/>
      <c r="L36" s="638" t="s">
        <v>819</v>
      </c>
      <c r="M36" s="638" t="s">
        <v>1692</v>
      </c>
      <c r="N36" s="1239" t="s">
        <v>144</v>
      </c>
      <c r="O36" s="1239"/>
      <c r="P36" s="1239"/>
      <c r="Q36" s="447">
        <v>30</v>
      </c>
      <c r="R36" s="447">
        <v>-781.55</v>
      </c>
      <c r="S36" s="484"/>
      <c r="T36" s="638">
        <v>30</v>
      </c>
      <c r="U36" s="638"/>
      <c r="V36" s="638"/>
      <c r="W36" s="638">
        <v>1.4</v>
      </c>
      <c r="X36" s="638"/>
      <c r="Y36" s="638"/>
      <c r="Z36" s="638"/>
      <c r="AA36" s="638"/>
      <c r="AB36" s="638"/>
      <c r="AC36" s="638" t="s">
        <v>3050</v>
      </c>
      <c r="AD36" s="638"/>
      <c r="AE36" s="638"/>
      <c r="AF36" s="447">
        <v>3300</v>
      </c>
      <c r="AG36" s="446">
        <v>94099.77</v>
      </c>
      <c r="AH36" s="447">
        <v>2643</v>
      </c>
      <c r="AI36" s="447">
        <v>-1820</v>
      </c>
      <c r="AJ36" s="638"/>
      <c r="AK36" s="638"/>
      <c r="AL36" s="638" t="s">
        <v>2127</v>
      </c>
      <c r="AM36" s="638" t="s">
        <v>1043</v>
      </c>
      <c r="AN36" s="484">
        <v>5.31</v>
      </c>
      <c r="AO36" s="484"/>
      <c r="AP36" s="484"/>
      <c r="AQ36" s="484"/>
      <c r="AR36" s="484"/>
      <c r="AS36" s="484"/>
      <c r="AT36" s="484">
        <f>+ab($T$36,$T$34,$T$38,$G$35,$G$37,-1*$F$36,1200)</f>
        <v>3.3849863300535015</v>
      </c>
      <c r="AU36" s="484"/>
      <c r="AV36" s="484"/>
      <c r="AW36" s="638" t="s">
        <v>2845</v>
      </c>
      <c r="AX36" s="638"/>
      <c r="AY36" s="484"/>
      <c r="AZ36" s="484"/>
      <c r="BA36" s="671" t="s">
        <v>2809</v>
      </c>
      <c r="BB36" s="449" t="str">
        <f>Pole_Calculations!A178</f>
        <v>App.8-V08F-P10.3</v>
      </c>
      <c r="BC36" s="169"/>
      <c r="BD36" s="1329">
        <v>43787</v>
      </c>
      <c r="BE36" s="1329">
        <v>43802</v>
      </c>
      <c r="BF36" s="1329">
        <v>43857</v>
      </c>
      <c r="BG36" s="1329">
        <v>43814</v>
      </c>
    </row>
    <row r="37" spans="1:59" ht="15.75" customHeight="1">
      <c r="A37" s="449"/>
      <c r="B37" s="445"/>
      <c r="C37" s="446"/>
      <c r="D37" s="446"/>
      <c r="E37" s="638"/>
      <c r="F37" s="447"/>
      <c r="G37" s="484">
        <v>46</v>
      </c>
      <c r="H37" s="1239"/>
      <c r="I37" s="448"/>
      <c r="J37" s="446"/>
      <c r="K37" s="638"/>
      <c r="L37" s="638"/>
      <c r="M37" s="638"/>
      <c r="N37" s="1239"/>
      <c r="O37" s="1239"/>
      <c r="P37" s="1239"/>
      <c r="Q37" s="447"/>
      <c r="R37" s="447"/>
      <c r="S37" s="484">
        <f>+AG38-AG36</f>
        <v>45.940000000002328</v>
      </c>
      <c r="T37" s="638"/>
      <c r="U37" s="638"/>
      <c r="V37" s="638"/>
      <c r="W37" s="638"/>
      <c r="X37" s="638"/>
      <c r="Y37" s="638"/>
      <c r="Z37" s="638"/>
      <c r="AA37" s="638"/>
      <c r="AB37" s="638"/>
      <c r="AC37" s="638"/>
      <c r="AD37" s="638"/>
      <c r="AE37" s="638"/>
      <c r="AF37" s="447"/>
      <c r="AG37" s="446"/>
      <c r="AH37" s="447"/>
      <c r="AI37" s="447"/>
      <c r="AJ37" s="638"/>
      <c r="AK37" s="638"/>
      <c r="AL37" s="638"/>
      <c r="AM37" s="638"/>
      <c r="AN37" s="484"/>
      <c r="AO37" s="484"/>
      <c r="AP37" s="484"/>
      <c r="AQ37" s="484">
        <f>+FL_1($T$38,$T$36,$G$37,1200,9.28,-1*$F$38)</f>
        <v>0.30012086084245132</v>
      </c>
      <c r="AR37" s="484"/>
      <c r="AS37" s="484"/>
      <c r="AT37" s="484"/>
      <c r="AU37" s="484"/>
      <c r="AV37" s="484"/>
      <c r="AW37" s="638"/>
      <c r="AX37" s="638"/>
      <c r="AY37" s="484"/>
      <c r="AZ37" s="484"/>
      <c r="BA37" s="671"/>
      <c r="BB37" s="449"/>
      <c r="BC37" s="169"/>
      <c r="BD37" s="1330"/>
      <c r="BE37" s="1330"/>
      <c r="BF37" s="1330"/>
      <c r="BG37" s="1330"/>
    </row>
    <row r="38" spans="1:59" ht="15.75" customHeight="1">
      <c r="A38" s="449"/>
      <c r="B38" s="445" t="s">
        <v>2056</v>
      </c>
      <c r="C38" s="446">
        <f>+$C$36+$G$37</f>
        <v>94146.25</v>
      </c>
      <c r="D38" s="446"/>
      <c r="E38" s="638"/>
      <c r="F38" s="447">
        <v>-770</v>
      </c>
      <c r="G38" s="484"/>
      <c r="H38" s="1239"/>
      <c r="I38" s="448"/>
      <c r="J38" s="446"/>
      <c r="K38" s="638"/>
      <c r="L38" s="638" t="s">
        <v>819</v>
      </c>
      <c r="M38" s="638" t="s">
        <v>1692</v>
      </c>
      <c r="N38" s="1239" t="s">
        <v>144</v>
      </c>
      <c r="O38" s="1239"/>
      <c r="P38" s="1239"/>
      <c r="Q38" s="447">
        <v>30</v>
      </c>
      <c r="R38" s="447">
        <v>-781.55</v>
      </c>
      <c r="S38" s="484"/>
      <c r="T38" s="638">
        <v>30</v>
      </c>
      <c r="U38" s="638"/>
      <c r="V38" s="638"/>
      <c r="W38" s="638">
        <v>1</v>
      </c>
      <c r="X38" s="638"/>
      <c r="Y38" s="638"/>
      <c r="Z38" s="638"/>
      <c r="AA38" s="638"/>
      <c r="AB38" s="638"/>
      <c r="AC38" s="638" t="s">
        <v>3050</v>
      </c>
      <c r="AD38" s="638"/>
      <c r="AE38" s="638"/>
      <c r="AF38" s="447">
        <v>3000</v>
      </c>
      <c r="AG38" s="446">
        <v>94145.71</v>
      </c>
      <c r="AH38" s="447">
        <v>2373</v>
      </c>
      <c r="AI38" s="447">
        <v>-2110</v>
      </c>
      <c r="AJ38" s="638"/>
      <c r="AK38" s="638"/>
      <c r="AL38" s="638" t="s">
        <v>2127</v>
      </c>
      <c r="AM38" s="638" t="s">
        <v>1043</v>
      </c>
      <c r="AN38" s="484">
        <v>5.21</v>
      </c>
      <c r="AO38" s="484"/>
      <c r="AP38" s="484"/>
      <c r="AQ38" s="484"/>
      <c r="AR38" s="484"/>
      <c r="AS38" s="484"/>
      <c r="AT38" s="484">
        <f>+ab($T$38,$T$36,$T$40,$G$37,$G$39,-1*$F$38,1200)</f>
        <v>3.2871981610904095</v>
      </c>
      <c r="AU38" s="484"/>
      <c r="AV38" s="484"/>
      <c r="AW38" s="638" t="s">
        <v>2845</v>
      </c>
      <c r="AX38" s="638"/>
      <c r="AY38" s="484"/>
      <c r="AZ38" s="484"/>
      <c r="BA38" s="671" t="s">
        <v>2809</v>
      </c>
      <c r="BB38" s="449" t="str">
        <f>Pole_Calculations!A178</f>
        <v>App.8-V08F-P10.3</v>
      </c>
      <c r="BC38" s="169"/>
      <c r="BD38" s="1329">
        <v>43787</v>
      </c>
      <c r="BE38" s="1329">
        <v>43802</v>
      </c>
      <c r="BF38" s="1329">
        <v>43857</v>
      </c>
      <c r="BG38" s="1329">
        <v>43814</v>
      </c>
    </row>
    <row r="39" spans="1:59" ht="15.75" customHeight="1">
      <c r="A39" s="449"/>
      <c r="B39" s="445"/>
      <c r="C39" s="446"/>
      <c r="D39" s="446"/>
      <c r="E39" s="638"/>
      <c r="F39" s="447"/>
      <c r="G39" s="484">
        <v>43.8</v>
      </c>
      <c r="H39" s="1239"/>
      <c r="I39" s="448"/>
      <c r="J39" s="446"/>
      <c r="K39" s="638"/>
      <c r="L39" s="638"/>
      <c r="M39" s="638"/>
      <c r="N39" s="1239"/>
      <c r="O39" s="1239"/>
      <c r="P39" s="638"/>
      <c r="Q39" s="447"/>
      <c r="R39" s="447"/>
      <c r="S39" s="484">
        <f>+AG40-AG38</f>
        <v>44.069999999992433</v>
      </c>
      <c r="T39" s="638"/>
      <c r="U39" s="638"/>
      <c r="V39" s="638"/>
      <c r="W39" s="638"/>
      <c r="X39" s="638"/>
      <c r="Y39" s="638"/>
      <c r="Z39" s="638"/>
      <c r="AA39" s="638"/>
      <c r="AB39" s="638"/>
      <c r="AC39" s="638"/>
      <c r="AD39" s="638"/>
      <c r="AE39" s="638"/>
      <c r="AF39" s="447"/>
      <c r="AG39" s="446"/>
      <c r="AH39" s="447"/>
      <c r="AI39" s="447"/>
      <c r="AJ39" s="638"/>
      <c r="AK39" s="638"/>
      <c r="AL39" s="638"/>
      <c r="AM39" s="638"/>
      <c r="AN39" s="484"/>
      <c r="AO39" s="484"/>
      <c r="AP39" s="484"/>
      <c r="AQ39" s="484">
        <f>+FL_1($T$40,$T$38,$G$39,1200,9.28,-1*$F$40)</f>
        <v>0.30011508180025243</v>
      </c>
      <c r="AR39" s="484"/>
      <c r="AS39" s="484"/>
      <c r="AT39" s="484"/>
      <c r="AU39" s="484"/>
      <c r="AV39" s="484"/>
      <c r="AW39" s="638"/>
      <c r="AX39" s="638"/>
      <c r="AY39" s="484"/>
      <c r="AZ39" s="484"/>
      <c r="BA39" s="671"/>
      <c r="BB39" s="449"/>
      <c r="BC39" s="169"/>
      <c r="BD39" s="1330"/>
      <c r="BE39" s="1330"/>
      <c r="BF39" s="1330"/>
      <c r="BG39" s="1330"/>
    </row>
    <row r="40" spans="1:59" ht="25">
      <c r="A40" s="449"/>
      <c r="B40" s="445" t="s">
        <v>2057</v>
      </c>
      <c r="C40" s="446">
        <f>+$C$38+$G$39</f>
        <v>94190.05</v>
      </c>
      <c r="D40" s="446"/>
      <c r="E40" s="638"/>
      <c r="F40" s="447">
        <v>-770</v>
      </c>
      <c r="G40" s="484"/>
      <c r="H40" s="1239" t="s">
        <v>138</v>
      </c>
      <c r="I40" s="448" t="s">
        <v>4231</v>
      </c>
      <c r="J40" s="446">
        <f>C40-7.5</f>
        <v>94182.55</v>
      </c>
      <c r="K40" s="638" t="s">
        <v>1739</v>
      </c>
      <c r="L40" s="638" t="s">
        <v>819</v>
      </c>
      <c r="M40" s="638" t="s">
        <v>1692</v>
      </c>
      <c r="N40" s="1239" t="s">
        <v>2797</v>
      </c>
      <c r="O40" s="1239"/>
      <c r="P40" s="1239"/>
      <c r="Q40" s="447">
        <v>30</v>
      </c>
      <c r="R40" s="447">
        <v>-781.55</v>
      </c>
      <c r="S40" s="484"/>
      <c r="T40" s="638">
        <v>30</v>
      </c>
      <c r="U40" s="638"/>
      <c r="V40" s="638"/>
      <c r="W40" s="638">
        <v>0.55000000000000004</v>
      </c>
      <c r="X40" s="638"/>
      <c r="Y40" s="638"/>
      <c r="Z40" s="638"/>
      <c r="AA40" s="638"/>
      <c r="AB40" s="638"/>
      <c r="AC40" s="638" t="s">
        <v>3050</v>
      </c>
      <c r="AD40" s="638"/>
      <c r="AE40" s="638"/>
      <c r="AF40" s="447">
        <v>3400</v>
      </c>
      <c r="AG40" s="446">
        <v>94189.78</v>
      </c>
      <c r="AH40" s="447">
        <v>2473</v>
      </c>
      <c r="AI40" s="447">
        <v>-2200</v>
      </c>
      <c r="AJ40" s="638"/>
      <c r="AK40" s="638"/>
      <c r="AL40" s="638" t="s">
        <v>2127</v>
      </c>
      <c r="AM40" s="638" t="s">
        <v>1043</v>
      </c>
      <c r="AN40" s="484">
        <v>5.15</v>
      </c>
      <c r="AO40" s="484"/>
      <c r="AP40" s="484"/>
      <c r="AQ40" s="484"/>
      <c r="AR40" s="484"/>
      <c r="AS40" s="484"/>
      <c r="AT40" s="484">
        <f>+ab($T$40,$T$38,$U$42,$G$39,$G$41,-1*$F$40,1200)</f>
        <v>3.5219856872251687</v>
      </c>
      <c r="AU40" s="484"/>
      <c r="AV40" s="484"/>
      <c r="AW40" s="644" t="s">
        <v>2922</v>
      </c>
      <c r="AX40" s="638"/>
      <c r="AY40" s="484"/>
      <c r="AZ40" s="484"/>
      <c r="BA40" s="671" t="s">
        <v>2809</v>
      </c>
      <c r="BB40" s="449" t="str">
        <f>Pole_Calculations!A178</f>
        <v>App.8-V08F-P10.3</v>
      </c>
      <c r="BC40" s="169"/>
      <c r="BD40" s="1329">
        <v>43787</v>
      </c>
      <c r="BE40" s="1329">
        <v>43802</v>
      </c>
      <c r="BF40" s="1329" t="s">
        <v>4946</v>
      </c>
      <c r="BG40" s="1329">
        <v>43814</v>
      </c>
    </row>
    <row r="41" spans="1:59" ht="15.75" customHeight="1">
      <c r="A41" s="488" t="s">
        <v>1851</v>
      </c>
      <c r="B41" s="494"/>
      <c r="C41" s="489"/>
      <c r="D41" s="489"/>
      <c r="E41" s="490"/>
      <c r="F41" s="491"/>
      <c r="G41" s="493">
        <v>40</v>
      </c>
      <c r="H41" s="495"/>
      <c r="I41" s="492"/>
      <c r="J41" s="489">
        <f>C42-7.5</f>
        <v>94222.55</v>
      </c>
      <c r="K41" s="490" t="s">
        <v>1739</v>
      </c>
      <c r="L41" s="490"/>
      <c r="M41" s="490"/>
      <c r="N41" s="495"/>
      <c r="O41" s="495"/>
      <c r="P41" s="495"/>
      <c r="Q41" s="491"/>
      <c r="R41" s="491"/>
      <c r="S41" s="790">
        <f>+AG42-AG40</f>
        <v>39.639999999999418</v>
      </c>
      <c r="T41" s="490"/>
      <c r="U41" s="490"/>
      <c r="V41" s="490"/>
      <c r="W41" s="490"/>
      <c r="X41" s="490"/>
      <c r="Y41" s="490"/>
      <c r="Z41" s="490"/>
      <c r="AA41" s="490"/>
      <c r="AB41" s="490"/>
      <c r="AC41" s="490"/>
      <c r="AD41" s="490"/>
      <c r="AE41" s="490"/>
      <c r="AF41" s="491"/>
      <c r="AG41" s="489"/>
      <c r="AH41" s="491"/>
      <c r="AI41" s="491"/>
      <c r="AJ41" s="490"/>
      <c r="AK41" s="490"/>
      <c r="AL41" s="490"/>
      <c r="AM41" s="490"/>
      <c r="AN41" s="493"/>
      <c r="AO41" s="493"/>
      <c r="AP41" s="493"/>
      <c r="AQ41" s="493">
        <f>+FL_1($U$42,$T$40,$G$41,1200,9.28,-1*$F$42)</f>
        <v>0.3</v>
      </c>
      <c r="AR41" s="493"/>
      <c r="AS41" s="493"/>
      <c r="AT41" s="493"/>
      <c r="AU41" s="493"/>
      <c r="AV41" s="493"/>
      <c r="AW41" s="490" t="s">
        <v>2885</v>
      </c>
      <c r="AX41" s="490"/>
      <c r="AY41" s="493"/>
      <c r="AZ41" s="493"/>
      <c r="BA41" s="602" t="s">
        <v>2809</v>
      </c>
      <c r="BB41" s="488"/>
      <c r="BC41" s="169"/>
      <c r="BD41" s="1329" t="s">
        <v>4946</v>
      </c>
      <c r="BE41" s="1330"/>
      <c r="BF41" s="1330"/>
      <c r="BG41" s="1330"/>
    </row>
    <row r="42" spans="1:59" ht="15.75" customHeight="1">
      <c r="A42" s="449"/>
      <c r="B42" s="445" t="s">
        <v>2058</v>
      </c>
      <c r="C42" s="446">
        <f>+$C$40+$G$41</f>
        <v>94230.05</v>
      </c>
      <c r="D42" s="446"/>
      <c r="E42" s="638"/>
      <c r="F42" s="447">
        <v>-770</v>
      </c>
      <c r="G42" s="484"/>
      <c r="H42" s="1239" t="s">
        <v>2133</v>
      </c>
      <c r="I42" s="448" t="s">
        <v>4231</v>
      </c>
      <c r="J42" s="446"/>
      <c r="K42" s="638"/>
      <c r="L42" s="638" t="s">
        <v>819</v>
      </c>
      <c r="M42" s="638" t="s">
        <v>1692</v>
      </c>
      <c r="N42" s="1239" t="s">
        <v>140</v>
      </c>
      <c r="O42" s="1239" t="s">
        <v>2797</v>
      </c>
      <c r="P42" s="1239"/>
      <c r="Q42" s="447">
        <v>40</v>
      </c>
      <c r="R42" s="447">
        <v>-781.55</v>
      </c>
      <c r="S42" s="484"/>
      <c r="T42" s="638">
        <v>55</v>
      </c>
      <c r="U42" s="638">
        <v>30</v>
      </c>
      <c r="V42" s="638"/>
      <c r="W42" s="484">
        <v>0.55000000000000004</v>
      </c>
      <c r="X42" s="638">
        <v>0.55000000000000004</v>
      </c>
      <c r="Y42" s="638"/>
      <c r="Z42" s="638">
        <v>0.35</v>
      </c>
      <c r="AA42" s="638"/>
      <c r="AB42" s="638"/>
      <c r="AC42" s="638" t="s">
        <v>4090</v>
      </c>
      <c r="AD42" s="638"/>
      <c r="AE42" s="638"/>
      <c r="AF42" s="447">
        <v>3400</v>
      </c>
      <c r="AG42" s="446">
        <v>94229.42</v>
      </c>
      <c r="AH42" s="447">
        <v>2463</v>
      </c>
      <c r="AI42" s="447">
        <v>-2250</v>
      </c>
      <c r="AJ42" s="638"/>
      <c r="AK42" s="638"/>
      <c r="AL42" s="638" t="s">
        <v>2127</v>
      </c>
      <c r="AM42" s="638" t="s">
        <v>1043</v>
      </c>
      <c r="AN42" s="484">
        <v>5.15</v>
      </c>
      <c r="AO42" s="484"/>
      <c r="AP42" s="484"/>
      <c r="AQ42" s="484"/>
      <c r="AR42" s="484"/>
      <c r="AS42" s="484"/>
      <c r="AT42" s="484">
        <f>+ab($U$42,$T$40,$U$44,$G$41,$G$43,-1*$F$42,1200)</f>
        <v>4.1548805897775996</v>
      </c>
      <c r="AU42" s="484"/>
      <c r="AV42" s="484"/>
      <c r="AW42" s="638" t="s">
        <v>2845</v>
      </c>
      <c r="AX42" s="638"/>
      <c r="AY42" s="484"/>
      <c r="AZ42" s="484"/>
      <c r="BA42" s="671" t="s">
        <v>2809</v>
      </c>
      <c r="BB42" s="449" t="str">
        <f>Pole_Calculations!A178</f>
        <v>App.8-V08F-P10.3</v>
      </c>
      <c r="BC42" s="169"/>
      <c r="BD42" s="1329">
        <v>43787</v>
      </c>
      <c r="BE42" s="1329">
        <v>43802</v>
      </c>
      <c r="BF42" s="1329">
        <v>43808</v>
      </c>
      <c r="BG42" s="1329">
        <v>43814</v>
      </c>
    </row>
    <row r="43" spans="1:59" ht="15.75" customHeight="1">
      <c r="A43" s="449"/>
      <c r="B43" s="445"/>
      <c r="C43" s="446"/>
      <c r="D43" s="446"/>
      <c r="E43" s="638"/>
      <c r="F43" s="447"/>
      <c r="G43" s="484">
        <v>31</v>
      </c>
      <c r="H43" s="1239"/>
      <c r="I43" s="1239"/>
      <c r="J43" s="446"/>
      <c r="K43" s="638"/>
      <c r="L43" s="638"/>
      <c r="M43" s="638"/>
      <c r="N43" s="1239"/>
      <c r="O43" s="1239"/>
      <c r="P43" s="638"/>
      <c r="Q43" s="447"/>
      <c r="R43" s="447"/>
      <c r="S43" s="484">
        <f>+AG44-AG42</f>
        <v>30.910000000003492</v>
      </c>
      <c r="T43" s="638"/>
      <c r="U43" s="638"/>
      <c r="V43" s="638"/>
      <c r="W43" s="638"/>
      <c r="X43" s="638"/>
      <c r="Y43" s="638"/>
      <c r="Z43" s="638"/>
      <c r="AA43" s="638"/>
      <c r="AB43" s="638"/>
      <c r="AC43" s="638"/>
      <c r="AD43" s="638"/>
      <c r="AE43" s="638"/>
      <c r="AF43" s="447"/>
      <c r="AG43" s="446"/>
      <c r="AH43" s="447"/>
      <c r="AI43" s="447"/>
      <c r="AJ43" s="638"/>
      <c r="AK43" s="638"/>
      <c r="AL43" s="638"/>
      <c r="AM43" s="638"/>
      <c r="AN43" s="484"/>
      <c r="AO43" s="484"/>
      <c r="AP43" s="484"/>
      <c r="AQ43" s="484">
        <f>+FL_1($U$44,$U$42,$G$43,1200,9.28,-1*$F$44)</f>
        <v>0.3000000000000892</v>
      </c>
      <c r="AR43" s="484"/>
      <c r="AS43" s="484"/>
      <c r="AT43" s="484"/>
      <c r="AU43" s="484"/>
      <c r="AV43" s="484"/>
      <c r="AW43" s="638"/>
      <c r="AX43" s="638"/>
      <c r="AY43" s="484"/>
      <c r="AZ43" s="484"/>
      <c r="BA43" s="671"/>
      <c r="BB43" s="449"/>
      <c r="BC43" s="169"/>
      <c r="BD43" s="1330"/>
      <c r="BE43" s="1330"/>
      <c r="BF43" s="1330"/>
      <c r="BG43" s="1330"/>
    </row>
    <row r="44" spans="1:59" ht="15.75" customHeight="1">
      <c r="A44" s="449"/>
      <c r="B44" s="445" t="s">
        <v>2059</v>
      </c>
      <c r="C44" s="446">
        <f>+$C$42+$G$43</f>
        <v>94261.05</v>
      </c>
      <c r="D44" s="446"/>
      <c r="E44" s="638"/>
      <c r="F44" s="447">
        <v>-770</v>
      </c>
      <c r="G44" s="484"/>
      <c r="H44" s="1239" t="s">
        <v>619</v>
      </c>
      <c r="I44" s="1239"/>
      <c r="J44" s="171"/>
      <c r="K44" s="638"/>
      <c r="L44" s="638" t="s">
        <v>819</v>
      </c>
      <c r="M44" s="638" t="s">
        <v>1692</v>
      </c>
      <c r="N44" s="1239" t="s">
        <v>140</v>
      </c>
      <c r="O44" s="1239" t="s">
        <v>144</v>
      </c>
      <c r="P44" s="1239"/>
      <c r="Q44" s="447">
        <v>40</v>
      </c>
      <c r="R44" s="447">
        <v>-781.55</v>
      </c>
      <c r="S44" s="484"/>
      <c r="T44" s="638">
        <v>75</v>
      </c>
      <c r="U44" s="638">
        <v>30</v>
      </c>
      <c r="V44" s="638"/>
      <c r="W44" s="638">
        <v>0.8</v>
      </c>
      <c r="X44" s="638">
        <v>1</v>
      </c>
      <c r="Y44" s="638"/>
      <c r="Z44" s="638">
        <v>0.38</v>
      </c>
      <c r="AA44" s="638"/>
      <c r="AB44" s="638"/>
      <c r="AC44" s="638" t="s">
        <v>4090</v>
      </c>
      <c r="AD44" s="638"/>
      <c r="AE44" s="638"/>
      <c r="AF44" s="447">
        <v>3000</v>
      </c>
      <c r="AG44" s="446">
        <v>94260.33</v>
      </c>
      <c r="AH44" s="447">
        <v>2403</v>
      </c>
      <c r="AI44" s="447">
        <v>-2150</v>
      </c>
      <c r="AJ44" s="638"/>
      <c r="AK44" s="638"/>
      <c r="AL44" s="638" t="s">
        <v>2127</v>
      </c>
      <c r="AM44" s="638" t="s">
        <v>1043</v>
      </c>
      <c r="AN44" s="484">
        <v>5.15</v>
      </c>
      <c r="AO44" s="484"/>
      <c r="AP44" s="484"/>
      <c r="AQ44" s="484"/>
      <c r="AR44" s="484"/>
      <c r="AS44" s="484"/>
      <c r="AT44" s="484">
        <f>+ab($U$44,$U$43,$U$46,$G$43,$G$45,-1*$F$44,1200)</f>
        <v>3.8569379631906049</v>
      </c>
      <c r="AU44" s="484"/>
      <c r="AV44" s="484"/>
      <c r="AW44" s="638" t="s">
        <v>2845</v>
      </c>
      <c r="AX44" s="638"/>
      <c r="AY44" s="484"/>
      <c r="AZ44" s="484"/>
      <c r="BA44" s="671" t="s">
        <v>2809</v>
      </c>
      <c r="BB44" s="449" t="str">
        <f>Pole_Calculations!A178</f>
        <v>App.8-V08F-P10.3</v>
      </c>
      <c r="BC44" s="169"/>
      <c r="BD44" s="1329">
        <v>43787</v>
      </c>
      <c r="BE44" s="1329">
        <v>43802</v>
      </c>
      <c r="BF44" s="1329">
        <v>43808</v>
      </c>
      <c r="BG44" s="1329">
        <v>43814</v>
      </c>
    </row>
    <row r="45" spans="1:59" ht="15.75" customHeight="1">
      <c r="A45" s="449"/>
      <c r="B45" s="445"/>
      <c r="C45" s="446"/>
      <c r="D45" s="446"/>
      <c r="E45" s="638"/>
      <c r="F45" s="447"/>
      <c r="G45" s="484">
        <v>30.6</v>
      </c>
      <c r="H45" s="1239"/>
      <c r="I45" s="1239" t="s">
        <v>1471</v>
      </c>
      <c r="J45" s="171">
        <f>C46-7.5</f>
        <v>94284.150000000009</v>
      </c>
      <c r="K45" s="638" t="s">
        <v>1738</v>
      </c>
      <c r="L45" s="638"/>
      <c r="M45" s="497"/>
      <c r="N45" s="1239"/>
      <c r="O45" s="1239"/>
      <c r="P45" s="638"/>
      <c r="Q45" s="447"/>
      <c r="R45" s="447"/>
      <c r="S45" s="484">
        <f>+AG46-AG44</f>
        <v>30.490000000005239</v>
      </c>
      <c r="T45" s="638"/>
      <c r="U45" s="638"/>
      <c r="V45" s="638"/>
      <c r="W45" s="638"/>
      <c r="X45" s="638"/>
      <c r="Y45" s="638"/>
      <c r="Z45" s="638"/>
      <c r="AA45" s="638"/>
      <c r="AB45" s="638"/>
      <c r="AC45" s="638"/>
      <c r="AD45" s="638"/>
      <c r="AE45" s="638"/>
      <c r="AF45" s="447"/>
      <c r="AG45" s="446"/>
      <c r="AH45" s="447"/>
      <c r="AI45" s="447"/>
      <c r="AJ45" s="638"/>
      <c r="AK45" s="638"/>
      <c r="AL45" s="638"/>
      <c r="AM45" s="638"/>
      <c r="AN45" s="484"/>
      <c r="AO45" s="484"/>
      <c r="AP45" s="484"/>
      <c r="AQ45" s="484">
        <f>+FL_1($U$46,$U$44,$G$45,1200,9.28,-1*$F$46)</f>
        <v>0.30000000000009025</v>
      </c>
      <c r="AR45" s="484"/>
      <c r="AS45" s="484"/>
      <c r="AT45" s="484"/>
      <c r="AU45" s="484"/>
      <c r="AV45" s="484"/>
      <c r="AW45" s="638" t="s">
        <v>2885</v>
      </c>
      <c r="AX45" s="638"/>
      <c r="AY45" s="484"/>
      <c r="AZ45" s="484"/>
      <c r="BA45" s="671" t="s">
        <v>2809</v>
      </c>
      <c r="BB45" s="449"/>
      <c r="BC45" s="169"/>
      <c r="BD45" s="1329" t="s">
        <v>4946</v>
      </c>
      <c r="BE45" s="1330"/>
      <c r="BF45" s="1330"/>
      <c r="BG45" s="1330"/>
    </row>
    <row r="46" spans="1:59" ht="15.75" customHeight="1">
      <c r="A46" s="449" t="s">
        <v>3275</v>
      </c>
      <c r="B46" s="445" t="s">
        <v>2060</v>
      </c>
      <c r="C46" s="446">
        <f>+$C$44+$G$45</f>
        <v>94291.650000000009</v>
      </c>
      <c r="D46" s="446"/>
      <c r="E46" s="638"/>
      <c r="F46" s="447">
        <v>-770</v>
      </c>
      <c r="G46" s="484"/>
      <c r="H46" s="1239" t="s">
        <v>619</v>
      </c>
      <c r="I46" s="1239"/>
      <c r="J46" s="171"/>
      <c r="K46" s="638"/>
      <c r="L46" s="638" t="s">
        <v>819</v>
      </c>
      <c r="M46" s="638" t="s">
        <v>1692</v>
      </c>
      <c r="N46" s="1239" t="s">
        <v>144</v>
      </c>
      <c r="O46" s="1239" t="s">
        <v>144</v>
      </c>
      <c r="P46" s="1239"/>
      <c r="Q46" s="447">
        <v>60</v>
      </c>
      <c r="R46" s="447">
        <v>-507.5</v>
      </c>
      <c r="S46" s="484"/>
      <c r="T46" s="638">
        <v>75</v>
      </c>
      <c r="U46" s="638">
        <v>30</v>
      </c>
      <c r="V46" s="638"/>
      <c r="W46" s="638">
        <v>1.2</v>
      </c>
      <c r="X46" s="638">
        <v>1.7</v>
      </c>
      <c r="Y46" s="638"/>
      <c r="Z46" s="638">
        <v>0.2</v>
      </c>
      <c r="AA46" s="638"/>
      <c r="AB46" s="638"/>
      <c r="AC46" s="638" t="s">
        <v>3050</v>
      </c>
      <c r="AD46" s="638" t="s">
        <v>4483</v>
      </c>
      <c r="AE46" s="638"/>
      <c r="AF46" s="447">
        <v>2800</v>
      </c>
      <c r="AG46" s="446">
        <v>94290.82</v>
      </c>
      <c r="AH46" s="447">
        <v>2443</v>
      </c>
      <c r="AI46" s="447">
        <v>-2190</v>
      </c>
      <c r="AJ46" s="638" t="s">
        <v>884</v>
      </c>
      <c r="AK46" s="638"/>
      <c r="AL46" s="638" t="s">
        <v>2127</v>
      </c>
      <c r="AM46" s="638" t="s">
        <v>1043</v>
      </c>
      <c r="AN46" s="484">
        <v>5.15</v>
      </c>
      <c r="AO46" s="484"/>
      <c r="AP46" s="484"/>
      <c r="AQ46" s="484"/>
      <c r="AR46" s="484"/>
      <c r="AS46" s="484"/>
      <c r="AT46" s="484">
        <f>+ab($U$46,$U$44,$T$48,$G$45,$G$47,-1*$F$46,1200)</f>
        <v>5.1168170916406339</v>
      </c>
      <c r="AU46" s="484"/>
      <c r="AV46" s="484"/>
      <c r="AW46" s="638" t="s">
        <v>2845</v>
      </c>
      <c r="AX46" s="638"/>
      <c r="AY46" s="484"/>
      <c r="AZ46" s="484"/>
      <c r="BA46" s="671" t="s">
        <v>2809</v>
      </c>
      <c r="BB46" s="449" t="str">
        <f>Pole_Calculations!A178</f>
        <v>App.8-V08F-P10.3</v>
      </c>
      <c r="BC46" s="169"/>
      <c r="BD46" s="1329">
        <v>43787</v>
      </c>
      <c r="BE46" s="1329">
        <v>43802</v>
      </c>
      <c r="BF46" s="1329">
        <v>43810</v>
      </c>
      <c r="BG46" s="1329">
        <v>43814</v>
      </c>
    </row>
    <row r="47" spans="1:59" ht="15.75" customHeight="1">
      <c r="A47" s="449"/>
      <c r="B47" s="445"/>
      <c r="C47" s="446"/>
      <c r="D47" s="446"/>
      <c r="E47" s="638"/>
      <c r="F47" s="447"/>
      <c r="G47" s="484">
        <v>27</v>
      </c>
      <c r="H47" s="1239"/>
      <c r="I47" s="1239" t="s">
        <v>1039</v>
      </c>
      <c r="J47" s="171">
        <f>C46+7.5</f>
        <v>94299.150000000009</v>
      </c>
      <c r="K47" s="638" t="s">
        <v>1738</v>
      </c>
      <c r="L47" s="638"/>
      <c r="M47" s="497"/>
      <c r="N47" s="1239"/>
      <c r="O47" s="1239"/>
      <c r="P47" s="638"/>
      <c r="Q47" s="447"/>
      <c r="R47" s="447"/>
      <c r="S47" s="484">
        <f>+AG48-AG46</f>
        <v>27.929999999993015</v>
      </c>
      <c r="T47" s="638"/>
      <c r="U47" s="638"/>
      <c r="V47" s="638"/>
      <c r="W47" s="638"/>
      <c r="X47" s="638"/>
      <c r="Y47" s="638"/>
      <c r="Z47" s="638"/>
      <c r="AA47" s="638"/>
      <c r="AB47" s="638"/>
      <c r="AC47" s="638"/>
      <c r="AD47" s="638"/>
      <c r="AE47" s="638"/>
      <c r="AF47" s="447"/>
      <c r="AG47" s="446"/>
      <c r="AH47" s="447"/>
      <c r="AI47" s="447"/>
      <c r="AJ47" s="638"/>
      <c r="AK47" s="638"/>
      <c r="AL47" s="638"/>
      <c r="AM47" s="638"/>
      <c r="AN47" s="484"/>
      <c r="AO47" s="484"/>
      <c r="AP47" s="484"/>
      <c r="AQ47" s="484">
        <f>+FL_1($T$48,$U$46,$G$47,1200,9.28,-1*$F$48)</f>
        <v>0.30000000000004196</v>
      </c>
      <c r="AR47" s="484"/>
      <c r="AS47" s="484"/>
      <c r="AT47" s="484"/>
      <c r="AU47" s="484"/>
      <c r="AV47" s="484"/>
      <c r="AW47" s="638" t="s">
        <v>2885</v>
      </c>
      <c r="AX47" s="638"/>
      <c r="AY47" s="484"/>
      <c r="AZ47" s="484"/>
      <c r="BA47" s="671" t="s">
        <v>2809</v>
      </c>
      <c r="BB47" s="449"/>
      <c r="BC47" s="169"/>
      <c r="BD47" s="1329" t="s">
        <v>4946</v>
      </c>
      <c r="BE47" s="1330"/>
      <c r="BF47" s="1330"/>
      <c r="BG47" s="1330"/>
    </row>
    <row r="48" spans="1:59" ht="15.75" customHeight="1">
      <c r="A48" s="449"/>
      <c r="B48" s="445" t="s">
        <v>2061</v>
      </c>
      <c r="C48" s="446">
        <f>+$C$46+$G$47</f>
        <v>94318.650000000009</v>
      </c>
      <c r="D48" s="446"/>
      <c r="E48" s="638"/>
      <c r="F48" s="447">
        <v>-500</v>
      </c>
      <c r="G48" s="484"/>
      <c r="H48" s="1239" t="s">
        <v>619</v>
      </c>
      <c r="I48" s="1239" t="s">
        <v>3287</v>
      </c>
      <c r="J48" s="171"/>
      <c r="K48" s="638"/>
      <c r="L48" s="638" t="s">
        <v>819</v>
      </c>
      <c r="M48" s="638" t="s">
        <v>1692</v>
      </c>
      <c r="N48" s="1239" t="s">
        <v>144</v>
      </c>
      <c r="O48" s="1239" t="s">
        <v>144</v>
      </c>
      <c r="P48" s="1239"/>
      <c r="Q48" s="447">
        <v>60</v>
      </c>
      <c r="R48" s="447">
        <v>-507.5</v>
      </c>
      <c r="S48" s="484"/>
      <c r="T48" s="638">
        <v>30</v>
      </c>
      <c r="U48" s="638">
        <v>-15</v>
      </c>
      <c r="V48" s="638"/>
      <c r="W48" s="638">
        <v>1.4</v>
      </c>
      <c r="X48" s="638">
        <v>2.1</v>
      </c>
      <c r="Y48" s="638"/>
      <c r="Z48" s="638"/>
      <c r="AA48" s="638">
        <v>0.2</v>
      </c>
      <c r="AB48" s="638"/>
      <c r="AC48" s="638" t="s">
        <v>4967</v>
      </c>
      <c r="AD48" s="638" t="s">
        <v>4090</v>
      </c>
      <c r="AE48" s="638"/>
      <c r="AF48" s="447">
        <v>2700</v>
      </c>
      <c r="AG48" s="446">
        <v>94318.75</v>
      </c>
      <c r="AH48" s="447">
        <v>2413</v>
      </c>
      <c r="AI48" s="447">
        <v>-2240</v>
      </c>
      <c r="AJ48" s="638"/>
      <c r="AK48" s="638"/>
      <c r="AL48" s="638" t="s">
        <v>2127</v>
      </c>
      <c r="AM48" s="638" t="s">
        <v>1043</v>
      </c>
      <c r="AN48" s="484">
        <v>5.15</v>
      </c>
      <c r="AO48" s="484"/>
      <c r="AP48" s="484"/>
      <c r="AQ48" s="484"/>
      <c r="AR48" s="484"/>
      <c r="AS48" s="484"/>
      <c r="AT48" s="484">
        <f>+ab($T$48,$U$45,$T$50,$G$47,$G$49,-1*$F$48,1200)</f>
        <v>2.5872277191766559</v>
      </c>
      <c r="AU48" s="484"/>
      <c r="AV48" s="484"/>
      <c r="AW48" s="638" t="s">
        <v>2845</v>
      </c>
      <c r="AX48" s="638"/>
      <c r="AY48" s="484"/>
      <c r="AZ48" s="484"/>
      <c r="BA48" s="671" t="s">
        <v>2809</v>
      </c>
      <c r="BB48" s="449" t="str">
        <f>Pole_Calculations!A178</f>
        <v>App.8-V08F-P10.3</v>
      </c>
      <c r="BC48" s="169"/>
      <c r="BD48" s="1329">
        <v>43804</v>
      </c>
      <c r="BE48" s="1329" t="s">
        <v>4946</v>
      </c>
      <c r="BF48" s="1329">
        <v>43815</v>
      </c>
      <c r="BG48" s="1329">
        <v>43839</v>
      </c>
    </row>
    <row r="49" spans="1:59" ht="15.75" customHeight="1">
      <c r="A49" s="449"/>
      <c r="B49" s="445"/>
      <c r="C49" s="446"/>
      <c r="D49" s="446"/>
      <c r="E49" s="638"/>
      <c r="F49" s="447"/>
      <c r="G49" s="484">
        <v>31.2</v>
      </c>
      <c r="H49" s="1239"/>
      <c r="I49" s="1239"/>
      <c r="J49" s="446"/>
      <c r="K49" s="638"/>
      <c r="L49" s="638"/>
      <c r="M49" s="497"/>
      <c r="N49" s="1239"/>
      <c r="O49" s="1239"/>
      <c r="P49" s="638"/>
      <c r="Q49" s="447"/>
      <c r="R49" s="447"/>
      <c r="S49" s="484">
        <f>+AG50-AG48</f>
        <v>31.220000000001164</v>
      </c>
      <c r="T49" s="638"/>
      <c r="U49" s="638"/>
      <c r="V49" s="638"/>
      <c r="W49" s="638"/>
      <c r="X49" s="638"/>
      <c r="Y49" s="638"/>
      <c r="Z49" s="638"/>
      <c r="AA49" s="638"/>
      <c r="AB49" s="638"/>
      <c r="AC49" s="638"/>
      <c r="AD49" s="638"/>
      <c r="AE49" s="638"/>
      <c r="AF49" s="447"/>
      <c r="AG49" s="446"/>
      <c r="AH49" s="447"/>
      <c r="AI49" s="447"/>
      <c r="AJ49" s="638"/>
      <c r="AK49" s="638"/>
      <c r="AL49" s="638"/>
      <c r="AM49" s="638"/>
      <c r="AN49" s="484"/>
      <c r="AO49" s="484"/>
      <c r="AP49" s="484"/>
      <c r="AQ49" s="484">
        <f>+FL_1($T$50,$T$48,$G$49,1200,9.28,-1*$F$50)</f>
        <v>0.30000000000004179</v>
      </c>
      <c r="AR49" s="484"/>
      <c r="AS49" s="484"/>
      <c r="AT49" s="484"/>
      <c r="AU49" s="484"/>
      <c r="AV49" s="484"/>
      <c r="AW49" s="638"/>
      <c r="AX49" s="638"/>
      <c r="AY49" s="484"/>
      <c r="AZ49" s="484"/>
      <c r="BA49" s="671"/>
      <c r="BB49" s="449"/>
      <c r="BC49" s="169"/>
      <c r="BD49" s="1330"/>
      <c r="BE49" s="1330"/>
      <c r="BF49" s="1330"/>
      <c r="BG49" s="1330"/>
    </row>
    <row r="50" spans="1:59" ht="15.75" customHeight="1">
      <c r="A50" s="449" t="s">
        <v>2949</v>
      </c>
      <c r="B50" s="445" t="s">
        <v>2062</v>
      </c>
      <c r="C50" s="446">
        <f>+$C$48+$G$49</f>
        <v>94349.85</v>
      </c>
      <c r="D50" s="446"/>
      <c r="E50" s="638"/>
      <c r="F50" s="447">
        <v>-500</v>
      </c>
      <c r="G50" s="484"/>
      <c r="H50" s="638" t="s">
        <v>619</v>
      </c>
      <c r="I50" s="448" t="s">
        <v>1429</v>
      </c>
      <c r="J50" s="446"/>
      <c r="K50" s="638"/>
      <c r="L50" s="638" t="s">
        <v>819</v>
      </c>
      <c r="M50" s="638" t="s">
        <v>2811</v>
      </c>
      <c r="N50" s="1239" t="s">
        <v>144</v>
      </c>
      <c r="O50" s="1239" t="s">
        <v>140</v>
      </c>
      <c r="P50" s="1239"/>
      <c r="Q50" s="447">
        <v>60</v>
      </c>
      <c r="R50" s="447">
        <v>-507.5</v>
      </c>
      <c r="S50" s="484"/>
      <c r="T50" s="638">
        <v>15</v>
      </c>
      <c r="U50" s="638">
        <v>-30</v>
      </c>
      <c r="V50" s="638"/>
      <c r="W50" s="638">
        <v>1.4</v>
      </c>
      <c r="X50" s="638">
        <v>2.2999999999999998</v>
      </c>
      <c r="Y50" s="638"/>
      <c r="Z50" s="638"/>
      <c r="AA50" s="638">
        <v>0.45</v>
      </c>
      <c r="AB50" s="638"/>
      <c r="AC50" s="638" t="s">
        <v>3050</v>
      </c>
      <c r="AD50" s="638"/>
      <c r="AE50" s="638"/>
      <c r="AF50" s="447">
        <v>5300</v>
      </c>
      <c r="AG50" s="446">
        <v>94349.97</v>
      </c>
      <c r="AH50" s="447">
        <v>1933</v>
      </c>
      <c r="AI50" s="447">
        <v>530</v>
      </c>
      <c r="AJ50" s="638" t="s">
        <v>2755</v>
      </c>
      <c r="AK50" s="638"/>
      <c r="AL50" s="638" t="s">
        <v>2127</v>
      </c>
      <c r="AM50" s="638" t="s">
        <v>1043</v>
      </c>
      <c r="AN50" s="484">
        <v>5.15</v>
      </c>
      <c r="AO50" s="484"/>
      <c r="AP50" s="484"/>
      <c r="AQ50" s="484"/>
      <c r="AR50" s="484"/>
      <c r="AS50" s="484"/>
      <c r="AT50" s="484">
        <f>+ab($T$50,$T$48,$T$52,$G$49,$G$51,-1*$F$50,1200)</f>
        <v>3.3367967747096534</v>
      </c>
      <c r="AU50" s="484"/>
      <c r="AV50" s="484"/>
      <c r="AW50" s="638" t="s">
        <v>2843</v>
      </c>
      <c r="AX50" s="638"/>
      <c r="AY50" s="484"/>
      <c r="AZ50" s="484"/>
      <c r="BA50" s="671" t="s">
        <v>2809</v>
      </c>
      <c r="BB50" s="449" t="str">
        <f>Pole_Calculations!A178</f>
        <v>App.8-V08F-P10.3</v>
      </c>
      <c r="BC50" s="169"/>
      <c r="BD50" s="1329" t="s">
        <v>4946</v>
      </c>
      <c r="BE50" s="1329">
        <v>43801</v>
      </c>
      <c r="BF50" s="1329">
        <v>43810</v>
      </c>
      <c r="BG50" s="1329">
        <v>43814</v>
      </c>
    </row>
    <row r="51" spans="1:59" ht="15.75" customHeight="1">
      <c r="A51" s="449"/>
      <c r="B51" s="445"/>
      <c r="C51" s="446"/>
      <c r="D51" s="446"/>
      <c r="E51" s="638"/>
      <c r="F51" s="447"/>
      <c r="G51" s="484">
        <v>35.299999999999997</v>
      </c>
      <c r="H51" s="1239"/>
      <c r="I51" s="448">
        <f>SUM(G23:G51)</f>
        <v>580.80000000000007</v>
      </c>
      <c r="J51" s="171"/>
      <c r="K51" s="638"/>
      <c r="L51" s="638"/>
      <c r="M51" s="497"/>
      <c r="N51" s="1239"/>
      <c r="O51" s="1239"/>
      <c r="P51" s="638"/>
      <c r="Q51" s="447"/>
      <c r="R51" s="447"/>
      <c r="S51" s="484">
        <f>+AG52-AG50</f>
        <v>35.029999999998836</v>
      </c>
      <c r="T51" s="638"/>
      <c r="U51" s="638"/>
      <c r="V51" s="638"/>
      <c r="W51" s="638"/>
      <c r="X51" s="638"/>
      <c r="Y51" s="638"/>
      <c r="Z51" s="638"/>
      <c r="AA51" s="638"/>
      <c r="AB51" s="638"/>
      <c r="AC51" s="638"/>
      <c r="AD51" s="638"/>
      <c r="AE51" s="638"/>
      <c r="AF51" s="447"/>
      <c r="AG51" s="446"/>
      <c r="AH51" s="447"/>
      <c r="AI51" s="447"/>
      <c r="AJ51" s="638"/>
      <c r="AK51" s="638"/>
      <c r="AL51" s="638"/>
      <c r="AM51" s="638"/>
      <c r="AN51" s="484"/>
      <c r="AO51" s="484"/>
      <c r="AP51" s="484"/>
      <c r="AQ51" s="484">
        <f>+FL_1($T$52,$T$50,$G$51,1200,9.28,-1*$F$52)</f>
        <v>0.3</v>
      </c>
      <c r="AR51" s="484"/>
      <c r="AS51" s="484"/>
      <c r="AT51" s="484"/>
      <c r="AU51" s="484"/>
      <c r="AV51" s="484"/>
      <c r="AW51" s="638"/>
      <c r="AX51" s="638"/>
      <c r="AY51" s="484"/>
      <c r="AZ51" s="484"/>
      <c r="BA51" s="671"/>
      <c r="BB51" s="449"/>
      <c r="BC51" s="169"/>
      <c r="BD51" s="1330"/>
      <c r="BE51" s="1330"/>
      <c r="BF51" s="1330"/>
      <c r="BG51" s="1330"/>
    </row>
    <row r="52" spans="1:59" ht="15.75" customHeight="1">
      <c r="A52" s="449"/>
      <c r="B52" s="445" t="s">
        <v>2063</v>
      </c>
      <c r="C52" s="446">
        <f>+$C$50+$G$51</f>
        <v>94385.150000000009</v>
      </c>
      <c r="D52" s="446"/>
      <c r="E52" s="638"/>
      <c r="F52" s="447">
        <v>-500</v>
      </c>
      <c r="G52" s="484"/>
      <c r="H52" s="1239" t="s">
        <v>138</v>
      </c>
      <c r="I52" s="1239" t="s">
        <v>4231</v>
      </c>
      <c r="J52" s="171"/>
      <c r="K52" s="638"/>
      <c r="L52" s="638" t="s">
        <v>899</v>
      </c>
      <c r="M52" s="638" t="s">
        <v>2811</v>
      </c>
      <c r="N52" s="1239" t="s">
        <v>144</v>
      </c>
      <c r="O52" s="1239"/>
      <c r="P52" s="638"/>
      <c r="Q52" s="447">
        <v>60</v>
      </c>
      <c r="R52" s="447">
        <v>609.19000000000005</v>
      </c>
      <c r="S52" s="484"/>
      <c r="T52" s="638">
        <v>30</v>
      </c>
      <c r="U52" s="638"/>
      <c r="V52" s="638"/>
      <c r="W52" s="638">
        <v>1.4</v>
      </c>
      <c r="X52" s="638"/>
      <c r="Y52" s="638"/>
      <c r="Z52" s="638"/>
      <c r="AA52" s="638"/>
      <c r="AB52" s="638"/>
      <c r="AC52" s="638" t="s">
        <v>3050</v>
      </c>
      <c r="AD52" s="638"/>
      <c r="AE52" s="638"/>
      <c r="AF52" s="447">
        <v>5800</v>
      </c>
      <c r="AG52" s="446">
        <v>94385</v>
      </c>
      <c r="AH52" s="447">
        <v>1843</v>
      </c>
      <c r="AI52" s="447">
        <v>480</v>
      </c>
      <c r="AJ52" s="638"/>
      <c r="AK52" s="638"/>
      <c r="AL52" s="638"/>
      <c r="AM52" s="638" t="s">
        <v>1043</v>
      </c>
      <c r="AN52" s="484">
        <v>5.15</v>
      </c>
      <c r="AO52" s="484"/>
      <c r="AP52" s="484"/>
      <c r="AQ52" s="484"/>
      <c r="AR52" s="484"/>
      <c r="AS52" s="484"/>
      <c r="AT52" s="484">
        <f>+ab($T$52,$T$50,$T$54,$G$51,$G$53,-1*$F$52,1200)</f>
        <v>2.2031373497003992</v>
      </c>
      <c r="AU52" s="484"/>
      <c r="AV52" s="484"/>
      <c r="AW52" s="638" t="s">
        <v>2843</v>
      </c>
      <c r="AX52" s="638"/>
      <c r="AY52" s="484"/>
      <c r="AZ52" s="484"/>
      <c r="BA52" s="671" t="s">
        <v>2809</v>
      </c>
      <c r="BB52" s="449" t="str">
        <f>Pole_Calculations!A20</f>
        <v>App.7-V11A-P9.5.1.6</v>
      </c>
      <c r="BC52" s="169"/>
      <c r="BD52" s="1329" t="s">
        <v>4946</v>
      </c>
      <c r="BE52" s="1329">
        <v>43801</v>
      </c>
      <c r="BF52" s="1330"/>
      <c r="BG52" s="1329">
        <v>43786</v>
      </c>
    </row>
    <row r="53" spans="1:59" ht="15.75" customHeight="1">
      <c r="A53" s="449"/>
      <c r="B53" s="445"/>
      <c r="C53" s="446"/>
      <c r="D53" s="446"/>
      <c r="E53" s="638"/>
      <c r="F53" s="447"/>
      <c r="G53" s="484">
        <v>45.3</v>
      </c>
      <c r="H53" s="1239"/>
      <c r="I53" s="448"/>
      <c r="J53" s="171">
        <f>C52+7.5</f>
        <v>94392.650000000009</v>
      </c>
      <c r="K53" s="638" t="s">
        <v>1684</v>
      </c>
      <c r="L53" s="638"/>
      <c r="M53" s="638"/>
      <c r="N53" s="1239"/>
      <c r="O53" s="1239"/>
      <c r="P53" s="638"/>
      <c r="Q53" s="447"/>
      <c r="R53" s="447"/>
      <c r="S53" s="484">
        <f>+AG54-AG52</f>
        <v>46</v>
      </c>
      <c r="T53" s="638"/>
      <c r="U53" s="638"/>
      <c r="V53" s="638"/>
      <c r="W53" s="638"/>
      <c r="X53" s="638"/>
      <c r="Y53" s="638"/>
      <c r="Z53" s="638"/>
      <c r="AA53" s="638"/>
      <c r="AB53" s="638"/>
      <c r="AC53" s="638"/>
      <c r="AD53" s="638"/>
      <c r="AE53" s="638"/>
      <c r="AF53" s="447"/>
      <c r="AG53" s="446"/>
      <c r="AH53" s="447"/>
      <c r="AI53" s="447"/>
      <c r="AJ53" s="638"/>
      <c r="AK53" s="638"/>
      <c r="AL53" s="638"/>
      <c r="AM53" s="638"/>
      <c r="AN53" s="484"/>
      <c r="AO53" s="484"/>
      <c r="AP53" s="484"/>
      <c r="AQ53" s="484">
        <f>+FL_1($T$54,$T$52,$G$53,1200,9.28,-1*$F$54)</f>
        <v>0.30000334004580431</v>
      </c>
      <c r="AR53" s="484"/>
      <c r="AS53" s="484"/>
      <c r="AT53" s="484"/>
      <c r="AU53" s="484"/>
      <c r="AV53" s="484"/>
      <c r="AW53" s="638" t="s">
        <v>2846</v>
      </c>
      <c r="AX53" s="638"/>
      <c r="AY53" s="484"/>
      <c r="AZ53" s="484"/>
      <c r="BA53" s="671" t="s">
        <v>2809</v>
      </c>
      <c r="BB53" s="449"/>
      <c r="BC53" s="169"/>
      <c r="BD53" s="1329" t="s">
        <v>4946</v>
      </c>
      <c r="BE53" s="1330"/>
      <c r="BF53" s="1330"/>
      <c r="BG53" s="1330"/>
    </row>
    <row r="54" spans="1:59" ht="15.75" customHeight="1">
      <c r="A54" s="414"/>
      <c r="B54" s="415" t="s">
        <v>2064</v>
      </c>
      <c r="C54" s="432">
        <f>+$C$52+$G$53</f>
        <v>94430.450000000012</v>
      </c>
      <c r="D54" s="432"/>
      <c r="E54" s="420"/>
      <c r="F54" s="421">
        <v>-1447.94</v>
      </c>
      <c r="G54" s="444"/>
      <c r="H54" s="420"/>
      <c r="I54" s="420"/>
      <c r="J54" s="432"/>
      <c r="K54" s="420"/>
      <c r="L54" s="420" t="s">
        <v>821</v>
      </c>
      <c r="M54" s="417" t="s">
        <v>2811</v>
      </c>
      <c r="N54" s="420" t="s">
        <v>144</v>
      </c>
      <c r="O54" s="420"/>
      <c r="P54" s="420"/>
      <c r="Q54" s="421">
        <v>10</v>
      </c>
      <c r="R54" s="421">
        <v>255.23</v>
      </c>
      <c r="S54" s="444"/>
      <c r="T54" s="420">
        <v>20</v>
      </c>
      <c r="U54" s="420"/>
      <c r="V54" s="420"/>
      <c r="W54" s="420">
        <v>1.2</v>
      </c>
      <c r="X54" s="420"/>
      <c r="Y54" s="420"/>
      <c r="Z54" s="420"/>
      <c r="AA54" s="420"/>
      <c r="AB54" s="420"/>
      <c r="AC54" s="417" t="s">
        <v>3050</v>
      </c>
      <c r="AD54" s="420"/>
      <c r="AE54" s="420"/>
      <c r="AF54" s="421">
        <v>5800</v>
      </c>
      <c r="AG54" s="432">
        <v>94431</v>
      </c>
      <c r="AH54" s="421">
        <v>1893</v>
      </c>
      <c r="AI54" s="421">
        <v>460</v>
      </c>
      <c r="AJ54" s="420"/>
      <c r="AK54" s="420"/>
      <c r="AL54" s="420" t="s">
        <v>2135</v>
      </c>
      <c r="AM54" s="420" t="s">
        <v>1043</v>
      </c>
      <c r="AN54" s="422">
        <v>5.15</v>
      </c>
      <c r="AO54" s="417"/>
      <c r="AP54" s="417"/>
      <c r="AQ54" s="422"/>
      <c r="AR54" s="418"/>
      <c r="AS54" s="418"/>
      <c r="AT54" s="422">
        <f>+ab($T$54,$T$52,$T$56,$G$53,$G$55,-1*$F$54,1200)</f>
        <v>4.5927154227658225</v>
      </c>
      <c r="AU54" s="418"/>
      <c r="AV54" s="418"/>
      <c r="AW54" s="417" t="s">
        <v>2843</v>
      </c>
      <c r="AX54" s="417"/>
      <c r="AY54" s="422"/>
      <c r="AZ54" s="422"/>
      <c r="BA54" s="604" t="s">
        <v>2809</v>
      </c>
      <c r="BB54" s="414" t="str">
        <f>Pole_Calculations!A178</f>
        <v>App.8-V08F-P10.3</v>
      </c>
      <c r="BC54" s="169"/>
      <c r="BD54" s="1329" t="s">
        <v>4946</v>
      </c>
      <c r="BE54" s="1329" t="s">
        <v>4946</v>
      </c>
      <c r="BF54" s="1329">
        <v>43810</v>
      </c>
      <c r="BG54" s="1329">
        <v>43786</v>
      </c>
    </row>
    <row r="55" spans="1:59" ht="15.75" customHeight="1">
      <c r="A55" s="414"/>
      <c r="B55" s="415"/>
      <c r="C55" s="432"/>
      <c r="D55" s="432"/>
      <c r="E55" s="420"/>
      <c r="F55" s="420"/>
      <c r="G55" s="444">
        <v>31.9</v>
      </c>
      <c r="H55" s="420"/>
      <c r="I55" s="420"/>
      <c r="J55" s="432"/>
      <c r="K55" s="420"/>
      <c r="L55" s="420"/>
      <c r="M55" s="420"/>
      <c r="N55" s="420"/>
      <c r="O55" s="420"/>
      <c r="P55" s="420"/>
      <c r="Q55" s="421"/>
      <c r="R55" s="421"/>
      <c r="S55" s="444">
        <f>+AG56-AG54</f>
        <v>31</v>
      </c>
      <c r="T55" s="420"/>
      <c r="U55" s="420"/>
      <c r="V55" s="420"/>
      <c r="W55" s="420"/>
      <c r="X55" s="420"/>
      <c r="Y55" s="420"/>
      <c r="Z55" s="420"/>
      <c r="AA55" s="420"/>
      <c r="AB55" s="420"/>
      <c r="AC55" s="420"/>
      <c r="AD55" s="420"/>
      <c r="AE55" s="420"/>
      <c r="AF55" s="421"/>
      <c r="AG55" s="432"/>
      <c r="AH55" s="421"/>
      <c r="AI55" s="421"/>
      <c r="AJ55" s="420"/>
      <c r="AK55" s="420"/>
      <c r="AL55" s="420"/>
      <c r="AM55" s="420"/>
      <c r="AN55" s="422"/>
      <c r="AO55" s="417"/>
      <c r="AP55" s="417"/>
      <c r="AQ55" s="422">
        <f>+FL_2($T$56,$T$54,$G$55,1200,9.28,-1*$F$56)</f>
        <v>-0.35</v>
      </c>
      <c r="AR55" s="418"/>
      <c r="AS55" s="418"/>
      <c r="AT55" s="422"/>
      <c r="AU55" s="418"/>
      <c r="AV55" s="418"/>
      <c r="AW55" s="417"/>
      <c r="AX55" s="417"/>
      <c r="AY55" s="422"/>
      <c r="AZ55" s="422"/>
      <c r="BA55" s="604"/>
      <c r="BB55" s="414"/>
      <c r="BC55" s="169"/>
      <c r="BD55" s="1330"/>
      <c r="BE55" s="1330"/>
      <c r="BF55" s="1330"/>
      <c r="BG55" s="1330"/>
    </row>
    <row r="56" spans="1:59" ht="15.75" customHeight="1">
      <c r="A56" s="414"/>
      <c r="B56" s="415" t="s">
        <v>2065</v>
      </c>
      <c r="C56" s="605">
        <f>+$C$54+$G$55-0.1</f>
        <v>94462.25</v>
      </c>
      <c r="D56" s="432"/>
      <c r="E56" s="420"/>
      <c r="F56" s="420">
        <v>0</v>
      </c>
      <c r="G56" s="444"/>
      <c r="H56" s="420"/>
      <c r="I56" s="420"/>
      <c r="J56" s="432"/>
      <c r="K56" s="420"/>
      <c r="L56" s="420" t="s">
        <v>229</v>
      </c>
      <c r="M56" s="417" t="s">
        <v>2811</v>
      </c>
      <c r="N56" s="420" t="s">
        <v>2789</v>
      </c>
      <c r="O56" s="420"/>
      <c r="P56" s="420"/>
      <c r="Q56" s="421">
        <v>0</v>
      </c>
      <c r="R56" s="421">
        <v>-1253.81</v>
      </c>
      <c r="S56" s="444"/>
      <c r="T56" s="420">
        <v>-35</v>
      </c>
      <c r="U56" s="420"/>
      <c r="V56" s="420"/>
      <c r="W56" s="420">
        <v>0.8</v>
      </c>
      <c r="X56" s="420"/>
      <c r="Y56" s="420"/>
      <c r="Z56" s="420"/>
      <c r="AA56" s="420"/>
      <c r="AB56" s="420"/>
      <c r="AC56" s="417" t="s">
        <v>4126</v>
      </c>
      <c r="AD56" s="420"/>
      <c r="AE56" s="420"/>
      <c r="AF56" s="421">
        <v>5800</v>
      </c>
      <c r="AG56" s="432">
        <v>94462</v>
      </c>
      <c r="AH56" s="421">
        <v>1993</v>
      </c>
      <c r="AI56" s="421">
        <v>500</v>
      </c>
      <c r="AJ56" s="420"/>
      <c r="AK56" s="420"/>
      <c r="AL56" s="420"/>
      <c r="AM56" s="420" t="s">
        <v>1043</v>
      </c>
      <c r="AN56" s="422">
        <v>5.15</v>
      </c>
      <c r="AO56" s="417"/>
      <c r="AP56" s="417"/>
      <c r="AQ56" s="422"/>
      <c r="AR56" s="418"/>
      <c r="AS56" s="418"/>
      <c r="AT56" s="422">
        <f>+ab($T$56,$T$54,$T$58,$G$55,$G$57,-1*$F$56,1200)</f>
        <v>-5.6409162057143627</v>
      </c>
      <c r="AU56" s="418"/>
      <c r="AV56" s="418"/>
      <c r="AW56" s="417" t="s">
        <v>2843</v>
      </c>
      <c r="AX56" s="417"/>
      <c r="AY56" s="422"/>
      <c r="AZ56" s="422"/>
      <c r="BA56" s="604" t="s">
        <v>2809</v>
      </c>
      <c r="BB56" s="414" t="str">
        <f>Pole_Calculations!A15</f>
        <v>App.7-V11A-P9.5.1.1</v>
      </c>
      <c r="BC56" s="169"/>
      <c r="BD56" s="1329" t="s">
        <v>4946</v>
      </c>
      <c r="BE56" s="1329" t="s">
        <v>4946</v>
      </c>
      <c r="BF56" s="1330"/>
      <c r="BG56" s="1329">
        <v>43786</v>
      </c>
    </row>
    <row r="57" spans="1:59" ht="15.75" customHeight="1">
      <c r="A57" s="414"/>
      <c r="B57" s="415"/>
      <c r="C57" s="432"/>
      <c r="D57" s="432"/>
      <c r="E57" s="420"/>
      <c r="F57" s="420"/>
      <c r="G57" s="422">
        <v>33</v>
      </c>
      <c r="H57" s="420"/>
      <c r="I57" s="420"/>
      <c r="J57" s="432"/>
      <c r="K57" s="420"/>
      <c r="L57" s="420"/>
      <c r="M57" s="420"/>
      <c r="N57" s="420"/>
      <c r="O57" s="420"/>
      <c r="P57" s="420"/>
      <c r="Q57" s="421"/>
      <c r="R57" s="421"/>
      <c r="S57" s="444">
        <f>+AG58-AG56</f>
        <v>34</v>
      </c>
      <c r="T57" s="420"/>
      <c r="U57" s="420"/>
      <c r="V57" s="420"/>
      <c r="W57" s="420"/>
      <c r="X57" s="420"/>
      <c r="Y57" s="420"/>
      <c r="Z57" s="420"/>
      <c r="AA57" s="420"/>
      <c r="AB57" s="420"/>
      <c r="AC57" s="420"/>
      <c r="AD57" s="420"/>
      <c r="AE57" s="420"/>
      <c r="AF57" s="421"/>
      <c r="AG57" s="432"/>
      <c r="AH57" s="421"/>
      <c r="AI57" s="421"/>
      <c r="AJ57" s="420"/>
      <c r="AK57" s="420"/>
      <c r="AL57" s="420"/>
      <c r="AM57" s="420"/>
      <c r="AN57" s="422"/>
      <c r="AO57" s="417"/>
      <c r="AP57" s="417"/>
      <c r="AQ57" s="422">
        <f>+FL_2($T$58,$T$56,$G$57,1200,9.28,-1*$F$58)</f>
        <v>-0.35000000000000775</v>
      </c>
      <c r="AR57" s="418"/>
      <c r="AS57" s="418"/>
      <c r="AT57" s="422"/>
      <c r="AU57" s="418"/>
      <c r="AV57" s="418"/>
      <c r="AW57" s="417"/>
      <c r="AX57" s="417"/>
      <c r="AY57" s="422"/>
      <c r="AZ57" s="422"/>
      <c r="BA57" s="604"/>
      <c r="BB57" s="414"/>
      <c r="BC57" s="169"/>
      <c r="BD57" s="1330"/>
      <c r="BE57" s="1330"/>
      <c r="BF57" s="1330"/>
      <c r="BG57" s="1330"/>
    </row>
    <row r="58" spans="1:59" ht="15.75" customHeight="1">
      <c r="A58" s="414"/>
      <c r="B58" s="415" t="s">
        <v>2066</v>
      </c>
      <c r="C58" s="432">
        <f>+$C$56+$G$57</f>
        <v>94495.25</v>
      </c>
      <c r="D58" s="432"/>
      <c r="E58" s="420"/>
      <c r="F58" s="420">
        <v>0</v>
      </c>
      <c r="G58" s="422"/>
      <c r="H58" s="420"/>
      <c r="I58" s="420"/>
      <c r="J58" s="432"/>
      <c r="K58" s="420"/>
      <c r="L58" s="420" t="s">
        <v>229</v>
      </c>
      <c r="M58" s="417" t="s">
        <v>2811</v>
      </c>
      <c r="N58" s="420" t="s">
        <v>144</v>
      </c>
      <c r="O58" s="420"/>
      <c r="P58" s="420"/>
      <c r="Q58" s="421">
        <v>0</v>
      </c>
      <c r="R58" s="421">
        <v>0</v>
      </c>
      <c r="S58" s="444"/>
      <c r="T58" s="420">
        <v>20</v>
      </c>
      <c r="U58" s="420"/>
      <c r="V58" s="420"/>
      <c r="W58" s="420">
        <v>0.8</v>
      </c>
      <c r="X58" s="420"/>
      <c r="Y58" s="420"/>
      <c r="Z58" s="420"/>
      <c r="AA58" s="420"/>
      <c r="AB58" s="420"/>
      <c r="AC58" s="417" t="s">
        <v>4090</v>
      </c>
      <c r="AD58" s="420"/>
      <c r="AE58" s="420"/>
      <c r="AF58" s="421">
        <v>5600</v>
      </c>
      <c r="AG58" s="432">
        <v>94496</v>
      </c>
      <c r="AH58" s="421">
        <v>1963</v>
      </c>
      <c r="AI58" s="421">
        <v>430</v>
      </c>
      <c r="AJ58" s="420"/>
      <c r="AK58" s="420"/>
      <c r="AL58" s="420"/>
      <c r="AM58" s="420" t="s">
        <v>1043</v>
      </c>
      <c r="AN58" s="422">
        <v>5.15</v>
      </c>
      <c r="AO58" s="417"/>
      <c r="AP58" s="417"/>
      <c r="AQ58" s="422"/>
      <c r="AR58" s="417"/>
      <c r="AS58" s="417"/>
      <c r="AT58" s="422">
        <f>+ab($T$58,$T$56,$T$60,$G$57,$G$59,-1*$F$58,1200)</f>
        <v>6.874941691451121</v>
      </c>
      <c r="AU58" s="417"/>
      <c r="AV58" s="417"/>
      <c r="AW58" s="417" t="s">
        <v>2843</v>
      </c>
      <c r="AX58" s="417"/>
      <c r="AY58" s="422"/>
      <c r="AZ58" s="422"/>
      <c r="BA58" s="604" t="s">
        <v>2809</v>
      </c>
      <c r="BB58" s="414" t="str">
        <f>Pole_Calculations!A15</f>
        <v>App.7-V11A-P9.5.1.1</v>
      </c>
      <c r="BC58" s="169"/>
      <c r="BD58" s="1329" t="s">
        <v>4946</v>
      </c>
      <c r="BE58" s="1329" t="s">
        <v>4946</v>
      </c>
      <c r="BF58" s="1330"/>
      <c r="BG58" s="1329">
        <v>43786</v>
      </c>
    </row>
    <row r="59" spans="1:59" ht="15.75" customHeight="1">
      <c r="A59" s="414"/>
      <c r="B59" s="415"/>
      <c r="C59" s="432"/>
      <c r="D59" s="432"/>
      <c r="E59" s="420"/>
      <c r="F59" s="420"/>
      <c r="G59" s="422">
        <v>36</v>
      </c>
      <c r="H59" s="420"/>
      <c r="I59" s="420"/>
      <c r="J59" s="432">
        <f>C60-7.5</f>
        <v>94523.75</v>
      </c>
      <c r="K59" s="420" t="s">
        <v>1685</v>
      </c>
      <c r="L59" s="420"/>
      <c r="M59" s="420"/>
      <c r="N59" s="420"/>
      <c r="O59" s="420"/>
      <c r="P59" s="420"/>
      <c r="Q59" s="421"/>
      <c r="R59" s="421"/>
      <c r="S59" s="444">
        <f>+AG60-AG58</f>
        <v>36</v>
      </c>
      <c r="T59" s="420"/>
      <c r="U59" s="420"/>
      <c r="V59" s="420"/>
      <c r="W59" s="420"/>
      <c r="X59" s="420"/>
      <c r="Y59" s="420"/>
      <c r="Z59" s="420"/>
      <c r="AA59" s="420"/>
      <c r="AB59" s="420"/>
      <c r="AC59" s="420"/>
      <c r="AD59" s="420"/>
      <c r="AE59" s="420"/>
      <c r="AF59" s="421"/>
      <c r="AG59" s="432"/>
      <c r="AH59" s="421"/>
      <c r="AI59" s="421"/>
      <c r="AJ59" s="420"/>
      <c r="AK59" s="420"/>
      <c r="AL59" s="420"/>
      <c r="AM59" s="420"/>
      <c r="AN59" s="422"/>
      <c r="AO59" s="417"/>
      <c r="AP59" s="417"/>
      <c r="AQ59" s="422">
        <f>+FL_1($T$60,$T$58,$G$59,1200,9.28,-1*$F$60)</f>
        <v>0.20510119866666671</v>
      </c>
      <c r="AR59" s="417"/>
      <c r="AS59" s="417"/>
      <c r="AT59" s="422"/>
      <c r="AU59" s="417"/>
      <c r="AV59" s="417"/>
      <c r="AW59" s="417" t="s">
        <v>2846</v>
      </c>
      <c r="AX59" s="417"/>
      <c r="AY59" s="422"/>
      <c r="AZ59" s="422"/>
      <c r="BA59" s="604" t="s">
        <v>2809</v>
      </c>
      <c r="BB59" s="414"/>
      <c r="BC59" s="169"/>
      <c r="BD59" s="1329" t="s">
        <v>4946</v>
      </c>
      <c r="BE59" s="1330"/>
      <c r="BF59" s="1330"/>
      <c r="BG59" s="1330"/>
    </row>
    <row r="60" spans="1:59" ht="15.75" customHeight="1">
      <c r="A60" s="488" t="s">
        <v>1851</v>
      </c>
      <c r="B60" s="494" t="s">
        <v>2067</v>
      </c>
      <c r="C60" s="431">
        <f>+$C$58+$G$59</f>
        <v>94531.25</v>
      </c>
      <c r="D60" s="431"/>
      <c r="E60" s="495"/>
      <c r="F60" s="495">
        <v>0</v>
      </c>
      <c r="G60" s="493"/>
      <c r="H60" s="495" t="s">
        <v>873</v>
      </c>
      <c r="I60" s="495"/>
      <c r="J60" s="431"/>
      <c r="K60" s="495"/>
      <c r="L60" s="495" t="s">
        <v>230</v>
      </c>
      <c r="M60" s="490" t="s">
        <v>2811</v>
      </c>
      <c r="N60" s="495" t="s">
        <v>2796</v>
      </c>
      <c r="O60" s="495"/>
      <c r="P60" s="495"/>
      <c r="Q60" s="492">
        <v>0</v>
      </c>
      <c r="R60" s="492">
        <v>0</v>
      </c>
      <c r="S60" s="457"/>
      <c r="T60" s="495">
        <v>-20</v>
      </c>
      <c r="U60" s="495"/>
      <c r="V60" s="495"/>
      <c r="W60" s="495">
        <v>0.5</v>
      </c>
      <c r="X60" s="495"/>
      <c r="Y60" s="495"/>
      <c r="Z60" s="495"/>
      <c r="AA60" s="495"/>
      <c r="AB60" s="495"/>
      <c r="AC60" s="490" t="s">
        <v>1417</v>
      </c>
      <c r="AD60" s="495"/>
      <c r="AE60" s="495"/>
      <c r="AF60" s="492">
        <v>5600</v>
      </c>
      <c r="AG60" s="431">
        <v>94532</v>
      </c>
      <c r="AH60" s="492">
        <v>2043</v>
      </c>
      <c r="AI60" s="492">
        <v>610</v>
      </c>
      <c r="AJ60" s="495"/>
      <c r="AK60" s="495"/>
      <c r="AL60" s="495"/>
      <c r="AM60" s="495" t="s">
        <v>1043</v>
      </c>
      <c r="AN60" s="493">
        <v>5.15</v>
      </c>
      <c r="AO60" s="490"/>
      <c r="AP60" s="490"/>
      <c r="AQ60" s="493"/>
      <c r="AR60" s="490"/>
      <c r="AS60" s="490"/>
      <c r="AT60" s="493">
        <f>+ab($T$60,$T$58,$T$62,$G$59,$G$61,-1*$F$60,1200)</f>
        <v>-8.570679999135022</v>
      </c>
      <c r="AU60" s="490"/>
      <c r="AV60" s="490"/>
      <c r="AW60" s="490" t="s">
        <v>2843</v>
      </c>
      <c r="AX60" s="490"/>
      <c r="AY60" s="493"/>
      <c r="AZ60" s="493"/>
      <c r="BA60" s="602" t="s">
        <v>2809</v>
      </c>
      <c r="BB60" s="488" t="str">
        <f>Pole_Calculations!A17</f>
        <v>App.7-V11A-P9.5.1.3</v>
      </c>
      <c r="BC60" s="169"/>
      <c r="BD60" s="1329" t="s">
        <v>4946</v>
      </c>
      <c r="BE60" s="1329" t="s">
        <v>4946</v>
      </c>
      <c r="BF60" s="1330"/>
      <c r="BG60" s="1329">
        <v>43786</v>
      </c>
    </row>
    <row r="61" spans="1:59" ht="15.75" customHeight="1">
      <c r="A61" s="488" t="s">
        <v>1853</v>
      </c>
      <c r="B61" s="494"/>
      <c r="C61" s="431"/>
      <c r="D61" s="431"/>
      <c r="E61" s="495"/>
      <c r="F61" s="495"/>
      <c r="G61" s="493">
        <v>36</v>
      </c>
      <c r="H61" s="495"/>
      <c r="I61" s="512">
        <f>SUM(G43:G61)</f>
        <v>337.29999999999995</v>
      </c>
      <c r="J61" s="431"/>
      <c r="K61" s="495"/>
      <c r="L61" s="495"/>
      <c r="M61" s="495"/>
      <c r="N61" s="495"/>
      <c r="O61" s="495"/>
      <c r="P61" s="495"/>
      <c r="Q61" s="492"/>
      <c r="R61" s="492"/>
      <c r="S61" s="457">
        <f>+AG62-AG60</f>
        <v>35.990000000005239</v>
      </c>
      <c r="T61" s="495"/>
      <c r="U61" s="495"/>
      <c r="V61" s="495"/>
      <c r="W61" s="495"/>
      <c r="X61" s="495"/>
      <c r="Y61" s="495"/>
      <c r="Z61" s="495"/>
      <c r="AA61" s="495"/>
      <c r="AB61" s="495"/>
      <c r="AC61" s="495"/>
      <c r="AD61" s="495"/>
      <c r="AE61" s="495"/>
      <c r="AF61" s="492"/>
      <c r="AG61" s="431"/>
      <c r="AH61" s="492"/>
      <c r="AI61" s="492"/>
      <c r="AJ61" s="495"/>
      <c r="AK61" s="495"/>
      <c r="AL61" s="495"/>
      <c r="AM61" s="495"/>
      <c r="AN61" s="493"/>
      <c r="AO61" s="490"/>
      <c r="AP61" s="490"/>
      <c r="AQ61" s="493">
        <f>+FL_2($T$62,$T$60,$G$61,1200,9.28,-1*$F$62)</f>
        <v>-0.20510119866666671</v>
      </c>
      <c r="AR61" s="490"/>
      <c r="AS61" s="490"/>
      <c r="AT61" s="493"/>
      <c r="AU61" s="490"/>
      <c r="AV61" s="490"/>
      <c r="AW61" s="490"/>
      <c r="AX61" s="490"/>
      <c r="AY61" s="493"/>
      <c r="AZ61" s="493"/>
      <c r="BA61" s="602"/>
      <c r="BB61" s="488"/>
      <c r="BC61" s="169"/>
      <c r="BD61" s="1330"/>
      <c r="BE61" s="1330"/>
      <c r="BF61" s="1330"/>
      <c r="BG61" s="1330"/>
    </row>
    <row r="62" spans="1:59" ht="15.75" customHeight="1">
      <c r="A62" s="414" t="s">
        <v>1854</v>
      </c>
      <c r="B62" s="415" t="s">
        <v>2068</v>
      </c>
      <c r="C62" s="432">
        <f>+$C$60+$G$61</f>
        <v>94567.25</v>
      </c>
      <c r="D62" s="432"/>
      <c r="E62" s="420"/>
      <c r="F62" s="420">
        <v>0</v>
      </c>
      <c r="G62" s="422"/>
      <c r="H62" s="420" t="s">
        <v>874</v>
      </c>
      <c r="I62" s="420"/>
      <c r="J62" s="432"/>
      <c r="K62" s="420"/>
      <c r="L62" s="420" t="s">
        <v>229</v>
      </c>
      <c r="M62" s="417" t="s">
        <v>2811</v>
      </c>
      <c r="N62" s="420" t="s">
        <v>2797</v>
      </c>
      <c r="O62" s="420"/>
      <c r="P62" s="420"/>
      <c r="Q62" s="421">
        <v>0</v>
      </c>
      <c r="R62" s="421">
        <v>0</v>
      </c>
      <c r="S62" s="444"/>
      <c r="T62" s="420">
        <v>20</v>
      </c>
      <c r="U62" s="420"/>
      <c r="V62" s="420"/>
      <c r="W62" s="420">
        <v>0.45</v>
      </c>
      <c r="X62" s="420"/>
      <c r="Y62" s="420"/>
      <c r="Z62" s="420"/>
      <c r="AA62" s="420"/>
      <c r="AB62" s="420"/>
      <c r="AC62" s="417" t="s">
        <v>4115</v>
      </c>
      <c r="AD62" s="420"/>
      <c r="AE62" s="420"/>
      <c r="AF62" s="421">
        <v>5850</v>
      </c>
      <c r="AG62" s="432">
        <v>94567.99</v>
      </c>
      <c r="AH62" s="421">
        <v>1943</v>
      </c>
      <c r="AI62" s="421">
        <v>470</v>
      </c>
      <c r="AJ62" s="420"/>
      <c r="AK62" s="420"/>
      <c r="AL62" s="420"/>
      <c r="AM62" s="420" t="s">
        <v>1043</v>
      </c>
      <c r="AN62" s="422">
        <v>5.15</v>
      </c>
      <c r="AO62" s="417"/>
      <c r="AP62" s="417"/>
      <c r="AQ62" s="422"/>
      <c r="AR62" s="417"/>
      <c r="AS62" s="417"/>
      <c r="AT62" s="422">
        <f>+ab($T$62,$T$60,$T$64,$G$61,$G$63,-1*$F$62,1200)</f>
        <v>7.6302651923031899</v>
      </c>
      <c r="AU62" s="417"/>
      <c r="AV62" s="417"/>
      <c r="AW62" s="417" t="s">
        <v>2843</v>
      </c>
      <c r="AX62" s="417"/>
      <c r="AY62" s="422"/>
      <c r="AZ62" s="422"/>
      <c r="BA62" s="604" t="s">
        <v>2809</v>
      </c>
      <c r="BB62" s="414" t="str">
        <f>Pole_Calculations!A16</f>
        <v>App.7-V11A-P9.5.1.2</v>
      </c>
      <c r="BC62" s="169"/>
      <c r="BD62" s="1329" t="s">
        <v>4946</v>
      </c>
      <c r="BE62" s="1329" t="s">
        <v>4946</v>
      </c>
      <c r="BF62" s="1330"/>
      <c r="BG62" s="1329">
        <v>43808</v>
      </c>
    </row>
    <row r="63" spans="1:59" ht="15.75" customHeight="1">
      <c r="A63" s="414"/>
      <c r="B63" s="415"/>
      <c r="C63" s="432"/>
      <c r="D63" s="432"/>
      <c r="E63" s="420"/>
      <c r="F63" s="420"/>
      <c r="G63" s="422">
        <v>36</v>
      </c>
      <c r="H63" s="420"/>
      <c r="I63" s="433">
        <f>SUM(G63:G79)</f>
        <v>405.1</v>
      </c>
      <c r="J63" s="432"/>
      <c r="K63" s="420"/>
      <c r="L63" s="420"/>
      <c r="M63" s="420"/>
      <c r="N63" s="420"/>
      <c r="O63" s="420"/>
      <c r="P63" s="420"/>
      <c r="Q63" s="421"/>
      <c r="R63" s="421"/>
      <c r="S63" s="444">
        <f>+AG64-AG62</f>
        <v>35.539999999993597</v>
      </c>
      <c r="T63" s="420"/>
      <c r="U63" s="420"/>
      <c r="V63" s="420"/>
      <c r="W63" s="420"/>
      <c r="X63" s="420"/>
      <c r="Y63" s="420"/>
      <c r="Z63" s="420"/>
      <c r="AA63" s="420"/>
      <c r="AB63" s="420"/>
      <c r="AC63" s="420"/>
      <c r="AD63" s="420"/>
      <c r="AE63" s="420"/>
      <c r="AF63" s="421"/>
      <c r="AG63" s="432"/>
      <c r="AH63" s="421"/>
      <c r="AI63" s="421"/>
      <c r="AJ63" s="420"/>
      <c r="AK63" s="420"/>
      <c r="AL63" s="420"/>
      <c r="AM63" s="420"/>
      <c r="AN63" s="422"/>
      <c r="AO63" s="417"/>
      <c r="AP63" s="417"/>
      <c r="AQ63" s="422">
        <f>+FL_1($T$64,$T$62,$G$63,1200,9.28,-1*$F$64)</f>
        <v>0.22610368343559412</v>
      </c>
      <c r="AR63" s="417"/>
      <c r="AS63" s="417"/>
      <c r="AT63" s="422"/>
      <c r="AU63" s="417"/>
      <c r="AV63" s="417"/>
      <c r="AW63" s="417"/>
      <c r="AX63" s="417"/>
      <c r="AY63" s="422"/>
      <c r="AZ63" s="422"/>
      <c r="BA63" s="604"/>
      <c r="BB63" s="414"/>
      <c r="BC63" s="169"/>
      <c r="BD63" s="1330"/>
      <c r="BE63" s="1330"/>
      <c r="BF63" s="1330"/>
      <c r="BG63" s="1330"/>
    </row>
    <row r="64" spans="1:59" ht="15.75" customHeight="1">
      <c r="A64" s="414"/>
      <c r="B64" s="415" t="s">
        <v>2069</v>
      </c>
      <c r="C64" s="432">
        <f>+$C$62+$G$63</f>
        <v>94603.25</v>
      </c>
      <c r="D64" s="432"/>
      <c r="E64" s="420"/>
      <c r="F64" s="420">
        <v>2270</v>
      </c>
      <c r="G64" s="422"/>
      <c r="H64" s="420" t="s">
        <v>873</v>
      </c>
      <c r="I64" s="420"/>
      <c r="J64" s="432"/>
      <c r="K64" s="420"/>
      <c r="L64" s="420" t="s">
        <v>230</v>
      </c>
      <c r="M64" s="417" t="s">
        <v>2811</v>
      </c>
      <c r="N64" s="420" t="s">
        <v>2789</v>
      </c>
      <c r="O64" s="420"/>
      <c r="P64" s="420"/>
      <c r="Q64" s="421">
        <v>0</v>
      </c>
      <c r="R64" s="421">
        <v>0</v>
      </c>
      <c r="S64" s="444"/>
      <c r="T64" s="420">
        <v>-30</v>
      </c>
      <c r="U64" s="420"/>
      <c r="V64" s="420"/>
      <c r="W64" s="420">
        <v>0.8</v>
      </c>
      <c r="X64" s="420"/>
      <c r="Y64" s="420"/>
      <c r="Z64" s="420"/>
      <c r="AA64" s="420"/>
      <c r="AB64" s="420"/>
      <c r="AC64" s="417" t="s">
        <v>4115</v>
      </c>
      <c r="AD64" s="420"/>
      <c r="AE64" s="420"/>
      <c r="AF64" s="421">
        <v>5900</v>
      </c>
      <c r="AG64" s="432">
        <v>94603.53</v>
      </c>
      <c r="AH64" s="421">
        <v>1973</v>
      </c>
      <c r="AI64" s="421">
        <v>510</v>
      </c>
      <c r="AJ64" s="420"/>
      <c r="AK64" s="420"/>
      <c r="AL64" s="420"/>
      <c r="AM64" s="420" t="s">
        <v>1043</v>
      </c>
      <c r="AN64" s="422">
        <v>5.15</v>
      </c>
      <c r="AO64" s="417"/>
      <c r="AP64" s="417"/>
      <c r="AQ64" s="422"/>
      <c r="AR64" s="417"/>
      <c r="AS64" s="417"/>
      <c r="AT64" s="422">
        <f>+ab($T$64,$T$62,$T$66,$G$63,$G$65,-1*$F$64,1200)</f>
        <v>-6.240277313240667</v>
      </c>
      <c r="AU64" s="417"/>
      <c r="AV64" s="417"/>
      <c r="AW64" s="417" t="s">
        <v>2843</v>
      </c>
      <c r="AX64" s="417"/>
      <c r="AY64" s="422"/>
      <c r="AZ64" s="422"/>
      <c r="BA64" s="604" t="s">
        <v>2809</v>
      </c>
      <c r="BB64" s="414" t="str">
        <f>Pole_Calculations!A17</f>
        <v>App.7-V11A-P9.5.1.3</v>
      </c>
      <c r="BC64" s="169"/>
      <c r="BD64" s="1329" t="s">
        <v>4946</v>
      </c>
      <c r="BE64" s="1329" t="s">
        <v>4946</v>
      </c>
      <c r="BF64" s="1330"/>
      <c r="BG64" s="1329">
        <v>43808</v>
      </c>
    </row>
    <row r="65" spans="1:59" ht="15.75" customHeight="1">
      <c r="A65" s="414"/>
      <c r="B65" s="415"/>
      <c r="C65" s="432"/>
      <c r="D65" s="432"/>
      <c r="E65" s="420"/>
      <c r="F65" s="420"/>
      <c r="G65" s="422">
        <v>40</v>
      </c>
      <c r="H65" s="420"/>
      <c r="I65" s="433"/>
      <c r="J65" s="432">
        <f>C64+7.5</f>
        <v>94610.75</v>
      </c>
      <c r="K65" s="420" t="s">
        <v>1685</v>
      </c>
      <c r="L65" s="420"/>
      <c r="M65" s="420"/>
      <c r="N65" s="420"/>
      <c r="O65" s="420"/>
      <c r="P65" s="420"/>
      <c r="Q65" s="421"/>
      <c r="R65" s="421"/>
      <c r="S65" s="444">
        <f>+AG66-AG64</f>
        <v>40.040000000008149</v>
      </c>
      <c r="T65" s="420"/>
      <c r="U65" s="420"/>
      <c r="V65" s="420"/>
      <c r="W65" s="420"/>
      <c r="X65" s="420"/>
      <c r="Y65" s="420"/>
      <c r="Z65" s="420"/>
      <c r="AA65" s="420"/>
      <c r="AB65" s="420"/>
      <c r="AC65" s="420"/>
      <c r="AD65" s="420"/>
      <c r="AE65" s="420"/>
      <c r="AF65" s="421"/>
      <c r="AG65" s="432"/>
      <c r="AH65" s="421"/>
      <c r="AI65" s="421"/>
      <c r="AJ65" s="420"/>
      <c r="AK65" s="420"/>
      <c r="AL65" s="420"/>
      <c r="AM65" s="420"/>
      <c r="AN65" s="422"/>
      <c r="AO65" s="417"/>
      <c r="AP65" s="417"/>
      <c r="AQ65" s="422">
        <f>+FL_2($T$66,$T$64,$G$65,1200,9.28,-1*$F$66)</f>
        <v>-0.36655922989998968</v>
      </c>
      <c r="AR65" s="417"/>
      <c r="AS65" s="417"/>
      <c r="AT65" s="422"/>
      <c r="AU65" s="417"/>
      <c r="AV65" s="417"/>
      <c r="AW65" s="417" t="s">
        <v>2846</v>
      </c>
      <c r="AX65" s="417"/>
      <c r="AY65" s="422"/>
      <c r="AZ65" s="422"/>
      <c r="BA65" s="604" t="s">
        <v>2809</v>
      </c>
      <c r="BB65" s="414"/>
      <c r="BC65" s="169"/>
      <c r="BD65" s="1329" t="s">
        <v>4946</v>
      </c>
      <c r="BE65" s="1330"/>
      <c r="BF65" s="1330"/>
      <c r="BG65" s="1330"/>
    </row>
    <row r="66" spans="1:59" ht="15.75" customHeight="1">
      <c r="A66" s="414"/>
      <c r="B66" s="415" t="s">
        <v>2412</v>
      </c>
      <c r="C66" s="432">
        <f>+$C$64+$G$65</f>
        <v>94643.25</v>
      </c>
      <c r="D66" s="432"/>
      <c r="E66" s="420"/>
      <c r="F66" s="420">
        <v>2270</v>
      </c>
      <c r="G66" s="422"/>
      <c r="H66" s="420"/>
      <c r="I66" s="420"/>
      <c r="J66" s="432"/>
      <c r="K66" s="420"/>
      <c r="L66" s="420" t="s">
        <v>230</v>
      </c>
      <c r="M66" s="417" t="s">
        <v>2811</v>
      </c>
      <c r="N66" s="420" t="s">
        <v>143</v>
      </c>
      <c r="O66" s="420"/>
      <c r="P66" s="420"/>
      <c r="Q66" s="421">
        <v>0</v>
      </c>
      <c r="R66" s="421">
        <v>0</v>
      </c>
      <c r="S66" s="444"/>
      <c r="T66" s="420">
        <v>-30</v>
      </c>
      <c r="U66" s="420"/>
      <c r="V66" s="420"/>
      <c r="W66" s="420">
        <v>1.4</v>
      </c>
      <c r="X66" s="420"/>
      <c r="Y66" s="420"/>
      <c r="Z66" s="420"/>
      <c r="AA66" s="420"/>
      <c r="AB66" s="420"/>
      <c r="AC66" s="417" t="s">
        <v>1421</v>
      </c>
      <c r="AD66" s="420"/>
      <c r="AE66" s="420"/>
      <c r="AF66" s="421">
        <v>5800</v>
      </c>
      <c r="AG66" s="432">
        <v>94643.57</v>
      </c>
      <c r="AH66" s="421">
        <v>1913</v>
      </c>
      <c r="AI66" s="421">
        <v>530</v>
      </c>
      <c r="AJ66" s="420"/>
      <c r="AK66" s="420"/>
      <c r="AL66" s="417"/>
      <c r="AM66" s="420" t="s">
        <v>1043</v>
      </c>
      <c r="AN66" s="422">
        <v>5.15</v>
      </c>
      <c r="AO66" s="417"/>
      <c r="AP66" s="417"/>
      <c r="AQ66" s="422"/>
      <c r="AR66" s="417"/>
      <c r="AS66" s="417"/>
      <c r="AT66" s="422">
        <f>+ab($T$66,$T$64,$T$68,$G$65,$G$67,-1*$F$66,1200)</f>
        <v>-10.709249112303322</v>
      </c>
      <c r="AU66" s="417"/>
      <c r="AV66" s="417"/>
      <c r="AW66" s="417" t="s">
        <v>2843</v>
      </c>
      <c r="AX66" s="417"/>
      <c r="AY66" s="422"/>
      <c r="AZ66" s="422"/>
      <c r="BA66" s="604" t="s">
        <v>2809</v>
      </c>
      <c r="BB66" s="414" t="str">
        <f>Pole_Calculations!A15</f>
        <v>App.7-V11A-P9.5.1.1</v>
      </c>
      <c r="BC66" s="169"/>
      <c r="BD66" s="1329" t="s">
        <v>4946</v>
      </c>
      <c r="BE66" s="1329" t="s">
        <v>4946</v>
      </c>
      <c r="BF66" s="1330"/>
      <c r="BG66" s="1329">
        <v>43808</v>
      </c>
    </row>
    <row r="67" spans="1:59" ht="15.75" customHeight="1">
      <c r="A67" s="414"/>
      <c r="B67" s="415"/>
      <c r="C67" s="432"/>
      <c r="D67" s="432"/>
      <c r="E67" s="420"/>
      <c r="F67" s="420"/>
      <c r="G67" s="422">
        <v>40.4</v>
      </c>
      <c r="H67" s="420"/>
      <c r="I67" s="420"/>
      <c r="J67" s="432"/>
      <c r="K67" s="420"/>
      <c r="L67" s="420"/>
      <c r="M67" s="420"/>
      <c r="N67" s="420"/>
      <c r="O67" s="420"/>
      <c r="P67" s="420"/>
      <c r="Q67" s="421"/>
      <c r="R67" s="421"/>
      <c r="S67" s="444">
        <f>+AG68-AG66</f>
        <v>40.319999999992433</v>
      </c>
      <c r="T67" s="420"/>
      <c r="U67" s="420"/>
      <c r="V67" s="420"/>
      <c r="W67" s="420"/>
      <c r="X67" s="420"/>
      <c r="Y67" s="420"/>
      <c r="Z67" s="420"/>
      <c r="AA67" s="420"/>
      <c r="AB67" s="420"/>
      <c r="AC67" s="420"/>
      <c r="AD67" s="420"/>
      <c r="AE67" s="420"/>
      <c r="AF67" s="421"/>
      <c r="AG67" s="432"/>
      <c r="AH67" s="421"/>
      <c r="AI67" s="421"/>
      <c r="AJ67" s="420"/>
      <c r="AK67" s="420"/>
      <c r="AL67" s="417"/>
      <c r="AM67" s="420"/>
      <c r="AN67" s="422"/>
      <c r="AO67" s="417"/>
      <c r="AP67" s="417"/>
      <c r="AQ67" s="422">
        <f>+FL_2($T$68,$T$66,$G$67,1200,9.28,-1*$F$68)</f>
        <v>-0.36789703535995127</v>
      </c>
      <c r="AR67" s="417"/>
      <c r="AS67" s="417"/>
      <c r="AT67" s="422"/>
      <c r="AU67" s="417"/>
      <c r="AV67" s="417"/>
      <c r="AW67" s="417"/>
      <c r="AX67" s="417"/>
      <c r="AY67" s="422"/>
      <c r="AZ67" s="422"/>
      <c r="BA67" s="604"/>
      <c r="BB67" s="414"/>
      <c r="BC67" s="169"/>
      <c r="BD67" s="1330"/>
      <c r="BE67" s="1330"/>
      <c r="BF67" s="1330"/>
      <c r="BG67" s="1330"/>
    </row>
    <row r="68" spans="1:59" ht="26.25" customHeight="1">
      <c r="A68" s="414"/>
      <c r="B68" s="569" t="s">
        <v>2070</v>
      </c>
      <c r="C68" s="432">
        <f>+$C$66+$G$67</f>
        <v>94683.65</v>
      </c>
      <c r="D68" s="432"/>
      <c r="E68" s="420"/>
      <c r="F68" s="420">
        <v>2270</v>
      </c>
      <c r="G68" s="422"/>
      <c r="H68" s="420"/>
      <c r="I68" s="420"/>
      <c r="J68" s="432"/>
      <c r="K68" s="420"/>
      <c r="L68" s="420" t="s">
        <v>821</v>
      </c>
      <c r="M68" s="417" t="s">
        <v>2811</v>
      </c>
      <c r="N68" s="420" t="s">
        <v>2789</v>
      </c>
      <c r="O68" s="420"/>
      <c r="P68" s="420"/>
      <c r="Q68" s="421">
        <v>0</v>
      </c>
      <c r="R68" s="421">
        <v>2304.0500000000002</v>
      </c>
      <c r="S68" s="444"/>
      <c r="T68" s="420">
        <v>-30</v>
      </c>
      <c r="U68" s="420"/>
      <c r="V68" s="420"/>
      <c r="W68" s="420">
        <v>1.4</v>
      </c>
      <c r="X68" s="420"/>
      <c r="Y68" s="420"/>
      <c r="Z68" s="420"/>
      <c r="AA68" s="420"/>
      <c r="AB68" s="420"/>
      <c r="AC68" s="417" t="s">
        <v>1421</v>
      </c>
      <c r="AD68" s="420"/>
      <c r="AE68" s="420"/>
      <c r="AF68" s="421">
        <v>5400</v>
      </c>
      <c r="AG68" s="432">
        <v>94683.89</v>
      </c>
      <c r="AH68" s="421">
        <v>1933</v>
      </c>
      <c r="AI68" s="421">
        <v>530</v>
      </c>
      <c r="AJ68" s="420"/>
      <c r="AK68" s="420"/>
      <c r="AL68" s="417" t="s">
        <v>2135</v>
      </c>
      <c r="AM68" s="420" t="s">
        <v>1043</v>
      </c>
      <c r="AN68" s="422">
        <v>5.15</v>
      </c>
      <c r="AO68" s="417"/>
      <c r="AP68" s="417"/>
      <c r="AQ68" s="422"/>
      <c r="AR68" s="417"/>
      <c r="AS68" s="417"/>
      <c r="AT68" s="422">
        <f>+ab($T$68,$T$66,$T$70,$G$67,$G$69,-1*$F$68,1200)</f>
        <v>-9.3051696018255221</v>
      </c>
      <c r="AU68" s="417"/>
      <c r="AV68" s="417"/>
      <c r="AW68" s="645" t="s">
        <v>2843</v>
      </c>
      <c r="AX68" s="417"/>
      <c r="AY68" s="422"/>
      <c r="AZ68" s="422"/>
      <c r="BA68" s="604" t="s">
        <v>2809</v>
      </c>
      <c r="BB68" s="414" t="str">
        <f>Pole_Calculations!A178</f>
        <v>App.8-V08F-P10.3</v>
      </c>
      <c r="BC68" s="169"/>
      <c r="BD68" s="1329">
        <v>43806</v>
      </c>
      <c r="BE68" s="1329" t="s">
        <v>4946</v>
      </c>
      <c r="BF68" s="1329" t="s">
        <v>4946</v>
      </c>
      <c r="BG68" s="1329">
        <v>43839</v>
      </c>
    </row>
    <row r="69" spans="1:59" ht="15.75" customHeight="1">
      <c r="A69" s="1239"/>
      <c r="B69" s="445"/>
      <c r="C69" s="171"/>
      <c r="D69" s="171"/>
      <c r="E69" s="1239"/>
      <c r="F69" s="1239"/>
      <c r="G69" s="484">
        <v>52.4</v>
      </c>
      <c r="H69" s="1239"/>
      <c r="I69" s="1239" t="s">
        <v>1039</v>
      </c>
      <c r="J69" s="171">
        <f>C70+7.5</f>
        <v>94743.549999999988</v>
      </c>
      <c r="K69" s="1239" t="s">
        <v>1685</v>
      </c>
      <c r="L69" s="1239"/>
      <c r="M69" s="1239"/>
      <c r="N69" s="1239"/>
      <c r="O69" s="1239"/>
      <c r="P69" s="1239"/>
      <c r="Q69" s="448"/>
      <c r="R69" s="448"/>
      <c r="S69" s="455">
        <f>+AG70-AG68</f>
        <v>52.19999999999709</v>
      </c>
      <c r="T69" s="1239"/>
      <c r="U69" s="1239"/>
      <c r="V69" s="1239"/>
      <c r="W69" s="1239"/>
      <c r="X69" s="1239"/>
      <c r="Y69" s="1239"/>
      <c r="Z69" s="1239"/>
      <c r="AA69" s="1239"/>
      <c r="AB69" s="1239"/>
      <c r="AC69" s="1239"/>
      <c r="AD69" s="1239"/>
      <c r="AE69" s="1239"/>
      <c r="AF69" s="448"/>
      <c r="AG69" s="171"/>
      <c r="AH69" s="448"/>
      <c r="AI69" s="448"/>
      <c r="AJ69" s="1239"/>
      <c r="AK69" s="1239"/>
      <c r="AL69" s="638"/>
      <c r="AM69" s="1239"/>
      <c r="AN69" s="484"/>
      <c r="AO69" s="638"/>
      <c r="AP69" s="638"/>
      <c r="AQ69" s="484">
        <f>+FL_2($T$70,$T$68,$G$69,1200,9.28,-1*$F$70)</f>
        <v>-0.41422019300345303</v>
      </c>
      <c r="AR69" s="638"/>
      <c r="AS69" s="638"/>
      <c r="AT69" s="484"/>
      <c r="AU69" s="638"/>
      <c r="AV69" s="638"/>
      <c r="AW69" s="638" t="s">
        <v>2846</v>
      </c>
      <c r="AX69" s="638"/>
      <c r="AY69" s="484"/>
      <c r="AZ69" s="484"/>
      <c r="BA69" s="671" t="s">
        <v>2809</v>
      </c>
      <c r="BB69" s="1239"/>
      <c r="BC69" s="169"/>
      <c r="BD69" s="1329" t="s">
        <v>4946</v>
      </c>
      <c r="BE69" s="1330"/>
      <c r="BF69" s="1330"/>
      <c r="BG69" s="1330"/>
    </row>
    <row r="70" spans="1:59" ht="15.75" customHeight="1">
      <c r="A70" s="1239" t="s">
        <v>3278</v>
      </c>
      <c r="B70" s="569" t="s">
        <v>2071</v>
      </c>
      <c r="C70" s="171">
        <f>+$C$68+$G$69</f>
        <v>94736.049999999988</v>
      </c>
      <c r="D70" s="171"/>
      <c r="E70" s="1239"/>
      <c r="F70" s="1239">
        <v>2270</v>
      </c>
      <c r="G70" s="484"/>
      <c r="H70" s="1239"/>
      <c r="I70" s="1239"/>
      <c r="J70" s="171"/>
      <c r="K70" s="1239"/>
      <c r="L70" s="1239" t="s">
        <v>821</v>
      </c>
      <c r="M70" s="638" t="s">
        <v>2811</v>
      </c>
      <c r="N70" s="1239" t="s">
        <v>2789</v>
      </c>
      <c r="O70" s="1239"/>
      <c r="P70" s="1239"/>
      <c r="Q70" s="448">
        <v>0</v>
      </c>
      <c r="R70" s="448">
        <v>2150</v>
      </c>
      <c r="S70" s="455"/>
      <c r="T70" s="1239">
        <v>-30</v>
      </c>
      <c r="U70" s="1239"/>
      <c r="V70" s="1239"/>
      <c r="W70" s="1239">
        <v>1.4</v>
      </c>
      <c r="X70" s="1239"/>
      <c r="Y70" s="1239"/>
      <c r="Z70" s="1239"/>
      <c r="AA70" s="1239"/>
      <c r="AB70" s="1239"/>
      <c r="AC70" s="638" t="s">
        <v>4090</v>
      </c>
      <c r="AD70" s="1239"/>
      <c r="AE70" s="1239"/>
      <c r="AF70" s="448">
        <v>5500</v>
      </c>
      <c r="AG70" s="171">
        <v>94736.09</v>
      </c>
      <c r="AH70" s="448">
        <v>1873</v>
      </c>
      <c r="AI70" s="448">
        <v>450</v>
      </c>
      <c r="AJ70" s="1239" t="s">
        <v>884</v>
      </c>
      <c r="AK70" s="1239"/>
      <c r="AL70" s="638" t="s">
        <v>2142</v>
      </c>
      <c r="AM70" s="1239" t="s">
        <v>1043</v>
      </c>
      <c r="AN70" s="484">
        <v>5.15</v>
      </c>
      <c r="AO70" s="638"/>
      <c r="AP70" s="638"/>
      <c r="AQ70" s="484"/>
      <c r="AR70" s="638"/>
      <c r="AS70" s="638"/>
      <c r="AT70" s="484">
        <f>+ab($T$70,$T$68,$T$72,$G$69,$G$71,-1*$F$70,1200)</f>
        <v>-8.4541639858590472</v>
      </c>
      <c r="AU70" s="638"/>
      <c r="AV70" s="638"/>
      <c r="AW70" s="638" t="s">
        <v>2843</v>
      </c>
      <c r="AX70" s="638"/>
      <c r="AY70" s="484"/>
      <c r="AZ70" s="484"/>
      <c r="BA70" s="671" t="s">
        <v>2809</v>
      </c>
      <c r="BB70" s="1239" t="str">
        <f>Pole_Calculations!A178</f>
        <v>App.8-V08F-P10.3</v>
      </c>
      <c r="BC70" s="169"/>
      <c r="BD70" s="1329" t="s">
        <v>4946</v>
      </c>
      <c r="BE70" s="1329" t="s">
        <v>4946</v>
      </c>
      <c r="BF70" s="1329" t="s">
        <v>4946</v>
      </c>
      <c r="BG70" s="1329">
        <v>43808</v>
      </c>
    </row>
    <row r="71" spans="1:59" ht="15.75" customHeight="1">
      <c r="A71" s="1239"/>
      <c r="B71" s="445"/>
      <c r="C71" s="171"/>
      <c r="D71" s="171"/>
      <c r="E71" s="1239"/>
      <c r="F71" s="1239"/>
      <c r="G71" s="484">
        <v>49.9</v>
      </c>
      <c r="H71" s="1239"/>
      <c r="I71" s="1239" t="s">
        <v>1471</v>
      </c>
      <c r="J71" s="171">
        <f>C70-7.5</f>
        <v>94728.549999999988</v>
      </c>
      <c r="K71" s="1239" t="s">
        <v>1685</v>
      </c>
      <c r="L71" s="1239"/>
      <c r="M71" s="1239"/>
      <c r="N71" s="1239"/>
      <c r="O71" s="1239"/>
      <c r="P71" s="1239"/>
      <c r="Q71" s="448"/>
      <c r="R71" s="448"/>
      <c r="S71" s="455">
        <f>+AG72-AG70</f>
        <v>49.870000000009895</v>
      </c>
      <c r="T71" s="1239"/>
      <c r="U71" s="1239"/>
      <c r="V71" s="1239"/>
      <c r="W71" s="1239"/>
      <c r="X71" s="1239"/>
      <c r="Y71" s="1239"/>
      <c r="Z71" s="1239"/>
      <c r="AA71" s="1239"/>
      <c r="AB71" s="1239"/>
      <c r="AC71" s="1239"/>
      <c r="AD71" s="1239"/>
      <c r="AE71" s="1239"/>
      <c r="AF71" s="448"/>
      <c r="AG71" s="171"/>
      <c r="AH71" s="448"/>
      <c r="AI71" s="448"/>
      <c r="AJ71" s="1239"/>
      <c r="AK71" s="1239"/>
      <c r="AL71" s="1239"/>
      <c r="AM71" s="1239"/>
      <c r="AN71" s="484"/>
      <c r="AO71" s="638"/>
      <c r="AP71" s="638"/>
      <c r="AQ71" s="484">
        <f>+FL_2($T$72,$T$70,$G$71,1200,9.28,-1*$F$72)</f>
        <v>-0.40358173722117807</v>
      </c>
      <c r="AR71" s="638"/>
      <c r="AS71" s="638"/>
      <c r="AT71" s="484"/>
      <c r="AU71" s="638"/>
      <c r="AV71" s="638"/>
      <c r="AW71" s="638" t="s">
        <v>2846</v>
      </c>
      <c r="AX71" s="638"/>
      <c r="AY71" s="484"/>
      <c r="AZ71" s="484"/>
      <c r="BA71" s="671" t="s">
        <v>2809</v>
      </c>
      <c r="BB71" s="1239"/>
      <c r="BC71" s="169"/>
      <c r="BD71" s="1329" t="s">
        <v>4946</v>
      </c>
      <c r="BE71" s="1330"/>
      <c r="BF71" s="1330"/>
      <c r="BG71" s="1330"/>
    </row>
    <row r="72" spans="1:59" ht="15.75" customHeight="1">
      <c r="A72" s="1239"/>
      <c r="B72" s="445" t="s">
        <v>2072</v>
      </c>
      <c r="C72" s="171">
        <f>+$C$70+$G$71</f>
        <v>94785.949999999983</v>
      </c>
      <c r="D72" s="171"/>
      <c r="E72" s="1239"/>
      <c r="F72" s="1239">
        <v>2270</v>
      </c>
      <c r="G72" s="484"/>
      <c r="H72" s="1239"/>
      <c r="I72" s="1239"/>
      <c r="J72" s="171"/>
      <c r="K72" s="1239"/>
      <c r="L72" s="1239" t="s">
        <v>821</v>
      </c>
      <c r="M72" s="638" t="s">
        <v>2811</v>
      </c>
      <c r="N72" s="1239" t="s">
        <v>2789</v>
      </c>
      <c r="O72" s="1239"/>
      <c r="P72" s="1239"/>
      <c r="Q72" s="448">
        <v>0</v>
      </c>
      <c r="R72" s="448">
        <v>2150</v>
      </c>
      <c r="S72" s="455"/>
      <c r="T72" s="1239">
        <v>-30</v>
      </c>
      <c r="U72" s="1239"/>
      <c r="V72" s="1239"/>
      <c r="W72" s="1239">
        <v>1.4</v>
      </c>
      <c r="X72" s="1239"/>
      <c r="Y72" s="1239"/>
      <c r="Z72" s="1239"/>
      <c r="AA72" s="1239"/>
      <c r="AB72" s="1239"/>
      <c r="AC72" s="638" t="s">
        <v>4090</v>
      </c>
      <c r="AD72" s="1239"/>
      <c r="AE72" s="1239"/>
      <c r="AF72" s="448">
        <v>5500</v>
      </c>
      <c r="AG72" s="171">
        <v>94785.96</v>
      </c>
      <c r="AH72" s="448">
        <v>1823</v>
      </c>
      <c r="AI72" s="448">
        <v>480</v>
      </c>
      <c r="AJ72" s="1239"/>
      <c r="AK72" s="1239"/>
      <c r="AL72" s="638" t="s">
        <v>2142</v>
      </c>
      <c r="AM72" s="1239" t="s">
        <v>1043</v>
      </c>
      <c r="AN72" s="484">
        <v>5.22</v>
      </c>
      <c r="AO72" s="638"/>
      <c r="AP72" s="638"/>
      <c r="AQ72" s="484"/>
      <c r="AR72" s="638"/>
      <c r="AS72" s="638"/>
      <c r="AT72" s="484">
        <f>+ab($T$72,$T$70,$T$74,$G$71,$G$73,-1*$F$72,1200)</f>
        <v>-9.1121860420436196</v>
      </c>
      <c r="AU72" s="638"/>
      <c r="AV72" s="638"/>
      <c r="AW72" s="638" t="s">
        <v>2843</v>
      </c>
      <c r="AX72" s="638"/>
      <c r="AY72" s="484"/>
      <c r="AZ72" s="484"/>
      <c r="BA72" s="671" t="s">
        <v>2809</v>
      </c>
      <c r="BB72" s="1239" t="str">
        <f>Pole_Calculations!A178</f>
        <v>App.8-V08F-P10.3</v>
      </c>
      <c r="BC72" s="169"/>
      <c r="BD72" s="1329" t="s">
        <v>4946</v>
      </c>
      <c r="BE72" s="1329" t="s">
        <v>4946</v>
      </c>
      <c r="BF72" s="1329" t="s">
        <v>4946</v>
      </c>
      <c r="BG72" s="1329">
        <v>43808</v>
      </c>
    </row>
    <row r="73" spans="1:59" ht="15.75" customHeight="1">
      <c r="A73" s="1239"/>
      <c r="B73" s="445"/>
      <c r="C73" s="171"/>
      <c r="D73" s="171"/>
      <c r="E73" s="1239"/>
      <c r="F73" s="1239"/>
      <c r="G73" s="484">
        <v>44.9</v>
      </c>
      <c r="H73" s="1239"/>
      <c r="I73" s="1239"/>
      <c r="J73" s="171">
        <f>C74-7.5</f>
        <v>94823.349999999977</v>
      </c>
      <c r="K73" s="1239" t="s">
        <v>1684</v>
      </c>
      <c r="L73" s="1239"/>
      <c r="M73" s="1239"/>
      <c r="N73" s="1239"/>
      <c r="O73" s="1239"/>
      <c r="P73" s="1239"/>
      <c r="Q73" s="448"/>
      <c r="R73" s="448"/>
      <c r="S73" s="455">
        <f>+AG74-AG72</f>
        <v>44.849999999991269</v>
      </c>
      <c r="T73" s="1239"/>
      <c r="U73" s="1239"/>
      <c r="V73" s="1239"/>
      <c r="W73" s="1239"/>
      <c r="X73" s="1239"/>
      <c r="Y73" s="1239"/>
      <c r="Z73" s="1239"/>
      <c r="AA73" s="1239"/>
      <c r="AB73" s="1239"/>
      <c r="AC73" s="1239"/>
      <c r="AD73" s="1239"/>
      <c r="AE73" s="1239"/>
      <c r="AF73" s="448"/>
      <c r="AG73" s="171"/>
      <c r="AH73" s="448"/>
      <c r="AI73" s="448"/>
      <c r="AJ73" s="1239"/>
      <c r="AK73" s="1239"/>
      <c r="AL73" s="1239"/>
      <c r="AM73" s="1239"/>
      <c r="AN73" s="484"/>
      <c r="AO73" s="638"/>
      <c r="AP73" s="638"/>
      <c r="AQ73" s="484">
        <f>+FL_2($T$74,$T$72,$G$73,1200,9.28,-1*$F$74)</f>
        <v>-0.38386448546409796</v>
      </c>
      <c r="AR73" s="638"/>
      <c r="AS73" s="638"/>
      <c r="AT73" s="484"/>
      <c r="AU73" s="638"/>
      <c r="AV73" s="638"/>
      <c r="AW73" s="638" t="s">
        <v>2846</v>
      </c>
      <c r="AX73" s="638"/>
      <c r="AY73" s="484"/>
      <c r="AZ73" s="484"/>
      <c r="BA73" s="671" t="s">
        <v>2809</v>
      </c>
      <c r="BB73" s="1239"/>
      <c r="BC73" s="169"/>
      <c r="BD73" s="1329" t="s">
        <v>4946</v>
      </c>
      <c r="BE73" s="1330"/>
      <c r="BF73" s="1330"/>
      <c r="BG73" s="1330"/>
    </row>
    <row r="74" spans="1:59" ht="15.75" customHeight="1">
      <c r="A74" s="1239"/>
      <c r="B74" s="445" t="s">
        <v>2073</v>
      </c>
      <c r="C74" s="171">
        <f>+$C$72+$G$73</f>
        <v>94830.849999999977</v>
      </c>
      <c r="D74" s="171"/>
      <c r="E74" s="1239"/>
      <c r="F74" s="1239">
        <v>2270</v>
      </c>
      <c r="G74" s="484"/>
      <c r="H74" s="1239" t="s">
        <v>138</v>
      </c>
      <c r="I74" s="1239" t="s">
        <v>4231</v>
      </c>
      <c r="J74" s="171"/>
      <c r="K74" s="1239"/>
      <c r="L74" s="1239" t="s">
        <v>819</v>
      </c>
      <c r="M74" s="638" t="s">
        <v>2811</v>
      </c>
      <c r="N74" s="1239" t="s">
        <v>2789</v>
      </c>
      <c r="O74" s="1239"/>
      <c r="P74" s="1239"/>
      <c r="Q74" s="448">
        <v>10</v>
      </c>
      <c r="R74" s="448">
        <v>2150</v>
      </c>
      <c r="S74" s="455"/>
      <c r="T74" s="1239">
        <v>-30</v>
      </c>
      <c r="U74" s="1239"/>
      <c r="V74" s="1239"/>
      <c r="W74" s="1239">
        <v>1.4</v>
      </c>
      <c r="X74" s="1239"/>
      <c r="Y74" s="1239"/>
      <c r="Z74" s="1239"/>
      <c r="AA74" s="1239"/>
      <c r="AB74" s="1239"/>
      <c r="AC74" s="638" t="s">
        <v>1421</v>
      </c>
      <c r="AD74" s="1239"/>
      <c r="AE74" s="1239"/>
      <c r="AF74" s="448">
        <v>5800</v>
      </c>
      <c r="AG74" s="171">
        <v>94830.81</v>
      </c>
      <c r="AH74" s="448">
        <v>1863</v>
      </c>
      <c r="AI74" s="448">
        <v>570</v>
      </c>
      <c r="AJ74" s="1239"/>
      <c r="AK74" s="1239"/>
      <c r="AL74" s="1239"/>
      <c r="AM74" s="1239" t="s">
        <v>1043</v>
      </c>
      <c r="AN74" s="484">
        <v>5.35</v>
      </c>
      <c r="AO74" s="638"/>
      <c r="AP74" s="638"/>
      <c r="AQ74" s="484"/>
      <c r="AR74" s="638"/>
      <c r="AS74" s="638"/>
      <c r="AT74" s="484">
        <f>+ab($T$74,$T$72,$U$76,$G$73,$G$75,-1*$F$74,1200)</f>
        <v>-8.7490970649545758</v>
      </c>
      <c r="AU74" s="638"/>
      <c r="AV74" s="638"/>
      <c r="AW74" s="638" t="s">
        <v>2843</v>
      </c>
      <c r="AX74" s="638"/>
      <c r="AY74" s="484"/>
      <c r="AZ74" s="484"/>
      <c r="BA74" s="671" t="s">
        <v>2809</v>
      </c>
      <c r="BB74" s="1239" t="str">
        <f>Pole_Calculations!A20</f>
        <v>App.7-V11A-P9.5.1.6</v>
      </c>
      <c r="BC74" s="169"/>
      <c r="BD74" s="1329" t="s">
        <v>4946</v>
      </c>
      <c r="BE74" s="1329" t="s">
        <v>4946</v>
      </c>
      <c r="BF74" s="1330"/>
      <c r="BG74" s="1329">
        <v>43786</v>
      </c>
    </row>
    <row r="75" spans="1:59" ht="15.75" customHeight="1">
      <c r="A75" s="1239"/>
      <c r="B75" s="445"/>
      <c r="C75" s="171"/>
      <c r="D75" s="171"/>
      <c r="E75" s="1239"/>
      <c r="F75" s="1239"/>
      <c r="G75" s="484">
        <v>53.9</v>
      </c>
      <c r="H75" s="1239"/>
      <c r="I75" s="1239"/>
      <c r="J75" s="171"/>
      <c r="K75" s="1239"/>
      <c r="L75" s="1239"/>
      <c r="M75" s="1239"/>
      <c r="N75" s="1239"/>
      <c r="O75" s="1239"/>
      <c r="P75" s="1239"/>
      <c r="Q75" s="448"/>
      <c r="R75" s="448"/>
      <c r="S75" s="455">
        <f>+AG76-AG74</f>
        <v>53.930000000007567</v>
      </c>
      <c r="T75" s="1239"/>
      <c r="U75" s="1239"/>
      <c r="V75" s="1239"/>
      <c r="W75" s="1239"/>
      <c r="X75" s="1239"/>
      <c r="Y75" s="1239"/>
      <c r="Z75" s="1239"/>
      <c r="AA75" s="1239"/>
      <c r="AB75" s="1239"/>
      <c r="AC75" s="1239"/>
      <c r="AD75" s="1239"/>
      <c r="AE75" s="1239"/>
      <c r="AF75" s="448"/>
      <c r="AG75" s="171"/>
      <c r="AH75" s="448"/>
      <c r="AI75" s="448"/>
      <c r="AJ75" s="1239"/>
      <c r="AK75" s="1239"/>
      <c r="AL75" s="1239"/>
      <c r="AM75" s="1239"/>
      <c r="AN75" s="484"/>
      <c r="AO75" s="638"/>
      <c r="AP75" s="638"/>
      <c r="AQ75" s="484">
        <f>+FL_2($U$76,$T$74,$G$75,1200,9.28,-1*$F$76)</f>
        <v>-0.42085280478717402</v>
      </c>
      <c r="AR75" s="638"/>
      <c r="AS75" s="638"/>
      <c r="AT75" s="484"/>
      <c r="AU75" s="638"/>
      <c r="AV75" s="638"/>
      <c r="AW75" s="638"/>
      <c r="AX75" s="638"/>
      <c r="AY75" s="484"/>
      <c r="AZ75" s="484"/>
      <c r="BA75" s="671"/>
      <c r="BB75" s="1239"/>
      <c r="BC75" s="169"/>
      <c r="BD75" s="1330"/>
      <c r="BE75" s="1330"/>
      <c r="BF75" s="1330"/>
      <c r="BG75" s="1330"/>
    </row>
    <row r="76" spans="1:59" ht="15.75" customHeight="1">
      <c r="A76" s="1239"/>
      <c r="B76" s="445" t="s">
        <v>2074</v>
      </c>
      <c r="C76" s="171">
        <f>+$C$74+$G$75</f>
        <v>94884.749999999971</v>
      </c>
      <c r="D76" s="171"/>
      <c r="E76" s="1239"/>
      <c r="F76" s="1239">
        <v>2270</v>
      </c>
      <c r="G76" s="484"/>
      <c r="H76" s="1239" t="s">
        <v>619</v>
      </c>
      <c r="I76" s="1239"/>
      <c r="J76" s="171"/>
      <c r="K76" s="1239"/>
      <c r="L76" s="1239" t="s">
        <v>819</v>
      </c>
      <c r="M76" s="638" t="s">
        <v>1692</v>
      </c>
      <c r="N76" s="1239" t="s">
        <v>140</v>
      </c>
      <c r="O76" s="1239" t="s">
        <v>143</v>
      </c>
      <c r="P76" s="1239"/>
      <c r="Q76" s="448">
        <v>0</v>
      </c>
      <c r="R76" s="448">
        <v>2150</v>
      </c>
      <c r="S76" s="455"/>
      <c r="T76" s="638">
        <v>-10</v>
      </c>
      <c r="U76" s="638">
        <v>-30</v>
      </c>
      <c r="V76" s="638"/>
      <c r="W76" s="638">
        <v>1.4</v>
      </c>
      <c r="X76" s="638">
        <v>1.8</v>
      </c>
      <c r="Y76" s="638"/>
      <c r="Z76" s="638">
        <v>0.5</v>
      </c>
      <c r="AA76" s="638"/>
      <c r="AB76" s="1239"/>
      <c r="AC76" s="638" t="s">
        <v>1421</v>
      </c>
      <c r="AD76" s="1239"/>
      <c r="AE76" s="1239"/>
      <c r="AF76" s="448">
        <v>3300</v>
      </c>
      <c r="AG76" s="171">
        <v>94884.74</v>
      </c>
      <c r="AH76" s="448">
        <v>2483</v>
      </c>
      <c r="AI76" s="448">
        <v>-2130</v>
      </c>
      <c r="AJ76" s="1239"/>
      <c r="AK76" s="1239"/>
      <c r="AL76" s="1239" t="s">
        <v>2127</v>
      </c>
      <c r="AM76" s="1239" t="s">
        <v>1043</v>
      </c>
      <c r="AN76" s="484">
        <v>5.45</v>
      </c>
      <c r="AO76" s="638"/>
      <c r="AP76" s="638"/>
      <c r="AQ76" s="484"/>
      <c r="AR76" s="638"/>
      <c r="AS76" s="638"/>
      <c r="AT76" s="484">
        <f>+ab($U$76,$T$74,$T$78,$G$75,$G$77,-1*$F$76,1200)</f>
        <v>-7.3161217440460513</v>
      </c>
      <c r="AU76" s="638"/>
      <c r="AV76" s="638"/>
      <c r="AW76" s="638" t="s">
        <v>2845</v>
      </c>
      <c r="AX76" s="638"/>
      <c r="AY76" s="484"/>
      <c r="AZ76" s="484"/>
      <c r="BA76" s="671" t="s">
        <v>2809</v>
      </c>
      <c r="BB76" s="1239" t="str">
        <f>Pole_Calculations!A178</f>
        <v>App.8-V08F-P10.3</v>
      </c>
      <c r="BC76" s="169"/>
      <c r="BD76" s="1329">
        <v>43816</v>
      </c>
      <c r="BE76" s="1329" t="s">
        <v>4946</v>
      </c>
      <c r="BF76" s="1329" t="s">
        <v>4946</v>
      </c>
      <c r="BG76" s="1329">
        <v>43808</v>
      </c>
    </row>
    <row r="77" spans="1:59" ht="15.75" customHeight="1">
      <c r="A77" s="488" t="s">
        <v>1851</v>
      </c>
      <c r="B77" s="494"/>
      <c r="C77" s="431"/>
      <c r="D77" s="431"/>
      <c r="E77" s="495"/>
      <c r="F77" s="495"/>
      <c r="G77" s="493">
        <v>43.8</v>
      </c>
      <c r="H77" s="495"/>
      <c r="I77" s="495"/>
      <c r="J77" s="431"/>
      <c r="K77" s="495"/>
      <c r="L77" s="495"/>
      <c r="M77" s="490"/>
      <c r="N77" s="495"/>
      <c r="O77" s="495"/>
      <c r="P77" s="495"/>
      <c r="Q77" s="492"/>
      <c r="R77" s="492"/>
      <c r="S77" s="457">
        <f>+AG78-AG76</f>
        <v>43.259999999994761</v>
      </c>
      <c r="T77" s="490"/>
      <c r="U77" s="490"/>
      <c r="V77" s="490"/>
      <c r="W77" s="490"/>
      <c r="X77" s="490"/>
      <c r="Y77" s="490"/>
      <c r="Z77" s="490"/>
      <c r="AA77" s="490"/>
      <c r="AB77" s="495"/>
      <c r="AC77" s="495"/>
      <c r="AD77" s="495"/>
      <c r="AE77" s="495"/>
      <c r="AF77" s="492"/>
      <c r="AG77" s="431"/>
      <c r="AH77" s="492"/>
      <c r="AI77" s="492"/>
      <c r="AJ77" s="495"/>
      <c r="AK77" s="495"/>
      <c r="AL77" s="495"/>
      <c r="AM77" s="495"/>
      <c r="AN77" s="493"/>
      <c r="AO77" s="490"/>
      <c r="AP77" s="490"/>
      <c r="AQ77" s="493">
        <f>+FL_2($T$78,$U$76,$G$77,1200,9.28,-1*$F$78)</f>
        <v>-0.31113241336432912</v>
      </c>
      <c r="AR77" s="490"/>
      <c r="AS77" s="490"/>
      <c r="AT77" s="493"/>
      <c r="AU77" s="490"/>
      <c r="AV77" s="490"/>
      <c r="AW77" s="490"/>
      <c r="AX77" s="490"/>
      <c r="AY77" s="493"/>
      <c r="AZ77" s="493"/>
      <c r="BA77" s="602"/>
      <c r="BB77" s="1239"/>
      <c r="BC77" s="169"/>
      <c r="BD77" s="1330"/>
      <c r="BE77" s="1330"/>
      <c r="BF77" s="1330"/>
      <c r="BG77" s="1330"/>
    </row>
    <row r="78" spans="1:59" ht="15.75" customHeight="1">
      <c r="A78" s="1239"/>
      <c r="B78" s="442" t="s">
        <v>2075</v>
      </c>
      <c r="C78" s="171">
        <f>+$C$76+$G$77</f>
        <v>94928.549999999974</v>
      </c>
      <c r="D78" s="171"/>
      <c r="E78" s="1239"/>
      <c r="F78" s="1239">
        <v>2270</v>
      </c>
      <c r="G78" s="484"/>
      <c r="H78" s="1239" t="s">
        <v>619</v>
      </c>
      <c r="I78" s="1239"/>
      <c r="J78" s="171"/>
      <c r="K78" s="1239"/>
      <c r="L78" s="1239" t="s">
        <v>819</v>
      </c>
      <c r="M78" s="638" t="s">
        <v>1692</v>
      </c>
      <c r="N78" s="1239" t="s">
        <v>143</v>
      </c>
      <c r="O78" s="1239" t="s">
        <v>140</v>
      </c>
      <c r="P78" s="1239"/>
      <c r="Q78" s="448">
        <v>0</v>
      </c>
      <c r="R78" s="448">
        <v>-2304.0500000000002</v>
      </c>
      <c r="S78" s="455"/>
      <c r="T78" s="638">
        <v>-10</v>
      </c>
      <c r="U78" s="638">
        <v>-30</v>
      </c>
      <c r="V78" s="638"/>
      <c r="W78" s="638">
        <v>1.4</v>
      </c>
      <c r="X78" s="638">
        <v>1.8</v>
      </c>
      <c r="Y78" s="638"/>
      <c r="Z78" s="638"/>
      <c r="AA78" s="638">
        <v>0.4</v>
      </c>
      <c r="AB78" s="1239"/>
      <c r="AC78" s="638" t="s">
        <v>1421</v>
      </c>
      <c r="AD78" s="1239"/>
      <c r="AE78" s="1239"/>
      <c r="AF78" s="448">
        <v>3100</v>
      </c>
      <c r="AG78" s="171">
        <v>94928</v>
      </c>
      <c r="AH78" s="448">
        <v>2823</v>
      </c>
      <c r="AI78" s="448">
        <v>-2200</v>
      </c>
      <c r="AJ78" s="1239"/>
      <c r="AK78" s="1239"/>
      <c r="AL78" s="1239" t="s">
        <v>2127</v>
      </c>
      <c r="AM78" s="1239" t="s">
        <v>1043</v>
      </c>
      <c r="AN78" s="484">
        <v>5.5</v>
      </c>
      <c r="AO78" s="638"/>
      <c r="AP78" s="638"/>
      <c r="AQ78" s="484"/>
      <c r="AR78" s="638"/>
      <c r="AS78" s="638"/>
      <c r="AT78" s="484">
        <f>+ab($T$78,$U$76,$T$80,$G$77,$G$79,-1*$F$78,1200)</f>
        <v>-18.239784566468739</v>
      </c>
      <c r="AU78" s="638"/>
      <c r="AV78" s="638"/>
      <c r="AW78" s="638" t="s">
        <v>2845</v>
      </c>
      <c r="AX78" s="638"/>
      <c r="AY78" s="484"/>
      <c r="AZ78" s="484"/>
      <c r="BA78" s="671" t="s">
        <v>2809</v>
      </c>
      <c r="BB78" s="1239" t="str">
        <f>Pole_Calculations!A178</f>
        <v>App.8-V08F-P10.3</v>
      </c>
      <c r="BC78" s="169"/>
      <c r="BD78" s="1329">
        <v>43816</v>
      </c>
      <c r="BE78" s="1329" t="s">
        <v>4946</v>
      </c>
      <c r="BF78" s="1329" t="s">
        <v>4946</v>
      </c>
      <c r="BG78" s="1329">
        <v>43839</v>
      </c>
    </row>
    <row r="79" spans="1:59" ht="15.75" customHeight="1">
      <c r="A79" s="1239"/>
      <c r="B79" s="445"/>
      <c r="C79" s="171"/>
      <c r="D79" s="171"/>
      <c r="E79" s="1239"/>
      <c r="F79" s="1239"/>
      <c r="G79" s="484">
        <v>43.8</v>
      </c>
      <c r="H79" s="1239"/>
      <c r="I79" s="1239"/>
      <c r="J79" s="171"/>
      <c r="K79" s="1239"/>
      <c r="L79" s="1239"/>
      <c r="M79" s="638"/>
      <c r="N79" s="1239"/>
      <c r="O79" s="1239"/>
      <c r="P79" s="1239"/>
      <c r="Q79" s="448"/>
      <c r="R79" s="448"/>
      <c r="S79" s="455">
        <f>+AG80-AG78</f>
        <v>44.470000000001164</v>
      </c>
      <c r="T79" s="1239"/>
      <c r="U79" s="1239"/>
      <c r="V79" s="1239"/>
      <c r="W79" s="1239"/>
      <c r="X79" s="1239"/>
      <c r="Y79" s="1239"/>
      <c r="Z79" s="1239"/>
      <c r="AA79" s="1239"/>
      <c r="AB79" s="1239"/>
      <c r="AC79" s="1239"/>
      <c r="AD79" s="1239"/>
      <c r="AE79" s="1239"/>
      <c r="AF79" s="448"/>
      <c r="AG79" s="171"/>
      <c r="AH79" s="448"/>
      <c r="AI79" s="448"/>
      <c r="AJ79" s="1239"/>
      <c r="AK79" s="1239"/>
      <c r="AL79" s="1239"/>
      <c r="AM79" s="1239"/>
      <c r="AN79" s="484"/>
      <c r="AO79" s="638"/>
      <c r="AP79" s="638"/>
      <c r="AQ79" s="484">
        <f>+FL_2($T$80,$T$78,$G$79,1200,9.28,-1*$F$80)</f>
        <v>-0.3</v>
      </c>
      <c r="AR79" s="638"/>
      <c r="AS79" s="638"/>
      <c r="AT79" s="484"/>
      <c r="AU79" s="638"/>
      <c r="AV79" s="638"/>
      <c r="AW79" s="638"/>
      <c r="AX79" s="638"/>
      <c r="AY79" s="484"/>
      <c r="AZ79" s="484"/>
      <c r="BA79" s="671"/>
      <c r="BB79" s="1239"/>
      <c r="BC79" s="169"/>
      <c r="BD79" s="1330"/>
      <c r="BE79" s="1330"/>
      <c r="BF79" s="1330"/>
      <c r="BG79" s="1330"/>
    </row>
    <row r="80" spans="1:59" ht="15.75" customHeight="1">
      <c r="A80" s="1239"/>
      <c r="B80" s="445" t="s">
        <v>2401</v>
      </c>
      <c r="C80" s="171">
        <f>+$C$78+$G$79</f>
        <v>94972.349999999977</v>
      </c>
      <c r="D80" s="171"/>
      <c r="E80" s="1239"/>
      <c r="F80" s="1239">
        <v>1150</v>
      </c>
      <c r="G80" s="484"/>
      <c r="H80" s="1239" t="s">
        <v>2133</v>
      </c>
      <c r="I80" s="1239" t="s">
        <v>4231</v>
      </c>
      <c r="J80" s="171"/>
      <c r="K80" s="1239"/>
      <c r="L80" s="1239" t="s">
        <v>819</v>
      </c>
      <c r="M80" s="638" t="s">
        <v>1692</v>
      </c>
      <c r="N80" s="1239" t="s">
        <v>143</v>
      </c>
      <c r="O80" s="1239" t="s">
        <v>140</v>
      </c>
      <c r="P80" s="1239"/>
      <c r="Q80" s="448">
        <v>50</v>
      </c>
      <c r="R80" s="448">
        <v>-1180</v>
      </c>
      <c r="S80" s="455"/>
      <c r="T80" s="1239">
        <v>-30</v>
      </c>
      <c r="U80" s="1239">
        <v>55</v>
      </c>
      <c r="V80" s="1239"/>
      <c r="W80" s="1239">
        <v>2</v>
      </c>
      <c r="X80" s="1239">
        <v>1.4</v>
      </c>
      <c r="Y80" s="1239"/>
      <c r="Z80" s="1239"/>
      <c r="AA80" s="1239">
        <v>0.6</v>
      </c>
      <c r="AB80" s="1239"/>
      <c r="AC80" s="638" t="s">
        <v>4090</v>
      </c>
      <c r="AD80" s="1239"/>
      <c r="AE80" s="1239"/>
      <c r="AF80" s="448">
        <v>3000</v>
      </c>
      <c r="AG80" s="171">
        <v>94972.47</v>
      </c>
      <c r="AH80" s="448">
        <v>2613</v>
      </c>
      <c r="AI80" s="448">
        <v>-2180</v>
      </c>
      <c r="AJ80" s="1239"/>
      <c r="AK80" s="1239"/>
      <c r="AL80" s="1239" t="s">
        <v>2127</v>
      </c>
      <c r="AM80" s="1239" t="s">
        <v>1043</v>
      </c>
      <c r="AN80" s="484">
        <v>5.5</v>
      </c>
      <c r="AO80" s="638"/>
      <c r="AP80" s="638"/>
      <c r="AQ80" s="484"/>
      <c r="AR80" s="638"/>
      <c r="AS80" s="638"/>
      <c r="AT80" s="484">
        <f>+ab($T$80,$T$78,$T$82,$G$79,$G$81,-1*$F$80,1200)</f>
        <v>-4.4445746353836384</v>
      </c>
      <c r="AU80" s="638"/>
      <c r="AV80" s="638"/>
      <c r="AW80" s="638" t="s">
        <v>2845</v>
      </c>
      <c r="AX80" s="638"/>
      <c r="AY80" s="484"/>
      <c r="AZ80" s="484"/>
      <c r="BA80" s="671" t="s">
        <v>2809</v>
      </c>
      <c r="BB80" s="1239" t="str">
        <f>Pole_Calculations!A178</f>
        <v>App.8-V08F-P10.3</v>
      </c>
      <c r="BC80" s="169"/>
      <c r="BD80" s="1329" t="s">
        <v>4917</v>
      </c>
      <c r="BE80" s="1329" t="s">
        <v>4946</v>
      </c>
      <c r="BF80" s="1329">
        <v>43815</v>
      </c>
      <c r="BG80" s="1329">
        <v>43786</v>
      </c>
    </row>
    <row r="81" spans="1:59" ht="15.75" customHeight="1">
      <c r="A81" s="1239"/>
      <c r="B81" s="445"/>
      <c r="C81" s="171"/>
      <c r="D81" s="171"/>
      <c r="E81" s="1239"/>
      <c r="F81" s="1239"/>
      <c r="G81" s="484">
        <v>44.8</v>
      </c>
      <c r="H81" s="1239"/>
      <c r="I81" s="1239"/>
      <c r="J81" s="171">
        <f>C80+7.5</f>
        <v>94979.849999999977</v>
      </c>
      <c r="K81" s="1239" t="s">
        <v>1739</v>
      </c>
      <c r="L81" s="1239"/>
      <c r="M81" s="638"/>
      <c r="N81" s="1239"/>
      <c r="O81" s="1239"/>
      <c r="P81" s="1239"/>
      <c r="Q81" s="448"/>
      <c r="R81" s="448"/>
      <c r="S81" s="455">
        <f>+AG82-AG80</f>
        <v>44.759999999994761</v>
      </c>
      <c r="T81" s="1239"/>
      <c r="U81" s="1239"/>
      <c r="V81" s="1239"/>
      <c r="W81" s="1239"/>
      <c r="X81" s="1239"/>
      <c r="Y81" s="1239"/>
      <c r="Z81" s="1239"/>
      <c r="AA81" s="1239"/>
      <c r="AB81" s="1239"/>
      <c r="AC81" s="1239"/>
      <c r="AD81" s="1239"/>
      <c r="AE81" s="1239"/>
      <c r="AF81" s="448"/>
      <c r="AG81" s="171"/>
      <c r="AH81" s="448"/>
      <c r="AI81" s="448"/>
      <c r="AJ81" s="1239"/>
      <c r="AK81" s="1239"/>
      <c r="AL81" s="1239"/>
      <c r="AM81" s="1239"/>
      <c r="AN81" s="484"/>
      <c r="AO81" s="638"/>
      <c r="AP81" s="638"/>
      <c r="AQ81" s="484">
        <f>+FL_2($T$82,$T$80,$G$81,1200,9.28,-1*$F$82)</f>
        <v>-0.30002156073702835</v>
      </c>
      <c r="AR81" s="638"/>
      <c r="AS81" s="638"/>
      <c r="AT81" s="484"/>
      <c r="AU81" s="638"/>
      <c r="AV81" s="638"/>
      <c r="AW81" s="638" t="s">
        <v>2885</v>
      </c>
      <c r="AX81" s="638"/>
      <c r="AY81" s="484"/>
      <c r="AZ81" s="484"/>
      <c r="BA81" s="671" t="s">
        <v>2809</v>
      </c>
      <c r="BB81" s="1239"/>
      <c r="BC81" s="169"/>
      <c r="BD81" s="1329" t="s">
        <v>4946</v>
      </c>
      <c r="BE81" s="1330"/>
      <c r="BF81" s="1330"/>
      <c r="BG81" s="1330"/>
    </row>
    <row r="82" spans="1:59" ht="15.75" customHeight="1">
      <c r="A82" s="1239"/>
      <c r="B82" s="445" t="s">
        <v>2076</v>
      </c>
      <c r="C82" s="171">
        <f>+$C$80+$G$81</f>
        <v>95017.14999999998</v>
      </c>
      <c r="D82" s="171"/>
      <c r="E82" s="1239"/>
      <c r="F82" s="1239">
        <v>1150</v>
      </c>
      <c r="G82" s="484"/>
      <c r="H82" s="1239" t="s">
        <v>138</v>
      </c>
      <c r="I82" s="1239" t="s">
        <v>4231</v>
      </c>
      <c r="J82" s="171"/>
      <c r="K82" s="1239"/>
      <c r="L82" s="1239" t="s">
        <v>819</v>
      </c>
      <c r="M82" s="638" t="s">
        <v>1692</v>
      </c>
      <c r="N82" s="1239" t="s">
        <v>143</v>
      </c>
      <c r="O82" s="1239"/>
      <c r="P82" s="1239"/>
      <c r="Q82" s="448">
        <v>40</v>
      </c>
      <c r="R82" s="448">
        <v>-1180</v>
      </c>
      <c r="S82" s="455"/>
      <c r="T82" s="1239">
        <v>-30</v>
      </c>
      <c r="U82" s="1239"/>
      <c r="V82" s="1239"/>
      <c r="W82" s="1239">
        <v>1.4</v>
      </c>
      <c r="X82" s="1239"/>
      <c r="Y82" s="1239"/>
      <c r="Z82" s="1239"/>
      <c r="AA82" s="1239"/>
      <c r="AB82" s="1239"/>
      <c r="AC82" s="638" t="s">
        <v>4090</v>
      </c>
      <c r="AD82" s="1239"/>
      <c r="AE82" s="1239"/>
      <c r="AF82" s="448">
        <v>3200</v>
      </c>
      <c r="AG82" s="171">
        <v>95017.23</v>
      </c>
      <c r="AH82" s="448">
        <v>2583</v>
      </c>
      <c r="AI82" s="448">
        <v>-2140</v>
      </c>
      <c r="AJ82" s="1239"/>
      <c r="AK82" s="1239"/>
      <c r="AL82" s="1239" t="s">
        <v>2127</v>
      </c>
      <c r="AM82" s="1239" t="s">
        <v>1043</v>
      </c>
      <c r="AN82" s="484">
        <v>5.5</v>
      </c>
      <c r="AO82" s="638"/>
      <c r="AP82" s="638"/>
      <c r="AQ82" s="484"/>
      <c r="AR82" s="638"/>
      <c r="AS82" s="638"/>
      <c r="AT82" s="484">
        <f>+ab($T$82,$T$80,$T$84,$G$81,$G$83,-1*$F$82,1200)</f>
        <v>-4.9137338957102674</v>
      </c>
      <c r="AU82" s="638"/>
      <c r="AV82" s="638"/>
      <c r="AW82" s="638" t="s">
        <v>2845</v>
      </c>
      <c r="AX82" s="638"/>
      <c r="AY82" s="484"/>
      <c r="AZ82" s="484"/>
      <c r="BA82" s="671" t="s">
        <v>2809</v>
      </c>
      <c r="BB82" s="1239" t="str">
        <f>Pole_Calculations!A178</f>
        <v>App.8-V08F-P10.3</v>
      </c>
      <c r="BC82" s="169"/>
      <c r="BD82" s="1329">
        <v>43686</v>
      </c>
      <c r="BE82" s="1329" t="s">
        <v>4946</v>
      </c>
      <c r="BF82" s="1329">
        <v>43815</v>
      </c>
      <c r="BG82" s="1329">
        <v>43786</v>
      </c>
    </row>
    <row r="83" spans="1:59" ht="15.75" customHeight="1">
      <c r="A83" s="449"/>
      <c r="B83" s="1239"/>
      <c r="C83" s="171"/>
      <c r="D83" s="171"/>
      <c r="E83" s="1239"/>
      <c r="F83" s="1239"/>
      <c r="G83" s="484">
        <v>44.8</v>
      </c>
      <c r="H83" s="1239"/>
      <c r="I83" s="1239"/>
      <c r="J83" s="171">
        <f>C82+7.5</f>
        <v>95024.64999999998</v>
      </c>
      <c r="K83" s="1239" t="s">
        <v>1739</v>
      </c>
      <c r="L83" s="1239"/>
      <c r="M83" s="638"/>
      <c r="N83" s="1239"/>
      <c r="O83" s="1239"/>
      <c r="P83" s="1239"/>
      <c r="Q83" s="448"/>
      <c r="R83" s="448"/>
      <c r="S83" s="455">
        <f>+AG84-AG82</f>
        <v>44.770000000004075</v>
      </c>
      <c r="T83" s="1239"/>
      <c r="U83" s="1239"/>
      <c r="V83" s="1239"/>
      <c r="W83" s="1239"/>
      <c r="X83" s="1239"/>
      <c r="Y83" s="1239"/>
      <c r="Z83" s="1239"/>
      <c r="AA83" s="1239"/>
      <c r="AB83" s="1239"/>
      <c r="AC83" s="1239"/>
      <c r="AD83" s="1239"/>
      <c r="AE83" s="1239"/>
      <c r="AF83" s="448"/>
      <c r="AG83" s="171"/>
      <c r="AH83" s="448"/>
      <c r="AI83" s="448"/>
      <c r="AJ83" s="1239"/>
      <c r="AK83" s="1239"/>
      <c r="AL83" s="1239"/>
      <c r="AM83" s="1239"/>
      <c r="AN83" s="484"/>
      <c r="AO83" s="638"/>
      <c r="AP83" s="638"/>
      <c r="AQ83" s="484">
        <f>+FL_2($T$84,$T$82,$G$83,1200,9.28,-1*$F$84)</f>
        <v>-0.30002156073702835</v>
      </c>
      <c r="AR83" s="638"/>
      <c r="AS83" s="638"/>
      <c r="AT83" s="484"/>
      <c r="AU83" s="638"/>
      <c r="AV83" s="638"/>
      <c r="AW83" s="638" t="s">
        <v>2885</v>
      </c>
      <c r="AX83" s="638"/>
      <c r="AY83" s="484"/>
      <c r="AZ83" s="484"/>
      <c r="BA83" s="671" t="s">
        <v>2809</v>
      </c>
      <c r="BB83" s="449"/>
      <c r="BC83" s="169"/>
      <c r="BD83" s="1329" t="s">
        <v>4946</v>
      </c>
      <c r="BE83" s="1330"/>
      <c r="BF83" s="1330"/>
      <c r="BG83" s="1330"/>
    </row>
    <row r="84" spans="1:59" ht="15.75" customHeight="1">
      <c r="A84" s="1239"/>
      <c r="B84" s="1239" t="s">
        <v>2077</v>
      </c>
      <c r="C84" s="171">
        <f>+$C$82+$G$83</f>
        <v>95061.949999999983</v>
      </c>
      <c r="D84" s="171"/>
      <c r="E84" s="1239"/>
      <c r="F84" s="1239">
        <v>1150</v>
      </c>
      <c r="G84" s="484"/>
      <c r="H84" s="1239"/>
      <c r="I84" s="1239"/>
      <c r="J84" s="171"/>
      <c r="K84" s="1239"/>
      <c r="L84" s="1239" t="s">
        <v>819</v>
      </c>
      <c r="M84" s="638" t="s">
        <v>1692</v>
      </c>
      <c r="N84" s="1239" t="s">
        <v>143</v>
      </c>
      <c r="O84" s="1239"/>
      <c r="P84" s="1239"/>
      <c r="Q84" s="448">
        <v>50</v>
      </c>
      <c r="R84" s="448">
        <v>-1180</v>
      </c>
      <c r="S84" s="455"/>
      <c r="T84" s="1239">
        <v>-30</v>
      </c>
      <c r="U84" s="1239"/>
      <c r="V84" s="1239"/>
      <c r="W84" s="1239">
        <v>1.4</v>
      </c>
      <c r="X84" s="1239"/>
      <c r="Y84" s="1239"/>
      <c r="Z84" s="1239"/>
      <c r="AA84" s="1239"/>
      <c r="AB84" s="1239"/>
      <c r="AC84" s="638" t="s">
        <v>4090</v>
      </c>
      <c r="AD84" s="1239"/>
      <c r="AE84" s="1239"/>
      <c r="AF84" s="448">
        <v>3200</v>
      </c>
      <c r="AG84" s="171">
        <v>95062</v>
      </c>
      <c r="AH84" s="448">
        <v>2653</v>
      </c>
      <c r="AI84" s="448">
        <v>-2130</v>
      </c>
      <c r="AJ84" s="1239"/>
      <c r="AK84" s="1239"/>
      <c r="AL84" s="1239" t="s">
        <v>2127</v>
      </c>
      <c r="AM84" s="1239" t="s">
        <v>1043</v>
      </c>
      <c r="AN84" s="484">
        <v>5.5</v>
      </c>
      <c r="AO84" s="638"/>
      <c r="AP84" s="638"/>
      <c r="AQ84" s="484"/>
      <c r="AR84" s="638"/>
      <c r="AS84" s="638"/>
      <c r="AT84" s="484">
        <f>+ab($T$84,$T$82,$T$86,$G$83,$G$85,-1*$F$84,1200)</f>
        <v>-4.9082827075675466</v>
      </c>
      <c r="AU84" s="638"/>
      <c r="AV84" s="638"/>
      <c r="AW84" s="638" t="s">
        <v>2845</v>
      </c>
      <c r="AX84" s="638"/>
      <c r="AY84" s="484"/>
      <c r="AZ84" s="484"/>
      <c r="BA84" s="671" t="s">
        <v>2809</v>
      </c>
      <c r="BB84" s="1239" t="str">
        <f>Pole_Calculations!A178</f>
        <v>App.8-V08F-P10.3</v>
      </c>
      <c r="BC84" s="169"/>
      <c r="BD84" s="1329" t="s">
        <v>4917</v>
      </c>
      <c r="BE84" s="1329" t="s">
        <v>4946</v>
      </c>
      <c r="BF84" s="1329">
        <v>43807</v>
      </c>
      <c r="BG84" s="1329">
        <v>43786</v>
      </c>
    </row>
    <row r="85" spans="1:59" ht="15.75" customHeight="1">
      <c r="A85" s="1239"/>
      <c r="B85" s="1239"/>
      <c r="C85" s="171"/>
      <c r="D85" s="171"/>
      <c r="E85" s="1239"/>
      <c r="F85" s="1239"/>
      <c r="G85" s="484">
        <v>44.9</v>
      </c>
      <c r="H85" s="1239"/>
      <c r="I85" s="1239"/>
      <c r="J85" s="171"/>
      <c r="K85" s="1239"/>
      <c r="L85" s="1239"/>
      <c r="M85" s="638"/>
      <c r="N85" s="1239"/>
      <c r="O85" s="1239"/>
      <c r="P85" s="1239"/>
      <c r="Q85" s="448"/>
      <c r="R85" s="448"/>
      <c r="S85" s="455">
        <f>+AG86-AG84</f>
        <v>44.899999999994179</v>
      </c>
      <c r="T85" s="1239"/>
      <c r="U85" s="1239"/>
      <c r="V85" s="1239"/>
      <c r="W85" s="1239"/>
      <c r="X85" s="1239"/>
      <c r="Y85" s="1239"/>
      <c r="Z85" s="1239"/>
      <c r="AA85" s="1239"/>
      <c r="AB85" s="1239"/>
      <c r="AC85" s="1239"/>
      <c r="AD85" s="1239"/>
      <c r="AE85" s="1239"/>
      <c r="AF85" s="448"/>
      <c r="AG85" s="171"/>
      <c r="AH85" s="448"/>
      <c r="AI85" s="448"/>
      <c r="AJ85" s="1239"/>
      <c r="AK85" s="1239"/>
      <c r="AL85" s="1239"/>
      <c r="AM85" s="1239"/>
      <c r="AN85" s="484"/>
      <c r="AO85" s="638"/>
      <c r="AP85" s="638"/>
      <c r="AQ85" s="484">
        <f>+FL_2($T$86,$T$84,$G$85,1200,9.28,-1*$F$86)</f>
        <v>-0.30002160885293999</v>
      </c>
      <c r="AR85" s="638"/>
      <c r="AS85" s="638"/>
      <c r="AT85" s="484"/>
      <c r="AU85" s="638"/>
      <c r="AV85" s="638"/>
      <c r="AW85" s="638"/>
      <c r="AX85" s="638"/>
      <c r="AY85" s="484"/>
      <c r="AZ85" s="484"/>
      <c r="BA85" s="671"/>
      <c r="BB85" s="1239"/>
      <c r="BC85" s="169"/>
      <c r="BD85" s="1330"/>
      <c r="BE85" s="1330"/>
      <c r="BF85" s="1330"/>
      <c r="BG85" s="1330"/>
    </row>
    <row r="86" spans="1:59" ht="15.75" customHeight="1">
      <c r="A86" s="1239"/>
      <c r="B86" s="1239" t="s">
        <v>2078</v>
      </c>
      <c r="C86" s="171">
        <f>+$C$84+$G$85</f>
        <v>95106.849999999977</v>
      </c>
      <c r="D86" s="171"/>
      <c r="E86" s="1239"/>
      <c r="F86" s="1239">
        <v>1150</v>
      </c>
      <c r="G86" s="484"/>
      <c r="H86" s="1239"/>
      <c r="I86" s="1239"/>
      <c r="J86" s="171"/>
      <c r="K86" s="1239"/>
      <c r="L86" s="1239" t="s">
        <v>819</v>
      </c>
      <c r="M86" s="638" t="s">
        <v>1692</v>
      </c>
      <c r="N86" s="1239" t="s">
        <v>143</v>
      </c>
      <c r="O86" s="1239"/>
      <c r="P86" s="1239"/>
      <c r="Q86" s="448">
        <v>60</v>
      </c>
      <c r="R86" s="448">
        <v>-1180</v>
      </c>
      <c r="S86" s="455"/>
      <c r="T86" s="1239">
        <v>-30</v>
      </c>
      <c r="U86" s="1239"/>
      <c r="V86" s="1239"/>
      <c r="W86" s="1239">
        <v>1.4</v>
      </c>
      <c r="X86" s="1239"/>
      <c r="Y86" s="1239"/>
      <c r="Z86" s="1239"/>
      <c r="AA86" s="1239"/>
      <c r="AB86" s="1239"/>
      <c r="AC86" s="638" t="s">
        <v>4090</v>
      </c>
      <c r="AD86" s="1239"/>
      <c r="AE86" s="1239"/>
      <c r="AF86" s="448">
        <v>3200</v>
      </c>
      <c r="AG86" s="171">
        <v>95106.9</v>
      </c>
      <c r="AH86" s="448">
        <v>2913</v>
      </c>
      <c r="AI86" s="448">
        <v>-2110</v>
      </c>
      <c r="AJ86" s="1239"/>
      <c r="AK86" s="1239"/>
      <c r="AL86" s="1239" t="s">
        <v>2127</v>
      </c>
      <c r="AM86" s="1239" t="s">
        <v>1043</v>
      </c>
      <c r="AN86" s="484">
        <v>5.5</v>
      </c>
      <c r="AO86" s="638"/>
      <c r="AP86" s="638"/>
      <c r="AQ86" s="484"/>
      <c r="AR86" s="638"/>
      <c r="AS86" s="638"/>
      <c r="AT86" s="484">
        <f>+ab($T$86,$T$84,$T$88,$G$85,$G$87,-1*$F$86,1200)</f>
        <v>-4.6503017100008748</v>
      </c>
      <c r="AU86" s="638"/>
      <c r="AV86" s="638"/>
      <c r="AW86" s="638" t="s">
        <v>2845</v>
      </c>
      <c r="AX86" s="638"/>
      <c r="AY86" s="484"/>
      <c r="AZ86" s="484"/>
      <c r="BA86" s="671" t="s">
        <v>2809</v>
      </c>
      <c r="BB86" s="1239" t="str">
        <f>Pole_Calculations!A178</f>
        <v>App.8-V08F-P10.3</v>
      </c>
      <c r="BC86" s="169"/>
      <c r="BD86" s="1329" t="s">
        <v>4917</v>
      </c>
      <c r="BE86" s="1329" t="s">
        <v>4946</v>
      </c>
      <c r="BF86" s="1329">
        <v>43807</v>
      </c>
      <c r="BG86" s="1329">
        <v>43786</v>
      </c>
    </row>
    <row r="87" spans="1:59" ht="15.75" customHeight="1">
      <c r="A87" s="1239"/>
      <c r="B87" s="1239"/>
      <c r="C87" s="171"/>
      <c r="D87" s="171"/>
      <c r="E87" s="1239"/>
      <c r="F87" s="1239"/>
      <c r="G87" s="484">
        <v>49.8</v>
      </c>
      <c r="H87" s="1239"/>
      <c r="I87" s="1239"/>
      <c r="J87" s="171"/>
      <c r="K87" s="1239"/>
      <c r="L87" s="1239"/>
      <c r="M87" s="638"/>
      <c r="N87" s="1239"/>
      <c r="O87" s="1239"/>
      <c r="P87" s="1239"/>
      <c r="Q87" s="448"/>
      <c r="R87" s="448"/>
      <c r="S87" s="455">
        <f>+AG88-AG86</f>
        <v>46.100000000005821</v>
      </c>
      <c r="T87" s="1239"/>
      <c r="U87" s="1239"/>
      <c r="V87" s="1239"/>
      <c r="W87" s="1239"/>
      <c r="X87" s="1239"/>
      <c r="Y87" s="1239"/>
      <c r="Z87" s="1239"/>
      <c r="AA87" s="1239"/>
      <c r="AB87" s="1239"/>
      <c r="AC87" s="1239"/>
      <c r="AD87" s="1239"/>
      <c r="AE87" s="1239"/>
      <c r="AF87" s="448"/>
      <c r="AG87" s="171"/>
      <c r="AH87" s="448"/>
      <c r="AI87" s="448"/>
      <c r="AJ87" s="1239"/>
      <c r="AK87" s="1239"/>
      <c r="AL87" s="1239"/>
      <c r="AM87" s="1239"/>
      <c r="AN87" s="484"/>
      <c r="AO87" s="638"/>
      <c r="AP87" s="638"/>
      <c r="AQ87" s="484">
        <f>+FL_2($T$88,$T$86,$G$87,1200,9.28,-1*$F$88)</f>
        <v>-0.37170971206297543</v>
      </c>
      <c r="AR87" s="638"/>
      <c r="AS87" s="638"/>
      <c r="AT87" s="484"/>
      <c r="AU87" s="638"/>
      <c r="AV87" s="638"/>
      <c r="AW87" s="638"/>
      <c r="AX87" s="638"/>
      <c r="AY87" s="484"/>
      <c r="AZ87" s="484"/>
      <c r="BA87" s="671"/>
      <c r="BB87" s="1239"/>
      <c r="BC87" s="169"/>
      <c r="BD87" s="1330"/>
      <c r="BE87" s="1330"/>
      <c r="BF87" s="1330"/>
      <c r="BG87" s="1330"/>
    </row>
    <row r="88" spans="1:59" ht="15.75" customHeight="1">
      <c r="A88" s="1239"/>
      <c r="B88" s="570" t="s">
        <v>2079</v>
      </c>
      <c r="C88" s="171">
        <f>+$C$86+$G$87</f>
        <v>95156.64999999998</v>
      </c>
      <c r="D88" s="171"/>
      <c r="E88" s="1239"/>
      <c r="F88" s="448">
        <v>1845.05</v>
      </c>
      <c r="G88" s="484"/>
      <c r="H88" s="1239"/>
      <c r="I88" s="1239"/>
      <c r="J88" s="171"/>
      <c r="K88" s="1239"/>
      <c r="L88" s="1239" t="s">
        <v>819</v>
      </c>
      <c r="M88" s="638" t="s">
        <v>1692</v>
      </c>
      <c r="N88" s="1239" t="s">
        <v>143</v>
      </c>
      <c r="O88" s="1239"/>
      <c r="P88" s="1239"/>
      <c r="Q88" s="448">
        <v>10</v>
      </c>
      <c r="R88" s="448">
        <v>-1180</v>
      </c>
      <c r="S88" s="455"/>
      <c r="T88" s="1239">
        <v>-30</v>
      </c>
      <c r="U88" s="1239"/>
      <c r="V88" s="1239"/>
      <c r="W88" s="1239">
        <v>1.4</v>
      </c>
      <c r="X88" s="1239"/>
      <c r="Y88" s="1239"/>
      <c r="Z88" s="1239"/>
      <c r="AA88" s="1239"/>
      <c r="AB88" s="1239"/>
      <c r="AC88" s="638" t="s">
        <v>4090</v>
      </c>
      <c r="AD88" s="1239"/>
      <c r="AE88" s="1239"/>
      <c r="AF88" s="448">
        <v>3200</v>
      </c>
      <c r="AG88" s="171">
        <v>95153</v>
      </c>
      <c r="AH88" s="448">
        <v>3123</v>
      </c>
      <c r="AI88" s="448">
        <v>-2030</v>
      </c>
      <c r="AJ88" s="1239"/>
      <c r="AK88" s="1239"/>
      <c r="AL88" s="1239" t="s">
        <v>2127</v>
      </c>
      <c r="AM88" s="1239" t="s">
        <v>1043</v>
      </c>
      <c r="AN88" s="484">
        <v>5.5</v>
      </c>
      <c r="AO88" s="638"/>
      <c r="AP88" s="638"/>
      <c r="AQ88" s="484"/>
      <c r="AR88" s="638"/>
      <c r="AS88" s="638"/>
      <c r="AT88" s="484">
        <f>+ab($T$88,$T$86,$T$90,$G$87,$G$89,-1*$F$88,1200)</f>
        <v>-7.2167467081485466</v>
      </c>
      <c r="AU88" s="638"/>
      <c r="AV88" s="638"/>
      <c r="AW88" s="638" t="s">
        <v>2845</v>
      </c>
      <c r="AX88" s="638"/>
      <c r="AY88" s="484"/>
      <c r="AZ88" s="484"/>
      <c r="BA88" s="671" t="s">
        <v>2809</v>
      </c>
      <c r="BB88" s="1239" t="str">
        <f>Pole_Calculations!A178</f>
        <v>App.8-V08F-P10.3</v>
      </c>
      <c r="BC88" s="169"/>
      <c r="BD88" s="1329">
        <v>43686</v>
      </c>
      <c r="BE88" s="1329" t="s">
        <v>4946</v>
      </c>
      <c r="BF88" s="1329">
        <v>43807</v>
      </c>
      <c r="BG88" s="1329">
        <v>43786</v>
      </c>
    </row>
    <row r="89" spans="1:59" ht="15.75" customHeight="1">
      <c r="A89" s="1239"/>
      <c r="B89" s="1239"/>
      <c r="C89" s="171"/>
      <c r="D89" s="171"/>
      <c r="E89" s="1239"/>
      <c r="F89" s="1239"/>
      <c r="G89" s="484">
        <v>47.8</v>
      </c>
      <c r="H89" s="1239"/>
      <c r="I89" s="1239"/>
      <c r="J89" s="171">
        <f>C90-7.5</f>
        <v>95196.949999999983</v>
      </c>
      <c r="K89" s="1239" t="s">
        <v>1685</v>
      </c>
      <c r="L89" s="1239"/>
      <c r="M89" s="638"/>
      <c r="N89" s="1239"/>
      <c r="O89" s="1239"/>
      <c r="P89" s="1239"/>
      <c r="Q89" s="448"/>
      <c r="R89" s="448"/>
      <c r="S89" s="455">
        <f>+AG90-AG88</f>
        <v>51.720000000001164</v>
      </c>
      <c r="T89" s="1239"/>
      <c r="U89" s="1239"/>
      <c r="V89" s="1239"/>
      <c r="W89" s="1239"/>
      <c r="X89" s="1239"/>
      <c r="Y89" s="1239"/>
      <c r="Z89" s="1239"/>
      <c r="AA89" s="1239"/>
      <c r="AB89" s="1239"/>
      <c r="AC89" s="1239"/>
      <c r="AD89" s="1239"/>
      <c r="AE89" s="1239"/>
      <c r="AF89" s="448"/>
      <c r="AG89" s="171"/>
      <c r="AH89" s="448"/>
      <c r="AI89" s="448"/>
      <c r="AJ89" s="1239"/>
      <c r="AK89" s="1239"/>
      <c r="AL89" s="1239"/>
      <c r="AM89" s="1239"/>
      <c r="AN89" s="484"/>
      <c r="AO89" s="638"/>
      <c r="AP89" s="638"/>
      <c r="AQ89" s="484">
        <f>+FL_2($T$90,$T$88,$G$89,1200,9.28,-1*$F$90)</f>
        <v>-0.30005940967941702</v>
      </c>
      <c r="AR89" s="638"/>
      <c r="AS89" s="638"/>
      <c r="AT89" s="484"/>
      <c r="AU89" s="638"/>
      <c r="AV89" s="638"/>
      <c r="AW89" s="638" t="s">
        <v>2846</v>
      </c>
      <c r="AX89" s="638"/>
      <c r="AY89" s="484"/>
      <c r="AZ89" s="484"/>
      <c r="BA89" s="671" t="s">
        <v>2809</v>
      </c>
      <c r="BB89" s="1239"/>
      <c r="BC89" s="169"/>
      <c r="BD89" s="1329" t="s">
        <v>4946</v>
      </c>
      <c r="BE89" s="1330"/>
      <c r="BF89" s="1330"/>
      <c r="BG89" s="1330"/>
    </row>
    <row r="90" spans="1:59" ht="15.75" customHeight="1">
      <c r="A90" s="1239"/>
      <c r="B90" s="570" t="s">
        <v>2080</v>
      </c>
      <c r="C90" s="171">
        <f>+$C$88+$G$89</f>
        <v>95204.449999999983</v>
      </c>
      <c r="D90" s="171"/>
      <c r="E90" s="1239"/>
      <c r="F90" s="448">
        <v>978.61</v>
      </c>
      <c r="G90" s="484"/>
      <c r="H90" s="1239" t="s">
        <v>873</v>
      </c>
      <c r="I90" s="1239"/>
      <c r="J90" s="171"/>
      <c r="K90" s="1239"/>
      <c r="L90" s="1239" t="s">
        <v>819</v>
      </c>
      <c r="M90" s="638" t="s">
        <v>2811</v>
      </c>
      <c r="N90" s="1239" t="s">
        <v>143</v>
      </c>
      <c r="O90" s="1239"/>
      <c r="P90" s="1239"/>
      <c r="Q90" s="448">
        <v>40</v>
      </c>
      <c r="R90" s="448">
        <v>-993.29</v>
      </c>
      <c r="S90" s="455"/>
      <c r="T90" s="1239">
        <v>-30</v>
      </c>
      <c r="U90" s="1239"/>
      <c r="V90" s="1239"/>
      <c r="W90" s="1239">
        <v>1.4</v>
      </c>
      <c r="X90" s="1239"/>
      <c r="Y90" s="1239"/>
      <c r="Z90" s="1239"/>
      <c r="AA90" s="1239"/>
      <c r="AB90" s="1239"/>
      <c r="AC90" s="638" t="s">
        <v>4115</v>
      </c>
      <c r="AD90" s="1239"/>
      <c r="AE90" s="1239"/>
      <c r="AF90" s="448">
        <v>5900</v>
      </c>
      <c r="AG90" s="171">
        <v>95204.72</v>
      </c>
      <c r="AH90" s="448">
        <v>1963</v>
      </c>
      <c r="AI90" s="448">
        <v>430</v>
      </c>
      <c r="AJ90" s="1239"/>
      <c r="AK90" s="1239"/>
      <c r="AL90" s="1239" t="s">
        <v>2127</v>
      </c>
      <c r="AM90" s="1239" t="s">
        <v>1043</v>
      </c>
      <c r="AN90" s="484">
        <v>5.5</v>
      </c>
      <c r="AO90" s="638"/>
      <c r="AP90" s="638"/>
      <c r="AQ90" s="484"/>
      <c r="AR90" s="638"/>
      <c r="AS90" s="638"/>
      <c r="AT90" s="484">
        <f>+ab($T$90,$T$88,$T$92,$G$89,$G$91,-1*$F$90,1200)</f>
        <v>-4.4305822257587932</v>
      </c>
      <c r="AU90" s="638"/>
      <c r="AV90" s="638"/>
      <c r="AW90" s="638" t="s">
        <v>2843</v>
      </c>
      <c r="AX90" s="638"/>
      <c r="AY90" s="484"/>
      <c r="AZ90" s="484"/>
      <c r="BA90" s="671" t="s">
        <v>2809</v>
      </c>
      <c r="BB90" s="1239" t="str">
        <f>Pole_Calculations!A178</f>
        <v>App.8-V08F-P10.3</v>
      </c>
      <c r="BC90" s="169"/>
      <c r="BD90" s="1329" t="s">
        <v>4946</v>
      </c>
      <c r="BE90" s="1329" t="s">
        <v>4946</v>
      </c>
      <c r="BF90" s="1329">
        <v>43807</v>
      </c>
      <c r="BG90" s="1329">
        <v>43814</v>
      </c>
    </row>
    <row r="91" spans="1:59" ht="15.75" customHeight="1">
      <c r="A91" s="1239"/>
      <c r="B91" s="1239"/>
      <c r="C91" s="171"/>
      <c r="D91" s="171"/>
      <c r="E91" s="1239"/>
      <c r="F91" s="1239"/>
      <c r="G91" s="484">
        <v>36.799999999999997</v>
      </c>
      <c r="H91" s="1239"/>
      <c r="I91" s="1239"/>
      <c r="J91" s="171">
        <f>C92-7.5</f>
        <v>95233.749999999985</v>
      </c>
      <c r="K91" s="1239" t="s">
        <v>1685</v>
      </c>
      <c r="L91" s="1239"/>
      <c r="M91" s="1239"/>
      <c r="N91" s="1239"/>
      <c r="O91" s="1239"/>
      <c r="P91" s="1239"/>
      <c r="Q91" s="448"/>
      <c r="R91" s="448"/>
      <c r="S91" s="455">
        <f>+AG92-AG90</f>
        <v>36.580000000001746</v>
      </c>
      <c r="T91" s="1239"/>
      <c r="U91" s="1239"/>
      <c r="V91" s="1239"/>
      <c r="W91" s="1239"/>
      <c r="X91" s="1239"/>
      <c r="Y91" s="1239"/>
      <c r="Z91" s="1239"/>
      <c r="AA91" s="1239"/>
      <c r="AB91" s="1239"/>
      <c r="AC91" s="1239"/>
      <c r="AD91" s="1239"/>
      <c r="AE91" s="1239"/>
      <c r="AF91" s="448"/>
      <c r="AG91" s="171"/>
      <c r="AH91" s="448"/>
      <c r="AI91" s="448"/>
      <c r="AJ91" s="1239"/>
      <c r="AK91" s="1239"/>
      <c r="AL91" s="1239"/>
      <c r="AM91" s="1239"/>
      <c r="AN91" s="484"/>
      <c r="AO91" s="638"/>
      <c r="AP91" s="638"/>
      <c r="AQ91" s="484">
        <f>+FL_2($T$92,$T$90,$G$91,1200,9.28,-1*$F$92)</f>
        <v>-0.3</v>
      </c>
      <c r="AR91" s="638"/>
      <c r="AS91" s="638"/>
      <c r="AT91" s="484"/>
      <c r="AU91" s="638"/>
      <c r="AV91" s="638"/>
      <c r="AW91" s="638" t="s">
        <v>2846</v>
      </c>
      <c r="AX91" s="638"/>
      <c r="AY91" s="484"/>
      <c r="AZ91" s="484"/>
      <c r="BA91" s="671" t="s">
        <v>2809</v>
      </c>
      <c r="BB91" s="1239"/>
      <c r="BC91" s="169"/>
      <c r="BD91" s="1329" t="s">
        <v>4946</v>
      </c>
      <c r="BE91" s="1330"/>
      <c r="BF91" s="1330"/>
      <c r="BG91" s="1330"/>
    </row>
    <row r="92" spans="1:59" ht="15.75" customHeight="1">
      <c r="A92" s="1239"/>
      <c r="B92" s="1239" t="s">
        <v>2081</v>
      </c>
      <c r="C92" s="171">
        <f>+$C$90+$G$91</f>
        <v>95241.249999999985</v>
      </c>
      <c r="D92" s="171"/>
      <c r="E92" s="1239"/>
      <c r="F92" s="1239">
        <v>730</v>
      </c>
      <c r="G92" s="484"/>
      <c r="H92" s="1239" t="s">
        <v>873</v>
      </c>
      <c r="I92" s="1239"/>
      <c r="J92" s="171"/>
      <c r="K92" s="1239"/>
      <c r="L92" s="1239" t="s">
        <v>821</v>
      </c>
      <c r="M92" s="638" t="s">
        <v>2811</v>
      </c>
      <c r="N92" s="1239" t="s">
        <v>2789</v>
      </c>
      <c r="O92" s="1239"/>
      <c r="P92" s="1239"/>
      <c r="Q92" s="448">
        <v>50</v>
      </c>
      <c r="R92" s="448">
        <v>1180</v>
      </c>
      <c r="S92" s="455"/>
      <c r="T92" s="1239">
        <v>-30</v>
      </c>
      <c r="U92" s="1239"/>
      <c r="V92" s="1239"/>
      <c r="W92" s="1239">
        <v>1.4</v>
      </c>
      <c r="X92" s="1239"/>
      <c r="Y92" s="1239"/>
      <c r="Z92" s="1239"/>
      <c r="AA92" s="1239"/>
      <c r="AB92" s="1239"/>
      <c r="AC92" s="638" t="s">
        <v>4090</v>
      </c>
      <c r="AD92" s="1239"/>
      <c r="AE92" s="1239"/>
      <c r="AF92" s="448">
        <v>5900</v>
      </c>
      <c r="AG92" s="171">
        <v>95241.3</v>
      </c>
      <c r="AH92" s="448">
        <v>1853</v>
      </c>
      <c r="AI92" s="448">
        <v>510</v>
      </c>
      <c r="AJ92" s="1239"/>
      <c r="AK92" s="1239"/>
      <c r="AL92" s="1239" t="s">
        <v>2127</v>
      </c>
      <c r="AM92" s="1239" t="s">
        <v>1043</v>
      </c>
      <c r="AN92" s="484">
        <v>5.5</v>
      </c>
      <c r="AO92" s="638"/>
      <c r="AP92" s="638"/>
      <c r="AQ92" s="484"/>
      <c r="AR92" s="638"/>
      <c r="AS92" s="638"/>
      <c r="AT92" s="484">
        <f>+ab($T$92,$T$90,$T$94,$G$91,$G$93,-1*$F$92,1200)</f>
        <v>-3.8531791032602576</v>
      </c>
      <c r="AU92" s="638"/>
      <c r="AV92" s="638"/>
      <c r="AW92" s="638" t="s">
        <v>2843</v>
      </c>
      <c r="AX92" s="638"/>
      <c r="AY92" s="484"/>
      <c r="AZ92" s="484"/>
      <c r="BA92" s="671" t="s">
        <v>2809</v>
      </c>
      <c r="BB92" s="1239" t="str">
        <f>Pole_Calculations!A178</f>
        <v>App.8-V08F-P10.3</v>
      </c>
      <c r="BC92" s="169"/>
      <c r="BD92" s="1329" t="s">
        <v>4946</v>
      </c>
      <c r="BE92" s="1329" t="s">
        <v>4946</v>
      </c>
      <c r="BF92" s="1329" t="s">
        <v>4946</v>
      </c>
      <c r="BG92" s="1329">
        <v>43786</v>
      </c>
    </row>
    <row r="93" spans="1:59" ht="15.75" customHeight="1">
      <c r="A93" s="1239"/>
      <c r="B93" s="1239"/>
      <c r="C93" s="171"/>
      <c r="D93" s="171"/>
      <c r="E93" s="1239"/>
      <c r="F93" s="1239"/>
      <c r="G93" s="484">
        <v>35.799999999999997</v>
      </c>
      <c r="H93" s="1239"/>
      <c r="I93" s="172">
        <f>SUM(G75:G93)</f>
        <v>446.20000000000005</v>
      </c>
      <c r="J93" s="171"/>
      <c r="K93" s="1239"/>
      <c r="L93" s="1239"/>
      <c r="M93" s="1239"/>
      <c r="N93" s="1239"/>
      <c r="O93" s="1239"/>
      <c r="P93" s="1239"/>
      <c r="Q93" s="448"/>
      <c r="R93" s="448"/>
      <c r="S93" s="455">
        <f>+AG94-AG92</f>
        <v>35.69999999999709</v>
      </c>
      <c r="T93" s="1239"/>
      <c r="U93" s="1239"/>
      <c r="V93" s="1239"/>
      <c r="W93" s="1239"/>
      <c r="X93" s="1239"/>
      <c r="Y93" s="1239"/>
      <c r="Z93" s="1239"/>
      <c r="AA93" s="1239"/>
      <c r="AB93" s="1239"/>
      <c r="AC93" s="1239"/>
      <c r="AD93" s="1239"/>
      <c r="AE93" s="1239"/>
      <c r="AF93" s="448"/>
      <c r="AG93" s="171"/>
      <c r="AH93" s="448"/>
      <c r="AI93" s="448"/>
      <c r="AJ93" s="1239"/>
      <c r="AK93" s="1239"/>
      <c r="AL93" s="638"/>
      <c r="AM93" s="1239"/>
      <c r="AN93" s="484"/>
      <c r="AO93" s="638"/>
      <c r="AP93" s="638"/>
      <c r="AQ93" s="484">
        <f>+FL_2($T$94,$T$92,$G$93,1200,9.28,-1*$F$94)</f>
        <v>-0.3</v>
      </c>
      <c r="AR93" s="638"/>
      <c r="AS93" s="638"/>
      <c r="AT93" s="484"/>
      <c r="AU93" s="638"/>
      <c r="AV93" s="638"/>
      <c r="AW93" s="638"/>
      <c r="AX93" s="638"/>
      <c r="AY93" s="484"/>
      <c r="AZ93" s="484"/>
      <c r="BA93" s="671"/>
      <c r="BB93" s="1239"/>
      <c r="BC93" s="169"/>
      <c r="BD93" s="1330"/>
      <c r="BE93" s="1330"/>
      <c r="BF93" s="1330"/>
      <c r="BG93" s="1330"/>
    </row>
    <row r="94" spans="1:59" ht="15.75" customHeight="1">
      <c r="A94" s="1239"/>
      <c r="B94" s="1239" t="s">
        <v>2082</v>
      </c>
      <c r="C94" s="171">
        <f>+$C$92+$G$93</f>
        <v>95277.049999999988</v>
      </c>
      <c r="D94" s="171"/>
      <c r="E94" s="1239"/>
      <c r="F94" s="1239">
        <v>730</v>
      </c>
      <c r="G94" s="484"/>
      <c r="H94" s="1239" t="s">
        <v>874</v>
      </c>
      <c r="I94" s="1239"/>
      <c r="J94" s="171"/>
      <c r="K94" s="1239"/>
      <c r="L94" s="1239" t="s">
        <v>821</v>
      </c>
      <c r="M94" s="638" t="s">
        <v>2811</v>
      </c>
      <c r="N94" s="1239" t="s">
        <v>2789</v>
      </c>
      <c r="O94" s="1239"/>
      <c r="P94" s="1239"/>
      <c r="Q94" s="448">
        <v>50</v>
      </c>
      <c r="R94" s="448">
        <v>750</v>
      </c>
      <c r="S94" s="455"/>
      <c r="T94" s="1239">
        <v>-30</v>
      </c>
      <c r="U94" s="1239"/>
      <c r="V94" s="1239"/>
      <c r="W94" s="1239">
        <v>1.4</v>
      </c>
      <c r="X94" s="1239"/>
      <c r="Y94" s="1239"/>
      <c r="Z94" s="1239"/>
      <c r="AA94" s="1239"/>
      <c r="AB94" s="1239"/>
      <c r="AC94" s="638" t="s">
        <v>3050</v>
      </c>
      <c r="AD94" s="1239"/>
      <c r="AE94" s="1239"/>
      <c r="AF94" s="448">
        <v>5900</v>
      </c>
      <c r="AG94" s="171">
        <v>95277</v>
      </c>
      <c r="AH94" s="448">
        <v>1863</v>
      </c>
      <c r="AI94" s="448">
        <v>490</v>
      </c>
      <c r="AJ94" s="1239"/>
      <c r="AK94" s="1239"/>
      <c r="AL94" s="638" t="s">
        <v>2142</v>
      </c>
      <c r="AM94" s="1239" t="s">
        <v>1043</v>
      </c>
      <c r="AN94" s="484">
        <v>5.5</v>
      </c>
      <c r="AO94" s="638"/>
      <c r="AP94" s="638"/>
      <c r="AQ94" s="484"/>
      <c r="AR94" s="638"/>
      <c r="AS94" s="638"/>
      <c r="AT94" s="484">
        <f>+ab($T$94,$T$92,$T$96,$G$93,$G$95,-1*$F$94,1200)</f>
        <v>-3.9619914496946653</v>
      </c>
      <c r="AU94" s="638"/>
      <c r="AV94" s="638"/>
      <c r="AW94" s="638" t="s">
        <v>2843</v>
      </c>
      <c r="AX94" s="638"/>
      <c r="AY94" s="484"/>
      <c r="AZ94" s="484"/>
      <c r="BA94" s="671" t="s">
        <v>2809</v>
      </c>
      <c r="BB94" s="1239" t="str">
        <f>Pole_Calculations!A178</f>
        <v>App.8-V08F-P10.3</v>
      </c>
      <c r="BC94" s="169"/>
      <c r="BD94" s="1329" t="s">
        <v>4946</v>
      </c>
      <c r="BE94" s="1329" t="s">
        <v>4946</v>
      </c>
      <c r="BF94" s="1329" t="s">
        <v>4946</v>
      </c>
      <c r="BG94" s="1329">
        <v>43786</v>
      </c>
    </row>
    <row r="95" spans="1:59" ht="15.75" customHeight="1">
      <c r="A95" s="1239"/>
      <c r="B95" s="1239"/>
      <c r="C95" s="171"/>
      <c r="D95" s="171"/>
      <c r="E95" s="1239"/>
      <c r="F95" s="1239"/>
      <c r="G95" s="484">
        <v>34.799999999999997</v>
      </c>
      <c r="H95" s="1239"/>
      <c r="I95" s="172">
        <f>SUM(G95:G115)</f>
        <v>486.90000000000003</v>
      </c>
      <c r="J95" s="171"/>
      <c r="K95" s="1239"/>
      <c r="L95" s="1239"/>
      <c r="M95" s="1239"/>
      <c r="N95" s="1239"/>
      <c r="O95" s="1239"/>
      <c r="P95" s="1239"/>
      <c r="Q95" s="448"/>
      <c r="R95" s="448"/>
      <c r="S95" s="455">
        <f>+AG96-AG94</f>
        <v>35</v>
      </c>
      <c r="T95" s="1239"/>
      <c r="U95" s="1239"/>
      <c r="V95" s="1239"/>
      <c r="W95" s="1239"/>
      <c r="X95" s="1239"/>
      <c r="Y95" s="1239"/>
      <c r="Z95" s="1239"/>
      <c r="AA95" s="1239"/>
      <c r="AB95" s="1239"/>
      <c r="AC95" s="1239"/>
      <c r="AD95" s="1239"/>
      <c r="AE95" s="1239"/>
      <c r="AF95" s="448"/>
      <c r="AG95" s="171"/>
      <c r="AH95" s="448"/>
      <c r="AI95" s="448"/>
      <c r="AJ95" s="1239"/>
      <c r="AK95" s="1239"/>
      <c r="AL95" s="638"/>
      <c r="AM95" s="1239"/>
      <c r="AN95" s="484"/>
      <c r="AO95" s="638"/>
      <c r="AP95" s="638"/>
      <c r="AQ95" s="484">
        <f>+FL_2($T$96,$T$94,$G$95,1200,9.28,-1*$F$96)</f>
        <v>-0.3</v>
      </c>
      <c r="AR95" s="638"/>
      <c r="AS95" s="638"/>
      <c r="AT95" s="484"/>
      <c r="AU95" s="638"/>
      <c r="AV95" s="638"/>
      <c r="AW95" s="638"/>
      <c r="AX95" s="638"/>
      <c r="AY95" s="484"/>
      <c r="AZ95" s="484"/>
      <c r="BA95" s="671"/>
      <c r="BB95" s="1239"/>
      <c r="BC95" s="169"/>
      <c r="BD95" s="1330"/>
      <c r="BE95" s="1330"/>
      <c r="BF95" s="1330"/>
      <c r="BG95" s="1330"/>
    </row>
    <row r="96" spans="1:59" ht="15.75" customHeight="1">
      <c r="A96" s="1239"/>
      <c r="B96" s="1239" t="s">
        <v>2083</v>
      </c>
      <c r="C96" s="171">
        <f>+$C$94+$G$95</f>
        <v>95311.849999999991</v>
      </c>
      <c r="D96" s="171"/>
      <c r="E96" s="1239"/>
      <c r="F96" s="1239">
        <v>730</v>
      </c>
      <c r="G96" s="484"/>
      <c r="H96" s="1239" t="s">
        <v>873</v>
      </c>
      <c r="I96" s="1239"/>
      <c r="J96" s="171"/>
      <c r="K96" s="1239"/>
      <c r="L96" s="1239" t="s">
        <v>821</v>
      </c>
      <c r="M96" s="638" t="s">
        <v>2811</v>
      </c>
      <c r="N96" s="1239" t="s">
        <v>2789</v>
      </c>
      <c r="O96" s="1239"/>
      <c r="P96" s="1239"/>
      <c r="Q96" s="448">
        <v>40</v>
      </c>
      <c r="R96" s="448">
        <v>750</v>
      </c>
      <c r="S96" s="455"/>
      <c r="T96" s="1239">
        <v>-30</v>
      </c>
      <c r="U96" s="1239"/>
      <c r="V96" s="1239"/>
      <c r="W96" s="1239">
        <v>1.4</v>
      </c>
      <c r="X96" s="1239"/>
      <c r="Y96" s="1239"/>
      <c r="Z96" s="1239"/>
      <c r="AA96" s="1239"/>
      <c r="AB96" s="1239"/>
      <c r="AC96" s="638" t="s">
        <v>4090</v>
      </c>
      <c r="AD96" s="1239"/>
      <c r="AE96" s="1239"/>
      <c r="AF96" s="448">
        <v>5900</v>
      </c>
      <c r="AG96" s="171">
        <v>95312</v>
      </c>
      <c r="AH96" s="448">
        <v>1863</v>
      </c>
      <c r="AI96" s="448">
        <v>540</v>
      </c>
      <c r="AJ96" s="1239"/>
      <c r="AK96" s="1239"/>
      <c r="AL96" s="638" t="s">
        <v>2142</v>
      </c>
      <c r="AM96" s="1239" t="s">
        <v>1043</v>
      </c>
      <c r="AN96" s="484">
        <v>5.5</v>
      </c>
      <c r="AO96" s="638"/>
      <c r="AP96" s="638"/>
      <c r="AQ96" s="484"/>
      <c r="AR96" s="638"/>
      <c r="AS96" s="638"/>
      <c r="AT96" s="484">
        <f>+ab($T$96,$T$94,$T$98,$G$95,$G$97,-1*$F$96,1200)</f>
        <v>-4.018731410461597</v>
      </c>
      <c r="AU96" s="638"/>
      <c r="AV96" s="638"/>
      <c r="AW96" s="638" t="s">
        <v>2843</v>
      </c>
      <c r="AX96" s="638"/>
      <c r="AY96" s="484"/>
      <c r="AZ96" s="484"/>
      <c r="BA96" s="671" t="s">
        <v>2809</v>
      </c>
      <c r="BB96" s="1239" t="str">
        <f>Pole_Calculations!A178</f>
        <v>App.8-V08F-P10.3</v>
      </c>
      <c r="BC96" s="169"/>
      <c r="BD96" s="1329" t="s">
        <v>4946</v>
      </c>
      <c r="BE96" s="1329" t="s">
        <v>4946</v>
      </c>
      <c r="BF96" s="1329" t="s">
        <v>4946</v>
      </c>
      <c r="BG96" s="1329">
        <v>43786</v>
      </c>
    </row>
    <row r="97" spans="1:59" ht="15.75" customHeight="1">
      <c r="A97" s="1239"/>
      <c r="B97" s="1239"/>
      <c r="C97" s="171"/>
      <c r="D97" s="171"/>
      <c r="E97" s="1239"/>
      <c r="F97" s="1239"/>
      <c r="G97" s="484">
        <v>34.799999999999997</v>
      </c>
      <c r="H97" s="1239"/>
      <c r="I97" s="1239"/>
      <c r="J97" s="171">
        <f>C96+7.5</f>
        <v>95319.349999999991</v>
      </c>
      <c r="K97" s="1239" t="s">
        <v>1685</v>
      </c>
      <c r="L97" s="1239"/>
      <c r="M97" s="1239"/>
      <c r="N97" s="1239"/>
      <c r="O97" s="1239"/>
      <c r="P97" s="1239"/>
      <c r="Q97" s="448"/>
      <c r="R97" s="448"/>
      <c r="S97" s="455">
        <f>+AG98-AG96</f>
        <v>34.690000000002328</v>
      </c>
      <c r="T97" s="1239"/>
      <c r="U97" s="1239"/>
      <c r="V97" s="1239"/>
      <c r="W97" s="1239"/>
      <c r="X97" s="1239"/>
      <c r="Y97" s="1239"/>
      <c r="Z97" s="1239"/>
      <c r="AA97" s="1239"/>
      <c r="AB97" s="1239"/>
      <c r="AC97" s="1239"/>
      <c r="AD97" s="1239"/>
      <c r="AE97" s="1239"/>
      <c r="AF97" s="448"/>
      <c r="AG97" s="171"/>
      <c r="AH97" s="448"/>
      <c r="AI97" s="448"/>
      <c r="AJ97" s="1239"/>
      <c r="AK97" s="1239"/>
      <c r="AL97" s="638"/>
      <c r="AM97" s="1239"/>
      <c r="AN97" s="484"/>
      <c r="AO97" s="638"/>
      <c r="AP97" s="638"/>
      <c r="AQ97" s="484">
        <f>+FL_2($T$98,$T$96,$G$97,1200,9.28,-1*$F$98)</f>
        <v>-0.3</v>
      </c>
      <c r="AR97" s="638"/>
      <c r="AS97" s="638"/>
      <c r="AT97" s="484"/>
      <c r="AU97" s="638"/>
      <c r="AV97" s="638"/>
      <c r="AW97" s="638" t="s">
        <v>2846</v>
      </c>
      <c r="AX97" s="638"/>
      <c r="AY97" s="484"/>
      <c r="AZ97" s="484"/>
      <c r="BA97" s="671" t="s">
        <v>2809</v>
      </c>
      <c r="BB97" s="1239"/>
      <c r="BC97" s="169"/>
      <c r="BD97" s="1329" t="s">
        <v>4946</v>
      </c>
      <c r="BE97" s="1330"/>
      <c r="BF97" s="1330"/>
      <c r="BG97" s="1330"/>
    </row>
    <row r="98" spans="1:59" ht="15.75" customHeight="1">
      <c r="A98" s="1239"/>
      <c r="B98" s="1239" t="s">
        <v>2084</v>
      </c>
      <c r="C98" s="171">
        <f>+$C$96+$G$97</f>
        <v>95346.65</v>
      </c>
      <c r="D98" s="171"/>
      <c r="E98" s="1239"/>
      <c r="F98" s="1239">
        <v>730</v>
      </c>
      <c r="G98" s="484"/>
      <c r="H98" s="1239" t="s">
        <v>873</v>
      </c>
      <c r="I98" s="1239"/>
      <c r="J98" s="171"/>
      <c r="K98" s="1239"/>
      <c r="L98" s="1239" t="s">
        <v>821</v>
      </c>
      <c r="M98" s="638" t="s">
        <v>2811</v>
      </c>
      <c r="N98" s="1239" t="s">
        <v>2789</v>
      </c>
      <c r="O98" s="1239"/>
      <c r="P98" s="1239"/>
      <c r="Q98" s="448">
        <v>40</v>
      </c>
      <c r="R98" s="448">
        <v>750</v>
      </c>
      <c r="S98" s="455"/>
      <c r="T98" s="1239">
        <v>-30</v>
      </c>
      <c r="U98" s="1239"/>
      <c r="V98" s="1239"/>
      <c r="W98" s="1239">
        <v>1.4</v>
      </c>
      <c r="X98" s="1239"/>
      <c r="Y98" s="1239"/>
      <c r="Z98" s="1239"/>
      <c r="AA98" s="1239"/>
      <c r="AB98" s="1239"/>
      <c r="AC98" s="638" t="s">
        <v>3050</v>
      </c>
      <c r="AD98" s="1239"/>
      <c r="AE98" s="1239"/>
      <c r="AF98" s="448">
        <v>5900</v>
      </c>
      <c r="AG98" s="171">
        <v>95346.69</v>
      </c>
      <c r="AH98" s="448">
        <v>1853</v>
      </c>
      <c r="AI98" s="448">
        <v>530</v>
      </c>
      <c r="AJ98" s="1239"/>
      <c r="AK98" s="1239"/>
      <c r="AL98" s="638" t="s">
        <v>2142</v>
      </c>
      <c r="AM98" s="1239" t="s">
        <v>1043</v>
      </c>
      <c r="AN98" s="484">
        <v>5.5</v>
      </c>
      <c r="AO98" s="638"/>
      <c r="AP98" s="638"/>
      <c r="AQ98" s="484"/>
      <c r="AR98" s="638"/>
      <c r="AS98" s="638"/>
      <c r="AT98" s="484">
        <f>+ab($T$98,$T$96,$T$100,$G$97,$G$99,-1*$F$98,1200)</f>
        <v>-3.755194941164401</v>
      </c>
      <c r="AU98" s="638"/>
      <c r="AV98" s="638"/>
      <c r="AW98" s="638" t="s">
        <v>2843</v>
      </c>
      <c r="AX98" s="638"/>
      <c r="AY98" s="484"/>
      <c r="AZ98" s="484"/>
      <c r="BA98" s="671" t="s">
        <v>2809</v>
      </c>
      <c r="BB98" s="1239" t="str">
        <f>Pole_Calculations!A178</f>
        <v>App.8-V08F-P10.3</v>
      </c>
      <c r="BC98" s="169"/>
      <c r="BD98" s="1329" t="s">
        <v>4946</v>
      </c>
      <c r="BE98" s="1329" t="s">
        <v>4946</v>
      </c>
      <c r="BF98" s="1329" t="s">
        <v>4946</v>
      </c>
      <c r="BG98" s="1329">
        <v>43786</v>
      </c>
    </row>
    <row r="99" spans="1:59" ht="15.75" customHeight="1">
      <c r="A99" s="1239"/>
      <c r="B99" s="1239"/>
      <c r="C99" s="171"/>
      <c r="D99" s="171"/>
      <c r="E99" s="1239"/>
      <c r="F99" s="1239"/>
      <c r="G99" s="484">
        <v>39.700000000000003</v>
      </c>
      <c r="H99" s="1239"/>
      <c r="I99" s="1239"/>
      <c r="J99" s="171">
        <f>C98+7.5</f>
        <v>95354.15</v>
      </c>
      <c r="K99" s="1239" t="s">
        <v>1685</v>
      </c>
      <c r="L99" s="1239"/>
      <c r="M99" s="1239"/>
      <c r="N99" s="1239"/>
      <c r="O99" s="1239"/>
      <c r="P99" s="1239"/>
      <c r="Q99" s="448"/>
      <c r="R99" s="448"/>
      <c r="S99" s="455">
        <f>+AG100-AG98</f>
        <v>39.679999999993015</v>
      </c>
      <c r="T99" s="1239"/>
      <c r="U99" s="1239"/>
      <c r="V99" s="1239"/>
      <c r="W99" s="1239"/>
      <c r="X99" s="1239"/>
      <c r="Y99" s="1239"/>
      <c r="Z99" s="1239"/>
      <c r="AA99" s="1239"/>
      <c r="AB99" s="1239"/>
      <c r="AC99" s="1239"/>
      <c r="AD99" s="1239"/>
      <c r="AE99" s="1239"/>
      <c r="AF99" s="448"/>
      <c r="AG99" s="171"/>
      <c r="AH99" s="448"/>
      <c r="AI99" s="448"/>
      <c r="AJ99" s="1239"/>
      <c r="AK99" s="1239"/>
      <c r="AL99" s="638"/>
      <c r="AM99" s="1239"/>
      <c r="AN99" s="484"/>
      <c r="AO99" s="638"/>
      <c r="AP99" s="638"/>
      <c r="AQ99" s="484">
        <f>+FL_2($T$100,$T$98,$G$99,1200,9.28,-1*$F$100)</f>
        <v>-0.3</v>
      </c>
      <c r="AR99" s="638"/>
      <c r="AS99" s="638"/>
      <c r="AT99" s="484"/>
      <c r="AU99" s="638"/>
      <c r="AV99" s="638"/>
      <c r="AW99" s="638" t="s">
        <v>2846</v>
      </c>
      <c r="AX99" s="638"/>
      <c r="AY99" s="484"/>
      <c r="AZ99" s="484"/>
      <c r="BA99" s="671" t="s">
        <v>2809</v>
      </c>
      <c r="BB99" s="1239"/>
      <c r="BC99" s="169"/>
      <c r="BD99" s="1329" t="s">
        <v>4946</v>
      </c>
      <c r="BE99" s="1330"/>
      <c r="BF99" s="1330"/>
      <c r="BG99" s="1330"/>
    </row>
    <row r="100" spans="1:59" ht="15.75" customHeight="1">
      <c r="A100" s="1239"/>
      <c r="B100" s="1239" t="s">
        <v>2085</v>
      </c>
      <c r="C100" s="171">
        <f>+$C$98+$G$99</f>
        <v>95386.349999999991</v>
      </c>
      <c r="D100" s="171"/>
      <c r="E100" s="1239"/>
      <c r="F100" s="1239">
        <v>730</v>
      </c>
      <c r="G100" s="484"/>
      <c r="H100" s="1239"/>
      <c r="I100" s="1239"/>
      <c r="J100" s="171"/>
      <c r="K100" s="1239"/>
      <c r="L100" s="1239" t="s">
        <v>821</v>
      </c>
      <c r="M100" s="638" t="s">
        <v>2811</v>
      </c>
      <c r="N100" s="1239" t="s">
        <v>2789</v>
      </c>
      <c r="O100" s="1239"/>
      <c r="P100" s="1239"/>
      <c r="Q100" s="448">
        <v>50</v>
      </c>
      <c r="R100" s="448">
        <v>750</v>
      </c>
      <c r="S100" s="455"/>
      <c r="T100" s="1239">
        <v>-30</v>
      </c>
      <c r="U100" s="1239"/>
      <c r="V100" s="1239"/>
      <c r="W100" s="1239">
        <v>1.4</v>
      </c>
      <c r="X100" s="1239"/>
      <c r="Y100" s="1239"/>
      <c r="Z100" s="1239"/>
      <c r="AA100" s="1239"/>
      <c r="AB100" s="1239"/>
      <c r="AC100" s="638" t="s">
        <v>3050</v>
      </c>
      <c r="AD100" s="1239"/>
      <c r="AE100" s="1239"/>
      <c r="AF100" s="448">
        <v>5600</v>
      </c>
      <c r="AG100" s="171">
        <v>95386.37</v>
      </c>
      <c r="AH100" s="448">
        <v>1833</v>
      </c>
      <c r="AI100" s="448">
        <v>550</v>
      </c>
      <c r="AJ100" s="1239"/>
      <c r="AK100" s="1239"/>
      <c r="AL100" s="638" t="s">
        <v>2142</v>
      </c>
      <c r="AM100" s="1239" t="s">
        <v>1043</v>
      </c>
      <c r="AN100" s="484">
        <v>5.44</v>
      </c>
      <c r="AO100" s="638"/>
      <c r="AP100" s="638"/>
      <c r="AQ100" s="484"/>
      <c r="AR100" s="638"/>
      <c r="AS100" s="638"/>
      <c r="AT100" s="484">
        <f>+ab($T$100,$T$98,$T$102,$G$99,$G$101,-1*$F$100,1200)</f>
        <v>-3.5196326970376539</v>
      </c>
      <c r="AU100" s="638"/>
      <c r="AV100" s="638"/>
      <c r="AW100" s="638" t="s">
        <v>2843</v>
      </c>
      <c r="AX100" s="638"/>
      <c r="AY100" s="484"/>
      <c r="AZ100" s="484"/>
      <c r="BA100" s="671" t="s">
        <v>2809</v>
      </c>
      <c r="BB100" s="1239" t="str">
        <f>Pole_Calculations!A178</f>
        <v>App.8-V08F-P10.3</v>
      </c>
      <c r="BC100" s="169"/>
      <c r="BD100" s="1329" t="s">
        <v>4946</v>
      </c>
      <c r="BE100" s="1329" t="s">
        <v>4946</v>
      </c>
      <c r="BF100" s="1329" t="s">
        <v>4946</v>
      </c>
      <c r="BG100" s="1329">
        <v>43786</v>
      </c>
    </row>
    <row r="101" spans="1:59" ht="15.75" customHeight="1">
      <c r="A101" s="1239"/>
      <c r="B101" s="1239"/>
      <c r="C101" s="171"/>
      <c r="D101" s="171"/>
      <c r="E101" s="1239"/>
      <c r="F101" s="1239"/>
      <c r="G101" s="484">
        <v>39.799999999999997</v>
      </c>
      <c r="H101" s="1239"/>
      <c r="I101" s="1239"/>
      <c r="J101" s="171"/>
      <c r="K101" s="1239"/>
      <c r="L101" s="1239"/>
      <c r="M101" s="1239"/>
      <c r="N101" s="1239"/>
      <c r="O101" s="1239"/>
      <c r="P101" s="1239"/>
      <c r="Q101" s="448"/>
      <c r="R101" s="448"/>
      <c r="S101" s="455">
        <f>+AG102-AG100</f>
        <v>39.630000000004657</v>
      </c>
      <c r="T101" s="1239"/>
      <c r="U101" s="1239"/>
      <c r="V101" s="1239"/>
      <c r="W101" s="1239"/>
      <c r="X101" s="1239"/>
      <c r="Y101" s="1239"/>
      <c r="Z101" s="1239"/>
      <c r="AA101" s="1239"/>
      <c r="AB101" s="1239"/>
      <c r="AC101" s="1239"/>
      <c r="AD101" s="1239"/>
      <c r="AE101" s="1239"/>
      <c r="AF101" s="448"/>
      <c r="AG101" s="171"/>
      <c r="AH101" s="448"/>
      <c r="AI101" s="448"/>
      <c r="AJ101" s="1239"/>
      <c r="AK101" s="1239"/>
      <c r="AL101" s="638"/>
      <c r="AM101" s="1239"/>
      <c r="AN101" s="484"/>
      <c r="AO101" s="638"/>
      <c r="AP101" s="638"/>
      <c r="AQ101" s="484">
        <f>+FL_2($T$102,$T$100,$G$101,1200,9.28,-1*$F$102)</f>
        <v>-0.3</v>
      </c>
      <c r="AR101" s="638"/>
      <c r="AS101" s="638"/>
      <c r="AT101" s="484"/>
      <c r="AU101" s="638"/>
      <c r="AV101" s="638"/>
      <c r="AW101" s="638"/>
      <c r="AX101" s="638"/>
      <c r="AY101" s="484"/>
      <c r="AZ101" s="484"/>
      <c r="BA101" s="671"/>
      <c r="BB101" s="1239"/>
      <c r="BC101" s="169"/>
      <c r="BD101" s="1330"/>
      <c r="BE101" s="1330"/>
      <c r="BF101" s="1330"/>
      <c r="BG101" s="1330"/>
    </row>
    <row r="102" spans="1:59" ht="15.75" customHeight="1">
      <c r="A102" s="1239"/>
      <c r="B102" s="570" t="s">
        <v>2086</v>
      </c>
      <c r="C102" s="171">
        <f>+$C$100+$G$101</f>
        <v>95426.15</v>
      </c>
      <c r="D102" s="171"/>
      <c r="E102" s="1239"/>
      <c r="F102" s="1239">
        <v>730</v>
      </c>
      <c r="G102" s="484"/>
      <c r="H102" s="1239"/>
      <c r="I102" s="1239"/>
      <c r="J102" s="171"/>
      <c r="K102" s="1239"/>
      <c r="L102" s="1239" t="s">
        <v>821</v>
      </c>
      <c r="M102" s="638" t="s">
        <v>2811</v>
      </c>
      <c r="N102" s="1239" t="s">
        <v>2789</v>
      </c>
      <c r="O102" s="1239"/>
      <c r="P102" s="1239"/>
      <c r="Q102" s="448">
        <v>60</v>
      </c>
      <c r="R102" s="448">
        <v>750</v>
      </c>
      <c r="S102" s="455"/>
      <c r="T102" s="1239">
        <v>-30</v>
      </c>
      <c r="U102" s="1239"/>
      <c r="V102" s="1239"/>
      <c r="W102" s="1239">
        <v>1.4</v>
      </c>
      <c r="X102" s="1239"/>
      <c r="Y102" s="1239"/>
      <c r="Z102" s="1239"/>
      <c r="AA102" s="1239"/>
      <c r="AB102" s="1239"/>
      <c r="AC102" s="638" t="s">
        <v>3050</v>
      </c>
      <c r="AD102" s="1239"/>
      <c r="AE102" s="1239"/>
      <c r="AF102" s="448">
        <v>5500</v>
      </c>
      <c r="AG102" s="171">
        <v>95426</v>
      </c>
      <c r="AH102" s="448">
        <v>1893</v>
      </c>
      <c r="AI102" s="448">
        <v>580</v>
      </c>
      <c r="AJ102" s="1239"/>
      <c r="AK102" s="1239"/>
      <c r="AL102" s="638" t="s">
        <v>2135</v>
      </c>
      <c r="AM102" s="1239" t="s">
        <v>1043</v>
      </c>
      <c r="AN102" s="484">
        <v>5.33</v>
      </c>
      <c r="AO102" s="638"/>
      <c r="AP102" s="638"/>
      <c r="AQ102" s="484"/>
      <c r="AR102" s="638"/>
      <c r="AS102" s="638"/>
      <c r="AT102" s="484">
        <f>+ab($T$102,$T$100,$T$104,$G$101,$G$103,-1*$F$102,1200)</f>
        <v>-3.6572899303537869</v>
      </c>
      <c r="AU102" s="638"/>
      <c r="AV102" s="638"/>
      <c r="AW102" s="638" t="s">
        <v>2843</v>
      </c>
      <c r="AX102" s="638"/>
      <c r="AY102" s="484"/>
      <c r="AZ102" s="484"/>
      <c r="BA102" s="671" t="s">
        <v>2809</v>
      </c>
      <c r="BB102" s="1239" t="str">
        <f>Pole_Calculations!A178</f>
        <v>App.8-V08F-P10.3</v>
      </c>
      <c r="BC102" s="169"/>
      <c r="BD102" s="1329" t="s">
        <v>4946</v>
      </c>
      <c r="BE102" s="1329" t="s">
        <v>4946</v>
      </c>
      <c r="BF102" s="1329" t="s">
        <v>4946</v>
      </c>
      <c r="BG102" s="1329">
        <v>43786</v>
      </c>
    </row>
    <row r="103" spans="1:59" ht="15.75" customHeight="1">
      <c r="A103" s="1239"/>
      <c r="B103" s="1239"/>
      <c r="C103" s="171"/>
      <c r="D103" s="171"/>
      <c r="E103" s="1239"/>
      <c r="F103" s="1239"/>
      <c r="G103" s="484">
        <v>36.700000000000003</v>
      </c>
      <c r="H103" s="1239"/>
      <c r="I103" s="1239"/>
      <c r="J103" s="171"/>
      <c r="K103" s="1239"/>
      <c r="L103" s="1239"/>
      <c r="M103" s="1239"/>
      <c r="N103" s="1239"/>
      <c r="O103" s="1239"/>
      <c r="P103" s="1239"/>
      <c r="Q103" s="448"/>
      <c r="R103" s="448"/>
      <c r="S103" s="455">
        <f>+AG104-AG102</f>
        <v>37</v>
      </c>
      <c r="T103" s="1239"/>
      <c r="U103" s="1239"/>
      <c r="V103" s="1239"/>
      <c r="W103" s="1239"/>
      <c r="X103" s="1239"/>
      <c r="Y103" s="1239"/>
      <c r="Z103" s="1239"/>
      <c r="AA103" s="1239"/>
      <c r="AB103" s="1239"/>
      <c r="AC103" s="1239"/>
      <c r="AD103" s="1239"/>
      <c r="AE103" s="1239"/>
      <c r="AF103" s="448"/>
      <c r="AG103" s="171"/>
      <c r="AH103" s="448"/>
      <c r="AI103" s="448"/>
      <c r="AJ103" s="1239"/>
      <c r="AK103" s="1239"/>
      <c r="AL103" s="638"/>
      <c r="AM103" s="1239"/>
      <c r="AN103" s="484"/>
      <c r="AO103" s="638"/>
      <c r="AP103" s="638"/>
      <c r="AQ103" s="484">
        <f>+FL_2($T$104,$T$102,$G$103,1200,9.28,-1*$F$104)</f>
        <v>-0.30000000000000004</v>
      </c>
      <c r="AR103" s="638"/>
      <c r="AS103" s="638"/>
      <c r="AT103" s="484"/>
      <c r="AU103" s="638"/>
      <c r="AV103" s="638"/>
      <c r="AW103" s="638"/>
      <c r="AX103" s="638"/>
      <c r="AY103" s="484"/>
      <c r="AZ103" s="484"/>
      <c r="BA103" s="671"/>
      <c r="BB103" s="1239"/>
      <c r="BC103" s="169"/>
      <c r="BD103" s="1330"/>
      <c r="BE103" s="1330"/>
      <c r="BF103" s="1330"/>
      <c r="BG103" s="1330"/>
    </row>
    <row r="104" spans="1:59" ht="15.75" customHeight="1">
      <c r="A104" s="1239"/>
      <c r="B104" s="570" t="s">
        <v>2087</v>
      </c>
      <c r="C104" s="171">
        <f>+$C$102+$G$103</f>
        <v>95462.849999999991</v>
      </c>
      <c r="D104" s="171"/>
      <c r="E104" s="1239"/>
      <c r="F104" s="1239">
        <v>730</v>
      </c>
      <c r="G104" s="484"/>
      <c r="H104" s="1239"/>
      <c r="I104" s="1239"/>
      <c r="J104" s="171"/>
      <c r="K104" s="1239"/>
      <c r="L104" s="1239" t="s">
        <v>821</v>
      </c>
      <c r="M104" s="638" t="s">
        <v>2811</v>
      </c>
      <c r="N104" s="1239" t="s">
        <v>2789</v>
      </c>
      <c r="O104" s="1239"/>
      <c r="P104" s="1239"/>
      <c r="Q104" s="448">
        <v>40</v>
      </c>
      <c r="R104" s="448">
        <v>750</v>
      </c>
      <c r="S104" s="455"/>
      <c r="T104" s="1239">
        <v>-30</v>
      </c>
      <c r="U104" s="1239"/>
      <c r="V104" s="1239"/>
      <c r="W104" s="1239">
        <v>1.4</v>
      </c>
      <c r="X104" s="1239"/>
      <c r="Y104" s="1239"/>
      <c r="Z104" s="1239"/>
      <c r="AA104" s="1239"/>
      <c r="AB104" s="1239"/>
      <c r="AC104" s="638" t="s">
        <v>3050</v>
      </c>
      <c r="AD104" s="1239"/>
      <c r="AE104" s="1239"/>
      <c r="AF104" s="448">
        <v>5500</v>
      </c>
      <c r="AG104" s="171">
        <v>95463</v>
      </c>
      <c r="AH104" s="448">
        <v>1863</v>
      </c>
      <c r="AI104" s="448">
        <v>490</v>
      </c>
      <c r="AJ104" s="1239"/>
      <c r="AK104" s="1239"/>
      <c r="AL104" s="638" t="s">
        <v>2135</v>
      </c>
      <c r="AM104" s="1239" t="s">
        <v>1043</v>
      </c>
      <c r="AN104" s="484">
        <v>5.22</v>
      </c>
      <c r="AO104" s="638"/>
      <c r="AP104" s="638"/>
      <c r="AQ104" s="484"/>
      <c r="AR104" s="638"/>
      <c r="AS104" s="638"/>
      <c r="AT104" s="484">
        <f>+ab($T$104,$T$102,$T$106,$G$103,$G$105,-1*$F$104,1200)</f>
        <v>-2.7702627135828628</v>
      </c>
      <c r="AU104" s="638"/>
      <c r="AV104" s="638"/>
      <c r="AW104" s="638" t="s">
        <v>2843</v>
      </c>
      <c r="AX104" s="638"/>
      <c r="AY104" s="484"/>
      <c r="AZ104" s="484"/>
      <c r="BA104" s="671" t="s">
        <v>2809</v>
      </c>
      <c r="BB104" s="1239" t="str">
        <f>Pole_Calculations!A178</f>
        <v>App.8-V08F-P10.3</v>
      </c>
      <c r="BC104" s="169"/>
      <c r="BD104" s="1329" t="s">
        <v>4946</v>
      </c>
      <c r="BE104" s="1329" t="s">
        <v>4946</v>
      </c>
      <c r="BF104" s="1329" t="s">
        <v>4946</v>
      </c>
      <c r="BG104" s="1329">
        <v>43786</v>
      </c>
    </row>
    <row r="105" spans="1:59" ht="15.75" customHeight="1">
      <c r="A105" s="1239"/>
      <c r="B105" s="1239"/>
      <c r="C105" s="171"/>
      <c r="D105" s="171"/>
      <c r="E105" s="1239"/>
      <c r="F105" s="1239"/>
      <c r="G105" s="484">
        <v>44.8</v>
      </c>
      <c r="H105" s="1239"/>
      <c r="I105" s="1239"/>
      <c r="J105" s="171"/>
      <c r="K105" s="1239"/>
      <c r="L105" s="1239"/>
      <c r="M105" s="1239"/>
      <c r="N105" s="1239"/>
      <c r="O105" s="1239"/>
      <c r="P105" s="1239"/>
      <c r="Q105" s="448"/>
      <c r="R105" s="448"/>
      <c r="S105" s="455">
        <f>+AG106-AG104</f>
        <v>43.679999999993015</v>
      </c>
      <c r="T105" s="1239"/>
      <c r="U105" s="1239"/>
      <c r="V105" s="1239"/>
      <c r="W105" s="1239"/>
      <c r="X105" s="1239"/>
      <c r="Y105" s="1239"/>
      <c r="Z105" s="1239"/>
      <c r="AA105" s="1239"/>
      <c r="AB105" s="1239"/>
      <c r="AC105" s="1239"/>
      <c r="AD105" s="1239"/>
      <c r="AE105" s="1239"/>
      <c r="AF105" s="448"/>
      <c r="AG105" s="171"/>
      <c r="AH105" s="448"/>
      <c r="AI105" s="448"/>
      <c r="AJ105" s="1239"/>
      <c r="AK105" s="1239"/>
      <c r="AL105" s="638"/>
      <c r="AM105" s="1239"/>
      <c r="AN105" s="484"/>
      <c r="AO105" s="638"/>
      <c r="AP105" s="638"/>
      <c r="AQ105" s="484">
        <f>+FL_2($T$106,$T$104,$G$105,1200,9.28,-1*$F$106)</f>
        <v>-0.30026758098182488</v>
      </c>
      <c r="AR105" s="638"/>
      <c r="AS105" s="638"/>
      <c r="AT105" s="484"/>
      <c r="AU105" s="638"/>
      <c r="AV105" s="638"/>
      <c r="AW105" s="638"/>
      <c r="AX105" s="638"/>
      <c r="AY105" s="484"/>
      <c r="AZ105" s="484"/>
      <c r="BA105" s="671"/>
      <c r="BB105" s="1239"/>
      <c r="BC105" s="169"/>
      <c r="BD105" s="1330"/>
      <c r="BE105" s="1330"/>
      <c r="BF105" s="1330"/>
      <c r="BG105" s="1330"/>
    </row>
    <row r="106" spans="1:59" ht="15.75" customHeight="1">
      <c r="A106" s="1239"/>
      <c r="B106" s="1239" t="s">
        <v>2088</v>
      </c>
      <c r="C106" s="171">
        <f>+$C$104+$G$105</f>
        <v>95507.65</v>
      </c>
      <c r="D106" s="171"/>
      <c r="E106" s="1239"/>
      <c r="F106" s="1239">
        <v>730</v>
      </c>
      <c r="G106" s="484"/>
      <c r="H106" s="1239"/>
      <c r="I106" s="1239"/>
      <c r="J106" s="171"/>
      <c r="K106" s="1239"/>
      <c r="L106" s="1239" t="s">
        <v>821</v>
      </c>
      <c r="M106" s="638" t="s">
        <v>2811</v>
      </c>
      <c r="N106" s="1239" t="s">
        <v>844</v>
      </c>
      <c r="O106" s="1239"/>
      <c r="P106" s="1239"/>
      <c r="Q106" s="448">
        <v>50</v>
      </c>
      <c r="R106" s="448">
        <v>882.89</v>
      </c>
      <c r="S106" s="455"/>
      <c r="T106" s="1239">
        <v>30</v>
      </c>
      <c r="U106" s="1239"/>
      <c r="V106" s="1239"/>
      <c r="W106" s="1239">
        <v>1</v>
      </c>
      <c r="X106" s="1239"/>
      <c r="Y106" s="1239"/>
      <c r="Z106" s="1239"/>
      <c r="AA106" s="1239"/>
      <c r="AB106" s="1239"/>
      <c r="AC106" s="638" t="s">
        <v>3050</v>
      </c>
      <c r="AD106" s="1239"/>
      <c r="AE106" s="1239"/>
      <c r="AF106" s="448">
        <v>5500</v>
      </c>
      <c r="AG106" s="171">
        <v>95506.68</v>
      </c>
      <c r="AH106" s="448">
        <v>2363</v>
      </c>
      <c r="AI106" s="448">
        <v>-5200</v>
      </c>
      <c r="AJ106" s="1239"/>
      <c r="AK106" s="1239" t="s">
        <v>139</v>
      </c>
      <c r="AL106" s="638" t="s">
        <v>2135</v>
      </c>
      <c r="AM106" s="1239" t="s">
        <v>1043</v>
      </c>
      <c r="AN106" s="484">
        <v>5.15</v>
      </c>
      <c r="AO106" s="638"/>
      <c r="AP106" s="638"/>
      <c r="AQ106" s="484"/>
      <c r="AR106" s="638"/>
      <c r="AS106" s="638"/>
      <c r="AT106" s="484">
        <f>+ab($T$106,$T$104,$T$108,$G$105,$G$107,-1*$F$106,1200)</f>
        <v>-3.4869752707493795</v>
      </c>
      <c r="AU106" s="638"/>
      <c r="AV106" s="638"/>
      <c r="AW106" s="638" t="s">
        <v>2843</v>
      </c>
      <c r="AX106" s="638"/>
      <c r="AY106" s="484"/>
      <c r="AZ106" s="484"/>
      <c r="BA106" s="671" t="s">
        <v>2809</v>
      </c>
      <c r="BB106" s="1239" t="str">
        <f>Pole_Calculations!A178</f>
        <v>App.8-V08F-P10.3</v>
      </c>
      <c r="BC106" s="169"/>
      <c r="BD106" s="1329" t="s">
        <v>4946</v>
      </c>
      <c r="BE106" s="1329" t="s">
        <v>4946</v>
      </c>
      <c r="BF106" s="1329" t="s">
        <v>4946</v>
      </c>
      <c r="BG106" s="1329">
        <v>43870</v>
      </c>
    </row>
    <row r="107" spans="1:59" ht="15.75" customHeight="1">
      <c r="A107" s="488" t="s">
        <v>1851</v>
      </c>
      <c r="B107" s="495"/>
      <c r="C107" s="431"/>
      <c r="D107" s="431"/>
      <c r="E107" s="495"/>
      <c r="F107" s="495"/>
      <c r="G107" s="493">
        <v>55</v>
      </c>
      <c r="H107" s="495"/>
      <c r="I107" s="495"/>
      <c r="J107" s="431">
        <f>C108-7.5</f>
        <v>95555.15</v>
      </c>
      <c r="K107" s="495" t="s">
        <v>1684</v>
      </c>
      <c r="L107" s="495"/>
      <c r="M107" s="495"/>
      <c r="N107" s="495"/>
      <c r="O107" s="495"/>
      <c r="P107" s="495"/>
      <c r="Q107" s="492"/>
      <c r="R107" s="492"/>
      <c r="S107" s="457">
        <f>+AG108-AG106</f>
        <v>56.120000000009895</v>
      </c>
      <c r="T107" s="495"/>
      <c r="U107" s="495"/>
      <c r="V107" s="495"/>
      <c r="W107" s="495"/>
      <c r="X107" s="495"/>
      <c r="Y107" s="495"/>
      <c r="Z107" s="495"/>
      <c r="AA107" s="495"/>
      <c r="AB107" s="495"/>
      <c r="AC107" s="495"/>
      <c r="AD107" s="495"/>
      <c r="AE107" s="495"/>
      <c r="AF107" s="492"/>
      <c r="AG107" s="431"/>
      <c r="AH107" s="492"/>
      <c r="AI107" s="492"/>
      <c r="AJ107" s="495"/>
      <c r="AK107" s="495"/>
      <c r="AL107" s="490"/>
      <c r="AM107" s="495"/>
      <c r="AN107" s="493"/>
      <c r="AO107" s="490"/>
      <c r="AP107" s="490"/>
      <c r="AQ107" s="493">
        <f>+FL_2($T$108,-$T$106,$G$107,1200,9.28,-1*$F$108)</f>
        <v>-0.36936166072727272</v>
      </c>
      <c r="AR107" s="490"/>
      <c r="AS107" s="490"/>
      <c r="AT107" s="493"/>
      <c r="AU107" s="490"/>
      <c r="AV107" s="490"/>
      <c r="AW107" s="490" t="s">
        <v>2846</v>
      </c>
      <c r="AX107" s="490"/>
      <c r="AY107" s="493"/>
      <c r="AZ107" s="493"/>
      <c r="BA107" s="602" t="s">
        <v>2809</v>
      </c>
      <c r="BB107" s="488"/>
      <c r="BC107" s="169"/>
      <c r="BD107" s="1329" t="s">
        <v>4946</v>
      </c>
      <c r="BE107" s="1330"/>
      <c r="BF107" s="1330"/>
      <c r="BG107" s="1330"/>
    </row>
    <row r="108" spans="1:59" ht="15.75" customHeight="1">
      <c r="A108" s="1239"/>
      <c r="B108" s="1239" t="s">
        <v>2089</v>
      </c>
      <c r="C108" s="171">
        <f>+$C$106+$G$107</f>
        <v>95562.65</v>
      </c>
      <c r="D108" s="171"/>
      <c r="E108" s="1239"/>
      <c r="F108" s="1239">
        <v>0</v>
      </c>
      <c r="G108" s="484"/>
      <c r="H108" s="1239" t="s">
        <v>138</v>
      </c>
      <c r="I108" s="1239" t="s">
        <v>4231</v>
      </c>
      <c r="J108" s="171"/>
      <c r="K108" s="1239"/>
      <c r="L108" s="1239" t="s">
        <v>821</v>
      </c>
      <c r="M108" s="638" t="s">
        <v>2811</v>
      </c>
      <c r="N108" s="1239" t="s">
        <v>144</v>
      </c>
      <c r="O108" s="1239"/>
      <c r="P108" s="1239"/>
      <c r="Q108" s="448">
        <v>0</v>
      </c>
      <c r="R108" s="448">
        <v>0</v>
      </c>
      <c r="S108" s="455"/>
      <c r="T108" s="1239">
        <v>30</v>
      </c>
      <c r="U108" s="1239"/>
      <c r="V108" s="1239"/>
      <c r="W108" s="1239">
        <v>1</v>
      </c>
      <c r="X108" s="1239"/>
      <c r="Y108" s="1239"/>
      <c r="Z108" s="1239"/>
      <c r="AA108" s="1239"/>
      <c r="AB108" s="1239"/>
      <c r="AC108" s="638" t="s">
        <v>1421</v>
      </c>
      <c r="AD108" s="1239"/>
      <c r="AE108" s="1239"/>
      <c r="AF108" s="448">
        <v>5400</v>
      </c>
      <c r="AG108" s="171">
        <v>95562.8</v>
      </c>
      <c r="AH108" s="448">
        <v>1903</v>
      </c>
      <c r="AI108" s="448">
        <v>510</v>
      </c>
      <c r="AJ108" s="1239"/>
      <c r="AK108" s="1239"/>
      <c r="AL108" s="638" t="s">
        <v>2135</v>
      </c>
      <c r="AM108" s="1239" t="s">
        <v>1043</v>
      </c>
      <c r="AN108" s="484">
        <v>5.15</v>
      </c>
      <c r="AO108" s="638"/>
      <c r="AP108" s="638"/>
      <c r="AQ108" s="484"/>
      <c r="AR108" s="638"/>
      <c r="AS108" s="638"/>
      <c r="AT108" s="484">
        <f>+ab($T$108,-$T$106,$T$110,$G$107,$G$109,-1*$F$108,1200)</f>
        <v>17.06672541113576</v>
      </c>
      <c r="AU108" s="638"/>
      <c r="AV108" s="638"/>
      <c r="AW108" s="638" t="s">
        <v>2843</v>
      </c>
      <c r="AX108" s="638"/>
      <c r="AY108" s="484"/>
      <c r="AZ108" s="484"/>
      <c r="BA108" s="671" t="s">
        <v>2809</v>
      </c>
      <c r="BB108" s="1239" t="str">
        <f>Pole_Calculations!A178</f>
        <v>App.8-V08F-P10.3</v>
      </c>
      <c r="BC108" s="169"/>
      <c r="BD108" s="1329" t="s">
        <v>4946</v>
      </c>
      <c r="BE108" s="1329" t="s">
        <v>4946</v>
      </c>
      <c r="BF108" s="1329" t="s">
        <v>4946</v>
      </c>
      <c r="BG108" s="1329">
        <v>43786</v>
      </c>
    </row>
    <row r="109" spans="1:59" ht="15.75" customHeight="1">
      <c r="A109" s="1239"/>
      <c r="B109" s="1239"/>
      <c r="C109" s="171"/>
      <c r="D109" s="171"/>
      <c r="E109" s="1239"/>
      <c r="F109" s="1239"/>
      <c r="G109" s="455">
        <v>59.7</v>
      </c>
      <c r="H109" s="1239"/>
      <c r="I109" s="1239"/>
      <c r="J109" s="171">
        <f>C110-7.5</f>
        <v>95614.849999999991</v>
      </c>
      <c r="K109" s="1239" t="s">
        <v>1684</v>
      </c>
      <c r="L109" s="1239"/>
      <c r="M109" s="1239"/>
      <c r="N109" s="1239"/>
      <c r="O109" s="1239"/>
      <c r="P109" s="1239"/>
      <c r="Q109" s="448"/>
      <c r="R109" s="448"/>
      <c r="S109" s="455">
        <f>+AG110-AG108</f>
        <v>61.55000000000291</v>
      </c>
      <c r="T109" s="1239"/>
      <c r="U109" s="1239"/>
      <c r="V109" s="1239"/>
      <c r="W109" s="1239"/>
      <c r="X109" s="1239"/>
      <c r="Y109" s="1239"/>
      <c r="Z109" s="1239"/>
      <c r="AA109" s="1239"/>
      <c r="AB109" s="1239"/>
      <c r="AC109" s="1239"/>
      <c r="AD109" s="1239"/>
      <c r="AE109" s="1239"/>
      <c r="AF109" s="448"/>
      <c r="AG109" s="171"/>
      <c r="AH109" s="448"/>
      <c r="AI109" s="448"/>
      <c r="AJ109" s="1239"/>
      <c r="AK109" s="1239"/>
      <c r="AL109" s="638"/>
      <c r="AM109" s="1239"/>
      <c r="AN109" s="484"/>
      <c r="AO109" s="638"/>
      <c r="AP109" s="638"/>
      <c r="AQ109" s="484">
        <f>+FL_1($T$110,$T$108,$G$109,1200,9.28,-1*$F$110)</f>
        <v>0.64452869999999995</v>
      </c>
      <c r="AR109" s="638"/>
      <c r="AS109" s="638"/>
      <c r="AT109" s="484"/>
      <c r="AU109" s="638"/>
      <c r="AV109" s="638"/>
      <c r="AW109" s="638" t="s">
        <v>2846</v>
      </c>
      <c r="AX109" s="638"/>
      <c r="AY109" s="484"/>
      <c r="AZ109" s="484"/>
      <c r="BA109" s="671" t="s">
        <v>2809</v>
      </c>
      <c r="BB109" s="1239"/>
      <c r="BC109" s="169"/>
      <c r="BD109" s="1329" t="s">
        <v>4946</v>
      </c>
      <c r="BE109" s="1330"/>
      <c r="BF109" s="1330"/>
      <c r="BG109" s="1330"/>
    </row>
    <row r="110" spans="1:59" ht="15.75" customHeight="1">
      <c r="A110" s="1239"/>
      <c r="B110" s="1239" t="s">
        <v>2090</v>
      </c>
      <c r="C110" s="171">
        <f>+$C$108+$G$109</f>
        <v>95622.349999999991</v>
      </c>
      <c r="D110" s="171"/>
      <c r="E110" s="1239"/>
      <c r="F110" s="1239">
        <v>0</v>
      </c>
      <c r="G110" s="455"/>
      <c r="H110" s="1239" t="s">
        <v>2682</v>
      </c>
      <c r="I110" s="1239" t="s">
        <v>4231</v>
      </c>
      <c r="J110" s="171"/>
      <c r="K110" s="1239"/>
      <c r="L110" s="1239" t="s">
        <v>821</v>
      </c>
      <c r="M110" s="638" t="s">
        <v>2811</v>
      </c>
      <c r="N110" s="1239" t="s">
        <v>2794</v>
      </c>
      <c r="O110" s="1239"/>
      <c r="P110" s="1239"/>
      <c r="Q110" s="448">
        <v>0</v>
      </c>
      <c r="R110" s="448">
        <v>0</v>
      </c>
      <c r="S110" s="455"/>
      <c r="T110" s="1239">
        <v>30</v>
      </c>
      <c r="U110" s="1239"/>
      <c r="V110" s="1239"/>
      <c r="W110" s="1239">
        <v>1.4</v>
      </c>
      <c r="X110" s="1239"/>
      <c r="Y110" s="1239"/>
      <c r="Z110" s="1239"/>
      <c r="AA110" s="1239"/>
      <c r="AB110" s="1239"/>
      <c r="AC110" s="638" t="s">
        <v>1421</v>
      </c>
      <c r="AD110" s="1239"/>
      <c r="AE110" s="1239"/>
      <c r="AF110" s="448">
        <v>5500</v>
      </c>
      <c r="AG110" s="171">
        <v>95624.35</v>
      </c>
      <c r="AH110" s="448">
        <v>2363</v>
      </c>
      <c r="AI110" s="448">
        <v>-5200</v>
      </c>
      <c r="AJ110" s="1239"/>
      <c r="AK110" s="1239"/>
      <c r="AL110" s="638" t="s">
        <v>2135</v>
      </c>
      <c r="AM110" s="1239" t="s">
        <v>1043</v>
      </c>
      <c r="AN110" s="484">
        <v>5.24</v>
      </c>
      <c r="AO110" s="638"/>
      <c r="AP110" s="638"/>
      <c r="AQ110" s="484"/>
      <c r="AR110" s="638"/>
      <c r="AS110" s="638"/>
      <c r="AT110" s="484">
        <f>+ab($T$110,$T$108,$U$112,$G$109,$G$111,-1*$F$110,1200)</f>
        <v>89.998859752339897</v>
      </c>
      <c r="AU110" s="638"/>
      <c r="AV110" s="638"/>
      <c r="AW110" s="638" t="s">
        <v>2843</v>
      </c>
      <c r="AX110" s="638"/>
      <c r="AY110" s="484"/>
      <c r="AZ110" s="484"/>
      <c r="BA110" s="671" t="s">
        <v>2809</v>
      </c>
      <c r="BB110" s="1239" t="str">
        <f>Pole_Calculations!A178</f>
        <v>App.8-V08F-P10.3</v>
      </c>
      <c r="BC110" s="169"/>
      <c r="BD110" s="1329" t="s">
        <v>4946</v>
      </c>
      <c r="BE110" s="1329" t="s">
        <v>4946</v>
      </c>
      <c r="BF110" s="1329" t="s">
        <v>4946</v>
      </c>
      <c r="BG110" s="1329">
        <v>43786</v>
      </c>
    </row>
    <row r="111" spans="1:59" ht="15.75" customHeight="1">
      <c r="A111" s="449"/>
      <c r="B111" s="1239"/>
      <c r="C111" s="171"/>
      <c r="D111" s="171"/>
      <c r="E111" s="1239"/>
      <c r="F111" s="1239"/>
      <c r="G111" s="455">
        <v>49</v>
      </c>
      <c r="H111" s="1239"/>
      <c r="I111" s="1239"/>
      <c r="J111" s="171"/>
      <c r="K111" s="1239"/>
      <c r="L111" s="1239"/>
      <c r="M111" s="1239"/>
      <c r="N111" s="1239"/>
      <c r="O111" s="1239"/>
      <c r="P111" s="1239"/>
      <c r="Q111" s="448"/>
      <c r="R111" s="448"/>
      <c r="S111" s="455">
        <f>+AG112-AG110</f>
        <v>47.19999999999709</v>
      </c>
      <c r="T111" s="1239"/>
      <c r="U111" s="1239"/>
      <c r="V111" s="1239"/>
      <c r="W111" s="1239"/>
      <c r="X111" s="1239"/>
      <c r="Y111" s="1239"/>
      <c r="Z111" s="1239"/>
      <c r="AA111" s="1239"/>
      <c r="AB111" s="1239"/>
      <c r="AC111" s="1239"/>
      <c r="AD111" s="1239"/>
      <c r="AE111" s="1239"/>
      <c r="AF111" s="448"/>
      <c r="AG111" s="171"/>
      <c r="AH111" s="448"/>
      <c r="AI111" s="448"/>
      <c r="AJ111" s="1239"/>
      <c r="AK111" s="1239"/>
      <c r="AL111" s="638"/>
      <c r="AM111" s="1239"/>
      <c r="AN111" s="484"/>
      <c r="AO111" s="638"/>
      <c r="AP111" s="638"/>
      <c r="AQ111" s="484">
        <f>+FL_2($U$112,$T$110,$G$111,1200,9.28,-1*$F$112)</f>
        <v>-0.30077085804487103</v>
      </c>
      <c r="AR111" s="638"/>
      <c r="AS111" s="638"/>
      <c r="AT111" s="484"/>
      <c r="AU111" s="638"/>
      <c r="AV111" s="638"/>
      <c r="AW111" s="638"/>
      <c r="AX111" s="638"/>
      <c r="AY111" s="484"/>
      <c r="AZ111" s="484"/>
      <c r="BA111" s="671"/>
      <c r="BB111" s="449"/>
      <c r="BC111" s="169"/>
      <c r="BD111" s="1330"/>
      <c r="BE111" s="1330"/>
      <c r="BF111" s="1330"/>
      <c r="BG111" s="1330"/>
    </row>
    <row r="112" spans="1:59" ht="15.75" customHeight="1">
      <c r="A112" s="1239"/>
      <c r="B112" s="1239" t="s">
        <v>2091</v>
      </c>
      <c r="C112" s="171">
        <f>+$C$110+$G$111</f>
        <v>95671.349999999991</v>
      </c>
      <c r="D112" s="171"/>
      <c r="E112" s="1239"/>
      <c r="F112" s="448">
        <v>-814.25</v>
      </c>
      <c r="G112" s="455"/>
      <c r="H112" s="1239" t="s">
        <v>619</v>
      </c>
      <c r="I112" s="1239"/>
      <c r="J112" s="171"/>
      <c r="K112" s="1239"/>
      <c r="L112" s="1239" t="s">
        <v>821</v>
      </c>
      <c r="M112" s="638" t="s">
        <v>2811</v>
      </c>
      <c r="N112" s="1239" t="s">
        <v>140</v>
      </c>
      <c r="O112" s="1239" t="s">
        <v>144</v>
      </c>
      <c r="P112" s="1239"/>
      <c r="Q112" s="448">
        <v>10</v>
      </c>
      <c r="R112" s="448">
        <v>-1154.72</v>
      </c>
      <c r="S112" s="455"/>
      <c r="T112" s="638">
        <v>75</v>
      </c>
      <c r="U112" s="638">
        <v>30</v>
      </c>
      <c r="V112" s="638"/>
      <c r="W112" s="638">
        <v>1.4</v>
      </c>
      <c r="X112" s="638">
        <v>2.2999999999999998</v>
      </c>
      <c r="Y112" s="638"/>
      <c r="Z112" s="638">
        <v>0.55000000000000004</v>
      </c>
      <c r="AA112" s="638"/>
      <c r="AB112" s="1239"/>
      <c r="AC112" s="638" t="s">
        <v>3050</v>
      </c>
      <c r="AD112" s="1239"/>
      <c r="AE112" s="1239"/>
      <c r="AF112" s="448">
        <v>5700</v>
      </c>
      <c r="AG112" s="171">
        <v>95671.55</v>
      </c>
      <c r="AH112" s="448">
        <v>1853</v>
      </c>
      <c r="AI112" s="448">
        <v>550</v>
      </c>
      <c r="AJ112" s="1239"/>
      <c r="AK112" s="1239"/>
      <c r="AL112" s="638" t="s">
        <v>2135</v>
      </c>
      <c r="AM112" s="1239" t="s">
        <v>1043</v>
      </c>
      <c r="AN112" s="484">
        <v>5.34</v>
      </c>
      <c r="AO112" s="638"/>
      <c r="AP112" s="638"/>
      <c r="AQ112" s="484"/>
      <c r="AR112" s="638"/>
      <c r="AS112" s="638"/>
      <c r="AT112" s="484">
        <f>+ab($U$112,$T$110,$T$114,$G$111,$G$113,-1*$F$112,1200)</f>
        <v>2.997532184737699</v>
      </c>
      <c r="AU112" s="638"/>
      <c r="AV112" s="638"/>
      <c r="AW112" s="638" t="s">
        <v>2843</v>
      </c>
      <c r="AX112" s="638"/>
      <c r="AY112" s="484"/>
      <c r="AZ112" s="484"/>
      <c r="BA112" s="671" t="s">
        <v>2809</v>
      </c>
      <c r="BB112" s="1239" t="str">
        <f>Pole_Calculations!A178</f>
        <v>App.8-V08F-P10.3</v>
      </c>
      <c r="BC112" s="169"/>
      <c r="BD112" s="1329" t="s">
        <v>4946</v>
      </c>
      <c r="BE112" s="1329" t="s">
        <v>4946</v>
      </c>
      <c r="BF112" s="1329" t="s">
        <v>4946</v>
      </c>
      <c r="BG112" s="1329">
        <v>43786</v>
      </c>
    </row>
    <row r="113" spans="1:59" ht="15.75" customHeight="1">
      <c r="A113" s="449"/>
      <c r="B113" s="1239"/>
      <c r="C113" s="171"/>
      <c r="D113" s="171"/>
      <c r="E113" s="1239"/>
      <c r="F113" s="1239"/>
      <c r="G113" s="455">
        <v>50.3</v>
      </c>
      <c r="H113" s="1239"/>
      <c r="I113" s="1239"/>
      <c r="J113" s="171"/>
      <c r="K113" s="1239"/>
      <c r="L113" s="1239"/>
      <c r="M113" s="1239"/>
      <c r="N113" s="1239"/>
      <c r="O113" s="1239"/>
      <c r="P113" s="1239"/>
      <c r="Q113" s="448"/>
      <c r="R113" s="448"/>
      <c r="S113" s="455">
        <f>+AG114-AG112</f>
        <v>50.229999999995925</v>
      </c>
      <c r="T113" s="638"/>
      <c r="U113" s="638"/>
      <c r="V113" s="638"/>
      <c r="W113" s="638"/>
      <c r="X113" s="638"/>
      <c r="Y113" s="638"/>
      <c r="Z113" s="638"/>
      <c r="AA113" s="638"/>
      <c r="AB113" s="1239"/>
      <c r="AC113" s="1239"/>
      <c r="AD113" s="1239"/>
      <c r="AE113" s="1239"/>
      <c r="AF113" s="448"/>
      <c r="AG113" s="171"/>
      <c r="AH113" s="448"/>
      <c r="AI113" s="448"/>
      <c r="AJ113" s="1239"/>
      <c r="AK113" s="1239"/>
      <c r="AL113" s="638"/>
      <c r="AM113" s="1239"/>
      <c r="AN113" s="484"/>
      <c r="AO113" s="638"/>
      <c r="AP113" s="638"/>
      <c r="AQ113" s="484">
        <f>+FL_2($T$114,$U$112,$G$113,1200,9.28,-1*$F$114)</f>
        <v>-0.46907707029177981</v>
      </c>
      <c r="AR113" s="638"/>
      <c r="AS113" s="638"/>
      <c r="AT113" s="484"/>
      <c r="AU113" s="638"/>
      <c r="AV113" s="638"/>
      <c r="AW113" s="638"/>
      <c r="AX113" s="638"/>
      <c r="AY113" s="484"/>
      <c r="AZ113" s="484"/>
      <c r="BA113" s="671"/>
      <c r="BB113" s="449"/>
      <c r="BC113" s="169"/>
      <c r="BD113" s="1330"/>
      <c r="BE113" s="1330"/>
      <c r="BF113" s="1330"/>
      <c r="BG113" s="1330"/>
    </row>
    <row r="114" spans="1:59" ht="15.75" customHeight="1">
      <c r="A114" s="1239" t="s">
        <v>2958</v>
      </c>
      <c r="B114" s="1239" t="s">
        <v>2092</v>
      </c>
      <c r="C114" s="171">
        <f>+$C$112+$G$113</f>
        <v>95721.65</v>
      </c>
      <c r="D114" s="171"/>
      <c r="E114" s="1239"/>
      <c r="F114" s="1239">
        <v>-707</v>
      </c>
      <c r="G114" s="455"/>
      <c r="H114" s="1239" t="s">
        <v>619</v>
      </c>
      <c r="I114" s="1239" t="s">
        <v>1429</v>
      </c>
      <c r="J114" s="171"/>
      <c r="K114" s="1239"/>
      <c r="L114" s="1239" t="s">
        <v>821</v>
      </c>
      <c r="M114" s="638" t="s">
        <v>2811</v>
      </c>
      <c r="N114" s="1239" t="s">
        <v>144</v>
      </c>
      <c r="O114" s="1239" t="s">
        <v>140</v>
      </c>
      <c r="P114" s="1239"/>
      <c r="Q114" s="448">
        <v>40</v>
      </c>
      <c r="R114" s="448">
        <v>-750</v>
      </c>
      <c r="S114" s="455"/>
      <c r="T114" s="638">
        <v>15</v>
      </c>
      <c r="U114" s="638">
        <v>-30</v>
      </c>
      <c r="V114" s="638"/>
      <c r="W114" s="638">
        <v>1.4</v>
      </c>
      <c r="X114" s="638">
        <v>2.2999999999999998</v>
      </c>
      <c r="Y114" s="638"/>
      <c r="Z114" s="638"/>
      <c r="AA114" s="638">
        <v>0.35</v>
      </c>
      <c r="AB114" s="1239"/>
      <c r="AC114" s="638" t="s">
        <v>4090</v>
      </c>
      <c r="AD114" s="1239"/>
      <c r="AE114" s="1239"/>
      <c r="AF114" s="448">
        <v>5800</v>
      </c>
      <c r="AG114" s="171">
        <v>95721.78</v>
      </c>
      <c r="AH114" s="448">
        <v>1933</v>
      </c>
      <c r="AI114" s="448">
        <v>570</v>
      </c>
      <c r="AJ114" s="1239" t="s">
        <v>2154</v>
      </c>
      <c r="AK114" s="1239"/>
      <c r="AL114" s="638" t="s">
        <v>2142</v>
      </c>
      <c r="AM114" s="1239" t="s">
        <v>1043</v>
      </c>
      <c r="AN114" s="484">
        <v>5.44</v>
      </c>
      <c r="AO114" s="638"/>
      <c r="AP114" s="638"/>
      <c r="AQ114" s="484"/>
      <c r="AR114" s="638"/>
      <c r="AS114" s="638"/>
      <c r="AT114" s="484">
        <f>+ab($T$114,$U$112,$T$116,$G$113,$G$115,-1*$F$114,1200)</f>
        <v>3.2511434072048355</v>
      </c>
      <c r="AU114" s="638"/>
      <c r="AV114" s="638"/>
      <c r="AW114" s="638" t="s">
        <v>2843</v>
      </c>
      <c r="AX114" s="638"/>
      <c r="AY114" s="484"/>
      <c r="AZ114" s="484"/>
      <c r="BA114" s="671" t="s">
        <v>2809</v>
      </c>
      <c r="BB114" s="1239" t="str">
        <f>Pole_Calculations!A178</f>
        <v>App.8-V08F-P10.3</v>
      </c>
      <c r="BC114" s="169"/>
      <c r="BD114" s="1329" t="s">
        <v>4946</v>
      </c>
      <c r="BE114" s="1329" t="s">
        <v>4946</v>
      </c>
      <c r="BF114" s="1329" t="s">
        <v>4946</v>
      </c>
      <c r="BG114" s="1329">
        <v>43786</v>
      </c>
    </row>
    <row r="115" spans="1:59" ht="15.75" customHeight="1">
      <c r="A115" s="1239"/>
      <c r="B115" s="1239"/>
      <c r="C115" s="171"/>
      <c r="D115" s="171"/>
      <c r="E115" s="1239"/>
      <c r="F115" s="1239"/>
      <c r="G115" s="455">
        <v>42.3</v>
      </c>
      <c r="H115" s="1239"/>
      <c r="I115" s="1239"/>
      <c r="J115" s="171"/>
      <c r="K115" s="1239"/>
      <c r="L115" s="1239"/>
      <c r="M115" s="1239"/>
      <c r="N115" s="1239"/>
      <c r="O115" s="1239"/>
      <c r="P115" s="1239"/>
      <c r="Q115" s="448"/>
      <c r="R115" s="448"/>
      <c r="S115" s="455">
        <f>+AG116-AG114</f>
        <v>42.44999999999709</v>
      </c>
      <c r="T115" s="1239"/>
      <c r="U115" s="1239"/>
      <c r="V115" s="1239"/>
      <c r="W115" s="1239"/>
      <c r="X115" s="1239"/>
      <c r="Y115" s="1239"/>
      <c r="Z115" s="1239"/>
      <c r="AA115" s="1239"/>
      <c r="AB115" s="1239"/>
      <c r="AC115" s="1239"/>
      <c r="AD115" s="1239"/>
      <c r="AE115" s="1239"/>
      <c r="AF115" s="448"/>
      <c r="AG115" s="171"/>
      <c r="AH115" s="448"/>
      <c r="AI115" s="448"/>
      <c r="AJ115" s="1239"/>
      <c r="AK115" s="1239"/>
      <c r="AL115" s="638"/>
      <c r="AM115" s="1239"/>
      <c r="AN115" s="484"/>
      <c r="AO115" s="638"/>
      <c r="AP115" s="638"/>
      <c r="AQ115" s="484">
        <f>+FL_1($T$116,$T$114,$G$115,1200,9.28,-1*$F$116)</f>
        <v>0.3</v>
      </c>
      <c r="AR115" s="638"/>
      <c r="AS115" s="638"/>
      <c r="AT115" s="484"/>
      <c r="AU115" s="638"/>
      <c r="AV115" s="638"/>
      <c r="AW115" s="638"/>
      <c r="AX115" s="638"/>
      <c r="AY115" s="484"/>
      <c r="AZ115" s="484"/>
      <c r="BA115" s="671"/>
      <c r="BB115" s="1239"/>
      <c r="BC115" s="169"/>
      <c r="BD115" s="1330"/>
      <c r="BE115" s="1330"/>
      <c r="BF115" s="1330"/>
      <c r="BG115" s="1330"/>
    </row>
    <row r="116" spans="1:59" ht="15.75" customHeight="1">
      <c r="A116" s="1239"/>
      <c r="B116" s="1239" t="s">
        <v>2093</v>
      </c>
      <c r="C116" s="171">
        <f>+$C$114+$G$115</f>
        <v>95763.95</v>
      </c>
      <c r="D116" s="171"/>
      <c r="E116" s="1239"/>
      <c r="F116" s="1239">
        <v>-707</v>
      </c>
      <c r="G116" s="455"/>
      <c r="H116" s="1239" t="s">
        <v>2682</v>
      </c>
      <c r="I116" s="1239" t="s">
        <v>4231</v>
      </c>
      <c r="J116" s="171"/>
      <c r="K116" s="1239"/>
      <c r="L116" s="1239" t="s">
        <v>821</v>
      </c>
      <c r="M116" s="638" t="s">
        <v>2811</v>
      </c>
      <c r="N116" s="1239" t="s">
        <v>144</v>
      </c>
      <c r="O116" s="1239"/>
      <c r="P116" s="1239"/>
      <c r="Q116" s="448">
        <v>40</v>
      </c>
      <c r="R116" s="448">
        <v>-750</v>
      </c>
      <c r="S116" s="455"/>
      <c r="T116" s="1239">
        <v>30</v>
      </c>
      <c r="U116" s="1239"/>
      <c r="V116" s="1239"/>
      <c r="W116" s="1239">
        <v>1.4</v>
      </c>
      <c r="X116" s="1239"/>
      <c r="Y116" s="1239"/>
      <c r="Z116" s="1239"/>
      <c r="AA116" s="1239"/>
      <c r="AB116" s="1239"/>
      <c r="AC116" s="638" t="s">
        <v>3050</v>
      </c>
      <c r="AD116" s="1239"/>
      <c r="AE116" s="1239"/>
      <c r="AF116" s="448">
        <v>5800</v>
      </c>
      <c r="AG116" s="171">
        <v>95764.23</v>
      </c>
      <c r="AH116" s="448">
        <v>1943</v>
      </c>
      <c r="AI116" s="448">
        <v>530</v>
      </c>
      <c r="AJ116" s="1239"/>
      <c r="AK116" s="1239"/>
      <c r="AL116" s="638" t="s">
        <v>2142</v>
      </c>
      <c r="AM116" s="1239" t="s">
        <v>1043</v>
      </c>
      <c r="AN116" s="484">
        <v>5.5</v>
      </c>
      <c r="AO116" s="638"/>
      <c r="AP116" s="638"/>
      <c r="AQ116" s="484"/>
      <c r="AR116" s="638"/>
      <c r="AS116" s="638"/>
      <c r="AT116" s="484">
        <f>+ab($T$116,$T$114,$T$118,$G$115,$G$117,-1*$F$116,1200)</f>
        <v>3.0250129534193442</v>
      </c>
      <c r="AU116" s="638"/>
      <c r="AV116" s="638"/>
      <c r="AW116" s="638" t="s">
        <v>2843</v>
      </c>
      <c r="AX116" s="638"/>
      <c r="AY116" s="484"/>
      <c r="AZ116" s="484"/>
      <c r="BA116" s="671" t="s">
        <v>2809</v>
      </c>
      <c r="BB116" s="1239" t="str">
        <f>Pole_Calculations!A178</f>
        <v>App.8-V08F-P10.3</v>
      </c>
      <c r="BC116" s="169"/>
      <c r="BD116" s="1329" t="s">
        <v>4946</v>
      </c>
      <c r="BE116" s="1329" t="s">
        <v>4946</v>
      </c>
      <c r="BF116" s="1329" t="s">
        <v>4946</v>
      </c>
      <c r="BG116" s="1329">
        <v>43786</v>
      </c>
    </row>
    <row r="117" spans="1:59" ht="15.75" customHeight="1">
      <c r="A117" s="449"/>
      <c r="B117" s="1239"/>
      <c r="C117" s="171"/>
      <c r="D117" s="171"/>
      <c r="E117" s="1239"/>
      <c r="F117" s="1239"/>
      <c r="G117" s="455">
        <v>42.3</v>
      </c>
      <c r="H117" s="1239"/>
      <c r="I117" s="1239"/>
      <c r="J117" s="171">
        <f>C116+7.5</f>
        <v>95771.45</v>
      </c>
      <c r="K117" s="1239" t="s">
        <v>1684</v>
      </c>
      <c r="L117" s="1239"/>
      <c r="M117" s="1239"/>
      <c r="N117" s="1239"/>
      <c r="O117" s="1239"/>
      <c r="P117" s="1239"/>
      <c r="Q117" s="448"/>
      <c r="R117" s="448"/>
      <c r="S117" s="455">
        <f>+AG118-AG116</f>
        <v>41.770000000004075</v>
      </c>
      <c r="T117" s="1239"/>
      <c r="U117" s="1239"/>
      <c r="V117" s="1239"/>
      <c r="W117" s="1239"/>
      <c r="X117" s="1239"/>
      <c r="Y117" s="1239"/>
      <c r="Z117" s="1239"/>
      <c r="AA117" s="1239"/>
      <c r="AB117" s="1239"/>
      <c r="AC117" s="1239"/>
      <c r="AD117" s="1239"/>
      <c r="AE117" s="1239"/>
      <c r="AF117" s="448"/>
      <c r="AG117" s="171"/>
      <c r="AH117" s="448"/>
      <c r="AI117" s="448"/>
      <c r="AJ117" s="1239"/>
      <c r="AK117" s="1239"/>
      <c r="AL117" s="638"/>
      <c r="AM117" s="1239"/>
      <c r="AN117" s="484"/>
      <c r="AO117" s="638"/>
      <c r="AP117" s="638"/>
      <c r="AQ117" s="484">
        <f>+FL_1($T$118,$T$116,$G$117,1200,9.28,-1*$F$118)</f>
        <v>0.3</v>
      </c>
      <c r="AR117" s="638"/>
      <c r="AS117" s="638"/>
      <c r="AT117" s="484"/>
      <c r="AU117" s="638"/>
      <c r="AV117" s="638"/>
      <c r="AW117" s="638" t="s">
        <v>2846</v>
      </c>
      <c r="AX117" s="638"/>
      <c r="AY117" s="484"/>
      <c r="AZ117" s="484"/>
      <c r="BA117" s="671" t="s">
        <v>2809</v>
      </c>
      <c r="BB117" s="449"/>
      <c r="BC117" s="169"/>
      <c r="BD117" s="1329" t="s">
        <v>4946</v>
      </c>
      <c r="BE117" s="1330"/>
      <c r="BF117" s="1330"/>
      <c r="BG117" s="1330"/>
    </row>
    <row r="118" spans="1:59" ht="15.75" customHeight="1">
      <c r="A118" s="1239"/>
      <c r="B118" s="1239" t="s">
        <v>2094</v>
      </c>
      <c r="C118" s="171">
        <f>+$C$116+$G$117</f>
        <v>95806.25</v>
      </c>
      <c r="D118" s="171"/>
      <c r="E118" s="1239"/>
      <c r="F118" s="1239">
        <v>-707</v>
      </c>
      <c r="G118" s="455"/>
      <c r="H118" s="1239" t="s">
        <v>138</v>
      </c>
      <c r="I118" s="1239" t="s">
        <v>4231</v>
      </c>
      <c r="J118" s="171"/>
      <c r="K118" s="1239"/>
      <c r="L118" s="1239" t="s">
        <v>821</v>
      </c>
      <c r="M118" s="638" t="s">
        <v>2811</v>
      </c>
      <c r="N118" s="1239" t="s">
        <v>144</v>
      </c>
      <c r="O118" s="1239"/>
      <c r="P118" s="1239"/>
      <c r="Q118" s="448">
        <v>50</v>
      </c>
      <c r="R118" s="448">
        <v>-750</v>
      </c>
      <c r="S118" s="455"/>
      <c r="T118" s="1239">
        <v>30</v>
      </c>
      <c r="U118" s="1239"/>
      <c r="V118" s="1239"/>
      <c r="W118" s="1239">
        <v>1.4</v>
      </c>
      <c r="X118" s="1239"/>
      <c r="Y118" s="1239"/>
      <c r="Z118" s="1239"/>
      <c r="AA118" s="1239"/>
      <c r="AB118" s="1239"/>
      <c r="AC118" s="638" t="s">
        <v>3050</v>
      </c>
      <c r="AD118" s="1239"/>
      <c r="AE118" s="1239"/>
      <c r="AF118" s="448">
        <v>5900</v>
      </c>
      <c r="AG118" s="171">
        <v>95806</v>
      </c>
      <c r="AH118" s="448">
        <v>2013</v>
      </c>
      <c r="AI118" s="448">
        <v>460</v>
      </c>
      <c r="AJ118" s="1239"/>
      <c r="AK118" s="1239"/>
      <c r="AL118" s="638" t="s">
        <v>2142</v>
      </c>
      <c r="AM118" s="1239" t="s">
        <v>1043</v>
      </c>
      <c r="AN118" s="484">
        <v>5.5</v>
      </c>
      <c r="AO118" s="638"/>
      <c r="AP118" s="638"/>
      <c r="AQ118" s="484"/>
      <c r="AR118" s="638"/>
      <c r="AS118" s="638"/>
      <c r="AT118" s="484">
        <f>+ab($T$118,$T$116,$T$120,$G$117,$G$119,-1*$F$118,1200)</f>
        <v>3.207724035320723</v>
      </c>
      <c r="AU118" s="638"/>
      <c r="AV118" s="638"/>
      <c r="AW118" s="638" t="s">
        <v>2843</v>
      </c>
      <c r="AX118" s="638"/>
      <c r="AY118" s="484"/>
      <c r="AZ118" s="484"/>
      <c r="BA118" s="671" t="s">
        <v>2809</v>
      </c>
      <c r="BB118" s="1239" t="str">
        <f>Pole_Calculations!A178</f>
        <v>App.8-V08F-P10.3</v>
      </c>
      <c r="BC118" s="169"/>
      <c r="BD118" s="1329" t="s">
        <v>4946</v>
      </c>
      <c r="BE118" s="1329" t="s">
        <v>4946</v>
      </c>
      <c r="BF118" s="1329" t="s">
        <v>4946</v>
      </c>
      <c r="BG118" s="1329">
        <v>43786</v>
      </c>
    </row>
    <row r="119" spans="1:59" ht="15.75" customHeight="1">
      <c r="A119" s="1239"/>
      <c r="B119" s="1239"/>
      <c r="C119" s="171"/>
      <c r="D119" s="171"/>
      <c r="E119" s="1239"/>
      <c r="F119" s="1239"/>
      <c r="G119" s="455">
        <v>42.2</v>
      </c>
      <c r="H119" s="1239"/>
      <c r="I119" s="1239"/>
      <c r="J119" s="171">
        <f>C118+7.5</f>
        <v>95813.75</v>
      </c>
      <c r="K119" s="1239" t="s">
        <v>1684</v>
      </c>
      <c r="L119" s="1239"/>
      <c r="M119" s="1239"/>
      <c r="N119" s="1239"/>
      <c r="O119" s="1239"/>
      <c r="P119" s="1239"/>
      <c r="Q119" s="448"/>
      <c r="R119" s="448"/>
      <c r="S119" s="455">
        <f>+AG120-AG118</f>
        <v>42</v>
      </c>
      <c r="T119" s="1239"/>
      <c r="U119" s="1239"/>
      <c r="V119" s="1239"/>
      <c r="W119" s="1239"/>
      <c r="X119" s="1239"/>
      <c r="Y119" s="1239"/>
      <c r="Z119" s="1239"/>
      <c r="AA119" s="1239"/>
      <c r="AB119" s="1239"/>
      <c r="AC119" s="1239"/>
      <c r="AD119" s="1239"/>
      <c r="AE119" s="1239"/>
      <c r="AF119" s="448"/>
      <c r="AG119" s="171"/>
      <c r="AH119" s="448"/>
      <c r="AI119" s="448"/>
      <c r="AJ119" s="1239"/>
      <c r="AK119" s="1239"/>
      <c r="AL119" s="638"/>
      <c r="AM119" s="1239"/>
      <c r="AN119" s="484"/>
      <c r="AO119" s="638"/>
      <c r="AP119" s="638"/>
      <c r="AQ119" s="484">
        <f>+FL_1($T$120,$T$118,$G$119,1200,9.28,-1*$F$120)</f>
        <v>0.30000000000000004</v>
      </c>
      <c r="AR119" s="638"/>
      <c r="AS119" s="638"/>
      <c r="AT119" s="484"/>
      <c r="AU119" s="638"/>
      <c r="AV119" s="638"/>
      <c r="AW119" s="638" t="s">
        <v>2846</v>
      </c>
      <c r="AX119" s="638"/>
      <c r="AY119" s="484"/>
      <c r="AZ119" s="484"/>
      <c r="BA119" s="671" t="s">
        <v>2809</v>
      </c>
      <c r="BB119" s="1239"/>
      <c r="BC119" s="169"/>
      <c r="BD119" s="1329" t="s">
        <v>4946</v>
      </c>
      <c r="BE119" s="1330"/>
      <c r="BF119" s="1330"/>
      <c r="BG119" s="1330"/>
    </row>
    <row r="120" spans="1:59" ht="15.75" customHeight="1">
      <c r="A120" s="1239"/>
      <c r="B120" s="1239" t="s">
        <v>2095</v>
      </c>
      <c r="C120" s="171">
        <f>+$C$118+$G$119</f>
        <v>95848.45</v>
      </c>
      <c r="D120" s="171"/>
      <c r="E120" s="1239"/>
      <c r="F120" s="1239">
        <v>-707</v>
      </c>
      <c r="G120" s="455"/>
      <c r="H120" s="1239"/>
      <c r="I120" s="1239"/>
      <c r="J120" s="171"/>
      <c r="K120" s="1239"/>
      <c r="L120" s="1239" t="s">
        <v>819</v>
      </c>
      <c r="M120" s="638" t="s">
        <v>2811</v>
      </c>
      <c r="N120" s="1239" t="s">
        <v>144</v>
      </c>
      <c r="O120" s="1239"/>
      <c r="P120" s="1239"/>
      <c r="Q120" s="448">
        <v>50</v>
      </c>
      <c r="R120" s="448">
        <v>-750</v>
      </c>
      <c r="S120" s="455"/>
      <c r="T120" s="1239">
        <v>30</v>
      </c>
      <c r="U120" s="1239"/>
      <c r="V120" s="1239"/>
      <c r="W120" s="1239">
        <v>1.4</v>
      </c>
      <c r="X120" s="1239"/>
      <c r="Y120" s="1239"/>
      <c r="Z120" s="1239"/>
      <c r="AA120" s="1239"/>
      <c r="AB120" s="1239"/>
      <c r="AC120" s="638" t="s">
        <v>3050</v>
      </c>
      <c r="AD120" s="1239"/>
      <c r="AE120" s="1239"/>
      <c r="AF120" s="448">
        <v>6000</v>
      </c>
      <c r="AG120" s="171">
        <v>95848</v>
      </c>
      <c r="AH120" s="448">
        <v>1923</v>
      </c>
      <c r="AI120" s="448">
        <v>490</v>
      </c>
      <c r="AJ120" s="1239"/>
      <c r="AK120" s="1239"/>
      <c r="AL120" s="638" t="s">
        <v>2127</v>
      </c>
      <c r="AM120" s="1239" t="s">
        <v>1043</v>
      </c>
      <c r="AN120" s="484">
        <v>5.5</v>
      </c>
      <c r="AO120" s="638"/>
      <c r="AP120" s="638"/>
      <c r="AQ120" s="484"/>
      <c r="AR120" s="638"/>
      <c r="AS120" s="638"/>
      <c r="AT120" s="484">
        <f>+ab($T$120,$T$118,$T$122,$G$119,$G$121,-1*$F$120,1200)</f>
        <v>3.207724035320723</v>
      </c>
      <c r="AU120" s="638"/>
      <c r="AV120" s="638"/>
      <c r="AW120" s="638" t="s">
        <v>2843</v>
      </c>
      <c r="AX120" s="638"/>
      <c r="AY120" s="484"/>
      <c r="AZ120" s="484"/>
      <c r="BA120" s="671" t="s">
        <v>2809</v>
      </c>
      <c r="BB120" s="1239" t="str">
        <f>Pole_Calculations!A178</f>
        <v>App.8-V08F-P10.3</v>
      </c>
      <c r="BC120" s="169"/>
      <c r="BD120" s="1329" t="s">
        <v>4946</v>
      </c>
      <c r="BE120" s="1329" t="s">
        <v>4946</v>
      </c>
      <c r="BF120" s="1329" t="s">
        <v>4946</v>
      </c>
      <c r="BG120" s="1329">
        <v>43786</v>
      </c>
    </row>
    <row r="121" spans="1:59" ht="15.75" customHeight="1">
      <c r="A121" s="1239"/>
      <c r="B121" s="1239"/>
      <c r="C121" s="171"/>
      <c r="D121" s="171"/>
      <c r="E121" s="1239"/>
      <c r="F121" s="1239"/>
      <c r="G121" s="455">
        <v>42.3</v>
      </c>
      <c r="H121" s="1239"/>
      <c r="I121" s="1239"/>
      <c r="J121" s="171"/>
      <c r="K121" s="1239"/>
      <c r="L121" s="1239"/>
      <c r="M121" s="1239"/>
      <c r="N121" s="1239"/>
      <c r="O121" s="1239"/>
      <c r="P121" s="1239"/>
      <c r="Q121" s="448"/>
      <c r="R121" s="448"/>
      <c r="S121" s="455">
        <f>+AG122-AG120</f>
        <v>42</v>
      </c>
      <c r="T121" s="1239"/>
      <c r="U121" s="1239"/>
      <c r="V121" s="1239"/>
      <c r="W121" s="1239"/>
      <c r="X121" s="1239"/>
      <c r="Y121" s="1239"/>
      <c r="Z121" s="1239"/>
      <c r="AA121" s="1239"/>
      <c r="AB121" s="1239"/>
      <c r="AC121" s="1239"/>
      <c r="AD121" s="1239"/>
      <c r="AE121" s="1239"/>
      <c r="AF121" s="448"/>
      <c r="AG121" s="171"/>
      <c r="AH121" s="448"/>
      <c r="AI121" s="448"/>
      <c r="AJ121" s="1239"/>
      <c r="AK121" s="1239"/>
      <c r="AL121" s="1239"/>
      <c r="AM121" s="1239"/>
      <c r="AN121" s="484"/>
      <c r="AO121" s="638"/>
      <c r="AP121" s="638"/>
      <c r="AQ121" s="484">
        <f>+FL_1($T$122,$T$120,$G$121,1200,9.28,-1*$F$122)</f>
        <v>0.3</v>
      </c>
      <c r="AR121" s="638"/>
      <c r="AS121" s="638"/>
      <c r="AT121" s="484"/>
      <c r="AU121" s="638"/>
      <c r="AV121" s="638"/>
      <c r="AW121" s="638"/>
      <c r="AX121" s="638"/>
      <c r="AY121" s="484"/>
      <c r="AZ121" s="484"/>
      <c r="BA121" s="671"/>
      <c r="BB121" s="1239"/>
      <c r="BC121" s="169"/>
      <c r="BD121" s="1330"/>
      <c r="BE121" s="1330"/>
      <c r="BF121" s="1330"/>
      <c r="BG121" s="1330"/>
    </row>
    <row r="122" spans="1:59" ht="15.75" customHeight="1">
      <c r="A122" s="1239"/>
      <c r="B122" s="1239" t="s">
        <v>2096</v>
      </c>
      <c r="C122" s="171">
        <f>+$C$120+$G$121</f>
        <v>95890.75</v>
      </c>
      <c r="D122" s="171"/>
      <c r="E122" s="1239"/>
      <c r="F122" s="1239">
        <v>-707</v>
      </c>
      <c r="G122" s="455"/>
      <c r="H122" s="1239"/>
      <c r="I122" s="1239"/>
      <c r="J122" s="171"/>
      <c r="K122" s="1239"/>
      <c r="L122" s="1239" t="s">
        <v>819</v>
      </c>
      <c r="M122" s="638" t="s">
        <v>2811</v>
      </c>
      <c r="N122" s="1239" t="s">
        <v>144</v>
      </c>
      <c r="O122" s="1239"/>
      <c r="P122" s="1239"/>
      <c r="Q122" s="448">
        <v>50</v>
      </c>
      <c r="R122" s="448">
        <v>-750</v>
      </c>
      <c r="S122" s="455"/>
      <c r="T122" s="1239">
        <v>30</v>
      </c>
      <c r="U122" s="1239"/>
      <c r="V122" s="1239"/>
      <c r="W122" s="1239">
        <v>1.4</v>
      </c>
      <c r="X122" s="1239"/>
      <c r="Y122" s="1239"/>
      <c r="Z122" s="1239"/>
      <c r="AA122" s="1239"/>
      <c r="AB122" s="1239"/>
      <c r="AC122" s="638" t="s">
        <v>3050</v>
      </c>
      <c r="AD122" s="1239"/>
      <c r="AE122" s="1239"/>
      <c r="AF122" s="448">
        <v>5600</v>
      </c>
      <c r="AG122" s="171">
        <v>95890</v>
      </c>
      <c r="AH122" s="448">
        <v>1933</v>
      </c>
      <c r="AI122" s="448">
        <v>450</v>
      </c>
      <c r="AJ122" s="1239"/>
      <c r="AK122" s="1239"/>
      <c r="AL122" s="1239" t="s">
        <v>2127</v>
      </c>
      <c r="AM122" s="1239" t="s">
        <v>1043</v>
      </c>
      <c r="AN122" s="484">
        <v>5.5</v>
      </c>
      <c r="AO122" s="638"/>
      <c r="AP122" s="638"/>
      <c r="AQ122" s="484"/>
      <c r="AR122" s="638"/>
      <c r="AS122" s="638"/>
      <c r="AT122" s="484">
        <f>+ab($T$122,$T$120,$T$124,$G$121,$G$123,-1*$F$122,1200)</f>
        <v>3.2001654778704438</v>
      </c>
      <c r="AU122" s="638"/>
      <c r="AV122" s="638"/>
      <c r="AW122" s="638" t="s">
        <v>2843</v>
      </c>
      <c r="AX122" s="638"/>
      <c r="AY122" s="484"/>
      <c r="AZ122" s="484"/>
      <c r="BA122" s="671" t="s">
        <v>2809</v>
      </c>
      <c r="BB122" s="1239" t="str">
        <f>Pole_Calculations!A178</f>
        <v>App.8-V08F-P10.3</v>
      </c>
      <c r="BC122" s="169"/>
      <c r="BD122" s="1329" t="s">
        <v>4946</v>
      </c>
      <c r="BE122" s="1329" t="s">
        <v>4946</v>
      </c>
      <c r="BF122" s="1329" t="s">
        <v>4946</v>
      </c>
      <c r="BG122" s="1329">
        <v>43786</v>
      </c>
    </row>
    <row r="123" spans="1:59" ht="15.75" customHeight="1">
      <c r="A123" s="1239"/>
      <c r="B123" s="1239"/>
      <c r="C123" s="171"/>
      <c r="D123" s="171"/>
      <c r="E123" s="1239"/>
      <c r="F123" s="1239"/>
      <c r="G123" s="455">
        <v>42.4</v>
      </c>
      <c r="H123" s="1239"/>
      <c r="I123" s="1239"/>
      <c r="J123" s="171">
        <f>C124-7.5</f>
        <v>95925.65</v>
      </c>
      <c r="K123" s="1239" t="s">
        <v>1685</v>
      </c>
      <c r="L123" s="1239"/>
      <c r="M123" s="1239"/>
      <c r="N123" s="1239"/>
      <c r="O123" s="1239"/>
      <c r="P123" s="1239"/>
      <c r="Q123" s="448"/>
      <c r="R123" s="448"/>
      <c r="S123" s="455">
        <f>+AG124-AG122</f>
        <v>42</v>
      </c>
      <c r="T123" s="1239"/>
      <c r="U123" s="1239"/>
      <c r="V123" s="1239"/>
      <c r="W123" s="1239"/>
      <c r="X123" s="1239"/>
      <c r="Y123" s="1239"/>
      <c r="Z123" s="1239"/>
      <c r="AA123" s="1239"/>
      <c r="AB123" s="1239"/>
      <c r="AC123" s="1239"/>
      <c r="AD123" s="1239"/>
      <c r="AE123" s="1239"/>
      <c r="AF123" s="448"/>
      <c r="AG123" s="171"/>
      <c r="AH123" s="448"/>
      <c r="AI123" s="448"/>
      <c r="AJ123" s="1239"/>
      <c r="AK123" s="1239"/>
      <c r="AL123" s="1239"/>
      <c r="AM123" s="1239"/>
      <c r="AN123" s="484"/>
      <c r="AO123" s="638"/>
      <c r="AP123" s="638"/>
      <c r="AQ123" s="484">
        <f>+FL_1($T$124,$T$122,$G$123,1200,9.28,-1*$F$124)</f>
        <v>0.3</v>
      </c>
      <c r="AR123" s="638"/>
      <c r="AS123" s="638"/>
      <c r="AT123" s="484"/>
      <c r="AU123" s="638"/>
      <c r="AV123" s="638"/>
      <c r="AW123" s="638" t="s">
        <v>2846</v>
      </c>
      <c r="AX123" s="638"/>
      <c r="AY123" s="484"/>
      <c r="AZ123" s="484"/>
      <c r="BA123" s="671" t="s">
        <v>2809</v>
      </c>
      <c r="BB123" s="1239"/>
      <c r="BC123" s="169"/>
      <c r="BD123" s="1329" t="s">
        <v>4946</v>
      </c>
      <c r="BE123" s="1330"/>
      <c r="BF123" s="1330"/>
      <c r="BG123" s="1330"/>
    </row>
    <row r="124" spans="1:59" ht="15.75" customHeight="1">
      <c r="A124" s="1239"/>
      <c r="B124" s="1239" t="s">
        <v>2097</v>
      </c>
      <c r="C124" s="171">
        <f>+$C$122+$G$123</f>
        <v>95933.15</v>
      </c>
      <c r="D124" s="171"/>
      <c r="E124" s="1239"/>
      <c r="F124" s="1239">
        <v>-707</v>
      </c>
      <c r="G124" s="455"/>
      <c r="H124" s="1239" t="s">
        <v>873</v>
      </c>
      <c r="I124" s="1239"/>
      <c r="J124" s="171"/>
      <c r="K124" s="1239"/>
      <c r="L124" s="1239" t="s">
        <v>819</v>
      </c>
      <c r="M124" s="638" t="s">
        <v>1692</v>
      </c>
      <c r="N124" s="1239" t="s">
        <v>144</v>
      </c>
      <c r="O124" s="1239"/>
      <c r="P124" s="1239"/>
      <c r="Q124" s="448">
        <v>50</v>
      </c>
      <c r="R124" s="448">
        <v>-750</v>
      </c>
      <c r="S124" s="455"/>
      <c r="T124" s="1239">
        <v>30</v>
      </c>
      <c r="U124" s="1239"/>
      <c r="V124" s="1239"/>
      <c r="W124" s="1239">
        <v>1.4</v>
      </c>
      <c r="X124" s="1239"/>
      <c r="Y124" s="1239"/>
      <c r="Z124" s="1239"/>
      <c r="AA124" s="1239"/>
      <c r="AB124" s="1239"/>
      <c r="AC124" s="638" t="s">
        <v>3050</v>
      </c>
      <c r="AD124" s="1239"/>
      <c r="AE124" s="1239"/>
      <c r="AF124" s="448">
        <v>3300</v>
      </c>
      <c r="AG124" s="171">
        <v>95932</v>
      </c>
      <c r="AH124" s="448">
        <v>2523</v>
      </c>
      <c r="AI124" s="448">
        <v>-2100</v>
      </c>
      <c r="AJ124" s="1239"/>
      <c r="AK124" s="1239"/>
      <c r="AL124" s="1239" t="s">
        <v>2127</v>
      </c>
      <c r="AM124" s="1239" t="s">
        <v>1043</v>
      </c>
      <c r="AN124" s="484">
        <v>5.5</v>
      </c>
      <c r="AO124" s="638"/>
      <c r="AP124" s="638"/>
      <c r="AQ124" s="484"/>
      <c r="AR124" s="638"/>
      <c r="AS124" s="638"/>
      <c r="AT124" s="484">
        <f>+ab($T$124,$T$122,$T$126,$G$123,$G$125,-1*$F$124,1200)</f>
        <v>3.2039403033174687</v>
      </c>
      <c r="AU124" s="638"/>
      <c r="AV124" s="638"/>
      <c r="AW124" s="638" t="s">
        <v>2845</v>
      </c>
      <c r="AX124" s="638"/>
      <c r="AY124" s="484"/>
      <c r="AZ124" s="484"/>
      <c r="BA124" s="671" t="s">
        <v>2809</v>
      </c>
      <c r="BB124" s="1239" t="str">
        <f>Pole_Calculations!A178</f>
        <v>App.8-V08F-P10.3</v>
      </c>
      <c r="BC124" s="169"/>
      <c r="BD124" s="1329" t="s">
        <v>4918</v>
      </c>
      <c r="BE124" s="1329" t="s">
        <v>4946</v>
      </c>
      <c r="BF124" s="1329">
        <v>43809</v>
      </c>
      <c r="BG124" s="1329">
        <v>43786</v>
      </c>
    </row>
    <row r="125" spans="1:59" ht="15.75" customHeight="1">
      <c r="A125" s="1239"/>
      <c r="B125" s="1239"/>
      <c r="C125" s="171"/>
      <c r="D125" s="171"/>
      <c r="E125" s="1239"/>
      <c r="F125" s="1239"/>
      <c r="G125" s="455">
        <v>42.2</v>
      </c>
      <c r="H125" s="1239"/>
      <c r="I125" s="1239"/>
      <c r="J125" s="171"/>
      <c r="K125" s="1239"/>
      <c r="L125" s="1239"/>
      <c r="M125" s="638"/>
      <c r="N125" s="1239"/>
      <c r="O125" s="1239"/>
      <c r="P125" s="1239"/>
      <c r="Q125" s="448"/>
      <c r="R125" s="448"/>
      <c r="S125" s="455">
        <f>+AG126-AG124</f>
        <v>43</v>
      </c>
      <c r="T125" s="1239"/>
      <c r="U125" s="1239"/>
      <c r="V125" s="1239"/>
      <c r="W125" s="1239"/>
      <c r="X125" s="1239"/>
      <c r="Y125" s="1239"/>
      <c r="Z125" s="1239"/>
      <c r="AA125" s="1239"/>
      <c r="AB125" s="1239"/>
      <c r="AC125" s="1239"/>
      <c r="AD125" s="1239"/>
      <c r="AE125" s="1239"/>
      <c r="AF125" s="448"/>
      <c r="AG125" s="171"/>
      <c r="AH125" s="448"/>
      <c r="AI125" s="448"/>
      <c r="AJ125" s="1239"/>
      <c r="AK125" s="1239"/>
      <c r="AL125" s="1239"/>
      <c r="AM125" s="1239"/>
      <c r="AN125" s="484"/>
      <c r="AO125" s="638"/>
      <c r="AP125" s="638"/>
      <c r="AQ125" s="484">
        <f>+FL_1($T$126,$T$124,$G$125,1200,9.28,-1*$F$126)</f>
        <v>0.30000000000000004</v>
      </c>
      <c r="AR125" s="638"/>
      <c r="AS125" s="638"/>
      <c r="AT125" s="484"/>
      <c r="AU125" s="638"/>
      <c r="AV125" s="638"/>
      <c r="AW125" s="638"/>
      <c r="AX125" s="638"/>
      <c r="AY125" s="484"/>
      <c r="AZ125" s="484"/>
      <c r="BA125" s="671"/>
      <c r="BB125" s="1239"/>
      <c r="BC125" s="169"/>
      <c r="BD125" s="1330"/>
      <c r="BE125" s="1330"/>
      <c r="BF125" s="1330"/>
      <c r="BG125" s="1330"/>
    </row>
    <row r="126" spans="1:59" ht="15.75" customHeight="1">
      <c r="A126" s="1239"/>
      <c r="B126" s="1239" t="s">
        <v>2098</v>
      </c>
      <c r="C126" s="171">
        <f>+$C$124+$G$125</f>
        <v>95975.349999999991</v>
      </c>
      <c r="D126" s="171"/>
      <c r="E126" s="1239"/>
      <c r="F126" s="1239">
        <v>-707</v>
      </c>
      <c r="G126" s="455"/>
      <c r="H126" s="1239"/>
      <c r="I126" s="1239"/>
      <c r="J126" s="171"/>
      <c r="K126" s="1239"/>
      <c r="L126" s="1239" t="s">
        <v>819</v>
      </c>
      <c r="M126" s="638" t="s">
        <v>1692</v>
      </c>
      <c r="N126" s="1239" t="s">
        <v>144</v>
      </c>
      <c r="O126" s="1239"/>
      <c r="P126" s="1239"/>
      <c r="Q126" s="448">
        <v>60</v>
      </c>
      <c r="R126" s="448">
        <v>-750</v>
      </c>
      <c r="S126" s="455"/>
      <c r="T126" s="1239">
        <v>30</v>
      </c>
      <c r="U126" s="1239"/>
      <c r="V126" s="1239"/>
      <c r="W126" s="1239">
        <v>1.4</v>
      </c>
      <c r="X126" s="1239"/>
      <c r="Y126" s="1239"/>
      <c r="Z126" s="1239"/>
      <c r="AA126" s="1239"/>
      <c r="AB126" s="1239"/>
      <c r="AC126" s="638" t="s">
        <v>3050</v>
      </c>
      <c r="AD126" s="1239"/>
      <c r="AE126" s="1239"/>
      <c r="AF126" s="448">
        <v>3300</v>
      </c>
      <c r="AG126" s="171">
        <v>95975</v>
      </c>
      <c r="AH126" s="448">
        <v>2463</v>
      </c>
      <c r="AI126" s="448">
        <v>-2110</v>
      </c>
      <c r="AJ126" s="1239"/>
      <c r="AK126" s="1239"/>
      <c r="AL126" s="1239" t="s">
        <v>2127</v>
      </c>
      <c r="AM126" s="1239" t="s">
        <v>1043</v>
      </c>
      <c r="AN126" s="484">
        <v>5.5</v>
      </c>
      <c r="AO126" s="638"/>
      <c r="AP126" s="638"/>
      <c r="AQ126" s="484"/>
      <c r="AR126" s="638"/>
      <c r="AS126" s="638"/>
      <c r="AT126" s="484">
        <f>+ab($T$126,$T$124,$T$128,$G$125,$G$127,-1*$F$126,1200)</f>
        <v>3.2460582260552568</v>
      </c>
      <c r="AU126" s="638"/>
      <c r="AV126" s="638"/>
      <c r="AW126" s="638" t="s">
        <v>2845</v>
      </c>
      <c r="AX126" s="638"/>
      <c r="AY126" s="484"/>
      <c r="AZ126" s="484"/>
      <c r="BA126" s="671" t="s">
        <v>2809</v>
      </c>
      <c r="BB126" s="1239" t="str">
        <f>Pole_Calculations!A178</f>
        <v>App.8-V08F-P10.3</v>
      </c>
      <c r="BC126" s="169"/>
      <c r="BD126" s="1329" t="s">
        <v>4918</v>
      </c>
      <c r="BE126" s="1329" t="s">
        <v>4946</v>
      </c>
      <c r="BF126" s="1329">
        <v>43807</v>
      </c>
      <c r="BG126" s="1329">
        <v>43786</v>
      </c>
    </row>
    <row r="127" spans="1:59" ht="15.75" customHeight="1">
      <c r="A127" s="1239"/>
      <c r="B127" s="1239"/>
      <c r="C127" s="171"/>
      <c r="D127" s="171"/>
      <c r="E127" s="1239"/>
      <c r="F127" s="1239"/>
      <c r="G127" s="455">
        <v>41.3</v>
      </c>
      <c r="H127" s="1239"/>
      <c r="I127" s="1239"/>
      <c r="J127" s="171"/>
      <c r="K127" s="1239"/>
      <c r="L127" s="1239"/>
      <c r="M127" s="638"/>
      <c r="N127" s="1239"/>
      <c r="O127" s="1239"/>
      <c r="P127" s="1239"/>
      <c r="Q127" s="448"/>
      <c r="R127" s="448"/>
      <c r="S127" s="455">
        <f>+AG128-AG126</f>
        <v>39.889999999999418</v>
      </c>
      <c r="T127" s="1239"/>
      <c r="U127" s="1239"/>
      <c r="V127" s="1239"/>
      <c r="W127" s="1239"/>
      <c r="X127" s="1239"/>
      <c r="Y127" s="1239"/>
      <c r="Z127" s="1239"/>
      <c r="AA127" s="1239"/>
      <c r="AB127" s="1239"/>
      <c r="AC127" s="1239"/>
      <c r="AD127" s="1239"/>
      <c r="AE127" s="1239"/>
      <c r="AF127" s="448"/>
      <c r="AG127" s="171"/>
      <c r="AH127" s="448"/>
      <c r="AI127" s="448"/>
      <c r="AJ127" s="1239"/>
      <c r="AK127" s="1239"/>
      <c r="AL127" s="1239"/>
      <c r="AM127" s="1239"/>
      <c r="AN127" s="484"/>
      <c r="AO127" s="638"/>
      <c r="AP127" s="638"/>
      <c r="AQ127" s="484">
        <f>+FL_1($T$128,$T$126,$G$127,1200,9.28,-1*$F$128)</f>
        <v>0.3</v>
      </c>
      <c r="AR127" s="638"/>
      <c r="AS127" s="638"/>
      <c r="AT127" s="484"/>
      <c r="AU127" s="638"/>
      <c r="AV127" s="638"/>
      <c r="AW127" s="638"/>
      <c r="AX127" s="638"/>
      <c r="AY127" s="484"/>
      <c r="AZ127" s="484"/>
      <c r="BA127" s="671"/>
      <c r="BB127" s="1239"/>
      <c r="BC127" s="169"/>
      <c r="BD127" s="1330"/>
      <c r="BE127" s="1330"/>
      <c r="BF127" s="1330"/>
      <c r="BG127" s="1330"/>
    </row>
    <row r="128" spans="1:59" ht="12.5">
      <c r="A128" s="1239"/>
      <c r="B128" s="1239" t="s">
        <v>2099</v>
      </c>
      <c r="C128" s="171">
        <f>+$C$126+$G$127</f>
        <v>96016.65</v>
      </c>
      <c r="D128" s="171"/>
      <c r="E128" s="1239"/>
      <c r="F128" s="1239">
        <v>-707</v>
      </c>
      <c r="G128" s="455"/>
      <c r="H128" s="1239"/>
      <c r="I128" s="1239"/>
      <c r="J128" s="171"/>
      <c r="K128" s="1239"/>
      <c r="L128" s="1239" t="s">
        <v>819</v>
      </c>
      <c r="M128" s="638" t="s">
        <v>1692</v>
      </c>
      <c r="N128" s="1239" t="s">
        <v>144</v>
      </c>
      <c r="O128" s="1239"/>
      <c r="P128" s="1239"/>
      <c r="Q128" s="448">
        <v>50</v>
      </c>
      <c r="R128" s="448">
        <v>-750</v>
      </c>
      <c r="S128" s="455"/>
      <c r="T128" s="1239">
        <v>30</v>
      </c>
      <c r="U128" s="1239"/>
      <c r="V128" s="1239"/>
      <c r="W128" s="1239">
        <v>1.4</v>
      </c>
      <c r="X128" s="1239"/>
      <c r="Y128" s="1239"/>
      <c r="Z128" s="1239"/>
      <c r="AA128" s="1239"/>
      <c r="AB128" s="1239"/>
      <c r="AC128" s="638" t="s">
        <v>3050</v>
      </c>
      <c r="AD128" s="1239"/>
      <c r="AE128" s="1239"/>
      <c r="AF128" s="448">
        <v>2900</v>
      </c>
      <c r="AG128" s="171">
        <v>96014.89</v>
      </c>
      <c r="AH128" s="448">
        <v>2763</v>
      </c>
      <c r="AI128" s="448">
        <v>-2090</v>
      </c>
      <c r="AJ128" s="1239"/>
      <c r="AK128" s="1239"/>
      <c r="AL128" s="1239" t="s">
        <v>2127</v>
      </c>
      <c r="AM128" s="1239" t="s">
        <v>1043</v>
      </c>
      <c r="AN128" s="484">
        <v>5.5</v>
      </c>
      <c r="AO128" s="638"/>
      <c r="AP128" s="638"/>
      <c r="AQ128" s="484"/>
      <c r="AR128" s="638"/>
      <c r="AS128" s="638"/>
      <c r="AT128" s="484">
        <f>+ab($T$128,$T$126,$T$130,$G$127,$G$129,-1*$F$128,1200)</f>
        <v>3.2813500276423899</v>
      </c>
      <c r="AU128" s="638"/>
      <c r="AV128" s="638"/>
      <c r="AW128" s="644" t="s">
        <v>2845</v>
      </c>
      <c r="AX128" s="638"/>
      <c r="AY128" s="484"/>
      <c r="AZ128" s="484"/>
      <c r="BA128" s="671" t="s">
        <v>2809</v>
      </c>
      <c r="BB128" s="1239" t="str">
        <f>Pole_Calculations!A178</f>
        <v>App.8-V08F-P10.3</v>
      </c>
      <c r="BC128" s="169"/>
      <c r="BD128" s="1329" t="s">
        <v>4918</v>
      </c>
      <c r="BE128" s="1329" t="s">
        <v>4946</v>
      </c>
      <c r="BF128" s="1329" t="s">
        <v>4946</v>
      </c>
      <c r="BG128" s="1329">
        <v>43786</v>
      </c>
    </row>
    <row r="129" spans="1:59" ht="15.75" customHeight="1">
      <c r="A129" s="1239"/>
      <c r="B129" s="1239"/>
      <c r="C129" s="171"/>
      <c r="D129" s="171"/>
      <c r="E129" s="1239"/>
      <c r="F129" s="1239"/>
      <c r="G129" s="455">
        <v>41.3</v>
      </c>
      <c r="H129" s="1239"/>
      <c r="I129" s="1239"/>
      <c r="J129" s="171">
        <f>C130-7.5</f>
        <v>96050.45</v>
      </c>
      <c r="K129" s="1239" t="s">
        <v>1739</v>
      </c>
      <c r="L129" s="1239"/>
      <c r="M129" s="638"/>
      <c r="N129" s="1239"/>
      <c r="O129" s="1239"/>
      <c r="P129" s="1239"/>
      <c r="Q129" s="448"/>
      <c r="R129" s="448"/>
      <c r="S129" s="455">
        <f>+AG130-AG128</f>
        <v>42.110000000000582</v>
      </c>
      <c r="T129" s="1239"/>
      <c r="U129" s="1239"/>
      <c r="V129" s="1239"/>
      <c r="W129" s="1239"/>
      <c r="X129" s="1239"/>
      <c r="Y129" s="1239"/>
      <c r="Z129" s="1239"/>
      <c r="AA129" s="1239"/>
      <c r="AB129" s="1239"/>
      <c r="AC129" s="1239"/>
      <c r="AD129" s="1239"/>
      <c r="AE129" s="1239"/>
      <c r="AF129" s="448"/>
      <c r="AG129" s="171"/>
      <c r="AH129" s="448"/>
      <c r="AI129" s="448"/>
      <c r="AJ129" s="1239"/>
      <c r="AK129" s="1239"/>
      <c r="AL129" s="1239"/>
      <c r="AM129" s="1239"/>
      <c r="AN129" s="484"/>
      <c r="AO129" s="638"/>
      <c r="AP129" s="638"/>
      <c r="AQ129" s="484">
        <f>+FL_1($T$130,$T$128,$G$129,1200,9.28,-1*$F$130)</f>
        <v>0.3</v>
      </c>
      <c r="AR129" s="638"/>
      <c r="AS129" s="638"/>
      <c r="AT129" s="484"/>
      <c r="AU129" s="638"/>
      <c r="AV129" s="638"/>
      <c r="AW129" s="638" t="s">
        <v>2885</v>
      </c>
      <c r="AX129" s="638"/>
      <c r="AY129" s="484"/>
      <c r="AZ129" s="484"/>
      <c r="BA129" s="671" t="s">
        <v>2809</v>
      </c>
      <c r="BB129" s="1239"/>
      <c r="BC129" s="169"/>
      <c r="BD129" s="1329" t="s">
        <v>4946</v>
      </c>
      <c r="BE129" s="1330"/>
      <c r="BF129" s="1330"/>
      <c r="BG129" s="1330"/>
    </row>
    <row r="130" spans="1:59" ht="12.5">
      <c r="A130" s="1239"/>
      <c r="B130" s="1239" t="s">
        <v>2100</v>
      </c>
      <c r="C130" s="171">
        <f>+$C$128+$G$129</f>
        <v>96057.95</v>
      </c>
      <c r="D130" s="171"/>
      <c r="E130" s="1239"/>
      <c r="F130" s="1239">
        <v>-707</v>
      </c>
      <c r="G130" s="455"/>
      <c r="H130" s="1239" t="s">
        <v>138</v>
      </c>
      <c r="I130" s="1239" t="s">
        <v>4232</v>
      </c>
      <c r="J130" s="171"/>
      <c r="K130" s="1239"/>
      <c r="L130" s="1239" t="s">
        <v>819</v>
      </c>
      <c r="M130" s="638" t="s">
        <v>1692</v>
      </c>
      <c r="N130" s="1239" t="s">
        <v>144</v>
      </c>
      <c r="O130" s="1239"/>
      <c r="P130" s="1239"/>
      <c r="Q130" s="448">
        <v>50</v>
      </c>
      <c r="R130" s="448">
        <v>-750</v>
      </c>
      <c r="S130" s="455"/>
      <c r="T130" s="1239">
        <v>30</v>
      </c>
      <c r="U130" s="1239"/>
      <c r="V130" s="1239"/>
      <c r="W130" s="1239">
        <v>1.4</v>
      </c>
      <c r="X130" s="1239"/>
      <c r="Y130" s="1239"/>
      <c r="Z130" s="1239"/>
      <c r="AA130" s="1239"/>
      <c r="AB130" s="1239"/>
      <c r="AC130" s="638" t="s">
        <v>3050</v>
      </c>
      <c r="AD130" s="1239"/>
      <c r="AE130" s="1239"/>
      <c r="AF130" s="448">
        <v>3000</v>
      </c>
      <c r="AG130" s="171">
        <v>96057</v>
      </c>
      <c r="AH130" s="448">
        <v>3096</v>
      </c>
      <c r="AI130" s="448">
        <v>-2010</v>
      </c>
      <c r="AJ130" s="1239"/>
      <c r="AK130" s="1239"/>
      <c r="AL130" s="1239" t="s">
        <v>2127</v>
      </c>
      <c r="AM130" s="1239" t="s">
        <v>1043</v>
      </c>
      <c r="AN130" s="484">
        <v>5.43</v>
      </c>
      <c r="AO130" s="638"/>
      <c r="AP130" s="638"/>
      <c r="AQ130" s="484"/>
      <c r="AR130" s="638"/>
      <c r="AS130" s="638"/>
      <c r="AT130" s="484">
        <f>+ab($T$130,$T$128,$T$132,$G$129,$G$131,-1*$F$130,1200)</f>
        <v>3.5882440850015156</v>
      </c>
      <c r="AU130" s="638"/>
      <c r="AV130" s="638"/>
      <c r="AW130" s="644" t="s">
        <v>2845</v>
      </c>
      <c r="AX130" s="638"/>
      <c r="AY130" s="484"/>
      <c r="AZ130" s="484"/>
      <c r="BA130" s="671" t="s">
        <v>2809</v>
      </c>
      <c r="BB130" s="1239" t="str">
        <f>Pole_Calculations!A178</f>
        <v>App.8-V08F-P10.3</v>
      </c>
      <c r="BC130" s="169"/>
      <c r="BD130" s="1329" t="s">
        <v>4919</v>
      </c>
      <c r="BE130" s="1329" t="s">
        <v>4946</v>
      </c>
      <c r="BF130" s="1329" t="s">
        <v>4946</v>
      </c>
      <c r="BG130" s="1329">
        <v>43786</v>
      </c>
    </row>
    <row r="131" spans="1:59" ht="15.75" customHeight="1">
      <c r="A131" s="1239"/>
      <c r="B131" s="1239"/>
      <c r="C131" s="171"/>
      <c r="D131" s="171"/>
      <c r="E131" s="1239"/>
      <c r="F131" s="1239"/>
      <c r="G131" s="455">
        <v>41.1</v>
      </c>
      <c r="H131" s="1239"/>
      <c r="I131" s="1239"/>
      <c r="J131" s="171"/>
      <c r="K131" s="1239"/>
      <c r="L131" s="1239"/>
      <c r="M131" s="638"/>
      <c r="N131" s="1239"/>
      <c r="O131" s="1239"/>
      <c r="P131" s="1239"/>
      <c r="Q131" s="448"/>
      <c r="R131" s="448"/>
      <c r="S131" s="455">
        <f>+AG132-AG130</f>
        <v>42</v>
      </c>
      <c r="T131" s="1239"/>
      <c r="U131" s="1239"/>
      <c r="V131" s="1239"/>
      <c r="W131" s="1239"/>
      <c r="X131" s="1239"/>
      <c r="Y131" s="1239"/>
      <c r="Z131" s="1239"/>
      <c r="AA131" s="1239"/>
      <c r="AB131" s="1239"/>
      <c r="AC131" s="1239"/>
      <c r="AD131" s="1239"/>
      <c r="AE131" s="1239"/>
      <c r="AF131" s="448"/>
      <c r="AG131" s="171"/>
      <c r="AH131" s="448"/>
      <c r="AI131" s="448"/>
      <c r="AJ131" s="1239"/>
      <c r="AK131" s="1239"/>
      <c r="AL131" s="1239"/>
      <c r="AM131" s="1239"/>
      <c r="AN131" s="484"/>
      <c r="AO131" s="638"/>
      <c r="AP131" s="638"/>
      <c r="AQ131" s="484">
        <f>+FL_1($U$132,$T$130,$G$131,1200,9.28,-1*$F$132)</f>
        <v>0.3</v>
      </c>
      <c r="AR131" s="638"/>
      <c r="AS131" s="638"/>
      <c r="AT131" s="484"/>
      <c r="AU131" s="638"/>
      <c r="AV131" s="638"/>
      <c r="AW131" s="638"/>
      <c r="AX131" s="638"/>
      <c r="AY131" s="484"/>
      <c r="AZ131" s="484"/>
      <c r="BA131" s="671"/>
      <c r="BB131" s="1239"/>
      <c r="BC131" s="169"/>
      <c r="BD131" s="1330"/>
      <c r="BE131" s="1330"/>
      <c r="BF131" s="1330"/>
      <c r="BG131" s="1330"/>
    </row>
    <row r="132" spans="1:59" ht="15.75" customHeight="1">
      <c r="A132" s="1239"/>
      <c r="B132" s="1239" t="s">
        <v>2101</v>
      </c>
      <c r="C132" s="171">
        <f>+$C$130+$G$131</f>
        <v>96099.05</v>
      </c>
      <c r="D132" s="171"/>
      <c r="E132" s="1239"/>
      <c r="F132" s="448">
        <v>-901.84</v>
      </c>
      <c r="G132" s="455"/>
      <c r="H132" s="1239" t="s">
        <v>2132</v>
      </c>
      <c r="I132" s="1239"/>
      <c r="J132" s="171">
        <f>C132+7.5</f>
        <v>96106.55</v>
      </c>
      <c r="K132" s="1239" t="s">
        <v>1738</v>
      </c>
      <c r="L132" s="1239" t="s">
        <v>819</v>
      </c>
      <c r="M132" s="1239" t="s">
        <v>1692</v>
      </c>
      <c r="N132" s="1239" t="s">
        <v>140</v>
      </c>
      <c r="O132" s="1239" t="s">
        <v>144</v>
      </c>
      <c r="P132" s="1239"/>
      <c r="Q132" s="448">
        <v>30</v>
      </c>
      <c r="R132" s="448">
        <v>-1552.75</v>
      </c>
      <c r="S132" s="455"/>
      <c r="T132" s="1239">
        <v>50</v>
      </c>
      <c r="U132" s="1239">
        <v>30</v>
      </c>
      <c r="V132" s="1239"/>
      <c r="W132" s="1239">
        <v>1.4</v>
      </c>
      <c r="X132" s="1239">
        <v>2.2999999999999998</v>
      </c>
      <c r="Y132" s="1239"/>
      <c r="Z132" s="1239">
        <v>0.34</v>
      </c>
      <c r="AA132" s="1239"/>
      <c r="AB132" s="1239"/>
      <c r="AC132" s="448" t="s">
        <v>4128</v>
      </c>
      <c r="AD132" s="448"/>
      <c r="AE132" s="1239"/>
      <c r="AF132" s="448">
        <v>3300</v>
      </c>
      <c r="AG132" s="171">
        <v>96099</v>
      </c>
      <c r="AH132" s="448">
        <v>3326</v>
      </c>
      <c r="AI132" s="448">
        <v>-1910</v>
      </c>
      <c r="AJ132" s="1239"/>
      <c r="AK132" s="1239"/>
      <c r="AL132" s="1239" t="s">
        <v>2127</v>
      </c>
      <c r="AM132" s="1239" t="s">
        <v>1043</v>
      </c>
      <c r="AN132" s="484">
        <v>5.34</v>
      </c>
      <c r="AO132" s="638"/>
      <c r="AP132" s="638"/>
      <c r="AQ132" s="484"/>
      <c r="AR132" s="638"/>
      <c r="AS132" s="638"/>
      <c r="AT132" s="484">
        <f>+ab($U$132,$T$130,$T$134,$G$131,$G$133,-1*$F$132,1200)</f>
        <v>3.0654230555982607</v>
      </c>
      <c r="AU132" s="638"/>
      <c r="AV132" s="638"/>
      <c r="AW132" s="638" t="s">
        <v>2886</v>
      </c>
      <c r="AX132" s="638"/>
      <c r="AY132" s="484"/>
      <c r="AZ132" s="484"/>
      <c r="BA132" s="671" t="s">
        <v>2809</v>
      </c>
      <c r="BB132" s="1239" t="str">
        <f>Pole_Calculations!A178</f>
        <v>App.8-V08F-P10.3</v>
      </c>
      <c r="BC132" s="169"/>
      <c r="BD132" s="1329" t="s">
        <v>4946</v>
      </c>
      <c r="BE132" s="1329" t="s">
        <v>4946</v>
      </c>
      <c r="BF132" s="1329" t="s">
        <v>4946</v>
      </c>
      <c r="BG132" s="1329">
        <v>43789</v>
      </c>
    </row>
    <row r="133" spans="1:59" ht="15.75" customHeight="1">
      <c r="A133" s="1239"/>
      <c r="B133" s="1239"/>
      <c r="C133" s="171"/>
      <c r="D133" s="171"/>
      <c r="E133" s="1239"/>
      <c r="F133" s="1239"/>
      <c r="G133" s="455">
        <v>50.1</v>
      </c>
      <c r="H133" s="1239"/>
      <c r="I133" s="1239">
        <v>337</v>
      </c>
      <c r="J133" s="171">
        <f>C134-7.5</f>
        <v>96141.650000000009</v>
      </c>
      <c r="K133" s="1239" t="s">
        <v>1739</v>
      </c>
      <c r="L133" s="1239"/>
      <c r="M133" s="1239"/>
      <c r="N133" s="1239"/>
      <c r="O133" s="1239"/>
      <c r="P133" s="1239"/>
      <c r="Q133" s="448"/>
      <c r="R133" s="448"/>
      <c r="S133" s="455">
        <f>+AG134-AG132</f>
        <v>47</v>
      </c>
      <c r="T133" s="1239"/>
      <c r="U133" s="1239"/>
      <c r="V133" s="1239"/>
      <c r="W133" s="1239"/>
      <c r="X133" s="1239"/>
      <c r="Y133" s="1239"/>
      <c r="Z133" s="1239"/>
      <c r="AA133" s="1239"/>
      <c r="AB133" s="1239"/>
      <c r="AC133" s="448"/>
      <c r="AD133" s="448"/>
      <c r="AE133" s="1239"/>
      <c r="AF133" s="448"/>
      <c r="AG133" s="171"/>
      <c r="AH133" s="448"/>
      <c r="AI133" s="448"/>
      <c r="AJ133" s="1239"/>
      <c r="AK133" s="1239"/>
      <c r="AL133" s="1239"/>
      <c r="AM133" s="1239"/>
      <c r="AN133" s="484"/>
      <c r="AO133" s="638"/>
      <c r="AP133" s="638"/>
      <c r="AQ133" s="484">
        <f>+FL_1($T$134,$U$132,$G$133,1200,9.28,-1*$F$134)</f>
        <v>0.33536644336926147</v>
      </c>
      <c r="AR133" s="638"/>
      <c r="AS133" s="638"/>
      <c r="AT133" s="484"/>
      <c r="AU133" s="638"/>
      <c r="AV133" s="638"/>
      <c r="AW133" s="638" t="s">
        <v>2885</v>
      </c>
      <c r="AX133" s="638"/>
      <c r="AY133" s="484"/>
      <c r="AZ133" s="484"/>
      <c r="BA133" s="671" t="s">
        <v>2809</v>
      </c>
      <c r="BB133" s="1239"/>
      <c r="BC133" s="169"/>
      <c r="BD133" s="1329" t="s">
        <v>4946</v>
      </c>
      <c r="BE133" s="1330"/>
      <c r="BF133" s="1330"/>
      <c r="BG133" s="1330"/>
    </row>
    <row r="134" spans="1:59" ht="15.75" customHeight="1">
      <c r="A134" s="1239"/>
      <c r="B134" s="1239" t="s">
        <v>2102</v>
      </c>
      <c r="C134" s="171">
        <f>+$C$132+$G$133</f>
        <v>96149.150000000009</v>
      </c>
      <c r="D134" s="171"/>
      <c r="E134" s="1239"/>
      <c r="F134" s="1239">
        <v>0</v>
      </c>
      <c r="G134" s="455"/>
      <c r="H134" s="1239" t="s">
        <v>2130</v>
      </c>
      <c r="I134" s="1239" t="s">
        <v>624</v>
      </c>
      <c r="J134" s="171"/>
      <c r="K134" s="1239"/>
      <c r="L134" s="1239" t="s">
        <v>819</v>
      </c>
      <c r="M134" s="1239" t="s">
        <v>1692</v>
      </c>
      <c r="N134" s="1239" t="s">
        <v>143</v>
      </c>
      <c r="O134" s="1239" t="s">
        <v>140</v>
      </c>
      <c r="P134" s="1239"/>
      <c r="Q134" s="448">
        <v>0</v>
      </c>
      <c r="R134" s="448">
        <v>0</v>
      </c>
      <c r="S134" s="455"/>
      <c r="T134" s="1239">
        <v>-30</v>
      </c>
      <c r="U134" s="1239">
        <v>-50</v>
      </c>
      <c r="V134" s="1239"/>
      <c r="W134" s="1239">
        <v>1.4</v>
      </c>
      <c r="X134" s="1239">
        <v>2.2999999999999998</v>
      </c>
      <c r="Y134" s="1239"/>
      <c r="Z134" s="1239"/>
      <c r="AA134" s="1239">
        <v>0.56000000000000005</v>
      </c>
      <c r="AB134" s="1239"/>
      <c r="AC134" s="448" t="s">
        <v>4090</v>
      </c>
      <c r="AD134" s="448"/>
      <c r="AE134" s="1239"/>
      <c r="AF134" s="448">
        <v>3500</v>
      </c>
      <c r="AG134" s="171">
        <v>96146</v>
      </c>
      <c r="AH134" s="448">
        <v>3126</v>
      </c>
      <c r="AI134" s="448">
        <v>-1830</v>
      </c>
      <c r="AJ134" s="1239"/>
      <c r="AK134" s="1239"/>
      <c r="AL134" s="1239" t="s">
        <v>2127</v>
      </c>
      <c r="AM134" s="1239" t="s">
        <v>1043</v>
      </c>
      <c r="AN134" s="484">
        <v>5.23</v>
      </c>
      <c r="AO134" s="638"/>
      <c r="AP134" s="638"/>
      <c r="AQ134" s="484"/>
      <c r="AR134" s="638"/>
      <c r="AS134" s="638"/>
      <c r="AT134" s="484">
        <f>+ab($T$134,$U$132,$U$136,$G$133,$G$135,-1*$F$134,1200)</f>
        <v>-7.7916449892176995</v>
      </c>
      <c r="AU134" s="638"/>
      <c r="AV134" s="638"/>
      <c r="AW134" s="638" t="s">
        <v>2886</v>
      </c>
      <c r="AX134" s="638"/>
      <c r="AY134" s="484"/>
      <c r="AZ134" s="484"/>
      <c r="BA134" s="671" t="s">
        <v>2809</v>
      </c>
      <c r="BB134" s="1239" t="str">
        <f>Pole_Calculations!A178</f>
        <v>App.8-V08F-P10.3</v>
      </c>
      <c r="BC134" s="169"/>
      <c r="BD134" s="1329" t="s">
        <v>4946</v>
      </c>
      <c r="BE134" s="1329" t="s">
        <v>4946</v>
      </c>
      <c r="BF134" s="1329" t="s">
        <v>4946</v>
      </c>
      <c r="BG134" s="1329">
        <v>43786</v>
      </c>
    </row>
    <row r="135" spans="1:59" ht="15.75" customHeight="1">
      <c r="A135" s="1239"/>
      <c r="B135" s="1239"/>
      <c r="C135" s="171"/>
      <c r="D135" s="171"/>
      <c r="E135" s="1239"/>
      <c r="F135" s="1239"/>
      <c r="G135" s="455">
        <v>48</v>
      </c>
      <c r="H135" s="1239"/>
      <c r="I135" s="1239">
        <f>SUM(G111:G135)</f>
        <v>574.79999999999995</v>
      </c>
      <c r="J135" s="171"/>
      <c r="K135" s="1239"/>
      <c r="L135" s="1239"/>
      <c r="M135" s="1239"/>
      <c r="N135" s="1239"/>
      <c r="O135" s="1239"/>
      <c r="P135" s="1239"/>
      <c r="Q135" s="448"/>
      <c r="R135" s="448"/>
      <c r="S135" s="455">
        <f>+AG136-AG134</f>
        <v>50</v>
      </c>
      <c r="T135" s="1239"/>
      <c r="U135" s="1239"/>
      <c r="V135" s="1239"/>
      <c r="W135" s="1239"/>
      <c r="X135" s="1239"/>
      <c r="Y135" s="1239"/>
      <c r="Z135" s="1239"/>
      <c r="AA135" s="1239"/>
      <c r="AB135" s="1239"/>
      <c r="AC135" s="448"/>
      <c r="AD135" s="448"/>
      <c r="AE135" s="1239"/>
      <c r="AF135" s="448"/>
      <c r="AG135" s="171"/>
      <c r="AH135" s="448"/>
      <c r="AI135" s="448"/>
      <c r="AJ135" s="1239"/>
      <c r="AK135" s="1239"/>
      <c r="AL135" s="1239"/>
      <c r="AM135" s="1239"/>
      <c r="AN135" s="484"/>
      <c r="AO135" s="638"/>
      <c r="AP135" s="638"/>
      <c r="AQ135" s="484">
        <f>+FL_1($U$136,$T$134,$G$135,1200,9.28,-1*$F$136)</f>
        <v>0.3237437013333333</v>
      </c>
      <c r="AR135" s="638"/>
      <c r="AS135" s="638"/>
      <c r="AT135" s="484"/>
      <c r="AU135" s="638"/>
      <c r="AV135" s="638"/>
      <c r="AW135" s="638"/>
      <c r="AX135" s="638"/>
      <c r="AY135" s="484"/>
      <c r="AZ135" s="484"/>
      <c r="BA135" s="671"/>
      <c r="BB135" s="1239"/>
      <c r="BC135" s="169"/>
      <c r="BD135" s="1330"/>
      <c r="BE135" s="1330"/>
      <c r="BF135" s="1330"/>
      <c r="BG135" s="1330"/>
    </row>
    <row r="136" spans="1:59" ht="15.75" customHeight="1">
      <c r="A136" s="1239"/>
      <c r="B136" s="1239" t="s">
        <v>2103</v>
      </c>
      <c r="C136" s="171">
        <f>+$C$134+$G$135</f>
        <v>96197.150000000009</v>
      </c>
      <c r="D136" s="171"/>
      <c r="E136" s="1239"/>
      <c r="F136" s="1239">
        <v>0</v>
      </c>
      <c r="G136" s="455"/>
      <c r="H136" s="1239" t="s">
        <v>3321</v>
      </c>
      <c r="I136" s="1239" t="s">
        <v>624</v>
      </c>
      <c r="J136" s="171"/>
      <c r="K136" s="1239"/>
      <c r="L136" s="1239" t="s">
        <v>819</v>
      </c>
      <c r="M136" s="1239" t="s">
        <v>1692</v>
      </c>
      <c r="N136" s="1239" t="s">
        <v>140</v>
      </c>
      <c r="O136" s="1239" t="s">
        <v>144</v>
      </c>
      <c r="P136" s="1239"/>
      <c r="Q136" s="448">
        <v>0</v>
      </c>
      <c r="R136" s="448">
        <v>0</v>
      </c>
      <c r="S136" s="455"/>
      <c r="T136" s="1239">
        <v>-45</v>
      </c>
      <c r="U136" s="1239">
        <v>30</v>
      </c>
      <c r="V136" s="1239"/>
      <c r="W136" s="1239">
        <v>1.1000000000000001</v>
      </c>
      <c r="X136" s="1239">
        <v>0.9</v>
      </c>
      <c r="Y136" s="1239"/>
      <c r="Z136" s="1239">
        <v>0.45</v>
      </c>
      <c r="AA136" s="1239"/>
      <c r="AB136" s="1239"/>
      <c r="AC136" s="448" t="s">
        <v>4090</v>
      </c>
      <c r="AD136" s="448"/>
      <c r="AE136" s="1239"/>
      <c r="AF136" s="448">
        <v>3300</v>
      </c>
      <c r="AG136" s="171">
        <v>96196</v>
      </c>
      <c r="AH136" s="448">
        <v>3176</v>
      </c>
      <c r="AI136" s="448">
        <v>-1700</v>
      </c>
      <c r="AJ136" s="1239"/>
      <c r="AK136" s="1239"/>
      <c r="AL136" s="1239" t="s">
        <v>2127</v>
      </c>
      <c r="AM136" s="1239" t="s">
        <v>1043</v>
      </c>
      <c r="AN136" s="484">
        <v>5.15</v>
      </c>
      <c r="AO136" s="638"/>
      <c r="AP136" s="638"/>
      <c r="AQ136" s="484"/>
      <c r="AR136" s="638"/>
      <c r="AS136" s="638"/>
      <c r="AT136" s="484">
        <f>+ab($U$136,$T$134,$U$138,$G$135,$G$137,-1*$F$136,1200)</f>
        <v>6.4249673944448498</v>
      </c>
      <c r="AU136" s="638"/>
      <c r="AV136" s="638"/>
      <c r="AW136" s="638" t="s">
        <v>2886</v>
      </c>
      <c r="AX136" s="638"/>
      <c r="AY136" s="484"/>
      <c r="AZ136" s="484"/>
      <c r="BA136" s="671" t="s">
        <v>2809</v>
      </c>
      <c r="BB136" s="1239" t="str">
        <f>Pole_Calculations!A178</f>
        <v>App.8-V08F-P10.3</v>
      </c>
      <c r="BC136" s="169"/>
      <c r="BD136" s="1329" t="s">
        <v>4946</v>
      </c>
      <c r="BE136" s="1329" t="s">
        <v>4946</v>
      </c>
      <c r="BF136" s="1329" t="s">
        <v>4946</v>
      </c>
      <c r="BG136" s="1329">
        <v>43786</v>
      </c>
    </row>
    <row r="137" spans="1:59" ht="15.75" customHeight="1">
      <c r="A137" s="1239"/>
      <c r="B137" s="1239"/>
      <c r="C137" s="171"/>
      <c r="D137" s="171"/>
      <c r="E137" s="1239"/>
      <c r="F137" s="1239"/>
      <c r="G137" s="455">
        <v>34.799999999999997</v>
      </c>
      <c r="H137" s="1239"/>
      <c r="I137" s="1239"/>
      <c r="J137" s="171">
        <f>C136+7.5</f>
        <v>96204.650000000009</v>
      </c>
      <c r="K137" s="1239" t="s">
        <v>1739</v>
      </c>
      <c r="L137" s="1239"/>
      <c r="M137" s="1239"/>
      <c r="N137" s="1239"/>
      <c r="O137" s="1239"/>
      <c r="P137" s="1239"/>
      <c r="Q137" s="448"/>
      <c r="R137" s="448"/>
      <c r="S137" s="455">
        <f>+AG138-AG136</f>
        <v>35</v>
      </c>
      <c r="T137" s="1239"/>
      <c r="U137" s="1239"/>
      <c r="V137" s="1239"/>
      <c r="W137" s="1239"/>
      <c r="X137" s="1239"/>
      <c r="Y137" s="1239"/>
      <c r="Z137" s="1239"/>
      <c r="AA137" s="1239"/>
      <c r="AB137" s="1239"/>
      <c r="AC137" s="448"/>
      <c r="AD137" s="448"/>
      <c r="AE137" s="1239"/>
      <c r="AF137" s="448"/>
      <c r="AG137" s="171"/>
      <c r="AH137" s="448"/>
      <c r="AI137" s="448"/>
      <c r="AJ137" s="1239"/>
      <c r="AK137" s="1239"/>
      <c r="AL137" s="1239"/>
      <c r="AM137" s="1239"/>
      <c r="AN137" s="484"/>
      <c r="AO137" s="638"/>
      <c r="AP137" s="638"/>
      <c r="AQ137" s="484">
        <f>+FL_1($U$138,$U$136,$G$137,1200,9.28,-1*$F$138)</f>
        <v>0.30000000000000615</v>
      </c>
      <c r="AR137" s="638"/>
      <c r="AS137" s="638"/>
      <c r="AT137" s="484"/>
      <c r="AU137" s="638"/>
      <c r="AV137" s="638"/>
      <c r="AW137" s="638" t="s">
        <v>2885</v>
      </c>
      <c r="AX137" s="638"/>
      <c r="AY137" s="484"/>
      <c r="AZ137" s="484"/>
      <c r="BA137" s="671" t="s">
        <v>2809</v>
      </c>
      <c r="BB137" s="1239"/>
      <c r="BC137" s="169"/>
      <c r="BD137" s="1329" t="s">
        <v>4946</v>
      </c>
      <c r="BE137" s="1330"/>
      <c r="BF137" s="1330"/>
      <c r="BG137" s="1330"/>
    </row>
    <row r="138" spans="1:59" ht="15.75" customHeight="1">
      <c r="A138" s="488"/>
      <c r="B138" s="570" t="s">
        <v>2104</v>
      </c>
      <c r="C138" s="431">
        <f>+$C$136+$G$137</f>
        <v>96231.950000000012</v>
      </c>
      <c r="D138" s="431"/>
      <c r="E138" s="495"/>
      <c r="F138" s="495">
        <v>0</v>
      </c>
      <c r="G138" s="457"/>
      <c r="H138" s="495" t="s">
        <v>619</v>
      </c>
      <c r="I138" s="495"/>
      <c r="J138" s="431"/>
      <c r="K138" s="495"/>
      <c r="L138" s="490" t="s">
        <v>1683</v>
      </c>
      <c r="M138" s="495"/>
      <c r="N138" s="495" t="s">
        <v>2789</v>
      </c>
      <c r="O138" s="495" t="s">
        <v>2789</v>
      </c>
      <c r="P138" s="495"/>
      <c r="Q138" s="492">
        <v>0</v>
      </c>
      <c r="R138" s="492">
        <v>0</v>
      </c>
      <c r="S138" s="457"/>
      <c r="T138" s="495">
        <v>-45</v>
      </c>
      <c r="U138" s="495">
        <v>-30</v>
      </c>
      <c r="V138" s="495"/>
      <c r="W138" s="495">
        <v>0.6</v>
      </c>
      <c r="X138" s="495">
        <v>0.6</v>
      </c>
      <c r="Y138" s="495"/>
      <c r="Z138" s="495">
        <v>0.15</v>
      </c>
      <c r="AA138" s="495"/>
      <c r="AB138" s="495"/>
      <c r="AC138" s="492" t="s">
        <v>4213</v>
      </c>
      <c r="AD138" s="492" t="s">
        <v>4214</v>
      </c>
      <c r="AE138" s="495"/>
      <c r="AF138" s="492">
        <v>400</v>
      </c>
      <c r="AG138" s="431">
        <v>96231</v>
      </c>
      <c r="AH138" s="492">
        <v>1733</v>
      </c>
      <c r="AI138" s="492">
        <v>-4540</v>
      </c>
      <c r="AJ138" s="495"/>
      <c r="AK138" s="495"/>
      <c r="AL138" s="495"/>
      <c r="AM138" s="495" t="s">
        <v>2129</v>
      </c>
      <c r="AN138" s="493">
        <v>5.15</v>
      </c>
      <c r="AO138" s="490"/>
      <c r="AP138" s="490"/>
      <c r="AQ138" s="493"/>
      <c r="AR138" s="490"/>
      <c r="AS138" s="490"/>
      <c r="AT138" s="493">
        <f>+ab($U$138,$U$136,$U$140,$G$137,$G$139,-1*$F$138,1200)</f>
        <v>-5.7385846023350346</v>
      </c>
      <c r="AU138" s="490"/>
      <c r="AV138" s="490"/>
      <c r="AW138" s="490" t="s">
        <v>2846</v>
      </c>
      <c r="AX138" s="490"/>
      <c r="AY138" s="493"/>
      <c r="AZ138" s="493"/>
      <c r="BA138" s="602" t="s">
        <v>2809</v>
      </c>
      <c r="BB138" s="488"/>
      <c r="BC138" s="169"/>
      <c r="BD138" s="1329" t="s">
        <v>4946</v>
      </c>
      <c r="BE138" s="1329" t="s">
        <v>4946</v>
      </c>
      <c r="BF138" s="1330"/>
      <c r="BG138" s="1329">
        <v>43604</v>
      </c>
    </row>
    <row r="139" spans="1:59" ht="15.75" customHeight="1">
      <c r="A139" s="488" t="s">
        <v>1851</v>
      </c>
      <c r="B139" s="495"/>
      <c r="C139" s="431"/>
      <c r="D139" s="431"/>
      <c r="E139" s="495"/>
      <c r="F139" s="495"/>
      <c r="G139" s="457">
        <v>37.299999999999997</v>
      </c>
      <c r="H139" s="495"/>
      <c r="I139" s="495"/>
      <c r="J139" s="431"/>
      <c r="K139" s="495"/>
      <c r="L139" s="495"/>
      <c r="M139" s="495"/>
      <c r="N139" s="495"/>
      <c r="O139" s="495"/>
      <c r="P139" s="495"/>
      <c r="Q139" s="492">
        <v>0</v>
      </c>
      <c r="R139" s="492">
        <v>0</v>
      </c>
      <c r="S139" s="457">
        <f>+AG140-AG138</f>
        <v>36.919999999998254</v>
      </c>
      <c r="T139" s="495"/>
      <c r="U139" s="495"/>
      <c r="V139" s="495"/>
      <c r="W139" s="495"/>
      <c r="X139" s="495"/>
      <c r="Y139" s="495"/>
      <c r="Z139" s="495"/>
      <c r="AA139" s="495"/>
      <c r="AB139" s="495"/>
      <c r="AC139" s="492"/>
      <c r="AD139" s="492"/>
      <c r="AE139" s="495"/>
      <c r="AF139" s="492">
        <v>400</v>
      </c>
      <c r="AG139" s="431">
        <v>96232.72</v>
      </c>
      <c r="AH139" s="492">
        <v>1713</v>
      </c>
      <c r="AI139" s="492">
        <v>-4540</v>
      </c>
      <c r="AJ139" s="495"/>
      <c r="AK139" s="495"/>
      <c r="AL139" s="495"/>
      <c r="AM139" s="495"/>
      <c r="AN139" s="493"/>
      <c r="AO139" s="490"/>
      <c r="AP139" s="490"/>
      <c r="AQ139" s="493">
        <f>+FL_1($U$140,$U$138,$G$139,1200,9.28,-1*$F$140)</f>
        <v>0.3</v>
      </c>
      <c r="AR139" s="490"/>
      <c r="AS139" s="490"/>
      <c r="AT139" s="493"/>
      <c r="AU139" s="490"/>
      <c r="AV139" s="490"/>
      <c r="AW139" s="490"/>
      <c r="AX139" s="490"/>
      <c r="AY139" s="493"/>
      <c r="AZ139" s="493"/>
      <c r="BA139" s="602"/>
      <c r="BB139" s="488"/>
      <c r="BC139" s="169"/>
      <c r="BD139" s="1330"/>
      <c r="BE139" s="1330"/>
      <c r="BF139" s="1330"/>
      <c r="BG139" s="1330"/>
    </row>
    <row r="140" spans="1:59" ht="15.75" customHeight="1">
      <c r="A140" s="495"/>
      <c r="B140" s="570" t="s">
        <v>2105</v>
      </c>
      <c r="C140" s="431">
        <f>+$C$138+$G$139</f>
        <v>96269.250000000015</v>
      </c>
      <c r="D140" s="431"/>
      <c r="E140" s="495"/>
      <c r="F140" s="495">
        <v>0</v>
      </c>
      <c r="G140" s="457"/>
      <c r="H140" s="495" t="s">
        <v>2509</v>
      </c>
      <c r="I140" s="495"/>
      <c r="J140" s="431"/>
      <c r="K140" s="495"/>
      <c r="L140" s="490" t="s">
        <v>1683</v>
      </c>
      <c r="M140" s="495"/>
      <c r="N140" s="495" t="s">
        <v>2789</v>
      </c>
      <c r="O140" s="495" t="s">
        <v>144</v>
      </c>
      <c r="P140" s="495"/>
      <c r="Q140" s="492">
        <v>0</v>
      </c>
      <c r="R140" s="492">
        <v>0</v>
      </c>
      <c r="S140" s="457"/>
      <c r="T140" s="495">
        <v>15</v>
      </c>
      <c r="U140" s="495">
        <v>30</v>
      </c>
      <c r="V140" s="495"/>
      <c r="W140" s="495">
        <v>0.6</v>
      </c>
      <c r="X140" s="495">
        <v>0.6</v>
      </c>
      <c r="Y140" s="495"/>
      <c r="Z140" s="495"/>
      <c r="AA140" s="495"/>
      <c r="AB140" s="495"/>
      <c r="AC140" s="492" t="s">
        <v>4215</v>
      </c>
      <c r="AD140" s="492" t="s">
        <v>1419</v>
      </c>
      <c r="AE140" s="495"/>
      <c r="AF140" s="492">
        <v>450</v>
      </c>
      <c r="AG140" s="431">
        <v>96267.92</v>
      </c>
      <c r="AH140" s="492">
        <v>1753</v>
      </c>
      <c r="AI140" s="492">
        <v>-4400</v>
      </c>
      <c r="AJ140" s="495"/>
      <c r="AK140" s="495"/>
      <c r="AL140" s="495"/>
      <c r="AM140" s="495" t="s">
        <v>2129</v>
      </c>
      <c r="AN140" s="493">
        <v>5.15</v>
      </c>
      <c r="AO140" s="490"/>
      <c r="AP140" s="490"/>
      <c r="AQ140" s="493"/>
      <c r="AR140" s="490"/>
      <c r="AS140" s="490"/>
      <c r="AT140" s="493">
        <f>+ab($U$140,$U$138,$T$142,$G$139,$G$141,-1*$F$140,1200)</f>
        <v>11.761268447345685</v>
      </c>
      <c r="AU140" s="490"/>
      <c r="AV140" s="490"/>
      <c r="AW140" s="490" t="s">
        <v>2846</v>
      </c>
      <c r="AX140" s="490"/>
      <c r="AY140" s="493"/>
      <c r="AZ140" s="493"/>
      <c r="BA140" s="602" t="s">
        <v>2809</v>
      </c>
      <c r="BB140" s="495"/>
      <c r="BC140" s="169"/>
      <c r="BD140" s="1329" t="s">
        <v>4946</v>
      </c>
      <c r="BE140" s="1329" t="s">
        <v>4946</v>
      </c>
      <c r="BF140" s="1330"/>
      <c r="BG140" s="1329">
        <v>43608</v>
      </c>
    </row>
    <row r="141" spans="1:59" ht="15.75" customHeight="1">
      <c r="A141" s="1239" t="s">
        <v>1852</v>
      </c>
      <c r="B141" s="1239"/>
      <c r="C141" s="171"/>
      <c r="D141" s="171"/>
      <c r="E141" s="1239"/>
      <c r="F141" s="1239"/>
      <c r="G141" s="455">
        <v>46</v>
      </c>
      <c r="H141" s="1239"/>
      <c r="I141" s="1239"/>
      <c r="J141" s="171"/>
      <c r="K141" s="1239"/>
      <c r="L141" s="1239"/>
      <c r="M141" s="1239"/>
      <c r="N141" s="1239"/>
      <c r="O141" s="1239"/>
      <c r="P141" s="1239"/>
      <c r="Q141" s="448">
        <v>0</v>
      </c>
      <c r="R141" s="448">
        <v>0</v>
      </c>
      <c r="S141" s="455">
        <f>+AG142-AG140</f>
        <v>47.080000000001746</v>
      </c>
      <c r="T141" s="1239"/>
      <c r="U141" s="1239"/>
      <c r="V141" s="1239"/>
      <c r="W141" s="1239"/>
      <c r="X141" s="1239"/>
      <c r="Y141" s="1239"/>
      <c r="Z141" s="1239"/>
      <c r="AA141" s="1239"/>
      <c r="AB141" s="1239"/>
      <c r="AC141" s="448"/>
      <c r="AD141" s="448"/>
      <c r="AE141" s="1239"/>
      <c r="AF141" s="448">
        <v>450</v>
      </c>
      <c r="AG141" s="171">
        <v>96269.58</v>
      </c>
      <c r="AH141" s="448">
        <v>1733</v>
      </c>
      <c r="AI141" s="448">
        <v>-4399</v>
      </c>
      <c r="AJ141" s="1239" t="s">
        <v>864</v>
      </c>
      <c r="AK141" s="1239"/>
      <c r="AL141" s="1239"/>
      <c r="AM141" s="1239"/>
      <c r="AN141" s="484"/>
      <c r="AO141" s="638"/>
      <c r="AP141" s="638"/>
      <c r="AQ141" s="484">
        <f>+FL_1($T$142,$U$140,$G$141,1200,9.28,-1*$F$142)</f>
        <v>0.50454666666666659</v>
      </c>
      <c r="AR141" s="638"/>
      <c r="AS141" s="638"/>
      <c r="AT141" s="484"/>
      <c r="AU141" s="638"/>
      <c r="AV141" s="638"/>
      <c r="AW141" s="638"/>
      <c r="AX141" s="638"/>
      <c r="AY141" s="484"/>
      <c r="AZ141" s="484"/>
      <c r="BA141" s="671"/>
      <c r="BB141" s="1239"/>
      <c r="BC141" s="169"/>
      <c r="BD141" s="1330"/>
      <c r="BE141" s="1330"/>
      <c r="BF141" s="1330"/>
      <c r="BG141" s="1330"/>
    </row>
    <row r="142" spans="1:59" ht="15.75" customHeight="1">
      <c r="A142" s="1239"/>
      <c r="B142" s="1239" t="s">
        <v>2106</v>
      </c>
      <c r="C142" s="171">
        <f>+$C$140+$G$141</f>
        <v>96315.250000000015</v>
      </c>
      <c r="D142" s="171"/>
      <c r="E142" s="1239"/>
      <c r="F142" s="1239">
        <v>0</v>
      </c>
      <c r="G142" s="455"/>
      <c r="H142" s="1239" t="s">
        <v>2509</v>
      </c>
      <c r="I142" s="1239"/>
      <c r="J142" s="171"/>
      <c r="K142" s="1239"/>
      <c r="L142" s="1239" t="s">
        <v>819</v>
      </c>
      <c r="M142" s="1239" t="s">
        <v>1692</v>
      </c>
      <c r="N142" s="1239" t="s">
        <v>144</v>
      </c>
      <c r="O142" s="1239" t="s">
        <v>2789</v>
      </c>
      <c r="P142" s="1239"/>
      <c r="Q142" s="448">
        <v>0</v>
      </c>
      <c r="R142" s="448">
        <v>0</v>
      </c>
      <c r="S142" s="455"/>
      <c r="T142" s="1239">
        <v>30</v>
      </c>
      <c r="U142" s="1239">
        <v>15</v>
      </c>
      <c r="V142" s="1239"/>
      <c r="W142" s="1239">
        <v>0.9</v>
      </c>
      <c r="X142" s="1239">
        <v>1.4</v>
      </c>
      <c r="Y142" s="1239"/>
      <c r="Z142" s="1239"/>
      <c r="AA142" s="1239"/>
      <c r="AB142" s="1239"/>
      <c r="AC142" s="448" t="s">
        <v>1425</v>
      </c>
      <c r="AD142" s="448" t="s">
        <v>4207</v>
      </c>
      <c r="AE142" s="1239"/>
      <c r="AF142" s="448">
        <v>3500</v>
      </c>
      <c r="AG142" s="171">
        <v>96315</v>
      </c>
      <c r="AH142" s="448">
        <v>3218</v>
      </c>
      <c r="AI142" s="448">
        <v>-1530</v>
      </c>
      <c r="AJ142" s="1239"/>
      <c r="AK142" s="1239"/>
      <c r="AL142" s="1239" t="s">
        <v>2127</v>
      </c>
      <c r="AM142" s="1239" t="s">
        <v>1043</v>
      </c>
      <c r="AN142" s="484">
        <v>5.15</v>
      </c>
      <c r="AO142" s="638"/>
      <c r="AP142" s="638"/>
      <c r="AQ142" s="484"/>
      <c r="AR142" s="638"/>
      <c r="AS142" s="638"/>
      <c r="AT142" s="484">
        <f>+ab($T$142,$U$140,$T$144,$G$141,$G$143,-1*$F$142,1200)</f>
        <v>15.326793138269748</v>
      </c>
      <c r="AU142" s="638"/>
      <c r="AV142" s="638"/>
      <c r="AW142" s="638" t="s">
        <v>2886</v>
      </c>
      <c r="AX142" s="638"/>
      <c r="AY142" s="484"/>
      <c r="AZ142" s="484"/>
      <c r="BA142" s="671" t="s">
        <v>2809</v>
      </c>
      <c r="BB142" s="1239" t="str">
        <f>Pole_Calculations!A178</f>
        <v>App.8-V08F-P10.3</v>
      </c>
      <c r="BC142" s="169"/>
      <c r="BD142" s="1329" t="s">
        <v>4946</v>
      </c>
      <c r="BE142" s="1329" t="s">
        <v>4946</v>
      </c>
      <c r="BF142" s="1329" t="s">
        <v>4946</v>
      </c>
      <c r="BG142" s="1329">
        <v>43569</v>
      </c>
    </row>
    <row r="143" spans="1:59" ht="15.75" customHeight="1">
      <c r="A143" s="1239"/>
      <c r="B143" s="1239"/>
      <c r="C143" s="171"/>
      <c r="D143" s="171"/>
      <c r="E143" s="1239"/>
      <c r="F143" s="1239"/>
      <c r="G143" s="455">
        <v>49.1</v>
      </c>
      <c r="H143" s="1239"/>
      <c r="I143" s="1239"/>
      <c r="J143" s="171"/>
      <c r="K143" s="1239"/>
      <c r="L143" s="1239"/>
      <c r="M143" s="1239"/>
      <c r="N143" s="1239"/>
      <c r="O143" s="1239"/>
      <c r="P143" s="1239"/>
      <c r="Q143" s="448"/>
      <c r="R143" s="448"/>
      <c r="S143" s="455">
        <f>+AG144-AG142</f>
        <v>49</v>
      </c>
      <c r="T143" s="1239"/>
      <c r="U143" s="1239"/>
      <c r="V143" s="1239"/>
      <c r="W143" s="1239"/>
      <c r="X143" s="1239"/>
      <c r="Y143" s="1239"/>
      <c r="Z143" s="1239"/>
      <c r="AA143" s="1239"/>
      <c r="AB143" s="1239"/>
      <c r="AC143" s="448"/>
      <c r="AD143" s="448"/>
      <c r="AE143" s="1239"/>
      <c r="AF143" s="448"/>
      <c r="AG143" s="171"/>
      <c r="AH143" s="448"/>
      <c r="AI143" s="448"/>
      <c r="AJ143" s="1239"/>
      <c r="AK143" s="1239"/>
      <c r="AL143" s="1239"/>
      <c r="AM143" s="1239"/>
      <c r="AN143" s="484"/>
      <c r="AO143" s="638"/>
      <c r="AP143" s="638"/>
      <c r="AQ143" s="484">
        <f>+FL_2($T$144,$T$142,$G$143,1200,9.28,-1*$F$144)</f>
        <v>-0.32959285641547864</v>
      </c>
      <c r="AR143" s="638"/>
      <c r="AS143" s="638"/>
      <c r="AT143" s="484"/>
      <c r="AU143" s="638"/>
      <c r="AV143" s="638"/>
      <c r="AW143" s="638"/>
      <c r="AX143" s="638"/>
      <c r="AY143" s="484"/>
      <c r="AZ143" s="484"/>
      <c r="BA143" s="671"/>
      <c r="BB143" s="1239"/>
      <c r="BC143" s="169"/>
      <c r="BD143" s="1330"/>
      <c r="BE143" s="1330"/>
      <c r="BF143" s="1330"/>
      <c r="BG143" s="1330"/>
    </row>
    <row r="144" spans="1:59" ht="15.75" customHeight="1">
      <c r="A144" s="1239"/>
      <c r="B144" s="1239" t="s">
        <v>2107</v>
      </c>
      <c r="C144" s="171">
        <f>+$C$142+$G$143</f>
        <v>96364.35000000002</v>
      </c>
      <c r="D144" s="171"/>
      <c r="E144" s="1239"/>
      <c r="F144" s="1239">
        <v>0</v>
      </c>
      <c r="G144" s="455"/>
      <c r="H144" s="1239" t="s">
        <v>619</v>
      </c>
      <c r="I144" s="1239"/>
      <c r="J144" s="171"/>
      <c r="K144" s="1239"/>
      <c r="L144" s="1239" t="s">
        <v>819</v>
      </c>
      <c r="M144" s="1239" t="s">
        <v>1692</v>
      </c>
      <c r="N144" s="1239" t="s">
        <v>143</v>
      </c>
      <c r="O144" s="1239" t="s">
        <v>140</v>
      </c>
      <c r="P144" s="1239"/>
      <c r="Q144" s="448">
        <v>0</v>
      </c>
      <c r="R144" s="448">
        <v>0</v>
      </c>
      <c r="S144" s="455"/>
      <c r="T144" s="1239">
        <v>-30</v>
      </c>
      <c r="U144" s="1239">
        <v>-45</v>
      </c>
      <c r="V144" s="1239"/>
      <c r="W144" s="1239">
        <v>1.4</v>
      </c>
      <c r="X144" s="1239">
        <v>1.8</v>
      </c>
      <c r="Y144" s="1239"/>
      <c r="Z144" s="1239"/>
      <c r="AA144" s="1239">
        <v>0.45</v>
      </c>
      <c r="AB144" s="1239"/>
      <c r="AC144" s="448" t="s">
        <v>4090</v>
      </c>
      <c r="AD144" s="448"/>
      <c r="AE144" s="1239"/>
      <c r="AF144" s="448">
        <v>3700</v>
      </c>
      <c r="AG144" s="171">
        <v>96364</v>
      </c>
      <c r="AH144" s="448">
        <v>3213</v>
      </c>
      <c r="AI144" s="448">
        <v>-1380</v>
      </c>
      <c r="AJ144" s="1239"/>
      <c r="AK144" s="1239"/>
      <c r="AL144" s="1239" t="s">
        <v>2127</v>
      </c>
      <c r="AM144" s="1239" t="s">
        <v>1043</v>
      </c>
      <c r="AN144" s="484">
        <v>5.22</v>
      </c>
      <c r="AO144" s="638"/>
      <c r="AP144" s="638"/>
      <c r="AQ144" s="484"/>
      <c r="AR144" s="638"/>
      <c r="AS144" s="638"/>
      <c r="AT144" s="484">
        <f>+ab($T$144,$T$142,$T$146,$G$143,$G$145,-1*$F$144,1200)</f>
        <v>-6.7172524635883644</v>
      </c>
      <c r="AU144" s="638"/>
      <c r="AV144" s="638"/>
      <c r="AW144" s="638" t="s">
        <v>2886</v>
      </c>
      <c r="AX144" s="638"/>
      <c r="AY144" s="484"/>
      <c r="AZ144" s="484"/>
      <c r="BA144" s="671" t="s">
        <v>2809</v>
      </c>
      <c r="BB144" s="1239" t="str">
        <f>Pole_Calculations!A178</f>
        <v>App.8-V08F-P10.3</v>
      </c>
      <c r="BC144" s="169"/>
      <c r="BD144" s="1329" t="s">
        <v>4946</v>
      </c>
      <c r="BE144" s="1329" t="s">
        <v>4946</v>
      </c>
      <c r="BF144" s="1329" t="s">
        <v>4946</v>
      </c>
      <c r="BG144" s="1329">
        <v>43570</v>
      </c>
    </row>
    <row r="145" spans="1:59" ht="15.75" customHeight="1">
      <c r="A145" s="1239"/>
      <c r="B145" s="1239"/>
      <c r="C145" s="171"/>
      <c r="D145" s="171"/>
      <c r="E145" s="1239"/>
      <c r="F145" s="1239"/>
      <c r="G145" s="455">
        <v>37</v>
      </c>
      <c r="H145" s="1239"/>
      <c r="I145" s="1239"/>
      <c r="J145" s="171">
        <f>C146-7.5</f>
        <v>96393.85000000002</v>
      </c>
      <c r="K145" s="1239" t="s">
        <v>1739</v>
      </c>
      <c r="L145" s="1239"/>
      <c r="M145" s="1239"/>
      <c r="N145" s="1239"/>
      <c r="O145" s="1239"/>
      <c r="P145" s="1239"/>
      <c r="Q145" s="448"/>
      <c r="R145" s="448"/>
      <c r="S145" s="455">
        <f>+AG146-AG144</f>
        <v>37</v>
      </c>
      <c r="T145" s="1239"/>
      <c r="U145" s="1239"/>
      <c r="V145" s="1239"/>
      <c r="W145" s="1239"/>
      <c r="X145" s="1239"/>
      <c r="Y145" s="1239"/>
      <c r="Z145" s="1239"/>
      <c r="AA145" s="1239"/>
      <c r="AB145" s="1239"/>
      <c r="AC145" s="448"/>
      <c r="AD145" s="448"/>
      <c r="AE145" s="1239"/>
      <c r="AF145" s="448"/>
      <c r="AG145" s="171"/>
      <c r="AH145" s="448"/>
      <c r="AI145" s="448"/>
      <c r="AJ145" s="1239"/>
      <c r="AK145" s="1239"/>
      <c r="AL145" s="1239"/>
      <c r="AM145" s="1239"/>
      <c r="AN145" s="484"/>
      <c r="AO145" s="638"/>
      <c r="AP145" s="638"/>
      <c r="AQ145" s="484">
        <f>+FL_2($T$146,$T$144,$G$145,1200,9.28,-1*$F$146)</f>
        <v>-0.30000000000000226</v>
      </c>
      <c r="AR145" s="638"/>
      <c r="AS145" s="638"/>
      <c r="AT145" s="484"/>
      <c r="AU145" s="638"/>
      <c r="AV145" s="638"/>
      <c r="AW145" s="638" t="s">
        <v>2885</v>
      </c>
      <c r="AX145" s="638"/>
      <c r="AY145" s="484"/>
      <c r="AZ145" s="484"/>
      <c r="BA145" s="671" t="s">
        <v>2809</v>
      </c>
      <c r="BB145" s="1239"/>
      <c r="BC145" s="169"/>
      <c r="BD145" s="1329" t="s">
        <v>4946</v>
      </c>
      <c r="BE145" s="1330"/>
      <c r="BF145" s="1330"/>
      <c r="BG145" s="1330"/>
    </row>
    <row r="146" spans="1:59" ht="15.75" customHeight="1">
      <c r="A146" s="1239"/>
      <c r="B146" s="1239" t="s">
        <v>2108</v>
      </c>
      <c r="C146" s="171">
        <f>+$C$144+$G$145</f>
        <v>96401.35000000002</v>
      </c>
      <c r="D146" s="171"/>
      <c r="E146" s="1239"/>
      <c r="F146" s="1239">
        <v>0</v>
      </c>
      <c r="G146" s="455"/>
      <c r="H146" s="1239" t="s">
        <v>2133</v>
      </c>
      <c r="I146" s="1239" t="s">
        <v>4231</v>
      </c>
      <c r="J146" s="171"/>
      <c r="K146" s="1239"/>
      <c r="L146" s="1239" t="s">
        <v>819</v>
      </c>
      <c r="M146" s="1239" t="s">
        <v>1692</v>
      </c>
      <c r="N146" s="1239" t="s">
        <v>144</v>
      </c>
      <c r="O146" s="1239" t="s">
        <v>140</v>
      </c>
      <c r="P146" s="1239"/>
      <c r="Q146" s="448">
        <v>0</v>
      </c>
      <c r="R146" s="448">
        <v>0</v>
      </c>
      <c r="S146" s="455"/>
      <c r="T146" s="1239">
        <v>30</v>
      </c>
      <c r="U146" s="1239">
        <v>-45</v>
      </c>
      <c r="V146" s="1239"/>
      <c r="W146" s="1239">
        <v>1.4</v>
      </c>
      <c r="X146" s="1239">
        <v>2</v>
      </c>
      <c r="Y146" s="1239"/>
      <c r="Z146" s="1239"/>
      <c r="AA146" s="1239">
        <v>0.6</v>
      </c>
      <c r="AB146" s="1239"/>
      <c r="AC146" s="448" t="s">
        <v>4090</v>
      </c>
      <c r="AD146" s="448"/>
      <c r="AE146" s="1239"/>
      <c r="AF146" s="448">
        <v>3900</v>
      </c>
      <c r="AG146" s="171">
        <v>96401</v>
      </c>
      <c r="AH146" s="448">
        <v>3163</v>
      </c>
      <c r="AI146" s="448">
        <v>-1329</v>
      </c>
      <c r="AJ146" s="1239"/>
      <c r="AK146" s="1239"/>
      <c r="AL146" s="1239" t="s">
        <v>2127</v>
      </c>
      <c r="AM146" s="1239" t="s">
        <v>1043</v>
      </c>
      <c r="AN146" s="484">
        <v>5.33</v>
      </c>
      <c r="AO146" s="638"/>
      <c r="AP146" s="638"/>
      <c r="AQ146" s="484"/>
      <c r="AR146" s="638"/>
      <c r="AS146" s="638"/>
      <c r="AT146" s="484">
        <f>+ab($T$146,$T$144,$U$148,$G$145,$G$147,-1*$F$146,1200)</f>
        <v>6.3344980270076245</v>
      </c>
      <c r="AU146" s="638"/>
      <c r="AV146" s="638"/>
      <c r="AW146" s="638" t="s">
        <v>2886</v>
      </c>
      <c r="AX146" s="638"/>
      <c r="AY146" s="484"/>
      <c r="AZ146" s="484"/>
      <c r="BA146" s="671" t="s">
        <v>2809</v>
      </c>
      <c r="BB146" s="1239" t="str">
        <f>Pole_Calculations!A178</f>
        <v>App.8-V08F-P10.3</v>
      </c>
      <c r="BC146" s="169"/>
      <c r="BD146" s="1329" t="s">
        <v>4946</v>
      </c>
      <c r="BE146" s="1329" t="s">
        <v>4946</v>
      </c>
      <c r="BF146" s="1329" t="s">
        <v>4946</v>
      </c>
      <c r="BG146" s="1329">
        <v>43570</v>
      </c>
    </row>
    <row r="147" spans="1:59" ht="15.75" customHeight="1">
      <c r="A147" s="1239"/>
      <c r="B147" s="1239"/>
      <c r="C147" s="171"/>
      <c r="D147" s="171"/>
      <c r="E147" s="1239"/>
      <c r="F147" s="1239"/>
      <c r="G147" s="455">
        <v>43</v>
      </c>
      <c r="H147" s="1239"/>
      <c r="I147" s="1239">
        <v>387</v>
      </c>
      <c r="J147" s="171"/>
      <c r="K147" s="1239"/>
      <c r="L147" s="1239"/>
      <c r="M147" s="1239"/>
      <c r="N147" s="1239"/>
      <c r="O147" s="1239"/>
      <c r="P147" s="1239"/>
      <c r="Q147" s="448"/>
      <c r="R147" s="448"/>
      <c r="S147" s="455">
        <f>+AG148-AG146</f>
        <v>43</v>
      </c>
      <c r="T147" s="1239"/>
      <c r="U147" s="1239"/>
      <c r="V147" s="1239"/>
      <c r="W147" s="1239"/>
      <c r="X147" s="1239"/>
      <c r="Y147" s="1239"/>
      <c r="Z147" s="1239"/>
      <c r="AA147" s="1239"/>
      <c r="AB147" s="1239"/>
      <c r="AC147" s="448"/>
      <c r="AD147" s="448"/>
      <c r="AE147" s="1239"/>
      <c r="AF147" s="448"/>
      <c r="AG147" s="171"/>
      <c r="AH147" s="448"/>
      <c r="AI147" s="448"/>
      <c r="AJ147" s="1239"/>
      <c r="AK147" s="1239"/>
      <c r="AL147" s="1239"/>
      <c r="AM147" s="1239"/>
      <c r="AN147" s="484"/>
      <c r="AO147" s="638"/>
      <c r="AP147" s="638"/>
      <c r="AQ147" s="484">
        <f>+FL_1($U$148,$T$146,$G$147,1200,9.28,-1*$F$148)</f>
        <v>0.30462017823255821</v>
      </c>
      <c r="AR147" s="638"/>
      <c r="AS147" s="638"/>
      <c r="AT147" s="484"/>
      <c r="AU147" s="638"/>
      <c r="AV147" s="638"/>
      <c r="AW147" s="638"/>
      <c r="AX147" s="638"/>
      <c r="AY147" s="484"/>
      <c r="AZ147" s="484"/>
      <c r="BA147" s="671"/>
      <c r="BB147" s="1239"/>
      <c r="BC147" s="169"/>
      <c r="BD147" s="1330"/>
      <c r="BE147" s="1330"/>
      <c r="BF147" s="1330"/>
      <c r="BG147" s="1330"/>
    </row>
    <row r="148" spans="1:59" ht="15.75" customHeight="1">
      <c r="A148" s="1239"/>
      <c r="B148" s="1239" t="s">
        <v>2109</v>
      </c>
      <c r="C148" s="171">
        <f>+$C$146+$G$147</f>
        <v>96444.35000000002</v>
      </c>
      <c r="D148" s="171"/>
      <c r="E148" s="1239"/>
      <c r="F148" s="1239">
        <v>0</v>
      </c>
      <c r="G148" s="455"/>
      <c r="H148" s="1239" t="s">
        <v>2130</v>
      </c>
      <c r="I148" s="1239" t="s">
        <v>4231</v>
      </c>
      <c r="J148" s="171"/>
      <c r="K148" s="1239"/>
      <c r="L148" s="1239" t="s">
        <v>819</v>
      </c>
      <c r="M148" s="1239" t="s">
        <v>1692</v>
      </c>
      <c r="N148" s="1239" t="s">
        <v>140</v>
      </c>
      <c r="O148" s="1239" t="s">
        <v>143</v>
      </c>
      <c r="P148" s="1239" t="s">
        <v>140</v>
      </c>
      <c r="Q148" s="448">
        <v>0</v>
      </c>
      <c r="R148" s="448">
        <v>0</v>
      </c>
      <c r="S148" s="455"/>
      <c r="T148" s="1239">
        <v>50</v>
      </c>
      <c r="U148" s="1239">
        <v>-30</v>
      </c>
      <c r="V148" s="1239">
        <v>15</v>
      </c>
      <c r="W148" s="1239">
        <v>1.4</v>
      </c>
      <c r="X148" s="1239">
        <v>2.1</v>
      </c>
      <c r="Y148" s="1239">
        <v>1.8</v>
      </c>
      <c r="Z148" s="1239">
        <v>0.6</v>
      </c>
      <c r="AA148" s="1239"/>
      <c r="AB148" s="1239">
        <v>0.5</v>
      </c>
      <c r="AC148" s="448" t="s">
        <v>4090</v>
      </c>
      <c r="AD148" s="448"/>
      <c r="AE148" s="1239"/>
      <c r="AF148" s="448">
        <v>4100</v>
      </c>
      <c r="AG148" s="171">
        <v>96444</v>
      </c>
      <c r="AH148" s="448">
        <v>3183</v>
      </c>
      <c r="AI148" s="448">
        <v>-1150</v>
      </c>
      <c r="AJ148" s="1239"/>
      <c r="AK148" s="1239"/>
      <c r="AL148" s="1239" t="s">
        <v>2127</v>
      </c>
      <c r="AM148" s="1239" t="s">
        <v>1043</v>
      </c>
      <c r="AN148" s="484">
        <v>5.44</v>
      </c>
      <c r="AO148" s="638"/>
      <c r="AP148" s="638"/>
      <c r="AQ148" s="484"/>
      <c r="AR148" s="638"/>
      <c r="AS148" s="638"/>
      <c r="AT148" s="484">
        <f>+ab($U$148,$T$146,$T$150,$G$147,$G$149,-1*$F$148,1200)</f>
        <v>-7.1516907159940386</v>
      </c>
      <c r="AU148" s="638"/>
      <c r="AV148" s="638"/>
      <c r="AW148" s="638" t="s">
        <v>2886</v>
      </c>
      <c r="AX148" s="638"/>
      <c r="AY148" s="484"/>
      <c r="AZ148" s="484"/>
      <c r="BA148" s="671" t="s">
        <v>2809</v>
      </c>
      <c r="BB148" s="1239" t="str">
        <f>Pole_Calculations!A178</f>
        <v>App.8-V08F-P10.3</v>
      </c>
      <c r="BC148" s="169"/>
      <c r="BD148" s="1329" t="s">
        <v>4946</v>
      </c>
      <c r="BE148" s="1329" t="s">
        <v>4946</v>
      </c>
      <c r="BF148" s="1329" t="s">
        <v>4946</v>
      </c>
      <c r="BG148" s="1329">
        <v>43570</v>
      </c>
    </row>
    <row r="149" spans="1:59" ht="15.75" customHeight="1">
      <c r="A149" s="1239"/>
      <c r="B149" s="1239"/>
      <c r="C149" s="171"/>
      <c r="D149" s="171"/>
      <c r="E149" s="1239"/>
      <c r="F149" s="1239"/>
      <c r="G149" s="455">
        <v>47.1</v>
      </c>
      <c r="H149" s="1239"/>
      <c r="I149" s="1239">
        <v>337</v>
      </c>
      <c r="J149" s="171">
        <f>C148+7.5</f>
        <v>96451.85000000002</v>
      </c>
      <c r="K149" s="1239" t="s">
        <v>1739</v>
      </c>
      <c r="L149" s="1239"/>
      <c r="M149" s="1239"/>
      <c r="N149" s="1239"/>
      <c r="O149" s="1239"/>
      <c r="P149" s="1239"/>
      <c r="Q149" s="448"/>
      <c r="R149" s="448"/>
      <c r="S149" s="455">
        <f>+AG150-AG148</f>
        <v>47</v>
      </c>
      <c r="T149" s="1239"/>
      <c r="U149" s="1239"/>
      <c r="V149" s="1239"/>
      <c r="W149" s="1239"/>
      <c r="X149" s="1239"/>
      <c r="Y149" s="1239"/>
      <c r="Z149" s="1239"/>
      <c r="AA149" s="1239"/>
      <c r="AB149" s="1239"/>
      <c r="AC149" s="448"/>
      <c r="AD149" s="448"/>
      <c r="AE149" s="1239"/>
      <c r="AF149" s="448"/>
      <c r="AG149" s="171"/>
      <c r="AH149" s="448"/>
      <c r="AI149" s="448"/>
      <c r="AJ149" s="1239"/>
      <c r="AK149" s="1239"/>
      <c r="AL149" s="1239"/>
      <c r="AM149" s="1239"/>
      <c r="AN149" s="484"/>
      <c r="AO149" s="638"/>
      <c r="AP149" s="638"/>
      <c r="AQ149" s="484">
        <f>+FL_1($T$150,$U$148,$G$149,1200,9.28,-1*$F$150)</f>
        <v>0.31936766919745219</v>
      </c>
      <c r="AR149" s="638"/>
      <c r="AS149" s="638"/>
      <c r="AT149" s="484"/>
      <c r="AU149" s="638"/>
      <c r="AV149" s="638"/>
      <c r="AW149" s="638" t="s">
        <v>2885</v>
      </c>
      <c r="AX149" s="638"/>
      <c r="AY149" s="484"/>
      <c r="AZ149" s="484"/>
      <c r="BA149" s="671" t="s">
        <v>2809</v>
      </c>
      <c r="BB149" s="1239"/>
      <c r="BC149" s="169"/>
      <c r="BD149" s="1329" t="s">
        <v>4946</v>
      </c>
      <c r="BE149" s="1330"/>
      <c r="BF149" s="1330"/>
      <c r="BG149" s="1330"/>
    </row>
    <row r="150" spans="1:59" ht="25">
      <c r="A150" s="1239"/>
      <c r="B150" s="1239" t="s">
        <v>2110</v>
      </c>
      <c r="C150" s="171">
        <f>+$C$148+$G$149</f>
        <v>96491.450000000026</v>
      </c>
      <c r="D150" s="171"/>
      <c r="E150" s="1239"/>
      <c r="F150" s="1239">
        <v>0</v>
      </c>
      <c r="G150" s="455"/>
      <c r="H150" s="168" t="s">
        <v>3865</v>
      </c>
      <c r="I150" s="1239" t="s">
        <v>4231</v>
      </c>
      <c r="J150" s="171" t="s">
        <v>4231</v>
      </c>
      <c r="K150" s="1239"/>
      <c r="L150" s="1239" t="s">
        <v>819</v>
      </c>
      <c r="M150" s="1239" t="s">
        <v>1692</v>
      </c>
      <c r="N150" s="1239" t="s">
        <v>144</v>
      </c>
      <c r="O150" s="1239"/>
      <c r="P150" s="1239"/>
      <c r="Q150" s="448">
        <v>0</v>
      </c>
      <c r="R150" s="448">
        <v>0</v>
      </c>
      <c r="S150" s="455"/>
      <c r="T150" s="1239">
        <v>30</v>
      </c>
      <c r="U150" s="1239"/>
      <c r="V150" s="1239"/>
      <c r="W150" s="1239">
        <v>1.8</v>
      </c>
      <c r="X150" s="1239"/>
      <c r="Y150" s="1239"/>
      <c r="Z150" s="1239"/>
      <c r="AA150" s="1239"/>
      <c r="AB150" s="1239"/>
      <c r="AC150" s="448" t="s">
        <v>4090</v>
      </c>
      <c r="AD150" s="448"/>
      <c r="AE150" s="1239"/>
      <c r="AF150" s="448">
        <v>4300</v>
      </c>
      <c r="AG150" s="171">
        <v>96491</v>
      </c>
      <c r="AH150" s="448">
        <v>3173</v>
      </c>
      <c r="AI150" s="448">
        <v>-1110</v>
      </c>
      <c r="AJ150" s="1239"/>
      <c r="AK150" s="1239"/>
      <c r="AL150" s="1239" t="s">
        <v>2127</v>
      </c>
      <c r="AM150" s="1239" t="s">
        <v>1043</v>
      </c>
      <c r="AN150" s="484">
        <v>5.5</v>
      </c>
      <c r="AO150" s="638"/>
      <c r="AP150" s="638"/>
      <c r="AQ150" s="484"/>
      <c r="AR150" s="638"/>
      <c r="AS150" s="638"/>
      <c r="AT150" s="484">
        <f>+ab($T$150,$U$148,$U$152,$G$149,$G$151,-1*$F$150,1200)</f>
        <v>7.1516668254644902</v>
      </c>
      <c r="AU150" s="638"/>
      <c r="AV150" s="638"/>
      <c r="AW150" s="644" t="s">
        <v>2886</v>
      </c>
      <c r="AX150" s="638"/>
      <c r="AY150" s="484"/>
      <c r="AZ150" s="484"/>
      <c r="BA150" s="671" t="s">
        <v>2809</v>
      </c>
      <c r="BB150" s="1239" t="str">
        <f>Pole_Calculations!A178</f>
        <v>App.8-V08F-P10.3</v>
      </c>
      <c r="BC150" s="169"/>
      <c r="BD150" s="1329" t="s">
        <v>4946</v>
      </c>
      <c r="BE150" s="1329" t="s">
        <v>4946</v>
      </c>
      <c r="BF150" s="1329" t="s">
        <v>4946</v>
      </c>
      <c r="BG150" s="1329">
        <v>43569</v>
      </c>
    </row>
    <row r="151" spans="1:59" ht="15.65" customHeight="1">
      <c r="A151" s="1239"/>
      <c r="B151" s="1239"/>
      <c r="C151" s="171"/>
      <c r="D151" s="171"/>
      <c r="E151" s="1239"/>
      <c r="F151" s="1239"/>
      <c r="G151" s="455">
        <v>43</v>
      </c>
      <c r="H151" s="1239"/>
      <c r="I151" s="1239">
        <v>236</v>
      </c>
      <c r="J151" s="171">
        <f>C152-7.5</f>
        <v>96526.950000000026</v>
      </c>
      <c r="K151" s="1239" t="s">
        <v>1739</v>
      </c>
      <c r="L151" s="1239"/>
      <c r="M151" s="1239"/>
      <c r="N151" s="1239"/>
      <c r="O151" s="1239"/>
      <c r="P151" s="1239"/>
      <c r="Q151" s="448"/>
      <c r="R151" s="448"/>
      <c r="S151" s="455">
        <f>+AG152-AG150</f>
        <v>43</v>
      </c>
      <c r="T151" s="1239"/>
      <c r="U151" s="1239"/>
      <c r="V151" s="1239"/>
      <c r="W151" s="1239"/>
      <c r="X151" s="1239"/>
      <c r="Y151" s="1239"/>
      <c r="Z151" s="1239"/>
      <c r="AA151" s="1239"/>
      <c r="AB151" s="1239"/>
      <c r="AC151" s="448"/>
      <c r="AD151" s="448"/>
      <c r="AE151" s="1239"/>
      <c r="AF151" s="448"/>
      <c r="AG151" s="171"/>
      <c r="AH151" s="448"/>
      <c r="AI151" s="448"/>
      <c r="AJ151" s="1239"/>
      <c r="AK151" s="1239"/>
      <c r="AL151" s="1239"/>
      <c r="AM151" s="1239"/>
      <c r="AN151" s="484"/>
      <c r="AO151" s="638"/>
      <c r="AP151" s="638"/>
      <c r="AQ151" s="484">
        <f>+FL_1($U$152,$T$150,$G$151,1200,9.28,-1*$F$152)</f>
        <v>0.30462017823255821</v>
      </c>
      <c r="AR151" s="638"/>
      <c r="AS151" s="638"/>
      <c r="AT151" s="484"/>
      <c r="AU151" s="638"/>
      <c r="AV151" s="638"/>
      <c r="AW151" s="638" t="s">
        <v>2885</v>
      </c>
      <c r="AX151" s="638"/>
      <c r="AY151" s="484"/>
      <c r="AZ151" s="484"/>
      <c r="BA151" s="671" t="s">
        <v>2809</v>
      </c>
      <c r="BB151" s="1239"/>
      <c r="BC151" s="169"/>
      <c r="BD151" s="1329" t="s">
        <v>4946</v>
      </c>
      <c r="BE151" s="1330"/>
      <c r="BF151" s="1330"/>
      <c r="BG151" s="1330"/>
    </row>
    <row r="152" spans="1:59" ht="15.75" customHeight="1">
      <c r="A152" s="1239"/>
      <c r="B152" s="1239" t="s">
        <v>2111</v>
      </c>
      <c r="C152" s="171">
        <f>+$C$150+$G$151</f>
        <v>96534.450000000026</v>
      </c>
      <c r="D152" s="171"/>
      <c r="E152" s="1239"/>
      <c r="F152" s="1239">
        <v>0</v>
      </c>
      <c r="G152" s="455"/>
      <c r="H152" s="171" t="s">
        <v>2130</v>
      </c>
      <c r="I152" s="1239" t="s">
        <v>4231</v>
      </c>
      <c r="J152" s="171"/>
      <c r="K152" s="1239"/>
      <c r="L152" s="1239" t="s">
        <v>819</v>
      </c>
      <c r="M152" s="1239" t="s">
        <v>1692</v>
      </c>
      <c r="N152" s="1239" t="s">
        <v>140</v>
      </c>
      <c r="O152" s="1239" t="s">
        <v>143</v>
      </c>
      <c r="P152" s="1239"/>
      <c r="Q152" s="448">
        <v>0</v>
      </c>
      <c r="R152" s="448">
        <v>0</v>
      </c>
      <c r="S152" s="455"/>
      <c r="T152" s="1239">
        <v>50</v>
      </c>
      <c r="U152" s="1239">
        <v>-30</v>
      </c>
      <c r="V152" s="1239"/>
      <c r="W152" s="1239">
        <v>1.4</v>
      </c>
      <c r="X152" s="1239">
        <v>1.8</v>
      </c>
      <c r="Y152" s="1239"/>
      <c r="Z152" s="1239">
        <v>0.6</v>
      </c>
      <c r="AA152" s="1239"/>
      <c r="AB152" s="1239"/>
      <c r="AC152" s="448" t="s">
        <v>4090</v>
      </c>
      <c r="AD152" s="448"/>
      <c r="AE152" s="1239"/>
      <c r="AF152" s="448">
        <v>4200</v>
      </c>
      <c r="AG152" s="171">
        <v>96534</v>
      </c>
      <c r="AH152" s="448">
        <v>3133</v>
      </c>
      <c r="AI152" s="448">
        <v>-1040</v>
      </c>
      <c r="AJ152" s="1239"/>
      <c r="AK152" s="1239"/>
      <c r="AL152" s="1239" t="s">
        <v>2127</v>
      </c>
      <c r="AM152" s="1239" t="s">
        <v>1043</v>
      </c>
      <c r="AN152" s="484">
        <v>5.5</v>
      </c>
      <c r="AO152" s="638"/>
      <c r="AP152" s="638"/>
      <c r="AQ152" s="484"/>
      <c r="AR152" s="638"/>
      <c r="AS152" s="638"/>
      <c r="AT152" s="484">
        <f>+ab($U$152,$T$150,$U$154,$G$151,$G$153,-1*$F$152,1200)</f>
        <v>-5.9499232086957399</v>
      </c>
      <c r="AU152" s="638"/>
      <c r="AV152" s="638"/>
      <c r="AW152" s="638" t="s">
        <v>2886</v>
      </c>
      <c r="AX152" s="638"/>
      <c r="AY152" s="484"/>
      <c r="AZ152" s="484"/>
      <c r="BA152" s="671" t="s">
        <v>2809</v>
      </c>
      <c r="BB152" s="1239" t="str">
        <f>Pole_Calculations!A178</f>
        <v>App.8-V08F-P10.3</v>
      </c>
      <c r="BC152" s="169"/>
      <c r="BD152" s="1329" t="s">
        <v>4946</v>
      </c>
      <c r="BE152" s="1329" t="s">
        <v>4946</v>
      </c>
      <c r="BF152" s="1329" t="s">
        <v>4946</v>
      </c>
      <c r="BG152" s="1329">
        <v>43570</v>
      </c>
    </row>
    <row r="153" spans="1:59" ht="15.75" customHeight="1">
      <c r="A153" s="1239"/>
      <c r="B153" s="1239"/>
      <c r="C153" s="171"/>
      <c r="D153" s="171"/>
      <c r="E153" s="1239"/>
      <c r="F153" s="1239"/>
      <c r="G153" s="455">
        <v>33</v>
      </c>
      <c r="H153" s="1239"/>
      <c r="I153" s="1239">
        <v>360</v>
      </c>
      <c r="J153" s="171">
        <f>C154-7.5</f>
        <v>96559.950000000026</v>
      </c>
      <c r="K153" s="1239" t="s">
        <v>1739</v>
      </c>
      <c r="L153" s="1239"/>
      <c r="M153" s="1239"/>
      <c r="N153" s="1239"/>
      <c r="O153" s="1239"/>
      <c r="P153" s="1239"/>
      <c r="Q153" s="448"/>
      <c r="R153" s="448"/>
      <c r="S153" s="455">
        <f>+AG154-AG152</f>
        <v>33</v>
      </c>
      <c r="T153" s="1239"/>
      <c r="U153" s="1239"/>
      <c r="V153" s="1239"/>
      <c r="W153" s="1239"/>
      <c r="X153" s="1239"/>
      <c r="Y153" s="1239"/>
      <c r="Z153" s="1239"/>
      <c r="AA153" s="1239"/>
      <c r="AB153" s="1239"/>
      <c r="AC153" s="448"/>
      <c r="AD153" s="448"/>
      <c r="AE153" s="1239"/>
      <c r="AF153" s="448"/>
      <c r="AG153" s="171"/>
      <c r="AH153" s="448"/>
      <c r="AI153" s="448"/>
      <c r="AJ153" s="1239"/>
      <c r="AK153" s="1239"/>
      <c r="AL153" s="1239"/>
      <c r="AM153" s="1239"/>
      <c r="AN153" s="484"/>
      <c r="AO153" s="638"/>
      <c r="AP153" s="638"/>
      <c r="AQ153" s="484">
        <f>+FL_1($U$154,$U$152,$G$153,1200,9.28,-1*$F$154)</f>
        <v>0.3</v>
      </c>
      <c r="AR153" s="638"/>
      <c r="AS153" s="638"/>
      <c r="AT153" s="484"/>
      <c r="AU153" s="638"/>
      <c r="AV153" s="638"/>
      <c r="AW153" s="638" t="s">
        <v>2885</v>
      </c>
      <c r="AX153" s="638"/>
      <c r="AY153" s="484"/>
      <c r="AZ153" s="484"/>
      <c r="BA153" s="671" t="s">
        <v>2809</v>
      </c>
      <c r="BB153" s="1239"/>
      <c r="BC153" s="169"/>
      <c r="BD153" s="1329" t="s">
        <v>4946</v>
      </c>
      <c r="BE153" s="1330"/>
      <c r="BF153" s="1330"/>
      <c r="BG153" s="1330"/>
    </row>
    <row r="154" spans="1:59" ht="15.75" customHeight="1">
      <c r="A154" s="1239"/>
      <c r="B154" s="1239" t="s">
        <v>2112</v>
      </c>
      <c r="C154" s="171">
        <f>+$C$152+$G$153</f>
        <v>96567.450000000026</v>
      </c>
      <c r="D154" s="171"/>
      <c r="E154" s="1239"/>
      <c r="F154" s="1239">
        <v>0</v>
      </c>
      <c r="G154" s="455"/>
      <c r="H154" s="171" t="s">
        <v>2140</v>
      </c>
      <c r="I154" s="1239" t="s">
        <v>4231</v>
      </c>
      <c r="J154" s="171"/>
      <c r="K154" s="1239"/>
      <c r="L154" s="1239" t="s">
        <v>819</v>
      </c>
      <c r="M154" s="1239" t="s">
        <v>1692</v>
      </c>
      <c r="N154" s="1239" t="s">
        <v>140</v>
      </c>
      <c r="O154" s="1239" t="s">
        <v>144</v>
      </c>
      <c r="P154" s="1239" t="s">
        <v>140</v>
      </c>
      <c r="Q154" s="448">
        <v>10</v>
      </c>
      <c r="R154" s="448">
        <v>0</v>
      </c>
      <c r="S154" s="455"/>
      <c r="T154" s="1239">
        <v>45</v>
      </c>
      <c r="U154" s="1239">
        <v>30</v>
      </c>
      <c r="V154" s="1239">
        <v>60</v>
      </c>
      <c r="W154" s="1239">
        <v>1.8</v>
      </c>
      <c r="X154" s="1239">
        <v>2.2999999999999998</v>
      </c>
      <c r="Y154" s="1239">
        <v>1.4</v>
      </c>
      <c r="Z154" s="1239">
        <v>0.32</v>
      </c>
      <c r="AA154" s="1239"/>
      <c r="AB154" s="1239">
        <v>0.6</v>
      </c>
      <c r="AC154" s="448" t="s">
        <v>4090</v>
      </c>
      <c r="AD154" s="448"/>
      <c r="AE154" s="1239"/>
      <c r="AF154" s="448">
        <v>4300</v>
      </c>
      <c r="AG154" s="171">
        <v>96567</v>
      </c>
      <c r="AH154" s="448">
        <v>3003</v>
      </c>
      <c r="AI154" s="448">
        <v>-880</v>
      </c>
      <c r="AJ154" s="1239"/>
      <c r="AK154" s="1239"/>
      <c r="AL154" s="1239" t="s">
        <v>2127</v>
      </c>
      <c r="AM154" s="1239" t="s">
        <v>1043</v>
      </c>
      <c r="AN154" s="484">
        <v>5.5</v>
      </c>
      <c r="AO154" s="638"/>
      <c r="AP154" s="638"/>
      <c r="AQ154" s="484"/>
      <c r="AR154" s="638"/>
      <c r="AS154" s="638"/>
      <c r="AT154" s="484">
        <f>+ab($U$154,$U$152,$V$156,$G$153,$G$155,-1*$F$154,1200)</f>
        <v>5.5255987803618423</v>
      </c>
      <c r="AU154" s="638"/>
      <c r="AV154" s="638"/>
      <c r="AW154" s="638" t="s">
        <v>2886</v>
      </c>
      <c r="AX154" s="638"/>
      <c r="AY154" s="484"/>
      <c r="AZ154" s="484"/>
      <c r="BA154" s="671" t="s">
        <v>2809</v>
      </c>
      <c r="BB154" s="1239" t="str">
        <f>Pole_Calculations!A178</f>
        <v>App.8-V08F-P10.3</v>
      </c>
      <c r="BC154" s="169"/>
      <c r="BD154" s="1329" t="s">
        <v>4946</v>
      </c>
      <c r="BE154" s="1329" t="s">
        <v>4946</v>
      </c>
      <c r="BF154" s="1329" t="s">
        <v>4946</v>
      </c>
      <c r="BG154" s="1329">
        <v>43570</v>
      </c>
    </row>
    <row r="155" spans="1:59" ht="15.75" customHeight="1">
      <c r="A155" s="966" t="s">
        <v>1663</v>
      </c>
      <c r="B155" s="509"/>
      <c r="C155" s="510"/>
      <c r="D155" s="510"/>
      <c r="E155" s="509"/>
      <c r="F155" s="509"/>
      <c r="G155" s="513">
        <v>36.5</v>
      </c>
      <c r="H155" s="509"/>
      <c r="I155" s="509">
        <v>330</v>
      </c>
      <c r="J155" s="510"/>
      <c r="K155" s="509"/>
      <c r="L155" s="509"/>
      <c r="M155" s="509"/>
      <c r="N155" s="509"/>
      <c r="O155" s="509"/>
      <c r="P155" s="509"/>
      <c r="Q155" s="783"/>
      <c r="R155" s="783"/>
      <c r="S155" s="513">
        <f>+AG156-AG154</f>
        <v>37</v>
      </c>
      <c r="T155" s="509"/>
      <c r="U155" s="509"/>
      <c r="V155" s="509"/>
      <c r="W155" s="509"/>
      <c r="X155" s="509"/>
      <c r="Y155" s="509"/>
      <c r="Z155" s="509"/>
      <c r="AA155" s="509"/>
      <c r="AB155" s="509"/>
      <c r="AC155" s="509"/>
      <c r="AD155" s="509"/>
      <c r="AE155" s="509"/>
      <c r="AF155" s="783"/>
      <c r="AG155" s="510"/>
      <c r="AH155" s="783"/>
      <c r="AI155" s="783"/>
      <c r="AJ155" s="509"/>
      <c r="AK155" s="509"/>
      <c r="AL155" s="509"/>
      <c r="AM155" s="509"/>
      <c r="AN155" s="508"/>
      <c r="AO155" s="506"/>
      <c r="AP155" s="506"/>
      <c r="AQ155" s="508">
        <f>+FL_1($V$156,$U$154,$G$155,1200,9.28,-1*$F$156)</f>
        <v>0.30000000000000304</v>
      </c>
      <c r="AR155" s="506"/>
      <c r="AS155" s="506"/>
      <c r="AT155" s="508"/>
      <c r="AU155" s="506"/>
      <c r="AV155" s="506"/>
      <c r="AW155" s="506"/>
      <c r="AX155" s="506"/>
      <c r="AY155" s="508"/>
      <c r="AZ155" s="508"/>
      <c r="BA155" s="968"/>
      <c r="BB155" s="966"/>
      <c r="BC155" s="169"/>
      <c r="BD155" s="1330"/>
      <c r="BE155" s="1330"/>
      <c r="BF155" s="1330"/>
      <c r="BG155" s="1330"/>
    </row>
    <row r="156" spans="1:59" ht="15.75" customHeight="1">
      <c r="A156" s="1239"/>
      <c r="B156" s="1239" t="s">
        <v>2113</v>
      </c>
      <c r="C156" s="171">
        <f>+$C$154+$G$155</f>
        <v>96603.950000000026</v>
      </c>
      <c r="D156" s="171"/>
      <c r="E156" s="1239"/>
      <c r="F156" s="1239">
        <v>0</v>
      </c>
      <c r="G156" s="455"/>
      <c r="H156" s="171" t="s">
        <v>2513</v>
      </c>
      <c r="I156" s="1239" t="s">
        <v>4231</v>
      </c>
      <c r="J156" s="171"/>
      <c r="K156" s="1239"/>
      <c r="L156" s="1239" t="s">
        <v>819</v>
      </c>
      <c r="M156" s="1239" t="s">
        <v>2811</v>
      </c>
      <c r="N156" s="1239" t="s">
        <v>140</v>
      </c>
      <c r="O156" s="1239" t="s">
        <v>144</v>
      </c>
      <c r="P156" s="1239" t="s">
        <v>143</v>
      </c>
      <c r="Q156" s="448">
        <v>0</v>
      </c>
      <c r="R156" s="448">
        <v>0</v>
      </c>
      <c r="S156" s="455"/>
      <c r="T156" s="1239">
        <v>60</v>
      </c>
      <c r="U156" s="1239">
        <v>-15</v>
      </c>
      <c r="V156" s="1239">
        <v>-30</v>
      </c>
      <c r="W156" s="1239">
        <v>1.4</v>
      </c>
      <c r="X156" s="1239">
        <v>1.8</v>
      </c>
      <c r="Y156" s="1239">
        <v>2.2999999999999998</v>
      </c>
      <c r="Z156" s="1239">
        <v>0.37</v>
      </c>
      <c r="AA156" s="1239"/>
      <c r="AB156" s="1239"/>
      <c r="AC156" s="1239"/>
      <c r="AD156" s="638" t="s">
        <v>4207</v>
      </c>
      <c r="AE156" s="1239" t="s">
        <v>4124</v>
      </c>
      <c r="AF156" s="448">
        <v>5200</v>
      </c>
      <c r="AG156" s="171">
        <v>96604</v>
      </c>
      <c r="AH156" s="448">
        <v>2623</v>
      </c>
      <c r="AI156" s="448">
        <v>60</v>
      </c>
      <c r="AJ156" s="1239"/>
      <c r="AK156" s="1239"/>
      <c r="AL156" s="1239" t="s">
        <v>2127</v>
      </c>
      <c r="AM156" s="1239" t="s">
        <v>1043</v>
      </c>
      <c r="AN156" s="484">
        <v>5.5</v>
      </c>
      <c r="AO156" s="638"/>
      <c r="AP156" s="638"/>
      <c r="AQ156" s="484"/>
      <c r="AR156" s="638"/>
      <c r="AS156" s="638"/>
      <c r="AT156" s="484">
        <f>+ab($V$156,$U$154,$T$160,$G$155,$G$157,-1*$F$156,1200)</f>
        <v>-11.515875289564283</v>
      </c>
      <c r="AU156" s="638"/>
      <c r="AV156" s="638"/>
      <c r="AW156" s="638" t="s">
        <v>2875</v>
      </c>
      <c r="AX156" s="638"/>
      <c r="AY156" s="484"/>
      <c r="AZ156" s="484"/>
      <c r="BA156" s="671" t="s">
        <v>2809</v>
      </c>
      <c r="BB156" s="1239" t="str">
        <f>Pole_Calculations!A178</f>
        <v>App.8-V08F-P10.3</v>
      </c>
      <c r="BC156" s="169"/>
      <c r="BD156" s="1329">
        <v>43561</v>
      </c>
      <c r="BE156" s="1329" t="s">
        <v>4946</v>
      </c>
      <c r="BF156" s="1329" t="s">
        <v>4946</v>
      </c>
      <c r="BG156" s="1329">
        <v>43639</v>
      </c>
    </row>
    <row r="157" spans="1:59" ht="15.75" customHeight="1">
      <c r="A157" s="1239"/>
      <c r="B157" s="1239"/>
      <c r="C157" s="171"/>
      <c r="D157" s="171"/>
      <c r="E157" s="1239"/>
      <c r="F157" s="1239"/>
      <c r="G157" s="455">
        <v>24.5</v>
      </c>
      <c r="H157" s="1239"/>
      <c r="I157" s="1239"/>
      <c r="J157" s="171">
        <f>C156+7.5</f>
        <v>96611.450000000026</v>
      </c>
      <c r="K157" s="1239" t="s">
        <v>1684</v>
      </c>
      <c r="L157" s="1239"/>
      <c r="M157" s="1239"/>
      <c r="N157" s="1239"/>
      <c r="O157" s="1239"/>
      <c r="P157" s="1239"/>
      <c r="Q157" s="448"/>
      <c r="R157" s="448"/>
      <c r="S157" s="455">
        <f>+AG158-AG156</f>
        <v>24.80000000000291</v>
      </c>
      <c r="T157" s="1239"/>
      <c r="U157" s="1239"/>
      <c r="V157" s="1239"/>
      <c r="W157" s="1239"/>
      <c r="X157" s="1239"/>
      <c r="Y157" s="1239"/>
      <c r="Z157" s="1239"/>
      <c r="AA157" s="1239"/>
      <c r="AB157" s="1239"/>
      <c r="AC157" s="1239"/>
      <c r="AD157" s="638"/>
      <c r="AE157" s="1239"/>
      <c r="AF157" s="448"/>
      <c r="AG157" s="171"/>
      <c r="AH157" s="448"/>
      <c r="AI157" s="448"/>
      <c r="AJ157" s="1239" t="s">
        <v>2154</v>
      </c>
      <c r="AK157" s="1239"/>
      <c r="AL157" s="1239"/>
      <c r="AM157" s="1239"/>
      <c r="AN157" s="484"/>
      <c r="AO157" s="638"/>
      <c r="AP157" s="638"/>
      <c r="AQ157" s="484"/>
      <c r="AR157" s="638"/>
      <c r="AS157" s="638"/>
      <c r="AT157" s="484"/>
      <c r="AU157" s="638"/>
      <c r="AV157" s="638"/>
      <c r="AW157" s="638" t="s">
        <v>2846</v>
      </c>
      <c r="AX157" s="638"/>
      <c r="AY157" s="484"/>
      <c r="AZ157" s="484"/>
      <c r="BA157" s="671" t="s">
        <v>2809</v>
      </c>
      <c r="BB157" s="1239"/>
      <c r="BC157" s="169"/>
      <c r="BD157" s="1329" t="s">
        <v>4946</v>
      </c>
      <c r="BE157" s="1330"/>
      <c r="BF157" s="1330"/>
      <c r="BG157" s="1330"/>
    </row>
    <row r="158" spans="1:59" ht="15.75" customHeight="1">
      <c r="A158" s="1239" t="s">
        <v>2959</v>
      </c>
      <c r="B158" s="1239" t="s">
        <v>2413</v>
      </c>
      <c r="C158" s="171">
        <f>+$C$156+$G$157</f>
        <v>96628.450000000026</v>
      </c>
      <c r="D158" s="171"/>
      <c r="E158" s="1239"/>
      <c r="F158" s="1239">
        <v>0</v>
      </c>
      <c r="G158" s="455"/>
      <c r="H158" s="1239"/>
      <c r="I158" s="1239"/>
      <c r="J158" s="171"/>
      <c r="K158" s="1239"/>
      <c r="L158" s="1239" t="s">
        <v>2141</v>
      </c>
      <c r="M158" s="1239" t="s">
        <v>2811</v>
      </c>
      <c r="N158" s="1239"/>
      <c r="O158" s="1239"/>
      <c r="P158" s="1239"/>
      <c r="Q158" s="448">
        <v>0</v>
      </c>
      <c r="R158" s="448">
        <v>0</v>
      </c>
      <c r="S158" s="455"/>
      <c r="T158" s="1239"/>
      <c r="U158" s="1239"/>
      <c r="V158" s="1239"/>
      <c r="W158" s="1239"/>
      <c r="X158" s="1239"/>
      <c r="Y158" s="1239"/>
      <c r="Z158" s="1239"/>
      <c r="AA158" s="1239"/>
      <c r="AB158" s="1239"/>
      <c r="AC158" s="1239"/>
      <c r="AD158" s="1239"/>
      <c r="AE158" s="1239"/>
      <c r="AF158" s="448" t="s">
        <v>642</v>
      </c>
      <c r="AG158" s="171">
        <v>96628.800000000003</v>
      </c>
      <c r="AH158" s="448">
        <v>3323</v>
      </c>
      <c r="AI158" s="448">
        <v>30</v>
      </c>
      <c r="AJ158" s="1239" t="s">
        <v>884</v>
      </c>
      <c r="AK158" s="1239"/>
      <c r="AL158" s="1239" t="s">
        <v>828</v>
      </c>
      <c r="AM158" s="1239" t="s">
        <v>1043</v>
      </c>
      <c r="AN158" s="484"/>
      <c r="AO158" s="638"/>
      <c r="AP158" s="638"/>
      <c r="AQ158" s="484"/>
      <c r="AR158" s="638"/>
      <c r="AS158" s="638"/>
      <c r="AT158" s="484">
        <f>+ab($T$158,$T$156,$T$160,$G$157,$G$159,-1*$F$158,1200)</f>
        <v>-28.388566221818326</v>
      </c>
      <c r="AU158" s="638"/>
      <c r="AV158" s="638"/>
      <c r="AW158" s="638" t="s">
        <v>2875</v>
      </c>
      <c r="AX158" s="638"/>
      <c r="AY158" s="484"/>
      <c r="AZ158" s="484"/>
      <c r="BA158" s="671" t="s">
        <v>2809</v>
      </c>
      <c r="BB158" s="1239" t="str">
        <f>Pole_Calculations!A178</f>
        <v>App.8-V08F-P10.3</v>
      </c>
      <c r="BC158" s="169"/>
      <c r="BD158" s="1329">
        <v>43561</v>
      </c>
      <c r="BE158" s="1329" t="s">
        <v>4946</v>
      </c>
      <c r="BF158" s="1329" t="s">
        <v>4946</v>
      </c>
      <c r="BG158" s="1330"/>
    </row>
    <row r="159" spans="1:59" ht="15.75" customHeight="1">
      <c r="A159" s="1239" t="s">
        <v>2960</v>
      </c>
      <c r="B159" s="1239"/>
      <c r="C159" s="171"/>
      <c r="D159" s="171"/>
      <c r="E159" s="1239"/>
      <c r="F159" s="1239"/>
      <c r="G159" s="455">
        <v>16.399999999999999</v>
      </c>
      <c r="H159" s="1239"/>
      <c r="I159" s="1239"/>
      <c r="J159" s="171"/>
      <c r="K159" s="1239"/>
      <c r="L159" s="1239"/>
      <c r="M159" s="1239"/>
      <c r="N159" s="1239"/>
      <c r="O159" s="1239"/>
      <c r="P159" s="1239"/>
      <c r="Q159" s="448"/>
      <c r="R159" s="448"/>
      <c r="S159" s="455">
        <f>+AG160-AG158</f>
        <v>16.19999999999709</v>
      </c>
      <c r="T159" s="1239"/>
      <c r="U159" s="1239"/>
      <c r="V159" s="1239"/>
      <c r="W159" s="1239"/>
      <c r="X159" s="1239"/>
      <c r="Y159" s="1239"/>
      <c r="Z159" s="1239"/>
      <c r="AA159" s="1239"/>
      <c r="AB159" s="1239"/>
      <c r="AC159" s="1239"/>
      <c r="AD159" s="1239"/>
      <c r="AE159" s="1239"/>
      <c r="AF159" s="448"/>
      <c r="AG159" s="171"/>
      <c r="AH159" s="448"/>
      <c r="AI159" s="448"/>
      <c r="AJ159" s="1239" t="s">
        <v>864</v>
      </c>
      <c r="AK159" s="1239"/>
      <c r="AL159" s="1239"/>
      <c r="AM159" s="1239"/>
      <c r="AN159" s="484"/>
      <c r="AO159" s="638"/>
      <c r="AP159" s="638"/>
      <c r="AQ159" s="484">
        <f>+FL_1($T$160,$V$156,$G$159,1200,9.28,-1*$F$160)</f>
        <v>-0.27400053333333335</v>
      </c>
      <c r="AR159" s="638"/>
      <c r="AS159" s="638"/>
      <c r="AT159" s="484"/>
      <c r="AU159" s="638"/>
      <c r="AV159" s="638"/>
      <c r="AW159" s="638"/>
      <c r="AX159" s="638"/>
      <c r="AY159" s="484"/>
      <c r="AZ159" s="484"/>
      <c r="BA159" s="671"/>
      <c r="BB159" s="1239"/>
      <c r="BC159" s="169"/>
      <c r="BD159" s="1330"/>
      <c r="BE159" s="1330"/>
      <c r="BF159" s="1330"/>
      <c r="BG159" s="1330"/>
    </row>
    <row r="160" spans="1:59" ht="15.75" customHeight="1">
      <c r="A160" s="1239"/>
      <c r="B160" s="1239" t="s">
        <v>2114</v>
      </c>
      <c r="C160" s="171">
        <f>+$C$158+$G$159</f>
        <v>96644.85000000002</v>
      </c>
      <c r="D160" s="171"/>
      <c r="E160" s="1239"/>
      <c r="F160" s="1239">
        <v>0</v>
      </c>
      <c r="G160" s="455"/>
      <c r="H160" s="1239" t="s">
        <v>2514</v>
      </c>
      <c r="I160" s="1239"/>
      <c r="J160" s="171">
        <f>J161+2</f>
        <v>96682.35000000002</v>
      </c>
      <c r="K160" s="1239" t="s">
        <v>2788</v>
      </c>
      <c r="L160" s="1239"/>
      <c r="M160" s="1239"/>
      <c r="N160" s="1239" t="s">
        <v>844</v>
      </c>
      <c r="O160" s="1239" t="s">
        <v>843</v>
      </c>
      <c r="P160" s="1239"/>
      <c r="Q160" s="448">
        <v>0</v>
      </c>
      <c r="R160" s="448">
        <v>0</v>
      </c>
      <c r="S160" s="455"/>
      <c r="T160" s="1239">
        <v>-30</v>
      </c>
      <c r="U160" s="1239">
        <v>-15</v>
      </c>
      <c r="V160" s="1239"/>
      <c r="W160" s="1239">
        <v>2.2999999999999998</v>
      </c>
      <c r="X160" s="1239">
        <v>1.8</v>
      </c>
      <c r="Y160" s="1239"/>
      <c r="Z160" s="1239"/>
      <c r="AA160" s="1239"/>
      <c r="AB160" s="1239"/>
      <c r="AC160" s="638" t="s">
        <v>1427</v>
      </c>
      <c r="AD160" s="1239" t="s">
        <v>4207</v>
      </c>
      <c r="AE160" s="1239"/>
      <c r="AF160" s="448">
        <v>200</v>
      </c>
      <c r="AG160" s="171">
        <v>96645</v>
      </c>
      <c r="AH160" s="448">
        <v>1701</v>
      </c>
      <c r="AI160" s="448">
        <v>-5120</v>
      </c>
      <c r="AJ160" s="1239"/>
      <c r="AK160" s="1239" t="s">
        <v>228</v>
      </c>
      <c r="AL160" s="1239"/>
      <c r="AM160" s="1239"/>
      <c r="AN160" s="484">
        <v>5.44</v>
      </c>
      <c r="AO160" s="638"/>
      <c r="AP160" s="638"/>
      <c r="AQ160" s="484"/>
      <c r="AR160" s="638"/>
      <c r="AS160" s="638"/>
      <c r="AT160" s="484">
        <f>+ab($T$160,$V$156,$T$162,$G$159,$G$161,-1*$F$160,1200)</f>
        <v>-13.4970085280794</v>
      </c>
      <c r="AU160" s="638"/>
      <c r="AV160" s="638"/>
      <c r="AW160" s="638" t="str">
        <f>VLOOKUP(J160,'Foundation Calculation'!$A$2:$C$33,3,1)</f>
        <v>Soil A</v>
      </c>
      <c r="AX160" s="572" t="str">
        <f>VLOOKUP(J160,'Foundation Calculation'!$E$2:$G$33,3,1)</f>
        <v>PT</v>
      </c>
      <c r="AY160" s="484"/>
      <c r="AZ160" s="689">
        <f>IF(AX160="PT",VLOOKUP(K160,'Foundation Calculation'!$K$2:$R$40,VLOOKUP(AW160,'Foundation Calculation'!$I$2:$J$8,2,FALSE),0),IF(AX160="K",VLOOKUP(K160,'Foundation Calculation'!$K$42:$R$80,VLOOKUP(AW160,'Foundation Calculation'!$I$2:$J$8,2,FALSE),0),""))</f>
        <v>2.8</v>
      </c>
      <c r="BA160" s="671" t="s">
        <v>2809</v>
      </c>
      <c r="BB160" s="1239"/>
      <c r="BC160" s="169"/>
      <c r="BD160" s="1329">
        <v>43421</v>
      </c>
      <c r="BE160" s="1329" t="s">
        <v>4946</v>
      </c>
      <c r="BF160" s="1330"/>
      <c r="BG160" s="1329">
        <v>43772</v>
      </c>
    </row>
    <row r="161" spans="1:59" ht="15.75" customHeight="1">
      <c r="A161" s="449"/>
      <c r="B161" s="1239"/>
      <c r="C161" s="171"/>
      <c r="D161" s="171"/>
      <c r="E161" s="1239"/>
      <c r="F161" s="1239"/>
      <c r="G161" s="455">
        <v>43</v>
      </c>
      <c r="H161" s="1239"/>
      <c r="I161" s="1239"/>
      <c r="J161" s="171">
        <f>C162-7.5</f>
        <v>96680.35000000002</v>
      </c>
      <c r="K161" s="1239" t="s">
        <v>2788</v>
      </c>
      <c r="L161" s="1239"/>
      <c r="M161" s="1239"/>
      <c r="N161" s="1239"/>
      <c r="O161" s="1239"/>
      <c r="P161" s="1239"/>
      <c r="Q161" s="448"/>
      <c r="R161" s="448"/>
      <c r="S161" s="455">
        <f>+AG162-AG160</f>
        <v>43</v>
      </c>
      <c r="T161" s="1239"/>
      <c r="U161" s="1239"/>
      <c r="V161" s="1239"/>
      <c r="W161" s="1239"/>
      <c r="X161" s="1239"/>
      <c r="Y161" s="1239"/>
      <c r="Z161" s="1239"/>
      <c r="AA161" s="1239"/>
      <c r="AB161" s="1239"/>
      <c r="AC161" s="1239"/>
      <c r="AD161" s="1239"/>
      <c r="AE161" s="1239"/>
      <c r="AF161" s="448"/>
      <c r="AG161" s="171"/>
      <c r="AH161" s="448"/>
      <c r="AI161" s="448"/>
      <c r="AJ161" s="1239"/>
      <c r="AK161" s="1239"/>
      <c r="AL161" s="1239"/>
      <c r="AM161" s="1239"/>
      <c r="AN161" s="484"/>
      <c r="AO161" s="638"/>
      <c r="AP161" s="638"/>
      <c r="AQ161" s="484">
        <f>+FL_2($T$162,$T$160,$G$161,1200,9.28,-1*$F$162)</f>
        <v>-0.66939419162831226</v>
      </c>
      <c r="AR161" s="638"/>
      <c r="AS161" s="638"/>
      <c r="AT161" s="484"/>
      <c r="AU161" s="638"/>
      <c r="AV161" s="638"/>
      <c r="AW161" s="638" t="str">
        <f>VLOOKUP(J161,'Foundation Calculation'!$A$2:$C$33,3,1)</f>
        <v>Soil A</v>
      </c>
      <c r="AX161" s="572" t="str">
        <f>VLOOKUP(J161,'Foundation Calculation'!$E$2:$G$33,3,1)</f>
        <v>PT</v>
      </c>
      <c r="AY161" s="484"/>
      <c r="AZ161" s="689">
        <f>IF(AX161="PT",VLOOKUP(K161,'Foundation Calculation'!$K$2:$R$40,VLOOKUP(AW161,'Foundation Calculation'!$I$2:$J$8,2,FALSE),0),IF(AX161="K",VLOOKUP(K161,'Foundation Calculation'!$K$42:$R$80,VLOOKUP(AW161,'Foundation Calculation'!$I$2:$J$8,2,FALSE),0),""))</f>
        <v>2.8</v>
      </c>
      <c r="BA161" s="671" t="s">
        <v>2809</v>
      </c>
      <c r="BB161" s="449"/>
      <c r="BC161" s="169"/>
      <c r="BD161" s="1329">
        <v>43421</v>
      </c>
      <c r="BE161" s="1330"/>
      <c r="BF161" s="1330"/>
      <c r="BG161" s="1330"/>
    </row>
    <row r="162" spans="1:59" ht="15.75" customHeight="1">
      <c r="A162" s="449"/>
      <c r="B162" s="438" t="s">
        <v>2115</v>
      </c>
      <c r="C162" s="171">
        <f>+$C$160+$G$161</f>
        <v>96687.85000000002</v>
      </c>
      <c r="D162" s="171"/>
      <c r="E162" s="1239"/>
      <c r="F162" s="1239">
        <v>-508</v>
      </c>
      <c r="G162" s="455"/>
      <c r="H162" s="1239" t="s">
        <v>2137</v>
      </c>
      <c r="I162" s="1239" t="s">
        <v>1471</v>
      </c>
      <c r="J162" s="171"/>
      <c r="K162" s="1239"/>
      <c r="L162" s="1239" t="s">
        <v>819</v>
      </c>
      <c r="M162" s="1239" t="str">
        <f>IF(AX162="PT",VLOOKUP(L162,'Foundation Calculation'!$V$2:$X$40,VLOOKUP(AX162,'Foundation Calculation'!$I$10:$J$13,2,FALSE),0),IF(AX162="K",VLOOKUP(L162,'Foundation Calculation'!$V$42:$X$80,VLOOKUP(AX162,'Foundation Calculation'!$I$10:$J$13,2,FALSE),0),""))</f>
        <v>C5R</v>
      </c>
      <c r="N162" s="1239" t="s">
        <v>144</v>
      </c>
      <c r="O162" s="1239" t="s">
        <v>140</v>
      </c>
      <c r="P162" s="1239"/>
      <c r="Q162" s="448">
        <v>28</v>
      </c>
      <c r="R162" s="448">
        <v>-288.86</v>
      </c>
      <c r="S162" s="455"/>
      <c r="T162" s="1239">
        <v>30</v>
      </c>
      <c r="U162" s="1239">
        <v>15</v>
      </c>
      <c r="V162" s="1239"/>
      <c r="W162" s="1239">
        <v>1.2</v>
      </c>
      <c r="X162" s="1239">
        <v>2.2999999999999998</v>
      </c>
      <c r="Y162" s="1239"/>
      <c r="Z162" s="1239"/>
      <c r="AA162" s="1239">
        <v>0.51</v>
      </c>
      <c r="AB162" s="1239"/>
      <c r="AC162" s="638" t="s">
        <v>3050</v>
      </c>
      <c r="AD162" s="1239"/>
      <c r="AE162" s="1239"/>
      <c r="AF162" s="448">
        <v>6000</v>
      </c>
      <c r="AG162" s="171">
        <v>96688</v>
      </c>
      <c r="AH162" s="448">
        <v>2853</v>
      </c>
      <c r="AI162" s="448">
        <v>456</v>
      </c>
      <c r="AJ162" s="1239"/>
      <c r="AK162" s="1239"/>
      <c r="AL162" s="1239" t="s">
        <v>2127</v>
      </c>
      <c r="AM162" s="1239"/>
      <c r="AN162" s="484">
        <v>5.32</v>
      </c>
      <c r="AO162" s="638"/>
      <c r="AP162" s="638"/>
      <c r="AQ162" s="484"/>
      <c r="AR162" s="638"/>
      <c r="AS162" s="638"/>
      <c r="AT162" s="484">
        <f>+ab($T$162,$T$160,$T$164,$G$161,$G$163,-1*$F$162,1200)</f>
        <v>1.7693980432557752</v>
      </c>
      <c r="AU162" s="638"/>
      <c r="AV162" s="638"/>
      <c r="AW162" s="638" t="str">
        <f>VLOOKUP(C162,'Foundation Calculation'!$A$2:$C$33,3,1)</f>
        <v>Soil A</v>
      </c>
      <c r="AX162" s="572" t="str">
        <f>VLOOKUP(C162,'Foundation Calculation'!$E$2:$G$33,3,1)</f>
        <v>PT</v>
      </c>
      <c r="AY162" s="636">
        <f>IF(AX162="PT",VLOOKUP(L162,'Foundation Calculation'!$K$2:$R$40,VLOOKUP(AW162,'Foundation Calculation'!$I$2:$J$8,2,FALSE),0),IF(AX162="K",VLOOKUP(L162,'Foundation Calculation'!$K$42:$R$80,VLOOKUP(AW162,'Foundation Calculation'!$I$2:$J$8,2,FALSE),0),""))</f>
        <v>3.5</v>
      </c>
      <c r="AZ162" s="484"/>
      <c r="BA162" s="671" t="s">
        <v>2809</v>
      </c>
      <c r="BB162" s="449" t="str">
        <f>Pole_Calculations!A178</f>
        <v>App.8-V08F-P10.3</v>
      </c>
      <c r="BC162" s="169"/>
      <c r="BD162" s="1329">
        <v>43421</v>
      </c>
      <c r="BE162" s="1329" t="s">
        <v>4946</v>
      </c>
      <c r="BF162" s="1329" t="s">
        <v>4946</v>
      </c>
      <c r="BG162" s="1329">
        <v>43556</v>
      </c>
    </row>
    <row r="163" spans="1:59" ht="15.75" customHeight="1">
      <c r="A163" s="449"/>
      <c r="B163" s="1239"/>
      <c r="C163" s="171"/>
      <c r="D163" s="171"/>
      <c r="E163" s="1239"/>
      <c r="F163" s="1239"/>
      <c r="G163" s="455">
        <v>40.4</v>
      </c>
      <c r="H163" s="1239"/>
      <c r="I163" s="172">
        <f>SUM(G131:G163)</f>
        <v>670.3</v>
      </c>
      <c r="J163" s="171"/>
      <c r="K163" s="1239"/>
      <c r="L163" s="1239"/>
      <c r="M163" s="1239"/>
      <c r="N163" s="1239"/>
      <c r="O163" s="1239"/>
      <c r="P163" s="1239"/>
      <c r="Q163" s="448"/>
      <c r="R163" s="448"/>
      <c r="S163" s="455">
        <f>+AG164-AG162</f>
        <v>38.690000000002328</v>
      </c>
      <c r="T163" s="1239"/>
      <c r="U163" s="1239"/>
      <c r="V163" s="1239"/>
      <c r="W163" s="1239"/>
      <c r="X163" s="1239"/>
      <c r="Y163" s="1239"/>
      <c r="Z163" s="1239"/>
      <c r="AA163" s="1239"/>
      <c r="AB163" s="1239"/>
      <c r="AC163" s="1239"/>
      <c r="AD163" s="1239"/>
      <c r="AE163" s="1239"/>
      <c r="AF163" s="448"/>
      <c r="AG163" s="171"/>
      <c r="AH163" s="448"/>
      <c r="AI163" s="448"/>
      <c r="AJ163" s="1239"/>
      <c r="AK163" s="1239"/>
      <c r="AL163" s="1239"/>
      <c r="AM163" s="1239"/>
      <c r="AN163" s="484"/>
      <c r="AO163" s="638"/>
      <c r="AP163" s="638"/>
      <c r="AQ163" s="484">
        <f>+FL_1($T$164,$T$162,$G$163,1200,9.28,-1*$F$164)</f>
        <v>0.30000000000005511</v>
      </c>
      <c r="AR163" s="638"/>
      <c r="AS163" s="638"/>
      <c r="AT163" s="484"/>
      <c r="AU163" s="638"/>
      <c r="AV163" s="638"/>
      <c r="AW163" s="638"/>
      <c r="AX163" s="638"/>
      <c r="AY163" s="484"/>
      <c r="AZ163" s="484"/>
      <c r="BA163" s="671"/>
      <c r="BB163" s="449"/>
      <c r="BC163" s="169"/>
      <c r="BD163" s="1330"/>
      <c r="BE163" s="1330"/>
      <c r="BF163" s="1330"/>
      <c r="BG163" s="1330"/>
    </row>
    <row r="164" spans="1:59" ht="15.75" customHeight="1">
      <c r="A164" s="414"/>
      <c r="B164" s="570" t="s">
        <v>2116</v>
      </c>
      <c r="C164" s="432">
        <f>+$C$162+$G$163</f>
        <v>96728.250000000015</v>
      </c>
      <c r="D164" s="432"/>
      <c r="E164" s="420"/>
      <c r="F164" s="420">
        <v>-508</v>
      </c>
      <c r="G164" s="444"/>
      <c r="H164" s="420" t="s">
        <v>2134</v>
      </c>
      <c r="I164" s="420" t="s">
        <v>624</v>
      </c>
      <c r="J164" s="432"/>
      <c r="K164" s="420"/>
      <c r="L164" s="417" t="s">
        <v>821</v>
      </c>
      <c r="M164" s="420" t="s">
        <v>2811</v>
      </c>
      <c r="N164" s="420" t="s">
        <v>2794</v>
      </c>
      <c r="O164" s="420"/>
      <c r="P164" s="420"/>
      <c r="Q164" s="421">
        <v>30</v>
      </c>
      <c r="R164" s="421">
        <v>-1150</v>
      </c>
      <c r="S164" s="444"/>
      <c r="T164" s="420">
        <v>-20</v>
      </c>
      <c r="U164" s="420"/>
      <c r="V164" s="420"/>
      <c r="W164" s="420">
        <v>1</v>
      </c>
      <c r="X164" s="420"/>
      <c r="Y164" s="420"/>
      <c r="Z164" s="420"/>
      <c r="AA164" s="420"/>
      <c r="AB164" s="420"/>
      <c r="AC164" s="417" t="s">
        <v>3050</v>
      </c>
      <c r="AD164" s="420"/>
      <c r="AE164" s="420"/>
      <c r="AF164" s="421">
        <v>100</v>
      </c>
      <c r="AG164" s="432">
        <v>96726.69</v>
      </c>
      <c r="AH164" s="421">
        <v>1523</v>
      </c>
      <c r="AI164" s="421">
        <v>-5160</v>
      </c>
      <c r="AJ164" s="420"/>
      <c r="AK164" s="420" t="s">
        <v>139</v>
      </c>
      <c r="AL164" s="420" t="s">
        <v>2135</v>
      </c>
      <c r="AM164" s="420"/>
      <c r="AN164" s="422">
        <v>5.21</v>
      </c>
      <c r="AO164" s="417"/>
      <c r="AP164" s="417"/>
      <c r="AQ164" s="422"/>
      <c r="AR164" s="417"/>
      <c r="AS164" s="417"/>
      <c r="AT164" s="422">
        <f>+ab($T$164,$T$162,$T$166,$G$163,$G$165,-1*$F$164,1200)</f>
        <v>3.3337313652276759</v>
      </c>
      <c r="AU164" s="417"/>
      <c r="AV164" s="417"/>
      <c r="AW164" s="417" t="s">
        <v>4179</v>
      </c>
      <c r="AX164" s="417"/>
      <c r="AY164" s="422"/>
      <c r="AZ164" s="422"/>
      <c r="BA164" s="604" t="s">
        <v>2809</v>
      </c>
      <c r="BB164" s="414" t="str">
        <f>Pole_Calculations!A178</f>
        <v>App.8-V08F-P10.3</v>
      </c>
      <c r="BC164" s="169"/>
      <c r="BD164" s="1329">
        <v>43379</v>
      </c>
      <c r="BE164" s="1329" t="s">
        <v>4946</v>
      </c>
      <c r="BF164" s="1329" t="s">
        <v>4946</v>
      </c>
      <c r="BG164" s="1329">
        <v>43670</v>
      </c>
    </row>
    <row r="165" spans="1:59" ht="15.75" customHeight="1">
      <c r="A165" s="414"/>
      <c r="B165" s="420"/>
      <c r="C165" s="432"/>
      <c r="D165" s="432"/>
      <c r="E165" s="420"/>
      <c r="F165" s="420"/>
      <c r="G165" s="444">
        <v>40.6</v>
      </c>
      <c r="H165" s="420" t="s">
        <v>1039</v>
      </c>
      <c r="I165" s="420"/>
      <c r="J165" s="432"/>
      <c r="K165" s="420"/>
      <c r="L165" s="417"/>
      <c r="M165" s="420"/>
      <c r="N165" s="420"/>
      <c r="O165" s="420"/>
      <c r="P165" s="420"/>
      <c r="Q165" s="421"/>
      <c r="R165" s="421"/>
      <c r="S165" s="444">
        <f>+AG166-AG164</f>
        <v>42.690000000002328</v>
      </c>
      <c r="T165" s="420"/>
      <c r="U165" s="420"/>
      <c r="V165" s="420"/>
      <c r="W165" s="420"/>
      <c r="X165" s="420"/>
      <c r="Y165" s="420"/>
      <c r="Z165" s="420"/>
      <c r="AA165" s="420"/>
      <c r="AB165" s="420"/>
      <c r="AC165" s="417"/>
      <c r="AD165" s="420"/>
      <c r="AE165" s="420"/>
      <c r="AF165" s="421"/>
      <c r="AG165" s="432"/>
      <c r="AH165" s="421"/>
      <c r="AI165" s="421"/>
      <c r="AJ165" s="420"/>
      <c r="AK165" s="420"/>
      <c r="AL165" s="420"/>
      <c r="AM165" s="420"/>
      <c r="AN165" s="422"/>
      <c r="AO165" s="417"/>
      <c r="AP165" s="417"/>
      <c r="AQ165" s="422">
        <f>+FL_1($T$166,$T$164,$G$165,1200,9.28,-1*$F$166)</f>
        <v>0.2</v>
      </c>
      <c r="AR165" s="417"/>
      <c r="AS165" s="417"/>
      <c r="AT165" s="422"/>
      <c r="AU165" s="417"/>
      <c r="AV165" s="417"/>
      <c r="AW165" s="417"/>
      <c r="AX165" s="417"/>
      <c r="AY165" s="422"/>
      <c r="AZ165" s="422"/>
      <c r="BA165" s="604"/>
      <c r="BB165" s="414"/>
      <c r="BC165" s="169"/>
      <c r="BD165" s="1330"/>
      <c r="BE165" s="1330"/>
      <c r="BF165" s="1330"/>
      <c r="BG165" s="1330"/>
    </row>
    <row r="166" spans="1:59" ht="15.75" customHeight="1">
      <c r="A166" s="414"/>
      <c r="B166" s="570" t="s">
        <v>2117</v>
      </c>
      <c r="C166" s="432">
        <f>+$C$164+$G$165</f>
        <v>96768.85000000002</v>
      </c>
      <c r="D166" s="432"/>
      <c r="E166" s="420"/>
      <c r="F166" s="420">
        <v>-1900</v>
      </c>
      <c r="G166" s="444"/>
      <c r="H166" s="420" t="s">
        <v>873</v>
      </c>
      <c r="I166" s="420"/>
      <c r="J166" s="432"/>
      <c r="K166" s="420"/>
      <c r="L166" s="417" t="s">
        <v>821</v>
      </c>
      <c r="M166" s="420" t="s">
        <v>2811</v>
      </c>
      <c r="N166" s="420" t="s">
        <v>844</v>
      </c>
      <c r="O166" s="420"/>
      <c r="P166" s="420"/>
      <c r="Q166" s="421">
        <v>10</v>
      </c>
      <c r="R166" s="421">
        <v>-1900</v>
      </c>
      <c r="S166" s="444"/>
      <c r="T166" s="420">
        <v>20</v>
      </c>
      <c r="U166" s="420"/>
      <c r="V166" s="420"/>
      <c r="W166" s="420">
        <v>0.8</v>
      </c>
      <c r="X166" s="420"/>
      <c r="Y166" s="420"/>
      <c r="Z166" s="420"/>
      <c r="AA166" s="420"/>
      <c r="AB166" s="420"/>
      <c r="AC166" s="417" t="s">
        <v>1417</v>
      </c>
      <c r="AD166" s="420"/>
      <c r="AE166" s="420"/>
      <c r="AF166" s="421">
        <v>200</v>
      </c>
      <c r="AG166" s="432">
        <v>96769.38</v>
      </c>
      <c r="AH166" s="421">
        <v>1693</v>
      </c>
      <c r="AI166" s="421">
        <v>-5130</v>
      </c>
      <c r="AJ166" s="420"/>
      <c r="AK166" s="420" t="s">
        <v>139</v>
      </c>
      <c r="AL166" s="420" t="s">
        <v>2135</v>
      </c>
      <c r="AM166" s="420"/>
      <c r="AN166" s="422">
        <v>5.15</v>
      </c>
      <c r="AO166" s="417"/>
      <c r="AP166" s="417"/>
      <c r="AQ166" s="422"/>
      <c r="AR166" s="417"/>
      <c r="AS166" s="417"/>
      <c r="AT166" s="422">
        <f>+ab($T$166,$T$164,$T$168,$G$165,$G$167,-1*$F$166,1200)</f>
        <v>4.5832550858448897</v>
      </c>
      <c r="AU166" s="417"/>
      <c r="AV166" s="417"/>
      <c r="AW166" s="417" t="s">
        <v>4179</v>
      </c>
      <c r="AX166" s="417"/>
      <c r="AY166" s="422"/>
      <c r="AZ166" s="422"/>
      <c r="BA166" s="604" t="s">
        <v>2809</v>
      </c>
      <c r="BB166" s="414" t="str">
        <f>Pole_Calculations!A178</f>
        <v>App.8-V08F-P10.3</v>
      </c>
      <c r="BC166" s="169"/>
      <c r="BD166" s="1329">
        <v>43379</v>
      </c>
      <c r="BE166" s="1329" t="s">
        <v>4946</v>
      </c>
      <c r="BF166" s="1329" t="s">
        <v>4946</v>
      </c>
      <c r="BG166" s="1329">
        <v>43636</v>
      </c>
    </row>
    <row r="167" spans="1:59" ht="15.75" customHeight="1">
      <c r="A167" s="488" t="s">
        <v>1851</v>
      </c>
      <c r="B167" s="495"/>
      <c r="C167" s="431"/>
      <c r="D167" s="431"/>
      <c r="E167" s="495"/>
      <c r="F167" s="495"/>
      <c r="G167" s="457">
        <v>50.8</v>
      </c>
      <c r="H167" s="495"/>
      <c r="I167" s="495"/>
      <c r="J167" s="431"/>
      <c r="K167" s="495"/>
      <c r="L167" s="495"/>
      <c r="M167" s="495"/>
      <c r="N167" s="495"/>
      <c r="O167" s="495"/>
      <c r="P167" s="495"/>
      <c r="Q167" s="492"/>
      <c r="R167" s="492"/>
      <c r="S167" s="457">
        <f>+AG168-AG166</f>
        <v>38.029999999998836</v>
      </c>
      <c r="T167" s="495"/>
      <c r="U167" s="495"/>
      <c r="V167" s="495"/>
      <c r="W167" s="495"/>
      <c r="X167" s="495"/>
      <c r="Y167" s="495"/>
      <c r="Z167" s="495"/>
      <c r="AA167" s="495"/>
      <c r="AB167" s="495"/>
      <c r="AC167" s="495"/>
      <c r="AD167" s="495"/>
      <c r="AE167" s="495"/>
      <c r="AF167" s="492"/>
      <c r="AG167" s="431"/>
      <c r="AH167" s="492"/>
      <c r="AI167" s="492"/>
      <c r="AJ167" s="495"/>
      <c r="AK167" s="495"/>
      <c r="AL167" s="495"/>
      <c r="AM167" s="495" t="s">
        <v>2879</v>
      </c>
      <c r="AN167" s="493"/>
      <c r="AO167" s="490"/>
      <c r="AP167" s="490"/>
      <c r="AQ167" s="493">
        <f>+FL_2(-$T$168,$T$166,$G$167,1200,9.28,-1*$F$168)</f>
        <v>-0.2192484002107504</v>
      </c>
      <c r="AR167" s="490"/>
      <c r="AS167" s="490"/>
      <c r="AT167" s="493"/>
      <c r="AU167" s="490"/>
      <c r="AV167" s="490"/>
      <c r="AW167" s="490"/>
      <c r="AX167" s="490"/>
      <c r="AY167" s="493"/>
      <c r="AZ167" s="493"/>
      <c r="BA167" s="602"/>
      <c r="BB167" s="488"/>
      <c r="BC167" s="169"/>
      <c r="BD167" s="1330"/>
      <c r="BE167" s="1330"/>
      <c r="BF167" s="1330"/>
      <c r="BG167" s="1330"/>
    </row>
    <row r="168" spans="1:59" ht="15.75" customHeight="1">
      <c r="A168" s="414"/>
      <c r="B168" s="420" t="s">
        <v>2118</v>
      </c>
      <c r="C168" s="432">
        <f>+$C$166+$G$167</f>
        <v>96819.650000000023</v>
      </c>
      <c r="D168" s="432"/>
      <c r="E168" s="420"/>
      <c r="F168" s="420">
        <v>-1900</v>
      </c>
      <c r="G168" s="444"/>
      <c r="H168" s="420"/>
      <c r="I168" s="420"/>
      <c r="J168" s="432"/>
      <c r="K168" s="420"/>
      <c r="L168" s="417" t="s">
        <v>2399</v>
      </c>
      <c r="M168" s="420" t="s">
        <v>2811</v>
      </c>
      <c r="N168" s="420" t="s">
        <v>2792</v>
      </c>
      <c r="O168" s="420"/>
      <c r="P168" s="420"/>
      <c r="Q168" s="421">
        <v>2</v>
      </c>
      <c r="R168" s="421">
        <v>-1900</v>
      </c>
      <c r="S168" s="444"/>
      <c r="T168" s="420">
        <v>-20</v>
      </c>
      <c r="U168" s="420"/>
      <c r="V168" s="420"/>
      <c r="W168" s="420">
        <v>0.8</v>
      </c>
      <c r="X168" s="420"/>
      <c r="Y168" s="420"/>
      <c r="Z168" s="420"/>
      <c r="AA168" s="420"/>
      <c r="AB168" s="420"/>
      <c r="AC168" s="417" t="s">
        <v>4115</v>
      </c>
      <c r="AD168" s="420"/>
      <c r="AE168" s="420"/>
      <c r="AF168" s="421">
        <v>200</v>
      </c>
      <c r="AG168" s="432">
        <v>96807.41</v>
      </c>
      <c r="AH168" s="421">
        <v>1563</v>
      </c>
      <c r="AI168" s="421">
        <v>-5184</v>
      </c>
      <c r="AJ168" s="420"/>
      <c r="AK168" s="420"/>
      <c r="AL168" s="420"/>
      <c r="AM168" s="420" t="s">
        <v>2879</v>
      </c>
      <c r="AN168" s="422">
        <v>5.15</v>
      </c>
      <c r="AO168" s="417"/>
      <c r="AP168" s="417"/>
      <c r="AQ168" s="422"/>
      <c r="AR168" s="417"/>
      <c r="AS168" s="417"/>
      <c r="AT168" s="422">
        <f>+ab($T$168,-$T$166,$T$170,$G$167,$G$169,-1*$F$168,1200)</f>
        <v>7.867570744543178</v>
      </c>
      <c r="AU168" s="417"/>
      <c r="AV168" s="417"/>
      <c r="AW168" s="417" t="s">
        <v>4179</v>
      </c>
      <c r="AX168" s="417"/>
      <c r="AY168" s="422"/>
      <c r="AZ168" s="422"/>
      <c r="BA168" s="604" t="s">
        <v>2809</v>
      </c>
      <c r="BB168" s="414"/>
      <c r="BC168" s="169"/>
      <c r="BD168" s="1329" t="s">
        <v>4946</v>
      </c>
      <c r="BE168" s="1329" t="s">
        <v>4946</v>
      </c>
      <c r="BF168" s="1330"/>
      <c r="BG168" s="1329">
        <v>43556</v>
      </c>
    </row>
    <row r="169" spans="1:59" ht="15.75" customHeight="1">
      <c r="A169" s="414"/>
      <c r="B169" s="420"/>
      <c r="C169" s="432"/>
      <c r="D169" s="432"/>
      <c r="E169" s="420"/>
      <c r="F169" s="420"/>
      <c r="G169" s="444">
        <v>41.3</v>
      </c>
      <c r="H169" s="420"/>
      <c r="I169" s="420"/>
      <c r="J169" s="432"/>
      <c r="K169" s="420"/>
      <c r="L169" s="420"/>
      <c r="M169" s="420"/>
      <c r="N169" s="420"/>
      <c r="O169" s="420"/>
      <c r="P169" s="420"/>
      <c r="Q169" s="421"/>
      <c r="R169" s="421"/>
      <c r="S169" s="444">
        <f>+AG170-AG168</f>
        <v>59.25</v>
      </c>
      <c r="T169" s="420"/>
      <c r="U169" s="420"/>
      <c r="V169" s="420"/>
      <c r="W169" s="420"/>
      <c r="X169" s="420"/>
      <c r="Y169" s="420"/>
      <c r="Z169" s="420"/>
      <c r="AA169" s="420"/>
      <c r="AB169" s="420"/>
      <c r="AC169" s="420"/>
      <c r="AD169" s="420"/>
      <c r="AE169" s="420"/>
      <c r="AF169" s="421"/>
      <c r="AG169" s="432"/>
      <c r="AH169" s="421"/>
      <c r="AI169" s="421"/>
      <c r="AJ169" s="420"/>
      <c r="AK169" s="420"/>
      <c r="AL169" s="420"/>
      <c r="AM169" s="420"/>
      <c r="AN169" s="422"/>
      <c r="AO169" s="417"/>
      <c r="AP169" s="417"/>
      <c r="AQ169" s="422">
        <f>+FL_2($T$170,-$T$168,$G$169,1200,9.28,-1*$F$170)</f>
        <v>-0.31319039744460719</v>
      </c>
      <c r="AR169" s="417"/>
      <c r="AS169" s="417"/>
      <c r="AT169" s="422"/>
      <c r="AU169" s="417"/>
      <c r="AV169" s="417"/>
      <c r="AW169" s="417"/>
      <c r="AX169" s="417"/>
      <c r="AY169" s="422"/>
      <c r="AZ169" s="422"/>
      <c r="BA169" s="604"/>
      <c r="BB169" s="414"/>
      <c r="BC169" s="169"/>
      <c r="BD169" s="1330"/>
      <c r="BE169" s="1330"/>
      <c r="BF169" s="1330"/>
      <c r="BG169" s="1330"/>
    </row>
    <row r="170" spans="1:59" ht="15.75" customHeight="1">
      <c r="A170" s="414" t="s">
        <v>1855</v>
      </c>
      <c r="B170" s="420" t="s">
        <v>2119</v>
      </c>
      <c r="C170" s="432">
        <f>+$C$168+$G$169</f>
        <v>96860.950000000026</v>
      </c>
      <c r="D170" s="432"/>
      <c r="E170" s="420"/>
      <c r="F170" s="420">
        <v>-1900</v>
      </c>
      <c r="G170" s="444"/>
      <c r="H170" s="420"/>
      <c r="I170" s="420"/>
      <c r="J170" s="432"/>
      <c r="K170" s="420"/>
      <c r="L170" s="417" t="s">
        <v>2399</v>
      </c>
      <c r="M170" s="420" t="s">
        <v>2811</v>
      </c>
      <c r="N170" s="420" t="s">
        <v>2792</v>
      </c>
      <c r="O170" s="420"/>
      <c r="P170" s="420"/>
      <c r="Q170" s="421">
        <v>0</v>
      </c>
      <c r="R170" s="421">
        <v>-1900</v>
      </c>
      <c r="S170" s="444"/>
      <c r="T170" s="420">
        <v>-20</v>
      </c>
      <c r="U170" s="420"/>
      <c r="V170" s="420"/>
      <c r="W170" s="420">
        <v>0.8</v>
      </c>
      <c r="X170" s="420"/>
      <c r="Y170" s="420"/>
      <c r="Z170" s="420"/>
      <c r="AA170" s="420"/>
      <c r="AB170" s="420"/>
      <c r="AC170" s="417" t="s">
        <v>4117</v>
      </c>
      <c r="AD170" s="420"/>
      <c r="AE170" s="420"/>
      <c r="AF170" s="421">
        <v>300</v>
      </c>
      <c r="AG170" s="432">
        <v>96866.66</v>
      </c>
      <c r="AH170" s="421">
        <v>1583</v>
      </c>
      <c r="AI170" s="421">
        <v>-5022</v>
      </c>
      <c r="AJ170" s="420"/>
      <c r="AK170" s="420"/>
      <c r="AL170" s="420"/>
      <c r="AM170" s="420" t="s">
        <v>2879</v>
      </c>
      <c r="AN170" s="422">
        <v>5.15</v>
      </c>
      <c r="AO170" s="417"/>
      <c r="AP170" s="417"/>
      <c r="AQ170" s="422"/>
      <c r="AR170" s="417"/>
      <c r="AS170" s="417"/>
      <c r="AT170" s="422">
        <f>+ab($T$170,$T$168,$T$172,$G$169,$G$171,-1*$F$170,1200)</f>
        <v>9.458444173934307</v>
      </c>
      <c r="AU170" s="417"/>
      <c r="AV170" s="417"/>
      <c r="AW170" s="417" t="s">
        <v>4179</v>
      </c>
      <c r="AX170" s="417"/>
      <c r="AY170" s="422"/>
      <c r="AZ170" s="422"/>
      <c r="BA170" s="604" t="s">
        <v>2809</v>
      </c>
      <c r="BB170" s="414"/>
      <c r="BC170" s="169"/>
      <c r="BD170" s="1329" t="s">
        <v>4946</v>
      </c>
      <c r="BE170" s="1329" t="s">
        <v>4946</v>
      </c>
      <c r="BF170" s="1330"/>
      <c r="BG170" s="1329">
        <v>43556</v>
      </c>
    </row>
    <row r="171" spans="1:59" ht="15.75" customHeight="1">
      <c r="A171" s="414" t="s">
        <v>1854</v>
      </c>
      <c r="B171" s="420"/>
      <c r="C171" s="432"/>
      <c r="D171" s="432"/>
      <c r="E171" s="420"/>
      <c r="F171" s="420"/>
      <c r="G171" s="444">
        <v>60.3</v>
      </c>
      <c r="H171" s="420"/>
      <c r="I171" s="420"/>
      <c r="J171" s="432"/>
      <c r="K171" s="420"/>
      <c r="L171" s="420"/>
      <c r="M171" s="420"/>
      <c r="N171" s="420"/>
      <c r="O171" s="420"/>
      <c r="P171" s="420"/>
      <c r="Q171" s="421"/>
      <c r="R171" s="421"/>
      <c r="S171" s="444">
        <f>+AG172-AG170</f>
        <v>56.059999999997672</v>
      </c>
      <c r="T171" s="420"/>
      <c r="U171" s="420"/>
      <c r="V171" s="420"/>
      <c r="W171" s="420"/>
      <c r="X171" s="420"/>
      <c r="Y171" s="420"/>
      <c r="Z171" s="420"/>
      <c r="AA171" s="420" t="s">
        <v>2395</v>
      </c>
      <c r="AB171" s="420"/>
      <c r="AC171" s="420"/>
      <c r="AD171" s="420"/>
      <c r="AE171" s="420"/>
      <c r="AF171" s="421"/>
      <c r="AG171" s="432"/>
      <c r="AH171" s="421"/>
      <c r="AI171" s="421"/>
      <c r="AJ171" s="420"/>
      <c r="AK171" s="420"/>
      <c r="AL171" s="420"/>
      <c r="AM171" s="420"/>
      <c r="AN171" s="422"/>
      <c r="AO171" s="417"/>
      <c r="AP171" s="417"/>
      <c r="AQ171" s="422">
        <f>+FL_2(-$T$172,-$T$170,$G$171,1200,9.28,-1*$F$172)</f>
        <v>-0.60764826767023594</v>
      </c>
      <c r="AR171" s="417"/>
      <c r="AS171" s="417"/>
      <c r="AT171" s="422"/>
      <c r="AU171" s="417"/>
      <c r="AV171" s="417"/>
      <c r="AW171" s="417"/>
      <c r="AX171" s="417"/>
      <c r="AY171" s="422"/>
      <c r="AZ171" s="422"/>
      <c r="BA171" s="604"/>
      <c r="BB171" s="414"/>
      <c r="BC171" s="169"/>
      <c r="BD171" s="1330"/>
      <c r="BE171" s="1330"/>
      <c r="BF171" s="1330"/>
      <c r="BG171" s="1330"/>
    </row>
    <row r="172" spans="1:59" ht="15.75" customHeight="1">
      <c r="A172" s="414"/>
      <c r="B172" s="420" t="s">
        <v>2120</v>
      </c>
      <c r="C172" s="432">
        <f>+$C$170+$G$171+1.5</f>
        <v>96922.750000000029</v>
      </c>
      <c r="D172" s="432"/>
      <c r="E172" s="420"/>
      <c r="F172" s="420">
        <v>-1900</v>
      </c>
      <c r="G172" s="444"/>
      <c r="H172" s="420" t="s">
        <v>873</v>
      </c>
      <c r="I172" s="420"/>
      <c r="J172" s="432"/>
      <c r="K172" s="420"/>
      <c r="L172" s="420" t="s">
        <v>1451</v>
      </c>
      <c r="M172" s="420" t="str">
        <f>IF(AX172="PT",VLOOKUP(L172,'Foundation Calculation'!$V$2:$X$40,VLOOKUP(AX172,'Foundation Calculation'!$I$10:$J$13,2,FALSE),0),IF(AX172="K",VLOOKUP(L172,'Foundation Calculation'!$V$42:$X$80,VLOOKUP(AX172,'Foundation Calculation'!$I$10:$J$13,2,FALSE),0),""))</f>
        <v>C8R</v>
      </c>
      <c r="N172" s="420" t="s">
        <v>844</v>
      </c>
      <c r="O172" s="420"/>
      <c r="P172" s="420"/>
      <c r="Q172" s="421">
        <v>10</v>
      </c>
      <c r="R172" s="421">
        <v>-1900</v>
      </c>
      <c r="S172" s="444"/>
      <c r="T172" s="420">
        <v>20</v>
      </c>
      <c r="U172" s="420"/>
      <c r="V172" s="420"/>
      <c r="W172" s="420">
        <v>1</v>
      </c>
      <c r="X172" s="420"/>
      <c r="Y172" s="420"/>
      <c r="Z172" s="420"/>
      <c r="AA172" s="420"/>
      <c r="AB172" s="420"/>
      <c r="AC172" s="417" t="s">
        <v>1421</v>
      </c>
      <c r="AD172" s="420"/>
      <c r="AE172" s="420"/>
      <c r="AF172" s="421">
        <v>200</v>
      </c>
      <c r="AG172" s="432">
        <v>96922.72</v>
      </c>
      <c r="AH172" s="421">
        <v>943</v>
      </c>
      <c r="AI172" s="421">
        <v>-5280</v>
      </c>
      <c r="AJ172" s="420"/>
      <c r="AK172" s="420" t="s">
        <v>139</v>
      </c>
      <c r="AL172" s="420" t="s">
        <v>2143</v>
      </c>
      <c r="AM172" s="420" t="s">
        <v>2879</v>
      </c>
      <c r="AN172" s="422">
        <v>5.24</v>
      </c>
      <c r="AO172" s="417"/>
      <c r="AP172" s="417"/>
      <c r="AQ172" s="422"/>
      <c r="AR172" s="417"/>
      <c r="AS172" s="417"/>
      <c r="AT172" s="422">
        <f>+ab($T$172,-$T$170,$T$174,$G$171,$G$173,-1*$F$172,1200)</f>
        <v>6.4429101832052238</v>
      </c>
      <c r="AU172" s="417"/>
      <c r="AV172" s="417"/>
      <c r="AW172" s="417" t="str">
        <f>VLOOKUP(C172,'Foundation Calculation'!$A$2:$C$33,3,1)</f>
        <v>Soil A</v>
      </c>
      <c r="AX172" s="578" t="str">
        <f>VLOOKUP(C172,'Foundation Calculation'!$E$2:$G$33,3,1)</f>
        <v>PT</v>
      </c>
      <c r="AY172" s="692">
        <f>IF(AX172="PT",VLOOKUP(L172,'Foundation Calculation'!$K$2:$R$40,VLOOKUP(AW172,'Foundation Calculation'!$I$2:$J$8,2,FALSE),0),IF(AX172="K",VLOOKUP(L172,'Foundation Calculation'!$K$42:$R$80,VLOOKUP(AW172,'Foundation Calculation'!$I$2:$J$8,2,FALSE),0),""))</f>
        <v>5.2</v>
      </c>
      <c r="AZ172" s="422"/>
      <c r="BA172" s="604" t="s">
        <v>2809</v>
      </c>
      <c r="BB172" s="414" t="str">
        <f>Pole_Calculations!A178</f>
        <v>App.8-V08F-P10.3</v>
      </c>
      <c r="BC172" s="169"/>
      <c r="BD172" s="1329">
        <v>43428</v>
      </c>
      <c r="BE172" s="1329" t="s">
        <v>4946</v>
      </c>
      <c r="BF172" s="1329" t="s">
        <v>4946</v>
      </c>
      <c r="BG172" s="1329">
        <v>43604</v>
      </c>
    </row>
    <row r="173" spans="1:59" ht="15.75" customHeight="1">
      <c r="A173" s="414"/>
      <c r="B173" s="420"/>
      <c r="C173" s="432"/>
      <c r="D173" s="432"/>
      <c r="E173" s="420"/>
      <c r="F173" s="420"/>
      <c r="G173" s="444">
        <v>52.4</v>
      </c>
      <c r="H173" s="420"/>
      <c r="I173" s="420"/>
      <c r="J173" s="432"/>
      <c r="K173" s="420"/>
      <c r="L173" s="420"/>
      <c r="M173" s="420"/>
      <c r="N173" s="420"/>
      <c r="O173" s="420"/>
      <c r="P173" s="420"/>
      <c r="Q173" s="421"/>
      <c r="R173" s="421"/>
      <c r="S173" s="444">
        <f>+AG174-AG172</f>
        <v>53.279999999998836</v>
      </c>
      <c r="T173" s="420"/>
      <c r="U173" s="420"/>
      <c r="V173" s="420"/>
      <c r="W173" s="420"/>
      <c r="X173" s="420"/>
      <c r="Y173" s="420"/>
      <c r="Z173" s="420"/>
      <c r="AA173" s="420"/>
      <c r="AB173" s="420"/>
      <c r="AC173" s="420"/>
      <c r="AD173" s="420"/>
      <c r="AE173" s="420"/>
      <c r="AF173" s="421"/>
      <c r="AG173" s="432"/>
      <c r="AH173" s="421"/>
      <c r="AI173" s="421"/>
      <c r="AJ173" s="420"/>
      <c r="AK173" s="420"/>
      <c r="AL173" s="420"/>
      <c r="AM173" s="420"/>
      <c r="AN173" s="422"/>
      <c r="AO173" s="417"/>
      <c r="AP173" s="417"/>
      <c r="AQ173" s="422">
        <f>+FL_1($T$174,$T$172,$G$173,1200,9.28,-1*$F$174)</f>
        <v>0.46542346666666662</v>
      </c>
      <c r="AR173" s="417"/>
      <c r="AS173" s="417"/>
      <c r="AT173" s="422"/>
      <c r="AU173" s="417"/>
      <c r="AV173" s="417"/>
      <c r="AW173" s="417"/>
      <c r="AX173" s="417"/>
      <c r="AY173" s="422"/>
      <c r="AZ173" s="422"/>
      <c r="BA173" s="604"/>
      <c r="BB173" s="414"/>
      <c r="BC173" s="169"/>
      <c r="BD173" s="1330"/>
      <c r="BE173" s="1330"/>
      <c r="BF173" s="1330"/>
      <c r="BG173" s="1330"/>
    </row>
    <row r="174" spans="1:59" ht="15.75" customHeight="1">
      <c r="A174" s="414"/>
      <c r="B174" s="420" t="s">
        <v>2391</v>
      </c>
      <c r="C174" s="432">
        <f>+$C$172+$G$173</f>
        <v>96975.150000000023</v>
      </c>
      <c r="D174" s="432"/>
      <c r="E174" s="420"/>
      <c r="F174" s="420">
        <v>0</v>
      </c>
      <c r="G174" s="444"/>
      <c r="H174" s="420"/>
      <c r="I174" s="420"/>
      <c r="J174" s="432"/>
      <c r="K174" s="420"/>
      <c r="L174" s="420" t="s">
        <v>1451</v>
      </c>
      <c r="M174" s="420" t="str">
        <f>IF(AX174="PT",VLOOKUP(L174,'Foundation Calculation'!$V$2:$X$40,VLOOKUP(AX174,'Foundation Calculation'!$I$10:$J$13,2,FALSE),0),IF(AX174="K",VLOOKUP(L174,'Foundation Calculation'!$V$42:$X$80,VLOOKUP(AX174,'Foundation Calculation'!$I$10:$J$13,2,FALSE),0),""))</f>
        <v>C8R</v>
      </c>
      <c r="N174" s="420" t="s">
        <v>844</v>
      </c>
      <c r="O174" s="420"/>
      <c r="P174" s="420"/>
      <c r="Q174" s="421">
        <v>0</v>
      </c>
      <c r="R174" s="421">
        <v>0</v>
      </c>
      <c r="S174" s="444"/>
      <c r="T174" s="420">
        <v>20</v>
      </c>
      <c r="U174" s="420"/>
      <c r="V174" s="420"/>
      <c r="W174" s="420">
        <v>1.2</v>
      </c>
      <c r="X174" s="420"/>
      <c r="Y174" s="420"/>
      <c r="Z174" s="420"/>
      <c r="AA174" s="420"/>
      <c r="AB174" s="420"/>
      <c r="AC174" s="417" t="s">
        <v>1421</v>
      </c>
      <c r="AD174" s="420"/>
      <c r="AE174" s="420"/>
      <c r="AF174" s="421">
        <v>200</v>
      </c>
      <c r="AG174" s="432">
        <v>96976</v>
      </c>
      <c r="AH174" s="421">
        <v>894</v>
      </c>
      <c r="AI174" s="421">
        <v>-5090</v>
      </c>
      <c r="AJ174" s="420"/>
      <c r="AK174" s="420" t="s">
        <v>139</v>
      </c>
      <c r="AL174" s="420" t="s">
        <v>2143</v>
      </c>
      <c r="AM174" s="420" t="s">
        <v>2879</v>
      </c>
      <c r="AN174" s="422">
        <v>5.33</v>
      </c>
      <c r="AO174" s="417"/>
      <c r="AP174" s="417"/>
      <c r="AQ174" s="422"/>
      <c r="AR174" s="417"/>
      <c r="AS174" s="417"/>
      <c r="AT174" s="422">
        <f>+ab(-$T$174,$T$172,-$T$176,$G$173,$G$175,-1*$F$174,1200)</f>
        <v>-23.68911592533675</v>
      </c>
      <c r="AU174" s="417"/>
      <c r="AV174" s="417"/>
      <c r="AW174" s="417" t="str">
        <f>VLOOKUP(C174,'Foundation Calculation'!$A$2:$C$33,3,1)</f>
        <v>Soil A</v>
      </c>
      <c r="AX174" s="578" t="str">
        <f>VLOOKUP(C174,'Foundation Calculation'!$E$2:$G$33,3,1)</f>
        <v>PT</v>
      </c>
      <c r="AY174" s="692">
        <f>IF(AX174="PT",VLOOKUP(L174,'Foundation Calculation'!$K$2:$R$40,VLOOKUP(AW174,'Foundation Calculation'!$I$2:$J$8,2,FALSE),0),IF(AX174="K",VLOOKUP(L174,'Foundation Calculation'!$K$42:$R$80,VLOOKUP(AW174,'Foundation Calculation'!$I$2:$J$8,2,FALSE),0),""))</f>
        <v>5.2</v>
      </c>
      <c r="AZ174" s="422"/>
      <c r="BA174" s="604" t="s">
        <v>2809</v>
      </c>
      <c r="BB174" s="414" t="str">
        <f>Pole_Calculations!A178</f>
        <v>App.8-V08F-P10.3</v>
      </c>
      <c r="BC174" s="169"/>
      <c r="BD174" s="1329">
        <v>43428</v>
      </c>
      <c r="BE174" s="1329" t="s">
        <v>4946</v>
      </c>
      <c r="BF174" s="1329" t="s">
        <v>4946</v>
      </c>
      <c r="BG174" s="1329">
        <v>43668</v>
      </c>
    </row>
    <row r="175" spans="1:59" ht="15.75" customHeight="1">
      <c r="A175" s="414"/>
      <c r="B175" s="420"/>
      <c r="C175" s="432"/>
      <c r="D175" s="432"/>
      <c r="E175" s="420"/>
      <c r="F175" s="420"/>
      <c r="G175" s="444">
        <v>54.8</v>
      </c>
      <c r="H175" s="420"/>
      <c r="I175" s="444"/>
      <c r="J175" s="432"/>
      <c r="K175" s="420"/>
      <c r="L175" s="420"/>
      <c r="M175" s="420"/>
      <c r="N175" s="420"/>
      <c r="O175" s="420"/>
      <c r="P175" s="420"/>
      <c r="Q175" s="421"/>
      <c r="R175" s="421"/>
      <c r="S175" s="444">
        <f>+AG176-AG174</f>
        <v>54</v>
      </c>
      <c r="T175" s="420"/>
      <c r="U175" s="420"/>
      <c r="V175" s="420"/>
      <c r="W175" s="420"/>
      <c r="X175" s="420"/>
      <c r="Y175" s="420"/>
      <c r="Z175" s="420"/>
      <c r="AA175" s="420"/>
      <c r="AB175" s="420"/>
      <c r="AC175" s="420"/>
      <c r="AD175" s="420"/>
      <c r="AE175" s="420"/>
      <c r="AF175" s="421"/>
      <c r="AG175" s="432"/>
      <c r="AH175" s="421"/>
      <c r="AI175" s="421"/>
      <c r="AJ175" s="420"/>
      <c r="AK175" s="420"/>
      <c r="AL175" s="420"/>
      <c r="AM175" s="420"/>
      <c r="AN175" s="422"/>
      <c r="AO175" s="417"/>
      <c r="AP175" s="417"/>
      <c r="AQ175" s="422">
        <f>+FL_1(-$T$176,$T$174,$G$175,1200,9.28,-1*$F$176)</f>
        <v>0.32474171748905112</v>
      </c>
      <c r="AR175" s="417"/>
      <c r="AS175" s="417"/>
      <c r="AT175" s="422"/>
      <c r="AU175" s="417"/>
      <c r="AV175" s="417"/>
      <c r="AW175" s="417"/>
      <c r="AX175" s="417"/>
      <c r="AY175" s="422"/>
      <c r="AZ175" s="422"/>
      <c r="BA175" s="604"/>
      <c r="BB175" s="414"/>
      <c r="BC175" s="169"/>
      <c r="BD175" s="1330"/>
      <c r="BE175" s="1330"/>
      <c r="BF175" s="1330"/>
      <c r="BG175" s="1330"/>
    </row>
    <row r="176" spans="1:59" ht="15.75" customHeight="1">
      <c r="A176" s="420"/>
      <c r="B176" s="420" t="s">
        <v>2121</v>
      </c>
      <c r="C176" s="432">
        <f>+$C$174+$G$175</f>
        <v>97029.950000000026</v>
      </c>
      <c r="D176" s="432"/>
      <c r="E176" s="420"/>
      <c r="F176" s="420">
        <v>0</v>
      </c>
      <c r="G176" s="444"/>
      <c r="H176" s="420"/>
      <c r="I176" s="420"/>
      <c r="J176" s="432"/>
      <c r="K176" s="420"/>
      <c r="L176" s="420" t="s">
        <v>1451</v>
      </c>
      <c r="M176" s="420" t="str">
        <f>IF(AX176="PT",VLOOKUP(L176,'Foundation Calculation'!$V$2:$X$40,VLOOKUP(AX176,'Foundation Calculation'!$I$10:$J$13,2,FALSE),0),IF(AX176="K",VLOOKUP(L176,'Foundation Calculation'!$V$42:$X$80,VLOOKUP(AX176,'Foundation Calculation'!$I$10:$J$13,2,FALSE),0),""))</f>
        <v>C8R</v>
      </c>
      <c r="N176" s="420" t="s">
        <v>844</v>
      </c>
      <c r="O176" s="420"/>
      <c r="P176" s="420"/>
      <c r="Q176" s="421">
        <v>0</v>
      </c>
      <c r="R176" s="421">
        <v>0</v>
      </c>
      <c r="S176" s="444"/>
      <c r="T176" s="420">
        <v>20</v>
      </c>
      <c r="U176" s="420"/>
      <c r="V176" s="420"/>
      <c r="W176" s="420">
        <v>1.4</v>
      </c>
      <c r="X176" s="420"/>
      <c r="Y176" s="420"/>
      <c r="Z176" s="420"/>
      <c r="AA176" s="420"/>
      <c r="AB176" s="420"/>
      <c r="AC176" s="417" t="s">
        <v>1421</v>
      </c>
      <c r="AD176" s="420"/>
      <c r="AE176" s="420"/>
      <c r="AF176" s="421">
        <v>200</v>
      </c>
      <c r="AG176" s="432">
        <v>97030</v>
      </c>
      <c r="AH176" s="421">
        <v>1363</v>
      </c>
      <c r="AI176" s="421">
        <v>-6090</v>
      </c>
      <c r="AJ176" s="420"/>
      <c r="AK176" s="420" t="s">
        <v>139</v>
      </c>
      <c r="AL176" s="420" t="s">
        <v>2143</v>
      </c>
      <c r="AM176" s="420" t="s">
        <v>2879</v>
      </c>
      <c r="AN176" s="422">
        <v>5.43</v>
      </c>
      <c r="AO176" s="417"/>
      <c r="AP176" s="417"/>
      <c r="AQ176" s="422"/>
      <c r="AR176" s="417"/>
      <c r="AS176" s="417"/>
      <c r="AT176" s="422">
        <f>+ab(-$T$176,$T$174,$T$178,$G$175,$G$177,-1*$F$176,1200)</f>
        <v>-11.689011673913836</v>
      </c>
      <c r="AU176" s="417"/>
      <c r="AV176" s="417"/>
      <c r="AW176" s="417" t="str">
        <f>VLOOKUP(C176,'Foundation Calculation'!$A$2:$C$33,3,1)</f>
        <v>Soil A</v>
      </c>
      <c r="AX176" s="578" t="str">
        <f>VLOOKUP(C176,'Foundation Calculation'!$E$2:$G$33,3,1)</f>
        <v>PT</v>
      </c>
      <c r="AY176" s="692">
        <f>IF(AX176="PT",VLOOKUP(L176,'Foundation Calculation'!$K$2:$R$40,VLOOKUP(AW176,'Foundation Calculation'!$I$2:$J$8,2,FALSE),0),IF(AX176="K",VLOOKUP(L176,'Foundation Calculation'!$K$42:$R$80,VLOOKUP(AW176,'Foundation Calculation'!$I$2:$J$8,2,FALSE),0),""))</f>
        <v>5.2</v>
      </c>
      <c r="AZ176" s="422"/>
      <c r="BA176" s="604" t="s">
        <v>2809</v>
      </c>
      <c r="BB176" s="420" t="str">
        <f>Pole_Calculations!A178</f>
        <v>App.8-V08F-P10.3</v>
      </c>
      <c r="BC176" s="169"/>
      <c r="BD176" s="1329">
        <v>43555</v>
      </c>
      <c r="BE176" s="1329" t="s">
        <v>4946</v>
      </c>
      <c r="BF176" s="1329" t="s">
        <v>4946</v>
      </c>
      <c r="BG176" s="1329">
        <v>43668</v>
      </c>
    </row>
    <row r="177" spans="1:59" ht="15.75" customHeight="1">
      <c r="A177" s="420"/>
      <c r="B177" s="420"/>
      <c r="C177" s="432"/>
      <c r="D177" s="432"/>
      <c r="E177" s="420"/>
      <c r="F177" s="420"/>
      <c r="G177" s="444">
        <v>45</v>
      </c>
      <c r="H177" s="420"/>
      <c r="I177" s="420"/>
      <c r="J177" s="432"/>
      <c r="K177" s="420"/>
      <c r="L177" s="420"/>
      <c r="M177" s="420"/>
      <c r="N177" s="420"/>
      <c r="O177" s="420"/>
      <c r="P177" s="420"/>
      <c r="Q177" s="421"/>
      <c r="R177" s="421"/>
      <c r="S177" s="444">
        <f>+AG178-AG176</f>
        <v>45.059999999997672</v>
      </c>
      <c r="T177" s="420"/>
      <c r="U177" s="420"/>
      <c r="V177" s="420"/>
      <c r="W177" s="420"/>
      <c r="X177" s="420"/>
      <c r="Y177" s="420"/>
      <c r="Z177" s="420"/>
      <c r="AA177" s="420"/>
      <c r="AB177" s="420"/>
      <c r="AC177" s="420"/>
      <c r="AD177" s="420"/>
      <c r="AE177" s="420"/>
      <c r="AF177" s="421"/>
      <c r="AG177" s="432"/>
      <c r="AH177" s="421"/>
      <c r="AI177" s="421"/>
      <c r="AJ177" s="420"/>
      <c r="AK177" s="420"/>
      <c r="AL177" s="420"/>
      <c r="AM177" s="420"/>
      <c r="AN177" s="422"/>
      <c r="AO177" s="417"/>
      <c r="AP177" s="417"/>
      <c r="AQ177" s="422">
        <f>+FL_1($T$178,$T$176,$G$177,1200,9.28,-1*$F$178)</f>
        <v>0.39574999999999999</v>
      </c>
      <c r="AR177" s="417"/>
      <c r="AS177" s="417"/>
      <c r="AT177" s="422"/>
      <c r="AU177" s="417"/>
      <c r="AV177" s="417"/>
      <c r="AW177" s="417"/>
      <c r="AX177" s="417"/>
      <c r="AY177" s="422"/>
      <c r="AZ177" s="422"/>
      <c r="BA177" s="604"/>
      <c r="BB177" s="420"/>
      <c r="BC177" s="169"/>
      <c r="BD177" s="1330"/>
      <c r="BE177" s="1330"/>
      <c r="BF177" s="1330"/>
      <c r="BG177" s="1330"/>
    </row>
    <row r="178" spans="1:59" ht="15.75" customHeight="1">
      <c r="A178" s="420"/>
      <c r="B178" s="420" t="s">
        <v>2122</v>
      </c>
      <c r="C178" s="432">
        <f>+$C$176+$G$177</f>
        <v>97074.950000000026</v>
      </c>
      <c r="D178" s="432"/>
      <c r="E178" s="420"/>
      <c r="F178" s="420">
        <v>0</v>
      </c>
      <c r="G178" s="444"/>
      <c r="H178" s="420"/>
      <c r="I178" s="420"/>
      <c r="J178" s="432"/>
      <c r="K178" s="420"/>
      <c r="L178" s="420" t="s">
        <v>821</v>
      </c>
      <c r="M178" s="420" t="s">
        <v>3319</v>
      </c>
      <c r="N178" s="420" t="s">
        <v>844</v>
      </c>
      <c r="O178" s="420"/>
      <c r="P178" s="420"/>
      <c r="Q178" s="421">
        <v>0</v>
      </c>
      <c r="R178" s="421">
        <v>0</v>
      </c>
      <c r="S178" s="444"/>
      <c r="T178" s="420">
        <v>20</v>
      </c>
      <c r="U178" s="420"/>
      <c r="V178" s="420"/>
      <c r="W178" s="420">
        <v>1.2</v>
      </c>
      <c r="X178" s="420"/>
      <c r="Y178" s="420"/>
      <c r="Z178" s="420"/>
      <c r="AA178" s="420"/>
      <c r="AB178" s="420"/>
      <c r="AC178" s="417" t="s">
        <v>1421</v>
      </c>
      <c r="AD178" s="420"/>
      <c r="AE178" s="420"/>
      <c r="AF178" s="421">
        <v>100</v>
      </c>
      <c r="AG178" s="432">
        <v>97075.06</v>
      </c>
      <c r="AH178" s="421">
        <v>1733</v>
      </c>
      <c r="AI178" s="421">
        <v>-5890</v>
      </c>
      <c r="AJ178" s="420"/>
      <c r="AK178" s="420" t="s">
        <v>139</v>
      </c>
      <c r="AL178" s="420" t="s">
        <v>2135</v>
      </c>
      <c r="AM178" s="420" t="s">
        <v>2879</v>
      </c>
      <c r="AN178" s="422">
        <v>5.5</v>
      </c>
      <c r="AO178" s="417"/>
      <c r="AP178" s="417"/>
      <c r="AQ178" s="422"/>
      <c r="AR178" s="417"/>
      <c r="AS178" s="417"/>
      <c r="AT178" s="422">
        <f>+ab($T$178,$T$176,-$T$180,$G$177,$G$179,-1*$F$178,1200)</f>
        <v>14.640395877525339</v>
      </c>
      <c r="AU178" s="417"/>
      <c r="AV178" s="417"/>
      <c r="AW178" s="417" t="s">
        <v>4180</v>
      </c>
      <c r="AX178" s="417"/>
      <c r="AY178" s="422"/>
      <c r="AZ178" s="422"/>
      <c r="BA178" s="604" t="s">
        <v>2809</v>
      </c>
      <c r="BB178" s="420" t="str">
        <f>Pole_Calculations!A178</f>
        <v>App.8-V08F-P10.3</v>
      </c>
      <c r="BC178" s="169"/>
      <c r="BD178" s="1329" t="s">
        <v>4946</v>
      </c>
      <c r="BE178" s="1329" t="s">
        <v>4946</v>
      </c>
      <c r="BF178" s="1329" t="s">
        <v>4946</v>
      </c>
      <c r="BG178" s="1329">
        <v>43636</v>
      </c>
    </row>
    <row r="179" spans="1:59" ht="15.75" customHeight="1">
      <c r="A179" s="966" t="s">
        <v>1663</v>
      </c>
      <c r="B179" s="509"/>
      <c r="C179" s="510"/>
      <c r="D179" s="510"/>
      <c r="E179" s="509"/>
      <c r="F179" s="509"/>
      <c r="G179" s="513">
        <v>39</v>
      </c>
      <c r="H179" s="509"/>
      <c r="I179" s="509"/>
      <c r="J179" s="510"/>
      <c r="K179" s="509"/>
      <c r="L179" s="509"/>
      <c r="M179" s="509"/>
      <c r="N179" s="509"/>
      <c r="O179" s="509"/>
      <c r="P179" s="509"/>
      <c r="Q179" s="783"/>
      <c r="R179" s="783"/>
      <c r="S179" s="513">
        <f>+AG180-AG178</f>
        <v>38.940000000002328</v>
      </c>
      <c r="T179" s="509"/>
      <c r="U179" s="509"/>
      <c r="V179" s="509"/>
      <c r="W179" s="509"/>
      <c r="X179" s="509"/>
      <c r="Y179" s="509"/>
      <c r="Z179" s="509"/>
      <c r="AA179" s="509"/>
      <c r="AB179" s="509"/>
      <c r="AC179" s="509"/>
      <c r="AD179" s="509"/>
      <c r="AE179" s="509"/>
      <c r="AF179" s="783"/>
      <c r="AG179" s="510"/>
      <c r="AH179" s="783"/>
      <c r="AI179" s="783"/>
      <c r="AJ179" s="509"/>
      <c r="AK179" s="509"/>
      <c r="AL179" s="509"/>
      <c r="AM179" s="509"/>
      <c r="AN179" s="508"/>
      <c r="AO179" s="506"/>
      <c r="AP179" s="506"/>
      <c r="AQ179" s="508">
        <f>+FL_1($T$180,-$T$178,$G$179,1200,9.28,-1*$F$180)</f>
        <v>0.3</v>
      </c>
      <c r="AR179" s="506"/>
      <c r="AS179" s="506"/>
      <c r="AT179" s="508"/>
      <c r="AU179" s="506"/>
      <c r="AV179" s="506"/>
      <c r="AW179" s="506"/>
      <c r="AX179" s="506"/>
      <c r="AY179" s="508"/>
      <c r="AZ179" s="508"/>
      <c r="BA179" s="968"/>
      <c r="BB179" s="966"/>
      <c r="BC179" s="169"/>
      <c r="BD179" s="1330"/>
      <c r="BE179" s="1330"/>
      <c r="BF179" s="1330"/>
      <c r="BG179" s="1330"/>
    </row>
    <row r="180" spans="1:59" ht="15.75" customHeight="1">
      <c r="A180" s="1239"/>
      <c r="B180" s="1239" t="s">
        <v>2123</v>
      </c>
      <c r="C180" s="171">
        <f>+$C$178+$G$179</f>
        <v>97113.950000000026</v>
      </c>
      <c r="D180" s="171"/>
      <c r="E180" s="1239"/>
      <c r="F180" s="448">
        <v>-1123.1600000000001</v>
      </c>
      <c r="G180" s="455"/>
      <c r="H180" s="1239" t="s">
        <v>873</v>
      </c>
      <c r="I180" s="1239"/>
      <c r="J180" s="171"/>
      <c r="K180" s="1239"/>
      <c r="L180" s="1239" t="s">
        <v>821</v>
      </c>
      <c r="M180" s="1239" t="str">
        <f>IF(AX180="PT",VLOOKUP(L180,'Foundation Calculation'!$V$2:$X$40,VLOOKUP(AX180,'Foundation Calculation'!$I$10:$J$13,2,FALSE),0),IF(AX180="K",VLOOKUP(L180,'Foundation Calculation'!$V$42:$X$80,VLOOKUP(AX180,'Foundation Calculation'!$I$10:$J$13,2,FALSE),0),""))</f>
        <v>C7R</v>
      </c>
      <c r="N180" s="1239" t="s">
        <v>844</v>
      </c>
      <c r="O180" s="1239"/>
      <c r="P180" s="1239"/>
      <c r="Q180" s="448">
        <v>21</v>
      </c>
      <c r="R180" s="448">
        <v>-1123.1600000000001</v>
      </c>
      <c r="S180" s="455"/>
      <c r="T180" s="1239">
        <v>30</v>
      </c>
      <c r="U180" s="1239"/>
      <c r="V180" s="1239"/>
      <c r="W180" s="1239">
        <v>1</v>
      </c>
      <c r="X180" s="1239"/>
      <c r="Y180" s="1239"/>
      <c r="Z180" s="1239"/>
      <c r="AA180" s="1239"/>
      <c r="AB180" s="1239"/>
      <c r="AC180" s="638" t="s">
        <v>4090</v>
      </c>
      <c r="AD180" s="1239"/>
      <c r="AE180" s="1239"/>
      <c r="AF180" s="448">
        <v>200</v>
      </c>
      <c r="AG180" s="171">
        <v>97114</v>
      </c>
      <c r="AH180" s="448">
        <v>4713</v>
      </c>
      <c r="AI180" s="448">
        <v>389</v>
      </c>
      <c r="AJ180" s="1239"/>
      <c r="AK180" s="1239"/>
      <c r="AL180" s="1239" t="s">
        <v>2142</v>
      </c>
      <c r="AM180" s="1239" t="s">
        <v>1042</v>
      </c>
      <c r="AN180" s="484">
        <v>5.44</v>
      </c>
      <c r="AO180" s="638"/>
      <c r="AP180" s="638"/>
      <c r="AQ180" s="484"/>
      <c r="AR180" s="638"/>
      <c r="AS180" s="638"/>
      <c r="AT180" s="484">
        <f>+ab($T$180,-$T$178,$T$182,$G$179,$G$181,-1*$F$180,1200)</f>
        <v>4.0982965959629531</v>
      </c>
      <c r="AU180" s="638"/>
      <c r="AV180" s="638"/>
      <c r="AW180" s="638" t="str">
        <f>VLOOKUP(C180,'Foundation Calculation'!$A$2:$C$33,3,1)</f>
        <v>Soil A</v>
      </c>
      <c r="AX180" s="572" t="str">
        <f>VLOOKUP(C180,'Foundation Calculation'!$E$2:$G$33,3,1)</f>
        <v>PT</v>
      </c>
      <c r="AY180" s="689">
        <f>IF(AX180="PT",VLOOKUP(M180,'Foundation Calculation'!$L$2:$R$37,VLOOKUP(AW180,'Foundation Calculation'!$I$2:$J$8,2,FALSE),0),IF(AX180="K",VLOOKUP(M180,'Foundation Calculation'!$L$41:$R$75,VLOOKUP(AW180,'Foundation Calculation'!$I$2:$J$8,2,FALSE),0),""))</f>
        <v>3.5</v>
      </c>
      <c r="AZ180" s="484"/>
      <c r="BA180" s="671" t="s">
        <v>2809</v>
      </c>
      <c r="BB180" s="1239" t="str">
        <f>Pole_Calculations!A178</f>
        <v>App.8-V08F-P10.3</v>
      </c>
      <c r="BC180" s="169"/>
      <c r="BD180" s="1329">
        <v>43414</v>
      </c>
      <c r="BE180" s="1329" t="s">
        <v>4946</v>
      </c>
      <c r="BF180" s="1329" t="s">
        <v>4946</v>
      </c>
      <c r="BG180" s="1329">
        <v>43713</v>
      </c>
    </row>
    <row r="181" spans="1:59" ht="15.75" customHeight="1">
      <c r="A181" s="1239"/>
      <c r="B181" s="1239"/>
      <c r="C181" s="171"/>
      <c r="D181" s="171"/>
      <c r="E181" s="1239"/>
      <c r="F181" s="1239"/>
      <c r="G181" s="455">
        <v>37.200000000000003</v>
      </c>
      <c r="H181" s="1239"/>
      <c r="I181" s="1239"/>
      <c r="J181" s="171">
        <f>C180+7.5</f>
        <v>97121.450000000026</v>
      </c>
      <c r="K181" s="1239" t="s">
        <v>2788</v>
      </c>
      <c r="L181" s="1239"/>
      <c r="M181" s="1239"/>
      <c r="N181" s="1239"/>
      <c r="O181" s="1239"/>
      <c r="P181" s="1239"/>
      <c r="Q181" s="448"/>
      <c r="R181" s="448"/>
      <c r="S181" s="455">
        <f>+AG182-AG180</f>
        <v>37.320000000006985</v>
      </c>
      <c r="T181" s="1239"/>
      <c r="U181" s="1239"/>
      <c r="V181" s="1239"/>
      <c r="W181" s="1239"/>
      <c r="X181" s="1239"/>
      <c r="Y181" s="1239"/>
      <c r="Z181" s="1239"/>
      <c r="AA181" s="1239"/>
      <c r="AB181" s="1239"/>
      <c r="AC181" s="1239"/>
      <c r="AD181" s="1239"/>
      <c r="AE181" s="1239"/>
      <c r="AF181" s="448"/>
      <c r="AG181" s="171"/>
      <c r="AH181" s="448"/>
      <c r="AI181" s="448"/>
      <c r="AJ181" s="1239"/>
      <c r="AK181" s="1239"/>
      <c r="AL181" s="1239"/>
      <c r="AM181" s="1239"/>
      <c r="AN181" s="484"/>
      <c r="AO181" s="638"/>
      <c r="AP181" s="638"/>
      <c r="AQ181" s="484">
        <f>+FL_1($T$182,$T$180,$G$181,1200,9.28,-1*$F$182)</f>
        <v>0.30000000000000004</v>
      </c>
      <c r="AR181" s="638"/>
      <c r="AS181" s="638"/>
      <c r="AT181" s="484"/>
      <c r="AU181" s="638"/>
      <c r="AV181" s="638"/>
      <c r="AW181" s="638" t="str">
        <f>VLOOKUP(J181,'Foundation Calculation'!$A$2:$C$33,3,1)</f>
        <v>Soil A</v>
      </c>
      <c r="AX181" s="572" t="s">
        <v>1371</v>
      </c>
      <c r="AY181" s="484"/>
      <c r="AZ181" s="689">
        <f>IF(AX181="PT",VLOOKUP(K181,'Foundation Calculation'!$K$2:$R$40,VLOOKUP(AW181,'Foundation Calculation'!$I$2:$J$8,2,FALSE),0),IF(AX181="K",VLOOKUP(K181,'Foundation Calculation'!$K$42:$R$80,VLOOKUP(AW181,'Foundation Calculation'!$I$2:$J$8,2,FALSE),0),""))</f>
        <v>2.8</v>
      </c>
      <c r="BA181" s="671" t="s">
        <v>2809</v>
      </c>
      <c r="BB181" s="1239"/>
      <c r="BC181" s="169"/>
      <c r="BD181" s="1329">
        <v>43414</v>
      </c>
      <c r="BE181" s="1330"/>
      <c r="BF181" s="1330"/>
      <c r="BG181" s="1330"/>
    </row>
    <row r="182" spans="1:59" ht="15.75" customHeight="1">
      <c r="A182" s="1239"/>
      <c r="B182" s="1239" t="s">
        <v>2124</v>
      </c>
      <c r="C182" s="171">
        <f>+$C$180+$G$181</f>
        <v>97151.150000000023</v>
      </c>
      <c r="D182" s="171"/>
      <c r="E182" s="1239"/>
      <c r="F182" s="1239">
        <v>-520</v>
      </c>
      <c r="G182" s="455"/>
      <c r="H182" s="1239"/>
      <c r="I182" s="1239" t="s">
        <v>1471</v>
      </c>
      <c r="J182" s="171">
        <f>C182-7.5</f>
        <v>97143.650000000023</v>
      </c>
      <c r="K182" s="1239" t="s">
        <v>2788</v>
      </c>
      <c r="L182" s="1239" t="s">
        <v>821</v>
      </c>
      <c r="M182" s="1239" t="str">
        <f>IF(AX182="PT",VLOOKUP(L182,'Foundation Calculation'!$V$2:$X$40,VLOOKUP(AX182,'Foundation Calculation'!$I$10:$J$13,2,FALSE),0),IF(AX182="K",VLOOKUP(L182,'Foundation Calculation'!$V$42:$X$80,VLOOKUP(AX182,'Foundation Calculation'!$I$10:$J$13,2,FALSE),0),""))</f>
        <v>C7R</v>
      </c>
      <c r="N182" s="1239" t="s">
        <v>144</v>
      </c>
      <c r="O182" s="1239"/>
      <c r="P182" s="1239"/>
      <c r="Q182" s="448">
        <v>63</v>
      </c>
      <c r="R182" s="448">
        <v>-520</v>
      </c>
      <c r="S182" s="455"/>
      <c r="T182" s="1239">
        <v>30</v>
      </c>
      <c r="U182" s="1239"/>
      <c r="V182" s="1239"/>
      <c r="W182" s="1239">
        <v>0.8</v>
      </c>
      <c r="X182" s="1239"/>
      <c r="Y182" s="1239"/>
      <c r="Z182" s="1239"/>
      <c r="AA182" s="1239"/>
      <c r="AB182" s="1239"/>
      <c r="AC182" s="638" t="s">
        <v>3050</v>
      </c>
      <c r="AD182" s="1239"/>
      <c r="AE182" s="1239"/>
      <c r="AF182" s="448">
        <v>5800</v>
      </c>
      <c r="AG182" s="171">
        <v>97151.32</v>
      </c>
      <c r="AH182" s="448">
        <v>2345</v>
      </c>
      <c r="AI182" s="448">
        <v>196</v>
      </c>
      <c r="AJ182" s="1239"/>
      <c r="AK182" s="1239"/>
      <c r="AL182" s="1239" t="s">
        <v>2127</v>
      </c>
      <c r="AM182" s="1239" t="s">
        <v>1042</v>
      </c>
      <c r="AN182" s="484">
        <v>5.36</v>
      </c>
      <c r="AO182" s="638"/>
      <c r="AP182" s="638"/>
      <c r="AQ182" s="484"/>
      <c r="AR182" s="638"/>
      <c r="AS182" s="638"/>
      <c r="AT182" s="484">
        <f>+ab($T$182,$T$180,$T$184,$G$181,$G$183,-1*$F$182,1200)</f>
        <v>2.357116603862691</v>
      </c>
      <c r="AU182" s="638"/>
      <c r="AV182" s="638"/>
      <c r="AW182" s="638" t="str">
        <f>VLOOKUP(C182,'Foundation Calculation'!$A$2:$C$33,3,1)</f>
        <v>Soil A</v>
      </c>
      <c r="AX182" s="572" t="str">
        <f>VLOOKUP(C182,'Foundation Calculation'!$E$2:$G$33,3,1)</f>
        <v>PT</v>
      </c>
      <c r="AY182" s="689">
        <f>IF(AX182="PT",VLOOKUP(M182,'Foundation Calculation'!$L$2:$R$37,VLOOKUP(AW182,'Foundation Calculation'!$I$2:$J$8,2,FALSE),0),IF(AX182="K",VLOOKUP(M182,'Foundation Calculation'!$L$41:$R$75,VLOOKUP(AW182,'Foundation Calculation'!$I$2:$J$8,2,FALSE),0),""))</f>
        <v>3.5</v>
      </c>
      <c r="AZ182" s="689">
        <f>IF(AX182="PT",VLOOKUP(K182,'Foundation Calculation'!$K$2:$R$40,VLOOKUP(AW182,'Foundation Calculation'!$I$2:$J$8,2,FALSE),0),IF(AX182="K",VLOOKUP(K182,'Foundation Calculation'!$K$42:$R$80,VLOOKUP(AW182,'Foundation Calculation'!$I$2:$J$8,2,FALSE),0),""))</f>
        <v>2.8</v>
      </c>
      <c r="BA182" s="671" t="s">
        <v>2809</v>
      </c>
      <c r="BB182" s="1239" t="str">
        <f>Pole_Calculations!A178</f>
        <v>App.8-V08F-P10.3</v>
      </c>
      <c r="BC182" s="169"/>
      <c r="BD182" s="1329">
        <v>43414</v>
      </c>
      <c r="BE182" s="1329" t="s">
        <v>4946</v>
      </c>
      <c r="BF182" s="1329" t="s">
        <v>4946</v>
      </c>
      <c r="BG182" s="1329">
        <v>43661</v>
      </c>
    </row>
    <row r="183" spans="1:59" ht="15.75" customHeight="1">
      <c r="A183" s="1239"/>
      <c r="B183" s="1239"/>
      <c r="C183" s="171"/>
      <c r="D183" s="171"/>
      <c r="E183" s="1239"/>
      <c r="F183" s="1239"/>
      <c r="G183" s="455">
        <v>30.2</v>
      </c>
      <c r="H183" s="1239"/>
      <c r="I183" s="1239"/>
      <c r="J183" s="171"/>
      <c r="K183" s="1239"/>
      <c r="L183" s="1239"/>
      <c r="M183" s="1239"/>
      <c r="N183" s="1239"/>
      <c r="O183" s="1239"/>
      <c r="P183" s="1239"/>
      <c r="Q183" s="448"/>
      <c r="R183" s="448"/>
      <c r="S183" s="455">
        <f>+AG184-AG182</f>
        <v>29.679999999993015</v>
      </c>
      <c r="T183" s="1239"/>
      <c r="U183" s="1239"/>
      <c r="V183" s="1239"/>
      <c r="W183" s="1239"/>
      <c r="X183" s="1239"/>
      <c r="Y183" s="1239"/>
      <c r="Z183" s="1239"/>
      <c r="AA183" s="1239"/>
      <c r="AB183" s="1239"/>
      <c r="AC183" s="1239"/>
      <c r="AD183" s="1239"/>
      <c r="AE183" s="1239"/>
      <c r="AF183" s="448"/>
      <c r="AG183" s="171"/>
      <c r="AH183" s="448"/>
      <c r="AI183" s="448"/>
      <c r="AJ183" s="1239"/>
      <c r="AK183" s="1239"/>
      <c r="AL183" s="1239"/>
      <c r="AM183" s="1239"/>
      <c r="AN183" s="484"/>
      <c r="AO183" s="638"/>
      <c r="AP183" s="638"/>
      <c r="AQ183" s="484">
        <f>+FL_2($T$184,$T$182,$G$183,1200,9.28,-1*$F$184)</f>
        <v>-0.30826529541845671</v>
      </c>
      <c r="AR183" s="638"/>
      <c r="AS183" s="638"/>
      <c r="AT183" s="484"/>
      <c r="AU183" s="638"/>
      <c r="AV183" s="638"/>
      <c r="AW183" s="638"/>
      <c r="AX183" s="638"/>
      <c r="AY183" s="484"/>
      <c r="AZ183" s="484"/>
      <c r="BA183" s="671"/>
      <c r="BB183" s="1239"/>
      <c r="BC183" s="169"/>
      <c r="BD183" s="1330"/>
      <c r="BE183" s="1330"/>
      <c r="BF183" s="1330"/>
      <c r="BG183" s="1330"/>
    </row>
    <row r="184" spans="1:59" ht="15.75" customHeight="1">
      <c r="A184" s="1239"/>
      <c r="B184" s="1239" t="s">
        <v>2125</v>
      </c>
      <c r="C184" s="171">
        <f>+$C$182+$G$183</f>
        <v>97181.35000000002</v>
      </c>
      <c r="D184" s="171"/>
      <c r="E184" s="1239"/>
      <c r="F184" s="1239">
        <v>-520</v>
      </c>
      <c r="G184" s="455"/>
      <c r="H184" s="1239"/>
      <c r="I184" s="1239"/>
      <c r="J184" s="171"/>
      <c r="K184" s="1239"/>
      <c r="L184" s="1622" t="s">
        <v>2400</v>
      </c>
      <c r="M184" s="1622"/>
      <c r="N184" s="1239" t="s">
        <v>2796</v>
      </c>
      <c r="O184" s="1239"/>
      <c r="P184" s="1239"/>
      <c r="Q184" s="448">
        <v>63</v>
      </c>
      <c r="R184" s="448">
        <v>-520</v>
      </c>
      <c r="S184" s="455"/>
      <c r="T184" s="1239">
        <v>-20</v>
      </c>
      <c r="U184" s="1239"/>
      <c r="V184" s="1239"/>
      <c r="W184" s="1239">
        <v>0.6</v>
      </c>
      <c r="X184" s="1239"/>
      <c r="Y184" s="1239"/>
      <c r="Z184" s="1239"/>
      <c r="AA184" s="1239"/>
      <c r="AB184" s="1239"/>
      <c r="AC184" s="638" t="s">
        <v>3050</v>
      </c>
      <c r="AD184" s="1239"/>
      <c r="AE184" s="1239"/>
      <c r="AF184" s="448">
        <v>5400</v>
      </c>
      <c r="AG184" s="171">
        <v>97181</v>
      </c>
      <c r="AH184" s="448">
        <v>2375</v>
      </c>
      <c r="AI184" s="448">
        <v>196</v>
      </c>
      <c r="AJ184" s="1239"/>
      <c r="AK184" s="1239"/>
      <c r="AL184" s="1239"/>
      <c r="AM184" s="1239" t="s">
        <v>2145</v>
      </c>
      <c r="AN184" s="484">
        <v>5.29</v>
      </c>
      <c r="AO184" s="638"/>
      <c r="AP184" s="638"/>
      <c r="AQ184" s="484"/>
      <c r="AR184" s="638"/>
      <c r="AS184" s="638"/>
      <c r="AT184" s="484">
        <f>+ab($T$184,$T$182,$T$186,$G$183,$G$185,-1*$F$184,1200)</f>
        <v>8.3517547317442418</v>
      </c>
      <c r="AU184" s="638"/>
      <c r="AV184" s="638"/>
      <c r="AW184" s="638"/>
      <c r="AX184" s="638"/>
      <c r="AY184" s="484"/>
      <c r="AZ184" s="484"/>
      <c r="BA184" s="671"/>
      <c r="BB184" s="1239"/>
      <c r="BC184" s="169"/>
      <c r="BD184" s="1330"/>
      <c r="BE184" s="1330"/>
      <c r="BF184" s="1330"/>
      <c r="BG184" s="1329">
        <v>43661</v>
      </c>
    </row>
    <row r="185" spans="1:59" ht="15.75" customHeight="1">
      <c r="A185" s="1239"/>
      <c r="B185" s="1239"/>
      <c r="C185" s="171"/>
      <c r="D185" s="171"/>
      <c r="E185" s="1239"/>
      <c r="F185" s="1239"/>
      <c r="G185" s="455">
        <v>28.8</v>
      </c>
      <c r="H185" s="1239"/>
      <c r="I185" s="1239"/>
      <c r="J185" s="171"/>
      <c r="K185" s="1239"/>
      <c r="L185" s="1239"/>
      <c r="M185" s="1239"/>
      <c r="N185" s="1239"/>
      <c r="O185" s="1239"/>
      <c r="P185" s="1239"/>
      <c r="Q185" s="448"/>
      <c r="R185" s="448"/>
      <c r="S185" s="455">
        <f>+AG186-AG184</f>
        <v>29.100000000005821</v>
      </c>
      <c r="T185" s="1239"/>
      <c r="U185" s="1239"/>
      <c r="V185" s="1239"/>
      <c r="W185" s="1239"/>
      <c r="X185" s="1239"/>
      <c r="Y185" s="1239"/>
      <c r="Z185" s="1239"/>
      <c r="AA185" s="1239"/>
      <c r="AB185" s="1239"/>
      <c r="AC185" s="1239"/>
      <c r="AD185" s="1239"/>
      <c r="AE185" s="1239"/>
      <c r="AF185" s="448"/>
      <c r="AG185" s="171"/>
      <c r="AH185" s="448"/>
      <c r="AI185" s="448"/>
      <c r="AJ185" s="1239"/>
      <c r="AK185" s="1239"/>
      <c r="AL185" s="1239"/>
      <c r="AM185" s="1239"/>
      <c r="AN185" s="484"/>
      <c r="AO185" s="638"/>
      <c r="AP185" s="638"/>
      <c r="AQ185" s="484">
        <f>+FL_2($T$186,$T$184,$G$185,1200,9.28,-1*$F$186)</f>
        <v>-0.28547892190845081</v>
      </c>
      <c r="AR185" s="638"/>
      <c r="AS185" s="638"/>
      <c r="AT185" s="484"/>
      <c r="AU185" s="638"/>
      <c r="AV185" s="638"/>
      <c r="AW185" s="638"/>
      <c r="AX185" s="638"/>
      <c r="AY185" s="484"/>
      <c r="AZ185" s="484"/>
      <c r="BA185" s="671"/>
      <c r="BB185" s="1239"/>
      <c r="BC185" s="169"/>
      <c r="BD185" s="1330"/>
      <c r="BE185" s="1330"/>
      <c r="BF185" s="1330"/>
      <c r="BG185" s="1330"/>
    </row>
    <row r="186" spans="1:59" ht="15.75" customHeight="1">
      <c r="A186" s="495"/>
      <c r="B186" s="495" t="s">
        <v>2392</v>
      </c>
      <c r="C186" s="431">
        <f>+$C$184+$G$185</f>
        <v>97210.150000000023</v>
      </c>
      <c r="D186" s="431"/>
      <c r="E186" s="495"/>
      <c r="F186" s="495">
        <v>-520</v>
      </c>
      <c r="G186" s="457"/>
      <c r="H186" s="495"/>
      <c r="I186" s="495"/>
      <c r="J186" s="431"/>
      <c r="K186" s="495"/>
      <c r="L186" s="495" t="s">
        <v>234</v>
      </c>
      <c r="M186" s="495" t="s">
        <v>2811</v>
      </c>
      <c r="N186" s="495" t="s">
        <v>634</v>
      </c>
      <c r="O186" s="495"/>
      <c r="P186" s="495"/>
      <c r="Q186" s="492">
        <v>63</v>
      </c>
      <c r="R186" s="492">
        <v>-520</v>
      </c>
      <c r="S186" s="457"/>
      <c r="T186" s="495">
        <v>30</v>
      </c>
      <c r="U186" s="495"/>
      <c r="V186" s="495"/>
      <c r="W186" s="495">
        <v>0.6</v>
      </c>
      <c r="X186" s="495"/>
      <c r="Y186" s="495"/>
      <c r="Z186" s="495"/>
      <c r="AA186" s="495"/>
      <c r="AB186" s="495"/>
      <c r="AC186" s="495" t="s">
        <v>3050</v>
      </c>
      <c r="AD186" s="495"/>
      <c r="AE186" s="495"/>
      <c r="AF186" s="492">
        <v>400</v>
      </c>
      <c r="AG186" s="431">
        <v>97210.1</v>
      </c>
      <c r="AH186" s="492">
        <v>1543</v>
      </c>
      <c r="AI186" s="492">
        <v>-4845</v>
      </c>
      <c r="AJ186" s="495"/>
      <c r="AK186" s="495"/>
      <c r="AL186" s="495"/>
      <c r="AM186" s="495" t="s">
        <v>2145</v>
      </c>
      <c r="AN186" s="493">
        <v>5.25</v>
      </c>
      <c r="AO186" s="490"/>
      <c r="AP186" s="490"/>
      <c r="AQ186" s="493"/>
      <c r="AR186" s="490"/>
      <c r="AS186" s="490"/>
      <c r="AT186" s="493">
        <f>+ab($T$186,$T$184,$T$188,$G$185,$G$187,-1*$F$186,1200)</f>
        <v>2.5355878848939506</v>
      </c>
      <c r="AU186" s="490"/>
      <c r="AV186" s="490"/>
      <c r="AW186" s="490" t="s">
        <v>4181</v>
      </c>
      <c r="AX186" s="490"/>
      <c r="AY186" s="493"/>
      <c r="AZ186" s="493"/>
      <c r="BA186" s="602" t="s">
        <v>2809</v>
      </c>
      <c r="BB186" s="495"/>
      <c r="BC186" s="169"/>
      <c r="BD186" s="1330"/>
      <c r="BE186" s="1330"/>
      <c r="BF186" s="1330"/>
      <c r="BG186" s="1329">
        <v>43636</v>
      </c>
    </row>
    <row r="187" spans="1:59" ht="15.75" customHeight="1">
      <c r="A187" s="495"/>
      <c r="B187" s="495"/>
      <c r="C187" s="431"/>
      <c r="D187" s="431"/>
      <c r="E187" s="495"/>
      <c r="F187" s="495"/>
      <c r="G187" s="504">
        <v>31.8</v>
      </c>
      <c r="H187" s="495"/>
      <c r="I187" s="495"/>
      <c r="J187" s="431"/>
      <c r="K187" s="495"/>
      <c r="L187" s="495"/>
      <c r="M187" s="495"/>
      <c r="N187" s="495"/>
      <c r="O187" s="495"/>
      <c r="P187" s="495"/>
      <c r="Q187" s="492"/>
      <c r="R187" s="492"/>
      <c r="S187" s="457">
        <v>31.8</v>
      </c>
      <c r="T187" s="495"/>
      <c r="U187" s="495"/>
      <c r="V187" s="495"/>
      <c r="W187" s="495"/>
      <c r="X187" s="495"/>
      <c r="Y187" s="495"/>
      <c r="Z187" s="495"/>
      <c r="AA187" s="495"/>
      <c r="AB187" s="495"/>
      <c r="AC187" s="495"/>
      <c r="AD187" s="495"/>
      <c r="AE187" s="495"/>
      <c r="AF187" s="492"/>
      <c r="AG187" s="431"/>
      <c r="AH187" s="492"/>
      <c r="AI187" s="492"/>
      <c r="AJ187" s="495"/>
      <c r="AK187" s="495"/>
      <c r="AL187" s="495"/>
      <c r="AM187" s="495"/>
      <c r="AN187" s="493"/>
      <c r="AO187" s="490"/>
      <c r="AP187" s="490"/>
      <c r="AQ187" s="493">
        <f>+FL_2($T$188,$T$186,$G$187,1200,9.28,-1*$F$188)</f>
        <v>-4.0896583370124862E-2</v>
      </c>
      <c r="AR187" s="490"/>
      <c r="AS187" s="490"/>
      <c r="AT187" s="493"/>
      <c r="AU187" s="490"/>
      <c r="AV187" s="490"/>
      <c r="AW187" s="490"/>
      <c r="AX187" s="490"/>
      <c r="AY187" s="493"/>
      <c r="AZ187" s="493"/>
      <c r="BA187" s="602"/>
      <c r="BB187" s="495"/>
      <c r="BC187" s="169"/>
      <c r="BD187" s="1329"/>
      <c r="BE187" s="1329"/>
      <c r="BF187" s="1329"/>
      <c r="BG187" s="1329"/>
    </row>
    <row r="188" spans="1:59" ht="15.75" customHeight="1">
      <c r="A188" s="501" t="s">
        <v>1851</v>
      </c>
      <c r="B188" s="716" t="s">
        <v>2144</v>
      </c>
      <c r="C188" s="451">
        <v>97208.5</v>
      </c>
      <c r="D188" s="453"/>
      <c r="E188" s="452"/>
      <c r="F188" s="453">
        <v>-520</v>
      </c>
      <c r="G188" s="500"/>
      <c r="H188" s="453" t="s">
        <v>138</v>
      </c>
      <c r="I188" s="501" t="s">
        <v>1564</v>
      </c>
      <c r="J188" s="583"/>
      <c r="K188" s="452" t="s">
        <v>1744</v>
      </c>
      <c r="L188" s="452" t="s">
        <v>1680</v>
      </c>
      <c r="M188" s="452"/>
      <c r="N188" s="501" t="s">
        <v>633</v>
      </c>
      <c r="O188" s="501"/>
      <c r="P188" s="501"/>
      <c r="Q188" s="452"/>
      <c r="R188" s="452"/>
      <c r="S188" s="500"/>
      <c r="T188" s="452">
        <v>30</v>
      </c>
      <c r="U188" s="452"/>
      <c r="V188" s="452"/>
      <c r="W188" s="452">
        <v>1</v>
      </c>
      <c r="X188" s="452"/>
      <c r="Y188" s="452"/>
      <c r="Z188" s="452"/>
      <c r="AA188" s="452"/>
      <c r="AB188" s="452"/>
      <c r="AC188" s="452" t="s">
        <v>3050</v>
      </c>
      <c r="AD188" s="452"/>
      <c r="AE188" s="452"/>
      <c r="AF188" s="452">
        <v>800</v>
      </c>
      <c r="AG188" s="451">
        <v>97222.74</v>
      </c>
      <c r="AH188" s="452">
        <v>2521</v>
      </c>
      <c r="AI188" s="452">
        <v>-4392</v>
      </c>
      <c r="AJ188" s="452"/>
      <c r="AK188" s="452"/>
      <c r="AL188" s="452"/>
      <c r="AM188" s="452"/>
      <c r="AN188" s="500">
        <v>5.25</v>
      </c>
      <c r="AO188" s="452"/>
      <c r="AP188" s="452"/>
      <c r="AQ188" s="452"/>
      <c r="AR188" s="452"/>
      <c r="AS188" s="452"/>
      <c r="AT188" s="452">
        <f>+ab($T$188,$T$186,$U$190,$G$187,$G$189,-1*$F$188,1200)</f>
        <v>2.8045072634578703</v>
      </c>
      <c r="AU188" s="452"/>
      <c r="AV188" s="452"/>
      <c r="AW188" s="452"/>
      <c r="AX188" s="452"/>
      <c r="AY188" s="500"/>
      <c r="AZ188" s="500"/>
      <c r="BA188" s="1333"/>
      <c r="BB188" s="452"/>
      <c r="BC188" s="1334"/>
      <c r="BD188" s="1335"/>
      <c r="BE188" s="1335"/>
      <c r="BF188" s="1335"/>
      <c r="BG188" s="1335"/>
    </row>
    <row r="189" spans="1:59" ht="15.75" customHeight="1">
      <c r="A189" s="501"/>
      <c r="B189" s="716"/>
      <c r="C189" s="451"/>
      <c r="D189" s="453"/>
      <c r="E189" s="452"/>
      <c r="F189" s="453"/>
      <c r="G189" s="500">
        <v>33</v>
      </c>
      <c r="H189" s="453"/>
      <c r="I189" s="501"/>
      <c r="J189" s="583"/>
      <c r="K189" s="452"/>
      <c r="L189" s="452"/>
      <c r="M189" s="452"/>
      <c r="N189" s="501"/>
      <c r="O189" s="501"/>
      <c r="P189" s="501"/>
      <c r="Q189" s="452"/>
      <c r="R189" s="452"/>
      <c r="S189" s="500">
        <f>+AG190-AG188</f>
        <v>34.409999999988941</v>
      </c>
      <c r="T189" s="452"/>
      <c r="U189" s="452"/>
      <c r="V189" s="452"/>
      <c r="W189" s="452"/>
      <c r="X189" s="452"/>
      <c r="Y189" s="452"/>
      <c r="Z189" s="452"/>
      <c r="AA189" s="452"/>
      <c r="AB189" s="452"/>
      <c r="AC189" s="452"/>
      <c r="AD189" s="452"/>
      <c r="AE189" s="452"/>
      <c r="AF189" s="452"/>
      <c r="AG189" s="451"/>
      <c r="AH189" s="452"/>
      <c r="AI189" s="452"/>
      <c r="AJ189" s="452"/>
      <c r="AK189" s="452"/>
      <c r="AL189" s="452"/>
      <c r="AM189" s="452"/>
      <c r="AN189" s="500"/>
      <c r="AO189" s="452"/>
      <c r="AP189" s="452"/>
      <c r="AQ189" s="452">
        <f>+FL_2($U$190,$T$188,$G$189,1200,9.28,-1*$F$190)</f>
        <v>-0.17392341740678408</v>
      </c>
      <c r="AR189" s="452"/>
      <c r="AS189" s="452"/>
      <c r="AT189" s="452"/>
      <c r="AU189" s="452"/>
      <c r="AV189" s="452"/>
      <c r="AW189" s="452"/>
      <c r="AX189" s="452"/>
      <c r="AY189" s="500"/>
      <c r="AZ189" s="500"/>
      <c r="BA189" s="1333"/>
      <c r="BB189" s="452"/>
      <c r="BC189" s="1334"/>
      <c r="BD189" s="1335"/>
      <c r="BE189" s="1335"/>
      <c r="BF189" s="1335"/>
      <c r="BG189" s="1335"/>
    </row>
    <row r="190" spans="1:59" ht="15.75" customHeight="1">
      <c r="A190" s="501"/>
      <c r="B190" s="716" t="s">
        <v>2155</v>
      </c>
      <c r="C190" s="451">
        <f>C188+G189</f>
        <v>97241.5</v>
      </c>
      <c r="D190" s="453"/>
      <c r="E190" s="452"/>
      <c r="F190" s="453">
        <v>-520</v>
      </c>
      <c r="G190" s="500"/>
      <c r="H190" s="453" t="s">
        <v>619</v>
      </c>
      <c r="I190" s="501"/>
      <c r="J190" s="583"/>
      <c r="K190" s="452"/>
      <c r="L190" s="452" t="s">
        <v>895</v>
      </c>
      <c r="M190" s="452" t="s">
        <v>1717</v>
      </c>
      <c r="N190" s="501" t="s">
        <v>140</v>
      </c>
      <c r="O190" s="501" t="s">
        <v>144</v>
      </c>
      <c r="P190" s="501"/>
      <c r="Q190" s="452"/>
      <c r="R190" s="452"/>
      <c r="S190" s="500"/>
      <c r="T190" s="452">
        <v>55</v>
      </c>
      <c r="U190" s="452">
        <v>10</v>
      </c>
      <c r="V190" s="452"/>
      <c r="W190" s="452">
        <v>0.8</v>
      </c>
      <c r="X190" s="452">
        <v>1</v>
      </c>
      <c r="Y190" s="452"/>
      <c r="Z190" s="452">
        <v>0.35</v>
      </c>
      <c r="AA190" s="452"/>
      <c r="AB190" s="452"/>
      <c r="AC190" s="452"/>
      <c r="AD190" s="452" t="s">
        <v>1423</v>
      </c>
      <c r="AE190" s="452"/>
      <c r="AF190" s="452">
        <v>3000</v>
      </c>
      <c r="AG190" s="451">
        <v>97257.15</v>
      </c>
      <c r="AH190" s="452">
        <v>3793</v>
      </c>
      <c r="AI190" s="452">
        <v>-2411</v>
      </c>
      <c r="AJ190" s="452"/>
      <c r="AK190" s="452"/>
      <c r="AL190" s="452"/>
      <c r="AM190" s="452" t="s">
        <v>1043</v>
      </c>
      <c r="AN190" s="500">
        <v>5.25</v>
      </c>
      <c r="AO190" s="452"/>
      <c r="AP190" s="452"/>
      <c r="AQ190" s="452"/>
      <c r="AR190" s="452"/>
      <c r="AS190" s="452"/>
      <c r="AT190" s="452">
        <f>+ab($U$190,$T$188,$U$192,$G$189,$G$191,-1*$F$190,1200)</f>
        <v>3.3392376141509761</v>
      </c>
      <c r="AU190" s="452"/>
      <c r="AV190" s="452"/>
      <c r="AW190" s="452"/>
      <c r="AX190" s="452"/>
      <c r="AY190" s="500"/>
      <c r="AZ190" s="500"/>
      <c r="BA190" s="1333"/>
      <c r="BB190" s="452" t="str">
        <f>Pole_Calculations!A19</f>
        <v>App.7-V11A-P9.5.1.5</v>
      </c>
      <c r="BC190" s="1334"/>
      <c r="BD190" s="1335"/>
      <c r="BE190" s="1335"/>
      <c r="BF190" s="1335"/>
      <c r="BG190" s="1335"/>
    </row>
    <row r="191" spans="1:59" ht="15.75" customHeight="1">
      <c r="A191" s="501"/>
      <c r="B191" s="716"/>
      <c r="C191" s="451"/>
      <c r="D191" s="453"/>
      <c r="E191" s="452"/>
      <c r="F191" s="453"/>
      <c r="G191" s="500">
        <v>33</v>
      </c>
      <c r="H191" s="453"/>
      <c r="I191" s="501"/>
      <c r="J191" s="583"/>
      <c r="K191" s="452"/>
      <c r="L191" s="452"/>
      <c r="M191" s="452"/>
      <c r="N191" s="501"/>
      <c r="O191" s="501"/>
      <c r="P191" s="501"/>
      <c r="Q191" s="452"/>
      <c r="R191" s="452"/>
      <c r="S191" s="500">
        <f>+AG192-AG190</f>
        <v>32.30000000000291</v>
      </c>
      <c r="T191" s="452"/>
      <c r="U191" s="452"/>
      <c r="V191" s="452"/>
      <c r="W191" s="452"/>
      <c r="X191" s="452"/>
      <c r="Y191" s="452"/>
      <c r="Z191" s="452"/>
      <c r="AA191" s="452"/>
      <c r="AB191" s="452"/>
      <c r="AC191" s="452"/>
      <c r="AD191" s="452"/>
      <c r="AE191" s="452"/>
      <c r="AF191" s="452"/>
      <c r="AG191" s="451"/>
      <c r="AH191" s="452"/>
      <c r="AI191" s="452"/>
      <c r="AJ191" s="452"/>
      <c r="AK191" s="452"/>
      <c r="AL191" s="452"/>
      <c r="AM191" s="452"/>
      <c r="AN191" s="500"/>
      <c r="AO191" s="452"/>
      <c r="AP191" s="452"/>
      <c r="AQ191" s="452">
        <f>+FL_1($U$192,$U$190,$G$191,1200,9.28,-1*$F$192)</f>
        <v>0.10000000000000002</v>
      </c>
      <c r="AR191" s="452"/>
      <c r="AS191" s="452"/>
      <c r="AT191" s="452"/>
      <c r="AU191" s="452"/>
      <c r="AV191" s="452"/>
      <c r="AW191" s="452"/>
      <c r="AX191" s="452"/>
      <c r="AY191" s="500"/>
      <c r="AZ191" s="500"/>
      <c r="BA191" s="1333"/>
      <c r="BB191" s="452"/>
      <c r="BC191" s="1334"/>
      <c r="BD191" s="1335"/>
      <c r="BE191" s="1335"/>
      <c r="BF191" s="1335"/>
      <c r="BG191" s="1335"/>
    </row>
    <row r="192" spans="1:59" ht="15.75" customHeight="1">
      <c r="A192" s="501" t="s">
        <v>2297</v>
      </c>
      <c r="B192" s="716" t="s">
        <v>2156</v>
      </c>
      <c r="C192" s="451">
        <f>C190+G191</f>
        <v>97274.5</v>
      </c>
      <c r="D192" s="453"/>
      <c r="E192" s="452"/>
      <c r="F192" s="453">
        <v>-520</v>
      </c>
      <c r="G192" s="500"/>
      <c r="H192" s="453" t="s">
        <v>2157</v>
      </c>
      <c r="I192" s="501" t="s">
        <v>1429</v>
      </c>
      <c r="J192" s="583"/>
      <c r="K192" s="452"/>
      <c r="L192" s="452" t="s">
        <v>821</v>
      </c>
      <c r="M192" s="452" t="s">
        <v>1476</v>
      </c>
      <c r="N192" s="501" t="s">
        <v>140</v>
      </c>
      <c r="O192" s="501" t="s">
        <v>144</v>
      </c>
      <c r="P192" s="501"/>
      <c r="Q192" s="452"/>
      <c r="R192" s="452"/>
      <c r="S192" s="500"/>
      <c r="T192" s="452">
        <v>55</v>
      </c>
      <c r="U192" s="452">
        <v>10</v>
      </c>
      <c r="V192" s="452"/>
      <c r="W192" s="452">
        <v>1.4</v>
      </c>
      <c r="X192" s="452">
        <v>2.2999999999999998</v>
      </c>
      <c r="Y192" s="452"/>
      <c r="Z192" s="452">
        <v>0.1</v>
      </c>
      <c r="AA192" s="452"/>
      <c r="AB192" s="452"/>
      <c r="AC192" s="452" t="s">
        <v>3050</v>
      </c>
      <c r="AD192" s="452" t="s">
        <v>4483</v>
      </c>
      <c r="AE192" s="452"/>
      <c r="AF192" s="452">
        <v>3500</v>
      </c>
      <c r="AG192" s="451">
        <v>97289.45</v>
      </c>
      <c r="AH192" s="452">
        <v>3823</v>
      </c>
      <c r="AI192" s="452">
        <v>-2084</v>
      </c>
      <c r="AJ192" s="452" t="s">
        <v>2154</v>
      </c>
      <c r="AK192" s="452"/>
      <c r="AL192" s="452" t="s">
        <v>2142</v>
      </c>
      <c r="AM192" s="452" t="s">
        <v>1043</v>
      </c>
      <c r="AN192" s="500">
        <v>5.35</v>
      </c>
      <c r="AO192" s="452"/>
      <c r="AP192" s="452"/>
      <c r="AQ192" s="452"/>
      <c r="AR192" s="452"/>
      <c r="AS192" s="452"/>
      <c r="AT192" s="452">
        <f>+ab($U$192,$U$190,$T$194,$G$191,$G$193,-1*$F$192,1200)</f>
        <v>3.554914765574599</v>
      </c>
      <c r="AU192" s="452"/>
      <c r="AV192" s="452"/>
      <c r="AW192" s="452"/>
      <c r="AX192" s="452"/>
      <c r="AY192" s="500"/>
      <c r="AZ192" s="500"/>
      <c r="BA192" s="1333"/>
      <c r="BB192" s="452" t="str">
        <f>Pole_Calculations!A178</f>
        <v>App.8-V08F-P10.3</v>
      </c>
      <c r="BC192" s="1334"/>
      <c r="BD192" s="1335"/>
      <c r="BE192" s="1335"/>
      <c r="BF192" s="1335"/>
      <c r="BG192" s="1335"/>
    </row>
    <row r="193" spans="1:59" ht="15.75" customHeight="1">
      <c r="A193" s="501"/>
      <c r="B193" s="716"/>
      <c r="C193" s="451"/>
      <c r="D193" s="453"/>
      <c r="E193" s="452"/>
      <c r="F193" s="453"/>
      <c r="G193" s="500">
        <v>30</v>
      </c>
      <c r="H193" s="453"/>
      <c r="I193" s="501"/>
      <c r="J193" s="583">
        <f>C194-7.5</f>
        <v>97297</v>
      </c>
      <c r="K193" s="452" t="s">
        <v>621</v>
      </c>
      <c r="L193" s="452"/>
      <c r="M193" s="452"/>
      <c r="N193" s="501"/>
      <c r="O193" s="501"/>
      <c r="P193" s="501"/>
      <c r="Q193" s="452"/>
      <c r="R193" s="452"/>
      <c r="S193" s="500">
        <f>+AG194-AG192</f>
        <v>29.440000000002328</v>
      </c>
      <c r="T193" s="452"/>
      <c r="U193" s="452"/>
      <c r="V193" s="452"/>
      <c r="W193" s="452"/>
      <c r="X193" s="452"/>
      <c r="Y193" s="452"/>
      <c r="Z193" s="452"/>
      <c r="AA193" s="452"/>
      <c r="AB193" s="452"/>
      <c r="AC193" s="452"/>
      <c r="AD193" s="452"/>
      <c r="AE193" s="452"/>
      <c r="AF193" s="452"/>
      <c r="AG193" s="451"/>
      <c r="AH193" s="452"/>
      <c r="AI193" s="452"/>
      <c r="AJ193" s="452"/>
      <c r="AK193" s="452"/>
      <c r="AL193" s="452"/>
      <c r="AM193" s="452"/>
      <c r="AN193" s="500"/>
      <c r="AO193" s="452"/>
      <c r="AP193" s="452"/>
      <c r="AQ193" s="452">
        <f>+FL_1($T$194,$U$192,$G$193,1200,9.28,-1*$F$194)</f>
        <v>0.3</v>
      </c>
      <c r="AR193" s="452"/>
      <c r="AS193" s="452"/>
      <c r="AT193" s="452"/>
      <c r="AU193" s="452"/>
      <c r="AV193" s="452"/>
      <c r="AW193" s="452"/>
      <c r="AX193" s="452"/>
      <c r="AY193" s="500"/>
      <c r="AZ193" s="500"/>
      <c r="BA193" s="1333"/>
      <c r="BB193" s="452"/>
      <c r="BC193" s="1334"/>
      <c r="BD193" s="1335"/>
      <c r="BE193" s="1335"/>
      <c r="BF193" s="1335"/>
      <c r="BG193" s="1335"/>
    </row>
    <row r="194" spans="1:59" ht="15.75" customHeight="1">
      <c r="A194" s="501"/>
      <c r="B194" s="716" t="s">
        <v>2158</v>
      </c>
      <c r="C194" s="451">
        <f>C192+G193</f>
        <v>97304.5</v>
      </c>
      <c r="D194" s="453"/>
      <c r="E194" s="452"/>
      <c r="F194" s="453">
        <v>-520</v>
      </c>
      <c r="G194" s="500"/>
      <c r="H194" s="453" t="s">
        <v>2130</v>
      </c>
      <c r="I194" s="501" t="s">
        <v>624</v>
      </c>
      <c r="J194" s="583"/>
      <c r="K194" s="452"/>
      <c r="L194" s="452" t="s">
        <v>821</v>
      </c>
      <c r="M194" s="452" t="s">
        <v>1476</v>
      </c>
      <c r="N194" s="501" t="s">
        <v>144</v>
      </c>
      <c r="O194" s="501" t="s">
        <v>140</v>
      </c>
      <c r="P194" s="501"/>
      <c r="Q194" s="452"/>
      <c r="R194" s="452"/>
      <c r="S194" s="500"/>
      <c r="T194" s="452">
        <v>30</v>
      </c>
      <c r="U194" s="452">
        <v>-15</v>
      </c>
      <c r="V194" s="452"/>
      <c r="W194" s="452">
        <v>1.4</v>
      </c>
      <c r="X194" s="452">
        <v>2.2999999999999998</v>
      </c>
      <c r="Y194" s="452"/>
      <c r="Z194" s="452"/>
      <c r="AA194" s="452">
        <v>0.1</v>
      </c>
      <c r="AB194" s="452"/>
      <c r="AC194" s="452" t="s">
        <v>3050</v>
      </c>
      <c r="AD194" s="452" t="s">
        <v>4483</v>
      </c>
      <c r="AE194" s="452"/>
      <c r="AF194" s="452">
        <v>3800</v>
      </c>
      <c r="AG194" s="451">
        <v>97318.89</v>
      </c>
      <c r="AH194" s="452">
        <v>4293</v>
      </c>
      <c r="AI194" s="452">
        <v>-1717</v>
      </c>
      <c r="AJ194" s="452"/>
      <c r="AK194" s="452"/>
      <c r="AL194" s="452" t="s">
        <v>2142</v>
      </c>
      <c r="AM194" s="452" t="s">
        <v>1043</v>
      </c>
      <c r="AN194" s="500">
        <v>5.45</v>
      </c>
      <c r="AO194" s="452"/>
      <c r="AP194" s="452"/>
      <c r="AQ194" s="452"/>
      <c r="AR194" s="452"/>
      <c r="AS194" s="452"/>
      <c r="AT194" s="452">
        <f>+ab($T$194,$U$192,$U$196,$G$193,$G$195,-1*$F$194,1200)</f>
        <v>2.9789121286342222</v>
      </c>
      <c r="AU194" s="452"/>
      <c r="AV194" s="452"/>
      <c r="AW194" s="452"/>
      <c r="AX194" s="452"/>
      <c r="AY194" s="500"/>
      <c r="AZ194" s="500"/>
      <c r="BA194" s="1333"/>
      <c r="BB194" s="452" t="str">
        <f>Pole_Calculations!A178</f>
        <v>App.8-V08F-P10.3</v>
      </c>
      <c r="BC194" s="1334"/>
      <c r="BD194" s="1335"/>
      <c r="BE194" s="1335"/>
      <c r="BF194" s="1335"/>
      <c r="BG194" s="1335"/>
    </row>
    <row r="195" spans="1:59" ht="15.75" customHeight="1">
      <c r="A195" s="501"/>
      <c r="B195" s="716"/>
      <c r="C195" s="451"/>
      <c r="D195" s="453"/>
      <c r="E195" s="452"/>
      <c r="F195" s="453"/>
      <c r="G195" s="500">
        <v>30</v>
      </c>
      <c r="H195" s="453"/>
      <c r="I195" s="501">
        <v>208</v>
      </c>
      <c r="J195" s="583"/>
      <c r="K195" s="452"/>
      <c r="L195" s="452"/>
      <c r="M195" s="452"/>
      <c r="N195" s="501"/>
      <c r="O195" s="501"/>
      <c r="P195" s="501"/>
      <c r="Q195" s="452"/>
      <c r="R195" s="452"/>
      <c r="S195" s="500">
        <f>+AG196-AG194</f>
        <v>29.979999999995925</v>
      </c>
      <c r="T195" s="452"/>
      <c r="U195" s="452"/>
      <c r="V195" s="452"/>
      <c r="W195" s="452"/>
      <c r="X195" s="452"/>
      <c r="Y195" s="452"/>
      <c r="Z195" s="452"/>
      <c r="AA195" s="452"/>
      <c r="AB195" s="452"/>
      <c r="AC195" s="452"/>
      <c r="AD195" s="452"/>
      <c r="AE195" s="452"/>
      <c r="AF195" s="452"/>
      <c r="AG195" s="451"/>
      <c r="AH195" s="452"/>
      <c r="AI195" s="452"/>
      <c r="AJ195" s="452"/>
      <c r="AK195" s="452"/>
      <c r="AL195" s="452"/>
      <c r="AM195" s="452"/>
      <c r="AN195" s="500"/>
      <c r="AO195" s="452"/>
      <c r="AP195" s="452"/>
      <c r="AQ195" s="452">
        <f>+FL_1($U$196,$T$194,$G$195,1200,9.28,-1*$F$196)</f>
        <v>0.30000000000000004</v>
      </c>
      <c r="AR195" s="452"/>
      <c r="AS195" s="452"/>
      <c r="AT195" s="452"/>
      <c r="AU195" s="452"/>
      <c r="AV195" s="452"/>
      <c r="AW195" s="452"/>
      <c r="AX195" s="452"/>
      <c r="AY195" s="500"/>
      <c r="AZ195" s="500"/>
      <c r="BA195" s="1333"/>
      <c r="BB195" s="452"/>
      <c r="BC195" s="1334"/>
      <c r="BD195" s="1335"/>
      <c r="BE195" s="1335"/>
      <c r="BF195" s="1335"/>
      <c r="BG195" s="1335"/>
    </row>
    <row r="196" spans="1:59" ht="15.75" customHeight="1">
      <c r="A196" s="501"/>
      <c r="B196" s="716" t="s">
        <v>2159</v>
      </c>
      <c r="C196" s="451">
        <f>C194+G195</f>
        <v>97334.5</v>
      </c>
      <c r="D196" s="453"/>
      <c r="E196" s="452"/>
      <c r="F196" s="453">
        <v>-520</v>
      </c>
      <c r="G196" s="500"/>
      <c r="H196" s="453" t="s">
        <v>619</v>
      </c>
      <c r="I196" s="501"/>
      <c r="J196" s="583"/>
      <c r="K196" s="452"/>
      <c r="L196" s="452" t="s">
        <v>819</v>
      </c>
      <c r="M196" s="452" t="s">
        <v>1542</v>
      </c>
      <c r="N196" s="501" t="s">
        <v>140</v>
      </c>
      <c r="O196" s="501" t="s">
        <v>144</v>
      </c>
      <c r="P196" s="501" t="s">
        <v>140</v>
      </c>
      <c r="Q196" s="452"/>
      <c r="R196" s="452"/>
      <c r="S196" s="500"/>
      <c r="T196" s="452">
        <v>40</v>
      </c>
      <c r="U196" s="452">
        <v>30</v>
      </c>
      <c r="V196" s="452">
        <v>-15</v>
      </c>
      <c r="W196" s="452">
        <v>1.6</v>
      </c>
      <c r="X196" s="452">
        <v>1.8</v>
      </c>
      <c r="Y196" s="452">
        <v>2.2999999999999998</v>
      </c>
      <c r="Z196" s="452">
        <v>0.6</v>
      </c>
      <c r="AA196" s="452"/>
      <c r="AB196" s="452">
        <v>0.6</v>
      </c>
      <c r="AC196" s="452"/>
      <c r="AD196" s="452" t="s">
        <v>3050</v>
      </c>
      <c r="AE196" s="452"/>
      <c r="AF196" s="452">
        <v>4200</v>
      </c>
      <c r="AG196" s="451">
        <v>97348.87</v>
      </c>
      <c r="AH196" s="452">
        <v>3543</v>
      </c>
      <c r="AI196" s="452">
        <v>-1409</v>
      </c>
      <c r="AJ196" s="452"/>
      <c r="AK196" s="452"/>
      <c r="AL196" s="452" t="s">
        <v>2127</v>
      </c>
      <c r="AM196" s="452" t="s">
        <v>1043</v>
      </c>
      <c r="AN196" s="500">
        <v>5.5</v>
      </c>
      <c r="AO196" s="452"/>
      <c r="AP196" s="452"/>
      <c r="AQ196" s="452"/>
      <c r="AR196" s="452"/>
      <c r="AS196" s="452"/>
      <c r="AT196" s="452">
        <f>+ab($U$196,$T$194,$T$198,$G$195,$G$197,-1*$F$196,1200)</f>
        <v>3.4210153095103939</v>
      </c>
      <c r="AU196" s="452"/>
      <c r="AV196" s="452"/>
      <c r="AW196" s="452"/>
      <c r="AX196" s="452"/>
      <c r="AY196" s="500"/>
      <c r="AZ196" s="500"/>
      <c r="BA196" s="1333"/>
      <c r="BB196" s="452" t="str">
        <f>Pole_Calculations!A178</f>
        <v>App.8-V08F-P10.3</v>
      </c>
      <c r="BC196" s="1334"/>
      <c r="BD196" s="1335"/>
      <c r="BE196" s="1335"/>
      <c r="BF196" s="1335"/>
      <c r="BG196" s="1335"/>
    </row>
    <row r="197" spans="1:59" ht="15.75" customHeight="1">
      <c r="A197" s="501"/>
      <c r="B197" s="716"/>
      <c r="C197" s="451"/>
      <c r="D197" s="453"/>
      <c r="E197" s="452"/>
      <c r="F197" s="453"/>
      <c r="G197" s="500">
        <v>30</v>
      </c>
      <c r="H197" s="453"/>
      <c r="I197" s="501"/>
      <c r="J197" s="583"/>
      <c r="K197" s="452"/>
      <c r="L197" s="452"/>
      <c r="M197" s="452"/>
      <c r="N197" s="501"/>
      <c r="O197" s="501"/>
      <c r="P197" s="501"/>
      <c r="Q197" s="452"/>
      <c r="R197" s="452"/>
      <c r="S197" s="500">
        <f>+AG198-AG196</f>
        <v>41.350000000005821</v>
      </c>
      <c r="T197" s="452"/>
      <c r="U197" s="452"/>
      <c r="V197" s="452"/>
      <c r="W197" s="452"/>
      <c r="X197" s="452"/>
      <c r="Y197" s="452"/>
      <c r="Z197" s="452"/>
      <c r="AA197" s="452"/>
      <c r="AB197" s="452"/>
      <c r="AC197" s="452"/>
      <c r="AD197" s="452"/>
      <c r="AE197" s="452"/>
      <c r="AF197" s="452"/>
      <c r="AG197" s="451"/>
      <c r="AH197" s="452"/>
      <c r="AI197" s="452"/>
      <c r="AJ197" s="452"/>
      <c r="AK197" s="452"/>
      <c r="AL197" s="452"/>
      <c r="AM197" s="452"/>
      <c r="AN197" s="500"/>
      <c r="AO197" s="452"/>
      <c r="AP197" s="452"/>
      <c r="AQ197" s="452">
        <f>+FL_1($T$198,$U$196,$G$197,1200,9.28,-1*$F$198)</f>
        <v>0.41379596799999996</v>
      </c>
      <c r="AR197" s="452"/>
      <c r="AS197" s="452"/>
      <c r="AT197" s="452"/>
      <c r="AU197" s="452"/>
      <c r="AV197" s="452"/>
      <c r="AW197" s="452"/>
      <c r="AX197" s="452"/>
      <c r="AY197" s="500"/>
      <c r="AZ197" s="500"/>
      <c r="BA197" s="1333"/>
      <c r="BB197" s="452"/>
      <c r="BC197" s="1334"/>
      <c r="BD197" s="1335"/>
      <c r="BE197" s="1335"/>
      <c r="BF197" s="1335"/>
      <c r="BG197" s="1335"/>
    </row>
    <row r="198" spans="1:59" ht="15.75" customHeight="1">
      <c r="A198" s="501"/>
      <c r="B198" s="716" t="s">
        <v>2160</v>
      </c>
      <c r="C198" s="451">
        <v>97392</v>
      </c>
      <c r="D198" s="453"/>
      <c r="E198" s="452"/>
      <c r="F198" s="453">
        <v>0</v>
      </c>
      <c r="G198" s="500"/>
      <c r="H198" s="453" t="s">
        <v>138</v>
      </c>
      <c r="I198" s="501"/>
      <c r="J198" s="583"/>
      <c r="K198" s="452"/>
      <c r="L198" s="452" t="s">
        <v>819</v>
      </c>
      <c r="M198" s="452" t="s">
        <v>1542</v>
      </c>
      <c r="N198" s="501" t="s">
        <v>144</v>
      </c>
      <c r="O198" s="501"/>
      <c r="P198" s="501"/>
      <c r="Q198" s="452"/>
      <c r="R198" s="452"/>
      <c r="S198" s="500"/>
      <c r="T198" s="452">
        <v>35</v>
      </c>
      <c r="U198" s="452"/>
      <c r="V198" s="452"/>
      <c r="W198" s="452">
        <v>1.4</v>
      </c>
      <c r="X198" s="452"/>
      <c r="Y198" s="452"/>
      <c r="Z198" s="452"/>
      <c r="AA198" s="452"/>
      <c r="AB198" s="452"/>
      <c r="AC198" s="452" t="s">
        <v>3050</v>
      </c>
      <c r="AD198" s="452"/>
      <c r="AE198" s="452"/>
      <c r="AF198" s="452">
        <v>4200</v>
      </c>
      <c r="AG198" s="451">
        <v>97390.22</v>
      </c>
      <c r="AH198" s="452">
        <v>2857</v>
      </c>
      <c r="AI198" s="452">
        <v>-1442</v>
      </c>
      <c r="AJ198" s="452"/>
      <c r="AK198" s="452"/>
      <c r="AL198" s="452" t="s">
        <v>2127</v>
      </c>
      <c r="AM198" s="452" t="s">
        <v>1043</v>
      </c>
      <c r="AN198" s="500">
        <v>5.5</v>
      </c>
      <c r="AO198" s="452"/>
      <c r="AP198" s="452"/>
      <c r="AQ198" s="452"/>
      <c r="AR198" s="452"/>
      <c r="AS198" s="452"/>
      <c r="AT198" s="452" t="e">
        <f>+ab($T$198,$T$196,#REF!,$G$197,#REF!,-1*$F$198,1200)</f>
        <v>#VALUE!</v>
      </c>
      <c r="AU198" s="452"/>
      <c r="AV198" s="452"/>
      <c r="AW198" s="452"/>
      <c r="AX198" s="452"/>
      <c r="AY198" s="500"/>
      <c r="AZ198" s="500"/>
      <c r="BA198" s="1333"/>
      <c r="BB198" s="452" t="str">
        <f>Pole_Calculations!A178</f>
        <v>App.8-V08F-P10.3</v>
      </c>
      <c r="BC198" s="1334"/>
      <c r="BD198" s="1335"/>
      <c r="BE198" s="1335"/>
      <c r="BF198" s="1335"/>
      <c r="BG198" s="1335"/>
    </row>
    <row r="199" spans="1:59" ht="15.75" customHeight="1">
      <c r="S199" s="454"/>
      <c r="AN199" s="458"/>
      <c r="BA199" s="1305"/>
      <c r="BC199" s="169"/>
    </row>
    <row r="200" spans="1:59" ht="15.75" customHeight="1">
      <c r="S200" s="454"/>
      <c r="AN200" s="458"/>
      <c r="BA200" s="1305"/>
      <c r="BC200" s="169"/>
    </row>
    <row r="201" spans="1:59" ht="15.75" customHeight="1">
      <c r="S201" s="454"/>
      <c r="AN201" s="458"/>
      <c r="BA201" s="1305"/>
      <c r="BC201" s="169"/>
    </row>
    <row r="202" spans="1:59" ht="15.75" customHeight="1">
      <c r="S202" s="454"/>
      <c r="AN202" s="458"/>
      <c r="BA202" s="1305"/>
      <c r="BC202" s="169"/>
    </row>
    <row r="203" spans="1:59" ht="15.75" customHeight="1">
      <c r="S203" s="454"/>
      <c r="AN203" s="458"/>
      <c r="BA203" s="1305"/>
      <c r="BC203" s="169"/>
    </row>
    <row r="204" spans="1:59" ht="15.75" customHeight="1">
      <c r="S204" s="454"/>
      <c r="AN204" s="458"/>
      <c r="BA204" s="1305"/>
      <c r="BC204" s="169"/>
    </row>
    <row r="205" spans="1:59" ht="15.75" customHeight="1">
      <c r="S205" s="454"/>
      <c r="AN205" s="458"/>
      <c r="BA205" s="1305"/>
      <c r="BC205" s="169"/>
    </row>
    <row r="206" spans="1:59" ht="15.75" customHeight="1">
      <c r="S206" s="454"/>
      <c r="AN206" s="458"/>
      <c r="BA206" s="1305"/>
      <c r="BC206" s="169"/>
    </row>
    <row r="207" spans="1:59" ht="15.75" customHeight="1">
      <c r="S207" s="454"/>
      <c r="AN207" s="458"/>
      <c r="BA207" s="1305"/>
      <c r="BC207" s="169"/>
    </row>
    <row r="208" spans="1:59" ht="15.75" customHeight="1">
      <c r="S208" s="454"/>
      <c r="AN208" s="458"/>
      <c r="BA208" s="1305"/>
      <c r="BC208" s="169"/>
    </row>
    <row r="209" spans="19:55" ht="15.75" customHeight="1">
      <c r="S209" s="454"/>
      <c r="AN209" s="458"/>
      <c r="BA209" s="1305"/>
      <c r="BC209" s="169"/>
    </row>
    <row r="210" spans="19:55" ht="15.75" customHeight="1">
      <c r="S210" s="454"/>
      <c r="AN210" s="458"/>
      <c r="BA210" s="1305"/>
      <c r="BC210" s="169"/>
    </row>
    <row r="211" spans="19:55" ht="15.75" customHeight="1">
      <c r="S211" s="454"/>
      <c r="AN211" s="458"/>
      <c r="BA211" s="1305"/>
      <c r="BC211" s="169"/>
    </row>
    <row r="212" spans="19:55" ht="15.75" customHeight="1">
      <c r="S212" s="454"/>
      <c r="AN212" s="458"/>
      <c r="BA212" s="1305"/>
      <c r="BC212" s="169"/>
    </row>
    <row r="213" spans="19:55" ht="15.75" customHeight="1">
      <c r="S213" s="454"/>
      <c r="AN213" s="458"/>
      <c r="BA213" s="1305"/>
      <c r="BC213" s="169"/>
    </row>
    <row r="214" spans="19:55" ht="15.75" customHeight="1">
      <c r="S214" s="454"/>
      <c r="AN214" s="458"/>
      <c r="BA214" s="1305"/>
      <c r="BC214" s="169"/>
    </row>
    <row r="215" spans="19:55" ht="15.75" customHeight="1">
      <c r="S215" s="454"/>
      <c r="AN215" s="458"/>
      <c r="BA215" s="1305"/>
      <c r="BC215" s="169"/>
    </row>
    <row r="216" spans="19:55" ht="15.75" customHeight="1">
      <c r="S216" s="454"/>
      <c r="AN216" s="458"/>
      <c r="BA216" s="1305"/>
      <c r="BC216" s="169"/>
    </row>
    <row r="217" spans="19:55" ht="15.75" customHeight="1">
      <c r="S217" s="454"/>
      <c r="AN217" s="458"/>
      <c r="BA217" s="1305"/>
      <c r="BC217" s="169"/>
    </row>
    <row r="218" spans="19:55" ht="15.75" customHeight="1">
      <c r="S218" s="454"/>
      <c r="AN218" s="458"/>
      <c r="BA218" s="1305"/>
      <c r="BC218" s="169"/>
    </row>
    <row r="219" spans="19:55" ht="15.75" customHeight="1">
      <c r="S219" s="454"/>
      <c r="AN219" s="458"/>
      <c r="BA219" s="1305"/>
      <c r="BC219" s="169"/>
    </row>
    <row r="220" spans="19:55" ht="15.75" customHeight="1">
      <c r="S220" s="454"/>
      <c r="AN220" s="458"/>
      <c r="BA220" s="1305"/>
      <c r="BC220" s="169"/>
    </row>
    <row r="221" spans="19:55" ht="15.75" customHeight="1">
      <c r="S221" s="454"/>
      <c r="AN221" s="458"/>
      <c r="BA221" s="1305"/>
      <c r="BC221" s="169"/>
    </row>
    <row r="222" spans="19:55" ht="15.75" customHeight="1">
      <c r="S222" s="454"/>
      <c r="AN222" s="458"/>
      <c r="BA222" s="1305"/>
      <c r="BC222" s="169"/>
    </row>
    <row r="223" spans="19:55" ht="15.75" customHeight="1">
      <c r="S223" s="454"/>
      <c r="AN223" s="458"/>
      <c r="BA223" s="1305"/>
      <c r="BC223" s="169"/>
    </row>
    <row r="224" spans="19:55" ht="15.75" customHeight="1">
      <c r="S224" s="454"/>
      <c r="AN224" s="458"/>
      <c r="BA224" s="1305"/>
      <c r="BC224" s="169"/>
    </row>
    <row r="225" spans="19:55" ht="15.75" customHeight="1">
      <c r="S225" s="454"/>
      <c r="AN225" s="458"/>
      <c r="BA225" s="1305"/>
      <c r="BC225" s="169"/>
    </row>
    <row r="226" spans="19:55" ht="15.75" customHeight="1">
      <c r="S226" s="454"/>
      <c r="AN226" s="458"/>
      <c r="BA226" s="1305"/>
      <c r="BC226" s="169"/>
    </row>
    <row r="227" spans="19:55" ht="15.75" customHeight="1">
      <c r="S227" s="454"/>
      <c r="AN227" s="458"/>
      <c r="BA227" s="1305"/>
      <c r="BC227" s="169"/>
    </row>
    <row r="228" spans="19:55" ht="15.75" customHeight="1">
      <c r="S228" s="454"/>
      <c r="AN228" s="458"/>
      <c r="BA228" s="1305"/>
      <c r="BC228" s="169"/>
    </row>
    <row r="229" spans="19:55" ht="15.75" customHeight="1">
      <c r="S229" s="454"/>
      <c r="AN229" s="458"/>
      <c r="BA229" s="1305"/>
      <c r="BC229" s="169"/>
    </row>
    <row r="230" spans="19:55" ht="15.75" customHeight="1">
      <c r="S230" s="454"/>
      <c r="AN230" s="458"/>
      <c r="BA230" s="1305"/>
      <c r="BC230" s="169"/>
    </row>
    <row r="231" spans="19:55" ht="15.75" customHeight="1">
      <c r="S231" s="454"/>
      <c r="AN231" s="458"/>
      <c r="BA231" s="1305"/>
      <c r="BC231" s="169"/>
    </row>
    <row r="232" spans="19:55" ht="15.75" customHeight="1">
      <c r="S232" s="454"/>
      <c r="AN232" s="458"/>
      <c r="BA232" s="1305"/>
      <c r="BC232" s="169"/>
    </row>
    <row r="233" spans="19:55" ht="15.75" customHeight="1">
      <c r="S233" s="454"/>
      <c r="AN233" s="458"/>
      <c r="BA233" s="1305"/>
      <c r="BC233" s="169"/>
    </row>
    <row r="234" spans="19:55" ht="15.75" customHeight="1">
      <c r="S234" s="454"/>
      <c r="AN234" s="458"/>
      <c r="BA234" s="1305"/>
      <c r="BC234" s="169"/>
    </row>
    <row r="235" spans="19:55" ht="15.75" customHeight="1">
      <c r="S235" s="454"/>
      <c r="AN235" s="458"/>
      <c r="BA235" s="1305"/>
      <c r="BC235" s="169"/>
    </row>
    <row r="236" spans="19:55" ht="15.75" customHeight="1">
      <c r="S236" s="454"/>
      <c r="AN236" s="458"/>
      <c r="BA236" s="1305"/>
      <c r="BC236" s="169"/>
    </row>
    <row r="237" spans="19:55" ht="15.75" customHeight="1">
      <c r="S237" s="454"/>
      <c r="AN237" s="458"/>
      <c r="BA237" s="1305"/>
      <c r="BC237" s="169"/>
    </row>
    <row r="238" spans="19:55" ht="15.75" customHeight="1">
      <c r="S238" s="454"/>
      <c r="AN238" s="458"/>
      <c r="BA238" s="1305"/>
      <c r="BC238" s="169"/>
    </row>
    <row r="239" spans="19:55" ht="15.75" customHeight="1">
      <c r="S239" s="454"/>
      <c r="AN239" s="458"/>
      <c r="BA239" s="1305"/>
      <c r="BC239" s="169"/>
    </row>
    <row r="240" spans="19:55" ht="15.75" customHeight="1">
      <c r="S240" s="454"/>
      <c r="AN240" s="458"/>
      <c r="BA240" s="1305"/>
      <c r="BC240" s="169"/>
    </row>
    <row r="241" spans="19:55" ht="15.75" customHeight="1">
      <c r="S241" s="454"/>
      <c r="AN241" s="458"/>
      <c r="BA241" s="1305"/>
      <c r="BC241" s="169"/>
    </row>
    <row r="242" spans="19:55" ht="15.75" customHeight="1">
      <c r="S242" s="454"/>
      <c r="AN242" s="458"/>
      <c r="BA242" s="1305"/>
      <c r="BC242" s="169"/>
    </row>
    <row r="243" spans="19:55" ht="15.75" customHeight="1">
      <c r="S243" s="454"/>
      <c r="AN243" s="458"/>
      <c r="BA243" s="1305"/>
      <c r="BC243" s="169"/>
    </row>
    <row r="244" spans="19:55" ht="15.75" customHeight="1">
      <c r="S244" s="454"/>
      <c r="AN244" s="458"/>
      <c r="BA244" s="1305"/>
      <c r="BC244" s="169"/>
    </row>
    <row r="245" spans="19:55" ht="15.75" customHeight="1">
      <c r="S245" s="454"/>
      <c r="AN245" s="458"/>
      <c r="BA245" s="1305"/>
      <c r="BC245" s="169"/>
    </row>
    <row r="246" spans="19:55" ht="15.75" customHeight="1">
      <c r="S246" s="454"/>
      <c r="AN246" s="458"/>
      <c r="BA246" s="1305"/>
      <c r="BC246" s="169"/>
    </row>
    <row r="247" spans="19:55" ht="15.75" customHeight="1">
      <c r="S247" s="454"/>
      <c r="AN247" s="458"/>
      <c r="BA247" s="1305"/>
      <c r="BC247" s="169"/>
    </row>
    <row r="248" spans="19:55" ht="15.75" customHeight="1">
      <c r="S248" s="454"/>
      <c r="AN248" s="458"/>
      <c r="BA248" s="1305"/>
      <c r="BC248" s="169"/>
    </row>
    <row r="249" spans="19:55" ht="15.75" customHeight="1">
      <c r="S249" s="454"/>
      <c r="AN249" s="458"/>
      <c r="BA249" s="1305"/>
      <c r="BC249" s="169"/>
    </row>
    <row r="250" spans="19:55" ht="15.75" customHeight="1">
      <c r="S250" s="454"/>
      <c r="AN250" s="458"/>
      <c r="BA250" s="1305"/>
      <c r="BC250" s="169"/>
    </row>
    <row r="251" spans="19:55" ht="15.75" customHeight="1">
      <c r="S251" s="454"/>
      <c r="AN251" s="458"/>
      <c r="BA251" s="1305"/>
      <c r="BC251" s="169"/>
    </row>
    <row r="252" spans="19:55" ht="15.75" customHeight="1">
      <c r="S252" s="454"/>
      <c r="AN252" s="458"/>
      <c r="BA252" s="1305"/>
      <c r="BC252" s="169"/>
    </row>
    <row r="253" spans="19:55" ht="15.75" customHeight="1">
      <c r="S253" s="454"/>
      <c r="AN253" s="458"/>
      <c r="BA253" s="1305"/>
      <c r="BC253" s="169"/>
    </row>
    <row r="254" spans="19:55" ht="15.75" customHeight="1">
      <c r="S254" s="454"/>
      <c r="AN254" s="458"/>
      <c r="BA254" s="1305"/>
      <c r="BC254" s="169"/>
    </row>
    <row r="255" spans="19:55" ht="15.75" customHeight="1">
      <c r="S255" s="454"/>
      <c r="AN255" s="458"/>
      <c r="BA255" s="1305"/>
      <c r="BC255" s="169"/>
    </row>
    <row r="256" spans="19:55" ht="15.75" customHeight="1">
      <c r="S256" s="454"/>
      <c r="AN256" s="458"/>
      <c r="BA256" s="1305"/>
      <c r="BC256" s="169"/>
    </row>
    <row r="257" spans="19:55" ht="15.75" customHeight="1">
      <c r="S257" s="454"/>
      <c r="AN257" s="458"/>
      <c r="BA257" s="1305"/>
      <c r="BC257" s="169"/>
    </row>
    <row r="258" spans="19:55" ht="15.75" customHeight="1">
      <c r="S258" s="454"/>
      <c r="AN258" s="458"/>
      <c r="BA258" s="1305"/>
      <c r="BC258" s="169"/>
    </row>
    <row r="259" spans="19:55" ht="15.75" customHeight="1">
      <c r="S259" s="454"/>
      <c r="AN259" s="458"/>
      <c r="BA259" s="1305"/>
      <c r="BC259" s="169"/>
    </row>
    <row r="260" spans="19:55" ht="15.75" customHeight="1">
      <c r="S260" s="454"/>
      <c r="AN260" s="458"/>
      <c r="BA260" s="1305"/>
      <c r="BC260" s="169"/>
    </row>
    <row r="261" spans="19:55" ht="15.75" customHeight="1">
      <c r="S261" s="454"/>
      <c r="AN261" s="458"/>
      <c r="BA261" s="1305"/>
      <c r="BC261" s="169"/>
    </row>
    <row r="262" spans="19:55" ht="15.75" customHeight="1">
      <c r="S262" s="454"/>
      <c r="AN262" s="458"/>
      <c r="BA262" s="1305"/>
      <c r="BC262" s="169"/>
    </row>
    <row r="263" spans="19:55" ht="15.75" customHeight="1">
      <c r="S263" s="454"/>
      <c r="AN263" s="458"/>
      <c r="BA263" s="1305"/>
      <c r="BC263" s="169"/>
    </row>
    <row r="264" spans="19:55" ht="15.75" customHeight="1">
      <c r="S264" s="454"/>
      <c r="AN264" s="458"/>
      <c r="BA264" s="1305"/>
      <c r="BC264" s="169"/>
    </row>
    <row r="265" spans="19:55" ht="15.75" customHeight="1">
      <c r="S265" s="454"/>
      <c r="AN265" s="458"/>
      <c r="BA265" s="1305"/>
      <c r="BC265" s="169"/>
    </row>
    <row r="266" spans="19:55" ht="15.75" customHeight="1">
      <c r="S266" s="454"/>
      <c r="AN266" s="458"/>
      <c r="BA266" s="1305"/>
      <c r="BC266" s="169"/>
    </row>
    <row r="267" spans="19:55" ht="15.75" customHeight="1">
      <c r="S267" s="454"/>
      <c r="AN267" s="458"/>
      <c r="BA267" s="1305"/>
      <c r="BC267" s="169"/>
    </row>
    <row r="268" spans="19:55" ht="15.75" customHeight="1">
      <c r="S268" s="454"/>
      <c r="AN268" s="458"/>
      <c r="BA268" s="1305"/>
      <c r="BC268" s="169"/>
    </row>
    <row r="269" spans="19:55" ht="15.75" customHeight="1">
      <c r="S269" s="454"/>
      <c r="AN269" s="458"/>
      <c r="BA269" s="1305"/>
      <c r="BC269" s="169"/>
    </row>
    <row r="270" spans="19:55" ht="15.75" customHeight="1">
      <c r="S270" s="454"/>
      <c r="AN270" s="458"/>
      <c r="BA270" s="1305"/>
      <c r="BC270" s="169"/>
    </row>
    <row r="271" spans="19:55" ht="15.75" customHeight="1">
      <c r="S271" s="454"/>
      <c r="AN271" s="458"/>
      <c r="BA271" s="1305"/>
      <c r="BC271" s="169"/>
    </row>
    <row r="272" spans="19:55" ht="15.75" customHeight="1">
      <c r="S272" s="454"/>
      <c r="AN272" s="458"/>
      <c r="BA272" s="1305"/>
      <c r="BC272" s="169"/>
    </row>
    <row r="273" spans="19:55" ht="15.75" customHeight="1">
      <c r="S273" s="454"/>
      <c r="AN273" s="458"/>
      <c r="BA273" s="1305"/>
      <c r="BC273" s="169"/>
    </row>
    <row r="274" spans="19:55" ht="15.75" customHeight="1">
      <c r="S274" s="454"/>
      <c r="AN274" s="458"/>
      <c r="BA274" s="1305"/>
      <c r="BC274" s="169"/>
    </row>
    <row r="275" spans="19:55" ht="15.75" customHeight="1">
      <c r="S275" s="454"/>
      <c r="AN275" s="458"/>
      <c r="BA275" s="1305"/>
      <c r="BC275" s="169"/>
    </row>
    <row r="276" spans="19:55" ht="15.75" customHeight="1">
      <c r="S276" s="454"/>
      <c r="AN276" s="458"/>
      <c r="BA276" s="1305"/>
      <c r="BC276" s="169"/>
    </row>
    <row r="277" spans="19:55" ht="15.75" customHeight="1">
      <c r="S277" s="454"/>
      <c r="AN277" s="458"/>
      <c r="BA277" s="1305"/>
      <c r="BC277" s="169"/>
    </row>
    <row r="278" spans="19:55" ht="15.75" customHeight="1">
      <c r="S278" s="454"/>
      <c r="AN278" s="458"/>
      <c r="BA278" s="1305"/>
      <c r="BC278" s="169"/>
    </row>
    <row r="279" spans="19:55" ht="15.75" customHeight="1">
      <c r="S279" s="454"/>
      <c r="AN279" s="458"/>
      <c r="BA279" s="1305"/>
      <c r="BC279" s="169"/>
    </row>
    <row r="280" spans="19:55" ht="15.75" customHeight="1">
      <c r="S280" s="454"/>
      <c r="AN280" s="458"/>
      <c r="BA280" s="1305"/>
      <c r="BC280" s="169"/>
    </row>
    <row r="281" spans="19:55" ht="15.75" customHeight="1">
      <c r="S281" s="454"/>
      <c r="AN281" s="458"/>
      <c r="BA281" s="1305"/>
      <c r="BC281" s="169"/>
    </row>
    <row r="282" spans="19:55" ht="15.75" customHeight="1">
      <c r="S282" s="454"/>
      <c r="AN282" s="458"/>
      <c r="BA282" s="1305"/>
      <c r="BC282" s="169"/>
    </row>
    <row r="283" spans="19:55" ht="15.75" customHeight="1">
      <c r="S283" s="454"/>
      <c r="AN283" s="458"/>
      <c r="BA283" s="1305"/>
      <c r="BC283" s="169"/>
    </row>
    <row r="284" spans="19:55" ht="15.75" customHeight="1">
      <c r="S284" s="454"/>
      <c r="AN284" s="458"/>
      <c r="BA284" s="1305"/>
      <c r="BC284" s="169"/>
    </row>
    <row r="285" spans="19:55" ht="15.75" customHeight="1">
      <c r="S285" s="454"/>
      <c r="AN285" s="458"/>
      <c r="BA285" s="1305"/>
      <c r="BC285" s="169"/>
    </row>
    <row r="286" spans="19:55" ht="15.75" customHeight="1">
      <c r="S286" s="454"/>
      <c r="AN286" s="458"/>
      <c r="BA286" s="1305"/>
      <c r="BC286" s="169"/>
    </row>
    <row r="287" spans="19:55" ht="15.75" customHeight="1">
      <c r="S287" s="454"/>
      <c r="AN287" s="458"/>
      <c r="BA287" s="1305"/>
      <c r="BC287" s="169"/>
    </row>
    <row r="288" spans="19:55" ht="15.75" customHeight="1">
      <c r="S288" s="454"/>
      <c r="AN288" s="458"/>
      <c r="BA288" s="1305"/>
      <c r="BC288" s="169"/>
    </row>
    <row r="289" spans="19:55" ht="15.75" customHeight="1">
      <c r="S289" s="454"/>
      <c r="AN289" s="458"/>
      <c r="BA289" s="1305"/>
      <c r="BC289" s="169"/>
    </row>
    <row r="290" spans="19:55" ht="15.75" customHeight="1">
      <c r="S290" s="454"/>
      <c r="AN290" s="458"/>
      <c r="BA290" s="1305"/>
      <c r="BC290" s="169"/>
    </row>
    <row r="291" spans="19:55" ht="15.75" customHeight="1">
      <c r="S291" s="454"/>
      <c r="AN291" s="458"/>
      <c r="BA291" s="1305"/>
      <c r="BC291" s="169"/>
    </row>
    <row r="292" spans="19:55" ht="15.75" customHeight="1">
      <c r="S292" s="454"/>
      <c r="AN292" s="458"/>
      <c r="BA292" s="1305"/>
      <c r="BC292" s="169"/>
    </row>
    <row r="293" spans="19:55" ht="15.75" customHeight="1">
      <c r="S293" s="454"/>
      <c r="AN293" s="458"/>
      <c r="BA293" s="1305"/>
      <c r="BC293" s="169"/>
    </row>
    <row r="294" spans="19:55" ht="15.75" customHeight="1">
      <c r="S294" s="454"/>
      <c r="AN294" s="458"/>
      <c r="BA294" s="1305"/>
      <c r="BC294" s="169"/>
    </row>
    <row r="295" spans="19:55" ht="15.75" customHeight="1">
      <c r="S295" s="454"/>
      <c r="AN295" s="458"/>
      <c r="BA295" s="1305"/>
      <c r="BC295" s="169"/>
    </row>
    <row r="296" spans="19:55" ht="15.75" customHeight="1">
      <c r="S296" s="454"/>
      <c r="AN296" s="458"/>
      <c r="BA296" s="1305"/>
      <c r="BC296" s="169"/>
    </row>
    <row r="297" spans="19:55" ht="15.75" customHeight="1">
      <c r="S297" s="454"/>
      <c r="AN297" s="458"/>
      <c r="BA297" s="1305"/>
      <c r="BC297" s="169"/>
    </row>
    <row r="298" spans="19:55" ht="15.75" customHeight="1">
      <c r="S298" s="454"/>
      <c r="AN298" s="458"/>
      <c r="BA298" s="1305"/>
      <c r="BC298" s="169"/>
    </row>
    <row r="299" spans="19:55" ht="15.75" customHeight="1">
      <c r="S299" s="454"/>
      <c r="AN299" s="458"/>
      <c r="BA299" s="1305"/>
      <c r="BC299" s="169"/>
    </row>
    <row r="300" spans="19:55" ht="15.75" customHeight="1">
      <c r="S300" s="454"/>
      <c r="AN300" s="458"/>
      <c r="BA300" s="1305"/>
      <c r="BC300" s="169"/>
    </row>
    <row r="301" spans="19:55" ht="15.75" customHeight="1">
      <c r="S301" s="454"/>
      <c r="AN301" s="458"/>
      <c r="BA301" s="1305"/>
      <c r="BC301" s="169"/>
    </row>
    <row r="302" spans="19:55" ht="15.75" customHeight="1">
      <c r="S302" s="454"/>
      <c r="AN302" s="458"/>
      <c r="BA302" s="1305"/>
      <c r="BC302" s="169"/>
    </row>
    <row r="303" spans="19:55" ht="15.75" customHeight="1">
      <c r="S303" s="454"/>
      <c r="AN303" s="458"/>
      <c r="BA303" s="1305"/>
      <c r="BC303" s="169"/>
    </row>
    <row r="304" spans="19:55" ht="15.75" customHeight="1">
      <c r="S304" s="454"/>
      <c r="AN304" s="458"/>
      <c r="BA304" s="1305"/>
      <c r="BC304" s="169"/>
    </row>
    <row r="305" spans="19:55" ht="15.75" customHeight="1">
      <c r="S305" s="454"/>
      <c r="AN305" s="458"/>
      <c r="BA305" s="1305"/>
      <c r="BC305" s="169"/>
    </row>
    <row r="306" spans="19:55" ht="15.75" customHeight="1">
      <c r="S306" s="454"/>
      <c r="AN306" s="458"/>
      <c r="BA306" s="1305"/>
      <c r="BC306" s="169"/>
    </row>
    <row r="307" spans="19:55" ht="15.75" customHeight="1">
      <c r="S307" s="454"/>
      <c r="AN307" s="458"/>
      <c r="BA307" s="1305"/>
      <c r="BC307" s="169"/>
    </row>
    <row r="308" spans="19:55" ht="15.75" customHeight="1">
      <c r="S308" s="454"/>
      <c r="AN308" s="458"/>
      <c r="BA308" s="1305"/>
      <c r="BC308" s="169"/>
    </row>
    <row r="309" spans="19:55" ht="15.75" customHeight="1">
      <c r="S309" s="454"/>
      <c r="AN309" s="458"/>
      <c r="BA309" s="1305"/>
      <c r="BC309" s="169"/>
    </row>
    <row r="310" spans="19:55" ht="15.75" customHeight="1">
      <c r="S310" s="454"/>
      <c r="AN310" s="458"/>
      <c r="BA310" s="1305"/>
      <c r="BC310" s="169"/>
    </row>
    <row r="311" spans="19:55" ht="15.75" customHeight="1">
      <c r="S311" s="454"/>
      <c r="AN311" s="458"/>
      <c r="BA311" s="1305"/>
      <c r="BC311" s="169"/>
    </row>
    <row r="312" spans="19:55" ht="15.75" customHeight="1">
      <c r="S312" s="454"/>
      <c r="AN312" s="458"/>
      <c r="BA312" s="1305"/>
      <c r="BC312" s="169"/>
    </row>
    <row r="313" spans="19:55" ht="15.75" customHeight="1">
      <c r="S313" s="454"/>
      <c r="AN313" s="458"/>
      <c r="BA313" s="1305"/>
      <c r="BC313" s="169"/>
    </row>
    <row r="314" spans="19:55" ht="15.75" customHeight="1">
      <c r="S314" s="454"/>
      <c r="AN314" s="458"/>
      <c r="BA314" s="1305"/>
      <c r="BC314" s="169"/>
    </row>
    <row r="315" spans="19:55" ht="15.75" customHeight="1">
      <c r="S315" s="454"/>
      <c r="AN315" s="458"/>
      <c r="BA315" s="1305"/>
      <c r="BC315" s="169"/>
    </row>
    <row r="316" spans="19:55" ht="15.75" customHeight="1">
      <c r="S316" s="454"/>
      <c r="AN316" s="458"/>
      <c r="BA316" s="1305"/>
      <c r="BC316" s="169"/>
    </row>
    <row r="317" spans="19:55" ht="15.75" customHeight="1">
      <c r="S317" s="454"/>
      <c r="AN317" s="458"/>
      <c r="BA317" s="1305"/>
      <c r="BC317" s="169"/>
    </row>
    <row r="318" spans="19:55" ht="15.75" customHeight="1">
      <c r="S318" s="454"/>
      <c r="AN318" s="458"/>
      <c r="BA318" s="1305"/>
      <c r="BC318" s="169"/>
    </row>
    <row r="319" spans="19:55" ht="15.75" customHeight="1">
      <c r="S319" s="454"/>
      <c r="AN319" s="458"/>
      <c r="BA319" s="1305"/>
      <c r="BC319" s="169"/>
    </row>
    <row r="320" spans="19:55" ht="15.75" customHeight="1">
      <c r="S320" s="454"/>
      <c r="AN320" s="458"/>
      <c r="BA320" s="1305"/>
      <c r="BC320" s="169"/>
    </row>
    <row r="321" spans="19:55" ht="15.75" customHeight="1">
      <c r="S321" s="454"/>
      <c r="AN321" s="458"/>
      <c r="BA321" s="1305"/>
      <c r="BC321" s="169"/>
    </row>
    <row r="322" spans="19:55" ht="15.75" customHeight="1">
      <c r="S322" s="454"/>
      <c r="AN322" s="458"/>
      <c r="BA322" s="1305"/>
      <c r="BC322" s="169"/>
    </row>
    <row r="323" spans="19:55" ht="15.75" customHeight="1">
      <c r="S323" s="454"/>
      <c r="AN323" s="458"/>
      <c r="BA323" s="1305"/>
      <c r="BC323" s="169"/>
    </row>
    <row r="324" spans="19:55" ht="15.75" customHeight="1">
      <c r="S324" s="454"/>
      <c r="AN324" s="458"/>
      <c r="BA324" s="1305"/>
      <c r="BC324" s="169"/>
    </row>
    <row r="325" spans="19:55" ht="15.75" customHeight="1">
      <c r="S325" s="454"/>
      <c r="AN325" s="458"/>
      <c r="BA325" s="1305"/>
      <c r="BC325" s="169"/>
    </row>
    <row r="326" spans="19:55" ht="15.75" customHeight="1">
      <c r="S326" s="454"/>
      <c r="AN326" s="458"/>
      <c r="BA326" s="1305"/>
      <c r="BC326" s="169"/>
    </row>
    <row r="327" spans="19:55" ht="15.75" customHeight="1">
      <c r="S327" s="454"/>
      <c r="AN327" s="458"/>
      <c r="BA327" s="1305"/>
      <c r="BC327" s="169"/>
    </row>
    <row r="328" spans="19:55" ht="15.75" customHeight="1">
      <c r="S328" s="454"/>
      <c r="AN328" s="458"/>
      <c r="BA328" s="1305"/>
      <c r="BC328" s="169"/>
    </row>
    <row r="329" spans="19:55" ht="15.75" customHeight="1">
      <c r="S329" s="454"/>
      <c r="AN329" s="458"/>
      <c r="BA329" s="1305"/>
      <c r="BC329" s="169"/>
    </row>
    <row r="330" spans="19:55" ht="15.75" customHeight="1">
      <c r="S330" s="454"/>
      <c r="AN330" s="458"/>
      <c r="BA330" s="1305"/>
      <c r="BC330" s="169"/>
    </row>
    <row r="331" spans="19:55" ht="15.75" customHeight="1">
      <c r="S331" s="454"/>
      <c r="AN331" s="458"/>
      <c r="BA331" s="1305"/>
      <c r="BC331" s="169"/>
    </row>
    <row r="332" spans="19:55" ht="15.75" customHeight="1">
      <c r="S332" s="454"/>
      <c r="AN332" s="458"/>
      <c r="BA332" s="1305"/>
      <c r="BC332" s="169"/>
    </row>
    <row r="333" spans="19:55" ht="15.75" customHeight="1">
      <c r="S333" s="454"/>
      <c r="AN333" s="458"/>
      <c r="BA333" s="1305"/>
      <c r="BC333" s="169"/>
    </row>
    <row r="334" spans="19:55" ht="15.75" customHeight="1">
      <c r="S334" s="454"/>
      <c r="AN334" s="458"/>
      <c r="BA334" s="1305"/>
      <c r="BC334" s="169"/>
    </row>
    <row r="335" spans="19:55" ht="15.75" customHeight="1">
      <c r="S335" s="454"/>
      <c r="AN335" s="458"/>
      <c r="BA335" s="1305"/>
      <c r="BC335" s="169"/>
    </row>
    <row r="336" spans="19:55" ht="15.75" customHeight="1">
      <c r="S336" s="454"/>
      <c r="AN336" s="458"/>
      <c r="BA336" s="1305"/>
      <c r="BC336" s="169"/>
    </row>
    <row r="337" spans="19:55" ht="15.75" customHeight="1">
      <c r="S337" s="454"/>
      <c r="AN337" s="458"/>
      <c r="BA337" s="1305"/>
      <c r="BC337" s="169"/>
    </row>
    <row r="338" spans="19:55" ht="15.75" customHeight="1">
      <c r="S338" s="454"/>
      <c r="AN338" s="458"/>
      <c r="BA338" s="1305"/>
      <c r="BC338" s="169"/>
    </row>
    <row r="339" spans="19:55" ht="15.75" customHeight="1">
      <c r="S339" s="454"/>
      <c r="AN339" s="458"/>
      <c r="BA339" s="1305"/>
      <c r="BC339" s="169"/>
    </row>
    <row r="340" spans="19:55" ht="15.75" customHeight="1">
      <c r="S340" s="454"/>
      <c r="AN340" s="458"/>
      <c r="BA340" s="1305"/>
      <c r="BC340" s="169"/>
    </row>
    <row r="341" spans="19:55" ht="15.75" customHeight="1">
      <c r="S341" s="454"/>
      <c r="AN341" s="458"/>
      <c r="BA341" s="1305"/>
      <c r="BC341" s="169"/>
    </row>
    <row r="342" spans="19:55" ht="15.75" customHeight="1">
      <c r="S342" s="454"/>
      <c r="AN342" s="458"/>
      <c r="BA342" s="1305"/>
      <c r="BC342" s="169"/>
    </row>
    <row r="343" spans="19:55" ht="15.75" customHeight="1">
      <c r="S343" s="454"/>
      <c r="AN343" s="458"/>
      <c r="BA343" s="1305"/>
      <c r="BC343" s="169"/>
    </row>
    <row r="344" spans="19:55" ht="15.75" customHeight="1">
      <c r="S344" s="454"/>
      <c r="AN344" s="458"/>
      <c r="BA344" s="1305"/>
      <c r="BC344" s="169"/>
    </row>
    <row r="345" spans="19:55" ht="15.75" customHeight="1">
      <c r="S345" s="454"/>
      <c r="AN345" s="458"/>
      <c r="BA345" s="1305"/>
      <c r="BC345" s="169"/>
    </row>
    <row r="346" spans="19:55" ht="15.75" customHeight="1">
      <c r="S346" s="454"/>
      <c r="AN346" s="458"/>
      <c r="BA346" s="1305"/>
      <c r="BC346" s="169"/>
    </row>
    <row r="347" spans="19:55" ht="15.75" customHeight="1">
      <c r="S347" s="454"/>
      <c r="AN347" s="458"/>
      <c r="BA347" s="1305"/>
      <c r="BC347" s="169"/>
    </row>
    <row r="348" spans="19:55" ht="15.75" customHeight="1">
      <c r="S348" s="454"/>
      <c r="AN348" s="458"/>
      <c r="BA348" s="1305"/>
      <c r="BC348" s="169"/>
    </row>
    <row r="349" spans="19:55" ht="15.75" customHeight="1">
      <c r="S349" s="454"/>
      <c r="AN349" s="458"/>
      <c r="BA349" s="1305"/>
      <c r="BC349" s="169"/>
    </row>
    <row r="350" spans="19:55" ht="15.75" customHeight="1">
      <c r="S350" s="454"/>
      <c r="AN350" s="458"/>
      <c r="BA350" s="1305"/>
      <c r="BC350" s="169"/>
    </row>
    <row r="351" spans="19:55" ht="15.75" customHeight="1">
      <c r="S351" s="454"/>
      <c r="AN351" s="458"/>
      <c r="BA351" s="1305"/>
      <c r="BC351" s="169"/>
    </row>
    <row r="352" spans="19:55" ht="15.75" customHeight="1">
      <c r="S352" s="454"/>
      <c r="AN352" s="458"/>
      <c r="BA352" s="1305"/>
      <c r="BC352" s="169"/>
    </row>
    <row r="353" spans="19:55" ht="15.75" customHeight="1">
      <c r="S353" s="454"/>
      <c r="AN353" s="458"/>
      <c r="BA353" s="1305"/>
      <c r="BC353" s="169"/>
    </row>
    <row r="354" spans="19:55" ht="15.75" customHeight="1">
      <c r="S354" s="454"/>
      <c r="AN354" s="458"/>
      <c r="BA354" s="1305"/>
      <c r="BC354" s="169"/>
    </row>
    <row r="355" spans="19:55" ht="15.75" customHeight="1">
      <c r="S355" s="454"/>
      <c r="AN355" s="458"/>
      <c r="BA355" s="1305"/>
      <c r="BC355" s="169"/>
    </row>
    <row r="356" spans="19:55" ht="15.75" customHeight="1">
      <c r="S356" s="454"/>
      <c r="AN356" s="458"/>
      <c r="BA356" s="1305"/>
      <c r="BC356" s="169"/>
    </row>
    <row r="357" spans="19:55" ht="15.75" customHeight="1">
      <c r="S357" s="454"/>
      <c r="AN357" s="458"/>
      <c r="BA357" s="1305"/>
      <c r="BC357" s="169"/>
    </row>
    <row r="358" spans="19:55" ht="15.75" customHeight="1">
      <c r="S358" s="454"/>
      <c r="AN358" s="458"/>
      <c r="BA358" s="1305"/>
      <c r="BC358" s="169"/>
    </row>
    <row r="359" spans="19:55" ht="15.75" customHeight="1">
      <c r="S359" s="454"/>
      <c r="AN359" s="458"/>
      <c r="BA359" s="1305"/>
      <c r="BC359" s="169"/>
    </row>
    <row r="360" spans="19:55" ht="15.75" customHeight="1">
      <c r="S360" s="454"/>
      <c r="AN360" s="458"/>
      <c r="BA360" s="1305"/>
      <c r="BC360" s="169"/>
    </row>
    <row r="361" spans="19:55" ht="15.75" customHeight="1">
      <c r="S361" s="454"/>
      <c r="AN361" s="458"/>
      <c r="BA361" s="1305"/>
      <c r="BC361" s="169"/>
    </row>
    <row r="362" spans="19:55" ht="15.75" customHeight="1">
      <c r="S362" s="454"/>
      <c r="AN362" s="458"/>
      <c r="BA362" s="1305"/>
      <c r="BC362" s="169"/>
    </row>
    <row r="363" spans="19:55" ht="15.75" customHeight="1">
      <c r="S363" s="454"/>
      <c r="AN363" s="458"/>
      <c r="BA363" s="1305"/>
      <c r="BC363" s="169"/>
    </row>
    <row r="364" spans="19:55" ht="15.75" customHeight="1">
      <c r="S364" s="454"/>
      <c r="AN364" s="458"/>
      <c r="BA364" s="1305"/>
      <c r="BC364" s="169"/>
    </row>
    <row r="365" spans="19:55" ht="15.75" customHeight="1">
      <c r="S365" s="454"/>
      <c r="AN365" s="458"/>
      <c r="BA365" s="1305"/>
      <c r="BC365" s="169"/>
    </row>
    <row r="366" spans="19:55" ht="15.75" customHeight="1">
      <c r="S366" s="454"/>
      <c r="AN366" s="458"/>
      <c r="BA366" s="1305"/>
      <c r="BC366" s="169"/>
    </row>
    <row r="367" spans="19:55" ht="15.75" customHeight="1">
      <c r="S367" s="454"/>
      <c r="AN367" s="458"/>
      <c r="BA367" s="1305"/>
      <c r="BC367" s="169"/>
    </row>
    <row r="368" spans="19:55" ht="15.75" customHeight="1">
      <c r="S368" s="454"/>
      <c r="AN368" s="458"/>
      <c r="BA368" s="1305"/>
      <c r="BC368" s="169"/>
    </row>
    <row r="369" spans="19:55" ht="15.75" customHeight="1">
      <c r="S369" s="454"/>
      <c r="AN369" s="458"/>
      <c r="BA369" s="1305"/>
      <c r="BC369" s="169"/>
    </row>
    <row r="370" spans="19:55" ht="15.75" customHeight="1">
      <c r="S370" s="454"/>
      <c r="AN370" s="458"/>
      <c r="BA370" s="1305"/>
      <c r="BC370" s="169"/>
    </row>
    <row r="371" spans="19:55" ht="15.75" customHeight="1">
      <c r="S371" s="454"/>
      <c r="AN371" s="458"/>
      <c r="BA371" s="1305"/>
      <c r="BC371" s="169"/>
    </row>
    <row r="372" spans="19:55" ht="15.75" customHeight="1">
      <c r="S372" s="454"/>
      <c r="AN372" s="458"/>
      <c r="BA372" s="1305"/>
      <c r="BC372" s="169"/>
    </row>
    <row r="373" spans="19:55" ht="15.75" customHeight="1">
      <c r="S373" s="454"/>
      <c r="AN373" s="458"/>
      <c r="BA373" s="1305"/>
      <c r="BC373" s="169"/>
    </row>
    <row r="374" spans="19:55" ht="15.75" customHeight="1">
      <c r="S374" s="454"/>
      <c r="AN374" s="458"/>
      <c r="BA374" s="1305"/>
      <c r="BC374" s="169"/>
    </row>
    <row r="375" spans="19:55" ht="15.75" customHeight="1">
      <c r="S375" s="454"/>
      <c r="AN375" s="458"/>
      <c r="BA375" s="1305"/>
      <c r="BC375" s="169"/>
    </row>
    <row r="376" spans="19:55" ht="15.75" customHeight="1">
      <c r="S376" s="454"/>
      <c r="AN376" s="458"/>
      <c r="BA376" s="1305"/>
      <c r="BC376" s="169"/>
    </row>
    <row r="377" spans="19:55" ht="15.75" customHeight="1">
      <c r="S377" s="454"/>
      <c r="AN377" s="458"/>
      <c r="BA377" s="1305"/>
      <c r="BC377" s="169"/>
    </row>
    <row r="378" spans="19:55" ht="15.75" customHeight="1">
      <c r="S378" s="454"/>
      <c r="AN378" s="458"/>
      <c r="BA378" s="1305"/>
      <c r="BC378" s="169"/>
    </row>
    <row r="379" spans="19:55" ht="15.75" customHeight="1">
      <c r="S379" s="454"/>
      <c r="AN379" s="458"/>
      <c r="BA379" s="1305"/>
      <c r="BC379" s="169"/>
    </row>
    <row r="380" spans="19:55" ht="15.75" customHeight="1">
      <c r="S380" s="454"/>
      <c r="AN380" s="458"/>
      <c r="BA380" s="1305"/>
      <c r="BC380" s="169"/>
    </row>
    <row r="381" spans="19:55" ht="15.75" customHeight="1">
      <c r="S381" s="454"/>
      <c r="AN381" s="458"/>
      <c r="BA381" s="1305"/>
      <c r="BC381" s="169"/>
    </row>
    <row r="382" spans="19:55" ht="15.75" customHeight="1">
      <c r="S382" s="454"/>
      <c r="AN382" s="458"/>
      <c r="BA382" s="1305"/>
      <c r="BC382" s="169"/>
    </row>
    <row r="383" spans="19:55" ht="15.75" customHeight="1">
      <c r="S383" s="454"/>
      <c r="AN383" s="458"/>
      <c r="BA383" s="1305"/>
      <c r="BC383" s="169"/>
    </row>
    <row r="384" spans="19:55" ht="15.75" customHeight="1">
      <c r="S384" s="454"/>
      <c r="AN384" s="458"/>
      <c r="BA384" s="1305"/>
      <c r="BC384" s="169"/>
    </row>
    <row r="385" spans="19:55" ht="15.75" customHeight="1">
      <c r="S385" s="454"/>
      <c r="AN385" s="458"/>
      <c r="BA385" s="1305"/>
      <c r="BC385" s="169"/>
    </row>
    <row r="386" spans="19:55" ht="15.75" customHeight="1">
      <c r="S386" s="454"/>
      <c r="AN386" s="458"/>
      <c r="BA386" s="1305"/>
      <c r="BC386" s="169"/>
    </row>
    <row r="387" spans="19:55" ht="15.75" customHeight="1">
      <c r="S387" s="454"/>
      <c r="AN387" s="458"/>
      <c r="BA387" s="1305"/>
      <c r="BC387" s="169"/>
    </row>
    <row r="388" spans="19:55" ht="15.75" customHeight="1">
      <c r="S388" s="454"/>
      <c r="AN388" s="458"/>
      <c r="BA388" s="1305"/>
      <c r="BC388" s="169"/>
    </row>
    <row r="389" spans="19:55" ht="15.75" customHeight="1">
      <c r="S389" s="454"/>
      <c r="AN389" s="458"/>
      <c r="BA389" s="1305"/>
      <c r="BC389" s="169"/>
    </row>
    <row r="390" spans="19:55" ht="15.75" customHeight="1">
      <c r="S390" s="454"/>
      <c r="AN390" s="458"/>
      <c r="BA390" s="1305"/>
      <c r="BC390" s="169"/>
    </row>
    <row r="391" spans="19:55" ht="15.75" customHeight="1">
      <c r="S391" s="454"/>
      <c r="AN391" s="458"/>
      <c r="BA391" s="1305"/>
      <c r="BC391" s="169"/>
    </row>
    <row r="392" spans="19:55" ht="15.75" customHeight="1">
      <c r="S392" s="454"/>
      <c r="AN392" s="458"/>
      <c r="BA392" s="1305"/>
      <c r="BC392" s="169"/>
    </row>
    <row r="393" spans="19:55" ht="15.75" customHeight="1">
      <c r="S393" s="454"/>
      <c r="AN393" s="458"/>
      <c r="BA393" s="1305"/>
      <c r="BC393" s="169"/>
    </row>
    <row r="394" spans="19:55" ht="15.75" customHeight="1">
      <c r="S394" s="454"/>
      <c r="AN394" s="458"/>
      <c r="BA394" s="1305"/>
      <c r="BC394" s="169"/>
    </row>
    <row r="395" spans="19:55" ht="15.75" customHeight="1">
      <c r="S395" s="454"/>
      <c r="AN395" s="458"/>
      <c r="BA395" s="1305"/>
      <c r="BC395" s="169"/>
    </row>
    <row r="396" spans="19:55" ht="15.75" customHeight="1">
      <c r="S396" s="454"/>
      <c r="AN396" s="458"/>
      <c r="BA396" s="1305"/>
      <c r="BC396" s="169"/>
    </row>
    <row r="397" spans="19:55" ht="15.75" customHeight="1">
      <c r="S397" s="454"/>
      <c r="AN397" s="458"/>
      <c r="BA397" s="1305"/>
      <c r="BC397" s="169"/>
    </row>
    <row r="398" spans="19:55" ht="15.75" customHeight="1">
      <c r="S398" s="454"/>
      <c r="AN398" s="458"/>
      <c r="BA398" s="1305"/>
      <c r="BC398" s="169"/>
    </row>
    <row r="399" spans="19:55" ht="15.75" customHeight="1">
      <c r="S399" s="454"/>
      <c r="AN399" s="458"/>
      <c r="BA399" s="1305"/>
      <c r="BC399" s="169"/>
    </row>
    <row r="400" spans="19:55" ht="15.75" customHeight="1">
      <c r="S400" s="454"/>
      <c r="AN400" s="458"/>
      <c r="BA400" s="1305"/>
      <c r="BC400" s="169"/>
    </row>
    <row r="401" spans="19:55" ht="15.75" customHeight="1">
      <c r="S401" s="454"/>
      <c r="AN401" s="458"/>
      <c r="BA401" s="1305"/>
      <c r="BC401" s="169"/>
    </row>
    <row r="402" spans="19:55" ht="15.75" customHeight="1">
      <c r="S402" s="454"/>
      <c r="AN402" s="458"/>
      <c r="BA402" s="1305"/>
      <c r="BC402" s="169"/>
    </row>
    <row r="403" spans="19:55" ht="15.75" customHeight="1">
      <c r="S403" s="454"/>
      <c r="AN403" s="458"/>
      <c r="BA403" s="1305"/>
      <c r="BC403" s="169"/>
    </row>
    <row r="404" spans="19:55" ht="15.75" customHeight="1">
      <c r="S404" s="454"/>
      <c r="AN404" s="458"/>
      <c r="BA404" s="1305"/>
      <c r="BC404" s="169"/>
    </row>
    <row r="405" spans="19:55" ht="15.75" customHeight="1">
      <c r="S405" s="454"/>
      <c r="AN405" s="458"/>
      <c r="BA405" s="1305"/>
      <c r="BC405" s="169"/>
    </row>
    <row r="406" spans="19:55" ht="15.75" customHeight="1">
      <c r="S406" s="454"/>
      <c r="AN406" s="458"/>
      <c r="BA406" s="1305"/>
      <c r="BC406" s="169"/>
    </row>
    <row r="407" spans="19:55" ht="15.75" customHeight="1">
      <c r="S407" s="454"/>
      <c r="AN407" s="458"/>
      <c r="BA407" s="1305"/>
      <c r="BC407" s="169"/>
    </row>
    <row r="408" spans="19:55" ht="15.75" customHeight="1">
      <c r="S408" s="454"/>
      <c r="AN408" s="458"/>
      <c r="BA408" s="1305"/>
      <c r="BC408" s="169"/>
    </row>
    <row r="409" spans="19:55" ht="15.75" customHeight="1">
      <c r="S409" s="454"/>
      <c r="AN409" s="458"/>
      <c r="BA409" s="1305"/>
      <c r="BC409" s="169"/>
    </row>
    <row r="410" spans="19:55" ht="15.75" customHeight="1">
      <c r="S410" s="454"/>
      <c r="AN410" s="458"/>
      <c r="BA410" s="1305"/>
      <c r="BC410" s="169"/>
    </row>
    <row r="411" spans="19:55" ht="15.75" customHeight="1">
      <c r="S411" s="454"/>
      <c r="AN411" s="458"/>
      <c r="BA411" s="1305"/>
      <c r="BC411" s="169"/>
    </row>
    <row r="412" spans="19:55" ht="15.75" customHeight="1">
      <c r="S412" s="454"/>
      <c r="AN412" s="458"/>
      <c r="BA412" s="1305"/>
      <c r="BC412" s="169"/>
    </row>
    <row r="413" spans="19:55" ht="15.75" customHeight="1">
      <c r="S413" s="454"/>
      <c r="AN413" s="458"/>
      <c r="BA413" s="1305"/>
      <c r="BC413" s="169"/>
    </row>
    <row r="414" spans="19:55" ht="15.75" customHeight="1">
      <c r="S414" s="454"/>
      <c r="AN414" s="458"/>
      <c r="BA414" s="1305"/>
      <c r="BC414" s="169"/>
    </row>
    <row r="415" spans="19:55" ht="15.75" customHeight="1">
      <c r="S415" s="454"/>
      <c r="AN415" s="458"/>
      <c r="BA415" s="1305"/>
      <c r="BC415" s="169"/>
    </row>
    <row r="416" spans="19:55" ht="15.75" customHeight="1">
      <c r="S416" s="454"/>
      <c r="AN416" s="458"/>
      <c r="BA416" s="1305"/>
      <c r="BC416" s="169"/>
    </row>
    <row r="417" spans="19:55" ht="15.75" customHeight="1">
      <c r="S417" s="454"/>
      <c r="AN417" s="458"/>
      <c r="BA417" s="1305"/>
      <c r="BC417" s="169"/>
    </row>
    <row r="418" spans="19:55" ht="15.75" customHeight="1">
      <c r="S418" s="454"/>
      <c r="AN418" s="458"/>
      <c r="BA418" s="1305"/>
      <c r="BC418" s="169"/>
    </row>
    <row r="419" spans="19:55" ht="15.75" customHeight="1">
      <c r="S419" s="454"/>
      <c r="AN419" s="458"/>
      <c r="BA419" s="1305"/>
      <c r="BC419" s="169"/>
    </row>
    <row r="420" spans="19:55" ht="15.75" customHeight="1">
      <c r="S420" s="454"/>
      <c r="AN420" s="458"/>
      <c r="BA420" s="1305"/>
      <c r="BC420" s="169"/>
    </row>
    <row r="421" spans="19:55" ht="15.75" customHeight="1">
      <c r="S421" s="454"/>
      <c r="AN421" s="458"/>
      <c r="BA421" s="1305"/>
      <c r="BC421" s="169"/>
    </row>
    <row r="422" spans="19:55" ht="15.75" customHeight="1">
      <c r="S422" s="454"/>
      <c r="AN422" s="458"/>
      <c r="BA422" s="1305"/>
      <c r="BC422" s="169"/>
    </row>
    <row r="423" spans="19:55" ht="15.75" customHeight="1">
      <c r="S423" s="454"/>
      <c r="AN423" s="458"/>
      <c r="BA423" s="1305"/>
      <c r="BC423" s="169"/>
    </row>
    <row r="424" spans="19:55" ht="15.75" customHeight="1">
      <c r="S424" s="454"/>
      <c r="AN424" s="458"/>
      <c r="BA424" s="1305"/>
      <c r="BC424" s="169"/>
    </row>
    <row r="425" spans="19:55" ht="15.75" customHeight="1">
      <c r="S425" s="454"/>
      <c r="AN425" s="458"/>
      <c r="BA425" s="1305"/>
      <c r="BC425" s="169"/>
    </row>
    <row r="426" spans="19:55" ht="15.75" customHeight="1">
      <c r="S426" s="454"/>
      <c r="AN426" s="458"/>
      <c r="BA426" s="1305"/>
      <c r="BC426" s="169"/>
    </row>
    <row r="427" spans="19:55" ht="15.75" customHeight="1">
      <c r="S427" s="454"/>
      <c r="AN427" s="458"/>
      <c r="BA427" s="1305"/>
      <c r="BC427" s="169"/>
    </row>
    <row r="428" spans="19:55" ht="15.75" customHeight="1">
      <c r="S428" s="454"/>
      <c r="AN428" s="458"/>
      <c r="BA428" s="1305"/>
      <c r="BC428" s="169"/>
    </row>
    <row r="429" spans="19:55" ht="15.75" customHeight="1">
      <c r="S429" s="454"/>
      <c r="AN429" s="458"/>
      <c r="BA429" s="1305"/>
      <c r="BC429" s="169"/>
    </row>
    <row r="430" spans="19:55" ht="15.75" customHeight="1">
      <c r="S430" s="454"/>
      <c r="AN430" s="458"/>
      <c r="BA430" s="1305"/>
      <c r="BC430" s="169"/>
    </row>
    <row r="431" spans="19:55" ht="15.75" customHeight="1">
      <c r="S431" s="454"/>
      <c r="AN431" s="458"/>
      <c r="BA431" s="1305"/>
      <c r="BC431" s="169"/>
    </row>
    <row r="432" spans="19:55" ht="15.75" customHeight="1">
      <c r="S432" s="454"/>
      <c r="AN432" s="458"/>
      <c r="BA432" s="1305"/>
      <c r="BC432" s="169"/>
    </row>
    <row r="433" spans="19:55" ht="15.75" customHeight="1">
      <c r="S433" s="454"/>
      <c r="AN433" s="458"/>
      <c r="BA433" s="1305"/>
      <c r="BC433" s="169"/>
    </row>
    <row r="434" spans="19:55" ht="15.75" customHeight="1">
      <c r="S434" s="454"/>
      <c r="AN434" s="458"/>
      <c r="BA434" s="1305"/>
      <c r="BC434" s="169"/>
    </row>
    <row r="435" spans="19:55" ht="15.75" customHeight="1">
      <c r="S435" s="454"/>
      <c r="AN435" s="458"/>
      <c r="BA435" s="1305"/>
      <c r="BC435" s="169"/>
    </row>
    <row r="436" spans="19:55" ht="15.75" customHeight="1">
      <c r="S436" s="454"/>
      <c r="AN436" s="458"/>
      <c r="BA436" s="1305"/>
      <c r="BC436" s="169"/>
    </row>
    <row r="437" spans="19:55" ht="15.75" customHeight="1">
      <c r="S437" s="454"/>
      <c r="AN437" s="458"/>
      <c r="BA437" s="1305"/>
      <c r="BC437" s="169"/>
    </row>
    <row r="438" spans="19:55" ht="15.75" customHeight="1">
      <c r="S438" s="454"/>
      <c r="AN438" s="458"/>
      <c r="BA438" s="1305"/>
      <c r="BC438" s="169"/>
    </row>
    <row r="439" spans="19:55" ht="15.75" customHeight="1">
      <c r="S439" s="454"/>
      <c r="AN439" s="458"/>
      <c r="BA439" s="1305"/>
      <c r="BC439" s="169"/>
    </row>
    <row r="440" spans="19:55" ht="15.75" customHeight="1">
      <c r="S440" s="454"/>
      <c r="AN440" s="458"/>
      <c r="BA440" s="1305"/>
      <c r="BC440" s="169"/>
    </row>
    <row r="441" spans="19:55" ht="15.75" customHeight="1">
      <c r="S441" s="454"/>
      <c r="AN441" s="458"/>
      <c r="BA441" s="1305"/>
      <c r="BC441" s="169"/>
    </row>
    <row r="442" spans="19:55" ht="15.75" customHeight="1">
      <c r="S442" s="454"/>
      <c r="AN442" s="458"/>
      <c r="BA442" s="1305"/>
      <c r="BC442" s="169"/>
    </row>
    <row r="443" spans="19:55" ht="15.75" customHeight="1">
      <c r="S443" s="454"/>
      <c r="AN443" s="458"/>
      <c r="BA443" s="1305"/>
      <c r="BC443" s="169"/>
    </row>
    <row r="444" spans="19:55" ht="15.75" customHeight="1">
      <c r="S444" s="454"/>
      <c r="AN444" s="458"/>
      <c r="BA444" s="1305"/>
      <c r="BC444" s="169"/>
    </row>
    <row r="445" spans="19:55" ht="15.75" customHeight="1">
      <c r="S445" s="454"/>
      <c r="AN445" s="458"/>
      <c r="BA445" s="1305"/>
      <c r="BC445" s="169"/>
    </row>
    <row r="446" spans="19:55" ht="15.75" customHeight="1">
      <c r="S446" s="454"/>
      <c r="AN446" s="458"/>
      <c r="BA446" s="1305"/>
      <c r="BC446" s="169"/>
    </row>
    <row r="447" spans="19:55" ht="15.75" customHeight="1">
      <c r="S447" s="454"/>
      <c r="AN447" s="458"/>
      <c r="BA447" s="1305"/>
      <c r="BC447" s="169"/>
    </row>
    <row r="448" spans="19:55" ht="15.75" customHeight="1">
      <c r="S448" s="454"/>
      <c r="AN448" s="458"/>
      <c r="BA448" s="1305"/>
      <c r="BC448" s="169"/>
    </row>
    <row r="449" spans="19:55" ht="15.75" customHeight="1">
      <c r="S449" s="454"/>
      <c r="AN449" s="458"/>
      <c r="BA449" s="1305"/>
      <c r="BC449" s="169"/>
    </row>
    <row r="450" spans="19:55" ht="15.75" customHeight="1">
      <c r="S450" s="454"/>
      <c r="AN450" s="458"/>
      <c r="BA450" s="1305"/>
      <c r="BC450" s="169"/>
    </row>
    <row r="451" spans="19:55" ht="15.75" customHeight="1">
      <c r="S451" s="454"/>
      <c r="AN451" s="458"/>
      <c r="BA451" s="1305"/>
      <c r="BC451" s="169"/>
    </row>
    <row r="452" spans="19:55" ht="15.75" customHeight="1">
      <c r="S452" s="454"/>
      <c r="AN452" s="458"/>
      <c r="BA452" s="1305"/>
      <c r="BC452" s="169"/>
    </row>
    <row r="453" spans="19:55" ht="15.75" customHeight="1">
      <c r="S453" s="454"/>
      <c r="AN453" s="458"/>
      <c r="BA453" s="1305"/>
      <c r="BC453" s="169"/>
    </row>
    <row r="454" spans="19:55" ht="15.75" customHeight="1">
      <c r="S454" s="454"/>
      <c r="AN454" s="458"/>
      <c r="BA454" s="1305"/>
      <c r="BC454" s="169"/>
    </row>
    <row r="455" spans="19:55" ht="15.75" customHeight="1">
      <c r="S455" s="454"/>
      <c r="AN455" s="458"/>
      <c r="BA455" s="1305"/>
      <c r="BC455" s="169"/>
    </row>
    <row r="456" spans="19:55" ht="15.75" customHeight="1">
      <c r="S456" s="454"/>
      <c r="AN456" s="458"/>
      <c r="BA456" s="1305"/>
      <c r="BC456" s="169"/>
    </row>
    <row r="457" spans="19:55" ht="15.75" customHeight="1">
      <c r="S457" s="454"/>
      <c r="AN457" s="458"/>
      <c r="BA457" s="1305"/>
      <c r="BC457" s="169"/>
    </row>
    <row r="458" spans="19:55" ht="15.75" customHeight="1">
      <c r="S458" s="454"/>
      <c r="AN458" s="458"/>
      <c r="BA458" s="1305"/>
      <c r="BC458" s="169"/>
    </row>
    <row r="459" spans="19:55" ht="15.75" customHeight="1">
      <c r="S459" s="454"/>
      <c r="AN459" s="458"/>
      <c r="BA459" s="1305"/>
      <c r="BC459" s="169"/>
    </row>
    <row r="460" spans="19:55" ht="15.75" customHeight="1">
      <c r="S460" s="454"/>
      <c r="AN460" s="458"/>
      <c r="BA460" s="1305"/>
      <c r="BC460" s="169"/>
    </row>
    <row r="461" spans="19:55" ht="15.75" customHeight="1">
      <c r="S461" s="454"/>
      <c r="AN461" s="458"/>
      <c r="BA461" s="1305"/>
      <c r="BC461" s="169"/>
    </row>
    <row r="462" spans="19:55" ht="15.75" customHeight="1">
      <c r="S462" s="454"/>
      <c r="AN462" s="458"/>
      <c r="BA462" s="1305"/>
      <c r="BC462" s="169"/>
    </row>
    <row r="463" spans="19:55" ht="15.75" customHeight="1">
      <c r="S463" s="454"/>
      <c r="AN463" s="458"/>
      <c r="BA463" s="1305"/>
      <c r="BC463" s="169"/>
    </row>
    <row r="464" spans="19:55" ht="15.75" customHeight="1">
      <c r="S464" s="454"/>
      <c r="AN464" s="458"/>
      <c r="BA464" s="1305"/>
      <c r="BC464" s="169"/>
    </row>
    <row r="465" spans="19:55" ht="15.75" customHeight="1">
      <c r="S465" s="454"/>
      <c r="AN465" s="458"/>
      <c r="BA465" s="1305"/>
      <c r="BC465" s="169"/>
    </row>
    <row r="466" spans="19:55" ht="15.75" customHeight="1">
      <c r="S466" s="454"/>
      <c r="AN466" s="458"/>
      <c r="BA466" s="1305"/>
      <c r="BC466" s="169"/>
    </row>
    <row r="467" spans="19:55" ht="15.75" customHeight="1">
      <c r="S467" s="454"/>
      <c r="AN467" s="458"/>
      <c r="BA467" s="1305"/>
      <c r="BC467" s="169"/>
    </row>
    <row r="468" spans="19:55" ht="15.75" customHeight="1">
      <c r="S468" s="454"/>
      <c r="AN468" s="458"/>
      <c r="BA468" s="1305"/>
      <c r="BC468" s="169"/>
    </row>
    <row r="469" spans="19:55" ht="15.75" customHeight="1">
      <c r="S469" s="454"/>
      <c r="AN469" s="458"/>
      <c r="BA469" s="1305"/>
      <c r="BC469" s="169"/>
    </row>
    <row r="470" spans="19:55" ht="15.75" customHeight="1">
      <c r="S470" s="454"/>
      <c r="AN470" s="458"/>
      <c r="BA470" s="1305"/>
      <c r="BC470" s="169"/>
    </row>
    <row r="471" spans="19:55" ht="15.75" customHeight="1">
      <c r="S471" s="454"/>
      <c r="AN471" s="458"/>
      <c r="BA471" s="1305"/>
      <c r="BC471" s="169"/>
    </row>
    <row r="472" spans="19:55" ht="15.75" customHeight="1">
      <c r="S472" s="454"/>
      <c r="AN472" s="458"/>
      <c r="BA472" s="1305"/>
      <c r="BC472" s="169"/>
    </row>
    <row r="473" spans="19:55" ht="15.75" customHeight="1">
      <c r="S473" s="454"/>
      <c r="AN473" s="458"/>
      <c r="BA473" s="1305"/>
      <c r="BC473" s="169"/>
    </row>
    <row r="474" spans="19:55" ht="15.75" customHeight="1">
      <c r="S474" s="454"/>
      <c r="AN474" s="458"/>
      <c r="BA474" s="1305"/>
      <c r="BC474" s="169"/>
    </row>
    <row r="475" spans="19:55" ht="15.75" customHeight="1">
      <c r="S475" s="454"/>
      <c r="AN475" s="458"/>
      <c r="BA475" s="1305"/>
      <c r="BC475" s="169"/>
    </row>
    <row r="476" spans="19:55" ht="15.75" customHeight="1">
      <c r="S476" s="454"/>
      <c r="AN476" s="458"/>
      <c r="BA476" s="1305"/>
      <c r="BC476" s="169"/>
    </row>
    <row r="477" spans="19:55" ht="15.75" customHeight="1">
      <c r="S477" s="454"/>
      <c r="AN477" s="458"/>
      <c r="BA477" s="1305"/>
      <c r="BC477" s="169"/>
    </row>
    <row r="478" spans="19:55" ht="15.75" customHeight="1">
      <c r="S478" s="454"/>
      <c r="AN478" s="458"/>
      <c r="BA478" s="1305"/>
      <c r="BC478" s="169"/>
    </row>
    <row r="479" spans="19:55" ht="15.75" customHeight="1">
      <c r="S479" s="454"/>
      <c r="AN479" s="458"/>
      <c r="BA479" s="1305"/>
      <c r="BC479" s="169"/>
    </row>
    <row r="480" spans="19:55" ht="15.75" customHeight="1">
      <c r="S480" s="454"/>
      <c r="AN480" s="458"/>
      <c r="BA480" s="1305"/>
      <c r="BC480" s="169"/>
    </row>
    <row r="481" spans="19:55" ht="15.75" customHeight="1">
      <c r="S481" s="454"/>
      <c r="AN481" s="458"/>
      <c r="BA481" s="1305"/>
      <c r="BC481" s="169"/>
    </row>
    <row r="482" spans="19:55" ht="15.75" customHeight="1">
      <c r="S482" s="454"/>
      <c r="AN482" s="458"/>
      <c r="BA482" s="1305"/>
      <c r="BC482" s="169"/>
    </row>
    <row r="483" spans="19:55" ht="15.75" customHeight="1">
      <c r="S483" s="454"/>
      <c r="AN483" s="458"/>
      <c r="BA483" s="1305"/>
      <c r="BC483" s="169"/>
    </row>
    <row r="484" spans="19:55" ht="15.75" customHeight="1">
      <c r="S484" s="454"/>
      <c r="AN484" s="458"/>
      <c r="BA484" s="1305"/>
      <c r="BC484" s="169"/>
    </row>
    <row r="485" spans="19:55" ht="15.75" customHeight="1">
      <c r="S485" s="454"/>
      <c r="AN485" s="458"/>
      <c r="BA485" s="1305"/>
      <c r="BC485" s="169"/>
    </row>
    <row r="486" spans="19:55" ht="15.75" customHeight="1">
      <c r="S486" s="454"/>
      <c r="AN486" s="458"/>
      <c r="BA486" s="1305"/>
      <c r="BC486" s="169"/>
    </row>
    <row r="487" spans="19:55" ht="15.75" customHeight="1">
      <c r="S487" s="454"/>
      <c r="AN487" s="458"/>
      <c r="BA487" s="1305"/>
      <c r="BC487" s="169"/>
    </row>
    <row r="488" spans="19:55" ht="15.75" customHeight="1">
      <c r="S488" s="454"/>
      <c r="AN488" s="458"/>
      <c r="BA488" s="1305"/>
      <c r="BC488" s="169"/>
    </row>
    <row r="489" spans="19:55" ht="15.75" customHeight="1">
      <c r="S489" s="454"/>
      <c r="AN489" s="458"/>
      <c r="BA489" s="1305"/>
      <c r="BC489" s="169"/>
    </row>
    <row r="490" spans="19:55" ht="15.75" customHeight="1">
      <c r="S490" s="454"/>
      <c r="AN490" s="458"/>
      <c r="BA490" s="1305"/>
      <c r="BC490" s="169"/>
    </row>
    <row r="491" spans="19:55" ht="15.75" customHeight="1">
      <c r="S491" s="454"/>
      <c r="AN491" s="458"/>
      <c r="BA491" s="1305"/>
      <c r="BC491" s="169"/>
    </row>
    <row r="492" spans="19:55" ht="15.75" customHeight="1">
      <c r="S492" s="454"/>
      <c r="AN492" s="458"/>
      <c r="BA492" s="1305"/>
      <c r="BC492" s="169"/>
    </row>
    <row r="493" spans="19:55" ht="15.75" customHeight="1">
      <c r="S493" s="454"/>
      <c r="AN493" s="458"/>
      <c r="BA493" s="1305"/>
      <c r="BC493" s="169"/>
    </row>
    <row r="494" spans="19:55" ht="15.75" customHeight="1">
      <c r="S494" s="454"/>
      <c r="AN494" s="458"/>
      <c r="BA494" s="1305"/>
      <c r="BC494" s="169"/>
    </row>
    <row r="495" spans="19:55" ht="15.75" customHeight="1">
      <c r="S495" s="454"/>
      <c r="AN495" s="458"/>
      <c r="BA495" s="1305"/>
      <c r="BC495" s="169"/>
    </row>
    <row r="496" spans="19:55" ht="15.75" customHeight="1">
      <c r="S496" s="454"/>
      <c r="AN496" s="458"/>
      <c r="BA496" s="1305"/>
      <c r="BC496" s="169"/>
    </row>
    <row r="497" spans="19:55" ht="15.75" customHeight="1">
      <c r="S497" s="454"/>
      <c r="AN497" s="458"/>
      <c r="BA497" s="1305"/>
      <c r="BC497" s="169"/>
    </row>
    <row r="498" spans="19:55" ht="15.75" customHeight="1">
      <c r="S498" s="454"/>
      <c r="AN498" s="458"/>
      <c r="BA498" s="1305"/>
      <c r="BC498" s="169"/>
    </row>
    <row r="499" spans="19:55" ht="15.75" customHeight="1">
      <c r="S499" s="454"/>
      <c r="AN499" s="458"/>
      <c r="BA499" s="1305"/>
      <c r="BC499" s="169"/>
    </row>
    <row r="500" spans="19:55" ht="15.75" customHeight="1">
      <c r="S500" s="454"/>
      <c r="AN500" s="458"/>
      <c r="BA500" s="1305"/>
      <c r="BC500" s="169"/>
    </row>
    <row r="501" spans="19:55" ht="15.75" customHeight="1">
      <c r="S501" s="454"/>
      <c r="AN501" s="458"/>
      <c r="BA501" s="1305"/>
      <c r="BC501" s="169"/>
    </row>
    <row r="502" spans="19:55" ht="15.75" customHeight="1">
      <c r="S502" s="454"/>
      <c r="AN502" s="458"/>
      <c r="BA502" s="1305"/>
      <c r="BC502" s="169"/>
    </row>
    <row r="503" spans="19:55" ht="15.75" customHeight="1">
      <c r="S503" s="454"/>
      <c r="AN503" s="458"/>
      <c r="BA503" s="1305"/>
      <c r="BC503" s="169"/>
    </row>
    <row r="504" spans="19:55" ht="15.75" customHeight="1">
      <c r="S504" s="454"/>
      <c r="AN504" s="458"/>
      <c r="BA504" s="1305"/>
      <c r="BC504" s="169"/>
    </row>
    <row r="505" spans="19:55" ht="15.75" customHeight="1">
      <c r="S505" s="454"/>
      <c r="AN505" s="458"/>
      <c r="BA505" s="1305"/>
      <c r="BC505" s="169"/>
    </row>
    <row r="506" spans="19:55" ht="15.75" customHeight="1">
      <c r="S506" s="454"/>
      <c r="AN506" s="458"/>
      <c r="BA506" s="1305"/>
      <c r="BC506" s="169"/>
    </row>
    <row r="507" spans="19:55" ht="15.75" customHeight="1">
      <c r="S507" s="454"/>
      <c r="AN507" s="458"/>
      <c r="BA507" s="1305"/>
      <c r="BC507" s="169"/>
    </row>
    <row r="508" spans="19:55" ht="15.75" customHeight="1">
      <c r="S508" s="454"/>
      <c r="AN508" s="458"/>
      <c r="BA508" s="1305"/>
      <c r="BC508" s="169"/>
    </row>
    <row r="509" spans="19:55" ht="15.75" customHeight="1">
      <c r="S509" s="454"/>
      <c r="AN509" s="458"/>
      <c r="BA509" s="1305"/>
      <c r="BC509" s="169"/>
    </row>
    <row r="510" spans="19:55" ht="15.75" customHeight="1">
      <c r="S510" s="454"/>
      <c r="AN510" s="458"/>
      <c r="BA510" s="1305"/>
      <c r="BC510" s="169"/>
    </row>
    <row r="511" spans="19:55" ht="15.75" customHeight="1">
      <c r="S511" s="454"/>
      <c r="AN511" s="458"/>
      <c r="BA511" s="1305"/>
      <c r="BC511" s="169"/>
    </row>
    <row r="512" spans="19:55" ht="15.75" customHeight="1">
      <c r="S512" s="454"/>
      <c r="AN512" s="458"/>
      <c r="BA512" s="1305"/>
      <c r="BC512" s="169"/>
    </row>
    <row r="513" spans="19:55" ht="15.75" customHeight="1">
      <c r="S513" s="454"/>
      <c r="AN513" s="458"/>
      <c r="BA513" s="1305"/>
      <c r="BC513" s="169"/>
    </row>
    <row r="514" spans="19:55" ht="15.75" customHeight="1">
      <c r="S514" s="454"/>
      <c r="AN514" s="458"/>
      <c r="BA514" s="1305"/>
      <c r="BC514" s="169"/>
    </row>
    <row r="515" spans="19:55" ht="15.75" customHeight="1">
      <c r="S515" s="454"/>
      <c r="AN515" s="458"/>
      <c r="BA515" s="1305"/>
      <c r="BC515" s="169"/>
    </row>
    <row r="516" spans="19:55" ht="15.75" customHeight="1">
      <c r="S516" s="454"/>
      <c r="AN516" s="458"/>
      <c r="BA516" s="1305"/>
      <c r="BC516" s="169"/>
    </row>
    <row r="517" spans="19:55" ht="15.75" customHeight="1">
      <c r="S517" s="454"/>
      <c r="AN517" s="458"/>
      <c r="BA517" s="1305"/>
      <c r="BC517" s="169"/>
    </row>
    <row r="518" spans="19:55" ht="15.75" customHeight="1">
      <c r="S518" s="454"/>
      <c r="AN518" s="458"/>
      <c r="BA518" s="1305"/>
      <c r="BC518" s="169"/>
    </row>
    <row r="519" spans="19:55" ht="15.75" customHeight="1">
      <c r="S519" s="454"/>
      <c r="AN519" s="458"/>
      <c r="BA519" s="1305"/>
      <c r="BC519" s="169"/>
    </row>
    <row r="520" spans="19:55" ht="15.75" customHeight="1">
      <c r="S520" s="454"/>
      <c r="AN520" s="458"/>
      <c r="BA520" s="1305"/>
      <c r="BC520" s="169"/>
    </row>
    <row r="521" spans="19:55" ht="15.75" customHeight="1">
      <c r="S521" s="454"/>
      <c r="AN521" s="458"/>
      <c r="BA521" s="1305"/>
      <c r="BC521" s="169"/>
    </row>
    <row r="522" spans="19:55" ht="15.75" customHeight="1">
      <c r="S522" s="454"/>
      <c r="AN522" s="458"/>
      <c r="BA522" s="1305"/>
      <c r="BC522" s="169"/>
    </row>
    <row r="523" spans="19:55" ht="15.75" customHeight="1">
      <c r="S523" s="454"/>
      <c r="AN523" s="458"/>
      <c r="BA523" s="1305"/>
      <c r="BC523" s="169"/>
    </row>
    <row r="524" spans="19:55" ht="15.75" customHeight="1">
      <c r="S524" s="454"/>
      <c r="AN524" s="458"/>
      <c r="BA524" s="1305"/>
      <c r="BC524" s="169"/>
    </row>
    <row r="525" spans="19:55" ht="15.75" customHeight="1">
      <c r="S525" s="454"/>
      <c r="AN525" s="458"/>
      <c r="BA525" s="1305"/>
      <c r="BC525" s="169"/>
    </row>
    <row r="526" spans="19:55" ht="15.75" customHeight="1">
      <c r="S526" s="454"/>
      <c r="AN526" s="458"/>
      <c r="BA526" s="1305"/>
      <c r="BC526" s="169"/>
    </row>
    <row r="527" spans="19:55" ht="15.75" customHeight="1">
      <c r="S527" s="454"/>
      <c r="AN527" s="458"/>
      <c r="BA527" s="1305"/>
      <c r="BC527" s="169"/>
    </row>
    <row r="528" spans="19:55" ht="15.75" customHeight="1">
      <c r="S528" s="454"/>
      <c r="AN528" s="458"/>
      <c r="BA528" s="1305"/>
      <c r="BC528" s="169"/>
    </row>
    <row r="529" spans="19:55" ht="15.75" customHeight="1">
      <c r="S529" s="454"/>
      <c r="AN529" s="458"/>
      <c r="BA529" s="1305"/>
      <c r="BC529" s="169"/>
    </row>
    <row r="530" spans="19:55" ht="15.75" customHeight="1">
      <c r="S530" s="454"/>
      <c r="AN530" s="458"/>
      <c r="BA530" s="1305"/>
      <c r="BC530" s="169"/>
    </row>
    <row r="531" spans="19:55" ht="15.75" customHeight="1">
      <c r="S531" s="454"/>
      <c r="AN531" s="458"/>
      <c r="BA531" s="1305"/>
      <c r="BC531" s="169"/>
    </row>
    <row r="532" spans="19:55" ht="15.75" customHeight="1">
      <c r="S532" s="454"/>
      <c r="AN532" s="458"/>
      <c r="BA532" s="1305"/>
      <c r="BC532" s="169"/>
    </row>
    <row r="533" spans="19:55" ht="15.75" customHeight="1">
      <c r="S533" s="454"/>
      <c r="AN533" s="458"/>
      <c r="BA533" s="1305"/>
      <c r="BC533" s="169"/>
    </row>
    <row r="534" spans="19:55" ht="15.75" customHeight="1">
      <c r="S534" s="454"/>
      <c r="AN534" s="458"/>
      <c r="BA534" s="1305"/>
      <c r="BC534" s="169"/>
    </row>
    <row r="535" spans="19:55" ht="15.75" customHeight="1">
      <c r="S535" s="454"/>
      <c r="AN535" s="458"/>
      <c r="BA535" s="1305"/>
      <c r="BC535" s="169"/>
    </row>
    <row r="536" spans="19:55" ht="15.75" customHeight="1">
      <c r="S536" s="454"/>
      <c r="AN536" s="458"/>
      <c r="BA536" s="1305"/>
      <c r="BC536" s="169"/>
    </row>
    <row r="537" spans="19:55" ht="15.75" customHeight="1">
      <c r="S537" s="454"/>
      <c r="AN537" s="458"/>
      <c r="BA537" s="1305"/>
      <c r="BC537" s="169"/>
    </row>
    <row r="538" spans="19:55" ht="15.75" customHeight="1">
      <c r="S538" s="454"/>
      <c r="AN538" s="458"/>
      <c r="BA538" s="1305"/>
      <c r="BC538" s="169"/>
    </row>
    <row r="539" spans="19:55" ht="15.75" customHeight="1">
      <c r="S539" s="454"/>
      <c r="AN539" s="458"/>
      <c r="BA539" s="1305"/>
      <c r="BC539" s="169"/>
    </row>
    <row r="540" spans="19:55" ht="15.75" customHeight="1">
      <c r="S540" s="454"/>
      <c r="AN540" s="458"/>
      <c r="BA540" s="1305"/>
      <c r="BC540" s="169"/>
    </row>
    <row r="541" spans="19:55" ht="15.75" customHeight="1">
      <c r="S541" s="454"/>
      <c r="AN541" s="458"/>
      <c r="BA541" s="1305"/>
      <c r="BC541" s="169"/>
    </row>
    <row r="542" spans="19:55" ht="15.75" customHeight="1">
      <c r="S542" s="454"/>
      <c r="AN542" s="458"/>
      <c r="BA542" s="1305"/>
      <c r="BC542" s="169"/>
    </row>
    <row r="543" spans="19:55" ht="15.75" customHeight="1">
      <c r="S543" s="454"/>
      <c r="AN543" s="458"/>
      <c r="BA543" s="1305"/>
      <c r="BC543" s="169"/>
    </row>
    <row r="544" spans="19:55" ht="15.75" customHeight="1">
      <c r="S544" s="454"/>
      <c r="AN544" s="458"/>
      <c r="BA544" s="1305"/>
      <c r="BC544" s="169"/>
    </row>
    <row r="545" spans="19:55" ht="15.75" customHeight="1">
      <c r="S545" s="454"/>
      <c r="AN545" s="458"/>
      <c r="BA545" s="1305"/>
      <c r="BC545" s="169"/>
    </row>
    <row r="546" spans="19:55" ht="15.75" customHeight="1">
      <c r="S546" s="454"/>
      <c r="AN546" s="458"/>
      <c r="BA546" s="1305"/>
      <c r="BC546" s="169"/>
    </row>
    <row r="547" spans="19:55" ht="15.75" customHeight="1">
      <c r="S547" s="454"/>
      <c r="AN547" s="458"/>
      <c r="BA547" s="1305"/>
      <c r="BC547" s="169"/>
    </row>
    <row r="548" spans="19:55" ht="15.75" customHeight="1">
      <c r="S548" s="454"/>
      <c r="AN548" s="458"/>
      <c r="BA548" s="1305"/>
      <c r="BC548" s="169"/>
    </row>
    <row r="549" spans="19:55" ht="15.75" customHeight="1">
      <c r="S549" s="454"/>
      <c r="AN549" s="458"/>
      <c r="BA549" s="1305"/>
      <c r="BC549" s="169"/>
    </row>
    <row r="550" spans="19:55" ht="15.75" customHeight="1">
      <c r="S550" s="454"/>
      <c r="AN550" s="458"/>
      <c r="BA550" s="1305"/>
      <c r="BC550" s="169"/>
    </row>
    <row r="551" spans="19:55" ht="15.75" customHeight="1">
      <c r="S551" s="454"/>
      <c r="AN551" s="458"/>
      <c r="BA551" s="1305"/>
      <c r="BC551" s="169"/>
    </row>
    <row r="552" spans="19:55" ht="15.75" customHeight="1">
      <c r="S552" s="454"/>
      <c r="AN552" s="458"/>
      <c r="BA552" s="1305"/>
      <c r="BC552" s="169"/>
    </row>
    <row r="553" spans="19:55" ht="15.75" customHeight="1">
      <c r="S553" s="454"/>
      <c r="AN553" s="458"/>
      <c r="BA553" s="1305"/>
      <c r="BC553" s="169"/>
    </row>
    <row r="554" spans="19:55" ht="15.75" customHeight="1">
      <c r="S554" s="454"/>
      <c r="AN554" s="458"/>
      <c r="BA554" s="1305"/>
      <c r="BC554" s="169"/>
    </row>
    <row r="555" spans="19:55" ht="15.75" customHeight="1">
      <c r="S555" s="454"/>
      <c r="AN555" s="458"/>
      <c r="BA555" s="1305"/>
      <c r="BC555" s="169"/>
    </row>
    <row r="556" spans="19:55" ht="15.75" customHeight="1">
      <c r="S556" s="454"/>
      <c r="AN556" s="458"/>
      <c r="BA556" s="1305"/>
      <c r="BC556" s="169"/>
    </row>
    <row r="557" spans="19:55" ht="15.75" customHeight="1">
      <c r="S557" s="454"/>
      <c r="AN557" s="458"/>
      <c r="BA557" s="1305"/>
      <c r="BC557" s="169"/>
    </row>
    <row r="558" spans="19:55" ht="15.75" customHeight="1">
      <c r="S558" s="454"/>
      <c r="AN558" s="458"/>
      <c r="BA558" s="1305"/>
      <c r="BC558" s="169"/>
    </row>
    <row r="559" spans="19:55" ht="15.75" customHeight="1">
      <c r="S559" s="454"/>
      <c r="AN559" s="458"/>
      <c r="BA559" s="1305"/>
      <c r="BC559" s="169"/>
    </row>
    <row r="560" spans="19:55" ht="15.75" customHeight="1">
      <c r="S560" s="454"/>
      <c r="AN560" s="458"/>
      <c r="BA560" s="1305"/>
      <c r="BC560" s="169"/>
    </row>
    <row r="561" spans="19:55" ht="15.75" customHeight="1">
      <c r="S561" s="454"/>
      <c r="AN561" s="458"/>
      <c r="BA561" s="1305"/>
      <c r="BC561" s="169"/>
    </row>
    <row r="562" spans="19:55" ht="15.75" customHeight="1">
      <c r="S562" s="454"/>
      <c r="AN562" s="458"/>
      <c r="BA562" s="1305"/>
      <c r="BC562" s="169"/>
    </row>
    <row r="563" spans="19:55" ht="15.75" customHeight="1">
      <c r="S563" s="454"/>
      <c r="AN563" s="458"/>
      <c r="BA563" s="1305"/>
      <c r="BC563" s="169"/>
    </row>
    <row r="564" spans="19:55" ht="15.75" customHeight="1">
      <c r="S564" s="454"/>
      <c r="AN564" s="458"/>
      <c r="BA564" s="1305"/>
      <c r="BC564" s="169"/>
    </row>
    <row r="565" spans="19:55" ht="15.75" customHeight="1">
      <c r="S565" s="454"/>
      <c r="AN565" s="458"/>
      <c r="BA565" s="1305"/>
      <c r="BC565" s="169"/>
    </row>
    <row r="566" spans="19:55" ht="15.75" customHeight="1">
      <c r="S566" s="454"/>
      <c r="AN566" s="458"/>
      <c r="BA566" s="1305"/>
      <c r="BC566" s="169"/>
    </row>
    <row r="567" spans="19:55" ht="15.75" customHeight="1">
      <c r="S567" s="454"/>
      <c r="AN567" s="458"/>
      <c r="BA567" s="1305"/>
      <c r="BC567" s="169"/>
    </row>
    <row r="568" spans="19:55" ht="15.75" customHeight="1">
      <c r="S568" s="454"/>
      <c r="AN568" s="458"/>
      <c r="BA568" s="1305"/>
      <c r="BC568" s="169"/>
    </row>
    <row r="569" spans="19:55" ht="15.75" customHeight="1">
      <c r="S569" s="454"/>
      <c r="AN569" s="458"/>
      <c r="BA569" s="1305"/>
      <c r="BC569" s="169"/>
    </row>
    <row r="570" spans="19:55" ht="15.75" customHeight="1">
      <c r="S570" s="454"/>
      <c r="AN570" s="458"/>
      <c r="BA570" s="1305"/>
      <c r="BC570" s="169"/>
    </row>
    <row r="571" spans="19:55" ht="15.75" customHeight="1">
      <c r="S571" s="454"/>
      <c r="AN571" s="458"/>
      <c r="BA571" s="1305"/>
      <c r="BC571" s="169"/>
    </row>
    <row r="572" spans="19:55" ht="15.75" customHeight="1">
      <c r="S572" s="454"/>
      <c r="AN572" s="458"/>
      <c r="BA572" s="1305"/>
      <c r="BC572" s="169"/>
    </row>
    <row r="573" spans="19:55" ht="15.75" customHeight="1">
      <c r="S573" s="454"/>
      <c r="AN573" s="458"/>
      <c r="BA573" s="1305"/>
      <c r="BC573" s="169"/>
    </row>
    <row r="574" spans="19:55" ht="15.75" customHeight="1">
      <c r="S574" s="454"/>
      <c r="AN574" s="458"/>
      <c r="BA574" s="1305"/>
      <c r="BC574" s="169"/>
    </row>
    <row r="575" spans="19:55" ht="15.75" customHeight="1">
      <c r="S575" s="454"/>
      <c r="AN575" s="458"/>
      <c r="BA575" s="1305"/>
      <c r="BC575" s="169"/>
    </row>
    <row r="576" spans="19:55" ht="15.75" customHeight="1">
      <c r="S576" s="454"/>
      <c r="AN576" s="458"/>
      <c r="BA576" s="1305"/>
      <c r="BC576" s="169"/>
    </row>
    <row r="577" spans="19:55" ht="15.75" customHeight="1">
      <c r="S577" s="454"/>
      <c r="AN577" s="458"/>
      <c r="BA577" s="1305"/>
      <c r="BC577" s="169"/>
    </row>
    <row r="578" spans="19:55" ht="15.75" customHeight="1">
      <c r="S578" s="454"/>
      <c r="AN578" s="458"/>
      <c r="BA578" s="1305"/>
      <c r="BC578" s="169"/>
    </row>
    <row r="579" spans="19:55" ht="15.75" customHeight="1">
      <c r="S579" s="454"/>
      <c r="AN579" s="458"/>
      <c r="BA579" s="1305"/>
      <c r="BC579" s="169"/>
    </row>
    <row r="580" spans="19:55" ht="15.75" customHeight="1">
      <c r="S580" s="454"/>
      <c r="AN580" s="458"/>
      <c r="BA580" s="1305"/>
      <c r="BC580" s="169"/>
    </row>
    <row r="581" spans="19:55" ht="15.75" customHeight="1">
      <c r="S581" s="454"/>
      <c r="AN581" s="458"/>
      <c r="BA581" s="1305"/>
      <c r="BC581" s="169"/>
    </row>
    <row r="582" spans="19:55" ht="15.75" customHeight="1">
      <c r="S582" s="454"/>
      <c r="AN582" s="458"/>
      <c r="BA582" s="1305"/>
      <c r="BC582" s="169"/>
    </row>
    <row r="583" spans="19:55" ht="15.75" customHeight="1">
      <c r="S583" s="454"/>
      <c r="AN583" s="458"/>
      <c r="BA583" s="1305"/>
      <c r="BC583" s="169"/>
    </row>
    <row r="584" spans="19:55" ht="15.75" customHeight="1">
      <c r="S584" s="454"/>
      <c r="AN584" s="458"/>
      <c r="BA584" s="1305"/>
      <c r="BC584" s="169"/>
    </row>
    <row r="585" spans="19:55" ht="15.75" customHeight="1">
      <c r="S585" s="454"/>
      <c r="AN585" s="458"/>
      <c r="BA585" s="1305"/>
      <c r="BC585" s="169"/>
    </row>
    <row r="586" spans="19:55" ht="15.75" customHeight="1">
      <c r="S586" s="454"/>
      <c r="AN586" s="458"/>
      <c r="BA586" s="1305"/>
      <c r="BC586" s="169"/>
    </row>
    <row r="587" spans="19:55" ht="15.75" customHeight="1">
      <c r="S587" s="454"/>
      <c r="AN587" s="458"/>
      <c r="BA587" s="1305"/>
      <c r="BC587" s="169"/>
    </row>
    <row r="588" spans="19:55" ht="15.75" customHeight="1">
      <c r="S588" s="454"/>
      <c r="AN588" s="458"/>
      <c r="BA588" s="1305"/>
      <c r="BC588" s="169"/>
    </row>
    <row r="589" spans="19:55" ht="15.75" customHeight="1">
      <c r="S589" s="454"/>
      <c r="AN589" s="458"/>
      <c r="BA589" s="1305"/>
      <c r="BC589" s="169"/>
    </row>
    <row r="590" spans="19:55" ht="15.75" customHeight="1">
      <c r="S590" s="454"/>
      <c r="AN590" s="458"/>
      <c r="BA590" s="1305"/>
      <c r="BC590" s="169"/>
    </row>
    <row r="591" spans="19:55" ht="15.75" customHeight="1">
      <c r="S591" s="454"/>
      <c r="AN591" s="458"/>
      <c r="BA591" s="1305"/>
      <c r="BC591" s="169"/>
    </row>
    <row r="592" spans="19:55" ht="15.75" customHeight="1">
      <c r="S592" s="454"/>
      <c r="AN592" s="458"/>
      <c r="BA592" s="1305"/>
      <c r="BC592" s="169"/>
    </row>
    <row r="593" spans="19:55" ht="15.75" customHeight="1">
      <c r="S593" s="454"/>
      <c r="AN593" s="458"/>
      <c r="BA593" s="1305"/>
      <c r="BC593" s="169"/>
    </row>
    <row r="594" spans="19:55" ht="15.75" customHeight="1">
      <c r="S594" s="454"/>
      <c r="AN594" s="458"/>
      <c r="BA594" s="1305"/>
      <c r="BC594" s="169"/>
    </row>
    <row r="595" spans="19:55" ht="15.75" customHeight="1">
      <c r="S595" s="454"/>
      <c r="AN595" s="458"/>
      <c r="BA595" s="1305"/>
      <c r="BC595" s="169"/>
    </row>
    <row r="596" spans="19:55" ht="15.75" customHeight="1">
      <c r="S596" s="454"/>
      <c r="AN596" s="458"/>
      <c r="BA596" s="1305"/>
      <c r="BC596" s="169"/>
    </row>
    <row r="597" spans="19:55" ht="15.75" customHeight="1">
      <c r="S597" s="454"/>
      <c r="AN597" s="458"/>
      <c r="BA597" s="1305"/>
      <c r="BC597" s="169"/>
    </row>
    <row r="598" spans="19:55" ht="15.75" customHeight="1">
      <c r="S598" s="454"/>
      <c r="AN598" s="458"/>
      <c r="BA598" s="1305"/>
      <c r="BC598" s="169"/>
    </row>
    <row r="599" spans="19:55" ht="15.75" customHeight="1">
      <c r="S599" s="454"/>
      <c r="AN599" s="458"/>
      <c r="BA599" s="1305"/>
      <c r="BC599" s="169"/>
    </row>
    <row r="600" spans="19:55" ht="15.75" customHeight="1">
      <c r="S600" s="454"/>
      <c r="AN600" s="458"/>
      <c r="BA600" s="1305"/>
      <c r="BC600" s="169"/>
    </row>
    <row r="601" spans="19:55" ht="15.75" customHeight="1">
      <c r="S601" s="454"/>
      <c r="AN601" s="458"/>
      <c r="BA601" s="1305"/>
      <c r="BC601" s="169"/>
    </row>
    <row r="602" spans="19:55" ht="15.75" customHeight="1">
      <c r="S602" s="454"/>
      <c r="AN602" s="458"/>
      <c r="BA602" s="1305"/>
      <c r="BC602" s="169"/>
    </row>
    <row r="603" spans="19:55" ht="15.75" customHeight="1">
      <c r="S603" s="454"/>
      <c r="AN603" s="458"/>
      <c r="BA603" s="1305"/>
      <c r="BC603" s="169"/>
    </row>
    <row r="604" spans="19:55" ht="15.75" customHeight="1">
      <c r="S604" s="454"/>
      <c r="AN604" s="458"/>
      <c r="BA604" s="1305"/>
      <c r="BC604" s="169"/>
    </row>
    <row r="605" spans="19:55" ht="15.75" customHeight="1">
      <c r="S605" s="454"/>
      <c r="AN605" s="458"/>
      <c r="BA605" s="1305"/>
      <c r="BC605" s="169"/>
    </row>
    <row r="606" spans="19:55" ht="15.75" customHeight="1">
      <c r="S606" s="454"/>
      <c r="AN606" s="458"/>
      <c r="BA606" s="1305"/>
      <c r="BC606" s="169"/>
    </row>
    <row r="607" spans="19:55" ht="15.75" customHeight="1">
      <c r="S607" s="454"/>
      <c r="AN607" s="458"/>
      <c r="BA607" s="1305"/>
      <c r="BC607" s="169"/>
    </row>
    <row r="608" spans="19:55" ht="15.75" customHeight="1">
      <c r="S608" s="454"/>
      <c r="AN608" s="458"/>
      <c r="BA608" s="1305"/>
      <c r="BC608" s="169"/>
    </row>
    <row r="609" spans="19:55" ht="15.75" customHeight="1">
      <c r="S609" s="454"/>
      <c r="AN609" s="458"/>
      <c r="BA609" s="1305"/>
      <c r="BC609" s="169"/>
    </row>
    <row r="610" spans="19:55" ht="15.75" customHeight="1">
      <c r="S610" s="454"/>
      <c r="AN610" s="458"/>
      <c r="BA610" s="1305"/>
      <c r="BC610" s="169"/>
    </row>
    <row r="611" spans="19:55" ht="15.75" customHeight="1">
      <c r="S611" s="454"/>
      <c r="AN611" s="458"/>
      <c r="BA611" s="1305"/>
      <c r="BC611" s="169"/>
    </row>
    <row r="612" spans="19:55" ht="15.75" customHeight="1">
      <c r="S612" s="454"/>
      <c r="AN612" s="458"/>
      <c r="BA612" s="1305"/>
      <c r="BC612" s="169"/>
    </row>
    <row r="613" spans="19:55" ht="15.75" customHeight="1">
      <c r="S613" s="454"/>
      <c r="AN613" s="458"/>
      <c r="BA613" s="1305"/>
      <c r="BC613" s="169"/>
    </row>
    <row r="614" spans="19:55" ht="15.75" customHeight="1">
      <c r="S614" s="454"/>
      <c r="AN614" s="458"/>
      <c r="BA614" s="1305"/>
      <c r="BC614" s="169"/>
    </row>
    <row r="615" spans="19:55" ht="15.75" customHeight="1">
      <c r="S615" s="454"/>
      <c r="AN615" s="458"/>
      <c r="BA615" s="1305"/>
      <c r="BC615" s="169"/>
    </row>
    <row r="616" spans="19:55" ht="15.75" customHeight="1">
      <c r="S616" s="454"/>
      <c r="AN616" s="458"/>
      <c r="BA616" s="1305"/>
      <c r="BC616" s="169"/>
    </row>
    <row r="617" spans="19:55" ht="15.75" customHeight="1">
      <c r="S617" s="454"/>
      <c r="AN617" s="458"/>
      <c r="BA617" s="1305"/>
      <c r="BC617" s="169"/>
    </row>
    <row r="618" spans="19:55" ht="15.75" customHeight="1">
      <c r="S618" s="454"/>
      <c r="AN618" s="458"/>
      <c r="BA618" s="1305"/>
      <c r="BC618" s="169"/>
    </row>
    <row r="619" spans="19:55" ht="15.75" customHeight="1">
      <c r="S619" s="454"/>
      <c r="AN619" s="458"/>
      <c r="BA619" s="1305"/>
      <c r="BC619" s="169"/>
    </row>
    <row r="620" spans="19:55" ht="15.75" customHeight="1">
      <c r="S620" s="454"/>
      <c r="AN620" s="458"/>
      <c r="BA620" s="1305"/>
      <c r="BC620" s="169"/>
    </row>
    <row r="621" spans="19:55" ht="15.75" customHeight="1">
      <c r="S621" s="454"/>
      <c r="AN621" s="458"/>
      <c r="BA621" s="1305"/>
      <c r="BC621" s="169"/>
    </row>
    <row r="622" spans="19:55" ht="15.75" customHeight="1">
      <c r="S622" s="454"/>
      <c r="AN622" s="458"/>
      <c r="BA622" s="1305"/>
      <c r="BC622" s="169"/>
    </row>
    <row r="623" spans="19:55" ht="15.75" customHeight="1">
      <c r="S623" s="454"/>
      <c r="AN623" s="458"/>
      <c r="BA623" s="1305"/>
      <c r="BC623" s="169"/>
    </row>
    <row r="624" spans="19:55" ht="15.75" customHeight="1">
      <c r="S624" s="454"/>
      <c r="AN624" s="458"/>
      <c r="BA624" s="1305"/>
      <c r="BC624" s="169"/>
    </row>
    <row r="625" spans="19:55" ht="15.75" customHeight="1">
      <c r="S625" s="454"/>
      <c r="AN625" s="458"/>
      <c r="BA625" s="1305"/>
      <c r="BC625" s="169"/>
    </row>
    <row r="626" spans="19:55" ht="15.75" customHeight="1">
      <c r="S626" s="454"/>
      <c r="AN626" s="458"/>
      <c r="BA626" s="1305"/>
      <c r="BC626" s="169"/>
    </row>
    <row r="627" spans="19:55" ht="15.75" customHeight="1">
      <c r="S627" s="454"/>
      <c r="AN627" s="458"/>
      <c r="BA627" s="1305"/>
      <c r="BC627" s="169"/>
    </row>
    <row r="628" spans="19:55" ht="15.75" customHeight="1">
      <c r="S628" s="454"/>
      <c r="AN628" s="458"/>
      <c r="BA628" s="1305"/>
      <c r="BC628" s="169"/>
    </row>
    <row r="629" spans="19:55" ht="15.75" customHeight="1">
      <c r="S629" s="454"/>
      <c r="AN629" s="458"/>
      <c r="BA629" s="1305"/>
      <c r="BC629" s="169"/>
    </row>
    <row r="630" spans="19:55" ht="15.75" customHeight="1">
      <c r="S630" s="454"/>
      <c r="AN630" s="458"/>
      <c r="BA630" s="1305"/>
      <c r="BC630" s="169"/>
    </row>
    <row r="631" spans="19:55" ht="15.75" customHeight="1">
      <c r="S631" s="454"/>
      <c r="AN631" s="458"/>
      <c r="BA631" s="1305"/>
      <c r="BC631" s="169"/>
    </row>
    <row r="632" spans="19:55" ht="15.75" customHeight="1">
      <c r="S632" s="454"/>
      <c r="AN632" s="458"/>
      <c r="BA632" s="1305"/>
      <c r="BC632" s="169"/>
    </row>
    <row r="633" spans="19:55" ht="15.75" customHeight="1">
      <c r="S633" s="454"/>
      <c r="AN633" s="458"/>
      <c r="BA633" s="1305"/>
      <c r="BC633" s="169"/>
    </row>
    <row r="634" spans="19:55" ht="15.75" customHeight="1">
      <c r="S634" s="454"/>
      <c r="AN634" s="458"/>
      <c r="BA634" s="1305"/>
      <c r="BC634" s="169"/>
    </row>
    <row r="635" spans="19:55" ht="15.75" customHeight="1">
      <c r="S635" s="454"/>
      <c r="AN635" s="458"/>
      <c r="BA635" s="1305"/>
      <c r="BC635" s="169"/>
    </row>
    <row r="636" spans="19:55" ht="15.75" customHeight="1">
      <c r="S636" s="454"/>
      <c r="AN636" s="458"/>
      <c r="BA636" s="1305"/>
      <c r="BC636" s="169"/>
    </row>
    <row r="637" spans="19:55" ht="15.75" customHeight="1">
      <c r="S637" s="454"/>
      <c r="AN637" s="458"/>
      <c r="BA637" s="1305"/>
      <c r="BC637" s="169"/>
    </row>
    <row r="638" spans="19:55" ht="15.75" customHeight="1">
      <c r="S638" s="454"/>
      <c r="AN638" s="458"/>
      <c r="BA638" s="1305"/>
      <c r="BC638" s="169"/>
    </row>
    <row r="639" spans="19:55" ht="15.75" customHeight="1">
      <c r="S639" s="454"/>
      <c r="AN639" s="458"/>
      <c r="BA639" s="1305"/>
      <c r="BC639" s="169"/>
    </row>
    <row r="640" spans="19:55" ht="15.75" customHeight="1">
      <c r="S640" s="454"/>
      <c r="AN640" s="458"/>
      <c r="BA640" s="1305"/>
      <c r="BC640" s="169"/>
    </row>
    <row r="641" spans="19:55" ht="15.75" customHeight="1">
      <c r="S641" s="454"/>
      <c r="AN641" s="458"/>
      <c r="BA641" s="1305"/>
      <c r="BC641" s="169"/>
    </row>
    <row r="642" spans="19:55" ht="15.75" customHeight="1">
      <c r="S642" s="454"/>
      <c r="AN642" s="458"/>
      <c r="BA642" s="1305"/>
      <c r="BC642" s="169"/>
    </row>
    <row r="643" spans="19:55" ht="15.75" customHeight="1">
      <c r="S643" s="454"/>
      <c r="AN643" s="458"/>
      <c r="BA643" s="1305"/>
      <c r="BC643" s="169"/>
    </row>
    <row r="644" spans="19:55" ht="15.75" customHeight="1">
      <c r="S644" s="454"/>
      <c r="AN644" s="458"/>
      <c r="BA644" s="1305"/>
      <c r="BC644" s="169"/>
    </row>
    <row r="645" spans="19:55" ht="15.75" customHeight="1">
      <c r="S645" s="454"/>
      <c r="AN645" s="458"/>
      <c r="BA645" s="1305"/>
      <c r="BC645" s="169"/>
    </row>
    <row r="646" spans="19:55" ht="15.75" customHeight="1">
      <c r="S646" s="454"/>
      <c r="AN646" s="458"/>
      <c r="BA646" s="1305"/>
      <c r="BC646" s="169"/>
    </row>
    <row r="647" spans="19:55" ht="15.75" customHeight="1">
      <c r="S647" s="454"/>
      <c r="AN647" s="458"/>
      <c r="BA647" s="1305"/>
      <c r="BC647" s="169"/>
    </row>
    <row r="648" spans="19:55" ht="15.75" customHeight="1">
      <c r="S648" s="454"/>
      <c r="AN648" s="458"/>
      <c r="BA648" s="1305"/>
      <c r="BC648" s="169"/>
    </row>
    <row r="649" spans="19:55" ht="15.75" customHeight="1">
      <c r="S649" s="454"/>
      <c r="AN649" s="458"/>
      <c r="BA649" s="1305"/>
      <c r="BC649" s="169"/>
    </row>
    <row r="650" spans="19:55" ht="15.75" customHeight="1">
      <c r="S650" s="454"/>
      <c r="AN650" s="458"/>
      <c r="BA650" s="1305"/>
      <c r="BC650" s="169"/>
    </row>
    <row r="651" spans="19:55" ht="15.75" customHeight="1">
      <c r="S651" s="454"/>
      <c r="AN651" s="458"/>
      <c r="BA651" s="1305"/>
      <c r="BC651" s="169"/>
    </row>
    <row r="652" spans="19:55" ht="15.75" customHeight="1">
      <c r="S652" s="454"/>
      <c r="AN652" s="458"/>
      <c r="BA652" s="1305"/>
      <c r="BC652" s="169"/>
    </row>
    <row r="653" spans="19:55" ht="15.75" customHeight="1">
      <c r="S653" s="454"/>
      <c r="AN653" s="458"/>
      <c r="BA653" s="1305"/>
      <c r="BC653" s="169"/>
    </row>
    <row r="654" spans="19:55" ht="15.75" customHeight="1">
      <c r="S654" s="454"/>
      <c r="AN654" s="458"/>
      <c r="BA654" s="1305"/>
      <c r="BC654" s="169"/>
    </row>
    <row r="655" spans="19:55" ht="15.75" customHeight="1">
      <c r="S655" s="454"/>
      <c r="AN655" s="458"/>
      <c r="BA655" s="1305"/>
      <c r="BC655" s="169"/>
    </row>
    <row r="656" spans="19:55" ht="15.75" customHeight="1">
      <c r="S656" s="454"/>
      <c r="AN656" s="458"/>
      <c r="BA656" s="1305"/>
      <c r="BC656" s="169"/>
    </row>
    <row r="657" spans="19:55" ht="15.75" customHeight="1">
      <c r="S657" s="454"/>
      <c r="AN657" s="458"/>
      <c r="BA657" s="1305"/>
      <c r="BC657" s="169"/>
    </row>
    <row r="658" spans="19:55" ht="15.75" customHeight="1">
      <c r="S658" s="454"/>
      <c r="AN658" s="458"/>
      <c r="BA658" s="1305"/>
      <c r="BC658" s="169"/>
    </row>
    <row r="659" spans="19:55" ht="15.75" customHeight="1">
      <c r="S659" s="454"/>
      <c r="AN659" s="458"/>
      <c r="BA659" s="1305"/>
      <c r="BC659" s="169"/>
    </row>
    <row r="660" spans="19:55" ht="15.75" customHeight="1">
      <c r="S660" s="454"/>
      <c r="AN660" s="458"/>
      <c r="BA660" s="1305"/>
      <c r="BC660" s="169"/>
    </row>
    <row r="661" spans="19:55" ht="15.75" customHeight="1">
      <c r="S661" s="454"/>
      <c r="AN661" s="458"/>
      <c r="BA661" s="1305"/>
      <c r="BC661" s="169"/>
    </row>
    <row r="662" spans="19:55" ht="15.75" customHeight="1">
      <c r="S662" s="454"/>
      <c r="AN662" s="458"/>
      <c r="BA662" s="1305"/>
      <c r="BC662" s="169"/>
    </row>
    <row r="663" spans="19:55" ht="15.75" customHeight="1">
      <c r="S663" s="454"/>
      <c r="AN663" s="458"/>
      <c r="BA663" s="1305"/>
      <c r="BC663" s="169"/>
    </row>
    <row r="664" spans="19:55" ht="15.75" customHeight="1">
      <c r="S664" s="454"/>
      <c r="AN664" s="458"/>
      <c r="BA664" s="1305"/>
      <c r="BC664" s="169"/>
    </row>
    <row r="665" spans="19:55" ht="15.75" customHeight="1">
      <c r="S665" s="454"/>
      <c r="AN665" s="458"/>
      <c r="BA665" s="1305"/>
      <c r="BC665" s="169"/>
    </row>
    <row r="666" spans="19:55" ht="15.75" customHeight="1">
      <c r="S666" s="454"/>
      <c r="AN666" s="458"/>
      <c r="BA666" s="1305"/>
      <c r="BC666" s="169"/>
    </row>
    <row r="667" spans="19:55" ht="15.75" customHeight="1">
      <c r="S667" s="454"/>
      <c r="AN667" s="458"/>
      <c r="BA667" s="1305"/>
      <c r="BC667" s="169"/>
    </row>
    <row r="668" spans="19:55" ht="15.75" customHeight="1">
      <c r="S668" s="454"/>
      <c r="AN668" s="458"/>
      <c r="BA668" s="1305"/>
      <c r="BC668" s="169"/>
    </row>
    <row r="669" spans="19:55" ht="15.75" customHeight="1">
      <c r="S669" s="454"/>
      <c r="AN669" s="458"/>
      <c r="BA669" s="1305"/>
      <c r="BC669" s="169"/>
    </row>
    <row r="670" spans="19:55" ht="15.75" customHeight="1">
      <c r="S670" s="454"/>
      <c r="AN670" s="458"/>
      <c r="BA670" s="1305"/>
      <c r="BC670" s="169"/>
    </row>
    <row r="671" spans="19:55" ht="15.75" customHeight="1">
      <c r="S671" s="454"/>
      <c r="AN671" s="458"/>
      <c r="BA671" s="1305"/>
      <c r="BC671" s="169"/>
    </row>
    <row r="672" spans="19:55" ht="15.75" customHeight="1">
      <c r="S672" s="454"/>
      <c r="AN672" s="458"/>
      <c r="BA672" s="1305"/>
      <c r="BC672" s="169"/>
    </row>
    <row r="673" spans="19:55" ht="15.75" customHeight="1">
      <c r="S673" s="454"/>
      <c r="AN673" s="458"/>
      <c r="BA673" s="1305"/>
      <c r="BC673" s="169"/>
    </row>
    <row r="674" spans="19:55" ht="15.75" customHeight="1">
      <c r="S674" s="454"/>
      <c r="AN674" s="458"/>
      <c r="BA674" s="1305"/>
      <c r="BC674" s="169"/>
    </row>
    <row r="675" spans="19:55" ht="15.75" customHeight="1">
      <c r="S675" s="454"/>
      <c r="AN675" s="458"/>
      <c r="BA675" s="1305"/>
      <c r="BC675" s="169"/>
    </row>
    <row r="676" spans="19:55" ht="15.75" customHeight="1">
      <c r="S676" s="454"/>
      <c r="AN676" s="458"/>
      <c r="BA676" s="1305"/>
      <c r="BC676" s="169"/>
    </row>
    <row r="677" spans="19:55" ht="15.75" customHeight="1">
      <c r="S677" s="454"/>
      <c r="AN677" s="458"/>
      <c r="BA677" s="1305"/>
      <c r="BC677" s="169"/>
    </row>
    <row r="678" spans="19:55" ht="15.75" customHeight="1">
      <c r="S678" s="454"/>
      <c r="AN678" s="458"/>
      <c r="BA678" s="1305"/>
      <c r="BC678" s="169"/>
    </row>
    <row r="679" spans="19:55" ht="15.75" customHeight="1">
      <c r="S679" s="454"/>
      <c r="AN679" s="458"/>
      <c r="BA679" s="1305"/>
      <c r="BC679" s="169"/>
    </row>
    <row r="680" spans="19:55" ht="15.75" customHeight="1">
      <c r="S680" s="454"/>
      <c r="AN680" s="458"/>
      <c r="BA680" s="1305"/>
      <c r="BC680" s="169"/>
    </row>
    <row r="681" spans="19:55" ht="15.75" customHeight="1">
      <c r="S681" s="454"/>
      <c r="AN681" s="458"/>
      <c r="BA681" s="1305"/>
      <c r="BC681" s="169"/>
    </row>
    <row r="682" spans="19:55" ht="15.75" customHeight="1">
      <c r="S682" s="454"/>
      <c r="AN682" s="458"/>
      <c r="BA682" s="1305"/>
      <c r="BC682" s="169"/>
    </row>
    <row r="683" spans="19:55" ht="15.75" customHeight="1">
      <c r="S683" s="454"/>
      <c r="AN683" s="458"/>
      <c r="BA683" s="1305"/>
      <c r="BC683" s="169"/>
    </row>
    <row r="684" spans="19:55" ht="15.75" customHeight="1">
      <c r="S684" s="454"/>
      <c r="AN684" s="458"/>
      <c r="BA684" s="1305"/>
      <c r="BC684" s="169"/>
    </row>
    <row r="685" spans="19:55" ht="15.75" customHeight="1">
      <c r="S685" s="454"/>
      <c r="AN685" s="458"/>
      <c r="BA685" s="1305"/>
      <c r="BC685" s="169"/>
    </row>
    <row r="686" spans="19:55" ht="15.75" customHeight="1">
      <c r="S686" s="454"/>
      <c r="AN686" s="458"/>
      <c r="BA686" s="1305"/>
      <c r="BC686" s="169"/>
    </row>
    <row r="687" spans="19:55" ht="15.75" customHeight="1">
      <c r="S687" s="454"/>
      <c r="AN687" s="458"/>
      <c r="BA687" s="1305"/>
      <c r="BC687" s="169"/>
    </row>
    <row r="688" spans="19:55" ht="15.75" customHeight="1">
      <c r="S688" s="454"/>
      <c r="AN688" s="458"/>
      <c r="BA688" s="1305"/>
      <c r="BC688" s="169"/>
    </row>
    <row r="689" spans="19:55" ht="15.75" customHeight="1">
      <c r="S689" s="454"/>
      <c r="AN689" s="458"/>
      <c r="BA689" s="1305"/>
      <c r="BC689" s="169"/>
    </row>
    <row r="690" spans="19:55" ht="15.75" customHeight="1">
      <c r="S690" s="454"/>
      <c r="AN690" s="458"/>
      <c r="BA690" s="1305"/>
      <c r="BC690" s="169"/>
    </row>
    <row r="691" spans="19:55" ht="15.75" customHeight="1">
      <c r="S691" s="454"/>
      <c r="AN691" s="458"/>
      <c r="BA691" s="1305"/>
      <c r="BC691" s="169"/>
    </row>
    <row r="692" spans="19:55" ht="15.75" customHeight="1">
      <c r="S692" s="454"/>
      <c r="AN692" s="458"/>
      <c r="BA692" s="1305"/>
      <c r="BC692" s="169"/>
    </row>
    <row r="693" spans="19:55" ht="15.75" customHeight="1">
      <c r="S693" s="454"/>
      <c r="AN693" s="458"/>
      <c r="BA693" s="1305"/>
      <c r="BC693" s="169"/>
    </row>
    <row r="694" spans="19:55" ht="15.75" customHeight="1">
      <c r="S694" s="454"/>
      <c r="AN694" s="458"/>
      <c r="BA694" s="1305"/>
      <c r="BC694" s="169"/>
    </row>
    <row r="695" spans="19:55" ht="15.75" customHeight="1">
      <c r="S695" s="454"/>
      <c r="AN695" s="458"/>
      <c r="BA695" s="1305"/>
      <c r="BC695" s="169"/>
    </row>
    <row r="696" spans="19:55" ht="15.75" customHeight="1">
      <c r="S696" s="454"/>
      <c r="AN696" s="458"/>
      <c r="BA696" s="1305"/>
      <c r="BC696" s="169"/>
    </row>
    <row r="697" spans="19:55" ht="15.75" customHeight="1">
      <c r="S697" s="454"/>
      <c r="AN697" s="458"/>
      <c r="BA697" s="1305"/>
      <c r="BC697" s="169"/>
    </row>
    <row r="698" spans="19:55" ht="15.75" customHeight="1">
      <c r="S698" s="454"/>
      <c r="AN698" s="458"/>
      <c r="BA698" s="1305"/>
      <c r="BC698" s="169"/>
    </row>
    <row r="699" spans="19:55" ht="15.75" customHeight="1">
      <c r="S699" s="454"/>
      <c r="AN699" s="458"/>
      <c r="BA699" s="1305"/>
      <c r="BC699" s="169"/>
    </row>
    <row r="700" spans="19:55" ht="15.75" customHeight="1">
      <c r="S700" s="454"/>
      <c r="AN700" s="458"/>
      <c r="BA700" s="1305"/>
      <c r="BC700" s="169"/>
    </row>
    <row r="701" spans="19:55" ht="15.75" customHeight="1">
      <c r="S701" s="454"/>
      <c r="AN701" s="458"/>
      <c r="BA701" s="1305"/>
      <c r="BC701" s="169"/>
    </row>
    <row r="702" spans="19:55" ht="15.75" customHeight="1">
      <c r="S702" s="454"/>
      <c r="AN702" s="458"/>
      <c r="BA702" s="1305"/>
      <c r="BC702" s="169"/>
    </row>
    <row r="703" spans="19:55" ht="15.75" customHeight="1">
      <c r="S703" s="454"/>
      <c r="AN703" s="458"/>
      <c r="BA703" s="1305"/>
      <c r="BC703" s="169"/>
    </row>
    <row r="704" spans="19:55" ht="15.75" customHeight="1">
      <c r="S704" s="454"/>
      <c r="AN704" s="458"/>
      <c r="BA704" s="1305"/>
      <c r="BC704" s="169"/>
    </row>
    <row r="705" spans="19:55" ht="15.75" customHeight="1">
      <c r="S705" s="454"/>
      <c r="AN705" s="458"/>
      <c r="BA705" s="1305"/>
      <c r="BC705" s="169"/>
    </row>
    <row r="706" spans="19:55" ht="15.75" customHeight="1">
      <c r="S706" s="454"/>
      <c r="AN706" s="458"/>
      <c r="BA706" s="1305"/>
      <c r="BC706" s="169"/>
    </row>
    <row r="707" spans="19:55" ht="15.75" customHeight="1">
      <c r="S707" s="454"/>
      <c r="AN707" s="458"/>
      <c r="BA707" s="1305"/>
      <c r="BC707" s="169"/>
    </row>
    <row r="708" spans="19:55" ht="15.75" customHeight="1">
      <c r="S708" s="454"/>
      <c r="AN708" s="458"/>
      <c r="BA708" s="1305"/>
      <c r="BC708" s="169"/>
    </row>
    <row r="709" spans="19:55" ht="15.75" customHeight="1">
      <c r="S709" s="454"/>
      <c r="AN709" s="458"/>
      <c r="BA709" s="1305"/>
      <c r="BC709" s="169"/>
    </row>
    <row r="710" spans="19:55" ht="15.75" customHeight="1">
      <c r="S710" s="454"/>
      <c r="AN710" s="458"/>
      <c r="BA710" s="1305"/>
      <c r="BC710" s="169"/>
    </row>
    <row r="711" spans="19:55" ht="15.75" customHeight="1">
      <c r="S711" s="454"/>
      <c r="AN711" s="458"/>
      <c r="BA711" s="1305"/>
      <c r="BC711" s="169"/>
    </row>
    <row r="712" spans="19:55" ht="15.75" customHeight="1">
      <c r="S712" s="454"/>
      <c r="AN712" s="458"/>
      <c r="BA712" s="1305"/>
      <c r="BC712" s="169"/>
    </row>
    <row r="713" spans="19:55" ht="15.75" customHeight="1">
      <c r="S713" s="454"/>
      <c r="AN713" s="458"/>
      <c r="BA713" s="1305"/>
      <c r="BC713" s="169"/>
    </row>
    <row r="714" spans="19:55" ht="15.75" customHeight="1">
      <c r="S714" s="454"/>
      <c r="AN714" s="458"/>
      <c r="BA714" s="1305"/>
      <c r="BC714" s="169"/>
    </row>
    <row r="715" spans="19:55" ht="15.75" customHeight="1">
      <c r="S715" s="454"/>
      <c r="AN715" s="458"/>
      <c r="BA715" s="1305"/>
      <c r="BC715" s="169"/>
    </row>
    <row r="716" spans="19:55" ht="15.75" customHeight="1">
      <c r="S716" s="454"/>
      <c r="AN716" s="458"/>
      <c r="BA716" s="1305"/>
      <c r="BC716" s="169"/>
    </row>
    <row r="717" spans="19:55" ht="15.75" customHeight="1">
      <c r="S717" s="454"/>
      <c r="AN717" s="458"/>
      <c r="BA717" s="1305"/>
      <c r="BC717" s="169"/>
    </row>
    <row r="718" spans="19:55" ht="15.75" customHeight="1">
      <c r="S718" s="454"/>
      <c r="AN718" s="458"/>
      <c r="BA718" s="1305"/>
      <c r="BC718" s="169"/>
    </row>
    <row r="719" spans="19:55" ht="15.75" customHeight="1">
      <c r="S719" s="454"/>
      <c r="AN719" s="458"/>
      <c r="BA719" s="1305"/>
      <c r="BC719" s="169"/>
    </row>
    <row r="720" spans="19:55" ht="15.75" customHeight="1">
      <c r="S720" s="454"/>
      <c r="AN720" s="458"/>
      <c r="BA720" s="1305"/>
      <c r="BC720" s="169"/>
    </row>
    <row r="721" spans="19:55" ht="15.75" customHeight="1">
      <c r="S721" s="454"/>
      <c r="AN721" s="458"/>
      <c r="BA721" s="1305"/>
      <c r="BC721" s="169"/>
    </row>
    <row r="722" spans="19:55" ht="15.75" customHeight="1">
      <c r="S722" s="454"/>
      <c r="AN722" s="458"/>
      <c r="BA722" s="1305"/>
      <c r="BC722" s="169"/>
    </row>
    <row r="723" spans="19:55" ht="15.75" customHeight="1">
      <c r="S723" s="454"/>
      <c r="AN723" s="458"/>
      <c r="BA723" s="1305"/>
      <c r="BC723" s="169"/>
    </row>
    <row r="724" spans="19:55" ht="15.75" customHeight="1">
      <c r="S724" s="454"/>
      <c r="AN724" s="458"/>
      <c r="BA724" s="1305"/>
      <c r="BC724" s="169"/>
    </row>
    <row r="725" spans="19:55" ht="15.75" customHeight="1">
      <c r="S725" s="454"/>
      <c r="AN725" s="458"/>
      <c r="BA725" s="1305"/>
      <c r="BC725" s="169"/>
    </row>
    <row r="726" spans="19:55" ht="15.75" customHeight="1">
      <c r="S726" s="454"/>
      <c r="AN726" s="458"/>
      <c r="BA726" s="1305"/>
      <c r="BC726" s="169"/>
    </row>
    <row r="727" spans="19:55" ht="15.75" customHeight="1">
      <c r="S727" s="454"/>
      <c r="AN727" s="458"/>
      <c r="BA727" s="1305"/>
      <c r="BC727" s="169"/>
    </row>
    <row r="728" spans="19:55" ht="15.75" customHeight="1">
      <c r="S728" s="454"/>
      <c r="AN728" s="458"/>
      <c r="BA728" s="1305"/>
      <c r="BC728" s="169"/>
    </row>
    <row r="729" spans="19:55" ht="15.75" customHeight="1">
      <c r="S729" s="454"/>
      <c r="AN729" s="458"/>
      <c r="BA729" s="1305"/>
      <c r="BC729" s="169"/>
    </row>
    <row r="730" spans="19:55" ht="15.75" customHeight="1">
      <c r="S730" s="454"/>
      <c r="AN730" s="458"/>
      <c r="BA730" s="1305"/>
      <c r="BC730" s="169"/>
    </row>
    <row r="731" spans="19:55" ht="15.75" customHeight="1">
      <c r="S731" s="454"/>
      <c r="AN731" s="458"/>
      <c r="BA731" s="1305"/>
      <c r="BC731" s="169"/>
    </row>
    <row r="732" spans="19:55" ht="15.75" customHeight="1">
      <c r="S732" s="454"/>
      <c r="AN732" s="458"/>
      <c r="BA732" s="1305"/>
      <c r="BC732" s="169"/>
    </row>
    <row r="733" spans="19:55" ht="15.75" customHeight="1">
      <c r="S733" s="454"/>
      <c r="AN733" s="458"/>
      <c r="BA733" s="1305"/>
      <c r="BC733" s="169"/>
    </row>
    <row r="734" spans="19:55" ht="15.75" customHeight="1">
      <c r="S734" s="454"/>
      <c r="AN734" s="458"/>
      <c r="BA734" s="1305"/>
      <c r="BC734" s="169"/>
    </row>
    <row r="735" spans="19:55" ht="15.75" customHeight="1">
      <c r="S735" s="454"/>
      <c r="AN735" s="458"/>
      <c r="BA735" s="1305"/>
      <c r="BC735" s="169"/>
    </row>
    <row r="736" spans="19:55" ht="15.75" customHeight="1">
      <c r="S736" s="454"/>
      <c r="AN736" s="458"/>
      <c r="BA736" s="1305"/>
      <c r="BC736" s="169"/>
    </row>
    <row r="737" spans="19:55" ht="15.75" customHeight="1">
      <c r="S737" s="454"/>
      <c r="AN737" s="458"/>
      <c r="BA737" s="1305"/>
      <c r="BC737" s="169"/>
    </row>
    <row r="738" spans="19:55" ht="15.75" customHeight="1">
      <c r="S738" s="454"/>
      <c r="AN738" s="458"/>
      <c r="BA738" s="1305"/>
      <c r="BC738" s="169"/>
    </row>
    <row r="739" spans="19:55" ht="15.75" customHeight="1">
      <c r="S739" s="454"/>
      <c r="AN739" s="458"/>
      <c r="BA739" s="1305"/>
      <c r="BC739" s="169"/>
    </row>
    <row r="740" spans="19:55" ht="15.75" customHeight="1">
      <c r="S740" s="454"/>
      <c r="AN740" s="458"/>
      <c r="BA740" s="1305"/>
      <c r="BC740" s="169"/>
    </row>
    <row r="741" spans="19:55" ht="15.75" customHeight="1">
      <c r="S741" s="454"/>
      <c r="AN741" s="458"/>
      <c r="BA741" s="1305"/>
      <c r="BC741" s="169"/>
    </row>
    <row r="742" spans="19:55" ht="15.75" customHeight="1">
      <c r="S742" s="454"/>
      <c r="AN742" s="458"/>
      <c r="BA742" s="1305"/>
      <c r="BC742" s="169"/>
    </row>
    <row r="743" spans="19:55" ht="15.75" customHeight="1">
      <c r="S743" s="454"/>
      <c r="AN743" s="458"/>
      <c r="BA743" s="1305"/>
      <c r="BC743" s="169"/>
    </row>
    <row r="744" spans="19:55" ht="15.75" customHeight="1">
      <c r="S744" s="454"/>
      <c r="AN744" s="458"/>
      <c r="BA744" s="1305"/>
      <c r="BC744" s="169"/>
    </row>
    <row r="745" spans="19:55" ht="15.75" customHeight="1">
      <c r="S745" s="454"/>
      <c r="AN745" s="458"/>
      <c r="BA745" s="1305"/>
      <c r="BC745" s="169"/>
    </row>
    <row r="746" spans="19:55" ht="15.75" customHeight="1">
      <c r="S746" s="454"/>
      <c r="AN746" s="458"/>
      <c r="BA746" s="1305"/>
      <c r="BC746" s="169"/>
    </row>
    <row r="747" spans="19:55" ht="15.75" customHeight="1">
      <c r="S747" s="454"/>
      <c r="AN747" s="458"/>
      <c r="BA747" s="1305"/>
      <c r="BC747" s="169"/>
    </row>
    <row r="748" spans="19:55" ht="15.75" customHeight="1">
      <c r="S748" s="454"/>
      <c r="AN748" s="458"/>
      <c r="BA748" s="1305"/>
      <c r="BC748" s="169"/>
    </row>
    <row r="749" spans="19:55" ht="15.75" customHeight="1">
      <c r="S749" s="454"/>
      <c r="AN749" s="458"/>
      <c r="BA749" s="1305"/>
      <c r="BC749" s="169"/>
    </row>
    <row r="750" spans="19:55" ht="15.75" customHeight="1">
      <c r="S750" s="454"/>
      <c r="AN750" s="458"/>
      <c r="BA750" s="1305"/>
      <c r="BC750" s="169"/>
    </row>
    <row r="751" spans="19:55" ht="15.75" customHeight="1">
      <c r="S751" s="454"/>
      <c r="AN751" s="458"/>
      <c r="BA751" s="1305"/>
      <c r="BC751" s="169"/>
    </row>
    <row r="752" spans="19:55" ht="15.75" customHeight="1">
      <c r="S752" s="454"/>
      <c r="AN752" s="458"/>
      <c r="BA752" s="1305"/>
      <c r="BC752" s="169"/>
    </row>
    <row r="753" spans="19:55" ht="15.75" customHeight="1">
      <c r="S753" s="454"/>
      <c r="AN753" s="458"/>
      <c r="BA753" s="1305"/>
      <c r="BC753" s="169"/>
    </row>
    <row r="754" spans="19:55" ht="15.75" customHeight="1">
      <c r="S754" s="454"/>
      <c r="AN754" s="458"/>
      <c r="BA754" s="1305"/>
      <c r="BC754" s="169"/>
    </row>
    <row r="755" spans="19:55" ht="15.75" customHeight="1">
      <c r="S755" s="454"/>
      <c r="AN755" s="458"/>
      <c r="BA755" s="1305"/>
      <c r="BC755" s="169"/>
    </row>
    <row r="756" spans="19:55" ht="15.75" customHeight="1">
      <c r="S756" s="454"/>
      <c r="AN756" s="458"/>
      <c r="BA756" s="1305"/>
      <c r="BC756" s="169"/>
    </row>
    <row r="757" spans="19:55" ht="15.75" customHeight="1">
      <c r="S757" s="454"/>
      <c r="AN757" s="458"/>
      <c r="BA757" s="1305"/>
      <c r="BC757" s="169"/>
    </row>
    <row r="758" spans="19:55" ht="15.75" customHeight="1">
      <c r="S758" s="454"/>
      <c r="AN758" s="458"/>
      <c r="BA758" s="1305"/>
      <c r="BC758" s="169"/>
    </row>
    <row r="759" spans="19:55" ht="15.75" customHeight="1">
      <c r="S759" s="454"/>
      <c r="AN759" s="458"/>
      <c r="BA759" s="1305"/>
      <c r="BC759" s="169"/>
    </row>
    <row r="760" spans="19:55" ht="15.75" customHeight="1">
      <c r="S760" s="454"/>
      <c r="AN760" s="458"/>
      <c r="BA760" s="1305"/>
      <c r="BC760" s="169"/>
    </row>
    <row r="761" spans="19:55" ht="15.75" customHeight="1">
      <c r="S761" s="454"/>
      <c r="AN761" s="458"/>
      <c r="BA761" s="1305"/>
      <c r="BC761" s="169"/>
    </row>
    <row r="762" spans="19:55" ht="15.75" customHeight="1">
      <c r="S762" s="454"/>
      <c r="AN762" s="458"/>
      <c r="BA762" s="1305"/>
      <c r="BC762" s="169"/>
    </row>
    <row r="763" spans="19:55" ht="15.75" customHeight="1">
      <c r="S763" s="454"/>
      <c r="AN763" s="458"/>
      <c r="BA763" s="1305"/>
      <c r="BC763" s="169"/>
    </row>
    <row r="764" spans="19:55" ht="15.75" customHeight="1">
      <c r="S764" s="454"/>
      <c r="AN764" s="458"/>
      <c r="BA764" s="1305"/>
      <c r="BC764" s="169"/>
    </row>
    <row r="765" spans="19:55" ht="15.75" customHeight="1">
      <c r="S765" s="454"/>
      <c r="AN765" s="458"/>
      <c r="BA765" s="1305"/>
      <c r="BC765" s="169"/>
    </row>
    <row r="766" spans="19:55" ht="15.75" customHeight="1">
      <c r="S766" s="454"/>
      <c r="AN766" s="458"/>
      <c r="BA766" s="1305"/>
      <c r="BC766" s="169"/>
    </row>
    <row r="767" spans="19:55" ht="15.75" customHeight="1">
      <c r="S767" s="454"/>
      <c r="AN767" s="458"/>
      <c r="BA767" s="1305"/>
      <c r="BC767" s="169"/>
    </row>
    <row r="768" spans="19:55" ht="15.75" customHeight="1">
      <c r="S768" s="454"/>
      <c r="AN768" s="458"/>
      <c r="BA768" s="1305"/>
      <c r="BC768" s="169"/>
    </row>
    <row r="769" spans="19:55" ht="15.75" customHeight="1">
      <c r="S769" s="454"/>
      <c r="AN769" s="458"/>
      <c r="BA769" s="1305"/>
      <c r="BC769" s="169"/>
    </row>
    <row r="770" spans="19:55" ht="15.75" customHeight="1">
      <c r="S770" s="454"/>
      <c r="AN770" s="458"/>
      <c r="BA770" s="1305"/>
      <c r="BC770" s="169"/>
    </row>
    <row r="771" spans="19:55" ht="15.75" customHeight="1">
      <c r="S771" s="454"/>
      <c r="AN771" s="458"/>
      <c r="BA771" s="1305"/>
      <c r="BC771" s="169"/>
    </row>
    <row r="772" spans="19:55" ht="15.75" customHeight="1">
      <c r="S772" s="454"/>
      <c r="AN772" s="458"/>
      <c r="BA772" s="1305"/>
      <c r="BC772" s="169"/>
    </row>
    <row r="773" spans="19:55" ht="15.75" customHeight="1">
      <c r="S773" s="454"/>
      <c r="AN773" s="458"/>
      <c r="BA773" s="1305"/>
      <c r="BC773" s="169"/>
    </row>
    <row r="774" spans="19:55" ht="15.75" customHeight="1">
      <c r="S774" s="454"/>
      <c r="AN774" s="458"/>
      <c r="BA774" s="1305"/>
      <c r="BC774" s="169"/>
    </row>
    <row r="775" spans="19:55" ht="15.75" customHeight="1">
      <c r="S775" s="454"/>
      <c r="AN775" s="458"/>
      <c r="BA775" s="1305"/>
      <c r="BC775" s="169"/>
    </row>
    <row r="776" spans="19:55" ht="15.75" customHeight="1">
      <c r="S776" s="454"/>
      <c r="AN776" s="458"/>
      <c r="BA776" s="1305"/>
      <c r="BC776" s="169"/>
    </row>
    <row r="777" spans="19:55" ht="15.75" customHeight="1">
      <c r="S777" s="454"/>
      <c r="AN777" s="458"/>
      <c r="BA777" s="1305"/>
      <c r="BC777" s="169"/>
    </row>
    <row r="778" spans="19:55" ht="15.75" customHeight="1">
      <c r="S778" s="454"/>
      <c r="AN778" s="458"/>
      <c r="BA778" s="1305"/>
      <c r="BC778" s="169"/>
    </row>
    <row r="779" spans="19:55" ht="15.75" customHeight="1">
      <c r="S779" s="454"/>
      <c r="AN779" s="458"/>
      <c r="BA779" s="1305"/>
      <c r="BC779" s="169"/>
    </row>
    <row r="780" spans="19:55" ht="15.75" customHeight="1">
      <c r="S780" s="454"/>
      <c r="AN780" s="458"/>
      <c r="BA780" s="1305"/>
      <c r="BC780" s="169"/>
    </row>
    <row r="781" spans="19:55" ht="15.75" customHeight="1">
      <c r="S781" s="454"/>
      <c r="AN781" s="458"/>
      <c r="BA781" s="1305"/>
      <c r="BC781" s="169"/>
    </row>
    <row r="782" spans="19:55" ht="15.75" customHeight="1">
      <c r="S782" s="454"/>
      <c r="AN782" s="458"/>
      <c r="BA782" s="1305"/>
      <c r="BC782" s="169"/>
    </row>
    <row r="783" spans="19:55" ht="15.75" customHeight="1">
      <c r="S783" s="454"/>
      <c r="AN783" s="458"/>
      <c r="BA783" s="1305"/>
      <c r="BC783" s="169"/>
    </row>
    <row r="784" spans="19:55" ht="15.75" customHeight="1">
      <c r="S784" s="454"/>
      <c r="AN784" s="458"/>
      <c r="BA784" s="1305"/>
      <c r="BC784" s="169"/>
    </row>
    <row r="785" spans="19:55" ht="15.75" customHeight="1">
      <c r="S785" s="454"/>
      <c r="AN785" s="458"/>
      <c r="BA785" s="1305"/>
      <c r="BC785" s="169"/>
    </row>
    <row r="786" spans="19:55" ht="15.75" customHeight="1">
      <c r="S786" s="454"/>
      <c r="AN786" s="458"/>
      <c r="BA786" s="1305"/>
      <c r="BC786" s="169"/>
    </row>
    <row r="787" spans="19:55" ht="15.75" customHeight="1">
      <c r="S787" s="454"/>
      <c r="AN787" s="458"/>
      <c r="BA787" s="1305"/>
      <c r="BC787" s="169"/>
    </row>
    <row r="788" spans="19:55" ht="15.75" customHeight="1">
      <c r="S788" s="454"/>
      <c r="AN788" s="458"/>
      <c r="BA788" s="1305"/>
      <c r="BC788" s="169"/>
    </row>
    <row r="789" spans="19:55" ht="15.75" customHeight="1">
      <c r="S789" s="454"/>
      <c r="AN789" s="458"/>
      <c r="BA789" s="1305"/>
      <c r="BC789" s="169"/>
    </row>
    <row r="790" spans="19:55" ht="15.75" customHeight="1">
      <c r="S790" s="454"/>
      <c r="AN790" s="458"/>
      <c r="BA790" s="1305"/>
      <c r="BC790" s="169"/>
    </row>
    <row r="791" spans="19:55" ht="15.75" customHeight="1">
      <c r="S791" s="454"/>
      <c r="AN791" s="458"/>
      <c r="BA791" s="1305"/>
      <c r="BC791" s="169"/>
    </row>
    <row r="792" spans="19:55" ht="15.75" customHeight="1">
      <c r="S792" s="454"/>
      <c r="AN792" s="458"/>
      <c r="BA792" s="1305"/>
      <c r="BC792" s="169"/>
    </row>
    <row r="793" spans="19:55" ht="15.75" customHeight="1">
      <c r="S793" s="454"/>
      <c r="AN793" s="458"/>
      <c r="BA793" s="1305"/>
      <c r="BC793" s="169"/>
    </row>
    <row r="794" spans="19:55" ht="15.75" customHeight="1">
      <c r="S794" s="454"/>
      <c r="AN794" s="458"/>
      <c r="BA794" s="1305"/>
      <c r="BC794" s="169"/>
    </row>
    <row r="795" spans="19:55" ht="15.75" customHeight="1">
      <c r="S795" s="454"/>
      <c r="AN795" s="458"/>
      <c r="BA795" s="1305"/>
      <c r="BC795" s="169"/>
    </row>
    <row r="796" spans="19:55" ht="15.75" customHeight="1">
      <c r="S796" s="454"/>
      <c r="AN796" s="458"/>
      <c r="BA796" s="1305"/>
      <c r="BC796" s="169"/>
    </row>
    <row r="797" spans="19:55" ht="15.75" customHeight="1">
      <c r="S797" s="454"/>
      <c r="AN797" s="458"/>
      <c r="BA797" s="1305"/>
      <c r="BC797" s="169"/>
    </row>
    <row r="798" spans="19:55" ht="15.75" customHeight="1">
      <c r="S798" s="454"/>
      <c r="AN798" s="458"/>
      <c r="BA798" s="1305"/>
      <c r="BC798" s="169"/>
    </row>
    <row r="799" spans="19:55" ht="15.75" customHeight="1">
      <c r="S799" s="454"/>
      <c r="AN799" s="458"/>
      <c r="BA799" s="1305"/>
      <c r="BC799" s="169"/>
    </row>
    <row r="800" spans="19:55" ht="15.75" customHeight="1">
      <c r="S800" s="454"/>
      <c r="AN800" s="458"/>
      <c r="BA800" s="1305"/>
      <c r="BC800" s="169"/>
    </row>
    <row r="801" spans="19:55" ht="15.75" customHeight="1">
      <c r="S801" s="454"/>
      <c r="AN801" s="458"/>
      <c r="BA801" s="1305"/>
      <c r="BC801" s="169"/>
    </row>
    <row r="802" spans="19:55" ht="15.75" customHeight="1">
      <c r="S802" s="454"/>
      <c r="AN802" s="458"/>
      <c r="BA802" s="1305"/>
      <c r="BC802" s="169"/>
    </row>
    <row r="803" spans="19:55" ht="15.75" customHeight="1">
      <c r="S803" s="454"/>
      <c r="AN803" s="458"/>
      <c r="BA803" s="1305"/>
      <c r="BC803" s="169"/>
    </row>
    <row r="804" spans="19:55" ht="15.75" customHeight="1">
      <c r="S804" s="454"/>
      <c r="AN804" s="458"/>
      <c r="BA804" s="1305"/>
      <c r="BC804" s="169"/>
    </row>
    <row r="805" spans="19:55" ht="15.75" customHeight="1">
      <c r="S805" s="454"/>
      <c r="AN805" s="458"/>
      <c r="BA805" s="1305"/>
      <c r="BC805" s="169"/>
    </row>
    <row r="806" spans="19:55" ht="15.75" customHeight="1">
      <c r="S806" s="454"/>
      <c r="AN806" s="458"/>
      <c r="BA806" s="1305"/>
      <c r="BC806" s="169"/>
    </row>
    <row r="807" spans="19:55" ht="15.75" customHeight="1">
      <c r="S807" s="454"/>
      <c r="AN807" s="458"/>
      <c r="BA807" s="1305"/>
      <c r="BC807" s="169"/>
    </row>
    <row r="808" spans="19:55" ht="15.75" customHeight="1">
      <c r="S808" s="454"/>
      <c r="AN808" s="458"/>
      <c r="BA808" s="1305"/>
      <c r="BC808" s="169"/>
    </row>
    <row r="809" spans="19:55" ht="15.75" customHeight="1">
      <c r="S809" s="454"/>
      <c r="AN809" s="458"/>
      <c r="BA809" s="1305"/>
      <c r="BC809" s="169"/>
    </row>
    <row r="810" spans="19:55" ht="15.75" customHeight="1">
      <c r="S810" s="454"/>
      <c r="AN810" s="458"/>
      <c r="BA810" s="1305"/>
      <c r="BC810" s="169"/>
    </row>
    <row r="811" spans="19:55" ht="15.75" customHeight="1">
      <c r="S811" s="454"/>
      <c r="AN811" s="458"/>
      <c r="BA811" s="1305"/>
      <c r="BC811" s="169"/>
    </row>
    <row r="812" spans="19:55" ht="15.75" customHeight="1">
      <c r="S812" s="454"/>
      <c r="AN812" s="458"/>
      <c r="BA812" s="1305"/>
      <c r="BC812" s="169"/>
    </row>
    <row r="813" spans="19:55" ht="15.75" customHeight="1">
      <c r="S813" s="454"/>
      <c r="AN813" s="458"/>
      <c r="BA813" s="1305"/>
      <c r="BC813" s="169"/>
    </row>
    <row r="814" spans="19:55" ht="15.75" customHeight="1">
      <c r="S814" s="454"/>
      <c r="AN814" s="458"/>
      <c r="BA814" s="1305"/>
      <c r="BC814" s="169"/>
    </row>
    <row r="815" spans="19:55" ht="15.75" customHeight="1">
      <c r="S815" s="454"/>
      <c r="AN815" s="458"/>
      <c r="BA815" s="1305"/>
      <c r="BC815" s="169"/>
    </row>
    <row r="816" spans="19:55" ht="15.75" customHeight="1">
      <c r="S816" s="454"/>
      <c r="AN816" s="458"/>
      <c r="BA816" s="1305"/>
      <c r="BC816" s="169"/>
    </row>
    <row r="817" spans="19:55" ht="15.75" customHeight="1">
      <c r="S817" s="454"/>
      <c r="AN817" s="458"/>
      <c r="BA817" s="1305"/>
      <c r="BC817" s="169"/>
    </row>
    <row r="818" spans="19:55" ht="15.75" customHeight="1">
      <c r="S818" s="454"/>
      <c r="AN818" s="458"/>
      <c r="BA818" s="1305"/>
      <c r="BC818" s="169"/>
    </row>
    <row r="819" spans="19:55" ht="15.75" customHeight="1">
      <c r="S819" s="454"/>
      <c r="AN819" s="458"/>
      <c r="BA819" s="1305"/>
      <c r="BC819" s="169"/>
    </row>
    <row r="820" spans="19:55" ht="15.75" customHeight="1">
      <c r="S820" s="454"/>
      <c r="AN820" s="458"/>
      <c r="BA820" s="1305"/>
      <c r="BC820" s="169"/>
    </row>
    <row r="821" spans="19:55" ht="15.75" customHeight="1">
      <c r="S821" s="454"/>
      <c r="AN821" s="458"/>
      <c r="BA821" s="1305"/>
      <c r="BC821" s="169"/>
    </row>
    <row r="822" spans="19:55" ht="15.75" customHeight="1">
      <c r="S822" s="454"/>
      <c r="AN822" s="458"/>
      <c r="BA822" s="1305"/>
      <c r="BC822" s="169"/>
    </row>
    <row r="823" spans="19:55" ht="15.75" customHeight="1">
      <c r="S823" s="454"/>
      <c r="AN823" s="458"/>
      <c r="BA823" s="1305"/>
      <c r="BC823" s="169"/>
    </row>
    <row r="824" spans="19:55" ht="15.75" customHeight="1">
      <c r="S824" s="454"/>
      <c r="AN824" s="458"/>
      <c r="BA824" s="1305"/>
      <c r="BC824" s="169"/>
    </row>
    <row r="825" spans="19:55" ht="15.75" customHeight="1">
      <c r="S825" s="454"/>
      <c r="AN825" s="458"/>
      <c r="BA825" s="1305"/>
      <c r="BC825" s="169"/>
    </row>
    <row r="826" spans="19:55" ht="15.75" customHeight="1">
      <c r="S826" s="454"/>
      <c r="AN826" s="458"/>
      <c r="BA826" s="1305"/>
      <c r="BC826" s="169"/>
    </row>
    <row r="827" spans="19:55" ht="15.75" customHeight="1">
      <c r="S827" s="454"/>
      <c r="AN827" s="458"/>
      <c r="BA827" s="1305"/>
      <c r="BC827" s="169"/>
    </row>
    <row r="828" spans="19:55" ht="15.75" customHeight="1">
      <c r="S828" s="454"/>
      <c r="AN828" s="458"/>
      <c r="BA828" s="1305"/>
      <c r="BC828" s="169"/>
    </row>
    <row r="829" spans="19:55" ht="15.75" customHeight="1">
      <c r="S829" s="454"/>
      <c r="AN829" s="458"/>
      <c r="BA829" s="1305"/>
      <c r="BC829" s="169"/>
    </row>
    <row r="830" spans="19:55" ht="15.75" customHeight="1">
      <c r="S830" s="454"/>
      <c r="AN830" s="458"/>
      <c r="BA830" s="1305"/>
      <c r="BC830" s="169"/>
    </row>
    <row r="831" spans="19:55" ht="15.75" customHeight="1">
      <c r="S831" s="454"/>
      <c r="AN831" s="458"/>
      <c r="BA831" s="1305"/>
      <c r="BC831" s="169"/>
    </row>
    <row r="832" spans="19:55" ht="15.75" customHeight="1">
      <c r="S832" s="454"/>
      <c r="AN832" s="458"/>
      <c r="BA832" s="1305"/>
      <c r="BC832" s="169"/>
    </row>
    <row r="833" spans="19:55" ht="15.75" customHeight="1">
      <c r="S833" s="454"/>
      <c r="AN833" s="458"/>
      <c r="BA833" s="1305"/>
      <c r="BC833" s="169"/>
    </row>
    <row r="834" spans="19:55" ht="15.75" customHeight="1">
      <c r="S834" s="454"/>
      <c r="AN834" s="458"/>
      <c r="BA834" s="1305"/>
      <c r="BC834" s="169"/>
    </row>
    <row r="835" spans="19:55" ht="15.75" customHeight="1">
      <c r="S835" s="454"/>
      <c r="AN835" s="458"/>
      <c r="BA835" s="1305"/>
      <c r="BC835" s="169"/>
    </row>
    <row r="836" spans="19:55" ht="15.75" customHeight="1">
      <c r="S836" s="454"/>
      <c r="AN836" s="458"/>
      <c r="BA836" s="1305"/>
      <c r="BC836" s="169"/>
    </row>
    <row r="837" spans="19:55" ht="15.75" customHeight="1">
      <c r="S837" s="454"/>
      <c r="AN837" s="458"/>
      <c r="BA837" s="1305"/>
      <c r="BC837" s="169"/>
    </row>
    <row r="838" spans="19:55" ht="15.75" customHeight="1">
      <c r="S838" s="454"/>
      <c r="AN838" s="458"/>
      <c r="BA838" s="1305"/>
      <c r="BC838" s="169"/>
    </row>
    <row r="839" spans="19:55" ht="15.75" customHeight="1">
      <c r="S839" s="454"/>
      <c r="AN839" s="458"/>
      <c r="BA839" s="1305"/>
      <c r="BC839" s="169"/>
    </row>
    <row r="840" spans="19:55" ht="15.75" customHeight="1">
      <c r="S840" s="454"/>
      <c r="AN840" s="458"/>
      <c r="BA840" s="1305"/>
      <c r="BC840" s="169"/>
    </row>
    <row r="841" spans="19:55" ht="15.75" customHeight="1">
      <c r="S841" s="454"/>
      <c r="AN841" s="458"/>
      <c r="BA841" s="1305"/>
      <c r="BC841" s="169"/>
    </row>
    <row r="842" spans="19:55" ht="15.75" customHeight="1">
      <c r="S842" s="454"/>
      <c r="AN842" s="458"/>
      <c r="BA842" s="1305"/>
      <c r="BC842" s="169"/>
    </row>
    <row r="843" spans="19:55" ht="15.75" customHeight="1">
      <c r="S843" s="454"/>
      <c r="AN843" s="458"/>
      <c r="BA843" s="1305"/>
      <c r="BC843" s="169"/>
    </row>
    <row r="844" spans="19:55" ht="15.75" customHeight="1">
      <c r="S844" s="454"/>
      <c r="AN844" s="458"/>
      <c r="BA844" s="1305"/>
      <c r="BC844" s="169"/>
    </row>
    <row r="845" spans="19:55" ht="15.75" customHeight="1">
      <c r="S845" s="454"/>
      <c r="AN845" s="458"/>
      <c r="BA845" s="1305"/>
      <c r="BC845" s="169"/>
    </row>
    <row r="846" spans="19:55" ht="15.75" customHeight="1">
      <c r="S846" s="454"/>
      <c r="AN846" s="458"/>
      <c r="BA846" s="1305"/>
      <c r="BC846" s="169"/>
    </row>
    <row r="847" spans="19:55" ht="15.75" customHeight="1">
      <c r="S847" s="454"/>
      <c r="AN847" s="458"/>
      <c r="BA847" s="1305"/>
      <c r="BC847" s="169"/>
    </row>
    <row r="848" spans="19:55" ht="15.75" customHeight="1">
      <c r="S848" s="454"/>
      <c r="AN848" s="458"/>
      <c r="BA848" s="1305"/>
      <c r="BC848" s="169"/>
    </row>
    <row r="849" spans="19:55" ht="15.75" customHeight="1">
      <c r="S849" s="454"/>
      <c r="AN849" s="458"/>
      <c r="BA849" s="1305"/>
      <c r="BC849" s="169"/>
    </row>
    <row r="850" spans="19:55" ht="15.75" customHeight="1">
      <c r="S850" s="454"/>
      <c r="AN850" s="458"/>
      <c r="BA850" s="1305"/>
      <c r="BC850" s="169"/>
    </row>
    <row r="851" spans="19:55" ht="15.75" customHeight="1">
      <c r="S851" s="454"/>
      <c r="AN851" s="458"/>
      <c r="BA851" s="1305"/>
      <c r="BC851" s="169"/>
    </row>
    <row r="852" spans="19:55" ht="15.75" customHeight="1">
      <c r="S852" s="454"/>
      <c r="AN852" s="458"/>
      <c r="BA852" s="1305"/>
      <c r="BC852" s="169"/>
    </row>
    <row r="853" spans="19:55" ht="15.75" customHeight="1">
      <c r="S853" s="454"/>
      <c r="AN853" s="458"/>
      <c r="BA853" s="1305"/>
      <c r="BC853" s="169"/>
    </row>
    <row r="854" spans="19:55" ht="15.75" customHeight="1">
      <c r="S854" s="454"/>
      <c r="AN854" s="458"/>
      <c r="BA854" s="1305"/>
      <c r="BC854" s="169"/>
    </row>
    <row r="855" spans="19:55" ht="15.75" customHeight="1">
      <c r="S855" s="454"/>
      <c r="AN855" s="458"/>
      <c r="BA855" s="1305"/>
      <c r="BC855" s="169"/>
    </row>
    <row r="856" spans="19:55" ht="15.75" customHeight="1">
      <c r="S856" s="454"/>
      <c r="AN856" s="458"/>
      <c r="BA856" s="1305"/>
      <c r="BC856" s="169"/>
    </row>
    <row r="857" spans="19:55" ht="15.75" customHeight="1">
      <c r="S857" s="454"/>
      <c r="AN857" s="458"/>
      <c r="BA857" s="1305"/>
      <c r="BC857" s="169"/>
    </row>
    <row r="858" spans="19:55" ht="15.75" customHeight="1">
      <c r="S858" s="454"/>
      <c r="AN858" s="458"/>
      <c r="BA858" s="1305"/>
      <c r="BC858" s="169"/>
    </row>
    <row r="859" spans="19:55" ht="15.75" customHeight="1">
      <c r="S859" s="454"/>
      <c r="AN859" s="458"/>
      <c r="BA859" s="1305"/>
      <c r="BC859" s="169"/>
    </row>
    <row r="860" spans="19:55" ht="15.75" customHeight="1">
      <c r="S860" s="454"/>
      <c r="AN860" s="458"/>
      <c r="BA860" s="1305"/>
      <c r="BC860" s="169"/>
    </row>
    <row r="861" spans="19:55" ht="15.75" customHeight="1">
      <c r="S861" s="454"/>
      <c r="AN861" s="458"/>
      <c r="BA861" s="1305"/>
      <c r="BC861" s="169"/>
    </row>
    <row r="862" spans="19:55" ht="15.75" customHeight="1">
      <c r="S862" s="454"/>
      <c r="AN862" s="458"/>
      <c r="BA862" s="1305"/>
      <c r="BC862" s="169"/>
    </row>
    <row r="863" spans="19:55" ht="15.75" customHeight="1">
      <c r="S863" s="454"/>
      <c r="AN863" s="458"/>
      <c r="BA863" s="1305"/>
      <c r="BC863" s="169"/>
    </row>
    <row r="864" spans="19:55" ht="15.75" customHeight="1">
      <c r="S864" s="454"/>
      <c r="AN864" s="458"/>
      <c r="BA864" s="1305"/>
      <c r="BC864" s="169"/>
    </row>
    <row r="865" spans="19:55" ht="15.75" customHeight="1">
      <c r="S865" s="454"/>
      <c r="AN865" s="458"/>
      <c r="BA865" s="1305"/>
      <c r="BC865" s="169"/>
    </row>
    <row r="866" spans="19:55" ht="15.75" customHeight="1">
      <c r="S866" s="454"/>
      <c r="AN866" s="458"/>
      <c r="BA866" s="1305"/>
      <c r="BC866" s="169"/>
    </row>
    <row r="867" spans="19:55" ht="15.75" customHeight="1">
      <c r="S867" s="454"/>
      <c r="AN867" s="458"/>
      <c r="BA867" s="1305"/>
      <c r="BC867" s="169"/>
    </row>
    <row r="868" spans="19:55" ht="15.75" customHeight="1">
      <c r="S868" s="454"/>
      <c r="AN868" s="458"/>
      <c r="BA868" s="1305"/>
      <c r="BC868" s="169"/>
    </row>
    <row r="869" spans="19:55" ht="15.75" customHeight="1">
      <c r="S869" s="454"/>
      <c r="AN869" s="458"/>
      <c r="BA869" s="1305"/>
      <c r="BC869" s="169"/>
    </row>
    <row r="870" spans="19:55" ht="15.75" customHeight="1">
      <c r="S870" s="454"/>
      <c r="AN870" s="458"/>
      <c r="BA870" s="1305"/>
      <c r="BC870" s="169"/>
    </row>
    <row r="871" spans="19:55" ht="15.75" customHeight="1">
      <c r="S871" s="454"/>
      <c r="AN871" s="458"/>
      <c r="BA871" s="1305"/>
      <c r="BC871" s="169"/>
    </row>
    <row r="872" spans="19:55" ht="15.75" customHeight="1">
      <c r="S872" s="454"/>
      <c r="AN872" s="458"/>
      <c r="BA872" s="1305"/>
      <c r="BC872" s="169"/>
    </row>
    <row r="873" spans="19:55" ht="15.75" customHeight="1">
      <c r="S873" s="454"/>
      <c r="AN873" s="458"/>
      <c r="BA873" s="1305"/>
      <c r="BC873" s="169"/>
    </row>
    <row r="874" spans="19:55" ht="15.75" customHeight="1">
      <c r="S874" s="454"/>
      <c r="AN874" s="458"/>
      <c r="BA874" s="1305"/>
      <c r="BC874" s="169"/>
    </row>
    <row r="875" spans="19:55" ht="15.75" customHeight="1">
      <c r="S875" s="454"/>
      <c r="AN875" s="458"/>
      <c r="BA875" s="1305"/>
      <c r="BC875" s="169"/>
    </row>
    <row r="876" spans="19:55" ht="15.75" customHeight="1">
      <c r="S876" s="454"/>
      <c r="AN876" s="458"/>
      <c r="BA876" s="1305"/>
      <c r="BC876" s="169"/>
    </row>
    <row r="877" spans="19:55" ht="15.75" customHeight="1">
      <c r="S877" s="454"/>
      <c r="AN877" s="458"/>
      <c r="BA877" s="1305"/>
      <c r="BC877" s="169"/>
    </row>
    <row r="878" spans="19:55" ht="15.75" customHeight="1">
      <c r="S878" s="454"/>
      <c r="AN878" s="458"/>
      <c r="BA878" s="1305"/>
      <c r="BC878" s="169"/>
    </row>
    <row r="879" spans="19:55" ht="15.75" customHeight="1">
      <c r="S879" s="454"/>
      <c r="AN879" s="458"/>
      <c r="BA879" s="1305"/>
      <c r="BC879" s="169"/>
    </row>
    <row r="880" spans="19:55" ht="15.75" customHeight="1">
      <c r="S880" s="454"/>
      <c r="AN880" s="458"/>
      <c r="BA880" s="1305"/>
      <c r="BC880" s="169"/>
    </row>
    <row r="881" spans="19:55" ht="15.75" customHeight="1">
      <c r="S881" s="454"/>
      <c r="AN881" s="458"/>
      <c r="BA881" s="1305"/>
      <c r="BC881" s="169"/>
    </row>
    <row r="882" spans="19:55" ht="15.75" customHeight="1">
      <c r="S882" s="454"/>
      <c r="AN882" s="458"/>
      <c r="BA882" s="1305"/>
      <c r="BC882" s="169"/>
    </row>
    <row r="883" spans="19:55" ht="15.75" customHeight="1">
      <c r="S883" s="454"/>
      <c r="AN883" s="458"/>
      <c r="BA883" s="1305"/>
      <c r="BC883" s="169"/>
    </row>
    <row r="884" spans="19:55" ht="15.75" customHeight="1">
      <c r="S884" s="454"/>
      <c r="AN884" s="458"/>
      <c r="BA884" s="1305"/>
      <c r="BC884" s="169"/>
    </row>
    <row r="885" spans="19:55" ht="15.75" customHeight="1">
      <c r="S885" s="454"/>
      <c r="AN885" s="458"/>
      <c r="BA885" s="1305"/>
      <c r="BC885" s="169"/>
    </row>
    <row r="886" spans="19:55" ht="15.75" customHeight="1">
      <c r="S886" s="454"/>
      <c r="AN886" s="458"/>
      <c r="BA886" s="1305"/>
      <c r="BC886" s="169"/>
    </row>
    <row r="887" spans="19:55" ht="15.75" customHeight="1">
      <c r="S887" s="454"/>
      <c r="AN887" s="458"/>
      <c r="BA887" s="1305"/>
      <c r="BC887" s="169"/>
    </row>
    <row r="888" spans="19:55" ht="15.75" customHeight="1">
      <c r="S888" s="454"/>
      <c r="AN888" s="458"/>
      <c r="BA888" s="1305"/>
      <c r="BC888" s="169"/>
    </row>
    <row r="889" spans="19:55" ht="15.75" customHeight="1">
      <c r="S889" s="454"/>
      <c r="AN889" s="458"/>
      <c r="BA889" s="1305"/>
      <c r="BC889" s="169"/>
    </row>
    <row r="890" spans="19:55" ht="15.75" customHeight="1">
      <c r="S890" s="454"/>
      <c r="AN890" s="458"/>
      <c r="BA890" s="1305"/>
      <c r="BC890" s="169"/>
    </row>
    <row r="891" spans="19:55" ht="15.75" customHeight="1">
      <c r="S891" s="454"/>
      <c r="AN891" s="458"/>
      <c r="BA891" s="1305"/>
      <c r="BC891" s="169"/>
    </row>
    <row r="892" spans="19:55" ht="15.75" customHeight="1">
      <c r="S892" s="454"/>
      <c r="AN892" s="458"/>
      <c r="BA892" s="1305"/>
      <c r="BC892" s="169"/>
    </row>
    <row r="893" spans="19:55" ht="15.75" customHeight="1">
      <c r="S893" s="454"/>
      <c r="AN893" s="458"/>
      <c r="BA893" s="1305"/>
      <c r="BC893" s="169"/>
    </row>
    <row r="894" spans="19:55" ht="15.75" customHeight="1">
      <c r="S894" s="454"/>
      <c r="AN894" s="458"/>
      <c r="BA894" s="1305"/>
      <c r="BC894" s="169"/>
    </row>
    <row r="895" spans="19:55" ht="15.75" customHeight="1">
      <c r="S895" s="454"/>
      <c r="AN895" s="458"/>
      <c r="BA895" s="1305"/>
      <c r="BC895" s="169"/>
    </row>
    <row r="896" spans="19:55" ht="15.75" customHeight="1">
      <c r="S896" s="454"/>
      <c r="AN896" s="458"/>
      <c r="BA896" s="1305"/>
      <c r="BC896" s="169"/>
    </row>
    <row r="897" spans="19:55" ht="15.75" customHeight="1">
      <c r="S897" s="454"/>
      <c r="AN897" s="458"/>
      <c r="BA897" s="1305"/>
      <c r="BC897" s="169"/>
    </row>
    <row r="898" spans="19:55" ht="15.75" customHeight="1">
      <c r="S898" s="454"/>
      <c r="AN898" s="458"/>
      <c r="BA898" s="1305"/>
      <c r="BC898" s="169"/>
    </row>
    <row r="899" spans="19:55" ht="15.75" customHeight="1">
      <c r="S899" s="454"/>
      <c r="AN899" s="458"/>
      <c r="BA899" s="1305"/>
      <c r="BC899" s="169"/>
    </row>
    <row r="900" spans="19:55" ht="15.75" customHeight="1">
      <c r="S900" s="454"/>
      <c r="AN900" s="458"/>
      <c r="BA900" s="1305"/>
      <c r="BC900" s="169"/>
    </row>
    <row r="901" spans="19:55" ht="15.75" customHeight="1">
      <c r="S901" s="454"/>
      <c r="AN901" s="458"/>
      <c r="BA901" s="1305"/>
      <c r="BC901" s="169"/>
    </row>
    <row r="902" spans="19:55" ht="15.75" customHeight="1">
      <c r="S902" s="454"/>
      <c r="AN902" s="458"/>
      <c r="BA902" s="1305"/>
      <c r="BC902" s="169"/>
    </row>
    <row r="903" spans="19:55" ht="15.75" customHeight="1">
      <c r="S903" s="454"/>
      <c r="AN903" s="458"/>
      <c r="BA903" s="1305"/>
      <c r="BC903" s="169"/>
    </row>
    <row r="904" spans="19:55" ht="15.75" customHeight="1">
      <c r="S904" s="454"/>
      <c r="AN904" s="458"/>
      <c r="BA904" s="1305"/>
      <c r="BC904" s="169"/>
    </row>
    <row r="905" spans="19:55" ht="15.75" customHeight="1">
      <c r="S905" s="454"/>
      <c r="AN905" s="458"/>
      <c r="BA905" s="1305"/>
      <c r="BC905" s="169"/>
    </row>
    <row r="906" spans="19:55" ht="15.75" customHeight="1">
      <c r="S906" s="454"/>
      <c r="AN906" s="458"/>
      <c r="BA906" s="1305"/>
      <c r="BC906" s="169"/>
    </row>
    <row r="907" spans="19:55" ht="15.75" customHeight="1">
      <c r="S907" s="454"/>
      <c r="AN907" s="458"/>
      <c r="BA907" s="1305"/>
      <c r="BC907" s="169"/>
    </row>
    <row r="908" spans="19:55" ht="15.75" customHeight="1">
      <c r="S908" s="454"/>
      <c r="AN908" s="458"/>
      <c r="BA908" s="1305"/>
      <c r="BC908" s="169"/>
    </row>
    <row r="909" spans="19:55" ht="15.75" customHeight="1">
      <c r="S909" s="454"/>
      <c r="AN909" s="458"/>
      <c r="BA909" s="1305"/>
      <c r="BC909" s="169"/>
    </row>
    <row r="910" spans="19:55" ht="15.75" customHeight="1">
      <c r="S910" s="454"/>
      <c r="AN910" s="458"/>
      <c r="BA910" s="1305"/>
      <c r="BC910" s="169"/>
    </row>
    <row r="911" spans="19:55" ht="15.75" customHeight="1">
      <c r="S911" s="454"/>
      <c r="AN911" s="458"/>
      <c r="BA911" s="1305"/>
      <c r="BC911" s="169"/>
    </row>
    <row r="912" spans="19:55" ht="15.75" customHeight="1">
      <c r="S912" s="454"/>
      <c r="AN912" s="458"/>
      <c r="BA912" s="1305"/>
      <c r="BC912" s="169"/>
    </row>
    <row r="913" spans="19:55" ht="15.75" customHeight="1">
      <c r="S913" s="454"/>
      <c r="AN913" s="458"/>
      <c r="BA913" s="1305"/>
      <c r="BC913" s="169"/>
    </row>
    <row r="914" spans="19:55" ht="15.75" customHeight="1">
      <c r="S914" s="454"/>
      <c r="AN914" s="458"/>
      <c r="BA914" s="1305"/>
      <c r="BC914" s="169"/>
    </row>
    <row r="915" spans="19:55" ht="15.75" customHeight="1">
      <c r="S915" s="454"/>
      <c r="AN915" s="458"/>
      <c r="BA915" s="1305"/>
      <c r="BC915" s="169"/>
    </row>
    <row r="916" spans="19:55" ht="15.75" customHeight="1">
      <c r="S916" s="454"/>
      <c r="AN916" s="458"/>
      <c r="BA916" s="1305"/>
      <c r="BC916" s="169"/>
    </row>
    <row r="917" spans="19:55" ht="15.75" customHeight="1">
      <c r="S917" s="454"/>
      <c r="AN917" s="458"/>
      <c r="BA917" s="1305"/>
      <c r="BC917" s="169"/>
    </row>
    <row r="918" spans="19:55" ht="15.75" customHeight="1">
      <c r="S918" s="454"/>
      <c r="AN918" s="458"/>
      <c r="BA918" s="1305"/>
      <c r="BC918" s="169"/>
    </row>
    <row r="919" spans="19:55" ht="15.75" customHeight="1">
      <c r="S919" s="454"/>
      <c r="AN919" s="458"/>
      <c r="BA919" s="1305"/>
      <c r="BC919" s="169"/>
    </row>
    <row r="920" spans="19:55" ht="15.75" customHeight="1">
      <c r="S920" s="454"/>
      <c r="AN920" s="458"/>
      <c r="BA920" s="1305"/>
      <c r="BC920" s="169"/>
    </row>
    <row r="921" spans="19:55" ht="15.75" customHeight="1">
      <c r="S921" s="454"/>
      <c r="AN921" s="458"/>
      <c r="BA921" s="1305"/>
      <c r="BC921" s="169"/>
    </row>
    <row r="922" spans="19:55" ht="15.75" customHeight="1">
      <c r="S922" s="454"/>
      <c r="AN922" s="458"/>
      <c r="BA922" s="1305"/>
      <c r="BC922" s="169"/>
    </row>
    <row r="923" spans="19:55" ht="15.75" customHeight="1">
      <c r="S923" s="454"/>
      <c r="AN923" s="458"/>
      <c r="BA923" s="1305"/>
      <c r="BC923" s="169"/>
    </row>
    <row r="924" spans="19:55" ht="15.75" customHeight="1">
      <c r="S924" s="454"/>
      <c r="AN924" s="458"/>
      <c r="BA924" s="1305"/>
      <c r="BC924" s="169"/>
    </row>
    <row r="925" spans="19:55" ht="15.75" customHeight="1">
      <c r="S925" s="454"/>
      <c r="AN925" s="458"/>
      <c r="BA925" s="1305"/>
      <c r="BC925" s="169"/>
    </row>
    <row r="926" spans="19:55" ht="15.75" customHeight="1">
      <c r="S926" s="454"/>
      <c r="AN926" s="458"/>
      <c r="BA926" s="1305"/>
      <c r="BC926" s="169"/>
    </row>
    <row r="927" spans="19:55" ht="15.75" customHeight="1">
      <c r="S927" s="454"/>
      <c r="AN927" s="458"/>
      <c r="BA927" s="1305"/>
      <c r="BC927" s="169"/>
    </row>
    <row r="928" spans="19:55" ht="15.75" customHeight="1">
      <c r="S928" s="454"/>
      <c r="AN928" s="458"/>
      <c r="BA928" s="1305"/>
      <c r="BC928" s="169"/>
    </row>
    <row r="929" spans="19:55" ht="15.75" customHeight="1">
      <c r="S929" s="454"/>
      <c r="AN929" s="458"/>
      <c r="BA929" s="1305"/>
      <c r="BC929" s="169"/>
    </row>
    <row r="930" spans="19:55" ht="15.75" customHeight="1">
      <c r="S930" s="454"/>
      <c r="AN930" s="458"/>
      <c r="BA930" s="1305"/>
      <c r="BC930" s="169"/>
    </row>
    <row r="931" spans="19:55" ht="15.75" customHeight="1">
      <c r="S931" s="454"/>
      <c r="AN931" s="458"/>
      <c r="BA931" s="1305"/>
      <c r="BC931" s="169"/>
    </row>
    <row r="932" spans="19:55" ht="15.75" customHeight="1">
      <c r="S932" s="454"/>
      <c r="AN932" s="458"/>
      <c r="BA932" s="1305"/>
      <c r="BC932" s="169"/>
    </row>
    <row r="933" spans="19:55" ht="15.75" customHeight="1">
      <c r="S933" s="454"/>
      <c r="AN933" s="458"/>
      <c r="BA933" s="1305"/>
      <c r="BC933" s="169"/>
    </row>
    <row r="934" spans="19:55" ht="15.75" customHeight="1">
      <c r="S934" s="454"/>
      <c r="AN934" s="458"/>
      <c r="BA934" s="1305"/>
      <c r="BC934" s="169"/>
    </row>
    <row r="935" spans="19:55" ht="15.75" customHeight="1">
      <c r="S935" s="454"/>
      <c r="AN935" s="458"/>
      <c r="BA935" s="1305"/>
      <c r="BC935" s="169"/>
    </row>
    <row r="936" spans="19:55" ht="15.75" customHeight="1">
      <c r="S936" s="454"/>
      <c r="AN936" s="458"/>
      <c r="BA936" s="1305"/>
      <c r="BC936" s="169"/>
    </row>
    <row r="937" spans="19:55" ht="15.75" customHeight="1">
      <c r="S937" s="454"/>
      <c r="AN937" s="458"/>
      <c r="BA937" s="1305"/>
      <c r="BC937" s="169"/>
    </row>
    <row r="938" spans="19:55" ht="15.75" customHeight="1">
      <c r="S938" s="454"/>
      <c r="AN938" s="458"/>
      <c r="BA938" s="1305"/>
      <c r="BC938" s="169"/>
    </row>
    <row r="939" spans="19:55" ht="15.75" customHeight="1">
      <c r="S939" s="454"/>
      <c r="AN939" s="458"/>
      <c r="BA939" s="1305"/>
      <c r="BC939" s="169"/>
    </row>
    <row r="940" spans="19:55" ht="15.75" customHeight="1">
      <c r="S940" s="454"/>
      <c r="AN940" s="458"/>
      <c r="BA940" s="1305"/>
      <c r="BC940" s="169"/>
    </row>
    <row r="941" spans="19:55" ht="15.75" customHeight="1">
      <c r="S941" s="454"/>
      <c r="AN941" s="458"/>
      <c r="BA941" s="1305"/>
      <c r="BC941" s="169"/>
    </row>
    <row r="942" spans="19:55" ht="15.75" customHeight="1">
      <c r="S942" s="454"/>
      <c r="AN942" s="458"/>
      <c r="BA942" s="1305"/>
      <c r="BC942" s="169"/>
    </row>
    <row r="943" spans="19:55" ht="15.75" customHeight="1">
      <c r="S943" s="454"/>
      <c r="AN943" s="458"/>
      <c r="BA943" s="1305"/>
      <c r="BC943" s="169"/>
    </row>
    <row r="944" spans="19:55" ht="15.75" customHeight="1">
      <c r="S944" s="454"/>
      <c r="AN944" s="458"/>
      <c r="BA944" s="1305"/>
      <c r="BC944" s="169"/>
    </row>
    <row r="945" spans="19:55" ht="15.75" customHeight="1">
      <c r="S945" s="454"/>
      <c r="AN945" s="458"/>
      <c r="BA945" s="1305"/>
      <c r="BC945" s="169"/>
    </row>
    <row r="946" spans="19:55" ht="15.75" customHeight="1">
      <c r="S946" s="454"/>
      <c r="AN946" s="458"/>
      <c r="BA946" s="1305"/>
      <c r="BC946" s="169"/>
    </row>
    <row r="947" spans="19:55" ht="15.75" customHeight="1">
      <c r="S947" s="454"/>
      <c r="AN947" s="458"/>
      <c r="BA947" s="1305"/>
      <c r="BC947" s="169"/>
    </row>
    <row r="948" spans="19:55" ht="15.75" customHeight="1">
      <c r="S948" s="454"/>
      <c r="AN948" s="458"/>
      <c r="BA948" s="1305"/>
      <c r="BC948" s="169"/>
    </row>
    <row r="949" spans="19:55" ht="15.75" customHeight="1">
      <c r="S949" s="454"/>
      <c r="AN949" s="458"/>
      <c r="BA949" s="1305"/>
      <c r="BC949" s="169"/>
    </row>
    <row r="950" spans="19:55" ht="15.75" customHeight="1">
      <c r="S950" s="454"/>
      <c r="AN950" s="458"/>
      <c r="BA950" s="1305"/>
      <c r="BC950" s="169"/>
    </row>
    <row r="951" spans="19:55" ht="15.75" customHeight="1">
      <c r="S951" s="454"/>
      <c r="AN951" s="458"/>
      <c r="BA951" s="1305"/>
      <c r="BC951" s="169"/>
    </row>
    <row r="952" spans="19:55" ht="15.75" customHeight="1">
      <c r="S952" s="454"/>
      <c r="AN952" s="458"/>
      <c r="BA952" s="1305"/>
      <c r="BC952" s="169"/>
    </row>
    <row r="953" spans="19:55" ht="15.75" customHeight="1">
      <c r="S953" s="454"/>
      <c r="AN953" s="458"/>
      <c r="BA953" s="1305"/>
      <c r="BC953" s="169"/>
    </row>
    <row r="954" spans="19:55" ht="15.75" customHeight="1">
      <c r="S954" s="454"/>
      <c r="AN954" s="458"/>
      <c r="BA954" s="1305"/>
      <c r="BC954" s="169"/>
    </row>
    <row r="955" spans="19:55" ht="15.75" customHeight="1">
      <c r="S955" s="454"/>
      <c r="AN955" s="458"/>
      <c r="BA955" s="1305"/>
      <c r="BC955" s="169"/>
    </row>
    <row r="956" spans="19:55" ht="15.75" customHeight="1">
      <c r="S956" s="454"/>
      <c r="AN956" s="458"/>
      <c r="BA956" s="1305"/>
      <c r="BC956" s="169"/>
    </row>
    <row r="957" spans="19:55" ht="15.75" customHeight="1">
      <c r="S957" s="454"/>
      <c r="AN957" s="458"/>
      <c r="BA957" s="1305"/>
      <c r="BC957" s="169"/>
    </row>
    <row r="958" spans="19:55" ht="15.75" customHeight="1">
      <c r="S958" s="454"/>
      <c r="AN958" s="458"/>
      <c r="BA958" s="1305"/>
      <c r="BC958" s="169"/>
    </row>
    <row r="959" spans="19:55" ht="15.75" customHeight="1">
      <c r="S959" s="454"/>
      <c r="AN959" s="458"/>
      <c r="BA959" s="1305"/>
      <c r="BC959" s="169"/>
    </row>
    <row r="960" spans="19:55" ht="15.75" customHeight="1">
      <c r="S960" s="454"/>
      <c r="AN960" s="458"/>
      <c r="BA960" s="1305"/>
      <c r="BC960" s="169"/>
    </row>
    <row r="961" spans="19:55" ht="15.75" customHeight="1">
      <c r="S961" s="454"/>
      <c r="AN961" s="458"/>
      <c r="BA961" s="1305"/>
      <c r="BC961" s="169"/>
    </row>
    <row r="962" spans="19:55" ht="15.75" customHeight="1">
      <c r="S962" s="454"/>
      <c r="AN962" s="458"/>
      <c r="BA962" s="1305"/>
      <c r="BC962" s="169"/>
    </row>
    <row r="963" spans="19:55" ht="15.75" customHeight="1">
      <c r="S963" s="454"/>
      <c r="AN963" s="458"/>
      <c r="BA963" s="1305"/>
      <c r="BC963" s="169"/>
    </row>
    <row r="964" spans="19:55" ht="15.75" customHeight="1">
      <c r="S964" s="454"/>
      <c r="AN964" s="458"/>
      <c r="BA964" s="1305"/>
      <c r="BC964" s="169"/>
    </row>
    <row r="965" spans="19:55" ht="15.75" customHeight="1">
      <c r="S965" s="454"/>
      <c r="AN965" s="458"/>
      <c r="BA965" s="1305"/>
      <c r="BC965" s="169"/>
    </row>
    <row r="966" spans="19:55" ht="15.75" customHeight="1">
      <c r="S966" s="454"/>
      <c r="AN966" s="458"/>
      <c r="BA966" s="1305"/>
      <c r="BC966" s="169"/>
    </row>
    <row r="967" spans="19:55" ht="15.75" customHeight="1">
      <c r="S967" s="454"/>
      <c r="AN967" s="458"/>
      <c r="BA967" s="1305"/>
      <c r="BC967" s="169"/>
    </row>
    <row r="968" spans="19:55" ht="15.75" customHeight="1">
      <c r="S968" s="454"/>
      <c r="AN968" s="458"/>
      <c r="BA968" s="1305"/>
      <c r="BC968" s="169"/>
    </row>
    <row r="969" spans="19:55" ht="15.75" customHeight="1">
      <c r="S969" s="454"/>
      <c r="AN969" s="458"/>
      <c r="BA969" s="1305"/>
      <c r="BC969" s="169"/>
    </row>
    <row r="970" spans="19:55" ht="15.75" customHeight="1">
      <c r="S970" s="454"/>
      <c r="AN970" s="458"/>
      <c r="BA970" s="1305"/>
      <c r="BC970" s="169"/>
    </row>
    <row r="971" spans="19:55" ht="15.75" customHeight="1">
      <c r="S971" s="454"/>
      <c r="AN971" s="458"/>
      <c r="BA971" s="1305"/>
      <c r="BC971" s="169"/>
    </row>
    <row r="972" spans="19:55" ht="15.75" customHeight="1">
      <c r="S972" s="454"/>
      <c r="AN972" s="458"/>
      <c r="BA972" s="1305"/>
      <c r="BC972" s="169"/>
    </row>
    <row r="973" spans="19:55" ht="15.75" customHeight="1">
      <c r="S973" s="454"/>
      <c r="AN973" s="458"/>
      <c r="BA973" s="1305"/>
      <c r="BC973" s="169"/>
    </row>
    <row r="974" spans="19:55" ht="15.75" customHeight="1">
      <c r="S974" s="454"/>
      <c r="AN974" s="458"/>
      <c r="BA974" s="1305"/>
      <c r="BC974" s="169"/>
    </row>
    <row r="975" spans="19:55" ht="15.75" customHeight="1">
      <c r="S975" s="454"/>
      <c r="AN975" s="458"/>
      <c r="BA975" s="1305"/>
      <c r="BC975" s="169"/>
    </row>
    <row r="976" spans="19:55" ht="15.75" customHeight="1">
      <c r="S976" s="454"/>
      <c r="AN976" s="458"/>
      <c r="BA976" s="1305"/>
      <c r="BC976" s="169"/>
    </row>
    <row r="977" spans="19:55" ht="15.75" customHeight="1">
      <c r="S977" s="454"/>
      <c r="AN977" s="458"/>
      <c r="BA977" s="1305"/>
      <c r="BC977" s="169"/>
    </row>
    <row r="978" spans="19:55" ht="15.75" customHeight="1">
      <c r="S978" s="454"/>
      <c r="AN978" s="458"/>
      <c r="BA978" s="1305"/>
      <c r="BC978" s="169"/>
    </row>
    <row r="979" spans="19:55" ht="15.75" customHeight="1">
      <c r="S979" s="454"/>
      <c r="AN979" s="458"/>
      <c r="BA979" s="1305"/>
      <c r="BC979" s="169"/>
    </row>
    <row r="980" spans="19:55" ht="15.75" customHeight="1">
      <c r="S980" s="454"/>
      <c r="AN980" s="458"/>
      <c r="BA980" s="1305"/>
      <c r="BC980" s="169"/>
    </row>
    <row r="981" spans="19:55" ht="15.75" customHeight="1">
      <c r="S981" s="454"/>
      <c r="AN981" s="458"/>
      <c r="BA981" s="1305"/>
      <c r="BC981" s="169"/>
    </row>
    <row r="982" spans="19:55" ht="15.75" customHeight="1">
      <c r="S982" s="454"/>
      <c r="AN982" s="458"/>
      <c r="BA982" s="1305"/>
      <c r="BC982" s="169"/>
    </row>
    <row r="983" spans="19:55" ht="15.75" customHeight="1">
      <c r="S983" s="454"/>
      <c r="AN983" s="458"/>
      <c r="BA983" s="1305"/>
      <c r="BC983" s="169"/>
    </row>
    <row r="984" spans="19:55" ht="15.75" customHeight="1">
      <c r="S984" s="454"/>
      <c r="AN984" s="458"/>
      <c r="BA984" s="1305"/>
      <c r="BC984" s="169"/>
    </row>
    <row r="985" spans="19:55" ht="15.75" customHeight="1">
      <c r="S985" s="454"/>
      <c r="AN985" s="458"/>
      <c r="BA985" s="1305"/>
      <c r="BC985" s="169"/>
    </row>
    <row r="986" spans="19:55" ht="15.75" customHeight="1">
      <c r="S986" s="454"/>
      <c r="AN986" s="458"/>
      <c r="BA986" s="1305"/>
      <c r="BC986" s="169"/>
    </row>
    <row r="987" spans="19:55" ht="15.75" customHeight="1">
      <c r="S987" s="454"/>
      <c r="AN987" s="458"/>
      <c r="BA987" s="1305"/>
      <c r="BC987" s="169"/>
    </row>
    <row r="988" spans="19:55" ht="15.75" customHeight="1">
      <c r="S988" s="454"/>
      <c r="AN988" s="458"/>
      <c r="BA988" s="1305"/>
      <c r="BC988" s="169"/>
    </row>
    <row r="989" spans="19:55" ht="15.75" customHeight="1">
      <c r="S989" s="454"/>
      <c r="AN989" s="458"/>
      <c r="BA989" s="1305"/>
      <c r="BC989" s="169"/>
    </row>
    <row r="990" spans="19:55" ht="15.75" customHeight="1">
      <c r="S990" s="454"/>
      <c r="AN990" s="458"/>
      <c r="BA990" s="1305"/>
      <c r="BC990" s="169"/>
    </row>
    <row r="991" spans="19:55" ht="15.75" customHeight="1">
      <c r="S991" s="454"/>
      <c r="AN991" s="458"/>
      <c r="BA991" s="1305"/>
      <c r="BC991" s="169"/>
    </row>
    <row r="992" spans="19:55" ht="15.75" customHeight="1">
      <c r="S992" s="454"/>
      <c r="AN992" s="458"/>
      <c r="BA992" s="1305"/>
      <c r="BC992" s="169"/>
    </row>
    <row r="993" spans="19:55" ht="15.75" customHeight="1">
      <c r="S993" s="454"/>
      <c r="AN993" s="458"/>
      <c r="BA993" s="1305"/>
      <c r="BC993" s="169"/>
    </row>
    <row r="994" spans="19:55" ht="15.75" customHeight="1">
      <c r="S994" s="454"/>
      <c r="AN994" s="458"/>
      <c r="BA994" s="1305"/>
      <c r="BC994" s="169"/>
    </row>
    <row r="995" spans="19:55" ht="15.75" customHeight="1">
      <c r="S995" s="454"/>
      <c r="AN995" s="458"/>
      <c r="BA995" s="1305"/>
      <c r="BC995" s="169"/>
    </row>
    <row r="996" spans="19:55" ht="15.75" customHeight="1">
      <c r="S996" s="454"/>
      <c r="AN996" s="458"/>
      <c r="BA996" s="1305"/>
      <c r="BC996" s="169"/>
    </row>
    <row r="997" spans="19:55" ht="15.75" customHeight="1">
      <c r="S997" s="454"/>
      <c r="AN997" s="458"/>
      <c r="BA997" s="1305"/>
      <c r="BC997" s="169"/>
    </row>
    <row r="998" spans="19:55" ht="15.75" customHeight="1">
      <c r="S998" s="454"/>
      <c r="AN998" s="458"/>
      <c r="BA998" s="1305"/>
      <c r="BC998" s="169"/>
    </row>
    <row r="999" spans="19:55" ht="15.75" customHeight="1">
      <c r="S999" s="454"/>
      <c r="AN999" s="458"/>
      <c r="BA999" s="1305"/>
      <c r="BC999" s="169"/>
    </row>
    <row r="1000" spans="19:55" ht="15.75" customHeight="1">
      <c r="S1000" s="454"/>
      <c r="AN1000" s="458"/>
      <c r="BA1000" s="1305"/>
      <c r="BC1000" s="169"/>
    </row>
    <row r="1001" spans="19:55" ht="15.75" customHeight="1">
      <c r="S1001" s="454"/>
      <c r="AN1001" s="458"/>
      <c r="BA1001" s="1305"/>
      <c r="BC1001" s="169"/>
    </row>
    <row r="1002" spans="19:55" ht="15.75" customHeight="1">
      <c r="S1002" s="454"/>
      <c r="AN1002" s="458"/>
      <c r="BA1002" s="1305"/>
      <c r="BC1002" s="169"/>
    </row>
    <row r="1003" spans="19:55" ht="15.75" customHeight="1">
      <c r="S1003" s="454"/>
      <c r="AN1003" s="458"/>
      <c r="BA1003" s="1305"/>
      <c r="BC1003" s="169"/>
    </row>
    <row r="1004" spans="19:55" ht="15.75" customHeight="1">
      <c r="S1004" s="454"/>
      <c r="AN1004" s="458"/>
      <c r="BA1004" s="1305"/>
      <c r="BC1004" s="169"/>
    </row>
    <row r="1005" spans="19:55" ht="15.75" customHeight="1">
      <c r="S1005" s="454"/>
      <c r="AN1005" s="458"/>
      <c r="BA1005" s="1305"/>
      <c r="BC1005" s="169"/>
    </row>
    <row r="1006" spans="19:55" ht="15.75" customHeight="1">
      <c r="S1006" s="454"/>
      <c r="AN1006" s="458"/>
      <c r="BA1006" s="1305"/>
      <c r="BC1006" s="169"/>
    </row>
    <row r="1007" spans="19:55" ht="15.75" customHeight="1">
      <c r="S1007" s="454"/>
      <c r="AN1007" s="458"/>
      <c r="BA1007" s="1305"/>
      <c r="BC1007" s="169"/>
    </row>
    <row r="1008" spans="19:55" ht="15.75" customHeight="1">
      <c r="S1008" s="454"/>
      <c r="AN1008" s="458"/>
      <c r="BA1008" s="1305"/>
      <c r="BC1008" s="169"/>
    </row>
    <row r="1009" spans="19:55" ht="15.75" customHeight="1">
      <c r="S1009" s="454"/>
      <c r="AN1009" s="458"/>
      <c r="BA1009" s="1305"/>
      <c r="BC1009" s="169"/>
    </row>
    <row r="1010" spans="19:55" ht="15.75" customHeight="1">
      <c r="S1010" s="454"/>
      <c r="AN1010" s="458"/>
      <c r="BA1010" s="1305"/>
      <c r="BC1010" s="169"/>
    </row>
    <row r="1011" spans="19:55" ht="15.75" customHeight="1">
      <c r="S1011" s="454"/>
      <c r="AN1011" s="458"/>
      <c r="BA1011" s="1305"/>
      <c r="BC1011" s="169"/>
    </row>
    <row r="1012" spans="19:55" ht="15.75" customHeight="1">
      <c r="S1012" s="454"/>
      <c r="AN1012" s="458"/>
      <c r="BA1012" s="1305"/>
      <c r="BC1012" s="169"/>
    </row>
    <row r="1013" spans="19:55" ht="15.75" customHeight="1">
      <c r="S1013" s="454"/>
      <c r="AN1013" s="458"/>
      <c r="BA1013" s="1305"/>
      <c r="BC1013" s="169"/>
    </row>
    <row r="1014" spans="19:55" ht="15.75" customHeight="1">
      <c r="S1014" s="454"/>
      <c r="AN1014" s="458"/>
      <c r="BA1014" s="1305"/>
      <c r="BC1014" s="169"/>
    </row>
    <row r="1015" spans="19:55" ht="15.75" customHeight="1">
      <c r="S1015" s="454"/>
      <c r="AN1015" s="458"/>
      <c r="BA1015" s="1305"/>
      <c r="BC1015" s="169"/>
    </row>
    <row r="1016" spans="19:55" ht="15.75" customHeight="1">
      <c r="S1016" s="454"/>
      <c r="AN1016" s="458"/>
      <c r="BA1016" s="1305"/>
      <c r="BC1016" s="169"/>
    </row>
    <row r="1017" spans="19:55" ht="15.75" customHeight="1">
      <c r="S1017" s="454"/>
      <c r="AN1017" s="458"/>
      <c r="BA1017" s="1305"/>
      <c r="BC1017" s="169"/>
    </row>
    <row r="1018" spans="19:55" ht="15.75" customHeight="1">
      <c r="S1018" s="454"/>
      <c r="AN1018" s="458"/>
      <c r="BA1018" s="1305"/>
      <c r="BC1018" s="169"/>
    </row>
    <row r="1019" spans="19:55" ht="15.75" customHeight="1">
      <c r="S1019" s="454"/>
      <c r="AN1019" s="458"/>
      <c r="BA1019" s="1305"/>
      <c r="BC1019" s="169"/>
    </row>
    <row r="1020" spans="19:55" ht="15.75" customHeight="1">
      <c r="S1020" s="454"/>
      <c r="AN1020" s="458"/>
      <c r="BA1020" s="1305"/>
      <c r="BC1020" s="169"/>
    </row>
    <row r="1021" spans="19:55" ht="15.75" customHeight="1">
      <c r="S1021" s="454"/>
      <c r="AN1021" s="458"/>
      <c r="BA1021" s="1305"/>
      <c r="BC1021" s="169"/>
    </row>
    <row r="1022" spans="19:55" ht="15.75" customHeight="1">
      <c r="S1022" s="454"/>
      <c r="AN1022" s="458"/>
      <c r="BA1022" s="1305"/>
      <c r="BC1022" s="169"/>
    </row>
    <row r="1023" spans="19:55" ht="15.75" customHeight="1">
      <c r="S1023" s="454"/>
      <c r="AN1023" s="458"/>
      <c r="BA1023" s="1305"/>
      <c r="BC1023" s="169"/>
    </row>
    <row r="1024" spans="19:55" ht="15.75" customHeight="1">
      <c r="S1024" s="454"/>
      <c r="AN1024" s="458"/>
      <c r="BA1024" s="1305"/>
      <c r="BC1024" s="169"/>
    </row>
    <row r="1025" spans="19:55" ht="15.75" customHeight="1">
      <c r="S1025" s="454"/>
      <c r="AN1025" s="458"/>
      <c r="BA1025" s="1305"/>
      <c r="BC1025" s="169"/>
    </row>
    <row r="1026" spans="19:55" ht="15.75" customHeight="1">
      <c r="S1026" s="454"/>
      <c r="AN1026" s="458"/>
      <c r="BA1026" s="1305"/>
      <c r="BC1026" s="169"/>
    </row>
    <row r="1027" spans="19:55" ht="15.75" customHeight="1">
      <c r="S1027" s="454"/>
      <c r="AN1027" s="458"/>
      <c r="BA1027" s="1305"/>
      <c r="BC1027" s="169"/>
    </row>
    <row r="1028" spans="19:55" ht="15.75" customHeight="1">
      <c r="S1028" s="454"/>
      <c r="AN1028" s="458"/>
      <c r="BA1028" s="1305"/>
      <c r="BC1028" s="169"/>
    </row>
    <row r="1029" spans="19:55" ht="15.75" customHeight="1">
      <c r="S1029" s="454"/>
      <c r="AN1029" s="458"/>
      <c r="BA1029" s="1305"/>
      <c r="BC1029" s="169"/>
    </row>
    <row r="1030" spans="19:55" ht="15.75" customHeight="1">
      <c r="S1030" s="454"/>
      <c r="AN1030" s="458"/>
      <c r="BA1030" s="1305"/>
      <c r="BC1030" s="169"/>
    </row>
    <row r="1031" spans="19:55" ht="15.75" customHeight="1">
      <c r="S1031" s="454"/>
      <c r="AN1031" s="458"/>
      <c r="BA1031" s="1305"/>
      <c r="BC1031" s="169"/>
    </row>
    <row r="1032" spans="19:55" ht="15.75" customHeight="1">
      <c r="S1032" s="454"/>
      <c r="AN1032" s="458"/>
      <c r="BA1032" s="1305"/>
      <c r="BC1032" s="169"/>
    </row>
    <row r="1033" spans="19:55" ht="15.75" customHeight="1">
      <c r="S1033" s="454"/>
      <c r="AN1033" s="458"/>
      <c r="BA1033" s="1305"/>
      <c r="BC1033" s="169"/>
    </row>
    <row r="1034" spans="19:55" ht="15.75" customHeight="1">
      <c r="S1034" s="454"/>
      <c r="AN1034" s="458"/>
      <c r="BA1034" s="1305"/>
      <c r="BC1034" s="169"/>
    </row>
    <row r="1035" spans="19:55" ht="15.75" customHeight="1">
      <c r="S1035" s="454"/>
      <c r="AN1035" s="458"/>
      <c r="BA1035" s="1305"/>
      <c r="BC1035" s="169"/>
    </row>
    <row r="1036" spans="19:55" ht="15.75" customHeight="1">
      <c r="S1036" s="454"/>
      <c r="AN1036" s="458"/>
      <c r="BA1036" s="1305"/>
      <c r="BC1036" s="169"/>
    </row>
    <row r="1037" spans="19:55" ht="15.75" customHeight="1">
      <c r="S1037" s="454"/>
      <c r="AN1037" s="458"/>
      <c r="BA1037" s="1305"/>
      <c r="BC1037" s="169"/>
    </row>
    <row r="1038" spans="19:55" ht="15.75" customHeight="1">
      <c r="S1038" s="454"/>
      <c r="AN1038" s="458"/>
      <c r="BA1038" s="1305"/>
      <c r="BC1038" s="169"/>
    </row>
    <row r="1039" spans="19:55" ht="15.75" customHeight="1">
      <c r="S1039" s="454"/>
      <c r="AN1039" s="458"/>
      <c r="BA1039" s="1305"/>
      <c r="BC1039" s="169"/>
    </row>
    <row r="1040" spans="19:55" ht="15.75" customHeight="1">
      <c r="S1040" s="454"/>
      <c r="AN1040" s="458"/>
      <c r="BA1040" s="1305"/>
      <c r="BC1040" s="169"/>
    </row>
    <row r="1041" spans="19:55" ht="15.75" customHeight="1">
      <c r="S1041" s="454"/>
      <c r="AN1041" s="458"/>
      <c r="BA1041" s="1305"/>
      <c r="BC1041" s="169"/>
    </row>
    <row r="1042" spans="19:55" ht="15.75" customHeight="1">
      <c r="S1042" s="454"/>
      <c r="AN1042" s="458"/>
      <c r="BA1042" s="1305"/>
      <c r="BC1042" s="169"/>
    </row>
    <row r="1043" spans="19:55" ht="15.75" customHeight="1">
      <c r="S1043" s="454"/>
      <c r="AN1043" s="458"/>
      <c r="BA1043" s="1305"/>
      <c r="BC1043" s="169"/>
    </row>
    <row r="1044" spans="19:55" ht="15.75" customHeight="1">
      <c r="S1044" s="454"/>
      <c r="AN1044" s="458"/>
      <c r="BA1044" s="1305"/>
      <c r="BC1044" s="169"/>
    </row>
    <row r="1045" spans="19:55" ht="15.75" customHeight="1">
      <c r="S1045" s="454"/>
      <c r="AN1045" s="458"/>
      <c r="BA1045" s="1305"/>
      <c r="BC1045" s="169"/>
    </row>
    <row r="1046" spans="19:55" ht="15.75" customHeight="1">
      <c r="S1046" s="454"/>
      <c r="AN1046" s="458"/>
      <c r="BA1046" s="1305"/>
      <c r="BC1046" s="169"/>
    </row>
    <row r="1047" spans="19:55" ht="15.75" customHeight="1">
      <c r="S1047" s="454"/>
      <c r="AN1047" s="458"/>
      <c r="BA1047" s="1305"/>
      <c r="BC1047" s="169"/>
    </row>
    <row r="1048" spans="19:55" ht="15.75" customHeight="1">
      <c r="S1048" s="454"/>
      <c r="AN1048" s="458"/>
      <c r="BA1048" s="1305"/>
      <c r="BC1048" s="169"/>
    </row>
    <row r="1049" spans="19:55" ht="15.75" customHeight="1">
      <c r="S1049" s="454"/>
      <c r="AN1049" s="458"/>
      <c r="BA1049" s="1305"/>
      <c r="BC1049" s="169"/>
    </row>
    <row r="1050" spans="19:55" ht="15.75" customHeight="1">
      <c r="S1050" s="454"/>
      <c r="AN1050" s="458"/>
      <c r="BA1050" s="1305"/>
      <c r="BC1050" s="169"/>
    </row>
    <row r="1051" spans="19:55" ht="15.75" customHeight="1">
      <c r="S1051" s="454"/>
      <c r="AN1051" s="458"/>
      <c r="BA1051" s="1305"/>
      <c r="BC1051" s="169"/>
    </row>
    <row r="1052" spans="19:55" ht="15.75" customHeight="1">
      <c r="S1052" s="454"/>
      <c r="AN1052" s="458"/>
      <c r="BA1052" s="1305"/>
      <c r="BC1052" s="169"/>
    </row>
    <row r="1053" spans="19:55" ht="15.75" customHeight="1">
      <c r="S1053" s="454"/>
      <c r="AN1053" s="458"/>
      <c r="BA1053" s="1305"/>
      <c r="BC1053" s="169"/>
    </row>
    <row r="1054" spans="19:55" ht="15.75" customHeight="1">
      <c r="S1054" s="454"/>
      <c r="AN1054" s="458"/>
      <c r="BA1054" s="1305"/>
      <c r="BC1054" s="169"/>
    </row>
    <row r="1055" spans="19:55" ht="15.75" customHeight="1">
      <c r="S1055" s="454"/>
      <c r="AN1055" s="458"/>
      <c r="BA1055" s="1305"/>
      <c r="BC1055" s="169"/>
    </row>
    <row r="1056" spans="19:55" ht="15.75" customHeight="1">
      <c r="S1056" s="454"/>
      <c r="AN1056" s="458"/>
      <c r="BA1056" s="1305"/>
      <c r="BC1056" s="169"/>
    </row>
    <row r="1057" spans="19:55" ht="15.75" customHeight="1">
      <c r="S1057" s="454"/>
      <c r="AN1057" s="458"/>
      <c r="BA1057" s="1305"/>
      <c r="BC1057" s="169"/>
    </row>
    <row r="1058" spans="19:55" ht="15.75" customHeight="1">
      <c r="S1058" s="454"/>
      <c r="AN1058" s="458"/>
      <c r="BA1058" s="1305"/>
      <c r="BC1058" s="169"/>
    </row>
    <row r="1059" spans="19:55" ht="15.75" customHeight="1">
      <c r="S1059" s="454"/>
      <c r="AN1059" s="458"/>
      <c r="BA1059" s="1305"/>
      <c r="BC1059" s="169"/>
    </row>
    <row r="1060" spans="19:55" ht="15.75" customHeight="1">
      <c r="S1060" s="454"/>
      <c r="AN1060" s="458"/>
      <c r="BA1060" s="1305"/>
      <c r="BC1060" s="169"/>
    </row>
    <row r="1061" spans="19:55" ht="15.75" customHeight="1">
      <c r="S1061" s="454"/>
      <c r="AN1061" s="458"/>
      <c r="BA1061" s="1305"/>
      <c r="BC1061" s="169"/>
    </row>
    <row r="1062" spans="19:55" ht="15.75" customHeight="1">
      <c r="S1062" s="454"/>
      <c r="AN1062" s="458"/>
      <c r="BA1062" s="1305"/>
      <c r="BC1062" s="169"/>
    </row>
    <row r="1063" spans="19:55" ht="15.75" customHeight="1">
      <c r="S1063" s="454"/>
      <c r="AN1063" s="458"/>
      <c r="BA1063" s="1305"/>
      <c r="BC1063" s="169"/>
    </row>
    <row r="1064" spans="19:55" ht="15.75" customHeight="1">
      <c r="S1064" s="454"/>
      <c r="AN1064" s="458"/>
      <c r="BA1064" s="1305"/>
      <c r="BC1064" s="169"/>
    </row>
    <row r="1065" spans="19:55" ht="15.75" customHeight="1">
      <c r="S1065" s="454"/>
      <c r="AN1065" s="458"/>
      <c r="BA1065" s="1305"/>
      <c r="BC1065" s="169"/>
    </row>
    <row r="1066" spans="19:55" ht="15.75" customHeight="1">
      <c r="S1066" s="454"/>
      <c r="AN1066" s="458"/>
      <c r="BA1066" s="1305"/>
      <c r="BC1066" s="169"/>
    </row>
    <row r="1067" spans="19:55" ht="15.75" customHeight="1">
      <c r="S1067" s="454"/>
      <c r="AN1067" s="458"/>
      <c r="BA1067" s="1305"/>
      <c r="BC1067" s="169"/>
    </row>
    <row r="1068" spans="19:55" ht="15.75" customHeight="1">
      <c r="S1068" s="454"/>
      <c r="AN1068" s="458"/>
      <c r="BA1068" s="1305"/>
      <c r="BC1068" s="169"/>
    </row>
    <row r="1069" spans="19:55" ht="15.75" customHeight="1">
      <c r="S1069" s="454"/>
      <c r="AN1069" s="458"/>
      <c r="BA1069" s="1305"/>
      <c r="BC1069" s="169"/>
    </row>
    <row r="1070" spans="19:55" ht="15.75" customHeight="1">
      <c r="S1070" s="454"/>
      <c r="AN1070" s="458"/>
      <c r="BA1070" s="1305"/>
      <c r="BC1070" s="169"/>
    </row>
    <row r="1071" spans="19:55" ht="15.75" customHeight="1">
      <c r="S1071" s="454"/>
      <c r="AN1071" s="458"/>
      <c r="BA1071" s="1305"/>
      <c r="BC1071" s="169"/>
    </row>
    <row r="1072" spans="19:55" ht="15.75" customHeight="1">
      <c r="S1072" s="454"/>
      <c r="AN1072" s="458"/>
      <c r="BA1072" s="1305"/>
      <c r="BC1072" s="169"/>
    </row>
    <row r="1073" spans="19:55" ht="15.75" customHeight="1">
      <c r="S1073" s="454"/>
      <c r="AN1073" s="458"/>
      <c r="BA1073" s="1305"/>
      <c r="BC1073" s="169"/>
    </row>
    <row r="1074" spans="19:55" ht="15.75" customHeight="1">
      <c r="S1074" s="454"/>
      <c r="AN1074" s="458"/>
      <c r="BA1074" s="1305"/>
      <c r="BC1074" s="169"/>
    </row>
    <row r="1075" spans="19:55" ht="15.75" customHeight="1">
      <c r="S1075" s="454"/>
      <c r="AN1075" s="458"/>
      <c r="BA1075" s="1305"/>
      <c r="BC1075" s="169"/>
    </row>
    <row r="1076" spans="19:55" ht="15.75" customHeight="1">
      <c r="S1076" s="454"/>
      <c r="AN1076" s="458"/>
      <c r="BA1076" s="1305"/>
      <c r="BC1076" s="169"/>
    </row>
    <row r="1077" spans="19:55" ht="15.75" customHeight="1">
      <c r="S1077" s="454"/>
      <c r="AN1077" s="458"/>
      <c r="BA1077" s="1305"/>
      <c r="BC1077" s="169"/>
    </row>
    <row r="1078" spans="19:55" ht="15.75" customHeight="1">
      <c r="S1078" s="454"/>
      <c r="AN1078" s="458"/>
      <c r="BA1078" s="1305"/>
      <c r="BC1078" s="169"/>
    </row>
    <row r="1079" spans="19:55" ht="15.75" customHeight="1">
      <c r="S1079" s="454"/>
      <c r="AN1079" s="458"/>
      <c r="BA1079" s="1305"/>
      <c r="BC1079" s="169"/>
    </row>
    <row r="1080" spans="19:55" ht="15.75" customHeight="1">
      <c r="S1080" s="454"/>
      <c r="AN1080" s="458"/>
      <c r="BA1080" s="1305"/>
      <c r="BC1080" s="169"/>
    </row>
    <row r="1081" spans="19:55" ht="15.75" customHeight="1">
      <c r="S1081" s="454"/>
      <c r="AN1081" s="458"/>
      <c r="BA1081" s="1305"/>
      <c r="BC1081" s="169"/>
    </row>
    <row r="1082" spans="19:55" ht="15.75" customHeight="1">
      <c r="S1082" s="454"/>
      <c r="AN1082" s="458"/>
      <c r="BA1082" s="1305"/>
      <c r="BC1082" s="169"/>
    </row>
    <row r="1083" spans="19:55" ht="15.75" customHeight="1">
      <c r="S1083" s="454"/>
      <c r="AN1083" s="458"/>
      <c r="BA1083" s="1305"/>
      <c r="BC1083" s="169"/>
    </row>
    <row r="1084" spans="19:55" ht="15.75" customHeight="1">
      <c r="S1084" s="454"/>
      <c r="AN1084" s="458"/>
      <c r="BA1084" s="1305"/>
      <c r="BC1084" s="169"/>
    </row>
    <row r="1085" spans="19:55" ht="15.75" customHeight="1">
      <c r="S1085" s="454"/>
      <c r="AN1085" s="458"/>
      <c r="BA1085" s="1305"/>
      <c r="BC1085" s="169"/>
    </row>
    <row r="1086" spans="19:55" ht="15.75" customHeight="1">
      <c r="S1086" s="454"/>
      <c r="AN1086" s="458"/>
      <c r="BA1086" s="1305"/>
      <c r="BC1086" s="169"/>
    </row>
    <row r="1087" spans="19:55" ht="15.75" customHeight="1">
      <c r="S1087" s="454"/>
      <c r="AN1087" s="458"/>
      <c r="BA1087" s="1305"/>
      <c r="BC1087" s="169"/>
    </row>
    <row r="1088" spans="19:55" ht="15.75" customHeight="1">
      <c r="S1088" s="454"/>
      <c r="AN1088" s="458"/>
      <c r="BA1088" s="1305"/>
      <c r="BC1088" s="169"/>
    </row>
    <row r="1089" spans="19:55" ht="15.75" customHeight="1">
      <c r="S1089" s="454"/>
      <c r="AN1089" s="458"/>
      <c r="BA1089" s="1305"/>
      <c r="BC1089" s="169"/>
    </row>
    <row r="1090" spans="19:55" ht="15.75" customHeight="1">
      <c r="S1090" s="454"/>
      <c r="AN1090" s="458"/>
      <c r="BA1090" s="1305"/>
      <c r="BC1090" s="169"/>
    </row>
    <row r="1091" spans="19:55" ht="15.75" customHeight="1">
      <c r="S1091" s="454"/>
      <c r="AN1091" s="458"/>
      <c r="BA1091" s="1305"/>
      <c r="BC1091" s="169"/>
    </row>
    <row r="1092" spans="19:55" ht="15.75" customHeight="1">
      <c r="S1092" s="454"/>
      <c r="AN1092" s="458"/>
      <c r="BA1092" s="1305"/>
      <c r="BC1092" s="169"/>
    </row>
    <row r="1093" spans="19:55" ht="15.75" customHeight="1">
      <c r="S1093" s="454"/>
      <c r="AN1093" s="458"/>
      <c r="BA1093" s="1305"/>
      <c r="BC1093" s="169"/>
    </row>
    <row r="1094" spans="19:55" ht="15.75" customHeight="1">
      <c r="S1094" s="454"/>
      <c r="AN1094" s="458"/>
      <c r="BA1094" s="1305"/>
      <c r="BC1094" s="169"/>
    </row>
    <row r="1095" spans="19:55" ht="15.75" customHeight="1">
      <c r="S1095" s="454"/>
      <c r="AN1095" s="458"/>
      <c r="BA1095" s="1266"/>
      <c r="BC1095" s="169"/>
    </row>
    <row r="1096" spans="19:55" ht="15.75" customHeight="1">
      <c r="S1096" s="454"/>
      <c r="AN1096" s="458"/>
      <c r="BA1096" s="1266"/>
      <c r="BC1096" s="169"/>
    </row>
    <row r="1097" spans="19:55" ht="15.75" customHeight="1">
      <c r="S1097" s="454"/>
      <c r="AN1097" s="458"/>
      <c r="BA1097" s="1266"/>
      <c r="BC1097" s="169"/>
    </row>
    <row r="1098" spans="19:55" ht="15.75" customHeight="1">
      <c r="S1098" s="454"/>
      <c r="AN1098" s="458"/>
      <c r="BA1098" s="1266"/>
      <c r="BC1098" s="169"/>
    </row>
    <row r="1099" spans="19:55" ht="15.75" customHeight="1">
      <c r="S1099" s="454"/>
      <c r="AN1099" s="458"/>
      <c r="BA1099" s="1266"/>
      <c r="BC1099" s="169"/>
    </row>
    <row r="1100" spans="19:55" ht="15.75" customHeight="1">
      <c r="S1100" s="454"/>
      <c r="AN1100" s="458"/>
      <c r="BA1100" s="1266"/>
      <c r="BC1100" s="169"/>
    </row>
    <row r="1101" spans="19:55" ht="15.75" customHeight="1">
      <c r="S1101" s="454"/>
      <c r="AN1101" s="458"/>
      <c r="BA1101" s="1266"/>
      <c r="BC1101" s="169"/>
    </row>
    <row r="1102" spans="19:55" ht="15.75" customHeight="1">
      <c r="S1102" s="454"/>
      <c r="AN1102" s="458"/>
      <c r="BA1102" s="1266"/>
      <c r="BC1102" s="169"/>
    </row>
    <row r="1103" spans="19:55" ht="15.75" customHeight="1">
      <c r="S1103" s="454"/>
      <c r="AN1103" s="458"/>
      <c r="BA1103" s="1266"/>
      <c r="BC1103" s="169"/>
    </row>
    <row r="1104" spans="19:55" ht="15.75" customHeight="1">
      <c r="S1104" s="454"/>
      <c r="AN1104" s="458"/>
      <c r="BA1104" s="1266"/>
      <c r="BC1104" s="169"/>
    </row>
    <row r="1105" spans="19:55" ht="15.75" customHeight="1">
      <c r="S1105" s="454"/>
      <c r="AN1105" s="458"/>
      <c r="BA1105" s="1266"/>
      <c r="BC1105" s="169"/>
    </row>
    <row r="1106" spans="19:55" ht="15.75" customHeight="1">
      <c r="S1106" s="454"/>
      <c r="AN1106" s="458"/>
      <c r="BA1106" s="1266"/>
      <c r="BC1106" s="169"/>
    </row>
    <row r="1107" spans="19:55" ht="15.75" customHeight="1">
      <c r="S1107" s="454"/>
      <c r="AN1107" s="458"/>
      <c r="BA1107" s="1266"/>
      <c r="BC1107" s="169"/>
    </row>
    <row r="1108" spans="19:55" ht="15.75" customHeight="1">
      <c r="S1108" s="454"/>
      <c r="AN1108" s="458"/>
      <c r="BA1108" s="1266"/>
      <c r="BC1108" s="169"/>
    </row>
    <row r="1109" spans="19:55" ht="15.75" customHeight="1">
      <c r="S1109" s="454"/>
      <c r="AN1109" s="458"/>
      <c r="BA1109" s="1266"/>
      <c r="BC1109" s="169"/>
    </row>
    <row r="1110" spans="19:55" ht="15.75" customHeight="1">
      <c r="S1110" s="454"/>
      <c r="AN1110" s="458"/>
      <c r="BA1110" s="1266"/>
      <c r="BC1110" s="169"/>
    </row>
    <row r="1111" spans="19:55" ht="15.75" customHeight="1">
      <c r="S1111" s="454"/>
      <c r="AN1111" s="458"/>
      <c r="BA1111" s="1266"/>
      <c r="BC1111" s="169"/>
    </row>
    <row r="1112" spans="19:55" ht="15.75" customHeight="1">
      <c r="S1112" s="454"/>
      <c r="AN1112" s="458"/>
      <c r="BA1112" s="1266"/>
      <c r="BC1112" s="169"/>
    </row>
    <row r="1113" spans="19:55" ht="15.75" customHeight="1">
      <c r="S1113" s="454"/>
      <c r="AN1113" s="458"/>
      <c r="BA1113" s="1266"/>
      <c r="BC1113" s="169"/>
    </row>
    <row r="1114" spans="19:55" ht="15.75" customHeight="1">
      <c r="S1114" s="454"/>
      <c r="AN1114" s="458"/>
      <c r="BA1114" s="1266"/>
      <c r="BC1114" s="169"/>
    </row>
    <row r="1115" spans="19:55" ht="15.75" customHeight="1">
      <c r="S1115" s="454"/>
      <c r="AN1115" s="458"/>
      <c r="BA1115" s="1266"/>
      <c r="BC1115" s="169"/>
    </row>
    <row r="1116" spans="19:55" ht="15.75" customHeight="1">
      <c r="S1116" s="454"/>
      <c r="AN1116" s="458"/>
      <c r="BA1116" s="1266"/>
      <c r="BC1116" s="169"/>
    </row>
    <row r="1117" spans="19:55" ht="15.75" customHeight="1">
      <c r="S1117" s="454"/>
      <c r="AN1117" s="458"/>
      <c r="BA1117" s="1266"/>
      <c r="BC1117" s="169"/>
    </row>
    <row r="1118" spans="19:55" ht="15.75" customHeight="1">
      <c r="S1118" s="454"/>
      <c r="AN1118" s="458"/>
      <c r="BA1118" s="1266"/>
      <c r="BC1118" s="169"/>
    </row>
    <row r="1119" spans="19:55" ht="15.75" customHeight="1">
      <c r="S1119" s="454"/>
      <c r="AN1119" s="458"/>
      <c r="BA1119" s="1266"/>
      <c r="BC1119" s="169"/>
    </row>
    <row r="1120" spans="19:55" ht="15.75" customHeight="1">
      <c r="S1120" s="454"/>
      <c r="AN1120" s="458"/>
      <c r="BA1120" s="1266"/>
      <c r="BC1120" s="169"/>
    </row>
    <row r="1121" spans="19:55" ht="15.75" customHeight="1">
      <c r="S1121" s="454"/>
      <c r="AN1121" s="458"/>
      <c r="BA1121" s="1266"/>
      <c r="BC1121" s="169"/>
    </row>
    <row r="1122" spans="19:55" ht="15.75" customHeight="1">
      <c r="S1122" s="454"/>
      <c r="AN1122" s="458"/>
      <c r="BA1122" s="1266"/>
      <c r="BC1122" s="169"/>
    </row>
    <row r="1123" spans="19:55" ht="15.75" customHeight="1">
      <c r="S1123" s="454"/>
      <c r="AN1123" s="458"/>
      <c r="BA1123" s="1266"/>
      <c r="BC1123" s="169"/>
    </row>
    <row r="1124" spans="19:55" ht="15.75" customHeight="1">
      <c r="S1124" s="454"/>
      <c r="AN1124" s="458"/>
      <c r="BA1124" s="1266"/>
      <c r="BC1124" s="169"/>
    </row>
    <row r="1125" spans="19:55" ht="15.75" customHeight="1">
      <c r="S1125" s="454"/>
      <c r="AN1125" s="458"/>
      <c r="BA1125" s="1266"/>
      <c r="BC1125" s="169"/>
    </row>
    <row r="1126" spans="19:55" ht="15.75" customHeight="1">
      <c r="S1126" s="454"/>
      <c r="AN1126" s="458"/>
      <c r="BA1126" s="1266"/>
      <c r="BC1126" s="169"/>
    </row>
    <row r="1127" spans="19:55" ht="15.75" customHeight="1">
      <c r="S1127" s="454"/>
      <c r="AN1127" s="458"/>
      <c r="BA1127" s="1266"/>
      <c r="BC1127" s="169"/>
    </row>
    <row r="1128" spans="19:55" ht="15.75" customHeight="1">
      <c r="S1128" s="454"/>
      <c r="AN1128" s="458"/>
      <c r="BA1128" s="1266"/>
      <c r="BC1128" s="169"/>
    </row>
    <row r="1129" spans="19:55" ht="15.75" customHeight="1">
      <c r="S1129" s="454"/>
      <c r="AN1129" s="458"/>
      <c r="BA1129" s="1266"/>
      <c r="BC1129" s="169"/>
    </row>
    <row r="1130" spans="19:55" ht="15.75" customHeight="1">
      <c r="S1130" s="454"/>
      <c r="AN1130" s="458"/>
      <c r="BA1130" s="1266"/>
      <c r="BC1130" s="169"/>
    </row>
    <row r="1131" spans="19:55" ht="15.75" customHeight="1">
      <c r="S1131" s="454"/>
      <c r="AN1131" s="458"/>
      <c r="BA1131" s="1266"/>
      <c r="BC1131" s="169"/>
    </row>
    <row r="1132" spans="19:55" ht="15.75" customHeight="1">
      <c r="S1132" s="454"/>
      <c r="AN1132" s="458"/>
      <c r="BA1132" s="1266"/>
      <c r="BC1132" s="169"/>
    </row>
    <row r="1133" spans="19:55" ht="15.75" customHeight="1">
      <c r="S1133" s="454"/>
      <c r="AN1133" s="458"/>
      <c r="BA1133" s="1266"/>
      <c r="BC1133" s="169"/>
    </row>
    <row r="1134" spans="19:55" ht="15.75" customHeight="1">
      <c r="S1134" s="454"/>
      <c r="AN1134" s="458"/>
      <c r="BA1134" s="1266"/>
      <c r="BC1134" s="169"/>
    </row>
    <row r="1135" spans="19:55" ht="15.75" customHeight="1">
      <c r="S1135" s="454"/>
      <c r="AN1135" s="458"/>
      <c r="BA1135" s="1266"/>
      <c r="BC1135" s="169"/>
    </row>
    <row r="1136" spans="19:55" ht="15.75" customHeight="1">
      <c r="S1136" s="454"/>
      <c r="AN1136" s="458"/>
      <c r="BA1136" s="1266"/>
      <c r="BC1136" s="169"/>
    </row>
    <row r="1137" spans="19:55" ht="15.75" customHeight="1">
      <c r="S1137" s="454"/>
      <c r="AN1137" s="458"/>
      <c r="BA1137" s="1266"/>
      <c r="BC1137" s="169"/>
    </row>
    <row r="1138" spans="19:55" ht="15.75" customHeight="1">
      <c r="S1138" s="454"/>
      <c r="AN1138" s="458"/>
      <c r="BA1138" s="1266"/>
      <c r="BC1138" s="169"/>
    </row>
    <row r="1139" spans="19:55" ht="15.75" customHeight="1">
      <c r="S1139" s="454"/>
      <c r="AN1139" s="458"/>
      <c r="BA1139" s="1266"/>
      <c r="BC1139" s="169"/>
    </row>
    <row r="1140" spans="19:55" ht="15.75" customHeight="1">
      <c r="S1140" s="454"/>
      <c r="AN1140" s="458"/>
      <c r="BA1140" s="1266"/>
      <c r="BC1140" s="169"/>
    </row>
    <row r="1141" spans="19:55" ht="15.75" customHeight="1">
      <c r="S1141" s="454"/>
      <c r="AN1141" s="458"/>
      <c r="BA1141" s="1266"/>
      <c r="BC1141" s="169"/>
    </row>
    <row r="1142" spans="19:55" ht="15.75" customHeight="1">
      <c r="S1142" s="454"/>
      <c r="AN1142" s="458"/>
      <c r="BA1142" s="1266"/>
      <c r="BC1142" s="169"/>
    </row>
    <row r="1143" spans="19:55" ht="15.75" customHeight="1">
      <c r="S1143" s="454"/>
      <c r="AN1143" s="458"/>
      <c r="BA1143" s="1266"/>
      <c r="BC1143" s="169"/>
    </row>
    <row r="1144" spans="19:55" ht="15.75" customHeight="1">
      <c r="S1144" s="454"/>
      <c r="AN1144" s="458"/>
      <c r="BA1144" s="1266"/>
      <c r="BC1144" s="169"/>
    </row>
    <row r="1145" spans="19:55" ht="15.75" customHeight="1">
      <c r="S1145" s="454"/>
      <c r="AN1145" s="458"/>
      <c r="BA1145" s="1266"/>
      <c r="BC1145" s="169"/>
    </row>
    <row r="1146" spans="19:55" ht="15.75" customHeight="1">
      <c r="S1146" s="454"/>
      <c r="AN1146" s="458"/>
      <c r="BA1146" s="1266"/>
      <c r="BC1146" s="169"/>
    </row>
    <row r="1147" spans="19:55" ht="15.75" customHeight="1">
      <c r="S1147" s="454"/>
      <c r="AN1147" s="458"/>
      <c r="BA1147" s="1266"/>
      <c r="BC1147" s="169"/>
    </row>
    <row r="1148" spans="19:55" ht="15.75" customHeight="1">
      <c r="S1148" s="454"/>
      <c r="AN1148" s="458"/>
      <c r="BA1148" s="1266"/>
      <c r="BC1148" s="169"/>
    </row>
    <row r="1149" spans="19:55" ht="15.75" customHeight="1">
      <c r="S1149" s="454"/>
      <c r="AN1149" s="458"/>
      <c r="BA1149" s="1266"/>
      <c r="BC1149" s="169"/>
    </row>
    <row r="1150" spans="19:55" ht="15.75" customHeight="1">
      <c r="S1150" s="454"/>
      <c r="AN1150" s="458"/>
      <c r="BA1150" s="1266"/>
      <c r="BC1150" s="169"/>
    </row>
    <row r="1151" spans="19:55" ht="15.75" customHeight="1">
      <c r="S1151" s="454"/>
      <c r="AN1151" s="458"/>
      <c r="BA1151" s="1266"/>
      <c r="BC1151" s="169"/>
    </row>
    <row r="1152" spans="19:55" ht="15.75" customHeight="1">
      <c r="S1152" s="454"/>
      <c r="AN1152" s="458"/>
      <c r="BA1152" s="1266"/>
      <c r="BC1152" s="169"/>
    </row>
    <row r="1153" spans="19:55" ht="15.75" customHeight="1">
      <c r="S1153" s="454"/>
      <c r="AN1153" s="458"/>
      <c r="BA1153" s="1266"/>
      <c r="BC1153" s="169"/>
    </row>
    <row r="1154" spans="19:55" ht="15.75" customHeight="1">
      <c r="S1154" s="454"/>
      <c r="AN1154" s="458"/>
      <c r="BA1154" s="1266"/>
      <c r="BC1154" s="169"/>
    </row>
    <row r="1155" spans="19:55" ht="15.75" customHeight="1">
      <c r="S1155" s="454"/>
      <c r="AN1155" s="458"/>
      <c r="BA1155" s="1266"/>
      <c r="BC1155" s="169"/>
    </row>
    <row r="1156" spans="19:55" ht="15.75" customHeight="1">
      <c r="S1156" s="454"/>
      <c r="AN1156" s="458"/>
      <c r="BA1156" s="1266"/>
      <c r="BC1156" s="169"/>
    </row>
    <row r="1157" spans="19:55" ht="15.75" customHeight="1">
      <c r="S1157" s="454"/>
      <c r="AN1157" s="458"/>
      <c r="BA1157" s="1266"/>
      <c r="BC1157" s="169"/>
    </row>
    <row r="1158" spans="19:55" ht="15.75" customHeight="1">
      <c r="S1158" s="454"/>
      <c r="AN1158" s="458"/>
      <c r="BA1158" s="1266"/>
      <c r="BC1158" s="169"/>
    </row>
    <row r="1159" spans="19:55" ht="15.75" customHeight="1">
      <c r="S1159" s="454"/>
      <c r="AN1159" s="458"/>
      <c r="BA1159" s="1266"/>
      <c r="BC1159" s="169"/>
    </row>
    <row r="1160" spans="19:55" ht="15.75" customHeight="1">
      <c r="S1160" s="454"/>
      <c r="AN1160" s="458"/>
      <c r="BA1160" s="1266"/>
      <c r="BC1160" s="169"/>
    </row>
    <row r="1161" spans="19:55" ht="15.75" customHeight="1">
      <c r="S1161" s="454"/>
      <c r="AN1161" s="458"/>
      <c r="BA1161" s="1266"/>
      <c r="BC1161" s="169"/>
    </row>
    <row r="1162" spans="19:55" ht="15.75" customHeight="1">
      <c r="S1162" s="454"/>
      <c r="AN1162" s="458"/>
      <c r="BA1162" s="1266"/>
      <c r="BC1162" s="169"/>
    </row>
    <row r="1163" spans="19:55" ht="15.75" customHeight="1">
      <c r="S1163" s="454"/>
      <c r="AN1163" s="458"/>
      <c r="BA1163" s="1266"/>
      <c r="BC1163" s="169"/>
    </row>
    <row r="1164" spans="19:55" ht="15.75" customHeight="1">
      <c r="S1164" s="454"/>
      <c r="AN1164" s="458"/>
      <c r="BA1164" s="1266"/>
      <c r="BC1164" s="169"/>
    </row>
    <row r="1165" spans="19:55" ht="15.75" customHeight="1">
      <c r="S1165" s="454"/>
      <c r="AN1165" s="458"/>
      <c r="BA1165" s="1266"/>
      <c r="BC1165" s="169"/>
    </row>
    <row r="1166" spans="19:55" ht="15.75" customHeight="1">
      <c r="S1166" s="454"/>
      <c r="AN1166" s="458"/>
      <c r="BA1166" s="1266"/>
      <c r="BC1166" s="169"/>
    </row>
    <row r="1167" spans="19:55" ht="15.75" customHeight="1">
      <c r="S1167" s="454"/>
      <c r="AN1167" s="458"/>
      <c r="BA1167" s="1266"/>
      <c r="BC1167" s="169"/>
    </row>
    <row r="1168" spans="19:55" ht="15.75" customHeight="1">
      <c r="S1168" s="454"/>
      <c r="AN1168" s="458"/>
      <c r="BA1168" s="1266"/>
      <c r="BC1168" s="169"/>
    </row>
    <row r="1169" spans="19:55" ht="15.75" customHeight="1">
      <c r="S1169" s="454"/>
      <c r="AN1169" s="458"/>
      <c r="BA1169" s="1266"/>
      <c r="BC1169" s="169"/>
    </row>
    <row r="1170" spans="19:55" ht="15.75" customHeight="1">
      <c r="S1170" s="454"/>
      <c r="AN1170" s="458"/>
      <c r="BA1170" s="1266"/>
      <c r="BC1170" s="169"/>
    </row>
    <row r="1171" spans="19:55" ht="15.75" customHeight="1">
      <c r="S1171" s="454"/>
      <c r="AN1171" s="458"/>
      <c r="BA1171" s="1266"/>
      <c r="BC1171" s="169"/>
    </row>
    <row r="1172" spans="19:55" ht="15.75" customHeight="1">
      <c r="S1172" s="454"/>
      <c r="AN1172" s="458"/>
      <c r="BA1172" s="1266"/>
      <c r="BC1172" s="169"/>
    </row>
    <row r="1173" spans="19:55" ht="15.75" customHeight="1">
      <c r="S1173" s="454"/>
      <c r="AN1173" s="458"/>
      <c r="BA1173" s="1266"/>
      <c r="BC1173" s="169"/>
    </row>
    <row r="1174" spans="19:55" ht="15.75" customHeight="1">
      <c r="S1174" s="454"/>
      <c r="AN1174" s="458"/>
      <c r="BA1174" s="1266"/>
      <c r="BC1174" s="169"/>
    </row>
    <row r="1175" spans="19:55" ht="15.75" customHeight="1">
      <c r="S1175" s="454"/>
      <c r="AN1175" s="458"/>
      <c r="BA1175" s="1266"/>
      <c r="BC1175" s="169"/>
    </row>
    <row r="1176" spans="19:55" ht="15.75" customHeight="1">
      <c r="S1176" s="454"/>
      <c r="AN1176" s="458"/>
      <c r="BA1176" s="1266"/>
      <c r="BC1176" s="169"/>
    </row>
    <row r="1177" spans="19:55" ht="15.75" customHeight="1">
      <c r="S1177" s="454"/>
      <c r="AN1177" s="458"/>
      <c r="BA1177" s="1266"/>
      <c r="BC1177" s="169"/>
    </row>
    <row r="1178" spans="19:55" ht="15.75" customHeight="1">
      <c r="S1178" s="454"/>
      <c r="AN1178" s="458"/>
      <c r="BA1178" s="1266"/>
      <c r="BC1178" s="169"/>
    </row>
    <row r="1179" spans="19:55" ht="15.75" customHeight="1">
      <c r="S1179" s="454"/>
      <c r="AN1179" s="458"/>
      <c r="BA1179" s="1266"/>
      <c r="BC1179" s="169"/>
    </row>
    <row r="1180" spans="19:55" ht="15.75" customHeight="1">
      <c r="S1180" s="454"/>
      <c r="AN1180" s="458"/>
      <c r="BA1180" s="1266"/>
      <c r="BC1180" s="169"/>
    </row>
    <row r="1181" spans="19:55" ht="15.75" customHeight="1">
      <c r="S1181" s="454"/>
      <c r="AN1181" s="458"/>
      <c r="BA1181" s="1266"/>
      <c r="BC1181" s="169"/>
    </row>
    <row r="1182" spans="19:55" ht="15.75" customHeight="1">
      <c r="S1182" s="454"/>
      <c r="AN1182" s="458"/>
      <c r="BA1182" s="1266"/>
      <c r="BC1182" s="169"/>
    </row>
    <row r="1183" spans="19:55" ht="15.75" customHeight="1">
      <c r="S1183" s="454"/>
      <c r="AN1183" s="458"/>
      <c r="BA1183" s="1266"/>
      <c r="BC1183" s="169"/>
    </row>
    <row r="1184" spans="19:55" ht="15.75" customHeight="1">
      <c r="S1184" s="454"/>
      <c r="AN1184" s="458"/>
      <c r="BA1184" s="1266"/>
      <c r="BC1184" s="169"/>
    </row>
    <row r="1185" spans="19:55" ht="15.75" customHeight="1">
      <c r="S1185" s="454"/>
      <c r="AN1185" s="458"/>
      <c r="BA1185" s="1266"/>
      <c r="BC1185" s="169"/>
    </row>
    <row r="1186" spans="19:55" ht="15.75" customHeight="1">
      <c r="S1186" s="454"/>
      <c r="AN1186" s="458"/>
      <c r="BA1186" s="1266"/>
      <c r="BC1186" s="169"/>
    </row>
    <row r="1187" spans="19:55" ht="15.75" customHeight="1">
      <c r="S1187" s="454"/>
      <c r="AN1187" s="458"/>
      <c r="BA1187" s="1266"/>
      <c r="BC1187" s="169"/>
    </row>
    <row r="1188" spans="19:55" ht="15.75" customHeight="1">
      <c r="S1188" s="454"/>
      <c r="AN1188" s="458"/>
      <c r="BA1188" s="1266"/>
      <c r="BC1188" s="169"/>
    </row>
    <row r="1189" spans="19:55" ht="15.75" customHeight="1">
      <c r="S1189" s="454"/>
      <c r="AN1189" s="458"/>
      <c r="BA1189" s="1266"/>
      <c r="BC1189" s="169"/>
    </row>
    <row r="1190" spans="19:55" ht="15.75" customHeight="1">
      <c r="S1190" s="454"/>
      <c r="AN1190" s="458"/>
      <c r="BA1190" s="1266"/>
      <c r="BC1190" s="169"/>
    </row>
    <row r="1191" spans="19:55" ht="15.75" customHeight="1">
      <c r="S1191" s="454"/>
      <c r="AN1191" s="458"/>
      <c r="BA1191" s="1266"/>
      <c r="BC1191" s="169"/>
    </row>
    <row r="1192" spans="19:55" ht="15.75" customHeight="1">
      <c r="S1192" s="454"/>
      <c r="AN1192" s="458"/>
      <c r="BA1192" s="1266"/>
      <c r="BC1192" s="169"/>
    </row>
    <row r="1193" spans="19:55" ht="15.75" customHeight="1">
      <c r="S1193" s="454"/>
      <c r="AN1193" s="458"/>
      <c r="BA1193" s="1266"/>
      <c r="BC1193" s="169"/>
    </row>
    <row r="1194" spans="19:55" ht="15.75" customHeight="1">
      <c r="S1194" s="454"/>
      <c r="AN1194" s="458"/>
      <c r="BA1194" s="1266"/>
      <c r="BC1194" s="169"/>
    </row>
    <row r="1195" spans="19:55" ht="15.75" customHeight="1">
      <c r="S1195" s="454"/>
      <c r="AN1195" s="458"/>
      <c r="BA1195" s="1266"/>
      <c r="BC1195" s="169"/>
    </row>
    <row r="1196" spans="19:55" ht="15.75" customHeight="1">
      <c r="S1196" s="454"/>
      <c r="AN1196" s="458"/>
      <c r="BA1196" s="1266"/>
      <c r="BC1196" s="169"/>
    </row>
    <row r="1197" spans="19:55" ht="15.75" customHeight="1">
      <c r="S1197" s="454"/>
      <c r="AN1197" s="458"/>
      <c r="BA1197" s="1266"/>
      <c r="BC1197" s="169"/>
    </row>
    <row r="1198" spans="19:55" ht="15.75" customHeight="1">
      <c r="S1198" s="454"/>
      <c r="AN1198" s="458"/>
      <c r="BA1198" s="1266"/>
      <c r="BC1198" s="169"/>
    </row>
    <row r="1199" spans="19:55" ht="15.75" customHeight="1">
      <c r="S1199" s="454"/>
      <c r="AN1199" s="458"/>
      <c r="BA1199" s="1266"/>
      <c r="BC1199" s="169"/>
    </row>
    <row r="1200" spans="19:55" ht="15.75" customHeight="1">
      <c r="S1200" s="454"/>
      <c r="AN1200" s="458"/>
      <c r="BA1200" s="1266"/>
      <c r="BC1200" s="169"/>
    </row>
    <row r="1201" spans="19:55" ht="15.75" customHeight="1">
      <c r="S1201" s="454"/>
      <c r="AN1201" s="458"/>
      <c r="BA1201" s="1266"/>
      <c r="BC1201" s="169"/>
    </row>
    <row r="1202" spans="19:55" ht="15.75" customHeight="1">
      <c r="S1202" s="454"/>
      <c r="AN1202" s="458"/>
      <c r="BA1202" s="1266"/>
      <c r="BC1202" s="169"/>
    </row>
    <row r="1203" spans="19:55" ht="15.75" customHeight="1">
      <c r="S1203" s="454"/>
      <c r="AN1203" s="458"/>
      <c r="BA1203" s="1266"/>
      <c r="BC1203" s="169"/>
    </row>
    <row r="1204" spans="19:55" ht="15.75" customHeight="1">
      <c r="S1204" s="454"/>
      <c r="AN1204" s="458"/>
      <c r="BA1204" s="1266"/>
      <c r="BC1204" s="169"/>
    </row>
    <row r="1205" spans="19:55" ht="15.75" customHeight="1">
      <c r="S1205" s="454"/>
      <c r="AN1205" s="458"/>
      <c r="BA1205" s="1266"/>
      <c r="BC1205" s="169"/>
    </row>
    <row r="1206" spans="19:55" ht="15.75" customHeight="1">
      <c r="S1206" s="454"/>
      <c r="AN1206" s="458"/>
      <c r="BA1206" s="1266"/>
      <c r="BC1206" s="169"/>
    </row>
    <row r="1207" spans="19:55" ht="15.75" customHeight="1">
      <c r="S1207" s="454"/>
      <c r="AN1207" s="458"/>
      <c r="BA1207" s="1266"/>
      <c r="BC1207" s="169"/>
    </row>
    <row r="1208" spans="19:55" ht="15.75" customHeight="1">
      <c r="S1208" s="454"/>
      <c r="AN1208" s="458"/>
      <c r="BA1208" s="1266"/>
      <c r="BC1208" s="169"/>
    </row>
    <row r="1209" spans="19:55" ht="15.75" customHeight="1">
      <c r="S1209" s="454"/>
      <c r="AN1209" s="458"/>
      <c r="BA1209" s="1266"/>
      <c r="BC1209" s="169"/>
    </row>
    <row r="1210" spans="19:55" ht="15.75" customHeight="1">
      <c r="S1210" s="454"/>
      <c r="AN1210" s="458"/>
      <c r="BA1210" s="1266"/>
      <c r="BC1210" s="169"/>
    </row>
    <row r="1211" spans="19:55" ht="15.75" customHeight="1">
      <c r="S1211" s="454"/>
      <c r="AN1211" s="458"/>
      <c r="BA1211" s="1266"/>
      <c r="BC1211" s="169"/>
    </row>
    <row r="1212" spans="19:55" ht="15.75" customHeight="1">
      <c r="S1212" s="454"/>
      <c r="AN1212" s="458"/>
      <c r="BA1212" s="1266"/>
      <c r="BC1212" s="169"/>
    </row>
    <row r="1213" spans="19:55" ht="15.75" customHeight="1">
      <c r="S1213" s="454"/>
      <c r="AN1213" s="458"/>
      <c r="BA1213" s="1266"/>
      <c r="BC1213" s="169"/>
    </row>
    <row r="1214" spans="19:55" ht="15.75" customHeight="1">
      <c r="S1214" s="454"/>
      <c r="AN1214" s="458"/>
      <c r="BA1214" s="1266"/>
      <c r="BC1214" s="169"/>
    </row>
    <row r="1215" spans="19:55" ht="15.75" customHeight="1">
      <c r="S1215" s="454"/>
      <c r="AN1215" s="458"/>
      <c r="BA1215" s="1266"/>
      <c r="BC1215" s="169"/>
    </row>
    <row r="1216" spans="19:55" ht="15.75" customHeight="1">
      <c r="S1216" s="454"/>
      <c r="AN1216" s="458"/>
      <c r="BA1216" s="1266"/>
      <c r="BC1216" s="169"/>
    </row>
    <row r="1217" spans="19:55" ht="15.75" customHeight="1">
      <c r="S1217" s="454"/>
      <c r="AN1217" s="458"/>
      <c r="BA1217" s="1266"/>
      <c r="BC1217" s="169"/>
    </row>
    <row r="1218" spans="19:55" ht="15.75" customHeight="1">
      <c r="S1218" s="454"/>
      <c r="AN1218" s="458"/>
      <c r="BA1218" s="1266"/>
      <c r="BC1218" s="169"/>
    </row>
    <row r="1219" spans="19:55" ht="15.75" customHeight="1">
      <c r="S1219" s="454"/>
      <c r="AN1219" s="458"/>
      <c r="BA1219" s="1266"/>
      <c r="BC1219" s="169"/>
    </row>
    <row r="1220" spans="19:55" ht="15.75" customHeight="1">
      <c r="S1220" s="454"/>
      <c r="AN1220" s="458"/>
      <c r="BA1220" s="1266"/>
      <c r="BC1220" s="169"/>
    </row>
    <row r="1221" spans="19:55" ht="15.75" customHeight="1">
      <c r="S1221" s="454"/>
      <c r="AN1221" s="458"/>
      <c r="BA1221" s="1266"/>
      <c r="BC1221" s="169"/>
    </row>
    <row r="1222" spans="19:55" ht="15.75" customHeight="1">
      <c r="S1222" s="454"/>
      <c r="AN1222" s="458"/>
      <c r="BA1222" s="1266"/>
      <c r="BC1222" s="169"/>
    </row>
    <row r="1223" spans="19:55" ht="15.75" customHeight="1">
      <c r="S1223" s="454"/>
      <c r="AN1223" s="458"/>
      <c r="BA1223" s="1266"/>
      <c r="BC1223" s="169"/>
    </row>
    <row r="1224" spans="19:55" ht="15.75" customHeight="1">
      <c r="S1224" s="454"/>
      <c r="AN1224" s="458"/>
      <c r="BA1224" s="1266"/>
      <c r="BC1224" s="169"/>
    </row>
    <row r="1225" spans="19:55" ht="15.75" customHeight="1">
      <c r="S1225" s="454"/>
      <c r="AN1225" s="458"/>
      <c r="BA1225" s="1266"/>
      <c r="BC1225" s="169"/>
    </row>
    <row r="1226" spans="19:55" ht="15.75" customHeight="1">
      <c r="S1226" s="454"/>
      <c r="AN1226" s="458"/>
      <c r="BA1226" s="1266"/>
      <c r="BC1226" s="169"/>
    </row>
    <row r="1227" spans="19:55" ht="15.75" customHeight="1">
      <c r="S1227" s="454"/>
      <c r="AN1227" s="458"/>
      <c r="BA1227" s="1266"/>
      <c r="BC1227" s="169"/>
    </row>
    <row r="1228" spans="19:55" ht="15.75" customHeight="1">
      <c r="S1228" s="454"/>
      <c r="AN1228" s="458"/>
      <c r="BA1228" s="1266"/>
      <c r="BC1228" s="169"/>
    </row>
    <row r="1229" spans="19:55" ht="15.75" customHeight="1">
      <c r="S1229" s="454"/>
      <c r="AN1229" s="458"/>
      <c r="BA1229" s="1266"/>
      <c r="BC1229" s="169"/>
    </row>
    <row r="1230" spans="19:55" ht="15.75" customHeight="1">
      <c r="S1230" s="454"/>
      <c r="AN1230" s="458"/>
      <c r="BA1230" s="1266"/>
      <c r="BC1230" s="169"/>
    </row>
    <row r="1231" spans="19:55" ht="15.75" customHeight="1">
      <c r="S1231" s="454"/>
      <c r="AN1231" s="458"/>
      <c r="BA1231" s="1266"/>
      <c r="BC1231" s="169"/>
    </row>
    <row r="1232" spans="19:55" ht="15.75" customHeight="1">
      <c r="S1232" s="454"/>
      <c r="AN1232" s="458"/>
      <c r="BA1232" s="1266"/>
      <c r="BC1232" s="169"/>
    </row>
    <row r="1233" spans="19:55" ht="15.75" customHeight="1">
      <c r="S1233" s="454"/>
      <c r="AN1233" s="458"/>
      <c r="BA1233" s="1266"/>
      <c r="BC1233" s="169"/>
    </row>
    <row r="1234" spans="19:55" ht="15.75" customHeight="1">
      <c r="S1234" s="454"/>
      <c r="AN1234" s="458"/>
      <c r="BA1234" s="1266"/>
      <c r="BC1234" s="169"/>
    </row>
    <row r="1235" spans="19:55" ht="15.75" customHeight="1">
      <c r="S1235" s="454"/>
      <c r="AN1235" s="458"/>
      <c r="BA1235" s="1266"/>
      <c r="BC1235" s="169"/>
    </row>
    <row r="1236" spans="19:55" ht="15.75" customHeight="1">
      <c r="S1236" s="454"/>
      <c r="AN1236" s="458"/>
      <c r="BA1236" s="1266"/>
      <c r="BC1236" s="169"/>
    </row>
    <row r="1237" spans="19:55" ht="15.75" customHeight="1">
      <c r="S1237" s="454"/>
      <c r="AN1237" s="458"/>
      <c r="BA1237" s="1266"/>
      <c r="BC1237" s="169"/>
    </row>
    <row r="1238" spans="19:55" ht="15.75" customHeight="1">
      <c r="S1238" s="454"/>
      <c r="AN1238" s="458"/>
      <c r="BA1238" s="1266"/>
      <c r="BC1238" s="169"/>
    </row>
    <row r="1239" spans="19:55" ht="15.75" customHeight="1">
      <c r="S1239" s="454"/>
      <c r="AN1239" s="458"/>
      <c r="BA1239" s="1266"/>
      <c r="BC1239" s="169"/>
    </row>
    <row r="1240" spans="19:55" ht="15.75" customHeight="1">
      <c r="S1240" s="454"/>
      <c r="AN1240" s="458"/>
      <c r="BA1240" s="1266"/>
      <c r="BC1240" s="169"/>
    </row>
    <row r="1241" spans="19:55" ht="15.75" customHeight="1">
      <c r="S1241" s="454"/>
      <c r="AN1241" s="458"/>
      <c r="BA1241" s="1266"/>
      <c r="BC1241" s="169"/>
    </row>
    <row r="1242" spans="19:55" ht="15.75" customHeight="1">
      <c r="S1242" s="454"/>
      <c r="AN1242" s="458"/>
      <c r="BA1242" s="1266"/>
      <c r="BC1242" s="169"/>
    </row>
    <row r="1243" spans="19:55" ht="15.75" customHeight="1">
      <c r="S1243" s="454"/>
      <c r="AN1243" s="458"/>
      <c r="BA1243" s="1266"/>
      <c r="BC1243" s="169"/>
    </row>
    <row r="1244" spans="19:55" ht="15.75" customHeight="1">
      <c r="S1244" s="454"/>
      <c r="AN1244" s="458"/>
      <c r="BA1244" s="1266"/>
      <c r="BC1244" s="169"/>
    </row>
    <row r="1245" spans="19:55" ht="15.75" customHeight="1">
      <c r="S1245" s="454"/>
      <c r="AN1245" s="458"/>
      <c r="BA1245" s="1266"/>
      <c r="BC1245" s="169"/>
    </row>
    <row r="1246" spans="19:55" ht="15.75" customHeight="1">
      <c r="S1246" s="454"/>
      <c r="AN1246" s="458"/>
      <c r="BA1246" s="1266"/>
      <c r="BC1246" s="169"/>
    </row>
    <row r="1247" spans="19:55" ht="15.75" customHeight="1">
      <c r="S1247" s="454"/>
      <c r="AN1247" s="458"/>
      <c r="BA1247" s="1266"/>
      <c r="BC1247" s="169"/>
    </row>
    <row r="1248" spans="19:55" ht="15.75" customHeight="1">
      <c r="S1248" s="454"/>
      <c r="AN1248" s="458"/>
      <c r="BA1248" s="1266"/>
      <c r="BC1248" s="169"/>
    </row>
    <row r="1249" spans="19:55" ht="15.75" customHeight="1">
      <c r="S1249" s="454"/>
      <c r="AN1249" s="458"/>
      <c r="BA1249" s="1266"/>
      <c r="BC1249" s="169"/>
    </row>
    <row r="1250" spans="19:55" ht="15.75" customHeight="1">
      <c r="S1250" s="454"/>
      <c r="AN1250" s="458"/>
      <c r="BA1250" s="1266"/>
      <c r="BC1250" s="169"/>
    </row>
    <row r="1251" spans="19:55" ht="15.75" customHeight="1">
      <c r="S1251" s="454"/>
      <c r="AN1251" s="458"/>
      <c r="BA1251" s="1266"/>
      <c r="BC1251" s="169"/>
    </row>
    <row r="1252" spans="19:55" ht="15.75" customHeight="1">
      <c r="S1252" s="454"/>
      <c r="AN1252" s="458"/>
      <c r="BA1252" s="1266"/>
      <c r="BC1252" s="169"/>
    </row>
    <row r="1253" spans="19:55" ht="15.75" customHeight="1">
      <c r="S1253" s="454"/>
      <c r="AN1253" s="458"/>
      <c r="BA1253" s="1266"/>
      <c r="BC1253" s="169"/>
    </row>
    <row r="1254" spans="19:55" ht="15.75" customHeight="1">
      <c r="S1254" s="454"/>
      <c r="AN1254" s="458"/>
      <c r="BA1254" s="1266"/>
      <c r="BC1254" s="169"/>
    </row>
    <row r="1255" spans="19:55" ht="15.75" customHeight="1">
      <c r="S1255" s="454"/>
      <c r="AN1255" s="458"/>
      <c r="BA1255" s="1266"/>
      <c r="BC1255" s="169"/>
    </row>
    <row r="1256" spans="19:55" ht="15.75" customHeight="1">
      <c r="S1256" s="454"/>
      <c r="AN1256" s="458"/>
      <c r="BA1256" s="1266"/>
      <c r="BC1256" s="169"/>
    </row>
    <row r="1257" spans="19:55" ht="15.75" customHeight="1">
      <c r="S1257" s="454"/>
      <c r="AN1257" s="458"/>
      <c r="BA1257" s="1266"/>
      <c r="BC1257" s="169"/>
    </row>
    <row r="1258" spans="19:55" ht="15.75" customHeight="1">
      <c r="S1258" s="454"/>
      <c r="AN1258" s="458"/>
      <c r="BA1258" s="1266"/>
      <c r="BC1258" s="169"/>
    </row>
    <row r="1259" spans="19:55" ht="15.75" customHeight="1">
      <c r="S1259" s="454"/>
      <c r="AN1259" s="458"/>
      <c r="BA1259" s="1266"/>
      <c r="BC1259" s="169"/>
    </row>
    <row r="1260" spans="19:55" ht="15.75" customHeight="1">
      <c r="S1260" s="454"/>
      <c r="AN1260" s="458"/>
      <c r="BA1260" s="1266"/>
      <c r="BC1260" s="169"/>
    </row>
    <row r="1261" spans="19:55" ht="15.75" customHeight="1">
      <c r="S1261" s="454"/>
      <c r="AN1261" s="458"/>
      <c r="BA1261" s="1266"/>
      <c r="BC1261" s="169"/>
    </row>
    <row r="1262" spans="19:55" ht="15.75" customHeight="1">
      <c r="S1262" s="454"/>
      <c r="AN1262" s="458"/>
      <c r="BA1262" s="1266"/>
      <c r="BC1262" s="169"/>
    </row>
    <row r="1263" spans="19:55" ht="15.75" customHeight="1">
      <c r="S1263" s="454"/>
      <c r="AN1263" s="458"/>
      <c r="BA1263" s="1266"/>
      <c r="BC1263" s="169"/>
    </row>
    <row r="1264" spans="19:55" ht="15.75" customHeight="1">
      <c r="S1264" s="454"/>
      <c r="AN1264" s="458"/>
      <c r="BA1264" s="1266"/>
      <c r="BC1264" s="169"/>
    </row>
    <row r="1265" spans="19:55" ht="15.75" customHeight="1">
      <c r="S1265" s="454"/>
      <c r="AN1265" s="458"/>
      <c r="BA1265" s="1266"/>
      <c r="BC1265" s="169"/>
    </row>
    <row r="1266" spans="19:55" ht="15.75" customHeight="1">
      <c r="S1266" s="454"/>
      <c r="AN1266" s="458"/>
      <c r="BA1266" s="1266"/>
      <c r="BC1266" s="169"/>
    </row>
    <row r="1267" spans="19:55" ht="15.75" customHeight="1">
      <c r="S1267" s="454"/>
      <c r="AN1267" s="458"/>
      <c r="BA1267" s="1266"/>
      <c r="BC1267" s="169"/>
    </row>
    <row r="1268" spans="19:55" ht="15.75" customHeight="1">
      <c r="S1268" s="454"/>
      <c r="AN1268" s="458"/>
      <c r="BA1268" s="1266"/>
      <c r="BC1268" s="169"/>
    </row>
    <row r="1269" spans="19:55" ht="15.75" customHeight="1">
      <c r="S1269" s="454"/>
      <c r="AN1269" s="458"/>
      <c r="BA1269" s="1266"/>
      <c r="BC1269" s="169"/>
    </row>
    <row r="1270" spans="19:55" ht="15.75" customHeight="1">
      <c r="S1270" s="454"/>
      <c r="AN1270" s="458"/>
      <c r="BA1270" s="1266"/>
      <c r="BC1270" s="169"/>
    </row>
    <row r="1271" spans="19:55" ht="15.75" customHeight="1">
      <c r="S1271" s="454"/>
      <c r="AN1271" s="458"/>
      <c r="BA1271" s="1266"/>
      <c r="BC1271" s="169"/>
    </row>
    <row r="1272" spans="19:55" ht="15.75" customHeight="1">
      <c r="S1272" s="454"/>
      <c r="AN1272" s="458"/>
      <c r="BA1272" s="1266"/>
      <c r="BC1272" s="169"/>
    </row>
    <row r="1273" spans="19:55" ht="15.75" customHeight="1">
      <c r="S1273" s="454"/>
      <c r="AN1273" s="458"/>
      <c r="BA1273" s="1266"/>
      <c r="BC1273" s="169"/>
    </row>
    <row r="1274" spans="19:55" ht="15.75" customHeight="1">
      <c r="S1274" s="454"/>
      <c r="AN1274" s="458"/>
      <c r="BA1274" s="1266"/>
      <c r="BC1274" s="169"/>
    </row>
    <row r="1275" spans="19:55" ht="15.75" customHeight="1">
      <c r="S1275" s="454"/>
      <c r="AN1275" s="458"/>
      <c r="BA1275" s="1266"/>
      <c r="BC1275" s="169"/>
    </row>
    <row r="1276" spans="19:55" ht="15.75" customHeight="1">
      <c r="S1276" s="454"/>
      <c r="AN1276" s="458"/>
      <c r="BA1276" s="1266"/>
      <c r="BC1276" s="169"/>
    </row>
    <row r="1277" spans="19:55" ht="15.75" customHeight="1">
      <c r="S1277" s="454"/>
      <c r="AN1277" s="458"/>
      <c r="BA1277" s="1266"/>
      <c r="BC1277" s="169"/>
    </row>
    <row r="1278" spans="19:55" ht="15.75" customHeight="1">
      <c r="S1278" s="454"/>
      <c r="AN1278" s="458"/>
      <c r="BA1278" s="1266"/>
      <c r="BC1278" s="169"/>
    </row>
    <row r="1279" spans="19:55" ht="15.75" customHeight="1">
      <c r="S1279" s="454"/>
      <c r="AN1279" s="458"/>
      <c r="BA1279" s="1266"/>
      <c r="BC1279" s="169"/>
    </row>
    <row r="1280" spans="19:55" ht="15.75" customHeight="1">
      <c r="S1280" s="454"/>
      <c r="AN1280" s="458"/>
      <c r="BA1280" s="1266"/>
      <c r="BC1280" s="169"/>
    </row>
    <row r="1281" spans="19:55" ht="15.75" customHeight="1">
      <c r="S1281" s="454"/>
      <c r="AN1281" s="458"/>
      <c r="BA1281" s="1266"/>
      <c r="BC1281" s="169"/>
    </row>
    <row r="1282" spans="19:55" ht="15.75" customHeight="1">
      <c r="S1282" s="454"/>
      <c r="AN1282" s="458"/>
      <c r="BA1282" s="1266"/>
      <c r="BC1282" s="169"/>
    </row>
    <row r="1283" spans="19:55" ht="15.75" customHeight="1">
      <c r="S1283" s="454"/>
      <c r="AN1283" s="458"/>
      <c r="BA1283" s="1266"/>
      <c r="BC1283" s="169"/>
    </row>
    <row r="1284" spans="19:55" ht="15.75" customHeight="1">
      <c r="S1284" s="454"/>
      <c r="AN1284" s="458"/>
      <c r="BA1284" s="1266"/>
      <c r="BC1284" s="169"/>
    </row>
    <row r="1285" spans="19:55" ht="15.75" customHeight="1">
      <c r="S1285" s="454"/>
      <c r="AN1285" s="458"/>
      <c r="BA1285" s="1266"/>
      <c r="BC1285" s="169"/>
    </row>
    <row r="1286" spans="19:55" ht="15.75" customHeight="1">
      <c r="S1286" s="454"/>
      <c r="AN1286" s="458"/>
      <c r="BA1286" s="1266"/>
      <c r="BC1286" s="169"/>
    </row>
    <row r="1287" spans="19:55" ht="15.75" customHeight="1">
      <c r="S1287" s="454"/>
      <c r="AN1287" s="458"/>
      <c r="BA1287" s="1266"/>
      <c r="BC1287" s="169"/>
    </row>
    <row r="1288" spans="19:55" ht="15.75" customHeight="1">
      <c r="S1288" s="454"/>
      <c r="AN1288" s="458"/>
      <c r="BA1288" s="1266"/>
      <c r="BC1288" s="169"/>
    </row>
    <row r="1289" spans="19:55" ht="15.75" customHeight="1">
      <c r="S1289" s="454"/>
      <c r="AN1289" s="458"/>
      <c r="BA1289" s="1266"/>
      <c r="BC1289" s="169"/>
    </row>
    <row r="1290" spans="19:55" ht="15.75" customHeight="1">
      <c r="S1290" s="454"/>
      <c r="AN1290" s="458"/>
      <c r="BA1290" s="1266"/>
      <c r="BC1290" s="169"/>
    </row>
    <row r="1291" spans="19:55" ht="15.75" customHeight="1">
      <c r="S1291" s="454"/>
      <c r="AN1291" s="458"/>
      <c r="BA1291" s="1266"/>
      <c r="BC1291" s="169"/>
    </row>
    <row r="1292" spans="19:55" ht="15.75" customHeight="1">
      <c r="S1292" s="454"/>
      <c r="AN1292" s="458"/>
      <c r="BA1292" s="1266"/>
      <c r="BC1292" s="169"/>
    </row>
    <row r="1293" spans="19:55" ht="15.75" customHeight="1">
      <c r="S1293" s="454"/>
      <c r="AN1293" s="458"/>
      <c r="BA1293" s="1266"/>
      <c r="BC1293" s="169"/>
    </row>
    <row r="1294" spans="19:55" ht="15.75" customHeight="1">
      <c r="S1294" s="454"/>
      <c r="AN1294" s="458"/>
      <c r="BA1294" s="1266"/>
      <c r="BC1294" s="169"/>
    </row>
    <row r="1295" spans="19:55" ht="15.75" customHeight="1">
      <c r="S1295" s="454"/>
      <c r="AN1295" s="458"/>
      <c r="BA1295" s="1266"/>
      <c r="BC1295" s="169"/>
    </row>
    <row r="1296" spans="19:55" ht="15.75" customHeight="1">
      <c r="S1296" s="454"/>
      <c r="AN1296" s="458"/>
      <c r="BA1296" s="1266"/>
      <c r="BC1296" s="169"/>
    </row>
    <row r="1297" spans="19:55" ht="15.75" customHeight="1">
      <c r="S1297" s="454"/>
      <c r="AN1297" s="458"/>
      <c r="BA1297" s="1266"/>
      <c r="BC1297" s="169"/>
    </row>
    <row r="1298" spans="19:55" ht="15.75" customHeight="1">
      <c r="S1298" s="454"/>
      <c r="AN1298" s="458"/>
      <c r="BC1298" s="169"/>
    </row>
    <row r="1299" spans="19:55" ht="15.75" customHeight="1">
      <c r="S1299" s="454"/>
      <c r="AN1299" s="458"/>
      <c r="BC1299" s="169"/>
    </row>
    <row r="1300" spans="19:55" ht="15.75" customHeight="1">
      <c r="S1300" s="454"/>
      <c r="AN1300" s="458"/>
      <c r="BC1300" s="169"/>
    </row>
    <row r="1301" spans="19:55" ht="15.75" customHeight="1">
      <c r="S1301" s="454"/>
      <c r="AN1301" s="458"/>
      <c r="BC1301" s="169"/>
    </row>
    <row r="1302" spans="19:55" ht="15.75" customHeight="1">
      <c r="S1302" s="454"/>
      <c r="AN1302" s="458"/>
      <c r="BC1302" s="169"/>
    </row>
    <row r="1303" spans="19:55" ht="15.75" customHeight="1">
      <c r="S1303" s="454"/>
      <c r="AN1303" s="458"/>
      <c r="BC1303" s="169"/>
    </row>
    <row r="1304" spans="19:55" ht="15.75" customHeight="1">
      <c r="S1304" s="454"/>
      <c r="AN1304" s="458"/>
      <c r="BC1304" s="169"/>
    </row>
    <row r="1305" spans="19:55" ht="15.75" customHeight="1">
      <c r="S1305" s="454"/>
      <c r="AN1305" s="458"/>
      <c r="BC1305" s="169"/>
    </row>
    <row r="1306" spans="19:55" ht="15.75" customHeight="1">
      <c r="S1306" s="454"/>
      <c r="AN1306" s="458"/>
      <c r="BC1306" s="169"/>
    </row>
    <row r="1307" spans="19:55" ht="15.75" customHeight="1">
      <c r="S1307" s="454"/>
      <c r="AN1307" s="458"/>
      <c r="BC1307" s="169"/>
    </row>
    <row r="1308" spans="19:55" ht="15.75" customHeight="1">
      <c r="S1308" s="454"/>
      <c r="AN1308" s="458"/>
      <c r="BC1308" s="169"/>
    </row>
    <row r="1309" spans="19:55" ht="15.75" customHeight="1">
      <c r="S1309" s="454"/>
      <c r="AN1309" s="458"/>
      <c r="BC1309" s="169"/>
    </row>
    <row r="1310" spans="19:55" ht="15.75" customHeight="1">
      <c r="S1310" s="454"/>
      <c r="AN1310" s="458"/>
      <c r="BC1310" s="169"/>
    </row>
    <row r="1311" spans="19:55" ht="15.75" customHeight="1">
      <c r="S1311" s="454"/>
      <c r="AN1311" s="458"/>
      <c r="BC1311" s="169"/>
    </row>
    <row r="1312" spans="19:55" ht="15.75" customHeight="1">
      <c r="S1312" s="454"/>
      <c r="AN1312" s="458"/>
      <c r="BC1312" s="169"/>
    </row>
    <row r="1313" spans="19:55" ht="15.75" customHeight="1">
      <c r="S1313" s="454"/>
      <c r="AN1313" s="458"/>
      <c r="BC1313" s="169"/>
    </row>
    <row r="1314" spans="19:55" ht="15.75" customHeight="1">
      <c r="S1314" s="454"/>
      <c r="AN1314" s="458"/>
      <c r="BC1314" s="169"/>
    </row>
    <row r="1315" spans="19:55" ht="15.75" customHeight="1">
      <c r="S1315" s="454"/>
      <c r="AN1315" s="458"/>
      <c r="BC1315" s="169"/>
    </row>
    <row r="1316" spans="19:55" ht="15.75" customHeight="1">
      <c r="S1316" s="454"/>
      <c r="AN1316" s="458"/>
      <c r="BC1316" s="169"/>
    </row>
    <row r="1317" spans="19:55" ht="15.75" customHeight="1">
      <c r="S1317" s="454"/>
      <c r="AN1317" s="458"/>
      <c r="BC1317" s="169"/>
    </row>
    <row r="1318" spans="19:55" ht="15.75" customHeight="1">
      <c r="S1318" s="454"/>
      <c r="AN1318" s="458"/>
      <c r="BC1318" s="169"/>
    </row>
    <row r="1319" spans="19:55" ht="15.75" customHeight="1">
      <c r="S1319" s="454"/>
      <c r="AN1319" s="458"/>
      <c r="BC1319" s="169"/>
    </row>
    <row r="1320" spans="19:55" ht="15.75" customHeight="1">
      <c r="S1320" s="454"/>
      <c r="AN1320" s="458"/>
      <c r="BC1320" s="169"/>
    </row>
    <row r="1321" spans="19:55" ht="15.75" customHeight="1">
      <c r="S1321" s="454"/>
      <c r="AN1321" s="458"/>
      <c r="BC1321" s="169"/>
    </row>
    <row r="1322" spans="19:55" ht="15.75" customHeight="1">
      <c r="S1322" s="454"/>
      <c r="AN1322" s="458"/>
      <c r="BC1322" s="169"/>
    </row>
    <row r="1323" spans="19:55" ht="15.75" customHeight="1">
      <c r="S1323" s="454"/>
      <c r="AN1323" s="458"/>
      <c r="BC1323" s="169"/>
    </row>
    <row r="1324" spans="19:55" ht="15.75" customHeight="1">
      <c r="S1324" s="454"/>
      <c r="AN1324" s="458"/>
      <c r="BC1324" s="169"/>
    </row>
    <row r="1325" spans="19:55" ht="15.75" customHeight="1">
      <c r="S1325" s="454"/>
      <c r="AN1325" s="458"/>
      <c r="BC1325" s="169"/>
    </row>
    <row r="1326" spans="19:55" ht="15.75" customHeight="1">
      <c r="S1326" s="454"/>
      <c r="AN1326" s="458"/>
      <c r="BC1326" s="169"/>
    </row>
    <row r="1327" spans="19:55" ht="15.75" customHeight="1">
      <c r="S1327" s="454"/>
      <c r="AN1327" s="458"/>
      <c r="BC1327" s="169"/>
    </row>
    <row r="1328" spans="19:55" ht="15.75" customHeight="1">
      <c r="S1328" s="454"/>
      <c r="AN1328" s="458"/>
      <c r="BC1328" s="169"/>
    </row>
    <row r="1329" spans="19:55" ht="15.75" customHeight="1">
      <c r="S1329" s="454"/>
      <c r="AN1329" s="458"/>
      <c r="BC1329" s="169"/>
    </row>
    <row r="1330" spans="19:55" ht="15.75" customHeight="1">
      <c r="S1330" s="454"/>
      <c r="AN1330" s="458"/>
      <c r="BC1330" s="169"/>
    </row>
    <row r="1331" spans="19:55" ht="15.75" customHeight="1">
      <c r="S1331" s="454"/>
      <c r="AN1331" s="458"/>
      <c r="BC1331" s="169"/>
    </row>
    <row r="1332" spans="19:55" ht="15.75" customHeight="1">
      <c r="S1332" s="454"/>
      <c r="AN1332" s="458"/>
      <c r="BC1332" s="169"/>
    </row>
    <row r="1333" spans="19:55" ht="15.75" customHeight="1">
      <c r="S1333" s="454"/>
      <c r="AN1333" s="458"/>
      <c r="BC1333" s="169"/>
    </row>
    <row r="1334" spans="19:55" ht="15.75" customHeight="1">
      <c r="S1334" s="454"/>
      <c r="AN1334" s="458"/>
      <c r="BC1334" s="169"/>
    </row>
    <row r="1335" spans="19:55" ht="15.75" customHeight="1">
      <c r="S1335" s="454"/>
      <c r="AN1335" s="458"/>
      <c r="BC1335" s="169"/>
    </row>
    <row r="1336" spans="19:55" ht="15.75" customHeight="1">
      <c r="S1336" s="454"/>
      <c r="AN1336" s="458"/>
      <c r="BC1336" s="169"/>
    </row>
    <row r="1337" spans="19:55" ht="15.75" customHeight="1">
      <c r="S1337" s="454"/>
      <c r="AN1337" s="458"/>
      <c r="BC1337" s="169"/>
    </row>
    <row r="1338" spans="19:55" ht="15.75" customHeight="1">
      <c r="S1338" s="454"/>
      <c r="AN1338" s="458"/>
      <c r="BC1338" s="169"/>
    </row>
    <row r="1339" spans="19:55" ht="15.75" customHeight="1">
      <c r="S1339" s="454"/>
      <c r="AN1339" s="458"/>
      <c r="BC1339" s="169"/>
    </row>
    <row r="1340" spans="19:55" ht="15.75" customHeight="1">
      <c r="S1340" s="454"/>
      <c r="AN1340" s="458"/>
      <c r="BC1340" s="169"/>
    </row>
    <row r="1341" spans="19:55" ht="15.75" customHeight="1">
      <c r="S1341" s="454"/>
      <c r="AN1341" s="458"/>
      <c r="BC1341" s="169"/>
    </row>
    <row r="1342" spans="19:55" ht="15.75" customHeight="1">
      <c r="S1342" s="454"/>
      <c r="AN1342" s="458"/>
      <c r="BC1342" s="169"/>
    </row>
    <row r="1343" spans="19:55" ht="15.75" customHeight="1">
      <c r="S1343" s="454"/>
      <c r="AN1343" s="458"/>
      <c r="BC1343" s="169"/>
    </row>
    <row r="1344" spans="19:55" ht="15.75" customHeight="1">
      <c r="S1344" s="454"/>
      <c r="AN1344" s="458"/>
      <c r="BC1344" s="169"/>
    </row>
    <row r="1345" spans="19:55" ht="15.75" customHeight="1">
      <c r="S1345" s="454"/>
      <c r="AN1345" s="458"/>
      <c r="BC1345" s="169"/>
    </row>
    <row r="1346" spans="19:55" ht="15.75" customHeight="1">
      <c r="S1346" s="454"/>
      <c r="AN1346" s="458"/>
      <c r="BC1346" s="169"/>
    </row>
    <row r="1347" spans="19:55" ht="15.75" customHeight="1">
      <c r="S1347" s="454"/>
      <c r="AN1347" s="458"/>
      <c r="BC1347" s="169"/>
    </row>
    <row r="1348" spans="19:55" ht="15.75" customHeight="1">
      <c r="S1348" s="454"/>
      <c r="AN1348" s="458"/>
      <c r="BC1348" s="169"/>
    </row>
    <row r="1349" spans="19:55" ht="15.75" customHeight="1">
      <c r="S1349" s="454"/>
      <c r="AN1349" s="458"/>
      <c r="BC1349" s="169"/>
    </row>
    <row r="1350" spans="19:55" ht="15.75" customHeight="1">
      <c r="S1350" s="454"/>
      <c r="AN1350" s="458"/>
      <c r="BC1350" s="169"/>
    </row>
    <row r="1351" spans="19:55" ht="15.75" customHeight="1">
      <c r="S1351" s="454"/>
      <c r="AN1351" s="458"/>
      <c r="BC1351" s="169"/>
    </row>
    <row r="1352" spans="19:55" ht="15.75" customHeight="1">
      <c r="S1352" s="454"/>
      <c r="AN1352" s="458"/>
      <c r="BC1352" s="169"/>
    </row>
    <row r="1353" spans="19:55" ht="15.75" customHeight="1">
      <c r="S1353" s="454"/>
      <c r="AN1353" s="458"/>
      <c r="BC1353" s="169"/>
    </row>
    <row r="1354" spans="19:55" ht="15.75" customHeight="1">
      <c r="S1354" s="454"/>
      <c r="AN1354" s="458"/>
      <c r="BC1354" s="169"/>
    </row>
    <row r="1355" spans="19:55" ht="15.75" customHeight="1">
      <c r="S1355" s="454"/>
      <c r="AN1355" s="458"/>
      <c r="BC1355" s="169"/>
    </row>
    <row r="1356" spans="19:55" ht="15.75" customHeight="1">
      <c r="S1356" s="454"/>
      <c r="AN1356" s="458"/>
      <c r="BC1356" s="169"/>
    </row>
    <row r="1357" spans="19:55" ht="15.75" customHeight="1">
      <c r="S1357" s="454"/>
      <c r="AN1357" s="458"/>
      <c r="BC1357" s="169"/>
    </row>
    <row r="1358" spans="19:55" ht="15.75" customHeight="1">
      <c r="S1358" s="454"/>
      <c r="AN1358" s="458"/>
      <c r="BC1358" s="169"/>
    </row>
    <row r="1359" spans="19:55" ht="15.75" customHeight="1">
      <c r="S1359" s="454"/>
      <c r="AN1359" s="458"/>
      <c r="BC1359" s="169"/>
    </row>
    <row r="1360" spans="19:55" ht="15.75" customHeight="1">
      <c r="S1360" s="454"/>
      <c r="AN1360" s="458"/>
      <c r="BC1360" s="169"/>
    </row>
    <row r="1361" spans="19:55" ht="15.75" customHeight="1">
      <c r="S1361" s="454"/>
      <c r="AN1361" s="458"/>
      <c r="BC1361" s="169"/>
    </row>
    <row r="1362" spans="19:55" ht="15.75" customHeight="1">
      <c r="S1362" s="454"/>
      <c r="AN1362" s="458"/>
      <c r="BC1362" s="169"/>
    </row>
    <row r="1363" spans="19:55" ht="15.75" customHeight="1">
      <c r="S1363" s="454"/>
      <c r="AN1363" s="458"/>
      <c r="BC1363" s="169"/>
    </row>
    <row r="1364" spans="19:55" ht="15.75" customHeight="1">
      <c r="S1364" s="454"/>
      <c r="AN1364" s="458"/>
      <c r="BC1364" s="169"/>
    </row>
    <row r="1365" spans="19:55" ht="15.75" customHeight="1">
      <c r="S1365" s="454"/>
      <c r="AN1365" s="458"/>
      <c r="BC1365" s="169"/>
    </row>
    <row r="1366" spans="19:55" ht="15.75" customHeight="1">
      <c r="S1366" s="454"/>
      <c r="AN1366" s="458"/>
      <c r="BC1366" s="169"/>
    </row>
    <row r="1367" spans="19:55" ht="15.75" customHeight="1">
      <c r="S1367" s="454"/>
      <c r="AN1367" s="458"/>
      <c r="BC1367" s="169"/>
    </row>
    <row r="1368" spans="19:55" ht="15.75" customHeight="1">
      <c r="S1368" s="454"/>
      <c r="AN1368" s="458"/>
      <c r="BC1368" s="169"/>
    </row>
    <row r="1369" spans="19:55" ht="15.75" customHeight="1">
      <c r="S1369" s="454"/>
      <c r="AN1369" s="458"/>
      <c r="BC1369" s="169"/>
    </row>
    <row r="1370" spans="19:55" ht="15.75" customHeight="1">
      <c r="S1370" s="454"/>
      <c r="AN1370" s="458"/>
      <c r="BC1370" s="169"/>
    </row>
    <row r="1371" spans="19:55" ht="15.75" customHeight="1">
      <c r="S1371" s="454"/>
      <c r="AN1371" s="458"/>
      <c r="BC1371" s="169"/>
    </row>
    <row r="1372" spans="19:55" ht="15.75" customHeight="1">
      <c r="S1372" s="454"/>
      <c r="AN1372" s="458"/>
      <c r="BC1372" s="169"/>
    </row>
    <row r="1373" spans="19:55" ht="15.75" customHeight="1">
      <c r="S1373" s="454"/>
      <c r="AN1373" s="458"/>
      <c r="BC1373" s="169"/>
    </row>
    <row r="1374" spans="19:55" ht="15.75" customHeight="1">
      <c r="S1374" s="454"/>
      <c r="AN1374" s="458"/>
      <c r="BC1374" s="169"/>
    </row>
    <row r="1375" spans="19:55" ht="15.75" customHeight="1">
      <c r="S1375" s="454"/>
      <c r="AN1375" s="458"/>
      <c r="BC1375" s="169"/>
    </row>
    <row r="1376" spans="19:55" ht="15.75" customHeight="1">
      <c r="S1376" s="454"/>
      <c r="AN1376" s="458"/>
      <c r="BC1376" s="169"/>
    </row>
    <row r="1377" spans="19:55" ht="15.75" customHeight="1">
      <c r="S1377" s="454"/>
      <c r="AN1377" s="458"/>
      <c r="BC1377" s="169"/>
    </row>
    <row r="1378" spans="19:55" ht="15.75" customHeight="1">
      <c r="S1378" s="454"/>
      <c r="AN1378" s="458"/>
      <c r="BC1378" s="169"/>
    </row>
    <row r="1379" spans="19:55" ht="15.75" customHeight="1">
      <c r="S1379" s="454"/>
      <c r="AN1379" s="458"/>
      <c r="BC1379" s="169"/>
    </row>
    <row r="1380" spans="19:55" ht="15.75" customHeight="1">
      <c r="S1380" s="454"/>
      <c r="AN1380" s="458"/>
      <c r="BC1380" s="169"/>
    </row>
    <row r="1381" spans="19:55" ht="15.75" customHeight="1">
      <c r="S1381" s="454"/>
      <c r="AN1381" s="458"/>
      <c r="BC1381" s="169"/>
    </row>
    <row r="1382" spans="19:55" ht="15.75" customHeight="1">
      <c r="S1382" s="454"/>
      <c r="AN1382" s="458"/>
      <c r="BC1382" s="169"/>
    </row>
    <row r="1383" spans="19:55" ht="15.75" customHeight="1">
      <c r="S1383" s="454"/>
      <c r="AN1383" s="458"/>
      <c r="BC1383" s="169"/>
    </row>
    <row r="1384" spans="19:55" ht="15.75" customHeight="1">
      <c r="S1384" s="454"/>
      <c r="AN1384" s="458"/>
      <c r="BC1384" s="169"/>
    </row>
    <row r="1385" spans="19:55" ht="15.75" customHeight="1">
      <c r="S1385" s="454"/>
      <c r="AN1385" s="458"/>
      <c r="BC1385" s="169"/>
    </row>
    <row r="1386" spans="19:55" ht="15.75" customHeight="1">
      <c r="S1386" s="454"/>
      <c r="AN1386" s="458"/>
      <c r="BC1386" s="169"/>
    </row>
    <row r="1387" spans="19:55" ht="15.75" customHeight="1">
      <c r="S1387" s="454"/>
      <c r="AN1387" s="458"/>
      <c r="BC1387" s="169"/>
    </row>
    <row r="1388" spans="19:55" ht="15.75" customHeight="1">
      <c r="S1388" s="454"/>
      <c r="AN1388" s="458"/>
      <c r="BC1388" s="169"/>
    </row>
    <row r="1389" spans="19:55" ht="15.75" customHeight="1">
      <c r="S1389" s="454"/>
      <c r="AN1389" s="458"/>
      <c r="BC1389" s="169"/>
    </row>
    <row r="1390" spans="19:55" ht="15.75" customHeight="1">
      <c r="S1390" s="454"/>
      <c r="AN1390" s="458"/>
      <c r="BC1390" s="169"/>
    </row>
    <row r="1391" spans="19:55" ht="15.75" customHeight="1">
      <c r="S1391" s="454"/>
      <c r="AN1391" s="458"/>
      <c r="BC1391" s="169"/>
    </row>
    <row r="1392" spans="19:55" ht="15.75" customHeight="1">
      <c r="S1392" s="454"/>
      <c r="AN1392" s="458"/>
      <c r="BC1392" s="169"/>
    </row>
    <row r="1393" spans="19:55" ht="15.75" customHeight="1">
      <c r="S1393" s="454"/>
      <c r="AN1393" s="458"/>
      <c r="BC1393" s="169"/>
    </row>
    <row r="1394" spans="19:55" ht="15.75" customHeight="1">
      <c r="S1394" s="454"/>
      <c r="AN1394" s="458"/>
      <c r="BC1394" s="169"/>
    </row>
    <row r="1395" spans="19:55" ht="15.75" customHeight="1">
      <c r="S1395" s="454"/>
      <c r="AN1395" s="458"/>
      <c r="BC1395" s="169"/>
    </row>
    <row r="1396" spans="19:55" ht="15.75" customHeight="1">
      <c r="S1396" s="454"/>
      <c r="AN1396" s="458"/>
      <c r="BC1396" s="169"/>
    </row>
    <row r="1397" spans="19:55" ht="15.75" customHeight="1">
      <c r="S1397" s="454"/>
      <c r="AN1397" s="458"/>
      <c r="BC1397" s="169"/>
    </row>
    <row r="1398" spans="19:55" ht="15.75" customHeight="1">
      <c r="S1398" s="454"/>
      <c r="AN1398" s="458"/>
      <c r="BC1398" s="169"/>
    </row>
    <row r="1399" spans="19:55" ht="15.75" customHeight="1">
      <c r="S1399" s="454"/>
      <c r="AN1399" s="458"/>
      <c r="BC1399" s="169"/>
    </row>
    <row r="1400" spans="19:55" ht="15.75" customHeight="1">
      <c r="S1400" s="454"/>
      <c r="AN1400" s="458"/>
      <c r="BC1400" s="169"/>
    </row>
    <row r="1401" spans="19:55" ht="15.75" customHeight="1">
      <c r="S1401" s="454"/>
      <c r="AN1401" s="458"/>
      <c r="BC1401" s="169"/>
    </row>
    <row r="1402" spans="19:55" ht="15.75" customHeight="1">
      <c r="S1402" s="454"/>
      <c r="AN1402" s="458"/>
      <c r="BC1402" s="169"/>
    </row>
    <row r="1403" spans="19:55" ht="15.75" customHeight="1">
      <c r="S1403" s="454"/>
      <c r="AN1403" s="458"/>
      <c r="BC1403" s="169"/>
    </row>
    <row r="1404" spans="19:55" ht="15.75" customHeight="1">
      <c r="S1404" s="454"/>
      <c r="AN1404" s="458"/>
      <c r="BC1404" s="169"/>
    </row>
    <row r="1405" spans="19:55" ht="15.75" customHeight="1">
      <c r="S1405" s="454"/>
      <c r="AN1405" s="458"/>
      <c r="BC1405" s="169"/>
    </row>
    <row r="1406" spans="19:55" ht="15.75" customHeight="1">
      <c r="S1406" s="454"/>
      <c r="AN1406" s="458"/>
      <c r="BC1406" s="169"/>
    </row>
    <row r="1407" spans="19:55" ht="15.75" customHeight="1">
      <c r="S1407" s="454"/>
      <c r="AN1407" s="458"/>
      <c r="BC1407" s="169"/>
    </row>
    <row r="1408" spans="19:55" ht="15.75" customHeight="1">
      <c r="S1408" s="454"/>
      <c r="AN1408" s="458"/>
      <c r="BC1408" s="169"/>
    </row>
    <row r="1409" spans="19:55" ht="15.75" customHeight="1">
      <c r="S1409" s="454"/>
      <c r="AN1409" s="458"/>
      <c r="BC1409" s="169"/>
    </row>
    <row r="1410" spans="19:55" ht="15.75" customHeight="1">
      <c r="S1410" s="454"/>
      <c r="AN1410" s="458"/>
      <c r="BC1410" s="169"/>
    </row>
    <row r="1411" spans="19:55" ht="15.75" customHeight="1">
      <c r="S1411" s="454"/>
      <c r="AN1411" s="458"/>
      <c r="BC1411" s="169"/>
    </row>
    <row r="1412" spans="19:55" ht="15.75" customHeight="1">
      <c r="S1412" s="454"/>
      <c r="AN1412" s="458"/>
      <c r="BC1412" s="169"/>
    </row>
    <row r="1413" spans="19:55" ht="15.75" customHeight="1">
      <c r="S1413" s="454"/>
      <c r="AN1413" s="458"/>
      <c r="BC1413" s="169"/>
    </row>
    <row r="1414" spans="19:55" ht="15.75" customHeight="1">
      <c r="S1414" s="454"/>
      <c r="AN1414" s="458"/>
      <c r="BC1414" s="169"/>
    </row>
    <row r="1415" spans="19:55" ht="15.75" customHeight="1">
      <c r="S1415" s="454"/>
      <c r="AN1415" s="458"/>
      <c r="BC1415" s="169"/>
    </row>
    <row r="1416" spans="19:55" ht="15.75" customHeight="1">
      <c r="S1416" s="454"/>
      <c r="AN1416" s="458"/>
      <c r="BC1416" s="169"/>
    </row>
    <row r="1417" spans="19:55" ht="15.75" customHeight="1">
      <c r="S1417" s="454"/>
      <c r="AN1417" s="458"/>
      <c r="BC1417" s="169"/>
    </row>
    <row r="1418" spans="19:55" ht="15.75" customHeight="1">
      <c r="S1418" s="454"/>
      <c r="AN1418" s="458"/>
      <c r="BC1418" s="169"/>
    </row>
    <row r="1419" spans="19:55" ht="15.75" customHeight="1">
      <c r="S1419" s="454"/>
      <c r="AN1419" s="458"/>
      <c r="BC1419" s="169"/>
    </row>
    <row r="1420" spans="19:55" ht="15.75" customHeight="1">
      <c r="S1420" s="454"/>
      <c r="AN1420" s="458"/>
      <c r="BC1420" s="169"/>
    </row>
    <row r="1421" spans="19:55" ht="15.75" customHeight="1">
      <c r="S1421" s="454"/>
      <c r="AN1421" s="458"/>
      <c r="BC1421" s="169"/>
    </row>
    <row r="1422" spans="19:55" ht="15.75" customHeight="1">
      <c r="S1422" s="454"/>
      <c r="AN1422" s="458"/>
      <c r="BC1422" s="169"/>
    </row>
    <row r="1423" spans="19:55" ht="15.75" customHeight="1">
      <c r="S1423" s="454"/>
      <c r="AN1423" s="458"/>
      <c r="BC1423" s="169"/>
    </row>
    <row r="1424" spans="19:55" ht="15.75" customHeight="1">
      <c r="S1424" s="454"/>
      <c r="AN1424" s="458"/>
      <c r="BC1424" s="169"/>
    </row>
    <row r="1425" spans="19:55" ht="15.75" customHeight="1">
      <c r="S1425" s="454"/>
      <c r="AN1425" s="458"/>
      <c r="BC1425" s="169"/>
    </row>
    <row r="1426" spans="19:55" ht="15.75" customHeight="1">
      <c r="S1426" s="454"/>
      <c r="AN1426" s="458"/>
      <c r="BC1426" s="169"/>
    </row>
    <row r="1427" spans="19:55" ht="15.75" customHeight="1">
      <c r="S1427" s="454"/>
      <c r="AN1427" s="458"/>
      <c r="BC1427" s="169"/>
    </row>
    <row r="1428" spans="19:55" ht="15.75" customHeight="1">
      <c r="S1428" s="454"/>
      <c r="AN1428" s="458"/>
      <c r="BC1428" s="169"/>
    </row>
    <row r="1429" spans="19:55" ht="15.75" customHeight="1">
      <c r="S1429" s="454"/>
      <c r="AN1429" s="458"/>
      <c r="BC1429" s="169"/>
    </row>
    <row r="1430" spans="19:55" ht="15.75" customHeight="1">
      <c r="S1430" s="454"/>
      <c r="AN1430" s="458"/>
      <c r="BC1430" s="169"/>
    </row>
    <row r="1431" spans="19:55" ht="15.75" customHeight="1">
      <c r="S1431" s="454"/>
      <c r="AN1431" s="458"/>
      <c r="BC1431" s="169"/>
    </row>
    <row r="1432" spans="19:55" ht="15.75" customHeight="1">
      <c r="S1432" s="454"/>
      <c r="AN1432" s="458"/>
      <c r="BC1432" s="169"/>
    </row>
    <row r="1433" spans="19:55" ht="15.75" customHeight="1">
      <c r="S1433" s="454"/>
      <c r="AN1433" s="458"/>
      <c r="BC1433" s="169"/>
    </row>
    <row r="1434" spans="19:55" ht="15.75" customHeight="1">
      <c r="S1434" s="454"/>
      <c r="AN1434" s="458"/>
      <c r="BC1434" s="169"/>
    </row>
    <row r="1435" spans="19:55" ht="15.75" customHeight="1">
      <c r="S1435" s="454"/>
      <c r="AN1435" s="458"/>
      <c r="BC1435" s="169"/>
    </row>
    <row r="1436" spans="19:55" ht="15.75" customHeight="1">
      <c r="S1436" s="454"/>
      <c r="AN1436" s="458"/>
      <c r="BC1436" s="169"/>
    </row>
    <row r="1437" spans="19:55" ht="15.75" customHeight="1">
      <c r="S1437" s="454"/>
      <c r="AN1437" s="458"/>
      <c r="BC1437" s="169"/>
    </row>
    <row r="1438" spans="19:55" ht="15.75" customHeight="1">
      <c r="S1438" s="454"/>
      <c r="AN1438" s="458"/>
      <c r="BC1438" s="169"/>
    </row>
    <row r="1439" spans="19:55" ht="15.75" customHeight="1">
      <c r="S1439" s="454"/>
      <c r="AN1439" s="458"/>
      <c r="BC1439" s="169"/>
    </row>
    <row r="1440" spans="19:55" ht="15.75" customHeight="1">
      <c r="S1440" s="454"/>
      <c r="AN1440" s="458"/>
      <c r="BC1440" s="169"/>
    </row>
    <row r="1441" spans="19:55" ht="15.75" customHeight="1">
      <c r="S1441" s="454"/>
      <c r="AN1441" s="458"/>
      <c r="BC1441" s="169"/>
    </row>
    <row r="1442" spans="19:55" ht="15.75" customHeight="1">
      <c r="S1442" s="454"/>
      <c r="AN1442" s="458"/>
      <c r="BC1442" s="169"/>
    </row>
    <row r="1443" spans="19:55" ht="15.75" customHeight="1">
      <c r="S1443" s="454"/>
      <c r="AN1443" s="458"/>
      <c r="BC1443" s="169"/>
    </row>
    <row r="1444" spans="19:55" ht="15.75" customHeight="1">
      <c r="S1444" s="454"/>
      <c r="AN1444" s="458"/>
      <c r="BC1444" s="169"/>
    </row>
    <row r="1445" spans="19:55" ht="15.75" customHeight="1">
      <c r="S1445" s="454"/>
      <c r="AN1445" s="458"/>
      <c r="BC1445" s="169"/>
    </row>
    <row r="1446" spans="19:55" ht="15.75" customHeight="1">
      <c r="S1446" s="454"/>
      <c r="AN1446" s="458"/>
      <c r="BC1446" s="169"/>
    </row>
    <row r="1447" spans="19:55" ht="15.75" customHeight="1">
      <c r="S1447" s="454"/>
      <c r="AN1447" s="458"/>
      <c r="BC1447" s="169"/>
    </row>
    <row r="1448" spans="19:55" ht="15.75" customHeight="1">
      <c r="S1448" s="454"/>
      <c r="AN1448" s="458"/>
      <c r="BC1448" s="169"/>
    </row>
    <row r="1449" spans="19:55" ht="15.75" customHeight="1">
      <c r="S1449" s="454"/>
      <c r="AN1449" s="458"/>
      <c r="BC1449" s="169"/>
    </row>
    <row r="1450" spans="19:55" ht="15.75" customHeight="1">
      <c r="S1450" s="454"/>
      <c r="AN1450" s="458"/>
      <c r="BC1450" s="169"/>
    </row>
    <row r="1451" spans="19:55" ht="15.75" customHeight="1">
      <c r="S1451" s="454"/>
      <c r="AN1451" s="458"/>
      <c r="BC1451" s="169"/>
    </row>
    <row r="1452" spans="19:55" ht="15.75" customHeight="1">
      <c r="S1452" s="454"/>
      <c r="AN1452" s="458"/>
      <c r="BC1452" s="169"/>
    </row>
    <row r="1453" spans="19:55" ht="15.75" customHeight="1">
      <c r="S1453" s="454"/>
      <c r="AN1453" s="458"/>
      <c r="BC1453" s="169"/>
    </row>
    <row r="1454" spans="19:55" ht="15.75" customHeight="1">
      <c r="S1454" s="454"/>
      <c r="AN1454" s="458"/>
      <c r="BC1454" s="169"/>
    </row>
    <row r="1455" spans="19:55" ht="15.75" customHeight="1">
      <c r="S1455" s="454"/>
      <c r="AN1455" s="458"/>
      <c r="BC1455" s="169"/>
    </row>
    <row r="1456" spans="19:55" ht="15.75" customHeight="1">
      <c r="S1456" s="454"/>
      <c r="AN1456" s="458"/>
      <c r="BC1456" s="169"/>
    </row>
    <row r="1457" spans="19:55" ht="15.75" customHeight="1">
      <c r="S1457" s="454"/>
      <c r="AN1457" s="458"/>
      <c r="BC1457" s="169"/>
    </row>
    <row r="1458" spans="19:55" ht="15.75" customHeight="1">
      <c r="S1458" s="454"/>
      <c r="AN1458" s="458"/>
      <c r="BC1458" s="169"/>
    </row>
    <row r="1459" spans="19:55" ht="15.75" customHeight="1">
      <c r="S1459" s="454"/>
      <c r="AN1459" s="458"/>
      <c r="BC1459" s="169"/>
    </row>
    <row r="1460" spans="19:55" ht="15.75" customHeight="1">
      <c r="S1460" s="454"/>
      <c r="AN1460" s="458"/>
      <c r="BC1460" s="169"/>
    </row>
    <row r="1461" spans="19:55" ht="15.75" customHeight="1">
      <c r="S1461" s="454"/>
      <c r="AN1461" s="458"/>
      <c r="BC1461" s="169"/>
    </row>
    <row r="1462" spans="19:55" ht="15.75" customHeight="1">
      <c r="S1462" s="454"/>
      <c r="AN1462" s="458"/>
      <c r="BC1462" s="169"/>
    </row>
    <row r="1463" spans="19:55" ht="15.75" customHeight="1">
      <c r="S1463" s="454"/>
      <c r="AN1463" s="458"/>
      <c r="BC1463" s="169"/>
    </row>
    <row r="1464" spans="19:55" ht="15.75" customHeight="1">
      <c r="S1464" s="454"/>
      <c r="AN1464" s="458"/>
      <c r="BC1464" s="169"/>
    </row>
    <row r="1465" spans="19:55" ht="15.75" customHeight="1">
      <c r="S1465" s="454"/>
      <c r="AN1465" s="458"/>
      <c r="BC1465" s="169"/>
    </row>
    <row r="1466" spans="19:55" ht="15.75" customHeight="1">
      <c r="S1466" s="454"/>
      <c r="AN1466" s="458"/>
      <c r="BC1466" s="169"/>
    </row>
    <row r="1467" spans="19:55" ht="15.75" customHeight="1">
      <c r="S1467" s="454"/>
      <c r="AN1467" s="458"/>
      <c r="BC1467" s="169"/>
    </row>
    <row r="1468" spans="19:55" ht="15.75" customHeight="1">
      <c r="S1468" s="454"/>
      <c r="AN1468" s="458"/>
      <c r="BC1468" s="169"/>
    </row>
    <row r="1469" spans="19:55" ht="15.75" customHeight="1">
      <c r="S1469" s="454"/>
      <c r="AN1469" s="458"/>
      <c r="BC1469" s="169"/>
    </row>
    <row r="1470" spans="19:55" ht="15.75" customHeight="1">
      <c r="S1470" s="454"/>
      <c r="AN1470" s="458"/>
      <c r="BC1470" s="169"/>
    </row>
    <row r="1471" spans="19:55" ht="15.75" customHeight="1">
      <c r="S1471" s="454"/>
      <c r="AN1471" s="458"/>
      <c r="BC1471" s="169"/>
    </row>
    <row r="1472" spans="19:55" ht="15.75" customHeight="1">
      <c r="S1472" s="454"/>
      <c r="AN1472" s="458"/>
      <c r="BC1472" s="169"/>
    </row>
    <row r="1473" spans="19:55" ht="15.75" customHeight="1">
      <c r="S1473" s="454"/>
      <c r="AN1473" s="458"/>
      <c r="BC1473" s="169"/>
    </row>
    <row r="1474" spans="19:55" ht="15.75" customHeight="1">
      <c r="S1474" s="454"/>
      <c r="AN1474" s="458"/>
      <c r="BC1474" s="169"/>
    </row>
    <row r="1475" spans="19:55" ht="15.75" customHeight="1">
      <c r="S1475" s="454"/>
      <c r="AN1475" s="458"/>
      <c r="BC1475" s="169"/>
    </row>
    <row r="1476" spans="19:55" ht="15.75" customHeight="1">
      <c r="S1476" s="454"/>
      <c r="AN1476" s="458"/>
      <c r="BC1476" s="169"/>
    </row>
    <row r="1477" spans="19:55" ht="15.75" customHeight="1">
      <c r="S1477" s="454"/>
      <c r="AN1477" s="458"/>
      <c r="BC1477" s="169"/>
    </row>
    <row r="1478" spans="19:55" ht="15.75" customHeight="1">
      <c r="S1478" s="454"/>
      <c r="AN1478" s="458"/>
      <c r="BC1478" s="169"/>
    </row>
    <row r="1479" spans="19:55" ht="15.75" customHeight="1">
      <c r="S1479" s="454"/>
      <c r="AN1479" s="458"/>
      <c r="BC1479" s="169"/>
    </row>
    <row r="1480" spans="19:55" ht="15.75" customHeight="1">
      <c r="S1480" s="454"/>
      <c r="AN1480" s="458"/>
      <c r="BC1480" s="169"/>
    </row>
    <row r="1481" spans="19:55" ht="15.75" customHeight="1">
      <c r="S1481" s="454"/>
      <c r="AN1481" s="458"/>
      <c r="BC1481" s="169"/>
    </row>
    <row r="1482" spans="19:55" ht="15.75" customHeight="1">
      <c r="S1482" s="454"/>
      <c r="AN1482" s="458"/>
      <c r="BC1482" s="169"/>
    </row>
    <row r="1483" spans="19:55" ht="15.75" customHeight="1">
      <c r="S1483" s="454"/>
      <c r="AN1483" s="458"/>
      <c r="BC1483" s="169"/>
    </row>
    <row r="1484" spans="19:55" ht="15.75" customHeight="1">
      <c r="S1484" s="454"/>
      <c r="AN1484" s="458"/>
      <c r="BC1484" s="169"/>
    </row>
    <row r="1485" spans="19:55" ht="15.75" customHeight="1">
      <c r="S1485" s="454"/>
      <c r="AN1485" s="458"/>
      <c r="BC1485" s="169"/>
    </row>
    <row r="1486" spans="19:55" ht="15.75" customHeight="1">
      <c r="S1486" s="454"/>
      <c r="AN1486" s="458"/>
      <c r="BC1486" s="169"/>
    </row>
    <row r="1487" spans="19:55" ht="15.75" customHeight="1">
      <c r="S1487" s="454"/>
      <c r="AN1487" s="458"/>
      <c r="BC1487" s="169"/>
    </row>
    <row r="1488" spans="19:55" ht="15.75" customHeight="1">
      <c r="S1488" s="454"/>
      <c r="AN1488" s="458"/>
      <c r="BC1488" s="169"/>
    </row>
    <row r="1489" spans="19:55" ht="15.75" customHeight="1">
      <c r="S1489" s="454"/>
      <c r="AN1489" s="458"/>
      <c r="BC1489" s="169"/>
    </row>
    <row r="1490" spans="19:55" ht="15.75" customHeight="1">
      <c r="S1490" s="454"/>
      <c r="AN1490" s="458"/>
      <c r="BC1490" s="169"/>
    </row>
    <row r="1491" spans="19:55" ht="15.75" customHeight="1">
      <c r="S1491" s="454"/>
      <c r="AN1491" s="458"/>
      <c r="BC1491" s="169"/>
    </row>
    <row r="1492" spans="19:55" ht="15.75" customHeight="1">
      <c r="S1492" s="454"/>
      <c r="AN1492" s="458"/>
      <c r="BC1492" s="169"/>
    </row>
    <row r="1493" spans="19:55" ht="15.75" customHeight="1">
      <c r="S1493" s="454"/>
      <c r="AN1493" s="458"/>
      <c r="BC1493" s="169"/>
    </row>
    <row r="1494" spans="19:55" ht="15.75" customHeight="1">
      <c r="AN1494" s="458"/>
      <c r="BC1494" s="169"/>
    </row>
    <row r="1495" spans="19:55" ht="15.75" customHeight="1">
      <c r="AN1495" s="458"/>
      <c r="BC1495" s="169"/>
    </row>
    <row r="1496" spans="19:55" ht="15.75" customHeight="1">
      <c r="AN1496" s="458"/>
      <c r="BC1496" s="169"/>
    </row>
    <row r="1497" spans="19:55" ht="15.75" customHeight="1">
      <c r="AN1497" s="458"/>
      <c r="BC1497" s="169"/>
    </row>
    <row r="1498" spans="19:55" ht="15.75" customHeight="1">
      <c r="AN1498" s="458"/>
      <c r="BC1498" s="169"/>
    </row>
    <row r="1499" spans="19:55" ht="15.75" customHeight="1">
      <c r="AN1499" s="458"/>
      <c r="BC1499" s="169"/>
    </row>
    <row r="1500" spans="19:55" ht="15.75" customHeight="1">
      <c r="AN1500" s="458"/>
      <c r="BC1500" s="169"/>
    </row>
    <row r="1501" spans="19:55" ht="15.75" customHeight="1">
      <c r="AN1501" s="458"/>
      <c r="BC1501" s="169"/>
    </row>
    <row r="1502" spans="19:55" ht="15.75" customHeight="1">
      <c r="AN1502" s="458"/>
      <c r="BC1502" s="169"/>
    </row>
    <row r="1503" spans="19:55" ht="15.75" customHeight="1">
      <c r="AN1503" s="458"/>
      <c r="BC1503" s="169"/>
    </row>
    <row r="1504" spans="19:55" ht="15.75" customHeight="1">
      <c r="AN1504" s="458"/>
      <c r="BC1504" s="169"/>
    </row>
    <row r="1505" spans="40:55" ht="15.75" customHeight="1">
      <c r="AN1505" s="458"/>
      <c r="BC1505" s="169"/>
    </row>
    <row r="1506" spans="40:55" ht="15.75" customHeight="1">
      <c r="AN1506" s="458"/>
      <c r="BC1506" s="169"/>
    </row>
    <row r="1507" spans="40:55" ht="15.75" customHeight="1">
      <c r="AN1507" s="458"/>
      <c r="BC1507" s="169"/>
    </row>
    <row r="1508" spans="40:55" ht="15.75" customHeight="1">
      <c r="AN1508" s="458"/>
      <c r="BC1508" s="169"/>
    </row>
    <row r="1509" spans="40:55" ht="15.75" customHeight="1">
      <c r="AN1509" s="458"/>
      <c r="BC1509" s="169"/>
    </row>
    <row r="1510" spans="40:55" ht="15.75" customHeight="1">
      <c r="AN1510" s="458"/>
      <c r="BC1510" s="169"/>
    </row>
    <row r="1511" spans="40:55" ht="15.75" customHeight="1">
      <c r="AN1511" s="458"/>
      <c r="BC1511" s="169"/>
    </row>
    <row r="1512" spans="40:55" ht="15.75" customHeight="1">
      <c r="AN1512" s="458"/>
      <c r="BC1512" s="169"/>
    </row>
    <row r="1513" spans="40:55" ht="15.75" customHeight="1">
      <c r="AN1513" s="458"/>
      <c r="BC1513" s="169"/>
    </row>
    <row r="1514" spans="40:55" ht="15.75" customHeight="1">
      <c r="AN1514" s="458"/>
      <c r="BC1514" s="169"/>
    </row>
    <row r="1515" spans="40:55" ht="15.75" customHeight="1">
      <c r="AN1515" s="458"/>
      <c r="BC1515" s="169"/>
    </row>
    <row r="1516" spans="40:55" ht="15.75" customHeight="1">
      <c r="AN1516" s="458"/>
      <c r="BC1516" s="169"/>
    </row>
    <row r="1517" spans="40:55" ht="15.75" customHeight="1">
      <c r="AN1517" s="458"/>
      <c r="BC1517" s="169"/>
    </row>
    <row r="1518" spans="40:55" ht="15.75" customHeight="1">
      <c r="AN1518" s="458"/>
      <c r="BC1518" s="169"/>
    </row>
    <row r="1519" spans="40:55" ht="15.75" customHeight="1">
      <c r="AN1519" s="458"/>
      <c r="BC1519" s="169"/>
    </row>
    <row r="1520" spans="40:55" ht="15.75" customHeight="1">
      <c r="AN1520" s="458"/>
      <c r="BC1520" s="169"/>
    </row>
    <row r="1521" spans="40:55" ht="15.75" customHeight="1">
      <c r="AN1521" s="458"/>
      <c r="BC1521" s="169"/>
    </row>
    <row r="1522" spans="40:55" ht="15.75" customHeight="1">
      <c r="AN1522" s="458"/>
      <c r="BC1522" s="169"/>
    </row>
    <row r="1523" spans="40:55" ht="15.75" customHeight="1">
      <c r="AN1523" s="458"/>
      <c r="BC1523" s="169"/>
    </row>
    <row r="1524" spans="40:55" ht="15.75" customHeight="1">
      <c r="AN1524" s="458"/>
      <c r="BC1524" s="169"/>
    </row>
    <row r="1525" spans="40:55" ht="15.75" customHeight="1">
      <c r="AN1525" s="458"/>
      <c r="BC1525" s="169"/>
    </row>
    <row r="1526" spans="40:55" ht="15.75" customHeight="1">
      <c r="AN1526" s="458"/>
      <c r="BC1526" s="169"/>
    </row>
    <row r="1527" spans="40:55" ht="15.75" customHeight="1">
      <c r="AN1527" s="458"/>
      <c r="BC1527" s="169"/>
    </row>
    <row r="1528" spans="40:55" ht="15.75" customHeight="1">
      <c r="AN1528" s="458"/>
      <c r="BC1528" s="169"/>
    </row>
    <row r="1529" spans="40:55" ht="15.75" customHeight="1">
      <c r="AN1529" s="458"/>
      <c r="BC1529" s="169"/>
    </row>
    <row r="1530" spans="40:55" ht="15.75" customHeight="1">
      <c r="AN1530" s="458"/>
      <c r="BC1530" s="169"/>
    </row>
    <row r="1531" spans="40:55" ht="15.75" customHeight="1">
      <c r="AN1531" s="458"/>
      <c r="BC1531" s="169"/>
    </row>
    <row r="1532" spans="40:55" ht="15.75" customHeight="1">
      <c r="AN1532" s="458"/>
      <c r="BC1532" s="169"/>
    </row>
    <row r="1533" spans="40:55" ht="15.75" customHeight="1">
      <c r="AN1533" s="458"/>
      <c r="BC1533" s="169"/>
    </row>
    <row r="1534" spans="40:55" ht="15.75" customHeight="1">
      <c r="AN1534" s="458"/>
      <c r="BC1534" s="169"/>
    </row>
    <row r="1535" spans="40:55" ht="15.75" customHeight="1">
      <c r="AN1535" s="458"/>
      <c r="BC1535" s="169"/>
    </row>
    <row r="1536" spans="40:55" ht="15.75" customHeight="1">
      <c r="AN1536" s="458"/>
      <c r="BC1536" s="169"/>
    </row>
    <row r="1537" spans="40:55" ht="15.75" customHeight="1">
      <c r="AN1537" s="458"/>
      <c r="BC1537" s="169"/>
    </row>
    <row r="1538" spans="40:55" ht="15.75" customHeight="1">
      <c r="AN1538" s="458"/>
      <c r="BC1538" s="169"/>
    </row>
    <row r="1539" spans="40:55" ht="15.75" customHeight="1">
      <c r="AN1539" s="458"/>
      <c r="BC1539" s="169"/>
    </row>
    <row r="1540" spans="40:55" ht="15.75" customHeight="1">
      <c r="AN1540" s="458"/>
      <c r="BC1540" s="169"/>
    </row>
    <row r="1541" spans="40:55" ht="15.75" customHeight="1">
      <c r="AN1541" s="458"/>
      <c r="BC1541" s="169"/>
    </row>
    <row r="1542" spans="40:55" ht="15.75" customHeight="1">
      <c r="AN1542" s="458"/>
      <c r="BC1542" s="169"/>
    </row>
    <row r="1543" spans="40:55" ht="15.75" customHeight="1">
      <c r="AN1543" s="458"/>
      <c r="BC1543" s="169"/>
    </row>
    <row r="1544" spans="40:55" ht="15.75" customHeight="1">
      <c r="AN1544" s="458"/>
      <c r="BC1544" s="169"/>
    </row>
    <row r="1545" spans="40:55" ht="15.75" customHeight="1">
      <c r="AN1545" s="458"/>
      <c r="BC1545" s="169"/>
    </row>
    <row r="1546" spans="40:55" ht="15.75" customHeight="1">
      <c r="AN1546" s="458"/>
      <c r="BC1546" s="169"/>
    </row>
    <row r="1547" spans="40:55" ht="15.75" customHeight="1">
      <c r="AN1547" s="458"/>
      <c r="BC1547" s="169"/>
    </row>
    <row r="1548" spans="40:55" ht="15.75" customHeight="1">
      <c r="AN1548" s="458"/>
      <c r="BC1548" s="169"/>
    </row>
    <row r="1549" spans="40:55" ht="15.75" customHeight="1">
      <c r="AN1549" s="458"/>
      <c r="BC1549" s="169"/>
    </row>
    <row r="1550" spans="40:55" ht="15.75" customHeight="1">
      <c r="AN1550" s="458"/>
      <c r="BC1550" s="169"/>
    </row>
    <row r="1551" spans="40:55" ht="15.75" customHeight="1">
      <c r="AN1551" s="458"/>
      <c r="BC1551" s="169"/>
    </row>
    <row r="1552" spans="40:55" ht="15.75" customHeight="1">
      <c r="AN1552" s="458"/>
      <c r="BC1552" s="169"/>
    </row>
    <row r="1553" spans="40:55" ht="15.75" customHeight="1">
      <c r="AN1553" s="458"/>
      <c r="BC1553" s="169"/>
    </row>
    <row r="1554" spans="40:55" ht="15.75" customHeight="1">
      <c r="AN1554" s="458"/>
      <c r="BC1554" s="169"/>
    </row>
    <row r="1555" spans="40:55" ht="15.75" customHeight="1">
      <c r="AN1555" s="458"/>
      <c r="BC1555" s="169"/>
    </row>
    <row r="1556" spans="40:55" ht="15.75" customHeight="1">
      <c r="AN1556" s="458"/>
      <c r="BC1556" s="169"/>
    </row>
    <row r="1557" spans="40:55" ht="15.75" customHeight="1">
      <c r="AN1557" s="458"/>
      <c r="BC1557" s="169"/>
    </row>
    <row r="1558" spans="40:55" ht="15.75" customHeight="1">
      <c r="AN1558" s="458"/>
      <c r="BC1558" s="169"/>
    </row>
    <row r="1559" spans="40:55" ht="15.75" customHeight="1">
      <c r="AN1559" s="458"/>
      <c r="BC1559" s="169"/>
    </row>
    <row r="1560" spans="40:55" ht="15.75" customHeight="1">
      <c r="AN1560" s="458"/>
      <c r="BC1560" s="169"/>
    </row>
    <row r="1561" spans="40:55" ht="15.75" customHeight="1">
      <c r="AN1561" s="458"/>
      <c r="BC1561" s="169"/>
    </row>
    <row r="1562" spans="40:55" ht="15.75" customHeight="1">
      <c r="AN1562" s="458"/>
      <c r="BC1562" s="169"/>
    </row>
    <row r="1563" spans="40:55" ht="15.75" customHeight="1">
      <c r="AN1563" s="458"/>
      <c r="BC1563" s="169"/>
    </row>
    <row r="1564" spans="40:55" ht="15.75" customHeight="1">
      <c r="AN1564" s="458"/>
      <c r="BC1564" s="169"/>
    </row>
    <row r="1565" spans="40:55" ht="15.75" customHeight="1">
      <c r="AN1565" s="458"/>
      <c r="BC1565" s="169"/>
    </row>
    <row r="1566" spans="40:55" ht="15.75" customHeight="1">
      <c r="AN1566" s="458"/>
      <c r="BC1566" s="169"/>
    </row>
    <row r="1567" spans="40:55" ht="15.75" customHeight="1">
      <c r="AN1567" s="458"/>
      <c r="BC1567" s="169"/>
    </row>
    <row r="1568" spans="40:55" ht="15.75" customHeight="1">
      <c r="AN1568" s="458"/>
      <c r="BC1568" s="169"/>
    </row>
    <row r="1569" spans="40:55" ht="15.75" customHeight="1">
      <c r="AN1569" s="458"/>
      <c r="BC1569" s="169"/>
    </row>
    <row r="1570" spans="40:55" ht="15.75" customHeight="1">
      <c r="AN1570" s="458"/>
      <c r="BC1570" s="169"/>
    </row>
    <row r="1571" spans="40:55" ht="15.75" customHeight="1">
      <c r="AN1571" s="458"/>
      <c r="BC1571" s="169"/>
    </row>
    <row r="1572" spans="40:55" ht="15.75" customHeight="1">
      <c r="AN1572" s="458"/>
      <c r="BC1572" s="169"/>
    </row>
    <row r="1573" spans="40:55" ht="15.75" customHeight="1">
      <c r="AN1573" s="458"/>
      <c r="BC1573" s="169"/>
    </row>
    <row r="1574" spans="40:55" ht="15.75" customHeight="1">
      <c r="AN1574" s="458"/>
      <c r="BC1574" s="169"/>
    </row>
    <row r="1575" spans="40:55" ht="15.75" customHeight="1">
      <c r="AN1575" s="458"/>
      <c r="BC1575" s="169"/>
    </row>
    <row r="1576" spans="40:55" ht="15.75" customHeight="1">
      <c r="AN1576" s="458"/>
      <c r="BC1576" s="169"/>
    </row>
    <row r="1577" spans="40:55" ht="15.75" customHeight="1">
      <c r="AN1577" s="458"/>
      <c r="BC1577" s="169"/>
    </row>
    <row r="1578" spans="40:55" ht="15.75" customHeight="1">
      <c r="AN1578" s="458"/>
      <c r="BC1578" s="169"/>
    </row>
    <row r="1579" spans="40:55" ht="15.75" customHeight="1">
      <c r="AN1579" s="458"/>
      <c r="BC1579" s="169"/>
    </row>
    <row r="1580" spans="40:55" ht="15.75" customHeight="1">
      <c r="AN1580" s="458"/>
      <c r="BC1580" s="169"/>
    </row>
    <row r="1581" spans="40:55" ht="15.75" customHeight="1">
      <c r="AN1581" s="458"/>
      <c r="BC1581" s="169"/>
    </row>
    <row r="1582" spans="40:55" ht="15.75" customHeight="1">
      <c r="AN1582" s="458"/>
      <c r="BC1582" s="169"/>
    </row>
    <row r="1583" spans="40:55" ht="15.75" customHeight="1">
      <c r="AN1583" s="458"/>
      <c r="BC1583" s="169"/>
    </row>
    <row r="1584" spans="40:55" ht="15.75" customHeight="1">
      <c r="AN1584" s="458"/>
      <c r="BC1584" s="169"/>
    </row>
    <row r="1585" spans="40:55" ht="15.75" customHeight="1">
      <c r="AN1585" s="458"/>
      <c r="BC1585" s="169"/>
    </row>
    <row r="1586" spans="40:55" ht="15.75" customHeight="1">
      <c r="AN1586" s="458"/>
      <c r="BC1586" s="169"/>
    </row>
    <row r="1587" spans="40:55" ht="15.75" customHeight="1">
      <c r="AN1587" s="458"/>
      <c r="BC1587" s="169"/>
    </row>
    <row r="1588" spans="40:55" ht="15.75" customHeight="1">
      <c r="AN1588" s="458"/>
      <c r="BC1588" s="169"/>
    </row>
    <row r="1589" spans="40:55" ht="15.75" customHeight="1">
      <c r="AN1589" s="458"/>
      <c r="BC1589" s="169"/>
    </row>
    <row r="1590" spans="40:55" ht="15.75" customHeight="1">
      <c r="AN1590" s="458"/>
      <c r="BC1590" s="169"/>
    </row>
    <row r="1591" spans="40:55" ht="15.75" customHeight="1">
      <c r="AN1591" s="458"/>
      <c r="BC1591" s="169"/>
    </row>
    <row r="1592" spans="40:55" ht="15.75" customHeight="1">
      <c r="AN1592" s="458"/>
      <c r="BC1592" s="169"/>
    </row>
    <row r="1593" spans="40:55" ht="15.75" customHeight="1">
      <c r="AN1593" s="458"/>
      <c r="BC1593" s="169"/>
    </row>
    <row r="1594" spans="40:55" ht="15.75" customHeight="1">
      <c r="AN1594" s="458"/>
      <c r="BC1594" s="169"/>
    </row>
    <row r="1595" spans="40:55" ht="15.75" customHeight="1">
      <c r="AN1595" s="458"/>
      <c r="BC1595" s="169"/>
    </row>
    <row r="1596" spans="40:55" ht="15.75" customHeight="1">
      <c r="AN1596" s="458"/>
      <c r="BC1596" s="169"/>
    </row>
    <row r="1597" spans="40:55" ht="15.75" customHeight="1">
      <c r="AN1597" s="458"/>
      <c r="BC1597" s="169"/>
    </row>
    <row r="1598" spans="40:55" ht="15.75" customHeight="1">
      <c r="AN1598" s="458"/>
      <c r="BC1598" s="169"/>
    </row>
    <row r="1599" spans="40:55" ht="15.75" customHeight="1">
      <c r="AN1599" s="458"/>
      <c r="BC1599" s="169"/>
    </row>
    <row r="1600" spans="40:55" ht="15.75" customHeight="1">
      <c r="AN1600" s="458"/>
      <c r="BC1600" s="169"/>
    </row>
    <row r="1601" spans="40:55" ht="15.75" customHeight="1">
      <c r="AN1601" s="458"/>
      <c r="BC1601" s="169"/>
    </row>
    <row r="1602" spans="40:55" ht="15.75" customHeight="1">
      <c r="AN1602" s="458"/>
      <c r="BC1602" s="169"/>
    </row>
    <row r="1603" spans="40:55" ht="15.75" customHeight="1">
      <c r="AN1603" s="458"/>
      <c r="BC1603" s="169"/>
    </row>
    <row r="1604" spans="40:55" ht="15.75" customHeight="1">
      <c r="AN1604" s="458"/>
      <c r="BC1604" s="169"/>
    </row>
    <row r="1605" spans="40:55" ht="15.75" customHeight="1">
      <c r="AN1605" s="458"/>
      <c r="BC1605" s="169"/>
    </row>
    <row r="1606" spans="40:55" ht="15.75" customHeight="1">
      <c r="AN1606" s="458"/>
      <c r="BC1606" s="169"/>
    </row>
    <row r="1607" spans="40:55" ht="15.75" customHeight="1">
      <c r="AN1607" s="458"/>
      <c r="BC1607" s="169"/>
    </row>
    <row r="1608" spans="40:55" ht="15.75" customHeight="1">
      <c r="AN1608" s="458"/>
      <c r="BC1608" s="169"/>
    </row>
    <row r="1609" spans="40:55" ht="15.75" customHeight="1">
      <c r="AN1609" s="458"/>
      <c r="BC1609" s="169"/>
    </row>
    <row r="1610" spans="40:55" ht="15.75" customHeight="1">
      <c r="AN1610" s="458"/>
      <c r="BC1610" s="169"/>
    </row>
    <row r="1611" spans="40:55" ht="15.75" customHeight="1">
      <c r="AN1611" s="458"/>
      <c r="BC1611" s="169"/>
    </row>
    <row r="1612" spans="40:55" ht="15.75" customHeight="1">
      <c r="AN1612" s="458"/>
      <c r="BC1612" s="169"/>
    </row>
    <row r="1613" spans="40:55" ht="15.75" customHeight="1">
      <c r="AN1613" s="458"/>
      <c r="BC1613" s="169"/>
    </row>
    <row r="1614" spans="40:55" ht="15.75" customHeight="1">
      <c r="AN1614" s="458"/>
      <c r="BC1614" s="169"/>
    </row>
    <row r="1615" spans="40:55" ht="15.75" customHeight="1">
      <c r="AN1615" s="458"/>
      <c r="BC1615" s="169"/>
    </row>
    <row r="1616" spans="40:55" ht="15.75" customHeight="1">
      <c r="AN1616" s="458"/>
      <c r="BC1616" s="169"/>
    </row>
    <row r="1617" spans="40:55" ht="15.75" customHeight="1">
      <c r="AN1617" s="458"/>
      <c r="BC1617" s="169"/>
    </row>
    <row r="1618" spans="40:55" ht="15.75" customHeight="1">
      <c r="AN1618" s="458"/>
      <c r="BC1618" s="169"/>
    </row>
    <row r="1619" spans="40:55" ht="15.75" customHeight="1">
      <c r="AN1619" s="458"/>
      <c r="BC1619" s="169"/>
    </row>
    <row r="1620" spans="40:55" ht="15.75" customHeight="1">
      <c r="AN1620" s="458"/>
      <c r="BC1620" s="169"/>
    </row>
    <row r="1621" spans="40:55" ht="15.75" customHeight="1">
      <c r="AN1621" s="458"/>
      <c r="BC1621" s="169"/>
    </row>
    <row r="1622" spans="40:55" ht="15.75" customHeight="1">
      <c r="AN1622" s="458"/>
      <c r="BC1622" s="169"/>
    </row>
    <row r="1623" spans="40:55" ht="15.75" customHeight="1">
      <c r="AN1623" s="458"/>
      <c r="BC1623" s="169"/>
    </row>
    <row r="1624" spans="40:55" ht="15.75" customHeight="1">
      <c r="AN1624" s="458"/>
      <c r="BC1624" s="169"/>
    </row>
    <row r="1625" spans="40:55" ht="15.75" customHeight="1">
      <c r="AN1625" s="458"/>
      <c r="BC1625" s="169"/>
    </row>
    <row r="1626" spans="40:55" ht="15.75" customHeight="1">
      <c r="AN1626" s="458"/>
      <c r="BC1626" s="169"/>
    </row>
    <row r="1627" spans="40:55" ht="15.75" customHeight="1">
      <c r="AN1627" s="458"/>
      <c r="BC1627" s="169"/>
    </row>
    <row r="1628" spans="40:55" ht="15.75" customHeight="1">
      <c r="AN1628" s="458"/>
      <c r="BC1628" s="169"/>
    </row>
    <row r="1629" spans="40:55" ht="15.75" customHeight="1">
      <c r="AN1629" s="458"/>
      <c r="BC1629" s="169"/>
    </row>
    <row r="1630" spans="40:55" ht="15.75" customHeight="1">
      <c r="AN1630" s="458"/>
      <c r="BC1630" s="169"/>
    </row>
    <row r="1631" spans="40:55" ht="15.75" customHeight="1">
      <c r="AN1631" s="458"/>
      <c r="BC1631" s="169"/>
    </row>
    <row r="1632" spans="40:55" ht="15.75" customHeight="1">
      <c r="AN1632" s="458"/>
      <c r="BC1632" s="169"/>
    </row>
    <row r="1633" spans="40:55" ht="15.75" customHeight="1">
      <c r="AN1633" s="458"/>
      <c r="BC1633" s="169"/>
    </row>
    <row r="1634" spans="40:55" ht="15.75" customHeight="1">
      <c r="AN1634" s="458"/>
      <c r="BC1634" s="169"/>
    </row>
    <row r="1635" spans="40:55" ht="15.75" customHeight="1">
      <c r="AN1635" s="458"/>
      <c r="BC1635" s="169"/>
    </row>
    <row r="1636" spans="40:55" ht="15.75" customHeight="1">
      <c r="AN1636" s="458"/>
      <c r="BC1636" s="169"/>
    </row>
    <row r="1637" spans="40:55" ht="15.75" customHeight="1">
      <c r="AN1637" s="458"/>
      <c r="BC1637" s="169"/>
    </row>
    <row r="1638" spans="40:55" ht="15.75" customHeight="1">
      <c r="AN1638" s="458"/>
      <c r="BC1638" s="169"/>
    </row>
    <row r="1639" spans="40:55" ht="15.75" customHeight="1">
      <c r="AN1639" s="458"/>
      <c r="BC1639" s="169"/>
    </row>
    <row r="1640" spans="40:55" ht="15.75" customHeight="1">
      <c r="AN1640" s="458"/>
      <c r="BC1640" s="169"/>
    </row>
    <row r="1641" spans="40:55" ht="15.75" customHeight="1">
      <c r="AN1641" s="458"/>
      <c r="BC1641" s="169"/>
    </row>
    <row r="1642" spans="40:55" ht="15.75" customHeight="1">
      <c r="AN1642" s="458"/>
      <c r="BC1642" s="169"/>
    </row>
    <row r="1643" spans="40:55" ht="15.75" customHeight="1">
      <c r="AN1643" s="458"/>
      <c r="BC1643" s="169"/>
    </row>
    <row r="1644" spans="40:55" ht="15.75" customHeight="1">
      <c r="AN1644" s="458"/>
      <c r="BC1644" s="169"/>
    </row>
    <row r="1645" spans="40:55" ht="15.75" customHeight="1">
      <c r="AN1645" s="458"/>
      <c r="BC1645" s="169"/>
    </row>
    <row r="1646" spans="40:55" ht="15.75" customHeight="1">
      <c r="AN1646" s="458"/>
      <c r="BC1646" s="169"/>
    </row>
    <row r="1647" spans="40:55" ht="15.75" customHeight="1">
      <c r="AN1647" s="458"/>
      <c r="BC1647" s="169"/>
    </row>
    <row r="1648" spans="40:55" ht="15.75" customHeight="1">
      <c r="AN1648" s="458"/>
      <c r="BC1648" s="169"/>
    </row>
    <row r="1649" spans="40:55" ht="15.75" customHeight="1">
      <c r="AN1649" s="458"/>
      <c r="BC1649" s="169"/>
    </row>
    <row r="1650" spans="40:55" ht="15.75" customHeight="1">
      <c r="AN1650" s="458"/>
      <c r="BC1650" s="169"/>
    </row>
    <row r="1651" spans="40:55" ht="15.75" customHeight="1">
      <c r="AN1651" s="458"/>
      <c r="BC1651" s="169"/>
    </row>
    <row r="1652" spans="40:55" ht="15.75" customHeight="1">
      <c r="AN1652" s="458"/>
      <c r="BC1652" s="169"/>
    </row>
    <row r="1653" spans="40:55" ht="15.75" customHeight="1">
      <c r="AN1653" s="458"/>
      <c r="BC1653" s="169"/>
    </row>
    <row r="1654" spans="40:55" ht="15.75" customHeight="1">
      <c r="AN1654" s="458"/>
      <c r="BC1654" s="169"/>
    </row>
    <row r="1655" spans="40:55" ht="15.75" customHeight="1">
      <c r="AN1655" s="458"/>
      <c r="BC1655" s="169"/>
    </row>
    <row r="1656" spans="40:55" ht="15.75" customHeight="1">
      <c r="AN1656" s="458"/>
      <c r="BC1656" s="169"/>
    </row>
    <row r="1657" spans="40:55" ht="15.75" customHeight="1">
      <c r="AN1657" s="458"/>
      <c r="BC1657" s="169"/>
    </row>
    <row r="1658" spans="40:55" ht="15.75" customHeight="1">
      <c r="AN1658" s="458"/>
      <c r="BC1658" s="169"/>
    </row>
    <row r="1659" spans="40:55" ht="15.75" customHeight="1">
      <c r="AN1659" s="458"/>
      <c r="BC1659" s="169"/>
    </row>
    <row r="1660" spans="40:55" ht="15.75" customHeight="1">
      <c r="AN1660" s="458"/>
      <c r="BC1660" s="169"/>
    </row>
    <row r="1661" spans="40:55" ht="15.75" customHeight="1">
      <c r="AN1661" s="458"/>
      <c r="BC1661" s="169"/>
    </row>
    <row r="1662" spans="40:55" ht="15.75" customHeight="1">
      <c r="AN1662" s="458"/>
      <c r="BC1662" s="169"/>
    </row>
    <row r="1663" spans="40:55" ht="15.75" customHeight="1">
      <c r="AN1663" s="458"/>
      <c r="BC1663" s="169"/>
    </row>
    <row r="1664" spans="40:55" ht="15.75" customHeight="1">
      <c r="AN1664" s="458"/>
      <c r="BC1664" s="169"/>
    </row>
    <row r="1665" spans="40:55" ht="15.75" customHeight="1">
      <c r="AN1665" s="458"/>
      <c r="BC1665" s="169"/>
    </row>
    <row r="1666" spans="40:55" ht="15.75" customHeight="1">
      <c r="AN1666" s="458"/>
      <c r="BC1666" s="169"/>
    </row>
    <row r="1667" spans="40:55" ht="15.75" customHeight="1">
      <c r="AN1667" s="458"/>
      <c r="BC1667" s="169"/>
    </row>
    <row r="1668" spans="40:55" ht="15.75" customHeight="1">
      <c r="AN1668" s="458"/>
      <c r="BC1668" s="169"/>
    </row>
    <row r="1669" spans="40:55" ht="15.75" customHeight="1">
      <c r="AN1669" s="458"/>
      <c r="BC1669" s="169"/>
    </row>
    <row r="1670" spans="40:55" ht="15.75" customHeight="1">
      <c r="AN1670" s="458"/>
      <c r="BC1670" s="169"/>
    </row>
    <row r="1671" spans="40:55" ht="15.75" customHeight="1">
      <c r="AN1671" s="458"/>
      <c r="BC1671" s="169"/>
    </row>
    <row r="1672" spans="40:55" ht="15.75" customHeight="1">
      <c r="AN1672" s="458"/>
      <c r="BC1672" s="169"/>
    </row>
    <row r="1673" spans="40:55" ht="15.75" customHeight="1">
      <c r="AN1673" s="458"/>
      <c r="BC1673" s="169"/>
    </row>
    <row r="1674" spans="40:55" ht="15.75" customHeight="1">
      <c r="AN1674" s="458"/>
      <c r="BC1674" s="169"/>
    </row>
    <row r="1675" spans="40:55" ht="15.75" customHeight="1">
      <c r="AN1675" s="458"/>
      <c r="BC1675" s="169"/>
    </row>
    <row r="1676" spans="40:55" ht="15.75" customHeight="1">
      <c r="AN1676" s="458"/>
      <c r="BC1676" s="169"/>
    </row>
    <row r="1677" spans="40:55" ht="15.75" customHeight="1">
      <c r="AN1677" s="458"/>
      <c r="BC1677" s="169"/>
    </row>
    <row r="1678" spans="40:55" ht="15.75" customHeight="1">
      <c r="AN1678" s="458"/>
      <c r="BC1678" s="169"/>
    </row>
    <row r="1679" spans="40:55" ht="15.75" customHeight="1">
      <c r="AN1679" s="458"/>
      <c r="BC1679" s="169"/>
    </row>
    <row r="1680" spans="40:55" ht="15.75" customHeight="1">
      <c r="AN1680" s="458"/>
      <c r="BC1680" s="169"/>
    </row>
    <row r="1681" spans="40:55" ht="15.75" customHeight="1">
      <c r="AN1681" s="458"/>
      <c r="BC1681" s="169"/>
    </row>
    <row r="1682" spans="40:55" ht="15.75" customHeight="1">
      <c r="AN1682" s="458"/>
      <c r="BC1682" s="169"/>
    </row>
    <row r="1683" spans="40:55" ht="15.75" customHeight="1">
      <c r="AN1683" s="458"/>
      <c r="BC1683" s="169"/>
    </row>
    <row r="1684" spans="40:55" ht="15.75" customHeight="1">
      <c r="AN1684" s="458"/>
      <c r="BC1684" s="169"/>
    </row>
    <row r="1685" spans="40:55" ht="15.75" customHeight="1">
      <c r="AN1685" s="458"/>
      <c r="BC1685" s="169"/>
    </row>
    <row r="1686" spans="40:55" ht="15.75" customHeight="1">
      <c r="AN1686" s="458"/>
      <c r="BC1686" s="169"/>
    </row>
    <row r="1687" spans="40:55" ht="15.75" customHeight="1">
      <c r="AN1687" s="458"/>
      <c r="BC1687" s="169"/>
    </row>
    <row r="1688" spans="40:55" ht="15.75" customHeight="1">
      <c r="AN1688" s="458"/>
      <c r="BC1688" s="169"/>
    </row>
    <row r="1689" spans="40:55" ht="15.75" customHeight="1">
      <c r="AN1689" s="458"/>
      <c r="BC1689" s="169"/>
    </row>
    <row r="1690" spans="40:55" ht="15.75" customHeight="1">
      <c r="AN1690" s="458"/>
      <c r="BC1690" s="169"/>
    </row>
    <row r="1691" spans="40:55" ht="15.75" customHeight="1">
      <c r="AN1691" s="458"/>
      <c r="BC1691" s="169"/>
    </row>
    <row r="1692" spans="40:55" ht="15.75" customHeight="1">
      <c r="AN1692" s="458"/>
      <c r="BC1692" s="169"/>
    </row>
    <row r="1693" spans="40:55" ht="15.75" customHeight="1">
      <c r="AN1693" s="458"/>
      <c r="BC1693" s="169"/>
    </row>
    <row r="1694" spans="40:55" ht="15.75" customHeight="1">
      <c r="AN1694" s="458"/>
      <c r="BC1694" s="169"/>
    </row>
    <row r="1695" spans="40:55" ht="15.75" customHeight="1">
      <c r="AN1695" s="458"/>
      <c r="BC1695" s="169"/>
    </row>
    <row r="1696" spans="40:55" ht="15.75" customHeight="1">
      <c r="AN1696" s="458"/>
      <c r="BC1696" s="169"/>
    </row>
    <row r="1697" spans="40:55" ht="15.75" customHeight="1">
      <c r="AN1697" s="458"/>
      <c r="BC1697" s="169"/>
    </row>
    <row r="1698" spans="40:55" ht="15.75" customHeight="1">
      <c r="AN1698" s="458"/>
      <c r="BC1698" s="169"/>
    </row>
    <row r="1699" spans="40:55" ht="15.75" customHeight="1">
      <c r="AN1699" s="458"/>
      <c r="BC1699" s="169"/>
    </row>
    <row r="1700" spans="40:55" ht="15.75" customHeight="1">
      <c r="AN1700" s="458"/>
      <c r="BC1700" s="169"/>
    </row>
    <row r="1701" spans="40:55" ht="15.75" customHeight="1">
      <c r="AN1701" s="458"/>
      <c r="BC1701" s="169"/>
    </row>
    <row r="1702" spans="40:55" ht="15.75" customHeight="1">
      <c r="AN1702" s="458"/>
      <c r="BC1702" s="169"/>
    </row>
    <row r="1703" spans="40:55" ht="15.75" customHeight="1">
      <c r="AN1703" s="458"/>
      <c r="BC1703" s="169"/>
    </row>
    <row r="1704" spans="40:55" ht="15.75" customHeight="1">
      <c r="AN1704" s="458"/>
      <c r="BC1704" s="169"/>
    </row>
    <row r="1705" spans="40:55" ht="15.75" customHeight="1">
      <c r="AN1705" s="458"/>
      <c r="BC1705" s="169"/>
    </row>
    <row r="1706" spans="40:55" ht="15.75" customHeight="1">
      <c r="AN1706" s="458"/>
      <c r="BC1706" s="169"/>
    </row>
    <row r="1707" spans="40:55" ht="15.75" customHeight="1">
      <c r="AN1707" s="458"/>
      <c r="BC1707" s="169"/>
    </row>
    <row r="1708" spans="40:55" ht="15.75" customHeight="1">
      <c r="AN1708" s="458"/>
      <c r="BC1708" s="169"/>
    </row>
    <row r="1709" spans="40:55" ht="15.75" customHeight="1">
      <c r="AN1709" s="458"/>
      <c r="BC1709" s="169"/>
    </row>
    <row r="1710" spans="40:55" ht="15.75" customHeight="1">
      <c r="AN1710" s="458"/>
      <c r="BC1710" s="169"/>
    </row>
    <row r="1711" spans="40:55" ht="15.75" customHeight="1">
      <c r="AN1711" s="458"/>
      <c r="BC1711" s="169"/>
    </row>
    <row r="1712" spans="40:55" ht="15.75" customHeight="1">
      <c r="AN1712" s="458"/>
      <c r="BC1712" s="169"/>
    </row>
    <row r="1713" spans="40:55" ht="15.75" customHeight="1">
      <c r="AN1713" s="458"/>
      <c r="BC1713" s="169"/>
    </row>
    <row r="1714" spans="40:55" ht="15.75" customHeight="1">
      <c r="AN1714" s="458"/>
      <c r="BC1714" s="169"/>
    </row>
    <row r="1715" spans="40:55" ht="15.75" customHeight="1">
      <c r="AN1715" s="458"/>
      <c r="BC1715" s="169"/>
    </row>
    <row r="1716" spans="40:55" ht="15.75" customHeight="1">
      <c r="AN1716" s="458"/>
      <c r="BC1716" s="169"/>
    </row>
    <row r="1717" spans="40:55" ht="15.75" customHeight="1">
      <c r="AN1717" s="458"/>
      <c r="BC1717" s="169"/>
    </row>
    <row r="1718" spans="40:55" ht="15.75" customHeight="1">
      <c r="AN1718" s="458"/>
      <c r="BC1718" s="169"/>
    </row>
    <row r="1719" spans="40:55" ht="15.75" customHeight="1">
      <c r="AN1719" s="458"/>
      <c r="BC1719" s="169"/>
    </row>
    <row r="1720" spans="40:55" ht="15.75" customHeight="1">
      <c r="AN1720" s="458"/>
      <c r="BC1720" s="169"/>
    </row>
    <row r="1721" spans="40:55" ht="15.75" customHeight="1">
      <c r="AN1721" s="458"/>
      <c r="BC1721" s="169"/>
    </row>
    <row r="1722" spans="40:55" ht="15.75" customHeight="1">
      <c r="AN1722" s="458"/>
      <c r="BC1722" s="169"/>
    </row>
    <row r="1723" spans="40:55" ht="15.75" customHeight="1">
      <c r="AN1723" s="458"/>
      <c r="BC1723" s="169"/>
    </row>
    <row r="1724" spans="40:55" ht="15.75" customHeight="1">
      <c r="AN1724" s="458"/>
      <c r="BC1724" s="169"/>
    </row>
    <row r="1725" spans="40:55" ht="15.75" customHeight="1">
      <c r="AN1725" s="458"/>
      <c r="BC1725" s="169"/>
    </row>
    <row r="1726" spans="40:55" ht="15.75" customHeight="1">
      <c r="AN1726" s="458"/>
      <c r="BC1726" s="169"/>
    </row>
    <row r="1727" spans="40:55" ht="15.75" customHeight="1">
      <c r="AN1727" s="458"/>
      <c r="BC1727" s="169"/>
    </row>
    <row r="1728" spans="40:55" ht="15.75" customHeight="1">
      <c r="AN1728" s="458"/>
      <c r="BC1728" s="169"/>
    </row>
    <row r="1729" spans="40:55" ht="15.75" customHeight="1">
      <c r="AN1729" s="458"/>
      <c r="BC1729" s="169"/>
    </row>
    <row r="1730" spans="40:55" ht="15.75" customHeight="1">
      <c r="AN1730" s="458"/>
      <c r="BC1730" s="169"/>
    </row>
    <row r="1731" spans="40:55" ht="15.75" customHeight="1">
      <c r="AN1731" s="458"/>
      <c r="BC1731" s="169"/>
    </row>
    <row r="1732" spans="40:55" ht="15.75" customHeight="1">
      <c r="AN1732" s="458"/>
      <c r="BC1732" s="169"/>
    </row>
    <row r="1733" spans="40:55" ht="15.75" customHeight="1">
      <c r="AN1733" s="458"/>
      <c r="BC1733" s="169"/>
    </row>
    <row r="1734" spans="40:55" ht="15.75" customHeight="1">
      <c r="AN1734" s="458"/>
      <c r="BC1734" s="169"/>
    </row>
    <row r="1735" spans="40:55" ht="15.75" customHeight="1">
      <c r="AN1735" s="458"/>
      <c r="BC1735" s="169"/>
    </row>
    <row r="1736" spans="40:55" ht="15.75" customHeight="1">
      <c r="AN1736" s="458"/>
      <c r="BC1736" s="169"/>
    </row>
    <row r="1737" spans="40:55" ht="15.75" customHeight="1">
      <c r="AN1737" s="458"/>
      <c r="BC1737" s="169"/>
    </row>
    <row r="1738" spans="40:55" ht="15.75" customHeight="1">
      <c r="AN1738" s="458"/>
      <c r="BC1738" s="169"/>
    </row>
    <row r="1739" spans="40:55" ht="15.75" customHeight="1">
      <c r="AN1739" s="458"/>
      <c r="BC1739" s="169"/>
    </row>
    <row r="1740" spans="40:55" ht="15.75" customHeight="1">
      <c r="AN1740" s="458"/>
      <c r="BC1740" s="169"/>
    </row>
    <row r="1741" spans="40:55" ht="15.75" customHeight="1">
      <c r="AN1741" s="458"/>
      <c r="BC1741" s="169"/>
    </row>
    <row r="1742" spans="40:55" ht="15.75" customHeight="1">
      <c r="AN1742" s="458"/>
      <c r="BC1742" s="169"/>
    </row>
    <row r="1743" spans="40:55" ht="15.75" customHeight="1">
      <c r="AN1743" s="458"/>
      <c r="BC1743" s="169"/>
    </row>
    <row r="1744" spans="40:55" ht="15.75" customHeight="1">
      <c r="AN1744" s="458"/>
      <c r="BC1744" s="169"/>
    </row>
    <row r="1745" spans="40:55" ht="15.75" customHeight="1">
      <c r="AN1745" s="458"/>
      <c r="BC1745" s="169"/>
    </row>
    <row r="1746" spans="40:55" ht="15.75" customHeight="1">
      <c r="AN1746" s="458"/>
      <c r="BC1746" s="169"/>
    </row>
    <row r="1747" spans="40:55" ht="15.75" customHeight="1">
      <c r="AN1747" s="458"/>
      <c r="BC1747" s="169"/>
    </row>
    <row r="1748" spans="40:55" ht="15.75" customHeight="1">
      <c r="AN1748" s="458"/>
      <c r="BC1748" s="169"/>
    </row>
    <row r="1749" spans="40:55" ht="15.75" customHeight="1">
      <c r="AN1749" s="458"/>
      <c r="BC1749" s="169"/>
    </row>
    <row r="1750" spans="40:55" ht="15.75" customHeight="1">
      <c r="AN1750" s="458"/>
      <c r="BC1750" s="169"/>
    </row>
    <row r="1751" spans="40:55" ht="15.75" customHeight="1">
      <c r="AN1751" s="458"/>
      <c r="BC1751" s="169"/>
    </row>
    <row r="1752" spans="40:55" ht="15.75" customHeight="1">
      <c r="AN1752" s="458"/>
      <c r="BC1752" s="169"/>
    </row>
    <row r="1753" spans="40:55" ht="15.75" customHeight="1">
      <c r="AN1753" s="458"/>
      <c r="BC1753" s="169"/>
    </row>
    <row r="1754" spans="40:55" ht="15.75" customHeight="1">
      <c r="AN1754" s="458"/>
      <c r="BC1754" s="169"/>
    </row>
    <row r="1755" spans="40:55" ht="15.75" customHeight="1">
      <c r="AN1755" s="458"/>
      <c r="BC1755" s="169"/>
    </row>
    <row r="1756" spans="40:55" ht="15.75" customHeight="1">
      <c r="AN1756" s="458"/>
      <c r="BC1756" s="169"/>
    </row>
    <row r="1757" spans="40:55" ht="15.75" customHeight="1">
      <c r="AN1757" s="458"/>
      <c r="BC1757" s="169"/>
    </row>
    <row r="1758" spans="40:55" ht="15.75" customHeight="1">
      <c r="AN1758" s="458"/>
      <c r="BC1758" s="169"/>
    </row>
    <row r="1759" spans="40:55" ht="15.75" customHeight="1">
      <c r="AN1759" s="458"/>
      <c r="BC1759" s="169"/>
    </row>
    <row r="1760" spans="40:55" ht="15.75" customHeight="1">
      <c r="AN1760" s="458"/>
      <c r="BC1760" s="169"/>
    </row>
    <row r="1761" spans="40:55" ht="15.75" customHeight="1">
      <c r="AN1761" s="458"/>
      <c r="BC1761" s="169"/>
    </row>
    <row r="1762" spans="40:55" ht="15.75" customHeight="1">
      <c r="AN1762" s="458"/>
      <c r="BC1762" s="169"/>
    </row>
    <row r="1763" spans="40:55" ht="15.75" customHeight="1">
      <c r="AN1763" s="458"/>
      <c r="BC1763" s="169"/>
    </row>
    <row r="1764" spans="40:55" ht="15.75" customHeight="1">
      <c r="AN1764" s="458"/>
      <c r="BC1764" s="169"/>
    </row>
    <row r="1765" spans="40:55" ht="15.75" customHeight="1">
      <c r="AN1765" s="458"/>
      <c r="BC1765" s="169"/>
    </row>
    <row r="1766" spans="40:55" ht="15.75" customHeight="1">
      <c r="AN1766" s="458"/>
      <c r="BC1766" s="169"/>
    </row>
    <row r="1767" spans="40:55" ht="15.75" customHeight="1">
      <c r="AN1767" s="458"/>
      <c r="BC1767" s="169"/>
    </row>
    <row r="1768" spans="40:55" ht="15.75" customHeight="1">
      <c r="AN1768" s="458"/>
      <c r="BC1768" s="169"/>
    </row>
    <row r="1769" spans="40:55" ht="15.75" customHeight="1">
      <c r="AN1769" s="458"/>
      <c r="BC1769" s="169"/>
    </row>
    <row r="1770" spans="40:55" ht="15.75" customHeight="1">
      <c r="AN1770" s="458"/>
      <c r="BC1770" s="169"/>
    </row>
    <row r="1771" spans="40:55" ht="15.75" customHeight="1">
      <c r="AN1771" s="458"/>
      <c r="BC1771" s="169"/>
    </row>
    <row r="1772" spans="40:55" ht="15.75" customHeight="1">
      <c r="AN1772" s="458"/>
      <c r="BC1772" s="169"/>
    </row>
    <row r="1773" spans="40:55" ht="15.75" customHeight="1">
      <c r="AN1773" s="458"/>
      <c r="BC1773" s="169"/>
    </row>
    <row r="1774" spans="40:55" ht="15.75" customHeight="1">
      <c r="AN1774" s="458"/>
      <c r="BC1774" s="169"/>
    </row>
    <row r="1775" spans="40:55" ht="15.75" customHeight="1">
      <c r="AN1775" s="458"/>
      <c r="BC1775" s="169"/>
    </row>
    <row r="1776" spans="40:55" ht="15.75" customHeight="1">
      <c r="AN1776" s="458"/>
      <c r="BC1776" s="169"/>
    </row>
    <row r="1777" spans="40:55" ht="15.75" customHeight="1">
      <c r="AN1777" s="458"/>
      <c r="BC1777" s="169"/>
    </row>
    <row r="1778" spans="40:55" ht="15.75" customHeight="1">
      <c r="AN1778" s="458"/>
      <c r="BC1778" s="169"/>
    </row>
    <row r="1779" spans="40:55" ht="15.75" customHeight="1">
      <c r="AN1779" s="458"/>
      <c r="BC1779" s="169"/>
    </row>
    <row r="1780" spans="40:55" ht="15.75" customHeight="1">
      <c r="AN1780" s="458"/>
      <c r="BC1780" s="169"/>
    </row>
    <row r="1781" spans="40:55" ht="15.75" customHeight="1">
      <c r="AN1781" s="458"/>
      <c r="BC1781" s="169"/>
    </row>
    <row r="1782" spans="40:55" ht="15.75" customHeight="1">
      <c r="AN1782" s="458"/>
      <c r="BC1782" s="169"/>
    </row>
    <row r="1783" spans="40:55" ht="15.75" customHeight="1">
      <c r="AN1783" s="458"/>
      <c r="BC1783" s="169"/>
    </row>
    <row r="1784" spans="40:55" ht="15.75" customHeight="1">
      <c r="AN1784" s="458"/>
      <c r="BC1784" s="169"/>
    </row>
    <row r="1785" spans="40:55" ht="15.75" customHeight="1">
      <c r="AN1785" s="458"/>
      <c r="BC1785" s="169"/>
    </row>
    <row r="1786" spans="40:55" ht="15.75" customHeight="1">
      <c r="AN1786" s="458"/>
      <c r="BC1786" s="169"/>
    </row>
    <row r="1787" spans="40:55" ht="15.75" customHeight="1">
      <c r="AN1787" s="458"/>
      <c r="BC1787" s="169"/>
    </row>
    <row r="1788" spans="40:55" ht="15.75" customHeight="1">
      <c r="AN1788" s="458"/>
      <c r="BC1788" s="169"/>
    </row>
    <row r="1789" spans="40:55" ht="15.75" customHeight="1">
      <c r="AN1789" s="458"/>
      <c r="BC1789" s="169"/>
    </row>
    <row r="1790" spans="40:55" ht="15.75" customHeight="1">
      <c r="AN1790" s="458"/>
      <c r="BC1790" s="169"/>
    </row>
    <row r="1791" spans="40:55" ht="15.75" customHeight="1">
      <c r="AN1791" s="458"/>
      <c r="BC1791" s="169"/>
    </row>
    <row r="1792" spans="40:55" ht="15.75" customHeight="1">
      <c r="AN1792" s="458"/>
      <c r="BC1792" s="169"/>
    </row>
    <row r="1793" spans="40:55" ht="15.75" customHeight="1">
      <c r="AN1793" s="458"/>
      <c r="BC1793" s="169"/>
    </row>
    <row r="1794" spans="40:55" ht="15.75" customHeight="1">
      <c r="AN1794" s="458"/>
      <c r="BC1794" s="169"/>
    </row>
    <row r="1795" spans="40:55" ht="15.75" customHeight="1">
      <c r="AN1795" s="458"/>
      <c r="BC1795" s="169"/>
    </row>
    <row r="1796" spans="40:55" ht="15.75" customHeight="1">
      <c r="AN1796" s="458"/>
      <c r="BC1796" s="169"/>
    </row>
    <row r="1797" spans="40:55" ht="15.75" customHeight="1">
      <c r="AN1797" s="458"/>
      <c r="BC1797" s="169"/>
    </row>
    <row r="1798" spans="40:55" ht="15.75" customHeight="1">
      <c r="AN1798" s="458"/>
      <c r="BC1798" s="169"/>
    </row>
    <row r="1799" spans="40:55" ht="15.75" customHeight="1">
      <c r="AN1799" s="458"/>
      <c r="BC1799" s="169"/>
    </row>
    <row r="1800" spans="40:55" ht="15.75" customHeight="1">
      <c r="AN1800" s="458"/>
      <c r="BC1800" s="169"/>
    </row>
    <row r="1801" spans="40:55" ht="15.75" customHeight="1">
      <c r="AN1801" s="458"/>
      <c r="BC1801" s="169"/>
    </row>
    <row r="1802" spans="40:55" ht="15.75" customHeight="1">
      <c r="AN1802" s="458"/>
      <c r="BC1802" s="169"/>
    </row>
    <row r="1803" spans="40:55" ht="15.75" customHeight="1">
      <c r="AN1803" s="458"/>
      <c r="BC1803" s="169"/>
    </row>
    <row r="1804" spans="40:55" ht="15.75" customHeight="1">
      <c r="AN1804" s="458"/>
      <c r="BC1804" s="169"/>
    </row>
    <row r="1805" spans="40:55" ht="15.75" customHeight="1">
      <c r="AN1805" s="458"/>
      <c r="BC1805" s="169"/>
    </row>
    <row r="1806" spans="40:55" ht="15.75" customHeight="1">
      <c r="AN1806" s="458"/>
      <c r="BC1806" s="169"/>
    </row>
    <row r="1807" spans="40:55" ht="15.75" customHeight="1">
      <c r="AN1807" s="458"/>
      <c r="BC1807" s="169"/>
    </row>
    <row r="1808" spans="40:55" ht="15.75" customHeight="1">
      <c r="AN1808" s="458"/>
      <c r="BC1808" s="169"/>
    </row>
    <row r="1809" spans="40:55" ht="15.75" customHeight="1">
      <c r="AN1809" s="458"/>
      <c r="BC1809" s="169"/>
    </row>
    <row r="1810" spans="40:55" ht="15.75" customHeight="1">
      <c r="AN1810" s="458"/>
      <c r="BC1810" s="169"/>
    </row>
    <row r="1811" spans="40:55" ht="15.75" customHeight="1">
      <c r="AN1811" s="458"/>
      <c r="BC1811" s="169"/>
    </row>
    <row r="1812" spans="40:55" ht="15.75" customHeight="1">
      <c r="AN1812" s="458"/>
      <c r="BC1812" s="169"/>
    </row>
    <row r="1813" spans="40:55" ht="15.75" customHeight="1">
      <c r="AN1813" s="458"/>
      <c r="BC1813" s="169"/>
    </row>
    <row r="1814" spans="40:55" ht="15.75" customHeight="1">
      <c r="AN1814" s="458"/>
      <c r="BC1814" s="169"/>
    </row>
    <row r="1815" spans="40:55" ht="15.75" customHeight="1">
      <c r="AN1815" s="458"/>
      <c r="BC1815" s="169"/>
    </row>
    <row r="1816" spans="40:55" ht="15.75" customHeight="1">
      <c r="AN1816" s="458"/>
      <c r="BC1816" s="169"/>
    </row>
    <row r="1817" spans="40:55" ht="15.75" customHeight="1">
      <c r="AN1817" s="458"/>
      <c r="BC1817" s="169"/>
    </row>
    <row r="1818" spans="40:55" ht="15.75" customHeight="1">
      <c r="AN1818" s="458"/>
      <c r="BC1818" s="169"/>
    </row>
    <row r="1819" spans="40:55" ht="15.75" customHeight="1">
      <c r="AN1819" s="458"/>
      <c r="BC1819" s="169"/>
    </row>
    <row r="1820" spans="40:55" ht="15.75" customHeight="1">
      <c r="AN1820" s="458"/>
      <c r="BC1820" s="169"/>
    </row>
    <row r="1821" spans="40:55" ht="15.75" customHeight="1">
      <c r="AN1821" s="458"/>
      <c r="BC1821" s="169"/>
    </row>
    <row r="1822" spans="40:55" ht="15.75" customHeight="1">
      <c r="AN1822" s="458"/>
      <c r="BC1822" s="169"/>
    </row>
    <row r="1823" spans="40:55" ht="15.75" customHeight="1">
      <c r="AN1823" s="458"/>
      <c r="BC1823" s="169"/>
    </row>
    <row r="1824" spans="40:55" ht="15.75" customHeight="1">
      <c r="AN1824" s="458"/>
      <c r="BC1824" s="169"/>
    </row>
    <row r="1825" spans="40:55" ht="15.75" customHeight="1">
      <c r="AN1825" s="458"/>
      <c r="BC1825" s="169"/>
    </row>
    <row r="1826" spans="40:55" ht="15.75" customHeight="1">
      <c r="AN1826" s="458"/>
      <c r="BC1826" s="169"/>
    </row>
    <row r="1827" spans="40:55" ht="15.75" customHeight="1">
      <c r="AN1827" s="458"/>
      <c r="BC1827" s="169"/>
    </row>
    <row r="1828" spans="40:55" ht="15.75" customHeight="1">
      <c r="AN1828" s="458"/>
      <c r="BC1828" s="169"/>
    </row>
    <row r="1829" spans="40:55" ht="15.75" customHeight="1">
      <c r="AN1829" s="458"/>
      <c r="BC1829" s="169"/>
    </row>
    <row r="1830" spans="40:55" ht="15.75" customHeight="1">
      <c r="AN1830" s="458"/>
      <c r="BC1830" s="169"/>
    </row>
    <row r="1831" spans="40:55" ht="15.75" customHeight="1">
      <c r="AN1831" s="458"/>
      <c r="BC1831" s="169"/>
    </row>
    <row r="1832" spans="40:55" ht="15.75" customHeight="1">
      <c r="AN1832" s="458"/>
      <c r="BC1832" s="169"/>
    </row>
    <row r="1833" spans="40:55" ht="15.75" customHeight="1">
      <c r="AN1833" s="458"/>
      <c r="BC1833" s="169"/>
    </row>
    <row r="1834" spans="40:55" ht="15.75" customHeight="1">
      <c r="AN1834" s="458"/>
      <c r="BC1834" s="169"/>
    </row>
    <row r="1835" spans="40:55" ht="15.75" customHeight="1">
      <c r="AN1835" s="458"/>
      <c r="BC1835" s="169"/>
    </row>
    <row r="1836" spans="40:55" ht="15.75" customHeight="1">
      <c r="AN1836" s="458"/>
      <c r="BC1836" s="169"/>
    </row>
    <row r="1837" spans="40:55" ht="15.75" customHeight="1">
      <c r="AN1837" s="458"/>
      <c r="BC1837" s="169"/>
    </row>
    <row r="1838" spans="40:55" ht="15.75" customHeight="1">
      <c r="AN1838" s="458"/>
      <c r="BC1838" s="169"/>
    </row>
    <row r="1839" spans="40:55" ht="15.75" customHeight="1">
      <c r="AN1839" s="458"/>
      <c r="BC1839" s="169"/>
    </row>
    <row r="1840" spans="40:55" ht="15.75" customHeight="1">
      <c r="AN1840" s="458"/>
      <c r="BC1840" s="169"/>
    </row>
    <row r="1841" spans="40:55" ht="15.75" customHeight="1">
      <c r="AN1841" s="458"/>
      <c r="BC1841" s="169"/>
    </row>
    <row r="1842" spans="40:55" ht="15.75" customHeight="1">
      <c r="AN1842" s="458"/>
      <c r="BC1842" s="169"/>
    </row>
    <row r="1843" spans="40:55" ht="15.75" customHeight="1">
      <c r="AN1843" s="458"/>
      <c r="BC1843" s="169"/>
    </row>
    <row r="1844" spans="40:55" ht="15.75" customHeight="1">
      <c r="AN1844" s="458"/>
      <c r="BC1844" s="169"/>
    </row>
    <row r="1845" spans="40:55" ht="15.75" customHeight="1">
      <c r="AN1845" s="458"/>
      <c r="BC1845" s="169"/>
    </row>
    <row r="1846" spans="40:55" ht="15.75" customHeight="1">
      <c r="AN1846" s="458"/>
      <c r="BC1846" s="169"/>
    </row>
    <row r="1847" spans="40:55" ht="15.75" customHeight="1">
      <c r="AN1847" s="458"/>
      <c r="BC1847" s="169"/>
    </row>
    <row r="1848" spans="40:55" ht="15.75" customHeight="1">
      <c r="AN1848" s="458"/>
      <c r="BC1848" s="169"/>
    </row>
    <row r="1849" spans="40:55" ht="15.75" customHeight="1">
      <c r="AN1849" s="458"/>
      <c r="BC1849" s="169"/>
    </row>
    <row r="1850" spans="40:55" ht="15.75" customHeight="1">
      <c r="AN1850" s="458"/>
      <c r="BC1850" s="169"/>
    </row>
    <row r="1851" spans="40:55" ht="15.75" customHeight="1">
      <c r="AN1851" s="458"/>
      <c r="BC1851" s="169"/>
    </row>
    <row r="1852" spans="40:55" ht="15.75" customHeight="1">
      <c r="AN1852" s="458"/>
      <c r="BC1852" s="169"/>
    </row>
    <row r="1853" spans="40:55" ht="15.75" customHeight="1">
      <c r="AN1853" s="458"/>
      <c r="BC1853" s="169"/>
    </row>
    <row r="1854" spans="40:55" ht="15.75" customHeight="1">
      <c r="AN1854" s="458"/>
      <c r="BC1854" s="169"/>
    </row>
    <row r="1855" spans="40:55" ht="15.75" customHeight="1">
      <c r="AN1855" s="458"/>
      <c r="BC1855" s="169"/>
    </row>
    <row r="1856" spans="40:55" ht="15.75" customHeight="1">
      <c r="AN1856" s="458"/>
      <c r="BC1856" s="169"/>
    </row>
    <row r="1857" spans="40:55" ht="15.75" customHeight="1">
      <c r="AN1857" s="458"/>
      <c r="BC1857" s="169"/>
    </row>
    <row r="1858" spans="40:55" ht="15.75" customHeight="1">
      <c r="AN1858" s="458"/>
      <c r="BC1858" s="169"/>
    </row>
    <row r="1859" spans="40:55" ht="15.75" customHeight="1">
      <c r="AN1859" s="458"/>
      <c r="BC1859" s="169"/>
    </row>
    <row r="1860" spans="40:55" ht="15.75" customHeight="1">
      <c r="AN1860" s="458"/>
      <c r="BC1860" s="169"/>
    </row>
    <row r="1861" spans="40:55" ht="15.75" customHeight="1">
      <c r="AN1861" s="458"/>
      <c r="BC1861" s="169"/>
    </row>
    <row r="1862" spans="40:55" ht="15.75" customHeight="1">
      <c r="AN1862" s="458"/>
      <c r="BC1862" s="169"/>
    </row>
    <row r="1863" spans="40:55" ht="15.75" customHeight="1">
      <c r="AN1863" s="458"/>
      <c r="BC1863" s="169"/>
    </row>
    <row r="1864" spans="40:55" ht="15.75" customHeight="1">
      <c r="AN1864" s="458"/>
      <c r="BC1864" s="169"/>
    </row>
    <row r="1865" spans="40:55" ht="15.75" customHeight="1">
      <c r="AN1865" s="458"/>
      <c r="BC1865" s="169"/>
    </row>
    <row r="1866" spans="40:55" ht="15.75" customHeight="1">
      <c r="AN1866" s="458"/>
      <c r="BC1866" s="169"/>
    </row>
    <row r="1867" spans="40:55" ht="15.75" customHeight="1">
      <c r="AN1867" s="458"/>
      <c r="BC1867" s="169"/>
    </row>
    <row r="1868" spans="40:55" ht="15.75" customHeight="1">
      <c r="AN1868" s="458"/>
      <c r="BC1868" s="169"/>
    </row>
    <row r="1869" spans="40:55" ht="15.75" customHeight="1">
      <c r="AN1869" s="458"/>
      <c r="BC1869" s="169"/>
    </row>
    <row r="1870" spans="40:55" ht="15.75" customHeight="1">
      <c r="AN1870" s="458"/>
      <c r="BC1870" s="169"/>
    </row>
    <row r="1871" spans="40:55" ht="15.75" customHeight="1">
      <c r="AN1871" s="458"/>
      <c r="BC1871" s="169"/>
    </row>
    <row r="1872" spans="40:55" ht="15.75" customHeight="1">
      <c r="AN1872" s="458"/>
      <c r="BC1872" s="169"/>
    </row>
    <row r="1873" spans="40:55" ht="15.75" customHeight="1">
      <c r="AN1873" s="458"/>
      <c r="BC1873" s="169"/>
    </row>
    <row r="1874" spans="40:55" ht="15.75" customHeight="1">
      <c r="AN1874" s="458"/>
      <c r="BC1874" s="169"/>
    </row>
    <row r="1875" spans="40:55" ht="15.75" customHeight="1">
      <c r="AN1875" s="458"/>
      <c r="BC1875" s="169"/>
    </row>
    <row r="1876" spans="40:55" ht="15.75" customHeight="1">
      <c r="AN1876" s="458"/>
      <c r="BC1876" s="169"/>
    </row>
    <row r="1877" spans="40:55" ht="15.75" customHeight="1">
      <c r="AN1877" s="458"/>
      <c r="BC1877" s="169"/>
    </row>
    <row r="1878" spans="40:55" ht="15.75" customHeight="1">
      <c r="AN1878" s="458"/>
      <c r="BC1878" s="169"/>
    </row>
    <row r="1879" spans="40:55" ht="15.75" customHeight="1">
      <c r="AN1879" s="458"/>
      <c r="BC1879" s="169"/>
    </row>
    <row r="1880" spans="40:55" ht="15.75" customHeight="1">
      <c r="AN1880" s="458"/>
      <c r="BC1880" s="169"/>
    </row>
    <row r="1881" spans="40:55" ht="15.75" customHeight="1">
      <c r="AN1881" s="458"/>
      <c r="BC1881" s="169"/>
    </row>
    <row r="1882" spans="40:55" ht="15.75" customHeight="1">
      <c r="AN1882" s="458"/>
      <c r="BC1882" s="169"/>
    </row>
    <row r="1883" spans="40:55" ht="15.75" customHeight="1">
      <c r="AN1883" s="458"/>
      <c r="BC1883" s="169"/>
    </row>
    <row r="1884" spans="40:55" ht="15.75" customHeight="1">
      <c r="AN1884" s="458"/>
      <c r="BC1884" s="169"/>
    </row>
    <row r="1885" spans="40:55" ht="15.75" customHeight="1">
      <c r="AN1885" s="458"/>
      <c r="BC1885" s="169"/>
    </row>
    <row r="1886" spans="40:55" ht="15.75" customHeight="1">
      <c r="AN1886" s="458"/>
      <c r="BC1886" s="169"/>
    </row>
    <row r="1887" spans="40:55" ht="15.75" customHeight="1">
      <c r="AN1887" s="458"/>
      <c r="BC1887" s="169"/>
    </row>
    <row r="1888" spans="40:55" ht="15.75" customHeight="1">
      <c r="AN1888" s="458"/>
      <c r="BC1888" s="169"/>
    </row>
    <row r="1889" spans="40:55" ht="15.75" customHeight="1">
      <c r="AN1889" s="458"/>
      <c r="BC1889" s="169"/>
    </row>
    <row r="1890" spans="40:55" ht="15.75" customHeight="1">
      <c r="AN1890" s="458"/>
      <c r="BC1890" s="169"/>
    </row>
    <row r="1891" spans="40:55" ht="15.75" customHeight="1">
      <c r="AN1891" s="458"/>
      <c r="BC1891" s="169"/>
    </row>
    <row r="1892" spans="40:55" ht="15.75" customHeight="1">
      <c r="AN1892" s="458"/>
      <c r="BC1892" s="169"/>
    </row>
    <row r="1893" spans="40:55" ht="15.75" customHeight="1">
      <c r="AN1893" s="458"/>
      <c r="BC1893" s="169"/>
    </row>
    <row r="1894" spans="40:55" ht="15.75" customHeight="1">
      <c r="AN1894" s="458"/>
      <c r="BC1894" s="169"/>
    </row>
    <row r="1895" spans="40:55" ht="15.75" customHeight="1">
      <c r="AN1895" s="458"/>
      <c r="BC1895" s="169"/>
    </row>
    <row r="1896" spans="40:55" ht="15.75" customHeight="1">
      <c r="AN1896" s="458"/>
      <c r="BC1896" s="169"/>
    </row>
    <row r="1897" spans="40:55" ht="15.75" customHeight="1">
      <c r="AN1897" s="458"/>
      <c r="BC1897" s="169"/>
    </row>
    <row r="1898" spans="40:55" ht="15.75" customHeight="1">
      <c r="AN1898" s="458"/>
      <c r="BC1898" s="169"/>
    </row>
    <row r="1899" spans="40:55" ht="15.75" customHeight="1">
      <c r="AN1899" s="458"/>
      <c r="BC1899" s="169"/>
    </row>
    <row r="1900" spans="40:55" ht="15.75" customHeight="1">
      <c r="AN1900" s="458"/>
      <c r="BC1900" s="169"/>
    </row>
    <row r="1901" spans="40:55" ht="15.75" customHeight="1">
      <c r="AN1901" s="458"/>
      <c r="BC1901" s="169"/>
    </row>
    <row r="1902" spans="40:55" ht="15.75" customHeight="1">
      <c r="AN1902" s="458"/>
      <c r="BC1902" s="169"/>
    </row>
    <row r="1903" spans="40:55" ht="15.75" customHeight="1">
      <c r="AN1903" s="458"/>
      <c r="BC1903" s="169"/>
    </row>
    <row r="1904" spans="40:55" ht="15.75" customHeight="1">
      <c r="AN1904" s="458"/>
      <c r="BC1904" s="169"/>
    </row>
    <row r="1905" spans="40:55" ht="15.75" customHeight="1">
      <c r="AN1905" s="458"/>
      <c r="BC1905" s="169"/>
    </row>
    <row r="1906" spans="40:55" ht="15.75" customHeight="1">
      <c r="AN1906" s="458"/>
      <c r="BC1906" s="169"/>
    </row>
    <row r="1907" spans="40:55" ht="15.75" customHeight="1">
      <c r="AN1907" s="458"/>
      <c r="BC1907" s="169"/>
    </row>
    <row r="1908" spans="40:55" ht="15.75" customHeight="1">
      <c r="AN1908" s="458"/>
      <c r="BC1908" s="169"/>
    </row>
    <row r="1909" spans="40:55" ht="15.75" customHeight="1">
      <c r="AN1909" s="458"/>
      <c r="BC1909" s="169"/>
    </row>
    <row r="1910" spans="40:55" ht="15.75" customHeight="1">
      <c r="AN1910" s="458"/>
      <c r="BC1910" s="169"/>
    </row>
    <row r="1911" spans="40:55" ht="15.75" customHeight="1">
      <c r="AN1911" s="458"/>
      <c r="BC1911" s="169"/>
    </row>
    <row r="1912" spans="40:55" ht="15.75" customHeight="1">
      <c r="AN1912" s="458"/>
      <c r="BC1912" s="169"/>
    </row>
    <row r="1913" spans="40:55" ht="15.75" customHeight="1">
      <c r="AN1913" s="458"/>
      <c r="BC1913" s="169"/>
    </row>
    <row r="1914" spans="40:55" ht="15.75" customHeight="1">
      <c r="AN1914" s="458"/>
      <c r="BC1914" s="169"/>
    </row>
    <row r="1915" spans="40:55" ht="15.75" customHeight="1">
      <c r="AN1915" s="458"/>
      <c r="BC1915" s="169"/>
    </row>
    <row r="1916" spans="40:55" ht="15.75" customHeight="1">
      <c r="AN1916" s="458"/>
      <c r="BC1916" s="169"/>
    </row>
    <row r="1917" spans="40:55" ht="15.75" customHeight="1">
      <c r="AN1917" s="458"/>
      <c r="BC1917" s="169"/>
    </row>
    <row r="1918" spans="40:55" ht="15.75" customHeight="1">
      <c r="AN1918" s="458"/>
      <c r="BC1918" s="169"/>
    </row>
    <row r="1919" spans="40:55" ht="15.75" customHeight="1">
      <c r="AN1919" s="458"/>
      <c r="BC1919" s="169"/>
    </row>
    <row r="1920" spans="40:55" ht="15.75" customHeight="1">
      <c r="AN1920" s="458"/>
      <c r="BC1920" s="169"/>
    </row>
    <row r="1921" spans="40:55" ht="15.75" customHeight="1">
      <c r="AN1921" s="458"/>
      <c r="BC1921" s="169"/>
    </row>
    <row r="1922" spans="40:55" ht="15.75" customHeight="1">
      <c r="AN1922" s="458"/>
      <c r="BC1922" s="169"/>
    </row>
    <row r="1923" spans="40:55" ht="15.75" customHeight="1">
      <c r="AN1923" s="458"/>
      <c r="BC1923" s="169"/>
    </row>
    <row r="1924" spans="40:55" ht="15.75" customHeight="1">
      <c r="AN1924" s="458"/>
      <c r="BC1924" s="169"/>
    </row>
    <row r="1925" spans="40:55" ht="15.75" customHeight="1">
      <c r="AN1925" s="458"/>
      <c r="BC1925" s="169"/>
    </row>
    <row r="1926" spans="40:55" ht="15.75" customHeight="1">
      <c r="AN1926" s="458"/>
      <c r="BC1926" s="169"/>
    </row>
    <row r="1927" spans="40:55" ht="15.75" customHeight="1">
      <c r="AN1927" s="458"/>
      <c r="BC1927" s="169"/>
    </row>
    <row r="1928" spans="40:55" ht="15.75" customHeight="1">
      <c r="AN1928" s="458"/>
      <c r="BC1928" s="169"/>
    </row>
    <row r="1929" spans="40:55" ht="15.75" customHeight="1">
      <c r="AN1929" s="458"/>
      <c r="BC1929" s="169"/>
    </row>
    <row r="1930" spans="40:55" ht="15.75" customHeight="1">
      <c r="AN1930" s="458"/>
      <c r="BC1930" s="169"/>
    </row>
    <row r="1931" spans="40:55" ht="15.75" customHeight="1">
      <c r="AN1931" s="458"/>
      <c r="BC1931" s="169"/>
    </row>
    <row r="1932" spans="40:55" ht="15.75" customHeight="1">
      <c r="AN1932" s="458"/>
      <c r="BC1932" s="169"/>
    </row>
    <row r="1933" spans="40:55" ht="15.75" customHeight="1">
      <c r="AN1933" s="458"/>
      <c r="BC1933" s="169"/>
    </row>
    <row r="1934" spans="40:55" ht="15.75" customHeight="1">
      <c r="AN1934" s="458"/>
      <c r="BC1934" s="169"/>
    </row>
    <row r="1935" spans="40:55" ht="15.75" customHeight="1">
      <c r="AN1935" s="458"/>
      <c r="BC1935" s="169"/>
    </row>
    <row r="1936" spans="40:55" ht="15.75" customHeight="1">
      <c r="AN1936" s="458"/>
      <c r="BC1936" s="169"/>
    </row>
    <row r="1937" spans="40:55" ht="15.75" customHeight="1">
      <c r="AN1937" s="458"/>
      <c r="BC1937" s="169"/>
    </row>
    <row r="1938" spans="40:55" ht="15.75" customHeight="1">
      <c r="AN1938" s="458"/>
      <c r="BC1938" s="169"/>
    </row>
    <row r="1939" spans="40:55" ht="15.75" customHeight="1">
      <c r="AN1939" s="458"/>
      <c r="BC1939" s="169"/>
    </row>
    <row r="1940" spans="40:55" ht="15.75" customHeight="1">
      <c r="AN1940" s="458"/>
      <c r="BC1940" s="169"/>
    </row>
    <row r="1941" spans="40:55" ht="15.75" customHeight="1">
      <c r="AN1941" s="458"/>
      <c r="BC1941" s="169"/>
    </row>
    <row r="1942" spans="40:55" ht="15.75" customHeight="1">
      <c r="AN1942" s="458"/>
      <c r="BC1942" s="169"/>
    </row>
    <row r="1943" spans="40:55" ht="15.75" customHeight="1">
      <c r="AN1943" s="458"/>
      <c r="BC1943" s="169"/>
    </row>
    <row r="1944" spans="40:55" ht="15.75" customHeight="1">
      <c r="AN1944" s="458"/>
      <c r="BC1944" s="169"/>
    </row>
    <row r="1945" spans="40:55" ht="15.75" customHeight="1">
      <c r="AN1945" s="458"/>
      <c r="BC1945" s="169"/>
    </row>
    <row r="1946" spans="40:55" ht="15.75" customHeight="1">
      <c r="AN1946" s="458"/>
      <c r="BC1946" s="169"/>
    </row>
    <row r="1947" spans="40:55" ht="15.75" customHeight="1">
      <c r="AN1947" s="458"/>
      <c r="BC1947" s="169"/>
    </row>
    <row r="1948" spans="40:55" ht="15.75" customHeight="1">
      <c r="AN1948" s="458"/>
      <c r="BC1948" s="169"/>
    </row>
    <row r="1949" spans="40:55" ht="15.75" customHeight="1">
      <c r="AN1949" s="458"/>
      <c r="BC1949" s="169"/>
    </row>
    <row r="1950" spans="40:55" ht="15.75" customHeight="1">
      <c r="AN1950" s="458"/>
      <c r="BC1950" s="169"/>
    </row>
    <row r="1951" spans="40:55" ht="15.75" customHeight="1">
      <c r="AN1951" s="458"/>
      <c r="BC1951" s="169"/>
    </row>
    <row r="1952" spans="40:55" ht="15.75" customHeight="1">
      <c r="AN1952" s="458"/>
      <c r="BC1952" s="169"/>
    </row>
    <row r="1953" spans="40:55" ht="15.75" customHeight="1">
      <c r="AN1953" s="458"/>
      <c r="BC1953" s="169"/>
    </row>
    <row r="1954" spans="40:55" ht="15.75" customHeight="1">
      <c r="AN1954" s="458"/>
      <c r="BC1954" s="169"/>
    </row>
    <row r="1955" spans="40:55" ht="15.75" customHeight="1">
      <c r="AN1955" s="458"/>
      <c r="BC1955" s="169"/>
    </row>
    <row r="1956" spans="40:55" ht="15.75" customHeight="1">
      <c r="AN1956" s="458"/>
      <c r="BC1956" s="169"/>
    </row>
    <row r="1957" spans="40:55" ht="15.75" customHeight="1">
      <c r="AN1957" s="458"/>
      <c r="BC1957" s="169"/>
    </row>
    <row r="1958" spans="40:55" ht="15.75" customHeight="1">
      <c r="AN1958" s="458"/>
      <c r="BC1958" s="169"/>
    </row>
    <row r="1959" spans="40:55" ht="15.75" customHeight="1">
      <c r="AN1959" s="458"/>
      <c r="BC1959" s="169"/>
    </row>
    <row r="1960" spans="40:55" ht="15.75" customHeight="1">
      <c r="AN1960" s="458"/>
      <c r="BC1960" s="169"/>
    </row>
    <row r="1961" spans="40:55" ht="15.75" customHeight="1">
      <c r="AN1961" s="458"/>
      <c r="BC1961" s="169"/>
    </row>
    <row r="1962" spans="40:55" ht="15.75" customHeight="1">
      <c r="AN1962" s="458"/>
      <c r="BC1962" s="169"/>
    </row>
    <row r="1963" spans="40:55" ht="15.75" customHeight="1">
      <c r="AN1963" s="458"/>
      <c r="BC1963" s="169"/>
    </row>
    <row r="1964" spans="40:55" ht="15.75" customHeight="1">
      <c r="AN1964" s="458"/>
      <c r="BC1964" s="169"/>
    </row>
    <row r="1965" spans="40:55" ht="15.75" customHeight="1">
      <c r="AN1965" s="458"/>
      <c r="BC1965" s="169"/>
    </row>
    <row r="1966" spans="40:55" ht="15.75" customHeight="1">
      <c r="AN1966" s="458"/>
      <c r="BC1966" s="169"/>
    </row>
    <row r="1967" spans="40:55" ht="15.75" customHeight="1">
      <c r="AN1967" s="458"/>
      <c r="BC1967" s="169"/>
    </row>
    <row r="1968" spans="40:55" ht="15.75" customHeight="1">
      <c r="AN1968" s="458"/>
      <c r="BC1968" s="169"/>
    </row>
    <row r="1969" spans="40:55" ht="15.75" customHeight="1">
      <c r="AN1969" s="458"/>
      <c r="BC1969" s="169"/>
    </row>
    <row r="1970" spans="40:55" ht="15.75" customHeight="1">
      <c r="AN1970" s="458"/>
      <c r="BC1970" s="169"/>
    </row>
    <row r="1971" spans="40:55" ht="15.75" customHeight="1">
      <c r="AN1971" s="458"/>
      <c r="BC1971" s="169"/>
    </row>
    <row r="1972" spans="40:55" ht="15.75" customHeight="1">
      <c r="AN1972" s="458"/>
      <c r="BC1972" s="169"/>
    </row>
    <row r="1973" spans="40:55" ht="15.75" customHeight="1">
      <c r="AN1973" s="458"/>
      <c r="BC1973" s="169"/>
    </row>
    <row r="1974" spans="40:55" ht="15.75" customHeight="1">
      <c r="AN1974" s="458"/>
      <c r="BC1974" s="169"/>
    </row>
    <row r="1975" spans="40:55" ht="15.75" customHeight="1">
      <c r="AN1975" s="458"/>
      <c r="BC1975" s="169"/>
    </row>
    <row r="1976" spans="40:55" ht="15.75" customHeight="1">
      <c r="AN1976" s="458"/>
      <c r="BC1976" s="169"/>
    </row>
    <row r="1977" spans="40:55" ht="15.75" customHeight="1">
      <c r="AN1977" s="458"/>
      <c r="BC1977" s="169"/>
    </row>
    <row r="1978" spans="40:55" ht="15.75" customHeight="1">
      <c r="AN1978" s="458"/>
      <c r="BC1978" s="169"/>
    </row>
    <row r="1979" spans="40:55" ht="15.75" customHeight="1">
      <c r="AN1979" s="458"/>
      <c r="BC1979" s="169"/>
    </row>
    <row r="1980" spans="40:55" ht="15.75" customHeight="1">
      <c r="AN1980" s="458"/>
      <c r="BC1980" s="169"/>
    </row>
    <row r="1981" spans="40:55" ht="15.75" customHeight="1">
      <c r="AN1981" s="458"/>
      <c r="BC1981" s="169"/>
    </row>
    <row r="1982" spans="40:55" ht="15.75" customHeight="1">
      <c r="AN1982" s="458"/>
      <c r="BC1982" s="169"/>
    </row>
    <row r="1983" spans="40:55" ht="15.75" customHeight="1">
      <c r="AN1983" s="458"/>
      <c r="BC1983" s="169"/>
    </row>
    <row r="1984" spans="40:55" ht="15.75" customHeight="1">
      <c r="AN1984" s="458"/>
      <c r="BC1984" s="169"/>
    </row>
    <row r="1985" spans="40:55" ht="15.75" customHeight="1">
      <c r="AN1985" s="458"/>
      <c r="BC1985" s="169"/>
    </row>
    <row r="1986" spans="40:55" ht="15.75" customHeight="1">
      <c r="AN1986" s="458"/>
      <c r="BC1986" s="169"/>
    </row>
    <row r="1987" spans="40:55" ht="15.75" customHeight="1">
      <c r="AN1987" s="458"/>
      <c r="BC1987" s="169"/>
    </row>
    <row r="1988" spans="40:55" ht="15.75" customHeight="1">
      <c r="AN1988" s="458"/>
      <c r="BC1988" s="169"/>
    </row>
    <row r="1989" spans="40:55" ht="15.75" customHeight="1">
      <c r="AN1989" s="458"/>
      <c r="BC1989" s="169"/>
    </row>
    <row r="1990" spans="40:55" ht="15.75" customHeight="1">
      <c r="AN1990" s="458"/>
      <c r="BC1990" s="169"/>
    </row>
    <row r="1991" spans="40:55" ht="15.75" customHeight="1">
      <c r="AN1991" s="458"/>
      <c r="BC1991" s="169"/>
    </row>
    <row r="1992" spans="40:55" ht="15.75" customHeight="1">
      <c r="AN1992" s="458"/>
      <c r="BC1992" s="169"/>
    </row>
    <row r="1993" spans="40:55" ht="15.75" customHeight="1">
      <c r="AN1993" s="458"/>
      <c r="BC1993" s="169"/>
    </row>
    <row r="1994" spans="40:55" ht="15.75" customHeight="1">
      <c r="AN1994" s="458"/>
      <c r="BC1994" s="169"/>
    </row>
    <row r="1995" spans="40:55" ht="15.75" customHeight="1">
      <c r="AN1995" s="458"/>
      <c r="BC1995" s="169"/>
    </row>
    <row r="1996" spans="40:55" ht="15.75" customHeight="1">
      <c r="AN1996" s="458"/>
      <c r="BC1996" s="169"/>
    </row>
    <row r="1997" spans="40:55" ht="15.75" customHeight="1">
      <c r="AN1997" s="458"/>
      <c r="BC1997" s="169"/>
    </row>
    <row r="1998" spans="40:55" ht="15.75" customHeight="1">
      <c r="AN1998" s="458"/>
      <c r="BC1998" s="169"/>
    </row>
    <row r="1999" spans="40:55" ht="15.75" customHeight="1">
      <c r="AN1999" s="458"/>
      <c r="BC1999" s="169"/>
    </row>
    <row r="2000" spans="40:55" ht="15.75" customHeight="1">
      <c r="AN2000" s="458"/>
      <c r="BC2000" s="169"/>
    </row>
    <row r="2001" spans="40:40" ht="15.75" customHeight="1">
      <c r="AN2001" s="458"/>
    </row>
    <row r="2002" spans="40:40" ht="15.75" customHeight="1">
      <c r="AN2002" s="458"/>
    </row>
    <row r="2003" spans="40:40" ht="15.75" customHeight="1">
      <c r="AN2003" s="458"/>
    </row>
    <row r="2004" spans="40:40" ht="15.75" customHeight="1">
      <c r="AN2004" s="458"/>
    </row>
    <row r="2005" spans="40:40" ht="15.75" customHeight="1">
      <c r="AN2005" s="458"/>
    </row>
    <row r="2006" spans="40:40" ht="15.75" customHeight="1">
      <c r="AN2006" s="458"/>
    </row>
    <row r="2007" spans="40:40" ht="15.75" customHeight="1">
      <c r="AN2007" s="458"/>
    </row>
    <row r="2008" spans="40:40" ht="15.75" customHeight="1">
      <c r="AN2008" s="458"/>
    </row>
    <row r="2009" spans="40:40" ht="15.75" customHeight="1">
      <c r="AN2009" s="458"/>
    </row>
    <row r="2010" spans="40:40" ht="15.75" customHeight="1">
      <c r="AN2010" s="458"/>
    </row>
    <row r="2011" spans="40:40" ht="15.75" customHeight="1">
      <c r="AN2011" s="458"/>
    </row>
    <row r="2012" spans="40:40" ht="15.75" customHeight="1">
      <c r="AN2012" s="458"/>
    </row>
    <row r="2013" spans="40:40" ht="15.75" customHeight="1">
      <c r="AN2013" s="458"/>
    </row>
    <row r="2014" spans="40:40" ht="15.75" customHeight="1">
      <c r="AN2014" s="458"/>
    </row>
    <row r="2015" spans="40:40" ht="15.75" customHeight="1">
      <c r="AN2015" s="458"/>
    </row>
    <row r="2016" spans="40:40" ht="15.75" customHeight="1">
      <c r="AN2016" s="458"/>
    </row>
    <row r="2017" spans="40:40" ht="15.75" customHeight="1">
      <c r="AN2017" s="458"/>
    </row>
    <row r="2018" spans="40:40" ht="15.75" customHeight="1">
      <c r="AN2018" s="458"/>
    </row>
    <row r="2019" spans="40:40" ht="15.75" customHeight="1">
      <c r="AN2019" s="458"/>
    </row>
    <row r="2020" spans="40:40" ht="15.75" customHeight="1">
      <c r="AN2020" s="458"/>
    </row>
    <row r="2021" spans="40:40" ht="15.75" customHeight="1">
      <c r="AN2021" s="458"/>
    </row>
    <row r="2022" spans="40:40" ht="15.75" customHeight="1">
      <c r="AN2022" s="458"/>
    </row>
    <row r="2023" spans="40:40" ht="15.75" customHeight="1">
      <c r="AN2023" s="458"/>
    </row>
    <row r="2024" spans="40:40" ht="15.75" customHeight="1">
      <c r="AN2024" s="458"/>
    </row>
    <row r="2025" spans="40:40" ht="15.75" customHeight="1">
      <c r="AN2025" s="458"/>
    </row>
    <row r="2026" spans="40:40" ht="15.75" customHeight="1">
      <c r="AN2026" s="458"/>
    </row>
    <row r="2027" spans="40:40" ht="15.75" customHeight="1">
      <c r="AN2027" s="458"/>
    </row>
    <row r="2028" spans="40:40" ht="15.75" customHeight="1">
      <c r="AN2028" s="458"/>
    </row>
    <row r="2029" spans="40:40" ht="15.75" customHeight="1">
      <c r="AN2029" s="458"/>
    </row>
    <row r="2030" spans="40:40" ht="15.75" customHeight="1">
      <c r="AN2030" s="458"/>
    </row>
    <row r="2031" spans="40:40" ht="15.75" customHeight="1">
      <c r="AN2031" s="458"/>
    </row>
    <row r="2032" spans="40:40" ht="15.75" customHeight="1">
      <c r="AN2032" s="458"/>
    </row>
    <row r="2033" spans="40:40" ht="15.75" customHeight="1">
      <c r="AN2033" s="458"/>
    </row>
    <row r="2034" spans="40:40" ht="15.75" customHeight="1">
      <c r="AN2034" s="458"/>
    </row>
    <row r="2035" spans="40:40" ht="15.75" customHeight="1">
      <c r="AN2035" s="458"/>
    </row>
    <row r="2036" spans="40:40" ht="15.75" customHeight="1">
      <c r="AN2036" s="458"/>
    </row>
    <row r="2037" spans="40:40" ht="15.75" customHeight="1">
      <c r="AN2037" s="458"/>
    </row>
    <row r="2038" spans="40:40" ht="15.75" customHeight="1">
      <c r="AN2038" s="458"/>
    </row>
    <row r="2039" spans="40:40" ht="15.75" customHeight="1">
      <c r="AN2039" s="458"/>
    </row>
    <row r="2040" spans="40:40" ht="15.75" customHeight="1">
      <c r="AN2040" s="458"/>
    </row>
    <row r="2041" spans="40:40" ht="15.75" customHeight="1">
      <c r="AN2041" s="458"/>
    </row>
    <row r="2042" spans="40:40" ht="15.75" customHeight="1">
      <c r="AN2042" s="458"/>
    </row>
    <row r="2043" spans="40:40" ht="15.75" customHeight="1">
      <c r="AN2043" s="458"/>
    </row>
    <row r="2044" spans="40:40" ht="15.75" customHeight="1">
      <c r="AN2044" s="458"/>
    </row>
    <row r="2045" spans="40:40" ht="15.75" customHeight="1">
      <c r="AN2045" s="458"/>
    </row>
    <row r="2046" spans="40:40" ht="15.75" customHeight="1">
      <c r="AN2046" s="458"/>
    </row>
    <row r="2047" spans="40:40" ht="15.75" customHeight="1">
      <c r="AN2047" s="458"/>
    </row>
    <row r="2048" spans="40:40" ht="15.75" customHeight="1">
      <c r="AN2048" s="458"/>
    </row>
    <row r="2049" spans="40:40" ht="15.75" customHeight="1">
      <c r="AN2049" s="458"/>
    </row>
    <row r="2050" spans="40:40" ht="15.75" customHeight="1">
      <c r="AN2050" s="458"/>
    </row>
    <row r="2051" spans="40:40" ht="15.75" customHeight="1">
      <c r="AN2051" s="458"/>
    </row>
    <row r="2052" spans="40:40" ht="15.75" customHeight="1">
      <c r="AN2052" s="458"/>
    </row>
    <row r="2053" spans="40:40" ht="15.75" customHeight="1">
      <c r="AN2053" s="458"/>
    </row>
    <row r="2054" spans="40:40" ht="15.75" customHeight="1">
      <c r="AN2054" s="458"/>
    </row>
    <row r="2055" spans="40:40" ht="15.75" customHeight="1">
      <c r="AN2055" s="458"/>
    </row>
    <row r="2056" spans="40:40" ht="15.75" customHeight="1">
      <c r="AN2056" s="458"/>
    </row>
    <row r="2057" spans="40:40" ht="15.75" customHeight="1">
      <c r="AN2057" s="458"/>
    </row>
    <row r="2058" spans="40:40" ht="15.75" customHeight="1">
      <c r="AN2058" s="458"/>
    </row>
    <row r="2059" spans="40:40" ht="15.75" customHeight="1">
      <c r="AN2059" s="458"/>
    </row>
    <row r="2060" spans="40:40" ht="15.75" customHeight="1">
      <c r="AN2060" s="458"/>
    </row>
    <row r="2061" spans="40:40" ht="15.75" customHeight="1">
      <c r="AN2061" s="458"/>
    </row>
    <row r="2062" spans="40:40" ht="15.75" customHeight="1">
      <c r="AN2062" s="458"/>
    </row>
    <row r="2063" spans="40:40" ht="15.75" customHeight="1">
      <c r="AN2063" s="458"/>
    </row>
    <row r="2064" spans="40:40" ht="15.75" customHeight="1">
      <c r="AN2064" s="458"/>
    </row>
    <row r="2065" spans="40:40" ht="15.75" customHeight="1">
      <c r="AN2065" s="458"/>
    </row>
    <row r="2066" spans="40:40" ht="15.75" customHeight="1">
      <c r="AN2066" s="458"/>
    </row>
    <row r="2067" spans="40:40" ht="15.75" customHeight="1">
      <c r="AN2067" s="458"/>
    </row>
    <row r="2068" spans="40:40" ht="15.75" customHeight="1">
      <c r="AN2068" s="458"/>
    </row>
    <row r="2069" spans="40:40" ht="15.75" customHeight="1">
      <c r="AN2069" s="458"/>
    </row>
    <row r="2070" spans="40:40" ht="15.75" customHeight="1">
      <c r="AN2070" s="458"/>
    </row>
    <row r="2071" spans="40:40" ht="15.75" customHeight="1">
      <c r="AN2071" s="458"/>
    </row>
    <row r="2072" spans="40:40" ht="15.75" customHeight="1">
      <c r="AN2072" s="458"/>
    </row>
    <row r="2073" spans="40:40" ht="15.75" customHeight="1">
      <c r="AN2073" s="458"/>
    </row>
    <row r="2074" spans="40:40" ht="15.75" customHeight="1">
      <c r="AN2074" s="458"/>
    </row>
    <row r="2075" spans="40:40" ht="15.75" customHeight="1">
      <c r="AN2075" s="458"/>
    </row>
    <row r="2076" spans="40:40" ht="15.75" customHeight="1">
      <c r="AN2076" s="458"/>
    </row>
    <row r="2077" spans="40:40" ht="15.75" customHeight="1">
      <c r="AN2077" s="458"/>
    </row>
    <row r="2078" spans="40:40" ht="15.75" customHeight="1">
      <c r="AN2078" s="458"/>
    </row>
    <row r="2079" spans="40:40" ht="15.75" customHeight="1">
      <c r="AN2079" s="458"/>
    </row>
    <row r="2080" spans="40:40" ht="15.75" customHeight="1">
      <c r="AN2080" s="458"/>
    </row>
    <row r="2081" spans="40:40" ht="15.75" customHeight="1">
      <c r="AN2081" s="458"/>
    </row>
    <row r="2082" spans="40:40" ht="15.75" customHeight="1">
      <c r="AN2082" s="458"/>
    </row>
    <row r="2083" spans="40:40" ht="15.75" customHeight="1">
      <c r="AN2083" s="458"/>
    </row>
    <row r="2084" spans="40:40" ht="15.75" customHeight="1">
      <c r="AN2084" s="458"/>
    </row>
    <row r="2085" spans="40:40" ht="15.75" customHeight="1">
      <c r="AN2085" s="458"/>
    </row>
    <row r="2086" spans="40:40" ht="15.75" customHeight="1">
      <c r="AN2086" s="458"/>
    </row>
    <row r="2087" spans="40:40" ht="15.75" customHeight="1">
      <c r="AN2087" s="458"/>
    </row>
    <row r="2088" spans="40:40" ht="15.75" customHeight="1">
      <c r="AN2088" s="458"/>
    </row>
    <row r="2089" spans="40:40" ht="15.75" customHeight="1">
      <c r="AN2089" s="458"/>
    </row>
    <row r="2090" spans="40:40" ht="15.75" customHeight="1">
      <c r="AN2090" s="458"/>
    </row>
    <row r="2091" spans="40:40" ht="15.75" customHeight="1">
      <c r="AN2091" s="458"/>
    </row>
    <row r="2092" spans="40:40" ht="15.75" customHeight="1">
      <c r="AN2092" s="458"/>
    </row>
    <row r="2093" spans="40:40" ht="15.75" customHeight="1">
      <c r="AN2093" s="458"/>
    </row>
    <row r="2094" spans="40:40" ht="15.75" customHeight="1">
      <c r="AN2094" s="458"/>
    </row>
    <row r="2095" spans="40:40" ht="15.75" customHeight="1">
      <c r="AN2095" s="458"/>
    </row>
    <row r="2096" spans="40:40" ht="15.75" customHeight="1">
      <c r="AN2096" s="458"/>
    </row>
    <row r="2097" spans="40:40" ht="15.75" customHeight="1">
      <c r="AN2097" s="458"/>
    </row>
    <row r="2098" spans="40:40" ht="15.75" customHeight="1">
      <c r="AN2098" s="458"/>
    </row>
    <row r="2099" spans="40:40" ht="15.75" customHeight="1">
      <c r="AN2099" s="458"/>
    </row>
    <row r="2100" spans="40:40" ht="15.75" customHeight="1">
      <c r="AN2100" s="458"/>
    </row>
    <row r="2101" spans="40:40" ht="15.75" customHeight="1">
      <c r="AN2101" s="458"/>
    </row>
    <row r="2102" spans="40:40" ht="15.75" customHeight="1">
      <c r="AN2102" s="458"/>
    </row>
    <row r="2103" spans="40:40" ht="15.75" customHeight="1">
      <c r="AN2103" s="458"/>
    </row>
    <row r="2104" spans="40:40" ht="15.75" customHeight="1">
      <c r="AN2104" s="458"/>
    </row>
    <row r="2105" spans="40:40" ht="15.75" customHeight="1">
      <c r="AN2105" s="458"/>
    </row>
    <row r="2106" spans="40:40" ht="15.75" customHeight="1">
      <c r="AN2106" s="458"/>
    </row>
    <row r="2107" spans="40:40" ht="15.75" customHeight="1">
      <c r="AN2107" s="458"/>
    </row>
    <row r="2108" spans="40:40" ht="15.75" customHeight="1">
      <c r="AN2108" s="458"/>
    </row>
    <row r="2109" spans="40:40" ht="15.75" customHeight="1">
      <c r="AN2109" s="458"/>
    </row>
    <row r="2110" spans="40:40" ht="15.75" customHeight="1">
      <c r="AN2110" s="458"/>
    </row>
    <row r="2111" spans="40:40" ht="15.75" customHeight="1">
      <c r="AN2111" s="458"/>
    </row>
    <row r="2112" spans="40:40" ht="15.75" customHeight="1">
      <c r="AN2112" s="458"/>
    </row>
    <row r="2113" spans="40:40" ht="15.75" customHeight="1">
      <c r="AN2113" s="458"/>
    </row>
    <row r="2114" spans="40:40" ht="15.75" customHeight="1">
      <c r="AN2114" s="458"/>
    </row>
    <row r="2115" spans="40:40" ht="15.75" customHeight="1">
      <c r="AN2115" s="458"/>
    </row>
    <row r="2116" spans="40:40" ht="15.75" customHeight="1">
      <c r="AN2116" s="458"/>
    </row>
    <row r="2117" spans="40:40" ht="15.75" customHeight="1">
      <c r="AN2117" s="458"/>
    </row>
    <row r="2118" spans="40:40" ht="15.75" customHeight="1">
      <c r="AN2118" s="458"/>
    </row>
    <row r="2119" spans="40:40" ht="15.75" customHeight="1">
      <c r="AN2119" s="458"/>
    </row>
    <row r="2120" spans="40:40" ht="15.75" customHeight="1">
      <c r="AN2120" s="458"/>
    </row>
    <row r="2121" spans="40:40" ht="15.75" customHeight="1">
      <c r="AN2121" s="458"/>
    </row>
    <row r="2122" spans="40:40" ht="15.75" customHeight="1">
      <c r="AN2122" s="458"/>
    </row>
    <row r="2123" spans="40:40" ht="15.75" customHeight="1">
      <c r="AN2123" s="458"/>
    </row>
    <row r="2124" spans="40:40" ht="15.75" customHeight="1">
      <c r="AN2124" s="458"/>
    </row>
    <row r="2125" spans="40:40" ht="15.75" customHeight="1">
      <c r="AN2125" s="458"/>
    </row>
    <row r="2126" spans="40:40" ht="15.75" customHeight="1">
      <c r="AN2126" s="458"/>
    </row>
    <row r="2127" spans="40:40" ht="15.75" customHeight="1">
      <c r="AN2127" s="458"/>
    </row>
    <row r="2128" spans="40:40" ht="15.75" customHeight="1">
      <c r="AN2128" s="458"/>
    </row>
    <row r="2129" spans="40:40" ht="15.75" customHeight="1">
      <c r="AN2129" s="458"/>
    </row>
    <row r="2130" spans="40:40" ht="15.75" customHeight="1">
      <c r="AN2130" s="458"/>
    </row>
    <row r="2131" spans="40:40" ht="15.75" customHeight="1">
      <c r="AN2131" s="458"/>
    </row>
    <row r="2132" spans="40:40" ht="15.75" customHeight="1">
      <c r="AN2132" s="458"/>
    </row>
    <row r="2133" spans="40:40" ht="15.75" customHeight="1">
      <c r="AN2133" s="458"/>
    </row>
    <row r="2134" spans="40:40" ht="15.75" customHeight="1">
      <c r="AN2134" s="458"/>
    </row>
    <row r="2135" spans="40:40" ht="15.75" customHeight="1">
      <c r="AN2135" s="458"/>
    </row>
    <row r="2136" spans="40:40" ht="15.75" customHeight="1">
      <c r="AN2136" s="458"/>
    </row>
    <row r="2137" spans="40:40" ht="15.75" customHeight="1">
      <c r="AN2137" s="458"/>
    </row>
    <row r="2138" spans="40:40" ht="15.75" customHeight="1">
      <c r="AN2138" s="458"/>
    </row>
    <row r="2139" spans="40:40" ht="15.75" customHeight="1">
      <c r="AN2139" s="458"/>
    </row>
    <row r="2140" spans="40:40" ht="15.75" customHeight="1">
      <c r="AN2140" s="458"/>
    </row>
    <row r="2141" spans="40:40" ht="15.75" customHeight="1">
      <c r="AN2141" s="458"/>
    </row>
    <row r="2142" spans="40:40" ht="15.75" customHeight="1">
      <c r="AN2142" s="458"/>
    </row>
    <row r="2143" spans="40:40" ht="15.75" customHeight="1">
      <c r="AN2143" s="458"/>
    </row>
    <row r="2144" spans="40:40" ht="15.75" customHeight="1">
      <c r="AN2144" s="458"/>
    </row>
    <row r="2145" spans="40:40" ht="15.75" customHeight="1">
      <c r="AN2145" s="458"/>
    </row>
    <row r="2146" spans="40:40" ht="15.75" customHeight="1">
      <c r="AN2146" s="458"/>
    </row>
    <row r="2147" spans="40:40" ht="15.75" customHeight="1">
      <c r="AN2147" s="458"/>
    </row>
    <row r="2148" spans="40:40" ht="15.75" customHeight="1">
      <c r="AN2148" s="458"/>
    </row>
    <row r="2149" spans="40:40" ht="15.75" customHeight="1">
      <c r="AN2149" s="458"/>
    </row>
    <row r="2150" spans="40:40" ht="15.75" customHeight="1">
      <c r="AN2150" s="458"/>
    </row>
    <row r="2151" spans="40:40" ht="15.75" customHeight="1">
      <c r="AN2151" s="458"/>
    </row>
    <row r="2152" spans="40:40" ht="15.75" customHeight="1">
      <c r="AN2152" s="458"/>
    </row>
    <row r="2153" spans="40:40" ht="15.75" customHeight="1">
      <c r="AN2153" s="458"/>
    </row>
    <row r="2154" spans="40:40" ht="15.75" customHeight="1">
      <c r="AN2154" s="458"/>
    </row>
    <row r="2155" spans="40:40" ht="15.75" customHeight="1">
      <c r="AN2155" s="458"/>
    </row>
    <row r="2156" spans="40:40" ht="15.75" customHeight="1">
      <c r="AN2156" s="458"/>
    </row>
    <row r="2157" spans="40:40" ht="15.75" customHeight="1">
      <c r="AN2157" s="458"/>
    </row>
    <row r="2158" spans="40:40" ht="15.75" customHeight="1">
      <c r="AN2158" s="458"/>
    </row>
    <row r="2159" spans="40:40" ht="15.75" customHeight="1">
      <c r="AN2159" s="458"/>
    </row>
    <row r="2160" spans="40:40" ht="15.75" customHeight="1">
      <c r="AN2160" s="458"/>
    </row>
    <row r="2161" spans="40:40" ht="15.75" customHeight="1">
      <c r="AN2161" s="458"/>
    </row>
    <row r="2162" spans="40:40" ht="15.75" customHeight="1">
      <c r="AN2162" s="458"/>
    </row>
    <row r="2163" spans="40:40" ht="15.75" customHeight="1">
      <c r="AN2163" s="458"/>
    </row>
    <row r="2164" spans="40:40" ht="15.75" customHeight="1">
      <c r="AN2164" s="458"/>
    </row>
    <row r="2165" spans="40:40" ht="15.75" customHeight="1">
      <c r="AN2165" s="458"/>
    </row>
  </sheetData>
  <autoFilter ref="A2:BG198" xr:uid="{00000000-0009-0000-0000-00001E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autoFilter>
  <mergeCells count="11">
    <mergeCell ref="BD1:BG1"/>
    <mergeCell ref="A1:BB1"/>
    <mergeCell ref="L184:M184"/>
    <mergeCell ref="AT2:AV2"/>
    <mergeCell ref="AC2:AE2"/>
    <mergeCell ref="Z2:AB2"/>
    <mergeCell ref="N2:P2"/>
    <mergeCell ref="AN2:AP2"/>
    <mergeCell ref="AQ2:AS2"/>
    <mergeCell ref="T2:V2"/>
    <mergeCell ref="W2:Y2"/>
  </mergeCells>
  <phoneticPr fontId="0" type="noConversion"/>
  <conditionalFormatting sqref="B5:BA170 B172:BA187">
    <cfRule type="expression" dxfId="325" priority="72">
      <formula>$M5="NON DEFINED"</formula>
    </cfRule>
    <cfRule type="expression" dxfId="324" priority="73">
      <formula>$AY5="N.D."</formula>
    </cfRule>
  </conditionalFormatting>
  <conditionalFormatting sqref="BD187:BG187 BF20 BF22 BF50:BG50 BE54:BG54 BD14:BE14 BD16:BE16 BD34:BF34 BE58 BE64 BD68:BE68 BD76:BE76 BD80:BE80 BD86:BE86 BD88:BE88 BD96:BE96 BD106:BE106 BD116:BE116 BD122:BE122 BD126:BE126 BD128:BE128 BD164 BD166 BD172 BD174 BD176 BD8:BF8 BD6:BE6 BG6 BD10:BF10 BF24 BF26 BF28 BF30 BD36:BE36 BE48:BG48 BG52 BG56 BE70 BG58 BG60 BG74 BG78 BG80 BG82 BG84 BG86 BG88 BG90 BG92 BG94 BG96 BG98 BG100 BG102 BG104 BG106 BG108 BG110 BG112 BG114 BG116 BG118 BG120 BG122 BG124 BG126 BG128 BG130 BG132 BG134 BG136 BG138 BG140 BG142 BG144 BG146 BG148 BG150 BG152 BG154 BG156 BG160 BG162 BG164 BG166 BG168 BG170 BG172 BG174 BG176 BG178 BG180 BG182 BG184 BG186 BE60 BE66 BE72 BE74 BD82:BE82 BD84:BE84 BD90:BE90 BD92:BE92 BD98:BE98 BD100:BE100 BD108:BE108 BD110:BE110 BD118:BE118 BD120:BE120 BD124:BE124 BD130:BE130 BD156 BD160:BD162 BD180:BD182 BD38:BE38 BD40:BF40 BD42:BF42 BD44:BF44 BD46:BF46 BD94:BE94 BD102:BE102 BD104:BE104 BD112:BE112 BD114:BE114 BD132:BE132 BD134:BE134 BD136:BE136 BD140 BD142 BD144 BD137:BD138 BD132:BD134 BD122:BD123 BD129 BD116:BD120 BD158 BD32:BG32 BD26 BD24 BD28:BD30 BD34:BD35 BD41 BD45 BD62:BE62 BD56:BE56 BD50 BD81 BD83 BD89:BD92 BD96:BD100 BD106:BD110 BD20:BD22 BD12:BE12 BD6:BD10 BD17 BD18:BE18 BD78:BE78 BG68">
    <cfRule type="containsBlanks" dxfId="323" priority="69">
      <formula>LEN(TRIM(BD6))=0</formula>
    </cfRule>
  </conditionalFormatting>
  <conditionalFormatting sqref="BF70 BF72 BF80 BF82 BF92 BF94 BF96 BF98 BF100 BF102 BF104 BF106 BF108 BF110 BF112 BF114 BF116 BF118 BF120 BF122 BF128 BF130 BF132 BF134 BF136 BF142 BF144 BF146 BF148 BF150 BF152 BF154 BF156 BF158 BF162 BF164 BF166 BF172 BF174 BF176 BF178 BF180 BF182">
    <cfRule type="containsBlanks" dxfId="322" priority="68">
      <formula>LEN(TRIM(BF70))=0</formula>
    </cfRule>
  </conditionalFormatting>
  <conditionalFormatting sqref="BE20">
    <cfRule type="containsBlanks" dxfId="321" priority="61">
      <formula>LEN(TRIM(BE20))=0</formula>
    </cfRule>
  </conditionalFormatting>
  <conditionalFormatting sqref="BE22 BE24 BE26 BE28 BE30">
    <cfRule type="containsBlanks" dxfId="320" priority="58">
      <formula>LEN(TRIM(BE22))=0</formula>
    </cfRule>
  </conditionalFormatting>
  <conditionalFormatting sqref="BE50 BE52">
    <cfRule type="containsBlanks" dxfId="319" priority="55">
      <formula>LEN(TRIM(BE50))=0</formula>
    </cfRule>
  </conditionalFormatting>
  <conditionalFormatting sqref="BC5:BC170 BC199:BC2000 BC172:BC187">
    <cfRule type="containsText" dxfId="318" priority="52" operator="containsText" text="a">
      <formula>NOT(ISERROR(SEARCH("a",BC5)))</formula>
    </cfRule>
    <cfRule type="containsText" dxfId="317" priority="53" operator="containsText" text="R">
      <formula>NOT(ISERROR(SEARCH("R",BC5)))</formula>
    </cfRule>
  </conditionalFormatting>
  <conditionalFormatting sqref="BA5:BA170 BA172:BA187">
    <cfRule type="expression" dxfId="316" priority="51">
      <formula>$BC5="R"</formula>
    </cfRule>
  </conditionalFormatting>
  <conditionalFormatting sqref="B4:BA4 BC4:BG4">
    <cfRule type="expression" dxfId="315" priority="49">
      <formula>$M4="NON DEFINED"</formula>
    </cfRule>
    <cfRule type="expression" dxfId="314" priority="50">
      <formula>$AY4="N.D."</formula>
    </cfRule>
  </conditionalFormatting>
  <conditionalFormatting sqref="BA4">
    <cfRule type="expression" dxfId="313" priority="48">
      <formula>$BC4="R"</formula>
    </cfRule>
  </conditionalFormatting>
  <conditionalFormatting sqref="A4:BG4">
    <cfRule type="cellIs" dxfId="312" priority="47" operator="equal">
      <formula>0</formula>
    </cfRule>
  </conditionalFormatting>
  <conditionalFormatting sqref="BA188:BA198">
    <cfRule type="expression" dxfId="311" priority="46">
      <formula>$BC188="R"</formula>
    </cfRule>
  </conditionalFormatting>
  <conditionalFormatting sqref="B188:BA198 BC188:BG198">
    <cfRule type="expression" dxfId="310" priority="44">
      <formula>$M188="NON DEFINED"</formula>
    </cfRule>
    <cfRule type="expression" dxfId="309" priority="45">
      <formula>$AY188="N.D."</formula>
    </cfRule>
  </conditionalFormatting>
  <conditionalFormatting sqref="A188:BG198">
    <cfRule type="cellIs" dxfId="308" priority="43" operator="equal">
      <formula>0</formula>
    </cfRule>
  </conditionalFormatting>
  <conditionalFormatting sqref="BD145:BD146">
    <cfRule type="containsBlanks" dxfId="307" priority="42">
      <formula>LEN(TRIM(BD145))=0</formula>
    </cfRule>
  </conditionalFormatting>
  <conditionalFormatting sqref="BD148:BD154">
    <cfRule type="containsBlanks" dxfId="306" priority="41">
      <formula>LEN(TRIM(BD148))=0</formula>
    </cfRule>
  </conditionalFormatting>
  <conditionalFormatting sqref="BE138 BE140 BE142 BE144 BE146 BE148 BE150 BE152 BE154 BE156 BE158 BE160 BE162 BE164 BE166 BE168 BE170 BE172 BE174 BE176 BE178 BE180 BE182">
    <cfRule type="containsBlanks" dxfId="305" priority="40">
      <formula>LEN(TRIM(BE138))=0</formula>
    </cfRule>
  </conditionalFormatting>
  <conditionalFormatting sqref="BD170">
    <cfRule type="containsBlanks" dxfId="304" priority="39">
      <formula>LEN(TRIM(BD170))=0</formula>
    </cfRule>
  </conditionalFormatting>
  <conditionalFormatting sqref="BD168">
    <cfRule type="containsBlanks" dxfId="303" priority="38">
      <formula>LEN(TRIM(BD168))=0</formula>
    </cfRule>
  </conditionalFormatting>
  <conditionalFormatting sqref="BD178">
    <cfRule type="containsBlanks" dxfId="302" priority="37">
      <formula>LEN(TRIM(BD178))=0</formula>
    </cfRule>
  </conditionalFormatting>
  <conditionalFormatting sqref="BD157">
    <cfRule type="containsBlanks" dxfId="301" priority="36">
      <formula>LEN(TRIM(BD157))=0</formula>
    </cfRule>
  </conditionalFormatting>
  <conditionalFormatting sqref="BD64:BD66">
    <cfRule type="containsBlanks" dxfId="300" priority="35">
      <formula>LEN(TRIM(BD64))=0</formula>
    </cfRule>
  </conditionalFormatting>
  <conditionalFormatting sqref="BD58:BD60">
    <cfRule type="containsBlanks" dxfId="299" priority="34">
      <formula>LEN(TRIM(BD58))=0</formula>
    </cfRule>
  </conditionalFormatting>
  <conditionalFormatting sqref="BD52:BD54">
    <cfRule type="containsBlanks" dxfId="298" priority="33">
      <formula>LEN(TRIM(BD52))=0</formula>
    </cfRule>
  </conditionalFormatting>
  <conditionalFormatting sqref="BD47:BD48">
    <cfRule type="containsBlanks" dxfId="297" priority="32">
      <formula>LEN(TRIM(BD47))=0</formula>
    </cfRule>
  </conditionalFormatting>
  <conditionalFormatting sqref="BD69:BD74">
    <cfRule type="containsBlanks" dxfId="296" priority="31">
      <formula>LEN(TRIM(BD69))=0</formula>
    </cfRule>
  </conditionalFormatting>
  <conditionalFormatting sqref="AN4:AN170 AN172:AN198">
    <cfRule type="cellIs" dxfId="295" priority="30" operator="notEqual">
      <formula>5.5</formula>
    </cfRule>
  </conditionalFormatting>
  <conditionalFormatting sqref="BG20 BG22 BG24 BG26 BG28 BG30">
    <cfRule type="containsBlanks" dxfId="294" priority="29">
      <formula>LEN(TRIM(BG20))=0</formula>
    </cfRule>
  </conditionalFormatting>
  <conditionalFormatting sqref="BG62 BG64 BG66">
    <cfRule type="containsBlanks" dxfId="293" priority="28">
      <formula>LEN(TRIM(BG62))=0</formula>
    </cfRule>
  </conditionalFormatting>
  <conditionalFormatting sqref="BG70 BG72">
    <cfRule type="containsBlanks" dxfId="292" priority="27">
      <formula>LEN(TRIM(BG70))=0</formula>
    </cfRule>
  </conditionalFormatting>
  <conditionalFormatting sqref="BG76">
    <cfRule type="containsBlanks" dxfId="291" priority="26">
      <formula>LEN(TRIM(BG76))=0</formula>
    </cfRule>
  </conditionalFormatting>
  <conditionalFormatting sqref="BF84">
    <cfRule type="containsBlanks" dxfId="290" priority="25">
      <formula>LEN(TRIM(BF84))=0</formula>
    </cfRule>
  </conditionalFormatting>
  <conditionalFormatting sqref="BF86 BF88 BF90">
    <cfRule type="containsBlanks" dxfId="289" priority="24">
      <formula>LEN(TRIM(BF86))=0</formula>
    </cfRule>
  </conditionalFormatting>
  <conditionalFormatting sqref="BF124">
    <cfRule type="containsBlanks" dxfId="288" priority="23">
      <formula>LEN(TRIM(BF124))=0</formula>
    </cfRule>
  </conditionalFormatting>
  <conditionalFormatting sqref="BF126">
    <cfRule type="containsBlanks" dxfId="287" priority="21">
      <formula>LEN(TRIM(BF126))=0</formula>
    </cfRule>
  </conditionalFormatting>
  <conditionalFormatting sqref="BG34 BG36 BG38 BG40 BG42 BG44 BG46">
    <cfRule type="containsBlanks" dxfId="286" priority="18">
      <formula>LEN(TRIM(BG34))=0</formula>
    </cfRule>
  </conditionalFormatting>
  <conditionalFormatting sqref="BG18">
    <cfRule type="containsBlanks" dxfId="285" priority="17">
      <formula>LEN(TRIM(BG18))=0</formula>
    </cfRule>
  </conditionalFormatting>
  <conditionalFormatting sqref="BG8 BG10 BG12 BG14 BG16">
    <cfRule type="containsBlanks" dxfId="284" priority="16">
      <formula>LEN(TRIM(BG8))=0</formula>
    </cfRule>
  </conditionalFormatting>
  <conditionalFormatting sqref="BF12 BF14 BF16 BF18">
    <cfRule type="containsBlanks" dxfId="283" priority="15">
      <formula>LEN(TRIM(BF12))=0</formula>
    </cfRule>
  </conditionalFormatting>
  <conditionalFormatting sqref="BF76 BF78">
    <cfRule type="containsBlanks" dxfId="282" priority="14">
      <formula>LEN(TRIM(BF76))=0</formula>
    </cfRule>
  </conditionalFormatting>
  <conditionalFormatting sqref="B171:BA171">
    <cfRule type="expression" dxfId="281" priority="10">
      <formula>$M171="NON DEFINED"</formula>
    </cfRule>
    <cfRule type="expression" dxfId="280" priority="11">
      <formula>$AY171="N.D."</formula>
    </cfRule>
  </conditionalFormatting>
  <conditionalFormatting sqref="BC171">
    <cfRule type="containsText" dxfId="279" priority="8" operator="containsText" text="a">
      <formula>NOT(ISERROR(SEARCH("a",BC171)))</formula>
    </cfRule>
    <cfRule type="containsText" dxfId="278" priority="9" operator="containsText" text="R">
      <formula>NOT(ISERROR(SEARCH("R",BC171)))</formula>
    </cfRule>
  </conditionalFormatting>
  <conditionalFormatting sqref="BA171">
    <cfRule type="expression" dxfId="277" priority="7">
      <formula>$BC171="R"</formula>
    </cfRule>
  </conditionalFormatting>
  <conditionalFormatting sqref="AN171">
    <cfRule type="cellIs" dxfId="276" priority="6" operator="notEqual">
      <formula>5.5</formula>
    </cfRule>
  </conditionalFormatting>
  <conditionalFormatting sqref="BF36 BF38">
    <cfRule type="containsBlanks" dxfId="275" priority="5">
      <formula>LEN(TRIM(BF36))=0</formula>
    </cfRule>
  </conditionalFormatting>
  <conditionalFormatting sqref="BF68">
    <cfRule type="containsBlanks" dxfId="274" priority="3">
      <formula>LEN(TRIM(BF68))=0</formula>
    </cfRule>
  </conditionalFormatting>
  <printOptions horizontalCentered="1" gridLines="1"/>
  <pageMargins left="0.39370078740157483" right="0.39370078740157483" top="0.78740157480314965" bottom="0.78740157480314965" header="0.31496062992125984" footer="0.31496062992125984"/>
  <pageSetup paperSize="8" scale="76" fitToHeight="0" orientation="landscape" cellComments="asDisplayed" r:id="rId1"/>
  <headerFooter alignWithMargins="0">
    <oddHeader>&amp;L&amp;G&amp;C
LAYOUT AND EQUIPMENT
EP06 TRACK 3 TSA-THA
KP93+478 - 97+400
&amp;R&amp;G</oddHeader>
    <oddFooter>&amp;L&amp;G
&amp;F&amp;C&amp;D&amp;RPag &amp;P of &amp;N</oddFooter>
  </headerFooter>
  <legacyDrawingHF r:id="rId2"/>
  <extLst>
    <ext xmlns:x14="http://schemas.microsoft.com/office/spreadsheetml/2009/9/main" uri="{78C0D931-6437-407d-A8EE-F0AAD7539E65}">
      <x14:conditionalFormattings>
        <x14:conditionalFormatting xmlns:xm="http://schemas.microsoft.com/office/excel/2006/main">
          <x14:cfRule type="containsText" priority="67" operator="containsText" id="{EEE4FDE7-4BE4-42DD-ACB9-F4B4A0403310}">
            <xm:f>NOT(ISERROR(SEARCH("-",BF70)))</xm:f>
            <xm:f>"-"</xm:f>
            <x14:dxf>
              <font>
                <color theme="0" tint="-0.14996795556505021"/>
              </font>
              <fill>
                <patternFill>
                  <bgColor theme="0" tint="-0.14996795556505021"/>
                </patternFill>
              </fill>
            </x14:dxf>
          </x14:cfRule>
          <xm:sqref>BF70 BF72 BF80 BF82 BF92 BF94 BF96 BF98 BF100 BF102 BF104 BF106 BF108 BF110 BF112 BF114 BF116 BF118 BF120 BF122 BF128 BF130 BF132 BF134 BF136 BF142 BF144 BF146 BF148 BF150 BF152 BF154 BF156 BF158 BF162 BF164 BF166 BF172 BF174 BF176 BF178 BF180 BF182</xm:sqref>
        </x14:conditionalFormatting>
        <x14:conditionalFormatting xmlns:xm="http://schemas.microsoft.com/office/excel/2006/main">
          <x14:cfRule type="containsText" priority="66" operator="containsText" id="{67568C3F-BC2E-40D7-93D4-44EC111721E1}">
            <xm:f>NOT(ISERROR(SEARCH("-",BF92)))</xm:f>
            <xm:f>"-"</xm:f>
            <x14:dxf>
              <font>
                <color theme="0" tint="-0.14996795556505021"/>
              </font>
              <fill>
                <patternFill>
                  <bgColor theme="0" tint="-0.14996795556505021"/>
                </patternFill>
              </fill>
            </x14:dxf>
          </x14:cfRule>
          <xm:sqref>BF92 BF94 BF96 BF98 BF100 BF102 BF104 BF106 BF108 BF110 BF112 BF114 BF116 BF118 BF120 BF122 BF128 BF130 BF132 BF134 BF136 BF142 BF144 BF146 BF148 BF150 BF152 BF154 BF156 BF158 BF162 BF164 BF166 BF172 BF174 BF176 BF178 BF180 BF182</xm:sqref>
        </x14:conditionalFormatting>
        <x14:conditionalFormatting xmlns:xm="http://schemas.microsoft.com/office/excel/2006/main">
          <x14:cfRule type="containsText" priority="65" operator="containsText" id="{329C45D4-1A29-4D62-9C7C-8E2ADC588536}">
            <xm:f>NOT(ISERROR(SEARCH("-",BF70)))</xm:f>
            <xm:f>"-"</xm:f>
            <x14:dxf>
              <font>
                <color theme="0" tint="-0.14996795556505021"/>
              </font>
              <fill>
                <patternFill>
                  <bgColor theme="0" tint="-0.14996795556505021"/>
                </patternFill>
              </fill>
            </x14:dxf>
          </x14:cfRule>
          <xm:sqref>BF70</xm:sqref>
        </x14:conditionalFormatting>
        <x14:conditionalFormatting xmlns:xm="http://schemas.microsoft.com/office/excel/2006/main">
          <x14:cfRule type="containsText" priority="64" operator="containsText" id="{1B52F124-9F5E-4729-B2B1-2584E55B664C}">
            <xm:f>NOT(ISERROR(SEARCH("-",BF72)))</xm:f>
            <xm:f>"-"</xm:f>
            <x14:dxf>
              <font>
                <color theme="0" tint="-0.14996795556505021"/>
              </font>
              <fill>
                <patternFill>
                  <bgColor theme="0" tint="-0.14996795556505021"/>
                </patternFill>
              </fill>
            </x14:dxf>
          </x14:cfRule>
          <xm:sqref>BF72</xm:sqref>
        </x14:conditionalFormatting>
        <x14:conditionalFormatting xmlns:xm="http://schemas.microsoft.com/office/excel/2006/main">
          <x14:cfRule type="containsText" priority="60" operator="containsText" id="{6A0B8E38-6D07-49EE-A355-39E5B95C3A63}">
            <xm:f>NOT(ISERROR(SEARCH("-",BE20)))</xm:f>
            <xm:f>"-"</xm:f>
            <x14:dxf>
              <font>
                <color theme="0" tint="-0.14996795556505021"/>
              </font>
              <fill>
                <patternFill>
                  <bgColor theme="0" tint="-0.14996795556505021"/>
                </patternFill>
              </fill>
            </x14:dxf>
          </x14:cfRule>
          <xm:sqref>BE20</xm:sqref>
        </x14:conditionalFormatting>
        <x14:conditionalFormatting xmlns:xm="http://schemas.microsoft.com/office/excel/2006/main">
          <x14:cfRule type="containsText" priority="57" operator="containsText" id="{B4F4A4D6-8593-46D9-9B3D-E6325062B6E7}">
            <xm:f>NOT(ISERROR(SEARCH("-",BE22)))</xm:f>
            <xm:f>"-"</xm:f>
            <x14:dxf>
              <font>
                <color theme="0" tint="-0.14996795556505021"/>
              </font>
              <fill>
                <patternFill>
                  <bgColor theme="0" tint="-0.14996795556505021"/>
                </patternFill>
              </fill>
            </x14:dxf>
          </x14:cfRule>
          <xm:sqref>BE22 BE24 BE26 BE28 BE30</xm:sqref>
        </x14:conditionalFormatting>
        <x14:conditionalFormatting xmlns:xm="http://schemas.microsoft.com/office/excel/2006/main">
          <x14:cfRule type="containsText" priority="54" operator="containsText" id="{D674B148-B8F5-4F40-AF08-27ABC7B096C0}">
            <xm:f>NOT(ISERROR(SEARCH("-",BE50)))</xm:f>
            <xm:f>"-"</xm:f>
            <x14:dxf>
              <font>
                <color theme="0" tint="-0.14996795556505021"/>
              </font>
              <fill>
                <patternFill>
                  <bgColor theme="0" tint="-0.14996795556505021"/>
                </patternFill>
              </fill>
            </x14:dxf>
          </x14:cfRule>
          <xm:sqref>BE50 BE52</xm:sqref>
        </x14:conditionalFormatting>
        <x14:conditionalFormatting xmlns:xm="http://schemas.microsoft.com/office/excel/2006/main">
          <x14:cfRule type="containsText" priority="22" operator="containsText" id="{66AEE22A-745B-43D1-A90F-347E6B1D298E}">
            <xm:f>NOT(ISERROR(SEARCH("-",BF124)))</xm:f>
            <xm:f>"-"</xm:f>
            <x14:dxf>
              <font>
                <color theme="0" tint="-0.14996795556505021"/>
              </font>
              <fill>
                <patternFill>
                  <bgColor theme="0" tint="-0.14996795556505021"/>
                </patternFill>
              </fill>
            </x14:dxf>
          </x14:cfRule>
          <xm:sqref>BF124</xm:sqref>
        </x14:conditionalFormatting>
        <x14:conditionalFormatting xmlns:xm="http://schemas.microsoft.com/office/excel/2006/main">
          <x14:cfRule type="containsText" priority="20" operator="containsText" id="{E65071E6-9D53-4533-83FC-64AD569291C6}">
            <xm:f>NOT(ISERROR(SEARCH("-",BF126)))</xm:f>
            <xm:f>"-"</xm:f>
            <x14:dxf>
              <font>
                <color theme="0" tint="-0.14996795556505021"/>
              </font>
              <fill>
                <patternFill>
                  <bgColor theme="0" tint="-0.14996795556505021"/>
                </patternFill>
              </fill>
            </x14:dxf>
          </x14:cfRule>
          <xm:sqref>BF126</xm:sqref>
        </x14:conditionalFormatting>
        <x14:conditionalFormatting xmlns:xm="http://schemas.microsoft.com/office/excel/2006/main">
          <x14:cfRule type="containsText" priority="19" operator="containsText" id="{AFE27E17-911C-45A0-9AE2-DADAF9E2E3E8}">
            <xm:f>NOT(ISERROR(SEARCH("-",BF126)))</xm:f>
            <xm:f>"-"</xm:f>
            <x14:dxf>
              <font>
                <color theme="0" tint="-0.14996795556505021"/>
              </font>
              <fill>
                <patternFill>
                  <bgColor theme="0" tint="-0.14996795556505021"/>
                </patternFill>
              </fill>
            </x14:dxf>
          </x14:cfRule>
          <xm:sqref>BF126</xm:sqref>
        </x14:conditionalFormatting>
        <x14:conditionalFormatting xmlns:xm="http://schemas.microsoft.com/office/excel/2006/main">
          <x14:cfRule type="containsText" priority="13" operator="containsText" id="{B27C6934-5459-4439-8EF8-16C0FAD09470}">
            <xm:f>NOT(ISERROR(SEARCH("-",BF76)))</xm:f>
            <xm:f>"-"</xm:f>
            <x14:dxf>
              <font>
                <color theme="0" tint="-0.14996795556505021"/>
              </font>
              <fill>
                <patternFill>
                  <bgColor theme="0" tint="-0.14996795556505021"/>
                </patternFill>
              </fill>
            </x14:dxf>
          </x14:cfRule>
          <xm:sqref>BF76 BF78</xm:sqref>
        </x14:conditionalFormatting>
        <x14:conditionalFormatting xmlns:xm="http://schemas.microsoft.com/office/excel/2006/main">
          <x14:cfRule type="containsText" priority="12" operator="containsText" id="{47CBDACD-F3B7-45D1-89D4-AE495DEC4888}">
            <xm:f>NOT(ISERROR(SEARCH("-",BF76)))</xm:f>
            <xm:f>"-"</xm:f>
            <x14:dxf>
              <font>
                <color theme="0" tint="-0.14996795556505021"/>
              </font>
              <fill>
                <patternFill>
                  <bgColor theme="0" tint="-0.14996795556505021"/>
                </patternFill>
              </fill>
            </x14:dxf>
          </x14:cfRule>
          <xm:sqref>BF76 BF78</xm:sqref>
        </x14:conditionalFormatting>
        <x14:conditionalFormatting xmlns:xm="http://schemas.microsoft.com/office/excel/2006/main">
          <x14:cfRule type="containsText" priority="4" operator="containsText" id="{199EEA31-8552-454F-BF60-06077B5A5090}">
            <xm:f>NOT(ISERROR(SEARCH("-",BF36)))</xm:f>
            <xm:f>"-"</xm:f>
            <x14:dxf>
              <font>
                <color theme="0" tint="-0.14996795556505021"/>
              </font>
              <fill>
                <patternFill>
                  <bgColor theme="0" tint="-0.14996795556505021"/>
                </patternFill>
              </fill>
            </x14:dxf>
          </x14:cfRule>
          <xm:sqref>BF36 BF38</xm:sqref>
        </x14:conditionalFormatting>
        <x14:conditionalFormatting xmlns:xm="http://schemas.microsoft.com/office/excel/2006/main">
          <x14:cfRule type="containsText" priority="2" operator="containsText" id="{B1EDB833-A587-484D-9344-2DF347D3052E}">
            <xm:f>NOT(ISERROR(SEARCH("-",BF68)))</xm:f>
            <xm:f>"-"</xm:f>
            <x14:dxf>
              <font>
                <color theme="0" tint="-0.14996795556505021"/>
              </font>
              <fill>
                <patternFill>
                  <bgColor theme="0" tint="-0.14996795556505021"/>
                </patternFill>
              </fill>
            </x14:dxf>
          </x14:cfRule>
          <xm:sqref>BF68</xm:sqref>
        </x14:conditionalFormatting>
        <x14:conditionalFormatting xmlns:xm="http://schemas.microsoft.com/office/excel/2006/main">
          <x14:cfRule type="containsText" priority="1" operator="containsText" id="{0496F12F-7FE6-4ACA-B015-B8F3D58E0597}">
            <xm:f>NOT(ISERROR(SEARCH("-",BF68)))</xm:f>
            <xm:f>"-"</xm:f>
            <x14:dxf>
              <font>
                <color theme="0" tint="-0.14996795556505021"/>
              </font>
              <fill>
                <patternFill>
                  <bgColor theme="0" tint="-0.14996795556505021"/>
                </patternFill>
              </fill>
            </x14:dxf>
          </x14:cfRule>
          <xm:sqref>BF68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19">
    <tabColor theme="7"/>
    <pageSetUpPr fitToPage="1"/>
  </sheetPr>
  <dimension ref="A1:BG2008"/>
  <sheetViews>
    <sheetView view="pageBreakPreview" zoomScale="80" zoomScaleNormal="85" zoomScaleSheetLayoutView="80" workbookViewId="0">
      <pane xSplit="2" ySplit="3" topLeftCell="C34" activePane="bottomRight" state="frozen"/>
      <selection activeCell="G124" sqref="G124"/>
      <selection pane="topRight" activeCell="G124" sqref="G124"/>
      <selection pane="bottomLeft" activeCell="G124" sqref="G124"/>
      <selection pane="bottomRight" activeCell="G124" sqref="G124"/>
    </sheetView>
  </sheetViews>
  <sheetFormatPr baseColWidth="10" defaultColWidth="11.453125" defaultRowHeight="15.75" customHeight="1"/>
  <cols>
    <col min="1" max="1" width="20.6328125" style="178" customWidth="1"/>
    <col min="2" max="2" width="12.6328125" style="178" customWidth="1"/>
    <col min="3" max="3" width="12.6328125" style="184" customWidth="1"/>
    <col min="4" max="4" width="12.6328125" style="184" hidden="1" customWidth="1"/>
    <col min="5" max="5" width="12.6328125" style="178" hidden="1" customWidth="1"/>
    <col min="6" max="6" width="12.6328125" style="178" customWidth="1"/>
    <col min="7" max="7" width="12.6328125" style="454" customWidth="1"/>
    <col min="8" max="8" width="18.6328125" style="178" customWidth="1"/>
    <col min="9" max="9" width="12.6328125" style="178" customWidth="1"/>
    <col min="10" max="10" width="12.6328125" style="184" customWidth="1"/>
    <col min="11" max="11" width="12.6328125" style="178" customWidth="1"/>
    <col min="12" max="13" width="14.6328125" style="178" customWidth="1"/>
    <col min="14" max="16" width="8.6328125" style="178" hidden="1" customWidth="1"/>
    <col min="17" max="19" width="12.6328125" style="178" hidden="1" customWidth="1"/>
    <col min="20" max="28" width="8.6328125" style="178" hidden="1" customWidth="1"/>
    <col min="29" max="31" width="10.6328125" style="178" hidden="1" customWidth="1"/>
    <col min="32" max="32" width="13.54296875" style="178" hidden="1" customWidth="1"/>
    <col min="33" max="33" width="12.6328125" style="184" hidden="1" customWidth="1"/>
    <col min="34" max="36" width="12.6328125" style="178" hidden="1" customWidth="1"/>
    <col min="37" max="38" width="12.6328125" style="178" customWidth="1"/>
    <col min="39" max="39" width="12.6328125" style="178" hidden="1" customWidth="1"/>
    <col min="40" max="40" width="8.6328125" style="458" hidden="1" customWidth="1"/>
    <col min="41" max="42" width="8.6328125" style="169" hidden="1" customWidth="1"/>
    <col min="43" max="46" width="8.6328125" style="458" hidden="1" customWidth="1"/>
    <col min="47" max="48" width="8.6328125" style="169" hidden="1" customWidth="1"/>
    <col min="49" max="50" width="12.6328125" style="169" customWidth="1"/>
    <col min="51" max="52" width="12.6328125" style="458" customWidth="1"/>
    <col min="53" max="53" width="12.6328125" style="169" customWidth="1"/>
    <col min="54" max="54" width="21.6328125" style="178" customWidth="1"/>
    <col min="55" max="55" width="18" style="178" customWidth="1"/>
    <col min="56" max="59" width="14.54296875" style="1323" customWidth="1"/>
    <col min="60" max="60" width="11.453125" style="178" customWidth="1"/>
    <col min="61" max="16384" width="11.453125" style="178"/>
  </cols>
  <sheetData>
    <row r="1" spans="1:59" ht="36.75" customHeight="1">
      <c r="A1" s="1626" t="s">
        <v>4950</v>
      </c>
      <c r="B1" s="1626"/>
      <c r="C1" s="1626"/>
      <c r="D1" s="1626"/>
      <c r="E1" s="1626"/>
      <c r="F1" s="1626"/>
      <c r="G1" s="1626"/>
      <c r="H1" s="1626"/>
      <c r="I1" s="1626"/>
      <c r="J1" s="1626"/>
      <c r="K1" s="1626"/>
      <c r="L1" s="1626"/>
      <c r="M1" s="1626"/>
      <c r="N1" s="1626"/>
      <c r="O1" s="1626"/>
      <c r="P1" s="1626"/>
      <c r="Q1" s="1626"/>
      <c r="R1" s="1626"/>
      <c r="S1" s="1626"/>
      <c r="T1" s="1626"/>
      <c r="U1" s="1626"/>
      <c r="V1" s="1626"/>
      <c r="W1" s="1626"/>
      <c r="X1" s="1626"/>
      <c r="Y1" s="1626"/>
      <c r="Z1" s="1626"/>
      <c r="AA1" s="1626"/>
      <c r="AB1" s="1626"/>
      <c r="AC1" s="1626"/>
      <c r="AD1" s="1626"/>
      <c r="AE1" s="1626"/>
      <c r="AF1" s="1626"/>
      <c r="AG1" s="1626"/>
      <c r="AH1" s="1626"/>
      <c r="AI1" s="1626"/>
      <c r="AJ1" s="1626"/>
      <c r="AK1" s="1626"/>
      <c r="AL1" s="1626"/>
      <c r="AM1" s="1626"/>
      <c r="AN1" s="1626"/>
      <c r="AO1" s="1626"/>
      <c r="AP1" s="1626"/>
      <c r="AQ1" s="1626"/>
      <c r="AR1" s="1626"/>
      <c r="AS1" s="1626"/>
      <c r="AT1" s="1626"/>
      <c r="AU1" s="1626"/>
      <c r="AV1" s="1626"/>
      <c r="AW1" s="1626"/>
      <c r="AX1" s="1626"/>
      <c r="AY1" s="1626"/>
      <c r="AZ1" s="1626"/>
      <c r="BA1" s="1626"/>
      <c r="BB1" s="1626"/>
      <c r="BC1" s="693" t="s">
        <v>4947</v>
      </c>
      <c r="BD1" s="1599" t="s">
        <v>4916</v>
      </c>
      <c r="BE1" s="1599"/>
      <c r="BF1" s="1599"/>
      <c r="BG1" s="1599"/>
    </row>
    <row r="2" spans="1:59" s="699" customFormat="1" ht="42" customHeight="1">
      <c r="A2" s="1264" t="s">
        <v>4417</v>
      </c>
      <c r="B2" s="1264" t="s">
        <v>4418</v>
      </c>
      <c r="C2" s="980" t="s">
        <v>2315</v>
      </c>
      <c r="D2" s="980" t="s">
        <v>4419</v>
      </c>
      <c r="E2" s="1264" t="s">
        <v>4855</v>
      </c>
      <c r="F2" s="1264" t="s">
        <v>4856</v>
      </c>
      <c r="G2" s="981" t="s">
        <v>4857</v>
      </c>
      <c r="H2" s="1264" t="s">
        <v>455</v>
      </c>
      <c r="I2" s="1264" t="s">
        <v>454</v>
      </c>
      <c r="J2" s="1264" t="s">
        <v>4423</v>
      </c>
      <c r="K2" s="1264" t="s">
        <v>1362</v>
      </c>
      <c r="L2" s="1264" t="s">
        <v>456</v>
      </c>
      <c r="M2" s="1264" t="s">
        <v>453</v>
      </c>
      <c r="N2" s="1624" t="s">
        <v>457</v>
      </c>
      <c r="O2" s="1624"/>
      <c r="P2" s="1624"/>
      <c r="Q2" s="1264" t="s">
        <v>4858</v>
      </c>
      <c r="R2" s="1264" t="s">
        <v>4859</v>
      </c>
      <c r="S2" s="1264" t="s">
        <v>4860</v>
      </c>
      <c r="T2" s="1624" t="s">
        <v>4861</v>
      </c>
      <c r="U2" s="1624"/>
      <c r="V2" s="1624"/>
      <c r="W2" s="1624" t="s">
        <v>4862</v>
      </c>
      <c r="X2" s="1624"/>
      <c r="Y2" s="1624"/>
      <c r="Z2" s="1624" t="s">
        <v>4863</v>
      </c>
      <c r="AA2" s="1624"/>
      <c r="AB2" s="1624"/>
      <c r="AC2" s="1624" t="s">
        <v>628</v>
      </c>
      <c r="AD2" s="1624"/>
      <c r="AE2" s="1624"/>
      <c r="AF2" s="1264" t="s">
        <v>4872</v>
      </c>
      <c r="AG2" s="980" t="s">
        <v>4864</v>
      </c>
      <c r="AH2" s="1264" t="s">
        <v>4865</v>
      </c>
      <c r="AI2" s="1264" t="s">
        <v>4866</v>
      </c>
      <c r="AJ2" s="1264" t="s">
        <v>629</v>
      </c>
      <c r="AK2" s="1264" t="s">
        <v>458</v>
      </c>
      <c r="AL2" s="1264" t="s">
        <v>459</v>
      </c>
      <c r="AM2" s="1264" t="s">
        <v>631</v>
      </c>
      <c r="AN2" s="1624" t="s">
        <v>4867</v>
      </c>
      <c r="AO2" s="1624"/>
      <c r="AP2" s="1624"/>
      <c r="AQ2" s="1625" t="s">
        <v>460</v>
      </c>
      <c r="AR2" s="1625"/>
      <c r="AS2" s="1625"/>
      <c r="AT2" s="1624" t="s">
        <v>630</v>
      </c>
      <c r="AU2" s="1624"/>
      <c r="AV2" s="1624"/>
      <c r="AW2" s="1264" t="s">
        <v>4868</v>
      </c>
      <c r="AX2" s="1264" t="s">
        <v>4904</v>
      </c>
      <c r="AY2" s="1265" t="s">
        <v>4869</v>
      </c>
      <c r="AZ2" s="1265" t="s">
        <v>4870</v>
      </c>
      <c r="BA2" s="1264" t="s">
        <v>1670</v>
      </c>
      <c r="BB2" s="1264" t="s">
        <v>4871</v>
      </c>
      <c r="BC2" s="693" t="s">
        <v>4948</v>
      </c>
      <c r="BD2" s="1320" t="s">
        <v>453</v>
      </c>
      <c r="BE2" s="1320" t="s">
        <v>4922</v>
      </c>
      <c r="BF2" s="1320" t="s">
        <v>4915</v>
      </c>
      <c r="BG2" s="1320" t="s">
        <v>457</v>
      </c>
    </row>
    <row r="3" spans="1:59" ht="15.75" customHeight="1">
      <c r="A3" s="1239"/>
      <c r="B3" s="1239"/>
      <c r="C3" s="171"/>
      <c r="D3" s="171"/>
      <c r="E3" s="1239"/>
      <c r="F3" s="172"/>
      <c r="G3" s="172"/>
      <c r="H3" s="1239"/>
      <c r="I3" s="1239"/>
      <c r="J3" s="171"/>
      <c r="K3" s="1239"/>
      <c r="L3" s="1239"/>
      <c r="M3" s="1239"/>
      <c r="N3" s="982" t="s">
        <v>123</v>
      </c>
      <c r="O3" s="982" t="s">
        <v>124</v>
      </c>
      <c r="P3" s="982" t="s">
        <v>125</v>
      </c>
      <c r="Q3" s="1239"/>
      <c r="R3" s="1239"/>
      <c r="S3" s="1239"/>
      <c r="T3" s="982" t="s">
        <v>126</v>
      </c>
      <c r="U3" s="982" t="s">
        <v>127</v>
      </c>
      <c r="V3" s="982" t="s">
        <v>128</v>
      </c>
      <c r="W3" s="982" t="s">
        <v>129</v>
      </c>
      <c r="X3" s="982" t="s">
        <v>130</v>
      </c>
      <c r="Y3" s="982" t="s">
        <v>131</v>
      </c>
      <c r="Z3" s="982" t="s">
        <v>132</v>
      </c>
      <c r="AA3" s="982" t="s">
        <v>133</v>
      </c>
      <c r="AB3" s="982" t="s">
        <v>134</v>
      </c>
      <c r="AC3" s="982" t="s">
        <v>135</v>
      </c>
      <c r="AD3" s="982" t="s">
        <v>136</v>
      </c>
      <c r="AE3" s="982" t="s">
        <v>137</v>
      </c>
      <c r="AF3" s="1239"/>
      <c r="AG3" s="171"/>
      <c r="AH3" s="1239"/>
      <c r="AI3" s="1239"/>
      <c r="AJ3" s="1239"/>
      <c r="AK3" s="1239"/>
      <c r="AL3" s="1239"/>
      <c r="AM3" s="1239"/>
      <c r="AN3" s="983" t="s">
        <v>129</v>
      </c>
      <c r="AO3" s="982" t="s">
        <v>130</v>
      </c>
      <c r="AP3" s="982" t="s">
        <v>131</v>
      </c>
      <c r="AQ3" s="983" t="s">
        <v>613</v>
      </c>
      <c r="AR3" s="983" t="s">
        <v>614</v>
      </c>
      <c r="AS3" s="983" t="s">
        <v>615</v>
      </c>
      <c r="AT3" s="983" t="s">
        <v>616</v>
      </c>
      <c r="AU3" s="982" t="s">
        <v>617</v>
      </c>
      <c r="AV3" s="982" t="s">
        <v>618</v>
      </c>
      <c r="AW3" s="1239"/>
      <c r="AX3" s="1239"/>
      <c r="AY3" s="455"/>
      <c r="AZ3" s="455"/>
      <c r="BA3" s="1239"/>
      <c r="BB3" s="1239"/>
      <c r="BD3" s="1328"/>
      <c r="BE3" s="1328"/>
      <c r="BF3" s="1328"/>
      <c r="BG3" s="1328"/>
    </row>
    <row r="4" spans="1:59" ht="15.75" customHeight="1">
      <c r="A4" s="501">
        <f>'HR Track 3 TSA-THA'!A151</f>
        <v>0</v>
      </c>
      <c r="B4" s="716">
        <f>'HR Track 3 TSA-THA'!B151</f>
        <v>0</v>
      </c>
      <c r="C4" s="451">
        <f>'HR Track 3 TSA-THA'!C151</f>
        <v>0</v>
      </c>
      <c r="D4" s="453">
        <f>'HR Track 3 TSA-THA'!D151</f>
        <v>0</v>
      </c>
      <c r="E4" s="452">
        <f>'HR Track 3 TSA-THA'!E151</f>
        <v>0</v>
      </c>
      <c r="F4" s="453">
        <f>'HR Track 3 TSA-THA'!F151</f>
        <v>0</v>
      </c>
      <c r="G4" s="500">
        <f>'HR Track 3 TSA-THA'!G151</f>
        <v>43</v>
      </c>
      <c r="H4" s="453">
        <f>'HR Track 3 TSA-THA'!H151</f>
        <v>0</v>
      </c>
      <c r="I4" s="501">
        <f>'HR Track 3 TSA-THA'!I151</f>
        <v>236</v>
      </c>
      <c r="J4" s="583">
        <f>'HR Track 3 TSA-THA'!J151</f>
        <v>96526.950000000026</v>
      </c>
      <c r="K4" s="452" t="str">
        <f>'HR Track 3 TSA-THA'!K151</f>
        <v>AnMC/WT</v>
      </c>
      <c r="L4" s="452">
        <f>'HR Track 3 TSA-THA'!L151</f>
        <v>0</v>
      </c>
      <c r="M4" s="452">
        <f>'HR Track 3 TSA-THA'!M151</f>
        <v>0</v>
      </c>
      <c r="N4" s="501">
        <f>'HR Track 3 TSA-THA'!N151</f>
        <v>0</v>
      </c>
      <c r="O4" s="501">
        <f>'HR Track 3 TSA-THA'!O151</f>
        <v>0</v>
      </c>
      <c r="P4" s="501">
        <f>'HR Track 3 TSA-THA'!P151</f>
        <v>0</v>
      </c>
      <c r="Q4" s="452">
        <f>'HR Track 3 TSA-THA'!Q151</f>
        <v>0</v>
      </c>
      <c r="R4" s="452">
        <f>'HR Track 3 TSA-THA'!R151</f>
        <v>0</v>
      </c>
      <c r="S4" s="500">
        <f>'HR Track 3 TSA-THA'!S151</f>
        <v>43</v>
      </c>
      <c r="T4" s="452">
        <f>'HR Track 3 TSA-THA'!T151</f>
        <v>0</v>
      </c>
      <c r="U4" s="452">
        <f>'HR Track 3 TSA-THA'!U151</f>
        <v>0</v>
      </c>
      <c r="V4" s="452">
        <f>'HR Track 3 TSA-THA'!V151</f>
        <v>0</v>
      </c>
      <c r="W4" s="452">
        <f>'HR Track 3 TSA-THA'!W151</f>
        <v>0</v>
      </c>
      <c r="X4" s="452">
        <f>'HR Track 3 TSA-THA'!X151</f>
        <v>0</v>
      </c>
      <c r="Y4" s="452">
        <f>'HR Track 3 TSA-THA'!Y151</f>
        <v>0</v>
      </c>
      <c r="Z4" s="452">
        <f>'HR Track 3 TSA-THA'!Z151</f>
        <v>0</v>
      </c>
      <c r="AA4" s="452">
        <f>'HR Track 3 TSA-THA'!AA151</f>
        <v>0</v>
      </c>
      <c r="AB4" s="452">
        <f>'HR Track 3 TSA-THA'!AB151</f>
        <v>0</v>
      </c>
      <c r="AC4" s="452">
        <f>'HR Track 3 TSA-THA'!AC151</f>
        <v>0</v>
      </c>
      <c r="AD4" s="452">
        <f>'HR Track 3 TSA-THA'!AD151</f>
        <v>0</v>
      </c>
      <c r="AE4" s="452">
        <f>'HR Track 3 TSA-THA'!AE151</f>
        <v>0</v>
      </c>
      <c r="AF4" s="452">
        <f>'HR Track 3 TSA-THA'!AF151</f>
        <v>0</v>
      </c>
      <c r="AG4" s="451">
        <f>'HR Track 3 TSA-THA'!AG151</f>
        <v>0</v>
      </c>
      <c r="AH4" s="452">
        <f>'HR Track 3 TSA-THA'!AH151</f>
        <v>0</v>
      </c>
      <c r="AI4" s="452">
        <f>'HR Track 3 TSA-THA'!AI151</f>
        <v>0</v>
      </c>
      <c r="AJ4" s="452">
        <f>'HR Track 3 TSA-THA'!AJ151</f>
        <v>0</v>
      </c>
      <c r="AK4" s="452">
        <f>'HR Track 3 TSA-THA'!AK151</f>
        <v>0</v>
      </c>
      <c r="AL4" s="452">
        <f>'HR Track 3 TSA-THA'!AL151</f>
        <v>0</v>
      </c>
      <c r="AM4" s="452">
        <f>'HR Track 3 TSA-THA'!AM151</f>
        <v>0</v>
      </c>
      <c r="AN4" s="500">
        <f>'HR Track 3 TSA-THA'!AN151</f>
        <v>0</v>
      </c>
      <c r="AO4" s="452">
        <f>'HR Track 3 TSA-THA'!AO151</f>
        <v>0</v>
      </c>
      <c r="AP4" s="452">
        <f>'HR Track 3 TSA-THA'!AP151</f>
        <v>0</v>
      </c>
      <c r="AQ4" s="452">
        <f>'HR Track 3 TSA-THA'!AQ151</f>
        <v>0.30462017823255821</v>
      </c>
      <c r="AR4" s="452">
        <f>'HR Track 3 TSA-THA'!AR151</f>
        <v>0</v>
      </c>
      <c r="AS4" s="452">
        <f>'HR Track 3 TSA-THA'!AS151</f>
        <v>0</v>
      </c>
      <c r="AT4" s="452">
        <f>'HR Track 3 TSA-THA'!AT151</f>
        <v>0</v>
      </c>
      <c r="AU4" s="452">
        <f>'HR Track 3 TSA-THA'!AU151</f>
        <v>0</v>
      </c>
      <c r="AV4" s="452">
        <f>'HR Track 3 TSA-THA'!AV151</f>
        <v>0</v>
      </c>
      <c r="AW4" s="452" t="str">
        <f>'HR Track 3 TSA-THA'!AW151</f>
        <v>DW6965</v>
      </c>
      <c r="AX4" s="452">
        <f>'HR Track 3 TSA-THA'!AX151</f>
        <v>0</v>
      </c>
      <c r="AY4" s="500">
        <f>'HR Track 3 TSA-THA'!AY151</f>
        <v>0</v>
      </c>
      <c r="AZ4" s="500">
        <f>'HR Track 3 TSA-THA'!AZ151</f>
        <v>0</v>
      </c>
      <c r="BA4" s="1333" t="str">
        <f>'HR Track 3 TSA-THA'!BA151</f>
        <v>ü</v>
      </c>
      <c r="BB4" s="452">
        <f>'HR Track 3 TSA-THA'!BB151</f>
        <v>0</v>
      </c>
      <c r="BC4" s="1334">
        <f>'HR Track 3 TSA-THA'!BC151</f>
        <v>0</v>
      </c>
      <c r="BD4" s="1335" t="str">
        <f>'HR Track 3 TSA-THA'!BD151</f>
        <v>Ejecutado</v>
      </c>
      <c r="BE4" s="1335">
        <f>'HR Track 3 TSA-THA'!BE151</f>
        <v>0</v>
      </c>
      <c r="BF4" s="1335">
        <f>'HR Track 3 TSA-THA'!BF151</f>
        <v>0</v>
      </c>
      <c r="BG4" s="1335">
        <f>'HR Track 3 TSA-THA'!BG151</f>
        <v>0</v>
      </c>
    </row>
    <row r="5" spans="1:59" ht="15.75" customHeight="1">
      <c r="A5" s="501">
        <f>'HR Track 3 TSA-THA'!A152</f>
        <v>0</v>
      </c>
      <c r="B5" s="716" t="str">
        <f>'HR Track 3 TSA-THA'!B152</f>
        <v>96-3.13</v>
      </c>
      <c r="C5" s="451">
        <f>'HR Track 3 TSA-THA'!C152</f>
        <v>96534.450000000026</v>
      </c>
      <c r="D5" s="453">
        <f>'HR Track 3 TSA-THA'!D152</f>
        <v>0</v>
      </c>
      <c r="E5" s="452">
        <f>'HR Track 3 TSA-THA'!E152</f>
        <v>0</v>
      </c>
      <c r="F5" s="453">
        <f>'HR Track 3 TSA-THA'!F152</f>
        <v>0</v>
      </c>
      <c r="G5" s="500">
        <f>'HR Track 3 TSA-THA'!G152</f>
        <v>0</v>
      </c>
      <c r="H5" s="453" t="str">
        <f>'HR Track 3 TSA-THA'!H152</f>
        <v>S/A A/S-Diag</v>
      </c>
      <c r="I5" s="501" t="str">
        <f>'HR Track 3 TSA-THA'!I152</f>
        <v>CP/TX-P/1100</v>
      </c>
      <c r="J5" s="583">
        <f>'HR Track 3 TSA-THA'!J152</f>
        <v>0</v>
      </c>
      <c r="K5" s="452">
        <f>'HR Track 3 TSA-THA'!K152</f>
        <v>0</v>
      </c>
      <c r="L5" s="452" t="str">
        <f>'HR Track 3 TSA-THA'!L152</f>
        <v>HEB-280L</v>
      </c>
      <c r="M5" s="452" t="str">
        <f>'HR Track 3 TSA-THA'!M152</f>
        <v>WT5</v>
      </c>
      <c r="N5" s="501" t="str">
        <f>'HR Track 3 TSA-THA'!N152</f>
        <v>EMT-T</v>
      </c>
      <c r="O5" s="501" t="str">
        <f>'HR Track 3 TSA-THA'!O152</f>
        <v>EMT-1</v>
      </c>
      <c r="P5" s="501">
        <f>'HR Track 3 TSA-THA'!P152</f>
        <v>0</v>
      </c>
      <c r="Q5" s="452">
        <f>'HR Track 3 TSA-THA'!Q152</f>
        <v>0</v>
      </c>
      <c r="R5" s="452">
        <f>'HR Track 3 TSA-THA'!R152</f>
        <v>0</v>
      </c>
      <c r="S5" s="500">
        <f>'HR Track 3 TSA-THA'!S152</f>
        <v>0</v>
      </c>
      <c r="T5" s="452">
        <f>'HR Track 3 TSA-THA'!T152</f>
        <v>50</v>
      </c>
      <c r="U5" s="452">
        <f>'HR Track 3 TSA-THA'!U152</f>
        <v>-30</v>
      </c>
      <c r="V5" s="452">
        <f>'HR Track 3 TSA-THA'!V152</f>
        <v>0</v>
      </c>
      <c r="W5" s="452">
        <f>'HR Track 3 TSA-THA'!W152</f>
        <v>1.4</v>
      </c>
      <c r="X5" s="452">
        <f>'HR Track 3 TSA-THA'!X152</f>
        <v>1.8</v>
      </c>
      <c r="Y5" s="452">
        <f>'HR Track 3 TSA-THA'!Y152</f>
        <v>0</v>
      </c>
      <c r="Z5" s="452">
        <f>'HR Track 3 TSA-THA'!Z152</f>
        <v>0.6</v>
      </c>
      <c r="AA5" s="452">
        <f>'HR Track 3 TSA-THA'!AA152</f>
        <v>0</v>
      </c>
      <c r="AB5" s="452">
        <f>'HR Track 3 TSA-THA'!AB152</f>
        <v>0</v>
      </c>
      <c r="AC5" s="452" t="str">
        <f>'HR Track 3 TSA-THA'!AC152</f>
        <v>PHQ-1150</v>
      </c>
      <c r="AD5" s="452">
        <f>'HR Track 3 TSA-THA'!AD152</f>
        <v>0</v>
      </c>
      <c r="AE5" s="452">
        <f>'HR Track 3 TSA-THA'!AE152</f>
        <v>0</v>
      </c>
      <c r="AF5" s="452">
        <f>'HR Track 3 TSA-THA'!AF152</f>
        <v>4200</v>
      </c>
      <c r="AG5" s="451">
        <f>'HR Track 3 TSA-THA'!AG152</f>
        <v>96534</v>
      </c>
      <c r="AH5" s="452">
        <f>'HR Track 3 TSA-THA'!AH152</f>
        <v>3133</v>
      </c>
      <c r="AI5" s="452">
        <f>'HR Track 3 TSA-THA'!AI152</f>
        <v>-1040</v>
      </c>
      <c r="AJ5" s="452">
        <f>'HR Track 3 TSA-THA'!AJ152</f>
        <v>0</v>
      </c>
      <c r="AK5" s="452">
        <f>'HR Track 3 TSA-THA'!AK152</f>
        <v>0</v>
      </c>
      <c r="AL5" s="452" t="str">
        <f>'HR Track 3 TSA-THA'!AL152</f>
        <v>PR1B</v>
      </c>
      <c r="AM5" s="452" t="str">
        <f>'HR Track 3 TSA-THA'!AM152</f>
        <v>RW2</v>
      </c>
      <c r="AN5" s="500">
        <f>'HR Track 3 TSA-THA'!AN152</f>
        <v>5.5</v>
      </c>
      <c r="AO5" s="452">
        <f>'HR Track 3 TSA-THA'!AO152</f>
        <v>0</v>
      </c>
      <c r="AP5" s="452">
        <f>'HR Track 3 TSA-THA'!AP152</f>
        <v>0</v>
      </c>
      <c r="AQ5" s="452">
        <f>'HR Track 3 TSA-THA'!AQ152</f>
        <v>0</v>
      </c>
      <c r="AR5" s="452">
        <f>'HR Track 3 TSA-THA'!AR152</f>
        <v>0</v>
      </c>
      <c r="AS5" s="452">
        <f>'HR Track 3 TSA-THA'!AS152</f>
        <v>0</v>
      </c>
      <c r="AT5" s="452">
        <f>'HR Track 3 TSA-THA'!AT152</f>
        <v>-5.9499232086957399</v>
      </c>
      <c r="AU5" s="452">
        <f>'HR Track 3 TSA-THA'!AU152</f>
        <v>0</v>
      </c>
      <c r="AV5" s="452">
        <f>'HR Track 3 TSA-THA'!AV152</f>
        <v>0</v>
      </c>
      <c r="AW5" s="452" t="str">
        <f>'HR Track 3 TSA-THA'!AW152</f>
        <v>DW6930</v>
      </c>
      <c r="AX5" s="452">
        <f>'HR Track 3 TSA-THA'!AX152</f>
        <v>0</v>
      </c>
      <c r="AY5" s="500">
        <f>'HR Track 3 TSA-THA'!AY152</f>
        <v>0</v>
      </c>
      <c r="AZ5" s="500">
        <f>'HR Track 3 TSA-THA'!AZ152</f>
        <v>0</v>
      </c>
      <c r="BA5" s="1333" t="str">
        <f>'HR Track 3 TSA-THA'!BA152</f>
        <v>ü</v>
      </c>
      <c r="BB5" s="452" t="str">
        <f>'HR Track 3 TSA-THA'!BB152</f>
        <v>App.8-V08F-P10.3</v>
      </c>
      <c r="BC5" s="1334">
        <f>'HR Track 3 TSA-THA'!BC152</f>
        <v>0</v>
      </c>
      <c r="BD5" s="1335" t="str">
        <f>'HR Track 3 TSA-THA'!BD152</f>
        <v>Ejecutado</v>
      </c>
      <c r="BE5" s="1335" t="str">
        <f>'HR Track 3 TSA-THA'!BE152</f>
        <v>Ejecutado</v>
      </c>
      <c r="BF5" s="1335" t="str">
        <f>'HR Track 3 TSA-THA'!BF152</f>
        <v>Ejecutado</v>
      </c>
      <c r="BG5" s="1335">
        <f>'HR Track 3 TSA-THA'!BG152</f>
        <v>43570</v>
      </c>
    </row>
    <row r="6" spans="1:59" ht="15.75" customHeight="1">
      <c r="A6" s="501">
        <f>'HR Track 3 TSA-THA'!A153</f>
        <v>0</v>
      </c>
      <c r="B6" s="716">
        <f>'HR Track 3 TSA-THA'!B153</f>
        <v>0</v>
      </c>
      <c r="C6" s="451">
        <f>'HR Track 3 TSA-THA'!C153</f>
        <v>0</v>
      </c>
      <c r="D6" s="453">
        <f>'HR Track 3 TSA-THA'!D153</f>
        <v>0</v>
      </c>
      <c r="E6" s="452">
        <f>'HR Track 3 TSA-THA'!E153</f>
        <v>0</v>
      </c>
      <c r="F6" s="453">
        <f>'HR Track 3 TSA-THA'!F153</f>
        <v>0</v>
      </c>
      <c r="G6" s="500">
        <f>'HR Track 3 TSA-THA'!G153</f>
        <v>33</v>
      </c>
      <c r="H6" s="453">
        <f>'HR Track 3 TSA-THA'!H153</f>
        <v>0</v>
      </c>
      <c r="I6" s="501">
        <f>'HR Track 3 TSA-THA'!I153</f>
        <v>360</v>
      </c>
      <c r="J6" s="583">
        <f>'HR Track 3 TSA-THA'!J153</f>
        <v>96559.950000000026</v>
      </c>
      <c r="K6" s="452" t="str">
        <f>'HR Track 3 TSA-THA'!K153</f>
        <v>AnMC/WT</v>
      </c>
      <c r="L6" s="452">
        <f>'HR Track 3 TSA-THA'!L153</f>
        <v>0</v>
      </c>
      <c r="M6" s="452">
        <f>'HR Track 3 TSA-THA'!M153</f>
        <v>0</v>
      </c>
      <c r="N6" s="501">
        <f>'HR Track 3 TSA-THA'!N153</f>
        <v>0</v>
      </c>
      <c r="O6" s="501">
        <f>'HR Track 3 TSA-THA'!O153</f>
        <v>0</v>
      </c>
      <c r="P6" s="501">
        <f>'HR Track 3 TSA-THA'!P153</f>
        <v>0</v>
      </c>
      <c r="Q6" s="452">
        <f>'HR Track 3 TSA-THA'!Q153</f>
        <v>0</v>
      </c>
      <c r="R6" s="452">
        <f>'HR Track 3 TSA-THA'!R153</f>
        <v>0</v>
      </c>
      <c r="S6" s="500">
        <f>'HR Track 3 TSA-THA'!S153</f>
        <v>33</v>
      </c>
      <c r="T6" s="452">
        <f>'HR Track 3 TSA-THA'!T153</f>
        <v>0</v>
      </c>
      <c r="U6" s="452">
        <f>'HR Track 3 TSA-THA'!U153</f>
        <v>0</v>
      </c>
      <c r="V6" s="452">
        <f>'HR Track 3 TSA-THA'!V153</f>
        <v>0</v>
      </c>
      <c r="W6" s="452">
        <f>'HR Track 3 TSA-THA'!W153</f>
        <v>0</v>
      </c>
      <c r="X6" s="452">
        <f>'HR Track 3 TSA-THA'!X153</f>
        <v>0</v>
      </c>
      <c r="Y6" s="452">
        <f>'HR Track 3 TSA-THA'!Y153</f>
        <v>0</v>
      </c>
      <c r="Z6" s="452">
        <f>'HR Track 3 TSA-THA'!Z153</f>
        <v>0</v>
      </c>
      <c r="AA6" s="452">
        <f>'HR Track 3 TSA-THA'!AA153</f>
        <v>0</v>
      </c>
      <c r="AB6" s="452">
        <f>'HR Track 3 TSA-THA'!AB153</f>
        <v>0</v>
      </c>
      <c r="AC6" s="452">
        <f>'HR Track 3 TSA-THA'!AC153</f>
        <v>0</v>
      </c>
      <c r="AD6" s="452">
        <f>'HR Track 3 TSA-THA'!AD153</f>
        <v>0</v>
      </c>
      <c r="AE6" s="452">
        <f>'HR Track 3 TSA-THA'!AE153</f>
        <v>0</v>
      </c>
      <c r="AF6" s="452">
        <f>'HR Track 3 TSA-THA'!AF153</f>
        <v>0</v>
      </c>
      <c r="AG6" s="451">
        <f>'HR Track 3 TSA-THA'!AG153</f>
        <v>0</v>
      </c>
      <c r="AH6" s="452">
        <f>'HR Track 3 TSA-THA'!AH153</f>
        <v>0</v>
      </c>
      <c r="AI6" s="452">
        <f>'HR Track 3 TSA-THA'!AI153</f>
        <v>0</v>
      </c>
      <c r="AJ6" s="452">
        <f>'HR Track 3 TSA-THA'!AJ153</f>
        <v>0</v>
      </c>
      <c r="AK6" s="452">
        <f>'HR Track 3 TSA-THA'!AK153</f>
        <v>0</v>
      </c>
      <c r="AL6" s="452">
        <f>'HR Track 3 TSA-THA'!AL153</f>
        <v>0</v>
      </c>
      <c r="AM6" s="452">
        <f>'HR Track 3 TSA-THA'!AM153</f>
        <v>0</v>
      </c>
      <c r="AN6" s="500">
        <f>'HR Track 3 TSA-THA'!AN153</f>
        <v>0</v>
      </c>
      <c r="AO6" s="452">
        <f>'HR Track 3 TSA-THA'!AO153</f>
        <v>0</v>
      </c>
      <c r="AP6" s="452">
        <f>'HR Track 3 TSA-THA'!AP153</f>
        <v>0</v>
      </c>
      <c r="AQ6" s="452">
        <f>'HR Track 3 TSA-THA'!AQ153</f>
        <v>0.3</v>
      </c>
      <c r="AR6" s="452">
        <f>'HR Track 3 TSA-THA'!AR153</f>
        <v>0</v>
      </c>
      <c r="AS6" s="452">
        <f>'HR Track 3 TSA-THA'!AS153</f>
        <v>0</v>
      </c>
      <c r="AT6" s="452">
        <f>'HR Track 3 TSA-THA'!AT153</f>
        <v>0</v>
      </c>
      <c r="AU6" s="452">
        <f>'HR Track 3 TSA-THA'!AU153</f>
        <v>0</v>
      </c>
      <c r="AV6" s="452">
        <f>'HR Track 3 TSA-THA'!AV153</f>
        <v>0</v>
      </c>
      <c r="AW6" s="452" t="str">
        <f>'HR Track 3 TSA-THA'!AW153</f>
        <v>DW6965</v>
      </c>
      <c r="AX6" s="452">
        <f>'HR Track 3 TSA-THA'!AX153</f>
        <v>0</v>
      </c>
      <c r="AY6" s="500">
        <f>'HR Track 3 TSA-THA'!AY153</f>
        <v>0</v>
      </c>
      <c r="AZ6" s="500">
        <f>'HR Track 3 TSA-THA'!AZ153</f>
        <v>0</v>
      </c>
      <c r="BA6" s="1333" t="str">
        <f>'HR Track 3 TSA-THA'!BA153</f>
        <v>ü</v>
      </c>
      <c r="BB6" s="452">
        <f>'HR Track 3 TSA-THA'!BB153</f>
        <v>0</v>
      </c>
      <c r="BC6" s="1334">
        <f>'HR Track 3 TSA-THA'!BC153</f>
        <v>0</v>
      </c>
      <c r="BD6" s="1335" t="str">
        <f>'HR Track 3 TSA-THA'!BD153</f>
        <v>Ejecutado</v>
      </c>
      <c r="BE6" s="1335">
        <f>'HR Track 3 TSA-THA'!BE153</f>
        <v>0</v>
      </c>
      <c r="BF6" s="1335">
        <f>'HR Track 3 TSA-THA'!BF153</f>
        <v>0</v>
      </c>
      <c r="BG6" s="1335">
        <f>'HR Track 3 TSA-THA'!BG153</f>
        <v>0</v>
      </c>
    </row>
    <row r="7" spans="1:59" ht="15.75" customHeight="1">
      <c r="A7" s="501">
        <f>'HR Track 3 TSA-THA'!A154</f>
        <v>0</v>
      </c>
      <c r="B7" s="716" t="str">
        <f>'HR Track 3 TSA-THA'!B154</f>
        <v>96-3.14</v>
      </c>
      <c r="C7" s="451">
        <f>'HR Track 3 TSA-THA'!C154</f>
        <v>96567.450000000026</v>
      </c>
      <c r="D7" s="453">
        <f>'HR Track 3 TSA-THA'!D154</f>
        <v>0</v>
      </c>
      <c r="E7" s="452">
        <f>'HR Track 3 TSA-THA'!E154</f>
        <v>0</v>
      </c>
      <c r="F7" s="453">
        <f>'HR Track 3 TSA-THA'!F154</f>
        <v>0</v>
      </c>
      <c r="G7" s="500">
        <f>'HR Track 3 TSA-THA'!G154</f>
        <v>0</v>
      </c>
      <c r="H7" s="453" t="str">
        <f>'HR Track 3 TSA-THA'!H154</f>
        <v>S/A S/A A/S-Diag</v>
      </c>
      <c r="I7" s="501" t="str">
        <f>'HR Track 3 TSA-THA'!I154</f>
        <v>CP/TX-P/1100</v>
      </c>
      <c r="J7" s="583">
        <f>'HR Track 3 TSA-THA'!J154</f>
        <v>0</v>
      </c>
      <c r="K7" s="452">
        <f>'HR Track 3 TSA-THA'!K154</f>
        <v>0</v>
      </c>
      <c r="L7" s="452" t="str">
        <f>'HR Track 3 TSA-THA'!L154</f>
        <v>HEB-280L</v>
      </c>
      <c r="M7" s="452" t="str">
        <f>'HR Track 3 TSA-THA'!M154</f>
        <v>WT5</v>
      </c>
      <c r="N7" s="501" t="str">
        <f>'HR Track 3 TSA-THA'!N154</f>
        <v>EMT-T</v>
      </c>
      <c r="O7" s="501" t="str">
        <f>'HR Track 3 TSA-THA'!O154</f>
        <v>EMT-2</v>
      </c>
      <c r="P7" s="501" t="str">
        <f>'HR Track 3 TSA-THA'!P154</f>
        <v>EMT-T</v>
      </c>
      <c r="Q7" s="452">
        <f>'HR Track 3 TSA-THA'!Q154</f>
        <v>10</v>
      </c>
      <c r="R7" s="452">
        <f>'HR Track 3 TSA-THA'!R154</f>
        <v>0</v>
      </c>
      <c r="S7" s="500">
        <f>'HR Track 3 TSA-THA'!S154</f>
        <v>0</v>
      </c>
      <c r="T7" s="452">
        <f>'HR Track 3 TSA-THA'!T154</f>
        <v>45</v>
      </c>
      <c r="U7" s="452">
        <f>'HR Track 3 TSA-THA'!U154</f>
        <v>30</v>
      </c>
      <c r="V7" s="452">
        <f>'HR Track 3 TSA-THA'!V154</f>
        <v>60</v>
      </c>
      <c r="W7" s="452">
        <f>'HR Track 3 TSA-THA'!W154</f>
        <v>1.8</v>
      </c>
      <c r="X7" s="452">
        <f>'HR Track 3 TSA-THA'!X154</f>
        <v>2.2999999999999998</v>
      </c>
      <c r="Y7" s="452">
        <f>'HR Track 3 TSA-THA'!Y154</f>
        <v>1.4</v>
      </c>
      <c r="Z7" s="452">
        <f>'HR Track 3 TSA-THA'!Z154</f>
        <v>0.32</v>
      </c>
      <c r="AA7" s="452">
        <f>'HR Track 3 TSA-THA'!AA154</f>
        <v>0</v>
      </c>
      <c r="AB7" s="452">
        <f>'HR Track 3 TSA-THA'!AB154</f>
        <v>0.6</v>
      </c>
      <c r="AC7" s="452" t="str">
        <f>'HR Track 3 TSA-THA'!AC154</f>
        <v>PHQ-1150</v>
      </c>
      <c r="AD7" s="452">
        <f>'HR Track 3 TSA-THA'!AD154</f>
        <v>0</v>
      </c>
      <c r="AE7" s="452">
        <f>'HR Track 3 TSA-THA'!AE154</f>
        <v>0</v>
      </c>
      <c r="AF7" s="452">
        <f>'HR Track 3 TSA-THA'!AF154</f>
        <v>4300</v>
      </c>
      <c r="AG7" s="451">
        <f>'HR Track 3 TSA-THA'!AG154</f>
        <v>96567</v>
      </c>
      <c r="AH7" s="452">
        <f>'HR Track 3 TSA-THA'!AH154</f>
        <v>3003</v>
      </c>
      <c r="AI7" s="452">
        <f>'HR Track 3 TSA-THA'!AI154</f>
        <v>-880</v>
      </c>
      <c r="AJ7" s="452">
        <f>'HR Track 3 TSA-THA'!AJ154</f>
        <v>0</v>
      </c>
      <c r="AK7" s="452">
        <f>'HR Track 3 TSA-THA'!AK154</f>
        <v>0</v>
      </c>
      <c r="AL7" s="452" t="str">
        <f>'HR Track 3 TSA-THA'!AL154</f>
        <v>PR1B</v>
      </c>
      <c r="AM7" s="452" t="str">
        <f>'HR Track 3 TSA-THA'!AM154</f>
        <v>RW2</v>
      </c>
      <c r="AN7" s="500">
        <f>'HR Track 3 TSA-THA'!AN154</f>
        <v>5.5</v>
      </c>
      <c r="AO7" s="452">
        <f>'HR Track 3 TSA-THA'!AO154</f>
        <v>0</v>
      </c>
      <c r="AP7" s="452">
        <f>'HR Track 3 TSA-THA'!AP154</f>
        <v>0</v>
      </c>
      <c r="AQ7" s="452">
        <f>'HR Track 3 TSA-THA'!AQ154</f>
        <v>0</v>
      </c>
      <c r="AR7" s="452">
        <f>'HR Track 3 TSA-THA'!AR154</f>
        <v>0</v>
      </c>
      <c r="AS7" s="452">
        <f>'HR Track 3 TSA-THA'!AS154</f>
        <v>0</v>
      </c>
      <c r="AT7" s="452">
        <f>'HR Track 3 TSA-THA'!AT154</f>
        <v>5.5255987803618423</v>
      </c>
      <c r="AU7" s="452">
        <f>'HR Track 3 TSA-THA'!AU154</f>
        <v>0</v>
      </c>
      <c r="AV7" s="452">
        <f>'HR Track 3 TSA-THA'!AV154</f>
        <v>0</v>
      </c>
      <c r="AW7" s="452" t="str">
        <f>'HR Track 3 TSA-THA'!AW154</f>
        <v>DW6930</v>
      </c>
      <c r="AX7" s="452">
        <f>'HR Track 3 TSA-THA'!AX154</f>
        <v>0</v>
      </c>
      <c r="AY7" s="500">
        <f>'HR Track 3 TSA-THA'!AY154</f>
        <v>0</v>
      </c>
      <c r="AZ7" s="500">
        <f>'HR Track 3 TSA-THA'!AZ154</f>
        <v>0</v>
      </c>
      <c r="BA7" s="1333" t="str">
        <f>'HR Track 3 TSA-THA'!BA154</f>
        <v>ü</v>
      </c>
      <c r="BB7" s="452" t="str">
        <f>'HR Track 3 TSA-THA'!BB154</f>
        <v>App.8-V08F-P10.3</v>
      </c>
      <c r="BC7" s="1334">
        <f>'HR Track 3 TSA-THA'!BC154</f>
        <v>0</v>
      </c>
      <c r="BD7" s="1335" t="str">
        <f>'HR Track 3 TSA-THA'!BD154</f>
        <v>Ejecutado</v>
      </c>
      <c r="BE7" s="1335" t="str">
        <f>'HR Track 3 TSA-THA'!BE154</f>
        <v>Ejecutado</v>
      </c>
      <c r="BF7" s="1335" t="str">
        <f>'HR Track 3 TSA-THA'!BF154</f>
        <v>Ejecutado</v>
      </c>
      <c r="BG7" s="1335">
        <f>'HR Track 3 TSA-THA'!BG154</f>
        <v>43570</v>
      </c>
    </row>
    <row r="8" spans="1:59" ht="15.75" customHeight="1">
      <c r="A8" s="501" t="str">
        <f>'HR Track 3 TSA-THA'!A155</f>
        <v>Overhead Cable</v>
      </c>
      <c r="B8" s="716">
        <f>'HR Track 3 TSA-THA'!B155</f>
        <v>0</v>
      </c>
      <c r="C8" s="451">
        <f>'HR Track 3 TSA-THA'!C155</f>
        <v>0</v>
      </c>
      <c r="D8" s="453">
        <f>'HR Track 3 TSA-THA'!D155</f>
        <v>0</v>
      </c>
      <c r="E8" s="452">
        <f>'HR Track 3 TSA-THA'!E155</f>
        <v>0</v>
      </c>
      <c r="F8" s="453">
        <f>'HR Track 3 TSA-THA'!F155</f>
        <v>0</v>
      </c>
      <c r="G8" s="500">
        <f>'HR Track 3 TSA-THA'!G155</f>
        <v>36.5</v>
      </c>
      <c r="H8" s="453">
        <f>'HR Track 3 TSA-THA'!H155</f>
        <v>0</v>
      </c>
      <c r="I8" s="501">
        <f>'HR Track 3 TSA-THA'!I155</f>
        <v>330</v>
      </c>
      <c r="J8" s="583">
        <f>'HR Track 3 TSA-THA'!J155</f>
        <v>0</v>
      </c>
      <c r="K8" s="452">
        <f>'HR Track 3 TSA-THA'!K155</f>
        <v>0</v>
      </c>
      <c r="L8" s="452">
        <f>'HR Track 3 TSA-THA'!L155</f>
        <v>0</v>
      </c>
      <c r="M8" s="452">
        <f>'HR Track 3 TSA-THA'!M155</f>
        <v>0</v>
      </c>
      <c r="N8" s="501">
        <f>'HR Track 3 TSA-THA'!N155</f>
        <v>0</v>
      </c>
      <c r="O8" s="501">
        <f>'HR Track 3 TSA-THA'!O155</f>
        <v>0</v>
      </c>
      <c r="P8" s="501">
        <f>'HR Track 3 TSA-THA'!P155</f>
        <v>0</v>
      </c>
      <c r="Q8" s="452">
        <f>'HR Track 3 TSA-THA'!Q155</f>
        <v>0</v>
      </c>
      <c r="R8" s="452">
        <f>'HR Track 3 TSA-THA'!R155</f>
        <v>0</v>
      </c>
      <c r="S8" s="500">
        <f>'HR Track 3 TSA-THA'!S155</f>
        <v>37</v>
      </c>
      <c r="T8" s="452">
        <f>'HR Track 3 TSA-THA'!T155</f>
        <v>0</v>
      </c>
      <c r="U8" s="452">
        <f>'HR Track 3 TSA-THA'!U155</f>
        <v>0</v>
      </c>
      <c r="V8" s="452">
        <f>'HR Track 3 TSA-THA'!V155</f>
        <v>0</v>
      </c>
      <c r="W8" s="452">
        <f>'HR Track 3 TSA-THA'!W155</f>
        <v>0</v>
      </c>
      <c r="X8" s="452">
        <f>'HR Track 3 TSA-THA'!X155</f>
        <v>0</v>
      </c>
      <c r="Y8" s="452">
        <f>'HR Track 3 TSA-THA'!Y155</f>
        <v>0</v>
      </c>
      <c r="Z8" s="452">
        <f>'HR Track 3 TSA-THA'!Z155</f>
        <v>0</v>
      </c>
      <c r="AA8" s="452">
        <f>'HR Track 3 TSA-THA'!AA155</f>
        <v>0</v>
      </c>
      <c r="AB8" s="452">
        <f>'HR Track 3 TSA-THA'!AB155</f>
        <v>0</v>
      </c>
      <c r="AC8" s="452">
        <f>'HR Track 3 TSA-THA'!AC155</f>
        <v>0</v>
      </c>
      <c r="AD8" s="452">
        <f>'HR Track 3 TSA-THA'!AD155</f>
        <v>0</v>
      </c>
      <c r="AE8" s="452">
        <f>'HR Track 3 TSA-THA'!AE155</f>
        <v>0</v>
      </c>
      <c r="AF8" s="452">
        <f>'HR Track 3 TSA-THA'!AF155</f>
        <v>0</v>
      </c>
      <c r="AG8" s="451">
        <f>'HR Track 3 TSA-THA'!AG155</f>
        <v>0</v>
      </c>
      <c r="AH8" s="452">
        <f>'HR Track 3 TSA-THA'!AH155</f>
        <v>0</v>
      </c>
      <c r="AI8" s="452">
        <f>'HR Track 3 TSA-THA'!AI155</f>
        <v>0</v>
      </c>
      <c r="AJ8" s="452">
        <f>'HR Track 3 TSA-THA'!AJ155</f>
        <v>0</v>
      </c>
      <c r="AK8" s="452">
        <f>'HR Track 3 TSA-THA'!AK155</f>
        <v>0</v>
      </c>
      <c r="AL8" s="452">
        <f>'HR Track 3 TSA-THA'!AL155</f>
        <v>0</v>
      </c>
      <c r="AM8" s="452">
        <f>'HR Track 3 TSA-THA'!AM155</f>
        <v>0</v>
      </c>
      <c r="AN8" s="500">
        <f>'HR Track 3 TSA-THA'!AN155</f>
        <v>0</v>
      </c>
      <c r="AO8" s="452">
        <f>'HR Track 3 TSA-THA'!AO155</f>
        <v>0</v>
      </c>
      <c r="AP8" s="452">
        <f>'HR Track 3 TSA-THA'!AP155</f>
        <v>0</v>
      </c>
      <c r="AQ8" s="452">
        <f>'HR Track 3 TSA-THA'!AQ155</f>
        <v>0.30000000000000304</v>
      </c>
      <c r="AR8" s="452">
        <f>'HR Track 3 TSA-THA'!AR155</f>
        <v>0</v>
      </c>
      <c r="AS8" s="452">
        <f>'HR Track 3 TSA-THA'!AS155</f>
        <v>0</v>
      </c>
      <c r="AT8" s="452">
        <f>'HR Track 3 TSA-THA'!AT155</f>
        <v>0</v>
      </c>
      <c r="AU8" s="452">
        <f>'HR Track 3 TSA-THA'!AU155</f>
        <v>0</v>
      </c>
      <c r="AV8" s="452">
        <f>'HR Track 3 TSA-THA'!AV155</f>
        <v>0</v>
      </c>
      <c r="AW8" s="452">
        <f>'HR Track 3 TSA-THA'!AW155</f>
        <v>0</v>
      </c>
      <c r="AX8" s="452">
        <f>'HR Track 3 TSA-THA'!AX155</f>
        <v>0</v>
      </c>
      <c r="AY8" s="500">
        <f>'HR Track 3 TSA-THA'!AY155</f>
        <v>0</v>
      </c>
      <c r="AZ8" s="500">
        <f>'HR Track 3 TSA-THA'!AZ155</f>
        <v>0</v>
      </c>
      <c r="BA8" s="1333">
        <f>'HR Track 3 TSA-THA'!BA155</f>
        <v>0</v>
      </c>
      <c r="BB8" s="452">
        <f>'HR Track 3 TSA-THA'!BB155</f>
        <v>0</v>
      </c>
      <c r="BC8" s="1334">
        <f>'HR Track 3 TSA-THA'!BC155</f>
        <v>0</v>
      </c>
      <c r="BD8" s="1335">
        <f>'HR Track 3 TSA-THA'!BD155</f>
        <v>0</v>
      </c>
      <c r="BE8" s="1335">
        <f>'HR Track 3 TSA-THA'!BE155</f>
        <v>0</v>
      </c>
      <c r="BF8" s="1335">
        <f>'HR Track 3 TSA-THA'!BF155</f>
        <v>0</v>
      </c>
      <c r="BG8" s="1335">
        <f>'HR Track 3 TSA-THA'!BG155</f>
        <v>0</v>
      </c>
    </row>
    <row r="9" spans="1:59" ht="15.75" customHeight="1">
      <c r="A9" s="501">
        <f>'HR Track 3 TSA-THA'!A156</f>
        <v>0</v>
      </c>
      <c r="B9" s="716" t="str">
        <f>'HR Track 3 TSA-THA'!B156</f>
        <v>96-3.15</v>
      </c>
      <c r="C9" s="451">
        <f>'HR Track 3 TSA-THA'!C156</f>
        <v>96603.950000000026</v>
      </c>
      <c r="D9" s="453">
        <f>'HR Track 3 TSA-THA'!D156</f>
        <v>0</v>
      </c>
      <c r="E9" s="452">
        <f>'HR Track 3 TSA-THA'!E156</f>
        <v>0</v>
      </c>
      <c r="F9" s="453">
        <f>'HR Track 3 TSA-THA'!F156</f>
        <v>0</v>
      </c>
      <c r="G9" s="500">
        <f>'HR Track 3 TSA-THA'!G156</f>
        <v>0</v>
      </c>
      <c r="H9" s="453" t="str">
        <f>'HR Track 3 TSA-THA'!H156</f>
        <v>P65(CS) S/A A/S</v>
      </c>
      <c r="I9" s="501" t="str">
        <f>'HR Track 3 TSA-THA'!I156</f>
        <v>CP/TX-P/1100</v>
      </c>
      <c r="J9" s="583">
        <f>'HR Track 3 TSA-THA'!J156</f>
        <v>0</v>
      </c>
      <c r="K9" s="452">
        <f>'HR Track 3 TSA-THA'!K156</f>
        <v>0</v>
      </c>
      <c r="L9" s="452" t="str">
        <f>'HR Track 3 TSA-THA'!L156</f>
        <v>HEB-280L</v>
      </c>
      <c r="M9" s="452" t="str">
        <f>'HR Track 3 TSA-THA'!M156</f>
        <v>Unique Solution</v>
      </c>
      <c r="N9" s="501" t="str">
        <f>'HR Track 3 TSA-THA'!N156</f>
        <v>EMT-T</v>
      </c>
      <c r="O9" s="501" t="str">
        <f>'HR Track 3 TSA-THA'!O156</f>
        <v>EMT-2</v>
      </c>
      <c r="P9" s="501" t="str">
        <f>'HR Track 3 TSA-THA'!P156</f>
        <v>EMT-1</v>
      </c>
      <c r="Q9" s="452">
        <f>'HR Track 3 TSA-THA'!Q156</f>
        <v>0</v>
      </c>
      <c r="R9" s="452">
        <f>'HR Track 3 TSA-THA'!R156</f>
        <v>0</v>
      </c>
      <c r="S9" s="500">
        <f>'HR Track 3 TSA-THA'!S156</f>
        <v>0</v>
      </c>
      <c r="T9" s="452">
        <f>'HR Track 3 TSA-THA'!T156</f>
        <v>60</v>
      </c>
      <c r="U9" s="452">
        <f>'HR Track 3 TSA-THA'!U156</f>
        <v>-15</v>
      </c>
      <c r="V9" s="452">
        <f>'HR Track 3 TSA-THA'!V156</f>
        <v>-30</v>
      </c>
      <c r="W9" s="452">
        <f>'HR Track 3 TSA-THA'!W156</f>
        <v>1.4</v>
      </c>
      <c r="X9" s="452">
        <f>'HR Track 3 TSA-THA'!X156</f>
        <v>1.8</v>
      </c>
      <c r="Y9" s="452">
        <f>'HR Track 3 TSA-THA'!Y156</f>
        <v>2.2999999999999998</v>
      </c>
      <c r="Z9" s="452">
        <f>'HR Track 3 TSA-THA'!Z156</f>
        <v>0.37</v>
      </c>
      <c r="AA9" s="452">
        <f>'HR Track 3 TSA-THA'!AA156</f>
        <v>0</v>
      </c>
      <c r="AB9" s="452">
        <f>'HR Track 3 TSA-THA'!AB156</f>
        <v>0</v>
      </c>
      <c r="AC9" s="452">
        <f>'HR Track 3 TSA-THA'!AC156</f>
        <v>0</v>
      </c>
      <c r="AD9" s="452" t="str">
        <f>'HR Track 3 TSA-THA'!AD156</f>
        <v>BTC-1651</v>
      </c>
      <c r="AE9" s="452" t="str">
        <f>'HR Track 3 TSA-THA'!AE156</f>
        <v>PHQ-1450</v>
      </c>
      <c r="AF9" s="452">
        <f>'HR Track 3 TSA-THA'!AF156</f>
        <v>5200</v>
      </c>
      <c r="AG9" s="451">
        <f>'HR Track 3 TSA-THA'!AG156</f>
        <v>96604</v>
      </c>
      <c r="AH9" s="452">
        <f>'HR Track 3 TSA-THA'!AH156</f>
        <v>2623</v>
      </c>
      <c r="AI9" s="452">
        <f>'HR Track 3 TSA-THA'!AI156</f>
        <v>60</v>
      </c>
      <c r="AJ9" s="452">
        <f>'HR Track 3 TSA-THA'!AJ156</f>
        <v>0</v>
      </c>
      <c r="AK9" s="452">
        <f>'HR Track 3 TSA-THA'!AK156</f>
        <v>0</v>
      </c>
      <c r="AL9" s="452" t="str">
        <f>'HR Track 3 TSA-THA'!AL156</f>
        <v>PR1B</v>
      </c>
      <c r="AM9" s="452" t="str">
        <f>'HR Track 3 TSA-THA'!AM156</f>
        <v>RW2</v>
      </c>
      <c r="AN9" s="500">
        <f>'HR Track 3 TSA-THA'!AN156</f>
        <v>5.5</v>
      </c>
      <c r="AO9" s="452">
        <f>'HR Track 3 TSA-THA'!AO156</f>
        <v>0</v>
      </c>
      <c r="AP9" s="452">
        <f>'HR Track 3 TSA-THA'!AP156</f>
        <v>0</v>
      </c>
      <c r="AQ9" s="452">
        <f>'HR Track 3 TSA-THA'!AQ156</f>
        <v>0</v>
      </c>
      <c r="AR9" s="452">
        <f>'HR Track 3 TSA-THA'!AR156</f>
        <v>0</v>
      </c>
      <c r="AS9" s="452">
        <f>'HR Track 3 TSA-THA'!AS156</f>
        <v>0</v>
      </c>
      <c r="AT9" s="452">
        <f>'HR Track 3 TSA-THA'!AT156</f>
        <v>-11.515875289564283</v>
      </c>
      <c r="AU9" s="452">
        <f>'HR Track 3 TSA-THA'!AU156</f>
        <v>0</v>
      </c>
      <c r="AV9" s="452">
        <f>'HR Track 3 TSA-THA'!AV156</f>
        <v>0</v>
      </c>
      <c r="AW9" s="452" t="str">
        <f>'HR Track 3 TSA-THA'!AW156</f>
        <v>DW6942</v>
      </c>
      <c r="AX9" s="452">
        <f>'HR Track 3 TSA-THA'!AX156</f>
        <v>0</v>
      </c>
      <c r="AY9" s="500">
        <f>'HR Track 3 TSA-THA'!AY156</f>
        <v>0</v>
      </c>
      <c r="AZ9" s="500">
        <f>'HR Track 3 TSA-THA'!AZ156</f>
        <v>0</v>
      </c>
      <c r="BA9" s="1333" t="str">
        <f>'HR Track 3 TSA-THA'!BA156</f>
        <v>ü</v>
      </c>
      <c r="BB9" s="452" t="str">
        <f>'HR Track 3 TSA-THA'!BB156</f>
        <v>App.8-V08F-P10.3</v>
      </c>
      <c r="BC9" s="1334">
        <f>'HR Track 3 TSA-THA'!BC156</f>
        <v>0</v>
      </c>
      <c r="BD9" s="1335">
        <f>'HR Track 3 TSA-THA'!BD156</f>
        <v>43561</v>
      </c>
      <c r="BE9" s="1335" t="str">
        <f>'HR Track 3 TSA-THA'!BE156</f>
        <v>Ejecutado</v>
      </c>
      <c r="BF9" s="1335" t="str">
        <f>'HR Track 3 TSA-THA'!BF156</f>
        <v>Ejecutado</v>
      </c>
      <c r="BG9" s="1335">
        <f>'HR Track 3 TSA-THA'!BG156</f>
        <v>43639</v>
      </c>
    </row>
    <row r="10" spans="1:59" ht="15.75" customHeight="1">
      <c r="A10" s="501">
        <f>'HR Track 3 TSA-THA'!A157</f>
        <v>0</v>
      </c>
      <c r="B10" s="716">
        <f>'HR Track 3 TSA-THA'!B157</f>
        <v>0</v>
      </c>
      <c r="C10" s="451">
        <f>'HR Track 3 TSA-THA'!C157</f>
        <v>0</v>
      </c>
      <c r="D10" s="453">
        <f>'HR Track 3 TSA-THA'!D157</f>
        <v>0</v>
      </c>
      <c r="E10" s="452">
        <f>'HR Track 3 TSA-THA'!E157</f>
        <v>0</v>
      </c>
      <c r="F10" s="453">
        <f>'HR Track 3 TSA-THA'!F157</f>
        <v>0</v>
      </c>
      <c r="G10" s="500">
        <f>'HR Track 3 TSA-THA'!G157</f>
        <v>24.5</v>
      </c>
      <c r="H10" s="453">
        <f>'HR Track 3 TSA-THA'!H157</f>
        <v>0</v>
      </c>
      <c r="I10" s="501">
        <f>'HR Track 3 TSA-THA'!I157</f>
        <v>0</v>
      </c>
      <c r="J10" s="583">
        <f>'HR Track 3 TSA-THA'!J157</f>
        <v>96611.450000000026</v>
      </c>
      <c r="K10" s="452" t="str">
        <f>'HR Track 3 TSA-THA'!K157</f>
        <v>AnMC/W</v>
      </c>
      <c r="L10" s="452">
        <f>'HR Track 3 TSA-THA'!L157</f>
        <v>0</v>
      </c>
      <c r="M10" s="452">
        <f>'HR Track 3 TSA-THA'!M157</f>
        <v>0</v>
      </c>
      <c r="N10" s="501">
        <f>'HR Track 3 TSA-THA'!N157</f>
        <v>0</v>
      </c>
      <c r="O10" s="501">
        <f>'HR Track 3 TSA-THA'!O157</f>
        <v>0</v>
      </c>
      <c r="P10" s="501">
        <f>'HR Track 3 TSA-THA'!P157</f>
        <v>0</v>
      </c>
      <c r="Q10" s="452">
        <f>'HR Track 3 TSA-THA'!Q157</f>
        <v>0</v>
      </c>
      <c r="R10" s="452">
        <f>'HR Track 3 TSA-THA'!R157</f>
        <v>0</v>
      </c>
      <c r="S10" s="500">
        <f>'HR Track 3 TSA-THA'!S157</f>
        <v>24.80000000000291</v>
      </c>
      <c r="T10" s="452">
        <f>'HR Track 3 TSA-THA'!T157</f>
        <v>0</v>
      </c>
      <c r="U10" s="452">
        <f>'HR Track 3 TSA-THA'!U157</f>
        <v>0</v>
      </c>
      <c r="V10" s="452">
        <f>'HR Track 3 TSA-THA'!V157</f>
        <v>0</v>
      </c>
      <c r="W10" s="452">
        <f>'HR Track 3 TSA-THA'!W157</f>
        <v>0</v>
      </c>
      <c r="X10" s="452">
        <f>'HR Track 3 TSA-THA'!X157</f>
        <v>0</v>
      </c>
      <c r="Y10" s="452">
        <f>'HR Track 3 TSA-THA'!Y157</f>
        <v>0</v>
      </c>
      <c r="Z10" s="452">
        <f>'HR Track 3 TSA-THA'!Z157</f>
        <v>0</v>
      </c>
      <c r="AA10" s="452">
        <f>'HR Track 3 TSA-THA'!AA157</f>
        <v>0</v>
      </c>
      <c r="AB10" s="452">
        <f>'HR Track 3 TSA-THA'!AB157</f>
        <v>0</v>
      </c>
      <c r="AC10" s="452">
        <f>'HR Track 3 TSA-THA'!AC157</f>
        <v>0</v>
      </c>
      <c r="AD10" s="452">
        <f>'HR Track 3 TSA-THA'!AD157</f>
        <v>0</v>
      </c>
      <c r="AE10" s="452">
        <f>'HR Track 3 TSA-THA'!AE157</f>
        <v>0</v>
      </c>
      <c r="AF10" s="452">
        <f>'HR Track 3 TSA-THA'!AF157</f>
        <v>0</v>
      </c>
      <c r="AG10" s="451">
        <f>'HR Track 3 TSA-THA'!AG157</f>
        <v>0</v>
      </c>
      <c r="AH10" s="452">
        <f>'HR Track 3 TSA-THA'!AH157</f>
        <v>0</v>
      </c>
      <c r="AI10" s="452">
        <f>'HR Track 3 TSA-THA'!AI157</f>
        <v>0</v>
      </c>
      <c r="AJ10" s="452" t="str">
        <f>'HR Track 3 TSA-THA'!AJ157</f>
        <v>Disc/IO-pr</v>
      </c>
      <c r="AK10" s="452">
        <f>'HR Track 3 TSA-THA'!AK157</f>
        <v>0</v>
      </c>
      <c r="AL10" s="452">
        <f>'HR Track 3 TSA-THA'!AL157</f>
        <v>0</v>
      </c>
      <c r="AM10" s="452">
        <f>'HR Track 3 TSA-THA'!AM157</f>
        <v>0</v>
      </c>
      <c r="AN10" s="500">
        <f>'HR Track 3 TSA-THA'!AN157</f>
        <v>0</v>
      </c>
      <c r="AO10" s="452">
        <f>'HR Track 3 TSA-THA'!AO157</f>
        <v>0</v>
      </c>
      <c r="AP10" s="452">
        <f>'HR Track 3 TSA-THA'!AP157</f>
        <v>0</v>
      </c>
      <c r="AQ10" s="452">
        <f>'HR Track 3 TSA-THA'!AQ157</f>
        <v>0</v>
      </c>
      <c r="AR10" s="452">
        <f>'HR Track 3 TSA-THA'!AR157</f>
        <v>0</v>
      </c>
      <c r="AS10" s="452">
        <f>'HR Track 3 TSA-THA'!AS157</f>
        <v>0</v>
      </c>
      <c r="AT10" s="452">
        <f>'HR Track 3 TSA-THA'!AT157</f>
        <v>0</v>
      </c>
      <c r="AU10" s="452">
        <f>'HR Track 3 TSA-THA'!AU157</f>
        <v>0</v>
      </c>
      <c r="AV10" s="452">
        <f>'HR Track 3 TSA-THA'!AV157</f>
        <v>0</v>
      </c>
      <c r="AW10" s="452" t="str">
        <f>'HR Track 3 TSA-THA'!AW157</f>
        <v>DW6999</v>
      </c>
      <c r="AX10" s="452">
        <f>'HR Track 3 TSA-THA'!AX157</f>
        <v>0</v>
      </c>
      <c r="AY10" s="500">
        <f>'HR Track 3 TSA-THA'!AY157</f>
        <v>0</v>
      </c>
      <c r="AZ10" s="500">
        <f>'HR Track 3 TSA-THA'!AZ157</f>
        <v>0</v>
      </c>
      <c r="BA10" s="1333" t="str">
        <f>'HR Track 3 TSA-THA'!BA157</f>
        <v>ü</v>
      </c>
      <c r="BB10" s="452">
        <f>'HR Track 3 TSA-THA'!BB157</f>
        <v>0</v>
      </c>
      <c r="BC10" s="1334">
        <f>'HR Track 3 TSA-THA'!BC157</f>
        <v>0</v>
      </c>
      <c r="BD10" s="1335" t="str">
        <f>'HR Track 3 TSA-THA'!BD157</f>
        <v>Ejecutado</v>
      </c>
      <c r="BE10" s="1335">
        <f>'HR Track 3 TSA-THA'!BE157</f>
        <v>0</v>
      </c>
      <c r="BF10" s="1335">
        <f>'HR Track 3 TSA-THA'!BF157</f>
        <v>0</v>
      </c>
      <c r="BG10" s="1335">
        <f>'HR Track 3 TSA-THA'!BG157</f>
        <v>0</v>
      </c>
    </row>
    <row r="11" spans="1:59" ht="15.75" customHeight="1">
      <c r="A11" s="501">
        <f>'HR Track 5 THA-HOLON'!A9</f>
        <v>0</v>
      </c>
      <c r="B11" s="716" t="str">
        <f>'HR Track 5 THA-HOLON'!B9</f>
        <v>96-5.16</v>
      </c>
      <c r="C11" s="451">
        <f>'HR Track 5 THA-HOLON'!C9</f>
        <v>96645.05</v>
      </c>
      <c r="D11" s="453">
        <f>'HR Track 5 THA-HOLON'!D9</f>
        <v>0</v>
      </c>
      <c r="E11" s="452">
        <f>'HR Track 5 THA-HOLON'!E9</f>
        <v>0</v>
      </c>
      <c r="F11" s="453">
        <f>'HR Track 5 THA-HOLON'!F9</f>
        <v>0</v>
      </c>
      <c r="G11" s="500">
        <f>'HR Track 5 THA-HOLON'!G9</f>
        <v>0</v>
      </c>
      <c r="H11" s="453" t="str">
        <f>'HR Track 5 THA-HOLON'!H9</f>
        <v>AnRW2</v>
      </c>
      <c r="I11" s="501">
        <f>'HR Track 5 THA-HOLON'!I9</f>
        <v>0</v>
      </c>
      <c r="J11" s="583">
        <f>'HR Track 5 THA-HOLON'!J9</f>
        <v>0</v>
      </c>
      <c r="K11" s="452">
        <f>'HR Track 5 THA-HOLON'!K9</f>
        <v>0</v>
      </c>
      <c r="L11" s="452" t="str">
        <f>'HR Track 5 THA-HOLON'!L9</f>
        <v>HEB-320L</v>
      </c>
      <c r="M11" s="452" t="str">
        <f>'HR Track 5 THA-HOLON'!M9</f>
        <v>Unique Solution</v>
      </c>
      <c r="N11" s="501" t="str">
        <f>'HR Track 5 THA-HOLON'!N9</f>
        <v>EMT-2</v>
      </c>
      <c r="O11" s="501" t="str">
        <f>'HR Track 5 THA-HOLON'!O9</f>
        <v>EMT-1</v>
      </c>
      <c r="P11" s="501">
        <f>'HR Track 5 THA-HOLON'!P9</f>
        <v>0</v>
      </c>
      <c r="Q11" s="452">
        <f>'HR Track 5 THA-HOLON'!Q9</f>
        <v>0</v>
      </c>
      <c r="R11" s="452">
        <f>'HR Track 5 THA-HOLON'!R9</f>
        <v>0</v>
      </c>
      <c r="S11" s="500">
        <f>'HR Track 5 THA-HOLON'!S9</f>
        <v>0</v>
      </c>
      <c r="T11" s="452">
        <f>'HR Track 5 THA-HOLON'!T9</f>
        <v>-15</v>
      </c>
      <c r="U11" s="452">
        <f>'HR Track 5 THA-HOLON'!U9</f>
        <v>-30</v>
      </c>
      <c r="V11" s="452">
        <f>'HR Track 5 THA-HOLON'!V9</f>
        <v>0</v>
      </c>
      <c r="W11" s="452">
        <f>'HR Track 5 THA-HOLON'!W9</f>
        <v>1.4</v>
      </c>
      <c r="X11" s="452">
        <f>'HR Track 5 THA-HOLON'!X9</f>
        <v>1.8</v>
      </c>
      <c r="Y11" s="452">
        <f>'HR Track 5 THA-HOLON'!Y9</f>
        <v>0</v>
      </c>
      <c r="Z11" s="452">
        <f>'HR Track 5 THA-HOLON'!Z9</f>
        <v>0</v>
      </c>
      <c r="AA11" s="452">
        <f>'HR Track 5 THA-HOLON'!AA9</f>
        <v>0</v>
      </c>
      <c r="AB11" s="452">
        <f>'HR Track 5 THA-HOLON'!AB9</f>
        <v>0</v>
      </c>
      <c r="AC11" s="452" t="str">
        <f>'HR Track 5 THA-HOLON'!AC9</f>
        <v>BTC-1651</v>
      </c>
      <c r="AD11" s="452" t="str">
        <f>'HR Track 5 THA-HOLON'!AD9</f>
        <v>PHC-1450</v>
      </c>
      <c r="AE11" s="452">
        <f>'HR Track 5 THA-HOLON'!AE9</f>
        <v>0</v>
      </c>
      <c r="AF11" s="452">
        <f>'HR Track 5 THA-HOLON'!AF9</f>
        <v>5100</v>
      </c>
      <c r="AG11" s="451">
        <f>'HR Track 5 THA-HOLON'!AG9</f>
        <v>96645</v>
      </c>
      <c r="AH11" s="452">
        <f>'HR Track 5 THA-HOLON'!AH9</f>
        <v>3563</v>
      </c>
      <c r="AI11" s="452">
        <f>'HR Track 5 THA-HOLON'!AI9</f>
        <v>60</v>
      </c>
      <c r="AJ11" s="452">
        <f>'HR Track 5 THA-HOLON'!AJ9</f>
        <v>0</v>
      </c>
      <c r="AK11" s="452">
        <f>'HR Track 5 THA-HOLON'!AK9</f>
        <v>0</v>
      </c>
      <c r="AL11" s="452" t="str">
        <f>'HR Track 5 THA-HOLON'!AL9</f>
        <v>PR1C</v>
      </c>
      <c r="AM11" s="452">
        <f>'HR Track 5 THA-HOLON'!AM9</f>
        <v>0</v>
      </c>
      <c r="AN11" s="500">
        <f>'HR Track 5 THA-HOLON'!AN9</f>
        <v>5.44</v>
      </c>
      <c r="AO11" s="452">
        <f>'HR Track 5 THA-HOLON'!AO9</f>
        <v>0</v>
      </c>
      <c r="AP11" s="452">
        <f>'HR Track 5 THA-HOLON'!AP9</f>
        <v>0</v>
      </c>
      <c r="AQ11" s="452">
        <f>'HR Track 5 THA-HOLON'!AQ9</f>
        <v>0</v>
      </c>
      <c r="AR11" s="452">
        <f>'HR Track 5 THA-HOLON'!AR9</f>
        <v>0</v>
      </c>
      <c r="AS11" s="452">
        <f>'HR Track 5 THA-HOLON'!AS9</f>
        <v>0</v>
      </c>
      <c r="AT11" s="452">
        <f>'HR Track 5 THA-HOLON'!AT9</f>
        <v>0</v>
      </c>
      <c r="AU11" s="452">
        <f>'HR Track 5 THA-HOLON'!AU9</f>
        <v>0</v>
      </c>
      <c r="AV11" s="452">
        <f>'HR Track 5 THA-HOLON'!AV9</f>
        <v>0</v>
      </c>
      <c r="AW11" s="452" t="str">
        <f>'HR Track 5 THA-HOLON'!AW9</f>
        <v>DW6942</v>
      </c>
      <c r="AX11" s="452">
        <f>'HR Track 5 THA-HOLON'!AX9</f>
        <v>0</v>
      </c>
      <c r="AY11" s="500">
        <f>'HR Track 5 THA-HOLON'!AY9</f>
        <v>0</v>
      </c>
      <c r="AZ11" s="500">
        <f>'HR Track 5 THA-HOLON'!AZ9</f>
        <v>0</v>
      </c>
      <c r="BA11" s="1333" t="str">
        <f>'HR Track 5 THA-HOLON'!BA9</f>
        <v>ü</v>
      </c>
      <c r="BB11" s="452" t="str">
        <f>'HR Track 5 THA-HOLON'!BB9</f>
        <v>App.8-V08F-P10.3</v>
      </c>
      <c r="BC11" s="1334">
        <f>'HR Track 5 THA-HOLON'!BC9</f>
        <v>0</v>
      </c>
      <c r="BD11" s="1335">
        <f>'HR Track 5 THA-HOLON'!BD9</f>
        <v>43561</v>
      </c>
      <c r="BE11" s="1335">
        <f>'HR Track 5 THA-HOLON'!BE9</f>
        <v>0</v>
      </c>
      <c r="BF11" s="1335">
        <f>'HR Track 5 THA-HOLON'!BF9</f>
        <v>0</v>
      </c>
      <c r="BG11" s="1335">
        <f>'HR Track 5 THA-HOLON'!BG9</f>
        <v>0</v>
      </c>
    </row>
    <row r="12" spans="1:59" ht="15.75" customHeight="1">
      <c r="A12" s="501">
        <f>'HR Track 5 THA-HOLON'!A10</f>
        <v>0</v>
      </c>
      <c r="B12" s="716">
        <f>'HR Track 5 THA-HOLON'!B10</f>
        <v>0</v>
      </c>
      <c r="C12" s="451">
        <f>'HR Track 5 THA-HOLON'!C10</f>
        <v>0</v>
      </c>
      <c r="D12" s="453">
        <f>'HR Track 5 THA-HOLON'!D10</f>
        <v>0</v>
      </c>
      <c r="E12" s="452">
        <f>'HR Track 5 THA-HOLON'!E10</f>
        <v>0</v>
      </c>
      <c r="F12" s="453">
        <f>'HR Track 5 THA-HOLON'!F10</f>
        <v>0</v>
      </c>
      <c r="G12" s="500">
        <f>'HR Track 5 THA-HOLON'!G10</f>
        <v>24</v>
      </c>
      <c r="H12" s="453">
        <f>'HR Track 5 THA-HOLON'!H10</f>
        <v>0</v>
      </c>
      <c r="I12" s="501">
        <f>'HR Track 5 THA-HOLON'!I10</f>
        <v>0</v>
      </c>
      <c r="J12" s="583">
        <f>'HR Track 5 THA-HOLON'!J10</f>
        <v>96652.55</v>
      </c>
      <c r="K12" s="452" t="str">
        <f>'HR Track 5 THA-HOLON'!K10</f>
        <v>AnM</v>
      </c>
      <c r="L12" s="452">
        <f>'HR Track 5 THA-HOLON'!L10</f>
        <v>0</v>
      </c>
      <c r="M12" s="452" t="str">
        <f>'HR Track 5 THA-HOLON'!M10</f>
        <v>Unique Solution</v>
      </c>
      <c r="N12" s="501">
        <f>'HR Track 5 THA-HOLON'!N10</f>
        <v>0</v>
      </c>
      <c r="O12" s="501">
        <f>'HR Track 5 THA-HOLON'!O10</f>
        <v>0</v>
      </c>
      <c r="P12" s="501">
        <f>'HR Track 5 THA-HOLON'!P10</f>
        <v>0</v>
      </c>
      <c r="Q12" s="452">
        <f>'HR Track 5 THA-HOLON'!Q10</f>
        <v>0</v>
      </c>
      <c r="R12" s="452">
        <f>'HR Track 5 THA-HOLON'!R10</f>
        <v>0</v>
      </c>
      <c r="S12" s="500">
        <f>'HR Track 5 THA-HOLON'!S10</f>
        <v>0</v>
      </c>
      <c r="T12" s="452">
        <f>'HR Track 5 THA-HOLON'!T10</f>
        <v>0</v>
      </c>
      <c r="U12" s="452">
        <f>'HR Track 5 THA-HOLON'!U10</f>
        <v>0</v>
      </c>
      <c r="V12" s="452">
        <f>'HR Track 5 THA-HOLON'!V10</f>
        <v>0</v>
      </c>
      <c r="W12" s="452">
        <f>'HR Track 5 THA-HOLON'!W10</f>
        <v>0</v>
      </c>
      <c r="X12" s="452">
        <f>'HR Track 5 THA-HOLON'!X10</f>
        <v>0</v>
      </c>
      <c r="Y12" s="452">
        <f>'HR Track 5 THA-HOLON'!Y10</f>
        <v>0</v>
      </c>
      <c r="Z12" s="452">
        <f>'HR Track 5 THA-HOLON'!Z10</f>
        <v>0</v>
      </c>
      <c r="AA12" s="452">
        <f>'HR Track 5 THA-HOLON'!AA10</f>
        <v>0</v>
      </c>
      <c r="AB12" s="452">
        <f>'HR Track 5 THA-HOLON'!AB10</f>
        <v>0</v>
      </c>
      <c r="AC12" s="452">
        <f>'HR Track 5 THA-HOLON'!AC10</f>
        <v>0</v>
      </c>
      <c r="AD12" s="452">
        <f>'HR Track 5 THA-HOLON'!AD10</f>
        <v>0</v>
      </c>
      <c r="AE12" s="452">
        <f>'HR Track 5 THA-HOLON'!AE10</f>
        <v>0</v>
      </c>
      <c r="AF12" s="452">
        <f>'HR Track 5 THA-HOLON'!AF10</f>
        <v>0</v>
      </c>
      <c r="AG12" s="451">
        <f>'HR Track 5 THA-HOLON'!AG10</f>
        <v>0</v>
      </c>
      <c r="AH12" s="452">
        <f>'HR Track 5 THA-HOLON'!AH10</f>
        <v>0</v>
      </c>
      <c r="AI12" s="452">
        <f>'HR Track 5 THA-HOLON'!AI10</f>
        <v>0</v>
      </c>
      <c r="AJ12" s="452">
        <f>'HR Track 5 THA-HOLON'!AJ10</f>
        <v>0</v>
      </c>
      <c r="AK12" s="452">
        <f>'HR Track 5 THA-HOLON'!AK10</f>
        <v>0</v>
      </c>
      <c r="AL12" s="452">
        <f>'HR Track 5 THA-HOLON'!AL10</f>
        <v>0</v>
      </c>
      <c r="AM12" s="452">
        <f>'HR Track 5 THA-HOLON'!AM10</f>
        <v>0</v>
      </c>
      <c r="AN12" s="500">
        <f>'HR Track 5 THA-HOLON'!AN10</f>
        <v>0</v>
      </c>
      <c r="AO12" s="452">
        <f>'HR Track 5 THA-HOLON'!AO10</f>
        <v>0</v>
      </c>
      <c r="AP12" s="452">
        <f>'HR Track 5 THA-HOLON'!AP10</f>
        <v>0</v>
      </c>
      <c r="AQ12" s="452">
        <f>'HR Track 5 THA-HOLON'!AQ10</f>
        <v>0</v>
      </c>
      <c r="AR12" s="452">
        <f>'HR Track 5 THA-HOLON'!AR10</f>
        <v>0</v>
      </c>
      <c r="AS12" s="452">
        <f>'HR Track 5 THA-HOLON'!AS10</f>
        <v>0</v>
      </c>
      <c r="AT12" s="452">
        <f>'HR Track 5 THA-HOLON'!AT10</f>
        <v>0</v>
      </c>
      <c r="AU12" s="452">
        <f>'HR Track 5 THA-HOLON'!AU10</f>
        <v>0</v>
      </c>
      <c r="AV12" s="452">
        <f>'HR Track 5 THA-HOLON'!AV10</f>
        <v>0</v>
      </c>
      <c r="AW12" s="452" t="str">
        <f>'HR Track 5 THA-HOLON'!AW10</f>
        <v>DW6999</v>
      </c>
      <c r="AX12" s="452">
        <f>'HR Track 5 THA-HOLON'!AX10</f>
        <v>0</v>
      </c>
      <c r="AY12" s="500">
        <f>'HR Track 5 THA-HOLON'!AY10</f>
        <v>0</v>
      </c>
      <c r="AZ12" s="500">
        <f>'HR Track 5 THA-HOLON'!AZ10</f>
        <v>0</v>
      </c>
      <c r="BA12" s="1333" t="str">
        <f>'HR Track 5 THA-HOLON'!BA10</f>
        <v>ü</v>
      </c>
      <c r="BB12" s="452">
        <f>'HR Track 5 THA-HOLON'!BB10</f>
        <v>0</v>
      </c>
      <c r="BC12" s="1334">
        <f>'HR Track 5 THA-HOLON'!BC10</f>
        <v>0</v>
      </c>
      <c r="BD12" s="1335">
        <f>'HR Track 5 THA-HOLON'!BD10</f>
        <v>0</v>
      </c>
      <c r="BE12" s="1335">
        <f>'HR Track 5 THA-HOLON'!BE10</f>
        <v>0</v>
      </c>
      <c r="BF12" s="1335">
        <f>'HR Track 5 THA-HOLON'!BF10</f>
        <v>0</v>
      </c>
      <c r="BG12" s="1335">
        <f>'HR Track 5 THA-HOLON'!BG10</f>
        <v>0</v>
      </c>
    </row>
    <row r="13" spans="1:59" ht="15.75" customHeight="1">
      <c r="A13" s="1239" t="s">
        <v>2962</v>
      </c>
      <c r="B13" s="173" t="s">
        <v>2454</v>
      </c>
      <c r="C13" s="446">
        <v>96698.4</v>
      </c>
      <c r="D13" s="446"/>
      <c r="E13" s="638"/>
      <c r="F13" s="447">
        <v>0</v>
      </c>
      <c r="G13" s="484"/>
      <c r="H13" s="1239"/>
      <c r="I13" s="448"/>
      <c r="J13" s="446"/>
      <c r="K13" s="638"/>
      <c r="L13" s="638"/>
      <c r="M13" s="638"/>
      <c r="N13" s="1239"/>
      <c r="O13" s="1239"/>
      <c r="P13" s="638"/>
      <c r="Q13" s="638"/>
      <c r="R13" s="638"/>
      <c r="S13" s="484"/>
      <c r="T13" s="638"/>
      <c r="U13" s="638"/>
      <c r="V13" s="638"/>
      <c r="W13" s="638"/>
      <c r="X13" s="638"/>
      <c r="Y13" s="638"/>
      <c r="Z13" s="638"/>
      <c r="AA13" s="638"/>
      <c r="AB13" s="638"/>
      <c r="AC13" s="638"/>
      <c r="AD13" s="638"/>
      <c r="AE13" s="638"/>
      <c r="AF13" s="638"/>
      <c r="AG13" s="446"/>
      <c r="AH13" s="638"/>
      <c r="AI13" s="185"/>
      <c r="AJ13" s="638" t="s">
        <v>2154</v>
      </c>
      <c r="AK13" s="1239"/>
      <c r="AL13" s="638"/>
      <c r="AM13" s="638"/>
      <c r="AN13" s="455"/>
      <c r="AO13" s="1239"/>
      <c r="AP13" s="1239"/>
      <c r="AQ13" s="484"/>
      <c r="AR13" s="484"/>
      <c r="AS13" s="484"/>
      <c r="AT13" s="484"/>
      <c r="AU13" s="638"/>
      <c r="AV13" s="638"/>
      <c r="AW13" s="484"/>
      <c r="AX13" s="484"/>
      <c r="AY13" s="484"/>
      <c r="AZ13" s="484"/>
      <c r="BA13" s="671"/>
      <c r="BB13" s="1239"/>
      <c r="BC13" s="169"/>
      <c r="BD13" s="1330"/>
      <c r="BE13" s="1330"/>
      <c r="BF13" s="1330"/>
      <c r="BG13" s="1330"/>
    </row>
    <row r="14" spans="1:59" ht="15.75" customHeight="1">
      <c r="A14" s="1239"/>
      <c r="B14" s="173"/>
      <c r="C14" s="446"/>
      <c r="D14" s="446"/>
      <c r="E14" s="638"/>
      <c r="F14" s="447"/>
      <c r="G14" s="484">
        <v>19</v>
      </c>
      <c r="H14" s="1239"/>
      <c r="I14" s="448"/>
      <c r="J14" s="446"/>
      <c r="K14" s="638"/>
      <c r="L14" s="638"/>
      <c r="M14" s="638"/>
      <c r="N14" s="1239"/>
      <c r="O14" s="1239"/>
      <c r="P14" s="638"/>
      <c r="Q14" s="638"/>
      <c r="R14" s="638"/>
      <c r="S14" s="484"/>
      <c r="T14" s="638"/>
      <c r="U14" s="638"/>
      <c r="V14" s="638"/>
      <c r="W14" s="638"/>
      <c r="X14" s="638"/>
      <c r="Y14" s="638"/>
      <c r="Z14" s="638"/>
      <c r="AA14" s="638"/>
      <c r="AB14" s="638"/>
      <c r="AC14" s="638"/>
      <c r="AD14" s="638"/>
      <c r="AE14" s="638"/>
      <c r="AF14" s="638"/>
      <c r="AG14" s="446"/>
      <c r="AH14" s="638"/>
      <c r="AI14" s="185"/>
      <c r="AJ14" s="638" t="s">
        <v>864</v>
      </c>
      <c r="AK14" s="1239"/>
      <c r="AL14" s="638"/>
      <c r="AM14" s="638"/>
      <c r="AN14" s="455"/>
      <c r="AO14" s="1239"/>
      <c r="AP14" s="1239"/>
      <c r="AQ14" s="484"/>
      <c r="AR14" s="484"/>
      <c r="AS14" s="484"/>
      <c r="AT14" s="484"/>
      <c r="AU14" s="638"/>
      <c r="AV14" s="638"/>
      <c r="AW14" s="638"/>
      <c r="AX14" s="638"/>
      <c r="AY14" s="484"/>
      <c r="AZ14" s="484"/>
      <c r="BA14" s="671"/>
      <c r="BB14" s="1239"/>
      <c r="BC14" s="169"/>
      <c r="BD14" s="1330"/>
      <c r="BE14" s="1330"/>
      <c r="BF14" s="1330"/>
      <c r="BG14" s="1330"/>
    </row>
    <row r="15" spans="1:59" ht="15.75" customHeight="1">
      <c r="A15" s="1239"/>
      <c r="B15" s="173" t="s">
        <v>2516</v>
      </c>
      <c r="C15" s="446">
        <f>+$C$13+$G$14</f>
        <v>96717.4</v>
      </c>
      <c r="D15" s="446"/>
      <c r="E15" s="638"/>
      <c r="F15" s="447">
        <v>-271</v>
      </c>
      <c r="G15" s="484"/>
      <c r="H15" s="1239"/>
      <c r="I15" s="448"/>
      <c r="J15" s="446"/>
      <c r="K15" s="638"/>
      <c r="L15" s="638"/>
      <c r="M15" s="638"/>
      <c r="N15" s="638" t="s">
        <v>844</v>
      </c>
      <c r="O15" s="638"/>
      <c r="P15" s="638"/>
      <c r="Q15" s="638"/>
      <c r="R15" s="638"/>
      <c r="S15" s="484"/>
      <c r="T15" s="638">
        <v>30</v>
      </c>
      <c r="U15" s="638"/>
      <c r="V15" s="638"/>
      <c r="W15" s="638">
        <v>1.2</v>
      </c>
      <c r="X15" s="638"/>
      <c r="Y15" s="638"/>
      <c r="Z15" s="638"/>
      <c r="AA15" s="638"/>
      <c r="AB15" s="638"/>
      <c r="AC15" s="638" t="str">
        <f>IF(OR(AT15&gt;8,AT15&lt;-8),"PH",IF(OR(AT15&gt;5,AT15&lt;-5),"PH-Q",IF(OR(AT15&gt;1,AT15&lt;-1),"PH-C")))</f>
        <v>PH-C</v>
      </c>
      <c r="AD15" s="638"/>
      <c r="AE15" s="638"/>
      <c r="AF15" s="638"/>
      <c r="AG15" s="446"/>
      <c r="AH15" s="638"/>
      <c r="AI15" s="185"/>
      <c r="AJ15" s="638"/>
      <c r="AK15" s="1239" t="s">
        <v>139</v>
      </c>
      <c r="AL15" s="638"/>
      <c r="AM15" s="638" t="s">
        <v>1042</v>
      </c>
      <c r="AN15" s="455">
        <v>5.32</v>
      </c>
      <c r="AO15" s="1239"/>
      <c r="AP15" s="1239"/>
      <c r="AQ15" s="484"/>
      <c r="AR15" s="484"/>
      <c r="AS15" s="484"/>
      <c r="AT15" s="484">
        <f>+ab($T$15,$T$13,$T$17,$G$14,$G$16, 1*$F$15,1200)</f>
        <v>-2.1403652466204774</v>
      </c>
      <c r="AU15" s="638"/>
      <c r="AV15" s="638"/>
      <c r="AW15" s="484"/>
      <c r="AX15" s="484"/>
      <c r="AY15" s="484"/>
      <c r="AZ15" s="484"/>
      <c r="BA15" s="671"/>
      <c r="BB15" s="1239"/>
      <c r="BC15" s="169"/>
      <c r="BD15" s="1330"/>
      <c r="BE15" s="1329"/>
      <c r="BF15" s="1330"/>
      <c r="BG15" s="1329"/>
    </row>
    <row r="16" spans="1:59" ht="15.75" customHeight="1">
      <c r="A16" s="1239"/>
      <c r="B16" s="173"/>
      <c r="C16" s="446"/>
      <c r="D16" s="446"/>
      <c r="E16" s="638"/>
      <c r="F16" s="447"/>
      <c r="G16" s="484">
        <v>39.5</v>
      </c>
      <c r="H16" s="1239"/>
      <c r="I16" s="448"/>
      <c r="J16" s="446"/>
      <c r="K16" s="638"/>
      <c r="L16" s="638"/>
      <c r="M16" s="638"/>
      <c r="N16" s="1239"/>
      <c r="O16" s="1239"/>
      <c r="P16" s="638"/>
      <c r="Q16" s="638"/>
      <c r="R16" s="638"/>
      <c r="S16" s="484"/>
      <c r="T16" s="638"/>
      <c r="U16" s="638"/>
      <c r="V16" s="638"/>
      <c r="W16" s="638"/>
      <c r="X16" s="638"/>
      <c r="Y16" s="638"/>
      <c r="Z16" s="638"/>
      <c r="AA16" s="638"/>
      <c r="AB16" s="638"/>
      <c r="AC16" s="638"/>
      <c r="AD16" s="638"/>
      <c r="AE16" s="638"/>
      <c r="AF16" s="638"/>
      <c r="AG16" s="446"/>
      <c r="AH16" s="638"/>
      <c r="AI16" s="185"/>
      <c r="AJ16" s="638"/>
      <c r="AK16" s="1239"/>
      <c r="AL16" s="638"/>
      <c r="AM16" s="638"/>
      <c r="AN16" s="455"/>
      <c r="AO16" s="1239"/>
      <c r="AP16" s="1239"/>
      <c r="AQ16" s="484">
        <f>+FL_1(-$T$17,-$T$15,$G$16,1200,9.28, 1*$F$17)</f>
        <v>0.16243177235512629</v>
      </c>
      <c r="AR16" s="484"/>
      <c r="AS16" s="484"/>
      <c r="AT16" s="484"/>
      <c r="AU16" s="638"/>
      <c r="AV16" s="638"/>
      <c r="AW16" s="638"/>
      <c r="AX16" s="638"/>
      <c r="AY16" s="484"/>
      <c r="AZ16" s="484"/>
      <c r="BA16" s="671"/>
      <c r="BB16" s="1239"/>
      <c r="BC16" s="169"/>
      <c r="BD16" s="1330"/>
      <c r="BE16" s="1330"/>
      <c r="BF16" s="1330"/>
      <c r="BG16" s="1330"/>
    </row>
    <row r="17" spans="1:59" ht="15.75" customHeight="1">
      <c r="A17" s="420"/>
      <c r="B17" s="606" t="s">
        <v>2517</v>
      </c>
      <c r="C17" s="416">
        <f>+$C$15+$G$16</f>
        <v>96756.9</v>
      </c>
      <c r="D17" s="416"/>
      <c r="E17" s="417"/>
      <c r="F17" s="418">
        <v>-750</v>
      </c>
      <c r="G17" s="422"/>
      <c r="H17" s="420"/>
      <c r="I17" s="421"/>
      <c r="J17" s="416"/>
      <c r="K17" s="417"/>
      <c r="L17" s="417"/>
      <c r="M17" s="417"/>
      <c r="N17" s="420" t="s">
        <v>844</v>
      </c>
      <c r="O17" s="420"/>
      <c r="P17" s="417"/>
      <c r="Q17" s="417"/>
      <c r="R17" s="417"/>
      <c r="S17" s="422"/>
      <c r="T17" s="417">
        <v>20</v>
      </c>
      <c r="U17" s="417"/>
      <c r="V17" s="417"/>
      <c r="W17" s="417">
        <v>1</v>
      </c>
      <c r="X17" s="417"/>
      <c r="Y17" s="417"/>
      <c r="Z17" s="417"/>
      <c r="AA17" s="417"/>
      <c r="AB17" s="417"/>
      <c r="AC17" s="417" t="str">
        <f>IF(OR(AT17&gt;8,AT17&lt;-8),"PH",IF(OR(AT17&gt;5,AT17&lt;-5),"PH-Q",IF(OR(AT17&gt;1,AT17&lt;-1),"PH-C")))</f>
        <v>PH-C</v>
      </c>
      <c r="AD17" s="417"/>
      <c r="AE17" s="417"/>
      <c r="AF17" s="417"/>
      <c r="AG17" s="416"/>
      <c r="AH17" s="417"/>
      <c r="AI17" s="607"/>
      <c r="AJ17" s="417"/>
      <c r="AK17" s="420" t="s">
        <v>139</v>
      </c>
      <c r="AL17" s="417"/>
      <c r="AM17" s="417" t="s">
        <v>1042</v>
      </c>
      <c r="AN17" s="444">
        <v>5.21</v>
      </c>
      <c r="AO17" s="420"/>
      <c r="AP17" s="420"/>
      <c r="AQ17" s="422"/>
      <c r="AR17" s="422"/>
      <c r="AS17" s="422"/>
      <c r="AT17" s="422">
        <f>+ab($T$17,$T$15,$T$19,$G$16,$G$18, 1*$F$17,1200)</f>
        <v>-3.5059577310413892</v>
      </c>
      <c r="AU17" s="417"/>
      <c r="AV17" s="417"/>
      <c r="AW17" s="417"/>
      <c r="AX17" s="417"/>
      <c r="AY17" s="422"/>
      <c r="AZ17" s="422"/>
      <c r="BA17" s="604"/>
      <c r="BB17" s="420"/>
      <c r="BC17" s="169"/>
      <c r="BD17" s="1330"/>
      <c r="BE17" s="1329"/>
      <c r="BF17" s="1330"/>
      <c r="BG17" s="1329"/>
    </row>
    <row r="18" spans="1:59" ht="15.75" customHeight="1">
      <c r="A18" s="420"/>
      <c r="B18" s="606"/>
      <c r="C18" s="416"/>
      <c r="D18" s="416"/>
      <c r="E18" s="417"/>
      <c r="F18" s="418"/>
      <c r="G18" s="422">
        <v>38.700000000000003</v>
      </c>
      <c r="H18" s="420"/>
      <c r="I18" s="420"/>
      <c r="J18" s="416"/>
      <c r="K18" s="417"/>
      <c r="L18" s="417"/>
      <c r="M18" s="417"/>
      <c r="N18" s="420"/>
      <c r="O18" s="420"/>
      <c r="P18" s="417"/>
      <c r="Q18" s="417"/>
      <c r="R18" s="417"/>
      <c r="S18" s="422"/>
      <c r="T18" s="417"/>
      <c r="U18" s="417"/>
      <c r="V18" s="417"/>
      <c r="W18" s="417"/>
      <c r="X18" s="417"/>
      <c r="Y18" s="417"/>
      <c r="Z18" s="417"/>
      <c r="AA18" s="417"/>
      <c r="AB18" s="417"/>
      <c r="AC18" s="417"/>
      <c r="AD18" s="417"/>
      <c r="AE18" s="417"/>
      <c r="AF18" s="417"/>
      <c r="AG18" s="416"/>
      <c r="AH18" s="417"/>
      <c r="AI18" s="607"/>
      <c r="AJ18" s="417"/>
      <c r="AK18" s="420"/>
      <c r="AL18" s="417"/>
      <c r="AM18" s="417"/>
      <c r="AN18" s="444"/>
      <c r="AO18" s="420"/>
      <c r="AP18" s="420"/>
      <c r="AQ18" s="422">
        <f>+FL_1(-$T$19,-$T$17,$G$18,1200,9.28, 1*$F$19)</f>
        <v>0.1944332522627634</v>
      </c>
      <c r="AR18" s="422"/>
      <c r="AS18" s="422"/>
      <c r="AT18" s="422"/>
      <c r="AU18" s="417"/>
      <c r="AV18" s="417"/>
      <c r="AW18" s="417"/>
      <c r="AX18" s="417"/>
      <c r="AY18" s="422"/>
      <c r="AZ18" s="422"/>
      <c r="BA18" s="1308"/>
      <c r="BB18" s="420"/>
      <c r="BC18" s="169"/>
      <c r="BD18" s="1330"/>
      <c r="BE18" s="1330"/>
      <c r="BF18" s="1330"/>
      <c r="BG18" s="1330"/>
    </row>
    <row r="19" spans="1:59" ht="15.75" customHeight="1">
      <c r="A19" s="420"/>
      <c r="B19" s="606" t="s">
        <v>2518</v>
      </c>
      <c r="C19" s="416">
        <f>+$C$17+$G$18</f>
        <v>96795.599999999991</v>
      </c>
      <c r="D19" s="416"/>
      <c r="E19" s="417"/>
      <c r="F19" s="418">
        <v>-750</v>
      </c>
      <c r="G19" s="422"/>
      <c r="H19" s="420"/>
      <c r="I19" s="420"/>
      <c r="J19" s="416"/>
      <c r="K19" s="417"/>
      <c r="L19" s="417"/>
      <c r="M19" s="417"/>
      <c r="N19" s="420" t="s">
        <v>844</v>
      </c>
      <c r="O19" s="420"/>
      <c r="P19" s="417"/>
      <c r="Q19" s="417"/>
      <c r="R19" s="417"/>
      <c r="S19" s="422"/>
      <c r="T19" s="417">
        <v>20</v>
      </c>
      <c r="U19" s="417"/>
      <c r="V19" s="417"/>
      <c r="W19" s="417">
        <v>0.65</v>
      </c>
      <c r="X19" s="417"/>
      <c r="Y19" s="417"/>
      <c r="Z19" s="417"/>
      <c r="AA19" s="417"/>
      <c r="AB19" s="417"/>
      <c r="AC19" s="417" t="str">
        <f>IF(OR(AT19&gt;8,AT19&lt;-8),"PH",IF(OR(AT19&gt;5,AT19&lt;-5),"PH-Q",IF(OR(AT19&gt;1,AT19&lt;-1),"PH-C")))</f>
        <v>PH-C</v>
      </c>
      <c r="AD19" s="417"/>
      <c r="AE19" s="417"/>
      <c r="AF19" s="417"/>
      <c r="AG19" s="416"/>
      <c r="AH19" s="417"/>
      <c r="AI19" s="607"/>
      <c r="AJ19" s="417"/>
      <c r="AK19" s="420" t="s">
        <v>139</v>
      </c>
      <c r="AL19" s="417"/>
      <c r="AM19" s="417" t="s">
        <v>2880</v>
      </c>
      <c r="AN19" s="444">
        <v>5.15</v>
      </c>
      <c r="AO19" s="420"/>
      <c r="AP19" s="420"/>
      <c r="AQ19" s="422"/>
      <c r="AR19" s="422"/>
      <c r="AS19" s="422"/>
      <c r="AT19" s="422">
        <f>+ab($T$19,$T$17,$T$21,$G$18,$G$20, 1*$F$19,1200)</f>
        <v>-3.8798939635291667</v>
      </c>
      <c r="AU19" s="417"/>
      <c r="AV19" s="417"/>
      <c r="AW19" s="417"/>
      <c r="AX19" s="417"/>
      <c r="AY19" s="422"/>
      <c r="AZ19" s="422"/>
      <c r="BA19" s="1308"/>
      <c r="BB19" s="420"/>
      <c r="BC19" s="169"/>
      <c r="BD19" s="1330"/>
      <c r="BE19" s="1329"/>
      <c r="BF19" s="1330"/>
      <c r="BG19" s="1329"/>
    </row>
    <row r="20" spans="1:59" ht="15.75" customHeight="1">
      <c r="A20" s="495" t="s">
        <v>1855</v>
      </c>
      <c r="B20" s="639"/>
      <c r="C20" s="489"/>
      <c r="D20" s="489"/>
      <c r="E20" s="490"/>
      <c r="F20" s="491"/>
      <c r="G20" s="493">
        <v>47.9</v>
      </c>
      <c r="H20" s="495"/>
      <c r="I20" s="495" t="s">
        <v>1041</v>
      </c>
      <c r="J20" s="489"/>
      <c r="K20" s="490"/>
      <c r="L20" s="490"/>
      <c r="M20" s="490"/>
      <c r="N20" s="495"/>
      <c r="O20" s="495"/>
      <c r="P20" s="490"/>
      <c r="Q20" s="490"/>
      <c r="R20" s="490"/>
      <c r="S20" s="493"/>
      <c r="T20" s="490"/>
      <c r="U20" s="490"/>
      <c r="V20" s="490"/>
      <c r="W20" s="490"/>
      <c r="X20" s="490"/>
      <c r="Y20" s="490"/>
      <c r="Z20" s="490"/>
      <c r="AA20" s="490"/>
      <c r="AB20" s="490"/>
      <c r="AC20" s="490"/>
      <c r="AD20" s="490"/>
      <c r="AE20" s="490"/>
      <c r="AF20" s="490"/>
      <c r="AG20" s="489"/>
      <c r="AH20" s="490"/>
      <c r="AI20" s="640"/>
      <c r="AJ20" s="490"/>
      <c r="AK20" s="495"/>
      <c r="AL20" s="490"/>
      <c r="AM20" s="490"/>
      <c r="AN20" s="457"/>
      <c r="AO20" s="495"/>
      <c r="AP20" s="495"/>
      <c r="AQ20" s="493">
        <f>+FL_1($T$21,-$T$19,$G$20,1200,9.28, 1*$F$21)</f>
        <v>2.1792966666666629E-2</v>
      </c>
      <c r="AR20" s="493"/>
      <c r="AS20" s="493"/>
      <c r="AT20" s="493"/>
      <c r="AU20" s="490"/>
      <c r="AV20" s="490"/>
      <c r="AW20" s="493"/>
      <c r="AX20" s="493"/>
      <c r="AY20" s="493"/>
      <c r="AZ20" s="493"/>
      <c r="BA20" s="602"/>
      <c r="BB20" s="495"/>
      <c r="BC20" s="169"/>
      <c r="BD20" s="1330"/>
      <c r="BE20" s="1330"/>
      <c r="BF20" s="1330"/>
      <c r="BG20" s="1330"/>
    </row>
    <row r="21" spans="1:59" ht="15.75" customHeight="1">
      <c r="A21" s="488" t="s">
        <v>1851</v>
      </c>
      <c r="B21" s="639" t="s">
        <v>2519</v>
      </c>
      <c r="C21" s="489">
        <f>+$C$19+$G$20</f>
        <v>96843.499999999985</v>
      </c>
      <c r="D21" s="489"/>
      <c r="E21" s="490"/>
      <c r="F21" s="491">
        <v>0</v>
      </c>
      <c r="G21" s="493"/>
      <c r="H21" s="495"/>
      <c r="I21" s="495"/>
      <c r="J21" s="489"/>
      <c r="K21" s="490"/>
      <c r="L21" s="490" t="s">
        <v>2549</v>
      </c>
      <c r="M21" s="490" t="s">
        <v>2811</v>
      </c>
      <c r="N21" s="495" t="s">
        <v>633</v>
      </c>
      <c r="O21" s="495"/>
      <c r="P21" s="490"/>
      <c r="Q21" s="490"/>
      <c r="R21" s="490"/>
      <c r="S21" s="493"/>
      <c r="T21" s="490">
        <v>-20</v>
      </c>
      <c r="U21" s="490"/>
      <c r="V21" s="490"/>
      <c r="W21" s="490">
        <v>0.55000000000000004</v>
      </c>
      <c r="X21" s="490"/>
      <c r="Y21" s="490"/>
      <c r="Z21" s="490"/>
      <c r="AA21" s="490"/>
      <c r="AB21" s="490"/>
      <c r="AC21" s="490" t="str">
        <f>IF(OR(AT21&gt;8,AT21&lt;-8),"PH",IF(OR(AT21&gt;5,AT21&lt;-5),"PH-Q",IF(OR(AT21&gt;1,AT21&lt;-1),"PH-C")))</f>
        <v>PH</v>
      </c>
      <c r="AD21" s="490"/>
      <c r="AE21" s="490"/>
      <c r="AF21" s="490"/>
      <c r="AG21" s="489"/>
      <c r="AH21" s="490"/>
      <c r="AI21" s="640"/>
      <c r="AJ21" s="490"/>
      <c r="AK21" s="495"/>
      <c r="AL21" s="490"/>
      <c r="AM21" s="490" t="s">
        <v>2880</v>
      </c>
      <c r="AN21" s="457">
        <v>5.15</v>
      </c>
      <c r="AO21" s="495"/>
      <c r="AP21" s="495"/>
      <c r="AQ21" s="493"/>
      <c r="AR21" s="493"/>
      <c r="AS21" s="493"/>
      <c r="AT21" s="493">
        <f>+ab($T$21,$T$19,$T$23,$G$20,$G$22, 1*$F$21,1200)</f>
        <v>-10.831869250160956</v>
      </c>
      <c r="AU21" s="490"/>
      <c r="AV21" s="490"/>
      <c r="AW21" s="493" t="s">
        <v>4210</v>
      </c>
      <c r="AX21" s="493"/>
      <c r="AY21" s="493"/>
      <c r="AZ21" s="493"/>
      <c r="BA21" s="602" t="s">
        <v>2809</v>
      </c>
      <c r="BB21" s="488"/>
      <c r="BC21" s="169"/>
      <c r="BD21" s="1329"/>
      <c r="BE21" s="1329"/>
      <c r="BF21" s="1330"/>
      <c r="BG21" s="1329"/>
    </row>
    <row r="22" spans="1:59" ht="15.75" customHeight="1">
      <c r="A22" s="414" t="s">
        <v>1854</v>
      </c>
      <c r="B22" s="606"/>
      <c r="C22" s="416"/>
      <c r="D22" s="416"/>
      <c r="E22" s="417"/>
      <c r="F22" s="418"/>
      <c r="G22" s="422">
        <v>43.7</v>
      </c>
      <c r="H22" s="420"/>
      <c r="I22" s="420"/>
      <c r="J22" s="416"/>
      <c r="K22" s="417"/>
      <c r="L22" s="417"/>
      <c r="M22" s="417"/>
      <c r="N22" s="420"/>
      <c r="O22" s="420"/>
      <c r="P22" s="417"/>
      <c r="Q22" s="417"/>
      <c r="R22" s="417"/>
      <c r="S22" s="422"/>
      <c r="T22" s="417"/>
      <c r="U22" s="417"/>
      <c r="V22" s="417"/>
      <c r="W22" s="417"/>
      <c r="X22" s="417"/>
      <c r="Y22" s="417"/>
      <c r="Z22" s="417"/>
      <c r="AA22" s="417"/>
      <c r="AB22" s="417"/>
      <c r="AC22" s="417"/>
      <c r="AD22" s="417"/>
      <c r="AE22" s="417"/>
      <c r="AF22" s="417"/>
      <c r="AG22" s="416"/>
      <c r="AH22" s="417"/>
      <c r="AI22" s="607"/>
      <c r="AJ22" s="417"/>
      <c r="AK22" s="420"/>
      <c r="AL22" s="417"/>
      <c r="AM22" s="417"/>
      <c r="AN22" s="444"/>
      <c r="AO22" s="420"/>
      <c r="AP22" s="420"/>
      <c r="AQ22" s="422">
        <f>+FL_2($T$23,$T$21,$G$22,1200,9.28, 1*$F$23)</f>
        <v>-0.3368609970515033</v>
      </c>
      <c r="AR22" s="422"/>
      <c r="AS22" s="422"/>
      <c r="AT22" s="422"/>
      <c r="AU22" s="417"/>
      <c r="AV22" s="417"/>
      <c r="AW22" s="422"/>
      <c r="AX22" s="422"/>
      <c r="AY22" s="422"/>
      <c r="AZ22" s="422"/>
      <c r="BA22" s="604"/>
      <c r="BB22" s="414"/>
      <c r="BC22" s="169"/>
      <c r="BD22" s="1330"/>
      <c r="BE22" s="1330"/>
      <c r="BF22" s="1330"/>
      <c r="BG22" s="1330"/>
    </row>
    <row r="23" spans="1:59" ht="15.75" customHeight="1">
      <c r="A23" s="420"/>
      <c r="B23" s="606" t="s">
        <v>2520</v>
      </c>
      <c r="C23" s="416">
        <f>+$C$21+$G$22</f>
        <v>96887.199999999983</v>
      </c>
      <c r="D23" s="416"/>
      <c r="E23" s="418"/>
      <c r="F23" s="420">
        <v>2000</v>
      </c>
      <c r="G23" s="422"/>
      <c r="H23" s="417"/>
      <c r="I23" s="417"/>
      <c r="J23" s="416"/>
      <c r="K23" s="417"/>
      <c r="L23" s="417" t="s">
        <v>2550</v>
      </c>
      <c r="M23" s="417" t="s">
        <v>2811</v>
      </c>
      <c r="N23" s="420" t="s">
        <v>634</v>
      </c>
      <c r="O23" s="420"/>
      <c r="P23" s="417"/>
      <c r="Q23" s="417"/>
      <c r="R23" s="417"/>
      <c r="S23" s="422"/>
      <c r="T23" s="417">
        <v>20</v>
      </c>
      <c r="U23" s="417"/>
      <c r="V23" s="417"/>
      <c r="W23" s="417">
        <v>0.55000000000000004</v>
      </c>
      <c r="X23" s="417"/>
      <c r="Y23" s="417"/>
      <c r="Z23" s="417"/>
      <c r="AA23" s="417"/>
      <c r="AB23" s="417"/>
      <c r="AC23" s="417" t="str">
        <f>IF(OR(AT23&gt;8,AT23&lt;-8),"PH",IF(OR(AT23&gt;5,AT23&lt;-5),"PH-Q",IF(OR(AT23&gt;1,AT23&lt;-1),"PH-C")))</f>
        <v>PH-C</v>
      </c>
      <c r="AD23" s="417"/>
      <c r="AE23" s="417"/>
      <c r="AF23" s="417"/>
      <c r="AG23" s="416"/>
      <c r="AH23" s="417"/>
      <c r="AI23" s="607"/>
      <c r="AJ23" s="417"/>
      <c r="AK23" s="420"/>
      <c r="AL23" s="417"/>
      <c r="AM23" s="417" t="s">
        <v>2880</v>
      </c>
      <c r="AN23" s="444">
        <v>5.15</v>
      </c>
      <c r="AO23" s="420"/>
      <c r="AP23" s="420"/>
      <c r="AQ23" s="422"/>
      <c r="AR23" s="422"/>
      <c r="AS23" s="422"/>
      <c r="AT23" s="422">
        <f>+ab($T$23,$T$21,$T$25,$G$22,$G$24, 1*$F$23,1200)</f>
        <v>4.7728177388502209</v>
      </c>
      <c r="AU23" s="417"/>
      <c r="AV23" s="417"/>
      <c r="AW23" s="422" t="s">
        <v>4179</v>
      </c>
      <c r="AX23" s="422"/>
      <c r="AY23" s="422"/>
      <c r="AZ23" s="422"/>
      <c r="BA23" s="604" t="s">
        <v>2809</v>
      </c>
      <c r="BB23" s="420"/>
      <c r="BC23" s="169"/>
      <c r="BD23" s="1329"/>
      <c r="BE23" s="1329"/>
      <c r="BF23" s="1330"/>
      <c r="BG23" s="1329"/>
    </row>
    <row r="24" spans="1:59" ht="15.75" customHeight="1">
      <c r="A24" s="417"/>
      <c r="B24" s="606"/>
      <c r="C24" s="416"/>
      <c r="D24" s="416"/>
      <c r="E24" s="417"/>
      <c r="F24" s="417"/>
      <c r="G24" s="422">
        <v>42.4</v>
      </c>
      <c r="H24" s="417"/>
      <c r="I24" s="417"/>
      <c r="J24" s="416"/>
      <c r="K24" s="417"/>
      <c r="L24" s="417"/>
      <c r="M24" s="417"/>
      <c r="N24" s="417"/>
      <c r="O24" s="417"/>
      <c r="P24" s="417"/>
      <c r="Q24" s="417"/>
      <c r="R24" s="417"/>
      <c r="S24" s="422"/>
      <c r="T24" s="417"/>
      <c r="U24" s="417"/>
      <c r="V24" s="417"/>
      <c r="W24" s="417"/>
      <c r="X24" s="417"/>
      <c r="Y24" s="417"/>
      <c r="Z24" s="417"/>
      <c r="AA24" s="417"/>
      <c r="AB24" s="417"/>
      <c r="AC24" s="417"/>
      <c r="AD24" s="417"/>
      <c r="AE24" s="417"/>
      <c r="AF24" s="417"/>
      <c r="AG24" s="416"/>
      <c r="AH24" s="417"/>
      <c r="AI24" s="607"/>
      <c r="AJ24" s="417"/>
      <c r="AK24" s="420"/>
      <c r="AL24" s="417"/>
      <c r="AM24" s="417"/>
      <c r="AN24" s="444"/>
      <c r="AO24" s="420"/>
      <c r="AP24" s="420"/>
      <c r="AQ24" s="422">
        <f>+FL_2($T$25,$T$23,$G$24,1200,9.28, 1*$F$25)</f>
        <v>-0.23132633962264151</v>
      </c>
      <c r="AR24" s="422"/>
      <c r="AS24" s="422"/>
      <c r="AT24" s="422"/>
      <c r="AU24" s="417"/>
      <c r="AV24" s="417"/>
      <c r="AW24" s="417"/>
      <c r="AX24" s="417"/>
      <c r="AY24" s="422"/>
      <c r="AZ24" s="422"/>
      <c r="BA24" s="604"/>
      <c r="BB24" s="417"/>
      <c r="BC24" s="169"/>
      <c r="BD24" s="1330"/>
      <c r="BE24" s="1330"/>
      <c r="BF24" s="1330"/>
      <c r="BG24" s="1330"/>
    </row>
    <row r="25" spans="1:59" ht="15.75" customHeight="1">
      <c r="A25" s="417"/>
      <c r="B25" s="606" t="s">
        <v>2521</v>
      </c>
      <c r="C25" s="416">
        <f>+$C$23+$G$24</f>
        <v>96929.599999999977</v>
      </c>
      <c r="D25" s="416"/>
      <c r="E25" s="417"/>
      <c r="F25" s="417">
        <v>0</v>
      </c>
      <c r="G25" s="422"/>
      <c r="H25" s="417"/>
      <c r="I25" s="417"/>
      <c r="J25" s="416"/>
      <c r="K25" s="417"/>
      <c r="L25" s="417"/>
      <c r="M25" s="417"/>
      <c r="N25" s="417" t="s">
        <v>843</v>
      </c>
      <c r="O25" s="417"/>
      <c r="P25" s="417"/>
      <c r="Q25" s="417"/>
      <c r="R25" s="417"/>
      <c r="S25" s="422"/>
      <c r="T25" s="417">
        <v>-20</v>
      </c>
      <c r="U25" s="417"/>
      <c r="V25" s="417"/>
      <c r="W25" s="417">
        <v>0.8</v>
      </c>
      <c r="X25" s="417"/>
      <c r="Y25" s="417"/>
      <c r="Z25" s="417"/>
      <c r="AA25" s="417"/>
      <c r="AB25" s="417"/>
      <c r="AC25" s="417" t="str">
        <f>IF(OR(AT25&gt;8,AT25&lt;-8),"PH",IF(OR(AT25&gt;5,AT25&lt;-5),"PH-Q",IF(OR(AT25&gt;1,AT25&lt;-1),"PH-C")))</f>
        <v>PH</v>
      </c>
      <c r="AD25" s="417"/>
      <c r="AE25" s="417"/>
      <c r="AF25" s="417"/>
      <c r="AG25" s="416"/>
      <c r="AH25" s="417"/>
      <c r="AI25" s="607"/>
      <c r="AJ25" s="417"/>
      <c r="AK25" s="420" t="s">
        <v>139</v>
      </c>
      <c r="AL25" s="417"/>
      <c r="AM25" s="417" t="s">
        <v>2880</v>
      </c>
      <c r="AN25" s="444">
        <v>5.21</v>
      </c>
      <c r="AO25" s="420"/>
      <c r="AP25" s="420"/>
      <c r="AQ25" s="422"/>
      <c r="AR25" s="422"/>
      <c r="AS25" s="422"/>
      <c r="AT25" s="422">
        <f>+ab($T$25,$T$23,$T$27,$G$24,$G$26, 1*$F$25,1200)</f>
        <v>-21.92021152732946</v>
      </c>
      <c r="AU25" s="417"/>
      <c r="AV25" s="417"/>
      <c r="AW25" s="417"/>
      <c r="AX25" s="417"/>
      <c r="AY25" s="422"/>
      <c r="AZ25" s="422"/>
      <c r="BA25" s="604"/>
      <c r="BB25" s="417"/>
      <c r="BC25" s="169"/>
      <c r="BD25" s="1330"/>
      <c r="BE25" s="1329"/>
      <c r="BF25" s="1330"/>
      <c r="BG25" s="1329"/>
    </row>
    <row r="26" spans="1:59" ht="15.75" customHeight="1">
      <c r="A26" s="638"/>
      <c r="B26" s="173"/>
      <c r="C26" s="638"/>
      <c r="D26" s="446"/>
      <c r="E26" s="638"/>
      <c r="F26" s="638"/>
      <c r="G26" s="484">
        <v>45</v>
      </c>
      <c r="H26" s="638"/>
      <c r="I26" s="638"/>
      <c r="J26" s="446">
        <f>C27-7.5</f>
        <v>96967.099999999977</v>
      </c>
      <c r="K26" s="638" t="s">
        <v>2787</v>
      </c>
      <c r="L26" s="638"/>
      <c r="M26" s="638"/>
      <c r="N26" s="638"/>
      <c r="O26" s="638"/>
      <c r="P26" s="638"/>
      <c r="Q26" s="638"/>
      <c r="R26" s="638"/>
      <c r="S26" s="484"/>
      <c r="T26" s="638"/>
      <c r="U26" s="638"/>
      <c r="V26" s="638"/>
      <c r="W26" s="638"/>
      <c r="X26" s="638"/>
      <c r="Y26" s="638"/>
      <c r="Z26" s="638"/>
      <c r="AA26" s="638"/>
      <c r="AB26" s="638"/>
      <c r="AC26" s="638"/>
      <c r="AD26" s="638"/>
      <c r="AE26" s="638"/>
      <c r="AF26" s="638"/>
      <c r="AG26" s="446"/>
      <c r="AH26" s="638"/>
      <c r="AI26" s="185"/>
      <c r="AJ26" s="638"/>
      <c r="AK26" s="1239"/>
      <c r="AL26" s="638"/>
      <c r="AM26" s="638"/>
      <c r="AN26" s="455"/>
      <c r="AO26" s="1239"/>
      <c r="AP26" s="1239"/>
      <c r="AQ26" s="484">
        <f>+FL_2($T$27,-$T$25,$G$26,1200,9.28, 1*$F$27)</f>
        <v>-0.28540517199999998</v>
      </c>
      <c r="AR26" s="484"/>
      <c r="AS26" s="484"/>
      <c r="AT26" s="484"/>
      <c r="AU26" s="638"/>
      <c r="AV26" s="638"/>
      <c r="AW26" s="638" t="str">
        <f>VLOOKUP(J26,'Foundation Calculation'!$A$2:$C$33,3,1)</f>
        <v>Soil A</v>
      </c>
      <c r="AX26" s="572" t="str">
        <f>VLOOKUP(J26,'Foundation Calculation'!$E$2:$G$33,3,1)</f>
        <v>PT</v>
      </c>
      <c r="AY26" s="484"/>
      <c r="AZ26" s="689">
        <f>IF(AX26="PT",VLOOKUP(K26,'Foundation Calculation'!$K$2:$R$40,VLOOKUP(AW26,'Foundation Calculation'!$I$2:$J$8,2,FALSE),0),IF(AX26="K",VLOOKUP(K26,'Foundation Calculation'!$K$42:$R$80,VLOOKUP(AW26,'Foundation Calculation'!$I$2:$J$8,2,FALSE),0),""))</f>
        <v>3.3</v>
      </c>
      <c r="BA26" s="671" t="s">
        <v>2809</v>
      </c>
      <c r="BB26" s="638"/>
      <c r="BC26" s="169"/>
      <c r="BD26" s="1330"/>
      <c r="BE26" s="1330"/>
      <c r="BF26" s="1330"/>
      <c r="BG26" s="1330"/>
    </row>
    <row r="27" spans="1:59" ht="15.75" customHeight="1">
      <c r="A27" s="638"/>
      <c r="B27" s="619" t="s">
        <v>2522</v>
      </c>
      <c r="C27" s="446">
        <f>+$C$25+$G$26</f>
        <v>96974.599999999977</v>
      </c>
      <c r="D27" s="446"/>
      <c r="E27" s="638"/>
      <c r="F27" s="638">
        <v>0</v>
      </c>
      <c r="G27" s="484"/>
      <c r="H27" s="638" t="s">
        <v>138</v>
      </c>
      <c r="I27" s="638" t="s">
        <v>623</v>
      </c>
      <c r="J27" s="446"/>
      <c r="K27" s="638"/>
      <c r="L27" s="638" t="s">
        <v>1698</v>
      </c>
      <c r="M27" s="638" t="str">
        <f>IF(AX27="PT",VLOOKUP(L27,'Foundation Calculation'!$V$2:$X$40,VLOOKUP(AX27,'Foundation Calculation'!$I$10:$J$13,2,FALSE),0),IF(AX27="K",VLOOKUP(L27,'Foundation Calculation'!$V$42:$X$80,VLOOKUP(AX27,'Foundation Calculation'!$I$10:$J$13,2,FALSE),0),""))</f>
        <v>2C4R</v>
      </c>
      <c r="N27" s="638" t="s">
        <v>143</v>
      </c>
      <c r="O27" s="638"/>
      <c r="P27" s="638"/>
      <c r="Q27" s="638"/>
      <c r="R27" s="638"/>
      <c r="S27" s="484"/>
      <c r="T27" s="638">
        <v>-25</v>
      </c>
      <c r="U27" s="638"/>
      <c r="V27" s="638"/>
      <c r="W27" s="638">
        <v>1.2</v>
      </c>
      <c r="X27" s="638"/>
      <c r="Y27" s="638"/>
      <c r="Z27" s="638"/>
      <c r="AA27" s="638"/>
      <c r="AB27" s="638"/>
      <c r="AC27" s="638" t="str">
        <f>IF(OR(AT27&gt;8,AT27&lt;-8),"PH",IF(OR(AT27&gt;5,AT27&lt;-5),"PH-Q",IF(OR(AT27&gt;1,AT27&lt;-1),"PH-C")))</f>
        <v>PH</v>
      </c>
      <c r="AD27" s="638"/>
      <c r="AE27" s="638"/>
      <c r="AF27" s="638"/>
      <c r="AG27" s="446"/>
      <c r="AH27" s="638"/>
      <c r="AI27" s="185"/>
      <c r="AJ27" s="638"/>
      <c r="AK27" s="1239"/>
      <c r="AL27" s="638"/>
      <c r="AM27" s="638" t="s">
        <v>1042</v>
      </c>
      <c r="AN27" s="455">
        <v>5.32</v>
      </c>
      <c r="AO27" s="1239"/>
      <c r="AP27" s="1239"/>
      <c r="AQ27" s="484"/>
      <c r="AR27" s="484"/>
      <c r="AS27" s="484"/>
      <c r="AT27" s="484">
        <f>+ab($T$27,$T$25,$T$29,$G$26,$G$28, 1*$F$27,1200)</f>
        <v>-13.823660303095991</v>
      </c>
      <c r="AU27" s="638"/>
      <c r="AV27" s="638"/>
      <c r="AW27" s="638" t="str">
        <f>VLOOKUP(C27,'Foundation Calculation'!$A$2:$C$33,3,1)</f>
        <v>Soil A</v>
      </c>
      <c r="AX27" s="572" t="str">
        <f>VLOOKUP(C27,'Foundation Calculation'!$E$2:$G$33,3,1)</f>
        <v>PT</v>
      </c>
      <c r="AY27" s="636">
        <f>IF(AX27="PT",VLOOKUP(L27,'Foundation Calculation'!$K$2:$R$40,VLOOKUP(AW27,'Foundation Calculation'!$I$2:$J$8,2,FALSE),0),IF(AX27="K",VLOOKUP(L27,'Foundation Calculation'!$K$42:$R$80,VLOOKUP(AW27,'Foundation Calculation'!$I$2:$J$8,2,FALSE),0),""))</f>
        <v>5.6</v>
      </c>
      <c r="AZ27" s="484"/>
      <c r="BA27" s="671" t="s">
        <v>2809</v>
      </c>
      <c r="BB27" s="638" t="str">
        <f>Pole_Calculations!A20</f>
        <v>App.7-V11A-P9.5.1.6</v>
      </c>
      <c r="BC27" s="169"/>
      <c r="BD27" s="1329"/>
      <c r="BE27" s="1329"/>
      <c r="BF27" s="1330"/>
      <c r="BG27" s="1329"/>
    </row>
    <row r="28" spans="1:59" ht="15.75" customHeight="1">
      <c r="A28" s="638"/>
      <c r="B28" s="173"/>
      <c r="C28" s="638"/>
      <c r="D28" s="446"/>
      <c r="E28" s="638"/>
      <c r="F28" s="638"/>
      <c r="G28" s="484">
        <v>48</v>
      </c>
      <c r="H28" s="638"/>
      <c r="I28" s="638"/>
      <c r="J28" s="446">
        <f>C29-7.5</f>
        <v>97015.099999999977</v>
      </c>
      <c r="K28" s="638" t="s">
        <v>2788</v>
      </c>
      <c r="L28" s="638"/>
      <c r="M28" s="638"/>
      <c r="N28" s="638"/>
      <c r="O28" s="638"/>
      <c r="P28" s="638"/>
      <c r="Q28" s="638"/>
      <c r="R28" s="638"/>
      <c r="S28" s="484"/>
      <c r="T28" s="638"/>
      <c r="U28" s="638"/>
      <c r="V28" s="638"/>
      <c r="W28" s="638"/>
      <c r="X28" s="638"/>
      <c r="Y28" s="638"/>
      <c r="Z28" s="638"/>
      <c r="AA28" s="638"/>
      <c r="AB28" s="638"/>
      <c r="AC28" s="638"/>
      <c r="AD28" s="638"/>
      <c r="AE28" s="638"/>
      <c r="AF28" s="638"/>
      <c r="AG28" s="446"/>
      <c r="AH28" s="638"/>
      <c r="AI28" s="185"/>
      <c r="AJ28" s="638"/>
      <c r="AK28" s="1239"/>
      <c r="AL28" s="638"/>
      <c r="AM28" s="638"/>
      <c r="AN28" s="455"/>
      <c r="AO28" s="1239"/>
      <c r="AP28" s="1239"/>
      <c r="AQ28" s="484">
        <f>+FL_1($T$29,$T$27,$G$28,1200,9.28, 1*$F$29)</f>
        <v>0.37374370133333329</v>
      </c>
      <c r="AR28" s="484"/>
      <c r="AS28" s="484"/>
      <c r="AT28" s="484"/>
      <c r="AU28" s="638"/>
      <c r="AV28" s="638"/>
      <c r="AW28" s="638" t="str">
        <f>VLOOKUP(J28,'Foundation Calculation'!$A$2:$C$33,3,1)</f>
        <v>Soil A</v>
      </c>
      <c r="AX28" s="572" t="str">
        <f>VLOOKUP(J28,'Foundation Calculation'!$E$2:$G$33,3,1)</f>
        <v>PT</v>
      </c>
      <c r="AY28" s="484"/>
      <c r="AZ28" s="689">
        <f>IF(AX28="PT",VLOOKUP(K28,'Foundation Calculation'!$K$2:$R$40,VLOOKUP(AW28,'Foundation Calculation'!$I$2:$J$8,2,FALSE),0),IF(AX28="K",VLOOKUP(K28,'Foundation Calculation'!$K$42:$R$80,VLOOKUP(AW28,'Foundation Calculation'!$I$2:$J$8,2,FALSE),0),""))</f>
        <v>2.8</v>
      </c>
      <c r="BA28" s="671" t="s">
        <v>2809</v>
      </c>
      <c r="BB28" s="638"/>
      <c r="BC28" s="169"/>
      <c r="BD28" s="1330"/>
      <c r="BE28" s="1330"/>
      <c r="BF28" s="1330"/>
      <c r="BG28" s="1330"/>
    </row>
    <row r="29" spans="1:59" ht="15.75" customHeight="1">
      <c r="A29" s="638"/>
      <c r="B29" s="620" t="s">
        <v>2554</v>
      </c>
      <c r="C29" s="446">
        <f>+$C$27+$G$28</f>
        <v>97022.599999999977</v>
      </c>
      <c r="D29" s="446"/>
      <c r="E29" s="638"/>
      <c r="F29" s="638">
        <v>0</v>
      </c>
      <c r="G29" s="484"/>
      <c r="H29" s="638" t="s">
        <v>2157</v>
      </c>
      <c r="I29" s="638"/>
      <c r="J29" s="446"/>
      <c r="K29" s="638"/>
      <c r="L29" s="638" t="s">
        <v>1698</v>
      </c>
      <c r="M29" s="638" t="str">
        <f>IF(AX29="PT",VLOOKUP(L29,'Foundation Calculation'!$V$2:$X$40,VLOOKUP(AX29,'Foundation Calculation'!$I$10:$J$13,2,FALSE),0),IF(AX29="K",VLOOKUP(L29,'Foundation Calculation'!$V$42:$X$80,VLOOKUP(AX29,'Foundation Calculation'!$I$10:$J$13,2,FALSE),0),""))</f>
        <v>2C4R</v>
      </c>
      <c r="N29" s="638" t="s">
        <v>140</v>
      </c>
      <c r="O29" s="638" t="s">
        <v>144</v>
      </c>
      <c r="P29" s="638"/>
      <c r="Q29" s="638"/>
      <c r="R29" s="638"/>
      <c r="S29" s="484"/>
      <c r="T29" s="638">
        <v>35</v>
      </c>
      <c r="U29" s="638">
        <v>15</v>
      </c>
      <c r="V29" s="638"/>
      <c r="W29" s="638">
        <v>1.4</v>
      </c>
      <c r="X29" s="638">
        <v>1.8</v>
      </c>
      <c r="Y29" s="638"/>
      <c r="Z29" s="638">
        <v>0.45</v>
      </c>
      <c r="AA29" s="638"/>
      <c r="AB29" s="638"/>
      <c r="AC29" s="638"/>
      <c r="AD29" s="638"/>
      <c r="AE29" s="638"/>
      <c r="AF29" s="638"/>
      <c r="AG29" s="446"/>
      <c r="AH29" s="638"/>
      <c r="AI29" s="185"/>
      <c r="AJ29" s="185"/>
      <c r="AK29" s="1239"/>
      <c r="AL29" s="638"/>
      <c r="AM29" s="1239" t="s">
        <v>1042</v>
      </c>
      <c r="AN29" s="455">
        <v>5.43</v>
      </c>
      <c r="AO29" s="1239"/>
      <c r="AP29" s="1239"/>
      <c r="AQ29" s="484"/>
      <c r="AR29" s="484"/>
      <c r="AS29" s="484"/>
      <c r="AT29" s="484">
        <f>+ab($T$29,$T$27,$T$31,$G$28,$G$30, 1*$F$29,1200)</f>
        <v>8.3913667988659721</v>
      </c>
      <c r="AU29" s="638"/>
      <c r="AV29" s="638"/>
      <c r="AW29" s="638" t="str">
        <f>VLOOKUP(C29,'Foundation Calculation'!$A$2:$C$33,3,1)</f>
        <v>Soil A</v>
      </c>
      <c r="AX29" s="572" t="str">
        <f>VLOOKUP(C29,'Foundation Calculation'!$E$2:$G$33,3,1)</f>
        <v>PT</v>
      </c>
      <c r="AY29" s="636">
        <f>IF(AX29="PT",VLOOKUP(L29,'Foundation Calculation'!$K$2:$R$40,VLOOKUP(AW29,'Foundation Calculation'!$I$2:$J$8,2,FALSE),0),IF(AX29="K",VLOOKUP(L29,'Foundation Calculation'!$K$42:$R$80,VLOOKUP(AW29,'Foundation Calculation'!$I$2:$J$8,2,FALSE),0),""))</f>
        <v>5.6</v>
      </c>
      <c r="AZ29" s="484"/>
      <c r="BA29" s="671" t="s">
        <v>2809</v>
      </c>
      <c r="BB29" s="638" t="str">
        <f>Pole_Calculations!A19</f>
        <v>App.7-V11A-P9.5.1.5</v>
      </c>
      <c r="BC29" s="169"/>
      <c r="BD29" s="1329"/>
      <c r="BE29" s="1329"/>
      <c r="BF29" s="1330"/>
      <c r="BG29" s="1329"/>
    </row>
    <row r="30" spans="1:59" ht="15.75" customHeight="1">
      <c r="A30" s="1239"/>
      <c r="B30" s="173"/>
      <c r="C30" s="446"/>
      <c r="D30" s="446"/>
      <c r="E30" s="447"/>
      <c r="F30" s="1239"/>
      <c r="G30" s="484">
        <v>49</v>
      </c>
      <c r="H30" s="638"/>
      <c r="I30" s="638"/>
      <c r="J30" s="446"/>
      <c r="K30" s="638"/>
      <c r="L30" s="638"/>
      <c r="M30" s="638"/>
      <c r="N30" s="1239"/>
      <c r="O30" s="1239"/>
      <c r="P30" s="638"/>
      <c r="Q30" s="638"/>
      <c r="R30" s="638"/>
      <c r="S30" s="484"/>
      <c r="T30" s="638"/>
      <c r="U30" s="638"/>
      <c r="V30" s="638"/>
      <c r="W30" s="638"/>
      <c r="X30" s="638"/>
      <c r="Y30" s="638"/>
      <c r="Z30" s="638"/>
      <c r="AA30" s="638"/>
      <c r="AB30" s="638"/>
      <c r="AC30" s="638"/>
      <c r="AD30" s="638"/>
      <c r="AE30" s="638"/>
      <c r="AF30" s="638"/>
      <c r="AG30" s="446"/>
      <c r="AH30" s="638"/>
      <c r="AI30" s="638"/>
      <c r="AJ30" s="638"/>
      <c r="AK30" s="1239"/>
      <c r="AL30" s="638"/>
      <c r="AM30" s="1239"/>
      <c r="AN30" s="455"/>
      <c r="AO30" s="1239"/>
      <c r="AP30" s="1239"/>
      <c r="AQ30" s="484">
        <f>+FL_1($T$31,$T$29,$G$30,1200,9.28, 1*$F$31)</f>
        <v>0.39941774473469377</v>
      </c>
      <c r="AR30" s="484"/>
      <c r="AS30" s="484"/>
      <c r="AT30" s="484"/>
      <c r="AU30" s="638"/>
      <c r="AV30" s="638"/>
      <c r="AW30" s="638"/>
      <c r="AX30" s="638"/>
      <c r="AY30" s="484"/>
      <c r="AZ30" s="484"/>
      <c r="BA30" s="671"/>
      <c r="BB30" s="1239"/>
      <c r="BC30" s="169"/>
      <c r="BD30" s="1330"/>
      <c r="BE30" s="1330"/>
      <c r="BF30" s="1330"/>
      <c r="BG30" s="1330"/>
    </row>
    <row r="31" spans="1:59" ht="15.75" customHeight="1">
      <c r="A31" s="1239"/>
      <c r="B31" s="620" t="s">
        <v>2555</v>
      </c>
      <c r="C31" s="446">
        <f>+$C$29+$G$30</f>
        <v>97071.599999999977</v>
      </c>
      <c r="D31" s="446"/>
      <c r="E31" s="447"/>
      <c r="F31" s="1239">
        <v>0</v>
      </c>
      <c r="G31" s="484"/>
      <c r="H31" s="638" t="s">
        <v>619</v>
      </c>
      <c r="I31" s="571"/>
      <c r="J31" s="446"/>
      <c r="K31" s="638"/>
      <c r="L31" s="638" t="s">
        <v>895</v>
      </c>
      <c r="M31" s="638" t="s">
        <v>2402</v>
      </c>
      <c r="N31" s="1239" t="s">
        <v>143</v>
      </c>
      <c r="O31" s="1239" t="s">
        <v>140</v>
      </c>
      <c r="P31" s="638"/>
      <c r="Q31" s="638"/>
      <c r="R31" s="638"/>
      <c r="S31" s="484"/>
      <c r="T31" s="638">
        <v>-15</v>
      </c>
      <c r="U31" s="638">
        <v>-35</v>
      </c>
      <c r="V31" s="638"/>
      <c r="W31" s="638">
        <v>1.4</v>
      </c>
      <c r="X31" s="638">
        <v>1.8</v>
      </c>
      <c r="Y31" s="638"/>
      <c r="Z31" s="638"/>
      <c r="AA31" s="638">
        <v>0.38</v>
      </c>
      <c r="AB31" s="638"/>
      <c r="AC31" s="638" t="str">
        <f>IF(OR(AT31&gt;8,AT31&lt;-8),"PH",IF(OR(AT31&gt;5,AT31&lt;-5),"PH-Q",IF(OR(AT31&gt;1,AT31&lt;-1),"PH-C")))</f>
        <v>PH</v>
      </c>
      <c r="AD31" s="638"/>
      <c r="AE31" s="638"/>
      <c r="AF31" s="638"/>
      <c r="AG31" s="446"/>
      <c r="AH31" s="638"/>
      <c r="AI31" s="638"/>
      <c r="AJ31" s="185"/>
      <c r="AK31" s="1239"/>
      <c r="AL31" s="638"/>
      <c r="AM31" s="1239" t="s">
        <v>1043</v>
      </c>
      <c r="AN31" s="455">
        <v>5.5</v>
      </c>
      <c r="AO31" s="1239"/>
      <c r="AP31" s="1239"/>
      <c r="AQ31" s="484"/>
      <c r="AR31" s="484"/>
      <c r="AS31" s="484"/>
      <c r="AT31" s="484">
        <f>+ab($T$31,$T$29,$T$33,$G$30,$G$32, 1*$F$31,1200)</f>
        <v>-9.624249556931586</v>
      </c>
      <c r="AU31" s="638"/>
      <c r="AV31" s="638"/>
      <c r="AW31" s="638"/>
      <c r="AX31" s="638"/>
      <c r="AY31" s="484"/>
      <c r="AZ31" s="484"/>
      <c r="BA31" s="671"/>
      <c r="BB31" s="1239" t="str">
        <f>Pole_Calculations!A19</f>
        <v>App.7-V11A-P9.5.1.5</v>
      </c>
      <c r="BC31" s="169"/>
      <c r="BD31" s="1329"/>
      <c r="BE31" s="1329"/>
      <c r="BF31" s="1330"/>
      <c r="BG31" s="1329"/>
    </row>
    <row r="32" spans="1:59" ht="15.75" customHeight="1">
      <c r="A32" s="1239"/>
      <c r="B32" s="173"/>
      <c r="C32" s="446"/>
      <c r="D32" s="446"/>
      <c r="E32" s="447"/>
      <c r="F32" s="1239"/>
      <c r="G32" s="484">
        <v>41.9</v>
      </c>
      <c r="H32" s="1239"/>
      <c r="I32" s="1239">
        <v>550</v>
      </c>
      <c r="J32" s="446"/>
      <c r="K32" s="638"/>
      <c r="L32" s="638"/>
      <c r="M32" s="638"/>
      <c r="N32" s="1239"/>
      <c r="O32" s="1239"/>
      <c r="P32" s="638"/>
      <c r="Q32" s="638"/>
      <c r="R32" s="638"/>
      <c r="S32" s="484"/>
      <c r="T32" s="638"/>
      <c r="U32" s="638"/>
      <c r="V32" s="638"/>
      <c r="W32" s="638"/>
      <c r="X32" s="638"/>
      <c r="Y32" s="638"/>
      <c r="Z32" s="638"/>
      <c r="AA32" s="638"/>
      <c r="AB32" s="638"/>
      <c r="AC32" s="638"/>
      <c r="AD32" s="638"/>
      <c r="AE32" s="638"/>
      <c r="AF32" s="638"/>
      <c r="AG32" s="446"/>
      <c r="AH32" s="638"/>
      <c r="AI32" s="185"/>
      <c r="AJ32" s="638"/>
      <c r="AK32" s="1239"/>
      <c r="AL32" s="638"/>
      <c r="AM32" s="1239"/>
      <c r="AN32" s="455"/>
      <c r="AO32" s="1239"/>
      <c r="AP32" s="1239"/>
      <c r="AQ32" s="484">
        <f>+FL_1($T$33,$T$31,$G$32,1200,9.28, 1*$F$33)</f>
        <v>0.27863336394272076</v>
      </c>
      <c r="AR32" s="484"/>
      <c r="AS32" s="484"/>
      <c r="AT32" s="484"/>
      <c r="AU32" s="638"/>
      <c r="AV32" s="638"/>
      <c r="AW32" s="638"/>
      <c r="AX32" s="638"/>
      <c r="AY32" s="484"/>
      <c r="AZ32" s="484"/>
      <c r="BA32" s="671"/>
      <c r="BB32" s="1239"/>
      <c r="BC32" s="169"/>
      <c r="BD32" s="1330"/>
      <c r="BE32" s="1330"/>
      <c r="BF32" s="1330"/>
      <c r="BG32" s="1330"/>
    </row>
    <row r="33" spans="1:59" ht="15.75" customHeight="1">
      <c r="A33" s="966" t="s">
        <v>1663</v>
      </c>
      <c r="B33" s="620" t="s">
        <v>2556</v>
      </c>
      <c r="C33" s="505">
        <f>+$C$31+$G$32</f>
        <v>97113.499999999971</v>
      </c>
      <c r="D33" s="505"/>
      <c r="E33" s="507"/>
      <c r="F33" s="509">
        <v>0</v>
      </c>
      <c r="G33" s="508"/>
      <c r="H33" s="506" t="s">
        <v>138</v>
      </c>
      <c r="I33" s="506" t="s">
        <v>624</v>
      </c>
      <c r="J33" s="505"/>
      <c r="K33" s="506"/>
      <c r="L33" s="506" t="s">
        <v>898</v>
      </c>
      <c r="M33" s="506" t="s">
        <v>2402</v>
      </c>
      <c r="N33" s="509" t="s">
        <v>144</v>
      </c>
      <c r="O33" s="509"/>
      <c r="P33" s="506"/>
      <c r="Q33" s="506"/>
      <c r="R33" s="506"/>
      <c r="S33" s="508"/>
      <c r="T33" s="506">
        <v>25</v>
      </c>
      <c r="U33" s="506"/>
      <c r="V33" s="506"/>
      <c r="W33" s="506">
        <v>1.4</v>
      </c>
      <c r="X33" s="506"/>
      <c r="Y33" s="506"/>
      <c r="Z33" s="506"/>
      <c r="AA33" s="506"/>
      <c r="AB33" s="506"/>
      <c r="AC33" s="506" t="str">
        <f>IF(OR(AT33&gt;8,AT33&lt;-8),"PH",IF(OR(AT33&gt;5,AT33&lt;-5),"PH-Q",IF(OR(AT33&gt;1,AT33&lt;-1),"PH-C")))</f>
        <v>PH</v>
      </c>
      <c r="AD33" s="506"/>
      <c r="AE33" s="506"/>
      <c r="AF33" s="506"/>
      <c r="AG33" s="505"/>
      <c r="AH33" s="506"/>
      <c r="AI33" s="608"/>
      <c r="AJ33" s="506"/>
      <c r="AK33" s="509"/>
      <c r="AL33" s="506"/>
      <c r="AM33" s="509" t="s">
        <v>1043</v>
      </c>
      <c r="AN33" s="513">
        <v>5.5</v>
      </c>
      <c r="AO33" s="509"/>
      <c r="AP33" s="509"/>
      <c r="AQ33" s="508"/>
      <c r="AR33" s="508"/>
      <c r="AS33" s="508"/>
      <c r="AT33" s="508">
        <f>+ab($T$33,$T$31,$T$35,$G$32,$G$34, 1*$F$33,1200)</f>
        <v>8.2401200470289258</v>
      </c>
      <c r="AU33" s="506"/>
      <c r="AV33" s="506"/>
      <c r="AW33" s="506"/>
      <c r="AX33" s="506"/>
      <c r="AY33" s="508"/>
      <c r="AZ33" s="508"/>
      <c r="BA33" s="968"/>
      <c r="BB33" s="966" t="str">
        <f>Pole_Calculations!A20</f>
        <v>App.7-V11A-P9.5.1.6</v>
      </c>
      <c r="BC33" s="169"/>
      <c r="BD33" s="1329"/>
      <c r="BE33" s="1329"/>
      <c r="BF33" s="1330"/>
      <c r="BG33" s="1329"/>
    </row>
    <row r="34" spans="1:59" ht="15.75" customHeight="1">
      <c r="A34" s="509"/>
      <c r="B34" s="621"/>
      <c r="C34" s="505"/>
      <c r="D34" s="505"/>
      <c r="E34" s="507"/>
      <c r="F34" s="509"/>
      <c r="G34" s="508">
        <v>40.5</v>
      </c>
      <c r="H34" s="509"/>
      <c r="I34" s="509"/>
      <c r="J34" s="505">
        <f>C33+7.5</f>
        <v>97120.999999999971</v>
      </c>
      <c r="K34" s="506" t="s">
        <v>621</v>
      </c>
      <c r="L34" s="506"/>
      <c r="M34" s="506"/>
      <c r="N34" s="509"/>
      <c r="O34" s="506"/>
      <c r="P34" s="506"/>
      <c r="Q34" s="506"/>
      <c r="R34" s="506"/>
      <c r="S34" s="508"/>
      <c r="T34" s="506"/>
      <c r="U34" s="506"/>
      <c r="V34" s="506"/>
      <c r="W34" s="506"/>
      <c r="X34" s="506"/>
      <c r="Y34" s="506"/>
      <c r="Z34" s="506"/>
      <c r="AA34" s="506"/>
      <c r="AB34" s="506"/>
      <c r="AC34" s="506"/>
      <c r="AD34" s="506"/>
      <c r="AE34" s="506"/>
      <c r="AF34" s="506"/>
      <c r="AG34" s="505"/>
      <c r="AH34" s="506"/>
      <c r="AI34" s="608"/>
      <c r="AJ34" s="506"/>
      <c r="AK34" s="509"/>
      <c r="AL34" s="506"/>
      <c r="AM34" s="509"/>
      <c r="AN34" s="513"/>
      <c r="AO34" s="509"/>
      <c r="AP34" s="509"/>
      <c r="AQ34" s="508">
        <f>+FL_2($T$35,$T$33,$G$34,1200,9.28, 1*$F$35)</f>
        <v>-0.44643125293343222</v>
      </c>
      <c r="AR34" s="508"/>
      <c r="AS34" s="508"/>
      <c r="AT34" s="508"/>
      <c r="AU34" s="506"/>
      <c r="AV34" s="506"/>
      <c r="AW34" s="506"/>
      <c r="AX34" s="506"/>
      <c r="AY34" s="508"/>
      <c r="AZ34" s="508"/>
      <c r="BA34" s="968"/>
      <c r="BB34" s="509"/>
      <c r="BC34" s="169"/>
      <c r="BD34" s="1330"/>
      <c r="BE34" s="1330"/>
      <c r="BF34" s="1330"/>
      <c r="BG34" s="1330"/>
    </row>
    <row r="35" spans="1:59" ht="15.75" customHeight="1">
      <c r="A35" s="1239"/>
      <c r="B35" s="620" t="s">
        <v>2557</v>
      </c>
      <c r="C35" s="446">
        <f>+$C$33+$G$34</f>
        <v>97153.999999999971</v>
      </c>
      <c r="D35" s="446"/>
      <c r="E35" s="447"/>
      <c r="F35" s="1239">
        <v>968</v>
      </c>
      <c r="G35" s="484"/>
      <c r="H35" s="616"/>
      <c r="I35" s="616"/>
      <c r="J35" s="446"/>
      <c r="K35" s="638"/>
      <c r="L35" s="638" t="s">
        <v>230</v>
      </c>
      <c r="M35" s="638" t="s">
        <v>2402</v>
      </c>
      <c r="N35" s="638" t="s">
        <v>143</v>
      </c>
      <c r="O35" s="1239"/>
      <c r="P35" s="638"/>
      <c r="Q35" s="638"/>
      <c r="R35" s="638"/>
      <c r="S35" s="484"/>
      <c r="T35" s="638">
        <v>-30</v>
      </c>
      <c r="U35" s="638"/>
      <c r="V35" s="638"/>
      <c r="W35" s="638">
        <v>1.4</v>
      </c>
      <c r="X35" s="638"/>
      <c r="Y35" s="638"/>
      <c r="Z35" s="638"/>
      <c r="AA35" s="638"/>
      <c r="AB35" s="638"/>
      <c r="AC35" s="638" t="str">
        <f>IF(OR(AT35&gt;8,AT35&lt;-8),"PH",IF(OR(AT35&gt;5,AT35&lt;-5),"PH-Q",IF(OR(AT35&gt;1,AT35&lt;-1),"PH-C")))</f>
        <v>PH</v>
      </c>
      <c r="AD35" s="638"/>
      <c r="AE35" s="638"/>
      <c r="AF35" s="638"/>
      <c r="AG35" s="446"/>
      <c r="AH35" s="638"/>
      <c r="AI35" s="185"/>
      <c r="AJ35" s="638"/>
      <c r="AK35" s="1239"/>
      <c r="AL35" s="638"/>
      <c r="AM35" s="1239" t="s">
        <v>1043</v>
      </c>
      <c r="AN35" s="455">
        <v>5.5</v>
      </c>
      <c r="AO35" s="1239"/>
      <c r="AP35" s="1239"/>
      <c r="AQ35" s="484"/>
      <c r="AR35" s="484"/>
      <c r="AS35" s="484"/>
      <c r="AT35" s="484">
        <f>+ab($T$35,$T$33,$T$37,$G$34,$G$36, 1*$F$35,1200)</f>
        <v>14.446466890654895</v>
      </c>
      <c r="AU35" s="638"/>
      <c r="AV35" s="638"/>
      <c r="AW35" s="638"/>
      <c r="AX35" s="638"/>
      <c r="AY35" s="484"/>
      <c r="AZ35" s="484"/>
      <c r="BA35" s="671"/>
      <c r="BB35" s="1239" t="str">
        <f>Pole_Calculations!A15</f>
        <v>App.7-V11A-P9.5.1.1</v>
      </c>
      <c r="BC35" s="169"/>
      <c r="BD35" s="1329"/>
      <c r="BE35" s="1329"/>
      <c r="BF35" s="1330"/>
      <c r="BG35" s="1329"/>
    </row>
    <row r="36" spans="1:59" ht="15.75" customHeight="1">
      <c r="A36" s="1239"/>
      <c r="B36" s="173"/>
      <c r="C36" s="446"/>
      <c r="D36" s="446"/>
      <c r="E36" s="447"/>
      <c r="F36" s="1239"/>
      <c r="G36" s="484">
        <v>40</v>
      </c>
      <c r="H36" s="609"/>
      <c r="I36" s="610"/>
      <c r="J36" s="446"/>
      <c r="K36" s="638"/>
      <c r="L36" s="638"/>
      <c r="M36" s="638"/>
      <c r="N36" s="1239"/>
      <c r="O36" s="638"/>
      <c r="P36" s="638"/>
      <c r="Q36" s="638"/>
      <c r="R36" s="638"/>
      <c r="S36" s="484"/>
      <c r="T36" s="638"/>
      <c r="U36" s="638"/>
      <c r="V36" s="638"/>
      <c r="W36" s="638"/>
      <c r="X36" s="638"/>
      <c r="Y36" s="638"/>
      <c r="Z36" s="638"/>
      <c r="AA36" s="638"/>
      <c r="AB36" s="638"/>
      <c r="AC36" s="638"/>
      <c r="AD36" s="638"/>
      <c r="AE36" s="638"/>
      <c r="AF36" s="638"/>
      <c r="AG36" s="446"/>
      <c r="AH36" s="638"/>
      <c r="AI36" s="185"/>
      <c r="AJ36" s="638"/>
      <c r="AK36" s="1239"/>
      <c r="AL36" s="638"/>
      <c r="AM36" s="1239"/>
      <c r="AN36" s="455"/>
      <c r="AO36" s="1239"/>
      <c r="AP36" s="1239"/>
      <c r="AQ36" s="484">
        <f>+FL_2($T$37,$T$35,$G$36,1200,9.28, 1*$F$37)</f>
        <v>-0.48622652050892756</v>
      </c>
      <c r="AR36" s="484"/>
      <c r="AS36" s="484"/>
      <c r="AT36" s="484"/>
      <c r="AU36" s="638"/>
      <c r="AV36" s="638"/>
      <c r="AW36" s="638"/>
      <c r="AX36" s="638"/>
      <c r="AY36" s="484"/>
      <c r="AZ36" s="484"/>
      <c r="BA36" s="671"/>
      <c r="BB36" s="1239"/>
      <c r="BC36" s="169"/>
      <c r="BD36" s="1330"/>
      <c r="BE36" s="1330"/>
      <c r="BF36" s="1330"/>
      <c r="BG36" s="1330"/>
    </row>
    <row r="37" spans="1:59" ht="15.75" customHeight="1">
      <c r="A37" s="1239"/>
      <c r="B37" s="435" t="s">
        <v>2558</v>
      </c>
      <c r="C37" s="446">
        <f>+$C$35+$G$36</f>
        <v>97193.999999999971</v>
      </c>
      <c r="D37" s="173"/>
      <c r="E37" s="447"/>
      <c r="F37" s="447">
        <v>715</v>
      </c>
      <c r="G37" s="484"/>
      <c r="H37" s="1239"/>
      <c r="I37" s="1239"/>
      <c r="J37" s="171"/>
      <c r="K37" s="638"/>
      <c r="L37" s="638" t="s">
        <v>230</v>
      </c>
      <c r="M37" s="638" t="s">
        <v>2402</v>
      </c>
      <c r="N37" s="1239" t="s">
        <v>144</v>
      </c>
      <c r="O37" s="1239"/>
      <c r="P37" s="1239"/>
      <c r="Q37" s="638"/>
      <c r="R37" s="638"/>
      <c r="S37" s="484"/>
      <c r="T37" s="638">
        <v>30</v>
      </c>
      <c r="U37" s="638"/>
      <c r="V37" s="638"/>
      <c r="W37" s="638">
        <v>1.4</v>
      </c>
      <c r="X37" s="638"/>
      <c r="Y37" s="638"/>
      <c r="Z37" s="638"/>
      <c r="AA37" s="638"/>
      <c r="AB37" s="638"/>
      <c r="AC37" s="638" t="str">
        <f>IF(OR(AT37&gt;8,AT37&lt;-8),"PH",IF(OR(AT37&gt;5,AT37&lt;-5),"PH-Q",IF(OR(AT37&gt;1,AT37&lt;-1),"PH-C")))</f>
        <v>PH-C</v>
      </c>
      <c r="AD37" s="638"/>
      <c r="AE37" s="638"/>
      <c r="AF37" s="638"/>
      <c r="AG37" s="446"/>
      <c r="AH37" s="638"/>
      <c r="AI37" s="638"/>
      <c r="AJ37" s="638"/>
      <c r="AK37" s="638"/>
      <c r="AL37" s="638"/>
      <c r="AM37" s="638" t="s">
        <v>1043</v>
      </c>
      <c r="AN37" s="455">
        <v>5.5</v>
      </c>
      <c r="AO37" s="1239"/>
      <c r="AP37" s="1239"/>
      <c r="AQ37" s="484"/>
      <c r="AR37" s="484"/>
      <c r="AS37" s="484"/>
      <c r="AT37" s="484">
        <f>+ab($T$37,$T$35,$T$39,$G$36,$G$38, 1*$F$37,1200)</f>
        <v>2.6764947053759114</v>
      </c>
      <c r="AU37" s="638"/>
      <c r="AV37" s="638"/>
      <c r="AW37" s="638"/>
      <c r="AX37" s="638"/>
      <c r="AY37" s="484"/>
      <c r="AZ37" s="484"/>
      <c r="BA37" s="671"/>
      <c r="BB37" s="1239" t="str">
        <f>Pole_Calculations!A15</f>
        <v>App.7-V11A-P9.5.1.1</v>
      </c>
      <c r="BC37" s="169"/>
      <c r="BD37" s="1329"/>
      <c r="BE37" s="1329"/>
      <c r="BF37" s="1330"/>
      <c r="BG37" s="1329"/>
    </row>
    <row r="38" spans="1:59" ht="15.75" customHeight="1">
      <c r="A38" s="1239"/>
      <c r="B38" s="173"/>
      <c r="C38" s="446"/>
      <c r="D38" s="446"/>
      <c r="E38" s="447"/>
      <c r="F38" s="1239"/>
      <c r="G38" s="484">
        <v>41</v>
      </c>
      <c r="H38" s="571"/>
      <c r="I38" s="580"/>
      <c r="J38" s="446">
        <f>C39-7.5</f>
        <v>97227.499999999971</v>
      </c>
      <c r="K38" s="638" t="s">
        <v>625</v>
      </c>
      <c r="L38" s="638"/>
      <c r="M38" s="638"/>
      <c r="N38" s="1239"/>
      <c r="O38" s="1239"/>
      <c r="P38" s="638"/>
      <c r="Q38" s="638"/>
      <c r="R38" s="638"/>
      <c r="S38" s="484"/>
      <c r="T38" s="638"/>
      <c r="U38" s="638"/>
      <c r="V38" s="638"/>
      <c r="W38" s="638"/>
      <c r="X38" s="638"/>
      <c r="Y38" s="638"/>
      <c r="Z38" s="638"/>
      <c r="AA38" s="638"/>
      <c r="AB38" s="638"/>
      <c r="AC38" s="638"/>
      <c r="AD38" s="638"/>
      <c r="AE38" s="638"/>
      <c r="AF38" s="638"/>
      <c r="AG38" s="446"/>
      <c r="AH38" s="638"/>
      <c r="AI38" s="185"/>
      <c r="AJ38" s="638"/>
      <c r="AK38" s="1239"/>
      <c r="AL38" s="638"/>
      <c r="AM38" s="1239"/>
      <c r="AN38" s="455"/>
      <c r="AO38" s="1239"/>
      <c r="AP38" s="1239"/>
      <c r="AQ38" s="484">
        <f>+FL_1($T$39,$T$37,$G$38,1200,9.28, 1*$F$39)</f>
        <v>0.34903476774583464</v>
      </c>
      <c r="AR38" s="484"/>
      <c r="AS38" s="484"/>
      <c r="AT38" s="484"/>
      <c r="AU38" s="638"/>
      <c r="AV38" s="638"/>
      <c r="AW38" s="638"/>
      <c r="AX38" s="638"/>
      <c r="AY38" s="484"/>
      <c r="AZ38" s="484"/>
      <c r="BA38" s="671"/>
      <c r="BB38" s="1239"/>
      <c r="BC38" s="169"/>
      <c r="BD38" s="1330"/>
      <c r="BE38" s="1330"/>
      <c r="BF38" s="1330"/>
      <c r="BG38" s="1330"/>
    </row>
    <row r="39" spans="1:59" ht="15.75" customHeight="1">
      <c r="A39" s="467"/>
      <c r="B39" s="622" t="s">
        <v>2559</v>
      </c>
      <c r="C39" s="463">
        <f>+$C$37+$G$38</f>
        <v>97234.999999999971</v>
      </c>
      <c r="D39" s="463"/>
      <c r="E39" s="465"/>
      <c r="F39" s="467">
        <v>1852</v>
      </c>
      <c r="G39" s="466"/>
      <c r="H39" s="464"/>
      <c r="I39" s="464" t="s">
        <v>1040</v>
      </c>
      <c r="J39" s="463"/>
      <c r="K39" s="464"/>
      <c r="L39" s="464" t="s">
        <v>818</v>
      </c>
      <c r="M39" s="464" t="s">
        <v>2402</v>
      </c>
      <c r="N39" s="467" t="s">
        <v>144</v>
      </c>
      <c r="O39" s="467"/>
      <c r="P39" s="464"/>
      <c r="Q39" s="464"/>
      <c r="R39" s="464"/>
      <c r="S39" s="466"/>
      <c r="T39" s="464">
        <v>30</v>
      </c>
      <c r="U39" s="464"/>
      <c r="V39" s="464"/>
      <c r="W39" s="464">
        <v>1.4</v>
      </c>
      <c r="X39" s="464"/>
      <c r="Y39" s="464"/>
      <c r="Z39" s="464"/>
      <c r="AA39" s="464"/>
      <c r="AB39" s="464"/>
      <c r="AC39" s="464" t="str">
        <f>IF(OR(AT39&gt;8,AT39&lt;-8),"PH",IF(OR(AT39&gt;5,AT39&lt;-5),"PH-Q",IF(OR(AT39&gt;1,AT39&lt;-1),"PH-C")))</f>
        <v>PH</v>
      </c>
      <c r="AD39" s="464"/>
      <c r="AE39" s="464"/>
      <c r="AF39" s="464"/>
      <c r="AG39" s="463"/>
      <c r="AH39" s="464"/>
      <c r="AI39" s="611"/>
      <c r="AJ39" s="611" t="s">
        <v>2553</v>
      </c>
      <c r="AK39" s="467"/>
      <c r="AL39" s="464"/>
      <c r="AM39" s="467" t="s">
        <v>1043</v>
      </c>
      <c r="AN39" s="474">
        <v>5.5</v>
      </c>
      <c r="AO39" s="467"/>
      <c r="AP39" s="467"/>
      <c r="AQ39" s="466"/>
      <c r="AR39" s="466"/>
      <c r="AS39" s="466"/>
      <c r="AT39" s="466">
        <f>+ab($T$39,$T$37,$T$41,$G$38,$G$40, 1*$F$39,1200)</f>
        <v>8.6026981404647174</v>
      </c>
      <c r="AU39" s="464"/>
      <c r="AV39" s="464"/>
      <c r="AW39" s="464"/>
      <c r="AX39" s="464"/>
      <c r="AY39" s="466"/>
      <c r="AZ39" s="466"/>
      <c r="BA39" s="674"/>
      <c r="BB39" s="467" t="str">
        <f>Pole_Calculations!A15</f>
        <v>App.7-V11A-P9.5.1.1</v>
      </c>
      <c r="BC39" s="169"/>
      <c r="BD39" s="1329"/>
      <c r="BE39" s="1329"/>
      <c r="BF39" s="1330"/>
      <c r="BG39" s="1329"/>
    </row>
    <row r="40" spans="1:59" ht="15.75" customHeight="1">
      <c r="A40" s="467" t="s">
        <v>2199</v>
      </c>
      <c r="B40" s="622"/>
      <c r="C40" s="463"/>
      <c r="D40" s="463"/>
      <c r="E40" s="465"/>
      <c r="F40" s="467"/>
      <c r="G40" s="466">
        <v>41</v>
      </c>
      <c r="H40" s="612"/>
      <c r="I40" s="612"/>
      <c r="J40" s="463"/>
      <c r="K40" s="464"/>
      <c r="L40" s="464"/>
      <c r="M40" s="464"/>
      <c r="N40" s="467"/>
      <c r="O40" s="467"/>
      <c r="P40" s="464"/>
      <c r="Q40" s="464"/>
      <c r="R40" s="464"/>
      <c r="S40" s="466"/>
      <c r="T40" s="464"/>
      <c r="U40" s="464"/>
      <c r="V40" s="464"/>
      <c r="W40" s="464"/>
      <c r="X40" s="464"/>
      <c r="Y40" s="464"/>
      <c r="Z40" s="464"/>
      <c r="AA40" s="464"/>
      <c r="AB40" s="464"/>
      <c r="AC40" s="464"/>
      <c r="AD40" s="464"/>
      <c r="AE40" s="464"/>
      <c r="AF40" s="464"/>
      <c r="AG40" s="463"/>
      <c r="AH40" s="464"/>
      <c r="AI40" s="611"/>
      <c r="AJ40" s="464"/>
      <c r="AK40" s="467"/>
      <c r="AL40" s="464"/>
      <c r="AM40" s="467"/>
      <c r="AN40" s="474"/>
      <c r="AO40" s="467"/>
      <c r="AP40" s="467"/>
      <c r="AQ40" s="466">
        <f>+FL_1($T$41,$T$39,$G$40,1200,9.28, 1*$F$41)</f>
        <v>0.46249666666666667</v>
      </c>
      <c r="AR40" s="466"/>
      <c r="AS40" s="466"/>
      <c r="AT40" s="466"/>
      <c r="AU40" s="464"/>
      <c r="AV40" s="464"/>
      <c r="AW40" s="464"/>
      <c r="AX40" s="464"/>
      <c r="AY40" s="466"/>
      <c r="AZ40" s="466"/>
      <c r="BA40" s="674"/>
      <c r="BB40" s="467"/>
      <c r="BC40" s="169"/>
      <c r="BD40" s="1330"/>
      <c r="BE40" s="1330"/>
      <c r="BF40" s="1330"/>
      <c r="BG40" s="1330"/>
    </row>
    <row r="41" spans="1:59" ht="15.75" customHeight="1">
      <c r="A41" s="467"/>
      <c r="B41" s="622" t="s">
        <v>2560</v>
      </c>
      <c r="C41" s="463">
        <f>+$C$39+$G$40</f>
        <v>97275.999999999971</v>
      </c>
      <c r="D41" s="463"/>
      <c r="E41" s="465"/>
      <c r="F41" s="467">
        <v>0</v>
      </c>
      <c r="G41" s="466"/>
      <c r="H41" s="613"/>
      <c r="I41" s="613"/>
      <c r="J41" s="463"/>
      <c r="K41" s="464"/>
      <c r="L41" s="464" t="s">
        <v>230</v>
      </c>
      <c r="M41" s="464" t="s">
        <v>2402</v>
      </c>
      <c r="N41" s="467" t="s">
        <v>144</v>
      </c>
      <c r="O41" s="467"/>
      <c r="P41" s="464"/>
      <c r="Q41" s="464"/>
      <c r="R41" s="464"/>
      <c r="S41" s="466"/>
      <c r="T41" s="464">
        <v>30</v>
      </c>
      <c r="U41" s="464"/>
      <c r="V41" s="464"/>
      <c r="W41" s="464">
        <v>1.4</v>
      </c>
      <c r="X41" s="464"/>
      <c r="Y41" s="464"/>
      <c r="Z41" s="464"/>
      <c r="AA41" s="464"/>
      <c r="AB41" s="464"/>
      <c r="AC41" s="464" t="str">
        <f>IF(OR(AT41&gt;8,AT41&lt;-8),"PH",IF(OR(AT41&gt;5,AT41&lt;-5),"PH-Q",IF(OR(AT41&gt;1,AT41&lt;-1),"PH-C")))</f>
        <v>PH</v>
      </c>
      <c r="AD41" s="464"/>
      <c r="AE41" s="464"/>
      <c r="AF41" s="464"/>
      <c r="AG41" s="463"/>
      <c r="AH41" s="464"/>
      <c r="AI41" s="611"/>
      <c r="AJ41" s="611" t="s">
        <v>2553</v>
      </c>
      <c r="AK41" s="467"/>
      <c r="AL41" s="464"/>
      <c r="AM41" s="467" t="s">
        <v>1043</v>
      </c>
      <c r="AN41" s="474">
        <v>5.5</v>
      </c>
      <c r="AO41" s="467"/>
      <c r="AP41" s="467"/>
      <c r="AQ41" s="466"/>
      <c r="AR41" s="466"/>
      <c r="AS41" s="466"/>
      <c r="AT41" s="466">
        <f>+ab($T$41,$T$39,$T$43,$G$40,$G$42, 1*$F$41,1200)</f>
        <v>15.324094233619135</v>
      </c>
      <c r="AU41" s="464"/>
      <c r="AV41" s="464"/>
      <c r="AW41" s="464"/>
      <c r="AX41" s="464"/>
      <c r="AY41" s="466"/>
      <c r="AZ41" s="466"/>
      <c r="BA41" s="674"/>
      <c r="BB41" s="467" t="str">
        <f>Pole_Calculations!A15</f>
        <v>App.7-V11A-P9.5.1.1</v>
      </c>
      <c r="BC41" s="169"/>
      <c r="BD41" s="1329"/>
      <c r="BE41" s="1329"/>
      <c r="BF41" s="1330"/>
      <c r="BG41" s="1329"/>
    </row>
    <row r="42" spans="1:59" ht="15.75" customHeight="1">
      <c r="A42" s="467"/>
      <c r="B42" s="622"/>
      <c r="C42" s="463"/>
      <c r="D42" s="463"/>
      <c r="E42" s="465"/>
      <c r="F42" s="467"/>
      <c r="G42" s="466">
        <v>45</v>
      </c>
      <c r="H42" s="613"/>
      <c r="I42" s="613"/>
      <c r="J42" s="463">
        <f>C43-7.5</f>
        <v>97313.499999999971</v>
      </c>
      <c r="K42" s="464" t="s">
        <v>621</v>
      </c>
      <c r="L42" s="464"/>
      <c r="M42" s="464"/>
      <c r="N42" s="467"/>
      <c r="O42" s="467"/>
      <c r="P42" s="464"/>
      <c r="Q42" s="464"/>
      <c r="R42" s="464"/>
      <c r="S42" s="466"/>
      <c r="T42" s="464"/>
      <c r="U42" s="464"/>
      <c r="V42" s="464"/>
      <c r="W42" s="464"/>
      <c r="X42" s="464"/>
      <c r="Y42" s="464"/>
      <c r="Z42" s="464"/>
      <c r="AA42" s="464"/>
      <c r="AB42" s="464"/>
      <c r="AC42" s="464"/>
      <c r="AD42" s="464"/>
      <c r="AE42" s="464"/>
      <c r="AF42" s="464"/>
      <c r="AG42" s="463"/>
      <c r="AH42" s="464"/>
      <c r="AI42" s="611"/>
      <c r="AJ42" s="464"/>
      <c r="AK42" s="467"/>
      <c r="AL42" s="464"/>
      <c r="AM42" s="467"/>
      <c r="AN42" s="474"/>
      <c r="AO42" s="467"/>
      <c r="AP42" s="467"/>
      <c r="AQ42" s="466">
        <f>+FL_2($T$43,$T$41,$G$42,1200,9.28, 1*$F$43)</f>
        <v>-0.26733364444444441</v>
      </c>
      <c r="AR42" s="466"/>
      <c r="AS42" s="466"/>
      <c r="AT42" s="466"/>
      <c r="AU42" s="464"/>
      <c r="AV42" s="464"/>
      <c r="AW42" s="464"/>
      <c r="AX42" s="464"/>
      <c r="AY42" s="466"/>
      <c r="AZ42" s="466"/>
      <c r="BA42" s="674"/>
      <c r="BB42" s="467"/>
      <c r="BC42" s="169"/>
      <c r="BD42" s="1330"/>
      <c r="BE42" s="1330"/>
      <c r="BF42" s="1330"/>
      <c r="BG42" s="1330"/>
    </row>
    <row r="43" spans="1:59" ht="15.75" customHeight="1">
      <c r="A43" s="1239"/>
      <c r="B43" s="435" t="s">
        <v>2561</v>
      </c>
      <c r="C43" s="446">
        <f>+$C$41+$G$42</f>
        <v>97320.999999999971</v>
      </c>
      <c r="D43" s="173"/>
      <c r="E43" s="447"/>
      <c r="F43" s="447">
        <v>0</v>
      </c>
      <c r="G43" s="484"/>
      <c r="H43" s="1239" t="s">
        <v>138</v>
      </c>
      <c r="I43" s="1239" t="s">
        <v>624</v>
      </c>
      <c r="J43" s="171"/>
      <c r="K43" s="638"/>
      <c r="L43" s="638" t="s">
        <v>898</v>
      </c>
      <c r="M43" s="638" t="s">
        <v>2402</v>
      </c>
      <c r="N43" s="1239" t="s">
        <v>143</v>
      </c>
      <c r="O43" s="1239"/>
      <c r="P43" s="1239"/>
      <c r="Q43" s="638"/>
      <c r="R43" s="638"/>
      <c r="S43" s="484"/>
      <c r="T43" s="638">
        <v>-25</v>
      </c>
      <c r="U43" s="638"/>
      <c r="V43" s="638"/>
      <c r="W43" s="638">
        <v>1.4</v>
      </c>
      <c r="X43" s="638"/>
      <c r="Y43" s="638"/>
      <c r="Z43" s="638"/>
      <c r="AA43" s="638"/>
      <c r="AB43" s="638"/>
      <c r="AC43" s="638" t="str">
        <f>IF(OR(AT43&gt;8,AT43&lt;-8),"PH",IF(OR(AT43&gt;5,AT43&lt;-5),"PH-Q",IF(OR(AT43&gt;1,AT43&lt;-1),"PH-C")))</f>
        <v>PH-Q</v>
      </c>
      <c r="AD43" s="638"/>
      <c r="AE43" s="638"/>
      <c r="AF43" s="638"/>
      <c r="AG43" s="446"/>
      <c r="AH43" s="638"/>
      <c r="AI43" s="638"/>
      <c r="AJ43" s="638" t="s">
        <v>2553</v>
      </c>
      <c r="AK43" s="638"/>
      <c r="AL43" s="638"/>
      <c r="AM43" s="638" t="s">
        <v>1043</v>
      </c>
      <c r="AN43" s="455">
        <v>5.5</v>
      </c>
      <c r="AO43" s="1239"/>
      <c r="AP43" s="1239"/>
      <c r="AQ43" s="484"/>
      <c r="AR43" s="484"/>
      <c r="AS43" s="484"/>
      <c r="AT43" s="484">
        <f>+ab($T$43,$T$41,$T$45,$G$42,$G$44, 1*$F$43,1200)</f>
        <v>-6.3700552591313802</v>
      </c>
      <c r="AU43" s="638"/>
      <c r="AV43" s="638"/>
      <c r="AW43" s="638"/>
      <c r="AX43" s="638"/>
      <c r="AY43" s="484"/>
      <c r="AZ43" s="484"/>
      <c r="BA43" s="671"/>
      <c r="BB43" s="1239" t="str">
        <f>Pole_Calculations!A20</f>
        <v>App.7-V11A-P9.5.1.6</v>
      </c>
      <c r="BC43" s="169"/>
      <c r="BD43" s="1329"/>
      <c r="BE43" s="1329"/>
      <c r="BF43" s="1330"/>
      <c r="BG43" s="1329"/>
    </row>
    <row r="44" spans="1:59" ht="15.75" customHeight="1">
      <c r="A44" s="1239"/>
      <c r="B44" s="173"/>
      <c r="C44" s="446"/>
      <c r="D44" s="446"/>
      <c r="E44" s="447"/>
      <c r="F44" s="1239"/>
      <c r="G44" s="484">
        <v>45</v>
      </c>
      <c r="H44" s="638"/>
      <c r="I44" s="447"/>
      <c r="J44" s="446"/>
      <c r="K44" s="638"/>
      <c r="L44" s="638"/>
      <c r="M44" s="638"/>
      <c r="N44" s="1239"/>
      <c r="O44" s="1239"/>
      <c r="P44" s="638"/>
      <c r="Q44" s="638"/>
      <c r="R44" s="638"/>
      <c r="S44" s="484"/>
      <c r="T44" s="638"/>
      <c r="U44" s="638"/>
      <c r="V44" s="638"/>
      <c r="W44" s="638"/>
      <c r="X44" s="638"/>
      <c r="Y44" s="638"/>
      <c r="Z44" s="638"/>
      <c r="AA44" s="638"/>
      <c r="AB44" s="638"/>
      <c r="AC44" s="638"/>
      <c r="AD44" s="638"/>
      <c r="AE44" s="638"/>
      <c r="AF44" s="638"/>
      <c r="AG44" s="446"/>
      <c r="AH44" s="638"/>
      <c r="AI44" s="185"/>
      <c r="AJ44" s="638"/>
      <c r="AK44" s="1239"/>
      <c r="AL44" s="638"/>
      <c r="AM44" s="1239"/>
      <c r="AN44" s="455"/>
      <c r="AO44" s="1239"/>
      <c r="AP44" s="1239"/>
      <c r="AQ44" s="484">
        <f>+FL_1($U$45,$T$43,$G$44,1200,9.28, 1*$F$45)</f>
        <v>0.15986238577777778</v>
      </c>
      <c r="AR44" s="484"/>
      <c r="AS44" s="484"/>
      <c r="AT44" s="484"/>
      <c r="AU44" s="638"/>
      <c r="AV44" s="638"/>
      <c r="AW44" s="638"/>
      <c r="AX44" s="638"/>
      <c r="AY44" s="484"/>
      <c r="AZ44" s="484"/>
      <c r="BA44" s="671"/>
      <c r="BB44" s="1239"/>
      <c r="BC44" s="169"/>
      <c r="BD44" s="1330"/>
      <c r="BE44" s="1330"/>
      <c r="BF44" s="1330"/>
      <c r="BG44" s="1330"/>
    </row>
    <row r="45" spans="1:59" ht="15.75" customHeight="1">
      <c r="A45" s="1239"/>
      <c r="B45" s="435" t="s">
        <v>2562</v>
      </c>
      <c r="C45" s="446">
        <f>+$C$43+$G$44</f>
        <v>97365.999999999971</v>
      </c>
      <c r="D45" s="173"/>
      <c r="E45" s="447"/>
      <c r="F45" s="447">
        <v>0</v>
      </c>
      <c r="G45" s="484"/>
      <c r="H45" s="1239" t="s">
        <v>619</v>
      </c>
      <c r="I45" s="1239"/>
      <c r="J45" s="171"/>
      <c r="K45" s="638"/>
      <c r="L45" s="638" t="s">
        <v>895</v>
      </c>
      <c r="M45" s="638" t="s">
        <v>2402</v>
      </c>
      <c r="N45" s="1239" t="s">
        <v>140</v>
      </c>
      <c r="O45" s="1239" t="s">
        <v>144</v>
      </c>
      <c r="P45" s="1239"/>
      <c r="Q45" s="638"/>
      <c r="R45" s="638"/>
      <c r="S45" s="484"/>
      <c r="T45" s="638">
        <v>55</v>
      </c>
      <c r="U45" s="638">
        <v>10</v>
      </c>
      <c r="V45" s="638"/>
      <c r="W45" s="638">
        <v>1.4</v>
      </c>
      <c r="X45" s="638">
        <v>1.8</v>
      </c>
      <c r="Y45" s="638"/>
      <c r="Z45" s="638">
        <v>0.45</v>
      </c>
      <c r="AA45" s="638"/>
      <c r="AB45" s="638"/>
      <c r="AC45" s="638" t="str">
        <f>IF(OR(AT45&gt;8,AT45&lt;-8),"PH",IF(OR(AT45&gt;5,AT45&lt;-5),"PH-Q",IF(OR(AT45&gt;1,AT45&lt;-1),"PH-C")))</f>
        <v>PH-Q</v>
      </c>
      <c r="AD45" s="638"/>
      <c r="AE45" s="638"/>
      <c r="AF45" s="638"/>
      <c r="AG45" s="446"/>
      <c r="AH45" s="638"/>
      <c r="AI45" s="638"/>
      <c r="AJ45" s="638" t="s">
        <v>2553</v>
      </c>
      <c r="AK45" s="638"/>
      <c r="AL45" s="638"/>
      <c r="AM45" s="638" t="s">
        <v>1043</v>
      </c>
      <c r="AN45" s="455">
        <v>5.5</v>
      </c>
      <c r="AO45" s="1239"/>
      <c r="AP45" s="1239"/>
      <c r="AQ45" s="484"/>
      <c r="AR45" s="484"/>
      <c r="AS45" s="484"/>
      <c r="AT45" s="484">
        <f>+ab($T$45,$T$43,$T$47,$G$44,$G$46, 1*$F$45,1200)</f>
        <v>6.2103343576903898</v>
      </c>
      <c r="AU45" s="638"/>
      <c r="AV45" s="638"/>
      <c r="AW45" s="638"/>
      <c r="AX45" s="638"/>
      <c r="AY45" s="484"/>
      <c r="AZ45" s="484"/>
      <c r="BA45" s="671"/>
      <c r="BB45" s="1239" t="str">
        <f>Pole_Calculations!A156</f>
        <v>App.7.1-V01-P9.5.1.5</v>
      </c>
      <c r="BC45" s="169"/>
      <c r="BD45" s="1329"/>
      <c r="BE45" s="1329"/>
      <c r="BF45" s="1330"/>
      <c r="BG45" s="1329"/>
    </row>
    <row r="46" spans="1:59" ht="15.75" customHeight="1">
      <c r="A46" s="1239"/>
      <c r="B46" s="173"/>
      <c r="C46" s="446"/>
      <c r="D46" s="446"/>
      <c r="E46" s="447"/>
      <c r="F46" s="1239"/>
      <c r="G46" s="484">
        <v>50</v>
      </c>
      <c r="H46" s="638"/>
      <c r="I46" s="447"/>
      <c r="J46" s="446">
        <f>C47-7.5</f>
        <v>97408.499999999971</v>
      </c>
      <c r="K46" s="638" t="s">
        <v>621</v>
      </c>
      <c r="L46" s="638"/>
      <c r="M46" s="638"/>
      <c r="N46" s="1239"/>
      <c r="O46" s="1239"/>
      <c r="P46" s="638"/>
      <c r="Q46" s="638"/>
      <c r="R46" s="638"/>
      <c r="S46" s="484"/>
      <c r="T46" s="638"/>
      <c r="U46" s="638"/>
      <c r="V46" s="638"/>
      <c r="W46" s="638"/>
      <c r="X46" s="638"/>
      <c r="Y46" s="638"/>
      <c r="Z46" s="638"/>
      <c r="AA46" s="638"/>
      <c r="AB46" s="638"/>
      <c r="AC46" s="638"/>
      <c r="AD46" s="638"/>
      <c r="AE46" s="638"/>
      <c r="AF46" s="638"/>
      <c r="AG46" s="446"/>
      <c r="AH46" s="638"/>
      <c r="AI46" s="185"/>
      <c r="AJ46" s="638"/>
      <c r="AK46" s="1239"/>
      <c r="AL46" s="638"/>
      <c r="AM46" s="1239"/>
      <c r="AN46" s="455"/>
      <c r="AO46" s="1239"/>
      <c r="AP46" s="1239"/>
      <c r="AQ46" s="484">
        <f>+FL_1($U$47,$U$45,$G$46,1200,9.28, 1*$F$47)</f>
        <v>0.1259339079999999</v>
      </c>
      <c r="AR46" s="484"/>
      <c r="AS46" s="484"/>
      <c r="AT46" s="484"/>
      <c r="AU46" s="638"/>
      <c r="AV46" s="638"/>
      <c r="AW46" s="638"/>
      <c r="AX46" s="638"/>
      <c r="AY46" s="484"/>
      <c r="AZ46" s="484"/>
      <c r="BA46" s="671"/>
      <c r="BB46" s="1239"/>
      <c r="BC46" s="169"/>
      <c r="BD46" s="1330"/>
      <c r="BE46" s="1330"/>
      <c r="BF46" s="1330"/>
      <c r="BG46" s="1330"/>
    </row>
    <row r="47" spans="1:59" ht="15.75" customHeight="1">
      <c r="A47" s="1239" t="s">
        <v>2963</v>
      </c>
      <c r="B47" s="435" t="s">
        <v>2563</v>
      </c>
      <c r="C47" s="446">
        <f>+$C$45+$G$46</f>
        <v>97415.999999999971</v>
      </c>
      <c r="D47" s="173"/>
      <c r="E47" s="447"/>
      <c r="F47" s="447">
        <v>0</v>
      </c>
      <c r="G47" s="484"/>
      <c r="H47" s="1239" t="s">
        <v>2130</v>
      </c>
      <c r="I47" s="1239" t="s">
        <v>4218</v>
      </c>
      <c r="J47" s="171"/>
      <c r="K47" s="638"/>
      <c r="L47" s="638" t="s">
        <v>5039</v>
      </c>
      <c r="M47" s="638" t="s">
        <v>2402</v>
      </c>
      <c r="N47" s="1239" t="s">
        <v>143</v>
      </c>
      <c r="O47" s="1239" t="s">
        <v>140</v>
      </c>
      <c r="P47" s="1239"/>
      <c r="Q47" s="638"/>
      <c r="R47" s="638"/>
      <c r="S47" s="484"/>
      <c r="T47" s="638">
        <v>-10</v>
      </c>
      <c r="U47" s="638">
        <v>-55</v>
      </c>
      <c r="V47" s="638"/>
      <c r="W47" s="638">
        <v>1.4</v>
      </c>
      <c r="X47" s="638">
        <v>2.2999999999999998</v>
      </c>
      <c r="Y47" s="638"/>
      <c r="Z47" s="638"/>
      <c r="AA47" s="638">
        <v>0.45</v>
      </c>
      <c r="AB47" s="638"/>
      <c r="AC47" s="638" t="str">
        <f>IF(OR(AT47&gt;8,AT47&lt;-8),"PH",IF(OR(AT47&gt;5,AT47&lt;-5),"PH-Q",IF(OR(AT47&gt;1,AT47&lt;-1),"PH-C")))</f>
        <v>PH</v>
      </c>
      <c r="AD47" s="638"/>
      <c r="AE47" s="638"/>
      <c r="AF47" s="638"/>
      <c r="AG47" s="446"/>
      <c r="AH47" s="638"/>
      <c r="AI47" s="638"/>
      <c r="AJ47" s="638" t="s">
        <v>2756</v>
      </c>
      <c r="AK47" s="638"/>
      <c r="AL47" s="638"/>
      <c r="AM47" s="638" t="s">
        <v>1043</v>
      </c>
      <c r="AN47" s="455">
        <v>5.5</v>
      </c>
      <c r="AO47" s="1239"/>
      <c r="AP47" s="1239"/>
      <c r="AQ47" s="484"/>
      <c r="AR47" s="484"/>
      <c r="AS47" s="484"/>
      <c r="AT47" s="484">
        <f>+ab($T$47,$T$45,$U$49,$G$46,$G$48, 1*$F$47,1200)</f>
        <v>-9.512975362605312</v>
      </c>
      <c r="AU47" s="638"/>
      <c r="AV47" s="638"/>
      <c r="AW47" s="638"/>
      <c r="AX47" s="638"/>
      <c r="AY47" s="484"/>
      <c r="AZ47" s="484"/>
      <c r="BA47" s="671"/>
      <c r="BB47" s="1239" t="str">
        <f>Pole_Calculations!A156</f>
        <v>App.7.1-V01-P9.5.1.5</v>
      </c>
      <c r="BC47" s="169"/>
      <c r="BD47" s="1329"/>
      <c r="BE47" s="1329"/>
      <c r="BF47" s="1330"/>
      <c r="BG47" s="1329"/>
    </row>
    <row r="48" spans="1:59" ht="15.75" customHeight="1">
      <c r="A48" s="1239"/>
      <c r="B48" s="173"/>
      <c r="C48" s="446"/>
      <c r="D48" s="446"/>
      <c r="E48" s="447"/>
      <c r="F48" s="1239"/>
      <c r="G48" s="484">
        <v>50.1</v>
      </c>
      <c r="H48" s="638"/>
      <c r="I48" s="638">
        <v>491</v>
      </c>
      <c r="J48" s="446"/>
      <c r="K48" s="638"/>
      <c r="L48" s="638"/>
      <c r="M48" s="638"/>
      <c r="N48" s="1239"/>
      <c r="O48" s="1239"/>
      <c r="P48" s="638"/>
      <c r="Q48" s="638"/>
      <c r="R48" s="638"/>
      <c r="S48" s="484"/>
      <c r="T48" s="638"/>
      <c r="U48" s="638"/>
      <c r="V48" s="638"/>
      <c r="W48" s="638"/>
      <c r="X48" s="638"/>
      <c r="Y48" s="638"/>
      <c r="Z48" s="638"/>
      <c r="AA48" s="638"/>
      <c r="AB48" s="638"/>
      <c r="AC48" s="638"/>
      <c r="AD48" s="638"/>
      <c r="AE48" s="638"/>
      <c r="AF48" s="638"/>
      <c r="AG48" s="446"/>
      <c r="AH48" s="638"/>
      <c r="AI48" s="185"/>
      <c r="AJ48" s="638"/>
      <c r="AK48" s="1239"/>
      <c r="AL48" s="638"/>
      <c r="AM48" s="1239"/>
      <c r="AN48" s="455"/>
      <c r="AO48" s="1239"/>
      <c r="AP48" s="1239"/>
      <c r="AQ48" s="484">
        <f>+FL_2($U$49,$T$47,$G$48,1200,9.28, 1*$F$49)</f>
        <v>-0.19918898433532933</v>
      </c>
      <c r="AR48" s="484"/>
      <c r="AS48" s="484"/>
      <c r="AT48" s="484"/>
      <c r="AU48" s="638"/>
      <c r="AV48" s="638"/>
      <c r="AW48" s="638"/>
      <c r="AX48" s="638"/>
      <c r="AY48" s="484"/>
      <c r="AZ48" s="484"/>
      <c r="BA48" s="671"/>
      <c r="BB48" s="1239"/>
      <c r="BC48" s="169"/>
      <c r="BD48" s="1330"/>
      <c r="BE48" s="1330"/>
      <c r="BF48" s="1330"/>
      <c r="BG48" s="1330"/>
    </row>
    <row r="49" spans="1:59" ht="15.75" customHeight="1">
      <c r="A49" s="1239"/>
      <c r="B49" s="435" t="s">
        <v>2564</v>
      </c>
      <c r="C49" s="446">
        <f>+$C$47+$G$48</f>
        <v>97466.099999999977</v>
      </c>
      <c r="D49" s="173"/>
      <c r="E49" s="447"/>
      <c r="F49" s="447">
        <v>0</v>
      </c>
      <c r="G49" s="484"/>
      <c r="H49" s="1239" t="s">
        <v>2128</v>
      </c>
      <c r="I49" s="1239" t="s">
        <v>624</v>
      </c>
      <c r="J49" s="171"/>
      <c r="K49" s="638"/>
      <c r="L49" s="638" t="s">
        <v>895</v>
      </c>
      <c r="M49" s="638" t="s">
        <v>2402</v>
      </c>
      <c r="N49" s="1239" t="s">
        <v>140</v>
      </c>
      <c r="O49" s="1239" t="s">
        <v>144</v>
      </c>
      <c r="P49" s="1239"/>
      <c r="Q49" s="638"/>
      <c r="R49" s="638"/>
      <c r="S49" s="484"/>
      <c r="T49" s="638">
        <v>-30</v>
      </c>
      <c r="U49" s="638">
        <v>25</v>
      </c>
      <c r="V49" s="638"/>
      <c r="W49" s="638">
        <v>2.2999999999999998</v>
      </c>
      <c r="X49" s="638">
        <v>1.4</v>
      </c>
      <c r="Y49" s="638"/>
      <c r="Z49" s="638">
        <v>0.45</v>
      </c>
      <c r="AA49" s="638"/>
      <c r="AB49" s="638"/>
      <c r="AC49" s="638" t="str">
        <f>IF(OR(AT49&gt;8,AT49&lt;-8),"PH",IF(OR(AT49&gt;5,AT49&lt;-5),"PH-Q",IF(OR(AT49&gt;1,AT49&lt;-1),"PH-C")))</f>
        <v>PH</v>
      </c>
      <c r="AD49" s="638"/>
      <c r="AE49" s="638"/>
      <c r="AF49" s="638"/>
      <c r="AG49" s="446"/>
      <c r="AH49" s="638"/>
      <c r="AI49" s="638"/>
      <c r="AJ49" s="638" t="s">
        <v>2553</v>
      </c>
      <c r="AK49" s="638"/>
      <c r="AL49" s="638"/>
      <c r="AM49" s="638" t="s">
        <v>1043</v>
      </c>
      <c r="AN49" s="455">
        <v>5.5</v>
      </c>
      <c r="AO49" s="1239"/>
      <c r="AP49" s="1239"/>
      <c r="AQ49" s="484"/>
      <c r="AR49" s="484"/>
      <c r="AS49" s="484"/>
      <c r="AT49" s="484">
        <f>+ab($U$49,$T$47,$U$51,$G$48,$G$50, 1*$F$49,1200)</f>
        <v>10.548148209366804</v>
      </c>
      <c r="AU49" s="638"/>
      <c r="AV49" s="638"/>
      <c r="AW49" s="638"/>
      <c r="AX49" s="638"/>
      <c r="AY49" s="484"/>
      <c r="AZ49" s="484"/>
      <c r="BA49" s="671"/>
      <c r="BB49" s="1239" t="str">
        <f>Pole_Calculations!A156</f>
        <v>App.7.1-V01-P9.5.1.5</v>
      </c>
      <c r="BC49" s="169"/>
      <c r="BD49" s="1329"/>
      <c r="BE49" s="1329"/>
      <c r="BF49" s="1330"/>
      <c r="BG49" s="1329"/>
    </row>
    <row r="50" spans="1:59" ht="15.75" customHeight="1">
      <c r="A50" s="1239"/>
      <c r="B50" s="173"/>
      <c r="C50" s="446"/>
      <c r="D50" s="446"/>
      <c r="E50" s="447"/>
      <c r="F50" s="1239"/>
      <c r="G50" s="484">
        <v>50</v>
      </c>
      <c r="H50" s="609"/>
      <c r="I50" s="638"/>
      <c r="J50" s="446">
        <f>C49+7.5</f>
        <v>97473.599999999977</v>
      </c>
      <c r="K50" s="638" t="s">
        <v>621</v>
      </c>
      <c r="L50" s="638"/>
      <c r="M50" s="638"/>
      <c r="N50" s="1239"/>
      <c r="O50" s="1239"/>
      <c r="P50" s="638"/>
      <c r="Q50" s="638"/>
      <c r="R50" s="638"/>
      <c r="S50" s="484"/>
      <c r="T50" s="638"/>
      <c r="U50" s="638"/>
      <c r="V50" s="638"/>
      <c r="W50" s="638"/>
      <c r="X50" s="638"/>
      <c r="Y50" s="638"/>
      <c r="Z50" s="638"/>
      <c r="AA50" s="638"/>
      <c r="AB50" s="638"/>
      <c r="AC50" s="638"/>
      <c r="AD50" s="638"/>
      <c r="AE50" s="638"/>
      <c r="AF50" s="638"/>
      <c r="AG50" s="446"/>
      <c r="AH50" s="638"/>
      <c r="AI50" s="185"/>
      <c r="AJ50" s="638"/>
      <c r="AK50" s="1239"/>
      <c r="AL50" s="638"/>
      <c r="AM50" s="1239"/>
      <c r="AN50" s="455"/>
      <c r="AO50" s="1239"/>
      <c r="AP50" s="1239"/>
      <c r="AQ50" s="484">
        <f>+FL_2($U$51,$U$49,$G$50,1200,9.28, 1*$F$51)</f>
        <v>-0.51094111759949867</v>
      </c>
      <c r="AR50" s="484"/>
      <c r="AS50" s="484"/>
      <c r="AT50" s="484"/>
      <c r="AU50" s="638"/>
      <c r="AV50" s="638"/>
      <c r="AW50" s="638"/>
      <c r="AX50" s="638"/>
      <c r="AY50" s="484"/>
      <c r="AZ50" s="484"/>
      <c r="BA50" s="671"/>
      <c r="BB50" s="1239"/>
      <c r="BC50" s="169"/>
      <c r="BD50" s="1330"/>
      <c r="BE50" s="1330"/>
      <c r="BF50" s="1330"/>
      <c r="BG50" s="1330"/>
    </row>
    <row r="51" spans="1:59" ht="15.75" customHeight="1">
      <c r="A51" s="501" t="s">
        <v>2968</v>
      </c>
      <c r="B51" s="716" t="s">
        <v>2565</v>
      </c>
      <c r="C51" s="451">
        <f>+$C$49+$G$50</f>
        <v>97516.099999999977</v>
      </c>
      <c r="D51" s="453"/>
      <c r="E51" s="452"/>
      <c r="F51" s="453">
        <v>1550</v>
      </c>
      <c r="G51" s="500"/>
      <c r="H51" s="453" t="s">
        <v>619</v>
      </c>
      <c r="I51" s="501" t="s">
        <v>1040</v>
      </c>
      <c r="J51" s="583"/>
      <c r="K51" s="452"/>
      <c r="L51" s="452" t="s">
        <v>895</v>
      </c>
      <c r="M51" s="452" t="s">
        <v>2402</v>
      </c>
      <c r="N51" s="501" t="s">
        <v>140</v>
      </c>
      <c r="O51" s="501" t="s">
        <v>143</v>
      </c>
      <c r="P51" s="501"/>
      <c r="Q51" s="452"/>
      <c r="R51" s="452"/>
      <c r="S51" s="500"/>
      <c r="T51" s="452">
        <v>-45</v>
      </c>
      <c r="U51" s="452">
        <v>-30</v>
      </c>
      <c r="V51" s="452"/>
      <c r="W51" s="452">
        <v>2.2999999999999998</v>
      </c>
      <c r="X51" s="452">
        <v>1.4</v>
      </c>
      <c r="Y51" s="452"/>
      <c r="Z51" s="452">
        <v>0.45</v>
      </c>
      <c r="AA51" s="452"/>
      <c r="AB51" s="452"/>
      <c r="AC51" s="452"/>
      <c r="AD51" s="452"/>
      <c r="AE51" s="452"/>
      <c r="AF51" s="452"/>
      <c r="AG51" s="451"/>
      <c r="AH51" s="452"/>
      <c r="AI51" s="452"/>
      <c r="AJ51" s="452" t="s">
        <v>1359</v>
      </c>
      <c r="AK51" s="452"/>
      <c r="AL51" s="452"/>
      <c r="AM51" s="452" t="s">
        <v>1043</v>
      </c>
      <c r="AN51" s="500">
        <v>5.5</v>
      </c>
      <c r="AO51" s="452"/>
      <c r="AP51" s="452"/>
      <c r="AQ51" s="452"/>
      <c r="AR51" s="452"/>
      <c r="AS51" s="452"/>
      <c r="AT51" s="452">
        <f>+ab($U$51,$U$49,$U$53,$G$50,$G$52, 1*$F$51,1200)</f>
        <v>27.95114070616474</v>
      </c>
      <c r="AU51" s="452"/>
      <c r="AV51" s="452"/>
      <c r="AW51" s="452"/>
      <c r="AX51" s="452"/>
      <c r="AY51" s="500"/>
      <c r="AZ51" s="500"/>
      <c r="BA51" s="1333"/>
      <c r="BB51" s="452" t="str">
        <f>Pole_Calculations!A156</f>
        <v>App.7.1-V01-P9.5.1.5</v>
      </c>
      <c r="BC51" s="1334"/>
      <c r="BD51" s="1335"/>
      <c r="BE51" s="1335"/>
      <c r="BF51" s="1335"/>
      <c r="BG51" s="1335"/>
    </row>
    <row r="52" spans="1:59" ht="15.75" customHeight="1">
      <c r="A52" s="501"/>
      <c r="B52" s="716"/>
      <c r="C52" s="451"/>
      <c r="D52" s="453"/>
      <c r="E52" s="452"/>
      <c r="F52" s="453"/>
      <c r="G52" s="500">
        <v>45</v>
      </c>
      <c r="H52" s="453"/>
      <c r="I52" s="501"/>
      <c r="J52" s="583"/>
      <c r="K52" s="452"/>
      <c r="L52" s="452"/>
      <c r="M52" s="452"/>
      <c r="N52" s="501"/>
      <c r="O52" s="501"/>
      <c r="P52" s="501"/>
      <c r="Q52" s="452"/>
      <c r="R52" s="452"/>
      <c r="S52" s="500"/>
      <c r="T52" s="452"/>
      <c r="U52" s="452"/>
      <c r="V52" s="452"/>
      <c r="W52" s="452"/>
      <c r="X52" s="452"/>
      <c r="Y52" s="452"/>
      <c r="Z52" s="452"/>
      <c r="AA52" s="452"/>
      <c r="AB52" s="452"/>
      <c r="AC52" s="452"/>
      <c r="AD52" s="452"/>
      <c r="AE52" s="452"/>
      <c r="AF52" s="452"/>
      <c r="AG52" s="451"/>
      <c r="AH52" s="452"/>
      <c r="AI52" s="452"/>
      <c r="AJ52" s="452" t="s">
        <v>1358</v>
      </c>
      <c r="AK52" s="452"/>
      <c r="AL52" s="452"/>
      <c r="AM52" s="452"/>
      <c r="AN52" s="500"/>
      <c r="AO52" s="452"/>
      <c r="AP52" s="452"/>
      <c r="AQ52" s="452">
        <f>+FL_2($U$53,$U$51,$G$52,1200,9.28, 1*$F$53)</f>
        <v>-0.31069252799999991</v>
      </c>
      <c r="AR52" s="452"/>
      <c r="AS52" s="452"/>
      <c r="AT52" s="452"/>
      <c r="AU52" s="452"/>
      <c r="AV52" s="452"/>
      <c r="AW52" s="452"/>
      <c r="AX52" s="452"/>
      <c r="AY52" s="500"/>
      <c r="AZ52" s="500"/>
      <c r="BA52" s="1333"/>
      <c r="BB52" s="452"/>
      <c r="BC52" s="1334"/>
      <c r="BD52" s="1335"/>
      <c r="BE52" s="1335"/>
      <c r="BF52" s="1335"/>
      <c r="BG52" s="1335"/>
    </row>
    <row r="53" spans="1:59" ht="15.75" customHeight="1">
      <c r="A53" s="501"/>
      <c r="B53" s="716" t="s">
        <v>2566</v>
      </c>
      <c r="C53" s="451">
        <f>+$C$51+$G$52</f>
        <v>97561.099999999977</v>
      </c>
      <c r="D53" s="453"/>
      <c r="E53" s="452"/>
      <c r="F53" s="453">
        <v>0</v>
      </c>
      <c r="G53" s="500"/>
      <c r="H53" s="453" t="s">
        <v>142</v>
      </c>
      <c r="I53" s="501"/>
      <c r="J53" s="583">
        <f>C53+7.5</f>
        <v>97568.599999999977</v>
      </c>
      <c r="K53" s="452" t="s">
        <v>625</v>
      </c>
      <c r="L53" s="452" t="s">
        <v>5039</v>
      </c>
      <c r="M53" s="452" t="s">
        <v>2402</v>
      </c>
      <c r="N53" s="501" t="s">
        <v>143</v>
      </c>
      <c r="O53" s="501" t="s">
        <v>144</v>
      </c>
      <c r="P53" s="501"/>
      <c r="Q53" s="452"/>
      <c r="R53" s="452"/>
      <c r="S53" s="500"/>
      <c r="T53" s="452">
        <v>15</v>
      </c>
      <c r="U53" s="452">
        <v>30</v>
      </c>
      <c r="V53" s="452"/>
      <c r="W53" s="452">
        <v>2.2999999999999998</v>
      </c>
      <c r="X53" s="452">
        <v>1.4</v>
      </c>
      <c r="Y53" s="452"/>
      <c r="Z53" s="452"/>
      <c r="AA53" s="452"/>
      <c r="AB53" s="452"/>
      <c r="AC53" s="452"/>
      <c r="AD53" s="452"/>
      <c r="AE53" s="452"/>
      <c r="AF53" s="452"/>
      <c r="AG53" s="451"/>
      <c r="AH53" s="452"/>
      <c r="AI53" s="452"/>
      <c r="AJ53" s="452" t="s">
        <v>1360</v>
      </c>
      <c r="AK53" s="452"/>
      <c r="AL53" s="452"/>
      <c r="AM53" s="452" t="s">
        <v>1043</v>
      </c>
      <c r="AN53" s="500">
        <v>5.5</v>
      </c>
      <c r="AO53" s="452"/>
      <c r="AP53" s="452"/>
      <c r="AQ53" s="452"/>
      <c r="AR53" s="452"/>
      <c r="AS53" s="452"/>
      <c r="AT53" s="452">
        <f>+ab($U$53,$U$51,$T$55,$G$52,$G$54, 1*$F$53,1200)</f>
        <v>14.100185889180976</v>
      </c>
      <c r="AU53" s="452"/>
      <c r="AV53" s="452"/>
      <c r="AW53" s="452"/>
      <c r="AX53" s="452"/>
      <c r="AY53" s="500"/>
      <c r="AZ53" s="500"/>
      <c r="BA53" s="1333"/>
      <c r="BB53" s="452" t="str">
        <f>Pole_Calculations!A156</f>
        <v>App.7.1-V01-P9.5.1.5</v>
      </c>
      <c r="BC53" s="1334"/>
      <c r="BD53" s="1335"/>
      <c r="BE53" s="1335"/>
      <c r="BF53" s="1335"/>
      <c r="BG53" s="1335"/>
    </row>
    <row r="54" spans="1:59" ht="15.75" customHeight="1">
      <c r="A54" s="501" t="s">
        <v>1852</v>
      </c>
      <c r="B54" s="716"/>
      <c r="C54" s="451"/>
      <c r="D54" s="453"/>
      <c r="E54" s="452"/>
      <c r="F54" s="453"/>
      <c r="G54" s="500">
        <v>40</v>
      </c>
      <c r="H54" s="453"/>
      <c r="I54" s="501"/>
      <c r="J54" s="583">
        <f>C55-7.5</f>
        <v>97593.599999999977</v>
      </c>
      <c r="K54" s="452" t="s">
        <v>621</v>
      </c>
      <c r="L54" s="452"/>
      <c r="M54" s="452"/>
      <c r="N54" s="501"/>
      <c r="O54" s="501"/>
      <c r="P54" s="501"/>
      <c r="Q54" s="452"/>
      <c r="R54" s="452"/>
      <c r="S54" s="500"/>
      <c r="T54" s="452"/>
      <c r="U54" s="452"/>
      <c r="V54" s="452"/>
      <c r="W54" s="452"/>
      <c r="X54" s="452"/>
      <c r="Y54" s="452"/>
      <c r="Z54" s="452"/>
      <c r="AA54" s="452"/>
      <c r="AB54" s="452"/>
      <c r="AC54" s="452"/>
      <c r="AD54" s="452"/>
      <c r="AE54" s="452"/>
      <c r="AF54" s="452"/>
      <c r="AG54" s="451"/>
      <c r="AH54" s="452"/>
      <c r="AI54" s="452"/>
      <c r="AJ54" s="452" t="s">
        <v>864</v>
      </c>
      <c r="AK54" s="452"/>
      <c r="AL54" s="452"/>
      <c r="AM54" s="452"/>
      <c r="AN54" s="500"/>
      <c r="AO54" s="452"/>
      <c r="AP54" s="452"/>
      <c r="AQ54" s="452">
        <f>+FL_1($T$55,$U$53,$G$54,1200,9.28, 1*$F$55)</f>
        <v>0.45466666666666666</v>
      </c>
      <c r="AR54" s="452"/>
      <c r="AS54" s="452"/>
      <c r="AT54" s="452"/>
      <c r="AU54" s="452"/>
      <c r="AV54" s="452"/>
      <c r="AW54" s="452"/>
      <c r="AX54" s="452"/>
      <c r="AY54" s="500"/>
      <c r="AZ54" s="500"/>
      <c r="BA54" s="1333"/>
      <c r="BB54" s="452"/>
      <c r="BC54" s="1334"/>
      <c r="BD54" s="1335"/>
      <c r="BE54" s="1335"/>
      <c r="BF54" s="1335"/>
      <c r="BG54" s="1335"/>
    </row>
    <row r="55" spans="1:59" ht="15.75" customHeight="1">
      <c r="A55" s="501"/>
      <c r="B55" s="716" t="s">
        <v>2567</v>
      </c>
      <c r="C55" s="451">
        <f>+$C$53+$G$54</f>
        <v>97601.099999999977</v>
      </c>
      <c r="D55" s="453"/>
      <c r="E55" s="452"/>
      <c r="F55" s="453">
        <v>0</v>
      </c>
      <c r="G55" s="500"/>
      <c r="H55" s="453" t="s">
        <v>2552</v>
      </c>
      <c r="I55" s="501" t="s">
        <v>623</v>
      </c>
      <c r="J55" s="583"/>
      <c r="K55" s="452"/>
      <c r="L55" s="452" t="s">
        <v>895</v>
      </c>
      <c r="M55" s="452" t="s">
        <v>2402</v>
      </c>
      <c r="N55" s="501" t="s">
        <v>144</v>
      </c>
      <c r="O55" s="501" t="s">
        <v>143</v>
      </c>
      <c r="P55" s="501"/>
      <c r="Q55" s="452"/>
      <c r="R55" s="452"/>
      <c r="S55" s="500"/>
      <c r="T55" s="452">
        <v>30</v>
      </c>
      <c r="U55" s="452">
        <v>15</v>
      </c>
      <c r="V55" s="452"/>
      <c r="W55" s="452">
        <v>1.4</v>
      </c>
      <c r="X55" s="452">
        <v>2.2999999999999998</v>
      </c>
      <c r="Y55" s="452"/>
      <c r="Z55" s="452"/>
      <c r="AA55" s="452"/>
      <c r="AB55" s="452"/>
      <c r="AC55" s="452"/>
      <c r="AD55" s="452"/>
      <c r="AE55" s="452"/>
      <c r="AF55" s="452"/>
      <c r="AG55" s="451"/>
      <c r="AH55" s="452"/>
      <c r="AI55" s="452"/>
      <c r="AJ55" s="452" t="s">
        <v>864</v>
      </c>
      <c r="AK55" s="452"/>
      <c r="AL55" s="452"/>
      <c r="AM55" s="452" t="s">
        <v>1043</v>
      </c>
      <c r="AN55" s="500">
        <v>5.5</v>
      </c>
      <c r="AO55" s="452"/>
      <c r="AP55" s="452"/>
      <c r="AQ55" s="452"/>
      <c r="AR55" s="452"/>
      <c r="AS55" s="452"/>
      <c r="AT55" s="452">
        <f>+ab($T$55,$U$53,$U$57,$G$54,$G$56, 1*$F$55,1200)</f>
        <v>15.324094831040856</v>
      </c>
      <c r="AU55" s="452"/>
      <c r="AV55" s="452"/>
      <c r="AW55" s="452"/>
      <c r="AX55" s="452"/>
      <c r="AY55" s="500"/>
      <c r="AZ55" s="500"/>
      <c r="BA55" s="1333"/>
      <c r="BB55" s="452" t="str">
        <f>Pole_Calculations!A156</f>
        <v>App.7.1-V01-P9.5.1.5</v>
      </c>
      <c r="BC55" s="1334"/>
      <c r="BD55" s="1335"/>
      <c r="BE55" s="1335"/>
      <c r="BF55" s="1335"/>
      <c r="BG55" s="1335"/>
    </row>
    <row r="56" spans="1:59" ht="15.75" customHeight="1">
      <c r="A56" s="501"/>
      <c r="B56" s="716"/>
      <c r="C56" s="451"/>
      <c r="D56" s="453"/>
      <c r="E56" s="452"/>
      <c r="F56" s="453"/>
      <c r="G56" s="500">
        <v>45</v>
      </c>
      <c r="H56" s="453"/>
      <c r="I56" s="501"/>
      <c r="J56" s="583"/>
      <c r="K56" s="452"/>
      <c r="L56" s="452"/>
      <c r="M56" s="452"/>
      <c r="N56" s="501"/>
      <c r="O56" s="501"/>
      <c r="P56" s="501"/>
      <c r="Q56" s="452"/>
      <c r="R56" s="452"/>
      <c r="S56" s="500"/>
      <c r="T56" s="452"/>
      <c r="U56" s="452"/>
      <c r="V56" s="452"/>
      <c r="W56" s="452"/>
      <c r="X56" s="452"/>
      <c r="Y56" s="452"/>
      <c r="Z56" s="452"/>
      <c r="AA56" s="452"/>
      <c r="AB56" s="452"/>
      <c r="AC56" s="452"/>
      <c r="AD56" s="452"/>
      <c r="AE56" s="452"/>
      <c r="AF56" s="452"/>
      <c r="AG56" s="451"/>
      <c r="AH56" s="452"/>
      <c r="AI56" s="452"/>
      <c r="AJ56" s="452"/>
      <c r="AK56" s="452"/>
      <c r="AL56" s="452"/>
      <c r="AM56" s="452"/>
      <c r="AN56" s="500"/>
      <c r="AO56" s="452"/>
      <c r="AP56" s="452"/>
      <c r="AQ56" s="452">
        <f>+FL_1($U$57,$T$55,$G$56,1200,9.28, 1*$F$57)</f>
        <v>0.38261002946832001</v>
      </c>
      <c r="AR56" s="452"/>
      <c r="AS56" s="452"/>
      <c r="AT56" s="452"/>
      <c r="AU56" s="452"/>
      <c r="AV56" s="452"/>
      <c r="AW56" s="452"/>
      <c r="AX56" s="452"/>
      <c r="AY56" s="500"/>
      <c r="AZ56" s="500"/>
      <c r="BA56" s="1333"/>
      <c r="BB56" s="452"/>
      <c r="BC56" s="1334"/>
      <c r="BD56" s="1335"/>
      <c r="BE56" s="1335"/>
      <c r="BF56" s="1335"/>
      <c r="BG56" s="1335"/>
    </row>
    <row r="57" spans="1:59" ht="15.75" customHeight="1">
      <c r="A57" s="501" t="s">
        <v>2964</v>
      </c>
      <c r="B57" s="716" t="s">
        <v>2568</v>
      </c>
      <c r="C57" s="451">
        <f>+$C$55+$G$56</f>
        <v>97646.099999999977</v>
      </c>
      <c r="D57" s="453"/>
      <c r="E57" s="452"/>
      <c r="F57" s="453">
        <v>-2600</v>
      </c>
      <c r="G57" s="500"/>
      <c r="H57" s="453" t="s">
        <v>2551</v>
      </c>
      <c r="I57" s="501" t="s">
        <v>1429</v>
      </c>
      <c r="J57" s="583"/>
      <c r="K57" s="452"/>
      <c r="L57" s="452" t="s">
        <v>895</v>
      </c>
      <c r="M57" s="452" t="s">
        <v>2402</v>
      </c>
      <c r="N57" s="501" t="s">
        <v>140</v>
      </c>
      <c r="O57" s="501" t="s">
        <v>143</v>
      </c>
      <c r="P57" s="501" t="s">
        <v>140</v>
      </c>
      <c r="Q57" s="452"/>
      <c r="R57" s="452"/>
      <c r="S57" s="500"/>
      <c r="T57" s="452">
        <v>20</v>
      </c>
      <c r="U57" s="452">
        <v>-25</v>
      </c>
      <c r="V57" s="452">
        <v>-70</v>
      </c>
      <c r="W57" s="452">
        <v>1.4</v>
      </c>
      <c r="X57" s="452">
        <v>1.8</v>
      </c>
      <c r="Y57" s="452">
        <v>2.2999999999999998</v>
      </c>
      <c r="Z57" s="452">
        <v>0.45</v>
      </c>
      <c r="AA57" s="452"/>
      <c r="AB57" s="452">
        <v>0.45</v>
      </c>
      <c r="AC57" s="452"/>
      <c r="AD57" s="452"/>
      <c r="AE57" s="452"/>
      <c r="AF57" s="452"/>
      <c r="AG57" s="451"/>
      <c r="AH57" s="452"/>
      <c r="AI57" s="452"/>
      <c r="AJ57" s="452" t="s">
        <v>877</v>
      </c>
      <c r="AK57" s="452"/>
      <c r="AL57" s="452"/>
      <c r="AM57" s="452" t="s">
        <v>1043</v>
      </c>
      <c r="AN57" s="500">
        <v>5.5</v>
      </c>
      <c r="AO57" s="452"/>
      <c r="AP57" s="452"/>
      <c r="AQ57" s="452"/>
      <c r="AR57" s="452"/>
      <c r="AS57" s="452"/>
      <c r="AT57" s="452">
        <f>+ab($U$57,$T$55,$T$59,$G$56,$G$58, 1*$F$57,1200)</f>
        <v>-5.104754268678029</v>
      </c>
      <c r="AU57" s="452"/>
      <c r="AV57" s="452"/>
      <c r="AW57" s="452"/>
      <c r="AX57" s="452"/>
      <c r="AY57" s="500"/>
      <c r="AZ57" s="500"/>
      <c r="BA57" s="1333"/>
      <c r="BB57" s="452" t="str">
        <f>Pole_Calculations!A156</f>
        <v>App.7.1-V01-P9.5.1.5</v>
      </c>
      <c r="BC57" s="1334"/>
      <c r="BD57" s="1335"/>
      <c r="BE57" s="1335"/>
      <c r="BF57" s="1335"/>
      <c r="BG57" s="1335"/>
    </row>
    <row r="58" spans="1:59" ht="15.75" customHeight="1">
      <c r="A58" s="501" t="s">
        <v>2199</v>
      </c>
      <c r="B58" s="716"/>
      <c r="C58" s="451"/>
      <c r="D58" s="453"/>
      <c r="E58" s="452"/>
      <c r="F58" s="453"/>
      <c r="G58" s="500">
        <v>50</v>
      </c>
      <c r="H58" s="453"/>
      <c r="I58" s="501">
        <v>280</v>
      </c>
      <c r="J58" s="583"/>
      <c r="K58" s="452"/>
      <c r="L58" s="452"/>
      <c r="M58" s="452"/>
      <c r="N58" s="501"/>
      <c r="O58" s="501"/>
      <c r="P58" s="501"/>
      <c r="Q58" s="452"/>
      <c r="R58" s="452"/>
      <c r="S58" s="500"/>
      <c r="T58" s="452"/>
      <c r="U58" s="452"/>
      <c r="V58" s="452"/>
      <c r="W58" s="452"/>
      <c r="X58" s="452"/>
      <c r="Y58" s="452"/>
      <c r="Z58" s="452"/>
      <c r="AA58" s="452"/>
      <c r="AB58" s="452"/>
      <c r="AC58" s="452"/>
      <c r="AD58" s="452"/>
      <c r="AE58" s="452"/>
      <c r="AF58" s="452"/>
      <c r="AG58" s="451"/>
      <c r="AH58" s="452"/>
      <c r="AI58" s="452"/>
      <c r="AJ58" s="452"/>
      <c r="AK58" s="452"/>
      <c r="AL58" s="452"/>
      <c r="AM58" s="452"/>
      <c r="AN58" s="500"/>
      <c r="AO58" s="452"/>
      <c r="AP58" s="452"/>
      <c r="AQ58" s="452">
        <f>+FL_1($T$59,$U$57,$G$58,1200,9.28, 1*$F$59)</f>
        <v>0.30801952773886448</v>
      </c>
      <c r="AR58" s="452"/>
      <c r="AS58" s="452"/>
      <c r="AT58" s="452"/>
      <c r="AU58" s="452"/>
      <c r="AV58" s="452"/>
      <c r="AW58" s="452"/>
      <c r="AX58" s="452"/>
      <c r="AY58" s="500"/>
      <c r="AZ58" s="500"/>
      <c r="BA58" s="1333"/>
      <c r="BB58" s="452"/>
      <c r="BC58" s="1334"/>
      <c r="BD58" s="1335"/>
      <c r="BE58" s="1335"/>
      <c r="BF58" s="1335"/>
      <c r="BG58" s="1335"/>
    </row>
    <row r="59" spans="1:59" ht="15.75" customHeight="1">
      <c r="A59" s="501"/>
      <c r="B59" s="716" t="s">
        <v>2569</v>
      </c>
      <c r="C59" s="451">
        <f>+$C$57+$G$58</f>
        <v>97696.099999999977</v>
      </c>
      <c r="D59" s="453"/>
      <c r="E59" s="452"/>
      <c r="F59" s="453">
        <v>-2600</v>
      </c>
      <c r="G59" s="500"/>
      <c r="H59" s="453" t="s">
        <v>2139</v>
      </c>
      <c r="I59" s="501" t="s">
        <v>5044</v>
      </c>
      <c r="J59" s="583"/>
      <c r="K59" s="452"/>
      <c r="L59" s="452" t="s">
        <v>896</v>
      </c>
      <c r="M59" s="452" t="s">
        <v>2402</v>
      </c>
      <c r="N59" s="501" t="s">
        <v>144</v>
      </c>
      <c r="O59" s="501" t="s">
        <v>140</v>
      </c>
      <c r="P59" s="501"/>
      <c r="Q59" s="452"/>
      <c r="R59" s="452"/>
      <c r="S59" s="500"/>
      <c r="T59" s="452">
        <v>10</v>
      </c>
      <c r="U59" s="452">
        <v>-35</v>
      </c>
      <c r="V59" s="452"/>
      <c r="W59" s="452">
        <v>1.4</v>
      </c>
      <c r="X59" s="452">
        <v>2.2999999999999998</v>
      </c>
      <c r="Y59" s="452"/>
      <c r="Z59" s="452"/>
      <c r="AA59" s="452">
        <v>0.45</v>
      </c>
      <c r="AB59" s="452"/>
      <c r="AC59" s="452"/>
      <c r="AD59" s="452"/>
      <c r="AE59" s="452"/>
      <c r="AF59" s="452"/>
      <c r="AG59" s="451"/>
      <c r="AH59" s="452"/>
      <c r="AI59" s="452"/>
      <c r="AJ59" s="452"/>
      <c r="AK59" s="452"/>
      <c r="AL59" s="452"/>
      <c r="AM59" s="452" t="s">
        <v>1043</v>
      </c>
      <c r="AN59" s="500">
        <v>5.5</v>
      </c>
      <c r="AO59" s="452"/>
      <c r="AP59" s="452"/>
      <c r="AQ59" s="452"/>
      <c r="AR59" s="452"/>
      <c r="AS59" s="452"/>
      <c r="AT59" s="452">
        <f>+ab($T$59,$U$57,$T$61,$G$58,$G$60, 1*$F$59,1200)</f>
        <v>-65.056781298914999</v>
      </c>
      <c r="AU59" s="452"/>
      <c r="AV59" s="452"/>
      <c r="AW59" s="452"/>
      <c r="AX59" s="452"/>
      <c r="AY59" s="500"/>
      <c r="AZ59" s="500"/>
      <c r="BA59" s="1333"/>
      <c r="BB59" s="452" t="str">
        <f>Pole_Calculations!A156</f>
        <v>App.7.1-V01-P9.5.1.5</v>
      </c>
      <c r="BC59" s="1334"/>
      <c r="BD59" s="1335"/>
      <c r="BE59" s="1335"/>
      <c r="BF59" s="1335"/>
      <c r="BG59" s="1335"/>
    </row>
    <row r="60" spans="1:59" ht="15.75" customHeight="1">
      <c r="A60" s="501"/>
      <c r="B60" s="716"/>
      <c r="C60" s="451"/>
      <c r="D60" s="453"/>
      <c r="E60" s="452"/>
      <c r="F60" s="453"/>
      <c r="G60" s="500">
        <v>40</v>
      </c>
      <c r="H60" s="453"/>
      <c r="I60" s="501">
        <f>C61-C43</f>
        <v>415.10000000000582</v>
      </c>
      <c r="J60" s="583"/>
      <c r="K60" s="452"/>
      <c r="L60" s="452"/>
      <c r="M60" s="452"/>
      <c r="N60" s="501"/>
      <c r="O60" s="501"/>
      <c r="P60" s="501"/>
      <c r="Q60" s="452"/>
      <c r="R60" s="452"/>
      <c r="S60" s="500"/>
      <c r="T60" s="452"/>
      <c r="U60" s="452"/>
      <c r="V60" s="452"/>
      <c r="W60" s="452"/>
      <c r="X60" s="452"/>
      <c r="Y60" s="452"/>
      <c r="Z60" s="452"/>
      <c r="AA60" s="452"/>
      <c r="AB60" s="452"/>
      <c r="AC60" s="452"/>
      <c r="AD60" s="452"/>
      <c r="AE60" s="452"/>
      <c r="AF60" s="452"/>
      <c r="AG60" s="451"/>
      <c r="AH60" s="452"/>
      <c r="AI60" s="452"/>
      <c r="AJ60" s="452"/>
      <c r="AK60" s="452"/>
      <c r="AL60" s="452"/>
      <c r="AM60" s="452"/>
      <c r="AN60" s="500"/>
      <c r="AO60" s="452"/>
      <c r="AP60" s="452"/>
      <c r="AQ60" s="452">
        <f>+FL_2($T$61,$T$59,$G$60,1200,9.28, 1*$F$61)</f>
        <v>-0.25</v>
      </c>
      <c r="AR60" s="452"/>
      <c r="AS60" s="452"/>
      <c r="AT60" s="452"/>
      <c r="AU60" s="452"/>
      <c r="AV60" s="452"/>
      <c r="AW60" s="452"/>
      <c r="AX60" s="452"/>
      <c r="AY60" s="500"/>
      <c r="AZ60" s="500"/>
      <c r="BA60" s="1333"/>
      <c r="BB60" s="452"/>
      <c r="BC60" s="1334"/>
      <c r="BD60" s="1335"/>
      <c r="BE60" s="1335"/>
      <c r="BF60" s="1335"/>
      <c r="BG60" s="1335"/>
    </row>
    <row r="61" spans="1:59" ht="15.75" customHeight="1">
      <c r="A61" s="501"/>
      <c r="B61" s="716" t="s">
        <v>2570</v>
      </c>
      <c r="C61" s="451">
        <f>+$C$59+$G$60</f>
        <v>97736.099999999977</v>
      </c>
      <c r="D61" s="453"/>
      <c r="E61" s="452"/>
      <c r="F61" s="453">
        <v>-2600</v>
      </c>
      <c r="G61" s="500"/>
      <c r="H61" s="453" t="s">
        <v>138</v>
      </c>
      <c r="I61" s="501" t="s">
        <v>623</v>
      </c>
      <c r="J61" s="583"/>
      <c r="K61" s="452"/>
      <c r="L61" s="452" t="s">
        <v>899</v>
      </c>
      <c r="M61" s="452" t="s">
        <v>2402</v>
      </c>
      <c r="N61" s="501" t="s">
        <v>143</v>
      </c>
      <c r="O61" s="501"/>
      <c r="P61" s="501"/>
      <c r="Q61" s="452"/>
      <c r="R61" s="452"/>
      <c r="S61" s="500"/>
      <c r="T61" s="452">
        <v>-25</v>
      </c>
      <c r="U61" s="452"/>
      <c r="V61" s="452"/>
      <c r="W61" s="452">
        <v>1.4</v>
      </c>
      <c r="X61" s="452"/>
      <c r="Y61" s="452"/>
      <c r="Z61" s="452"/>
      <c r="AA61" s="452"/>
      <c r="AB61" s="452"/>
      <c r="AC61" s="452"/>
      <c r="AD61" s="452"/>
      <c r="AE61" s="452"/>
      <c r="AF61" s="452"/>
      <c r="AG61" s="451"/>
      <c r="AH61" s="452"/>
      <c r="AI61" s="452"/>
      <c r="AJ61" s="452"/>
      <c r="AK61" s="452"/>
      <c r="AL61" s="452"/>
      <c r="AM61" s="452" t="s">
        <v>1043</v>
      </c>
      <c r="AN61" s="500">
        <v>5.5</v>
      </c>
      <c r="AO61" s="452"/>
      <c r="AP61" s="452"/>
      <c r="AQ61" s="452"/>
      <c r="AR61" s="452"/>
      <c r="AS61" s="452"/>
      <c r="AT61" s="452">
        <f>+ab($T$61,$T$59,$T$63,$G$60,$G$62, 1*$F$61,1200)</f>
        <v>-7.6129145351193079</v>
      </c>
      <c r="AU61" s="452"/>
      <c r="AV61" s="452"/>
      <c r="AW61" s="452"/>
      <c r="AX61" s="452"/>
      <c r="AY61" s="500"/>
      <c r="AZ61" s="500"/>
      <c r="BA61" s="1333"/>
      <c r="BB61" s="452" t="str">
        <f>Pole_Calculations!A157</f>
        <v>App.7.1-V01-P9.5.1.6</v>
      </c>
      <c r="BC61" s="1334"/>
      <c r="BD61" s="1335"/>
      <c r="BE61" s="1335"/>
      <c r="BF61" s="1335"/>
      <c r="BG61" s="1335"/>
    </row>
    <row r="62" spans="1:59" ht="15.75" customHeight="1">
      <c r="A62" s="501"/>
      <c r="B62" s="716"/>
      <c r="C62" s="451"/>
      <c r="D62" s="453"/>
      <c r="E62" s="452"/>
      <c r="F62" s="453"/>
      <c r="G62" s="500">
        <v>50</v>
      </c>
      <c r="H62" s="453"/>
      <c r="I62" s="501"/>
      <c r="J62" s="583">
        <f>C61+7.5</f>
        <v>97743.599999999977</v>
      </c>
      <c r="K62" s="452" t="s">
        <v>621</v>
      </c>
      <c r="L62" s="452"/>
      <c r="M62" s="452"/>
      <c r="N62" s="501"/>
      <c r="O62" s="501"/>
      <c r="P62" s="501"/>
      <c r="Q62" s="452"/>
      <c r="R62" s="452"/>
      <c r="S62" s="500"/>
      <c r="T62" s="452"/>
      <c r="U62" s="452"/>
      <c r="V62" s="452"/>
      <c r="W62" s="452"/>
      <c r="X62" s="452"/>
      <c r="Y62" s="452"/>
      <c r="Z62" s="452"/>
      <c r="AA62" s="452"/>
      <c r="AB62" s="452"/>
      <c r="AC62" s="452"/>
      <c r="AD62" s="452"/>
      <c r="AE62" s="452"/>
      <c r="AF62" s="452"/>
      <c r="AG62" s="451"/>
      <c r="AH62" s="452"/>
      <c r="AI62" s="452"/>
      <c r="AJ62" s="452"/>
      <c r="AK62" s="452"/>
      <c r="AL62" s="452"/>
      <c r="AM62" s="452"/>
      <c r="AN62" s="500"/>
      <c r="AO62" s="452"/>
      <c r="AP62" s="452"/>
      <c r="AQ62" s="452">
        <f>+FL_2($T$63,$T$61,$G$62,1200,9.28, 1*$F$63)</f>
        <v>-0.39775791755349621</v>
      </c>
      <c r="AR62" s="452"/>
      <c r="AS62" s="452"/>
      <c r="AT62" s="452"/>
      <c r="AU62" s="452"/>
      <c r="AV62" s="452"/>
      <c r="AW62" s="452"/>
      <c r="AX62" s="452"/>
      <c r="AY62" s="500"/>
      <c r="AZ62" s="500"/>
      <c r="BA62" s="1333"/>
      <c r="BB62" s="452"/>
      <c r="BC62" s="1334"/>
      <c r="BD62" s="1335"/>
      <c r="BE62" s="1335"/>
      <c r="BF62" s="1335"/>
      <c r="BG62" s="1335"/>
    </row>
    <row r="63" spans="1:59" ht="15.75" customHeight="1">
      <c r="A63" s="501"/>
      <c r="B63" s="716" t="s">
        <v>2571</v>
      </c>
      <c r="C63" s="451">
        <f>+$C$61+$G$62</f>
        <v>97786.099999999977</v>
      </c>
      <c r="D63" s="453"/>
      <c r="E63" s="452"/>
      <c r="F63" s="453">
        <v>-2600</v>
      </c>
      <c r="G63" s="500"/>
      <c r="H63" s="453"/>
      <c r="I63" s="501"/>
      <c r="J63" s="583"/>
      <c r="K63" s="452"/>
      <c r="L63" s="452" t="s">
        <v>230</v>
      </c>
      <c r="M63" s="452" t="s">
        <v>2402</v>
      </c>
      <c r="N63" s="501" t="s">
        <v>143</v>
      </c>
      <c r="O63" s="501"/>
      <c r="P63" s="501"/>
      <c r="Q63" s="452"/>
      <c r="R63" s="452"/>
      <c r="S63" s="500"/>
      <c r="T63" s="452">
        <v>-30</v>
      </c>
      <c r="U63" s="452"/>
      <c r="V63" s="452"/>
      <c r="W63" s="452">
        <v>1.4</v>
      </c>
      <c r="X63" s="452"/>
      <c r="Y63" s="452"/>
      <c r="Z63" s="452"/>
      <c r="AA63" s="452"/>
      <c r="AB63" s="452"/>
      <c r="AC63" s="452"/>
      <c r="AD63" s="452"/>
      <c r="AE63" s="452"/>
      <c r="AF63" s="452"/>
      <c r="AG63" s="451"/>
      <c r="AH63" s="452"/>
      <c r="AI63" s="452"/>
      <c r="AJ63" s="452"/>
      <c r="AK63" s="452"/>
      <c r="AL63" s="452"/>
      <c r="AM63" s="452" t="s">
        <v>1043</v>
      </c>
      <c r="AN63" s="500">
        <v>5.5</v>
      </c>
      <c r="AO63" s="452"/>
      <c r="AP63" s="452"/>
      <c r="AQ63" s="452"/>
      <c r="AR63" s="452"/>
      <c r="AS63" s="452"/>
      <c r="AT63" s="452">
        <f>+ab($T$63,$T$61,$T$65,$G$62,$G$64, 1*$F$63,1200)</f>
        <v>-5.9561558234291807</v>
      </c>
      <c r="AU63" s="452"/>
      <c r="AV63" s="452"/>
      <c r="AW63" s="452"/>
      <c r="AX63" s="452"/>
      <c r="AY63" s="500"/>
      <c r="AZ63" s="500"/>
      <c r="BA63" s="1333"/>
      <c r="BB63" s="452" t="str">
        <f>Pole_Calculations!A152</f>
        <v>App.7.1-V01-P9.5.1.1</v>
      </c>
      <c r="BC63" s="1334"/>
      <c r="BD63" s="1335"/>
      <c r="BE63" s="1335"/>
      <c r="BF63" s="1335"/>
      <c r="BG63" s="1335"/>
    </row>
    <row r="64" spans="1:59" ht="15.75" customHeight="1">
      <c r="A64" s="501"/>
      <c r="B64" s="716"/>
      <c r="C64" s="451"/>
      <c r="D64" s="453"/>
      <c r="E64" s="452"/>
      <c r="F64" s="453"/>
      <c r="G64" s="500">
        <v>55</v>
      </c>
      <c r="H64" s="453"/>
      <c r="I64" s="501"/>
      <c r="J64" s="583"/>
      <c r="K64" s="452"/>
      <c r="L64" s="452"/>
      <c r="M64" s="452"/>
      <c r="N64" s="501"/>
      <c r="O64" s="501"/>
      <c r="P64" s="501"/>
      <c r="Q64" s="452"/>
      <c r="R64" s="452"/>
      <c r="S64" s="500"/>
      <c r="T64" s="452"/>
      <c r="U64" s="452"/>
      <c r="V64" s="452"/>
      <c r="W64" s="452"/>
      <c r="X64" s="452"/>
      <c r="Y64" s="452"/>
      <c r="Z64" s="452"/>
      <c r="AA64" s="452"/>
      <c r="AB64" s="452"/>
      <c r="AC64" s="452"/>
      <c r="AD64" s="452"/>
      <c r="AE64" s="452"/>
      <c r="AF64" s="452"/>
      <c r="AG64" s="451"/>
      <c r="AH64" s="452"/>
      <c r="AI64" s="452"/>
      <c r="AJ64" s="452"/>
      <c r="AK64" s="452"/>
      <c r="AL64" s="452"/>
      <c r="AM64" s="452"/>
      <c r="AN64" s="500"/>
      <c r="AO64" s="452"/>
      <c r="AP64" s="452"/>
      <c r="AQ64" s="452">
        <f>+FL_2($T$63,$T$61,$G$62,1200,9.28, 1*$F$63)</f>
        <v>-0.39775791755349621</v>
      </c>
      <c r="AR64" s="452"/>
      <c r="AS64" s="452"/>
      <c r="AT64" s="452"/>
      <c r="AU64" s="452"/>
      <c r="AV64" s="452"/>
      <c r="AW64" s="452"/>
      <c r="AX64" s="452"/>
      <c r="AY64" s="500"/>
      <c r="AZ64" s="500"/>
      <c r="BA64" s="1333"/>
      <c r="BB64" s="452"/>
      <c r="BC64" s="1334"/>
      <c r="BD64" s="1335"/>
      <c r="BE64" s="1335"/>
      <c r="BF64" s="1335"/>
      <c r="BG64" s="1335"/>
    </row>
    <row r="65" spans="1:59" ht="15.75" customHeight="1">
      <c r="A65" s="501"/>
      <c r="B65" s="716" t="s">
        <v>2572</v>
      </c>
      <c r="C65" s="451">
        <f>+$C$63+$G$64</f>
        <v>97841.099999999977</v>
      </c>
      <c r="D65" s="453"/>
      <c r="E65" s="452"/>
      <c r="F65" s="453">
        <v>0</v>
      </c>
      <c r="G65" s="500"/>
      <c r="H65" s="453"/>
      <c r="I65" s="501"/>
      <c r="J65" s="583"/>
      <c r="K65" s="452"/>
      <c r="L65" s="452" t="s">
        <v>230</v>
      </c>
      <c r="M65" s="452" t="s">
        <v>2402</v>
      </c>
      <c r="N65" s="501" t="s">
        <v>144</v>
      </c>
      <c r="O65" s="501"/>
      <c r="P65" s="501"/>
      <c r="Q65" s="452"/>
      <c r="R65" s="452"/>
      <c r="S65" s="500"/>
      <c r="T65" s="452">
        <v>30</v>
      </c>
      <c r="U65" s="452"/>
      <c r="V65" s="452"/>
      <c r="W65" s="452">
        <v>1.4</v>
      </c>
      <c r="X65" s="452"/>
      <c r="Y65" s="452"/>
      <c r="Z65" s="452"/>
      <c r="AA65" s="452"/>
      <c r="AB65" s="452"/>
      <c r="AC65" s="452"/>
      <c r="AD65" s="452"/>
      <c r="AE65" s="452"/>
      <c r="AF65" s="452"/>
      <c r="AG65" s="451"/>
      <c r="AH65" s="452"/>
      <c r="AI65" s="452"/>
      <c r="AJ65" s="452"/>
      <c r="AK65" s="452"/>
      <c r="AL65" s="452"/>
      <c r="AM65" s="452" t="s">
        <v>1043</v>
      </c>
      <c r="AN65" s="500">
        <v>5.5</v>
      </c>
      <c r="AO65" s="452"/>
      <c r="AP65" s="452"/>
      <c r="AQ65" s="452"/>
      <c r="AR65" s="452"/>
      <c r="AS65" s="452"/>
      <c r="AT65" s="452">
        <f>+ab($T$63,$T$61,$T$65,$G$62,$G$64, 1*$F$63,1200)</f>
        <v>-5.9561558234291807</v>
      </c>
      <c r="AU65" s="452"/>
      <c r="AV65" s="452"/>
      <c r="AW65" s="452"/>
      <c r="AX65" s="452"/>
      <c r="AY65" s="500"/>
      <c r="AZ65" s="500"/>
      <c r="BA65" s="1333"/>
      <c r="BB65" s="452" t="str">
        <f>Pole_Calculations!A152</f>
        <v>App.7.1-V01-P9.5.1.1</v>
      </c>
      <c r="BC65" s="1334"/>
      <c r="BD65" s="1335"/>
      <c r="BE65" s="1335"/>
      <c r="BF65" s="1335"/>
      <c r="BG65" s="1335"/>
    </row>
    <row r="66" spans="1:59" ht="15.75" customHeight="1">
      <c r="C66" s="617"/>
      <c r="S66" s="454"/>
      <c r="BA66" s="1305"/>
      <c r="BC66" s="169"/>
    </row>
    <row r="67" spans="1:59" ht="15.75" customHeight="1">
      <c r="C67" s="617"/>
      <c r="S67" s="454"/>
      <c r="BA67" s="1305"/>
      <c r="BC67" s="169"/>
    </row>
    <row r="68" spans="1:59" ht="15.75" customHeight="1">
      <c r="C68" s="617"/>
      <c r="S68" s="454"/>
      <c r="BA68" s="1305"/>
      <c r="BC68" s="169"/>
    </row>
    <row r="69" spans="1:59" ht="15.75" customHeight="1">
      <c r="C69" s="617"/>
      <c r="S69" s="454"/>
      <c r="BA69" s="1305"/>
      <c r="BC69" s="169"/>
    </row>
    <row r="70" spans="1:59" ht="15.75" customHeight="1">
      <c r="C70" s="617"/>
      <c r="S70" s="454"/>
      <c r="BA70" s="1305"/>
      <c r="BC70" s="169"/>
    </row>
    <row r="71" spans="1:59" ht="15.75" customHeight="1">
      <c r="C71" s="617"/>
      <c r="S71" s="454"/>
      <c r="BA71" s="1305"/>
      <c r="BC71" s="169"/>
    </row>
    <row r="72" spans="1:59" ht="15.75" customHeight="1">
      <c r="C72" s="617"/>
      <c r="S72" s="454"/>
      <c r="BA72" s="1305"/>
      <c r="BC72" s="169"/>
    </row>
    <row r="73" spans="1:59" ht="15.75" customHeight="1">
      <c r="C73" s="617"/>
      <c r="S73" s="454"/>
      <c r="BA73" s="1305"/>
      <c r="BC73" s="169"/>
    </row>
    <row r="74" spans="1:59" ht="15.75" customHeight="1">
      <c r="C74" s="617"/>
      <c r="S74" s="454"/>
      <c r="BA74" s="1305"/>
      <c r="BC74" s="169"/>
    </row>
    <row r="75" spans="1:59" ht="15.75" customHeight="1">
      <c r="C75" s="617"/>
      <c r="S75" s="454"/>
      <c r="BA75" s="1305"/>
      <c r="BC75" s="169"/>
    </row>
    <row r="76" spans="1:59" ht="15.75" customHeight="1">
      <c r="C76" s="617"/>
      <c r="S76" s="454"/>
      <c r="BA76" s="1305"/>
      <c r="BC76" s="169"/>
    </row>
    <row r="77" spans="1:59" ht="15.75" customHeight="1">
      <c r="C77" s="617"/>
      <c r="S77" s="454"/>
      <c r="BA77" s="1305"/>
      <c r="BC77" s="169"/>
    </row>
    <row r="78" spans="1:59" ht="15.75" customHeight="1">
      <c r="C78" s="617"/>
      <c r="S78" s="454"/>
      <c r="BA78" s="1305"/>
      <c r="BC78" s="169"/>
    </row>
    <row r="79" spans="1:59" ht="15.75" customHeight="1">
      <c r="C79" s="617"/>
      <c r="S79" s="454"/>
      <c r="BA79" s="1305"/>
      <c r="BC79" s="169"/>
    </row>
    <row r="80" spans="1:59" ht="15.75" customHeight="1">
      <c r="C80" s="617"/>
      <c r="S80" s="454"/>
      <c r="BA80" s="1305"/>
      <c r="BC80" s="169"/>
    </row>
    <row r="81" spans="3:55" ht="15.75" customHeight="1">
      <c r="C81" s="617"/>
      <c r="S81" s="454"/>
      <c r="AN81" s="454"/>
      <c r="AO81" s="178"/>
      <c r="AP81" s="178"/>
      <c r="AQ81" s="454"/>
      <c r="AR81" s="454"/>
      <c r="AS81" s="454"/>
      <c r="AT81" s="454"/>
      <c r="AU81" s="178"/>
      <c r="AV81" s="178"/>
      <c r="AW81" s="178"/>
      <c r="AX81" s="178"/>
      <c r="AY81" s="454"/>
      <c r="AZ81" s="454"/>
      <c r="BA81" s="1306"/>
      <c r="BC81" s="169"/>
    </row>
    <row r="82" spans="3:55" ht="15.75" customHeight="1">
      <c r="C82" s="617"/>
      <c r="S82" s="454"/>
      <c r="AN82" s="454"/>
      <c r="AO82" s="178"/>
      <c r="AP82" s="178"/>
      <c r="AQ82" s="454"/>
      <c r="AR82" s="454"/>
      <c r="AS82" s="454"/>
      <c r="AT82" s="454"/>
      <c r="AU82" s="178"/>
      <c r="AV82" s="178"/>
      <c r="AW82" s="178"/>
      <c r="AX82" s="178"/>
      <c r="AY82" s="454"/>
      <c r="AZ82" s="454"/>
      <c r="BA82" s="1306"/>
      <c r="BC82" s="169"/>
    </row>
    <row r="83" spans="3:55" ht="15.75" customHeight="1">
      <c r="C83" s="617"/>
      <c r="S83" s="454"/>
      <c r="AN83" s="454"/>
      <c r="AO83" s="178"/>
      <c r="AP83" s="178"/>
      <c r="AQ83" s="454"/>
      <c r="AR83" s="454"/>
      <c r="AS83" s="454"/>
      <c r="AT83" s="454"/>
      <c r="AU83" s="178"/>
      <c r="AV83" s="178"/>
      <c r="AW83" s="178"/>
      <c r="AX83" s="178"/>
      <c r="AY83" s="454"/>
      <c r="AZ83" s="454"/>
      <c r="BA83" s="1306"/>
      <c r="BC83" s="169"/>
    </row>
    <row r="84" spans="3:55" ht="15.75" customHeight="1">
      <c r="C84" s="617"/>
      <c r="S84" s="454"/>
      <c r="AN84" s="454"/>
      <c r="AO84" s="178"/>
      <c r="AP84" s="178"/>
      <c r="AQ84" s="454"/>
      <c r="AR84" s="454"/>
      <c r="AS84" s="454"/>
      <c r="AT84" s="454"/>
      <c r="AU84" s="178"/>
      <c r="AV84" s="178"/>
      <c r="AW84" s="178"/>
      <c r="AX84" s="178"/>
      <c r="AY84" s="454"/>
      <c r="AZ84" s="454"/>
      <c r="BA84" s="1306"/>
      <c r="BC84" s="169"/>
    </row>
    <row r="85" spans="3:55" ht="15.75" customHeight="1">
      <c r="C85" s="617"/>
      <c r="S85" s="454"/>
      <c r="AN85" s="454"/>
      <c r="AO85" s="178"/>
      <c r="AP85" s="178"/>
      <c r="AQ85" s="454"/>
      <c r="AR85" s="454"/>
      <c r="AS85" s="454"/>
      <c r="AT85" s="454"/>
      <c r="AU85" s="178"/>
      <c r="AV85" s="178"/>
      <c r="AW85" s="178"/>
      <c r="AX85" s="178"/>
      <c r="AY85" s="454"/>
      <c r="AZ85" s="454"/>
      <c r="BA85" s="1306"/>
      <c r="BC85" s="169"/>
    </row>
    <row r="86" spans="3:55" ht="15.75" customHeight="1">
      <c r="C86" s="617"/>
      <c r="S86" s="454"/>
      <c r="BA86" s="1305"/>
      <c r="BC86" s="169"/>
    </row>
    <row r="87" spans="3:55" ht="15.75" customHeight="1">
      <c r="C87" s="617"/>
      <c r="S87" s="454"/>
      <c r="BA87" s="1305"/>
      <c r="BC87" s="169"/>
    </row>
    <row r="88" spans="3:55" ht="15.75" customHeight="1">
      <c r="C88" s="617"/>
      <c r="S88" s="454"/>
      <c r="BA88" s="1305"/>
      <c r="BC88" s="169"/>
    </row>
    <row r="89" spans="3:55" ht="15.75" customHeight="1">
      <c r="C89" s="617"/>
      <c r="S89" s="454"/>
      <c r="BA89" s="1305"/>
      <c r="BC89" s="169"/>
    </row>
    <row r="90" spans="3:55" ht="15.75" customHeight="1">
      <c r="C90" s="617"/>
      <c r="S90" s="454"/>
      <c r="BA90" s="1305"/>
      <c r="BC90" s="169"/>
    </row>
    <row r="91" spans="3:55" ht="15.75" customHeight="1">
      <c r="C91" s="617"/>
      <c r="S91" s="454"/>
      <c r="BA91" s="1305"/>
      <c r="BC91" s="169"/>
    </row>
    <row r="92" spans="3:55" ht="15.75" customHeight="1">
      <c r="C92" s="617"/>
      <c r="S92" s="454"/>
      <c r="BA92" s="1305"/>
      <c r="BC92" s="169"/>
    </row>
    <row r="93" spans="3:55" ht="15.75" customHeight="1">
      <c r="C93" s="617"/>
      <c r="S93" s="454"/>
      <c r="BA93" s="1305"/>
      <c r="BC93" s="169"/>
    </row>
    <row r="94" spans="3:55" ht="15.75" customHeight="1">
      <c r="C94" s="617"/>
      <c r="S94" s="454"/>
      <c r="BA94" s="1305"/>
      <c r="BC94" s="169"/>
    </row>
    <row r="95" spans="3:55" ht="15.75" customHeight="1">
      <c r="C95" s="617"/>
      <c r="S95" s="454"/>
      <c r="BA95" s="1305"/>
      <c r="BC95" s="169"/>
    </row>
    <row r="96" spans="3:55" ht="15.75" customHeight="1">
      <c r="C96" s="617"/>
      <c r="S96" s="454"/>
      <c r="BA96" s="1305"/>
      <c r="BC96" s="169"/>
    </row>
    <row r="97" spans="3:55" ht="15.75" customHeight="1">
      <c r="C97" s="617"/>
      <c r="S97" s="454"/>
      <c r="BA97" s="1305"/>
      <c r="BC97" s="169"/>
    </row>
    <row r="98" spans="3:55" ht="15.75" customHeight="1">
      <c r="C98" s="617"/>
      <c r="S98" s="454"/>
      <c r="BA98" s="1305"/>
      <c r="BC98" s="169"/>
    </row>
    <row r="99" spans="3:55" ht="15.75" customHeight="1">
      <c r="C99" s="617"/>
      <c r="S99" s="454"/>
      <c r="BA99" s="1305"/>
      <c r="BC99" s="169"/>
    </row>
    <row r="100" spans="3:55" ht="15.75" customHeight="1">
      <c r="C100" s="617"/>
      <c r="S100" s="454"/>
      <c r="BA100" s="1305"/>
      <c r="BC100" s="169"/>
    </row>
    <row r="101" spans="3:55" ht="15.75" customHeight="1">
      <c r="C101" s="617"/>
      <c r="S101" s="454"/>
      <c r="BA101" s="1305"/>
      <c r="BC101" s="169"/>
    </row>
    <row r="102" spans="3:55" ht="15.75" customHeight="1">
      <c r="C102" s="617"/>
      <c r="S102" s="454"/>
      <c r="BA102" s="1305"/>
      <c r="BC102" s="169"/>
    </row>
    <row r="103" spans="3:55" ht="15.75" customHeight="1">
      <c r="C103" s="617"/>
      <c r="S103" s="454"/>
      <c r="BA103" s="1305"/>
      <c r="BC103" s="169"/>
    </row>
    <row r="104" spans="3:55" ht="15.75" customHeight="1">
      <c r="C104" s="617"/>
      <c r="S104" s="454"/>
      <c r="BA104" s="1305"/>
      <c r="BC104" s="169"/>
    </row>
    <row r="105" spans="3:55" ht="15.75" customHeight="1">
      <c r="C105" s="617"/>
      <c r="S105" s="454"/>
      <c r="BA105" s="1305"/>
      <c r="BC105" s="169"/>
    </row>
    <row r="106" spans="3:55" ht="15.75" customHeight="1">
      <c r="C106" s="617"/>
      <c r="S106" s="454"/>
      <c r="BA106" s="1305"/>
      <c r="BC106" s="169"/>
    </row>
    <row r="107" spans="3:55" ht="15.75" customHeight="1">
      <c r="C107" s="617"/>
      <c r="S107" s="454"/>
      <c r="BA107" s="1305"/>
      <c r="BC107" s="169"/>
    </row>
    <row r="108" spans="3:55" ht="15.75" customHeight="1">
      <c r="C108" s="617"/>
      <c r="S108" s="454"/>
      <c r="BA108" s="1305"/>
      <c r="BC108" s="169"/>
    </row>
    <row r="109" spans="3:55" ht="15.75" customHeight="1">
      <c r="C109" s="617"/>
      <c r="S109" s="454"/>
      <c r="BA109" s="1305"/>
      <c r="BC109" s="169"/>
    </row>
    <row r="110" spans="3:55" ht="15.75" customHeight="1">
      <c r="C110" s="617"/>
      <c r="S110" s="454"/>
      <c r="BA110" s="1305"/>
      <c r="BC110" s="169"/>
    </row>
    <row r="111" spans="3:55" ht="15.75" customHeight="1">
      <c r="C111" s="617"/>
      <c r="S111" s="454"/>
      <c r="BA111" s="1305"/>
      <c r="BC111" s="169"/>
    </row>
    <row r="112" spans="3:55" ht="15.75" customHeight="1">
      <c r="C112" s="617"/>
      <c r="S112" s="454"/>
      <c r="BA112" s="1305"/>
      <c r="BC112" s="169"/>
    </row>
    <row r="113" spans="3:55" ht="15.75" customHeight="1">
      <c r="C113" s="617"/>
      <c r="S113" s="454"/>
      <c r="BA113" s="1305"/>
      <c r="BC113" s="169"/>
    </row>
    <row r="114" spans="3:55" ht="15.75" customHeight="1">
      <c r="C114" s="617"/>
      <c r="S114" s="454"/>
      <c r="BA114" s="1305"/>
      <c r="BC114" s="169"/>
    </row>
    <row r="115" spans="3:55" ht="15.75" customHeight="1">
      <c r="C115" s="617"/>
      <c r="S115" s="454"/>
      <c r="BA115" s="1305"/>
      <c r="BC115" s="169"/>
    </row>
    <row r="116" spans="3:55" ht="15.75" customHeight="1">
      <c r="C116" s="617"/>
      <c r="S116" s="454"/>
      <c r="BA116" s="1305"/>
      <c r="BC116" s="169"/>
    </row>
    <row r="117" spans="3:55" ht="15.75" customHeight="1">
      <c r="C117" s="617"/>
      <c r="S117" s="454"/>
      <c r="BA117" s="1305"/>
      <c r="BC117" s="169"/>
    </row>
    <row r="118" spans="3:55" ht="15.75" customHeight="1">
      <c r="C118" s="617"/>
      <c r="S118" s="454"/>
      <c r="BA118" s="1305"/>
      <c r="BC118" s="169"/>
    </row>
    <row r="119" spans="3:55" ht="15.75" customHeight="1">
      <c r="C119" s="617"/>
      <c r="S119" s="454"/>
      <c r="BA119" s="1305"/>
      <c r="BC119" s="169"/>
    </row>
    <row r="120" spans="3:55" ht="15.75" customHeight="1">
      <c r="C120" s="617"/>
      <c r="S120" s="454"/>
      <c r="BA120" s="1305"/>
      <c r="BC120" s="169"/>
    </row>
    <row r="121" spans="3:55" ht="15.75" customHeight="1">
      <c r="C121" s="617"/>
      <c r="S121" s="454"/>
      <c r="BA121" s="1305"/>
      <c r="BC121" s="169"/>
    </row>
    <row r="122" spans="3:55" ht="15.75" customHeight="1">
      <c r="C122" s="617"/>
      <c r="S122" s="454"/>
      <c r="BA122" s="1305"/>
      <c r="BC122" s="169"/>
    </row>
    <row r="123" spans="3:55" ht="15.75" customHeight="1">
      <c r="C123" s="617"/>
      <c r="S123" s="454"/>
      <c r="BA123" s="1305"/>
      <c r="BC123" s="169"/>
    </row>
    <row r="124" spans="3:55" ht="15.75" customHeight="1">
      <c r="C124" s="617"/>
      <c r="S124" s="454"/>
      <c r="BA124" s="1305"/>
      <c r="BC124" s="169"/>
    </row>
    <row r="125" spans="3:55" ht="15.75" customHeight="1">
      <c r="C125" s="617"/>
      <c r="S125" s="454"/>
      <c r="BA125" s="1305"/>
      <c r="BC125" s="169"/>
    </row>
    <row r="126" spans="3:55" ht="15.75" customHeight="1">
      <c r="C126" s="617"/>
      <c r="S126" s="454"/>
      <c r="BA126" s="1305"/>
      <c r="BC126" s="169"/>
    </row>
    <row r="127" spans="3:55" ht="15.75" customHeight="1">
      <c r="C127" s="617"/>
      <c r="S127" s="454"/>
      <c r="BA127" s="1305"/>
      <c r="BC127" s="169"/>
    </row>
    <row r="128" spans="3:55" ht="15.75" customHeight="1">
      <c r="C128" s="617"/>
      <c r="S128" s="454"/>
      <c r="BA128" s="1305"/>
      <c r="BC128" s="169"/>
    </row>
    <row r="129" spans="3:55" ht="15.75" customHeight="1">
      <c r="C129" s="617"/>
      <c r="S129" s="454"/>
      <c r="BA129" s="1305"/>
      <c r="BC129" s="169"/>
    </row>
    <row r="130" spans="3:55" ht="15.75" customHeight="1">
      <c r="C130" s="617"/>
      <c r="S130" s="454"/>
      <c r="BA130" s="1305"/>
      <c r="BC130" s="169"/>
    </row>
    <row r="131" spans="3:55" ht="15.75" customHeight="1">
      <c r="C131" s="617"/>
      <c r="S131" s="454"/>
      <c r="BA131" s="1305"/>
      <c r="BC131" s="169"/>
    </row>
    <row r="132" spans="3:55" ht="15.75" customHeight="1">
      <c r="C132" s="617"/>
      <c r="S132" s="454"/>
      <c r="BA132" s="1305"/>
      <c r="BC132" s="169"/>
    </row>
    <row r="133" spans="3:55" ht="15.75" customHeight="1">
      <c r="C133" s="617"/>
      <c r="S133" s="454"/>
      <c r="BA133" s="1305"/>
      <c r="BC133" s="169"/>
    </row>
    <row r="134" spans="3:55" ht="15.75" customHeight="1">
      <c r="C134" s="617"/>
      <c r="S134" s="454"/>
      <c r="BA134" s="1305"/>
      <c r="BC134" s="169"/>
    </row>
    <row r="135" spans="3:55" ht="15.75" customHeight="1">
      <c r="C135" s="617"/>
      <c r="S135" s="454"/>
      <c r="BA135" s="1305"/>
      <c r="BC135" s="169"/>
    </row>
    <row r="136" spans="3:55" ht="15.75" customHeight="1">
      <c r="C136" s="617"/>
      <c r="S136" s="454"/>
      <c r="BA136" s="1305"/>
      <c r="BC136" s="169"/>
    </row>
    <row r="137" spans="3:55" ht="15.75" customHeight="1">
      <c r="C137" s="617"/>
      <c r="S137" s="454"/>
      <c r="BA137" s="1305"/>
      <c r="BC137" s="169"/>
    </row>
    <row r="138" spans="3:55" ht="15.75" customHeight="1">
      <c r="C138" s="617"/>
      <c r="S138" s="454"/>
      <c r="BA138" s="1305"/>
      <c r="BC138" s="169"/>
    </row>
    <row r="139" spans="3:55" ht="15.75" customHeight="1">
      <c r="C139" s="617"/>
      <c r="S139" s="454"/>
      <c r="BA139" s="1305"/>
      <c r="BC139" s="169"/>
    </row>
    <row r="140" spans="3:55" ht="15.75" customHeight="1">
      <c r="C140" s="617"/>
      <c r="S140" s="454"/>
      <c r="BA140" s="1305"/>
      <c r="BC140" s="169"/>
    </row>
    <row r="141" spans="3:55" ht="15.75" customHeight="1">
      <c r="C141" s="617"/>
      <c r="S141" s="454"/>
      <c r="BA141" s="1305"/>
      <c r="BC141" s="169"/>
    </row>
    <row r="142" spans="3:55" ht="15.75" customHeight="1">
      <c r="C142" s="617"/>
      <c r="S142" s="454"/>
      <c r="BA142" s="1305"/>
      <c r="BC142" s="169"/>
    </row>
    <row r="143" spans="3:55" ht="15.75" customHeight="1">
      <c r="C143" s="617"/>
      <c r="S143" s="454"/>
      <c r="BA143" s="1305"/>
      <c r="BC143" s="169"/>
    </row>
    <row r="144" spans="3:55" ht="15.75" customHeight="1">
      <c r="C144" s="617"/>
      <c r="S144" s="454"/>
      <c r="BA144" s="1305"/>
      <c r="BC144" s="169"/>
    </row>
    <row r="145" spans="3:55" ht="15.75" customHeight="1">
      <c r="C145" s="617"/>
      <c r="S145" s="454"/>
      <c r="BA145" s="1305"/>
      <c r="BC145" s="169"/>
    </row>
    <row r="146" spans="3:55" ht="15.75" customHeight="1">
      <c r="C146" s="617"/>
      <c r="S146" s="454"/>
      <c r="BA146" s="1305"/>
      <c r="BC146" s="169"/>
    </row>
    <row r="147" spans="3:55" ht="15.75" customHeight="1">
      <c r="C147" s="617"/>
      <c r="S147" s="454"/>
      <c r="BA147" s="1305"/>
      <c r="BC147" s="169"/>
    </row>
    <row r="148" spans="3:55" ht="15.75" customHeight="1">
      <c r="C148" s="617"/>
      <c r="S148" s="454"/>
      <c r="BA148" s="1305"/>
      <c r="BC148" s="169"/>
    </row>
    <row r="149" spans="3:55" ht="15.75" customHeight="1">
      <c r="C149" s="617"/>
      <c r="S149" s="454"/>
      <c r="BA149" s="1305"/>
      <c r="BC149" s="169"/>
    </row>
    <row r="150" spans="3:55" ht="15.75" customHeight="1">
      <c r="C150" s="617"/>
      <c r="S150" s="454"/>
      <c r="BA150" s="1305"/>
      <c r="BC150" s="169"/>
    </row>
    <row r="151" spans="3:55" ht="15.75" customHeight="1">
      <c r="C151" s="617"/>
      <c r="S151" s="454"/>
      <c r="BA151" s="1305"/>
      <c r="BC151" s="169"/>
    </row>
    <row r="152" spans="3:55" ht="15.75" customHeight="1">
      <c r="C152" s="617"/>
      <c r="S152" s="454"/>
      <c r="BA152" s="1305"/>
      <c r="BC152" s="169"/>
    </row>
    <row r="153" spans="3:55" ht="15.75" customHeight="1">
      <c r="C153" s="617"/>
      <c r="S153" s="454"/>
      <c r="BA153" s="1305"/>
      <c r="BC153" s="169"/>
    </row>
    <row r="154" spans="3:55" ht="15.75" customHeight="1">
      <c r="C154" s="617"/>
      <c r="S154" s="454"/>
      <c r="BA154" s="1305"/>
      <c r="BC154" s="169"/>
    </row>
    <row r="155" spans="3:55" ht="15.75" customHeight="1">
      <c r="C155" s="617"/>
      <c r="S155" s="454"/>
      <c r="BA155" s="1305"/>
      <c r="BC155" s="169"/>
    </row>
    <row r="156" spans="3:55" ht="15.75" customHeight="1">
      <c r="C156" s="617"/>
      <c r="S156" s="454"/>
      <c r="BA156" s="1305"/>
      <c r="BC156" s="169"/>
    </row>
    <row r="157" spans="3:55" ht="15.75" customHeight="1">
      <c r="C157" s="617"/>
      <c r="S157" s="454"/>
      <c r="BA157" s="1305"/>
      <c r="BC157" s="169"/>
    </row>
    <row r="158" spans="3:55" ht="15.75" customHeight="1">
      <c r="C158" s="617"/>
      <c r="S158" s="454"/>
      <c r="BA158" s="1305"/>
      <c r="BC158" s="169"/>
    </row>
    <row r="159" spans="3:55" ht="15.75" customHeight="1">
      <c r="C159" s="617"/>
      <c r="S159" s="454"/>
      <c r="BA159" s="1305"/>
      <c r="BC159" s="169"/>
    </row>
    <row r="160" spans="3:55" ht="15.75" customHeight="1">
      <c r="C160" s="617"/>
      <c r="S160" s="454"/>
      <c r="BA160" s="1305"/>
      <c r="BC160" s="169"/>
    </row>
    <row r="161" spans="3:55" ht="15.75" customHeight="1">
      <c r="C161" s="617"/>
      <c r="S161" s="454"/>
      <c r="BA161" s="1305"/>
      <c r="BC161" s="169"/>
    </row>
    <row r="162" spans="3:55" ht="15.75" customHeight="1">
      <c r="C162" s="617"/>
      <c r="S162" s="454"/>
      <c r="BA162" s="1305"/>
      <c r="BC162" s="169"/>
    </row>
    <row r="163" spans="3:55" ht="15.75" customHeight="1">
      <c r="C163" s="617"/>
      <c r="S163" s="454"/>
      <c r="BA163" s="1305"/>
      <c r="BC163" s="169"/>
    </row>
    <row r="164" spans="3:55" ht="15.75" customHeight="1">
      <c r="C164" s="617"/>
      <c r="S164" s="454"/>
      <c r="BA164" s="1305"/>
      <c r="BC164" s="169"/>
    </row>
    <row r="165" spans="3:55" ht="15.75" customHeight="1">
      <c r="C165" s="617"/>
      <c r="S165" s="454"/>
      <c r="BA165" s="1305"/>
      <c r="BC165" s="169"/>
    </row>
    <row r="166" spans="3:55" ht="15.75" customHeight="1">
      <c r="C166" s="617"/>
      <c r="S166" s="454"/>
      <c r="BA166" s="1305"/>
      <c r="BC166" s="169"/>
    </row>
    <row r="167" spans="3:55" ht="15.75" customHeight="1">
      <c r="C167" s="617"/>
      <c r="S167" s="454"/>
      <c r="BA167" s="1305"/>
      <c r="BC167" s="169"/>
    </row>
    <row r="168" spans="3:55" ht="15.75" customHeight="1">
      <c r="C168" s="617"/>
      <c r="S168" s="454"/>
      <c r="BA168" s="1305"/>
      <c r="BC168" s="169"/>
    </row>
    <row r="169" spans="3:55" ht="15.75" customHeight="1">
      <c r="C169" s="617"/>
      <c r="S169" s="454"/>
      <c r="BA169" s="1305"/>
      <c r="BC169" s="169"/>
    </row>
    <row r="170" spans="3:55" ht="15.75" customHeight="1">
      <c r="C170" s="617"/>
      <c r="S170" s="454"/>
      <c r="BA170" s="1305"/>
      <c r="BC170" s="169"/>
    </row>
    <row r="171" spans="3:55" ht="15.75" customHeight="1">
      <c r="C171" s="617"/>
      <c r="S171" s="454"/>
      <c r="BA171" s="1305"/>
      <c r="BC171" s="169"/>
    </row>
    <row r="172" spans="3:55" ht="15.75" customHeight="1">
      <c r="C172" s="617"/>
      <c r="S172" s="454"/>
      <c r="BA172" s="1305"/>
      <c r="BC172" s="169"/>
    </row>
    <row r="173" spans="3:55" ht="15.75" customHeight="1">
      <c r="C173" s="617"/>
      <c r="S173" s="454"/>
      <c r="BA173" s="1305"/>
      <c r="BC173" s="169"/>
    </row>
    <row r="174" spans="3:55" ht="15.75" customHeight="1">
      <c r="C174" s="617"/>
      <c r="S174" s="454"/>
      <c r="BA174" s="1305"/>
      <c r="BC174" s="169"/>
    </row>
    <row r="175" spans="3:55" ht="15.75" customHeight="1">
      <c r="C175" s="617"/>
      <c r="S175" s="454"/>
      <c r="BA175" s="1305"/>
      <c r="BC175" s="169"/>
    </row>
    <row r="176" spans="3:55" ht="15.75" customHeight="1">
      <c r="C176" s="617"/>
      <c r="S176" s="454"/>
      <c r="BA176" s="1305"/>
      <c r="BC176" s="169"/>
    </row>
    <row r="177" spans="3:55" ht="15.75" customHeight="1">
      <c r="C177" s="617"/>
      <c r="S177" s="454"/>
      <c r="BA177" s="1305"/>
      <c r="BC177" s="169"/>
    </row>
    <row r="178" spans="3:55" ht="15.75" customHeight="1">
      <c r="C178" s="617"/>
      <c r="S178" s="454"/>
      <c r="BA178" s="1305"/>
      <c r="BC178" s="169"/>
    </row>
    <row r="179" spans="3:55" ht="15.75" customHeight="1">
      <c r="C179" s="617"/>
      <c r="S179" s="454"/>
      <c r="BA179" s="1305"/>
      <c r="BC179" s="169"/>
    </row>
    <row r="180" spans="3:55" ht="15.75" customHeight="1">
      <c r="C180" s="617"/>
      <c r="S180" s="454"/>
      <c r="BA180" s="1305"/>
      <c r="BC180" s="169"/>
    </row>
    <row r="181" spans="3:55" ht="15.75" customHeight="1">
      <c r="C181" s="617"/>
      <c r="S181" s="454"/>
      <c r="BA181" s="1305"/>
      <c r="BC181" s="169"/>
    </row>
    <row r="182" spans="3:55" ht="15.75" customHeight="1">
      <c r="C182" s="617"/>
      <c r="S182" s="454"/>
      <c r="BA182" s="1305"/>
      <c r="BC182" s="169"/>
    </row>
    <row r="183" spans="3:55" ht="15.75" customHeight="1">
      <c r="C183" s="617"/>
      <c r="S183" s="454"/>
      <c r="BA183" s="1305"/>
      <c r="BC183" s="169"/>
    </row>
    <row r="184" spans="3:55" ht="15.75" customHeight="1">
      <c r="C184" s="617"/>
      <c r="S184" s="454"/>
      <c r="BA184" s="1305"/>
      <c r="BC184" s="169"/>
    </row>
    <row r="185" spans="3:55" ht="15.75" customHeight="1">
      <c r="C185" s="617"/>
      <c r="S185" s="454"/>
      <c r="BA185" s="1305"/>
      <c r="BC185" s="169"/>
    </row>
    <row r="186" spans="3:55" ht="15.75" customHeight="1">
      <c r="C186" s="617"/>
      <c r="S186" s="454"/>
      <c r="BA186" s="1305"/>
      <c r="BC186" s="169"/>
    </row>
    <row r="187" spans="3:55" ht="15.75" customHeight="1">
      <c r="C187" s="617"/>
      <c r="S187" s="454"/>
      <c r="BA187" s="1305"/>
      <c r="BC187" s="169"/>
    </row>
    <row r="188" spans="3:55" ht="15.75" customHeight="1">
      <c r="C188" s="617"/>
      <c r="S188" s="454"/>
      <c r="BA188" s="1305"/>
      <c r="BC188" s="169"/>
    </row>
    <row r="189" spans="3:55" ht="15.75" customHeight="1">
      <c r="C189" s="617"/>
      <c r="S189" s="454"/>
      <c r="BA189" s="1305"/>
      <c r="BC189" s="169"/>
    </row>
    <row r="190" spans="3:55" ht="15.75" customHeight="1">
      <c r="C190" s="617"/>
      <c r="S190" s="454"/>
      <c r="BA190" s="1305"/>
      <c r="BC190" s="169"/>
    </row>
    <row r="191" spans="3:55" ht="15.75" customHeight="1">
      <c r="C191" s="617"/>
      <c r="S191" s="454"/>
      <c r="BA191" s="1305"/>
      <c r="BC191" s="169"/>
    </row>
    <row r="192" spans="3:55" ht="15.75" customHeight="1">
      <c r="C192" s="617"/>
      <c r="S192" s="454"/>
      <c r="BA192" s="1305"/>
      <c r="BC192" s="169"/>
    </row>
    <row r="193" spans="3:55" ht="15.75" customHeight="1">
      <c r="C193" s="617"/>
      <c r="S193" s="454"/>
      <c r="BA193" s="1305"/>
      <c r="BC193" s="169"/>
    </row>
    <row r="194" spans="3:55" ht="15.75" customHeight="1">
      <c r="C194" s="617"/>
      <c r="S194" s="454"/>
      <c r="BA194" s="1305"/>
      <c r="BC194" s="169"/>
    </row>
    <row r="195" spans="3:55" ht="15.75" customHeight="1">
      <c r="C195" s="617"/>
      <c r="S195" s="454"/>
      <c r="BA195" s="1305"/>
      <c r="BC195" s="169"/>
    </row>
    <row r="196" spans="3:55" ht="15.75" customHeight="1">
      <c r="C196" s="617"/>
      <c r="S196" s="454"/>
      <c r="BA196" s="1305"/>
      <c r="BC196" s="169"/>
    </row>
    <row r="197" spans="3:55" ht="15.75" customHeight="1">
      <c r="C197" s="617"/>
      <c r="S197" s="454"/>
      <c r="BA197" s="1305"/>
      <c r="BC197" s="169"/>
    </row>
    <row r="198" spans="3:55" ht="15.75" customHeight="1">
      <c r="C198" s="617"/>
      <c r="S198" s="454"/>
      <c r="BA198" s="1305"/>
      <c r="BC198" s="169"/>
    </row>
    <row r="199" spans="3:55" ht="15.75" customHeight="1">
      <c r="C199" s="617"/>
      <c r="S199" s="454"/>
      <c r="BA199" s="1305"/>
      <c r="BC199" s="169"/>
    </row>
    <row r="200" spans="3:55" ht="15.75" customHeight="1">
      <c r="C200" s="617"/>
      <c r="S200" s="454"/>
      <c r="BA200" s="1305"/>
      <c r="BC200" s="169"/>
    </row>
    <row r="201" spans="3:55" ht="15.75" customHeight="1">
      <c r="C201" s="617"/>
      <c r="S201" s="454"/>
      <c r="BA201" s="1305"/>
      <c r="BC201" s="169"/>
    </row>
    <row r="202" spans="3:55" ht="15.75" customHeight="1">
      <c r="C202" s="617"/>
      <c r="S202" s="454"/>
      <c r="BA202" s="1305"/>
      <c r="BC202" s="169"/>
    </row>
    <row r="203" spans="3:55" ht="15.75" customHeight="1">
      <c r="C203" s="617"/>
      <c r="S203" s="454"/>
      <c r="BA203" s="1305"/>
      <c r="BC203" s="169"/>
    </row>
    <row r="204" spans="3:55" ht="15.75" customHeight="1">
      <c r="C204" s="617"/>
      <c r="S204" s="454"/>
      <c r="BA204" s="1305"/>
      <c r="BC204" s="169"/>
    </row>
    <row r="205" spans="3:55" ht="15.75" customHeight="1">
      <c r="C205" s="617"/>
      <c r="S205" s="454"/>
      <c r="BA205" s="1305"/>
      <c r="BC205" s="169"/>
    </row>
    <row r="206" spans="3:55" ht="15.75" customHeight="1">
      <c r="C206" s="617"/>
      <c r="S206" s="454"/>
      <c r="BA206" s="1305"/>
      <c r="BC206" s="169"/>
    </row>
    <row r="207" spans="3:55" ht="15.75" customHeight="1">
      <c r="C207" s="617"/>
      <c r="S207" s="454"/>
      <c r="BA207" s="1305"/>
      <c r="BC207" s="169"/>
    </row>
    <row r="208" spans="3:55" ht="15.75" customHeight="1">
      <c r="C208" s="617"/>
      <c r="S208" s="454"/>
      <c r="BA208" s="1305"/>
      <c r="BC208" s="169"/>
    </row>
    <row r="209" spans="3:55" ht="15.75" customHeight="1">
      <c r="C209" s="617"/>
      <c r="S209" s="454"/>
      <c r="BA209" s="1305"/>
      <c r="BC209" s="169"/>
    </row>
    <row r="210" spans="3:55" ht="15.75" customHeight="1">
      <c r="C210" s="617"/>
      <c r="S210" s="454"/>
      <c r="BA210" s="1305"/>
      <c r="BC210" s="169"/>
    </row>
    <row r="211" spans="3:55" ht="15.75" customHeight="1">
      <c r="C211" s="617"/>
      <c r="S211" s="454"/>
      <c r="BA211" s="1305"/>
      <c r="BC211" s="169"/>
    </row>
    <row r="212" spans="3:55" ht="15.75" customHeight="1">
      <c r="C212" s="617"/>
      <c r="S212" s="454"/>
      <c r="BA212" s="1305"/>
      <c r="BC212" s="169"/>
    </row>
    <row r="213" spans="3:55" ht="15.75" customHeight="1">
      <c r="C213" s="617"/>
      <c r="S213" s="454"/>
      <c r="BA213" s="1305"/>
      <c r="BC213" s="169"/>
    </row>
    <row r="214" spans="3:55" ht="15.75" customHeight="1">
      <c r="C214" s="617"/>
      <c r="S214" s="454"/>
      <c r="BA214" s="1305"/>
      <c r="BC214" s="169"/>
    </row>
    <row r="215" spans="3:55" ht="15.75" customHeight="1">
      <c r="C215" s="617"/>
      <c r="S215" s="454"/>
      <c r="BA215" s="1305"/>
      <c r="BC215" s="169"/>
    </row>
    <row r="216" spans="3:55" ht="15.75" customHeight="1">
      <c r="C216" s="617"/>
      <c r="S216" s="454"/>
      <c r="BA216" s="1305"/>
      <c r="BC216" s="169"/>
    </row>
    <row r="217" spans="3:55" ht="15.75" customHeight="1">
      <c r="C217" s="617"/>
      <c r="S217" s="454"/>
      <c r="BA217" s="1305"/>
      <c r="BC217" s="169"/>
    </row>
    <row r="218" spans="3:55" ht="15.75" customHeight="1">
      <c r="C218" s="617"/>
      <c r="S218" s="454"/>
      <c r="BA218" s="1305"/>
      <c r="BC218" s="169"/>
    </row>
    <row r="219" spans="3:55" ht="15.75" customHeight="1">
      <c r="C219" s="617"/>
      <c r="S219" s="454"/>
      <c r="BA219" s="1305"/>
      <c r="BC219" s="169"/>
    </row>
    <row r="220" spans="3:55" ht="15.75" customHeight="1">
      <c r="C220" s="617"/>
      <c r="S220" s="454"/>
      <c r="BA220" s="1305"/>
      <c r="BC220" s="169"/>
    </row>
    <row r="221" spans="3:55" ht="15.75" customHeight="1">
      <c r="C221" s="617"/>
      <c r="S221" s="454"/>
      <c r="BA221" s="1305"/>
      <c r="BC221" s="169"/>
    </row>
    <row r="222" spans="3:55" ht="15.75" customHeight="1">
      <c r="C222" s="617"/>
      <c r="S222" s="454"/>
      <c r="BA222" s="1305"/>
      <c r="BC222" s="169"/>
    </row>
    <row r="223" spans="3:55" ht="15.75" customHeight="1">
      <c r="C223" s="617"/>
      <c r="S223" s="454"/>
      <c r="BA223" s="1305"/>
      <c r="BC223" s="169"/>
    </row>
    <row r="224" spans="3:55" ht="15.75" customHeight="1">
      <c r="C224" s="617"/>
      <c r="S224" s="454"/>
      <c r="BA224" s="1305"/>
      <c r="BC224" s="169"/>
    </row>
    <row r="225" spans="3:55" ht="15.75" customHeight="1">
      <c r="C225" s="617"/>
      <c r="S225" s="454"/>
      <c r="BA225" s="1305"/>
      <c r="BC225" s="169"/>
    </row>
    <row r="226" spans="3:55" ht="15.75" customHeight="1">
      <c r="C226" s="617"/>
      <c r="S226" s="454"/>
      <c r="BA226" s="1305"/>
      <c r="BC226" s="169"/>
    </row>
    <row r="227" spans="3:55" ht="15.75" customHeight="1">
      <c r="C227" s="617"/>
      <c r="S227" s="454"/>
      <c r="BA227" s="1305"/>
      <c r="BC227" s="169"/>
    </row>
    <row r="228" spans="3:55" ht="15.75" customHeight="1">
      <c r="C228" s="617"/>
      <c r="S228" s="454"/>
      <c r="BA228" s="1305"/>
      <c r="BC228" s="169"/>
    </row>
    <row r="229" spans="3:55" ht="15.75" customHeight="1">
      <c r="S229" s="454"/>
      <c r="BA229" s="1305"/>
      <c r="BC229" s="169"/>
    </row>
    <row r="230" spans="3:55" ht="15.75" customHeight="1">
      <c r="S230" s="454"/>
      <c r="BA230" s="1305"/>
      <c r="BC230" s="169"/>
    </row>
    <row r="231" spans="3:55" ht="15.75" customHeight="1">
      <c r="S231" s="454"/>
      <c r="BA231" s="1305"/>
      <c r="BC231" s="169"/>
    </row>
    <row r="232" spans="3:55" ht="15.75" customHeight="1">
      <c r="S232" s="454"/>
      <c r="BA232" s="1305"/>
      <c r="BC232" s="169"/>
    </row>
    <row r="233" spans="3:55" ht="15.75" customHeight="1">
      <c r="S233" s="454"/>
      <c r="BA233" s="1305"/>
      <c r="BC233" s="169"/>
    </row>
    <row r="234" spans="3:55" ht="15.75" customHeight="1">
      <c r="S234" s="454"/>
      <c r="BA234" s="1305"/>
      <c r="BC234" s="169"/>
    </row>
    <row r="235" spans="3:55" ht="15.75" customHeight="1">
      <c r="S235" s="454"/>
      <c r="BA235" s="1305"/>
      <c r="BC235" s="169"/>
    </row>
    <row r="236" spans="3:55" ht="15.75" customHeight="1">
      <c r="S236" s="454"/>
      <c r="BA236" s="1305"/>
      <c r="BC236" s="169"/>
    </row>
    <row r="237" spans="3:55" ht="15.75" customHeight="1">
      <c r="S237" s="454"/>
      <c r="BA237" s="1305"/>
      <c r="BC237" s="169"/>
    </row>
    <row r="238" spans="3:55" ht="15.75" customHeight="1">
      <c r="S238" s="454"/>
      <c r="BA238" s="1305"/>
      <c r="BC238" s="169"/>
    </row>
    <row r="239" spans="3:55" ht="15.75" customHeight="1">
      <c r="S239" s="454"/>
      <c r="BA239" s="1305"/>
      <c r="BC239" s="169"/>
    </row>
    <row r="240" spans="3:55" ht="15.75" customHeight="1">
      <c r="S240" s="454"/>
      <c r="BA240" s="1305"/>
      <c r="BC240" s="169"/>
    </row>
    <row r="241" spans="19:55" ht="15.75" customHeight="1">
      <c r="S241" s="454"/>
      <c r="BA241" s="1305"/>
      <c r="BC241" s="169"/>
    </row>
    <row r="242" spans="19:55" ht="15.75" customHeight="1">
      <c r="S242" s="454"/>
      <c r="BA242" s="1305"/>
      <c r="BC242" s="169"/>
    </row>
    <row r="243" spans="19:55" ht="15.75" customHeight="1">
      <c r="S243" s="454"/>
      <c r="BA243" s="1305"/>
      <c r="BC243" s="169"/>
    </row>
    <row r="244" spans="19:55" ht="15.75" customHeight="1">
      <c r="S244" s="454"/>
      <c r="BA244" s="1305"/>
      <c r="BC244" s="169"/>
    </row>
    <row r="245" spans="19:55" ht="15.75" customHeight="1">
      <c r="S245" s="454"/>
      <c r="BA245" s="1305"/>
      <c r="BC245" s="169"/>
    </row>
    <row r="246" spans="19:55" ht="15.75" customHeight="1">
      <c r="S246" s="454"/>
      <c r="BA246" s="1305"/>
      <c r="BC246" s="169"/>
    </row>
    <row r="247" spans="19:55" ht="15.75" customHeight="1">
      <c r="S247" s="454"/>
      <c r="BA247" s="1305"/>
      <c r="BC247" s="169"/>
    </row>
    <row r="248" spans="19:55" ht="15.75" customHeight="1">
      <c r="S248" s="454"/>
      <c r="BA248" s="1305"/>
      <c r="BC248" s="169"/>
    </row>
    <row r="249" spans="19:55" ht="15.75" customHeight="1">
      <c r="S249" s="454"/>
      <c r="BA249" s="1305"/>
      <c r="BC249" s="169"/>
    </row>
    <row r="250" spans="19:55" ht="15.75" customHeight="1">
      <c r="S250" s="454"/>
      <c r="BA250" s="1305"/>
      <c r="BC250" s="169"/>
    </row>
    <row r="251" spans="19:55" ht="15.75" customHeight="1">
      <c r="S251" s="454"/>
      <c r="BA251" s="1305"/>
      <c r="BC251" s="169"/>
    </row>
    <row r="252" spans="19:55" ht="15.75" customHeight="1">
      <c r="S252" s="454"/>
      <c r="BA252" s="1305"/>
      <c r="BC252" s="169"/>
    </row>
    <row r="253" spans="19:55" ht="15.75" customHeight="1">
      <c r="S253" s="454"/>
      <c r="BA253" s="1305"/>
      <c r="BC253" s="169"/>
    </row>
    <row r="254" spans="19:55" ht="15.75" customHeight="1">
      <c r="S254" s="454"/>
      <c r="BA254" s="1305"/>
      <c r="BC254" s="169"/>
    </row>
    <row r="255" spans="19:55" ht="15.75" customHeight="1">
      <c r="S255" s="454"/>
      <c r="BA255" s="1305"/>
      <c r="BC255" s="169"/>
    </row>
    <row r="256" spans="19:55" ht="15.75" customHeight="1">
      <c r="S256" s="454"/>
      <c r="BA256" s="1305"/>
      <c r="BC256" s="169"/>
    </row>
    <row r="257" spans="19:55" ht="15.75" customHeight="1">
      <c r="S257" s="454"/>
      <c r="BA257" s="1305"/>
      <c r="BC257" s="169"/>
    </row>
    <row r="258" spans="19:55" ht="15.75" customHeight="1">
      <c r="S258" s="454"/>
      <c r="BA258" s="1305"/>
      <c r="BC258" s="169"/>
    </row>
    <row r="259" spans="19:55" ht="15.75" customHeight="1">
      <c r="S259" s="454"/>
      <c r="BA259" s="1305"/>
      <c r="BC259" s="169"/>
    </row>
    <row r="260" spans="19:55" ht="15.75" customHeight="1">
      <c r="S260" s="454"/>
      <c r="BA260" s="1305"/>
      <c r="BC260" s="169"/>
    </row>
    <row r="261" spans="19:55" ht="15.75" customHeight="1">
      <c r="S261" s="454"/>
      <c r="BA261" s="1305"/>
      <c r="BC261" s="169"/>
    </row>
    <row r="262" spans="19:55" ht="15.75" customHeight="1">
      <c r="S262" s="454"/>
      <c r="BA262" s="1305"/>
      <c r="BC262" s="169"/>
    </row>
    <row r="263" spans="19:55" ht="15.75" customHeight="1">
      <c r="S263" s="454"/>
      <c r="BA263" s="1305"/>
      <c r="BC263" s="169"/>
    </row>
    <row r="264" spans="19:55" ht="15.75" customHeight="1">
      <c r="S264" s="454"/>
      <c r="BA264" s="1305"/>
      <c r="BC264" s="169"/>
    </row>
    <row r="265" spans="19:55" ht="15.75" customHeight="1">
      <c r="S265" s="454"/>
      <c r="BA265" s="1305"/>
      <c r="BC265" s="169"/>
    </row>
    <row r="266" spans="19:55" ht="15.75" customHeight="1">
      <c r="S266" s="454"/>
      <c r="BA266" s="1305"/>
      <c r="BC266" s="169"/>
    </row>
    <row r="267" spans="19:55" ht="15.75" customHeight="1">
      <c r="S267" s="454"/>
      <c r="BA267" s="1305"/>
      <c r="BC267" s="169"/>
    </row>
    <row r="268" spans="19:55" ht="15.75" customHeight="1">
      <c r="S268" s="454"/>
      <c r="BA268" s="1305"/>
      <c r="BC268" s="169"/>
    </row>
    <row r="269" spans="19:55" ht="15.75" customHeight="1">
      <c r="S269" s="454"/>
      <c r="BA269" s="1305"/>
      <c r="BC269" s="169"/>
    </row>
    <row r="270" spans="19:55" ht="15.75" customHeight="1">
      <c r="S270" s="454"/>
      <c r="BA270" s="1305"/>
      <c r="BC270" s="169"/>
    </row>
    <row r="271" spans="19:55" ht="15.75" customHeight="1">
      <c r="S271" s="454"/>
      <c r="BA271" s="1305"/>
      <c r="BC271" s="169"/>
    </row>
    <row r="272" spans="19:55" ht="15.75" customHeight="1">
      <c r="S272" s="454"/>
      <c r="BA272" s="1305"/>
      <c r="BC272" s="169"/>
    </row>
    <row r="273" spans="19:55" ht="15.75" customHeight="1">
      <c r="S273" s="454"/>
      <c r="BA273" s="1305"/>
      <c r="BC273" s="169"/>
    </row>
    <row r="274" spans="19:55" ht="15.75" customHeight="1">
      <c r="S274" s="454"/>
      <c r="BA274" s="1305"/>
      <c r="BC274" s="169"/>
    </row>
    <row r="275" spans="19:55" ht="15.75" customHeight="1">
      <c r="S275" s="454"/>
      <c r="BA275" s="1305"/>
      <c r="BC275" s="169"/>
    </row>
    <row r="276" spans="19:55" ht="15.75" customHeight="1">
      <c r="S276" s="454"/>
      <c r="BA276" s="1305"/>
      <c r="BC276" s="169"/>
    </row>
    <row r="277" spans="19:55" ht="15.75" customHeight="1">
      <c r="S277" s="454"/>
      <c r="BA277" s="1305"/>
      <c r="BC277" s="169"/>
    </row>
    <row r="278" spans="19:55" ht="15.75" customHeight="1">
      <c r="S278" s="454"/>
      <c r="BA278" s="1305"/>
      <c r="BC278" s="169"/>
    </row>
    <row r="279" spans="19:55" ht="15.75" customHeight="1">
      <c r="S279" s="454"/>
      <c r="BA279" s="1305"/>
      <c r="BC279" s="169"/>
    </row>
    <row r="280" spans="19:55" ht="15.75" customHeight="1">
      <c r="S280" s="454"/>
      <c r="BA280" s="1305"/>
      <c r="BC280" s="169"/>
    </row>
    <row r="281" spans="19:55" ht="15.75" customHeight="1">
      <c r="S281" s="454"/>
      <c r="BA281" s="1305"/>
      <c r="BC281" s="169"/>
    </row>
    <row r="282" spans="19:55" ht="15.75" customHeight="1">
      <c r="S282" s="454"/>
      <c r="BA282" s="1305"/>
      <c r="BC282" s="169"/>
    </row>
    <row r="283" spans="19:55" ht="15.75" customHeight="1">
      <c r="S283" s="454"/>
      <c r="BA283" s="1305"/>
      <c r="BC283" s="169"/>
    </row>
    <row r="284" spans="19:55" ht="15.75" customHeight="1">
      <c r="S284" s="454"/>
      <c r="BA284" s="1305"/>
      <c r="BC284" s="169"/>
    </row>
    <row r="285" spans="19:55" ht="15.75" customHeight="1">
      <c r="S285" s="454"/>
      <c r="BA285" s="1305"/>
      <c r="BC285" s="169"/>
    </row>
    <row r="286" spans="19:55" ht="15.75" customHeight="1">
      <c r="S286" s="454"/>
      <c r="BA286" s="1305"/>
      <c r="BC286" s="169"/>
    </row>
    <row r="287" spans="19:55" ht="15.75" customHeight="1">
      <c r="S287" s="454"/>
      <c r="BA287" s="1305"/>
      <c r="BC287" s="169"/>
    </row>
    <row r="288" spans="19:55" ht="15.75" customHeight="1">
      <c r="S288" s="454"/>
      <c r="BA288" s="1305"/>
      <c r="BC288" s="169"/>
    </row>
    <row r="289" spans="19:55" ht="15.75" customHeight="1">
      <c r="S289" s="454"/>
      <c r="BA289" s="1305"/>
      <c r="BC289" s="169"/>
    </row>
    <row r="290" spans="19:55" ht="15.75" customHeight="1">
      <c r="S290" s="454"/>
      <c r="BA290" s="1305"/>
      <c r="BC290" s="169"/>
    </row>
    <row r="291" spans="19:55" ht="15.75" customHeight="1">
      <c r="S291" s="454"/>
      <c r="BA291" s="1305"/>
      <c r="BC291" s="169"/>
    </row>
    <row r="292" spans="19:55" ht="15.75" customHeight="1">
      <c r="S292" s="454"/>
      <c r="BA292" s="1305"/>
      <c r="BC292" s="169"/>
    </row>
    <row r="293" spans="19:55" ht="15.75" customHeight="1">
      <c r="S293" s="454"/>
      <c r="BA293" s="1305"/>
      <c r="BC293" s="169"/>
    </row>
    <row r="294" spans="19:55" ht="15.75" customHeight="1">
      <c r="S294" s="454"/>
      <c r="BA294" s="1305"/>
      <c r="BC294" s="169"/>
    </row>
    <row r="295" spans="19:55" ht="15.75" customHeight="1">
      <c r="S295" s="454"/>
      <c r="BA295" s="1305"/>
      <c r="BC295" s="169"/>
    </row>
    <row r="296" spans="19:55" ht="15.75" customHeight="1">
      <c r="S296" s="454"/>
      <c r="BA296" s="1305"/>
      <c r="BC296" s="169"/>
    </row>
    <row r="297" spans="19:55" ht="15.75" customHeight="1">
      <c r="S297" s="454"/>
      <c r="BA297" s="1305"/>
      <c r="BC297" s="169"/>
    </row>
    <row r="298" spans="19:55" ht="15.75" customHeight="1">
      <c r="S298" s="454"/>
      <c r="BA298" s="1305"/>
      <c r="BC298" s="169"/>
    </row>
    <row r="299" spans="19:55" ht="15.75" customHeight="1">
      <c r="S299" s="454"/>
      <c r="BA299" s="1305"/>
      <c r="BC299" s="169"/>
    </row>
    <row r="300" spans="19:55" ht="15.75" customHeight="1">
      <c r="S300" s="454"/>
      <c r="BA300" s="1305"/>
      <c r="BC300" s="169"/>
    </row>
    <row r="301" spans="19:55" ht="15.75" customHeight="1">
      <c r="S301" s="454"/>
      <c r="BA301" s="1305"/>
      <c r="BC301" s="169"/>
    </row>
    <row r="302" spans="19:55" ht="15.75" customHeight="1">
      <c r="S302" s="454"/>
      <c r="BA302" s="1305"/>
      <c r="BC302" s="169"/>
    </row>
    <row r="303" spans="19:55" ht="15.75" customHeight="1">
      <c r="S303" s="454"/>
      <c r="BA303" s="1305"/>
      <c r="BC303" s="169"/>
    </row>
    <row r="304" spans="19:55" ht="15.75" customHeight="1">
      <c r="S304" s="454"/>
      <c r="BA304" s="1305"/>
      <c r="BC304" s="169"/>
    </row>
    <row r="305" spans="19:55" ht="15.75" customHeight="1">
      <c r="S305" s="454"/>
      <c r="BA305" s="1305"/>
      <c r="BC305" s="169"/>
    </row>
    <row r="306" spans="19:55" ht="15.75" customHeight="1">
      <c r="S306" s="454"/>
      <c r="BA306" s="1305"/>
      <c r="BC306" s="169"/>
    </row>
    <row r="307" spans="19:55" ht="15.75" customHeight="1">
      <c r="S307" s="454"/>
      <c r="BA307" s="1305"/>
      <c r="BC307" s="169"/>
    </row>
    <row r="308" spans="19:55" ht="15.75" customHeight="1">
      <c r="S308" s="454"/>
      <c r="BA308" s="1305"/>
      <c r="BC308" s="169"/>
    </row>
    <row r="309" spans="19:55" ht="15.75" customHeight="1">
      <c r="S309" s="454"/>
      <c r="BA309" s="1305"/>
      <c r="BC309" s="169"/>
    </row>
    <row r="310" spans="19:55" ht="15.75" customHeight="1">
      <c r="S310" s="454"/>
      <c r="BA310" s="1305"/>
      <c r="BC310" s="169"/>
    </row>
    <row r="311" spans="19:55" ht="15.75" customHeight="1">
      <c r="S311" s="454"/>
      <c r="BA311" s="1305"/>
      <c r="BC311" s="169"/>
    </row>
    <row r="312" spans="19:55" ht="15.75" customHeight="1">
      <c r="S312" s="454"/>
      <c r="BA312" s="1305"/>
      <c r="BC312" s="169"/>
    </row>
    <row r="313" spans="19:55" ht="15.75" customHeight="1">
      <c r="S313" s="454"/>
      <c r="BA313" s="1305"/>
      <c r="BC313" s="169"/>
    </row>
    <row r="314" spans="19:55" ht="15.75" customHeight="1">
      <c r="S314" s="454"/>
      <c r="BA314" s="1305"/>
      <c r="BC314" s="169"/>
    </row>
    <row r="315" spans="19:55" ht="15.75" customHeight="1">
      <c r="S315" s="454"/>
      <c r="BA315" s="1305"/>
      <c r="BC315" s="169"/>
    </row>
    <row r="316" spans="19:55" ht="15.75" customHeight="1">
      <c r="S316" s="454"/>
      <c r="BA316" s="1305"/>
      <c r="BC316" s="169"/>
    </row>
    <row r="317" spans="19:55" ht="15.75" customHeight="1">
      <c r="S317" s="454"/>
      <c r="BA317" s="1305"/>
      <c r="BC317" s="169"/>
    </row>
    <row r="318" spans="19:55" ht="15.75" customHeight="1">
      <c r="S318" s="454"/>
      <c r="BA318" s="1305"/>
      <c r="BC318" s="169"/>
    </row>
    <row r="319" spans="19:55" ht="15.75" customHeight="1">
      <c r="S319" s="454"/>
      <c r="BA319" s="1305"/>
      <c r="BC319" s="169"/>
    </row>
    <row r="320" spans="19:55" ht="15.75" customHeight="1">
      <c r="S320" s="454"/>
      <c r="BA320" s="1305"/>
      <c r="BC320" s="169"/>
    </row>
    <row r="321" spans="19:55" ht="15.75" customHeight="1">
      <c r="S321" s="454"/>
      <c r="BA321" s="1305"/>
      <c r="BC321" s="169"/>
    </row>
    <row r="322" spans="19:55" ht="15.75" customHeight="1">
      <c r="S322" s="454"/>
      <c r="BA322" s="1305"/>
      <c r="BC322" s="169"/>
    </row>
    <row r="323" spans="19:55" ht="15.75" customHeight="1">
      <c r="S323" s="454"/>
      <c r="BA323" s="1305"/>
      <c r="BC323" s="169"/>
    </row>
    <row r="324" spans="19:55" ht="15.75" customHeight="1">
      <c r="S324" s="454"/>
      <c r="BA324" s="1305"/>
      <c r="BC324" s="169"/>
    </row>
    <row r="325" spans="19:55" ht="15.75" customHeight="1">
      <c r="S325" s="454"/>
      <c r="BA325" s="1305"/>
      <c r="BC325" s="169"/>
    </row>
    <row r="326" spans="19:55" ht="15.75" customHeight="1">
      <c r="S326" s="454"/>
      <c r="BA326" s="1305"/>
      <c r="BC326" s="169"/>
    </row>
    <row r="327" spans="19:55" ht="15.75" customHeight="1">
      <c r="S327" s="454"/>
      <c r="BA327" s="1305"/>
      <c r="BC327" s="169"/>
    </row>
    <row r="328" spans="19:55" ht="15.75" customHeight="1">
      <c r="S328" s="454"/>
      <c r="BA328" s="1305"/>
      <c r="BC328" s="169"/>
    </row>
    <row r="329" spans="19:55" ht="15.75" customHeight="1">
      <c r="S329" s="454"/>
      <c r="BA329" s="1305"/>
      <c r="BC329" s="169"/>
    </row>
    <row r="330" spans="19:55" ht="15.75" customHeight="1">
      <c r="S330" s="454"/>
      <c r="BA330" s="1305"/>
      <c r="BC330" s="169"/>
    </row>
    <row r="331" spans="19:55" ht="15.75" customHeight="1">
      <c r="S331" s="454"/>
      <c r="BA331" s="1305"/>
      <c r="BC331" s="169"/>
    </row>
    <row r="332" spans="19:55" ht="15.75" customHeight="1">
      <c r="S332" s="454"/>
      <c r="BA332" s="1305"/>
      <c r="BC332" s="169"/>
    </row>
    <row r="333" spans="19:55" ht="15.75" customHeight="1">
      <c r="S333" s="454"/>
      <c r="BA333" s="1305"/>
      <c r="BC333" s="169"/>
    </row>
    <row r="334" spans="19:55" ht="15.75" customHeight="1">
      <c r="S334" s="454"/>
      <c r="BA334" s="1305"/>
      <c r="BC334" s="169"/>
    </row>
    <row r="335" spans="19:55" ht="15.75" customHeight="1">
      <c r="S335" s="454"/>
      <c r="BA335" s="1305"/>
      <c r="BC335" s="169"/>
    </row>
    <row r="336" spans="19:55" ht="15.75" customHeight="1">
      <c r="S336" s="454"/>
      <c r="BA336" s="1305"/>
      <c r="BC336" s="169"/>
    </row>
    <row r="337" spans="19:55" ht="15.75" customHeight="1">
      <c r="S337" s="454"/>
      <c r="BA337" s="1305"/>
      <c r="BC337" s="169"/>
    </row>
    <row r="338" spans="19:55" ht="15.75" customHeight="1">
      <c r="S338" s="454"/>
      <c r="BA338" s="1305"/>
      <c r="BC338" s="169"/>
    </row>
    <row r="339" spans="19:55" ht="15.75" customHeight="1">
      <c r="S339" s="454"/>
      <c r="BA339" s="1305"/>
      <c r="BC339" s="169"/>
    </row>
    <row r="340" spans="19:55" ht="15.75" customHeight="1">
      <c r="S340" s="454"/>
      <c r="BA340" s="1305"/>
      <c r="BC340" s="169"/>
    </row>
    <row r="341" spans="19:55" ht="15.75" customHeight="1">
      <c r="S341" s="454"/>
      <c r="BA341" s="1305"/>
      <c r="BC341" s="169"/>
    </row>
    <row r="342" spans="19:55" ht="15.75" customHeight="1">
      <c r="S342" s="454"/>
      <c r="BA342" s="1305"/>
      <c r="BC342" s="169"/>
    </row>
    <row r="343" spans="19:55" ht="15.75" customHeight="1">
      <c r="S343" s="454"/>
      <c r="BA343" s="1305"/>
      <c r="BC343" s="169"/>
    </row>
    <row r="344" spans="19:55" ht="15.75" customHeight="1">
      <c r="S344" s="454"/>
      <c r="BA344" s="1305"/>
      <c r="BC344" s="169"/>
    </row>
    <row r="345" spans="19:55" ht="15.75" customHeight="1">
      <c r="S345" s="454"/>
      <c r="BA345" s="1305"/>
      <c r="BC345" s="169"/>
    </row>
    <row r="346" spans="19:55" ht="15.75" customHeight="1">
      <c r="S346" s="454"/>
      <c r="BA346" s="1305"/>
      <c r="BC346" s="169"/>
    </row>
    <row r="347" spans="19:55" ht="15.75" customHeight="1">
      <c r="S347" s="454"/>
      <c r="BA347" s="1305"/>
      <c r="BC347" s="169"/>
    </row>
    <row r="348" spans="19:55" ht="15.75" customHeight="1">
      <c r="S348" s="454"/>
      <c r="BA348" s="1305"/>
      <c r="BC348" s="169"/>
    </row>
    <row r="349" spans="19:55" ht="15.75" customHeight="1">
      <c r="S349" s="454"/>
      <c r="BA349" s="1305"/>
      <c r="BC349" s="169"/>
    </row>
    <row r="350" spans="19:55" ht="15.75" customHeight="1">
      <c r="S350" s="454"/>
      <c r="BA350" s="1305"/>
      <c r="BC350" s="169"/>
    </row>
    <row r="351" spans="19:55" ht="15.75" customHeight="1">
      <c r="S351" s="454"/>
      <c r="BA351" s="1305"/>
      <c r="BC351" s="169"/>
    </row>
    <row r="352" spans="19:55" ht="15.75" customHeight="1">
      <c r="S352" s="454"/>
      <c r="BA352" s="1305"/>
      <c r="BC352" s="169"/>
    </row>
    <row r="353" spans="19:55" ht="15.75" customHeight="1">
      <c r="S353" s="454"/>
      <c r="BA353" s="1305"/>
      <c r="BC353" s="169"/>
    </row>
    <row r="354" spans="19:55" ht="15.75" customHeight="1">
      <c r="S354" s="454"/>
      <c r="BA354" s="1305"/>
      <c r="BC354" s="169"/>
    </row>
    <row r="355" spans="19:55" ht="15.75" customHeight="1">
      <c r="S355" s="454"/>
      <c r="BA355" s="1305"/>
      <c r="BC355" s="169"/>
    </row>
    <row r="356" spans="19:55" ht="15.75" customHeight="1">
      <c r="S356" s="454"/>
      <c r="BA356" s="1305"/>
      <c r="BC356" s="169"/>
    </row>
    <row r="357" spans="19:55" ht="15.75" customHeight="1">
      <c r="S357" s="454"/>
      <c r="BA357" s="1305"/>
      <c r="BC357" s="169"/>
    </row>
    <row r="358" spans="19:55" ht="15.75" customHeight="1">
      <c r="S358" s="454"/>
      <c r="BA358" s="1305"/>
      <c r="BC358" s="169"/>
    </row>
    <row r="359" spans="19:55" ht="15.75" customHeight="1">
      <c r="S359" s="454"/>
      <c r="BA359" s="1305"/>
      <c r="BC359" s="169"/>
    </row>
    <row r="360" spans="19:55" ht="15.75" customHeight="1">
      <c r="S360" s="454"/>
      <c r="BA360" s="1305"/>
      <c r="BC360" s="169"/>
    </row>
    <row r="361" spans="19:55" ht="15.75" customHeight="1">
      <c r="S361" s="454"/>
      <c r="BA361" s="1305"/>
      <c r="BC361" s="169"/>
    </row>
    <row r="362" spans="19:55" ht="15.75" customHeight="1">
      <c r="S362" s="454"/>
      <c r="BA362" s="1305"/>
      <c r="BC362" s="169"/>
    </row>
    <row r="363" spans="19:55" ht="15.75" customHeight="1">
      <c r="S363" s="454"/>
      <c r="BA363" s="1305"/>
      <c r="BC363" s="169"/>
    </row>
    <row r="364" spans="19:55" ht="15.75" customHeight="1">
      <c r="S364" s="454"/>
      <c r="BA364" s="1305"/>
      <c r="BC364" s="169"/>
    </row>
    <row r="365" spans="19:55" ht="15.75" customHeight="1">
      <c r="S365" s="454"/>
      <c r="BA365" s="1305"/>
      <c r="BC365" s="169"/>
    </row>
    <row r="366" spans="19:55" ht="15.75" customHeight="1">
      <c r="S366" s="454"/>
      <c r="BA366" s="1305"/>
      <c r="BC366" s="169"/>
    </row>
    <row r="367" spans="19:55" ht="15.75" customHeight="1">
      <c r="S367" s="454"/>
      <c r="BA367" s="1305"/>
      <c r="BC367" s="169"/>
    </row>
    <row r="368" spans="19:55" ht="15.75" customHeight="1">
      <c r="S368" s="454"/>
      <c r="BA368" s="1305"/>
      <c r="BC368" s="169"/>
    </row>
    <row r="369" spans="19:55" ht="15.75" customHeight="1">
      <c r="S369" s="454"/>
      <c r="BA369" s="1305"/>
      <c r="BC369" s="169"/>
    </row>
    <row r="370" spans="19:55" ht="15.75" customHeight="1">
      <c r="S370" s="454"/>
      <c r="BA370" s="1305"/>
      <c r="BC370" s="169"/>
    </row>
    <row r="371" spans="19:55" ht="15.75" customHeight="1">
      <c r="S371" s="454"/>
      <c r="BA371" s="1305"/>
      <c r="BC371" s="169"/>
    </row>
    <row r="372" spans="19:55" ht="15.75" customHeight="1">
      <c r="S372" s="454"/>
      <c r="BA372" s="1305"/>
      <c r="BC372" s="169"/>
    </row>
    <row r="373" spans="19:55" ht="15.75" customHeight="1">
      <c r="S373" s="454"/>
      <c r="BA373" s="1305"/>
      <c r="BC373" s="169"/>
    </row>
    <row r="374" spans="19:55" ht="15.75" customHeight="1">
      <c r="S374" s="454"/>
      <c r="BA374" s="1305"/>
      <c r="BC374" s="169"/>
    </row>
    <row r="375" spans="19:55" ht="15.75" customHeight="1">
      <c r="S375" s="454"/>
      <c r="BA375" s="1305"/>
      <c r="BC375" s="169"/>
    </row>
    <row r="376" spans="19:55" ht="15.75" customHeight="1">
      <c r="S376" s="454"/>
      <c r="BA376" s="1305"/>
      <c r="BC376" s="169"/>
    </row>
    <row r="377" spans="19:55" ht="15.75" customHeight="1">
      <c r="S377" s="454"/>
      <c r="BA377" s="1305"/>
      <c r="BC377" s="169"/>
    </row>
    <row r="378" spans="19:55" ht="15.75" customHeight="1">
      <c r="S378" s="454"/>
      <c r="BA378" s="1305"/>
      <c r="BC378" s="169"/>
    </row>
    <row r="379" spans="19:55" ht="15.75" customHeight="1">
      <c r="S379" s="454"/>
      <c r="BA379" s="1305"/>
      <c r="BC379" s="169"/>
    </row>
    <row r="380" spans="19:55" ht="15.75" customHeight="1">
      <c r="S380" s="454"/>
      <c r="BA380" s="1305"/>
      <c r="BC380" s="169"/>
    </row>
    <row r="381" spans="19:55" ht="15.75" customHeight="1">
      <c r="S381" s="454"/>
      <c r="BA381" s="1305"/>
      <c r="BC381" s="169"/>
    </row>
    <row r="382" spans="19:55" ht="15.75" customHeight="1">
      <c r="S382" s="454"/>
      <c r="BA382" s="1305"/>
      <c r="BC382" s="169"/>
    </row>
    <row r="383" spans="19:55" ht="15.75" customHeight="1">
      <c r="S383" s="454"/>
      <c r="BA383" s="1305"/>
      <c r="BC383" s="169"/>
    </row>
    <row r="384" spans="19:55" ht="15.75" customHeight="1">
      <c r="S384" s="454"/>
      <c r="AU384" s="177"/>
      <c r="AV384" s="177"/>
      <c r="AW384" s="177"/>
      <c r="AX384" s="177"/>
      <c r="BA384" s="1307"/>
      <c r="BC384" s="169"/>
    </row>
    <row r="385" spans="19:55" ht="15.75" customHeight="1">
      <c r="S385" s="454"/>
      <c r="AU385" s="177"/>
      <c r="AV385" s="177"/>
      <c r="AW385" s="177"/>
      <c r="AX385" s="177"/>
      <c r="BA385" s="1307"/>
      <c r="BC385" s="169"/>
    </row>
    <row r="386" spans="19:55" ht="15.75" customHeight="1">
      <c r="S386" s="454"/>
      <c r="AU386" s="177"/>
      <c r="AV386" s="177"/>
      <c r="AW386" s="177"/>
      <c r="AX386" s="177"/>
      <c r="BA386" s="1307"/>
      <c r="BC386" s="169"/>
    </row>
    <row r="387" spans="19:55" ht="15.75" customHeight="1">
      <c r="S387" s="454"/>
      <c r="AU387" s="177"/>
      <c r="AV387" s="177"/>
      <c r="AW387" s="177"/>
      <c r="AX387" s="177"/>
      <c r="BA387" s="1307"/>
      <c r="BC387" s="169"/>
    </row>
    <row r="388" spans="19:55" ht="15.75" customHeight="1">
      <c r="S388" s="454"/>
      <c r="AU388" s="177"/>
      <c r="AV388" s="177"/>
      <c r="AW388" s="177"/>
      <c r="AX388" s="177"/>
      <c r="BA388" s="1307"/>
      <c r="BC388" s="169"/>
    </row>
    <row r="389" spans="19:55" ht="15.75" customHeight="1">
      <c r="S389" s="454"/>
      <c r="AU389" s="177"/>
      <c r="AV389" s="177"/>
      <c r="AW389" s="177"/>
      <c r="AX389" s="177"/>
      <c r="BA389" s="1307"/>
      <c r="BC389" s="169"/>
    </row>
    <row r="390" spans="19:55" ht="15.75" customHeight="1">
      <c r="S390" s="454"/>
      <c r="AU390" s="177"/>
      <c r="AV390" s="177"/>
      <c r="AW390" s="177"/>
      <c r="AX390" s="177"/>
      <c r="BA390" s="1307"/>
      <c r="BC390" s="169"/>
    </row>
    <row r="391" spans="19:55" ht="15.75" customHeight="1">
      <c r="S391" s="454"/>
      <c r="AU391" s="177"/>
      <c r="AV391" s="177"/>
      <c r="AW391" s="177"/>
      <c r="AX391" s="177"/>
      <c r="BA391" s="1307"/>
      <c r="BC391" s="169"/>
    </row>
    <row r="392" spans="19:55" ht="15.75" customHeight="1">
      <c r="S392" s="454"/>
      <c r="AU392" s="177"/>
      <c r="AV392" s="177"/>
      <c r="AW392" s="177"/>
      <c r="AX392" s="177"/>
      <c r="BA392" s="1307"/>
      <c r="BC392" s="169"/>
    </row>
    <row r="393" spans="19:55" ht="15.75" customHeight="1">
      <c r="S393" s="454"/>
      <c r="AU393" s="177"/>
      <c r="AV393" s="177"/>
      <c r="AW393" s="177"/>
      <c r="AX393" s="177"/>
      <c r="BA393" s="1307"/>
      <c r="BC393" s="169"/>
    </row>
    <row r="394" spans="19:55" ht="15.75" customHeight="1">
      <c r="S394" s="454"/>
      <c r="AU394" s="177"/>
      <c r="AV394" s="177"/>
      <c r="AW394" s="177"/>
      <c r="AX394" s="177"/>
      <c r="BA394" s="1307"/>
      <c r="BC394" s="169"/>
    </row>
    <row r="395" spans="19:55" ht="15.75" customHeight="1">
      <c r="S395" s="454"/>
      <c r="AU395" s="177"/>
      <c r="AV395" s="177"/>
      <c r="AW395" s="177"/>
      <c r="AX395" s="177"/>
      <c r="BA395" s="1307"/>
      <c r="BC395" s="169"/>
    </row>
    <row r="396" spans="19:55" ht="15.75" customHeight="1">
      <c r="S396" s="454"/>
      <c r="AU396" s="177"/>
      <c r="AV396" s="177"/>
      <c r="AW396" s="177"/>
      <c r="AX396" s="177"/>
      <c r="BA396" s="1307"/>
      <c r="BC396" s="169"/>
    </row>
    <row r="397" spans="19:55" ht="15.75" customHeight="1">
      <c r="S397" s="454"/>
      <c r="BA397" s="1305"/>
      <c r="BC397" s="169"/>
    </row>
    <row r="398" spans="19:55" ht="15.75" customHeight="1">
      <c r="S398" s="454"/>
      <c r="BA398" s="1305"/>
      <c r="BC398" s="169"/>
    </row>
    <row r="399" spans="19:55" ht="15.75" customHeight="1">
      <c r="S399" s="454"/>
      <c r="BA399" s="1305"/>
      <c r="BC399" s="169"/>
    </row>
    <row r="400" spans="19:55" ht="15.75" customHeight="1">
      <c r="S400" s="454"/>
      <c r="BA400" s="1305"/>
      <c r="BC400" s="169"/>
    </row>
    <row r="401" spans="19:55" ht="15.75" customHeight="1">
      <c r="S401" s="454"/>
      <c r="BA401" s="1305"/>
      <c r="BC401" s="169"/>
    </row>
    <row r="402" spans="19:55" ht="15.75" customHeight="1">
      <c r="S402" s="454"/>
      <c r="AU402" s="177"/>
      <c r="AV402" s="177"/>
      <c r="AW402" s="177"/>
      <c r="AX402" s="177"/>
      <c r="BA402" s="1307"/>
      <c r="BC402" s="169"/>
    </row>
    <row r="403" spans="19:55" ht="15.75" customHeight="1">
      <c r="S403" s="454"/>
      <c r="AU403" s="177"/>
      <c r="AV403" s="177"/>
      <c r="AW403" s="177"/>
      <c r="AX403" s="177"/>
      <c r="BA403" s="1307"/>
      <c r="BC403" s="169"/>
    </row>
    <row r="404" spans="19:55" ht="15.75" customHeight="1">
      <c r="S404" s="454"/>
      <c r="AU404" s="177"/>
      <c r="AV404" s="177"/>
      <c r="AW404" s="177"/>
      <c r="AX404" s="177"/>
      <c r="BA404" s="1307"/>
      <c r="BC404" s="169"/>
    </row>
    <row r="405" spans="19:55" ht="15.75" customHeight="1">
      <c r="S405" s="454"/>
      <c r="AU405" s="177"/>
      <c r="AV405" s="177"/>
      <c r="AW405" s="177"/>
      <c r="AX405" s="177"/>
      <c r="BA405" s="1307"/>
      <c r="BC405" s="169"/>
    </row>
    <row r="406" spans="19:55" ht="15.75" customHeight="1">
      <c r="S406" s="454"/>
      <c r="AU406" s="177"/>
      <c r="AV406" s="177"/>
      <c r="AW406" s="177"/>
      <c r="AX406" s="177"/>
      <c r="BA406" s="1307"/>
      <c r="BC406" s="169"/>
    </row>
    <row r="407" spans="19:55" ht="15.75" customHeight="1">
      <c r="S407" s="454"/>
      <c r="BA407" s="1305"/>
      <c r="BC407" s="169"/>
    </row>
    <row r="408" spans="19:55" ht="15.75" customHeight="1">
      <c r="S408" s="454"/>
      <c r="BA408" s="1305"/>
      <c r="BC408" s="169"/>
    </row>
    <row r="409" spans="19:55" ht="15.75" customHeight="1">
      <c r="S409" s="454"/>
      <c r="BA409" s="1305"/>
      <c r="BC409" s="169"/>
    </row>
    <row r="410" spans="19:55" ht="15.75" customHeight="1">
      <c r="S410" s="454"/>
      <c r="AU410" s="177"/>
      <c r="AV410" s="177"/>
      <c r="AW410" s="177"/>
      <c r="AX410" s="177"/>
      <c r="BA410" s="1307"/>
      <c r="BC410" s="169"/>
    </row>
    <row r="411" spans="19:55" ht="15.75" customHeight="1">
      <c r="S411" s="454"/>
      <c r="AU411" s="177"/>
      <c r="AV411" s="177"/>
      <c r="AW411" s="177"/>
      <c r="AX411" s="177"/>
      <c r="BA411" s="1307"/>
      <c r="BC411" s="169"/>
    </row>
    <row r="412" spans="19:55" ht="15.75" customHeight="1">
      <c r="S412" s="454"/>
      <c r="AU412" s="177"/>
      <c r="AV412" s="177"/>
      <c r="AW412" s="177"/>
      <c r="AX412" s="177"/>
      <c r="BA412" s="1307"/>
      <c r="BC412" s="169"/>
    </row>
    <row r="413" spans="19:55" ht="15.75" customHeight="1">
      <c r="S413" s="454"/>
      <c r="AU413" s="177"/>
      <c r="AV413" s="177"/>
      <c r="AW413" s="177"/>
      <c r="AX413" s="177"/>
      <c r="BA413" s="1307"/>
      <c r="BC413" s="169"/>
    </row>
    <row r="414" spans="19:55" ht="15.75" customHeight="1">
      <c r="S414" s="454"/>
      <c r="AU414" s="177"/>
      <c r="AV414" s="177"/>
      <c r="AW414" s="177"/>
      <c r="AX414" s="177"/>
      <c r="BA414" s="1307"/>
      <c r="BC414" s="169"/>
    </row>
    <row r="415" spans="19:55" ht="15.75" customHeight="1">
      <c r="S415" s="454"/>
      <c r="AU415" s="177"/>
      <c r="AV415" s="177"/>
      <c r="AW415" s="177"/>
      <c r="AX415" s="177"/>
      <c r="BA415" s="1307"/>
      <c r="BC415" s="169"/>
    </row>
    <row r="416" spans="19:55" ht="15.75" customHeight="1">
      <c r="S416" s="454"/>
      <c r="AU416" s="177"/>
      <c r="AV416" s="177"/>
      <c r="AW416" s="177"/>
      <c r="AX416" s="177"/>
      <c r="BA416" s="1307"/>
      <c r="BC416" s="169"/>
    </row>
    <row r="417" spans="19:55" ht="15.75" customHeight="1">
      <c r="S417" s="454"/>
      <c r="BA417" s="1305"/>
      <c r="BC417" s="169"/>
    </row>
    <row r="418" spans="19:55" ht="15.75" customHeight="1">
      <c r="S418" s="454"/>
      <c r="BA418" s="1305"/>
      <c r="BC418" s="169"/>
    </row>
    <row r="419" spans="19:55" ht="15.75" customHeight="1">
      <c r="S419" s="454"/>
      <c r="BA419" s="1305"/>
      <c r="BC419" s="169"/>
    </row>
    <row r="420" spans="19:55" ht="15.75" customHeight="1">
      <c r="S420" s="454"/>
      <c r="BA420" s="1305"/>
      <c r="BC420" s="169"/>
    </row>
    <row r="421" spans="19:55" ht="15.75" customHeight="1">
      <c r="S421" s="454"/>
      <c r="BA421" s="1305"/>
      <c r="BC421" s="169"/>
    </row>
    <row r="422" spans="19:55" ht="15.75" customHeight="1">
      <c r="S422" s="454"/>
      <c r="BA422" s="1305"/>
      <c r="BC422" s="169"/>
    </row>
    <row r="423" spans="19:55" ht="15.75" customHeight="1">
      <c r="S423" s="454"/>
      <c r="BA423" s="1305"/>
      <c r="BC423" s="169"/>
    </row>
    <row r="424" spans="19:55" ht="15.75" customHeight="1">
      <c r="S424" s="454"/>
      <c r="BA424" s="1305"/>
      <c r="BC424" s="169"/>
    </row>
    <row r="425" spans="19:55" ht="15.75" customHeight="1">
      <c r="S425" s="454"/>
      <c r="BA425" s="1305"/>
      <c r="BC425" s="169"/>
    </row>
    <row r="426" spans="19:55" ht="15.75" customHeight="1">
      <c r="S426" s="454"/>
      <c r="BA426" s="1305"/>
      <c r="BC426" s="169"/>
    </row>
    <row r="427" spans="19:55" ht="15.75" customHeight="1">
      <c r="S427" s="454"/>
      <c r="BA427" s="1305"/>
      <c r="BC427" s="169"/>
    </row>
    <row r="428" spans="19:55" ht="15.75" customHeight="1">
      <c r="S428" s="454"/>
      <c r="BA428" s="1305"/>
      <c r="BC428" s="169"/>
    </row>
    <row r="429" spans="19:55" ht="15.75" customHeight="1">
      <c r="S429" s="454"/>
      <c r="BA429" s="1305"/>
      <c r="BC429" s="169"/>
    </row>
    <row r="430" spans="19:55" ht="15.75" customHeight="1">
      <c r="S430" s="454"/>
      <c r="BA430" s="1305"/>
      <c r="BC430" s="169"/>
    </row>
    <row r="431" spans="19:55" ht="15.75" customHeight="1">
      <c r="S431" s="454"/>
      <c r="BA431" s="1305"/>
      <c r="BC431" s="169"/>
    </row>
    <row r="432" spans="19:55" ht="15.75" customHeight="1">
      <c r="S432" s="454"/>
      <c r="BA432" s="1305"/>
      <c r="BC432" s="169"/>
    </row>
    <row r="433" spans="19:55" ht="15.75" customHeight="1">
      <c r="S433" s="454"/>
      <c r="BA433" s="1305"/>
      <c r="BC433" s="169"/>
    </row>
    <row r="434" spans="19:55" ht="15.75" customHeight="1">
      <c r="S434" s="454"/>
      <c r="BA434" s="1305"/>
      <c r="BC434" s="169"/>
    </row>
    <row r="435" spans="19:55" ht="15.75" customHeight="1">
      <c r="S435" s="454"/>
      <c r="BA435" s="1305"/>
      <c r="BC435" s="169"/>
    </row>
    <row r="436" spans="19:55" ht="15.75" customHeight="1">
      <c r="S436" s="454"/>
      <c r="BA436" s="1305"/>
      <c r="BC436" s="169"/>
    </row>
    <row r="437" spans="19:55" ht="15.75" customHeight="1">
      <c r="S437" s="454"/>
      <c r="BA437" s="1305"/>
      <c r="BC437" s="169"/>
    </row>
    <row r="438" spans="19:55" ht="15.75" customHeight="1">
      <c r="S438" s="454"/>
      <c r="BA438" s="1305"/>
      <c r="BC438" s="169"/>
    </row>
    <row r="439" spans="19:55" ht="15.75" customHeight="1">
      <c r="S439" s="454"/>
      <c r="BA439" s="1305"/>
      <c r="BC439" s="169"/>
    </row>
    <row r="440" spans="19:55" ht="15.75" customHeight="1">
      <c r="S440" s="454"/>
      <c r="BA440" s="1305"/>
      <c r="BC440" s="169"/>
    </row>
    <row r="441" spans="19:55" ht="15.75" customHeight="1">
      <c r="S441" s="454"/>
      <c r="BA441" s="1305"/>
      <c r="BC441" s="169"/>
    </row>
    <row r="442" spans="19:55" ht="15.75" customHeight="1">
      <c r="S442" s="454"/>
      <c r="BA442" s="1305"/>
      <c r="BC442" s="169"/>
    </row>
    <row r="443" spans="19:55" ht="15.75" customHeight="1">
      <c r="S443" s="454"/>
      <c r="BA443" s="1305"/>
      <c r="BC443" s="169"/>
    </row>
    <row r="444" spans="19:55" ht="15.75" customHeight="1">
      <c r="S444" s="454"/>
      <c r="BA444" s="1305"/>
      <c r="BC444" s="169"/>
    </row>
    <row r="445" spans="19:55" ht="15.75" customHeight="1">
      <c r="S445" s="454"/>
      <c r="BA445" s="1305"/>
      <c r="BC445" s="169"/>
    </row>
    <row r="446" spans="19:55" ht="15.75" customHeight="1">
      <c r="S446" s="454"/>
      <c r="BA446" s="1305"/>
      <c r="BC446" s="169"/>
    </row>
    <row r="447" spans="19:55" ht="15.75" customHeight="1">
      <c r="S447" s="454"/>
      <c r="BA447" s="1305"/>
      <c r="BC447" s="169"/>
    </row>
    <row r="448" spans="19:55" ht="15.75" customHeight="1">
      <c r="S448" s="454"/>
      <c r="BA448" s="1305"/>
      <c r="BC448" s="169"/>
    </row>
    <row r="449" spans="19:55" ht="15.75" customHeight="1">
      <c r="S449" s="454"/>
      <c r="BA449" s="1305"/>
      <c r="BC449" s="169"/>
    </row>
    <row r="450" spans="19:55" ht="15.75" customHeight="1">
      <c r="S450" s="454"/>
      <c r="BA450" s="1305"/>
      <c r="BC450" s="169"/>
    </row>
    <row r="451" spans="19:55" ht="15.75" customHeight="1">
      <c r="S451" s="454"/>
      <c r="BA451" s="1305"/>
      <c r="BC451" s="169"/>
    </row>
    <row r="452" spans="19:55" ht="15.75" customHeight="1">
      <c r="S452" s="454"/>
      <c r="BA452" s="1305"/>
      <c r="BC452" s="169"/>
    </row>
    <row r="453" spans="19:55" ht="15.75" customHeight="1">
      <c r="S453" s="454"/>
      <c r="BA453" s="1305"/>
      <c r="BC453" s="169"/>
    </row>
    <row r="454" spans="19:55" ht="15.75" customHeight="1">
      <c r="S454" s="454"/>
      <c r="BA454" s="1305"/>
      <c r="BC454" s="169"/>
    </row>
    <row r="455" spans="19:55" ht="15.75" customHeight="1">
      <c r="S455" s="454"/>
      <c r="BA455" s="1305"/>
      <c r="BC455" s="169"/>
    </row>
    <row r="456" spans="19:55" ht="15.75" customHeight="1">
      <c r="S456" s="454"/>
      <c r="BA456" s="1305"/>
      <c r="BC456" s="169"/>
    </row>
    <row r="457" spans="19:55" ht="15.75" customHeight="1">
      <c r="S457" s="454"/>
      <c r="BA457" s="1305"/>
      <c r="BC457" s="169"/>
    </row>
    <row r="458" spans="19:55" ht="15.75" customHeight="1">
      <c r="S458" s="454"/>
      <c r="BA458" s="1305"/>
      <c r="BC458" s="169"/>
    </row>
    <row r="459" spans="19:55" ht="15.75" customHeight="1">
      <c r="S459" s="454"/>
      <c r="BA459" s="1305"/>
      <c r="BC459" s="169"/>
    </row>
    <row r="460" spans="19:55" ht="15.75" customHeight="1">
      <c r="S460" s="454"/>
      <c r="BA460" s="1305"/>
      <c r="BC460" s="169"/>
    </row>
    <row r="461" spans="19:55" ht="15.75" customHeight="1">
      <c r="S461" s="454"/>
      <c r="BA461" s="1305"/>
      <c r="BC461" s="169"/>
    </row>
    <row r="462" spans="19:55" ht="15.75" customHeight="1">
      <c r="S462" s="454"/>
      <c r="BA462" s="1305"/>
      <c r="BC462" s="169"/>
    </row>
    <row r="463" spans="19:55" ht="15.75" customHeight="1">
      <c r="S463" s="454"/>
      <c r="BA463" s="1305"/>
      <c r="BC463" s="169"/>
    </row>
    <row r="464" spans="19:55" ht="15.75" customHeight="1">
      <c r="S464" s="454"/>
      <c r="BA464" s="1305"/>
      <c r="BC464" s="169"/>
    </row>
    <row r="465" spans="19:55" ht="15.75" customHeight="1">
      <c r="S465" s="454"/>
      <c r="BA465" s="1305"/>
      <c r="BC465" s="169"/>
    </row>
    <row r="466" spans="19:55" ht="15.75" customHeight="1">
      <c r="S466" s="454"/>
      <c r="BA466" s="1305"/>
      <c r="BC466" s="169"/>
    </row>
    <row r="467" spans="19:55" ht="15.75" customHeight="1">
      <c r="S467" s="454"/>
      <c r="BA467" s="1305"/>
      <c r="BC467" s="169"/>
    </row>
    <row r="468" spans="19:55" ht="15.75" customHeight="1">
      <c r="S468" s="454"/>
      <c r="BA468" s="1305"/>
      <c r="BC468" s="169"/>
    </row>
    <row r="469" spans="19:55" ht="15.75" customHeight="1">
      <c r="S469" s="454"/>
      <c r="BA469" s="1305"/>
      <c r="BC469" s="169"/>
    </row>
    <row r="470" spans="19:55" ht="15.75" customHeight="1">
      <c r="S470" s="454"/>
      <c r="BA470" s="1305"/>
      <c r="BC470" s="169"/>
    </row>
    <row r="471" spans="19:55" ht="15.75" customHeight="1">
      <c r="S471" s="454"/>
      <c r="BA471" s="1305"/>
      <c r="BC471" s="169"/>
    </row>
    <row r="472" spans="19:55" ht="15.75" customHeight="1">
      <c r="S472" s="454"/>
      <c r="BA472" s="1305"/>
      <c r="BC472" s="169"/>
    </row>
    <row r="473" spans="19:55" ht="15.75" customHeight="1">
      <c r="S473" s="454"/>
      <c r="BA473" s="1305"/>
      <c r="BC473" s="169"/>
    </row>
    <row r="474" spans="19:55" ht="15.75" customHeight="1">
      <c r="S474" s="454"/>
      <c r="BA474" s="1305"/>
      <c r="BC474" s="169"/>
    </row>
    <row r="475" spans="19:55" ht="15.75" customHeight="1">
      <c r="S475" s="454"/>
      <c r="BA475" s="1305"/>
      <c r="BC475" s="169"/>
    </row>
    <row r="476" spans="19:55" ht="15.75" customHeight="1">
      <c r="S476" s="454"/>
      <c r="BA476" s="1305"/>
      <c r="BC476" s="169"/>
    </row>
    <row r="477" spans="19:55" ht="15.75" customHeight="1">
      <c r="S477" s="454"/>
      <c r="BA477" s="1305"/>
      <c r="BC477" s="169"/>
    </row>
    <row r="478" spans="19:55" ht="15.75" customHeight="1">
      <c r="S478" s="454"/>
      <c r="BA478" s="1305"/>
      <c r="BC478" s="169"/>
    </row>
    <row r="479" spans="19:55" ht="15.75" customHeight="1">
      <c r="S479" s="454"/>
      <c r="BA479" s="1305"/>
      <c r="BC479" s="169"/>
    </row>
    <row r="480" spans="19:55" ht="15.75" customHeight="1">
      <c r="S480" s="454"/>
      <c r="BA480" s="1305"/>
      <c r="BC480" s="169"/>
    </row>
    <row r="481" spans="19:55" ht="15.75" customHeight="1">
      <c r="S481" s="454"/>
      <c r="BA481" s="1305"/>
      <c r="BC481" s="169"/>
    </row>
    <row r="482" spans="19:55" ht="15.75" customHeight="1">
      <c r="S482" s="454"/>
      <c r="BA482" s="1305"/>
      <c r="BC482" s="169"/>
    </row>
    <row r="483" spans="19:55" ht="15.75" customHeight="1">
      <c r="S483" s="454"/>
      <c r="BA483" s="1305"/>
      <c r="BC483" s="169"/>
    </row>
    <row r="484" spans="19:55" ht="15.75" customHeight="1">
      <c r="S484" s="454"/>
      <c r="BA484" s="1305"/>
      <c r="BC484" s="169"/>
    </row>
    <row r="485" spans="19:55" ht="15.75" customHeight="1">
      <c r="S485" s="454"/>
      <c r="BA485" s="1305"/>
      <c r="BC485" s="169"/>
    </row>
    <row r="486" spans="19:55" ht="15.75" customHeight="1">
      <c r="S486" s="454"/>
      <c r="BA486" s="1305"/>
      <c r="BC486" s="169"/>
    </row>
    <row r="487" spans="19:55" ht="15.75" customHeight="1">
      <c r="S487" s="454"/>
      <c r="BA487" s="1305"/>
      <c r="BC487" s="169"/>
    </row>
    <row r="488" spans="19:55" ht="15.75" customHeight="1">
      <c r="S488" s="454"/>
      <c r="BA488" s="1305"/>
      <c r="BC488" s="169"/>
    </row>
    <row r="489" spans="19:55" ht="15.75" customHeight="1">
      <c r="S489" s="454"/>
      <c r="BA489" s="1305"/>
      <c r="BC489" s="169"/>
    </row>
    <row r="490" spans="19:55" ht="15.75" customHeight="1">
      <c r="S490" s="454"/>
      <c r="BA490" s="1305"/>
      <c r="BC490" s="169"/>
    </row>
    <row r="491" spans="19:55" ht="15.75" customHeight="1">
      <c r="S491" s="454"/>
      <c r="BA491" s="1305"/>
      <c r="BC491" s="169"/>
    </row>
    <row r="492" spans="19:55" ht="15.75" customHeight="1">
      <c r="S492" s="454"/>
      <c r="BA492" s="1305"/>
      <c r="BC492" s="169"/>
    </row>
    <row r="493" spans="19:55" ht="15.75" customHeight="1">
      <c r="S493" s="454"/>
      <c r="BA493" s="1305"/>
      <c r="BC493" s="169"/>
    </row>
    <row r="494" spans="19:55" ht="15.75" customHeight="1">
      <c r="S494" s="454"/>
      <c r="BA494" s="1305"/>
      <c r="BC494" s="169"/>
    </row>
    <row r="495" spans="19:55" ht="15.75" customHeight="1">
      <c r="S495" s="454"/>
      <c r="BA495" s="1305"/>
      <c r="BC495" s="169"/>
    </row>
    <row r="496" spans="19:55" ht="15.75" customHeight="1">
      <c r="S496" s="454"/>
      <c r="BA496" s="1305"/>
      <c r="BC496" s="169"/>
    </row>
    <row r="497" spans="19:55" ht="15.75" customHeight="1">
      <c r="S497" s="454"/>
      <c r="BA497" s="1305"/>
      <c r="BC497" s="169"/>
    </row>
    <row r="498" spans="19:55" ht="15.75" customHeight="1">
      <c r="S498" s="454"/>
      <c r="BA498" s="1305"/>
      <c r="BC498" s="169"/>
    </row>
    <row r="499" spans="19:55" ht="15.75" customHeight="1">
      <c r="S499" s="454"/>
      <c r="BA499" s="1305"/>
      <c r="BC499" s="169"/>
    </row>
    <row r="500" spans="19:55" ht="15.75" customHeight="1">
      <c r="S500" s="454"/>
      <c r="BA500" s="1305"/>
      <c r="BC500" s="169"/>
    </row>
    <row r="501" spans="19:55" ht="15.75" customHeight="1">
      <c r="S501" s="454"/>
      <c r="BA501" s="1305"/>
      <c r="BC501" s="169"/>
    </row>
    <row r="502" spans="19:55" ht="15.75" customHeight="1">
      <c r="S502" s="454"/>
      <c r="BA502" s="1305"/>
      <c r="BC502" s="169"/>
    </row>
    <row r="503" spans="19:55" ht="15.75" customHeight="1">
      <c r="S503" s="454"/>
      <c r="BA503" s="1305"/>
      <c r="BC503" s="169"/>
    </row>
    <row r="504" spans="19:55" ht="15.75" customHeight="1">
      <c r="S504" s="454"/>
      <c r="BA504" s="1305"/>
      <c r="BC504" s="169"/>
    </row>
    <row r="505" spans="19:55" ht="15.75" customHeight="1">
      <c r="S505" s="454"/>
      <c r="BA505" s="1305"/>
      <c r="BC505" s="169"/>
    </row>
    <row r="506" spans="19:55" ht="15.75" customHeight="1">
      <c r="S506" s="454"/>
      <c r="BA506" s="1305"/>
      <c r="BC506" s="169"/>
    </row>
    <row r="507" spans="19:55" ht="15.75" customHeight="1">
      <c r="S507" s="454"/>
      <c r="BA507" s="1305"/>
      <c r="BC507" s="169"/>
    </row>
    <row r="508" spans="19:55" ht="15.75" customHeight="1">
      <c r="S508" s="454"/>
      <c r="BA508" s="1305"/>
      <c r="BC508" s="169"/>
    </row>
    <row r="509" spans="19:55" ht="15.75" customHeight="1">
      <c r="S509" s="454"/>
      <c r="BA509" s="1305"/>
      <c r="BC509" s="169"/>
    </row>
    <row r="510" spans="19:55" ht="15.75" customHeight="1">
      <c r="S510" s="454"/>
      <c r="BA510" s="1305"/>
      <c r="BC510" s="169"/>
    </row>
    <row r="511" spans="19:55" ht="15.75" customHeight="1">
      <c r="S511" s="454"/>
      <c r="BA511" s="1305"/>
      <c r="BC511" s="169"/>
    </row>
    <row r="512" spans="19:55" ht="15.75" customHeight="1">
      <c r="S512" s="454"/>
      <c r="BA512" s="1305"/>
      <c r="BC512" s="169"/>
    </row>
    <row r="513" spans="19:55" ht="15.75" customHeight="1">
      <c r="S513" s="454"/>
      <c r="BA513" s="1305"/>
      <c r="BC513" s="169"/>
    </row>
    <row r="514" spans="19:55" ht="15.75" customHeight="1">
      <c r="S514" s="454"/>
      <c r="BA514" s="1305"/>
      <c r="BC514" s="169"/>
    </row>
    <row r="515" spans="19:55" ht="15.75" customHeight="1">
      <c r="S515" s="454"/>
      <c r="BA515" s="1305"/>
      <c r="BC515" s="169"/>
    </row>
    <row r="516" spans="19:55" ht="15.75" customHeight="1">
      <c r="S516" s="454"/>
      <c r="BA516" s="1305"/>
      <c r="BC516" s="169"/>
    </row>
    <row r="517" spans="19:55" ht="15.75" customHeight="1">
      <c r="S517" s="454"/>
      <c r="BA517" s="1305"/>
      <c r="BC517" s="169"/>
    </row>
    <row r="518" spans="19:55" ht="15.75" customHeight="1">
      <c r="S518" s="454"/>
      <c r="BA518" s="1305"/>
      <c r="BC518" s="169"/>
    </row>
    <row r="519" spans="19:55" ht="15.75" customHeight="1">
      <c r="S519" s="454"/>
      <c r="BA519" s="1305"/>
      <c r="BC519" s="169"/>
    </row>
    <row r="520" spans="19:55" ht="15.75" customHeight="1">
      <c r="S520" s="454"/>
      <c r="BA520" s="1305"/>
      <c r="BC520" s="169"/>
    </row>
    <row r="521" spans="19:55" ht="15.75" customHeight="1">
      <c r="S521" s="454"/>
      <c r="BA521" s="1305"/>
      <c r="BC521" s="169"/>
    </row>
    <row r="522" spans="19:55" ht="15.75" customHeight="1">
      <c r="S522" s="454"/>
      <c r="BA522" s="1305"/>
      <c r="BC522" s="169"/>
    </row>
    <row r="523" spans="19:55" ht="15.75" customHeight="1">
      <c r="S523" s="454"/>
      <c r="BA523" s="1305"/>
      <c r="BC523" s="169"/>
    </row>
    <row r="524" spans="19:55" ht="15.75" customHeight="1">
      <c r="S524" s="454"/>
      <c r="BA524" s="1305"/>
      <c r="BC524" s="169"/>
    </row>
    <row r="525" spans="19:55" ht="15.75" customHeight="1">
      <c r="S525" s="454"/>
      <c r="BA525" s="1305"/>
      <c r="BC525" s="169"/>
    </row>
    <row r="526" spans="19:55" ht="15.75" customHeight="1">
      <c r="S526" s="454"/>
      <c r="BA526" s="1305"/>
      <c r="BC526" s="169"/>
    </row>
    <row r="527" spans="19:55" ht="15.75" customHeight="1">
      <c r="S527" s="454"/>
      <c r="BA527" s="1305"/>
      <c r="BC527" s="169"/>
    </row>
    <row r="528" spans="19:55" ht="15.75" customHeight="1">
      <c r="S528" s="454"/>
      <c r="BA528" s="1305"/>
      <c r="BC528" s="169"/>
    </row>
    <row r="529" spans="19:55" ht="15.75" customHeight="1">
      <c r="S529" s="454"/>
      <c r="BA529" s="1305"/>
      <c r="BC529" s="169"/>
    </row>
    <row r="530" spans="19:55" ht="15.75" customHeight="1">
      <c r="S530" s="454"/>
      <c r="BA530" s="1305"/>
      <c r="BC530" s="169"/>
    </row>
    <row r="531" spans="19:55" ht="15.75" customHeight="1">
      <c r="S531" s="454"/>
      <c r="BA531" s="1305"/>
      <c r="BC531" s="169"/>
    </row>
    <row r="532" spans="19:55" ht="15.75" customHeight="1">
      <c r="S532" s="454"/>
      <c r="BA532" s="1305"/>
      <c r="BC532" s="169"/>
    </row>
    <row r="533" spans="19:55" ht="15.75" customHeight="1">
      <c r="S533" s="454"/>
      <c r="BA533" s="1305"/>
      <c r="BC533" s="169"/>
    </row>
    <row r="534" spans="19:55" ht="15.75" customHeight="1">
      <c r="S534" s="454"/>
      <c r="BA534" s="1305"/>
      <c r="BC534" s="169"/>
    </row>
    <row r="535" spans="19:55" ht="15.75" customHeight="1">
      <c r="S535" s="454"/>
      <c r="BA535" s="1305"/>
      <c r="BC535" s="169"/>
    </row>
    <row r="536" spans="19:55" ht="15.75" customHeight="1">
      <c r="S536" s="454"/>
      <c r="BA536" s="1305"/>
      <c r="BC536" s="169"/>
    </row>
    <row r="537" spans="19:55" ht="15.75" customHeight="1">
      <c r="S537" s="454"/>
      <c r="BA537" s="1305"/>
      <c r="BC537" s="169"/>
    </row>
    <row r="538" spans="19:55" ht="15.75" customHeight="1">
      <c r="S538" s="454"/>
      <c r="BA538" s="1305"/>
      <c r="BC538" s="169"/>
    </row>
    <row r="539" spans="19:55" ht="15.75" customHeight="1">
      <c r="S539" s="454"/>
      <c r="BA539" s="1305"/>
      <c r="BC539" s="169"/>
    </row>
    <row r="540" spans="19:55" ht="15.75" customHeight="1">
      <c r="S540" s="454"/>
      <c r="BA540" s="1305"/>
      <c r="BC540" s="169"/>
    </row>
    <row r="541" spans="19:55" ht="15.75" customHeight="1">
      <c r="S541" s="454"/>
      <c r="BA541" s="1305"/>
      <c r="BC541" s="169"/>
    </row>
    <row r="542" spans="19:55" ht="15.75" customHeight="1">
      <c r="S542" s="454"/>
      <c r="BA542" s="1305"/>
      <c r="BC542" s="169"/>
    </row>
    <row r="543" spans="19:55" ht="15.75" customHeight="1">
      <c r="S543" s="454"/>
      <c r="BA543" s="1305"/>
      <c r="BC543" s="169"/>
    </row>
    <row r="544" spans="19:55" ht="15.75" customHeight="1">
      <c r="S544" s="454"/>
      <c r="BA544" s="1305"/>
      <c r="BC544" s="169"/>
    </row>
    <row r="545" spans="19:55" ht="15.75" customHeight="1">
      <c r="S545" s="454"/>
      <c r="BA545" s="1305"/>
      <c r="BC545" s="169"/>
    </row>
    <row r="546" spans="19:55" ht="15.75" customHeight="1">
      <c r="S546" s="454"/>
      <c r="BA546" s="1305"/>
      <c r="BC546" s="169"/>
    </row>
    <row r="547" spans="19:55" ht="15.75" customHeight="1">
      <c r="S547" s="454"/>
      <c r="BA547" s="1305"/>
      <c r="BC547" s="169"/>
    </row>
    <row r="548" spans="19:55" ht="15.75" customHeight="1">
      <c r="S548" s="454"/>
      <c r="BA548" s="1305"/>
      <c r="BC548" s="169"/>
    </row>
    <row r="549" spans="19:55" ht="15.75" customHeight="1">
      <c r="S549" s="454"/>
      <c r="BA549" s="1305"/>
      <c r="BC549" s="169"/>
    </row>
    <row r="550" spans="19:55" ht="15.75" customHeight="1">
      <c r="S550" s="454"/>
      <c r="BA550" s="1305"/>
      <c r="BC550" s="169"/>
    </row>
    <row r="551" spans="19:55" ht="15.75" customHeight="1">
      <c r="S551" s="454"/>
      <c r="BA551" s="1305"/>
      <c r="BC551" s="169"/>
    </row>
    <row r="552" spans="19:55" ht="15.75" customHeight="1">
      <c r="S552" s="454"/>
      <c r="BA552" s="1305"/>
      <c r="BC552" s="169"/>
    </row>
    <row r="553" spans="19:55" ht="15.75" customHeight="1">
      <c r="S553" s="454"/>
      <c r="BA553" s="1305"/>
      <c r="BC553" s="169"/>
    </row>
    <row r="554" spans="19:55" ht="15.75" customHeight="1">
      <c r="S554" s="454"/>
      <c r="BA554" s="1305"/>
      <c r="BC554" s="169"/>
    </row>
    <row r="555" spans="19:55" ht="15.75" customHeight="1">
      <c r="S555" s="454"/>
      <c r="BA555" s="1305"/>
      <c r="BC555" s="169"/>
    </row>
    <row r="556" spans="19:55" ht="15.75" customHeight="1">
      <c r="S556" s="454"/>
      <c r="BA556" s="1305"/>
      <c r="BC556" s="169"/>
    </row>
    <row r="557" spans="19:55" ht="15.75" customHeight="1">
      <c r="S557" s="454"/>
      <c r="BA557" s="1305"/>
      <c r="BC557" s="169"/>
    </row>
    <row r="558" spans="19:55" ht="15.75" customHeight="1">
      <c r="S558" s="454"/>
      <c r="BA558" s="1305"/>
      <c r="BC558" s="169"/>
    </row>
    <row r="559" spans="19:55" ht="15.75" customHeight="1">
      <c r="S559" s="454"/>
      <c r="BA559" s="1305"/>
      <c r="BC559" s="169"/>
    </row>
    <row r="560" spans="19:55" ht="15.75" customHeight="1">
      <c r="S560" s="454"/>
      <c r="BA560" s="1305"/>
      <c r="BC560" s="169"/>
    </row>
    <row r="561" spans="19:55" ht="15.75" customHeight="1">
      <c r="S561" s="454"/>
      <c r="BA561" s="1305"/>
      <c r="BC561" s="169"/>
    </row>
    <row r="562" spans="19:55" ht="15.75" customHeight="1">
      <c r="S562" s="454"/>
      <c r="BA562" s="1305"/>
      <c r="BC562" s="169"/>
    </row>
    <row r="563" spans="19:55" ht="15.75" customHeight="1">
      <c r="S563" s="454"/>
      <c r="BA563" s="1305"/>
      <c r="BC563" s="169"/>
    </row>
    <row r="564" spans="19:55" ht="15.75" customHeight="1">
      <c r="S564" s="454"/>
      <c r="BA564" s="1305"/>
      <c r="BC564" s="169"/>
    </row>
    <row r="565" spans="19:55" ht="15.75" customHeight="1">
      <c r="S565" s="454"/>
      <c r="BA565" s="1305"/>
      <c r="BC565" s="169"/>
    </row>
    <row r="566" spans="19:55" ht="15.75" customHeight="1">
      <c r="S566" s="454"/>
      <c r="BA566" s="1305"/>
      <c r="BC566" s="169"/>
    </row>
    <row r="567" spans="19:55" ht="15.75" customHeight="1">
      <c r="S567" s="454"/>
      <c r="BA567" s="1305"/>
      <c r="BC567" s="169"/>
    </row>
    <row r="568" spans="19:55" ht="15.75" customHeight="1">
      <c r="S568" s="454"/>
      <c r="BA568" s="1305"/>
      <c r="BC568" s="169"/>
    </row>
    <row r="569" spans="19:55" ht="15.75" customHeight="1">
      <c r="S569" s="454"/>
      <c r="BA569" s="1305"/>
      <c r="BC569" s="169"/>
    </row>
    <row r="570" spans="19:55" ht="15.75" customHeight="1">
      <c r="S570" s="454"/>
      <c r="BA570" s="1305"/>
      <c r="BC570" s="169"/>
    </row>
    <row r="571" spans="19:55" ht="15.75" customHeight="1">
      <c r="S571" s="454"/>
      <c r="BA571" s="1305"/>
      <c r="BC571" s="169"/>
    </row>
    <row r="572" spans="19:55" ht="15.75" customHeight="1">
      <c r="S572" s="454"/>
      <c r="BA572" s="1305"/>
      <c r="BC572" s="169"/>
    </row>
    <row r="573" spans="19:55" ht="15.75" customHeight="1">
      <c r="S573" s="454"/>
      <c r="BA573" s="1305"/>
      <c r="BC573" s="169"/>
    </row>
    <row r="574" spans="19:55" ht="15.75" customHeight="1">
      <c r="S574" s="454"/>
      <c r="BA574" s="1305"/>
      <c r="BC574" s="169"/>
    </row>
    <row r="575" spans="19:55" ht="15.75" customHeight="1">
      <c r="S575" s="454"/>
      <c r="BA575" s="1305"/>
      <c r="BC575" s="169"/>
    </row>
    <row r="576" spans="19:55" ht="15.75" customHeight="1">
      <c r="S576" s="454"/>
      <c r="BA576" s="1305"/>
      <c r="BC576" s="169"/>
    </row>
    <row r="577" spans="19:55" ht="15.75" customHeight="1">
      <c r="S577" s="454"/>
      <c r="BA577" s="1305"/>
      <c r="BC577" s="169"/>
    </row>
    <row r="578" spans="19:55" ht="15.75" customHeight="1">
      <c r="S578" s="454"/>
      <c r="BA578" s="1305"/>
      <c r="BC578" s="169"/>
    </row>
    <row r="579" spans="19:55" ht="15.75" customHeight="1">
      <c r="S579" s="454"/>
      <c r="BA579" s="1305"/>
      <c r="BC579" s="169"/>
    </row>
    <row r="580" spans="19:55" ht="15.75" customHeight="1">
      <c r="S580" s="454"/>
      <c r="BA580" s="1305"/>
      <c r="BC580" s="169"/>
    </row>
    <row r="581" spans="19:55" ht="15.75" customHeight="1">
      <c r="S581" s="454"/>
      <c r="BA581" s="1305"/>
      <c r="BC581" s="169"/>
    </row>
    <row r="582" spans="19:55" ht="15.75" customHeight="1">
      <c r="S582" s="454"/>
      <c r="BA582" s="1305"/>
      <c r="BC582" s="169"/>
    </row>
    <row r="583" spans="19:55" ht="15.75" customHeight="1">
      <c r="S583" s="454"/>
      <c r="BA583" s="1305"/>
      <c r="BC583" s="169"/>
    </row>
    <row r="584" spans="19:55" ht="15.75" customHeight="1">
      <c r="S584" s="454"/>
      <c r="BA584" s="1305"/>
      <c r="BC584" s="169"/>
    </row>
    <row r="585" spans="19:55" ht="15.75" customHeight="1">
      <c r="S585" s="454"/>
      <c r="BA585" s="1305"/>
      <c r="BC585" s="169"/>
    </row>
    <row r="586" spans="19:55" ht="15.75" customHeight="1">
      <c r="S586" s="454"/>
      <c r="BA586" s="1305"/>
      <c r="BC586" s="169"/>
    </row>
    <row r="587" spans="19:55" ht="15.75" customHeight="1">
      <c r="S587" s="454"/>
      <c r="BA587" s="1305"/>
      <c r="BC587" s="169"/>
    </row>
    <row r="588" spans="19:55" ht="15.75" customHeight="1">
      <c r="S588" s="454"/>
      <c r="BA588" s="1305"/>
      <c r="BC588" s="169"/>
    </row>
    <row r="589" spans="19:55" ht="15.75" customHeight="1">
      <c r="S589" s="454"/>
      <c r="BA589" s="1305"/>
      <c r="BC589" s="169"/>
    </row>
    <row r="590" spans="19:55" ht="15.75" customHeight="1">
      <c r="S590" s="454"/>
      <c r="BA590" s="1305"/>
      <c r="BC590" s="169"/>
    </row>
    <row r="591" spans="19:55" ht="15.75" customHeight="1">
      <c r="S591" s="454"/>
      <c r="BA591" s="1305"/>
      <c r="BC591" s="169"/>
    </row>
    <row r="592" spans="19:55" ht="15.75" customHeight="1">
      <c r="S592" s="454"/>
      <c r="BA592" s="1305"/>
      <c r="BC592" s="169"/>
    </row>
    <row r="593" spans="19:55" ht="15.75" customHeight="1">
      <c r="S593" s="454"/>
      <c r="BA593" s="1305"/>
      <c r="BC593" s="169"/>
    </row>
    <row r="594" spans="19:55" ht="15.75" customHeight="1">
      <c r="S594" s="454"/>
      <c r="BA594" s="1305"/>
      <c r="BC594" s="169"/>
    </row>
    <row r="595" spans="19:55" ht="15.75" customHeight="1">
      <c r="S595" s="454"/>
      <c r="BA595" s="1305"/>
      <c r="BC595" s="169"/>
    </row>
    <row r="596" spans="19:55" ht="15.75" customHeight="1">
      <c r="S596" s="454"/>
      <c r="BA596" s="1305"/>
      <c r="BC596" s="169"/>
    </row>
    <row r="597" spans="19:55" ht="15.75" customHeight="1">
      <c r="S597" s="454"/>
      <c r="BA597" s="1305"/>
      <c r="BC597" s="169"/>
    </row>
    <row r="598" spans="19:55" ht="15.75" customHeight="1">
      <c r="S598" s="454"/>
      <c r="BA598" s="1305"/>
      <c r="BC598" s="169"/>
    </row>
    <row r="599" spans="19:55" ht="15.75" customHeight="1">
      <c r="S599" s="454"/>
      <c r="BA599" s="1305"/>
      <c r="BC599" s="169"/>
    </row>
    <row r="600" spans="19:55" ht="15.75" customHeight="1">
      <c r="S600" s="454"/>
      <c r="BA600" s="1305"/>
      <c r="BC600" s="169"/>
    </row>
    <row r="601" spans="19:55" ht="15.75" customHeight="1">
      <c r="S601" s="454"/>
      <c r="BA601" s="1305"/>
      <c r="BC601" s="169"/>
    </row>
    <row r="602" spans="19:55" ht="15.75" customHeight="1">
      <c r="S602" s="454"/>
      <c r="BA602" s="1305"/>
      <c r="BC602" s="169"/>
    </row>
    <row r="603" spans="19:55" ht="15.75" customHeight="1">
      <c r="S603" s="454"/>
      <c r="BA603" s="1305"/>
      <c r="BC603" s="169"/>
    </row>
    <row r="604" spans="19:55" ht="15.75" customHeight="1">
      <c r="S604" s="454"/>
      <c r="BA604" s="1305"/>
      <c r="BC604" s="169"/>
    </row>
    <row r="605" spans="19:55" ht="15.75" customHeight="1">
      <c r="S605" s="454"/>
      <c r="BA605" s="1305"/>
      <c r="BC605" s="169"/>
    </row>
    <row r="606" spans="19:55" ht="15.75" customHeight="1">
      <c r="S606" s="454"/>
      <c r="BA606" s="1305"/>
      <c r="BC606" s="169"/>
    </row>
    <row r="607" spans="19:55" ht="15.75" customHeight="1">
      <c r="S607" s="454"/>
      <c r="BA607" s="1305"/>
      <c r="BC607" s="169"/>
    </row>
    <row r="608" spans="19:55" ht="15.75" customHeight="1">
      <c r="S608" s="454"/>
      <c r="BA608" s="1305"/>
      <c r="BC608" s="169"/>
    </row>
    <row r="609" spans="19:55" ht="15.75" customHeight="1">
      <c r="S609" s="454"/>
      <c r="BA609" s="1305"/>
      <c r="BC609" s="169"/>
    </row>
    <row r="610" spans="19:55" ht="15.75" customHeight="1">
      <c r="S610" s="454"/>
      <c r="BA610" s="1305"/>
      <c r="BC610" s="169"/>
    </row>
    <row r="611" spans="19:55" ht="15.75" customHeight="1">
      <c r="S611" s="454"/>
      <c r="BA611" s="1305"/>
      <c r="BC611" s="169"/>
    </row>
    <row r="612" spans="19:55" ht="15.75" customHeight="1">
      <c r="S612" s="454"/>
      <c r="BA612" s="1305"/>
      <c r="BC612" s="169"/>
    </row>
    <row r="613" spans="19:55" ht="15.75" customHeight="1">
      <c r="S613" s="454"/>
      <c r="BA613" s="1305"/>
      <c r="BC613" s="169"/>
    </row>
    <row r="614" spans="19:55" ht="15.75" customHeight="1">
      <c r="S614" s="454"/>
      <c r="BA614" s="1305"/>
      <c r="BC614" s="169"/>
    </row>
    <row r="615" spans="19:55" ht="15.75" customHeight="1">
      <c r="S615" s="454"/>
      <c r="BA615" s="1305"/>
      <c r="BC615" s="169"/>
    </row>
    <row r="616" spans="19:55" ht="15.75" customHeight="1">
      <c r="S616" s="454"/>
      <c r="BA616" s="1305"/>
      <c r="BC616" s="169"/>
    </row>
    <row r="617" spans="19:55" ht="15.75" customHeight="1">
      <c r="S617" s="454"/>
      <c r="BA617" s="1305"/>
      <c r="BC617" s="169"/>
    </row>
    <row r="618" spans="19:55" ht="15.75" customHeight="1">
      <c r="S618" s="454"/>
      <c r="BA618" s="1305"/>
      <c r="BC618" s="169"/>
    </row>
    <row r="619" spans="19:55" ht="15.75" customHeight="1">
      <c r="S619" s="454"/>
      <c r="BA619" s="1305"/>
      <c r="BC619" s="169"/>
    </row>
    <row r="620" spans="19:55" ht="15.75" customHeight="1">
      <c r="S620" s="454"/>
      <c r="BA620" s="1305"/>
      <c r="BC620" s="169"/>
    </row>
    <row r="621" spans="19:55" ht="15.75" customHeight="1">
      <c r="S621" s="454"/>
      <c r="BA621" s="1305"/>
      <c r="BC621" s="169"/>
    </row>
    <row r="622" spans="19:55" ht="15.75" customHeight="1">
      <c r="S622" s="454"/>
      <c r="BA622" s="1305"/>
      <c r="BC622" s="169"/>
    </row>
    <row r="623" spans="19:55" ht="15.75" customHeight="1">
      <c r="S623" s="454"/>
      <c r="BA623" s="1305"/>
      <c r="BC623" s="169"/>
    </row>
    <row r="624" spans="19:55" ht="15.75" customHeight="1">
      <c r="S624" s="454"/>
      <c r="BA624" s="1305"/>
      <c r="BC624" s="169"/>
    </row>
    <row r="625" spans="19:55" ht="15.75" customHeight="1">
      <c r="S625" s="454"/>
      <c r="BA625" s="1305"/>
      <c r="BC625" s="169"/>
    </row>
    <row r="626" spans="19:55" ht="15.75" customHeight="1">
      <c r="S626" s="454"/>
      <c r="BA626" s="1305"/>
      <c r="BC626" s="169"/>
    </row>
    <row r="627" spans="19:55" ht="15.75" customHeight="1">
      <c r="S627" s="454"/>
      <c r="BA627" s="1305"/>
      <c r="BC627" s="169"/>
    </row>
    <row r="628" spans="19:55" ht="15.75" customHeight="1">
      <c r="S628" s="454"/>
      <c r="BA628" s="1305"/>
      <c r="BC628" s="169"/>
    </row>
    <row r="629" spans="19:55" ht="15.75" customHeight="1">
      <c r="S629" s="454"/>
      <c r="BA629" s="1305"/>
      <c r="BC629" s="169"/>
    </row>
    <row r="630" spans="19:55" ht="15.75" customHeight="1">
      <c r="S630" s="454"/>
      <c r="BA630" s="1305"/>
      <c r="BC630" s="169"/>
    </row>
    <row r="631" spans="19:55" ht="15.75" customHeight="1">
      <c r="S631" s="454"/>
      <c r="BA631" s="1305"/>
      <c r="BC631" s="169"/>
    </row>
    <row r="632" spans="19:55" ht="15.75" customHeight="1">
      <c r="S632" s="454"/>
      <c r="BA632" s="1305"/>
      <c r="BC632" s="169"/>
    </row>
    <row r="633" spans="19:55" ht="15.75" customHeight="1">
      <c r="S633" s="454"/>
      <c r="BA633" s="1305"/>
      <c r="BC633" s="169"/>
    </row>
    <row r="634" spans="19:55" ht="15.75" customHeight="1">
      <c r="S634" s="454"/>
      <c r="BA634" s="1305"/>
      <c r="BC634" s="169"/>
    </row>
    <row r="635" spans="19:55" ht="15.75" customHeight="1">
      <c r="S635" s="454"/>
      <c r="BA635" s="1305"/>
      <c r="BC635" s="169"/>
    </row>
    <row r="636" spans="19:55" ht="15.75" customHeight="1">
      <c r="S636" s="454"/>
      <c r="BA636" s="1305"/>
      <c r="BC636" s="169"/>
    </row>
    <row r="637" spans="19:55" ht="15.75" customHeight="1">
      <c r="S637" s="454"/>
      <c r="BA637" s="1305"/>
      <c r="BC637" s="169"/>
    </row>
    <row r="638" spans="19:55" ht="15.75" customHeight="1">
      <c r="S638" s="454"/>
      <c r="BA638" s="1305"/>
      <c r="BC638" s="169"/>
    </row>
    <row r="639" spans="19:55" ht="15.75" customHeight="1">
      <c r="S639" s="454"/>
      <c r="BA639" s="1305"/>
      <c r="BC639" s="169"/>
    </row>
    <row r="640" spans="19:55" ht="15.75" customHeight="1">
      <c r="S640" s="454"/>
      <c r="BA640" s="1305"/>
      <c r="BC640" s="169"/>
    </row>
    <row r="641" spans="19:55" ht="15.75" customHeight="1">
      <c r="S641" s="454"/>
      <c r="BA641" s="1305"/>
      <c r="BC641" s="169"/>
    </row>
    <row r="642" spans="19:55" ht="15.75" customHeight="1">
      <c r="S642" s="454"/>
      <c r="BA642" s="1305"/>
      <c r="BC642" s="169"/>
    </row>
    <row r="643" spans="19:55" ht="15.75" customHeight="1">
      <c r="S643" s="454"/>
      <c r="BA643" s="1305"/>
      <c r="BC643" s="169"/>
    </row>
    <row r="644" spans="19:55" ht="15.75" customHeight="1">
      <c r="S644" s="454"/>
      <c r="BA644" s="1305"/>
      <c r="BC644" s="169"/>
    </row>
    <row r="645" spans="19:55" ht="15.75" customHeight="1">
      <c r="S645" s="454"/>
      <c r="BA645" s="1305"/>
      <c r="BC645" s="169"/>
    </row>
    <row r="646" spans="19:55" ht="15.75" customHeight="1">
      <c r="S646" s="454"/>
      <c r="BA646" s="1305"/>
      <c r="BC646" s="169"/>
    </row>
    <row r="647" spans="19:55" ht="15.75" customHeight="1">
      <c r="S647" s="454"/>
      <c r="BA647" s="1305"/>
      <c r="BC647" s="169"/>
    </row>
    <row r="648" spans="19:55" ht="15.75" customHeight="1">
      <c r="S648" s="454"/>
      <c r="BA648" s="1305"/>
      <c r="BC648" s="169"/>
    </row>
    <row r="649" spans="19:55" ht="15.75" customHeight="1">
      <c r="S649" s="454"/>
      <c r="BA649" s="1305"/>
      <c r="BC649" s="169"/>
    </row>
    <row r="650" spans="19:55" ht="15.75" customHeight="1">
      <c r="S650" s="454"/>
      <c r="BA650" s="1305"/>
      <c r="BC650" s="169"/>
    </row>
    <row r="651" spans="19:55" ht="15.75" customHeight="1">
      <c r="S651" s="454"/>
      <c r="BA651" s="1305"/>
      <c r="BC651" s="169"/>
    </row>
    <row r="652" spans="19:55" ht="15.75" customHeight="1">
      <c r="S652" s="454"/>
      <c r="BA652" s="1305"/>
      <c r="BC652" s="169"/>
    </row>
    <row r="653" spans="19:55" ht="15.75" customHeight="1">
      <c r="S653" s="454"/>
      <c r="BA653" s="1305"/>
      <c r="BC653" s="169"/>
    </row>
    <row r="654" spans="19:55" ht="15.75" customHeight="1">
      <c r="S654" s="454"/>
      <c r="BA654" s="1305"/>
      <c r="BC654" s="169"/>
    </row>
    <row r="655" spans="19:55" ht="15.75" customHeight="1">
      <c r="S655" s="454"/>
      <c r="BA655" s="1305"/>
      <c r="BC655" s="169"/>
    </row>
    <row r="656" spans="19:55" ht="15.75" customHeight="1">
      <c r="S656" s="454"/>
      <c r="BA656" s="1305"/>
      <c r="BC656" s="169"/>
    </row>
    <row r="657" spans="19:55" ht="15.75" customHeight="1">
      <c r="S657" s="454"/>
      <c r="BA657" s="1305"/>
      <c r="BC657" s="169"/>
    </row>
    <row r="658" spans="19:55" ht="15.75" customHeight="1">
      <c r="S658" s="454"/>
      <c r="BA658" s="1305"/>
      <c r="BC658" s="169"/>
    </row>
    <row r="659" spans="19:55" ht="15.75" customHeight="1">
      <c r="S659" s="454"/>
      <c r="BA659" s="1305"/>
      <c r="BC659" s="169"/>
    </row>
    <row r="660" spans="19:55" ht="15.75" customHeight="1">
      <c r="S660" s="454"/>
      <c r="BA660" s="1305"/>
      <c r="BC660" s="169"/>
    </row>
    <row r="661" spans="19:55" ht="15.75" customHeight="1">
      <c r="S661" s="454"/>
      <c r="BA661" s="1305"/>
      <c r="BC661" s="169"/>
    </row>
    <row r="662" spans="19:55" ht="15.75" customHeight="1">
      <c r="S662" s="454"/>
      <c r="BA662" s="1305"/>
      <c r="BC662" s="169"/>
    </row>
    <row r="663" spans="19:55" ht="15.75" customHeight="1">
      <c r="S663" s="454"/>
      <c r="BA663" s="1305"/>
      <c r="BC663" s="169"/>
    </row>
    <row r="664" spans="19:55" ht="15.75" customHeight="1">
      <c r="S664" s="454"/>
      <c r="BA664" s="1305"/>
      <c r="BC664" s="169"/>
    </row>
    <row r="665" spans="19:55" ht="15.75" customHeight="1">
      <c r="S665" s="454"/>
      <c r="BA665" s="1305"/>
      <c r="BC665" s="169"/>
    </row>
    <row r="666" spans="19:55" ht="15.75" customHeight="1">
      <c r="S666" s="454"/>
      <c r="BA666" s="1305"/>
      <c r="BC666" s="169"/>
    </row>
    <row r="667" spans="19:55" ht="15.75" customHeight="1">
      <c r="S667" s="454"/>
      <c r="BA667" s="1305"/>
      <c r="BC667" s="169"/>
    </row>
    <row r="668" spans="19:55" ht="15.75" customHeight="1">
      <c r="S668" s="454"/>
      <c r="BA668" s="1305"/>
      <c r="BC668" s="169"/>
    </row>
    <row r="669" spans="19:55" ht="15.75" customHeight="1">
      <c r="S669" s="454"/>
      <c r="BA669" s="1305"/>
      <c r="BC669" s="169"/>
    </row>
    <row r="670" spans="19:55" ht="15.75" customHeight="1">
      <c r="S670" s="454"/>
      <c r="BA670" s="1305"/>
      <c r="BC670" s="169"/>
    </row>
    <row r="671" spans="19:55" ht="15.75" customHeight="1">
      <c r="S671" s="454"/>
      <c r="BA671" s="1305"/>
      <c r="BC671" s="169"/>
    </row>
    <row r="672" spans="19:55" ht="15.75" customHeight="1">
      <c r="S672" s="454"/>
      <c r="BA672" s="1305"/>
      <c r="BC672" s="169"/>
    </row>
    <row r="673" spans="19:55" ht="15.75" customHeight="1">
      <c r="S673" s="454"/>
      <c r="BA673" s="1305"/>
      <c r="BC673" s="169"/>
    </row>
    <row r="674" spans="19:55" ht="15.75" customHeight="1">
      <c r="S674" s="454"/>
      <c r="BA674" s="1305"/>
      <c r="BC674" s="169"/>
    </row>
    <row r="675" spans="19:55" ht="15.75" customHeight="1">
      <c r="S675" s="454"/>
      <c r="BA675" s="1305"/>
      <c r="BC675" s="169"/>
    </row>
    <row r="676" spans="19:55" ht="15.75" customHeight="1">
      <c r="S676" s="454"/>
      <c r="BA676" s="1305"/>
      <c r="BC676" s="169"/>
    </row>
    <row r="677" spans="19:55" ht="15.75" customHeight="1">
      <c r="S677" s="454"/>
      <c r="BA677" s="1305"/>
      <c r="BC677" s="169"/>
    </row>
    <row r="678" spans="19:55" ht="15.75" customHeight="1">
      <c r="S678" s="454"/>
      <c r="BA678" s="1305"/>
      <c r="BC678" s="169"/>
    </row>
    <row r="679" spans="19:55" ht="15.75" customHeight="1">
      <c r="S679" s="454"/>
      <c r="BA679" s="1305"/>
      <c r="BC679" s="169"/>
    </row>
    <row r="680" spans="19:55" ht="15.75" customHeight="1">
      <c r="S680" s="454"/>
      <c r="BA680" s="1305"/>
      <c r="BC680" s="169"/>
    </row>
    <row r="681" spans="19:55" ht="15.75" customHeight="1">
      <c r="S681" s="454"/>
      <c r="BA681" s="1305"/>
      <c r="BC681" s="169"/>
    </row>
    <row r="682" spans="19:55" ht="15.75" customHeight="1">
      <c r="S682" s="454"/>
      <c r="BA682" s="1305"/>
      <c r="BC682" s="169"/>
    </row>
    <row r="683" spans="19:55" ht="15.75" customHeight="1">
      <c r="S683" s="454"/>
      <c r="BA683" s="1305"/>
      <c r="BC683" s="169"/>
    </row>
    <row r="684" spans="19:55" ht="15.75" customHeight="1">
      <c r="S684" s="454"/>
      <c r="BA684" s="1305"/>
      <c r="BC684" s="169"/>
    </row>
    <row r="685" spans="19:55" ht="15.75" customHeight="1">
      <c r="S685" s="454"/>
      <c r="BA685" s="1305"/>
      <c r="BC685" s="169"/>
    </row>
    <row r="686" spans="19:55" ht="15.75" customHeight="1">
      <c r="S686" s="454"/>
      <c r="BA686" s="1305"/>
      <c r="BC686" s="169"/>
    </row>
    <row r="687" spans="19:55" ht="15.75" customHeight="1">
      <c r="S687" s="454"/>
      <c r="BA687" s="1305"/>
      <c r="BC687" s="169"/>
    </row>
    <row r="688" spans="19:55" ht="15.75" customHeight="1">
      <c r="S688" s="454"/>
      <c r="BA688" s="1305"/>
      <c r="BC688" s="169"/>
    </row>
    <row r="689" spans="19:55" ht="15.75" customHeight="1">
      <c r="S689" s="454"/>
      <c r="BA689" s="1305"/>
      <c r="BC689" s="169"/>
    </row>
    <row r="690" spans="19:55" ht="15.75" customHeight="1">
      <c r="S690" s="454"/>
      <c r="BA690" s="1305"/>
      <c r="BC690" s="169"/>
    </row>
    <row r="691" spans="19:55" ht="15.75" customHeight="1">
      <c r="S691" s="454"/>
      <c r="BA691" s="1305"/>
      <c r="BC691" s="169"/>
    </row>
    <row r="692" spans="19:55" ht="15.75" customHeight="1">
      <c r="S692" s="454"/>
      <c r="BA692" s="1305"/>
      <c r="BC692" s="169"/>
    </row>
    <row r="693" spans="19:55" ht="15.75" customHeight="1">
      <c r="S693" s="454"/>
      <c r="BA693" s="1305"/>
      <c r="BC693" s="169"/>
    </row>
    <row r="694" spans="19:55" ht="15.75" customHeight="1">
      <c r="S694" s="454"/>
      <c r="BA694" s="1305"/>
      <c r="BC694" s="169"/>
    </row>
    <row r="695" spans="19:55" ht="15.75" customHeight="1">
      <c r="S695" s="454"/>
      <c r="BA695" s="1305"/>
      <c r="BC695" s="169"/>
    </row>
    <row r="696" spans="19:55" ht="15.75" customHeight="1">
      <c r="S696" s="454"/>
      <c r="BA696" s="1305"/>
      <c r="BC696" s="169"/>
    </row>
    <row r="697" spans="19:55" ht="15.75" customHeight="1">
      <c r="S697" s="454"/>
      <c r="BA697" s="1305"/>
      <c r="BC697" s="169"/>
    </row>
    <row r="698" spans="19:55" ht="15.75" customHeight="1">
      <c r="S698" s="454"/>
      <c r="BA698" s="1305"/>
      <c r="BC698" s="169"/>
    </row>
    <row r="699" spans="19:55" ht="15.75" customHeight="1">
      <c r="S699" s="454"/>
      <c r="BA699" s="1305"/>
      <c r="BC699" s="169"/>
    </row>
    <row r="700" spans="19:55" ht="15.75" customHeight="1">
      <c r="S700" s="454"/>
      <c r="BA700" s="1305"/>
      <c r="BC700" s="169"/>
    </row>
    <row r="701" spans="19:55" ht="15.75" customHeight="1">
      <c r="S701" s="454"/>
      <c r="BA701" s="1305"/>
      <c r="BC701" s="169"/>
    </row>
    <row r="702" spans="19:55" ht="15.75" customHeight="1">
      <c r="S702" s="454"/>
      <c r="BA702" s="1305"/>
      <c r="BC702" s="169"/>
    </row>
    <row r="703" spans="19:55" ht="15.75" customHeight="1">
      <c r="S703" s="454"/>
      <c r="BA703" s="1305"/>
      <c r="BC703" s="169"/>
    </row>
    <row r="704" spans="19:55" ht="15.75" customHeight="1">
      <c r="S704" s="454"/>
      <c r="BA704" s="1305"/>
      <c r="BC704" s="169"/>
    </row>
    <row r="705" spans="19:55" ht="15.75" customHeight="1">
      <c r="S705" s="454"/>
      <c r="BA705" s="1305"/>
      <c r="BC705" s="169"/>
    </row>
    <row r="706" spans="19:55" ht="15.75" customHeight="1">
      <c r="S706" s="454"/>
      <c r="BA706" s="1305"/>
      <c r="BC706" s="169"/>
    </row>
    <row r="707" spans="19:55" ht="15.75" customHeight="1">
      <c r="S707" s="454"/>
      <c r="BA707" s="1305"/>
      <c r="BC707" s="169"/>
    </row>
    <row r="708" spans="19:55" ht="15.75" customHeight="1">
      <c r="S708" s="454"/>
      <c r="BA708" s="1305"/>
      <c r="BC708" s="169"/>
    </row>
    <row r="709" spans="19:55" ht="15.75" customHeight="1">
      <c r="S709" s="454"/>
      <c r="BA709" s="1305"/>
      <c r="BC709" s="169"/>
    </row>
    <row r="710" spans="19:55" ht="15.75" customHeight="1">
      <c r="S710" s="454"/>
      <c r="BA710" s="1305"/>
      <c r="BC710" s="169"/>
    </row>
    <row r="711" spans="19:55" ht="15.75" customHeight="1">
      <c r="S711" s="454"/>
      <c r="BA711" s="1305"/>
      <c r="BC711" s="169"/>
    </row>
    <row r="712" spans="19:55" ht="15.75" customHeight="1">
      <c r="S712" s="454"/>
      <c r="BA712" s="1305"/>
      <c r="BC712" s="169"/>
    </row>
    <row r="713" spans="19:55" ht="15.75" customHeight="1">
      <c r="S713" s="454"/>
      <c r="BA713" s="1305"/>
      <c r="BC713" s="169"/>
    </row>
    <row r="714" spans="19:55" ht="15.75" customHeight="1">
      <c r="S714" s="454"/>
      <c r="BA714" s="1305"/>
      <c r="BC714" s="169"/>
    </row>
    <row r="715" spans="19:55" ht="15.75" customHeight="1">
      <c r="S715" s="454"/>
      <c r="BA715" s="1305"/>
      <c r="BC715" s="169"/>
    </row>
    <row r="716" spans="19:55" ht="15.75" customHeight="1">
      <c r="S716" s="454"/>
      <c r="BA716" s="1305"/>
      <c r="BC716" s="169"/>
    </row>
    <row r="717" spans="19:55" ht="15.75" customHeight="1">
      <c r="S717" s="454"/>
      <c r="BA717" s="1305"/>
      <c r="BC717" s="169"/>
    </row>
    <row r="718" spans="19:55" ht="15.75" customHeight="1">
      <c r="S718" s="454"/>
      <c r="BA718" s="1305"/>
      <c r="BC718" s="169"/>
    </row>
    <row r="719" spans="19:55" ht="15.75" customHeight="1">
      <c r="S719" s="454"/>
      <c r="BA719" s="1305"/>
      <c r="BC719" s="169"/>
    </row>
    <row r="720" spans="19:55" ht="15.75" customHeight="1">
      <c r="S720" s="454"/>
      <c r="BA720" s="1305"/>
      <c r="BC720" s="169"/>
    </row>
    <row r="721" spans="19:55" ht="15.75" customHeight="1">
      <c r="S721" s="454"/>
      <c r="BA721" s="1305"/>
      <c r="BC721" s="169"/>
    </row>
    <row r="722" spans="19:55" ht="15.75" customHeight="1">
      <c r="S722" s="454"/>
      <c r="BA722" s="1305"/>
      <c r="BC722" s="169"/>
    </row>
    <row r="723" spans="19:55" ht="15.75" customHeight="1">
      <c r="S723" s="454"/>
      <c r="BA723" s="1305"/>
      <c r="BC723" s="169"/>
    </row>
    <row r="724" spans="19:55" ht="15.75" customHeight="1">
      <c r="S724" s="454"/>
      <c r="BA724" s="1305"/>
      <c r="BC724" s="169"/>
    </row>
    <row r="725" spans="19:55" ht="15.75" customHeight="1">
      <c r="S725" s="454"/>
      <c r="BA725" s="1305"/>
      <c r="BC725" s="169"/>
    </row>
    <row r="726" spans="19:55" ht="15.75" customHeight="1">
      <c r="S726" s="454"/>
      <c r="BA726" s="1305"/>
      <c r="BC726" s="169"/>
    </row>
    <row r="727" spans="19:55" ht="15.75" customHeight="1">
      <c r="S727" s="454"/>
      <c r="BA727" s="1305"/>
      <c r="BC727" s="169"/>
    </row>
    <row r="728" spans="19:55" ht="15.75" customHeight="1">
      <c r="S728" s="454"/>
      <c r="BA728" s="1305"/>
      <c r="BC728" s="169"/>
    </row>
    <row r="729" spans="19:55" ht="15.75" customHeight="1">
      <c r="S729" s="454"/>
      <c r="BA729" s="1305"/>
      <c r="BC729" s="169"/>
    </row>
    <row r="730" spans="19:55" ht="15.75" customHeight="1">
      <c r="S730" s="454"/>
      <c r="BA730" s="1305"/>
      <c r="BC730" s="169"/>
    </row>
    <row r="731" spans="19:55" ht="15.75" customHeight="1">
      <c r="S731" s="454"/>
      <c r="BA731" s="1305"/>
      <c r="BC731" s="169"/>
    </row>
    <row r="732" spans="19:55" ht="15.75" customHeight="1">
      <c r="S732" s="454"/>
      <c r="BA732" s="1305"/>
      <c r="BC732" s="169"/>
    </row>
    <row r="733" spans="19:55" ht="15.75" customHeight="1">
      <c r="S733" s="454"/>
      <c r="BA733" s="1305"/>
      <c r="BC733" s="169"/>
    </row>
    <row r="734" spans="19:55" ht="15.75" customHeight="1">
      <c r="S734" s="454"/>
      <c r="BA734" s="1305"/>
      <c r="BC734" s="169"/>
    </row>
    <row r="735" spans="19:55" ht="15.75" customHeight="1">
      <c r="S735" s="454"/>
      <c r="BA735" s="1305"/>
      <c r="BC735" s="169"/>
    </row>
    <row r="736" spans="19:55" ht="15.75" customHeight="1">
      <c r="S736" s="454"/>
      <c r="BA736" s="1305"/>
      <c r="BC736" s="169"/>
    </row>
    <row r="737" spans="19:55" ht="15.75" customHeight="1">
      <c r="S737" s="454"/>
      <c r="BA737" s="1305"/>
      <c r="BC737" s="169"/>
    </row>
    <row r="738" spans="19:55" ht="15.75" customHeight="1">
      <c r="S738" s="454"/>
      <c r="BA738" s="1305"/>
      <c r="BC738" s="169"/>
    </row>
    <row r="739" spans="19:55" ht="15.75" customHeight="1">
      <c r="S739" s="454"/>
      <c r="BA739" s="1305"/>
      <c r="BC739" s="169"/>
    </row>
    <row r="740" spans="19:55" ht="15.75" customHeight="1">
      <c r="S740" s="454"/>
      <c r="BA740" s="1305"/>
      <c r="BC740" s="169"/>
    </row>
    <row r="741" spans="19:55" ht="15.75" customHeight="1">
      <c r="S741" s="454"/>
      <c r="BA741" s="1305"/>
      <c r="BC741" s="169"/>
    </row>
    <row r="742" spans="19:55" ht="15.75" customHeight="1">
      <c r="S742" s="454"/>
      <c r="BA742" s="1305"/>
      <c r="BC742" s="169"/>
    </row>
    <row r="743" spans="19:55" ht="15.75" customHeight="1">
      <c r="S743" s="454"/>
      <c r="BA743" s="1305"/>
      <c r="BC743" s="169"/>
    </row>
    <row r="744" spans="19:55" ht="15.75" customHeight="1">
      <c r="S744" s="454"/>
      <c r="BA744" s="1305"/>
      <c r="BC744" s="169"/>
    </row>
    <row r="745" spans="19:55" ht="15.75" customHeight="1">
      <c r="S745" s="454"/>
      <c r="BA745" s="1305"/>
      <c r="BC745" s="169"/>
    </row>
    <row r="746" spans="19:55" ht="15.75" customHeight="1">
      <c r="S746" s="454"/>
      <c r="BA746" s="1305"/>
      <c r="BC746" s="169"/>
    </row>
    <row r="747" spans="19:55" ht="15.75" customHeight="1">
      <c r="S747" s="454"/>
      <c r="BA747" s="1305"/>
      <c r="BC747" s="169"/>
    </row>
    <row r="748" spans="19:55" ht="15.75" customHeight="1">
      <c r="S748" s="454"/>
      <c r="BA748" s="1305"/>
      <c r="BC748" s="169"/>
    </row>
    <row r="749" spans="19:55" ht="15.75" customHeight="1">
      <c r="S749" s="454"/>
      <c r="BA749" s="1305"/>
      <c r="BC749" s="169"/>
    </row>
    <row r="750" spans="19:55" ht="15.75" customHeight="1">
      <c r="S750" s="454"/>
      <c r="BA750" s="1305"/>
      <c r="BC750" s="169"/>
    </row>
    <row r="751" spans="19:55" ht="15.75" customHeight="1">
      <c r="S751" s="454"/>
      <c r="BA751" s="1305"/>
      <c r="BC751" s="169"/>
    </row>
    <row r="752" spans="19:55" ht="15.75" customHeight="1">
      <c r="S752" s="454"/>
      <c r="BA752" s="1305"/>
      <c r="BC752" s="169"/>
    </row>
    <row r="753" spans="19:55" ht="15.75" customHeight="1">
      <c r="S753" s="454"/>
      <c r="BA753" s="1305"/>
      <c r="BC753" s="169"/>
    </row>
    <row r="754" spans="19:55" ht="15.75" customHeight="1">
      <c r="S754" s="454"/>
      <c r="BA754" s="1305"/>
      <c r="BC754" s="169"/>
    </row>
    <row r="755" spans="19:55" ht="15.75" customHeight="1">
      <c r="S755" s="454"/>
      <c r="BA755" s="1305"/>
      <c r="BC755" s="169"/>
    </row>
    <row r="756" spans="19:55" ht="15.75" customHeight="1">
      <c r="S756" s="454"/>
      <c r="BA756" s="1305"/>
      <c r="BC756" s="169"/>
    </row>
    <row r="757" spans="19:55" ht="15.75" customHeight="1">
      <c r="S757" s="454"/>
      <c r="BA757" s="1305"/>
      <c r="BC757" s="169"/>
    </row>
    <row r="758" spans="19:55" ht="15.75" customHeight="1">
      <c r="S758" s="454"/>
      <c r="BA758" s="1305"/>
      <c r="BC758" s="169"/>
    </row>
    <row r="759" spans="19:55" ht="15.75" customHeight="1">
      <c r="S759" s="454"/>
      <c r="BA759" s="1305"/>
      <c r="BC759" s="169"/>
    </row>
    <row r="760" spans="19:55" ht="15.75" customHeight="1">
      <c r="S760" s="454"/>
      <c r="BA760" s="1305"/>
      <c r="BC760" s="169"/>
    </row>
    <row r="761" spans="19:55" ht="15.75" customHeight="1">
      <c r="S761" s="454"/>
      <c r="BA761" s="1305"/>
      <c r="BC761" s="169"/>
    </row>
    <row r="762" spans="19:55" ht="15.75" customHeight="1">
      <c r="S762" s="454"/>
      <c r="BA762" s="1305"/>
      <c r="BC762" s="169"/>
    </row>
    <row r="763" spans="19:55" ht="15.75" customHeight="1">
      <c r="S763" s="454"/>
      <c r="BA763" s="1305"/>
      <c r="BC763" s="169"/>
    </row>
    <row r="764" spans="19:55" ht="15.75" customHeight="1">
      <c r="S764" s="454"/>
      <c r="BA764" s="1305"/>
      <c r="BC764" s="169"/>
    </row>
    <row r="765" spans="19:55" ht="15.75" customHeight="1">
      <c r="S765" s="454"/>
      <c r="BA765" s="1305"/>
      <c r="BC765" s="169"/>
    </row>
    <row r="766" spans="19:55" ht="15.75" customHeight="1">
      <c r="S766" s="454"/>
      <c r="BA766" s="1305"/>
      <c r="BC766" s="169"/>
    </row>
    <row r="767" spans="19:55" ht="15.75" customHeight="1">
      <c r="S767" s="454"/>
      <c r="BA767" s="1305"/>
      <c r="BC767" s="169"/>
    </row>
    <row r="768" spans="19:55" ht="15.75" customHeight="1">
      <c r="S768" s="454"/>
      <c r="BA768" s="1305"/>
      <c r="BC768" s="169"/>
    </row>
    <row r="769" spans="19:55" ht="15.75" customHeight="1">
      <c r="S769" s="454"/>
      <c r="BA769" s="1305"/>
      <c r="BC769" s="169"/>
    </row>
    <row r="770" spans="19:55" ht="15.75" customHeight="1">
      <c r="S770" s="454"/>
      <c r="BA770" s="1305"/>
      <c r="BC770" s="169"/>
    </row>
    <row r="771" spans="19:55" ht="15.75" customHeight="1">
      <c r="S771" s="454"/>
      <c r="BA771" s="1305"/>
      <c r="BC771" s="169"/>
    </row>
    <row r="772" spans="19:55" ht="15.75" customHeight="1">
      <c r="S772" s="454"/>
      <c r="BA772" s="1305"/>
      <c r="BC772" s="169"/>
    </row>
    <row r="773" spans="19:55" ht="15.75" customHeight="1">
      <c r="S773" s="454"/>
      <c r="BA773" s="1305"/>
      <c r="BC773" s="169"/>
    </row>
    <row r="774" spans="19:55" ht="15.75" customHeight="1">
      <c r="S774" s="454"/>
      <c r="BA774" s="1305"/>
      <c r="BC774" s="169"/>
    </row>
    <row r="775" spans="19:55" ht="15.75" customHeight="1">
      <c r="S775" s="454"/>
      <c r="BA775" s="1305"/>
      <c r="BC775" s="169"/>
    </row>
    <row r="776" spans="19:55" ht="15.75" customHeight="1">
      <c r="S776" s="454"/>
      <c r="BA776" s="1305"/>
      <c r="BC776" s="169"/>
    </row>
    <row r="777" spans="19:55" ht="15.75" customHeight="1">
      <c r="S777" s="454"/>
      <c r="BA777" s="1305"/>
      <c r="BC777" s="169"/>
    </row>
    <row r="778" spans="19:55" ht="15.75" customHeight="1">
      <c r="S778" s="454"/>
      <c r="BA778" s="1305"/>
      <c r="BC778" s="169"/>
    </row>
    <row r="779" spans="19:55" ht="15.75" customHeight="1">
      <c r="S779" s="454"/>
      <c r="BA779" s="1305"/>
      <c r="BC779" s="169"/>
    </row>
    <row r="780" spans="19:55" ht="15.75" customHeight="1">
      <c r="S780" s="454"/>
      <c r="BA780" s="1305"/>
      <c r="BC780" s="169"/>
    </row>
    <row r="781" spans="19:55" ht="15.75" customHeight="1">
      <c r="S781" s="454"/>
      <c r="BA781" s="1305"/>
      <c r="BC781" s="169"/>
    </row>
    <row r="782" spans="19:55" ht="15.75" customHeight="1">
      <c r="S782" s="454"/>
      <c r="BA782" s="1305"/>
      <c r="BC782" s="169"/>
    </row>
    <row r="783" spans="19:55" ht="15.75" customHeight="1">
      <c r="S783" s="454"/>
      <c r="BA783" s="1305"/>
      <c r="BC783" s="169"/>
    </row>
    <row r="784" spans="19:55" ht="15.75" customHeight="1">
      <c r="S784" s="454"/>
      <c r="BA784" s="1305"/>
      <c r="BC784" s="169"/>
    </row>
    <row r="785" spans="19:55" ht="15.75" customHeight="1">
      <c r="S785" s="454"/>
      <c r="BA785" s="1305"/>
      <c r="BC785" s="169"/>
    </row>
    <row r="786" spans="19:55" ht="15.75" customHeight="1">
      <c r="S786" s="454"/>
      <c r="BA786" s="1305"/>
      <c r="BC786" s="169"/>
    </row>
    <row r="787" spans="19:55" ht="15.75" customHeight="1">
      <c r="S787" s="454"/>
      <c r="BA787" s="1305"/>
      <c r="BC787" s="169"/>
    </row>
    <row r="788" spans="19:55" ht="15.75" customHeight="1">
      <c r="S788" s="454"/>
      <c r="BA788" s="1305"/>
      <c r="BC788" s="169"/>
    </row>
    <row r="789" spans="19:55" ht="15.75" customHeight="1">
      <c r="S789" s="454"/>
      <c r="BA789" s="1305"/>
      <c r="BC789" s="169"/>
    </row>
    <row r="790" spans="19:55" ht="15.75" customHeight="1">
      <c r="S790" s="454"/>
      <c r="BA790" s="1305"/>
      <c r="BC790" s="169"/>
    </row>
    <row r="791" spans="19:55" ht="15.75" customHeight="1">
      <c r="S791" s="454"/>
      <c r="BA791" s="1305"/>
      <c r="BC791" s="169"/>
    </row>
    <row r="792" spans="19:55" ht="15.75" customHeight="1">
      <c r="S792" s="454"/>
      <c r="BA792" s="1305"/>
      <c r="BC792" s="169"/>
    </row>
    <row r="793" spans="19:55" ht="15.75" customHeight="1">
      <c r="S793" s="454"/>
      <c r="BA793" s="1305"/>
      <c r="BC793" s="169"/>
    </row>
    <row r="794" spans="19:55" ht="15.75" customHeight="1">
      <c r="S794" s="454"/>
      <c r="BA794" s="1305"/>
      <c r="BC794" s="169"/>
    </row>
    <row r="795" spans="19:55" ht="15.75" customHeight="1">
      <c r="S795" s="454"/>
      <c r="BA795" s="1305"/>
      <c r="BC795" s="169"/>
    </row>
    <row r="796" spans="19:55" ht="15.75" customHeight="1">
      <c r="S796" s="454"/>
      <c r="BA796" s="1305"/>
      <c r="BC796" s="169"/>
    </row>
    <row r="797" spans="19:55" ht="15.75" customHeight="1">
      <c r="S797" s="454"/>
      <c r="BA797" s="1305"/>
      <c r="BC797" s="169"/>
    </row>
    <row r="798" spans="19:55" ht="15.75" customHeight="1">
      <c r="S798" s="454"/>
      <c r="BA798" s="1305"/>
      <c r="BC798" s="169"/>
    </row>
    <row r="799" spans="19:55" ht="15.75" customHeight="1">
      <c r="S799" s="454"/>
      <c r="BA799" s="1305"/>
      <c r="BC799" s="169"/>
    </row>
    <row r="800" spans="19:55" ht="15.75" customHeight="1">
      <c r="S800" s="454"/>
      <c r="BA800" s="1305"/>
      <c r="BC800" s="169"/>
    </row>
    <row r="801" spans="19:55" ht="15.75" customHeight="1">
      <c r="S801" s="454"/>
      <c r="BA801" s="1305"/>
      <c r="BC801" s="169"/>
    </row>
    <row r="802" spans="19:55" ht="15.75" customHeight="1">
      <c r="S802" s="454"/>
      <c r="BA802" s="1305"/>
      <c r="BC802" s="169"/>
    </row>
    <row r="803" spans="19:55" ht="15.75" customHeight="1">
      <c r="S803" s="454"/>
      <c r="BA803" s="1305"/>
      <c r="BC803" s="169"/>
    </row>
    <row r="804" spans="19:55" ht="15.75" customHeight="1">
      <c r="S804" s="454"/>
      <c r="BA804" s="1305"/>
      <c r="BC804" s="169"/>
    </row>
    <row r="805" spans="19:55" ht="15.75" customHeight="1">
      <c r="S805" s="454"/>
      <c r="BA805" s="1305"/>
      <c r="BC805" s="169"/>
    </row>
    <row r="806" spans="19:55" ht="15.75" customHeight="1">
      <c r="S806" s="454"/>
      <c r="BA806" s="1305"/>
      <c r="BC806" s="169"/>
    </row>
    <row r="807" spans="19:55" ht="15.75" customHeight="1">
      <c r="S807" s="454"/>
      <c r="BA807" s="1305"/>
      <c r="BC807" s="169"/>
    </row>
    <row r="808" spans="19:55" ht="15.75" customHeight="1">
      <c r="S808" s="454"/>
      <c r="BA808" s="1305"/>
      <c r="BC808" s="169"/>
    </row>
    <row r="809" spans="19:55" ht="15.75" customHeight="1">
      <c r="S809" s="454"/>
      <c r="BA809" s="1305"/>
      <c r="BC809" s="169"/>
    </row>
    <row r="810" spans="19:55" ht="15.75" customHeight="1">
      <c r="S810" s="454"/>
      <c r="BA810" s="1305"/>
      <c r="BC810" s="169"/>
    </row>
    <row r="811" spans="19:55" ht="15.75" customHeight="1">
      <c r="S811" s="454"/>
      <c r="BA811" s="1305"/>
      <c r="BC811" s="169"/>
    </row>
    <row r="812" spans="19:55" ht="15.75" customHeight="1">
      <c r="S812" s="454"/>
      <c r="BA812" s="1305"/>
      <c r="BC812" s="169"/>
    </row>
    <row r="813" spans="19:55" ht="15.75" customHeight="1">
      <c r="S813" s="454"/>
      <c r="BA813" s="1305"/>
      <c r="BC813" s="169"/>
    </row>
    <row r="814" spans="19:55" ht="15.75" customHeight="1">
      <c r="S814" s="454"/>
      <c r="BA814" s="1305"/>
      <c r="BC814" s="169"/>
    </row>
    <row r="815" spans="19:55" ht="15.75" customHeight="1">
      <c r="S815" s="454"/>
      <c r="BA815" s="1305"/>
      <c r="BC815" s="169"/>
    </row>
    <row r="816" spans="19:55" ht="15.75" customHeight="1">
      <c r="S816" s="454"/>
      <c r="BA816" s="1305"/>
      <c r="BC816" s="169"/>
    </row>
    <row r="817" spans="19:55" ht="15.75" customHeight="1">
      <c r="S817" s="454"/>
      <c r="BA817" s="1305"/>
      <c r="BC817" s="169"/>
    </row>
    <row r="818" spans="19:55" ht="15.75" customHeight="1">
      <c r="S818" s="454"/>
      <c r="BA818" s="1305"/>
      <c r="BC818" s="169"/>
    </row>
    <row r="819" spans="19:55" ht="15.75" customHeight="1">
      <c r="S819" s="454"/>
      <c r="BA819" s="1305"/>
      <c r="BC819" s="169"/>
    </row>
    <row r="820" spans="19:55" ht="15.75" customHeight="1">
      <c r="S820" s="454"/>
      <c r="BA820" s="1305"/>
      <c r="BC820" s="169"/>
    </row>
    <row r="821" spans="19:55" ht="15.75" customHeight="1">
      <c r="S821" s="454"/>
      <c r="BA821" s="1305"/>
      <c r="BC821" s="169"/>
    </row>
    <row r="822" spans="19:55" ht="15.75" customHeight="1">
      <c r="S822" s="454"/>
      <c r="BA822" s="1305"/>
      <c r="BC822" s="169"/>
    </row>
    <row r="823" spans="19:55" ht="15.75" customHeight="1">
      <c r="S823" s="454"/>
      <c r="BA823" s="1305"/>
      <c r="BC823" s="169"/>
    </row>
    <row r="824" spans="19:55" ht="15.75" customHeight="1">
      <c r="S824" s="454"/>
      <c r="BA824" s="1305"/>
      <c r="BC824" s="169"/>
    </row>
    <row r="825" spans="19:55" ht="15.75" customHeight="1">
      <c r="S825" s="454"/>
      <c r="BA825" s="1305"/>
      <c r="BC825" s="169"/>
    </row>
    <row r="826" spans="19:55" ht="15.75" customHeight="1">
      <c r="S826" s="454"/>
      <c r="BA826" s="1305"/>
      <c r="BC826" s="169"/>
    </row>
    <row r="827" spans="19:55" ht="15.75" customHeight="1">
      <c r="S827" s="454"/>
      <c r="BA827" s="1305"/>
      <c r="BC827" s="169"/>
    </row>
    <row r="828" spans="19:55" ht="15.75" customHeight="1">
      <c r="S828" s="454"/>
      <c r="BA828" s="1305"/>
      <c r="BC828" s="169"/>
    </row>
    <row r="829" spans="19:55" ht="15.75" customHeight="1">
      <c r="S829" s="454"/>
      <c r="BA829" s="1305"/>
      <c r="BC829" s="169"/>
    </row>
    <row r="830" spans="19:55" ht="15.75" customHeight="1">
      <c r="S830" s="454"/>
      <c r="BA830" s="1305"/>
      <c r="BC830" s="169"/>
    </row>
    <row r="831" spans="19:55" ht="15.75" customHeight="1">
      <c r="S831" s="454"/>
      <c r="BA831" s="1305"/>
      <c r="BC831" s="169"/>
    </row>
    <row r="832" spans="19:55" ht="15.75" customHeight="1">
      <c r="S832" s="454"/>
      <c r="BA832" s="1305"/>
      <c r="BC832" s="169"/>
    </row>
    <row r="833" spans="19:55" ht="15.75" customHeight="1">
      <c r="S833" s="454"/>
      <c r="BA833" s="1305"/>
      <c r="BC833" s="169"/>
    </row>
    <row r="834" spans="19:55" ht="15.75" customHeight="1">
      <c r="S834" s="454"/>
      <c r="BA834" s="1305"/>
      <c r="BC834" s="169"/>
    </row>
    <row r="835" spans="19:55" ht="15.75" customHeight="1">
      <c r="S835" s="454"/>
      <c r="BA835" s="1305"/>
      <c r="BC835" s="169"/>
    </row>
    <row r="836" spans="19:55" ht="15.75" customHeight="1">
      <c r="S836" s="454"/>
      <c r="BA836" s="1305"/>
      <c r="BC836" s="169"/>
    </row>
    <row r="837" spans="19:55" ht="15.75" customHeight="1">
      <c r="S837" s="454"/>
      <c r="BA837" s="1305"/>
      <c r="BC837" s="169"/>
    </row>
    <row r="838" spans="19:55" ht="15.75" customHeight="1">
      <c r="S838" s="454"/>
      <c r="BA838" s="1305"/>
      <c r="BC838" s="169"/>
    </row>
    <row r="839" spans="19:55" ht="15.75" customHeight="1">
      <c r="S839" s="454"/>
      <c r="BA839" s="1305"/>
      <c r="BC839" s="169"/>
    </row>
    <row r="840" spans="19:55" ht="15.75" customHeight="1">
      <c r="S840" s="454"/>
      <c r="BA840" s="1305"/>
      <c r="BC840" s="169"/>
    </row>
    <row r="841" spans="19:55" ht="15.75" customHeight="1">
      <c r="S841" s="454"/>
      <c r="BA841" s="1305"/>
      <c r="BC841" s="169"/>
    </row>
    <row r="842" spans="19:55" ht="15.75" customHeight="1">
      <c r="S842" s="454"/>
      <c r="BA842" s="1305"/>
      <c r="BC842" s="169"/>
    </row>
    <row r="843" spans="19:55" ht="15.75" customHeight="1">
      <c r="S843" s="454"/>
      <c r="BA843" s="1305"/>
      <c r="BC843" s="169"/>
    </row>
    <row r="844" spans="19:55" ht="15.75" customHeight="1">
      <c r="S844" s="454"/>
      <c r="BA844" s="1305"/>
      <c r="BC844" s="169"/>
    </row>
    <row r="845" spans="19:55" ht="15.75" customHeight="1">
      <c r="S845" s="454"/>
      <c r="BA845" s="1305"/>
      <c r="BC845" s="169"/>
    </row>
    <row r="846" spans="19:55" ht="15.75" customHeight="1">
      <c r="S846" s="454"/>
      <c r="BA846" s="1305"/>
      <c r="BC846" s="169"/>
    </row>
    <row r="847" spans="19:55" ht="15.75" customHeight="1">
      <c r="S847" s="454"/>
      <c r="BA847" s="1305"/>
      <c r="BC847" s="169"/>
    </row>
    <row r="848" spans="19:55" ht="15.75" customHeight="1">
      <c r="S848" s="454"/>
      <c r="BA848" s="1305"/>
      <c r="BC848" s="169"/>
    </row>
    <row r="849" spans="19:55" ht="15.75" customHeight="1">
      <c r="S849" s="454"/>
      <c r="BA849" s="1305"/>
      <c r="BC849" s="169"/>
    </row>
    <row r="850" spans="19:55" ht="15.75" customHeight="1">
      <c r="S850" s="454"/>
      <c r="BA850" s="1305"/>
      <c r="BC850" s="169"/>
    </row>
    <row r="851" spans="19:55" ht="15.75" customHeight="1">
      <c r="S851" s="454"/>
      <c r="BA851" s="1305"/>
      <c r="BC851" s="169"/>
    </row>
    <row r="852" spans="19:55" ht="15.75" customHeight="1">
      <c r="S852" s="454"/>
      <c r="BA852" s="1305"/>
      <c r="BC852" s="169"/>
    </row>
    <row r="853" spans="19:55" ht="15.75" customHeight="1">
      <c r="S853" s="454"/>
      <c r="BA853" s="1305"/>
      <c r="BC853" s="169"/>
    </row>
    <row r="854" spans="19:55" ht="15.75" customHeight="1">
      <c r="S854" s="454"/>
      <c r="BA854" s="1305"/>
      <c r="BC854" s="169"/>
    </row>
    <row r="855" spans="19:55" ht="15.75" customHeight="1">
      <c r="S855" s="454"/>
      <c r="BA855" s="1305"/>
      <c r="BC855" s="169"/>
    </row>
    <row r="856" spans="19:55" ht="15.75" customHeight="1">
      <c r="S856" s="454"/>
      <c r="BA856" s="1305"/>
      <c r="BC856" s="169"/>
    </row>
    <row r="857" spans="19:55" ht="15.75" customHeight="1">
      <c r="S857" s="454"/>
      <c r="BA857" s="1305"/>
      <c r="BC857" s="169"/>
    </row>
    <row r="858" spans="19:55" ht="15.75" customHeight="1">
      <c r="S858" s="454"/>
      <c r="BA858" s="1305"/>
      <c r="BC858" s="169"/>
    </row>
    <row r="859" spans="19:55" ht="15.75" customHeight="1">
      <c r="S859" s="454"/>
      <c r="BA859" s="1305"/>
      <c r="BC859" s="169"/>
    </row>
    <row r="860" spans="19:55" ht="15.75" customHeight="1">
      <c r="S860" s="454"/>
      <c r="BA860" s="1305"/>
      <c r="BC860" s="169"/>
    </row>
    <row r="861" spans="19:55" ht="15.75" customHeight="1">
      <c r="S861" s="454"/>
      <c r="BA861" s="1305"/>
      <c r="BC861" s="169"/>
    </row>
    <row r="862" spans="19:55" ht="15.75" customHeight="1">
      <c r="S862" s="454"/>
      <c r="BA862" s="1305"/>
      <c r="BC862" s="169"/>
    </row>
    <row r="863" spans="19:55" ht="15.75" customHeight="1">
      <c r="S863" s="454"/>
      <c r="BA863" s="1305"/>
      <c r="BC863" s="169"/>
    </row>
    <row r="864" spans="19:55" ht="15.75" customHeight="1">
      <c r="S864" s="454"/>
      <c r="BA864" s="1305"/>
      <c r="BC864" s="169"/>
    </row>
    <row r="865" spans="19:55" ht="15.75" customHeight="1">
      <c r="S865" s="454"/>
      <c r="BA865" s="1305"/>
      <c r="BC865" s="169"/>
    </row>
    <row r="866" spans="19:55" ht="15.75" customHeight="1">
      <c r="S866" s="454"/>
      <c r="BA866" s="1305"/>
      <c r="BC866" s="169"/>
    </row>
    <row r="867" spans="19:55" ht="15.75" customHeight="1">
      <c r="S867" s="454"/>
      <c r="BA867" s="1305"/>
      <c r="BC867" s="169"/>
    </row>
    <row r="868" spans="19:55" ht="15.75" customHeight="1">
      <c r="S868" s="454"/>
      <c r="BA868" s="1305"/>
      <c r="BC868" s="169"/>
    </row>
    <row r="869" spans="19:55" ht="15.75" customHeight="1">
      <c r="S869" s="454"/>
      <c r="BA869" s="1305"/>
      <c r="BC869" s="169"/>
    </row>
    <row r="870" spans="19:55" ht="15.75" customHeight="1">
      <c r="S870" s="454"/>
      <c r="BA870" s="1305"/>
      <c r="BC870" s="169"/>
    </row>
    <row r="871" spans="19:55" ht="15.75" customHeight="1">
      <c r="S871" s="454"/>
      <c r="BA871" s="1305"/>
      <c r="BC871" s="169"/>
    </row>
    <row r="872" spans="19:55" ht="15.75" customHeight="1">
      <c r="S872" s="454"/>
      <c r="BA872" s="1305"/>
      <c r="BC872" s="169"/>
    </row>
    <row r="873" spans="19:55" ht="15.75" customHeight="1">
      <c r="S873" s="454"/>
      <c r="BA873" s="1305"/>
      <c r="BC873" s="169"/>
    </row>
    <row r="874" spans="19:55" ht="15.75" customHeight="1">
      <c r="S874" s="454"/>
      <c r="BA874" s="1305"/>
      <c r="BC874" s="169"/>
    </row>
    <row r="875" spans="19:55" ht="15.75" customHeight="1">
      <c r="S875" s="454"/>
      <c r="BA875" s="1305"/>
      <c r="BC875" s="169"/>
    </row>
    <row r="876" spans="19:55" ht="15.75" customHeight="1">
      <c r="S876" s="454"/>
      <c r="BA876" s="1305"/>
      <c r="BC876" s="169"/>
    </row>
    <row r="877" spans="19:55" ht="15.75" customHeight="1">
      <c r="S877" s="454"/>
      <c r="BA877" s="1305"/>
      <c r="BC877" s="169"/>
    </row>
    <row r="878" spans="19:55" ht="15.75" customHeight="1">
      <c r="S878" s="454"/>
      <c r="BA878" s="1305"/>
      <c r="BC878" s="169"/>
    </row>
    <row r="879" spans="19:55" ht="15.75" customHeight="1">
      <c r="S879" s="454"/>
      <c r="BA879" s="1305"/>
      <c r="BC879" s="169"/>
    </row>
    <row r="880" spans="19:55" ht="15.75" customHeight="1">
      <c r="S880" s="454"/>
      <c r="BA880" s="1305"/>
      <c r="BC880" s="169"/>
    </row>
    <row r="881" spans="19:55" ht="15.75" customHeight="1">
      <c r="S881" s="454"/>
      <c r="BA881" s="1305"/>
      <c r="BC881" s="169"/>
    </row>
    <row r="882" spans="19:55" ht="15.75" customHeight="1">
      <c r="S882" s="454"/>
      <c r="BA882" s="1305"/>
      <c r="BC882" s="169"/>
    </row>
    <row r="883" spans="19:55" ht="15.75" customHeight="1">
      <c r="S883" s="454"/>
      <c r="BA883" s="1305"/>
      <c r="BC883" s="169"/>
    </row>
    <row r="884" spans="19:55" ht="15.75" customHeight="1">
      <c r="S884" s="454"/>
      <c r="BA884" s="1305"/>
      <c r="BC884" s="169"/>
    </row>
    <row r="885" spans="19:55" ht="15.75" customHeight="1">
      <c r="S885" s="454"/>
      <c r="BA885" s="1305"/>
      <c r="BC885" s="169"/>
    </row>
    <row r="886" spans="19:55" ht="15.75" customHeight="1">
      <c r="S886" s="454"/>
      <c r="BA886" s="1305"/>
      <c r="BC886" s="169"/>
    </row>
    <row r="887" spans="19:55" ht="15.75" customHeight="1">
      <c r="S887" s="454"/>
      <c r="BA887" s="1305"/>
      <c r="BC887" s="169"/>
    </row>
    <row r="888" spans="19:55" ht="15.75" customHeight="1">
      <c r="S888" s="454"/>
      <c r="BA888" s="1305"/>
      <c r="BC888" s="169"/>
    </row>
    <row r="889" spans="19:55" ht="15.75" customHeight="1">
      <c r="S889" s="454"/>
      <c r="BA889" s="1305"/>
      <c r="BC889" s="169"/>
    </row>
    <row r="890" spans="19:55" ht="15.75" customHeight="1">
      <c r="S890" s="454"/>
      <c r="BA890" s="1305"/>
      <c r="BC890" s="169"/>
    </row>
    <row r="891" spans="19:55" ht="15.75" customHeight="1">
      <c r="S891" s="454"/>
      <c r="BA891" s="1305"/>
      <c r="BC891" s="169"/>
    </row>
    <row r="892" spans="19:55" ht="15.75" customHeight="1">
      <c r="S892" s="454"/>
      <c r="BA892" s="1305"/>
      <c r="BC892" s="169"/>
    </row>
    <row r="893" spans="19:55" ht="15.75" customHeight="1">
      <c r="S893" s="454"/>
      <c r="BA893" s="1305"/>
      <c r="BC893" s="169"/>
    </row>
    <row r="894" spans="19:55" ht="15.75" customHeight="1">
      <c r="S894" s="454"/>
      <c r="BA894" s="1305"/>
      <c r="BC894" s="169"/>
    </row>
    <row r="895" spans="19:55" ht="15.75" customHeight="1">
      <c r="S895" s="454"/>
      <c r="BA895" s="1305"/>
      <c r="BC895" s="169"/>
    </row>
    <row r="896" spans="19:55" ht="15.75" customHeight="1">
      <c r="S896" s="454"/>
      <c r="BA896" s="1305"/>
      <c r="BC896" s="169"/>
    </row>
    <row r="897" spans="19:55" ht="15.75" customHeight="1">
      <c r="S897" s="454"/>
      <c r="BA897" s="1305"/>
      <c r="BC897" s="169"/>
    </row>
    <row r="898" spans="19:55" ht="15.75" customHeight="1">
      <c r="S898" s="454"/>
      <c r="BA898" s="1305"/>
      <c r="BC898" s="169"/>
    </row>
    <row r="899" spans="19:55" ht="15.75" customHeight="1">
      <c r="S899" s="454"/>
      <c r="BA899" s="1305"/>
      <c r="BC899" s="169"/>
    </row>
    <row r="900" spans="19:55" ht="15.75" customHeight="1">
      <c r="S900" s="454"/>
      <c r="BA900" s="1305"/>
      <c r="BC900" s="169"/>
    </row>
    <row r="901" spans="19:55" ht="15.75" customHeight="1">
      <c r="S901" s="454"/>
      <c r="BA901" s="1305"/>
      <c r="BC901" s="169"/>
    </row>
    <row r="902" spans="19:55" ht="15.75" customHeight="1">
      <c r="S902" s="454"/>
      <c r="BA902" s="1305"/>
      <c r="BC902" s="169"/>
    </row>
    <row r="903" spans="19:55" ht="15.75" customHeight="1">
      <c r="S903" s="454"/>
      <c r="BA903" s="1305"/>
      <c r="BC903" s="169"/>
    </row>
    <row r="904" spans="19:55" ht="15.75" customHeight="1">
      <c r="S904" s="454"/>
      <c r="BA904" s="1305"/>
      <c r="BC904" s="169"/>
    </row>
    <row r="905" spans="19:55" ht="15.75" customHeight="1">
      <c r="S905" s="454"/>
      <c r="BA905" s="1305"/>
      <c r="BC905" s="169"/>
    </row>
    <row r="906" spans="19:55" ht="15.75" customHeight="1">
      <c r="S906" s="454"/>
      <c r="BA906" s="1305"/>
      <c r="BC906" s="169"/>
    </row>
    <row r="907" spans="19:55" ht="15.75" customHeight="1">
      <c r="S907" s="454"/>
      <c r="BA907" s="1305"/>
      <c r="BC907" s="169"/>
    </row>
    <row r="908" spans="19:55" ht="15.75" customHeight="1">
      <c r="S908" s="454"/>
      <c r="BA908" s="1305"/>
      <c r="BC908" s="169"/>
    </row>
    <row r="909" spans="19:55" ht="15.75" customHeight="1">
      <c r="S909" s="454"/>
      <c r="BA909" s="1305"/>
      <c r="BC909" s="169"/>
    </row>
    <row r="910" spans="19:55" ht="15.75" customHeight="1">
      <c r="S910" s="454"/>
      <c r="BA910" s="1305"/>
      <c r="BC910" s="169"/>
    </row>
    <row r="911" spans="19:55" ht="15.75" customHeight="1">
      <c r="S911" s="454"/>
      <c r="BA911" s="1305"/>
      <c r="BC911" s="169"/>
    </row>
    <row r="912" spans="19:55" ht="15.75" customHeight="1">
      <c r="S912" s="454"/>
      <c r="BA912" s="1305"/>
      <c r="BC912" s="169"/>
    </row>
    <row r="913" spans="19:55" ht="15.75" customHeight="1">
      <c r="S913" s="454"/>
      <c r="BA913" s="1305"/>
      <c r="BC913" s="169"/>
    </row>
    <row r="914" spans="19:55" ht="15.75" customHeight="1">
      <c r="S914" s="454"/>
      <c r="BA914" s="1305"/>
      <c r="BC914" s="169"/>
    </row>
    <row r="915" spans="19:55" ht="15.75" customHeight="1">
      <c r="S915" s="454"/>
      <c r="BA915" s="1305"/>
      <c r="BC915" s="169"/>
    </row>
    <row r="916" spans="19:55" ht="15.75" customHeight="1">
      <c r="S916" s="454"/>
      <c r="BA916" s="1305"/>
      <c r="BC916" s="169"/>
    </row>
    <row r="917" spans="19:55" ht="15.75" customHeight="1">
      <c r="S917" s="454"/>
      <c r="BA917" s="1305"/>
      <c r="BC917" s="169"/>
    </row>
    <row r="918" spans="19:55" ht="15.75" customHeight="1">
      <c r="S918" s="454"/>
      <c r="BA918" s="1305"/>
      <c r="BC918" s="169"/>
    </row>
    <row r="919" spans="19:55" ht="15.75" customHeight="1">
      <c r="S919" s="454"/>
      <c r="BA919" s="1305"/>
      <c r="BC919" s="169"/>
    </row>
    <row r="920" spans="19:55" ht="15.75" customHeight="1">
      <c r="S920" s="454"/>
      <c r="BA920" s="1305"/>
      <c r="BC920" s="169"/>
    </row>
    <row r="921" spans="19:55" ht="15.75" customHeight="1">
      <c r="S921" s="454"/>
      <c r="BA921" s="1305"/>
      <c r="BC921" s="169"/>
    </row>
    <row r="922" spans="19:55" ht="15.75" customHeight="1">
      <c r="S922" s="454"/>
      <c r="BA922" s="1305"/>
      <c r="BC922" s="169"/>
    </row>
    <row r="923" spans="19:55" ht="15.75" customHeight="1">
      <c r="S923" s="454"/>
      <c r="BA923" s="1305"/>
      <c r="BC923" s="169"/>
    </row>
    <row r="924" spans="19:55" ht="15.75" customHeight="1">
      <c r="S924" s="454"/>
      <c r="BA924" s="1305"/>
      <c r="BC924" s="169"/>
    </row>
    <row r="925" spans="19:55" ht="15.75" customHeight="1">
      <c r="S925" s="454"/>
      <c r="BA925" s="1305"/>
      <c r="BC925" s="169"/>
    </row>
    <row r="926" spans="19:55" ht="15.75" customHeight="1">
      <c r="S926" s="454"/>
      <c r="BA926" s="1305"/>
      <c r="BC926" s="169"/>
    </row>
    <row r="927" spans="19:55" ht="15.75" customHeight="1">
      <c r="S927" s="454"/>
      <c r="BA927" s="1305"/>
      <c r="BC927" s="169"/>
    </row>
    <row r="928" spans="19:55" ht="15.75" customHeight="1">
      <c r="S928" s="454"/>
      <c r="BA928" s="1305"/>
      <c r="BC928" s="169"/>
    </row>
    <row r="929" spans="19:55" ht="15.75" customHeight="1">
      <c r="S929" s="454"/>
      <c r="BA929" s="1305"/>
      <c r="BC929" s="169"/>
    </row>
    <row r="930" spans="19:55" ht="15.75" customHeight="1">
      <c r="S930" s="454"/>
      <c r="BA930" s="1305"/>
      <c r="BC930" s="169"/>
    </row>
    <row r="931" spans="19:55" ht="15.75" customHeight="1">
      <c r="S931" s="454"/>
      <c r="BA931" s="1305"/>
      <c r="BC931" s="169"/>
    </row>
    <row r="932" spans="19:55" ht="15.75" customHeight="1">
      <c r="S932" s="454"/>
      <c r="BA932" s="1305"/>
      <c r="BC932" s="169"/>
    </row>
    <row r="933" spans="19:55" ht="15.75" customHeight="1">
      <c r="S933" s="454"/>
      <c r="BA933" s="1305"/>
      <c r="BC933" s="169"/>
    </row>
    <row r="934" spans="19:55" ht="15.75" customHeight="1">
      <c r="S934" s="454"/>
      <c r="BA934" s="1305"/>
      <c r="BC934" s="169"/>
    </row>
    <row r="935" spans="19:55" ht="15.75" customHeight="1">
      <c r="S935" s="454"/>
      <c r="BA935" s="1305"/>
      <c r="BC935" s="169"/>
    </row>
    <row r="936" spans="19:55" ht="15.75" customHeight="1">
      <c r="S936" s="454"/>
      <c r="BA936" s="1305"/>
      <c r="BC936" s="169"/>
    </row>
    <row r="937" spans="19:55" ht="15.75" customHeight="1">
      <c r="S937" s="454"/>
      <c r="BA937" s="1305"/>
      <c r="BC937" s="169"/>
    </row>
    <row r="938" spans="19:55" ht="15.75" customHeight="1">
      <c r="S938" s="454"/>
      <c r="BA938" s="1305"/>
      <c r="BC938" s="169"/>
    </row>
    <row r="939" spans="19:55" ht="15.75" customHeight="1">
      <c r="S939" s="454"/>
      <c r="BA939" s="1305"/>
      <c r="BC939" s="169"/>
    </row>
    <row r="940" spans="19:55" ht="15.75" customHeight="1">
      <c r="S940" s="454"/>
      <c r="BA940" s="1305"/>
      <c r="BC940" s="169"/>
    </row>
    <row r="941" spans="19:55" ht="15.75" customHeight="1">
      <c r="S941" s="454"/>
      <c r="BA941" s="1305"/>
      <c r="BC941" s="169"/>
    </row>
    <row r="942" spans="19:55" ht="15.75" customHeight="1">
      <c r="S942" s="454"/>
      <c r="BA942" s="1305"/>
      <c r="BC942" s="169"/>
    </row>
    <row r="943" spans="19:55" ht="15.75" customHeight="1">
      <c r="S943" s="454"/>
      <c r="BA943" s="1305"/>
      <c r="BC943" s="169"/>
    </row>
    <row r="944" spans="19:55" ht="15.75" customHeight="1">
      <c r="S944" s="454"/>
      <c r="BA944" s="1305"/>
      <c r="BC944" s="169"/>
    </row>
    <row r="945" spans="19:55" ht="15.75" customHeight="1">
      <c r="S945" s="454"/>
      <c r="BA945" s="1305"/>
      <c r="BC945" s="169"/>
    </row>
    <row r="946" spans="19:55" ht="15.75" customHeight="1">
      <c r="S946" s="454"/>
      <c r="BA946" s="1305"/>
      <c r="BC946" s="169"/>
    </row>
    <row r="947" spans="19:55" ht="15.75" customHeight="1">
      <c r="S947" s="454"/>
      <c r="BA947" s="1305"/>
      <c r="BC947" s="169"/>
    </row>
    <row r="948" spans="19:55" ht="15.75" customHeight="1">
      <c r="S948" s="454"/>
      <c r="BA948" s="1305"/>
      <c r="BC948" s="169"/>
    </row>
    <row r="949" spans="19:55" ht="15.75" customHeight="1">
      <c r="S949" s="454"/>
      <c r="BA949" s="1305"/>
      <c r="BC949" s="169"/>
    </row>
    <row r="950" spans="19:55" ht="15.75" customHeight="1">
      <c r="S950" s="454"/>
      <c r="BA950" s="1305"/>
      <c r="BC950" s="169"/>
    </row>
    <row r="951" spans="19:55" ht="15.75" customHeight="1">
      <c r="S951" s="454"/>
      <c r="BA951" s="1305"/>
      <c r="BC951" s="169"/>
    </row>
    <row r="952" spans="19:55" ht="15.75" customHeight="1">
      <c r="S952" s="454"/>
      <c r="BA952" s="1305"/>
      <c r="BC952" s="169"/>
    </row>
    <row r="953" spans="19:55" ht="15.75" customHeight="1">
      <c r="S953" s="454"/>
      <c r="BA953" s="1305"/>
      <c r="BC953" s="169"/>
    </row>
    <row r="954" spans="19:55" ht="15.75" customHeight="1">
      <c r="S954" s="454"/>
      <c r="BA954" s="1305"/>
      <c r="BC954" s="169"/>
    </row>
    <row r="955" spans="19:55" ht="15.75" customHeight="1">
      <c r="S955" s="454"/>
      <c r="BA955" s="1305"/>
      <c r="BC955" s="169"/>
    </row>
    <row r="956" spans="19:55" ht="15.75" customHeight="1">
      <c r="S956" s="454"/>
      <c r="BA956" s="1305"/>
      <c r="BC956" s="169"/>
    </row>
    <row r="957" spans="19:55" ht="15.75" customHeight="1">
      <c r="S957" s="454"/>
      <c r="BA957" s="1305"/>
      <c r="BC957" s="169"/>
    </row>
    <row r="958" spans="19:55" ht="15.75" customHeight="1">
      <c r="S958" s="454"/>
      <c r="BA958" s="1305"/>
      <c r="BC958" s="169"/>
    </row>
    <row r="959" spans="19:55" ht="15.75" customHeight="1">
      <c r="S959" s="454"/>
      <c r="BA959" s="1305"/>
      <c r="BC959" s="169"/>
    </row>
    <row r="960" spans="19:55" ht="15.75" customHeight="1">
      <c r="S960" s="454"/>
      <c r="BA960" s="1305"/>
      <c r="BC960" s="169"/>
    </row>
    <row r="961" spans="19:55" ht="15.75" customHeight="1">
      <c r="S961" s="454"/>
      <c r="BA961" s="1305"/>
      <c r="BC961" s="169"/>
    </row>
    <row r="962" spans="19:55" ht="15.75" customHeight="1">
      <c r="S962" s="454"/>
      <c r="BA962" s="1305"/>
      <c r="BC962" s="169"/>
    </row>
    <row r="963" spans="19:55" ht="15.75" customHeight="1">
      <c r="S963" s="454"/>
      <c r="BA963" s="1305"/>
      <c r="BC963" s="169"/>
    </row>
    <row r="964" spans="19:55" ht="15.75" customHeight="1">
      <c r="S964" s="454"/>
      <c r="BA964" s="1305"/>
      <c r="BC964" s="169"/>
    </row>
    <row r="965" spans="19:55" ht="15.75" customHeight="1">
      <c r="S965" s="454"/>
      <c r="BA965" s="1305"/>
      <c r="BC965" s="169"/>
    </row>
    <row r="966" spans="19:55" ht="15.75" customHeight="1">
      <c r="S966" s="454"/>
      <c r="BA966" s="1305"/>
      <c r="BC966" s="169"/>
    </row>
    <row r="967" spans="19:55" ht="15.75" customHeight="1">
      <c r="S967" s="454"/>
      <c r="BA967" s="1305"/>
      <c r="BC967" s="169"/>
    </row>
    <row r="968" spans="19:55" ht="15.75" customHeight="1">
      <c r="S968" s="454"/>
      <c r="BA968" s="1305"/>
      <c r="BC968" s="169"/>
    </row>
    <row r="969" spans="19:55" ht="15.75" customHeight="1">
      <c r="S969" s="454"/>
      <c r="BA969" s="1305"/>
      <c r="BC969" s="169"/>
    </row>
    <row r="970" spans="19:55" ht="15.75" customHeight="1">
      <c r="S970" s="454"/>
      <c r="BA970" s="1305"/>
      <c r="BC970" s="169"/>
    </row>
    <row r="971" spans="19:55" ht="15.75" customHeight="1">
      <c r="S971" s="454"/>
      <c r="BA971" s="1305"/>
      <c r="BC971" s="169"/>
    </row>
    <row r="972" spans="19:55" ht="15.75" customHeight="1">
      <c r="S972" s="454"/>
      <c r="BA972" s="1305"/>
      <c r="BC972" s="169"/>
    </row>
    <row r="973" spans="19:55" ht="15.75" customHeight="1">
      <c r="S973" s="454"/>
      <c r="BA973" s="1305"/>
      <c r="BC973" s="169"/>
    </row>
    <row r="974" spans="19:55" ht="15.75" customHeight="1">
      <c r="S974" s="454"/>
      <c r="BA974" s="1305"/>
      <c r="BC974" s="169"/>
    </row>
    <row r="975" spans="19:55" ht="15.75" customHeight="1">
      <c r="S975" s="454"/>
      <c r="BA975" s="1305"/>
      <c r="BC975" s="169"/>
    </row>
    <row r="976" spans="19:55" ht="15.75" customHeight="1">
      <c r="S976" s="454"/>
      <c r="BA976" s="1305"/>
      <c r="BC976" s="169"/>
    </row>
    <row r="977" spans="19:55" ht="15.75" customHeight="1">
      <c r="S977" s="454"/>
      <c r="BA977" s="1305"/>
      <c r="BC977" s="169"/>
    </row>
    <row r="978" spans="19:55" ht="15.75" customHeight="1">
      <c r="S978" s="454"/>
      <c r="BA978" s="1305"/>
      <c r="BC978" s="169"/>
    </row>
    <row r="979" spans="19:55" ht="15.75" customHeight="1">
      <c r="S979" s="454"/>
      <c r="BA979" s="1305"/>
      <c r="BC979" s="169"/>
    </row>
    <row r="980" spans="19:55" ht="15.75" customHeight="1">
      <c r="S980" s="454"/>
      <c r="BA980" s="1305"/>
      <c r="BC980" s="169"/>
    </row>
    <row r="981" spans="19:55" ht="15.75" customHeight="1">
      <c r="S981" s="454"/>
      <c r="BA981" s="1305"/>
      <c r="BC981" s="169"/>
    </row>
    <row r="982" spans="19:55" ht="15.75" customHeight="1">
      <c r="S982" s="454"/>
      <c r="BA982" s="1305"/>
      <c r="BC982" s="169"/>
    </row>
    <row r="983" spans="19:55" ht="15.75" customHeight="1">
      <c r="S983" s="454"/>
      <c r="BA983" s="1305"/>
      <c r="BC983" s="169"/>
    </row>
    <row r="984" spans="19:55" ht="15.75" customHeight="1">
      <c r="S984" s="454"/>
      <c r="BA984" s="1305"/>
      <c r="BC984" s="169"/>
    </row>
    <row r="985" spans="19:55" ht="15.75" customHeight="1">
      <c r="S985" s="454"/>
      <c r="BA985" s="1305"/>
      <c r="BC985" s="169"/>
    </row>
    <row r="986" spans="19:55" ht="15.75" customHeight="1">
      <c r="S986" s="454"/>
      <c r="BA986" s="1305"/>
      <c r="BC986" s="169"/>
    </row>
    <row r="987" spans="19:55" ht="15.75" customHeight="1">
      <c r="S987" s="454"/>
      <c r="BA987" s="1305"/>
      <c r="BC987" s="169"/>
    </row>
    <row r="988" spans="19:55" ht="15.75" customHeight="1">
      <c r="S988" s="454"/>
      <c r="BA988" s="1305"/>
      <c r="BC988" s="169"/>
    </row>
    <row r="989" spans="19:55" ht="15.75" customHeight="1">
      <c r="S989" s="454"/>
      <c r="BA989" s="1305"/>
      <c r="BC989" s="169"/>
    </row>
    <row r="990" spans="19:55" ht="15.75" customHeight="1">
      <c r="S990" s="454"/>
      <c r="BA990" s="1305"/>
      <c r="BC990" s="169"/>
    </row>
    <row r="991" spans="19:55" ht="15.75" customHeight="1">
      <c r="S991" s="454"/>
      <c r="BA991" s="1305"/>
      <c r="BC991" s="169"/>
    </row>
    <row r="992" spans="19:55" ht="15.75" customHeight="1">
      <c r="S992" s="454"/>
      <c r="BA992" s="1305"/>
      <c r="BC992" s="169"/>
    </row>
    <row r="993" spans="19:55" ht="15.75" customHeight="1">
      <c r="S993" s="454"/>
      <c r="BA993" s="1305"/>
      <c r="BC993" s="169"/>
    </row>
    <row r="994" spans="19:55" ht="15.75" customHeight="1">
      <c r="S994" s="454"/>
      <c r="BA994" s="1305"/>
      <c r="BC994" s="169"/>
    </row>
    <row r="995" spans="19:55" ht="15.75" customHeight="1">
      <c r="S995" s="454"/>
      <c r="BA995" s="1305"/>
      <c r="BC995" s="169"/>
    </row>
    <row r="996" spans="19:55" ht="15.75" customHeight="1">
      <c r="S996" s="454"/>
      <c r="BA996" s="1305"/>
      <c r="BC996" s="169"/>
    </row>
    <row r="997" spans="19:55" ht="15.75" customHeight="1">
      <c r="S997" s="454"/>
      <c r="BA997" s="1305"/>
      <c r="BC997" s="169"/>
    </row>
    <row r="998" spans="19:55" ht="15.75" customHeight="1">
      <c r="S998" s="454"/>
      <c r="BA998" s="1305"/>
      <c r="BC998" s="169"/>
    </row>
    <row r="999" spans="19:55" ht="15.75" customHeight="1">
      <c r="S999" s="454"/>
      <c r="BA999" s="1305"/>
      <c r="BC999" s="169"/>
    </row>
    <row r="1000" spans="19:55" ht="15.75" customHeight="1">
      <c r="S1000" s="454"/>
      <c r="BA1000" s="1305"/>
      <c r="BC1000" s="169"/>
    </row>
    <row r="1001" spans="19:55" ht="15.75" customHeight="1">
      <c r="S1001" s="454"/>
      <c r="BA1001" s="1305"/>
      <c r="BC1001" s="169"/>
    </row>
    <row r="1002" spans="19:55" ht="15.75" customHeight="1">
      <c r="S1002" s="454"/>
      <c r="BA1002" s="1305"/>
      <c r="BC1002" s="169"/>
    </row>
    <row r="1003" spans="19:55" ht="15.75" customHeight="1">
      <c r="S1003" s="454"/>
      <c r="BA1003" s="1305"/>
      <c r="BC1003" s="169"/>
    </row>
    <row r="1004" spans="19:55" ht="15.75" customHeight="1">
      <c r="S1004" s="454"/>
      <c r="BA1004" s="1305"/>
      <c r="BC1004" s="169"/>
    </row>
    <row r="1005" spans="19:55" ht="15.75" customHeight="1">
      <c r="S1005" s="454"/>
      <c r="BA1005" s="1305"/>
      <c r="BC1005" s="169"/>
    </row>
    <row r="1006" spans="19:55" ht="15.75" customHeight="1">
      <c r="S1006" s="454"/>
      <c r="BA1006" s="1305"/>
      <c r="BC1006" s="169"/>
    </row>
    <row r="1007" spans="19:55" ht="15.75" customHeight="1">
      <c r="S1007" s="454"/>
      <c r="BA1007" s="1305"/>
      <c r="BC1007" s="169"/>
    </row>
    <row r="1008" spans="19:55" ht="15.75" customHeight="1">
      <c r="S1008" s="454"/>
      <c r="BA1008" s="1305"/>
      <c r="BC1008" s="169"/>
    </row>
    <row r="1009" spans="19:55" ht="15.75" customHeight="1">
      <c r="S1009" s="454"/>
      <c r="BA1009" s="1305"/>
      <c r="BC1009" s="169"/>
    </row>
    <row r="1010" spans="19:55" ht="15.75" customHeight="1">
      <c r="S1010" s="454"/>
      <c r="BA1010" s="1305"/>
      <c r="BC1010" s="169"/>
    </row>
    <row r="1011" spans="19:55" ht="15.75" customHeight="1">
      <c r="S1011" s="454"/>
      <c r="BA1011" s="1305"/>
      <c r="BC1011" s="169"/>
    </row>
    <row r="1012" spans="19:55" ht="15.75" customHeight="1">
      <c r="S1012" s="454"/>
      <c r="BA1012" s="1305"/>
      <c r="BC1012" s="169"/>
    </row>
    <row r="1013" spans="19:55" ht="15.75" customHeight="1">
      <c r="S1013" s="454"/>
      <c r="BA1013" s="1305"/>
      <c r="BC1013" s="169"/>
    </row>
    <row r="1014" spans="19:55" ht="15.75" customHeight="1">
      <c r="S1014" s="454"/>
      <c r="BA1014" s="1305"/>
      <c r="BC1014" s="169"/>
    </row>
    <row r="1015" spans="19:55" ht="15.75" customHeight="1">
      <c r="S1015" s="454"/>
      <c r="BA1015" s="1305"/>
      <c r="BC1015" s="169"/>
    </row>
    <row r="1016" spans="19:55" ht="15.75" customHeight="1">
      <c r="S1016" s="454"/>
      <c r="BA1016" s="1305"/>
      <c r="BC1016" s="169"/>
    </row>
    <row r="1017" spans="19:55" ht="15.75" customHeight="1">
      <c r="S1017" s="454"/>
      <c r="BA1017" s="1305"/>
      <c r="BC1017" s="169"/>
    </row>
    <row r="1018" spans="19:55" ht="15.75" customHeight="1">
      <c r="S1018" s="454"/>
      <c r="BA1018" s="1305"/>
      <c r="BC1018" s="169"/>
    </row>
    <row r="1019" spans="19:55" ht="15.75" customHeight="1">
      <c r="S1019" s="454"/>
      <c r="BA1019" s="1305"/>
      <c r="BC1019" s="169"/>
    </row>
    <row r="1020" spans="19:55" ht="15.75" customHeight="1">
      <c r="S1020" s="454"/>
      <c r="BA1020" s="1305"/>
      <c r="BC1020" s="169"/>
    </row>
    <row r="1021" spans="19:55" ht="15.75" customHeight="1">
      <c r="S1021" s="454"/>
      <c r="BA1021" s="1305"/>
      <c r="BC1021" s="169"/>
    </row>
    <row r="1022" spans="19:55" ht="15.75" customHeight="1">
      <c r="S1022" s="454"/>
      <c r="BA1022" s="1305"/>
      <c r="BC1022" s="169"/>
    </row>
    <row r="1023" spans="19:55" ht="15.75" customHeight="1">
      <c r="S1023" s="454"/>
      <c r="BA1023" s="1305"/>
      <c r="BC1023" s="169"/>
    </row>
    <row r="1024" spans="19:55" ht="15.75" customHeight="1">
      <c r="S1024" s="454"/>
      <c r="BA1024" s="1305"/>
      <c r="BC1024" s="169"/>
    </row>
    <row r="1025" spans="19:55" ht="15.75" customHeight="1">
      <c r="S1025" s="454"/>
      <c r="BA1025" s="1305"/>
      <c r="BC1025" s="169"/>
    </row>
    <row r="1026" spans="19:55" ht="15.75" customHeight="1">
      <c r="S1026" s="454"/>
      <c r="BA1026" s="1305"/>
      <c r="BC1026" s="169"/>
    </row>
    <row r="1027" spans="19:55" ht="15.75" customHeight="1">
      <c r="S1027" s="454"/>
      <c r="BA1027" s="1305"/>
      <c r="BC1027" s="169"/>
    </row>
    <row r="1028" spans="19:55" ht="15.75" customHeight="1">
      <c r="S1028" s="454"/>
      <c r="BA1028" s="1305"/>
      <c r="BC1028" s="169"/>
    </row>
    <row r="1029" spans="19:55" ht="15.75" customHeight="1">
      <c r="S1029" s="454"/>
      <c r="BA1029" s="1305"/>
      <c r="BC1029" s="169"/>
    </row>
    <row r="1030" spans="19:55" ht="15.75" customHeight="1">
      <c r="S1030" s="454"/>
      <c r="BA1030" s="1305"/>
      <c r="BC1030" s="169"/>
    </row>
    <row r="1031" spans="19:55" ht="15.75" customHeight="1">
      <c r="S1031" s="454"/>
      <c r="BA1031" s="1305"/>
      <c r="BC1031" s="169"/>
    </row>
    <row r="1032" spans="19:55" ht="15.75" customHeight="1">
      <c r="S1032" s="454"/>
      <c r="BA1032" s="1305"/>
      <c r="BC1032" s="169"/>
    </row>
    <row r="1033" spans="19:55" ht="15.75" customHeight="1">
      <c r="S1033" s="454"/>
      <c r="BA1033" s="1305"/>
      <c r="BC1033" s="169"/>
    </row>
    <row r="1034" spans="19:55" ht="15.75" customHeight="1">
      <c r="S1034" s="454"/>
      <c r="BA1034" s="1305"/>
      <c r="BC1034" s="169"/>
    </row>
    <row r="1035" spans="19:55" ht="15.75" customHeight="1">
      <c r="S1035" s="454"/>
      <c r="BA1035" s="1305"/>
      <c r="BC1035" s="169"/>
    </row>
    <row r="1036" spans="19:55" ht="15.75" customHeight="1">
      <c r="S1036" s="454"/>
      <c r="BA1036" s="1305"/>
      <c r="BC1036" s="169"/>
    </row>
    <row r="1037" spans="19:55" ht="15.75" customHeight="1">
      <c r="S1037" s="454"/>
      <c r="BA1037" s="1305"/>
      <c r="BC1037" s="169"/>
    </row>
    <row r="1038" spans="19:55" ht="15.75" customHeight="1">
      <c r="S1038" s="454"/>
      <c r="BA1038" s="1305"/>
      <c r="BC1038" s="169"/>
    </row>
    <row r="1039" spans="19:55" ht="15.75" customHeight="1">
      <c r="S1039" s="454"/>
      <c r="BA1039" s="1305"/>
      <c r="BC1039" s="169"/>
    </row>
    <row r="1040" spans="19:55" ht="15.75" customHeight="1">
      <c r="S1040" s="454"/>
      <c r="BA1040" s="1305"/>
      <c r="BC1040" s="169"/>
    </row>
    <row r="1041" spans="19:55" ht="15.75" customHeight="1">
      <c r="S1041" s="454"/>
      <c r="BA1041" s="1305"/>
      <c r="BC1041" s="169"/>
    </row>
    <row r="1042" spans="19:55" ht="15.75" customHeight="1">
      <c r="S1042" s="454"/>
      <c r="BA1042" s="1305"/>
      <c r="BC1042" s="169"/>
    </row>
    <row r="1043" spans="19:55" ht="15.75" customHeight="1">
      <c r="S1043" s="454"/>
      <c r="BA1043" s="1305"/>
      <c r="BC1043" s="169"/>
    </row>
    <row r="1044" spans="19:55" ht="15.75" customHeight="1">
      <c r="S1044" s="454"/>
      <c r="BA1044" s="1305"/>
      <c r="BC1044" s="169"/>
    </row>
    <row r="1045" spans="19:55" ht="15.75" customHeight="1">
      <c r="S1045" s="454"/>
      <c r="BA1045" s="1305"/>
      <c r="BC1045" s="169"/>
    </row>
    <row r="1046" spans="19:55" ht="15.75" customHeight="1">
      <c r="S1046" s="454"/>
      <c r="BA1046" s="1305"/>
      <c r="BC1046" s="169"/>
    </row>
    <row r="1047" spans="19:55" ht="15.75" customHeight="1">
      <c r="S1047" s="454"/>
      <c r="BA1047" s="1305"/>
      <c r="BC1047" s="169"/>
    </row>
    <row r="1048" spans="19:55" ht="15.75" customHeight="1">
      <c r="S1048" s="454"/>
      <c r="BA1048" s="1305"/>
      <c r="BC1048" s="169"/>
    </row>
    <row r="1049" spans="19:55" ht="15.75" customHeight="1">
      <c r="S1049" s="454"/>
      <c r="BA1049" s="1305"/>
      <c r="BC1049" s="169"/>
    </row>
    <row r="1050" spans="19:55" ht="15.75" customHeight="1">
      <c r="S1050" s="454"/>
      <c r="BA1050" s="1305"/>
      <c r="BC1050" s="169"/>
    </row>
    <row r="1051" spans="19:55" ht="15.75" customHeight="1">
      <c r="S1051" s="454"/>
      <c r="BA1051" s="1305"/>
      <c r="BC1051" s="169"/>
    </row>
    <row r="1052" spans="19:55" ht="15.75" customHeight="1">
      <c r="S1052" s="454"/>
      <c r="BA1052" s="1305"/>
      <c r="BC1052" s="169"/>
    </row>
    <row r="1053" spans="19:55" ht="15.75" customHeight="1">
      <c r="S1053" s="454"/>
      <c r="BA1053" s="1305"/>
      <c r="BC1053" s="169"/>
    </row>
    <row r="1054" spans="19:55" ht="15.75" customHeight="1">
      <c r="S1054" s="454"/>
      <c r="BA1054" s="1305"/>
      <c r="BC1054" s="169"/>
    </row>
    <row r="1055" spans="19:55" ht="15.75" customHeight="1">
      <c r="S1055" s="454"/>
      <c r="BA1055" s="1305"/>
      <c r="BC1055" s="169"/>
    </row>
    <row r="1056" spans="19:55" ht="15.75" customHeight="1">
      <c r="S1056" s="454"/>
      <c r="BA1056" s="1305"/>
      <c r="BC1056" s="169"/>
    </row>
    <row r="1057" spans="19:55" ht="15.75" customHeight="1">
      <c r="S1057" s="454"/>
      <c r="BA1057" s="1305"/>
      <c r="BC1057" s="169"/>
    </row>
    <row r="1058" spans="19:55" ht="15.75" customHeight="1">
      <c r="S1058" s="454"/>
      <c r="BA1058" s="1305"/>
      <c r="BC1058" s="169"/>
    </row>
    <row r="1059" spans="19:55" ht="15.75" customHeight="1">
      <c r="S1059" s="454"/>
      <c r="BA1059" s="1305"/>
      <c r="BC1059" s="169"/>
    </row>
    <row r="1060" spans="19:55" ht="15.75" customHeight="1">
      <c r="S1060" s="454"/>
      <c r="BA1060" s="1305"/>
      <c r="BC1060" s="169"/>
    </row>
    <row r="1061" spans="19:55" ht="15.75" customHeight="1">
      <c r="S1061" s="454"/>
      <c r="BA1061" s="1305"/>
      <c r="BC1061" s="169"/>
    </row>
    <row r="1062" spans="19:55" ht="15.75" customHeight="1">
      <c r="S1062" s="454"/>
      <c r="BA1062" s="1305"/>
      <c r="BC1062" s="169"/>
    </row>
    <row r="1063" spans="19:55" ht="15.75" customHeight="1">
      <c r="S1063" s="454"/>
      <c r="BA1063" s="1305"/>
      <c r="BC1063" s="169"/>
    </row>
    <row r="1064" spans="19:55" ht="15.75" customHeight="1">
      <c r="S1064" s="454"/>
      <c r="BA1064" s="1305"/>
      <c r="BC1064" s="169"/>
    </row>
    <row r="1065" spans="19:55" ht="15.75" customHeight="1">
      <c r="S1065" s="454"/>
      <c r="BA1065" s="1305"/>
      <c r="BC1065" s="169"/>
    </row>
    <row r="1066" spans="19:55" ht="15.75" customHeight="1">
      <c r="S1066" s="454"/>
      <c r="BA1066" s="1305"/>
      <c r="BC1066" s="169"/>
    </row>
    <row r="1067" spans="19:55" ht="15.75" customHeight="1">
      <c r="S1067" s="454"/>
      <c r="BA1067" s="1305"/>
      <c r="BC1067" s="169"/>
    </row>
    <row r="1068" spans="19:55" ht="15.75" customHeight="1">
      <c r="S1068" s="454"/>
      <c r="BA1068" s="1305"/>
      <c r="BC1068" s="169"/>
    </row>
    <row r="1069" spans="19:55" ht="15.75" customHeight="1">
      <c r="S1069" s="454"/>
      <c r="BA1069" s="1305"/>
      <c r="BC1069" s="169"/>
    </row>
    <row r="1070" spans="19:55" ht="15.75" customHeight="1">
      <c r="S1070" s="454"/>
      <c r="BA1070" s="1305"/>
      <c r="BC1070" s="169"/>
    </row>
    <row r="1071" spans="19:55" ht="15.75" customHeight="1">
      <c r="S1071" s="454"/>
      <c r="BA1071" s="1305"/>
      <c r="BC1071" s="169"/>
    </row>
    <row r="1072" spans="19:55" ht="15.75" customHeight="1">
      <c r="S1072" s="454"/>
      <c r="BA1072" s="1305"/>
      <c r="BC1072" s="169"/>
    </row>
    <row r="1073" spans="19:55" ht="15.75" customHeight="1">
      <c r="S1073" s="454"/>
      <c r="BA1073" s="1305"/>
      <c r="BC1073" s="169"/>
    </row>
    <row r="1074" spans="19:55" ht="15.75" customHeight="1">
      <c r="S1074" s="454"/>
      <c r="BA1074" s="1305"/>
      <c r="BC1074" s="169"/>
    </row>
    <row r="1075" spans="19:55" ht="15.75" customHeight="1">
      <c r="S1075" s="454"/>
      <c r="BA1075" s="1305"/>
      <c r="BC1075" s="169"/>
    </row>
    <row r="1076" spans="19:55" ht="15.75" customHeight="1">
      <c r="S1076" s="454"/>
      <c r="BA1076" s="1305"/>
      <c r="BC1076" s="169"/>
    </row>
    <row r="1077" spans="19:55" ht="15.75" customHeight="1">
      <c r="S1077" s="454"/>
      <c r="BA1077" s="1305"/>
      <c r="BC1077" s="169"/>
    </row>
    <row r="1078" spans="19:55" ht="15.75" customHeight="1">
      <c r="S1078" s="454"/>
      <c r="BA1078" s="1305"/>
      <c r="BC1078" s="169"/>
    </row>
    <row r="1079" spans="19:55" ht="15.75" customHeight="1">
      <c r="S1079" s="454"/>
      <c r="BA1079" s="1305"/>
      <c r="BC1079" s="169"/>
    </row>
    <row r="1080" spans="19:55" ht="15.75" customHeight="1">
      <c r="S1080" s="454"/>
      <c r="BA1080" s="1305"/>
      <c r="BC1080" s="169"/>
    </row>
    <row r="1081" spans="19:55" ht="15.75" customHeight="1">
      <c r="S1081" s="454"/>
      <c r="BA1081" s="1305"/>
      <c r="BC1081" s="169"/>
    </row>
    <row r="1082" spans="19:55" ht="15.75" customHeight="1">
      <c r="S1082" s="454"/>
      <c r="BA1082" s="1305"/>
      <c r="BC1082" s="169"/>
    </row>
    <row r="1083" spans="19:55" ht="15.75" customHeight="1">
      <c r="S1083" s="454"/>
      <c r="BA1083" s="1305"/>
      <c r="BC1083" s="169"/>
    </row>
    <row r="1084" spans="19:55" ht="15.75" customHeight="1">
      <c r="S1084" s="454"/>
      <c r="BA1084" s="1305"/>
      <c r="BC1084" s="169"/>
    </row>
    <row r="1085" spans="19:55" ht="15.75" customHeight="1">
      <c r="S1085" s="454"/>
      <c r="BA1085" s="1305"/>
      <c r="BC1085" s="169"/>
    </row>
    <row r="1086" spans="19:55" ht="15.75" customHeight="1">
      <c r="S1086" s="454"/>
      <c r="BA1086" s="1305"/>
      <c r="BC1086" s="169"/>
    </row>
    <row r="1087" spans="19:55" ht="15.75" customHeight="1">
      <c r="S1087" s="454"/>
      <c r="BA1087" s="1305"/>
      <c r="BC1087" s="169"/>
    </row>
    <row r="1088" spans="19:55" ht="15.75" customHeight="1">
      <c r="S1088" s="454"/>
      <c r="BA1088" s="1305"/>
      <c r="BC1088" s="169"/>
    </row>
    <row r="1089" spans="19:55" ht="15.75" customHeight="1">
      <c r="S1089" s="454"/>
      <c r="BA1089" s="1305"/>
      <c r="BC1089" s="169"/>
    </row>
    <row r="1090" spans="19:55" ht="15.75" customHeight="1">
      <c r="S1090" s="454"/>
      <c r="BA1090" s="1305"/>
      <c r="BC1090" s="169"/>
    </row>
    <row r="1091" spans="19:55" ht="15.75" customHeight="1">
      <c r="S1091" s="454"/>
      <c r="BA1091" s="1305"/>
      <c r="BC1091" s="169"/>
    </row>
    <row r="1092" spans="19:55" ht="15.75" customHeight="1">
      <c r="S1092" s="454"/>
      <c r="BA1092" s="1305"/>
      <c r="BC1092" s="169"/>
    </row>
    <row r="1093" spans="19:55" ht="15.75" customHeight="1">
      <c r="S1093" s="454"/>
      <c r="BA1093" s="1305"/>
      <c r="BC1093" s="169"/>
    </row>
    <row r="1094" spans="19:55" ht="15.75" customHeight="1">
      <c r="S1094" s="454"/>
      <c r="BA1094" s="1305"/>
      <c r="BC1094" s="169"/>
    </row>
    <row r="1095" spans="19:55" ht="15.75" customHeight="1">
      <c r="S1095" s="454"/>
      <c r="BA1095" s="1305"/>
      <c r="BC1095" s="169"/>
    </row>
    <row r="1096" spans="19:55" ht="15.75" customHeight="1">
      <c r="S1096" s="454"/>
      <c r="BA1096" s="1305"/>
      <c r="BC1096" s="169"/>
    </row>
    <row r="1097" spans="19:55" ht="15.75" customHeight="1">
      <c r="S1097" s="454"/>
      <c r="BA1097" s="1305"/>
      <c r="BC1097" s="169"/>
    </row>
    <row r="1098" spans="19:55" ht="15.75" customHeight="1">
      <c r="S1098" s="454"/>
      <c r="BA1098" s="1305"/>
      <c r="BC1098" s="169"/>
    </row>
    <row r="1099" spans="19:55" ht="15.75" customHeight="1">
      <c r="S1099" s="454"/>
      <c r="BA1099" s="1305"/>
      <c r="BC1099" s="169"/>
    </row>
    <row r="1100" spans="19:55" ht="15.75" customHeight="1">
      <c r="S1100" s="454"/>
      <c r="BA1100" s="1305"/>
      <c r="BC1100" s="169"/>
    </row>
    <row r="1101" spans="19:55" ht="15.75" customHeight="1">
      <c r="S1101" s="454"/>
      <c r="BA1101" s="1305"/>
      <c r="BC1101" s="169"/>
    </row>
    <row r="1102" spans="19:55" ht="15.75" customHeight="1">
      <c r="S1102" s="454"/>
      <c r="BA1102" s="1305"/>
      <c r="BC1102" s="169"/>
    </row>
    <row r="1103" spans="19:55" ht="15.75" customHeight="1">
      <c r="S1103" s="454"/>
      <c r="BA1103" s="1266"/>
      <c r="BC1103" s="169"/>
    </row>
    <row r="1104" spans="19:55" ht="15.75" customHeight="1">
      <c r="S1104" s="454"/>
      <c r="BA1104" s="1266"/>
      <c r="BC1104" s="169"/>
    </row>
    <row r="1105" spans="19:55" ht="15.75" customHeight="1">
      <c r="S1105" s="454"/>
      <c r="BA1105" s="1266"/>
      <c r="BC1105" s="169"/>
    </row>
    <row r="1106" spans="19:55" ht="15.75" customHeight="1">
      <c r="S1106" s="454"/>
      <c r="BA1106" s="1266"/>
      <c r="BC1106" s="169"/>
    </row>
    <row r="1107" spans="19:55" ht="15.75" customHeight="1">
      <c r="S1107" s="454"/>
      <c r="BA1107" s="1266"/>
      <c r="BC1107" s="169"/>
    </row>
    <row r="1108" spans="19:55" ht="15.75" customHeight="1">
      <c r="S1108" s="454"/>
      <c r="BA1108" s="1266"/>
      <c r="BC1108" s="169"/>
    </row>
    <row r="1109" spans="19:55" ht="15.75" customHeight="1">
      <c r="S1109" s="454"/>
      <c r="BA1109" s="1266"/>
      <c r="BC1109" s="169"/>
    </row>
    <row r="1110" spans="19:55" ht="15.75" customHeight="1">
      <c r="S1110" s="454"/>
      <c r="BA1110" s="1266"/>
      <c r="BC1110" s="169"/>
    </row>
    <row r="1111" spans="19:55" ht="15.75" customHeight="1">
      <c r="S1111" s="454"/>
      <c r="BA1111" s="1266"/>
      <c r="BC1111" s="169"/>
    </row>
    <row r="1112" spans="19:55" ht="15.75" customHeight="1">
      <c r="S1112" s="454"/>
      <c r="BA1112" s="1266"/>
      <c r="BC1112" s="169"/>
    </row>
    <row r="1113" spans="19:55" ht="15.75" customHeight="1">
      <c r="S1113" s="454"/>
      <c r="BA1113" s="1266"/>
      <c r="BC1113" s="169"/>
    </row>
    <row r="1114" spans="19:55" ht="15.75" customHeight="1">
      <c r="S1114" s="454"/>
      <c r="BA1114" s="1266"/>
      <c r="BC1114" s="169"/>
    </row>
    <row r="1115" spans="19:55" ht="15.75" customHeight="1">
      <c r="S1115" s="454"/>
      <c r="BA1115" s="1266"/>
      <c r="BC1115" s="169"/>
    </row>
    <row r="1116" spans="19:55" ht="15.75" customHeight="1">
      <c r="S1116" s="454"/>
      <c r="BA1116" s="1266"/>
      <c r="BC1116" s="169"/>
    </row>
    <row r="1117" spans="19:55" ht="15.75" customHeight="1">
      <c r="S1117" s="454"/>
      <c r="BA1117" s="1266"/>
      <c r="BC1117" s="169"/>
    </row>
    <row r="1118" spans="19:55" ht="15.75" customHeight="1">
      <c r="S1118" s="454"/>
      <c r="BA1118" s="1266"/>
      <c r="BC1118" s="169"/>
    </row>
    <row r="1119" spans="19:55" ht="15.75" customHeight="1">
      <c r="S1119" s="454"/>
      <c r="BA1119" s="1266"/>
      <c r="BC1119" s="169"/>
    </row>
    <row r="1120" spans="19:55" ht="15.75" customHeight="1">
      <c r="S1120" s="454"/>
      <c r="BA1120" s="1266"/>
      <c r="BC1120" s="169"/>
    </row>
    <row r="1121" spans="19:55" ht="15.75" customHeight="1">
      <c r="S1121" s="454"/>
      <c r="BA1121" s="1266"/>
      <c r="BC1121" s="169"/>
    </row>
    <row r="1122" spans="19:55" ht="15.75" customHeight="1">
      <c r="S1122" s="454"/>
      <c r="BA1122" s="1266"/>
      <c r="BC1122" s="169"/>
    </row>
    <row r="1123" spans="19:55" ht="15.75" customHeight="1">
      <c r="S1123" s="454"/>
      <c r="BA1123" s="1266"/>
      <c r="BC1123" s="169"/>
    </row>
    <row r="1124" spans="19:55" ht="15.75" customHeight="1">
      <c r="S1124" s="454"/>
      <c r="BA1124" s="1266"/>
      <c r="BC1124" s="169"/>
    </row>
    <row r="1125" spans="19:55" ht="15.75" customHeight="1">
      <c r="S1125" s="454"/>
      <c r="BA1125" s="1266"/>
      <c r="BC1125" s="169"/>
    </row>
    <row r="1126" spans="19:55" ht="15.75" customHeight="1">
      <c r="S1126" s="454"/>
      <c r="BA1126" s="1266"/>
      <c r="BC1126" s="169"/>
    </row>
    <row r="1127" spans="19:55" ht="15.75" customHeight="1">
      <c r="S1127" s="454"/>
      <c r="BA1127" s="1266"/>
      <c r="BC1127" s="169"/>
    </row>
    <row r="1128" spans="19:55" ht="15.75" customHeight="1">
      <c r="S1128" s="454"/>
      <c r="BA1128" s="1266"/>
      <c r="BC1128" s="169"/>
    </row>
    <row r="1129" spans="19:55" ht="15.75" customHeight="1">
      <c r="S1129" s="454"/>
      <c r="BA1129" s="1266"/>
      <c r="BC1129" s="169"/>
    </row>
    <row r="1130" spans="19:55" ht="15.75" customHeight="1">
      <c r="S1130" s="454"/>
      <c r="BA1130" s="1266"/>
      <c r="BC1130" s="169"/>
    </row>
    <row r="1131" spans="19:55" ht="15.75" customHeight="1">
      <c r="S1131" s="454"/>
      <c r="BA1131" s="1266"/>
      <c r="BC1131" s="169"/>
    </row>
    <row r="1132" spans="19:55" ht="15.75" customHeight="1">
      <c r="S1132" s="454"/>
      <c r="BA1132" s="1266"/>
      <c r="BC1132" s="169"/>
    </row>
    <row r="1133" spans="19:55" ht="15.75" customHeight="1">
      <c r="S1133" s="454"/>
      <c r="BA1133" s="1266"/>
      <c r="BC1133" s="169"/>
    </row>
    <row r="1134" spans="19:55" ht="15.75" customHeight="1">
      <c r="S1134" s="454"/>
      <c r="BA1134" s="1266"/>
      <c r="BC1134" s="169"/>
    </row>
    <row r="1135" spans="19:55" ht="15.75" customHeight="1">
      <c r="S1135" s="454"/>
      <c r="BA1135" s="1266"/>
      <c r="BC1135" s="169"/>
    </row>
    <row r="1136" spans="19:55" ht="15.75" customHeight="1">
      <c r="S1136" s="454"/>
      <c r="BA1136" s="1266"/>
      <c r="BC1136" s="169"/>
    </row>
    <row r="1137" spans="19:55" ht="15.75" customHeight="1">
      <c r="S1137" s="454"/>
      <c r="BA1137" s="1266"/>
      <c r="BC1137" s="169"/>
    </row>
    <row r="1138" spans="19:55" ht="15.75" customHeight="1">
      <c r="S1138" s="454"/>
      <c r="BA1138" s="1266"/>
      <c r="BC1138" s="169"/>
    </row>
    <row r="1139" spans="19:55" ht="15.75" customHeight="1">
      <c r="S1139" s="454"/>
      <c r="BA1139" s="1266"/>
      <c r="BC1139" s="169"/>
    </row>
    <row r="1140" spans="19:55" ht="15.75" customHeight="1">
      <c r="S1140" s="454"/>
      <c r="BA1140" s="1266"/>
      <c r="BC1140" s="169"/>
    </row>
    <row r="1141" spans="19:55" ht="15.75" customHeight="1">
      <c r="S1141" s="454"/>
      <c r="BA1141" s="1266"/>
      <c r="BC1141" s="169"/>
    </row>
    <row r="1142" spans="19:55" ht="15.75" customHeight="1">
      <c r="S1142" s="454"/>
      <c r="BA1142" s="1266"/>
      <c r="BC1142" s="169"/>
    </row>
    <row r="1143" spans="19:55" ht="15.75" customHeight="1">
      <c r="S1143" s="454"/>
      <c r="BA1143" s="1266"/>
      <c r="BC1143" s="169"/>
    </row>
    <row r="1144" spans="19:55" ht="15.75" customHeight="1">
      <c r="S1144" s="454"/>
      <c r="BA1144" s="1266"/>
      <c r="BC1144" s="169"/>
    </row>
    <row r="1145" spans="19:55" ht="15.75" customHeight="1">
      <c r="S1145" s="454"/>
      <c r="BA1145" s="1266"/>
      <c r="BC1145" s="169"/>
    </row>
    <row r="1146" spans="19:55" ht="15.75" customHeight="1">
      <c r="S1146" s="454"/>
      <c r="BA1146" s="1266"/>
      <c r="BC1146" s="169"/>
    </row>
    <row r="1147" spans="19:55" ht="15.75" customHeight="1">
      <c r="S1147" s="454"/>
      <c r="BA1147" s="1266"/>
      <c r="BC1147" s="169"/>
    </row>
    <row r="1148" spans="19:55" ht="15.75" customHeight="1">
      <c r="S1148" s="454"/>
      <c r="BA1148" s="1266"/>
      <c r="BC1148" s="169"/>
    </row>
    <row r="1149" spans="19:55" ht="15.75" customHeight="1">
      <c r="S1149" s="454"/>
      <c r="BA1149" s="1266"/>
      <c r="BC1149" s="169"/>
    </row>
    <row r="1150" spans="19:55" ht="15.75" customHeight="1">
      <c r="S1150" s="454"/>
      <c r="BA1150" s="1266"/>
      <c r="BC1150" s="169"/>
    </row>
    <row r="1151" spans="19:55" ht="15.75" customHeight="1">
      <c r="S1151" s="454"/>
      <c r="BA1151" s="1266"/>
      <c r="BC1151" s="169"/>
    </row>
    <row r="1152" spans="19:55" ht="15.75" customHeight="1">
      <c r="S1152" s="454"/>
      <c r="BA1152" s="1266"/>
      <c r="BC1152" s="169"/>
    </row>
    <row r="1153" spans="19:55" ht="15.75" customHeight="1">
      <c r="S1153" s="454"/>
      <c r="BA1153" s="1266"/>
      <c r="BC1153" s="169"/>
    </row>
    <row r="1154" spans="19:55" ht="15.75" customHeight="1">
      <c r="S1154" s="454"/>
      <c r="BA1154" s="1266"/>
      <c r="BC1154" s="169"/>
    </row>
    <row r="1155" spans="19:55" ht="15.75" customHeight="1">
      <c r="S1155" s="454"/>
      <c r="BA1155" s="1266"/>
      <c r="BC1155" s="169"/>
    </row>
    <row r="1156" spans="19:55" ht="15.75" customHeight="1">
      <c r="S1156" s="454"/>
      <c r="BA1156" s="1266"/>
      <c r="BC1156" s="169"/>
    </row>
    <row r="1157" spans="19:55" ht="15.75" customHeight="1">
      <c r="S1157" s="454"/>
      <c r="BA1157" s="1266"/>
      <c r="BC1157" s="169"/>
    </row>
    <row r="1158" spans="19:55" ht="15.75" customHeight="1">
      <c r="S1158" s="454"/>
      <c r="BA1158" s="1266"/>
      <c r="BC1158" s="169"/>
    </row>
    <row r="1159" spans="19:55" ht="15.75" customHeight="1">
      <c r="S1159" s="454"/>
      <c r="BA1159" s="1266"/>
      <c r="BC1159" s="169"/>
    </row>
    <row r="1160" spans="19:55" ht="15.75" customHeight="1">
      <c r="S1160" s="454"/>
      <c r="BA1160" s="1266"/>
      <c r="BC1160" s="169"/>
    </row>
    <row r="1161" spans="19:55" ht="15.75" customHeight="1">
      <c r="S1161" s="454"/>
      <c r="BA1161" s="1266"/>
      <c r="BC1161" s="169"/>
    </row>
    <row r="1162" spans="19:55" ht="15.75" customHeight="1">
      <c r="S1162" s="454"/>
      <c r="BA1162" s="1266"/>
      <c r="BC1162" s="169"/>
    </row>
    <row r="1163" spans="19:55" ht="15.75" customHeight="1">
      <c r="S1163" s="454"/>
      <c r="BA1163" s="1266"/>
      <c r="BC1163" s="169"/>
    </row>
    <row r="1164" spans="19:55" ht="15.75" customHeight="1">
      <c r="S1164" s="454"/>
      <c r="BA1164" s="1266"/>
      <c r="BC1164" s="169"/>
    </row>
    <row r="1165" spans="19:55" ht="15.75" customHeight="1">
      <c r="S1165" s="454"/>
      <c r="BA1165" s="1266"/>
      <c r="BC1165" s="169"/>
    </row>
    <row r="1166" spans="19:55" ht="15.75" customHeight="1">
      <c r="S1166" s="454"/>
      <c r="BA1166" s="1266"/>
      <c r="BC1166" s="169"/>
    </row>
    <row r="1167" spans="19:55" ht="15.75" customHeight="1">
      <c r="S1167" s="454"/>
      <c r="BA1167" s="1266"/>
      <c r="BC1167" s="169"/>
    </row>
    <row r="1168" spans="19:55" ht="15.75" customHeight="1">
      <c r="S1168" s="454"/>
      <c r="BA1168" s="1266"/>
      <c r="BC1168" s="169"/>
    </row>
    <row r="1169" spans="19:55" ht="15.75" customHeight="1">
      <c r="S1169" s="454"/>
      <c r="BA1169" s="1266"/>
      <c r="BC1169" s="169"/>
    </row>
    <row r="1170" spans="19:55" ht="15.75" customHeight="1">
      <c r="S1170" s="454"/>
      <c r="BA1170" s="1266"/>
      <c r="BC1170" s="169"/>
    </row>
    <row r="1171" spans="19:55" ht="15.75" customHeight="1">
      <c r="S1171" s="454"/>
      <c r="BA1171" s="1266"/>
      <c r="BC1171" s="169"/>
    </row>
    <row r="1172" spans="19:55" ht="15.75" customHeight="1">
      <c r="S1172" s="454"/>
      <c r="BA1172" s="1266"/>
      <c r="BC1172" s="169"/>
    </row>
    <row r="1173" spans="19:55" ht="15.75" customHeight="1">
      <c r="S1173" s="454"/>
      <c r="BA1173" s="1266"/>
      <c r="BC1173" s="169"/>
    </row>
    <row r="1174" spans="19:55" ht="15.75" customHeight="1">
      <c r="S1174" s="454"/>
      <c r="BA1174" s="1266"/>
      <c r="BC1174" s="169"/>
    </row>
    <row r="1175" spans="19:55" ht="15.75" customHeight="1">
      <c r="S1175" s="454"/>
      <c r="BA1175" s="1266"/>
      <c r="BC1175" s="169"/>
    </row>
    <row r="1176" spans="19:55" ht="15.75" customHeight="1">
      <c r="S1176" s="454"/>
      <c r="BA1176" s="1266"/>
      <c r="BC1176" s="169"/>
    </row>
    <row r="1177" spans="19:55" ht="15.75" customHeight="1">
      <c r="S1177" s="454"/>
      <c r="BA1177" s="1266"/>
      <c r="BC1177" s="169"/>
    </row>
    <row r="1178" spans="19:55" ht="15.75" customHeight="1">
      <c r="S1178" s="454"/>
      <c r="BA1178" s="1266"/>
      <c r="BC1178" s="169"/>
    </row>
    <row r="1179" spans="19:55" ht="15.75" customHeight="1">
      <c r="S1179" s="454"/>
      <c r="BA1179" s="1266"/>
      <c r="BC1179" s="169"/>
    </row>
    <row r="1180" spans="19:55" ht="15.75" customHeight="1">
      <c r="S1180" s="454"/>
      <c r="BA1180" s="1266"/>
      <c r="BC1180" s="169"/>
    </row>
    <row r="1181" spans="19:55" ht="15.75" customHeight="1">
      <c r="S1181" s="454"/>
      <c r="BA1181" s="1266"/>
      <c r="BC1181" s="169"/>
    </row>
    <row r="1182" spans="19:55" ht="15.75" customHeight="1">
      <c r="S1182" s="454"/>
      <c r="BA1182" s="1266"/>
      <c r="BC1182" s="169"/>
    </row>
    <row r="1183" spans="19:55" ht="15.75" customHeight="1">
      <c r="S1183" s="454"/>
      <c r="BA1183" s="1266"/>
      <c r="BC1183" s="169"/>
    </row>
    <row r="1184" spans="19:55" ht="15.75" customHeight="1">
      <c r="S1184" s="454"/>
      <c r="BA1184" s="1266"/>
      <c r="BC1184" s="169"/>
    </row>
    <row r="1185" spans="19:55" ht="15.75" customHeight="1">
      <c r="S1185" s="454"/>
      <c r="BA1185" s="1266"/>
      <c r="BC1185" s="169"/>
    </row>
    <row r="1186" spans="19:55" ht="15.75" customHeight="1">
      <c r="S1186" s="454"/>
      <c r="BA1186" s="1266"/>
      <c r="BC1186" s="169"/>
    </row>
    <row r="1187" spans="19:55" ht="15.75" customHeight="1">
      <c r="S1187" s="454"/>
      <c r="BA1187" s="1266"/>
      <c r="BC1187" s="169"/>
    </row>
    <row r="1188" spans="19:55" ht="15.75" customHeight="1">
      <c r="S1188" s="454"/>
      <c r="BA1188" s="1266"/>
      <c r="BC1188" s="169"/>
    </row>
    <row r="1189" spans="19:55" ht="15.75" customHeight="1">
      <c r="S1189" s="454"/>
      <c r="BA1189" s="1266"/>
      <c r="BC1189" s="169"/>
    </row>
    <row r="1190" spans="19:55" ht="15.75" customHeight="1">
      <c r="S1190" s="454"/>
      <c r="BA1190" s="1266"/>
      <c r="BC1190" s="169"/>
    </row>
    <row r="1191" spans="19:55" ht="15.75" customHeight="1">
      <c r="S1191" s="454"/>
      <c r="BA1191" s="1266"/>
      <c r="BC1191" s="169"/>
    </row>
    <row r="1192" spans="19:55" ht="15.75" customHeight="1">
      <c r="S1192" s="454"/>
      <c r="BA1192" s="1266"/>
      <c r="BC1192" s="169"/>
    </row>
    <row r="1193" spans="19:55" ht="15.75" customHeight="1">
      <c r="S1193" s="454"/>
      <c r="BA1193" s="1266"/>
      <c r="BC1193" s="169"/>
    </row>
    <row r="1194" spans="19:55" ht="15.75" customHeight="1">
      <c r="S1194" s="454"/>
      <c r="BA1194" s="1266"/>
      <c r="BC1194" s="169"/>
    </row>
    <row r="1195" spans="19:55" ht="15.75" customHeight="1">
      <c r="S1195" s="454"/>
      <c r="BA1195" s="1266"/>
      <c r="BC1195" s="169"/>
    </row>
    <row r="1196" spans="19:55" ht="15.75" customHeight="1">
      <c r="S1196" s="454"/>
      <c r="BA1196" s="1266"/>
      <c r="BC1196" s="169"/>
    </row>
    <row r="1197" spans="19:55" ht="15.75" customHeight="1">
      <c r="S1197" s="454"/>
      <c r="BA1197" s="1266"/>
      <c r="BC1197" s="169"/>
    </row>
    <row r="1198" spans="19:55" ht="15.75" customHeight="1">
      <c r="S1198" s="454"/>
      <c r="BA1198" s="1266"/>
      <c r="BC1198" s="169"/>
    </row>
    <row r="1199" spans="19:55" ht="15.75" customHeight="1">
      <c r="S1199" s="454"/>
      <c r="BA1199" s="1266"/>
      <c r="BC1199" s="169"/>
    </row>
    <row r="1200" spans="19:55" ht="15.75" customHeight="1">
      <c r="S1200" s="454"/>
      <c r="BA1200" s="1266"/>
      <c r="BC1200" s="169"/>
    </row>
    <row r="1201" spans="19:55" ht="15.75" customHeight="1">
      <c r="S1201" s="454"/>
      <c r="BA1201" s="1266"/>
      <c r="BC1201" s="169"/>
    </row>
    <row r="1202" spans="19:55" ht="15.75" customHeight="1">
      <c r="S1202" s="454"/>
      <c r="BA1202" s="1266"/>
      <c r="BC1202" s="169"/>
    </row>
    <row r="1203" spans="19:55" ht="15.75" customHeight="1">
      <c r="S1203" s="454"/>
      <c r="BA1203" s="1266"/>
      <c r="BC1203" s="169"/>
    </row>
    <row r="1204" spans="19:55" ht="15.75" customHeight="1">
      <c r="S1204" s="454"/>
      <c r="BA1204" s="1266"/>
      <c r="BC1204" s="169"/>
    </row>
    <row r="1205" spans="19:55" ht="15.75" customHeight="1">
      <c r="S1205" s="454"/>
      <c r="BA1205" s="1266"/>
      <c r="BC1205" s="169"/>
    </row>
    <row r="1206" spans="19:55" ht="15.75" customHeight="1">
      <c r="S1206" s="454"/>
      <c r="BA1206" s="1266"/>
      <c r="BC1206" s="169"/>
    </row>
    <row r="1207" spans="19:55" ht="15.75" customHeight="1">
      <c r="S1207" s="454"/>
      <c r="BA1207" s="1266"/>
      <c r="BC1207" s="169"/>
    </row>
    <row r="1208" spans="19:55" ht="15.75" customHeight="1">
      <c r="S1208" s="454"/>
      <c r="BA1208" s="1266"/>
      <c r="BC1208" s="169"/>
    </row>
    <row r="1209" spans="19:55" ht="15.75" customHeight="1">
      <c r="S1209" s="454"/>
      <c r="BA1209" s="1266"/>
      <c r="BC1209" s="169"/>
    </row>
    <row r="1210" spans="19:55" ht="15.75" customHeight="1">
      <c r="S1210" s="454"/>
      <c r="BA1210" s="1266"/>
      <c r="BC1210" s="169"/>
    </row>
    <row r="1211" spans="19:55" ht="15.75" customHeight="1">
      <c r="S1211" s="454"/>
      <c r="BA1211" s="1266"/>
      <c r="BC1211" s="169"/>
    </row>
    <row r="1212" spans="19:55" ht="15.75" customHeight="1">
      <c r="S1212" s="454"/>
      <c r="BA1212" s="1266"/>
      <c r="BC1212" s="169"/>
    </row>
    <row r="1213" spans="19:55" ht="15.75" customHeight="1">
      <c r="S1213" s="454"/>
      <c r="BA1213" s="1266"/>
      <c r="BC1213" s="169"/>
    </row>
    <row r="1214" spans="19:55" ht="15.75" customHeight="1">
      <c r="S1214" s="454"/>
      <c r="BA1214" s="1266"/>
      <c r="BC1214" s="169"/>
    </row>
    <row r="1215" spans="19:55" ht="15.75" customHeight="1">
      <c r="S1215" s="454"/>
      <c r="BA1215" s="1266"/>
      <c r="BC1215" s="169"/>
    </row>
    <row r="1216" spans="19:55" ht="15.75" customHeight="1">
      <c r="S1216" s="454"/>
      <c r="BA1216" s="1266"/>
      <c r="BC1216" s="169"/>
    </row>
    <row r="1217" spans="19:55" ht="15.75" customHeight="1">
      <c r="S1217" s="454"/>
      <c r="BA1217" s="1266"/>
      <c r="BC1217" s="169"/>
    </row>
    <row r="1218" spans="19:55" ht="15.75" customHeight="1">
      <c r="S1218" s="454"/>
      <c r="BA1218" s="1266"/>
      <c r="BC1218" s="169"/>
    </row>
    <row r="1219" spans="19:55" ht="15.75" customHeight="1">
      <c r="S1219" s="454"/>
      <c r="BA1219" s="1266"/>
      <c r="BC1219" s="169"/>
    </row>
    <row r="1220" spans="19:55" ht="15.75" customHeight="1">
      <c r="S1220" s="454"/>
      <c r="BA1220" s="1266"/>
      <c r="BC1220" s="169"/>
    </row>
    <row r="1221" spans="19:55" ht="15.75" customHeight="1">
      <c r="S1221" s="454"/>
      <c r="BA1221" s="1266"/>
      <c r="BC1221" s="169"/>
    </row>
    <row r="1222" spans="19:55" ht="15.75" customHeight="1">
      <c r="S1222" s="454"/>
      <c r="BA1222" s="1266"/>
      <c r="BC1222" s="169"/>
    </row>
    <row r="1223" spans="19:55" ht="15.75" customHeight="1">
      <c r="S1223" s="454"/>
      <c r="BA1223" s="1266"/>
      <c r="BC1223" s="169"/>
    </row>
    <row r="1224" spans="19:55" ht="15.75" customHeight="1">
      <c r="S1224" s="454"/>
      <c r="BA1224" s="1266"/>
      <c r="BC1224" s="169"/>
    </row>
    <row r="1225" spans="19:55" ht="15.75" customHeight="1">
      <c r="S1225" s="454"/>
      <c r="BA1225" s="1266"/>
      <c r="BC1225" s="169"/>
    </row>
    <row r="1226" spans="19:55" ht="15.75" customHeight="1">
      <c r="S1226" s="454"/>
      <c r="BA1226" s="1266"/>
      <c r="BC1226" s="169"/>
    </row>
    <row r="1227" spans="19:55" ht="15.75" customHeight="1">
      <c r="S1227" s="454"/>
      <c r="BA1227" s="1266"/>
      <c r="BC1227" s="169"/>
    </row>
    <row r="1228" spans="19:55" ht="15.75" customHeight="1">
      <c r="S1228" s="454"/>
      <c r="BA1228" s="1266"/>
      <c r="BC1228" s="169"/>
    </row>
    <row r="1229" spans="19:55" ht="15.75" customHeight="1">
      <c r="S1229" s="454"/>
      <c r="BA1229" s="1266"/>
      <c r="BC1229" s="169"/>
    </row>
    <row r="1230" spans="19:55" ht="15.75" customHeight="1">
      <c r="S1230" s="454"/>
      <c r="BA1230" s="1266"/>
      <c r="BC1230" s="169"/>
    </row>
    <row r="1231" spans="19:55" ht="15.75" customHeight="1">
      <c r="S1231" s="454"/>
      <c r="BA1231" s="1266"/>
      <c r="BC1231" s="169"/>
    </row>
    <row r="1232" spans="19:55" ht="15.75" customHeight="1">
      <c r="S1232" s="454"/>
      <c r="BA1232" s="1266"/>
      <c r="BC1232" s="169"/>
    </row>
    <row r="1233" spans="19:55" ht="15.75" customHeight="1">
      <c r="S1233" s="454"/>
      <c r="BA1233" s="1266"/>
      <c r="BC1233" s="169"/>
    </row>
    <row r="1234" spans="19:55" ht="15.75" customHeight="1">
      <c r="S1234" s="454"/>
      <c r="BA1234" s="1266"/>
      <c r="BC1234" s="169"/>
    </row>
    <row r="1235" spans="19:55" ht="15.75" customHeight="1">
      <c r="S1235" s="454"/>
      <c r="BA1235" s="1266"/>
      <c r="BC1235" s="169"/>
    </row>
    <row r="1236" spans="19:55" ht="15.75" customHeight="1">
      <c r="S1236" s="454"/>
      <c r="BA1236" s="1266"/>
      <c r="BC1236" s="169"/>
    </row>
    <row r="1237" spans="19:55" ht="15.75" customHeight="1">
      <c r="S1237" s="454"/>
      <c r="BA1237" s="1266"/>
      <c r="BC1237" s="169"/>
    </row>
    <row r="1238" spans="19:55" ht="15.75" customHeight="1">
      <c r="S1238" s="454"/>
      <c r="BA1238" s="1266"/>
      <c r="BC1238" s="169"/>
    </row>
    <row r="1239" spans="19:55" ht="15.75" customHeight="1">
      <c r="S1239" s="454"/>
      <c r="BA1239" s="1266"/>
      <c r="BC1239" s="169"/>
    </row>
    <row r="1240" spans="19:55" ht="15.75" customHeight="1">
      <c r="S1240" s="454"/>
      <c r="BA1240" s="1266"/>
      <c r="BC1240" s="169"/>
    </row>
    <row r="1241" spans="19:55" ht="15.75" customHeight="1">
      <c r="S1241" s="454"/>
      <c r="BA1241" s="1266"/>
      <c r="BC1241" s="169"/>
    </row>
    <row r="1242" spans="19:55" ht="15.75" customHeight="1">
      <c r="S1242" s="454"/>
      <c r="BA1242" s="1266"/>
      <c r="BC1242" s="169"/>
    </row>
    <row r="1243" spans="19:55" ht="15.75" customHeight="1">
      <c r="S1243" s="454"/>
      <c r="BA1243" s="1266"/>
      <c r="BC1243" s="169"/>
    </row>
    <row r="1244" spans="19:55" ht="15.75" customHeight="1">
      <c r="S1244" s="454"/>
      <c r="BA1244" s="1266"/>
      <c r="BC1244" s="169"/>
    </row>
    <row r="1245" spans="19:55" ht="15.75" customHeight="1">
      <c r="S1245" s="454"/>
      <c r="BA1245" s="1266"/>
      <c r="BC1245" s="169"/>
    </row>
    <row r="1246" spans="19:55" ht="15.75" customHeight="1">
      <c r="S1246" s="454"/>
      <c r="BA1246" s="1266"/>
      <c r="BC1246" s="169"/>
    </row>
    <row r="1247" spans="19:55" ht="15.75" customHeight="1">
      <c r="S1247" s="454"/>
      <c r="BA1247" s="1266"/>
      <c r="BC1247" s="169"/>
    </row>
    <row r="1248" spans="19:55" ht="15.75" customHeight="1">
      <c r="S1248" s="454"/>
      <c r="BA1248" s="1266"/>
      <c r="BC1248" s="169"/>
    </row>
    <row r="1249" spans="19:55" ht="15.75" customHeight="1">
      <c r="S1249" s="454"/>
      <c r="BA1249" s="1266"/>
      <c r="BC1249" s="169"/>
    </row>
    <row r="1250" spans="19:55" ht="15.75" customHeight="1">
      <c r="S1250" s="454"/>
      <c r="BA1250" s="1266"/>
      <c r="BC1250" s="169"/>
    </row>
    <row r="1251" spans="19:55" ht="15.75" customHeight="1">
      <c r="S1251" s="454"/>
      <c r="BA1251" s="1266"/>
      <c r="BC1251" s="169"/>
    </row>
    <row r="1252" spans="19:55" ht="15.75" customHeight="1">
      <c r="S1252" s="454"/>
      <c r="BA1252" s="1266"/>
      <c r="BC1252" s="169"/>
    </row>
    <row r="1253" spans="19:55" ht="15.75" customHeight="1">
      <c r="S1253" s="454"/>
      <c r="BA1253" s="1266"/>
      <c r="BC1253" s="169"/>
    </row>
    <row r="1254" spans="19:55" ht="15.75" customHeight="1">
      <c r="S1254" s="454"/>
      <c r="BA1254" s="1266"/>
      <c r="BC1254" s="169"/>
    </row>
    <row r="1255" spans="19:55" ht="15.75" customHeight="1">
      <c r="S1255" s="454"/>
      <c r="BA1255" s="1266"/>
      <c r="BC1255" s="169"/>
    </row>
    <row r="1256" spans="19:55" ht="15.75" customHeight="1">
      <c r="S1256" s="454"/>
      <c r="BA1256" s="1266"/>
      <c r="BC1256" s="169"/>
    </row>
    <row r="1257" spans="19:55" ht="15.75" customHeight="1">
      <c r="S1257" s="454"/>
      <c r="BA1257" s="1266"/>
      <c r="BC1257" s="169"/>
    </row>
    <row r="1258" spans="19:55" ht="15.75" customHeight="1">
      <c r="S1258" s="454"/>
      <c r="BA1258" s="1266"/>
      <c r="BC1258" s="169"/>
    </row>
    <row r="1259" spans="19:55" ht="15.75" customHeight="1">
      <c r="S1259" s="454"/>
      <c r="BA1259" s="1266"/>
      <c r="BC1259" s="169"/>
    </row>
    <row r="1260" spans="19:55" ht="15.75" customHeight="1">
      <c r="S1260" s="454"/>
      <c r="BA1260" s="1266"/>
      <c r="BC1260" s="169"/>
    </row>
    <row r="1261" spans="19:55" ht="15.75" customHeight="1">
      <c r="S1261" s="454"/>
      <c r="BA1261" s="1266"/>
      <c r="BC1261" s="169"/>
    </row>
    <row r="1262" spans="19:55" ht="15.75" customHeight="1">
      <c r="S1262" s="454"/>
      <c r="BA1262" s="1266"/>
      <c r="BC1262" s="169"/>
    </row>
    <row r="1263" spans="19:55" ht="15.75" customHeight="1">
      <c r="S1263" s="454"/>
      <c r="BA1263" s="1266"/>
      <c r="BC1263" s="169"/>
    </row>
    <row r="1264" spans="19:55" ht="15.75" customHeight="1">
      <c r="S1264" s="454"/>
      <c r="BA1264" s="1266"/>
      <c r="BC1264" s="169"/>
    </row>
    <row r="1265" spans="19:55" ht="15.75" customHeight="1">
      <c r="S1265" s="454"/>
      <c r="BA1265" s="1266"/>
      <c r="BC1265" s="169"/>
    </row>
    <row r="1266" spans="19:55" ht="15.75" customHeight="1">
      <c r="S1266" s="454"/>
      <c r="BA1266" s="1266"/>
      <c r="BC1266" s="169"/>
    </row>
    <row r="1267" spans="19:55" ht="15.75" customHeight="1">
      <c r="S1267" s="454"/>
      <c r="BA1267" s="1266"/>
      <c r="BC1267" s="169"/>
    </row>
    <row r="1268" spans="19:55" ht="15.75" customHeight="1">
      <c r="S1268" s="454"/>
      <c r="BA1268" s="1266"/>
      <c r="BC1268" s="169"/>
    </row>
    <row r="1269" spans="19:55" ht="15.75" customHeight="1">
      <c r="S1269" s="454"/>
      <c r="BA1269" s="1266"/>
      <c r="BC1269" s="169"/>
    </row>
    <row r="1270" spans="19:55" ht="15.75" customHeight="1">
      <c r="S1270" s="454"/>
      <c r="BA1270" s="1266"/>
      <c r="BC1270" s="169"/>
    </row>
    <row r="1271" spans="19:55" ht="15.75" customHeight="1">
      <c r="S1271" s="454"/>
      <c r="BA1271" s="1266"/>
      <c r="BC1271" s="169"/>
    </row>
    <row r="1272" spans="19:55" ht="15.75" customHeight="1">
      <c r="S1272" s="454"/>
      <c r="BA1272" s="1266"/>
      <c r="BC1272" s="169"/>
    </row>
    <row r="1273" spans="19:55" ht="15.75" customHeight="1">
      <c r="S1273" s="454"/>
      <c r="BA1273" s="1266"/>
      <c r="BC1273" s="169"/>
    </row>
    <row r="1274" spans="19:55" ht="15.75" customHeight="1">
      <c r="S1274" s="454"/>
      <c r="BA1274" s="1266"/>
      <c r="BC1274" s="169"/>
    </row>
    <row r="1275" spans="19:55" ht="15.75" customHeight="1">
      <c r="S1275" s="454"/>
      <c r="BA1275" s="1266"/>
      <c r="BC1275" s="169"/>
    </row>
    <row r="1276" spans="19:55" ht="15.75" customHeight="1">
      <c r="S1276" s="454"/>
      <c r="BA1276" s="1266"/>
      <c r="BC1276" s="169"/>
    </row>
    <row r="1277" spans="19:55" ht="15.75" customHeight="1">
      <c r="S1277" s="454"/>
      <c r="BA1277" s="1266"/>
      <c r="BC1277" s="169"/>
    </row>
    <row r="1278" spans="19:55" ht="15.75" customHeight="1">
      <c r="S1278" s="454"/>
      <c r="BA1278" s="1266"/>
      <c r="BC1278" s="169"/>
    </row>
    <row r="1279" spans="19:55" ht="15.75" customHeight="1">
      <c r="S1279" s="454"/>
      <c r="BA1279" s="1266"/>
      <c r="BC1279" s="169"/>
    </row>
    <row r="1280" spans="19:55" ht="15.75" customHeight="1">
      <c r="S1280" s="454"/>
      <c r="BA1280" s="1266"/>
      <c r="BC1280" s="169"/>
    </row>
    <row r="1281" spans="19:55" ht="15.75" customHeight="1">
      <c r="S1281" s="454"/>
      <c r="BA1281" s="1266"/>
      <c r="BC1281" s="169"/>
    </row>
    <row r="1282" spans="19:55" ht="15.75" customHeight="1">
      <c r="S1282" s="454"/>
      <c r="BA1282" s="1266"/>
      <c r="BC1282" s="169"/>
    </row>
    <row r="1283" spans="19:55" ht="15.75" customHeight="1">
      <c r="S1283" s="454"/>
      <c r="BA1283" s="1266"/>
      <c r="BC1283" s="169"/>
    </row>
    <row r="1284" spans="19:55" ht="15.75" customHeight="1">
      <c r="S1284" s="454"/>
      <c r="BA1284" s="1266"/>
      <c r="BC1284" s="169"/>
    </row>
    <row r="1285" spans="19:55" ht="15.75" customHeight="1">
      <c r="S1285" s="454"/>
      <c r="BA1285" s="1266"/>
      <c r="BC1285" s="169"/>
    </row>
    <row r="1286" spans="19:55" ht="15.75" customHeight="1">
      <c r="S1286" s="454"/>
      <c r="BA1286" s="1266"/>
      <c r="BC1286" s="169"/>
    </row>
    <row r="1287" spans="19:55" ht="15.75" customHeight="1">
      <c r="S1287" s="454"/>
      <c r="BA1287" s="1266"/>
      <c r="BC1287" s="169"/>
    </row>
    <row r="1288" spans="19:55" ht="15.75" customHeight="1">
      <c r="S1288" s="454"/>
      <c r="BA1288" s="1266"/>
      <c r="BC1288" s="169"/>
    </row>
    <row r="1289" spans="19:55" ht="15.75" customHeight="1">
      <c r="S1289" s="454"/>
      <c r="BA1289" s="1266"/>
      <c r="BC1289" s="169"/>
    </row>
    <row r="1290" spans="19:55" ht="15.75" customHeight="1">
      <c r="S1290" s="454"/>
      <c r="BA1290" s="1266"/>
      <c r="BC1290" s="169"/>
    </row>
    <row r="1291" spans="19:55" ht="15.75" customHeight="1">
      <c r="S1291" s="454"/>
      <c r="BA1291" s="1266"/>
      <c r="BC1291" s="169"/>
    </row>
    <row r="1292" spans="19:55" ht="15.75" customHeight="1">
      <c r="S1292" s="454"/>
      <c r="BA1292" s="1266"/>
      <c r="BC1292" s="169"/>
    </row>
    <row r="1293" spans="19:55" ht="15.75" customHeight="1">
      <c r="S1293" s="454"/>
      <c r="BA1293" s="1266"/>
      <c r="BC1293" s="169"/>
    </row>
    <row r="1294" spans="19:55" ht="15.75" customHeight="1">
      <c r="S1294" s="454"/>
      <c r="BA1294" s="1266"/>
      <c r="BC1294" s="169"/>
    </row>
    <row r="1295" spans="19:55" ht="15.75" customHeight="1">
      <c r="S1295" s="454"/>
      <c r="BA1295" s="1266"/>
      <c r="BC1295" s="169"/>
    </row>
    <row r="1296" spans="19:55" ht="15.75" customHeight="1">
      <c r="S1296" s="454"/>
      <c r="BA1296" s="1266"/>
      <c r="BC1296" s="169"/>
    </row>
    <row r="1297" spans="19:55" ht="15.75" customHeight="1">
      <c r="S1297" s="454"/>
      <c r="BA1297" s="1266"/>
      <c r="BC1297" s="169"/>
    </row>
    <row r="1298" spans="19:55" ht="15.75" customHeight="1">
      <c r="S1298" s="454"/>
      <c r="BA1298" s="1266"/>
      <c r="BC1298" s="169"/>
    </row>
    <row r="1299" spans="19:55" ht="15.75" customHeight="1">
      <c r="S1299" s="454"/>
      <c r="BA1299" s="1266"/>
      <c r="BC1299" s="169"/>
    </row>
    <row r="1300" spans="19:55" ht="15.75" customHeight="1">
      <c r="S1300" s="454"/>
      <c r="BA1300" s="1266"/>
      <c r="BC1300" s="169"/>
    </row>
    <row r="1301" spans="19:55" ht="15.75" customHeight="1">
      <c r="S1301" s="454"/>
      <c r="BA1301" s="1266"/>
      <c r="BC1301" s="169"/>
    </row>
    <row r="1302" spans="19:55" ht="15.75" customHeight="1">
      <c r="S1302" s="454"/>
      <c r="BA1302" s="1266"/>
      <c r="BC1302" s="169"/>
    </row>
    <row r="1303" spans="19:55" ht="15.75" customHeight="1">
      <c r="S1303" s="454"/>
      <c r="BA1303" s="1266"/>
      <c r="BC1303" s="169"/>
    </row>
    <row r="1304" spans="19:55" ht="15.75" customHeight="1">
      <c r="S1304" s="454"/>
      <c r="BA1304" s="1266"/>
      <c r="BC1304" s="169"/>
    </row>
    <row r="1305" spans="19:55" ht="15.75" customHeight="1">
      <c r="S1305" s="454"/>
      <c r="BA1305" s="1266"/>
      <c r="BC1305" s="169"/>
    </row>
    <row r="1306" spans="19:55" ht="15.75" customHeight="1">
      <c r="S1306" s="454"/>
      <c r="BC1306" s="169"/>
    </row>
    <row r="1307" spans="19:55" ht="15.75" customHeight="1">
      <c r="S1307" s="454"/>
      <c r="BC1307" s="169"/>
    </row>
    <row r="1308" spans="19:55" ht="15.75" customHeight="1">
      <c r="S1308" s="454"/>
      <c r="BC1308" s="169"/>
    </row>
    <row r="1309" spans="19:55" ht="15.75" customHeight="1">
      <c r="S1309" s="454"/>
      <c r="BC1309" s="169"/>
    </row>
    <row r="1310" spans="19:55" ht="15.75" customHeight="1">
      <c r="S1310" s="454"/>
      <c r="BC1310" s="169"/>
    </row>
    <row r="1311" spans="19:55" ht="15.75" customHeight="1">
      <c r="S1311" s="454"/>
      <c r="BC1311" s="169"/>
    </row>
    <row r="1312" spans="19:55" ht="15.75" customHeight="1">
      <c r="S1312" s="454"/>
      <c r="BC1312" s="169"/>
    </row>
    <row r="1313" spans="19:55" ht="15.75" customHeight="1">
      <c r="S1313" s="454"/>
      <c r="BC1313" s="169"/>
    </row>
    <row r="1314" spans="19:55" ht="15.75" customHeight="1">
      <c r="S1314" s="454"/>
      <c r="BC1314" s="169"/>
    </row>
    <row r="1315" spans="19:55" ht="15.75" customHeight="1">
      <c r="S1315" s="454"/>
      <c r="BC1315" s="169"/>
    </row>
    <row r="1316" spans="19:55" ht="15.75" customHeight="1">
      <c r="S1316" s="454"/>
      <c r="BC1316" s="169"/>
    </row>
    <row r="1317" spans="19:55" ht="15.75" customHeight="1">
      <c r="S1317" s="454"/>
      <c r="BC1317" s="169"/>
    </row>
    <row r="1318" spans="19:55" ht="15.75" customHeight="1">
      <c r="S1318" s="454"/>
      <c r="BC1318" s="169"/>
    </row>
    <row r="1319" spans="19:55" ht="15.75" customHeight="1">
      <c r="S1319" s="454"/>
      <c r="BC1319" s="169"/>
    </row>
    <row r="1320" spans="19:55" ht="15.75" customHeight="1">
      <c r="S1320" s="454"/>
      <c r="BC1320" s="169"/>
    </row>
    <row r="1321" spans="19:55" ht="15.75" customHeight="1">
      <c r="S1321" s="454"/>
      <c r="BC1321" s="169"/>
    </row>
    <row r="1322" spans="19:55" ht="15.75" customHeight="1">
      <c r="S1322" s="454"/>
      <c r="BC1322" s="169"/>
    </row>
    <row r="1323" spans="19:55" ht="15.75" customHeight="1">
      <c r="S1323" s="454"/>
      <c r="BC1323" s="169"/>
    </row>
    <row r="1324" spans="19:55" ht="15.75" customHeight="1">
      <c r="S1324" s="454"/>
      <c r="BC1324" s="169"/>
    </row>
    <row r="1325" spans="19:55" ht="15.75" customHeight="1">
      <c r="S1325" s="454"/>
      <c r="BC1325" s="169"/>
    </row>
    <row r="1326" spans="19:55" ht="15.75" customHeight="1">
      <c r="S1326" s="454"/>
      <c r="BC1326" s="169"/>
    </row>
    <row r="1327" spans="19:55" ht="15.75" customHeight="1">
      <c r="S1327" s="454"/>
      <c r="BC1327" s="169"/>
    </row>
    <row r="1328" spans="19:55" ht="15.75" customHeight="1">
      <c r="S1328" s="454"/>
      <c r="BC1328" s="169"/>
    </row>
    <row r="1329" spans="19:55" ht="15.75" customHeight="1">
      <c r="S1329" s="454"/>
      <c r="BC1329" s="169"/>
    </row>
    <row r="1330" spans="19:55" ht="15.75" customHeight="1">
      <c r="S1330" s="454"/>
      <c r="BC1330" s="169"/>
    </row>
    <row r="1331" spans="19:55" ht="15.75" customHeight="1">
      <c r="S1331" s="454"/>
      <c r="BC1331" s="169"/>
    </row>
    <row r="1332" spans="19:55" ht="15.75" customHeight="1">
      <c r="S1332" s="454"/>
      <c r="BC1332" s="169"/>
    </row>
    <row r="1333" spans="19:55" ht="15.75" customHeight="1">
      <c r="S1333" s="454"/>
      <c r="BC1333" s="169"/>
    </row>
    <row r="1334" spans="19:55" ht="15.75" customHeight="1">
      <c r="S1334" s="454"/>
      <c r="BC1334" s="169"/>
    </row>
    <row r="1335" spans="19:55" ht="15.75" customHeight="1">
      <c r="S1335" s="454"/>
      <c r="BC1335" s="169"/>
    </row>
    <row r="1336" spans="19:55" ht="15.75" customHeight="1">
      <c r="S1336" s="454"/>
      <c r="BC1336" s="169"/>
    </row>
    <row r="1337" spans="19:55" ht="15.75" customHeight="1">
      <c r="S1337" s="454"/>
      <c r="BC1337" s="169"/>
    </row>
    <row r="1338" spans="19:55" ht="15.75" customHeight="1">
      <c r="S1338" s="454"/>
      <c r="BC1338" s="169"/>
    </row>
    <row r="1339" spans="19:55" ht="15.75" customHeight="1">
      <c r="S1339" s="454"/>
      <c r="BC1339" s="169"/>
    </row>
    <row r="1340" spans="19:55" ht="15.75" customHeight="1">
      <c r="S1340" s="454"/>
      <c r="BC1340" s="169"/>
    </row>
    <row r="1341" spans="19:55" ht="15.75" customHeight="1">
      <c r="S1341" s="454"/>
      <c r="BC1341" s="169"/>
    </row>
    <row r="1342" spans="19:55" ht="15.75" customHeight="1">
      <c r="S1342" s="454"/>
      <c r="BC1342" s="169"/>
    </row>
    <row r="1343" spans="19:55" ht="15.75" customHeight="1">
      <c r="S1343" s="454"/>
      <c r="BC1343" s="169"/>
    </row>
    <row r="1344" spans="19:55" ht="15.75" customHeight="1">
      <c r="S1344" s="454"/>
      <c r="BC1344" s="169"/>
    </row>
    <row r="1345" spans="19:55" ht="15.75" customHeight="1">
      <c r="S1345" s="454"/>
      <c r="BC1345" s="169"/>
    </row>
    <row r="1346" spans="19:55" ht="15.75" customHeight="1">
      <c r="S1346" s="454"/>
      <c r="BC1346" s="169"/>
    </row>
    <row r="1347" spans="19:55" ht="15.75" customHeight="1">
      <c r="S1347" s="454"/>
      <c r="BC1347" s="169"/>
    </row>
    <row r="1348" spans="19:55" ht="15.75" customHeight="1">
      <c r="S1348" s="454"/>
      <c r="BC1348" s="169"/>
    </row>
    <row r="1349" spans="19:55" ht="15.75" customHeight="1">
      <c r="S1349" s="454"/>
      <c r="BC1349" s="169"/>
    </row>
    <row r="1350" spans="19:55" ht="15.75" customHeight="1">
      <c r="S1350" s="454"/>
      <c r="BC1350" s="169"/>
    </row>
    <row r="1351" spans="19:55" ht="15.75" customHeight="1">
      <c r="S1351" s="454"/>
      <c r="BC1351" s="169"/>
    </row>
    <row r="1352" spans="19:55" ht="15.75" customHeight="1">
      <c r="S1352" s="454"/>
      <c r="BC1352" s="169"/>
    </row>
    <row r="1353" spans="19:55" ht="15.75" customHeight="1">
      <c r="S1353" s="454"/>
      <c r="BC1353" s="169"/>
    </row>
    <row r="1354" spans="19:55" ht="15.75" customHeight="1">
      <c r="S1354" s="454"/>
      <c r="BC1354" s="169"/>
    </row>
    <row r="1355" spans="19:55" ht="15.75" customHeight="1">
      <c r="S1355" s="454"/>
      <c r="BC1355" s="169"/>
    </row>
    <row r="1356" spans="19:55" ht="15.75" customHeight="1">
      <c r="S1356" s="454"/>
      <c r="BC1356" s="169"/>
    </row>
    <row r="1357" spans="19:55" ht="15.75" customHeight="1">
      <c r="S1357" s="454"/>
      <c r="BC1357" s="169"/>
    </row>
    <row r="1358" spans="19:55" ht="15.75" customHeight="1">
      <c r="S1358" s="454"/>
      <c r="BC1358" s="169"/>
    </row>
    <row r="1359" spans="19:55" ht="15.75" customHeight="1">
      <c r="S1359" s="454"/>
      <c r="BC1359" s="169"/>
    </row>
    <row r="1360" spans="19:55" ht="15.75" customHeight="1">
      <c r="S1360" s="454"/>
      <c r="BC1360" s="169"/>
    </row>
    <row r="1361" spans="19:55" ht="15.75" customHeight="1">
      <c r="S1361" s="454"/>
      <c r="BC1361" s="169"/>
    </row>
    <row r="1362" spans="19:55" ht="15.75" customHeight="1">
      <c r="S1362" s="454"/>
      <c r="BC1362" s="169"/>
    </row>
    <row r="1363" spans="19:55" ht="15.75" customHeight="1">
      <c r="S1363" s="454"/>
      <c r="BC1363" s="169"/>
    </row>
    <row r="1364" spans="19:55" ht="15.75" customHeight="1">
      <c r="S1364" s="454"/>
      <c r="BC1364" s="169"/>
    </row>
    <row r="1365" spans="19:55" ht="15.75" customHeight="1">
      <c r="S1365" s="454"/>
      <c r="BC1365" s="169"/>
    </row>
    <row r="1366" spans="19:55" ht="15.75" customHeight="1">
      <c r="S1366" s="454"/>
      <c r="BC1366" s="169"/>
    </row>
    <row r="1367" spans="19:55" ht="15.75" customHeight="1">
      <c r="S1367" s="454"/>
      <c r="BC1367" s="169"/>
    </row>
    <row r="1368" spans="19:55" ht="15.75" customHeight="1">
      <c r="S1368" s="454"/>
      <c r="BC1368" s="169"/>
    </row>
    <row r="1369" spans="19:55" ht="15.75" customHeight="1">
      <c r="S1369" s="454"/>
      <c r="BC1369" s="169"/>
    </row>
    <row r="1370" spans="19:55" ht="15.75" customHeight="1">
      <c r="S1370" s="454"/>
      <c r="BC1370" s="169"/>
    </row>
    <row r="1371" spans="19:55" ht="15.75" customHeight="1">
      <c r="S1371" s="454"/>
      <c r="BC1371" s="169"/>
    </row>
    <row r="1372" spans="19:55" ht="15.75" customHeight="1">
      <c r="S1372" s="454"/>
      <c r="BC1372" s="169"/>
    </row>
    <row r="1373" spans="19:55" ht="15.75" customHeight="1">
      <c r="S1373" s="454"/>
      <c r="BC1373" s="169"/>
    </row>
    <row r="1374" spans="19:55" ht="15.75" customHeight="1">
      <c r="S1374" s="454"/>
      <c r="BC1374" s="169"/>
    </row>
    <row r="1375" spans="19:55" ht="15.75" customHeight="1">
      <c r="S1375" s="454"/>
      <c r="BC1375" s="169"/>
    </row>
    <row r="1376" spans="19:55" ht="15.75" customHeight="1">
      <c r="S1376" s="454"/>
      <c r="BC1376" s="169"/>
    </row>
    <row r="1377" spans="19:55" ht="15.75" customHeight="1">
      <c r="S1377" s="454"/>
      <c r="BC1377" s="169"/>
    </row>
    <row r="1378" spans="19:55" ht="15.75" customHeight="1">
      <c r="S1378" s="454"/>
      <c r="BC1378" s="169"/>
    </row>
    <row r="1379" spans="19:55" ht="15.75" customHeight="1">
      <c r="S1379" s="454"/>
      <c r="BC1379" s="169"/>
    </row>
    <row r="1380" spans="19:55" ht="15.75" customHeight="1">
      <c r="S1380" s="454"/>
      <c r="BC1380" s="169"/>
    </row>
    <row r="1381" spans="19:55" ht="15.75" customHeight="1">
      <c r="S1381" s="454"/>
      <c r="BC1381" s="169"/>
    </row>
    <row r="1382" spans="19:55" ht="15.75" customHeight="1">
      <c r="S1382" s="454"/>
      <c r="BC1382" s="169"/>
    </row>
    <row r="1383" spans="19:55" ht="15.75" customHeight="1">
      <c r="S1383" s="454"/>
      <c r="BC1383" s="169"/>
    </row>
    <row r="1384" spans="19:55" ht="15.75" customHeight="1">
      <c r="S1384" s="454"/>
      <c r="BC1384" s="169"/>
    </row>
    <row r="1385" spans="19:55" ht="15.75" customHeight="1">
      <c r="S1385" s="454"/>
      <c r="BC1385" s="169"/>
    </row>
    <row r="1386" spans="19:55" ht="15.75" customHeight="1">
      <c r="S1386" s="454"/>
      <c r="BC1386" s="169"/>
    </row>
    <row r="1387" spans="19:55" ht="15.75" customHeight="1">
      <c r="S1387" s="454"/>
      <c r="BC1387" s="169"/>
    </row>
    <row r="1388" spans="19:55" ht="15.75" customHeight="1">
      <c r="S1388" s="454"/>
      <c r="BC1388" s="169"/>
    </row>
    <row r="1389" spans="19:55" ht="15.75" customHeight="1">
      <c r="S1389" s="454"/>
      <c r="BC1389" s="169"/>
    </row>
    <row r="1390" spans="19:55" ht="15.75" customHeight="1">
      <c r="S1390" s="454"/>
      <c r="BC1390" s="169"/>
    </row>
    <row r="1391" spans="19:55" ht="15.75" customHeight="1">
      <c r="S1391" s="454"/>
      <c r="BC1391" s="169"/>
    </row>
    <row r="1392" spans="19:55" ht="15.75" customHeight="1">
      <c r="S1392" s="454"/>
      <c r="BC1392" s="169"/>
    </row>
    <row r="1393" spans="19:55" ht="15.75" customHeight="1">
      <c r="S1393" s="454"/>
      <c r="BC1393" s="169"/>
    </row>
    <row r="1394" spans="19:55" ht="15.75" customHeight="1">
      <c r="S1394" s="454"/>
      <c r="BC1394" s="169"/>
    </row>
    <row r="1395" spans="19:55" ht="15.75" customHeight="1">
      <c r="S1395" s="454"/>
      <c r="BC1395" s="169"/>
    </row>
    <row r="1396" spans="19:55" ht="15.75" customHeight="1">
      <c r="S1396" s="454"/>
      <c r="BC1396" s="169"/>
    </row>
    <row r="1397" spans="19:55" ht="15.75" customHeight="1">
      <c r="S1397" s="454"/>
      <c r="BC1397" s="169"/>
    </row>
    <row r="1398" spans="19:55" ht="15.75" customHeight="1">
      <c r="S1398" s="454"/>
      <c r="BC1398" s="169"/>
    </row>
    <row r="1399" spans="19:55" ht="15.75" customHeight="1">
      <c r="S1399" s="454"/>
      <c r="BC1399" s="169"/>
    </row>
    <row r="1400" spans="19:55" ht="15.75" customHeight="1">
      <c r="S1400" s="454"/>
      <c r="BC1400" s="169"/>
    </row>
    <row r="1401" spans="19:55" ht="15.75" customHeight="1">
      <c r="S1401" s="454"/>
      <c r="BC1401" s="169"/>
    </row>
    <row r="1402" spans="19:55" ht="15.75" customHeight="1">
      <c r="S1402" s="454"/>
      <c r="BC1402" s="169"/>
    </row>
    <row r="1403" spans="19:55" ht="15.75" customHeight="1">
      <c r="S1403" s="454"/>
      <c r="BC1403" s="169"/>
    </row>
    <row r="1404" spans="19:55" ht="15.75" customHeight="1">
      <c r="S1404" s="454"/>
      <c r="BC1404" s="169"/>
    </row>
    <row r="1405" spans="19:55" ht="15.75" customHeight="1">
      <c r="S1405" s="454"/>
      <c r="BC1405" s="169"/>
    </row>
    <row r="1406" spans="19:55" ht="15.75" customHeight="1">
      <c r="S1406" s="454"/>
      <c r="BC1406" s="169"/>
    </row>
    <row r="1407" spans="19:55" ht="15.75" customHeight="1">
      <c r="S1407" s="454"/>
      <c r="BC1407" s="169"/>
    </row>
    <row r="1408" spans="19:55" ht="15.75" customHeight="1">
      <c r="S1408" s="454"/>
      <c r="BC1408" s="169"/>
    </row>
    <row r="1409" spans="19:55" ht="15.75" customHeight="1">
      <c r="S1409" s="454"/>
      <c r="BC1409" s="169"/>
    </row>
    <row r="1410" spans="19:55" ht="15.75" customHeight="1">
      <c r="S1410" s="454"/>
      <c r="BC1410" s="169"/>
    </row>
    <row r="1411" spans="19:55" ht="15.75" customHeight="1">
      <c r="S1411" s="454"/>
      <c r="BC1411" s="169"/>
    </row>
    <row r="1412" spans="19:55" ht="15.75" customHeight="1">
      <c r="S1412" s="454"/>
      <c r="BC1412" s="169"/>
    </row>
    <row r="1413" spans="19:55" ht="15.75" customHeight="1">
      <c r="S1413" s="454"/>
      <c r="BC1413" s="169"/>
    </row>
    <row r="1414" spans="19:55" ht="15.75" customHeight="1">
      <c r="S1414" s="454"/>
      <c r="BC1414" s="169"/>
    </row>
    <row r="1415" spans="19:55" ht="15.75" customHeight="1">
      <c r="S1415" s="454"/>
      <c r="BC1415" s="169"/>
    </row>
    <row r="1416" spans="19:55" ht="15.75" customHeight="1">
      <c r="S1416" s="454"/>
      <c r="BC1416" s="169"/>
    </row>
    <row r="1417" spans="19:55" ht="15.75" customHeight="1">
      <c r="S1417" s="454"/>
      <c r="BC1417" s="169"/>
    </row>
    <row r="1418" spans="19:55" ht="15.75" customHeight="1">
      <c r="S1418" s="454"/>
      <c r="BC1418" s="169"/>
    </row>
    <row r="1419" spans="19:55" ht="15.75" customHeight="1">
      <c r="S1419" s="454"/>
      <c r="BC1419" s="169"/>
    </row>
    <row r="1420" spans="19:55" ht="15.75" customHeight="1">
      <c r="S1420" s="454"/>
      <c r="BC1420" s="169"/>
    </row>
    <row r="1421" spans="19:55" ht="15.75" customHeight="1">
      <c r="S1421" s="454"/>
      <c r="BC1421" s="169"/>
    </row>
    <row r="1422" spans="19:55" ht="15.75" customHeight="1">
      <c r="S1422" s="454"/>
      <c r="BC1422" s="169"/>
    </row>
    <row r="1423" spans="19:55" ht="15.75" customHeight="1">
      <c r="S1423" s="454"/>
      <c r="BC1423" s="169"/>
    </row>
    <row r="1424" spans="19:55" ht="15.75" customHeight="1">
      <c r="S1424" s="454"/>
      <c r="BC1424" s="169"/>
    </row>
    <row r="1425" spans="19:55" ht="15.75" customHeight="1">
      <c r="S1425" s="454"/>
      <c r="BC1425" s="169"/>
    </row>
    <row r="1426" spans="19:55" ht="15.75" customHeight="1">
      <c r="S1426" s="454"/>
      <c r="BC1426" s="169"/>
    </row>
    <row r="1427" spans="19:55" ht="15.75" customHeight="1">
      <c r="S1427" s="454"/>
      <c r="BC1427" s="169"/>
    </row>
    <row r="1428" spans="19:55" ht="15.75" customHeight="1">
      <c r="S1428" s="454"/>
      <c r="BC1428" s="169"/>
    </row>
    <row r="1429" spans="19:55" ht="15.75" customHeight="1">
      <c r="S1429" s="454"/>
      <c r="BC1429" s="169"/>
    </row>
    <row r="1430" spans="19:55" ht="15.75" customHeight="1">
      <c r="S1430" s="454"/>
      <c r="BC1430" s="169"/>
    </row>
    <row r="1431" spans="19:55" ht="15.75" customHeight="1">
      <c r="S1431" s="454"/>
      <c r="BC1431" s="169"/>
    </row>
    <row r="1432" spans="19:55" ht="15.75" customHeight="1">
      <c r="S1432" s="454"/>
      <c r="BC1432" s="169"/>
    </row>
    <row r="1433" spans="19:55" ht="15.75" customHeight="1">
      <c r="S1433" s="454"/>
      <c r="BC1433" s="169"/>
    </row>
    <row r="1434" spans="19:55" ht="15.75" customHeight="1">
      <c r="S1434" s="454"/>
      <c r="BC1434" s="169"/>
    </row>
    <row r="1435" spans="19:55" ht="15.75" customHeight="1">
      <c r="S1435" s="454"/>
      <c r="BC1435" s="169"/>
    </row>
    <row r="1436" spans="19:55" ht="15.75" customHeight="1">
      <c r="S1436" s="454"/>
      <c r="BC1436" s="169"/>
    </row>
    <row r="1437" spans="19:55" ht="15.75" customHeight="1">
      <c r="S1437" s="454"/>
      <c r="BC1437" s="169"/>
    </row>
    <row r="1438" spans="19:55" ht="15.75" customHeight="1">
      <c r="S1438" s="454"/>
      <c r="BC1438" s="169"/>
    </row>
    <row r="1439" spans="19:55" ht="15.75" customHeight="1">
      <c r="S1439" s="454"/>
      <c r="BC1439" s="169"/>
    </row>
    <row r="1440" spans="19:55" ht="15.75" customHeight="1">
      <c r="S1440" s="454"/>
      <c r="BC1440" s="169"/>
    </row>
    <row r="1441" spans="19:55" ht="15.75" customHeight="1">
      <c r="S1441" s="454"/>
      <c r="BC1441" s="169"/>
    </row>
    <row r="1442" spans="19:55" ht="15.75" customHeight="1">
      <c r="S1442" s="454"/>
      <c r="BC1442" s="169"/>
    </row>
    <row r="1443" spans="19:55" ht="15.75" customHeight="1">
      <c r="S1443" s="454"/>
      <c r="BC1443" s="169"/>
    </row>
    <row r="1444" spans="19:55" ht="15.75" customHeight="1">
      <c r="S1444" s="454"/>
      <c r="BC1444" s="169"/>
    </row>
    <row r="1445" spans="19:55" ht="15.75" customHeight="1">
      <c r="S1445" s="454"/>
      <c r="BC1445" s="169"/>
    </row>
    <row r="1446" spans="19:55" ht="15.75" customHeight="1">
      <c r="S1446" s="454"/>
      <c r="BC1446" s="169"/>
    </row>
    <row r="1447" spans="19:55" ht="15.75" customHeight="1">
      <c r="S1447" s="454"/>
      <c r="BC1447" s="169"/>
    </row>
    <row r="1448" spans="19:55" ht="15.75" customHeight="1">
      <c r="S1448" s="454"/>
      <c r="BC1448" s="169"/>
    </row>
    <row r="1449" spans="19:55" ht="15.75" customHeight="1">
      <c r="S1449" s="454"/>
      <c r="BC1449" s="169"/>
    </row>
    <row r="1450" spans="19:55" ht="15.75" customHeight="1">
      <c r="S1450" s="454"/>
      <c r="BC1450" s="169"/>
    </row>
    <row r="1451" spans="19:55" ht="15.75" customHeight="1">
      <c r="S1451" s="454"/>
      <c r="BC1451" s="169"/>
    </row>
    <row r="1452" spans="19:55" ht="15.75" customHeight="1">
      <c r="S1452" s="454"/>
      <c r="BC1452" s="169"/>
    </row>
    <row r="1453" spans="19:55" ht="15.75" customHeight="1">
      <c r="S1453" s="454"/>
      <c r="BC1453" s="169"/>
    </row>
    <row r="1454" spans="19:55" ht="15.75" customHeight="1">
      <c r="S1454" s="454"/>
      <c r="BC1454" s="169"/>
    </row>
    <row r="1455" spans="19:55" ht="15.75" customHeight="1">
      <c r="S1455" s="454"/>
      <c r="BC1455" s="169"/>
    </row>
    <row r="1456" spans="19:55" ht="15.75" customHeight="1">
      <c r="S1456" s="454"/>
      <c r="BC1456" s="169"/>
    </row>
    <row r="1457" spans="19:55" ht="15.75" customHeight="1">
      <c r="S1457" s="454"/>
      <c r="BC1457" s="169"/>
    </row>
    <row r="1458" spans="19:55" ht="15.75" customHeight="1">
      <c r="S1458" s="454"/>
      <c r="BC1458" s="169"/>
    </row>
    <row r="1459" spans="19:55" ht="15.75" customHeight="1">
      <c r="S1459" s="454"/>
      <c r="BC1459" s="169"/>
    </row>
    <row r="1460" spans="19:55" ht="15.75" customHeight="1">
      <c r="S1460" s="454"/>
      <c r="BC1460" s="169"/>
    </row>
    <row r="1461" spans="19:55" ht="15.75" customHeight="1">
      <c r="S1461" s="454"/>
      <c r="BC1461" s="169"/>
    </row>
    <row r="1462" spans="19:55" ht="15.75" customHeight="1">
      <c r="S1462" s="454"/>
      <c r="BC1462" s="169"/>
    </row>
    <row r="1463" spans="19:55" ht="15.75" customHeight="1">
      <c r="S1463" s="454"/>
      <c r="BC1463" s="169"/>
    </row>
    <row r="1464" spans="19:55" ht="15.75" customHeight="1">
      <c r="S1464" s="454"/>
      <c r="BC1464" s="169"/>
    </row>
    <row r="1465" spans="19:55" ht="15.75" customHeight="1">
      <c r="S1465" s="454"/>
      <c r="BC1465" s="169"/>
    </row>
    <row r="1466" spans="19:55" ht="15.75" customHeight="1">
      <c r="S1466" s="454"/>
      <c r="BC1466" s="169"/>
    </row>
    <row r="1467" spans="19:55" ht="15.75" customHeight="1">
      <c r="S1467" s="454"/>
      <c r="BC1467" s="169"/>
    </row>
    <row r="1468" spans="19:55" ht="15.75" customHeight="1">
      <c r="S1468" s="454"/>
      <c r="BC1468" s="169"/>
    </row>
    <row r="1469" spans="19:55" ht="15.75" customHeight="1">
      <c r="S1469" s="454"/>
      <c r="BC1469" s="169"/>
    </row>
    <row r="1470" spans="19:55" ht="15.75" customHeight="1">
      <c r="S1470" s="454"/>
      <c r="BC1470" s="169"/>
    </row>
    <row r="1471" spans="19:55" ht="15.75" customHeight="1">
      <c r="S1471" s="454"/>
      <c r="BC1471" s="169"/>
    </row>
    <row r="1472" spans="19:55" ht="15.75" customHeight="1">
      <c r="S1472" s="454"/>
      <c r="BC1472" s="169"/>
    </row>
    <row r="1473" spans="19:55" ht="15.75" customHeight="1">
      <c r="S1473" s="454"/>
      <c r="BC1473" s="169"/>
    </row>
    <row r="1474" spans="19:55" ht="15.75" customHeight="1">
      <c r="S1474" s="454"/>
      <c r="BC1474" s="169"/>
    </row>
    <row r="1475" spans="19:55" ht="15.75" customHeight="1">
      <c r="S1475" s="454"/>
      <c r="BC1475" s="169"/>
    </row>
    <row r="1476" spans="19:55" ht="15.75" customHeight="1">
      <c r="S1476" s="454"/>
      <c r="BC1476" s="169"/>
    </row>
    <row r="1477" spans="19:55" ht="15.75" customHeight="1">
      <c r="S1477" s="454"/>
      <c r="BC1477" s="169"/>
    </row>
    <row r="1478" spans="19:55" ht="15.75" customHeight="1">
      <c r="S1478" s="454"/>
      <c r="BC1478" s="169"/>
    </row>
    <row r="1479" spans="19:55" ht="15.75" customHeight="1">
      <c r="S1479" s="454"/>
      <c r="BC1479" s="169"/>
    </row>
    <row r="1480" spans="19:55" ht="15.75" customHeight="1">
      <c r="S1480" s="454"/>
      <c r="BC1480" s="169"/>
    </row>
    <row r="1481" spans="19:55" ht="15.75" customHeight="1">
      <c r="S1481" s="454"/>
      <c r="BC1481" s="169"/>
    </row>
    <row r="1482" spans="19:55" ht="15.75" customHeight="1">
      <c r="S1482" s="454"/>
      <c r="BC1482" s="169"/>
    </row>
    <row r="1483" spans="19:55" ht="15.75" customHeight="1">
      <c r="S1483" s="454"/>
      <c r="BC1483" s="169"/>
    </row>
    <row r="1484" spans="19:55" ht="15.75" customHeight="1">
      <c r="S1484" s="454"/>
      <c r="BC1484" s="169"/>
    </row>
    <row r="1485" spans="19:55" ht="15.75" customHeight="1">
      <c r="S1485" s="454"/>
      <c r="BC1485" s="169"/>
    </row>
    <row r="1486" spans="19:55" ht="15.75" customHeight="1">
      <c r="S1486" s="454"/>
      <c r="BC1486" s="169"/>
    </row>
    <row r="1487" spans="19:55" ht="15.75" customHeight="1">
      <c r="S1487" s="454"/>
      <c r="BC1487" s="169"/>
    </row>
    <row r="1488" spans="19:55" ht="15.75" customHeight="1">
      <c r="S1488" s="454"/>
      <c r="BC1488" s="169"/>
    </row>
    <row r="1489" spans="19:55" ht="15.75" customHeight="1">
      <c r="S1489" s="454"/>
      <c r="BC1489" s="169"/>
    </row>
    <row r="1490" spans="19:55" ht="15.75" customHeight="1">
      <c r="S1490" s="454"/>
      <c r="BC1490" s="169"/>
    </row>
    <row r="1491" spans="19:55" ht="15.75" customHeight="1">
      <c r="S1491" s="454"/>
      <c r="BC1491" s="169"/>
    </row>
    <row r="1492" spans="19:55" ht="15.75" customHeight="1">
      <c r="S1492" s="454"/>
      <c r="BC1492" s="169"/>
    </row>
    <row r="1493" spans="19:55" ht="15.75" customHeight="1">
      <c r="S1493" s="454"/>
      <c r="BC1493" s="169"/>
    </row>
    <row r="1494" spans="19:55" ht="15.75" customHeight="1">
      <c r="BC1494" s="169"/>
    </row>
    <row r="1495" spans="19:55" ht="15.75" customHeight="1">
      <c r="BC1495" s="169"/>
    </row>
    <row r="1496" spans="19:55" ht="15.75" customHeight="1">
      <c r="BC1496" s="169"/>
    </row>
    <row r="1497" spans="19:55" ht="15.75" customHeight="1">
      <c r="BC1497" s="169"/>
    </row>
    <row r="1498" spans="19:55" ht="15.75" customHeight="1">
      <c r="BC1498" s="169"/>
    </row>
    <row r="1499" spans="19:55" ht="15.75" customHeight="1">
      <c r="BC1499" s="169"/>
    </row>
    <row r="1500" spans="19:55" ht="15.75" customHeight="1">
      <c r="BC1500" s="169"/>
    </row>
    <row r="1501" spans="19:55" ht="15.75" customHeight="1">
      <c r="BC1501" s="169"/>
    </row>
    <row r="1502" spans="19:55" ht="15.75" customHeight="1">
      <c r="BC1502" s="169"/>
    </row>
    <row r="1503" spans="19:55" ht="15.75" customHeight="1">
      <c r="BC1503" s="169"/>
    </row>
    <row r="1504" spans="19:55" ht="15.75" customHeight="1">
      <c r="BC1504" s="169"/>
    </row>
    <row r="1505" spans="55:55" ht="15.75" customHeight="1">
      <c r="BC1505" s="169"/>
    </row>
    <row r="1506" spans="55:55" ht="15.75" customHeight="1">
      <c r="BC1506" s="169"/>
    </row>
    <row r="1507" spans="55:55" ht="15.75" customHeight="1">
      <c r="BC1507" s="169"/>
    </row>
    <row r="1508" spans="55:55" ht="15.75" customHeight="1">
      <c r="BC1508" s="169"/>
    </row>
    <row r="1509" spans="55:55" ht="15.75" customHeight="1">
      <c r="BC1509" s="169"/>
    </row>
    <row r="1510" spans="55:55" ht="15.75" customHeight="1">
      <c r="BC1510" s="169"/>
    </row>
    <row r="1511" spans="55:55" ht="15.75" customHeight="1">
      <c r="BC1511" s="169"/>
    </row>
    <row r="1512" spans="55:55" ht="15.75" customHeight="1">
      <c r="BC1512" s="169"/>
    </row>
    <row r="1513" spans="55:55" ht="15.75" customHeight="1">
      <c r="BC1513" s="169"/>
    </row>
    <row r="1514" spans="55:55" ht="15.75" customHeight="1">
      <c r="BC1514" s="169"/>
    </row>
    <row r="1515" spans="55:55" ht="15.75" customHeight="1">
      <c r="BC1515" s="169"/>
    </row>
    <row r="1516" spans="55:55" ht="15.75" customHeight="1">
      <c r="BC1516" s="169"/>
    </row>
    <row r="1517" spans="55:55" ht="15.75" customHeight="1">
      <c r="BC1517" s="169"/>
    </row>
    <row r="1518" spans="55:55" ht="15.75" customHeight="1">
      <c r="BC1518" s="169"/>
    </row>
    <row r="1519" spans="55:55" ht="15.75" customHeight="1">
      <c r="BC1519" s="169"/>
    </row>
    <row r="1520" spans="55:55" ht="15.75" customHeight="1">
      <c r="BC1520" s="169"/>
    </row>
    <row r="1521" spans="55:55" ht="15.75" customHeight="1">
      <c r="BC1521" s="169"/>
    </row>
    <row r="1522" spans="55:55" ht="15.75" customHeight="1">
      <c r="BC1522" s="169"/>
    </row>
    <row r="1523" spans="55:55" ht="15.75" customHeight="1">
      <c r="BC1523" s="169"/>
    </row>
    <row r="1524" spans="55:55" ht="15.75" customHeight="1">
      <c r="BC1524" s="169"/>
    </row>
    <row r="1525" spans="55:55" ht="15.75" customHeight="1">
      <c r="BC1525" s="169"/>
    </row>
    <row r="1526" spans="55:55" ht="15.75" customHeight="1">
      <c r="BC1526" s="169"/>
    </row>
    <row r="1527" spans="55:55" ht="15.75" customHeight="1">
      <c r="BC1527" s="169"/>
    </row>
    <row r="1528" spans="55:55" ht="15.75" customHeight="1">
      <c r="BC1528" s="169"/>
    </row>
    <row r="1529" spans="55:55" ht="15.75" customHeight="1">
      <c r="BC1529" s="169"/>
    </row>
    <row r="1530" spans="55:55" ht="15.75" customHeight="1">
      <c r="BC1530" s="169"/>
    </row>
    <row r="1531" spans="55:55" ht="15.75" customHeight="1">
      <c r="BC1531" s="169"/>
    </row>
    <row r="1532" spans="55:55" ht="15.75" customHeight="1">
      <c r="BC1532" s="169"/>
    </row>
    <row r="1533" spans="55:55" ht="15.75" customHeight="1">
      <c r="BC1533" s="169"/>
    </row>
    <row r="1534" spans="55:55" ht="15.75" customHeight="1">
      <c r="BC1534" s="169"/>
    </row>
    <row r="1535" spans="55:55" ht="15.75" customHeight="1">
      <c r="BC1535" s="169"/>
    </row>
    <row r="1536" spans="55:55" ht="15.75" customHeight="1">
      <c r="BC1536" s="169"/>
    </row>
    <row r="1537" spans="55:55" ht="15.75" customHeight="1">
      <c r="BC1537" s="169"/>
    </row>
    <row r="1538" spans="55:55" ht="15.75" customHeight="1">
      <c r="BC1538" s="169"/>
    </row>
    <row r="1539" spans="55:55" ht="15.75" customHeight="1">
      <c r="BC1539" s="169"/>
    </row>
    <row r="1540" spans="55:55" ht="15.75" customHeight="1">
      <c r="BC1540" s="169"/>
    </row>
    <row r="1541" spans="55:55" ht="15.75" customHeight="1">
      <c r="BC1541" s="169"/>
    </row>
    <row r="1542" spans="55:55" ht="15.75" customHeight="1">
      <c r="BC1542" s="169"/>
    </row>
    <row r="1543" spans="55:55" ht="15.75" customHeight="1">
      <c r="BC1543" s="169"/>
    </row>
    <row r="1544" spans="55:55" ht="15.75" customHeight="1">
      <c r="BC1544" s="169"/>
    </row>
    <row r="1545" spans="55:55" ht="15.75" customHeight="1">
      <c r="BC1545" s="169"/>
    </row>
    <row r="1546" spans="55:55" ht="15.75" customHeight="1">
      <c r="BC1546" s="169"/>
    </row>
    <row r="1547" spans="55:55" ht="15.75" customHeight="1">
      <c r="BC1547" s="169"/>
    </row>
    <row r="1548" spans="55:55" ht="15.75" customHeight="1">
      <c r="BC1548" s="169"/>
    </row>
    <row r="1549" spans="55:55" ht="15.75" customHeight="1">
      <c r="BC1549" s="169"/>
    </row>
    <row r="1550" spans="55:55" ht="15.75" customHeight="1">
      <c r="BC1550" s="169"/>
    </row>
    <row r="1551" spans="55:55" ht="15.75" customHeight="1">
      <c r="BC1551" s="169"/>
    </row>
    <row r="1552" spans="55:55" ht="15.75" customHeight="1">
      <c r="BC1552" s="169"/>
    </row>
    <row r="1553" spans="55:55" ht="15.75" customHeight="1">
      <c r="BC1553" s="169"/>
    </row>
    <row r="1554" spans="55:55" ht="15.75" customHeight="1">
      <c r="BC1554" s="169"/>
    </row>
    <row r="1555" spans="55:55" ht="15.75" customHeight="1">
      <c r="BC1555" s="169"/>
    </row>
    <row r="1556" spans="55:55" ht="15.75" customHeight="1">
      <c r="BC1556" s="169"/>
    </row>
    <row r="1557" spans="55:55" ht="15.75" customHeight="1">
      <c r="BC1557" s="169"/>
    </row>
    <row r="1558" spans="55:55" ht="15.75" customHeight="1">
      <c r="BC1558" s="169"/>
    </row>
    <row r="1559" spans="55:55" ht="15.75" customHeight="1">
      <c r="BC1559" s="169"/>
    </row>
    <row r="1560" spans="55:55" ht="15.75" customHeight="1">
      <c r="BC1560" s="169"/>
    </row>
    <row r="1561" spans="55:55" ht="15.75" customHeight="1">
      <c r="BC1561" s="169"/>
    </row>
    <row r="1562" spans="55:55" ht="15.75" customHeight="1">
      <c r="BC1562" s="169"/>
    </row>
    <row r="1563" spans="55:55" ht="15.75" customHeight="1">
      <c r="BC1563" s="169"/>
    </row>
    <row r="1564" spans="55:55" ht="15.75" customHeight="1">
      <c r="BC1564" s="169"/>
    </row>
    <row r="1565" spans="55:55" ht="15.75" customHeight="1">
      <c r="BC1565" s="169"/>
    </row>
    <row r="1566" spans="55:55" ht="15.75" customHeight="1">
      <c r="BC1566" s="169"/>
    </row>
    <row r="1567" spans="55:55" ht="15.75" customHeight="1">
      <c r="BC1567" s="169"/>
    </row>
    <row r="1568" spans="55:55" ht="15.75" customHeight="1">
      <c r="BC1568" s="169"/>
    </row>
    <row r="1569" spans="55:55" ht="15.75" customHeight="1">
      <c r="BC1569" s="169"/>
    </row>
    <row r="1570" spans="55:55" ht="15.75" customHeight="1">
      <c r="BC1570" s="169"/>
    </row>
    <row r="1571" spans="55:55" ht="15.75" customHeight="1">
      <c r="BC1571" s="169"/>
    </row>
    <row r="1572" spans="55:55" ht="15.75" customHeight="1">
      <c r="BC1572" s="169"/>
    </row>
    <row r="1573" spans="55:55" ht="15.75" customHeight="1">
      <c r="BC1573" s="169"/>
    </row>
    <row r="1574" spans="55:55" ht="15.75" customHeight="1">
      <c r="BC1574" s="169"/>
    </row>
    <row r="1575" spans="55:55" ht="15.75" customHeight="1">
      <c r="BC1575" s="169"/>
    </row>
    <row r="1576" spans="55:55" ht="15.75" customHeight="1">
      <c r="BC1576" s="169"/>
    </row>
    <row r="1577" spans="55:55" ht="15.75" customHeight="1">
      <c r="BC1577" s="169"/>
    </row>
    <row r="1578" spans="55:55" ht="15.75" customHeight="1">
      <c r="BC1578" s="169"/>
    </row>
    <row r="1579" spans="55:55" ht="15.75" customHeight="1">
      <c r="BC1579" s="169"/>
    </row>
    <row r="1580" spans="55:55" ht="15.75" customHeight="1">
      <c r="BC1580" s="169"/>
    </row>
    <row r="1581" spans="55:55" ht="15.75" customHeight="1">
      <c r="BC1581" s="169"/>
    </row>
    <row r="1582" spans="55:55" ht="15.75" customHeight="1">
      <c r="BC1582" s="169"/>
    </row>
    <row r="1583" spans="55:55" ht="15.75" customHeight="1">
      <c r="BC1583" s="169"/>
    </row>
    <row r="1584" spans="55:55" ht="15.75" customHeight="1">
      <c r="BC1584" s="169"/>
    </row>
    <row r="1585" spans="55:55" ht="15.75" customHeight="1">
      <c r="BC1585" s="169"/>
    </row>
    <row r="1586" spans="55:55" ht="15.75" customHeight="1">
      <c r="BC1586" s="169"/>
    </row>
    <row r="1587" spans="55:55" ht="15.75" customHeight="1">
      <c r="BC1587" s="169"/>
    </row>
    <row r="1588" spans="55:55" ht="15.75" customHeight="1">
      <c r="BC1588" s="169"/>
    </row>
    <row r="1589" spans="55:55" ht="15.75" customHeight="1">
      <c r="BC1589" s="169"/>
    </row>
    <row r="1590" spans="55:55" ht="15.75" customHeight="1">
      <c r="BC1590" s="169"/>
    </row>
    <row r="1591" spans="55:55" ht="15.75" customHeight="1">
      <c r="BC1591" s="169"/>
    </row>
    <row r="1592" spans="55:55" ht="15.75" customHeight="1">
      <c r="BC1592" s="169"/>
    </row>
    <row r="1593" spans="55:55" ht="15.75" customHeight="1">
      <c r="BC1593" s="169"/>
    </row>
    <row r="1594" spans="55:55" ht="15.75" customHeight="1">
      <c r="BC1594" s="169"/>
    </row>
    <row r="1595" spans="55:55" ht="15.75" customHeight="1">
      <c r="BC1595" s="169"/>
    </row>
    <row r="1596" spans="55:55" ht="15.75" customHeight="1">
      <c r="BC1596" s="169"/>
    </row>
    <row r="1597" spans="55:55" ht="15.75" customHeight="1">
      <c r="BC1597" s="169"/>
    </row>
    <row r="1598" spans="55:55" ht="15.75" customHeight="1">
      <c r="BC1598" s="169"/>
    </row>
    <row r="1599" spans="55:55" ht="15.75" customHeight="1">
      <c r="BC1599" s="169"/>
    </row>
    <row r="1600" spans="55:55" ht="15.75" customHeight="1">
      <c r="BC1600" s="169"/>
    </row>
    <row r="1601" spans="55:55" ht="15.75" customHeight="1">
      <c r="BC1601" s="169"/>
    </row>
    <row r="1602" spans="55:55" ht="15.75" customHeight="1">
      <c r="BC1602" s="169"/>
    </row>
    <row r="1603" spans="55:55" ht="15.75" customHeight="1">
      <c r="BC1603" s="169"/>
    </row>
    <row r="1604" spans="55:55" ht="15.75" customHeight="1">
      <c r="BC1604" s="169"/>
    </row>
    <row r="1605" spans="55:55" ht="15.75" customHeight="1">
      <c r="BC1605" s="169"/>
    </row>
    <row r="1606" spans="55:55" ht="15.75" customHeight="1">
      <c r="BC1606" s="169"/>
    </row>
    <row r="1607" spans="55:55" ht="15.75" customHeight="1">
      <c r="BC1607" s="169"/>
    </row>
    <row r="1608" spans="55:55" ht="15.75" customHeight="1">
      <c r="BC1608" s="169"/>
    </row>
    <row r="1609" spans="55:55" ht="15.75" customHeight="1">
      <c r="BC1609" s="169"/>
    </row>
    <row r="1610" spans="55:55" ht="15.75" customHeight="1">
      <c r="BC1610" s="169"/>
    </row>
    <row r="1611" spans="55:55" ht="15.75" customHeight="1">
      <c r="BC1611" s="169"/>
    </row>
    <row r="1612" spans="55:55" ht="15.75" customHeight="1">
      <c r="BC1612" s="169"/>
    </row>
    <row r="1613" spans="55:55" ht="15.75" customHeight="1">
      <c r="BC1613" s="169"/>
    </row>
    <row r="1614" spans="55:55" ht="15.75" customHeight="1">
      <c r="BC1614" s="169"/>
    </row>
    <row r="1615" spans="55:55" ht="15.75" customHeight="1">
      <c r="BC1615" s="169"/>
    </row>
    <row r="1616" spans="55:55" ht="15.75" customHeight="1">
      <c r="BC1616" s="169"/>
    </row>
    <row r="1617" spans="55:55" ht="15.75" customHeight="1">
      <c r="BC1617" s="169"/>
    </row>
    <row r="1618" spans="55:55" ht="15.75" customHeight="1">
      <c r="BC1618" s="169"/>
    </row>
    <row r="1619" spans="55:55" ht="15.75" customHeight="1">
      <c r="BC1619" s="169"/>
    </row>
    <row r="1620" spans="55:55" ht="15.75" customHeight="1">
      <c r="BC1620" s="169"/>
    </row>
    <row r="1621" spans="55:55" ht="15.75" customHeight="1">
      <c r="BC1621" s="169"/>
    </row>
    <row r="1622" spans="55:55" ht="15.75" customHeight="1">
      <c r="BC1622" s="169"/>
    </row>
    <row r="1623" spans="55:55" ht="15.75" customHeight="1">
      <c r="BC1623" s="169"/>
    </row>
    <row r="1624" spans="55:55" ht="15.75" customHeight="1">
      <c r="BC1624" s="169"/>
    </row>
    <row r="1625" spans="55:55" ht="15.75" customHeight="1">
      <c r="BC1625" s="169"/>
    </row>
    <row r="1626" spans="55:55" ht="15.75" customHeight="1">
      <c r="BC1626" s="169"/>
    </row>
    <row r="1627" spans="55:55" ht="15.75" customHeight="1">
      <c r="BC1627" s="169"/>
    </row>
    <row r="1628" spans="55:55" ht="15.75" customHeight="1">
      <c r="BC1628" s="169"/>
    </row>
    <row r="1629" spans="55:55" ht="15.75" customHeight="1">
      <c r="BC1629" s="169"/>
    </row>
    <row r="1630" spans="55:55" ht="15.75" customHeight="1">
      <c r="BC1630" s="169"/>
    </row>
    <row r="1631" spans="55:55" ht="15.75" customHeight="1">
      <c r="BC1631" s="169"/>
    </row>
    <row r="1632" spans="55:55" ht="15.75" customHeight="1">
      <c r="BC1632" s="169"/>
    </row>
    <row r="1633" spans="55:55" ht="15.75" customHeight="1">
      <c r="BC1633" s="169"/>
    </row>
    <row r="1634" spans="55:55" ht="15.75" customHeight="1">
      <c r="BC1634" s="169"/>
    </row>
    <row r="1635" spans="55:55" ht="15.75" customHeight="1">
      <c r="BC1635" s="169"/>
    </row>
    <row r="1636" spans="55:55" ht="15.75" customHeight="1">
      <c r="BC1636" s="169"/>
    </row>
    <row r="1637" spans="55:55" ht="15.75" customHeight="1">
      <c r="BC1637" s="169"/>
    </row>
    <row r="1638" spans="55:55" ht="15.75" customHeight="1">
      <c r="BC1638" s="169"/>
    </row>
    <row r="1639" spans="55:55" ht="15.75" customHeight="1">
      <c r="BC1639" s="169"/>
    </row>
    <row r="1640" spans="55:55" ht="15.75" customHeight="1">
      <c r="BC1640" s="169"/>
    </row>
    <row r="1641" spans="55:55" ht="15.75" customHeight="1">
      <c r="BC1641" s="169"/>
    </row>
    <row r="1642" spans="55:55" ht="15.75" customHeight="1">
      <c r="BC1642" s="169"/>
    </row>
    <row r="1643" spans="55:55" ht="15.75" customHeight="1">
      <c r="BC1643" s="169"/>
    </row>
    <row r="1644" spans="55:55" ht="15.75" customHeight="1">
      <c r="BC1644" s="169"/>
    </row>
    <row r="1645" spans="55:55" ht="15.75" customHeight="1">
      <c r="BC1645" s="169"/>
    </row>
    <row r="1646" spans="55:55" ht="15.75" customHeight="1">
      <c r="BC1646" s="169"/>
    </row>
    <row r="1647" spans="55:55" ht="15.75" customHeight="1">
      <c r="BC1647" s="169"/>
    </row>
    <row r="1648" spans="55:55" ht="15.75" customHeight="1">
      <c r="BC1648" s="169"/>
    </row>
    <row r="1649" spans="55:55" ht="15.75" customHeight="1">
      <c r="BC1649" s="169"/>
    </row>
    <row r="1650" spans="55:55" ht="15.75" customHeight="1">
      <c r="BC1650" s="169"/>
    </row>
    <row r="1651" spans="55:55" ht="15.75" customHeight="1">
      <c r="BC1651" s="169"/>
    </row>
    <row r="1652" spans="55:55" ht="15.75" customHeight="1">
      <c r="BC1652" s="169"/>
    </row>
    <row r="1653" spans="55:55" ht="15.75" customHeight="1">
      <c r="BC1653" s="169"/>
    </row>
    <row r="1654" spans="55:55" ht="15.75" customHeight="1">
      <c r="BC1654" s="169"/>
    </row>
    <row r="1655" spans="55:55" ht="15.75" customHeight="1">
      <c r="BC1655" s="169"/>
    </row>
    <row r="1656" spans="55:55" ht="15.75" customHeight="1">
      <c r="BC1656" s="169"/>
    </row>
    <row r="1657" spans="55:55" ht="15.75" customHeight="1">
      <c r="BC1657" s="169"/>
    </row>
    <row r="1658" spans="55:55" ht="15.75" customHeight="1">
      <c r="BC1658" s="169"/>
    </row>
    <row r="1659" spans="55:55" ht="15.75" customHeight="1">
      <c r="BC1659" s="169"/>
    </row>
    <row r="1660" spans="55:55" ht="15.75" customHeight="1">
      <c r="BC1660" s="169"/>
    </row>
    <row r="1661" spans="55:55" ht="15.75" customHeight="1">
      <c r="BC1661" s="169"/>
    </row>
    <row r="1662" spans="55:55" ht="15.75" customHeight="1">
      <c r="BC1662" s="169"/>
    </row>
    <row r="1663" spans="55:55" ht="15.75" customHeight="1">
      <c r="BC1663" s="169"/>
    </row>
    <row r="1664" spans="55:55" ht="15.75" customHeight="1">
      <c r="BC1664" s="169"/>
    </row>
    <row r="1665" spans="55:55" ht="15.75" customHeight="1">
      <c r="BC1665" s="169"/>
    </row>
    <row r="1666" spans="55:55" ht="15.75" customHeight="1">
      <c r="BC1666" s="169"/>
    </row>
    <row r="1667" spans="55:55" ht="15.75" customHeight="1">
      <c r="BC1667" s="169"/>
    </row>
    <row r="1668" spans="55:55" ht="15.75" customHeight="1">
      <c r="BC1668" s="169"/>
    </row>
    <row r="1669" spans="55:55" ht="15.75" customHeight="1">
      <c r="BC1669" s="169"/>
    </row>
    <row r="1670" spans="55:55" ht="15.75" customHeight="1">
      <c r="BC1670" s="169"/>
    </row>
    <row r="1671" spans="55:55" ht="15.75" customHeight="1">
      <c r="BC1671" s="169"/>
    </row>
    <row r="1672" spans="55:55" ht="15.75" customHeight="1">
      <c r="BC1672" s="169"/>
    </row>
    <row r="1673" spans="55:55" ht="15.75" customHeight="1">
      <c r="BC1673" s="169"/>
    </row>
    <row r="1674" spans="55:55" ht="15.75" customHeight="1">
      <c r="BC1674" s="169"/>
    </row>
    <row r="1675" spans="55:55" ht="15.75" customHeight="1">
      <c r="BC1675" s="169"/>
    </row>
    <row r="1676" spans="55:55" ht="15.75" customHeight="1">
      <c r="BC1676" s="169"/>
    </row>
    <row r="1677" spans="55:55" ht="15.75" customHeight="1">
      <c r="BC1677" s="169"/>
    </row>
    <row r="1678" spans="55:55" ht="15.75" customHeight="1">
      <c r="BC1678" s="169"/>
    </row>
    <row r="1679" spans="55:55" ht="15.75" customHeight="1">
      <c r="BC1679" s="169"/>
    </row>
    <row r="1680" spans="55:55" ht="15.75" customHeight="1">
      <c r="BC1680" s="169"/>
    </row>
    <row r="1681" spans="55:55" ht="15.75" customHeight="1">
      <c r="BC1681" s="169"/>
    </row>
    <row r="1682" spans="55:55" ht="15.75" customHeight="1">
      <c r="BC1682" s="169"/>
    </row>
    <row r="1683" spans="55:55" ht="15.75" customHeight="1">
      <c r="BC1683" s="169"/>
    </row>
    <row r="1684" spans="55:55" ht="15.75" customHeight="1">
      <c r="BC1684" s="169"/>
    </row>
    <row r="1685" spans="55:55" ht="15.75" customHeight="1">
      <c r="BC1685" s="169"/>
    </row>
    <row r="1686" spans="55:55" ht="15.75" customHeight="1">
      <c r="BC1686" s="169"/>
    </row>
    <row r="1687" spans="55:55" ht="15.75" customHeight="1">
      <c r="BC1687" s="169"/>
    </row>
    <row r="1688" spans="55:55" ht="15.75" customHeight="1">
      <c r="BC1688" s="169"/>
    </row>
    <row r="1689" spans="55:55" ht="15.75" customHeight="1">
      <c r="BC1689" s="169"/>
    </row>
    <row r="1690" spans="55:55" ht="15.75" customHeight="1">
      <c r="BC1690" s="169"/>
    </row>
    <row r="1691" spans="55:55" ht="15.75" customHeight="1">
      <c r="BC1691" s="169"/>
    </row>
    <row r="1692" spans="55:55" ht="15.75" customHeight="1">
      <c r="BC1692" s="169"/>
    </row>
    <row r="1693" spans="55:55" ht="15.75" customHeight="1">
      <c r="BC1693" s="169"/>
    </row>
    <row r="1694" spans="55:55" ht="15.75" customHeight="1">
      <c r="BC1694" s="169"/>
    </row>
    <row r="1695" spans="55:55" ht="15.75" customHeight="1">
      <c r="BC1695" s="169"/>
    </row>
    <row r="1696" spans="55:55" ht="15.75" customHeight="1">
      <c r="BC1696" s="169"/>
    </row>
    <row r="1697" spans="55:55" ht="15.75" customHeight="1">
      <c r="BC1697" s="169"/>
    </row>
    <row r="1698" spans="55:55" ht="15.75" customHeight="1">
      <c r="BC1698" s="169"/>
    </row>
    <row r="1699" spans="55:55" ht="15.75" customHeight="1">
      <c r="BC1699" s="169"/>
    </row>
    <row r="1700" spans="55:55" ht="15.75" customHeight="1">
      <c r="BC1700" s="169"/>
    </row>
    <row r="1701" spans="55:55" ht="15.75" customHeight="1">
      <c r="BC1701" s="169"/>
    </row>
    <row r="1702" spans="55:55" ht="15.75" customHeight="1">
      <c r="BC1702" s="169"/>
    </row>
    <row r="1703" spans="55:55" ht="15.75" customHeight="1">
      <c r="BC1703" s="169"/>
    </row>
    <row r="1704" spans="55:55" ht="15.75" customHeight="1">
      <c r="BC1704" s="169"/>
    </row>
    <row r="1705" spans="55:55" ht="15.75" customHeight="1">
      <c r="BC1705" s="169"/>
    </row>
    <row r="1706" spans="55:55" ht="15.75" customHeight="1">
      <c r="BC1706" s="169"/>
    </row>
    <row r="1707" spans="55:55" ht="15.75" customHeight="1">
      <c r="BC1707" s="169"/>
    </row>
    <row r="1708" spans="55:55" ht="15.75" customHeight="1">
      <c r="BC1708" s="169"/>
    </row>
    <row r="1709" spans="55:55" ht="15.75" customHeight="1">
      <c r="BC1709" s="169"/>
    </row>
    <row r="1710" spans="55:55" ht="15.75" customHeight="1">
      <c r="BC1710" s="169"/>
    </row>
    <row r="1711" spans="55:55" ht="15.75" customHeight="1">
      <c r="BC1711" s="169"/>
    </row>
    <row r="1712" spans="55:55" ht="15.75" customHeight="1">
      <c r="BC1712" s="169"/>
    </row>
    <row r="1713" spans="55:55" ht="15.75" customHeight="1">
      <c r="BC1713" s="169"/>
    </row>
    <row r="1714" spans="55:55" ht="15.75" customHeight="1">
      <c r="BC1714" s="169"/>
    </row>
    <row r="1715" spans="55:55" ht="15.75" customHeight="1">
      <c r="BC1715" s="169"/>
    </row>
    <row r="1716" spans="55:55" ht="15.75" customHeight="1">
      <c r="BC1716" s="169"/>
    </row>
    <row r="1717" spans="55:55" ht="15.75" customHeight="1">
      <c r="BC1717" s="169"/>
    </row>
    <row r="1718" spans="55:55" ht="15.75" customHeight="1">
      <c r="BC1718" s="169"/>
    </row>
    <row r="1719" spans="55:55" ht="15.75" customHeight="1">
      <c r="BC1719" s="169"/>
    </row>
    <row r="1720" spans="55:55" ht="15.75" customHeight="1">
      <c r="BC1720" s="169"/>
    </row>
    <row r="1721" spans="55:55" ht="15.75" customHeight="1">
      <c r="BC1721" s="169"/>
    </row>
    <row r="1722" spans="55:55" ht="15.75" customHeight="1">
      <c r="BC1722" s="169"/>
    </row>
    <row r="1723" spans="55:55" ht="15.75" customHeight="1">
      <c r="BC1723" s="169"/>
    </row>
    <row r="1724" spans="55:55" ht="15.75" customHeight="1">
      <c r="BC1724" s="169"/>
    </row>
    <row r="1725" spans="55:55" ht="15.75" customHeight="1">
      <c r="BC1725" s="169"/>
    </row>
    <row r="1726" spans="55:55" ht="15.75" customHeight="1">
      <c r="BC1726" s="169"/>
    </row>
    <row r="1727" spans="55:55" ht="15.75" customHeight="1">
      <c r="BC1727" s="169"/>
    </row>
    <row r="1728" spans="55:55" ht="15.75" customHeight="1">
      <c r="BC1728" s="169"/>
    </row>
    <row r="1729" spans="55:55" ht="15.75" customHeight="1">
      <c r="BC1729" s="169"/>
    </row>
    <row r="1730" spans="55:55" ht="15.75" customHeight="1">
      <c r="BC1730" s="169"/>
    </row>
    <row r="1731" spans="55:55" ht="15.75" customHeight="1">
      <c r="BC1731" s="169"/>
    </row>
    <row r="1732" spans="55:55" ht="15.75" customHeight="1">
      <c r="BC1732" s="169"/>
    </row>
    <row r="1733" spans="55:55" ht="15.75" customHeight="1">
      <c r="BC1733" s="169"/>
    </row>
    <row r="1734" spans="55:55" ht="15.75" customHeight="1">
      <c r="BC1734" s="169"/>
    </row>
    <row r="1735" spans="55:55" ht="15.75" customHeight="1">
      <c r="BC1735" s="169"/>
    </row>
    <row r="1736" spans="55:55" ht="15.75" customHeight="1">
      <c r="BC1736" s="169"/>
    </row>
    <row r="1737" spans="55:55" ht="15.75" customHeight="1">
      <c r="BC1737" s="169"/>
    </row>
    <row r="1738" spans="55:55" ht="15.75" customHeight="1">
      <c r="BC1738" s="169"/>
    </row>
    <row r="1739" spans="55:55" ht="15.75" customHeight="1">
      <c r="BC1739" s="169"/>
    </row>
    <row r="1740" spans="55:55" ht="15.75" customHeight="1">
      <c r="BC1740" s="169"/>
    </row>
    <row r="1741" spans="55:55" ht="15.75" customHeight="1">
      <c r="BC1741" s="169"/>
    </row>
    <row r="1742" spans="55:55" ht="15.75" customHeight="1">
      <c r="BC1742" s="169"/>
    </row>
    <row r="1743" spans="55:55" ht="15.75" customHeight="1">
      <c r="BC1743" s="169"/>
    </row>
    <row r="1744" spans="55:55" ht="15.75" customHeight="1">
      <c r="BC1744" s="169"/>
    </row>
    <row r="1745" spans="55:55" ht="15.75" customHeight="1">
      <c r="BC1745" s="169"/>
    </row>
    <row r="1746" spans="55:55" ht="15.75" customHeight="1">
      <c r="BC1746" s="169"/>
    </row>
    <row r="1747" spans="55:55" ht="15.75" customHeight="1">
      <c r="BC1747" s="169"/>
    </row>
    <row r="1748" spans="55:55" ht="15.75" customHeight="1">
      <c r="BC1748" s="169"/>
    </row>
    <row r="1749" spans="55:55" ht="15.75" customHeight="1">
      <c r="BC1749" s="169"/>
    </row>
    <row r="1750" spans="55:55" ht="15.75" customHeight="1">
      <c r="BC1750" s="169"/>
    </row>
    <row r="1751" spans="55:55" ht="15.75" customHeight="1">
      <c r="BC1751" s="169"/>
    </row>
    <row r="1752" spans="55:55" ht="15.75" customHeight="1">
      <c r="BC1752" s="169"/>
    </row>
    <row r="1753" spans="55:55" ht="15.75" customHeight="1">
      <c r="BC1753" s="169"/>
    </row>
    <row r="1754" spans="55:55" ht="15.75" customHeight="1">
      <c r="BC1754" s="169"/>
    </row>
    <row r="1755" spans="55:55" ht="15.75" customHeight="1">
      <c r="BC1755" s="169"/>
    </row>
    <row r="1756" spans="55:55" ht="15.75" customHeight="1">
      <c r="BC1756" s="169"/>
    </row>
    <row r="1757" spans="55:55" ht="15.75" customHeight="1">
      <c r="BC1757" s="169"/>
    </row>
    <row r="1758" spans="55:55" ht="15.75" customHeight="1">
      <c r="BC1758" s="169"/>
    </row>
    <row r="1759" spans="55:55" ht="15.75" customHeight="1">
      <c r="BC1759" s="169"/>
    </row>
    <row r="1760" spans="55:55" ht="15.75" customHeight="1">
      <c r="BC1760" s="169"/>
    </row>
    <row r="1761" spans="55:55" ht="15.75" customHeight="1">
      <c r="BC1761" s="169"/>
    </row>
    <row r="1762" spans="55:55" ht="15.75" customHeight="1">
      <c r="BC1762" s="169"/>
    </row>
    <row r="1763" spans="55:55" ht="15.75" customHeight="1">
      <c r="BC1763" s="169"/>
    </row>
    <row r="1764" spans="55:55" ht="15.75" customHeight="1">
      <c r="BC1764" s="169"/>
    </row>
    <row r="1765" spans="55:55" ht="15.75" customHeight="1">
      <c r="BC1765" s="169"/>
    </row>
    <row r="1766" spans="55:55" ht="15.75" customHeight="1">
      <c r="BC1766" s="169"/>
    </row>
    <row r="1767" spans="55:55" ht="15.75" customHeight="1">
      <c r="BC1767" s="169"/>
    </row>
    <row r="1768" spans="55:55" ht="15.75" customHeight="1">
      <c r="BC1768" s="169"/>
    </row>
    <row r="1769" spans="55:55" ht="15.75" customHeight="1">
      <c r="BC1769" s="169"/>
    </row>
    <row r="1770" spans="55:55" ht="15.75" customHeight="1">
      <c r="BC1770" s="169"/>
    </row>
    <row r="1771" spans="55:55" ht="15.75" customHeight="1">
      <c r="BC1771" s="169"/>
    </row>
    <row r="1772" spans="55:55" ht="15.75" customHeight="1">
      <c r="BC1772" s="169"/>
    </row>
    <row r="1773" spans="55:55" ht="15.75" customHeight="1">
      <c r="BC1773" s="169"/>
    </row>
    <row r="1774" spans="55:55" ht="15.75" customHeight="1">
      <c r="BC1774" s="169"/>
    </row>
    <row r="1775" spans="55:55" ht="15.75" customHeight="1">
      <c r="BC1775" s="169"/>
    </row>
    <row r="1776" spans="55:55" ht="15.75" customHeight="1">
      <c r="BC1776" s="169"/>
    </row>
    <row r="1777" spans="55:55" ht="15.75" customHeight="1">
      <c r="BC1777" s="169"/>
    </row>
    <row r="1778" spans="55:55" ht="15.75" customHeight="1">
      <c r="BC1778" s="169"/>
    </row>
    <row r="1779" spans="55:55" ht="15.75" customHeight="1">
      <c r="BC1779" s="169"/>
    </row>
    <row r="1780" spans="55:55" ht="15.75" customHeight="1">
      <c r="BC1780" s="169"/>
    </row>
    <row r="1781" spans="55:55" ht="15.75" customHeight="1">
      <c r="BC1781" s="169"/>
    </row>
    <row r="1782" spans="55:55" ht="15.75" customHeight="1">
      <c r="BC1782" s="169"/>
    </row>
    <row r="1783" spans="55:55" ht="15.75" customHeight="1">
      <c r="BC1783" s="169"/>
    </row>
    <row r="1784" spans="55:55" ht="15.75" customHeight="1">
      <c r="BC1784" s="169"/>
    </row>
    <row r="1785" spans="55:55" ht="15.75" customHeight="1">
      <c r="BC1785" s="169"/>
    </row>
    <row r="1786" spans="55:55" ht="15.75" customHeight="1">
      <c r="BC1786" s="169"/>
    </row>
    <row r="1787" spans="55:55" ht="15.75" customHeight="1">
      <c r="BC1787" s="169"/>
    </row>
    <row r="1788" spans="55:55" ht="15.75" customHeight="1">
      <c r="BC1788" s="169"/>
    </row>
    <row r="1789" spans="55:55" ht="15.75" customHeight="1">
      <c r="BC1789" s="169"/>
    </row>
    <row r="1790" spans="55:55" ht="15.75" customHeight="1">
      <c r="BC1790" s="169"/>
    </row>
    <row r="1791" spans="55:55" ht="15.75" customHeight="1">
      <c r="BC1791" s="169"/>
    </row>
    <row r="1792" spans="55:55" ht="15.75" customHeight="1">
      <c r="BC1792" s="169"/>
    </row>
    <row r="1793" spans="55:55" ht="15.75" customHeight="1">
      <c r="BC1793" s="169"/>
    </row>
    <row r="1794" spans="55:55" ht="15.75" customHeight="1">
      <c r="BC1794" s="169"/>
    </row>
    <row r="1795" spans="55:55" ht="15.75" customHeight="1">
      <c r="BC1795" s="169"/>
    </row>
    <row r="1796" spans="55:55" ht="15.75" customHeight="1">
      <c r="BC1796" s="169"/>
    </row>
    <row r="1797" spans="55:55" ht="15.75" customHeight="1">
      <c r="BC1797" s="169"/>
    </row>
    <row r="1798" spans="55:55" ht="15.75" customHeight="1">
      <c r="BC1798" s="169"/>
    </row>
    <row r="1799" spans="55:55" ht="15.75" customHeight="1">
      <c r="BC1799" s="169"/>
    </row>
    <row r="1800" spans="55:55" ht="15.75" customHeight="1">
      <c r="BC1800" s="169"/>
    </row>
    <row r="1801" spans="55:55" ht="15.75" customHeight="1">
      <c r="BC1801" s="169"/>
    </row>
    <row r="1802" spans="55:55" ht="15.75" customHeight="1">
      <c r="BC1802" s="169"/>
    </row>
    <row r="1803" spans="55:55" ht="15.75" customHeight="1">
      <c r="BC1803" s="169"/>
    </row>
    <row r="1804" spans="55:55" ht="15.75" customHeight="1">
      <c r="BC1804" s="169"/>
    </row>
    <row r="1805" spans="55:55" ht="15.75" customHeight="1">
      <c r="BC1805" s="169"/>
    </row>
    <row r="1806" spans="55:55" ht="15.75" customHeight="1">
      <c r="BC1806" s="169"/>
    </row>
    <row r="1807" spans="55:55" ht="15.75" customHeight="1">
      <c r="BC1807" s="169"/>
    </row>
    <row r="1808" spans="55:55" ht="15.75" customHeight="1">
      <c r="BC1808" s="169"/>
    </row>
    <row r="1809" spans="55:55" ht="15.75" customHeight="1">
      <c r="BC1809" s="169"/>
    </row>
    <row r="1810" spans="55:55" ht="15.75" customHeight="1">
      <c r="BC1810" s="169"/>
    </row>
    <row r="1811" spans="55:55" ht="15.75" customHeight="1">
      <c r="BC1811" s="169"/>
    </row>
    <row r="1812" spans="55:55" ht="15.75" customHeight="1">
      <c r="BC1812" s="169"/>
    </row>
    <row r="1813" spans="55:55" ht="15.75" customHeight="1">
      <c r="BC1813" s="169"/>
    </row>
    <row r="1814" spans="55:55" ht="15.75" customHeight="1">
      <c r="BC1814" s="169"/>
    </row>
    <row r="1815" spans="55:55" ht="15.75" customHeight="1">
      <c r="BC1815" s="169"/>
    </row>
    <row r="1816" spans="55:55" ht="15.75" customHeight="1">
      <c r="BC1816" s="169"/>
    </row>
    <row r="1817" spans="55:55" ht="15.75" customHeight="1">
      <c r="BC1817" s="169"/>
    </row>
    <row r="1818" spans="55:55" ht="15.75" customHeight="1">
      <c r="BC1818" s="169"/>
    </row>
    <row r="1819" spans="55:55" ht="15.75" customHeight="1">
      <c r="BC1819" s="169"/>
    </row>
    <row r="1820" spans="55:55" ht="15.75" customHeight="1">
      <c r="BC1820" s="169"/>
    </row>
    <row r="1821" spans="55:55" ht="15.75" customHeight="1">
      <c r="BC1821" s="169"/>
    </row>
    <row r="1822" spans="55:55" ht="15.75" customHeight="1">
      <c r="BC1822" s="169"/>
    </row>
    <row r="1823" spans="55:55" ht="15.75" customHeight="1">
      <c r="BC1823" s="169"/>
    </row>
    <row r="1824" spans="55:55" ht="15.75" customHeight="1">
      <c r="BC1824" s="169"/>
    </row>
    <row r="1825" spans="55:55" ht="15.75" customHeight="1">
      <c r="BC1825" s="169"/>
    </row>
    <row r="1826" spans="55:55" ht="15.75" customHeight="1">
      <c r="BC1826" s="169"/>
    </row>
    <row r="1827" spans="55:55" ht="15.75" customHeight="1">
      <c r="BC1827" s="169"/>
    </row>
    <row r="1828" spans="55:55" ht="15.75" customHeight="1">
      <c r="BC1828" s="169"/>
    </row>
    <row r="1829" spans="55:55" ht="15.75" customHeight="1">
      <c r="BC1829" s="169"/>
    </row>
    <row r="1830" spans="55:55" ht="15.75" customHeight="1">
      <c r="BC1830" s="169"/>
    </row>
    <row r="1831" spans="55:55" ht="15.75" customHeight="1">
      <c r="BC1831" s="169"/>
    </row>
    <row r="1832" spans="55:55" ht="15.75" customHeight="1">
      <c r="BC1832" s="169"/>
    </row>
    <row r="1833" spans="55:55" ht="15.75" customHeight="1">
      <c r="BC1833" s="169"/>
    </row>
    <row r="1834" spans="55:55" ht="15.75" customHeight="1">
      <c r="BC1834" s="169"/>
    </row>
    <row r="1835" spans="55:55" ht="15.75" customHeight="1">
      <c r="BC1835" s="169"/>
    </row>
    <row r="1836" spans="55:55" ht="15.75" customHeight="1">
      <c r="BC1836" s="169"/>
    </row>
    <row r="1837" spans="55:55" ht="15.75" customHeight="1">
      <c r="BC1837" s="169"/>
    </row>
    <row r="1838" spans="55:55" ht="15.75" customHeight="1">
      <c r="BC1838" s="169"/>
    </row>
    <row r="1839" spans="55:55" ht="15.75" customHeight="1">
      <c r="BC1839" s="169"/>
    </row>
    <row r="1840" spans="55:55" ht="15.75" customHeight="1">
      <c r="BC1840" s="169"/>
    </row>
    <row r="1841" spans="55:55" ht="15.75" customHeight="1">
      <c r="BC1841" s="169"/>
    </row>
    <row r="1842" spans="55:55" ht="15.75" customHeight="1">
      <c r="BC1842" s="169"/>
    </row>
    <row r="1843" spans="55:55" ht="15.75" customHeight="1">
      <c r="BC1843" s="169"/>
    </row>
    <row r="1844" spans="55:55" ht="15.75" customHeight="1">
      <c r="BC1844" s="169"/>
    </row>
    <row r="1845" spans="55:55" ht="15.75" customHeight="1">
      <c r="BC1845" s="169"/>
    </row>
    <row r="1846" spans="55:55" ht="15.75" customHeight="1">
      <c r="BC1846" s="169"/>
    </row>
    <row r="1847" spans="55:55" ht="15.75" customHeight="1">
      <c r="BC1847" s="169"/>
    </row>
    <row r="1848" spans="55:55" ht="15.75" customHeight="1">
      <c r="BC1848" s="169"/>
    </row>
    <row r="1849" spans="55:55" ht="15.75" customHeight="1">
      <c r="BC1849" s="169"/>
    </row>
    <row r="1850" spans="55:55" ht="15.75" customHeight="1">
      <c r="BC1850" s="169"/>
    </row>
    <row r="1851" spans="55:55" ht="15.75" customHeight="1">
      <c r="BC1851" s="169"/>
    </row>
    <row r="1852" spans="55:55" ht="15.75" customHeight="1">
      <c r="BC1852" s="169"/>
    </row>
    <row r="1853" spans="55:55" ht="15.75" customHeight="1">
      <c r="BC1853" s="169"/>
    </row>
    <row r="1854" spans="55:55" ht="15.75" customHeight="1">
      <c r="BC1854" s="169"/>
    </row>
    <row r="1855" spans="55:55" ht="15.75" customHeight="1">
      <c r="BC1855" s="169"/>
    </row>
    <row r="1856" spans="55:55" ht="15.75" customHeight="1">
      <c r="BC1856" s="169"/>
    </row>
    <row r="1857" spans="55:55" ht="15.75" customHeight="1">
      <c r="BC1857" s="169"/>
    </row>
    <row r="1858" spans="55:55" ht="15.75" customHeight="1">
      <c r="BC1858" s="169"/>
    </row>
    <row r="1859" spans="55:55" ht="15.75" customHeight="1">
      <c r="BC1859" s="169"/>
    </row>
    <row r="1860" spans="55:55" ht="15.75" customHeight="1">
      <c r="BC1860" s="169"/>
    </row>
    <row r="1861" spans="55:55" ht="15.75" customHeight="1">
      <c r="BC1861" s="169"/>
    </row>
    <row r="1862" spans="55:55" ht="15.75" customHeight="1">
      <c r="BC1862" s="169"/>
    </row>
    <row r="1863" spans="55:55" ht="15.75" customHeight="1">
      <c r="BC1863" s="169"/>
    </row>
    <row r="1864" spans="55:55" ht="15.75" customHeight="1">
      <c r="BC1864" s="169"/>
    </row>
    <row r="1865" spans="55:55" ht="15.75" customHeight="1">
      <c r="BC1865" s="169"/>
    </row>
    <row r="1866" spans="55:55" ht="15.75" customHeight="1">
      <c r="BC1866" s="169"/>
    </row>
    <row r="1867" spans="55:55" ht="15.75" customHeight="1">
      <c r="BC1867" s="169"/>
    </row>
    <row r="1868" spans="55:55" ht="15.75" customHeight="1">
      <c r="BC1868" s="169"/>
    </row>
    <row r="1869" spans="55:55" ht="15.75" customHeight="1">
      <c r="BC1869" s="169"/>
    </row>
    <row r="1870" spans="55:55" ht="15.75" customHeight="1">
      <c r="BC1870" s="169"/>
    </row>
    <row r="1871" spans="55:55" ht="15.75" customHeight="1">
      <c r="BC1871" s="169"/>
    </row>
    <row r="1872" spans="55:55" ht="15.75" customHeight="1">
      <c r="BC1872" s="169"/>
    </row>
    <row r="1873" spans="55:55" ht="15.75" customHeight="1">
      <c r="BC1873" s="169"/>
    </row>
    <row r="1874" spans="55:55" ht="15.75" customHeight="1">
      <c r="BC1874" s="169"/>
    </row>
    <row r="1875" spans="55:55" ht="15.75" customHeight="1">
      <c r="BC1875" s="169"/>
    </row>
    <row r="1876" spans="55:55" ht="15.75" customHeight="1">
      <c r="BC1876" s="169"/>
    </row>
    <row r="1877" spans="55:55" ht="15.75" customHeight="1">
      <c r="BC1877" s="169"/>
    </row>
    <row r="1878" spans="55:55" ht="15.75" customHeight="1">
      <c r="BC1878" s="169"/>
    </row>
    <row r="1879" spans="55:55" ht="15.75" customHeight="1">
      <c r="BC1879" s="169"/>
    </row>
    <row r="1880" spans="55:55" ht="15.75" customHeight="1">
      <c r="BC1880" s="169"/>
    </row>
    <row r="1881" spans="55:55" ht="15.75" customHeight="1">
      <c r="BC1881" s="169"/>
    </row>
    <row r="1882" spans="55:55" ht="15.75" customHeight="1">
      <c r="BC1882" s="169"/>
    </row>
    <row r="1883" spans="55:55" ht="15.75" customHeight="1">
      <c r="BC1883" s="169"/>
    </row>
    <row r="1884" spans="55:55" ht="15.75" customHeight="1">
      <c r="BC1884" s="169"/>
    </row>
    <row r="1885" spans="55:55" ht="15.75" customHeight="1">
      <c r="BC1885" s="169"/>
    </row>
    <row r="1886" spans="55:55" ht="15.75" customHeight="1">
      <c r="BC1886" s="169"/>
    </row>
    <row r="1887" spans="55:55" ht="15.75" customHeight="1">
      <c r="BC1887" s="169"/>
    </row>
    <row r="1888" spans="55:55" ht="15.75" customHeight="1">
      <c r="BC1888" s="169"/>
    </row>
    <row r="1889" spans="55:55" ht="15.75" customHeight="1">
      <c r="BC1889" s="169"/>
    </row>
    <row r="1890" spans="55:55" ht="15.75" customHeight="1">
      <c r="BC1890" s="169"/>
    </row>
    <row r="1891" spans="55:55" ht="15.75" customHeight="1">
      <c r="BC1891" s="169"/>
    </row>
    <row r="1892" spans="55:55" ht="15.75" customHeight="1">
      <c r="BC1892" s="169"/>
    </row>
    <row r="1893" spans="55:55" ht="15.75" customHeight="1">
      <c r="BC1893" s="169"/>
    </row>
    <row r="1894" spans="55:55" ht="15.75" customHeight="1">
      <c r="BC1894" s="169"/>
    </row>
    <row r="1895" spans="55:55" ht="15.75" customHeight="1">
      <c r="BC1895" s="169"/>
    </row>
    <row r="1896" spans="55:55" ht="15.75" customHeight="1">
      <c r="BC1896" s="169"/>
    </row>
    <row r="1897" spans="55:55" ht="15.75" customHeight="1">
      <c r="BC1897" s="169"/>
    </row>
    <row r="1898" spans="55:55" ht="15.75" customHeight="1">
      <c r="BC1898" s="169"/>
    </row>
    <row r="1899" spans="55:55" ht="15.75" customHeight="1">
      <c r="BC1899" s="169"/>
    </row>
    <row r="1900" spans="55:55" ht="15.75" customHeight="1">
      <c r="BC1900" s="169"/>
    </row>
    <row r="1901" spans="55:55" ht="15.75" customHeight="1">
      <c r="BC1901" s="169"/>
    </row>
    <row r="1902" spans="55:55" ht="15.75" customHeight="1">
      <c r="BC1902" s="169"/>
    </row>
    <row r="1903" spans="55:55" ht="15.75" customHeight="1">
      <c r="BC1903" s="169"/>
    </row>
    <row r="1904" spans="55:55" ht="15.75" customHeight="1">
      <c r="BC1904" s="169"/>
    </row>
    <row r="1905" spans="55:55" ht="15.75" customHeight="1">
      <c r="BC1905" s="169"/>
    </row>
    <row r="1906" spans="55:55" ht="15.75" customHeight="1">
      <c r="BC1906" s="169"/>
    </row>
    <row r="1907" spans="55:55" ht="15.75" customHeight="1">
      <c r="BC1907" s="169"/>
    </row>
    <row r="1908" spans="55:55" ht="15.75" customHeight="1">
      <c r="BC1908" s="169"/>
    </row>
    <row r="1909" spans="55:55" ht="15.75" customHeight="1">
      <c r="BC1909" s="169"/>
    </row>
    <row r="1910" spans="55:55" ht="15.75" customHeight="1">
      <c r="BC1910" s="169"/>
    </row>
    <row r="1911" spans="55:55" ht="15.75" customHeight="1">
      <c r="BC1911" s="169"/>
    </row>
    <row r="1912" spans="55:55" ht="15.75" customHeight="1">
      <c r="BC1912" s="169"/>
    </row>
    <row r="1913" spans="55:55" ht="15.75" customHeight="1">
      <c r="BC1913" s="169"/>
    </row>
    <row r="1914" spans="55:55" ht="15.75" customHeight="1">
      <c r="BC1914" s="169"/>
    </row>
    <row r="1915" spans="55:55" ht="15.75" customHeight="1">
      <c r="BC1915" s="169"/>
    </row>
    <row r="1916" spans="55:55" ht="15.75" customHeight="1">
      <c r="BC1916" s="169"/>
    </row>
    <row r="1917" spans="55:55" ht="15.75" customHeight="1">
      <c r="BC1917" s="169"/>
    </row>
    <row r="1918" spans="55:55" ht="15.75" customHeight="1">
      <c r="BC1918" s="169"/>
    </row>
    <row r="1919" spans="55:55" ht="15.75" customHeight="1">
      <c r="BC1919" s="169"/>
    </row>
    <row r="1920" spans="55:55" ht="15.75" customHeight="1">
      <c r="BC1920" s="169"/>
    </row>
    <row r="1921" spans="55:55" ht="15.75" customHeight="1">
      <c r="BC1921" s="169"/>
    </row>
    <row r="1922" spans="55:55" ht="15.75" customHeight="1">
      <c r="BC1922" s="169"/>
    </row>
    <row r="1923" spans="55:55" ht="15.75" customHeight="1">
      <c r="BC1923" s="169"/>
    </row>
    <row r="1924" spans="55:55" ht="15.75" customHeight="1">
      <c r="BC1924" s="169"/>
    </row>
    <row r="1925" spans="55:55" ht="15.75" customHeight="1">
      <c r="BC1925" s="169"/>
    </row>
    <row r="1926" spans="55:55" ht="15.75" customHeight="1">
      <c r="BC1926" s="169"/>
    </row>
    <row r="1927" spans="55:55" ht="15.75" customHeight="1">
      <c r="BC1927" s="169"/>
    </row>
    <row r="1928" spans="55:55" ht="15.75" customHeight="1">
      <c r="BC1928" s="169"/>
    </row>
    <row r="1929" spans="55:55" ht="15.75" customHeight="1">
      <c r="BC1929" s="169"/>
    </row>
    <row r="1930" spans="55:55" ht="15.75" customHeight="1">
      <c r="BC1930" s="169"/>
    </row>
    <row r="1931" spans="55:55" ht="15.75" customHeight="1">
      <c r="BC1931" s="169"/>
    </row>
    <row r="1932" spans="55:55" ht="15.75" customHeight="1">
      <c r="BC1932" s="169"/>
    </row>
    <row r="1933" spans="55:55" ht="15.75" customHeight="1">
      <c r="BC1933" s="169"/>
    </row>
    <row r="1934" spans="55:55" ht="15.75" customHeight="1">
      <c r="BC1934" s="169"/>
    </row>
    <row r="1935" spans="55:55" ht="15.75" customHeight="1">
      <c r="BC1935" s="169"/>
    </row>
    <row r="1936" spans="55:55" ht="15.75" customHeight="1">
      <c r="BC1936" s="169"/>
    </row>
    <row r="1937" spans="55:55" ht="15.75" customHeight="1">
      <c r="BC1937" s="169"/>
    </row>
    <row r="1938" spans="55:55" ht="15.75" customHeight="1">
      <c r="BC1938" s="169"/>
    </row>
    <row r="1939" spans="55:55" ht="15.75" customHeight="1">
      <c r="BC1939" s="169"/>
    </row>
    <row r="1940" spans="55:55" ht="15.75" customHeight="1">
      <c r="BC1940" s="169"/>
    </row>
    <row r="1941" spans="55:55" ht="15.75" customHeight="1">
      <c r="BC1941" s="169"/>
    </row>
    <row r="1942" spans="55:55" ht="15.75" customHeight="1">
      <c r="BC1942" s="169"/>
    </row>
    <row r="1943" spans="55:55" ht="15.75" customHeight="1">
      <c r="BC1943" s="169"/>
    </row>
    <row r="1944" spans="55:55" ht="15.75" customHeight="1">
      <c r="BC1944" s="169"/>
    </row>
    <row r="1945" spans="55:55" ht="15.75" customHeight="1">
      <c r="BC1945" s="169"/>
    </row>
    <row r="1946" spans="55:55" ht="15.75" customHeight="1">
      <c r="BC1946" s="169"/>
    </row>
    <row r="1947" spans="55:55" ht="15.75" customHeight="1">
      <c r="BC1947" s="169"/>
    </row>
    <row r="1948" spans="55:55" ht="15.75" customHeight="1">
      <c r="BC1948" s="169"/>
    </row>
    <row r="1949" spans="55:55" ht="15.75" customHeight="1">
      <c r="BC1949" s="169"/>
    </row>
    <row r="1950" spans="55:55" ht="15.75" customHeight="1">
      <c r="BC1950" s="169"/>
    </row>
    <row r="1951" spans="55:55" ht="15.75" customHeight="1">
      <c r="BC1951" s="169"/>
    </row>
    <row r="1952" spans="55:55" ht="15.75" customHeight="1">
      <c r="BC1952" s="169"/>
    </row>
    <row r="1953" spans="55:55" ht="15.75" customHeight="1">
      <c r="BC1953" s="169"/>
    </row>
    <row r="1954" spans="55:55" ht="15.75" customHeight="1">
      <c r="BC1954" s="169"/>
    </row>
    <row r="1955" spans="55:55" ht="15.75" customHeight="1">
      <c r="BC1955" s="169"/>
    </row>
    <row r="1956" spans="55:55" ht="15.75" customHeight="1">
      <c r="BC1956" s="169"/>
    </row>
    <row r="1957" spans="55:55" ht="15.75" customHeight="1">
      <c r="BC1957" s="169"/>
    </row>
    <row r="1958" spans="55:55" ht="15.75" customHeight="1">
      <c r="BC1958" s="169"/>
    </row>
    <row r="1959" spans="55:55" ht="15.75" customHeight="1">
      <c r="BC1959" s="169"/>
    </row>
    <row r="1960" spans="55:55" ht="15.75" customHeight="1">
      <c r="BC1960" s="169"/>
    </row>
    <row r="1961" spans="55:55" ht="15.75" customHeight="1">
      <c r="BC1961" s="169"/>
    </row>
    <row r="1962" spans="55:55" ht="15.75" customHeight="1">
      <c r="BC1962" s="169"/>
    </row>
    <row r="1963" spans="55:55" ht="15.75" customHeight="1">
      <c r="BC1963" s="169"/>
    </row>
    <row r="1964" spans="55:55" ht="15.75" customHeight="1">
      <c r="BC1964" s="169"/>
    </row>
    <row r="1965" spans="55:55" ht="15.75" customHeight="1">
      <c r="BC1965" s="169"/>
    </row>
    <row r="1966" spans="55:55" ht="15.75" customHeight="1">
      <c r="BC1966" s="169"/>
    </row>
    <row r="1967" spans="55:55" ht="15.75" customHeight="1">
      <c r="BC1967" s="169"/>
    </row>
    <row r="1968" spans="55:55" ht="15.75" customHeight="1">
      <c r="BC1968" s="169"/>
    </row>
    <row r="1969" spans="55:55" ht="15.75" customHeight="1">
      <c r="BC1969" s="169"/>
    </row>
    <row r="1970" spans="55:55" ht="15.75" customHeight="1">
      <c r="BC1970" s="169"/>
    </row>
    <row r="1971" spans="55:55" ht="15.75" customHeight="1">
      <c r="BC1971" s="169"/>
    </row>
    <row r="1972" spans="55:55" ht="15.75" customHeight="1">
      <c r="BC1972" s="169"/>
    </row>
    <row r="1973" spans="55:55" ht="15.75" customHeight="1">
      <c r="BC1973" s="169"/>
    </row>
    <row r="1974" spans="55:55" ht="15.75" customHeight="1">
      <c r="BC1974" s="169"/>
    </row>
    <row r="1975" spans="55:55" ht="15.75" customHeight="1">
      <c r="BC1975" s="169"/>
    </row>
    <row r="1976" spans="55:55" ht="15.75" customHeight="1">
      <c r="BC1976" s="169"/>
    </row>
    <row r="1977" spans="55:55" ht="15.75" customHeight="1">
      <c r="BC1977" s="169"/>
    </row>
    <row r="1978" spans="55:55" ht="15.75" customHeight="1">
      <c r="BC1978" s="169"/>
    </row>
    <row r="1979" spans="55:55" ht="15.75" customHeight="1">
      <c r="BC1979" s="169"/>
    </row>
    <row r="1980" spans="55:55" ht="15.75" customHeight="1">
      <c r="BC1980" s="169"/>
    </row>
    <row r="1981" spans="55:55" ht="15.75" customHeight="1">
      <c r="BC1981" s="169"/>
    </row>
    <row r="1982" spans="55:55" ht="15.75" customHeight="1">
      <c r="BC1982" s="169"/>
    </row>
    <row r="1983" spans="55:55" ht="15.75" customHeight="1">
      <c r="BC1983" s="169"/>
    </row>
    <row r="1984" spans="55:55" ht="15.75" customHeight="1">
      <c r="BC1984" s="169"/>
    </row>
    <row r="1985" spans="55:55" ht="15.75" customHeight="1">
      <c r="BC1985" s="169"/>
    </row>
    <row r="1986" spans="55:55" ht="15.75" customHeight="1">
      <c r="BC1986" s="169"/>
    </row>
    <row r="1987" spans="55:55" ht="15.75" customHeight="1">
      <c r="BC1987" s="169"/>
    </row>
    <row r="1988" spans="55:55" ht="15.75" customHeight="1">
      <c r="BC1988" s="169"/>
    </row>
    <row r="1989" spans="55:55" ht="15.75" customHeight="1">
      <c r="BC1989" s="169"/>
    </row>
    <row r="1990" spans="55:55" ht="15.75" customHeight="1">
      <c r="BC1990" s="169"/>
    </row>
    <row r="1991" spans="55:55" ht="15.75" customHeight="1">
      <c r="BC1991" s="169"/>
    </row>
    <row r="1992" spans="55:55" ht="15.75" customHeight="1">
      <c r="BC1992" s="169"/>
    </row>
    <row r="1993" spans="55:55" ht="15.75" customHeight="1">
      <c r="BC1993" s="169"/>
    </row>
    <row r="1994" spans="55:55" ht="15.75" customHeight="1">
      <c r="BC1994" s="169"/>
    </row>
    <row r="1995" spans="55:55" ht="15.75" customHeight="1">
      <c r="BC1995" s="169"/>
    </row>
    <row r="1996" spans="55:55" ht="15.75" customHeight="1">
      <c r="BC1996" s="169"/>
    </row>
    <row r="1997" spans="55:55" ht="15.75" customHeight="1">
      <c r="BC1997" s="169"/>
    </row>
    <row r="1998" spans="55:55" ht="15.75" customHeight="1">
      <c r="BC1998" s="169"/>
    </row>
    <row r="1999" spans="55:55" ht="15.75" customHeight="1">
      <c r="BC1999" s="169"/>
    </row>
    <row r="2000" spans="55:55" ht="15.75" customHeight="1">
      <c r="BC2000" s="169"/>
    </row>
    <row r="2001" spans="55:55" ht="15.75" customHeight="1">
      <c r="BC2001" s="169"/>
    </row>
    <row r="2002" spans="55:55" ht="15.75" customHeight="1">
      <c r="BC2002" s="169"/>
    </row>
    <row r="2003" spans="55:55" ht="15.75" customHeight="1">
      <c r="BC2003" s="169"/>
    </row>
    <row r="2004" spans="55:55" ht="15.75" customHeight="1">
      <c r="BC2004" s="169"/>
    </row>
    <row r="2005" spans="55:55" ht="15.75" customHeight="1">
      <c r="BC2005" s="169"/>
    </row>
    <row r="2006" spans="55:55" ht="15.75" customHeight="1">
      <c r="BC2006" s="169"/>
    </row>
    <row r="2007" spans="55:55" ht="15.75" customHeight="1">
      <c r="BC2007" s="169"/>
    </row>
    <row r="2008" spans="55:55" ht="15.75" customHeight="1">
      <c r="BC2008" s="169"/>
    </row>
  </sheetData>
  <autoFilter ref="A2:BG65" xr:uid="{00000000-0009-0000-0000-00001F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autoFilter>
  <mergeCells count="10">
    <mergeCell ref="BD1:BG1"/>
    <mergeCell ref="AN2:AP2"/>
    <mergeCell ref="AQ2:AS2"/>
    <mergeCell ref="AT2:AV2"/>
    <mergeCell ref="A1:BB1"/>
    <mergeCell ref="N2:P2"/>
    <mergeCell ref="T2:V2"/>
    <mergeCell ref="W2:Y2"/>
    <mergeCell ref="Z2:AB2"/>
    <mergeCell ref="AC2:AE2"/>
  </mergeCells>
  <conditionalFormatting sqref="B13:BA50">
    <cfRule type="expression" dxfId="258" priority="16">
      <formula>$M13="NON DEFINED"</formula>
    </cfRule>
    <cfRule type="expression" dxfId="257" priority="17">
      <formula>$AY13="N.D."</formula>
    </cfRule>
  </conditionalFormatting>
  <conditionalFormatting sqref="BD3:BG3">
    <cfRule type="containsBlanks" dxfId="256" priority="15">
      <formula>LEN(TRIM(BD3))=0</formula>
    </cfRule>
  </conditionalFormatting>
  <conditionalFormatting sqref="BE15 BE17 BE19 BD21:BE21 BD23:BE23 BE25 BD27:BE27 BD29:BE29 BD31:BE31 BD33:BE33 BD35:BE35 BD37:BE37 BD39:BE39 BD41:BE41 BD43:BE43 BD45:BE45 BD47:BE47 BD49:BE49 BG49 BG47 BG45 BG43 BG41 BG39 BG37 BG35 BG33 BG31 BG29 BG27 BG25 BG23 BG21 BG19 BG17 BG15">
    <cfRule type="containsBlanks" dxfId="255" priority="13">
      <formula>LEN(TRIM(BD15))=0</formula>
    </cfRule>
  </conditionalFormatting>
  <conditionalFormatting sqref="BC13:BC50 BC66:BC2008">
    <cfRule type="containsText" dxfId="254" priority="11" operator="containsText" text="a">
      <formula>NOT(ISERROR(SEARCH("a",BC13)))</formula>
    </cfRule>
    <cfRule type="containsText" dxfId="253" priority="12" operator="containsText" text="R">
      <formula>NOT(ISERROR(SEARCH("R",BC13)))</formula>
    </cfRule>
  </conditionalFormatting>
  <conditionalFormatting sqref="BA13:BA50">
    <cfRule type="expression" dxfId="252" priority="10">
      <formula>$BC13="R"</formula>
    </cfRule>
  </conditionalFormatting>
  <conditionalFormatting sqref="BA4:BA12">
    <cfRule type="expression" dxfId="251" priority="9">
      <formula>$BC4="R"</formula>
    </cfRule>
  </conditionalFormatting>
  <conditionalFormatting sqref="B4:BA12 BC4:BG12">
    <cfRule type="expression" dxfId="250" priority="7">
      <formula>$M4="NON DEFINED"</formula>
    </cfRule>
    <cfRule type="expression" dxfId="249" priority="8">
      <formula>$AY4="N.D."</formula>
    </cfRule>
  </conditionalFormatting>
  <conditionalFormatting sqref="A4:BG12">
    <cfRule type="cellIs" dxfId="248" priority="6" operator="equal">
      <formula>0</formula>
    </cfRule>
  </conditionalFormatting>
  <conditionalFormatting sqref="BA51:BA63">
    <cfRule type="expression" dxfId="247" priority="3">
      <formula>$BC53="R"</formula>
    </cfRule>
  </conditionalFormatting>
  <conditionalFormatting sqref="B51:BA63 BC51:BG63">
    <cfRule type="expression" dxfId="246" priority="4">
      <formula>$M53="NON DEFINED"</formula>
    </cfRule>
    <cfRule type="expression" dxfId="245" priority="5">
      <formula>$AY53="N.D."</formula>
    </cfRule>
  </conditionalFormatting>
  <conditionalFormatting sqref="A51:BG65">
    <cfRule type="cellIs" dxfId="244" priority="2" operator="equal">
      <formula>0</formula>
    </cfRule>
  </conditionalFormatting>
  <conditionalFormatting sqref="BA65">
    <cfRule type="expression" dxfId="243" priority="352">
      <formula>$BC66="R"</formula>
    </cfRule>
  </conditionalFormatting>
  <conditionalFormatting sqref="BA64">
    <cfRule type="expression" dxfId="242" priority="353">
      <formula>#REF!="R"</formula>
    </cfRule>
  </conditionalFormatting>
  <conditionalFormatting sqref="B65:BA65 BC65:BG65">
    <cfRule type="expression" dxfId="241" priority="357">
      <formula>$M66="NON DEFINED"</formula>
    </cfRule>
    <cfRule type="expression" dxfId="240" priority="358">
      <formula>$AY66="N.D."</formula>
    </cfRule>
  </conditionalFormatting>
  <conditionalFormatting sqref="B64:BA64 BC64:BG64">
    <cfRule type="expression" dxfId="239" priority="359">
      <formula>#REF!="NON DEFINED"</formula>
    </cfRule>
    <cfRule type="expression" dxfId="238" priority="360">
      <formula>#REF!="N.D."</formula>
    </cfRule>
  </conditionalFormatting>
  <conditionalFormatting sqref="AN4:AN65">
    <cfRule type="cellIs" dxfId="237" priority="1" operator="notEqual">
      <formula>5.5</formula>
    </cfRule>
  </conditionalFormatting>
  <printOptions horizontalCentered="1" gridLines="1"/>
  <pageMargins left="0.39370078740157483" right="0.39370078740157483" top="0.78740157480314965" bottom="0.78740157480314965" header="0.31496062992125984" footer="0.31496062992125984"/>
  <pageSetup paperSize="8" scale="76" fitToHeight="0" orientation="landscape" r:id="rId1"/>
  <headerFooter alignWithMargins="0">
    <oddHeader>&amp;L&amp;G&amp;C
LAYOUT AND EQUIPMENT
EP06 TRACK 4 THA-HOLON
KP96+566 - 97+927&amp;R&amp;G</oddHeader>
    <oddFooter>&amp;L&amp;G
&amp;F&amp;C&amp;D&amp;RPag &amp;P of &amp;N</oddFooter>
  </headerFooter>
  <legacyDrawingHF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9">
    <tabColor theme="7"/>
    <pageSetUpPr fitToPage="1"/>
  </sheetPr>
  <dimension ref="A1:BG2006"/>
  <sheetViews>
    <sheetView view="pageBreakPreview" zoomScale="80" zoomScaleNormal="85" zoomScaleSheetLayoutView="80" workbookViewId="0">
      <pane xSplit="2" ySplit="3" topLeftCell="C4" activePane="bottomRight" state="frozen"/>
      <selection activeCell="G124" sqref="G124"/>
      <selection pane="topRight" activeCell="G124" sqref="G124"/>
      <selection pane="bottomLeft" activeCell="G124" sqref="G124"/>
      <selection pane="bottomRight" activeCell="G124" sqref="G124"/>
    </sheetView>
  </sheetViews>
  <sheetFormatPr baseColWidth="10" defaultColWidth="11.453125" defaultRowHeight="15.75" customHeight="1"/>
  <cols>
    <col min="1" max="1" width="20.6328125" style="178" customWidth="1"/>
    <col min="2" max="2" width="12.6328125" style="178" customWidth="1"/>
    <col min="3" max="3" width="12.6328125" style="184" customWidth="1"/>
    <col min="4" max="4" width="12.6328125" style="184" hidden="1" customWidth="1"/>
    <col min="5" max="5" width="12.6328125" style="178" hidden="1" customWidth="1"/>
    <col min="6" max="6" width="12.6328125" style="178" customWidth="1"/>
    <col min="7" max="7" width="12.6328125" style="454" customWidth="1"/>
    <col min="8" max="8" width="18.6328125" style="178" customWidth="1"/>
    <col min="9" max="9" width="12.6328125" style="178" customWidth="1"/>
    <col min="10" max="10" width="12.6328125" style="184" customWidth="1"/>
    <col min="11" max="11" width="12.6328125" style="178" customWidth="1"/>
    <col min="12" max="13" width="14.6328125" style="178" customWidth="1"/>
    <col min="14" max="16" width="8.6328125" style="178" hidden="1" customWidth="1"/>
    <col min="17" max="19" width="12.6328125" style="178" hidden="1" customWidth="1"/>
    <col min="20" max="28" width="8.6328125" style="178" hidden="1" customWidth="1"/>
    <col min="29" max="31" width="10.6328125" style="178" hidden="1" customWidth="1"/>
    <col min="32" max="32" width="13.54296875" style="178" hidden="1" customWidth="1"/>
    <col min="33" max="33" width="12.6328125" style="184" hidden="1" customWidth="1"/>
    <col min="34" max="36" width="12.6328125" style="178" hidden="1" customWidth="1"/>
    <col min="37" max="38" width="12.6328125" style="178" customWidth="1"/>
    <col min="39" max="39" width="12.6328125" style="178" hidden="1" customWidth="1"/>
    <col min="40" max="40" width="8.6328125" style="458" hidden="1" customWidth="1"/>
    <col min="41" max="42" width="8.6328125" style="169" hidden="1" customWidth="1"/>
    <col min="43" max="46" width="8.6328125" style="458" hidden="1" customWidth="1"/>
    <col min="47" max="48" width="8.6328125" style="169" hidden="1" customWidth="1"/>
    <col min="49" max="50" width="12.6328125" style="169" customWidth="1"/>
    <col min="51" max="52" width="12.6328125" style="458" customWidth="1"/>
    <col min="53" max="53" width="12.6328125" style="169" customWidth="1"/>
    <col min="54" max="54" width="21.6328125" style="178" customWidth="1"/>
    <col min="55" max="55" width="18" style="178" customWidth="1"/>
    <col min="56" max="59" width="14.54296875" style="1323" customWidth="1"/>
    <col min="60" max="60" width="11.453125" style="178" customWidth="1"/>
    <col min="61" max="62" width="11.453125" style="178"/>
    <col min="63" max="64" width="11.453125" style="178" customWidth="1"/>
    <col min="65" max="16384" width="11.453125" style="178"/>
  </cols>
  <sheetData>
    <row r="1" spans="1:59" ht="36.75" customHeight="1">
      <c r="A1" s="1626" t="s">
        <v>4949</v>
      </c>
      <c r="B1" s="1626"/>
      <c r="C1" s="1626"/>
      <c r="D1" s="1626"/>
      <c r="E1" s="1626"/>
      <c r="F1" s="1626"/>
      <c r="G1" s="1626"/>
      <c r="H1" s="1626"/>
      <c r="I1" s="1626"/>
      <c r="J1" s="1626"/>
      <c r="K1" s="1626"/>
      <c r="L1" s="1626"/>
      <c r="M1" s="1626"/>
      <c r="N1" s="1626"/>
      <c r="O1" s="1626"/>
      <c r="P1" s="1626"/>
      <c r="Q1" s="1626"/>
      <c r="R1" s="1626"/>
      <c r="S1" s="1626"/>
      <c r="T1" s="1626"/>
      <c r="U1" s="1626"/>
      <c r="V1" s="1626"/>
      <c r="W1" s="1626"/>
      <c r="X1" s="1626"/>
      <c r="Y1" s="1626"/>
      <c r="Z1" s="1626"/>
      <c r="AA1" s="1626"/>
      <c r="AB1" s="1626"/>
      <c r="AC1" s="1626"/>
      <c r="AD1" s="1626"/>
      <c r="AE1" s="1626"/>
      <c r="AF1" s="1626"/>
      <c r="AG1" s="1626"/>
      <c r="AH1" s="1626"/>
      <c r="AI1" s="1626"/>
      <c r="AJ1" s="1626"/>
      <c r="AK1" s="1626"/>
      <c r="AL1" s="1626"/>
      <c r="AM1" s="1626"/>
      <c r="AN1" s="1626"/>
      <c r="AO1" s="1626"/>
      <c r="AP1" s="1626"/>
      <c r="AQ1" s="1626"/>
      <c r="AR1" s="1626"/>
      <c r="AS1" s="1626"/>
      <c r="AT1" s="1626"/>
      <c r="AU1" s="1626"/>
      <c r="AV1" s="1626"/>
      <c r="AW1" s="1626"/>
      <c r="AX1" s="1626"/>
      <c r="AY1" s="1626"/>
      <c r="AZ1" s="1626"/>
      <c r="BA1" s="1626"/>
      <c r="BB1" s="1626"/>
      <c r="BC1" s="693" t="s">
        <v>4947</v>
      </c>
      <c r="BD1" s="1599" t="s">
        <v>4916</v>
      </c>
      <c r="BE1" s="1599"/>
      <c r="BF1" s="1599"/>
      <c r="BG1" s="1599"/>
    </row>
    <row r="2" spans="1:59" s="699" customFormat="1" ht="42" customHeight="1">
      <c r="A2" s="1264" t="s">
        <v>4417</v>
      </c>
      <c r="B2" s="1264" t="s">
        <v>4418</v>
      </c>
      <c r="C2" s="980" t="s">
        <v>2315</v>
      </c>
      <c r="D2" s="980" t="s">
        <v>4419</v>
      </c>
      <c r="E2" s="1264" t="s">
        <v>4855</v>
      </c>
      <c r="F2" s="1264" t="s">
        <v>4856</v>
      </c>
      <c r="G2" s="981" t="s">
        <v>4857</v>
      </c>
      <c r="H2" s="1264" t="s">
        <v>455</v>
      </c>
      <c r="I2" s="1264" t="s">
        <v>454</v>
      </c>
      <c r="J2" s="1264" t="s">
        <v>4423</v>
      </c>
      <c r="K2" s="1264" t="s">
        <v>1362</v>
      </c>
      <c r="L2" s="1264" t="s">
        <v>456</v>
      </c>
      <c r="M2" s="1264" t="s">
        <v>453</v>
      </c>
      <c r="N2" s="1624" t="s">
        <v>457</v>
      </c>
      <c r="O2" s="1624"/>
      <c r="P2" s="1624"/>
      <c r="Q2" s="1264" t="s">
        <v>4858</v>
      </c>
      <c r="R2" s="1264" t="s">
        <v>4859</v>
      </c>
      <c r="S2" s="1264" t="s">
        <v>4860</v>
      </c>
      <c r="T2" s="1624" t="s">
        <v>4861</v>
      </c>
      <c r="U2" s="1624"/>
      <c r="V2" s="1624"/>
      <c r="W2" s="1624" t="s">
        <v>4862</v>
      </c>
      <c r="X2" s="1624"/>
      <c r="Y2" s="1624"/>
      <c r="Z2" s="1624" t="s">
        <v>4863</v>
      </c>
      <c r="AA2" s="1624"/>
      <c r="AB2" s="1624"/>
      <c r="AC2" s="1624" t="s">
        <v>628</v>
      </c>
      <c r="AD2" s="1624"/>
      <c r="AE2" s="1624"/>
      <c r="AF2" s="1264" t="s">
        <v>4872</v>
      </c>
      <c r="AG2" s="1264" t="s">
        <v>4864</v>
      </c>
      <c r="AH2" s="1264" t="s">
        <v>4865</v>
      </c>
      <c r="AI2" s="1264" t="s">
        <v>4866</v>
      </c>
      <c r="AJ2" s="1264" t="s">
        <v>629</v>
      </c>
      <c r="AK2" s="1264" t="s">
        <v>458</v>
      </c>
      <c r="AL2" s="1264" t="s">
        <v>459</v>
      </c>
      <c r="AM2" s="1264" t="s">
        <v>631</v>
      </c>
      <c r="AN2" s="1624" t="s">
        <v>4867</v>
      </c>
      <c r="AO2" s="1624"/>
      <c r="AP2" s="1624"/>
      <c r="AQ2" s="1625" t="s">
        <v>460</v>
      </c>
      <c r="AR2" s="1625"/>
      <c r="AS2" s="1625"/>
      <c r="AT2" s="1624" t="s">
        <v>630</v>
      </c>
      <c r="AU2" s="1624"/>
      <c r="AV2" s="1624"/>
      <c r="AW2" s="1264" t="s">
        <v>4868</v>
      </c>
      <c r="AX2" s="1264" t="s">
        <v>4904</v>
      </c>
      <c r="AY2" s="1265" t="s">
        <v>4869</v>
      </c>
      <c r="AZ2" s="1265" t="s">
        <v>4870</v>
      </c>
      <c r="BA2" s="1264" t="s">
        <v>1670</v>
      </c>
      <c r="BB2" s="1264" t="s">
        <v>4871</v>
      </c>
      <c r="BC2" s="693" t="s">
        <v>4948</v>
      </c>
      <c r="BD2" s="1320" t="s">
        <v>453</v>
      </c>
      <c r="BE2" s="1320" t="s">
        <v>4922</v>
      </c>
      <c r="BF2" s="1320" t="s">
        <v>4915</v>
      </c>
      <c r="BG2" s="1320" t="s">
        <v>457</v>
      </c>
    </row>
    <row r="3" spans="1:59" ht="15.75" customHeight="1">
      <c r="A3" s="1239"/>
      <c r="B3" s="1239"/>
      <c r="C3" s="171"/>
      <c r="D3" s="171"/>
      <c r="E3" s="1239"/>
      <c r="F3" s="172"/>
      <c r="G3" s="172"/>
      <c r="H3" s="1239"/>
      <c r="I3" s="1239"/>
      <c r="J3" s="171"/>
      <c r="K3" s="1239"/>
      <c r="L3" s="1239"/>
      <c r="M3" s="1239"/>
      <c r="N3" s="982" t="s">
        <v>123</v>
      </c>
      <c r="O3" s="982" t="s">
        <v>124</v>
      </c>
      <c r="P3" s="982" t="s">
        <v>125</v>
      </c>
      <c r="Q3" s="1239"/>
      <c r="R3" s="1239"/>
      <c r="S3" s="1239"/>
      <c r="T3" s="982" t="s">
        <v>126</v>
      </c>
      <c r="U3" s="982" t="s">
        <v>127</v>
      </c>
      <c r="V3" s="982" t="s">
        <v>128</v>
      </c>
      <c r="W3" s="982" t="s">
        <v>129</v>
      </c>
      <c r="X3" s="982" t="s">
        <v>130</v>
      </c>
      <c r="Y3" s="982" t="s">
        <v>131</v>
      </c>
      <c r="Z3" s="982" t="s">
        <v>132</v>
      </c>
      <c r="AA3" s="982" t="s">
        <v>133</v>
      </c>
      <c r="AB3" s="982" t="s">
        <v>134</v>
      </c>
      <c r="AC3" s="982" t="s">
        <v>135</v>
      </c>
      <c r="AD3" s="982" t="s">
        <v>136</v>
      </c>
      <c r="AE3" s="982" t="s">
        <v>137</v>
      </c>
      <c r="AF3" s="1239"/>
      <c r="AG3" s="1239"/>
      <c r="AH3" s="1239"/>
      <c r="AI3" s="1239"/>
      <c r="AJ3" s="1239"/>
      <c r="AK3" s="1239"/>
      <c r="AL3" s="1239"/>
      <c r="AM3" s="1239"/>
      <c r="AN3" s="698"/>
      <c r="AO3" s="1239"/>
      <c r="AP3" s="1239"/>
      <c r="AQ3" s="484"/>
      <c r="AR3" s="484"/>
      <c r="AS3" s="484"/>
      <c r="AT3" s="484"/>
      <c r="AU3" s="638"/>
      <c r="AV3" s="638"/>
      <c r="AW3" s="484"/>
      <c r="AX3" s="484"/>
      <c r="AY3" s="484"/>
      <c r="AZ3" s="484"/>
      <c r="BA3" s="638"/>
      <c r="BB3" s="1239"/>
      <c r="BD3" s="1328"/>
      <c r="BE3" s="1328"/>
      <c r="BF3" s="1328"/>
      <c r="BG3" s="1328"/>
    </row>
    <row r="4" spans="1:59" ht="15.75" customHeight="1">
      <c r="A4" s="501">
        <f>'HR Track 3 TSA-THA'!A153</f>
        <v>0</v>
      </c>
      <c r="B4" s="716">
        <f>'HR Track 3 TSA-THA'!B153</f>
        <v>0</v>
      </c>
      <c r="C4" s="451">
        <f>'HR Track 3 TSA-THA'!C153</f>
        <v>0</v>
      </c>
      <c r="D4" s="453">
        <f>'HR Track 3 TSA-THA'!D153</f>
        <v>0</v>
      </c>
      <c r="E4" s="452">
        <f>'HR Track 3 TSA-THA'!E153</f>
        <v>0</v>
      </c>
      <c r="F4" s="453">
        <f>'HR Track 3 TSA-THA'!F153</f>
        <v>0</v>
      </c>
      <c r="G4" s="500">
        <f>'HR Track 3 TSA-THA'!G153</f>
        <v>33</v>
      </c>
      <c r="H4" s="453">
        <f>'HR Track 3 TSA-THA'!H153</f>
        <v>0</v>
      </c>
      <c r="I4" s="501">
        <f>'HR Track 3 TSA-THA'!I153</f>
        <v>360</v>
      </c>
      <c r="J4" s="583">
        <f>'HR Track 3 TSA-THA'!J153</f>
        <v>96559.950000000026</v>
      </c>
      <c r="K4" s="452" t="str">
        <f>'HR Track 3 TSA-THA'!K153</f>
        <v>AnMC/WT</v>
      </c>
      <c r="L4" s="452">
        <f>'HR Track 3 TSA-THA'!L153</f>
        <v>0</v>
      </c>
      <c r="M4" s="452">
        <f>'HR Track 3 TSA-THA'!M153</f>
        <v>0</v>
      </c>
      <c r="N4" s="501">
        <f>'HR Track 3 TSA-THA'!N153</f>
        <v>0</v>
      </c>
      <c r="O4" s="501">
        <f>'HR Track 3 TSA-THA'!O153</f>
        <v>0</v>
      </c>
      <c r="P4" s="501">
        <f>'HR Track 3 TSA-THA'!P153</f>
        <v>0</v>
      </c>
      <c r="Q4" s="452">
        <f>'HR Track 3 TSA-THA'!Q153</f>
        <v>0</v>
      </c>
      <c r="R4" s="452">
        <f>'HR Track 3 TSA-THA'!R153</f>
        <v>0</v>
      </c>
      <c r="S4" s="500">
        <f>'HR Track 3 TSA-THA'!S153</f>
        <v>33</v>
      </c>
      <c r="T4" s="452">
        <f>'HR Track 3 TSA-THA'!T153</f>
        <v>0</v>
      </c>
      <c r="U4" s="452">
        <f>'HR Track 3 TSA-THA'!U153</f>
        <v>0</v>
      </c>
      <c r="V4" s="452">
        <f>'HR Track 3 TSA-THA'!V153</f>
        <v>0</v>
      </c>
      <c r="W4" s="452">
        <f>'HR Track 3 TSA-THA'!W153</f>
        <v>0</v>
      </c>
      <c r="X4" s="452">
        <f>'HR Track 3 TSA-THA'!X153</f>
        <v>0</v>
      </c>
      <c r="Y4" s="452">
        <f>'HR Track 3 TSA-THA'!Y153</f>
        <v>0</v>
      </c>
      <c r="Z4" s="452">
        <f>'HR Track 3 TSA-THA'!Z153</f>
        <v>0</v>
      </c>
      <c r="AA4" s="452">
        <f>'HR Track 3 TSA-THA'!AA153</f>
        <v>0</v>
      </c>
      <c r="AB4" s="452">
        <f>'HR Track 3 TSA-THA'!AB153</f>
        <v>0</v>
      </c>
      <c r="AC4" s="452">
        <f>'HR Track 3 TSA-THA'!AC153</f>
        <v>0</v>
      </c>
      <c r="AD4" s="452">
        <f>'HR Track 3 TSA-THA'!AD153</f>
        <v>0</v>
      </c>
      <c r="AE4" s="452">
        <f>'HR Track 3 TSA-THA'!AE153</f>
        <v>0</v>
      </c>
      <c r="AF4" s="452">
        <f>'HR Track 3 TSA-THA'!AF153</f>
        <v>0</v>
      </c>
      <c r="AG4" s="451">
        <f>'HR Track 3 TSA-THA'!AG153</f>
        <v>0</v>
      </c>
      <c r="AH4" s="452">
        <f>'HR Track 3 TSA-THA'!AH153</f>
        <v>0</v>
      </c>
      <c r="AI4" s="452">
        <f>'HR Track 3 TSA-THA'!AI153</f>
        <v>0</v>
      </c>
      <c r="AJ4" s="452">
        <f>'HR Track 3 TSA-THA'!AJ153</f>
        <v>0</v>
      </c>
      <c r="AK4" s="452">
        <f>'HR Track 3 TSA-THA'!AK153</f>
        <v>0</v>
      </c>
      <c r="AL4" s="452">
        <f>'HR Track 3 TSA-THA'!AL153</f>
        <v>0</v>
      </c>
      <c r="AM4" s="452">
        <f>'HR Track 3 TSA-THA'!AM153</f>
        <v>0</v>
      </c>
      <c r="AN4" s="500">
        <f>'HR Track 3 TSA-THA'!AN153</f>
        <v>0</v>
      </c>
      <c r="AO4" s="452">
        <f>'HR Track 3 TSA-THA'!AO153</f>
        <v>0</v>
      </c>
      <c r="AP4" s="452">
        <f>'HR Track 3 TSA-THA'!AP153</f>
        <v>0</v>
      </c>
      <c r="AQ4" s="452">
        <f>'HR Track 3 TSA-THA'!AQ153</f>
        <v>0.3</v>
      </c>
      <c r="AR4" s="452">
        <f>'HR Track 3 TSA-THA'!AR153</f>
        <v>0</v>
      </c>
      <c r="AS4" s="452">
        <f>'HR Track 3 TSA-THA'!AS153</f>
        <v>0</v>
      </c>
      <c r="AT4" s="452">
        <f>'HR Track 3 TSA-THA'!AT153</f>
        <v>0</v>
      </c>
      <c r="AU4" s="452">
        <f>'HR Track 3 TSA-THA'!AU153</f>
        <v>0</v>
      </c>
      <c r="AV4" s="452">
        <f>'HR Track 3 TSA-THA'!AV153</f>
        <v>0</v>
      </c>
      <c r="AW4" s="452" t="str">
        <f>'HR Track 3 TSA-THA'!AW153</f>
        <v>DW6965</v>
      </c>
      <c r="AX4" s="452">
        <f>'HR Track 3 TSA-THA'!AX153</f>
        <v>0</v>
      </c>
      <c r="AY4" s="500">
        <f>'HR Track 3 TSA-THA'!AY153</f>
        <v>0</v>
      </c>
      <c r="AZ4" s="500">
        <f>'HR Track 3 TSA-THA'!AZ153</f>
        <v>0</v>
      </c>
      <c r="BA4" s="1333" t="str">
        <f>'HR Track 3 TSA-THA'!BA153</f>
        <v>ü</v>
      </c>
      <c r="BB4" s="452">
        <f>'HR Track 3 TSA-THA'!BB153</f>
        <v>0</v>
      </c>
      <c r="BC4" s="1334">
        <f>'HR Track 3 TSA-THA'!BC153</f>
        <v>0</v>
      </c>
      <c r="BD4" s="1335" t="str">
        <f>'HR Track 3 TSA-THA'!BD153</f>
        <v>Ejecutado</v>
      </c>
      <c r="BE4" s="1335">
        <f>'HR Track 3 TSA-THA'!BE153</f>
        <v>0</v>
      </c>
      <c r="BF4" s="1335">
        <f>'HR Track 3 TSA-THA'!BF153</f>
        <v>0</v>
      </c>
      <c r="BG4" s="1335">
        <f>'HR Track 3 TSA-THA'!BG153</f>
        <v>0</v>
      </c>
    </row>
    <row r="5" spans="1:59" ht="15.75" customHeight="1">
      <c r="A5" s="501">
        <f>'HR Track 3 TSA-THA'!A154</f>
        <v>0</v>
      </c>
      <c r="B5" s="716" t="str">
        <f>'HR Track 3 TSA-THA'!B154</f>
        <v>96-3.14</v>
      </c>
      <c r="C5" s="451">
        <f>'HR Track 3 TSA-THA'!C154</f>
        <v>96567.450000000026</v>
      </c>
      <c r="D5" s="453">
        <f>'HR Track 3 TSA-THA'!D154</f>
        <v>0</v>
      </c>
      <c r="E5" s="452">
        <f>'HR Track 3 TSA-THA'!E154</f>
        <v>0</v>
      </c>
      <c r="F5" s="453">
        <f>'HR Track 3 TSA-THA'!F154</f>
        <v>0</v>
      </c>
      <c r="G5" s="500">
        <f>'HR Track 3 TSA-THA'!G154</f>
        <v>0</v>
      </c>
      <c r="H5" s="453" t="str">
        <f>'HR Track 3 TSA-THA'!H154</f>
        <v>S/A S/A A/S-Diag</v>
      </c>
      <c r="I5" s="501" t="str">
        <f>'HR Track 3 TSA-THA'!I154</f>
        <v>CP/TX-P/1100</v>
      </c>
      <c r="J5" s="583">
        <f>'HR Track 3 TSA-THA'!J154</f>
        <v>0</v>
      </c>
      <c r="K5" s="452">
        <f>'HR Track 3 TSA-THA'!K154</f>
        <v>0</v>
      </c>
      <c r="L5" s="452" t="str">
        <f>'HR Track 3 TSA-THA'!L154</f>
        <v>HEB-280L</v>
      </c>
      <c r="M5" s="452" t="str">
        <f>'HR Track 3 TSA-THA'!M154</f>
        <v>WT5</v>
      </c>
      <c r="N5" s="501" t="str">
        <f>'HR Track 3 TSA-THA'!N154</f>
        <v>EMT-T</v>
      </c>
      <c r="O5" s="501" t="str">
        <f>'HR Track 3 TSA-THA'!O154</f>
        <v>EMT-2</v>
      </c>
      <c r="P5" s="501" t="str">
        <f>'HR Track 3 TSA-THA'!P154</f>
        <v>EMT-T</v>
      </c>
      <c r="Q5" s="452">
        <f>'HR Track 3 TSA-THA'!Q154</f>
        <v>10</v>
      </c>
      <c r="R5" s="452">
        <f>'HR Track 3 TSA-THA'!R154</f>
        <v>0</v>
      </c>
      <c r="S5" s="500">
        <f>'HR Track 3 TSA-THA'!S154</f>
        <v>0</v>
      </c>
      <c r="T5" s="452">
        <f>'HR Track 3 TSA-THA'!T154</f>
        <v>45</v>
      </c>
      <c r="U5" s="452">
        <f>'HR Track 3 TSA-THA'!U154</f>
        <v>30</v>
      </c>
      <c r="V5" s="452">
        <f>'HR Track 3 TSA-THA'!V154</f>
        <v>60</v>
      </c>
      <c r="W5" s="452">
        <f>'HR Track 3 TSA-THA'!W154</f>
        <v>1.8</v>
      </c>
      <c r="X5" s="452">
        <f>'HR Track 3 TSA-THA'!X154</f>
        <v>2.2999999999999998</v>
      </c>
      <c r="Y5" s="452">
        <f>'HR Track 3 TSA-THA'!Y154</f>
        <v>1.4</v>
      </c>
      <c r="Z5" s="452">
        <f>'HR Track 3 TSA-THA'!Z154</f>
        <v>0.32</v>
      </c>
      <c r="AA5" s="452">
        <f>'HR Track 3 TSA-THA'!AA154</f>
        <v>0</v>
      </c>
      <c r="AB5" s="452">
        <f>'HR Track 3 TSA-THA'!AB154</f>
        <v>0.6</v>
      </c>
      <c r="AC5" s="452" t="str">
        <f>'HR Track 3 TSA-THA'!AC154</f>
        <v>PHQ-1150</v>
      </c>
      <c r="AD5" s="452">
        <f>'HR Track 3 TSA-THA'!AD154</f>
        <v>0</v>
      </c>
      <c r="AE5" s="452">
        <f>'HR Track 3 TSA-THA'!AE154</f>
        <v>0</v>
      </c>
      <c r="AF5" s="452">
        <f>'HR Track 3 TSA-THA'!AF154</f>
        <v>4300</v>
      </c>
      <c r="AG5" s="451">
        <f>'HR Track 3 TSA-THA'!AG154</f>
        <v>96567</v>
      </c>
      <c r="AH5" s="452">
        <f>'HR Track 3 TSA-THA'!AH154</f>
        <v>3003</v>
      </c>
      <c r="AI5" s="452">
        <f>'HR Track 3 TSA-THA'!AI154</f>
        <v>-880</v>
      </c>
      <c r="AJ5" s="452">
        <f>'HR Track 3 TSA-THA'!AJ154</f>
        <v>0</v>
      </c>
      <c r="AK5" s="452">
        <f>'HR Track 3 TSA-THA'!AK154</f>
        <v>0</v>
      </c>
      <c r="AL5" s="452" t="str">
        <f>'HR Track 3 TSA-THA'!AL154</f>
        <v>PR1B</v>
      </c>
      <c r="AM5" s="452" t="str">
        <f>'HR Track 3 TSA-THA'!AM154</f>
        <v>RW2</v>
      </c>
      <c r="AN5" s="500">
        <f>'HR Track 3 TSA-THA'!AN154</f>
        <v>5.5</v>
      </c>
      <c r="AO5" s="452">
        <f>'HR Track 3 TSA-THA'!AO154</f>
        <v>0</v>
      </c>
      <c r="AP5" s="452">
        <f>'HR Track 3 TSA-THA'!AP154</f>
        <v>0</v>
      </c>
      <c r="AQ5" s="452">
        <f>'HR Track 3 TSA-THA'!AQ154</f>
        <v>0</v>
      </c>
      <c r="AR5" s="452">
        <f>'HR Track 3 TSA-THA'!AR154</f>
        <v>0</v>
      </c>
      <c r="AS5" s="452">
        <f>'HR Track 3 TSA-THA'!AS154</f>
        <v>0</v>
      </c>
      <c r="AT5" s="452">
        <f>'HR Track 3 TSA-THA'!AT154</f>
        <v>5.5255987803618423</v>
      </c>
      <c r="AU5" s="452">
        <f>'HR Track 3 TSA-THA'!AU154</f>
        <v>0</v>
      </c>
      <c r="AV5" s="452">
        <f>'HR Track 3 TSA-THA'!AV154</f>
        <v>0</v>
      </c>
      <c r="AW5" s="452" t="str">
        <f>'HR Track 3 TSA-THA'!AW154</f>
        <v>DW6930</v>
      </c>
      <c r="AX5" s="452">
        <f>'HR Track 3 TSA-THA'!AX154</f>
        <v>0</v>
      </c>
      <c r="AY5" s="500">
        <f>'HR Track 3 TSA-THA'!AY154</f>
        <v>0</v>
      </c>
      <c r="AZ5" s="500">
        <f>'HR Track 3 TSA-THA'!AZ154</f>
        <v>0</v>
      </c>
      <c r="BA5" s="1333" t="str">
        <f>'HR Track 3 TSA-THA'!BA154</f>
        <v>ü</v>
      </c>
      <c r="BB5" s="452" t="str">
        <f>'HR Track 3 TSA-THA'!BB154</f>
        <v>App.8-V08F-P10.3</v>
      </c>
      <c r="BC5" s="1334">
        <f>'HR Track 3 TSA-THA'!BC154</f>
        <v>0</v>
      </c>
      <c r="BD5" s="1335" t="str">
        <f>'HR Track 3 TSA-THA'!BD154</f>
        <v>Ejecutado</v>
      </c>
      <c r="BE5" s="1335" t="str">
        <f>'HR Track 3 TSA-THA'!BE154</f>
        <v>Ejecutado</v>
      </c>
      <c r="BF5" s="1335" t="str">
        <f>'HR Track 3 TSA-THA'!BF154</f>
        <v>Ejecutado</v>
      </c>
      <c r="BG5" s="1335">
        <f>'HR Track 3 TSA-THA'!BG154</f>
        <v>43570</v>
      </c>
    </row>
    <row r="6" spans="1:59" ht="15.75" customHeight="1">
      <c r="A6" s="501" t="str">
        <f>'HR Track 3 TSA-THA'!A155</f>
        <v>Overhead Cable</v>
      </c>
      <c r="B6" s="716">
        <f>'HR Track 3 TSA-THA'!B155</f>
        <v>0</v>
      </c>
      <c r="C6" s="451">
        <f>'HR Track 3 TSA-THA'!C155</f>
        <v>0</v>
      </c>
      <c r="D6" s="453">
        <f>'HR Track 3 TSA-THA'!D155</f>
        <v>0</v>
      </c>
      <c r="E6" s="452">
        <f>'HR Track 3 TSA-THA'!E155</f>
        <v>0</v>
      </c>
      <c r="F6" s="453">
        <f>'HR Track 3 TSA-THA'!F155</f>
        <v>0</v>
      </c>
      <c r="G6" s="500">
        <f>'HR Track 3 TSA-THA'!G155</f>
        <v>36.5</v>
      </c>
      <c r="H6" s="453">
        <f>'HR Track 3 TSA-THA'!H155</f>
        <v>0</v>
      </c>
      <c r="I6" s="501">
        <f>'HR Track 3 TSA-THA'!I155</f>
        <v>330</v>
      </c>
      <c r="J6" s="583">
        <f>'HR Track 3 TSA-THA'!J155</f>
        <v>0</v>
      </c>
      <c r="K6" s="452">
        <f>'HR Track 3 TSA-THA'!K155</f>
        <v>0</v>
      </c>
      <c r="L6" s="452">
        <f>'HR Track 3 TSA-THA'!L155</f>
        <v>0</v>
      </c>
      <c r="M6" s="452">
        <f>'HR Track 3 TSA-THA'!M155</f>
        <v>0</v>
      </c>
      <c r="N6" s="501">
        <f>'HR Track 3 TSA-THA'!N155</f>
        <v>0</v>
      </c>
      <c r="O6" s="501">
        <f>'HR Track 3 TSA-THA'!O155</f>
        <v>0</v>
      </c>
      <c r="P6" s="501">
        <f>'HR Track 3 TSA-THA'!P155</f>
        <v>0</v>
      </c>
      <c r="Q6" s="452">
        <f>'HR Track 3 TSA-THA'!Q155</f>
        <v>0</v>
      </c>
      <c r="R6" s="452">
        <f>'HR Track 3 TSA-THA'!R155</f>
        <v>0</v>
      </c>
      <c r="S6" s="500">
        <f>'HR Track 3 TSA-THA'!S155</f>
        <v>37</v>
      </c>
      <c r="T6" s="452">
        <f>'HR Track 3 TSA-THA'!T155</f>
        <v>0</v>
      </c>
      <c r="U6" s="452">
        <f>'HR Track 3 TSA-THA'!U155</f>
        <v>0</v>
      </c>
      <c r="V6" s="452">
        <f>'HR Track 3 TSA-THA'!V155</f>
        <v>0</v>
      </c>
      <c r="W6" s="452">
        <f>'HR Track 3 TSA-THA'!W155</f>
        <v>0</v>
      </c>
      <c r="X6" s="452">
        <f>'HR Track 3 TSA-THA'!X155</f>
        <v>0</v>
      </c>
      <c r="Y6" s="452">
        <f>'HR Track 3 TSA-THA'!Y155</f>
        <v>0</v>
      </c>
      <c r="Z6" s="452">
        <f>'HR Track 3 TSA-THA'!Z155</f>
        <v>0</v>
      </c>
      <c r="AA6" s="452">
        <f>'HR Track 3 TSA-THA'!AA155</f>
        <v>0</v>
      </c>
      <c r="AB6" s="452">
        <f>'HR Track 3 TSA-THA'!AB155</f>
        <v>0</v>
      </c>
      <c r="AC6" s="452">
        <f>'HR Track 3 TSA-THA'!AC155</f>
        <v>0</v>
      </c>
      <c r="AD6" s="452">
        <f>'HR Track 3 TSA-THA'!AD155</f>
        <v>0</v>
      </c>
      <c r="AE6" s="452">
        <f>'HR Track 3 TSA-THA'!AE155</f>
        <v>0</v>
      </c>
      <c r="AF6" s="452">
        <f>'HR Track 3 TSA-THA'!AF155</f>
        <v>0</v>
      </c>
      <c r="AG6" s="451">
        <f>'HR Track 3 TSA-THA'!AG155</f>
        <v>0</v>
      </c>
      <c r="AH6" s="452">
        <f>'HR Track 3 TSA-THA'!AH155</f>
        <v>0</v>
      </c>
      <c r="AI6" s="452">
        <f>'HR Track 3 TSA-THA'!AI155</f>
        <v>0</v>
      </c>
      <c r="AJ6" s="452">
        <f>'HR Track 3 TSA-THA'!AJ155</f>
        <v>0</v>
      </c>
      <c r="AK6" s="452">
        <f>'HR Track 3 TSA-THA'!AK155</f>
        <v>0</v>
      </c>
      <c r="AL6" s="452">
        <f>'HR Track 3 TSA-THA'!AL155</f>
        <v>0</v>
      </c>
      <c r="AM6" s="452">
        <f>'HR Track 3 TSA-THA'!AM155</f>
        <v>0</v>
      </c>
      <c r="AN6" s="500">
        <f>'HR Track 3 TSA-THA'!AN155</f>
        <v>0</v>
      </c>
      <c r="AO6" s="452">
        <f>'HR Track 3 TSA-THA'!AO155</f>
        <v>0</v>
      </c>
      <c r="AP6" s="452">
        <f>'HR Track 3 TSA-THA'!AP155</f>
        <v>0</v>
      </c>
      <c r="AQ6" s="452">
        <f>'HR Track 3 TSA-THA'!AQ155</f>
        <v>0.30000000000000304</v>
      </c>
      <c r="AR6" s="452">
        <f>'HR Track 3 TSA-THA'!AR155</f>
        <v>0</v>
      </c>
      <c r="AS6" s="452">
        <f>'HR Track 3 TSA-THA'!AS155</f>
        <v>0</v>
      </c>
      <c r="AT6" s="452">
        <f>'HR Track 3 TSA-THA'!AT155</f>
        <v>0</v>
      </c>
      <c r="AU6" s="452">
        <f>'HR Track 3 TSA-THA'!AU155</f>
        <v>0</v>
      </c>
      <c r="AV6" s="452">
        <f>'HR Track 3 TSA-THA'!AV155</f>
        <v>0</v>
      </c>
      <c r="AW6" s="452">
        <f>'HR Track 3 TSA-THA'!AW155</f>
        <v>0</v>
      </c>
      <c r="AX6" s="452">
        <f>'HR Track 3 TSA-THA'!AX155</f>
        <v>0</v>
      </c>
      <c r="AY6" s="500">
        <f>'HR Track 3 TSA-THA'!AY155</f>
        <v>0</v>
      </c>
      <c r="AZ6" s="500">
        <f>'HR Track 3 TSA-THA'!AZ155</f>
        <v>0</v>
      </c>
      <c r="BA6" s="1333">
        <f>'HR Track 3 TSA-THA'!BA155</f>
        <v>0</v>
      </c>
      <c r="BB6" s="452">
        <f>'HR Track 3 TSA-THA'!BB155</f>
        <v>0</v>
      </c>
      <c r="BC6" s="1334">
        <f>'HR Track 3 TSA-THA'!BC155</f>
        <v>0</v>
      </c>
      <c r="BD6" s="1335">
        <f>'HR Track 3 TSA-THA'!BD155</f>
        <v>0</v>
      </c>
      <c r="BE6" s="1335">
        <f>'HR Track 3 TSA-THA'!BE155</f>
        <v>0</v>
      </c>
      <c r="BF6" s="1335">
        <f>'HR Track 3 TSA-THA'!BF155</f>
        <v>0</v>
      </c>
      <c r="BG6" s="1335">
        <f>'HR Track 3 TSA-THA'!BG155</f>
        <v>0</v>
      </c>
    </row>
    <row r="7" spans="1:59" ht="15.75" customHeight="1">
      <c r="A7" s="501">
        <f>'HR Track 3 TSA-THA'!A156</f>
        <v>0</v>
      </c>
      <c r="B7" s="716" t="str">
        <f>'HR Track 3 TSA-THA'!B156</f>
        <v>96-3.15</v>
      </c>
      <c r="C7" s="451">
        <f>'HR Track 3 TSA-THA'!C156</f>
        <v>96603.950000000026</v>
      </c>
      <c r="D7" s="453">
        <f>'HR Track 3 TSA-THA'!D156</f>
        <v>0</v>
      </c>
      <c r="E7" s="452">
        <f>'HR Track 3 TSA-THA'!E156</f>
        <v>0</v>
      </c>
      <c r="F7" s="453">
        <f>'HR Track 3 TSA-THA'!F156</f>
        <v>0</v>
      </c>
      <c r="G7" s="500">
        <f>'HR Track 3 TSA-THA'!G156</f>
        <v>0</v>
      </c>
      <c r="H7" s="453" t="str">
        <f>'HR Track 3 TSA-THA'!H156</f>
        <v>P65(CS) S/A A/S</v>
      </c>
      <c r="I7" s="501" t="str">
        <f>'HR Track 3 TSA-THA'!I156</f>
        <v>CP/TX-P/1100</v>
      </c>
      <c r="J7" s="583">
        <f>'HR Track 3 TSA-THA'!J156</f>
        <v>0</v>
      </c>
      <c r="K7" s="452">
        <f>'HR Track 3 TSA-THA'!K156</f>
        <v>0</v>
      </c>
      <c r="L7" s="452" t="str">
        <f>'HR Track 3 TSA-THA'!L156</f>
        <v>HEB-280L</v>
      </c>
      <c r="M7" s="452" t="str">
        <f>'HR Track 3 TSA-THA'!M156</f>
        <v>Unique Solution</v>
      </c>
      <c r="N7" s="501" t="str">
        <f>'HR Track 3 TSA-THA'!N156</f>
        <v>EMT-T</v>
      </c>
      <c r="O7" s="501" t="str">
        <f>'HR Track 3 TSA-THA'!O156</f>
        <v>EMT-2</v>
      </c>
      <c r="P7" s="501" t="str">
        <f>'HR Track 3 TSA-THA'!P156</f>
        <v>EMT-1</v>
      </c>
      <c r="Q7" s="452">
        <f>'HR Track 3 TSA-THA'!Q156</f>
        <v>0</v>
      </c>
      <c r="R7" s="452">
        <f>'HR Track 3 TSA-THA'!R156</f>
        <v>0</v>
      </c>
      <c r="S7" s="500">
        <f>'HR Track 3 TSA-THA'!S156</f>
        <v>0</v>
      </c>
      <c r="T7" s="452">
        <f>'HR Track 3 TSA-THA'!T156</f>
        <v>60</v>
      </c>
      <c r="U7" s="452">
        <f>'HR Track 3 TSA-THA'!U156</f>
        <v>-15</v>
      </c>
      <c r="V7" s="452">
        <f>'HR Track 3 TSA-THA'!V156</f>
        <v>-30</v>
      </c>
      <c r="W7" s="452">
        <f>'HR Track 3 TSA-THA'!W156</f>
        <v>1.4</v>
      </c>
      <c r="X7" s="452">
        <f>'HR Track 3 TSA-THA'!X156</f>
        <v>1.8</v>
      </c>
      <c r="Y7" s="452">
        <f>'HR Track 3 TSA-THA'!Y156</f>
        <v>2.2999999999999998</v>
      </c>
      <c r="Z7" s="452">
        <f>'HR Track 3 TSA-THA'!Z156</f>
        <v>0.37</v>
      </c>
      <c r="AA7" s="452">
        <f>'HR Track 3 TSA-THA'!AA156</f>
        <v>0</v>
      </c>
      <c r="AB7" s="452">
        <f>'HR Track 3 TSA-THA'!AB156</f>
        <v>0</v>
      </c>
      <c r="AC7" s="452">
        <f>'HR Track 3 TSA-THA'!AC156</f>
        <v>0</v>
      </c>
      <c r="AD7" s="452" t="str">
        <f>'HR Track 3 TSA-THA'!AD156</f>
        <v>BTC-1651</v>
      </c>
      <c r="AE7" s="452" t="str">
        <f>'HR Track 3 TSA-THA'!AE156</f>
        <v>PHQ-1450</v>
      </c>
      <c r="AF7" s="452">
        <f>'HR Track 3 TSA-THA'!AF156</f>
        <v>5200</v>
      </c>
      <c r="AG7" s="451">
        <f>'HR Track 3 TSA-THA'!AG156</f>
        <v>96604</v>
      </c>
      <c r="AH7" s="452">
        <f>'HR Track 3 TSA-THA'!AH156</f>
        <v>2623</v>
      </c>
      <c r="AI7" s="452">
        <f>'HR Track 3 TSA-THA'!AI156</f>
        <v>60</v>
      </c>
      <c r="AJ7" s="452">
        <f>'HR Track 3 TSA-THA'!AJ156</f>
        <v>0</v>
      </c>
      <c r="AK7" s="452">
        <f>'HR Track 3 TSA-THA'!AK156</f>
        <v>0</v>
      </c>
      <c r="AL7" s="452" t="str">
        <f>'HR Track 3 TSA-THA'!AL156</f>
        <v>PR1B</v>
      </c>
      <c r="AM7" s="452" t="str">
        <f>'HR Track 3 TSA-THA'!AM156</f>
        <v>RW2</v>
      </c>
      <c r="AN7" s="500">
        <f>'HR Track 3 TSA-THA'!AN156</f>
        <v>5.5</v>
      </c>
      <c r="AO7" s="452">
        <f>'HR Track 3 TSA-THA'!AO156</f>
        <v>0</v>
      </c>
      <c r="AP7" s="452">
        <f>'HR Track 3 TSA-THA'!AP156</f>
        <v>0</v>
      </c>
      <c r="AQ7" s="452">
        <f>'HR Track 3 TSA-THA'!AQ156</f>
        <v>0</v>
      </c>
      <c r="AR7" s="452">
        <f>'HR Track 3 TSA-THA'!AR156</f>
        <v>0</v>
      </c>
      <c r="AS7" s="452">
        <f>'HR Track 3 TSA-THA'!AS156</f>
        <v>0</v>
      </c>
      <c r="AT7" s="452">
        <f>'HR Track 3 TSA-THA'!AT156</f>
        <v>-11.515875289564283</v>
      </c>
      <c r="AU7" s="452">
        <f>'HR Track 3 TSA-THA'!AU156</f>
        <v>0</v>
      </c>
      <c r="AV7" s="452">
        <f>'HR Track 3 TSA-THA'!AV156</f>
        <v>0</v>
      </c>
      <c r="AW7" s="452" t="str">
        <f>'HR Track 3 TSA-THA'!AW156</f>
        <v>DW6942</v>
      </c>
      <c r="AX7" s="452">
        <f>'HR Track 3 TSA-THA'!AX156</f>
        <v>0</v>
      </c>
      <c r="AY7" s="500">
        <f>'HR Track 3 TSA-THA'!AY156</f>
        <v>0</v>
      </c>
      <c r="AZ7" s="500">
        <f>'HR Track 3 TSA-THA'!AZ156</f>
        <v>0</v>
      </c>
      <c r="BA7" s="1333" t="str">
        <f>'HR Track 3 TSA-THA'!BA156</f>
        <v>ü</v>
      </c>
      <c r="BB7" s="452" t="str">
        <f>'HR Track 3 TSA-THA'!BB156</f>
        <v>App.8-V08F-P10.3</v>
      </c>
      <c r="BC7" s="1334">
        <f>'HR Track 3 TSA-THA'!BC156</f>
        <v>0</v>
      </c>
      <c r="BD7" s="1335">
        <f>'HR Track 3 TSA-THA'!BD156</f>
        <v>43561</v>
      </c>
      <c r="BE7" s="1335" t="str">
        <f>'HR Track 3 TSA-THA'!BE156</f>
        <v>Ejecutado</v>
      </c>
      <c r="BF7" s="1335" t="str">
        <f>'HR Track 3 TSA-THA'!BF156</f>
        <v>Ejecutado</v>
      </c>
      <c r="BG7" s="1335">
        <f>'HR Track 3 TSA-THA'!BG156</f>
        <v>43639</v>
      </c>
    </row>
    <row r="8" spans="1:59" ht="15.75" customHeight="1">
      <c r="A8" s="501">
        <f>'HR Track 3 TSA-THA'!A157</f>
        <v>0</v>
      </c>
      <c r="B8" s="716">
        <f>'HR Track 3 TSA-THA'!B157</f>
        <v>0</v>
      </c>
      <c r="C8" s="451">
        <f>'HR Track 3 TSA-THA'!C157</f>
        <v>0</v>
      </c>
      <c r="D8" s="453">
        <f>'HR Track 3 TSA-THA'!D157</f>
        <v>0</v>
      </c>
      <c r="E8" s="452">
        <f>'HR Track 3 TSA-THA'!E157</f>
        <v>0</v>
      </c>
      <c r="F8" s="453">
        <f>'HR Track 3 TSA-THA'!F157</f>
        <v>0</v>
      </c>
      <c r="G8" s="500">
        <f>'HR Track 3 TSA-THA'!G157</f>
        <v>24.5</v>
      </c>
      <c r="H8" s="453">
        <f>'HR Track 3 TSA-THA'!H157</f>
        <v>0</v>
      </c>
      <c r="I8" s="501">
        <f>'HR Track 3 TSA-THA'!I157</f>
        <v>0</v>
      </c>
      <c r="J8" s="583">
        <f>'HR Track 3 TSA-THA'!J157</f>
        <v>96611.450000000026</v>
      </c>
      <c r="K8" s="452" t="str">
        <f>'HR Track 3 TSA-THA'!K157</f>
        <v>AnMC/W</v>
      </c>
      <c r="L8" s="452">
        <f>'HR Track 3 TSA-THA'!L157</f>
        <v>0</v>
      </c>
      <c r="M8" s="452">
        <f>'HR Track 3 TSA-THA'!M157</f>
        <v>0</v>
      </c>
      <c r="N8" s="501">
        <f>'HR Track 3 TSA-THA'!N157</f>
        <v>0</v>
      </c>
      <c r="O8" s="501">
        <f>'HR Track 3 TSA-THA'!O157</f>
        <v>0</v>
      </c>
      <c r="P8" s="501">
        <f>'HR Track 3 TSA-THA'!P157</f>
        <v>0</v>
      </c>
      <c r="Q8" s="452">
        <f>'HR Track 3 TSA-THA'!Q157</f>
        <v>0</v>
      </c>
      <c r="R8" s="452">
        <f>'HR Track 3 TSA-THA'!R157</f>
        <v>0</v>
      </c>
      <c r="S8" s="500">
        <f>'HR Track 3 TSA-THA'!S157</f>
        <v>24.80000000000291</v>
      </c>
      <c r="T8" s="452">
        <f>'HR Track 3 TSA-THA'!T157</f>
        <v>0</v>
      </c>
      <c r="U8" s="452">
        <f>'HR Track 3 TSA-THA'!U157</f>
        <v>0</v>
      </c>
      <c r="V8" s="452">
        <f>'HR Track 3 TSA-THA'!V157</f>
        <v>0</v>
      </c>
      <c r="W8" s="452">
        <f>'HR Track 3 TSA-THA'!W157</f>
        <v>0</v>
      </c>
      <c r="X8" s="452">
        <f>'HR Track 3 TSA-THA'!X157</f>
        <v>0</v>
      </c>
      <c r="Y8" s="452">
        <f>'HR Track 3 TSA-THA'!Y157</f>
        <v>0</v>
      </c>
      <c r="Z8" s="452">
        <f>'HR Track 3 TSA-THA'!Z157</f>
        <v>0</v>
      </c>
      <c r="AA8" s="452">
        <f>'HR Track 3 TSA-THA'!AA157</f>
        <v>0</v>
      </c>
      <c r="AB8" s="452">
        <f>'HR Track 3 TSA-THA'!AB157</f>
        <v>0</v>
      </c>
      <c r="AC8" s="452">
        <f>'HR Track 3 TSA-THA'!AC157</f>
        <v>0</v>
      </c>
      <c r="AD8" s="452">
        <f>'HR Track 3 TSA-THA'!AD157</f>
        <v>0</v>
      </c>
      <c r="AE8" s="452">
        <f>'HR Track 3 TSA-THA'!AE157</f>
        <v>0</v>
      </c>
      <c r="AF8" s="452">
        <f>'HR Track 3 TSA-THA'!AF157</f>
        <v>0</v>
      </c>
      <c r="AG8" s="451">
        <f>'HR Track 3 TSA-THA'!AG157</f>
        <v>0</v>
      </c>
      <c r="AH8" s="452">
        <f>'HR Track 3 TSA-THA'!AH157</f>
        <v>0</v>
      </c>
      <c r="AI8" s="452">
        <f>'HR Track 3 TSA-THA'!AI157</f>
        <v>0</v>
      </c>
      <c r="AJ8" s="452" t="str">
        <f>'HR Track 3 TSA-THA'!AJ157</f>
        <v>Disc/IO-pr</v>
      </c>
      <c r="AK8" s="452">
        <f>'HR Track 3 TSA-THA'!AK157</f>
        <v>0</v>
      </c>
      <c r="AL8" s="452">
        <f>'HR Track 3 TSA-THA'!AL157</f>
        <v>0</v>
      </c>
      <c r="AM8" s="452">
        <f>'HR Track 3 TSA-THA'!AM157</f>
        <v>0</v>
      </c>
      <c r="AN8" s="500">
        <f>'HR Track 3 TSA-THA'!AN157</f>
        <v>0</v>
      </c>
      <c r="AO8" s="452">
        <f>'HR Track 3 TSA-THA'!AO157</f>
        <v>0</v>
      </c>
      <c r="AP8" s="452">
        <f>'HR Track 3 TSA-THA'!AP157</f>
        <v>0</v>
      </c>
      <c r="AQ8" s="452">
        <f>'HR Track 3 TSA-THA'!AQ157</f>
        <v>0</v>
      </c>
      <c r="AR8" s="452">
        <f>'HR Track 3 TSA-THA'!AR157</f>
        <v>0</v>
      </c>
      <c r="AS8" s="452">
        <f>'HR Track 3 TSA-THA'!AS157</f>
        <v>0</v>
      </c>
      <c r="AT8" s="452">
        <f>'HR Track 3 TSA-THA'!AT157</f>
        <v>0</v>
      </c>
      <c r="AU8" s="452">
        <f>'HR Track 3 TSA-THA'!AU157</f>
        <v>0</v>
      </c>
      <c r="AV8" s="452">
        <f>'HR Track 3 TSA-THA'!AV157</f>
        <v>0</v>
      </c>
      <c r="AW8" s="452" t="str">
        <f>'HR Track 3 TSA-THA'!AW157</f>
        <v>DW6999</v>
      </c>
      <c r="AX8" s="452">
        <f>'HR Track 3 TSA-THA'!AX157</f>
        <v>0</v>
      </c>
      <c r="AY8" s="500">
        <f>'HR Track 3 TSA-THA'!AY157</f>
        <v>0</v>
      </c>
      <c r="AZ8" s="500">
        <f>'HR Track 3 TSA-THA'!AZ157</f>
        <v>0</v>
      </c>
      <c r="BA8" s="1333" t="str">
        <f>'HR Track 3 TSA-THA'!BA157</f>
        <v>ü</v>
      </c>
      <c r="BB8" s="452">
        <f>'HR Track 3 TSA-THA'!BB157</f>
        <v>0</v>
      </c>
      <c r="BC8" s="1334">
        <f>'HR Track 3 TSA-THA'!BC157</f>
        <v>0</v>
      </c>
      <c r="BD8" s="1335" t="str">
        <f>'HR Track 3 TSA-THA'!BD157</f>
        <v>Ejecutado</v>
      </c>
      <c r="BE8" s="1335">
        <f>'HR Track 3 TSA-THA'!BE157</f>
        <v>0</v>
      </c>
      <c r="BF8" s="1335">
        <f>'HR Track 3 TSA-THA'!BF157</f>
        <v>0</v>
      </c>
      <c r="BG8" s="1335">
        <f>'HR Track 3 TSA-THA'!BG157</f>
        <v>0</v>
      </c>
    </row>
    <row r="9" spans="1:59" ht="15.75" customHeight="1">
      <c r="A9" s="1239"/>
      <c r="B9" s="1239" t="s">
        <v>2414</v>
      </c>
      <c r="C9" s="446">
        <v>96645.05</v>
      </c>
      <c r="D9" s="171"/>
      <c r="E9" s="1239"/>
      <c r="F9" s="447">
        <v>0</v>
      </c>
      <c r="G9" s="455"/>
      <c r="H9" s="1239" t="s">
        <v>1471</v>
      </c>
      <c r="I9" s="1239"/>
      <c r="J9" s="171"/>
      <c r="K9" s="1239"/>
      <c r="L9" s="1239" t="s">
        <v>821</v>
      </c>
      <c r="M9" s="638" t="s">
        <v>2811</v>
      </c>
      <c r="N9" s="1239" t="s">
        <v>144</v>
      </c>
      <c r="O9" s="1239" t="s">
        <v>143</v>
      </c>
      <c r="P9" s="580"/>
      <c r="Q9" s="1239">
        <v>0</v>
      </c>
      <c r="R9" s="1239">
        <v>0</v>
      </c>
      <c r="S9" s="455"/>
      <c r="T9" s="1239">
        <v>-15</v>
      </c>
      <c r="U9" s="1239">
        <v>-30</v>
      </c>
      <c r="V9" s="1239"/>
      <c r="W9" s="1239">
        <v>1.4</v>
      </c>
      <c r="X9" s="1239">
        <v>1.8</v>
      </c>
      <c r="Y9" s="1239"/>
      <c r="Z9" s="1239"/>
      <c r="AA9" s="1239"/>
      <c r="AB9" s="1239"/>
      <c r="AC9" s="1239" t="s">
        <v>4207</v>
      </c>
      <c r="AD9" s="1239" t="s">
        <v>4135</v>
      </c>
      <c r="AE9" s="1239"/>
      <c r="AF9" s="1239">
        <v>5100</v>
      </c>
      <c r="AG9" s="446">
        <v>96645</v>
      </c>
      <c r="AH9" s="1239">
        <v>3563</v>
      </c>
      <c r="AI9" s="1239">
        <v>60</v>
      </c>
      <c r="AJ9" s="1239"/>
      <c r="AK9" s="1239"/>
      <c r="AL9" s="1239" t="s">
        <v>2142</v>
      </c>
      <c r="AM9" s="1239"/>
      <c r="AN9" s="455">
        <v>5.44</v>
      </c>
      <c r="AO9" s="1239"/>
      <c r="AP9" s="1239"/>
      <c r="AQ9" s="484"/>
      <c r="AR9" s="484"/>
      <c r="AS9" s="484"/>
      <c r="AT9" s="484"/>
      <c r="AU9" s="638"/>
      <c r="AV9" s="638"/>
      <c r="AW9" s="638" t="s">
        <v>2875</v>
      </c>
      <c r="AX9" s="638"/>
      <c r="AY9" s="484"/>
      <c r="AZ9" s="484"/>
      <c r="BA9" s="671" t="s">
        <v>2809</v>
      </c>
      <c r="BB9" s="1239" t="str">
        <f>Pole_Calculations!A178</f>
        <v>App.8-V08F-P10.3</v>
      </c>
      <c r="BC9" s="169"/>
      <c r="BD9" s="1329">
        <v>43561</v>
      </c>
      <c r="BE9" s="1329"/>
      <c r="BF9" s="1329"/>
      <c r="BG9" s="1329"/>
    </row>
    <row r="10" spans="1:59" ht="15.75" customHeight="1">
      <c r="A10" s="1239"/>
      <c r="B10" s="173"/>
      <c r="C10" s="446"/>
      <c r="D10" s="446"/>
      <c r="E10" s="638"/>
      <c r="F10" s="447"/>
      <c r="G10" s="484">
        <v>24</v>
      </c>
      <c r="H10" s="1239"/>
      <c r="I10" s="448"/>
      <c r="J10" s="446">
        <f>C9+7.5</f>
        <v>96652.55</v>
      </c>
      <c r="K10" s="638" t="s">
        <v>625</v>
      </c>
      <c r="L10" s="638"/>
      <c r="M10" s="638" t="s">
        <v>2811</v>
      </c>
      <c r="N10" s="1239"/>
      <c r="O10" s="1239"/>
      <c r="P10" s="638"/>
      <c r="Q10" s="638"/>
      <c r="R10" s="638"/>
      <c r="S10" s="484"/>
      <c r="T10" s="638"/>
      <c r="U10" s="638"/>
      <c r="V10" s="638"/>
      <c r="W10" s="638"/>
      <c r="X10" s="638"/>
      <c r="Y10" s="638"/>
      <c r="Z10" s="638"/>
      <c r="AA10" s="638"/>
      <c r="AB10" s="638"/>
      <c r="AC10" s="638"/>
      <c r="AD10" s="638"/>
      <c r="AE10" s="638"/>
      <c r="AF10" s="638"/>
      <c r="AG10" s="446"/>
      <c r="AH10" s="638"/>
      <c r="AI10" s="185"/>
      <c r="AJ10" s="638"/>
      <c r="AK10" s="1239"/>
      <c r="AL10" s="638"/>
      <c r="AM10" s="638"/>
      <c r="AN10" s="455"/>
      <c r="AO10" s="1239"/>
      <c r="AP10" s="1239"/>
      <c r="AQ10" s="484"/>
      <c r="AR10" s="484"/>
      <c r="AS10" s="484"/>
      <c r="AT10" s="484"/>
      <c r="AU10" s="638"/>
      <c r="AV10" s="638"/>
      <c r="AW10" s="638" t="s">
        <v>2846</v>
      </c>
      <c r="AX10" s="638"/>
      <c r="AY10" s="484"/>
      <c r="AZ10" s="484"/>
      <c r="BA10" s="671" t="s">
        <v>2809</v>
      </c>
      <c r="BB10" s="1239"/>
      <c r="BC10" s="169"/>
      <c r="BD10" s="1329"/>
      <c r="BE10" s="1330"/>
      <c r="BF10" s="1330"/>
      <c r="BG10" s="1330"/>
    </row>
    <row r="11" spans="1:59" ht="15.75" customHeight="1">
      <c r="A11" s="1239" t="s">
        <v>3290</v>
      </c>
      <c r="B11" s="173" t="s">
        <v>2415</v>
      </c>
      <c r="C11" s="446">
        <v>96698.4</v>
      </c>
      <c r="D11" s="446"/>
      <c r="E11" s="638"/>
      <c r="F11" s="447">
        <v>0</v>
      </c>
      <c r="G11" s="484"/>
      <c r="H11" s="1239"/>
      <c r="I11" s="448"/>
      <c r="J11" s="446"/>
      <c r="K11" s="638"/>
      <c r="L11" s="638" t="s">
        <v>2141</v>
      </c>
      <c r="M11" s="638" t="s">
        <v>2811</v>
      </c>
      <c r="N11" s="1239"/>
      <c r="O11" s="1239"/>
      <c r="P11" s="638"/>
      <c r="Q11" s="638"/>
      <c r="R11" s="638"/>
      <c r="S11" s="484"/>
      <c r="T11" s="638"/>
      <c r="U11" s="638"/>
      <c r="V11" s="638"/>
      <c r="W11" s="638"/>
      <c r="X11" s="638"/>
      <c r="Y11" s="638"/>
      <c r="Z11" s="638"/>
      <c r="AA11" s="638"/>
      <c r="AB11" s="638"/>
      <c r="AC11" s="638"/>
      <c r="AD11" s="638"/>
      <c r="AE11" s="638"/>
      <c r="AF11" s="638"/>
      <c r="AG11" s="446"/>
      <c r="AH11" s="638"/>
      <c r="AI11" s="185"/>
      <c r="AJ11" s="638" t="s">
        <v>2154</v>
      </c>
      <c r="AK11" s="1239"/>
      <c r="AL11" s="638" t="s">
        <v>828</v>
      </c>
      <c r="AM11" s="638" t="s">
        <v>1042</v>
      </c>
      <c r="AN11" s="455"/>
      <c r="AO11" s="1239"/>
      <c r="AP11" s="1239"/>
      <c r="AQ11" s="484"/>
      <c r="AR11" s="484"/>
      <c r="AS11" s="484"/>
      <c r="AT11" s="484">
        <f>+ab($T$13,$U$9,$T$15,$G$12,$G$14,-1*$F$13,1200)</f>
        <v>-4.0304944746847706</v>
      </c>
      <c r="AU11" s="638"/>
      <c r="AV11" s="638"/>
      <c r="AW11" s="638" t="s">
        <v>2875</v>
      </c>
      <c r="AX11" s="638"/>
      <c r="AY11" s="484"/>
      <c r="AZ11" s="484"/>
      <c r="BA11" s="671" t="s">
        <v>2809</v>
      </c>
      <c r="BB11" s="1239"/>
      <c r="BC11" s="169"/>
      <c r="BD11" s="1329">
        <v>43561</v>
      </c>
      <c r="BE11" s="1329"/>
      <c r="BF11" s="1329"/>
      <c r="BG11" s="1330"/>
    </row>
    <row r="12" spans="1:59" ht="15.75" customHeight="1">
      <c r="A12" s="1239"/>
      <c r="B12" s="173"/>
      <c r="C12" s="446"/>
      <c r="D12" s="446"/>
      <c r="E12" s="638"/>
      <c r="F12" s="447"/>
      <c r="G12" s="484">
        <v>19</v>
      </c>
      <c r="H12" s="1239"/>
      <c r="I12" s="448"/>
      <c r="J12" s="446">
        <f>C13-7.5</f>
        <v>96709.9</v>
      </c>
      <c r="K12" s="638" t="s">
        <v>625</v>
      </c>
      <c r="L12" s="638"/>
      <c r="M12" s="638" t="s">
        <v>2811</v>
      </c>
      <c r="N12" s="1239"/>
      <c r="O12" s="1239"/>
      <c r="P12" s="638"/>
      <c r="Q12" s="638"/>
      <c r="R12" s="638"/>
      <c r="S12" s="484"/>
      <c r="T12" s="638"/>
      <c r="U12" s="638"/>
      <c r="V12" s="638"/>
      <c r="W12" s="638"/>
      <c r="X12" s="638"/>
      <c r="Y12" s="638"/>
      <c r="Z12" s="638"/>
      <c r="AA12" s="638"/>
      <c r="AB12" s="638"/>
      <c r="AC12" s="638"/>
      <c r="AD12" s="638"/>
      <c r="AE12" s="638"/>
      <c r="AF12" s="638"/>
      <c r="AG12" s="446"/>
      <c r="AH12" s="638"/>
      <c r="AI12" s="185"/>
      <c r="AJ12" s="638" t="s">
        <v>864</v>
      </c>
      <c r="AK12" s="1239"/>
      <c r="AL12" s="638"/>
      <c r="AM12" s="638"/>
      <c r="AN12" s="455"/>
      <c r="AO12" s="1239"/>
      <c r="AP12" s="1239"/>
      <c r="AQ12" s="484">
        <f>+FL_2($T$13,$U$9,$G$12,1200,9.28,-1*$F$13)</f>
        <v>-0.3</v>
      </c>
      <c r="AR12" s="484"/>
      <c r="AS12" s="484"/>
      <c r="AT12" s="484"/>
      <c r="AU12" s="638"/>
      <c r="AV12" s="638"/>
      <c r="AW12" s="638" t="s">
        <v>2846</v>
      </c>
      <c r="AX12" s="638"/>
      <c r="AY12" s="484"/>
      <c r="AZ12" s="484"/>
      <c r="BA12" s="671" t="s">
        <v>2809</v>
      </c>
      <c r="BB12" s="1239"/>
      <c r="BC12" s="169"/>
      <c r="BD12" s="1329"/>
      <c r="BE12" s="1330"/>
      <c r="BF12" s="1330"/>
      <c r="BG12" s="1330"/>
    </row>
    <row r="13" spans="1:59" ht="15.75" customHeight="1">
      <c r="A13" s="1239"/>
      <c r="B13" s="173" t="s">
        <v>2523</v>
      </c>
      <c r="C13" s="446">
        <f>C11+G12</f>
        <v>96717.4</v>
      </c>
      <c r="D13" s="446"/>
      <c r="E13" s="638"/>
      <c r="F13" s="447">
        <v>650</v>
      </c>
      <c r="G13" s="484"/>
      <c r="H13" s="1239" t="s">
        <v>1039</v>
      </c>
      <c r="I13" s="448"/>
      <c r="J13" s="446"/>
      <c r="K13" s="638"/>
      <c r="L13" s="638" t="s">
        <v>2141</v>
      </c>
      <c r="M13" s="638" t="s">
        <v>2811</v>
      </c>
      <c r="N13" s="638" t="s">
        <v>143</v>
      </c>
      <c r="O13" s="638"/>
      <c r="P13" s="638"/>
      <c r="Q13" s="638"/>
      <c r="R13" s="638"/>
      <c r="S13" s="484"/>
      <c r="T13" s="638">
        <v>-30</v>
      </c>
      <c r="U13" s="638"/>
      <c r="V13" s="638"/>
      <c r="W13" s="638">
        <v>1.2</v>
      </c>
      <c r="X13" s="638"/>
      <c r="Y13" s="638"/>
      <c r="Z13" s="638"/>
      <c r="AA13" s="638"/>
      <c r="AB13" s="638"/>
      <c r="AC13" s="1239" t="str">
        <f>IF(OR(AT13&gt;8,AT13&lt;-8),"PH",IF(OR(AT13&gt;5,AT13&lt;-5),"PH-Q",IF(OR(AT13&gt;1,AT13&lt;-1),"PH-C")))</f>
        <v>PH-C</v>
      </c>
      <c r="AD13" s="638"/>
      <c r="AE13" s="638"/>
      <c r="AF13" s="638"/>
      <c r="AG13" s="446"/>
      <c r="AH13" s="638"/>
      <c r="AI13" s="185"/>
      <c r="AJ13" s="638"/>
      <c r="AK13" s="1239"/>
      <c r="AL13" s="638" t="s">
        <v>828</v>
      </c>
      <c r="AM13" s="638" t="s">
        <v>1042</v>
      </c>
      <c r="AN13" s="455">
        <v>5.32</v>
      </c>
      <c r="AO13" s="1239"/>
      <c r="AP13" s="1239"/>
      <c r="AQ13" s="484"/>
      <c r="AR13" s="484"/>
      <c r="AS13" s="484"/>
      <c r="AT13" s="484">
        <f>+ab($T$13,$U$9,$T$15,$G$12,$G$14,-1*$F$13,1200)</f>
        <v>-4.0304944746847706</v>
      </c>
      <c r="AU13" s="638"/>
      <c r="AV13" s="638"/>
      <c r="AW13" s="638" t="s">
        <v>2875</v>
      </c>
      <c r="AX13" s="638"/>
      <c r="AY13" s="484"/>
      <c r="AZ13" s="484"/>
      <c r="BA13" s="671" t="s">
        <v>2809</v>
      </c>
      <c r="BB13" s="1239"/>
      <c r="BC13" s="169"/>
      <c r="BD13" s="1329">
        <v>43561</v>
      </c>
      <c r="BE13" s="1329"/>
      <c r="BF13" s="1329"/>
      <c r="BG13" s="1329"/>
    </row>
    <row r="14" spans="1:59" ht="15.75" customHeight="1">
      <c r="A14" s="1239"/>
      <c r="B14" s="173"/>
      <c r="C14" s="446"/>
      <c r="D14" s="446"/>
      <c r="E14" s="638"/>
      <c r="F14" s="447"/>
      <c r="G14" s="484">
        <v>39.5</v>
      </c>
      <c r="H14" s="1239"/>
      <c r="I14" s="448"/>
      <c r="J14" s="446"/>
      <c r="K14" s="638"/>
      <c r="L14" s="638"/>
      <c r="M14" s="638"/>
      <c r="N14" s="1239"/>
      <c r="O14" s="1239"/>
      <c r="P14" s="638"/>
      <c r="Q14" s="638"/>
      <c r="R14" s="638"/>
      <c r="S14" s="484"/>
      <c r="T14" s="638"/>
      <c r="U14" s="638"/>
      <c r="V14" s="638"/>
      <c r="W14" s="638"/>
      <c r="X14" s="638"/>
      <c r="Y14" s="638"/>
      <c r="Z14" s="638"/>
      <c r="AA14" s="638"/>
      <c r="AB14" s="638"/>
      <c r="AC14" s="638"/>
      <c r="AD14" s="638"/>
      <c r="AE14" s="638"/>
      <c r="AF14" s="638"/>
      <c r="AG14" s="446"/>
      <c r="AH14" s="638"/>
      <c r="AI14" s="185"/>
      <c r="AJ14" s="638"/>
      <c r="AK14" s="1239"/>
      <c r="AL14" s="638"/>
      <c r="AM14" s="638"/>
      <c r="AN14" s="455"/>
      <c r="AO14" s="1239"/>
      <c r="AP14" s="1239"/>
      <c r="AQ14" s="484">
        <f>+FL_2($T$15,$T$13,$G$14,1200,9.28,-1*$F$15)</f>
        <v>-0.40496805967932492</v>
      </c>
      <c r="AR14" s="484"/>
      <c r="AS14" s="484"/>
      <c r="AT14" s="484"/>
      <c r="AU14" s="638"/>
      <c r="AV14" s="638"/>
      <c r="AW14" s="638"/>
      <c r="AX14" s="638"/>
      <c r="AY14" s="484"/>
      <c r="AZ14" s="484"/>
      <c r="BA14" s="671"/>
      <c r="BB14" s="1239"/>
      <c r="BC14" s="169"/>
      <c r="BD14" s="1330"/>
      <c r="BE14" s="1330"/>
      <c r="BF14" s="1330"/>
      <c r="BG14" s="1330"/>
    </row>
    <row r="15" spans="1:59" ht="15.75" customHeight="1">
      <c r="A15" s="420"/>
      <c r="B15" s="606" t="s">
        <v>2524</v>
      </c>
      <c r="C15" s="416">
        <f>C13+G14</f>
        <v>96756.9</v>
      </c>
      <c r="D15" s="416"/>
      <c r="E15" s="417"/>
      <c r="F15" s="418">
        <v>0</v>
      </c>
      <c r="G15" s="422"/>
      <c r="H15" s="420"/>
      <c r="I15" s="421"/>
      <c r="J15" s="416"/>
      <c r="K15" s="417"/>
      <c r="L15" s="417" t="s">
        <v>2141</v>
      </c>
      <c r="M15" s="417" t="s">
        <v>2811</v>
      </c>
      <c r="N15" s="417" t="s">
        <v>843</v>
      </c>
      <c r="O15" s="417"/>
      <c r="P15" s="417"/>
      <c r="Q15" s="417"/>
      <c r="R15" s="417"/>
      <c r="S15" s="422"/>
      <c r="T15" s="417">
        <v>-20</v>
      </c>
      <c r="U15" s="417"/>
      <c r="V15" s="417"/>
      <c r="W15" s="417">
        <v>0.8</v>
      </c>
      <c r="X15" s="417"/>
      <c r="Y15" s="417"/>
      <c r="Z15" s="417"/>
      <c r="AA15" s="417"/>
      <c r="AB15" s="417"/>
      <c r="AC15" s="417" t="str">
        <f>IF(OR(AT15&gt;8,AT15&lt;-8),"PH",IF(OR(AT15&gt;5,AT15&lt;-5),"PH-Q",IF(OR(AT15&gt;1,AT15&lt;-1),"PH-C")))</f>
        <v>PH</v>
      </c>
      <c r="AD15" s="417"/>
      <c r="AE15" s="417"/>
      <c r="AF15" s="417"/>
      <c r="AG15" s="416"/>
      <c r="AH15" s="417"/>
      <c r="AI15" s="607"/>
      <c r="AJ15" s="417"/>
      <c r="AK15" s="420"/>
      <c r="AL15" s="417" t="s">
        <v>828</v>
      </c>
      <c r="AM15" s="417" t="s">
        <v>2879</v>
      </c>
      <c r="AN15" s="444">
        <v>5.21</v>
      </c>
      <c r="AO15" s="420"/>
      <c r="AP15" s="420"/>
      <c r="AQ15" s="422"/>
      <c r="AR15" s="422"/>
      <c r="AS15" s="422"/>
      <c r="AT15" s="422">
        <f>+ab($T$15,$T$13,$T$17,$G$14,$G$16,-1*$F$15,1200)</f>
        <v>-23.226413530976203</v>
      </c>
      <c r="AU15" s="417"/>
      <c r="AV15" s="417"/>
      <c r="AW15" s="422" t="s">
        <v>4179</v>
      </c>
      <c r="AX15" s="422"/>
      <c r="AY15" s="422"/>
      <c r="AZ15" s="422"/>
      <c r="BA15" s="604" t="s">
        <v>2809</v>
      </c>
      <c r="BB15" s="420"/>
      <c r="BC15" s="169"/>
      <c r="BD15" s="1329"/>
      <c r="BE15" s="1329"/>
      <c r="BF15" s="1329"/>
      <c r="BG15" s="1329"/>
    </row>
    <row r="16" spans="1:59" ht="15.75" customHeight="1">
      <c r="A16" s="420"/>
      <c r="B16" s="606"/>
      <c r="C16" s="416"/>
      <c r="D16" s="416"/>
      <c r="E16" s="417"/>
      <c r="F16" s="418"/>
      <c r="G16" s="422">
        <v>38.700000000000003</v>
      </c>
      <c r="H16" s="420"/>
      <c r="I16" s="420"/>
      <c r="J16" s="416"/>
      <c r="K16" s="417"/>
      <c r="L16" s="417"/>
      <c r="M16" s="417"/>
      <c r="N16" s="420"/>
      <c r="O16" s="420"/>
      <c r="P16" s="417"/>
      <c r="Q16" s="417"/>
      <c r="R16" s="417"/>
      <c r="S16" s="422"/>
      <c r="T16" s="417"/>
      <c r="U16" s="417"/>
      <c r="V16" s="417"/>
      <c r="W16" s="417"/>
      <c r="X16" s="417"/>
      <c r="Y16" s="417"/>
      <c r="Z16" s="417"/>
      <c r="AA16" s="417"/>
      <c r="AB16" s="417"/>
      <c r="AC16" s="417"/>
      <c r="AD16" s="417"/>
      <c r="AE16" s="417"/>
      <c r="AF16" s="417"/>
      <c r="AG16" s="416"/>
      <c r="AH16" s="417"/>
      <c r="AI16" s="607"/>
      <c r="AJ16" s="417"/>
      <c r="AK16" s="420"/>
      <c r="AL16" s="417"/>
      <c r="AM16" s="417"/>
      <c r="AN16" s="444"/>
      <c r="AO16" s="420"/>
      <c r="AP16" s="420"/>
      <c r="AQ16" s="422">
        <f>+FL_2($T$17,$T$15,$G$16,1200,9.28,-1*$F$17)</f>
        <v>-0.43652541665422806</v>
      </c>
      <c r="AR16" s="422"/>
      <c r="AS16" s="422"/>
      <c r="AT16" s="422"/>
      <c r="AU16" s="417"/>
      <c r="AV16" s="417"/>
      <c r="AW16" s="417"/>
      <c r="AX16" s="417"/>
      <c r="AY16" s="422"/>
      <c r="AZ16" s="422"/>
      <c r="BA16" s="604"/>
      <c r="BB16" s="420"/>
      <c r="BC16" s="169"/>
      <c r="BD16" s="1330"/>
      <c r="BE16" s="1330"/>
      <c r="BF16" s="1330"/>
      <c r="BG16" s="1330"/>
    </row>
    <row r="17" spans="1:59" ht="15.75" customHeight="1">
      <c r="A17" s="420"/>
      <c r="B17" s="606" t="s">
        <v>2525</v>
      </c>
      <c r="C17" s="416">
        <f>C15+G16</f>
        <v>96795.599999999991</v>
      </c>
      <c r="D17" s="416"/>
      <c r="E17" s="417"/>
      <c r="F17" s="418">
        <v>-700</v>
      </c>
      <c r="G17" s="422"/>
      <c r="H17" s="420"/>
      <c r="I17" s="420"/>
      <c r="J17" s="416"/>
      <c r="K17" s="417"/>
      <c r="L17" s="417" t="s">
        <v>2141</v>
      </c>
      <c r="M17" s="417" t="s">
        <v>2811</v>
      </c>
      <c r="N17" s="417" t="s">
        <v>844</v>
      </c>
      <c r="O17" s="417"/>
      <c r="P17" s="417"/>
      <c r="Q17" s="417"/>
      <c r="R17" s="417"/>
      <c r="S17" s="422"/>
      <c r="T17" s="417">
        <v>20</v>
      </c>
      <c r="U17" s="417"/>
      <c r="V17" s="417"/>
      <c r="W17" s="417">
        <v>0.55000000000000004</v>
      </c>
      <c r="X17" s="417"/>
      <c r="Y17" s="417"/>
      <c r="Z17" s="417"/>
      <c r="AA17" s="417"/>
      <c r="AB17" s="417"/>
      <c r="AC17" s="417" t="str">
        <f>IF(OR(AT17&gt;8,AT17&lt;-8),"PH",IF(OR(AT17&gt;5,AT17&lt;-5),"PH-Q",IF(OR(AT17&gt;1,AT17&lt;-1),"PH-C")))</f>
        <v>PH-C</v>
      </c>
      <c r="AD17" s="417"/>
      <c r="AE17" s="417"/>
      <c r="AF17" s="417"/>
      <c r="AG17" s="416"/>
      <c r="AH17" s="417"/>
      <c r="AI17" s="607"/>
      <c r="AJ17" s="417"/>
      <c r="AK17" s="420"/>
      <c r="AL17" s="417" t="s">
        <v>828</v>
      </c>
      <c r="AM17" s="417" t="s">
        <v>2879</v>
      </c>
      <c r="AN17" s="444">
        <v>5.15</v>
      </c>
      <c r="AO17" s="420"/>
      <c r="AP17" s="420"/>
      <c r="AQ17" s="422"/>
      <c r="AR17" s="422"/>
      <c r="AS17" s="422"/>
      <c r="AT17" s="422">
        <f>+ab($T$17,$T$15,-$T$19,$G$16,$G$18,-1*$F$17,1200)</f>
        <v>2.4256586772787414</v>
      </c>
      <c r="AU17" s="417"/>
      <c r="AV17" s="417"/>
      <c r="AW17" s="422" t="s">
        <v>4179</v>
      </c>
      <c r="AX17" s="422"/>
      <c r="AY17" s="422"/>
      <c r="AZ17" s="422"/>
      <c r="BA17" s="604" t="s">
        <v>2809</v>
      </c>
      <c r="BB17" s="420"/>
      <c r="BC17" s="169"/>
      <c r="BD17" s="1329"/>
      <c r="BE17" s="1329"/>
      <c r="BF17" s="1329"/>
      <c r="BG17" s="1329"/>
    </row>
    <row r="18" spans="1:59" ht="15.75" customHeight="1">
      <c r="A18" s="414" t="s">
        <v>1855</v>
      </c>
      <c r="B18" s="606"/>
      <c r="C18" s="416"/>
      <c r="D18" s="416"/>
      <c r="E18" s="417"/>
      <c r="F18" s="418"/>
      <c r="G18" s="422">
        <v>45.1</v>
      </c>
      <c r="H18" s="420"/>
      <c r="I18" s="420"/>
      <c r="J18" s="416"/>
      <c r="K18" s="417"/>
      <c r="L18" s="417"/>
      <c r="M18" s="417"/>
      <c r="N18" s="420"/>
      <c r="O18" s="420"/>
      <c r="P18" s="417"/>
      <c r="Q18" s="417"/>
      <c r="R18" s="417"/>
      <c r="S18" s="422"/>
      <c r="T18" s="417"/>
      <c r="U18" s="417"/>
      <c r="V18" s="417"/>
      <c r="W18" s="417"/>
      <c r="X18" s="417"/>
      <c r="Y18" s="417"/>
      <c r="Z18" s="417"/>
      <c r="AA18" s="417"/>
      <c r="AB18" s="417"/>
      <c r="AC18" s="417"/>
      <c r="AD18" s="417"/>
      <c r="AE18" s="417"/>
      <c r="AF18" s="417"/>
      <c r="AG18" s="416"/>
      <c r="AH18" s="417"/>
      <c r="AI18" s="607"/>
      <c r="AJ18" s="417"/>
      <c r="AK18" s="420"/>
      <c r="AL18" s="417"/>
      <c r="AM18" s="417"/>
      <c r="AN18" s="444"/>
      <c r="AO18" s="420"/>
      <c r="AP18" s="420"/>
      <c r="AQ18" s="422">
        <f>+FL_1(-$T$19,$T$17,$G$18,1200,9.28,-1*$F$19)</f>
        <v>0.24748024202217303</v>
      </c>
      <c r="AR18" s="422"/>
      <c r="AS18" s="422"/>
      <c r="AT18" s="422"/>
      <c r="AU18" s="417"/>
      <c r="AV18" s="417"/>
      <c r="AW18" s="422"/>
      <c r="AX18" s="422"/>
      <c r="AY18" s="422"/>
      <c r="AZ18" s="422"/>
      <c r="BA18" s="604"/>
      <c r="BB18" s="414"/>
      <c r="BC18" s="169"/>
      <c r="BD18" s="1330"/>
      <c r="BE18" s="1330"/>
      <c r="BF18" s="1330"/>
      <c r="BG18" s="1330"/>
    </row>
    <row r="19" spans="1:59" ht="15.75" customHeight="1">
      <c r="A19" s="414" t="s">
        <v>1854</v>
      </c>
      <c r="B19" s="606" t="s">
        <v>2526</v>
      </c>
      <c r="C19" s="416">
        <f>C17+G18</f>
        <v>96840.7</v>
      </c>
      <c r="D19" s="416"/>
      <c r="E19" s="417"/>
      <c r="F19" s="418">
        <v>0</v>
      </c>
      <c r="G19" s="422"/>
      <c r="H19" s="420"/>
      <c r="I19" s="420"/>
      <c r="J19" s="416"/>
      <c r="K19" s="417"/>
      <c r="L19" s="417" t="s">
        <v>2549</v>
      </c>
      <c r="M19" s="417" t="s">
        <v>2811</v>
      </c>
      <c r="N19" s="420" t="s">
        <v>634</v>
      </c>
      <c r="O19" s="420"/>
      <c r="P19" s="417"/>
      <c r="Q19" s="417"/>
      <c r="R19" s="417"/>
      <c r="S19" s="422"/>
      <c r="T19" s="417">
        <v>20</v>
      </c>
      <c r="U19" s="417"/>
      <c r="V19" s="417"/>
      <c r="W19" s="417">
        <v>0.55000000000000004</v>
      </c>
      <c r="X19" s="417"/>
      <c r="Y19" s="417"/>
      <c r="Z19" s="417"/>
      <c r="AA19" s="417"/>
      <c r="AB19" s="417"/>
      <c r="AC19" s="417" t="str">
        <f>IF(OR(AT19&gt;8,AT19&lt;-8),"PH",IF(OR(AT19&gt;5,AT19&lt;-5),"PH-Q",IF(OR(AT19&gt;1,AT19&lt;-1),"PH-C")))</f>
        <v>PH</v>
      </c>
      <c r="AD19" s="417"/>
      <c r="AE19" s="417"/>
      <c r="AF19" s="417"/>
      <c r="AG19" s="416"/>
      <c r="AH19" s="417"/>
      <c r="AI19" s="607"/>
      <c r="AJ19" s="417"/>
      <c r="AK19" s="420"/>
      <c r="AL19" s="417"/>
      <c r="AM19" s="417" t="s">
        <v>2880</v>
      </c>
      <c r="AN19" s="444">
        <v>5.15</v>
      </c>
      <c r="AO19" s="420"/>
      <c r="AP19" s="420"/>
      <c r="AQ19" s="422"/>
      <c r="AR19" s="422"/>
      <c r="AS19" s="422"/>
      <c r="AT19" s="422">
        <f>+ab($T$19,$T$17,$T$21,$G$18,$G$20,-1*$F$19,1200)</f>
        <v>20.645324293716271</v>
      </c>
      <c r="AU19" s="417"/>
      <c r="AV19" s="417"/>
      <c r="AW19" s="422" t="s">
        <v>4210</v>
      </c>
      <c r="AX19" s="422"/>
      <c r="AY19" s="422"/>
      <c r="AZ19" s="422"/>
      <c r="BA19" s="604" t="s">
        <v>2809</v>
      </c>
      <c r="BB19" s="414"/>
      <c r="BC19" s="169"/>
      <c r="BD19" s="1329"/>
      <c r="BE19" s="1329"/>
      <c r="BF19" s="1330"/>
      <c r="BG19" s="1329"/>
    </row>
    <row r="20" spans="1:59" ht="15.75" customHeight="1">
      <c r="A20" s="420"/>
      <c r="B20" s="606"/>
      <c r="C20" s="416"/>
      <c r="D20" s="416"/>
      <c r="E20" s="417"/>
      <c r="F20" s="418"/>
      <c r="G20" s="422">
        <v>45</v>
      </c>
      <c r="H20" s="420"/>
      <c r="I20" s="420"/>
      <c r="J20" s="416"/>
      <c r="K20" s="417"/>
      <c r="L20" s="417"/>
      <c r="M20" s="417"/>
      <c r="N20" s="420"/>
      <c r="O20" s="420"/>
      <c r="P20" s="417"/>
      <c r="Q20" s="417"/>
      <c r="R20" s="417"/>
      <c r="S20" s="422"/>
      <c r="T20" s="417"/>
      <c r="U20" s="417"/>
      <c r="V20" s="417"/>
      <c r="W20" s="417"/>
      <c r="X20" s="417"/>
      <c r="Y20" s="417"/>
      <c r="Z20" s="417"/>
      <c r="AA20" s="417"/>
      <c r="AB20" s="417"/>
      <c r="AC20" s="417"/>
      <c r="AD20" s="417"/>
      <c r="AE20" s="417"/>
      <c r="AF20" s="417"/>
      <c r="AG20" s="416"/>
      <c r="AH20" s="417"/>
      <c r="AI20" s="607"/>
      <c r="AJ20" s="417"/>
      <c r="AK20" s="420"/>
      <c r="AL20" s="417"/>
      <c r="AM20" s="417"/>
      <c r="AN20" s="444"/>
      <c r="AO20" s="420"/>
      <c r="AP20" s="420"/>
      <c r="AQ20" s="422">
        <f>+FL_1($T$21,$T$19,$G$20,1200,9.28,-1*$F$21)</f>
        <v>0.35334156079828405</v>
      </c>
      <c r="AR20" s="422"/>
      <c r="AS20" s="422"/>
      <c r="AT20" s="422"/>
      <c r="AU20" s="417"/>
      <c r="AV20" s="417"/>
      <c r="AW20" s="422"/>
      <c r="AX20" s="422"/>
      <c r="AY20" s="422"/>
      <c r="AZ20" s="422"/>
      <c r="BA20" s="604"/>
      <c r="BB20" s="420"/>
      <c r="BC20" s="169"/>
      <c r="BD20" s="1330"/>
      <c r="BE20" s="1330"/>
      <c r="BF20" s="1330"/>
      <c r="BG20" s="1330"/>
    </row>
    <row r="21" spans="1:59" ht="15.75" customHeight="1">
      <c r="A21" s="420"/>
      <c r="B21" s="606" t="s">
        <v>2527</v>
      </c>
      <c r="C21" s="416">
        <f>C19+G20</f>
        <v>96885.7</v>
      </c>
      <c r="D21" s="416"/>
      <c r="E21" s="418"/>
      <c r="F21" s="420">
        <v>2000</v>
      </c>
      <c r="G21" s="422"/>
      <c r="H21" s="417"/>
      <c r="I21" s="417"/>
      <c r="J21" s="416"/>
      <c r="K21" s="417"/>
      <c r="L21" s="417" t="s">
        <v>2550</v>
      </c>
      <c r="M21" s="417" t="s">
        <v>2811</v>
      </c>
      <c r="N21" s="420" t="s">
        <v>633</v>
      </c>
      <c r="O21" s="420"/>
      <c r="P21" s="417"/>
      <c r="Q21" s="417"/>
      <c r="R21" s="417"/>
      <c r="S21" s="422"/>
      <c r="T21" s="417">
        <v>-20</v>
      </c>
      <c r="U21" s="417"/>
      <c r="V21" s="417"/>
      <c r="W21" s="417">
        <v>0.55000000000000004</v>
      </c>
      <c r="X21" s="417"/>
      <c r="Y21" s="417"/>
      <c r="Z21" s="417"/>
      <c r="AA21" s="417"/>
      <c r="AB21" s="417"/>
      <c r="AC21" s="417" t="str">
        <f>IF(OR(AT21&gt;8,AT21&lt;-8),"PH",IF(OR(AT21&gt;5,AT21&lt;-5),"PH-Q",IF(OR(AT21&gt;1,AT21&lt;-1),"PH-C")))</f>
        <v>PH-Q</v>
      </c>
      <c r="AD21" s="417"/>
      <c r="AE21" s="417"/>
      <c r="AF21" s="417"/>
      <c r="AG21" s="416"/>
      <c r="AH21" s="417"/>
      <c r="AI21" s="607"/>
      <c r="AJ21" s="417"/>
      <c r="AK21" s="420"/>
      <c r="AL21" s="417"/>
      <c r="AM21" s="417" t="s">
        <v>2880</v>
      </c>
      <c r="AN21" s="444">
        <v>5.15</v>
      </c>
      <c r="AO21" s="420"/>
      <c r="AP21" s="420"/>
      <c r="AQ21" s="422"/>
      <c r="AR21" s="422"/>
      <c r="AS21" s="422"/>
      <c r="AT21" s="422">
        <f>+ab($T$21,$T$19,$T$23,$G$20,$G$22,-1*$F$21,1200)</f>
        <v>-6.0903521460123056</v>
      </c>
      <c r="AU21" s="417"/>
      <c r="AV21" s="417"/>
      <c r="AW21" s="422" t="s">
        <v>4179</v>
      </c>
      <c r="AX21" s="422"/>
      <c r="AY21" s="422"/>
      <c r="AZ21" s="422"/>
      <c r="BA21" s="604" t="s">
        <v>2809</v>
      </c>
      <c r="BB21" s="420"/>
      <c r="BC21" s="169"/>
      <c r="BD21" s="1329"/>
      <c r="BE21" s="1329"/>
      <c r="BF21" s="1330"/>
      <c r="BG21" s="1329"/>
    </row>
    <row r="22" spans="1:59" ht="15.75" customHeight="1">
      <c r="A22" s="417"/>
      <c r="B22" s="606"/>
      <c r="C22" s="416"/>
      <c r="D22" s="416"/>
      <c r="E22" s="417"/>
      <c r="F22" s="417"/>
      <c r="G22" s="422">
        <v>45</v>
      </c>
      <c r="H22" s="417"/>
      <c r="I22" s="417"/>
      <c r="J22" s="416"/>
      <c r="K22" s="417"/>
      <c r="L22" s="417"/>
      <c r="M22" s="417"/>
      <c r="N22" s="417"/>
      <c r="O22" s="417"/>
      <c r="P22" s="417"/>
      <c r="Q22" s="417"/>
      <c r="R22" s="417"/>
      <c r="S22" s="422"/>
      <c r="T22" s="417"/>
      <c r="U22" s="417"/>
      <c r="V22" s="417"/>
      <c r="W22" s="417"/>
      <c r="X22" s="417"/>
      <c r="Y22" s="417"/>
      <c r="Z22" s="417"/>
      <c r="AA22" s="417"/>
      <c r="AB22" s="417"/>
      <c r="AC22" s="417"/>
      <c r="AD22" s="417"/>
      <c r="AE22" s="417"/>
      <c r="AF22" s="417"/>
      <c r="AG22" s="416"/>
      <c r="AH22" s="417"/>
      <c r="AI22" s="607"/>
      <c r="AJ22" s="417"/>
      <c r="AK22" s="420"/>
      <c r="AL22" s="417"/>
      <c r="AM22" s="417"/>
      <c r="AN22" s="444"/>
      <c r="AO22" s="420"/>
      <c r="AP22" s="420"/>
      <c r="AQ22" s="422">
        <f>+FL_2($T$23,-$T$21,$G$22,1200,9.28,-1*$F$23)</f>
        <v>-0.24683556133333334</v>
      </c>
      <c r="AR22" s="422"/>
      <c r="AS22" s="422"/>
      <c r="AT22" s="422"/>
      <c r="AU22" s="417"/>
      <c r="AV22" s="417"/>
      <c r="AW22" s="417"/>
      <c r="AX22" s="417"/>
      <c r="AY22" s="422"/>
      <c r="AZ22" s="422"/>
      <c r="BA22" s="604"/>
      <c r="BB22" s="417"/>
      <c r="BC22" s="169"/>
      <c r="BD22" s="1330"/>
      <c r="BE22" s="1330"/>
      <c r="BF22" s="1330"/>
      <c r="BG22" s="1330"/>
    </row>
    <row r="23" spans="1:59" ht="15.75" customHeight="1">
      <c r="A23" s="417"/>
      <c r="B23" s="606" t="s">
        <v>2528</v>
      </c>
      <c r="C23" s="416">
        <f>C21+G22-1.1</f>
        <v>96929.599999999991</v>
      </c>
      <c r="D23" s="416"/>
      <c r="E23" s="417"/>
      <c r="F23" s="417">
        <v>0</v>
      </c>
      <c r="G23" s="422"/>
      <c r="H23" s="417"/>
      <c r="I23" s="417"/>
      <c r="J23" s="416"/>
      <c r="K23" s="417"/>
      <c r="L23" s="417" t="s">
        <v>2141</v>
      </c>
      <c r="M23" s="417" t="s">
        <v>2811</v>
      </c>
      <c r="N23" s="417" t="s">
        <v>843</v>
      </c>
      <c r="O23" s="417"/>
      <c r="P23" s="417"/>
      <c r="Q23" s="417"/>
      <c r="R23" s="417"/>
      <c r="S23" s="422"/>
      <c r="T23" s="417">
        <v>-20</v>
      </c>
      <c r="U23" s="417"/>
      <c r="V23" s="417"/>
      <c r="W23" s="417">
        <v>0.8</v>
      </c>
      <c r="X23" s="417"/>
      <c r="Y23" s="417"/>
      <c r="Z23" s="417"/>
      <c r="AA23" s="417"/>
      <c r="AB23" s="417"/>
      <c r="AC23" s="417" t="str">
        <f>IF(OR(AT23&gt;8,AT23&lt;-8),"PH",IF(OR(AT23&gt;5,AT23&lt;-5),"PH-Q",IF(OR(AT23&gt;1,AT23&lt;-1),"PH-C")))</f>
        <v>PH</v>
      </c>
      <c r="AD23" s="417"/>
      <c r="AE23" s="417"/>
      <c r="AF23" s="417"/>
      <c r="AG23" s="416"/>
      <c r="AH23" s="417"/>
      <c r="AI23" s="607"/>
      <c r="AJ23" s="417"/>
      <c r="AK23" s="420"/>
      <c r="AL23" s="417" t="s">
        <v>828</v>
      </c>
      <c r="AM23" s="417" t="s">
        <v>2880</v>
      </c>
      <c r="AN23" s="444">
        <v>5.21</v>
      </c>
      <c r="AO23" s="420"/>
      <c r="AP23" s="420"/>
      <c r="AQ23" s="422"/>
      <c r="AR23" s="422"/>
      <c r="AS23" s="422"/>
      <c r="AT23" s="422">
        <f>+ab($T$23,-$T$21,$T$25,$G$22,$G$24,-1*$F$23,1200)</f>
        <v>-9.5064485387917568</v>
      </c>
      <c r="AU23" s="417"/>
      <c r="AV23" s="417"/>
      <c r="AW23" s="422" t="s">
        <v>4184</v>
      </c>
      <c r="AX23" s="422"/>
      <c r="AY23" s="422"/>
      <c r="AZ23" s="422"/>
      <c r="BA23" s="604" t="s">
        <v>2809</v>
      </c>
      <c r="BB23" s="417"/>
      <c r="BC23" s="169"/>
      <c r="BD23" s="1329"/>
      <c r="BE23" s="1329"/>
      <c r="BF23" s="1329"/>
      <c r="BG23" s="1329"/>
    </row>
    <row r="24" spans="1:59" ht="15.75" customHeight="1">
      <c r="A24" s="638"/>
      <c r="B24" s="173"/>
      <c r="C24" s="446"/>
      <c r="D24" s="446"/>
      <c r="E24" s="638"/>
      <c r="F24" s="638"/>
      <c r="G24" s="484">
        <v>45</v>
      </c>
      <c r="H24" s="638"/>
      <c r="I24" s="638"/>
      <c r="J24" s="446">
        <f>C25-7.5</f>
        <v>96967.099999999991</v>
      </c>
      <c r="K24" s="638" t="s">
        <v>621</v>
      </c>
      <c r="L24" s="638"/>
      <c r="M24" s="638"/>
      <c r="N24" s="638"/>
      <c r="O24" s="638"/>
      <c r="P24" s="638"/>
      <c r="Q24" s="638"/>
      <c r="R24" s="638"/>
      <c r="S24" s="484"/>
      <c r="T24" s="638"/>
      <c r="U24" s="638"/>
      <c r="V24" s="638"/>
      <c r="W24" s="638"/>
      <c r="X24" s="638"/>
      <c r="Y24" s="638"/>
      <c r="Z24" s="638"/>
      <c r="AA24" s="638"/>
      <c r="AB24" s="638"/>
      <c r="AC24" s="638"/>
      <c r="AD24" s="638"/>
      <c r="AE24" s="638"/>
      <c r="AF24" s="638"/>
      <c r="AG24" s="446"/>
      <c r="AH24" s="638"/>
      <c r="AI24" s="185"/>
      <c r="AJ24" s="638"/>
      <c r="AK24" s="1239"/>
      <c r="AL24" s="638"/>
      <c r="AM24" s="638"/>
      <c r="AN24" s="455"/>
      <c r="AO24" s="1239"/>
      <c r="AP24" s="1239"/>
      <c r="AQ24" s="484">
        <f>+FL_1($T$25,$T$23,$G$24,1200,9.28,-1*$F$25)</f>
        <v>0.32557119866666662</v>
      </c>
      <c r="AR24" s="484"/>
      <c r="AS24" s="484"/>
      <c r="AT24" s="484"/>
      <c r="AU24" s="638"/>
      <c r="AV24" s="638"/>
      <c r="AW24" s="638"/>
      <c r="AX24" s="638"/>
      <c r="AY24" s="484"/>
      <c r="AZ24" s="484"/>
      <c r="BA24" s="671"/>
      <c r="BB24" s="638"/>
      <c r="BC24" s="169"/>
      <c r="BD24" s="1330"/>
      <c r="BE24" s="1330"/>
      <c r="BF24" s="1330"/>
      <c r="BG24" s="1330"/>
    </row>
    <row r="25" spans="1:59" ht="15.75" customHeight="1">
      <c r="A25" s="638"/>
      <c r="B25" s="435" t="s">
        <v>2529</v>
      </c>
      <c r="C25" s="446">
        <f>C23+G24</f>
        <v>96974.599999999991</v>
      </c>
      <c r="D25" s="173"/>
      <c r="E25" s="447"/>
      <c r="F25" s="447">
        <v>0</v>
      </c>
      <c r="G25" s="484"/>
      <c r="H25" s="1239" t="s">
        <v>138</v>
      </c>
      <c r="I25" s="1239" t="s">
        <v>623</v>
      </c>
      <c r="J25" s="171"/>
      <c r="K25" s="638"/>
      <c r="L25" s="638" t="s">
        <v>818</v>
      </c>
      <c r="M25" s="638" t="s">
        <v>2402</v>
      </c>
      <c r="N25" s="1239" t="s">
        <v>144</v>
      </c>
      <c r="O25" s="1239"/>
      <c r="P25" s="1239"/>
      <c r="Q25" s="638"/>
      <c r="R25" s="638"/>
      <c r="S25" s="484"/>
      <c r="T25" s="638">
        <v>30</v>
      </c>
      <c r="U25" s="638"/>
      <c r="V25" s="638"/>
      <c r="W25" s="638">
        <v>1.2</v>
      </c>
      <c r="X25" s="638"/>
      <c r="Y25" s="638"/>
      <c r="Z25" s="638"/>
      <c r="AA25" s="638"/>
      <c r="AB25" s="638"/>
      <c r="AC25" s="638" t="str">
        <f>IF(OR(AT25&gt;8,AT25&lt;-8),"PH",IF(OR(AT25&gt;5,AT25&lt;-5),"PH-Q",IF(OR(AT25&gt;1,AT25&lt;-1),"PH-C")))</f>
        <v>PH</v>
      </c>
      <c r="AD25" s="638"/>
      <c r="AE25" s="638"/>
      <c r="AF25" s="638"/>
      <c r="AG25" s="446"/>
      <c r="AH25" s="638"/>
      <c r="AI25" s="638"/>
      <c r="AJ25" s="638"/>
      <c r="AK25" s="638"/>
      <c r="AL25" s="638"/>
      <c r="AM25" s="638" t="s">
        <v>1042</v>
      </c>
      <c r="AN25" s="455">
        <v>5.32</v>
      </c>
      <c r="AO25" s="1239"/>
      <c r="AP25" s="1239"/>
      <c r="AQ25" s="484"/>
      <c r="AR25" s="484"/>
      <c r="AS25" s="484"/>
      <c r="AT25" s="484">
        <f>+ab($T$25,$T$23,$T$27,$G$24,$G$26,-1*$F$25,1200)</f>
        <v>9.2848054569970344</v>
      </c>
      <c r="AU25" s="638"/>
      <c r="AV25" s="638"/>
      <c r="AW25" s="638"/>
      <c r="AX25" s="638"/>
      <c r="AY25" s="484"/>
      <c r="AZ25" s="484"/>
      <c r="BA25" s="671"/>
      <c r="BB25" s="638" t="str">
        <f>Pole_Calculations!A20</f>
        <v>App.7-V11A-P9.5.1.6</v>
      </c>
      <c r="BC25" s="169"/>
      <c r="BD25" s="1329"/>
      <c r="BE25" s="1329"/>
      <c r="BF25" s="1330"/>
      <c r="BG25" s="1329"/>
    </row>
    <row r="26" spans="1:59" ht="15.75" customHeight="1">
      <c r="A26" s="638"/>
      <c r="B26" s="638"/>
      <c r="C26" s="446"/>
      <c r="D26" s="446"/>
      <c r="E26" s="638"/>
      <c r="F26" s="638"/>
      <c r="G26" s="484">
        <v>48</v>
      </c>
      <c r="H26" s="638"/>
      <c r="I26" s="638"/>
      <c r="J26" s="446">
        <f>C27-7.5</f>
        <v>97015.099999999991</v>
      </c>
      <c r="K26" s="638" t="s">
        <v>625</v>
      </c>
      <c r="L26" s="638"/>
      <c r="M26" s="638"/>
      <c r="N26" s="638"/>
      <c r="O26" s="638"/>
      <c r="P26" s="638"/>
      <c r="Q26" s="638"/>
      <c r="R26" s="638"/>
      <c r="S26" s="484"/>
      <c r="T26" s="638"/>
      <c r="U26" s="638"/>
      <c r="V26" s="638"/>
      <c r="W26" s="638"/>
      <c r="X26" s="638"/>
      <c r="Y26" s="638"/>
      <c r="Z26" s="638"/>
      <c r="AA26" s="638"/>
      <c r="AB26" s="638"/>
      <c r="AC26" s="638"/>
      <c r="AD26" s="638"/>
      <c r="AE26" s="638"/>
      <c r="AF26" s="638"/>
      <c r="AG26" s="446"/>
      <c r="AH26" s="638"/>
      <c r="AI26" s="185"/>
      <c r="AJ26" s="638"/>
      <c r="AK26" s="1239"/>
      <c r="AL26" s="638"/>
      <c r="AM26" s="638"/>
      <c r="AN26" s="455"/>
      <c r="AO26" s="1239"/>
      <c r="AP26" s="1239"/>
      <c r="AQ26" s="484">
        <f>+FL_1($T$27,$T$25,$G$26,1200,9.28,-1*$F$27)</f>
        <v>0.35454583199999995</v>
      </c>
      <c r="AR26" s="484"/>
      <c r="AS26" s="484"/>
      <c r="AT26" s="484"/>
      <c r="AU26" s="638"/>
      <c r="AV26" s="638"/>
      <c r="AW26" s="638"/>
      <c r="AX26" s="638"/>
      <c r="AY26" s="484"/>
      <c r="AZ26" s="484"/>
      <c r="BA26" s="671"/>
      <c r="BB26" s="638"/>
      <c r="BC26" s="169"/>
      <c r="BD26" s="1330"/>
      <c r="BE26" s="1330"/>
      <c r="BF26" s="1330"/>
      <c r="BG26" s="1330"/>
    </row>
    <row r="27" spans="1:59" ht="15.75" customHeight="1">
      <c r="A27" s="638"/>
      <c r="B27" s="435" t="s">
        <v>2530</v>
      </c>
      <c r="C27" s="446">
        <f>C25+G26</f>
        <v>97022.599999999991</v>
      </c>
      <c r="D27" s="173"/>
      <c r="E27" s="447"/>
      <c r="F27" s="447">
        <v>0</v>
      </c>
      <c r="G27" s="484"/>
      <c r="H27" s="1239" t="s">
        <v>2157</v>
      </c>
      <c r="I27" s="1239" t="s">
        <v>1471</v>
      </c>
      <c r="J27" s="171"/>
      <c r="K27" s="638"/>
      <c r="L27" s="638" t="s">
        <v>5039</v>
      </c>
      <c r="M27" s="638" t="s">
        <v>2402</v>
      </c>
      <c r="N27" s="1239" t="s">
        <v>140</v>
      </c>
      <c r="O27" s="1239" t="s">
        <v>143</v>
      </c>
      <c r="P27" s="1239"/>
      <c r="Q27" s="638"/>
      <c r="R27" s="638"/>
      <c r="S27" s="484"/>
      <c r="T27" s="638">
        <v>-15</v>
      </c>
      <c r="U27" s="638">
        <v>-35</v>
      </c>
      <c r="V27" s="638"/>
      <c r="W27" s="638">
        <v>1.4</v>
      </c>
      <c r="X27" s="638">
        <v>1.8</v>
      </c>
      <c r="Y27" s="638"/>
      <c r="Z27" s="638">
        <v>0.45</v>
      </c>
      <c r="AA27" s="638"/>
      <c r="AB27" s="638"/>
      <c r="AC27" s="638" t="str">
        <f>IF(OR(AT27&gt;8,AT27&lt;-8),"PH",IF(OR(AT27&gt;5,AT27&lt;-5),"PH-Q",IF(OR(AT27&gt;1,AT27&lt;-1),"PH-C")))</f>
        <v>PH</v>
      </c>
      <c r="AD27" s="638"/>
      <c r="AE27" s="638"/>
      <c r="AF27" s="638"/>
      <c r="AG27" s="446"/>
      <c r="AH27" s="638"/>
      <c r="AI27" s="638"/>
      <c r="AJ27" s="638"/>
      <c r="AK27" s="638"/>
      <c r="AL27" s="638"/>
      <c r="AM27" s="638" t="s">
        <v>1042</v>
      </c>
      <c r="AN27" s="455">
        <v>5.43</v>
      </c>
      <c r="AO27" s="1239"/>
      <c r="AP27" s="1239"/>
      <c r="AQ27" s="484"/>
      <c r="AR27" s="484"/>
      <c r="AS27" s="484"/>
      <c r="AT27" s="484">
        <f>+ab($T$27,$T$25,$T$29,$G$26,$G$28,-1*$F$27,1200)</f>
        <v>-9.7069752307586015</v>
      </c>
      <c r="AU27" s="638"/>
      <c r="AV27" s="638"/>
      <c r="AW27" s="638"/>
      <c r="AX27" s="638"/>
      <c r="AY27" s="484"/>
      <c r="AZ27" s="484"/>
      <c r="BA27" s="671"/>
      <c r="BB27" s="638" t="str">
        <f>Pole_Calculations!A19</f>
        <v>App.7-V11A-P9.5.1.5</v>
      </c>
      <c r="BC27" s="169"/>
      <c r="BD27" s="1329"/>
      <c r="BE27" s="1329"/>
      <c r="BF27" s="1330"/>
      <c r="BG27" s="1329"/>
    </row>
    <row r="28" spans="1:59" ht="15.75" customHeight="1">
      <c r="A28" s="1239"/>
      <c r="B28" s="638"/>
      <c r="C28" s="446"/>
      <c r="D28" s="446"/>
      <c r="E28" s="447"/>
      <c r="F28" s="1239"/>
      <c r="G28" s="484">
        <v>49</v>
      </c>
      <c r="H28" s="638"/>
      <c r="I28" s="638"/>
      <c r="J28" s="446"/>
      <c r="K28" s="638"/>
      <c r="L28" s="638"/>
      <c r="M28" s="638"/>
      <c r="N28" s="1239"/>
      <c r="O28" s="1239"/>
      <c r="P28" s="638"/>
      <c r="Q28" s="638"/>
      <c r="R28" s="638"/>
      <c r="S28" s="484"/>
      <c r="T28" s="638"/>
      <c r="U28" s="638"/>
      <c r="V28" s="638"/>
      <c r="W28" s="638"/>
      <c r="X28" s="638"/>
      <c r="Y28" s="638"/>
      <c r="Z28" s="638"/>
      <c r="AA28" s="638"/>
      <c r="AB28" s="638"/>
      <c r="AC28" s="638"/>
      <c r="AD28" s="638"/>
      <c r="AE28" s="638"/>
      <c r="AF28" s="638"/>
      <c r="AG28" s="446"/>
      <c r="AH28" s="638"/>
      <c r="AI28" s="638"/>
      <c r="AJ28" s="638"/>
      <c r="AK28" s="1239"/>
      <c r="AL28" s="638"/>
      <c r="AM28" s="1239"/>
      <c r="AN28" s="455"/>
      <c r="AO28" s="1239"/>
      <c r="AP28" s="1239"/>
      <c r="AQ28" s="484">
        <f>+FL_1($T$29,$T$27,$G$28,1200,9.28,-1*$F$29)</f>
        <v>0.39941774473469382</v>
      </c>
      <c r="AR28" s="484"/>
      <c r="AS28" s="484"/>
      <c r="AT28" s="484"/>
      <c r="AU28" s="638"/>
      <c r="AV28" s="638"/>
      <c r="AW28" s="638"/>
      <c r="AX28" s="638"/>
      <c r="AY28" s="484"/>
      <c r="AZ28" s="484"/>
      <c r="BA28" s="671"/>
      <c r="BB28" s="1239"/>
      <c r="BC28" s="169"/>
      <c r="BD28" s="1330"/>
      <c r="BE28" s="1330"/>
      <c r="BF28" s="1330"/>
      <c r="BG28" s="1330"/>
    </row>
    <row r="29" spans="1:59" ht="15.75" customHeight="1">
      <c r="A29" s="1239"/>
      <c r="B29" s="435" t="s">
        <v>2531</v>
      </c>
      <c r="C29" s="446">
        <f>C27+G28</f>
        <v>97071.599999999991</v>
      </c>
      <c r="D29" s="173"/>
      <c r="E29" s="447"/>
      <c r="F29" s="447">
        <v>0</v>
      </c>
      <c r="G29" s="484"/>
      <c r="H29" s="1239" t="s">
        <v>619</v>
      </c>
      <c r="I29" s="1239"/>
      <c r="J29" s="171"/>
      <c r="K29" s="638"/>
      <c r="L29" s="638" t="s">
        <v>895</v>
      </c>
      <c r="M29" s="638" t="s">
        <v>2402</v>
      </c>
      <c r="N29" s="1239" t="s">
        <v>2573</v>
      </c>
      <c r="O29" s="1239" t="s">
        <v>140</v>
      </c>
      <c r="P29" s="1239"/>
      <c r="Q29" s="638"/>
      <c r="R29" s="638"/>
      <c r="S29" s="484"/>
      <c r="T29" s="638">
        <v>35</v>
      </c>
      <c r="U29" s="638">
        <v>15</v>
      </c>
      <c r="V29" s="638"/>
      <c r="W29" s="638">
        <v>1.4</v>
      </c>
      <c r="X29" s="638">
        <v>1.8</v>
      </c>
      <c r="Y29" s="638"/>
      <c r="Z29" s="638"/>
      <c r="AA29" s="638">
        <v>0.38</v>
      </c>
      <c r="AB29" s="638"/>
      <c r="AC29" s="638" t="str">
        <f>IF(OR(AT29&gt;8,AT29&lt;-8),"PH",IF(OR(AT29&gt;5,AT29&lt;-5),"PH-Q",IF(OR(AT29&gt;1,AT29&lt;-1),"PH-C")))</f>
        <v>PH-Q</v>
      </c>
      <c r="AD29" s="638"/>
      <c r="AE29" s="638"/>
      <c r="AF29" s="638"/>
      <c r="AG29" s="446"/>
      <c r="AH29" s="638"/>
      <c r="AI29" s="638"/>
      <c r="AJ29" s="638"/>
      <c r="AK29" s="638"/>
      <c r="AL29" s="638"/>
      <c r="AM29" s="638" t="s">
        <v>1043</v>
      </c>
      <c r="AN29" s="455">
        <v>5.5</v>
      </c>
      <c r="AO29" s="1239"/>
      <c r="AP29" s="1239"/>
      <c r="AQ29" s="484"/>
      <c r="AR29" s="484"/>
      <c r="AS29" s="484"/>
      <c r="AT29" s="484">
        <f>+ab($T$29,$T$27,$T$31,$G$28,$G$30,-1*$F$29,1200)</f>
        <v>7.4198725515631363</v>
      </c>
      <c r="AU29" s="638"/>
      <c r="AV29" s="638"/>
      <c r="AW29" s="638"/>
      <c r="AX29" s="638"/>
      <c r="AY29" s="484"/>
      <c r="AZ29" s="484"/>
      <c r="BA29" s="671"/>
      <c r="BB29" s="1239" t="str">
        <f>Pole_Calculations!A19</f>
        <v>App.7-V11A-P9.5.1.5</v>
      </c>
      <c r="BC29" s="169"/>
      <c r="BD29" s="1329"/>
      <c r="BE29" s="1329"/>
      <c r="BF29" s="1330"/>
      <c r="BG29" s="1329"/>
    </row>
    <row r="30" spans="1:59" ht="15.75" customHeight="1">
      <c r="A30" s="1239"/>
      <c r="B30" s="638"/>
      <c r="C30" s="446"/>
      <c r="D30" s="446"/>
      <c r="E30" s="447"/>
      <c r="F30" s="1239"/>
      <c r="G30" s="484">
        <v>41.9</v>
      </c>
      <c r="H30" s="1239"/>
      <c r="I30" s="1239">
        <v>517</v>
      </c>
      <c r="J30" s="446"/>
      <c r="K30" s="638"/>
      <c r="L30" s="638"/>
      <c r="M30" s="638"/>
      <c r="N30" s="1239"/>
      <c r="O30" s="1239"/>
      <c r="P30" s="638"/>
      <c r="Q30" s="638"/>
      <c r="R30" s="638"/>
      <c r="S30" s="484"/>
      <c r="T30" s="638"/>
      <c r="U30" s="638"/>
      <c r="V30" s="638"/>
      <c r="W30" s="638"/>
      <c r="X30" s="638"/>
      <c r="Y30" s="638"/>
      <c r="Z30" s="638"/>
      <c r="AA30" s="638"/>
      <c r="AB30" s="638"/>
      <c r="AC30" s="638"/>
      <c r="AD30" s="638"/>
      <c r="AE30" s="638"/>
      <c r="AF30" s="638"/>
      <c r="AG30" s="446"/>
      <c r="AH30" s="638"/>
      <c r="AI30" s="185"/>
      <c r="AJ30" s="638"/>
      <c r="AK30" s="1239"/>
      <c r="AL30" s="638"/>
      <c r="AM30" s="1239"/>
      <c r="AN30" s="455"/>
      <c r="AO30" s="1239"/>
      <c r="AP30" s="1239"/>
      <c r="AQ30" s="484">
        <f>+FL_1($T$31,$T$29,$G$30,1200,9.28,-1*$F$31)</f>
        <v>0.35030622542243423</v>
      </c>
      <c r="AR30" s="484"/>
      <c r="AS30" s="484"/>
      <c r="AT30" s="484"/>
      <c r="AU30" s="638"/>
      <c r="AV30" s="638"/>
      <c r="AW30" s="638"/>
      <c r="AX30" s="638"/>
      <c r="AY30" s="484"/>
      <c r="AZ30" s="484"/>
      <c r="BA30" s="671"/>
      <c r="BB30" s="1239"/>
      <c r="BC30" s="169"/>
      <c r="BD30" s="1330"/>
      <c r="BE30" s="1330"/>
      <c r="BF30" s="1330"/>
      <c r="BG30" s="1330"/>
    </row>
    <row r="31" spans="1:59" ht="15.75" customHeight="1">
      <c r="A31" s="1239"/>
      <c r="B31" s="435" t="s">
        <v>2532</v>
      </c>
      <c r="C31" s="446">
        <f>C29+G30</f>
        <v>97113.499999999985</v>
      </c>
      <c r="D31" s="173"/>
      <c r="E31" s="447"/>
      <c r="F31" s="447">
        <v>0</v>
      </c>
      <c r="G31" s="484"/>
      <c r="H31" s="1239" t="s">
        <v>138</v>
      </c>
      <c r="I31" s="1239" t="s">
        <v>624</v>
      </c>
      <c r="J31" s="171"/>
      <c r="K31" s="638"/>
      <c r="L31" s="638" t="s">
        <v>898</v>
      </c>
      <c r="M31" s="638" t="s">
        <v>2402</v>
      </c>
      <c r="N31" s="1239" t="s">
        <v>143</v>
      </c>
      <c r="O31" s="1239"/>
      <c r="P31" s="1239"/>
      <c r="Q31" s="638"/>
      <c r="R31" s="638"/>
      <c r="S31" s="484"/>
      <c r="T31" s="638">
        <v>-30</v>
      </c>
      <c r="U31" s="638"/>
      <c r="V31" s="638"/>
      <c r="W31" s="638">
        <v>1.4</v>
      </c>
      <c r="X31" s="638"/>
      <c r="Y31" s="638"/>
      <c r="Z31" s="638"/>
      <c r="AA31" s="638"/>
      <c r="AB31" s="638"/>
      <c r="AC31" s="638" t="str">
        <f>IF(OR(AT31&gt;8,AT31&lt;-8),"PH",IF(OR(AT31&gt;5,AT31&lt;-5),"PH-Q",IF(OR(AT31&gt;1,AT31&lt;-1),"PH-C")))</f>
        <v>PH-Q</v>
      </c>
      <c r="AD31" s="638"/>
      <c r="AE31" s="638"/>
      <c r="AF31" s="638"/>
      <c r="AG31" s="446"/>
      <c r="AH31" s="638"/>
      <c r="AI31" s="638"/>
      <c r="AJ31" s="638"/>
      <c r="AK31" s="638"/>
      <c r="AL31" s="638"/>
      <c r="AM31" s="638" t="s">
        <v>1043</v>
      </c>
      <c r="AN31" s="455">
        <v>5.5</v>
      </c>
      <c r="AO31" s="1239"/>
      <c r="AP31" s="1239"/>
      <c r="AQ31" s="484"/>
      <c r="AR31" s="484"/>
      <c r="AS31" s="484"/>
      <c r="AT31" s="484">
        <f>+ab($T$31,$T$29,$T$33,$G$30,$G$32,-1*$F$31,1200)</f>
        <v>-6.3017310027070241</v>
      </c>
      <c r="AU31" s="638"/>
      <c r="AV31" s="638"/>
      <c r="AW31" s="638"/>
      <c r="AX31" s="638"/>
      <c r="AY31" s="484"/>
      <c r="AZ31" s="484"/>
      <c r="BA31" s="671"/>
      <c r="BB31" s="1239" t="str">
        <f>Pole_Calculations!A20</f>
        <v>App.7-V11A-P9.5.1.6</v>
      </c>
      <c r="BC31" s="169"/>
      <c r="BD31" s="1329"/>
      <c r="BE31" s="1329"/>
      <c r="BF31" s="1330"/>
      <c r="BG31" s="1329"/>
    </row>
    <row r="32" spans="1:59" ht="15.75" customHeight="1">
      <c r="A32" s="966" t="s">
        <v>1663</v>
      </c>
      <c r="B32" s="506"/>
      <c r="C32" s="505"/>
      <c r="D32" s="505"/>
      <c r="E32" s="507"/>
      <c r="F32" s="509"/>
      <c r="G32" s="508">
        <v>40.5</v>
      </c>
      <c r="H32" s="509"/>
      <c r="I32" s="509"/>
      <c r="J32" s="505">
        <f>C31+7.5</f>
        <v>97120.999999999985</v>
      </c>
      <c r="K32" s="506" t="s">
        <v>621</v>
      </c>
      <c r="L32" s="506"/>
      <c r="M32" s="506"/>
      <c r="N32" s="509"/>
      <c r="O32" s="506"/>
      <c r="P32" s="506"/>
      <c r="Q32" s="506"/>
      <c r="R32" s="506"/>
      <c r="S32" s="508"/>
      <c r="T32" s="506"/>
      <c r="U32" s="506"/>
      <c r="V32" s="506"/>
      <c r="W32" s="506"/>
      <c r="X32" s="506"/>
      <c r="Y32" s="506"/>
      <c r="Z32" s="506"/>
      <c r="AA32" s="506"/>
      <c r="AB32" s="506"/>
      <c r="AC32" s="506"/>
      <c r="AD32" s="506"/>
      <c r="AE32" s="506"/>
      <c r="AF32" s="506"/>
      <c r="AG32" s="505"/>
      <c r="AH32" s="506"/>
      <c r="AI32" s="608"/>
      <c r="AJ32" s="506"/>
      <c r="AK32" s="509"/>
      <c r="AL32" s="506"/>
      <c r="AM32" s="509"/>
      <c r="AN32" s="513"/>
      <c r="AO32" s="509"/>
      <c r="AP32" s="509"/>
      <c r="AQ32" s="508">
        <f>+FL_1($T$33,$T$31,$G$32,1200,9.28,-1*$F$33)</f>
        <v>0.43113345193395547</v>
      </c>
      <c r="AR32" s="508"/>
      <c r="AS32" s="508"/>
      <c r="AT32" s="508"/>
      <c r="AU32" s="506"/>
      <c r="AV32" s="506"/>
      <c r="AW32" s="506"/>
      <c r="AX32" s="506"/>
      <c r="AY32" s="508"/>
      <c r="AZ32" s="508"/>
      <c r="BA32" s="968"/>
      <c r="BB32" s="966"/>
      <c r="BC32" s="169"/>
      <c r="BD32" s="1330"/>
      <c r="BE32" s="1330"/>
      <c r="BF32" s="1330"/>
      <c r="BG32" s="1330"/>
    </row>
    <row r="33" spans="1:59" ht="15.75" customHeight="1">
      <c r="A33" s="1239"/>
      <c r="B33" s="435" t="s">
        <v>2533</v>
      </c>
      <c r="C33" s="446">
        <f>C31+G32</f>
        <v>97153.999999999985</v>
      </c>
      <c r="D33" s="173"/>
      <c r="E33" s="447"/>
      <c r="F33" s="447">
        <v>968</v>
      </c>
      <c r="G33" s="484"/>
      <c r="H33" s="1239"/>
      <c r="I33" s="1239"/>
      <c r="J33" s="171"/>
      <c r="K33" s="638"/>
      <c r="L33" s="638" t="s">
        <v>230</v>
      </c>
      <c r="M33" s="638" t="s">
        <v>2402</v>
      </c>
      <c r="N33" s="1239" t="s">
        <v>144</v>
      </c>
      <c r="O33" s="1239"/>
      <c r="P33" s="1239"/>
      <c r="Q33" s="638"/>
      <c r="R33" s="638"/>
      <c r="S33" s="484"/>
      <c r="T33" s="638">
        <v>30</v>
      </c>
      <c r="U33" s="638"/>
      <c r="V33" s="638"/>
      <c r="W33" s="638">
        <v>1.4</v>
      </c>
      <c r="X33" s="638"/>
      <c r="Y33" s="638"/>
      <c r="Z33" s="638"/>
      <c r="AA33" s="638"/>
      <c r="AB33" s="638"/>
      <c r="AC33" s="638" t="str">
        <f>IF(OR(AT33&gt;8,AT33&lt;-8),"PH",IF(OR(AT33&gt;5,AT33&lt;-5),"PH-Q",IF(OR(AT33&gt;1,AT33&lt;-1),"PH-C")))</f>
        <v>PH</v>
      </c>
      <c r="AD33" s="638"/>
      <c r="AE33" s="638"/>
      <c r="AF33" s="638"/>
      <c r="AG33" s="446"/>
      <c r="AH33" s="638"/>
      <c r="AI33" s="638"/>
      <c r="AJ33" s="638"/>
      <c r="AK33" s="638"/>
      <c r="AL33" s="638"/>
      <c r="AM33" s="638" t="s">
        <v>1043</v>
      </c>
      <c r="AN33" s="455">
        <v>5.5</v>
      </c>
      <c r="AO33" s="1239"/>
      <c r="AP33" s="1239"/>
      <c r="AQ33" s="484"/>
      <c r="AR33" s="484"/>
      <c r="AS33" s="484"/>
      <c r="AT33" s="484">
        <f>+ab($T$33,$T$31,$T$35,$G$32,$G$34,-1*$F$33,1200)</f>
        <v>-15.889155357953552</v>
      </c>
      <c r="AU33" s="638"/>
      <c r="AV33" s="638"/>
      <c r="AW33" s="638"/>
      <c r="AX33" s="638"/>
      <c r="AY33" s="484"/>
      <c r="AZ33" s="484"/>
      <c r="BA33" s="671"/>
      <c r="BB33" s="1239" t="str">
        <f>Pole_Calculations!A15</f>
        <v>App.7-V11A-P9.5.1.1</v>
      </c>
      <c r="BC33" s="169"/>
      <c r="BD33" s="1329"/>
      <c r="BE33" s="1329"/>
      <c r="BF33" s="1330"/>
      <c r="BG33" s="1329"/>
    </row>
    <row r="34" spans="1:59" ht="15.75" customHeight="1">
      <c r="A34" s="1239"/>
      <c r="B34" s="638"/>
      <c r="C34" s="446"/>
      <c r="D34" s="446"/>
      <c r="E34" s="447"/>
      <c r="F34" s="1239"/>
      <c r="G34" s="484">
        <v>40</v>
      </c>
      <c r="H34" s="609"/>
      <c r="I34" s="610"/>
      <c r="J34" s="446"/>
      <c r="K34" s="638"/>
      <c r="L34" s="638"/>
      <c r="M34" s="638"/>
      <c r="N34" s="1239"/>
      <c r="O34" s="638"/>
      <c r="P34" s="638"/>
      <c r="Q34" s="638"/>
      <c r="R34" s="638"/>
      <c r="S34" s="484"/>
      <c r="T34" s="638"/>
      <c r="U34" s="638"/>
      <c r="V34" s="638"/>
      <c r="W34" s="638"/>
      <c r="X34" s="638"/>
      <c r="Y34" s="638"/>
      <c r="Z34" s="638"/>
      <c r="AA34" s="638"/>
      <c r="AB34" s="638"/>
      <c r="AC34" s="638"/>
      <c r="AD34" s="638"/>
      <c r="AE34" s="638"/>
      <c r="AF34" s="638"/>
      <c r="AG34" s="446"/>
      <c r="AH34" s="638"/>
      <c r="AI34" s="185"/>
      <c r="AJ34" s="638"/>
      <c r="AK34" s="1239"/>
      <c r="AL34" s="638"/>
      <c r="AM34" s="1239"/>
      <c r="AN34" s="455"/>
      <c r="AO34" s="1239"/>
      <c r="AP34" s="1239"/>
      <c r="AQ34" s="484">
        <f>+FL_1($T$35,$T$33,$G$34,1200,9.28,-1*$F$35)</f>
        <v>0.48622652050892756</v>
      </c>
      <c r="AR34" s="484"/>
      <c r="AS34" s="484"/>
      <c r="AT34" s="484"/>
      <c r="AU34" s="638"/>
      <c r="AV34" s="638"/>
      <c r="AW34" s="638"/>
      <c r="AX34" s="638"/>
      <c r="AY34" s="484"/>
      <c r="AZ34" s="484"/>
      <c r="BA34" s="671"/>
      <c r="BB34" s="1239"/>
      <c r="BC34" s="169"/>
      <c r="BD34" s="1330"/>
      <c r="BE34" s="1330"/>
      <c r="BF34" s="1330"/>
      <c r="BG34" s="1330"/>
    </row>
    <row r="35" spans="1:59" ht="15.75" customHeight="1">
      <c r="A35" s="1239"/>
      <c r="B35" s="435" t="s">
        <v>2534</v>
      </c>
      <c r="C35" s="446">
        <f>C33+G34</f>
        <v>97193.999999999985</v>
      </c>
      <c r="D35" s="173"/>
      <c r="E35" s="447"/>
      <c r="F35" s="447">
        <v>715</v>
      </c>
      <c r="G35" s="484"/>
      <c r="H35" s="1239"/>
      <c r="I35" s="1239"/>
      <c r="J35" s="171"/>
      <c r="K35" s="638"/>
      <c r="L35" s="638" t="s">
        <v>230</v>
      </c>
      <c r="M35" s="638" t="s">
        <v>2402</v>
      </c>
      <c r="N35" s="1239" t="s">
        <v>143</v>
      </c>
      <c r="O35" s="1239"/>
      <c r="P35" s="1239"/>
      <c r="Q35" s="638"/>
      <c r="R35" s="638"/>
      <c r="S35" s="484"/>
      <c r="T35" s="638">
        <v>-30</v>
      </c>
      <c r="U35" s="638"/>
      <c r="V35" s="638"/>
      <c r="W35" s="638">
        <v>1.4</v>
      </c>
      <c r="X35" s="638"/>
      <c r="Y35" s="638"/>
      <c r="Z35" s="638"/>
      <c r="AA35" s="638"/>
      <c r="AB35" s="638"/>
      <c r="AC35" s="638" t="str">
        <f>IF(OR(AT35&gt;8,AT35&lt;-8),"PH",IF(OR(AT35&gt;5,AT35&lt;-5),"PH-Q",IF(OR(AT35&gt;1,AT35&lt;-1),"PH-C")))</f>
        <v>PH-C</v>
      </c>
      <c r="AD35" s="638"/>
      <c r="AE35" s="638"/>
      <c r="AF35" s="638"/>
      <c r="AG35" s="446"/>
      <c r="AH35" s="638"/>
      <c r="AI35" s="638"/>
      <c r="AJ35" s="638"/>
      <c r="AK35" s="638"/>
      <c r="AL35" s="638"/>
      <c r="AM35" s="638" t="s">
        <v>1043</v>
      </c>
      <c r="AN35" s="455">
        <v>5.5</v>
      </c>
      <c r="AO35" s="1239"/>
      <c r="AP35" s="1239"/>
      <c r="AQ35" s="484"/>
      <c r="AR35" s="484"/>
      <c r="AS35" s="484"/>
      <c r="AT35" s="484">
        <f>+ab($T$35,$T$33,$T$37,$G$34,$G$36,-1*$F$35,1200)</f>
        <v>-2.6764947053759114</v>
      </c>
      <c r="AU35" s="638"/>
      <c r="AV35" s="638"/>
      <c r="AW35" s="638"/>
      <c r="AX35" s="638"/>
      <c r="AY35" s="484"/>
      <c r="AZ35" s="484"/>
      <c r="BA35" s="671"/>
      <c r="BB35" s="1239" t="str">
        <f>Pole_Calculations!A15</f>
        <v>App.7-V11A-P9.5.1.1</v>
      </c>
      <c r="BC35" s="169"/>
      <c r="BD35" s="1329"/>
      <c r="BE35" s="1329"/>
      <c r="BF35" s="1330"/>
      <c r="BG35" s="1329"/>
    </row>
    <row r="36" spans="1:59" ht="15.75" customHeight="1">
      <c r="A36" s="1239"/>
      <c r="B36" s="638"/>
      <c r="C36" s="446"/>
      <c r="D36" s="446"/>
      <c r="E36" s="447"/>
      <c r="F36" s="1239"/>
      <c r="G36" s="484">
        <v>41</v>
      </c>
      <c r="H36" s="571"/>
      <c r="I36" s="580"/>
      <c r="J36" s="446"/>
      <c r="K36" s="638"/>
      <c r="L36" s="638"/>
      <c r="M36" s="638"/>
      <c r="N36" s="1239"/>
      <c r="O36" s="1239"/>
      <c r="P36" s="638"/>
      <c r="Q36" s="638"/>
      <c r="R36" s="638"/>
      <c r="S36" s="484"/>
      <c r="T36" s="638"/>
      <c r="U36" s="638"/>
      <c r="V36" s="638"/>
      <c r="W36" s="638"/>
      <c r="X36" s="638"/>
      <c r="Y36" s="638"/>
      <c r="Z36" s="638"/>
      <c r="AA36" s="638"/>
      <c r="AB36" s="638"/>
      <c r="AC36" s="638"/>
      <c r="AD36" s="638"/>
      <c r="AE36" s="638"/>
      <c r="AF36" s="638"/>
      <c r="AG36" s="446"/>
      <c r="AH36" s="638"/>
      <c r="AI36" s="185"/>
      <c r="AJ36" s="638"/>
      <c r="AK36" s="1239"/>
      <c r="AL36" s="638"/>
      <c r="AM36" s="1239"/>
      <c r="AN36" s="455"/>
      <c r="AO36" s="1239"/>
      <c r="AP36" s="1239"/>
      <c r="AQ36" s="484">
        <f>+FL_2($T$37,$T$35,$G$36,1200,9.28,-1*$F$37)</f>
        <v>-0.3</v>
      </c>
      <c r="AR36" s="484"/>
      <c r="AS36" s="484"/>
      <c r="AT36" s="484"/>
      <c r="AU36" s="638"/>
      <c r="AV36" s="638"/>
      <c r="AW36" s="638"/>
      <c r="AX36" s="638"/>
      <c r="AY36" s="484"/>
      <c r="AZ36" s="484"/>
      <c r="BA36" s="671"/>
      <c r="BB36" s="1239"/>
      <c r="BC36" s="169"/>
      <c r="BD36" s="1330"/>
      <c r="BE36" s="1330"/>
      <c r="BF36" s="1330"/>
      <c r="BG36" s="1330"/>
    </row>
    <row r="37" spans="1:59" ht="15.75" customHeight="1">
      <c r="A37" s="467"/>
      <c r="B37" s="464" t="s">
        <v>2535</v>
      </c>
      <c r="C37" s="463">
        <f>C35+G36</f>
        <v>97234.999999999985</v>
      </c>
      <c r="D37" s="463"/>
      <c r="E37" s="465"/>
      <c r="F37" s="467">
        <v>715</v>
      </c>
      <c r="G37" s="466"/>
      <c r="H37" s="464"/>
      <c r="I37" s="464"/>
      <c r="J37" s="463"/>
      <c r="K37" s="464"/>
      <c r="L37" s="464" t="s">
        <v>230</v>
      </c>
      <c r="M37" s="464" t="s">
        <v>2402</v>
      </c>
      <c r="N37" s="467" t="s">
        <v>143</v>
      </c>
      <c r="O37" s="467"/>
      <c r="P37" s="464"/>
      <c r="Q37" s="464"/>
      <c r="R37" s="464"/>
      <c r="S37" s="466"/>
      <c r="T37" s="464">
        <v>-30</v>
      </c>
      <c r="U37" s="464"/>
      <c r="V37" s="464"/>
      <c r="W37" s="464">
        <v>1.4</v>
      </c>
      <c r="X37" s="464"/>
      <c r="Y37" s="464"/>
      <c r="Z37" s="464"/>
      <c r="AA37" s="464"/>
      <c r="AB37" s="464"/>
      <c r="AC37" s="464" t="str">
        <f>IF(OR(AT37&gt;8,AT37&lt;-8),"PH",IF(OR(AT37&gt;5,AT37&lt;-5),"PH-Q",IF(OR(AT37&gt;1,AT37&lt;-1),"PH-C")))</f>
        <v>PH-C</v>
      </c>
      <c r="AD37" s="464"/>
      <c r="AE37" s="464"/>
      <c r="AF37" s="464"/>
      <c r="AG37" s="463"/>
      <c r="AH37" s="464"/>
      <c r="AI37" s="611"/>
      <c r="AJ37" s="611" t="s">
        <v>2553</v>
      </c>
      <c r="AK37" s="467"/>
      <c r="AL37" s="464"/>
      <c r="AM37" s="467" t="s">
        <v>1043</v>
      </c>
      <c r="AN37" s="474">
        <v>5.5</v>
      </c>
      <c r="AO37" s="467"/>
      <c r="AP37" s="467"/>
      <c r="AQ37" s="466"/>
      <c r="AR37" s="466"/>
      <c r="AS37" s="466"/>
      <c r="AT37" s="466">
        <f>+ab($T$37,$T$35,$T$39,$G$36,$G$38,-1*$F$37,1200)</f>
        <v>-3.3426234574092715</v>
      </c>
      <c r="AU37" s="464"/>
      <c r="AV37" s="464"/>
      <c r="AW37" s="464"/>
      <c r="AX37" s="464"/>
      <c r="AY37" s="466"/>
      <c r="AZ37" s="466"/>
      <c r="BA37" s="674"/>
      <c r="BB37" s="467" t="str">
        <f>Pole_Calculations!A15</f>
        <v>App.7-V11A-P9.5.1.1</v>
      </c>
      <c r="BC37" s="169"/>
      <c r="BD37" s="1329"/>
      <c r="BE37" s="1329"/>
      <c r="BF37" s="1330"/>
      <c r="BG37" s="1329"/>
    </row>
    <row r="38" spans="1:59" ht="15.75" customHeight="1">
      <c r="A38" s="467" t="s">
        <v>2199</v>
      </c>
      <c r="B38" s="464"/>
      <c r="C38" s="463"/>
      <c r="D38" s="463"/>
      <c r="E38" s="465"/>
      <c r="F38" s="467"/>
      <c r="G38" s="466">
        <v>41</v>
      </c>
      <c r="H38" s="612"/>
      <c r="I38" s="612"/>
      <c r="J38" s="463"/>
      <c r="K38" s="464"/>
      <c r="L38" s="464"/>
      <c r="M38" s="464"/>
      <c r="N38" s="467"/>
      <c r="O38" s="467"/>
      <c r="P38" s="464"/>
      <c r="Q38" s="464"/>
      <c r="R38" s="464"/>
      <c r="S38" s="466"/>
      <c r="T38" s="464"/>
      <c r="U38" s="464"/>
      <c r="V38" s="464"/>
      <c r="W38" s="464"/>
      <c r="X38" s="464"/>
      <c r="Y38" s="464"/>
      <c r="Z38" s="464"/>
      <c r="AA38" s="464"/>
      <c r="AB38" s="464"/>
      <c r="AC38" s="464"/>
      <c r="AD38" s="464"/>
      <c r="AE38" s="464"/>
      <c r="AF38" s="464"/>
      <c r="AG38" s="463"/>
      <c r="AH38" s="464"/>
      <c r="AI38" s="611"/>
      <c r="AJ38" s="464"/>
      <c r="AK38" s="467"/>
      <c r="AL38" s="464"/>
      <c r="AM38" s="467"/>
      <c r="AN38" s="474"/>
      <c r="AO38" s="467"/>
      <c r="AP38" s="467"/>
      <c r="AQ38" s="466">
        <f>+FL_2($T$39,$T$37,$G$38,1200,9.28,-1*$F$39)</f>
        <v>-0.34903476774583464</v>
      </c>
      <c r="AR38" s="466"/>
      <c r="AS38" s="466"/>
      <c r="AT38" s="466"/>
      <c r="AU38" s="464"/>
      <c r="AV38" s="464"/>
      <c r="AW38" s="464"/>
      <c r="AX38" s="464"/>
      <c r="AY38" s="466"/>
      <c r="AZ38" s="466"/>
      <c r="BA38" s="674"/>
      <c r="BB38" s="467"/>
      <c r="BC38" s="169"/>
      <c r="BD38" s="1330"/>
      <c r="BE38" s="1330"/>
      <c r="BF38" s="1330"/>
      <c r="BG38" s="1330"/>
    </row>
    <row r="39" spans="1:59" ht="15.75" customHeight="1">
      <c r="A39" s="467"/>
      <c r="B39" s="464" t="s">
        <v>2536</v>
      </c>
      <c r="C39" s="463">
        <f>C37+G38</f>
        <v>97275.999999999985</v>
      </c>
      <c r="D39" s="463"/>
      <c r="E39" s="465"/>
      <c r="F39" s="467">
        <v>1852</v>
      </c>
      <c r="G39" s="466"/>
      <c r="H39" s="613"/>
      <c r="I39" s="613"/>
      <c r="J39" s="463"/>
      <c r="K39" s="464"/>
      <c r="L39" s="464" t="s">
        <v>230</v>
      </c>
      <c r="M39" s="464" t="s">
        <v>2402</v>
      </c>
      <c r="N39" s="467" t="s">
        <v>143</v>
      </c>
      <c r="O39" s="467"/>
      <c r="P39" s="464"/>
      <c r="Q39" s="464"/>
      <c r="R39" s="464"/>
      <c r="S39" s="466"/>
      <c r="T39" s="464">
        <v>-30</v>
      </c>
      <c r="U39" s="464"/>
      <c r="V39" s="464"/>
      <c r="W39" s="464">
        <v>1.4</v>
      </c>
      <c r="X39" s="464"/>
      <c r="Y39" s="464"/>
      <c r="Z39" s="464"/>
      <c r="AA39" s="464"/>
      <c r="AB39" s="464"/>
      <c r="AC39" s="464" t="str">
        <f>IF(OR(AT39&gt;8,AT39&lt;-8),"PH",IF(OR(AT39&gt;5,AT39&lt;-5),"PH-Q",IF(OR(AT39&gt;1,AT39&lt;-1),"PH-C")))</f>
        <v>PH-Q</v>
      </c>
      <c r="AD39" s="464"/>
      <c r="AE39" s="464"/>
      <c r="AF39" s="464"/>
      <c r="AG39" s="463"/>
      <c r="AH39" s="464"/>
      <c r="AI39" s="611"/>
      <c r="AJ39" s="611" t="s">
        <v>2553</v>
      </c>
      <c r="AK39" s="467"/>
      <c r="AL39" s="464"/>
      <c r="AM39" s="467" t="s">
        <v>1043</v>
      </c>
      <c r="AN39" s="474">
        <v>5.5</v>
      </c>
      <c r="AO39" s="467"/>
      <c r="AP39" s="467"/>
      <c r="AQ39" s="466"/>
      <c r="AR39" s="466"/>
      <c r="AS39" s="466"/>
      <c r="AT39" s="466">
        <f>+ab($T$39,$T$37,$T$43,$G$38,$G$42,-1*$F$39,1200)</f>
        <v>-5.0816806399956453</v>
      </c>
      <c r="AU39" s="464"/>
      <c r="AV39" s="464"/>
      <c r="AW39" s="464"/>
      <c r="AX39" s="464"/>
      <c r="AY39" s="466"/>
      <c r="AZ39" s="466"/>
      <c r="BA39" s="674"/>
      <c r="BB39" s="467" t="str">
        <f>Pole_Calculations!A15</f>
        <v>App.7-V11A-P9.5.1.1</v>
      </c>
      <c r="BC39" s="169"/>
      <c r="BD39" s="1329"/>
      <c r="BE39" s="1329"/>
      <c r="BF39" s="1330"/>
      <c r="BG39" s="1329"/>
    </row>
    <row r="40" spans="1:59" ht="15.75" customHeight="1">
      <c r="A40" s="467"/>
      <c r="B40" s="464"/>
      <c r="C40" s="463"/>
      <c r="D40" s="463"/>
      <c r="E40" s="465"/>
      <c r="F40" s="467"/>
      <c r="G40" s="466">
        <v>24</v>
      </c>
      <c r="H40" s="613"/>
      <c r="I40" s="613"/>
      <c r="J40" s="463">
        <f>C41-7.5</f>
        <v>97292.499999999985</v>
      </c>
      <c r="K40" s="464" t="s">
        <v>625</v>
      </c>
      <c r="L40" s="464"/>
      <c r="M40" s="464"/>
      <c r="N40" s="467"/>
      <c r="O40" s="467"/>
      <c r="P40" s="464"/>
      <c r="Q40" s="464"/>
      <c r="R40" s="464"/>
      <c r="S40" s="466"/>
      <c r="T40" s="464"/>
      <c r="U40" s="464"/>
      <c r="V40" s="464"/>
      <c r="W40" s="464"/>
      <c r="X40" s="464"/>
      <c r="Y40" s="464"/>
      <c r="Z40" s="464"/>
      <c r="AA40" s="464"/>
      <c r="AB40" s="464"/>
      <c r="AC40" s="464"/>
      <c r="AD40" s="464"/>
      <c r="AE40" s="464"/>
      <c r="AF40" s="464"/>
      <c r="AG40" s="463"/>
      <c r="AH40" s="464"/>
      <c r="AI40" s="611"/>
      <c r="AJ40" s="611"/>
      <c r="AK40" s="467"/>
      <c r="AL40" s="464"/>
      <c r="AM40" s="467"/>
      <c r="AN40" s="474"/>
      <c r="AO40" s="467"/>
      <c r="AP40" s="467"/>
      <c r="AQ40" s="466"/>
      <c r="AR40" s="466"/>
      <c r="AS40" s="466"/>
      <c r="AT40" s="466"/>
      <c r="AU40" s="464"/>
      <c r="AV40" s="464"/>
      <c r="AW40" s="464"/>
      <c r="AX40" s="464"/>
      <c r="AY40" s="466"/>
      <c r="AZ40" s="466"/>
      <c r="BA40" s="674"/>
      <c r="BB40" s="467"/>
      <c r="BC40" s="169"/>
      <c r="BD40" s="1329"/>
      <c r="BE40" s="1329"/>
      <c r="BF40" s="1330"/>
      <c r="BG40" s="1329"/>
    </row>
    <row r="41" spans="1:59" ht="15.75" customHeight="1">
      <c r="A41" s="467"/>
      <c r="B41" s="464" t="s">
        <v>5040</v>
      </c>
      <c r="C41" s="463">
        <f>C39+G40</f>
        <v>97299.999999999985</v>
      </c>
      <c r="D41" s="463"/>
      <c r="E41" s="465"/>
      <c r="F41" s="467">
        <v>0</v>
      </c>
      <c r="G41" s="466"/>
      <c r="H41" s="613"/>
      <c r="I41" s="464" t="s">
        <v>1040</v>
      </c>
      <c r="J41" s="463"/>
      <c r="K41" s="464"/>
      <c r="L41" s="464" t="s">
        <v>230</v>
      </c>
      <c r="M41" s="464" t="s">
        <v>2402</v>
      </c>
      <c r="N41" s="467"/>
      <c r="O41" s="467"/>
      <c r="P41" s="464"/>
      <c r="Q41" s="464"/>
      <c r="R41" s="464"/>
      <c r="S41" s="466"/>
      <c r="T41" s="464"/>
      <c r="U41" s="464"/>
      <c r="V41" s="464"/>
      <c r="W41" s="464"/>
      <c r="X41" s="464"/>
      <c r="Y41" s="464"/>
      <c r="Z41" s="464"/>
      <c r="AA41" s="464"/>
      <c r="AB41" s="464"/>
      <c r="AC41" s="464"/>
      <c r="AD41" s="464"/>
      <c r="AE41" s="464"/>
      <c r="AF41" s="464"/>
      <c r="AG41" s="463"/>
      <c r="AH41" s="464"/>
      <c r="AI41" s="611"/>
      <c r="AJ41" s="611"/>
      <c r="AK41" s="467"/>
      <c r="AL41" s="464"/>
      <c r="AM41" s="467" t="s">
        <v>1043</v>
      </c>
      <c r="AN41" s="474"/>
      <c r="AO41" s="467"/>
      <c r="AP41" s="467"/>
      <c r="AQ41" s="466"/>
      <c r="AR41" s="466"/>
      <c r="AS41" s="466"/>
      <c r="AT41" s="466"/>
      <c r="AU41" s="464"/>
      <c r="AV41" s="464"/>
      <c r="AW41" s="464"/>
      <c r="AX41" s="464"/>
      <c r="AY41" s="466"/>
      <c r="AZ41" s="466"/>
      <c r="BA41" s="674"/>
      <c r="BB41" s="467"/>
      <c r="BC41" s="169"/>
      <c r="BD41" s="1329"/>
      <c r="BE41" s="1329"/>
      <c r="BF41" s="1330"/>
      <c r="BG41" s="1329"/>
    </row>
    <row r="42" spans="1:59" ht="15.75" customHeight="1">
      <c r="A42" s="467"/>
      <c r="B42" s="464"/>
      <c r="C42" s="463"/>
      <c r="D42" s="463"/>
      <c r="E42" s="465"/>
      <c r="F42" s="467"/>
      <c r="G42" s="466">
        <v>45</v>
      </c>
      <c r="H42" s="613"/>
      <c r="I42" s="613"/>
      <c r="J42" s="463">
        <f>C43-7.5</f>
        <v>97313.499999999985</v>
      </c>
      <c r="K42" s="464" t="s">
        <v>621</v>
      </c>
      <c r="L42" s="464"/>
      <c r="M42" s="464"/>
      <c r="N42" s="467"/>
      <c r="O42" s="467"/>
      <c r="P42" s="464"/>
      <c r="Q42" s="464"/>
      <c r="R42" s="464"/>
      <c r="S42" s="466"/>
      <c r="T42" s="464"/>
      <c r="U42" s="464"/>
      <c r="V42" s="464"/>
      <c r="W42" s="464"/>
      <c r="X42" s="464"/>
      <c r="Y42" s="464"/>
      <c r="Z42" s="464"/>
      <c r="AA42" s="464"/>
      <c r="AB42" s="464"/>
      <c r="AC42" s="464"/>
      <c r="AD42" s="464"/>
      <c r="AE42" s="464"/>
      <c r="AF42" s="464"/>
      <c r="AG42" s="463"/>
      <c r="AH42" s="464"/>
      <c r="AI42" s="611"/>
      <c r="AJ42" s="464"/>
      <c r="AK42" s="467"/>
      <c r="AL42" s="464"/>
      <c r="AM42" s="467"/>
      <c r="AN42" s="474"/>
      <c r="AO42" s="467"/>
      <c r="AP42" s="467"/>
      <c r="AQ42" s="466">
        <f>+FL_1($T$43,$T$39,$G$42,1200,9.28,-1*$F$43)</f>
        <v>0.35564782755555552</v>
      </c>
      <c r="AR42" s="466"/>
      <c r="AS42" s="466"/>
      <c r="AT42" s="466"/>
      <c r="AU42" s="464"/>
      <c r="AV42" s="464"/>
      <c r="AW42" s="464"/>
      <c r="AX42" s="464"/>
      <c r="AY42" s="466"/>
      <c r="AZ42" s="466"/>
      <c r="BA42" s="674"/>
      <c r="BB42" s="467"/>
      <c r="BC42" s="169"/>
      <c r="BD42" s="1330"/>
      <c r="BE42" s="1330"/>
      <c r="BF42" s="1330"/>
      <c r="BG42" s="1330"/>
    </row>
    <row r="43" spans="1:59" ht="15.75" customHeight="1">
      <c r="A43" s="1239"/>
      <c r="B43" s="435" t="s">
        <v>2537</v>
      </c>
      <c r="C43" s="446">
        <f>C39+G42</f>
        <v>97320.999999999985</v>
      </c>
      <c r="D43" s="173"/>
      <c r="E43" s="447"/>
      <c r="F43" s="447">
        <v>0</v>
      </c>
      <c r="G43" s="484"/>
      <c r="H43" s="1239" t="s">
        <v>138</v>
      </c>
      <c r="I43" s="1239" t="s">
        <v>624</v>
      </c>
      <c r="J43" s="171"/>
      <c r="K43" s="638"/>
      <c r="L43" s="638" t="s">
        <v>898</v>
      </c>
      <c r="M43" s="638" t="s">
        <v>2402</v>
      </c>
      <c r="N43" s="1239" t="s">
        <v>144</v>
      </c>
      <c r="O43" s="1239"/>
      <c r="P43" s="1239"/>
      <c r="Q43" s="638"/>
      <c r="R43" s="638"/>
      <c r="S43" s="484"/>
      <c r="T43" s="638">
        <v>35</v>
      </c>
      <c r="U43" s="638"/>
      <c r="V43" s="638"/>
      <c r="W43" s="638">
        <v>1.4</v>
      </c>
      <c r="X43" s="638"/>
      <c r="Y43" s="638"/>
      <c r="Z43" s="638"/>
      <c r="AA43" s="638"/>
      <c r="AB43" s="638"/>
      <c r="AC43" s="638" t="str">
        <f>IF(OR(AT43&gt;8,AT43&lt;-8),"PH",IF(OR(AT43&gt;5,AT43&lt;-5),"PH-Q",IF(OR(AT43&gt;1,AT43&lt;-1),"PH-C")))</f>
        <v>PH-Q</v>
      </c>
      <c r="AD43" s="638"/>
      <c r="AE43" s="638"/>
      <c r="AF43" s="638"/>
      <c r="AG43" s="446"/>
      <c r="AH43" s="638"/>
      <c r="AI43" s="638"/>
      <c r="AJ43" s="638" t="s">
        <v>2553</v>
      </c>
      <c r="AK43" s="638"/>
      <c r="AL43" s="638"/>
      <c r="AM43" s="638" t="s">
        <v>1043</v>
      </c>
      <c r="AN43" s="455">
        <v>5.5</v>
      </c>
      <c r="AO43" s="1239"/>
      <c r="AP43" s="1239"/>
      <c r="AQ43" s="484"/>
      <c r="AR43" s="484"/>
      <c r="AS43" s="484"/>
      <c r="AT43" s="484">
        <f>+ab($T$43,$T$39,$U$45,$G$42,$G$44,-1*$F$43,1200)</f>
        <v>6.6129069517421577</v>
      </c>
      <c r="AU43" s="638"/>
      <c r="AV43" s="638"/>
      <c r="AW43" s="638"/>
      <c r="AX43" s="638"/>
      <c r="AY43" s="484"/>
      <c r="AZ43" s="484"/>
      <c r="BA43" s="671"/>
      <c r="BB43" s="1239" t="str">
        <f>Pole_Calculations!A20</f>
        <v>App.7-V11A-P9.5.1.6</v>
      </c>
      <c r="BC43" s="169"/>
      <c r="BD43" s="1329"/>
      <c r="BE43" s="1329"/>
      <c r="BF43" s="1330"/>
      <c r="BG43" s="1329"/>
    </row>
    <row r="44" spans="1:59" ht="15.75" customHeight="1">
      <c r="A44" s="1239"/>
      <c r="B44" s="638"/>
      <c r="C44" s="446"/>
      <c r="D44" s="446"/>
      <c r="E44" s="447"/>
      <c r="F44" s="1239"/>
      <c r="G44" s="484">
        <v>45</v>
      </c>
      <c r="H44" s="638"/>
      <c r="I44" s="447"/>
      <c r="J44" s="446"/>
      <c r="K44" s="638"/>
      <c r="L44" s="638"/>
      <c r="M44" s="638"/>
      <c r="N44" s="1239"/>
      <c r="O44" s="1239"/>
      <c r="P44" s="638"/>
      <c r="Q44" s="638"/>
      <c r="R44" s="638"/>
      <c r="S44" s="484"/>
      <c r="T44" s="638"/>
      <c r="U44" s="638"/>
      <c r="V44" s="638"/>
      <c r="W44" s="638"/>
      <c r="X44" s="638"/>
      <c r="Y44" s="638"/>
      <c r="Z44" s="638"/>
      <c r="AA44" s="638"/>
      <c r="AB44" s="638"/>
      <c r="AC44" s="638"/>
      <c r="AD44" s="638"/>
      <c r="AE44" s="638"/>
      <c r="AF44" s="638"/>
      <c r="AG44" s="446"/>
      <c r="AH44" s="638"/>
      <c r="AI44" s="185"/>
      <c r="AJ44" s="638"/>
      <c r="AK44" s="1239"/>
      <c r="AL44" s="638"/>
      <c r="AM44" s="1239"/>
      <c r="AN44" s="455"/>
      <c r="AO44" s="1239"/>
      <c r="AP44" s="1239"/>
      <c r="AQ44" s="484">
        <f>+FL_2($U$45,$T$43,$G$44,1200,9.28,-1*$F$45)</f>
        <v>-0.30564782755555553</v>
      </c>
      <c r="AR44" s="484"/>
      <c r="AS44" s="484"/>
      <c r="AT44" s="484"/>
      <c r="AU44" s="638"/>
      <c r="AV44" s="638"/>
      <c r="AW44" s="638"/>
      <c r="AX44" s="638"/>
      <c r="AY44" s="484"/>
      <c r="AZ44" s="484"/>
      <c r="BA44" s="671"/>
      <c r="BB44" s="1239"/>
      <c r="BC44" s="169"/>
      <c r="BD44" s="1330"/>
      <c r="BE44" s="1330"/>
      <c r="BF44" s="1330"/>
      <c r="BG44" s="1330"/>
    </row>
    <row r="45" spans="1:59" ht="15.75" customHeight="1">
      <c r="A45" s="1239"/>
      <c r="B45" s="435" t="s">
        <v>2538</v>
      </c>
      <c r="C45" s="446">
        <f>C43+G44</f>
        <v>97365.999999999985</v>
      </c>
      <c r="D45" s="173"/>
      <c r="E45" s="447"/>
      <c r="F45" s="447">
        <v>0</v>
      </c>
      <c r="G45" s="484"/>
      <c r="H45" s="1239" t="s">
        <v>619</v>
      </c>
      <c r="I45" s="1239"/>
      <c r="J45" s="171"/>
      <c r="K45" s="638"/>
      <c r="L45" s="638" t="s">
        <v>895</v>
      </c>
      <c r="M45" s="638" t="s">
        <v>2402</v>
      </c>
      <c r="N45" s="1239" t="s">
        <v>140</v>
      </c>
      <c r="O45" s="1239" t="s">
        <v>143</v>
      </c>
      <c r="P45" s="1239"/>
      <c r="Q45" s="638"/>
      <c r="R45" s="638"/>
      <c r="S45" s="484"/>
      <c r="T45" s="638">
        <v>15</v>
      </c>
      <c r="U45" s="638">
        <v>-30</v>
      </c>
      <c r="V45" s="638"/>
      <c r="W45" s="638">
        <v>1.4</v>
      </c>
      <c r="X45" s="638">
        <v>1.8</v>
      </c>
      <c r="Y45" s="638"/>
      <c r="Z45" s="638">
        <v>0.45</v>
      </c>
      <c r="AA45" s="638"/>
      <c r="AB45" s="638"/>
      <c r="AC45" s="638" t="str">
        <f>IF(OR(AT45&gt;8,AT45&lt;-8),"PH",IF(OR(AT45&gt;5,AT45&lt;-5),"PH-Q",IF(OR(AT45&gt;1,AT45&lt;-1),"PH-C")))</f>
        <v>PH-Q</v>
      </c>
      <c r="AD45" s="638"/>
      <c r="AE45" s="638"/>
      <c r="AF45" s="638"/>
      <c r="AG45" s="446"/>
      <c r="AH45" s="638"/>
      <c r="AI45" s="638"/>
      <c r="AJ45" s="638" t="s">
        <v>2553</v>
      </c>
      <c r="AK45" s="638"/>
      <c r="AL45" s="638"/>
      <c r="AM45" s="638" t="s">
        <v>1043</v>
      </c>
      <c r="AN45" s="455">
        <v>5.5</v>
      </c>
      <c r="AO45" s="1239"/>
      <c r="AP45" s="1239"/>
      <c r="AQ45" s="484"/>
      <c r="AR45" s="484"/>
      <c r="AS45" s="484"/>
      <c r="AT45" s="484">
        <f>+ab($U$45,$T$43,$T$47,$G$44,$G$46,-1*$F$45,1200)</f>
        <v>-7.2180295345765009</v>
      </c>
      <c r="AU45" s="638"/>
      <c r="AV45" s="638"/>
      <c r="AW45" s="638"/>
      <c r="AX45" s="638"/>
      <c r="AY45" s="484"/>
      <c r="AZ45" s="484"/>
      <c r="BA45" s="671"/>
      <c r="BB45" s="1239" t="str">
        <f>Pole_Calculations!A158</f>
        <v>App.7.1-V01-P9.5.1.7</v>
      </c>
      <c r="BC45" s="169"/>
      <c r="BD45" s="1329"/>
      <c r="BE45" s="1329"/>
      <c r="BF45" s="1330"/>
      <c r="BG45" s="1329"/>
    </row>
    <row r="46" spans="1:59" ht="15.75" customHeight="1">
      <c r="A46" s="1239"/>
      <c r="B46" s="638"/>
      <c r="C46" s="446"/>
      <c r="D46" s="446"/>
      <c r="E46" s="447"/>
      <c r="F46" s="1239"/>
      <c r="G46" s="484">
        <v>50</v>
      </c>
      <c r="H46" s="638"/>
      <c r="I46" s="447"/>
      <c r="J46" s="446">
        <f>C47-7.5</f>
        <v>97408.499999999985</v>
      </c>
      <c r="K46" s="638" t="s">
        <v>621</v>
      </c>
      <c r="L46" s="638"/>
      <c r="M46" s="638"/>
      <c r="N46" s="1239"/>
      <c r="O46" s="1239"/>
      <c r="P46" s="638"/>
      <c r="Q46" s="638"/>
      <c r="R46" s="638"/>
      <c r="S46" s="484"/>
      <c r="T46" s="638"/>
      <c r="U46" s="638"/>
      <c r="V46" s="638"/>
      <c r="W46" s="638"/>
      <c r="X46" s="638"/>
      <c r="Y46" s="638"/>
      <c r="Z46" s="638"/>
      <c r="AA46" s="638"/>
      <c r="AB46" s="638"/>
      <c r="AC46" s="638"/>
      <c r="AD46" s="638"/>
      <c r="AE46" s="638"/>
      <c r="AF46" s="638"/>
      <c r="AG46" s="446"/>
      <c r="AH46" s="638"/>
      <c r="AI46" s="185"/>
      <c r="AJ46" s="638"/>
      <c r="AK46" s="1239"/>
      <c r="AL46" s="638"/>
      <c r="AM46" s="1239"/>
      <c r="AN46" s="455"/>
      <c r="AO46" s="1239"/>
      <c r="AP46" s="1239"/>
      <c r="AQ46" s="484">
        <f>+FL_1($T$47,$T$45,$G$46,1200,9.28,-1*$F$47)</f>
        <v>0.47248563199999993</v>
      </c>
      <c r="AR46" s="484"/>
      <c r="AS46" s="484"/>
      <c r="AT46" s="484"/>
      <c r="AU46" s="638"/>
      <c r="AV46" s="638"/>
      <c r="AW46" s="638"/>
      <c r="AX46" s="638"/>
      <c r="AY46" s="484"/>
      <c r="AZ46" s="484"/>
      <c r="BA46" s="671"/>
      <c r="BB46" s="1239"/>
      <c r="BC46" s="169"/>
      <c r="BD46" s="1330"/>
      <c r="BE46" s="1330"/>
      <c r="BF46" s="1330"/>
      <c r="BG46" s="1330"/>
    </row>
    <row r="47" spans="1:59" ht="15.75" customHeight="1">
      <c r="A47" s="1239" t="s">
        <v>2965</v>
      </c>
      <c r="B47" s="435" t="s">
        <v>2539</v>
      </c>
      <c r="C47" s="446">
        <f>C45+G46</f>
        <v>97415.999999999985</v>
      </c>
      <c r="D47" s="173"/>
      <c r="E47" s="447"/>
      <c r="F47" s="447">
        <v>0</v>
      </c>
      <c r="G47" s="484"/>
      <c r="H47" s="1239" t="s">
        <v>2130</v>
      </c>
      <c r="I47" s="1239" t="s">
        <v>4218</v>
      </c>
      <c r="J47" s="171"/>
      <c r="K47" s="638"/>
      <c r="L47" s="638" t="s">
        <v>5039</v>
      </c>
      <c r="M47" s="638" t="s">
        <v>2402</v>
      </c>
      <c r="N47" s="1239" t="s">
        <v>144</v>
      </c>
      <c r="O47" s="1239" t="s">
        <v>140</v>
      </c>
      <c r="P47" s="1239"/>
      <c r="Q47" s="638"/>
      <c r="R47" s="638"/>
      <c r="S47" s="484"/>
      <c r="T47" s="638">
        <v>30</v>
      </c>
      <c r="U47" s="638">
        <v>-15</v>
      </c>
      <c r="V47" s="638"/>
      <c r="W47" s="638">
        <v>1.4</v>
      </c>
      <c r="X47" s="638">
        <v>2.2999999999999998</v>
      </c>
      <c r="Y47" s="638"/>
      <c r="Z47" s="638"/>
      <c r="AA47" s="638">
        <v>0.45</v>
      </c>
      <c r="AB47" s="638"/>
      <c r="AC47" s="638" t="str">
        <f>IF(OR(AT47&gt;8,AT47&lt;-8),"PH",IF(OR(AT47&gt;5,AT47&lt;-5),"PH-Q",IF(OR(AT47&gt;1,AT47&lt;-1),"PH-C")))</f>
        <v>PH</v>
      </c>
      <c r="AD47" s="638"/>
      <c r="AE47" s="638"/>
      <c r="AF47" s="638"/>
      <c r="AG47" s="446"/>
      <c r="AH47" s="638"/>
      <c r="AI47" s="638"/>
      <c r="AJ47" s="638" t="s">
        <v>2756</v>
      </c>
      <c r="AK47" s="638"/>
      <c r="AL47" s="638"/>
      <c r="AM47" s="638" t="s">
        <v>1043</v>
      </c>
      <c r="AN47" s="455">
        <v>5.5</v>
      </c>
      <c r="AO47" s="1239"/>
      <c r="AP47" s="1239"/>
      <c r="AQ47" s="484"/>
      <c r="AR47" s="484"/>
      <c r="AS47" s="484"/>
      <c r="AT47" s="484">
        <f>+ab($T$47,$T$45,$U$49,$G$46,$G$48,-1*$F$47,1200)</f>
        <v>12.605844720709911</v>
      </c>
      <c r="AU47" s="638"/>
      <c r="AV47" s="638"/>
      <c r="AW47" s="638"/>
      <c r="AX47" s="638"/>
      <c r="AY47" s="484"/>
      <c r="AZ47" s="484"/>
      <c r="BA47" s="671"/>
      <c r="BB47" s="1239" t="str">
        <f>Pole_Calculations!A158</f>
        <v>App.7.1-V01-P9.5.1.7</v>
      </c>
      <c r="BC47" s="169"/>
      <c r="BD47" s="1329"/>
      <c r="BE47" s="1329"/>
      <c r="BF47" s="1330"/>
      <c r="BG47" s="1329"/>
    </row>
    <row r="48" spans="1:59" ht="15.75" customHeight="1">
      <c r="A48" s="1239"/>
      <c r="B48" s="638"/>
      <c r="C48" s="446"/>
      <c r="D48" s="446"/>
      <c r="E48" s="447"/>
      <c r="F48" s="1239"/>
      <c r="G48" s="484">
        <v>50.1</v>
      </c>
      <c r="H48" s="638"/>
      <c r="I48" s="638">
        <v>492</v>
      </c>
      <c r="J48" s="446"/>
      <c r="K48" s="638"/>
      <c r="L48" s="638"/>
      <c r="M48" s="638"/>
      <c r="N48" s="1239"/>
      <c r="O48" s="1239"/>
      <c r="P48" s="638"/>
      <c r="Q48" s="638"/>
      <c r="R48" s="638"/>
      <c r="S48" s="484"/>
      <c r="T48" s="638"/>
      <c r="U48" s="638"/>
      <c r="V48" s="638"/>
      <c r="W48" s="638"/>
      <c r="X48" s="638"/>
      <c r="Y48" s="638"/>
      <c r="Z48" s="638"/>
      <c r="AA48" s="638"/>
      <c r="AB48" s="638"/>
      <c r="AC48" s="638"/>
      <c r="AD48" s="638"/>
      <c r="AE48" s="638"/>
      <c r="AF48" s="638"/>
      <c r="AG48" s="446"/>
      <c r="AH48" s="638"/>
      <c r="AI48" s="185"/>
      <c r="AJ48" s="638"/>
      <c r="AK48" s="1239"/>
      <c r="AL48" s="638"/>
      <c r="AM48" s="1239"/>
      <c r="AN48" s="455"/>
      <c r="AO48" s="1239"/>
      <c r="AP48" s="1239"/>
      <c r="AQ48" s="484">
        <f>+FL_1($U$49,$T$47,$G$48,1200,9.28,-1*$F$49)</f>
        <v>0.33536644336926147</v>
      </c>
      <c r="AR48" s="484"/>
      <c r="AS48" s="484"/>
      <c r="AT48" s="484"/>
      <c r="AU48" s="638"/>
      <c r="AV48" s="638"/>
      <c r="AW48" s="638"/>
      <c r="AX48" s="638"/>
      <c r="AY48" s="484"/>
      <c r="AZ48" s="484"/>
      <c r="BA48" s="671"/>
      <c r="BB48" s="1239"/>
      <c r="BC48" s="169"/>
      <c r="BD48" s="1330"/>
      <c r="BE48" s="1330"/>
      <c r="BF48" s="1330"/>
      <c r="BG48" s="1330"/>
    </row>
    <row r="49" spans="1:59" ht="15.75" customHeight="1">
      <c r="A49" s="1239"/>
      <c r="B49" s="435" t="s">
        <v>2540</v>
      </c>
      <c r="C49" s="446">
        <f>C47+G48</f>
        <v>97466.099999999991</v>
      </c>
      <c r="D49" s="173"/>
      <c r="E49" s="447"/>
      <c r="F49" s="447">
        <v>0</v>
      </c>
      <c r="G49" s="484"/>
      <c r="H49" s="1239" t="s">
        <v>2128</v>
      </c>
      <c r="I49" s="1239" t="s">
        <v>624</v>
      </c>
      <c r="J49" s="171"/>
      <c r="K49" s="638"/>
      <c r="L49" s="638" t="s">
        <v>5041</v>
      </c>
      <c r="M49" s="638" t="s">
        <v>2402</v>
      </c>
      <c r="N49" s="1239" t="s">
        <v>140</v>
      </c>
      <c r="O49" s="1239" t="s">
        <v>143</v>
      </c>
      <c r="P49" s="1239"/>
      <c r="Q49" s="638"/>
      <c r="R49" s="638"/>
      <c r="S49" s="484"/>
      <c r="T49" s="638">
        <v>-55</v>
      </c>
      <c r="U49" s="638">
        <v>-30</v>
      </c>
      <c r="V49" s="638"/>
      <c r="W49" s="638">
        <v>2.2999999999999998</v>
      </c>
      <c r="X49" s="638">
        <v>1.4</v>
      </c>
      <c r="Y49" s="638"/>
      <c r="Z49" s="638">
        <v>0.45</v>
      </c>
      <c r="AA49" s="638"/>
      <c r="AB49" s="638"/>
      <c r="AC49" s="638" t="str">
        <f>IF(OR(AT49&gt;8,AT49&lt;-8),"PH",IF(OR(AT49&gt;5,AT49&lt;-5),"PH-Q",IF(OR(AT49&gt;1,AT49&lt;-1),"PH-C")))</f>
        <v>PH</v>
      </c>
      <c r="AD49" s="638"/>
      <c r="AE49" s="638"/>
      <c r="AF49" s="638"/>
      <c r="AG49" s="446"/>
      <c r="AH49" s="638"/>
      <c r="AI49" s="638"/>
      <c r="AJ49" s="638" t="s">
        <v>2553</v>
      </c>
      <c r="AK49" s="638"/>
      <c r="AL49" s="638"/>
      <c r="AM49" s="638" t="s">
        <v>1043</v>
      </c>
      <c r="AN49" s="455">
        <v>5.5</v>
      </c>
      <c r="AO49" s="1239"/>
      <c r="AP49" s="1239"/>
      <c r="AQ49" s="484"/>
      <c r="AR49" s="484"/>
      <c r="AS49" s="484"/>
      <c r="AT49" s="484">
        <f>+ab($U$49,$T$47,$U$51,$G$48,$G$50,-1*$F$49,1200)</f>
        <v>-15.623962554093389</v>
      </c>
      <c r="AU49" s="638"/>
      <c r="AV49" s="638"/>
      <c r="AW49" s="638"/>
      <c r="AX49" s="638"/>
      <c r="AY49" s="484"/>
      <c r="AZ49" s="484"/>
      <c r="BA49" s="671"/>
      <c r="BB49" s="1239" t="str">
        <f>Pole_Calculations!A158</f>
        <v>App.7.1-V01-P9.5.1.7</v>
      </c>
      <c r="BC49" s="169"/>
      <c r="BD49" s="1329"/>
      <c r="BE49" s="1329"/>
      <c r="BF49" s="1330"/>
      <c r="BG49" s="1329"/>
    </row>
    <row r="50" spans="1:59" ht="15.75" customHeight="1">
      <c r="A50" s="577"/>
      <c r="B50" s="574"/>
      <c r="C50" s="573"/>
      <c r="D50" s="573"/>
      <c r="E50" s="575"/>
      <c r="F50" s="577"/>
      <c r="G50" s="576">
        <v>50</v>
      </c>
      <c r="H50" s="614"/>
      <c r="I50" s="574"/>
      <c r="J50" s="446">
        <f>C49+7.5</f>
        <v>97473.599999999991</v>
      </c>
      <c r="K50" s="638" t="s">
        <v>621</v>
      </c>
      <c r="L50" s="574"/>
      <c r="M50" s="574"/>
      <c r="N50" s="577"/>
      <c r="O50" s="577"/>
      <c r="P50" s="574"/>
      <c r="Q50" s="574"/>
      <c r="R50" s="574"/>
      <c r="S50" s="576"/>
      <c r="T50" s="574"/>
      <c r="U50" s="574"/>
      <c r="V50" s="574"/>
      <c r="W50" s="574"/>
      <c r="X50" s="574"/>
      <c r="Y50" s="574"/>
      <c r="Z50" s="574"/>
      <c r="AA50" s="574"/>
      <c r="AB50" s="574"/>
      <c r="AC50" s="574"/>
      <c r="AD50" s="574"/>
      <c r="AE50" s="574"/>
      <c r="AF50" s="574"/>
      <c r="AG50" s="573"/>
      <c r="AH50" s="574"/>
      <c r="AI50" s="615"/>
      <c r="AJ50" s="615" t="s">
        <v>1360</v>
      </c>
      <c r="AK50" s="577"/>
      <c r="AL50" s="574"/>
      <c r="AM50" s="577"/>
      <c r="AN50" s="584"/>
      <c r="AO50" s="577"/>
      <c r="AP50" s="577"/>
      <c r="AQ50" s="576">
        <f>+FL_2($U$51,$U$49,$G$50,1200,9.28,-1*$F$51)</f>
        <v>-0.34449351926915972</v>
      </c>
      <c r="AR50" s="576"/>
      <c r="AS50" s="576"/>
      <c r="AT50" s="576"/>
      <c r="AU50" s="574"/>
      <c r="AV50" s="574"/>
      <c r="AW50" s="574"/>
      <c r="AX50" s="574"/>
      <c r="AY50" s="576"/>
      <c r="AZ50" s="576"/>
      <c r="BA50" s="671"/>
      <c r="BB50" s="577"/>
      <c r="BC50" s="169"/>
      <c r="BD50" s="1330"/>
      <c r="BE50" s="1330"/>
      <c r="BF50" s="1330"/>
      <c r="BG50" s="1330"/>
    </row>
    <row r="51" spans="1:59" ht="15.75" customHeight="1">
      <c r="A51" s="501" t="s">
        <v>2967</v>
      </c>
      <c r="B51" s="716" t="s">
        <v>2541</v>
      </c>
      <c r="C51" s="451">
        <f>C49+G50</f>
        <v>97516.099999999991</v>
      </c>
      <c r="D51" s="453"/>
      <c r="E51" s="452"/>
      <c r="F51" s="453">
        <v>1585</v>
      </c>
      <c r="G51" s="500"/>
      <c r="H51" s="453" t="s">
        <v>619</v>
      </c>
      <c r="I51" s="501"/>
      <c r="J51" s="583"/>
      <c r="K51" s="452" t="s">
        <v>625</v>
      </c>
      <c r="L51" s="452" t="s">
        <v>895</v>
      </c>
      <c r="M51" s="452" t="s">
        <v>2402</v>
      </c>
      <c r="N51" s="501" t="s">
        <v>140</v>
      </c>
      <c r="O51" s="501" t="s">
        <v>143</v>
      </c>
      <c r="P51" s="501"/>
      <c r="Q51" s="452"/>
      <c r="R51" s="452"/>
      <c r="S51" s="500"/>
      <c r="T51" s="452">
        <v>-45</v>
      </c>
      <c r="U51" s="452">
        <v>-30</v>
      </c>
      <c r="V51" s="452"/>
      <c r="W51" s="452">
        <v>2.2999999999999998</v>
      </c>
      <c r="X51" s="452">
        <v>1.4</v>
      </c>
      <c r="Y51" s="452"/>
      <c r="Z51" s="452">
        <v>0.45</v>
      </c>
      <c r="AA51" s="452"/>
      <c r="AB51" s="452"/>
      <c r="AC51" s="452"/>
      <c r="AD51" s="452"/>
      <c r="AE51" s="452"/>
      <c r="AF51" s="452"/>
      <c r="AG51" s="451"/>
      <c r="AH51" s="452"/>
      <c r="AI51" s="452"/>
      <c r="AJ51" s="452" t="s">
        <v>1359</v>
      </c>
      <c r="AK51" s="452"/>
      <c r="AL51" s="452"/>
      <c r="AM51" s="452" t="s">
        <v>1043</v>
      </c>
      <c r="AN51" s="500">
        <v>5.5</v>
      </c>
      <c r="AO51" s="452"/>
      <c r="AP51" s="452"/>
      <c r="AQ51" s="452"/>
      <c r="AR51" s="452"/>
      <c r="AS51" s="452"/>
      <c r="AT51" s="452">
        <f>+ab($U$51,$U$49,$U$53,$G$50,$G$52,-1*$F$51,1200)</f>
        <v>-4.4227131676300848</v>
      </c>
      <c r="AU51" s="452"/>
      <c r="AV51" s="452"/>
      <c r="AW51" s="452"/>
      <c r="AX51" s="452"/>
      <c r="AY51" s="500"/>
      <c r="AZ51" s="500"/>
      <c r="BA51" s="1333"/>
      <c r="BB51" s="452" t="str">
        <f>Pole_Calculations!A158</f>
        <v>App.7.1-V01-P9.5.1.7</v>
      </c>
      <c r="BC51" s="1334"/>
      <c r="BD51" s="1335"/>
      <c r="BE51" s="1335"/>
      <c r="BF51" s="1335"/>
      <c r="BG51" s="1335"/>
    </row>
    <row r="52" spans="1:59" ht="15.75" customHeight="1">
      <c r="A52" s="501"/>
      <c r="B52" s="716"/>
      <c r="C52" s="451"/>
      <c r="D52" s="453"/>
      <c r="E52" s="452"/>
      <c r="F52" s="453"/>
      <c r="G52" s="500">
        <v>45</v>
      </c>
      <c r="H52" s="453"/>
      <c r="I52" s="501"/>
      <c r="J52" s="583"/>
      <c r="K52" s="452"/>
      <c r="L52" s="452"/>
      <c r="M52" s="452"/>
      <c r="N52" s="501"/>
      <c r="O52" s="501"/>
      <c r="P52" s="501"/>
      <c r="Q52" s="452"/>
      <c r="R52" s="452"/>
      <c r="S52" s="500"/>
      <c r="T52" s="452"/>
      <c r="U52" s="452"/>
      <c r="V52" s="452"/>
      <c r="W52" s="452"/>
      <c r="X52" s="452"/>
      <c r="Y52" s="452"/>
      <c r="Z52" s="452"/>
      <c r="AA52" s="452"/>
      <c r="AB52" s="452"/>
      <c r="AC52" s="452"/>
      <c r="AD52" s="452"/>
      <c r="AE52" s="452"/>
      <c r="AF52" s="452"/>
      <c r="AG52" s="451"/>
      <c r="AH52" s="452"/>
      <c r="AI52" s="452"/>
      <c r="AJ52" s="452" t="s">
        <v>1358</v>
      </c>
      <c r="AK52" s="452"/>
      <c r="AL52" s="452"/>
      <c r="AM52" s="452"/>
      <c r="AN52" s="500"/>
      <c r="AO52" s="452"/>
      <c r="AP52" s="452"/>
      <c r="AQ52" s="452">
        <f>+FL_2($U$53,$U$51,$G$52,1200,9.28,-1*$F$53)</f>
        <v>-0.31069252799999991</v>
      </c>
      <c r="AR52" s="452"/>
      <c r="AS52" s="452"/>
      <c r="AT52" s="452"/>
      <c r="AU52" s="452"/>
      <c r="AV52" s="452"/>
      <c r="AW52" s="452"/>
      <c r="AX52" s="452"/>
      <c r="AY52" s="500"/>
      <c r="AZ52" s="500"/>
      <c r="BA52" s="1333"/>
      <c r="BB52" s="452"/>
      <c r="BC52" s="1334"/>
      <c r="BD52" s="1335"/>
      <c r="BE52" s="1335"/>
      <c r="BF52" s="1335"/>
      <c r="BG52" s="1335"/>
    </row>
    <row r="53" spans="1:59" ht="15.75" customHeight="1">
      <c r="A53" s="501" t="s">
        <v>4217</v>
      </c>
      <c r="B53" s="716" t="s">
        <v>2542</v>
      </c>
      <c r="C53" s="451">
        <f>C51+G52</f>
        <v>97561.099999999991</v>
      </c>
      <c r="D53" s="453"/>
      <c r="E53" s="452"/>
      <c r="F53" s="453">
        <v>0</v>
      </c>
      <c r="G53" s="500"/>
      <c r="H53" s="453" t="s">
        <v>142</v>
      </c>
      <c r="I53" s="501" t="s">
        <v>1040</v>
      </c>
      <c r="J53" s="583">
        <f>C53+7.5</f>
        <v>97568.599999999991</v>
      </c>
      <c r="K53" s="452"/>
      <c r="L53" s="452" t="s">
        <v>5039</v>
      </c>
      <c r="M53" s="452" t="s">
        <v>2402</v>
      </c>
      <c r="N53" s="501" t="s">
        <v>143</v>
      </c>
      <c r="O53" s="501" t="s">
        <v>144</v>
      </c>
      <c r="P53" s="501"/>
      <c r="Q53" s="452"/>
      <c r="R53" s="452"/>
      <c r="S53" s="500"/>
      <c r="T53" s="452">
        <v>15</v>
      </c>
      <c r="U53" s="452">
        <v>30</v>
      </c>
      <c r="V53" s="452"/>
      <c r="W53" s="452">
        <v>2.2999999999999998</v>
      </c>
      <c r="X53" s="452">
        <v>1.4</v>
      </c>
      <c r="Y53" s="452"/>
      <c r="Z53" s="452"/>
      <c r="AA53" s="452"/>
      <c r="AB53" s="452"/>
      <c r="AC53" s="452"/>
      <c r="AD53" s="452"/>
      <c r="AE53" s="452"/>
      <c r="AF53" s="452"/>
      <c r="AG53" s="451"/>
      <c r="AH53" s="452"/>
      <c r="AI53" s="452"/>
      <c r="AJ53" s="452" t="s">
        <v>1669</v>
      </c>
      <c r="AK53" s="452"/>
      <c r="AL53" s="452"/>
      <c r="AM53" s="452" t="s">
        <v>1043</v>
      </c>
      <c r="AN53" s="500">
        <v>5.5</v>
      </c>
      <c r="AO53" s="452"/>
      <c r="AP53" s="452"/>
      <c r="AQ53" s="452"/>
      <c r="AR53" s="452"/>
      <c r="AS53" s="452"/>
      <c r="AT53" s="452">
        <f>+ab($U$53,$U$51,$T$55,$G$52,$G$54,-1*$F$53,1200)</f>
        <v>14.100185889180976</v>
      </c>
      <c r="AU53" s="452"/>
      <c r="AV53" s="452"/>
      <c r="AW53" s="452"/>
      <c r="AX53" s="452"/>
      <c r="AY53" s="500"/>
      <c r="AZ53" s="500"/>
      <c r="BA53" s="1333"/>
      <c r="BB53" s="452" t="str">
        <f>Pole_Calculations!A158</f>
        <v>App.7.1-V01-P9.5.1.7</v>
      </c>
      <c r="BC53" s="1334"/>
      <c r="BD53" s="1335"/>
      <c r="BE53" s="1335"/>
      <c r="BF53" s="1335"/>
      <c r="BG53" s="1335"/>
    </row>
    <row r="54" spans="1:59" ht="15.75" customHeight="1">
      <c r="A54" s="501" t="s">
        <v>1852</v>
      </c>
      <c r="B54" s="716"/>
      <c r="C54" s="451"/>
      <c r="D54" s="453"/>
      <c r="E54" s="452"/>
      <c r="F54" s="453"/>
      <c r="G54" s="500">
        <v>40</v>
      </c>
      <c r="H54" s="453"/>
      <c r="I54" s="501"/>
      <c r="J54" s="583">
        <f>C55-7.5</f>
        <v>97593.599999999991</v>
      </c>
      <c r="K54" s="452" t="s">
        <v>621</v>
      </c>
      <c r="L54" s="452"/>
      <c r="M54" s="452"/>
      <c r="N54" s="501"/>
      <c r="O54" s="501"/>
      <c r="P54" s="501"/>
      <c r="Q54" s="452"/>
      <c r="R54" s="452"/>
      <c r="S54" s="500"/>
      <c r="T54" s="452"/>
      <c r="U54" s="452"/>
      <c r="V54" s="452"/>
      <c r="W54" s="452"/>
      <c r="X54" s="452"/>
      <c r="Y54" s="452"/>
      <c r="Z54" s="452"/>
      <c r="AA54" s="452"/>
      <c r="AB54" s="452"/>
      <c r="AC54" s="452"/>
      <c r="AD54" s="452"/>
      <c r="AE54" s="452"/>
      <c r="AF54" s="452"/>
      <c r="AG54" s="451"/>
      <c r="AH54" s="452"/>
      <c r="AI54" s="452"/>
      <c r="AJ54" s="452"/>
      <c r="AK54" s="452"/>
      <c r="AL54" s="452"/>
      <c r="AM54" s="452"/>
      <c r="AN54" s="500"/>
      <c r="AO54" s="452"/>
      <c r="AP54" s="452"/>
      <c r="AQ54" s="452">
        <f>+FL_1($T$55,$U$53,$G$54,1200,9.28,-1*$F$55)</f>
        <v>0.45466666666666666</v>
      </c>
      <c r="AR54" s="452"/>
      <c r="AS54" s="452"/>
      <c r="AT54" s="452"/>
      <c r="AU54" s="452"/>
      <c r="AV54" s="452"/>
      <c r="AW54" s="452"/>
      <c r="AX54" s="452"/>
      <c r="AY54" s="500"/>
      <c r="AZ54" s="500"/>
      <c r="BA54" s="1333"/>
      <c r="BB54" s="452"/>
      <c r="BC54" s="1334"/>
      <c r="BD54" s="1335"/>
      <c r="BE54" s="1335"/>
      <c r="BF54" s="1335"/>
      <c r="BG54" s="1335"/>
    </row>
    <row r="55" spans="1:59" ht="15.75" customHeight="1">
      <c r="A55" s="501"/>
      <c r="B55" s="716" t="s">
        <v>2543</v>
      </c>
      <c r="C55" s="451">
        <f>C53+G54</f>
        <v>97601.099999999991</v>
      </c>
      <c r="D55" s="453"/>
      <c r="E55" s="452"/>
      <c r="F55" s="453">
        <v>0</v>
      </c>
      <c r="G55" s="500"/>
      <c r="H55" s="453" t="s">
        <v>2552</v>
      </c>
      <c r="I55" s="501" t="s">
        <v>623</v>
      </c>
      <c r="J55" s="583"/>
      <c r="K55" s="452"/>
      <c r="L55" s="452" t="s">
        <v>895</v>
      </c>
      <c r="M55" s="452" t="s">
        <v>2402</v>
      </c>
      <c r="N55" s="501" t="s">
        <v>144</v>
      </c>
      <c r="O55" s="501" t="s">
        <v>143</v>
      </c>
      <c r="P55" s="501"/>
      <c r="Q55" s="452"/>
      <c r="R55" s="452"/>
      <c r="S55" s="500"/>
      <c r="T55" s="452">
        <v>30</v>
      </c>
      <c r="U55" s="452">
        <v>15</v>
      </c>
      <c r="V55" s="452"/>
      <c r="W55" s="452">
        <v>1.4</v>
      </c>
      <c r="X55" s="452">
        <v>2.2999999999999998</v>
      </c>
      <c r="Y55" s="452"/>
      <c r="Z55" s="452"/>
      <c r="AA55" s="452"/>
      <c r="AB55" s="452"/>
      <c r="AC55" s="452"/>
      <c r="AD55" s="452"/>
      <c r="AE55" s="452"/>
      <c r="AF55" s="452"/>
      <c r="AG55" s="451"/>
      <c r="AH55" s="452"/>
      <c r="AI55" s="452"/>
      <c r="AJ55" s="452" t="s">
        <v>2553</v>
      </c>
      <c r="AK55" s="452"/>
      <c r="AL55" s="452"/>
      <c r="AM55" s="452" t="s">
        <v>1043</v>
      </c>
      <c r="AN55" s="500">
        <v>5.5</v>
      </c>
      <c r="AO55" s="452"/>
      <c r="AP55" s="452"/>
      <c r="AQ55" s="452"/>
      <c r="AR55" s="452"/>
      <c r="AS55" s="452"/>
      <c r="AT55" s="452">
        <f>+ab($T$55,$U$53,$U$57,$G$54,$G$56,-1*$F$55,1200)</f>
        <v>16.774020075941205</v>
      </c>
      <c r="AU55" s="452"/>
      <c r="AV55" s="452"/>
      <c r="AW55" s="452"/>
      <c r="AX55" s="452"/>
      <c r="AY55" s="500"/>
      <c r="AZ55" s="500"/>
      <c r="BA55" s="1333"/>
      <c r="BB55" s="452" t="str">
        <f>Pole_Calculations!A158</f>
        <v>App.7.1-V01-P9.5.1.7</v>
      </c>
      <c r="BC55" s="1334"/>
      <c r="BD55" s="1335"/>
      <c r="BE55" s="1335"/>
      <c r="BF55" s="1335"/>
      <c r="BG55" s="1335"/>
    </row>
    <row r="56" spans="1:59" ht="15.75" customHeight="1">
      <c r="A56" s="501"/>
      <c r="B56" s="716"/>
      <c r="C56" s="451"/>
      <c r="D56" s="453"/>
      <c r="E56" s="452"/>
      <c r="F56" s="453"/>
      <c r="G56" s="500">
        <v>45</v>
      </c>
      <c r="H56" s="453"/>
      <c r="I56" s="501"/>
      <c r="J56" s="583"/>
      <c r="K56" s="452"/>
      <c r="L56" s="452"/>
      <c r="M56" s="452"/>
      <c r="N56" s="501"/>
      <c r="O56" s="501"/>
      <c r="P56" s="501"/>
      <c r="Q56" s="452"/>
      <c r="R56" s="452"/>
      <c r="S56" s="500"/>
      <c r="T56" s="452"/>
      <c r="U56" s="452"/>
      <c r="V56" s="452"/>
      <c r="W56" s="452"/>
      <c r="X56" s="452"/>
      <c r="Y56" s="452"/>
      <c r="Z56" s="452"/>
      <c r="AA56" s="452"/>
      <c r="AB56" s="452"/>
      <c r="AC56" s="452"/>
      <c r="AD56" s="452"/>
      <c r="AE56" s="452"/>
      <c r="AF56" s="452"/>
      <c r="AG56" s="451"/>
      <c r="AH56" s="452"/>
      <c r="AI56" s="452"/>
      <c r="AJ56" s="452"/>
      <c r="AK56" s="452"/>
      <c r="AL56" s="452"/>
      <c r="AM56" s="452"/>
      <c r="AN56" s="500"/>
      <c r="AO56" s="452"/>
      <c r="AP56" s="452"/>
      <c r="AQ56" s="452">
        <f>+FL_1($U$57,$T$55,$G$56,1200,9.28,-1*$F$57)</f>
        <v>0.30002379691292108</v>
      </c>
      <c r="AR56" s="452"/>
      <c r="AS56" s="452"/>
      <c r="AT56" s="452"/>
      <c r="AU56" s="452"/>
      <c r="AV56" s="452"/>
      <c r="AW56" s="452"/>
      <c r="AX56" s="452"/>
      <c r="AY56" s="500"/>
      <c r="AZ56" s="500"/>
      <c r="BA56" s="1333"/>
      <c r="BB56" s="452"/>
      <c r="BC56" s="1334"/>
      <c r="BD56" s="1335"/>
      <c r="BE56" s="1335"/>
      <c r="BF56" s="1335"/>
      <c r="BG56" s="1335"/>
    </row>
    <row r="57" spans="1:59" ht="15.75" customHeight="1">
      <c r="A57" s="501" t="s">
        <v>2966</v>
      </c>
      <c r="B57" s="716" t="s">
        <v>2544</v>
      </c>
      <c r="C57" s="451">
        <f>C55+G56</f>
        <v>97646.099999999991</v>
      </c>
      <c r="D57" s="453"/>
      <c r="E57" s="452"/>
      <c r="F57" s="453">
        <v>-2595</v>
      </c>
      <c r="G57" s="500"/>
      <c r="H57" s="453" t="s">
        <v>2551</v>
      </c>
      <c r="I57" s="501" t="s">
        <v>1429</v>
      </c>
      <c r="J57" s="583"/>
      <c r="K57" s="452"/>
      <c r="L57" s="452" t="s">
        <v>895</v>
      </c>
      <c r="M57" s="452" t="s">
        <v>2402</v>
      </c>
      <c r="N57" s="501" t="s">
        <v>140</v>
      </c>
      <c r="O57" s="501" t="s">
        <v>143</v>
      </c>
      <c r="P57" s="501" t="s">
        <v>140</v>
      </c>
      <c r="Q57" s="452"/>
      <c r="R57" s="452"/>
      <c r="S57" s="500"/>
      <c r="T57" s="452">
        <v>25</v>
      </c>
      <c r="U57" s="452">
        <v>-20</v>
      </c>
      <c r="V57" s="452">
        <v>-65</v>
      </c>
      <c r="W57" s="452">
        <v>1.4</v>
      </c>
      <c r="X57" s="452">
        <v>1.8</v>
      </c>
      <c r="Y57" s="452">
        <v>2.2999999999999998</v>
      </c>
      <c r="Z57" s="452">
        <v>0.45</v>
      </c>
      <c r="AA57" s="452"/>
      <c r="AB57" s="452">
        <v>0.45</v>
      </c>
      <c r="AC57" s="452"/>
      <c r="AD57" s="452"/>
      <c r="AE57" s="452"/>
      <c r="AF57" s="452"/>
      <c r="AG57" s="451"/>
      <c r="AH57" s="452"/>
      <c r="AI57" s="452"/>
      <c r="AJ57" s="452" t="s">
        <v>2553</v>
      </c>
      <c r="AK57" s="452"/>
      <c r="AL57" s="452"/>
      <c r="AM57" s="452" t="s">
        <v>1043</v>
      </c>
      <c r="AN57" s="500">
        <v>5.5</v>
      </c>
      <c r="AO57" s="452"/>
      <c r="AP57" s="452"/>
      <c r="AQ57" s="452"/>
      <c r="AR57" s="452"/>
      <c r="AS57" s="452"/>
      <c r="AT57" s="452">
        <f>+ab($U$57,$T$55,$T$59,$G$56,$G$58,-1*$F$57,1200)</f>
        <v>86.696237873910491</v>
      </c>
      <c r="AU57" s="452"/>
      <c r="AV57" s="452"/>
      <c r="AW57" s="452"/>
      <c r="AX57" s="452"/>
      <c r="AY57" s="500"/>
      <c r="AZ57" s="500"/>
      <c r="BA57" s="1333"/>
      <c r="BB57" s="452" t="str">
        <f>Pole_Calculations!A158</f>
        <v>App.7.1-V01-P9.5.1.7</v>
      </c>
      <c r="BC57" s="1334"/>
      <c r="BD57" s="1335"/>
      <c r="BE57" s="1335"/>
      <c r="BF57" s="1335"/>
      <c r="BG57" s="1335"/>
    </row>
    <row r="58" spans="1:59" ht="15.75" customHeight="1">
      <c r="A58" s="501" t="s">
        <v>2199</v>
      </c>
      <c r="B58" s="716"/>
      <c r="C58" s="451"/>
      <c r="D58" s="453"/>
      <c r="E58" s="452"/>
      <c r="F58" s="453"/>
      <c r="G58" s="500">
        <v>50</v>
      </c>
      <c r="H58" s="453"/>
      <c r="I58" s="501">
        <v>280</v>
      </c>
      <c r="J58" s="583"/>
      <c r="K58" s="452"/>
      <c r="L58" s="452"/>
      <c r="M58" s="452"/>
      <c r="N58" s="501"/>
      <c r="O58" s="501"/>
      <c r="P58" s="501"/>
      <c r="Q58" s="452"/>
      <c r="R58" s="452"/>
      <c r="S58" s="500"/>
      <c r="T58" s="452"/>
      <c r="U58" s="452"/>
      <c r="V58" s="452"/>
      <c r="W58" s="452"/>
      <c r="X58" s="452"/>
      <c r="Y58" s="452"/>
      <c r="Z58" s="452"/>
      <c r="AA58" s="452"/>
      <c r="AB58" s="452"/>
      <c r="AC58" s="452"/>
      <c r="AD58" s="452"/>
      <c r="AE58" s="452"/>
      <c r="AF58" s="452"/>
      <c r="AG58" s="451"/>
      <c r="AH58" s="452"/>
      <c r="AI58" s="452"/>
      <c r="AJ58" s="452"/>
      <c r="AK58" s="452"/>
      <c r="AL58" s="452"/>
      <c r="AM58" s="452"/>
      <c r="AN58" s="500"/>
      <c r="AO58" s="452"/>
      <c r="AP58" s="452"/>
      <c r="AQ58" s="452">
        <f>+FL_1($T$59,$U$57,$G$58,1200,9.28,-1*$F$59)</f>
        <v>0.15939022459242774</v>
      </c>
      <c r="AR58" s="452"/>
      <c r="AS58" s="452"/>
      <c r="AT58" s="452"/>
      <c r="AU58" s="452"/>
      <c r="AV58" s="452"/>
      <c r="AW58" s="452"/>
      <c r="AX58" s="452"/>
      <c r="AY58" s="500"/>
      <c r="AZ58" s="500"/>
      <c r="BA58" s="1333"/>
      <c r="BB58" s="452"/>
      <c r="BC58" s="1334"/>
      <c r="BD58" s="1335"/>
      <c r="BE58" s="1335"/>
      <c r="BF58" s="1335"/>
      <c r="BG58" s="1335"/>
    </row>
    <row r="59" spans="1:59" ht="15.75" customHeight="1">
      <c r="A59" s="501"/>
      <c r="B59" s="716" t="s">
        <v>2545</v>
      </c>
      <c r="C59" s="451">
        <f>C57+G58</f>
        <v>97696.099999999991</v>
      </c>
      <c r="D59" s="453"/>
      <c r="E59" s="452"/>
      <c r="F59" s="453">
        <v>-2595</v>
      </c>
      <c r="G59" s="500"/>
      <c r="H59" s="453" t="s">
        <v>2139</v>
      </c>
      <c r="I59" s="501" t="s">
        <v>5044</v>
      </c>
      <c r="J59" s="583"/>
      <c r="K59" s="452"/>
      <c r="L59" s="452" t="s">
        <v>896</v>
      </c>
      <c r="M59" s="452" t="s">
        <v>2402</v>
      </c>
      <c r="N59" s="501" t="s">
        <v>144</v>
      </c>
      <c r="O59" s="501" t="s">
        <v>140</v>
      </c>
      <c r="P59" s="501"/>
      <c r="Q59" s="452"/>
      <c r="R59" s="452"/>
      <c r="S59" s="500"/>
      <c r="T59" s="452">
        <v>15</v>
      </c>
      <c r="U59" s="452">
        <v>-30</v>
      </c>
      <c r="V59" s="452"/>
      <c r="W59" s="452">
        <v>1.4</v>
      </c>
      <c r="X59" s="452">
        <v>2.2999999999999998</v>
      </c>
      <c r="Y59" s="452"/>
      <c r="Z59" s="452"/>
      <c r="AA59" s="452">
        <v>0.45</v>
      </c>
      <c r="AB59" s="452"/>
      <c r="AC59" s="452"/>
      <c r="AD59" s="452"/>
      <c r="AE59" s="452"/>
      <c r="AF59" s="452"/>
      <c r="AG59" s="451"/>
      <c r="AH59" s="452"/>
      <c r="AI59" s="452"/>
      <c r="AJ59" s="452" t="s">
        <v>2756</v>
      </c>
      <c r="AK59" s="452"/>
      <c r="AL59" s="452"/>
      <c r="AM59" s="452" t="s">
        <v>1043</v>
      </c>
      <c r="AN59" s="500">
        <v>5.5</v>
      </c>
      <c r="AO59" s="452"/>
      <c r="AP59" s="452"/>
      <c r="AQ59" s="452"/>
      <c r="AR59" s="452"/>
      <c r="AS59" s="452"/>
      <c r="AT59" s="452">
        <f>+ab($T$59,$U$57,$T$61,$G$58,$G$60,-1*$F$59,1200)</f>
        <v>8.7179674592658021</v>
      </c>
      <c r="AU59" s="452"/>
      <c r="AV59" s="452"/>
      <c r="AW59" s="452"/>
      <c r="AX59" s="452"/>
      <c r="AY59" s="500"/>
      <c r="AZ59" s="500"/>
      <c r="BA59" s="1333"/>
      <c r="BB59" s="452" t="str">
        <f>Pole_Calculations!A158</f>
        <v>App.7.1-V01-P9.5.1.7</v>
      </c>
      <c r="BC59" s="1334"/>
      <c r="BD59" s="1335"/>
      <c r="BE59" s="1335"/>
      <c r="BF59" s="1335"/>
      <c r="BG59" s="1335"/>
    </row>
    <row r="60" spans="1:59" ht="15.75" customHeight="1">
      <c r="A60" s="501"/>
      <c r="B60" s="716"/>
      <c r="C60" s="451"/>
      <c r="D60" s="453"/>
      <c r="E60" s="452"/>
      <c r="F60" s="453"/>
      <c r="G60" s="500">
        <v>40</v>
      </c>
      <c r="H60" s="453"/>
      <c r="I60" s="501">
        <f>C61-C43</f>
        <v>415.10000000000582</v>
      </c>
      <c r="J60" s="583"/>
      <c r="K60" s="452"/>
      <c r="L60" s="452"/>
      <c r="M60" s="452"/>
      <c r="N60" s="501"/>
      <c r="O60" s="501"/>
      <c r="P60" s="501"/>
      <c r="Q60" s="452"/>
      <c r="R60" s="452"/>
      <c r="S60" s="500"/>
      <c r="T60" s="452"/>
      <c r="U60" s="452"/>
      <c r="V60" s="452"/>
      <c r="W60" s="452"/>
      <c r="X60" s="452"/>
      <c r="Y60" s="452"/>
      <c r="Z60" s="452"/>
      <c r="AA60" s="452"/>
      <c r="AB60" s="452"/>
      <c r="AC60" s="452"/>
      <c r="AD60" s="452"/>
      <c r="AE60" s="452"/>
      <c r="AF60" s="452"/>
      <c r="AG60" s="451"/>
      <c r="AH60" s="452"/>
      <c r="AI60" s="452"/>
      <c r="AJ60" s="452"/>
      <c r="AK60" s="452"/>
      <c r="AL60" s="452"/>
      <c r="AM60" s="452"/>
      <c r="AN60" s="500"/>
      <c r="AO60" s="452"/>
      <c r="AP60" s="452"/>
      <c r="AQ60" s="452">
        <f>+FL_1($T$61,$T$59,$G$60,1200,9.28,-1*$F$61)</f>
        <v>0.28564905728617157</v>
      </c>
      <c r="AR60" s="452"/>
      <c r="AS60" s="452"/>
      <c r="AT60" s="452"/>
      <c r="AU60" s="452"/>
      <c r="AV60" s="452"/>
      <c r="AW60" s="452"/>
      <c r="AX60" s="452"/>
      <c r="AY60" s="500"/>
      <c r="AZ60" s="500"/>
      <c r="BA60" s="1333"/>
      <c r="BB60" s="452"/>
      <c r="BC60" s="1334"/>
      <c r="BD60" s="1335"/>
      <c r="BE60" s="1335"/>
      <c r="BF60" s="1335"/>
      <c r="BG60" s="1335"/>
    </row>
    <row r="61" spans="1:59" ht="15.75" customHeight="1">
      <c r="A61" s="501"/>
      <c r="B61" s="716" t="s">
        <v>2546</v>
      </c>
      <c r="C61" s="451">
        <f>C59+G60</f>
        <v>97736.099999999991</v>
      </c>
      <c r="D61" s="453"/>
      <c r="E61" s="452"/>
      <c r="F61" s="453">
        <v>-2595</v>
      </c>
      <c r="G61" s="500"/>
      <c r="H61" s="453" t="s">
        <v>138</v>
      </c>
      <c r="I61" s="501" t="s">
        <v>623</v>
      </c>
      <c r="J61" s="583"/>
      <c r="K61" s="452"/>
      <c r="L61" s="452" t="s">
        <v>899</v>
      </c>
      <c r="M61" s="452" t="s">
        <v>2402</v>
      </c>
      <c r="N61" s="501" t="s">
        <v>144</v>
      </c>
      <c r="O61" s="501"/>
      <c r="P61" s="501"/>
      <c r="Q61" s="452"/>
      <c r="R61" s="452"/>
      <c r="S61" s="500"/>
      <c r="T61" s="452">
        <v>25</v>
      </c>
      <c r="U61" s="452"/>
      <c r="V61" s="452"/>
      <c r="W61" s="452">
        <v>1.4</v>
      </c>
      <c r="X61" s="452"/>
      <c r="Y61" s="452"/>
      <c r="Z61" s="452"/>
      <c r="AA61" s="452"/>
      <c r="AB61" s="452"/>
      <c r="AC61" s="452"/>
      <c r="AD61" s="452"/>
      <c r="AE61" s="452"/>
      <c r="AF61" s="452"/>
      <c r="AG61" s="451"/>
      <c r="AH61" s="452"/>
      <c r="AI61" s="452"/>
      <c r="AJ61" s="452" t="s">
        <v>2553</v>
      </c>
      <c r="AK61" s="452"/>
      <c r="AL61" s="452"/>
      <c r="AM61" s="452" t="s">
        <v>1043</v>
      </c>
      <c r="AN61" s="500">
        <v>5.5</v>
      </c>
      <c r="AO61" s="452"/>
      <c r="AP61" s="452"/>
      <c r="AQ61" s="452"/>
      <c r="AR61" s="452"/>
      <c r="AS61" s="452"/>
      <c r="AT61" s="452">
        <f>+ab($T$61,$U$59,$T$63,$G$60,$G$62,-1*$F$61,1200)</f>
        <v>6.3509309162029215</v>
      </c>
      <c r="AU61" s="452"/>
      <c r="AV61" s="452"/>
      <c r="AW61" s="452"/>
      <c r="AX61" s="452"/>
      <c r="AY61" s="500"/>
      <c r="AZ61" s="500"/>
      <c r="BA61" s="1333"/>
      <c r="BB61" s="452" t="str">
        <f>Pole_Calculations!A159</f>
        <v>App.7.1-V01-P9.5.1.8</v>
      </c>
      <c r="BC61" s="1334"/>
      <c r="BD61" s="1335"/>
      <c r="BE61" s="1335"/>
      <c r="BF61" s="1335"/>
      <c r="BG61" s="1335"/>
    </row>
    <row r="62" spans="1:59" ht="15.75" customHeight="1">
      <c r="A62" s="501"/>
      <c r="B62" s="716"/>
      <c r="C62" s="451"/>
      <c r="D62" s="453"/>
      <c r="E62" s="452"/>
      <c r="F62" s="453"/>
      <c r="G62" s="500">
        <v>50</v>
      </c>
      <c r="H62" s="453"/>
      <c r="I62" s="501"/>
      <c r="J62" s="583">
        <f>C61+7.5</f>
        <v>97743.599999999991</v>
      </c>
      <c r="K62" s="452" t="s">
        <v>621</v>
      </c>
      <c r="L62" s="452"/>
      <c r="M62" s="452"/>
      <c r="N62" s="501"/>
      <c r="O62" s="501"/>
      <c r="P62" s="501"/>
      <c r="Q62" s="452"/>
      <c r="R62" s="452"/>
      <c r="S62" s="500"/>
      <c r="T62" s="452"/>
      <c r="U62" s="452"/>
      <c r="V62" s="452"/>
      <c r="W62" s="452"/>
      <c r="X62" s="452"/>
      <c r="Y62" s="452"/>
      <c r="Z62" s="452"/>
      <c r="AA62" s="452"/>
      <c r="AB62" s="452"/>
      <c r="AC62" s="452"/>
      <c r="AD62" s="452"/>
      <c r="AE62" s="452"/>
      <c r="AF62" s="452"/>
      <c r="AG62" s="451"/>
      <c r="AH62" s="452"/>
      <c r="AI62" s="452"/>
      <c r="AJ62" s="452"/>
      <c r="AK62" s="452"/>
      <c r="AL62" s="452"/>
      <c r="AM62" s="452"/>
      <c r="AN62" s="500"/>
      <c r="AO62" s="452"/>
      <c r="AP62" s="452"/>
      <c r="AQ62" s="452">
        <f>+FL_1($T$63,$T$61,$G$62,1200,9.28,-1*$F$63)</f>
        <v>0.39752877479146864</v>
      </c>
      <c r="AR62" s="452"/>
      <c r="AS62" s="452"/>
      <c r="AT62" s="452"/>
      <c r="AU62" s="452"/>
      <c r="AV62" s="452"/>
      <c r="AW62" s="452"/>
      <c r="AX62" s="452"/>
      <c r="AY62" s="500"/>
      <c r="AZ62" s="500"/>
      <c r="BA62" s="1333"/>
      <c r="BB62" s="452"/>
      <c r="BC62" s="1334"/>
      <c r="BD62" s="1335"/>
      <c r="BE62" s="1335"/>
      <c r="BF62" s="1335"/>
      <c r="BG62" s="1335"/>
    </row>
    <row r="63" spans="1:59" ht="15.75" customHeight="1">
      <c r="A63" s="501"/>
      <c r="B63" s="716" t="s">
        <v>2547</v>
      </c>
      <c r="C63" s="451">
        <f>C61+G62</f>
        <v>97786.099999999991</v>
      </c>
      <c r="D63" s="453"/>
      <c r="E63" s="452"/>
      <c r="F63" s="453">
        <v>-2595</v>
      </c>
      <c r="G63" s="500"/>
      <c r="H63" s="453"/>
      <c r="I63" s="501"/>
      <c r="J63" s="583"/>
      <c r="K63" s="452"/>
      <c r="L63" s="452" t="s">
        <v>230</v>
      </c>
      <c r="M63" s="452" t="s">
        <v>2402</v>
      </c>
      <c r="N63" s="501" t="s">
        <v>144</v>
      </c>
      <c r="O63" s="501"/>
      <c r="P63" s="501"/>
      <c r="Q63" s="452"/>
      <c r="R63" s="452"/>
      <c r="S63" s="500"/>
      <c r="T63" s="452">
        <v>30</v>
      </c>
      <c r="U63" s="452"/>
      <c r="V63" s="452"/>
      <c r="W63" s="452">
        <v>1.4</v>
      </c>
      <c r="X63" s="452"/>
      <c r="Y63" s="452"/>
      <c r="Z63" s="452"/>
      <c r="AA63" s="452"/>
      <c r="AB63" s="452"/>
      <c r="AC63" s="452"/>
      <c r="AD63" s="452"/>
      <c r="AE63" s="452"/>
      <c r="AF63" s="452"/>
      <c r="AG63" s="451"/>
      <c r="AH63" s="452"/>
      <c r="AI63" s="452"/>
      <c r="AJ63" s="452" t="s">
        <v>2553</v>
      </c>
      <c r="AK63" s="452"/>
      <c r="AL63" s="452"/>
      <c r="AM63" s="452" t="s">
        <v>1043</v>
      </c>
      <c r="AN63" s="500">
        <v>5.5</v>
      </c>
      <c r="AO63" s="452"/>
      <c r="AP63" s="452"/>
      <c r="AQ63" s="452"/>
      <c r="AR63" s="452"/>
      <c r="AS63" s="452"/>
      <c r="AT63" s="452" t="e">
        <f>+ab($T$63,$T$61,$T$65,$G$62,#REF!,-1*$F$63,1200)</f>
        <v>#VALUE!</v>
      </c>
      <c r="AU63" s="452"/>
      <c r="AV63" s="452"/>
      <c r="AW63" s="452"/>
      <c r="AX63" s="452"/>
      <c r="AY63" s="500"/>
      <c r="AZ63" s="500"/>
      <c r="BA63" s="1333"/>
      <c r="BB63" s="452" t="str">
        <f>Pole_Calculations!A154</f>
        <v>App.7.1-V01-P9.5.1.3</v>
      </c>
      <c r="BC63" s="1334"/>
      <c r="BD63" s="1335"/>
      <c r="BE63" s="1335"/>
      <c r="BF63" s="1335"/>
      <c r="BG63" s="1335"/>
    </row>
    <row r="64" spans="1:59" ht="15.75" customHeight="1">
      <c r="A64" s="501"/>
      <c r="B64" s="716"/>
      <c r="C64" s="451"/>
      <c r="D64" s="453"/>
      <c r="E64" s="452"/>
      <c r="F64" s="453"/>
      <c r="G64" s="500">
        <v>55</v>
      </c>
      <c r="H64" s="453"/>
      <c r="I64" s="501"/>
      <c r="J64" s="583"/>
      <c r="K64" s="452"/>
      <c r="L64" s="452"/>
      <c r="M64" s="452"/>
      <c r="N64" s="501"/>
      <c r="O64" s="501"/>
      <c r="P64" s="501"/>
      <c r="Q64" s="452"/>
      <c r="R64" s="452"/>
      <c r="S64" s="500"/>
      <c r="T64" s="452"/>
      <c r="U64" s="452"/>
      <c r="V64" s="452"/>
      <c r="W64" s="452"/>
      <c r="X64" s="452"/>
      <c r="Y64" s="452"/>
      <c r="Z64" s="452"/>
      <c r="AA64" s="452"/>
      <c r="AB64" s="452"/>
      <c r="AC64" s="452"/>
      <c r="AD64" s="452"/>
      <c r="AE64" s="452"/>
      <c r="AF64" s="452"/>
      <c r="AG64" s="451"/>
      <c r="AH64" s="452"/>
      <c r="AI64" s="452"/>
      <c r="AJ64" s="452" t="s">
        <v>1453</v>
      </c>
      <c r="AK64" s="452"/>
      <c r="AL64" s="452"/>
      <c r="AM64" s="452"/>
      <c r="AN64" s="500"/>
      <c r="AO64" s="452"/>
      <c r="AP64" s="452"/>
      <c r="AQ64" s="452" t="e">
        <f>+FL_1($T$65,$T$63,$G$64,1200,9.28,-1*#REF!)</f>
        <v>#VALUE!</v>
      </c>
      <c r="AR64" s="452"/>
      <c r="AS64" s="452"/>
      <c r="AT64" s="452"/>
      <c r="AU64" s="452"/>
      <c r="AV64" s="452"/>
      <c r="AW64" s="452"/>
      <c r="AX64" s="452"/>
      <c r="AY64" s="500"/>
      <c r="AZ64" s="500"/>
      <c r="BA64" s="1333"/>
      <c r="BB64" s="452"/>
      <c r="BC64" s="1334"/>
      <c r="BD64" s="1335"/>
      <c r="BE64" s="1335"/>
      <c r="BF64" s="1335"/>
      <c r="BG64" s="1335"/>
    </row>
    <row r="65" spans="1:59" ht="15.75" customHeight="1">
      <c r="A65" s="501"/>
      <c r="B65" s="716" t="s">
        <v>2548</v>
      </c>
      <c r="C65" s="451">
        <f>C63+G64</f>
        <v>97841.099999999991</v>
      </c>
      <c r="D65" s="453"/>
      <c r="E65" s="452"/>
      <c r="F65" s="453">
        <v>0</v>
      </c>
      <c r="G65" s="500"/>
      <c r="H65" s="453"/>
      <c r="I65" s="501"/>
      <c r="J65" s="583"/>
      <c r="K65" s="452"/>
      <c r="L65" s="452" t="s">
        <v>230</v>
      </c>
      <c r="M65" s="452" t="s">
        <v>2402</v>
      </c>
      <c r="N65" s="501" t="s">
        <v>143</v>
      </c>
      <c r="O65" s="501"/>
      <c r="P65" s="501"/>
      <c r="Q65" s="452"/>
      <c r="R65" s="452"/>
      <c r="S65" s="500"/>
      <c r="T65" s="452">
        <v>-30</v>
      </c>
      <c r="U65" s="452"/>
      <c r="V65" s="452"/>
      <c r="W65" s="452">
        <v>1.4</v>
      </c>
      <c r="X65" s="452"/>
      <c r="Y65" s="452"/>
      <c r="Z65" s="452"/>
      <c r="AA65" s="452"/>
      <c r="AB65" s="452"/>
      <c r="AC65" s="452"/>
      <c r="AD65" s="452"/>
      <c r="AE65" s="452"/>
      <c r="AF65" s="452"/>
      <c r="AG65" s="451"/>
      <c r="AH65" s="452"/>
      <c r="AI65" s="452"/>
      <c r="AJ65" s="452"/>
      <c r="AK65" s="452"/>
      <c r="AL65" s="452"/>
      <c r="AM65" s="452" t="s">
        <v>1043</v>
      </c>
      <c r="AN65" s="500">
        <v>5.5</v>
      </c>
      <c r="AO65" s="452"/>
      <c r="AP65" s="452"/>
      <c r="AQ65" s="452"/>
      <c r="AR65" s="452"/>
      <c r="AS65" s="452"/>
      <c r="AT65" s="452" t="e">
        <f>+ab($T$65,#REF!,#REF!,#REF!,#REF!,-1*$F$65,1200)</f>
        <v>#VALUE!</v>
      </c>
      <c r="AU65" s="452"/>
      <c r="AV65" s="452"/>
      <c r="AW65" s="452"/>
      <c r="AX65" s="452"/>
      <c r="AY65" s="500"/>
      <c r="AZ65" s="500"/>
      <c r="BA65" s="1333"/>
      <c r="BB65" s="452" t="str">
        <f>Pole_Calculations!A154</f>
        <v>App.7.1-V01-P9.5.1.3</v>
      </c>
      <c r="BC65" s="1334"/>
      <c r="BD65" s="1335"/>
      <c r="BE65" s="1335"/>
      <c r="BF65" s="1335"/>
      <c r="BG65" s="1335"/>
    </row>
    <row r="66" spans="1:59" ht="15.75" customHeight="1">
      <c r="C66" s="617"/>
      <c r="S66" s="454"/>
      <c r="BA66" s="1305"/>
      <c r="BC66" s="169"/>
    </row>
    <row r="67" spans="1:59" ht="15.75" customHeight="1">
      <c r="C67" s="617"/>
      <c r="S67" s="454"/>
      <c r="BA67" s="1305"/>
      <c r="BC67" s="169"/>
    </row>
    <row r="68" spans="1:59" ht="15.75" customHeight="1">
      <c r="C68" s="617"/>
      <c r="S68" s="454"/>
      <c r="BA68" s="1305"/>
      <c r="BC68" s="169"/>
    </row>
    <row r="69" spans="1:59" ht="15.75" customHeight="1">
      <c r="C69" s="617"/>
      <c r="S69" s="454"/>
      <c r="BA69" s="1305"/>
      <c r="BC69" s="169"/>
    </row>
    <row r="70" spans="1:59" ht="15.75" customHeight="1">
      <c r="C70" s="617"/>
      <c r="S70" s="454"/>
      <c r="BA70" s="1305"/>
      <c r="BC70" s="169"/>
    </row>
    <row r="71" spans="1:59" ht="15.75" customHeight="1">
      <c r="C71" s="617"/>
      <c r="S71" s="454"/>
      <c r="BA71" s="1305"/>
      <c r="BC71" s="169"/>
    </row>
    <row r="72" spans="1:59" ht="15.75" customHeight="1">
      <c r="C72" s="617"/>
      <c r="S72" s="454"/>
      <c r="BA72" s="1305"/>
      <c r="BC72" s="169"/>
    </row>
    <row r="73" spans="1:59" ht="15.75" customHeight="1">
      <c r="C73" s="617"/>
      <c r="S73" s="454"/>
      <c r="BA73" s="1305"/>
      <c r="BC73" s="169"/>
    </row>
    <row r="74" spans="1:59" ht="15.75" customHeight="1">
      <c r="C74" s="617"/>
      <c r="S74" s="454"/>
      <c r="BA74" s="1305"/>
      <c r="BC74" s="169"/>
    </row>
    <row r="75" spans="1:59" ht="15.75" customHeight="1">
      <c r="C75" s="617"/>
      <c r="S75" s="454"/>
      <c r="BA75" s="1305"/>
      <c r="BC75" s="169"/>
    </row>
    <row r="76" spans="1:59" ht="15.75" customHeight="1">
      <c r="C76" s="617"/>
      <c r="S76" s="454"/>
      <c r="BA76" s="1305"/>
      <c r="BC76" s="169"/>
    </row>
    <row r="77" spans="1:59" ht="15.75" customHeight="1">
      <c r="C77" s="617"/>
      <c r="S77" s="454"/>
      <c r="BA77" s="1305"/>
      <c r="BC77" s="169"/>
    </row>
    <row r="78" spans="1:59" ht="15.75" customHeight="1">
      <c r="C78" s="617"/>
      <c r="S78" s="454"/>
      <c r="BA78" s="1305"/>
      <c r="BC78" s="169"/>
    </row>
    <row r="79" spans="1:59" ht="15.75" customHeight="1">
      <c r="C79" s="617"/>
      <c r="S79" s="454"/>
      <c r="BA79" s="1305"/>
      <c r="BC79" s="169"/>
    </row>
    <row r="80" spans="1:59" ht="15.75" customHeight="1">
      <c r="C80" s="617"/>
      <c r="S80" s="454"/>
      <c r="BA80" s="1305"/>
      <c r="BC80" s="169"/>
    </row>
    <row r="81" spans="3:55" ht="15.75" customHeight="1">
      <c r="C81" s="617"/>
      <c r="S81" s="454"/>
      <c r="BA81" s="1305"/>
      <c r="BC81" s="169"/>
    </row>
    <row r="82" spans="3:55" ht="15.75" customHeight="1">
      <c r="C82" s="617"/>
      <c r="S82" s="454"/>
      <c r="BA82" s="1305"/>
      <c r="BC82" s="169"/>
    </row>
    <row r="83" spans="3:55" ht="15.75" customHeight="1">
      <c r="C83" s="617"/>
      <c r="S83" s="454"/>
      <c r="BA83" s="1305"/>
      <c r="BC83" s="169"/>
    </row>
    <row r="84" spans="3:55" ht="15.75" customHeight="1">
      <c r="C84" s="617"/>
      <c r="S84" s="454"/>
      <c r="BA84" s="1305"/>
      <c r="BC84" s="169"/>
    </row>
    <row r="85" spans="3:55" ht="15.75" customHeight="1">
      <c r="C85" s="617"/>
      <c r="S85" s="454"/>
      <c r="BA85" s="1305"/>
      <c r="BC85" s="169"/>
    </row>
    <row r="86" spans="3:55" ht="15.75" customHeight="1">
      <c r="C86" s="617"/>
      <c r="S86" s="454"/>
      <c r="BA86" s="1305"/>
      <c r="BC86" s="169"/>
    </row>
    <row r="87" spans="3:55" ht="15.75" customHeight="1">
      <c r="C87" s="617"/>
      <c r="S87" s="454"/>
      <c r="BA87" s="1305"/>
      <c r="BC87" s="169"/>
    </row>
    <row r="88" spans="3:55" ht="15.75" customHeight="1">
      <c r="C88" s="617"/>
      <c r="S88" s="454"/>
      <c r="BA88" s="1305"/>
      <c r="BC88" s="169"/>
    </row>
    <row r="89" spans="3:55" ht="15.75" customHeight="1">
      <c r="C89" s="617"/>
      <c r="S89" s="454"/>
      <c r="BA89" s="1305"/>
      <c r="BC89" s="169"/>
    </row>
    <row r="90" spans="3:55" ht="15.75" customHeight="1">
      <c r="C90" s="617"/>
      <c r="S90" s="454"/>
      <c r="BA90" s="1305"/>
      <c r="BC90" s="169"/>
    </row>
    <row r="91" spans="3:55" ht="15.75" customHeight="1">
      <c r="C91" s="617"/>
      <c r="S91" s="454"/>
      <c r="BA91" s="1305"/>
      <c r="BC91" s="169"/>
    </row>
    <row r="92" spans="3:55" ht="15.75" customHeight="1">
      <c r="C92" s="617"/>
      <c r="S92" s="454"/>
      <c r="BA92" s="1305"/>
      <c r="BC92" s="169"/>
    </row>
    <row r="93" spans="3:55" ht="15.75" customHeight="1">
      <c r="C93" s="617"/>
      <c r="S93" s="454"/>
      <c r="BA93" s="1305"/>
      <c r="BC93" s="169"/>
    </row>
    <row r="94" spans="3:55" ht="15.75" customHeight="1">
      <c r="C94" s="617"/>
      <c r="S94" s="454"/>
      <c r="BA94" s="1305"/>
      <c r="BC94" s="169"/>
    </row>
    <row r="95" spans="3:55" ht="15.75" customHeight="1">
      <c r="C95" s="617"/>
      <c r="S95" s="454"/>
      <c r="BA95" s="1305"/>
      <c r="BC95" s="169"/>
    </row>
    <row r="96" spans="3:55" ht="15.75" customHeight="1">
      <c r="C96" s="617"/>
      <c r="S96" s="454"/>
      <c r="BA96" s="1305"/>
      <c r="BC96" s="169"/>
    </row>
    <row r="97" spans="3:55" ht="15.75" customHeight="1">
      <c r="C97" s="617"/>
      <c r="S97" s="454"/>
      <c r="BA97" s="1305"/>
      <c r="BC97" s="169"/>
    </row>
    <row r="98" spans="3:55" ht="15.75" customHeight="1">
      <c r="C98" s="617"/>
      <c r="S98" s="454"/>
      <c r="BA98" s="1305"/>
      <c r="BC98" s="169"/>
    </row>
    <row r="99" spans="3:55" ht="15.75" customHeight="1">
      <c r="C99" s="617"/>
      <c r="S99" s="454"/>
      <c r="BA99" s="1305"/>
      <c r="BC99" s="169"/>
    </row>
    <row r="100" spans="3:55" ht="15.75" customHeight="1">
      <c r="C100" s="617"/>
      <c r="S100" s="454"/>
      <c r="BA100" s="1305"/>
      <c r="BC100" s="169"/>
    </row>
    <row r="101" spans="3:55" ht="15.75" customHeight="1">
      <c r="C101" s="617"/>
      <c r="S101" s="454"/>
      <c r="BA101" s="1305"/>
      <c r="BC101" s="169"/>
    </row>
    <row r="102" spans="3:55" ht="15.75" customHeight="1">
      <c r="C102" s="617"/>
      <c r="S102" s="454"/>
      <c r="BA102" s="1305"/>
      <c r="BC102" s="169"/>
    </row>
    <row r="103" spans="3:55" ht="15.75" customHeight="1">
      <c r="C103" s="617"/>
      <c r="S103" s="454"/>
      <c r="BA103" s="1305"/>
      <c r="BC103" s="169"/>
    </row>
    <row r="104" spans="3:55" ht="15.75" customHeight="1">
      <c r="C104" s="617"/>
      <c r="S104" s="454"/>
      <c r="BA104" s="1305"/>
      <c r="BC104" s="169"/>
    </row>
    <row r="105" spans="3:55" ht="15.75" customHeight="1">
      <c r="C105" s="617"/>
      <c r="S105" s="454"/>
      <c r="BA105" s="1305"/>
      <c r="BC105" s="169"/>
    </row>
    <row r="106" spans="3:55" ht="15.75" customHeight="1">
      <c r="C106" s="617"/>
      <c r="S106" s="454"/>
      <c r="BA106" s="1305"/>
      <c r="BC106" s="169"/>
    </row>
    <row r="107" spans="3:55" ht="15.75" customHeight="1">
      <c r="C107" s="617"/>
      <c r="S107" s="454"/>
      <c r="BA107" s="1305"/>
      <c r="BC107" s="169"/>
    </row>
    <row r="108" spans="3:55" ht="15.75" customHeight="1">
      <c r="C108" s="617"/>
      <c r="S108" s="454"/>
      <c r="BA108" s="1305"/>
      <c r="BC108" s="169"/>
    </row>
    <row r="109" spans="3:55" ht="15.75" customHeight="1">
      <c r="C109" s="617"/>
      <c r="S109" s="454"/>
      <c r="BA109" s="1305"/>
      <c r="BC109" s="169"/>
    </row>
    <row r="110" spans="3:55" ht="15.75" customHeight="1">
      <c r="C110" s="617"/>
      <c r="S110" s="454"/>
      <c r="BA110" s="1305"/>
      <c r="BC110" s="169"/>
    </row>
    <row r="111" spans="3:55" ht="15.75" customHeight="1">
      <c r="C111" s="617"/>
      <c r="S111" s="454"/>
      <c r="BA111" s="1305"/>
      <c r="BC111" s="169"/>
    </row>
    <row r="112" spans="3:55" ht="15.75" customHeight="1">
      <c r="C112" s="617"/>
      <c r="S112" s="454"/>
      <c r="BA112" s="1305"/>
      <c r="BC112" s="169"/>
    </row>
    <row r="113" spans="3:55" ht="15.75" customHeight="1">
      <c r="C113" s="617"/>
      <c r="S113" s="454"/>
      <c r="BA113" s="1305"/>
      <c r="BC113" s="169"/>
    </row>
    <row r="114" spans="3:55" ht="15.75" customHeight="1">
      <c r="C114" s="617"/>
      <c r="S114" s="454"/>
      <c r="BA114" s="1305"/>
      <c r="BC114" s="169"/>
    </row>
    <row r="115" spans="3:55" ht="15.75" customHeight="1">
      <c r="C115" s="617"/>
      <c r="S115" s="454"/>
      <c r="BA115" s="1305"/>
      <c r="BC115" s="169"/>
    </row>
    <row r="116" spans="3:55" ht="15.75" customHeight="1">
      <c r="C116" s="617"/>
      <c r="S116" s="454"/>
      <c r="BA116" s="1305"/>
      <c r="BC116" s="169"/>
    </row>
    <row r="117" spans="3:55" ht="15.75" customHeight="1">
      <c r="C117" s="617"/>
      <c r="S117" s="454"/>
      <c r="BA117" s="1305"/>
      <c r="BC117" s="169"/>
    </row>
    <row r="118" spans="3:55" ht="15.75" customHeight="1">
      <c r="C118" s="617"/>
      <c r="S118" s="454"/>
      <c r="BA118" s="1305"/>
      <c r="BC118" s="169"/>
    </row>
    <row r="119" spans="3:55" ht="15.75" customHeight="1">
      <c r="C119" s="617"/>
      <c r="S119" s="454"/>
      <c r="BA119" s="1305"/>
      <c r="BC119" s="169"/>
    </row>
    <row r="120" spans="3:55" ht="15.75" customHeight="1">
      <c r="C120" s="617"/>
      <c r="S120" s="454"/>
      <c r="BA120" s="1305"/>
      <c r="BC120" s="169"/>
    </row>
    <row r="121" spans="3:55" ht="15.75" customHeight="1">
      <c r="C121" s="617"/>
      <c r="S121" s="454"/>
      <c r="BA121" s="1305"/>
      <c r="BC121" s="169"/>
    </row>
    <row r="122" spans="3:55" ht="15.75" customHeight="1">
      <c r="C122" s="617"/>
      <c r="S122" s="454"/>
      <c r="BA122" s="1305"/>
      <c r="BC122" s="169"/>
    </row>
    <row r="123" spans="3:55" ht="15.75" customHeight="1">
      <c r="C123" s="617"/>
      <c r="S123" s="454"/>
      <c r="BA123" s="1305"/>
      <c r="BC123" s="169"/>
    </row>
    <row r="124" spans="3:55" ht="15.75" customHeight="1">
      <c r="C124" s="617"/>
      <c r="S124" s="454"/>
      <c r="BA124" s="1305"/>
      <c r="BC124" s="169"/>
    </row>
    <row r="125" spans="3:55" ht="15.75" customHeight="1">
      <c r="C125" s="617"/>
      <c r="S125" s="454"/>
      <c r="BA125" s="1305"/>
      <c r="BC125" s="169"/>
    </row>
    <row r="126" spans="3:55" ht="15.75" customHeight="1">
      <c r="C126" s="617"/>
      <c r="S126" s="454"/>
      <c r="BA126" s="1305"/>
      <c r="BC126" s="169"/>
    </row>
    <row r="127" spans="3:55" ht="15.75" customHeight="1">
      <c r="C127" s="617"/>
      <c r="S127" s="454"/>
      <c r="BA127" s="1305"/>
      <c r="BC127" s="169"/>
    </row>
    <row r="128" spans="3:55" ht="15.75" customHeight="1">
      <c r="C128" s="617"/>
      <c r="S128" s="454"/>
      <c r="BA128" s="1305"/>
      <c r="BC128" s="169"/>
    </row>
    <row r="129" spans="3:55" ht="15.75" customHeight="1">
      <c r="C129" s="617"/>
      <c r="S129" s="454"/>
      <c r="BA129" s="1305"/>
      <c r="BC129" s="169"/>
    </row>
    <row r="130" spans="3:55" ht="15.75" customHeight="1">
      <c r="C130" s="617"/>
      <c r="S130" s="454"/>
      <c r="BA130" s="1305"/>
      <c r="BC130" s="169"/>
    </row>
    <row r="131" spans="3:55" ht="15.75" customHeight="1">
      <c r="C131" s="617"/>
      <c r="S131" s="454"/>
      <c r="BA131" s="1305"/>
      <c r="BC131" s="169"/>
    </row>
    <row r="132" spans="3:55" ht="15.75" customHeight="1">
      <c r="C132" s="617"/>
      <c r="S132" s="454"/>
      <c r="BA132" s="1305"/>
      <c r="BC132" s="169"/>
    </row>
    <row r="133" spans="3:55" ht="15.75" customHeight="1">
      <c r="C133" s="617"/>
      <c r="S133" s="454"/>
      <c r="BA133" s="1305"/>
      <c r="BC133" s="169"/>
    </row>
    <row r="134" spans="3:55" ht="15.75" customHeight="1">
      <c r="C134" s="617"/>
      <c r="S134" s="454"/>
      <c r="BA134" s="1305"/>
      <c r="BC134" s="169"/>
    </row>
    <row r="135" spans="3:55" ht="15.75" customHeight="1">
      <c r="C135" s="617"/>
      <c r="S135" s="454"/>
      <c r="BA135" s="1305"/>
      <c r="BC135" s="169"/>
    </row>
    <row r="136" spans="3:55" ht="15.75" customHeight="1">
      <c r="S136" s="454"/>
      <c r="BA136" s="1305"/>
      <c r="BC136" s="169"/>
    </row>
    <row r="137" spans="3:55" ht="15.75" customHeight="1">
      <c r="S137" s="454"/>
      <c r="BA137" s="1305"/>
      <c r="BC137" s="169"/>
    </row>
    <row r="138" spans="3:55" ht="15.75" customHeight="1">
      <c r="S138" s="454"/>
      <c r="BA138" s="1305"/>
      <c r="BC138" s="169"/>
    </row>
    <row r="139" spans="3:55" ht="15.75" customHeight="1">
      <c r="S139" s="454"/>
      <c r="BA139" s="1305"/>
      <c r="BC139" s="169"/>
    </row>
    <row r="140" spans="3:55" ht="15.75" customHeight="1">
      <c r="S140" s="454"/>
      <c r="BA140" s="1305"/>
      <c r="BC140" s="169"/>
    </row>
    <row r="141" spans="3:55" ht="15.75" customHeight="1">
      <c r="S141" s="454"/>
      <c r="BA141" s="1305"/>
      <c r="BC141" s="169"/>
    </row>
    <row r="142" spans="3:55" ht="15.75" customHeight="1">
      <c r="S142" s="454"/>
      <c r="BA142" s="1305"/>
      <c r="BC142" s="169"/>
    </row>
    <row r="143" spans="3:55" ht="15.75" customHeight="1">
      <c r="S143" s="454"/>
      <c r="BA143" s="1305"/>
      <c r="BC143" s="169"/>
    </row>
    <row r="144" spans="3:55" ht="15.75" customHeight="1">
      <c r="S144" s="454"/>
      <c r="BA144" s="1305"/>
      <c r="BC144" s="169"/>
    </row>
    <row r="145" spans="19:55" ht="15.75" customHeight="1">
      <c r="S145" s="454"/>
      <c r="BA145" s="1305"/>
      <c r="BC145" s="169"/>
    </row>
    <row r="146" spans="19:55" ht="15.75" customHeight="1">
      <c r="S146" s="454"/>
      <c r="BA146" s="1305"/>
      <c r="BC146" s="169"/>
    </row>
    <row r="147" spans="19:55" ht="15.75" customHeight="1">
      <c r="S147" s="454"/>
      <c r="BA147" s="1305"/>
      <c r="BC147" s="169"/>
    </row>
    <row r="148" spans="19:55" ht="15.75" customHeight="1">
      <c r="S148" s="454"/>
      <c r="BA148" s="1305"/>
      <c r="BC148" s="169"/>
    </row>
    <row r="149" spans="19:55" ht="15.75" customHeight="1">
      <c r="S149" s="454"/>
      <c r="BA149" s="1305"/>
      <c r="BC149" s="169"/>
    </row>
    <row r="150" spans="19:55" ht="15.75" customHeight="1">
      <c r="S150" s="454"/>
      <c r="BA150" s="1305"/>
      <c r="BC150" s="169"/>
    </row>
    <row r="151" spans="19:55" ht="15.75" customHeight="1">
      <c r="S151" s="454"/>
      <c r="BA151" s="1305"/>
      <c r="BC151" s="169"/>
    </row>
    <row r="152" spans="19:55" ht="15.75" customHeight="1">
      <c r="S152" s="454"/>
      <c r="BA152" s="1305"/>
      <c r="BC152" s="169"/>
    </row>
    <row r="153" spans="19:55" ht="15.75" customHeight="1">
      <c r="S153" s="454"/>
      <c r="BA153" s="1305"/>
      <c r="BC153" s="169"/>
    </row>
    <row r="154" spans="19:55" ht="15.75" customHeight="1">
      <c r="S154" s="454"/>
      <c r="BA154" s="1305"/>
      <c r="BC154" s="169"/>
    </row>
    <row r="155" spans="19:55" ht="15.75" customHeight="1">
      <c r="S155" s="454"/>
      <c r="BA155" s="1305"/>
      <c r="BC155" s="169"/>
    </row>
    <row r="156" spans="19:55" ht="15.75" customHeight="1">
      <c r="S156" s="454"/>
      <c r="BA156" s="1305"/>
      <c r="BC156" s="169"/>
    </row>
    <row r="157" spans="19:55" ht="15.75" customHeight="1">
      <c r="S157" s="454"/>
      <c r="BA157" s="1305"/>
      <c r="BC157" s="169"/>
    </row>
    <row r="158" spans="19:55" ht="15.75" customHeight="1">
      <c r="S158" s="454"/>
      <c r="BA158" s="1305"/>
      <c r="BC158" s="169"/>
    </row>
    <row r="159" spans="19:55" ht="15.75" customHeight="1">
      <c r="S159" s="454"/>
      <c r="BA159" s="1305"/>
      <c r="BC159" s="169"/>
    </row>
    <row r="160" spans="19:55" ht="15.75" customHeight="1">
      <c r="S160" s="454"/>
      <c r="BA160" s="1305"/>
      <c r="BC160" s="169"/>
    </row>
    <row r="161" spans="19:55" ht="15.75" customHeight="1">
      <c r="S161" s="454"/>
      <c r="BA161" s="1305"/>
      <c r="BC161" s="169"/>
    </row>
    <row r="162" spans="19:55" ht="15.75" customHeight="1">
      <c r="S162" s="454"/>
      <c r="BA162" s="1305"/>
      <c r="BC162" s="169"/>
    </row>
    <row r="163" spans="19:55" ht="15.75" customHeight="1">
      <c r="S163" s="454"/>
      <c r="BA163" s="1305"/>
      <c r="BC163" s="169"/>
    </row>
    <row r="164" spans="19:55" ht="15.75" customHeight="1">
      <c r="S164" s="454"/>
      <c r="BA164" s="1305"/>
      <c r="BC164" s="169"/>
    </row>
    <row r="165" spans="19:55" ht="15.75" customHeight="1">
      <c r="S165" s="454"/>
      <c r="BA165" s="1305"/>
      <c r="BC165" s="169"/>
    </row>
    <row r="166" spans="19:55" ht="15.75" customHeight="1">
      <c r="S166" s="454"/>
      <c r="BA166" s="1305"/>
      <c r="BC166" s="169"/>
    </row>
    <row r="167" spans="19:55" ht="15.75" customHeight="1">
      <c r="S167" s="454"/>
      <c r="BA167" s="1305"/>
      <c r="BC167" s="169"/>
    </row>
    <row r="168" spans="19:55" ht="15.75" customHeight="1">
      <c r="S168" s="454"/>
      <c r="BA168" s="1305"/>
      <c r="BC168" s="169"/>
    </row>
    <row r="169" spans="19:55" ht="15.75" customHeight="1">
      <c r="S169" s="454"/>
      <c r="BA169" s="1305"/>
      <c r="BC169" s="169"/>
    </row>
    <row r="170" spans="19:55" ht="15.75" customHeight="1">
      <c r="S170" s="454"/>
      <c r="BA170" s="1305"/>
      <c r="BC170" s="169"/>
    </row>
    <row r="171" spans="19:55" ht="15.75" customHeight="1">
      <c r="S171" s="454"/>
      <c r="BA171" s="1305"/>
      <c r="BC171" s="169"/>
    </row>
    <row r="172" spans="19:55" ht="15.75" customHeight="1">
      <c r="S172" s="454"/>
      <c r="BA172" s="1305"/>
      <c r="BC172" s="169"/>
    </row>
    <row r="173" spans="19:55" ht="15.75" customHeight="1">
      <c r="S173" s="454"/>
      <c r="BA173" s="1305"/>
      <c r="BC173" s="169"/>
    </row>
    <row r="174" spans="19:55" ht="15.75" customHeight="1">
      <c r="S174" s="454"/>
      <c r="BA174" s="1305"/>
      <c r="BC174" s="169"/>
    </row>
    <row r="175" spans="19:55" ht="15.75" customHeight="1">
      <c r="S175" s="454"/>
      <c r="BA175" s="1305"/>
      <c r="BC175" s="169"/>
    </row>
    <row r="176" spans="19:55" ht="15.75" customHeight="1">
      <c r="S176" s="454"/>
      <c r="BA176" s="1305"/>
      <c r="BC176" s="169"/>
    </row>
    <row r="177" spans="19:55" ht="15.75" customHeight="1">
      <c r="S177" s="454"/>
      <c r="BA177" s="1305"/>
      <c r="BC177" s="169"/>
    </row>
    <row r="178" spans="19:55" ht="15.75" customHeight="1">
      <c r="S178" s="454"/>
      <c r="BA178" s="1305"/>
      <c r="BC178" s="169"/>
    </row>
    <row r="179" spans="19:55" ht="15.75" customHeight="1">
      <c r="S179" s="454"/>
      <c r="BA179" s="1305"/>
      <c r="BC179" s="169"/>
    </row>
    <row r="180" spans="19:55" ht="15.75" customHeight="1">
      <c r="S180" s="454"/>
      <c r="BA180" s="1305"/>
      <c r="BC180" s="169"/>
    </row>
    <row r="181" spans="19:55" ht="15.75" customHeight="1">
      <c r="S181" s="454"/>
      <c r="BA181" s="1305"/>
      <c r="BC181" s="169"/>
    </row>
    <row r="182" spans="19:55" ht="15.75" customHeight="1">
      <c r="S182" s="454"/>
      <c r="BA182" s="1305"/>
      <c r="BC182" s="169"/>
    </row>
    <row r="183" spans="19:55" ht="15.75" customHeight="1">
      <c r="S183" s="454"/>
      <c r="BA183" s="1305"/>
      <c r="BC183" s="169"/>
    </row>
    <row r="184" spans="19:55" ht="15.75" customHeight="1">
      <c r="S184" s="454"/>
      <c r="BA184" s="1305"/>
      <c r="BC184" s="169"/>
    </row>
    <row r="185" spans="19:55" ht="15.75" customHeight="1">
      <c r="S185" s="454"/>
      <c r="BA185" s="1305"/>
      <c r="BC185" s="169"/>
    </row>
    <row r="186" spans="19:55" ht="15.75" customHeight="1">
      <c r="S186" s="454"/>
      <c r="BA186" s="1305"/>
      <c r="BC186" s="169"/>
    </row>
    <row r="187" spans="19:55" ht="15.75" customHeight="1">
      <c r="S187" s="454"/>
      <c r="BA187" s="1305"/>
      <c r="BC187" s="169"/>
    </row>
    <row r="188" spans="19:55" ht="15.75" customHeight="1">
      <c r="S188" s="454"/>
      <c r="BA188" s="1305"/>
      <c r="BC188" s="169"/>
    </row>
    <row r="189" spans="19:55" ht="15.75" customHeight="1">
      <c r="S189" s="454"/>
      <c r="BA189" s="1305"/>
      <c r="BC189" s="169"/>
    </row>
    <row r="190" spans="19:55" ht="15.75" customHeight="1">
      <c r="S190" s="454"/>
      <c r="BA190" s="1305"/>
      <c r="BC190" s="169"/>
    </row>
    <row r="191" spans="19:55" ht="15.75" customHeight="1">
      <c r="S191" s="454"/>
      <c r="BA191" s="1305"/>
      <c r="BC191" s="169"/>
    </row>
    <row r="192" spans="19:55" ht="15.75" customHeight="1">
      <c r="S192" s="454"/>
      <c r="BA192" s="1305"/>
      <c r="BC192" s="169"/>
    </row>
    <row r="193" spans="19:55" ht="15.75" customHeight="1">
      <c r="S193" s="454"/>
      <c r="BA193" s="1305"/>
      <c r="BC193" s="169"/>
    </row>
    <row r="194" spans="19:55" ht="15.75" customHeight="1">
      <c r="S194" s="454"/>
      <c r="BA194" s="1305"/>
      <c r="BC194" s="169"/>
    </row>
    <row r="195" spans="19:55" ht="15.75" customHeight="1">
      <c r="S195" s="454"/>
      <c r="BA195" s="1305"/>
      <c r="BC195" s="169"/>
    </row>
    <row r="196" spans="19:55" ht="15.75" customHeight="1">
      <c r="S196" s="454"/>
      <c r="BA196" s="1305"/>
      <c r="BC196" s="169"/>
    </row>
    <row r="197" spans="19:55" ht="15.75" customHeight="1">
      <c r="S197" s="454"/>
      <c r="BA197" s="1305"/>
      <c r="BC197" s="169"/>
    </row>
    <row r="198" spans="19:55" ht="15.75" customHeight="1">
      <c r="S198" s="454"/>
      <c r="BA198" s="1305"/>
      <c r="BC198" s="169"/>
    </row>
    <row r="199" spans="19:55" ht="15.75" customHeight="1">
      <c r="S199" s="454"/>
      <c r="BA199" s="1305"/>
      <c r="BC199" s="169"/>
    </row>
    <row r="200" spans="19:55" ht="15.75" customHeight="1">
      <c r="S200" s="454"/>
      <c r="BA200" s="1305"/>
      <c r="BC200" s="169"/>
    </row>
    <row r="201" spans="19:55" ht="15.75" customHeight="1">
      <c r="S201" s="454"/>
      <c r="BA201" s="1305"/>
      <c r="BC201" s="169"/>
    </row>
    <row r="202" spans="19:55" ht="15.75" customHeight="1">
      <c r="S202" s="454"/>
      <c r="BA202" s="1305"/>
      <c r="BC202" s="169"/>
    </row>
    <row r="203" spans="19:55" ht="15.75" customHeight="1">
      <c r="S203" s="454"/>
      <c r="BA203" s="1305"/>
      <c r="BC203" s="169"/>
    </row>
    <row r="204" spans="19:55" ht="15.75" customHeight="1">
      <c r="S204" s="454"/>
      <c r="BA204" s="1305"/>
      <c r="BC204" s="169"/>
    </row>
    <row r="205" spans="19:55" ht="15.75" customHeight="1">
      <c r="S205" s="454"/>
      <c r="BA205" s="1305"/>
      <c r="BC205" s="169"/>
    </row>
    <row r="206" spans="19:55" ht="15.75" customHeight="1">
      <c r="S206" s="454"/>
      <c r="BA206" s="1305"/>
      <c r="BC206" s="169"/>
    </row>
    <row r="207" spans="19:55" ht="15.75" customHeight="1">
      <c r="S207" s="454"/>
      <c r="BA207" s="1305"/>
      <c r="BC207" s="169"/>
    </row>
    <row r="208" spans="19:55" ht="15.75" customHeight="1">
      <c r="S208" s="454"/>
      <c r="BA208" s="1305"/>
      <c r="BC208" s="169"/>
    </row>
    <row r="209" spans="19:55" ht="15.75" customHeight="1">
      <c r="S209" s="454"/>
      <c r="BA209" s="1305"/>
      <c r="BC209" s="169"/>
    </row>
    <row r="210" spans="19:55" ht="15.75" customHeight="1">
      <c r="S210" s="454"/>
      <c r="BA210" s="1305"/>
      <c r="BC210" s="169"/>
    </row>
    <row r="211" spans="19:55" ht="15.75" customHeight="1">
      <c r="S211" s="454"/>
      <c r="BA211" s="1305"/>
      <c r="BC211" s="169"/>
    </row>
    <row r="212" spans="19:55" ht="15.75" customHeight="1">
      <c r="S212" s="454"/>
      <c r="BA212" s="1305"/>
      <c r="BC212" s="169"/>
    </row>
    <row r="213" spans="19:55" ht="15.75" customHeight="1">
      <c r="S213" s="454"/>
      <c r="BA213" s="1305"/>
      <c r="BC213" s="169"/>
    </row>
    <row r="214" spans="19:55" ht="15.75" customHeight="1">
      <c r="S214" s="454"/>
      <c r="BA214" s="1305"/>
      <c r="BC214" s="169"/>
    </row>
    <row r="215" spans="19:55" ht="15.75" customHeight="1">
      <c r="S215" s="454"/>
      <c r="BA215" s="1305"/>
      <c r="BC215" s="169"/>
    </row>
    <row r="216" spans="19:55" ht="15.75" customHeight="1">
      <c r="S216" s="454"/>
      <c r="BA216" s="1305"/>
      <c r="BC216" s="169"/>
    </row>
    <row r="217" spans="19:55" ht="15.75" customHeight="1">
      <c r="S217" s="454"/>
      <c r="BA217" s="1305"/>
      <c r="BC217" s="169"/>
    </row>
    <row r="218" spans="19:55" ht="15.75" customHeight="1">
      <c r="S218" s="454"/>
      <c r="BA218" s="1305"/>
      <c r="BC218" s="169"/>
    </row>
    <row r="219" spans="19:55" ht="15.75" customHeight="1">
      <c r="S219" s="454"/>
      <c r="BA219" s="1305"/>
      <c r="BC219" s="169"/>
    </row>
    <row r="220" spans="19:55" ht="15.75" customHeight="1">
      <c r="S220" s="454"/>
      <c r="BA220" s="1305"/>
      <c r="BC220" s="169"/>
    </row>
    <row r="221" spans="19:55" ht="15.75" customHeight="1">
      <c r="S221" s="454"/>
      <c r="BA221" s="1305"/>
      <c r="BC221" s="169"/>
    </row>
    <row r="222" spans="19:55" ht="15.75" customHeight="1">
      <c r="S222" s="454"/>
      <c r="BA222" s="1305"/>
      <c r="BC222" s="169"/>
    </row>
    <row r="223" spans="19:55" ht="15.75" customHeight="1">
      <c r="S223" s="454"/>
      <c r="BA223" s="1305"/>
      <c r="BC223" s="169"/>
    </row>
    <row r="224" spans="19:55" ht="15.75" customHeight="1">
      <c r="S224" s="454"/>
      <c r="BA224" s="1305"/>
      <c r="BC224" s="169"/>
    </row>
    <row r="225" spans="19:55" ht="15.75" customHeight="1">
      <c r="S225" s="454"/>
      <c r="BA225" s="1305"/>
      <c r="BC225" s="169"/>
    </row>
    <row r="226" spans="19:55" ht="15.75" customHeight="1">
      <c r="S226" s="454"/>
      <c r="BA226" s="1305"/>
      <c r="BC226" s="169"/>
    </row>
    <row r="227" spans="19:55" ht="15.75" customHeight="1">
      <c r="S227" s="454"/>
      <c r="BA227" s="1305"/>
      <c r="BC227" s="169"/>
    </row>
    <row r="228" spans="19:55" ht="15.75" customHeight="1">
      <c r="S228" s="454"/>
      <c r="BA228" s="1305"/>
      <c r="BC228" s="169"/>
    </row>
    <row r="229" spans="19:55" ht="15.75" customHeight="1">
      <c r="S229" s="454"/>
      <c r="BA229" s="1305"/>
      <c r="BC229" s="169"/>
    </row>
    <row r="230" spans="19:55" ht="15.75" customHeight="1">
      <c r="S230" s="454"/>
      <c r="BA230" s="1305"/>
      <c r="BC230" s="169"/>
    </row>
    <row r="231" spans="19:55" ht="15.75" customHeight="1">
      <c r="S231" s="454"/>
      <c r="BA231" s="1305"/>
      <c r="BC231" s="169"/>
    </row>
    <row r="232" spans="19:55" ht="15.75" customHeight="1">
      <c r="S232" s="454"/>
      <c r="BA232" s="1305"/>
      <c r="BC232" s="169"/>
    </row>
    <row r="233" spans="19:55" ht="15.75" customHeight="1">
      <c r="S233" s="454"/>
      <c r="BA233" s="1305"/>
      <c r="BC233" s="169"/>
    </row>
    <row r="234" spans="19:55" ht="15.75" customHeight="1">
      <c r="S234" s="454"/>
      <c r="BA234" s="1305"/>
      <c r="BC234" s="169"/>
    </row>
    <row r="235" spans="19:55" ht="15.75" customHeight="1">
      <c r="S235" s="454"/>
      <c r="BA235" s="1305"/>
      <c r="BC235" s="169"/>
    </row>
    <row r="236" spans="19:55" ht="15.75" customHeight="1">
      <c r="S236" s="454"/>
      <c r="BA236" s="1305"/>
      <c r="BC236" s="169"/>
    </row>
    <row r="237" spans="19:55" ht="15.75" customHeight="1">
      <c r="S237" s="454"/>
      <c r="BA237" s="1305"/>
      <c r="BC237" s="169"/>
    </row>
    <row r="238" spans="19:55" ht="15.75" customHeight="1">
      <c r="S238" s="454"/>
      <c r="BA238" s="1305"/>
      <c r="BC238" s="169"/>
    </row>
    <row r="239" spans="19:55" ht="15.75" customHeight="1">
      <c r="S239" s="454"/>
      <c r="BA239" s="1305"/>
      <c r="BC239" s="169"/>
    </row>
    <row r="240" spans="19:55" ht="15.75" customHeight="1">
      <c r="S240" s="454"/>
      <c r="BA240" s="1305"/>
      <c r="BC240" s="169"/>
    </row>
    <row r="241" spans="19:55" ht="15.75" customHeight="1">
      <c r="S241" s="454"/>
      <c r="BA241" s="1305"/>
      <c r="BC241" s="169"/>
    </row>
    <row r="242" spans="19:55" ht="15.75" customHeight="1">
      <c r="S242" s="454"/>
      <c r="BA242" s="1305"/>
      <c r="BC242" s="169"/>
    </row>
    <row r="243" spans="19:55" ht="15.75" customHeight="1">
      <c r="S243" s="454"/>
      <c r="BA243" s="1305"/>
      <c r="BC243" s="169"/>
    </row>
    <row r="244" spans="19:55" ht="15.75" customHeight="1">
      <c r="S244" s="454"/>
      <c r="BA244" s="1305"/>
      <c r="BC244" s="169"/>
    </row>
    <row r="245" spans="19:55" ht="15.75" customHeight="1">
      <c r="S245" s="454"/>
      <c r="BA245" s="1305"/>
      <c r="BC245" s="169"/>
    </row>
    <row r="246" spans="19:55" ht="15.75" customHeight="1">
      <c r="S246" s="454"/>
      <c r="BA246" s="1305"/>
      <c r="BC246" s="169"/>
    </row>
    <row r="247" spans="19:55" ht="15.75" customHeight="1">
      <c r="S247" s="454"/>
      <c r="BA247" s="1305"/>
      <c r="BC247" s="169"/>
    </row>
    <row r="248" spans="19:55" ht="15.75" customHeight="1">
      <c r="S248" s="454"/>
      <c r="BA248" s="1305"/>
      <c r="BC248" s="169"/>
    </row>
    <row r="249" spans="19:55" ht="15.75" customHeight="1">
      <c r="S249" s="454"/>
      <c r="BA249" s="1305"/>
      <c r="BC249" s="169"/>
    </row>
    <row r="250" spans="19:55" ht="15.75" customHeight="1">
      <c r="S250" s="454"/>
      <c r="BA250" s="1305"/>
      <c r="BC250" s="169"/>
    </row>
    <row r="251" spans="19:55" ht="15.75" customHeight="1">
      <c r="S251" s="454"/>
      <c r="BA251" s="1305"/>
      <c r="BC251" s="169"/>
    </row>
    <row r="252" spans="19:55" ht="15.75" customHeight="1">
      <c r="S252" s="454"/>
      <c r="BA252" s="1305"/>
      <c r="BC252" s="169"/>
    </row>
    <row r="253" spans="19:55" ht="15.75" customHeight="1">
      <c r="S253" s="454"/>
      <c r="BA253" s="1305"/>
      <c r="BC253" s="169"/>
    </row>
    <row r="254" spans="19:55" ht="15.75" customHeight="1">
      <c r="S254" s="454"/>
      <c r="BA254" s="1305"/>
      <c r="BC254" s="169"/>
    </row>
    <row r="255" spans="19:55" ht="15.75" customHeight="1">
      <c r="S255" s="454"/>
      <c r="BA255" s="1305"/>
      <c r="BC255" s="169"/>
    </row>
    <row r="256" spans="19:55" ht="15.75" customHeight="1">
      <c r="S256" s="454"/>
      <c r="BA256" s="1305"/>
      <c r="BC256" s="169"/>
    </row>
    <row r="257" spans="19:55" ht="15.75" customHeight="1">
      <c r="S257" s="454"/>
      <c r="BA257" s="1305"/>
      <c r="BC257" s="169"/>
    </row>
    <row r="258" spans="19:55" ht="15.75" customHeight="1">
      <c r="S258" s="454"/>
      <c r="BA258" s="1305"/>
      <c r="BC258" s="169"/>
    </row>
    <row r="259" spans="19:55" ht="15.75" customHeight="1">
      <c r="S259" s="454"/>
      <c r="BA259" s="1305"/>
      <c r="BC259" s="169"/>
    </row>
    <row r="260" spans="19:55" ht="15.75" customHeight="1">
      <c r="S260" s="454"/>
      <c r="BA260" s="1305"/>
      <c r="BC260" s="169"/>
    </row>
    <row r="261" spans="19:55" ht="15.75" customHeight="1">
      <c r="S261" s="454"/>
      <c r="BA261" s="1305"/>
      <c r="BC261" s="169"/>
    </row>
    <row r="262" spans="19:55" ht="15.75" customHeight="1">
      <c r="S262" s="454"/>
      <c r="BA262" s="1305"/>
      <c r="BC262" s="169"/>
    </row>
    <row r="263" spans="19:55" ht="15.75" customHeight="1">
      <c r="S263" s="454"/>
      <c r="BA263" s="1305"/>
      <c r="BC263" s="169"/>
    </row>
    <row r="264" spans="19:55" ht="15.75" customHeight="1">
      <c r="S264" s="454"/>
      <c r="BA264" s="1305"/>
      <c r="BC264" s="169"/>
    </row>
    <row r="265" spans="19:55" ht="15.75" customHeight="1">
      <c r="S265" s="454"/>
      <c r="BA265" s="1305"/>
      <c r="BC265" s="169"/>
    </row>
    <row r="266" spans="19:55" ht="15.75" customHeight="1">
      <c r="S266" s="454"/>
      <c r="BA266" s="1305"/>
      <c r="BC266" s="169"/>
    </row>
    <row r="267" spans="19:55" ht="15.75" customHeight="1">
      <c r="S267" s="454"/>
      <c r="BA267" s="1305"/>
      <c r="BC267" s="169"/>
    </row>
    <row r="268" spans="19:55" ht="15.75" customHeight="1">
      <c r="S268" s="454"/>
      <c r="BA268" s="1305"/>
      <c r="BC268" s="169"/>
    </row>
    <row r="269" spans="19:55" ht="15.75" customHeight="1">
      <c r="S269" s="454"/>
      <c r="BA269" s="1305"/>
      <c r="BC269" s="169"/>
    </row>
    <row r="270" spans="19:55" ht="15.75" customHeight="1">
      <c r="S270" s="454"/>
      <c r="BA270" s="1305"/>
      <c r="BC270" s="169"/>
    </row>
    <row r="271" spans="19:55" ht="15.75" customHeight="1">
      <c r="S271" s="454"/>
      <c r="BA271" s="1305"/>
      <c r="BC271" s="169"/>
    </row>
    <row r="272" spans="19:55" ht="15.75" customHeight="1">
      <c r="S272" s="454"/>
      <c r="BA272" s="1305"/>
      <c r="BC272" s="169"/>
    </row>
    <row r="273" spans="19:55" ht="15.75" customHeight="1">
      <c r="S273" s="454"/>
      <c r="BA273" s="1305"/>
      <c r="BC273" s="169"/>
    </row>
    <row r="274" spans="19:55" ht="15.75" customHeight="1">
      <c r="S274" s="454"/>
      <c r="BA274" s="1305"/>
      <c r="BC274" s="169"/>
    </row>
    <row r="275" spans="19:55" ht="15.75" customHeight="1">
      <c r="S275" s="454"/>
      <c r="BA275" s="1305"/>
      <c r="BC275" s="169"/>
    </row>
    <row r="276" spans="19:55" ht="15.75" customHeight="1">
      <c r="S276" s="454"/>
      <c r="BA276" s="1305"/>
      <c r="BC276" s="169"/>
    </row>
    <row r="277" spans="19:55" ht="15.75" customHeight="1">
      <c r="S277" s="454"/>
      <c r="BA277" s="1305"/>
      <c r="BC277" s="169"/>
    </row>
    <row r="278" spans="19:55" ht="15.75" customHeight="1">
      <c r="S278" s="454"/>
      <c r="BA278" s="1305"/>
      <c r="BC278" s="169"/>
    </row>
    <row r="279" spans="19:55" ht="15.75" customHeight="1">
      <c r="S279" s="454"/>
      <c r="BA279" s="1305"/>
      <c r="BC279" s="169"/>
    </row>
    <row r="280" spans="19:55" ht="15.75" customHeight="1">
      <c r="S280" s="454"/>
      <c r="BA280" s="1305"/>
      <c r="BC280" s="169"/>
    </row>
    <row r="281" spans="19:55" ht="15.75" customHeight="1">
      <c r="S281" s="454"/>
      <c r="BA281" s="1305"/>
      <c r="BC281" s="169"/>
    </row>
    <row r="282" spans="19:55" ht="15.75" customHeight="1">
      <c r="S282" s="454"/>
      <c r="BA282" s="1305"/>
      <c r="BC282" s="169"/>
    </row>
    <row r="283" spans="19:55" ht="15.75" customHeight="1">
      <c r="S283" s="454"/>
      <c r="BA283" s="1305"/>
      <c r="BC283" s="169"/>
    </row>
    <row r="284" spans="19:55" ht="15.75" customHeight="1">
      <c r="S284" s="454"/>
      <c r="BA284" s="1305"/>
      <c r="BC284" s="169"/>
    </row>
    <row r="285" spans="19:55" ht="15.75" customHeight="1">
      <c r="S285" s="454"/>
      <c r="BA285" s="1305"/>
      <c r="BC285" s="169"/>
    </row>
    <row r="286" spans="19:55" ht="15.75" customHeight="1">
      <c r="S286" s="454"/>
      <c r="BA286" s="1305"/>
      <c r="BC286" s="169"/>
    </row>
    <row r="287" spans="19:55" ht="15.75" customHeight="1">
      <c r="S287" s="454"/>
      <c r="BA287" s="1305"/>
      <c r="BC287" s="169"/>
    </row>
    <row r="288" spans="19:55" ht="15.75" customHeight="1">
      <c r="S288" s="454"/>
      <c r="BA288" s="1305"/>
      <c r="BC288" s="169"/>
    </row>
    <row r="289" spans="19:55" ht="15.75" customHeight="1">
      <c r="S289" s="454"/>
      <c r="BA289" s="1305"/>
      <c r="BC289" s="169"/>
    </row>
    <row r="290" spans="19:55" ht="15.75" customHeight="1">
      <c r="S290" s="454"/>
      <c r="BA290" s="1305"/>
      <c r="BC290" s="169"/>
    </row>
    <row r="291" spans="19:55" ht="15.75" customHeight="1">
      <c r="S291" s="454"/>
      <c r="AU291" s="177"/>
      <c r="AV291" s="177"/>
      <c r="AW291" s="177"/>
      <c r="AX291" s="177"/>
      <c r="BA291" s="1307"/>
      <c r="BC291" s="169"/>
    </row>
    <row r="292" spans="19:55" ht="15.75" customHeight="1">
      <c r="S292" s="454"/>
      <c r="AU292" s="177"/>
      <c r="AV292" s="177"/>
      <c r="AW292" s="177"/>
      <c r="AX292" s="177"/>
      <c r="BA292" s="1307"/>
      <c r="BC292" s="169"/>
    </row>
    <row r="293" spans="19:55" ht="15.75" customHeight="1">
      <c r="S293" s="454"/>
      <c r="AU293" s="177"/>
      <c r="AV293" s="177"/>
      <c r="AW293" s="177"/>
      <c r="AX293" s="177"/>
      <c r="BA293" s="1307"/>
      <c r="BC293" s="169"/>
    </row>
    <row r="294" spans="19:55" ht="15.75" customHeight="1">
      <c r="S294" s="454"/>
      <c r="AU294" s="177"/>
      <c r="AV294" s="177"/>
      <c r="AW294" s="177"/>
      <c r="AX294" s="177"/>
      <c r="BA294" s="1307"/>
      <c r="BC294" s="169"/>
    </row>
    <row r="295" spans="19:55" ht="15.75" customHeight="1">
      <c r="S295" s="454"/>
      <c r="AU295" s="177"/>
      <c r="AV295" s="177"/>
      <c r="AW295" s="177"/>
      <c r="AX295" s="177"/>
      <c r="BA295" s="1307"/>
      <c r="BC295" s="169"/>
    </row>
    <row r="296" spans="19:55" ht="15.75" customHeight="1">
      <c r="S296" s="454"/>
      <c r="AU296" s="177"/>
      <c r="AV296" s="177"/>
      <c r="AW296" s="177"/>
      <c r="AX296" s="177"/>
      <c r="BA296" s="1307"/>
      <c r="BC296" s="169"/>
    </row>
    <row r="297" spans="19:55" ht="15.75" customHeight="1">
      <c r="S297" s="454"/>
      <c r="AU297" s="177"/>
      <c r="AV297" s="177"/>
      <c r="AW297" s="177"/>
      <c r="AX297" s="177"/>
      <c r="BA297" s="1307"/>
      <c r="BC297" s="169"/>
    </row>
    <row r="298" spans="19:55" ht="15.75" customHeight="1">
      <c r="S298" s="454"/>
      <c r="AU298" s="177"/>
      <c r="AV298" s="177"/>
      <c r="AW298" s="177"/>
      <c r="AX298" s="177"/>
      <c r="BA298" s="1307"/>
      <c r="BC298" s="169"/>
    </row>
    <row r="299" spans="19:55" ht="15.75" customHeight="1">
      <c r="S299" s="454"/>
      <c r="AU299" s="177"/>
      <c r="AV299" s="177"/>
      <c r="AW299" s="177"/>
      <c r="AX299" s="177"/>
      <c r="BA299" s="1307"/>
      <c r="BC299" s="169"/>
    </row>
    <row r="300" spans="19:55" ht="15.75" customHeight="1">
      <c r="S300" s="454"/>
      <c r="AU300" s="177"/>
      <c r="AV300" s="177"/>
      <c r="AW300" s="177"/>
      <c r="AX300" s="177"/>
      <c r="BA300" s="1307"/>
      <c r="BC300" s="169"/>
    </row>
    <row r="301" spans="19:55" ht="15.75" customHeight="1">
      <c r="S301" s="454"/>
      <c r="AU301" s="177"/>
      <c r="AV301" s="177"/>
      <c r="AW301" s="177"/>
      <c r="AX301" s="177"/>
      <c r="BA301" s="1307"/>
      <c r="BC301" s="169"/>
    </row>
    <row r="302" spans="19:55" ht="15.75" customHeight="1">
      <c r="S302" s="454"/>
      <c r="AU302" s="177"/>
      <c r="AV302" s="177"/>
      <c r="AW302" s="177"/>
      <c r="AX302" s="177"/>
      <c r="BA302" s="1307"/>
      <c r="BC302" s="169"/>
    </row>
    <row r="303" spans="19:55" ht="15.75" customHeight="1">
      <c r="S303" s="454"/>
      <c r="AU303" s="177"/>
      <c r="AV303" s="177"/>
      <c r="AW303" s="177"/>
      <c r="AX303" s="177"/>
      <c r="BA303" s="1307"/>
      <c r="BC303" s="169"/>
    </row>
    <row r="304" spans="19:55" ht="15.75" customHeight="1">
      <c r="S304" s="454"/>
      <c r="BA304" s="1305"/>
      <c r="BC304" s="169"/>
    </row>
    <row r="305" spans="19:55" ht="15.75" customHeight="1">
      <c r="S305" s="454"/>
      <c r="BA305" s="1305"/>
      <c r="BC305" s="169"/>
    </row>
    <row r="306" spans="19:55" ht="15.75" customHeight="1">
      <c r="S306" s="454"/>
      <c r="BA306" s="1305"/>
      <c r="BC306" s="169"/>
    </row>
    <row r="307" spans="19:55" ht="15.75" customHeight="1">
      <c r="S307" s="454"/>
      <c r="BA307" s="1305"/>
      <c r="BC307" s="169"/>
    </row>
    <row r="308" spans="19:55" ht="15.75" customHeight="1">
      <c r="S308" s="454"/>
      <c r="BA308" s="1305"/>
      <c r="BC308" s="169"/>
    </row>
    <row r="309" spans="19:55" ht="15.75" customHeight="1">
      <c r="S309" s="454"/>
      <c r="AU309" s="177"/>
      <c r="AV309" s="177"/>
      <c r="AW309" s="177"/>
      <c r="AX309" s="177"/>
      <c r="BA309" s="1307"/>
      <c r="BC309" s="169"/>
    </row>
    <row r="310" spans="19:55" ht="15.75" customHeight="1">
      <c r="S310" s="454"/>
      <c r="AU310" s="177"/>
      <c r="AV310" s="177"/>
      <c r="AW310" s="177"/>
      <c r="AX310" s="177"/>
      <c r="BA310" s="1307"/>
      <c r="BC310" s="169"/>
    </row>
    <row r="311" spans="19:55" ht="15.75" customHeight="1">
      <c r="S311" s="454"/>
      <c r="AU311" s="177"/>
      <c r="AV311" s="177"/>
      <c r="AW311" s="177"/>
      <c r="AX311" s="177"/>
      <c r="BA311" s="1307"/>
      <c r="BC311" s="169"/>
    </row>
    <row r="312" spans="19:55" ht="15.75" customHeight="1">
      <c r="S312" s="454"/>
      <c r="AU312" s="177"/>
      <c r="AV312" s="177"/>
      <c r="AW312" s="177"/>
      <c r="AX312" s="177"/>
      <c r="BA312" s="1307"/>
      <c r="BC312" s="169"/>
    </row>
    <row r="313" spans="19:55" ht="15.75" customHeight="1">
      <c r="S313" s="454"/>
      <c r="AU313" s="177"/>
      <c r="AV313" s="177"/>
      <c r="AW313" s="177"/>
      <c r="AX313" s="177"/>
      <c r="BA313" s="1307"/>
      <c r="BC313" s="169"/>
    </row>
    <row r="314" spans="19:55" ht="15.75" customHeight="1">
      <c r="S314" s="454"/>
      <c r="BA314" s="1305"/>
      <c r="BC314" s="169"/>
    </row>
    <row r="315" spans="19:55" ht="15.75" customHeight="1">
      <c r="S315" s="454"/>
      <c r="BA315" s="1305"/>
      <c r="BC315" s="169"/>
    </row>
    <row r="316" spans="19:55" ht="15.75" customHeight="1">
      <c r="S316" s="454"/>
      <c r="BA316" s="1305"/>
      <c r="BC316" s="169"/>
    </row>
    <row r="317" spans="19:55" ht="15.75" customHeight="1">
      <c r="S317" s="454"/>
      <c r="AU317" s="177"/>
      <c r="AV317" s="177"/>
      <c r="AW317" s="177"/>
      <c r="AX317" s="177"/>
      <c r="BA317" s="1307"/>
      <c r="BC317" s="169"/>
    </row>
    <row r="318" spans="19:55" ht="15.75" customHeight="1">
      <c r="S318" s="454"/>
      <c r="AU318" s="177"/>
      <c r="AV318" s="177"/>
      <c r="AW318" s="177"/>
      <c r="AX318" s="177"/>
      <c r="BA318" s="1307"/>
      <c r="BC318" s="169"/>
    </row>
    <row r="319" spans="19:55" ht="15.75" customHeight="1">
      <c r="S319" s="454"/>
      <c r="AU319" s="177"/>
      <c r="AV319" s="177"/>
      <c r="AW319" s="177"/>
      <c r="AX319" s="177"/>
      <c r="BA319" s="1307"/>
      <c r="BC319" s="169"/>
    </row>
    <row r="320" spans="19:55" ht="15.75" customHeight="1">
      <c r="S320" s="454"/>
      <c r="AU320" s="177"/>
      <c r="AV320" s="177"/>
      <c r="AW320" s="177"/>
      <c r="AX320" s="177"/>
      <c r="BA320" s="1307"/>
      <c r="BC320" s="169"/>
    </row>
    <row r="321" spans="19:55" ht="15.75" customHeight="1">
      <c r="S321" s="454"/>
      <c r="AU321" s="177"/>
      <c r="AV321" s="177"/>
      <c r="AW321" s="177"/>
      <c r="AX321" s="177"/>
      <c r="BA321" s="1307"/>
      <c r="BC321" s="169"/>
    </row>
    <row r="322" spans="19:55" ht="15.75" customHeight="1">
      <c r="S322" s="454"/>
      <c r="AU322" s="177"/>
      <c r="AV322" s="177"/>
      <c r="AW322" s="177"/>
      <c r="AX322" s="177"/>
      <c r="BA322" s="1307"/>
      <c r="BC322" s="169"/>
    </row>
    <row r="323" spans="19:55" ht="15.75" customHeight="1">
      <c r="S323" s="454"/>
      <c r="AU323" s="177"/>
      <c r="AV323" s="177"/>
      <c r="AW323" s="177"/>
      <c r="AX323" s="177"/>
      <c r="BA323" s="1307"/>
      <c r="BC323" s="169"/>
    </row>
    <row r="324" spans="19:55" ht="15.75" customHeight="1">
      <c r="S324" s="454"/>
      <c r="BA324" s="1305"/>
      <c r="BC324" s="169"/>
    </row>
    <row r="325" spans="19:55" ht="15.75" customHeight="1">
      <c r="S325" s="454"/>
      <c r="BA325" s="1305"/>
      <c r="BC325" s="169"/>
    </row>
    <row r="326" spans="19:55" ht="15.75" customHeight="1">
      <c r="S326" s="454"/>
      <c r="BA326" s="1305"/>
      <c r="BC326" s="169"/>
    </row>
    <row r="327" spans="19:55" ht="15.75" customHeight="1">
      <c r="S327" s="454"/>
      <c r="BA327" s="1305"/>
      <c r="BC327" s="169"/>
    </row>
    <row r="328" spans="19:55" ht="15.75" customHeight="1">
      <c r="S328" s="454"/>
      <c r="BA328" s="1305"/>
      <c r="BC328" s="169"/>
    </row>
    <row r="329" spans="19:55" ht="15.75" customHeight="1">
      <c r="S329" s="454"/>
      <c r="BA329" s="1305"/>
      <c r="BC329" s="169"/>
    </row>
    <row r="330" spans="19:55" ht="15.75" customHeight="1">
      <c r="S330" s="454"/>
      <c r="BA330" s="1305"/>
      <c r="BC330" s="169"/>
    </row>
    <row r="331" spans="19:55" ht="15.75" customHeight="1">
      <c r="S331" s="454"/>
      <c r="BA331" s="1305"/>
      <c r="BC331" s="169"/>
    </row>
    <row r="332" spans="19:55" ht="15.75" customHeight="1">
      <c r="S332" s="454"/>
      <c r="BA332" s="1305"/>
      <c r="BC332" s="169"/>
    </row>
    <row r="333" spans="19:55" ht="15.75" customHeight="1">
      <c r="S333" s="454"/>
      <c r="BA333" s="1305"/>
      <c r="BC333" s="169"/>
    </row>
    <row r="334" spans="19:55" ht="15.75" customHeight="1">
      <c r="S334" s="454"/>
      <c r="BA334" s="1305"/>
      <c r="BC334" s="169"/>
    </row>
    <row r="335" spans="19:55" ht="15.75" customHeight="1">
      <c r="S335" s="454"/>
      <c r="BA335" s="1305"/>
      <c r="BC335" s="169"/>
    </row>
    <row r="336" spans="19:55" ht="15.75" customHeight="1">
      <c r="S336" s="454"/>
      <c r="BA336" s="1305"/>
      <c r="BC336" s="169"/>
    </row>
    <row r="337" spans="19:55" ht="15.75" customHeight="1">
      <c r="S337" s="454"/>
      <c r="BA337" s="1305"/>
      <c r="BC337" s="169"/>
    </row>
    <row r="338" spans="19:55" ht="15.75" customHeight="1">
      <c r="S338" s="454"/>
      <c r="BA338" s="1305"/>
      <c r="BC338" s="169"/>
    </row>
    <row r="339" spans="19:55" ht="15.75" customHeight="1">
      <c r="S339" s="454"/>
      <c r="BA339" s="1305"/>
      <c r="BC339" s="169"/>
    </row>
    <row r="340" spans="19:55" ht="15.75" customHeight="1">
      <c r="S340" s="454"/>
      <c r="BA340" s="1305"/>
      <c r="BC340" s="169"/>
    </row>
    <row r="341" spans="19:55" ht="15.75" customHeight="1">
      <c r="S341" s="454"/>
      <c r="BA341" s="1305"/>
      <c r="BC341" s="169"/>
    </row>
    <row r="342" spans="19:55" ht="15.75" customHeight="1">
      <c r="S342" s="454"/>
      <c r="BA342" s="1305"/>
      <c r="BC342" s="169"/>
    </row>
    <row r="343" spans="19:55" ht="15.75" customHeight="1">
      <c r="S343" s="454"/>
      <c r="BA343" s="1305"/>
      <c r="BC343" s="169"/>
    </row>
    <row r="344" spans="19:55" ht="15.75" customHeight="1">
      <c r="S344" s="454"/>
      <c r="BA344" s="1305"/>
      <c r="BC344" s="169"/>
    </row>
    <row r="345" spans="19:55" ht="15.75" customHeight="1">
      <c r="S345" s="454"/>
      <c r="BA345" s="1305"/>
      <c r="BC345" s="169"/>
    </row>
    <row r="346" spans="19:55" ht="15.75" customHeight="1">
      <c r="S346" s="454"/>
      <c r="BA346" s="1305"/>
      <c r="BC346" s="169"/>
    </row>
    <row r="347" spans="19:55" ht="15.75" customHeight="1">
      <c r="S347" s="454"/>
      <c r="BA347" s="1305"/>
      <c r="BC347" s="169"/>
    </row>
    <row r="348" spans="19:55" ht="15.75" customHeight="1">
      <c r="S348" s="454"/>
      <c r="BA348" s="1305"/>
      <c r="BC348" s="169"/>
    </row>
    <row r="349" spans="19:55" ht="15.75" customHeight="1">
      <c r="S349" s="454"/>
      <c r="BA349" s="1305"/>
      <c r="BC349" s="169"/>
    </row>
    <row r="350" spans="19:55" ht="15.75" customHeight="1">
      <c r="S350" s="454"/>
      <c r="BA350" s="1305"/>
      <c r="BC350" s="169"/>
    </row>
    <row r="351" spans="19:55" ht="15.75" customHeight="1">
      <c r="S351" s="454"/>
      <c r="BA351" s="1305"/>
      <c r="BC351" s="169"/>
    </row>
    <row r="352" spans="19:55" ht="15.75" customHeight="1">
      <c r="S352" s="454"/>
      <c r="BA352" s="1305"/>
      <c r="BC352" s="169"/>
    </row>
    <row r="353" spans="19:55" ht="15.75" customHeight="1">
      <c r="S353" s="454"/>
      <c r="BA353" s="1305"/>
      <c r="BC353" s="169"/>
    </row>
    <row r="354" spans="19:55" ht="15.75" customHeight="1">
      <c r="S354" s="454"/>
      <c r="BA354" s="1305"/>
      <c r="BC354" s="169"/>
    </row>
    <row r="355" spans="19:55" ht="15.75" customHeight="1">
      <c r="S355" s="454"/>
      <c r="BA355" s="1305"/>
      <c r="BC355" s="169"/>
    </row>
    <row r="356" spans="19:55" ht="15.75" customHeight="1">
      <c r="S356" s="454"/>
      <c r="BA356" s="1305"/>
      <c r="BC356" s="169"/>
    </row>
    <row r="357" spans="19:55" ht="15.75" customHeight="1">
      <c r="S357" s="454"/>
      <c r="BA357" s="1305"/>
      <c r="BC357" s="169"/>
    </row>
    <row r="358" spans="19:55" ht="15.75" customHeight="1">
      <c r="S358" s="454"/>
      <c r="BA358" s="1305"/>
      <c r="BC358" s="169"/>
    </row>
    <row r="359" spans="19:55" ht="15.75" customHeight="1">
      <c r="S359" s="454"/>
      <c r="BA359" s="1305"/>
      <c r="BC359" s="169"/>
    </row>
    <row r="360" spans="19:55" ht="15.75" customHeight="1">
      <c r="S360" s="454"/>
      <c r="BA360" s="1305"/>
      <c r="BC360" s="169"/>
    </row>
    <row r="361" spans="19:55" ht="15.75" customHeight="1">
      <c r="S361" s="454"/>
      <c r="BA361" s="1305"/>
      <c r="BC361" s="169"/>
    </row>
    <row r="362" spans="19:55" ht="15.75" customHeight="1">
      <c r="S362" s="454"/>
      <c r="BA362" s="1305"/>
      <c r="BC362" s="169"/>
    </row>
    <row r="363" spans="19:55" ht="15.75" customHeight="1">
      <c r="S363" s="454"/>
      <c r="BA363" s="1305"/>
      <c r="BC363" s="169"/>
    </row>
    <row r="364" spans="19:55" ht="15.75" customHeight="1">
      <c r="S364" s="454"/>
      <c r="BA364" s="1305"/>
      <c r="BC364" s="169"/>
    </row>
    <row r="365" spans="19:55" ht="15.75" customHeight="1">
      <c r="S365" s="454"/>
      <c r="BA365" s="1305"/>
      <c r="BC365" s="169"/>
    </row>
    <row r="366" spans="19:55" ht="15.75" customHeight="1">
      <c r="S366" s="454"/>
      <c r="BA366" s="1305"/>
      <c r="BC366" s="169"/>
    </row>
    <row r="367" spans="19:55" ht="15.75" customHeight="1">
      <c r="S367" s="454"/>
      <c r="BA367" s="1305"/>
      <c r="BC367" s="169"/>
    </row>
    <row r="368" spans="19:55" ht="15.75" customHeight="1">
      <c r="S368" s="454"/>
      <c r="BA368" s="1305"/>
      <c r="BC368" s="169"/>
    </row>
    <row r="369" spans="19:55" ht="15.75" customHeight="1">
      <c r="S369" s="454"/>
      <c r="BA369" s="1305"/>
      <c r="BC369" s="169"/>
    </row>
    <row r="370" spans="19:55" ht="15.75" customHeight="1">
      <c r="S370" s="454"/>
      <c r="BA370" s="1305"/>
      <c r="BC370" s="169"/>
    </row>
    <row r="371" spans="19:55" ht="15.75" customHeight="1">
      <c r="S371" s="454"/>
      <c r="BA371" s="1305"/>
      <c r="BC371" s="169"/>
    </row>
    <row r="372" spans="19:55" ht="15.75" customHeight="1">
      <c r="S372" s="454"/>
      <c r="BA372" s="1305"/>
      <c r="BC372" s="169"/>
    </row>
    <row r="373" spans="19:55" ht="15.75" customHeight="1">
      <c r="S373" s="454"/>
      <c r="BA373" s="1305"/>
      <c r="BC373" s="169"/>
    </row>
    <row r="374" spans="19:55" ht="15.75" customHeight="1">
      <c r="S374" s="454"/>
      <c r="BA374" s="1305"/>
      <c r="BC374" s="169"/>
    </row>
    <row r="375" spans="19:55" ht="15.75" customHeight="1">
      <c r="S375" s="454"/>
      <c r="BA375" s="1305"/>
      <c r="BC375" s="169"/>
    </row>
    <row r="376" spans="19:55" ht="15.75" customHeight="1">
      <c r="S376" s="454"/>
      <c r="BA376" s="1305"/>
      <c r="BC376" s="169"/>
    </row>
    <row r="377" spans="19:55" ht="15.75" customHeight="1">
      <c r="S377" s="454"/>
      <c r="BA377" s="1305"/>
      <c r="BC377" s="169"/>
    </row>
    <row r="378" spans="19:55" ht="15.75" customHeight="1">
      <c r="S378" s="454"/>
      <c r="BA378" s="1305"/>
      <c r="BC378" s="169"/>
    </row>
    <row r="379" spans="19:55" ht="15.75" customHeight="1">
      <c r="S379" s="454"/>
      <c r="BA379" s="1305"/>
      <c r="BC379" s="169"/>
    </row>
    <row r="380" spans="19:55" ht="15.75" customHeight="1">
      <c r="S380" s="454"/>
      <c r="BA380" s="1305"/>
      <c r="BC380" s="169"/>
    </row>
    <row r="381" spans="19:55" ht="15.75" customHeight="1">
      <c r="S381" s="454"/>
      <c r="BA381" s="1305"/>
      <c r="BC381" s="169"/>
    </row>
    <row r="382" spans="19:55" ht="15.75" customHeight="1">
      <c r="S382" s="454"/>
      <c r="BA382" s="1305"/>
      <c r="BC382" s="169"/>
    </row>
    <row r="383" spans="19:55" ht="15.75" customHeight="1">
      <c r="S383" s="454"/>
      <c r="BA383" s="1305"/>
      <c r="BC383" s="169"/>
    </row>
    <row r="384" spans="19:55" ht="15.75" customHeight="1">
      <c r="S384" s="454"/>
      <c r="BA384" s="1305"/>
      <c r="BC384" s="169"/>
    </row>
    <row r="385" spans="19:55" ht="15.75" customHeight="1">
      <c r="S385" s="454"/>
      <c r="BA385" s="1305"/>
      <c r="BC385" s="169"/>
    </row>
    <row r="386" spans="19:55" ht="15.75" customHeight="1">
      <c r="S386" s="454"/>
      <c r="BA386" s="1305"/>
      <c r="BC386" s="169"/>
    </row>
    <row r="387" spans="19:55" ht="15.75" customHeight="1">
      <c r="S387" s="454"/>
      <c r="BA387" s="1305"/>
      <c r="BC387" s="169"/>
    </row>
    <row r="388" spans="19:55" ht="15.75" customHeight="1">
      <c r="S388" s="454"/>
      <c r="BA388" s="1305"/>
      <c r="BC388" s="169"/>
    </row>
    <row r="389" spans="19:55" ht="15.75" customHeight="1">
      <c r="S389" s="454"/>
      <c r="BA389" s="1305"/>
      <c r="BC389" s="169"/>
    </row>
    <row r="390" spans="19:55" ht="15.75" customHeight="1">
      <c r="S390" s="454"/>
      <c r="BA390" s="1305"/>
      <c r="BC390" s="169"/>
    </row>
    <row r="391" spans="19:55" ht="15.75" customHeight="1">
      <c r="S391" s="454"/>
      <c r="BA391" s="1305"/>
      <c r="BC391" s="169"/>
    </row>
    <row r="392" spans="19:55" ht="15.75" customHeight="1">
      <c r="S392" s="454"/>
      <c r="BA392" s="1305"/>
      <c r="BC392" s="169"/>
    </row>
    <row r="393" spans="19:55" ht="15.75" customHeight="1">
      <c r="S393" s="454"/>
      <c r="BA393" s="1305"/>
      <c r="BC393" s="169"/>
    </row>
    <row r="394" spans="19:55" ht="15.75" customHeight="1">
      <c r="S394" s="454"/>
      <c r="BA394" s="1305"/>
      <c r="BC394" s="169"/>
    </row>
    <row r="395" spans="19:55" ht="15.75" customHeight="1">
      <c r="S395" s="454"/>
      <c r="BA395" s="1305"/>
      <c r="BC395" s="169"/>
    </row>
    <row r="396" spans="19:55" ht="15.75" customHeight="1">
      <c r="S396" s="454"/>
      <c r="BA396" s="1305"/>
      <c r="BC396" s="169"/>
    </row>
    <row r="397" spans="19:55" ht="15.75" customHeight="1">
      <c r="S397" s="454"/>
      <c r="BA397" s="1305"/>
      <c r="BC397" s="169"/>
    </row>
    <row r="398" spans="19:55" ht="15.75" customHeight="1">
      <c r="S398" s="454"/>
      <c r="BA398" s="1305"/>
      <c r="BC398" s="169"/>
    </row>
    <row r="399" spans="19:55" ht="15.75" customHeight="1">
      <c r="S399" s="454"/>
      <c r="BA399" s="1305"/>
      <c r="BC399" s="169"/>
    </row>
    <row r="400" spans="19:55" ht="15.75" customHeight="1">
      <c r="S400" s="454"/>
      <c r="BA400" s="1305"/>
      <c r="BC400" s="169"/>
    </row>
    <row r="401" spans="19:55" ht="15.75" customHeight="1">
      <c r="S401" s="454"/>
      <c r="BA401" s="1305"/>
      <c r="BC401" s="169"/>
    </row>
    <row r="402" spans="19:55" ht="15.75" customHeight="1">
      <c r="S402" s="454"/>
      <c r="BA402" s="1305"/>
      <c r="BC402" s="169"/>
    </row>
    <row r="403" spans="19:55" ht="15.75" customHeight="1">
      <c r="S403" s="454"/>
      <c r="BA403" s="1305"/>
      <c r="BC403" s="169"/>
    </row>
    <row r="404" spans="19:55" ht="15.75" customHeight="1">
      <c r="S404" s="454"/>
      <c r="BA404" s="1305"/>
      <c r="BC404" s="169"/>
    </row>
    <row r="405" spans="19:55" ht="15.75" customHeight="1">
      <c r="S405" s="454"/>
      <c r="BA405" s="1305"/>
      <c r="BC405" s="169"/>
    </row>
    <row r="406" spans="19:55" ht="15.75" customHeight="1">
      <c r="S406" s="454"/>
      <c r="BA406" s="1305"/>
      <c r="BC406" s="169"/>
    </row>
    <row r="407" spans="19:55" ht="15.75" customHeight="1">
      <c r="S407" s="454"/>
      <c r="BA407" s="1305"/>
      <c r="BC407" s="169"/>
    </row>
    <row r="408" spans="19:55" ht="15.75" customHeight="1">
      <c r="S408" s="454"/>
      <c r="BA408" s="1305"/>
      <c r="BC408" s="169"/>
    </row>
    <row r="409" spans="19:55" ht="15.75" customHeight="1">
      <c r="S409" s="454"/>
      <c r="BA409" s="1305"/>
      <c r="BC409" s="169"/>
    </row>
    <row r="410" spans="19:55" ht="15.75" customHeight="1">
      <c r="S410" s="454"/>
      <c r="BA410" s="1305"/>
      <c r="BC410" s="169"/>
    </row>
    <row r="411" spans="19:55" ht="15.75" customHeight="1">
      <c r="S411" s="454"/>
      <c r="BA411" s="1305"/>
      <c r="BC411" s="169"/>
    </row>
    <row r="412" spans="19:55" ht="15.75" customHeight="1">
      <c r="S412" s="454"/>
      <c r="BA412" s="1305"/>
      <c r="BC412" s="169"/>
    </row>
    <row r="413" spans="19:55" ht="15.75" customHeight="1">
      <c r="S413" s="454"/>
      <c r="BA413" s="1305"/>
      <c r="BC413" s="169"/>
    </row>
    <row r="414" spans="19:55" ht="15.75" customHeight="1">
      <c r="S414" s="454"/>
      <c r="BA414" s="1305"/>
      <c r="BC414" s="169"/>
    </row>
    <row r="415" spans="19:55" ht="15.75" customHeight="1">
      <c r="S415" s="454"/>
      <c r="BA415" s="1305"/>
      <c r="BC415" s="169"/>
    </row>
    <row r="416" spans="19:55" ht="15.75" customHeight="1">
      <c r="S416" s="454"/>
      <c r="BA416" s="1305"/>
      <c r="BC416" s="169"/>
    </row>
    <row r="417" spans="19:55" ht="15.75" customHeight="1">
      <c r="S417" s="454"/>
      <c r="BA417" s="1305"/>
      <c r="BC417" s="169"/>
    </row>
    <row r="418" spans="19:55" ht="15.75" customHeight="1">
      <c r="S418" s="454"/>
      <c r="BA418" s="1305"/>
      <c r="BC418" s="169"/>
    </row>
    <row r="419" spans="19:55" ht="15.75" customHeight="1">
      <c r="S419" s="454"/>
      <c r="BA419" s="1305"/>
      <c r="BC419" s="169"/>
    </row>
    <row r="420" spans="19:55" ht="15.75" customHeight="1">
      <c r="S420" s="454"/>
      <c r="BA420" s="1305"/>
      <c r="BC420" s="169"/>
    </row>
    <row r="421" spans="19:55" ht="15.75" customHeight="1">
      <c r="S421" s="454"/>
      <c r="BA421" s="1305"/>
      <c r="BC421" s="169"/>
    </row>
    <row r="422" spans="19:55" ht="15.75" customHeight="1">
      <c r="S422" s="454"/>
      <c r="BA422" s="1305"/>
      <c r="BC422" s="169"/>
    </row>
    <row r="423" spans="19:55" ht="15.75" customHeight="1">
      <c r="S423" s="454"/>
      <c r="BA423" s="1305"/>
      <c r="BC423" s="169"/>
    </row>
    <row r="424" spans="19:55" ht="15.75" customHeight="1">
      <c r="S424" s="454"/>
      <c r="BA424" s="1305"/>
      <c r="BC424" s="169"/>
    </row>
    <row r="425" spans="19:55" ht="15.75" customHeight="1">
      <c r="S425" s="454"/>
      <c r="BA425" s="1305"/>
      <c r="BC425" s="169"/>
    </row>
    <row r="426" spans="19:55" ht="15.75" customHeight="1">
      <c r="S426" s="454"/>
      <c r="BA426" s="1305"/>
      <c r="BC426" s="169"/>
    </row>
    <row r="427" spans="19:55" ht="15.75" customHeight="1">
      <c r="S427" s="454"/>
      <c r="BA427" s="1305"/>
      <c r="BC427" s="169"/>
    </row>
    <row r="428" spans="19:55" ht="15.75" customHeight="1">
      <c r="S428" s="454"/>
      <c r="BA428" s="1305"/>
      <c r="BC428" s="169"/>
    </row>
    <row r="429" spans="19:55" ht="15.75" customHeight="1">
      <c r="S429" s="454"/>
      <c r="BA429" s="1305"/>
      <c r="BC429" s="169"/>
    </row>
    <row r="430" spans="19:55" ht="15.75" customHeight="1">
      <c r="S430" s="454"/>
      <c r="BA430" s="1305"/>
      <c r="BC430" s="169"/>
    </row>
    <row r="431" spans="19:55" ht="15.75" customHeight="1">
      <c r="S431" s="454"/>
      <c r="BA431" s="1305"/>
      <c r="BC431" s="169"/>
    </row>
    <row r="432" spans="19:55" ht="15.75" customHeight="1">
      <c r="S432" s="454"/>
      <c r="BA432" s="1305"/>
      <c r="BC432" s="169"/>
    </row>
    <row r="433" spans="19:55" ht="15.75" customHeight="1">
      <c r="S433" s="454"/>
      <c r="BA433" s="1305"/>
      <c r="BC433" s="169"/>
    </row>
    <row r="434" spans="19:55" ht="15.75" customHeight="1">
      <c r="S434" s="454"/>
      <c r="BA434" s="1305"/>
      <c r="BC434" s="169"/>
    </row>
    <row r="435" spans="19:55" ht="15.75" customHeight="1">
      <c r="S435" s="454"/>
      <c r="BA435" s="1305"/>
      <c r="BC435" s="169"/>
    </row>
    <row r="436" spans="19:55" ht="15.75" customHeight="1">
      <c r="S436" s="454"/>
      <c r="BA436" s="1305"/>
      <c r="BC436" s="169"/>
    </row>
    <row r="437" spans="19:55" ht="15.75" customHeight="1">
      <c r="S437" s="454"/>
      <c r="BA437" s="1305"/>
      <c r="BC437" s="169"/>
    </row>
    <row r="438" spans="19:55" ht="15.75" customHeight="1">
      <c r="S438" s="454"/>
      <c r="BA438" s="1305"/>
      <c r="BC438" s="169"/>
    </row>
    <row r="439" spans="19:55" ht="15.75" customHeight="1">
      <c r="S439" s="454"/>
      <c r="BA439" s="1305"/>
      <c r="BC439" s="169"/>
    </row>
    <row r="440" spans="19:55" ht="15.75" customHeight="1">
      <c r="S440" s="454"/>
      <c r="BA440" s="1305"/>
      <c r="BC440" s="169"/>
    </row>
    <row r="441" spans="19:55" ht="15.75" customHeight="1">
      <c r="S441" s="454"/>
      <c r="BA441" s="1305"/>
      <c r="BC441" s="169"/>
    </row>
    <row r="442" spans="19:55" ht="15.75" customHeight="1">
      <c r="S442" s="454"/>
      <c r="BA442" s="1305"/>
      <c r="BC442" s="169"/>
    </row>
    <row r="443" spans="19:55" ht="15.75" customHeight="1">
      <c r="S443" s="454"/>
      <c r="BA443" s="1305"/>
      <c r="BC443" s="169"/>
    </row>
    <row r="444" spans="19:55" ht="15.75" customHeight="1">
      <c r="S444" s="454"/>
      <c r="BA444" s="1305"/>
      <c r="BC444" s="169"/>
    </row>
    <row r="445" spans="19:55" ht="15.75" customHeight="1">
      <c r="S445" s="454"/>
      <c r="BA445" s="1305"/>
      <c r="BC445" s="169"/>
    </row>
    <row r="446" spans="19:55" ht="15.75" customHeight="1">
      <c r="S446" s="454"/>
      <c r="BA446" s="1305"/>
      <c r="BC446" s="169"/>
    </row>
    <row r="447" spans="19:55" ht="15.75" customHeight="1">
      <c r="S447" s="454"/>
      <c r="BA447" s="1305"/>
      <c r="BC447" s="169"/>
    </row>
    <row r="448" spans="19:55" ht="15.75" customHeight="1">
      <c r="S448" s="454"/>
      <c r="BA448" s="1305"/>
      <c r="BC448" s="169"/>
    </row>
    <row r="449" spans="19:55" ht="15.75" customHeight="1">
      <c r="S449" s="454"/>
      <c r="BA449" s="1305"/>
      <c r="BC449" s="169"/>
    </row>
    <row r="450" spans="19:55" ht="15.75" customHeight="1">
      <c r="S450" s="454"/>
      <c r="BA450" s="1305"/>
      <c r="BC450" s="169"/>
    </row>
    <row r="451" spans="19:55" ht="15.75" customHeight="1">
      <c r="S451" s="454"/>
      <c r="BA451" s="1305"/>
      <c r="BC451" s="169"/>
    </row>
    <row r="452" spans="19:55" ht="15.75" customHeight="1">
      <c r="S452" s="454"/>
      <c r="BA452" s="1305"/>
      <c r="BC452" s="169"/>
    </row>
    <row r="453" spans="19:55" ht="15.75" customHeight="1">
      <c r="S453" s="454"/>
      <c r="BA453" s="1305"/>
      <c r="BC453" s="169"/>
    </row>
    <row r="454" spans="19:55" ht="15.75" customHeight="1">
      <c r="S454" s="454"/>
      <c r="BA454" s="1305"/>
      <c r="BC454" s="169"/>
    </row>
    <row r="455" spans="19:55" ht="15.75" customHeight="1">
      <c r="S455" s="454"/>
      <c r="BA455" s="1305"/>
      <c r="BC455" s="169"/>
    </row>
    <row r="456" spans="19:55" ht="15.75" customHeight="1">
      <c r="S456" s="454"/>
      <c r="BA456" s="1305"/>
      <c r="BC456" s="169"/>
    </row>
    <row r="457" spans="19:55" ht="15.75" customHeight="1">
      <c r="S457" s="454"/>
      <c r="BA457" s="1305"/>
      <c r="BC457" s="169"/>
    </row>
    <row r="458" spans="19:55" ht="15.75" customHeight="1">
      <c r="S458" s="454"/>
      <c r="BA458" s="1305"/>
      <c r="BC458" s="169"/>
    </row>
    <row r="459" spans="19:55" ht="15.75" customHeight="1">
      <c r="S459" s="454"/>
      <c r="BA459" s="1305"/>
      <c r="BC459" s="169"/>
    </row>
    <row r="460" spans="19:55" ht="15.75" customHeight="1">
      <c r="S460" s="454"/>
      <c r="BA460" s="1305"/>
      <c r="BC460" s="169"/>
    </row>
    <row r="461" spans="19:55" ht="15.75" customHeight="1">
      <c r="S461" s="454"/>
      <c r="BA461" s="1305"/>
      <c r="BC461" s="169"/>
    </row>
    <row r="462" spans="19:55" ht="15.75" customHeight="1">
      <c r="S462" s="454"/>
      <c r="BA462" s="1305"/>
      <c r="BC462" s="169"/>
    </row>
    <row r="463" spans="19:55" ht="15.75" customHeight="1">
      <c r="S463" s="454"/>
      <c r="BA463" s="1305"/>
      <c r="BC463" s="169"/>
    </row>
    <row r="464" spans="19:55" ht="15.75" customHeight="1">
      <c r="S464" s="454"/>
      <c r="BA464" s="1305"/>
      <c r="BC464" s="169"/>
    </row>
    <row r="465" spans="19:55" ht="15.75" customHeight="1">
      <c r="S465" s="454"/>
      <c r="BA465" s="1305"/>
      <c r="BC465" s="169"/>
    </row>
    <row r="466" spans="19:55" ht="15.75" customHeight="1">
      <c r="S466" s="454"/>
      <c r="BA466" s="1305"/>
      <c r="BC466" s="169"/>
    </row>
    <row r="467" spans="19:55" ht="15.75" customHeight="1">
      <c r="S467" s="454"/>
      <c r="BA467" s="1305"/>
      <c r="BC467" s="169"/>
    </row>
    <row r="468" spans="19:55" ht="15.75" customHeight="1">
      <c r="S468" s="454"/>
      <c r="BA468" s="1305"/>
      <c r="BC468" s="169"/>
    </row>
    <row r="469" spans="19:55" ht="15.75" customHeight="1">
      <c r="S469" s="454"/>
      <c r="BA469" s="1305"/>
      <c r="BC469" s="169"/>
    </row>
    <row r="470" spans="19:55" ht="15.75" customHeight="1">
      <c r="S470" s="454"/>
      <c r="BA470" s="1305"/>
      <c r="BC470" s="169"/>
    </row>
    <row r="471" spans="19:55" ht="15.75" customHeight="1">
      <c r="S471" s="454"/>
      <c r="BA471" s="1305"/>
      <c r="BC471" s="169"/>
    </row>
    <row r="472" spans="19:55" ht="15.75" customHeight="1">
      <c r="S472" s="454"/>
      <c r="BA472" s="1305"/>
      <c r="BC472" s="169"/>
    </row>
    <row r="473" spans="19:55" ht="15.75" customHeight="1">
      <c r="S473" s="454"/>
      <c r="BA473" s="1305"/>
      <c r="BC473" s="169"/>
    </row>
    <row r="474" spans="19:55" ht="15.75" customHeight="1">
      <c r="S474" s="454"/>
      <c r="BA474" s="1305"/>
      <c r="BC474" s="169"/>
    </row>
    <row r="475" spans="19:55" ht="15.75" customHeight="1">
      <c r="S475" s="454"/>
      <c r="BA475" s="1305"/>
      <c r="BC475" s="169"/>
    </row>
    <row r="476" spans="19:55" ht="15.75" customHeight="1">
      <c r="S476" s="454"/>
      <c r="BA476" s="1305"/>
      <c r="BC476" s="169"/>
    </row>
    <row r="477" spans="19:55" ht="15.75" customHeight="1">
      <c r="S477" s="454"/>
      <c r="BA477" s="1305"/>
      <c r="BC477" s="169"/>
    </row>
    <row r="478" spans="19:55" ht="15.75" customHeight="1">
      <c r="S478" s="454"/>
      <c r="BA478" s="1305"/>
      <c r="BC478" s="169"/>
    </row>
    <row r="479" spans="19:55" ht="15.75" customHeight="1">
      <c r="S479" s="454"/>
      <c r="BA479" s="1305"/>
      <c r="BC479" s="169"/>
    </row>
    <row r="480" spans="19:55" ht="15.75" customHeight="1">
      <c r="S480" s="454"/>
      <c r="BA480" s="1305"/>
      <c r="BC480" s="169"/>
    </row>
    <row r="481" spans="19:55" ht="15.75" customHeight="1">
      <c r="S481" s="454"/>
      <c r="BA481" s="1305"/>
      <c r="BC481" s="169"/>
    </row>
    <row r="482" spans="19:55" ht="15.75" customHeight="1">
      <c r="S482" s="454"/>
      <c r="BA482" s="1305"/>
      <c r="BC482" s="169"/>
    </row>
    <row r="483" spans="19:55" ht="15.75" customHeight="1">
      <c r="S483" s="454"/>
      <c r="BA483" s="1305"/>
      <c r="BC483" s="169"/>
    </row>
    <row r="484" spans="19:55" ht="15.75" customHeight="1">
      <c r="S484" s="454"/>
      <c r="BA484" s="1305"/>
      <c r="BC484" s="169"/>
    </row>
    <row r="485" spans="19:55" ht="15.75" customHeight="1">
      <c r="S485" s="454"/>
      <c r="BA485" s="1305"/>
      <c r="BC485" s="169"/>
    </row>
    <row r="486" spans="19:55" ht="15.75" customHeight="1">
      <c r="S486" s="454"/>
      <c r="BA486" s="1305"/>
      <c r="BC486" s="169"/>
    </row>
    <row r="487" spans="19:55" ht="15.75" customHeight="1">
      <c r="S487" s="454"/>
      <c r="BA487" s="1305"/>
      <c r="BC487" s="169"/>
    </row>
    <row r="488" spans="19:55" ht="15.75" customHeight="1">
      <c r="S488" s="454"/>
      <c r="BA488" s="1305"/>
      <c r="BC488" s="169"/>
    </row>
    <row r="489" spans="19:55" ht="15.75" customHeight="1">
      <c r="S489" s="454"/>
      <c r="BA489" s="1305"/>
      <c r="BC489" s="169"/>
    </row>
    <row r="490" spans="19:55" ht="15.75" customHeight="1">
      <c r="S490" s="454"/>
      <c r="BA490" s="1305"/>
      <c r="BC490" s="169"/>
    </row>
    <row r="491" spans="19:55" ht="15.75" customHeight="1">
      <c r="S491" s="454"/>
      <c r="BA491" s="1305"/>
      <c r="BC491" s="169"/>
    </row>
    <row r="492" spans="19:55" ht="15.75" customHeight="1">
      <c r="S492" s="454"/>
      <c r="BA492" s="1305"/>
      <c r="BC492" s="169"/>
    </row>
    <row r="493" spans="19:55" ht="15.75" customHeight="1">
      <c r="S493" s="454"/>
      <c r="BA493" s="1305"/>
      <c r="BC493" s="169"/>
    </row>
    <row r="494" spans="19:55" ht="15.75" customHeight="1">
      <c r="S494" s="454"/>
      <c r="BA494" s="1305"/>
      <c r="BC494" s="169"/>
    </row>
    <row r="495" spans="19:55" ht="15.75" customHeight="1">
      <c r="S495" s="454"/>
      <c r="BA495" s="1305"/>
      <c r="BC495" s="169"/>
    </row>
    <row r="496" spans="19:55" ht="15.75" customHeight="1">
      <c r="S496" s="454"/>
      <c r="BA496" s="1305"/>
      <c r="BC496" s="169"/>
    </row>
    <row r="497" spans="19:55" ht="15.75" customHeight="1">
      <c r="S497" s="454"/>
      <c r="BA497" s="1305"/>
      <c r="BC497" s="169"/>
    </row>
    <row r="498" spans="19:55" ht="15.75" customHeight="1">
      <c r="S498" s="454"/>
      <c r="BA498" s="1305"/>
      <c r="BC498" s="169"/>
    </row>
    <row r="499" spans="19:55" ht="15.75" customHeight="1">
      <c r="S499" s="454"/>
      <c r="BA499" s="1305"/>
      <c r="BC499" s="169"/>
    </row>
    <row r="500" spans="19:55" ht="15.75" customHeight="1">
      <c r="S500" s="454"/>
      <c r="BA500" s="1305"/>
      <c r="BC500" s="169"/>
    </row>
    <row r="501" spans="19:55" ht="15.75" customHeight="1">
      <c r="S501" s="454"/>
      <c r="BA501" s="1305"/>
      <c r="BC501" s="169"/>
    </row>
    <row r="502" spans="19:55" ht="15.75" customHeight="1">
      <c r="S502" s="454"/>
      <c r="BA502" s="1305"/>
      <c r="BC502" s="169"/>
    </row>
    <row r="503" spans="19:55" ht="15.75" customHeight="1">
      <c r="S503" s="454"/>
      <c r="BA503" s="1305"/>
      <c r="BC503" s="169"/>
    </row>
    <row r="504" spans="19:55" ht="15.75" customHeight="1">
      <c r="S504" s="454"/>
      <c r="BA504" s="1305"/>
      <c r="BC504" s="169"/>
    </row>
    <row r="505" spans="19:55" ht="15.75" customHeight="1">
      <c r="S505" s="454"/>
      <c r="BA505" s="1305"/>
      <c r="BC505" s="169"/>
    </row>
    <row r="506" spans="19:55" ht="15.75" customHeight="1">
      <c r="S506" s="454"/>
      <c r="BA506" s="1305"/>
      <c r="BC506" s="169"/>
    </row>
    <row r="507" spans="19:55" ht="15.75" customHeight="1">
      <c r="S507" s="454"/>
      <c r="BA507" s="1305"/>
      <c r="BC507" s="169"/>
    </row>
    <row r="508" spans="19:55" ht="15.75" customHeight="1">
      <c r="S508" s="454"/>
      <c r="BA508" s="1305"/>
      <c r="BC508" s="169"/>
    </row>
    <row r="509" spans="19:55" ht="15.75" customHeight="1">
      <c r="S509" s="454"/>
      <c r="BA509" s="1305"/>
      <c r="BC509" s="169"/>
    </row>
    <row r="510" spans="19:55" ht="15.75" customHeight="1">
      <c r="S510" s="454"/>
      <c r="BA510" s="1305"/>
      <c r="BC510" s="169"/>
    </row>
    <row r="511" spans="19:55" ht="15.75" customHeight="1">
      <c r="S511" s="454"/>
      <c r="BA511" s="1305"/>
      <c r="BC511" s="169"/>
    </row>
    <row r="512" spans="19:55" ht="15.75" customHeight="1">
      <c r="S512" s="454"/>
      <c r="BA512" s="1305"/>
      <c r="BC512" s="169"/>
    </row>
    <row r="513" spans="19:55" ht="15.75" customHeight="1">
      <c r="S513" s="454"/>
      <c r="BA513" s="1305"/>
      <c r="BC513" s="169"/>
    </row>
    <row r="514" spans="19:55" ht="15.75" customHeight="1">
      <c r="S514" s="454"/>
      <c r="BA514" s="1305"/>
      <c r="BC514" s="169"/>
    </row>
    <row r="515" spans="19:55" ht="15.75" customHeight="1">
      <c r="S515" s="454"/>
      <c r="BA515" s="1305"/>
      <c r="BC515" s="169"/>
    </row>
    <row r="516" spans="19:55" ht="15.75" customHeight="1">
      <c r="S516" s="454"/>
      <c r="BA516" s="1305"/>
      <c r="BC516" s="169"/>
    </row>
    <row r="517" spans="19:55" ht="15.75" customHeight="1">
      <c r="S517" s="454"/>
      <c r="BA517" s="1305"/>
      <c r="BC517" s="169"/>
    </row>
    <row r="518" spans="19:55" ht="15.75" customHeight="1">
      <c r="S518" s="454"/>
      <c r="BA518" s="1305"/>
      <c r="BC518" s="169"/>
    </row>
    <row r="519" spans="19:55" ht="15.75" customHeight="1">
      <c r="S519" s="454"/>
      <c r="BA519" s="1305"/>
      <c r="BC519" s="169"/>
    </row>
    <row r="520" spans="19:55" ht="15.75" customHeight="1">
      <c r="S520" s="454"/>
      <c r="BA520" s="1305"/>
      <c r="BC520" s="169"/>
    </row>
    <row r="521" spans="19:55" ht="15.75" customHeight="1">
      <c r="S521" s="454"/>
      <c r="BA521" s="1305"/>
      <c r="BC521" s="169"/>
    </row>
    <row r="522" spans="19:55" ht="15.75" customHeight="1">
      <c r="S522" s="454"/>
      <c r="BA522" s="1305"/>
      <c r="BC522" s="169"/>
    </row>
    <row r="523" spans="19:55" ht="15.75" customHeight="1">
      <c r="S523" s="454"/>
      <c r="BA523" s="1305"/>
      <c r="BC523" s="169"/>
    </row>
    <row r="524" spans="19:55" ht="15.75" customHeight="1">
      <c r="S524" s="454"/>
      <c r="BA524" s="1305"/>
      <c r="BC524" s="169"/>
    </row>
    <row r="525" spans="19:55" ht="15.75" customHeight="1">
      <c r="S525" s="454"/>
      <c r="BA525" s="1305"/>
      <c r="BC525" s="169"/>
    </row>
    <row r="526" spans="19:55" ht="15.75" customHeight="1">
      <c r="S526" s="454"/>
      <c r="BA526" s="1305"/>
      <c r="BC526" s="169"/>
    </row>
    <row r="527" spans="19:55" ht="15.75" customHeight="1">
      <c r="S527" s="454"/>
      <c r="BA527" s="1305"/>
      <c r="BC527" s="169"/>
    </row>
    <row r="528" spans="19:55" ht="15.75" customHeight="1">
      <c r="S528" s="454"/>
      <c r="BA528" s="1305"/>
      <c r="BC528" s="169"/>
    </row>
    <row r="529" spans="19:55" ht="15.75" customHeight="1">
      <c r="S529" s="454"/>
      <c r="BA529" s="1305"/>
      <c r="BC529" s="169"/>
    </row>
    <row r="530" spans="19:55" ht="15.75" customHeight="1">
      <c r="S530" s="454"/>
      <c r="BA530" s="1305"/>
      <c r="BC530" s="169"/>
    </row>
    <row r="531" spans="19:55" ht="15.75" customHeight="1">
      <c r="S531" s="454"/>
      <c r="BA531" s="1305"/>
      <c r="BC531" s="169"/>
    </row>
    <row r="532" spans="19:55" ht="15.75" customHeight="1">
      <c r="S532" s="454"/>
      <c r="BA532" s="1305"/>
      <c r="BC532" s="169"/>
    </row>
    <row r="533" spans="19:55" ht="15.75" customHeight="1">
      <c r="S533" s="454"/>
      <c r="BA533" s="1305"/>
      <c r="BC533" s="169"/>
    </row>
    <row r="534" spans="19:55" ht="15.75" customHeight="1">
      <c r="S534" s="454"/>
      <c r="BA534" s="1305"/>
      <c r="BC534" s="169"/>
    </row>
    <row r="535" spans="19:55" ht="15.75" customHeight="1">
      <c r="S535" s="454"/>
      <c r="BA535" s="1305"/>
      <c r="BC535" s="169"/>
    </row>
    <row r="536" spans="19:55" ht="15.75" customHeight="1">
      <c r="S536" s="454"/>
      <c r="BA536" s="1305"/>
      <c r="BC536" s="169"/>
    </row>
    <row r="537" spans="19:55" ht="15.75" customHeight="1">
      <c r="S537" s="454"/>
      <c r="BA537" s="1305"/>
      <c r="BC537" s="169"/>
    </row>
    <row r="538" spans="19:55" ht="15.75" customHeight="1">
      <c r="S538" s="454"/>
      <c r="BA538" s="1305"/>
      <c r="BC538" s="169"/>
    </row>
    <row r="539" spans="19:55" ht="15.75" customHeight="1">
      <c r="S539" s="454"/>
      <c r="BA539" s="1305"/>
      <c r="BC539" s="169"/>
    </row>
    <row r="540" spans="19:55" ht="15.75" customHeight="1">
      <c r="S540" s="454"/>
      <c r="BA540" s="1305"/>
      <c r="BC540" s="169"/>
    </row>
    <row r="541" spans="19:55" ht="15.75" customHeight="1">
      <c r="S541" s="454"/>
      <c r="BA541" s="1305"/>
      <c r="BC541" s="169"/>
    </row>
    <row r="542" spans="19:55" ht="15.75" customHeight="1">
      <c r="S542" s="454"/>
      <c r="BA542" s="1305"/>
      <c r="BC542" s="169"/>
    </row>
    <row r="543" spans="19:55" ht="15.75" customHeight="1">
      <c r="S543" s="454"/>
      <c r="BA543" s="1305"/>
      <c r="BC543" s="169"/>
    </row>
    <row r="544" spans="19:55" ht="15.75" customHeight="1">
      <c r="S544" s="454"/>
      <c r="BA544" s="1305"/>
      <c r="BC544" s="169"/>
    </row>
    <row r="545" spans="19:55" ht="15.75" customHeight="1">
      <c r="S545" s="454"/>
      <c r="BA545" s="1305"/>
      <c r="BC545" s="169"/>
    </row>
    <row r="546" spans="19:55" ht="15.75" customHeight="1">
      <c r="S546" s="454"/>
      <c r="BA546" s="1305"/>
      <c r="BC546" s="169"/>
    </row>
    <row r="547" spans="19:55" ht="15.75" customHeight="1">
      <c r="S547" s="454"/>
      <c r="BA547" s="1305"/>
      <c r="BC547" s="169"/>
    </row>
    <row r="548" spans="19:55" ht="15.75" customHeight="1">
      <c r="S548" s="454"/>
      <c r="BA548" s="1305"/>
      <c r="BC548" s="169"/>
    </row>
    <row r="549" spans="19:55" ht="15.75" customHeight="1">
      <c r="S549" s="454"/>
      <c r="BA549" s="1305"/>
      <c r="BC549" s="169"/>
    </row>
    <row r="550" spans="19:55" ht="15.75" customHeight="1">
      <c r="S550" s="454"/>
      <c r="BA550" s="1305"/>
      <c r="BC550" s="169"/>
    </row>
    <row r="551" spans="19:55" ht="15.75" customHeight="1">
      <c r="S551" s="454"/>
      <c r="BA551" s="1305"/>
      <c r="BC551" s="169"/>
    </row>
    <row r="552" spans="19:55" ht="15.75" customHeight="1">
      <c r="S552" s="454"/>
      <c r="BA552" s="1305"/>
      <c r="BC552" s="169"/>
    </row>
    <row r="553" spans="19:55" ht="15.75" customHeight="1">
      <c r="S553" s="454"/>
      <c r="BA553" s="1305"/>
      <c r="BC553" s="169"/>
    </row>
    <row r="554" spans="19:55" ht="15.75" customHeight="1">
      <c r="S554" s="454"/>
      <c r="BA554" s="1305"/>
      <c r="BC554" s="169"/>
    </row>
    <row r="555" spans="19:55" ht="15.75" customHeight="1">
      <c r="S555" s="454"/>
      <c r="BA555" s="1305"/>
      <c r="BC555" s="169"/>
    </row>
    <row r="556" spans="19:55" ht="15.75" customHeight="1">
      <c r="S556" s="454"/>
      <c r="BA556" s="1305"/>
      <c r="BC556" s="169"/>
    </row>
    <row r="557" spans="19:55" ht="15.75" customHeight="1">
      <c r="S557" s="454"/>
      <c r="BA557" s="1305"/>
      <c r="BC557" s="169"/>
    </row>
    <row r="558" spans="19:55" ht="15.75" customHeight="1">
      <c r="S558" s="454"/>
      <c r="BA558" s="1305"/>
      <c r="BC558" s="169"/>
    </row>
    <row r="559" spans="19:55" ht="15.75" customHeight="1">
      <c r="S559" s="454"/>
      <c r="BA559" s="1305"/>
      <c r="BC559" s="169"/>
    </row>
    <row r="560" spans="19:55" ht="15.75" customHeight="1">
      <c r="S560" s="454"/>
      <c r="BA560" s="1305"/>
      <c r="BC560" s="169"/>
    </row>
    <row r="561" spans="19:55" ht="15.75" customHeight="1">
      <c r="S561" s="454"/>
      <c r="BA561" s="1305"/>
      <c r="BC561" s="169"/>
    </row>
    <row r="562" spans="19:55" ht="15.75" customHeight="1">
      <c r="S562" s="454"/>
      <c r="BA562" s="1305"/>
      <c r="BC562" s="169"/>
    </row>
    <row r="563" spans="19:55" ht="15.75" customHeight="1">
      <c r="S563" s="454"/>
      <c r="BA563" s="1305"/>
      <c r="BC563" s="169"/>
    </row>
    <row r="564" spans="19:55" ht="15.75" customHeight="1">
      <c r="S564" s="454"/>
      <c r="BA564" s="1305"/>
      <c r="BC564" s="169"/>
    </row>
    <row r="565" spans="19:55" ht="15.75" customHeight="1">
      <c r="S565" s="454"/>
      <c r="BA565" s="1305"/>
      <c r="BC565" s="169"/>
    </row>
    <row r="566" spans="19:55" ht="15.75" customHeight="1">
      <c r="S566" s="454"/>
      <c r="BA566" s="1305"/>
      <c r="BC566" s="169"/>
    </row>
    <row r="567" spans="19:55" ht="15.75" customHeight="1">
      <c r="S567" s="454"/>
      <c r="BA567" s="1305"/>
      <c r="BC567" s="169"/>
    </row>
    <row r="568" spans="19:55" ht="15.75" customHeight="1">
      <c r="S568" s="454"/>
      <c r="BA568" s="1305"/>
      <c r="BC568" s="169"/>
    </row>
    <row r="569" spans="19:55" ht="15.75" customHeight="1">
      <c r="S569" s="454"/>
      <c r="BA569" s="1305"/>
      <c r="BC569" s="169"/>
    </row>
    <row r="570" spans="19:55" ht="15.75" customHeight="1">
      <c r="S570" s="454"/>
      <c r="BA570" s="1305"/>
      <c r="BC570" s="169"/>
    </row>
    <row r="571" spans="19:55" ht="15.75" customHeight="1">
      <c r="S571" s="454"/>
      <c r="BA571" s="1305"/>
      <c r="BC571" s="169"/>
    </row>
    <row r="572" spans="19:55" ht="15.75" customHeight="1">
      <c r="S572" s="454"/>
      <c r="BA572" s="1305"/>
      <c r="BC572" s="169"/>
    </row>
    <row r="573" spans="19:55" ht="15.75" customHeight="1">
      <c r="S573" s="454"/>
      <c r="BA573" s="1305"/>
      <c r="BC573" s="169"/>
    </row>
    <row r="574" spans="19:55" ht="15.75" customHeight="1">
      <c r="S574" s="454"/>
      <c r="BA574" s="1305"/>
      <c r="BC574" s="169"/>
    </row>
    <row r="575" spans="19:55" ht="15.75" customHeight="1">
      <c r="S575" s="454"/>
      <c r="BA575" s="1305"/>
      <c r="BC575" s="169"/>
    </row>
    <row r="576" spans="19:55" ht="15.75" customHeight="1">
      <c r="S576" s="454"/>
      <c r="BA576" s="1305"/>
      <c r="BC576" s="169"/>
    </row>
    <row r="577" spans="19:55" ht="15.75" customHeight="1">
      <c r="S577" s="454"/>
      <c r="BA577" s="1305"/>
      <c r="BC577" s="169"/>
    </row>
    <row r="578" spans="19:55" ht="15.75" customHeight="1">
      <c r="S578" s="454"/>
      <c r="BA578" s="1305"/>
      <c r="BC578" s="169"/>
    </row>
    <row r="579" spans="19:55" ht="15.75" customHeight="1">
      <c r="S579" s="454"/>
      <c r="BA579" s="1305"/>
      <c r="BC579" s="169"/>
    </row>
    <row r="580" spans="19:55" ht="15.75" customHeight="1">
      <c r="S580" s="454"/>
      <c r="BA580" s="1305"/>
      <c r="BC580" s="169"/>
    </row>
    <row r="581" spans="19:55" ht="15.75" customHeight="1">
      <c r="S581" s="454"/>
      <c r="BA581" s="1305"/>
      <c r="BC581" s="169"/>
    </row>
    <row r="582" spans="19:55" ht="15.75" customHeight="1">
      <c r="S582" s="454"/>
      <c r="BA582" s="1305"/>
      <c r="BC582" s="169"/>
    </row>
    <row r="583" spans="19:55" ht="15.75" customHeight="1">
      <c r="S583" s="454"/>
      <c r="BA583" s="1305"/>
      <c r="BC583" s="169"/>
    </row>
    <row r="584" spans="19:55" ht="15.75" customHeight="1">
      <c r="S584" s="454"/>
      <c r="BA584" s="1305"/>
      <c r="BC584" s="169"/>
    </row>
    <row r="585" spans="19:55" ht="15.75" customHeight="1">
      <c r="S585" s="454"/>
      <c r="BA585" s="1305"/>
      <c r="BC585" s="169"/>
    </row>
    <row r="586" spans="19:55" ht="15.75" customHeight="1">
      <c r="S586" s="454"/>
      <c r="BA586" s="1305"/>
      <c r="BC586" s="169"/>
    </row>
    <row r="587" spans="19:55" ht="15.75" customHeight="1">
      <c r="S587" s="454"/>
      <c r="BA587" s="1305"/>
      <c r="BC587" s="169"/>
    </row>
    <row r="588" spans="19:55" ht="15.75" customHeight="1">
      <c r="S588" s="454"/>
      <c r="BA588" s="1305"/>
      <c r="BC588" s="169"/>
    </row>
    <row r="589" spans="19:55" ht="15.75" customHeight="1">
      <c r="S589" s="454"/>
      <c r="BA589" s="1305"/>
      <c r="BC589" s="169"/>
    </row>
    <row r="590" spans="19:55" ht="15.75" customHeight="1">
      <c r="S590" s="454"/>
      <c r="BA590" s="1305"/>
      <c r="BC590" s="169"/>
    </row>
    <row r="591" spans="19:55" ht="15.75" customHeight="1">
      <c r="S591" s="454"/>
      <c r="BA591" s="1305"/>
      <c r="BC591" s="169"/>
    </row>
    <row r="592" spans="19:55" ht="15.75" customHeight="1">
      <c r="S592" s="454"/>
      <c r="BA592" s="1305"/>
      <c r="BC592" s="169"/>
    </row>
    <row r="593" spans="19:55" ht="15.75" customHeight="1">
      <c r="S593" s="454"/>
      <c r="BA593" s="1305"/>
      <c r="BC593" s="169"/>
    </row>
    <row r="594" spans="19:55" ht="15.75" customHeight="1">
      <c r="S594" s="454"/>
      <c r="BA594" s="1305"/>
      <c r="BC594" s="169"/>
    </row>
    <row r="595" spans="19:55" ht="15.75" customHeight="1">
      <c r="S595" s="454"/>
      <c r="BA595" s="1305"/>
      <c r="BC595" s="169"/>
    </row>
    <row r="596" spans="19:55" ht="15.75" customHeight="1">
      <c r="S596" s="454"/>
      <c r="BA596" s="1305"/>
      <c r="BC596" s="169"/>
    </row>
    <row r="597" spans="19:55" ht="15.75" customHeight="1">
      <c r="S597" s="454"/>
      <c r="BA597" s="1305"/>
      <c r="BC597" s="169"/>
    </row>
    <row r="598" spans="19:55" ht="15.75" customHeight="1">
      <c r="S598" s="454"/>
      <c r="BA598" s="1305"/>
      <c r="BC598" s="169"/>
    </row>
    <row r="599" spans="19:55" ht="15.75" customHeight="1">
      <c r="S599" s="454"/>
      <c r="BA599" s="1305"/>
      <c r="BC599" s="169"/>
    </row>
    <row r="600" spans="19:55" ht="15.75" customHeight="1">
      <c r="S600" s="454"/>
      <c r="BA600" s="1305"/>
      <c r="BC600" s="169"/>
    </row>
    <row r="601" spans="19:55" ht="15.75" customHeight="1">
      <c r="S601" s="454"/>
      <c r="BA601" s="1305"/>
      <c r="BC601" s="169"/>
    </row>
    <row r="602" spans="19:55" ht="15.75" customHeight="1">
      <c r="S602" s="454"/>
      <c r="BA602" s="1305"/>
      <c r="BC602" s="169"/>
    </row>
    <row r="603" spans="19:55" ht="15.75" customHeight="1">
      <c r="S603" s="454"/>
      <c r="BA603" s="1305"/>
      <c r="BC603" s="169"/>
    </row>
    <row r="604" spans="19:55" ht="15.75" customHeight="1">
      <c r="S604" s="454"/>
      <c r="BA604" s="1305"/>
      <c r="BC604" s="169"/>
    </row>
    <row r="605" spans="19:55" ht="15.75" customHeight="1">
      <c r="S605" s="454"/>
      <c r="BA605" s="1305"/>
      <c r="BC605" s="169"/>
    </row>
    <row r="606" spans="19:55" ht="15.75" customHeight="1">
      <c r="S606" s="454"/>
      <c r="BA606" s="1305"/>
      <c r="BC606" s="169"/>
    </row>
    <row r="607" spans="19:55" ht="15.75" customHeight="1">
      <c r="S607" s="454"/>
      <c r="BA607" s="1305"/>
      <c r="BC607" s="169"/>
    </row>
    <row r="608" spans="19:55" ht="15.75" customHeight="1">
      <c r="S608" s="454"/>
      <c r="BA608" s="1305"/>
      <c r="BC608" s="169"/>
    </row>
    <row r="609" spans="19:55" ht="15.75" customHeight="1">
      <c r="S609" s="454"/>
      <c r="BA609" s="1305"/>
      <c r="BC609" s="169"/>
    </row>
    <row r="610" spans="19:55" ht="15.75" customHeight="1">
      <c r="S610" s="454"/>
      <c r="BA610" s="1305"/>
      <c r="BC610" s="169"/>
    </row>
    <row r="611" spans="19:55" ht="15.75" customHeight="1">
      <c r="S611" s="454"/>
      <c r="BA611" s="1305"/>
      <c r="BC611" s="169"/>
    </row>
    <row r="612" spans="19:55" ht="15.75" customHeight="1">
      <c r="S612" s="454"/>
      <c r="BA612" s="1305"/>
      <c r="BC612" s="169"/>
    </row>
    <row r="613" spans="19:55" ht="15.75" customHeight="1">
      <c r="S613" s="454"/>
      <c r="BA613" s="1305"/>
      <c r="BC613" s="169"/>
    </row>
    <row r="614" spans="19:55" ht="15.75" customHeight="1">
      <c r="S614" s="454"/>
      <c r="BA614" s="1305"/>
      <c r="BC614" s="169"/>
    </row>
    <row r="615" spans="19:55" ht="15.75" customHeight="1">
      <c r="S615" s="454"/>
      <c r="BA615" s="1305"/>
      <c r="BC615" s="169"/>
    </row>
    <row r="616" spans="19:55" ht="15.75" customHeight="1">
      <c r="S616" s="454"/>
      <c r="BA616" s="1305"/>
      <c r="BC616" s="169"/>
    </row>
    <row r="617" spans="19:55" ht="15.75" customHeight="1">
      <c r="S617" s="454"/>
      <c r="BA617" s="1305"/>
      <c r="BC617" s="169"/>
    </row>
    <row r="618" spans="19:55" ht="15.75" customHeight="1">
      <c r="S618" s="454"/>
      <c r="BA618" s="1305"/>
      <c r="BC618" s="169"/>
    </row>
    <row r="619" spans="19:55" ht="15.75" customHeight="1">
      <c r="S619" s="454"/>
      <c r="BA619" s="1305"/>
      <c r="BC619" s="169"/>
    </row>
    <row r="620" spans="19:55" ht="15.75" customHeight="1">
      <c r="S620" s="454"/>
      <c r="BA620" s="1305"/>
      <c r="BC620" s="169"/>
    </row>
    <row r="621" spans="19:55" ht="15.75" customHeight="1">
      <c r="S621" s="454"/>
      <c r="BA621" s="1305"/>
      <c r="BC621" s="169"/>
    </row>
    <row r="622" spans="19:55" ht="15.75" customHeight="1">
      <c r="S622" s="454"/>
      <c r="BA622" s="1305"/>
      <c r="BC622" s="169"/>
    </row>
    <row r="623" spans="19:55" ht="15.75" customHeight="1">
      <c r="S623" s="454"/>
      <c r="BA623" s="1305"/>
      <c r="BC623" s="169"/>
    </row>
    <row r="624" spans="19:55" ht="15.75" customHeight="1">
      <c r="S624" s="454"/>
      <c r="BA624" s="1305"/>
      <c r="BC624" s="169"/>
    </row>
    <row r="625" spans="19:55" ht="15.75" customHeight="1">
      <c r="S625" s="454"/>
      <c r="BA625" s="1305"/>
      <c r="BC625" s="169"/>
    </row>
    <row r="626" spans="19:55" ht="15.75" customHeight="1">
      <c r="S626" s="454"/>
      <c r="BA626" s="1305"/>
      <c r="BC626" s="169"/>
    </row>
    <row r="627" spans="19:55" ht="15.75" customHeight="1">
      <c r="S627" s="454"/>
      <c r="BA627" s="1305"/>
      <c r="BC627" s="169"/>
    </row>
    <row r="628" spans="19:55" ht="15.75" customHeight="1">
      <c r="S628" s="454"/>
      <c r="BA628" s="1305"/>
      <c r="BC628" s="169"/>
    </row>
    <row r="629" spans="19:55" ht="15.75" customHeight="1">
      <c r="S629" s="454"/>
      <c r="BA629" s="1305"/>
      <c r="BC629" s="169"/>
    </row>
    <row r="630" spans="19:55" ht="15.75" customHeight="1">
      <c r="S630" s="454"/>
      <c r="BA630" s="1305"/>
      <c r="BC630" s="169"/>
    </row>
    <row r="631" spans="19:55" ht="15.75" customHeight="1">
      <c r="S631" s="454"/>
      <c r="BA631" s="1305"/>
      <c r="BC631" s="169"/>
    </row>
    <row r="632" spans="19:55" ht="15.75" customHeight="1">
      <c r="S632" s="454"/>
      <c r="BA632" s="1305"/>
      <c r="BC632" s="169"/>
    </row>
    <row r="633" spans="19:55" ht="15.75" customHeight="1">
      <c r="S633" s="454"/>
      <c r="BA633" s="1305"/>
      <c r="BC633" s="169"/>
    </row>
    <row r="634" spans="19:55" ht="15.75" customHeight="1">
      <c r="S634" s="454"/>
      <c r="BA634" s="1305"/>
      <c r="BC634" s="169"/>
    </row>
    <row r="635" spans="19:55" ht="15.75" customHeight="1">
      <c r="S635" s="454"/>
      <c r="BA635" s="1305"/>
      <c r="BC635" s="169"/>
    </row>
    <row r="636" spans="19:55" ht="15.75" customHeight="1">
      <c r="S636" s="454"/>
      <c r="BA636" s="1305"/>
      <c r="BC636" s="169"/>
    </row>
    <row r="637" spans="19:55" ht="15.75" customHeight="1">
      <c r="S637" s="454"/>
      <c r="BA637" s="1305"/>
      <c r="BC637" s="169"/>
    </row>
    <row r="638" spans="19:55" ht="15.75" customHeight="1">
      <c r="S638" s="454"/>
      <c r="BA638" s="1305"/>
      <c r="BC638" s="169"/>
    </row>
    <row r="639" spans="19:55" ht="15.75" customHeight="1">
      <c r="S639" s="454"/>
      <c r="BA639" s="1305"/>
      <c r="BC639" s="169"/>
    </row>
    <row r="640" spans="19:55" ht="15.75" customHeight="1">
      <c r="S640" s="454"/>
      <c r="BA640" s="1305"/>
      <c r="BC640" s="169"/>
    </row>
    <row r="641" spans="19:55" ht="15.75" customHeight="1">
      <c r="S641" s="454"/>
      <c r="BA641" s="1305"/>
      <c r="BC641" s="169"/>
    </row>
    <row r="642" spans="19:55" ht="15.75" customHeight="1">
      <c r="S642" s="454"/>
      <c r="BA642" s="1305"/>
      <c r="BC642" s="169"/>
    </row>
    <row r="643" spans="19:55" ht="15.75" customHeight="1">
      <c r="S643" s="454"/>
      <c r="BA643" s="1305"/>
      <c r="BC643" s="169"/>
    </row>
    <row r="644" spans="19:55" ht="15.75" customHeight="1">
      <c r="S644" s="454"/>
      <c r="BA644" s="1305"/>
      <c r="BC644" s="169"/>
    </row>
    <row r="645" spans="19:55" ht="15.75" customHeight="1">
      <c r="S645" s="454"/>
      <c r="BA645" s="1305"/>
      <c r="BC645" s="169"/>
    </row>
    <row r="646" spans="19:55" ht="15.75" customHeight="1">
      <c r="S646" s="454"/>
      <c r="BA646" s="1305"/>
      <c r="BC646" s="169"/>
    </row>
    <row r="647" spans="19:55" ht="15.75" customHeight="1">
      <c r="S647" s="454"/>
      <c r="BA647" s="1305"/>
      <c r="BC647" s="169"/>
    </row>
    <row r="648" spans="19:55" ht="15.75" customHeight="1">
      <c r="S648" s="454"/>
      <c r="BA648" s="1305"/>
      <c r="BC648" s="169"/>
    </row>
    <row r="649" spans="19:55" ht="15.75" customHeight="1">
      <c r="S649" s="454"/>
      <c r="BA649" s="1305"/>
      <c r="BC649" s="169"/>
    </row>
    <row r="650" spans="19:55" ht="15.75" customHeight="1">
      <c r="S650" s="454"/>
      <c r="BA650" s="1305"/>
      <c r="BC650" s="169"/>
    </row>
    <row r="651" spans="19:55" ht="15.75" customHeight="1">
      <c r="S651" s="454"/>
      <c r="BA651" s="1305"/>
      <c r="BC651" s="169"/>
    </row>
    <row r="652" spans="19:55" ht="15.75" customHeight="1">
      <c r="S652" s="454"/>
      <c r="BA652" s="1305"/>
      <c r="BC652" s="169"/>
    </row>
    <row r="653" spans="19:55" ht="15.75" customHeight="1">
      <c r="S653" s="454"/>
      <c r="BA653" s="1305"/>
      <c r="BC653" s="169"/>
    </row>
    <row r="654" spans="19:55" ht="15.75" customHeight="1">
      <c r="S654" s="454"/>
      <c r="BA654" s="1305"/>
      <c r="BC654" s="169"/>
    </row>
    <row r="655" spans="19:55" ht="15.75" customHeight="1">
      <c r="S655" s="454"/>
      <c r="BA655" s="1305"/>
      <c r="BC655" s="169"/>
    </row>
    <row r="656" spans="19:55" ht="15.75" customHeight="1">
      <c r="S656" s="454"/>
      <c r="BA656" s="1305"/>
      <c r="BC656" s="169"/>
    </row>
    <row r="657" spans="19:55" ht="15.75" customHeight="1">
      <c r="S657" s="454"/>
      <c r="BA657" s="1305"/>
      <c r="BC657" s="169"/>
    </row>
    <row r="658" spans="19:55" ht="15.75" customHeight="1">
      <c r="S658" s="454"/>
      <c r="BA658" s="1305"/>
      <c r="BC658" s="169"/>
    </row>
    <row r="659" spans="19:55" ht="15.75" customHeight="1">
      <c r="S659" s="454"/>
      <c r="BA659" s="1305"/>
      <c r="BC659" s="169"/>
    </row>
    <row r="660" spans="19:55" ht="15.75" customHeight="1">
      <c r="S660" s="454"/>
      <c r="BA660" s="1305"/>
      <c r="BC660" s="169"/>
    </row>
    <row r="661" spans="19:55" ht="15.75" customHeight="1">
      <c r="S661" s="454"/>
      <c r="BA661" s="1305"/>
      <c r="BC661" s="169"/>
    </row>
    <row r="662" spans="19:55" ht="15.75" customHeight="1">
      <c r="S662" s="454"/>
      <c r="BA662" s="1305"/>
      <c r="BC662" s="169"/>
    </row>
    <row r="663" spans="19:55" ht="15.75" customHeight="1">
      <c r="S663" s="454"/>
      <c r="BA663" s="1305"/>
      <c r="BC663" s="169"/>
    </row>
    <row r="664" spans="19:55" ht="15.75" customHeight="1">
      <c r="S664" s="454"/>
      <c r="BA664" s="1305"/>
      <c r="BC664" s="169"/>
    </row>
    <row r="665" spans="19:55" ht="15.75" customHeight="1">
      <c r="S665" s="454"/>
      <c r="BA665" s="1305"/>
      <c r="BC665" s="169"/>
    </row>
    <row r="666" spans="19:55" ht="15.75" customHeight="1">
      <c r="S666" s="454"/>
      <c r="BA666" s="1305"/>
      <c r="BC666" s="169"/>
    </row>
    <row r="667" spans="19:55" ht="15.75" customHeight="1">
      <c r="S667" s="454"/>
      <c r="BA667" s="1305"/>
      <c r="BC667" s="169"/>
    </row>
    <row r="668" spans="19:55" ht="15.75" customHeight="1">
      <c r="S668" s="454"/>
      <c r="BA668" s="1305"/>
      <c r="BC668" s="169"/>
    </row>
    <row r="669" spans="19:55" ht="15.75" customHeight="1">
      <c r="S669" s="454"/>
      <c r="BA669" s="1305"/>
      <c r="BC669" s="169"/>
    </row>
    <row r="670" spans="19:55" ht="15.75" customHeight="1">
      <c r="S670" s="454"/>
      <c r="BA670" s="1305"/>
      <c r="BC670" s="169"/>
    </row>
    <row r="671" spans="19:55" ht="15.75" customHeight="1">
      <c r="S671" s="454"/>
      <c r="BA671" s="1305"/>
      <c r="BC671" s="169"/>
    </row>
    <row r="672" spans="19:55" ht="15.75" customHeight="1">
      <c r="S672" s="454"/>
      <c r="BA672" s="1305"/>
      <c r="BC672" s="169"/>
    </row>
    <row r="673" spans="19:55" ht="15.75" customHeight="1">
      <c r="S673" s="454"/>
      <c r="BA673" s="1305"/>
      <c r="BC673" s="169"/>
    </row>
    <row r="674" spans="19:55" ht="15.75" customHeight="1">
      <c r="S674" s="454"/>
      <c r="BA674" s="1305"/>
      <c r="BC674" s="169"/>
    </row>
    <row r="675" spans="19:55" ht="15.75" customHeight="1">
      <c r="S675" s="454"/>
      <c r="BA675" s="1305"/>
      <c r="BC675" s="169"/>
    </row>
    <row r="676" spans="19:55" ht="15.75" customHeight="1">
      <c r="S676" s="454"/>
      <c r="BA676" s="1305"/>
      <c r="BC676" s="169"/>
    </row>
    <row r="677" spans="19:55" ht="15.75" customHeight="1">
      <c r="S677" s="454"/>
      <c r="BA677" s="1305"/>
      <c r="BC677" s="169"/>
    </row>
    <row r="678" spans="19:55" ht="15.75" customHeight="1">
      <c r="S678" s="454"/>
      <c r="BA678" s="1305"/>
      <c r="BC678" s="169"/>
    </row>
    <row r="679" spans="19:55" ht="15.75" customHeight="1">
      <c r="S679" s="454"/>
      <c r="BA679" s="1305"/>
      <c r="BC679" s="169"/>
    </row>
    <row r="680" spans="19:55" ht="15.75" customHeight="1">
      <c r="S680" s="454"/>
      <c r="BA680" s="1305"/>
      <c r="BC680" s="169"/>
    </row>
    <row r="681" spans="19:55" ht="15.75" customHeight="1">
      <c r="S681" s="454"/>
      <c r="BA681" s="1305"/>
      <c r="BC681" s="169"/>
    </row>
    <row r="682" spans="19:55" ht="15.75" customHeight="1">
      <c r="S682" s="454"/>
      <c r="BA682" s="1305"/>
      <c r="BC682" s="169"/>
    </row>
    <row r="683" spans="19:55" ht="15.75" customHeight="1">
      <c r="S683" s="454"/>
      <c r="BA683" s="1305"/>
      <c r="BC683" s="169"/>
    </row>
    <row r="684" spans="19:55" ht="15.75" customHeight="1">
      <c r="S684" s="454"/>
      <c r="BA684" s="1305"/>
      <c r="BC684" s="169"/>
    </row>
    <row r="685" spans="19:55" ht="15.75" customHeight="1">
      <c r="S685" s="454"/>
      <c r="BA685" s="1305"/>
      <c r="BC685" s="169"/>
    </row>
    <row r="686" spans="19:55" ht="15.75" customHeight="1">
      <c r="S686" s="454"/>
      <c r="BA686" s="1305"/>
      <c r="BC686" s="169"/>
    </row>
    <row r="687" spans="19:55" ht="15.75" customHeight="1">
      <c r="S687" s="454"/>
      <c r="BA687" s="1305"/>
      <c r="BC687" s="169"/>
    </row>
    <row r="688" spans="19:55" ht="15.75" customHeight="1">
      <c r="S688" s="454"/>
      <c r="BA688" s="1305"/>
      <c r="BC688" s="169"/>
    </row>
    <row r="689" spans="19:55" ht="15.75" customHeight="1">
      <c r="S689" s="454"/>
      <c r="BA689" s="1305"/>
      <c r="BC689" s="169"/>
    </row>
    <row r="690" spans="19:55" ht="15.75" customHeight="1">
      <c r="S690" s="454"/>
      <c r="BA690" s="1305"/>
      <c r="BC690" s="169"/>
    </row>
    <row r="691" spans="19:55" ht="15.75" customHeight="1">
      <c r="S691" s="454"/>
      <c r="BA691" s="1305"/>
      <c r="BC691" s="169"/>
    </row>
    <row r="692" spans="19:55" ht="15.75" customHeight="1">
      <c r="S692" s="454"/>
      <c r="BA692" s="1305"/>
      <c r="BC692" s="169"/>
    </row>
    <row r="693" spans="19:55" ht="15.75" customHeight="1">
      <c r="S693" s="454"/>
      <c r="BA693" s="1305"/>
      <c r="BC693" s="169"/>
    </row>
    <row r="694" spans="19:55" ht="15.75" customHeight="1">
      <c r="S694" s="454"/>
      <c r="BA694" s="1305"/>
      <c r="BC694" s="169"/>
    </row>
    <row r="695" spans="19:55" ht="15.75" customHeight="1">
      <c r="S695" s="454"/>
      <c r="BA695" s="1305"/>
      <c r="BC695" s="169"/>
    </row>
    <row r="696" spans="19:55" ht="15.75" customHeight="1">
      <c r="S696" s="454"/>
      <c r="BA696" s="1305"/>
      <c r="BC696" s="169"/>
    </row>
    <row r="697" spans="19:55" ht="15.75" customHeight="1">
      <c r="S697" s="454"/>
      <c r="BA697" s="1305"/>
      <c r="BC697" s="169"/>
    </row>
    <row r="698" spans="19:55" ht="15.75" customHeight="1">
      <c r="S698" s="454"/>
      <c r="BA698" s="1305"/>
      <c r="BC698" s="169"/>
    </row>
    <row r="699" spans="19:55" ht="15.75" customHeight="1">
      <c r="S699" s="454"/>
      <c r="BA699" s="1305"/>
      <c r="BC699" s="169"/>
    </row>
    <row r="700" spans="19:55" ht="15.75" customHeight="1">
      <c r="S700" s="454"/>
      <c r="BA700" s="1305"/>
      <c r="BC700" s="169"/>
    </row>
    <row r="701" spans="19:55" ht="15.75" customHeight="1">
      <c r="S701" s="454"/>
      <c r="BA701" s="1305"/>
      <c r="BC701" s="169"/>
    </row>
    <row r="702" spans="19:55" ht="15.75" customHeight="1">
      <c r="S702" s="454"/>
      <c r="BA702" s="1305"/>
      <c r="BC702" s="169"/>
    </row>
    <row r="703" spans="19:55" ht="15.75" customHeight="1">
      <c r="S703" s="454"/>
      <c r="BA703" s="1305"/>
      <c r="BC703" s="169"/>
    </row>
    <row r="704" spans="19:55" ht="15.75" customHeight="1">
      <c r="S704" s="454"/>
      <c r="BA704" s="1305"/>
      <c r="BC704" s="169"/>
    </row>
    <row r="705" spans="19:55" ht="15.75" customHeight="1">
      <c r="S705" s="454"/>
      <c r="BA705" s="1305"/>
      <c r="BC705" s="169"/>
    </row>
    <row r="706" spans="19:55" ht="15.75" customHeight="1">
      <c r="S706" s="454"/>
      <c r="BA706" s="1305"/>
      <c r="BC706" s="169"/>
    </row>
    <row r="707" spans="19:55" ht="15.75" customHeight="1">
      <c r="S707" s="454"/>
      <c r="BA707" s="1305"/>
      <c r="BC707" s="169"/>
    </row>
    <row r="708" spans="19:55" ht="15.75" customHeight="1">
      <c r="S708" s="454"/>
      <c r="BA708" s="1305"/>
      <c r="BC708" s="169"/>
    </row>
    <row r="709" spans="19:55" ht="15.75" customHeight="1">
      <c r="S709" s="454"/>
      <c r="BA709" s="1305"/>
      <c r="BC709" s="169"/>
    </row>
    <row r="710" spans="19:55" ht="15.75" customHeight="1">
      <c r="S710" s="454"/>
      <c r="BA710" s="1305"/>
      <c r="BC710" s="169"/>
    </row>
    <row r="711" spans="19:55" ht="15.75" customHeight="1">
      <c r="S711" s="454"/>
      <c r="BA711" s="1305"/>
      <c r="BC711" s="169"/>
    </row>
    <row r="712" spans="19:55" ht="15.75" customHeight="1">
      <c r="S712" s="454"/>
      <c r="BA712" s="1305"/>
      <c r="BC712" s="169"/>
    </row>
    <row r="713" spans="19:55" ht="15.75" customHeight="1">
      <c r="S713" s="454"/>
      <c r="BA713" s="1305"/>
      <c r="BC713" s="169"/>
    </row>
    <row r="714" spans="19:55" ht="15.75" customHeight="1">
      <c r="S714" s="454"/>
      <c r="BA714" s="1305"/>
      <c r="BC714" s="169"/>
    </row>
    <row r="715" spans="19:55" ht="15.75" customHeight="1">
      <c r="S715" s="454"/>
      <c r="BA715" s="1305"/>
      <c r="BC715" s="169"/>
    </row>
    <row r="716" spans="19:55" ht="15.75" customHeight="1">
      <c r="S716" s="454"/>
      <c r="BA716" s="1305"/>
      <c r="BC716" s="169"/>
    </row>
    <row r="717" spans="19:55" ht="15.75" customHeight="1">
      <c r="S717" s="454"/>
      <c r="BA717" s="1305"/>
      <c r="BC717" s="169"/>
    </row>
    <row r="718" spans="19:55" ht="15.75" customHeight="1">
      <c r="S718" s="454"/>
      <c r="BA718" s="1305"/>
      <c r="BC718" s="169"/>
    </row>
    <row r="719" spans="19:55" ht="15.75" customHeight="1">
      <c r="S719" s="454"/>
      <c r="BA719" s="1305"/>
      <c r="BC719" s="169"/>
    </row>
    <row r="720" spans="19:55" ht="15.75" customHeight="1">
      <c r="S720" s="454"/>
      <c r="BA720" s="1305"/>
      <c r="BC720" s="169"/>
    </row>
    <row r="721" spans="19:55" ht="15.75" customHeight="1">
      <c r="S721" s="454"/>
      <c r="BA721" s="1305"/>
      <c r="BC721" s="169"/>
    </row>
    <row r="722" spans="19:55" ht="15.75" customHeight="1">
      <c r="S722" s="454"/>
      <c r="BA722" s="1305"/>
      <c r="BC722" s="169"/>
    </row>
    <row r="723" spans="19:55" ht="15.75" customHeight="1">
      <c r="S723" s="454"/>
      <c r="BA723" s="1305"/>
      <c r="BC723" s="169"/>
    </row>
    <row r="724" spans="19:55" ht="15.75" customHeight="1">
      <c r="S724" s="454"/>
      <c r="BA724" s="1305"/>
      <c r="BC724" s="169"/>
    </row>
    <row r="725" spans="19:55" ht="15.75" customHeight="1">
      <c r="S725" s="454"/>
      <c r="BA725" s="1305"/>
      <c r="BC725" s="169"/>
    </row>
    <row r="726" spans="19:55" ht="15.75" customHeight="1">
      <c r="S726" s="454"/>
      <c r="BA726" s="1305"/>
      <c r="BC726" s="169"/>
    </row>
    <row r="727" spans="19:55" ht="15.75" customHeight="1">
      <c r="S727" s="454"/>
      <c r="BA727" s="1305"/>
      <c r="BC727" s="169"/>
    </row>
    <row r="728" spans="19:55" ht="15.75" customHeight="1">
      <c r="S728" s="454"/>
      <c r="BA728" s="1305"/>
      <c r="BC728" s="169"/>
    </row>
    <row r="729" spans="19:55" ht="15.75" customHeight="1">
      <c r="S729" s="454"/>
      <c r="BA729" s="1305"/>
      <c r="BC729" s="169"/>
    </row>
    <row r="730" spans="19:55" ht="15.75" customHeight="1">
      <c r="S730" s="454"/>
      <c r="BA730" s="1305"/>
      <c r="BC730" s="169"/>
    </row>
    <row r="731" spans="19:55" ht="15.75" customHeight="1">
      <c r="S731" s="454"/>
      <c r="BA731" s="1305"/>
      <c r="BC731" s="169"/>
    </row>
    <row r="732" spans="19:55" ht="15.75" customHeight="1">
      <c r="S732" s="454"/>
      <c r="BA732" s="1305"/>
      <c r="BC732" s="169"/>
    </row>
    <row r="733" spans="19:55" ht="15.75" customHeight="1">
      <c r="S733" s="454"/>
      <c r="BA733" s="1305"/>
      <c r="BC733" s="169"/>
    </row>
    <row r="734" spans="19:55" ht="15.75" customHeight="1">
      <c r="S734" s="454"/>
      <c r="BA734" s="1305"/>
      <c r="BC734" s="169"/>
    </row>
    <row r="735" spans="19:55" ht="15.75" customHeight="1">
      <c r="S735" s="454"/>
      <c r="BA735" s="1305"/>
      <c r="BC735" s="169"/>
    </row>
    <row r="736" spans="19:55" ht="15.75" customHeight="1">
      <c r="S736" s="454"/>
      <c r="BA736" s="1305"/>
      <c r="BC736" s="169"/>
    </row>
    <row r="737" spans="19:55" ht="15.75" customHeight="1">
      <c r="S737" s="454"/>
      <c r="BA737" s="1305"/>
      <c r="BC737" s="169"/>
    </row>
    <row r="738" spans="19:55" ht="15.75" customHeight="1">
      <c r="S738" s="454"/>
      <c r="BA738" s="1305"/>
      <c r="BC738" s="169"/>
    </row>
    <row r="739" spans="19:55" ht="15.75" customHeight="1">
      <c r="S739" s="454"/>
      <c r="BA739" s="1305"/>
      <c r="BC739" s="169"/>
    </row>
    <row r="740" spans="19:55" ht="15.75" customHeight="1">
      <c r="S740" s="454"/>
      <c r="BA740" s="1305"/>
      <c r="BC740" s="169"/>
    </row>
    <row r="741" spans="19:55" ht="15.75" customHeight="1">
      <c r="S741" s="454"/>
      <c r="BA741" s="1305"/>
      <c r="BC741" s="169"/>
    </row>
    <row r="742" spans="19:55" ht="15.75" customHeight="1">
      <c r="S742" s="454"/>
      <c r="BA742" s="1305"/>
      <c r="BC742" s="169"/>
    </row>
    <row r="743" spans="19:55" ht="15.75" customHeight="1">
      <c r="S743" s="454"/>
      <c r="BA743" s="1305"/>
      <c r="BC743" s="169"/>
    </row>
    <row r="744" spans="19:55" ht="15.75" customHeight="1">
      <c r="S744" s="454"/>
      <c r="BA744" s="1305"/>
      <c r="BC744" s="169"/>
    </row>
    <row r="745" spans="19:55" ht="15.75" customHeight="1">
      <c r="S745" s="454"/>
      <c r="BA745" s="1305"/>
      <c r="BC745" s="169"/>
    </row>
    <row r="746" spans="19:55" ht="15.75" customHeight="1">
      <c r="S746" s="454"/>
      <c r="BA746" s="1305"/>
      <c r="BC746" s="169"/>
    </row>
    <row r="747" spans="19:55" ht="15.75" customHeight="1">
      <c r="S747" s="454"/>
      <c r="BA747" s="1305"/>
      <c r="BC747" s="169"/>
    </row>
    <row r="748" spans="19:55" ht="15.75" customHeight="1">
      <c r="S748" s="454"/>
      <c r="BA748" s="1305"/>
      <c r="BC748" s="169"/>
    </row>
    <row r="749" spans="19:55" ht="15.75" customHeight="1">
      <c r="S749" s="454"/>
      <c r="BA749" s="1305"/>
      <c r="BC749" s="169"/>
    </row>
    <row r="750" spans="19:55" ht="15.75" customHeight="1">
      <c r="S750" s="454"/>
      <c r="BA750" s="1305"/>
      <c r="BC750" s="169"/>
    </row>
    <row r="751" spans="19:55" ht="15.75" customHeight="1">
      <c r="S751" s="454"/>
      <c r="BA751" s="1305"/>
      <c r="BC751" s="169"/>
    </row>
    <row r="752" spans="19:55" ht="15.75" customHeight="1">
      <c r="S752" s="454"/>
      <c r="BA752" s="1305"/>
      <c r="BC752" s="169"/>
    </row>
    <row r="753" spans="19:55" ht="15.75" customHeight="1">
      <c r="S753" s="454"/>
      <c r="BA753" s="1305"/>
      <c r="BC753" s="169"/>
    </row>
    <row r="754" spans="19:55" ht="15.75" customHeight="1">
      <c r="S754" s="454"/>
      <c r="BA754" s="1305"/>
      <c r="BC754" s="169"/>
    </row>
    <row r="755" spans="19:55" ht="15.75" customHeight="1">
      <c r="S755" s="454"/>
      <c r="BA755" s="1305"/>
      <c r="BC755" s="169"/>
    </row>
    <row r="756" spans="19:55" ht="15.75" customHeight="1">
      <c r="S756" s="454"/>
      <c r="BA756" s="1305"/>
      <c r="BC756" s="169"/>
    </row>
    <row r="757" spans="19:55" ht="15.75" customHeight="1">
      <c r="S757" s="454"/>
      <c r="BA757" s="1305"/>
      <c r="BC757" s="169"/>
    </row>
    <row r="758" spans="19:55" ht="15.75" customHeight="1">
      <c r="S758" s="454"/>
      <c r="BA758" s="1305"/>
      <c r="BC758" s="169"/>
    </row>
    <row r="759" spans="19:55" ht="15.75" customHeight="1">
      <c r="S759" s="454"/>
      <c r="BA759" s="1305"/>
      <c r="BC759" s="169"/>
    </row>
    <row r="760" spans="19:55" ht="15.75" customHeight="1">
      <c r="S760" s="454"/>
      <c r="BA760" s="1305"/>
      <c r="BC760" s="169"/>
    </row>
    <row r="761" spans="19:55" ht="15.75" customHeight="1">
      <c r="S761" s="454"/>
      <c r="BA761" s="1305"/>
      <c r="BC761" s="169"/>
    </row>
    <row r="762" spans="19:55" ht="15.75" customHeight="1">
      <c r="S762" s="454"/>
      <c r="BA762" s="1305"/>
      <c r="BC762" s="169"/>
    </row>
    <row r="763" spans="19:55" ht="15.75" customHeight="1">
      <c r="S763" s="454"/>
      <c r="BA763" s="1305"/>
      <c r="BC763" s="169"/>
    </row>
    <row r="764" spans="19:55" ht="15.75" customHeight="1">
      <c r="S764" s="454"/>
      <c r="BA764" s="1305"/>
      <c r="BC764" s="169"/>
    </row>
    <row r="765" spans="19:55" ht="15.75" customHeight="1">
      <c r="S765" s="454"/>
      <c r="BA765" s="1305"/>
      <c r="BC765" s="169"/>
    </row>
    <row r="766" spans="19:55" ht="15.75" customHeight="1">
      <c r="S766" s="454"/>
      <c r="BA766" s="1305"/>
      <c r="BC766" s="169"/>
    </row>
    <row r="767" spans="19:55" ht="15.75" customHeight="1">
      <c r="S767" s="454"/>
      <c r="BA767" s="1305"/>
      <c r="BC767" s="169"/>
    </row>
    <row r="768" spans="19:55" ht="15.75" customHeight="1">
      <c r="S768" s="454"/>
      <c r="BA768" s="1305"/>
      <c r="BC768" s="169"/>
    </row>
    <row r="769" spans="19:55" ht="15.75" customHeight="1">
      <c r="S769" s="454"/>
      <c r="BA769" s="1305"/>
      <c r="BC769" s="169"/>
    </row>
    <row r="770" spans="19:55" ht="15.75" customHeight="1">
      <c r="S770" s="454"/>
      <c r="BA770" s="1305"/>
      <c r="BC770" s="169"/>
    </row>
    <row r="771" spans="19:55" ht="15.75" customHeight="1">
      <c r="S771" s="454"/>
      <c r="BA771" s="1305"/>
      <c r="BC771" s="169"/>
    </row>
    <row r="772" spans="19:55" ht="15.75" customHeight="1">
      <c r="S772" s="454"/>
      <c r="BA772" s="1305"/>
      <c r="BC772" s="169"/>
    </row>
    <row r="773" spans="19:55" ht="15.75" customHeight="1">
      <c r="S773" s="454"/>
      <c r="BA773" s="1305"/>
      <c r="BC773" s="169"/>
    </row>
    <row r="774" spans="19:55" ht="15.75" customHeight="1">
      <c r="S774" s="454"/>
      <c r="BA774" s="1305"/>
      <c r="BC774" s="169"/>
    </row>
    <row r="775" spans="19:55" ht="15.75" customHeight="1">
      <c r="S775" s="454"/>
      <c r="BA775" s="1305"/>
      <c r="BC775" s="169"/>
    </row>
    <row r="776" spans="19:55" ht="15.75" customHeight="1">
      <c r="S776" s="454"/>
      <c r="BA776" s="1305"/>
      <c r="BC776" s="169"/>
    </row>
    <row r="777" spans="19:55" ht="15.75" customHeight="1">
      <c r="S777" s="454"/>
      <c r="BA777" s="1305"/>
      <c r="BC777" s="169"/>
    </row>
    <row r="778" spans="19:55" ht="15.75" customHeight="1">
      <c r="S778" s="454"/>
      <c r="BA778" s="1305"/>
      <c r="BC778" s="169"/>
    </row>
    <row r="779" spans="19:55" ht="15.75" customHeight="1">
      <c r="S779" s="454"/>
      <c r="BA779" s="1305"/>
      <c r="BC779" s="169"/>
    </row>
    <row r="780" spans="19:55" ht="15.75" customHeight="1">
      <c r="S780" s="454"/>
      <c r="BA780" s="1305"/>
      <c r="BC780" s="169"/>
    </row>
    <row r="781" spans="19:55" ht="15.75" customHeight="1">
      <c r="S781" s="454"/>
      <c r="BA781" s="1305"/>
      <c r="BC781" s="169"/>
    </row>
    <row r="782" spans="19:55" ht="15.75" customHeight="1">
      <c r="S782" s="454"/>
      <c r="BA782" s="1305"/>
      <c r="BC782" s="169"/>
    </row>
    <row r="783" spans="19:55" ht="15.75" customHeight="1">
      <c r="S783" s="454"/>
      <c r="BA783" s="1305"/>
      <c r="BC783" s="169"/>
    </row>
    <row r="784" spans="19:55" ht="15.75" customHeight="1">
      <c r="S784" s="454"/>
      <c r="BA784" s="1305"/>
      <c r="BC784" s="169"/>
    </row>
    <row r="785" spans="19:55" ht="15.75" customHeight="1">
      <c r="S785" s="454"/>
      <c r="BA785" s="1305"/>
      <c r="BC785" s="169"/>
    </row>
    <row r="786" spans="19:55" ht="15.75" customHeight="1">
      <c r="S786" s="454"/>
      <c r="BA786" s="1305"/>
      <c r="BC786" s="169"/>
    </row>
    <row r="787" spans="19:55" ht="15.75" customHeight="1">
      <c r="S787" s="454"/>
      <c r="BA787" s="1305"/>
      <c r="BC787" s="169"/>
    </row>
    <row r="788" spans="19:55" ht="15.75" customHeight="1">
      <c r="S788" s="454"/>
      <c r="BA788" s="1305"/>
      <c r="BC788" s="169"/>
    </row>
    <row r="789" spans="19:55" ht="15.75" customHeight="1">
      <c r="S789" s="454"/>
      <c r="BA789" s="1305"/>
      <c r="BC789" s="169"/>
    </row>
    <row r="790" spans="19:55" ht="15.75" customHeight="1">
      <c r="S790" s="454"/>
      <c r="BA790" s="1305"/>
      <c r="BC790" s="169"/>
    </row>
    <row r="791" spans="19:55" ht="15.75" customHeight="1">
      <c r="S791" s="454"/>
      <c r="BA791" s="1305"/>
      <c r="BC791" s="169"/>
    </row>
    <row r="792" spans="19:55" ht="15.75" customHeight="1">
      <c r="S792" s="454"/>
      <c r="BA792" s="1305"/>
      <c r="BC792" s="169"/>
    </row>
    <row r="793" spans="19:55" ht="15.75" customHeight="1">
      <c r="S793" s="454"/>
      <c r="BA793" s="1305"/>
      <c r="BC793" s="169"/>
    </row>
    <row r="794" spans="19:55" ht="15.75" customHeight="1">
      <c r="S794" s="454"/>
      <c r="BA794" s="1305"/>
      <c r="BC794" s="169"/>
    </row>
    <row r="795" spans="19:55" ht="15.75" customHeight="1">
      <c r="S795" s="454"/>
      <c r="BA795" s="1305"/>
      <c r="BC795" s="169"/>
    </row>
    <row r="796" spans="19:55" ht="15.75" customHeight="1">
      <c r="S796" s="454"/>
      <c r="BA796" s="1305"/>
      <c r="BC796" s="169"/>
    </row>
    <row r="797" spans="19:55" ht="15.75" customHeight="1">
      <c r="S797" s="454"/>
      <c r="BA797" s="1305"/>
      <c r="BC797" s="169"/>
    </row>
    <row r="798" spans="19:55" ht="15.75" customHeight="1">
      <c r="S798" s="454"/>
      <c r="BA798" s="1305"/>
      <c r="BC798" s="169"/>
    </row>
    <row r="799" spans="19:55" ht="15.75" customHeight="1">
      <c r="S799" s="454"/>
      <c r="BA799" s="1305"/>
      <c r="BC799" s="169"/>
    </row>
    <row r="800" spans="19:55" ht="15.75" customHeight="1">
      <c r="S800" s="454"/>
      <c r="BA800" s="1305"/>
      <c r="BC800" s="169"/>
    </row>
    <row r="801" spans="19:55" ht="15.75" customHeight="1">
      <c r="S801" s="454"/>
      <c r="BA801" s="1305"/>
      <c r="BC801" s="169"/>
    </row>
    <row r="802" spans="19:55" ht="15.75" customHeight="1">
      <c r="S802" s="454"/>
      <c r="BA802" s="1305"/>
      <c r="BC802" s="169"/>
    </row>
    <row r="803" spans="19:55" ht="15.75" customHeight="1">
      <c r="S803" s="454"/>
      <c r="BA803" s="1305"/>
      <c r="BC803" s="169"/>
    </row>
    <row r="804" spans="19:55" ht="15.75" customHeight="1">
      <c r="S804" s="454"/>
      <c r="BA804" s="1305"/>
      <c r="BC804" s="169"/>
    </row>
    <row r="805" spans="19:55" ht="15.75" customHeight="1">
      <c r="S805" s="454"/>
      <c r="BA805" s="1305"/>
      <c r="BC805" s="169"/>
    </row>
    <row r="806" spans="19:55" ht="15.75" customHeight="1">
      <c r="S806" s="454"/>
      <c r="BA806" s="1305"/>
      <c r="BC806" s="169"/>
    </row>
    <row r="807" spans="19:55" ht="15.75" customHeight="1">
      <c r="S807" s="454"/>
      <c r="BA807" s="1305"/>
      <c r="BC807" s="169"/>
    </row>
    <row r="808" spans="19:55" ht="15.75" customHeight="1">
      <c r="S808" s="454"/>
      <c r="BA808" s="1305"/>
      <c r="BC808" s="169"/>
    </row>
    <row r="809" spans="19:55" ht="15.75" customHeight="1">
      <c r="S809" s="454"/>
      <c r="BA809" s="1305"/>
      <c r="BC809" s="169"/>
    </row>
    <row r="810" spans="19:55" ht="15.75" customHeight="1">
      <c r="S810" s="454"/>
      <c r="BA810" s="1305"/>
      <c r="BC810" s="169"/>
    </row>
    <row r="811" spans="19:55" ht="15.75" customHeight="1">
      <c r="S811" s="454"/>
      <c r="BA811" s="1305"/>
      <c r="BC811" s="169"/>
    </row>
    <row r="812" spans="19:55" ht="15.75" customHeight="1">
      <c r="S812" s="454"/>
      <c r="BA812" s="1305"/>
      <c r="BC812" s="169"/>
    </row>
    <row r="813" spans="19:55" ht="15.75" customHeight="1">
      <c r="S813" s="454"/>
      <c r="BA813" s="1305"/>
      <c r="BC813" s="169"/>
    </row>
    <row r="814" spans="19:55" ht="15.75" customHeight="1">
      <c r="S814" s="454"/>
      <c r="BA814" s="1305"/>
      <c r="BC814" s="169"/>
    </row>
    <row r="815" spans="19:55" ht="15.75" customHeight="1">
      <c r="S815" s="454"/>
      <c r="BA815" s="1305"/>
      <c r="BC815" s="169"/>
    </row>
    <row r="816" spans="19:55" ht="15.75" customHeight="1">
      <c r="S816" s="454"/>
      <c r="BA816" s="1305"/>
      <c r="BC816" s="169"/>
    </row>
    <row r="817" spans="19:55" ht="15.75" customHeight="1">
      <c r="S817" s="454"/>
      <c r="BA817" s="1305"/>
      <c r="BC817" s="169"/>
    </row>
    <row r="818" spans="19:55" ht="15.75" customHeight="1">
      <c r="S818" s="454"/>
      <c r="BA818" s="1305"/>
      <c r="BC818" s="169"/>
    </row>
    <row r="819" spans="19:55" ht="15.75" customHeight="1">
      <c r="S819" s="454"/>
      <c r="BA819" s="1305"/>
      <c r="BC819" s="169"/>
    </row>
    <row r="820" spans="19:55" ht="15.75" customHeight="1">
      <c r="S820" s="454"/>
      <c r="BA820" s="1305"/>
      <c r="BC820" s="169"/>
    </row>
    <row r="821" spans="19:55" ht="15.75" customHeight="1">
      <c r="S821" s="454"/>
      <c r="BA821" s="1305"/>
      <c r="BC821" s="169"/>
    </row>
    <row r="822" spans="19:55" ht="15.75" customHeight="1">
      <c r="S822" s="454"/>
      <c r="BA822" s="1305"/>
      <c r="BC822" s="169"/>
    </row>
    <row r="823" spans="19:55" ht="15.75" customHeight="1">
      <c r="S823" s="454"/>
      <c r="BA823" s="1305"/>
      <c r="BC823" s="169"/>
    </row>
    <row r="824" spans="19:55" ht="15.75" customHeight="1">
      <c r="S824" s="454"/>
      <c r="BA824" s="1305"/>
      <c r="BC824" s="169"/>
    </row>
    <row r="825" spans="19:55" ht="15.75" customHeight="1">
      <c r="S825" s="454"/>
      <c r="BA825" s="1305"/>
      <c r="BC825" s="169"/>
    </row>
    <row r="826" spans="19:55" ht="15.75" customHeight="1">
      <c r="S826" s="454"/>
      <c r="BA826" s="1305"/>
      <c r="BC826" s="169"/>
    </row>
    <row r="827" spans="19:55" ht="15.75" customHeight="1">
      <c r="S827" s="454"/>
      <c r="BA827" s="1305"/>
      <c r="BC827" s="169"/>
    </row>
    <row r="828" spans="19:55" ht="15.75" customHeight="1">
      <c r="S828" s="454"/>
      <c r="BA828" s="1305"/>
      <c r="BC828" s="169"/>
    </row>
    <row r="829" spans="19:55" ht="15.75" customHeight="1">
      <c r="S829" s="454"/>
      <c r="BA829" s="1305"/>
      <c r="BC829" s="169"/>
    </row>
    <row r="830" spans="19:55" ht="15.75" customHeight="1">
      <c r="S830" s="454"/>
      <c r="BA830" s="1305"/>
      <c r="BC830" s="169"/>
    </row>
    <row r="831" spans="19:55" ht="15.75" customHeight="1">
      <c r="S831" s="454"/>
      <c r="BA831" s="1305"/>
      <c r="BC831" s="169"/>
    </row>
    <row r="832" spans="19:55" ht="15.75" customHeight="1">
      <c r="S832" s="454"/>
      <c r="BA832" s="1305"/>
      <c r="BC832" s="169"/>
    </row>
    <row r="833" spans="19:55" ht="15.75" customHeight="1">
      <c r="S833" s="454"/>
      <c r="BA833" s="1305"/>
      <c r="BC833" s="169"/>
    </row>
    <row r="834" spans="19:55" ht="15.75" customHeight="1">
      <c r="S834" s="454"/>
      <c r="BA834" s="1305"/>
      <c r="BC834" s="169"/>
    </row>
    <row r="835" spans="19:55" ht="15.75" customHeight="1">
      <c r="S835" s="454"/>
      <c r="BA835" s="1305"/>
      <c r="BC835" s="169"/>
    </row>
    <row r="836" spans="19:55" ht="15.75" customHeight="1">
      <c r="S836" s="454"/>
      <c r="BA836" s="1305"/>
      <c r="BC836" s="169"/>
    </row>
    <row r="837" spans="19:55" ht="15.75" customHeight="1">
      <c r="S837" s="454"/>
      <c r="BA837" s="1305"/>
      <c r="BC837" s="169"/>
    </row>
    <row r="838" spans="19:55" ht="15.75" customHeight="1">
      <c r="S838" s="454"/>
      <c r="BA838" s="1305"/>
      <c r="BC838" s="169"/>
    </row>
    <row r="839" spans="19:55" ht="15.75" customHeight="1">
      <c r="S839" s="454"/>
      <c r="BA839" s="1305"/>
      <c r="BC839" s="169"/>
    </row>
    <row r="840" spans="19:55" ht="15.75" customHeight="1">
      <c r="S840" s="454"/>
      <c r="BA840" s="1305"/>
      <c r="BC840" s="169"/>
    </row>
    <row r="841" spans="19:55" ht="15.75" customHeight="1">
      <c r="S841" s="454"/>
      <c r="BA841" s="1305"/>
      <c r="BC841" s="169"/>
    </row>
    <row r="842" spans="19:55" ht="15.75" customHeight="1">
      <c r="S842" s="454"/>
      <c r="BA842" s="1305"/>
      <c r="BC842" s="169"/>
    </row>
    <row r="843" spans="19:55" ht="15.75" customHeight="1">
      <c r="S843" s="454"/>
      <c r="BA843" s="1305"/>
      <c r="BC843" s="169"/>
    </row>
    <row r="844" spans="19:55" ht="15.75" customHeight="1">
      <c r="S844" s="454"/>
      <c r="BA844" s="1305"/>
      <c r="BC844" s="169"/>
    </row>
    <row r="845" spans="19:55" ht="15.75" customHeight="1">
      <c r="S845" s="454"/>
      <c r="BA845" s="1305"/>
      <c r="BC845" s="169"/>
    </row>
    <row r="846" spans="19:55" ht="15.75" customHeight="1">
      <c r="S846" s="454"/>
      <c r="BA846" s="1305"/>
      <c r="BC846" s="169"/>
    </row>
    <row r="847" spans="19:55" ht="15.75" customHeight="1">
      <c r="S847" s="454"/>
      <c r="BA847" s="1305"/>
      <c r="BC847" s="169"/>
    </row>
    <row r="848" spans="19:55" ht="15.75" customHeight="1">
      <c r="S848" s="454"/>
      <c r="BA848" s="1305"/>
      <c r="BC848" s="169"/>
    </row>
    <row r="849" spans="19:55" ht="15.75" customHeight="1">
      <c r="S849" s="454"/>
      <c r="BA849" s="1305"/>
      <c r="BC849" s="169"/>
    </row>
    <row r="850" spans="19:55" ht="15.75" customHeight="1">
      <c r="S850" s="454"/>
      <c r="BA850" s="1305"/>
      <c r="BC850" s="169"/>
    </row>
    <row r="851" spans="19:55" ht="15.75" customHeight="1">
      <c r="S851" s="454"/>
      <c r="BA851" s="1305"/>
      <c r="BC851" s="169"/>
    </row>
    <row r="852" spans="19:55" ht="15.75" customHeight="1">
      <c r="S852" s="454"/>
      <c r="BA852" s="1305"/>
      <c r="BC852" s="169"/>
    </row>
    <row r="853" spans="19:55" ht="15.75" customHeight="1">
      <c r="S853" s="454"/>
      <c r="BA853" s="1305"/>
      <c r="BC853" s="169"/>
    </row>
    <row r="854" spans="19:55" ht="15.75" customHeight="1">
      <c r="S854" s="454"/>
      <c r="BA854" s="1305"/>
      <c r="BC854" s="169"/>
    </row>
    <row r="855" spans="19:55" ht="15.75" customHeight="1">
      <c r="S855" s="454"/>
      <c r="BA855" s="1305"/>
      <c r="BC855" s="169"/>
    </row>
    <row r="856" spans="19:55" ht="15.75" customHeight="1">
      <c r="S856" s="454"/>
      <c r="BA856" s="1305"/>
      <c r="BC856" s="169"/>
    </row>
    <row r="857" spans="19:55" ht="15.75" customHeight="1">
      <c r="S857" s="454"/>
      <c r="BA857" s="1305"/>
      <c r="BC857" s="169"/>
    </row>
    <row r="858" spans="19:55" ht="15.75" customHeight="1">
      <c r="S858" s="454"/>
      <c r="BA858" s="1305"/>
      <c r="BC858" s="169"/>
    </row>
    <row r="859" spans="19:55" ht="15.75" customHeight="1">
      <c r="S859" s="454"/>
      <c r="BA859" s="1305"/>
      <c r="BC859" s="169"/>
    </row>
    <row r="860" spans="19:55" ht="15.75" customHeight="1">
      <c r="S860" s="454"/>
      <c r="BA860" s="1305"/>
      <c r="BC860" s="169"/>
    </row>
    <row r="861" spans="19:55" ht="15.75" customHeight="1">
      <c r="S861" s="454"/>
      <c r="BA861" s="1305"/>
      <c r="BC861" s="169"/>
    </row>
    <row r="862" spans="19:55" ht="15.75" customHeight="1">
      <c r="S862" s="454"/>
      <c r="BA862" s="1305"/>
      <c r="BC862" s="169"/>
    </row>
    <row r="863" spans="19:55" ht="15.75" customHeight="1">
      <c r="S863" s="454"/>
      <c r="BA863" s="1305"/>
      <c r="BC863" s="169"/>
    </row>
    <row r="864" spans="19:55" ht="15.75" customHeight="1">
      <c r="S864" s="454"/>
      <c r="BA864" s="1305"/>
      <c r="BC864" s="169"/>
    </row>
    <row r="865" spans="19:55" ht="15.75" customHeight="1">
      <c r="S865" s="454"/>
      <c r="BA865" s="1305"/>
      <c r="BC865" s="169"/>
    </row>
    <row r="866" spans="19:55" ht="15.75" customHeight="1">
      <c r="S866" s="454"/>
      <c r="BA866" s="1305"/>
      <c r="BC866" s="169"/>
    </row>
    <row r="867" spans="19:55" ht="15.75" customHeight="1">
      <c r="S867" s="454"/>
      <c r="BA867" s="1305"/>
      <c r="BC867" s="169"/>
    </row>
    <row r="868" spans="19:55" ht="15.75" customHeight="1">
      <c r="S868" s="454"/>
      <c r="BA868" s="1305"/>
      <c r="BC868" s="169"/>
    </row>
    <row r="869" spans="19:55" ht="15.75" customHeight="1">
      <c r="S869" s="454"/>
      <c r="BA869" s="1305"/>
      <c r="BC869" s="169"/>
    </row>
    <row r="870" spans="19:55" ht="15.75" customHeight="1">
      <c r="S870" s="454"/>
      <c r="BA870" s="1305"/>
      <c r="BC870" s="169"/>
    </row>
    <row r="871" spans="19:55" ht="15.75" customHeight="1">
      <c r="S871" s="454"/>
      <c r="BA871" s="1305"/>
      <c r="BC871" s="169"/>
    </row>
    <row r="872" spans="19:55" ht="15.75" customHeight="1">
      <c r="S872" s="454"/>
      <c r="BA872" s="1305"/>
      <c r="BC872" s="169"/>
    </row>
    <row r="873" spans="19:55" ht="15.75" customHeight="1">
      <c r="S873" s="454"/>
      <c r="BA873" s="1305"/>
      <c r="BC873" s="169"/>
    </row>
    <row r="874" spans="19:55" ht="15.75" customHeight="1">
      <c r="S874" s="454"/>
      <c r="BA874" s="1305"/>
      <c r="BC874" s="169"/>
    </row>
    <row r="875" spans="19:55" ht="15.75" customHeight="1">
      <c r="S875" s="454"/>
      <c r="BA875" s="1305"/>
      <c r="BC875" s="169"/>
    </row>
    <row r="876" spans="19:55" ht="15.75" customHeight="1">
      <c r="S876" s="454"/>
      <c r="BA876" s="1305"/>
      <c r="BC876" s="169"/>
    </row>
    <row r="877" spans="19:55" ht="15.75" customHeight="1">
      <c r="S877" s="454"/>
      <c r="BA877" s="1305"/>
      <c r="BC877" s="169"/>
    </row>
    <row r="878" spans="19:55" ht="15.75" customHeight="1">
      <c r="S878" s="454"/>
      <c r="BA878" s="1305"/>
      <c r="BC878" s="169"/>
    </row>
    <row r="879" spans="19:55" ht="15.75" customHeight="1">
      <c r="S879" s="454"/>
      <c r="BA879" s="1305"/>
      <c r="BC879" s="169"/>
    </row>
    <row r="880" spans="19:55" ht="15.75" customHeight="1">
      <c r="S880" s="454"/>
      <c r="BA880" s="1305"/>
      <c r="BC880" s="169"/>
    </row>
    <row r="881" spans="19:55" ht="15.75" customHeight="1">
      <c r="S881" s="454"/>
      <c r="BA881" s="1305"/>
      <c r="BC881" s="169"/>
    </row>
    <row r="882" spans="19:55" ht="15.75" customHeight="1">
      <c r="S882" s="454"/>
      <c r="BA882" s="1305"/>
      <c r="BC882" s="169"/>
    </row>
    <row r="883" spans="19:55" ht="15.75" customHeight="1">
      <c r="S883" s="454"/>
      <c r="BA883" s="1305"/>
      <c r="BC883" s="169"/>
    </row>
    <row r="884" spans="19:55" ht="15.75" customHeight="1">
      <c r="S884" s="454"/>
      <c r="BA884" s="1305"/>
      <c r="BC884" s="169"/>
    </row>
    <row r="885" spans="19:55" ht="15.75" customHeight="1">
      <c r="S885" s="454"/>
      <c r="BA885" s="1305"/>
      <c r="BC885" s="169"/>
    </row>
    <row r="886" spans="19:55" ht="15.75" customHeight="1">
      <c r="S886" s="454"/>
      <c r="BA886" s="1305"/>
      <c r="BC886" s="169"/>
    </row>
    <row r="887" spans="19:55" ht="15.75" customHeight="1">
      <c r="S887" s="454"/>
      <c r="BA887" s="1305"/>
      <c r="BC887" s="169"/>
    </row>
    <row r="888" spans="19:55" ht="15.75" customHeight="1">
      <c r="S888" s="454"/>
      <c r="BA888" s="1305"/>
      <c r="BC888" s="169"/>
    </row>
    <row r="889" spans="19:55" ht="15.75" customHeight="1">
      <c r="S889" s="454"/>
      <c r="BA889" s="1305"/>
      <c r="BC889" s="169"/>
    </row>
    <row r="890" spans="19:55" ht="15.75" customHeight="1">
      <c r="S890" s="454"/>
      <c r="BA890" s="1305"/>
      <c r="BC890" s="169"/>
    </row>
    <row r="891" spans="19:55" ht="15.75" customHeight="1">
      <c r="S891" s="454"/>
      <c r="BA891" s="1305"/>
      <c r="BC891" s="169"/>
    </row>
    <row r="892" spans="19:55" ht="15.75" customHeight="1">
      <c r="S892" s="454"/>
      <c r="BA892" s="1305"/>
      <c r="BC892" s="169"/>
    </row>
    <row r="893" spans="19:55" ht="15.75" customHeight="1">
      <c r="S893" s="454"/>
      <c r="BA893" s="1305"/>
      <c r="BC893" s="169"/>
    </row>
    <row r="894" spans="19:55" ht="15.75" customHeight="1">
      <c r="S894" s="454"/>
      <c r="BA894" s="1305"/>
      <c r="BC894" s="169"/>
    </row>
    <row r="895" spans="19:55" ht="15.75" customHeight="1">
      <c r="S895" s="454"/>
      <c r="BA895" s="1305"/>
      <c r="BC895" s="169"/>
    </row>
    <row r="896" spans="19:55" ht="15.75" customHeight="1">
      <c r="S896" s="454"/>
      <c r="BA896" s="1305"/>
      <c r="BC896" s="169"/>
    </row>
    <row r="897" spans="19:55" ht="15.75" customHeight="1">
      <c r="S897" s="454"/>
      <c r="BA897" s="1305"/>
      <c r="BC897" s="169"/>
    </row>
    <row r="898" spans="19:55" ht="15.75" customHeight="1">
      <c r="S898" s="454"/>
      <c r="BA898" s="1305"/>
      <c r="BC898" s="169"/>
    </row>
    <row r="899" spans="19:55" ht="15.75" customHeight="1">
      <c r="S899" s="454"/>
      <c r="BA899" s="1305"/>
      <c r="BC899" s="169"/>
    </row>
    <row r="900" spans="19:55" ht="15.75" customHeight="1">
      <c r="S900" s="454"/>
      <c r="BA900" s="1305"/>
      <c r="BC900" s="169"/>
    </row>
    <row r="901" spans="19:55" ht="15.75" customHeight="1">
      <c r="S901" s="454"/>
      <c r="BA901" s="1305"/>
      <c r="BC901" s="169"/>
    </row>
    <row r="902" spans="19:55" ht="15.75" customHeight="1">
      <c r="S902" s="454"/>
      <c r="BA902" s="1305"/>
      <c r="BC902" s="169"/>
    </row>
    <row r="903" spans="19:55" ht="15.75" customHeight="1">
      <c r="S903" s="454"/>
      <c r="BA903" s="1305"/>
      <c r="BC903" s="169"/>
    </row>
    <row r="904" spans="19:55" ht="15.75" customHeight="1">
      <c r="S904" s="454"/>
      <c r="BA904" s="1305"/>
      <c r="BC904" s="169"/>
    </row>
    <row r="905" spans="19:55" ht="15.75" customHeight="1">
      <c r="S905" s="454"/>
      <c r="BA905" s="1305"/>
      <c r="BC905" s="169"/>
    </row>
    <row r="906" spans="19:55" ht="15.75" customHeight="1">
      <c r="S906" s="454"/>
      <c r="BA906" s="1305"/>
      <c r="BC906" s="169"/>
    </row>
    <row r="907" spans="19:55" ht="15.75" customHeight="1">
      <c r="S907" s="454"/>
      <c r="BA907" s="1305"/>
      <c r="BC907" s="169"/>
    </row>
    <row r="908" spans="19:55" ht="15.75" customHeight="1">
      <c r="S908" s="454"/>
      <c r="BA908" s="1305"/>
      <c r="BC908" s="169"/>
    </row>
    <row r="909" spans="19:55" ht="15.75" customHeight="1">
      <c r="S909" s="454"/>
      <c r="BA909" s="1305"/>
      <c r="BC909" s="169"/>
    </row>
    <row r="910" spans="19:55" ht="15.75" customHeight="1">
      <c r="S910" s="454"/>
      <c r="BA910" s="1305"/>
      <c r="BC910" s="169"/>
    </row>
    <row r="911" spans="19:55" ht="15.75" customHeight="1">
      <c r="S911" s="454"/>
      <c r="BA911" s="1305"/>
      <c r="BC911" s="169"/>
    </row>
    <row r="912" spans="19:55" ht="15.75" customHeight="1">
      <c r="S912" s="454"/>
      <c r="BA912" s="1305"/>
      <c r="BC912" s="169"/>
    </row>
    <row r="913" spans="19:55" ht="15.75" customHeight="1">
      <c r="S913" s="454"/>
      <c r="BA913" s="1305"/>
      <c r="BC913" s="169"/>
    </row>
    <row r="914" spans="19:55" ht="15.75" customHeight="1">
      <c r="S914" s="454"/>
      <c r="BA914" s="1305"/>
      <c r="BC914" s="169"/>
    </row>
    <row r="915" spans="19:55" ht="15.75" customHeight="1">
      <c r="S915" s="454"/>
      <c r="BA915" s="1305"/>
      <c r="BC915" s="169"/>
    </row>
    <row r="916" spans="19:55" ht="15.75" customHeight="1">
      <c r="S916" s="454"/>
      <c r="BA916" s="1305"/>
      <c r="BC916" s="169"/>
    </row>
    <row r="917" spans="19:55" ht="15.75" customHeight="1">
      <c r="S917" s="454"/>
      <c r="BA917" s="1305"/>
      <c r="BC917" s="169"/>
    </row>
    <row r="918" spans="19:55" ht="15.75" customHeight="1">
      <c r="S918" s="454"/>
      <c r="BA918" s="1305"/>
      <c r="BC918" s="169"/>
    </row>
    <row r="919" spans="19:55" ht="15.75" customHeight="1">
      <c r="S919" s="454"/>
      <c r="BA919" s="1305"/>
      <c r="BC919" s="169"/>
    </row>
    <row r="920" spans="19:55" ht="15.75" customHeight="1">
      <c r="S920" s="454"/>
      <c r="BA920" s="1305"/>
      <c r="BC920" s="169"/>
    </row>
    <row r="921" spans="19:55" ht="15.75" customHeight="1">
      <c r="S921" s="454"/>
      <c r="BA921" s="1305"/>
      <c r="BC921" s="169"/>
    </row>
    <row r="922" spans="19:55" ht="15.75" customHeight="1">
      <c r="S922" s="454"/>
      <c r="BA922" s="1305"/>
      <c r="BC922" s="169"/>
    </row>
    <row r="923" spans="19:55" ht="15.75" customHeight="1">
      <c r="S923" s="454"/>
      <c r="BA923" s="1305"/>
      <c r="BC923" s="169"/>
    </row>
    <row r="924" spans="19:55" ht="15.75" customHeight="1">
      <c r="S924" s="454"/>
      <c r="BA924" s="1305"/>
      <c r="BC924" s="169"/>
    </row>
    <row r="925" spans="19:55" ht="15.75" customHeight="1">
      <c r="S925" s="454"/>
      <c r="BA925" s="1305"/>
      <c r="BC925" s="169"/>
    </row>
    <row r="926" spans="19:55" ht="15.75" customHeight="1">
      <c r="S926" s="454"/>
      <c r="BA926" s="1305"/>
      <c r="BC926" s="169"/>
    </row>
    <row r="927" spans="19:55" ht="15.75" customHeight="1">
      <c r="S927" s="454"/>
      <c r="BA927" s="1305"/>
      <c r="BC927" s="169"/>
    </row>
    <row r="928" spans="19:55" ht="15.75" customHeight="1">
      <c r="S928" s="454"/>
      <c r="BA928" s="1305"/>
      <c r="BC928" s="169"/>
    </row>
    <row r="929" spans="19:55" ht="15.75" customHeight="1">
      <c r="S929" s="454"/>
      <c r="BA929" s="1305"/>
      <c r="BC929" s="169"/>
    </row>
    <row r="930" spans="19:55" ht="15.75" customHeight="1">
      <c r="S930" s="454"/>
      <c r="BA930" s="1305"/>
      <c r="BC930" s="169"/>
    </row>
    <row r="931" spans="19:55" ht="15.75" customHeight="1">
      <c r="S931" s="454"/>
      <c r="BA931" s="1305"/>
      <c r="BC931" s="169"/>
    </row>
    <row r="932" spans="19:55" ht="15.75" customHeight="1">
      <c r="S932" s="454"/>
      <c r="BA932" s="1305"/>
      <c r="BC932" s="169"/>
    </row>
    <row r="933" spans="19:55" ht="15.75" customHeight="1">
      <c r="S933" s="454"/>
      <c r="BA933" s="1305"/>
      <c r="BC933" s="169"/>
    </row>
    <row r="934" spans="19:55" ht="15.75" customHeight="1">
      <c r="S934" s="454"/>
      <c r="BA934" s="1305"/>
      <c r="BC934" s="169"/>
    </row>
    <row r="935" spans="19:55" ht="15.75" customHeight="1">
      <c r="S935" s="454"/>
      <c r="BA935" s="1305"/>
      <c r="BC935" s="169"/>
    </row>
    <row r="936" spans="19:55" ht="15.75" customHeight="1">
      <c r="S936" s="454"/>
      <c r="BA936" s="1305"/>
      <c r="BC936" s="169"/>
    </row>
    <row r="937" spans="19:55" ht="15.75" customHeight="1">
      <c r="S937" s="454"/>
      <c r="BA937" s="1305"/>
      <c r="BC937" s="169"/>
    </row>
    <row r="938" spans="19:55" ht="15.75" customHeight="1">
      <c r="S938" s="454"/>
      <c r="BA938" s="1305"/>
      <c r="BC938" s="169"/>
    </row>
    <row r="939" spans="19:55" ht="15.75" customHeight="1">
      <c r="S939" s="454"/>
      <c r="BA939" s="1305"/>
      <c r="BC939" s="169"/>
    </row>
    <row r="940" spans="19:55" ht="15.75" customHeight="1">
      <c r="S940" s="454"/>
      <c r="BA940" s="1305"/>
      <c r="BC940" s="169"/>
    </row>
    <row r="941" spans="19:55" ht="15.75" customHeight="1">
      <c r="S941" s="454"/>
      <c r="BA941" s="1305"/>
      <c r="BC941" s="169"/>
    </row>
    <row r="942" spans="19:55" ht="15.75" customHeight="1">
      <c r="S942" s="454"/>
      <c r="BA942" s="1305"/>
      <c r="BC942" s="169"/>
    </row>
    <row r="943" spans="19:55" ht="15.75" customHeight="1">
      <c r="S943" s="454"/>
      <c r="BA943" s="1305"/>
      <c r="BC943" s="169"/>
    </row>
    <row r="944" spans="19:55" ht="15.75" customHeight="1">
      <c r="S944" s="454"/>
      <c r="BA944" s="1305"/>
      <c r="BC944" s="169"/>
    </row>
    <row r="945" spans="19:55" ht="15.75" customHeight="1">
      <c r="S945" s="454"/>
      <c r="BA945" s="1305"/>
      <c r="BC945" s="169"/>
    </row>
    <row r="946" spans="19:55" ht="15.75" customHeight="1">
      <c r="S946" s="454"/>
      <c r="BA946" s="1305"/>
      <c r="BC946" s="169"/>
    </row>
    <row r="947" spans="19:55" ht="15.75" customHeight="1">
      <c r="S947" s="454"/>
      <c r="BA947" s="1305"/>
      <c r="BC947" s="169"/>
    </row>
    <row r="948" spans="19:55" ht="15.75" customHeight="1">
      <c r="S948" s="454"/>
      <c r="BA948" s="1305"/>
      <c r="BC948" s="169"/>
    </row>
    <row r="949" spans="19:55" ht="15.75" customHeight="1">
      <c r="S949" s="454"/>
      <c r="BA949" s="1305"/>
      <c r="BC949" s="169"/>
    </row>
    <row r="950" spans="19:55" ht="15.75" customHeight="1">
      <c r="S950" s="454"/>
      <c r="BA950" s="1305"/>
      <c r="BC950" s="169"/>
    </row>
    <row r="951" spans="19:55" ht="15.75" customHeight="1">
      <c r="S951" s="454"/>
      <c r="BA951" s="1305"/>
      <c r="BC951" s="169"/>
    </row>
    <row r="952" spans="19:55" ht="15.75" customHeight="1">
      <c r="S952" s="454"/>
      <c r="BA952" s="1305"/>
      <c r="BC952" s="169"/>
    </row>
    <row r="953" spans="19:55" ht="15.75" customHeight="1">
      <c r="S953" s="454"/>
      <c r="BA953" s="1305"/>
      <c r="BC953" s="169"/>
    </row>
    <row r="954" spans="19:55" ht="15.75" customHeight="1">
      <c r="S954" s="454"/>
      <c r="BA954" s="1305"/>
      <c r="BC954" s="169"/>
    </row>
    <row r="955" spans="19:55" ht="15.75" customHeight="1">
      <c r="S955" s="454"/>
      <c r="BA955" s="1305"/>
      <c r="BC955" s="169"/>
    </row>
    <row r="956" spans="19:55" ht="15.75" customHeight="1">
      <c r="S956" s="454"/>
      <c r="BA956" s="1305"/>
      <c r="BC956" s="169"/>
    </row>
    <row r="957" spans="19:55" ht="15.75" customHeight="1">
      <c r="S957" s="454"/>
      <c r="BA957" s="1305"/>
      <c r="BC957" s="169"/>
    </row>
    <row r="958" spans="19:55" ht="15.75" customHeight="1">
      <c r="S958" s="454"/>
      <c r="BA958" s="1305"/>
      <c r="BC958" s="169"/>
    </row>
    <row r="959" spans="19:55" ht="15.75" customHeight="1">
      <c r="S959" s="454"/>
      <c r="BA959" s="1305"/>
      <c r="BC959" s="169"/>
    </row>
    <row r="960" spans="19:55" ht="15.75" customHeight="1">
      <c r="S960" s="454"/>
      <c r="BA960" s="1305"/>
      <c r="BC960" s="169"/>
    </row>
    <row r="961" spans="19:55" ht="15.75" customHeight="1">
      <c r="S961" s="454"/>
      <c r="BA961" s="1305"/>
      <c r="BC961" s="169"/>
    </row>
    <row r="962" spans="19:55" ht="15.75" customHeight="1">
      <c r="S962" s="454"/>
      <c r="BA962" s="1305"/>
      <c r="BC962" s="169"/>
    </row>
    <row r="963" spans="19:55" ht="15.75" customHeight="1">
      <c r="S963" s="454"/>
      <c r="BA963" s="1305"/>
      <c r="BC963" s="169"/>
    </row>
    <row r="964" spans="19:55" ht="15.75" customHeight="1">
      <c r="S964" s="454"/>
      <c r="BA964" s="1305"/>
      <c r="BC964" s="169"/>
    </row>
    <row r="965" spans="19:55" ht="15.75" customHeight="1">
      <c r="S965" s="454"/>
      <c r="BA965" s="1305"/>
      <c r="BC965" s="169"/>
    </row>
    <row r="966" spans="19:55" ht="15.75" customHeight="1">
      <c r="S966" s="454"/>
      <c r="BA966" s="1305"/>
      <c r="BC966" s="169"/>
    </row>
    <row r="967" spans="19:55" ht="15.75" customHeight="1">
      <c r="S967" s="454"/>
      <c r="BA967" s="1305"/>
      <c r="BC967" s="169"/>
    </row>
    <row r="968" spans="19:55" ht="15.75" customHeight="1">
      <c r="S968" s="454"/>
      <c r="BA968" s="1305"/>
      <c r="BC968" s="169"/>
    </row>
    <row r="969" spans="19:55" ht="15.75" customHeight="1">
      <c r="S969" s="454"/>
      <c r="BA969" s="1305"/>
      <c r="BC969" s="169"/>
    </row>
    <row r="970" spans="19:55" ht="15.75" customHeight="1">
      <c r="S970" s="454"/>
      <c r="BA970" s="1305"/>
      <c r="BC970" s="169"/>
    </row>
    <row r="971" spans="19:55" ht="15.75" customHeight="1">
      <c r="S971" s="454"/>
      <c r="BA971" s="1305"/>
      <c r="BC971" s="169"/>
    </row>
    <row r="972" spans="19:55" ht="15.75" customHeight="1">
      <c r="S972" s="454"/>
      <c r="BA972" s="1305"/>
      <c r="BC972" s="169"/>
    </row>
    <row r="973" spans="19:55" ht="15.75" customHeight="1">
      <c r="S973" s="454"/>
      <c r="BA973" s="1305"/>
      <c r="BC973" s="169"/>
    </row>
    <row r="974" spans="19:55" ht="15.75" customHeight="1">
      <c r="S974" s="454"/>
      <c r="BA974" s="1305"/>
      <c r="BC974" s="169"/>
    </row>
    <row r="975" spans="19:55" ht="15.75" customHeight="1">
      <c r="S975" s="454"/>
      <c r="BA975" s="1305"/>
      <c r="BC975" s="169"/>
    </row>
    <row r="976" spans="19:55" ht="15.75" customHeight="1">
      <c r="S976" s="454"/>
      <c r="BA976" s="1305"/>
      <c r="BC976" s="169"/>
    </row>
    <row r="977" spans="19:55" ht="15.75" customHeight="1">
      <c r="S977" s="454"/>
      <c r="BA977" s="1305"/>
      <c r="BC977" s="169"/>
    </row>
    <row r="978" spans="19:55" ht="15.75" customHeight="1">
      <c r="S978" s="454"/>
      <c r="BA978" s="1305"/>
      <c r="BC978" s="169"/>
    </row>
    <row r="979" spans="19:55" ht="15.75" customHeight="1">
      <c r="S979" s="454"/>
      <c r="BA979" s="1305"/>
      <c r="BC979" s="169"/>
    </row>
    <row r="980" spans="19:55" ht="15.75" customHeight="1">
      <c r="S980" s="454"/>
      <c r="BA980" s="1305"/>
      <c r="BC980" s="169"/>
    </row>
    <row r="981" spans="19:55" ht="15.75" customHeight="1">
      <c r="S981" s="454"/>
      <c r="BA981" s="1305"/>
      <c r="BC981" s="169"/>
    </row>
    <row r="982" spans="19:55" ht="15.75" customHeight="1">
      <c r="S982" s="454"/>
      <c r="BA982" s="1305"/>
      <c r="BC982" s="169"/>
    </row>
    <row r="983" spans="19:55" ht="15.75" customHeight="1">
      <c r="S983" s="454"/>
      <c r="BA983" s="1305"/>
      <c r="BC983" s="169"/>
    </row>
    <row r="984" spans="19:55" ht="15.75" customHeight="1">
      <c r="S984" s="454"/>
      <c r="BA984" s="1305"/>
      <c r="BC984" s="169"/>
    </row>
    <row r="985" spans="19:55" ht="15.75" customHeight="1">
      <c r="S985" s="454"/>
      <c r="BA985" s="1305"/>
      <c r="BC985" s="169"/>
    </row>
    <row r="986" spans="19:55" ht="15.75" customHeight="1">
      <c r="S986" s="454"/>
      <c r="BA986" s="1305"/>
      <c r="BC986" s="169"/>
    </row>
    <row r="987" spans="19:55" ht="15.75" customHeight="1">
      <c r="S987" s="454"/>
      <c r="BA987" s="1305"/>
      <c r="BC987" s="169"/>
    </row>
    <row r="988" spans="19:55" ht="15.75" customHeight="1">
      <c r="S988" s="454"/>
      <c r="BA988" s="1305"/>
      <c r="BC988" s="169"/>
    </row>
    <row r="989" spans="19:55" ht="15.75" customHeight="1">
      <c r="S989" s="454"/>
      <c r="BA989" s="1305"/>
      <c r="BC989" s="169"/>
    </row>
    <row r="990" spans="19:55" ht="15.75" customHeight="1">
      <c r="S990" s="454"/>
      <c r="BA990" s="1305"/>
      <c r="BC990" s="169"/>
    </row>
    <row r="991" spans="19:55" ht="15.75" customHeight="1">
      <c r="S991" s="454"/>
      <c r="BA991" s="1305"/>
      <c r="BC991" s="169"/>
    </row>
    <row r="992" spans="19:55" ht="15.75" customHeight="1">
      <c r="S992" s="454"/>
      <c r="BA992" s="1305"/>
      <c r="BC992" s="169"/>
    </row>
    <row r="993" spans="19:55" ht="15.75" customHeight="1">
      <c r="S993" s="454"/>
      <c r="BA993" s="1305"/>
      <c r="BC993" s="169"/>
    </row>
    <row r="994" spans="19:55" ht="15.75" customHeight="1">
      <c r="S994" s="454"/>
      <c r="BA994" s="1305"/>
      <c r="BC994" s="169"/>
    </row>
    <row r="995" spans="19:55" ht="15.75" customHeight="1">
      <c r="S995" s="454"/>
      <c r="BA995" s="1305"/>
      <c r="BC995" s="169"/>
    </row>
    <row r="996" spans="19:55" ht="15.75" customHeight="1">
      <c r="S996" s="454"/>
      <c r="BA996" s="1305"/>
      <c r="BC996" s="169"/>
    </row>
    <row r="997" spans="19:55" ht="15.75" customHeight="1">
      <c r="S997" s="454"/>
      <c r="BA997" s="1305"/>
      <c r="BC997" s="169"/>
    </row>
    <row r="998" spans="19:55" ht="15.75" customHeight="1">
      <c r="S998" s="454"/>
      <c r="BA998" s="1305"/>
      <c r="BC998" s="169"/>
    </row>
    <row r="999" spans="19:55" ht="15.75" customHeight="1">
      <c r="S999" s="454"/>
      <c r="BA999" s="1305"/>
      <c r="BC999" s="169"/>
    </row>
    <row r="1000" spans="19:55" ht="15.75" customHeight="1">
      <c r="S1000" s="454"/>
      <c r="BA1000" s="1305"/>
      <c r="BC1000" s="169"/>
    </row>
    <row r="1001" spans="19:55" ht="15.75" customHeight="1">
      <c r="S1001" s="454"/>
      <c r="BA1001" s="1305"/>
      <c r="BC1001" s="169"/>
    </row>
    <row r="1002" spans="19:55" ht="15.75" customHeight="1">
      <c r="S1002" s="454"/>
      <c r="BA1002" s="1305"/>
      <c r="BC1002" s="169"/>
    </row>
    <row r="1003" spans="19:55" ht="15.75" customHeight="1">
      <c r="S1003" s="454"/>
      <c r="BA1003" s="1305"/>
      <c r="BC1003" s="169"/>
    </row>
    <row r="1004" spans="19:55" ht="15.75" customHeight="1">
      <c r="S1004" s="454"/>
      <c r="BA1004" s="1305"/>
      <c r="BC1004" s="169"/>
    </row>
    <row r="1005" spans="19:55" ht="15.75" customHeight="1">
      <c r="S1005" s="454"/>
      <c r="BA1005" s="1305"/>
      <c r="BC1005" s="169"/>
    </row>
    <row r="1006" spans="19:55" ht="15.75" customHeight="1">
      <c r="S1006" s="454"/>
      <c r="BA1006" s="1305"/>
      <c r="BC1006" s="169"/>
    </row>
    <row r="1007" spans="19:55" ht="15.75" customHeight="1">
      <c r="S1007" s="454"/>
      <c r="BA1007" s="1305"/>
      <c r="BC1007" s="169"/>
    </row>
    <row r="1008" spans="19:55" ht="15.75" customHeight="1">
      <c r="S1008" s="454"/>
      <c r="BA1008" s="1305"/>
      <c r="BC1008" s="169"/>
    </row>
    <row r="1009" spans="19:55" ht="15.75" customHeight="1">
      <c r="S1009" s="454"/>
      <c r="BA1009" s="1305"/>
      <c r="BC1009" s="169"/>
    </row>
    <row r="1010" spans="19:55" ht="15.75" customHeight="1">
      <c r="S1010" s="454"/>
      <c r="BA1010" s="1305"/>
      <c r="BC1010" s="169"/>
    </row>
    <row r="1011" spans="19:55" ht="15.75" customHeight="1">
      <c r="S1011" s="454"/>
      <c r="BA1011" s="1305"/>
      <c r="BC1011" s="169"/>
    </row>
    <row r="1012" spans="19:55" ht="15.75" customHeight="1">
      <c r="S1012" s="454"/>
      <c r="BA1012" s="1305"/>
      <c r="BC1012" s="169"/>
    </row>
    <row r="1013" spans="19:55" ht="15.75" customHeight="1">
      <c r="S1013" s="454"/>
      <c r="BA1013" s="1305"/>
      <c r="BC1013" s="169"/>
    </row>
    <row r="1014" spans="19:55" ht="15.75" customHeight="1">
      <c r="S1014" s="454"/>
      <c r="BA1014" s="1305"/>
      <c r="BC1014" s="169"/>
    </row>
    <row r="1015" spans="19:55" ht="15.75" customHeight="1">
      <c r="S1015" s="454"/>
      <c r="BA1015" s="1305"/>
      <c r="BC1015" s="169"/>
    </row>
    <row r="1016" spans="19:55" ht="15.75" customHeight="1">
      <c r="S1016" s="454"/>
      <c r="BA1016" s="1305"/>
      <c r="BC1016" s="169"/>
    </row>
    <row r="1017" spans="19:55" ht="15.75" customHeight="1">
      <c r="S1017" s="454"/>
      <c r="BA1017" s="1305"/>
      <c r="BC1017" s="169"/>
    </row>
    <row r="1018" spans="19:55" ht="15.75" customHeight="1">
      <c r="S1018" s="454"/>
      <c r="BA1018" s="1305"/>
      <c r="BC1018" s="169"/>
    </row>
    <row r="1019" spans="19:55" ht="15.75" customHeight="1">
      <c r="S1019" s="454"/>
      <c r="BA1019" s="1305"/>
      <c r="BC1019" s="169"/>
    </row>
    <row r="1020" spans="19:55" ht="15.75" customHeight="1">
      <c r="S1020" s="454"/>
      <c r="BA1020" s="1305"/>
      <c r="BC1020" s="169"/>
    </row>
    <row r="1021" spans="19:55" ht="15.75" customHeight="1">
      <c r="S1021" s="454"/>
      <c r="BA1021" s="1305"/>
      <c r="BC1021" s="169"/>
    </row>
    <row r="1022" spans="19:55" ht="15.75" customHeight="1">
      <c r="S1022" s="454"/>
      <c r="BA1022" s="1305"/>
      <c r="BC1022" s="169"/>
    </row>
    <row r="1023" spans="19:55" ht="15.75" customHeight="1">
      <c r="S1023" s="454"/>
      <c r="BA1023" s="1305"/>
      <c r="BC1023" s="169"/>
    </row>
    <row r="1024" spans="19:55" ht="15.75" customHeight="1">
      <c r="S1024" s="454"/>
      <c r="BA1024" s="1305"/>
      <c r="BC1024" s="169"/>
    </row>
    <row r="1025" spans="19:55" ht="15.75" customHeight="1">
      <c r="S1025" s="454"/>
      <c r="BA1025" s="1305"/>
      <c r="BC1025" s="169"/>
    </row>
    <row r="1026" spans="19:55" ht="15.75" customHeight="1">
      <c r="S1026" s="454"/>
      <c r="BA1026" s="1305"/>
      <c r="BC1026" s="169"/>
    </row>
    <row r="1027" spans="19:55" ht="15.75" customHeight="1">
      <c r="S1027" s="454"/>
      <c r="BA1027" s="1305"/>
      <c r="BC1027" s="169"/>
    </row>
    <row r="1028" spans="19:55" ht="15.75" customHeight="1">
      <c r="S1028" s="454"/>
      <c r="BA1028" s="1305"/>
      <c r="BC1028" s="169"/>
    </row>
    <row r="1029" spans="19:55" ht="15.75" customHeight="1">
      <c r="S1029" s="454"/>
      <c r="BA1029" s="1305"/>
      <c r="BC1029" s="169"/>
    </row>
    <row r="1030" spans="19:55" ht="15.75" customHeight="1">
      <c r="S1030" s="454"/>
      <c r="BA1030" s="1305"/>
      <c r="BC1030" s="169"/>
    </row>
    <row r="1031" spans="19:55" ht="15.75" customHeight="1">
      <c r="S1031" s="454"/>
      <c r="BA1031" s="1305"/>
      <c r="BC1031" s="169"/>
    </row>
    <row r="1032" spans="19:55" ht="15.75" customHeight="1">
      <c r="S1032" s="454"/>
      <c r="BA1032" s="1305"/>
      <c r="BC1032" s="169"/>
    </row>
    <row r="1033" spans="19:55" ht="15.75" customHeight="1">
      <c r="S1033" s="454"/>
      <c r="BA1033" s="1305"/>
      <c r="BC1033" s="169"/>
    </row>
    <row r="1034" spans="19:55" ht="15.75" customHeight="1">
      <c r="S1034" s="454"/>
      <c r="BA1034" s="1305"/>
      <c r="BC1034" s="169"/>
    </row>
    <row r="1035" spans="19:55" ht="15.75" customHeight="1">
      <c r="S1035" s="454"/>
      <c r="BA1035" s="1305"/>
      <c r="BC1035" s="169"/>
    </row>
    <row r="1036" spans="19:55" ht="15.75" customHeight="1">
      <c r="S1036" s="454"/>
      <c r="BA1036" s="1305"/>
      <c r="BC1036" s="169"/>
    </row>
    <row r="1037" spans="19:55" ht="15.75" customHeight="1">
      <c r="S1037" s="454"/>
      <c r="BA1037" s="1305"/>
      <c r="BC1037" s="169"/>
    </row>
    <row r="1038" spans="19:55" ht="15.75" customHeight="1">
      <c r="S1038" s="454"/>
      <c r="BA1038" s="1305"/>
      <c r="BC1038" s="169"/>
    </row>
    <row r="1039" spans="19:55" ht="15.75" customHeight="1">
      <c r="S1039" s="454"/>
      <c r="BA1039" s="1305"/>
      <c r="BC1039" s="169"/>
    </row>
    <row r="1040" spans="19:55" ht="15.75" customHeight="1">
      <c r="S1040" s="454"/>
      <c r="BA1040" s="1305"/>
      <c r="BC1040" s="169"/>
    </row>
    <row r="1041" spans="19:55" ht="15.75" customHeight="1">
      <c r="S1041" s="454"/>
      <c r="BA1041" s="1305"/>
      <c r="BC1041" s="169"/>
    </row>
    <row r="1042" spans="19:55" ht="15.75" customHeight="1">
      <c r="S1042" s="454"/>
      <c r="BA1042" s="1305"/>
      <c r="BC1042" s="169"/>
    </row>
    <row r="1043" spans="19:55" ht="15.75" customHeight="1">
      <c r="S1043" s="454"/>
      <c r="BA1043" s="1305"/>
      <c r="BC1043" s="169"/>
    </row>
    <row r="1044" spans="19:55" ht="15.75" customHeight="1">
      <c r="S1044" s="454"/>
      <c r="BA1044" s="1305"/>
      <c r="BC1044" s="169"/>
    </row>
    <row r="1045" spans="19:55" ht="15.75" customHeight="1">
      <c r="S1045" s="454"/>
      <c r="BA1045" s="1305"/>
      <c r="BC1045" s="169"/>
    </row>
    <row r="1046" spans="19:55" ht="15.75" customHeight="1">
      <c r="S1046" s="454"/>
      <c r="BA1046" s="1305"/>
      <c r="BC1046" s="169"/>
    </row>
    <row r="1047" spans="19:55" ht="15.75" customHeight="1">
      <c r="S1047" s="454"/>
      <c r="BA1047" s="1305"/>
      <c r="BC1047" s="169"/>
    </row>
    <row r="1048" spans="19:55" ht="15.75" customHeight="1">
      <c r="S1048" s="454"/>
      <c r="BA1048" s="1305"/>
      <c r="BC1048" s="169"/>
    </row>
    <row r="1049" spans="19:55" ht="15.75" customHeight="1">
      <c r="S1049" s="454"/>
      <c r="BA1049" s="1305"/>
      <c r="BC1049" s="169"/>
    </row>
    <row r="1050" spans="19:55" ht="15.75" customHeight="1">
      <c r="S1050" s="454"/>
      <c r="BA1050" s="1305"/>
      <c r="BC1050" s="169"/>
    </row>
    <row r="1051" spans="19:55" ht="15.75" customHeight="1">
      <c r="S1051" s="454"/>
      <c r="BA1051" s="1305"/>
      <c r="BC1051" s="169"/>
    </row>
    <row r="1052" spans="19:55" ht="15.75" customHeight="1">
      <c r="S1052" s="454"/>
      <c r="BA1052" s="1305"/>
      <c r="BC1052" s="169"/>
    </row>
    <row r="1053" spans="19:55" ht="15.75" customHeight="1">
      <c r="S1053" s="454"/>
      <c r="BA1053" s="1305"/>
      <c r="BC1053" s="169"/>
    </row>
    <row r="1054" spans="19:55" ht="15.75" customHeight="1">
      <c r="S1054" s="454"/>
      <c r="BA1054" s="1305"/>
      <c r="BC1054" s="169"/>
    </row>
    <row r="1055" spans="19:55" ht="15.75" customHeight="1">
      <c r="S1055" s="454"/>
      <c r="BA1055" s="1305"/>
      <c r="BC1055" s="169"/>
    </row>
    <row r="1056" spans="19:55" ht="15.75" customHeight="1">
      <c r="S1056" s="454"/>
      <c r="BA1056" s="1305"/>
      <c r="BC1056" s="169"/>
    </row>
    <row r="1057" spans="19:55" ht="15.75" customHeight="1">
      <c r="S1057" s="454"/>
      <c r="BA1057" s="1305"/>
      <c r="BC1057" s="169"/>
    </row>
    <row r="1058" spans="19:55" ht="15.75" customHeight="1">
      <c r="S1058" s="454"/>
      <c r="BA1058" s="1305"/>
      <c r="BC1058" s="169"/>
    </row>
    <row r="1059" spans="19:55" ht="15.75" customHeight="1">
      <c r="S1059" s="454"/>
      <c r="BA1059" s="1305"/>
      <c r="BC1059" s="169"/>
    </row>
    <row r="1060" spans="19:55" ht="15.75" customHeight="1">
      <c r="S1060" s="454"/>
      <c r="BA1060" s="1305"/>
      <c r="BC1060" s="169"/>
    </row>
    <row r="1061" spans="19:55" ht="15.75" customHeight="1">
      <c r="S1061" s="454"/>
      <c r="BA1061" s="1305"/>
      <c r="BC1061" s="169"/>
    </row>
    <row r="1062" spans="19:55" ht="15.75" customHeight="1">
      <c r="S1062" s="454"/>
      <c r="BA1062" s="1305"/>
      <c r="BC1062" s="169"/>
    </row>
    <row r="1063" spans="19:55" ht="15.75" customHeight="1">
      <c r="S1063" s="454"/>
      <c r="BA1063" s="1305"/>
      <c r="BC1063" s="169"/>
    </row>
    <row r="1064" spans="19:55" ht="15.75" customHeight="1">
      <c r="S1064" s="454"/>
      <c r="BA1064" s="1305"/>
      <c r="BC1064" s="169"/>
    </row>
    <row r="1065" spans="19:55" ht="15.75" customHeight="1">
      <c r="S1065" s="454"/>
      <c r="BA1065" s="1305"/>
      <c r="BC1065" s="169"/>
    </row>
    <row r="1066" spans="19:55" ht="15.75" customHeight="1">
      <c r="S1066" s="454"/>
      <c r="BA1066" s="1305"/>
      <c r="BC1066" s="169"/>
    </row>
    <row r="1067" spans="19:55" ht="15.75" customHeight="1">
      <c r="S1067" s="454"/>
      <c r="BA1067" s="1305"/>
      <c r="BC1067" s="169"/>
    </row>
    <row r="1068" spans="19:55" ht="15.75" customHeight="1">
      <c r="S1068" s="454"/>
      <c r="BA1068" s="1305"/>
      <c r="BC1068" s="169"/>
    </row>
    <row r="1069" spans="19:55" ht="15.75" customHeight="1">
      <c r="S1069" s="454"/>
      <c r="BA1069" s="1305"/>
      <c r="BC1069" s="169"/>
    </row>
    <row r="1070" spans="19:55" ht="15.75" customHeight="1">
      <c r="S1070" s="454"/>
      <c r="BA1070" s="1305"/>
      <c r="BC1070" s="169"/>
    </row>
    <row r="1071" spans="19:55" ht="15.75" customHeight="1">
      <c r="S1071" s="454"/>
      <c r="BA1071" s="1305"/>
      <c r="BC1071" s="169"/>
    </row>
    <row r="1072" spans="19:55" ht="15.75" customHeight="1">
      <c r="S1072" s="454"/>
      <c r="BA1072" s="1305"/>
      <c r="BC1072" s="169"/>
    </row>
    <row r="1073" spans="19:55" ht="15.75" customHeight="1">
      <c r="S1073" s="454"/>
      <c r="BA1073" s="1305"/>
      <c r="BC1073" s="169"/>
    </row>
    <row r="1074" spans="19:55" ht="15.75" customHeight="1">
      <c r="S1074" s="454"/>
      <c r="BA1074" s="1305"/>
      <c r="BC1074" s="169"/>
    </row>
    <row r="1075" spans="19:55" ht="15.75" customHeight="1">
      <c r="S1075" s="454"/>
      <c r="BA1075" s="1305"/>
      <c r="BC1075" s="169"/>
    </row>
    <row r="1076" spans="19:55" ht="15.75" customHeight="1">
      <c r="S1076" s="454"/>
      <c r="BA1076" s="1305"/>
      <c r="BC1076" s="169"/>
    </row>
    <row r="1077" spans="19:55" ht="15.75" customHeight="1">
      <c r="S1077" s="454"/>
      <c r="BA1077" s="1305"/>
      <c r="BC1077" s="169"/>
    </row>
    <row r="1078" spans="19:55" ht="15.75" customHeight="1">
      <c r="S1078" s="454"/>
      <c r="BA1078" s="1305"/>
      <c r="BC1078" s="169"/>
    </row>
    <row r="1079" spans="19:55" ht="15.75" customHeight="1">
      <c r="S1079" s="454"/>
      <c r="BA1079" s="1305"/>
      <c r="BC1079" s="169"/>
    </row>
    <row r="1080" spans="19:55" ht="15.75" customHeight="1">
      <c r="S1080" s="454"/>
      <c r="BA1080" s="1305"/>
      <c r="BC1080" s="169"/>
    </row>
    <row r="1081" spans="19:55" ht="15.75" customHeight="1">
      <c r="S1081" s="454"/>
      <c r="BA1081" s="1305"/>
      <c r="BC1081" s="169"/>
    </row>
    <row r="1082" spans="19:55" ht="15.75" customHeight="1">
      <c r="S1082" s="454"/>
      <c r="BA1082" s="1305"/>
      <c r="BC1082" s="169"/>
    </row>
    <row r="1083" spans="19:55" ht="15.75" customHeight="1">
      <c r="S1083" s="454"/>
      <c r="BA1083" s="1305"/>
      <c r="BC1083" s="169"/>
    </row>
    <row r="1084" spans="19:55" ht="15.75" customHeight="1">
      <c r="S1084" s="454"/>
      <c r="BA1084" s="1305"/>
      <c r="BC1084" s="169"/>
    </row>
    <row r="1085" spans="19:55" ht="15.75" customHeight="1">
      <c r="S1085" s="454"/>
      <c r="BA1085" s="1305"/>
      <c r="BC1085" s="169"/>
    </row>
    <row r="1086" spans="19:55" ht="15.75" customHeight="1">
      <c r="S1086" s="454"/>
      <c r="BA1086" s="1305"/>
      <c r="BC1086" s="169"/>
    </row>
    <row r="1087" spans="19:55" ht="15.75" customHeight="1">
      <c r="S1087" s="454"/>
      <c r="BA1087" s="1305"/>
      <c r="BC1087" s="169"/>
    </row>
    <row r="1088" spans="19:55" ht="15.75" customHeight="1">
      <c r="S1088" s="454"/>
      <c r="BA1088" s="1305"/>
      <c r="BC1088" s="169"/>
    </row>
    <row r="1089" spans="19:55" ht="15.75" customHeight="1">
      <c r="S1089" s="454"/>
      <c r="BA1089" s="1305"/>
      <c r="BC1089" s="169"/>
    </row>
    <row r="1090" spans="19:55" ht="15.75" customHeight="1">
      <c r="S1090" s="454"/>
      <c r="BA1090" s="1305"/>
      <c r="BC1090" s="169"/>
    </row>
    <row r="1091" spans="19:55" ht="15.75" customHeight="1">
      <c r="S1091" s="454"/>
      <c r="BA1091" s="1305"/>
      <c r="BC1091" s="169"/>
    </row>
    <row r="1092" spans="19:55" ht="15.75" customHeight="1">
      <c r="S1092" s="454"/>
      <c r="BA1092" s="1305"/>
      <c r="BC1092" s="169"/>
    </row>
    <row r="1093" spans="19:55" ht="15.75" customHeight="1">
      <c r="S1093" s="454"/>
      <c r="BA1093" s="1305"/>
      <c r="BC1093" s="169"/>
    </row>
    <row r="1094" spans="19:55" ht="15.75" customHeight="1">
      <c r="S1094" s="454"/>
      <c r="BA1094" s="1305"/>
      <c r="BC1094" s="169"/>
    </row>
    <row r="1095" spans="19:55" ht="15.75" customHeight="1">
      <c r="S1095" s="454"/>
      <c r="BA1095" s="1305"/>
      <c r="BC1095" s="169"/>
    </row>
    <row r="1096" spans="19:55" ht="15.75" customHeight="1">
      <c r="S1096" s="454"/>
      <c r="BA1096" s="1305"/>
      <c r="BC1096" s="169"/>
    </row>
    <row r="1097" spans="19:55" ht="15.75" customHeight="1">
      <c r="S1097" s="454"/>
      <c r="BA1097" s="1305"/>
      <c r="BC1097" s="169"/>
    </row>
    <row r="1098" spans="19:55" ht="15.75" customHeight="1">
      <c r="S1098" s="454"/>
      <c r="BA1098" s="1305"/>
      <c r="BC1098" s="169"/>
    </row>
    <row r="1099" spans="19:55" ht="15.75" customHeight="1">
      <c r="S1099" s="454"/>
      <c r="BA1099" s="1305"/>
      <c r="BC1099" s="169"/>
    </row>
    <row r="1100" spans="19:55" ht="15.75" customHeight="1">
      <c r="S1100" s="454"/>
      <c r="BA1100" s="1305"/>
      <c r="BC1100" s="169"/>
    </row>
    <row r="1101" spans="19:55" ht="15.75" customHeight="1">
      <c r="S1101" s="454"/>
      <c r="BA1101" s="1266"/>
      <c r="BC1101" s="169"/>
    </row>
    <row r="1102" spans="19:55" ht="15.75" customHeight="1">
      <c r="S1102" s="454"/>
      <c r="BA1102" s="1266"/>
      <c r="BC1102" s="169"/>
    </row>
    <row r="1103" spans="19:55" ht="15.75" customHeight="1">
      <c r="S1103" s="454"/>
      <c r="BA1103" s="1266"/>
      <c r="BC1103" s="169"/>
    </row>
    <row r="1104" spans="19:55" ht="15.75" customHeight="1">
      <c r="S1104" s="454"/>
      <c r="BA1104" s="1266"/>
      <c r="BC1104" s="169"/>
    </row>
    <row r="1105" spans="19:55" ht="15.75" customHeight="1">
      <c r="S1105" s="454"/>
      <c r="BA1105" s="1266"/>
      <c r="BC1105" s="169"/>
    </row>
    <row r="1106" spans="19:55" ht="15.75" customHeight="1">
      <c r="S1106" s="454"/>
      <c r="BA1106" s="1266"/>
      <c r="BC1106" s="169"/>
    </row>
    <row r="1107" spans="19:55" ht="15.75" customHeight="1">
      <c r="S1107" s="454"/>
      <c r="BA1107" s="1266"/>
      <c r="BC1107" s="169"/>
    </row>
    <row r="1108" spans="19:55" ht="15.75" customHeight="1">
      <c r="S1108" s="454"/>
      <c r="BA1108" s="1266"/>
      <c r="BC1108" s="169"/>
    </row>
    <row r="1109" spans="19:55" ht="15.75" customHeight="1">
      <c r="S1109" s="454"/>
      <c r="BA1109" s="1266"/>
      <c r="BC1109" s="169"/>
    </row>
    <row r="1110" spans="19:55" ht="15.75" customHeight="1">
      <c r="S1110" s="454"/>
      <c r="BA1110" s="1266"/>
      <c r="BC1110" s="169"/>
    </row>
    <row r="1111" spans="19:55" ht="15.75" customHeight="1">
      <c r="S1111" s="454"/>
      <c r="BA1111" s="1266"/>
      <c r="BC1111" s="169"/>
    </row>
    <row r="1112" spans="19:55" ht="15.75" customHeight="1">
      <c r="S1112" s="454"/>
      <c r="BA1112" s="1266"/>
      <c r="BC1112" s="169"/>
    </row>
    <row r="1113" spans="19:55" ht="15.75" customHeight="1">
      <c r="S1113" s="454"/>
      <c r="BA1113" s="1266"/>
      <c r="BC1113" s="169"/>
    </row>
    <row r="1114" spans="19:55" ht="15.75" customHeight="1">
      <c r="S1114" s="454"/>
      <c r="BA1114" s="1266"/>
      <c r="BC1114" s="169"/>
    </row>
    <row r="1115" spans="19:55" ht="15.75" customHeight="1">
      <c r="S1115" s="454"/>
      <c r="BA1115" s="1266"/>
      <c r="BC1115" s="169"/>
    </row>
    <row r="1116" spans="19:55" ht="15.75" customHeight="1">
      <c r="S1116" s="454"/>
      <c r="BA1116" s="1266"/>
      <c r="BC1116" s="169"/>
    </row>
    <row r="1117" spans="19:55" ht="15.75" customHeight="1">
      <c r="S1117" s="454"/>
      <c r="BA1117" s="1266"/>
      <c r="BC1117" s="169"/>
    </row>
    <row r="1118" spans="19:55" ht="15.75" customHeight="1">
      <c r="S1118" s="454"/>
      <c r="BA1118" s="1266"/>
      <c r="BC1118" s="169"/>
    </row>
    <row r="1119" spans="19:55" ht="15.75" customHeight="1">
      <c r="S1119" s="454"/>
      <c r="BA1119" s="1266"/>
      <c r="BC1119" s="169"/>
    </row>
    <row r="1120" spans="19:55" ht="15.75" customHeight="1">
      <c r="S1120" s="454"/>
      <c r="BA1120" s="1266"/>
      <c r="BC1120" s="169"/>
    </row>
    <row r="1121" spans="19:55" ht="15.75" customHeight="1">
      <c r="S1121" s="454"/>
      <c r="BA1121" s="1266"/>
      <c r="BC1121" s="169"/>
    </row>
    <row r="1122" spans="19:55" ht="15.75" customHeight="1">
      <c r="S1122" s="454"/>
      <c r="BA1122" s="1266"/>
      <c r="BC1122" s="169"/>
    </row>
    <row r="1123" spans="19:55" ht="15.75" customHeight="1">
      <c r="S1123" s="454"/>
      <c r="BA1123" s="1266"/>
      <c r="BC1123" s="169"/>
    </row>
    <row r="1124" spans="19:55" ht="15.75" customHeight="1">
      <c r="S1124" s="454"/>
      <c r="BA1124" s="1266"/>
      <c r="BC1124" s="169"/>
    </row>
    <row r="1125" spans="19:55" ht="15.75" customHeight="1">
      <c r="S1125" s="454"/>
      <c r="BA1125" s="1266"/>
      <c r="BC1125" s="169"/>
    </row>
    <row r="1126" spans="19:55" ht="15.75" customHeight="1">
      <c r="S1126" s="454"/>
      <c r="BA1126" s="1266"/>
      <c r="BC1126" s="169"/>
    </row>
    <row r="1127" spans="19:55" ht="15.75" customHeight="1">
      <c r="S1127" s="454"/>
      <c r="BA1127" s="1266"/>
      <c r="BC1127" s="169"/>
    </row>
    <row r="1128" spans="19:55" ht="15.75" customHeight="1">
      <c r="S1128" s="454"/>
      <c r="BA1128" s="1266"/>
      <c r="BC1128" s="169"/>
    </row>
    <row r="1129" spans="19:55" ht="15.75" customHeight="1">
      <c r="S1129" s="454"/>
      <c r="BA1129" s="1266"/>
      <c r="BC1129" s="169"/>
    </row>
    <row r="1130" spans="19:55" ht="15.75" customHeight="1">
      <c r="S1130" s="454"/>
      <c r="BA1130" s="1266"/>
      <c r="BC1130" s="169"/>
    </row>
    <row r="1131" spans="19:55" ht="15.75" customHeight="1">
      <c r="S1131" s="454"/>
      <c r="BA1131" s="1266"/>
      <c r="BC1131" s="169"/>
    </row>
    <row r="1132" spans="19:55" ht="15.75" customHeight="1">
      <c r="S1132" s="454"/>
      <c r="BA1132" s="1266"/>
      <c r="BC1132" s="169"/>
    </row>
    <row r="1133" spans="19:55" ht="15.75" customHeight="1">
      <c r="S1133" s="454"/>
      <c r="BA1133" s="1266"/>
      <c r="BC1133" s="169"/>
    </row>
    <row r="1134" spans="19:55" ht="15.75" customHeight="1">
      <c r="S1134" s="454"/>
      <c r="BA1134" s="1266"/>
      <c r="BC1134" s="169"/>
    </row>
    <row r="1135" spans="19:55" ht="15.75" customHeight="1">
      <c r="S1135" s="454"/>
      <c r="BA1135" s="1266"/>
      <c r="BC1135" s="169"/>
    </row>
    <row r="1136" spans="19:55" ht="15.75" customHeight="1">
      <c r="S1136" s="454"/>
      <c r="BA1136" s="1266"/>
      <c r="BC1136" s="169"/>
    </row>
    <row r="1137" spans="19:55" ht="15.75" customHeight="1">
      <c r="S1137" s="454"/>
      <c r="BA1137" s="1266"/>
      <c r="BC1137" s="169"/>
    </row>
    <row r="1138" spans="19:55" ht="15.75" customHeight="1">
      <c r="S1138" s="454"/>
      <c r="BA1138" s="1266"/>
      <c r="BC1138" s="169"/>
    </row>
    <row r="1139" spans="19:55" ht="15.75" customHeight="1">
      <c r="S1139" s="454"/>
      <c r="BA1139" s="1266"/>
      <c r="BC1139" s="169"/>
    </row>
    <row r="1140" spans="19:55" ht="15.75" customHeight="1">
      <c r="S1140" s="454"/>
      <c r="BA1140" s="1266"/>
      <c r="BC1140" s="169"/>
    </row>
    <row r="1141" spans="19:55" ht="15.75" customHeight="1">
      <c r="S1141" s="454"/>
      <c r="BA1141" s="1266"/>
      <c r="BC1141" s="169"/>
    </row>
    <row r="1142" spans="19:55" ht="15.75" customHeight="1">
      <c r="S1142" s="454"/>
      <c r="BA1142" s="1266"/>
      <c r="BC1142" s="169"/>
    </row>
    <row r="1143" spans="19:55" ht="15.75" customHeight="1">
      <c r="S1143" s="454"/>
      <c r="BA1143" s="1266"/>
      <c r="BC1143" s="169"/>
    </row>
    <row r="1144" spans="19:55" ht="15.75" customHeight="1">
      <c r="S1144" s="454"/>
      <c r="BA1144" s="1266"/>
      <c r="BC1144" s="169"/>
    </row>
    <row r="1145" spans="19:55" ht="15.75" customHeight="1">
      <c r="S1145" s="454"/>
      <c r="BA1145" s="1266"/>
      <c r="BC1145" s="169"/>
    </row>
    <row r="1146" spans="19:55" ht="15.75" customHeight="1">
      <c r="S1146" s="454"/>
      <c r="BA1146" s="1266"/>
      <c r="BC1146" s="169"/>
    </row>
    <row r="1147" spans="19:55" ht="15.75" customHeight="1">
      <c r="S1147" s="454"/>
      <c r="BA1147" s="1266"/>
      <c r="BC1147" s="169"/>
    </row>
    <row r="1148" spans="19:55" ht="15.75" customHeight="1">
      <c r="S1148" s="454"/>
      <c r="BA1148" s="1266"/>
      <c r="BC1148" s="169"/>
    </row>
    <row r="1149" spans="19:55" ht="15.75" customHeight="1">
      <c r="S1149" s="454"/>
      <c r="BA1149" s="1266"/>
      <c r="BC1149" s="169"/>
    </row>
    <row r="1150" spans="19:55" ht="15.75" customHeight="1">
      <c r="S1150" s="454"/>
      <c r="BA1150" s="1266"/>
      <c r="BC1150" s="169"/>
    </row>
    <row r="1151" spans="19:55" ht="15.75" customHeight="1">
      <c r="S1151" s="454"/>
      <c r="BA1151" s="1266"/>
      <c r="BC1151" s="169"/>
    </row>
    <row r="1152" spans="19:55" ht="15.75" customHeight="1">
      <c r="S1152" s="454"/>
      <c r="BA1152" s="1266"/>
      <c r="BC1152" s="169"/>
    </row>
    <row r="1153" spans="19:55" ht="15.75" customHeight="1">
      <c r="S1153" s="454"/>
      <c r="BA1153" s="1266"/>
      <c r="BC1153" s="169"/>
    </row>
    <row r="1154" spans="19:55" ht="15.75" customHeight="1">
      <c r="S1154" s="454"/>
      <c r="BA1154" s="1266"/>
      <c r="BC1154" s="169"/>
    </row>
    <row r="1155" spans="19:55" ht="15.75" customHeight="1">
      <c r="S1155" s="454"/>
      <c r="BA1155" s="1266"/>
      <c r="BC1155" s="169"/>
    </row>
    <row r="1156" spans="19:55" ht="15.75" customHeight="1">
      <c r="S1156" s="454"/>
      <c r="BA1156" s="1266"/>
      <c r="BC1156" s="169"/>
    </row>
    <row r="1157" spans="19:55" ht="15.75" customHeight="1">
      <c r="S1157" s="454"/>
      <c r="BA1157" s="1266"/>
      <c r="BC1157" s="169"/>
    </row>
    <row r="1158" spans="19:55" ht="15.75" customHeight="1">
      <c r="S1158" s="454"/>
      <c r="BA1158" s="1266"/>
      <c r="BC1158" s="169"/>
    </row>
    <row r="1159" spans="19:55" ht="15.75" customHeight="1">
      <c r="S1159" s="454"/>
      <c r="BA1159" s="1266"/>
      <c r="BC1159" s="169"/>
    </row>
    <row r="1160" spans="19:55" ht="15.75" customHeight="1">
      <c r="S1160" s="454"/>
      <c r="BA1160" s="1266"/>
      <c r="BC1160" s="169"/>
    </row>
    <row r="1161" spans="19:55" ht="15.75" customHeight="1">
      <c r="S1161" s="454"/>
      <c r="BA1161" s="1266"/>
      <c r="BC1161" s="169"/>
    </row>
    <row r="1162" spans="19:55" ht="15.75" customHeight="1">
      <c r="S1162" s="454"/>
      <c r="BA1162" s="1266"/>
      <c r="BC1162" s="169"/>
    </row>
    <row r="1163" spans="19:55" ht="15.75" customHeight="1">
      <c r="S1163" s="454"/>
      <c r="BA1163" s="1266"/>
      <c r="BC1163" s="169"/>
    </row>
    <row r="1164" spans="19:55" ht="15.75" customHeight="1">
      <c r="S1164" s="454"/>
      <c r="BA1164" s="1266"/>
      <c r="BC1164" s="169"/>
    </row>
    <row r="1165" spans="19:55" ht="15.75" customHeight="1">
      <c r="S1165" s="454"/>
      <c r="BA1165" s="1266"/>
      <c r="BC1165" s="169"/>
    </row>
    <row r="1166" spans="19:55" ht="15.75" customHeight="1">
      <c r="S1166" s="454"/>
      <c r="BA1166" s="1266"/>
      <c r="BC1166" s="169"/>
    </row>
    <row r="1167" spans="19:55" ht="15.75" customHeight="1">
      <c r="S1167" s="454"/>
      <c r="BA1167" s="1266"/>
      <c r="BC1167" s="169"/>
    </row>
    <row r="1168" spans="19:55" ht="15.75" customHeight="1">
      <c r="S1168" s="454"/>
      <c r="BA1168" s="1266"/>
      <c r="BC1168" s="169"/>
    </row>
    <row r="1169" spans="19:55" ht="15.75" customHeight="1">
      <c r="S1169" s="454"/>
      <c r="BA1169" s="1266"/>
      <c r="BC1169" s="169"/>
    </row>
    <row r="1170" spans="19:55" ht="15.75" customHeight="1">
      <c r="S1170" s="454"/>
      <c r="BA1170" s="1266"/>
      <c r="BC1170" s="169"/>
    </row>
    <row r="1171" spans="19:55" ht="15.75" customHeight="1">
      <c r="S1171" s="454"/>
      <c r="BA1171" s="1266"/>
      <c r="BC1171" s="169"/>
    </row>
    <row r="1172" spans="19:55" ht="15.75" customHeight="1">
      <c r="S1172" s="454"/>
      <c r="BA1172" s="1266"/>
      <c r="BC1172" s="169"/>
    </row>
    <row r="1173" spans="19:55" ht="15.75" customHeight="1">
      <c r="S1173" s="454"/>
      <c r="BA1173" s="1266"/>
      <c r="BC1173" s="169"/>
    </row>
    <row r="1174" spans="19:55" ht="15.75" customHeight="1">
      <c r="S1174" s="454"/>
      <c r="BA1174" s="1266"/>
      <c r="BC1174" s="169"/>
    </row>
    <row r="1175" spans="19:55" ht="15.75" customHeight="1">
      <c r="S1175" s="454"/>
      <c r="BA1175" s="1266"/>
      <c r="BC1175" s="169"/>
    </row>
    <row r="1176" spans="19:55" ht="15.75" customHeight="1">
      <c r="S1176" s="454"/>
      <c r="BA1176" s="1266"/>
      <c r="BC1176" s="169"/>
    </row>
    <row r="1177" spans="19:55" ht="15.75" customHeight="1">
      <c r="S1177" s="454"/>
      <c r="BA1177" s="1266"/>
      <c r="BC1177" s="169"/>
    </row>
    <row r="1178" spans="19:55" ht="15.75" customHeight="1">
      <c r="S1178" s="454"/>
      <c r="BA1178" s="1266"/>
      <c r="BC1178" s="169"/>
    </row>
    <row r="1179" spans="19:55" ht="15.75" customHeight="1">
      <c r="S1179" s="454"/>
      <c r="BA1179" s="1266"/>
      <c r="BC1179" s="169"/>
    </row>
    <row r="1180" spans="19:55" ht="15.75" customHeight="1">
      <c r="S1180" s="454"/>
      <c r="BA1180" s="1266"/>
      <c r="BC1180" s="169"/>
    </row>
    <row r="1181" spans="19:55" ht="15.75" customHeight="1">
      <c r="S1181" s="454"/>
      <c r="BA1181" s="1266"/>
      <c r="BC1181" s="169"/>
    </row>
    <row r="1182" spans="19:55" ht="15.75" customHeight="1">
      <c r="S1182" s="454"/>
      <c r="BA1182" s="1266"/>
      <c r="BC1182" s="169"/>
    </row>
    <row r="1183" spans="19:55" ht="15.75" customHeight="1">
      <c r="S1183" s="454"/>
      <c r="BA1183" s="1266"/>
      <c r="BC1183" s="169"/>
    </row>
    <row r="1184" spans="19:55" ht="15.75" customHeight="1">
      <c r="S1184" s="454"/>
      <c r="BA1184" s="1266"/>
      <c r="BC1184" s="169"/>
    </row>
    <row r="1185" spans="19:55" ht="15.75" customHeight="1">
      <c r="S1185" s="454"/>
      <c r="BA1185" s="1266"/>
      <c r="BC1185" s="169"/>
    </row>
    <row r="1186" spans="19:55" ht="15.75" customHeight="1">
      <c r="S1186" s="454"/>
      <c r="BA1186" s="1266"/>
      <c r="BC1186" s="169"/>
    </row>
    <row r="1187" spans="19:55" ht="15.75" customHeight="1">
      <c r="S1187" s="454"/>
      <c r="BA1187" s="1266"/>
      <c r="BC1187" s="169"/>
    </row>
    <row r="1188" spans="19:55" ht="15.75" customHeight="1">
      <c r="S1188" s="454"/>
      <c r="BA1188" s="1266"/>
      <c r="BC1188" s="169"/>
    </row>
    <row r="1189" spans="19:55" ht="15.75" customHeight="1">
      <c r="S1189" s="454"/>
      <c r="BA1189" s="1266"/>
      <c r="BC1189" s="169"/>
    </row>
    <row r="1190" spans="19:55" ht="15.75" customHeight="1">
      <c r="S1190" s="454"/>
      <c r="BA1190" s="1266"/>
      <c r="BC1190" s="169"/>
    </row>
    <row r="1191" spans="19:55" ht="15.75" customHeight="1">
      <c r="S1191" s="454"/>
      <c r="BA1191" s="1266"/>
      <c r="BC1191" s="169"/>
    </row>
    <row r="1192" spans="19:55" ht="15.75" customHeight="1">
      <c r="S1192" s="454"/>
      <c r="BA1192" s="1266"/>
      <c r="BC1192" s="169"/>
    </row>
    <row r="1193" spans="19:55" ht="15.75" customHeight="1">
      <c r="S1193" s="454"/>
      <c r="BA1193" s="1266"/>
      <c r="BC1193" s="169"/>
    </row>
    <row r="1194" spans="19:55" ht="15.75" customHeight="1">
      <c r="S1194" s="454"/>
      <c r="BA1194" s="1266"/>
      <c r="BC1194" s="169"/>
    </row>
    <row r="1195" spans="19:55" ht="15.75" customHeight="1">
      <c r="S1195" s="454"/>
      <c r="BA1195" s="1266"/>
      <c r="BC1195" s="169"/>
    </row>
    <row r="1196" spans="19:55" ht="15.75" customHeight="1">
      <c r="S1196" s="454"/>
      <c r="BA1196" s="1266"/>
      <c r="BC1196" s="169"/>
    </row>
    <row r="1197" spans="19:55" ht="15.75" customHeight="1">
      <c r="S1197" s="454"/>
      <c r="BA1197" s="1266"/>
      <c r="BC1197" s="169"/>
    </row>
    <row r="1198" spans="19:55" ht="15.75" customHeight="1">
      <c r="S1198" s="454"/>
      <c r="BA1198" s="1266"/>
      <c r="BC1198" s="169"/>
    </row>
    <row r="1199" spans="19:55" ht="15.75" customHeight="1">
      <c r="S1199" s="454"/>
      <c r="BA1199" s="1266"/>
      <c r="BC1199" s="169"/>
    </row>
    <row r="1200" spans="19:55" ht="15.75" customHeight="1">
      <c r="S1200" s="454"/>
      <c r="BA1200" s="1266"/>
      <c r="BC1200" s="169"/>
    </row>
    <row r="1201" spans="19:55" ht="15.75" customHeight="1">
      <c r="S1201" s="454"/>
      <c r="BA1201" s="1266"/>
      <c r="BC1201" s="169"/>
    </row>
    <row r="1202" spans="19:55" ht="15.75" customHeight="1">
      <c r="S1202" s="454"/>
      <c r="BA1202" s="1266"/>
      <c r="BC1202" s="169"/>
    </row>
    <row r="1203" spans="19:55" ht="15.75" customHeight="1">
      <c r="S1203" s="454"/>
      <c r="BA1203" s="1266"/>
      <c r="BC1203" s="169"/>
    </row>
    <row r="1204" spans="19:55" ht="15.75" customHeight="1">
      <c r="S1204" s="454"/>
      <c r="BA1204" s="1266"/>
      <c r="BC1204" s="169"/>
    </row>
    <row r="1205" spans="19:55" ht="15.75" customHeight="1">
      <c r="S1205" s="454"/>
      <c r="BA1205" s="1266"/>
      <c r="BC1205" s="169"/>
    </row>
    <row r="1206" spans="19:55" ht="15.75" customHeight="1">
      <c r="S1206" s="454"/>
      <c r="BA1206" s="1266"/>
      <c r="BC1206" s="169"/>
    </row>
    <row r="1207" spans="19:55" ht="15.75" customHeight="1">
      <c r="S1207" s="454"/>
      <c r="BA1207" s="1266"/>
      <c r="BC1207" s="169"/>
    </row>
    <row r="1208" spans="19:55" ht="15.75" customHeight="1">
      <c r="S1208" s="454"/>
      <c r="BA1208" s="1266"/>
      <c r="BC1208" s="169"/>
    </row>
    <row r="1209" spans="19:55" ht="15.75" customHeight="1">
      <c r="S1209" s="454"/>
      <c r="BA1209" s="1266"/>
      <c r="BC1209" s="169"/>
    </row>
    <row r="1210" spans="19:55" ht="15.75" customHeight="1">
      <c r="S1210" s="454"/>
      <c r="BA1210" s="1266"/>
      <c r="BC1210" s="169"/>
    </row>
    <row r="1211" spans="19:55" ht="15.75" customHeight="1">
      <c r="S1211" s="454"/>
      <c r="BA1211" s="1266"/>
      <c r="BC1211" s="169"/>
    </row>
    <row r="1212" spans="19:55" ht="15.75" customHeight="1">
      <c r="S1212" s="454"/>
      <c r="BA1212" s="1266"/>
      <c r="BC1212" s="169"/>
    </row>
    <row r="1213" spans="19:55" ht="15.75" customHeight="1">
      <c r="S1213" s="454"/>
      <c r="BA1213" s="1266"/>
      <c r="BC1213" s="169"/>
    </row>
    <row r="1214" spans="19:55" ht="15.75" customHeight="1">
      <c r="S1214" s="454"/>
      <c r="BA1214" s="1266"/>
      <c r="BC1214" s="169"/>
    </row>
    <row r="1215" spans="19:55" ht="15.75" customHeight="1">
      <c r="S1215" s="454"/>
      <c r="BA1215" s="1266"/>
      <c r="BC1215" s="169"/>
    </row>
    <row r="1216" spans="19:55" ht="15.75" customHeight="1">
      <c r="S1216" s="454"/>
      <c r="BA1216" s="1266"/>
      <c r="BC1216" s="169"/>
    </row>
    <row r="1217" spans="19:55" ht="15.75" customHeight="1">
      <c r="S1217" s="454"/>
      <c r="BA1217" s="1266"/>
      <c r="BC1217" s="169"/>
    </row>
    <row r="1218" spans="19:55" ht="15.75" customHeight="1">
      <c r="S1218" s="454"/>
      <c r="BA1218" s="1266"/>
      <c r="BC1218" s="169"/>
    </row>
    <row r="1219" spans="19:55" ht="15.75" customHeight="1">
      <c r="S1219" s="454"/>
      <c r="BA1219" s="1266"/>
      <c r="BC1219" s="169"/>
    </row>
    <row r="1220" spans="19:55" ht="15.75" customHeight="1">
      <c r="S1220" s="454"/>
      <c r="BA1220" s="1266"/>
      <c r="BC1220" s="169"/>
    </row>
    <row r="1221" spans="19:55" ht="15.75" customHeight="1">
      <c r="S1221" s="454"/>
      <c r="BA1221" s="1266"/>
      <c r="BC1221" s="169"/>
    </row>
    <row r="1222" spans="19:55" ht="15.75" customHeight="1">
      <c r="S1222" s="454"/>
      <c r="BA1222" s="1266"/>
      <c r="BC1222" s="169"/>
    </row>
    <row r="1223" spans="19:55" ht="15.75" customHeight="1">
      <c r="S1223" s="454"/>
      <c r="BA1223" s="1266"/>
      <c r="BC1223" s="169"/>
    </row>
    <row r="1224" spans="19:55" ht="15.75" customHeight="1">
      <c r="S1224" s="454"/>
      <c r="BA1224" s="1266"/>
      <c r="BC1224" s="169"/>
    </row>
    <row r="1225" spans="19:55" ht="15.75" customHeight="1">
      <c r="S1225" s="454"/>
      <c r="BA1225" s="1266"/>
      <c r="BC1225" s="169"/>
    </row>
    <row r="1226" spans="19:55" ht="15.75" customHeight="1">
      <c r="S1226" s="454"/>
      <c r="BA1226" s="1266"/>
      <c r="BC1226" s="169"/>
    </row>
    <row r="1227" spans="19:55" ht="15.75" customHeight="1">
      <c r="S1227" s="454"/>
      <c r="BA1227" s="1266"/>
      <c r="BC1227" s="169"/>
    </row>
    <row r="1228" spans="19:55" ht="15.75" customHeight="1">
      <c r="S1228" s="454"/>
      <c r="BA1228" s="1266"/>
      <c r="BC1228" s="169"/>
    </row>
    <row r="1229" spans="19:55" ht="15.75" customHeight="1">
      <c r="S1229" s="454"/>
      <c r="BA1229" s="1266"/>
      <c r="BC1229" s="169"/>
    </row>
    <row r="1230" spans="19:55" ht="15.75" customHeight="1">
      <c r="S1230" s="454"/>
      <c r="BA1230" s="1266"/>
      <c r="BC1230" s="169"/>
    </row>
    <row r="1231" spans="19:55" ht="15.75" customHeight="1">
      <c r="S1231" s="454"/>
      <c r="BA1231" s="1266"/>
      <c r="BC1231" s="169"/>
    </row>
    <row r="1232" spans="19:55" ht="15.75" customHeight="1">
      <c r="S1232" s="454"/>
      <c r="BA1232" s="1266"/>
      <c r="BC1232" s="169"/>
    </row>
    <row r="1233" spans="19:55" ht="15.75" customHeight="1">
      <c r="S1233" s="454"/>
      <c r="BA1233" s="1266"/>
      <c r="BC1233" s="169"/>
    </row>
    <row r="1234" spans="19:55" ht="15.75" customHeight="1">
      <c r="S1234" s="454"/>
      <c r="BA1234" s="1266"/>
      <c r="BC1234" s="169"/>
    </row>
    <row r="1235" spans="19:55" ht="15.75" customHeight="1">
      <c r="S1235" s="454"/>
      <c r="BA1235" s="1266"/>
      <c r="BC1235" s="169"/>
    </row>
    <row r="1236" spans="19:55" ht="15.75" customHeight="1">
      <c r="S1236" s="454"/>
      <c r="BA1236" s="1266"/>
      <c r="BC1236" s="169"/>
    </row>
    <row r="1237" spans="19:55" ht="15.75" customHeight="1">
      <c r="S1237" s="454"/>
      <c r="BA1237" s="1266"/>
      <c r="BC1237" s="169"/>
    </row>
    <row r="1238" spans="19:55" ht="15.75" customHeight="1">
      <c r="S1238" s="454"/>
      <c r="BA1238" s="1266"/>
      <c r="BC1238" s="169"/>
    </row>
    <row r="1239" spans="19:55" ht="15.75" customHeight="1">
      <c r="S1239" s="454"/>
      <c r="BA1239" s="1266"/>
      <c r="BC1239" s="169"/>
    </row>
    <row r="1240" spans="19:55" ht="15.75" customHeight="1">
      <c r="S1240" s="454"/>
      <c r="BA1240" s="1266"/>
      <c r="BC1240" s="169"/>
    </row>
    <row r="1241" spans="19:55" ht="15.75" customHeight="1">
      <c r="S1241" s="454"/>
      <c r="BA1241" s="1266"/>
      <c r="BC1241" s="169"/>
    </row>
    <row r="1242" spans="19:55" ht="15.75" customHeight="1">
      <c r="S1242" s="454"/>
      <c r="BA1242" s="1266"/>
      <c r="BC1242" s="169"/>
    </row>
    <row r="1243" spans="19:55" ht="15.75" customHeight="1">
      <c r="S1243" s="454"/>
      <c r="BA1243" s="1266"/>
      <c r="BC1243" s="169"/>
    </row>
    <row r="1244" spans="19:55" ht="15.75" customHeight="1">
      <c r="S1244" s="454"/>
      <c r="BA1244" s="1266"/>
      <c r="BC1244" s="169"/>
    </row>
    <row r="1245" spans="19:55" ht="15.75" customHeight="1">
      <c r="S1245" s="454"/>
      <c r="BA1245" s="1266"/>
      <c r="BC1245" s="169"/>
    </row>
    <row r="1246" spans="19:55" ht="15.75" customHeight="1">
      <c r="S1246" s="454"/>
      <c r="BA1246" s="1266"/>
      <c r="BC1246" s="169"/>
    </row>
    <row r="1247" spans="19:55" ht="15.75" customHeight="1">
      <c r="S1247" s="454"/>
      <c r="BA1247" s="1266"/>
      <c r="BC1247" s="169"/>
    </row>
    <row r="1248" spans="19:55" ht="15.75" customHeight="1">
      <c r="S1248" s="454"/>
      <c r="BA1248" s="1266"/>
      <c r="BC1248" s="169"/>
    </row>
    <row r="1249" spans="19:55" ht="15.75" customHeight="1">
      <c r="S1249" s="454"/>
      <c r="BA1249" s="1266"/>
      <c r="BC1249" s="169"/>
    </row>
    <row r="1250" spans="19:55" ht="15.75" customHeight="1">
      <c r="S1250" s="454"/>
      <c r="BA1250" s="1266"/>
      <c r="BC1250" s="169"/>
    </row>
    <row r="1251" spans="19:55" ht="15.75" customHeight="1">
      <c r="S1251" s="454"/>
      <c r="BA1251" s="1266"/>
      <c r="BC1251" s="169"/>
    </row>
    <row r="1252" spans="19:55" ht="15.75" customHeight="1">
      <c r="S1252" s="454"/>
      <c r="BA1252" s="1266"/>
      <c r="BC1252" s="169"/>
    </row>
    <row r="1253" spans="19:55" ht="15.75" customHeight="1">
      <c r="S1253" s="454"/>
      <c r="BA1253" s="1266"/>
      <c r="BC1253" s="169"/>
    </row>
    <row r="1254" spans="19:55" ht="15.75" customHeight="1">
      <c r="S1254" s="454"/>
      <c r="BA1254" s="1266"/>
      <c r="BC1254" s="169"/>
    </row>
    <row r="1255" spans="19:55" ht="15.75" customHeight="1">
      <c r="S1255" s="454"/>
      <c r="BA1255" s="1266"/>
      <c r="BC1255" s="169"/>
    </row>
    <row r="1256" spans="19:55" ht="15.75" customHeight="1">
      <c r="S1256" s="454"/>
      <c r="BA1256" s="1266"/>
      <c r="BC1256" s="169"/>
    </row>
    <row r="1257" spans="19:55" ht="15.75" customHeight="1">
      <c r="S1257" s="454"/>
      <c r="BA1257" s="1266"/>
      <c r="BC1257" s="169"/>
    </row>
    <row r="1258" spans="19:55" ht="15.75" customHeight="1">
      <c r="S1258" s="454"/>
      <c r="BA1258" s="1266"/>
      <c r="BC1258" s="169"/>
    </row>
    <row r="1259" spans="19:55" ht="15.75" customHeight="1">
      <c r="S1259" s="454"/>
      <c r="BA1259" s="1266"/>
      <c r="BC1259" s="169"/>
    </row>
    <row r="1260" spans="19:55" ht="15.75" customHeight="1">
      <c r="S1260" s="454"/>
      <c r="BA1260" s="1266"/>
      <c r="BC1260" s="169"/>
    </row>
    <row r="1261" spans="19:55" ht="15.75" customHeight="1">
      <c r="S1261" s="454"/>
      <c r="BA1261" s="1266"/>
      <c r="BC1261" s="169"/>
    </row>
    <row r="1262" spans="19:55" ht="15.75" customHeight="1">
      <c r="S1262" s="454"/>
      <c r="BA1262" s="1266"/>
      <c r="BC1262" s="169"/>
    </row>
    <row r="1263" spans="19:55" ht="15.75" customHeight="1">
      <c r="S1263" s="454"/>
      <c r="BA1263" s="1266"/>
      <c r="BC1263" s="169"/>
    </row>
    <row r="1264" spans="19:55" ht="15.75" customHeight="1">
      <c r="S1264" s="454"/>
      <c r="BA1264" s="1266"/>
      <c r="BC1264" s="169"/>
    </row>
    <row r="1265" spans="19:55" ht="15.75" customHeight="1">
      <c r="S1265" s="454"/>
      <c r="BA1265" s="1266"/>
      <c r="BC1265" s="169"/>
    </row>
    <row r="1266" spans="19:55" ht="15.75" customHeight="1">
      <c r="S1266" s="454"/>
      <c r="BA1266" s="1266"/>
      <c r="BC1266" s="169"/>
    </row>
    <row r="1267" spans="19:55" ht="15.75" customHeight="1">
      <c r="S1267" s="454"/>
      <c r="BA1267" s="1266"/>
      <c r="BC1267" s="169"/>
    </row>
    <row r="1268" spans="19:55" ht="15.75" customHeight="1">
      <c r="S1268" s="454"/>
      <c r="BA1268" s="1266"/>
      <c r="BC1268" s="169"/>
    </row>
    <row r="1269" spans="19:55" ht="15.75" customHeight="1">
      <c r="S1269" s="454"/>
      <c r="BA1269" s="1266"/>
      <c r="BC1269" s="169"/>
    </row>
    <row r="1270" spans="19:55" ht="15.75" customHeight="1">
      <c r="S1270" s="454"/>
      <c r="BA1270" s="1266"/>
      <c r="BC1270" s="169"/>
    </row>
    <row r="1271" spans="19:55" ht="15.75" customHeight="1">
      <c r="S1271" s="454"/>
      <c r="BA1271" s="1266"/>
      <c r="BC1271" s="169"/>
    </row>
    <row r="1272" spans="19:55" ht="15.75" customHeight="1">
      <c r="S1272" s="454"/>
      <c r="BA1272" s="1266"/>
      <c r="BC1272" s="169"/>
    </row>
    <row r="1273" spans="19:55" ht="15.75" customHeight="1">
      <c r="S1273" s="454"/>
      <c r="BA1273" s="1266"/>
      <c r="BC1273" s="169"/>
    </row>
    <row r="1274" spans="19:55" ht="15.75" customHeight="1">
      <c r="S1274" s="454"/>
      <c r="BA1274" s="1266"/>
      <c r="BC1274" s="169"/>
    </row>
    <row r="1275" spans="19:55" ht="15.75" customHeight="1">
      <c r="S1275" s="454"/>
      <c r="BA1275" s="1266"/>
      <c r="BC1275" s="169"/>
    </row>
    <row r="1276" spans="19:55" ht="15.75" customHeight="1">
      <c r="S1276" s="454"/>
      <c r="BA1276" s="1266"/>
      <c r="BC1276" s="169"/>
    </row>
    <row r="1277" spans="19:55" ht="15.75" customHeight="1">
      <c r="S1277" s="454"/>
      <c r="BA1277" s="1266"/>
      <c r="BC1277" s="169"/>
    </row>
    <row r="1278" spans="19:55" ht="15.75" customHeight="1">
      <c r="S1278" s="454"/>
      <c r="BA1278" s="1266"/>
      <c r="BC1278" s="169"/>
    </row>
    <row r="1279" spans="19:55" ht="15.75" customHeight="1">
      <c r="S1279" s="454"/>
      <c r="BA1279" s="1266"/>
      <c r="BC1279" s="169"/>
    </row>
    <row r="1280" spans="19:55" ht="15.75" customHeight="1">
      <c r="S1280" s="454"/>
      <c r="BA1280" s="1266"/>
      <c r="BC1280" s="169"/>
    </row>
    <row r="1281" spans="19:55" ht="15.75" customHeight="1">
      <c r="S1281" s="454"/>
      <c r="BA1281" s="1266"/>
      <c r="BC1281" s="169"/>
    </row>
    <row r="1282" spans="19:55" ht="15.75" customHeight="1">
      <c r="S1282" s="454"/>
      <c r="BA1282" s="1266"/>
      <c r="BC1282" s="169"/>
    </row>
    <row r="1283" spans="19:55" ht="15.75" customHeight="1">
      <c r="S1283" s="454"/>
      <c r="BA1283" s="1266"/>
      <c r="BC1283" s="169"/>
    </row>
    <row r="1284" spans="19:55" ht="15.75" customHeight="1">
      <c r="S1284" s="454"/>
      <c r="BA1284" s="1266"/>
      <c r="BC1284" s="169"/>
    </row>
    <row r="1285" spans="19:55" ht="15.75" customHeight="1">
      <c r="S1285" s="454"/>
      <c r="BA1285" s="1266"/>
      <c r="BC1285" s="169"/>
    </row>
    <row r="1286" spans="19:55" ht="15.75" customHeight="1">
      <c r="S1286" s="454"/>
      <c r="BA1286" s="1266"/>
      <c r="BC1286" s="169"/>
    </row>
    <row r="1287" spans="19:55" ht="15.75" customHeight="1">
      <c r="S1287" s="454"/>
      <c r="BA1287" s="1266"/>
      <c r="BC1287" s="169"/>
    </row>
    <row r="1288" spans="19:55" ht="15.75" customHeight="1">
      <c r="S1288" s="454"/>
      <c r="BA1288" s="1266"/>
      <c r="BC1288" s="169"/>
    </row>
    <row r="1289" spans="19:55" ht="15.75" customHeight="1">
      <c r="S1289" s="454"/>
      <c r="BA1289" s="1266"/>
      <c r="BC1289" s="169"/>
    </row>
    <row r="1290" spans="19:55" ht="15.75" customHeight="1">
      <c r="S1290" s="454"/>
      <c r="BA1290" s="1266"/>
      <c r="BC1290" s="169"/>
    </row>
    <row r="1291" spans="19:55" ht="15.75" customHeight="1">
      <c r="S1291" s="454"/>
      <c r="BA1291" s="1266"/>
      <c r="BC1291" s="169"/>
    </row>
    <row r="1292" spans="19:55" ht="15.75" customHeight="1">
      <c r="S1292" s="454"/>
      <c r="BA1292" s="1266"/>
      <c r="BC1292" s="169"/>
    </row>
    <row r="1293" spans="19:55" ht="15.75" customHeight="1">
      <c r="S1293" s="454"/>
      <c r="BA1293" s="1266"/>
      <c r="BC1293" s="169"/>
    </row>
    <row r="1294" spans="19:55" ht="15.75" customHeight="1">
      <c r="S1294" s="454"/>
      <c r="BA1294" s="1266"/>
      <c r="BC1294" s="169"/>
    </row>
    <row r="1295" spans="19:55" ht="15.75" customHeight="1">
      <c r="S1295" s="454"/>
      <c r="BA1295" s="1266"/>
      <c r="BC1295" s="169"/>
    </row>
    <row r="1296" spans="19:55" ht="15.75" customHeight="1">
      <c r="S1296" s="454"/>
      <c r="BA1296" s="1266"/>
      <c r="BC1296" s="169"/>
    </row>
    <row r="1297" spans="19:55" ht="15.75" customHeight="1">
      <c r="S1297" s="454"/>
      <c r="BA1297" s="1266"/>
      <c r="BC1297" s="169"/>
    </row>
    <row r="1298" spans="19:55" ht="15.75" customHeight="1">
      <c r="S1298" s="454"/>
      <c r="BA1298" s="1266"/>
      <c r="BC1298" s="169"/>
    </row>
    <row r="1299" spans="19:55" ht="15.75" customHeight="1">
      <c r="S1299" s="454"/>
      <c r="BA1299" s="1266"/>
      <c r="BC1299" s="169"/>
    </row>
    <row r="1300" spans="19:55" ht="15.75" customHeight="1">
      <c r="S1300" s="454"/>
      <c r="BA1300" s="1266"/>
      <c r="BC1300" s="169"/>
    </row>
    <row r="1301" spans="19:55" ht="15.75" customHeight="1">
      <c r="S1301" s="454"/>
      <c r="BA1301" s="1266"/>
      <c r="BC1301" s="169"/>
    </row>
    <row r="1302" spans="19:55" ht="15.75" customHeight="1">
      <c r="S1302" s="454"/>
      <c r="BA1302" s="1266"/>
      <c r="BC1302" s="169"/>
    </row>
    <row r="1303" spans="19:55" ht="15.75" customHeight="1">
      <c r="S1303" s="454"/>
      <c r="BA1303" s="1266"/>
      <c r="BC1303" s="169"/>
    </row>
    <row r="1304" spans="19:55" ht="15.75" customHeight="1">
      <c r="S1304" s="454"/>
      <c r="BC1304" s="169"/>
    </row>
    <row r="1305" spans="19:55" ht="15.75" customHeight="1">
      <c r="S1305" s="454"/>
      <c r="BC1305" s="169"/>
    </row>
    <row r="1306" spans="19:55" ht="15.75" customHeight="1">
      <c r="S1306" s="454"/>
      <c r="BC1306" s="169"/>
    </row>
    <row r="1307" spans="19:55" ht="15.75" customHeight="1">
      <c r="S1307" s="454"/>
      <c r="BC1307" s="169"/>
    </row>
    <row r="1308" spans="19:55" ht="15.75" customHeight="1">
      <c r="S1308" s="454"/>
      <c r="BC1308" s="169"/>
    </row>
    <row r="1309" spans="19:55" ht="15.75" customHeight="1">
      <c r="S1309" s="454"/>
      <c r="BC1309" s="169"/>
    </row>
    <row r="1310" spans="19:55" ht="15.75" customHeight="1">
      <c r="S1310" s="454"/>
      <c r="BC1310" s="169"/>
    </row>
    <row r="1311" spans="19:55" ht="15.75" customHeight="1">
      <c r="S1311" s="454"/>
      <c r="BC1311" s="169"/>
    </row>
    <row r="1312" spans="19:55" ht="15.75" customHeight="1">
      <c r="S1312" s="454"/>
      <c r="BC1312" s="169"/>
    </row>
    <row r="1313" spans="19:55" ht="15.75" customHeight="1">
      <c r="S1313" s="454"/>
      <c r="BC1313" s="169"/>
    </row>
    <row r="1314" spans="19:55" ht="15.75" customHeight="1">
      <c r="S1314" s="454"/>
      <c r="BC1314" s="169"/>
    </row>
    <row r="1315" spans="19:55" ht="15.75" customHeight="1">
      <c r="S1315" s="454"/>
      <c r="BC1315" s="169"/>
    </row>
    <row r="1316" spans="19:55" ht="15.75" customHeight="1">
      <c r="S1316" s="454"/>
      <c r="BC1316" s="169"/>
    </row>
    <row r="1317" spans="19:55" ht="15.75" customHeight="1">
      <c r="S1317" s="454"/>
      <c r="BC1317" s="169"/>
    </row>
    <row r="1318" spans="19:55" ht="15.75" customHeight="1">
      <c r="S1318" s="454"/>
      <c r="BC1318" s="169"/>
    </row>
    <row r="1319" spans="19:55" ht="15.75" customHeight="1">
      <c r="S1319" s="454"/>
      <c r="BC1319" s="169"/>
    </row>
    <row r="1320" spans="19:55" ht="15.75" customHeight="1">
      <c r="S1320" s="454"/>
      <c r="BC1320" s="169"/>
    </row>
    <row r="1321" spans="19:55" ht="15.75" customHeight="1">
      <c r="S1321" s="454"/>
      <c r="BC1321" s="169"/>
    </row>
    <row r="1322" spans="19:55" ht="15.75" customHeight="1">
      <c r="S1322" s="454"/>
      <c r="BC1322" s="169"/>
    </row>
    <row r="1323" spans="19:55" ht="15.75" customHeight="1">
      <c r="S1323" s="454"/>
      <c r="BC1323" s="169"/>
    </row>
    <row r="1324" spans="19:55" ht="15.75" customHeight="1">
      <c r="S1324" s="454"/>
      <c r="BC1324" s="169"/>
    </row>
    <row r="1325" spans="19:55" ht="15.75" customHeight="1">
      <c r="S1325" s="454"/>
      <c r="BC1325" s="169"/>
    </row>
    <row r="1326" spans="19:55" ht="15.75" customHeight="1">
      <c r="S1326" s="454"/>
      <c r="BC1326" s="169"/>
    </row>
    <row r="1327" spans="19:55" ht="15.75" customHeight="1">
      <c r="S1327" s="454"/>
      <c r="BC1327" s="169"/>
    </row>
    <row r="1328" spans="19:55" ht="15.75" customHeight="1">
      <c r="S1328" s="454"/>
      <c r="BC1328" s="169"/>
    </row>
    <row r="1329" spans="19:55" ht="15.75" customHeight="1">
      <c r="S1329" s="454"/>
      <c r="BC1329" s="169"/>
    </row>
    <row r="1330" spans="19:55" ht="15.75" customHeight="1">
      <c r="S1330" s="454"/>
      <c r="BC1330" s="169"/>
    </row>
    <row r="1331" spans="19:55" ht="15.75" customHeight="1">
      <c r="S1331" s="454"/>
      <c r="BC1331" s="169"/>
    </row>
    <row r="1332" spans="19:55" ht="15.75" customHeight="1">
      <c r="S1332" s="454"/>
      <c r="BC1332" s="169"/>
    </row>
    <row r="1333" spans="19:55" ht="15.75" customHeight="1">
      <c r="S1333" s="454"/>
      <c r="BC1333" s="169"/>
    </row>
    <row r="1334" spans="19:55" ht="15.75" customHeight="1">
      <c r="S1334" s="454"/>
      <c r="BC1334" s="169"/>
    </row>
    <row r="1335" spans="19:55" ht="15.75" customHeight="1">
      <c r="S1335" s="454"/>
      <c r="BC1335" s="169"/>
    </row>
    <row r="1336" spans="19:55" ht="15.75" customHeight="1">
      <c r="S1336" s="454"/>
      <c r="BC1336" s="169"/>
    </row>
    <row r="1337" spans="19:55" ht="15.75" customHeight="1">
      <c r="S1337" s="454"/>
      <c r="BC1337" s="169"/>
    </row>
    <row r="1338" spans="19:55" ht="15.75" customHeight="1">
      <c r="S1338" s="454"/>
      <c r="BC1338" s="169"/>
    </row>
    <row r="1339" spans="19:55" ht="15.75" customHeight="1">
      <c r="S1339" s="454"/>
      <c r="BC1339" s="169"/>
    </row>
    <row r="1340" spans="19:55" ht="15.75" customHeight="1">
      <c r="S1340" s="454"/>
      <c r="BC1340" s="169"/>
    </row>
    <row r="1341" spans="19:55" ht="15.75" customHeight="1">
      <c r="S1341" s="454"/>
      <c r="BC1341" s="169"/>
    </row>
    <row r="1342" spans="19:55" ht="15.75" customHeight="1">
      <c r="S1342" s="454"/>
      <c r="BC1342" s="169"/>
    </row>
    <row r="1343" spans="19:55" ht="15.75" customHeight="1">
      <c r="S1343" s="454"/>
      <c r="BC1343" s="169"/>
    </row>
    <row r="1344" spans="19:55" ht="15.75" customHeight="1">
      <c r="S1344" s="454"/>
      <c r="BC1344" s="169"/>
    </row>
    <row r="1345" spans="19:55" ht="15.75" customHeight="1">
      <c r="S1345" s="454"/>
      <c r="BC1345" s="169"/>
    </row>
    <row r="1346" spans="19:55" ht="15.75" customHeight="1">
      <c r="S1346" s="454"/>
      <c r="BC1346" s="169"/>
    </row>
    <row r="1347" spans="19:55" ht="15.75" customHeight="1">
      <c r="S1347" s="454"/>
      <c r="BC1347" s="169"/>
    </row>
    <row r="1348" spans="19:55" ht="15.75" customHeight="1">
      <c r="S1348" s="454"/>
      <c r="BC1348" s="169"/>
    </row>
    <row r="1349" spans="19:55" ht="15.75" customHeight="1">
      <c r="S1349" s="454"/>
      <c r="BC1349" s="169"/>
    </row>
    <row r="1350" spans="19:55" ht="15.75" customHeight="1">
      <c r="S1350" s="454"/>
      <c r="BC1350" s="169"/>
    </row>
    <row r="1351" spans="19:55" ht="15.75" customHeight="1">
      <c r="S1351" s="454"/>
      <c r="BC1351" s="169"/>
    </row>
    <row r="1352" spans="19:55" ht="15.75" customHeight="1">
      <c r="S1352" s="454"/>
      <c r="BC1352" s="169"/>
    </row>
    <row r="1353" spans="19:55" ht="15.75" customHeight="1">
      <c r="S1353" s="454"/>
      <c r="BC1353" s="169"/>
    </row>
    <row r="1354" spans="19:55" ht="15.75" customHeight="1">
      <c r="S1354" s="454"/>
      <c r="BC1354" s="169"/>
    </row>
    <row r="1355" spans="19:55" ht="15.75" customHeight="1">
      <c r="S1355" s="454"/>
      <c r="BC1355" s="169"/>
    </row>
    <row r="1356" spans="19:55" ht="15.75" customHeight="1">
      <c r="S1356" s="454"/>
      <c r="BC1356" s="169"/>
    </row>
    <row r="1357" spans="19:55" ht="15.75" customHeight="1">
      <c r="S1357" s="454"/>
      <c r="BC1357" s="169"/>
    </row>
    <row r="1358" spans="19:55" ht="15.75" customHeight="1">
      <c r="S1358" s="454"/>
      <c r="BC1358" s="169"/>
    </row>
    <row r="1359" spans="19:55" ht="15.75" customHeight="1">
      <c r="S1359" s="454"/>
      <c r="BC1359" s="169"/>
    </row>
    <row r="1360" spans="19:55" ht="15.75" customHeight="1">
      <c r="S1360" s="454"/>
      <c r="BC1360" s="169"/>
    </row>
    <row r="1361" spans="19:55" ht="15.75" customHeight="1">
      <c r="S1361" s="454"/>
      <c r="BC1361" s="169"/>
    </row>
    <row r="1362" spans="19:55" ht="15.75" customHeight="1">
      <c r="S1362" s="454"/>
      <c r="BC1362" s="169"/>
    </row>
    <row r="1363" spans="19:55" ht="15.75" customHeight="1">
      <c r="S1363" s="454"/>
      <c r="BC1363" s="169"/>
    </row>
    <row r="1364" spans="19:55" ht="15.75" customHeight="1">
      <c r="S1364" s="454"/>
      <c r="BC1364" s="169"/>
    </row>
    <row r="1365" spans="19:55" ht="15.75" customHeight="1">
      <c r="S1365" s="454"/>
      <c r="BC1365" s="169"/>
    </row>
    <row r="1366" spans="19:55" ht="15.75" customHeight="1">
      <c r="S1366" s="454"/>
      <c r="BC1366" s="169"/>
    </row>
    <row r="1367" spans="19:55" ht="15.75" customHeight="1">
      <c r="S1367" s="454"/>
      <c r="BC1367" s="169"/>
    </row>
    <row r="1368" spans="19:55" ht="15.75" customHeight="1">
      <c r="S1368" s="454"/>
      <c r="BC1368" s="169"/>
    </row>
    <row r="1369" spans="19:55" ht="15.75" customHeight="1">
      <c r="S1369" s="454"/>
      <c r="BC1369" s="169"/>
    </row>
    <row r="1370" spans="19:55" ht="15.75" customHeight="1">
      <c r="S1370" s="454"/>
      <c r="BC1370" s="169"/>
    </row>
    <row r="1371" spans="19:55" ht="15.75" customHeight="1">
      <c r="S1371" s="454"/>
      <c r="BC1371" s="169"/>
    </row>
    <row r="1372" spans="19:55" ht="15.75" customHeight="1">
      <c r="S1372" s="454"/>
      <c r="BC1372" s="169"/>
    </row>
    <row r="1373" spans="19:55" ht="15.75" customHeight="1">
      <c r="S1373" s="454"/>
      <c r="BC1373" s="169"/>
    </row>
    <row r="1374" spans="19:55" ht="15.75" customHeight="1">
      <c r="S1374" s="454"/>
      <c r="BC1374" s="169"/>
    </row>
    <row r="1375" spans="19:55" ht="15.75" customHeight="1">
      <c r="S1375" s="454"/>
      <c r="BC1375" s="169"/>
    </row>
    <row r="1376" spans="19:55" ht="15.75" customHeight="1">
      <c r="S1376" s="454"/>
      <c r="BC1376" s="169"/>
    </row>
    <row r="1377" spans="19:55" ht="15.75" customHeight="1">
      <c r="S1377" s="454"/>
      <c r="BC1377" s="169"/>
    </row>
    <row r="1378" spans="19:55" ht="15.75" customHeight="1">
      <c r="S1378" s="454"/>
      <c r="BC1378" s="169"/>
    </row>
    <row r="1379" spans="19:55" ht="15.75" customHeight="1">
      <c r="S1379" s="454"/>
      <c r="BC1379" s="169"/>
    </row>
    <row r="1380" spans="19:55" ht="15.75" customHeight="1">
      <c r="S1380" s="454"/>
      <c r="BC1380" s="169"/>
    </row>
    <row r="1381" spans="19:55" ht="15.75" customHeight="1">
      <c r="S1381" s="454"/>
      <c r="BC1381" s="169"/>
    </row>
    <row r="1382" spans="19:55" ht="15.75" customHeight="1">
      <c r="S1382" s="454"/>
      <c r="BC1382" s="169"/>
    </row>
    <row r="1383" spans="19:55" ht="15.75" customHeight="1">
      <c r="S1383" s="454"/>
      <c r="BC1383" s="169"/>
    </row>
    <row r="1384" spans="19:55" ht="15.75" customHeight="1">
      <c r="S1384" s="454"/>
      <c r="BC1384" s="169"/>
    </row>
    <row r="1385" spans="19:55" ht="15.75" customHeight="1">
      <c r="S1385" s="454"/>
      <c r="BC1385" s="169"/>
    </row>
    <row r="1386" spans="19:55" ht="15.75" customHeight="1">
      <c r="S1386" s="454"/>
      <c r="BC1386" s="169"/>
    </row>
    <row r="1387" spans="19:55" ht="15.75" customHeight="1">
      <c r="S1387" s="454"/>
      <c r="BC1387" s="169"/>
    </row>
    <row r="1388" spans="19:55" ht="15.75" customHeight="1">
      <c r="S1388" s="454"/>
      <c r="BC1388" s="169"/>
    </row>
    <row r="1389" spans="19:55" ht="15.75" customHeight="1">
      <c r="S1389" s="454"/>
      <c r="BC1389" s="169"/>
    </row>
    <row r="1390" spans="19:55" ht="15.75" customHeight="1">
      <c r="S1390" s="454"/>
      <c r="BC1390" s="169"/>
    </row>
    <row r="1391" spans="19:55" ht="15.75" customHeight="1">
      <c r="S1391" s="454"/>
      <c r="BC1391" s="169"/>
    </row>
    <row r="1392" spans="19:55" ht="15.75" customHeight="1">
      <c r="S1392" s="454"/>
      <c r="BC1392" s="169"/>
    </row>
    <row r="1393" spans="19:55" ht="15.75" customHeight="1">
      <c r="S1393" s="454"/>
      <c r="BC1393" s="169"/>
    </row>
    <row r="1394" spans="19:55" ht="15.75" customHeight="1">
      <c r="S1394" s="454"/>
      <c r="BC1394" s="169"/>
    </row>
    <row r="1395" spans="19:55" ht="15.75" customHeight="1">
      <c r="S1395" s="454"/>
      <c r="BC1395" s="169"/>
    </row>
    <row r="1396" spans="19:55" ht="15.75" customHeight="1">
      <c r="S1396" s="454"/>
      <c r="BC1396" s="169"/>
    </row>
    <row r="1397" spans="19:55" ht="15.75" customHeight="1">
      <c r="S1397" s="454"/>
      <c r="BC1397" s="169"/>
    </row>
    <row r="1398" spans="19:55" ht="15.75" customHeight="1">
      <c r="S1398" s="454"/>
      <c r="BC1398" s="169"/>
    </row>
    <row r="1399" spans="19:55" ht="15.75" customHeight="1">
      <c r="S1399" s="454"/>
      <c r="BC1399" s="169"/>
    </row>
    <row r="1400" spans="19:55" ht="15.75" customHeight="1">
      <c r="S1400" s="454"/>
      <c r="BC1400" s="169"/>
    </row>
    <row r="1401" spans="19:55" ht="15.75" customHeight="1">
      <c r="S1401" s="454"/>
      <c r="BC1401" s="169"/>
    </row>
    <row r="1402" spans="19:55" ht="15.75" customHeight="1">
      <c r="S1402" s="454"/>
      <c r="BC1402" s="169"/>
    </row>
    <row r="1403" spans="19:55" ht="15.75" customHeight="1">
      <c r="S1403" s="454"/>
      <c r="BC1403" s="169"/>
    </row>
    <row r="1404" spans="19:55" ht="15.75" customHeight="1">
      <c r="S1404" s="454"/>
      <c r="BC1404" s="169"/>
    </row>
    <row r="1405" spans="19:55" ht="15.75" customHeight="1">
      <c r="S1405" s="454"/>
      <c r="BC1405" s="169"/>
    </row>
    <row r="1406" spans="19:55" ht="15.75" customHeight="1">
      <c r="S1406" s="454"/>
      <c r="BC1406" s="169"/>
    </row>
    <row r="1407" spans="19:55" ht="15.75" customHeight="1">
      <c r="S1407" s="454"/>
      <c r="BC1407" s="169"/>
    </row>
    <row r="1408" spans="19:55" ht="15.75" customHeight="1">
      <c r="S1408" s="454"/>
      <c r="BC1408" s="169"/>
    </row>
    <row r="1409" spans="19:55" ht="15.75" customHeight="1">
      <c r="S1409" s="454"/>
      <c r="BC1409" s="169"/>
    </row>
    <row r="1410" spans="19:55" ht="15.75" customHeight="1">
      <c r="S1410" s="454"/>
      <c r="BC1410" s="169"/>
    </row>
    <row r="1411" spans="19:55" ht="15.75" customHeight="1">
      <c r="S1411" s="454"/>
      <c r="BC1411" s="169"/>
    </row>
    <row r="1412" spans="19:55" ht="15.75" customHeight="1">
      <c r="S1412" s="454"/>
      <c r="BC1412" s="169"/>
    </row>
    <row r="1413" spans="19:55" ht="15.75" customHeight="1">
      <c r="S1413" s="454"/>
      <c r="BC1413" s="169"/>
    </row>
    <row r="1414" spans="19:55" ht="15.75" customHeight="1">
      <c r="S1414" s="454"/>
      <c r="BC1414" s="169"/>
    </row>
    <row r="1415" spans="19:55" ht="15.75" customHeight="1">
      <c r="S1415" s="454"/>
      <c r="BC1415" s="169"/>
    </row>
    <row r="1416" spans="19:55" ht="15.75" customHeight="1">
      <c r="S1416" s="454"/>
      <c r="BC1416" s="169"/>
    </row>
    <row r="1417" spans="19:55" ht="15.75" customHeight="1">
      <c r="S1417" s="454"/>
      <c r="BC1417" s="169"/>
    </row>
    <row r="1418" spans="19:55" ht="15.75" customHeight="1">
      <c r="S1418" s="454"/>
      <c r="BC1418" s="169"/>
    </row>
    <row r="1419" spans="19:55" ht="15.75" customHeight="1">
      <c r="S1419" s="454"/>
      <c r="BC1419" s="169"/>
    </row>
    <row r="1420" spans="19:55" ht="15.75" customHeight="1">
      <c r="S1420" s="454"/>
      <c r="BC1420" s="169"/>
    </row>
    <row r="1421" spans="19:55" ht="15.75" customHeight="1">
      <c r="S1421" s="454"/>
      <c r="BC1421" s="169"/>
    </row>
    <row r="1422" spans="19:55" ht="15.75" customHeight="1">
      <c r="S1422" s="454"/>
      <c r="BC1422" s="169"/>
    </row>
    <row r="1423" spans="19:55" ht="15.75" customHeight="1">
      <c r="S1423" s="454"/>
      <c r="BC1423" s="169"/>
    </row>
    <row r="1424" spans="19:55" ht="15.75" customHeight="1">
      <c r="S1424" s="454"/>
      <c r="BC1424" s="169"/>
    </row>
    <row r="1425" spans="19:55" ht="15.75" customHeight="1">
      <c r="S1425" s="454"/>
      <c r="BC1425" s="169"/>
    </row>
    <row r="1426" spans="19:55" ht="15.75" customHeight="1">
      <c r="S1426" s="454"/>
      <c r="BC1426" s="169"/>
    </row>
    <row r="1427" spans="19:55" ht="15.75" customHeight="1">
      <c r="S1427" s="454"/>
      <c r="BC1427" s="169"/>
    </row>
    <row r="1428" spans="19:55" ht="15.75" customHeight="1">
      <c r="S1428" s="454"/>
      <c r="BC1428" s="169"/>
    </row>
    <row r="1429" spans="19:55" ht="15.75" customHeight="1">
      <c r="S1429" s="454"/>
      <c r="BC1429" s="169"/>
    </row>
    <row r="1430" spans="19:55" ht="15.75" customHeight="1">
      <c r="S1430" s="454"/>
      <c r="BC1430" s="169"/>
    </row>
    <row r="1431" spans="19:55" ht="15.75" customHeight="1">
      <c r="S1431" s="454"/>
      <c r="BC1431" s="169"/>
    </row>
    <row r="1432" spans="19:55" ht="15.75" customHeight="1">
      <c r="S1432" s="454"/>
      <c r="BC1432" s="169"/>
    </row>
    <row r="1433" spans="19:55" ht="15.75" customHeight="1">
      <c r="S1433" s="454"/>
      <c r="BC1433" s="169"/>
    </row>
    <row r="1434" spans="19:55" ht="15.75" customHeight="1">
      <c r="S1434" s="454"/>
      <c r="BC1434" s="169"/>
    </row>
    <row r="1435" spans="19:55" ht="15.75" customHeight="1">
      <c r="S1435" s="454"/>
      <c r="BC1435" s="169"/>
    </row>
    <row r="1436" spans="19:55" ht="15.75" customHeight="1">
      <c r="S1436" s="454"/>
      <c r="BC1436" s="169"/>
    </row>
    <row r="1437" spans="19:55" ht="15.75" customHeight="1">
      <c r="S1437" s="454"/>
      <c r="BC1437" s="169"/>
    </row>
    <row r="1438" spans="19:55" ht="15.75" customHeight="1">
      <c r="S1438" s="454"/>
      <c r="BC1438" s="169"/>
    </row>
    <row r="1439" spans="19:55" ht="15.75" customHeight="1">
      <c r="S1439" s="454"/>
      <c r="BC1439" s="169"/>
    </row>
    <row r="1440" spans="19:55" ht="15.75" customHeight="1">
      <c r="S1440" s="454"/>
      <c r="BC1440" s="169"/>
    </row>
    <row r="1441" spans="19:55" ht="15.75" customHeight="1">
      <c r="S1441" s="454"/>
      <c r="BC1441" s="169"/>
    </row>
    <row r="1442" spans="19:55" ht="15.75" customHeight="1">
      <c r="S1442" s="454"/>
      <c r="BC1442" s="169"/>
    </row>
    <row r="1443" spans="19:55" ht="15.75" customHeight="1">
      <c r="S1443" s="454"/>
      <c r="BC1443" s="169"/>
    </row>
    <row r="1444" spans="19:55" ht="15.75" customHeight="1">
      <c r="S1444" s="454"/>
      <c r="BC1444" s="169"/>
    </row>
    <row r="1445" spans="19:55" ht="15.75" customHeight="1">
      <c r="S1445" s="454"/>
      <c r="BC1445" s="169"/>
    </row>
    <row r="1446" spans="19:55" ht="15.75" customHeight="1">
      <c r="S1446" s="454"/>
      <c r="BC1446" s="169"/>
    </row>
    <row r="1447" spans="19:55" ht="15.75" customHeight="1">
      <c r="S1447" s="454"/>
      <c r="BC1447" s="169"/>
    </row>
    <row r="1448" spans="19:55" ht="15.75" customHeight="1">
      <c r="S1448" s="454"/>
      <c r="BC1448" s="169"/>
    </row>
    <row r="1449" spans="19:55" ht="15.75" customHeight="1">
      <c r="S1449" s="454"/>
      <c r="BC1449" s="169"/>
    </row>
    <row r="1450" spans="19:55" ht="15.75" customHeight="1">
      <c r="S1450" s="454"/>
      <c r="BC1450" s="169"/>
    </row>
    <row r="1451" spans="19:55" ht="15.75" customHeight="1">
      <c r="S1451" s="454"/>
      <c r="BC1451" s="169"/>
    </row>
    <row r="1452" spans="19:55" ht="15.75" customHeight="1">
      <c r="S1452" s="454"/>
      <c r="BC1452" s="169"/>
    </row>
    <row r="1453" spans="19:55" ht="15.75" customHeight="1">
      <c r="S1453" s="454"/>
      <c r="BC1453" s="169"/>
    </row>
    <row r="1454" spans="19:55" ht="15.75" customHeight="1">
      <c r="S1454" s="454"/>
      <c r="BC1454" s="169"/>
    </row>
    <row r="1455" spans="19:55" ht="15.75" customHeight="1">
      <c r="S1455" s="454"/>
      <c r="BC1455" s="169"/>
    </row>
    <row r="1456" spans="19:55" ht="15.75" customHeight="1">
      <c r="S1456" s="454"/>
      <c r="BC1456" s="169"/>
    </row>
    <row r="1457" spans="19:55" ht="15.75" customHeight="1">
      <c r="S1457" s="454"/>
      <c r="BC1457" s="169"/>
    </row>
    <row r="1458" spans="19:55" ht="15.75" customHeight="1">
      <c r="S1458" s="454"/>
      <c r="BC1458" s="169"/>
    </row>
    <row r="1459" spans="19:55" ht="15.75" customHeight="1">
      <c r="S1459" s="454"/>
      <c r="BC1459" s="169"/>
    </row>
    <row r="1460" spans="19:55" ht="15.75" customHeight="1">
      <c r="S1460" s="454"/>
      <c r="BC1460" s="169"/>
    </row>
    <row r="1461" spans="19:55" ht="15.75" customHeight="1">
      <c r="S1461" s="454"/>
      <c r="BC1461" s="169"/>
    </row>
    <row r="1462" spans="19:55" ht="15.75" customHeight="1">
      <c r="S1462" s="454"/>
      <c r="BC1462" s="169"/>
    </row>
    <row r="1463" spans="19:55" ht="15.75" customHeight="1">
      <c r="S1463" s="454"/>
      <c r="BC1463" s="169"/>
    </row>
    <row r="1464" spans="19:55" ht="15.75" customHeight="1">
      <c r="S1464" s="454"/>
      <c r="BC1464" s="169"/>
    </row>
    <row r="1465" spans="19:55" ht="15.75" customHeight="1">
      <c r="S1465" s="454"/>
      <c r="BC1465" s="169"/>
    </row>
    <row r="1466" spans="19:55" ht="15.75" customHeight="1">
      <c r="S1466" s="454"/>
      <c r="BC1466" s="169"/>
    </row>
    <row r="1467" spans="19:55" ht="15.75" customHeight="1">
      <c r="S1467" s="454"/>
      <c r="BC1467" s="169"/>
    </row>
    <row r="1468" spans="19:55" ht="15.75" customHeight="1">
      <c r="S1468" s="454"/>
      <c r="BC1468" s="169"/>
    </row>
    <row r="1469" spans="19:55" ht="15.75" customHeight="1">
      <c r="S1469" s="454"/>
      <c r="BC1469" s="169"/>
    </row>
    <row r="1470" spans="19:55" ht="15.75" customHeight="1">
      <c r="S1470" s="454"/>
      <c r="BC1470" s="169"/>
    </row>
    <row r="1471" spans="19:55" ht="15.75" customHeight="1">
      <c r="S1471" s="454"/>
      <c r="BC1471" s="169"/>
    </row>
    <row r="1472" spans="19:55" ht="15.75" customHeight="1">
      <c r="S1472" s="454"/>
      <c r="BC1472" s="169"/>
    </row>
    <row r="1473" spans="19:55" ht="15.75" customHeight="1">
      <c r="S1473" s="454"/>
      <c r="BC1473" s="169"/>
    </row>
    <row r="1474" spans="19:55" ht="15.75" customHeight="1">
      <c r="S1474" s="454"/>
      <c r="BC1474" s="169"/>
    </row>
    <row r="1475" spans="19:55" ht="15.75" customHeight="1">
      <c r="S1475" s="454"/>
      <c r="BC1475" s="169"/>
    </row>
    <row r="1476" spans="19:55" ht="15.75" customHeight="1">
      <c r="S1476" s="454"/>
      <c r="BC1476" s="169"/>
    </row>
    <row r="1477" spans="19:55" ht="15.75" customHeight="1">
      <c r="S1477" s="454"/>
      <c r="BC1477" s="169"/>
    </row>
    <row r="1478" spans="19:55" ht="15.75" customHeight="1">
      <c r="S1478" s="454"/>
      <c r="BC1478" s="169"/>
    </row>
    <row r="1479" spans="19:55" ht="15.75" customHeight="1">
      <c r="S1479" s="454"/>
      <c r="BC1479" s="169"/>
    </row>
    <row r="1480" spans="19:55" ht="15.75" customHeight="1">
      <c r="S1480" s="454"/>
      <c r="BC1480" s="169"/>
    </row>
    <row r="1481" spans="19:55" ht="15.75" customHeight="1">
      <c r="S1481" s="454"/>
      <c r="BC1481" s="169"/>
    </row>
    <row r="1482" spans="19:55" ht="15.75" customHeight="1">
      <c r="S1482" s="454"/>
      <c r="BC1482" s="169"/>
    </row>
    <row r="1483" spans="19:55" ht="15.75" customHeight="1">
      <c r="S1483" s="454"/>
      <c r="BC1483" s="169"/>
    </row>
    <row r="1484" spans="19:55" ht="15.75" customHeight="1">
      <c r="S1484" s="454"/>
      <c r="BC1484" s="169"/>
    </row>
    <row r="1485" spans="19:55" ht="15.75" customHeight="1">
      <c r="S1485" s="454"/>
      <c r="BC1485" s="169"/>
    </row>
    <row r="1486" spans="19:55" ht="15.75" customHeight="1">
      <c r="S1486" s="454"/>
      <c r="BC1486" s="169"/>
    </row>
    <row r="1487" spans="19:55" ht="15.75" customHeight="1">
      <c r="S1487" s="454"/>
      <c r="BC1487" s="169"/>
    </row>
    <row r="1488" spans="19:55" ht="15.75" customHeight="1">
      <c r="S1488" s="454"/>
      <c r="BC1488" s="169"/>
    </row>
    <row r="1489" spans="19:55" ht="15.75" customHeight="1">
      <c r="S1489" s="454"/>
      <c r="BC1489" s="169"/>
    </row>
    <row r="1490" spans="19:55" ht="15.75" customHeight="1">
      <c r="S1490" s="454"/>
      <c r="BC1490" s="169"/>
    </row>
    <row r="1491" spans="19:55" ht="15.75" customHeight="1">
      <c r="S1491" s="454"/>
      <c r="BC1491" s="169"/>
    </row>
    <row r="1492" spans="19:55" ht="15.75" customHeight="1">
      <c r="S1492" s="454"/>
      <c r="BC1492" s="169"/>
    </row>
    <row r="1493" spans="19:55" ht="15.75" customHeight="1">
      <c r="S1493" s="454"/>
      <c r="BC1493" s="169"/>
    </row>
    <row r="1494" spans="19:55" ht="15.75" customHeight="1">
      <c r="S1494" s="454"/>
      <c r="BC1494" s="169"/>
    </row>
    <row r="1495" spans="19:55" ht="15.75" customHeight="1">
      <c r="S1495" s="454"/>
      <c r="BC1495" s="169"/>
    </row>
    <row r="1496" spans="19:55" ht="15.75" customHeight="1">
      <c r="BC1496" s="169"/>
    </row>
    <row r="1497" spans="19:55" ht="15.75" customHeight="1">
      <c r="BC1497" s="169"/>
    </row>
    <row r="1498" spans="19:55" ht="15.75" customHeight="1">
      <c r="BC1498" s="169"/>
    </row>
    <row r="1499" spans="19:55" ht="15.75" customHeight="1">
      <c r="BC1499" s="169"/>
    </row>
    <row r="1500" spans="19:55" ht="15.75" customHeight="1">
      <c r="BC1500" s="169"/>
    </row>
    <row r="1501" spans="19:55" ht="15.75" customHeight="1">
      <c r="BC1501" s="169"/>
    </row>
    <row r="1502" spans="19:55" ht="15.75" customHeight="1">
      <c r="BC1502" s="169"/>
    </row>
    <row r="1503" spans="19:55" ht="15.75" customHeight="1">
      <c r="BC1503" s="169"/>
    </row>
    <row r="1504" spans="19:55" ht="15.75" customHeight="1">
      <c r="BC1504" s="169"/>
    </row>
    <row r="1505" spans="55:55" ht="15.75" customHeight="1">
      <c r="BC1505" s="169"/>
    </row>
    <row r="1506" spans="55:55" ht="15.75" customHeight="1">
      <c r="BC1506" s="169"/>
    </row>
    <row r="1507" spans="55:55" ht="15.75" customHeight="1">
      <c r="BC1507" s="169"/>
    </row>
    <row r="1508" spans="55:55" ht="15.75" customHeight="1">
      <c r="BC1508" s="169"/>
    </row>
    <row r="1509" spans="55:55" ht="15.75" customHeight="1">
      <c r="BC1509" s="169"/>
    </row>
    <row r="1510" spans="55:55" ht="15.75" customHeight="1">
      <c r="BC1510" s="169"/>
    </row>
    <row r="1511" spans="55:55" ht="15.75" customHeight="1">
      <c r="BC1511" s="169"/>
    </row>
    <row r="1512" spans="55:55" ht="15.75" customHeight="1">
      <c r="BC1512" s="169"/>
    </row>
    <row r="1513" spans="55:55" ht="15.75" customHeight="1">
      <c r="BC1513" s="169"/>
    </row>
    <row r="1514" spans="55:55" ht="15.75" customHeight="1">
      <c r="BC1514" s="169"/>
    </row>
    <row r="1515" spans="55:55" ht="15.75" customHeight="1">
      <c r="BC1515" s="169"/>
    </row>
    <row r="1516" spans="55:55" ht="15.75" customHeight="1">
      <c r="BC1516" s="169"/>
    </row>
    <row r="1517" spans="55:55" ht="15.75" customHeight="1">
      <c r="BC1517" s="169"/>
    </row>
    <row r="1518" spans="55:55" ht="15.75" customHeight="1">
      <c r="BC1518" s="169"/>
    </row>
    <row r="1519" spans="55:55" ht="15.75" customHeight="1">
      <c r="BC1519" s="169"/>
    </row>
    <row r="1520" spans="55:55" ht="15.75" customHeight="1">
      <c r="BC1520" s="169"/>
    </row>
    <row r="1521" spans="55:55" ht="15.75" customHeight="1">
      <c r="BC1521" s="169"/>
    </row>
    <row r="1522" spans="55:55" ht="15.75" customHeight="1">
      <c r="BC1522" s="169"/>
    </row>
    <row r="1523" spans="55:55" ht="15.75" customHeight="1">
      <c r="BC1523" s="169"/>
    </row>
    <row r="1524" spans="55:55" ht="15.75" customHeight="1">
      <c r="BC1524" s="169"/>
    </row>
    <row r="1525" spans="55:55" ht="15.75" customHeight="1">
      <c r="BC1525" s="169"/>
    </row>
    <row r="1526" spans="55:55" ht="15.75" customHeight="1">
      <c r="BC1526" s="169"/>
    </row>
    <row r="1527" spans="55:55" ht="15.75" customHeight="1">
      <c r="BC1527" s="169"/>
    </row>
    <row r="1528" spans="55:55" ht="15.75" customHeight="1">
      <c r="BC1528" s="169"/>
    </row>
    <row r="1529" spans="55:55" ht="15.75" customHeight="1">
      <c r="BC1529" s="169"/>
    </row>
    <row r="1530" spans="55:55" ht="15.75" customHeight="1">
      <c r="BC1530" s="169"/>
    </row>
    <row r="1531" spans="55:55" ht="15.75" customHeight="1">
      <c r="BC1531" s="169"/>
    </row>
    <row r="1532" spans="55:55" ht="15.75" customHeight="1">
      <c r="BC1532" s="169"/>
    </row>
    <row r="1533" spans="55:55" ht="15.75" customHeight="1">
      <c r="BC1533" s="169"/>
    </row>
    <row r="1534" spans="55:55" ht="15.75" customHeight="1">
      <c r="BC1534" s="169"/>
    </row>
    <row r="1535" spans="55:55" ht="15.75" customHeight="1">
      <c r="BC1535" s="169"/>
    </row>
    <row r="1536" spans="55:55" ht="15.75" customHeight="1">
      <c r="BC1536" s="169"/>
    </row>
    <row r="1537" spans="55:55" ht="15.75" customHeight="1">
      <c r="BC1537" s="169"/>
    </row>
    <row r="1538" spans="55:55" ht="15.75" customHeight="1">
      <c r="BC1538" s="169"/>
    </row>
    <row r="1539" spans="55:55" ht="15.75" customHeight="1">
      <c r="BC1539" s="169"/>
    </row>
    <row r="1540" spans="55:55" ht="15.75" customHeight="1">
      <c r="BC1540" s="169"/>
    </row>
    <row r="1541" spans="55:55" ht="15.75" customHeight="1">
      <c r="BC1541" s="169"/>
    </row>
    <row r="1542" spans="55:55" ht="15.75" customHeight="1">
      <c r="BC1542" s="169"/>
    </row>
    <row r="1543" spans="55:55" ht="15.75" customHeight="1">
      <c r="BC1543" s="169"/>
    </row>
    <row r="1544" spans="55:55" ht="15.75" customHeight="1">
      <c r="BC1544" s="169"/>
    </row>
    <row r="1545" spans="55:55" ht="15.75" customHeight="1">
      <c r="BC1545" s="169"/>
    </row>
    <row r="1546" spans="55:55" ht="15.75" customHeight="1">
      <c r="BC1546" s="169"/>
    </row>
    <row r="1547" spans="55:55" ht="15.75" customHeight="1">
      <c r="BC1547" s="169"/>
    </row>
    <row r="1548" spans="55:55" ht="15.75" customHeight="1">
      <c r="BC1548" s="169"/>
    </row>
    <row r="1549" spans="55:55" ht="15.75" customHeight="1">
      <c r="BC1549" s="169"/>
    </row>
    <row r="1550" spans="55:55" ht="15.75" customHeight="1">
      <c r="BC1550" s="169"/>
    </row>
    <row r="1551" spans="55:55" ht="15.75" customHeight="1">
      <c r="BC1551" s="169"/>
    </row>
    <row r="1552" spans="55:55" ht="15.75" customHeight="1">
      <c r="BC1552" s="169"/>
    </row>
    <row r="1553" spans="55:55" ht="15.75" customHeight="1">
      <c r="BC1553" s="169"/>
    </row>
    <row r="1554" spans="55:55" ht="15.75" customHeight="1">
      <c r="BC1554" s="169"/>
    </row>
    <row r="1555" spans="55:55" ht="15.75" customHeight="1">
      <c r="BC1555" s="169"/>
    </row>
    <row r="1556" spans="55:55" ht="15.75" customHeight="1">
      <c r="BC1556" s="169"/>
    </row>
    <row r="1557" spans="55:55" ht="15.75" customHeight="1">
      <c r="BC1557" s="169"/>
    </row>
    <row r="1558" spans="55:55" ht="15.75" customHeight="1">
      <c r="BC1558" s="169"/>
    </row>
    <row r="1559" spans="55:55" ht="15.75" customHeight="1">
      <c r="BC1559" s="169"/>
    </row>
    <row r="1560" spans="55:55" ht="15.75" customHeight="1">
      <c r="BC1560" s="169"/>
    </row>
    <row r="1561" spans="55:55" ht="15.75" customHeight="1">
      <c r="BC1561" s="169"/>
    </row>
    <row r="1562" spans="55:55" ht="15.75" customHeight="1">
      <c r="BC1562" s="169"/>
    </row>
    <row r="1563" spans="55:55" ht="15.75" customHeight="1">
      <c r="BC1563" s="169"/>
    </row>
    <row r="1564" spans="55:55" ht="15.75" customHeight="1">
      <c r="BC1564" s="169"/>
    </row>
    <row r="1565" spans="55:55" ht="15.75" customHeight="1">
      <c r="BC1565" s="169"/>
    </row>
    <row r="1566" spans="55:55" ht="15.75" customHeight="1">
      <c r="BC1566" s="169"/>
    </row>
    <row r="1567" spans="55:55" ht="15.75" customHeight="1">
      <c r="BC1567" s="169"/>
    </row>
    <row r="1568" spans="55:55" ht="15.75" customHeight="1">
      <c r="BC1568" s="169"/>
    </row>
    <row r="1569" spans="55:55" ht="15.75" customHeight="1">
      <c r="BC1569" s="169"/>
    </row>
    <row r="1570" spans="55:55" ht="15.75" customHeight="1">
      <c r="BC1570" s="169"/>
    </row>
    <row r="1571" spans="55:55" ht="15.75" customHeight="1">
      <c r="BC1571" s="169"/>
    </row>
    <row r="1572" spans="55:55" ht="15.75" customHeight="1">
      <c r="BC1572" s="169"/>
    </row>
    <row r="1573" spans="55:55" ht="15.75" customHeight="1">
      <c r="BC1573" s="169"/>
    </row>
    <row r="1574" spans="55:55" ht="15.75" customHeight="1">
      <c r="BC1574" s="169"/>
    </row>
    <row r="1575" spans="55:55" ht="15.75" customHeight="1">
      <c r="BC1575" s="169"/>
    </row>
    <row r="1576" spans="55:55" ht="15.75" customHeight="1">
      <c r="BC1576" s="169"/>
    </row>
    <row r="1577" spans="55:55" ht="15.75" customHeight="1">
      <c r="BC1577" s="169"/>
    </row>
    <row r="1578" spans="55:55" ht="15.75" customHeight="1">
      <c r="BC1578" s="169"/>
    </row>
    <row r="1579" spans="55:55" ht="15.75" customHeight="1">
      <c r="BC1579" s="169"/>
    </row>
    <row r="1580" spans="55:55" ht="15.75" customHeight="1">
      <c r="BC1580" s="169"/>
    </row>
    <row r="1581" spans="55:55" ht="15.75" customHeight="1">
      <c r="BC1581" s="169"/>
    </row>
    <row r="1582" spans="55:55" ht="15.75" customHeight="1">
      <c r="BC1582" s="169"/>
    </row>
    <row r="1583" spans="55:55" ht="15.75" customHeight="1">
      <c r="BC1583" s="169"/>
    </row>
    <row r="1584" spans="55:55" ht="15.75" customHeight="1">
      <c r="BC1584" s="169"/>
    </row>
    <row r="1585" spans="55:55" ht="15.75" customHeight="1">
      <c r="BC1585" s="169"/>
    </row>
    <row r="1586" spans="55:55" ht="15.75" customHeight="1">
      <c r="BC1586" s="169"/>
    </row>
    <row r="1587" spans="55:55" ht="15.75" customHeight="1">
      <c r="BC1587" s="169"/>
    </row>
    <row r="1588" spans="55:55" ht="15.75" customHeight="1">
      <c r="BC1588" s="169"/>
    </row>
    <row r="1589" spans="55:55" ht="15.75" customHeight="1">
      <c r="BC1589" s="169"/>
    </row>
    <row r="1590" spans="55:55" ht="15.75" customHeight="1">
      <c r="BC1590" s="169"/>
    </row>
    <row r="1591" spans="55:55" ht="15.75" customHeight="1">
      <c r="BC1591" s="169"/>
    </row>
    <row r="1592" spans="55:55" ht="15.75" customHeight="1">
      <c r="BC1592" s="169"/>
    </row>
    <row r="1593" spans="55:55" ht="15.75" customHeight="1">
      <c r="BC1593" s="169"/>
    </row>
    <row r="1594" spans="55:55" ht="15.75" customHeight="1">
      <c r="BC1594" s="169"/>
    </row>
    <row r="1595" spans="55:55" ht="15.75" customHeight="1">
      <c r="BC1595" s="169"/>
    </row>
    <row r="1596" spans="55:55" ht="15.75" customHeight="1">
      <c r="BC1596" s="169"/>
    </row>
    <row r="1597" spans="55:55" ht="15.75" customHeight="1">
      <c r="BC1597" s="169"/>
    </row>
    <row r="1598" spans="55:55" ht="15.75" customHeight="1">
      <c r="BC1598" s="169"/>
    </row>
    <row r="1599" spans="55:55" ht="15.75" customHeight="1">
      <c r="BC1599" s="169"/>
    </row>
    <row r="1600" spans="55:55" ht="15.75" customHeight="1">
      <c r="BC1600" s="169"/>
    </row>
    <row r="1601" spans="55:55" ht="15.75" customHeight="1">
      <c r="BC1601" s="169"/>
    </row>
    <row r="1602" spans="55:55" ht="15.75" customHeight="1">
      <c r="BC1602" s="169"/>
    </row>
    <row r="1603" spans="55:55" ht="15.75" customHeight="1">
      <c r="BC1603" s="169"/>
    </row>
    <row r="1604" spans="55:55" ht="15.75" customHeight="1">
      <c r="BC1604" s="169"/>
    </row>
    <row r="1605" spans="55:55" ht="15.75" customHeight="1">
      <c r="BC1605" s="169"/>
    </row>
    <row r="1606" spans="55:55" ht="15.75" customHeight="1">
      <c r="BC1606" s="169"/>
    </row>
    <row r="1607" spans="55:55" ht="15.75" customHeight="1">
      <c r="BC1607" s="169"/>
    </row>
    <row r="1608" spans="55:55" ht="15.75" customHeight="1">
      <c r="BC1608" s="169"/>
    </row>
    <row r="1609" spans="55:55" ht="15.75" customHeight="1">
      <c r="BC1609" s="169"/>
    </row>
    <row r="1610" spans="55:55" ht="15.75" customHeight="1">
      <c r="BC1610" s="169"/>
    </row>
    <row r="1611" spans="55:55" ht="15.75" customHeight="1">
      <c r="BC1611" s="169"/>
    </row>
    <row r="1612" spans="55:55" ht="15.75" customHeight="1">
      <c r="BC1612" s="169"/>
    </row>
    <row r="1613" spans="55:55" ht="15.75" customHeight="1">
      <c r="BC1613" s="169"/>
    </row>
    <row r="1614" spans="55:55" ht="15.75" customHeight="1">
      <c r="BC1614" s="169"/>
    </row>
    <row r="1615" spans="55:55" ht="15.75" customHeight="1">
      <c r="BC1615" s="169"/>
    </row>
    <row r="1616" spans="55:55" ht="15.75" customHeight="1">
      <c r="BC1616" s="169"/>
    </row>
    <row r="1617" spans="55:55" ht="15.75" customHeight="1">
      <c r="BC1617" s="169"/>
    </row>
    <row r="1618" spans="55:55" ht="15.75" customHeight="1">
      <c r="BC1618" s="169"/>
    </row>
    <row r="1619" spans="55:55" ht="15.75" customHeight="1">
      <c r="BC1619" s="169"/>
    </row>
    <row r="1620" spans="55:55" ht="15.75" customHeight="1">
      <c r="BC1620" s="169"/>
    </row>
    <row r="1621" spans="55:55" ht="15.75" customHeight="1">
      <c r="BC1621" s="169"/>
    </row>
    <row r="1622" spans="55:55" ht="15.75" customHeight="1">
      <c r="BC1622" s="169"/>
    </row>
    <row r="1623" spans="55:55" ht="15.75" customHeight="1">
      <c r="BC1623" s="169"/>
    </row>
    <row r="1624" spans="55:55" ht="15.75" customHeight="1">
      <c r="BC1624" s="169"/>
    </row>
    <row r="1625" spans="55:55" ht="15.75" customHeight="1">
      <c r="BC1625" s="169"/>
    </row>
    <row r="1626" spans="55:55" ht="15.75" customHeight="1">
      <c r="BC1626" s="169"/>
    </row>
    <row r="1627" spans="55:55" ht="15.75" customHeight="1">
      <c r="BC1627" s="169"/>
    </row>
    <row r="1628" spans="55:55" ht="15.75" customHeight="1">
      <c r="BC1628" s="169"/>
    </row>
    <row r="1629" spans="55:55" ht="15.75" customHeight="1">
      <c r="BC1629" s="169"/>
    </row>
    <row r="1630" spans="55:55" ht="15.75" customHeight="1">
      <c r="BC1630" s="169"/>
    </row>
    <row r="1631" spans="55:55" ht="15.75" customHeight="1">
      <c r="BC1631" s="169"/>
    </row>
    <row r="1632" spans="55:55" ht="15.75" customHeight="1">
      <c r="BC1632" s="169"/>
    </row>
    <row r="1633" spans="55:55" ht="15.75" customHeight="1">
      <c r="BC1633" s="169"/>
    </row>
    <row r="1634" spans="55:55" ht="15.75" customHeight="1">
      <c r="BC1634" s="169"/>
    </row>
    <row r="1635" spans="55:55" ht="15.75" customHeight="1">
      <c r="BC1635" s="169"/>
    </row>
    <row r="1636" spans="55:55" ht="15.75" customHeight="1">
      <c r="BC1636" s="169"/>
    </row>
    <row r="1637" spans="55:55" ht="15.75" customHeight="1">
      <c r="BC1637" s="169"/>
    </row>
    <row r="1638" spans="55:55" ht="15.75" customHeight="1">
      <c r="BC1638" s="169"/>
    </row>
    <row r="1639" spans="55:55" ht="15.75" customHeight="1">
      <c r="BC1639" s="169"/>
    </row>
    <row r="1640" spans="55:55" ht="15.75" customHeight="1">
      <c r="BC1640" s="169"/>
    </row>
    <row r="1641" spans="55:55" ht="15.75" customHeight="1">
      <c r="BC1641" s="169"/>
    </row>
    <row r="1642" spans="55:55" ht="15.75" customHeight="1">
      <c r="BC1642" s="169"/>
    </row>
    <row r="1643" spans="55:55" ht="15.75" customHeight="1">
      <c r="BC1643" s="169"/>
    </row>
    <row r="1644" spans="55:55" ht="15.75" customHeight="1">
      <c r="BC1644" s="169"/>
    </row>
    <row r="1645" spans="55:55" ht="15.75" customHeight="1">
      <c r="BC1645" s="169"/>
    </row>
    <row r="1646" spans="55:55" ht="15.75" customHeight="1">
      <c r="BC1646" s="169"/>
    </row>
    <row r="1647" spans="55:55" ht="15.75" customHeight="1">
      <c r="BC1647" s="169"/>
    </row>
    <row r="1648" spans="55:55" ht="15.75" customHeight="1">
      <c r="BC1648" s="169"/>
    </row>
    <row r="1649" spans="55:55" ht="15.75" customHeight="1">
      <c r="BC1649" s="169"/>
    </row>
    <row r="1650" spans="55:55" ht="15.75" customHeight="1">
      <c r="BC1650" s="169"/>
    </row>
    <row r="1651" spans="55:55" ht="15.75" customHeight="1">
      <c r="BC1651" s="169"/>
    </row>
    <row r="1652" spans="55:55" ht="15.75" customHeight="1">
      <c r="BC1652" s="169"/>
    </row>
    <row r="1653" spans="55:55" ht="15.75" customHeight="1">
      <c r="BC1653" s="169"/>
    </row>
    <row r="1654" spans="55:55" ht="15.75" customHeight="1">
      <c r="BC1654" s="169"/>
    </row>
    <row r="1655" spans="55:55" ht="15.75" customHeight="1">
      <c r="BC1655" s="169"/>
    </row>
    <row r="1656" spans="55:55" ht="15.75" customHeight="1">
      <c r="BC1656" s="169"/>
    </row>
    <row r="1657" spans="55:55" ht="15.75" customHeight="1">
      <c r="BC1657" s="169"/>
    </row>
    <row r="1658" spans="55:55" ht="15.75" customHeight="1">
      <c r="BC1658" s="169"/>
    </row>
    <row r="1659" spans="55:55" ht="15.75" customHeight="1">
      <c r="BC1659" s="169"/>
    </row>
    <row r="1660" spans="55:55" ht="15.75" customHeight="1">
      <c r="BC1660" s="169"/>
    </row>
    <row r="1661" spans="55:55" ht="15.75" customHeight="1">
      <c r="BC1661" s="169"/>
    </row>
    <row r="1662" spans="55:55" ht="15.75" customHeight="1">
      <c r="BC1662" s="169"/>
    </row>
    <row r="1663" spans="55:55" ht="15.75" customHeight="1">
      <c r="BC1663" s="169"/>
    </row>
    <row r="1664" spans="55:55" ht="15.75" customHeight="1">
      <c r="BC1664" s="169"/>
    </row>
    <row r="1665" spans="55:55" ht="15.75" customHeight="1">
      <c r="BC1665" s="169"/>
    </row>
    <row r="1666" spans="55:55" ht="15.75" customHeight="1">
      <c r="BC1666" s="169"/>
    </row>
    <row r="1667" spans="55:55" ht="15.75" customHeight="1">
      <c r="BC1667" s="169"/>
    </row>
    <row r="1668" spans="55:55" ht="15.75" customHeight="1">
      <c r="BC1668" s="169"/>
    </row>
    <row r="1669" spans="55:55" ht="15.75" customHeight="1">
      <c r="BC1669" s="169"/>
    </row>
    <row r="1670" spans="55:55" ht="15.75" customHeight="1">
      <c r="BC1670" s="169"/>
    </row>
    <row r="1671" spans="55:55" ht="15.75" customHeight="1">
      <c r="BC1671" s="169"/>
    </row>
    <row r="1672" spans="55:55" ht="15.75" customHeight="1">
      <c r="BC1672" s="169"/>
    </row>
    <row r="1673" spans="55:55" ht="15.75" customHeight="1">
      <c r="BC1673" s="169"/>
    </row>
    <row r="1674" spans="55:55" ht="15.75" customHeight="1">
      <c r="BC1674" s="169"/>
    </row>
    <row r="1675" spans="55:55" ht="15.75" customHeight="1">
      <c r="BC1675" s="169"/>
    </row>
    <row r="1676" spans="55:55" ht="15.75" customHeight="1">
      <c r="BC1676" s="169"/>
    </row>
    <row r="1677" spans="55:55" ht="15.75" customHeight="1">
      <c r="BC1677" s="169"/>
    </row>
    <row r="1678" spans="55:55" ht="15.75" customHeight="1">
      <c r="BC1678" s="169"/>
    </row>
    <row r="1679" spans="55:55" ht="15.75" customHeight="1">
      <c r="BC1679" s="169"/>
    </row>
    <row r="1680" spans="55:55" ht="15.75" customHeight="1">
      <c r="BC1680" s="169"/>
    </row>
    <row r="1681" spans="55:55" ht="15.75" customHeight="1">
      <c r="BC1681" s="169"/>
    </row>
    <row r="1682" spans="55:55" ht="15.75" customHeight="1">
      <c r="BC1682" s="169"/>
    </row>
    <row r="1683" spans="55:55" ht="15.75" customHeight="1">
      <c r="BC1683" s="169"/>
    </row>
    <row r="1684" spans="55:55" ht="15.75" customHeight="1">
      <c r="BC1684" s="169"/>
    </row>
    <row r="1685" spans="55:55" ht="15.75" customHeight="1">
      <c r="BC1685" s="169"/>
    </row>
    <row r="1686" spans="55:55" ht="15.75" customHeight="1">
      <c r="BC1686" s="169"/>
    </row>
    <row r="1687" spans="55:55" ht="15.75" customHeight="1">
      <c r="BC1687" s="169"/>
    </row>
    <row r="1688" spans="55:55" ht="15.75" customHeight="1">
      <c r="BC1688" s="169"/>
    </row>
    <row r="1689" spans="55:55" ht="15.75" customHeight="1">
      <c r="BC1689" s="169"/>
    </row>
    <row r="1690" spans="55:55" ht="15.75" customHeight="1">
      <c r="BC1690" s="169"/>
    </row>
    <row r="1691" spans="55:55" ht="15.75" customHeight="1">
      <c r="BC1691" s="169"/>
    </row>
    <row r="1692" spans="55:55" ht="15.75" customHeight="1">
      <c r="BC1692" s="169"/>
    </row>
    <row r="1693" spans="55:55" ht="15.75" customHeight="1">
      <c r="BC1693" s="169"/>
    </row>
    <row r="1694" spans="55:55" ht="15.75" customHeight="1">
      <c r="BC1694" s="169"/>
    </row>
    <row r="1695" spans="55:55" ht="15.75" customHeight="1">
      <c r="BC1695" s="169"/>
    </row>
    <row r="1696" spans="55:55" ht="15.75" customHeight="1">
      <c r="BC1696" s="169"/>
    </row>
    <row r="1697" spans="55:55" ht="15.75" customHeight="1">
      <c r="BC1697" s="169"/>
    </row>
    <row r="1698" spans="55:55" ht="15.75" customHeight="1">
      <c r="BC1698" s="169"/>
    </row>
    <row r="1699" spans="55:55" ht="15.75" customHeight="1">
      <c r="BC1699" s="169"/>
    </row>
    <row r="1700" spans="55:55" ht="15.75" customHeight="1">
      <c r="BC1700" s="169"/>
    </row>
    <row r="1701" spans="55:55" ht="15.75" customHeight="1">
      <c r="BC1701" s="169"/>
    </row>
    <row r="1702" spans="55:55" ht="15.75" customHeight="1">
      <c r="BC1702" s="169"/>
    </row>
    <row r="1703" spans="55:55" ht="15.75" customHeight="1">
      <c r="BC1703" s="169"/>
    </row>
    <row r="1704" spans="55:55" ht="15.75" customHeight="1">
      <c r="BC1704" s="169"/>
    </row>
    <row r="1705" spans="55:55" ht="15.75" customHeight="1">
      <c r="BC1705" s="169"/>
    </row>
    <row r="1706" spans="55:55" ht="15.75" customHeight="1">
      <c r="BC1706" s="169"/>
    </row>
    <row r="1707" spans="55:55" ht="15.75" customHeight="1">
      <c r="BC1707" s="169"/>
    </row>
    <row r="1708" spans="55:55" ht="15.75" customHeight="1">
      <c r="BC1708" s="169"/>
    </row>
    <row r="1709" spans="55:55" ht="15.75" customHeight="1">
      <c r="BC1709" s="169"/>
    </row>
    <row r="1710" spans="55:55" ht="15.75" customHeight="1">
      <c r="BC1710" s="169"/>
    </row>
    <row r="1711" spans="55:55" ht="15.75" customHeight="1">
      <c r="BC1711" s="169"/>
    </row>
    <row r="1712" spans="55:55" ht="15.75" customHeight="1">
      <c r="BC1712" s="169"/>
    </row>
    <row r="1713" spans="55:55" ht="15.75" customHeight="1">
      <c r="BC1713" s="169"/>
    </row>
    <row r="1714" spans="55:55" ht="15.75" customHeight="1">
      <c r="BC1714" s="169"/>
    </row>
    <row r="1715" spans="55:55" ht="15.75" customHeight="1">
      <c r="BC1715" s="169"/>
    </row>
    <row r="1716" spans="55:55" ht="15.75" customHeight="1">
      <c r="BC1716" s="169"/>
    </row>
    <row r="1717" spans="55:55" ht="15.75" customHeight="1">
      <c r="BC1717" s="169"/>
    </row>
    <row r="1718" spans="55:55" ht="15.75" customHeight="1">
      <c r="BC1718" s="169"/>
    </row>
    <row r="1719" spans="55:55" ht="15.75" customHeight="1">
      <c r="BC1719" s="169"/>
    </row>
    <row r="1720" spans="55:55" ht="15.75" customHeight="1">
      <c r="BC1720" s="169"/>
    </row>
    <row r="1721" spans="55:55" ht="15.75" customHeight="1">
      <c r="BC1721" s="169"/>
    </row>
    <row r="1722" spans="55:55" ht="15.75" customHeight="1">
      <c r="BC1722" s="169"/>
    </row>
    <row r="1723" spans="55:55" ht="15.75" customHeight="1">
      <c r="BC1723" s="169"/>
    </row>
    <row r="1724" spans="55:55" ht="15.75" customHeight="1">
      <c r="BC1724" s="169"/>
    </row>
    <row r="1725" spans="55:55" ht="15.75" customHeight="1">
      <c r="BC1725" s="169"/>
    </row>
    <row r="1726" spans="55:55" ht="15.75" customHeight="1">
      <c r="BC1726" s="169"/>
    </row>
    <row r="1727" spans="55:55" ht="15.75" customHeight="1">
      <c r="BC1727" s="169"/>
    </row>
    <row r="1728" spans="55:55" ht="15.75" customHeight="1">
      <c r="BC1728" s="169"/>
    </row>
    <row r="1729" spans="55:55" ht="15.75" customHeight="1">
      <c r="BC1729" s="169"/>
    </row>
    <row r="1730" spans="55:55" ht="15.75" customHeight="1">
      <c r="BC1730" s="169"/>
    </row>
    <row r="1731" spans="55:55" ht="15.75" customHeight="1">
      <c r="BC1731" s="169"/>
    </row>
    <row r="1732" spans="55:55" ht="15.75" customHeight="1">
      <c r="BC1732" s="169"/>
    </row>
    <row r="1733" spans="55:55" ht="15.75" customHeight="1">
      <c r="BC1733" s="169"/>
    </row>
    <row r="1734" spans="55:55" ht="15.75" customHeight="1">
      <c r="BC1734" s="169"/>
    </row>
    <row r="1735" spans="55:55" ht="15.75" customHeight="1">
      <c r="BC1735" s="169"/>
    </row>
    <row r="1736" spans="55:55" ht="15.75" customHeight="1">
      <c r="BC1736" s="169"/>
    </row>
    <row r="1737" spans="55:55" ht="15.75" customHeight="1">
      <c r="BC1737" s="169"/>
    </row>
    <row r="1738" spans="55:55" ht="15.75" customHeight="1">
      <c r="BC1738" s="169"/>
    </row>
    <row r="1739" spans="55:55" ht="15.75" customHeight="1">
      <c r="BC1739" s="169"/>
    </row>
    <row r="1740" spans="55:55" ht="15.75" customHeight="1">
      <c r="BC1740" s="169"/>
    </row>
    <row r="1741" spans="55:55" ht="15.75" customHeight="1">
      <c r="BC1741" s="169"/>
    </row>
    <row r="1742" spans="55:55" ht="15.75" customHeight="1">
      <c r="BC1742" s="169"/>
    </row>
    <row r="1743" spans="55:55" ht="15.75" customHeight="1">
      <c r="BC1743" s="169"/>
    </row>
    <row r="1744" spans="55:55" ht="15.75" customHeight="1">
      <c r="BC1744" s="169"/>
    </row>
    <row r="1745" spans="55:55" ht="15.75" customHeight="1">
      <c r="BC1745" s="169"/>
    </row>
    <row r="1746" spans="55:55" ht="15.75" customHeight="1">
      <c r="BC1746" s="169"/>
    </row>
    <row r="1747" spans="55:55" ht="15.75" customHeight="1">
      <c r="BC1747" s="169"/>
    </row>
    <row r="1748" spans="55:55" ht="15.75" customHeight="1">
      <c r="BC1748" s="169"/>
    </row>
    <row r="1749" spans="55:55" ht="15.75" customHeight="1">
      <c r="BC1749" s="169"/>
    </row>
    <row r="1750" spans="55:55" ht="15.75" customHeight="1">
      <c r="BC1750" s="169"/>
    </row>
    <row r="1751" spans="55:55" ht="15.75" customHeight="1">
      <c r="BC1751" s="169"/>
    </row>
    <row r="1752" spans="55:55" ht="15.75" customHeight="1">
      <c r="BC1752" s="169"/>
    </row>
    <row r="1753" spans="55:55" ht="15.75" customHeight="1">
      <c r="BC1753" s="169"/>
    </row>
    <row r="1754" spans="55:55" ht="15.75" customHeight="1">
      <c r="BC1754" s="169"/>
    </row>
    <row r="1755" spans="55:55" ht="15.75" customHeight="1">
      <c r="BC1755" s="169"/>
    </row>
    <row r="1756" spans="55:55" ht="15.75" customHeight="1">
      <c r="BC1756" s="169"/>
    </row>
    <row r="1757" spans="55:55" ht="15.75" customHeight="1">
      <c r="BC1757" s="169"/>
    </row>
    <row r="1758" spans="55:55" ht="15.75" customHeight="1">
      <c r="BC1758" s="169"/>
    </row>
    <row r="1759" spans="55:55" ht="15.75" customHeight="1">
      <c r="BC1759" s="169"/>
    </row>
    <row r="1760" spans="55:55" ht="15.75" customHeight="1">
      <c r="BC1760" s="169"/>
    </row>
    <row r="1761" spans="55:55" ht="15.75" customHeight="1">
      <c r="BC1761" s="169"/>
    </row>
    <row r="1762" spans="55:55" ht="15.75" customHeight="1">
      <c r="BC1762" s="169"/>
    </row>
    <row r="1763" spans="55:55" ht="15.75" customHeight="1">
      <c r="BC1763" s="169"/>
    </row>
    <row r="1764" spans="55:55" ht="15.75" customHeight="1">
      <c r="BC1764" s="169"/>
    </row>
    <row r="1765" spans="55:55" ht="15.75" customHeight="1">
      <c r="BC1765" s="169"/>
    </row>
    <row r="1766" spans="55:55" ht="15.75" customHeight="1">
      <c r="BC1766" s="169"/>
    </row>
    <row r="1767" spans="55:55" ht="15.75" customHeight="1">
      <c r="BC1767" s="169"/>
    </row>
    <row r="1768" spans="55:55" ht="15.75" customHeight="1">
      <c r="BC1768" s="169"/>
    </row>
    <row r="1769" spans="55:55" ht="15.75" customHeight="1">
      <c r="BC1769" s="169"/>
    </row>
    <row r="1770" spans="55:55" ht="15.75" customHeight="1">
      <c r="BC1770" s="169"/>
    </row>
    <row r="1771" spans="55:55" ht="15.75" customHeight="1">
      <c r="BC1771" s="169"/>
    </row>
    <row r="1772" spans="55:55" ht="15.75" customHeight="1">
      <c r="BC1772" s="169"/>
    </row>
    <row r="1773" spans="55:55" ht="15.75" customHeight="1">
      <c r="BC1773" s="169"/>
    </row>
    <row r="1774" spans="55:55" ht="15.75" customHeight="1">
      <c r="BC1774" s="169"/>
    </row>
    <row r="1775" spans="55:55" ht="15.75" customHeight="1">
      <c r="BC1775" s="169"/>
    </row>
    <row r="1776" spans="55:55" ht="15.75" customHeight="1">
      <c r="BC1776" s="169"/>
    </row>
    <row r="1777" spans="55:55" ht="15.75" customHeight="1">
      <c r="BC1777" s="169"/>
    </row>
    <row r="1778" spans="55:55" ht="15.75" customHeight="1">
      <c r="BC1778" s="169"/>
    </row>
    <row r="1779" spans="55:55" ht="15.75" customHeight="1">
      <c r="BC1779" s="169"/>
    </row>
    <row r="1780" spans="55:55" ht="15.75" customHeight="1">
      <c r="BC1780" s="169"/>
    </row>
    <row r="1781" spans="55:55" ht="15.75" customHeight="1">
      <c r="BC1781" s="169"/>
    </row>
    <row r="1782" spans="55:55" ht="15.75" customHeight="1">
      <c r="BC1782" s="169"/>
    </row>
    <row r="1783" spans="55:55" ht="15.75" customHeight="1">
      <c r="BC1783" s="169"/>
    </row>
    <row r="1784" spans="55:55" ht="15.75" customHeight="1">
      <c r="BC1784" s="169"/>
    </row>
    <row r="1785" spans="55:55" ht="15.75" customHeight="1">
      <c r="BC1785" s="169"/>
    </row>
    <row r="1786" spans="55:55" ht="15.75" customHeight="1">
      <c r="BC1786" s="169"/>
    </row>
    <row r="1787" spans="55:55" ht="15.75" customHeight="1">
      <c r="BC1787" s="169"/>
    </row>
    <row r="1788" spans="55:55" ht="15.75" customHeight="1">
      <c r="BC1788" s="169"/>
    </row>
    <row r="1789" spans="55:55" ht="15.75" customHeight="1">
      <c r="BC1789" s="169"/>
    </row>
    <row r="1790" spans="55:55" ht="15.75" customHeight="1">
      <c r="BC1790" s="169"/>
    </row>
    <row r="1791" spans="55:55" ht="15.75" customHeight="1">
      <c r="BC1791" s="169"/>
    </row>
    <row r="1792" spans="55:55" ht="15.75" customHeight="1">
      <c r="BC1792" s="169"/>
    </row>
    <row r="1793" spans="55:55" ht="15.75" customHeight="1">
      <c r="BC1793" s="169"/>
    </row>
    <row r="1794" spans="55:55" ht="15.75" customHeight="1">
      <c r="BC1794" s="169"/>
    </row>
    <row r="1795" spans="55:55" ht="15.75" customHeight="1">
      <c r="BC1795" s="169"/>
    </row>
    <row r="1796" spans="55:55" ht="15.75" customHeight="1">
      <c r="BC1796" s="169"/>
    </row>
    <row r="1797" spans="55:55" ht="15.75" customHeight="1">
      <c r="BC1797" s="169"/>
    </row>
    <row r="1798" spans="55:55" ht="15.75" customHeight="1">
      <c r="BC1798" s="169"/>
    </row>
    <row r="1799" spans="55:55" ht="15.75" customHeight="1">
      <c r="BC1799" s="169"/>
    </row>
    <row r="1800" spans="55:55" ht="15.75" customHeight="1">
      <c r="BC1800" s="169"/>
    </row>
    <row r="1801" spans="55:55" ht="15.75" customHeight="1">
      <c r="BC1801" s="169"/>
    </row>
    <row r="1802" spans="55:55" ht="15.75" customHeight="1">
      <c r="BC1802" s="169"/>
    </row>
    <row r="1803" spans="55:55" ht="15.75" customHeight="1">
      <c r="BC1803" s="169"/>
    </row>
    <row r="1804" spans="55:55" ht="15.75" customHeight="1">
      <c r="BC1804" s="169"/>
    </row>
    <row r="1805" spans="55:55" ht="15.75" customHeight="1">
      <c r="BC1805" s="169"/>
    </row>
    <row r="1806" spans="55:55" ht="15.75" customHeight="1">
      <c r="BC1806" s="169"/>
    </row>
    <row r="1807" spans="55:55" ht="15.75" customHeight="1">
      <c r="BC1807" s="169"/>
    </row>
    <row r="1808" spans="55:55" ht="15.75" customHeight="1">
      <c r="BC1808" s="169"/>
    </row>
    <row r="1809" spans="55:55" ht="15.75" customHeight="1">
      <c r="BC1809" s="169"/>
    </row>
    <row r="1810" spans="55:55" ht="15.75" customHeight="1">
      <c r="BC1810" s="169"/>
    </row>
    <row r="1811" spans="55:55" ht="15.75" customHeight="1">
      <c r="BC1811" s="169"/>
    </row>
    <row r="1812" spans="55:55" ht="15.75" customHeight="1">
      <c r="BC1812" s="169"/>
    </row>
    <row r="1813" spans="55:55" ht="15.75" customHeight="1">
      <c r="BC1813" s="169"/>
    </row>
    <row r="1814" spans="55:55" ht="15.75" customHeight="1">
      <c r="BC1814" s="169"/>
    </row>
    <row r="1815" spans="55:55" ht="15.75" customHeight="1">
      <c r="BC1815" s="169"/>
    </row>
    <row r="1816" spans="55:55" ht="15.75" customHeight="1">
      <c r="BC1816" s="169"/>
    </row>
    <row r="1817" spans="55:55" ht="15.75" customHeight="1">
      <c r="BC1817" s="169"/>
    </row>
    <row r="1818" spans="55:55" ht="15.75" customHeight="1">
      <c r="BC1818" s="169"/>
    </row>
    <row r="1819" spans="55:55" ht="15.75" customHeight="1">
      <c r="BC1819" s="169"/>
    </row>
    <row r="1820" spans="55:55" ht="15.75" customHeight="1">
      <c r="BC1820" s="169"/>
    </row>
    <row r="1821" spans="55:55" ht="15.75" customHeight="1">
      <c r="BC1821" s="169"/>
    </row>
    <row r="1822" spans="55:55" ht="15.75" customHeight="1">
      <c r="BC1822" s="169"/>
    </row>
    <row r="1823" spans="55:55" ht="15.75" customHeight="1">
      <c r="BC1823" s="169"/>
    </row>
    <row r="1824" spans="55:55" ht="15.75" customHeight="1">
      <c r="BC1824" s="169"/>
    </row>
    <row r="1825" spans="55:55" ht="15.75" customHeight="1">
      <c r="BC1825" s="169"/>
    </row>
    <row r="1826" spans="55:55" ht="15.75" customHeight="1">
      <c r="BC1826" s="169"/>
    </row>
    <row r="1827" spans="55:55" ht="15.75" customHeight="1">
      <c r="BC1827" s="169"/>
    </row>
    <row r="1828" spans="55:55" ht="15.75" customHeight="1">
      <c r="BC1828" s="169"/>
    </row>
    <row r="1829" spans="55:55" ht="15.75" customHeight="1">
      <c r="BC1829" s="169"/>
    </row>
    <row r="1830" spans="55:55" ht="15.75" customHeight="1">
      <c r="BC1830" s="169"/>
    </row>
    <row r="1831" spans="55:55" ht="15.75" customHeight="1">
      <c r="BC1831" s="169"/>
    </row>
    <row r="1832" spans="55:55" ht="15.75" customHeight="1">
      <c r="BC1832" s="169"/>
    </row>
    <row r="1833" spans="55:55" ht="15.75" customHeight="1">
      <c r="BC1833" s="169"/>
    </row>
    <row r="1834" spans="55:55" ht="15.75" customHeight="1">
      <c r="BC1834" s="169"/>
    </row>
    <row r="1835" spans="55:55" ht="15.75" customHeight="1">
      <c r="BC1835" s="169"/>
    </row>
    <row r="1836" spans="55:55" ht="15.75" customHeight="1">
      <c r="BC1836" s="169"/>
    </row>
    <row r="1837" spans="55:55" ht="15.75" customHeight="1">
      <c r="BC1837" s="169"/>
    </row>
    <row r="1838" spans="55:55" ht="15.75" customHeight="1">
      <c r="BC1838" s="169"/>
    </row>
    <row r="1839" spans="55:55" ht="15.75" customHeight="1">
      <c r="BC1839" s="169"/>
    </row>
    <row r="1840" spans="55:55" ht="15.75" customHeight="1">
      <c r="BC1840" s="169"/>
    </row>
    <row r="1841" spans="55:55" ht="15.75" customHeight="1">
      <c r="BC1841" s="169"/>
    </row>
    <row r="1842" spans="55:55" ht="15.75" customHeight="1">
      <c r="BC1842" s="169"/>
    </row>
    <row r="1843" spans="55:55" ht="15.75" customHeight="1">
      <c r="BC1843" s="169"/>
    </row>
    <row r="1844" spans="55:55" ht="15.75" customHeight="1">
      <c r="BC1844" s="169"/>
    </row>
    <row r="1845" spans="55:55" ht="15.75" customHeight="1">
      <c r="BC1845" s="169"/>
    </row>
    <row r="1846" spans="55:55" ht="15.75" customHeight="1">
      <c r="BC1846" s="169"/>
    </row>
    <row r="1847" spans="55:55" ht="15.75" customHeight="1">
      <c r="BC1847" s="169"/>
    </row>
    <row r="1848" spans="55:55" ht="15.75" customHeight="1">
      <c r="BC1848" s="169"/>
    </row>
    <row r="1849" spans="55:55" ht="15.75" customHeight="1">
      <c r="BC1849" s="169"/>
    </row>
    <row r="1850" spans="55:55" ht="15.75" customHeight="1">
      <c r="BC1850" s="169"/>
    </row>
    <row r="1851" spans="55:55" ht="15.75" customHeight="1">
      <c r="BC1851" s="169"/>
    </row>
    <row r="1852" spans="55:55" ht="15.75" customHeight="1">
      <c r="BC1852" s="169"/>
    </row>
    <row r="1853" spans="55:55" ht="15.75" customHeight="1">
      <c r="BC1853" s="169"/>
    </row>
    <row r="1854" spans="55:55" ht="15.75" customHeight="1">
      <c r="BC1854" s="169"/>
    </row>
    <row r="1855" spans="55:55" ht="15.75" customHeight="1">
      <c r="BC1855" s="169"/>
    </row>
    <row r="1856" spans="55:55" ht="15.75" customHeight="1">
      <c r="BC1856" s="169"/>
    </row>
    <row r="1857" spans="55:55" ht="15.75" customHeight="1">
      <c r="BC1857" s="169"/>
    </row>
    <row r="1858" spans="55:55" ht="15.75" customHeight="1">
      <c r="BC1858" s="169"/>
    </row>
    <row r="1859" spans="55:55" ht="15.75" customHeight="1">
      <c r="BC1859" s="169"/>
    </row>
    <row r="1860" spans="55:55" ht="15.75" customHeight="1">
      <c r="BC1860" s="169"/>
    </row>
    <row r="1861" spans="55:55" ht="15.75" customHeight="1">
      <c r="BC1861" s="169"/>
    </row>
    <row r="1862" spans="55:55" ht="15.75" customHeight="1">
      <c r="BC1862" s="169"/>
    </row>
    <row r="1863" spans="55:55" ht="15.75" customHeight="1">
      <c r="BC1863" s="169"/>
    </row>
    <row r="1864" spans="55:55" ht="15.75" customHeight="1">
      <c r="BC1864" s="169"/>
    </row>
    <row r="1865" spans="55:55" ht="15.75" customHeight="1">
      <c r="BC1865" s="169"/>
    </row>
    <row r="1866" spans="55:55" ht="15.75" customHeight="1">
      <c r="BC1866" s="169"/>
    </row>
    <row r="1867" spans="55:55" ht="15.75" customHeight="1">
      <c r="BC1867" s="169"/>
    </row>
    <row r="1868" spans="55:55" ht="15.75" customHeight="1">
      <c r="BC1868" s="169"/>
    </row>
    <row r="1869" spans="55:55" ht="15.75" customHeight="1">
      <c r="BC1869" s="169"/>
    </row>
    <row r="1870" spans="55:55" ht="15.75" customHeight="1">
      <c r="BC1870" s="169"/>
    </row>
    <row r="1871" spans="55:55" ht="15.75" customHeight="1">
      <c r="BC1871" s="169"/>
    </row>
    <row r="1872" spans="55:55" ht="15.75" customHeight="1">
      <c r="BC1872" s="169"/>
    </row>
    <row r="1873" spans="55:55" ht="15.75" customHeight="1">
      <c r="BC1873" s="169"/>
    </row>
    <row r="1874" spans="55:55" ht="15.75" customHeight="1">
      <c r="BC1874" s="169"/>
    </row>
    <row r="1875" spans="55:55" ht="15.75" customHeight="1">
      <c r="BC1875" s="169"/>
    </row>
    <row r="1876" spans="55:55" ht="15.75" customHeight="1">
      <c r="BC1876" s="169"/>
    </row>
    <row r="1877" spans="55:55" ht="15.75" customHeight="1">
      <c r="BC1877" s="169"/>
    </row>
    <row r="1878" spans="55:55" ht="15.75" customHeight="1">
      <c r="BC1878" s="169"/>
    </row>
    <row r="1879" spans="55:55" ht="15.75" customHeight="1">
      <c r="BC1879" s="169"/>
    </row>
    <row r="1880" spans="55:55" ht="15.75" customHeight="1">
      <c r="BC1880" s="169"/>
    </row>
    <row r="1881" spans="55:55" ht="15.75" customHeight="1">
      <c r="BC1881" s="169"/>
    </row>
    <row r="1882" spans="55:55" ht="15.75" customHeight="1">
      <c r="BC1882" s="169"/>
    </row>
    <row r="1883" spans="55:55" ht="15.75" customHeight="1">
      <c r="BC1883" s="169"/>
    </row>
    <row r="1884" spans="55:55" ht="15.75" customHeight="1">
      <c r="BC1884" s="169"/>
    </row>
    <row r="1885" spans="55:55" ht="15.75" customHeight="1">
      <c r="BC1885" s="169"/>
    </row>
    <row r="1886" spans="55:55" ht="15.75" customHeight="1">
      <c r="BC1886" s="169"/>
    </row>
    <row r="1887" spans="55:55" ht="15.75" customHeight="1">
      <c r="BC1887" s="169"/>
    </row>
    <row r="1888" spans="55:55" ht="15.75" customHeight="1">
      <c r="BC1888" s="169"/>
    </row>
    <row r="1889" spans="55:55" ht="15.75" customHeight="1">
      <c r="BC1889" s="169"/>
    </row>
    <row r="1890" spans="55:55" ht="15.75" customHeight="1">
      <c r="BC1890" s="169"/>
    </row>
    <row r="1891" spans="55:55" ht="15.75" customHeight="1">
      <c r="BC1891" s="169"/>
    </row>
    <row r="1892" spans="55:55" ht="15.75" customHeight="1">
      <c r="BC1892" s="169"/>
    </row>
    <row r="1893" spans="55:55" ht="15.75" customHeight="1">
      <c r="BC1893" s="169"/>
    </row>
    <row r="1894" spans="55:55" ht="15.75" customHeight="1">
      <c r="BC1894" s="169"/>
    </row>
    <row r="1895" spans="55:55" ht="15.75" customHeight="1">
      <c r="BC1895" s="169"/>
    </row>
    <row r="1896" spans="55:55" ht="15.75" customHeight="1">
      <c r="BC1896" s="169"/>
    </row>
    <row r="1897" spans="55:55" ht="15.75" customHeight="1">
      <c r="BC1897" s="169"/>
    </row>
    <row r="1898" spans="55:55" ht="15.75" customHeight="1">
      <c r="BC1898" s="169"/>
    </row>
    <row r="1899" spans="55:55" ht="15.75" customHeight="1">
      <c r="BC1899" s="169"/>
    </row>
    <row r="1900" spans="55:55" ht="15.75" customHeight="1">
      <c r="BC1900" s="169"/>
    </row>
    <row r="1901" spans="55:55" ht="15.75" customHeight="1">
      <c r="BC1901" s="169"/>
    </row>
    <row r="1902" spans="55:55" ht="15.75" customHeight="1">
      <c r="BC1902" s="169"/>
    </row>
    <row r="1903" spans="55:55" ht="15.75" customHeight="1">
      <c r="BC1903" s="169"/>
    </row>
    <row r="1904" spans="55:55" ht="15.75" customHeight="1">
      <c r="BC1904" s="169"/>
    </row>
    <row r="1905" spans="55:55" ht="15.75" customHeight="1">
      <c r="BC1905" s="169"/>
    </row>
    <row r="1906" spans="55:55" ht="15.75" customHeight="1">
      <c r="BC1906" s="169"/>
    </row>
    <row r="1907" spans="55:55" ht="15.75" customHeight="1">
      <c r="BC1907" s="169"/>
    </row>
    <row r="1908" spans="55:55" ht="15.75" customHeight="1">
      <c r="BC1908" s="169"/>
    </row>
    <row r="1909" spans="55:55" ht="15.75" customHeight="1">
      <c r="BC1909" s="169"/>
    </row>
    <row r="1910" spans="55:55" ht="15.75" customHeight="1">
      <c r="BC1910" s="169"/>
    </row>
    <row r="1911" spans="55:55" ht="15.75" customHeight="1">
      <c r="BC1911" s="169"/>
    </row>
    <row r="1912" spans="55:55" ht="15.75" customHeight="1">
      <c r="BC1912" s="169"/>
    </row>
    <row r="1913" spans="55:55" ht="15.75" customHeight="1">
      <c r="BC1913" s="169"/>
    </row>
    <row r="1914" spans="55:55" ht="15.75" customHeight="1">
      <c r="BC1914" s="169"/>
    </row>
    <row r="1915" spans="55:55" ht="15.75" customHeight="1">
      <c r="BC1915" s="169"/>
    </row>
    <row r="1916" spans="55:55" ht="15.75" customHeight="1">
      <c r="BC1916" s="169"/>
    </row>
    <row r="1917" spans="55:55" ht="15.75" customHeight="1">
      <c r="BC1917" s="169"/>
    </row>
    <row r="1918" spans="55:55" ht="15.75" customHeight="1">
      <c r="BC1918" s="169"/>
    </row>
    <row r="1919" spans="55:55" ht="15.75" customHeight="1">
      <c r="BC1919" s="169"/>
    </row>
    <row r="1920" spans="55:55" ht="15.75" customHeight="1">
      <c r="BC1920" s="169"/>
    </row>
    <row r="1921" spans="55:55" ht="15.75" customHeight="1">
      <c r="BC1921" s="169"/>
    </row>
    <row r="1922" spans="55:55" ht="15.75" customHeight="1">
      <c r="BC1922" s="169"/>
    </row>
    <row r="1923" spans="55:55" ht="15.75" customHeight="1">
      <c r="BC1923" s="169"/>
    </row>
    <row r="1924" spans="55:55" ht="15.75" customHeight="1">
      <c r="BC1924" s="169"/>
    </row>
    <row r="1925" spans="55:55" ht="15.75" customHeight="1">
      <c r="BC1925" s="169"/>
    </row>
    <row r="1926" spans="55:55" ht="15.75" customHeight="1">
      <c r="BC1926" s="169"/>
    </row>
    <row r="1927" spans="55:55" ht="15.75" customHeight="1">
      <c r="BC1927" s="169"/>
    </row>
    <row r="1928" spans="55:55" ht="15.75" customHeight="1">
      <c r="BC1928" s="169"/>
    </row>
    <row r="1929" spans="55:55" ht="15.75" customHeight="1">
      <c r="BC1929" s="169"/>
    </row>
    <row r="1930" spans="55:55" ht="15.75" customHeight="1">
      <c r="BC1930" s="169"/>
    </row>
    <row r="1931" spans="55:55" ht="15.75" customHeight="1">
      <c r="BC1931" s="169"/>
    </row>
    <row r="1932" spans="55:55" ht="15.75" customHeight="1">
      <c r="BC1932" s="169"/>
    </row>
    <row r="1933" spans="55:55" ht="15.75" customHeight="1">
      <c r="BC1933" s="169"/>
    </row>
    <row r="1934" spans="55:55" ht="15.75" customHeight="1">
      <c r="BC1934" s="169"/>
    </row>
    <row r="1935" spans="55:55" ht="15.75" customHeight="1">
      <c r="BC1935" s="169"/>
    </row>
    <row r="1936" spans="55:55" ht="15.75" customHeight="1">
      <c r="BC1936" s="169"/>
    </row>
    <row r="1937" spans="55:55" ht="15.75" customHeight="1">
      <c r="BC1937" s="169"/>
    </row>
    <row r="1938" spans="55:55" ht="15.75" customHeight="1">
      <c r="BC1938" s="169"/>
    </row>
    <row r="1939" spans="55:55" ht="15.75" customHeight="1">
      <c r="BC1939" s="169"/>
    </row>
    <row r="1940" spans="55:55" ht="15.75" customHeight="1">
      <c r="BC1940" s="169"/>
    </row>
    <row r="1941" spans="55:55" ht="15.75" customHeight="1">
      <c r="BC1941" s="169"/>
    </row>
    <row r="1942" spans="55:55" ht="15.75" customHeight="1">
      <c r="BC1942" s="169"/>
    </row>
    <row r="1943" spans="55:55" ht="15.75" customHeight="1">
      <c r="BC1943" s="169"/>
    </row>
    <row r="1944" spans="55:55" ht="15.75" customHeight="1">
      <c r="BC1944" s="169"/>
    </row>
    <row r="1945" spans="55:55" ht="15.75" customHeight="1">
      <c r="BC1945" s="169"/>
    </row>
    <row r="1946" spans="55:55" ht="15.75" customHeight="1">
      <c r="BC1946" s="169"/>
    </row>
    <row r="1947" spans="55:55" ht="15.75" customHeight="1">
      <c r="BC1947" s="169"/>
    </row>
    <row r="1948" spans="55:55" ht="15.75" customHeight="1">
      <c r="BC1948" s="169"/>
    </row>
    <row r="1949" spans="55:55" ht="15.75" customHeight="1">
      <c r="BC1949" s="169"/>
    </row>
    <row r="1950" spans="55:55" ht="15.75" customHeight="1">
      <c r="BC1950" s="169"/>
    </row>
    <row r="1951" spans="55:55" ht="15.75" customHeight="1">
      <c r="BC1951" s="169"/>
    </row>
    <row r="1952" spans="55:55" ht="15.75" customHeight="1">
      <c r="BC1952" s="169"/>
    </row>
    <row r="1953" spans="55:55" ht="15.75" customHeight="1">
      <c r="BC1953" s="169"/>
    </row>
    <row r="1954" spans="55:55" ht="15.75" customHeight="1">
      <c r="BC1954" s="169"/>
    </row>
    <row r="1955" spans="55:55" ht="15.75" customHeight="1">
      <c r="BC1955" s="169"/>
    </row>
    <row r="1956" spans="55:55" ht="15.75" customHeight="1">
      <c r="BC1956" s="169"/>
    </row>
    <row r="1957" spans="55:55" ht="15.75" customHeight="1">
      <c r="BC1957" s="169"/>
    </row>
    <row r="1958" spans="55:55" ht="15.75" customHeight="1">
      <c r="BC1958" s="169"/>
    </row>
    <row r="1959" spans="55:55" ht="15.75" customHeight="1">
      <c r="BC1959" s="169"/>
    </row>
    <row r="1960" spans="55:55" ht="15.75" customHeight="1">
      <c r="BC1960" s="169"/>
    </row>
    <row r="1961" spans="55:55" ht="15.75" customHeight="1">
      <c r="BC1961" s="169"/>
    </row>
    <row r="1962" spans="55:55" ht="15.75" customHeight="1">
      <c r="BC1962" s="169"/>
    </row>
    <row r="1963" spans="55:55" ht="15.75" customHeight="1">
      <c r="BC1963" s="169"/>
    </row>
    <row r="1964" spans="55:55" ht="15.75" customHeight="1">
      <c r="BC1964" s="169"/>
    </row>
    <row r="1965" spans="55:55" ht="15.75" customHeight="1">
      <c r="BC1965" s="169"/>
    </row>
    <row r="1966" spans="55:55" ht="15.75" customHeight="1">
      <c r="BC1966" s="169"/>
    </row>
    <row r="1967" spans="55:55" ht="15.75" customHeight="1">
      <c r="BC1967" s="169"/>
    </row>
    <row r="1968" spans="55:55" ht="15.75" customHeight="1">
      <c r="BC1968" s="169"/>
    </row>
    <row r="1969" spans="55:55" ht="15.75" customHeight="1">
      <c r="BC1969" s="169"/>
    </row>
    <row r="1970" spans="55:55" ht="15.75" customHeight="1">
      <c r="BC1970" s="169"/>
    </row>
    <row r="1971" spans="55:55" ht="15.75" customHeight="1">
      <c r="BC1971" s="169"/>
    </row>
    <row r="1972" spans="55:55" ht="15.75" customHeight="1">
      <c r="BC1972" s="169"/>
    </row>
    <row r="1973" spans="55:55" ht="15.75" customHeight="1">
      <c r="BC1973" s="169"/>
    </row>
    <row r="1974" spans="55:55" ht="15.75" customHeight="1">
      <c r="BC1974" s="169"/>
    </row>
    <row r="1975" spans="55:55" ht="15.75" customHeight="1">
      <c r="BC1975" s="169"/>
    </row>
    <row r="1976" spans="55:55" ht="15.75" customHeight="1">
      <c r="BC1976" s="169"/>
    </row>
    <row r="1977" spans="55:55" ht="15.75" customHeight="1">
      <c r="BC1977" s="169"/>
    </row>
    <row r="1978" spans="55:55" ht="15.75" customHeight="1">
      <c r="BC1978" s="169"/>
    </row>
    <row r="1979" spans="55:55" ht="15.75" customHeight="1">
      <c r="BC1979" s="169"/>
    </row>
    <row r="1980" spans="55:55" ht="15.75" customHeight="1">
      <c r="BC1980" s="169"/>
    </row>
    <row r="1981" spans="55:55" ht="15.75" customHeight="1">
      <c r="BC1981" s="169"/>
    </row>
    <row r="1982" spans="55:55" ht="15.75" customHeight="1">
      <c r="BC1982" s="169"/>
    </row>
    <row r="1983" spans="55:55" ht="15.75" customHeight="1">
      <c r="BC1983" s="169"/>
    </row>
    <row r="1984" spans="55:55" ht="15.75" customHeight="1">
      <c r="BC1984" s="169"/>
    </row>
    <row r="1985" spans="55:55" ht="15.75" customHeight="1">
      <c r="BC1985" s="169"/>
    </row>
    <row r="1986" spans="55:55" ht="15.75" customHeight="1">
      <c r="BC1986" s="169"/>
    </row>
    <row r="1987" spans="55:55" ht="15.75" customHeight="1">
      <c r="BC1987" s="169"/>
    </row>
    <row r="1988" spans="55:55" ht="15.75" customHeight="1">
      <c r="BC1988" s="169"/>
    </row>
    <row r="1989" spans="55:55" ht="15.75" customHeight="1">
      <c r="BC1989" s="169"/>
    </row>
    <row r="1990" spans="55:55" ht="15.75" customHeight="1">
      <c r="BC1990" s="169"/>
    </row>
    <row r="1991" spans="55:55" ht="15.75" customHeight="1">
      <c r="BC1991" s="169"/>
    </row>
    <row r="1992" spans="55:55" ht="15.75" customHeight="1">
      <c r="BC1992" s="169"/>
    </row>
    <row r="1993" spans="55:55" ht="15.75" customHeight="1">
      <c r="BC1993" s="169"/>
    </row>
    <row r="1994" spans="55:55" ht="15.75" customHeight="1">
      <c r="BC1994" s="169"/>
    </row>
    <row r="1995" spans="55:55" ht="15.75" customHeight="1">
      <c r="BC1995" s="169"/>
    </row>
    <row r="1996" spans="55:55" ht="15.75" customHeight="1">
      <c r="BC1996" s="169"/>
    </row>
    <row r="1997" spans="55:55" ht="15.75" customHeight="1">
      <c r="BC1997" s="169"/>
    </row>
    <row r="1998" spans="55:55" ht="15.75" customHeight="1">
      <c r="BC1998" s="169"/>
    </row>
    <row r="1999" spans="55:55" ht="15.75" customHeight="1">
      <c r="BC1999" s="169"/>
    </row>
    <row r="2000" spans="55:55" ht="15.75" customHeight="1">
      <c r="BC2000" s="169"/>
    </row>
    <row r="2001" spans="55:55" ht="15.75" customHeight="1">
      <c r="BC2001" s="169"/>
    </row>
    <row r="2002" spans="55:55" ht="15.75" customHeight="1">
      <c r="BC2002" s="169"/>
    </row>
    <row r="2003" spans="55:55" ht="15.75" customHeight="1">
      <c r="BC2003" s="169"/>
    </row>
    <row r="2004" spans="55:55" ht="15.75" customHeight="1">
      <c r="BC2004" s="169"/>
    </row>
    <row r="2005" spans="55:55" ht="15.75" customHeight="1">
      <c r="BC2005" s="169"/>
    </row>
    <row r="2006" spans="55:55" ht="15.75" customHeight="1">
      <c r="BC2006" s="169"/>
    </row>
  </sheetData>
  <autoFilter ref="A2:BG65" xr:uid="{00000000-0009-0000-0000-000020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autoFilter>
  <mergeCells count="10">
    <mergeCell ref="BD1:BG1"/>
    <mergeCell ref="A1:BB1"/>
    <mergeCell ref="AN2:AP2"/>
    <mergeCell ref="AQ2:AS2"/>
    <mergeCell ref="AT2:AV2"/>
    <mergeCell ref="N2:P2"/>
    <mergeCell ref="T2:V2"/>
    <mergeCell ref="W2:Y2"/>
    <mergeCell ref="Z2:AB2"/>
    <mergeCell ref="AC2:AE2"/>
  </mergeCells>
  <conditionalFormatting sqref="B9:BA50">
    <cfRule type="expression" dxfId="236" priority="16">
      <formula>$M9="NON DEFINED"</formula>
    </cfRule>
    <cfRule type="expression" dxfId="235" priority="17">
      <formula>$AY9="N.D."</formula>
    </cfRule>
  </conditionalFormatting>
  <conditionalFormatting sqref="BD3:BG3 BD13:BG13 BD11:BF11 BD15:BG15 BD17:BG17 BD23:BG23 BD19:BE19 BD25:BE25 BD10 BD12 BG21 BG19 BG49 BG47 BG45 BG43 BG39:BG41 BG37 BG35 BG33 BG31 BG29 BG27 BG25 BD21:BE21 BD27:BE27 BD29:BE29 BD31:BE31 BD33:BE33 BD35:BE35 BD37:BE37 BD39:BE41 BD43:BE43 BD45:BE45 BD47:BE47 BD49:BE49 BD9:BG9">
    <cfRule type="containsBlanks" dxfId="234" priority="18">
      <formula>LEN(TRIM(BD3))=0</formula>
    </cfRule>
  </conditionalFormatting>
  <conditionalFormatting sqref="BC9:BC50 BC66:BC2006">
    <cfRule type="containsText" dxfId="233" priority="11" operator="containsText" text="a">
      <formula>NOT(ISERROR(SEARCH("a",BC9)))</formula>
    </cfRule>
    <cfRule type="containsText" dxfId="232" priority="12" operator="containsText" text="R">
      <formula>NOT(ISERROR(SEARCH("R",BC9)))</formula>
    </cfRule>
  </conditionalFormatting>
  <conditionalFormatting sqref="BA9:BA50">
    <cfRule type="expression" dxfId="231" priority="10">
      <formula>$BC9="R"</formula>
    </cfRule>
  </conditionalFormatting>
  <conditionalFormatting sqref="A4:BG8">
    <cfRule type="cellIs" dxfId="230" priority="6" operator="equal">
      <formula>0</formula>
    </cfRule>
  </conditionalFormatting>
  <conditionalFormatting sqref="A51:BG65">
    <cfRule type="cellIs" dxfId="229" priority="2" operator="equal">
      <formula>0</formula>
    </cfRule>
  </conditionalFormatting>
  <conditionalFormatting sqref="AN4:AN65">
    <cfRule type="cellIs" dxfId="228" priority="1" operator="notEqual">
      <formula>5.5</formula>
    </cfRule>
  </conditionalFormatting>
  <printOptions horizontalCentered="1" gridLines="1"/>
  <pageMargins left="0.39370078740157483" right="0.39370078740157483" top="0.78740157480314965" bottom="0.78740157480314965" header="0.31496062992125984" footer="0.31496062992125984"/>
  <pageSetup paperSize="8" scale="76" fitToHeight="0" orientation="landscape" r:id="rId1"/>
  <headerFooter alignWithMargins="0">
    <oddHeader>&amp;L&amp;G&amp;C
LAYOUT AND EQUIPMENT
EP06 TRACK 5 THA-HOLON
KP96+566 - 97+927&amp;R&amp;G</oddHeader>
    <oddFooter>&amp;L&amp;G
&amp;F&amp;C&amp;D&amp;RPag &amp;P of &amp;N</oddFooter>
  </headerFooter>
  <legacyDrawingHF r:id="rId2"/>
  <extLst>
    <ext xmlns:x14="http://schemas.microsoft.com/office/spreadsheetml/2009/9/main" uri="{78C0D931-6437-407d-A8EE-F0AAD7539E65}">
      <x14:conditionalFormattings>
        <x14:conditionalFormatting xmlns:xm="http://schemas.microsoft.com/office/excel/2006/main">
          <x14:cfRule type="expression" priority="346" id="{E1AD0FCA-7F0B-464E-B7AA-275C6F4C492B}">
            <xm:f>'HR Track 4 THA-HOLON'!$BC51="R"</xm:f>
            <x14:dxf>
              <font>
                <color rgb="FF00CC00"/>
              </font>
            </x14:dxf>
          </x14:cfRule>
          <xm:sqref>BA51:BA65</xm:sqref>
        </x14:conditionalFormatting>
        <x14:conditionalFormatting xmlns:xm="http://schemas.microsoft.com/office/excel/2006/main">
          <x14:cfRule type="expression" priority="347" id="{2A1D499E-AE14-4E39-8378-99B6F4F8E731}">
            <xm:f>'HR Track 4 THA-HOLON'!$M51="NON DEFINED"</xm:f>
            <x14:dxf>
              <fill>
                <patternFill>
                  <bgColor rgb="FFFF0000"/>
                </patternFill>
              </fill>
            </x14:dxf>
          </x14:cfRule>
          <x14:cfRule type="expression" priority="348" id="{4C9BC82F-F245-4AE2-9C58-7D1572127D2D}">
            <xm:f>'HR Track 4 THA-HOLON'!$AY51="N.D."</xm:f>
            <x14:dxf>
              <fill>
                <patternFill>
                  <bgColor rgb="FFFF0000"/>
                </patternFill>
              </fill>
            </x14:dxf>
          </x14:cfRule>
          <xm:sqref>B51:BA65 BC51:BG65</xm:sqref>
        </x14:conditionalFormatting>
        <x14:conditionalFormatting xmlns:xm="http://schemas.microsoft.com/office/excel/2006/main">
          <x14:cfRule type="expression" priority="361" id="{E1AD0FCA-7F0B-464E-B7AA-275C6F4C492B}">
            <xm:f>'HR Track 4 THA-HOLON'!$BC6="R"</xm:f>
            <x14:dxf>
              <font>
                <color rgb="FF00CC00"/>
              </font>
            </x14:dxf>
          </x14:cfRule>
          <xm:sqref>BA4:BA8</xm:sqref>
        </x14:conditionalFormatting>
        <x14:conditionalFormatting xmlns:xm="http://schemas.microsoft.com/office/excel/2006/main">
          <x14:cfRule type="expression" priority="362" id="{2A1D499E-AE14-4E39-8378-99B6F4F8E731}">
            <xm:f>'HR Track 4 THA-HOLON'!$M6="NON DEFINED"</xm:f>
            <x14:dxf>
              <fill>
                <patternFill>
                  <bgColor rgb="FFFF0000"/>
                </patternFill>
              </fill>
            </x14:dxf>
          </x14:cfRule>
          <x14:cfRule type="expression" priority="363" id="{4C9BC82F-F245-4AE2-9C58-7D1572127D2D}">
            <xm:f>'HR Track 4 THA-HOLON'!$AY6="N.D."</xm:f>
            <x14:dxf>
              <fill>
                <patternFill>
                  <bgColor rgb="FFFF0000"/>
                </patternFill>
              </fill>
            </x14:dxf>
          </x14:cfRule>
          <xm:sqref>B4:BA8 BC4:BG8</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16">
    <pageSetUpPr fitToPage="1"/>
  </sheetPr>
  <dimension ref="A1:AN1129"/>
  <sheetViews>
    <sheetView zoomScale="70" zoomScaleNormal="70" workbookViewId="0">
      <pane xSplit="7" ySplit="2" topLeftCell="H105" activePane="bottomRight" state="frozen"/>
      <selection activeCell="AC3" sqref="AC1:AE1048576"/>
      <selection pane="topRight" activeCell="AC3" sqref="AC1:AE1048576"/>
      <selection pane="bottomLeft" activeCell="AC3" sqref="AC1:AE1048576"/>
      <selection pane="bottomRight" activeCell="C118" sqref="C118"/>
    </sheetView>
  </sheetViews>
  <sheetFormatPr baseColWidth="10" defaultColWidth="11.453125" defaultRowHeight="16"/>
  <cols>
    <col min="1" max="1" width="17.54296875" style="189" customWidth="1"/>
    <col min="2" max="2" width="19.90625" style="190" customWidth="1"/>
    <col min="3" max="3" width="29.453125" style="263" customWidth="1"/>
    <col min="4" max="4" width="15.6328125" style="190" customWidth="1"/>
    <col min="5" max="5" width="88.6328125" style="262" customWidth="1"/>
    <col min="6" max="6" width="12.90625" style="190" customWidth="1"/>
    <col min="7" max="7" width="11.453125" style="791" customWidth="1"/>
    <col min="8" max="9" width="15.54296875" style="189" customWidth="1"/>
    <col min="10" max="11" width="18.6328125" style="189" customWidth="1"/>
    <col min="12" max="20" width="15.54296875" style="189" customWidth="1"/>
    <col min="21" max="25" width="15.54296875" style="190" customWidth="1"/>
    <col min="26" max="34" width="15.54296875" style="189" customWidth="1"/>
    <col min="35" max="36" width="15.54296875" style="190" customWidth="1"/>
    <col min="37" max="37" width="15.54296875" style="191" customWidth="1"/>
    <col min="38" max="38" width="16.6328125" style="190" customWidth="1"/>
    <col min="39" max="39" width="17.453125" style="191" customWidth="1"/>
    <col min="40" max="40" width="84.36328125" style="263" customWidth="1"/>
    <col min="41" max="16384" width="11.453125" style="191"/>
  </cols>
  <sheetData>
    <row r="1" spans="1:40" ht="24" customHeight="1">
      <c r="A1" s="186"/>
      <c r="B1" s="186" t="s">
        <v>467</v>
      </c>
      <c r="C1" s="188"/>
      <c r="E1" s="188"/>
      <c r="F1" s="186"/>
      <c r="AN1" s="187"/>
    </row>
    <row r="2" spans="1:40" s="195" customFormat="1" ht="20" customHeight="1">
      <c r="A2" s="192" t="s">
        <v>807</v>
      </c>
      <c r="B2" s="192" t="s">
        <v>827</v>
      </c>
      <c r="C2" s="194" t="s">
        <v>814</v>
      </c>
      <c r="D2" s="192" t="s">
        <v>469</v>
      </c>
      <c r="E2" s="194" t="s">
        <v>470</v>
      </c>
      <c r="F2" s="192" t="s">
        <v>468</v>
      </c>
      <c r="G2" s="792" t="s">
        <v>197</v>
      </c>
      <c r="H2" s="531" t="s">
        <v>2434</v>
      </c>
      <c r="I2" s="531" t="s">
        <v>2435</v>
      </c>
      <c r="J2" s="531" t="s">
        <v>4081</v>
      </c>
      <c r="K2" s="531" t="s">
        <v>4082</v>
      </c>
      <c r="L2" s="532" t="s">
        <v>2436</v>
      </c>
      <c r="M2" s="532" t="s">
        <v>2437</v>
      </c>
      <c r="N2" s="532" t="s">
        <v>2438</v>
      </c>
      <c r="O2" s="532" t="s">
        <v>2439</v>
      </c>
      <c r="P2" s="532" t="s">
        <v>2440</v>
      </c>
      <c r="Q2" s="532" t="s">
        <v>2441</v>
      </c>
      <c r="R2" s="533" t="s">
        <v>2442</v>
      </c>
      <c r="S2" s="533" t="s">
        <v>2443</v>
      </c>
      <c r="T2" s="533" t="s">
        <v>2444</v>
      </c>
      <c r="U2" s="533" t="s">
        <v>2410</v>
      </c>
      <c r="V2" s="533" t="s">
        <v>3983</v>
      </c>
      <c r="W2" s="737" t="s">
        <v>3984</v>
      </c>
      <c r="X2" s="737" t="s">
        <v>3985</v>
      </c>
      <c r="Y2" s="737" t="s">
        <v>3986</v>
      </c>
      <c r="Z2" s="535" t="s">
        <v>2445</v>
      </c>
      <c r="AA2" s="535" t="s">
        <v>2446</v>
      </c>
      <c r="AB2" s="535" t="s">
        <v>2458</v>
      </c>
      <c r="AC2" s="534" t="s">
        <v>2447</v>
      </c>
      <c r="AD2" s="534" t="s">
        <v>2448</v>
      </c>
      <c r="AE2" s="534" t="s">
        <v>2450</v>
      </c>
      <c r="AF2" s="534" t="s">
        <v>2451</v>
      </c>
      <c r="AG2" s="534" t="s">
        <v>2452</v>
      </c>
      <c r="AH2" s="534" t="s">
        <v>2411</v>
      </c>
      <c r="AI2" s="536" t="s">
        <v>2407</v>
      </c>
      <c r="AJ2" s="536" t="s">
        <v>2408</v>
      </c>
      <c r="AK2" s="536" t="s">
        <v>2409</v>
      </c>
      <c r="AL2" s="537" t="s">
        <v>2453</v>
      </c>
      <c r="AM2" s="537" t="s">
        <v>2449</v>
      </c>
      <c r="AN2" s="193" t="s">
        <v>1185</v>
      </c>
    </row>
    <row r="3" spans="1:40" ht="24.65" customHeight="1">
      <c r="A3" s="51" t="s">
        <v>808</v>
      </c>
      <c r="B3" s="196"/>
      <c r="C3" s="318"/>
      <c r="D3" s="988"/>
      <c r="E3" s="197"/>
      <c r="F3" s="198"/>
      <c r="G3" s="793"/>
      <c r="H3" s="515">
        <f t="shared" ref="H3:AM3" si="0">SUM(H4:H40)</f>
        <v>79</v>
      </c>
      <c r="I3" s="515">
        <f t="shared" si="0"/>
        <v>79</v>
      </c>
      <c r="J3" s="515">
        <f t="shared" si="0"/>
        <v>49</v>
      </c>
      <c r="K3" s="515">
        <f t="shared" si="0"/>
        <v>52</v>
      </c>
      <c r="L3" s="515">
        <f t="shared" si="0"/>
        <v>51</v>
      </c>
      <c r="M3" s="515">
        <f t="shared" si="0"/>
        <v>25</v>
      </c>
      <c r="N3" s="515">
        <f t="shared" si="0"/>
        <v>16</v>
      </c>
      <c r="O3" s="515">
        <f t="shared" si="0"/>
        <v>37</v>
      </c>
      <c r="P3" s="515">
        <f t="shared" si="0"/>
        <v>4</v>
      </c>
      <c r="Q3" s="515">
        <f t="shared" si="0"/>
        <v>70</v>
      </c>
      <c r="R3" s="515">
        <f t="shared" si="0"/>
        <v>230</v>
      </c>
      <c r="S3" s="515">
        <f t="shared" si="0"/>
        <v>58</v>
      </c>
      <c r="T3" s="515">
        <f t="shared" si="0"/>
        <v>85</v>
      </c>
      <c r="U3" s="199">
        <f t="shared" si="0"/>
        <v>177</v>
      </c>
      <c r="V3" s="515">
        <f t="shared" si="0"/>
        <v>3</v>
      </c>
      <c r="W3" s="515">
        <f t="shared" si="0"/>
        <v>29</v>
      </c>
      <c r="X3" s="515">
        <f t="shared" si="0"/>
        <v>20</v>
      </c>
      <c r="Y3" s="515">
        <f t="shared" si="0"/>
        <v>21</v>
      </c>
      <c r="Z3" s="515">
        <f t="shared" si="0"/>
        <v>12</v>
      </c>
      <c r="AA3" s="515">
        <f t="shared" si="0"/>
        <v>1</v>
      </c>
      <c r="AB3" s="515">
        <f t="shared" si="0"/>
        <v>11</v>
      </c>
      <c r="AC3" s="515">
        <f t="shared" si="0"/>
        <v>21</v>
      </c>
      <c r="AD3" s="515">
        <f t="shared" si="0"/>
        <v>5</v>
      </c>
      <c r="AE3" s="515">
        <f t="shared" si="0"/>
        <v>2</v>
      </c>
      <c r="AF3" s="515">
        <f t="shared" si="0"/>
        <v>13</v>
      </c>
      <c r="AG3" s="515">
        <f t="shared" si="0"/>
        <v>8</v>
      </c>
      <c r="AH3" s="515">
        <f t="shared" si="0"/>
        <v>15</v>
      </c>
      <c r="AI3" s="199">
        <f t="shared" si="0"/>
        <v>37</v>
      </c>
      <c r="AJ3" s="199">
        <f t="shared" si="0"/>
        <v>5</v>
      </c>
      <c r="AK3" s="199">
        <f t="shared" si="0"/>
        <v>10</v>
      </c>
      <c r="AL3" s="199">
        <f t="shared" si="0"/>
        <v>9</v>
      </c>
      <c r="AM3" s="542">
        <f t="shared" si="0"/>
        <v>9</v>
      </c>
      <c r="AN3" s="200" t="s">
        <v>1048</v>
      </c>
    </row>
    <row r="4" spans="1:40" s="206" customFormat="1" ht="30" customHeight="1">
      <c r="A4" s="275"/>
      <c r="B4" s="1009"/>
      <c r="C4" s="205" t="s">
        <v>1474</v>
      </c>
      <c r="D4" s="291" t="s">
        <v>1474</v>
      </c>
      <c r="E4" s="205" t="s">
        <v>4757</v>
      </c>
      <c r="F4" s="291" t="s">
        <v>4715</v>
      </c>
      <c r="G4" s="795">
        <f t="shared" ref="G4:G15" si="1">SUM(H4:AM4)</f>
        <v>87</v>
      </c>
      <c r="H4" s="207">
        <f t="shared" ref="H4:H34" si="2">COUNTIF(Area_v1RISHER,$C4)</f>
        <v>6</v>
      </c>
      <c r="I4" s="207">
        <f t="shared" ref="I4:I34" si="3">COUNTIF(Area_v2RISHER,$C4)</f>
        <v>9</v>
      </c>
      <c r="J4" s="207">
        <f t="shared" ref="J4:J34" si="4">COUNTIF(Area_v1RAANHER,$C4)</f>
        <v>2</v>
      </c>
      <c r="K4" s="207">
        <f t="shared" ref="K4:K34" si="5">COUNTIF(Area_v2RAANHER,$C4)</f>
        <v>6</v>
      </c>
      <c r="L4" s="207">
        <f t="shared" ref="L4:L34" si="6">COUNTIF(Area_v1HER,$C4)</f>
        <v>0</v>
      </c>
      <c r="M4" s="207">
        <f t="shared" ref="M4:M34" si="7">COUNTIF(Area_v2HER,$C4)</f>
        <v>1</v>
      </c>
      <c r="N4" s="207">
        <f t="shared" ref="N4:N34" si="8">COUNTIF(Area_v3HER,$C4)</f>
        <v>0</v>
      </c>
      <c r="O4" s="207">
        <f t="shared" ref="O4:O34" si="9">COUNTIF(Area_v4HER,$C4)</f>
        <v>3</v>
      </c>
      <c r="P4" s="207">
        <f t="shared" ref="P4:P34" si="10">COUNTIF(Area_v5HER,$C4)</f>
        <v>0</v>
      </c>
      <c r="Q4" s="207">
        <f t="shared" ref="Q4:Q34" si="11">COUNTIF(Area_v6HER,$C4)</f>
        <v>0</v>
      </c>
      <c r="R4" s="207">
        <f t="shared" ref="R4:R34" si="12">COUNTIF(Area_v1HERTSA,$C4)</f>
        <v>13</v>
      </c>
      <c r="S4" s="207">
        <f t="shared" ref="S4:S34" si="13">COUNTIF(Area_v2HERTSA,$C4)</f>
        <v>15</v>
      </c>
      <c r="T4" s="207">
        <f t="shared" ref="T4:T34" si="14">COUNTIF(Area_v3HERTSA,$C4)</f>
        <v>12</v>
      </c>
      <c r="U4" s="207">
        <f t="shared" ref="U4:U34" si="15">COUNTIF(Area_v4HERTSA,$C4)</f>
        <v>11</v>
      </c>
      <c r="V4" s="207">
        <f t="shared" ref="V4:V34" si="16">COUNTIF(Area_v5HERTSA,$C4)</f>
        <v>0</v>
      </c>
      <c r="W4" s="207">
        <f t="shared" ref="W4:W34" si="17">COUNTIF(Area_v5BBRHER,$C4)</f>
        <v>4</v>
      </c>
      <c r="X4" s="207">
        <f t="shared" ref="X4:X34" si="18">COUNTIF(Area_v1BBRTUN,$C4)</f>
        <v>1</v>
      </c>
      <c r="Y4" s="207">
        <f t="shared" ref="Y4:Y34" si="19">COUNTIF(Area_v2BBRTUN,$C4)</f>
        <v>1</v>
      </c>
      <c r="Z4" s="207">
        <f t="shared" ref="Z4:Z34" si="20">COUNTIF(Area_v51HERTSA,$C4)</f>
        <v>0</v>
      </c>
      <c r="AA4" s="207">
        <f t="shared" ref="AA4:AA34" si="21">COUNTIF(Area_v52HERTSA,$C4)</f>
        <v>0</v>
      </c>
      <c r="AB4" s="207">
        <f t="shared" ref="AB4:AB34" si="22">COUNTIF(Area_v53HERTSA,$C4)</f>
        <v>0</v>
      </c>
      <c r="AC4" s="207">
        <f t="shared" ref="AC4:AC34" si="23">COUNTIF(Area_v1TSA,$C4)</f>
        <v>2</v>
      </c>
      <c r="AD4" s="207">
        <f t="shared" ref="AD4:AD34" si="24">COUNTIF(Area_v2TSA,$C4)</f>
        <v>0</v>
      </c>
      <c r="AE4" s="207">
        <f t="shared" ref="AE4:AE34" si="25">COUNTIF(Area_v3TSA,$C4)</f>
        <v>0</v>
      </c>
      <c r="AF4" s="207">
        <f t="shared" ref="AF4:AF34" si="26">COUNTIF(Area_v4TSA,$C4)</f>
        <v>0</v>
      </c>
      <c r="AG4" s="207">
        <f t="shared" ref="AG4:AG34" si="27">COUNTIF(Area_v5TSA,$C4)</f>
        <v>0</v>
      </c>
      <c r="AH4" s="207">
        <f t="shared" ref="AH4:AH34" si="28">COUNTIF(Area_v6TSA,$C4)</f>
        <v>1</v>
      </c>
      <c r="AI4" s="207">
        <f t="shared" ref="AI4:AI34" si="29">COUNTIF(Area_v1TSATHA,$C4)</f>
        <v>0</v>
      </c>
      <c r="AJ4" s="207">
        <f t="shared" ref="AJ4:AJ34" si="30">COUNTIF(Area_v2TSATHA,$C4)</f>
        <v>0</v>
      </c>
      <c r="AK4" s="207">
        <f t="shared" ref="AK4:AK34" si="31">COUNTIF(Area_v3TSATHA,$C4)</f>
        <v>0</v>
      </c>
      <c r="AL4" s="207">
        <f t="shared" ref="AL4:AL34" si="32">COUNTIF(Area_v4THAHOLON,$C4)</f>
        <v>0</v>
      </c>
      <c r="AM4" s="208">
        <f t="shared" ref="AM4:AM34" si="33">COUNTIF(Area_v5THAHOLON,$C4)</f>
        <v>0</v>
      </c>
      <c r="AN4" s="209" t="s">
        <v>4758</v>
      </c>
    </row>
    <row r="5" spans="1:40" ht="30" customHeight="1">
      <c r="A5" s="275"/>
      <c r="B5" s="1010"/>
      <c r="C5" s="205" t="s">
        <v>1521</v>
      </c>
      <c r="D5" s="291" t="s">
        <v>1521</v>
      </c>
      <c r="E5" s="205" t="s">
        <v>4759</v>
      </c>
      <c r="F5" s="291" t="s">
        <v>4715</v>
      </c>
      <c r="G5" s="795">
        <f t="shared" si="1"/>
        <v>0</v>
      </c>
      <c r="H5" s="207">
        <f t="shared" si="2"/>
        <v>0</v>
      </c>
      <c r="I5" s="207">
        <f t="shared" si="3"/>
        <v>0</v>
      </c>
      <c r="J5" s="207">
        <f t="shared" si="4"/>
        <v>0</v>
      </c>
      <c r="K5" s="207">
        <f t="shared" si="5"/>
        <v>0</v>
      </c>
      <c r="L5" s="207">
        <f t="shared" si="6"/>
        <v>0</v>
      </c>
      <c r="M5" s="207">
        <f t="shared" si="7"/>
        <v>0</v>
      </c>
      <c r="N5" s="207">
        <f t="shared" si="8"/>
        <v>0</v>
      </c>
      <c r="O5" s="207">
        <f t="shared" si="9"/>
        <v>0</v>
      </c>
      <c r="P5" s="207">
        <f t="shared" si="10"/>
        <v>0</v>
      </c>
      <c r="Q5" s="207">
        <f t="shared" si="11"/>
        <v>0</v>
      </c>
      <c r="R5" s="207">
        <f t="shared" si="12"/>
        <v>0</v>
      </c>
      <c r="S5" s="207">
        <f t="shared" si="13"/>
        <v>0</v>
      </c>
      <c r="T5" s="207">
        <f t="shared" si="14"/>
        <v>0</v>
      </c>
      <c r="U5" s="207">
        <f t="shared" si="15"/>
        <v>0</v>
      </c>
      <c r="V5" s="207">
        <f t="shared" si="16"/>
        <v>0</v>
      </c>
      <c r="W5" s="207">
        <f t="shared" si="17"/>
        <v>0</v>
      </c>
      <c r="X5" s="207">
        <f t="shared" si="18"/>
        <v>0</v>
      </c>
      <c r="Y5" s="207">
        <f t="shared" si="19"/>
        <v>0</v>
      </c>
      <c r="Z5" s="207">
        <f t="shared" si="20"/>
        <v>0</v>
      </c>
      <c r="AA5" s="207">
        <f t="shared" si="21"/>
        <v>0</v>
      </c>
      <c r="AB5" s="207">
        <f t="shared" si="22"/>
        <v>0</v>
      </c>
      <c r="AC5" s="207">
        <f t="shared" si="23"/>
        <v>0</v>
      </c>
      <c r="AD5" s="207">
        <f t="shared" si="24"/>
        <v>0</v>
      </c>
      <c r="AE5" s="207">
        <f t="shared" si="25"/>
        <v>0</v>
      </c>
      <c r="AF5" s="207">
        <f t="shared" si="26"/>
        <v>0</v>
      </c>
      <c r="AG5" s="207">
        <f t="shared" si="27"/>
        <v>0</v>
      </c>
      <c r="AH5" s="207">
        <f t="shared" si="28"/>
        <v>0</v>
      </c>
      <c r="AI5" s="207">
        <f t="shared" si="29"/>
        <v>0</v>
      </c>
      <c r="AJ5" s="207">
        <f t="shared" si="30"/>
        <v>0</v>
      </c>
      <c r="AK5" s="207">
        <f t="shared" si="31"/>
        <v>0</v>
      </c>
      <c r="AL5" s="207">
        <f t="shared" si="32"/>
        <v>0</v>
      </c>
      <c r="AM5" s="208">
        <f t="shared" si="33"/>
        <v>0</v>
      </c>
      <c r="AN5" s="209" t="s">
        <v>4760</v>
      </c>
    </row>
    <row r="6" spans="1:40" ht="30" customHeight="1">
      <c r="A6" s="274"/>
      <c r="B6" s="1011"/>
      <c r="C6" s="205" t="s">
        <v>1475</v>
      </c>
      <c r="D6" s="291" t="s">
        <v>1475</v>
      </c>
      <c r="E6" s="205" t="s">
        <v>4761</v>
      </c>
      <c r="F6" s="291" t="s">
        <v>4715</v>
      </c>
      <c r="G6" s="795">
        <f t="shared" si="1"/>
        <v>227</v>
      </c>
      <c r="H6" s="207">
        <f t="shared" si="2"/>
        <v>41</v>
      </c>
      <c r="I6" s="207">
        <f t="shared" si="3"/>
        <v>38</v>
      </c>
      <c r="J6" s="207">
        <f t="shared" si="4"/>
        <v>20</v>
      </c>
      <c r="K6" s="207">
        <f t="shared" si="5"/>
        <v>11</v>
      </c>
      <c r="L6" s="207">
        <f t="shared" si="6"/>
        <v>4</v>
      </c>
      <c r="M6" s="207">
        <f t="shared" si="7"/>
        <v>4</v>
      </c>
      <c r="N6" s="207">
        <f t="shared" si="8"/>
        <v>2</v>
      </c>
      <c r="O6" s="207">
        <f t="shared" si="9"/>
        <v>3</v>
      </c>
      <c r="P6" s="207">
        <f t="shared" si="10"/>
        <v>1</v>
      </c>
      <c r="Q6" s="207">
        <f t="shared" si="11"/>
        <v>5</v>
      </c>
      <c r="R6" s="207">
        <f t="shared" si="12"/>
        <v>16</v>
      </c>
      <c r="S6" s="207">
        <f t="shared" si="13"/>
        <v>13</v>
      </c>
      <c r="T6" s="207">
        <f t="shared" si="14"/>
        <v>13</v>
      </c>
      <c r="U6" s="207">
        <f t="shared" si="15"/>
        <v>27</v>
      </c>
      <c r="V6" s="207">
        <f t="shared" si="16"/>
        <v>0</v>
      </c>
      <c r="W6" s="207">
        <f t="shared" si="17"/>
        <v>4</v>
      </c>
      <c r="X6" s="207">
        <f t="shared" si="18"/>
        <v>6</v>
      </c>
      <c r="Y6" s="207">
        <f t="shared" si="19"/>
        <v>4</v>
      </c>
      <c r="Z6" s="207">
        <f t="shared" si="20"/>
        <v>1</v>
      </c>
      <c r="AA6" s="207">
        <f t="shared" si="21"/>
        <v>0</v>
      </c>
      <c r="AB6" s="207">
        <f t="shared" si="22"/>
        <v>0</v>
      </c>
      <c r="AC6" s="207">
        <f t="shared" si="23"/>
        <v>4</v>
      </c>
      <c r="AD6" s="207">
        <f t="shared" si="24"/>
        <v>1</v>
      </c>
      <c r="AE6" s="207">
        <f t="shared" si="25"/>
        <v>0</v>
      </c>
      <c r="AF6" s="207">
        <f t="shared" si="26"/>
        <v>1</v>
      </c>
      <c r="AG6" s="207">
        <f t="shared" si="27"/>
        <v>2</v>
      </c>
      <c r="AH6" s="207">
        <f t="shared" si="28"/>
        <v>4</v>
      </c>
      <c r="AI6" s="207">
        <f t="shared" si="29"/>
        <v>1</v>
      </c>
      <c r="AJ6" s="207">
        <f t="shared" si="30"/>
        <v>1</v>
      </c>
      <c r="AK6" s="207">
        <f t="shared" si="31"/>
        <v>0</v>
      </c>
      <c r="AL6" s="207">
        <f t="shared" si="32"/>
        <v>0</v>
      </c>
      <c r="AM6" s="208">
        <f t="shared" si="33"/>
        <v>0</v>
      </c>
      <c r="AN6" s="209" t="s">
        <v>4762</v>
      </c>
    </row>
    <row r="7" spans="1:40" ht="30" customHeight="1">
      <c r="A7" s="274"/>
      <c r="B7" s="1011"/>
      <c r="C7" s="205" t="s">
        <v>1520</v>
      </c>
      <c r="D7" s="291" t="s">
        <v>1520</v>
      </c>
      <c r="E7" s="205" t="s">
        <v>4763</v>
      </c>
      <c r="F7" s="291" t="s">
        <v>4715</v>
      </c>
      <c r="G7" s="795">
        <f t="shared" si="1"/>
        <v>7</v>
      </c>
      <c r="H7" s="207">
        <f t="shared" si="2"/>
        <v>0</v>
      </c>
      <c r="I7" s="207">
        <f t="shared" si="3"/>
        <v>0</v>
      </c>
      <c r="J7" s="207">
        <f t="shared" si="4"/>
        <v>0</v>
      </c>
      <c r="K7" s="207">
        <f t="shared" si="5"/>
        <v>0</v>
      </c>
      <c r="L7" s="207">
        <f t="shared" si="6"/>
        <v>0</v>
      </c>
      <c r="M7" s="207">
        <f t="shared" si="7"/>
        <v>0</v>
      </c>
      <c r="N7" s="207">
        <f t="shared" si="8"/>
        <v>0</v>
      </c>
      <c r="O7" s="207">
        <f t="shared" si="9"/>
        <v>0</v>
      </c>
      <c r="P7" s="207">
        <f t="shared" si="10"/>
        <v>0</v>
      </c>
      <c r="Q7" s="207">
        <f t="shared" si="11"/>
        <v>0</v>
      </c>
      <c r="R7" s="207">
        <f t="shared" si="12"/>
        <v>0</v>
      </c>
      <c r="S7" s="207">
        <f t="shared" si="13"/>
        <v>0</v>
      </c>
      <c r="T7" s="207">
        <f t="shared" si="14"/>
        <v>0</v>
      </c>
      <c r="U7" s="207">
        <f t="shared" si="15"/>
        <v>0</v>
      </c>
      <c r="V7" s="207">
        <f t="shared" si="16"/>
        <v>0</v>
      </c>
      <c r="W7" s="207">
        <f t="shared" si="17"/>
        <v>7</v>
      </c>
      <c r="X7" s="207">
        <f t="shared" si="18"/>
        <v>0</v>
      </c>
      <c r="Y7" s="207">
        <f t="shared" si="19"/>
        <v>0</v>
      </c>
      <c r="Z7" s="207">
        <f t="shared" si="20"/>
        <v>0</v>
      </c>
      <c r="AA7" s="207">
        <f t="shared" si="21"/>
        <v>0</v>
      </c>
      <c r="AB7" s="207">
        <f t="shared" si="22"/>
        <v>0</v>
      </c>
      <c r="AC7" s="207">
        <f t="shared" si="23"/>
        <v>0</v>
      </c>
      <c r="AD7" s="207">
        <f t="shared" si="24"/>
        <v>0</v>
      </c>
      <c r="AE7" s="207">
        <f t="shared" si="25"/>
        <v>0</v>
      </c>
      <c r="AF7" s="207">
        <f t="shared" si="26"/>
        <v>0</v>
      </c>
      <c r="AG7" s="207">
        <f t="shared" si="27"/>
        <v>0</v>
      </c>
      <c r="AH7" s="207">
        <f t="shared" si="28"/>
        <v>0</v>
      </c>
      <c r="AI7" s="207">
        <f t="shared" si="29"/>
        <v>0</v>
      </c>
      <c r="AJ7" s="207">
        <f t="shared" si="30"/>
        <v>0</v>
      </c>
      <c r="AK7" s="207">
        <f t="shared" si="31"/>
        <v>0</v>
      </c>
      <c r="AL7" s="207">
        <f t="shared" si="32"/>
        <v>0</v>
      </c>
      <c r="AM7" s="208">
        <f t="shared" si="33"/>
        <v>0</v>
      </c>
      <c r="AN7" s="209" t="s">
        <v>4764</v>
      </c>
    </row>
    <row r="8" spans="1:40" ht="30" customHeight="1">
      <c r="A8" s="275"/>
      <c r="B8" s="1010"/>
      <c r="C8" s="205" t="s">
        <v>1477</v>
      </c>
      <c r="D8" s="291" t="s">
        <v>1477</v>
      </c>
      <c r="E8" s="205" t="s">
        <v>4765</v>
      </c>
      <c r="F8" s="291" t="s">
        <v>4715</v>
      </c>
      <c r="G8" s="795">
        <f t="shared" si="1"/>
        <v>53</v>
      </c>
      <c r="H8" s="207">
        <f t="shared" si="2"/>
        <v>1</v>
      </c>
      <c r="I8" s="207">
        <f t="shared" si="3"/>
        <v>1</v>
      </c>
      <c r="J8" s="207">
        <f t="shared" si="4"/>
        <v>10</v>
      </c>
      <c r="K8" s="207">
        <f t="shared" si="5"/>
        <v>11</v>
      </c>
      <c r="L8" s="207">
        <f t="shared" si="6"/>
        <v>1</v>
      </c>
      <c r="M8" s="207">
        <f t="shared" si="7"/>
        <v>0</v>
      </c>
      <c r="N8" s="207">
        <f t="shared" si="8"/>
        <v>0</v>
      </c>
      <c r="O8" s="207">
        <f t="shared" si="9"/>
        <v>3</v>
      </c>
      <c r="P8" s="207">
        <f t="shared" si="10"/>
        <v>0</v>
      </c>
      <c r="Q8" s="207">
        <f t="shared" si="11"/>
        <v>2</v>
      </c>
      <c r="R8" s="207">
        <f t="shared" si="12"/>
        <v>7</v>
      </c>
      <c r="S8" s="207">
        <f t="shared" si="13"/>
        <v>2</v>
      </c>
      <c r="T8" s="207">
        <f t="shared" si="14"/>
        <v>1</v>
      </c>
      <c r="U8" s="207">
        <f t="shared" si="15"/>
        <v>4</v>
      </c>
      <c r="V8" s="207">
        <f t="shared" si="16"/>
        <v>0</v>
      </c>
      <c r="W8" s="207">
        <f t="shared" si="17"/>
        <v>0</v>
      </c>
      <c r="X8" s="207">
        <f t="shared" si="18"/>
        <v>0</v>
      </c>
      <c r="Y8" s="207">
        <f t="shared" si="19"/>
        <v>1</v>
      </c>
      <c r="Z8" s="207">
        <f t="shared" si="20"/>
        <v>0</v>
      </c>
      <c r="AA8" s="207">
        <f t="shared" si="21"/>
        <v>0</v>
      </c>
      <c r="AB8" s="207">
        <f t="shared" si="22"/>
        <v>0</v>
      </c>
      <c r="AC8" s="207">
        <f t="shared" si="23"/>
        <v>0</v>
      </c>
      <c r="AD8" s="207">
        <f t="shared" si="24"/>
        <v>0</v>
      </c>
      <c r="AE8" s="207">
        <f t="shared" si="25"/>
        <v>0</v>
      </c>
      <c r="AF8" s="207">
        <f t="shared" si="26"/>
        <v>1</v>
      </c>
      <c r="AG8" s="207">
        <f t="shared" si="27"/>
        <v>0</v>
      </c>
      <c r="AH8" s="207">
        <f t="shared" si="28"/>
        <v>0</v>
      </c>
      <c r="AI8" s="207">
        <f t="shared" si="29"/>
        <v>7</v>
      </c>
      <c r="AJ8" s="207">
        <f t="shared" si="30"/>
        <v>0</v>
      </c>
      <c r="AK8" s="207">
        <f t="shared" si="31"/>
        <v>1</v>
      </c>
      <c r="AL8" s="207">
        <f t="shared" si="32"/>
        <v>0</v>
      </c>
      <c r="AM8" s="208">
        <f t="shared" si="33"/>
        <v>0</v>
      </c>
      <c r="AN8" s="209" t="s">
        <v>4766</v>
      </c>
    </row>
    <row r="9" spans="1:40" ht="30" customHeight="1">
      <c r="A9" s="275"/>
      <c r="B9" s="1010"/>
      <c r="C9" s="205" t="s">
        <v>1522</v>
      </c>
      <c r="D9" s="291" t="s">
        <v>1522</v>
      </c>
      <c r="E9" s="205" t="s">
        <v>4767</v>
      </c>
      <c r="F9" s="291" t="s">
        <v>4715</v>
      </c>
      <c r="G9" s="795">
        <f t="shared" si="1"/>
        <v>1</v>
      </c>
      <c r="H9" s="207">
        <f t="shared" si="2"/>
        <v>0</v>
      </c>
      <c r="I9" s="207">
        <f t="shared" si="3"/>
        <v>0</v>
      </c>
      <c r="J9" s="207">
        <f t="shared" si="4"/>
        <v>0</v>
      </c>
      <c r="K9" s="207">
        <f t="shared" si="5"/>
        <v>0</v>
      </c>
      <c r="L9" s="207">
        <f t="shared" si="6"/>
        <v>0</v>
      </c>
      <c r="M9" s="207">
        <f t="shared" si="7"/>
        <v>0</v>
      </c>
      <c r="N9" s="207">
        <f t="shared" si="8"/>
        <v>0</v>
      </c>
      <c r="O9" s="207">
        <f t="shared" si="9"/>
        <v>0</v>
      </c>
      <c r="P9" s="207">
        <f t="shared" si="10"/>
        <v>0</v>
      </c>
      <c r="Q9" s="207">
        <f t="shared" si="11"/>
        <v>0</v>
      </c>
      <c r="R9" s="207">
        <f t="shared" si="12"/>
        <v>0</v>
      </c>
      <c r="S9" s="207">
        <f t="shared" si="13"/>
        <v>0</v>
      </c>
      <c r="T9" s="207">
        <f t="shared" si="14"/>
        <v>0</v>
      </c>
      <c r="U9" s="207">
        <f t="shared" si="15"/>
        <v>0</v>
      </c>
      <c r="V9" s="207">
        <f t="shared" si="16"/>
        <v>0</v>
      </c>
      <c r="W9" s="207">
        <f t="shared" si="17"/>
        <v>0</v>
      </c>
      <c r="X9" s="207">
        <f t="shared" si="18"/>
        <v>1</v>
      </c>
      <c r="Y9" s="207">
        <f t="shared" si="19"/>
        <v>0</v>
      </c>
      <c r="Z9" s="207">
        <f t="shared" si="20"/>
        <v>0</v>
      </c>
      <c r="AA9" s="207">
        <f t="shared" si="21"/>
        <v>0</v>
      </c>
      <c r="AB9" s="207">
        <f t="shared" si="22"/>
        <v>0</v>
      </c>
      <c r="AC9" s="207">
        <f t="shared" si="23"/>
        <v>0</v>
      </c>
      <c r="AD9" s="207">
        <f t="shared" si="24"/>
        <v>0</v>
      </c>
      <c r="AE9" s="207">
        <f t="shared" si="25"/>
        <v>0</v>
      </c>
      <c r="AF9" s="207">
        <f t="shared" si="26"/>
        <v>0</v>
      </c>
      <c r="AG9" s="207">
        <f t="shared" si="27"/>
        <v>0</v>
      </c>
      <c r="AH9" s="207">
        <f t="shared" si="28"/>
        <v>0</v>
      </c>
      <c r="AI9" s="207">
        <f t="shared" si="29"/>
        <v>0</v>
      </c>
      <c r="AJ9" s="207">
        <f t="shared" si="30"/>
        <v>0</v>
      </c>
      <c r="AK9" s="207">
        <f t="shared" si="31"/>
        <v>0</v>
      </c>
      <c r="AL9" s="207">
        <f t="shared" si="32"/>
        <v>0</v>
      </c>
      <c r="AM9" s="208">
        <f t="shared" si="33"/>
        <v>0</v>
      </c>
      <c r="AN9" s="209" t="s">
        <v>4768</v>
      </c>
    </row>
    <row r="10" spans="1:40" ht="30" customHeight="1">
      <c r="A10" s="274"/>
      <c r="B10" s="827"/>
      <c r="C10" s="205" t="s">
        <v>1476</v>
      </c>
      <c r="D10" s="291" t="s">
        <v>1476</v>
      </c>
      <c r="E10" s="205" t="s">
        <v>4769</v>
      </c>
      <c r="F10" s="291" t="s">
        <v>4715</v>
      </c>
      <c r="G10" s="795">
        <f t="shared" si="1"/>
        <v>131</v>
      </c>
      <c r="H10" s="207">
        <f t="shared" ref="H10:H15" si="34">COUNTIF(Area_v1RISHER,$C10)</f>
        <v>1</v>
      </c>
      <c r="I10" s="207">
        <f t="shared" ref="I10:I15" si="35">COUNTIF(Area_v2RISHER,$C10)</f>
        <v>1</v>
      </c>
      <c r="J10" s="207">
        <f t="shared" ref="J10:J15" si="36">COUNTIF(Area_v1RAANHER,$C10)</f>
        <v>2</v>
      </c>
      <c r="K10" s="207">
        <f t="shared" ref="K10:K15" si="37">COUNTIF(Area_v2RAANHER,$C10)</f>
        <v>2</v>
      </c>
      <c r="L10" s="207">
        <f t="shared" ref="L10:L15" si="38">COUNTIF(Area_v1HER,$C10)</f>
        <v>0</v>
      </c>
      <c r="M10" s="207">
        <f t="shared" ref="M10:M15" si="39">COUNTIF(Area_v2HER,$C10)</f>
        <v>1</v>
      </c>
      <c r="N10" s="207">
        <f t="shared" ref="N10:N15" si="40">COUNTIF(Area_v3HER,$C10)</f>
        <v>0</v>
      </c>
      <c r="O10" s="207">
        <f t="shared" ref="O10:O15" si="41">COUNTIF(Area_v4HER,$C10)</f>
        <v>5</v>
      </c>
      <c r="P10" s="207">
        <f t="shared" ref="P10:P15" si="42">COUNTIF(Area_v5HER,$C10)</f>
        <v>0</v>
      </c>
      <c r="Q10" s="207">
        <f t="shared" ref="Q10:Q15" si="43">COUNTIF(Area_v6HER,$C10)</f>
        <v>10</v>
      </c>
      <c r="R10" s="207">
        <f t="shared" ref="R10:R15" si="44">COUNTIF(Area_v1HERTSA,$C10)</f>
        <v>40</v>
      </c>
      <c r="S10" s="207">
        <f t="shared" ref="S10:S15" si="45">COUNTIF(Area_v2HERTSA,$C10)</f>
        <v>4</v>
      </c>
      <c r="T10" s="207">
        <f t="shared" ref="T10:T15" si="46">COUNTIF(Area_v3HERTSA,$C10)</f>
        <v>27</v>
      </c>
      <c r="U10" s="207">
        <f t="shared" ref="U10:U15" si="47">COUNTIF(Area_v4HERTSA,$C10)</f>
        <v>15</v>
      </c>
      <c r="V10" s="207">
        <f t="shared" ref="V10:V15" si="48">COUNTIF(Area_v5HERTSA,$C10)</f>
        <v>0</v>
      </c>
      <c r="W10" s="207">
        <f t="shared" ref="W10:W15" si="49">COUNTIF(Area_v5BBRHER,$C10)</f>
        <v>0</v>
      </c>
      <c r="X10" s="207">
        <f t="shared" ref="X10:X15" si="50">COUNTIF(Area_v1BBRTUN,$C10)</f>
        <v>0</v>
      </c>
      <c r="Y10" s="207">
        <f t="shared" ref="Y10:Y15" si="51">COUNTIF(Area_v2BBRTUN,$C10)</f>
        <v>0</v>
      </c>
      <c r="Z10" s="207">
        <f t="shared" ref="Z10:Z15" si="52">COUNTIF(Area_v51HERTSA,$C10)</f>
        <v>0</v>
      </c>
      <c r="AA10" s="207">
        <f t="shared" ref="AA10:AA15" si="53">COUNTIF(Area_v52HERTSA,$C10)</f>
        <v>0</v>
      </c>
      <c r="AB10" s="207">
        <f t="shared" ref="AB10:AB15" si="54">COUNTIF(Area_v53HERTSA,$C10)</f>
        <v>0</v>
      </c>
      <c r="AC10" s="207">
        <f t="shared" ref="AC10:AC15" si="55">COUNTIF(Area_v1TSA,$C10)</f>
        <v>2</v>
      </c>
      <c r="AD10" s="207">
        <f t="shared" ref="AD10:AD15" si="56">COUNTIF(Area_v2TSA,$C10)</f>
        <v>0</v>
      </c>
      <c r="AE10" s="207">
        <f t="shared" ref="AE10:AE15" si="57">COUNTIF(Area_v3TSA,$C10)</f>
        <v>0</v>
      </c>
      <c r="AF10" s="207">
        <f t="shared" ref="AF10:AF15" si="58">COUNTIF(Area_v4TSA,$C10)</f>
        <v>3</v>
      </c>
      <c r="AG10" s="207">
        <f t="shared" ref="AG10:AG15" si="59">COUNTIF(Area_v5TSA,$C10)</f>
        <v>0</v>
      </c>
      <c r="AH10" s="207">
        <f t="shared" ref="AH10:AH15" si="60">COUNTIF(Area_v6TSA,$C10)</f>
        <v>1</v>
      </c>
      <c r="AI10" s="207">
        <f t="shared" ref="AI10:AI15" si="61">COUNTIF(Area_v1TSATHA,$C10)</f>
        <v>15</v>
      </c>
      <c r="AJ10" s="207">
        <f t="shared" ref="AJ10:AJ15" si="62">COUNTIF(Area_v2TSATHA,$C10)</f>
        <v>0</v>
      </c>
      <c r="AK10" s="207">
        <f t="shared" ref="AK10:AK15" si="63">COUNTIF(Area_v3TSATHA,$C10)</f>
        <v>2</v>
      </c>
      <c r="AL10" s="207">
        <f t="shared" ref="AL10:AL15" si="64">COUNTIF(Area_v4THAHOLON,$C10)</f>
        <v>0</v>
      </c>
      <c r="AM10" s="208">
        <f t="shared" ref="AM10:AM15" si="65">COUNTIF(Area_v5THAHOLON,$C10)</f>
        <v>0</v>
      </c>
      <c r="AN10" s="209" t="s">
        <v>4741</v>
      </c>
    </row>
    <row r="11" spans="1:40" ht="30" customHeight="1">
      <c r="A11" s="276"/>
      <c r="B11" s="1012"/>
      <c r="C11" s="205" t="s">
        <v>1524</v>
      </c>
      <c r="D11" s="291" t="s">
        <v>1524</v>
      </c>
      <c r="E11" s="205" t="s">
        <v>4770</v>
      </c>
      <c r="F11" s="291" t="s">
        <v>4715</v>
      </c>
      <c r="G11" s="795">
        <f t="shared" si="1"/>
        <v>0</v>
      </c>
      <c r="H11" s="207">
        <f t="shared" si="34"/>
        <v>0</v>
      </c>
      <c r="I11" s="207">
        <f t="shared" si="35"/>
        <v>0</v>
      </c>
      <c r="J11" s="207">
        <f t="shared" si="36"/>
        <v>0</v>
      </c>
      <c r="K11" s="207">
        <f t="shared" si="37"/>
        <v>0</v>
      </c>
      <c r="L11" s="207">
        <f t="shared" si="38"/>
        <v>0</v>
      </c>
      <c r="M11" s="207">
        <f t="shared" si="39"/>
        <v>0</v>
      </c>
      <c r="N11" s="207">
        <f t="shared" si="40"/>
        <v>0</v>
      </c>
      <c r="O11" s="207">
        <f t="shared" si="41"/>
        <v>0</v>
      </c>
      <c r="P11" s="207">
        <f t="shared" si="42"/>
        <v>0</v>
      </c>
      <c r="Q11" s="207">
        <f t="shared" si="43"/>
        <v>0</v>
      </c>
      <c r="R11" s="207">
        <f t="shared" si="44"/>
        <v>0</v>
      </c>
      <c r="S11" s="207">
        <f t="shared" si="45"/>
        <v>0</v>
      </c>
      <c r="T11" s="207">
        <f t="shared" si="46"/>
        <v>0</v>
      </c>
      <c r="U11" s="207">
        <f t="shared" si="47"/>
        <v>0</v>
      </c>
      <c r="V11" s="207">
        <f t="shared" si="48"/>
        <v>0</v>
      </c>
      <c r="W11" s="207">
        <f t="shared" si="49"/>
        <v>0</v>
      </c>
      <c r="X11" s="207">
        <f t="shared" si="50"/>
        <v>0</v>
      </c>
      <c r="Y11" s="207">
        <f t="shared" si="51"/>
        <v>0</v>
      </c>
      <c r="Z11" s="207">
        <f t="shared" si="52"/>
        <v>0</v>
      </c>
      <c r="AA11" s="207">
        <f t="shared" si="53"/>
        <v>0</v>
      </c>
      <c r="AB11" s="207">
        <f t="shared" si="54"/>
        <v>0</v>
      </c>
      <c r="AC11" s="207">
        <f t="shared" si="55"/>
        <v>0</v>
      </c>
      <c r="AD11" s="207">
        <f t="shared" si="56"/>
        <v>0</v>
      </c>
      <c r="AE11" s="207">
        <f t="shared" si="57"/>
        <v>0</v>
      </c>
      <c r="AF11" s="207">
        <f t="shared" si="58"/>
        <v>0</v>
      </c>
      <c r="AG11" s="207">
        <f t="shared" si="59"/>
        <v>0</v>
      </c>
      <c r="AH11" s="207">
        <f t="shared" si="60"/>
        <v>0</v>
      </c>
      <c r="AI11" s="207">
        <f t="shared" si="61"/>
        <v>0</v>
      </c>
      <c r="AJ11" s="207">
        <f t="shared" si="62"/>
        <v>0</v>
      </c>
      <c r="AK11" s="207">
        <f t="shared" si="63"/>
        <v>0</v>
      </c>
      <c r="AL11" s="207">
        <f t="shared" si="64"/>
        <v>0</v>
      </c>
      <c r="AM11" s="208">
        <f t="shared" si="65"/>
        <v>0</v>
      </c>
      <c r="AN11" s="209" t="s">
        <v>4742</v>
      </c>
    </row>
    <row r="12" spans="1:40" ht="30" customHeight="1">
      <c r="A12" s="274"/>
      <c r="B12" s="274"/>
      <c r="C12" s="205" t="s">
        <v>2869</v>
      </c>
      <c r="D12" s="291" t="s">
        <v>2869</v>
      </c>
      <c r="E12" s="205" t="s">
        <v>4771</v>
      </c>
      <c r="F12" s="291" t="s">
        <v>4716</v>
      </c>
      <c r="G12" s="795">
        <f t="shared" si="1"/>
        <v>15</v>
      </c>
      <c r="H12" s="207">
        <f t="shared" si="34"/>
        <v>0</v>
      </c>
      <c r="I12" s="207">
        <f t="shared" si="35"/>
        <v>0</v>
      </c>
      <c r="J12" s="207">
        <f t="shared" si="36"/>
        <v>0</v>
      </c>
      <c r="K12" s="207">
        <f t="shared" si="37"/>
        <v>0</v>
      </c>
      <c r="L12" s="207">
        <f t="shared" si="38"/>
        <v>0</v>
      </c>
      <c r="M12" s="207">
        <f t="shared" si="39"/>
        <v>0</v>
      </c>
      <c r="N12" s="207">
        <f t="shared" si="40"/>
        <v>0</v>
      </c>
      <c r="O12" s="207">
        <f t="shared" si="41"/>
        <v>0</v>
      </c>
      <c r="P12" s="207">
        <f t="shared" si="42"/>
        <v>0</v>
      </c>
      <c r="Q12" s="207">
        <f t="shared" si="43"/>
        <v>0</v>
      </c>
      <c r="R12" s="207">
        <f t="shared" si="44"/>
        <v>3</v>
      </c>
      <c r="S12" s="207">
        <f t="shared" si="45"/>
        <v>0</v>
      </c>
      <c r="T12" s="207">
        <f t="shared" si="46"/>
        <v>0</v>
      </c>
      <c r="U12" s="207">
        <f t="shared" si="47"/>
        <v>0</v>
      </c>
      <c r="V12" s="207">
        <f t="shared" si="48"/>
        <v>0</v>
      </c>
      <c r="W12" s="207">
        <f t="shared" si="49"/>
        <v>1</v>
      </c>
      <c r="X12" s="207">
        <f t="shared" si="50"/>
        <v>0</v>
      </c>
      <c r="Y12" s="207">
        <f t="shared" si="51"/>
        <v>0</v>
      </c>
      <c r="Z12" s="207">
        <f t="shared" si="52"/>
        <v>3</v>
      </c>
      <c r="AA12" s="207">
        <f t="shared" si="53"/>
        <v>0</v>
      </c>
      <c r="AB12" s="207">
        <f t="shared" si="54"/>
        <v>0</v>
      </c>
      <c r="AC12" s="207">
        <f t="shared" si="55"/>
        <v>1</v>
      </c>
      <c r="AD12" s="207">
        <f t="shared" si="56"/>
        <v>1</v>
      </c>
      <c r="AE12" s="207">
        <f t="shared" si="57"/>
        <v>0</v>
      </c>
      <c r="AF12" s="207">
        <f t="shared" si="58"/>
        <v>0</v>
      </c>
      <c r="AG12" s="207">
        <f t="shared" si="59"/>
        <v>1</v>
      </c>
      <c r="AH12" s="207">
        <f t="shared" si="60"/>
        <v>0</v>
      </c>
      <c r="AI12" s="207">
        <f t="shared" si="61"/>
        <v>2</v>
      </c>
      <c r="AJ12" s="207">
        <f t="shared" si="62"/>
        <v>0</v>
      </c>
      <c r="AK12" s="207">
        <f t="shared" si="63"/>
        <v>3</v>
      </c>
      <c r="AL12" s="207">
        <f t="shared" si="64"/>
        <v>0</v>
      </c>
      <c r="AM12" s="208">
        <f t="shared" si="65"/>
        <v>0</v>
      </c>
      <c r="AN12" s="209" t="s">
        <v>4772</v>
      </c>
    </row>
    <row r="13" spans="1:40" ht="30" customHeight="1">
      <c r="A13" s="274"/>
      <c r="B13" s="274"/>
      <c r="C13" s="205" t="s">
        <v>2870</v>
      </c>
      <c r="D13" s="291" t="s">
        <v>2870</v>
      </c>
      <c r="E13" s="205" t="s">
        <v>4773</v>
      </c>
      <c r="F13" s="291" t="s">
        <v>4716</v>
      </c>
      <c r="G13" s="795">
        <f t="shared" si="1"/>
        <v>0</v>
      </c>
      <c r="H13" s="207">
        <f t="shared" si="34"/>
        <v>0</v>
      </c>
      <c r="I13" s="207">
        <f t="shared" si="35"/>
        <v>0</v>
      </c>
      <c r="J13" s="207">
        <f t="shared" si="36"/>
        <v>0</v>
      </c>
      <c r="K13" s="207">
        <f t="shared" si="37"/>
        <v>0</v>
      </c>
      <c r="L13" s="207">
        <f t="shared" si="38"/>
        <v>0</v>
      </c>
      <c r="M13" s="207">
        <f t="shared" si="39"/>
        <v>0</v>
      </c>
      <c r="N13" s="207">
        <f t="shared" si="40"/>
        <v>0</v>
      </c>
      <c r="O13" s="207">
        <f t="shared" si="41"/>
        <v>0</v>
      </c>
      <c r="P13" s="207">
        <f t="shared" si="42"/>
        <v>0</v>
      </c>
      <c r="Q13" s="207">
        <f t="shared" si="43"/>
        <v>0</v>
      </c>
      <c r="R13" s="207">
        <f t="shared" si="44"/>
        <v>0</v>
      </c>
      <c r="S13" s="207">
        <f t="shared" si="45"/>
        <v>0</v>
      </c>
      <c r="T13" s="207">
        <f t="shared" si="46"/>
        <v>0</v>
      </c>
      <c r="U13" s="207">
        <f t="shared" si="47"/>
        <v>0</v>
      </c>
      <c r="V13" s="207">
        <f t="shared" si="48"/>
        <v>0</v>
      </c>
      <c r="W13" s="207">
        <f t="shared" si="49"/>
        <v>0</v>
      </c>
      <c r="X13" s="207">
        <f t="shared" si="50"/>
        <v>0</v>
      </c>
      <c r="Y13" s="207">
        <f t="shared" si="51"/>
        <v>0</v>
      </c>
      <c r="Z13" s="207">
        <f t="shared" si="52"/>
        <v>0</v>
      </c>
      <c r="AA13" s="207">
        <f t="shared" si="53"/>
        <v>0</v>
      </c>
      <c r="AB13" s="207">
        <f t="shared" si="54"/>
        <v>0</v>
      </c>
      <c r="AC13" s="207">
        <f t="shared" si="55"/>
        <v>0</v>
      </c>
      <c r="AD13" s="207">
        <f t="shared" si="56"/>
        <v>0</v>
      </c>
      <c r="AE13" s="207">
        <f t="shared" si="57"/>
        <v>0</v>
      </c>
      <c r="AF13" s="207">
        <f t="shared" si="58"/>
        <v>0</v>
      </c>
      <c r="AG13" s="207">
        <f t="shared" si="59"/>
        <v>0</v>
      </c>
      <c r="AH13" s="207">
        <f t="shared" si="60"/>
        <v>0</v>
      </c>
      <c r="AI13" s="207">
        <f t="shared" si="61"/>
        <v>0</v>
      </c>
      <c r="AJ13" s="207">
        <f t="shared" si="62"/>
        <v>0</v>
      </c>
      <c r="AK13" s="207">
        <f t="shared" si="63"/>
        <v>0</v>
      </c>
      <c r="AL13" s="207">
        <f t="shared" si="64"/>
        <v>0</v>
      </c>
      <c r="AM13" s="208">
        <f t="shared" si="65"/>
        <v>0</v>
      </c>
      <c r="AN13" s="209" t="s">
        <v>4774</v>
      </c>
    </row>
    <row r="14" spans="1:40" ht="30" customHeight="1">
      <c r="A14" s="274"/>
      <c r="B14" s="274"/>
      <c r="C14" s="205" t="s">
        <v>2871</v>
      </c>
      <c r="D14" s="291" t="s">
        <v>2871</v>
      </c>
      <c r="E14" s="205" t="s">
        <v>4775</v>
      </c>
      <c r="F14" s="291" t="s">
        <v>4710</v>
      </c>
      <c r="G14" s="795">
        <f t="shared" si="1"/>
        <v>24</v>
      </c>
      <c r="H14" s="207">
        <f t="shared" si="34"/>
        <v>7</v>
      </c>
      <c r="I14" s="207">
        <f t="shared" si="35"/>
        <v>7</v>
      </c>
      <c r="J14" s="207">
        <f t="shared" si="36"/>
        <v>1</v>
      </c>
      <c r="K14" s="207">
        <f t="shared" si="37"/>
        <v>1</v>
      </c>
      <c r="L14" s="207">
        <f t="shared" si="38"/>
        <v>0</v>
      </c>
      <c r="M14" s="207">
        <f t="shared" si="39"/>
        <v>0</v>
      </c>
      <c r="N14" s="207">
        <f t="shared" si="40"/>
        <v>0</v>
      </c>
      <c r="O14" s="207">
        <f t="shared" si="41"/>
        <v>0</v>
      </c>
      <c r="P14" s="207">
        <f t="shared" si="42"/>
        <v>0</v>
      </c>
      <c r="Q14" s="207">
        <f t="shared" si="43"/>
        <v>1</v>
      </c>
      <c r="R14" s="207">
        <f t="shared" si="44"/>
        <v>1</v>
      </c>
      <c r="S14" s="207">
        <f t="shared" si="45"/>
        <v>1</v>
      </c>
      <c r="T14" s="207">
        <f t="shared" si="46"/>
        <v>0</v>
      </c>
      <c r="U14" s="207">
        <f t="shared" si="47"/>
        <v>4</v>
      </c>
      <c r="V14" s="207">
        <f t="shared" si="48"/>
        <v>0</v>
      </c>
      <c r="W14" s="207">
        <f t="shared" si="49"/>
        <v>0</v>
      </c>
      <c r="X14" s="207">
        <f t="shared" si="50"/>
        <v>0</v>
      </c>
      <c r="Y14" s="207">
        <f t="shared" si="51"/>
        <v>0</v>
      </c>
      <c r="Z14" s="207">
        <f t="shared" si="52"/>
        <v>0</v>
      </c>
      <c r="AA14" s="207">
        <f t="shared" si="53"/>
        <v>0</v>
      </c>
      <c r="AB14" s="207">
        <f t="shared" si="54"/>
        <v>0</v>
      </c>
      <c r="AC14" s="207">
        <f t="shared" si="55"/>
        <v>0</v>
      </c>
      <c r="AD14" s="207">
        <f t="shared" si="56"/>
        <v>0</v>
      </c>
      <c r="AE14" s="207">
        <f t="shared" si="57"/>
        <v>0</v>
      </c>
      <c r="AF14" s="207">
        <f t="shared" si="58"/>
        <v>0</v>
      </c>
      <c r="AG14" s="207">
        <f t="shared" si="59"/>
        <v>0</v>
      </c>
      <c r="AH14" s="207">
        <f t="shared" si="60"/>
        <v>0</v>
      </c>
      <c r="AI14" s="207">
        <f t="shared" si="61"/>
        <v>0</v>
      </c>
      <c r="AJ14" s="207">
        <f t="shared" si="62"/>
        <v>1</v>
      </c>
      <c r="AK14" s="207">
        <f t="shared" si="63"/>
        <v>0</v>
      </c>
      <c r="AL14" s="207">
        <f t="shared" si="64"/>
        <v>0</v>
      </c>
      <c r="AM14" s="208">
        <f t="shared" si="65"/>
        <v>0</v>
      </c>
      <c r="AN14" s="209" t="s">
        <v>4776</v>
      </c>
    </row>
    <row r="15" spans="1:40" ht="30" customHeight="1">
      <c r="A15" s="274"/>
      <c r="B15" s="274"/>
      <c r="C15" s="205" t="s">
        <v>2872</v>
      </c>
      <c r="D15" s="291" t="s">
        <v>2872</v>
      </c>
      <c r="E15" s="205" t="s">
        <v>4777</v>
      </c>
      <c r="F15" s="291" t="s">
        <v>4710</v>
      </c>
      <c r="G15" s="795">
        <f t="shared" si="1"/>
        <v>0</v>
      </c>
      <c r="H15" s="207">
        <f t="shared" si="34"/>
        <v>0</v>
      </c>
      <c r="I15" s="207">
        <f t="shared" si="35"/>
        <v>0</v>
      </c>
      <c r="J15" s="207">
        <f t="shared" si="36"/>
        <v>0</v>
      </c>
      <c r="K15" s="207">
        <f t="shared" si="37"/>
        <v>0</v>
      </c>
      <c r="L15" s="207">
        <f t="shared" si="38"/>
        <v>0</v>
      </c>
      <c r="M15" s="207">
        <f t="shared" si="39"/>
        <v>0</v>
      </c>
      <c r="N15" s="207">
        <f t="shared" si="40"/>
        <v>0</v>
      </c>
      <c r="O15" s="207">
        <f t="shared" si="41"/>
        <v>0</v>
      </c>
      <c r="P15" s="207">
        <f t="shared" si="42"/>
        <v>0</v>
      </c>
      <c r="Q15" s="207">
        <f t="shared" si="43"/>
        <v>0</v>
      </c>
      <c r="R15" s="207">
        <f t="shared" si="44"/>
        <v>0</v>
      </c>
      <c r="S15" s="207">
        <f t="shared" si="45"/>
        <v>0</v>
      </c>
      <c r="T15" s="207">
        <f t="shared" si="46"/>
        <v>0</v>
      </c>
      <c r="U15" s="207">
        <f t="shared" si="47"/>
        <v>0</v>
      </c>
      <c r="V15" s="207">
        <f t="shared" si="48"/>
        <v>0</v>
      </c>
      <c r="W15" s="207">
        <f t="shared" si="49"/>
        <v>0</v>
      </c>
      <c r="X15" s="207">
        <f t="shared" si="50"/>
        <v>0</v>
      </c>
      <c r="Y15" s="207">
        <f t="shared" si="51"/>
        <v>0</v>
      </c>
      <c r="Z15" s="207">
        <f t="shared" si="52"/>
        <v>0</v>
      </c>
      <c r="AA15" s="207">
        <f t="shared" si="53"/>
        <v>0</v>
      </c>
      <c r="AB15" s="207">
        <f t="shared" si="54"/>
        <v>0</v>
      </c>
      <c r="AC15" s="207">
        <f t="shared" si="55"/>
        <v>0</v>
      </c>
      <c r="AD15" s="207">
        <f t="shared" si="56"/>
        <v>0</v>
      </c>
      <c r="AE15" s="207">
        <f t="shared" si="57"/>
        <v>0</v>
      </c>
      <c r="AF15" s="207">
        <f t="shared" si="58"/>
        <v>0</v>
      </c>
      <c r="AG15" s="207">
        <f t="shared" si="59"/>
        <v>0</v>
      </c>
      <c r="AH15" s="207">
        <f t="shared" si="60"/>
        <v>0</v>
      </c>
      <c r="AI15" s="207">
        <f t="shared" si="61"/>
        <v>0</v>
      </c>
      <c r="AJ15" s="207">
        <f t="shared" si="62"/>
        <v>0</v>
      </c>
      <c r="AK15" s="207">
        <f t="shared" si="63"/>
        <v>0</v>
      </c>
      <c r="AL15" s="207">
        <f t="shared" si="64"/>
        <v>0</v>
      </c>
      <c r="AM15" s="208">
        <f t="shared" si="65"/>
        <v>0</v>
      </c>
      <c r="AN15" s="209" t="s">
        <v>4778</v>
      </c>
    </row>
    <row r="16" spans="1:40" ht="30" customHeight="1">
      <c r="A16" s="274"/>
      <c r="B16" s="827"/>
      <c r="C16" s="393" t="s">
        <v>4438</v>
      </c>
      <c r="D16" s="394" t="s">
        <v>4438</v>
      </c>
      <c r="E16" s="393" t="s">
        <v>4779</v>
      </c>
      <c r="F16" s="291" t="str">
        <f>VLOOKUP($C16,'Foundation Calculation'!$W$4:$AE$37,9,FALSE)</f>
        <v>DW6965</v>
      </c>
      <c r="G16" s="800">
        <f t="shared" ref="G16:G23" si="66">SUM(H16:AM16)</f>
        <v>0</v>
      </c>
      <c r="H16" s="395">
        <f t="shared" si="2"/>
        <v>0</v>
      </c>
      <c r="I16" s="395">
        <f t="shared" si="3"/>
        <v>0</v>
      </c>
      <c r="J16" s="395">
        <f t="shared" si="4"/>
        <v>0</v>
      </c>
      <c r="K16" s="395">
        <f t="shared" si="5"/>
        <v>0</v>
      </c>
      <c r="L16" s="395">
        <f t="shared" si="6"/>
        <v>0</v>
      </c>
      <c r="M16" s="395">
        <f t="shared" si="7"/>
        <v>0</v>
      </c>
      <c r="N16" s="395">
        <f t="shared" si="8"/>
        <v>0</v>
      </c>
      <c r="O16" s="395">
        <f t="shared" si="9"/>
        <v>0</v>
      </c>
      <c r="P16" s="395">
        <f t="shared" si="10"/>
        <v>0</v>
      </c>
      <c r="Q16" s="395">
        <f t="shared" si="11"/>
        <v>0</v>
      </c>
      <c r="R16" s="395">
        <f t="shared" si="12"/>
        <v>0</v>
      </c>
      <c r="S16" s="395">
        <f t="shared" si="13"/>
        <v>0</v>
      </c>
      <c r="T16" s="395">
        <f t="shared" si="14"/>
        <v>0</v>
      </c>
      <c r="U16" s="395">
        <f t="shared" si="15"/>
        <v>0</v>
      </c>
      <c r="V16" s="395">
        <f t="shared" si="16"/>
        <v>0</v>
      </c>
      <c r="W16" s="395">
        <f t="shared" si="17"/>
        <v>0</v>
      </c>
      <c r="X16" s="395">
        <f t="shared" si="18"/>
        <v>0</v>
      </c>
      <c r="Y16" s="395">
        <f t="shared" si="19"/>
        <v>0</v>
      </c>
      <c r="Z16" s="395">
        <f t="shared" si="20"/>
        <v>0</v>
      </c>
      <c r="AA16" s="395">
        <f t="shared" si="21"/>
        <v>0</v>
      </c>
      <c r="AB16" s="395">
        <f t="shared" si="22"/>
        <v>0</v>
      </c>
      <c r="AC16" s="395">
        <f t="shared" si="23"/>
        <v>0</v>
      </c>
      <c r="AD16" s="395">
        <f t="shared" si="24"/>
        <v>0</v>
      </c>
      <c r="AE16" s="395">
        <f t="shared" si="25"/>
        <v>0</v>
      </c>
      <c r="AF16" s="395">
        <f t="shared" si="26"/>
        <v>0</v>
      </c>
      <c r="AG16" s="395">
        <f t="shared" si="27"/>
        <v>0</v>
      </c>
      <c r="AH16" s="395">
        <f t="shared" si="28"/>
        <v>0</v>
      </c>
      <c r="AI16" s="395">
        <f t="shared" si="29"/>
        <v>0</v>
      </c>
      <c r="AJ16" s="395">
        <f t="shared" si="30"/>
        <v>0</v>
      </c>
      <c r="AK16" s="395">
        <f t="shared" si="31"/>
        <v>0</v>
      </c>
      <c r="AL16" s="395">
        <f t="shared" si="32"/>
        <v>0</v>
      </c>
      <c r="AM16" s="396">
        <f t="shared" si="33"/>
        <v>0</v>
      </c>
      <c r="AN16" s="209" t="s">
        <v>4780</v>
      </c>
    </row>
    <row r="17" spans="1:40" ht="30" customHeight="1">
      <c r="A17" s="274"/>
      <c r="B17" s="827"/>
      <c r="C17" s="393" t="s">
        <v>4444</v>
      </c>
      <c r="D17" s="394" t="s">
        <v>4444</v>
      </c>
      <c r="E17" s="393" t="s">
        <v>4781</v>
      </c>
      <c r="F17" s="291" t="s">
        <v>2885</v>
      </c>
      <c r="G17" s="800">
        <f t="shared" si="66"/>
        <v>0</v>
      </c>
      <c r="H17" s="395">
        <f t="shared" si="2"/>
        <v>0</v>
      </c>
      <c r="I17" s="395">
        <f t="shared" si="3"/>
        <v>0</v>
      </c>
      <c r="J17" s="395">
        <f t="shared" si="4"/>
        <v>0</v>
      </c>
      <c r="K17" s="395">
        <f t="shared" si="5"/>
        <v>0</v>
      </c>
      <c r="L17" s="395">
        <f t="shared" si="6"/>
        <v>0</v>
      </c>
      <c r="M17" s="395">
        <f t="shared" si="7"/>
        <v>0</v>
      </c>
      <c r="N17" s="395">
        <f t="shared" si="8"/>
        <v>0</v>
      </c>
      <c r="O17" s="395">
        <f t="shared" si="9"/>
        <v>0</v>
      </c>
      <c r="P17" s="395">
        <f t="shared" si="10"/>
        <v>0</v>
      </c>
      <c r="Q17" s="395">
        <f t="shared" si="11"/>
        <v>0</v>
      </c>
      <c r="R17" s="395">
        <f t="shared" si="12"/>
        <v>0</v>
      </c>
      <c r="S17" s="395">
        <f t="shared" si="13"/>
        <v>0</v>
      </c>
      <c r="T17" s="395">
        <f t="shared" si="14"/>
        <v>0</v>
      </c>
      <c r="U17" s="395">
        <f t="shared" si="15"/>
        <v>0</v>
      </c>
      <c r="V17" s="395">
        <f t="shared" si="16"/>
        <v>0</v>
      </c>
      <c r="W17" s="395">
        <f t="shared" si="17"/>
        <v>0</v>
      </c>
      <c r="X17" s="395">
        <f t="shared" si="18"/>
        <v>0</v>
      </c>
      <c r="Y17" s="395">
        <f t="shared" si="19"/>
        <v>0</v>
      </c>
      <c r="Z17" s="395">
        <f t="shared" si="20"/>
        <v>0</v>
      </c>
      <c r="AA17" s="395">
        <f t="shared" si="21"/>
        <v>0</v>
      </c>
      <c r="AB17" s="395">
        <f t="shared" si="22"/>
        <v>0</v>
      </c>
      <c r="AC17" s="395">
        <f t="shared" si="23"/>
        <v>0</v>
      </c>
      <c r="AD17" s="395">
        <f t="shared" si="24"/>
        <v>0</v>
      </c>
      <c r="AE17" s="395">
        <f t="shared" si="25"/>
        <v>0</v>
      </c>
      <c r="AF17" s="395">
        <f t="shared" si="26"/>
        <v>0</v>
      </c>
      <c r="AG17" s="395">
        <f t="shared" si="27"/>
        <v>0</v>
      </c>
      <c r="AH17" s="395">
        <f t="shared" si="28"/>
        <v>0</v>
      </c>
      <c r="AI17" s="395">
        <f t="shared" si="29"/>
        <v>0</v>
      </c>
      <c r="AJ17" s="395">
        <f t="shared" si="30"/>
        <v>0</v>
      </c>
      <c r="AK17" s="395">
        <f t="shared" si="31"/>
        <v>0</v>
      </c>
      <c r="AL17" s="395">
        <f t="shared" si="32"/>
        <v>0</v>
      </c>
      <c r="AM17" s="396">
        <f t="shared" si="33"/>
        <v>0</v>
      </c>
      <c r="AN17" s="209" t="s">
        <v>4782</v>
      </c>
    </row>
    <row r="18" spans="1:40" ht="30" customHeight="1">
      <c r="A18" s="274"/>
      <c r="B18" s="827"/>
      <c r="C18" s="393" t="s">
        <v>4439</v>
      </c>
      <c r="D18" s="394" t="s">
        <v>4439</v>
      </c>
      <c r="E18" s="393" t="s">
        <v>4783</v>
      </c>
      <c r="F18" s="291" t="str">
        <f>VLOOKUP($C18,'Foundation Calculation'!$W$4:$AE$37,9,FALSE)</f>
        <v>DW6929</v>
      </c>
      <c r="G18" s="800">
        <f t="shared" si="66"/>
        <v>119</v>
      </c>
      <c r="H18" s="395">
        <f t="shared" si="2"/>
        <v>0</v>
      </c>
      <c r="I18" s="395">
        <f t="shared" si="3"/>
        <v>0</v>
      </c>
      <c r="J18" s="395">
        <f t="shared" si="4"/>
        <v>0</v>
      </c>
      <c r="K18" s="395">
        <f t="shared" si="5"/>
        <v>0</v>
      </c>
      <c r="L18" s="395">
        <f t="shared" si="6"/>
        <v>14</v>
      </c>
      <c r="M18" s="395">
        <f t="shared" si="7"/>
        <v>1</v>
      </c>
      <c r="N18" s="395">
        <f t="shared" si="8"/>
        <v>3</v>
      </c>
      <c r="O18" s="395">
        <f t="shared" si="9"/>
        <v>3</v>
      </c>
      <c r="P18" s="395">
        <f t="shared" si="10"/>
        <v>0</v>
      </c>
      <c r="Q18" s="395">
        <f t="shared" si="11"/>
        <v>16</v>
      </c>
      <c r="R18" s="395">
        <f t="shared" si="12"/>
        <v>40</v>
      </c>
      <c r="S18" s="395">
        <f t="shared" si="13"/>
        <v>0</v>
      </c>
      <c r="T18" s="395">
        <f t="shared" si="14"/>
        <v>0</v>
      </c>
      <c r="U18" s="395">
        <f t="shared" si="15"/>
        <v>25</v>
      </c>
      <c r="V18" s="395">
        <f t="shared" si="16"/>
        <v>1</v>
      </c>
      <c r="W18" s="395">
        <f t="shared" si="17"/>
        <v>4</v>
      </c>
      <c r="X18" s="395">
        <f t="shared" si="18"/>
        <v>0</v>
      </c>
      <c r="Y18" s="395">
        <f t="shared" si="19"/>
        <v>0</v>
      </c>
      <c r="Z18" s="395">
        <f t="shared" si="20"/>
        <v>1</v>
      </c>
      <c r="AA18" s="395">
        <f t="shared" si="21"/>
        <v>0</v>
      </c>
      <c r="AB18" s="395">
        <f t="shared" si="22"/>
        <v>8</v>
      </c>
      <c r="AC18" s="395">
        <f t="shared" si="23"/>
        <v>1</v>
      </c>
      <c r="AD18" s="395">
        <f t="shared" si="24"/>
        <v>0</v>
      </c>
      <c r="AE18" s="395">
        <f t="shared" si="25"/>
        <v>0</v>
      </c>
      <c r="AF18" s="395">
        <f t="shared" si="26"/>
        <v>0</v>
      </c>
      <c r="AG18" s="395">
        <f t="shared" si="27"/>
        <v>0</v>
      </c>
      <c r="AH18" s="395">
        <f t="shared" si="28"/>
        <v>2</v>
      </c>
      <c r="AI18" s="395">
        <f t="shared" si="29"/>
        <v>0</v>
      </c>
      <c r="AJ18" s="395">
        <f t="shared" si="30"/>
        <v>0</v>
      </c>
      <c r="AK18" s="395">
        <f t="shared" si="31"/>
        <v>0</v>
      </c>
      <c r="AL18" s="395">
        <f t="shared" si="32"/>
        <v>0</v>
      </c>
      <c r="AM18" s="396">
        <f t="shared" si="33"/>
        <v>0</v>
      </c>
      <c r="AN18" s="209" t="s">
        <v>4784</v>
      </c>
    </row>
    <row r="19" spans="1:40" ht="30" customHeight="1">
      <c r="A19" s="274"/>
      <c r="B19" s="827"/>
      <c r="C19" s="393" t="s">
        <v>4445</v>
      </c>
      <c r="D19" s="394" t="s">
        <v>4445</v>
      </c>
      <c r="E19" s="393" t="s">
        <v>4785</v>
      </c>
      <c r="F19" s="291" t="str">
        <f>F18</f>
        <v>DW6929</v>
      </c>
      <c r="G19" s="800">
        <f t="shared" si="66"/>
        <v>0</v>
      </c>
      <c r="H19" s="395">
        <f t="shared" si="2"/>
        <v>0</v>
      </c>
      <c r="I19" s="395">
        <f t="shared" si="3"/>
        <v>0</v>
      </c>
      <c r="J19" s="395">
        <f t="shared" si="4"/>
        <v>0</v>
      </c>
      <c r="K19" s="395">
        <f t="shared" si="5"/>
        <v>0</v>
      </c>
      <c r="L19" s="395">
        <f t="shared" si="6"/>
        <v>0</v>
      </c>
      <c r="M19" s="395">
        <f t="shared" si="7"/>
        <v>0</v>
      </c>
      <c r="N19" s="395">
        <f t="shared" si="8"/>
        <v>0</v>
      </c>
      <c r="O19" s="395">
        <f t="shared" si="9"/>
        <v>0</v>
      </c>
      <c r="P19" s="395">
        <f t="shared" si="10"/>
        <v>0</v>
      </c>
      <c r="Q19" s="395">
        <f t="shared" si="11"/>
        <v>0</v>
      </c>
      <c r="R19" s="395">
        <f t="shared" si="12"/>
        <v>0</v>
      </c>
      <c r="S19" s="395">
        <f t="shared" si="13"/>
        <v>0</v>
      </c>
      <c r="T19" s="395">
        <f t="shared" si="14"/>
        <v>0</v>
      </c>
      <c r="U19" s="395">
        <f t="shared" si="15"/>
        <v>0</v>
      </c>
      <c r="V19" s="395">
        <f t="shared" si="16"/>
        <v>0</v>
      </c>
      <c r="W19" s="395">
        <f t="shared" si="17"/>
        <v>0</v>
      </c>
      <c r="X19" s="395">
        <f t="shared" si="18"/>
        <v>0</v>
      </c>
      <c r="Y19" s="395">
        <f t="shared" si="19"/>
        <v>0</v>
      </c>
      <c r="Z19" s="395">
        <f t="shared" si="20"/>
        <v>0</v>
      </c>
      <c r="AA19" s="395">
        <f t="shared" si="21"/>
        <v>0</v>
      </c>
      <c r="AB19" s="395">
        <f t="shared" si="22"/>
        <v>0</v>
      </c>
      <c r="AC19" s="395">
        <f t="shared" si="23"/>
        <v>0</v>
      </c>
      <c r="AD19" s="395">
        <f t="shared" si="24"/>
        <v>0</v>
      </c>
      <c r="AE19" s="395">
        <f t="shared" si="25"/>
        <v>0</v>
      </c>
      <c r="AF19" s="395">
        <f t="shared" si="26"/>
        <v>0</v>
      </c>
      <c r="AG19" s="395">
        <f t="shared" si="27"/>
        <v>0</v>
      </c>
      <c r="AH19" s="395">
        <f t="shared" si="28"/>
        <v>0</v>
      </c>
      <c r="AI19" s="395">
        <f t="shared" si="29"/>
        <v>0</v>
      </c>
      <c r="AJ19" s="395">
        <f t="shared" si="30"/>
        <v>0</v>
      </c>
      <c r="AK19" s="395">
        <f t="shared" si="31"/>
        <v>0</v>
      </c>
      <c r="AL19" s="395">
        <f t="shared" si="32"/>
        <v>0</v>
      </c>
      <c r="AM19" s="396">
        <f t="shared" si="33"/>
        <v>0</v>
      </c>
      <c r="AN19" s="209" t="s">
        <v>4786</v>
      </c>
    </row>
    <row r="20" spans="1:40" ht="30" customHeight="1">
      <c r="A20" s="274"/>
      <c r="B20" s="827"/>
      <c r="C20" s="393" t="s">
        <v>4720</v>
      </c>
      <c r="D20" s="394" t="s">
        <v>4720</v>
      </c>
      <c r="E20" s="393" t="s">
        <v>4787</v>
      </c>
      <c r="F20" s="291" t="str">
        <f>VLOOKUP($C20,'Foundation Calculation'!$W$4:$AE$37,9,FALSE)</f>
        <v>DW6963</v>
      </c>
      <c r="G20" s="800">
        <f>SUM(H20:AM20)</f>
        <v>29</v>
      </c>
      <c r="H20" s="395">
        <f t="shared" si="2"/>
        <v>0</v>
      </c>
      <c r="I20" s="395">
        <f t="shared" si="3"/>
        <v>0</v>
      </c>
      <c r="J20" s="395">
        <f t="shared" si="4"/>
        <v>0</v>
      </c>
      <c r="K20" s="395">
        <f t="shared" si="5"/>
        <v>0</v>
      </c>
      <c r="L20" s="395">
        <f t="shared" si="6"/>
        <v>4</v>
      </c>
      <c r="M20" s="395">
        <f t="shared" si="7"/>
        <v>0</v>
      </c>
      <c r="N20" s="395">
        <f t="shared" si="8"/>
        <v>8</v>
      </c>
      <c r="O20" s="395">
        <f t="shared" si="9"/>
        <v>0</v>
      </c>
      <c r="P20" s="395">
        <f t="shared" si="10"/>
        <v>0</v>
      </c>
      <c r="Q20" s="395">
        <f t="shared" si="11"/>
        <v>7</v>
      </c>
      <c r="R20" s="395">
        <f t="shared" si="12"/>
        <v>3</v>
      </c>
      <c r="S20" s="395">
        <f t="shared" si="13"/>
        <v>0</v>
      </c>
      <c r="T20" s="395">
        <f t="shared" si="14"/>
        <v>0</v>
      </c>
      <c r="U20" s="395">
        <f t="shared" si="15"/>
        <v>6</v>
      </c>
      <c r="V20" s="395">
        <f t="shared" si="16"/>
        <v>1</v>
      </c>
      <c r="W20" s="395">
        <f t="shared" si="17"/>
        <v>0</v>
      </c>
      <c r="X20" s="395">
        <f t="shared" si="18"/>
        <v>0</v>
      </c>
      <c r="Y20" s="395">
        <f t="shared" si="19"/>
        <v>0</v>
      </c>
      <c r="Z20" s="395">
        <f t="shared" si="20"/>
        <v>0</v>
      </c>
      <c r="AA20" s="395">
        <f t="shared" si="21"/>
        <v>0</v>
      </c>
      <c r="AB20" s="395">
        <f t="shared" si="22"/>
        <v>0</v>
      </c>
      <c r="AC20" s="395">
        <f t="shared" si="23"/>
        <v>0</v>
      </c>
      <c r="AD20" s="395">
        <f t="shared" si="24"/>
        <v>0</v>
      </c>
      <c r="AE20" s="395">
        <f t="shared" si="25"/>
        <v>0</v>
      </c>
      <c r="AF20" s="395">
        <f t="shared" si="26"/>
        <v>0</v>
      </c>
      <c r="AG20" s="395">
        <f t="shared" si="27"/>
        <v>0</v>
      </c>
      <c r="AH20" s="395">
        <f t="shared" si="28"/>
        <v>0</v>
      </c>
      <c r="AI20" s="395">
        <f t="shared" si="29"/>
        <v>0</v>
      </c>
      <c r="AJ20" s="395">
        <f t="shared" si="30"/>
        <v>0</v>
      </c>
      <c r="AK20" s="395">
        <f t="shared" si="31"/>
        <v>0</v>
      </c>
      <c r="AL20" s="395">
        <f t="shared" si="32"/>
        <v>0</v>
      </c>
      <c r="AM20" s="396">
        <f t="shared" si="33"/>
        <v>0</v>
      </c>
      <c r="AN20" s="209" t="s">
        <v>4788</v>
      </c>
    </row>
    <row r="21" spans="1:40" ht="30" customHeight="1">
      <c r="A21" s="274"/>
      <c r="B21" s="827"/>
      <c r="C21" s="393" t="s">
        <v>4722</v>
      </c>
      <c r="D21" s="394" t="s">
        <v>4722</v>
      </c>
      <c r="E21" s="393" t="s">
        <v>4787</v>
      </c>
      <c r="F21" s="291" t="str">
        <f>F20</f>
        <v>DW6963</v>
      </c>
      <c r="G21" s="800">
        <f>SUM(H21:AM21)</f>
        <v>0</v>
      </c>
      <c r="H21" s="395">
        <f t="shared" si="2"/>
        <v>0</v>
      </c>
      <c r="I21" s="395">
        <f t="shared" si="3"/>
        <v>0</v>
      </c>
      <c r="J21" s="395">
        <f t="shared" si="4"/>
        <v>0</v>
      </c>
      <c r="K21" s="395">
        <f t="shared" si="5"/>
        <v>0</v>
      </c>
      <c r="L21" s="395">
        <f t="shared" si="6"/>
        <v>0</v>
      </c>
      <c r="M21" s="395">
        <f t="shared" si="7"/>
        <v>0</v>
      </c>
      <c r="N21" s="395">
        <f t="shared" si="8"/>
        <v>0</v>
      </c>
      <c r="O21" s="395">
        <f t="shared" si="9"/>
        <v>0</v>
      </c>
      <c r="P21" s="395">
        <f t="shared" si="10"/>
        <v>0</v>
      </c>
      <c r="Q21" s="395">
        <f t="shared" si="11"/>
        <v>0</v>
      </c>
      <c r="R21" s="395">
        <f t="shared" si="12"/>
        <v>0</v>
      </c>
      <c r="S21" s="395">
        <f t="shared" si="13"/>
        <v>0</v>
      </c>
      <c r="T21" s="395">
        <f t="shared" si="14"/>
        <v>0</v>
      </c>
      <c r="U21" s="395">
        <f t="shared" si="15"/>
        <v>0</v>
      </c>
      <c r="V21" s="395">
        <f t="shared" si="16"/>
        <v>0</v>
      </c>
      <c r="W21" s="395">
        <f t="shared" si="17"/>
        <v>0</v>
      </c>
      <c r="X21" s="395">
        <f t="shared" si="18"/>
        <v>0</v>
      </c>
      <c r="Y21" s="395">
        <f t="shared" si="19"/>
        <v>0</v>
      </c>
      <c r="Z21" s="395">
        <f t="shared" si="20"/>
        <v>0</v>
      </c>
      <c r="AA21" s="395">
        <f t="shared" si="21"/>
        <v>0</v>
      </c>
      <c r="AB21" s="395">
        <f t="shared" si="22"/>
        <v>0</v>
      </c>
      <c r="AC21" s="395">
        <f t="shared" si="23"/>
        <v>0</v>
      </c>
      <c r="AD21" s="395">
        <f t="shared" si="24"/>
        <v>0</v>
      </c>
      <c r="AE21" s="395">
        <f t="shared" si="25"/>
        <v>0</v>
      </c>
      <c r="AF21" s="395">
        <f t="shared" si="26"/>
        <v>0</v>
      </c>
      <c r="AG21" s="395">
        <f t="shared" si="27"/>
        <v>0</v>
      </c>
      <c r="AH21" s="395">
        <f t="shared" si="28"/>
        <v>0</v>
      </c>
      <c r="AI21" s="395">
        <f t="shared" si="29"/>
        <v>0</v>
      </c>
      <c r="AJ21" s="395">
        <f t="shared" si="30"/>
        <v>0</v>
      </c>
      <c r="AK21" s="395">
        <f t="shared" si="31"/>
        <v>0</v>
      </c>
      <c r="AL21" s="395">
        <f t="shared" si="32"/>
        <v>0</v>
      </c>
      <c r="AM21" s="396">
        <f t="shared" si="33"/>
        <v>0</v>
      </c>
      <c r="AN21" s="209" t="s">
        <v>4788</v>
      </c>
    </row>
    <row r="22" spans="1:40" ht="30" customHeight="1">
      <c r="A22" s="274"/>
      <c r="B22" s="827"/>
      <c r="C22" s="393" t="s">
        <v>4674</v>
      </c>
      <c r="D22" s="394" t="s">
        <v>4674</v>
      </c>
      <c r="E22" s="393" t="s">
        <v>4789</v>
      </c>
      <c r="F22" s="291" t="str">
        <f>VLOOKUP($C22,'Foundation Calculation'!$W$4:$AE$37,9,FALSE)</f>
        <v>DW6964</v>
      </c>
      <c r="G22" s="800">
        <f t="shared" si="66"/>
        <v>0</v>
      </c>
      <c r="H22" s="395">
        <f t="shared" si="2"/>
        <v>0</v>
      </c>
      <c r="I22" s="395">
        <f t="shared" si="3"/>
        <v>0</v>
      </c>
      <c r="J22" s="395">
        <f t="shared" si="4"/>
        <v>0</v>
      </c>
      <c r="K22" s="395">
        <f t="shared" si="5"/>
        <v>0</v>
      </c>
      <c r="L22" s="395">
        <f t="shared" si="6"/>
        <v>0</v>
      </c>
      <c r="M22" s="395">
        <f t="shared" si="7"/>
        <v>0</v>
      </c>
      <c r="N22" s="395">
        <f t="shared" si="8"/>
        <v>0</v>
      </c>
      <c r="O22" s="395">
        <f t="shared" si="9"/>
        <v>0</v>
      </c>
      <c r="P22" s="395">
        <f t="shared" si="10"/>
        <v>0</v>
      </c>
      <c r="Q22" s="395">
        <f t="shared" si="11"/>
        <v>0</v>
      </c>
      <c r="R22" s="395">
        <f t="shared" si="12"/>
        <v>0</v>
      </c>
      <c r="S22" s="395">
        <f t="shared" si="13"/>
        <v>0</v>
      </c>
      <c r="T22" s="395">
        <f t="shared" si="14"/>
        <v>0</v>
      </c>
      <c r="U22" s="395">
        <f t="shared" si="15"/>
        <v>0</v>
      </c>
      <c r="V22" s="395">
        <f t="shared" si="16"/>
        <v>0</v>
      </c>
      <c r="W22" s="395">
        <f t="shared" si="17"/>
        <v>0</v>
      </c>
      <c r="X22" s="395">
        <f t="shared" si="18"/>
        <v>0</v>
      </c>
      <c r="Y22" s="395">
        <f t="shared" si="19"/>
        <v>0</v>
      </c>
      <c r="Z22" s="395">
        <f t="shared" si="20"/>
        <v>0</v>
      </c>
      <c r="AA22" s="395">
        <f t="shared" si="21"/>
        <v>0</v>
      </c>
      <c r="AB22" s="395">
        <f t="shared" si="22"/>
        <v>0</v>
      </c>
      <c r="AC22" s="395">
        <f t="shared" si="23"/>
        <v>0</v>
      </c>
      <c r="AD22" s="395">
        <f t="shared" si="24"/>
        <v>0</v>
      </c>
      <c r="AE22" s="395">
        <f t="shared" si="25"/>
        <v>0</v>
      </c>
      <c r="AF22" s="395">
        <f t="shared" si="26"/>
        <v>0</v>
      </c>
      <c r="AG22" s="395">
        <f t="shared" si="27"/>
        <v>0</v>
      </c>
      <c r="AH22" s="395">
        <f t="shared" si="28"/>
        <v>0</v>
      </c>
      <c r="AI22" s="395">
        <f t="shared" si="29"/>
        <v>0</v>
      </c>
      <c r="AJ22" s="395">
        <f t="shared" si="30"/>
        <v>0</v>
      </c>
      <c r="AK22" s="395">
        <f t="shared" si="31"/>
        <v>0</v>
      </c>
      <c r="AL22" s="395">
        <f t="shared" si="32"/>
        <v>0</v>
      </c>
      <c r="AM22" s="396">
        <f t="shared" si="33"/>
        <v>0</v>
      </c>
      <c r="AN22" s="209" t="s">
        <v>4790</v>
      </c>
    </row>
    <row r="23" spans="1:40" ht="30" customHeight="1">
      <c r="A23" s="274"/>
      <c r="B23" s="827"/>
      <c r="C23" s="393" t="s">
        <v>4675</v>
      </c>
      <c r="D23" s="394" t="s">
        <v>4675</v>
      </c>
      <c r="E23" s="393" t="s">
        <v>4789</v>
      </c>
      <c r="F23" s="291" t="str">
        <f>F22</f>
        <v>DW6964</v>
      </c>
      <c r="G23" s="800">
        <f t="shared" si="66"/>
        <v>0</v>
      </c>
      <c r="H23" s="395">
        <f t="shared" si="2"/>
        <v>0</v>
      </c>
      <c r="I23" s="395">
        <f t="shared" si="3"/>
        <v>0</v>
      </c>
      <c r="J23" s="395">
        <f t="shared" si="4"/>
        <v>0</v>
      </c>
      <c r="K23" s="395">
        <f t="shared" si="5"/>
        <v>0</v>
      </c>
      <c r="L23" s="395">
        <f t="shared" si="6"/>
        <v>0</v>
      </c>
      <c r="M23" s="395">
        <f t="shared" si="7"/>
        <v>0</v>
      </c>
      <c r="N23" s="395">
        <f t="shared" si="8"/>
        <v>0</v>
      </c>
      <c r="O23" s="395">
        <f t="shared" si="9"/>
        <v>0</v>
      </c>
      <c r="P23" s="395">
        <f t="shared" si="10"/>
        <v>0</v>
      </c>
      <c r="Q23" s="395">
        <f t="shared" si="11"/>
        <v>0</v>
      </c>
      <c r="R23" s="395">
        <f t="shared" si="12"/>
        <v>0</v>
      </c>
      <c r="S23" s="395">
        <f t="shared" si="13"/>
        <v>0</v>
      </c>
      <c r="T23" s="395">
        <f t="shared" si="14"/>
        <v>0</v>
      </c>
      <c r="U23" s="395">
        <f t="shared" si="15"/>
        <v>0</v>
      </c>
      <c r="V23" s="395">
        <f t="shared" si="16"/>
        <v>0</v>
      </c>
      <c r="W23" s="395">
        <f t="shared" si="17"/>
        <v>0</v>
      </c>
      <c r="X23" s="395">
        <f t="shared" si="18"/>
        <v>0</v>
      </c>
      <c r="Y23" s="395">
        <f t="shared" si="19"/>
        <v>0</v>
      </c>
      <c r="Z23" s="395">
        <f t="shared" si="20"/>
        <v>0</v>
      </c>
      <c r="AA23" s="395">
        <f t="shared" si="21"/>
        <v>0</v>
      </c>
      <c r="AB23" s="395">
        <f t="shared" si="22"/>
        <v>0</v>
      </c>
      <c r="AC23" s="395">
        <f t="shared" si="23"/>
        <v>0</v>
      </c>
      <c r="AD23" s="395">
        <f t="shared" si="24"/>
        <v>0</v>
      </c>
      <c r="AE23" s="395">
        <f t="shared" si="25"/>
        <v>0</v>
      </c>
      <c r="AF23" s="395">
        <f t="shared" si="26"/>
        <v>0</v>
      </c>
      <c r="AG23" s="395">
        <f t="shared" si="27"/>
        <v>0</v>
      </c>
      <c r="AH23" s="395">
        <f t="shared" si="28"/>
        <v>0</v>
      </c>
      <c r="AI23" s="395">
        <f t="shared" si="29"/>
        <v>0</v>
      </c>
      <c r="AJ23" s="395">
        <f t="shared" si="30"/>
        <v>0</v>
      </c>
      <c r="AK23" s="395">
        <f t="shared" si="31"/>
        <v>0</v>
      </c>
      <c r="AL23" s="395">
        <f t="shared" si="32"/>
        <v>0</v>
      </c>
      <c r="AM23" s="396">
        <f t="shared" si="33"/>
        <v>0</v>
      </c>
      <c r="AN23" s="209" t="s">
        <v>4790</v>
      </c>
    </row>
    <row r="24" spans="1:40" ht="30" customHeight="1">
      <c r="A24" s="274"/>
      <c r="B24" s="1011"/>
      <c r="C24" s="205" t="s">
        <v>4440</v>
      </c>
      <c r="D24" s="291" t="s">
        <v>4440</v>
      </c>
      <c r="E24" s="205" t="s">
        <v>4791</v>
      </c>
      <c r="F24" s="291" t="str">
        <f>VLOOKUP($C24,'Foundation Calculation'!$W$4:$AE$37,9,FALSE)</f>
        <v>DW6902</v>
      </c>
      <c r="G24" s="795">
        <f t="shared" ref="G24:G38" si="67">SUM(H24:AM24)</f>
        <v>73</v>
      </c>
      <c r="H24" s="207">
        <f t="shared" si="2"/>
        <v>3</v>
      </c>
      <c r="I24" s="207">
        <f t="shared" si="3"/>
        <v>3</v>
      </c>
      <c r="J24" s="207">
        <f t="shared" si="4"/>
        <v>3</v>
      </c>
      <c r="K24" s="207">
        <f t="shared" si="5"/>
        <v>3</v>
      </c>
      <c r="L24" s="207">
        <f t="shared" si="6"/>
        <v>9</v>
      </c>
      <c r="M24" s="207">
        <f t="shared" si="7"/>
        <v>5</v>
      </c>
      <c r="N24" s="207">
        <f t="shared" si="8"/>
        <v>0</v>
      </c>
      <c r="O24" s="207">
        <f t="shared" si="9"/>
        <v>3</v>
      </c>
      <c r="P24" s="207">
        <f t="shared" si="10"/>
        <v>1</v>
      </c>
      <c r="Q24" s="207">
        <f t="shared" si="11"/>
        <v>3</v>
      </c>
      <c r="R24" s="207">
        <f t="shared" si="12"/>
        <v>6</v>
      </c>
      <c r="S24" s="207">
        <f t="shared" si="13"/>
        <v>6</v>
      </c>
      <c r="T24" s="207">
        <f t="shared" si="14"/>
        <v>9</v>
      </c>
      <c r="U24" s="207">
        <f t="shared" si="15"/>
        <v>7</v>
      </c>
      <c r="V24" s="207">
        <f t="shared" si="16"/>
        <v>0</v>
      </c>
      <c r="W24" s="207">
        <f t="shared" si="17"/>
        <v>0</v>
      </c>
      <c r="X24" s="207">
        <f t="shared" si="18"/>
        <v>0</v>
      </c>
      <c r="Y24" s="207">
        <f t="shared" si="19"/>
        <v>1</v>
      </c>
      <c r="Z24" s="207">
        <f t="shared" si="20"/>
        <v>1</v>
      </c>
      <c r="AA24" s="207">
        <f t="shared" si="21"/>
        <v>0</v>
      </c>
      <c r="AB24" s="207">
        <f t="shared" si="22"/>
        <v>3</v>
      </c>
      <c r="AC24" s="207">
        <f t="shared" si="23"/>
        <v>0</v>
      </c>
      <c r="AD24" s="207">
        <f t="shared" si="24"/>
        <v>0</v>
      </c>
      <c r="AE24" s="207">
        <f t="shared" si="25"/>
        <v>0</v>
      </c>
      <c r="AF24" s="207">
        <f t="shared" si="26"/>
        <v>3</v>
      </c>
      <c r="AG24" s="207">
        <f t="shared" si="27"/>
        <v>2</v>
      </c>
      <c r="AH24" s="207">
        <f t="shared" si="28"/>
        <v>2</v>
      </c>
      <c r="AI24" s="207">
        <f t="shared" si="29"/>
        <v>0</v>
      </c>
      <c r="AJ24" s="207">
        <f t="shared" si="30"/>
        <v>0</v>
      </c>
      <c r="AK24" s="207">
        <f t="shared" si="31"/>
        <v>0</v>
      </c>
      <c r="AL24" s="207">
        <f t="shared" si="32"/>
        <v>0</v>
      </c>
      <c r="AM24" s="208">
        <f t="shared" si="33"/>
        <v>0</v>
      </c>
      <c r="AN24" s="209" t="s">
        <v>4792</v>
      </c>
    </row>
    <row r="25" spans="1:40" ht="30" customHeight="1">
      <c r="A25" s="274"/>
      <c r="B25" s="1011"/>
      <c r="C25" s="205" t="s">
        <v>4446</v>
      </c>
      <c r="D25" s="291" t="s">
        <v>4446</v>
      </c>
      <c r="E25" s="205" t="s">
        <v>4793</v>
      </c>
      <c r="F25" s="291" t="s">
        <v>4714</v>
      </c>
      <c r="G25" s="795">
        <f t="shared" si="67"/>
        <v>0</v>
      </c>
      <c r="H25" s="207">
        <f t="shared" si="2"/>
        <v>0</v>
      </c>
      <c r="I25" s="207">
        <f t="shared" si="3"/>
        <v>0</v>
      </c>
      <c r="J25" s="207">
        <f t="shared" si="4"/>
        <v>0</v>
      </c>
      <c r="K25" s="207">
        <f t="shared" si="5"/>
        <v>0</v>
      </c>
      <c r="L25" s="207">
        <f t="shared" si="6"/>
        <v>0</v>
      </c>
      <c r="M25" s="207">
        <f t="shared" si="7"/>
        <v>0</v>
      </c>
      <c r="N25" s="207">
        <f t="shared" si="8"/>
        <v>0</v>
      </c>
      <c r="O25" s="207">
        <f t="shared" si="9"/>
        <v>0</v>
      </c>
      <c r="P25" s="207">
        <f t="shared" si="10"/>
        <v>0</v>
      </c>
      <c r="Q25" s="207">
        <f t="shared" si="11"/>
        <v>0</v>
      </c>
      <c r="R25" s="207">
        <f t="shared" si="12"/>
        <v>0</v>
      </c>
      <c r="S25" s="207">
        <f t="shared" si="13"/>
        <v>0</v>
      </c>
      <c r="T25" s="207">
        <f t="shared" si="14"/>
        <v>0</v>
      </c>
      <c r="U25" s="207">
        <f t="shared" si="15"/>
        <v>0</v>
      </c>
      <c r="V25" s="207">
        <f t="shared" si="16"/>
        <v>0</v>
      </c>
      <c r="W25" s="207">
        <f t="shared" si="17"/>
        <v>0</v>
      </c>
      <c r="X25" s="207">
        <f t="shared" si="18"/>
        <v>0</v>
      </c>
      <c r="Y25" s="207">
        <f t="shared" si="19"/>
        <v>0</v>
      </c>
      <c r="Z25" s="207">
        <f t="shared" si="20"/>
        <v>0</v>
      </c>
      <c r="AA25" s="207">
        <f t="shared" si="21"/>
        <v>0</v>
      </c>
      <c r="AB25" s="207">
        <f t="shared" si="22"/>
        <v>0</v>
      </c>
      <c r="AC25" s="207">
        <f t="shared" si="23"/>
        <v>0</v>
      </c>
      <c r="AD25" s="207">
        <f t="shared" si="24"/>
        <v>0</v>
      </c>
      <c r="AE25" s="207">
        <f t="shared" si="25"/>
        <v>0</v>
      </c>
      <c r="AF25" s="207">
        <f t="shared" si="26"/>
        <v>0</v>
      </c>
      <c r="AG25" s="207">
        <f t="shared" si="27"/>
        <v>0</v>
      </c>
      <c r="AH25" s="207">
        <f t="shared" si="28"/>
        <v>0</v>
      </c>
      <c r="AI25" s="207">
        <f t="shared" si="29"/>
        <v>0</v>
      </c>
      <c r="AJ25" s="207">
        <f t="shared" si="30"/>
        <v>0</v>
      </c>
      <c r="AK25" s="207">
        <f t="shared" si="31"/>
        <v>0</v>
      </c>
      <c r="AL25" s="207">
        <f t="shared" si="32"/>
        <v>0</v>
      </c>
      <c r="AM25" s="208">
        <f t="shared" si="33"/>
        <v>0</v>
      </c>
      <c r="AN25" s="209" t="s">
        <v>4794</v>
      </c>
    </row>
    <row r="26" spans="1:40" ht="30" customHeight="1">
      <c r="A26" s="275"/>
      <c r="B26" s="1010"/>
      <c r="C26" s="205" t="s">
        <v>4441</v>
      </c>
      <c r="D26" s="291" t="s">
        <v>4441</v>
      </c>
      <c r="E26" s="205" t="s">
        <v>4795</v>
      </c>
      <c r="F26" s="291" t="s">
        <v>4718</v>
      </c>
      <c r="G26" s="795">
        <f t="shared" si="67"/>
        <v>74</v>
      </c>
      <c r="H26" s="207">
        <f t="shared" si="2"/>
        <v>0</v>
      </c>
      <c r="I26" s="207">
        <f t="shared" si="3"/>
        <v>0</v>
      </c>
      <c r="J26" s="207">
        <f t="shared" si="4"/>
        <v>0</v>
      </c>
      <c r="K26" s="207">
        <f t="shared" si="5"/>
        <v>3</v>
      </c>
      <c r="L26" s="207">
        <f t="shared" si="6"/>
        <v>1</v>
      </c>
      <c r="M26" s="207">
        <f t="shared" si="7"/>
        <v>4</v>
      </c>
      <c r="N26" s="207">
        <f t="shared" si="8"/>
        <v>0</v>
      </c>
      <c r="O26" s="207">
        <f t="shared" si="9"/>
        <v>3</v>
      </c>
      <c r="P26" s="207">
        <f t="shared" si="10"/>
        <v>0</v>
      </c>
      <c r="Q26" s="207">
        <f t="shared" si="11"/>
        <v>5</v>
      </c>
      <c r="R26" s="207">
        <f t="shared" si="12"/>
        <v>24</v>
      </c>
      <c r="S26" s="207">
        <f t="shared" si="13"/>
        <v>0</v>
      </c>
      <c r="T26" s="207">
        <f t="shared" si="14"/>
        <v>1</v>
      </c>
      <c r="U26" s="207">
        <f t="shared" si="15"/>
        <v>22</v>
      </c>
      <c r="V26" s="207">
        <f t="shared" si="16"/>
        <v>0</v>
      </c>
      <c r="W26" s="207">
        <f t="shared" si="17"/>
        <v>0</v>
      </c>
      <c r="X26" s="207">
        <f t="shared" si="18"/>
        <v>1</v>
      </c>
      <c r="Y26" s="207">
        <f t="shared" si="19"/>
        <v>0</v>
      </c>
      <c r="Z26" s="207">
        <f t="shared" si="20"/>
        <v>1</v>
      </c>
      <c r="AA26" s="207">
        <f t="shared" si="21"/>
        <v>0</v>
      </c>
      <c r="AB26" s="207">
        <f t="shared" si="22"/>
        <v>0</v>
      </c>
      <c r="AC26" s="207">
        <f t="shared" si="23"/>
        <v>3</v>
      </c>
      <c r="AD26" s="207">
        <f t="shared" si="24"/>
        <v>0</v>
      </c>
      <c r="AE26" s="207">
        <f t="shared" si="25"/>
        <v>0</v>
      </c>
      <c r="AF26" s="207">
        <f t="shared" si="26"/>
        <v>2</v>
      </c>
      <c r="AG26" s="207">
        <f t="shared" si="27"/>
        <v>1</v>
      </c>
      <c r="AH26" s="207">
        <f t="shared" si="28"/>
        <v>1</v>
      </c>
      <c r="AI26" s="207">
        <f t="shared" si="29"/>
        <v>0</v>
      </c>
      <c r="AJ26" s="207">
        <f t="shared" si="30"/>
        <v>0</v>
      </c>
      <c r="AK26" s="207">
        <f t="shared" si="31"/>
        <v>0</v>
      </c>
      <c r="AL26" s="207">
        <f t="shared" si="32"/>
        <v>2</v>
      </c>
      <c r="AM26" s="208">
        <f t="shared" si="33"/>
        <v>0</v>
      </c>
      <c r="AN26" s="209" t="s">
        <v>4796</v>
      </c>
    </row>
    <row r="27" spans="1:40" ht="30" customHeight="1">
      <c r="A27" s="275"/>
      <c r="B27" s="1010"/>
      <c r="C27" s="205" t="s">
        <v>4447</v>
      </c>
      <c r="D27" s="291" t="s">
        <v>4447</v>
      </c>
      <c r="E27" s="205" t="s">
        <v>4797</v>
      </c>
      <c r="F27" s="291" t="s">
        <v>4718</v>
      </c>
      <c r="G27" s="795">
        <f t="shared" si="67"/>
        <v>0</v>
      </c>
      <c r="H27" s="207">
        <f t="shared" si="2"/>
        <v>0</v>
      </c>
      <c r="I27" s="207">
        <f t="shared" si="3"/>
        <v>0</v>
      </c>
      <c r="J27" s="207">
        <f t="shared" si="4"/>
        <v>0</v>
      </c>
      <c r="K27" s="207">
        <f t="shared" si="5"/>
        <v>0</v>
      </c>
      <c r="L27" s="207">
        <f t="shared" si="6"/>
        <v>0</v>
      </c>
      <c r="M27" s="207">
        <f t="shared" si="7"/>
        <v>0</v>
      </c>
      <c r="N27" s="207">
        <f t="shared" si="8"/>
        <v>0</v>
      </c>
      <c r="O27" s="207">
        <f t="shared" si="9"/>
        <v>0</v>
      </c>
      <c r="P27" s="207">
        <f t="shared" si="10"/>
        <v>0</v>
      </c>
      <c r="Q27" s="207">
        <f t="shared" si="11"/>
        <v>0</v>
      </c>
      <c r="R27" s="207">
        <f t="shared" si="12"/>
        <v>0</v>
      </c>
      <c r="S27" s="207">
        <f t="shared" si="13"/>
        <v>0</v>
      </c>
      <c r="T27" s="207">
        <f t="shared" si="14"/>
        <v>0</v>
      </c>
      <c r="U27" s="207">
        <f t="shared" si="15"/>
        <v>0</v>
      </c>
      <c r="V27" s="207">
        <f t="shared" si="16"/>
        <v>0</v>
      </c>
      <c r="W27" s="207">
        <f t="shared" si="17"/>
        <v>0</v>
      </c>
      <c r="X27" s="207">
        <f t="shared" si="18"/>
        <v>0</v>
      </c>
      <c r="Y27" s="207">
        <f t="shared" si="19"/>
        <v>0</v>
      </c>
      <c r="Z27" s="207">
        <f t="shared" si="20"/>
        <v>0</v>
      </c>
      <c r="AA27" s="207">
        <f t="shared" si="21"/>
        <v>0</v>
      </c>
      <c r="AB27" s="207">
        <f t="shared" si="22"/>
        <v>0</v>
      </c>
      <c r="AC27" s="207">
        <f t="shared" si="23"/>
        <v>0</v>
      </c>
      <c r="AD27" s="207">
        <f t="shared" si="24"/>
        <v>0</v>
      </c>
      <c r="AE27" s="207">
        <f t="shared" si="25"/>
        <v>0</v>
      </c>
      <c r="AF27" s="207">
        <f t="shared" si="26"/>
        <v>0</v>
      </c>
      <c r="AG27" s="207">
        <f t="shared" si="27"/>
        <v>0</v>
      </c>
      <c r="AH27" s="207">
        <f t="shared" si="28"/>
        <v>0</v>
      </c>
      <c r="AI27" s="207">
        <f t="shared" si="29"/>
        <v>0</v>
      </c>
      <c r="AJ27" s="207">
        <f t="shared" si="30"/>
        <v>0</v>
      </c>
      <c r="AK27" s="207">
        <f t="shared" si="31"/>
        <v>0</v>
      </c>
      <c r="AL27" s="207">
        <f t="shared" si="32"/>
        <v>0</v>
      </c>
      <c r="AM27" s="208">
        <f t="shared" si="33"/>
        <v>0</v>
      </c>
      <c r="AN27" s="209" t="s">
        <v>4798</v>
      </c>
    </row>
    <row r="28" spans="1:40" ht="30" customHeight="1">
      <c r="A28" s="275"/>
      <c r="B28" s="1010"/>
      <c r="C28" s="205" t="s">
        <v>4677</v>
      </c>
      <c r="D28" s="291" t="s">
        <v>4677</v>
      </c>
      <c r="E28" s="205" t="s">
        <v>4685</v>
      </c>
      <c r="F28" s="291" t="str">
        <f>VLOOKUP($C28,'Foundation Calculation'!$W$4:$AE$37,9,FALSE)</f>
        <v>NEW</v>
      </c>
      <c r="G28" s="795">
        <f t="shared" si="67"/>
        <v>0</v>
      </c>
      <c r="H28" s="207">
        <f t="shared" si="2"/>
        <v>0</v>
      </c>
      <c r="I28" s="207">
        <f t="shared" si="3"/>
        <v>0</v>
      </c>
      <c r="J28" s="207">
        <f t="shared" si="4"/>
        <v>0</v>
      </c>
      <c r="K28" s="207">
        <f t="shared" si="5"/>
        <v>0</v>
      </c>
      <c r="L28" s="207">
        <f t="shared" si="6"/>
        <v>0</v>
      </c>
      <c r="M28" s="207">
        <f t="shared" si="7"/>
        <v>0</v>
      </c>
      <c r="N28" s="207">
        <f t="shared" si="8"/>
        <v>0</v>
      </c>
      <c r="O28" s="207">
        <f t="shared" si="9"/>
        <v>0</v>
      </c>
      <c r="P28" s="207">
        <f t="shared" si="10"/>
        <v>0</v>
      </c>
      <c r="Q28" s="207">
        <f t="shared" si="11"/>
        <v>0</v>
      </c>
      <c r="R28" s="207">
        <f t="shared" si="12"/>
        <v>0</v>
      </c>
      <c r="S28" s="207">
        <f t="shared" si="13"/>
        <v>0</v>
      </c>
      <c r="T28" s="207">
        <f t="shared" si="14"/>
        <v>0</v>
      </c>
      <c r="U28" s="207">
        <f t="shared" si="15"/>
        <v>0</v>
      </c>
      <c r="V28" s="207">
        <f t="shared" si="16"/>
        <v>0</v>
      </c>
      <c r="W28" s="207">
        <f t="shared" si="17"/>
        <v>0</v>
      </c>
      <c r="X28" s="207">
        <f t="shared" si="18"/>
        <v>0</v>
      </c>
      <c r="Y28" s="207">
        <f t="shared" si="19"/>
        <v>0</v>
      </c>
      <c r="Z28" s="207">
        <f t="shared" si="20"/>
        <v>0</v>
      </c>
      <c r="AA28" s="207">
        <f t="shared" si="21"/>
        <v>0</v>
      </c>
      <c r="AB28" s="207">
        <f t="shared" si="22"/>
        <v>0</v>
      </c>
      <c r="AC28" s="207">
        <f t="shared" si="23"/>
        <v>0</v>
      </c>
      <c r="AD28" s="207">
        <f t="shared" si="24"/>
        <v>0</v>
      </c>
      <c r="AE28" s="207">
        <f t="shared" si="25"/>
        <v>0</v>
      </c>
      <c r="AF28" s="207">
        <f t="shared" si="26"/>
        <v>0</v>
      </c>
      <c r="AG28" s="207">
        <f t="shared" si="27"/>
        <v>0</v>
      </c>
      <c r="AH28" s="207">
        <f t="shared" si="28"/>
        <v>0</v>
      </c>
      <c r="AI28" s="207">
        <f t="shared" si="29"/>
        <v>0</v>
      </c>
      <c r="AJ28" s="207">
        <f t="shared" si="30"/>
        <v>0</v>
      </c>
      <c r="AK28" s="207">
        <f t="shared" si="31"/>
        <v>0</v>
      </c>
      <c r="AL28" s="207">
        <f t="shared" si="32"/>
        <v>0</v>
      </c>
      <c r="AM28" s="208">
        <f t="shared" si="33"/>
        <v>0</v>
      </c>
      <c r="AN28" s="209" t="s">
        <v>4685</v>
      </c>
    </row>
    <row r="29" spans="1:40" ht="30" customHeight="1">
      <c r="A29" s="275"/>
      <c r="B29" s="1010"/>
      <c r="C29" s="205" t="s">
        <v>4681</v>
      </c>
      <c r="D29" s="291" t="s">
        <v>4681</v>
      </c>
      <c r="E29" s="205" t="s">
        <v>4686</v>
      </c>
      <c r="F29" s="291" t="str">
        <f>F28</f>
        <v>NEW</v>
      </c>
      <c r="G29" s="795">
        <f t="shared" si="67"/>
        <v>0</v>
      </c>
      <c r="H29" s="207">
        <f t="shared" si="2"/>
        <v>0</v>
      </c>
      <c r="I29" s="207">
        <f t="shared" si="3"/>
        <v>0</v>
      </c>
      <c r="J29" s="207">
        <f t="shared" si="4"/>
        <v>0</v>
      </c>
      <c r="K29" s="207">
        <f t="shared" si="5"/>
        <v>0</v>
      </c>
      <c r="L29" s="207">
        <f t="shared" si="6"/>
        <v>0</v>
      </c>
      <c r="M29" s="207">
        <f t="shared" si="7"/>
        <v>0</v>
      </c>
      <c r="N29" s="207">
        <f t="shared" si="8"/>
        <v>0</v>
      </c>
      <c r="O29" s="207">
        <f t="shared" si="9"/>
        <v>0</v>
      </c>
      <c r="P29" s="207">
        <f t="shared" si="10"/>
        <v>0</v>
      </c>
      <c r="Q29" s="207">
        <f t="shared" si="11"/>
        <v>0</v>
      </c>
      <c r="R29" s="207">
        <f t="shared" si="12"/>
        <v>0</v>
      </c>
      <c r="S29" s="207">
        <f t="shared" si="13"/>
        <v>0</v>
      </c>
      <c r="T29" s="207">
        <f t="shared" si="14"/>
        <v>0</v>
      </c>
      <c r="U29" s="207">
        <f t="shared" si="15"/>
        <v>0</v>
      </c>
      <c r="V29" s="207">
        <f t="shared" si="16"/>
        <v>0</v>
      </c>
      <c r="W29" s="207">
        <f t="shared" si="17"/>
        <v>0</v>
      </c>
      <c r="X29" s="207">
        <f t="shared" si="18"/>
        <v>0</v>
      </c>
      <c r="Y29" s="207">
        <f t="shared" si="19"/>
        <v>0</v>
      </c>
      <c r="Z29" s="207">
        <f t="shared" si="20"/>
        <v>0</v>
      </c>
      <c r="AA29" s="207">
        <f t="shared" si="21"/>
        <v>0</v>
      </c>
      <c r="AB29" s="207">
        <f t="shared" si="22"/>
        <v>0</v>
      </c>
      <c r="AC29" s="207">
        <f t="shared" si="23"/>
        <v>0</v>
      </c>
      <c r="AD29" s="207">
        <f t="shared" si="24"/>
        <v>0</v>
      </c>
      <c r="AE29" s="207">
        <f t="shared" si="25"/>
        <v>0</v>
      </c>
      <c r="AF29" s="207">
        <f t="shared" si="26"/>
        <v>0</v>
      </c>
      <c r="AG29" s="207">
        <f t="shared" si="27"/>
        <v>0</v>
      </c>
      <c r="AH29" s="207">
        <f t="shared" si="28"/>
        <v>0</v>
      </c>
      <c r="AI29" s="207">
        <f t="shared" si="29"/>
        <v>0</v>
      </c>
      <c r="AJ29" s="207">
        <f t="shared" si="30"/>
        <v>0</v>
      </c>
      <c r="AK29" s="207">
        <f t="shared" si="31"/>
        <v>0</v>
      </c>
      <c r="AL29" s="207">
        <f t="shared" si="32"/>
        <v>0</v>
      </c>
      <c r="AM29" s="208">
        <f t="shared" si="33"/>
        <v>0</v>
      </c>
      <c r="AN29" s="209" t="s">
        <v>4686</v>
      </c>
    </row>
    <row r="30" spans="1:40" ht="30" customHeight="1">
      <c r="A30" s="274"/>
      <c r="B30" s="827"/>
      <c r="C30" s="393" t="s">
        <v>4442</v>
      </c>
      <c r="D30" s="394" t="s">
        <v>4442</v>
      </c>
      <c r="E30" s="393" t="s">
        <v>4455</v>
      </c>
      <c r="F30" s="394" t="str">
        <f>VLOOKUP($C30,'Foundation Calculation'!$W$4:$AE$37,9,FALSE)</f>
        <v>DW6905</v>
      </c>
      <c r="G30" s="800">
        <f t="shared" si="67"/>
        <v>0</v>
      </c>
      <c r="H30" s="395">
        <f t="shared" si="2"/>
        <v>0</v>
      </c>
      <c r="I30" s="395">
        <f t="shared" si="3"/>
        <v>0</v>
      </c>
      <c r="J30" s="395">
        <f t="shared" si="4"/>
        <v>0</v>
      </c>
      <c r="K30" s="395">
        <f t="shared" si="5"/>
        <v>0</v>
      </c>
      <c r="L30" s="395">
        <f t="shared" si="6"/>
        <v>0</v>
      </c>
      <c r="M30" s="395">
        <f t="shared" si="7"/>
        <v>0</v>
      </c>
      <c r="N30" s="395">
        <f t="shared" si="8"/>
        <v>0</v>
      </c>
      <c r="O30" s="395">
        <f t="shared" si="9"/>
        <v>0</v>
      </c>
      <c r="P30" s="395">
        <f t="shared" si="10"/>
        <v>0</v>
      </c>
      <c r="Q30" s="395">
        <f t="shared" si="11"/>
        <v>0</v>
      </c>
      <c r="R30" s="395">
        <f t="shared" si="12"/>
        <v>0</v>
      </c>
      <c r="S30" s="395">
        <f t="shared" si="13"/>
        <v>0</v>
      </c>
      <c r="T30" s="395">
        <f t="shared" si="14"/>
        <v>0</v>
      </c>
      <c r="U30" s="395">
        <f t="shared" si="15"/>
        <v>0</v>
      </c>
      <c r="V30" s="395">
        <f t="shared" si="16"/>
        <v>0</v>
      </c>
      <c r="W30" s="395">
        <f t="shared" si="17"/>
        <v>0</v>
      </c>
      <c r="X30" s="395">
        <f t="shared" si="18"/>
        <v>0</v>
      </c>
      <c r="Y30" s="395">
        <f t="shared" si="19"/>
        <v>0</v>
      </c>
      <c r="Z30" s="395">
        <f t="shared" si="20"/>
        <v>0</v>
      </c>
      <c r="AA30" s="395">
        <f t="shared" si="21"/>
        <v>0</v>
      </c>
      <c r="AB30" s="395">
        <f t="shared" si="22"/>
        <v>0</v>
      </c>
      <c r="AC30" s="395">
        <f t="shared" si="23"/>
        <v>0</v>
      </c>
      <c r="AD30" s="395">
        <f t="shared" si="24"/>
        <v>0</v>
      </c>
      <c r="AE30" s="395">
        <f t="shared" si="25"/>
        <v>0</v>
      </c>
      <c r="AF30" s="395">
        <f t="shared" si="26"/>
        <v>0</v>
      </c>
      <c r="AG30" s="395">
        <f t="shared" si="27"/>
        <v>0</v>
      </c>
      <c r="AH30" s="395">
        <f t="shared" si="28"/>
        <v>0</v>
      </c>
      <c r="AI30" s="395">
        <f t="shared" si="29"/>
        <v>0</v>
      </c>
      <c r="AJ30" s="395">
        <f t="shared" si="30"/>
        <v>0</v>
      </c>
      <c r="AK30" s="395">
        <f t="shared" si="31"/>
        <v>0</v>
      </c>
      <c r="AL30" s="395">
        <f t="shared" si="32"/>
        <v>0</v>
      </c>
      <c r="AM30" s="396">
        <f t="shared" si="33"/>
        <v>0</v>
      </c>
      <c r="AN30" s="209" t="s">
        <v>4459</v>
      </c>
    </row>
    <row r="31" spans="1:40" ht="30" customHeight="1">
      <c r="A31" s="274"/>
      <c r="B31" s="827"/>
      <c r="C31" s="393" t="s">
        <v>4448</v>
      </c>
      <c r="D31" s="394" t="s">
        <v>4448</v>
      </c>
      <c r="E31" s="393" t="s">
        <v>4456</v>
      </c>
      <c r="F31" s="394" t="str">
        <f>F30</f>
        <v>DW6905</v>
      </c>
      <c r="G31" s="800">
        <f t="shared" si="67"/>
        <v>0</v>
      </c>
      <c r="H31" s="395">
        <f t="shared" si="2"/>
        <v>0</v>
      </c>
      <c r="I31" s="395">
        <f t="shared" si="3"/>
        <v>0</v>
      </c>
      <c r="J31" s="395">
        <f t="shared" si="4"/>
        <v>0</v>
      </c>
      <c r="K31" s="395">
        <f t="shared" si="5"/>
        <v>0</v>
      </c>
      <c r="L31" s="395">
        <f t="shared" si="6"/>
        <v>0</v>
      </c>
      <c r="M31" s="395">
        <f t="shared" si="7"/>
        <v>0</v>
      </c>
      <c r="N31" s="395">
        <f t="shared" si="8"/>
        <v>0</v>
      </c>
      <c r="O31" s="395">
        <f t="shared" si="9"/>
        <v>0</v>
      </c>
      <c r="P31" s="395">
        <f t="shared" si="10"/>
        <v>0</v>
      </c>
      <c r="Q31" s="395">
        <f t="shared" si="11"/>
        <v>0</v>
      </c>
      <c r="R31" s="395">
        <f t="shared" si="12"/>
        <v>0</v>
      </c>
      <c r="S31" s="395">
        <f t="shared" si="13"/>
        <v>0</v>
      </c>
      <c r="T31" s="395">
        <f t="shared" si="14"/>
        <v>0</v>
      </c>
      <c r="U31" s="395">
        <f t="shared" si="15"/>
        <v>0</v>
      </c>
      <c r="V31" s="395">
        <f t="shared" si="16"/>
        <v>0</v>
      </c>
      <c r="W31" s="395">
        <f t="shared" si="17"/>
        <v>0</v>
      </c>
      <c r="X31" s="395">
        <f t="shared" si="18"/>
        <v>0</v>
      </c>
      <c r="Y31" s="395">
        <f t="shared" si="19"/>
        <v>0</v>
      </c>
      <c r="Z31" s="395">
        <f t="shared" si="20"/>
        <v>0</v>
      </c>
      <c r="AA31" s="395">
        <f t="shared" si="21"/>
        <v>0</v>
      </c>
      <c r="AB31" s="395">
        <f t="shared" si="22"/>
        <v>0</v>
      </c>
      <c r="AC31" s="395">
        <f t="shared" si="23"/>
        <v>0</v>
      </c>
      <c r="AD31" s="395">
        <f t="shared" si="24"/>
        <v>0</v>
      </c>
      <c r="AE31" s="395">
        <f t="shared" si="25"/>
        <v>0</v>
      </c>
      <c r="AF31" s="395">
        <f t="shared" si="26"/>
        <v>0</v>
      </c>
      <c r="AG31" s="395">
        <f t="shared" si="27"/>
        <v>0</v>
      </c>
      <c r="AH31" s="395">
        <f t="shared" si="28"/>
        <v>0</v>
      </c>
      <c r="AI31" s="395">
        <f t="shared" si="29"/>
        <v>0</v>
      </c>
      <c r="AJ31" s="395">
        <f t="shared" si="30"/>
        <v>0</v>
      </c>
      <c r="AK31" s="395">
        <f t="shared" si="31"/>
        <v>0</v>
      </c>
      <c r="AL31" s="395">
        <f t="shared" si="32"/>
        <v>0</v>
      </c>
      <c r="AM31" s="396">
        <f t="shared" si="33"/>
        <v>0</v>
      </c>
      <c r="AN31" s="209" t="s">
        <v>4460</v>
      </c>
    </row>
    <row r="32" spans="1:40" ht="30" customHeight="1">
      <c r="A32" s="274"/>
      <c r="B32" s="827"/>
      <c r="C32" s="393" t="s">
        <v>4443</v>
      </c>
      <c r="D32" s="394" t="s">
        <v>4443</v>
      </c>
      <c r="E32" s="393" t="s">
        <v>4453</v>
      </c>
      <c r="F32" s="394" t="str">
        <f>VLOOKUP($C32,'Foundation Calculation'!$W$4:$AE$37,9,FALSE)</f>
        <v>DW6906</v>
      </c>
      <c r="G32" s="800">
        <f t="shared" si="67"/>
        <v>0</v>
      </c>
      <c r="H32" s="395">
        <f>COUNTIF(Area_v1RISHER,$C32)</f>
        <v>0</v>
      </c>
      <c r="I32" s="395">
        <f>COUNTIF(Area_v2RISHER,$C32)</f>
        <v>0</v>
      </c>
      <c r="J32" s="395">
        <f>COUNTIF(Area_v1RAANHER,$C32)</f>
        <v>0</v>
      </c>
      <c r="K32" s="395">
        <f>COUNTIF(Area_v2RAANHER,$C32)</f>
        <v>0</v>
      </c>
      <c r="L32" s="395">
        <f>COUNTIF(Area_v1HER,$C32)</f>
        <v>0</v>
      </c>
      <c r="M32" s="395">
        <f>COUNTIF(Area_v2HER,$C32)</f>
        <v>0</v>
      </c>
      <c r="N32" s="395">
        <f>COUNTIF(Area_v3HER,$C32)</f>
        <v>0</v>
      </c>
      <c r="O32" s="395">
        <f>COUNTIF(Area_v4HER,$C32)</f>
        <v>0</v>
      </c>
      <c r="P32" s="395">
        <f>COUNTIF(Area_v5HER,$C32)</f>
        <v>0</v>
      </c>
      <c r="Q32" s="395">
        <f>COUNTIF(Area_v6HER,$C32)</f>
        <v>0</v>
      </c>
      <c r="R32" s="395">
        <f>COUNTIF(Area_v1HERTSA,$C32)</f>
        <v>0</v>
      </c>
      <c r="S32" s="395">
        <f>COUNTIF(Area_v2HERTSA,$C32)</f>
        <v>0</v>
      </c>
      <c r="T32" s="395">
        <f>COUNTIF(Area_v3HERTSA,$C32)</f>
        <v>0</v>
      </c>
      <c r="U32" s="395">
        <f>COUNTIF(Area_v4HERTSA,$C32)</f>
        <v>0</v>
      </c>
      <c r="V32" s="395">
        <f>COUNTIF(Area_v5HERTSA,$C32)</f>
        <v>0</v>
      </c>
      <c r="W32" s="395">
        <f>COUNTIF(Area_v5BBRHER,$C32)</f>
        <v>0</v>
      </c>
      <c r="X32" s="395">
        <f>COUNTIF(Area_v1BBRTUN,$C32)</f>
        <v>0</v>
      </c>
      <c r="Y32" s="395">
        <f>COUNTIF(Area_v2BBRTUN,$C32)</f>
        <v>0</v>
      </c>
      <c r="Z32" s="395">
        <f>COUNTIF(Area_v51HERTSA,$C32)</f>
        <v>0</v>
      </c>
      <c r="AA32" s="395">
        <f>COUNTIF(Area_v52HERTSA,$C32)</f>
        <v>0</v>
      </c>
      <c r="AB32" s="395">
        <f>COUNTIF(Area_v53HERTSA,$C32)</f>
        <v>0</v>
      </c>
      <c r="AC32" s="395">
        <f>COUNTIF(Area_v1TSA,$C32)</f>
        <v>0</v>
      </c>
      <c r="AD32" s="395">
        <f>COUNTIF(Area_v2TSA,$C32)</f>
        <v>0</v>
      </c>
      <c r="AE32" s="395">
        <f>COUNTIF(Area_v3TSA,$C32)</f>
        <v>0</v>
      </c>
      <c r="AF32" s="395">
        <f>COUNTIF(Area_v4TSA,$C32)</f>
        <v>0</v>
      </c>
      <c r="AG32" s="395">
        <f>COUNTIF(Area_v5TSA,$C32)</f>
        <v>0</v>
      </c>
      <c r="AH32" s="395">
        <f>COUNTIF(Area_v6TSA,$C32)</f>
        <v>0</v>
      </c>
      <c r="AI32" s="395">
        <f>COUNTIF(Area_v1TSATHA,$C32)</f>
        <v>0</v>
      </c>
      <c r="AJ32" s="395">
        <f>COUNTIF(Area_v2TSATHA,$C32)</f>
        <v>0</v>
      </c>
      <c r="AK32" s="395">
        <f>COUNTIF(Area_v3TSATHA,$C32)</f>
        <v>0</v>
      </c>
      <c r="AL32" s="395">
        <f>COUNTIF(Area_v4THAHOLON,$C32)</f>
        <v>0</v>
      </c>
      <c r="AM32" s="396">
        <f>COUNTIF(Area_v5THAHOLON,$C32)</f>
        <v>0</v>
      </c>
      <c r="AN32" s="209" t="s">
        <v>4457</v>
      </c>
    </row>
    <row r="33" spans="1:40" ht="30" customHeight="1">
      <c r="A33" s="274"/>
      <c r="B33" s="827"/>
      <c r="C33" s="393" t="s">
        <v>4449</v>
      </c>
      <c r="D33" s="394" t="s">
        <v>4449</v>
      </c>
      <c r="E33" s="393" t="s">
        <v>4454</v>
      </c>
      <c r="F33" s="394" t="str">
        <f>F32</f>
        <v>DW6906</v>
      </c>
      <c r="G33" s="800">
        <f t="shared" si="67"/>
        <v>0</v>
      </c>
      <c r="H33" s="395">
        <f>COUNTIF(Area_v1RISHER,$C33)</f>
        <v>0</v>
      </c>
      <c r="I33" s="395">
        <f>COUNTIF(Area_v2RISHER,$C33)</f>
        <v>0</v>
      </c>
      <c r="J33" s="395">
        <f>COUNTIF(Area_v1RAANHER,$C33)</f>
        <v>0</v>
      </c>
      <c r="K33" s="395">
        <f>COUNTIF(Area_v2RAANHER,$C33)</f>
        <v>0</v>
      </c>
      <c r="L33" s="395">
        <f>COUNTIF(Area_v1HER,$C33)</f>
        <v>0</v>
      </c>
      <c r="M33" s="395">
        <f>COUNTIF(Area_v2HER,$C33)</f>
        <v>0</v>
      </c>
      <c r="N33" s="395">
        <f>COUNTIF(Area_v3HER,$C33)</f>
        <v>0</v>
      </c>
      <c r="O33" s="395">
        <f>COUNTIF(Area_v4HER,$C33)</f>
        <v>0</v>
      </c>
      <c r="P33" s="395">
        <f>COUNTIF(Area_v5HER,$C33)</f>
        <v>0</v>
      </c>
      <c r="Q33" s="395">
        <f>COUNTIF(Area_v6HER,$C33)</f>
        <v>0</v>
      </c>
      <c r="R33" s="395">
        <f>COUNTIF(Area_v1HERTSA,$C33)</f>
        <v>0</v>
      </c>
      <c r="S33" s="395">
        <f>COUNTIF(Area_v2HERTSA,$C33)</f>
        <v>0</v>
      </c>
      <c r="T33" s="395">
        <f>COUNTIF(Area_v3HERTSA,$C33)</f>
        <v>0</v>
      </c>
      <c r="U33" s="395">
        <f>COUNTIF(Area_v4HERTSA,$C33)</f>
        <v>0</v>
      </c>
      <c r="V33" s="395">
        <f>COUNTIF(Area_v5HERTSA,$C33)</f>
        <v>0</v>
      </c>
      <c r="W33" s="395">
        <f>COUNTIF(Area_v5BBRHER,$C33)</f>
        <v>0</v>
      </c>
      <c r="X33" s="395">
        <f>COUNTIF(Area_v1BBRTUN,$C33)</f>
        <v>0</v>
      </c>
      <c r="Y33" s="395">
        <f>COUNTIF(Area_v2BBRTUN,$C33)</f>
        <v>0</v>
      </c>
      <c r="Z33" s="395">
        <f>COUNTIF(Area_v51HERTSA,$C33)</f>
        <v>0</v>
      </c>
      <c r="AA33" s="395">
        <f>COUNTIF(Area_v52HERTSA,$C33)</f>
        <v>0</v>
      </c>
      <c r="AB33" s="395">
        <f>COUNTIF(Area_v53HERTSA,$C33)</f>
        <v>0</v>
      </c>
      <c r="AC33" s="395">
        <f>COUNTIF(Area_v1TSA,$C33)</f>
        <v>0</v>
      </c>
      <c r="AD33" s="395">
        <f>COUNTIF(Area_v2TSA,$C33)</f>
        <v>0</v>
      </c>
      <c r="AE33" s="395">
        <f>COUNTIF(Area_v3TSA,$C33)</f>
        <v>0</v>
      </c>
      <c r="AF33" s="395">
        <f>COUNTIF(Area_v4TSA,$C33)</f>
        <v>0</v>
      </c>
      <c r="AG33" s="395">
        <f>COUNTIF(Area_v5TSA,$C33)</f>
        <v>0</v>
      </c>
      <c r="AH33" s="395">
        <f>COUNTIF(Area_v6TSA,$C33)</f>
        <v>0</v>
      </c>
      <c r="AI33" s="395">
        <f>COUNTIF(Area_v1TSATHA,$C33)</f>
        <v>0</v>
      </c>
      <c r="AJ33" s="395">
        <f>COUNTIF(Area_v2TSATHA,$C33)</f>
        <v>0</v>
      </c>
      <c r="AK33" s="395">
        <f>COUNTIF(Area_v3TSATHA,$C33)</f>
        <v>0</v>
      </c>
      <c r="AL33" s="395">
        <f>COUNTIF(Area_v4THAHOLON,$C33)</f>
        <v>0</v>
      </c>
      <c r="AM33" s="396">
        <f>COUNTIF(Area_v5THAHOLON,$C33)</f>
        <v>0</v>
      </c>
      <c r="AN33" s="209" t="s">
        <v>4458</v>
      </c>
    </row>
    <row r="34" spans="1:40" ht="30" customHeight="1">
      <c r="A34" s="276"/>
      <c r="B34" s="1012"/>
      <c r="C34" s="210" t="s">
        <v>4399</v>
      </c>
      <c r="D34" s="292" t="s">
        <v>4399</v>
      </c>
      <c r="E34" s="210" t="s">
        <v>4799</v>
      </c>
      <c r="F34" s="292"/>
      <c r="G34" s="801">
        <f t="shared" si="67"/>
        <v>16</v>
      </c>
      <c r="H34" s="211">
        <f t="shared" si="2"/>
        <v>2</v>
      </c>
      <c r="I34" s="211">
        <f t="shared" si="3"/>
        <v>2</v>
      </c>
      <c r="J34" s="211">
        <f t="shared" si="4"/>
        <v>2</v>
      </c>
      <c r="K34" s="211">
        <f t="shared" si="5"/>
        <v>2</v>
      </c>
      <c r="L34" s="211">
        <f t="shared" si="6"/>
        <v>0</v>
      </c>
      <c r="M34" s="211">
        <f t="shared" si="7"/>
        <v>0</v>
      </c>
      <c r="N34" s="211">
        <f t="shared" si="8"/>
        <v>0</v>
      </c>
      <c r="O34" s="211">
        <f t="shared" si="9"/>
        <v>0</v>
      </c>
      <c r="P34" s="211">
        <f t="shared" si="10"/>
        <v>0</v>
      </c>
      <c r="Q34" s="211">
        <f t="shared" si="11"/>
        <v>0</v>
      </c>
      <c r="R34" s="211">
        <f t="shared" si="12"/>
        <v>2</v>
      </c>
      <c r="S34" s="211">
        <f t="shared" si="13"/>
        <v>2</v>
      </c>
      <c r="T34" s="211">
        <f t="shared" si="14"/>
        <v>2</v>
      </c>
      <c r="U34" s="211">
        <f t="shared" si="15"/>
        <v>0</v>
      </c>
      <c r="V34" s="211">
        <f t="shared" si="16"/>
        <v>0</v>
      </c>
      <c r="W34" s="211">
        <f t="shared" si="17"/>
        <v>0</v>
      </c>
      <c r="X34" s="211">
        <f t="shared" si="18"/>
        <v>1</v>
      </c>
      <c r="Y34" s="211">
        <f t="shared" si="19"/>
        <v>1</v>
      </c>
      <c r="Z34" s="211">
        <f t="shared" si="20"/>
        <v>0</v>
      </c>
      <c r="AA34" s="211">
        <f t="shared" si="21"/>
        <v>0</v>
      </c>
      <c r="AB34" s="211">
        <f t="shared" si="22"/>
        <v>0</v>
      </c>
      <c r="AC34" s="211">
        <f t="shared" si="23"/>
        <v>0</v>
      </c>
      <c r="AD34" s="211">
        <f t="shared" si="24"/>
        <v>0</v>
      </c>
      <c r="AE34" s="211">
        <f t="shared" si="25"/>
        <v>0</v>
      </c>
      <c r="AF34" s="211">
        <f t="shared" si="26"/>
        <v>0</v>
      </c>
      <c r="AG34" s="211">
        <f t="shared" si="27"/>
        <v>0</v>
      </c>
      <c r="AH34" s="211">
        <f t="shared" si="28"/>
        <v>0</v>
      </c>
      <c r="AI34" s="211">
        <f t="shared" si="29"/>
        <v>0</v>
      </c>
      <c r="AJ34" s="211">
        <f t="shared" si="30"/>
        <v>0</v>
      </c>
      <c r="AK34" s="211">
        <f t="shared" si="31"/>
        <v>0</v>
      </c>
      <c r="AL34" s="211">
        <f t="shared" si="32"/>
        <v>0</v>
      </c>
      <c r="AM34" s="212">
        <f t="shared" si="33"/>
        <v>0</v>
      </c>
      <c r="AN34" s="209" t="s">
        <v>4800</v>
      </c>
    </row>
    <row r="35" spans="1:40" ht="30" customHeight="1">
      <c r="A35" s="1630" t="s">
        <v>815</v>
      </c>
      <c r="B35" s="1008"/>
      <c r="C35" s="1346" t="s">
        <v>621</v>
      </c>
      <c r="D35" s="397" t="s">
        <v>471</v>
      </c>
      <c r="E35" s="392" t="s">
        <v>4801</v>
      </c>
      <c r="F35" s="397" t="str">
        <f>F36</f>
        <v>DW6903</v>
      </c>
      <c r="G35" s="802">
        <f t="shared" si="67"/>
        <v>9</v>
      </c>
      <c r="H35" s="398">
        <f t="shared" ref="H35:H40" si="68">COUNTIF(Area_v1RISHER_AncFound,$C35)</f>
        <v>0</v>
      </c>
      <c r="I35" s="398">
        <f t="shared" ref="I35:I40" si="69">COUNTIF(Area_v2RISHER_AncFound,$C35)</f>
        <v>0</v>
      </c>
      <c r="J35" s="398">
        <f t="shared" ref="J35:J40" si="70">COUNTIF(Area_v1RAANHER_AncFound,$C35)</f>
        <v>0</v>
      </c>
      <c r="K35" s="398">
        <f t="shared" ref="K35:K40" si="71">COUNTIF(Area_v2RAANHER_AncFound,$C35)</f>
        <v>0</v>
      </c>
      <c r="L35" s="398">
        <f t="shared" ref="L35:L40" si="72">COUNTIF(Area_v1HER_AncFound,$C35)</f>
        <v>0</v>
      </c>
      <c r="M35" s="398">
        <f t="shared" ref="M35:M40" si="73">COUNTIF(Area_v2HER_AncFound,$C35)</f>
        <v>0</v>
      </c>
      <c r="N35" s="398">
        <f t="shared" ref="N35:N40" si="74">COUNTIF(Area_v3HER_AncFound,$C35)</f>
        <v>0</v>
      </c>
      <c r="O35" s="398">
        <f t="shared" ref="O35:O40" si="75">COUNTIF(Area_v4HER_AncFound,$C35)</f>
        <v>0</v>
      </c>
      <c r="P35" s="398">
        <f t="shared" ref="P35:P40" si="76">COUNTIF(Area_v5HER_AncFound,$C35)</f>
        <v>0</v>
      </c>
      <c r="Q35" s="398">
        <f t="shared" ref="Q35:Q40" si="77">COUNTIF(Area_v6HER_AncFound,$C35)</f>
        <v>0</v>
      </c>
      <c r="R35" s="398">
        <f t="shared" ref="R35:R40" si="78">COUNTIF(Area_v1HERTSA_AncFound,$C35)</f>
        <v>0</v>
      </c>
      <c r="S35" s="398">
        <f t="shared" ref="S35:S40" si="79">COUNTIF(Area_v2HERTSA_AncFound,$C35)</f>
        <v>0</v>
      </c>
      <c r="T35" s="398">
        <f t="shared" ref="T35:T40" si="80">COUNTIF(Area_v3HERTSA_AncFound,$C35)</f>
        <v>0</v>
      </c>
      <c r="U35" s="398">
        <f t="shared" ref="U35:U40" si="81">COUNTIF(Area_v4HERTSA_AncFound,$C35)</f>
        <v>0</v>
      </c>
      <c r="V35" s="398">
        <f t="shared" ref="V35:V40" si="82">COUNTIF(Area_v5HERTSA_AncFound,$C35)</f>
        <v>0</v>
      </c>
      <c r="W35" s="398">
        <f t="shared" ref="W35:W40" si="83">COUNTIF(Area_v5BBRHER_AncFound,$C35)</f>
        <v>0</v>
      </c>
      <c r="X35" s="398">
        <f t="shared" ref="X35:X40" si="84">COUNTIF(Area_v1BBRTUN_AncFound,$C35)</f>
        <v>0</v>
      </c>
      <c r="Y35" s="398">
        <f t="shared" ref="Y35:Y40" si="85">COUNTIF(Area_v2BBRTUN_AncFound,$C35)</f>
        <v>0</v>
      </c>
      <c r="Z35" s="398">
        <f t="shared" ref="Z35:Z40" si="86">COUNTIF(Area_v51HERTSA_AncFound,$C35)</f>
        <v>0</v>
      </c>
      <c r="AA35" s="398">
        <f t="shared" ref="AA35:AA40" si="87">COUNTIF(Area_v52HERTSA_AncFound,$C35)</f>
        <v>0</v>
      </c>
      <c r="AB35" s="398">
        <f t="shared" ref="AB35:AB40" si="88">COUNTIF(Area_v53HERTSA_AncFound,$C35)</f>
        <v>0</v>
      </c>
      <c r="AC35" s="398">
        <f t="shared" ref="AC35:AC40" si="89">COUNTIF(Area_v1TSA_AncFound,$C35)</f>
        <v>0</v>
      </c>
      <c r="AD35" s="398">
        <f t="shared" ref="AD35:AD40" si="90">COUNTIF(Area_v2TSA_AncFound,$C35)</f>
        <v>0</v>
      </c>
      <c r="AE35" s="398">
        <f t="shared" ref="AE35:AE40" si="91">COUNTIF(Area_v3TSA_AncFound,$C35)</f>
        <v>0</v>
      </c>
      <c r="AF35" s="398">
        <f t="shared" ref="AF35:AF40" si="92">COUNTIF(Area_v4TSA_AncFound,$C35)</f>
        <v>0</v>
      </c>
      <c r="AG35" s="398">
        <f t="shared" ref="AG35:AG40" si="93">COUNTIF(Area_v5TSA_AncFound,$C35)</f>
        <v>0</v>
      </c>
      <c r="AH35" s="398">
        <f t="shared" ref="AH35:AH40" si="94">COUNTIF(Area_v6TSA_AncFound,$C35)</f>
        <v>0</v>
      </c>
      <c r="AI35" s="398">
        <f t="shared" ref="AI35:AI40" si="95">COUNTIF(Area_v1TSATHA_AncFound,$C35)</f>
        <v>0</v>
      </c>
      <c r="AJ35" s="398">
        <f t="shared" ref="AJ35:AJ40" si="96">COUNTIF(Area_v2TSATHA_AncFound,$C35)</f>
        <v>0</v>
      </c>
      <c r="AK35" s="398">
        <f t="shared" ref="AK35:AK40" si="97">COUNTIF(Area_v3TSATHA_AncFound,$C35)</f>
        <v>0</v>
      </c>
      <c r="AL35" s="398">
        <f t="shared" ref="AL35:AL40" si="98">COUNTIF(Area_v4THAHOLON_AncFound,$C35)</f>
        <v>4</v>
      </c>
      <c r="AM35" s="399">
        <f t="shared" ref="AM35:AM40" si="99">COUNTIF(Area_v5THAHOLON_AncFound,$C35)</f>
        <v>5</v>
      </c>
      <c r="AN35" s="204" t="s">
        <v>4802</v>
      </c>
    </row>
    <row r="36" spans="1:40" ht="30" customHeight="1">
      <c r="A36" s="1631"/>
      <c r="B36" s="1013"/>
      <c r="C36" s="1345" t="s">
        <v>2787</v>
      </c>
      <c r="D36" s="291" t="s">
        <v>471</v>
      </c>
      <c r="E36" s="205" t="s">
        <v>4803</v>
      </c>
      <c r="F36" s="291" t="str">
        <f>VLOOKUP($C36,'Foundation Calculation'!$W$4:$AE$37,9,FALSE)</f>
        <v>DW6903</v>
      </c>
      <c r="G36" s="795">
        <f t="shared" si="67"/>
        <v>189</v>
      </c>
      <c r="H36" s="207">
        <f t="shared" si="68"/>
        <v>6</v>
      </c>
      <c r="I36" s="207">
        <f t="shared" si="69"/>
        <v>6</v>
      </c>
      <c r="J36" s="207">
        <f t="shared" si="70"/>
        <v>3</v>
      </c>
      <c r="K36" s="207">
        <f t="shared" si="71"/>
        <v>4</v>
      </c>
      <c r="L36" s="207">
        <f t="shared" si="72"/>
        <v>13</v>
      </c>
      <c r="M36" s="207">
        <f t="shared" si="73"/>
        <v>8</v>
      </c>
      <c r="N36" s="207">
        <f t="shared" si="74"/>
        <v>3</v>
      </c>
      <c r="O36" s="207">
        <f t="shared" si="75"/>
        <v>6</v>
      </c>
      <c r="P36" s="207">
        <f t="shared" si="76"/>
        <v>2</v>
      </c>
      <c r="Q36" s="207">
        <f t="shared" si="77"/>
        <v>17</v>
      </c>
      <c r="R36" s="207">
        <f t="shared" si="78"/>
        <v>38</v>
      </c>
      <c r="S36" s="207">
        <f t="shared" si="79"/>
        <v>9</v>
      </c>
      <c r="T36" s="207">
        <f t="shared" si="80"/>
        <v>8</v>
      </c>
      <c r="U36" s="207">
        <f t="shared" si="81"/>
        <v>28</v>
      </c>
      <c r="V36" s="207">
        <f t="shared" si="82"/>
        <v>1</v>
      </c>
      <c r="W36" s="207">
        <f t="shared" si="83"/>
        <v>2</v>
      </c>
      <c r="X36" s="207">
        <f t="shared" si="84"/>
        <v>1</v>
      </c>
      <c r="Y36" s="207">
        <f t="shared" si="85"/>
        <v>4</v>
      </c>
      <c r="Z36" s="207">
        <f t="shared" si="86"/>
        <v>4</v>
      </c>
      <c r="AA36" s="207">
        <f t="shared" si="87"/>
        <v>1</v>
      </c>
      <c r="AB36" s="207">
        <f t="shared" si="88"/>
        <v>0</v>
      </c>
      <c r="AC36" s="207">
        <f t="shared" si="89"/>
        <v>4</v>
      </c>
      <c r="AD36" s="207">
        <f t="shared" si="90"/>
        <v>2</v>
      </c>
      <c r="AE36" s="207">
        <f t="shared" si="91"/>
        <v>2</v>
      </c>
      <c r="AF36" s="207">
        <f t="shared" si="92"/>
        <v>3</v>
      </c>
      <c r="AG36" s="207">
        <f t="shared" si="93"/>
        <v>2</v>
      </c>
      <c r="AH36" s="207">
        <f t="shared" si="94"/>
        <v>2</v>
      </c>
      <c r="AI36" s="207">
        <f t="shared" si="95"/>
        <v>7</v>
      </c>
      <c r="AJ36" s="207">
        <f t="shared" si="96"/>
        <v>2</v>
      </c>
      <c r="AK36" s="207">
        <f t="shared" si="97"/>
        <v>0</v>
      </c>
      <c r="AL36" s="207">
        <f t="shared" si="98"/>
        <v>1</v>
      </c>
      <c r="AM36" s="208">
        <f t="shared" si="99"/>
        <v>0</v>
      </c>
      <c r="AN36" s="209" t="s">
        <v>4804</v>
      </c>
    </row>
    <row r="37" spans="1:40" ht="30" customHeight="1">
      <c r="A37" s="1631"/>
      <c r="B37" s="1013"/>
      <c r="C37" s="205" t="s">
        <v>1662</v>
      </c>
      <c r="D37" s="291" t="s">
        <v>471</v>
      </c>
      <c r="E37" s="205" t="s">
        <v>4805</v>
      </c>
      <c r="F37" s="291" t="str">
        <f>F36</f>
        <v>DW6903</v>
      </c>
      <c r="G37" s="795">
        <f t="shared" si="67"/>
        <v>6</v>
      </c>
      <c r="H37" s="207">
        <f t="shared" si="68"/>
        <v>0</v>
      </c>
      <c r="I37" s="207">
        <f t="shared" si="69"/>
        <v>0</v>
      </c>
      <c r="J37" s="207">
        <f t="shared" si="70"/>
        <v>0</v>
      </c>
      <c r="K37" s="207">
        <f t="shared" si="71"/>
        <v>0</v>
      </c>
      <c r="L37" s="207">
        <f t="shared" si="72"/>
        <v>0</v>
      </c>
      <c r="M37" s="207">
        <f t="shared" si="73"/>
        <v>0</v>
      </c>
      <c r="N37" s="207">
        <f t="shared" si="74"/>
        <v>0</v>
      </c>
      <c r="O37" s="207">
        <f t="shared" si="75"/>
        <v>0</v>
      </c>
      <c r="P37" s="207">
        <f t="shared" si="76"/>
        <v>0</v>
      </c>
      <c r="Q37" s="207">
        <f t="shared" si="77"/>
        <v>0</v>
      </c>
      <c r="R37" s="207">
        <f t="shared" si="78"/>
        <v>0</v>
      </c>
      <c r="S37" s="207">
        <f t="shared" si="79"/>
        <v>0</v>
      </c>
      <c r="T37" s="207">
        <f t="shared" si="80"/>
        <v>0</v>
      </c>
      <c r="U37" s="207">
        <f t="shared" si="81"/>
        <v>0</v>
      </c>
      <c r="V37" s="207">
        <f t="shared" si="82"/>
        <v>0</v>
      </c>
      <c r="W37" s="207">
        <f t="shared" si="83"/>
        <v>1</v>
      </c>
      <c r="X37" s="207">
        <f t="shared" si="84"/>
        <v>3</v>
      </c>
      <c r="Y37" s="207">
        <f t="shared" si="85"/>
        <v>2</v>
      </c>
      <c r="Z37" s="207">
        <f t="shared" si="86"/>
        <v>0</v>
      </c>
      <c r="AA37" s="207">
        <f t="shared" si="87"/>
        <v>0</v>
      </c>
      <c r="AB37" s="207">
        <f t="shared" si="88"/>
        <v>0</v>
      </c>
      <c r="AC37" s="207">
        <f t="shared" si="89"/>
        <v>0</v>
      </c>
      <c r="AD37" s="207">
        <f t="shared" si="90"/>
        <v>0</v>
      </c>
      <c r="AE37" s="207">
        <f t="shared" si="91"/>
        <v>0</v>
      </c>
      <c r="AF37" s="207">
        <f t="shared" si="92"/>
        <v>0</v>
      </c>
      <c r="AG37" s="207">
        <f t="shared" si="93"/>
        <v>0</v>
      </c>
      <c r="AH37" s="207">
        <f t="shared" si="94"/>
        <v>0</v>
      </c>
      <c r="AI37" s="207">
        <f t="shared" si="95"/>
        <v>0</v>
      </c>
      <c r="AJ37" s="207">
        <f t="shared" si="96"/>
        <v>0</v>
      </c>
      <c r="AK37" s="207">
        <f t="shared" si="97"/>
        <v>0</v>
      </c>
      <c r="AL37" s="207">
        <f t="shared" si="98"/>
        <v>0</v>
      </c>
      <c r="AM37" s="208">
        <f t="shared" si="99"/>
        <v>0</v>
      </c>
      <c r="AN37" s="209" t="s">
        <v>4806</v>
      </c>
    </row>
    <row r="38" spans="1:40" ht="30" customHeight="1">
      <c r="A38" s="1631"/>
      <c r="B38" s="1013"/>
      <c r="C38" s="1345" t="s">
        <v>625</v>
      </c>
      <c r="D38" s="291" t="s">
        <v>472</v>
      </c>
      <c r="E38" s="205" t="s">
        <v>4807</v>
      </c>
      <c r="F38" s="291" t="s">
        <v>4711</v>
      </c>
      <c r="G38" s="795">
        <f t="shared" si="67"/>
        <v>9</v>
      </c>
      <c r="H38" s="207">
        <f t="shared" si="68"/>
        <v>0</v>
      </c>
      <c r="I38" s="207">
        <f t="shared" si="69"/>
        <v>0</v>
      </c>
      <c r="J38" s="207">
        <f t="shared" si="70"/>
        <v>0</v>
      </c>
      <c r="K38" s="207">
        <f t="shared" si="71"/>
        <v>0</v>
      </c>
      <c r="L38" s="207">
        <f t="shared" si="72"/>
        <v>0</v>
      </c>
      <c r="M38" s="207">
        <f t="shared" si="73"/>
        <v>0</v>
      </c>
      <c r="N38" s="207">
        <f t="shared" si="74"/>
        <v>0</v>
      </c>
      <c r="O38" s="207">
        <f t="shared" si="75"/>
        <v>0</v>
      </c>
      <c r="P38" s="207">
        <f t="shared" si="76"/>
        <v>0</v>
      </c>
      <c r="Q38" s="207">
        <f t="shared" si="77"/>
        <v>0</v>
      </c>
      <c r="R38" s="207">
        <f t="shared" si="78"/>
        <v>0</v>
      </c>
      <c r="S38" s="207">
        <f t="shared" si="79"/>
        <v>0</v>
      </c>
      <c r="T38" s="207">
        <f t="shared" si="80"/>
        <v>0</v>
      </c>
      <c r="U38" s="207">
        <f t="shared" si="81"/>
        <v>0</v>
      </c>
      <c r="V38" s="207">
        <f t="shared" si="82"/>
        <v>0</v>
      </c>
      <c r="W38" s="207">
        <f t="shared" si="83"/>
        <v>0</v>
      </c>
      <c r="X38" s="207">
        <f t="shared" si="84"/>
        <v>1</v>
      </c>
      <c r="Y38" s="207">
        <f t="shared" si="85"/>
        <v>1</v>
      </c>
      <c r="Z38" s="207">
        <f t="shared" si="86"/>
        <v>0</v>
      </c>
      <c r="AA38" s="207">
        <f t="shared" si="87"/>
        <v>0</v>
      </c>
      <c r="AB38" s="207">
        <f t="shared" si="88"/>
        <v>0</v>
      </c>
      <c r="AC38" s="207">
        <f t="shared" si="89"/>
        <v>0</v>
      </c>
      <c r="AD38" s="207">
        <f t="shared" si="90"/>
        <v>0</v>
      </c>
      <c r="AE38" s="207">
        <f t="shared" si="91"/>
        <v>0</v>
      </c>
      <c r="AF38" s="207">
        <f t="shared" si="92"/>
        <v>0</v>
      </c>
      <c r="AG38" s="207">
        <f t="shared" si="93"/>
        <v>0</v>
      </c>
      <c r="AH38" s="207">
        <f t="shared" si="94"/>
        <v>1</v>
      </c>
      <c r="AI38" s="207">
        <f t="shared" si="95"/>
        <v>0</v>
      </c>
      <c r="AJ38" s="207">
        <f t="shared" si="96"/>
        <v>1</v>
      </c>
      <c r="AK38" s="207">
        <f t="shared" si="97"/>
        <v>0</v>
      </c>
      <c r="AL38" s="207">
        <f t="shared" si="98"/>
        <v>1</v>
      </c>
      <c r="AM38" s="208">
        <f t="shared" si="99"/>
        <v>4</v>
      </c>
      <c r="AN38" s="209" t="s">
        <v>4808</v>
      </c>
    </row>
    <row r="39" spans="1:40" ht="30" customHeight="1">
      <c r="A39" s="1631"/>
      <c r="B39" s="1013"/>
      <c r="C39" s="1345" t="s">
        <v>2788</v>
      </c>
      <c r="D39" s="291" t="s">
        <v>472</v>
      </c>
      <c r="E39" s="205" t="s">
        <v>4809</v>
      </c>
      <c r="F39" s="291" t="s">
        <v>4711</v>
      </c>
      <c r="G39" s="795">
        <f t="shared" ref="G39:G102" si="100">SUM(H39:AM39)</f>
        <v>168</v>
      </c>
      <c r="H39" s="207">
        <f t="shared" si="68"/>
        <v>12</v>
      </c>
      <c r="I39" s="207">
        <f t="shared" si="69"/>
        <v>12</v>
      </c>
      <c r="J39" s="207">
        <f t="shared" si="70"/>
        <v>6</v>
      </c>
      <c r="K39" s="207">
        <f t="shared" si="71"/>
        <v>9</v>
      </c>
      <c r="L39" s="207">
        <f t="shared" si="72"/>
        <v>5</v>
      </c>
      <c r="M39" s="207">
        <f t="shared" si="73"/>
        <v>1</v>
      </c>
      <c r="N39" s="207">
        <f t="shared" si="74"/>
        <v>0</v>
      </c>
      <c r="O39" s="207">
        <f t="shared" si="75"/>
        <v>8</v>
      </c>
      <c r="P39" s="207">
        <f t="shared" si="76"/>
        <v>0</v>
      </c>
      <c r="Q39" s="207">
        <f t="shared" si="77"/>
        <v>4</v>
      </c>
      <c r="R39" s="207">
        <f t="shared" si="78"/>
        <v>37</v>
      </c>
      <c r="S39" s="207">
        <f t="shared" si="79"/>
        <v>6</v>
      </c>
      <c r="T39" s="207">
        <f t="shared" si="80"/>
        <v>12</v>
      </c>
      <c r="U39" s="207">
        <f t="shared" si="81"/>
        <v>28</v>
      </c>
      <c r="V39" s="207">
        <f t="shared" si="82"/>
        <v>0</v>
      </c>
      <c r="W39" s="207">
        <f t="shared" si="83"/>
        <v>6</v>
      </c>
      <c r="X39" s="207">
        <f t="shared" si="84"/>
        <v>1</v>
      </c>
      <c r="Y39" s="207">
        <f t="shared" si="85"/>
        <v>4</v>
      </c>
      <c r="Z39" s="207">
        <f t="shared" si="86"/>
        <v>1</v>
      </c>
      <c r="AA39" s="207">
        <f t="shared" si="87"/>
        <v>0</v>
      </c>
      <c r="AB39" s="207">
        <f t="shared" si="88"/>
        <v>0</v>
      </c>
      <c r="AC39" s="207">
        <f t="shared" si="89"/>
        <v>4</v>
      </c>
      <c r="AD39" s="207">
        <f t="shared" si="90"/>
        <v>1</v>
      </c>
      <c r="AE39" s="207">
        <f t="shared" si="91"/>
        <v>0</v>
      </c>
      <c r="AF39" s="207">
        <f t="shared" si="92"/>
        <v>0</v>
      </c>
      <c r="AG39" s="207">
        <f t="shared" si="93"/>
        <v>0</v>
      </c>
      <c r="AH39" s="207">
        <f t="shared" si="94"/>
        <v>1</v>
      </c>
      <c r="AI39" s="207">
        <f t="shared" si="95"/>
        <v>5</v>
      </c>
      <c r="AJ39" s="207">
        <f t="shared" si="96"/>
        <v>0</v>
      </c>
      <c r="AK39" s="207">
        <f t="shared" si="97"/>
        <v>4</v>
      </c>
      <c r="AL39" s="207">
        <f t="shared" si="98"/>
        <v>1</v>
      </c>
      <c r="AM39" s="208">
        <f t="shared" si="99"/>
        <v>0</v>
      </c>
      <c r="AN39" s="1065" t="s">
        <v>4810</v>
      </c>
    </row>
    <row r="40" spans="1:40" ht="30" customHeight="1">
      <c r="A40" s="1632"/>
      <c r="B40" s="1013"/>
      <c r="C40" s="205" t="s">
        <v>1666</v>
      </c>
      <c r="D40" s="291" t="s">
        <v>472</v>
      </c>
      <c r="E40" s="205" t="s">
        <v>4811</v>
      </c>
      <c r="F40" s="291" t="s">
        <v>4711</v>
      </c>
      <c r="G40" s="795">
        <f t="shared" si="100"/>
        <v>6</v>
      </c>
      <c r="H40" s="207">
        <f t="shared" si="68"/>
        <v>0</v>
      </c>
      <c r="I40" s="207">
        <f t="shared" si="69"/>
        <v>0</v>
      </c>
      <c r="J40" s="207">
        <f t="shared" si="70"/>
        <v>0</v>
      </c>
      <c r="K40" s="207">
        <f t="shared" si="71"/>
        <v>0</v>
      </c>
      <c r="L40" s="207">
        <f t="shared" si="72"/>
        <v>0</v>
      </c>
      <c r="M40" s="207">
        <f t="shared" si="73"/>
        <v>0</v>
      </c>
      <c r="N40" s="207">
        <f t="shared" si="74"/>
        <v>0</v>
      </c>
      <c r="O40" s="207">
        <f t="shared" si="75"/>
        <v>0</v>
      </c>
      <c r="P40" s="207">
        <f t="shared" si="76"/>
        <v>0</v>
      </c>
      <c r="Q40" s="207">
        <f t="shared" si="77"/>
        <v>0</v>
      </c>
      <c r="R40" s="207">
        <f t="shared" si="78"/>
        <v>0</v>
      </c>
      <c r="S40" s="207">
        <f t="shared" si="79"/>
        <v>0</v>
      </c>
      <c r="T40" s="207">
        <f t="shared" si="80"/>
        <v>0</v>
      </c>
      <c r="U40" s="207">
        <f t="shared" si="81"/>
        <v>0</v>
      </c>
      <c r="V40" s="207">
        <f t="shared" si="82"/>
        <v>0</v>
      </c>
      <c r="W40" s="207">
        <f t="shared" si="83"/>
        <v>0</v>
      </c>
      <c r="X40" s="207">
        <f t="shared" si="84"/>
        <v>4</v>
      </c>
      <c r="Y40" s="207">
        <f t="shared" si="85"/>
        <v>2</v>
      </c>
      <c r="Z40" s="207">
        <f t="shared" si="86"/>
        <v>0</v>
      </c>
      <c r="AA40" s="207">
        <f t="shared" si="87"/>
        <v>0</v>
      </c>
      <c r="AB40" s="207">
        <f t="shared" si="88"/>
        <v>0</v>
      </c>
      <c r="AC40" s="207">
        <f t="shared" si="89"/>
        <v>0</v>
      </c>
      <c r="AD40" s="207">
        <f t="shared" si="90"/>
        <v>0</v>
      </c>
      <c r="AE40" s="207">
        <f t="shared" si="91"/>
        <v>0</v>
      </c>
      <c r="AF40" s="207">
        <f t="shared" si="92"/>
        <v>0</v>
      </c>
      <c r="AG40" s="207">
        <f t="shared" si="93"/>
        <v>0</v>
      </c>
      <c r="AH40" s="207">
        <f t="shared" si="94"/>
        <v>0</v>
      </c>
      <c r="AI40" s="207">
        <f t="shared" si="95"/>
        <v>0</v>
      </c>
      <c r="AJ40" s="207">
        <f t="shared" si="96"/>
        <v>0</v>
      </c>
      <c r="AK40" s="207">
        <f t="shared" si="97"/>
        <v>0</v>
      </c>
      <c r="AL40" s="207">
        <f t="shared" si="98"/>
        <v>0</v>
      </c>
      <c r="AM40" s="208">
        <f t="shared" si="99"/>
        <v>0</v>
      </c>
      <c r="AN40" s="209" t="s">
        <v>4812</v>
      </c>
    </row>
    <row r="41" spans="1:40" ht="30" customHeight="1">
      <c r="A41" s="319"/>
      <c r="B41" s="1014"/>
      <c r="C41" s="319" t="s">
        <v>1366</v>
      </c>
      <c r="D41" s="293" t="s">
        <v>473</v>
      </c>
      <c r="E41" s="213" t="s">
        <v>1644</v>
      </c>
      <c r="F41" s="293"/>
      <c r="G41" s="796">
        <f t="shared" si="100"/>
        <v>0</v>
      </c>
      <c r="H41" s="516">
        <f>COUNTIF(Area_v1RISHER,"PL*")+COUNTIF(Area_v1RISHER,"M3")+COUNTIF(Area_v1RISHER,"M5")+COUNTIF(Area_v1RISHER,"M6")-H42-H43</f>
        <v>0</v>
      </c>
      <c r="I41" s="516">
        <f>COUNTIF(Area_v2RISHER,"PL*")+COUNTIF(Area_v2RISHER,"M3")+COUNTIF(Area_v2RISHER,"M5")+COUNTIF(Area_v2RISHER,"M6")-I42-I43</f>
        <v>0</v>
      </c>
      <c r="J41" s="516">
        <f>COUNTIF(Area_v1RAANHER,"PL*")+COUNTIF(Area_v1RAANHER,"M3")+COUNTIF(Area_v1RAANHER,"M5")+COUNTIF(Area_v1RAANHER,"M6")-J42-J43</f>
        <v>0</v>
      </c>
      <c r="K41" s="516">
        <f>COUNTIF(Area_v2RAANHER,"PL*")+COUNTIF(Area_v2RAANHER,"M3")+COUNTIF(Area_v2RAANHER,"M5")+COUNTIF(Area_v2RAANHER,"M6")-K42-K43</f>
        <v>0</v>
      </c>
      <c r="L41" s="516">
        <f>COUNTIF(Area_v1HER,"PL*")+COUNTIF(Area_v1HER,"M3")+COUNTIF(Area_v1HER,"M5")+COUNTIF(Area_v1HER,"M6")-L42-L43</f>
        <v>0</v>
      </c>
      <c r="M41" s="516">
        <f>COUNTIF(Area_v2HER,"PL*")+COUNTIF(Area_v2HER,"M3")+COUNTIF(Area_v2HER,"M5")+COUNTIF(Area_v2HER,"M6")-M42-M43</f>
        <v>0</v>
      </c>
      <c r="N41" s="516">
        <f>COUNTIF(Area_v3HER,"PL*")+COUNTIF(Area_v3HER,"M3")+COUNTIF(Area_v3HER,"M5")+COUNTIF(Area_v3HER,"M6")-N42-N43</f>
        <v>0</v>
      </c>
      <c r="O41" s="516">
        <f>COUNTIF(Area_v4HER,"PL*")+COUNTIF(Area_v4HER,"M3")+COUNTIF(Area_v4HER,"M5")+COUNTIF(Area_v4HER,"M6")-O42-O43</f>
        <v>0</v>
      </c>
      <c r="P41" s="516">
        <f>COUNTIF(Area_v5HER,"PL*")+COUNTIF(Area_v5HER,"M3")+COUNTIF(Area_v5HER,"M5")+COUNTIF(Area_v5HER,"M6")-P42-P43</f>
        <v>0</v>
      </c>
      <c r="Q41" s="516">
        <f>COUNTIF(Area_v6HER,"PL*")+COUNTIF(Area_v6HER,"M3")+COUNTIF(Area_v6HER,"M5")+COUNTIF(Area_v6HER,"M6")-Q42-Q43</f>
        <v>0</v>
      </c>
      <c r="R41" s="516">
        <f>COUNTIF(Area_v1HERTSA,"PL*")+COUNTIF(Area_v1HERTSA,"M3")+COUNTIF(Area_v1HERTSA,"M5")+COUNTIF(Area_v1HERTSA,"M6")-R42-R43</f>
        <v>0</v>
      </c>
      <c r="S41" s="516">
        <f>COUNTIF(Area_v2HERTSA,"PL*")+COUNTIF(Area_v2HERTSA,"M3")+COUNTIF(Area_v2HERTSA,"M5")+COUNTIF(Area_v2HERTSA,"M6")-S42-S43</f>
        <v>0</v>
      </c>
      <c r="T41" s="516">
        <f>COUNTIF(Area_v3HERTSA,"PL*")+COUNTIF(Area_v3HERTSA,"M3")+COUNTIF(Area_v3HERTSA,"M5")+COUNTIF(Area_v3HERTSA,"M6")-T42-T43</f>
        <v>0</v>
      </c>
      <c r="U41" s="214">
        <f>COUNTIF(Area_v4HERTSA,"PL*")+COUNTIF(Area_v4HERTSA,"M3")+COUNTIF(Area_v4HERTSA,"M5")+COUNTIF(Area_v4HERTSA,"M6")-U42-U43</f>
        <v>0</v>
      </c>
      <c r="V41" s="214">
        <f>COUNTIF(Area_v5HERTSA,"PL*")+COUNTIF(Area_v5HERTSA,"M3")+COUNTIF(Area_v5HERTSA,"M5")+COUNTIF(Area_v5HERTSA,"M6")-V42-V43</f>
        <v>0</v>
      </c>
      <c r="W41" s="214">
        <f>COUNTIF(Area_v5BBRHER,"PL*")+COUNTIF(Area_v5BBRHER,"M3")+COUNTIF(Area_v5BBRHER,"M5")+COUNTIF(Area_v5BBRHER,"M6")-W42-W43</f>
        <v>0</v>
      </c>
      <c r="X41" s="214">
        <f>COUNTIF(Area_v1BBRTUN,"PL*")+COUNTIF(Area_v1BBRTUN,"M3")+COUNTIF(Area_v1BBRTUN,"M5")+COUNTIF(Area_v1BBRTUN,"M6")-X42-X43</f>
        <v>0</v>
      </c>
      <c r="Y41" s="214">
        <f>COUNTIF(Area_v2BBRTUN,"PL*")+COUNTIF(Area_v2BBRTUN,"M3")+COUNTIF(Area_v2BBRTUN,"M5")+COUNTIF(Area_v2BBRTUN,"M6")-Y42-Y43</f>
        <v>0</v>
      </c>
      <c r="Z41" s="516">
        <f>COUNTIF(Area_v51HERTSA,"PL*")+COUNTIF(Area_v51HERTSA,"M3")+COUNTIF(Area_v51HERTSA,"M5")+COUNTIF(Area_v51HERTSA,"M6")-Z42-Z43</f>
        <v>0</v>
      </c>
      <c r="AA41" s="516">
        <f>COUNTIF(Area_v52HERTSA,"PL*")+COUNTIF(Area_v52HERTSA,"M3")+COUNTIF(Area_v52HERTSA,"M5")+COUNTIF(Area_v52HERTSA,"M6")-AA42-AA43</f>
        <v>0</v>
      </c>
      <c r="AB41" s="516">
        <f>COUNTIF(Area_v53HERTSA,"PL*")+COUNTIF(Area_v53HERTSA,"M3")+COUNTIF(Area_v53HERTSA,"M5")+COUNTIF(Area_v53HERTSA,"M6")-AB42-AB43</f>
        <v>0</v>
      </c>
      <c r="AC41" s="516">
        <f>COUNTIF(Area_v1TSA,"PL*")+COUNTIF(Area_v1TSA,"M3*")+COUNTIF(Area_v1TSA,"M5*")+COUNTIF(Area_v1TSA,"M6*")-AC42-AC43</f>
        <v>0</v>
      </c>
      <c r="AD41" s="516">
        <f>COUNTIF(Area_v2TSA,"PL*")+COUNTIF(Area_v2TSA,"M3*")+COUNTIF(Area_v2TSA,"M5*")+COUNTIF(Area_v2TSA,"M6*")-AD42-AD43</f>
        <v>0</v>
      </c>
      <c r="AE41" s="516">
        <f>COUNTIF(Area_v3TSA,"PL*")+COUNTIF(Area_v3TSA,"M3*")+COUNTIF(Area_v3TSA,"M5*")+COUNTIF(Area_v3TSA,"M6*")-AE42-AE43</f>
        <v>0</v>
      </c>
      <c r="AF41" s="516">
        <f>COUNTIF(Area_v4TSA,"PL*")+COUNTIF(Area_v4TSA,"M3*")+COUNTIF(Area_v4TSA,"M5*")+COUNTIF(Area_v4TSA,"M6*")-AF42-AF43</f>
        <v>0</v>
      </c>
      <c r="AG41" s="516">
        <f>COUNTIF(Area_v5TSA,"PL*")+COUNTIF(Area_v5TSA,"M3*")+COUNTIF(Area_v5TSA,"M5*")+COUNTIF(Area_v5TSA,"M6*")-AG42-AG43</f>
        <v>0</v>
      </c>
      <c r="AH41" s="516">
        <f>COUNTIF(Area_v6TSA,"PL*")+COUNTIF(Area_v6TSA,"M3*")+COUNTIF(Area_v6TSA,"M5*")+COUNTIF(Area_v6TSA,"M6*")-AH42-AH43</f>
        <v>0</v>
      </c>
      <c r="AI41" s="214">
        <f>COUNTIF(Area_v1TSATHA,"PL*")+COUNTIF(Area_v1TSATHA,"M3*")+COUNTIF(Area_v1TSATHA,"M5*")+COUNTIF(Area_v1TSATHA,"M6*")-AI42-AI43</f>
        <v>0</v>
      </c>
      <c r="AJ41" s="214">
        <f>COUNTIF(Area_v2TSATHA,"PL*")+COUNTIF(Area_v2TSATHA,"M3*")+COUNTIF(Area_v2TSATHA,"M5*")+COUNTIF(Area_v2TSATHA,"M6*")-AJ42-AJ43</f>
        <v>0</v>
      </c>
      <c r="AK41" s="214">
        <f>COUNTIF(Area_v3TSATHA,"PL*")+COUNTIF(Area_v3TSATHA,"M3*")+COUNTIF(Area_v3TSATHA,"M5*")+COUNTIF(Area_v3TSATHA,"M6*")-AK42-AK43</f>
        <v>0</v>
      </c>
      <c r="AL41" s="214">
        <f>COUNTIF(Area_v4THAHOLON,"PL*")+COUNTIF(Area_v4THAHOLON,"M3")+COUNTIF(Area_v4THAHOLON,"M5")+COUNTIF(Area_v4THAHOLON,"M6")-AL42-AL43</f>
        <v>0</v>
      </c>
      <c r="AM41" s="215">
        <f>COUNTIF(Area_v5THAHOLON,"PL*")+COUNTIF(Area_v5THAHOLON,"M3")+COUNTIF(Area_v5THAHOLON,"M5")+COUNTIF(Area_v5THAHOLON,"M6")-AM42-AM43</f>
        <v>0</v>
      </c>
      <c r="AN41" s="1066" t="s">
        <v>1049</v>
      </c>
    </row>
    <row r="42" spans="1:40" ht="30" customHeight="1">
      <c r="A42" s="320" t="s">
        <v>816</v>
      </c>
      <c r="B42" s="1015" t="s">
        <v>817</v>
      </c>
      <c r="C42" s="320"/>
      <c r="D42" s="296" t="s">
        <v>474</v>
      </c>
      <c r="E42" s="216" t="s">
        <v>1645</v>
      </c>
      <c r="F42" s="1001"/>
      <c r="G42" s="797">
        <f t="shared" si="100"/>
        <v>0</v>
      </c>
      <c r="H42" s="517">
        <f>COUNTIF(Area_v1RISHER,"PL*")+COUNTIF(Area_v1RISHER,"M3")+COUNTIF(Area_v1RISHER,"M5")+COUNTIF(Area_v1RISHER,"M6")-H43-H44</f>
        <v>0</v>
      </c>
      <c r="I42" s="517">
        <f>COUNTIF(Area_v2RISHER,"PL*")+COUNTIF(Area_v2RISHER,"M3")+COUNTIF(Area_v2RISHER,"M5")+COUNTIF(Area_v2RISHER,"M6")-I43-I44</f>
        <v>0</v>
      </c>
      <c r="J42" s="517">
        <f>COUNTIF(Area_v1RAANHER,"PL*")+COUNTIF(Area_v1RAANHER,"M3")+COUNTIF(Area_v1RAANHER,"M5")+COUNTIF(Area_v1RAANHER,"M6")-J43-J44</f>
        <v>0</v>
      </c>
      <c r="K42" s="517">
        <f>COUNTIF(Area_v2RAANHER,"PL*")+COUNTIF(Area_v2RAANHER,"M3")+COUNTIF(Area_v2RAANHER,"M5")+COUNTIF(Area_v2RAANHER,"M6")-K43-K44</f>
        <v>0</v>
      </c>
      <c r="L42" s="517">
        <f>COUNTIF(Area_v1HER,"PL*")+COUNTIF(Area_v1HER,"M3")+COUNTIF(Area_v1HER,"M5")+COUNTIF(Area_v1HER,"M6")-L43-L44</f>
        <v>0</v>
      </c>
      <c r="M42" s="517">
        <f>COUNTIF(Area_v2HER,"PL*")+COUNTIF(Area_v2HER,"M3")+COUNTIF(Area_v2HER,"M5")+COUNTIF(Area_v2HER,"M6")-M43-M44</f>
        <v>0</v>
      </c>
      <c r="N42" s="517">
        <f>COUNTIF(Area_v3HER,"PL*")+COUNTIF(Area_v3HER,"M3")+COUNTIF(Area_v3HER,"M5")+COUNTIF(Area_v3HER,"M6")-N43-N44</f>
        <v>0</v>
      </c>
      <c r="O42" s="517">
        <f>COUNTIF(Area_v4HER,"PL*")+COUNTIF(Area_v4HER,"M3")+COUNTIF(Area_v4HER,"M5")+COUNTIF(Area_v4HER,"M6")-O43-O44</f>
        <v>0</v>
      </c>
      <c r="P42" s="517">
        <f>COUNTIF(Area_v5HER,"PL*")+COUNTIF(Area_v5HER,"M3")+COUNTIF(Area_v5HER,"M5")+COUNTIF(Area_v5HER,"M6")-P43-P44</f>
        <v>0</v>
      </c>
      <c r="Q42" s="517">
        <f>COUNTIF(Area_v6HER,"PL*")+COUNTIF(Area_v6HER,"M3")+COUNTIF(Area_v6HER,"M5")+COUNTIF(Area_v6HER,"M6")-Q43-Q44</f>
        <v>0</v>
      </c>
      <c r="R42" s="517">
        <f>COUNTIF(Area_v1HERTSA,"PL*")+COUNTIF(Area_v1HERTSA,"M3")+COUNTIF(Area_v1HERTSA,"M5")+COUNTIF(Area_v1HERTSA,"M6")-R43-R44</f>
        <v>0</v>
      </c>
      <c r="S42" s="517">
        <f>COUNTIF(Area_v2HERTSA,"PL*")+COUNTIF(Area_v2HERTSA,"M3")+COUNTIF(Area_v2HERTSA,"M5")+COUNTIF(Area_v2HERTSA,"M6")-S43-S44</f>
        <v>0</v>
      </c>
      <c r="T42" s="517">
        <f>COUNTIF(Area_v3HERTSA,"PL*")+COUNTIF(Area_v3HERTSA,"M3")+COUNTIF(Area_v3HERTSA,"M5")+COUNTIF(Area_v3HERTSA,"M6")-T43-T44</f>
        <v>0</v>
      </c>
      <c r="U42" s="217">
        <f>COUNTIF(Area_v4HERTSA,"PL*")+COUNTIF(Area_v4HERTSA,"M3")+COUNTIF(Area_v4HERTSA,"M5")+COUNTIF(Area_v4HERTSA,"M6")-U43-U44</f>
        <v>0</v>
      </c>
      <c r="V42" s="217">
        <f>COUNTIF(Area_v5HERTSA,"PL*")+COUNTIF(Area_v5HERTSA,"M3")+COUNTIF(Area_v5HERTSA,"M5")+COUNTIF(Area_v5HERTSA,"M6")-V43-V44</f>
        <v>0</v>
      </c>
      <c r="W42" s="217">
        <f>COUNTIF(Area_v5BBRHER,"PL*")+COUNTIF(Area_v5BBRHER,"M3")+COUNTIF(Area_v5BBRHER,"M5")+COUNTIF(Area_v5BBRHER,"M6")-W43-W44</f>
        <v>0</v>
      </c>
      <c r="X42" s="217">
        <f>COUNTIF(Area_v1BBRTUN,"PL*")+COUNTIF(Area_v1BBRTUN,"M3")+COUNTIF(Area_v1BBRTUN,"M5")+COUNTIF(Area_v1BBRTUN,"M6")-X43-X44</f>
        <v>0</v>
      </c>
      <c r="Y42" s="217">
        <f>COUNTIF(Area_v2BBRTUN,"PL*")+COUNTIF(Area_v2BBRTUN,"M3")+COUNTIF(Area_v2BBRTUN,"M5")+COUNTIF(Area_v2BBRTUN,"M6")-Y43-Y44</f>
        <v>0</v>
      </c>
      <c r="Z42" s="517">
        <f>COUNTIF(Area_v51HERTSA,"PL*")+COUNTIF(Area_v51HERTSA,"M3")+COUNTIF(Area_v51HERTSA,"M5")+COUNTIF(Area_v51HERTSA,"M6")-Z43-Z44</f>
        <v>0</v>
      </c>
      <c r="AA42" s="517">
        <f>COUNTIF(Area_v52HERTSA,"PL*")+COUNTIF(Area_v52HERTSA,"M3")+COUNTIF(Area_v52HERTSA,"M5")+COUNTIF(Area_v52HERTSA,"M6")-AA43-AA44</f>
        <v>0</v>
      </c>
      <c r="AB42" s="517">
        <f>COUNTIF(Area_v53HERTSA,"PL*")+COUNTIF(Area_v53HERTSA,"M3")+COUNTIF(Area_v53HERTSA,"M5")+COUNTIF(Area_v53HERTSA,"M6")-AB43-AB44</f>
        <v>0</v>
      </c>
      <c r="AC42" s="517">
        <f>COUNTIF(Area_v1TSA,"PL*")+COUNTIF(Area_v1TSA,"M3*")+COUNTIF(Area_v1TSA,"M5*")+COUNTIF(Area_v1TSA,"M6*")-AC43-AC44</f>
        <v>0</v>
      </c>
      <c r="AD42" s="517">
        <f>COUNTIF(Area_v2TSA,"PL*")+COUNTIF(Area_v2TSA,"M3*")+COUNTIF(Area_v2TSA,"M5*")+COUNTIF(Area_v2TSA,"M6*")-AD43-AD44</f>
        <v>0</v>
      </c>
      <c r="AE42" s="517">
        <f>COUNTIF(Area_v3TSA,"PL*")+COUNTIF(Area_v3TSA,"M3*")+COUNTIF(Area_v3TSA,"M5*")+COUNTIF(Area_v3TSA,"M6*")-AE43-AE44</f>
        <v>0</v>
      </c>
      <c r="AF42" s="517">
        <f>COUNTIF(Area_v4TSA,"PL*")+COUNTIF(Area_v4TSA,"M3*")+COUNTIF(Area_v4TSA,"M5*")+COUNTIF(Area_v4TSA,"M6*")-AF43-AF44</f>
        <v>0</v>
      </c>
      <c r="AG42" s="517">
        <f>COUNTIF(Area_v5TSA,"PL*")+COUNTIF(Area_v5TSA,"M3*")+COUNTIF(Area_v5TSA,"M5*")+COUNTIF(Area_v5TSA,"M6*")-AG43-AG44</f>
        <v>0</v>
      </c>
      <c r="AH42" s="517">
        <f>COUNTIF(Area_v6TSA,"PL*")+COUNTIF(Area_v6TSA,"M3*")+COUNTIF(Area_v6TSA,"M5*")+COUNTIF(Area_v6TSA,"M6*")-AH43-AH44</f>
        <v>0</v>
      </c>
      <c r="AI42" s="217">
        <f>COUNTIF(Area_v1TSATHA,"PL*")+COUNTIF(Area_v1TSATHA,"M3*")+COUNTIF(Area_v1TSATHA,"M5*")+COUNTIF(Area_v1TSATHA,"M6*")-AI43-AI44</f>
        <v>0</v>
      </c>
      <c r="AJ42" s="217">
        <f>COUNTIF(Area_v2TSATHA,"PL*")+COUNTIF(Area_v2TSATHA,"M3*")+COUNTIF(Area_v2TSATHA,"M5*")+COUNTIF(Area_v2TSATHA,"M6*")-AJ43-AJ44</f>
        <v>0</v>
      </c>
      <c r="AK42" s="217">
        <f>COUNTIF(Area_v3TSATHA,"PL*")+COUNTIF(Area_v3TSATHA,"M3*")+COUNTIF(Area_v3TSATHA,"M5*")+COUNTIF(Area_v3TSATHA,"M6*")-AK43-AK44</f>
        <v>0</v>
      </c>
      <c r="AL42" s="217">
        <f>COUNTIF(Area_v4THAHOLON,"PL*")+COUNTIF(Area_v4THAHOLON,"M3")+COUNTIF(Area_v4THAHOLON,"M5")+COUNTIF(Area_v4THAHOLON,"M6")-AL43-AL44</f>
        <v>0</v>
      </c>
      <c r="AM42" s="218">
        <f>COUNTIF(Area_v5THAHOLON,"PL*")+COUNTIF(Area_v5THAHOLON,"M3")+COUNTIF(Area_v5THAHOLON,"M5")+COUNTIF(Area_v5THAHOLON,"M6")-AM43-AM44</f>
        <v>0</v>
      </c>
      <c r="AN42" s="1067" t="s">
        <v>1050</v>
      </c>
    </row>
    <row r="43" spans="1:40" ht="30" customHeight="1">
      <c r="A43" s="321"/>
      <c r="B43" s="1016"/>
      <c r="C43" s="321"/>
      <c r="D43" s="294" t="s">
        <v>475</v>
      </c>
      <c r="E43" s="219" t="s">
        <v>1646</v>
      </c>
      <c r="F43" s="294"/>
      <c r="G43" s="798">
        <f t="shared" si="100"/>
        <v>0</v>
      </c>
      <c r="H43" s="518">
        <f>COUNTIF(Area_v1RISHER,"PL*")+COUNTIF(Area_v1RISHER,"M3")+COUNTIF(Area_v1RISHER,"M5")+COUNTIF(Area_v1RISHER,"M6")-H44-H45</f>
        <v>0</v>
      </c>
      <c r="I43" s="518">
        <f>COUNTIF(Area_v2RISHER,"PL*")+COUNTIF(Area_v2RISHER,"M3")+COUNTIF(Area_v2RISHER,"M5")+COUNTIF(Area_v2RISHER,"M6")-I44-I45</f>
        <v>0</v>
      </c>
      <c r="J43" s="518">
        <f>COUNTIF(Area_v1RAANHER,"PL*")+COUNTIF(Area_v1RAANHER,"M3")+COUNTIF(Area_v1RAANHER,"M5")+COUNTIF(Area_v1RAANHER,"M6")-J44-J45</f>
        <v>0</v>
      </c>
      <c r="K43" s="518">
        <f>COUNTIF(Area_v2RAANHER,"PL*")+COUNTIF(Area_v2RAANHER,"M3")+COUNTIF(Area_v2RAANHER,"M5")+COUNTIF(Area_v2RAANHER,"M6")-K44-K45</f>
        <v>0</v>
      </c>
      <c r="L43" s="518">
        <f>COUNTIF(Area_v1HER,"PL*")+COUNTIF(Area_v1HER,"M3")+COUNTIF(Area_v1HER,"M5")+COUNTIF(Area_v1HER,"M6")-L44-L45</f>
        <v>0</v>
      </c>
      <c r="M43" s="518">
        <f>COUNTIF(Area_v2HER,"PL*")+COUNTIF(Area_v2HER,"M3")+COUNTIF(Area_v2HER,"M5")+COUNTIF(Area_v2HER,"M6")-M44-M45</f>
        <v>0</v>
      </c>
      <c r="N43" s="518">
        <f>COUNTIF(Area_v3HER,"PL*")+COUNTIF(Area_v3HER,"M3")+COUNTIF(Area_v3HER,"M5")+COUNTIF(Area_v3HER,"M6")-N44-N45</f>
        <v>0</v>
      </c>
      <c r="O43" s="518">
        <f>COUNTIF(Area_v4HER,"PL*")+COUNTIF(Area_v4HER,"M3")+COUNTIF(Area_v4HER,"M5")+COUNTIF(Area_v4HER,"M6")-O44-O45</f>
        <v>0</v>
      </c>
      <c r="P43" s="518">
        <f>COUNTIF(Area_v5HER,"PL*")+COUNTIF(Area_v5HER,"M3")+COUNTIF(Area_v5HER,"M5")+COUNTIF(Area_v5HER,"M6")-P44-P45</f>
        <v>0</v>
      </c>
      <c r="Q43" s="518">
        <f>COUNTIF(Area_v6HER,"PL*")+COUNTIF(Area_v6HER,"M3")+COUNTIF(Area_v6HER,"M5")+COUNTIF(Area_v6HER,"M6")-Q44-Q45</f>
        <v>0</v>
      </c>
      <c r="R43" s="518">
        <f>COUNTIF(Area_v1HERTSA,"PL*")+COUNTIF(Area_v1HERTSA,"M3")+COUNTIF(Area_v1HERTSA,"M5")+COUNTIF(Area_v1HERTSA,"M6")-R44-R45</f>
        <v>0</v>
      </c>
      <c r="S43" s="518">
        <f>COUNTIF(Area_v2HERTSA,"PL*")+COUNTIF(Area_v2HERTSA,"M3")+COUNTIF(Area_v2HERTSA,"M5")+COUNTIF(Area_v2HERTSA,"M6")-S44-S45</f>
        <v>0</v>
      </c>
      <c r="T43" s="518">
        <f>COUNTIF(Area_v3HERTSA,"PL*")+COUNTIF(Area_v3HERTSA,"M3")+COUNTIF(Area_v3HERTSA,"M5")+COUNTIF(Area_v3HERTSA,"M6")-T44-T45</f>
        <v>0</v>
      </c>
      <c r="U43" s="220">
        <f>COUNTIF(Area_v4HERTSA,"PL*")+COUNTIF(Area_v4HERTSA,"M3")+COUNTIF(Area_v4HERTSA,"M5")+COUNTIF(Area_v4HERTSA,"M6")-U44-U45</f>
        <v>0</v>
      </c>
      <c r="V43" s="220">
        <f>COUNTIF(Area_v5HERTSA,"PL*")+COUNTIF(Area_v5HERTSA,"M3")+COUNTIF(Area_v5HERTSA,"M5")+COUNTIF(Area_v5HERTSA,"M6")-V44-V45</f>
        <v>0</v>
      </c>
      <c r="W43" s="220">
        <f>COUNTIF(Area_v5BBRHER,"PL*")+COUNTIF(Area_v5BBRHER,"M3")+COUNTIF(Area_v5BBRHER,"M5")+COUNTIF(Area_v5BBRHER,"M6")-W44-W45</f>
        <v>0</v>
      </c>
      <c r="X43" s="220">
        <f>COUNTIF(Area_v1BBRTUN,"PL*")+COUNTIF(Area_v1BBRTUN,"M3")+COUNTIF(Area_v1BBRTUN,"M5")+COUNTIF(Area_v1BBRTUN,"M6")-X44-X45</f>
        <v>0</v>
      </c>
      <c r="Y43" s="220">
        <f>COUNTIF(Area_v2BBRTUN,"PL*")+COUNTIF(Area_v2BBRTUN,"M3")+COUNTIF(Area_v2BBRTUN,"M5")+COUNTIF(Area_v2BBRTUN,"M6")-Y44-Y45</f>
        <v>0</v>
      </c>
      <c r="Z43" s="518">
        <f>COUNTIF(Area_v51HERTSA,"PL*")+COUNTIF(Area_v51HERTSA,"M3")+COUNTIF(Area_v51HERTSA,"M5")+COUNTIF(Area_v51HERTSA,"M6")-Z44-Z45</f>
        <v>0</v>
      </c>
      <c r="AA43" s="518">
        <f>COUNTIF(Area_v52HERTSA,"PL*")+COUNTIF(Area_v52HERTSA,"M3")+COUNTIF(Area_v52HERTSA,"M5")+COUNTIF(Area_v52HERTSA,"M6")-AA44-AA45</f>
        <v>0</v>
      </c>
      <c r="AB43" s="518">
        <f>COUNTIF(Area_v53HERTSA,"PL*")+COUNTIF(Area_v53HERTSA,"M3")+COUNTIF(Area_v53HERTSA,"M5")+COUNTIF(Area_v53HERTSA,"M6")-AB44-AB45</f>
        <v>0</v>
      </c>
      <c r="AC43" s="518">
        <f>COUNTIF(Area_v1TSA,"PL*")+COUNTIF(Area_v1TSA,"M3*")+COUNTIF(Area_v1TSA,"M5*")+COUNTIF(Area_v1TSA,"M6*")-AC44-AC45</f>
        <v>0</v>
      </c>
      <c r="AD43" s="518">
        <f>COUNTIF(Area_v2TSA,"PL*")+COUNTIF(Area_v2TSA,"M3*")+COUNTIF(Area_v2TSA,"M5*")+COUNTIF(Area_v2TSA,"M6*")-AD44-AD45</f>
        <v>0</v>
      </c>
      <c r="AE43" s="518">
        <f>COUNTIF(Area_v3TSA,"PL*")+COUNTIF(Area_v3TSA,"M3*")+COUNTIF(Area_v3TSA,"M5*")+COUNTIF(Area_v3TSA,"M6*")-AE44-AE45</f>
        <v>0</v>
      </c>
      <c r="AF43" s="518">
        <f>COUNTIF(Area_v4TSA,"PL*")+COUNTIF(Area_v4TSA,"M3*")+COUNTIF(Area_v4TSA,"M5*")+COUNTIF(Area_v4TSA,"M6*")-AF44-AF45</f>
        <v>0</v>
      </c>
      <c r="AG43" s="518">
        <f>COUNTIF(Area_v5TSA,"PL*")+COUNTIF(Area_v5TSA,"M3*")+COUNTIF(Area_v5TSA,"M5*")+COUNTIF(Area_v5TSA,"M6*")-AG44-AG45</f>
        <v>0</v>
      </c>
      <c r="AH43" s="518">
        <f>COUNTIF(Area_v6TSA,"PL*")+COUNTIF(Area_v6TSA,"M3*")+COUNTIF(Area_v6TSA,"M5*")+COUNTIF(Area_v6TSA,"M6*")-AH44-AH45</f>
        <v>0</v>
      </c>
      <c r="AI43" s="220">
        <f>COUNTIF(Area_v1TSATHA,"PL*")+COUNTIF(Area_v1TSATHA,"M3*")+COUNTIF(Area_v1TSATHA,"M5*")+COUNTIF(Area_v1TSATHA,"M6*")-AI44-AI45</f>
        <v>0</v>
      </c>
      <c r="AJ43" s="220">
        <f>COUNTIF(Area_v2TSATHA,"PL*")+COUNTIF(Area_v2TSATHA,"M3*")+COUNTIF(Area_v2TSATHA,"M5*")+COUNTIF(Area_v2TSATHA,"M6*")-AJ44-AJ45</f>
        <v>0</v>
      </c>
      <c r="AK43" s="220">
        <f>COUNTIF(Area_v3TSATHA,"PL*")+COUNTIF(Area_v3TSATHA,"M3*")+COUNTIF(Area_v3TSATHA,"M5*")+COUNTIF(Area_v3TSATHA,"M6*")-AK44-AK45</f>
        <v>0</v>
      </c>
      <c r="AL43" s="220">
        <f>COUNTIF(Area_v4THAHOLON,"PL*")+COUNTIF(Area_v4THAHOLON,"M3")+COUNTIF(Area_v4THAHOLON,"M5")+COUNTIF(Area_v4THAHOLON,"M6")-AL44-AL45</f>
        <v>0</v>
      </c>
      <c r="AM43" s="221">
        <f>COUNTIF(Area_v5THAHOLON,"PL*")+COUNTIF(Area_v5THAHOLON,"M3")+COUNTIF(Area_v5THAHOLON,"M5")+COUNTIF(Area_v5THAHOLON,"M6")-AM44-AM45</f>
        <v>0</v>
      </c>
      <c r="AN43" s="1067" t="s">
        <v>1051</v>
      </c>
    </row>
    <row r="44" spans="1:40" ht="30" customHeight="1">
      <c r="A44" s="277"/>
      <c r="B44" s="1017"/>
      <c r="C44" s="322" t="s">
        <v>1525</v>
      </c>
      <c r="D44" s="295" t="s">
        <v>1525</v>
      </c>
      <c r="E44" s="222" t="s">
        <v>1526</v>
      </c>
      <c r="F44" s="295" t="s">
        <v>1527</v>
      </c>
      <c r="G44" s="799">
        <f t="shared" si="100"/>
        <v>0</v>
      </c>
      <c r="H44" s="519">
        <f t="shared" ref="G44:H107" si="101">COUNTIF(Area_v1RISHER,$C44)</f>
        <v>0</v>
      </c>
      <c r="I44" s="519">
        <f t="shared" ref="H44:I107" si="102">COUNTIF(Area_v2RISHER,$C44)</f>
        <v>0</v>
      </c>
      <c r="J44" s="519">
        <f t="shared" ref="I44:J83" si="103">COUNTIF(Area_v1RAANHER,$C44)</f>
        <v>0</v>
      </c>
      <c r="K44" s="519">
        <f t="shared" ref="J44:K83" si="104">COUNTIF(Area_v2RAANHER,$C44)</f>
        <v>0</v>
      </c>
      <c r="L44" s="519">
        <f t="shared" ref="K44:L107" si="105">COUNTIF(Area_v1HER,$C44)</f>
        <v>0</v>
      </c>
      <c r="M44" s="519">
        <f t="shared" ref="L44:M107" si="106">COUNTIF(Area_v2HER,$C44)</f>
        <v>0</v>
      </c>
      <c r="N44" s="519">
        <f t="shared" ref="M44:N107" si="107">COUNTIF(Area_v3HER,$C44)</f>
        <v>0</v>
      </c>
      <c r="O44" s="519">
        <f t="shared" ref="N44:O107" si="108">COUNTIF(Area_v4HER,$C44)</f>
        <v>0</v>
      </c>
      <c r="P44" s="519">
        <f t="shared" ref="O44:P107" si="109">COUNTIF(Area_v5HER,$C44)</f>
        <v>0</v>
      </c>
      <c r="Q44" s="519">
        <f t="shared" ref="P44:Q107" si="110">COUNTIF(Area_v6HER,$C44)</f>
        <v>0</v>
      </c>
      <c r="R44" s="519">
        <f t="shared" ref="Q44:R107" si="111">COUNTIF(Area_v1HERTSA,$C44)</f>
        <v>0</v>
      </c>
      <c r="S44" s="519">
        <f t="shared" ref="R44:S107" si="112">COUNTIF(Area_v2HERTSA,$C44)</f>
        <v>0</v>
      </c>
      <c r="T44" s="519">
        <f t="shared" ref="S44:T107" si="113">COUNTIF(Area_v3HERTSA,$C44)</f>
        <v>0</v>
      </c>
      <c r="U44" s="223">
        <f t="shared" ref="T44:U135" si="114">COUNTIF(Area_v4HERTSA,$C44)</f>
        <v>0</v>
      </c>
      <c r="V44" s="223">
        <f t="shared" ref="U44:V83" si="115">COUNTIF(Area_v5HERTSA,$C44)</f>
        <v>0</v>
      </c>
      <c r="W44" s="223">
        <f t="shared" ref="V44:W83" si="116">COUNTIF(Area_v5BBRHER,$C44)</f>
        <v>0</v>
      </c>
      <c r="X44" s="223">
        <f t="shared" ref="W44:X83" si="117">COUNTIF(Area_v1BBRTUN,$C44)</f>
        <v>0</v>
      </c>
      <c r="Y44" s="223">
        <f t="shared" ref="X44:Y83" si="118">COUNTIF(Area_v2BBRTUN,$C44)</f>
        <v>0</v>
      </c>
      <c r="Z44" s="519">
        <f t="shared" ref="Y44:Z107" si="119">COUNTIF(Area_v51HERTSA,$C44)</f>
        <v>0</v>
      </c>
      <c r="AA44" s="519">
        <f t="shared" ref="Z44:AA107" si="120">COUNTIF(Area_v52HERTSA,$C44)</f>
        <v>0</v>
      </c>
      <c r="AB44" s="519">
        <f t="shared" ref="AA44:AB107" si="121">COUNTIF(Area_v53HERTSA,$C44)</f>
        <v>0</v>
      </c>
      <c r="AC44" s="519">
        <f t="shared" ref="AB44:AC107" si="122">COUNTIF(Area_v1TSA,$C44)</f>
        <v>0</v>
      </c>
      <c r="AD44" s="519">
        <f t="shared" ref="AC44:AD107" si="123">COUNTIF(Area_v2TSA,$C44)</f>
        <v>0</v>
      </c>
      <c r="AE44" s="519">
        <f t="shared" ref="AD44:AE107" si="124">COUNTIF(Area_v3TSA,$C44)</f>
        <v>0</v>
      </c>
      <c r="AF44" s="519">
        <f t="shared" ref="AE44:AF107" si="125">COUNTIF(Area_v4TSA,$C44)</f>
        <v>0</v>
      </c>
      <c r="AG44" s="519">
        <f t="shared" ref="AF44:AG107" si="126">COUNTIF(Area_v5TSA,$C44)</f>
        <v>0</v>
      </c>
      <c r="AH44" s="519">
        <f t="shared" ref="AG44:AH107" si="127">COUNTIF(Area_v6TSA,$C44)</f>
        <v>0</v>
      </c>
      <c r="AI44" s="223">
        <f t="shared" ref="AI44:AI53" si="128">COUNTIF(Area_v1TSATHA,$C44)</f>
        <v>0</v>
      </c>
      <c r="AJ44" s="223">
        <f>COUNTIF(Area_v2TSATHA,$C44)</f>
        <v>0</v>
      </c>
      <c r="AK44" s="223">
        <f t="shared" ref="AK44:AK50" si="129">COUNTIF(Area_v3TSATHA,$C44)</f>
        <v>0</v>
      </c>
      <c r="AL44" s="223">
        <f t="shared" ref="AK44:AL107" si="130">COUNTIF(Area_v4THAHOLON,$C44)</f>
        <v>0</v>
      </c>
      <c r="AM44" s="224">
        <f t="shared" ref="AM44:AM50" si="131">COUNTIF(Area_v5THAHOLON,$C44)</f>
        <v>0</v>
      </c>
      <c r="AN44" s="1067"/>
    </row>
    <row r="45" spans="1:40" ht="30" customHeight="1">
      <c r="A45" s="278"/>
      <c r="B45" s="1018"/>
      <c r="C45" s="323" t="s">
        <v>1528</v>
      </c>
      <c r="D45" s="296" t="s">
        <v>1528</v>
      </c>
      <c r="E45" s="216" t="s">
        <v>1529</v>
      </c>
      <c r="F45" s="296"/>
      <c r="G45" s="797">
        <f t="shared" si="100"/>
        <v>0</v>
      </c>
      <c r="H45" s="517">
        <f t="shared" si="101"/>
        <v>0</v>
      </c>
      <c r="I45" s="517">
        <f t="shared" si="102"/>
        <v>0</v>
      </c>
      <c r="J45" s="517">
        <f t="shared" si="103"/>
        <v>0</v>
      </c>
      <c r="K45" s="517">
        <f t="shared" si="104"/>
        <v>0</v>
      </c>
      <c r="L45" s="517">
        <f t="shared" si="105"/>
        <v>0</v>
      </c>
      <c r="M45" s="517">
        <f t="shared" si="106"/>
        <v>0</v>
      </c>
      <c r="N45" s="517">
        <f t="shared" si="107"/>
        <v>0</v>
      </c>
      <c r="O45" s="517">
        <f t="shared" si="108"/>
        <v>0</v>
      </c>
      <c r="P45" s="517">
        <f t="shared" si="109"/>
        <v>0</v>
      </c>
      <c r="Q45" s="517">
        <f t="shared" si="110"/>
        <v>0</v>
      </c>
      <c r="R45" s="517">
        <f t="shared" si="111"/>
        <v>0</v>
      </c>
      <c r="S45" s="517">
        <f t="shared" si="112"/>
        <v>0</v>
      </c>
      <c r="T45" s="517">
        <f t="shared" si="113"/>
        <v>0</v>
      </c>
      <c r="U45" s="217">
        <f t="shared" si="114"/>
        <v>0</v>
      </c>
      <c r="V45" s="217">
        <f t="shared" si="115"/>
        <v>0</v>
      </c>
      <c r="W45" s="217">
        <f t="shared" si="116"/>
        <v>0</v>
      </c>
      <c r="X45" s="217">
        <f t="shared" si="117"/>
        <v>0</v>
      </c>
      <c r="Y45" s="217">
        <f t="shared" si="118"/>
        <v>0</v>
      </c>
      <c r="Z45" s="517">
        <f t="shared" si="119"/>
        <v>0</v>
      </c>
      <c r="AA45" s="517">
        <f t="shared" si="120"/>
        <v>0</v>
      </c>
      <c r="AB45" s="517">
        <f t="shared" si="121"/>
        <v>0</v>
      </c>
      <c r="AC45" s="517">
        <f t="shared" si="122"/>
        <v>0</v>
      </c>
      <c r="AD45" s="517">
        <f t="shared" si="123"/>
        <v>0</v>
      </c>
      <c r="AE45" s="517">
        <f t="shared" si="124"/>
        <v>0</v>
      </c>
      <c r="AF45" s="517">
        <f t="shared" si="125"/>
        <v>0</v>
      </c>
      <c r="AG45" s="517">
        <f t="shared" si="126"/>
        <v>0</v>
      </c>
      <c r="AH45" s="517">
        <f t="shared" si="127"/>
        <v>0</v>
      </c>
      <c r="AI45" s="217">
        <f t="shared" si="128"/>
        <v>0</v>
      </c>
      <c r="AJ45" s="217">
        <f t="shared" ref="AJ45:AJ50" si="132">COUNTIF(Area_v2TSATHA,$C45)</f>
        <v>0</v>
      </c>
      <c r="AK45" s="217">
        <f t="shared" si="129"/>
        <v>0</v>
      </c>
      <c r="AL45" s="217">
        <f t="shared" si="130"/>
        <v>0</v>
      </c>
      <c r="AM45" s="218">
        <f t="shared" si="131"/>
        <v>0</v>
      </c>
      <c r="AN45" s="1067"/>
    </row>
    <row r="46" spans="1:40" ht="30" customHeight="1">
      <c r="A46" s="278" t="s">
        <v>1530</v>
      </c>
      <c r="B46" s="1018"/>
      <c r="C46" s="323" t="s">
        <v>1531</v>
      </c>
      <c r="D46" s="296" t="s">
        <v>1531</v>
      </c>
      <c r="E46" s="216" t="s">
        <v>1532</v>
      </c>
      <c r="F46" s="296"/>
      <c r="G46" s="797">
        <f t="shared" si="100"/>
        <v>0</v>
      </c>
      <c r="H46" s="517">
        <f t="shared" si="101"/>
        <v>0</v>
      </c>
      <c r="I46" s="517">
        <f t="shared" si="102"/>
        <v>0</v>
      </c>
      <c r="J46" s="517">
        <f t="shared" si="103"/>
        <v>0</v>
      </c>
      <c r="K46" s="517">
        <f t="shared" si="104"/>
        <v>0</v>
      </c>
      <c r="L46" s="517">
        <f t="shared" si="105"/>
        <v>0</v>
      </c>
      <c r="M46" s="517">
        <f t="shared" si="106"/>
        <v>0</v>
      </c>
      <c r="N46" s="517">
        <f t="shared" si="107"/>
        <v>0</v>
      </c>
      <c r="O46" s="517">
        <f t="shared" si="108"/>
        <v>0</v>
      </c>
      <c r="P46" s="517">
        <f t="shared" si="109"/>
        <v>0</v>
      </c>
      <c r="Q46" s="517">
        <f t="shared" si="110"/>
        <v>0</v>
      </c>
      <c r="R46" s="517">
        <f t="shared" si="111"/>
        <v>0</v>
      </c>
      <c r="S46" s="517">
        <f t="shared" si="112"/>
        <v>0</v>
      </c>
      <c r="T46" s="517">
        <f t="shared" si="113"/>
        <v>0</v>
      </c>
      <c r="U46" s="217">
        <f t="shared" si="114"/>
        <v>0</v>
      </c>
      <c r="V46" s="217">
        <f t="shared" si="115"/>
        <v>0</v>
      </c>
      <c r="W46" s="217">
        <f t="shared" si="116"/>
        <v>0</v>
      </c>
      <c r="X46" s="217">
        <f t="shared" si="117"/>
        <v>0</v>
      </c>
      <c r="Y46" s="217">
        <f t="shared" si="118"/>
        <v>0</v>
      </c>
      <c r="Z46" s="517">
        <f t="shared" si="119"/>
        <v>0</v>
      </c>
      <c r="AA46" s="517">
        <f t="shared" si="120"/>
        <v>0</v>
      </c>
      <c r="AB46" s="517">
        <f t="shared" si="121"/>
        <v>0</v>
      </c>
      <c r="AC46" s="517">
        <f t="shared" si="122"/>
        <v>0</v>
      </c>
      <c r="AD46" s="517">
        <f t="shared" si="123"/>
        <v>0</v>
      </c>
      <c r="AE46" s="517">
        <f t="shared" si="124"/>
        <v>0</v>
      </c>
      <c r="AF46" s="517">
        <f t="shared" si="125"/>
        <v>0</v>
      </c>
      <c r="AG46" s="517">
        <f t="shared" si="126"/>
        <v>0</v>
      </c>
      <c r="AH46" s="517">
        <f t="shared" si="127"/>
        <v>0</v>
      </c>
      <c r="AI46" s="217">
        <f t="shared" si="128"/>
        <v>0</v>
      </c>
      <c r="AJ46" s="217">
        <f t="shared" si="132"/>
        <v>0</v>
      </c>
      <c r="AK46" s="217">
        <f t="shared" si="129"/>
        <v>0</v>
      </c>
      <c r="AL46" s="217">
        <f t="shared" si="130"/>
        <v>0</v>
      </c>
      <c r="AM46" s="218">
        <f t="shared" si="131"/>
        <v>0</v>
      </c>
      <c r="AN46" s="1067"/>
    </row>
    <row r="47" spans="1:40" ht="30" customHeight="1">
      <c r="A47" s="278"/>
      <c r="B47" s="1018"/>
      <c r="C47" s="323" t="s">
        <v>1533</v>
      </c>
      <c r="D47" s="296" t="s">
        <v>1533</v>
      </c>
      <c r="E47" s="216" t="s">
        <v>1534</v>
      </c>
      <c r="F47" s="296"/>
      <c r="G47" s="797">
        <f t="shared" si="100"/>
        <v>0</v>
      </c>
      <c r="H47" s="517">
        <f t="shared" si="101"/>
        <v>0</v>
      </c>
      <c r="I47" s="517">
        <f t="shared" si="102"/>
        <v>0</v>
      </c>
      <c r="J47" s="517">
        <f t="shared" si="103"/>
        <v>0</v>
      </c>
      <c r="K47" s="517">
        <f t="shared" si="104"/>
        <v>0</v>
      </c>
      <c r="L47" s="517">
        <f t="shared" si="105"/>
        <v>0</v>
      </c>
      <c r="M47" s="517">
        <f t="shared" si="106"/>
        <v>0</v>
      </c>
      <c r="N47" s="517">
        <f t="shared" si="107"/>
        <v>0</v>
      </c>
      <c r="O47" s="517">
        <f t="shared" si="108"/>
        <v>0</v>
      </c>
      <c r="P47" s="517">
        <f t="shared" si="109"/>
        <v>0</v>
      </c>
      <c r="Q47" s="517">
        <f t="shared" si="110"/>
        <v>0</v>
      </c>
      <c r="R47" s="517">
        <f t="shared" si="111"/>
        <v>0</v>
      </c>
      <c r="S47" s="517">
        <f t="shared" si="112"/>
        <v>0</v>
      </c>
      <c r="T47" s="517">
        <f t="shared" si="113"/>
        <v>0</v>
      </c>
      <c r="U47" s="217">
        <f t="shared" si="114"/>
        <v>0</v>
      </c>
      <c r="V47" s="217">
        <f t="shared" si="115"/>
        <v>0</v>
      </c>
      <c r="W47" s="217">
        <f t="shared" si="116"/>
        <v>0</v>
      </c>
      <c r="X47" s="217">
        <f t="shared" si="117"/>
        <v>0</v>
      </c>
      <c r="Y47" s="217">
        <f t="shared" si="118"/>
        <v>0</v>
      </c>
      <c r="Z47" s="517">
        <f t="shared" si="119"/>
        <v>0</v>
      </c>
      <c r="AA47" s="517">
        <f t="shared" si="120"/>
        <v>0</v>
      </c>
      <c r="AB47" s="517">
        <f t="shared" si="121"/>
        <v>0</v>
      </c>
      <c r="AC47" s="517">
        <f t="shared" si="122"/>
        <v>0</v>
      </c>
      <c r="AD47" s="517">
        <f t="shared" si="123"/>
        <v>0</v>
      </c>
      <c r="AE47" s="517">
        <f t="shared" si="124"/>
        <v>0</v>
      </c>
      <c r="AF47" s="517">
        <f t="shared" si="125"/>
        <v>0</v>
      </c>
      <c r="AG47" s="517">
        <f t="shared" si="126"/>
        <v>0</v>
      </c>
      <c r="AH47" s="517">
        <f t="shared" si="127"/>
        <v>0</v>
      </c>
      <c r="AI47" s="217">
        <f t="shared" si="128"/>
        <v>0</v>
      </c>
      <c r="AJ47" s="217">
        <f t="shared" si="132"/>
        <v>0</v>
      </c>
      <c r="AK47" s="217">
        <f t="shared" si="129"/>
        <v>0</v>
      </c>
      <c r="AL47" s="217">
        <f t="shared" si="130"/>
        <v>0</v>
      </c>
      <c r="AM47" s="218">
        <f t="shared" si="131"/>
        <v>0</v>
      </c>
      <c r="AN47" s="1067"/>
    </row>
    <row r="48" spans="1:40" ht="30" customHeight="1">
      <c r="A48" s="279"/>
      <c r="B48" s="279"/>
      <c r="C48" s="323" t="s">
        <v>1535</v>
      </c>
      <c r="D48" s="296" t="s">
        <v>1535</v>
      </c>
      <c r="E48" s="216" t="s">
        <v>1536</v>
      </c>
      <c r="F48" s="296"/>
      <c r="G48" s="797">
        <f t="shared" si="100"/>
        <v>0</v>
      </c>
      <c r="H48" s="517">
        <f t="shared" si="101"/>
        <v>0</v>
      </c>
      <c r="I48" s="517">
        <f t="shared" si="102"/>
        <v>0</v>
      </c>
      <c r="J48" s="517">
        <f t="shared" si="103"/>
        <v>0</v>
      </c>
      <c r="K48" s="517">
        <f t="shared" si="104"/>
        <v>0</v>
      </c>
      <c r="L48" s="517">
        <f t="shared" si="105"/>
        <v>0</v>
      </c>
      <c r="M48" s="517">
        <f t="shared" si="106"/>
        <v>0</v>
      </c>
      <c r="N48" s="517">
        <f t="shared" si="107"/>
        <v>0</v>
      </c>
      <c r="O48" s="517">
        <f t="shared" si="108"/>
        <v>0</v>
      </c>
      <c r="P48" s="517">
        <f t="shared" si="109"/>
        <v>0</v>
      </c>
      <c r="Q48" s="517">
        <f t="shared" si="110"/>
        <v>0</v>
      </c>
      <c r="R48" s="517">
        <f t="shared" si="111"/>
        <v>0</v>
      </c>
      <c r="S48" s="517">
        <f t="shared" si="112"/>
        <v>0</v>
      </c>
      <c r="T48" s="517">
        <f t="shared" si="113"/>
        <v>0</v>
      </c>
      <c r="U48" s="217">
        <f t="shared" si="114"/>
        <v>0</v>
      </c>
      <c r="V48" s="217">
        <f t="shared" si="115"/>
        <v>0</v>
      </c>
      <c r="W48" s="217">
        <f t="shared" si="116"/>
        <v>0</v>
      </c>
      <c r="X48" s="217">
        <f t="shared" si="117"/>
        <v>0</v>
      </c>
      <c r="Y48" s="217">
        <f t="shared" si="118"/>
        <v>0</v>
      </c>
      <c r="Z48" s="517">
        <f t="shared" si="119"/>
        <v>0</v>
      </c>
      <c r="AA48" s="517">
        <f t="shared" si="120"/>
        <v>0</v>
      </c>
      <c r="AB48" s="517">
        <f t="shared" si="121"/>
        <v>0</v>
      </c>
      <c r="AC48" s="517">
        <f t="shared" si="122"/>
        <v>0</v>
      </c>
      <c r="AD48" s="517">
        <f t="shared" si="123"/>
        <v>0</v>
      </c>
      <c r="AE48" s="517">
        <f t="shared" si="124"/>
        <v>0</v>
      </c>
      <c r="AF48" s="517">
        <f t="shared" si="125"/>
        <v>0</v>
      </c>
      <c r="AG48" s="517">
        <f t="shared" si="126"/>
        <v>0</v>
      </c>
      <c r="AH48" s="517">
        <f t="shared" si="127"/>
        <v>0</v>
      </c>
      <c r="AI48" s="217">
        <f t="shared" si="128"/>
        <v>0</v>
      </c>
      <c r="AJ48" s="217">
        <f t="shared" si="132"/>
        <v>0</v>
      </c>
      <c r="AK48" s="217">
        <f t="shared" si="129"/>
        <v>0</v>
      </c>
      <c r="AL48" s="217">
        <f t="shared" si="130"/>
        <v>0</v>
      </c>
      <c r="AM48" s="218">
        <f t="shared" si="131"/>
        <v>0</v>
      </c>
      <c r="AN48" s="1067"/>
    </row>
    <row r="49" spans="1:40" ht="30" customHeight="1">
      <c r="A49" s="279"/>
      <c r="B49" s="279"/>
      <c r="C49" s="323" t="s">
        <v>1793</v>
      </c>
      <c r="D49" s="296" t="s">
        <v>1537</v>
      </c>
      <c r="E49" s="216" t="s">
        <v>1794</v>
      </c>
      <c r="F49" s="296"/>
      <c r="G49" s="797">
        <f t="shared" si="100"/>
        <v>0</v>
      </c>
      <c r="H49" s="517">
        <f t="shared" si="101"/>
        <v>0</v>
      </c>
      <c r="I49" s="517">
        <f t="shared" si="102"/>
        <v>0</v>
      </c>
      <c r="J49" s="517">
        <f t="shared" si="103"/>
        <v>0</v>
      </c>
      <c r="K49" s="517">
        <f t="shared" si="104"/>
        <v>0</v>
      </c>
      <c r="L49" s="517">
        <f t="shared" si="105"/>
        <v>0</v>
      </c>
      <c r="M49" s="517">
        <f t="shared" si="106"/>
        <v>0</v>
      </c>
      <c r="N49" s="517">
        <f t="shared" si="107"/>
        <v>0</v>
      </c>
      <c r="O49" s="517">
        <f t="shared" si="108"/>
        <v>0</v>
      </c>
      <c r="P49" s="517">
        <f t="shared" si="109"/>
        <v>0</v>
      </c>
      <c r="Q49" s="517">
        <f t="shared" si="110"/>
        <v>0</v>
      </c>
      <c r="R49" s="517">
        <f t="shared" si="111"/>
        <v>0</v>
      </c>
      <c r="S49" s="517">
        <f t="shared" si="112"/>
        <v>0</v>
      </c>
      <c r="T49" s="517">
        <f t="shared" si="113"/>
        <v>0</v>
      </c>
      <c r="U49" s="217">
        <f t="shared" si="114"/>
        <v>0</v>
      </c>
      <c r="V49" s="217">
        <f t="shared" si="115"/>
        <v>0</v>
      </c>
      <c r="W49" s="217">
        <f t="shared" si="116"/>
        <v>0</v>
      </c>
      <c r="X49" s="217">
        <f t="shared" si="117"/>
        <v>0</v>
      </c>
      <c r="Y49" s="217">
        <f t="shared" si="118"/>
        <v>0</v>
      </c>
      <c r="Z49" s="517">
        <f t="shared" si="119"/>
        <v>0</v>
      </c>
      <c r="AA49" s="517">
        <f t="shared" si="120"/>
        <v>0</v>
      </c>
      <c r="AB49" s="517">
        <f t="shared" si="121"/>
        <v>0</v>
      </c>
      <c r="AC49" s="517">
        <f t="shared" si="122"/>
        <v>0</v>
      </c>
      <c r="AD49" s="517">
        <f t="shared" si="123"/>
        <v>0</v>
      </c>
      <c r="AE49" s="517">
        <f t="shared" si="124"/>
        <v>0</v>
      </c>
      <c r="AF49" s="517">
        <f t="shared" si="125"/>
        <v>0</v>
      </c>
      <c r="AG49" s="517">
        <f t="shared" si="126"/>
        <v>0</v>
      </c>
      <c r="AH49" s="517">
        <f t="shared" si="127"/>
        <v>0</v>
      </c>
      <c r="AI49" s="217">
        <f t="shared" si="128"/>
        <v>0</v>
      </c>
      <c r="AJ49" s="217">
        <f t="shared" si="132"/>
        <v>0</v>
      </c>
      <c r="AK49" s="217">
        <f t="shared" si="129"/>
        <v>0</v>
      </c>
      <c r="AL49" s="217">
        <f t="shared" si="130"/>
        <v>0</v>
      </c>
      <c r="AM49" s="218">
        <f t="shared" si="131"/>
        <v>0</v>
      </c>
      <c r="AN49" s="1067"/>
    </row>
    <row r="50" spans="1:40" ht="30" customHeight="1">
      <c r="A50" s="279"/>
      <c r="B50" s="279"/>
      <c r="C50" s="323" t="s">
        <v>1537</v>
      </c>
      <c r="D50" s="296" t="s">
        <v>1537</v>
      </c>
      <c r="E50" s="216" t="s">
        <v>1538</v>
      </c>
      <c r="F50" s="296"/>
      <c r="G50" s="797">
        <f t="shared" si="100"/>
        <v>0</v>
      </c>
      <c r="H50" s="517">
        <f t="shared" si="101"/>
        <v>0</v>
      </c>
      <c r="I50" s="517">
        <f t="shared" si="102"/>
        <v>0</v>
      </c>
      <c r="J50" s="517">
        <f t="shared" si="103"/>
        <v>0</v>
      </c>
      <c r="K50" s="517">
        <f t="shared" si="104"/>
        <v>0</v>
      </c>
      <c r="L50" s="517">
        <f t="shared" si="105"/>
        <v>0</v>
      </c>
      <c r="M50" s="517">
        <f t="shared" si="106"/>
        <v>0</v>
      </c>
      <c r="N50" s="517">
        <f t="shared" si="107"/>
        <v>0</v>
      </c>
      <c r="O50" s="517">
        <f t="shared" si="108"/>
        <v>0</v>
      </c>
      <c r="P50" s="517">
        <f t="shared" si="109"/>
        <v>0</v>
      </c>
      <c r="Q50" s="517">
        <f t="shared" si="110"/>
        <v>0</v>
      </c>
      <c r="R50" s="517">
        <f t="shared" si="111"/>
        <v>0</v>
      </c>
      <c r="S50" s="517">
        <f t="shared" si="112"/>
        <v>0</v>
      </c>
      <c r="T50" s="517">
        <f t="shared" si="113"/>
        <v>0</v>
      </c>
      <c r="U50" s="217">
        <f t="shared" si="114"/>
        <v>0</v>
      </c>
      <c r="V50" s="217">
        <f t="shared" si="115"/>
        <v>0</v>
      </c>
      <c r="W50" s="217">
        <f t="shared" si="116"/>
        <v>0</v>
      </c>
      <c r="X50" s="217">
        <f t="shared" si="117"/>
        <v>0</v>
      </c>
      <c r="Y50" s="217">
        <f t="shared" si="118"/>
        <v>0</v>
      </c>
      <c r="Z50" s="517">
        <f t="shared" si="119"/>
        <v>0</v>
      </c>
      <c r="AA50" s="517">
        <f t="shared" si="120"/>
        <v>0</v>
      </c>
      <c r="AB50" s="517">
        <f t="shared" si="121"/>
        <v>0</v>
      </c>
      <c r="AC50" s="517">
        <f t="shared" si="122"/>
        <v>0</v>
      </c>
      <c r="AD50" s="517">
        <f t="shared" si="123"/>
        <v>0</v>
      </c>
      <c r="AE50" s="517">
        <f t="shared" si="124"/>
        <v>0</v>
      </c>
      <c r="AF50" s="517">
        <f t="shared" si="125"/>
        <v>0</v>
      </c>
      <c r="AG50" s="517">
        <f t="shared" si="126"/>
        <v>0</v>
      </c>
      <c r="AH50" s="517">
        <f t="shared" si="127"/>
        <v>0</v>
      </c>
      <c r="AI50" s="217">
        <f t="shared" si="128"/>
        <v>0</v>
      </c>
      <c r="AJ50" s="217">
        <f t="shared" si="132"/>
        <v>0</v>
      </c>
      <c r="AK50" s="217">
        <f t="shared" si="129"/>
        <v>0</v>
      </c>
      <c r="AL50" s="217">
        <f t="shared" si="130"/>
        <v>0</v>
      </c>
      <c r="AM50" s="218">
        <f t="shared" si="131"/>
        <v>0</v>
      </c>
      <c r="AN50" s="1067"/>
    </row>
    <row r="51" spans="1:40" ht="30" customHeight="1">
      <c r="A51" s="279"/>
      <c r="B51" s="279"/>
      <c r="C51" s="323" t="s">
        <v>1539</v>
      </c>
      <c r="D51" s="296" t="s">
        <v>1539</v>
      </c>
      <c r="E51" s="216" t="s">
        <v>1540</v>
      </c>
      <c r="F51" s="296"/>
      <c r="G51" s="797">
        <f t="shared" si="100"/>
        <v>0</v>
      </c>
      <c r="H51" s="517">
        <f t="shared" si="101"/>
        <v>0</v>
      </c>
      <c r="I51" s="517">
        <f t="shared" si="102"/>
        <v>0</v>
      </c>
      <c r="J51" s="517">
        <f t="shared" si="103"/>
        <v>0</v>
      </c>
      <c r="K51" s="517">
        <f t="shared" si="104"/>
        <v>0</v>
      </c>
      <c r="L51" s="517">
        <f t="shared" si="105"/>
        <v>0</v>
      </c>
      <c r="M51" s="517">
        <f t="shared" si="106"/>
        <v>0</v>
      </c>
      <c r="N51" s="517">
        <f t="shared" si="107"/>
        <v>0</v>
      </c>
      <c r="O51" s="517">
        <f t="shared" si="108"/>
        <v>0</v>
      </c>
      <c r="P51" s="517">
        <f t="shared" si="109"/>
        <v>0</v>
      </c>
      <c r="Q51" s="517">
        <f t="shared" si="110"/>
        <v>0</v>
      </c>
      <c r="R51" s="517">
        <f t="shared" si="111"/>
        <v>0</v>
      </c>
      <c r="S51" s="517">
        <f t="shared" si="112"/>
        <v>0</v>
      </c>
      <c r="T51" s="517">
        <f t="shared" si="113"/>
        <v>0</v>
      </c>
      <c r="U51" s="217">
        <f t="shared" si="114"/>
        <v>0</v>
      </c>
      <c r="V51" s="217">
        <f t="shared" si="115"/>
        <v>0</v>
      </c>
      <c r="W51" s="217">
        <f t="shared" si="116"/>
        <v>0</v>
      </c>
      <c r="X51" s="217">
        <f t="shared" si="117"/>
        <v>0</v>
      </c>
      <c r="Y51" s="217">
        <f t="shared" si="118"/>
        <v>0</v>
      </c>
      <c r="Z51" s="517">
        <f t="shared" si="119"/>
        <v>0</v>
      </c>
      <c r="AA51" s="517">
        <f t="shared" si="120"/>
        <v>0</v>
      </c>
      <c r="AB51" s="517">
        <f t="shared" si="121"/>
        <v>0</v>
      </c>
      <c r="AC51" s="517">
        <f t="shared" si="122"/>
        <v>0</v>
      </c>
      <c r="AD51" s="517">
        <f t="shared" si="123"/>
        <v>0</v>
      </c>
      <c r="AE51" s="517">
        <f t="shared" si="124"/>
        <v>0</v>
      </c>
      <c r="AF51" s="517">
        <f t="shared" si="125"/>
        <v>0</v>
      </c>
      <c r="AG51" s="517">
        <f t="shared" si="126"/>
        <v>0</v>
      </c>
      <c r="AH51" s="517">
        <f t="shared" si="127"/>
        <v>0</v>
      </c>
      <c r="AI51" s="217">
        <f t="shared" si="128"/>
        <v>0</v>
      </c>
      <c r="AJ51" s="217">
        <f>COUNTIF(Area_v2TSATHA,$C51)</f>
        <v>0</v>
      </c>
      <c r="AK51" s="217">
        <f>COUNTIF(Area_v3TSATHA,$C51)</f>
        <v>0</v>
      </c>
      <c r="AL51" s="217">
        <f t="shared" si="130"/>
        <v>0</v>
      </c>
      <c r="AM51" s="218">
        <f>COUNTIF(Area_v5THAHOLON,$C51)</f>
        <v>0</v>
      </c>
      <c r="AN51" s="1067"/>
    </row>
    <row r="52" spans="1:40" ht="30" customHeight="1">
      <c r="A52" s="279"/>
      <c r="B52" s="279"/>
      <c r="C52" s="403" t="s">
        <v>626</v>
      </c>
      <c r="D52" s="405" t="s">
        <v>476</v>
      </c>
      <c r="E52" s="404" t="s">
        <v>637</v>
      </c>
      <c r="F52" s="405"/>
      <c r="G52" s="797">
        <f t="shared" si="100"/>
        <v>0</v>
      </c>
      <c r="H52" s="520">
        <f t="shared" si="101"/>
        <v>0</v>
      </c>
      <c r="I52" s="520">
        <f t="shared" si="102"/>
        <v>0</v>
      </c>
      <c r="J52" s="520">
        <f t="shared" si="103"/>
        <v>0</v>
      </c>
      <c r="K52" s="520">
        <f t="shared" si="104"/>
        <v>0</v>
      </c>
      <c r="L52" s="520">
        <f t="shared" si="105"/>
        <v>0</v>
      </c>
      <c r="M52" s="520">
        <f t="shared" si="106"/>
        <v>0</v>
      </c>
      <c r="N52" s="520">
        <f t="shared" si="107"/>
        <v>0</v>
      </c>
      <c r="O52" s="520">
        <f t="shared" si="108"/>
        <v>0</v>
      </c>
      <c r="P52" s="520">
        <f t="shared" si="109"/>
        <v>0</v>
      </c>
      <c r="Q52" s="520">
        <f t="shared" si="110"/>
        <v>0</v>
      </c>
      <c r="R52" s="520">
        <f t="shared" si="111"/>
        <v>0</v>
      </c>
      <c r="S52" s="520">
        <f t="shared" si="112"/>
        <v>0</v>
      </c>
      <c r="T52" s="520">
        <f t="shared" si="113"/>
        <v>0</v>
      </c>
      <c r="U52" s="406">
        <f t="shared" si="114"/>
        <v>0</v>
      </c>
      <c r="V52" s="406">
        <f t="shared" si="115"/>
        <v>0</v>
      </c>
      <c r="W52" s="406">
        <f t="shared" si="116"/>
        <v>0</v>
      </c>
      <c r="X52" s="406">
        <f t="shared" si="117"/>
        <v>0</v>
      </c>
      <c r="Y52" s="406">
        <f t="shared" si="118"/>
        <v>0</v>
      </c>
      <c r="Z52" s="520">
        <f t="shared" si="119"/>
        <v>0</v>
      </c>
      <c r="AA52" s="520">
        <f t="shared" si="120"/>
        <v>0</v>
      </c>
      <c r="AB52" s="520">
        <f t="shared" si="121"/>
        <v>0</v>
      </c>
      <c r="AC52" s="520">
        <f t="shared" si="122"/>
        <v>0</v>
      </c>
      <c r="AD52" s="520">
        <f t="shared" si="123"/>
        <v>0</v>
      </c>
      <c r="AE52" s="520">
        <f t="shared" si="124"/>
        <v>0</v>
      </c>
      <c r="AF52" s="520">
        <f t="shared" si="125"/>
        <v>0</v>
      </c>
      <c r="AG52" s="520">
        <f t="shared" si="126"/>
        <v>0</v>
      </c>
      <c r="AH52" s="520">
        <f t="shared" si="127"/>
        <v>0</v>
      </c>
      <c r="AI52" s="406">
        <f t="shared" si="128"/>
        <v>0</v>
      </c>
      <c r="AJ52" s="406">
        <f>COUNTIF(Area_v2TSATHA,$C52)</f>
        <v>0</v>
      </c>
      <c r="AK52" s="406">
        <f>COUNTIF(Area_v3TSATHA,$C52)</f>
        <v>0</v>
      </c>
      <c r="AL52" s="406">
        <f t="shared" si="130"/>
        <v>0</v>
      </c>
      <c r="AM52" s="407">
        <f>COUNTIF(Area_v5THAHOLON,$C52)</f>
        <v>0</v>
      </c>
      <c r="AN52" s="1067"/>
    </row>
    <row r="53" spans="1:40" ht="30" customHeight="1">
      <c r="A53" s="280"/>
      <c r="B53" s="1019"/>
      <c r="C53" s="321" t="s">
        <v>622</v>
      </c>
      <c r="D53" s="294" t="s">
        <v>476</v>
      </c>
      <c r="E53" s="219" t="s">
        <v>637</v>
      </c>
      <c r="F53" s="294"/>
      <c r="G53" s="798">
        <f t="shared" si="100"/>
        <v>0</v>
      </c>
      <c r="H53" s="518">
        <f t="shared" si="101"/>
        <v>0</v>
      </c>
      <c r="I53" s="518">
        <f t="shared" si="102"/>
        <v>0</v>
      </c>
      <c r="J53" s="518">
        <f t="shared" si="103"/>
        <v>0</v>
      </c>
      <c r="K53" s="518">
        <f t="shared" si="104"/>
        <v>0</v>
      </c>
      <c r="L53" s="518">
        <f t="shared" si="105"/>
        <v>0</v>
      </c>
      <c r="M53" s="518">
        <f t="shared" si="106"/>
        <v>0</v>
      </c>
      <c r="N53" s="518">
        <f t="shared" si="107"/>
        <v>0</v>
      </c>
      <c r="O53" s="518">
        <f t="shared" si="108"/>
        <v>0</v>
      </c>
      <c r="P53" s="518">
        <f t="shared" si="109"/>
        <v>0</v>
      </c>
      <c r="Q53" s="518">
        <f t="shared" si="110"/>
        <v>0</v>
      </c>
      <c r="R53" s="518">
        <f t="shared" si="111"/>
        <v>0</v>
      </c>
      <c r="S53" s="518">
        <f t="shared" si="112"/>
        <v>0</v>
      </c>
      <c r="T53" s="518">
        <f t="shared" si="113"/>
        <v>0</v>
      </c>
      <c r="U53" s="220">
        <f t="shared" si="114"/>
        <v>0</v>
      </c>
      <c r="V53" s="220">
        <f t="shared" si="115"/>
        <v>0</v>
      </c>
      <c r="W53" s="220">
        <f t="shared" si="116"/>
        <v>0</v>
      </c>
      <c r="X53" s="220">
        <f t="shared" si="117"/>
        <v>0</v>
      </c>
      <c r="Y53" s="220">
        <f t="shared" si="118"/>
        <v>0</v>
      </c>
      <c r="Z53" s="518">
        <f t="shared" si="119"/>
        <v>0</v>
      </c>
      <c r="AA53" s="518">
        <f t="shared" si="120"/>
        <v>0</v>
      </c>
      <c r="AB53" s="518">
        <f t="shared" si="121"/>
        <v>0</v>
      </c>
      <c r="AC53" s="518">
        <f t="shared" si="122"/>
        <v>0</v>
      </c>
      <c r="AD53" s="518">
        <f t="shared" si="123"/>
        <v>0</v>
      </c>
      <c r="AE53" s="518">
        <f t="shared" si="124"/>
        <v>0</v>
      </c>
      <c r="AF53" s="518">
        <f t="shared" si="125"/>
        <v>0</v>
      </c>
      <c r="AG53" s="518">
        <f t="shared" si="126"/>
        <v>0</v>
      </c>
      <c r="AH53" s="518">
        <f t="shared" si="127"/>
        <v>0</v>
      </c>
      <c r="AI53" s="220">
        <f t="shared" si="128"/>
        <v>0</v>
      </c>
      <c r="AJ53" s="220">
        <f>COUNTIF(Area_v2TSATHA,$C53)</f>
        <v>0</v>
      </c>
      <c r="AK53" s="220">
        <f>COUNTIF(Area_v3TSATHA,$C53)</f>
        <v>0</v>
      </c>
      <c r="AL53" s="220">
        <f t="shared" si="130"/>
        <v>0</v>
      </c>
      <c r="AM53" s="221">
        <f>COUNTIF(Area_v5THAHOLON,$C53)</f>
        <v>0</v>
      </c>
      <c r="AN53" s="1067"/>
    </row>
    <row r="54" spans="1:40" ht="30" customHeight="1">
      <c r="A54" s="1633" t="s">
        <v>1742</v>
      </c>
      <c r="B54" s="827"/>
      <c r="C54" s="1345" t="s">
        <v>3668</v>
      </c>
      <c r="D54" s="291" t="s">
        <v>3668</v>
      </c>
      <c r="E54" s="205" t="s">
        <v>4813</v>
      </c>
      <c r="F54" s="291"/>
      <c r="G54" s="795">
        <f t="shared" si="100"/>
        <v>1</v>
      </c>
      <c r="H54" s="207">
        <f t="shared" si="101"/>
        <v>0</v>
      </c>
      <c r="I54" s="207">
        <f t="shared" si="102"/>
        <v>0</v>
      </c>
      <c r="J54" s="207">
        <f t="shared" si="103"/>
        <v>0</v>
      </c>
      <c r="K54" s="207">
        <f t="shared" si="104"/>
        <v>1</v>
      </c>
      <c r="L54" s="207">
        <f t="shared" si="105"/>
        <v>0</v>
      </c>
      <c r="M54" s="207">
        <f t="shared" si="106"/>
        <v>0</v>
      </c>
      <c r="N54" s="207">
        <f t="shared" si="107"/>
        <v>0</v>
      </c>
      <c r="O54" s="207">
        <f t="shared" si="108"/>
        <v>0</v>
      </c>
      <c r="P54" s="207">
        <f t="shared" si="109"/>
        <v>0</v>
      </c>
      <c r="Q54" s="207">
        <f t="shared" si="110"/>
        <v>0</v>
      </c>
      <c r="R54" s="207">
        <f t="shared" si="111"/>
        <v>0</v>
      </c>
      <c r="S54" s="207">
        <f t="shared" si="112"/>
        <v>0</v>
      </c>
      <c r="T54" s="207">
        <f t="shared" si="113"/>
        <v>0</v>
      </c>
      <c r="U54" s="207">
        <f t="shared" si="114"/>
        <v>0</v>
      </c>
      <c r="V54" s="207">
        <f t="shared" si="115"/>
        <v>0</v>
      </c>
      <c r="W54" s="207">
        <f t="shared" si="116"/>
        <v>0</v>
      </c>
      <c r="X54" s="207">
        <f t="shared" si="117"/>
        <v>0</v>
      </c>
      <c r="Y54" s="207">
        <f t="shared" si="118"/>
        <v>0</v>
      </c>
      <c r="Z54" s="207">
        <f t="shared" si="119"/>
        <v>0</v>
      </c>
      <c r="AA54" s="207">
        <f t="shared" si="120"/>
        <v>0</v>
      </c>
      <c r="AB54" s="207">
        <f t="shared" si="121"/>
        <v>0</v>
      </c>
      <c r="AC54" s="207">
        <f t="shared" si="122"/>
        <v>0</v>
      </c>
      <c r="AD54" s="207">
        <f t="shared" si="123"/>
        <v>0</v>
      </c>
      <c r="AE54" s="207">
        <f t="shared" si="124"/>
        <v>0</v>
      </c>
      <c r="AF54" s="207">
        <f t="shared" si="125"/>
        <v>0</v>
      </c>
      <c r="AG54" s="207">
        <f t="shared" si="126"/>
        <v>0</v>
      </c>
      <c r="AH54" s="207">
        <f t="shared" si="127"/>
        <v>0</v>
      </c>
      <c r="AI54" s="207">
        <f t="shared" ref="AH54:AI127" si="133">COUNTIF(Area_v1TSATHA,$C54)</f>
        <v>0</v>
      </c>
      <c r="AJ54" s="207">
        <f t="shared" ref="AI54:AJ127" si="134">COUNTIF(Area_v2TSATHA,$C54)</f>
        <v>0</v>
      </c>
      <c r="AK54" s="207">
        <f t="shared" ref="AJ54:AK127" si="135">COUNTIF(Area_v3TSATHA,$C54)</f>
        <v>0</v>
      </c>
      <c r="AL54" s="207">
        <f t="shared" si="130"/>
        <v>0</v>
      </c>
      <c r="AM54" s="208">
        <f t="shared" ref="AL54:AM127" si="136">COUNTIF(Area_v5THAHOLON,$C54)</f>
        <v>0</v>
      </c>
      <c r="AN54" s="209" t="s">
        <v>4814</v>
      </c>
    </row>
    <row r="55" spans="1:40" ht="30" customHeight="1">
      <c r="A55" s="1634"/>
      <c r="B55" s="827"/>
      <c r="C55" s="205" t="s">
        <v>4723</v>
      </c>
      <c r="D55" s="291" t="s">
        <v>4723</v>
      </c>
      <c r="E55" s="205" t="s">
        <v>4815</v>
      </c>
      <c r="F55" s="291"/>
      <c r="G55" s="795">
        <f t="shared" si="100"/>
        <v>0</v>
      </c>
      <c r="H55" s="207">
        <f t="shared" si="101"/>
        <v>0</v>
      </c>
      <c r="I55" s="207">
        <f t="shared" si="102"/>
        <v>0</v>
      </c>
      <c r="J55" s="207">
        <f t="shared" si="103"/>
        <v>0</v>
      </c>
      <c r="K55" s="207">
        <f t="shared" si="104"/>
        <v>0</v>
      </c>
      <c r="L55" s="207">
        <f t="shared" si="105"/>
        <v>0</v>
      </c>
      <c r="M55" s="207">
        <f t="shared" si="106"/>
        <v>0</v>
      </c>
      <c r="N55" s="207">
        <f t="shared" si="107"/>
        <v>0</v>
      </c>
      <c r="O55" s="207">
        <f t="shared" si="108"/>
        <v>0</v>
      </c>
      <c r="P55" s="207">
        <f t="shared" si="109"/>
        <v>0</v>
      </c>
      <c r="Q55" s="207">
        <f t="shared" si="110"/>
        <v>0</v>
      </c>
      <c r="R55" s="207">
        <f t="shared" si="111"/>
        <v>0</v>
      </c>
      <c r="S55" s="207">
        <f t="shared" si="112"/>
        <v>0</v>
      </c>
      <c r="T55" s="207">
        <f t="shared" si="113"/>
        <v>0</v>
      </c>
      <c r="U55" s="207">
        <f t="shared" si="114"/>
        <v>0</v>
      </c>
      <c r="V55" s="207">
        <f t="shared" si="115"/>
        <v>0</v>
      </c>
      <c r="W55" s="207">
        <f t="shared" si="116"/>
        <v>0</v>
      </c>
      <c r="X55" s="207">
        <f t="shared" si="117"/>
        <v>0</v>
      </c>
      <c r="Y55" s="207">
        <f t="shared" si="118"/>
        <v>0</v>
      </c>
      <c r="Z55" s="207">
        <f t="shared" si="119"/>
        <v>0</v>
      </c>
      <c r="AA55" s="207">
        <f t="shared" si="120"/>
        <v>0</v>
      </c>
      <c r="AB55" s="207">
        <f t="shared" si="121"/>
        <v>0</v>
      </c>
      <c r="AC55" s="207">
        <f t="shared" si="122"/>
        <v>0</v>
      </c>
      <c r="AD55" s="207">
        <f t="shared" si="123"/>
        <v>0</v>
      </c>
      <c r="AE55" s="207">
        <f t="shared" si="124"/>
        <v>0</v>
      </c>
      <c r="AF55" s="207">
        <f t="shared" si="125"/>
        <v>0</v>
      </c>
      <c r="AG55" s="207">
        <f t="shared" si="126"/>
        <v>0</v>
      </c>
      <c r="AH55" s="207">
        <f t="shared" si="127"/>
        <v>0</v>
      </c>
      <c r="AI55" s="207">
        <f t="shared" si="133"/>
        <v>0</v>
      </c>
      <c r="AJ55" s="207">
        <f t="shared" si="134"/>
        <v>0</v>
      </c>
      <c r="AK55" s="207">
        <f t="shared" si="135"/>
        <v>0</v>
      </c>
      <c r="AL55" s="207">
        <f t="shared" si="130"/>
        <v>0</v>
      </c>
      <c r="AM55" s="208">
        <f t="shared" si="136"/>
        <v>0</v>
      </c>
      <c r="AN55" s="209" t="s">
        <v>4816</v>
      </c>
    </row>
    <row r="56" spans="1:40" ht="30" customHeight="1">
      <c r="A56" s="1634"/>
      <c r="B56" s="827"/>
      <c r="C56" s="1345" t="s">
        <v>3667</v>
      </c>
      <c r="D56" s="291" t="s">
        <v>3667</v>
      </c>
      <c r="E56" s="205" t="s">
        <v>4817</v>
      </c>
      <c r="F56" s="291"/>
      <c r="G56" s="795">
        <f t="shared" si="100"/>
        <v>3</v>
      </c>
      <c r="H56" s="207">
        <f t="shared" si="101"/>
        <v>0</v>
      </c>
      <c r="I56" s="207">
        <f t="shared" si="102"/>
        <v>0</v>
      </c>
      <c r="J56" s="207">
        <f t="shared" si="103"/>
        <v>2</v>
      </c>
      <c r="K56" s="207">
        <f t="shared" si="104"/>
        <v>0</v>
      </c>
      <c r="L56" s="207">
        <f t="shared" si="105"/>
        <v>0</v>
      </c>
      <c r="M56" s="207">
        <f t="shared" si="106"/>
        <v>0</v>
      </c>
      <c r="N56" s="207">
        <f t="shared" si="107"/>
        <v>0</v>
      </c>
      <c r="O56" s="207">
        <f t="shared" si="108"/>
        <v>0</v>
      </c>
      <c r="P56" s="207">
        <f t="shared" si="109"/>
        <v>0</v>
      </c>
      <c r="Q56" s="207">
        <f t="shared" si="110"/>
        <v>0</v>
      </c>
      <c r="R56" s="207">
        <f t="shared" si="111"/>
        <v>0</v>
      </c>
      <c r="S56" s="207">
        <f t="shared" si="112"/>
        <v>0</v>
      </c>
      <c r="T56" s="207">
        <f t="shared" si="113"/>
        <v>0</v>
      </c>
      <c r="U56" s="207">
        <f t="shared" si="114"/>
        <v>0</v>
      </c>
      <c r="V56" s="207">
        <f t="shared" si="115"/>
        <v>0</v>
      </c>
      <c r="W56" s="207">
        <f t="shared" si="116"/>
        <v>0</v>
      </c>
      <c r="X56" s="207">
        <f t="shared" si="117"/>
        <v>0</v>
      </c>
      <c r="Y56" s="207">
        <f t="shared" si="118"/>
        <v>0</v>
      </c>
      <c r="Z56" s="207">
        <f t="shared" si="119"/>
        <v>0</v>
      </c>
      <c r="AA56" s="207">
        <f t="shared" si="120"/>
        <v>0</v>
      </c>
      <c r="AB56" s="207">
        <f t="shared" si="121"/>
        <v>0</v>
      </c>
      <c r="AC56" s="207">
        <f t="shared" si="122"/>
        <v>1</v>
      </c>
      <c r="AD56" s="207">
        <f t="shared" si="123"/>
        <v>0</v>
      </c>
      <c r="AE56" s="207">
        <f t="shared" si="124"/>
        <v>0</v>
      </c>
      <c r="AF56" s="207">
        <f t="shared" si="125"/>
        <v>0</v>
      </c>
      <c r="AG56" s="207">
        <f t="shared" si="126"/>
        <v>0</v>
      </c>
      <c r="AH56" s="207">
        <f t="shared" si="127"/>
        <v>0</v>
      </c>
      <c r="AI56" s="207">
        <f t="shared" si="133"/>
        <v>0</v>
      </c>
      <c r="AJ56" s="207">
        <f t="shared" si="134"/>
        <v>0</v>
      </c>
      <c r="AK56" s="207">
        <f t="shared" si="135"/>
        <v>0</v>
      </c>
      <c r="AL56" s="207">
        <f t="shared" si="130"/>
        <v>0</v>
      </c>
      <c r="AM56" s="208">
        <f t="shared" si="136"/>
        <v>0</v>
      </c>
      <c r="AN56" s="209" t="s">
        <v>4818</v>
      </c>
    </row>
    <row r="57" spans="1:40" ht="30" customHeight="1">
      <c r="A57" s="408"/>
      <c r="B57" s="827"/>
      <c r="C57" s="205" t="s">
        <v>4724</v>
      </c>
      <c r="D57" s="291" t="s">
        <v>4724</v>
      </c>
      <c r="E57" s="205" t="s">
        <v>4819</v>
      </c>
      <c r="F57" s="291"/>
      <c r="G57" s="795">
        <f t="shared" si="100"/>
        <v>0</v>
      </c>
      <c r="H57" s="207">
        <f t="shared" si="101"/>
        <v>0</v>
      </c>
      <c r="I57" s="207">
        <f t="shared" si="102"/>
        <v>0</v>
      </c>
      <c r="J57" s="207">
        <f t="shared" si="103"/>
        <v>0</v>
      </c>
      <c r="K57" s="207">
        <f t="shared" si="104"/>
        <v>0</v>
      </c>
      <c r="L57" s="207">
        <f t="shared" si="105"/>
        <v>0</v>
      </c>
      <c r="M57" s="207">
        <f t="shared" si="106"/>
        <v>0</v>
      </c>
      <c r="N57" s="207">
        <f t="shared" si="107"/>
        <v>0</v>
      </c>
      <c r="O57" s="207">
        <f t="shared" si="108"/>
        <v>0</v>
      </c>
      <c r="P57" s="207">
        <f t="shared" si="109"/>
        <v>0</v>
      </c>
      <c r="Q57" s="207">
        <f t="shared" si="110"/>
        <v>0</v>
      </c>
      <c r="R57" s="207">
        <f t="shared" si="111"/>
        <v>0</v>
      </c>
      <c r="S57" s="207">
        <f t="shared" si="112"/>
        <v>0</v>
      </c>
      <c r="T57" s="207">
        <f t="shared" si="113"/>
        <v>0</v>
      </c>
      <c r="U57" s="207">
        <f t="shared" si="114"/>
        <v>0</v>
      </c>
      <c r="V57" s="207">
        <f t="shared" si="115"/>
        <v>0</v>
      </c>
      <c r="W57" s="207">
        <f t="shared" si="116"/>
        <v>0</v>
      </c>
      <c r="X57" s="207">
        <f t="shared" si="117"/>
        <v>0</v>
      </c>
      <c r="Y57" s="207">
        <f t="shared" si="118"/>
        <v>0</v>
      </c>
      <c r="Z57" s="207">
        <f t="shared" si="119"/>
        <v>0</v>
      </c>
      <c r="AA57" s="207">
        <f t="shared" si="120"/>
        <v>0</v>
      </c>
      <c r="AB57" s="207">
        <f t="shared" si="121"/>
        <v>0</v>
      </c>
      <c r="AC57" s="207">
        <f t="shared" si="122"/>
        <v>0</v>
      </c>
      <c r="AD57" s="207">
        <f t="shared" si="123"/>
        <v>0</v>
      </c>
      <c r="AE57" s="207">
        <f t="shared" si="124"/>
        <v>0</v>
      </c>
      <c r="AF57" s="207">
        <f t="shared" si="125"/>
        <v>0</v>
      </c>
      <c r="AG57" s="207">
        <f t="shared" si="126"/>
        <v>0</v>
      </c>
      <c r="AH57" s="207">
        <f t="shared" si="127"/>
        <v>0</v>
      </c>
      <c r="AI57" s="207">
        <f t="shared" si="133"/>
        <v>0</v>
      </c>
      <c r="AJ57" s="207">
        <f t="shared" si="134"/>
        <v>0</v>
      </c>
      <c r="AK57" s="207">
        <f t="shared" si="135"/>
        <v>0</v>
      </c>
      <c r="AL57" s="207">
        <f t="shared" si="130"/>
        <v>0</v>
      </c>
      <c r="AM57" s="208">
        <f t="shared" si="136"/>
        <v>0</v>
      </c>
      <c r="AN57" s="209" t="s">
        <v>4820</v>
      </c>
    </row>
    <row r="58" spans="1:40" ht="30" customHeight="1">
      <c r="A58" s="274"/>
      <c r="B58" s="827"/>
      <c r="C58" s="1345" t="s">
        <v>3671</v>
      </c>
      <c r="D58" s="291" t="s">
        <v>3671</v>
      </c>
      <c r="E58" s="205" t="s">
        <v>4821</v>
      </c>
      <c r="F58" s="291"/>
      <c r="G58" s="795">
        <f t="shared" si="100"/>
        <v>9</v>
      </c>
      <c r="H58" s="207">
        <f t="shared" si="101"/>
        <v>0</v>
      </c>
      <c r="I58" s="207">
        <f t="shared" si="102"/>
        <v>0</v>
      </c>
      <c r="J58" s="207">
        <f t="shared" si="103"/>
        <v>0</v>
      </c>
      <c r="K58" s="207">
        <f t="shared" si="104"/>
        <v>0</v>
      </c>
      <c r="L58" s="207">
        <f t="shared" si="105"/>
        <v>0</v>
      </c>
      <c r="M58" s="207">
        <f t="shared" si="106"/>
        <v>0</v>
      </c>
      <c r="N58" s="207">
        <f t="shared" si="107"/>
        <v>0</v>
      </c>
      <c r="O58" s="207">
        <f t="shared" si="108"/>
        <v>0</v>
      </c>
      <c r="P58" s="207">
        <f t="shared" si="109"/>
        <v>0</v>
      </c>
      <c r="Q58" s="207">
        <f t="shared" si="110"/>
        <v>1</v>
      </c>
      <c r="R58" s="207">
        <f t="shared" si="111"/>
        <v>0</v>
      </c>
      <c r="S58" s="207">
        <f t="shared" si="112"/>
        <v>0</v>
      </c>
      <c r="T58" s="207">
        <f t="shared" si="113"/>
        <v>0</v>
      </c>
      <c r="U58" s="207">
        <f t="shared" si="114"/>
        <v>0</v>
      </c>
      <c r="V58" s="207">
        <f t="shared" si="115"/>
        <v>0</v>
      </c>
      <c r="W58" s="207">
        <f t="shared" si="116"/>
        <v>0</v>
      </c>
      <c r="X58" s="207">
        <f t="shared" si="117"/>
        <v>0</v>
      </c>
      <c r="Y58" s="207">
        <f t="shared" si="118"/>
        <v>0</v>
      </c>
      <c r="Z58" s="207">
        <f t="shared" si="119"/>
        <v>0</v>
      </c>
      <c r="AA58" s="207">
        <f t="shared" si="120"/>
        <v>0</v>
      </c>
      <c r="AB58" s="207">
        <f t="shared" si="121"/>
        <v>0</v>
      </c>
      <c r="AC58" s="207">
        <f t="shared" si="122"/>
        <v>0</v>
      </c>
      <c r="AD58" s="207">
        <f t="shared" si="123"/>
        <v>0</v>
      </c>
      <c r="AE58" s="207">
        <f t="shared" si="124"/>
        <v>0</v>
      </c>
      <c r="AF58" s="207">
        <f t="shared" si="125"/>
        <v>0</v>
      </c>
      <c r="AG58" s="207">
        <f t="shared" si="126"/>
        <v>0</v>
      </c>
      <c r="AH58" s="207">
        <f t="shared" si="127"/>
        <v>0</v>
      </c>
      <c r="AI58" s="207">
        <f t="shared" si="133"/>
        <v>6</v>
      </c>
      <c r="AJ58" s="207">
        <f t="shared" si="134"/>
        <v>2</v>
      </c>
      <c r="AK58" s="207">
        <f t="shared" si="135"/>
        <v>0</v>
      </c>
      <c r="AL58" s="207">
        <f t="shared" si="130"/>
        <v>0</v>
      </c>
      <c r="AM58" s="208">
        <f t="shared" si="136"/>
        <v>0</v>
      </c>
      <c r="AN58" s="209" t="s">
        <v>4822</v>
      </c>
    </row>
    <row r="59" spans="1:40" ht="30" customHeight="1">
      <c r="A59" s="274"/>
      <c r="B59" s="827"/>
      <c r="C59" s="205" t="s">
        <v>4725</v>
      </c>
      <c r="D59" s="291" t="s">
        <v>4725</v>
      </c>
      <c r="E59" s="205" t="s">
        <v>4823</v>
      </c>
      <c r="F59" s="291"/>
      <c r="G59" s="795">
        <f t="shared" si="100"/>
        <v>0</v>
      </c>
      <c r="H59" s="207">
        <f t="shared" si="101"/>
        <v>0</v>
      </c>
      <c r="I59" s="207">
        <f t="shared" si="102"/>
        <v>0</v>
      </c>
      <c r="J59" s="207">
        <f t="shared" si="103"/>
        <v>0</v>
      </c>
      <c r="K59" s="207">
        <f t="shared" si="104"/>
        <v>0</v>
      </c>
      <c r="L59" s="207">
        <f t="shared" si="105"/>
        <v>0</v>
      </c>
      <c r="M59" s="207">
        <f t="shared" si="106"/>
        <v>0</v>
      </c>
      <c r="N59" s="207">
        <f t="shared" si="107"/>
        <v>0</v>
      </c>
      <c r="O59" s="207">
        <f t="shared" si="108"/>
        <v>0</v>
      </c>
      <c r="P59" s="207">
        <f t="shared" si="109"/>
        <v>0</v>
      </c>
      <c r="Q59" s="207">
        <f t="shared" si="110"/>
        <v>0</v>
      </c>
      <c r="R59" s="207">
        <f t="shared" si="111"/>
        <v>0</v>
      </c>
      <c r="S59" s="207">
        <f t="shared" si="112"/>
        <v>0</v>
      </c>
      <c r="T59" s="207">
        <f t="shared" si="113"/>
        <v>0</v>
      </c>
      <c r="U59" s="207">
        <f t="shared" si="114"/>
        <v>0</v>
      </c>
      <c r="V59" s="207">
        <f t="shared" si="115"/>
        <v>0</v>
      </c>
      <c r="W59" s="207">
        <f t="shared" si="116"/>
        <v>0</v>
      </c>
      <c r="X59" s="207">
        <f t="shared" si="117"/>
        <v>0</v>
      </c>
      <c r="Y59" s="207">
        <f t="shared" si="118"/>
        <v>0</v>
      </c>
      <c r="Z59" s="207">
        <f t="shared" si="119"/>
        <v>0</v>
      </c>
      <c r="AA59" s="207">
        <f t="shared" si="120"/>
        <v>0</v>
      </c>
      <c r="AB59" s="207">
        <f t="shared" si="121"/>
        <v>0</v>
      </c>
      <c r="AC59" s="207">
        <f t="shared" si="122"/>
        <v>0</v>
      </c>
      <c r="AD59" s="207">
        <f t="shared" si="123"/>
        <v>0</v>
      </c>
      <c r="AE59" s="207">
        <f t="shared" si="124"/>
        <v>0</v>
      </c>
      <c r="AF59" s="207">
        <f t="shared" si="125"/>
        <v>0</v>
      </c>
      <c r="AG59" s="207">
        <f t="shared" si="126"/>
        <v>0</v>
      </c>
      <c r="AH59" s="207">
        <f t="shared" si="127"/>
        <v>0</v>
      </c>
      <c r="AI59" s="207">
        <f t="shared" si="133"/>
        <v>0</v>
      </c>
      <c r="AJ59" s="207">
        <f t="shared" si="134"/>
        <v>0</v>
      </c>
      <c r="AK59" s="207">
        <f t="shared" si="135"/>
        <v>0</v>
      </c>
      <c r="AL59" s="207">
        <f t="shared" si="130"/>
        <v>0</v>
      </c>
      <c r="AM59" s="208">
        <f t="shared" si="136"/>
        <v>0</v>
      </c>
      <c r="AN59" s="209" t="s">
        <v>4824</v>
      </c>
    </row>
    <row r="60" spans="1:40" ht="30" customHeight="1">
      <c r="A60" s="274"/>
      <c r="B60" s="827"/>
      <c r="C60" s="1345" t="s">
        <v>3331</v>
      </c>
      <c r="D60" s="291" t="s">
        <v>3331</v>
      </c>
      <c r="E60" s="205" t="s">
        <v>4825</v>
      </c>
      <c r="F60" s="291"/>
      <c r="G60" s="795">
        <f t="shared" si="100"/>
        <v>7</v>
      </c>
      <c r="H60" s="207">
        <f t="shared" si="101"/>
        <v>0</v>
      </c>
      <c r="I60" s="207">
        <f t="shared" si="102"/>
        <v>0</v>
      </c>
      <c r="J60" s="207">
        <f t="shared" si="103"/>
        <v>0</v>
      </c>
      <c r="K60" s="207">
        <f t="shared" si="104"/>
        <v>0</v>
      </c>
      <c r="L60" s="207">
        <f t="shared" si="105"/>
        <v>0</v>
      </c>
      <c r="M60" s="207">
        <f t="shared" si="106"/>
        <v>0</v>
      </c>
      <c r="N60" s="207">
        <f t="shared" si="107"/>
        <v>0</v>
      </c>
      <c r="O60" s="207">
        <f t="shared" si="108"/>
        <v>0</v>
      </c>
      <c r="P60" s="207">
        <f t="shared" si="109"/>
        <v>0</v>
      </c>
      <c r="Q60" s="207">
        <f t="shared" si="110"/>
        <v>0</v>
      </c>
      <c r="R60" s="207">
        <f t="shared" si="111"/>
        <v>3</v>
      </c>
      <c r="S60" s="207">
        <f t="shared" si="112"/>
        <v>0</v>
      </c>
      <c r="T60" s="207">
        <f t="shared" si="113"/>
        <v>1</v>
      </c>
      <c r="U60" s="207">
        <f t="shared" si="114"/>
        <v>0</v>
      </c>
      <c r="V60" s="207">
        <f t="shared" si="115"/>
        <v>0</v>
      </c>
      <c r="W60" s="207">
        <f t="shared" si="116"/>
        <v>0</v>
      </c>
      <c r="X60" s="207">
        <f t="shared" si="117"/>
        <v>0</v>
      </c>
      <c r="Y60" s="207">
        <f t="shared" si="118"/>
        <v>0</v>
      </c>
      <c r="Z60" s="207">
        <f t="shared" si="119"/>
        <v>0</v>
      </c>
      <c r="AA60" s="207">
        <f t="shared" si="120"/>
        <v>0</v>
      </c>
      <c r="AB60" s="207">
        <f t="shared" si="121"/>
        <v>0</v>
      </c>
      <c r="AC60" s="207">
        <f t="shared" si="122"/>
        <v>0</v>
      </c>
      <c r="AD60" s="207">
        <f t="shared" si="123"/>
        <v>0</v>
      </c>
      <c r="AE60" s="207">
        <f t="shared" si="124"/>
        <v>0</v>
      </c>
      <c r="AF60" s="207">
        <f t="shared" si="125"/>
        <v>0</v>
      </c>
      <c r="AG60" s="207">
        <f t="shared" si="126"/>
        <v>0</v>
      </c>
      <c r="AH60" s="207">
        <f t="shared" si="127"/>
        <v>0</v>
      </c>
      <c r="AI60" s="207">
        <f t="shared" si="133"/>
        <v>3</v>
      </c>
      <c r="AJ60" s="207">
        <f t="shared" si="134"/>
        <v>0</v>
      </c>
      <c r="AK60" s="207">
        <f t="shared" si="135"/>
        <v>0</v>
      </c>
      <c r="AL60" s="207">
        <f t="shared" si="130"/>
        <v>0</v>
      </c>
      <c r="AM60" s="208">
        <f t="shared" si="136"/>
        <v>0</v>
      </c>
      <c r="AN60" s="209" t="s">
        <v>4749</v>
      </c>
    </row>
    <row r="61" spans="1:40" ht="30" customHeight="1">
      <c r="A61" s="274"/>
      <c r="B61" s="827"/>
      <c r="C61" s="205" t="s">
        <v>4726</v>
      </c>
      <c r="D61" s="291" t="s">
        <v>4726</v>
      </c>
      <c r="E61" s="205" t="s">
        <v>4826</v>
      </c>
      <c r="F61" s="291"/>
      <c r="G61" s="795">
        <f t="shared" si="100"/>
        <v>0</v>
      </c>
      <c r="H61" s="207">
        <f t="shared" si="101"/>
        <v>0</v>
      </c>
      <c r="I61" s="207">
        <f t="shared" si="102"/>
        <v>0</v>
      </c>
      <c r="J61" s="207">
        <f t="shared" si="103"/>
        <v>0</v>
      </c>
      <c r="K61" s="207">
        <f t="shared" si="104"/>
        <v>0</v>
      </c>
      <c r="L61" s="207">
        <f t="shared" si="105"/>
        <v>0</v>
      </c>
      <c r="M61" s="207">
        <f t="shared" si="106"/>
        <v>0</v>
      </c>
      <c r="N61" s="207">
        <f t="shared" si="107"/>
        <v>0</v>
      </c>
      <c r="O61" s="207">
        <f t="shared" si="108"/>
        <v>0</v>
      </c>
      <c r="P61" s="207">
        <f t="shared" si="109"/>
        <v>0</v>
      </c>
      <c r="Q61" s="207">
        <f t="shared" si="110"/>
        <v>0</v>
      </c>
      <c r="R61" s="207">
        <f t="shared" si="111"/>
        <v>0</v>
      </c>
      <c r="S61" s="207">
        <f t="shared" si="112"/>
        <v>0</v>
      </c>
      <c r="T61" s="207">
        <f t="shared" si="113"/>
        <v>0</v>
      </c>
      <c r="U61" s="207">
        <f t="shared" si="114"/>
        <v>0</v>
      </c>
      <c r="V61" s="207">
        <f t="shared" si="115"/>
        <v>0</v>
      </c>
      <c r="W61" s="207">
        <f t="shared" si="116"/>
        <v>0</v>
      </c>
      <c r="X61" s="207">
        <f t="shared" si="117"/>
        <v>0</v>
      </c>
      <c r="Y61" s="207">
        <f t="shared" si="118"/>
        <v>0</v>
      </c>
      <c r="Z61" s="207">
        <f t="shared" si="119"/>
        <v>0</v>
      </c>
      <c r="AA61" s="207">
        <f t="shared" si="120"/>
        <v>0</v>
      </c>
      <c r="AB61" s="207">
        <f t="shared" si="121"/>
        <v>0</v>
      </c>
      <c r="AC61" s="207">
        <f t="shared" si="122"/>
        <v>0</v>
      </c>
      <c r="AD61" s="207">
        <f t="shared" si="123"/>
        <v>0</v>
      </c>
      <c r="AE61" s="207">
        <f t="shared" si="124"/>
        <v>0</v>
      </c>
      <c r="AF61" s="207">
        <f t="shared" si="125"/>
        <v>0</v>
      </c>
      <c r="AG61" s="207">
        <f t="shared" si="126"/>
        <v>0</v>
      </c>
      <c r="AH61" s="207">
        <f t="shared" si="127"/>
        <v>0</v>
      </c>
      <c r="AI61" s="207">
        <f t="shared" si="133"/>
        <v>0</v>
      </c>
      <c r="AJ61" s="207">
        <f t="shared" si="134"/>
        <v>0</v>
      </c>
      <c r="AK61" s="207">
        <f t="shared" si="135"/>
        <v>0</v>
      </c>
      <c r="AL61" s="207">
        <f t="shared" si="130"/>
        <v>0</v>
      </c>
      <c r="AM61" s="208">
        <f t="shared" si="136"/>
        <v>0</v>
      </c>
      <c r="AN61" s="209" t="s">
        <v>4750</v>
      </c>
    </row>
    <row r="62" spans="1:40" ht="30" customHeight="1">
      <c r="A62" s="274"/>
      <c r="B62" s="827"/>
      <c r="C62" s="205" t="s">
        <v>4074</v>
      </c>
      <c r="D62" s="291" t="s">
        <v>4074</v>
      </c>
      <c r="E62" s="205" t="s">
        <v>4827</v>
      </c>
      <c r="F62" s="291"/>
      <c r="G62" s="800">
        <f t="shared" si="100"/>
        <v>1</v>
      </c>
      <c r="H62" s="395">
        <f t="shared" si="101"/>
        <v>0</v>
      </c>
      <c r="I62" s="395">
        <f t="shared" si="102"/>
        <v>0</v>
      </c>
      <c r="J62" s="395">
        <f t="shared" si="103"/>
        <v>0</v>
      </c>
      <c r="K62" s="395">
        <f t="shared" si="104"/>
        <v>0</v>
      </c>
      <c r="L62" s="395">
        <f t="shared" si="105"/>
        <v>0</v>
      </c>
      <c r="M62" s="395">
        <f t="shared" si="106"/>
        <v>0</v>
      </c>
      <c r="N62" s="395">
        <f t="shared" si="107"/>
        <v>0</v>
      </c>
      <c r="O62" s="395">
        <f t="shared" si="108"/>
        <v>0</v>
      </c>
      <c r="P62" s="395">
        <f t="shared" si="109"/>
        <v>0</v>
      </c>
      <c r="Q62" s="395">
        <f t="shared" si="110"/>
        <v>0</v>
      </c>
      <c r="R62" s="395">
        <f t="shared" si="111"/>
        <v>0</v>
      </c>
      <c r="S62" s="395">
        <f t="shared" si="112"/>
        <v>0</v>
      </c>
      <c r="T62" s="395">
        <f t="shared" si="113"/>
        <v>0</v>
      </c>
      <c r="U62" s="395">
        <f t="shared" si="114"/>
        <v>0</v>
      </c>
      <c r="V62" s="395">
        <f t="shared" si="115"/>
        <v>0</v>
      </c>
      <c r="W62" s="395">
        <f t="shared" si="116"/>
        <v>0</v>
      </c>
      <c r="X62" s="395">
        <f t="shared" si="117"/>
        <v>0</v>
      </c>
      <c r="Y62" s="395">
        <f t="shared" si="118"/>
        <v>0</v>
      </c>
      <c r="Z62" s="395">
        <f t="shared" si="119"/>
        <v>0</v>
      </c>
      <c r="AA62" s="395">
        <f t="shared" si="120"/>
        <v>0</v>
      </c>
      <c r="AB62" s="395">
        <f t="shared" si="121"/>
        <v>0</v>
      </c>
      <c r="AC62" s="395">
        <f t="shared" si="122"/>
        <v>1</v>
      </c>
      <c r="AD62" s="395">
        <f t="shared" si="123"/>
        <v>0</v>
      </c>
      <c r="AE62" s="395">
        <f t="shared" si="124"/>
        <v>0</v>
      </c>
      <c r="AF62" s="395">
        <f t="shared" si="125"/>
        <v>0</v>
      </c>
      <c r="AG62" s="395">
        <f t="shared" si="126"/>
        <v>0</v>
      </c>
      <c r="AH62" s="395">
        <f t="shared" si="127"/>
        <v>0</v>
      </c>
      <c r="AI62" s="395">
        <f t="shared" si="133"/>
        <v>0</v>
      </c>
      <c r="AJ62" s="395">
        <f t="shared" si="134"/>
        <v>0</v>
      </c>
      <c r="AK62" s="395">
        <f t="shared" si="135"/>
        <v>0</v>
      </c>
      <c r="AL62" s="207">
        <f t="shared" si="130"/>
        <v>0</v>
      </c>
      <c r="AM62" s="208">
        <f t="shared" si="136"/>
        <v>0</v>
      </c>
      <c r="AN62" s="209" t="s">
        <v>4828</v>
      </c>
    </row>
    <row r="63" spans="1:40" ht="30" customHeight="1">
      <c r="A63" s="274"/>
      <c r="B63" s="827"/>
      <c r="C63" s="205" t="s">
        <v>4727</v>
      </c>
      <c r="D63" s="291" t="s">
        <v>4727</v>
      </c>
      <c r="E63" s="205" t="s">
        <v>4829</v>
      </c>
      <c r="F63" s="291"/>
      <c r="G63" s="800">
        <f t="shared" si="100"/>
        <v>0</v>
      </c>
      <c r="H63" s="395">
        <f t="shared" si="101"/>
        <v>0</v>
      </c>
      <c r="I63" s="395">
        <f t="shared" si="102"/>
        <v>0</v>
      </c>
      <c r="J63" s="395">
        <f t="shared" si="103"/>
        <v>0</v>
      </c>
      <c r="K63" s="395">
        <f t="shared" si="104"/>
        <v>0</v>
      </c>
      <c r="L63" s="395">
        <f t="shared" si="105"/>
        <v>0</v>
      </c>
      <c r="M63" s="395">
        <f t="shared" si="106"/>
        <v>0</v>
      </c>
      <c r="N63" s="395">
        <f t="shared" si="107"/>
        <v>0</v>
      </c>
      <c r="O63" s="395">
        <f t="shared" si="108"/>
        <v>0</v>
      </c>
      <c r="P63" s="395">
        <f t="shared" si="109"/>
        <v>0</v>
      </c>
      <c r="Q63" s="395">
        <f t="shared" si="110"/>
        <v>0</v>
      </c>
      <c r="R63" s="395">
        <f t="shared" si="111"/>
        <v>0</v>
      </c>
      <c r="S63" s="395">
        <f t="shared" si="112"/>
        <v>0</v>
      </c>
      <c r="T63" s="395">
        <f t="shared" si="113"/>
        <v>0</v>
      </c>
      <c r="U63" s="395">
        <f t="shared" si="114"/>
        <v>0</v>
      </c>
      <c r="V63" s="395">
        <f t="shared" si="115"/>
        <v>0</v>
      </c>
      <c r="W63" s="395">
        <f t="shared" si="116"/>
        <v>0</v>
      </c>
      <c r="X63" s="395">
        <f t="shared" si="117"/>
        <v>0</v>
      </c>
      <c r="Y63" s="395">
        <f t="shared" si="118"/>
        <v>0</v>
      </c>
      <c r="Z63" s="395">
        <f t="shared" si="119"/>
        <v>0</v>
      </c>
      <c r="AA63" s="395">
        <f t="shared" si="120"/>
        <v>0</v>
      </c>
      <c r="AB63" s="395">
        <f t="shared" si="121"/>
        <v>0</v>
      </c>
      <c r="AC63" s="395">
        <f t="shared" si="122"/>
        <v>0</v>
      </c>
      <c r="AD63" s="395">
        <f t="shared" si="123"/>
        <v>0</v>
      </c>
      <c r="AE63" s="395">
        <f t="shared" si="124"/>
        <v>0</v>
      </c>
      <c r="AF63" s="395">
        <f t="shared" si="125"/>
        <v>0</v>
      </c>
      <c r="AG63" s="395">
        <f t="shared" si="126"/>
        <v>0</v>
      </c>
      <c r="AH63" s="395">
        <f t="shared" si="127"/>
        <v>0</v>
      </c>
      <c r="AI63" s="395">
        <f t="shared" si="133"/>
        <v>0</v>
      </c>
      <c r="AJ63" s="395">
        <f t="shared" si="134"/>
        <v>0</v>
      </c>
      <c r="AK63" s="395">
        <f t="shared" si="135"/>
        <v>0</v>
      </c>
      <c r="AL63" s="207">
        <f t="shared" si="130"/>
        <v>0</v>
      </c>
      <c r="AM63" s="208">
        <f t="shared" si="136"/>
        <v>0</v>
      </c>
      <c r="AN63" s="209" t="s">
        <v>4830</v>
      </c>
    </row>
    <row r="64" spans="1:40" ht="30" customHeight="1">
      <c r="A64" s="274"/>
      <c r="B64" s="827"/>
      <c r="C64" s="205" t="s">
        <v>4452</v>
      </c>
      <c r="D64" s="291" t="s">
        <v>4452</v>
      </c>
      <c r="E64" s="205" t="s">
        <v>4831</v>
      </c>
      <c r="F64" s="291"/>
      <c r="G64" s="800">
        <f t="shared" si="100"/>
        <v>0</v>
      </c>
      <c r="H64" s="395">
        <f t="shared" si="101"/>
        <v>0</v>
      </c>
      <c r="I64" s="395">
        <f t="shared" si="102"/>
        <v>0</v>
      </c>
      <c r="J64" s="395">
        <f t="shared" si="103"/>
        <v>0</v>
      </c>
      <c r="K64" s="395">
        <f t="shared" si="104"/>
        <v>0</v>
      </c>
      <c r="L64" s="395">
        <f t="shared" si="105"/>
        <v>0</v>
      </c>
      <c r="M64" s="395">
        <f t="shared" si="106"/>
        <v>0</v>
      </c>
      <c r="N64" s="395">
        <f t="shared" si="107"/>
        <v>0</v>
      </c>
      <c r="O64" s="395">
        <f t="shared" si="108"/>
        <v>0</v>
      </c>
      <c r="P64" s="395">
        <f t="shared" si="109"/>
        <v>0</v>
      </c>
      <c r="Q64" s="395">
        <f t="shared" si="110"/>
        <v>0</v>
      </c>
      <c r="R64" s="395">
        <f t="shared" si="111"/>
        <v>0</v>
      </c>
      <c r="S64" s="395">
        <f t="shared" si="112"/>
        <v>0</v>
      </c>
      <c r="T64" s="395">
        <f t="shared" si="113"/>
        <v>0</v>
      </c>
      <c r="U64" s="395">
        <f t="shared" si="114"/>
        <v>0</v>
      </c>
      <c r="V64" s="395">
        <f t="shared" si="115"/>
        <v>0</v>
      </c>
      <c r="W64" s="395">
        <f t="shared" si="116"/>
        <v>0</v>
      </c>
      <c r="X64" s="395">
        <f t="shared" si="117"/>
        <v>0</v>
      </c>
      <c r="Y64" s="395">
        <f t="shared" si="118"/>
        <v>0</v>
      </c>
      <c r="Z64" s="395">
        <f t="shared" si="119"/>
        <v>0</v>
      </c>
      <c r="AA64" s="395">
        <f t="shared" si="120"/>
        <v>0</v>
      </c>
      <c r="AB64" s="395">
        <f t="shared" si="121"/>
        <v>0</v>
      </c>
      <c r="AC64" s="395">
        <f t="shared" si="122"/>
        <v>0</v>
      </c>
      <c r="AD64" s="395">
        <f t="shared" si="123"/>
        <v>0</v>
      </c>
      <c r="AE64" s="395">
        <f t="shared" si="124"/>
        <v>0</v>
      </c>
      <c r="AF64" s="395">
        <f t="shared" si="125"/>
        <v>0</v>
      </c>
      <c r="AG64" s="395">
        <f t="shared" si="126"/>
        <v>0</v>
      </c>
      <c r="AH64" s="395">
        <f t="shared" si="127"/>
        <v>0</v>
      </c>
      <c r="AI64" s="395">
        <f t="shared" si="133"/>
        <v>0</v>
      </c>
      <c r="AJ64" s="395">
        <f t="shared" si="134"/>
        <v>0</v>
      </c>
      <c r="AK64" s="395">
        <f t="shared" si="135"/>
        <v>0</v>
      </c>
      <c r="AL64" s="207">
        <f t="shared" si="130"/>
        <v>0</v>
      </c>
      <c r="AM64" s="208">
        <f t="shared" si="136"/>
        <v>0</v>
      </c>
      <c r="AN64" s="209" t="s">
        <v>4832</v>
      </c>
    </row>
    <row r="65" spans="1:40" ht="30" customHeight="1">
      <c r="A65" s="274"/>
      <c r="B65" s="827"/>
      <c r="C65" s="205" t="s">
        <v>4728</v>
      </c>
      <c r="D65" s="291" t="s">
        <v>4728</v>
      </c>
      <c r="E65" s="205" t="s">
        <v>4833</v>
      </c>
      <c r="F65" s="291"/>
      <c r="G65" s="800">
        <f t="shared" si="100"/>
        <v>0</v>
      </c>
      <c r="H65" s="395">
        <f t="shared" si="101"/>
        <v>0</v>
      </c>
      <c r="I65" s="395">
        <f t="shared" si="102"/>
        <v>0</v>
      </c>
      <c r="J65" s="395">
        <f t="shared" si="103"/>
        <v>0</v>
      </c>
      <c r="K65" s="395">
        <f t="shared" si="104"/>
        <v>0</v>
      </c>
      <c r="L65" s="395">
        <f t="shared" si="105"/>
        <v>0</v>
      </c>
      <c r="M65" s="395">
        <f t="shared" si="106"/>
        <v>0</v>
      </c>
      <c r="N65" s="395">
        <f t="shared" si="107"/>
        <v>0</v>
      </c>
      <c r="O65" s="395">
        <f t="shared" si="108"/>
        <v>0</v>
      </c>
      <c r="P65" s="395">
        <f t="shared" si="109"/>
        <v>0</v>
      </c>
      <c r="Q65" s="395">
        <f t="shared" si="110"/>
        <v>0</v>
      </c>
      <c r="R65" s="395">
        <f t="shared" si="111"/>
        <v>0</v>
      </c>
      <c r="S65" s="395">
        <f t="shared" si="112"/>
        <v>0</v>
      </c>
      <c r="T65" s="395">
        <f t="shared" si="113"/>
        <v>0</v>
      </c>
      <c r="U65" s="395">
        <f t="shared" si="114"/>
        <v>0</v>
      </c>
      <c r="V65" s="395">
        <f t="shared" si="115"/>
        <v>0</v>
      </c>
      <c r="W65" s="395">
        <f t="shared" si="116"/>
        <v>0</v>
      </c>
      <c r="X65" s="395">
        <f t="shared" si="117"/>
        <v>0</v>
      </c>
      <c r="Y65" s="395">
        <f t="shared" si="118"/>
        <v>0</v>
      </c>
      <c r="Z65" s="395">
        <f t="shared" si="119"/>
        <v>0</v>
      </c>
      <c r="AA65" s="395">
        <f t="shared" si="120"/>
        <v>0</v>
      </c>
      <c r="AB65" s="395">
        <f t="shared" si="121"/>
        <v>0</v>
      </c>
      <c r="AC65" s="395">
        <f t="shared" si="122"/>
        <v>0</v>
      </c>
      <c r="AD65" s="395">
        <f t="shared" si="123"/>
        <v>0</v>
      </c>
      <c r="AE65" s="395">
        <f t="shared" si="124"/>
        <v>0</v>
      </c>
      <c r="AF65" s="395">
        <f t="shared" si="125"/>
        <v>0</v>
      </c>
      <c r="AG65" s="395">
        <f t="shared" si="126"/>
        <v>0</v>
      </c>
      <c r="AH65" s="395">
        <f t="shared" si="127"/>
        <v>0</v>
      </c>
      <c r="AI65" s="395">
        <f t="shared" si="133"/>
        <v>0</v>
      </c>
      <c r="AJ65" s="395">
        <f t="shared" si="134"/>
        <v>0</v>
      </c>
      <c r="AK65" s="395">
        <f t="shared" si="135"/>
        <v>0</v>
      </c>
      <c r="AL65" s="207">
        <f t="shared" si="130"/>
        <v>0</v>
      </c>
      <c r="AM65" s="208">
        <f t="shared" si="136"/>
        <v>0</v>
      </c>
      <c r="AN65" s="209" t="s">
        <v>4834</v>
      </c>
    </row>
    <row r="66" spans="1:40" ht="30" customHeight="1">
      <c r="A66" s="274"/>
      <c r="B66" s="827"/>
      <c r="C66" s="393" t="s">
        <v>4678</v>
      </c>
      <c r="D66" s="394" t="s">
        <v>4678</v>
      </c>
      <c r="E66" s="393" t="s">
        <v>4835</v>
      </c>
      <c r="F66" s="291"/>
      <c r="G66" s="800">
        <f t="shared" si="100"/>
        <v>0</v>
      </c>
      <c r="H66" s="395">
        <f t="shared" si="101"/>
        <v>0</v>
      </c>
      <c r="I66" s="395">
        <f t="shared" si="102"/>
        <v>0</v>
      </c>
      <c r="J66" s="395">
        <f t="shared" si="103"/>
        <v>0</v>
      </c>
      <c r="K66" s="395">
        <f t="shared" si="104"/>
        <v>0</v>
      </c>
      <c r="L66" s="395">
        <f t="shared" si="105"/>
        <v>0</v>
      </c>
      <c r="M66" s="395">
        <f t="shared" si="106"/>
        <v>0</v>
      </c>
      <c r="N66" s="395">
        <f t="shared" si="107"/>
        <v>0</v>
      </c>
      <c r="O66" s="395">
        <f t="shared" si="108"/>
        <v>0</v>
      </c>
      <c r="P66" s="395">
        <f t="shared" si="109"/>
        <v>0</v>
      </c>
      <c r="Q66" s="395">
        <f t="shared" si="110"/>
        <v>0</v>
      </c>
      <c r="R66" s="395">
        <f t="shared" si="111"/>
        <v>0</v>
      </c>
      <c r="S66" s="395">
        <f t="shared" si="112"/>
        <v>0</v>
      </c>
      <c r="T66" s="395">
        <f t="shared" si="113"/>
        <v>0</v>
      </c>
      <c r="U66" s="395">
        <f t="shared" si="114"/>
        <v>0</v>
      </c>
      <c r="V66" s="395">
        <f t="shared" si="115"/>
        <v>0</v>
      </c>
      <c r="W66" s="395">
        <f t="shared" si="116"/>
        <v>0</v>
      </c>
      <c r="X66" s="395">
        <f t="shared" si="117"/>
        <v>0</v>
      </c>
      <c r="Y66" s="395">
        <f t="shared" si="118"/>
        <v>0</v>
      </c>
      <c r="Z66" s="395">
        <f t="shared" si="119"/>
        <v>0</v>
      </c>
      <c r="AA66" s="395">
        <f t="shared" si="120"/>
        <v>0</v>
      </c>
      <c r="AB66" s="395">
        <f t="shared" si="121"/>
        <v>0</v>
      </c>
      <c r="AC66" s="395">
        <f t="shared" si="122"/>
        <v>0</v>
      </c>
      <c r="AD66" s="395">
        <f t="shared" si="123"/>
        <v>0</v>
      </c>
      <c r="AE66" s="395">
        <f t="shared" si="124"/>
        <v>0</v>
      </c>
      <c r="AF66" s="395">
        <f t="shared" si="125"/>
        <v>0</v>
      </c>
      <c r="AG66" s="395">
        <f t="shared" si="126"/>
        <v>0</v>
      </c>
      <c r="AH66" s="395">
        <f t="shared" si="127"/>
        <v>0</v>
      </c>
      <c r="AI66" s="395">
        <f t="shared" si="133"/>
        <v>0</v>
      </c>
      <c r="AJ66" s="395">
        <f t="shared" si="134"/>
        <v>0</v>
      </c>
      <c r="AK66" s="395">
        <f t="shared" si="135"/>
        <v>0</v>
      </c>
      <c r="AL66" s="207">
        <f t="shared" si="130"/>
        <v>0</v>
      </c>
      <c r="AM66" s="208">
        <f t="shared" si="136"/>
        <v>0</v>
      </c>
      <c r="AN66" s="209" t="s">
        <v>4836</v>
      </c>
    </row>
    <row r="67" spans="1:40" ht="30" customHeight="1">
      <c r="A67" s="274"/>
      <c r="B67" s="827"/>
      <c r="C67" s="393" t="s">
        <v>4729</v>
      </c>
      <c r="D67" s="394" t="s">
        <v>4729</v>
      </c>
      <c r="E67" s="393" t="s">
        <v>4837</v>
      </c>
      <c r="F67" s="291"/>
      <c r="G67" s="800">
        <f t="shared" ref="G67:G80" si="137">SUM(H67:AM67)</f>
        <v>0</v>
      </c>
      <c r="H67" s="395">
        <f t="shared" si="101"/>
        <v>0</v>
      </c>
      <c r="I67" s="395">
        <f t="shared" si="102"/>
        <v>0</v>
      </c>
      <c r="J67" s="395">
        <f t="shared" si="103"/>
        <v>0</v>
      </c>
      <c r="K67" s="395">
        <f t="shared" si="104"/>
        <v>0</v>
      </c>
      <c r="L67" s="395">
        <f t="shared" si="105"/>
        <v>0</v>
      </c>
      <c r="M67" s="395">
        <f t="shared" si="106"/>
        <v>0</v>
      </c>
      <c r="N67" s="395">
        <f t="shared" si="107"/>
        <v>0</v>
      </c>
      <c r="O67" s="395">
        <f t="shared" si="108"/>
        <v>0</v>
      </c>
      <c r="P67" s="395">
        <f t="shared" si="109"/>
        <v>0</v>
      </c>
      <c r="Q67" s="395">
        <f t="shared" si="110"/>
        <v>0</v>
      </c>
      <c r="R67" s="395">
        <f t="shared" si="111"/>
        <v>0</v>
      </c>
      <c r="S67" s="395">
        <f t="shared" si="112"/>
        <v>0</v>
      </c>
      <c r="T67" s="395">
        <f t="shared" si="113"/>
        <v>0</v>
      </c>
      <c r="U67" s="395">
        <f t="shared" si="114"/>
        <v>0</v>
      </c>
      <c r="V67" s="395">
        <f t="shared" si="115"/>
        <v>0</v>
      </c>
      <c r="W67" s="395">
        <f t="shared" si="116"/>
        <v>0</v>
      </c>
      <c r="X67" s="395">
        <f t="shared" si="117"/>
        <v>0</v>
      </c>
      <c r="Y67" s="395">
        <f t="shared" si="118"/>
        <v>0</v>
      </c>
      <c r="Z67" s="395">
        <f t="shared" si="119"/>
        <v>0</v>
      </c>
      <c r="AA67" s="395">
        <f t="shared" si="120"/>
        <v>0</v>
      </c>
      <c r="AB67" s="395">
        <f t="shared" si="121"/>
        <v>0</v>
      </c>
      <c r="AC67" s="395">
        <f t="shared" si="122"/>
        <v>0</v>
      </c>
      <c r="AD67" s="395">
        <f t="shared" si="123"/>
        <v>0</v>
      </c>
      <c r="AE67" s="395">
        <f t="shared" si="124"/>
        <v>0</v>
      </c>
      <c r="AF67" s="395">
        <f t="shared" si="125"/>
        <v>0</v>
      </c>
      <c r="AG67" s="395">
        <f t="shared" si="126"/>
        <v>0</v>
      </c>
      <c r="AH67" s="395">
        <f t="shared" si="127"/>
        <v>0</v>
      </c>
      <c r="AI67" s="395">
        <f t="shared" si="133"/>
        <v>0</v>
      </c>
      <c r="AJ67" s="395">
        <f t="shared" si="134"/>
        <v>0</v>
      </c>
      <c r="AK67" s="395">
        <f t="shared" si="135"/>
        <v>0</v>
      </c>
      <c r="AL67" s="207">
        <f t="shared" si="130"/>
        <v>0</v>
      </c>
      <c r="AM67" s="208">
        <f t="shared" si="136"/>
        <v>0</v>
      </c>
      <c r="AN67" s="209" t="s">
        <v>4838</v>
      </c>
    </row>
    <row r="68" spans="1:40" ht="30" customHeight="1">
      <c r="A68" s="274"/>
      <c r="B68" s="827"/>
      <c r="C68" s="393" t="s">
        <v>4679</v>
      </c>
      <c r="D68" s="394" t="s">
        <v>4679</v>
      </c>
      <c r="E68" s="393" t="s">
        <v>4839</v>
      </c>
      <c r="F68" s="291"/>
      <c r="G68" s="800">
        <f t="shared" si="137"/>
        <v>9</v>
      </c>
      <c r="H68" s="395">
        <f t="shared" si="101"/>
        <v>0</v>
      </c>
      <c r="I68" s="395">
        <f t="shared" si="102"/>
        <v>0</v>
      </c>
      <c r="J68" s="395">
        <f t="shared" si="103"/>
        <v>0</v>
      </c>
      <c r="K68" s="395">
        <f t="shared" si="104"/>
        <v>0</v>
      </c>
      <c r="L68" s="395">
        <f t="shared" si="105"/>
        <v>0</v>
      </c>
      <c r="M68" s="395">
        <f t="shared" si="106"/>
        <v>1</v>
      </c>
      <c r="N68" s="395">
        <f t="shared" si="107"/>
        <v>0</v>
      </c>
      <c r="O68" s="395">
        <f t="shared" si="108"/>
        <v>0</v>
      </c>
      <c r="P68" s="395">
        <f t="shared" si="109"/>
        <v>0</v>
      </c>
      <c r="Q68" s="395">
        <f t="shared" si="110"/>
        <v>0</v>
      </c>
      <c r="R68" s="395">
        <f t="shared" si="111"/>
        <v>0</v>
      </c>
      <c r="S68" s="395">
        <f t="shared" si="112"/>
        <v>0</v>
      </c>
      <c r="T68" s="395">
        <f t="shared" si="113"/>
        <v>0</v>
      </c>
      <c r="U68" s="395">
        <f t="shared" si="114"/>
        <v>6</v>
      </c>
      <c r="V68" s="395">
        <f t="shared" si="115"/>
        <v>1</v>
      </c>
      <c r="W68" s="395">
        <f t="shared" si="116"/>
        <v>0</v>
      </c>
      <c r="X68" s="395">
        <f t="shared" si="117"/>
        <v>0</v>
      </c>
      <c r="Y68" s="395">
        <f t="shared" si="118"/>
        <v>0</v>
      </c>
      <c r="Z68" s="395">
        <f t="shared" si="119"/>
        <v>0</v>
      </c>
      <c r="AA68" s="395">
        <f t="shared" si="120"/>
        <v>0</v>
      </c>
      <c r="AB68" s="395">
        <f t="shared" si="121"/>
        <v>0</v>
      </c>
      <c r="AC68" s="395">
        <f t="shared" si="122"/>
        <v>1</v>
      </c>
      <c r="AD68" s="395">
        <f t="shared" si="123"/>
        <v>0</v>
      </c>
      <c r="AE68" s="395">
        <f t="shared" si="124"/>
        <v>0</v>
      </c>
      <c r="AF68" s="395">
        <f t="shared" si="125"/>
        <v>0</v>
      </c>
      <c r="AG68" s="395">
        <f t="shared" si="126"/>
        <v>0</v>
      </c>
      <c r="AH68" s="395">
        <f t="shared" si="127"/>
        <v>0</v>
      </c>
      <c r="AI68" s="395">
        <f t="shared" si="133"/>
        <v>0</v>
      </c>
      <c r="AJ68" s="395">
        <f t="shared" si="134"/>
        <v>0</v>
      </c>
      <c r="AK68" s="395">
        <f t="shared" si="135"/>
        <v>0</v>
      </c>
      <c r="AL68" s="207">
        <f t="shared" si="130"/>
        <v>0</v>
      </c>
      <c r="AM68" s="208">
        <f t="shared" si="136"/>
        <v>0</v>
      </c>
      <c r="AN68" s="209" t="s">
        <v>4840</v>
      </c>
    </row>
    <row r="69" spans="1:40" ht="30" customHeight="1">
      <c r="A69" s="274"/>
      <c r="B69" s="827"/>
      <c r="C69" s="393" t="s">
        <v>4730</v>
      </c>
      <c r="D69" s="394" t="s">
        <v>4730</v>
      </c>
      <c r="E69" s="393" t="s">
        <v>4841</v>
      </c>
      <c r="F69" s="291"/>
      <c r="G69" s="800">
        <f t="shared" si="137"/>
        <v>0</v>
      </c>
      <c r="H69" s="395">
        <f t="shared" si="101"/>
        <v>0</v>
      </c>
      <c r="I69" s="395">
        <f t="shared" si="102"/>
        <v>0</v>
      </c>
      <c r="J69" s="395">
        <f t="shared" si="103"/>
        <v>0</v>
      </c>
      <c r="K69" s="395">
        <f t="shared" si="104"/>
        <v>0</v>
      </c>
      <c r="L69" s="395">
        <f t="shared" si="105"/>
        <v>0</v>
      </c>
      <c r="M69" s="395">
        <f t="shared" si="106"/>
        <v>0</v>
      </c>
      <c r="N69" s="395">
        <f t="shared" si="107"/>
        <v>0</v>
      </c>
      <c r="O69" s="395">
        <f t="shared" si="108"/>
        <v>0</v>
      </c>
      <c r="P69" s="395">
        <f t="shared" si="109"/>
        <v>0</v>
      </c>
      <c r="Q69" s="395">
        <f t="shared" si="110"/>
        <v>0</v>
      </c>
      <c r="R69" s="395">
        <f t="shared" si="111"/>
        <v>0</v>
      </c>
      <c r="S69" s="395">
        <f t="shared" si="112"/>
        <v>0</v>
      </c>
      <c r="T69" s="395">
        <f t="shared" si="113"/>
        <v>0</v>
      </c>
      <c r="U69" s="395">
        <f t="shared" si="114"/>
        <v>0</v>
      </c>
      <c r="V69" s="395">
        <f t="shared" si="115"/>
        <v>0</v>
      </c>
      <c r="W69" s="395">
        <f t="shared" si="116"/>
        <v>0</v>
      </c>
      <c r="X69" s="395">
        <f t="shared" si="117"/>
        <v>0</v>
      </c>
      <c r="Y69" s="395">
        <f t="shared" si="118"/>
        <v>0</v>
      </c>
      <c r="Z69" s="395">
        <f t="shared" si="119"/>
        <v>0</v>
      </c>
      <c r="AA69" s="395">
        <f t="shared" si="120"/>
        <v>0</v>
      </c>
      <c r="AB69" s="395">
        <f t="shared" si="121"/>
        <v>0</v>
      </c>
      <c r="AC69" s="395">
        <f t="shared" si="122"/>
        <v>0</v>
      </c>
      <c r="AD69" s="395">
        <f t="shared" si="123"/>
        <v>0</v>
      </c>
      <c r="AE69" s="395">
        <f t="shared" si="124"/>
        <v>0</v>
      </c>
      <c r="AF69" s="395">
        <f t="shared" si="125"/>
        <v>0</v>
      </c>
      <c r="AG69" s="395">
        <f t="shared" si="126"/>
        <v>0</v>
      </c>
      <c r="AH69" s="395">
        <f t="shared" si="127"/>
        <v>0</v>
      </c>
      <c r="AI69" s="395">
        <f t="shared" si="133"/>
        <v>0</v>
      </c>
      <c r="AJ69" s="395">
        <f t="shared" si="134"/>
        <v>0</v>
      </c>
      <c r="AK69" s="395">
        <f t="shared" si="135"/>
        <v>0</v>
      </c>
      <c r="AL69" s="207">
        <f t="shared" si="130"/>
        <v>0</v>
      </c>
      <c r="AM69" s="208">
        <f t="shared" si="136"/>
        <v>0</v>
      </c>
      <c r="AN69" s="209" t="s">
        <v>4842</v>
      </c>
    </row>
    <row r="70" spans="1:40" ht="30" customHeight="1">
      <c r="A70" s="274"/>
      <c r="B70" s="827"/>
      <c r="C70" s="393" t="s">
        <v>4680</v>
      </c>
      <c r="D70" s="394" t="s">
        <v>4680</v>
      </c>
      <c r="E70" s="393" t="s">
        <v>4843</v>
      </c>
      <c r="F70" s="291"/>
      <c r="G70" s="800">
        <f t="shared" si="137"/>
        <v>6</v>
      </c>
      <c r="H70" s="395">
        <f t="shared" si="101"/>
        <v>0</v>
      </c>
      <c r="I70" s="395">
        <f t="shared" si="102"/>
        <v>0</v>
      </c>
      <c r="J70" s="395">
        <f t="shared" si="103"/>
        <v>0</v>
      </c>
      <c r="K70" s="395">
        <f t="shared" si="104"/>
        <v>0</v>
      </c>
      <c r="L70" s="395">
        <f t="shared" si="105"/>
        <v>1</v>
      </c>
      <c r="M70" s="395">
        <f t="shared" si="106"/>
        <v>0</v>
      </c>
      <c r="N70" s="395">
        <f t="shared" si="107"/>
        <v>0</v>
      </c>
      <c r="O70" s="395">
        <f t="shared" si="108"/>
        <v>2</v>
      </c>
      <c r="P70" s="395">
        <f t="shared" si="109"/>
        <v>0</v>
      </c>
      <c r="Q70" s="395">
        <f t="shared" si="110"/>
        <v>1</v>
      </c>
      <c r="R70" s="395">
        <f t="shared" si="111"/>
        <v>0</v>
      </c>
      <c r="S70" s="395">
        <f t="shared" si="112"/>
        <v>0</v>
      </c>
      <c r="T70" s="395">
        <f t="shared" si="113"/>
        <v>0</v>
      </c>
      <c r="U70" s="395">
        <f t="shared" si="114"/>
        <v>2</v>
      </c>
      <c r="V70" s="395">
        <f t="shared" si="115"/>
        <v>0</v>
      </c>
      <c r="W70" s="395">
        <f t="shared" si="116"/>
        <v>0</v>
      </c>
      <c r="X70" s="395">
        <f t="shared" si="117"/>
        <v>0</v>
      </c>
      <c r="Y70" s="395">
        <f t="shared" si="118"/>
        <v>0</v>
      </c>
      <c r="Z70" s="395">
        <f t="shared" si="119"/>
        <v>0</v>
      </c>
      <c r="AA70" s="395">
        <f t="shared" si="120"/>
        <v>0</v>
      </c>
      <c r="AB70" s="395">
        <f t="shared" si="121"/>
        <v>0</v>
      </c>
      <c r="AC70" s="395">
        <f t="shared" si="122"/>
        <v>0</v>
      </c>
      <c r="AD70" s="395">
        <f t="shared" si="123"/>
        <v>0</v>
      </c>
      <c r="AE70" s="395">
        <f t="shared" si="124"/>
        <v>0</v>
      </c>
      <c r="AF70" s="395">
        <f t="shared" si="125"/>
        <v>0</v>
      </c>
      <c r="AG70" s="395">
        <f t="shared" si="126"/>
        <v>0</v>
      </c>
      <c r="AH70" s="395">
        <f t="shared" si="127"/>
        <v>0</v>
      </c>
      <c r="AI70" s="395">
        <f t="shared" si="133"/>
        <v>0</v>
      </c>
      <c r="AJ70" s="395">
        <f t="shared" si="134"/>
        <v>0</v>
      </c>
      <c r="AK70" s="395">
        <f t="shared" si="135"/>
        <v>0</v>
      </c>
      <c r="AL70" s="207">
        <f t="shared" si="130"/>
        <v>0</v>
      </c>
      <c r="AM70" s="208">
        <f t="shared" si="136"/>
        <v>0</v>
      </c>
      <c r="AN70" s="209" t="s">
        <v>4844</v>
      </c>
    </row>
    <row r="71" spans="1:40" ht="30" customHeight="1">
      <c r="A71" s="274"/>
      <c r="B71" s="827"/>
      <c r="C71" s="393" t="s">
        <v>4731</v>
      </c>
      <c r="D71" s="394" t="s">
        <v>4731</v>
      </c>
      <c r="E71" s="393" t="s">
        <v>4843</v>
      </c>
      <c r="F71" s="291"/>
      <c r="G71" s="800">
        <f t="shared" si="137"/>
        <v>0</v>
      </c>
      <c r="H71" s="395">
        <f t="shared" si="101"/>
        <v>0</v>
      </c>
      <c r="I71" s="395">
        <f t="shared" si="102"/>
        <v>0</v>
      </c>
      <c r="J71" s="395">
        <f t="shared" si="103"/>
        <v>0</v>
      </c>
      <c r="K71" s="395">
        <f t="shared" si="104"/>
        <v>0</v>
      </c>
      <c r="L71" s="395">
        <f t="shared" si="105"/>
        <v>0</v>
      </c>
      <c r="M71" s="395">
        <f t="shared" si="106"/>
        <v>0</v>
      </c>
      <c r="N71" s="395">
        <f t="shared" si="107"/>
        <v>0</v>
      </c>
      <c r="O71" s="395">
        <f t="shared" si="108"/>
        <v>0</v>
      </c>
      <c r="P71" s="395">
        <f t="shared" si="109"/>
        <v>0</v>
      </c>
      <c r="Q71" s="395">
        <f t="shared" si="110"/>
        <v>0</v>
      </c>
      <c r="R71" s="395">
        <f t="shared" si="111"/>
        <v>0</v>
      </c>
      <c r="S71" s="395">
        <f t="shared" si="112"/>
        <v>0</v>
      </c>
      <c r="T71" s="395">
        <f t="shared" si="113"/>
        <v>0</v>
      </c>
      <c r="U71" s="395">
        <f t="shared" si="114"/>
        <v>0</v>
      </c>
      <c r="V71" s="395">
        <f t="shared" si="115"/>
        <v>0</v>
      </c>
      <c r="W71" s="395">
        <f t="shared" si="116"/>
        <v>0</v>
      </c>
      <c r="X71" s="395">
        <f t="shared" si="117"/>
        <v>0</v>
      </c>
      <c r="Y71" s="395">
        <f t="shared" si="118"/>
        <v>0</v>
      </c>
      <c r="Z71" s="395">
        <f t="shared" si="119"/>
        <v>0</v>
      </c>
      <c r="AA71" s="395">
        <f t="shared" si="120"/>
        <v>0</v>
      </c>
      <c r="AB71" s="395">
        <f t="shared" si="121"/>
        <v>0</v>
      </c>
      <c r="AC71" s="395">
        <f t="shared" si="122"/>
        <v>0</v>
      </c>
      <c r="AD71" s="395">
        <f t="shared" si="123"/>
        <v>0</v>
      </c>
      <c r="AE71" s="395">
        <f t="shared" si="124"/>
        <v>0</v>
      </c>
      <c r="AF71" s="395">
        <f t="shared" si="125"/>
        <v>0</v>
      </c>
      <c r="AG71" s="395">
        <f t="shared" si="126"/>
        <v>0</v>
      </c>
      <c r="AH71" s="395">
        <f t="shared" si="127"/>
        <v>0</v>
      </c>
      <c r="AI71" s="395">
        <f t="shared" si="133"/>
        <v>0</v>
      </c>
      <c r="AJ71" s="395">
        <f t="shared" si="134"/>
        <v>0</v>
      </c>
      <c r="AK71" s="395">
        <f t="shared" si="135"/>
        <v>0</v>
      </c>
      <c r="AL71" s="207">
        <f t="shared" si="130"/>
        <v>0</v>
      </c>
      <c r="AM71" s="208">
        <f t="shared" si="136"/>
        <v>0</v>
      </c>
      <c r="AN71" s="209" t="s">
        <v>4844</v>
      </c>
    </row>
    <row r="72" spans="1:40" ht="30" customHeight="1">
      <c r="A72" s="274"/>
      <c r="B72" s="827"/>
      <c r="C72" s="393" t="s">
        <v>4676</v>
      </c>
      <c r="D72" s="394" t="s">
        <v>4676</v>
      </c>
      <c r="E72" s="393" t="s">
        <v>4845</v>
      </c>
      <c r="F72" s="291"/>
      <c r="G72" s="800">
        <f t="shared" si="137"/>
        <v>0</v>
      </c>
      <c r="H72" s="395">
        <f t="shared" si="101"/>
        <v>0</v>
      </c>
      <c r="I72" s="395">
        <f t="shared" si="102"/>
        <v>0</v>
      </c>
      <c r="J72" s="395">
        <f t="shared" si="103"/>
        <v>0</v>
      </c>
      <c r="K72" s="395">
        <f t="shared" si="104"/>
        <v>0</v>
      </c>
      <c r="L72" s="395">
        <f t="shared" si="105"/>
        <v>0</v>
      </c>
      <c r="M72" s="395">
        <f t="shared" si="106"/>
        <v>0</v>
      </c>
      <c r="N72" s="395">
        <f t="shared" si="107"/>
        <v>0</v>
      </c>
      <c r="O72" s="395">
        <f t="shared" si="108"/>
        <v>0</v>
      </c>
      <c r="P72" s="395">
        <f t="shared" si="109"/>
        <v>0</v>
      </c>
      <c r="Q72" s="395">
        <f t="shared" si="110"/>
        <v>0</v>
      </c>
      <c r="R72" s="395">
        <f t="shared" si="111"/>
        <v>0</v>
      </c>
      <c r="S72" s="395">
        <f t="shared" si="112"/>
        <v>0</v>
      </c>
      <c r="T72" s="395">
        <f t="shared" si="113"/>
        <v>0</v>
      </c>
      <c r="U72" s="395">
        <f t="shared" si="114"/>
        <v>0</v>
      </c>
      <c r="V72" s="395">
        <f t="shared" si="115"/>
        <v>0</v>
      </c>
      <c r="W72" s="395">
        <f t="shared" si="116"/>
        <v>0</v>
      </c>
      <c r="X72" s="395">
        <f t="shared" si="117"/>
        <v>0</v>
      </c>
      <c r="Y72" s="395">
        <f t="shared" si="118"/>
        <v>0</v>
      </c>
      <c r="Z72" s="395">
        <f t="shared" si="119"/>
        <v>0</v>
      </c>
      <c r="AA72" s="395">
        <f t="shared" si="120"/>
        <v>0</v>
      </c>
      <c r="AB72" s="395">
        <f t="shared" si="121"/>
        <v>0</v>
      </c>
      <c r="AC72" s="395">
        <f t="shared" si="122"/>
        <v>0</v>
      </c>
      <c r="AD72" s="395">
        <f t="shared" si="123"/>
        <v>0</v>
      </c>
      <c r="AE72" s="395">
        <f t="shared" si="124"/>
        <v>0</v>
      </c>
      <c r="AF72" s="395">
        <f t="shared" si="125"/>
        <v>0</v>
      </c>
      <c r="AG72" s="395">
        <f t="shared" si="126"/>
        <v>0</v>
      </c>
      <c r="AH72" s="395">
        <f t="shared" si="127"/>
        <v>0</v>
      </c>
      <c r="AI72" s="395">
        <f t="shared" si="133"/>
        <v>0</v>
      </c>
      <c r="AJ72" s="395">
        <f t="shared" si="134"/>
        <v>0</v>
      </c>
      <c r="AK72" s="395">
        <f t="shared" si="135"/>
        <v>0</v>
      </c>
      <c r="AL72" s="207">
        <f t="shared" si="130"/>
        <v>0</v>
      </c>
      <c r="AM72" s="208">
        <f t="shared" si="136"/>
        <v>0</v>
      </c>
      <c r="AN72" s="209" t="s">
        <v>4846</v>
      </c>
    </row>
    <row r="73" spans="1:40" ht="30" customHeight="1">
      <c r="A73" s="274"/>
      <c r="B73" s="827"/>
      <c r="C73" s="393" t="s">
        <v>4732</v>
      </c>
      <c r="D73" s="394" t="s">
        <v>4732</v>
      </c>
      <c r="E73" s="393" t="s">
        <v>4845</v>
      </c>
      <c r="F73" s="291"/>
      <c r="G73" s="800">
        <f t="shared" si="137"/>
        <v>0</v>
      </c>
      <c r="H73" s="395">
        <f t="shared" si="101"/>
        <v>0</v>
      </c>
      <c r="I73" s="395">
        <f t="shared" si="102"/>
        <v>0</v>
      </c>
      <c r="J73" s="395">
        <f t="shared" si="103"/>
        <v>0</v>
      </c>
      <c r="K73" s="395">
        <f t="shared" si="104"/>
        <v>0</v>
      </c>
      <c r="L73" s="395">
        <f t="shared" si="105"/>
        <v>0</v>
      </c>
      <c r="M73" s="395">
        <f t="shared" si="106"/>
        <v>0</v>
      </c>
      <c r="N73" s="395">
        <f t="shared" si="107"/>
        <v>0</v>
      </c>
      <c r="O73" s="395">
        <f t="shared" si="108"/>
        <v>0</v>
      </c>
      <c r="P73" s="395">
        <f t="shared" si="109"/>
        <v>0</v>
      </c>
      <c r="Q73" s="395">
        <f t="shared" si="110"/>
        <v>0</v>
      </c>
      <c r="R73" s="395">
        <f t="shared" si="111"/>
        <v>0</v>
      </c>
      <c r="S73" s="395">
        <f t="shared" si="112"/>
        <v>0</v>
      </c>
      <c r="T73" s="395">
        <f t="shared" si="113"/>
        <v>0</v>
      </c>
      <c r="U73" s="395">
        <f t="shared" si="114"/>
        <v>0</v>
      </c>
      <c r="V73" s="395">
        <f t="shared" si="115"/>
        <v>0</v>
      </c>
      <c r="W73" s="395">
        <f t="shared" si="116"/>
        <v>0</v>
      </c>
      <c r="X73" s="395">
        <f t="shared" si="117"/>
        <v>0</v>
      </c>
      <c r="Y73" s="395">
        <f t="shared" si="118"/>
        <v>0</v>
      </c>
      <c r="Z73" s="395">
        <f t="shared" si="119"/>
        <v>0</v>
      </c>
      <c r="AA73" s="395">
        <f t="shared" si="120"/>
        <v>0</v>
      </c>
      <c r="AB73" s="395">
        <f t="shared" si="121"/>
        <v>0</v>
      </c>
      <c r="AC73" s="395">
        <f t="shared" si="122"/>
        <v>0</v>
      </c>
      <c r="AD73" s="395">
        <f t="shared" si="123"/>
        <v>0</v>
      </c>
      <c r="AE73" s="395">
        <f t="shared" si="124"/>
        <v>0</v>
      </c>
      <c r="AF73" s="395">
        <f t="shared" si="125"/>
        <v>0</v>
      </c>
      <c r="AG73" s="395">
        <f t="shared" si="126"/>
        <v>0</v>
      </c>
      <c r="AH73" s="395">
        <f t="shared" si="127"/>
        <v>0</v>
      </c>
      <c r="AI73" s="395">
        <f t="shared" si="133"/>
        <v>0</v>
      </c>
      <c r="AJ73" s="395">
        <f t="shared" si="134"/>
        <v>0</v>
      </c>
      <c r="AK73" s="395">
        <f t="shared" si="135"/>
        <v>0</v>
      </c>
      <c r="AL73" s="207">
        <f t="shared" si="130"/>
        <v>0</v>
      </c>
      <c r="AM73" s="208">
        <f t="shared" si="136"/>
        <v>0</v>
      </c>
      <c r="AN73" s="209" t="s">
        <v>4846</v>
      </c>
    </row>
    <row r="74" spans="1:40" ht="30" customHeight="1">
      <c r="A74" s="274"/>
      <c r="B74" s="827"/>
      <c r="C74" s="205" t="s">
        <v>4450</v>
      </c>
      <c r="D74" s="291" t="s">
        <v>4450</v>
      </c>
      <c r="E74" s="205" t="s">
        <v>4847</v>
      </c>
      <c r="F74" s="291"/>
      <c r="G74" s="800">
        <f t="shared" si="137"/>
        <v>3</v>
      </c>
      <c r="H74" s="395">
        <f t="shared" si="101"/>
        <v>0</v>
      </c>
      <c r="I74" s="395">
        <f t="shared" si="102"/>
        <v>0</v>
      </c>
      <c r="J74" s="395">
        <f t="shared" si="103"/>
        <v>0</v>
      </c>
      <c r="K74" s="395">
        <f t="shared" si="104"/>
        <v>0</v>
      </c>
      <c r="L74" s="395">
        <f t="shared" si="105"/>
        <v>3</v>
      </c>
      <c r="M74" s="395">
        <f t="shared" si="106"/>
        <v>0</v>
      </c>
      <c r="N74" s="395">
        <f t="shared" si="107"/>
        <v>0</v>
      </c>
      <c r="O74" s="395">
        <f t="shared" si="108"/>
        <v>0</v>
      </c>
      <c r="P74" s="395">
        <f t="shared" si="109"/>
        <v>0</v>
      </c>
      <c r="Q74" s="395">
        <f t="shared" si="110"/>
        <v>0</v>
      </c>
      <c r="R74" s="395">
        <f t="shared" si="111"/>
        <v>0</v>
      </c>
      <c r="S74" s="395">
        <f t="shared" si="112"/>
        <v>0</v>
      </c>
      <c r="T74" s="395">
        <f t="shared" si="113"/>
        <v>0</v>
      </c>
      <c r="U74" s="395">
        <f t="shared" si="114"/>
        <v>0</v>
      </c>
      <c r="V74" s="395">
        <f t="shared" si="115"/>
        <v>0</v>
      </c>
      <c r="W74" s="395">
        <f t="shared" si="116"/>
        <v>0</v>
      </c>
      <c r="X74" s="395">
        <f t="shared" si="117"/>
        <v>0</v>
      </c>
      <c r="Y74" s="395">
        <f t="shared" si="118"/>
        <v>0</v>
      </c>
      <c r="Z74" s="395">
        <f t="shared" si="119"/>
        <v>0</v>
      </c>
      <c r="AA74" s="395">
        <f t="shared" si="120"/>
        <v>0</v>
      </c>
      <c r="AB74" s="395">
        <f t="shared" si="121"/>
        <v>0</v>
      </c>
      <c r="AC74" s="395">
        <f t="shared" si="122"/>
        <v>0</v>
      </c>
      <c r="AD74" s="395">
        <f t="shared" si="123"/>
        <v>0</v>
      </c>
      <c r="AE74" s="395">
        <f t="shared" si="124"/>
        <v>0</v>
      </c>
      <c r="AF74" s="395">
        <f t="shared" si="125"/>
        <v>0</v>
      </c>
      <c r="AG74" s="395">
        <f t="shared" si="126"/>
        <v>0</v>
      </c>
      <c r="AH74" s="395">
        <f t="shared" si="127"/>
        <v>0</v>
      </c>
      <c r="AI74" s="395">
        <f t="shared" si="133"/>
        <v>0</v>
      </c>
      <c r="AJ74" s="395">
        <f t="shared" si="134"/>
        <v>0</v>
      </c>
      <c r="AK74" s="395">
        <f t="shared" si="135"/>
        <v>0</v>
      </c>
      <c r="AL74" s="207">
        <f t="shared" si="130"/>
        <v>0</v>
      </c>
      <c r="AM74" s="208">
        <f t="shared" si="136"/>
        <v>0</v>
      </c>
      <c r="AN74" s="209" t="s">
        <v>4848</v>
      </c>
    </row>
    <row r="75" spans="1:40" ht="30" customHeight="1">
      <c r="A75" s="274"/>
      <c r="B75" s="827"/>
      <c r="C75" s="205" t="s">
        <v>4733</v>
      </c>
      <c r="D75" s="291" t="s">
        <v>4733</v>
      </c>
      <c r="E75" s="205" t="s">
        <v>4849</v>
      </c>
      <c r="F75" s="291"/>
      <c r="G75" s="800">
        <f t="shared" si="137"/>
        <v>0</v>
      </c>
      <c r="H75" s="395">
        <f t="shared" si="101"/>
        <v>0</v>
      </c>
      <c r="I75" s="395">
        <f t="shared" si="102"/>
        <v>0</v>
      </c>
      <c r="J75" s="395">
        <f t="shared" si="103"/>
        <v>0</v>
      </c>
      <c r="K75" s="395">
        <f t="shared" si="104"/>
        <v>0</v>
      </c>
      <c r="L75" s="395">
        <f t="shared" si="105"/>
        <v>0</v>
      </c>
      <c r="M75" s="395">
        <f t="shared" si="106"/>
        <v>0</v>
      </c>
      <c r="N75" s="395">
        <f t="shared" si="107"/>
        <v>0</v>
      </c>
      <c r="O75" s="395">
        <f t="shared" si="108"/>
        <v>0</v>
      </c>
      <c r="P75" s="395">
        <f t="shared" si="109"/>
        <v>0</v>
      </c>
      <c r="Q75" s="395">
        <f t="shared" si="110"/>
        <v>0</v>
      </c>
      <c r="R75" s="395">
        <f t="shared" si="111"/>
        <v>0</v>
      </c>
      <c r="S75" s="395">
        <f t="shared" si="112"/>
        <v>0</v>
      </c>
      <c r="T75" s="395">
        <f t="shared" si="113"/>
        <v>0</v>
      </c>
      <c r="U75" s="395">
        <f t="shared" si="114"/>
        <v>0</v>
      </c>
      <c r="V75" s="395">
        <f t="shared" si="115"/>
        <v>0</v>
      </c>
      <c r="W75" s="395">
        <f t="shared" si="116"/>
        <v>0</v>
      </c>
      <c r="X75" s="395">
        <f t="shared" si="117"/>
        <v>0</v>
      </c>
      <c r="Y75" s="395">
        <f t="shared" si="118"/>
        <v>0</v>
      </c>
      <c r="Z75" s="395">
        <f t="shared" si="119"/>
        <v>0</v>
      </c>
      <c r="AA75" s="395">
        <f t="shared" si="120"/>
        <v>0</v>
      </c>
      <c r="AB75" s="395">
        <f t="shared" si="121"/>
        <v>0</v>
      </c>
      <c r="AC75" s="395">
        <f t="shared" si="122"/>
        <v>0</v>
      </c>
      <c r="AD75" s="395">
        <f t="shared" si="123"/>
        <v>0</v>
      </c>
      <c r="AE75" s="395">
        <f t="shared" si="124"/>
        <v>0</v>
      </c>
      <c r="AF75" s="395">
        <f t="shared" si="125"/>
        <v>0</v>
      </c>
      <c r="AG75" s="395">
        <f t="shared" si="126"/>
        <v>0</v>
      </c>
      <c r="AH75" s="395">
        <f t="shared" si="127"/>
        <v>0</v>
      </c>
      <c r="AI75" s="395">
        <f t="shared" si="133"/>
        <v>0</v>
      </c>
      <c r="AJ75" s="395">
        <f t="shared" si="134"/>
        <v>0</v>
      </c>
      <c r="AK75" s="395">
        <f t="shared" si="135"/>
        <v>0</v>
      </c>
      <c r="AL75" s="207">
        <f t="shared" si="130"/>
        <v>0</v>
      </c>
      <c r="AM75" s="208">
        <f t="shared" si="136"/>
        <v>0</v>
      </c>
      <c r="AN75" s="209" t="s">
        <v>4850</v>
      </c>
    </row>
    <row r="76" spans="1:40" ht="30" customHeight="1">
      <c r="A76" s="274"/>
      <c r="B76" s="827"/>
      <c r="C76" s="1345" t="s">
        <v>4451</v>
      </c>
      <c r="D76" s="291" t="s">
        <v>4451</v>
      </c>
      <c r="E76" s="205" t="s">
        <v>4851</v>
      </c>
      <c r="F76" s="291"/>
      <c r="G76" s="800">
        <f t="shared" si="137"/>
        <v>14</v>
      </c>
      <c r="H76" s="395">
        <f t="shared" si="101"/>
        <v>0</v>
      </c>
      <c r="I76" s="395">
        <f t="shared" si="102"/>
        <v>0</v>
      </c>
      <c r="J76" s="395">
        <f t="shared" si="103"/>
        <v>0</v>
      </c>
      <c r="K76" s="395">
        <f t="shared" si="104"/>
        <v>0</v>
      </c>
      <c r="L76" s="395">
        <f t="shared" si="105"/>
        <v>0</v>
      </c>
      <c r="M76" s="395">
        <f t="shared" si="106"/>
        <v>1</v>
      </c>
      <c r="N76" s="395">
        <f t="shared" si="107"/>
        <v>0</v>
      </c>
      <c r="O76" s="395">
        <f t="shared" si="108"/>
        <v>1</v>
      </c>
      <c r="P76" s="395">
        <f t="shared" si="109"/>
        <v>3</v>
      </c>
      <c r="Q76" s="395">
        <f t="shared" si="110"/>
        <v>0</v>
      </c>
      <c r="R76" s="395">
        <f t="shared" si="111"/>
        <v>2</v>
      </c>
      <c r="S76" s="395">
        <f t="shared" si="112"/>
        <v>0</v>
      </c>
      <c r="T76" s="395">
        <f t="shared" si="113"/>
        <v>0</v>
      </c>
      <c r="U76" s="395">
        <f t="shared" si="114"/>
        <v>6</v>
      </c>
      <c r="V76" s="395">
        <f t="shared" si="115"/>
        <v>0</v>
      </c>
      <c r="W76" s="395">
        <f t="shared" si="116"/>
        <v>0</v>
      </c>
      <c r="X76" s="395">
        <f t="shared" si="117"/>
        <v>0</v>
      </c>
      <c r="Y76" s="395">
        <f t="shared" si="118"/>
        <v>1</v>
      </c>
      <c r="Z76" s="395">
        <f t="shared" si="119"/>
        <v>0</v>
      </c>
      <c r="AA76" s="395">
        <f t="shared" si="120"/>
        <v>0</v>
      </c>
      <c r="AB76" s="395">
        <f t="shared" si="121"/>
        <v>0</v>
      </c>
      <c r="AC76" s="395">
        <f t="shared" si="122"/>
        <v>0</v>
      </c>
      <c r="AD76" s="395">
        <f t="shared" si="123"/>
        <v>0</v>
      </c>
      <c r="AE76" s="395">
        <f t="shared" si="124"/>
        <v>0</v>
      </c>
      <c r="AF76" s="395">
        <f t="shared" si="125"/>
        <v>0</v>
      </c>
      <c r="AG76" s="395">
        <f t="shared" si="126"/>
        <v>0</v>
      </c>
      <c r="AH76" s="395">
        <f t="shared" si="127"/>
        <v>0</v>
      </c>
      <c r="AI76" s="395">
        <f t="shared" si="133"/>
        <v>0</v>
      </c>
      <c r="AJ76" s="395">
        <f t="shared" si="134"/>
        <v>0</v>
      </c>
      <c r="AK76" s="395">
        <f t="shared" si="135"/>
        <v>0</v>
      </c>
      <c r="AL76" s="207">
        <f t="shared" si="130"/>
        <v>0</v>
      </c>
      <c r="AM76" s="208">
        <f t="shared" si="136"/>
        <v>0</v>
      </c>
      <c r="AN76" s="209" t="s">
        <v>4852</v>
      </c>
    </row>
    <row r="77" spans="1:40" ht="30" customHeight="1">
      <c r="A77" s="274"/>
      <c r="B77" s="827"/>
      <c r="C77" s="205" t="s">
        <v>4734</v>
      </c>
      <c r="D77" s="291" t="s">
        <v>4734</v>
      </c>
      <c r="E77" s="205" t="s">
        <v>4853</v>
      </c>
      <c r="F77" s="291"/>
      <c r="G77" s="800">
        <f t="shared" si="137"/>
        <v>0</v>
      </c>
      <c r="H77" s="395">
        <f t="shared" si="101"/>
        <v>0</v>
      </c>
      <c r="I77" s="395">
        <f t="shared" si="102"/>
        <v>0</v>
      </c>
      <c r="J77" s="395">
        <f t="shared" si="103"/>
        <v>0</v>
      </c>
      <c r="K77" s="395">
        <f t="shared" si="104"/>
        <v>0</v>
      </c>
      <c r="L77" s="395">
        <f t="shared" si="105"/>
        <v>0</v>
      </c>
      <c r="M77" s="395">
        <f t="shared" si="106"/>
        <v>0</v>
      </c>
      <c r="N77" s="395">
        <f t="shared" si="107"/>
        <v>0</v>
      </c>
      <c r="O77" s="395">
        <f t="shared" si="108"/>
        <v>0</v>
      </c>
      <c r="P77" s="395">
        <f t="shared" si="109"/>
        <v>0</v>
      </c>
      <c r="Q77" s="395">
        <f t="shared" si="110"/>
        <v>0</v>
      </c>
      <c r="R77" s="395">
        <f t="shared" si="111"/>
        <v>0</v>
      </c>
      <c r="S77" s="395">
        <f t="shared" si="112"/>
        <v>0</v>
      </c>
      <c r="T77" s="395">
        <f t="shared" si="113"/>
        <v>0</v>
      </c>
      <c r="U77" s="395">
        <f t="shared" si="114"/>
        <v>0</v>
      </c>
      <c r="V77" s="395">
        <f t="shared" si="115"/>
        <v>0</v>
      </c>
      <c r="W77" s="395">
        <f t="shared" si="116"/>
        <v>0</v>
      </c>
      <c r="X77" s="395">
        <f t="shared" si="117"/>
        <v>0</v>
      </c>
      <c r="Y77" s="395">
        <f t="shared" si="118"/>
        <v>0</v>
      </c>
      <c r="Z77" s="395">
        <f t="shared" si="119"/>
        <v>0</v>
      </c>
      <c r="AA77" s="395">
        <f t="shared" si="120"/>
        <v>0</v>
      </c>
      <c r="AB77" s="395">
        <f t="shared" si="121"/>
        <v>0</v>
      </c>
      <c r="AC77" s="395">
        <f t="shared" si="122"/>
        <v>0</v>
      </c>
      <c r="AD77" s="395">
        <f t="shared" si="123"/>
        <v>0</v>
      </c>
      <c r="AE77" s="395">
        <f t="shared" si="124"/>
        <v>0</v>
      </c>
      <c r="AF77" s="395">
        <f t="shared" si="125"/>
        <v>0</v>
      </c>
      <c r="AG77" s="395">
        <f t="shared" si="126"/>
        <v>0</v>
      </c>
      <c r="AH77" s="395">
        <f t="shared" si="127"/>
        <v>0</v>
      </c>
      <c r="AI77" s="395">
        <f t="shared" si="133"/>
        <v>0</v>
      </c>
      <c r="AJ77" s="395">
        <f t="shared" si="134"/>
        <v>0</v>
      </c>
      <c r="AK77" s="395">
        <f t="shared" si="135"/>
        <v>0</v>
      </c>
      <c r="AL77" s="207">
        <f t="shared" si="130"/>
        <v>0</v>
      </c>
      <c r="AM77" s="208">
        <f t="shared" si="136"/>
        <v>0</v>
      </c>
      <c r="AN77" s="209" t="s">
        <v>4854</v>
      </c>
    </row>
    <row r="78" spans="1:40" ht="30" customHeight="1">
      <c r="A78" s="274"/>
      <c r="B78" s="827"/>
      <c r="C78" s="205" t="s">
        <v>4735</v>
      </c>
      <c r="D78" s="291" t="s">
        <v>4735</v>
      </c>
      <c r="E78" s="205" t="s">
        <v>4743</v>
      </c>
      <c r="F78" s="291"/>
      <c r="G78" s="800">
        <f t="shared" si="137"/>
        <v>0</v>
      </c>
      <c r="H78" s="395">
        <f t="shared" si="101"/>
        <v>0</v>
      </c>
      <c r="I78" s="395">
        <f t="shared" si="102"/>
        <v>0</v>
      </c>
      <c r="J78" s="395">
        <f t="shared" si="103"/>
        <v>0</v>
      </c>
      <c r="K78" s="395">
        <f t="shared" si="104"/>
        <v>0</v>
      </c>
      <c r="L78" s="395">
        <f t="shared" si="105"/>
        <v>0</v>
      </c>
      <c r="M78" s="395">
        <f t="shared" si="106"/>
        <v>0</v>
      </c>
      <c r="N78" s="395">
        <f t="shared" si="107"/>
        <v>0</v>
      </c>
      <c r="O78" s="395">
        <f t="shared" si="108"/>
        <v>0</v>
      </c>
      <c r="P78" s="395">
        <f t="shared" si="109"/>
        <v>0</v>
      </c>
      <c r="Q78" s="395">
        <f t="shared" si="110"/>
        <v>0</v>
      </c>
      <c r="R78" s="395">
        <f t="shared" si="111"/>
        <v>0</v>
      </c>
      <c r="S78" s="395">
        <f t="shared" si="112"/>
        <v>0</v>
      </c>
      <c r="T78" s="395">
        <f t="shared" si="113"/>
        <v>0</v>
      </c>
      <c r="U78" s="395">
        <f t="shared" si="114"/>
        <v>0</v>
      </c>
      <c r="V78" s="395">
        <f t="shared" si="115"/>
        <v>0</v>
      </c>
      <c r="W78" s="395">
        <f t="shared" si="116"/>
        <v>0</v>
      </c>
      <c r="X78" s="395">
        <f t="shared" si="117"/>
        <v>0</v>
      </c>
      <c r="Y78" s="395">
        <f t="shared" si="118"/>
        <v>0</v>
      </c>
      <c r="Z78" s="395">
        <f t="shared" si="119"/>
        <v>0</v>
      </c>
      <c r="AA78" s="395">
        <f t="shared" si="120"/>
        <v>0</v>
      </c>
      <c r="AB78" s="395">
        <f t="shared" si="121"/>
        <v>0</v>
      </c>
      <c r="AC78" s="395">
        <f t="shared" si="122"/>
        <v>0</v>
      </c>
      <c r="AD78" s="395">
        <f t="shared" si="123"/>
        <v>0</v>
      </c>
      <c r="AE78" s="395">
        <f t="shared" si="124"/>
        <v>0</v>
      </c>
      <c r="AF78" s="395">
        <f t="shared" si="125"/>
        <v>0</v>
      </c>
      <c r="AG78" s="395">
        <f t="shared" si="126"/>
        <v>0</v>
      </c>
      <c r="AH78" s="395">
        <f t="shared" si="127"/>
        <v>0</v>
      </c>
      <c r="AI78" s="395">
        <f t="shared" si="133"/>
        <v>0</v>
      </c>
      <c r="AJ78" s="395">
        <f t="shared" si="134"/>
        <v>0</v>
      </c>
      <c r="AK78" s="395">
        <f t="shared" si="135"/>
        <v>0</v>
      </c>
      <c r="AL78" s="207">
        <f t="shared" si="130"/>
        <v>0</v>
      </c>
      <c r="AM78" s="208">
        <f t="shared" si="136"/>
        <v>0</v>
      </c>
      <c r="AN78" s="209" t="s">
        <v>4755</v>
      </c>
    </row>
    <row r="79" spans="1:40" ht="30" customHeight="1">
      <c r="A79" s="274"/>
      <c r="B79" s="827"/>
      <c r="C79" s="205" t="s">
        <v>4736</v>
      </c>
      <c r="D79" s="291" t="s">
        <v>4736</v>
      </c>
      <c r="E79" s="205" t="s">
        <v>4744</v>
      </c>
      <c r="F79" s="291"/>
      <c r="G79" s="800">
        <f t="shared" si="137"/>
        <v>0</v>
      </c>
      <c r="H79" s="395">
        <f t="shared" si="101"/>
        <v>0</v>
      </c>
      <c r="I79" s="395">
        <f t="shared" si="102"/>
        <v>0</v>
      </c>
      <c r="J79" s="395">
        <f t="shared" si="103"/>
        <v>0</v>
      </c>
      <c r="K79" s="395">
        <f t="shared" si="104"/>
        <v>0</v>
      </c>
      <c r="L79" s="395">
        <f t="shared" si="105"/>
        <v>0</v>
      </c>
      <c r="M79" s="395">
        <f t="shared" si="106"/>
        <v>0</v>
      </c>
      <c r="N79" s="395">
        <f t="shared" si="107"/>
        <v>0</v>
      </c>
      <c r="O79" s="395">
        <f t="shared" si="108"/>
        <v>0</v>
      </c>
      <c r="P79" s="395">
        <f t="shared" si="109"/>
        <v>0</v>
      </c>
      <c r="Q79" s="395">
        <f t="shared" si="110"/>
        <v>0</v>
      </c>
      <c r="R79" s="395">
        <f t="shared" si="111"/>
        <v>0</v>
      </c>
      <c r="S79" s="395">
        <f t="shared" si="112"/>
        <v>0</v>
      </c>
      <c r="T79" s="395">
        <f t="shared" si="113"/>
        <v>0</v>
      </c>
      <c r="U79" s="395">
        <f t="shared" si="114"/>
        <v>0</v>
      </c>
      <c r="V79" s="395">
        <f t="shared" si="115"/>
        <v>0</v>
      </c>
      <c r="W79" s="395">
        <f t="shared" si="116"/>
        <v>0</v>
      </c>
      <c r="X79" s="395">
        <f t="shared" si="117"/>
        <v>0</v>
      </c>
      <c r="Y79" s="395">
        <f t="shared" si="118"/>
        <v>0</v>
      </c>
      <c r="Z79" s="395">
        <f t="shared" si="119"/>
        <v>0</v>
      </c>
      <c r="AA79" s="395">
        <f t="shared" si="120"/>
        <v>0</v>
      </c>
      <c r="AB79" s="395">
        <f t="shared" si="121"/>
        <v>0</v>
      </c>
      <c r="AC79" s="395">
        <f t="shared" si="122"/>
        <v>0</v>
      </c>
      <c r="AD79" s="395">
        <f t="shared" si="123"/>
        <v>0</v>
      </c>
      <c r="AE79" s="395">
        <f t="shared" si="124"/>
        <v>0</v>
      </c>
      <c r="AF79" s="395">
        <f t="shared" si="125"/>
        <v>0</v>
      </c>
      <c r="AG79" s="395">
        <f t="shared" si="126"/>
        <v>0</v>
      </c>
      <c r="AH79" s="395">
        <f t="shared" si="127"/>
        <v>0</v>
      </c>
      <c r="AI79" s="395">
        <f t="shared" si="133"/>
        <v>0</v>
      </c>
      <c r="AJ79" s="395">
        <f t="shared" si="134"/>
        <v>0</v>
      </c>
      <c r="AK79" s="395">
        <f t="shared" si="135"/>
        <v>0</v>
      </c>
      <c r="AL79" s="207">
        <f t="shared" si="130"/>
        <v>0</v>
      </c>
      <c r="AM79" s="208">
        <f t="shared" si="136"/>
        <v>0</v>
      </c>
      <c r="AN79" s="209" t="s">
        <v>4756</v>
      </c>
    </row>
    <row r="80" spans="1:40" ht="30" customHeight="1">
      <c r="A80" s="274"/>
      <c r="B80" s="827"/>
      <c r="C80" s="393" t="s">
        <v>4737</v>
      </c>
      <c r="D80" s="394" t="s">
        <v>4737</v>
      </c>
      <c r="E80" s="393" t="s">
        <v>4745</v>
      </c>
      <c r="F80" s="394"/>
      <c r="G80" s="800">
        <f t="shared" si="137"/>
        <v>0</v>
      </c>
      <c r="H80" s="395">
        <f t="shared" si="101"/>
        <v>0</v>
      </c>
      <c r="I80" s="395">
        <f t="shared" si="102"/>
        <v>0</v>
      </c>
      <c r="J80" s="395">
        <f t="shared" si="103"/>
        <v>0</v>
      </c>
      <c r="K80" s="395">
        <f t="shared" si="104"/>
        <v>0</v>
      </c>
      <c r="L80" s="395">
        <f t="shared" si="105"/>
        <v>0</v>
      </c>
      <c r="M80" s="395">
        <f t="shared" si="106"/>
        <v>0</v>
      </c>
      <c r="N80" s="395">
        <f t="shared" si="107"/>
        <v>0</v>
      </c>
      <c r="O80" s="395">
        <f t="shared" si="108"/>
        <v>0</v>
      </c>
      <c r="P80" s="395">
        <f t="shared" si="109"/>
        <v>0</v>
      </c>
      <c r="Q80" s="395">
        <f t="shared" si="110"/>
        <v>0</v>
      </c>
      <c r="R80" s="395">
        <f t="shared" si="111"/>
        <v>0</v>
      </c>
      <c r="S80" s="395">
        <f t="shared" si="112"/>
        <v>0</v>
      </c>
      <c r="T80" s="395">
        <f t="shared" si="113"/>
        <v>0</v>
      </c>
      <c r="U80" s="395">
        <f t="shared" si="114"/>
        <v>0</v>
      </c>
      <c r="V80" s="395">
        <f t="shared" si="115"/>
        <v>0</v>
      </c>
      <c r="W80" s="395">
        <f t="shared" si="116"/>
        <v>0</v>
      </c>
      <c r="X80" s="395">
        <f t="shared" si="117"/>
        <v>0</v>
      </c>
      <c r="Y80" s="395">
        <f t="shared" si="118"/>
        <v>0</v>
      </c>
      <c r="Z80" s="395">
        <f t="shared" si="119"/>
        <v>0</v>
      </c>
      <c r="AA80" s="395">
        <f t="shared" si="120"/>
        <v>0</v>
      </c>
      <c r="AB80" s="395">
        <f t="shared" si="121"/>
        <v>0</v>
      </c>
      <c r="AC80" s="395">
        <f t="shared" si="122"/>
        <v>0</v>
      </c>
      <c r="AD80" s="395">
        <f t="shared" si="123"/>
        <v>0</v>
      </c>
      <c r="AE80" s="395">
        <f t="shared" si="124"/>
        <v>0</v>
      </c>
      <c r="AF80" s="395">
        <f t="shared" si="125"/>
        <v>0</v>
      </c>
      <c r="AG80" s="395">
        <f t="shared" si="126"/>
        <v>0</v>
      </c>
      <c r="AH80" s="395">
        <f t="shared" si="127"/>
        <v>0</v>
      </c>
      <c r="AI80" s="395">
        <f t="shared" si="133"/>
        <v>0</v>
      </c>
      <c r="AJ80" s="395">
        <f t="shared" si="134"/>
        <v>0</v>
      </c>
      <c r="AK80" s="395">
        <f t="shared" si="135"/>
        <v>0</v>
      </c>
      <c r="AL80" s="207">
        <f t="shared" si="130"/>
        <v>0</v>
      </c>
      <c r="AM80" s="208">
        <f t="shared" si="136"/>
        <v>0</v>
      </c>
      <c r="AN80" s="209" t="s">
        <v>4751</v>
      </c>
    </row>
    <row r="81" spans="1:40" ht="30" customHeight="1">
      <c r="A81" s="274"/>
      <c r="B81" s="827"/>
      <c r="C81" s="393" t="s">
        <v>4738</v>
      </c>
      <c r="D81" s="394" t="s">
        <v>4738</v>
      </c>
      <c r="E81" s="393" t="s">
        <v>4746</v>
      </c>
      <c r="F81" s="394"/>
      <c r="G81" s="800">
        <f>SUM(H81:AM81)</f>
        <v>0</v>
      </c>
      <c r="H81" s="395">
        <f t="shared" si="101"/>
        <v>0</v>
      </c>
      <c r="I81" s="395">
        <f t="shared" si="102"/>
        <v>0</v>
      </c>
      <c r="J81" s="395">
        <f t="shared" si="103"/>
        <v>0</v>
      </c>
      <c r="K81" s="395">
        <f t="shared" si="104"/>
        <v>0</v>
      </c>
      <c r="L81" s="395">
        <f t="shared" si="105"/>
        <v>0</v>
      </c>
      <c r="M81" s="395">
        <f t="shared" si="106"/>
        <v>0</v>
      </c>
      <c r="N81" s="395">
        <f t="shared" si="107"/>
        <v>0</v>
      </c>
      <c r="O81" s="395">
        <f t="shared" si="108"/>
        <v>0</v>
      </c>
      <c r="P81" s="395">
        <f t="shared" si="109"/>
        <v>0</v>
      </c>
      <c r="Q81" s="395">
        <f t="shared" si="110"/>
        <v>0</v>
      </c>
      <c r="R81" s="395">
        <f t="shared" si="111"/>
        <v>0</v>
      </c>
      <c r="S81" s="395">
        <f t="shared" si="112"/>
        <v>0</v>
      </c>
      <c r="T81" s="395">
        <f t="shared" si="113"/>
        <v>0</v>
      </c>
      <c r="U81" s="395">
        <f t="shared" si="114"/>
        <v>0</v>
      </c>
      <c r="V81" s="395">
        <f t="shared" si="115"/>
        <v>0</v>
      </c>
      <c r="W81" s="395">
        <f t="shared" si="116"/>
        <v>0</v>
      </c>
      <c r="X81" s="395">
        <f t="shared" si="117"/>
        <v>0</v>
      </c>
      <c r="Y81" s="395">
        <f t="shared" si="118"/>
        <v>0</v>
      </c>
      <c r="Z81" s="395">
        <f t="shared" si="119"/>
        <v>0</v>
      </c>
      <c r="AA81" s="395">
        <f t="shared" si="120"/>
        <v>0</v>
      </c>
      <c r="AB81" s="395">
        <f t="shared" si="121"/>
        <v>0</v>
      </c>
      <c r="AC81" s="395">
        <f t="shared" si="122"/>
        <v>0</v>
      </c>
      <c r="AD81" s="395">
        <f t="shared" si="123"/>
        <v>0</v>
      </c>
      <c r="AE81" s="395">
        <f t="shared" si="124"/>
        <v>0</v>
      </c>
      <c r="AF81" s="395">
        <f t="shared" si="125"/>
        <v>0</v>
      </c>
      <c r="AG81" s="395">
        <f t="shared" si="126"/>
        <v>0</v>
      </c>
      <c r="AH81" s="395">
        <f t="shared" si="127"/>
        <v>0</v>
      </c>
      <c r="AI81" s="395">
        <f t="shared" si="133"/>
        <v>0</v>
      </c>
      <c r="AJ81" s="395">
        <f t="shared" si="134"/>
        <v>0</v>
      </c>
      <c r="AK81" s="395">
        <f t="shared" si="135"/>
        <v>0</v>
      </c>
      <c r="AL81" s="207">
        <f t="shared" si="130"/>
        <v>0</v>
      </c>
      <c r="AM81" s="208">
        <f t="shared" si="136"/>
        <v>0</v>
      </c>
      <c r="AN81" s="209" t="s">
        <v>4752</v>
      </c>
    </row>
    <row r="82" spans="1:40" ht="30" customHeight="1">
      <c r="A82" s="274"/>
      <c r="B82" s="827"/>
      <c r="C82" s="393" t="s">
        <v>4739</v>
      </c>
      <c r="D82" s="394" t="s">
        <v>4739</v>
      </c>
      <c r="E82" s="393" t="s">
        <v>4747</v>
      </c>
      <c r="F82" s="394"/>
      <c r="G82" s="800">
        <f t="shared" si="100"/>
        <v>0</v>
      </c>
      <c r="H82" s="395">
        <f t="shared" si="101"/>
        <v>0</v>
      </c>
      <c r="I82" s="395">
        <f t="shared" si="102"/>
        <v>0</v>
      </c>
      <c r="J82" s="395">
        <f t="shared" si="103"/>
        <v>0</v>
      </c>
      <c r="K82" s="395">
        <f t="shared" si="104"/>
        <v>0</v>
      </c>
      <c r="L82" s="395">
        <f t="shared" si="105"/>
        <v>0</v>
      </c>
      <c r="M82" s="395">
        <f t="shared" si="106"/>
        <v>0</v>
      </c>
      <c r="N82" s="395">
        <f t="shared" si="107"/>
        <v>0</v>
      </c>
      <c r="O82" s="395">
        <f t="shared" si="108"/>
        <v>0</v>
      </c>
      <c r="P82" s="395">
        <f t="shared" si="109"/>
        <v>0</v>
      </c>
      <c r="Q82" s="395">
        <f t="shared" si="110"/>
        <v>0</v>
      </c>
      <c r="R82" s="395">
        <f t="shared" si="111"/>
        <v>0</v>
      </c>
      <c r="S82" s="395">
        <f t="shared" si="112"/>
        <v>0</v>
      </c>
      <c r="T82" s="395">
        <f t="shared" si="113"/>
        <v>0</v>
      </c>
      <c r="U82" s="395">
        <f t="shared" si="114"/>
        <v>0</v>
      </c>
      <c r="V82" s="395">
        <f t="shared" si="115"/>
        <v>0</v>
      </c>
      <c r="W82" s="395">
        <f t="shared" si="116"/>
        <v>0</v>
      </c>
      <c r="X82" s="395">
        <f t="shared" si="117"/>
        <v>0</v>
      </c>
      <c r="Y82" s="395">
        <f t="shared" si="118"/>
        <v>0</v>
      </c>
      <c r="Z82" s="395">
        <f t="shared" si="119"/>
        <v>0</v>
      </c>
      <c r="AA82" s="395">
        <f t="shared" si="120"/>
        <v>0</v>
      </c>
      <c r="AB82" s="395">
        <f t="shared" si="121"/>
        <v>0</v>
      </c>
      <c r="AC82" s="395">
        <f t="shared" si="122"/>
        <v>0</v>
      </c>
      <c r="AD82" s="395">
        <f t="shared" si="123"/>
        <v>0</v>
      </c>
      <c r="AE82" s="395">
        <f t="shared" si="124"/>
        <v>0</v>
      </c>
      <c r="AF82" s="395">
        <f t="shared" si="125"/>
        <v>0</v>
      </c>
      <c r="AG82" s="395">
        <f t="shared" si="126"/>
        <v>0</v>
      </c>
      <c r="AH82" s="395">
        <f t="shared" si="127"/>
        <v>0</v>
      </c>
      <c r="AI82" s="395">
        <f t="shared" si="133"/>
        <v>0</v>
      </c>
      <c r="AJ82" s="395">
        <f t="shared" si="134"/>
        <v>0</v>
      </c>
      <c r="AK82" s="395">
        <f t="shared" si="135"/>
        <v>0</v>
      </c>
      <c r="AL82" s="207">
        <f t="shared" si="130"/>
        <v>0</v>
      </c>
      <c r="AM82" s="208">
        <f t="shared" si="136"/>
        <v>0</v>
      </c>
      <c r="AN82" s="209" t="s">
        <v>4753</v>
      </c>
    </row>
    <row r="83" spans="1:40" ht="30" customHeight="1">
      <c r="A83" s="274"/>
      <c r="B83" s="827"/>
      <c r="C83" s="393" t="s">
        <v>4740</v>
      </c>
      <c r="D83" s="394" t="s">
        <v>4740</v>
      </c>
      <c r="E83" s="393" t="s">
        <v>4748</v>
      </c>
      <c r="F83" s="394"/>
      <c r="G83" s="800">
        <f t="shared" si="101"/>
        <v>0</v>
      </c>
      <c r="H83" s="395">
        <f t="shared" si="102"/>
        <v>0</v>
      </c>
      <c r="I83" s="395">
        <f t="shared" si="103"/>
        <v>0</v>
      </c>
      <c r="J83" s="395">
        <f t="shared" si="104"/>
        <v>0</v>
      </c>
      <c r="K83" s="395">
        <f t="shared" si="105"/>
        <v>0</v>
      </c>
      <c r="L83" s="395">
        <f t="shared" si="106"/>
        <v>0</v>
      </c>
      <c r="M83" s="395">
        <f t="shared" si="107"/>
        <v>0</v>
      </c>
      <c r="N83" s="395">
        <f t="shared" si="108"/>
        <v>0</v>
      </c>
      <c r="O83" s="395">
        <f t="shared" si="109"/>
        <v>0</v>
      </c>
      <c r="P83" s="395">
        <f t="shared" si="110"/>
        <v>0</v>
      </c>
      <c r="Q83" s="395">
        <f t="shared" si="111"/>
        <v>0</v>
      </c>
      <c r="R83" s="395">
        <f t="shared" si="112"/>
        <v>0</v>
      </c>
      <c r="S83" s="395">
        <f t="shared" si="113"/>
        <v>0</v>
      </c>
      <c r="T83" s="395">
        <f t="shared" si="114"/>
        <v>0</v>
      </c>
      <c r="U83" s="395">
        <f t="shared" si="115"/>
        <v>0</v>
      </c>
      <c r="V83" s="395">
        <f t="shared" si="116"/>
        <v>0</v>
      </c>
      <c r="W83" s="395">
        <f t="shared" si="117"/>
        <v>0</v>
      </c>
      <c r="X83" s="395">
        <f t="shared" si="118"/>
        <v>0</v>
      </c>
      <c r="Y83" s="395">
        <f t="shared" si="119"/>
        <v>0</v>
      </c>
      <c r="Z83" s="395">
        <f t="shared" si="120"/>
        <v>0</v>
      </c>
      <c r="AA83" s="395">
        <f t="shared" si="121"/>
        <v>0</v>
      </c>
      <c r="AB83" s="395">
        <f t="shared" si="122"/>
        <v>0</v>
      </c>
      <c r="AC83" s="395">
        <f t="shared" si="123"/>
        <v>0</v>
      </c>
      <c r="AD83" s="395">
        <f t="shared" si="124"/>
        <v>0</v>
      </c>
      <c r="AE83" s="395">
        <f t="shared" si="125"/>
        <v>0</v>
      </c>
      <c r="AF83" s="395">
        <f t="shared" si="126"/>
        <v>0</v>
      </c>
      <c r="AG83" s="395">
        <f t="shared" si="127"/>
        <v>0</v>
      </c>
      <c r="AH83" s="395">
        <f t="shared" si="133"/>
        <v>0</v>
      </c>
      <c r="AI83" s="395">
        <f t="shared" si="134"/>
        <v>0</v>
      </c>
      <c r="AJ83" s="395">
        <f t="shared" si="135"/>
        <v>0</v>
      </c>
      <c r="AK83" s="207">
        <f t="shared" si="130"/>
        <v>0</v>
      </c>
      <c r="AL83" s="208">
        <f t="shared" si="136"/>
        <v>0</v>
      </c>
      <c r="AM83" s="208">
        <f t="shared" si="136"/>
        <v>0</v>
      </c>
      <c r="AN83" s="209" t="s">
        <v>4754</v>
      </c>
    </row>
    <row r="84" spans="1:40" ht="30" customHeight="1">
      <c r="A84" s="1635" t="s">
        <v>2849</v>
      </c>
      <c r="B84" s="1020"/>
      <c r="C84" s="201" t="s">
        <v>615</v>
      </c>
      <c r="D84" s="290" t="s">
        <v>615</v>
      </c>
      <c r="E84" s="201" t="s">
        <v>1824</v>
      </c>
      <c r="F84" s="290"/>
      <c r="G84" s="794">
        <f t="shared" si="100"/>
        <v>0</v>
      </c>
      <c r="H84" s="202">
        <f t="shared" si="101"/>
        <v>0</v>
      </c>
      <c r="I84" s="202">
        <f t="shared" si="102"/>
        <v>0</v>
      </c>
      <c r="J84" s="202">
        <f t="shared" ref="J84:J113" si="138">COUNTIF(Area_v1RAANHER,$C84)</f>
        <v>0</v>
      </c>
      <c r="K84" s="202">
        <f t="shared" ref="K84:K113" si="139">COUNTIF(Area_v2RAANHER,$C84)</f>
        <v>0</v>
      </c>
      <c r="L84" s="202">
        <f t="shared" si="105"/>
        <v>0</v>
      </c>
      <c r="M84" s="202">
        <f t="shared" si="106"/>
        <v>0</v>
      </c>
      <c r="N84" s="202">
        <f t="shared" si="107"/>
        <v>0</v>
      </c>
      <c r="O84" s="202">
        <f t="shared" si="108"/>
        <v>0</v>
      </c>
      <c r="P84" s="202">
        <f t="shared" si="109"/>
        <v>0</v>
      </c>
      <c r="Q84" s="202">
        <f t="shared" si="110"/>
        <v>0</v>
      </c>
      <c r="R84" s="202">
        <f t="shared" si="111"/>
        <v>0</v>
      </c>
      <c r="S84" s="202">
        <f t="shared" si="112"/>
        <v>0</v>
      </c>
      <c r="T84" s="202">
        <f t="shared" si="113"/>
        <v>0</v>
      </c>
      <c r="U84" s="202">
        <f t="shared" si="114"/>
        <v>0</v>
      </c>
      <c r="V84" s="202">
        <f t="shared" ref="V84:V113" si="140">COUNTIF(Area_v5HERTSA,$C84)</f>
        <v>0</v>
      </c>
      <c r="W84" s="202">
        <f t="shared" ref="W84:W113" si="141">COUNTIF(Area_v5BBRHER,$C84)</f>
        <v>0</v>
      </c>
      <c r="X84" s="202">
        <f t="shared" ref="X84:X113" si="142">COUNTIF(Area_v1BBRTUN,$C84)</f>
        <v>0</v>
      </c>
      <c r="Y84" s="202">
        <f t="shared" ref="Y84:Y113" si="143">COUNTIF(Area_v2BBRTUN,$C84)</f>
        <v>0</v>
      </c>
      <c r="Z84" s="202">
        <f t="shared" si="119"/>
        <v>0</v>
      </c>
      <c r="AA84" s="202">
        <f t="shared" si="120"/>
        <v>0</v>
      </c>
      <c r="AB84" s="202">
        <f t="shared" si="121"/>
        <v>0</v>
      </c>
      <c r="AC84" s="202">
        <f t="shared" si="122"/>
        <v>0</v>
      </c>
      <c r="AD84" s="202">
        <f t="shared" si="123"/>
        <v>0</v>
      </c>
      <c r="AE84" s="202">
        <f t="shared" si="124"/>
        <v>0</v>
      </c>
      <c r="AF84" s="202">
        <f t="shared" si="125"/>
        <v>0</v>
      </c>
      <c r="AG84" s="202">
        <f t="shared" si="126"/>
        <v>0</v>
      </c>
      <c r="AH84" s="202">
        <f t="shared" si="127"/>
        <v>0</v>
      </c>
      <c r="AI84" s="202">
        <f t="shared" si="133"/>
        <v>0</v>
      </c>
      <c r="AJ84" s="202">
        <f t="shared" si="134"/>
        <v>0</v>
      </c>
      <c r="AK84" s="202">
        <f t="shared" si="135"/>
        <v>0</v>
      </c>
      <c r="AL84" s="202">
        <f t="shared" si="130"/>
        <v>0</v>
      </c>
      <c r="AM84" s="203">
        <f t="shared" si="136"/>
        <v>0</v>
      </c>
      <c r="AN84" s="1067"/>
    </row>
    <row r="85" spans="1:40" ht="30" customHeight="1">
      <c r="A85" s="1635"/>
      <c r="B85" s="1021"/>
      <c r="C85" s="392" t="s">
        <v>1686</v>
      </c>
      <c r="D85" s="397" t="s">
        <v>1686</v>
      </c>
      <c r="E85" s="392" t="s">
        <v>1825</v>
      </c>
      <c r="F85" s="397"/>
      <c r="G85" s="802">
        <f t="shared" si="100"/>
        <v>6</v>
      </c>
      <c r="H85" s="207">
        <f t="shared" si="101"/>
        <v>0</v>
      </c>
      <c r="I85" s="207">
        <f t="shared" si="102"/>
        <v>0</v>
      </c>
      <c r="J85" s="207">
        <f t="shared" si="138"/>
        <v>0</v>
      </c>
      <c r="K85" s="207">
        <f t="shared" si="139"/>
        <v>0</v>
      </c>
      <c r="L85" s="207">
        <f t="shared" si="105"/>
        <v>0</v>
      </c>
      <c r="M85" s="207">
        <f t="shared" si="106"/>
        <v>0</v>
      </c>
      <c r="N85" s="207">
        <f t="shared" si="107"/>
        <v>0</v>
      </c>
      <c r="O85" s="207">
        <f t="shared" si="108"/>
        <v>0</v>
      </c>
      <c r="P85" s="207">
        <f t="shared" si="109"/>
        <v>0</v>
      </c>
      <c r="Q85" s="207">
        <f t="shared" si="110"/>
        <v>0</v>
      </c>
      <c r="R85" s="207">
        <f t="shared" si="111"/>
        <v>0</v>
      </c>
      <c r="S85" s="207">
        <f t="shared" si="112"/>
        <v>0</v>
      </c>
      <c r="T85" s="207">
        <f t="shared" si="113"/>
        <v>0</v>
      </c>
      <c r="U85" s="207">
        <f t="shared" si="114"/>
        <v>5</v>
      </c>
      <c r="V85" s="207">
        <f t="shared" si="140"/>
        <v>0</v>
      </c>
      <c r="W85" s="207">
        <f t="shared" si="141"/>
        <v>0</v>
      </c>
      <c r="X85" s="207">
        <f t="shared" si="142"/>
        <v>0</v>
      </c>
      <c r="Y85" s="207">
        <f t="shared" si="143"/>
        <v>0</v>
      </c>
      <c r="Z85" s="207">
        <f t="shared" si="119"/>
        <v>0</v>
      </c>
      <c r="AA85" s="207">
        <f t="shared" si="120"/>
        <v>0</v>
      </c>
      <c r="AB85" s="207">
        <f t="shared" si="121"/>
        <v>0</v>
      </c>
      <c r="AC85" s="207">
        <f t="shared" si="122"/>
        <v>1</v>
      </c>
      <c r="AD85" s="207">
        <f t="shared" si="123"/>
        <v>0</v>
      </c>
      <c r="AE85" s="207">
        <f t="shared" si="124"/>
        <v>0</v>
      </c>
      <c r="AF85" s="207">
        <f t="shared" si="125"/>
        <v>0</v>
      </c>
      <c r="AG85" s="207">
        <f t="shared" si="126"/>
        <v>0</v>
      </c>
      <c r="AH85" s="207">
        <f t="shared" si="127"/>
        <v>0</v>
      </c>
      <c r="AI85" s="207">
        <f t="shared" si="133"/>
        <v>0</v>
      </c>
      <c r="AJ85" s="207">
        <f t="shared" si="134"/>
        <v>0</v>
      </c>
      <c r="AK85" s="207">
        <f t="shared" si="135"/>
        <v>0</v>
      </c>
      <c r="AL85" s="207">
        <f t="shared" si="130"/>
        <v>0</v>
      </c>
      <c r="AM85" s="208">
        <f t="shared" si="136"/>
        <v>0</v>
      </c>
      <c r="AN85" s="1067"/>
    </row>
    <row r="86" spans="1:40" ht="30" customHeight="1">
      <c r="A86" s="1636"/>
      <c r="B86" s="1021"/>
      <c r="C86" s="205" t="s">
        <v>1541</v>
      </c>
      <c r="D86" s="291" t="s">
        <v>1541</v>
      </c>
      <c r="E86" s="205" t="s">
        <v>1826</v>
      </c>
      <c r="F86" s="291"/>
      <c r="G86" s="802">
        <f t="shared" si="100"/>
        <v>10</v>
      </c>
      <c r="H86" s="207">
        <f t="shared" si="101"/>
        <v>0</v>
      </c>
      <c r="I86" s="207">
        <f t="shared" si="102"/>
        <v>0</v>
      </c>
      <c r="J86" s="207">
        <f t="shared" si="138"/>
        <v>0</v>
      </c>
      <c r="K86" s="207">
        <f t="shared" si="139"/>
        <v>0</v>
      </c>
      <c r="L86" s="207">
        <f t="shared" si="105"/>
        <v>0</v>
      </c>
      <c r="M86" s="207">
        <f t="shared" si="106"/>
        <v>0</v>
      </c>
      <c r="N86" s="207">
        <f t="shared" si="107"/>
        <v>0</v>
      </c>
      <c r="O86" s="207">
        <f t="shared" si="108"/>
        <v>0</v>
      </c>
      <c r="P86" s="207">
        <f t="shared" si="109"/>
        <v>0</v>
      </c>
      <c r="Q86" s="207">
        <f t="shared" si="110"/>
        <v>0</v>
      </c>
      <c r="R86" s="207">
        <f t="shared" si="111"/>
        <v>0</v>
      </c>
      <c r="S86" s="207">
        <f t="shared" si="112"/>
        <v>0</v>
      </c>
      <c r="T86" s="207">
        <f t="shared" si="113"/>
        <v>0</v>
      </c>
      <c r="U86" s="207">
        <f t="shared" si="114"/>
        <v>9</v>
      </c>
      <c r="V86" s="207">
        <f t="shared" si="140"/>
        <v>0</v>
      </c>
      <c r="W86" s="207">
        <f t="shared" si="141"/>
        <v>0</v>
      </c>
      <c r="X86" s="207">
        <f t="shared" si="142"/>
        <v>0</v>
      </c>
      <c r="Y86" s="207">
        <f t="shared" si="143"/>
        <v>0</v>
      </c>
      <c r="Z86" s="207">
        <f t="shared" si="119"/>
        <v>0</v>
      </c>
      <c r="AA86" s="207">
        <f t="shared" si="120"/>
        <v>0</v>
      </c>
      <c r="AB86" s="207">
        <f t="shared" si="121"/>
        <v>0</v>
      </c>
      <c r="AC86" s="207">
        <f t="shared" si="122"/>
        <v>0</v>
      </c>
      <c r="AD86" s="207">
        <f t="shared" si="123"/>
        <v>0</v>
      </c>
      <c r="AE86" s="207">
        <f t="shared" si="124"/>
        <v>0</v>
      </c>
      <c r="AF86" s="207">
        <f t="shared" si="125"/>
        <v>0</v>
      </c>
      <c r="AG86" s="207">
        <f t="shared" si="126"/>
        <v>0</v>
      </c>
      <c r="AH86" s="207">
        <f t="shared" si="127"/>
        <v>0</v>
      </c>
      <c r="AI86" s="207">
        <f t="shared" si="133"/>
        <v>1</v>
      </c>
      <c r="AJ86" s="207">
        <f t="shared" si="134"/>
        <v>0</v>
      </c>
      <c r="AK86" s="207">
        <f t="shared" si="135"/>
        <v>0</v>
      </c>
      <c r="AL86" s="207">
        <f t="shared" si="130"/>
        <v>0</v>
      </c>
      <c r="AM86" s="208">
        <f t="shared" si="136"/>
        <v>0</v>
      </c>
      <c r="AN86" s="1067"/>
    </row>
    <row r="87" spans="1:40" ht="30" customHeight="1">
      <c r="A87" s="281"/>
      <c r="B87" s="1021"/>
      <c r="C87" s="205" t="s">
        <v>1715</v>
      </c>
      <c r="D87" s="291" t="s">
        <v>1715</v>
      </c>
      <c r="E87" s="205" t="s">
        <v>1827</v>
      </c>
      <c r="F87" s="291"/>
      <c r="G87" s="802">
        <f t="shared" si="100"/>
        <v>0</v>
      </c>
      <c r="H87" s="207">
        <f t="shared" si="101"/>
        <v>0</v>
      </c>
      <c r="I87" s="207">
        <f t="shared" si="102"/>
        <v>0</v>
      </c>
      <c r="J87" s="207">
        <f t="shared" si="138"/>
        <v>0</v>
      </c>
      <c r="K87" s="207">
        <f t="shared" si="139"/>
        <v>0</v>
      </c>
      <c r="L87" s="207">
        <f t="shared" si="105"/>
        <v>0</v>
      </c>
      <c r="M87" s="207">
        <f t="shared" si="106"/>
        <v>0</v>
      </c>
      <c r="N87" s="207">
        <f t="shared" si="107"/>
        <v>0</v>
      </c>
      <c r="O87" s="207">
        <f t="shared" si="108"/>
        <v>0</v>
      </c>
      <c r="P87" s="207">
        <f t="shared" si="109"/>
        <v>0</v>
      </c>
      <c r="Q87" s="207">
        <f t="shared" si="110"/>
        <v>0</v>
      </c>
      <c r="R87" s="207">
        <f t="shared" si="111"/>
        <v>0</v>
      </c>
      <c r="S87" s="207">
        <f t="shared" si="112"/>
        <v>0</v>
      </c>
      <c r="T87" s="207">
        <f t="shared" si="113"/>
        <v>0</v>
      </c>
      <c r="U87" s="207">
        <f t="shared" si="114"/>
        <v>0</v>
      </c>
      <c r="V87" s="207">
        <f t="shared" si="140"/>
        <v>0</v>
      </c>
      <c r="W87" s="207">
        <f t="shared" si="141"/>
        <v>0</v>
      </c>
      <c r="X87" s="207">
        <f t="shared" si="142"/>
        <v>0</v>
      </c>
      <c r="Y87" s="207">
        <f t="shared" si="143"/>
        <v>0</v>
      </c>
      <c r="Z87" s="207">
        <f t="shared" si="119"/>
        <v>0</v>
      </c>
      <c r="AA87" s="207">
        <f t="shared" si="120"/>
        <v>0</v>
      </c>
      <c r="AB87" s="207">
        <f t="shared" si="121"/>
        <v>0</v>
      </c>
      <c r="AC87" s="207">
        <f t="shared" si="122"/>
        <v>0</v>
      </c>
      <c r="AD87" s="207">
        <f t="shared" si="123"/>
        <v>0</v>
      </c>
      <c r="AE87" s="207">
        <f t="shared" si="124"/>
        <v>0</v>
      </c>
      <c r="AF87" s="207">
        <f t="shared" si="125"/>
        <v>0</v>
      </c>
      <c r="AG87" s="207">
        <f t="shared" si="126"/>
        <v>0</v>
      </c>
      <c r="AH87" s="207">
        <f t="shared" si="127"/>
        <v>0</v>
      </c>
      <c r="AI87" s="207">
        <f t="shared" si="133"/>
        <v>0</v>
      </c>
      <c r="AJ87" s="207">
        <f t="shared" si="134"/>
        <v>0</v>
      </c>
      <c r="AK87" s="207">
        <f t="shared" si="135"/>
        <v>0</v>
      </c>
      <c r="AL87" s="207">
        <f t="shared" si="130"/>
        <v>0</v>
      </c>
      <c r="AM87" s="208">
        <f t="shared" si="136"/>
        <v>0</v>
      </c>
      <c r="AN87" s="1067"/>
    </row>
    <row r="88" spans="1:40" ht="30" customHeight="1">
      <c r="A88" s="281"/>
      <c r="B88" s="1021"/>
      <c r="C88" s="205" t="s">
        <v>1542</v>
      </c>
      <c r="D88" s="291" t="s">
        <v>1542</v>
      </c>
      <c r="E88" s="205" t="s">
        <v>1828</v>
      </c>
      <c r="F88" s="291"/>
      <c r="G88" s="802">
        <f t="shared" si="100"/>
        <v>4</v>
      </c>
      <c r="H88" s="207">
        <f t="shared" si="101"/>
        <v>0</v>
      </c>
      <c r="I88" s="207">
        <f t="shared" si="102"/>
        <v>0</v>
      </c>
      <c r="J88" s="207">
        <f t="shared" si="138"/>
        <v>0</v>
      </c>
      <c r="K88" s="207">
        <f t="shared" si="139"/>
        <v>0</v>
      </c>
      <c r="L88" s="207">
        <f t="shared" si="105"/>
        <v>0</v>
      </c>
      <c r="M88" s="207">
        <f t="shared" si="106"/>
        <v>0</v>
      </c>
      <c r="N88" s="207">
        <f t="shared" si="107"/>
        <v>0</v>
      </c>
      <c r="O88" s="207">
        <f t="shared" si="108"/>
        <v>0</v>
      </c>
      <c r="P88" s="207">
        <f t="shared" si="109"/>
        <v>0</v>
      </c>
      <c r="Q88" s="207">
        <f t="shared" si="110"/>
        <v>0</v>
      </c>
      <c r="R88" s="207">
        <f t="shared" si="111"/>
        <v>0</v>
      </c>
      <c r="S88" s="207">
        <f t="shared" si="112"/>
        <v>0</v>
      </c>
      <c r="T88" s="207">
        <f t="shared" si="113"/>
        <v>0</v>
      </c>
      <c r="U88" s="207">
        <f t="shared" si="114"/>
        <v>2</v>
      </c>
      <c r="V88" s="207">
        <f t="shared" si="140"/>
        <v>0</v>
      </c>
      <c r="W88" s="207">
        <f t="shared" si="141"/>
        <v>0</v>
      </c>
      <c r="X88" s="207">
        <f t="shared" si="142"/>
        <v>0</v>
      </c>
      <c r="Y88" s="207">
        <f t="shared" si="143"/>
        <v>0</v>
      </c>
      <c r="Z88" s="207">
        <f t="shared" si="119"/>
        <v>0</v>
      </c>
      <c r="AA88" s="207">
        <f t="shared" si="120"/>
        <v>0</v>
      </c>
      <c r="AB88" s="207">
        <f t="shared" si="121"/>
        <v>0</v>
      </c>
      <c r="AC88" s="207">
        <f t="shared" si="122"/>
        <v>0</v>
      </c>
      <c r="AD88" s="207">
        <f t="shared" si="123"/>
        <v>0</v>
      </c>
      <c r="AE88" s="207">
        <f t="shared" si="124"/>
        <v>0</v>
      </c>
      <c r="AF88" s="207">
        <f t="shared" si="125"/>
        <v>0</v>
      </c>
      <c r="AG88" s="207">
        <f t="shared" si="126"/>
        <v>0</v>
      </c>
      <c r="AH88" s="207">
        <f t="shared" si="127"/>
        <v>0</v>
      </c>
      <c r="AI88" s="207">
        <f t="shared" si="133"/>
        <v>2</v>
      </c>
      <c r="AJ88" s="207">
        <f t="shared" si="134"/>
        <v>0</v>
      </c>
      <c r="AK88" s="207">
        <f t="shared" si="135"/>
        <v>0</v>
      </c>
      <c r="AL88" s="207">
        <f t="shared" si="130"/>
        <v>0</v>
      </c>
      <c r="AM88" s="208">
        <f t="shared" si="136"/>
        <v>0</v>
      </c>
      <c r="AN88" s="1067"/>
    </row>
    <row r="89" spans="1:40" ht="30" customHeight="1">
      <c r="A89" s="281"/>
      <c r="B89" s="1021"/>
      <c r="C89" s="205" t="s">
        <v>1687</v>
      </c>
      <c r="D89" s="291" t="s">
        <v>1687</v>
      </c>
      <c r="E89" s="205" t="s">
        <v>1829</v>
      </c>
      <c r="F89" s="291"/>
      <c r="G89" s="802">
        <f t="shared" si="100"/>
        <v>6</v>
      </c>
      <c r="H89" s="207">
        <f t="shared" si="101"/>
        <v>0</v>
      </c>
      <c r="I89" s="207">
        <f t="shared" si="102"/>
        <v>0</v>
      </c>
      <c r="J89" s="207">
        <f t="shared" si="138"/>
        <v>0</v>
      </c>
      <c r="K89" s="207">
        <f t="shared" si="139"/>
        <v>0</v>
      </c>
      <c r="L89" s="207">
        <f t="shared" si="105"/>
        <v>0</v>
      </c>
      <c r="M89" s="207">
        <f t="shared" si="106"/>
        <v>0</v>
      </c>
      <c r="N89" s="207">
        <f t="shared" si="107"/>
        <v>0</v>
      </c>
      <c r="O89" s="207">
        <f t="shared" si="108"/>
        <v>0</v>
      </c>
      <c r="P89" s="207">
        <f t="shared" si="109"/>
        <v>0</v>
      </c>
      <c r="Q89" s="207">
        <f t="shared" si="110"/>
        <v>0</v>
      </c>
      <c r="R89" s="207">
        <f t="shared" si="111"/>
        <v>0</v>
      </c>
      <c r="S89" s="207">
        <f t="shared" si="112"/>
        <v>0</v>
      </c>
      <c r="T89" s="207">
        <f t="shared" si="113"/>
        <v>0</v>
      </c>
      <c r="U89" s="207">
        <f t="shared" si="114"/>
        <v>2</v>
      </c>
      <c r="V89" s="207">
        <f t="shared" si="140"/>
        <v>0</v>
      </c>
      <c r="W89" s="207">
        <f t="shared" si="141"/>
        <v>0</v>
      </c>
      <c r="X89" s="207">
        <f t="shared" si="142"/>
        <v>0</v>
      </c>
      <c r="Y89" s="207">
        <f t="shared" si="143"/>
        <v>0</v>
      </c>
      <c r="Z89" s="207">
        <f t="shared" si="119"/>
        <v>0</v>
      </c>
      <c r="AA89" s="207">
        <f t="shared" si="120"/>
        <v>0</v>
      </c>
      <c r="AB89" s="207">
        <f t="shared" si="121"/>
        <v>0</v>
      </c>
      <c r="AC89" s="207">
        <f t="shared" si="122"/>
        <v>0</v>
      </c>
      <c r="AD89" s="207">
        <f t="shared" si="123"/>
        <v>0</v>
      </c>
      <c r="AE89" s="207">
        <f t="shared" si="124"/>
        <v>0</v>
      </c>
      <c r="AF89" s="207">
        <f t="shared" si="125"/>
        <v>0</v>
      </c>
      <c r="AG89" s="207">
        <f t="shared" si="126"/>
        <v>0</v>
      </c>
      <c r="AH89" s="207">
        <f t="shared" si="127"/>
        <v>0</v>
      </c>
      <c r="AI89" s="207">
        <f t="shared" si="133"/>
        <v>4</v>
      </c>
      <c r="AJ89" s="207">
        <f t="shared" si="134"/>
        <v>0</v>
      </c>
      <c r="AK89" s="207">
        <f t="shared" si="135"/>
        <v>0</v>
      </c>
      <c r="AL89" s="207">
        <f t="shared" si="130"/>
        <v>0</v>
      </c>
      <c r="AM89" s="208">
        <f t="shared" si="136"/>
        <v>0</v>
      </c>
      <c r="AN89" s="1067"/>
    </row>
    <row r="90" spans="1:40" ht="30" customHeight="1">
      <c r="A90" s="281"/>
      <c r="B90" s="1021"/>
      <c r="C90" s="205" t="s">
        <v>1716</v>
      </c>
      <c r="D90" s="291" t="s">
        <v>1716</v>
      </c>
      <c r="E90" s="205" t="s">
        <v>1830</v>
      </c>
      <c r="F90" s="291"/>
      <c r="G90" s="802">
        <f t="shared" si="100"/>
        <v>0</v>
      </c>
      <c r="H90" s="207">
        <f t="shared" si="101"/>
        <v>0</v>
      </c>
      <c r="I90" s="207">
        <f t="shared" si="102"/>
        <v>0</v>
      </c>
      <c r="J90" s="207">
        <f t="shared" si="138"/>
        <v>0</v>
      </c>
      <c r="K90" s="207">
        <f t="shared" si="139"/>
        <v>0</v>
      </c>
      <c r="L90" s="207">
        <f t="shared" si="105"/>
        <v>0</v>
      </c>
      <c r="M90" s="207">
        <f t="shared" si="106"/>
        <v>0</v>
      </c>
      <c r="N90" s="207">
        <f t="shared" si="107"/>
        <v>0</v>
      </c>
      <c r="O90" s="207">
        <f t="shared" si="108"/>
        <v>0</v>
      </c>
      <c r="P90" s="207">
        <f t="shared" si="109"/>
        <v>0</v>
      </c>
      <c r="Q90" s="207">
        <f t="shared" si="110"/>
        <v>0</v>
      </c>
      <c r="R90" s="207">
        <f t="shared" si="111"/>
        <v>0</v>
      </c>
      <c r="S90" s="207">
        <f t="shared" si="112"/>
        <v>0</v>
      </c>
      <c r="T90" s="207">
        <f t="shared" si="113"/>
        <v>0</v>
      </c>
      <c r="U90" s="207">
        <f t="shared" si="114"/>
        <v>0</v>
      </c>
      <c r="V90" s="207">
        <f t="shared" si="140"/>
        <v>0</v>
      </c>
      <c r="W90" s="207">
        <f t="shared" si="141"/>
        <v>0</v>
      </c>
      <c r="X90" s="207">
        <f t="shared" si="142"/>
        <v>0</v>
      </c>
      <c r="Y90" s="207">
        <f t="shared" si="143"/>
        <v>0</v>
      </c>
      <c r="Z90" s="207">
        <f t="shared" si="119"/>
        <v>0</v>
      </c>
      <c r="AA90" s="207">
        <f t="shared" si="120"/>
        <v>0</v>
      </c>
      <c r="AB90" s="207">
        <f t="shared" si="121"/>
        <v>0</v>
      </c>
      <c r="AC90" s="207">
        <f t="shared" si="122"/>
        <v>0</v>
      </c>
      <c r="AD90" s="207">
        <f t="shared" si="123"/>
        <v>0</v>
      </c>
      <c r="AE90" s="207">
        <f t="shared" si="124"/>
        <v>0</v>
      </c>
      <c r="AF90" s="207">
        <f t="shared" si="125"/>
        <v>0</v>
      </c>
      <c r="AG90" s="207">
        <f t="shared" si="126"/>
        <v>0</v>
      </c>
      <c r="AH90" s="207">
        <f t="shared" si="127"/>
        <v>0</v>
      </c>
      <c r="AI90" s="207">
        <f t="shared" si="133"/>
        <v>0</v>
      </c>
      <c r="AJ90" s="207">
        <f t="shared" si="134"/>
        <v>0</v>
      </c>
      <c r="AK90" s="207">
        <f t="shared" si="135"/>
        <v>0</v>
      </c>
      <c r="AL90" s="207">
        <f t="shared" si="130"/>
        <v>0</v>
      </c>
      <c r="AM90" s="208">
        <f t="shared" si="136"/>
        <v>0</v>
      </c>
      <c r="AN90" s="1067"/>
    </row>
    <row r="91" spans="1:40" ht="30" customHeight="1">
      <c r="A91" s="634"/>
      <c r="B91" s="634"/>
      <c r="C91" s="392" t="s">
        <v>3292</v>
      </c>
      <c r="D91" s="397" t="s">
        <v>3292</v>
      </c>
      <c r="E91" s="205" t="s">
        <v>3294</v>
      </c>
      <c r="F91" s="397">
        <v>6988</v>
      </c>
      <c r="G91" s="802">
        <f t="shared" si="100"/>
        <v>34</v>
      </c>
      <c r="H91" s="207">
        <f t="shared" si="101"/>
        <v>0</v>
      </c>
      <c r="I91" s="207">
        <f t="shared" si="102"/>
        <v>0</v>
      </c>
      <c r="J91" s="207">
        <f t="shared" si="138"/>
        <v>0</v>
      </c>
      <c r="K91" s="207">
        <f t="shared" si="139"/>
        <v>0</v>
      </c>
      <c r="L91" s="207">
        <f t="shared" si="105"/>
        <v>0</v>
      </c>
      <c r="M91" s="207">
        <f t="shared" si="106"/>
        <v>0</v>
      </c>
      <c r="N91" s="207">
        <f t="shared" si="107"/>
        <v>0</v>
      </c>
      <c r="O91" s="207">
        <f t="shared" si="108"/>
        <v>0</v>
      </c>
      <c r="P91" s="207">
        <f t="shared" si="109"/>
        <v>0</v>
      </c>
      <c r="Q91" s="207">
        <f t="shared" si="110"/>
        <v>0</v>
      </c>
      <c r="R91" s="207">
        <f t="shared" si="111"/>
        <v>0</v>
      </c>
      <c r="S91" s="207">
        <f t="shared" si="112"/>
        <v>0</v>
      </c>
      <c r="T91" s="207">
        <f t="shared" si="113"/>
        <v>0</v>
      </c>
      <c r="U91" s="207">
        <f t="shared" si="114"/>
        <v>0</v>
      </c>
      <c r="V91" s="207">
        <f t="shared" si="140"/>
        <v>0</v>
      </c>
      <c r="W91" s="207">
        <f t="shared" si="141"/>
        <v>0</v>
      </c>
      <c r="X91" s="207">
        <f t="shared" si="142"/>
        <v>0</v>
      </c>
      <c r="Y91" s="207">
        <f t="shared" si="143"/>
        <v>0</v>
      </c>
      <c r="Z91" s="207">
        <f t="shared" si="119"/>
        <v>0</v>
      </c>
      <c r="AA91" s="207">
        <f t="shared" si="120"/>
        <v>0</v>
      </c>
      <c r="AB91" s="207">
        <f t="shared" si="121"/>
        <v>0</v>
      </c>
      <c r="AC91" s="207">
        <f t="shared" si="122"/>
        <v>3</v>
      </c>
      <c r="AD91" s="207">
        <f t="shared" si="123"/>
        <v>0</v>
      </c>
      <c r="AE91" s="207">
        <f t="shared" si="124"/>
        <v>0</v>
      </c>
      <c r="AF91" s="207">
        <f t="shared" si="125"/>
        <v>0</v>
      </c>
      <c r="AG91" s="207">
        <f t="shared" si="126"/>
        <v>0</v>
      </c>
      <c r="AH91" s="207">
        <f t="shared" si="127"/>
        <v>0</v>
      </c>
      <c r="AI91" s="207">
        <f t="shared" si="133"/>
        <v>31</v>
      </c>
      <c r="AJ91" s="207">
        <f t="shared" si="134"/>
        <v>0</v>
      </c>
      <c r="AK91" s="207">
        <f t="shared" si="135"/>
        <v>0</v>
      </c>
      <c r="AL91" s="207">
        <f t="shared" si="130"/>
        <v>0</v>
      </c>
      <c r="AM91" s="208">
        <f t="shared" si="136"/>
        <v>0</v>
      </c>
      <c r="AN91" s="1067"/>
    </row>
    <row r="92" spans="1:40" ht="30" customHeight="1">
      <c r="A92" s="634"/>
      <c r="B92" s="634"/>
      <c r="C92" s="392" t="s">
        <v>2851</v>
      </c>
      <c r="D92" s="397" t="s">
        <v>2851</v>
      </c>
      <c r="E92" s="205" t="s">
        <v>2858</v>
      </c>
      <c r="F92" s="397">
        <v>6987</v>
      </c>
      <c r="G92" s="802">
        <f t="shared" si="100"/>
        <v>0</v>
      </c>
      <c r="H92" s="207">
        <f t="shared" si="101"/>
        <v>0</v>
      </c>
      <c r="I92" s="207">
        <f t="shared" si="102"/>
        <v>0</v>
      </c>
      <c r="J92" s="207">
        <f t="shared" si="138"/>
        <v>0</v>
      </c>
      <c r="K92" s="207">
        <f t="shared" si="139"/>
        <v>0</v>
      </c>
      <c r="L92" s="207">
        <f t="shared" si="105"/>
        <v>0</v>
      </c>
      <c r="M92" s="207">
        <f t="shared" si="106"/>
        <v>0</v>
      </c>
      <c r="N92" s="207">
        <f t="shared" si="107"/>
        <v>0</v>
      </c>
      <c r="O92" s="207">
        <f t="shared" si="108"/>
        <v>0</v>
      </c>
      <c r="P92" s="207">
        <f t="shared" si="109"/>
        <v>0</v>
      </c>
      <c r="Q92" s="207">
        <f t="shared" si="110"/>
        <v>0</v>
      </c>
      <c r="R92" s="207">
        <f t="shared" si="111"/>
        <v>0</v>
      </c>
      <c r="S92" s="207">
        <f t="shared" si="112"/>
        <v>0</v>
      </c>
      <c r="T92" s="207">
        <f t="shared" si="113"/>
        <v>0</v>
      </c>
      <c r="U92" s="207">
        <f t="shared" si="114"/>
        <v>0</v>
      </c>
      <c r="V92" s="207">
        <f t="shared" si="140"/>
        <v>0</v>
      </c>
      <c r="W92" s="207">
        <f t="shared" si="141"/>
        <v>0</v>
      </c>
      <c r="X92" s="207">
        <f t="shared" si="142"/>
        <v>0</v>
      </c>
      <c r="Y92" s="207">
        <f t="shared" si="143"/>
        <v>0</v>
      </c>
      <c r="Z92" s="207">
        <f t="shared" si="119"/>
        <v>0</v>
      </c>
      <c r="AA92" s="207">
        <f t="shared" si="120"/>
        <v>0</v>
      </c>
      <c r="AB92" s="207">
        <f t="shared" si="121"/>
        <v>0</v>
      </c>
      <c r="AC92" s="207">
        <f t="shared" si="122"/>
        <v>0</v>
      </c>
      <c r="AD92" s="207">
        <f t="shared" si="123"/>
        <v>0</v>
      </c>
      <c r="AE92" s="207">
        <f t="shared" si="124"/>
        <v>0</v>
      </c>
      <c r="AF92" s="207">
        <f t="shared" si="125"/>
        <v>0</v>
      </c>
      <c r="AG92" s="207">
        <f t="shared" si="126"/>
        <v>0</v>
      </c>
      <c r="AH92" s="207">
        <f t="shared" si="127"/>
        <v>0</v>
      </c>
      <c r="AI92" s="207">
        <f t="shared" si="133"/>
        <v>0</v>
      </c>
      <c r="AJ92" s="207">
        <f t="shared" si="134"/>
        <v>0</v>
      </c>
      <c r="AK92" s="207">
        <f t="shared" si="135"/>
        <v>0</v>
      </c>
      <c r="AL92" s="207">
        <f t="shared" si="130"/>
        <v>0</v>
      </c>
      <c r="AM92" s="208">
        <f t="shared" si="136"/>
        <v>0</v>
      </c>
      <c r="AN92" s="1067"/>
    </row>
    <row r="93" spans="1:40" ht="30" customHeight="1">
      <c r="A93" s="634"/>
      <c r="B93" s="634"/>
      <c r="C93" s="392" t="s">
        <v>2848</v>
      </c>
      <c r="D93" s="397" t="s">
        <v>2848</v>
      </c>
      <c r="E93" s="205" t="s">
        <v>2859</v>
      </c>
      <c r="F93" s="397">
        <v>6987</v>
      </c>
      <c r="G93" s="802">
        <f t="shared" si="100"/>
        <v>0</v>
      </c>
      <c r="H93" s="207">
        <f t="shared" si="101"/>
        <v>0</v>
      </c>
      <c r="I93" s="207">
        <f t="shared" si="102"/>
        <v>0</v>
      </c>
      <c r="J93" s="207">
        <f t="shared" si="138"/>
        <v>0</v>
      </c>
      <c r="K93" s="207">
        <f t="shared" si="139"/>
        <v>0</v>
      </c>
      <c r="L93" s="207">
        <f t="shared" si="105"/>
        <v>0</v>
      </c>
      <c r="M93" s="207">
        <f t="shared" si="106"/>
        <v>0</v>
      </c>
      <c r="N93" s="207">
        <f t="shared" si="107"/>
        <v>0</v>
      </c>
      <c r="O93" s="207">
        <f t="shared" si="108"/>
        <v>0</v>
      </c>
      <c r="P93" s="207">
        <f t="shared" si="109"/>
        <v>0</v>
      </c>
      <c r="Q93" s="207">
        <f t="shared" si="110"/>
        <v>0</v>
      </c>
      <c r="R93" s="207">
        <f t="shared" si="111"/>
        <v>0</v>
      </c>
      <c r="S93" s="207">
        <f t="shared" si="112"/>
        <v>0</v>
      </c>
      <c r="T93" s="207">
        <f t="shared" si="113"/>
        <v>0</v>
      </c>
      <c r="U93" s="207">
        <f t="shared" si="114"/>
        <v>0</v>
      </c>
      <c r="V93" s="207">
        <f t="shared" si="140"/>
        <v>0</v>
      </c>
      <c r="W93" s="207">
        <f t="shared" si="141"/>
        <v>0</v>
      </c>
      <c r="X93" s="207">
        <f t="shared" si="142"/>
        <v>0</v>
      </c>
      <c r="Y93" s="207">
        <f t="shared" si="143"/>
        <v>0</v>
      </c>
      <c r="Z93" s="207">
        <f t="shared" si="119"/>
        <v>0</v>
      </c>
      <c r="AA93" s="207">
        <f t="shared" si="120"/>
        <v>0</v>
      </c>
      <c r="AB93" s="207">
        <f t="shared" si="121"/>
        <v>0</v>
      </c>
      <c r="AC93" s="207">
        <f t="shared" si="122"/>
        <v>0</v>
      </c>
      <c r="AD93" s="207">
        <f t="shared" si="123"/>
        <v>0</v>
      </c>
      <c r="AE93" s="207">
        <f t="shared" si="124"/>
        <v>0</v>
      </c>
      <c r="AF93" s="207">
        <f t="shared" si="125"/>
        <v>0</v>
      </c>
      <c r="AG93" s="207">
        <f t="shared" si="126"/>
        <v>0</v>
      </c>
      <c r="AH93" s="207">
        <f t="shared" si="127"/>
        <v>0</v>
      </c>
      <c r="AI93" s="207">
        <f t="shared" si="133"/>
        <v>0</v>
      </c>
      <c r="AJ93" s="207">
        <f t="shared" si="134"/>
        <v>0</v>
      </c>
      <c r="AK93" s="207">
        <f t="shared" si="135"/>
        <v>0</v>
      </c>
      <c r="AL93" s="207">
        <f t="shared" si="130"/>
        <v>0</v>
      </c>
      <c r="AM93" s="208">
        <f t="shared" si="136"/>
        <v>0</v>
      </c>
      <c r="AN93" s="1067"/>
    </row>
    <row r="94" spans="1:40" ht="30" customHeight="1">
      <c r="A94" s="634"/>
      <c r="B94" s="634"/>
      <c r="C94" s="392" t="s">
        <v>3319</v>
      </c>
      <c r="D94" s="397" t="s">
        <v>3319</v>
      </c>
      <c r="E94" s="205" t="s">
        <v>2859</v>
      </c>
      <c r="F94" s="397">
        <v>6986</v>
      </c>
      <c r="G94" s="802">
        <f t="shared" si="100"/>
        <v>1</v>
      </c>
      <c r="H94" s="207">
        <f t="shared" si="101"/>
        <v>0</v>
      </c>
      <c r="I94" s="207">
        <f t="shared" si="102"/>
        <v>0</v>
      </c>
      <c r="J94" s="207">
        <f t="shared" si="138"/>
        <v>0</v>
      </c>
      <c r="K94" s="207">
        <f t="shared" si="139"/>
        <v>0</v>
      </c>
      <c r="L94" s="207">
        <f t="shared" si="105"/>
        <v>0</v>
      </c>
      <c r="M94" s="207">
        <f t="shared" si="106"/>
        <v>0</v>
      </c>
      <c r="N94" s="207">
        <f t="shared" si="107"/>
        <v>0</v>
      </c>
      <c r="O94" s="207">
        <f t="shared" si="108"/>
        <v>0</v>
      </c>
      <c r="P94" s="207">
        <f t="shared" si="109"/>
        <v>0</v>
      </c>
      <c r="Q94" s="207">
        <f t="shared" si="110"/>
        <v>0</v>
      </c>
      <c r="R94" s="207">
        <f t="shared" si="111"/>
        <v>0</v>
      </c>
      <c r="S94" s="207">
        <f t="shared" si="112"/>
        <v>0</v>
      </c>
      <c r="T94" s="207">
        <f t="shared" si="113"/>
        <v>0</v>
      </c>
      <c r="U94" s="207">
        <f t="shared" si="114"/>
        <v>0</v>
      </c>
      <c r="V94" s="207">
        <f t="shared" si="140"/>
        <v>0</v>
      </c>
      <c r="W94" s="207">
        <f t="shared" si="141"/>
        <v>0</v>
      </c>
      <c r="X94" s="207">
        <f t="shared" si="142"/>
        <v>0</v>
      </c>
      <c r="Y94" s="207">
        <f t="shared" si="143"/>
        <v>0</v>
      </c>
      <c r="Z94" s="207">
        <f t="shared" si="119"/>
        <v>0</v>
      </c>
      <c r="AA94" s="207">
        <f t="shared" si="120"/>
        <v>0</v>
      </c>
      <c r="AB94" s="207">
        <f t="shared" si="121"/>
        <v>0</v>
      </c>
      <c r="AC94" s="207">
        <f t="shared" si="122"/>
        <v>0</v>
      </c>
      <c r="AD94" s="207">
        <f t="shared" si="123"/>
        <v>0</v>
      </c>
      <c r="AE94" s="207">
        <f t="shared" si="124"/>
        <v>0</v>
      </c>
      <c r="AF94" s="207">
        <f t="shared" si="125"/>
        <v>0</v>
      </c>
      <c r="AG94" s="207">
        <f t="shared" si="126"/>
        <v>0</v>
      </c>
      <c r="AH94" s="207">
        <f t="shared" si="127"/>
        <v>0</v>
      </c>
      <c r="AI94" s="207">
        <f t="shared" si="133"/>
        <v>0</v>
      </c>
      <c r="AJ94" s="207">
        <f t="shared" si="134"/>
        <v>0</v>
      </c>
      <c r="AK94" s="207">
        <f t="shared" si="135"/>
        <v>1</v>
      </c>
      <c r="AL94" s="207">
        <f t="shared" si="130"/>
        <v>0</v>
      </c>
      <c r="AM94" s="208">
        <f t="shared" si="136"/>
        <v>0</v>
      </c>
      <c r="AN94" s="1067"/>
    </row>
    <row r="95" spans="1:40" ht="30" customHeight="1">
      <c r="A95" s="634"/>
      <c r="B95" s="634"/>
      <c r="C95" s="392" t="s">
        <v>2852</v>
      </c>
      <c r="D95" s="397" t="s">
        <v>2852</v>
      </c>
      <c r="E95" s="205" t="s">
        <v>2860</v>
      </c>
      <c r="F95" s="397">
        <v>6973</v>
      </c>
      <c r="G95" s="802">
        <f t="shared" si="100"/>
        <v>0</v>
      </c>
      <c r="H95" s="207">
        <f t="shared" si="101"/>
        <v>0</v>
      </c>
      <c r="I95" s="207">
        <f t="shared" si="102"/>
        <v>0</v>
      </c>
      <c r="J95" s="207">
        <f t="shared" si="138"/>
        <v>0</v>
      </c>
      <c r="K95" s="207">
        <f t="shared" si="139"/>
        <v>0</v>
      </c>
      <c r="L95" s="207">
        <f t="shared" si="105"/>
        <v>0</v>
      </c>
      <c r="M95" s="207">
        <f t="shared" si="106"/>
        <v>0</v>
      </c>
      <c r="N95" s="207">
        <f t="shared" si="107"/>
        <v>0</v>
      </c>
      <c r="O95" s="207">
        <f t="shared" si="108"/>
        <v>0</v>
      </c>
      <c r="P95" s="207">
        <f t="shared" si="109"/>
        <v>0</v>
      </c>
      <c r="Q95" s="207">
        <f t="shared" si="110"/>
        <v>0</v>
      </c>
      <c r="R95" s="207">
        <f t="shared" si="111"/>
        <v>0</v>
      </c>
      <c r="S95" s="207">
        <f t="shared" si="112"/>
        <v>0</v>
      </c>
      <c r="T95" s="207">
        <f t="shared" si="113"/>
        <v>0</v>
      </c>
      <c r="U95" s="207">
        <f t="shared" si="114"/>
        <v>0</v>
      </c>
      <c r="V95" s="207">
        <f t="shared" si="140"/>
        <v>0</v>
      </c>
      <c r="W95" s="207">
        <f t="shared" si="141"/>
        <v>0</v>
      </c>
      <c r="X95" s="207">
        <f t="shared" si="142"/>
        <v>0</v>
      </c>
      <c r="Y95" s="207">
        <f t="shared" si="143"/>
        <v>0</v>
      </c>
      <c r="Z95" s="207">
        <f t="shared" si="119"/>
        <v>0</v>
      </c>
      <c r="AA95" s="207">
        <f t="shared" si="120"/>
        <v>0</v>
      </c>
      <c r="AB95" s="207">
        <f t="shared" si="121"/>
        <v>0</v>
      </c>
      <c r="AC95" s="207">
        <f t="shared" si="122"/>
        <v>0</v>
      </c>
      <c r="AD95" s="207">
        <f t="shared" si="123"/>
        <v>0</v>
      </c>
      <c r="AE95" s="207">
        <f t="shared" si="124"/>
        <v>0</v>
      </c>
      <c r="AF95" s="207">
        <f t="shared" si="125"/>
        <v>0</v>
      </c>
      <c r="AG95" s="207">
        <f t="shared" si="126"/>
        <v>0</v>
      </c>
      <c r="AH95" s="207">
        <f t="shared" si="127"/>
        <v>0</v>
      </c>
      <c r="AI95" s="207">
        <f t="shared" si="133"/>
        <v>0</v>
      </c>
      <c r="AJ95" s="207">
        <f t="shared" si="134"/>
        <v>0</v>
      </c>
      <c r="AK95" s="207">
        <f t="shared" si="135"/>
        <v>0</v>
      </c>
      <c r="AL95" s="207">
        <f t="shared" si="130"/>
        <v>0</v>
      </c>
      <c r="AM95" s="208">
        <f t="shared" si="136"/>
        <v>0</v>
      </c>
      <c r="AN95" s="1067"/>
    </row>
    <row r="96" spans="1:40" ht="30" customHeight="1">
      <c r="A96" s="634"/>
      <c r="B96" s="634"/>
      <c r="C96" s="392" t="s">
        <v>2853</v>
      </c>
      <c r="D96" s="397" t="s">
        <v>2853</v>
      </c>
      <c r="E96" s="205" t="s">
        <v>2861</v>
      </c>
      <c r="F96" s="397">
        <v>6974</v>
      </c>
      <c r="G96" s="802">
        <f t="shared" si="100"/>
        <v>0</v>
      </c>
      <c r="H96" s="207">
        <f t="shared" si="101"/>
        <v>0</v>
      </c>
      <c r="I96" s="207">
        <f t="shared" si="102"/>
        <v>0</v>
      </c>
      <c r="J96" s="207">
        <f t="shared" si="138"/>
        <v>0</v>
      </c>
      <c r="K96" s="207">
        <f t="shared" si="139"/>
        <v>0</v>
      </c>
      <c r="L96" s="207">
        <f t="shared" si="105"/>
        <v>0</v>
      </c>
      <c r="M96" s="207">
        <f t="shared" si="106"/>
        <v>0</v>
      </c>
      <c r="N96" s="207">
        <f t="shared" si="107"/>
        <v>0</v>
      </c>
      <c r="O96" s="207">
        <f t="shared" si="108"/>
        <v>0</v>
      </c>
      <c r="P96" s="207">
        <f t="shared" si="109"/>
        <v>0</v>
      </c>
      <c r="Q96" s="207">
        <f t="shared" si="110"/>
        <v>0</v>
      </c>
      <c r="R96" s="207">
        <f t="shared" si="111"/>
        <v>0</v>
      </c>
      <c r="S96" s="207">
        <f t="shared" si="112"/>
        <v>0</v>
      </c>
      <c r="T96" s="207">
        <f t="shared" si="113"/>
        <v>0</v>
      </c>
      <c r="U96" s="207">
        <f t="shared" si="114"/>
        <v>0</v>
      </c>
      <c r="V96" s="207">
        <f t="shared" si="140"/>
        <v>0</v>
      </c>
      <c r="W96" s="207">
        <f t="shared" si="141"/>
        <v>0</v>
      </c>
      <c r="X96" s="207">
        <f t="shared" si="142"/>
        <v>0</v>
      </c>
      <c r="Y96" s="207">
        <f t="shared" si="143"/>
        <v>0</v>
      </c>
      <c r="Z96" s="207">
        <f t="shared" si="119"/>
        <v>0</v>
      </c>
      <c r="AA96" s="207">
        <f t="shared" si="120"/>
        <v>0</v>
      </c>
      <c r="AB96" s="207">
        <f t="shared" si="121"/>
        <v>0</v>
      </c>
      <c r="AC96" s="207">
        <f t="shared" si="122"/>
        <v>0</v>
      </c>
      <c r="AD96" s="207">
        <f t="shared" si="123"/>
        <v>0</v>
      </c>
      <c r="AE96" s="207">
        <f t="shared" si="124"/>
        <v>0</v>
      </c>
      <c r="AF96" s="207">
        <f t="shared" si="125"/>
        <v>0</v>
      </c>
      <c r="AG96" s="207">
        <f t="shared" si="126"/>
        <v>0</v>
      </c>
      <c r="AH96" s="207">
        <f t="shared" si="127"/>
        <v>0</v>
      </c>
      <c r="AI96" s="207">
        <f t="shared" si="133"/>
        <v>0</v>
      </c>
      <c r="AJ96" s="207">
        <f t="shared" si="134"/>
        <v>0</v>
      </c>
      <c r="AK96" s="207">
        <f t="shared" si="135"/>
        <v>0</v>
      </c>
      <c r="AL96" s="207">
        <f t="shared" si="130"/>
        <v>0</v>
      </c>
      <c r="AM96" s="208">
        <f t="shared" si="136"/>
        <v>0</v>
      </c>
      <c r="AN96" s="1067"/>
    </row>
    <row r="97" spans="1:40" ht="30" customHeight="1">
      <c r="A97" s="634"/>
      <c r="B97" s="634"/>
      <c r="C97" s="392" t="s">
        <v>2854</v>
      </c>
      <c r="D97" s="397" t="s">
        <v>2854</v>
      </c>
      <c r="E97" s="205" t="s">
        <v>2862</v>
      </c>
      <c r="F97" s="397">
        <v>6975</v>
      </c>
      <c r="G97" s="802">
        <f t="shared" si="100"/>
        <v>0</v>
      </c>
      <c r="H97" s="207">
        <f t="shared" si="101"/>
        <v>0</v>
      </c>
      <c r="I97" s="207">
        <f t="shared" si="102"/>
        <v>0</v>
      </c>
      <c r="J97" s="207">
        <f t="shared" si="138"/>
        <v>0</v>
      </c>
      <c r="K97" s="207">
        <f t="shared" si="139"/>
        <v>0</v>
      </c>
      <c r="L97" s="207">
        <f t="shared" si="105"/>
        <v>0</v>
      </c>
      <c r="M97" s="207">
        <f t="shared" si="106"/>
        <v>0</v>
      </c>
      <c r="N97" s="207">
        <f t="shared" si="107"/>
        <v>0</v>
      </c>
      <c r="O97" s="207">
        <f t="shared" si="108"/>
        <v>0</v>
      </c>
      <c r="P97" s="207">
        <f t="shared" si="109"/>
        <v>0</v>
      </c>
      <c r="Q97" s="207">
        <f t="shared" si="110"/>
        <v>0</v>
      </c>
      <c r="R97" s="207">
        <f t="shared" si="111"/>
        <v>0</v>
      </c>
      <c r="S97" s="207">
        <f t="shared" si="112"/>
        <v>0</v>
      </c>
      <c r="T97" s="207">
        <f t="shared" si="113"/>
        <v>0</v>
      </c>
      <c r="U97" s="207">
        <f t="shared" si="114"/>
        <v>0</v>
      </c>
      <c r="V97" s="207">
        <f t="shared" si="140"/>
        <v>0</v>
      </c>
      <c r="W97" s="207">
        <f t="shared" si="141"/>
        <v>0</v>
      </c>
      <c r="X97" s="207">
        <f t="shared" si="142"/>
        <v>0</v>
      </c>
      <c r="Y97" s="207">
        <f t="shared" si="143"/>
        <v>0</v>
      </c>
      <c r="Z97" s="207">
        <f t="shared" si="119"/>
        <v>0</v>
      </c>
      <c r="AA97" s="207">
        <f t="shared" si="120"/>
        <v>0</v>
      </c>
      <c r="AB97" s="207">
        <f t="shared" si="121"/>
        <v>0</v>
      </c>
      <c r="AC97" s="207">
        <f t="shared" si="122"/>
        <v>0</v>
      </c>
      <c r="AD97" s="207">
        <f t="shared" si="123"/>
        <v>0</v>
      </c>
      <c r="AE97" s="207">
        <f t="shared" si="124"/>
        <v>0</v>
      </c>
      <c r="AF97" s="207">
        <f t="shared" si="125"/>
        <v>0</v>
      </c>
      <c r="AG97" s="207">
        <f t="shared" si="126"/>
        <v>0</v>
      </c>
      <c r="AH97" s="207">
        <f t="shared" si="127"/>
        <v>0</v>
      </c>
      <c r="AI97" s="207">
        <f t="shared" si="133"/>
        <v>0</v>
      </c>
      <c r="AJ97" s="207">
        <f t="shared" si="134"/>
        <v>0</v>
      </c>
      <c r="AK97" s="207">
        <f t="shared" si="135"/>
        <v>0</v>
      </c>
      <c r="AL97" s="207">
        <f t="shared" si="130"/>
        <v>0</v>
      </c>
      <c r="AM97" s="208">
        <f t="shared" si="136"/>
        <v>0</v>
      </c>
      <c r="AN97" s="1067"/>
    </row>
    <row r="98" spans="1:40" ht="30" customHeight="1">
      <c r="A98" s="634"/>
      <c r="B98" s="634"/>
      <c r="C98" s="392" t="s">
        <v>2855</v>
      </c>
      <c r="D98" s="397" t="s">
        <v>2855</v>
      </c>
      <c r="E98" s="205" t="s">
        <v>2863</v>
      </c>
      <c r="F98" s="397">
        <v>6976</v>
      </c>
      <c r="G98" s="802">
        <f t="shared" si="100"/>
        <v>0</v>
      </c>
      <c r="H98" s="207">
        <f t="shared" si="101"/>
        <v>0</v>
      </c>
      <c r="I98" s="207">
        <f t="shared" si="102"/>
        <v>0</v>
      </c>
      <c r="J98" s="207">
        <f t="shared" si="138"/>
        <v>0</v>
      </c>
      <c r="K98" s="207">
        <f t="shared" si="139"/>
        <v>0</v>
      </c>
      <c r="L98" s="207">
        <f t="shared" si="105"/>
        <v>0</v>
      </c>
      <c r="M98" s="207">
        <f t="shared" si="106"/>
        <v>0</v>
      </c>
      <c r="N98" s="207">
        <f t="shared" si="107"/>
        <v>0</v>
      </c>
      <c r="O98" s="207">
        <f t="shared" si="108"/>
        <v>0</v>
      </c>
      <c r="P98" s="207">
        <f t="shared" si="109"/>
        <v>0</v>
      </c>
      <c r="Q98" s="207">
        <f t="shared" si="110"/>
        <v>0</v>
      </c>
      <c r="R98" s="207">
        <f t="shared" si="111"/>
        <v>0</v>
      </c>
      <c r="S98" s="207">
        <f t="shared" si="112"/>
        <v>0</v>
      </c>
      <c r="T98" s="207">
        <f t="shared" si="113"/>
        <v>0</v>
      </c>
      <c r="U98" s="207">
        <f t="shared" si="114"/>
        <v>0</v>
      </c>
      <c r="V98" s="207">
        <f t="shared" si="140"/>
        <v>0</v>
      </c>
      <c r="W98" s="207">
        <f t="shared" si="141"/>
        <v>0</v>
      </c>
      <c r="X98" s="207">
        <f t="shared" si="142"/>
        <v>0</v>
      </c>
      <c r="Y98" s="207">
        <f t="shared" si="143"/>
        <v>0</v>
      </c>
      <c r="Z98" s="207">
        <f t="shared" si="119"/>
        <v>0</v>
      </c>
      <c r="AA98" s="207">
        <f t="shared" si="120"/>
        <v>0</v>
      </c>
      <c r="AB98" s="207">
        <f t="shared" si="121"/>
        <v>0</v>
      </c>
      <c r="AC98" s="207">
        <f t="shared" si="122"/>
        <v>0</v>
      </c>
      <c r="AD98" s="207">
        <f t="shared" si="123"/>
        <v>0</v>
      </c>
      <c r="AE98" s="207">
        <f t="shared" si="124"/>
        <v>0</v>
      </c>
      <c r="AF98" s="207">
        <f t="shared" si="125"/>
        <v>0</v>
      </c>
      <c r="AG98" s="207">
        <f t="shared" si="126"/>
        <v>0</v>
      </c>
      <c r="AH98" s="207">
        <f t="shared" si="127"/>
        <v>0</v>
      </c>
      <c r="AI98" s="207">
        <f t="shared" si="133"/>
        <v>0</v>
      </c>
      <c r="AJ98" s="207">
        <f t="shared" si="134"/>
        <v>0</v>
      </c>
      <c r="AK98" s="207">
        <f t="shared" si="135"/>
        <v>0</v>
      </c>
      <c r="AL98" s="207">
        <f t="shared" si="130"/>
        <v>0</v>
      </c>
      <c r="AM98" s="208">
        <f t="shared" si="136"/>
        <v>0</v>
      </c>
      <c r="AN98" s="1067"/>
    </row>
    <row r="99" spans="1:40" ht="30" customHeight="1">
      <c r="A99" s="634"/>
      <c r="B99" s="634"/>
      <c r="C99" s="392" t="s">
        <v>2856</v>
      </c>
      <c r="D99" s="397" t="s">
        <v>2856</v>
      </c>
      <c r="E99" s="205" t="s">
        <v>2864</v>
      </c>
      <c r="F99" s="397">
        <v>6977</v>
      </c>
      <c r="G99" s="802">
        <f t="shared" si="100"/>
        <v>0</v>
      </c>
      <c r="H99" s="207">
        <f t="shared" si="101"/>
        <v>0</v>
      </c>
      <c r="I99" s="207">
        <f t="shared" si="102"/>
        <v>0</v>
      </c>
      <c r="J99" s="207">
        <f t="shared" si="138"/>
        <v>0</v>
      </c>
      <c r="K99" s="207">
        <f t="shared" si="139"/>
        <v>0</v>
      </c>
      <c r="L99" s="207">
        <f t="shared" si="105"/>
        <v>0</v>
      </c>
      <c r="M99" s="207">
        <f t="shared" si="106"/>
        <v>0</v>
      </c>
      <c r="N99" s="207">
        <f t="shared" si="107"/>
        <v>0</v>
      </c>
      <c r="O99" s="207">
        <f t="shared" si="108"/>
        <v>0</v>
      </c>
      <c r="P99" s="207">
        <f t="shared" si="109"/>
        <v>0</v>
      </c>
      <c r="Q99" s="207">
        <f t="shared" si="110"/>
        <v>0</v>
      </c>
      <c r="R99" s="207">
        <f t="shared" si="111"/>
        <v>0</v>
      </c>
      <c r="S99" s="207">
        <f t="shared" si="112"/>
        <v>0</v>
      </c>
      <c r="T99" s="207">
        <f t="shared" si="113"/>
        <v>0</v>
      </c>
      <c r="U99" s="207">
        <f t="shared" si="114"/>
        <v>0</v>
      </c>
      <c r="V99" s="207">
        <f t="shared" si="140"/>
        <v>0</v>
      </c>
      <c r="W99" s="207">
        <f t="shared" si="141"/>
        <v>0</v>
      </c>
      <c r="X99" s="207">
        <f t="shared" si="142"/>
        <v>0</v>
      </c>
      <c r="Y99" s="207">
        <f t="shared" si="143"/>
        <v>0</v>
      </c>
      <c r="Z99" s="207">
        <f t="shared" si="119"/>
        <v>0</v>
      </c>
      <c r="AA99" s="207">
        <f t="shared" si="120"/>
        <v>0</v>
      </c>
      <c r="AB99" s="207">
        <f t="shared" si="121"/>
        <v>0</v>
      </c>
      <c r="AC99" s="207">
        <f t="shared" si="122"/>
        <v>0</v>
      </c>
      <c r="AD99" s="207">
        <f t="shared" si="123"/>
        <v>0</v>
      </c>
      <c r="AE99" s="207">
        <f t="shared" si="124"/>
        <v>0</v>
      </c>
      <c r="AF99" s="207">
        <f t="shared" si="125"/>
        <v>0</v>
      </c>
      <c r="AG99" s="207">
        <f t="shared" si="126"/>
        <v>0</v>
      </c>
      <c r="AH99" s="207">
        <f t="shared" si="127"/>
        <v>0</v>
      </c>
      <c r="AI99" s="207">
        <f t="shared" si="133"/>
        <v>0</v>
      </c>
      <c r="AJ99" s="207">
        <f t="shared" si="134"/>
        <v>0</v>
      </c>
      <c r="AK99" s="207">
        <f t="shared" si="135"/>
        <v>0</v>
      </c>
      <c r="AL99" s="207">
        <f t="shared" si="130"/>
        <v>0</v>
      </c>
      <c r="AM99" s="208">
        <f t="shared" si="136"/>
        <v>0</v>
      </c>
      <c r="AN99" s="1067"/>
    </row>
    <row r="100" spans="1:40" ht="30" customHeight="1">
      <c r="A100" s="634"/>
      <c r="B100" s="634"/>
      <c r="C100" s="392" t="s">
        <v>2857</v>
      </c>
      <c r="D100" s="397" t="s">
        <v>2857</v>
      </c>
      <c r="E100" s="205" t="s">
        <v>2865</v>
      </c>
      <c r="F100" s="397">
        <v>6978</v>
      </c>
      <c r="G100" s="801">
        <f t="shared" si="100"/>
        <v>0</v>
      </c>
      <c r="H100" s="635">
        <f t="shared" si="101"/>
        <v>0</v>
      </c>
      <c r="I100" s="211">
        <f t="shared" si="102"/>
        <v>0</v>
      </c>
      <c r="J100" s="211">
        <f t="shared" si="138"/>
        <v>0</v>
      </c>
      <c r="K100" s="211">
        <f t="shared" si="139"/>
        <v>0</v>
      </c>
      <c r="L100" s="211">
        <f t="shared" si="105"/>
        <v>0</v>
      </c>
      <c r="M100" s="211">
        <f t="shared" si="106"/>
        <v>0</v>
      </c>
      <c r="N100" s="211">
        <f t="shared" si="107"/>
        <v>0</v>
      </c>
      <c r="O100" s="211">
        <f t="shared" si="108"/>
        <v>0</v>
      </c>
      <c r="P100" s="211">
        <f t="shared" si="109"/>
        <v>0</v>
      </c>
      <c r="Q100" s="211">
        <f t="shared" si="110"/>
        <v>0</v>
      </c>
      <c r="R100" s="211">
        <f t="shared" si="111"/>
        <v>0</v>
      </c>
      <c r="S100" s="211">
        <f t="shared" si="112"/>
        <v>0</v>
      </c>
      <c r="T100" s="211">
        <f t="shared" si="113"/>
        <v>0</v>
      </c>
      <c r="U100" s="211">
        <f t="shared" si="114"/>
        <v>0</v>
      </c>
      <c r="V100" s="211">
        <f t="shared" si="140"/>
        <v>0</v>
      </c>
      <c r="W100" s="211">
        <f t="shared" si="141"/>
        <v>0</v>
      </c>
      <c r="X100" s="211">
        <f t="shared" si="142"/>
        <v>0</v>
      </c>
      <c r="Y100" s="211">
        <f t="shared" si="143"/>
        <v>0</v>
      </c>
      <c r="Z100" s="211">
        <f t="shared" si="119"/>
        <v>0</v>
      </c>
      <c r="AA100" s="211">
        <f t="shared" si="120"/>
        <v>0</v>
      </c>
      <c r="AB100" s="211">
        <f t="shared" si="121"/>
        <v>0</v>
      </c>
      <c r="AC100" s="211">
        <f t="shared" si="122"/>
        <v>0</v>
      </c>
      <c r="AD100" s="211">
        <f t="shared" si="123"/>
        <v>0</v>
      </c>
      <c r="AE100" s="211">
        <f t="shared" si="124"/>
        <v>0</v>
      </c>
      <c r="AF100" s="211">
        <f t="shared" si="125"/>
        <v>0</v>
      </c>
      <c r="AG100" s="211">
        <f t="shared" si="126"/>
        <v>0</v>
      </c>
      <c r="AH100" s="211">
        <f t="shared" si="127"/>
        <v>0</v>
      </c>
      <c r="AI100" s="211">
        <f t="shared" si="133"/>
        <v>0</v>
      </c>
      <c r="AJ100" s="211">
        <f t="shared" si="134"/>
        <v>0</v>
      </c>
      <c r="AK100" s="211">
        <f t="shared" si="135"/>
        <v>0</v>
      </c>
      <c r="AL100" s="211">
        <f t="shared" si="130"/>
        <v>0</v>
      </c>
      <c r="AM100" s="212">
        <f t="shared" si="136"/>
        <v>0</v>
      </c>
      <c r="AN100" s="1067"/>
    </row>
    <row r="101" spans="1:40" ht="30" customHeight="1">
      <c r="A101" s="1633" t="s">
        <v>2850</v>
      </c>
      <c r="B101" s="827"/>
      <c r="C101" s="201" t="s">
        <v>1690</v>
      </c>
      <c r="D101" s="290" t="s">
        <v>1690</v>
      </c>
      <c r="E101" s="201" t="s">
        <v>1720</v>
      </c>
      <c r="F101" s="290"/>
      <c r="G101" s="802">
        <f t="shared" si="100"/>
        <v>2</v>
      </c>
      <c r="H101" s="398">
        <f t="shared" si="101"/>
        <v>0</v>
      </c>
      <c r="I101" s="398">
        <f t="shared" si="102"/>
        <v>0</v>
      </c>
      <c r="J101" s="398">
        <f t="shared" si="138"/>
        <v>0</v>
      </c>
      <c r="K101" s="398">
        <f t="shared" si="139"/>
        <v>0</v>
      </c>
      <c r="L101" s="398">
        <f t="shared" si="105"/>
        <v>0</v>
      </c>
      <c r="M101" s="398">
        <f t="shared" si="106"/>
        <v>0</v>
      </c>
      <c r="N101" s="398">
        <f t="shared" si="107"/>
        <v>0</v>
      </c>
      <c r="O101" s="398">
        <f t="shared" si="108"/>
        <v>0</v>
      </c>
      <c r="P101" s="398">
        <f t="shared" si="109"/>
        <v>0</v>
      </c>
      <c r="Q101" s="398">
        <f t="shared" si="110"/>
        <v>0</v>
      </c>
      <c r="R101" s="398">
        <f t="shared" si="111"/>
        <v>0</v>
      </c>
      <c r="S101" s="398">
        <f t="shared" si="112"/>
        <v>0</v>
      </c>
      <c r="T101" s="398">
        <f t="shared" si="113"/>
        <v>0</v>
      </c>
      <c r="U101" s="398">
        <f t="shared" si="114"/>
        <v>0</v>
      </c>
      <c r="V101" s="398">
        <f t="shared" si="140"/>
        <v>0</v>
      </c>
      <c r="W101" s="398">
        <f t="shared" si="141"/>
        <v>0</v>
      </c>
      <c r="X101" s="398">
        <f t="shared" si="142"/>
        <v>0</v>
      </c>
      <c r="Y101" s="398">
        <f t="shared" si="143"/>
        <v>0</v>
      </c>
      <c r="Z101" s="398">
        <f t="shared" si="119"/>
        <v>0</v>
      </c>
      <c r="AA101" s="398">
        <f t="shared" si="120"/>
        <v>0</v>
      </c>
      <c r="AB101" s="398">
        <f t="shared" si="121"/>
        <v>0</v>
      </c>
      <c r="AC101" s="398">
        <f t="shared" si="122"/>
        <v>0</v>
      </c>
      <c r="AD101" s="398">
        <f t="shared" si="123"/>
        <v>0</v>
      </c>
      <c r="AE101" s="398">
        <f t="shared" si="124"/>
        <v>0</v>
      </c>
      <c r="AF101" s="398">
        <f t="shared" si="125"/>
        <v>0</v>
      </c>
      <c r="AG101" s="398">
        <f t="shared" si="126"/>
        <v>0</v>
      </c>
      <c r="AH101" s="398">
        <f t="shared" si="127"/>
        <v>2</v>
      </c>
      <c r="AI101" s="398">
        <f t="shared" si="133"/>
        <v>0</v>
      </c>
      <c r="AJ101" s="398">
        <f t="shared" si="134"/>
        <v>0</v>
      </c>
      <c r="AK101" s="398">
        <f t="shared" si="135"/>
        <v>0</v>
      </c>
      <c r="AL101" s="398">
        <f t="shared" si="130"/>
        <v>0</v>
      </c>
      <c r="AM101" s="399">
        <f t="shared" si="136"/>
        <v>0</v>
      </c>
      <c r="AN101" s="1067"/>
    </row>
    <row r="102" spans="1:40" ht="30" customHeight="1">
      <c r="A102" s="1634"/>
      <c r="B102" s="827"/>
      <c r="C102" s="392" t="s">
        <v>1717</v>
      </c>
      <c r="D102" s="397" t="s">
        <v>1717</v>
      </c>
      <c r="E102" s="392" t="s">
        <v>1718</v>
      </c>
      <c r="F102" s="397"/>
      <c r="G102" s="802">
        <f t="shared" si="100"/>
        <v>1</v>
      </c>
      <c r="H102" s="207">
        <f t="shared" si="101"/>
        <v>0</v>
      </c>
      <c r="I102" s="207">
        <f t="shared" si="102"/>
        <v>0</v>
      </c>
      <c r="J102" s="207">
        <f t="shared" si="138"/>
        <v>0</v>
      </c>
      <c r="K102" s="207">
        <f t="shared" si="139"/>
        <v>0</v>
      </c>
      <c r="L102" s="207">
        <f t="shared" si="105"/>
        <v>0</v>
      </c>
      <c r="M102" s="207">
        <f t="shared" si="106"/>
        <v>0</v>
      </c>
      <c r="N102" s="207">
        <f t="shared" si="107"/>
        <v>0</v>
      </c>
      <c r="O102" s="207">
        <f t="shared" si="108"/>
        <v>0</v>
      </c>
      <c r="P102" s="207">
        <f t="shared" si="109"/>
        <v>0</v>
      </c>
      <c r="Q102" s="207">
        <f t="shared" si="110"/>
        <v>0</v>
      </c>
      <c r="R102" s="207">
        <f t="shared" si="111"/>
        <v>0</v>
      </c>
      <c r="S102" s="207">
        <f t="shared" si="112"/>
        <v>0</v>
      </c>
      <c r="T102" s="207">
        <f t="shared" si="113"/>
        <v>0</v>
      </c>
      <c r="U102" s="207">
        <f t="shared" si="114"/>
        <v>0</v>
      </c>
      <c r="V102" s="207">
        <f t="shared" si="140"/>
        <v>0</v>
      </c>
      <c r="W102" s="207">
        <f t="shared" si="141"/>
        <v>0</v>
      </c>
      <c r="X102" s="207">
        <f t="shared" si="142"/>
        <v>0</v>
      </c>
      <c r="Y102" s="207">
        <f t="shared" si="143"/>
        <v>0</v>
      </c>
      <c r="Z102" s="207">
        <f t="shared" si="119"/>
        <v>0</v>
      </c>
      <c r="AA102" s="207">
        <f t="shared" si="120"/>
        <v>0</v>
      </c>
      <c r="AB102" s="207">
        <f t="shared" si="121"/>
        <v>0</v>
      </c>
      <c r="AC102" s="207">
        <f t="shared" si="122"/>
        <v>0</v>
      </c>
      <c r="AD102" s="207">
        <f t="shared" si="123"/>
        <v>0</v>
      </c>
      <c r="AE102" s="207">
        <f t="shared" si="124"/>
        <v>0</v>
      </c>
      <c r="AF102" s="207">
        <f t="shared" si="125"/>
        <v>0</v>
      </c>
      <c r="AG102" s="207">
        <f t="shared" si="126"/>
        <v>0</v>
      </c>
      <c r="AH102" s="207">
        <f t="shared" si="127"/>
        <v>1</v>
      </c>
      <c r="AI102" s="207">
        <f t="shared" si="133"/>
        <v>0</v>
      </c>
      <c r="AJ102" s="207">
        <f t="shared" si="134"/>
        <v>0</v>
      </c>
      <c r="AK102" s="207">
        <f t="shared" si="135"/>
        <v>0</v>
      </c>
      <c r="AL102" s="207">
        <f t="shared" si="130"/>
        <v>0</v>
      </c>
      <c r="AM102" s="208">
        <f t="shared" si="136"/>
        <v>0</v>
      </c>
      <c r="AN102" s="1067"/>
    </row>
    <row r="103" spans="1:40" ht="30" customHeight="1">
      <c r="A103" s="274"/>
      <c r="B103" s="827"/>
      <c r="C103" s="205" t="s">
        <v>1691</v>
      </c>
      <c r="D103" s="291" t="s">
        <v>1691</v>
      </c>
      <c r="E103" s="205" t="s">
        <v>1721</v>
      </c>
      <c r="F103" s="291"/>
      <c r="G103" s="802">
        <f t="shared" ref="G103:G116" si="144">SUM(H103:AM103)</f>
        <v>4</v>
      </c>
      <c r="H103" s="207">
        <f t="shared" si="101"/>
        <v>0</v>
      </c>
      <c r="I103" s="207">
        <f t="shared" si="102"/>
        <v>0</v>
      </c>
      <c r="J103" s="207">
        <f t="shared" si="138"/>
        <v>0</v>
      </c>
      <c r="K103" s="207">
        <f t="shared" si="139"/>
        <v>0</v>
      </c>
      <c r="L103" s="207">
        <f t="shared" si="105"/>
        <v>0</v>
      </c>
      <c r="M103" s="207">
        <f t="shared" si="106"/>
        <v>0</v>
      </c>
      <c r="N103" s="207">
        <f t="shared" si="107"/>
        <v>0</v>
      </c>
      <c r="O103" s="207">
        <f t="shared" si="108"/>
        <v>0</v>
      </c>
      <c r="P103" s="207">
        <f t="shared" si="109"/>
        <v>0</v>
      </c>
      <c r="Q103" s="207">
        <f t="shared" si="110"/>
        <v>0</v>
      </c>
      <c r="R103" s="207">
        <f t="shared" si="111"/>
        <v>0</v>
      </c>
      <c r="S103" s="207">
        <f t="shared" si="112"/>
        <v>0</v>
      </c>
      <c r="T103" s="207">
        <f t="shared" si="113"/>
        <v>0</v>
      </c>
      <c r="U103" s="207">
        <f t="shared" si="114"/>
        <v>0</v>
      </c>
      <c r="V103" s="207">
        <f t="shared" si="140"/>
        <v>0</v>
      </c>
      <c r="W103" s="207">
        <f t="shared" si="141"/>
        <v>0</v>
      </c>
      <c r="X103" s="207">
        <f t="shared" si="142"/>
        <v>0</v>
      </c>
      <c r="Y103" s="207">
        <f t="shared" si="143"/>
        <v>0</v>
      </c>
      <c r="Z103" s="207">
        <f t="shared" si="119"/>
        <v>0</v>
      </c>
      <c r="AA103" s="207">
        <f t="shared" si="120"/>
        <v>0</v>
      </c>
      <c r="AB103" s="207">
        <f t="shared" si="121"/>
        <v>0</v>
      </c>
      <c r="AC103" s="207">
        <f t="shared" si="122"/>
        <v>0</v>
      </c>
      <c r="AD103" s="207">
        <f t="shared" si="123"/>
        <v>0</v>
      </c>
      <c r="AE103" s="207">
        <f t="shared" si="124"/>
        <v>0</v>
      </c>
      <c r="AF103" s="207">
        <f t="shared" si="125"/>
        <v>0</v>
      </c>
      <c r="AG103" s="207">
        <f t="shared" si="126"/>
        <v>0</v>
      </c>
      <c r="AH103" s="207">
        <f t="shared" si="127"/>
        <v>4</v>
      </c>
      <c r="AI103" s="207">
        <f t="shared" si="133"/>
        <v>0</v>
      </c>
      <c r="AJ103" s="207">
        <f t="shared" si="134"/>
        <v>0</v>
      </c>
      <c r="AK103" s="207">
        <f t="shared" si="135"/>
        <v>0</v>
      </c>
      <c r="AL103" s="207">
        <f t="shared" si="130"/>
        <v>0</v>
      </c>
      <c r="AM103" s="208">
        <f t="shared" si="136"/>
        <v>0</v>
      </c>
      <c r="AN103" s="1067"/>
    </row>
    <row r="104" spans="1:40" ht="30" customHeight="1">
      <c r="A104" s="274"/>
      <c r="B104" s="827"/>
      <c r="C104" s="205" t="s">
        <v>1719</v>
      </c>
      <c r="D104" s="291" t="s">
        <v>1719</v>
      </c>
      <c r="E104" s="205" t="s">
        <v>1722</v>
      </c>
      <c r="F104" s="291"/>
      <c r="G104" s="802">
        <f t="shared" si="144"/>
        <v>0</v>
      </c>
      <c r="H104" s="207">
        <f t="shared" si="101"/>
        <v>0</v>
      </c>
      <c r="I104" s="207">
        <f t="shared" si="102"/>
        <v>0</v>
      </c>
      <c r="J104" s="207">
        <f t="shared" si="138"/>
        <v>0</v>
      </c>
      <c r="K104" s="207">
        <f t="shared" si="139"/>
        <v>0</v>
      </c>
      <c r="L104" s="207">
        <f t="shared" si="105"/>
        <v>0</v>
      </c>
      <c r="M104" s="207">
        <f t="shared" si="106"/>
        <v>0</v>
      </c>
      <c r="N104" s="207">
        <f t="shared" si="107"/>
        <v>0</v>
      </c>
      <c r="O104" s="207">
        <f t="shared" si="108"/>
        <v>0</v>
      </c>
      <c r="P104" s="207">
        <f t="shared" si="109"/>
        <v>0</v>
      </c>
      <c r="Q104" s="207">
        <f t="shared" si="110"/>
        <v>0</v>
      </c>
      <c r="R104" s="207">
        <f t="shared" si="111"/>
        <v>0</v>
      </c>
      <c r="S104" s="207">
        <f t="shared" si="112"/>
        <v>0</v>
      </c>
      <c r="T104" s="207">
        <f t="shared" si="113"/>
        <v>0</v>
      </c>
      <c r="U104" s="207">
        <f t="shared" si="114"/>
        <v>0</v>
      </c>
      <c r="V104" s="207">
        <f t="shared" si="140"/>
        <v>0</v>
      </c>
      <c r="W104" s="207">
        <f t="shared" si="141"/>
        <v>0</v>
      </c>
      <c r="X104" s="207">
        <f t="shared" si="142"/>
        <v>0</v>
      </c>
      <c r="Y104" s="207">
        <f t="shared" si="143"/>
        <v>0</v>
      </c>
      <c r="Z104" s="207">
        <f t="shared" si="119"/>
        <v>0</v>
      </c>
      <c r="AA104" s="207">
        <f t="shared" si="120"/>
        <v>0</v>
      </c>
      <c r="AB104" s="207">
        <f t="shared" si="121"/>
        <v>0</v>
      </c>
      <c r="AC104" s="207">
        <f t="shared" si="122"/>
        <v>0</v>
      </c>
      <c r="AD104" s="207">
        <f t="shared" si="123"/>
        <v>0</v>
      </c>
      <c r="AE104" s="207">
        <f t="shared" si="124"/>
        <v>0</v>
      </c>
      <c r="AF104" s="207">
        <f t="shared" si="125"/>
        <v>0</v>
      </c>
      <c r="AG104" s="207">
        <f t="shared" si="126"/>
        <v>0</v>
      </c>
      <c r="AH104" s="207">
        <f t="shared" si="127"/>
        <v>0</v>
      </c>
      <c r="AI104" s="207">
        <f t="shared" si="133"/>
        <v>0</v>
      </c>
      <c r="AJ104" s="207">
        <f t="shared" si="134"/>
        <v>0</v>
      </c>
      <c r="AK104" s="207">
        <f t="shared" si="135"/>
        <v>0</v>
      </c>
      <c r="AL104" s="207">
        <f t="shared" si="130"/>
        <v>0</v>
      </c>
      <c r="AM104" s="208">
        <f t="shared" si="136"/>
        <v>0</v>
      </c>
      <c r="AN104" s="1067"/>
    </row>
    <row r="105" spans="1:40" ht="30" customHeight="1">
      <c r="A105" s="274"/>
      <c r="B105" s="827"/>
      <c r="C105" s="205" t="s">
        <v>1692</v>
      </c>
      <c r="D105" s="291" t="s">
        <v>1692</v>
      </c>
      <c r="E105" s="205" t="s">
        <v>1723</v>
      </c>
      <c r="F105" s="291"/>
      <c r="G105" s="802">
        <f t="shared" si="144"/>
        <v>37</v>
      </c>
      <c r="H105" s="207">
        <f t="shared" si="101"/>
        <v>0</v>
      </c>
      <c r="I105" s="207">
        <f t="shared" si="102"/>
        <v>0</v>
      </c>
      <c r="J105" s="207">
        <f t="shared" si="138"/>
        <v>0</v>
      </c>
      <c r="K105" s="207">
        <f t="shared" si="139"/>
        <v>0</v>
      </c>
      <c r="L105" s="207">
        <f t="shared" si="105"/>
        <v>0</v>
      </c>
      <c r="M105" s="207">
        <f t="shared" si="106"/>
        <v>0</v>
      </c>
      <c r="N105" s="207">
        <f t="shared" si="107"/>
        <v>0</v>
      </c>
      <c r="O105" s="207">
        <f t="shared" si="108"/>
        <v>0</v>
      </c>
      <c r="P105" s="207">
        <f t="shared" si="109"/>
        <v>0</v>
      </c>
      <c r="Q105" s="207">
        <f t="shared" si="110"/>
        <v>0</v>
      </c>
      <c r="R105" s="207">
        <f t="shared" si="111"/>
        <v>0</v>
      </c>
      <c r="S105" s="207">
        <f t="shared" si="112"/>
        <v>0</v>
      </c>
      <c r="T105" s="207">
        <f t="shared" si="113"/>
        <v>0</v>
      </c>
      <c r="U105" s="207">
        <f t="shared" si="114"/>
        <v>0</v>
      </c>
      <c r="V105" s="207">
        <f t="shared" si="140"/>
        <v>0</v>
      </c>
      <c r="W105" s="207">
        <f t="shared" si="141"/>
        <v>0</v>
      </c>
      <c r="X105" s="207">
        <f t="shared" si="142"/>
        <v>0</v>
      </c>
      <c r="Y105" s="207">
        <f t="shared" si="143"/>
        <v>0</v>
      </c>
      <c r="Z105" s="207">
        <f t="shared" si="119"/>
        <v>0</v>
      </c>
      <c r="AA105" s="207">
        <f t="shared" si="120"/>
        <v>0</v>
      </c>
      <c r="AB105" s="207">
        <f t="shared" si="121"/>
        <v>0</v>
      </c>
      <c r="AC105" s="207">
        <f t="shared" si="122"/>
        <v>0</v>
      </c>
      <c r="AD105" s="207">
        <f t="shared" si="123"/>
        <v>0</v>
      </c>
      <c r="AE105" s="207">
        <f t="shared" si="124"/>
        <v>0</v>
      </c>
      <c r="AF105" s="207">
        <f t="shared" si="125"/>
        <v>0</v>
      </c>
      <c r="AG105" s="207">
        <f t="shared" si="126"/>
        <v>0</v>
      </c>
      <c r="AH105" s="207">
        <f t="shared" si="127"/>
        <v>0</v>
      </c>
      <c r="AI105" s="207">
        <f t="shared" si="133"/>
        <v>0</v>
      </c>
      <c r="AJ105" s="207">
        <f t="shared" si="134"/>
        <v>0</v>
      </c>
      <c r="AK105" s="207">
        <f t="shared" si="135"/>
        <v>37</v>
      </c>
      <c r="AL105" s="207">
        <f t="shared" si="130"/>
        <v>0</v>
      </c>
      <c r="AM105" s="208">
        <f t="shared" si="136"/>
        <v>0</v>
      </c>
      <c r="AN105" s="1067"/>
    </row>
    <row r="106" spans="1:40" ht="30" customHeight="1">
      <c r="A106" s="274"/>
      <c r="B106" s="827"/>
      <c r="C106" s="205" t="s">
        <v>1725</v>
      </c>
      <c r="D106" s="291" t="s">
        <v>1725</v>
      </c>
      <c r="E106" s="205" t="s">
        <v>1724</v>
      </c>
      <c r="F106" s="291"/>
      <c r="G106" s="802">
        <f t="shared" si="144"/>
        <v>2</v>
      </c>
      <c r="H106" s="207">
        <f t="shared" si="101"/>
        <v>0</v>
      </c>
      <c r="I106" s="207">
        <f t="shared" si="102"/>
        <v>0</v>
      </c>
      <c r="J106" s="207">
        <f t="shared" si="138"/>
        <v>0</v>
      </c>
      <c r="K106" s="207">
        <f t="shared" si="139"/>
        <v>0</v>
      </c>
      <c r="L106" s="207">
        <f t="shared" si="105"/>
        <v>0</v>
      </c>
      <c r="M106" s="207">
        <f t="shared" si="106"/>
        <v>0</v>
      </c>
      <c r="N106" s="207">
        <f t="shared" si="107"/>
        <v>0</v>
      </c>
      <c r="O106" s="207">
        <f t="shared" si="108"/>
        <v>0</v>
      </c>
      <c r="P106" s="207">
        <f t="shared" si="109"/>
        <v>0</v>
      </c>
      <c r="Q106" s="207">
        <f t="shared" si="110"/>
        <v>0</v>
      </c>
      <c r="R106" s="207">
        <f t="shared" si="111"/>
        <v>0</v>
      </c>
      <c r="S106" s="207">
        <f t="shared" si="112"/>
        <v>0</v>
      </c>
      <c r="T106" s="207">
        <f t="shared" si="113"/>
        <v>0</v>
      </c>
      <c r="U106" s="207">
        <f t="shared" si="114"/>
        <v>1</v>
      </c>
      <c r="V106" s="207">
        <f t="shared" si="140"/>
        <v>0</v>
      </c>
      <c r="W106" s="207">
        <f t="shared" si="141"/>
        <v>0</v>
      </c>
      <c r="X106" s="207">
        <f t="shared" si="142"/>
        <v>0</v>
      </c>
      <c r="Y106" s="207">
        <f t="shared" si="143"/>
        <v>0</v>
      </c>
      <c r="Z106" s="207">
        <f t="shared" si="119"/>
        <v>0</v>
      </c>
      <c r="AA106" s="207">
        <f t="shared" si="120"/>
        <v>0</v>
      </c>
      <c r="AB106" s="207">
        <f t="shared" si="121"/>
        <v>0</v>
      </c>
      <c r="AC106" s="207">
        <f t="shared" si="122"/>
        <v>0</v>
      </c>
      <c r="AD106" s="207">
        <f t="shared" si="123"/>
        <v>0</v>
      </c>
      <c r="AE106" s="207">
        <f t="shared" si="124"/>
        <v>0</v>
      </c>
      <c r="AF106" s="207">
        <f t="shared" si="125"/>
        <v>0</v>
      </c>
      <c r="AG106" s="207">
        <f t="shared" si="126"/>
        <v>0</v>
      </c>
      <c r="AH106" s="207">
        <f t="shared" si="127"/>
        <v>1</v>
      </c>
      <c r="AI106" s="207">
        <f t="shared" si="133"/>
        <v>0</v>
      </c>
      <c r="AJ106" s="207">
        <f t="shared" si="134"/>
        <v>0</v>
      </c>
      <c r="AK106" s="207">
        <f t="shared" si="135"/>
        <v>0</v>
      </c>
      <c r="AL106" s="207">
        <f t="shared" si="130"/>
        <v>0</v>
      </c>
      <c r="AM106" s="208">
        <f t="shared" si="136"/>
        <v>0</v>
      </c>
      <c r="AN106" s="1067"/>
    </row>
    <row r="107" spans="1:40" ht="30" customHeight="1">
      <c r="A107" s="274"/>
      <c r="B107" s="827"/>
      <c r="C107" s="205" t="s">
        <v>1726</v>
      </c>
      <c r="D107" s="291" t="s">
        <v>1726</v>
      </c>
      <c r="E107" s="205" t="s">
        <v>1727</v>
      </c>
      <c r="F107" s="291"/>
      <c r="G107" s="801">
        <f t="shared" si="144"/>
        <v>0</v>
      </c>
      <c r="H107" s="211">
        <f t="shared" si="101"/>
        <v>0</v>
      </c>
      <c r="I107" s="211">
        <f t="shared" si="102"/>
        <v>0</v>
      </c>
      <c r="J107" s="211">
        <f t="shared" si="138"/>
        <v>0</v>
      </c>
      <c r="K107" s="211">
        <f t="shared" si="139"/>
        <v>0</v>
      </c>
      <c r="L107" s="211">
        <f t="shared" si="105"/>
        <v>0</v>
      </c>
      <c r="M107" s="211">
        <f t="shared" si="106"/>
        <v>0</v>
      </c>
      <c r="N107" s="211">
        <f t="shared" si="107"/>
        <v>0</v>
      </c>
      <c r="O107" s="211">
        <f t="shared" si="108"/>
        <v>0</v>
      </c>
      <c r="P107" s="211">
        <f t="shared" si="109"/>
        <v>0</v>
      </c>
      <c r="Q107" s="211">
        <f t="shared" si="110"/>
        <v>0</v>
      </c>
      <c r="R107" s="211">
        <f t="shared" si="111"/>
        <v>0</v>
      </c>
      <c r="S107" s="211">
        <f t="shared" si="112"/>
        <v>0</v>
      </c>
      <c r="T107" s="211">
        <f t="shared" si="113"/>
        <v>0</v>
      </c>
      <c r="U107" s="211">
        <f t="shared" si="114"/>
        <v>0</v>
      </c>
      <c r="V107" s="211">
        <f t="shared" si="140"/>
        <v>0</v>
      </c>
      <c r="W107" s="211">
        <f t="shared" si="141"/>
        <v>0</v>
      </c>
      <c r="X107" s="211">
        <f t="shared" si="142"/>
        <v>0</v>
      </c>
      <c r="Y107" s="211">
        <f t="shared" si="143"/>
        <v>0</v>
      </c>
      <c r="Z107" s="211">
        <f t="shared" si="119"/>
        <v>0</v>
      </c>
      <c r="AA107" s="211">
        <f t="shared" si="120"/>
        <v>0</v>
      </c>
      <c r="AB107" s="211">
        <f t="shared" si="121"/>
        <v>0</v>
      </c>
      <c r="AC107" s="211">
        <f t="shared" si="122"/>
        <v>0</v>
      </c>
      <c r="AD107" s="211">
        <f t="shared" si="123"/>
        <v>0</v>
      </c>
      <c r="AE107" s="211">
        <f t="shared" si="124"/>
        <v>0</v>
      </c>
      <c r="AF107" s="211">
        <f t="shared" si="125"/>
        <v>0</v>
      </c>
      <c r="AG107" s="211">
        <f t="shared" si="126"/>
        <v>0</v>
      </c>
      <c r="AH107" s="211">
        <f t="shared" si="127"/>
        <v>0</v>
      </c>
      <c r="AI107" s="211">
        <f t="shared" si="133"/>
        <v>0</v>
      </c>
      <c r="AJ107" s="211">
        <f t="shared" si="134"/>
        <v>0</v>
      </c>
      <c r="AK107" s="207">
        <f t="shared" si="135"/>
        <v>0</v>
      </c>
      <c r="AL107" s="207">
        <f t="shared" si="130"/>
        <v>0</v>
      </c>
      <c r="AM107" s="208">
        <f t="shared" si="136"/>
        <v>0</v>
      </c>
      <c r="AN107" s="1067"/>
    </row>
    <row r="108" spans="1:40" ht="30" customHeight="1">
      <c r="A108" s="1635" t="s">
        <v>1787</v>
      </c>
      <c r="B108" s="1021"/>
      <c r="C108" s="201" t="s">
        <v>1543</v>
      </c>
      <c r="D108" s="290" t="s">
        <v>1543</v>
      </c>
      <c r="E108" s="201" t="s">
        <v>1544</v>
      </c>
      <c r="F108" s="290"/>
      <c r="G108" s="802">
        <f t="shared" si="144"/>
        <v>0</v>
      </c>
      <c r="H108" s="398">
        <f t="shared" ref="H108:H135" si="145">COUNTIF(Area_v1RISHER,$C108)</f>
        <v>0</v>
      </c>
      <c r="I108" s="398">
        <f t="shared" ref="I108:I135" si="146">COUNTIF(Area_v2RISHER,$C108)</f>
        <v>0</v>
      </c>
      <c r="J108" s="398">
        <f t="shared" si="138"/>
        <v>0</v>
      </c>
      <c r="K108" s="398">
        <f t="shared" si="139"/>
        <v>0</v>
      </c>
      <c r="L108" s="398">
        <f t="shared" ref="L108:L135" si="147">COUNTIF(Area_v1HER,$C108)</f>
        <v>0</v>
      </c>
      <c r="M108" s="398">
        <f t="shared" ref="M108:M135" si="148">COUNTIF(Area_v2HER,$C108)</f>
        <v>0</v>
      </c>
      <c r="N108" s="398">
        <f t="shared" ref="N108:N135" si="149">COUNTIF(Area_v3HER,$C108)</f>
        <v>0</v>
      </c>
      <c r="O108" s="398">
        <f t="shared" ref="O108:O135" si="150">COUNTIF(Area_v4HER,$C108)</f>
        <v>0</v>
      </c>
      <c r="P108" s="398">
        <f t="shared" ref="P108:P135" si="151">COUNTIF(Area_v5HER,$C108)</f>
        <v>0</v>
      </c>
      <c r="Q108" s="398">
        <f t="shared" ref="Q108:Q135" si="152">COUNTIF(Area_v6HER,$C108)</f>
        <v>0</v>
      </c>
      <c r="R108" s="398">
        <f t="shared" ref="R108:R135" si="153">COUNTIF(Area_v1HERTSA,$C108)</f>
        <v>0</v>
      </c>
      <c r="S108" s="398">
        <f t="shared" ref="S108:S135" si="154">COUNTIF(Area_v2HERTSA,$C108)</f>
        <v>0</v>
      </c>
      <c r="T108" s="398">
        <f t="shared" ref="T108:T135" si="155">COUNTIF(Area_v3HERTSA,$C108)</f>
        <v>0</v>
      </c>
      <c r="U108" s="398">
        <f t="shared" si="114"/>
        <v>0</v>
      </c>
      <c r="V108" s="398">
        <f t="shared" si="140"/>
        <v>0</v>
      </c>
      <c r="W108" s="398">
        <f t="shared" si="141"/>
        <v>0</v>
      </c>
      <c r="X108" s="398">
        <f t="shared" si="142"/>
        <v>0</v>
      </c>
      <c r="Y108" s="398">
        <f t="shared" si="143"/>
        <v>0</v>
      </c>
      <c r="Z108" s="398">
        <f t="shared" ref="Z108:Z135" si="156">COUNTIF(Area_v51HERTSA,$C108)</f>
        <v>0</v>
      </c>
      <c r="AA108" s="398">
        <f t="shared" ref="AA108:AA135" si="157">COUNTIF(Area_v52HERTSA,$C108)</f>
        <v>0</v>
      </c>
      <c r="AB108" s="398">
        <f t="shared" ref="AB108:AB135" si="158">COUNTIF(Area_v53HERTSA,$C108)</f>
        <v>0</v>
      </c>
      <c r="AC108" s="398">
        <f t="shared" ref="AC108:AC135" si="159">COUNTIF(Area_v1TSA,$C108)</f>
        <v>0</v>
      </c>
      <c r="AD108" s="398">
        <f t="shared" ref="AD108:AD135" si="160">COUNTIF(Area_v2TSA,$C108)</f>
        <v>0</v>
      </c>
      <c r="AE108" s="398">
        <f t="shared" ref="AE108:AE135" si="161">COUNTIF(Area_v3TSA,$C108)</f>
        <v>0</v>
      </c>
      <c r="AF108" s="398">
        <f t="shared" ref="AF108:AF135" si="162">COUNTIF(Area_v4TSA,$C108)</f>
        <v>0</v>
      </c>
      <c r="AG108" s="398">
        <f t="shared" ref="AG108:AG135" si="163">COUNTIF(Area_v5TSA,$C108)</f>
        <v>0</v>
      </c>
      <c r="AH108" s="398">
        <f t="shared" ref="AH108:AH135" si="164">COUNTIF(Area_v6TSA,$C108)</f>
        <v>0</v>
      </c>
      <c r="AI108" s="398">
        <f t="shared" si="133"/>
        <v>0</v>
      </c>
      <c r="AJ108" s="398">
        <f t="shared" si="134"/>
        <v>0</v>
      </c>
      <c r="AK108" s="202">
        <f t="shared" si="135"/>
        <v>0</v>
      </c>
      <c r="AL108" s="202">
        <f t="shared" ref="AL108:AL135" si="165">COUNTIF(Area_v4THAHOLON,$C108)</f>
        <v>0</v>
      </c>
      <c r="AM108" s="203">
        <f t="shared" si="136"/>
        <v>0</v>
      </c>
      <c r="AN108" s="1067"/>
    </row>
    <row r="109" spans="1:40" ht="30" customHeight="1">
      <c r="A109" s="1635"/>
      <c r="B109" s="1021"/>
      <c r="C109" s="392" t="s">
        <v>1728</v>
      </c>
      <c r="D109" s="397" t="s">
        <v>1728</v>
      </c>
      <c r="E109" s="392" t="s">
        <v>1714</v>
      </c>
      <c r="F109" s="397"/>
      <c r="G109" s="802">
        <f t="shared" si="144"/>
        <v>0</v>
      </c>
      <c r="H109" s="207">
        <f t="shared" si="145"/>
        <v>0</v>
      </c>
      <c r="I109" s="207">
        <f t="shared" si="146"/>
        <v>0</v>
      </c>
      <c r="J109" s="207">
        <f t="shared" si="138"/>
        <v>0</v>
      </c>
      <c r="K109" s="207">
        <f t="shared" si="139"/>
        <v>0</v>
      </c>
      <c r="L109" s="207">
        <f t="shared" si="147"/>
        <v>0</v>
      </c>
      <c r="M109" s="207">
        <f t="shared" si="148"/>
        <v>0</v>
      </c>
      <c r="N109" s="207">
        <f t="shared" si="149"/>
        <v>0</v>
      </c>
      <c r="O109" s="207">
        <f t="shared" si="150"/>
        <v>0</v>
      </c>
      <c r="P109" s="207">
        <f t="shared" si="151"/>
        <v>0</v>
      </c>
      <c r="Q109" s="207">
        <f t="shared" si="152"/>
        <v>0</v>
      </c>
      <c r="R109" s="207">
        <f t="shared" si="153"/>
        <v>0</v>
      </c>
      <c r="S109" s="207">
        <f t="shared" si="154"/>
        <v>0</v>
      </c>
      <c r="T109" s="207">
        <f t="shared" si="155"/>
        <v>0</v>
      </c>
      <c r="U109" s="207">
        <f t="shared" si="114"/>
        <v>0</v>
      </c>
      <c r="V109" s="207">
        <f t="shared" si="140"/>
        <v>0</v>
      </c>
      <c r="W109" s="207">
        <f t="shared" si="141"/>
        <v>0</v>
      </c>
      <c r="X109" s="207">
        <f t="shared" si="142"/>
        <v>0</v>
      </c>
      <c r="Y109" s="207">
        <f t="shared" si="143"/>
        <v>0</v>
      </c>
      <c r="Z109" s="207">
        <f t="shared" si="156"/>
        <v>0</v>
      </c>
      <c r="AA109" s="207">
        <f t="shared" si="157"/>
        <v>0</v>
      </c>
      <c r="AB109" s="207">
        <f t="shared" si="158"/>
        <v>0</v>
      </c>
      <c r="AC109" s="207">
        <f t="shared" si="159"/>
        <v>0</v>
      </c>
      <c r="AD109" s="207">
        <f t="shared" si="160"/>
        <v>0</v>
      </c>
      <c r="AE109" s="207">
        <f t="shared" si="161"/>
        <v>0</v>
      </c>
      <c r="AF109" s="207">
        <f t="shared" si="162"/>
        <v>0</v>
      </c>
      <c r="AG109" s="207">
        <f t="shared" si="163"/>
        <v>0</v>
      </c>
      <c r="AH109" s="207">
        <f t="shared" si="164"/>
        <v>0</v>
      </c>
      <c r="AI109" s="207">
        <f t="shared" si="133"/>
        <v>0</v>
      </c>
      <c r="AJ109" s="207">
        <f t="shared" si="134"/>
        <v>0</v>
      </c>
      <c r="AK109" s="207">
        <f t="shared" si="135"/>
        <v>0</v>
      </c>
      <c r="AL109" s="207">
        <f t="shared" si="165"/>
        <v>0</v>
      </c>
      <c r="AM109" s="208">
        <f t="shared" si="136"/>
        <v>0</v>
      </c>
      <c r="AN109" s="1067"/>
    </row>
    <row r="110" spans="1:40" ht="30" customHeight="1">
      <c r="A110" s="1636"/>
      <c r="B110" s="1021"/>
      <c r="C110" s="205" t="s">
        <v>1545</v>
      </c>
      <c r="D110" s="291" t="s">
        <v>1545</v>
      </c>
      <c r="E110" s="205" t="s">
        <v>1546</v>
      </c>
      <c r="F110" s="291"/>
      <c r="G110" s="802">
        <f t="shared" si="144"/>
        <v>0</v>
      </c>
      <c r="H110" s="207">
        <f t="shared" si="145"/>
        <v>0</v>
      </c>
      <c r="I110" s="207">
        <f t="shared" si="146"/>
        <v>0</v>
      </c>
      <c r="J110" s="207">
        <f t="shared" si="138"/>
        <v>0</v>
      </c>
      <c r="K110" s="207">
        <f t="shared" si="139"/>
        <v>0</v>
      </c>
      <c r="L110" s="207">
        <f t="shared" si="147"/>
        <v>0</v>
      </c>
      <c r="M110" s="207">
        <f t="shared" si="148"/>
        <v>0</v>
      </c>
      <c r="N110" s="207">
        <f t="shared" si="149"/>
        <v>0</v>
      </c>
      <c r="O110" s="207">
        <f t="shared" si="150"/>
        <v>0</v>
      </c>
      <c r="P110" s="207">
        <f t="shared" si="151"/>
        <v>0</v>
      </c>
      <c r="Q110" s="207">
        <f t="shared" si="152"/>
        <v>0</v>
      </c>
      <c r="R110" s="207">
        <f t="shared" si="153"/>
        <v>0</v>
      </c>
      <c r="S110" s="207">
        <f t="shared" si="154"/>
        <v>0</v>
      </c>
      <c r="T110" s="207">
        <f t="shared" si="155"/>
        <v>0</v>
      </c>
      <c r="U110" s="207">
        <f t="shared" si="114"/>
        <v>0</v>
      </c>
      <c r="V110" s="207">
        <f t="shared" si="140"/>
        <v>0</v>
      </c>
      <c r="W110" s="207">
        <f t="shared" si="141"/>
        <v>0</v>
      </c>
      <c r="X110" s="207">
        <f t="shared" si="142"/>
        <v>0</v>
      </c>
      <c r="Y110" s="207">
        <f t="shared" si="143"/>
        <v>0</v>
      </c>
      <c r="Z110" s="207">
        <f t="shared" si="156"/>
        <v>0</v>
      </c>
      <c r="AA110" s="207">
        <f t="shared" si="157"/>
        <v>0</v>
      </c>
      <c r="AB110" s="207">
        <f t="shared" si="158"/>
        <v>0</v>
      </c>
      <c r="AC110" s="207">
        <f t="shared" si="159"/>
        <v>0</v>
      </c>
      <c r="AD110" s="207">
        <f t="shared" si="160"/>
        <v>0</v>
      </c>
      <c r="AE110" s="207">
        <f t="shared" si="161"/>
        <v>0</v>
      </c>
      <c r="AF110" s="207">
        <f t="shared" si="162"/>
        <v>0</v>
      </c>
      <c r="AG110" s="207">
        <f t="shared" si="163"/>
        <v>0</v>
      </c>
      <c r="AH110" s="207">
        <f t="shared" si="164"/>
        <v>0</v>
      </c>
      <c r="AI110" s="207">
        <f t="shared" si="133"/>
        <v>0</v>
      </c>
      <c r="AJ110" s="207">
        <f t="shared" si="134"/>
        <v>0</v>
      </c>
      <c r="AK110" s="207">
        <f t="shared" si="135"/>
        <v>0</v>
      </c>
      <c r="AL110" s="207">
        <f t="shared" si="165"/>
        <v>0</v>
      </c>
      <c r="AM110" s="208">
        <f t="shared" si="136"/>
        <v>0</v>
      </c>
      <c r="AN110" s="1067"/>
    </row>
    <row r="111" spans="1:40" ht="30" customHeight="1">
      <c r="A111" s="281"/>
      <c r="B111" s="1021"/>
      <c r="C111" s="205" t="s">
        <v>1730</v>
      </c>
      <c r="D111" s="291" t="s">
        <v>1730</v>
      </c>
      <c r="E111" s="205" t="s">
        <v>1729</v>
      </c>
      <c r="F111" s="291"/>
      <c r="G111" s="802">
        <f t="shared" si="144"/>
        <v>0</v>
      </c>
      <c r="H111" s="207">
        <f t="shared" si="145"/>
        <v>0</v>
      </c>
      <c r="I111" s="207">
        <f t="shared" si="146"/>
        <v>0</v>
      </c>
      <c r="J111" s="207">
        <f t="shared" si="138"/>
        <v>0</v>
      </c>
      <c r="K111" s="207">
        <f t="shared" si="139"/>
        <v>0</v>
      </c>
      <c r="L111" s="207">
        <f t="shared" si="147"/>
        <v>0</v>
      </c>
      <c r="M111" s="207">
        <f t="shared" si="148"/>
        <v>0</v>
      </c>
      <c r="N111" s="207">
        <f t="shared" si="149"/>
        <v>0</v>
      </c>
      <c r="O111" s="207">
        <f t="shared" si="150"/>
        <v>0</v>
      </c>
      <c r="P111" s="207">
        <f t="shared" si="151"/>
        <v>0</v>
      </c>
      <c r="Q111" s="207">
        <f t="shared" si="152"/>
        <v>0</v>
      </c>
      <c r="R111" s="207">
        <f t="shared" si="153"/>
        <v>0</v>
      </c>
      <c r="S111" s="207">
        <f t="shared" si="154"/>
        <v>0</v>
      </c>
      <c r="T111" s="207">
        <f t="shared" si="155"/>
        <v>0</v>
      </c>
      <c r="U111" s="207">
        <f t="shared" si="114"/>
        <v>0</v>
      </c>
      <c r="V111" s="207">
        <f t="shared" si="140"/>
        <v>0</v>
      </c>
      <c r="W111" s="207">
        <f t="shared" si="141"/>
        <v>0</v>
      </c>
      <c r="X111" s="207">
        <f t="shared" si="142"/>
        <v>0</v>
      </c>
      <c r="Y111" s="207">
        <f t="shared" si="143"/>
        <v>0</v>
      </c>
      <c r="Z111" s="207">
        <f t="shared" si="156"/>
        <v>0</v>
      </c>
      <c r="AA111" s="207">
        <f t="shared" si="157"/>
        <v>0</v>
      </c>
      <c r="AB111" s="207">
        <f t="shared" si="158"/>
        <v>0</v>
      </c>
      <c r="AC111" s="207">
        <f t="shared" si="159"/>
        <v>0</v>
      </c>
      <c r="AD111" s="207">
        <f t="shared" si="160"/>
        <v>0</v>
      </c>
      <c r="AE111" s="207">
        <f t="shared" si="161"/>
        <v>0</v>
      </c>
      <c r="AF111" s="207">
        <f t="shared" si="162"/>
        <v>0</v>
      </c>
      <c r="AG111" s="207">
        <f t="shared" si="163"/>
        <v>0</v>
      </c>
      <c r="AH111" s="207">
        <f t="shared" si="164"/>
        <v>0</v>
      </c>
      <c r="AI111" s="207">
        <f t="shared" si="133"/>
        <v>0</v>
      </c>
      <c r="AJ111" s="207">
        <f t="shared" si="134"/>
        <v>0</v>
      </c>
      <c r="AK111" s="207">
        <f t="shared" si="135"/>
        <v>0</v>
      </c>
      <c r="AL111" s="207">
        <f t="shared" si="165"/>
        <v>0</v>
      </c>
      <c r="AM111" s="208">
        <f t="shared" si="136"/>
        <v>0</v>
      </c>
      <c r="AN111" s="1067"/>
    </row>
    <row r="112" spans="1:40" ht="30" customHeight="1">
      <c r="A112" s="281"/>
      <c r="B112" s="1021"/>
      <c r="C112" s="205" t="s">
        <v>1547</v>
      </c>
      <c r="D112" s="291" t="s">
        <v>1547</v>
      </c>
      <c r="E112" s="205" t="s">
        <v>1548</v>
      </c>
      <c r="F112" s="291"/>
      <c r="G112" s="802">
        <f t="shared" si="144"/>
        <v>0</v>
      </c>
      <c r="H112" s="207">
        <f t="shared" si="145"/>
        <v>0</v>
      </c>
      <c r="I112" s="207">
        <f t="shared" si="146"/>
        <v>0</v>
      </c>
      <c r="J112" s="207">
        <f t="shared" si="138"/>
        <v>0</v>
      </c>
      <c r="K112" s="207">
        <f t="shared" si="139"/>
        <v>0</v>
      </c>
      <c r="L112" s="207">
        <f t="shared" si="147"/>
        <v>0</v>
      </c>
      <c r="M112" s="207">
        <f t="shared" si="148"/>
        <v>0</v>
      </c>
      <c r="N112" s="207">
        <f t="shared" si="149"/>
        <v>0</v>
      </c>
      <c r="O112" s="207">
        <f t="shared" si="150"/>
        <v>0</v>
      </c>
      <c r="P112" s="207">
        <f t="shared" si="151"/>
        <v>0</v>
      </c>
      <c r="Q112" s="207">
        <f t="shared" si="152"/>
        <v>0</v>
      </c>
      <c r="R112" s="207">
        <f t="shared" si="153"/>
        <v>0</v>
      </c>
      <c r="S112" s="207">
        <f t="shared" si="154"/>
        <v>0</v>
      </c>
      <c r="T112" s="207">
        <f t="shared" si="155"/>
        <v>0</v>
      </c>
      <c r="U112" s="207">
        <f t="shared" si="114"/>
        <v>0</v>
      </c>
      <c r="V112" s="207">
        <f t="shared" si="140"/>
        <v>0</v>
      </c>
      <c r="W112" s="207">
        <f t="shared" si="141"/>
        <v>0</v>
      </c>
      <c r="X112" s="207">
        <f t="shared" si="142"/>
        <v>0</v>
      </c>
      <c r="Y112" s="207">
        <f t="shared" si="143"/>
        <v>0</v>
      </c>
      <c r="Z112" s="207">
        <f t="shared" si="156"/>
        <v>0</v>
      </c>
      <c r="AA112" s="207">
        <f t="shared" si="157"/>
        <v>0</v>
      </c>
      <c r="AB112" s="207">
        <f t="shared" si="158"/>
        <v>0</v>
      </c>
      <c r="AC112" s="207">
        <f t="shared" si="159"/>
        <v>0</v>
      </c>
      <c r="AD112" s="207">
        <f t="shared" si="160"/>
        <v>0</v>
      </c>
      <c r="AE112" s="207">
        <f t="shared" si="161"/>
        <v>0</v>
      </c>
      <c r="AF112" s="207">
        <f t="shared" si="162"/>
        <v>0</v>
      </c>
      <c r="AG112" s="207">
        <f t="shared" si="163"/>
        <v>0</v>
      </c>
      <c r="AH112" s="207">
        <f t="shared" si="164"/>
        <v>0</v>
      </c>
      <c r="AI112" s="207">
        <f t="shared" si="133"/>
        <v>0</v>
      </c>
      <c r="AJ112" s="207">
        <f t="shared" si="134"/>
        <v>0</v>
      </c>
      <c r="AK112" s="207">
        <f t="shared" si="135"/>
        <v>0</v>
      </c>
      <c r="AL112" s="207">
        <f t="shared" si="165"/>
        <v>0</v>
      </c>
      <c r="AM112" s="208">
        <f t="shared" si="136"/>
        <v>0</v>
      </c>
      <c r="AN112" s="1067"/>
    </row>
    <row r="113" spans="1:40" ht="30" customHeight="1">
      <c r="A113" s="281"/>
      <c r="B113" s="1021"/>
      <c r="C113" s="205" t="s">
        <v>1731</v>
      </c>
      <c r="D113" s="291" t="s">
        <v>1731</v>
      </c>
      <c r="E113" s="205" t="s">
        <v>1732</v>
      </c>
      <c r="F113" s="291"/>
      <c r="G113" s="802">
        <f t="shared" si="144"/>
        <v>0</v>
      </c>
      <c r="H113" s="207">
        <f t="shared" si="145"/>
        <v>0</v>
      </c>
      <c r="I113" s="207">
        <f t="shared" si="146"/>
        <v>0</v>
      </c>
      <c r="J113" s="207">
        <f t="shared" si="138"/>
        <v>0</v>
      </c>
      <c r="K113" s="207">
        <f t="shared" si="139"/>
        <v>0</v>
      </c>
      <c r="L113" s="207">
        <f t="shared" si="147"/>
        <v>0</v>
      </c>
      <c r="M113" s="207">
        <f t="shared" si="148"/>
        <v>0</v>
      </c>
      <c r="N113" s="207">
        <f t="shared" si="149"/>
        <v>0</v>
      </c>
      <c r="O113" s="207">
        <f t="shared" si="150"/>
        <v>0</v>
      </c>
      <c r="P113" s="207">
        <f t="shared" si="151"/>
        <v>0</v>
      </c>
      <c r="Q113" s="207">
        <f t="shared" si="152"/>
        <v>0</v>
      </c>
      <c r="R113" s="207">
        <f t="shared" si="153"/>
        <v>0</v>
      </c>
      <c r="S113" s="207">
        <f t="shared" si="154"/>
        <v>0</v>
      </c>
      <c r="T113" s="207">
        <f t="shared" si="155"/>
        <v>0</v>
      </c>
      <c r="U113" s="207">
        <f t="shared" si="114"/>
        <v>0</v>
      </c>
      <c r="V113" s="207">
        <f t="shared" si="140"/>
        <v>0</v>
      </c>
      <c r="W113" s="207">
        <f t="shared" si="141"/>
        <v>0</v>
      </c>
      <c r="X113" s="207">
        <f t="shared" si="142"/>
        <v>0</v>
      </c>
      <c r="Y113" s="207">
        <f t="shared" si="143"/>
        <v>0</v>
      </c>
      <c r="Z113" s="207">
        <f t="shared" si="156"/>
        <v>0</v>
      </c>
      <c r="AA113" s="207">
        <f t="shared" si="157"/>
        <v>0</v>
      </c>
      <c r="AB113" s="207">
        <f t="shared" si="158"/>
        <v>0</v>
      </c>
      <c r="AC113" s="207">
        <f t="shared" si="159"/>
        <v>0</v>
      </c>
      <c r="AD113" s="207">
        <f t="shared" si="160"/>
        <v>0</v>
      </c>
      <c r="AE113" s="207">
        <f t="shared" si="161"/>
        <v>0</v>
      </c>
      <c r="AF113" s="207">
        <f t="shared" si="162"/>
        <v>0</v>
      </c>
      <c r="AG113" s="207">
        <f t="shared" si="163"/>
        <v>0</v>
      </c>
      <c r="AH113" s="207">
        <f t="shared" si="164"/>
        <v>0</v>
      </c>
      <c r="AI113" s="207">
        <f t="shared" si="133"/>
        <v>0</v>
      </c>
      <c r="AJ113" s="207">
        <f t="shared" si="134"/>
        <v>0</v>
      </c>
      <c r="AK113" s="207">
        <f t="shared" si="135"/>
        <v>0</v>
      </c>
      <c r="AL113" s="207">
        <f t="shared" si="165"/>
        <v>0</v>
      </c>
      <c r="AM113" s="208">
        <f t="shared" si="136"/>
        <v>0</v>
      </c>
      <c r="AN113" s="1067"/>
    </row>
    <row r="114" spans="1:40" ht="30" customHeight="1">
      <c r="A114" s="281"/>
      <c r="B114" s="1021"/>
      <c r="C114" s="205" t="s">
        <v>1733</v>
      </c>
      <c r="D114" s="291" t="s">
        <v>1733</v>
      </c>
      <c r="E114" s="205" t="s">
        <v>1732</v>
      </c>
      <c r="F114" s="291"/>
      <c r="G114" s="802">
        <f t="shared" si="144"/>
        <v>0</v>
      </c>
      <c r="H114" s="207">
        <f t="shared" si="145"/>
        <v>0</v>
      </c>
      <c r="I114" s="207">
        <f t="shared" si="146"/>
        <v>0</v>
      </c>
      <c r="J114" s="207">
        <f t="shared" ref="J114:J140" si="166">COUNTIF(Area_v1RAANHER,$C114)</f>
        <v>0</v>
      </c>
      <c r="K114" s="207">
        <f t="shared" ref="K114:K140" si="167">COUNTIF(Area_v2RAANHER,$C114)</f>
        <v>0</v>
      </c>
      <c r="L114" s="207">
        <f t="shared" si="147"/>
        <v>0</v>
      </c>
      <c r="M114" s="207">
        <f t="shared" si="148"/>
        <v>0</v>
      </c>
      <c r="N114" s="207">
        <f t="shared" si="149"/>
        <v>0</v>
      </c>
      <c r="O114" s="207">
        <f t="shared" si="150"/>
        <v>0</v>
      </c>
      <c r="P114" s="207">
        <f t="shared" si="151"/>
        <v>0</v>
      </c>
      <c r="Q114" s="207">
        <f t="shared" si="152"/>
        <v>0</v>
      </c>
      <c r="R114" s="207">
        <f t="shared" si="153"/>
        <v>0</v>
      </c>
      <c r="S114" s="207">
        <f t="shared" si="154"/>
        <v>0</v>
      </c>
      <c r="T114" s="207">
        <f t="shared" si="155"/>
        <v>0</v>
      </c>
      <c r="U114" s="207">
        <f t="shared" si="114"/>
        <v>0</v>
      </c>
      <c r="V114" s="207">
        <f t="shared" ref="V114:V140" si="168">COUNTIF(Area_v5HERTSA,$C114)</f>
        <v>0</v>
      </c>
      <c r="W114" s="207">
        <f t="shared" ref="W114:W140" si="169">COUNTIF(Area_v5BBRHER,$C114)</f>
        <v>0</v>
      </c>
      <c r="X114" s="207">
        <f t="shared" ref="X114:X140" si="170">COUNTIF(Area_v1BBRTUN,$C114)</f>
        <v>0</v>
      </c>
      <c r="Y114" s="207">
        <f t="shared" ref="Y114:Y140" si="171">COUNTIF(Area_v2BBRTUN,$C114)</f>
        <v>0</v>
      </c>
      <c r="Z114" s="207">
        <f t="shared" si="156"/>
        <v>0</v>
      </c>
      <c r="AA114" s="207">
        <f t="shared" si="157"/>
        <v>0</v>
      </c>
      <c r="AB114" s="207">
        <f t="shared" si="158"/>
        <v>0</v>
      </c>
      <c r="AC114" s="207">
        <f t="shared" si="159"/>
        <v>0</v>
      </c>
      <c r="AD114" s="207">
        <f t="shared" si="160"/>
        <v>0</v>
      </c>
      <c r="AE114" s="207">
        <f t="shared" si="161"/>
        <v>0</v>
      </c>
      <c r="AF114" s="207">
        <f t="shared" si="162"/>
        <v>0</v>
      </c>
      <c r="AG114" s="207">
        <f t="shared" si="163"/>
        <v>0</v>
      </c>
      <c r="AH114" s="207">
        <f t="shared" si="164"/>
        <v>0</v>
      </c>
      <c r="AI114" s="207">
        <f t="shared" si="133"/>
        <v>0</v>
      </c>
      <c r="AJ114" s="207">
        <f t="shared" si="134"/>
        <v>0</v>
      </c>
      <c r="AK114" s="207">
        <f t="shared" si="135"/>
        <v>0</v>
      </c>
      <c r="AL114" s="207">
        <f t="shared" si="165"/>
        <v>0</v>
      </c>
      <c r="AM114" s="208">
        <f t="shared" si="136"/>
        <v>0</v>
      </c>
      <c r="AN114" s="1067"/>
    </row>
    <row r="115" spans="1:40" ht="30" customHeight="1">
      <c r="A115" s="1002"/>
      <c r="B115" s="1005"/>
      <c r="C115" s="1003" t="s">
        <v>2402</v>
      </c>
      <c r="D115" s="1004"/>
      <c r="E115" s="1003" t="s">
        <v>4465</v>
      </c>
      <c r="F115" s="1004"/>
      <c r="G115" s="1178">
        <f t="shared" si="144"/>
        <v>36</v>
      </c>
      <c r="H115" s="1179">
        <f t="shared" si="145"/>
        <v>0</v>
      </c>
      <c r="I115" s="1179">
        <f t="shared" si="146"/>
        <v>0</v>
      </c>
      <c r="J115" s="1179">
        <f t="shared" si="166"/>
        <v>0</v>
      </c>
      <c r="K115" s="1179">
        <f t="shared" si="167"/>
        <v>0</v>
      </c>
      <c r="L115" s="1179">
        <f t="shared" si="147"/>
        <v>3</v>
      </c>
      <c r="M115" s="1179">
        <f t="shared" si="148"/>
        <v>0</v>
      </c>
      <c r="N115" s="1179">
        <f t="shared" si="149"/>
        <v>0</v>
      </c>
      <c r="O115" s="1179">
        <f t="shared" si="150"/>
        <v>4</v>
      </c>
      <c r="P115" s="1179">
        <f t="shared" si="151"/>
        <v>0</v>
      </c>
      <c r="Q115" s="1179">
        <f t="shared" si="152"/>
        <v>0</v>
      </c>
      <c r="R115" s="1179">
        <f t="shared" si="153"/>
        <v>0</v>
      </c>
      <c r="S115" s="1179">
        <f t="shared" si="154"/>
        <v>0</v>
      </c>
      <c r="T115" s="1179">
        <f t="shared" si="155"/>
        <v>1</v>
      </c>
      <c r="U115" s="1179">
        <f t="shared" si="114"/>
        <v>0</v>
      </c>
      <c r="V115" s="1179">
        <f t="shared" si="168"/>
        <v>0</v>
      </c>
      <c r="W115" s="1179">
        <f t="shared" si="169"/>
        <v>2</v>
      </c>
      <c r="X115" s="1179">
        <f t="shared" si="170"/>
        <v>1</v>
      </c>
      <c r="Y115" s="1179">
        <f t="shared" si="171"/>
        <v>2</v>
      </c>
      <c r="Z115" s="1179">
        <f t="shared" si="156"/>
        <v>0</v>
      </c>
      <c r="AA115" s="1179">
        <f t="shared" si="157"/>
        <v>0</v>
      </c>
      <c r="AB115" s="1179">
        <f t="shared" si="158"/>
        <v>0</v>
      </c>
      <c r="AC115" s="1179">
        <f t="shared" si="159"/>
        <v>0</v>
      </c>
      <c r="AD115" s="1179">
        <f t="shared" si="160"/>
        <v>0</v>
      </c>
      <c r="AE115" s="1179">
        <f t="shared" si="161"/>
        <v>0</v>
      </c>
      <c r="AF115" s="1179">
        <f t="shared" si="162"/>
        <v>0</v>
      </c>
      <c r="AG115" s="1179">
        <f t="shared" si="163"/>
        <v>0</v>
      </c>
      <c r="AH115" s="1179">
        <f t="shared" si="164"/>
        <v>0</v>
      </c>
      <c r="AI115" s="1179">
        <f t="shared" si="133"/>
        <v>0</v>
      </c>
      <c r="AJ115" s="1179">
        <f t="shared" si="134"/>
        <v>0</v>
      </c>
      <c r="AK115" s="1179">
        <f t="shared" si="135"/>
        <v>0</v>
      </c>
      <c r="AL115" s="1179">
        <f t="shared" si="165"/>
        <v>10</v>
      </c>
      <c r="AM115" s="1180">
        <f t="shared" si="136"/>
        <v>13</v>
      </c>
      <c r="AN115" s="1181"/>
    </row>
    <row r="116" spans="1:40" ht="30" customHeight="1">
      <c r="A116" s="1005"/>
      <c r="B116" s="1005"/>
      <c r="C116" s="1006" t="s">
        <v>2811</v>
      </c>
      <c r="D116" s="1007"/>
      <c r="E116" s="1006" t="s">
        <v>4464</v>
      </c>
      <c r="F116" s="1007"/>
      <c r="G116" s="1182">
        <f t="shared" si="144"/>
        <v>108</v>
      </c>
      <c r="H116" s="1157">
        <f t="shared" si="145"/>
        <v>0</v>
      </c>
      <c r="I116" s="1157">
        <f t="shared" si="146"/>
        <v>0</v>
      </c>
      <c r="J116" s="1157">
        <f t="shared" si="166"/>
        <v>0</v>
      </c>
      <c r="K116" s="1157">
        <f t="shared" si="167"/>
        <v>0</v>
      </c>
      <c r="L116" s="1157">
        <f t="shared" si="147"/>
        <v>0</v>
      </c>
      <c r="M116" s="1157">
        <f t="shared" si="148"/>
        <v>0</v>
      </c>
      <c r="N116" s="1157">
        <f t="shared" si="149"/>
        <v>0</v>
      </c>
      <c r="O116" s="1157">
        <f t="shared" si="150"/>
        <v>0</v>
      </c>
      <c r="P116" s="1157">
        <f t="shared" si="151"/>
        <v>0</v>
      </c>
      <c r="Q116" s="1157">
        <f t="shared" si="152"/>
        <v>0</v>
      </c>
      <c r="R116" s="1157">
        <f t="shared" si="153"/>
        <v>5</v>
      </c>
      <c r="S116" s="1157">
        <f t="shared" si="154"/>
        <v>0</v>
      </c>
      <c r="T116" s="1157">
        <f t="shared" si="155"/>
        <v>2</v>
      </c>
      <c r="U116" s="1157">
        <f t="shared" si="114"/>
        <v>7</v>
      </c>
      <c r="V116" s="1157">
        <f t="shared" si="168"/>
        <v>0</v>
      </c>
      <c r="W116" s="1157">
        <f t="shared" si="169"/>
        <v>0</v>
      </c>
      <c r="X116" s="1157">
        <f t="shared" si="170"/>
        <v>12</v>
      </c>
      <c r="Y116" s="1157">
        <f t="shared" si="171"/>
        <v>12</v>
      </c>
      <c r="Z116" s="1157">
        <f t="shared" si="156"/>
        <v>0</v>
      </c>
      <c r="AA116" s="1157">
        <f t="shared" si="157"/>
        <v>0</v>
      </c>
      <c r="AB116" s="1157">
        <f t="shared" si="158"/>
        <v>0</v>
      </c>
      <c r="AC116" s="1157">
        <f t="shared" si="159"/>
        <v>0</v>
      </c>
      <c r="AD116" s="1157">
        <f t="shared" si="160"/>
        <v>0</v>
      </c>
      <c r="AE116" s="1157">
        <f t="shared" si="161"/>
        <v>2</v>
      </c>
      <c r="AF116" s="1157">
        <f t="shared" si="162"/>
        <v>0</v>
      </c>
      <c r="AG116" s="1157">
        <f t="shared" si="163"/>
        <v>2</v>
      </c>
      <c r="AH116" s="1157">
        <f t="shared" si="164"/>
        <v>1</v>
      </c>
      <c r="AI116" s="1157">
        <f t="shared" si="133"/>
        <v>8</v>
      </c>
      <c r="AJ116" s="1157">
        <f t="shared" si="134"/>
        <v>2</v>
      </c>
      <c r="AK116" s="1157">
        <f t="shared" si="135"/>
        <v>43</v>
      </c>
      <c r="AL116" s="1157">
        <f t="shared" si="165"/>
        <v>2</v>
      </c>
      <c r="AM116" s="1158">
        <f t="shared" si="136"/>
        <v>10</v>
      </c>
      <c r="AN116" s="1181"/>
    </row>
    <row r="117" spans="1:40" ht="30" customHeight="1">
      <c r="A117" s="408" t="s">
        <v>815</v>
      </c>
      <c r="B117" s="827"/>
      <c r="C117" s="201" t="s">
        <v>2884</v>
      </c>
      <c r="D117" s="290" t="s">
        <v>2884</v>
      </c>
      <c r="E117" s="201" t="s">
        <v>1734</v>
      </c>
      <c r="F117" s="290"/>
      <c r="G117" s="802">
        <f t="shared" ref="G117:G125" si="172">SUM(H117:AM117)</f>
        <v>7</v>
      </c>
      <c r="H117" s="398">
        <f t="shared" si="145"/>
        <v>0</v>
      </c>
      <c r="I117" s="398">
        <f t="shared" si="146"/>
        <v>0</v>
      </c>
      <c r="J117" s="398">
        <f t="shared" si="166"/>
        <v>0</v>
      </c>
      <c r="K117" s="398">
        <f t="shared" si="167"/>
        <v>1</v>
      </c>
      <c r="L117" s="398">
        <f t="shared" si="147"/>
        <v>0</v>
      </c>
      <c r="M117" s="398">
        <f t="shared" si="148"/>
        <v>0</v>
      </c>
      <c r="N117" s="398">
        <f t="shared" si="149"/>
        <v>0</v>
      </c>
      <c r="O117" s="398">
        <f t="shared" si="150"/>
        <v>0</v>
      </c>
      <c r="P117" s="398">
        <f t="shared" si="151"/>
        <v>2</v>
      </c>
      <c r="Q117" s="398">
        <f t="shared" si="152"/>
        <v>0</v>
      </c>
      <c r="R117" s="398">
        <f t="shared" si="153"/>
        <v>0</v>
      </c>
      <c r="S117" s="398">
        <f t="shared" si="154"/>
        <v>0</v>
      </c>
      <c r="T117" s="398">
        <f t="shared" si="155"/>
        <v>0</v>
      </c>
      <c r="U117" s="398">
        <f t="shared" si="114"/>
        <v>3</v>
      </c>
      <c r="V117" s="398">
        <f t="shared" si="168"/>
        <v>0</v>
      </c>
      <c r="W117" s="398">
        <f t="shared" si="169"/>
        <v>0</v>
      </c>
      <c r="X117" s="398">
        <f t="shared" si="170"/>
        <v>0</v>
      </c>
      <c r="Y117" s="398">
        <f t="shared" si="171"/>
        <v>0</v>
      </c>
      <c r="Z117" s="398">
        <f t="shared" si="156"/>
        <v>0</v>
      </c>
      <c r="AA117" s="398">
        <f t="shared" si="157"/>
        <v>0</v>
      </c>
      <c r="AB117" s="398">
        <f t="shared" si="158"/>
        <v>0</v>
      </c>
      <c r="AC117" s="398">
        <f t="shared" si="159"/>
        <v>0</v>
      </c>
      <c r="AD117" s="398">
        <f t="shared" si="160"/>
        <v>0</v>
      </c>
      <c r="AE117" s="398">
        <f t="shared" si="161"/>
        <v>0</v>
      </c>
      <c r="AF117" s="398">
        <f t="shared" si="162"/>
        <v>0</v>
      </c>
      <c r="AG117" s="398">
        <f t="shared" si="163"/>
        <v>0</v>
      </c>
      <c r="AH117" s="398">
        <f t="shared" si="164"/>
        <v>0</v>
      </c>
      <c r="AI117" s="398">
        <f t="shared" si="133"/>
        <v>1</v>
      </c>
      <c r="AJ117" s="398">
        <f t="shared" si="134"/>
        <v>0</v>
      </c>
      <c r="AK117" s="398">
        <f t="shared" si="135"/>
        <v>0</v>
      </c>
      <c r="AL117" s="398">
        <f t="shared" si="165"/>
        <v>0</v>
      </c>
      <c r="AM117" s="399">
        <f t="shared" si="136"/>
        <v>0</v>
      </c>
      <c r="AN117" s="1067"/>
    </row>
    <row r="118" spans="1:40" ht="30" customHeight="1">
      <c r="A118" s="274"/>
      <c r="B118" s="827"/>
      <c r="C118" s="210" t="s">
        <v>2882</v>
      </c>
      <c r="D118" s="292" t="s">
        <v>2882</v>
      </c>
      <c r="E118" s="210" t="s">
        <v>1735</v>
      </c>
      <c r="F118" s="292"/>
      <c r="G118" s="801">
        <f t="shared" si="172"/>
        <v>9</v>
      </c>
      <c r="H118" s="211">
        <f t="shared" si="145"/>
        <v>0</v>
      </c>
      <c r="I118" s="211">
        <f t="shared" si="146"/>
        <v>0</v>
      </c>
      <c r="J118" s="211">
        <f t="shared" si="166"/>
        <v>1</v>
      </c>
      <c r="K118" s="211">
        <f t="shared" si="167"/>
        <v>1</v>
      </c>
      <c r="L118" s="211">
        <f t="shared" si="147"/>
        <v>0</v>
      </c>
      <c r="M118" s="211">
        <f t="shared" si="148"/>
        <v>1</v>
      </c>
      <c r="N118" s="211">
        <f t="shared" si="149"/>
        <v>0</v>
      </c>
      <c r="O118" s="211">
        <f t="shared" si="150"/>
        <v>0</v>
      </c>
      <c r="P118" s="211">
        <f t="shared" si="151"/>
        <v>2</v>
      </c>
      <c r="Q118" s="211">
        <f t="shared" si="152"/>
        <v>0</v>
      </c>
      <c r="R118" s="211">
        <f t="shared" si="153"/>
        <v>0</v>
      </c>
      <c r="S118" s="211">
        <f t="shared" si="154"/>
        <v>0</v>
      </c>
      <c r="T118" s="211">
        <f t="shared" si="155"/>
        <v>0</v>
      </c>
      <c r="U118" s="211">
        <f t="shared" si="114"/>
        <v>2</v>
      </c>
      <c r="V118" s="211">
        <f t="shared" si="168"/>
        <v>0</v>
      </c>
      <c r="W118" s="211">
        <f t="shared" si="169"/>
        <v>0</v>
      </c>
      <c r="X118" s="211">
        <f t="shared" si="170"/>
        <v>0</v>
      </c>
      <c r="Y118" s="211">
        <f t="shared" si="171"/>
        <v>0</v>
      </c>
      <c r="Z118" s="211">
        <f t="shared" si="156"/>
        <v>1</v>
      </c>
      <c r="AA118" s="211">
        <f t="shared" si="157"/>
        <v>0</v>
      </c>
      <c r="AB118" s="211">
        <f t="shared" si="158"/>
        <v>0</v>
      </c>
      <c r="AC118" s="211">
        <f t="shared" si="159"/>
        <v>0</v>
      </c>
      <c r="AD118" s="211">
        <f t="shared" si="160"/>
        <v>0</v>
      </c>
      <c r="AE118" s="211">
        <f t="shared" si="161"/>
        <v>0</v>
      </c>
      <c r="AF118" s="211">
        <f t="shared" si="162"/>
        <v>0</v>
      </c>
      <c r="AG118" s="211">
        <f t="shared" si="163"/>
        <v>0</v>
      </c>
      <c r="AH118" s="211">
        <f t="shared" si="164"/>
        <v>0</v>
      </c>
      <c r="AI118" s="211">
        <f t="shared" si="133"/>
        <v>1</v>
      </c>
      <c r="AJ118" s="211">
        <f t="shared" si="134"/>
        <v>0</v>
      </c>
      <c r="AK118" s="211">
        <f t="shared" si="135"/>
        <v>0</v>
      </c>
      <c r="AL118" s="211">
        <f t="shared" si="165"/>
        <v>0</v>
      </c>
      <c r="AM118" s="212">
        <f t="shared" si="136"/>
        <v>0</v>
      </c>
      <c r="AN118" s="1067"/>
    </row>
    <row r="119" spans="1:40" ht="30" customHeight="1">
      <c r="A119" s="281"/>
      <c r="B119" s="1021"/>
      <c r="C119" s="392" t="s">
        <v>1685</v>
      </c>
      <c r="D119" s="397" t="s">
        <v>1685</v>
      </c>
      <c r="E119" s="392" t="s">
        <v>1750</v>
      </c>
      <c r="F119" s="397"/>
      <c r="G119" s="802">
        <f t="shared" si="172"/>
        <v>24</v>
      </c>
      <c r="H119" s="398">
        <f t="shared" si="145"/>
        <v>0</v>
      </c>
      <c r="I119" s="398">
        <f t="shared" si="146"/>
        <v>0</v>
      </c>
      <c r="J119" s="398">
        <f t="shared" si="166"/>
        <v>0</v>
      </c>
      <c r="K119" s="398">
        <f t="shared" si="167"/>
        <v>0</v>
      </c>
      <c r="L119" s="398">
        <f t="shared" si="147"/>
        <v>0</v>
      </c>
      <c r="M119" s="398">
        <f t="shared" si="148"/>
        <v>0</v>
      </c>
      <c r="N119" s="398">
        <f t="shared" si="149"/>
        <v>0</v>
      </c>
      <c r="O119" s="398">
        <f t="shared" si="150"/>
        <v>0</v>
      </c>
      <c r="P119" s="398">
        <f t="shared" si="151"/>
        <v>0</v>
      </c>
      <c r="Q119" s="398">
        <f t="shared" si="152"/>
        <v>0</v>
      </c>
      <c r="R119" s="398">
        <f t="shared" si="153"/>
        <v>0</v>
      </c>
      <c r="S119" s="398">
        <f t="shared" si="154"/>
        <v>0</v>
      </c>
      <c r="T119" s="398">
        <f t="shared" si="155"/>
        <v>0</v>
      </c>
      <c r="U119" s="398">
        <f t="shared" si="114"/>
        <v>2</v>
      </c>
      <c r="V119" s="398">
        <f t="shared" si="168"/>
        <v>0</v>
      </c>
      <c r="W119" s="398">
        <f t="shared" si="169"/>
        <v>0</v>
      </c>
      <c r="X119" s="398">
        <f t="shared" si="170"/>
        <v>0</v>
      </c>
      <c r="Y119" s="398">
        <f t="shared" si="171"/>
        <v>0</v>
      </c>
      <c r="Z119" s="398">
        <f t="shared" si="156"/>
        <v>0</v>
      </c>
      <c r="AA119" s="398">
        <f t="shared" si="157"/>
        <v>0</v>
      </c>
      <c r="AB119" s="398">
        <f t="shared" si="158"/>
        <v>0</v>
      </c>
      <c r="AC119" s="398">
        <f t="shared" si="159"/>
        <v>0</v>
      </c>
      <c r="AD119" s="398">
        <f t="shared" si="160"/>
        <v>0</v>
      </c>
      <c r="AE119" s="398">
        <f t="shared" si="161"/>
        <v>0</v>
      </c>
      <c r="AF119" s="398">
        <f t="shared" si="162"/>
        <v>0</v>
      </c>
      <c r="AG119" s="398">
        <f t="shared" si="163"/>
        <v>0</v>
      </c>
      <c r="AH119" s="398">
        <f t="shared" si="164"/>
        <v>1</v>
      </c>
      <c r="AI119" s="398">
        <f t="shared" si="133"/>
        <v>11</v>
      </c>
      <c r="AJ119" s="398">
        <f t="shared" si="134"/>
        <v>0</v>
      </c>
      <c r="AK119" s="398">
        <f t="shared" si="135"/>
        <v>10</v>
      </c>
      <c r="AL119" s="398">
        <f t="shared" si="165"/>
        <v>0</v>
      </c>
      <c r="AM119" s="399">
        <f t="shared" si="136"/>
        <v>0</v>
      </c>
      <c r="AN119" s="1067"/>
    </row>
    <row r="120" spans="1:40" ht="30" customHeight="1">
      <c r="A120" s="281"/>
      <c r="B120" s="1021"/>
      <c r="C120" s="393" t="s">
        <v>1684</v>
      </c>
      <c r="D120" s="394" t="s">
        <v>1684</v>
      </c>
      <c r="E120" s="393" t="s">
        <v>1750</v>
      </c>
      <c r="F120" s="394"/>
      <c r="G120" s="801">
        <f t="shared" si="172"/>
        <v>21</v>
      </c>
      <c r="H120" s="211">
        <f t="shared" si="145"/>
        <v>0</v>
      </c>
      <c r="I120" s="211">
        <f t="shared" si="146"/>
        <v>0</v>
      </c>
      <c r="J120" s="211">
        <f t="shared" si="166"/>
        <v>0</v>
      </c>
      <c r="K120" s="211">
        <f t="shared" si="167"/>
        <v>0</v>
      </c>
      <c r="L120" s="211">
        <f t="shared" si="147"/>
        <v>0</v>
      </c>
      <c r="M120" s="211">
        <f t="shared" si="148"/>
        <v>0</v>
      </c>
      <c r="N120" s="211">
        <f t="shared" si="149"/>
        <v>0</v>
      </c>
      <c r="O120" s="211">
        <f t="shared" si="150"/>
        <v>0</v>
      </c>
      <c r="P120" s="211">
        <f t="shared" si="151"/>
        <v>0</v>
      </c>
      <c r="Q120" s="211">
        <f t="shared" si="152"/>
        <v>0</v>
      </c>
      <c r="R120" s="211">
        <f t="shared" si="153"/>
        <v>0</v>
      </c>
      <c r="S120" s="211">
        <f t="shared" si="154"/>
        <v>0</v>
      </c>
      <c r="T120" s="211">
        <f t="shared" si="155"/>
        <v>0</v>
      </c>
      <c r="U120" s="211">
        <f t="shared" si="114"/>
        <v>2</v>
      </c>
      <c r="V120" s="211">
        <f t="shared" si="168"/>
        <v>0</v>
      </c>
      <c r="W120" s="211">
        <f t="shared" si="169"/>
        <v>0</v>
      </c>
      <c r="X120" s="211">
        <f t="shared" si="170"/>
        <v>0</v>
      </c>
      <c r="Y120" s="211">
        <f t="shared" si="171"/>
        <v>0</v>
      </c>
      <c r="Z120" s="211">
        <f t="shared" si="156"/>
        <v>0</v>
      </c>
      <c r="AA120" s="211">
        <f t="shared" si="157"/>
        <v>0</v>
      </c>
      <c r="AB120" s="211">
        <f t="shared" si="158"/>
        <v>0</v>
      </c>
      <c r="AC120" s="211">
        <f t="shared" si="159"/>
        <v>0</v>
      </c>
      <c r="AD120" s="211">
        <f t="shared" si="160"/>
        <v>0</v>
      </c>
      <c r="AE120" s="211">
        <f t="shared" si="161"/>
        <v>0</v>
      </c>
      <c r="AF120" s="211">
        <f t="shared" si="162"/>
        <v>0</v>
      </c>
      <c r="AG120" s="211">
        <f t="shared" si="163"/>
        <v>0</v>
      </c>
      <c r="AH120" s="211">
        <f t="shared" si="164"/>
        <v>0</v>
      </c>
      <c r="AI120" s="211">
        <f t="shared" si="133"/>
        <v>7</v>
      </c>
      <c r="AJ120" s="211">
        <f t="shared" si="134"/>
        <v>0</v>
      </c>
      <c r="AK120" s="395">
        <f t="shared" si="135"/>
        <v>12</v>
      </c>
      <c r="AL120" s="395">
        <f t="shared" si="165"/>
        <v>0</v>
      </c>
      <c r="AM120" s="396">
        <f t="shared" si="136"/>
        <v>0</v>
      </c>
      <c r="AN120" s="1067"/>
    </row>
    <row r="121" spans="1:40" ht="30" customHeight="1">
      <c r="A121" s="274"/>
      <c r="B121" s="827"/>
      <c r="C121" s="201" t="s">
        <v>1738</v>
      </c>
      <c r="D121" s="290" t="s">
        <v>1738</v>
      </c>
      <c r="E121" s="201" t="s">
        <v>1737</v>
      </c>
      <c r="F121" s="290"/>
      <c r="G121" s="802">
        <f t="shared" si="172"/>
        <v>4</v>
      </c>
      <c r="H121" s="398">
        <f t="shared" si="145"/>
        <v>0</v>
      </c>
      <c r="I121" s="398">
        <f t="shared" si="146"/>
        <v>0</v>
      </c>
      <c r="J121" s="398">
        <f t="shared" si="166"/>
        <v>0</v>
      </c>
      <c r="K121" s="398">
        <f t="shared" si="167"/>
        <v>0</v>
      </c>
      <c r="L121" s="398">
        <f t="shared" si="147"/>
        <v>0</v>
      </c>
      <c r="M121" s="398">
        <f t="shared" si="148"/>
        <v>0</v>
      </c>
      <c r="N121" s="398">
        <f t="shared" si="149"/>
        <v>0</v>
      </c>
      <c r="O121" s="398">
        <f t="shared" si="150"/>
        <v>0</v>
      </c>
      <c r="P121" s="398">
        <f t="shared" si="151"/>
        <v>0</v>
      </c>
      <c r="Q121" s="398">
        <f t="shared" si="152"/>
        <v>0</v>
      </c>
      <c r="R121" s="398">
        <f t="shared" si="153"/>
        <v>0</v>
      </c>
      <c r="S121" s="398">
        <f t="shared" si="154"/>
        <v>0</v>
      </c>
      <c r="T121" s="398">
        <f t="shared" si="155"/>
        <v>0</v>
      </c>
      <c r="U121" s="398">
        <f t="shared" si="114"/>
        <v>0</v>
      </c>
      <c r="V121" s="398">
        <f t="shared" si="168"/>
        <v>0</v>
      </c>
      <c r="W121" s="398">
        <f t="shared" si="169"/>
        <v>0</v>
      </c>
      <c r="X121" s="398">
        <f t="shared" si="170"/>
        <v>0</v>
      </c>
      <c r="Y121" s="398">
        <f t="shared" si="171"/>
        <v>0</v>
      </c>
      <c r="Z121" s="398">
        <f t="shared" si="156"/>
        <v>0</v>
      </c>
      <c r="AA121" s="398">
        <f t="shared" si="157"/>
        <v>0</v>
      </c>
      <c r="AB121" s="398">
        <f t="shared" si="158"/>
        <v>0</v>
      </c>
      <c r="AC121" s="398">
        <f t="shared" si="159"/>
        <v>0</v>
      </c>
      <c r="AD121" s="398">
        <f t="shared" si="160"/>
        <v>0</v>
      </c>
      <c r="AE121" s="398">
        <f t="shared" si="161"/>
        <v>0</v>
      </c>
      <c r="AF121" s="398">
        <f t="shared" si="162"/>
        <v>0</v>
      </c>
      <c r="AG121" s="398">
        <f t="shared" si="163"/>
        <v>0</v>
      </c>
      <c r="AH121" s="398">
        <f t="shared" si="164"/>
        <v>1</v>
      </c>
      <c r="AI121" s="398">
        <f t="shared" si="133"/>
        <v>0</v>
      </c>
      <c r="AJ121" s="398">
        <f t="shared" si="134"/>
        <v>0</v>
      </c>
      <c r="AK121" s="202">
        <f t="shared" si="135"/>
        <v>3</v>
      </c>
      <c r="AL121" s="202">
        <f t="shared" si="165"/>
        <v>0</v>
      </c>
      <c r="AM121" s="203">
        <f t="shared" si="136"/>
        <v>0</v>
      </c>
      <c r="AN121" s="1067"/>
    </row>
    <row r="122" spans="1:40" ht="30" customHeight="1">
      <c r="A122" s="274"/>
      <c r="B122" s="827"/>
      <c r="C122" s="210" t="s">
        <v>1739</v>
      </c>
      <c r="D122" s="292" t="s">
        <v>1739</v>
      </c>
      <c r="E122" s="210" t="s">
        <v>1737</v>
      </c>
      <c r="F122" s="292"/>
      <c r="G122" s="801">
        <f t="shared" si="172"/>
        <v>15</v>
      </c>
      <c r="H122" s="211">
        <f t="shared" si="145"/>
        <v>0</v>
      </c>
      <c r="I122" s="211">
        <f t="shared" si="146"/>
        <v>0</v>
      </c>
      <c r="J122" s="211">
        <f t="shared" si="166"/>
        <v>0</v>
      </c>
      <c r="K122" s="211">
        <f t="shared" si="167"/>
        <v>0</v>
      </c>
      <c r="L122" s="211">
        <f t="shared" si="147"/>
        <v>0</v>
      </c>
      <c r="M122" s="211">
        <f t="shared" si="148"/>
        <v>0</v>
      </c>
      <c r="N122" s="211">
        <f t="shared" si="149"/>
        <v>0</v>
      </c>
      <c r="O122" s="211">
        <f t="shared" si="150"/>
        <v>0</v>
      </c>
      <c r="P122" s="211">
        <f t="shared" si="151"/>
        <v>0</v>
      </c>
      <c r="Q122" s="211">
        <f t="shared" si="152"/>
        <v>0</v>
      </c>
      <c r="R122" s="211">
        <f t="shared" si="153"/>
        <v>0</v>
      </c>
      <c r="S122" s="211">
        <f t="shared" si="154"/>
        <v>0</v>
      </c>
      <c r="T122" s="211">
        <f t="shared" si="155"/>
        <v>0</v>
      </c>
      <c r="U122" s="211">
        <f t="shared" si="114"/>
        <v>0</v>
      </c>
      <c r="V122" s="211">
        <f t="shared" si="168"/>
        <v>0</v>
      </c>
      <c r="W122" s="211">
        <f t="shared" si="169"/>
        <v>0</v>
      </c>
      <c r="X122" s="211">
        <f t="shared" si="170"/>
        <v>0</v>
      </c>
      <c r="Y122" s="211">
        <f t="shared" si="171"/>
        <v>0</v>
      </c>
      <c r="Z122" s="211">
        <f t="shared" si="156"/>
        <v>0</v>
      </c>
      <c r="AA122" s="211">
        <f t="shared" si="157"/>
        <v>0</v>
      </c>
      <c r="AB122" s="211">
        <f t="shared" si="158"/>
        <v>0</v>
      </c>
      <c r="AC122" s="211">
        <f t="shared" si="159"/>
        <v>0</v>
      </c>
      <c r="AD122" s="211">
        <f t="shared" si="160"/>
        <v>0</v>
      </c>
      <c r="AE122" s="211">
        <f t="shared" si="161"/>
        <v>0</v>
      </c>
      <c r="AF122" s="211">
        <f t="shared" si="162"/>
        <v>0</v>
      </c>
      <c r="AG122" s="211">
        <f t="shared" si="163"/>
        <v>0</v>
      </c>
      <c r="AH122" s="211">
        <f t="shared" si="164"/>
        <v>0</v>
      </c>
      <c r="AI122" s="211">
        <f t="shared" si="133"/>
        <v>0</v>
      </c>
      <c r="AJ122" s="211">
        <f t="shared" si="134"/>
        <v>0</v>
      </c>
      <c r="AK122" s="211">
        <f t="shared" si="135"/>
        <v>15</v>
      </c>
      <c r="AL122" s="211">
        <f t="shared" si="165"/>
        <v>0</v>
      </c>
      <c r="AM122" s="212">
        <f t="shared" si="136"/>
        <v>0</v>
      </c>
      <c r="AN122" s="1067"/>
    </row>
    <row r="123" spans="1:40" ht="30" customHeight="1">
      <c r="A123" s="281"/>
      <c r="B123" s="1021"/>
      <c r="C123" s="392" t="s">
        <v>1740</v>
      </c>
      <c r="D123" s="397" t="s">
        <v>1740</v>
      </c>
      <c r="E123" s="392" t="s">
        <v>1736</v>
      </c>
      <c r="F123" s="397"/>
      <c r="G123" s="802">
        <f t="shared" si="172"/>
        <v>0</v>
      </c>
      <c r="H123" s="398">
        <f t="shared" si="145"/>
        <v>0</v>
      </c>
      <c r="I123" s="398">
        <f t="shared" si="146"/>
        <v>0</v>
      </c>
      <c r="J123" s="398">
        <f t="shared" si="166"/>
        <v>0</v>
      </c>
      <c r="K123" s="398">
        <f t="shared" si="167"/>
        <v>0</v>
      </c>
      <c r="L123" s="398">
        <f t="shared" si="147"/>
        <v>0</v>
      </c>
      <c r="M123" s="398">
        <f t="shared" si="148"/>
        <v>0</v>
      </c>
      <c r="N123" s="398">
        <f t="shared" si="149"/>
        <v>0</v>
      </c>
      <c r="O123" s="398">
        <f t="shared" si="150"/>
        <v>0</v>
      </c>
      <c r="P123" s="398">
        <f t="shared" si="151"/>
        <v>0</v>
      </c>
      <c r="Q123" s="398">
        <f t="shared" si="152"/>
        <v>0</v>
      </c>
      <c r="R123" s="398">
        <f t="shared" si="153"/>
        <v>0</v>
      </c>
      <c r="S123" s="398">
        <f t="shared" si="154"/>
        <v>0</v>
      </c>
      <c r="T123" s="398">
        <f t="shared" si="155"/>
        <v>0</v>
      </c>
      <c r="U123" s="398">
        <f t="shared" si="114"/>
        <v>0</v>
      </c>
      <c r="V123" s="398">
        <f t="shared" si="168"/>
        <v>0</v>
      </c>
      <c r="W123" s="398">
        <f t="shared" si="169"/>
        <v>0</v>
      </c>
      <c r="X123" s="398">
        <f t="shared" si="170"/>
        <v>0</v>
      </c>
      <c r="Y123" s="398">
        <f t="shared" si="171"/>
        <v>0</v>
      </c>
      <c r="Z123" s="398">
        <f t="shared" si="156"/>
        <v>0</v>
      </c>
      <c r="AA123" s="398">
        <f t="shared" si="157"/>
        <v>0</v>
      </c>
      <c r="AB123" s="398">
        <f t="shared" si="158"/>
        <v>0</v>
      </c>
      <c r="AC123" s="398">
        <f t="shared" si="159"/>
        <v>0</v>
      </c>
      <c r="AD123" s="398">
        <f t="shared" si="160"/>
        <v>0</v>
      </c>
      <c r="AE123" s="398">
        <f t="shared" si="161"/>
        <v>0</v>
      </c>
      <c r="AF123" s="398">
        <f t="shared" si="162"/>
        <v>0</v>
      </c>
      <c r="AG123" s="398">
        <f t="shared" si="163"/>
        <v>0</v>
      </c>
      <c r="AH123" s="398">
        <f t="shared" si="164"/>
        <v>0</v>
      </c>
      <c r="AI123" s="398">
        <f t="shared" si="133"/>
        <v>0</v>
      </c>
      <c r="AJ123" s="398">
        <f t="shared" si="134"/>
        <v>0</v>
      </c>
      <c r="AK123" s="398">
        <f t="shared" si="135"/>
        <v>0</v>
      </c>
      <c r="AL123" s="398">
        <f t="shared" si="165"/>
        <v>0</v>
      </c>
      <c r="AM123" s="399">
        <f t="shared" si="136"/>
        <v>0</v>
      </c>
      <c r="AN123" s="1067"/>
    </row>
    <row r="124" spans="1:40" ht="30" customHeight="1">
      <c r="A124" s="281"/>
      <c r="B124" s="1021"/>
      <c r="C124" s="205" t="s">
        <v>1741</v>
      </c>
      <c r="D124" s="291" t="s">
        <v>1741</v>
      </c>
      <c r="E124" s="205" t="s">
        <v>1736</v>
      </c>
      <c r="F124" s="291"/>
      <c r="G124" s="801">
        <f t="shared" si="172"/>
        <v>0</v>
      </c>
      <c r="H124" s="211">
        <f t="shared" si="145"/>
        <v>0</v>
      </c>
      <c r="I124" s="211">
        <f t="shared" si="146"/>
        <v>0</v>
      </c>
      <c r="J124" s="211">
        <f t="shared" si="166"/>
        <v>0</v>
      </c>
      <c r="K124" s="211">
        <f t="shared" si="167"/>
        <v>0</v>
      </c>
      <c r="L124" s="211">
        <f t="shared" si="147"/>
        <v>0</v>
      </c>
      <c r="M124" s="211">
        <f t="shared" si="148"/>
        <v>0</v>
      </c>
      <c r="N124" s="211">
        <f t="shared" si="149"/>
        <v>0</v>
      </c>
      <c r="O124" s="211">
        <f t="shared" si="150"/>
        <v>0</v>
      </c>
      <c r="P124" s="211">
        <f t="shared" si="151"/>
        <v>0</v>
      </c>
      <c r="Q124" s="211">
        <f t="shared" si="152"/>
        <v>0</v>
      </c>
      <c r="R124" s="211">
        <f t="shared" si="153"/>
        <v>0</v>
      </c>
      <c r="S124" s="211">
        <f t="shared" si="154"/>
        <v>0</v>
      </c>
      <c r="T124" s="211">
        <f t="shared" si="155"/>
        <v>0</v>
      </c>
      <c r="U124" s="211">
        <f t="shared" si="114"/>
        <v>0</v>
      </c>
      <c r="V124" s="211">
        <f t="shared" si="168"/>
        <v>0</v>
      </c>
      <c r="W124" s="211">
        <f t="shared" si="169"/>
        <v>0</v>
      </c>
      <c r="X124" s="211">
        <f t="shared" si="170"/>
        <v>0</v>
      </c>
      <c r="Y124" s="211">
        <f t="shared" si="171"/>
        <v>0</v>
      </c>
      <c r="Z124" s="211">
        <f t="shared" si="156"/>
        <v>0</v>
      </c>
      <c r="AA124" s="211">
        <f t="shared" si="157"/>
        <v>0</v>
      </c>
      <c r="AB124" s="211">
        <f t="shared" si="158"/>
        <v>0</v>
      </c>
      <c r="AC124" s="211">
        <f t="shared" si="159"/>
        <v>0</v>
      </c>
      <c r="AD124" s="211">
        <f t="shared" si="160"/>
        <v>0</v>
      </c>
      <c r="AE124" s="211">
        <f t="shared" si="161"/>
        <v>0</v>
      </c>
      <c r="AF124" s="211">
        <f t="shared" si="162"/>
        <v>0</v>
      </c>
      <c r="AG124" s="211">
        <f t="shared" si="163"/>
        <v>0</v>
      </c>
      <c r="AH124" s="211">
        <f t="shared" si="164"/>
        <v>0</v>
      </c>
      <c r="AI124" s="211">
        <f t="shared" si="133"/>
        <v>0</v>
      </c>
      <c r="AJ124" s="207">
        <f t="shared" si="134"/>
        <v>0</v>
      </c>
      <c r="AK124" s="207">
        <f t="shared" si="135"/>
        <v>0</v>
      </c>
      <c r="AL124" s="207">
        <f t="shared" si="165"/>
        <v>0</v>
      </c>
      <c r="AM124" s="208">
        <f t="shared" si="136"/>
        <v>0</v>
      </c>
      <c r="AN124" s="1067"/>
    </row>
    <row r="125" spans="1:40" ht="30" customHeight="1">
      <c r="A125" s="1633" t="s">
        <v>1743</v>
      </c>
      <c r="B125" s="827" t="s">
        <v>1749</v>
      </c>
      <c r="C125" s="201" t="s">
        <v>897</v>
      </c>
      <c r="D125" s="290" t="s">
        <v>897</v>
      </c>
      <c r="E125" s="201" t="s">
        <v>1747</v>
      </c>
      <c r="F125" s="290"/>
      <c r="G125" s="802">
        <f t="shared" si="172"/>
        <v>16</v>
      </c>
      <c r="H125" s="398">
        <f t="shared" si="145"/>
        <v>0</v>
      </c>
      <c r="I125" s="398">
        <f t="shared" si="146"/>
        <v>0</v>
      </c>
      <c r="J125" s="398">
        <f t="shared" si="166"/>
        <v>0</v>
      </c>
      <c r="K125" s="398">
        <f t="shared" si="167"/>
        <v>0</v>
      </c>
      <c r="L125" s="398">
        <f t="shared" si="147"/>
        <v>0</v>
      </c>
      <c r="M125" s="398">
        <f t="shared" si="148"/>
        <v>0</v>
      </c>
      <c r="N125" s="398">
        <f t="shared" si="149"/>
        <v>0</v>
      </c>
      <c r="O125" s="398">
        <f t="shared" si="150"/>
        <v>0</v>
      </c>
      <c r="P125" s="398">
        <f t="shared" si="151"/>
        <v>0</v>
      </c>
      <c r="Q125" s="398">
        <f t="shared" si="152"/>
        <v>0</v>
      </c>
      <c r="R125" s="398">
        <f t="shared" si="153"/>
        <v>0</v>
      </c>
      <c r="S125" s="398">
        <f t="shared" si="154"/>
        <v>0</v>
      </c>
      <c r="T125" s="398">
        <f t="shared" si="155"/>
        <v>0</v>
      </c>
      <c r="U125" s="398">
        <f t="shared" si="114"/>
        <v>0</v>
      </c>
      <c r="V125" s="398">
        <f t="shared" si="168"/>
        <v>0</v>
      </c>
      <c r="W125" s="398">
        <f t="shared" si="169"/>
        <v>0</v>
      </c>
      <c r="X125" s="398">
        <f t="shared" si="170"/>
        <v>1</v>
      </c>
      <c r="Y125" s="398">
        <f t="shared" si="171"/>
        <v>1</v>
      </c>
      <c r="Z125" s="398">
        <f t="shared" si="156"/>
        <v>0</v>
      </c>
      <c r="AA125" s="398">
        <f t="shared" si="157"/>
        <v>0</v>
      </c>
      <c r="AB125" s="398">
        <f t="shared" si="158"/>
        <v>0</v>
      </c>
      <c r="AC125" s="398">
        <f t="shared" si="159"/>
        <v>0</v>
      </c>
      <c r="AD125" s="398">
        <f t="shared" si="160"/>
        <v>0</v>
      </c>
      <c r="AE125" s="398">
        <f t="shared" si="161"/>
        <v>0</v>
      </c>
      <c r="AF125" s="398">
        <f t="shared" si="162"/>
        <v>2</v>
      </c>
      <c r="AG125" s="398">
        <f t="shared" si="163"/>
        <v>2</v>
      </c>
      <c r="AH125" s="398">
        <f t="shared" si="164"/>
        <v>0</v>
      </c>
      <c r="AI125" s="398">
        <f t="shared" si="133"/>
        <v>5</v>
      </c>
      <c r="AJ125" s="202">
        <f t="shared" si="134"/>
        <v>5</v>
      </c>
      <c r="AK125" s="202">
        <f t="shared" si="135"/>
        <v>0</v>
      </c>
      <c r="AL125" s="202">
        <f t="shared" si="165"/>
        <v>0</v>
      </c>
      <c r="AM125" s="203">
        <f t="shared" si="136"/>
        <v>0</v>
      </c>
      <c r="AN125" s="1067"/>
    </row>
    <row r="126" spans="1:40" ht="30" customHeight="1">
      <c r="A126" s="1634"/>
      <c r="B126" s="827" t="s">
        <v>1749</v>
      </c>
      <c r="C126" s="205" t="s">
        <v>894</v>
      </c>
      <c r="D126" s="291" t="s">
        <v>894</v>
      </c>
      <c r="E126" s="205" t="s">
        <v>1746</v>
      </c>
      <c r="F126" s="291"/>
      <c r="G126" s="795">
        <f t="shared" ref="G126:G183" si="173">SUM(H126:AM126)</f>
        <v>9</v>
      </c>
      <c r="H126" s="207">
        <f t="shared" si="145"/>
        <v>0</v>
      </c>
      <c r="I126" s="207">
        <f t="shared" si="146"/>
        <v>0</v>
      </c>
      <c r="J126" s="207">
        <f t="shared" si="166"/>
        <v>0</v>
      </c>
      <c r="K126" s="207">
        <f t="shared" si="167"/>
        <v>0</v>
      </c>
      <c r="L126" s="207">
        <f t="shared" si="147"/>
        <v>0</v>
      </c>
      <c r="M126" s="207">
        <f t="shared" si="148"/>
        <v>2</v>
      </c>
      <c r="N126" s="207">
        <f t="shared" si="149"/>
        <v>0</v>
      </c>
      <c r="O126" s="207">
        <f t="shared" si="150"/>
        <v>0</v>
      </c>
      <c r="P126" s="207">
        <f t="shared" si="151"/>
        <v>0</v>
      </c>
      <c r="Q126" s="207">
        <f t="shared" si="152"/>
        <v>1</v>
      </c>
      <c r="R126" s="207">
        <f t="shared" si="153"/>
        <v>0</v>
      </c>
      <c r="S126" s="207">
        <f t="shared" si="154"/>
        <v>0</v>
      </c>
      <c r="T126" s="207">
        <f t="shared" si="155"/>
        <v>0</v>
      </c>
      <c r="U126" s="207">
        <f t="shared" si="114"/>
        <v>0</v>
      </c>
      <c r="V126" s="207">
        <f t="shared" si="168"/>
        <v>0</v>
      </c>
      <c r="W126" s="207">
        <f t="shared" si="169"/>
        <v>0</v>
      </c>
      <c r="X126" s="207">
        <f t="shared" si="170"/>
        <v>1</v>
      </c>
      <c r="Y126" s="207">
        <f t="shared" si="171"/>
        <v>1</v>
      </c>
      <c r="Z126" s="207">
        <f t="shared" si="156"/>
        <v>0</v>
      </c>
      <c r="AA126" s="207">
        <f t="shared" si="157"/>
        <v>0</v>
      </c>
      <c r="AB126" s="207">
        <f t="shared" si="158"/>
        <v>0</v>
      </c>
      <c r="AC126" s="207">
        <f t="shared" si="159"/>
        <v>1</v>
      </c>
      <c r="AD126" s="207">
        <f t="shared" si="160"/>
        <v>0</v>
      </c>
      <c r="AE126" s="207">
        <f t="shared" si="161"/>
        <v>0</v>
      </c>
      <c r="AF126" s="207">
        <f t="shared" si="162"/>
        <v>0</v>
      </c>
      <c r="AG126" s="207">
        <f t="shared" si="163"/>
        <v>0</v>
      </c>
      <c r="AH126" s="207">
        <f t="shared" si="164"/>
        <v>0</v>
      </c>
      <c r="AI126" s="207">
        <f t="shared" si="133"/>
        <v>2</v>
      </c>
      <c r="AJ126" s="207">
        <f t="shared" si="134"/>
        <v>1</v>
      </c>
      <c r="AK126" s="207">
        <f t="shared" si="135"/>
        <v>0</v>
      </c>
      <c r="AL126" s="207">
        <f t="shared" si="165"/>
        <v>0</v>
      </c>
      <c r="AM126" s="208">
        <f t="shared" si="136"/>
        <v>0</v>
      </c>
      <c r="AN126" s="1067"/>
    </row>
    <row r="127" spans="1:40" ht="30" customHeight="1">
      <c r="A127" s="281" t="s">
        <v>1748</v>
      </c>
      <c r="B127" s="1022" t="s">
        <v>1749</v>
      </c>
      <c r="C127" s="210" t="s">
        <v>1744</v>
      </c>
      <c r="D127" s="292" t="s">
        <v>1744</v>
      </c>
      <c r="E127" s="409" t="s">
        <v>1745</v>
      </c>
      <c r="F127" s="292"/>
      <c r="G127" s="801">
        <f t="shared" si="173"/>
        <v>0</v>
      </c>
      <c r="H127" s="207">
        <f t="shared" si="145"/>
        <v>0</v>
      </c>
      <c r="I127" s="207">
        <f t="shared" si="146"/>
        <v>0</v>
      </c>
      <c r="J127" s="207">
        <f t="shared" si="166"/>
        <v>0</v>
      </c>
      <c r="K127" s="207">
        <f t="shared" si="167"/>
        <v>0</v>
      </c>
      <c r="L127" s="207">
        <f t="shared" si="147"/>
        <v>0</v>
      </c>
      <c r="M127" s="207">
        <f t="shared" si="148"/>
        <v>0</v>
      </c>
      <c r="N127" s="207">
        <f t="shared" si="149"/>
        <v>0</v>
      </c>
      <c r="O127" s="207">
        <f t="shared" si="150"/>
        <v>0</v>
      </c>
      <c r="P127" s="207">
        <f t="shared" si="151"/>
        <v>0</v>
      </c>
      <c r="Q127" s="207">
        <f t="shared" si="152"/>
        <v>0</v>
      </c>
      <c r="R127" s="207">
        <f t="shared" si="153"/>
        <v>0</v>
      </c>
      <c r="S127" s="207">
        <f t="shared" si="154"/>
        <v>0</v>
      </c>
      <c r="T127" s="207">
        <f t="shared" si="155"/>
        <v>0</v>
      </c>
      <c r="U127" s="207">
        <f t="shared" si="114"/>
        <v>0</v>
      </c>
      <c r="V127" s="207">
        <f t="shared" si="168"/>
        <v>0</v>
      </c>
      <c r="W127" s="207">
        <f t="shared" si="169"/>
        <v>0</v>
      </c>
      <c r="X127" s="207">
        <f t="shared" si="170"/>
        <v>0</v>
      </c>
      <c r="Y127" s="207">
        <f t="shared" si="171"/>
        <v>0</v>
      </c>
      <c r="Z127" s="207">
        <f t="shared" si="156"/>
        <v>0</v>
      </c>
      <c r="AA127" s="207">
        <f t="shared" si="157"/>
        <v>0</v>
      </c>
      <c r="AB127" s="207">
        <f t="shared" si="158"/>
        <v>0</v>
      </c>
      <c r="AC127" s="207">
        <f t="shared" si="159"/>
        <v>0</v>
      </c>
      <c r="AD127" s="207">
        <f t="shared" si="160"/>
        <v>0</v>
      </c>
      <c r="AE127" s="207">
        <f t="shared" si="161"/>
        <v>0</v>
      </c>
      <c r="AF127" s="207">
        <f t="shared" si="162"/>
        <v>0</v>
      </c>
      <c r="AG127" s="207">
        <f t="shared" si="163"/>
        <v>0</v>
      </c>
      <c r="AH127" s="207">
        <f t="shared" si="164"/>
        <v>0</v>
      </c>
      <c r="AI127" s="207">
        <f t="shared" si="133"/>
        <v>0</v>
      </c>
      <c r="AJ127" s="211">
        <f t="shared" si="134"/>
        <v>0</v>
      </c>
      <c r="AK127" s="211">
        <f t="shared" si="135"/>
        <v>0</v>
      </c>
      <c r="AL127" s="211">
        <f t="shared" si="165"/>
        <v>0</v>
      </c>
      <c r="AM127" s="212">
        <f t="shared" si="136"/>
        <v>0</v>
      </c>
      <c r="AN127" s="1067"/>
    </row>
    <row r="128" spans="1:40" ht="30" customHeight="1">
      <c r="A128" s="258" t="s">
        <v>1755</v>
      </c>
      <c r="B128" s="288"/>
      <c r="C128" s="326" t="s">
        <v>229</v>
      </c>
      <c r="D128" s="228" t="s">
        <v>478</v>
      </c>
      <c r="E128" s="301" t="s">
        <v>4503</v>
      </c>
      <c r="F128" s="228">
        <v>6601</v>
      </c>
      <c r="G128" s="805">
        <f t="shared" si="173"/>
        <v>93</v>
      </c>
      <c r="H128" s="189">
        <f t="shared" si="145"/>
        <v>6</v>
      </c>
      <c r="I128" s="189">
        <f t="shared" si="146"/>
        <v>9</v>
      </c>
      <c r="J128" s="189">
        <f t="shared" si="166"/>
        <v>2</v>
      </c>
      <c r="K128" s="189">
        <f t="shared" si="167"/>
        <v>7</v>
      </c>
      <c r="L128" s="189">
        <f t="shared" si="147"/>
        <v>0</v>
      </c>
      <c r="M128" s="189">
        <f t="shared" si="148"/>
        <v>1</v>
      </c>
      <c r="N128" s="189">
        <f t="shared" si="149"/>
        <v>0</v>
      </c>
      <c r="O128" s="189">
        <f t="shared" si="150"/>
        <v>3</v>
      </c>
      <c r="P128" s="189">
        <f t="shared" si="151"/>
        <v>0</v>
      </c>
      <c r="Q128" s="189">
        <f t="shared" si="152"/>
        <v>0</v>
      </c>
      <c r="R128" s="189">
        <f t="shared" si="153"/>
        <v>13</v>
      </c>
      <c r="S128" s="189">
        <f t="shared" si="154"/>
        <v>15</v>
      </c>
      <c r="T128" s="189">
        <f t="shared" si="155"/>
        <v>12</v>
      </c>
      <c r="U128" s="189">
        <f t="shared" si="114"/>
        <v>11</v>
      </c>
      <c r="V128" s="189">
        <f t="shared" si="168"/>
        <v>0</v>
      </c>
      <c r="W128" s="189">
        <f t="shared" si="169"/>
        <v>4</v>
      </c>
      <c r="X128" s="189">
        <f t="shared" si="170"/>
        <v>1</v>
      </c>
      <c r="Y128" s="189">
        <f t="shared" si="171"/>
        <v>1</v>
      </c>
      <c r="Z128" s="189">
        <f t="shared" si="156"/>
        <v>0</v>
      </c>
      <c r="AA128" s="189">
        <f t="shared" si="157"/>
        <v>0</v>
      </c>
      <c r="AB128" s="189">
        <f t="shared" si="158"/>
        <v>0</v>
      </c>
      <c r="AC128" s="189">
        <f t="shared" si="159"/>
        <v>2</v>
      </c>
      <c r="AD128" s="189">
        <f t="shared" si="160"/>
        <v>0</v>
      </c>
      <c r="AE128" s="189">
        <f t="shared" si="161"/>
        <v>0</v>
      </c>
      <c r="AF128" s="189">
        <f t="shared" si="162"/>
        <v>0</v>
      </c>
      <c r="AG128" s="189">
        <f t="shared" si="163"/>
        <v>0</v>
      </c>
      <c r="AH128" s="189">
        <f t="shared" si="164"/>
        <v>3</v>
      </c>
      <c r="AI128" s="190">
        <f t="shared" ref="AI128:AI164" si="174">COUNTIF(Area_v1TSATHA,$C128)</f>
        <v>0</v>
      </c>
      <c r="AJ128" s="190">
        <f t="shared" ref="AJ128:AJ164" si="175">COUNTIF(Area_v2TSATHA,$C128)</f>
        <v>0</v>
      </c>
      <c r="AK128" s="190">
        <f t="shared" ref="AK128:AK164" si="176">COUNTIF(Area_v3TSATHA,$C128)</f>
        <v>3</v>
      </c>
      <c r="AL128" s="190">
        <f t="shared" si="165"/>
        <v>0</v>
      </c>
      <c r="AM128" s="233">
        <f t="shared" ref="AM128:AM164" si="177">COUNTIF(Area_v5THAHOLON,$C128)</f>
        <v>0</v>
      </c>
      <c r="AN128" s="326" t="s">
        <v>4504</v>
      </c>
    </row>
    <row r="129" spans="1:40" ht="30" customHeight="1">
      <c r="A129" s="50"/>
      <c r="B129" s="288"/>
      <c r="C129" s="325" t="s">
        <v>904</v>
      </c>
      <c r="D129" s="300" t="s">
        <v>912</v>
      </c>
      <c r="E129" s="299" t="s">
        <v>4505</v>
      </c>
      <c r="F129" s="300">
        <v>6603</v>
      </c>
      <c r="G129" s="804">
        <f t="shared" si="173"/>
        <v>0</v>
      </c>
      <c r="H129" s="522">
        <f t="shared" si="145"/>
        <v>0</v>
      </c>
      <c r="I129" s="522">
        <f t="shared" si="146"/>
        <v>0</v>
      </c>
      <c r="J129" s="522">
        <f t="shared" si="166"/>
        <v>0</v>
      </c>
      <c r="K129" s="522">
        <f t="shared" si="167"/>
        <v>0</v>
      </c>
      <c r="L129" s="522">
        <f t="shared" si="147"/>
        <v>0</v>
      </c>
      <c r="M129" s="522">
        <f t="shared" si="148"/>
        <v>0</v>
      </c>
      <c r="N129" s="522">
        <f t="shared" si="149"/>
        <v>0</v>
      </c>
      <c r="O129" s="522">
        <f t="shared" si="150"/>
        <v>0</v>
      </c>
      <c r="P129" s="522">
        <f t="shared" si="151"/>
        <v>0</v>
      </c>
      <c r="Q129" s="522">
        <f t="shared" si="152"/>
        <v>0</v>
      </c>
      <c r="R129" s="522">
        <f t="shared" si="153"/>
        <v>0</v>
      </c>
      <c r="S129" s="522">
        <f t="shared" si="154"/>
        <v>0</v>
      </c>
      <c r="T129" s="522">
        <f t="shared" si="155"/>
        <v>0</v>
      </c>
      <c r="U129" s="522">
        <f t="shared" si="114"/>
        <v>0</v>
      </c>
      <c r="V129" s="522">
        <f t="shared" si="168"/>
        <v>0</v>
      </c>
      <c r="W129" s="522">
        <f t="shared" si="169"/>
        <v>0</v>
      </c>
      <c r="X129" s="522">
        <f t="shared" si="170"/>
        <v>0</v>
      </c>
      <c r="Y129" s="522">
        <f t="shared" si="171"/>
        <v>0</v>
      </c>
      <c r="Z129" s="522">
        <f t="shared" si="156"/>
        <v>0</v>
      </c>
      <c r="AA129" s="522">
        <f t="shared" si="157"/>
        <v>0</v>
      </c>
      <c r="AB129" s="522">
        <f t="shared" si="158"/>
        <v>0</v>
      </c>
      <c r="AC129" s="522">
        <f t="shared" si="159"/>
        <v>0</v>
      </c>
      <c r="AD129" s="522">
        <f t="shared" si="160"/>
        <v>0</v>
      </c>
      <c r="AE129" s="522">
        <f t="shared" si="161"/>
        <v>0</v>
      </c>
      <c r="AF129" s="522">
        <f t="shared" si="162"/>
        <v>0</v>
      </c>
      <c r="AG129" s="522">
        <f t="shared" si="163"/>
        <v>0</v>
      </c>
      <c r="AH129" s="522">
        <f t="shared" si="164"/>
        <v>0</v>
      </c>
      <c r="AI129" s="231">
        <f t="shared" si="174"/>
        <v>0</v>
      </c>
      <c r="AJ129" s="231">
        <f t="shared" si="175"/>
        <v>0</v>
      </c>
      <c r="AK129" s="231">
        <f t="shared" si="176"/>
        <v>0</v>
      </c>
      <c r="AL129" s="231">
        <f t="shared" si="165"/>
        <v>0</v>
      </c>
      <c r="AM129" s="232">
        <f t="shared" si="177"/>
        <v>0</v>
      </c>
      <c r="AN129" s="325" t="s">
        <v>4515</v>
      </c>
    </row>
    <row r="130" spans="1:40" ht="30" customHeight="1">
      <c r="A130" s="50"/>
      <c r="B130" s="288"/>
      <c r="C130" s="326" t="s">
        <v>230</v>
      </c>
      <c r="D130" s="228" t="s">
        <v>479</v>
      </c>
      <c r="E130" s="301" t="s">
        <v>4506</v>
      </c>
      <c r="F130" s="228">
        <v>6601</v>
      </c>
      <c r="G130" s="805">
        <f t="shared" si="173"/>
        <v>188</v>
      </c>
      <c r="H130" s="189">
        <f t="shared" si="145"/>
        <v>13</v>
      </c>
      <c r="I130" s="189">
        <f t="shared" si="146"/>
        <v>10</v>
      </c>
      <c r="J130" s="189">
        <f t="shared" si="166"/>
        <v>19</v>
      </c>
      <c r="K130" s="189">
        <f t="shared" si="167"/>
        <v>8</v>
      </c>
      <c r="L130" s="189">
        <f t="shared" si="147"/>
        <v>2</v>
      </c>
      <c r="M130" s="189">
        <f t="shared" si="148"/>
        <v>1</v>
      </c>
      <c r="N130" s="189">
        <f t="shared" si="149"/>
        <v>1</v>
      </c>
      <c r="O130" s="189">
        <f t="shared" si="150"/>
        <v>2</v>
      </c>
      <c r="P130" s="189">
        <f t="shared" si="151"/>
        <v>1</v>
      </c>
      <c r="Q130" s="189">
        <f t="shared" si="152"/>
        <v>4</v>
      </c>
      <c r="R130" s="189">
        <f t="shared" si="153"/>
        <v>11</v>
      </c>
      <c r="S130" s="189">
        <f t="shared" si="154"/>
        <v>8</v>
      </c>
      <c r="T130" s="189">
        <f t="shared" si="155"/>
        <v>8</v>
      </c>
      <c r="U130" s="189">
        <f t="shared" si="114"/>
        <v>31</v>
      </c>
      <c r="V130" s="189">
        <f t="shared" si="168"/>
        <v>0</v>
      </c>
      <c r="W130" s="189">
        <f t="shared" si="169"/>
        <v>11</v>
      </c>
      <c r="X130" s="189">
        <f t="shared" si="170"/>
        <v>18</v>
      </c>
      <c r="Y130" s="189">
        <f t="shared" si="171"/>
        <v>15</v>
      </c>
      <c r="Z130" s="189">
        <f t="shared" si="156"/>
        <v>0</v>
      </c>
      <c r="AA130" s="189">
        <f t="shared" si="157"/>
        <v>0</v>
      </c>
      <c r="AB130" s="189">
        <f t="shared" si="158"/>
        <v>0</v>
      </c>
      <c r="AC130" s="189">
        <f t="shared" si="159"/>
        <v>4</v>
      </c>
      <c r="AD130" s="189">
        <f t="shared" si="160"/>
        <v>0</v>
      </c>
      <c r="AE130" s="189">
        <f t="shared" si="161"/>
        <v>0</v>
      </c>
      <c r="AF130" s="189">
        <f t="shared" si="162"/>
        <v>0</v>
      </c>
      <c r="AG130" s="189">
        <f t="shared" si="163"/>
        <v>0</v>
      </c>
      <c r="AH130" s="189">
        <f t="shared" si="164"/>
        <v>7</v>
      </c>
      <c r="AI130" s="190">
        <f t="shared" si="174"/>
        <v>2</v>
      </c>
      <c r="AJ130" s="190">
        <f t="shared" si="175"/>
        <v>1</v>
      </c>
      <c r="AK130" s="190">
        <f t="shared" si="176"/>
        <v>3</v>
      </c>
      <c r="AL130" s="190">
        <f t="shared" si="165"/>
        <v>3</v>
      </c>
      <c r="AM130" s="233">
        <f t="shared" si="177"/>
        <v>5</v>
      </c>
      <c r="AN130" s="326" t="s">
        <v>4516</v>
      </c>
    </row>
    <row r="131" spans="1:40" ht="30" customHeight="1">
      <c r="A131" s="50"/>
      <c r="B131" s="288"/>
      <c r="C131" s="324" t="s">
        <v>898</v>
      </c>
      <c r="D131" s="298" t="s">
        <v>907</v>
      </c>
      <c r="E131" s="297" t="s">
        <v>4507</v>
      </c>
      <c r="F131" s="298">
        <v>6600</v>
      </c>
      <c r="G131" s="806">
        <f t="shared" si="173"/>
        <v>41</v>
      </c>
      <c r="H131" s="523">
        <f t="shared" si="145"/>
        <v>2</v>
      </c>
      <c r="I131" s="523">
        <f t="shared" si="146"/>
        <v>2</v>
      </c>
      <c r="J131" s="523">
        <f t="shared" si="166"/>
        <v>2</v>
      </c>
      <c r="K131" s="523">
        <f t="shared" si="167"/>
        <v>2</v>
      </c>
      <c r="L131" s="523">
        <f t="shared" si="147"/>
        <v>2</v>
      </c>
      <c r="M131" s="523">
        <f t="shared" si="148"/>
        <v>3</v>
      </c>
      <c r="N131" s="523">
        <f t="shared" si="149"/>
        <v>1</v>
      </c>
      <c r="O131" s="523">
        <f t="shared" si="150"/>
        <v>1</v>
      </c>
      <c r="P131" s="523">
        <f t="shared" si="151"/>
        <v>0</v>
      </c>
      <c r="Q131" s="523">
        <f t="shared" si="152"/>
        <v>1</v>
      </c>
      <c r="R131" s="523">
        <f t="shared" si="153"/>
        <v>3</v>
      </c>
      <c r="S131" s="523">
        <f t="shared" si="154"/>
        <v>3</v>
      </c>
      <c r="T131" s="523">
        <f t="shared" si="155"/>
        <v>3</v>
      </c>
      <c r="U131" s="523">
        <f t="shared" si="114"/>
        <v>5</v>
      </c>
      <c r="V131" s="523">
        <f t="shared" si="168"/>
        <v>0</v>
      </c>
      <c r="W131" s="523">
        <f t="shared" si="169"/>
        <v>2</v>
      </c>
      <c r="X131" s="523">
        <f t="shared" si="170"/>
        <v>0</v>
      </c>
      <c r="Y131" s="523">
        <f t="shared" si="171"/>
        <v>0</v>
      </c>
      <c r="Z131" s="523">
        <f t="shared" si="156"/>
        <v>1</v>
      </c>
      <c r="AA131" s="523">
        <f t="shared" si="157"/>
        <v>0</v>
      </c>
      <c r="AB131" s="523">
        <f t="shared" si="158"/>
        <v>0</v>
      </c>
      <c r="AC131" s="523">
        <f t="shared" si="159"/>
        <v>0</v>
      </c>
      <c r="AD131" s="523">
        <f t="shared" si="160"/>
        <v>0</v>
      </c>
      <c r="AE131" s="523">
        <f t="shared" si="161"/>
        <v>0</v>
      </c>
      <c r="AF131" s="523">
        <f t="shared" si="162"/>
        <v>1</v>
      </c>
      <c r="AG131" s="523">
        <f t="shared" si="163"/>
        <v>2</v>
      </c>
      <c r="AH131" s="523">
        <f t="shared" si="164"/>
        <v>1</v>
      </c>
      <c r="AI131" s="229">
        <f t="shared" si="174"/>
        <v>0</v>
      </c>
      <c r="AJ131" s="229">
        <f t="shared" si="175"/>
        <v>0</v>
      </c>
      <c r="AK131" s="229">
        <f t="shared" si="176"/>
        <v>0</v>
      </c>
      <c r="AL131" s="229">
        <f t="shared" si="165"/>
        <v>2</v>
      </c>
      <c r="AM131" s="230">
        <f t="shared" si="177"/>
        <v>2</v>
      </c>
      <c r="AN131" s="324" t="s">
        <v>4517</v>
      </c>
    </row>
    <row r="132" spans="1:40" ht="30" customHeight="1">
      <c r="A132" s="50"/>
      <c r="B132" s="288"/>
      <c r="C132" s="325" t="s">
        <v>901</v>
      </c>
      <c r="D132" s="300" t="s">
        <v>933</v>
      </c>
      <c r="E132" s="299" t="s">
        <v>4508</v>
      </c>
      <c r="F132" s="300">
        <v>6603</v>
      </c>
      <c r="G132" s="804">
        <f t="shared" si="173"/>
        <v>0</v>
      </c>
      <c r="H132" s="522">
        <f t="shared" si="145"/>
        <v>0</v>
      </c>
      <c r="I132" s="522">
        <f t="shared" si="146"/>
        <v>0</v>
      </c>
      <c r="J132" s="522">
        <f t="shared" si="166"/>
        <v>0</v>
      </c>
      <c r="K132" s="522">
        <f t="shared" si="167"/>
        <v>0</v>
      </c>
      <c r="L132" s="522">
        <f t="shared" si="147"/>
        <v>0</v>
      </c>
      <c r="M132" s="522">
        <f t="shared" si="148"/>
        <v>0</v>
      </c>
      <c r="N132" s="522">
        <f t="shared" si="149"/>
        <v>0</v>
      </c>
      <c r="O132" s="522">
        <f t="shared" si="150"/>
        <v>0</v>
      </c>
      <c r="P132" s="522">
        <f t="shared" si="151"/>
        <v>0</v>
      </c>
      <c r="Q132" s="522">
        <f t="shared" si="152"/>
        <v>0</v>
      </c>
      <c r="R132" s="522">
        <f t="shared" si="153"/>
        <v>0</v>
      </c>
      <c r="S132" s="522">
        <f t="shared" si="154"/>
        <v>0</v>
      </c>
      <c r="T132" s="522">
        <f t="shared" si="155"/>
        <v>0</v>
      </c>
      <c r="U132" s="522">
        <f t="shared" si="114"/>
        <v>0</v>
      </c>
      <c r="V132" s="522">
        <f t="shared" si="168"/>
        <v>0</v>
      </c>
      <c r="W132" s="522">
        <f t="shared" si="169"/>
        <v>0</v>
      </c>
      <c r="X132" s="522">
        <f t="shared" si="170"/>
        <v>0</v>
      </c>
      <c r="Y132" s="522">
        <f t="shared" si="171"/>
        <v>0</v>
      </c>
      <c r="Z132" s="522">
        <f t="shared" si="156"/>
        <v>0</v>
      </c>
      <c r="AA132" s="522">
        <f t="shared" si="157"/>
        <v>0</v>
      </c>
      <c r="AB132" s="522">
        <f t="shared" si="158"/>
        <v>0</v>
      </c>
      <c r="AC132" s="522">
        <f t="shared" si="159"/>
        <v>0</v>
      </c>
      <c r="AD132" s="522">
        <f t="shared" si="160"/>
        <v>0</v>
      </c>
      <c r="AE132" s="522">
        <f t="shared" si="161"/>
        <v>0</v>
      </c>
      <c r="AF132" s="522">
        <f t="shared" si="162"/>
        <v>0</v>
      </c>
      <c r="AG132" s="522">
        <f t="shared" si="163"/>
        <v>0</v>
      </c>
      <c r="AH132" s="522">
        <f t="shared" si="164"/>
        <v>0</v>
      </c>
      <c r="AI132" s="231">
        <f t="shared" si="174"/>
        <v>0</v>
      </c>
      <c r="AJ132" s="231">
        <f t="shared" si="175"/>
        <v>0</v>
      </c>
      <c r="AK132" s="231">
        <f t="shared" si="176"/>
        <v>0</v>
      </c>
      <c r="AL132" s="231">
        <f t="shared" si="165"/>
        <v>0</v>
      </c>
      <c r="AM132" s="232">
        <f t="shared" si="177"/>
        <v>0</v>
      </c>
      <c r="AN132" s="325" t="s">
        <v>4518</v>
      </c>
    </row>
    <row r="133" spans="1:40" ht="30" customHeight="1">
      <c r="A133" s="50"/>
      <c r="B133" s="288"/>
      <c r="C133" s="326" t="s">
        <v>232</v>
      </c>
      <c r="D133" s="228" t="s">
        <v>480</v>
      </c>
      <c r="E133" s="301" t="s">
        <v>4509</v>
      </c>
      <c r="F133" s="228">
        <v>6601</v>
      </c>
      <c r="G133" s="805">
        <f t="shared" si="173"/>
        <v>36</v>
      </c>
      <c r="H133" s="189">
        <f t="shared" si="145"/>
        <v>0</v>
      </c>
      <c r="I133" s="189">
        <f t="shared" si="146"/>
        <v>0</v>
      </c>
      <c r="J133" s="189">
        <f t="shared" si="166"/>
        <v>8</v>
      </c>
      <c r="K133" s="189">
        <f t="shared" si="167"/>
        <v>9</v>
      </c>
      <c r="L133" s="189">
        <f t="shared" si="147"/>
        <v>0</v>
      </c>
      <c r="M133" s="189">
        <f t="shared" si="148"/>
        <v>0</v>
      </c>
      <c r="N133" s="189">
        <f t="shared" si="149"/>
        <v>0</v>
      </c>
      <c r="O133" s="189">
        <f t="shared" si="150"/>
        <v>0</v>
      </c>
      <c r="P133" s="189">
        <f t="shared" si="151"/>
        <v>0</v>
      </c>
      <c r="Q133" s="189">
        <f t="shared" si="152"/>
        <v>0</v>
      </c>
      <c r="R133" s="189">
        <f t="shared" si="153"/>
        <v>0</v>
      </c>
      <c r="S133" s="189">
        <f t="shared" si="154"/>
        <v>0</v>
      </c>
      <c r="T133" s="189">
        <f t="shared" si="155"/>
        <v>0</v>
      </c>
      <c r="U133" s="189">
        <f t="shared" si="114"/>
        <v>1</v>
      </c>
      <c r="V133" s="189">
        <f t="shared" si="168"/>
        <v>0</v>
      </c>
      <c r="W133" s="189">
        <f t="shared" si="169"/>
        <v>0</v>
      </c>
      <c r="X133" s="189">
        <f t="shared" si="170"/>
        <v>9</v>
      </c>
      <c r="Y133" s="189">
        <f t="shared" si="171"/>
        <v>8</v>
      </c>
      <c r="Z133" s="189">
        <f t="shared" si="156"/>
        <v>0</v>
      </c>
      <c r="AA133" s="189">
        <f t="shared" si="157"/>
        <v>0</v>
      </c>
      <c r="AB133" s="189">
        <f t="shared" si="158"/>
        <v>0</v>
      </c>
      <c r="AC133" s="189">
        <f t="shared" si="159"/>
        <v>0</v>
      </c>
      <c r="AD133" s="189">
        <f t="shared" si="160"/>
        <v>0</v>
      </c>
      <c r="AE133" s="189">
        <f t="shared" si="161"/>
        <v>0</v>
      </c>
      <c r="AF133" s="189">
        <f t="shared" si="162"/>
        <v>0</v>
      </c>
      <c r="AG133" s="189">
        <f t="shared" si="163"/>
        <v>0</v>
      </c>
      <c r="AH133" s="189">
        <f t="shared" si="164"/>
        <v>0</v>
      </c>
      <c r="AI133" s="190">
        <f t="shared" si="174"/>
        <v>1</v>
      </c>
      <c r="AJ133" s="190">
        <f t="shared" si="175"/>
        <v>0</v>
      </c>
      <c r="AK133" s="190">
        <f t="shared" si="176"/>
        <v>0</v>
      </c>
      <c r="AL133" s="190">
        <f t="shared" si="165"/>
        <v>0</v>
      </c>
      <c r="AM133" s="233">
        <f t="shared" si="177"/>
        <v>0</v>
      </c>
      <c r="AN133" s="326" t="s">
        <v>4519</v>
      </c>
    </row>
    <row r="134" spans="1:40" ht="30" customHeight="1">
      <c r="A134" s="50"/>
      <c r="B134" s="288"/>
      <c r="C134" s="324" t="s">
        <v>899</v>
      </c>
      <c r="D134" s="298" t="s">
        <v>914</v>
      </c>
      <c r="E134" s="297" t="s">
        <v>4510</v>
      </c>
      <c r="F134" s="298">
        <v>6600</v>
      </c>
      <c r="G134" s="806">
        <f t="shared" si="173"/>
        <v>30</v>
      </c>
      <c r="H134" s="523">
        <f t="shared" si="145"/>
        <v>0</v>
      </c>
      <c r="I134" s="523">
        <f t="shared" si="146"/>
        <v>0</v>
      </c>
      <c r="J134" s="523">
        <f t="shared" si="166"/>
        <v>2</v>
      </c>
      <c r="K134" s="523">
        <f t="shared" si="167"/>
        <v>2</v>
      </c>
      <c r="L134" s="523">
        <f t="shared" si="147"/>
        <v>1</v>
      </c>
      <c r="M134" s="523">
        <f t="shared" si="148"/>
        <v>0</v>
      </c>
      <c r="N134" s="523">
        <f t="shared" si="149"/>
        <v>0</v>
      </c>
      <c r="O134" s="523">
        <f t="shared" si="150"/>
        <v>1</v>
      </c>
      <c r="P134" s="523">
        <f t="shared" si="151"/>
        <v>0</v>
      </c>
      <c r="Q134" s="523">
        <f t="shared" si="152"/>
        <v>0</v>
      </c>
      <c r="R134" s="523">
        <f t="shared" si="153"/>
        <v>4</v>
      </c>
      <c r="S134" s="523">
        <f t="shared" si="154"/>
        <v>2</v>
      </c>
      <c r="T134" s="523">
        <f t="shared" si="155"/>
        <v>2</v>
      </c>
      <c r="U134" s="523">
        <f t="shared" si="114"/>
        <v>3</v>
      </c>
      <c r="V134" s="523">
        <f t="shared" si="168"/>
        <v>0</v>
      </c>
      <c r="W134" s="523">
        <f t="shared" si="169"/>
        <v>0</v>
      </c>
      <c r="X134" s="523">
        <f t="shared" si="170"/>
        <v>4</v>
      </c>
      <c r="Y134" s="523">
        <f t="shared" si="171"/>
        <v>4</v>
      </c>
      <c r="Z134" s="523">
        <f t="shared" si="156"/>
        <v>0</v>
      </c>
      <c r="AA134" s="523">
        <f t="shared" si="157"/>
        <v>0</v>
      </c>
      <c r="AB134" s="523">
        <f t="shared" si="158"/>
        <v>0</v>
      </c>
      <c r="AC134" s="523">
        <f t="shared" si="159"/>
        <v>1</v>
      </c>
      <c r="AD134" s="523">
        <f t="shared" si="160"/>
        <v>0</v>
      </c>
      <c r="AE134" s="523">
        <f t="shared" si="161"/>
        <v>0</v>
      </c>
      <c r="AF134" s="523">
        <f t="shared" si="162"/>
        <v>0</v>
      </c>
      <c r="AG134" s="523">
        <f t="shared" si="163"/>
        <v>0</v>
      </c>
      <c r="AH134" s="523">
        <f t="shared" si="164"/>
        <v>0</v>
      </c>
      <c r="AI134" s="229">
        <f t="shared" si="174"/>
        <v>2</v>
      </c>
      <c r="AJ134" s="229">
        <f t="shared" si="175"/>
        <v>0</v>
      </c>
      <c r="AK134" s="229">
        <f t="shared" si="176"/>
        <v>2</v>
      </c>
      <c r="AL134" s="229">
        <f t="shared" si="165"/>
        <v>0</v>
      </c>
      <c r="AM134" s="230">
        <f t="shared" si="177"/>
        <v>0</v>
      </c>
      <c r="AN134" s="324" t="s">
        <v>4520</v>
      </c>
    </row>
    <row r="135" spans="1:40" ht="30" customHeight="1">
      <c r="A135" s="50"/>
      <c r="B135" s="288"/>
      <c r="C135" s="325" t="s">
        <v>902</v>
      </c>
      <c r="D135" s="300" t="s">
        <v>915</v>
      </c>
      <c r="E135" s="299" t="s">
        <v>4511</v>
      </c>
      <c r="F135" s="300">
        <v>6603</v>
      </c>
      <c r="G135" s="804">
        <f t="shared" si="173"/>
        <v>0</v>
      </c>
      <c r="H135" s="522">
        <f t="shared" si="145"/>
        <v>0</v>
      </c>
      <c r="I135" s="522">
        <f t="shared" si="146"/>
        <v>0</v>
      </c>
      <c r="J135" s="522">
        <f t="shared" si="166"/>
        <v>0</v>
      </c>
      <c r="K135" s="522">
        <f t="shared" si="167"/>
        <v>0</v>
      </c>
      <c r="L135" s="522">
        <f t="shared" si="147"/>
        <v>0</v>
      </c>
      <c r="M135" s="522">
        <f t="shared" si="148"/>
        <v>0</v>
      </c>
      <c r="N135" s="522">
        <f t="shared" si="149"/>
        <v>0</v>
      </c>
      <c r="O135" s="522">
        <f t="shared" si="150"/>
        <v>0</v>
      </c>
      <c r="P135" s="522">
        <f t="shared" si="151"/>
        <v>0</v>
      </c>
      <c r="Q135" s="522">
        <f t="shared" si="152"/>
        <v>0</v>
      </c>
      <c r="R135" s="522">
        <f t="shared" si="153"/>
        <v>0</v>
      </c>
      <c r="S135" s="522">
        <f t="shared" si="154"/>
        <v>0</v>
      </c>
      <c r="T135" s="522">
        <f t="shared" si="155"/>
        <v>0</v>
      </c>
      <c r="U135" s="522">
        <f t="shared" si="114"/>
        <v>0</v>
      </c>
      <c r="V135" s="522">
        <f t="shared" si="168"/>
        <v>0</v>
      </c>
      <c r="W135" s="522">
        <f t="shared" si="169"/>
        <v>0</v>
      </c>
      <c r="X135" s="522">
        <f t="shared" si="170"/>
        <v>0</v>
      </c>
      <c r="Y135" s="522">
        <f t="shared" si="171"/>
        <v>0</v>
      </c>
      <c r="Z135" s="522">
        <f t="shared" si="156"/>
        <v>0</v>
      </c>
      <c r="AA135" s="522">
        <f t="shared" si="157"/>
        <v>0</v>
      </c>
      <c r="AB135" s="522">
        <f t="shared" si="158"/>
        <v>0</v>
      </c>
      <c r="AC135" s="522">
        <f t="shared" si="159"/>
        <v>0</v>
      </c>
      <c r="AD135" s="522">
        <f t="shared" si="160"/>
        <v>0</v>
      </c>
      <c r="AE135" s="522">
        <f t="shared" si="161"/>
        <v>0</v>
      </c>
      <c r="AF135" s="522">
        <f t="shared" si="162"/>
        <v>0</v>
      </c>
      <c r="AG135" s="522">
        <f t="shared" si="163"/>
        <v>0</v>
      </c>
      <c r="AH135" s="522">
        <f t="shared" si="164"/>
        <v>0</v>
      </c>
      <c r="AI135" s="231">
        <f t="shared" si="174"/>
        <v>0</v>
      </c>
      <c r="AJ135" s="231">
        <f t="shared" si="175"/>
        <v>0</v>
      </c>
      <c r="AK135" s="231">
        <f t="shared" si="176"/>
        <v>0</v>
      </c>
      <c r="AL135" s="231">
        <f t="shared" si="165"/>
        <v>0</v>
      </c>
      <c r="AM135" s="232">
        <f t="shared" si="177"/>
        <v>0</v>
      </c>
      <c r="AN135" s="325" t="s">
        <v>4521</v>
      </c>
    </row>
    <row r="136" spans="1:40" ht="30" customHeight="1">
      <c r="A136" s="50"/>
      <c r="B136" s="288"/>
      <c r="C136" s="326" t="s">
        <v>231</v>
      </c>
      <c r="D136" s="228" t="s">
        <v>481</v>
      </c>
      <c r="E136" s="301" t="s">
        <v>4512</v>
      </c>
      <c r="F136" s="228">
        <v>6601</v>
      </c>
      <c r="G136" s="805">
        <f t="shared" si="173"/>
        <v>0</v>
      </c>
      <c r="H136" s="189">
        <f t="shared" ref="H136:H174" si="178">COUNTIF(Area_v1RISHER,$C136)</f>
        <v>0</v>
      </c>
      <c r="I136" s="189">
        <f t="shared" ref="I136:I174" si="179">COUNTIF(Area_v2RISHER,$C136)</f>
        <v>0</v>
      </c>
      <c r="J136" s="189">
        <f t="shared" si="166"/>
        <v>0</v>
      </c>
      <c r="K136" s="189">
        <f t="shared" si="167"/>
        <v>0</v>
      </c>
      <c r="L136" s="189">
        <f t="shared" ref="L136:L174" si="180">COUNTIF(Area_v1HER,$C136)</f>
        <v>0</v>
      </c>
      <c r="M136" s="189">
        <f t="shared" ref="M136:M174" si="181">COUNTIF(Area_v2HER,$C136)</f>
        <v>0</v>
      </c>
      <c r="N136" s="189">
        <f t="shared" ref="N136:N174" si="182">COUNTIF(Area_v3HER,$C136)</f>
        <v>0</v>
      </c>
      <c r="O136" s="189">
        <f t="shared" ref="O136:O174" si="183">COUNTIF(Area_v4HER,$C136)</f>
        <v>0</v>
      </c>
      <c r="P136" s="189">
        <f t="shared" ref="P136:P174" si="184">COUNTIF(Area_v5HER,$C136)</f>
        <v>0</v>
      </c>
      <c r="Q136" s="189">
        <f t="shared" ref="Q136:Q174" si="185">COUNTIF(Area_v6HER,$C136)</f>
        <v>0</v>
      </c>
      <c r="R136" s="189">
        <f t="shared" ref="R136:R174" si="186">COUNTIF(Area_v1HERTSA,$C136)</f>
        <v>0</v>
      </c>
      <c r="S136" s="189">
        <f t="shared" ref="S136:S174" si="187">COUNTIF(Area_v2HERTSA,$C136)</f>
        <v>0</v>
      </c>
      <c r="T136" s="189">
        <f t="shared" ref="T136:T174" si="188">COUNTIF(Area_v3HERTSA,$C136)</f>
        <v>0</v>
      </c>
      <c r="U136" s="189">
        <f t="shared" ref="U136:U164" si="189">COUNTIF(Area_v4HERTSA,$C136)</f>
        <v>0</v>
      </c>
      <c r="V136" s="189">
        <f t="shared" si="168"/>
        <v>0</v>
      </c>
      <c r="W136" s="189">
        <f t="shared" si="169"/>
        <v>0</v>
      </c>
      <c r="X136" s="189">
        <f t="shared" si="170"/>
        <v>0</v>
      </c>
      <c r="Y136" s="189">
        <f t="shared" si="171"/>
        <v>0</v>
      </c>
      <c r="Z136" s="189">
        <f t="shared" ref="Z136:Z174" si="190">COUNTIF(Area_v51HERTSA,$C136)</f>
        <v>0</v>
      </c>
      <c r="AA136" s="189">
        <f t="shared" ref="AA136:AA174" si="191">COUNTIF(Area_v52HERTSA,$C136)</f>
        <v>0</v>
      </c>
      <c r="AB136" s="189">
        <f t="shared" ref="AB136:AB174" si="192">COUNTIF(Area_v53HERTSA,$C136)</f>
        <v>0</v>
      </c>
      <c r="AC136" s="189">
        <f t="shared" ref="AC136:AC174" si="193">COUNTIF(Area_v1TSA,$C136)</f>
        <v>0</v>
      </c>
      <c r="AD136" s="189">
        <f t="shared" ref="AD136:AD174" si="194">COUNTIF(Area_v2TSA,$C136)</f>
        <v>0</v>
      </c>
      <c r="AE136" s="189">
        <f t="shared" ref="AE136:AE174" si="195">COUNTIF(Area_v3TSA,$C136)</f>
        <v>0</v>
      </c>
      <c r="AF136" s="189">
        <f t="shared" ref="AF136:AF174" si="196">COUNTIF(Area_v4TSA,$C136)</f>
        <v>0</v>
      </c>
      <c r="AG136" s="189">
        <f t="shared" ref="AG136:AG174" si="197">COUNTIF(Area_v5TSA,$C136)</f>
        <v>0</v>
      </c>
      <c r="AH136" s="189">
        <f t="shared" ref="AH136:AH174" si="198">COUNTIF(Area_v6TSA,$C136)</f>
        <v>0</v>
      </c>
      <c r="AI136" s="190">
        <f t="shared" si="174"/>
        <v>0</v>
      </c>
      <c r="AJ136" s="190">
        <f t="shared" si="175"/>
        <v>0</v>
      </c>
      <c r="AK136" s="190">
        <f t="shared" si="176"/>
        <v>0</v>
      </c>
      <c r="AL136" s="190">
        <f t="shared" ref="AL136:AL174" si="199">COUNTIF(Area_v4THAHOLON,$C136)</f>
        <v>0</v>
      </c>
      <c r="AM136" s="233">
        <f t="shared" si="177"/>
        <v>0</v>
      </c>
      <c r="AN136" s="326" t="s">
        <v>4522</v>
      </c>
    </row>
    <row r="137" spans="1:40" ht="30" customHeight="1">
      <c r="A137" s="249"/>
      <c r="B137" s="1025"/>
      <c r="C137" s="324" t="s">
        <v>900</v>
      </c>
      <c r="D137" s="298" t="s">
        <v>917</v>
      </c>
      <c r="E137" s="297" t="s">
        <v>4513</v>
      </c>
      <c r="F137" s="298">
        <v>6600</v>
      </c>
      <c r="G137" s="806">
        <f t="shared" si="173"/>
        <v>1</v>
      </c>
      <c r="H137" s="523">
        <f t="shared" si="178"/>
        <v>0</v>
      </c>
      <c r="I137" s="523">
        <f t="shared" si="179"/>
        <v>0</v>
      </c>
      <c r="J137" s="523">
        <f t="shared" si="166"/>
        <v>0</v>
      </c>
      <c r="K137" s="523">
        <f t="shared" si="167"/>
        <v>0</v>
      </c>
      <c r="L137" s="523">
        <f t="shared" si="180"/>
        <v>0</v>
      </c>
      <c r="M137" s="523">
        <f t="shared" si="181"/>
        <v>0</v>
      </c>
      <c r="N137" s="523">
        <f t="shared" si="182"/>
        <v>0</v>
      </c>
      <c r="O137" s="523">
        <f t="shared" si="183"/>
        <v>0</v>
      </c>
      <c r="P137" s="523">
        <f t="shared" si="184"/>
        <v>0</v>
      </c>
      <c r="Q137" s="523">
        <f t="shared" si="185"/>
        <v>0</v>
      </c>
      <c r="R137" s="523">
        <f t="shared" si="186"/>
        <v>0</v>
      </c>
      <c r="S137" s="523">
        <f t="shared" si="187"/>
        <v>0</v>
      </c>
      <c r="T137" s="523">
        <f t="shared" si="188"/>
        <v>0</v>
      </c>
      <c r="U137" s="523">
        <f t="shared" si="189"/>
        <v>0</v>
      </c>
      <c r="V137" s="523">
        <f t="shared" si="168"/>
        <v>0</v>
      </c>
      <c r="W137" s="523">
        <f t="shared" si="169"/>
        <v>0</v>
      </c>
      <c r="X137" s="523">
        <f t="shared" si="170"/>
        <v>0</v>
      </c>
      <c r="Y137" s="523">
        <f t="shared" si="171"/>
        <v>1</v>
      </c>
      <c r="Z137" s="523">
        <f t="shared" si="190"/>
        <v>0</v>
      </c>
      <c r="AA137" s="523">
        <f t="shared" si="191"/>
        <v>0</v>
      </c>
      <c r="AB137" s="523">
        <f t="shared" si="192"/>
        <v>0</v>
      </c>
      <c r="AC137" s="523">
        <f t="shared" si="193"/>
        <v>0</v>
      </c>
      <c r="AD137" s="523">
        <f t="shared" si="194"/>
        <v>0</v>
      </c>
      <c r="AE137" s="523">
        <f t="shared" si="195"/>
        <v>0</v>
      </c>
      <c r="AF137" s="523">
        <f t="shared" si="196"/>
        <v>0</v>
      </c>
      <c r="AG137" s="523">
        <f t="shared" si="197"/>
        <v>0</v>
      </c>
      <c r="AH137" s="523">
        <f t="shared" si="198"/>
        <v>0</v>
      </c>
      <c r="AI137" s="229">
        <f t="shared" si="174"/>
        <v>0</v>
      </c>
      <c r="AJ137" s="229">
        <f t="shared" si="175"/>
        <v>0</v>
      </c>
      <c r="AK137" s="229">
        <f t="shared" si="176"/>
        <v>0</v>
      </c>
      <c r="AL137" s="229">
        <f t="shared" si="199"/>
        <v>0</v>
      </c>
      <c r="AM137" s="230">
        <f t="shared" si="177"/>
        <v>0</v>
      </c>
      <c r="AN137" s="324" t="s">
        <v>4523</v>
      </c>
    </row>
    <row r="138" spans="1:40" ht="30" customHeight="1">
      <c r="A138" s="50"/>
      <c r="B138" s="288"/>
      <c r="C138" s="1153" t="s">
        <v>905</v>
      </c>
      <c r="D138" s="1154" t="s">
        <v>918</v>
      </c>
      <c r="E138" s="1155" t="s">
        <v>4514</v>
      </c>
      <c r="F138" s="1154">
        <v>6603</v>
      </c>
      <c r="G138" s="1156">
        <f t="shared" si="173"/>
        <v>0</v>
      </c>
      <c r="H138" s="1109">
        <f t="shared" si="178"/>
        <v>0</v>
      </c>
      <c r="I138" s="1109">
        <f t="shared" si="179"/>
        <v>0</v>
      </c>
      <c r="J138" s="1109">
        <f t="shared" si="166"/>
        <v>0</v>
      </c>
      <c r="K138" s="1109">
        <f t="shared" si="167"/>
        <v>0</v>
      </c>
      <c r="L138" s="1109">
        <f t="shared" si="180"/>
        <v>0</v>
      </c>
      <c r="M138" s="1109">
        <f t="shared" si="181"/>
        <v>0</v>
      </c>
      <c r="N138" s="1109">
        <f t="shared" si="182"/>
        <v>0</v>
      </c>
      <c r="O138" s="1109">
        <f t="shared" si="183"/>
        <v>0</v>
      </c>
      <c r="P138" s="1109">
        <f t="shared" si="184"/>
        <v>0</v>
      </c>
      <c r="Q138" s="1109">
        <f t="shared" si="185"/>
        <v>0</v>
      </c>
      <c r="R138" s="1109">
        <f t="shared" si="186"/>
        <v>0</v>
      </c>
      <c r="S138" s="1109">
        <f t="shared" si="187"/>
        <v>0</v>
      </c>
      <c r="T138" s="1109">
        <f t="shared" si="188"/>
        <v>0</v>
      </c>
      <c r="U138" s="1109">
        <f t="shared" si="189"/>
        <v>0</v>
      </c>
      <c r="V138" s="1109">
        <f t="shared" si="168"/>
        <v>0</v>
      </c>
      <c r="W138" s="1109">
        <f t="shared" si="169"/>
        <v>0</v>
      </c>
      <c r="X138" s="1109">
        <f t="shared" si="170"/>
        <v>0</v>
      </c>
      <c r="Y138" s="1109">
        <f t="shared" si="171"/>
        <v>0</v>
      </c>
      <c r="Z138" s="1109">
        <f t="shared" si="190"/>
        <v>0</v>
      </c>
      <c r="AA138" s="1109">
        <f t="shared" si="191"/>
        <v>0</v>
      </c>
      <c r="AB138" s="1109">
        <f t="shared" si="192"/>
        <v>0</v>
      </c>
      <c r="AC138" s="1109">
        <f t="shared" si="193"/>
        <v>0</v>
      </c>
      <c r="AD138" s="1109">
        <f t="shared" si="194"/>
        <v>0</v>
      </c>
      <c r="AE138" s="1109">
        <f t="shared" si="195"/>
        <v>0</v>
      </c>
      <c r="AF138" s="1109">
        <f t="shared" si="196"/>
        <v>0</v>
      </c>
      <c r="AG138" s="1109">
        <f t="shared" si="197"/>
        <v>0</v>
      </c>
      <c r="AH138" s="1109">
        <f t="shared" si="198"/>
        <v>0</v>
      </c>
      <c r="AI138" s="1157">
        <f t="shared" si="174"/>
        <v>0</v>
      </c>
      <c r="AJ138" s="1157">
        <f t="shared" si="175"/>
        <v>0</v>
      </c>
      <c r="AK138" s="1157">
        <f t="shared" si="176"/>
        <v>0</v>
      </c>
      <c r="AL138" s="1157">
        <f t="shared" si="199"/>
        <v>0</v>
      </c>
      <c r="AM138" s="1158">
        <f t="shared" si="177"/>
        <v>0</v>
      </c>
      <c r="AN138" s="1153" t="s">
        <v>4524</v>
      </c>
    </row>
    <row r="139" spans="1:40" ht="30" customHeight="1">
      <c r="A139" s="49"/>
      <c r="B139" s="1024"/>
      <c r="C139" s="1068" t="s">
        <v>4185</v>
      </c>
      <c r="D139" s="1069" t="s">
        <v>482</v>
      </c>
      <c r="E139" s="1070" t="s">
        <v>4525</v>
      </c>
      <c r="F139" s="1069">
        <v>6609</v>
      </c>
      <c r="G139" s="803">
        <f t="shared" si="173"/>
        <v>0</v>
      </c>
      <c r="H139" s="521">
        <f t="shared" si="178"/>
        <v>0</v>
      </c>
      <c r="I139" s="521">
        <f t="shared" si="179"/>
        <v>0</v>
      </c>
      <c r="J139" s="521">
        <f t="shared" si="166"/>
        <v>0</v>
      </c>
      <c r="K139" s="521">
        <f t="shared" si="167"/>
        <v>0</v>
      </c>
      <c r="L139" s="521">
        <f t="shared" si="180"/>
        <v>0</v>
      </c>
      <c r="M139" s="521">
        <f t="shared" si="181"/>
        <v>0</v>
      </c>
      <c r="N139" s="521">
        <f t="shared" si="182"/>
        <v>0</v>
      </c>
      <c r="O139" s="521">
        <f t="shared" si="183"/>
        <v>0</v>
      </c>
      <c r="P139" s="521">
        <f t="shared" si="184"/>
        <v>0</v>
      </c>
      <c r="Q139" s="521">
        <f t="shared" si="185"/>
        <v>0</v>
      </c>
      <c r="R139" s="521">
        <f t="shared" si="186"/>
        <v>0</v>
      </c>
      <c r="S139" s="521">
        <f t="shared" si="187"/>
        <v>0</v>
      </c>
      <c r="T139" s="521">
        <f t="shared" si="188"/>
        <v>0</v>
      </c>
      <c r="U139" s="521">
        <f t="shared" si="189"/>
        <v>0</v>
      </c>
      <c r="V139" s="521">
        <f t="shared" si="168"/>
        <v>0</v>
      </c>
      <c r="W139" s="521">
        <f t="shared" si="169"/>
        <v>0</v>
      </c>
      <c r="X139" s="521">
        <f t="shared" si="170"/>
        <v>0</v>
      </c>
      <c r="Y139" s="521">
        <f t="shared" si="171"/>
        <v>0</v>
      </c>
      <c r="Z139" s="521">
        <f t="shared" si="190"/>
        <v>0</v>
      </c>
      <c r="AA139" s="521">
        <f t="shared" si="191"/>
        <v>0</v>
      </c>
      <c r="AB139" s="521">
        <f t="shared" si="192"/>
        <v>0</v>
      </c>
      <c r="AC139" s="521">
        <f t="shared" si="193"/>
        <v>0</v>
      </c>
      <c r="AD139" s="521">
        <f t="shared" si="194"/>
        <v>0</v>
      </c>
      <c r="AE139" s="521">
        <f t="shared" si="195"/>
        <v>0</v>
      </c>
      <c r="AF139" s="521">
        <f t="shared" si="196"/>
        <v>0</v>
      </c>
      <c r="AG139" s="521">
        <f t="shared" si="197"/>
        <v>0</v>
      </c>
      <c r="AH139" s="521">
        <f t="shared" si="198"/>
        <v>0</v>
      </c>
      <c r="AI139" s="226">
        <f t="shared" si="174"/>
        <v>0</v>
      </c>
      <c r="AJ139" s="226">
        <f t="shared" si="175"/>
        <v>0</v>
      </c>
      <c r="AK139" s="226">
        <f t="shared" si="176"/>
        <v>0</v>
      </c>
      <c r="AL139" s="226">
        <f t="shared" si="199"/>
        <v>0</v>
      </c>
      <c r="AM139" s="227">
        <f t="shared" si="177"/>
        <v>0</v>
      </c>
      <c r="AN139" s="1068" t="s">
        <v>4529</v>
      </c>
    </row>
    <row r="140" spans="1:40" ht="30" customHeight="1">
      <c r="A140" s="50"/>
      <c r="B140" s="288"/>
      <c r="C140" s="326" t="s">
        <v>818</v>
      </c>
      <c r="D140" s="228" t="s">
        <v>483</v>
      </c>
      <c r="E140" s="301" t="s">
        <v>4526</v>
      </c>
      <c r="F140" s="228">
        <v>6609</v>
      </c>
      <c r="G140" s="805">
        <f t="shared" si="173"/>
        <v>64</v>
      </c>
      <c r="H140" s="189">
        <f t="shared" si="178"/>
        <v>26</v>
      </c>
      <c r="I140" s="189">
        <f t="shared" si="179"/>
        <v>26</v>
      </c>
      <c r="J140" s="189">
        <f t="shared" si="166"/>
        <v>1</v>
      </c>
      <c r="K140" s="189">
        <f t="shared" si="167"/>
        <v>1</v>
      </c>
      <c r="L140" s="189">
        <f t="shared" si="180"/>
        <v>0</v>
      </c>
      <c r="M140" s="189">
        <f t="shared" si="181"/>
        <v>0</v>
      </c>
      <c r="N140" s="189">
        <f t="shared" si="182"/>
        <v>0</v>
      </c>
      <c r="O140" s="189">
        <f t="shared" si="183"/>
        <v>0</v>
      </c>
      <c r="P140" s="189">
        <f t="shared" si="184"/>
        <v>0</v>
      </c>
      <c r="Q140" s="189">
        <f t="shared" si="185"/>
        <v>0</v>
      </c>
      <c r="R140" s="189">
        <f t="shared" si="186"/>
        <v>2</v>
      </c>
      <c r="S140" s="189">
        <f t="shared" si="187"/>
        <v>2</v>
      </c>
      <c r="T140" s="189">
        <f t="shared" si="188"/>
        <v>2</v>
      </c>
      <c r="U140" s="189">
        <f t="shared" si="189"/>
        <v>0</v>
      </c>
      <c r="V140" s="189">
        <f t="shared" si="168"/>
        <v>0</v>
      </c>
      <c r="W140" s="189">
        <f t="shared" si="169"/>
        <v>0</v>
      </c>
      <c r="X140" s="189">
        <f t="shared" si="170"/>
        <v>0</v>
      </c>
      <c r="Y140" s="189">
        <f t="shared" si="171"/>
        <v>0</v>
      </c>
      <c r="Z140" s="189">
        <f t="shared" si="190"/>
        <v>0</v>
      </c>
      <c r="AA140" s="189">
        <f t="shared" si="191"/>
        <v>0</v>
      </c>
      <c r="AB140" s="189">
        <f t="shared" si="192"/>
        <v>0</v>
      </c>
      <c r="AC140" s="189">
        <f t="shared" si="193"/>
        <v>1</v>
      </c>
      <c r="AD140" s="189">
        <f t="shared" si="194"/>
        <v>1</v>
      </c>
      <c r="AE140" s="189">
        <f t="shared" si="195"/>
        <v>0</v>
      </c>
      <c r="AF140" s="189">
        <f t="shared" si="196"/>
        <v>0</v>
      </c>
      <c r="AG140" s="189">
        <f t="shared" si="197"/>
        <v>0</v>
      </c>
      <c r="AH140" s="189">
        <f t="shared" si="198"/>
        <v>0</v>
      </c>
      <c r="AI140" s="190">
        <f t="shared" si="174"/>
        <v>0</v>
      </c>
      <c r="AJ140" s="190">
        <f t="shared" si="175"/>
        <v>0</v>
      </c>
      <c r="AK140" s="190">
        <f t="shared" si="176"/>
        <v>0</v>
      </c>
      <c r="AL140" s="190">
        <f t="shared" si="199"/>
        <v>1</v>
      </c>
      <c r="AM140" s="233">
        <f t="shared" si="177"/>
        <v>1</v>
      </c>
      <c r="AN140" s="326" t="s">
        <v>4530</v>
      </c>
    </row>
    <row r="141" spans="1:40" ht="30" customHeight="1">
      <c r="A141" s="50"/>
      <c r="B141" s="288"/>
      <c r="C141" s="326" t="s">
        <v>819</v>
      </c>
      <c r="D141" s="228" t="s">
        <v>484</v>
      </c>
      <c r="E141" s="301" t="s">
        <v>4527</v>
      </c>
      <c r="F141" s="228">
        <v>6609</v>
      </c>
      <c r="G141" s="805">
        <f t="shared" si="173"/>
        <v>121</v>
      </c>
      <c r="H141" s="189">
        <f t="shared" si="178"/>
        <v>1</v>
      </c>
      <c r="I141" s="189">
        <f t="shared" si="179"/>
        <v>1</v>
      </c>
      <c r="J141" s="189">
        <f t="shared" ref="J141:J174" si="200">COUNTIF(Area_v1RAANHER,$C141)</f>
        <v>0</v>
      </c>
      <c r="K141" s="189">
        <f t="shared" ref="K141:K174" si="201">COUNTIF(Area_v2RAANHER,$C141)</f>
        <v>0</v>
      </c>
      <c r="L141" s="189">
        <f t="shared" si="180"/>
        <v>0</v>
      </c>
      <c r="M141" s="189">
        <f t="shared" si="181"/>
        <v>0</v>
      </c>
      <c r="N141" s="189">
        <f t="shared" si="182"/>
        <v>0</v>
      </c>
      <c r="O141" s="189">
        <f t="shared" si="183"/>
        <v>3</v>
      </c>
      <c r="P141" s="189">
        <f t="shared" si="184"/>
        <v>0</v>
      </c>
      <c r="Q141" s="189">
        <f t="shared" si="185"/>
        <v>3</v>
      </c>
      <c r="R141" s="189">
        <f t="shared" si="186"/>
        <v>3</v>
      </c>
      <c r="S141" s="189">
        <f t="shared" si="187"/>
        <v>0</v>
      </c>
      <c r="T141" s="189">
        <f t="shared" si="188"/>
        <v>0</v>
      </c>
      <c r="U141" s="189">
        <f t="shared" si="189"/>
        <v>3</v>
      </c>
      <c r="V141" s="189">
        <f t="shared" ref="V141:V174" si="202">COUNTIF(Area_v5HERTSA,$C141)</f>
        <v>0</v>
      </c>
      <c r="W141" s="189">
        <f t="shared" ref="W141:W174" si="203">COUNTIF(Area_v5BBRHER,$C141)</f>
        <v>1</v>
      </c>
      <c r="X141" s="189">
        <f t="shared" ref="X141:X174" si="204">COUNTIF(Area_v1BBRTUN,$C141)</f>
        <v>2</v>
      </c>
      <c r="Y141" s="189">
        <f t="shared" ref="Y141:Y174" si="205">COUNTIF(Area_v2BBRTUN,$C141)</f>
        <v>1</v>
      </c>
      <c r="Z141" s="189">
        <f t="shared" si="190"/>
        <v>0</v>
      </c>
      <c r="AA141" s="189">
        <f t="shared" si="191"/>
        <v>0</v>
      </c>
      <c r="AB141" s="189">
        <f t="shared" si="192"/>
        <v>0</v>
      </c>
      <c r="AC141" s="189">
        <f t="shared" si="193"/>
        <v>2</v>
      </c>
      <c r="AD141" s="189">
        <f t="shared" si="194"/>
        <v>0</v>
      </c>
      <c r="AE141" s="189">
        <f t="shared" si="195"/>
        <v>0</v>
      </c>
      <c r="AF141" s="189">
        <f t="shared" si="196"/>
        <v>1</v>
      </c>
      <c r="AG141" s="189">
        <f t="shared" si="197"/>
        <v>0</v>
      </c>
      <c r="AH141" s="189">
        <f t="shared" si="198"/>
        <v>1</v>
      </c>
      <c r="AI141" s="190">
        <f t="shared" si="174"/>
        <v>48</v>
      </c>
      <c r="AJ141" s="190">
        <f t="shared" si="175"/>
        <v>2</v>
      </c>
      <c r="AK141" s="190">
        <f t="shared" si="176"/>
        <v>49</v>
      </c>
      <c r="AL141" s="190">
        <f t="shared" si="199"/>
        <v>0</v>
      </c>
      <c r="AM141" s="233">
        <f t="shared" si="177"/>
        <v>0</v>
      </c>
      <c r="AN141" s="326" t="s">
        <v>4531</v>
      </c>
    </row>
    <row r="142" spans="1:40" ht="30" customHeight="1">
      <c r="A142" s="50"/>
      <c r="B142" s="288"/>
      <c r="C142" s="326" t="s">
        <v>820</v>
      </c>
      <c r="D142" s="228" t="s">
        <v>485</v>
      </c>
      <c r="E142" s="301" t="s">
        <v>4528</v>
      </c>
      <c r="F142" s="228">
        <v>6609</v>
      </c>
      <c r="G142" s="805">
        <f t="shared" si="173"/>
        <v>4</v>
      </c>
      <c r="H142" s="189">
        <f t="shared" si="178"/>
        <v>0</v>
      </c>
      <c r="I142" s="189">
        <f t="shared" si="179"/>
        <v>0</v>
      </c>
      <c r="J142" s="189">
        <f t="shared" si="200"/>
        <v>0</v>
      </c>
      <c r="K142" s="189">
        <f t="shared" si="201"/>
        <v>0</v>
      </c>
      <c r="L142" s="189">
        <f t="shared" si="180"/>
        <v>0</v>
      </c>
      <c r="M142" s="189">
        <f t="shared" si="181"/>
        <v>0</v>
      </c>
      <c r="N142" s="189">
        <f t="shared" si="182"/>
        <v>0</v>
      </c>
      <c r="O142" s="189">
        <f t="shared" si="183"/>
        <v>0</v>
      </c>
      <c r="P142" s="189">
        <f t="shared" si="184"/>
        <v>0</v>
      </c>
      <c r="Q142" s="189">
        <f t="shared" si="185"/>
        <v>0</v>
      </c>
      <c r="R142" s="189">
        <f t="shared" si="186"/>
        <v>0</v>
      </c>
      <c r="S142" s="189">
        <f t="shared" si="187"/>
        <v>2</v>
      </c>
      <c r="T142" s="189">
        <f t="shared" si="188"/>
        <v>0</v>
      </c>
      <c r="U142" s="189">
        <f t="shared" si="189"/>
        <v>2</v>
      </c>
      <c r="V142" s="189">
        <f t="shared" si="202"/>
        <v>0</v>
      </c>
      <c r="W142" s="189">
        <f t="shared" si="203"/>
        <v>0</v>
      </c>
      <c r="X142" s="189">
        <f t="shared" si="204"/>
        <v>0</v>
      </c>
      <c r="Y142" s="189">
        <f t="shared" si="205"/>
        <v>0</v>
      </c>
      <c r="Z142" s="189">
        <f t="shared" si="190"/>
        <v>0</v>
      </c>
      <c r="AA142" s="189">
        <f t="shared" si="191"/>
        <v>0</v>
      </c>
      <c r="AB142" s="189">
        <f t="shared" si="192"/>
        <v>0</v>
      </c>
      <c r="AC142" s="189">
        <f t="shared" si="193"/>
        <v>0</v>
      </c>
      <c r="AD142" s="189">
        <f t="shared" si="194"/>
        <v>0</v>
      </c>
      <c r="AE142" s="189">
        <f t="shared" si="195"/>
        <v>0</v>
      </c>
      <c r="AF142" s="189">
        <f t="shared" si="196"/>
        <v>0</v>
      </c>
      <c r="AG142" s="189">
        <f t="shared" si="197"/>
        <v>0</v>
      </c>
      <c r="AH142" s="189">
        <f t="shared" si="198"/>
        <v>0</v>
      </c>
      <c r="AI142" s="190">
        <f t="shared" si="174"/>
        <v>0</v>
      </c>
      <c r="AJ142" s="190">
        <f t="shared" si="175"/>
        <v>0</v>
      </c>
      <c r="AK142" s="190">
        <f t="shared" si="176"/>
        <v>0</v>
      </c>
      <c r="AL142" s="190">
        <f t="shared" si="199"/>
        <v>0</v>
      </c>
      <c r="AM142" s="233">
        <f t="shared" si="177"/>
        <v>0</v>
      </c>
      <c r="AN142" s="326" t="s">
        <v>4532</v>
      </c>
    </row>
    <row r="143" spans="1:40" ht="30" customHeight="1">
      <c r="A143" s="50"/>
      <c r="B143" s="288"/>
      <c r="C143" s="324" t="s">
        <v>1699</v>
      </c>
      <c r="D143" s="298" t="s">
        <v>1705</v>
      </c>
      <c r="E143" s="297" t="s">
        <v>4533</v>
      </c>
      <c r="F143" s="298">
        <v>6606</v>
      </c>
      <c r="G143" s="806">
        <f t="shared" si="173"/>
        <v>18</v>
      </c>
      <c r="H143" s="523">
        <f t="shared" si="178"/>
        <v>1</v>
      </c>
      <c r="I143" s="523">
        <f t="shared" si="179"/>
        <v>1</v>
      </c>
      <c r="J143" s="523">
        <f t="shared" si="200"/>
        <v>2</v>
      </c>
      <c r="K143" s="523">
        <f t="shared" si="201"/>
        <v>2</v>
      </c>
      <c r="L143" s="523">
        <f t="shared" si="180"/>
        <v>0</v>
      </c>
      <c r="M143" s="523">
        <f t="shared" si="181"/>
        <v>0</v>
      </c>
      <c r="N143" s="523">
        <f t="shared" si="182"/>
        <v>0</v>
      </c>
      <c r="O143" s="523">
        <f t="shared" si="183"/>
        <v>0</v>
      </c>
      <c r="P143" s="523">
        <f t="shared" si="184"/>
        <v>0</v>
      </c>
      <c r="Q143" s="523">
        <f t="shared" si="185"/>
        <v>0</v>
      </c>
      <c r="R143" s="523">
        <f t="shared" si="186"/>
        <v>2</v>
      </c>
      <c r="S143" s="523">
        <f t="shared" si="187"/>
        <v>2</v>
      </c>
      <c r="T143" s="523">
        <f t="shared" si="188"/>
        <v>2</v>
      </c>
      <c r="U143" s="523">
        <f t="shared" si="189"/>
        <v>2</v>
      </c>
      <c r="V143" s="523">
        <f t="shared" si="202"/>
        <v>0</v>
      </c>
      <c r="W143" s="523">
        <f t="shared" si="203"/>
        <v>0</v>
      </c>
      <c r="X143" s="523">
        <f t="shared" si="204"/>
        <v>2</v>
      </c>
      <c r="Y143" s="523">
        <f t="shared" si="205"/>
        <v>2</v>
      </c>
      <c r="Z143" s="523">
        <f t="shared" si="190"/>
        <v>0</v>
      </c>
      <c r="AA143" s="523">
        <f t="shared" si="191"/>
        <v>0</v>
      </c>
      <c r="AB143" s="523">
        <f t="shared" si="192"/>
        <v>0</v>
      </c>
      <c r="AC143" s="523">
        <f t="shared" si="193"/>
        <v>0</v>
      </c>
      <c r="AD143" s="523">
        <f t="shared" si="194"/>
        <v>0</v>
      </c>
      <c r="AE143" s="523">
        <f t="shared" si="195"/>
        <v>0</v>
      </c>
      <c r="AF143" s="523">
        <f t="shared" si="196"/>
        <v>0</v>
      </c>
      <c r="AG143" s="523">
        <f t="shared" si="197"/>
        <v>0</v>
      </c>
      <c r="AH143" s="523">
        <f t="shared" si="198"/>
        <v>0</v>
      </c>
      <c r="AI143" s="229">
        <f t="shared" si="174"/>
        <v>0</v>
      </c>
      <c r="AJ143" s="229">
        <f t="shared" si="175"/>
        <v>0</v>
      </c>
      <c r="AK143" s="229">
        <f t="shared" si="176"/>
        <v>0</v>
      </c>
      <c r="AL143" s="229">
        <f t="shared" si="199"/>
        <v>0</v>
      </c>
      <c r="AM143" s="230">
        <f t="shared" si="177"/>
        <v>0</v>
      </c>
      <c r="AN143" s="324" t="s">
        <v>4534</v>
      </c>
    </row>
    <row r="144" spans="1:40" ht="30" customHeight="1">
      <c r="A144" s="50"/>
      <c r="B144" s="288"/>
      <c r="C144" s="326" t="s">
        <v>821</v>
      </c>
      <c r="D144" s="228" t="s">
        <v>486</v>
      </c>
      <c r="E144" s="301" t="s">
        <v>4535</v>
      </c>
      <c r="F144" s="228">
        <v>6609</v>
      </c>
      <c r="G144" s="805">
        <f t="shared" si="173"/>
        <v>153</v>
      </c>
      <c r="H144" s="189">
        <f t="shared" si="178"/>
        <v>0</v>
      </c>
      <c r="I144" s="189">
        <f t="shared" si="179"/>
        <v>0</v>
      </c>
      <c r="J144" s="189">
        <f t="shared" si="200"/>
        <v>0</v>
      </c>
      <c r="K144" s="189">
        <f t="shared" si="201"/>
        <v>0</v>
      </c>
      <c r="L144" s="189">
        <f t="shared" si="180"/>
        <v>0</v>
      </c>
      <c r="M144" s="189">
        <f t="shared" si="181"/>
        <v>1</v>
      </c>
      <c r="N144" s="189">
        <f t="shared" si="182"/>
        <v>0</v>
      </c>
      <c r="O144" s="189">
        <f t="shared" si="183"/>
        <v>6</v>
      </c>
      <c r="P144" s="189">
        <f t="shared" si="184"/>
        <v>0</v>
      </c>
      <c r="Q144" s="189">
        <f t="shared" si="185"/>
        <v>10</v>
      </c>
      <c r="R144" s="189">
        <f t="shared" si="186"/>
        <v>41</v>
      </c>
      <c r="S144" s="189">
        <f t="shared" si="187"/>
        <v>0</v>
      </c>
      <c r="T144" s="189">
        <f t="shared" si="188"/>
        <v>26</v>
      </c>
      <c r="U144" s="189">
        <f t="shared" si="189"/>
        <v>14</v>
      </c>
      <c r="V144" s="189">
        <f t="shared" si="202"/>
        <v>0</v>
      </c>
      <c r="W144" s="189">
        <f t="shared" si="203"/>
        <v>0</v>
      </c>
      <c r="X144" s="189">
        <f t="shared" si="204"/>
        <v>0</v>
      </c>
      <c r="Y144" s="189">
        <f t="shared" si="205"/>
        <v>0</v>
      </c>
      <c r="Z144" s="189">
        <f t="shared" si="190"/>
        <v>0</v>
      </c>
      <c r="AA144" s="189">
        <f t="shared" si="191"/>
        <v>0</v>
      </c>
      <c r="AB144" s="189">
        <f t="shared" si="192"/>
        <v>0</v>
      </c>
      <c r="AC144" s="189">
        <f t="shared" si="193"/>
        <v>2</v>
      </c>
      <c r="AD144" s="189">
        <f t="shared" si="194"/>
        <v>0</v>
      </c>
      <c r="AE144" s="189">
        <f t="shared" si="195"/>
        <v>0</v>
      </c>
      <c r="AF144" s="189">
        <f t="shared" si="196"/>
        <v>3</v>
      </c>
      <c r="AG144" s="189">
        <f t="shared" si="197"/>
        <v>0</v>
      </c>
      <c r="AH144" s="189">
        <f t="shared" si="198"/>
        <v>2</v>
      </c>
      <c r="AI144" s="190">
        <f t="shared" si="174"/>
        <v>24</v>
      </c>
      <c r="AJ144" s="190">
        <f t="shared" si="175"/>
        <v>0</v>
      </c>
      <c r="AK144" s="190">
        <f t="shared" si="176"/>
        <v>23</v>
      </c>
      <c r="AL144" s="190">
        <f t="shared" si="199"/>
        <v>0</v>
      </c>
      <c r="AM144" s="233">
        <f t="shared" si="177"/>
        <v>1</v>
      </c>
      <c r="AN144" s="326" t="s">
        <v>4543</v>
      </c>
    </row>
    <row r="145" spans="1:40" ht="30" customHeight="1">
      <c r="A145" s="50"/>
      <c r="B145" s="288"/>
      <c r="C145" s="326" t="s">
        <v>4393</v>
      </c>
      <c r="D145" s="228"/>
      <c r="E145" s="301" t="s">
        <v>4536</v>
      </c>
      <c r="F145" s="228">
        <v>6609</v>
      </c>
      <c r="G145" s="805">
        <f>SUM(H145:AM145)</f>
        <v>64</v>
      </c>
      <c r="H145" s="189">
        <f t="shared" si="178"/>
        <v>0</v>
      </c>
      <c r="I145" s="189">
        <f t="shared" si="179"/>
        <v>0</v>
      </c>
      <c r="J145" s="189">
        <f t="shared" si="200"/>
        <v>0</v>
      </c>
      <c r="K145" s="189">
        <f t="shared" si="201"/>
        <v>3</v>
      </c>
      <c r="L145" s="189">
        <f t="shared" si="180"/>
        <v>0</v>
      </c>
      <c r="M145" s="189">
        <f t="shared" si="181"/>
        <v>0</v>
      </c>
      <c r="N145" s="189">
        <f t="shared" si="182"/>
        <v>0</v>
      </c>
      <c r="O145" s="189">
        <f t="shared" si="183"/>
        <v>0</v>
      </c>
      <c r="P145" s="189">
        <f t="shared" si="184"/>
        <v>0</v>
      </c>
      <c r="Q145" s="189">
        <f t="shared" si="185"/>
        <v>3</v>
      </c>
      <c r="R145" s="189">
        <f t="shared" si="186"/>
        <v>29</v>
      </c>
      <c r="S145" s="189">
        <f t="shared" si="187"/>
        <v>0</v>
      </c>
      <c r="T145" s="189">
        <f t="shared" si="188"/>
        <v>0</v>
      </c>
      <c r="U145" s="189">
        <f t="shared" si="189"/>
        <v>29</v>
      </c>
      <c r="V145" s="189">
        <f t="shared" si="202"/>
        <v>0</v>
      </c>
      <c r="W145" s="189">
        <f t="shared" si="203"/>
        <v>0</v>
      </c>
      <c r="X145" s="189">
        <f t="shared" si="204"/>
        <v>0</v>
      </c>
      <c r="Y145" s="189">
        <f t="shared" si="205"/>
        <v>0</v>
      </c>
      <c r="Z145" s="189">
        <f t="shared" si="190"/>
        <v>0</v>
      </c>
      <c r="AA145" s="189">
        <f t="shared" si="191"/>
        <v>0</v>
      </c>
      <c r="AB145" s="189">
        <f t="shared" si="192"/>
        <v>0</v>
      </c>
      <c r="AC145" s="189">
        <f t="shared" si="193"/>
        <v>0</v>
      </c>
      <c r="AD145" s="189">
        <f t="shared" si="194"/>
        <v>0</v>
      </c>
      <c r="AE145" s="189">
        <f t="shared" si="195"/>
        <v>0</v>
      </c>
      <c r="AF145" s="189">
        <f t="shared" si="196"/>
        <v>0</v>
      </c>
      <c r="AG145" s="189">
        <f t="shared" si="197"/>
        <v>0</v>
      </c>
      <c r="AH145" s="189">
        <f t="shared" si="198"/>
        <v>0</v>
      </c>
      <c r="AI145" s="190">
        <f t="shared" si="174"/>
        <v>0</v>
      </c>
      <c r="AJ145" s="190">
        <f t="shared" si="175"/>
        <v>0</v>
      </c>
      <c r="AK145" s="190">
        <f t="shared" si="176"/>
        <v>0</v>
      </c>
      <c r="AL145" s="190">
        <f t="shared" si="199"/>
        <v>0</v>
      </c>
      <c r="AM145" s="233">
        <f t="shared" si="177"/>
        <v>0</v>
      </c>
      <c r="AN145" s="326" t="s">
        <v>4544</v>
      </c>
    </row>
    <row r="146" spans="1:40" ht="30" customHeight="1">
      <c r="A146" s="50"/>
      <c r="B146" s="288"/>
      <c r="C146" s="324" t="s">
        <v>632</v>
      </c>
      <c r="D146" s="298" t="s">
        <v>487</v>
      </c>
      <c r="E146" s="297" t="s">
        <v>4537</v>
      </c>
      <c r="F146" s="298">
        <v>6606</v>
      </c>
      <c r="G146" s="806">
        <f t="shared" si="173"/>
        <v>8</v>
      </c>
      <c r="H146" s="523">
        <f t="shared" si="178"/>
        <v>4</v>
      </c>
      <c r="I146" s="523">
        <f t="shared" si="179"/>
        <v>4</v>
      </c>
      <c r="J146" s="523">
        <f t="shared" si="200"/>
        <v>0</v>
      </c>
      <c r="K146" s="523">
        <f t="shared" si="201"/>
        <v>0</v>
      </c>
      <c r="L146" s="523">
        <f t="shared" si="180"/>
        <v>0</v>
      </c>
      <c r="M146" s="523">
        <f t="shared" si="181"/>
        <v>0</v>
      </c>
      <c r="N146" s="523">
        <f t="shared" si="182"/>
        <v>0</v>
      </c>
      <c r="O146" s="523">
        <f t="shared" si="183"/>
        <v>0</v>
      </c>
      <c r="P146" s="523">
        <f t="shared" si="184"/>
        <v>0</v>
      </c>
      <c r="Q146" s="523">
        <f t="shared" si="185"/>
        <v>0</v>
      </c>
      <c r="R146" s="523">
        <f t="shared" si="186"/>
        <v>0</v>
      </c>
      <c r="S146" s="523">
        <f t="shared" si="187"/>
        <v>0</v>
      </c>
      <c r="T146" s="523">
        <f t="shared" si="188"/>
        <v>0</v>
      </c>
      <c r="U146" s="523">
        <f t="shared" si="189"/>
        <v>0</v>
      </c>
      <c r="V146" s="523">
        <f t="shared" si="202"/>
        <v>0</v>
      </c>
      <c r="W146" s="523">
        <f t="shared" si="203"/>
        <v>0</v>
      </c>
      <c r="X146" s="523">
        <f t="shared" si="204"/>
        <v>0</v>
      </c>
      <c r="Y146" s="523">
        <f t="shared" si="205"/>
        <v>0</v>
      </c>
      <c r="Z146" s="523">
        <f t="shared" si="190"/>
        <v>0</v>
      </c>
      <c r="AA146" s="523">
        <f t="shared" si="191"/>
        <v>0</v>
      </c>
      <c r="AB146" s="523">
        <f t="shared" si="192"/>
        <v>0</v>
      </c>
      <c r="AC146" s="523">
        <f t="shared" si="193"/>
        <v>0</v>
      </c>
      <c r="AD146" s="523">
        <f t="shared" si="194"/>
        <v>0</v>
      </c>
      <c r="AE146" s="523">
        <f t="shared" si="195"/>
        <v>0</v>
      </c>
      <c r="AF146" s="523">
        <f t="shared" si="196"/>
        <v>0</v>
      </c>
      <c r="AG146" s="523">
        <f t="shared" si="197"/>
        <v>0</v>
      </c>
      <c r="AH146" s="523">
        <f t="shared" si="198"/>
        <v>0</v>
      </c>
      <c r="AI146" s="229">
        <f t="shared" si="174"/>
        <v>0</v>
      </c>
      <c r="AJ146" s="229">
        <f t="shared" si="175"/>
        <v>0</v>
      </c>
      <c r="AK146" s="229">
        <f t="shared" si="176"/>
        <v>0</v>
      </c>
      <c r="AL146" s="229">
        <f t="shared" si="199"/>
        <v>0</v>
      </c>
      <c r="AM146" s="230">
        <f t="shared" si="177"/>
        <v>0</v>
      </c>
      <c r="AN146" s="324" t="s">
        <v>4545</v>
      </c>
    </row>
    <row r="147" spans="1:40" ht="30" customHeight="1">
      <c r="A147" s="50"/>
      <c r="B147" s="288"/>
      <c r="C147" s="324" t="s">
        <v>823</v>
      </c>
      <c r="D147" s="298" t="s">
        <v>920</v>
      </c>
      <c r="E147" s="297" t="s">
        <v>4538</v>
      </c>
      <c r="F147" s="298">
        <v>6606</v>
      </c>
      <c r="G147" s="806">
        <f t="shared" si="173"/>
        <v>8</v>
      </c>
      <c r="H147" s="523">
        <f t="shared" si="178"/>
        <v>3</v>
      </c>
      <c r="I147" s="523">
        <f t="shared" si="179"/>
        <v>3</v>
      </c>
      <c r="J147" s="523">
        <f t="shared" si="200"/>
        <v>1</v>
      </c>
      <c r="K147" s="523">
        <f t="shared" si="201"/>
        <v>1</v>
      </c>
      <c r="L147" s="523">
        <f t="shared" si="180"/>
        <v>0</v>
      </c>
      <c r="M147" s="523">
        <f t="shared" si="181"/>
        <v>0</v>
      </c>
      <c r="N147" s="523">
        <f t="shared" si="182"/>
        <v>0</v>
      </c>
      <c r="O147" s="523">
        <f t="shared" si="183"/>
        <v>0</v>
      </c>
      <c r="P147" s="523">
        <f t="shared" si="184"/>
        <v>0</v>
      </c>
      <c r="Q147" s="523">
        <f t="shared" si="185"/>
        <v>0</v>
      </c>
      <c r="R147" s="523">
        <f t="shared" si="186"/>
        <v>0</v>
      </c>
      <c r="S147" s="523">
        <f t="shared" si="187"/>
        <v>0</v>
      </c>
      <c r="T147" s="523">
        <f t="shared" si="188"/>
        <v>0</v>
      </c>
      <c r="U147" s="523">
        <f t="shared" si="189"/>
        <v>0</v>
      </c>
      <c r="V147" s="523">
        <f t="shared" si="202"/>
        <v>0</v>
      </c>
      <c r="W147" s="523">
        <f t="shared" si="203"/>
        <v>0</v>
      </c>
      <c r="X147" s="523">
        <f t="shared" si="204"/>
        <v>0</v>
      </c>
      <c r="Y147" s="523">
        <f t="shared" si="205"/>
        <v>0</v>
      </c>
      <c r="Z147" s="523">
        <f t="shared" si="190"/>
        <v>0</v>
      </c>
      <c r="AA147" s="523">
        <f t="shared" si="191"/>
        <v>0</v>
      </c>
      <c r="AB147" s="523">
        <f t="shared" si="192"/>
        <v>0</v>
      </c>
      <c r="AC147" s="523">
        <f t="shared" si="193"/>
        <v>0</v>
      </c>
      <c r="AD147" s="523">
        <f t="shared" si="194"/>
        <v>0</v>
      </c>
      <c r="AE147" s="523">
        <f t="shared" si="195"/>
        <v>0</v>
      </c>
      <c r="AF147" s="523">
        <f t="shared" si="196"/>
        <v>0</v>
      </c>
      <c r="AG147" s="523">
        <f t="shared" si="197"/>
        <v>0</v>
      </c>
      <c r="AH147" s="523">
        <f t="shared" si="198"/>
        <v>0</v>
      </c>
      <c r="AI147" s="229">
        <f t="shared" si="174"/>
        <v>0</v>
      </c>
      <c r="AJ147" s="229">
        <f t="shared" si="175"/>
        <v>0</v>
      </c>
      <c r="AK147" s="229">
        <f t="shared" si="176"/>
        <v>0</v>
      </c>
      <c r="AL147" s="229">
        <f t="shared" si="199"/>
        <v>0</v>
      </c>
      <c r="AM147" s="230">
        <f t="shared" si="177"/>
        <v>0</v>
      </c>
      <c r="AN147" s="324" t="s">
        <v>4546</v>
      </c>
    </row>
    <row r="148" spans="1:40" ht="30" customHeight="1">
      <c r="A148" s="50"/>
      <c r="B148" s="1025"/>
      <c r="C148" s="327" t="s">
        <v>4395</v>
      </c>
      <c r="D148" s="234"/>
      <c r="E148" s="302" t="s">
        <v>4539</v>
      </c>
      <c r="F148" s="228">
        <v>6609</v>
      </c>
      <c r="G148" s="805">
        <f>SUM(H148:AM148)</f>
        <v>6</v>
      </c>
      <c r="H148" s="189">
        <f t="shared" si="178"/>
        <v>0</v>
      </c>
      <c r="I148" s="189">
        <f t="shared" si="179"/>
        <v>0</v>
      </c>
      <c r="J148" s="189">
        <f t="shared" si="200"/>
        <v>0</v>
      </c>
      <c r="K148" s="189">
        <f t="shared" si="201"/>
        <v>0</v>
      </c>
      <c r="L148" s="189">
        <f t="shared" si="180"/>
        <v>0</v>
      </c>
      <c r="M148" s="189">
        <f t="shared" si="181"/>
        <v>0</v>
      </c>
      <c r="N148" s="189">
        <f t="shared" si="182"/>
        <v>0</v>
      </c>
      <c r="O148" s="189">
        <f t="shared" si="183"/>
        <v>1</v>
      </c>
      <c r="P148" s="189">
        <f t="shared" si="184"/>
        <v>0</v>
      </c>
      <c r="Q148" s="189">
        <f t="shared" si="185"/>
        <v>1</v>
      </c>
      <c r="R148" s="189">
        <f t="shared" si="186"/>
        <v>1</v>
      </c>
      <c r="S148" s="189">
        <f t="shared" si="187"/>
        <v>1</v>
      </c>
      <c r="T148" s="189">
        <f t="shared" si="188"/>
        <v>0</v>
      </c>
      <c r="U148" s="189">
        <f t="shared" si="189"/>
        <v>2</v>
      </c>
      <c r="V148" s="189">
        <f t="shared" si="202"/>
        <v>0</v>
      </c>
      <c r="W148" s="189">
        <f t="shared" si="203"/>
        <v>0</v>
      </c>
      <c r="X148" s="189">
        <f t="shared" si="204"/>
        <v>0</v>
      </c>
      <c r="Y148" s="189">
        <f t="shared" si="205"/>
        <v>0</v>
      </c>
      <c r="Z148" s="189">
        <f t="shared" si="190"/>
        <v>0</v>
      </c>
      <c r="AA148" s="189">
        <f t="shared" si="191"/>
        <v>0</v>
      </c>
      <c r="AB148" s="189">
        <f t="shared" si="192"/>
        <v>0</v>
      </c>
      <c r="AC148" s="189">
        <f t="shared" si="193"/>
        <v>0</v>
      </c>
      <c r="AD148" s="189">
        <f t="shared" si="194"/>
        <v>0</v>
      </c>
      <c r="AE148" s="189">
        <f t="shared" si="195"/>
        <v>0</v>
      </c>
      <c r="AF148" s="189">
        <f t="shared" si="196"/>
        <v>0</v>
      </c>
      <c r="AG148" s="189">
        <f t="shared" si="197"/>
        <v>0</v>
      </c>
      <c r="AH148" s="189">
        <f t="shared" si="198"/>
        <v>0</v>
      </c>
      <c r="AI148" s="190">
        <f t="shared" si="174"/>
        <v>0</v>
      </c>
      <c r="AJ148" s="190">
        <f t="shared" si="175"/>
        <v>0</v>
      </c>
      <c r="AK148" s="190">
        <f t="shared" si="176"/>
        <v>0</v>
      </c>
      <c r="AL148" s="190">
        <f t="shared" si="199"/>
        <v>0</v>
      </c>
      <c r="AM148" s="233">
        <f t="shared" si="177"/>
        <v>0</v>
      </c>
      <c r="AN148" s="327" t="s">
        <v>4547</v>
      </c>
    </row>
    <row r="149" spans="1:40" ht="30" customHeight="1">
      <c r="A149" s="50"/>
      <c r="B149" s="1025"/>
      <c r="C149" s="327" t="s">
        <v>4488</v>
      </c>
      <c r="D149" s="234"/>
      <c r="E149" s="302" t="s">
        <v>4540</v>
      </c>
      <c r="F149" s="228">
        <v>6609</v>
      </c>
      <c r="G149" s="805">
        <f>SUM(H149:AM149)</f>
        <v>52</v>
      </c>
      <c r="H149" s="189">
        <f t="shared" si="178"/>
        <v>0</v>
      </c>
      <c r="I149" s="189">
        <f t="shared" si="179"/>
        <v>0</v>
      </c>
      <c r="J149" s="189">
        <f t="shared" si="200"/>
        <v>0</v>
      </c>
      <c r="K149" s="189">
        <f t="shared" si="201"/>
        <v>0</v>
      </c>
      <c r="L149" s="189">
        <f t="shared" si="180"/>
        <v>9</v>
      </c>
      <c r="M149" s="189">
        <f t="shared" si="181"/>
        <v>0</v>
      </c>
      <c r="N149" s="189">
        <f t="shared" si="182"/>
        <v>3</v>
      </c>
      <c r="O149" s="189">
        <f t="shared" si="183"/>
        <v>3</v>
      </c>
      <c r="P149" s="189">
        <f t="shared" si="184"/>
        <v>0</v>
      </c>
      <c r="Q149" s="189">
        <f t="shared" si="185"/>
        <v>9</v>
      </c>
      <c r="R149" s="189">
        <f t="shared" si="186"/>
        <v>8</v>
      </c>
      <c r="S149" s="189">
        <f t="shared" si="187"/>
        <v>0</v>
      </c>
      <c r="T149" s="189">
        <f t="shared" si="188"/>
        <v>0</v>
      </c>
      <c r="U149" s="189">
        <f t="shared" si="189"/>
        <v>6</v>
      </c>
      <c r="V149" s="189">
        <f t="shared" si="202"/>
        <v>0</v>
      </c>
      <c r="W149" s="189">
        <f t="shared" si="203"/>
        <v>0</v>
      </c>
      <c r="X149" s="189">
        <f t="shared" si="204"/>
        <v>0</v>
      </c>
      <c r="Y149" s="189">
        <f t="shared" si="205"/>
        <v>0</v>
      </c>
      <c r="Z149" s="189">
        <f t="shared" si="190"/>
        <v>0</v>
      </c>
      <c r="AA149" s="189">
        <f t="shared" si="191"/>
        <v>0</v>
      </c>
      <c r="AB149" s="189">
        <f t="shared" si="192"/>
        <v>8</v>
      </c>
      <c r="AC149" s="189">
        <f t="shared" si="193"/>
        <v>2</v>
      </c>
      <c r="AD149" s="189">
        <f t="shared" si="194"/>
        <v>0</v>
      </c>
      <c r="AE149" s="189">
        <f t="shared" si="195"/>
        <v>2</v>
      </c>
      <c r="AF149" s="189">
        <f t="shared" si="196"/>
        <v>0</v>
      </c>
      <c r="AG149" s="189">
        <f t="shared" si="197"/>
        <v>0</v>
      </c>
      <c r="AH149" s="189">
        <f t="shared" si="198"/>
        <v>2</v>
      </c>
      <c r="AI149" s="190">
        <f t="shared" si="174"/>
        <v>0</v>
      </c>
      <c r="AJ149" s="190">
        <f t="shared" si="175"/>
        <v>0</v>
      </c>
      <c r="AK149" s="190">
        <f t="shared" si="176"/>
        <v>0</v>
      </c>
      <c r="AL149" s="190">
        <f t="shared" si="199"/>
        <v>0</v>
      </c>
      <c r="AM149" s="233">
        <f t="shared" si="177"/>
        <v>0</v>
      </c>
      <c r="AN149" s="327" t="s">
        <v>4548</v>
      </c>
    </row>
    <row r="150" spans="1:40" ht="30" customHeight="1">
      <c r="A150" s="50"/>
      <c r="B150" s="1025"/>
      <c r="C150" s="327" t="s">
        <v>4664</v>
      </c>
      <c r="D150" s="234"/>
      <c r="E150" s="302" t="s">
        <v>4665</v>
      </c>
      <c r="F150" s="228">
        <v>6609</v>
      </c>
      <c r="G150" s="805">
        <f>SUM(H150:AM150)</f>
        <v>79</v>
      </c>
      <c r="H150" s="189">
        <f t="shared" si="178"/>
        <v>0</v>
      </c>
      <c r="I150" s="189">
        <f t="shared" si="179"/>
        <v>0</v>
      </c>
      <c r="J150" s="189">
        <f t="shared" si="200"/>
        <v>0</v>
      </c>
      <c r="K150" s="189">
        <f t="shared" si="201"/>
        <v>0</v>
      </c>
      <c r="L150" s="189">
        <f t="shared" si="180"/>
        <v>6</v>
      </c>
      <c r="M150" s="189">
        <f t="shared" si="181"/>
        <v>2</v>
      </c>
      <c r="N150" s="189">
        <f t="shared" si="182"/>
        <v>0</v>
      </c>
      <c r="O150" s="189">
        <f t="shared" si="183"/>
        <v>0</v>
      </c>
      <c r="P150" s="189">
        <f t="shared" si="184"/>
        <v>0</v>
      </c>
      <c r="Q150" s="189">
        <f t="shared" si="185"/>
        <v>7</v>
      </c>
      <c r="R150" s="189">
        <f t="shared" si="186"/>
        <v>32</v>
      </c>
      <c r="S150" s="189">
        <f t="shared" si="187"/>
        <v>0</v>
      </c>
      <c r="T150" s="189">
        <f t="shared" si="188"/>
        <v>0</v>
      </c>
      <c r="U150" s="189">
        <f t="shared" si="189"/>
        <v>25</v>
      </c>
      <c r="V150" s="189">
        <f t="shared" si="202"/>
        <v>2</v>
      </c>
      <c r="W150" s="189">
        <f t="shared" si="203"/>
        <v>4</v>
      </c>
      <c r="X150" s="189">
        <f t="shared" si="204"/>
        <v>0</v>
      </c>
      <c r="Y150" s="189">
        <f t="shared" si="205"/>
        <v>0</v>
      </c>
      <c r="Z150" s="189">
        <f t="shared" si="190"/>
        <v>1</v>
      </c>
      <c r="AA150" s="189">
        <f t="shared" si="191"/>
        <v>0</v>
      </c>
      <c r="AB150" s="189">
        <f t="shared" si="192"/>
        <v>0</v>
      </c>
      <c r="AC150" s="189">
        <f t="shared" si="193"/>
        <v>0</v>
      </c>
      <c r="AD150" s="189">
        <f t="shared" si="194"/>
        <v>0</v>
      </c>
      <c r="AE150" s="189">
        <f t="shared" si="195"/>
        <v>0</v>
      </c>
      <c r="AF150" s="189">
        <f t="shared" si="196"/>
        <v>0</v>
      </c>
      <c r="AG150" s="189">
        <f t="shared" si="197"/>
        <v>0</v>
      </c>
      <c r="AH150" s="189">
        <f t="shared" si="198"/>
        <v>0</v>
      </c>
      <c r="AI150" s="190">
        <f t="shared" si="174"/>
        <v>0</v>
      </c>
      <c r="AJ150" s="190">
        <f t="shared" si="175"/>
        <v>0</v>
      </c>
      <c r="AK150" s="190">
        <f t="shared" si="176"/>
        <v>0</v>
      </c>
      <c r="AL150" s="190">
        <f t="shared" si="199"/>
        <v>0</v>
      </c>
      <c r="AM150" s="233">
        <f t="shared" si="177"/>
        <v>0</v>
      </c>
      <c r="AN150" s="327" t="s">
        <v>4670</v>
      </c>
    </row>
    <row r="151" spans="1:40" ht="30" customHeight="1">
      <c r="A151" s="50"/>
      <c r="B151" s="1025"/>
      <c r="C151" s="327" t="s">
        <v>4666</v>
      </c>
      <c r="D151" s="234"/>
      <c r="E151" s="302" t="s">
        <v>4667</v>
      </c>
      <c r="F151" s="228">
        <v>6609</v>
      </c>
      <c r="G151" s="805">
        <f>SUM(H151:AM151)</f>
        <v>37</v>
      </c>
      <c r="H151" s="189">
        <f t="shared" si="178"/>
        <v>0</v>
      </c>
      <c r="I151" s="189">
        <f t="shared" si="179"/>
        <v>0</v>
      </c>
      <c r="J151" s="189">
        <f t="shared" si="200"/>
        <v>0</v>
      </c>
      <c r="K151" s="189">
        <f t="shared" si="201"/>
        <v>0</v>
      </c>
      <c r="L151" s="189">
        <f t="shared" si="180"/>
        <v>7</v>
      </c>
      <c r="M151" s="189">
        <f t="shared" si="181"/>
        <v>0</v>
      </c>
      <c r="N151" s="189">
        <f t="shared" si="182"/>
        <v>8</v>
      </c>
      <c r="O151" s="189">
        <f t="shared" si="183"/>
        <v>2</v>
      </c>
      <c r="P151" s="189">
        <f t="shared" si="184"/>
        <v>0</v>
      </c>
      <c r="Q151" s="189">
        <f t="shared" si="185"/>
        <v>8</v>
      </c>
      <c r="R151" s="189">
        <f t="shared" si="186"/>
        <v>3</v>
      </c>
      <c r="S151" s="189">
        <f t="shared" si="187"/>
        <v>0</v>
      </c>
      <c r="T151" s="189">
        <f t="shared" si="188"/>
        <v>0</v>
      </c>
      <c r="U151" s="189">
        <f t="shared" si="189"/>
        <v>8</v>
      </c>
      <c r="V151" s="189">
        <f t="shared" si="202"/>
        <v>1</v>
      </c>
      <c r="W151" s="189">
        <f t="shared" si="203"/>
        <v>0</v>
      </c>
      <c r="X151" s="189">
        <f t="shared" si="204"/>
        <v>0</v>
      </c>
      <c r="Y151" s="189">
        <f t="shared" si="205"/>
        <v>0</v>
      </c>
      <c r="Z151" s="189">
        <f t="shared" si="190"/>
        <v>0</v>
      </c>
      <c r="AA151" s="189">
        <f t="shared" si="191"/>
        <v>0</v>
      </c>
      <c r="AB151" s="189">
        <f t="shared" si="192"/>
        <v>0</v>
      </c>
      <c r="AC151" s="189">
        <f t="shared" si="193"/>
        <v>0</v>
      </c>
      <c r="AD151" s="189">
        <f t="shared" si="194"/>
        <v>0</v>
      </c>
      <c r="AE151" s="189">
        <f t="shared" si="195"/>
        <v>0</v>
      </c>
      <c r="AF151" s="189">
        <f t="shared" si="196"/>
        <v>0</v>
      </c>
      <c r="AG151" s="189">
        <f t="shared" si="197"/>
        <v>0</v>
      </c>
      <c r="AH151" s="189">
        <f t="shared" si="198"/>
        <v>0</v>
      </c>
      <c r="AI151" s="190">
        <f t="shared" si="174"/>
        <v>0</v>
      </c>
      <c r="AJ151" s="190">
        <f t="shared" si="175"/>
        <v>0</v>
      </c>
      <c r="AK151" s="190">
        <f t="shared" si="176"/>
        <v>0</v>
      </c>
      <c r="AL151" s="190">
        <f t="shared" si="199"/>
        <v>0</v>
      </c>
      <c r="AM151" s="233">
        <f t="shared" si="177"/>
        <v>0</v>
      </c>
      <c r="AN151" s="327" t="s">
        <v>4671</v>
      </c>
    </row>
    <row r="152" spans="1:40" ht="30" customHeight="1">
      <c r="A152" s="50"/>
      <c r="B152" s="1025"/>
      <c r="C152" s="327" t="s">
        <v>4668</v>
      </c>
      <c r="D152" s="234"/>
      <c r="E152" s="302" t="s">
        <v>4669</v>
      </c>
      <c r="F152" s="228">
        <v>6609</v>
      </c>
      <c r="G152" s="805">
        <f>SUM(H152:AM152)</f>
        <v>0</v>
      </c>
      <c r="H152" s="189">
        <f t="shared" si="178"/>
        <v>0</v>
      </c>
      <c r="I152" s="189">
        <f t="shared" si="179"/>
        <v>0</v>
      </c>
      <c r="J152" s="189">
        <f t="shared" si="200"/>
        <v>0</v>
      </c>
      <c r="K152" s="189">
        <f t="shared" si="201"/>
        <v>0</v>
      </c>
      <c r="L152" s="189">
        <f t="shared" si="180"/>
        <v>0</v>
      </c>
      <c r="M152" s="189">
        <f t="shared" si="181"/>
        <v>0</v>
      </c>
      <c r="N152" s="189">
        <f t="shared" si="182"/>
        <v>0</v>
      </c>
      <c r="O152" s="189">
        <f t="shared" si="183"/>
        <v>0</v>
      </c>
      <c r="P152" s="189">
        <f t="shared" si="184"/>
        <v>0</v>
      </c>
      <c r="Q152" s="189">
        <f t="shared" si="185"/>
        <v>0</v>
      </c>
      <c r="R152" s="189">
        <f t="shared" si="186"/>
        <v>0</v>
      </c>
      <c r="S152" s="189">
        <f t="shared" si="187"/>
        <v>0</v>
      </c>
      <c r="T152" s="189">
        <f t="shared" si="188"/>
        <v>0</v>
      </c>
      <c r="U152" s="189">
        <f t="shared" si="189"/>
        <v>0</v>
      </c>
      <c r="V152" s="189">
        <f t="shared" si="202"/>
        <v>0</v>
      </c>
      <c r="W152" s="189">
        <f t="shared" si="203"/>
        <v>0</v>
      </c>
      <c r="X152" s="189">
        <f t="shared" si="204"/>
        <v>0</v>
      </c>
      <c r="Y152" s="189">
        <f t="shared" si="205"/>
        <v>0</v>
      </c>
      <c r="Z152" s="189">
        <f t="shared" si="190"/>
        <v>0</v>
      </c>
      <c r="AA152" s="189">
        <f t="shared" si="191"/>
        <v>0</v>
      </c>
      <c r="AB152" s="189">
        <f t="shared" si="192"/>
        <v>0</v>
      </c>
      <c r="AC152" s="189">
        <f t="shared" si="193"/>
        <v>0</v>
      </c>
      <c r="AD152" s="189">
        <f t="shared" si="194"/>
        <v>0</v>
      </c>
      <c r="AE152" s="189">
        <f t="shared" si="195"/>
        <v>0</v>
      </c>
      <c r="AF152" s="189">
        <f t="shared" si="196"/>
        <v>0</v>
      </c>
      <c r="AG152" s="189">
        <f t="shared" si="197"/>
        <v>0</v>
      </c>
      <c r="AH152" s="189">
        <f t="shared" si="198"/>
        <v>0</v>
      </c>
      <c r="AI152" s="190">
        <f t="shared" si="174"/>
        <v>0</v>
      </c>
      <c r="AJ152" s="190">
        <f t="shared" si="175"/>
        <v>0</v>
      </c>
      <c r="AK152" s="190">
        <f t="shared" si="176"/>
        <v>0</v>
      </c>
      <c r="AL152" s="190">
        <f t="shared" si="199"/>
        <v>0</v>
      </c>
      <c r="AM152" s="233">
        <f t="shared" si="177"/>
        <v>0</v>
      </c>
      <c r="AN152" s="327" t="s">
        <v>4672</v>
      </c>
    </row>
    <row r="153" spans="1:40" ht="30" customHeight="1">
      <c r="A153" s="50"/>
      <c r="B153" s="1025"/>
      <c r="C153" s="327" t="s">
        <v>2141</v>
      </c>
      <c r="D153" s="234" t="s">
        <v>1465</v>
      </c>
      <c r="E153" s="302" t="s">
        <v>4541</v>
      </c>
      <c r="F153" s="228">
        <v>6606</v>
      </c>
      <c r="G153" s="805">
        <f t="shared" si="173"/>
        <v>10</v>
      </c>
      <c r="H153" s="189">
        <f t="shared" si="178"/>
        <v>0</v>
      </c>
      <c r="I153" s="189">
        <f t="shared" si="179"/>
        <v>0</v>
      </c>
      <c r="J153" s="189">
        <f t="shared" si="200"/>
        <v>0</v>
      </c>
      <c r="K153" s="189">
        <f t="shared" si="201"/>
        <v>0</v>
      </c>
      <c r="L153" s="189">
        <f t="shared" si="180"/>
        <v>0</v>
      </c>
      <c r="M153" s="189">
        <f t="shared" si="181"/>
        <v>0</v>
      </c>
      <c r="N153" s="189">
        <f t="shared" si="182"/>
        <v>0</v>
      </c>
      <c r="O153" s="189">
        <f t="shared" si="183"/>
        <v>0</v>
      </c>
      <c r="P153" s="189">
        <f t="shared" si="184"/>
        <v>0</v>
      </c>
      <c r="Q153" s="189">
        <f t="shared" si="185"/>
        <v>0</v>
      </c>
      <c r="R153" s="189">
        <f t="shared" si="186"/>
        <v>0</v>
      </c>
      <c r="S153" s="189">
        <f t="shared" si="187"/>
        <v>0</v>
      </c>
      <c r="T153" s="189">
        <f t="shared" si="188"/>
        <v>1</v>
      </c>
      <c r="U153" s="189">
        <f t="shared" si="189"/>
        <v>2</v>
      </c>
      <c r="V153" s="189">
        <f t="shared" si="202"/>
        <v>0</v>
      </c>
      <c r="W153" s="189">
        <f t="shared" si="203"/>
        <v>0</v>
      </c>
      <c r="X153" s="189">
        <f t="shared" si="204"/>
        <v>0</v>
      </c>
      <c r="Y153" s="189">
        <f t="shared" si="205"/>
        <v>0</v>
      </c>
      <c r="Z153" s="189">
        <f t="shared" si="190"/>
        <v>0</v>
      </c>
      <c r="AA153" s="189">
        <f t="shared" si="191"/>
        <v>0</v>
      </c>
      <c r="AB153" s="189">
        <f t="shared" si="192"/>
        <v>0</v>
      </c>
      <c r="AC153" s="189">
        <f t="shared" si="193"/>
        <v>0</v>
      </c>
      <c r="AD153" s="189">
        <f t="shared" si="194"/>
        <v>0</v>
      </c>
      <c r="AE153" s="189">
        <f t="shared" si="195"/>
        <v>0</v>
      </c>
      <c r="AF153" s="189">
        <f t="shared" si="196"/>
        <v>0</v>
      </c>
      <c r="AG153" s="189">
        <f t="shared" si="197"/>
        <v>0</v>
      </c>
      <c r="AH153" s="189">
        <f t="shared" si="198"/>
        <v>0</v>
      </c>
      <c r="AI153" s="190">
        <f t="shared" si="174"/>
        <v>0</v>
      </c>
      <c r="AJ153" s="190">
        <f t="shared" si="175"/>
        <v>1</v>
      </c>
      <c r="AK153" s="190">
        <f t="shared" si="176"/>
        <v>1</v>
      </c>
      <c r="AL153" s="190">
        <f t="shared" si="199"/>
        <v>0</v>
      </c>
      <c r="AM153" s="233">
        <f t="shared" si="177"/>
        <v>5</v>
      </c>
      <c r="AN153" s="327" t="s">
        <v>4549</v>
      </c>
    </row>
    <row r="154" spans="1:40" ht="30" customHeight="1">
      <c r="A154" s="240"/>
      <c r="B154" s="1025"/>
      <c r="C154" s="1159" t="s">
        <v>1671</v>
      </c>
      <c r="D154" s="1160" t="s">
        <v>1839</v>
      </c>
      <c r="E154" s="1161" t="s">
        <v>4542</v>
      </c>
      <c r="F154" s="1160">
        <v>6606</v>
      </c>
      <c r="G154" s="1162">
        <f t="shared" si="173"/>
        <v>0</v>
      </c>
      <c r="H154" s="1163">
        <f t="shared" si="178"/>
        <v>0</v>
      </c>
      <c r="I154" s="1163">
        <f t="shared" si="179"/>
        <v>0</v>
      </c>
      <c r="J154" s="1163">
        <f t="shared" si="200"/>
        <v>0</v>
      </c>
      <c r="K154" s="1163">
        <f t="shared" si="201"/>
        <v>0</v>
      </c>
      <c r="L154" s="1163">
        <f t="shared" si="180"/>
        <v>0</v>
      </c>
      <c r="M154" s="1163">
        <f t="shared" si="181"/>
        <v>0</v>
      </c>
      <c r="N154" s="1163">
        <f t="shared" si="182"/>
        <v>0</v>
      </c>
      <c r="O154" s="1163">
        <f t="shared" si="183"/>
        <v>0</v>
      </c>
      <c r="P154" s="1163">
        <f t="shared" si="184"/>
        <v>0</v>
      </c>
      <c r="Q154" s="1163">
        <f t="shared" si="185"/>
        <v>0</v>
      </c>
      <c r="R154" s="1163">
        <f t="shared" si="186"/>
        <v>0</v>
      </c>
      <c r="S154" s="1163">
        <f t="shared" si="187"/>
        <v>0</v>
      </c>
      <c r="T154" s="1163">
        <f t="shared" si="188"/>
        <v>0</v>
      </c>
      <c r="U154" s="1163">
        <f t="shared" si="189"/>
        <v>0</v>
      </c>
      <c r="V154" s="1163">
        <f t="shared" si="202"/>
        <v>0</v>
      </c>
      <c r="W154" s="1163">
        <f t="shared" si="203"/>
        <v>0</v>
      </c>
      <c r="X154" s="1163">
        <f t="shared" si="204"/>
        <v>0</v>
      </c>
      <c r="Y154" s="1163">
        <f t="shared" si="205"/>
        <v>0</v>
      </c>
      <c r="Z154" s="1163">
        <f t="shared" si="190"/>
        <v>0</v>
      </c>
      <c r="AA154" s="1163">
        <f t="shared" si="191"/>
        <v>0</v>
      </c>
      <c r="AB154" s="1163">
        <f t="shared" si="192"/>
        <v>0</v>
      </c>
      <c r="AC154" s="1163">
        <f t="shared" si="193"/>
        <v>0</v>
      </c>
      <c r="AD154" s="1163">
        <f t="shared" si="194"/>
        <v>0</v>
      </c>
      <c r="AE154" s="1163">
        <f t="shared" si="195"/>
        <v>0</v>
      </c>
      <c r="AF154" s="1163">
        <f t="shared" si="196"/>
        <v>0</v>
      </c>
      <c r="AG154" s="1163">
        <f t="shared" si="197"/>
        <v>0</v>
      </c>
      <c r="AH154" s="1163">
        <f t="shared" si="198"/>
        <v>0</v>
      </c>
      <c r="AI154" s="1164">
        <f t="shared" si="174"/>
        <v>0</v>
      </c>
      <c r="AJ154" s="1164">
        <f t="shared" si="175"/>
        <v>0</v>
      </c>
      <c r="AK154" s="1164">
        <f t="shared" si="176"/>
        <v>0</v>
      </c>
      <c r="AL154" s="1164">
        <f t="shared" si="199"/>
        <v>0</v>
      </c>
      <c r="AM154" s="1165">
        <f t="shared" si="177"/>
        <v>0</v>
      </c>
      <c r="AN154" s="1159" t="s">
        <v>4550</v>
      </c>
    </row>
    <row r="155" spans="1:40" ht="30" customHeight="1">
      <c r="A155" s="50"/>
      <c r="B155" s="1023"/>
      <c r="C155" s="326" t="s">
        <v>895</v>
      </c>
      <c r="D155" s="228" t="s">
        <v>921</v>
      </c>
      <c r="E155" s="301" t="s">
        <v>4552</v>
      </c>
      <c r="F155" s="228">
        <v>6602</v>
      </c>
      <c r="G155" s="805">
        <f t="shared" si="173"/>
        <v>85</v>
      </c>
      <c r="H155" s="189">
        <f t="shared" si="178"/>
        <v>0</v>
      </c>
      <c r="I155" s="189">
        <f t="shared" si="179"/>
        <v>0</v>
      </c>
      <c r="J155" s="189">
        <f t="shared" si="200"/>
        <v>2</v>
      </c>
      <c r="K155" s="189">
        <f t="shared" si="201"/>
        <v>2</v>
      </c>
      <c r="L155" s="189">
        <f t="shared" si="180"/>
        <v>11</v>
      </c>
      <c r="M155" s="189">
        <f t="shared" si="181"/>
        <v>3</v>
      </c>
      <c r="N155" s="189">
        <f t="shared" si="182"/>
        <v>0</v>
      </c>
      <c r="O155" s="189">
        <f t="shared" si="183"/>
        <v>2</v>
      </c>
      <c r="P155" s="189">
        <f t="shared" si="184"/>
        <v>1</v>
      </c>
      <c r="Q155" s="189">
        <f t="shared" si="185"/>
        <v>2</v>
      </c>
      <c r="R155" s="189">
        <f t="shared" si="186"/>
        <v>5</v>
      </c>
      <c r="S155" s="189">
        <f t="shared" si="187"/>
        <v>5</v>
      </c>
      <c r="T155" s="189">
        <f t="shared" si="188"/>
        <v>7</v>
      </c>
      <c r="U155" s="189">
        <f t="shared" si="189"/>
        <v>8</v>
      </c>
      <c r="V155" s="189">
        <f t="shared" si="202"/>
        <v>0</v>
      </c>
      <c r="W155" s="189">
        <f t="shared" si="203"/>
        <v>4</v>
      </c>
      <c r="X155" s="189">
        <f t="shared" si="204"/>
        <v>6</v>
      </c>
      <c r="Y155" s="189">
        <f t="shared" si="205"/>
        <v>9</v>
      </c>
      <c r="Z155" s="189">
        <f t="shared" si="190"/>
        <v>1</v>
      </c>
      <c r="AA155" s="189">
        <f t="shared" si="191"/>
        <v>0</v>
      </c>
      <c r="AB155" s="189">
        <f t="shared" si="192"/>
        <v>3</v>
      </c>
      <c r="AC155" s="189">
        <f t="shared" si="193"/>
        <v>1</v>
      </c>
      <c r="AD155" s="189">
        <f t="shared" si="194"/>
        <v>0</v>
      </c>
      <c r="AE155" s="189">
        <f t="shared" si="195"/>
        <v>0</v>
      </c>
      <c r="AF155" s="189">
        <f t="shared" si="196"/>
        <v>3</v>
      </c>
      <c r="AG155" s="189">
        <f t="shared" si="197"/>
        <v>2</v>
      </c>
      <c r="AH155" s="189">
        <f t="shared" si="198"/>
        <v>3</v>
      </c>
      <c r="AI155" s="190">
        <f t="shared" si="174"/>
        <v>0</v>
      </c>
      <c r="AJ155" s="190">
        <f t="shared" si="175"/>
        <v>0</v>
      </c>
      <c r="AK155" s="190">
        <f t="shared" si="176"/>
        <v>0</v>
      </c>
      <c r="AL155" s="190">
        <f t="shared" si="199"/>
        <v>3</v>
      </c>
      <c r="AM155" s="233">
        <f t="shared" si="177"/>
        <v>2</v>
      </c>
      <c r="AN155" s="326" t="s">
        <v>4564</v>
      </c>
    </row>
    <row r="156" spans="1:40" ht="30" customHeight="1">
      <c r="A156" s="49"/>
      <c r="B156" s="1024"/>
      <c r="C156" s="325" t="s">
        <v>906</v>
      </c>
      <c r="D156" s="300" t="s">
        <v>922</v>
      </c>
      <c r="E156" s="299" t="s">
        <v>4553</v>
      </c>
      <c r="F156" s="300">
        <v>6605</v>
      </c>
      <c r="G156" s="804">
        <f t="shared" si="173"/>
        <v>0</v>
      </c>
      <c r="H156" s="522">
        <f t="shared" si="178"/>
        <v>0</v>
      </c>
      <c r="I156" s="522">
        <f t="shared" si="179"/>
        <v>0</v>
      </c>
      <c r="J156" s="522">
        <f t="shared" si="200"/>
        <v>0</v>
      </c>
      <c r="K156" s="522">
        <f t="shared" si="201"/>
        <v>0</v>
      </c>
      <c r="L156" s="522">
        <f t="shared" si="180"/>
        <v>0</v>
      </c>
      <c r="M156" s="522">
        <f t="shared" si="181"/>
        <v>0</v>
      </c>
      <c r="N156" s="522">
        <f t="shared" si="182"/>
        <v>0</v>
      </c>
      <c r="O156" s="522">
        <f t="shared" si="183"/>
        <v>0</v>
      </c>
      <c r="P156" s="522">
        <f t="shared" si="184"/>
        <v>0</v>
      </c>
      <c r="Q156" s="522">
        <f t="shared" si="185"/>
        <v>0</v>
      </c>
      <c r="R156" s="522">
        <f t="shared" si="186"/>
        <v>0</v>
      </c>
      <c r="S156" s="522">
        <f t="shared" si="187"/>
        <v>0</v>
      </c>
      <c r="T156" s="522">
        <f t="shared" si="188"/>
        <v>0</v>
      </c>
      <c r="U156" s="522">
        <f t="shared" si="189"/>
        <v>0</v>
      </c>
      <c r="V156" s="522">
        <f t="shared" si="202"/>
        <v>0</v>
      </c>
      <c r="W156" s="522">
        <f t="shared" si="203"/>
        <v>0</v>
      </c>
      <c r="X156" s="522">
        <f t="shared" si="204"/>
        <v>0</v>
      </c>
      <c r="Y156" s="522">
        <f t="shared" si="205"/>
        <v>0</v>
      </c>
      <c r="Z156" s="522">
        <f t="shared" si="190"/>
        <v>0</v>
      </c>
      <c r="AA156" s="522">
        <f t="shared" si="191"/>
        <v>0</v>
      </c>
      <c r="AB156" s="522">
        <f t="shared" si="192"/>
        <v>0</v>
      </c>
      <c r="AC156" s="522">
        <f t="shared" si="193"/>
        <v>0</v>
      </c>
      <c r="AD156" s="522">
        <f t="shared" si="194"/>
        <v>0</v>
      </c>
      <c r="AE156" s="522">
        <f t="shared" si="195"/>
        <v>0</v>
      </c>
      <c r="AF156" s="522">
        <f t="shared" si="196"/>
        <v>0</v>
      </c>
      <c r="AG156" s="522">
        <f t="shared" si="197"/>
        <v>0</v>
      </c>
      <c r="AH156" s="522">
        <f t="shared" si="198"/>
        <v>0</v>
      </c>
      <c r="AI156" s="231">
        <f t="shared" si="174"/>
        <v>0</v>
      </c>
      <c r="AJ156" s="231">
        <f t="shared" si="175"/>
        <v>0</v>
      </c>
      <c r="AK156" s="231">
        <f t="shared" si="176"/>
        <v>0</v>
      </c>
      <c r="AL156" s="231">
        <f t="shared" si="199"/>
        <v>0</v>
      </c>
      <c r="AM156" s="232">
        <f t="shared" si="177"/>
        <v>0</v>
      </c>
      <c r="AN156" s="325" t="s">
        <v>4565</v>
      </c>
    </row>
    <row r="157" spans="1:40" ht="30" customHeight="1">
      <c r="A157" s="49"/>
      <c r="B157" s="1024"/>
      <c r="C157" s="326" t="s">
        <v>1697</v>
      </c>
      <c r="D157" s="228" t="s">
        <v>1696</v>
      </c>
      <c r="E157" s="301" t="s">
        <v>4554</v>
      </c>
      <c r="F157" s="228">
        <v>6608</v>
      </c>
      <c r="G157" s="805">
        <f t="shared" si="173"/>
        <v>27</v>
      </c>
      <c r="H157" s="189">
        <f t="shared" si="178"/>
        <v>3</v>
      </c>
      <c r="I157" s="189">
        <f t="shared" si="179"/>
        <v>3</v>
      </c>
      <c r="J157" s="189">
        <f t="shared" si="200"/>
        <v>1</v>
      </c>
      <c r="K157" s="189">
        <f t="shared" si="201"/>
        <v>1</v>
      </c>
      <c r="L157" s="189">
        <f t="shared" si="180"/>
        <v>1</v>
      </c>
      <c r="M157" s="189">
        <f t="shared" si="181"/>
        <v>2</v>
      </c>
      <c r="N157" s="189">
        <f t="shared" si="182"/>
        <v>0</v>
      </c>
      <c r="O157" s="189">
        <f t="shared" si="183"/>
        <v>1</v>
      </c>
      <c r="P157" s="189">
        <f t="shared" si="184"/>
        <v>0</v>
      </c>
      <c r="Q157" s="189">
        <f t="shared" si="185"/>
        <v>1</v>
      </c>
      <c r="R157" s="189">
        <f t="shared" si="186"/>
        <v>3</v>
      </c>
      <c r="S157" s="189">
        <f t="shared" si="187"/>
        <v>3</v>
      </c>
      <c r="T157" s="189">
        <f t="shared" si="188"/>
        <v>3</v>
      </c>
      <c r="U157" s="189">
        <f t="shared" si="189"/>
        <v>5</v>
      </c>
      <c r="V157" s="189">
        <f t="shared" si="202"/>
        <v>0</v>
      </c>
      <c r="W157" s="189">
        <f t="shared" si="203"/>
        <v>0</v>
      </c>
      <c r="X157" s="189">
        <f t="shared" si="204"/>
        <v>0</v>
      </c>
      <c r="Y157" s="189">
        <f t="shared" si="205"/>
        <v>0</v>
      </c>
      <c r="Z157" s="189">
        <f t="shared" si="190"/>
        <v>0</v>
      </c>
      <c r="AA157" s="189">
        <f t="shared" si="191"/>
        <v>0</v>
      </c>
      <c r="AB157" s="189">
        <f t="shared" si="192"/>
        <v>0</v>
      </c>
      <c r="AC157" s="189">
        <f t="shared" si="193"/>
        <v>0</v>
      </c>
      <c r="AD157" s="189">
        <f t="shared" si="194"/>
        <v>0</v>
      </c>
      <c r="AE157" s="189">
        <f t="shared" si="195"/>
        <v>0</v>
      </c>
      <c r="AF157" s="189">
        <f t="shared" si="196"/>
        <v>0</v>
      </c>
      <c r="AG157" s="189">
        <f t="shared" si="197"/>
        <v>0</v>
      </c>
      <c r="AH157" s="189">
        <f t="shared" si="198"/>
        <v>0</v>
      </c>
      <c r="AI157" s="190">
        <f t="shared" si="174"/>
        <v>0</v>
      </c>
      <c r="AJ157" s="190">
        <f t="shared" si="175"/>
        <v>0</v>
      </c>
      <c r="AK157" s="190">
        <f t="shared" si="176"/>
        <v>0</v>
      </c>
      <c r="AL157" s="190">
        <f t="shared" si="199"/>
        <v>0</v>
      </c>
      <c r="AM157" s="233">
        <f t="shared" si="177"/>
        <v>0</v>
      </c>
      <c r="AN157" s="326" t="s">
        <v>4566</v>
      </c>
    </row>
    <row r="158" spans="1:40" ht="30" customHeight="1">
      <c r="A158" s="50"/>
      <c r="B158" s="288"/>
      <c r="C158" s="326" t="s">
        <v>896</v>
      </c>
      <c r="D158" s="228" t="s">
        <v>923</v>
      </c>
      <c r="E158" s="301" t="s">
        <v>4555</v>
      </c>
      <c r="F158" s="228">
        <v>6602</v>
      </c>
      <c r="G158" s="805">
        <f t="shared" si="173"/>
        <v>23</v>
      </c>
      <c r="H158" s="189">
        <f t="shared" si="178"/>
        <v>0</v>
      </c>
      <c r="I158" s="189">
        <f t="shared" si="179"/>
        <v>0</v>
      </c>
      <c r="J158" s="189">
        <f t="shared" si="200"/>
        <v>0</v>
      </c>
      <c r="K158" s="189">
        <f t="shared" si="201"/>
        <v>0</v>
      </c>
      <c r="L158" s="189">
        <f t="shared" si="180"/>
        <v>1</v>
      </c>
      <c r="M158" s="189">
        <f t="shared" si="181"/>
        <v>5</v>
      </c>
      <c r="N158" s="189">
        <f t="shared" si="182"/>
        <v>0</v>
      </c>
      <c r="O158" s="189">
        <f t="shared" si="183"/>
        <v>4</v>
      </c>
      <c r="P158" s="189">
        <f t="shared" si="184"/>
        <v>3</v>
      </c>
      <c r="Q158" s="189">
        <f t="shared" si="185"/>
        <v>2</v>
      </c>
      <c r="R158" s="189">
        <f t="shared" si="186"/>
        <v>0</v>
      </c>
      <c r="S158" s="189">
        <f t="shared" si="187"/>
        <v>0</v>
      </c>
      <c r="T158" s="189">
        <f t="shared" si="188"/>
        <v>1</v>
      </c>
      <c r="U158" s="189">
        <f t="shared" si="189"/>
        <v>1</v>
      </c>
      <c r="V158" s="189">
        <f t="shared" si="202"/>
        <v>0</v>
      </c>
      <c r="W158" s="189">
        <f t="shared" si="203"/>
        <v>0</v>
      </c>
      <c r="X158" s="189">
        <f t="shared" si="204"/>
        <v>1</v>
      </c>
      <c r="Y158" s="189">
        <f t="shared" si="205"/>
        <v>1</v>
      </c>
      <c r="Z158" s="189">
        <f t="shared" si="190"/>
        <v>1</v>
      </c>
      <c r="AA158" s="189">
        <f t="shared" si="191"/>
        <v>0</v>
      </c>
      <c r="AB158" s="189">
        <f t="shared" si="192"/>
        <v>0</v>
      </c>
      <c r="AC158" s="189">
        <f t="shared" si="193"/>
        <v>2</v>
      </c>
      <c r="AD158" s="189">
        <f t="shared" si="194"/>
        <v>0</v>
      </c>
      <c r="AE158" s="189">
        <f t="shared" si="195"/>
        <v>0</v>
      </c>
      <c r="AF158" s="189">
        <f t="shared" si="196"/>
        <v>1</v>
      </c>
      <c r="AG158" s="189">
        <f t="shared" si="197"/>
        <v>0</v>
      </c>
      <c r="AH158" s="189">
        <f t="shared" si="198"/>
        <v>0</v>
      </c>
      <c r="AI158" s="190">
        <f t="shared" si="174"/>
        <v>0</v>
      </c>
      <c r="AJ158" s="190">
        <f t="shared" si="175"/>
        <v>0</v>
      </c>
      <c r="AK158" s="190">
        <f t="shared" si="176"/>
        <v>0</v>
      </c>
      <c r="AL158" s="190">
        <f t="shared" si="199"/>
        <v>0</v>
      </c>
      <c r="AM158" s="233">
        <f t="shared" si="177"/>
        <v>0</v>
      </c>
      <c r="AN158" s="326" t="s">
        <v>4567</v>
      </c>
    </row>
    <row r="159" spans="1:40" ht="30" customHeight="1">
      <c r="A159" s="1166"/>
      <c r="B159" s="1167"/>
      <c r="C159" s="325" t="s">
        <v>903</v>
      </c>
      <c r="D159" s="300" t="s">
        <v>924</v>
      </c>
      <c r="E159" s="299" t="s">
        <v>4556</v>
      </c>
      <c r="F159" s="300">
        <v>6605</v>
      </c>
      <c r="G159" s="804">
        <f>SUM(H159:AM159)</f>
        <v>0</v>
      </c>
      <c r="H159" s="522">
        <f>COUNTIF(Area_v1RISHER,$C159)</f>
        <v>0</v>
      </c>
      <c r="I159" s="522">
        <f>COUNTIF(Area_v2RISHER,$C159)</f>
        <v>0</v>
      </c>
      <c r="J159" s="522">
        <f>COUNTIF(Area_v1RAANHER,$C159)</f>
        <v>0</v>
      </c>
      <c r="K159" s="522">
        <f>COUNTIF(Area_v2RAANHER,$C159)</f>
        <v>0</v>
      </c>
      <c r="L159" s="522">
        <f>COUNTIF(Area_v1HER,$C159)</f>
        <v>0</v>
      </c>
      <c r="M159" s="522">
        <f>COUNTIF(Area_v2HER,$C159)</f>
        <v>0</v>
      </c>
      <c r="N159" s="522">
        <f>COUNTIF(Area_v3HER,$C159)</f>
        <v>0</v>
      </c>
      <c r="O159" s="522">
        <f>COUNTIF(Area_v4HER,$C159)</f>
        <v>0</v>
      </c>
      <c r="P159" s="522">
        <f>COUNTIF(Area_v5HER,$C159)</f>
        <v>0</v>
      </c>
      <c r="Q159" s="522">
        <f>COUNTIF(Area_v6HER,$C159)</f>
        <v>0</v>
      </c>
      <c r="R159" s="522">
        <f>COUNTIF(Area_v1HERTSA,$C159)</f>
        <v>0</v>
      </c>
      <c r="S159" s="522">
        <f>COUNTIF(Area_v2HERTSA,$C159)</f>
        <v>0</v>
      </c>
      <c r="T159" s="522">
        <f>COUNTIF(Area_v3HERTSA,$C159)</f>
        <v>0</v>
      </c>
      <c r="U159" s="522">
        <f>COUNTIF(Area_v4HERTSA,$C159)</f>
        <v>0</v>
      </c>
      <c r="V159" s="522">
        <f>COUNTIF(Area_v5HERTSA,$C159)</f>
        <v>0</v>
      </c>
      <c r="W159" s="522">
        <f>COUNTIF(Area_v5BBRHER,$C159)</f>
        <v>0</v>
      </c>
      <c r="X159" s="522">
        <f>COUNTIF(Area_v1BBRTUN,$C159)</f>
        <v>0</v>
      </c>
      <c r="Y159" s="522">
        <f>COUNTIF(Area_v2BBRTUN,$C159)</f>
        <v>0</v>
      </c>
      <c r="Z159" s="522">
        <f>COUNTIF(Area_v51HERTSA,$C159)</f>
        <v>0</v>
      </c>
      <c r="AA159" s="522">
        <f>COUNTIF(Area_v52HERTSA,$C159)</f>
        <v>0</v>
      </c>
      <c r="AB159" s="522">
        <f>COUNTIF(Area_v53HERTSA,$C159)</f>
        <v>0</v>
      </c>
      <c r="AC159" s="522">
        <f>COUNTIF(Area_v1TSA,$C159)</f>
        <v>0</v>
      </c>
      <c r="AD159" s="522">
        <f>COUNTIF(Area_v2TSA,$C159)</f>
        <v>0</v>
      </c>
      <c r="AE159" s="522">
        <f>COUNTIF(Area_v3TSA,$C159)</f>
        <v>0</v>
      </c>
      <c r="AF159" s="522">
        <f>COUNTIF(Area_v4TSA,$C159)</f>
        <v>0</v>
      </c>
      <c r="AG159" s="522">
        <f>COUNTIF(Area_v5TSA,$C159)</f>
        <v>0</v>
      </c>
      <c r="AH159" s="522">
        <f>COUNTIF(Area_v6TSA,$C159)</f>
        <v>0</v>
      </c>
      <c r="AI159" s="231">
        <f t="shared" si="174"/>
        <v>0</v>
      </c>
      <c r="AJ159" s="231">
        <f t="shared" si="175"/>
        <v>0</v>
      </c>
      <c r="AK159" s="231">
        <f t="shared" si="176"/>
        <v>0</v>
      </c>
      <c r="AL159" s="231">
        <f>COUNTIF(Area_v4THAHOLON,$C159)</f>
        <v>0</v>
      </c>
      <c r="AM159" s="232">
        <f t="shared" si="177"/>
        <v>0</v>
      </c>
      <c r="AN159" s="325" t="s">
        <v>4568</v>
      </c>
    </row>
    <row r="160" spans="1:40" ht="30" customHeight="1">
      <c r="A160" s="50"/>
      <c r="B160" s="288"/>
      <c r="C160" s="326" t="s">
        <v>1698</v>
      </c>
      <c r="D160" s="228" t="s">
        <v>1677</v>
      </c>
      <c r="E160" s="301" t="s">
        <v>4557</v>
      </c>
      <c r="F160" s="228">
        <v>6608</v>
      </c>
      <c r="G160" s="805">
        <f t="shared" si="173"/>
        <v>7</v>
      </c>
      <c r="H160" s="189">
        <f t="shared" si="178"/>
        <v>0</v>
      </c>
      <c r="I160" s="189">
        <f t="shared" si="179"/>
        <v>0</v>
      </c>
      <c r="J160" s="189">
        <f t="shared" si="200"/>
        <v>0</v>
      </c>
      <c r="K160" s="189">
        <f t="shared" si="201"/>
        <v>0</v>
      </c>
      <c r="L160" s="189">
        <f t="shared" si="180"/>
        <v>0</v>
      </c>
      <c r="M160" s="189">
        <f t="shared" si="181"/>
        <v>0</v>
      </c>
      <c r="N160" s="189">
        <f t="shared" si="182"/>
        <v>0</v>
      </c>
      <c r="O160" s="189">
        <f t="shared" si="183"/>
        <v>0</v>
      </c>
      <c r="P160" s="189">
        <f t="shared" si="184"/>
        <v>0</v>
      </c>
      <c r="Q160" s="189">
        <f t="shared" si="185"/>
        <v>0</v>
      </c>
      <c r="R160" s="189">
        <f t="shared" si="186"/>
        <v>0</v>
      </c>
      <c r="S160" s="189">
        <f t="shared" si="187"/>
        <v>0</v>
      </c>
      <c r="T160" s="189">
        <f t="shared" si="188"/>
        <v>0</v>
      </c>
      <c r="U160" s="189">
        <f t="shared" si="189"/>
        <v>1</v>
      </c>
      <c r="V160" s="189">
        <f t="shared" si="202"/>
        <v>0</v>
      </c>
      <c r="W160" s="189">
        <f t="shared" si="203"/>
        <v>0</v>
      </c>
      <c r="X160" s="189">
        <f t="shared" si="204"/>
        <v>0</v>
      </c>
      <c r="Y160" s="189">
        <f t="shared" si="205"/>
        <v>0</v>
      </c>
      <c r="Z160" s="189">
        <f t="shared" si="190"/>
        <v>0</v>
      </c>
      <c r="AA160" s="189">
        <f t="shared" si="191"/>
        <v>0</v>
      </c>
      <c r="AB160" s="189">
        <f t="shared" si="192"/>
        <v>0</v>
      </c>
      <c r="AC160" s="189">
        <f t="shared" si="193"/>
        <v>1</v>
      </c>
      <c r="AD160" s="189">
        <f t="shared" si="194"/>
        <v>0</v>
      </c>
      <c r="AE160" s="189">
        <f t="shared" si="195"/>
        <v>0</v>
      </c>
      <c r="AF160" s="189">
        <f t="shared" si="196"/>
        <v>1</v>
      </c>
      <c r="AG160" s="189">
        <f t="shared" si="197"/>
        <v>1</v>
      </c>
      <c r="AH160" s="189">
        <f t="shared" si="198"/>
        <v>1</v>
      </c>
      <c r="AI160" s="190">
        <f t="shared" si="174"/>
        <v>0</v>
      </c>
      <c r="AJ160" s="190">
        <f t="shared" si="175"/>
        <v>0</v>
      </c>
      <c r="AK160" s="190">
        <f t="shared" si="176"/>
        <v>0</v>
      </c>
      <c r="AL160" s="190">
        <f t="shared" si="199"/>
        <v>2</v>
      </c>
      <c r="AM160" s="233">
        <f t="shared" si="177"/>
        <v>0</v>
      </c>
      <c r="AN160" s="326" t="s">
        <v>4569</v>
      </c>
    </row>
    <row r="161" spans="1:40" ht="30" customHeight="1">
      <c r="A161" s="49"/>
      <c r="B161" s="1024"/>
      <c r="C161" s="326" t="s">
        <v>1674</v>
      </c>
      <c r="D161" s="228" t="s">
        <v>1675</v>
      </c>
      <c r="E161" s="301" t="s">
        <v>4558</v>
      </c>
      <c r="F161" s="228">
        <v>6602</v>
      </c>
      <c r="G161" s="805">
        <f t="shared" si="173"/>
        <v>0</v>
      </c>
      <c r="H161" s="189">
        <f t="shared" si="178"/>
        <v>0</v>
      </c>
      <c r="I161" s="189">
        <f t="shared" si="179"/>
        <v>0</v>
      </c>
      <c r="J161" s="189">
        <f t="shared" si="200"/>
        <v>0</v>
      </c>
      <c r="K161" s="189">
        <f t="shared" si="201"/>
        <v>0</v>
      </c>
      <c r="L161" s="189">
        <f t="shared" si="180"/>
        <v>0</v>
      </c>
      <c r="M161" s="189">
        <f t="shared" si="181"/>
        <v>0</v>
      </c>
      <c r="N161" s="189">
        <f t="shared" si="182"/>
        <v>0</v>
      </c>
      <c r="O161" s="189">
        <f t="shared" si="183"/>
        <v>0</v>
      </c>
      <c r="P161" s="189">
        <f t="shared" si="184"/>
        <v>0</v>
      </c>
      <c r="Q161" s="189">
        <f t="shared" si="185"/>
        <v>0</v>
      </c>
      <c r="R161" s="189">
        <f t="shared" si="186"/>
        <v>0</v>
      </c>
      <c r="S161" s="189">
        <f t="shared" si="187"/>
        <v>0</v>
      </c>
      <c r="T161" s="189">
        <f t="shared" si="188"/>
        <v>0</v>
      </c>
      <c r="U161" s="189">
        <f t="shared" si="189"/>
        <v>0</v>
      </c>
      <c r="V161" s="189">
        <f t="shared" si="202"/>
        <v>0</v>
      </c>
      <c r="W161" s="189">
        <f t="shared" si="203"/>
        <v>0</v>
      </c>
      <c r="X161" s="189">
        <f t="shared" si="204"/>
        <v>0</v>
      </c>
      <c r="Y161" s="189">
        <f t="shared" si="205"/>
        <v>0</v>
      </c>
      <c r="Z161" s="189">
        <f t="shared" si="190"/>
        <v>0</v>
      </c>
      <c r="AA161" s="189">
        <f t="shared" si="191"/>
        <v>0</v>
      </c>
      <c r="AB161" s="189">
        <f t="shared" si="192"/>
        <v>0</v>
      </c>
      <c r="AC161" s="189">
        <f t="shared" si="193"/>
        <v>0</v>
      </c>
      <c r="AD161" s="189">
        <f t="shared" si="194"/>
        <v>0</v>
      </c>
      <c r="AE161" s="189">
        <f t="shared" si="195"/>
        <v>0</v>
      </c>
      <c r="AF161" s="189">
        <f t="shared" si="196"/>
        <v>0</v>
      </c>
      <c r="AG161" s="189">
        <f t="shared" si="197"/>
        <v>0</v>
      </c>
      <c r="AH161" s="189">
        <f t="shared" si="198"/>
        <v>0</v>
      </c>
      <c r="AI161" s="190">
        <f t="shared" si="174"/>
        <v>0</v>
      </c>
      <c r="AJ161" s="190">
        <f t="shared" si="175"/>
        <v>0</v>
      </c>
      <c r="AK161" s="190">
        <f t="shared" si="176"/>
        <v>0</v>
      </c>
      <c r="AL161" s="190">
        <f t="shared" si="199"/>
        <v>0</v>
      </c>
      <c r="AM161" s="233">
        <f t="shared" si="177"/>
        <v>0</v>
      </c>
      <c r="AN161" s="326" t="s">
        <v>4570</v>
      </c>
    </row>
    <row r="162" spans="1:40" ht="30" customHeight="1">
      <c r="A162" s="49"/>
      <c r="B162" s="1024"/>
      <c r="C162" s="325" t="s">
        <v>1452</v>
      </c>
      <c r="D162" s="300" t="s">
        <v>1455</v>
      </c>
      <c r="E162" s="299" t="s">
        <v>4559</v>
      </c>
      <c r="F162" s="300">
        <v>6605</v>
      </c>
      <c r="G162" s="804">
        <f t="shared" si="173"/>
        <v>0</v>
      </c>
      <c r="H162" s="522">
        <f t="shared" si="178"/>
        <v>0</v>
      </c>
      <c r="I162" s="522">
        <f t="shared" si="179"/>
        <v>0</v>
      </c>
      <c r="J162" s="522">
        <f t="shared" si="200"/>
        <v>0</v>
      </c>
      <c r="K162" s="522">
        <f t="shared" si="201"/>
        <v>0</v>
      </c>
      <c r="L162" s="522">
        <f t="shared" si="180"/>
        <v>0</v>
      </c>
      <c r="M162" s="522">
        <f t="shared" si="181"/>
        <v>0</v>
      </c>
      <c r="N162" s="522">
        <f t="shared" si="182"/>
        <v>0</v>
      </c>
      <c r="O162" s="522">
        <f t="shared" si="183"/>
        <v>0</v>
      </c>
      <c r="P162" s="522">
        <f t="shared" si="184"/>
        <v>0</v>
      </c>
      <c r="Q162" s="522">
        <f t="shared" si="185"/>
        <v>0</v>
      </c>
      <c r="R162" s="522">
        <f t="shared" si="186"/>
        <v>0</v>
      </c>
      <c r="S162" s="522">
        <f t="shared" si="187"/>
        <v>0</v>
      </c>
      <c r="T162" s="522">
        <f t="shared" si="188"/>
        <v>0</v>
      </c>
      <c r="U162" s="522">
        <f t="shared" si="189"/>
        <v>0</v>
      </c>
      <c r="V162" s="522">
        <f t="shared" si="202"/>
        <v>0</v>
      </c>
      <c r="W162" s="522">
        <f t="shared" si="203"/>
        <v>0</v>
      </c>
      <c r="X162" s="522">
        <f t="shared" si="204"/>
        <v>0</v>
      </c>
      <c r="Y162" s="522">
        <f t="shared" si="205"/>
        <v>0</v>
      </c>
      <c r="Z162" s="522">
        <f t="shared" si="190"/>
        <v>0</v>
      </c>
      <c r="AA162" s="522">
        <f t="shared" si="191"/>
        <v>0</v>
      </c>
      <c r="AB162" s="522">
        <f t="shared" si="192"/>
        <v>0</v>
      </c>
      <c r="AC162" s="522">
        <f t="shared" si="193"/>
        <v>0</v>
      </c>
      <c r="AD162" s="522">
        <f t="shared" si="194"/>
        <v>0</v>
      </c>
      <c r="AE162" s="522">
        <f t="shared" si="195"/>
        <v>0</v>
      </c>
      <c r="AF162" s="522">
        <f t="shared" si="196"/>
        <v>0</v>
      </c>
      <c r="AG162" s="522">
        <f t="shared" si="197"/>
        <v>0</v>
      </c>
      <c r="AH162" s="522">
        <f t="shared" si="198"/>
        <v>0</v>
      </c>
      <c r="AI162" s="231">
        <f t="shared" si="174"/>
        <v>0</v>
      </c>
      <c r="AJ162" s="231">
        <f t="shared" si="175"/>
        <v>0</v>
      </c>
      <c r="AK162" s="231">
        <f t="shared" si="176"/>
        <v>0</v>
      </c>
      <c r="AL162" s="231">
        <f t="shared" si="199"/>
        <v>0</v>
      </c>
      <c r="AM162" s="232">
        <f t="shared" si="177"/>
        <v>0</v>
      </c>
      <c r="AN162" s="325" t="s">
        <v>4571</v>
      </c>
    </row>
    <row r="163" spans="1:40" ht="30" customHeight="1">
      <c r="A163" s="49"/>
      <c r="B163" s="990"/>
      <c r="C163" s="326" t="s">
        <v>4551</v>
      </c>
      <c r="D163" s="228" t="s">
        <v>1673</v>
      </c>
      <c r="E163" s="301" t="s">
        <v>4560</v>
      </c>
      <c r="F163" s="228">
        <v>6602</v>
      </c>
      <c r="G163" s="805">
        <f t="shared" si="173"/>
        <v>0</v>
      </c>
      <c r="H163" s="189">
        <f t="shared" si="178"/>
        <v>0</v>
      </c>
      <c r="I163" s="189">
        <f t="shared" si="179"/>
        <v>0</v>
      </c>
      <c r="J163" s="189">
        <f t="shared" si="200"/>
        <v>0</v>
      </c>
      <c r="K163" s="189">
        <f t="shared" si="201"/>
        <v>0</v>
      </c>
      <c r="L163" s="189">
        <f t="shared" si="180"/>
        <v>0</v>
      </c>
      <c r="M163" s="189">
        <f t="shared" si="181"/>
        <v>0</v>
      </c>
      <c r="N163" s="189">
        <f t="shared" si="182"/>
        <v>0</v>
      </c>
      <c r="O163" s="189">
        <f t="shared" si="183"/>
        <v>0</v>
      </c>
      <c r="P163" s="189">
        <f t="shared" si="184"/>
        <v>0</v>
      </c>
      <c r="Q163" s="189">
        <f t="shared" si="185"/>
        <v>0</v>
      </c>
      <c r="R163" s="189">
        <f t="shared" si="186"/>
        <v>0</v>
      </c>
      <c r="S163" s="189">
        <f t="shared" si="187"/>
        <v>0</v>
      </c>
      <c r="T163" s="189">
        <f t="shared" si="188"/>
        <v>0</v>
      </c>
      <c r="U163" s="189">
        <f t="shared" si="189"/>
        <v>0</v>
      </c>
      <c r="V163" s="189">
        <f t="shared" si="202"/>
        <v>0</v>
      </c>
      <c r="W163" s="189">
        <f t="shared" si="203"/>
        <v>0</v>
      </c>
      <c r="X163" s="189">
        <f t="shared" si="204"/>
        <v>0</v>
      </c>
      <c r="Y163" s="189">
        <f t="shared" si="205"/>
        <v>0</v>
      </c>
      <c r="Z163" s="189">
        <f t="shared" si="190"/>
        <v>0</v>
      </c>
      <c r="AA163" s="189">
        <f t="shared" si="191"/>
        <v>0</v>
      </c>
      <c r="AB163" s="189">
        <f t="shared" si="192"/>
        <v>0</v>
      </c>
      <c r="AC163" s="189">
        <f t="shared" si="193"/>
        <v>0</v>
      </c>
      <c r="AD163" s="189">
        <f t="shared" si="194"/>
        <v>0</v>
      </c>
      <c r="AE163" s="189">
        <f t="shared" si="195"/>
        <v>0</v>
      </c>
      <c r="AF163" s="189">
        <f t="shared" si="196"/>
        <v>0</v>
      </c>
      <c r="AG163" s="189">
        <f t="shared" si="197"/>
        <v>0</v>
      </c>
      <c r="AH163" s="189">
        <f t="shared" si="198"/>
        <v>0</v>
      </c>
      <c r="AI163" s="190">
        <f t="shared" si="174"/>
        <v>0</v>
      </c>
      <c r="AJ163" s="190">
        <f t="shared" si="175"/>
        <v>0</v>
      </c>
      <c r="AK163" s="190">
        <f t="shared" si="176"/>
        <v>0</v>
      </c>
      <c r="AL163" s="190">
        <f t="shared" si="199"/>
        <v>0</v>
      </c>
      <c r="AM163" s="233">
        <f t="shared" si="177"/>
        <v>0</v>
      </c>
      <c r="AN163" s="326" t="s">
        <v>4572</v>
      </c>
    </row>
    <row r="164" spans="1:40" ht="30" customHeight="1">
      <c r="A164" s="49"/>
      <c r="B164" s="990"/>
      <c r="C164" s="324" t="s">
        <v>1454</v>
      </c>
      <c r="D164" s="298" t="s">
        <v>1456</v>
      </c>
      <c r="E164" s="297" t="s">
        <v>4561</v>
      </c>
      <c r="F164" s="298">
        <v>6605</v>
      </c>
      <c r="G164" s="806">
        <f t="shared" si="173"/>
        <v>0</v>
      </c>
      <c r="H164" s="523">
        <f t="shared" si="178"/>
        <v>0</v>
      </c>
      <c r="I164" s="523">
        <f t="shared" si="179"/>
        <v>0</v>
      </c>
      <c r="J164" s="523">
        <f t="shared" si="200"/>
        <v>0</v>
      </c>
      <c r="K164" s="523">
        <f t="shared" si="201"/>
        <v>0</v>
      </c>
      <c r="L164" s="523">
        <f t="shared" si="180"/>
        <v>0</v>
      </c>
      <c r="M164" s="523">
        <f t="shared" si="181"/>
        <v>0</v>
      </c>
      <c r="N164" s="523">
        <f t="shared" si="182"/>
        <v>0</v>
      </c>
      <c r="O164" s="523">
        <f t="shared" si="183"/>
        <v>0</v>
      </c>
      <c r="P164" s="523">
        <f t="shared" si="184"/>
        <v>0</v>
      </c>
      <c r="Q164" s="523">
        <f t="shared" si="185"/>
        <v>0</v>
      </c>
      <c r="R164" s="523">
        <f t="shared" si="186"/>
        <v>0</v>
      </c>
      <c r="S164" s="523">
        <f t="shared" si="187"/>
        <v>0</v>
      </c>
      <c r="T164" s="523">
        <f t="shared" si="188"/>
        <v>0</v>
      </c>
      <c r="U164" s="523">
        <f t="shared" si="189"/>
        <v>0</v>
      </c>
      <c r="V164" s="523">
        <f t="shared" si="202"/>
        <v>0</v>
      </c>
      <c r="W164" s="523">
        <f t="shared" si="203"/>
        <v>0</v>
      </c>
      <c r="X164" s="523">
        <f t="shared" si="204"/>
        <v>0</v>
      </c>
      <c r="Y164" s="523">
        <f t="shared" si="205"/>
        <v>0</v>
      </c>
      <c r="Z164" s="523">
        <f t="shared" si="190"/>
        <v>0</v>
      </c>
      <c r="AA164" s="523">
        <f t="shared" si="191"/>
        <v>0</v>
      </c>
      <c r="AB164" s="523">
        <f t="shared" si="192"/>
        <v>0</v>
      </c>
      <c r="AC164" s="523">
        <f t="shared" si="193"/>
        <v>0</v>
      </c>
      <c r="AD164" s="523">
        <f t="shared" si="194"/>
        <v>0</v>
      </c>
      <c r="AE164" s="523">
        <f t="shared" si="195"/>
        <v>0</v>
      </c>
      <c r="AF164" s="523">
        <f t="shared" si="196"/>
        <v>0</v>
      </c>
      <c r="AG164" s="523">
        <f t="shared" si="197"/>
        <v>0</v>
      </c>
      <c r="AH164" s="523">
        <f t="shared" si="198"/>
        <v>0</v>
      </c>
      <c r="AI164" s="229">
        <f t="shared" si="174"/>
        <v>0</v>
      </c>
      <c r="AJ164" s="229">
        <f t="shared" si="175"/>
        <v>0</v>
      </c>
      <c r="AK164" s="229">
        <f t="shared" si="176"/>
        <v>0</v>
      </c>
      <c r="AL164" s="229">
        <f t="shared" si="199"/>
        <v>0</v>
      </c>
      <c r="AM164" s="230">
        <f t="shared" si="177"/>
        <v>0</v>
      </c>
      <c r="AN164" s="324" t="s">
        <v>4573</v>
      </c>
    </row>
    <row r="165" spans="1:40" ht="30" customHeight="1">
      <c r="A165" s="50"/>
      <c r="B165" s="990"/>
      <c r="C165" s="326" t="s">
        <v>822</v>
      </c>
      <c r="D165" s="228" t="s">
        <v>925</v>
      </c>
      <c r="E165" s="301" t="s">
        <v>4562</v>
      </c>
      <c r="F165" s="228">
        <v>6602</v>
      </c>
      <c r="G165" s="805">
        <f t="shared" si="173"/>
        <v>1</v>
      </c>
      <c r="H165" s="189">
        <f t="shared" si="178"/>
        <v>0</v>
      </c>
      <c r="I165" s="189">
        <f t="shared" si="179"/>
        <v>0</v>
      </c>
      <c r="J165" s="189">
        <f t="shared" si="200"/>
        <v>0</v>
      </c>
      <c r="K165" s="189">
        <f t="shared" si="201"/>
        <v>0</v>
      </c>
      <c r="L165" s="189">
        <f t="shared" si="180"/>
        <v>0</v>
      </c>
      <c r="M165" s="189">
        <f t="shared" si="181"/>
        <v>0</v>
      </c>
      <c r="N165" s="189">
        <f t="shared" si="182"/>
        <v>0</v>
      </c>
      <c r="O165" s="189">
        <f t="shared" si="183"/>
        <v>0</v>
      </c>
      <c r="P165" s="189">
        <f t="shared" si="184"/>
        <v>0</v>
      </c>
      <c r="Q165" s="189">
        <f t="shared" si="185"/>
        <v>0</v>
      </c>
      <c r="R165" s="189">
        <f t="shared" si="186"/>
        <v>0</v>
      </c>
      <c r="S165" s="189">
        <f t="shared" si="187"/>
        <v>0</v>
      </c>
      <c r="T165" s="189">
        <f t="shared" si="188"/>
        <v>0</v>
      </c>
      <c r="U165" s="189">
        <f t="shared" ref="U165:U174" si="206">COUNTIF(Area_v4HERTSA,$C165)</f>
        <v>0</v>
      </c>
      <c r="V165" s="189">
        <f t="shared" si="202"/>
        <v>0</v>
      </c>
      <c r="W165" s="189">
        <f t="shared" si="203"/>
        <v>1</v>
      </c>
      <c r="X165" s="189">
        <f t="shared" si="204"/>
        <v>0</v>
      </c>
      <c r="Y165" s="189">
        <f t="shared" si="205"/>
        <v>0</v>
      </c>
      <c r="Z165" s="189">
        <f t="shared" si="190"/>
        <v>0</v>
      </c>
      <c r="AA165" s="189">
        <f t="shared" si="191"/>
        <v>0</v>
      </c>
      <c r="AB165" s="189">
        <f t="shared" si="192"/>
        <v>0</v>
      </c>
      <c r="AC165" s="189">
        <f t="shared" si="193"/>
        <v>0</v>
      </c>
      <c r="AD165" s="189">
        <f t="shared" si="194"/>
        <v>0</v>
      </c>
      <c r="AE165" s="189">
        <f t="shared" si="195"/>
        <v>0</v>
      </c>
      <c r="AF165" s="189">
        <f t="shared" si="196"/>
        <v>0</v>
      </c>
      <c r="AG165" s="189">
        <f t="shared" si="197"/>
        <v>0</v>
      </c>
      <c r="AH165" s="189">
        <f t="shared" si="198"/>
        <v>0</v>
      </c>
      <c r="AI165" s="190">
        <f t="shared" ref="AI165:AI174" si="207">COUNTIF(Area_v1TSATHA,$C165)</f>
        <v>0</v>
      </c>
      <c r="AJ165" s="190">
        <f t="shared" ref="AJ165:AJ174" si="208">COUNTIF(Area_v2TSATHA,$C165)</f>
        <v>0</v>
      </c>
      <c r="AK165" s="190">
        <f t="shared" ref="AK165:AK174" si="209">COUNTIF(Area_v3TSATHA,$C165)</f>
        <v>0</v>
      </c>
      <c r="AL165" s="190">
        <f t="shared" si="199"/>
        <v>0</v>
      </c>
      <c r="AM165" s="233">
        <f t="shared" ref="AM165:AM174" si="210">COUNTIF(Area_v5THAHOLON,$C165)</f>
        <v>0</v>
      </c>
      <c r="AN165" s="326" t="s">
        <v>4574</v>
      </c>
    </row>
    <row r="166" spans="1:40" ht="30" customHeight="1">
      <c r="A166" s="50"/>
      <c r="B166" s="288"/>
      <c r="C166" s="326" t="s">
        <v>1451</v>
      </c>
      <c r="D166" s="228" t="s">
        <v>926</v>
      </c>
      <c r="E166" s="301" t="s">
        <v>4563</v>
      </c>
      <c r="F166" s="228">
        <v>6608</v>
      </c>
      <c r="G166" s="805">
        <f t="shared" si="173"/>
        <v>18</v>
      </c>
      <c r="H166" s="189">
        <f t="shared" si="178"/>
        <v>0</v>
      </c>
      <c r="I166" s="189">
        <f t="shared" si="179"/>
        <v>0</v>
      </c>
      <c r="J166" s="189">
        <f t="shared" si="200"/>
        <v>0</v>
      </c>
      <c r="K166" s="189">
        <f t="shared" si="201"/>
        <v>0</v>
      </c>
      <c r="L166" s="189">
        <f t="shared" si="180"/>
        <v>0</v>
      </c>
      <c r="M166" s="189">
        <f t="shared" si="181"/>
        <v>0</v>
      </c>
      <c r="N166" s="189">
        <f t="shared" si="182"/>
        <v>0</v>
      </c>
      <c r="O166" s="189">
        <f t="shared" si="183"/>
        <v>0</v>
      </c>
      <c r="P166" s="189">
        <f t="shared" si="184"/>
        <v>0</v>
      </c>
      <c r="Q166" s="189">
        <f t="shared" si="185"/>
        <v>0</v>
      </c>
      <c r="R166" s="189">
        <f t="shared" si="186"/>
        <v>3</v>
      </c>
      <c r="S166" s="189">
        <f t="shared" si="187"/>
        <v>0</v>
      </c>
      <c r="T166" s="189">
        <f t="shared" si="188"/>
        <v>0</v>
      </c>
      <c r="U166" s="189">
        <f t="shared" si="206"/>
        <v>0</v>
      </c>
      <c r="V166" s="189">
        <f t="shared" si="202"/>
        <v>0</v>
      </c>
      <c r="W166" s="189">
        <f t="shared" si="203"/>
        <v>0</v>
      </c>
      <c r="X166" s="189">
        <f t="shared" si="204"/>
        <v>0</v>
      </c>
      <c r="Y166" s="189">
        <f t="shared" si="205"/>
        <v>0</v>
      </c>
      <c r="Z166" s="189">
        <f t="shared" si="190"/>
        <v>3</v>
      </c>
      <c r="AA166" s="189">
        <f t="shared" si="191"/>
        <v>0</v>
      </c>
      <c r="AB166" s="189">
        <f t="shared" si="192"/>
        <v>0</v>
      </c>
      <c r="AC166" s="189">
        <f t="shared" si="193"/>
        <v>2</v>
      </c>
      <c r="AD166" s="189">
        <f t="shared" si="194"/>
        <v>1</v>
      </c>
      <c r="AE166" s="189">
        <f t="shared" si="195"/>
        <v>0</v>
      </c>
      <c r="AF166" s="189">
        <f t="shared" si="196"/>
        <v>0</v>
      </c>
      <c r="AG166" s="189">
        <f t="shared" si="197"/>
        <v>3</v>
      </c>
      <c r="AH166" s="189">
        <f t="shared" si="198"/>
        <v>0</v>
      </c>
      <c r="AI166" s="190">
        <f t="shared" si="207"/>
        <v>3</v>
      </c>
      <c r="AJ166" s="190">
        <f t="shared" si="208"/>
        <v>0</v>
      </c>
      <c r="AK166" s="190">
        <f t="shared" si="209"/>
        <v>3</v>
      </c>
      <c r="AL166" s="190">
        <f t="shared" si="199"/>
        <v>0</v>
      </c>
      <c r="AM166" s="233">
        <f t="shared" si="210"/>
        <v>0</v>
      </c>
      <c r="AN166" s="326" t="s">
        <v>4575</v>
      </c>
    </row>
    <row r="167" spans="1:40" ht="30" customHeight="1">
      <c r="A167" s="1166"/>
      <c r="B167" s="1167"/>
      <c r="C167" s="1171" t="s">
        <v>4576</v>
      </c>
      <c r="D167" s="1172"/>
      <c r="E167" s="1173" t="s">
        <v>4577</v>
      </c>
      <c r="F167" s="1172">
        <v>6598</v>
      </c>
      <c r="G167" s="1174">
        <f t="shared" ref="G167:G173" si="211">SUM(H167:AM167)</f>
        <v>0</v>
      </c>
      <c r="H167" s="1175">
        <f t="shared" si="178"/>
        <v>0</v>
      </c>
      <c r="I167" s="1175">
        <f t="shared" si="179"/>
        <v>0</v>
      </c>
      <c r="J167" s="1175">
        <f t="shared" si="200"/>
        <v>0</v>
      </c>
      <c r="K167" s="1175">
        <f t="shared" si="201"/>
        <v>0</v>
      </c>
      <c r="L167" s="1175">
        <f t="shared" si="180"/>
        <v>0</v>
      </c>
      <c r="M167" s="1175">
        <f t="shared" si="181"/>
        <v>0</v>
      </c>
      <c r="N167" s="1175">
        <f t="shared" si="182"/>
        <v>0</v>
      </c>
      <c r="O167" s="1175">
        <f t="shared" si="183"/>
        <v>0</v>
      </c>
      <c r="P167" s="1175">
        <f t="shared" si="184"/>
        <v>0</v>
      </c>
      <c r="Q167" s="1175">
        <f t="shared" si="185"/>
        <v>0</v>
      </c>
      <c r="R167" s="1175">
        <f t="shared" si="186"/>
        <v>0</v>
      </c>
      <c r="S167" s="1175">
        <f t="shared" si="187"/>
        <v>0</v>
      </c>
      <c r="T167" s="1175">
        <f t="shared" si="188"/>
        <v>0</v>
      </c>
      <c r="U167" s="1175">
        <f t="shared" si="206"/>
        <v>0</v>
      </c>
      <c r="V167" s="1175">
        <f t="shared" si="202"/>
        <v>0</v>
      </c>
      <c r="W167" s="1175">
        <f t="shared" si="203"/>
        <v>0</v>
      </c>
      <c r="X167" s="1175">
        <f t="shared" si="204"/>
        <v>0</v>
      </c>
      <c r="Y167" s="1175">
        <f t="shared" si="205"/>
        <v>0</v>
      </c>
      <c r="Z167" s="1175">
        <f t="shared" si="190"/>
        <v>0</v>
      </c>
      <c r="AA167" s="1175">
        <f t="shared" si="191"/>
        <v>0</v>
      </c>
      <c r="AB167" s="1175">
        <f t="shared" si="192"/>
        <v>0</v>
      </c>
      <c r="AC167" s="1175">
        <f t="shared" si="193"/>
        <v>0</v>
      </c>
      <c r="AD167" s="1175">
        <f t="shared" si="194"/>
        <v>0</v>
      </c>
      <c r="AE167" s="1175">
        <f t="shared" si="195"/>
        <v>0</v>
      </c>
      <c r="AF167" s="1175">
        <f t="shared" si="196"/>
        <v>0</v>
      </c>
      <c r="AG167" s="1175">
        <f t="shared" si="197"/>
        <v>0</v>
      </c>
      <c r="AH167" s="1175">
        <f t="shared" si="198"/>
        <v>0</v>
      </c>
      <c r="AI167" s="1176">
        <f t="shared" si="207"/>
        <v>0</v>
      </c>
      <c r="AJ167" s="1176">
        <f t="shared" si="208"/>
        <v>0</v>
      </c>
      <c r="AK167" s="1176">
        <f t="shared" si="209"/>
        <v>0</v>
      </c>
      <c r="AL167" s="1176">
        <f t="shared" si="199"/>
        <v>0</v>
      </c>
      <c r="AM167" s="1177">
        <f t="shared" si="210"/>
        <v>0</v>
      </c>
      <c r="AN167" s="1171" t="s">
        <v>4578</v>
      </c>
    </row>
    <row r="168" spans="1:40" ht="30" customHeight="1">
      <c r="A168" s="50"/>
      <c r="B168" s="288"/>
      <c r="C168" s="326" t="s">
        <v>4579</v>
      </c>
      <c r="D168" s="228" t="s">
        <v>927</v>
      </c>
      <c r="E168" s="301" t="s">
        <v>4580</v>
      </c>
      <c r="F168" s="228">
        <v>6598</v>
      </c>
      <c r="G168" s="805">
        <f t="shared" si="211"/>
        <v>0</v>
      </c>
      <c r="H168" s="189">
        <f t="shared" si="178"/>
        <v>0</v>
      </c>
      <c r="I168" s="189">
        <f t="shared" si="179"/>
        <v>0</v>
      </c>
      <c r="J168" s="189">
        <f t="shared" si="200"/>
        <v>0</v>
      </c>
      <c r="K168" s="189">
        <f t="shared" si="201"/>
        <v>0</v>
      </c>
      <c r="L168" s="189">
        <f t="shared" si="180"/>
        <v>0</v>
      </c>
      <c r="M168" s="189">
        <f t="shared" si="181"/>
        <v>0</v>
      </c>
      <c r="N168" s="189">
        <f t="shared" si="182"/>
        <v>0</v>
      </c>
      <c r="O168" s="189">
        <f t="shared" si="183"/>
        <v>0</v>
      </c>
      <c r="P168" s="189">
        <f t="shared" si="184"/>
        <v>0</v>
      </c>
      <c r="Q168" s="189">
        <f t="shared" si="185"/>
        <v>0</v>
      </c>
      <c r="R168" s="189">
        <f t="shared" si="186"/>
        <v>0</v>
      </c>
      <c r="S168" s="189">
        <f t="shared" si="187"/>
        <v>0</v>
      </c>
      <c r="T168" s="189">
        <f t="shared" si="188"/>
        <v>0</v>
      </c>
      <c r="U168" s="189">
        <f t="shared" si="206"/>
        <v>0</v>
      </c>
      <c r="V168" s="189">
        <f t="shared" si="202"/>
        <v>0</v>
      </c>
      <c r="W168" s="189">
        <f t="shared" si="203"/>
        <v>0</v>
      </c>
      <c r="X168" s="189">
        <f t="shared" si="204"/>
        <v>0</v>
      </c>
      <c r="Y168" s="189">
        <f t="shared" si="205"/>
        <v>0</v>
      </c>
      <c r="Z168" s="189">
        <f t="shared" si="190"/>
        <v>0</v>
      </c>
      <c r="AA168" s="189">
        <f t="shared" si="191"/>
        <v>0</v>
      </c>
      <c r="AB168" s="189">
        <f t="shared" si="192"/>
        <v>0</v>
      </c>
      <c r="AC168" s="189">
        <f t="shared" si="193"/>
        <v>0</v>
      </c>
      <c r="AD168" s="189">
        <f t="shared" si="194"/>
        <v>0</v>
      </c>
      <c r="AE168" s="189">
        <f t="shared" si="195"/>
        <v>0</v>
      </c>
      <c r="AF168" s="189">
        <f t="shared" si="196"/>
        <v>0</v>
      </c>
      <c r="AG168" s="189">
        <f t="shared" si="197"/>
        <v>0</v>
      </c>
      <c r="AH168" s="189">
        <f t="shared" si="198"/>
        <v>0</v>
      </c>
      <c r="AI168" s="190">
        <f t="shared" si="207"/>
        <v>0</v>
      </c>
      <c r="AJ168" s="190">
        <f t="shared" si="208"/>
        <v>0</v>
      </c>
      <c r="AK168" s="190">
        <f t="shared" si="209"/>
        <v>0</v>
      </c>
      <c r="AL168" s="190">
        <f t="shared" si="199"/>
        <v>0</v>
      </c>
      <c r="AM168" s="233">
        <f t="shared" si="210"/>
        <v>0</v>
      </c>
      <c r="AN168" s="326" t="s">
        <v>4581</v>
      </c>
    </row>
    <row r="169" spans="1:40" ht="30" customHeight="1">
      <c r="A169" s="1166"/>
      <c r="B169" s="1167"/>
      <c r="C169" s="1168" t="s">
        <v>4415</v>
      </c>
      <c r="D169" s="1169"/>
      <c r="E169" s="1170" t="s">
        <v>4582</v>
      </c>
      <c r="F169" s="1169">
        <v>6599</v>
      </c>
      <c r="G169" s="805">
        <f t="shared" si="211"/>
        <v>0</v>
      </c>
      <c r="H169" s="189">
        <f t="shared" si="178"/>
        <v>0</v>
      </c>
      <c r="I169" s="189">
        <f t="shared" si="179"/>
        <v>0</v>
      </c>
      <c r="J169" s="189">
        <f t="shared" si="200"/>
        <v>0</v>
      </c>
      <c r="K169" s="189">
        <f t="shared" si="201"/>
        <v>0</v>
      </c>
      <c r="L169" s="189">
        <f t="shared" si="180"/>
        <v>0</v>
      </c>
      <c r="M169" s="189">
        <f t="shared" si="181"/>
        <v>0</v>
      </c>
      <c r="N169" s="189">
        <f t="shared" si="182"/>
        <v>0</v>
      </c>
      <c r="O169" s="189">
        <f t="shared" si="183"/>
        <v>0</v>
      </c>
      <c r="P169" s="189">
        <f t="shared" si="184"/>
        <v>0</v>
      </c>
      <c r="Q169" s="189">
        <f t="shared" si="185"/>
        <v>0</v>
      </c>
      <c r="R169" s="189">
        <f t="shared" si="186"/>
        <v>0</v>
      </c>
      <c r="S169" s="189">
        <f t="shared" si="187"/>
        <v>0</v>
      </c>
      <c r="T169" s="189">
        <f t="shared" si="188"/>
        <v>0</v>
      </c>
      <c r="U169" s="189">
        <f t="shared" si="206"/>
        <v>0</v>
      </c>
      <c r="V169" s="189">
        <f t="shared" si="202"/>
        <v>0</v>
      </c>
      <c r="W169" s="189">
        <f t="shared" si="203"/>
        <v>0</v>
      </c>
      <c r="X169" s="189">
        <f t="shared" si="204"/>
        <v>0</v>
      </c>
      <c r="Y169" s="189">
        <f t="shared" si="205"/>
        <v>0</v>
      </c>
      <c r="Z169" s="189">
        <f t="shared" si="190"/>
        <v>0</v>
      </c>
      <c r="AA169" s="189">
        <f t="shared" si="191"/>
        <v>0</v>
      </c>
      <c r="AB169" s="189">
        <f t="shared" si="192"/>
        <v>0</v>
      </c>
      <c r="AC169" s="189">
        <f t="shared" si="193"/>
        <v>0</v>
      </c>
      <c r="AD169" s="189">
        <f t="shared" si="194"/>
        <v>0</v>
      </c>
      <c r="AE169" s="189">
        <f t="shared" si="195"/>
        <v>0</v>
      </c>
      <c r="AF169" s="189">
        <f t="shared" si="196"/>
        <v>0</v>
      </c>
      <c r="AG169" s="189">
        <f t="shared" si="197"/>
        <v>0</v>
      </c>
      <c r="AH169" s="189">
        <f t="shared" si="198"/>
        <v>0</v>
      </c>
      <c r="AI169" s="190">
        <f t="shared" si="207"/>
        <v>0</v>
      </c>
      <c r="AJ169" s="190">
        <f t="shared" si="208"/>
        <v>0</v>
      </c>
      <c r="AK169" s="190">
        <f t="shared" si="209"/>
        <v>0</v>
      </c>
      <c r="AL169" s="190">
        <f t="shared" si="199"/>
        <v>0</v>
      </c>
      <c r="AM169" s="233">
        <f t="shared" si="210"/>
        <v>0</v>
      </c>
      <c r="AN169" s="1168" t="s">
        <v>4590</v>
      </c>
    </row>
    <row r="170" spans="1:40" ht="30" customHeight="1">
      <c r="A170" s="1166"/>
      <c r="B170" s="1167"/>
      <c r="C170" s="1168" t="s">
        <v>4414</v>
      </c>
      <c r="D170" s="1169"/>
      <c r="E170" s="1170" t="s">
        <v>4583</v>
      </c>
      <c r="F170" s="1169">
        <v>6599</v>
      </c>
      <c r="G170" s="805">
        <f t="shared" si="211"/>
        <v>0</v>
      </c>
      <c r="H170" s="189">
        <f t="shared" si="178"/>
        <v>0</v>
      </c>
      <c r="I170" s="189">
        <f t="shared" si="179"/>
        <v>0</v>
      </c>
      <c r="J170" s="189">
        <f t="shared" si="200"/>
        <v>0</v>
      </c>
      <c r="K170" s="189">
        <f t="shared" si="201"/>
        <v>0</v>
      </c>
      <c r="L170" s="189">
        <f t="shared" si="180"/>
        <v>0</v>
      </c>
      <c r="M170" s="189">
        <f t="shared" si="181"/>
        <v>0</v>
      </c>
      <c r="N170" s="189">
        <f t="shared" si="182"/>
        <v>0</v>
      </c>
      <c r="O170" s="189">
        <f t="shared" si="183"/>
        <v>0</v>
      </c>
      <c r="P170" s="189">
        <f t="shared" si="184"/>
        <v>0</v>
      </c>
      <c r="Q170" s="189">
        <f t="shared" si="185"/>
        <v>0</v>
      </c>
      <c r="R170" s="189">
        <f t="shared" si="186"/>
        <v>0</v>
      </c>
      <c r="S170" s="189">
        <f t="shared" si="187"/>
        <v>0</v>
      </c>
      <c r="T170" s="189">
        <f t="shared" si="188"/>
        <v>0</v>
      </c>
      <c r="U170" s="189">
        <f t="shared" si="206"/>
        <v>0</v>
      </c>
      <c r="V170" s="189">
        <f t="shared" si="202"/>
        <v>0</v>
      </c>
      <c r="W170" s="189">
        <f t="shared" si="203"/>
        <v>0</v>
      </c>
      <c r="X170" s="189">
        <f t="shared" si="204"/>
        <v>0</v>
      </c>
      <c r="Y170" s="189">
        <f t="shared" si="205"/>
        <v>0</v>
      </c>
      <c r="Z170" s="189">
        <f t="shared" si="190"/>
        <v>0</v>
      </c>
      <c r="AA170" s="189">
        <f t="shared" si="191"/>
        <v>0</v>
      </c>
      <c r="AB170" s="189">
        <f t="shared" si="192"/>
        <v>0</v>
      </c>
      <c r="AC170" s="189">
        <f t="shared" si="193"/>
        <v>0</v>
      </c>
      <c r="AD170" s="189">
        <f t="shared" si="194"/>
        <v>0</v>
      </c>
      <c r="AE170" s="189">
        <f t="shared" si="195"/>
        <v>0</v>
      </c>
      <c r="AF170" s="189">
        <f t="shared" si="196"/>
        <v>0</v>
      </c>
      <c r="AG170" s="189">
        <f t="shared" si="197"/>
        <v>0</v>
      </c>
      <c r="AH170" s="189">
        <f t="shared" si="198"/>
        <v>0</v>
      </c>
      <c r="AI170" s="190">
        <f t="shared" si="207"/>
        <v>0</v>
      </c>
      <c r="AJ170" s="190">
        <f t="shared" si="208"/>
        <v>0</v>
      </c>
      <c r="AK170" s="190">
        <f t="shared" si="209"/>
        <v>0</v>
      </c>
      <c r="AL170" s="190">
        <f t="shared" si="199"/>
        <v>0</v>
      </c>
      <c r="AM170" s="233">
        <f t="shared" si="210"/>
        <v>0</v>
      </c>
      <c r="AN170" s="1168" t="s">
        <v>4591</v>
      </c>
    </row>
    <row r="171" spans="1:40" ht="30" customHeight="1">
      <c r="A171" s="1166"/>
      <c r="B171" s="1167"/>
      <c r="C171" s="1168" t="s">
        <v>4584</v>
      </c>
      <c r="D171" s="1169"/>
      <c r="E171" s="1170" t="s">
        <v>4585</v>
      </c>
      <c r="F171" s="1169">
        <v>6625</v>
      </c>
      <c r="G171" s="805">
        <f t="shared" si="211"/>
        <v>0</v>
      </c>
      <c r="H171" s="189">
        <f t="shared" si="178"/>
        <v>0</v>
      </c>
      <c r="I171" s="189">
        <f t="shared" si="179"/>
        <v>0</v>
      </c>
      <c r="J171" s="189">
        <f t="shared" si="200"/>
        <v>0</v>
      </c>
      <c r="K171" s="189">
        <f t="shared" si="201"/>
        <v>0</v>
      </c>
      <c r="L171" s="189">
        <f t="shared" si="180"/>
        <v>0</v>
      </c>
      <c r="M171" s="189">
        <f t="shared" si="181"/>
        <v>0</v>
      </c>
      <c r="N171" s="189">
        <f t="shared" si="182"/>
        <v>0</v>
      </c>
      <c r="O171" s="189">
        <f t="shared" si="183"/>
        <v>0</v>
      </c>
      <c r="P171" s="189">
        <f t="shared" si="184"/>
        <v>0</v>
      </c>
      <c r="Q171" s="189">
        <f t="shared" si="185"/>
        <v>0</v>
      </c>
      <c r="R171" s="189">
        <f t="shared" si="186"/>
        <v>0</v>
      </c>
      <c r="S171" s="189">
        <f t="shared" si="187"/>
        <v>0</v>
      </c>
      <c r="T171" s="189">
        <f t="shared" si="188"/>
        <v>0</v>
      </c>
      <c r="U171" s="189">
        <f t="shared" si="206"/>
        <v>0</v>
      </c>
      <c r="V171" s="189">
        <f t="shared" si="202"/>
        <v>0</v>
      </c>
      <c r="W171" s="189">
        <f t="shared" si="203"/>
        <v>0</v>
      </c>
      <c r="X171" s="189">
        <f t="shared" si="204"/>
        <v>0</v>
      </c>
      <c r="Y171" s="189">
        <f t="shared" si="205"/>
        <v>0</v>
      </c>
      <c r="Z171" s="189">
        <f t="shared" si="190"/>
        <v>0</v>
      </c>
      <c r="AA171" s="189">
        <f t="shared" si="191"/>
        <v>0</v>
      </c>
      <c r="AB171" s="189">
        <f t="shared" si="192"/>
        <v>0</v>
      </c>
      <c r="AC171" s="189">
        <f t="shared" si="193"/>
        <v>0</v>
      </c>
      <c r="AD171" s="189">
        <f t="shared" si="194"/>
        <v>0</v>
      </c>
      <c r="AE171" s="189">
        <f t="shared" si="195"/>
        <v>0</v>
      </c>
      <c r="AF171" s="189">
        <f t="shared" si="196"/>
        <v>0</v>
      </c>
      <c r="AG171" s="189">
        <f t="shared" si="197"/>
        <v>0</v>
      </c>
      <c r="AH171" s="189">
        <f t="shared" si="198"/>
        <v>0</v>
      </c>
      <c r="AI171" s="190">
        <f t="shared" si="207"/>
        <v>0</v>
      </c>
      <c r="AJ171" s="190">
        <f t="shared" si="208"/>
        <v>0</v>
      </c>
      <c r="AK171" s="190">
        <f t="shared" si="209"/>
        <v>0</v>
      </c>
      <c r="AL171" s="190">
        <f t="shared" si="199"/>
        <v>0</v>
      </c>
      <c r="AM171" s="233">
        <f t="shared" si="210"/>
        <v>0</v>
      </c>
      <c r="AN171" s="1168" t="s">
        <v>4592</v>
      </c>
    </row>
    <row r="172" spans="1:40" ht="30" customHeight="1">
      <c r="A172" s="1166"/>
      <c r="B172" s="1167"/>
      <c r="C172" s="1168" t="s">
        <v>4586</v>
      </c>
      <c r="D172" s="1169"/>
      <c r="E172" s="1170" t="s">
        <v>4587</v>
      </c>
      <c r="F172" s="1169">
        <v>6607</v>
      </c>
      <c r="G172" s="805">
        <f t="shared" si="211"/>
        <v>0</v>
      </c>
      <c r="H172" s="189">
        <f t="shared" si="178"/>
        <v>0</v>
      </c>
      <c r="I172" s="189">
        <f t="shared" si="179"/>
        <v>0</v>
      </c>
      <c r="J172" s="189">
        <f t="shared" si="200"/>
        <v>0</v>
      </c>
      <c r="K172" s="189">
        <f t="shared" si="201"/>
        <v>0</v>
      </c>
      <c r="L172" s="189">
        <f t="shared" si="180"/>
        <v>0</v>
      </c>
      <c r="M172" s="189">
        <f t="shared" si="181"/>
        <v>0</v>
      </c>
      <c r="N172" s="189">
        <f t="shared" si="182"/>
        <v>0</v>
      </c>
      <c r="O172" s="189">
        <f t="shared" si="183"/>
        <v>0</v>
      </c>
      <c r="P172" s="189">
        <f t="shared" si="184"/>
        <v>0</v>
      </c>
      <c r="Q172" s="189">
        <f t="shared" si="185"/>
        <v>0</v>
      </c>
      <c r="R172" s="189">
        <f t="shared" si="186"/>
        <v>0</v>
      </c>
      <c r="S172" s="189">
        <f t="shared" si="187"/>
        <v>0</v>
      </c>
      <c r="T172" s="189">
        <f t="shared" si="188"/>
        <v>0</v>
      </c>
      <c r="U172" s="189">
        <f t="shared" si="206"/>
        <v>0</v>
      </c>
      <c r="V172" s="189">
        <f t="shared" si="202"/>
        <v>0</v>
      </c>
      <c r="W172" s="189">
        <f t="shared" si="203"/>
        <v>0</v>
      </c>
      <c r="X172" s="189">
        <f t="shared" si="204"/>
        <v>0</v>
      </c>
      <c r="Y172" s="189">
        <f t="shared" si="205"/>
        <v>0</v>
      </c>
      <c r="Z172" s="189">
        <f t="shared" si="190"/>
        <v>0</v>
      </c>
      <c r="AA172" s="189">
        <f t="shared" si="191"/>
        <v>0</v>
      </c>
      <c r="AB172" s="189">
        <f t="shared" si="192"/>
        <v>0</v>
      </c>
      <c r="AC172" s="189">
        <f t="shared" si="193"/>
        <v>0</v>
      </c>
      <c r="AD172" s="189">
        <f t="shared" si="194"/>
        <v>0</v>
      </c>
      <c r="AE172" s="189">
        <f t="shared" si="195"/>
        <v>0</v>
      </c>
      <c r="AF172" s="189">
        <f t="shared" si="196"/>
        <v>0</v>
      </c>
      <c r="AG172" s="189">
        <f t="shared" si="197"/>
        <v>0</v>
      </c>
      <c r="AH172" s="189">
        <f t="shared" si="198"/>
        <v>0</v>
      </c>
      <c r="AI172" s="190">
        <f t="shared" si="207"/>
        <v>0</v>
      </c>
      <c r="AJ172" s="190">
        <f t="shared" si="208"/>
        <v>0</v>
      </c>
      <c r="AK172" s="190">
        <f t="shared" si="209"/>
        <v>0</v>
      </c>
      <c r="AL172" s="190">
        <f t="shared" si="199"/>
        <v>0</v>
      </c>
      <c r="AM172" s="233">
        <f t="shared" si="210"/>
        <v>0</v>
      </c>
      <c r="AN172" s="1168" t="s">
        <v>4593</v>
      </c>
    </row>
    <row r="173" spans="1:40" ht="30" customHeight="1">
      <c r="A173" s="1166"/>
      <c r="B173" s="1167"/>
      <c r="C173" s="1168" t="s">
        <v>4588</v>
      </c>
      <c r="D173" s="1169"/>
      <c r="E173" s="1170" t="s">
        <v>4589</v>
      </c>
      <c r="F173" s="1169">
        <v>6607</v>
      </c>
      <c r="G173" s="805">
        <f t="shared" si="211"/>
        <v>0</v>
      </c>
      <c r="H173" s="189">
        <f t="shared" si="178"/>
        <v>0</v>
      </c>
      <c r="I173" s="189">
        <f t="shared" si="179"/>
        <v>0</v>
      </c>
      <c r="J173" s="189">
        <f t="shared" si="200"/>
        <v>0</v>
      </c>
      <c r="K173" s="189">
        <f t="shared" si="201"/>
        <v>0</v>
      </c>
      <c r="L173" s="189">
        <f t="shared" si="180"/>
        <v>0</v>
      </c>
      <c r="M173" s="189">
        <f t="shared" si="181"/>
        <v>0</v>
      </c>
      <c r="N173" s="189">
        <f t="shared" si="182"/>
        <v>0</v>
      </c>
      <c r="O173" s="189">
        <f t="shared" si="183"/>
        <v>0</v>
      </c>
      <c r="P173" s="189">
        <f t="shared" si="184"/>
        <v>0</v>
      </c>
      <c r="Q173" s="189">
        <f t="shared" si="185"/>
        <v>0</v>
      </c>
      <c r="R173" s="189">
        <f t="shared" si="186"/>
        <v>0</v>
      </c>
      <c r="S173" s="189">
        <f t="shared" si="187"/>
        <v>0</v>
      </c>
      <c r="T173" s="189">
        <f t="shared" si="188"/>
        <v>0</v>
      </c>
      <c r="U173" s="189">
        <f t="shared" si="206"/>
        <v>0</v>
      </c>
      <c r="V173" s="189">
        <f t="shared" si="202"/>
        <v>0</v>
      </c>
      <c r="W173" s="189">
        <f t="shared" si="203"/>
        <v>0</v>
      </c>
      <c r="X173" s="189">
        <f t="shared" si="204"/>
        <v>0</v>
      </c>
      <c r="Y173" s="189">
        <f t="shared" si="205"/>
        <v>0</v>
      </c>
      <c r="Z173" s="189">
        <f t="shared" si="190"/>
        <v>0</v>
      </c>
      <c r="AA173" s="189">
        <f t="shared" si="191"/>
        <v>0</v>
      </c>
      <c r="AB173" s="189">
        <f t="shared" si="192"/>
        <v>0</v>
      </c>
      <c r="AC173" s="189">
        <f t="shared" si="193"/>
        <v>0</v>
      </c>
      <c r="AD173" s="189">
        <f t="shared" si="194"/>
        <v>0</v>
      </c>
      <c r="AE173" s="189">
        <f t="shared" si="195"/>
        <v>0</v>
      </c>
      <c r="AF173" s="189">
        <f t="shared" si="196"/>
        <v>0</v>
      </c>
      <c r="AG173" s="189">
        <f t="shared" si="197"/>
        <v>0</v>
      </c>
      <c r="AH173" s="189">
        <f t="shared" si="198"/>
        <v>0</v>
      </c>
      <c r="AI173" s="190">
        <f t="shared" si="207"/>
        <v>0</v>
      </c>
      <c r="AJ173" s="190">
        <f t="shared" si="208"/>
        <v>0</v>
      </c>
      <c r="AK173" s="190">
        <f t="shared" si="209"/>
        <v>0</v>
      </c>
      <c r="AL173" s="190">
        <f t="shared" si="199"/>
        <v>0</v>
      </c>
      <c r="AM173" s="233">
        <f t="shared" si="210"/>
        <v>0</v>
      </c>
      <c r="AN173" s="1168" t="s">
        <v>4588</v>
      </c>
    </row>
    <row r="174" spans="1:40" ht="30" customHeight="1">
      <c r="A174" s="50"/>
      <c r="B174" s="288"/>
      <c r="C174" s="326" t="s">
        <v>4420</v>
      </c>
      <c r="D174" s="228"/>
      <c r="E174" s="301" t="s">
        <v>4244</v>
      </c>
      <c r="F174" s="1169">
        <v>6607</v>
      </c>
      <c r="G174" s="805">
        <f t="shared" si="173"/>
        <v>20</v>
      </c>
      <c r="H174" s="189">
        <f t="shared" si="178"/>
        <v>2</v>
      </c>
      <c r="I174" s="189">
        <f t="shared" si="179"/>
        <v>2</v>
      </c>
      <c r="J174" s="189">
        <f t="shared" si="200"/>
        <v>2</v>
      </c>
      <c r="K174" s="189">
        <f t="shared" si="201"/>
        <v>2</v>
      </c>
      <c r="L174" s="189">
        <f t="shared" si="180"/>
        <v>0</v>
      </c>
      <c r="M174" s="189">
        <f t="shared" si="181"/>
        <v>0</v>
      </c>
      <c r="N174" s="189">
        <f t="shared" si="182"/>
        <v>0</v>
      </c>
      <c r="O174" s="189">
        <f t="shared" si="183"/>
        <v>0</v>
      </c>
      <c r="P174" s="189">
        <f t="shared" si="184"/>
        <v>0</v>
      </c>
      <c r="Q174" s="189">
        <f t="shared" si="185"/>
        <v>0</v>
      </c>
      <c r="R174" s="189">
        <f t="shared" si="186"/>
        <v>2</v>
      </c>
      <c r="S174" s="189">
        <f t="shared" si="187"/>
        <v>2</v>
      </c>
      <c r="T174" s="189">
        <f t="shared" si="188"/>
        <v>2</v>
      </c>
      <c r="U174" s="189">
        <f t="shared" si="206"/>
        <v>2</v>
      </c>
      <c r="V174" s="189">
        <f t="shared" si="202"/>
        <v>0</v>
      </c>
      <c r="W174" s="189">
        <f t="shared" si="203"/>
        <v>0</v>
      </c>
      <c r="X174" s="189">
        <f t="shared" si="204"/>
        <v>2</v>
      </c>
      <c r="Y174" s="189">
        <f t="shared" si="205"/>
        <v>2</v>
      </c>
      <c r="Z174" s="189">
        <f t="shared" si="190"/>
        <v>0</v>
      </c>
      <c r="AA174" s="189">
        <f t="shared" si="191"/>
        <v>0</v>
      </c>
      <c r="AB174" s="189">
        <f t="shared" si="192"/>
        <v>0</v>
      </c>
      <c r="AC174" s="189">
        <f t="shared" si="193"/>
        <v>0</v>
      </c>
      <c r="AD174" s="189">
        <f t="shared" si="194"/>
        <v>0</v>
      </c>
      <c r="AE174" s="189">
        <f t="shared" si="195"/>
        <v>0</v>
      </c>
      <c r="AF174" s="189">
        <f t="shared" si="196"/>
        <v>0</v>
      </c>
      <c r="AG174" s="189">
        <f t="shared" si="197"/>
        <v>0</v>
      </c>
      <c r="AH174" s="189">
        <f t="shared" si="198"/>
        <v>0</v>
      </c>
      <c r="AI174" s="190">
        <f t="shared" si="207"/>
        <v>0</v>
      </c>
      <c r="AJ174" s="190">
        <f t="shared" si="208"/>
        <v>0</v>
      </c>
      <c r="AK174" s="190">
        <f t="shared" si="209"/>
        <v>0</v>
      </c>
      <c r="AL174" s="190">
        <f t="shared" si="199"/>
        <v>0</v>
      </c>
      <c r="AM174" s="233">
        <f t="shared" si="210"/>
        <v>0</v>
      </c>
      <c r="AN174" s="326" t="s">
        <v>4480</v>
      </c>
    </row>
    <row r="175" spans="1:40" ht="20.399999999999999" customHeight="1">
      <c r="A175" s="237" t="s">
        <v>824</v>
      </c>
      <c r="B175" s="1027" t="s">
        <v>826</v>
      </c>
      <c r="C175" s="1068"/>
      <c r="D175" s="1069" t="s">
        <v>488</v>
      </c>
      <c r="E175" s="1070" t="s">
        <v>490</v>
      </c>
      <c r="F175" s="1069"/>
      <c r="G175" s="803">
        <f t="shared" si="173"/>
        <v>1194</v>
      </c>
      <c r="H175" s="521">
        <f t="shared" ref="H175:AM175" si="212">SUM(H128:H174)</f>
        <v>61</v>
      </c>
      <c r="I175" s="521">
        <f t="shared" si="212"/>
        <v>61</v>
      </c>
      <c r="J175" s="521">
        <f t="shared" si="212"/>
        <v>42</v>
      </c>
      <c r="K175" s="521">
        <f t="shared" si="212"/>
        <v>40</v>
      </c>
      <c r="L175" s="521">
        <f t="shared" si="212"/>
        <v>40</v>
      </c>
      <c r="M175" s="521">
        <f t="shared" si="212"/>
        <v>18</v>
      </c>
      <c r="N175" s="521">
        <f t="shared" si="212"/>
        <v>13</v>
      </c>
      <c r="O175" s="521">
        <f t="shared" si="212"/>
        <v>29</v>
      </c>
      <c r="P175" s="521">
        <f t="shared" si="212"/>
        <v>5</v>
      </c>
      <c r="Q175" s="521">
        <f t="shared" si="212"/>
        <v>51</v>
      </c>
      <c r="R175" s="521">
        <f t="shared" si="212"/>
        <v>165</v>
      </c>
      <c r="S175" s="521">
        <f t="shared" si="212"/>
        <v>45</v>
      </c>
      <c r="T175" s="521">
        <f t="shared" si="212"/>
        <v>69</v>
      </c>
      <c r="U175" s="521">
        <f t="shared" si="212"/>
        <v>161</v>
      </c>
      <c r="V175" s="521">
        <f t="shared" si="212"/>
        <v>3</v>
      </c>
      <c r="W175" s="521">
        <f t="shared" si="212"/>
        <v>27</v>
      </c>
      <c r="X175" s="521">
        <f t="shared" si="212"/>
        <v>45</v>
      </c>
      <c r="Y175" s="521">
        <f t="shared" si="212"/>
        <v>44</v>
      </c>
      <c r="Z175" s="521">
        <f t="shared" si="212"/>
        <v>7</v>
      </c>
      <c r="AA175" s="521">
        <f t="shared" si="212"/>
        <v>0</v>
      </c>
      <c r="AB175" s="521">
        <f t="shared" si="212"/>
        <v>11</v>
      </c>
      <c r="AC175" s="521">
        <f t="shared" si="212"/>
        <v>20</v>
      </c>
      <c r="AD175" s="521">
        <f t="shared" si="212"/>
        <v>2</v>
      </c>
      <c r="AE175" s="521">
        <f t="shared" si="212"/>
        <v>2</v>
      </c>
      <c r="AF175" s="521">
        <f t="shared" si="212"/>
        <v>10</v>
      </c>
      <c r="AG175" s="521">
        <f t="shared" si="212"/>
        <v>8</v>
      </c>
      <c r="AH175" s="521">
        <f t="shared" si="212"/>
        <v>20</v>
      </c>
      <c r="AI175" s="226">
        <f t="shared" si="212"/>
        <v>80</v>
      </c>
      <c r="AJ175" s="226">
        <f t="shared" si="212"/>
        <v>4</v>
      </c>
      <c r="AK175" s="226">
        <f t="shared" si="212"/>
        <v>84</v>
      </c>
      <c r="AL175" s="226">
        <f t="shared" si="212"/>
        <v>11</v>
      </c>
      <c r="AM175" s="227">
        <f t="shared" si="212"/>
        <v>16</v>
      </c>
      <c r="AN175" s="1066" t="s">
        <v>1052</v>
      </c>
    </row>
    <row r="176" spans="1:40" ht="20.399999999999999" customHeight="1">
      <c r="A176" s="238" t="s">
        <v>825</v>
      </c>
      <c r="B176" s="1028" t="s">
        <v>638</v>
      </c>
      <c r="C176" s="328"/>
      <c r="D176" s="235" t="s">
        <v>489</v>
      </c>
      <c r="E176" s="303" t="s">
        <v>491</v>
      </c>
      <c r="F176" s="235" t="s">
        <v>638</v>
      </c>
      <c r="G176" s="1071">
        <f t="shared" si="173"/>
        <v>1194</v>
      </c>
      <c r="H176" s="1072">
        <f>+H175</f>
        <v>61</v>
      </c>
      <c r="I176" s="1072">
        <f>+I175</f>
        <v>61</v>
      </c>
      <c r="J176" s="1072">
        <f>+J175</f>
        <v>42</v>
      </c>
      <c r="K176" s="1072">
        <f>+K175</f>
        <v>40</v>
      </c>
      <c r="L176" s="1072">
        <f>+L175</f>
        <v>40</v>
      </c>
      <c r="M176" s="1072">
        <f t="shared" ref="M176:R176" si="213">+M175</f>
        <v>18</v>
      </c>
      <c r="N176" s="1072">
        <f t="shared" si="213"/>
        <v>13</v>
      </c>
      <c r="O176" s="1072">
        <f t="shared" si="213"/>
        <v>29</v>
      </c>
      <c r="P176" s="1072">
        <f t="shared" si="213"/>
        <v>5</v>
      </c>
      <c r="Q176" s="1072">
        <f t="shared" si="213"/>
        <v>51</v>
      </c>
      <c r="R176" s="1072">
        <f t="shared" si="213"/>
        <v>165</v>
      </c>
      <c r="S176" s="1072">
        <f t="shared" ref="S176:AM176" si="214">+S175</f>
        <v>45</v>
      </c>
      <c r="T176" s="1072">
        <f t="shared" si="214"/>
        <v>69</v>
      </c>
      <c r="U176" s="1072">
        <f t="shared" si="214"/>
        <v>161</v>
      </c>
      <c r="V176" s="1072">
        <f t="shared" si="214"/>
        <v>3</v>
      </c>
      <c r="W176" s="1072">
        <f t="shared" si="214"/>
        <v>27</v>
      </c>
      <c r="X176" s="1072">
        <f t="shared" si="214"/>
        <v>45</v>
      </c>
      <c r="Y176" s="1072">
        <f t="shared" si="214"/>
        <v>44</v>
      </c>
      <c r="Z176" s="1072">
        <f t="shared" si="214"/>
        <v>7</v>
      </c>
      <c r="AA176" s="1072">
        <f t="shared" si="214"/>
        <v>0</v>
      </c>
      <c r="AB176" s="1072">
        <f t="shared" si="214"/>
        <v>11</v>
      </c>
      <c r="AC176" s="1072">
        <f t="shared" si="214"/>
        <v>20</v>
      </c>
      <c r="AD176" s="1072">
        <f t="shared" si="214"/>
        <v>2</v>
      </c>
      <c r="AE176" s="1072">
        <f t="shared" si="214"/>
        <v>2</v>
      </c>
      <c r="AF176" s="1072">
        <f t="shared" si="214"/>
        <v>10</v>
      </c>
      <c r="AG176" s="1072">
        <f t="shared" si="214"/>
        <v>8</v>
      </c>
      <c r="AH176" s="1072">
        <f t="shared" si="214"/>
        <v>20</v>
      </c>
      <c r="AI176" s="1073">
        <f t="shared" si="214"/>
        <v>80</v>
      </c>
      <c r="AJ176" s="1073">
        <f t="shared" si="214"/>
        <v>4</v>
      </c>
      <c r="AK176" s="1073">
        <f t="shared" si="214"/>
        <v>84</v>
      </c>
      <c r="AL176" s="1073">
        <f t="shared" si="214"/>
        <v>11</v>
      </c>
      <c r="AM176" s="1074">
        <f t="shared" si="214"/>
        <v>16</v>
      </c>
      <c r="AN176" s="236" t="s">
        <v>1053</v>
      </c>
    </row>
    <row r="177" spans="1:40" ht="30" customHeight="1">
      <c r="A177" s="239" t="s">
        <v>1754</v>
      </c>
      <c r="B177" s="1029" t="s">
        <v>830</v>
      </c>
      <c r="C177" s="1068" t="s">
        <v>4097</v>
      </c>
      <c r="D177" s="1069" t="s">
        <v>492</v>
      </c>
      <c r="E177" s="1070" t="s">
        <v>4101</v>
      </c>
      <c r="F177" s="1069" t="s">
        <v>639</v>
      </c>
      <c r="G177" s="1149">
        <f t="shared" si="173"/>
        <v>0</v>
      </c>
      <c r="H177" s="521">
        <f t="shared" ref="H177:H185" si="215">COUNTIF(Area_v1RISHER,$C177)/2</f>
        <v>0</v>
      </c>
      <c r="I177" s="521">
        <f t="shared" ref="I177:I185" si="216">COUNTIF(Area_v2RISHER,$C177)/2</f>
        <v>0</v>
      </c>
      <c r="J177" s="521">
        <f t="shared" ref="J177:J185" si="217">COUNTIF(Area_v1RAANHER,$C177)/2</f>
        <v>0</v>
      </c>
      <c r="K177" s="521">
        <f t="shared" ref="K177:K185" si="218">COUNTIF(Area_v2RAANHER,$C177)/2</f>
        <v>0</v>
      </c>
      <c r="L177" s="521">
        <f t="shared" ref="L177:L185" si="219">COUNTIF(Area_v1HER,$C177)/2</f>
        <v>0</v>
      </c>
      <c r="M177" s="521">
        <f t="shared" ref="M177:M185" si="220">COUNTIF(Area_v2HER,$C177)/2</f>
        <v>0</v>
      </c>
      <c r="N177" s="521">
        <f t="shared" ref="N177:N185" si="221">COUNTIF(Area_v3HER,$C177)/2</f>
        <v>0</v>
      </c>
      <c r="O177" s="521">
        <f t="shared" ref="O177:O185" si="222">COUNTIF(Area_v4HER,$C177)/2</f>
        <v>0</v>
      </c>
      <c r="P177" s="521">
        <f t="shared" ref="P177:P185" si="223">COUNTIF(Area_v5HER,$C177)/2</f>
        <v>0</v>
      </c>
      <c r="Q177" s="521">
        <f t="shared" ref="Q177:Q185" si="224">COUNTIF(Area_v6HER,$C177)/2</f>
        <v>0</v>
      </c>
      <c r="R177" s="521">
        <f t="shared" ref="R177:R185" si="225">COUNTIF(Area_v1HERTSA,$C177)/2</f>
        <v>0</v>
      </c>
      <c r="S177" s="521">
        <f t="shared" ref="S177:S185" si="226">COUNTIF(Area_v2HERTSA,$C177)/2</f>
        <v>0</v>
      </c>
      <c r="T177" s="521">
        <f t="shared" ref="T177:T185" si="227">COUNTIF(Area_v3HERTSA,$C177)/2</f>
        <v>0</v>
      </c>
      <c r="U177" s="521">
        <f t="shared" ref="U177:U184" si="228">COUNTIF(Area_v4HERTSA,$C177)/2</f>
        <v>0</v>
      </c>
      <c r="V177" s="521">
        <f t="shared" ref="V177:V184" si="229">COUNTIF(Area_v5HERTSA,$C177)/2</f>
        <v>0</v>
      </c>
      <c r="W177" s="521">
        <f t="shared" ref="W177:W184" si="230">COUNTIF(Area_v5BBRHER,$C177)/2</f>
        <v>0</v>
      </c>
      <c r="X177" s="521">
        <f t="shared" ref="X177:X184" si="231">COUNTIF(Area_v1BBRTUN,$C177)/2</f>
        <v>0</v>
      </c>
      <c r="Y177" s="521">
        <f t="shared" ref="Y177:Y184" si="232">COUNTIF(Area_v2BBRTUN,$C177)/2</f>
        <v>0</v>
      </c>
      <c r="Z177" s="521">
        <f t="shared" ref="Z177:Z185" si="233">COUNTIF(Area_v51HERTSA,$C177)/2</f>
        <v>0</v>
      </c>
      <c r="AA177" s="521">
        <f t="shared" ref="AA177:AA185" si="234">COUNTIF(Area_v52HERTSA,$C177)/2</f>
        <v>0</v>
      </c>
      <c r="AB177" s="521">
        <f t="shared" ref="AB177:AB185" si="235">COUNTIF(Area_v53HERTSA,$C177)/2</f>
        <v>0</v>
      </c>
      <c r="AC177" s="521">
        <f t="shared" ref="AC177:AC185" si="236">COUNTIF(Area_v1TSA,$C177)/2</f>
        <v>0</v>
      </c>
      <c r="AD177" s="521">
        <f t="shared" ref="AD177:AD185" si="237">COUNTIF(Area_v2TSA,$C177)/2</f>
        <v>0</v>
      </c>
      <c r="AE177" s="521">
        <f t="shared" ref="AE177:AE185" si="238">COUNTIF(Area_v3TSA,$C177)/2</f>
        <v>0</v>
      </c>
      <c r="AF177" s="521">
        <f t="shared" ref="AF177:AF185" si="239">COUNTIF(Area_v4TSA,$C177)/2</f>
        <v>0</v>
      </c>
      <c r="AG177" s="521">
        <f t="shared" ref="AG177:AG185" si="240">COUNTIF(Area_v5TSA,$C177)/2</f>
        <v>0</v>
      </c>
      <c r="AH177" s="521">
        <f t="shared" ref="AH177:AH185" si="241">COUNTIF(Area_v6TSA,$C177)/2</f>
        <v>0</v>
      </c>
      <c r="AI177" s="226">
        <f t="shared" ref="AI177:AI185" si="242">COUNTIF(Area_v1TSATHA,$C177)/2</f>
        <v>0</v>
      </c>
      <c r="AJ177" s="226">
        <f t="shared" ref="AJ177:AJ184" si="243">COUNTIF(Area_v2TSATHA,$C177)/2</f>
        <v>0</v>
      </c>
      <c r="AK177" s="226">
        <f t="shared" ref="AK177:AK184" si="244">COUNTIF(Area_v3TSATHA,$C177)/2</f>
        <v>0</v>
      </c>
      <c r="AL177" s="226">
        <f t="shared" ref="AL177:AL184" si="245">COUNTIF(Area_v4THAHOLON,$C177)/2</f>
        <v>0</v>
      </c>
      <c r="AM177" s="227">
        <f t="shared" ref="AM177:AM184" si="246">COUNTIF(Area_v5THAHOLON,$C177)/2</f>
        <v>0</v>
      </c>
      <c r="AN177" s="1066" t="s">
        <v>4107</v>
      </c>
    </row>
    <row r="178" spans="1:40" ht="30" customHeight="1">
      <c r="A178" s="50"/>
      <c r="B178" s="1030" t="s">
        <v>830</v>
      </c>
      <c r="C178" s="326" t="s">
        <v>2127</v>
      </c>
      <c r="D178" s="228" t="s">
        <v>494</v>
      </c>
      <c r="E178" s="301" t="s">
        <v>4102</v>
      </c>
      <c r="F178" s="228"/>
      <c r="G178" s="1150">
        <f t="shared" si="173"/>
        <v>59</v>
      </c>
      <c r="H178" s="189">
        <f>COUNTIF(Area_v1RISHER,$C178)/2</f>
        <v>0</v>
      </c>
      <c r="I178" s="189">
        <f t="shared" si="216"/>
        <v>0</v>
      </c>
      <c r="J178" s="189">
        <f t="shared" si="217"/>
        <v>0</v>
      </c>
      <c r="K178" s="189">
        <f t="shared" si="218"/>
        <v>0</v>
      </c>
      <c r="L178" s="189">
        <f t="shared" si="219"/>
        <v>0</v>
      </c>
      <c r="M178" s="189">
        <f t="shared" si="220"/>
        <v>0</v>
      </c>
      <c r="N178" s="189">
        <f t="shared" si="221"/>
        <v>0</v>
      </c>
      <c r="O178" s="189">
        <f t="shared" si="222"/>
        <v>1.5</v>
      </c>
      <c r="P178" s="189">
        <f t="shared" si="223"/>
        <v>0</v>
      </c>
      <c r="Q178" s="189">
        <f t="shared" si="224"/>
        <v>1.5</v>
      </c>
      <c r="R178" s="189">
        <f t="shared" si="225"/>
        <v>1</v>
      </c>
      <c r="S178" s="189">
        <f t="shared" si="226"/>
        <v>1</v>
      </c>
      <c r="T178" s="189">
        <f t="shared" si="227"/>
        <v>0</v>
      </c>
      <c r="U178" s="189">
        <f t="shared" si="228"/>
        <v>1</v>
      </c>
      <c r="V178" s="189">
        <f t="shared" si="229"/>
        <v>0</v>
      </c>
      <c r="W178" s="189">
        <f t="shared" si="230"/>
        <v>0.5</v>
      </c>
      <c r="X178" s="189">
        <f t="shared" si="231"/>
        <v>0.5</v>
      </c>
      <c r="Y178" s="189">
        <f t="shared" si="232"/>
        <v>0</v>
      </c>
      <c r="Z178" s="189">
        <f t="shared" si="233"/>
        <v>0</v>
      </c>
      <c r="AA178" s="189">
        <f t="shared" si="234"/>
        <v>0</v>
      </c>
      <c r="AB178" s="189">
        <f t="shared" si="235"/>
        <v>0</v>
      </c>
      <c r="AC178" s="189">
        <f t="shared" si="236"/>
        <v>1</v>
      </c>
      <c r="AD178" s="189">
        <f t="shared" si="237"/>
        <v>0</v>
      </c>
      <c r="AE178" s="189">
        <f t="shared" si="238"/>
        <v>0</v>
      </c>
      <c r="AF178" s="189">
        <f t="shared" si="239"/>
        <v>0.5</v>
      </c>
      <c r="AG178" s="189">
        <f t="shared" si="240"/>
        <v>0</v>
      </c>
      <c r="AH178" s="189">
        <f t="shared" si="241"/>
        <v>0.5</v>
      </c>
      <c r="AI178" s="190">
        <f t="shared" si="242"/>
        <v>25</v>
      </c>
      <c r="AJ178" s="190">
        <f t="shared" si="243"/>
        <v>0</v>
      </c>
      <c r="AK178" s="190">
        <f t="shared" si="244"/>
        <v>25</v>
      </c>
      <c r="AL178" s="190">
        <f t="shared" si="245"/>
        <v>0</v>
      </c>
      <c r="AM178" s="233">
        <f t="shared" si="246"/>
        <v>0</v>
      </c>
      <c r="AN178" s="225" t="s">
        <v>4108</v>
      </c>
    </row>
    <row r="179" spans="1:40" ht="30" customHeight="1">
      <c r="A179" s="50"/>
      <c r="B179" s="1030" t="s">
        <v>830</v>
      </c>
      <c r="C179" s="326" t="s">
        <v>2142</v>
      </c>
      <c r="D179" s="228" t="s">
        <v>497</v>
      </c>
      <c r="E179" s="301" t="s">
        <v>4103</v>
      </c>
      <c r="F179" s="228" t="s">
        <v>639</v>
      </c>
      <c r="G179" s="1150">
        <f t="shared" si="173"/>
        <v>53.5</v>
      </c>
      <c r="H179" s="189">
        <f t="shared" si="215"/>
        <v>0</v>
      </c>
      <c r="I179" s="189">
        <f t="shared" si="216"/>
        <v>0</v>
      </c>
      <c r="J179" s="189">
        <f t="shared" si="217"/>
        <v>0</v>
      </c>
      <c r="K179" s="189">
        <f t="shared" si="218"/>
        <v>0</v>
      </c>
      <c r="L179" s="189">
        <f t="shared" si="219"/>
        <v>0</v>
      </c>
      <c r="M179" s="189">
        <f t="shared" si="220"/>
        <v>0.5</v>
      </c>
      <c r="N179" s="189">
        <f t="shared" si="221"/>
        <v>1.5</v>
      </c>
      <c r="O179" s="189">
        <f t="shared" si="222"/>
        <v>3.5</v>
      </c>
      <c r="P179" s="189">
        <f t="shared" si="223"/>
        <v>0</v>
      </c>
      <c r="Q179" s="189">
        <f t="shared" si="224"/>
        <v>5.5</v>
      </c>
      <c r="R179" s="189">
        <f t="shared" si="225"/>
        <v>14.5</v>
      </c>
      <c r="S179" s="189">
        <f t="shared" si="226"/>
        <v>0.5</v>
      </c>
      <c r="T179" s="189">
        <f t="shared" si="227"/>
        <v>13</v>
      </c>
      <c r="U179" s="189">
        <f t="shared" si="228"/>
        <v>2</v>
      </c>
      <c r="V179" s="189">
        <f t="shared" si="229"/>
        <v>0</v>
      </c>
      <c r="W179" s="189">
        <f t="shared" si="230"/>
        <v>0</v>
      </c>
      <c r="X179" s="189">
        <f t="shared" si="231"/>
        <v>0</v>
      </c>
      <c r="Y179" s="189">
        <f t="shared" si="232"/>
        <v>0</v>
      </c>
      <c r="Z179" s="189">
        <f t="shared" si="233"/>
        <v>0</v>
      </c>
      <c r="AA179" s="189">
        <f t="shared" si="234"/>
        <v>0</v>
      </c>
      <c r="AB179" s="189">
        <f t="shared" si="235"/>
        <v>0</v>
      </c>
      <c r="AC179" s="189">
        <f t="shared" si="236"/>
        <v>0.5</v>
      </c>
      <c r="AD179" s="189">
        <f t="shared" si="237"/>
        <v>0</v>
      </c>
      <c r="AE179" s="189">
        <f t="shared" si="238"/>
        <v>0</v>
      </c>
      <c r="AF179" s="189">
        <f t="shared" si="239"/>
        <v>0.5</v>
      </c>
      <c r="AG179" s="189">
        <f t="shared" si="240"/>
        <v>0</v>
      </c>
      <c r="AH179" s="189">
        <f t="shared" si="241"/>
        <v>0</v>
      </c>
      <c r="AI179" s="190">
        <f t="shared" si="242"/>
        <v>6</v>
      </c>
      <c r="AJ179" s="190">
        <f t="shared" si="243"/>
        <v>0</v>
      </c>
      <c r="AK179" s="190">
        <f t="shared" si="244"/>
        <v>5</v>
      </c>
      <c r="AL179" s="190">
        <f t="shared" si="245"/>
        <v>0</v>
      </c>
      <c r="AM179" s="233">
        <f t="shared" si="246"/>
        <v>0.5</v>
      </c>
      <c r="AN179" s="225" t="s">
        <v>4109</v>
      </c>
    </row>
    <row r="180" spans="1:40" ht="30" customHeight="1">
      <c r="A180" s="50"/>
      <c r="B180" s="1030" t="s">
        <v>830</v>
      </c>
      <c r="C180" s="326" t="s">
        <v>2135</v>
      </c>
      <c r="D180" s="228" t="s">
        <v>499</v>
      </c>
      <c r="E180" s="301" t="s">
        <v>4104</v>
      </c>
      <c r="F180" s="228" t="s">
        <v>639</v>
      </c>
      <c r="G180" s="1150">
        <f t="shared" si="173"/>
        <v>55.5</v>
      </c>
      <c r="H180" s="189">
        <f t="shared" si="215"/>
        <v>0</v>
      </c>
      <c r="I180" s="189">
        <f t="shared" si="216"/>
        <v>0</v>
      </c>
      <c r="J180" s="189">
        <f t="shared" si="217"/>
        <v>0</v>
      </c>
      <c r="K180" s="189">
        <f t="shared" si="218"/>
        <v>1.5</v>
      </c>
      <c r="L180" s="189">
        <f t="shared" si="219"/>
        <v>0</v>
      </c>
      <c r="M180" s="189">
        <f t="shared" si="220"/>
        <v>0</v>
      </c>
      <c r="N180" s="189">
        <f t="shared" si="221"/>
        <v>0</v>
      </c>
      <c r="O180" s="189">
        <f t="shared" si="222"/>
        <v>0</v>
      </c>
      <c r="P180" s="189">
        <f t="shared" si="223"/>
        <v>0</v>
      </c>
      <c r="Q180" s="189">
        <f t="shared" si="224"/>
        <v>1.5</v>
      </c>
      <c r="R180" s="189">
        <f t="shared" si="225"/>
        <v>20</v>
      </c>
      <c r="S180" s="189">
        <f t="shared" si="226"/>
        <v>0</v>
      </c>
      <c r="T180" s="189">
        <f t="shared" si="227"/>
        <v>0</v>
      </c>
      <c r="U180" s="189">
        <f t="shared" si="228"/>
        <v>21</v>
      </c>
      <c r="V180" s="189">
        <f t="shared" si="229"/>
        <v>0</v>
      </c>
      <c r="W180" s="189">
        <f t="shared" si="230"/>
        <v>0</v>
      </c>
      <c r="X180" s="189">
        <f t="shared" si="231"/>
        <v>0</v>
      </c>
      <c r="Y180" s="189">
        <f t="shared" si="232"/>
        <v>0</v>
      </c>
      <c r="Z180" s="189">
        <f t="shared" si="233"/>
        <v>0</v>
      </c>
      <c r="AA180" s="189">
        <f t="shared" si="234"/>
        <v>0</v>
      </c>
      <c r="AB180" s="189">
        <f t="shared" si="235"/>
        <v>0</v>
      </c>
      <c r="AC180" s="189">
        <f t="shared" si="236"/>
        <v>0.5</v>
      </c>
      <c r="AD180" s="189">
        <f t="shared" si="237"/>
        <v>0</v>
      </c>
      <c r="AE180" s="189">
        <f t="shared" si="238"/>
        <v>0</v>
      </c>
      <c r="AF180" s="189">
        <f t="shared" si="239"/>
        <v>0.5</v>
      </c>
      <c r="AG180" s="189">
        <f t="shared" si="240"/>
        <v>0</v>
      </c>
      <c r="AH180" s="189">
        <f t="shared" si="241"/>
        <v>0</v>
      </c>
      <c r="AI180" s="190">
        <f t="shared" si="242"/>
        <v>5</v>
      </c>
      <c r="AJ180" s="190">
        <f t="shared" si="243"/>
        <v>0</v>
      </c>
      <c r="AK180" s="190">
        <f t="shared" si="244"/>
        <v>5.5</v>
      </c>
      <c r="AL180" s="190">
        <f t="shared" si="245"/>
        <v>0</v>
      </c>
      <c r="AM180" s="233">
        <f t="shared" si="246"/>
        <v>0</v>
      </c>
      <c r="AN180" s="225" t="s">
        <v>4110</v>
      </c>
    </row>
    <row r="181" spans="1:40" ht="30" customHeight="1">
      <c r="A181" s="50"/>
      <c r="B181" s="1030" t="s">
        <v>4489</v>
      </c>
      <c r="C181" s="326" t="s">
        <v>4490</v>
      </c>
      <c r="D181" s="228"/>
      <c r="E181" s="301" t="s">
        <v>4491</v>
      </c>
      <c r="F181" s="228"/>
      <c r="G181" s="1150">
        <f>SUM(H181:AM181)</f>
        <v>22.666666666666668</v>
      </c>
      <c r="H181" s="189">
        <f>COUNTIF(Area_v1RISHER,$C181)/3</f>
        <v>0</v>
      </c>
      <c r="I181" s="189">
        <f>COUNTIF(Area_v2RISHER,$C181)/3</f>
        <v>0</v>
      </c>
      <c r="J181" s="189">
        <f>COUNTIF(Area_v1RAANHER,$C181)/3</f>
        <v>0</v>
      </c>
      <c r="K181" s="189">
        <f>COUNTIF(Area_v2RAANHER,$C181)/3</f>
        <v>0</v>
      </c>
      <c r="L181" s="189">
        <f>COUNTIF(Area_v1HER,$C181)/3</f>
        <v>4.333333333333333</v>
      </c>
      <c r="M181" s="189">
        <f>COUNTIF(Area_v2HER,$C181)/3</f>
        <v>0</v>
      </c>
      <c r="N181" s="189">
        <f>COUNTIF(Area_v3HER,$C181)/3</f>
        <v>2.3333333333333335</v>
      </c>
      <c r="O181" s="189">
        <f>COUNTIF(Area_v4HER,$C181)/3</f>
        <v>1.6666666666666667</v>
      </c>
      <c r="P181" s="189">
        <f>COUNTIF(Area_v5HER,$C181)/3</f>
        <v>0</v>
      </c>
      <c r="Q181" s="189">
        <f>COUNTIF(Area_v6HER,$C181)/3</f>
        <v>4.333333333333333</v>
      </c>
      <c r="R181" s="189">
        <f>COUNTIF(Area_v1HERTSA,$C181)/3</f>
        <v>2.6666666666666665</v>
      </c>
      <c r="S181" s="189">
        <f>COUNTIF(Area_v2HERTSA,$C181)/3</f>
        <v>0</v>
      </c>
      <c r="T181" s="189">
        <f>COUNTIF(Area_v3HERTSA,$C181)/3</f>
        <v>0</v>
      </c>
      <c r="U181" s="189">
        <f>COUNTIF(Area_v4HERTSA,$C181)/3</f>
        <v>2.6666666666666665</v>
      </c>
      <c r="V181" s="189">
        <f>COUNTIF(Area_v5HERTSA,$C181)/3</f>
        <v>0</v>
      </c>
      <c r="W181" s="189">
        <f>COUNTIF(Area_v5BBRHER,$C181)/3</f>
        <v>0</v>
      </c>
      <c r="X181" s="189">
        <f>COUNTIF(Area_v1BBRTUN,$C181)/3</f>
        <v>0</v>
      </c>
      <c r="Y181" s="189">
        <f>COUNTIF(Area_v2BBRTUN,$C181)/3</f>
        <v>0</v>
      </c>
      <c r="Z181" s="189">
        <f>COUNTIF(Area_v51HERTSA,$C181)/3</f>
        <v>0</v>
      </c>
      <c r="AA181" s="189">
        <f>COUNTIF(Area_v52HERTSA,$C181)/3</f>
        <v>0</v>
      </c>
      <c r="AB181" s="189">
        <f>COUNTIF(Area_v53HERTSA,$C181)/3</f>
        <v>2.6666666666666665</v>
      </c>
      <c r="AC181" s="189">
        <f>COUNTIF(Area_v1TSA,$C181)/3</f>
        <v>0.66666666666666663</v>
      </c>
      <c r="AD181" s="189">
        <f>COUNTIF(Area_v2TSA,$C181)/3</f>
        <v>0</v>
      </c>
      <c r="AE181" s="189">
        <f>COUNTIF(Area_v3TSA,$C181)/3</f>
        <v>0.66666666666666663</v>
      </c>
      <c r="AF181" s="189">
        <f>COUNTIF(Area_v4TSA,$C181)/3</f>
        <v>0</v>
      </c>
      <c r="AG181" s="189">
        <f>COUNTIF(Area_v5TSA,$C181)/3</f>
        <v>0</v>
      </c>
      <c r="AH181" s="189">
        <f>COUNTIF(Area_v6TSA,$C181)/3</f>
        <v>0.66666666666666663</v>
      </c>
      <c r="AI181" s="190">
        <f>COUNTIF(Area_v1TSATHA,$C181)/3</f>
        <v>0</v>
      </c>
      <c r="AJ181" s="190">
        <f>COUNTIF(Area_v2TSATHA,$C181)/3</f>
        <v>0</v>
      </c>
      <c r="AK181" s="190">
        <f>COUNTIF(Area_v3TSATHA,$C181)/3</f>
        <v>0</v>
      </c>
      <c r="AL181" s="190">
        <f>COUNTIF(Area_v4THAHOLON,$C181)/3</f>
        <v>0</v>
      </c>
      <c r="AM181" s="233">
        <f>COUNTIF(Area_v5THAHOLON,$C181)/3</f>
        <v>0</v>
      </c>
      <c r="AN181" s="225" t="s">
        <v>4492</v>
      </c>
    </row>
    <row r="182" spans="1:40" ht="30" customHeight="1">
      <c r="A182" s="50"/>
      <c r="B182" s="1030" t="s">
        <v>830</v>
      </c>
      <c r="C182" s="326" t="s">
        <v>2143</v>
      </c>
      <c r="D182" s="228" t="s">
        <v>500</v>
      </c>
      <c r="E182" s="301" t="s">
        <v>4105</v>
      </c>
      <c r="F182" s="228" t="s">
        <v>638</v>
      </c>
      <c r="G182" s="1150">
        <f t="shared" si="173"/>
        <v>53</v>
      </c>
      <c r="H182" s="189">
        <f t="shared" si="215"/>
        <v>0</v>
      </c>
      <c r="I182" s="189">
        <f t="shared" si="216"/>
        <v>0</v>
      </c>
      <c r="J182" s="189">
        <f t="shared" si="217"/>
        <v>0</v>
      </c>
      <c r="K182" s="189">
        <f t="shared" si="218"/>
        <v>0</v>
      </c>
      <c r="L182" s="189">
        <f t="shared" si="219"/>
        <v>3</v>
      </c>
      <c r="M182" s="189">
        <f t="shared" si="220"/>
        <v>1</v>
      </c>
      <c r="N182" s="189">
        <f t="shared" si="221"/>
        <v>0</v>
      </c>
      <c r="O182" s="189">
        <f t="shared" si="222"/>
        <v>0</v>
      </c>
      <c r="P182" s="189">
        <f t="shared" si="223"/>
        <v>0</v>
      </c>
      <c r="Q182" s="189">
        <f t="shared" si="224"/>
        <v>4</v>
      </c>
      <c r="R182" s="189">
        <f t="shared" si="225"/>
        <v>19</v>
      </c>
      <c r="S182" s="189">
        <f t="shared" si="226"/>
        <v>0</v>
      </c>
      <c r="T182" s="189">
        <f t="shared" si="227"/>
        <v>0</v>
      </c>
      <c r="U182" s="189">
        <f t="shared" si="228"/>
        <v>14.5</v>
      </c>
      <c r="V182" s="189">
        <f t="shared" si="229"/>
        <v>1.5</v>
      </c>
      <c r="W182" s="189">
        <f t="shared" si="230"/>
        <v>2</v>
      </c>
      <c r="X182" s="189">
        <f t="shared" si="231"/>
        <v>0</v>
      </c>
      <c r="Y182" s="189">
        <f t="shared" si="232"/>
        <v>0</v>
      </c>
      <c r="Z182" s="189">
        <f t="shared" si="233"/>
        <v>2</v>
      </c>
      <c r="AA182" s="189">
        <f t="shared" si="234"/>
        <v>0</v>
      </c>
      <c r="AB182" s="189">
        <f t="shared" si="235"/>
        <v>0</v>
      </c>
      <c r="AC182" s="189">
        <f t="shared" si="236"/>
        <v>1</v>
      </c>
      <c r="AD182" s="189">
        <f t="shared" si="237"/>
        <v>0.5</v>
      </c>
      <c r="AE182" s="189">
        <f t="shared" si="238"/>
        <v>0</v>
      </c>
      <c r="AF182" s="189">
        <f t="shared" si="239"/>
        <v>0</v>
      </c>
      <c r="AG182" s="189">
        <f t="shared" si="240"/>
        <v>1.5</v>
      </c>
      <c r="AH182" s="189">
        <f t="shared" si="241"/>
        <v>0</v>
      </c>
      <c r="AI182" s="190">
        <f t="shared" si="242"/>
        <v>1.5</v>
      </c>
      <c r="AJ182" s="190">
        <f t="shared" si="243"/>
        <v>0</v>
      </c>
      <c r="AK182" s="190">
        <f t="shared" si="244"/>
        <v>1.5</v>
      </c>
      <c r="AL182" s="190">
        <f t="shared" si="245"/>
        <v>0</v>
      </c>
      <c r="AM182" s="233">
        <f t="shared" si="246"/>
        <v>0</v>
      </c>
      <c r="AN182" s="225" t="s">
        <v>4111</v>
      </c>
    </row>
    <row r="183" spans="1:40" ht="30" customHeight="1">
      <c r="A183" s="50"/>
      <c r="B183" s="1030" t="s">
        <v>830</v>
      </c>
      <c r="C183" s="326" t="s">
        <v>4098</v>
      </c>
      <c r="D183" s="228" t="s">
        <v>502</v>
      </c>
      <c r="E183" s="301" t="s">
        <v>4106</v>
      </c>
      <c r="F183" s="228" t="s">
        <v>638</v>
      </c>
      <c r="G183" s="1150">
        <f t="shared" si="173"/>
        <v>3</v>
      </c>
      <c r="H183" s="189">
        <f t="shared" si="215"/>
        <v>0</v>
      </c>
      <c r="I183" s="189">
        <f t="shared" si="216"/>
        <v>0</v>
      </c>
      <c r="J183" s="189">
        <f t="shared" si="217"/>
        <v>0</v>
      </c>
      <c r="K183" s="189">
        <f t="shared" si="218"/>
        <v>0</v>
      </c>
      <c r="L183" s="189">
        <f t="shared" si="219"/>
        <v>1.5</v>
      </c>
      <c r="M183" s="189">
        <f t="shared" si="220"/>
        <v>0</v>
      </c>
      <c r="N183" s="189">
        <f t="shared" si="221"/>
        <v>0</v>
      </c>
      <c r="O183" s="189">
        <f t="shared" si="222"/>
        <v>0</v>
      </c>
      <c r="P183" s="189">
        <f t="shared" si="223"/>
        <v>0</v>
      </c>
      <c r="Q183" s="189">
        <f t="shared" si="224"/>
        <v>1.5</v>
      </c>
      <c r="R183" s="189">
        <f t="shared" si="225"/>
        <v>0</v>
      </c>
      <c r="S183" s="189">
        <f t="shared" si="226"/>
        <v>0</v>
      </c>
      <c r="T183" s="189">
        <f t="shared" si="227"/>
        <v>0</v>
      </c>
      <c r="U183" s="189">
        <f t="shared" si="228"/>
        <v>0</v>
      </c>
      <c r="V183" s="189">
        <f t="shared" si="229"/>
        <v>0</v>
      </c>
      <c r="W183" s="189">
        <f t="shared" si="230"/>
        <v>0</v>
      </c>
      <c r="X183" s="189">
        <f t="shared" si="231"/>
        <v>0</v>
      </c>
      <c r="Y183" s="189">
        <f t="shared" si="232"/>
        <v>0</v>
      </c>
      <c r="Z183" s="189">
        <f t="shared" si="233"/>
        <v>0</v>
      </c>
      <c r="AA183" s="189">
        <f t="shared" si="234"/>
        <v>0</v>
      </c>
      <c r="AB183" s="189">
        <f t="shared" si="235"/>
        <v>0</v>
      </c>
      <c r="AC183" s="189">
        <f t="shared" si="236"/>
        <v>0</v>
      </c>
      <c r="AD183" s="189">
        <f t="shared" si="237"/>
        <v>0</v>
      </c>
      <c r="AE183" s="189">
        <f t="shared" si="238"/>
        <v>0</v>
      </c>
      <c r="AF183" s="189">
        <f t="shared" si="239"/>
        <v>0</v>
      </c>
      <c r="AG183" s="189">
        <f t="shared" si="240"/>
        <v>0</v>
      </c>
      <c r="AH183" s="189">
        <f t="shared" si="241"/>
        <v>0</v>
      </c>
      <c r="AI183" s="190">
        <f t="shared" si="242"/>
        <v>0</v>
      </c>
      <c r="AJ183" s="190">
        <f t="shared" si="243"/>
        <v>0</v>
      </c>
      <c r="AK183" s="190">
        <f t="shared" si="244"/>
        <v>0</v>
      </c>
      <c r="AL183" s="190">
        <f t="shared" si="245"/>
        <v>0</v>
      </c>
      <c r="AM183" s="233">
        <f t="shared" si="246"/>
        <v>0</v>
      </c>
      <c r="AN183" s="225" t="s">
        <v>4112</v>
      </c>
    </row>
    <row r="184" spans="1:40" ht="30" customHeight="1">
      <c r="A184" s="50"/>
      <c r="B184" s="1030"/>
      <c r="C184" s="326" t="s">
        <v>4461</v>
      </c>
      <c r="D184" s="228" t="s">
        <v>501</v>
      </c>
      <c r="E184" s="301" t="s">
        <v>4462</v>
      </c>
      <c r="F184" s="228"/>
      <c r="G184" s="1150">
        <f>SUM(H184:AM184)</f>
        <v>0</v>
      </c>
      <c r="H184" s="189">
        <f t="shared" si="215"/>
        <v>0</v>
      </c>
      <c r="I184" s="189">
        <f t="shared" si="216"/>
        <v>0</v>
      </c>
      <c r="J184" s="189">
        <f t="shared" si="217"/>
        <v>0</v>
      </c>
      <c r="K184" s="189">
        <f t="shared" si="218"/>
        <v>0</v>
      </c>
      <c r="L184" s="189">
        <f t="shared" si="219"/>
        <v>0</v>
      </c>
      <c r="M184" s="189">
        <f t="shared" si="220"/>
        <v>0</v>
      </c>
      <c r="N184" s="189">
        <f t="shared" si="221"/>
        <v>0</v>
      </c>
      <c r="O184" s="189">
        <f t="shared" si="222"/>
        <v>0</v>
      </c>
      <c r="P184" s="189">
        <f t="shared" si="223"/>
        <v>0</v>
      </c>
      <c r="Q184" s="189">
        <f t="shared" si="224"/>
        <v>0</v>
      </c>
      <c r="R184" s="189">
        <f t="shared" si="225"/>
        <v>0</v>
      </c>
      <c r="S184" s="189">
        <f t="shared" si="226"/>
        <v>0</v>
      </c>
      <c r="T184" s="189">
        <f t="shared" si="227"/>
        <v>0</v>
      </c>
      <c r="U184" s="189">
        <f t="shared" si="228"/>
        <v>0</v>
      </c>
      <c r="V184" s="189">
        <f t="shared" si="229"/>
        <v>0</v>
      </c>
      <c r="W184" s="189">
        <f t="shared" si="230"/>
        <v>0</v>
      </c>
      <c r="X184" s="189">
        <f t="shared" si="231"/>
        <v>0</v>
      </c>
      <c r="Y184" s="189">
        <f t="shared" si="232"/>
        <v>0</v>
      </c>
      <c r="Z184" s="189">
        <f t="shared" si="233"/>
        <v>0</v>
      </c>
      <c r="AA184" s="189">
        <f t="shared" si="234"/>
        <v>0</v>
      </c>
      <c r="AB184" s="189">
        <f t="shared" si="235"/>
        <v>0</v>
      </c>
      <c r="AC184" s="189">
        <f t="shared" si="236"/>
        <v>0</v>
      </c>
      <c r="AD184" s="189">
        <f t="shared" si="237"/>
        <v>0</v>
      </c>
      <c r="AE184" s="189">
        <f t="shared" si="238"/>
        <v>0</v>
      </c>
      <c r="AF184" s="189">
        <f t="shared" si="239"/>
        <v>0</v>
      </c>
      <c r="AG184" s="189">
        <f t="shared" si="240"/>
        <v>0</v>
      </c>
      <c r="AH184" s="189">
        <f t="shared" si="241"/>
        <v>0</v>
      </c>
      <c r="AI184" s="190">
        <f t="shared" si="242"/>
        <v>0</v>
      </c>
      <c r="AJ184" s="190">
        <f t="shared" si="243"/>
        <v>0</v>
      </c>
      <c r="AK184" s="190">
        <f t="shared" si="244"/>
        <v>0</v>
      </c>
      <c r="AL184" s="190">
        <f t="shared" si="245"/>
        <v>0</v>
      </c>
      <c r="AM184" s="233">
        <f t="shared" si="246"/>
        <v>0</v>
      </c>
      <c r="AN184" s="225" t="s">
        <v>4463</v>
      </c>
    </row>
    <row r="185" spans="1:40" ht="30" customHeight="1">
      <c r="A185" s="50"/>
      <c r="B185" s="288"/>
      <c r="C185" s="326" t="s">
        <v>828</v>
      </c>
      <c r="D185" s="228" t="s">
        <v>641</v>
      </c>
      <c r="E185" s="301" t="s">
        <v>504</v>
      </c>
      <c r="F185" s="228" t="s">
        <v>640</v>
      </c>
      <c r="G185" s="1150">
        <f t="shared" ref="G185:G264" si="247">SUM(H185:AM185)</f>
        <v>8.5</v>
      </c>
      <c r="H185" s="189">
        <f t="shared" si="215"/>
        <v>0</v>
      </c>
      <c r="I185" s="189">
        <f t="shared" si="216"/>
        <v>0</v>
      </c>
      <c r="J185" s="189">
        <f t="shared" si="217"/>
        <v>0</v>
      </c>
      <c r="K185" s="189">
        <f t="shared" si="218"/>
        <v>0</v>
      </c>
      <c r="L185" s="189">
        <f t="shared" si="219"/>
        <v>0</v>
      </c>
      <c r="M185" s="189">
        <f t="shared" si="220"/>
        <v>0</v>
      </c>
      <c r="N185" s="189">
        <f t="shared" si="221"/>
        <v>0</v>
      </c>
      <c r="O185" s="189">
        <f t="shared" si="222"/>
        <v>0</v>
      </c>
      <c r="P185" s="189">
        <f t="shared" si="223"/>
        <v>0</v>
      </c>
      <c r="Q185" s="189">
        <f t="shared" si="224"/>
        <v>0</v>
      </c>
      <c r="R185" s="189">
        <f t="shared" si="225"/>
        <v>0</v>
      </c>
      <c r="S185" s="189">
        <f t="shared" si="226"/>
        <v>0</v>
      </c>
      <c r="T185" s="189">
        <f t="shared" si="227"/>
        <v>0.5</v>
      </c>
      <c r="U185" s="189">
        <f>COUNTIF(Area_v4HERTSA,$C185)</f>
        <v>1</v>
      </c>
      <c r="V185" s="189">
        <f>COUNTIF(Area_v5HERTSA,$C185)</f>
        <v>0</v>
      </c>
      <c r="W185" s="189">
        <f>COUNTIF(Area_v5BBRHER,$C185)</f>
        <v>0</v>
      </c>
      <c r="X185" s="189">
        <f>COUNTIF(Area_v1BBRTUN,$C185)</f>
        <v>0</v>
      </c>
      <c r="Y185" s="189">
        <f>COUNTIF(Area_v2BBRTUN,$C185)</f>
        <v>0</v>
      </c>
      <c r="Z185" s="189">
        <f t="shared" si="233"/>
        <v>0</v>
      </c>
      <c r="AA185" s="189">
        <f t="shared" si="234"/>
        <v>0</v>
      </c>
      <c r="AB185" s="189">
        <f t="shared" si="235"/>
        <v>0</v>
      </c>
      <c r="AC185" s="189">
        <f t="shared" si="236"/>
        <v>0</v>
      </c>
      <c r="AD185" s="189">
        <f t="shared" si="237"/>
        <v>0</v>
      </c>
      <c r="AE185" s="189">
        <f t="shared" si="238"/>
        <v>0</v>
      </c>
      <c r="AF185" s="189">
        <f t="shared" si="239"/>
        <v>0</v>
      </c>
      <c r="AG185" s="189">
        <f t="shared" si="240"/>
        <v>0</v>
      </c>
      <c r="AH185" s="189">
        <f t="shared" si="241"/>
        <v>0</v>
      </c>
      <c r="AI185" s="190">
        <f t="shared" si="242"/>
        <v>0</v>
      </c>
      <c r="AJ185" s="190">
        <f>COUNTIF(Area_v2TSATHA,$C185)</f>
        <v>1</v>
      </c>
      <c r="AK185" s="190">
        <f>COUNTIF(Area_v3TSATHA,$C185)</f>
        <v>1</v>
      </c>
      <c r="AL185" s="190">
        <f>COUNTIF(Area_v4THAHOLON,$C185)</f>
        <v>0</v>
      </c>
      <c r="AM185" s="233">
        <f>COUNTIF(Area_v5THAHOLON,$C185)</f>
        <v>5</v>
      </c>
      <c r="AN185" s="225" t="s">
        <v>1054</v>
      </c>
    </row>
    <row r="186" spans="1:40" ht="30" customHeight="1">
      <c r="A186" s="240"/>
      <c r="B186" s="1026"/>
      <c r="C186" s="328" t="s">
        <v>4100</v>
      </c>
      <c r="D186" s="235" t="s">
        <v>643</v>
      </c>
      <c r="E186" s="303" t="s">
        <v>4099</v>
      </c>
      <c r="F186" s="235" t="s">
        <v>642</v>
      </c>
      <c r="G186" s="1151">
        <f t="shared" si="247"/>
        <v>0</v>
      </c>
      <c r="H186" s="1072">
        <f>COUNTIF(Area_v1RISHER,$C186)</f>
        <v>0</v>
      </c>
      <c r="I186" s="1072">
        <f>COUNTIF(Area_v2RISHER,$C186)</f>
        <v>0</v>
      </c>
      <c r="J186" s="1072">
        <f>COUNTIF(Area_v1RAANHER,$C186)</f>
        <v>0</v>
      </c>
      <c r="K186" s="1072">
        <f>COUNTIF(Area_v2RAANHER,$C186)</f>
        <v>0</v>
      </c>
      <c r="L186" s="1072">
        <f>COUNTIF(Area_v1HER,$C186)</f>
        <v>0</v>
      </c>
      <c r="M186" s="1072">
        <f>COUNTIF(Area_v2HER,$C186)</f>
        <v>0</v>
      </c>
      <c r="N186" s="1072">
        <f>COUNTIF(Area_v3HER,$C186)</f>
        <v>0</v>
      </c>
      <c r="O186" s="1072">
        <f>COUNTIF(Area_v4HER,$C186)</f>
        <v>0</v>
      </c>
      <c r="P186" s="1072">
        <f>COUNTIF(Area_v5HER,$C186)</f>
        <v>0</v>
      </c>
      <c r="Q186" s="1072">
        <f>COUNTIF(Area_v6HER,$C186)</f>
        <v>0</v>
      </c>
      <c r="R186" s="1072">
        <f>COUNTIF(Area_v1HERTSA,$C186)</f>
        <v>0</v>
      </c>
      <c r="S186" s="1072">
        <f>COUNTIF(Area_v2HERTSA,$C186)</f>
        <v>0</v>
      </c>
      <c r="T186" s="1072">
        <f>COUNTIF(Area_v3HERTSA,$C186)</f>
        <v>0</v>
      </c>
      <c r="U186" s="1072">
        <f>COUNTIF(Area_v4HERTSA,$C186)</f>
        <v>0</v>
      </c>
      <c r="V186" s="1072">
        <f>COUNTIF(Area_v5HERTSA,$C186)</f>
        <v>0</v>
      </c>
      <c r="W186" s="1072">
        <f>COUNTIF(Area_v5BBRHER,$C186)</f>
        <v>0</v>
      </c>
      <c r="X186" s="1072">
        <f>COUNTIF(Area_v1BBRTUN,$C186)</f>
        <v>0</v>
      </c>
      <c r="Y186" s="1072">
        <f>COUNTIF(Area_v2BBRTUN,$C186)</f>
        <v>0</v>
      </c>
      <c r="Z186" s="1072">
        <f>COUNTIF(Area_v51HERTSA,$C186)</f>
        <v>0</v>
      </c>
      <c r="AA186" s="1072">
        <f>COUNTIF(Area_v52HERTSA,$C186)</f>
        <v>0</v>
      </c>
      <c r="AB186" s="1072">
        <f>COUNTIF(Area_v53HERTSA,$C186)</f>
        <v>0</v>
      </c>
      <c r="AC186" s="1072">
        <f>COUNTIF(Area_v1TSA,$C186)</f>
        <v>0</v>
      </c>
      <c r="AD186" s="1072">
        <f>COUNTIF(Area_v2TSA,$C186)</f>
        <v>0</v>
      </c>
      <c r="AE186" s="1072">
        <f>COUNTIF(Area_v3TSA,$C186)</f>
        <v>0</v>
      </c>
      <c r="AF186" s="1072">
        <f>COUNTIF(Area_v4TSA,$C186)</f>
        <v>0</v>
      </c>
      <c r="AG186" s="1072">
        <f>COUNTIF(Area_v5TSA,$C186)</f>
        <v>0</v>
      </c>
      <c r="AH186" s="1072">
        <f>COUNTIF(Area_v6TSA,$C186)</f>
        <v>0</v>
      </c>
      <c r="AI186" s="1073">
        <f>COUNTIF(Area_v1TSATHA,$C186)</f>
        <v>0</v>
      </c>
      <c r="AJ186" s="1073">
        <f>COUNTIF(Area_v2TSATHA,$C186)</f>
        <v>0</v>
      </c>
      <c r="AK186" s="1073">
        <f>COUNTIF(Area_v3TSATHA,$C186)</f>
        <v>0</v>
      </c>
      <c r="AL186" s="1073">
        <f>COUNTIF(Area_v4THAHOLON,$C186)</f>
        <v>0</v>
      </c>
      <c r="AM186" s="1074">
        <f>COUNTIF(Area_v5THAHOLON,$C186)</f>
        <v>0</v>
      </c>
      <c r="AN186" s="236" t="s">
        <v>4113</v>
      </c>
    </row>
    <row r="187" spans="1:40" ht="30" customHeight="1">
      <c r="A187" s="237" t="s">
        <v>835</v>
      </c>
      <c r="B187" s="1023"/>
      <c r="C187" s="1068" t="s">
        <v>831</v>
      </c>
      <c r="D187" s="1069" t="s">
        <v>505</v>
      </c>
      <c r="E187" s="1070" t="s">
        <v>645</v>
      </c>
      <c r="F187" s="1069" t="s">
        <v>644</v>
      </c>
      <c r="G187" s="803">
        <f t="shared" si="247"/>
        <v>0</v>
      </c>
      <c r="H187" s="521">
        <f>COUNTIF(Area_v1RISHER,$C187)</f>
        <v>0</v>
      </c>
      <c r="I187" s="521">
        <f>COUNTIF(Area_v2RISHER,$C187)</f>
        <v>0</v>
      </c>
      <c r="J187" s="521">
        <f>COUNTIF(Area_v1RAANHER,$C187)</f>
        <v>0</v>
      </c>
      <c r="K187" s="521">
        <f>COUNTIF(Area_v2RAANHER,$C187)</f>
        <v>0</v>
      </c>
      <c r="L187" s="524">
        <f>COUNTIF(Area_v1HER,$C187)</f>
        <v>0</v>
      </c>
      <c r="M187" s="524">
        <f>COUNTIF(Area_v2HER,$C187)</f>
        <v>0</v>
      </c>
      <c r="N187" s="524">
        <f>COUNTIF(Area_v3HER,$C187)</f>
        <v>0</v>
      </c>
      <c r="O187" s="524">
        <f>COUNTIF(Area_v4HER,$C187)</f>
        <v>0</v>
      </c>
      <c r="P187" s="524">
        <f>COUNTIF(Area_v5HER,$C187)</f>
        <v>0</v>
      </c>
      <c r="Q187" s="524">
        <f>COUNTIF(Area_v6HER,$C187)</f>
        <v>0</v>
      </c>
      <c r="R187" s="524">
        <f>COUNTIF(Area_v1HERTSA,$C187)</f>
        <v>0</v>
      </c>
      <c r="S187" s="524">
        <f>COUNTIF(Area_v2HERTSA,$C187)</f>
        <v>0</v>
      </c>
      <c r="T187" s="524">
        <f>COUNTIF(Area_v3HERTSA,$C187)</f>
        <v>0</v>
      </c>
      <c r="U187" s="521">
        <f>COUNTIF(Area_v4HERTSA,$C187)</f>
        <v>0</v>
      </c>
      <c r="V187" s="521">
        <f>COUNTIF(Area_v5HERTSA,$C187)</f>
        <v>0</v>
      </c>
      <c r="W187" s="521">
        <f>COUNTIF(Area_v5BBRHER,$C187)</f>
        <v>0</v>
      </c>
      <c r="X187" s="521">
        <f>COUNTIF(Area_v1BBRTUN,$C187)</f>
        <v>0</v>
      </c>
      <c r="Y187" s="521">
        <f>COUNTIF(Area_v2BBRTUN,$C187)</f>
        <v>0</v>
      </c>
      <c r="Z187" s="524">
        <f>COUNTIF(Area_v51HERTSA,$C187)</f>
        <v>0</v>
      </c>
      <c r="AA187" s="524">
        <f>COUNTIF(Area_v52HERTSA,$C187)</f>
        <v>0</v>
      </c>
      <c r="AB187" s="524">
        <f>COUNTIF(Area_v53HERTSA,$C187)</f>
        <v>0</v>
      </c>
      <c r="AC187" s="524">
        <f>COUNTIF(Area_v1TSA,$C187)</f>
        <v>0</v>
      </c>
      <c r="AD187" s="189">
        <f>COUNTIF(Area_v2TSA,$C187)</f>
        <v>0</v>
      </c>
      <c r="AE187" s="189">
        <f>COUNTIF(Area_v3TSA,$C187)</f>
        <v>0</v>
      </c>
      <c r="AF187" s="189">
        <f>COUNTIF(Area_v4TSA,$C187)</f>
        <v>0</v>
      </c>
      <c r="AG187" s="189">
        <f>COUNTIF(Area_v5TSA,$C187)</f>
        <v>0</v>
      </c>
      <c r="AH187" s="189">
        <f>COUNTIF(Area_v6TSA,$C187)</f>
        <v>0</v>
      </c>
      <c r="AI187" s="189">
        <f>COUNTIF(Area_v1TSATHA,$C187)</f>
        <v>0</v>
      </c>
      <c r="AJ187" s="226">
        <f>COUNTIF(Area_v2TSATHA,$C187)</f>
        <v>0</v>
      </c>
      <c r="AK187" s="226">
        <f>COUNTIF(Area_v3TSATHA,$C187)</f>
        <v>0</v>
      </c>
      <c r="AL187" s="226">
        <f>COUNTIF(Area_v4THAHOLON,$C187)</f>
        <v>0</v>
      </c>
      <c r="AM187" s="227">
        <f>COUNTIF(Area_v5THAHOLON,$C187)</f>
        <v>0</v>
      </c>
      <c r="AN187" s="1075" t="s">
        <v>1432</v>
      </c>
    </row>
    <row r="188" spans="1:40" ht="30" customHeight="1">
      <c r="A188" s="50"/>
      <c r="B188" s="1031" t="s">
        <v>826</v>
      </c>
      <c r="C188" s="326"/>
      <c r="D188" s="228" t="s">
        <v>506</v>
      </c>
      <c r="E188" s="301" t="s">
        <v>646</v>
      </c>
      <c r="F188" s="228" t="s">
        <v>644</v>
      </c>
      <c r="G188" s="805">
        <f t="shared" si="247"/>
        <v>0</v>
      </c>
      <c r="H188" s="189">
        <f>+H187</f>
        <v>0</v>
      </c>
      <c r="I188" s="189">
        <f>+I187</f>
        <v>0</v>
      </c>
      <c r="J188" s="189">
        <f>+J187</f>
        <v>0</v>
      </c>
      <c r="K188" s="189">
        <f>+K187</f>
        <v>0</v>
      </c>
      <c r="L188" s="525">
        <f>+L187</f>
        <v>0</v>
      </c>
      <c r="M188" s="525">
        <f t="shared" ref="M188:R188" si="248">+M187</f>
        <v>0</v>
      </c>
      <c r="N188" s="525">
        <f t="shared" si="248"/>
        <v>0</v>
      </c>
      <c r="O188" s="525">
        <f t="shared" si="248"/>
        <v>0</v>
      </c>
      <c r="P188" s="525">
        <f t="shared" si="248"/>
        <v>0</v>
      </c>
      <c r="Q188" s="525">
        <f t="shared" si="248"/>
        <v>0</v>
      </c>
      <c r="R188" s="525">
        <f t="shared" si="248"/>
        <v>0</v>
      </c>
      <c r="S188" s="525">
        <f t="shared" ref="S188:AM188" si="249">+S187</f>
        <v>0</v>
      </c>
      <c r="T188" s="525">
        <f t="shared" si="249"/>
        <v>0</v>
      </c>
      <c r="U188" s="189">
        <f t="shared" si="249"/>
        <v>0</v>
      </c>
      <c r="V188" s="189">
        <f t="shared" si="249"/>
        <v>0</v>
      </c>
      <c r="W188" s="189">
        <f t="shared" si="249"/>
        <v>0</v>
      </c>
      <c r="X188" s="189">
        <f t="shared" si="249"/>
        <v>0</v>
      </c>
      <c r="Y188" s="189">
        <f t="shared" si="249"/>
        <v>0</v>
      </c>
      <c r="Z188" s="525">
        <f t="shared" si="249"/>
        <v>0</v>
      </c>
      <c r="AA188" s="525">
        <f t="shared" si="249"/>
        <v>0</v>
      </c>
      <c r="AB188" s="525">
        <f t="shared" si="249"/>
        <v>0</v>
      </c>
      <c r="AC188" s="525">
        <f t="shared" si="249"/>
        <v>0</v>
      </c>
      <c r="AD188" s="189">
        <f t="shared" si="249"/>
        <v>0</v>
      </c>
      <c r="AE188" s="189">
        <f t="shared" si="249"/>
        <v>0</v>
      </c>
      <c r="AF188" s="189">
        <f t="shared" si="249"/>
        <v>0</v>
      </c>
      <c r="AG188" s="189">
        <f t="shared" si="249"/>
        <v>0</v>
      </c>
      <c r="AH188" s="189">
        <f t="shared" si="249"/>
        <v>0</v>
      </c>
      <c r="AI188" s="189">
        <f t="shared" si="249"/>
        <v>0</v>
      </c>
      <c r="AJ188" s="190">
        <f t="shared" si="249"/>
        <v>0</v>
      </c>
      <c r="AK188" s="190">
        <f t="shared" si="249"/>
        <v>0</v>
      </c>
      <c r="AL188" s="190">
        <f t="shared" si="249"/>
        <v>0</v>
      </c>
      <c r="AM188" s="233">
        <f t="shared" si="249"/>
        <v>0</v>
      </c>
      <c r="AN188" s="241" t="s">
        <v>1433</v>
      </c>
    </row>
    <row r="189" spans="1:40" ht="30" customHeight="1">
      <c r="A189" s="50"/>
      <c r="B189" s="288"/>
      <c r="C189" s="326" t="s">
        <v>832</v>
      </c>
      <c r="D189" s="228" t="s">
        <v>507</v>
      </c>
      <c r="E189" s="301" t="s">
        <v>648</v>
      </c>
      <c r="F189" s="228" t="s">
        <v>647</v>
      </c>
      <c r="G189" s="805">
        <f t="shared" si="247"/>
        <v>0</v>
      </c>
      <c r="H189" s="189">
        <f>COUNTIF(Area_v1RISHER,$C189)</f>
        <v>0</v>
      </c>
      <c r="I189" s="189">
        <f>COUNTIF(Area_v2RISHER,$C189)</f>
        <v>0</v>
      </c>
      <c r="J189" s="189">
        <f>COUNTIF(Area_v1RAANHER,$C189)</f>
        <v>0</v>
      </c>
      <c r="K189" s="189">
        <f>COUNTIF(Area_v2RAANHER,$C189)</f>
        <v>0</v>
      </c>
      <c r="L189" s="525">
        <f>COUNTIF(Area_v1HER,$C189)</f>
        <v>0</v>
      </c>
      <c r="M189" s="525">
        <f>COUNTIF(Area_v2HER,$C189)</f>
        <v>0</v>
      </c>
      <c r="N189" s="525">
        <f>COUNTIF(Area_v3HER,$C189)</f>
        <v>0</v>
      </c>
      <c r="O189" s="525">
        <f>COUNTIF(Area_v4HER,$C189)</f>
        <v>0</v>
      </c>
      <c r="P189" s="525">
        <f>COUNTIF(Area_v5HER,$C189)</f>
        <v>0</v>
      </c>
      <c r="Q189" s="525">
        <f>COUNTIF(Area_v6HER,$C189)</f>
        <v>0</v>
      </c>
      <c r="R189" s="525">
        <f>COUNTIF(Area_v1HERTSA,$C189)</f>
        <v>0</v>
      </c>
      <c r="S189" s="525">
        <f>COUNTIF(Area_v2HERTSA,$C189)</f>
        <v>0</v>
      </c>
      <c r="T189" s="525">
        <f>COUNTIF(Area_v3HERTSA,$C189)</f>
        <v>0</v>
      </c>
      <c r="U189" s="189">
        <f>COUNTIF(Area_v4HERTSA,$C189)</f>
        <v>0</v>
      </c>
      <c r="V189" s="189">
        <f>COUNTIF(Area_v5HERTSA,$C189)</f>
        <v>0</v>
      </c>
      <c r="W189" s="189">
        <f>COUNTIF(Area_v5BBRHER,$C189)</f>
        <v>0</v>
      </c>
      <c r="X189" s="189">
        <f>COUNTIF(Area_v1BBRTUN,$C189)</f>
        <v>0</v>
      </c>
      <c r="Y189" s="189">
        <f>COUNTIF(Area_v2BBRTUN,$C189)</f>
        <v>0</v>
      </c>
      <c r="Z189" s="525">
        <f>COUNTIF(Area_v51HERTSA,$C189)</f>
        <v>0</v>
      </c>
      <c r="AA189" s="525">
        <f>COUNTIF(Area_v52HERTSA,$C189)</f>
        <v>0</v>
      </c>
      <c r="AB189" s="525">
        <f>COUNTIF(Area_v53HERTSA,$C189)</f>
        <v>0</v>
      </c>
      <c r="AC189" s="525">
        <f>COUNTIF(Area_v1TSA,$C189)</f>
        <v>0</v>
      </c>
      <c r="AD189" s="189">
        <f>COUNTIF(Area_v2TSA,$C189)</f>
        <v>0</v>
      </c>
      <c r="AE189" s="189">
        <f>COUNTIF(Area_v3TSA,$C189)</f>
        <v>0</v>
      </c>
      <c r="AF189" s="189">
        <f>COUNTIF(Area_v4TSA,$C189)</f>
        <v>0</v>
      </c>
      <c r="AG189" s="189">
        <f>COUNTIF(Area_v5TSA,$C189)</f>
        <v>0</v>
      </c>
      <c r="AH189" s="189">
        <f>COUNTIF(Area_v6TSA,$C189)</f>
        <v>0</v>
      </c>
      <c r="AI189" s="189">
        <f>COUNTIF(Area_v1TSATHA,$C189)</f>
        <v>0</v>
      </c>
      <c r="AJ189" s="190">
        <f>COUNTIF(Area_v2TSATHA,$C189)</f>
        <v>0</v>
      </c>
      <c r="AK189" s="190">
        <f>COUNTIF(Area_v3TSATHA,$C189)</f>
        <v>0</v>
      </c>
      <c r="AL189" s="190">
        <f>COUNTIF(Area_v4THAHOLON,$C189)</f>
        <v>0</v>
      </c>
      <c r="AM189" s="233">
        <f>COUNTIF(Area_v5THAHOLON,$C189)</f>
        <v>0</v>
      </c>
      <c r="AN189" s="241" t="s">
        <v>1434</v>
      </c>
    </row>
    <row r="190" spans="1:40" ht="30" customHeight="1">
      <c r="A190" s="240"/>
      <c r="B190" s="1028" t="s">
        <v>826</v>
      </c>
      <c r="C190" s="328"/>
      <c r="D190" s="235" t="s">
        <v>508</v>
      </c>
      <c r="E190" s="303" t="s">
        <v>649</v>
      </c>
      <c r="F190" s="235" t="s">
        <v>647</v>
      </c>
      <c r="G190" s="1071">
        <f t="shared" si="247"/>
        <v>0</v>
      </c>
      <c r="H190" s="1072">
        <f>+H189</f>
        <v>0</v>
      </c>
      <c r="I190" s="1072">
        <f>+I189</f>
        <v>0</v>
      </c>
      <c r="J190" s="1072">
        <f>+J189</f>
        <v>0</v>
      </c>
      <c r="K190" s="1072">
        <f>+K189</f>
        <v>0</v>
      </c>
      <c r="L190" s="1076">
        <f>+L189</f>
        <v>0</v>
      </c>
      <c r="M190" s="1076">
        <f t="shared" ref="M190:R190" si="250">+M189</f>
        <v>0</v>
      </c>
      <c r="N190" s="1076">
        <f t="shared" si="250"/>
        <v>0</v>
      </c>
      <c r="O190" s="1076">
        <f t="shared" si="250"/>
        <v>0</v>
      </c>
      <c r="P190" s="1076">
        <f t="shared" si="250"/>
        <v>0</v>
      </c>
      <c r="Q190" s="1076">
        <f t="shared" si="250"/>
        <v>0</v>
      </c>
      <c r="R190" s="1076">
        <f t="shared" si="250"/>
        <v>0</v>
      </c>
      <c r="S190" s="1076">
        <f t="shared" ref="S190:AM190" si="251">+S189</f>
        <v>0</v>
      </c>
      <c r="T190" s="1076">
        <f t="shared" si="251"/>
        <v>0</v>
      </c>
      <c r="U190" s="1072">
        <f t="shared" si="251"/>
        <v>0</v>
      </c>
      <c r="V190" s="1072">
        <f t="shared" si="251"/>
        <v>0</v>
      </c>
      <c r="W190" s="1072">
        <f t="shared" si="251"/>
        <v>0</v>
      </c>
      <c r="X190" s="1072">
        <f t="shared" si="251"/>
        <v>0</v>
      </c>
      <c r="Y190" s="1072">
        <f t="shared" si="251"/>
        <v>0</v>
      </c>
      <c r="Z190" s="1076">
        <f t="shared" si="251"/>
        <v>0</v>
      </c>
      <c r="AA190" s="1076">
        <f t="shared" si="251"/>
        <v>0</v>
      </c>
      <c r="AB190" s="1076">
        <f t="shared" si="251"/>
        <v>0</v>
      </c>
      <c r="AC190" s="1076">
        <f t="shared" si="251"/>
        <v>0</v>
      </c>
      <c r="AD190" s="1072">
        <f t="shared" si="251"/>
        <v>0</v>
      </c>
      <c r="AE190" s="1072">
        <f t="shared" si="251"/>
        <v>0</v>
      </c>
      <c r="AF190" s="1072">
        <f t="shared" si="251"/>
        <v>0</v>
      </c>
      <c r="AG190" s="1072">
        <f t="shared" si="251"/>
        <v>0</v>
      </c>
      <c r="AH190" s="1072">
        <f t="shared" si="251"/>
        <v>0</v>
      </c>
      <c r="AI190" s="1072">
        <f t="shared" si="251"/>
        <v>0</v>
      </c>
      <c r="AJ190" s="1073">
        <f t="shared" si="251"/>
        <v>0</v>
      </c>
      <c r="AK190" s="1073">
        <f t="shared" si="251"/>
        <v>0</v>
      </c>
      <c r="AL190" s="1073">
        <f t="shared" si="251"/>
        <v>0</v>
      </c>
      <c r="AM190" s="1074">
        <f t="shared" si="251"/>
        <v>0</v>
      </c>
      <c r="AN190" s="241" t="s">
        <v>1435</v>
      </c>
    </row>
    <row r="191" spans="1:40" ht="30" customHeight="1">
      <c r="A191" s="237" t="s">
        <v>833</v>
      </c>
      <c r="B191" s="1023"/>
      <c r="C191" s="1068" t="s">
        <v>139</v>
      </c>
      <c r="D191" s="1069" t="s">
        <v>509</v>
      </c>
      <c r="E191" s="1070" t="s">
        <v>1555</v>
      </c>
      <c r="F191" s="1069" t="s">
        <v>650</v>
      </c>
      <c r="G191" s="803">
        <f t="shared" si="247"/>
        <v>354</v>
      </c>
      <c r="H191" s="521">
        <f>COUNTIF(Area_v1RISHER,$C191)</f>
        <v>0</v>
      </c>
      <c r="I191" s="521">
        <f>COUNTIF(Area_v2RISHER,$C191)</f>
        <v>0</v>
      </c>
      <c r="J191" s="521">
        <f>COUNTIF(Area_v1RAANHER,$C191)</f>
        <v>0</v>
      </c>
      <c r="K191" s="521">
        <f>COUNTIF(Area_v2RAANHER,$C191)</f>
        <v>0</v>
      </c>
      <c r="L191" s="524">
        <f>COUNTIF(Area_v1HER,$C191)</f>
        <v>0</v>
      </c>
      <c r="M191" s="524">
        <f>COUNTIF(Area_v2HER,$C191)</f>
        <v>14</v>
      </c>
      <c r="N191" s="524">
        <f>COUNTIF(Area_v3HER,$C191)</f>
        <v>14</v>
      </c>
      <c r="O191" s="524">
        <f>COUNTIF(Area_v4HER,$C191)</f>
        <v>17</v>
      </c>
      <c r="P191" s="524">
        <f>COUNTIF(Area_v5HER,$C191)</f>
        <v>26</v>
      </c>
      <c r="Q191" s="524">
        <f>COUNTIF(Area_v6HER,$C191)</f>
        <v>1</v>
      </c>
      <c r="R191" s="524">
        <f>COUNTIF(Area_v1HERTSA,$C191)</f>
        <v>0</v>
      </c>
      <c r="S191" s="524">
        <f>COUNTIF(Area_v2HERTSA,$C191)</f>
        <v>93</v>
      </c>
      <c r="T191" s="524">
        <f>COUNTIF(Area_v3HERTSA,$C191)</f>
        <v>74</v>
      </c>
      <c r="U191" s="521">
        <f>COUNTIF(Area_v4HERTSA,$C191)</f>
        <v>2</v>
      </c>
      <c r="V191" s="521">
        <f>COUNTIF(Area_v5HERTSA,$C191)</f>
        <v>0</v>
      </c>
      <c r="W191" s="521">
        <f>COUNTIF(Area_v5BBRHER,$C191)</f>
        <v>0</v>
      </c>
      <c r="X191" s="521">
        <f>COUNTIF(Area_v1BBRTUN,$C191)</f>
        <v>0</v>
      </c>
      <c r="Y191" s="521">
        <f>COUNTIF(Area_v2BBRTUN,$C191)</f>
        <v>1</v>
      </c>
      <c r="Z191" s="524">
        <f>COUNTIF(Area_v51HERTSA,$C191)</f>
        <v>1</v>
      </c>
      <c r="AA191" s="524">
        <f>COUNTIF(Area_v52HERTSA,$C191)</f>
        <v>8</v>
      </c>
      <c r="AB191" s="524">
        <f>COUNTIF(Area_v53HERTSA,$C191)</f>
        <v>2</v>
      </c>
      <c r="AC191" s="524">
        <f>COUNTIF(Area_v1TSA,$C191)</f>
        <v>0</v>
      </c>
      <c r="AD191" s="189">
        <f>COUNTIF(Area_v2TSA,$C191)</f>
        <v>8</v>
      </c>
      <c r="AE191" s="189">
        <f>COUNTIF(Area_v3TSA,$C191)</f>
        <v>10</v>
      </c>
      <c r="AF191" s="189">
        <f>COUNTIF(Area_v4TSA,$C191)</f>
        <v>9</v>
      </c>
      <c r="AG191" s="189">
        <f>COUNTIF(Area_v5TSA,$C191)</f>
        <v>7</v>
      </c>
      <c r="AH191" s="189">
        <f>COUNTIF(Area_v6TSA,$C191)</f>
        <v>1</v>
      </c>
      <c r="AI191" s="189">
        <f>COUNTIF(Area_v1TSATHA,$C191)</f>
        <v>6</v>
      </c>
      <c r="AJ191" s="190">
        <f>COUNTIF(Area_v2TSATHA,$C191)</f>
        <v>49</v>
      </c>
      <c r="AK191" s="226">
        <f>COUNTIF(Area_v3TSATHA,$C191)</f>
        <v>7</v>
      </c>
      <c r="AL191" s="226">
        <f>COUNTIF(Area_v4THAHOLON,$C191)</f>
        <v>4</v>
      </c>
      <c r="AM191" s="227">
        <f>COUNTIF(Area_v5THAHOLON,$C191)</f>
        <v>0</v>
      </c>
      <c r="AN191" s="1066" t="s">
        <v>1111</v>
      </c>
    </row>
    <row r="192" spans="1:40" ht="30" customHeight="1">
      <c r="A192" s="50"/>
      <c r="B192" s="288"/>
      <c r="C192" s="327" t="s">
        <v>228</v>
      </c>
      <c r="D192" s="234" t="s">
        <v>510</v>
      </c>
      <c r="E192" s="302" t="s">
        <v>1556</v>
      </c>
      <c r="F192" s="234" t="s">
        <v>651</v>
      </c>
      <c r="G192" s="805">
        <f>SUM(H192:AM192)</f>
        <v>98</v>
      </c>
      <c r="H192" s="189">
        <f>COUNTIF(Area_v1RISHER,$C192)</f>
        <v>0</v>
      </c>
      <c r="I192" s="189">
        <f>COUNTIF(Area_v2RISHER,$C192)</f>
        <v>0</v>
      </c>
      <c r="J192" s="189">
        <f>COUNTIF(Area_v1RAANHER,$C192)</f>
        <v>0</v>
      </c>
      <c r="K192" s="189">
        <f>COUNTIF(Area_v2RAANHER,$C192)</f>
        <v>0</v>
      </c>
      <c r="L192" s="525">
        <f>COUNTIF(Area_v1HER,$C192)</f>
        <v>0</v>
      </c>
      <c r="M192" s="525">
        <f>COUNTIF(Area_v2HER,$C192)</f>
        <v>6</v>
      </c>
      <c r="N192" s="525">
        <f>COUNTIF(Area_v3HER,$C192)</f>
        <v>2</v>
      </c>
      <c r="O192" s="525">
        <f>COUNTIF(Area_v4HER,$C192)</f>
        <v>5</v>
      </c>
      <c r="P192" s="525">
        <f>COUNTIF(Area_v5HER,$C192)</f>
        <v>8</v>
      </c>
      <c r="Q192" s="525">
        <f>COUNTIF(Area_v6HER,$C192)</f>
        <v>0</v>
      </c>
      <c r="R192" s="525">
        <f>COUNTIF(Area_v1HERTSA,$C192)</f>
        <v>0</v>
      </c>
      <c r="S192" s="525">
        <f>COUNTIF(Area_v2HERTSA,$C192)</f>
        <v>25</v>
      </c>
      <c r="T192" s="525">
        <f>COUNTIF(Area_v3HERTSA,$C192)</f>
        <v>20</v>
      </c>
      <c r="U192" s="1072">
        <f>COUNTIF(Area_v4HERTSA,$C192)</f>
        <v>8</v>
      </c>
      <c r="V192" s="1072">
        <f>COUNTIF(Area_v5HERTSA,$C192)</f>
        <v>1</v>
      </c>
      <c r="W192" s="1072">
        <f>COUNTIF(Area_v5BBRHER,$C192)</f>
        <v>0</v>
      </c>
      <c r="X192" s="1072">
        <f>COUNTIF(Area_v1BBRTUN,$C192)</f>
        <v>0</v>
      </c>
      <c r="Y192" s="1072">
        <f>COUNTIF(Area_v2BBRTUN,$C192)</f>
        <v>0</v>
      </c>
      <c r="Z192" s="525">
        <f>COUNTIF(Area_v51HERTSA,$C192)</f>
        <v>0</v>
      </c>
      <c r="AA192" s="525">
        <f>COUNTIF(Area_v52HERTSA,$C192)</f>
        <v>0</v>
      </c>
      <c r="AB192" s="525">
        <f>COUNTIF(Area_v53HERTSA,$C192)</f>
        <v>0</v>
      </c>
      <c r="AC192" s="525">
        <f>COUNTIF(Area_v1TSA,$C192)</f>
        <v>0</v>
      </c>
      <c r="AD192" s="189">
        <f>COUNTIF(Area_v2TSA,$C192)</f>
        <v>0</v>
      </c>
      <c r="AE192" s="189">
        <f>COUNTIF(Area_v3TSA,$C192)</f>
        <v>0</v>
      </c>
      <c r="AF192" s="189">
        <f>COUNTIF(Area_v4TSA,$C192)</f>
        <v>0</v>
      </c>
      <c r="AG192" s="189">
        <f>COUNTIF(Area_v5TSA,$C192)</f>
        <v>0</v>
      </c>
      <c r="AH192" s="189">
        <f>COUNTIF(Area_v6TSA,$C192)</f>
        <v>0</v>
      </c>
      <c r="AI192" s="189">
        <f>COUNTIF(Area_v1TSATHA,$C192)</f>
        <v>0</v>
      </c>
      <c r="AJ192" s="1073">
        <f>COUNTIF(Area_v2TSATHA,$C192)</f>
        <v>22</v>
      </c>
      <c r="AK192" s="1073">
        <f>COUNTIF(Area_v3TSATHA,$C192)</f>
        <v>1</v>
      </c>
      <c r="AL192" s="1073">
        <f>COUNTIF(Area_v4THAHOLON,$C192)</f>
        <v>0</v>
      </c>
      <c r="AM192" s="1074">
        <f>COUNTIF(Area_v5THAHOLON,$C192)</f>
        <v>0</v>
      </c>
      <c r="AN192" s="1066" t="s">
        <v>1108</v>
      </c>
    </row>
    <row r="193" spans="1:40" ht="30" customHeight="1">
      <c r="A193" s="50"/>
      <c r="B193" s="1026"/>
      <c r="C193" s="327" t="s">
        <v>3133</v>
      </c>
      <c r="D193" s="234" t="s">
        <v>510</v>
      </c>
      <c r="E193" s="302" t="s">
        <v>1556</v>
      </c>
      <c r="F193" s="234" t="s">
        <v>651</v>
      </c>
      <c r="G193" s="805">
        <f>SUM(H193:AM193)</f>
        <v>19</v>
      </c>
      <c r="H193" s="189">
        <f>COUNTIF(Area_v1RISHER,$C193)</f>
        <v>0</v>
      </c>
      <c r="I193" s="189">
        <f>COUNTIF(Area_v2RISHER,$C193)</f>
        <v>0</v>
      </c>
      <c r="J193" s="189">
        <f>COUNTIF(Area_v1RAANHER,$C193)</f>
        <v>0</v>
      </c>
      <c r="K193" s="189">
        <f>COUNTIF(Area_v2RAANHER,$C193)</f>
        <v>0</v>
      </c>
      <c r="L193" s="525">
        <f>COUNTIF(Area_v1HER,$C193)</f>
        <v>0</v>
      </c>
      <c r="M193" s="525">
        <f>COUNTIF(Area_v2HER,$C193)</f>
        <v>1</v>
      </c>
      <c r="N193" s="525">
        <f>COUNTIF(Area_v3HER,$C193)</f>
        <v>2</v>
      </c>
      <c r="O193" s="525">
        <f>COUNTIF(Area_v4HER,$C193)</f>
        <v>3</v>
      </c>
      <c r="P193" s="525">
        <f>COUNTIF(Area_v5HER,$C193)</f>
        <v>4</v>
      </c>
      <c r="Q193" s="525">
        <f>COUNTIF(Area_v6HER,$C193)</f>
        <v>0</v>
      </c>
      <c r="R193" s="525">
        <f>COUNTIF(Area_v1HERTSA,$C193)</f>
        <v>0</v>
      </c>
      <c r="S193" s="525">
        <f>COUNTIF(Area_v2HERTSA,$C193)</f>
        <v>2</v>
      </c>
      <c r="T193" s="525">
        <f>COUNTIF(Area_v3HERTSA,$C193)</f>
        <v>2</v>
      </c>
      <c r="U193" s="1072">
        <f>COUNTIF(Area_v4HERTSA,$C193)</f>
        <v>1</v>
      </c>
      <c r="V193" s="1072">
        <f>COUNTIF(Area_v5HERTSA,$C193)</f>
        <v>0</v>
      </c>
      <c r="W193" s="1072">
        <f>COUNTIF(Area_v5BBRHER,$C193)</f>
        <v>0</v>
      </c>
      <c r="X193" s="1072">
        <f>COUNTIF(Area_v1BBRTUN,$C193)</f>
        <v>0</v>
      </c>
      <c r="Y193" s="1072">
        <f>COUNTIF(Area_v2BBRTUN,$C193)</f>
        <v>0</v>
      </c>
      <c r="Z193" s="525">
        <f>COUNTIF(Area_v51HERTSA,$C193)</f>
        <v>0</v>
      </c>
      <c r="AA193" s="525">
        <f>COUNTIF(Area_v52HERTSA,$C193)</f>
        <v>0</v>
      </c>
      <c r="AB193" s="525">
        <f>COUNTIF(Area_v53HERTSA,$C193)</f>
        <v>0</v>
      </c>
      <c r="AC193" s="525">
        <f>COUNTIF(Area_v1TSA,$C193)</f>
        <v>0</v>
      </c>
      <c r="AD193" s="189">
        <f>COUNTIF(Area_v2TSA,$C193)</f>
        <v>0</v>
      </c>
      <c r="AE193" s="189">
        <f>COUNTIF(Area_v3TSA,$C193)</f>
        <v>0</v>
      </c>
      <c r="AF193" s="189">
        <f>COUNTIF(Area_v4TSA,$C193)</f>
        <v>0</v>
      </c>
      <c r="AG193" s="189">
        <f>COUNTIF(Area_v5TSA,$C193)</f>
        <v>0</v>
      </c>
      <c r="AH193" s="189">
        <f>COUNTIF(Area_v6TSA,$C193)</f>
        <v>0</v>
      </c>
      <c r="AI193" s="189">
        <f>COUNTIF(Area_v1TSATHA,$C193)</f>
        <v>0</v>
      </c>
      <c r="AJ193" s="1073">
        <f>COUNTIF(Area_v2TSATHA,$C193)</f>
        <v>4</v>
      </c>
      <c r="AK193" s="1073">
        <f>COUNTIF(Area_v3TSATHA,$C193)</f>
        <v>0</v>
      </c>
      <c r="AL193" s="1073">
        <f>COUNTIF(Area_v4THAHOLON,$C193)</f>
        <v>0</v>
      </c>
      <c r="AM193" s="1074">
        <f>COUNTIF(Area_v5THAHOLON,$C193)</f>
        <v>0</v>
      </c>
      <c r="AN193" s="1066" t="s">
        <v>1108</v>
      </c>
    </row>
    <row r="194" spans="1:40" ht="30" customHeight="1">
      <c r="A194" s="242"/>
      <c r="B194" s="1032" t="s">
        <v>817</v>
      </c>
      <c r="C194" s="1077"/>
      <c r="D194" s="1078" t="s">
        <v>511</v>
      </c>
      <c r="E194" s="1079" t="s">
        <v>1557</v>
      </c>
      <c r="F194" s="1078" t="s">
        <v>650</v>
      </c>
      <c r="G194" s="807">
        <f t="shared" si="247"/>
        <v>0</v>
      </c>
      <c r="H194" s="526"/>
      <c r="I194" s="526"/>
      <c r="J194" s="526"/>
      <c r="K194" s="526"/>
      <c r="L194" s="526"/>
      <c r="M194" s="526"/>
      <c r="N194" s="526"/>
      <c r="O194" s="526"/>
      <c r="P194" s="526"/>
      <c r="Q194" s="526"/>
      <c r="R194" s="526"/>
      <c r="S194" s="526"/>
      <c r="T194" s="526"/>
      <c r="U194" s="243"/>
      <c r="V194" s="243"/>
      <c r="W194" s="243"/>
      <c r="X194" s="243"/>
      <c r="Y194" s="243"/>
      <c r="Z194" s="526"/>
      <c r="AA194" s="526"/>
      <c r="AB194" s="526"/>
      <c r="AC194" s="526"/>
      <c r="AD194" s="526"/>
      <c r="AE194" s="526"/>
      <c r="AF194" s="526"/>
      <c r="AG194" s="526"/>
      <c r="AH194" s="526"/>
      <c r="AI194" s="243"/>
      <c r="AJ194" s="243"/>
      <c r="AK194" s="243"/>
      <c r="AL194" s="243"/>
      <c r="AM194" s="244"/>
      <c r="AN194" s="1080" t="s">
        <v>1109</v>
      </c>
    </row>
    <row r="195" spans="1:40" ht="30" customHeight="1">
      <c r="A195" s="242"/>
      <c r="B195" s="1033"/>
      <c r="C195" s="329"/>
      <c r="D195" s="248" t="s">
        <v>512</v>
      </c>
      <c r="E195" s="304" t="s">
        <v>1558</v>
      </c>
      <c r="F195" s="248" t="s">
        <v>651</v>
      </c>
      <c r="G195" s="1081">
        <f t="shared" si="247"/>
        <v>0</v>
      </c>
      <c r="H195" s="1082"/>
      <c r="I195" s="1082"/>
      <c r="J195" s="1082"/>
      <c r="K195" s="1082"/>
      <c r="L195" s="1082"/>
      <c r="M195" s="1082"/>
      <c r="N195" s="1082"/>
      <c r="O195" s="1082"/>
      <c r="P195" s="1082"/>
      <c r="Q195" s="1082"/>
      <c r="R195" s="1082"/>
      <c r="S195" s="1082"/>
      <c r="T195" s="1082"/>
      <c r="U195" s="1083"/>
      <c r="V195" s="1083"/>
      <c r="W195" s="1083"/>
      <c r="X195" s="1083"/>
      <c r="Y195" s="1083"/>
      <c r="Z195" s="1082"/>
      <c r="AA195" s="1082"/>
      <c r="AB195" s="1082"/>
      <c r="AC195" s="1082"/>
      <c r="AD195" s="1082"/>
      <c r="AE195" s="1082"/>
      <c r="AF195" s="1082"/>
      <c r="AG195" s="1082"/>
      <c r="AH195" s="1082"/>
      <c r="AI195" s="1083"/>
      <c r="AJ195" s="1083"/>
      <c r="AK195" s="1083"/>
      <c r="AL195" s="1083"/>
      <c r="AM195" s="1084"/>
      <c r="AN195" s="1085" t="s">
        <v>1110</v>
      </c>
    </row>
    <row r="196" spans="1:40" ht="30" customHeight="1">
      <c r="A196" s="242"/>
      <c r="B196" s="1033"/>
      <c r="C196" s="330"/>
      <c r="D196" s="1078" t="s">
        <v>1559</v>
      </c>
      <c r="E196" s="1079" t="s">
        <v>1560</v>
      </c>
      <c r="F196" s="1078" t="s">
        <v>650</v>
      </c>
      <c r="G196" s="807">
        <f t="shared" si="247"/>
        <v>0</v>
      </c>
      <c r="H196" s="526"/>
      <c r="I196" s="526"/>
      <c r="J196" s="526"/>
      <c r="K196" s="526"/>
      <c r="L196" s="526"/>
      <c r="M196" s="526"/>
      <c r="N196" s="526"/>
      <c r="O196" s="526"/>
      <c r="P196" s="526"/>
      <c r="Q196" s="526"/>
      <c r="R196" s="526"/>
      <c r="S196" s="526"/>
      <c r="T196" s="526"/>
      <c r="U196" s="243"/>
      <c r="V196" s="243"/>
      <c r="W196" s="243"/>
      <c r="X196" s="243"/>
      <c r="Y196" s="243"/>
      <c r="Z196" s="526"/>
      <c r="AA196" s="526"/>
      <c r="AB196" s="526"/>
      <c r="AC196" s="526"/>
      <c r="AD196" s="526"/>
      <c r="AE196" s="526"/>
      <c r="AF196" s="526"/>
      <c r="AG196" s="526"/>
      <c r="AH196" s="526"/>
      <c r="AI196" s="243"/>
      <c r="AJ196" s="243"/>
      <c r="AK196" s="243"/>
      <c r="AL196" s="243"/>
      <c r="AM196" s="244"/>
      <c r="AN196" s="1085"/>
    </row>
    <row r="197" spans="1:40" ht="30" customHeight="1">
      <c r="A197" s="242"/>
      <c r="B197" s="1033"/>
      <c r="C197" s="1086"/>
      <c r="D197" s="248" t="s">
        <v>1561</v>
      </c>
      <c r="E197" s="304" t="s">
        <v>1562</v>
      </c>
      <c r="F197" s="248" t="s">
        <v>651</v>
      </c>
      <c r="G197" s="1081">
        <f t="shared" si="247"/>
        <v>0</v>
      </c>
      <c r="H197" s="1082"/>
      <c r="I197" s="1082"/>
      <c r="J197" s="1082"/>
      <c r="K197" s="1082"/>
      <c r="L197" s="1082"/>
      <c r="M197" s="1082"/>
      <c r="N197" s="1082"/>
      <c r="O197" s="1082"/>
      <c r="P197" s="1082"/>
      <c r="Q197" s="1082"/>
      <c r="R197" s="1082"/>
      <c r="S197" s="1082"/>
      <c r="T197" s="1082"/>
      <c r="U197" s="1083"/>
      <c r="V197" s="1083"/>
      <c r="W197" s="1083"/>
      <c r="X197" s="1083"/>
      <c r="Y197" s="1083"/>
      <c r="Z197" s="1082"/>
      <c r="AA197" s="1082"/>
      <c r="AB197" s="1082"/>
      <c r="AC197" s="1082"/>
      <c r="AD197" s="1082"/>
      <c r="AE197" s="1082"/>
      <c r="AF197" s="1082"/>
      <c r="AG197" s="1082"/>
      <c r="AH197" s="1082"/>
      <c r="AI197" s="1083"/>
      <c r="AJ197" s="1083"/>
      <c r="AK197" s="1083"/>
      <c r="AL197" s="1083"/>
      <c r="AM197" s="1084"/>
      <c r="AN197" s="1085"/>
    </row>
    <row r="198" spans="1:40" ht="30" customHeight="1">
      <c r="A198" s="242"/>
      <c r="B198" s="1034" t="s">
        <v>817</v>
      </c>
      <c r="C198" s="1087"/>
      <c r="D198" s="1088" t="s">
        <v>513</v>
      </c>
      <c r="E198" s="1089" t="s">
        <v>514</v>
      </c>
      <c r="F198" s="1088" t="s">
        <v>650</v>
      </c>
      <c r="G198" s="808">
        <f t="shared" si="247"/>
        <v>0</v>
      </c>
      <c r="H198" s="527"/>
      <c r="I198" s="527"/>
      <c r="J198" s="527"/>
      <c r="K198" s="527"/>
      <c r="L198" s="527"/>
      <c r="M198" s="527"/>
      <c r="N198" s="527"/>
      <c r="O198" s="527"/>
      <c r="P198" s="527"/>
      <c r="Q198" s="527"/>
      <c r="R198" s="527"/>
      <c r="S198" s="527"/>
      <c r="T198" s="527"/>
      <c r="U198" s="246"/>
      <c r="V198" s="246"/>
      <c r="W198" s="246"/>
      <c r="X198" s="246"/>
      <c r="Y198" s="246"/>
      <c r="Z198" s="527"/>
      <c r="AA198" s="527"/>
      <c r="AB198" s="527"/>
      <c r="AC198" s="527"/>
      <c r="AD198" s="527"/>
      <c r="AE198" s="527"/>
      <c r="AF198" s="527"/>
      <c r="AG198" s="527"/>
      <c r="AH198" s="527"/>
      <c r="AI198" s="246"/>
      <c r="AJ198" s="246"/>
      <c r="AK198" s="246"/>
      <c r="AL198" s="246"/>
      <c r="AM198" s="247"/>
      <c r="AN198" s="1085" t="s">
        <v>1055</v>
      </c>
    </row>
    <row r="199" spans="1:40" ht="30" customHeight="1">
      <c r="A199" s="242"/>
      <c r="B199" s="1035"/>
      <c r="C199" s="329"/>
      <c r="D199" s="248" t="s">
        <v>515</v>
      </c>
      <c r="E199" s="304" t="s">
        <v>516</v>
      </c>
      <c r="F199" s="248" t="s">
        <v>651</v>
      </c>
      <c r="G199" s="1081">
        <f t="shared" si="247"/>
        <v>0</v>
      </c>
      <c r="H199" s="1082"/>
      <c r="I199" s="1082"/>
      <c r="J199" s="1082"/>
      <c r="K199" s="1082"/>
      <c r="L199" s="1082"/>
      <c r="M199" s="1082"/>
      <c r="N199" s="1082"/>
      <c r="O199" s="1082"/>
      <c r="P199" s="1082"/>
      <c r="Q199" s="1082"/>
      <c r="R199" s="1082"/>
      <c r="S199" s="1082"/>
      <c r="T199" s="1082"/>
      <c r="U199" s="1083"/>
      <c r="V199" s="1083"/>
      <c r="W199" s="1083"/>
      <c r="X199" s="1083"/>
      <c r="Y199" s="1083"/>
      <c r="Z199" s="1082"/>
      <c r="AA199" s="1082"/>
      <c r="AB199" s="1082"/>
      <c r="AC199" s="1082"/>
      <c r="AD199" s="1082"/>
      <c r="AE199" s="1082"/>
      <c r="AF199" s="1082"/>
      <c r="AG199" s="1082"/>
      <c r="AH199" s="1082"/>
      <c r="AI199" s="1083"/>
      <c r="AJ199" s="1083"/>
      <c r="AK199" s="1083"/>
      <c r="AL199" s="1083"/>
      <c r="AM199" s="1084"/>
      <c r="AN199" s="1090" t="s">
        <v>1056</v>
      </c>
    </row>
    <row r="200" spans="1:40" ht="30" customHeight="1">
      <c r="A200" s="50"/>
      <c r="B200" s="1023"/>
      <c r="C200" s="1091" t="s">
        <v>234</v>
      </c>
      <c r="D200" s="1092" t="s">
        <v>517</v>
      </c>
      <c r="E200" s="1093" t="s">
        <v>518</v>
      </c>
      <c r="F200" s="1092" t="s">
        <v>652</v>
      </c>
      <c r="G200" s="805">
        <f t="shared" si="247"/>
        <v>7</v>
      </c>
      <c r="H200" s="189">
        <f>COUNTIF(Area_v1RISHER,$C200)</f>
        <v>0</v>
      </c>
      <c r="I200" s="189">
        <f>COUNTIF(Area_v2RISHER,$C200)</f>
        <v>0</v>
      </c>
      <c r="J200" s="189">
        <f>COUNTIF(Area_v1RAANHER,$C200)</f>
        <v>0</v>
      </c>
      <c r="K200" s="189">
        <f>COUNTIF(Area_v2RAANHER,$C200)</f>
        <v>0</v>
      </c>
      <c r="L200" s="189">
        <f>COUNTIF(Area_v1HER,$C200)</f>
        <v>0</v>
      </c>
      <c r="M200" s="189">
        <f>COUNTIF(Area_v2HER,$C200)</f>
        <v>0</v>
      </c>
      <c r="N200" s="189">
        <f>COUNTIF(Area_v3HER,$C200)</f>
        <v>1</v>
      </c>
      <c r="O200" s="189">
        <f>COUNTIF(Area_v4HER,$C200)</f>
        <v>1</v>
      </c>
      <c r="P200" s="189">
        <f>COUNTIF(Area_v5HER,$C200)</f>
        <v>1</v>
      </c>
      <c r="Q200" s="189">
        <f>COUNTIF(Area_v6HER,$C200)</f>
        <v>0</v>
      </c>
      <c r="R200" s="189">
        <f>COUNTIF(Area_v1HERTSA,$C200)</f>
        <v>0</v>
      </c>
      <c r="S200" s="189">
        <f>COUNTIF(Area_v2HERTSA,$C200)</f>
        <v>1</v>
      </c>
      <c r="T200" s="189">
        <f>COUNTIF(Area_v3HERTSA,$C200)</f>
        <v>1</v>
      </c>
      <c r="U200" s="189">
        <f>COUNTIF(Area_v4HERTSA,$C200)</f>
        <v>0</v>
      </c>
      <c r="V200" s="189">
        <f>COUNTIF(Area_v5HERTSA,$C200)</f>
        <v>0</v>
      </c>
      <c r="W200" s="189">
        <f>COUNTIF(Area_v5BBRHER,$C200)</f>
        <v>0</v>
      </c>
      <c r="X200" s="189">
        <f>COUNTIF(Area_v1BBRTUN,$C200)</f>
        <v>0</v>
      </c>
      <c r="Y200" s="189">
        <f>COUNTIF(Area_v2BBRTUN,$C200)</f>
        <v>0</v>
      </c>
      <c r="Z200" s="189">
        <f>COUNTIF(Area_v51HERTSA,$C200)</f>
        <v>0</v>
      </c>
      <c r="AA200" s="189">
        <f>COUNTIF(Area_v52HERTSA,$C200)</f>
        <v>0</v>
      </c>
      <c r="AB200" s="189">
        <f>COUNTIF(Area_v53HERTSA,$C200)</f>
        <v>0</v>
      </c>
      <c r="AC200" s="189">
        <f>COUNTIF(Area_v1TSA,$C200)</f>
        <v>0</v>
      </c>
      <c r="AD200" s="189">
        <f>COUNTIF(Area_v2TSA,$C200)</f>
        <v>0</v>
      </c>
      <c r="AE200" s="189">
        <f>COUNTIF(Area_v3TSA,$C200)</f>
        <v>0</v>
      </c>
      <c r="AF200" s="189">
        <f>COUNTIF(Area_v4TSA,$C200)</f>
        <v>0</v>
      </c>
      <c r="AG200" s="189">
        <f>COUNTIF(Area_v5TSA,$C200)</f>
        <v>0</v>
      </c>
      <c r="AH200" s="189">
        <f>COUNTIF(Area_v6TSA,$C200)</f>
        <v>0</v>
      </c>
      <c r="AI200" s="190">
        <f>COUNTIF(Area_v1TSATHA,$C200)</f>
        <v>0</v>
      </c>
      <c r="AJ200" s="190">
        <f>COUNTIF(Area_v2TSATHA,$C200)</f>
        <v>1</v>
      </c>
      <c r="AK200" s="190">
        <f>COUNTIF(Area_v3TSATHA,$C200)</f>
        <v>1</v>
      </c>
      <c r="AL200" s="190">
        <f>COUNTIF(Area_v4THAHOLON,$C200)</f>
        <v>0</v>
      </c>
      <c r="AM200" s="233">
        <f>COUNTIF(Area_v5THAHOLON,$C200)</f>
        <v>0</v>
      </c>
      <c r="AN200" s="1094" t="s">
        <v>1057</v>
      </c>
    </row>
    <row r="201" spans="1:40" ht="30" customHeight="1">
      <c r="A201" s="249"/>
      <c r="B201" s="1036" t="s">
        <v>829</v>
      </c>
      <c r="C201" s="327" t="s">
        <v>452</v>
      </c>
      <c r="D201" s="234" t="s">
        <v>517</v>
      </c>
      <c r="E201" s="302" t="s">
        <v>1563</v>
      </c>
      <c r="F201" s="234" t="s">
        <v>652</v>
      </c>
      <c r="G201" s="805">
        <f t="shared" si="247"/>
        <v>4</v>
      </c>
      <c r="H201" s="189">
        <f>COUNTIF(Area_v1RISHER,$C201)*2</f>
        <v>0</v>
      </c>
      <c r="I201" s="189">
        <f>COUNTIF(Area_v2RISHER,$C201)*2</f>
        <v>0</v>
      </c>
      <c r="J201" s="189">
        <f>COUNTIF(Area_v1RAANHER,$C201)*2</f>
        <v>0</v>
      </c>
      <c r="K201" s="189">
        <f>COUNTIF(Area_v2RAANHER,$C201)*2</f>
        <v>0</v>
      </c>
      <c r="L201" s="189">
        <f>COUNTIF(Area_v1HER,$C201)*2</f>
        <v>0</v>
      </c>
      <c r="M201" s="189">
        <f>COUNTIF(Area_v2HER,$C201)*2</f>
        <v>0</v>
      </c>
      <c r="N201" s="189">
        <f>COUNTIF(Area_v3HER,$C201)*2</f>
        <v>0</v>
      </c>
      <c r="O201" s="189">
        <f>COUNTIF(Area_v4HER,$C201)*2</f>
        <v>0</v>
      </c>
      <c r="P201" s="189">
        <f>COUNTIF(Area_v5HER,$C201)*2</f>
        <v>0</v>
      </c>
      <c r="Q201" s="189">
        <f>COUNTIF(Area_v6HER,$C201)*2</f>
        <v>0</v>
      </c>
      <c r="R201" s="189">
        <f>COUNTIF(Area_v1HERTSA,$C201)*2</f>
        <v>0</v>
      </c>
      <c r="S201" s="189">
        <f>COUNTIF(Area_v2HERTSA,$C201)*2</f>
        <v>0</v>
      </c>
      <c r="T201" s="189">
        <f>COUNTIF(Area_v3HERTSA,$C201)*2</f>
        <v>0</v>
      </c>
      <c r="U201" s="189">
        <f>COUNTIF(Area_v4HERTSA,$C201)*2</f>
        <v>0</v>
      </c>
      <c r="V201" s="189">
        <f>COUNTIF(Area_v5HERTSA,$C201)*2</f>
        <v>0</v>
      </c>
      <c r="W201" s="189">
        <f>COUNTIF(Area_v5BBRHER,$C201)*2</f>
        <v>0</v>
      </c>
      <c r="X201" s="189">
        <f>COUNTIF(Area_v1BBRTUN,$C201)*2</f>
        <v>0</v>
      </c>
      <c r="Y201" s="189">
        <f>COUNTIF(Area_v2BBRTUN,$C201)*2</f>
        <v>0</v>
      </c>
      <c r="Z201" s="189">
        <f>COUNTIF(Area_v51HERTSA,$C201)*2</f>
        <v>0</v>
      </c>
      <c r="AA201" s="189">
        <f>COUNTIF(Area_v52HERTSA,$C201)*2</f>
        <v>0</v>
      </c>
      <c r="AB201" s="189">
        <f>COUNTIF(Area_v53HERTSA,$C201)*2</f>
        <v>0</v>
      </c>
      <c r="AC201" s="189">
        <f>COUNTIF(Area_v1TSA,$C201)*2</f>
        <v>0</v>
      </c>
      <c r="AD201" s="189">
        <f>COUNTIF(Area_v2TSA,$C201)*2</f>
        <v>0</v>
      </c>
      <c r="AE201" s="189">
        <f>COUNTIF(Area_v3TSA,$C201)*2</f>
        <v>0</v>
      </c>
      <c r="AF201" s="189">
        <f>COUNTIF(Area_v4TSA,$C201)*2</f>
        <v>0</v>
      </c>
      <c r="AG201" s="189">
        <f>COUNTIF(Area_v5TSA,$C201)*2</f>
        <v>0</v>
      </c>
      <c r="AH201" s="189">
        <f>COUNTIF(Area_v6TSA,$C201)*2</f>
        <v>0</v>
      </c>
      <c r="AI201" s="190">
        <f>COUNTIF(Area_v1TSATHA,$C201)*2</f>
        <v>0</v>
      </c>
      <c r="AJ201" s="190">
        <f>COUNTIF(Area_v2TSATHA,$C201)*2</f>
        <v>4</v>
      </c>
      <c r="AK201" s="190">
        <f>COUNTIF(Area_v3TSATHA,$C201)*2</f>
        <v>0</v>
      </c>
      <c r="AL201" s="190">
        <f>COUNTIF(Area_v4THAHOLON,$C201)*2</f>
        <v>0</v>
      </c>
      <c r="AM201" s="233">
        <f>COUNTIF(Area_v5THAHOLON,$C201)*2</f>
        <v>0</v>
      </c>
      <c r="AN201" s="225" t="s">
        <v>1058</v>
      </c>
    </row>
    <row r="202" spans="1:40" ht="30" customHeight="1">
      <c r="A202" s="411"/>
      <c r="B202" s="1037"/>
      <c r="C202" s="1068" t="s">
        <v>1680</v>
      </c>
      <c r="D202" s="1069" t="s">
        <v>1763</v>
      </c>
      <c r="E202" s="1070" t="s">
        <v>1831</v>
      </c>
      <c r="F202" s="1069">
        <v>6655</v>
      </c>
      <c r="G202" s="803">
        <f t="shared" si="247"/>
        <v>8</v>
      </c>
      <c r="H202" s="521">
        <f>COUNTIF(Area_v1RISHER,$C202)</f>
        <v>0</v>
      </c>
      <c r="I202" s="521">
        <f>COUNTIF(Area_v2RISHER,$C202)</f>
        <v>0</v>
      </c>
      <c r="J202" s="521">
        <f>COUNTIF(Area_v1RAANHER,$C202)</f>
        <v>0</v>
      </c>
      <c r="K202" s="521">
        <f>COUNTIF(Area_v2RAANHER,$C202)</f>
        <v>0</v>
      </c>
      <c r="L202" s="521">
        <f>COUNTIF(Area_v1HER,$C202)</f>
        <v>0</v>
      </c>
      <c r="M202" s="521">
        <f>COUNTIF(Area_v2HER,$C202)</f>
        <v>0</v>
      </c>
      <c r="N202" s="521">
        <f>COUNTIF(Area_v3HER,$C202)</f>
        <v>0</v>
      </c>
      <c r="O202" s="521">
        <f>COUNTIF(Area_v4HER,$C202)</f>
        <v>0</v>
      </c>
      <c r="P202" s="521">
        <f>COUNTIF(Area_v5HER,$C202)</f>
        <v>0</v>
      </c>
      <c r="Q202" s="521">
        <f>COUNTIF(Area_v6HER,$C202)</f>
        <v>0</v>
      </c>
      <c r="R202" s="521">
        <f>COUNTIF(Area_v1HERTSA,$C202)</f>
        <v>0</v>
      </c>
      <c r="S202" s="521">
        <f>COUNTIF(Area_v2HERTSA,$C202)</f>
        <v>0</v>
      </c>
      <c r="T202" s="521">
        <f>COUNTIF(Area_v3HERTSA,$C202)</f>
        <v>0</v>
      </c>
      <c r="U202" s="521">
        <f>COUNTIF(Area_v4HERTSA,$C202)</f>
        <v>0</v>
      </c>
      <c r="V202" s="521">
        <f>COUNTIF(Area_v5HERTSA,$C202)</f>
        <v>0</v>
      </c>
      <c r="W202" s="521">
        <f>COUNTIF(Area_v5BBRHER,$C202)</f>
        <v>0</v>
      </c>
      <c r="X202" s="521">
        <f>COUNTIF(Area_v1BBRTUN,$C202)</f>
        <v>3</v>
      </c>
      <c r="Y202" s="521">
        <f>COUNTIF(Area_v2BBRTUN,$C202)</f>
        <v>3</v>
      </c>
      <c r="Z202" s="521">
        <f>COUNTIF(Area_v51HERTSA,$C202)</f>
        <v>0</v>
      </c>
      <c r="AA202" s="521">
        <f>COUNTIF(Area_v52HERTSA,$C202)</f>
        <v>0</v>
      </c>
      <c r="AB202" s="521">
        <f>COUNTIF(Area_v53HERTSA,$C202)</f>
        <v>0</v>
      </c>
      <c r="AC202" s="521">
        <f>COUNTIF(Area_v1TSA,$C202)</f>
        <v>0</v>
      </c>
      <c r="AD202" s="521">
        <f>COUNTIF(Area_v2TSA,$C202)</f>
        <v>0</v>
      </c>
      <c r="AE202" s="521">
        <f>COUNTIF(Area_v3TSA,$C202)</f>
        <v>0</v>
      </c>
      <c r="AF202" s="521">
        <f>COUNTIF(Area_v4TSA,$C202)</f>
        <v>0</v>
      </c>
      <c r="AG202" s="521">
        <f>COUNTIF(Area_v5TSA,$C202)</f>
        <v>0</v>
      </c>
      <c r="AH202" s="521">
        <f>COUNTIF(Area_v6TSA,$C202)</f>
        <v>0</v>
      </c>
      <c r="AI202" s="226">
        <f>COUNTIF(Area_v1TSATHA,$C202)</f>
        <v>2</v>
      </c>
      <c r="AJ202" s="226">
        <f>COUNTIF(Area_v2TSATHA,$C202)</f>
        <v>0</v>
      </c>
      <c r="AK202" s="226">
        <f>COUNTIF(Area_v3TSATHA,$C202)</f>
        <v>0</v>
      </c>
      <c r="AL202" s="226">
        <f>COUNTIF(Area_v4THAHOLON,$C202)</f>
        <v>0</v>
      </c>
      <c r="AM202" s="227">
        <f>COUNTIF(Area_v5THAHOLON,$C202)</f>
        <v>0</v>
      </c>
      <c r="AN202" s="1095"/>
    </row>
    <row r="203" spans="1:40" ht="30" customHeight="1">
      <c r="A203" s="249"/>
      <c r="B203" s="1038" t="s">
        <v>829</v>
      </c>
      <c r="C203" s="326" t="s">
        <v>1681</v>
      </c>
      <c r="D203" s="1092" t="s">
        <v>1763</v>
      </c>
      <c r="E203" s="301" t="s">
        <v>1832</v>
      </c>
      <c r="F203" s="228">
        <v>6655</v>
      </c>
      <c r="G203" s="805">
        <f t="shared" si="247"/>
        <v>2</v>
      </c>
      <c r="H203" s="189">
        <f>COUNTIF(Area_v1RISHER,$C203)*2</f>
        <v>0</v>
      </c>
      <c r="I203" s="189">
        <f>COUNTIF(Area_v2RISHER,$C203)*2</f>
        <v>0</v>
      </c>
      <c r="J203" s="189">
        <f>COUNTIF(Area_v1RAANHER,$C203)*2</f>
        <v>0</v>
      </c>
      <c r="K203" s="189">
        <f>COUNTIF(Area_v2RAANHER,$C203)*2</f>
        <v>0</v>
      </c>
      <c r="L203" s="189">
        <f>COUNTIF(Area_v1HER,$C203)*2</f>
        <v>0</v>
      </c>
      <c r="M203" s="189">
        <f>COUNTIF(Area_v2HER,$C203)*2</f>
        <v>0</v>
      </c>
      <c r="N203" s="189">
        <f>COUNTIF(Area_v3HER,$C203)*2</f>
        <v>0</v>
      </c>
      <c r="O203" s="189">
        <f>COUNTIF(Area_v4HER,$C203)*2</f>
        <v>0</v>
      </c>
      <c r="P203" s="189">
        <f>COUNTIF(Area_v5HER,$C203)*2</f>
        <v>0</v>
      </c>
      <c r="Q203" s="189">
        <f>COUNTIF(Area_v6HER,$C203)*2</f>
        <v>0</v>
      </c>
      <c r="R203" s="189">
        <f>COUNTIF(Area_v1HERTSA,$C203)*2</f>
        <v>0</v>
      </c>
      <c r="S203" s="189">
        <f>COUNTIF(Area_v2HERTSA,$C203)*2</f>
        <v>0</v>
      </c>
      <c r="T203" s="189">
        <f>COUNTIF(Area_v3HERTSA,$C203)*2</f>
        <v>0</v>
      </c>
      <c r="U203" s="189">
        <f>COUNTIF(Area_v4HERTSA,$C203)*2</f>
        <v>0</v>
      </c>
      <c r="V203" s="189">
        <f>COUNTIF(Area_v5HERTSA,$C203)*2</f>
        <v>0</v>
      </c>
      <c r="W203" s="189">
        <f>COUNTIF(Area_v5BBRHER,$C203)*2</f>
        <v>0</v>
      </c>
      <c r="X203" s="189">
        <f>COUNTIF(Area_v1BBRTUN,$C203)*2</f>
        <v>2</v>
      </c>
      <c r="Y203" s="189">
        <f>COUNTIF(Area_v2BBRTUN,$C203)*2</f>
        <v>0</v>
      </c>
      <c r="Z203" s="189">
        <f>COUNTIF(Area_v51HERTSA,$C203)*2</f>
        <v>0</v>
      </c>
      <c r="AA203" s="189">
        <f>COUNTIF(Area_v52HERTSA,$C203)*2</f>
        <v>0</v>
      </c>
      <c r="AB203" s="189">
        <f>COUNTIF(Area_v53HERTSA,$C203)*2</f>
        <v>0</v>
      </c>
      <c r="AC203" s="189">
        <f>COUNTIF(Area_v1TSA,$C203)*2</f>
        <v>0</v>
      </c>
      <c r="AD203" s="189">
        <f>COUNTIF(Area_v2TSA,$C203)*2</f>
        <v>0</v>
      </c>
      <c r="AE203" s="189">
        <f>COUNTIF(Area_v3TSA,$C203)*2</f>
        <v>0</v>
      </c>
      <c r="AF203" s="189">
        <f>COUNTIF(Area_v4TSA,$C203)*2</f>
        <v>0</v>
      </c>
      <c r="AG203" s="189">
        <f>COUNTIF(Area_v5TSA,$C203)*2</f>
        <v>0</v>
      </c>
      <c r="AH203" s="189">
        <f>COUNTIF(Area_v6TSA,$C203)*2</f>
        <v>0</v>
      </c>
      <c r="AI203" s="190">
        <f>COUNTIF(Area_v1TSATHA,$C203)*2</f>
        <v>0</v>
      </c>
      <c r="AJ203" s="190">
        <f>COUNTIF(Area_v2TSATHA,$C203)*2</f>
        <v>0</v>
      </c>
      <c r="AK203" s="190">
        <f>COUNTIF(Area_v3TSATHA,$C203)*2</f>
        <v>0</v>
      </c>
      <c r="AL203" s="190">
        <f>COUNTIF(Area_v4THAHOLON,$C203)*2</f>
        <v>0</v>
      </c>
      <c r="AM203" s="233">
        <f>COUNTIF(Area_v5THAHOLON,$C203)*2</f>
        <v>0</v>
      </c>
      <c r="AN203" s="1095"/>
    </row>
    <row r="204" spans="1:40" ht="30" customHeight="1">
      <c r="A204" s="249"/>
      <c r="B204" s="1036"/>
      <c r="C204" s="1091" t="s">
        <v>1688</v>
      </c>
      <c r="D204" s="1092" t="s">
        <v>1762</v>
      </c>
      <c r="E204" s="1093" t="s">
        <v>1836</v>
      </c>
      <c r="F204" s="1092"/>
      <c r="G204" s="805">
        <f t="shared" si="247"/>
        <v>0</v>
      </c>
      <c r="H204" s="189">
        <f>COUNTIF(Area_v1RISHER,$C204)</f>
        <v>0</v>
      </c>
      <c r="I204" s="189">
        <f>COUNTIF(Area_v2RISHER,$C204)</f>
        <v>0</v>
      </c>
      <c r="J204" s="189">
        <f>COUNTIF(Area_v1RAANHER,$C204)</f>
        <v>0</v>
      </c>
      <c r="K204" s="189">
        <f>COUNTIF(Area_v2RAANHER,$C204)</f>
        <v>0</v>
      </c>
      <c r="L204" s="189">
        <f>COUNTIF(Area_v1HER,$C204)</f>
        <v>0</v>
      </c>
      <c r="M204" s="189">
        <f>COUNTIF(Area_v2HER,$C204)</f>
        <v>0</v>
      </c>
      <c r="N204" s="189">
        <f>COUNTIF(Area_v3HER,$C204)</f>
        <v>0</v>
      </c>
      <c r="O204" s="189">
        <f>COUNTIF(Area_v4HER,$C204)</f>
        <v>0</v>
      </c>
      <c r="P204" s="189">
        <f>COUNTIF(Area_v5HER,$C204)</f>
        <v>0</v>
      </c>
      <c r="Q204" s="189">
        <f>COUNTIF(Area_v6HER,$C204)</f>
        <v>0</v>
      </c>
      <c r="R204" s="189">
        <f>COUNTIF(Area_v1HERTSA,$C204)</f>
        <v>0</v>
      </c>
      <c r="S204" s="189">
        <f>COUNTIF(Area_v2HERTSA,$C204)</f>
        <v>0</v>
      </c>
      <c r="T204" s="189">
        <f>COUNTIF(Area_v3HERTSA,$C204)</f>
        <v>0</v>
      </c>
      <c r="U204" s="189">
        <f>COUNTIF(Area_v4HERTSA,$C204)</f>
        <v>0</v>
      </c>
      <c r="V204" s="189">
        <f>COUNTIF(Area_v5HERTSA,$C204)</f>
        <v>0</v>
      </c>
      <c r="W204" s="189">
        <f>COUNTIF(Area_v5BBRHER,$C204)</f>
        <v>0</v>
      </c>
      <c r="X204" s="189">
        <f>COUNTIF(Area_v1BBRTUN,$C204)</f>
        <v>0</v>
      </c>
      <c r="Y204" s="189">
        <f>COUNTIF(Area_v2BBRTUN,$C204)</f>
        <v>0</v>
      </c>
      <c r="Z204" s="189">
        <f>COUNTIF(Area_v51HERTSA,$C204)</f>
        <v>0</v>
      </c>
      <c r="AA204" s="189">
        <f>COUNTIF(Area_v52HERTSA,$C204)</f>
        <v>0</v>
      </c>
      <c r="AB204" s="189">
        <f>COUNTIF(Area_v53HERTSA,$C204)</f>
        <v>0</v>
      </c>
      <c r="AC204" s="189">
        <f>COUNTIF(Area_v1TSA,$C204)</f>
        <v>0</v>
      </c>
      <c r="AD204" s="189">
        <f>COUNTIF(Area_v2TSA,$C204)</f>
        <v>0</v>
      </c>
      <c r="AE204" s="189">
        <f>COUNTIF(Area_v3TSA,$C204)</f>
        <v>0</v>
      </c>
      <c r="AF204" s="189">
        <f>COUNTIF(Area_v4TSA,$C204)</f>
        <v>0</v>
      </c>
      <c r="AG204" s="189">
        <f>COUNTIF(Area_v5TSA,$C204)</f>
        <v>0</v>
      </c>
      <c r="AH204" s="189">
        <f>COUNTIF(Area_v6TSA,$C204)</f>
        <v>0</v>
      </c>
      <c r="AI204" s="190">
        <f>COUNTIF(Area_v1TSATHA,$C204)</f>
        <v>0</v>
      </c>
      <c r="AJ204" s="190">
        <f>COUNTIF(Area_v2TSATHA,$C204)</f>
        <v>0</v>
      </c>
      <c r="AK204" s="190">
        <f>COUNTIF(Area_v3TSATHA,$C204)</f>
        <v>0</v>
      </c>
      <c r="AL204" s="190">
        <f>COUNTIF(Area_v4THAHOLON,$C204)</f>
        <v>0</v>
      </c>
      <c r="AM204" s="233">
        <f>COUNTIF(Area_v5THAHOLON,$C204)</f>
        <v>0</v>
      </c>
      <c r="AN204" s="1095"/>
    </row>
    <row r="205" spans="1:40" ht="30" customHeight="1">
      <c r="A205" s="249"/>
      <c r="B205" s="1038" t="s">
        <v>829</v>
      </c>
      <c r="C205" s="326" t="s">
        <v>1689</v>
      </c>
      <c r="D205" s="1092" t="s">
        <v>1762</v>
      </c>
      <c r="E205" s="301" t="s">
        <v>1835</v>
      </c>
      <c r="F205" s="228"/>
      <c r="G205" s="805">
        <f t="shared" si="247"/>
        <v>0</v>
      </c>
      <c r="H205" s="189">
        <f>COUNTIF(Area_v1RISHER,$C205)*2</f>
        <v>0</v>
      </c>
      <c r="I205" s="189">
        <f>COUNTIF(Area_v2RISHER,$C205)*2</f>
        <v>0</v>
      </c>
      <c r="J205" s="189">
        <f>COUNTIF(Area_v1RAANHER,$C205)*2</f>
        <v>0</v>
      </c>
      <c r="K205" s="189">
        <f>COUNTIF(Area_v2RAANHER,$C205)*2</f>
        <v>0</v>
      </c>
      <c r="L205" s="189">
        <f>COUNTIF(Area_v1HER,$C205)*2</f>
        <v>0</v>
      </c>
      <c r="M205" s="189">
        <f>COUNTIF(Area_v2HER,$C205)*2</f>
        <v>0</v>
      </c>
      <c r="N205" s="189">
        <f>COUNTIF(Area_v3HER,$C205)*2</f>
        <v>0</v>
      </c>
      <c r="O205" s="189">
        <f>COUNTIF(Area_v4HER,$C205)*2</f>
        <v>0</v>
      </c>
      <c r="P205" s="189">
        <f>COUNTIF(Area_v5HER,$C205)*2</f>
        <v>0</v>
      </c>
      <c r="Q205" s="189">
        <f>COUNTIF(Area_v6HER,$C205)*2</f>
        <v>0</v>
      </c>
      <c r="R205" s="189">
        <f>COUNTIF(Area_v1HERTSA,$C205)*2</f>
        <v>0</v>
      </c>
      <c r="S205" s="189">
        <f>COUNTIF(Area_v2HERTSA,$C205)*2</f>
        <v>0</v>
      </c>
      <c r="T205" s="189">
        <f>COUNTIF(Area_v3HERTSA,$C205)*2</f>
        <v>0</v>
      </c>
      <c r="U205" s="189">
        <f>COUNTIF(Area_v4HERTSA,$C205)*2</f>
        <v>0</v>
      </c>
      <c r="V205" s="189">
        <f>COUNTIF(Area_v5HERTSA,$C205)*2</f>
        <v>0</v>
      </c>
      <c r="W205" s="189">
        <f>COUNTIF(Area_v5BBRHER,$C205)*2</f>
        <v>0</v>
      </c>
      <c r="X205" s="189">
        <f>COUNTIF(Area_v1BBRTUN,$C205)*2</f>
        <v>0</v>
      </c>
      <c r="Y205" s="189">
        <f>COUNTIF(Area_v2BBRTUN,$C205)*2</f>
        <v>0</v>
      </c>
      <c r="Z205" s="189">
        <f>COUNTIF(Area_v51HERTSA,$C205)*2</f>
        <v>0</v>
      </c>
      <c r="AA205" s="189">
        <f>COUNTIF(Area_v52HERTSA,$C205)*2</f>
        <v>0</v>
      </c>
      <c r="AB205" s="189">
        <f>COUNTIF(Area_v53HERTSA,$C205)*2</f>
        <v>0</v>
      </c>
      <c r="AC205" s="189">
        <f>COUNTIF(Area_v1TSA,$C205)*2</f>
        <v>0</v>
      </c>
      <c r="AD205" s="189">
        <f>COUNTIF(Area_v2TSA,$C205)*2</f>
        <v>0</v>
      </c>
      <c r="AE205" s="189">
        <f>COUNTIF(Area_v3TSA,$C205)*2</f>
        <v>0</v>
      </c>
      <c r="AF205" s="189">
        <f>COUNTIF(Area_v4TSA,$C205)*2</f>
        <v>0</v>
      </c>
      <c r="AG205" s="189">
        <f>COUNTIF(Area_v5TSA,$C205)*2</f>
        <v>0</v>
      </c>
      <c r="AH205" s="189">
        <f>COUNTIF(Area_v6TSA,$C205)*2</f>
        <v>0</v>
      </c>
      <c r="AI205" s="190">
        <f>COUNTIF(Area_v1TSATHA,$C205)*2</f>
        <v>0</v>
      </c>
      <c r="AJ205" s="190">
        <f>COUNTIF(Area_v2TSATHA,$C205)*2</f>
        <v>0</v>
      </c>
      <c r="AK205" s="190">
        <f>COUNTIF(Area_v3TSATHA,$C205)*2</f>
        <v>0</v>
      </c>
      <c r="AL205" s="190">
        <f>COUNTIF(Area_v4THAHOLON,$C205)*2</f>
        <v>0</v>
      </c>
      <c r="AM205" s="233">
        <f>COUNTIF(Area_v5THAHOLON,$C205)*2</f>
        <v>0</v>
      </c>
      <c r="AN205" s="1095"/>
    </row>
    <row r="206" spans="1:40" ht="30" customHeight="1">
      <c r="A206" s="249"/>
      <c r="B206" s="1036"/>
      <c r="C206" s="1091" t="s">
        <v>1682</v>
      </c>
      <c r="D206" s="1092" t="s">
        <v>1761</v>
      </c>
      <c r="E206" s="1093" t="s">
        <v>1834</v>
      </c>
      <c r="F206" s="1092"/>
      <c r="G206" s="805">
        <f t="shared" si="247"/>
        <v>5</v>
      </c>
      <c r="H206" s="189">
        <f>COUNTIF(Area_v1RISHER,$C206)</f>
        <v>0</v>
      </c>
      <c r="I206" s="189">
        <f>COUNTIF(Area_v2RISHER,$C206)</f>
        <v>0</v>
      </c>
      <c r="J206" s="189">
        <f>COUNTIF(Area_v1RAANHER,$C206)</f>
        <v>0</v>
      </c>
      <c r="K206" s="189">
        <f>COUNTIF(Area_v2RAANHER,$C206)</f>
        <v>0</v>
      </c>
      <c r="L206" s="189">
        <f>COUNTIF(Area_v1HER,$C206)</f>
        <v>1</v>
      </c>
      <c r="M206" s="189">
        <f>COUNTIF(Area_v2HER,$C206)</f>
        <v>0</v>
      </c>
      <c r="N206" s="189">
        <f>COUNTIF(Area_v3HER,$C206)</f>
        <v>0</v>
      </c>
      <c r="O206" s="189">
        <f>COUNTIF(Area_v4HER,$C206)</f>
        <v>0</v>
      </c>
      <c r="P206" s="189">
        <f>COUNTIF(Area_v5HER,$C206)</f>
        <v>0</v>
      </c>
      <c r="Q206" s="189">
        <f>COUNTIF(Area_v6HER,$C206)</f>
        <v>0</v>
      </c>
      <c r="R206" s="189">
        <f>COUNTIF(Area_v1HERTSA,$C206)</f>
        <v>1</v>
      </c>
      <c r="S206" s="189">
        <f>COUNTIF(Area_v2HERTSA,$C206)</f>
        <v>0</v>
      </c>
      <c r="T206" s="189">
        <f>COUNTIF(Area_v3HERTSA,$C206)</f>
        <v>0</v>
      </c>
      <c r="U206" s="189">
        <f>COUNTIF(Area_v4HERTSA,$C206)</f>
        <v>1</v>
      </c>
      <c r="V206" s="189">
        <f>COUNTIF(Area_v5HERTSA,$C206)</f>
        <v>0</v>
      </c>
      <c r="W206" s="189">
        <f>COUNTIF(Area_v5BBRHER,$C206)</f>
        <v>0</v>
      </c>
      <c r="X206" s="189">
        <f>COUNTIF(Area_v1BBRTUN,$C206)</f>
        <v>0</v>
      </c>
      <c r="Y206" s="189">
        <f>COUNTIF(Area_v2BBRTUN,$C206)</f>
        <v>0</v>
      </c>
      <c r="Z206" s="189">
        <f>COUNTIF(Area_v51HERTSA,$C206)</f>
        <v>0</v>
      </c>
      <c r="AA206" s="189">
        <f>COUNTIF(Area_v52HERTSA,$C206)</f>
        <v>0</v>
      </c>
      <c r="AB206" s="189">
        <f>COUNTIF(Area_v53HERTSA,$C206)</f>
        <v>0</v>
      </c>
      <c r="AC206" s="189">
        <f>COUNTIF(Area_v1TSA,$C206)</f>
        <v>0</v>
      </c>
      <c r="AD206" s="189">
        <f>COUNTIF(Area_v2TSA,$C206)</f>
        <v>0</v>
      </c>
      <c r="AE206" s="189">
        <f>COUNTIF(Area_v3TSA,$C206)</f>
        <v>0</v>
      </c>
      <c r="AF206" s="189">
        <f>COUNTIF(Area_v4TSA,$C206)</f>
        <v>0</v>
      </c>
      <c r="AG206" s="189">
        <f>COUNTIF(Area_v5TSA,$C206)</f>
        <v>0</v>
      </c>
      <c r="AH206" s="189">
        <f>COUNTIF(Area_v6TSA,$C206)</f>
        <v>0</v>
      </c>
      <c r="AI206" s="190">
        <f>COUNTIF(Area_v1TSATHA,$C206)</f>
        <v>2</v>
      </c>
      <c r="AJ206" s="190">
        <f>COUNTIF(Area_v2TSATHA,$C206)</f>
        <v>0</v>
      </c>
      <c r="AK206" s="190">
        <f>COUNTIF(Area_v3TSATHA,$C206)</f>
        <v>0</v>
      </c>
      <c r="AL206" s="190">
        <f>COUNTIF(Area_v4THAHOLON,$C206)</f>
        <v>0</v>
      </c>
      <c r="AM206" s="233">
        <f>COUNTIF(Area_v5THAHOLON,$C206)</f>
        <v>0</v>
      </c>
      <c r="AN206" s="1095"/>
    </row>
    <row r="207" spans="1:40" ht="30" customHeight="1">
      <c r="A207" s="240"/>
      <c r="B207" s="1039" t="s">
        <v>829</v>
      </c>
      <c r="C207" s="328" t="s">
        <v>1683</v>
      </c>
      <c r="D207" s="1096" t="s">
        <v>1761</v>
      </c>
      <c r="E207" s="303" t="s">
        <v>1833</v>
      </c>
      <c r="F207" s="235"/>
      <c r="G207" s="1071">
        <f t="shared" si="247"/>
        <v>8</v>
      </c>
      <c r="H207" s="1072">
        <f>COUNTIF(Area_v1RISHER,$C207)*2</f>
        <v>0</v>
      </c>
      <c r="I207" s="1072">
        <f>COUNTIF(Area_v2RISHER,$C207)*2</f>
        <v>0</v>
      </c>
      <c r="J207" s="1072">
        <f>COUNTIF(Area_v1RAANHER,$C207)*2</f>
        <v>0</v>
      </c>
      <c r="K207" s="1072">
        <f>COUNTIF(Area_v2RAANHER,$C207)*2</f>
        <v>0</v>
      </c>
      <c r="L207" s="1072">
        <f>COUNTIF(Area_v1HER,$C207)*2</f>
        <v>0</v>
      </c>
      <c r="M207" s="1072">
        <f>COUNTIF(Area_v2HER,$C207)*2</f>
        <v>2</v>
      </c>
      <c r="N207" s="1072">
        <f>COUNTIF(Area_v3HER,$C207)*2</f>
        <v>0</v>
      </c>
      <c r="O207" s="1072">
        <f>COUNTIF(Area_v4HER,$C207)*2</f>
        <v>0</v>
      </c>
      <c r="P207" s="1072">
        <f>COUNTIF(Area_v5HER,$C207)*2</f>
        <v>0</v>
      </c>
      <c r="Q207" s="1072">
        <f>COUNTIF(Area_v6HER,$C207)*2</f>
        <v>2</v>
      </c>
      <c r="R207" s="1072">
        <f>COUNTIF(Area_v1HERTSA,$C207)*2</f>
        <v>0</v>
      </c>
      <c r="S207" s="1072">
        <f>COUNTIF(Area_v2HERTSA,$C207)*2</f>
        <v>0</v>
      </c>
      <c r="T207" s="1072">
        <f>COUNTIF(Area_v3HERTSA,$C207)*2</f>
        <v>0</v>
      </c>
      <c r="U207" s="1072">
        <f>COUNTIF(Area_v4HERTSA,$C207)*2</f>
        <v>0</v>
      </c>
      <c r="V207" s="1072">
        <f>COUNTIF(Area_v5HERTSA,$C207)*2</f>
        <v>0</v>
      </c>
      <c r="W207" s="1072">
        <f>COUNTIF(Area_v5BBRHER,$C207)*2</f>
        <v>0</v>
      </c>
      <c r="X207" s="1072">
        <f>COUNTIF(Area_v1BBRTUN,$C207)*2</f>
        <v>0</v>
      </c>
      <c r="Y207" s="1072">
        <f>COUNTIF(Area_v2BBRTUN,$C207)*2</f>
        <v>0</v>
      </c>
      <c r="Z207" s="1072">
        <f>COUNTIF(Area_v51HERTSA,$C207)*2</f>
        <v>0</v>
      </c>
      <c r="AA207" s="1072">
        <f>COUNTIF(Area_v52HERTSA,$C207)*2</f>
        <v>0</v>
      </c>
      <c r="AB207" s="1072">
        <f>COUNTIF(Area_v53HERTSA,$C207)*2</f>
        <v>0</v>
      </c>
      <c r="AC207" s="1072">
        <f>COUNTIF(Area_v1TSA,$C207)*2</f>
        <v>0</v>
      </c>
      <c r="AD207" s="1072">
        <f>COUNTIF(Area_v2TSA,$C207)*2</f>
        <v>0</v>
      </c>
      <c r="AE207" s="1072">
        <f>COUNTIF(Area_v3TSA,$C207)*2</f>
        <v>0</v>
      </c>
      <c r="AF207" s="1072">
        <f>COUNTIF(Area_v4TSA,$C207)*2</f>
        <v>0</v>
      </c>
      <c r="AG207" s="1072">
        <f>COUNTIF(Area_v5TSA,$C207)*2</f>
        <v>0</v>
      </c>
      <c r="AH207" s="1072">
        <f>COUNTIF(Area_v6TSA,$C207)*2</f>
        <v>0</v>
      </c>
      <c r="AI207" s="1073">
        <f>COUNTIF(Area_v1TSATHA,$C207)*2</f>
        <v>0</v>
      </c>
      <c r="AJ207" s="1073">
        <f>COUNTIF(Area_v2TSATHA,$C207)*2</f>
        <v>0</v>
      </c>
      <c r="AK207" s="1073">
        <f>COUNTIF(Area_v3TSATHA,$C207)*2</f>
        <v>4</v>
      </c>
      <c r="AL207" s="1073">
        <f>COUNTIF(Area_v4THAHOLON,$C207)*2</f>
        <v>0</v>
      </c>
      <c r="AM207" s="1074">
        <f>COUNTIF(Area_v5THAHOLON,$C207)*2</f>
        <v>0</v>
      </c>
      <c r="AN207" s="1095"/>
    </row>
    <row r="208" spans="1:40" ht="30" customHeight="1">
      <c r="A208" s="410"/>
      <c r="B208" s="1040"/>
      <c r="C208" s="1097" t="s">
        <v>834</v>
      </c>
      <c r="D208" s="1096" t="s">
        <v>841</v>
      </c>
      <c r="E208" s="1098" t="s">
        <v>654</v>
      </c>
      <c r="F208" s="1096" t="s">
        <v>653</v>
      </c>
      <c r="G208" s="1071">
        <f t="shared" si="247"/>
        <v>2</v>
      </c>
      <c r="H208" s="1072">
        <f>COUNTIF(Area_v1RISHER,$C208)</f>
        <v>0</v>
      </c>
      <c r="I208" s="1072">
        <f>COUNTIF(Area_v2RISHER,$C208)</f>
        <v>0</v>
      </c>
      <c r="J208" s="1072">
        <f>COUNTIF(Area_v1RAANHER,$C208)</f>
        <v>0</v>
      </c>
      <c r="K208" s="1072">
        <f>COUNTIF(Area_v2RAANHER,$C208)</f>
        <v>0</v>
      </c>
      <c r="L208" s="1072">
        <f>COUNTIF(Area_v1HER,$C208)</f>
        <v>0</v>
      </c>
      <c r="M208" s="1072">
        <f>COUNTIF(Area_v2HER,$C208)</f>
        <v>0</v>
      </c>
      <c r="N208" s="1072">
        <f>COUNTIF(Area_v3HER,$C208)</f>
        <v>0</v>
      </c>
      <c r="O208" s="1072">
        <f>COUNTIF(Area_v4HER,$C208)</f>
        <v>0</v>
      </c>
      <c r="P208" s="1072">
        <f>COUNTIF(Area_v5HER,$C208)</f>
        <v>0</v>
      </c>
      <c r="Q208" s="1072">
        <f>COUNTIF(Area_v6HER,$C208)</f>
        <v>0</v>
      </c>
      <c r="R208" s="1072">
        <f>COUNTIF(Area_v1HERTSA,$C208)</f>
        <v>0</v>
      </c>
      <c r="S208" s="1072">
        <f>COUNTIF(Area_v2HERTSA,$C208)</f>
        <v>0</v>
      </c>
      <c r="T208" s="1072">
        <f>COUNTIF(Area_v3HERTSA,$C208)</f>
        <v>0</v>
      </c>
      <c r="U208" s="1072">
        <f>COUNTIF(Area_v4HERTSA,$C208)</f>
        <v>0</v>
      </c>
      <c r="V208" s="1072">
        <f>COUNTIF(Area_v5HERTSA,$C208)</f>
        <v>0</v>
      </c>
      <c r="W208" s="1072">
        <f>COUNTIF(Area_v5BBRHER,$C208)</f>
        <v>0</v>
      </c>
      <c r="X208" s="1072">
        <f>COUNTIF(Area_v1BBRTUN,$C208)</f>
        <v>0</v>
      </c>
      <c r="Y208" s="1072">
        <f>COUNTIF(Area_v2BBRTUN,$C208)</f>
        <v>0</v>
      </c>
      <c r="Z208" s="1072">
        <f>COUNTIF(Area_v51HERTSA,$C208)</f>
        <v>0</v>
      </c>
      <c r="AA208" s="1072">
        <f>COUNTIF(Area_v52HERTSA,$C208)</f>
        <v>0</v>
      </c>
      <c r="AB208" s="1072">
        <f>COUNTIF(Area_v53HERTSA,$C208)</f>
        <v>0</v>
      </c>
      <c r="AC208" s="1072">
        <f>COUNTIF(Area_v1TSA,$C208)</f>
        <v>1</v>
      </c>
      <c r="AD208" s="1072">
        <f>COUNTIF(Area_v2TSA,$C208)</f>
        <v>0</v>
      </c>
      <c r="AE208" s="1072">
        <f>COUNTIF(Area_v3TSA,$C208)</f>
        <v>0</v>
      </c>
      <c r="AF208" s="1072">
        <f>COUNTIF(Area_v4TSA,$C208)</f>
        <v>0</v>
      </c>
      <c r="AG208" s="1072">
        <f>COUNTIF(Area_v5TSA,$C208)</f>
        <v>0</v>
      </c>
      <c r="AH208" s="1072">
        <f>COUNTIF(Area_v6TSA,$C208)</f>
        <v>1</v>
      </c>
      <c r="AI208" s="1073">
        <f>COUNTIF(Area_v1TSATHA,$C208)</f>
        <v>0</v>
      </c>
      <c r="AJ208" s="1073">
        <f>COUNTIF(Area_v2TSATHA,$C208)</f>
        <v>0</v>
      </c>
      <c r="AK208" s="1073">
        <f>COUNTIF(Area_v3TSATHA,$C208)</f>
        <v>0</v>
      </c>
      <c r="AL208" s="1073">
        <f>COUNTIF(Area_v4THAHOLON,$C208)</f>
        <v>0</v>
      </c>
      <c r="AM208" s="1074">
        <f>COUNTIF(Area_v5THAHOLON,$C208)</f>
        <v>0</v>
      </c>
      <c r="AN208" s="236" t="s">
        <v>1059</v>
      </c>
    </row>
    <row r="209" spans="1:40" ht="30" customHeight="1">
      <c r="A209" s="258" t="s">
        <v>1753</v>
      </c>
      <c r="B209" s="1041"/>
      <c r="C209" s="1068"/>
      <c r="D209" s="1092" t="s">
        <v>519</v>
      </c>
      <c r="E209" s="1093" t="s">
        <v>520</v>
      </c>
      <c r="F209" s="1092" t="s">
        <v>655</v>
      </c>
      <c r="G209" s="805">
        <f t="shared" si="247"/>
        <v>781</v>
      </c>
      <c r="H209" s="189">
        <f>SUM(H210:H214)</f>
        <v>25</v>
      </c>
      <c r="I209" s="189">
        <f>SUM(I210:I214)</f>
        <v>24</v>
      </c>
      <c r="J209" s="189">
        <f>SUM(J210:J214)</f>
        <v>14</v>
      </c>
      <c r="K209" s="189">
        <f>SUM(K210:K214)</f>
        <v>20</v>
      </c>
      <c r="L209" s="189">
        <f>SUM(L210:L214)</f>
        <v>32</v>
      </c>
      <c r="M209" s="189">
        <f t="shared" ref="M209:R209" si="252">SUM(M210:M214)</f>
        <v>26</v>
      </c>
      <c r="N209" s="189">
        <f t="shared" si="252"/>
        <v>13</v>
      </c>
      <c r="O209" s="189">
        <f t="shared" si="252"/>
        <v>24</v>
      </c>
      <c r="P209" s="189">
        <f t="shared" si="252"/>
        <v>13</v>
      </c>
      <c r="Q209" s="189">
        <f t="shared" si="252"/>
        <v>49</v>
      </c>
      <c r="R209" s="189">
        <f t="shared" si="252"/>
        <v>111</v>
      </c>
      <c r="S209" s="189">
        <f t="shared" ref="S209:AM209" si="253">SUM(S210:S214)</f>
        <v>25</v>
      </c>
      <c r="T209" s="189">
        <f t="shared" si="253"/>
        <v>33</v>
      </c>
      <c r="U209" s="189">
        <f t="shared" si="253"/>
        <v>114</v>
      </c>
      <c r="V209" s="189">
        <f t="shared" si="253"/>
        <v>6</v>
      </c>
      <c r="W209" s="189">
        <f t="shared" si="253"/>
        <v>14</v>
      </c>
      <c r="X209" s="189">
        <f t="shared" si="253"/>
        <v>15</v>
      </c>
      <c r="Y209" s="189">
        <f t="shared" si="253"/>
        <v>19</v>
      </c>
      <c r="Z209" s="189">
        <f t="shared" si="253"/>
        <v>11</v>
      </c>
      <c r="AA209" s="189">
        <f t="shared" si="253"/>
        <v>0</v>
      </c>
      <c r="AB209" s="189">
        <f t="shared" si="253"/>
        <v>0</v>
      </c>
      <c r="AC209" s="189">
        <f t="shared" si="253"/>
        <v>8</v>
      </c>
      <c r="AD209" s="189">
        <f t="shared" si="253"/>
        <v>0</v>
      </c>
      <c r="AE209" s="189">
        <f t="shared" si="253"/>
        <v>0</v>
      </c>
      <c r="AF209" s="189">
        <f t="shared" si="253"/>
        <v>11</v>
      </c>
      <c r="AG209" s="189">
        <f t="shared" si="253"/>
        <v>7</v>
      </c>
      <c r="AH209" s="189">
        <f t="shared" si="253"/>
        <v>6</v>
      </c>
      <c r="AI209" s="190">
        <f t="shared" si="253"/>
        <v>52</v>
      </c>
      <c r="AJ209" s="190">
        <f t="shared" si="253"/>
        <v>10</v>
      </c>
      <c r="AK209" s="190">
        <f t="shared" si="253"/>
        <v>78</v>
      </c>
      <c r="AL209" s="190">
        <f t="shared" si="253"/>
        <v>9</v>
      </c>
      <c r="AM209" s="233">
        <f t="shared" si="253"/>
        <v>12</v>
      </c>
      <c r="AN209" s="1094" t="s">
        <v>1060</v>
      </c>
    </row>
    <row r="210" spans="1:40" ht="30" customHeight="1">
      <c r="A210" s="50"/>
      <c r="B210" s="1042" t="s">
        <v>826</v>
      </c>
      <c r="C210" s="326" t="s">
        <v>4235</v>
      </c>
      <c r="D210" s="228" t="s">
        <v>521</v>
      </c>
      <c r="E210" s="301" t="s">
        <v>836</v>
      </c>
      <c r="F210" s="228" t="s">
        <v>655</v>
      </c>
      <c r="G210" s="805">
        <f t="shared" si="247"/>
        <v>261</v>
      </c>
      <c r="H210" s="189">
        <f>COUNTIF(Area_v1RISHER,"CP+AnMC")+COUNTIF(Area_v1RISHER,"FP+AnMC")+COUNTIF(Area_v1RISHER,"CP/TX-P**")</f>
        <v>6</v>
      </c>
      <c r="I210" s="189">
        <f>COUNTIF(Area_v2RISHER,"CP+AnMC")+COUNTIF(Area_v2RISHER,"FP+AnMC")+COUNTIF(Area_v2RISHER,"CP/TX-P*")</f>
        <v>6</v>
      </c>
      <c r="J210" s="189">
        <f>COUNTIF(Area_v1RAANHER,"CP+AnMC")+COUNTIF(Area_v1RAANHER,"FP+AnMC")+COUNTIF(Area_v1RAANHER,"CP/TX-P*")</f>
        <v>4</v>
      </c>
      <c r="K210" s="189">
        <f>COUNTIF(Area_v2RAANHER,"CP+AnMC")+COUNTIF(Area_v2RAANHER,"FP+AnMC")+COUNTIF(Area_v2RAANHER,"CP/TX-P*")</f>
        <v>5</v>
      </c>
      <c r="L210" s="189">
        <f>COUNTIF(Area_v1HER,"CP+AnMC")+COUNTIF(Area_v1HER,"FP+AnMC")+COUNTIF(Area_v1HER,"CP/TX-P*")</f>
        <v>14</v>
      </c>
      <c r="M210" s="189">
        <f>COUNTIF(Area_v2HER,"CP+AnMC")+COUNTIF(Area_v2HER,"FP+AnMC")+COUNTIF(Area_v2HER,"CP/TX-P*")</f>
        <v>9</v>
      </c>
      <c r="N210" s="189">
        <f>COUNTIF(Area_v3HER,"CP+AnMC")+COUNTIF(Area_v3HER,"FP+AnMC")+COUNTIF(Area_v3HER,"CP/TX-P*")</f>
        <v>5</v>
      </c>
      <c r="O210" s="189">
        <f>COUNTIF(Area_v4HER,"CP+AnMC")+COUNTIF(Area_v4HER,"FP+AnMC")+COUNTIF(Area_v4HER,"CP/TX-P*")</f>
        <v>7</v>
      </c>
      <c r="P210" s="189">
        <f>COUNTIF(Area_v5HER,"CP+AnMC")+COUNTIF(Area_v5HER,"FP+AnMC")+COUNTIF(Area_v5HER,"CP/TX-P*")</f>
        <v>3</v>
      </c>
      <c r="Q210" s="189">
        <f>COUNTIF(Area_v6HER,"CP+AnMC")+COUNTIF(Area_v6HER,"FP+AnMC")+COUNTIF(Area_v6HER,"CP/TX-P*")</f>
        <v>20</v>
      </c>
      <c r="R210" s="189">
        <f>COUNTIF(Area_v1HERTSA,"CP+AnMC")+COUNTIF(Area_v1HERTSA,"FP+AnMC")+COUNTIF(Area_v1HERTSA,"CP/TX-P*")</f>
        <v>38</v>
      </c>
      <c r="S210" s="189">
        <f>COUNTIF(Area_v2HERTSA,"CP+AnMC")+COUNTIF(Area_v2HERTSA,"FP+AnMC")+COUNTIF(Area_v2HERTSA,"CP/TX-P*")</f>
        <v>7</v>
      </c>
      <c r="T210" s="189">
        <f>COUNTIF(Area_v3HERTSA,"CP+AnMC")+COUNTIF(Area_v3HERTSA,"FP+AnMC")+COUNTIF(Area_v3HERTSA,"CP/TX-P*")</f>
        <v>10</v>
      </c>
      <c r="U210" s="189">
        <f>COUNTIF(Area_v4HERTSA,"CP+AnMC")+COUNTIF(Area_v4HERTSA,"FP+AnMC")+COUNTIF(Area_v4HERTSA,"CP/TX-P*")</f>
        <v>41</v>
      </c>
      <c r="V210" s="189">
        <f>COUNTIF(Area_v5HERTSA,"CP+AnMC")+COUNTIF(Area_v5HERTSA,"FP+AnMC")+COUNTIF(Area_v5HERTSA,"CP/TX-P*")</f>
        <v>2</v>
      </c>
      <c r="W210" s="189">
        <f>COUNTIF(Area_v5BBRHER,"CP+AnMC")+COUNTIF(Area_v5BBRHER,"FP+AnMC")+COUNTIF(Area_v5BBRHER,"CP/TX-P*")</f>
        <v>4</v>
      </c>
      <c r="X210" s="189">
        <f>COUNTIF(Area_v1BBRTUN,"CP+AnMC")+COUNTIF(Area_v1BBRTUN,"FP+AnMC")+COUNTIF(Area_v1BBRTUN,"CP/TX-P*")</f>
        <v>4</v>
      </c>
      <c r="Y210" s="189">
        <f>COUNTIF(Area_v2BBRTUN,"CP+AnMC")+COUNTIF(Area_v2BBRTUN,"FP+AnMC")+COUNTIF(Area_v2BBRTUN,"CP/TX-P*")</f>
        <v>6</v>
      </c>
      <c r="Z210" s="189">
        <f>COUNTIF(Area_v51HERTSA,"CP+AnMC")+COUNTIF(Area_v51HERTSA,"FP+AnMC")+COUNTIF(Area_v51HERTSA,"CP/TX-P*")</f>
        <v>5</v>
      </c>
      <c r="AA210" s="189">
        <f>COUNTIF(Area_v52HERTSA,"CP+AnMC")+COUNTIF(Area_v52HERTSA,"FP+AnMC")+COUNTIF(Area_v52HERTSA,"CP/TX-P*")</f>
        <v>0</v>
      </c>
      <c r="AB210" s="189">
        <f>COUNTIF(Area_v53HERTSA,"CP+AnMC")+COUNTIF(Area_v53HERTSA,"FP+AnMC")+COUNTIF(Area_v53HERTSA,"CP/TX-P*")</f>
        <v>0</v>
      </c>
      <c r="AC210" s="189">
        <f>COUNTIF(Area_v1TSA,"CP+AnMC")+COUNTIF(Area_v1TSA,"FP+AnMC")+COUNTIF(Area_v1TSA,"CP/TX-P*")</f>
        <v>3</v>
      </c>
      <c r="AD210" s="189">
        <f>COUNTIF(Area_v2TSA,"CP+AnMC")+COUNTIF(Area_v2TSA,"FP+AnMC")+COUNTIF(Area_v2TSA,"CP/TX-P*")</f>
        <v>0</v>
      </c>
      <c r="AE210" s="189">
        <f>COUNTIF(Area_v3TSA,"CP+AnMC")+COUNTIF(Area_v3TSA,"FP+AnMC")+COUNTIF(Area_v3TSA,"CP/TX-P*")</f>
        <v>0</v>
      </c>
      <c r="AF210" s="189">
        <f>COUNTIF(Area_v4TSA,"CP+AnMC")+COUNTIF(Area_v4TSA,"FP+AnMC")+COUNTIF(Area_v4TSA,"CP/TX-P*")</f>
        <v>3</v>
      </c>
      <c r="AG210" s="189">
        <f>COUNTIF(Area_v5TSA,"CP+AnMC")+COUNTIF(Area_v5TSA,"FP+AnMC")+COUNTIF(Area_v5TSA,"CP/TX-P*")</f>
        <v>2</v>
      </c>
      <c r="AH210" s="189">
        <f>COUNTIF(Area_v6TSA,"CP+AnMC")+COUNTIF(Area_v6TSA,"FP+AnMC")+COUNTIF(Area_v6TSA,"CP/TX-P*")</f>
        <v>2</v>
      </c>
      <c r="AI210" s="190">
        <f>COUNTIF(Area_v1TSATHA,"CP+AnMC")+COUNTIF(Area_v1TSATHA,"FP+AnMC")+COUNTIF(Area_v1TSATHA,"CP/TX-P*")</f>
        <v>16</v>
      </c>
      <c r="AJ210" s="190">
        <f>COUNTIF(Area_v2TSATHA,"CP+AnMC")+COUNTIF(Area_v2TSATHA,"FP+AnMC")+COUNTIF(Area_v2TSATHA,"CP/TX-P*")</f>
        <v>2</v>
      </c>
      <c r="AK210" s="190">
        <f>COUNTIF(Area_v3TSATHA,"CP+AnMC")+COUNTIF(Area_v3TSATHA,"FP+AnMC")+COUNTIF(Area_v3TSATHA,"CP/TX-P*")</f>
        <v>29</v>
      </c>
      <c r="AL210" s="190">
        <f>COUNTIF(Area_v4THAHOLON,"CP+AnMC")+COUNTIF(Area_v4THAHOLON,"FP+AnMC")+COUNTIF(Area_v4THAHOLON,"CP/TX-P*")</f>
        <v>4</v>
      </c>
      <c r="AM210" s="233">
        <f>COUNTIF(Area_v5THAHOLON,"CP+AnMC")+COUNTIF(Area_v5THAHOLON,"FP+AnMC")+COUNTIF(Area_v5THAHOLON,"CP/TX-P*")</f>
        <v>4</v>
      </c>
      <c r="AN210" s="225" t="s">
        <v>1061</v>
      </c>
    </row>
    <row r="211" spans="1:40" ht="30" customHeight="1">
      <c r="A211" s="50"/>
      <c r="B211" s="1043" t="s">
        <v>1368</v>
      </c>
      <c r="C211" s="326" t="s">
        <v>1489</v>
      </c>
      <c r="D211" s="228" t="s">
        <v>522</v>
      </c>
      <c r="E211" s="301" t="s">
        <v>837</v>
      </c>
      <c r="F211" s="228" t="s">
        <v>655</v>
      </c>
      <c r="G211" s="805">
        <f t="shared" si="247"/>
        <v>107</v>
      </c>
      <c r="H211" s="189">
        <f>COUNTIF(Area_v1RISHER,"AnRW")+COUNTIF(Area_v1RISHER,"AnRW2")</f>
        <v>3</v>
      </c>
      <c r="I211" s="189">
        <f>COUNTIF(Area_v2RISHER,"AnRW")+COUNTIF(Area_v2RISHER,"AnRW2")</f>
        <v>2</v>
      </c>
      <c r="J211" s="189">
        <f>COUNTIF(Area_v1RAANHER,"AnRW")+COUNTIF(Area_v1RAANHER,"AnRW2")</f>
        <v>2</v>
      </c>
      <c r="K211" s="189">
        <f>COUNTIF(Area_v2RAANHER,"AnRW")+COUNTIF(Area_v2RAANHER,"AnRW2")</f>
        <v>6</v>
      </c>
      <c r="L211" s="189">
        <f>COUNTIF(Area_v1HER,"AnRW")+COUNTIF(Area_v1HER,"AnRW2")</f>
        <v>4</v>
      </c>
      <c r="M211" s="189">
        <f>COUNTIF(Area_v2HER,"AnRW")+COUNTIF(Area_v2HER,"AnRW2")</f>
        <v>6</v>
      </c>
      <c r="N211" s="189">
        <f>COUNTIF(Area_v3HER,"AnRW")+COUNTIF(Area_v3HER,"AnRW2")</f>
        <v>0</v>
      </c>
      <c r="O211" s="189">
        <f>COUNTIF(Area_v4HER,"AnRW")+COUNTIF(Area_v4HER,"AnRW2")</f>
        <v>8</v>
      </c>
      <c r="P211" s="189">
        <f>COUNTIF(Area_v5HER,"AnRW")+COUNTIF(Area_v5HER,"AnRW2")</f>
        <v>6</v>
      </c>
      <c r="Q211" s="189">
        <f>COUNTIF(Area_v6HER,"AnRW")+COUNTIF(Area_v6HER,"AnRW2")</f>
        <v>8</v>
      </c>
      <c r="R211" s="189">
        <f>COUNTIF(Area_v1HERTSA,"AnRW")+COUNTIF(Area_v1HERTSA,"AnRW2")</f>
        <v>10</v>
      </c>
      <c r="S211" s="189">
        <f>COUNTIF(Area_v2HERTSA,"AnRW")+COUNTIF(Area_v2HERTSA,"AnRW2")</f>
        <v>6</v>
      </c>
      <c r="T211" s="189">
        <f>COUNTIF(Area_v3HERTSA,"AnRW")+COUNTIF(Area_v3HERTSA,"AnRW2")</f>
        <v>5</v>
      </c>
      <c r="U211" s="189">
        <f>COUNTIF(Area_v4HERTSA,"AnRW")+COUNTIF(Area_v4HERTSA,"AnRW2")</f>
        <v>7</v>
      </c>
      <c r="V211" s="189">
        <f>COUNTIF(Area_v5HERTSA,"AnRW")+COUNTIF(Area_v5HERTSA,"AnRW2")</f>
        <v>1</v>
      </c>
      <c r="W211" s="189">
        <f>COUNTIF(Area_v5BBRHER,"AnRW")+COUNTIF(Area_v5BBRHER,"AnRW2")</f>
        <v>3</v>
      </c>
      <c r="X211" s="189">
        <f>COUNTIF(Area_v1BBRTUN,"AnRW")+COUNTIF(Area_v1BBRTUN,"AnRW2")</f>
        <v>3</v>
      </c>
      <c r="Y211" s="189">
        <f>COUNTIF(Area_v2BBRTUN,"AnRW")+COUNTIF(Area_v2BBRTUN,"AnRW2")</f>
        <v>3</v>
      </c>
      <c r="Z211" s="189">
        <f>COUNTIF(Area_v51HERTSA,"AnRW")+COUNTIF(Area_v51HERTSA,"AnRW2")</f>
        <v>1</v>
      </c>
      <c r="AA211" s="189">
        <f>COUNTIF(Area_v52HERTSA,"AnRW")+COUNTIF(Area_v52HERTSA,"AnRW2")</f>
        <v>0</v>
      </c>
      <c r="AB211" s="189">
        <f>COUNTIF(Area_v53HERTSA,"AnRW")+COUNTIF(Area_v53HERTSA,"AnRW2")</f>
        <v>0</v>
      </c>
      <c r="AC211" s="189">
        <f>COUNTIF(Area_v1TSA,"AnRW")+COUNTIF(Area_v1TSA,"AnRW2")</f>
        <v>0</v>
      </c>
      <c r="AD211" s="189">
        <f>COUNTIF(Area_v2TSA,"AnRW")+COUNTIF(Area_v2TSA,"AnRW2")</f>
        <v>0</v>
      </c>
      <c r="AE211" s="189">
        <f>COUNTIF(Area_v3TSA,"AnRW")+COUNTIF(Area_v3TSA,"AnRW2")</f>
        <v>0</v>
      </c>
      <c r="AF211" s="189">
        <f>COUNTIF(Area_v4TSA,"AnRW")+COUNTIF(Area_v4TSA,"AnRW2")</f>
        <v>3</v>
      </c>
      <c r="AG211" s="189">
        <f>COUNTIF(Area_v5TSA,"AnRW")+COUNTIF(Area_v5TSA,"AnRW2")</f>
        <v>1</v>
      </c>
      <c r="AH211" s="189">
        <f>COUNTIF(Area_v6TSA,"AnRW")+COUNTIF(Area_v6TSA,"AnRW2")</f>
        <v>0</v>
      </c>
      <c r="AI211" s="190">
        <f>COUNTIF(Area_v1TSATHA,"AnRW")+COUNTIF(Area_v1TSATHA,"AnRW2")</f>
        <v>9</v>
      </c>
      <c r="AJ211" s="190">
        <f>COUNTIF(Area_v2TSATHA,"AnRW")+COUNTIF(Area_v2TSATHA,"AnRW2")</f>
        <v>0</v>
      </c>
      <c r="AK211" s="190">
        <f>COUNTIF(Area_v3TSATHA,"AnRW")+COUNTIF(Area_v3TSATHA,"AnRW2")</f>
        <v>7</v>
      </c>
      <c r="AL211" s="190">
        <f>COUNTIF(Area_v4THAHOLON,"AnRW")+COUNTIF(Area_v4THAHOLON,"AnRW2")</f>
        <v>0</v>
      </c>
      <c r="AM211" s="233">
        <f>COUNTIF(Area_v5THAHOLON,"AnRW")+COUNTIF(Area_v5THAHOLON,"AnRW2")</f>
        <v>3</v>
      </c>
      <c r="AN211" s="225" t="s">
        <v>1062</v>
      </c>
    </row>
    <row r="212" spans="1:40" ht="30" customHeight="1">
      <c r="A212" s="50"/>
      <c r="B212" s="1042"/>
      <c r="C212" s="326" t="s">
        <v>4236</v>
      </c>
      <c r="D212" s="228" t="s">
        <v>523</v>
      </c>
      <c r="E212" s="301" t="s">
        <v>838</v>
      </c>
      <c r="F212" s="228" t="s">
        <v>655</v>
      </c>
      <c r="G212" s="805">
        <f t="shared" si="247"/>
        <v>403</v>
      </c>
      <c r="H212" s="189">
        <f>COUNTIF(Area_v1RISHER,"CP+AnMC")+COUNTIF(Area_v1RISHER,"FP+AnMC")+COUNTIF(Area_v1RISHER,"AnMP")+COUNTIF(Area_v1RISHER,"CP/TX-P*")</f>
        <v>12</v>
      </c>
      <c r="I212" s="189">
        <f>COUNTIF(Area_v2RISHER,"CP+AnMC")+COUNTIF(Area_v2RISHER,"FP+AnMC")+COUNTIF(Area_v2RISHER,"AnMP")+COUNTIF(Area_v2RISHER,"CP/TX-P*")</f>
        <v>12</v>
      </c>
      <c r="J212" s="189">
        <f>COUNTIF(Area_v1RAANHER,"CP+AnMC")+COUNTIF(Area_v1RAANHER,"FP+AnMC")+COUNTIF(Area_v1RAANHER,"AnMP")+COUNTIF(Area_v1RAANHER,"CP/TX-P*")</f>
        <v>8</v>
      </c>
      <c r="K212" s="189">
        <f>COUNTIF(Area_v2RAANHER,"CP+AnMC")+COUNTIF(Area_v2RAANHER,"FP+AnMC")+COUNTIF(Area_v2RAANHER,"AnMP")+COUNTIF(Area_v2RAANHER,"CP/TX-P*")</f>
        <v>9</v>
      </c>
      <c r="L212" s="189">
        <f>COUNTIF(Area_v1HER,"CP+AnMC")+COUNTIF(Area_v1HER,"FP+AnMC")+COUNTIF(Area_v1HER,"AnMP")+COUNTIF(Area_v1HER,"CP/TX-P*")</f>
        <v>14</v>
      </c>
      <c r="M212" s="189">
        <f>COUNTIF(Area_v2HER,"CP+AnMC")+COUNTIF(Area_v2HER,"FP+AnMC")+COUNTIF(Area_v2HER,"AnMP")+COUNTIF(Area_v2HER,"CP/TX-P*")</f>
        <v>11</v>
      </c>
      <c r="N212" s="189">
        <f>COUNTIF(Area_v3HER,"CP+AnMC")+COUNTIF(Area_v3HER,"FP+AnMC")+COUNTIF(Area_v3HER,"AnMP")+COUNTIF(Area_v3HER,"CP/TX-P*")</f>
        <v>8</v>
      </c>
      <c r="O212" s="189">
        <f>COUNTIF(Area_v4HER,"CP+AnMC")+COUNTIF(Area_v4HER,"FP+AnMC")+COUNTIF(Area_v4HER,"AnMP")+COUNTIF(Area_v4HER,"CP/TX-P*")</f>
        <v>9</v>
      </c>
      <c r="P212" s="189">
        <f>COUNTIF(Area_v5HER,"CP+AnMC")+COUNTIF(Area_v5HER,"FP+AnMC")+COUNTIF(Area_v5HER,"AnMP")+COUNTIF(Area_v5HER,"CP/TX-P*")</f>
        <v>4</v>
      </c>
      <c r="Q212" s="189">
        <f>COUNTIF(Area_v6HER,"CP+AnMC")+COUNTIF(Area_v6HER,"FP+AnMC")+COUNTIF(Area_v6HER,"AnMP")+COUNTIF(Area_v6HER,"CP/TX-P*")</f>
        <v>21</v>
      </c>
      <c r="R212" s="189">
        <f>COUNTIF(Area_v1HERTSA,"CP+AnMC")+COUNTIF(Area_v1HERTSA,"FP+AnMC")+COUNTIF(Area_v1HERTSA,"AnMP")+COUNTIF(Area_v1HERTSA,"CP/TX-P*")</f>
        <v>63</v>
      </c>
      <c r="S212" s="189">
        <f>COUNTIF(Area_v2HERTSA,"CP+AnMC")+COUNTIF(Area_v2HERTSA,"FP+AnMC")+COUNTIF(Area_v2HERTSA,"AnMP")+COUNTIF(Area_v2HERTSA,"CP/TX-P*")</f>
        <v>12</v>
      </c>
      <c r="T212" s="189">
        <f>COUNTIF(Area_v3HERTSA,"CP+AnMC")+COUNTIF(Area_v3HERTSA,"FP+AnMC")+COUNTIF(Area_v3HERTSA,"AnMP")+COUNTIF(Area_v3HERTSA,"CP/TX-P*")</f>
        <v>18</v>
      </c>
      <c r="U212" s="189">
        <f>COUNTIF(Area_v4HERTSA,"CP+AnMC")+COUNTIF(Area_v4HERTSA,"FP+AnMC")+COUNTIF(Area_v4HERTSA,"*AnMP*")+COUNTIF(Area_v4HERTSA,"CP/TX-P*")</f>
        <v>66</v>
      </c>
      <c r="V212" s="189">
        <f>COUNTIF(Area_v5HERTSA,"CP+AnMC")+COUNTIF(Area_v5HERTSA,"FP+AnMC")+COUNTIF(Area_v5HERTSA,"*AnMP*")+COUNTIF(Area_v5HERTSA,"CP/TX-P*")</f>
        <v>3</v>
      </c>
      <c r="W212" s="189">
        <f>COUNTIF(Area_v5BBRHER,"CP+AnMC")+COUNTIF(Area_v5BBRHER,"FP+AnMC")+COUNTIF(Area_v5BBRHER,"*AnMP*")+COUNTIF(Area_v5BBRHER,"CP/TX-P*")</f>
        <v>7</v>
      </c>
      <c r="X212" s="189">
        <f>COUNTIF(Area_v1BBRTUN,"CP+AnMC")+COUNTIF(Area_v1BBRTUN,"FP+AnMC")+COUNTIF(Area_v1BBRTUN,"*AnMP*")+COUNTIF(Area_v1BBRTUN,"CP/TX-P*")</f>
        <v>8</v>
      </c>
      <c r="Y212" s="189">
        <f>COUNTIF(Area_v2BBRTUN,"CP+AnMC")+COUNTIF(Area_v2BBRTUN,"FP+AnMC")+COUNTIF(Area_v2BBRTUN,"*AnMP*")+COUNTIF(Area_v2BBRTUN,"CP/TX-P*")</f>
        <v>10</v>
      </c>
      <c r="Z212" s="189">
        <f>COUNTIF(Area_v51HERTSA,"CP+AnMC")+COUNTIF(Area_v51HERTSA,"FP+AnMC")+COUNTIF(Area_v51HERTSA,"AnMP")+COUNTIF(Area_v51HERTSA,"CP/TX-P*")</f>
        <v>5</v>
      </c>
      <c r="AA212" s="189">
        <f>COUNTIF(Area_v52HERTSA,"CP+AnMC")+COUNTIF(Area_v52HERTSA,"FP+AnMC")+COUNTIF(Area_v52HERTSA,"AnMP")+COUNTIF(Area_v52HERTSA,"CP/TX-P*")</f>
        <v>0</v>
      </c>
      <c r="AB212" s="189">
        <f>COUNTIF(Area_v53HERTSA,"CP+AnMC")+COUNTIF(Area_v53HERTSA,"FP+AnMC")+COUNTIF(Area_v53HERTSA,"AnMP")+COUNTIF(Area_v53HERTSA,"CP/TX-P*")</f>
        <v>0</v>
      </c>
      <c r="AC212" s="189">
        <f>COUNTIF(Area_v1TSA,"CP+AnMC")+COUNTIF(Area_v1TSA,"FP+AnMC")+COUNTIF(Area_v1TSA,"AnMP")+COUNTIF(Area_v1TSA,"CP/TX-P*")</f>
        <v>5</v>
      </c>
      <c r="AD212" s="189">
        <f>COUNTIF(Area_v2TSA,"CP+AnMC")+COUNTIF(Area_v2TSA,"FP+AnMC")+COUNTIF(Area_v2TSA,"AnMP")+COUNTIF(Area_v2TSA,"CP/TX-P*")</f>
        <v>0</v>
      </c>
      <c r="AE212" s="189">
        <f>COUNTIF(Area_v3TSA,"CP+AnMC")+COUNTIF(Area_v3TSA,"FP+AnMC")+COUNTIF(Area_v3TSA,"AnMP")+COUNTIF(Area_v3TSA,"CP/TX-P*")</f>
        <v>0</v>
      </c>
      <c r="AF212" s="189">
        <f>COUNTIF(Area_v4TSA,"CP+AnMC")+COUNTIF(Area_v4TSA,"FP+AnMC")+COUNTIF(Area_v4TSA,"AnMP")+COUNTIF(Area_v4TSA,"CP/TX-P*")</f>
        <v>5</v>
      </c>
      <c r="AG212" s="189">
        <f>COUNTIF(Area_v5TSA,"CP+AnMC")+COUNTIF(Area_v5TSA,"FP+AnMC")+COUNTIF(Area_v5TSA,"AnMP")+COUNTIF(Area_v5TSA,"CP/TX-P*")</f>
        <v>4</v>
      </c>
      <c r="AH212" s="189">
        <f>COUNTIF(Area_v6TSA,"CP+AnMC")+COUNTIF(Area_v6TSA,"FP+AnMC")+COUNTIF(Area_v6TSA,"AnMP")+COUNTIF(Area_v6TSA,"CP/TX-P*")</f>
        <v>4</v>
      </c>
      <c r="AI212" s="190">
        <f>COUNTIF(Area_v1TSATHA,"CP+AnMC")+COUNTIF(Area_v1TSATHA,"FP+AnMC")+COUNTIF(Area_v1TSATHA,"AnMP")+COUNTIF(Area_v1TSATHA,"CP/TX-P*")</f>
        <v>27</v>
      </c>
      <c r="AJ212" s="190">
        <f>COUNTIF(Area_v2TSATHA,"CP+AnMC")+COUNTIF(Area_v2TSATHA,"FP+AnMC")+COUNTIF(Area_v2TSATHA,"AnMP")+COUNTIF(Area_v2TSATHA,"CP/TX-P*")</f>
        <v>8</v>
      </c>
      <c r="AK212" s="190">
        <f>COUNTIF(Area_v3TSATHA,"CP+AnMC")+COUNTIF(Area_v3TSATHA,"FP+AnMC")+COUNTIF(Area_v3TSATHA,"*AnMP*")+COUNTIF(Area_v3TSATHA,"CP/TX-P*")</f>
        <v>42</v>
      </c>
      <c r="AL212" s="190">
        <f>COUNTIF(Area_v4THAHOLON,"CP+AnMC")+COUNTIF(Area_v4THAHOLON,"FP+AnMC")+COUNTIF(Area_v4THAHOLON,"*AnMP*")+COUNTIF(Area_v4THAHOLON,"CP/TX-P*")</f>
        <v>4</v>
      </c>
      <c r="AM212" s="233">
        <f>COUNTIF(Area_v5THAHOLON,"CP+AnMC")+COUNTIF(Area_v5THAHOLON,"FP+AnMC")+COUNTIF(Area_v5THAHOLON,"*AnMP*")+COUNTIF(Area_v5THAHOLON,"CP/TX-P*")</f>
        <v>4</v>
      </c>
      <c r="AN212" s="225" t="s">
        <v>1063</v>
      </c>
    </row>
    <row r="213" spans="1:40" ht="30" customHeight="1">
      <c r="A213" s="50"/>
      <c r="B213" s="1043" t="s">
        <v>1368</v>
      </c>
      <c r="C213" s="327" t="s">
        <v>1040</v>
      </c>
      <c r="D213" s="228" t="s">
        <v>524</v>
      </c>
      <c r="E213" s="301" t="s">
        <v>839</v>
      </c>
      <c r="F213" s="228" t="s">
        <v>655</v>
      </c>
      <c r="G213" s="805">
        <f t="shared" si="247"/>
        <v>10</v>
      </c>
      <c r="H213" s="189">
        <f>COUNTIF(Area_v1RISHER,$C213)</f>
        <v>4</v>
      </c>
      <c r="I213" s="189">
        <f>COUNTIF(Area_v2RISHER,$C213)</f>
        <v>4</v>
      </c>
      <c r="J213" s="189">
        <f>COUNTIF(Area_v1RAANHER,$C213)</f>
        <v>0</v>
      </c>
      <c r="K213" s="189">
        <f>COUNTIF(Area_v2RAANHER,$C213)</f>
        <v>0</v>
      </c>
      <c r="L213" s="189">
        <f>COUNTIF(Area_v1HER,$C213)</f>
        <v>0</v>
      </c>
      <c r="M213" s="189">
        <f>COUNTIF(Area_v2HER,$C213)</f>
        <v>0</v>
      </c>
      <c r="N213" s="189">
        <f>COUNTIF(Area_v3HER,$C213)</f>
        <v>0</v>
      </c>
      <c r="O213" s="189">
        <f>COUNTIF(Area_v4HER,$C213)</f>
        <v>0</v>
      </c>
      <c r="P213" s="189">
        <f>COUNTIF(Area_v5HER,$C213)</f>
        <v>0</v>
      </c>
      <c r="Q213" s="189">
        <f>COUNTIF(Area_v6HER,$C213)</f>
        <v>0</v>
      </c>
      <c r="R213" s="189">
        <f>COUNTIF(Area_v1HERTSA,$C213)</f>
        <v>0</v>
      </c>
      <c r="S213" s="189">
        <f>COUNTIF(Area_v2HERTSA,$C213)</f>
        <v>0</v>
      </c>
      <c r="T213" s="189">
        <f>COUNTIF(Area_v3HERTSA,$C213)</f>
        <v>0</v>
      </c>
      <c r="U213" s="189">
        <f>COUNTIF(Area_v4HERTSA,$C213)</f>
        <v>0</v>
      </c>
      <c r="V213" s="189">
        <f>COUNTIF(Area_v5HERTSA,$C213)</f>
        <v>0</v>
      </c>
      <c r="W213" s="189">
        <f>COUNTIF(Area_v5BBRHER,$C213)</f>
        <v>0</v>
      </c>
      <c r="X213" s="189">
        <f>COUNTIF(Area_v1BBRTUN,$C213)</f>
        <v>0</v>
      </c>
      <c r="Y213" s="189">
        <f>COUNTIF(Area_v2BBRTUN,$C213)</f>
        <v>0</v>
      </c>
      <c r="Z213" s="189">
        <f>COUNTIF(Area_v51HERTSA,$C213)</f>
        <v>0</v>
      </c>
      <c r="AA213" s="189">
        <f>COUNTIF(Area_v52HERTSA,$C213)</f>
        <v>0</v>
      </c>
      <c r="AB213" s="189">
        <f>COUNTIF(Area_v53HERTSA,$C213)</f>
        <v>0</v>
      </c>
      <c r="AC213" s="189">
        <f>COUNTIF(Area_v1TSA,$C213)</f>
        <v>0</v>
      </c>
      <c r="AD213" s="189">
        <f>COUNTIF(Area_v2TSA,$C213)</f>
        <v>0</v>
      </c>
      <c r="AE213" s="189">
        <f>COUNTIF(Area_v3TSA,$C213)</f>
        <v>0</v>
      </c>
      <c r="AF213" s="189">
        <f>COUNTIF(Area_v4TSA,$C213)</f>
        <v>0</v>
      </c>
      <c r="AG213" s="189">
        <f>COUNTIF(Area_v5TSA,$C213)</f>
        <v>0</v>
      </c>
      <c r="AH213" s="189">
        <f>COUNTIF(Area_v6TSA,$C213)</f>
        <v>0</v>
      </c>
      <c r="AI213" s="190">
        <f>COUNTIF(Area_v1TSATHA,$C213)</f>
        <v>0</v>
      </c>
      <c r="AJ213" s="190">
        <f>COUNTIF(Area_v2TSATHA,$C213)</f>
        <v>0</v>
      </c>
      <c r="AK213" s="190">
        <f>COUNTIF(Area_v3TSATHA,$C213)</f>
        <v>0</v>
      </c>
      <c r="AL213" s="190">
        <f>COUNTIF(Area_v4THAHOLON,$C213)</f>
        <v>1</v>
      </c>
      <c r="AM213" s="233">
        <f>COUNTIF(Area_v5THAHOLON,$C213)</f>
        <v>1</v>
      </c>
      <c r="AN213" s="225" t="s">
        <v>1064</v>
      </c>
    </row>
    <row r="214" spans="1:40" ht="30" customHeight="1">
      <c r="A214" s="592"/>
      <c r="B214" s="1044" t="s">
        <v>817</v>
      </c>
      <c r="C214" s="593"/>
      <c r="D214" s="595" t="s">
        <v>525</v>
      </c>
      <c r="E214" s="594" t="s">
        <v>1751</v>
      </c>
      <c r="F214" s="595" t="s">
        <v>655</v>
      </c>
      <c r="G214" s="808">
        <f t="shared" si="247"/>
        <v>0</v>
      </c>
      <c r="H214" s="527"/>
      <c r="I214" s="527"/>
      <c r="J214" s="527"/>
      <c r="K214" s="527"/>
      <c r="L214" s="527"/>
      <c r="M214" s="527"/>
      <c r="N214" s="527"/>
      <c r="O214" s="527"/>
      <c r="P214" s="527"/>
      <c r="Q214" s="527"/>
      <c r="R214" s="527"/>
      <c r="S214" s="527"/>
      <c r="T214" s="527"/>
      <c r="U214" s="246"/>
      <c r="V214" s="246"/>
      <c r="W214" s="246"/>
      <c r="X214" s="246"/>
      <c r="Y214" s="246"/>
      <c r="Z214" s="527"/>
      <c r="AA214" s="527"/>
      <c r="AB214" s="527"/>
      <c r="AC214" s="527"/>
      <c r="AD214" s="527"/>
      <c r="AE214" s="527"/>
      <c r="AF214" s="527"/>
      <c r="AG214" s="527"/>
      <c r="AH214" s="527"/>
      <c r="AI214" s="246"/>
      <c r="AJ214" s="246"/>
      <c r="AK214" s="246"/>
      <c r="AL214" s="246"/>
      <c r="AM214" s="247"/>
      <c r="AN214" s="1085" t="s">
        <v>1065</v>
      </c>
    </row>
    <row r="215" spans="1:40" ht="30" customHeight="1">
      <c r="A215" s="287" t="s">
        <v>810</v>
      </c>
      <c r="B215" s="598"/>
      <c r="C215" s="1099" t="s">
        <v>143</v>
      </c>
      <c r="D215" s="989" t="s">
        <v>526</v>
      </c>
      <c r="E215" s="306" t="s">
        <v>527</v>
      </c>
      <c r="F215" s="600" t="s">
        <v>656</v>
      </c>
      <c r="G215" s="809">
        <f t="shared" si="247"/>
        <v>536</v>
      </c>
      <c r="H215" s="524">
        <f t="shared" ref="H215:H233" si="254">COUNTIF(Area_v1RISHER,$C215)</f>
        <v>26</v>
      </c>
      <c r="I215" s="521">
        <f t="shared" ref="I215:I230" si="255">COUNTIF(Area_v2RISHER,$C215)</f>
        <v>29</v>
      </c>
      <c r="J215" s="521">
        <f t="shared" ref="J215:J233" si="256">COUNTIF(Area_v1RAANHER,$C215)</f>
        <v>23</v>
      </c>
      <c r="K215" s="521">
        <f t="shared" ref="K215:K233" si="257">COUNTIF(Area_v2RAANHER,$C215)</f>
        <v>14</v>
      </c>
      <c r="L215" s="521">
        <f t="shared" ref="L215:L233" si="258">COUNTIF(Area_v1HER,$C215)</f>
        <v>26</v>
      </c>
      <c r="M215" s="521">
        <f t="shared" ref="M215:M233" si="259">COUNTIF(Area_v2HER,$C215)</f>
        <v>14</v>
      </c>
      <c r="N215" s="521">
        <f t="shared" ref="N215:N233" si="260">COUNTIF(Area_v3HER,$C215)</f>
        <v>8</v>
      </c>
      <c r="O215" s="521">
        <f t="shared" ref="O215:O233" si="261">COUNTIF(Area_v4HER,$C215)</f>
        <v>14</v>
      </c>
      <c r="P215" s="521">
        <f t="shared" ref="P215:P233" si="262">COUNTIF(Area_v5HER,$C215)</f>
        <v>6</v>
      </c>
      <c r="Q215" s="521">
        <f t="shared" ref="Q215:Q233" si="263">COUNTIF(Area_v6HER,$C215)</f>
        <v>29</v>
      </c>
      <c r="R215" s="521">
        <f t="shared" ref="R215:R233" si="264">COUNTIF(Area_v1HERTSA,$C215)</f>
        <v>72</v>
      </c>
      <c r="S215" s="521">
        <f t="shared" ref="S215:S233" si="265">COUNTIF(Area_v2HERTSA,$C215)</f>
        <v>13</v>
      </c>
      <c r="T215" s="521">
        <f t="shared" ref="T215:T233" si="266">COUNTIF(Area_v3HERTSA,$C215)</f>
        <v>30</v>
      </c>
      <c r="U215" s="521">
        <f t="shared" ref="U215:U233" si="267">COUNTIF(Area_v4HERTSA,$C215)</f>
        <v>79</v>
      </c>
      <c r="V215" s="521">
        <f t="shared" ref="V215:V233" si="268">COUNTIF(Area_v5HERTSA,$C215)</f>
        <v>1</v>
      </c>
      <c r="W215" s="521">
        <f t="shared" ref="W215:W233" si="269">COUNTIF(Area_v5BBRHER,$C215)</f>
        <v>22</v>
      </c>
      <c r="X215" s="521">
        <f t="shared" ref="X215:X233" si="270">COUNTIF(Area_v1BBRTUN,$C215)</f>
        <v>18</v>
      </c>
      <c r="Y215" s="521">
        <f t="shared" ref="Y215:Y233" si="271">COUNTIF(Area_v2BBRTUN,$C215)</f>
        <v>24</v>
      </c>
      <c r="Z215" s="521">
        <f t="shared" ref="Z215:Z233" si="272">COUNTIF(Area_v51HERTSA,$C215)</f>
        <v>9</v>
      </c>
      <c r="AA215" s="521">
        <f t="shared" ref="AA215:AA233" si="273">COUNTIF(Area_v52HERTSA,$C215)</f>
        <v>0</v>
      </c>
      <c r="AB215" s="521">
        <f t="shared" ref="AB215:AB233" si="274">COUNTIF(Area_v53HERTSA,$C215)</f>
        <v>5</v>
      </c>
      <c r="AC215" s="521">
        <f t="shared" ref="AC215:AC233" si="275">COUNTIF(Area_v1TSA,$C215)</f>
        <v>7</v>
      </c>
      <c r="AD215" s="521">
        <f t="shared" ref="AD215:AD233" si="276">COUNTIF(Area_v2TSA,$C215)</f>
        <v>1</v>
      </c>
      <c r="AE215" s="521">
        <f t="shared" ref="AE215:AE233" si="277">COUNTIF(Area_v3TSA,$C215)</f>
        <v>0</v>
      </c>
      <c r="AF215" s="521">
        <f t="shared" ref="AF215:AF233" si="278">COUNTIF(Area_v4TSA,$C215)</f>
        <v>6</v>
      </c>
      <c r="AG215" s="521">
        <f t="shared" ref="AG215:AG233" si="279">COUNTIF(Area_v5TSA,$C215)</f>
        <v>4</v>
      </c>
      <c r="AH215" s="521">
        <f t="shared" ref="AH215:AH233" si="280">COUNTIF(Area_v6TSA,$C215)</f>
        <v>2</v>
      </c>
      <c r="AI215" s="226">
        <f t="shared" ref="AI215:AI233" si="281">COUNTIF(Area_v1TSATHA,$C215)</f>
        <v>19</v>
      </c>
      <c r="AJ215" s="226">
        <f t="shared" ref="AJ215:AJ233" si="282">COUNTIF(Area_v2TSATHA,$C215)</f>
        <v>1</v>
      </c>
      <c r="AK215" s="226">
        <f t="shared" ref="AK215:AK233" si="283">COUNTIF(Area_v3TSATHA,$C215)</f>
        <v>20</v>
      </c>
      <c r="AL215" s="226">
        <f t="shared" ref="AL215:AL233" si="284">COUNTIF(Area_v4THAHOLON,$C215)</f>
        <v>5</v>
      </c>
      <c r="AM215" s="227">
        <f t="shared" ref="AM215:AM233" si="285">COUNTIF(Area_v5THAHOLON,$C215)</f>
        <v>9</v>
      </c>
      <c r="AN215" s="1066" t="s">
        <v>1066</v>
      </c>
    </row>
    <row r="216" spans="1:40" ht="30" customHeight="1">
      <c r="A216" s="256"/>
      <c r="B216" s="597"/>
      <c r="C216" s="1100" t="s">
        <v>144</v>
      </c>
      <c r="D216" s="990" t="s">
        <v>528</v>
      </c>
      <c r="E216" s="310" t="s">
        <v>530</v>
      </c>
      <c r="F216" s="599" t="s">
        <v>657</v>
      </c>
      <c r="G216" s="791">
        <f t="shared" si="247"/>
        <v>572</v>
      </c>
      <c r="H216" s="525">
        <f t="shared" si="254"/>
        <v>29</v>
      </c>
      <c r="I216" s="189">
        <f t="shared" si="255"/>
        <v>26</v>
      </c>
      <c r="J216" s="189">
        <f t="shared" si="256"/>
        <v>14</v>
      </c>
      <c r="K216" s="189">
        <f t="shared" si="257"/>
        <v>23</v>
      </c>
      <c r="L216" s="189">
        <f t="shared" si="258"/>
        <v>20</v>
      </c>
      <c r="M216" s="189">
        <f t="shared" si="259"/>
        <v>12</v>
      </c>
      <c r="N216" s="189">
        <f t="shared" si="260"/>
        <v>6</v>
      </c>
      <c r="O216" s="189">
        <f t="shared" si="261"/>
        <v>12</v>
      </c>
      <c r="P216" s="189">
        <f t="shared" si="262"/>
        <v>6</v>
      </c>
      <c r="Q216" s="189">
        <f t="shared" si="263"/>
        <v>24</v>
      </c>
      <c r="R216" s="189">
        <f t="shared" si="264"/>
        <v>79</v>
      </c>
      <c r="S216" s="189">
        <f t="shared" si="265"/>
        <v>24</v>
      </c>
      <c r="T216" s="189">
        <f t="shared" si="266"/>
        <v>30</v>
      </c>
      <c r="U216" s="189">
        <f t="shared" si="267"/>
        <v>78</v>
      </c>
      <c r="V216" s="189">
        <f t="shared" si="268"/>
        <v>1</v>
      </c>
      <c r="W216" s="189">
        <f t="shared" si="269"/>
        <v>7</v>
      </c>
      <c r="X216" s="189">
        <f t="shared" si="270"/>
        <v>24</v>
      </c>
      <c r="Y216" s="189">
        <f t="shared" si="271"/>
        <v>20</v>
      </c>
      <c r="Z216" s="189">
        <f t="shared" si="272"/>
        <v>7</v>
      </c>
      <c r="AA216" s="189">
        <f t="shared" si="273"/>
        <v>0</v>
      </c>
      <c r="AB216" s="189">
        <f t="shared" si="274"/>
        <v>5</v>
      </c>
      <c r="AC216" s="189">
        <f t="shared" si="275"/>
        <v>8</v>
      </c>
      <c r="AD216" s="189">
        <f t="shared" si="276"/>
        <v>0</v>
      </c>
      <c r="AE216" s="189">
        <f t="shared" si="277"/>
        <v>0</v>
      </c>
      <c r="AF216" s="189">
        <f t="shared" si="278"/>
        <v>6</v>
      </c>
      <c r="AG216" s="189">
        <f t="shared" si="279"/>
        <v>5</v>
      </c>
      <c r="AH216" s="189">
        <f t="shared" si="280"/>
        <v>8</v>
      </c>
      <c r="AI216" s="190">
        <f t="shared" si="281"/>
        <v>35</v>
      </c>
      <c r="AJ216" s="190">
        <f t="shared" si="282"/>
        <v>14</v>
      </c>
      <c r="AK216" s="190">
        <f t="shared" si="283"/>
        <v>37</v>
      </c>
      <c r="AL216" s="190">
        <f t="shared" si="284"/>
        <v>7</v>
      </c>
      <c r="AM216" s="233">
        <f t="shared" si="285"/>
        <v>5</v>
      </c>
      <c r="AN216" s="225" t="s">
        <v>1067</v>
      </c>
    </row>
    <row r="217" spans="1:40" ht="30" customHeight="1">
      <c r="A217" s="256"/>
      <c r="B217" s="597"/>
      <c r="C217" s="1100" t="s">
        <v>2789</v>
      </c>
      <c r="D217" s="990"/>
      <c r="E217" s="310" t="s">
        <v>2790</v>
      </c>
      <c r="F217" s="599"/>
      <c r="G217" s="791">
        <f t="shared" si="247"/>
        <v>94</v>
      </c>
      <c r="H217" s="525">
        <f t="shared" si="254"/>
        <v>0</v>
      </c>
      <c r="I217" s="189">
        <f t="shared" si="255"/>
        <v>0</v>
      </c>
      <c r="J217" s="189">
        <f t="shared" si="256"/>
        <v>0</v>
      </c>
      <c r="K217" s="189">
        <f t="shared" si="257"/>
        <v>0</v>
      </c>
      <c r="L217" s="189">
        <f t="shared" si="258"/>
        <v>0</v>
      </c>
      <c r="M217" s="189">
        <f t="shared" si="259"/>
        <v>0</v>
      </c>
      <c r="N217" s="189">
        <f t="shared" si="260"/>
        <v>0</v>
      </c>
      <c r="O217" s="189">
        <f t="shared" si="261"/>
        <v>0</v>
      </c>
      <c r="P217" s="189">
        <f t="shared" si="262"/>
        <v>0</v>
      </c>
      <c r="Q217" s="189">
        <f t="shared" si="263"/>
        <v>0</v>
      </c>
      <c r="R217" s="189">
        <f t="shared" si="264"/>
        <v>11</v>
      </c>
      <c r="S217" s="189">
        <f t="shared" si="265"/>
        <v>2</v>
      </c>
      <c r="T217" s="189">
        <f t="shared" si="266"/>
        <v>3</v>
      </c>
      <c r="U217" s="189">
        <f t="shared" si="267"/>
        <v>5</v>
      </c>
      <c r="V217" s="189">
        <f t="shared" si="268"/>
        <v>0</v>
      </c>
      <c r="W217" s="189">
        <f t="shared" si="269"/>
        <v>0</v>
      </c>
      <c r="X217" s="189">
        <f t="shared" si="270"/>
        <v>0</v>
      </c>
      <c r="Y217" s="189">
        <f t="shared" si="271"/>
        <v>0</v>
      </c>
      <c r="Z217" s="189">
        <f t="shared" si="272"/>
        <v>2</v>
      </c>
      <c r="AA217" s="189">
        <f t="shared" si="273"/>
        <v>0</v>
      </c>
      <c r="AB217" s="189">
        <f t="shared" si="274"/>
        <v>3</v>
      </c>
      <c r="AC217" s="189">
        <f t="shared" si="275"/>
        <v>6</v>
      </c>
      <c r="AD217" s="189">
        <f t="shared" si="276"/>
        <v>0</v>
      </c>
      <c r="AE217" s="189">
        <f t="shared" si="277"/>
        <v>0</v>
      </c>
      <c r="AF217" s="189">
        <f t="shared" si="278"/>
        <v>1</v>
      </c>
      <c r="AG217" s="189">
        <f t="shared" si="279"/>
        <v>1</v>
      </c>
      <c r="AH217" s="189">
        <f t="shared" si="280"/>
        <v>7</v>
      </c>
      <c r="AI217" s="190">
        <f t="shared" si="281"/>
        <v>24</v>
      </c>
      <c r="AJ217" s="190">
        <f t="shared" si="282"/>
        <v>8</v>
      </c>
      <c r="AK217" s="190">
        <f t="shared" si="283"/>
        <v>21</v>
      </c>
      <c r="AL217" s="190">
        <f t="shared" si="284"/>
        <v>0</v>
      </c>
      <c r="AM217" s="233">
        <f t="shared" si="285"/>
        <v>0</v>
      </c>
      <c r="AN217" s="225"/>
    </row>
    <row r="218" spans="1:40" ht="30" customHeight="1">
      <c r="A218" s="256"/>
      <c r="B218" s="597"/>
      <c r="C218" s="1100" t="s">
        <v>140</v>
      </c>
      <c r="D218" s="990" t="s">
        <v>529</v>
      </c>
      <c r="E218" s="310" t="s">
        <v>535</v>
      </c>
      <c r="F218" s="599" t="s">
        <v>658</v>
      </c>
      <c r="G218" s="791">
        <f t="shared" si="247"/>
        <v>312</v>
      </c>
      <c r="H218" s="525">
        <f t="shared" si="254"/>
        <v>8</v>
      </c>
      <c r="I218" s="189">
        <f t="shared" si="255"/>
        <v>8</v>
      </c>
      <c r="J218" s="189">
        <f t="shared" si="256"/>
        <v>6</v>
      </c>
      <c r="K218" s="189">
        <f t="shared" si="257"/>
        <v>7</v>
      </c>
      <c r="L218" s="189">
        <f t="shared" si="258"/>
        <v>16</v>
      </c>
      <c r="M218" s="189">
        <f t="shared" si="259"/>
        <v>12</v>
      </c>
      <c r="N218" s="189">
        <f t="shared" si="260"/>
        <v>5</v>
      </c>
      <c r="O218" s="189">
        <f t="shared" si="261"/>
        <v>7</v>
      </c>
      <c r="P218" s="189">
        <f t="shared" si="262"/>
        <v>5</v>
      </c>
      <c r="Q218" s="189">
        <f t="shared" si="263"/>
        <v>28</v>
      </c>
      <c r="R218" s="189">
        <f t="shared" si="264"/>
        <v>45</v>
      </c>
      <c r="S218" s="189">
        <f t="shared" si="265"/>
        <v>8</v>
      </c>
      <c r="T218" s="189">
        <f t="shared" si="266"/>
        <v>14</v>
      </c>
      <c r="U218" s="189">
        <f t="shared" si="267"/>
        <v>45</v>
      </c>
      <c r="V218" s="189">
        <f t="shared" si="268"/>
        <v>1</v>
      </c>
      <c r="W218" s="189">
        <f t="shared" si="269"/>
        <v>4</v>
      </c>
      <c r="X218" s="189">
        <f t="shared" si="270"/>
        <v>6</v>
      </c>
      <c r="Y218" s="189">
        <f t="shared" si="271"/>
        <v>8</v>
      </c>
      <c r="Z218" s="189">
        <f t="shared" si="272"/>
        <v>3</v>
      </c>
      <c r="AA218" s="189">
        <f t="shared" si="273"/>
        <v>0</v>
      </c>
      <c r="AB218" s="189">
        <f t="shared" si="274"/>
        <v>1</v>
      </c>
      <c r="AC218" s="189">
        <f t="shared" si="275"/>
        <v>5</v>
      </c>
      <c r="AD218" s="189">
        <f t="shared" si="276"/>
        <v>0</v>
      </c>
      <c r="AE218" s="189">
        <f t="shared" si="277"/>
        <v>0</v>
      </c>
      <c r="AF218" s="189">
        <f t="shared" si="278"/>
        <v>4</v>
      </c>
      <c r="AG218" s="189">
        <f t="shared" si="279"/>
        <v>2</v>
      </c>
      <c r="AH218" s="189">
        <f t="shared" si="280"/>
        <v>3</v>
      </c>
      <c r="AI218" s="190">
        <f t="shared" si="281"/>
        <v>20</v>
      </c>
      <c r="AJ218" s="190">
        <f t="shared" si="282"/>
        <v>2</v>
      </c>
      <c r="AK218" s="190">
        <f t="shared" si="283"/>
        <v>29</v>
      </c>
      <c r="AL218" s="190">
        <f t="shared" si="284"/>
        <v>5</v>
      </c>
      <c r="AM218" s="233">
        <f t="shared" si="285"/>
        <v>5</v>
      </c>
      <c r="AN218" s="225" t="s">
        <v>1068</v>
      </c>
    </row>
    <row r="219" spans="1:40" ht="30" customHeight="1">
      <c r="A219" s="256"/>
      <c r="B219" s="597"/>
      <c r="C219" s="1100" t="s">
        <v>2791</v>
      </c>
      <c r="D219" s="990"/>
      <c r="E219" s="310" t="s">
        <v>2800</v>
      </c>
      <c r="F219" s="599"/>
      <c r="G219" s="791">
        <f t="shared" si="247"/>
        <v>0</v>
      </c>
      <c r="H219" s="525">
        <f t="shared" si="254"/>
        <v>0</v>
      </c>
      <c r="I219" s="189">
        <f t="shared" si="255"/>
        <v>0</v>
      </c>
      <c r="J219" s="189">
        <f t="shared" si="256"/>
        <v>0</v>
      </c>
      <c r="K219" s="189">
        <f t="shared" si="257"/>
        <v>0</v>
      </c>
      <c r="L219" s="189">
        <f t="shared" si="258"/>
        <v>0</v>
      </c>
      <c r="M219" s="189">
        <f t="shared" si="259"/>
        <v>0</v>
      </c>
      <c r="N219" s="189">
        <f t="shared" si="260"/>
        <v>0</v>
      </c>
      <c r="O219" s="189">
        <f t="shared" si="261"/>
        <v>0</v>
      </c>
      <c r="P219" s="189">
        <f t="shared" si="262"/>
        <v>0</v>
      </c>
      <c r="Q219" s="189">
        <f t="shared" si="263"/>
        <v>0</v>
      </c>
      <c r="R219" s="189">
        <f t="shared" si="264"/>
        <v>0</v>
      </c>
      <c r="S219" s="189">
        <f t="shared" si="265"/>
        <v>0</v>
      </c>
      <c r="T219" s="189">
        <f t="shared" si="266"/>
        <v>0</v>
      </c>
      <c r="U219" s="189">
        <f t="shared" si="267"/>
        <v>0</v>
      </c>
      <c r="V219" s="189">
        <f t="shared" si="268"/>
        <v>0</v>
      </c>
      <c r="W219" s="189">
        <f t="shared" si="269"/>
        <v>0</v>
      </c>
      <c r="X219" s="189">
        <f t="shared" si="270"/>
        <v>0</v>
      </c>
      <c r="Y219" s="189">
        <f t="shared" si="271"/>
        <v>0</v>
      </c>
      <c r="Z219" s="189">
        <f t="shared" si="272"/>
        <v>0</v>
      </c>
      <c r="AA219" s="189">
        <f t="shared" si="273"/>
        <v>0</v>
      </c>
      <c r="AB219" s="189">
        <f t="shared" si="274"/>
        <v>0</v>
      </c>
      <c r="AC219" s="189">
        <f t="shared" si="275"/>
        <v>0</v>
      </c>
      <c r="AD219" s="189">
        <f t="shared" si="276"/>
        <v>0</v>
      </c>
      <c r="AE219" s="189">
        <f t="shared" si="277"/>
        <v>0</v>
      </c>
      <c r="AF219" s="189">
        <f t="shared" si="278"/>
        <v>0</v>
      </c>
      <c r="AG219" s="189">
        <f t="shared" si="279"/>
        <v>0</v>
      </c>
      <c r="AH219" s="189">
        <f t="shared" si="280"/>
        <v>0</v>
      </c>
      <c r="AI219" s="190">
        <f t="shared" si="281"/>
        <v>0</v>
      </c>
      <c r="AJ219" s="190">
        <f t="shared" si="282"/>
        <v>0</v>
      </c>
      <c r="AK219" s="190">
        <f t="shared" si="283"/>
        <v>0</v>
      </c>
      <c r="AL219" s="190">
        <f t="shared" si="284"/>
        <v>0</v>
      </c>
      <c r="AM219" s="233">
        <f t="shared" si="285"/>
        <v>0</v>
      </c>
      <c r="AN219" s="225"/>
    </row>
    <row r="220" spans="1:40" ht="30" customHeight="1">
      <c r="A220" s="256"/>
      <c r="B220" s="597"/>
      <c r="C220" s="1100" t="s">
        <v>633</v>
      </c>
      <c r="D220" s="990" t="s">
        <v>531</v>
      </c>
      <c r="E220" s="310" t="s">
        <v>660</v>
      </c>
      <c r="F220" s="599" t="s">
        <v>659</v>
      </c>
      <c r="G220" s="791">
        <f t="shared" si="247"/>
        <v>8</v>
      </c>
      <c r="H220" s="525">
        <f t="shared" si="254"/>
        <v>0</v>
      </c>
      <c r="I220" s="189">
        <f t="shared" si="255"/>
        <v>0</v>
      </c>
      <c r="J220" s="189">
        <f t="shared" si="256"/>
        <v>0</v>
      </c>
      <c r="K220" s="189">
        <f t="shared" si="257"/>
        <v>0</v>
      </c>
      <c r="L220" s="189">
        <f t="shared" si="258"/>
        <v>0</v>
      </c>
      <c r="M220" s="189">
        <f t="shared" si="259"/>
        <v>0</v>
      </c>
      <c r="N220" s="189">
        <f t="shared" si="260"/>
        <v>1</v>
      </c>
      <c r="O220" s="189">
        <f t="shared" si="261"/>
        <v>1</v>
      </c>
      <c r="P220" s="189">
        <f t="shared" si="262"/>
        <v>0</v>
      </c>
      <c r="Q220" s="189">
        <f t="shared" si="263"/>
        <v>0</v>
      </c>
      <c r="R220" s="189">
        <f t="shared" si="264"/>
        <v>0</v>
      </c>
      <c r="S220" s="189">
        <f t="shared" si="265"/>
        <v>0</v>
      </c>
      <c r="T220" s="189">
        <f t="shared" si="266"/>
        <v>1</v>
      </c>
      <c r="U220" s="189">
        <f t="shared" si="267"/>
        <v>0</v>
      </c>
      <c r="V220" s="189">
        <f t="shared" si="268"/>
        <v>0</v>
      </c>
      <c r="W220" s="189">
        <f t="shared" si="269"/>
        <v>0</v>
      </c>
      <c r="X220" s="189">
        <f t="shared" si="270"/>
        <v>0</v>
      </c>
      <c r="Y220" s="189">
        <f t="shared" si="271"/>
        <v>3</v>
      </c>
      <c r="Z220" s="189">
        <f t="shared" si="272"/>
        <v>0</v>
      </c>
      <c r="AA220" s="189">
        <f t="shared" si="273"/>
        <v>0</v>
      </c>
      <c r="AB220" s="189">
        <f t="shared" si="274"/>
        <v>0</v>
      </c>
      <c r="AC220" s="189">
        <f t="shared" si="275"/>
        <v>0</v>
      </c>
      <c r="AD220" s="189">
        <f t="shared" si="276"/>
        <v>0</v>
      </c>
      <c r="AE220" s="189">
        <f t="shared" si="277"/>
        <v>0</v>
      </c>
      <c r="AF220" s="189">
        <f t="shared" si="278"/>
        <v>0</v>
      </c>
      <c r="AG220" s="189">
        <f t="shared" si="279"/>
        <v>0</v>
      </c>
      <c r="AH220" s="189">
        <f t="shared" si="280"/>
        <v>0</v>
      </c>
      <c r="AI220" s="190">
        <f t="shared" si="281"/>
        <v>0</v>
      </c>
      <c r="AJ220" s="190">
        <f t="shared" si="282"/>
        <v>0</v>
      </c>
      <c r="AK220" s="190">
        <f t="shared" si="283"/>
        <v>0</v>
      </c>
      <c r="AL220" s="190">
        <f t="shared" si="284"/>
        <v>1</v>
      </c>
      <c r="AM220" s="233">
        <f t="shared" si="285"/>
        <v>1</v>
      </c>
      <c r="AN220" s="225" t="s">
        <v>1069</v>
      </c>
    </row>
    <row r="221" spans="1:40" ht="30" customHeight="1">
      <c r="A221" s="256"/>
      <c r="B221" s="597"/>
      <c r="C221" s="1100" t="s">
        <v>634</v>
      </c>
      <c r="D221" s="990" t="s">
        <v>532</v>
      </c>
      <c r="E221" s="310" t="s">
        <v>662</v>
      </c>
      <c r="F221" s="599" t="s">
        <v>661</v>
      </c>
      <c r="G221" s="791">
        <f t="shared" si="247"/>
        <v>21</v>
      </c>
      <c r="H221" s="525">
        <f t="shared" si="254"/>
        <v>0</v>
      </c>
      <c r="I221" s="189">
        <f t="shared" si="255"/>
        <v>0</v>
      </c>
      <c r="J221" s="189">
        <f t="shared" si="256"/>
        <v>0</v>
      </c>
      <c r="K221" s="189">
        <f t="shared" si="257"/>
        <v>0</v>
      </c>
      <c r="L221" s="189">
        <f t="shared" si="258"/>
        <v>0</v>
      </c>
      <c r="M221" s="189">
        <f t="shared" si="259"/>
        <v>0</v>
      </c>
      <c r="N221" s="189">
        <f t="shared" si="260"/>
        <v>0</v>
      </c>
      <c r="O221" s="189">
        <f t="shared" si="261"/>
        <v>0</v>
      </c>
      <c r="P221" s="189">
        <f t="shared" si="262"/>
        <v>1</v>
      </c>
      <c r="Q221" s="189">
        <f t="shared" si="263"/>
        <v>1</v>
      </c>
      <c r="R221" s="189">
        <f t="shared" si="264"/>
        <v>0</v>
      </c>
      <c r="S221" s="189">
        <f t="shared" si="265"/>
        <v>1</v>
      </c>
      <c r="T221" s="189">
        <f t="shared" si="266"/>
        <v>0</v>
      </c>
      <c r="U221" s="189">
        <f t="shared" si="267"/>
        <v>0</v>
      </c>
      <c r="V221" s="189">
        <f t="shared" si="268"/>
        <v>0</v>
      </c>
      <c r="W221" s="189">
        <f t="shared" si="269"/>
        <v>0</v>
      </c>
      <c r="X221" s="189">
        <f t="shared" si="270"/>
        <v>5</v>
      </c>
      <c r="Y221" s="189">
        <f t="shared" si="271"/>
        <v>0</v>
      </c>
      <c r="Z221" s="189">
        <f t="shared" si="272"/>
        <v>0</v>
      </c>
      <c r="AA221" s="189">
        <f t="shared" si="273"/>
        <v>0</v>
      </c>
      <c r="AB221" s="189">
        <f t="shared" si="274"/>
        <v>0</v>
      </c>
      <c r="AC221" s="189">
        <f t="shared" si="275"/>
        <v>0</v>
      </c>
      <c r="AD221" s="189">
        <f t="shared" si="276"/>
        <v>2</v>
      </c>
      <c r="AE221" s="189">
        <f t="shared" si="277"/>
        <v>2</v>
      </c>
      <c r="AF221" s="189">
        <f t="shared" si="278"/>
        <v>2</v>
      </c>
      <c r="AG221" s="189">
        <f t="shared" si="279"/>
        <v>2</v>
      </c>
      <c r="AH221" s="189">
        <f t="shared" si="280"/>
        <v>0</v>
      </c>
      <c r="AI221" s="190">
        <f t="shared" si="281"/>
        <v>0</v>
      </c>
      <c r="AJ221" s="190">
        <f t="shared" si="282"/>
        <v>2</v>
      </c>
      <c r="AK221" s="190">
        <f t="shared" si="283"/>
        <v>1</v>
      </c>
      <c r="AL221" s="190">
        <f t="shared" si="284"/>
        <v>1</v>
      </c>
      <c r="AM221" s="233">
        <f t="shared" si="285"/>
        <v>1</v>
      </c>
      <c r="AN221" s="225" t="s">
        <v>1070</v>
      </c>
    </row>
    <row r="222" spans="1:40" ht="30" customHeight="1">
      <c r="A222" s="256"/>
      <c r="B222" s="597"/>
      <c r="C222" s="1100" t="s">
        <v>635</v>
      </c>
      <c r="D222" s="990" t="s">
        <v>533</v>
      </c>
      <c r="E222" s="310" t="s">
        <v>664</v>
      </c>
      <c r="F222" s="599" t="s">
        <v>663</v>
      </c>
      <c r="G222" s="791">
        <f t="shared" si="247"/>
        <v>4</v>
      </c>
      <c r="H222" s="525">
        <f t="shared" si="254"/>
        <v>0</v>
      </c>
      <c r="I222" s="189">
        <f t="shared" si="255"/>
        <v>0</v>
      </c>
      <c r="J222" s="189">
        <f t="shared" si="256"/>
        <v>0</v>
      </c>
      <c r="K222" s="189">
        <f t="shared" si="257"/>
        <v>0</v>
      </c>
      <c r="L222" s="189">
        <f t="shared" si="258"/>
        <v>0</v>
      </c>
      <c r="M222" s="189">
        <f t="shared" si="259"/>
        <v>0</v>
      </c>
      <c r="N222" s="189">
        <f t="shared" si="260"/>
        <v>0</v>
      </c>
      <c r="O222" s="189">
        <f t="shared" si="261"/>
        <v>0</v>
      </c>
      <c r="P222" s="189">
        <f t="shared" si="262"/>
        <v>0</v>
      </c>
      <c r="Q222" s="189">
        <f t="shared" si="263"/>
        <v>1</v>
      </c>
      <c r="R222" s="189">
        <f t="shared" si="264"/>
        <v>0</v>
      </c>
      <c r="S222" s="189">
        <f t="shared" si="265"/>
        <v>0</v>
      </c>
      <c r="T222" s="189">
        <f t="shared" si="266"/>
        <v>0</v>
      </c>
      <c r="U222" s="189">
        <f t="shared" si="267"/>
        <v>0</v>
      </c>
      <c r="V222" s="189">
        <f t="shared" si="268"/>
        <v>0</v>
      </c>
      <c r="W222" s="189">
        <f t="shared" si="269"/>
        <v>0</v>
      </c>
      <c r="X222" s="189">
        <f t="shared" si="270"/>
        <v>3</v>
      </c>
      <c r="Y222" s="189">
        <f t="shared" si="271"/>
        <v>0</v>
      </c>
      <c r="Z222" s="189">
        <f t="shared" si="272"/>
        <v>0</v>
      </c>
      <c r="AA222" s="189">
        <f t="shared" si="273"/>
        <v>0</v>
      </c>
      <c r="AB222" s="189">
        <f t="shared" si="274"/>
        <v>0</v>
      </c>
      <c r="AC222" s="189">
        <f t="shared" si="275"/>
        <v>0</v>
      </c>
      <c r="AD222" s="189">
        <f t="shared" si="276"/>
        <v>0</v>
      </c>
      <c r="AE222" s="189">
        <f t="shared" si="277"/>
        <v>0</v>
      </c>
      <c r="AF222" s="189">
        <f t="shared" si="278"/>
        <v>0</v>
      </c>
      <c r="AG222" s="189">
        <f t="shared" si="279"/>
        <v>0</v>
      </c>
      <c r="AH222" s="189">
        <f t="shared" si="280"/>
        <v>0</v>
      </c>
      <c r="AI222" s="190">
        <f t="shared" si="281"/>
        <v>0</v>
      </c>
      <c r="AJ222" s="190">
        <f t="shared" si="282"/>
        <v>0</v>
      </c>
      <c r="AK222" s="190">
        <f t="shared" si="283"/>
        <v>0</v>
      </c>
      <c r="AL222" s="190">
        <f t="shared" si="284"/>
        <v>0</v>
      </c>
      <c r="AM222" s="233">
        <f t="shared" si="285"/>
        <v>0</v>
      </c>
      <c r="AN222" s="225" t="s">
        <v>1071</v>
      </c>
    </row>
    <row r="223" spans="1:40" ht="30" customHeight="1">
      <c r="A223" s="256"/>
      <c r="B223" s="597"/>
      <c r="C223" s="1100" t="s">
        <v>2792</v>
      </c>
      <c r="D223" s="990"/>
      <c r="E223" s="310" t="s">
        <v>2793</v>
      </c>
      <c r="F223" s="599"/>
      <c r="G223" s="791">
        <f t="shared" si="247"/>
        <v>2</v>
      </c>
      <c r="H223" s="525">
        <f t="shared" si="254"/>
        <v>0</v>
      </c>
      <c r="I223" s="189">
        <f t="shared" si="255"/>
        <v>0</v>
      </c>
      <c r="J223" s="189">
        <f t="shared" si="256"/>
        <v>0</v>
      </c>
      <c r="K223" s="189">
        <f t="shared" si="257"/>
        <v>0</v>
      </c>
      <c r="L223" s="189">
        <f t="shared" si="258"/>
        <v>0</v>
      </c>
      <c r="M223" s="189">
        <f t="shared" si="259"/>
        <v>0</v>
      </c>
      <c r="N223" s="189">
        <f t="shared" si="260"/>
        <v>0</v>
      </c>
      <c r="O223" s="189">
        <f t="shared" si="261"/>
        <v>0</v>
      </c>
      <c r="P223" s="189">
        <f t="shared" si="262"/>
        <v>0</v>
      </c>
      <c r="Q223" s="189">
        <f t="shared" si="263"/>
        <v>0</v>
      </c>
      <c r="R223" s="189">
        <f t="shared" si="264"/>
        <v>0</v>
      </c>
      <c r="S223" s="189">
        <f t="shared" si="265"/>
        <v>0</v>
      </c>
      <c r="T223" s="189">
        <f t="shared" si="266"/>
        <v>0</v>
      </c>
      <c r="U223" s="189">
        <f t="shared" si="267"/>
        <v>0</v>
      </c>
      <c r="V223" s="189">
        <f t="shared" si="268"/>
        <v>0</v>
      </c>
      <c r="W223" s="189">
        <f t="shared" si="269"/>
        <v>0</v>
      </c>
      <c r="X223" s="189">
        <f t="shared" si="270"/>
        <v>0</v>
      </c>
      <c r="Y223" s="189">
        <f t="shared" si="271"/>
        <v>0</v>
      </c>
      <c r="Z223" s="189">
        <f t="shared" si="272"/>
        <v>0</v>
      </c>
      <c r="AA223" s="189">
        <f t="shared" si="273"/>
        <v>0</v>
      </c>
      <c r="AB223" s="189">
        <f t="shared" si="274"/>
        <v>0</v>
      </c>
      <c r="AC223" s="189">
        <f t="shared" si="275"/>
        <v>0</v>
      </c>
      <c r="AD223" s="189">
        <f t="shared" si="276"/>
        <v>0</v>
      </c>
      <c r="AE223" s="189">
        <f t="shared" si="277"/>
        <v>0</v>
      </c>
      <c r="AF223" s="189">
        <f t="shared" si="278"/>
        <v>0</v>
      </c>
      <c r="AG223" s="189">
        <f t="shared" si="279"/>
        <v>0</v>
      </c>
      <c r="AH223" s="189">
        <f t="shared" si="280"/>
        <v>0</v>
      </c>
      <c r="AI223" s="190">
        <f t="shared" si="281"/>
        <v>0</v>
      </c>
      <c r="AJ223" s="190">
        <f t="shared" si="282"/>
        <v>0</v>
      </c>
      <c r="AK223" s="190">
        <f t="shared" si="283"/>
        <v>2</v>
      </c>
      <c r="AL223" s="190">
        <f t="shared" si="284"/>
        <v>0</v>
      </c>
      <c r="AM223" s="233">
        <f t="shared" si="285"/>
        <v>0</v>
      </c>
      <c r="AN223" s="225"/>
    </row>
    <row r="224" spans="1:40" ht="30" customHeight="1">
      <c r="A224" s="256"/>
      <c r="B224" s="597"/>
      <c r="C224" s="1100" t="s">
        <v>843</v>
      </c>
      <c r="D224" s="990" t="s">
        <v>534</v>
      </c>
      <c r="E224" s="310" t="s">
        <v>665</v>
      </c>
      <c r="F224" s="599" t="s">
        <v>638</v>
      </c>
      <c r="G224" s="791">
        <f t="shared" si="247"/>
        <v>183</v>
      </c>
      <c r="H224" s="525">
        <f t="shared" si="254"/>
        <v>0</v>
      </c>
      <c r="I224" s="189">
        <f t="shared" si="255"/>
        <v>0</v>
      </c>
      <c r="J224" s="189">
        <f t="shared" si="256"/>
        <v>0</v>
      </c>
      <c r="K224" s="189">
        <f t="shared" si="257"/>
        <v>0</v>
      </c>
      <c r="L224" s="189">
        <f t="shared" si="258"/>
        <v>0</v>
      </c>
      <c r="M224" s="189">
        <f t="shared" si="259"/>
        <v>8</v>
      </c>
      <c r="N224" s="189">
        <f t="shared" si="260"/>
        <v>13</v>
      </c>
      <c r="O224" s="189">
        <f t="shared" si="261"/>
        <v>13</v>
      </c>
      <c r="P224" s="189">
        <f t="shared" si="262"/>
        <v>24</v>
      </c>
      <c r="Q224" s="189">
        <f t="shared" si="263"/>
        <v>0</v>
      </c>
      <c r="R224" s="189">
        <f t="shared" si="264"/>
        <v>0</v>
      </c>
      <c r="S224" s="189">
        <f t="shared" si="265"/>
        <v>54</v>
      </c>
      <c r="T224" s="189">
        <f t="shared" si="266"/>
        <v>44</v>
      </c>
      <c r="U224" s="189">
        <f t="shared" si="267"/>
        <v>2</v>
      </c>
      <c r="V224" s="189">
        <f t="shared" si="268"/>
        <v>1</v>
      </c>
      <c r="W224" s="189">
        <f t="shared" si="269"/>
        <v>0</v>
      </c>
      <c r="X224" s="189">
        <f t="shared" si="270"/>
        <v>0</v>
      </c>
      <c r="Y224" s="189">
        <f t="shared" si="271"/>
        <v>1</v>
      </c>
      <c r="Z224" s="189">
        <f t="shared" si="272"/>
        <v>0</v>
      </c>
      <c r="AA224" s="189">
        <f t="shared" si="273"/>
        <v>2</v>
      </c>
      <c r="AB224" s="189">
        <f t="shared" si="274"/>
        <v>0</v>
      </c>
      <c r="AC224" s="189">
        <f t="shared" si="275"/>
        <v>0</v>
      </c>
      <c r="AD224" s="189">
        <f t="shared" si="276"/>
        <v>1</v>
      </c>
      <c r="AE224" s="189">
        <f t="shared" si="277"/>
        <v>4</v>
      </c>
      <c r="AF224" s="189">
        <f t="shared" si="278"/>
        <v>2</v>
      </c>
      <c r="AG224" s="189">
        <f t="shared" si="279"/>
        <v>1</v>
      </c>
      <c r="AH224" s="189">
        <f t="shared" si="280"/>
        <v>0</v>
      </c>
      <c r="AI224" s="190">
        <f t="shared" si="281"/>
        <v>0</v>
      </c>
      <c r="AJ224" s="190">
        <f t="shared" si="282"/>
        <v>9</v>
      </c>
      <c r="AK224" s="190">
        <f t="shared" si="283"/>
        <v>1</v>
      </c>
      <c r="AL224" s="190">
        <f t="shared" si="284"/>
        <v>1</v>
      </c>
      <c r="AM224" s="233">
        <f t="shared" si="285"/>
        <v>2</v>
      </c>
      <c r="AN224" s="225" t="s">
        <v>1072</v>
      </c>
    </row>
    <row r="225" spans="1:40" ht="30" customHeight="1">
      <c r="A225" s="256"/>
      <c r="B225" s="597"/>
      <c r="C225" s="1100" t="s">
        <v>844</v>
      </c>
      <c r="D225" s="990" t="s">
        <v>536</v>
      </c>
      <c r="E225" s="310" t="s">
        <v>666</v>
      </c>
      <c r="F225" s="599" t="s">
        <v>638</v>
      </c>
      <c r="G225" s="791">
        <f t="shared" si="247"/>
        <v>232</v>
      </c>
      <c r="H225" s="525">
        <f t="shared" si="254"/>
        <v>0</v>
      </c>
      <c r="I225" s="189">
        <f t="shared" si="255"/>
        <v>0</v>
      </c>
      <c r="J225" s="189">
        <f t="shared" si="256"/>
        <v>0</v>
      </c>
      <c r="K225" s="189">
        <f t="shared" si="257"/>
        <v>0</v>
      </c>
      <c r="L225" s="189">
        <f t="shared" si="258"/>
        <v>0</v>
      </c>
      <c r="M225" s="189">
        <f t="shared" si="259"/>
        <v>15</v>
      </c>
      <c r="N225" s="189">
        <f t="shared" si="260"/>
        <v>7</v>
      </c>
      <c r="O225" s="189">
        <f t="shared" si="261"/>
        <v>17</v>
      </c>
      <c r="P225" s="189">
        <f t="shared" si="262"/>
        <v>17</v>
      </c>
      <c r="Q225" s="189">
        <f t="shared" si="263"/>
        <v>1</v>
      </c>
      <c r="R225" s="189">
        <f t="shared" si="264"/>
        <v>0</v>
      </c>
      <c r="S225" s="189">
        <f t="shared" si="265"/>
        <v>60</v>
      </c>
      <c r="T225" s="189">
        <f t="shared" si="266"/>
        <v>45</v>
      </c>
      <c r="U225" s="189">
        <f t="shared" si="267"/>
        <v>7</v>
      </c>
      <c r="V225" s="189">
        <f t="shared" si="268"/>
        <v>1</v>
      </c>
      <c r="W225" s="189">
        <f t="shared" si="269"/>
        <v>0</v>
      </c>
      <c r="X225" s="189">
        <f t="shared" si="270"/>
        <v>0</v>
      </c>
      <c r="Y225" s="189">
        <f t="shared" si="271"/>
        <v>0</v>
      </c>
      <c r="Z225" s="189">
        <f t="shared" si="272"/>
        <v>1</v>
      </c>
      <c r="AA225" s="189">
        <f t="shared" si="273"/>
        <v>4</v>
      </c>
      <c r="AB225" s="189">
        <f t="shared" si="274"/>
        <v>0</v>
      </c>
      <c r="AC225" s="189">
        <f t="shared" si="275"/>
        <v>0</v>
      </c>
      <c r="AD225" s="189">
        <f t="shared" si="276"/>
        <v>3</v>
      </c>
      <c r="AE225" s="189">
        <f t="shared" si="277"/>
        <v>5</v>
      </c>
      <c r="AF225" s="189">
        <f t="shared" si="278"/>
        <v>2</v>
      </c>
      <c r="AG225" s="189">
        <f t="shared" si="279"/>
        <v>3</v>
      </c>
      <c r="AH225" s="189">
        <f t="shared" si="280"/>
        <v>0</v>
      </c>
      <c r="AI225" s="190">
        <f t="shared" si="281"/>
        <v>3</v>
      </c>
      <c r="AJ225" s="190">
        <f t="shared" si="282"/>
        <v>29</v>
      </c>
      <c r="AK225" s="190">
        <f t="shared" si="283"/>
        <v>8</v>
      </c>
      <c r="AL225" s="190">
        <f t="shared" si="284"/>
        <v>3</v>
      </c>
      <c r="AM225" s="233">
        <f t="shared" si="285"/>
        <v>1</v>
      </c>
      <c r="AN225" s="225" t="s">
        <v>1073</v>
      </c>
    </row>
    <row r="226" spans="1:40" ht="30" customHeight="1">
      <c r="A226" s="256"/>
      <c r="B226" s="597"/>
      <c r="C226" s="1100" t="s">
        <v>2794</v>
      </c>
      <c r="D226" s="990"/>
      <c r="E226" s="310" t="s">
        <v>2795</v>
      </c>
      <c r="F226" s="599"/>
      <c r="G226" s="791">
        <f t="shared" si="247"/>
        <v>59</v>
      </c>
      <c r="H226" s="525">
        <f t="shared" si="254"/>
        <v>0</v>
      </c>
      <c r="I226" s="189">
        <f t="shared" si="255"/>
        <v>0</v>
      </c>
      <c r="J226" s="189">
        <f t="shared" si="256"/>
        <v>0</v>
      </c>
      <c r="K226" s="189">
        <f t="shared" si="257"/>
        <v>0</v>
      </c>
      <c r="L226" s="189">
        <f t="shared" si="258"/>
        <v>0</v>
      </c>
      <c r="M226" s="189">
        <f t="shared" si="259"/>
        <v>0</v>
      </c>
      <c r="N226" s="189">
        <f t="shared" si="260"/>
        <v>0</v>
      </c>
      <c r="O226" s="189">
        <f t="shared" si="261"/>
        <v>0</v>
      </c>
      <c r="P226" s="189">
        <f t="shared" si="262"/>
        <v>0</v>
      </c>
      <c r="Q226" s="189">
        <f t="shared" si="263"/>
        <v>0</v>
      </c>
      <c r="R226" s="189">
        <f t="shared" si="264"/>
        <v>0</v>
      </c>
      <c r="S226" s="189">
        <f t="shared" si="265"/>
        <v>10</v>
      </c>
      <c r="T226" s="189">
        <f t="shared" si="266"/>
        <v>12</v>
      </c>
      <c r="U226" s="189">
        <f t="shared" si="267"/>
        <v>0</v>
      </c>
      <c r="V226" s="189">
        <f t="shared" si="268"/>
        <v>0</v>
      </c>
      <c r="W226" s="189">
        <f t="shared" si="269"/>
        <v>0</v>
      </c>
      <c r="X226" s="189">
        <f t="shared" si="270"/>
        <v>0</v>
      </c>
      <c r="Y226" s="189">
        <f t="shared" si="271"/>
        <v>0</v>
      </c>
      <c r="Z226" s="189">
        <f t="shared" si="272"/>
        <v>0</v>
      </c>
      <c r="AA226" s="189">
        <f t="shared" si="273"/>
        <v>2</v>
      </c>
      <c r="AB226" s="189">
        <f t="shared" si="274"/>
        <v>1</v>
      </c>
      <c r="AC226" s="189">
        <f t="shared" si="275"/>
        <v>0</v>
      </c>
      <c r="AD226" s="189">
        <f t="shared" si="276"/>
        <v>3</v>
      </c>
      <c r="AE226" s="189">
        <f t="shared" si="277"/>
        <v>0</v>
      </c>
      <c r="AF226" s="189">
        <f t="shared" si="278"/>
        <v>2</v>
      </c>
      <c r="AG226" s="189">
        <f t="shared" si="279"/>
        <v>2</v>
      </c>
      <c r="AH226" s="189">
        <f t="shared" si="280"/>
        <v>1</v>
      </c>
      <c r="AI226" s="190">
        <f t="shared" si="281"/>
        <v>2</v>
      </c>
      <c r="AJ226" s="190">
        <f t="shared" si="282"/>
        <v>22</v>
      </c>
      <c r="AK226" s="190">
        <f t="shared" si="283"/>
        <v>2</v>
      </c>
      <c r="AL226" s="190">
        <f t="shared" si="284"/>
        <v>0</v>
      </c>
      <c r="AM226" s="233">
        <f t="shared" si="285"/>
        <v>0</v>
      </c>
      <c r="AN226" s="1095"/>
    </row>
    <row r="227" spans="1:40" ht="30" customHeight="1">
      <c r="A227" s="256"/>
      <c r="B227" s="597"/>
      <c r="C227" s="1100" t="s">
        <v>845</v>
      </c>
      <c r="D227" s="990" t="s">
        <v>537</v>
      </c>
      <c r="E227" s="310" t="s">
        <v>667</v>
      </c>
      <c r="F227" s="599" t="s">
        <v>638</v>
      </c>
      <c r="G227" s="791">
        <f t="shared" si="247"/>
        <v>92</v>
      </c>
      <c r="H227" s="525">
        <f t="shared" si="254"/>
        <v>0</v>
      </c>
      <c r="I227" s="189">
        <f t="shared" si="255"/>
        <v>0</v>
      </c>
      <c r="J227" s="189">
        <f t="shared" si="256"/>
        <v>0</v>
      </c>
      <c r="K227" s="189">
        <f t="shared" si="257"/>
        <v>0</v>
      </c>
      <c r="L227" s="189">
        <f t="shared" si="258"/>
        <v>0</v>
      </c>
      <c r="M227" s="189">
        <f t="shared" si="259"/>
        <v>5</v>
      </c>
      <c r="N227" s="189">
        <f t="shared" si="260"/>
        <v>5</v>
      </c>
      <c r="O227" s="189">
        <f t="shared" si="261"/>
        <v>10</v>
      </c>
      <c r="P227" s="189">
        <f t="shared" si="262"/>
        <v>10</v>
      </c>
      <c r="Q227" s="189">
        <f t="shared" si="263"/>
        <v>1</v>
      </c>
      <c r="R227" s="189">
        <f t="shared" si="264"/>
        <v>0</v>
      </c>
      <c r="S227" s="189">
        <f t="shared" si="265"/>
        <v>22</v>
      </c>
      <c r="T227" s="189">
        <f t="shared" si="266"/>
        <v>18</v>
      </c>
      <c r="U227" s="189">
        <f t="shared" si="267"/>
        <v>1</v>
      </c>
      <c r="V227" s="189">
        <f t="shared" si="268"/>
        <v>0</v>
      </c>
      <c r="W227" s="189">
        <f t="shared" si="269"/>
        <v>0</v>
      </c>
      <c r="X227" s="189">
        <f t="shared" si="270"/>
        <v>0</v>
      </c>
      <c r="Y227" s="189">
        <f t="shared" si="271"/>
        <v>0</v>
      </c>
      <c r="Z227" s="189">
        <f t="shared" si="272"/>
        <v>0</v>
      </c>
      <c r="AA227" s="189">
        <f t="shared" si="273"/>
        <v>0</v>
      </c>
      <c r="AB227" s="189">
        <f t="shared" si="274"/>
        <v>0</v>
      </c>
      <c r="AC227" s="189">
        <f t="shared" si="275"/>
        <v>0</v>
      </c>
      <c r="AD227" s="189">
        <f t="shared" si="276"/>
        <v>0</v>
      </c>
      <c r="AE227" s="189">
        <f t="shared" si="277"/>
        <v>0</v>
      </c>
      <c r="AF227" s="189">
        <f t="shared" si="278"/>
        <v>0</v>
      </c>
      <c r="AG227" s="189">
        <f t="shared" si="279"/>
        <v>0</v>
      </c>
      <c r="AH227" s="189">
        <f t="shared" si="280"/>
        <v>0</v>
      </c>
      <c r="AI227" s="190">
        <f t="shared" si="281"/>
        <v>0</v>
      </c>
      <c r="AJ227" s="190">
        <f t="shared" si="282"/>
        <v>20</v>
      </c>
      <c r="AK227" s="190">
        <f t="shared" si="283"/>
        <v>0</v>
      </c>
      <c r="AL227" s="190">
        <f t="shared" si="284"/>
        <v>0</v>
      </c>
      <c r="AM227" s="233">
        <f t="shared" si="285"/>
        <v>0</v>
      </c>
      <c r="AN227" s="236" t="s">
        <v>1074</v>
      </c>
    </row>
    <row r="228" spans="1:40" ht="30" customHeight="1">
      <c r="A228" s="256"/>
      <c r="B228" s="597"/>
      <c r="C228" s="1100" t="s">
        <v>2801</v>
      </c>
      <c r="D228" s="990"/>
      <c r="E228" s="310" t="s">
        <v>2805</v>
      </c>
      <c r="F228" s="599"/>
      <c r="G228" s="791">
        <f t="shared" si="247"/>
        <v>0</v>
      </c>
      <c r="H228" s="525">
        <f t="shared" si="254"/>
        <v>0</v>
      </c>
      <c r="I228" s="189">
        <f t="shared" si="255"/>
        <v>0</v>
      </c>
      <c r="J228" s="189">
        <f t="shared" si="256"/>
        <v>0</v>
      </c>
      <c r="K228" s="189">
        <f t="shared" si="257"/>
        <v>0</v>
      </c>
      <c r="L228" s="189">
        <f t="shared" si="258"/>
        <v>0</v>
      </c>
      <c r="M228" s="189">
        <f t="shared" si="259"/>
        <v>0</v>
      </c>
      <c r="N228" s="189">
        <f t="shared" si="260"/>
        <v>0</v>
      </c>
      <c r="O228" s="189">
        <f t="shared" si="261"/>
        <v>0</v>
      </c>
      <c r="P228" s="189">
        <f t="shared" si="262"/>
        <v>0</v>
      </c>
      <c r="Q228" s="189">
        <f t="shared" si="263"/>
        <v>0</v>
      </c>
      <c r="R228" s="189">
        <f t="shared" si="264"/>
        <v>0</v>
      </c>
      <c r="S228" s="189">
        <f t="shared" si="265"/>
        <v>0</v>
      </c>
      <c r="T228" s="189">
        <f t="shared" si="266"/>
        <v>0</v>
      </c>
      <c r="U228" s="189">
        <f t="shared" si="267"/>
        <v>0</v>
      </c>
      <c r="V228" s="189">
        <f t="shared" si="268"/>
        <v>0</v>
      </c>
      <c r="W228" s="189">
        <f t="shared" si="269"/>
        <v>0</v>
      </c>
      <c r="X228" s="189">
        <f t="shared" si="270"/>
        <v>0</v>
      </c>
      <c r="Y228" s="189">
        <f t="shared" si="271"/>
        <v>0</v>
      </c>
      <c r="Z228" s="189">
        <f t="shared" si="272"/>
        <v>0</v>
      </c>
      <c r="AA228" s="189">
        <f t="shared" si="273"/>
        <v>0</v>
      </c>
      <c r="AB228" s="189">
        <f t="shared" si="274"/>
        <v>0</v>
      </c>
      <c r="AC228" s="189">
        <f t="shared" si="275"/>
        <v>0</v>
      </c>
      <c r="AD228" s="189">
        <f t="shared" si="276"/>
        <v>0</v>
      </c>
      <c r="AE228" s="189">
        <f t="shared" si="277"/>
        <v>0</v>
      </c>
      <c r="AF228" s="189">
        <f t="shared" si="278"/>
        <v>0</v>
      </c>
      <c r="AG228" s="189">
        <f t="shared" si="279"/>
        <v>0</v>
      </c>
      <c r="AH228" s="189">
        <f t="shared" si="280"/>
        <v>0</v>
      </c>
      <c r="AI228" s="190">
        <f t="shared" si="281"/>
        <v>0</v>
      </c>
      <c r="AJ228" s="190">
        <f t="shared" si="282"/>
        <v>0</v>
      </c>
      <c r="AK228" s="190">
        <f t="shared" si="283"/>
        <v>0</v>
      </c>
      <c r="AL228" s="190">
        <f t="shared" si="284"/>
        <v>0</v>
      </c>
      <c r="AM228" s="233">
        <f t="shared" si="285"/>
        <v>0</v>
      </c>
      <c r="AN228" s="1101"/>
    </row>
    <row r="229" spans="1:40" ht="30" customHeight="1">
      <c r="A229" s="256"/>
      <c r="B229" s="597"/>
      <c r="C229" s="1100" t="s">
        <v>2802</v>
      </c>
      <c r="D229" s="990"/>
      <c r="E229" s="310" t="s">
        <v>2806</v>
      </c>
      <c r="F229" s="599"/>
      <c r="G229" s="791">
        <f t="shared" si="247"/>
        <v>0</v>
      </c>
      <c r="H229" s="525">
        <f t="shared" si="254"/>
        <v>0</v>
      </c>
      <c r="I229" s="189">
        <f t="shared" si="255"/>
        <v>0</v>
      </c>
      <c r="J229" s="189">
        <f t="shared" si="256"/>
        <v>0</v>
      </c>
      <c r="K229" s="189">
        <f t="shared" si="257"/>
        <v>0</v>
      </c>
      <c r="L229" s="189">
        <f t="shared" si="258"/>
        <v>0</v>
      </c>
      <c r="M229" s="189">
        <f t="shared" si="259"/>
        <v>0</v>
      </c>
      <c r="N229" s="189">
        <f t="shared" si="260"/>
        <v>0</v>
      </c>
      <c r="O229" s="189">
        <f t="shared" si="261"/>
        <v>0</v>
      </c>
      <c r="P229" s="189">
        <f t="shared" si="262"/>
        <v>0</v>
      </c>
      <c r="Q229" s="189">
        <f t="shared" si="263"/>
        <v>0</v>
      </c>
      <c r="R229" s="189">
        <f t="shared" si="264"/>
        <v>0</v>
      </c>
      <c r="S229" s="189">
        <f t="shared" si="265"/>
        <v>0</v>
      </c>
      <c r="T229" s="189">
        <f t="shared" si="266"/>
        <v>0</v>
      </c>
      <c r="U229" s="189">
        <f t="shared" si="267"/>
        <v>0</v>
      </c>
      <c r="V229" s="189">
        <f t="shared" si="268"/>
        <v>0</v>
      </c>
      <c r="W229" s="189">
        <f t="shared" si="269"/>
        <v>0</v>
      </c>
      <c r="X229" s="189">
        <f t="shared" si="270"/>
        <v>0</v>
      </c>
      <c r="Y229" s="189">
        <f t="shared" si="271"/>
        <v>0</v>
      </c>
      <c r="Z229" s="189">
        <f t="shared" si="272"/>
        <v>0</v>
      </c>
      <c r="AA229" s="189">
        <f t="shared" si="273"/>
        <v>0</v>
      </c>
      <c r="AB229" s="189">
        <f t="shared" si="274"/>
        <v>0</v>
      </c>
      <c r="AC229" s="189">
        <f t="shared" si="275"/>
        <v>0</v>
      </c>
      <c r="AD229" s="189">
        <f t="shared" si="276"/>
        <v>0</v>
      </c>
      <c r="AE229" s="189">
        <f t="shared" si="277"/>
        <v>0</v>
      </c>
      <c r="AF229" s="189">
        <f t="shared" si="278"/>
        <v>0</v>
      </c>
      <c r="AG229" s="189">
        <f t="shared" si="279"/>
        <v>0</v>
      </c>
      <c r="AH229" s="189">
        <f t="shared" si="280"/>
        <v>0</v>
      </c>
      <c r="AI229" s="190">
        <f t="shared" si="281"/>
        <v>0</v>
      </c>
      <c r="AJ229" s="190">
        <f t="shared" si="282"/>
        <v>0</v>
      </c>
      <c r="AK229" s="190">
        <f t="shared" si="283"/>
        <v>0</v>
      </c>
      <c r="AL229" s="190">
        <f t="shared" si="284"/>
        <v>0</v>
      </c>
      <c r="AM229" s="233">
        <f t="shared" si="285"/>
        <v>0</v>
      </c>
      <c r="AN229" s="1101"/>
    </row>
    <row r="230" spans="1:40" ht="30" customHeight="1">
      <c r="A230" s="256"/>
      <c r="B230" s="597"/>
      <c r="C230" s="1100" t="s">
        <v>2803</v>
      </c>
      <c r="D230" s="990"/>
      <c r="E230" s="310" t="s">
        <v>2807</v>
      </c>
      <c r="F230" s="599"/>
      <c r="G230" s="791">
        <f t="shared" si="247"/>
        <v>0</v>
      </c>
      <c r="H230" s="525">
        <f t="shared" si="254"/>
        <v>0</v>
      </c>
      <c r="I230" s="189">
        <f t="shared" si="255"/>
        <v>0</v>
      </c>
      <c r="J230" s="189">
        <f t="shared" si="256"/>
        <v>0</v>
      </c>
      <c r="K230" s="189">
        <f t="shared" si="257"/>
        <v>0</v>
      </c>
      <c r="L230" s="189">
        <f t="shared" si="258"/>
        <v>0</v>
      </c>
      <c r="M230" s="189">
        <f t="shared" si="259"/>
        <v>0</v>
      </c>
      <c r="N230" s="189">
        <f t="shared" si="260"/>
        <v>0</v>
      </c>
      <c r="O230" s="189">
        <f t="shared" si="261"/>
        <v>0</v>
      </c>
      <c r="P230" s="189">
        <f t="shared" si="262"/>
        <v>0</v>
      </c>
      <c r="Q230" s="189">
        <f t="shared" si="263"/>
        <v>0</v>
      </c>
      <c r="R230" s="189">
        <f t="shared" si="264"/>
        <v>0</v>
      </c>
      <c r="S230" s="189">
        <f t="shared" si="265"/>
        <v>0</v>
      </c>
      <c r="T230" s="189">
        <f t="shared" si="266"/>
        <v>0</v>
      </c>
      <c r="U230" s="189">
        <f t="shared" si="267"/>
        <v>0</v>
      </c>
      <c r="V230" s="189">
        <f t="shared" si="268"/>
        <v>0</v>
      </c>
      <c r="W230" s="189">
        <f t="shared" si="269"/>
        <v>0</v>
      </c>
      <c r="X230" s="189">
        <f t="shared" si="270"/>
        <v>0</v>
      </c>
      <c r="Y230" s="189">
        <f t="shared" si="271"/>
        <v>0</v>
      </c>
      <c r="Z230" s="189">
        <f t="shared" si="272"/>
        <v>0</v>
      </c>
      <c r="AA230" s="189">
        <f t="shared" si="273"/>
        <v>0</v>
      </c>
      <c r="AB230" s="189">
        <f t="shared" si="274"/>
        <v>0</v>
      </c>
      <c r="AC230" s="189">
        <f t="shared" si="275"/>
        <v>0</v>
      </c>
      <c r="AD230" s="189">
        <f t="shared" si="276"/>
        <v>0</v>
      </c>
      <c r="AE230" s="189">
        <f t="shared" si="277"/>
        <v>0</v>
      </c>
      <c r="AF230" s="189">
        <f t="shared" si="278"/>
        <v>0</v>
      </c>
      <c r="AG230" s="189">
        <f t="shared" si="279"/>
        <v>0</v>
      </c>
      <c r="AH230" s="189">
        <f t="shared" si="280"/>
        <v>0</v>
      </c>
      <c r="AI230" s="190">
        <f t="shared" si="281"/>
        <v>0</v>
      </c>
      <c r="AJ230" s="190">
        <f t="shared" si="282"/>
        <v>0</v>
      </c>
      <c r="AK230" s="190">
        <f t="shared" si="283"/>
        <v>0</v>
      </c>
      <c r="AL230" s="190">
        <f t="shared" si="284"/>
        <v>0</v>
      </c>
      <c r="AM230" s="233">
        <f t="shared" si="285"/>
        <v>0</v>
      </c>
      <c r="AN230" s="1101"/>
    </row>
    <row r="231" spans="1:40" ht="30" customHeight="1">
      <c r="A231" s="256"/>
      <c r="B231" s="597"/>
      <c r="C231" s="1100" t="s">
        <v>2804</v>
      </c>
      <c r="D231" s="990"/>
      <c r="E231" s="310" t="s">
        <v>2808</v>
      </c>
      <c r="F231" s="599"/>
      <c r="G231" s="791">
        <f t="shared" si="247"/>
        <v>0</v>
      </c>
      <c r="H231" s="525">
        <f t="shared" si="254"/>
        <v>0</v>
      </c>
      <c r="I231" s="189">
        <f>COUNTIF(Area_v2RISHER,$C231)</f>
        <v>0</v>
      </c>
      <c r="J231" s="189">
        <f t="shared" si="256"/>
        <v>0</v>
      </c>
      <c r="K231" s="189">
        <f t="shared" si="257"/>
        <v>0</v>
      </c>
      <c r="L231" s="189">
        <f t="shared" si="258"/>
        <v>0</v>
      </c>
      <c r="M231" s="189">
        <f t="shared" si="259"/>
        <v>0</v>
      </c>
      <c r="N231" s="189">
        <f t="shared" si="260"/>
        <v>0</v>
      </c>
      <c r="O231" s="189">
        <f t="shared" si="261"/>
        <v>0</v>
      </c>
      <c r="P231" s="189">
        <f t="shared" si="262"/>
        <v>0</v>
      </c>
      <c r="Q231" s="189">
        <f t="shared" si="263"/>
        <v>0</v>
      </c>
      <c r="R231" s="189">
        <f t="shared" si="264"/>
        <v>0</v>
      </c>
      <c r="S231" s="189">
        <f t="shared" si="265"/>
        <v>0</v>
      </c>
      <c r="T231" s="189">
        <f t="shared" si="266"/>
        <v>0</v>
      </c>
      <c r="U231" s="189">
        <f t="shared" si="267"/>
        <v>0</v>
      </c>
      <c r="V231" s="189">
        <f t="shared" si="268"/>
        <v>0</v>
      </c>
      <c r="W231" s="189">
        <f t="shared" si="269"/>
        <v>0</v>
      </c>
      <c r="X231" s="189">
        <f t="shared" si="270"/>
        <v>0</v>
      </c>
      <c r="Y231" s="189">
        <f t="shared" si="271"/>
        <v>0</v>
      </c>
      <c r="Z231" s="189">
        <f t="shared" si="272"/>
        <v>0</v>
      </c>
      <c r="AA231" s="189">
        <f t="shared" si="273"/>
        <v>0</v>
      </c>
      <c r="AB231" s="189">
        <f t="shared" si="274"/>
        <v>0</v>
      </c>
      <c r="AC231" s="189">
        <f t="shared" si="275"/>
        <v>0</v>
      </c>
      <c r="AD231" s="189">
        <f t="shared" si="276"/>
        <v>0</v>
      </c>
      <c r="AE231" s="189">
        <f t="shared" si="277"/>
        <v>0</v>
      </c>
      <c r="AF231" s="189">
        <f t="shared" si="278"/>
        <v>0</v>
      </c>
      <c r="AG231" s="189">
        <f t="shared" si="279"/>
        <v>0</v>
      </c>
      <c r="AH231" s="189">
        <f t="shared" si="280"/>
        <v>0</v>
      </c>
      <c r="AI231" s="190">
        <f t="shared" si="281"/>
        <v>0</v>
      </c>
      <c r="AJ231" s="190">
        <f t="shared" si="282"/>
        <v>0</v>
      </c>
      <c r="AK231" s="190">
        <f t="shared" si="283"/>
        <v>0</v>
      </c>
      <c r="AL231" s="190">
        <f t="shared" si="284"/>
        <v>0</v>
      </c>
      <c r="AM231" s="233">
        <f t="shared" si="285"/>
        <v>0</v>
      </c>
      <c r="AN231" s="1101"/>
    </row>
    <row r="232" spans="1:40" ht="30" customHeight="1">
      <c r="A232" s="256"/>
      <c r="B232" s="597"/>
      <c r="C232" s="1100" t="s">
        <v>2796</v>
      </c>
      <c r="D232" s="990"/>
      <c r="E232" s="310" t="s">
        <v>2799</v>
      </c>
      <c r="F232" s="599"/>
      <c r="G232" s="791">
        <f t="shared" si="247"/>
        <v>26</v>
      </c>
      <c r="H232" s="525">
        <f t="shared" si="254"/>
        <v>0</v>
      </c>
      <c r="I232" s="189">
        <f>COUNTIF(Area_v2RISHER,$C232)</f>
        <v>0</v>
      </c>
      <c r="J232" s="189">
        <f t="shared" si="256"/>
        <v>0</v>
      </c>
      <c r="K232" s="189">
        <f t="shared" si="257"/>
        <v>0</v>
      </c>
      <c r="L232" s="189">
        <f t="shared" si="258"/>
        <v>0</v>
      </c>
      <c r="M232" s="189">
        <f t="shared" si="259"/>
        <v>0</v>
      </c>
      <c r="N232" s="189">
        <f t="shared" si="260"/>
        <v>0</v>
      </c>
      <c r="O232" s="189">
        <f t="shared" si="261"/>
        <v>0</v>
      </c>
      <c r="P232" s="189">
        <f t="shared" si="262"/>
        <v>0</v>
      </c>
      <c r="Q232" s="189">
        <f t="shared" si="263"/>
        <v>0</v>
      </c>
      <c r="R232" s="189">
        <f t="shared" si="264"/>
        <v>1</v>
      </c>
      <c r="S232" s="189">
        <f t="shared" si="265"/>
        <v>2</v>
      </c>
      <c r="T232" s="189">
        <f t="shared" si="266"/>
        <v>1</v>
      </c>
      <c r="U232" s="189">
        <f t="shared" si="267"/>
        <v>3</v>
      </c>
      <c r="V232" s="189">
        <f t="shared" si="268"/>
        <v>0</v>
      </c>
      <c r="W232" s="189">
        <f t="shared" si="269"/>
        <v>0</v>
      </c>
      <c r="X232" s="189">
        <f t="shared" si="270"/>
        <v>0</v>
      </c>
      <c r="Y232" s="189">
        <f t="shared" si="271"/>
        <v>0</v>
      </c>
      <c r="Z232" s="189">
        <f t="shared" si="272"/>
        <v>0</v>
      </c>
      <c r="AA232" s="189">
        <f t="shared" si="273"/>
        <v>0</v>
      </c>
      <c r="AB232" s="189">
        <f t="shared" si="274"/>
        <v>0</v>
      </c>
      <c r="AC232" s="189">
        <f t="shared" si="275"/>
        <v>1</v>
      </c>
      <c r="AD232" s="189">
        <f t="shared" si="276"/>
        <v>2</v>
      </c>
      <c r="AE232" s="189">
        <f t="shared" si="277"/>
        <v>0</v>
      </c>
      <c r="AF232" s="189">
        <f t="shared" si="278"/>
        <v>3</v>
      </c>
      <c r="AG232" s="189">
        <f t="shared" si="279"/>
        <v>0</v>
      </c>
      <c r="AH232" s="189">
        <f t="shared" si="280"/>
        <v>1</v>
      </c>
      <c r="AI232" s="190">
        <f t="shared" si="281"/>
        <v>2</v>
      </c>
      <c r="AJ232" s="190">
        <f t="shared" si="282"/>
        <v>6</v>
      </c>
      <c r="AK232" s="190">
        <f t="shared" si="283"/>
        <v>4</v>
      </c>
      <c r="AL232" s="190">
        <f t="shared" si="284"/>
        <v>0</v>
      </c>
      <c r="AM232" s="233">
        <f t="shared" si="285"/>
        <v>0</v>
      </c>
      <c r="AN232" s="1101"/>
    </row>
    <row r="233" spans="1:40" ht="30" customHeight="1">
      <c r="A233" s="410"/>
      <c r="B233" s="1045"/>
      <c r="C233" s="1048" t="s">
        <v>2797</v>
      </c>
      <c r="D233" s="1040"/>
      <c r="E233" s="1098" t="s">
        <v>2798</v>
      </c>
      <c r="F233" s="1102"/>
      <c r="G233" s="1103">
        <f t="shared" si="247"/>
        <v>30</v>
      </c>
      <c r="H233" s="1076">
        <f t="shared" si="254"/>
        <v>0</v>
      </c>
      <c r="I233" s="1072">
        <f>COUNTIF(Area_v2RISHER,$C233)</f>
        <v>0</v>
      </c>
      <c r="J233" s="1072">
        <f t="shared" si="256"/>
        <v>0</v>
      </c>
      <c r="K233" s="1072">
        <f t="shared" si="257"/>
        <v>0</v>
      </c>
      <c r="L233" s="1072">
        <f t="shared" si="258"/>
        <v>0</v>
      </c>
      <c r="M233" s="1072">
        <f t="shared" si="259"/>
        <v>0</v>
      </c>
      <c r="N233" s="1072">
        <f t="shared" si="260"/>
        <v>0</v>
      </c>
      <c r="O233" s="1072">
        <f t="shared" si="261"/>
        <v>0</v>
      </c>
      <c r="P233" s="1072">
        <f t="shared" si="262"/>
        <v>0</v>
      </c>
      <c r="Q233" s="1072">
        <f t="shared" si="263"/>
        <v>0</v>
      </c>
      <c r="R233" s="1072">
        <f t="shared" si="264"/>
        <v>2</v>
      </c>
      <c r="S233" s="1072">
        <f t="shared" si="265"/>
        <v>2</v>
      </c>
      <c r="T233" s="1072">
        <f t="shared" si="266"/>
        <v>3</v>
      </c>
      <c r="U233" s="1072">
        <f t="shared" si="267"/>
        <v>1</v>
      </c>
      <c r="V233" s="1072">
        <f t="shared" si="268"/>
        <v>0</v>
      </c>
      <c r="W233" s="1072">
        <f t="shared" si="269"/>
        <v>0</v>
      </c>
      <c r="X233" s="1072">
        <f t="shared" si="270"/>
        <v>0</v>
      </c>
      <c r="Y233" s="1072">
        <f t="shared" si="271"/>
        <v>0</v>
      </c>
      <c r="Z233" s="1072">
        <f t="shared" si="272"/>
        <v>0</v>
      </c>
      <c r="AA233" s="1072">
        <f t="shared" si="273"/>
        <v>0</v>
      </c>
      <c r="AB233" s="1072">
        <f t="shared" si="274"/>
        <v>0</v>
      </c>
      <c r="AC233" s="1072">
        <f t="shared" si="275"/>
        <v>3</v>
      </c>
      <c r="AD233" s="1072">
        <f t="shared" si="276"/>
        <v>0</v>
      </c>
      <c r="AE233" s="1072">
        <f t="shared" si="277"/>
        <v>1</v>
      </c>
      <c r="AF233" s="1072">
        <f t="shared" si="278"/>
        <v>0</v>
      </c>
      <c r="AG233" s="1072">
        <f t="shared" si="279"/>
        <v>1</v>
      </c>
      <c r="AH233" s="1072">
        <f t="shared" si="280"/>
        <v>2</v>
      </c>
      <c r="AI233" s="1073">
        <f t="shared" si="281"/>
        <v>7</v>
      </c>
      <c r="AJ233" s="1073">
        <f t="shared" si="282"/>
        <v>5</v>
      </c>
      <c r="AK233" s="1073">
        <f t="shared" si="283"/>
        <v>3</v>
      </c>
      <c r="AL233" s="1073">
        <f t="shared" si="284"/>
        <v>0</v>
      </c>
      <c r="AM233" s="1074">
        <f t="shared" si="285"/>
        <v>0</v>
      </c>
      <c r="AN233" s="1101"/>
    </row>
    <row r="234" spans="1:40" ht="30" customHeight="1">
      <c r="A234" s="596" t="s">
        <v>842</v>
      </c>
      <c r="B234" s="1046" t="s">
        <v>848</v>
      </c>
      <c r="C234" s="336"/>
      <c r="D234" s="1092" t="s">
        <v>538</v>
      </c>
      <c r="E234" s="1093" t="s">
        <v>669</v>
      </c>
      <c r="F234" s="1092" t="s">
        <v>668</v>
      </c>
      <c r="G234" s="810">
        <f t="shared" si="247"/>
        <v>336</v>
      </c>
      <c r="H234" s="525">
        <f>COUNTIF(m2_v1RISHER,$C$215)+COUNTIF(m2_v1RISHER,$C$216)+COUNTIF(m2_v1RISHER,$C$218)</f>
        <v>8</v>
      </c>
      <c r="I234" s="189">
        <f>COUNTIF(m2_v2RISHER,$C$215)+COUNTIF(m2_v2RISHER,$C$216)+COUNTIF(m2_v2RISHER,$C$218)</f>
        <v>8</v>
      </c>
      <c r="J234" s="189">
        <f>COUNTIF(m2_v1RAANHER,$C$215)+COUNTIF(m2_v1RAANHER,$C$216)+COUNTIF(m2_v1RAANHER,$C$218)</f>
        <v>6</v>
      </c>
      <c r="K234" s="189">
        <f>COUNTIF(m2_v2RAANHER,$C$215)+COUNTIF(m2_v2RAANHER,$C$216)+COUNTIF(m2_v2RAANHER,$C$218)</f>
        <v>7</v>
      </c>
      <c r="L234" s="189">
        <f>COUNTIF(m2_v1HER,$C$215)+COUNTIF(m2_v1HER,$C$216)+COUNTIF(m2_v1HER,$C$218)</f>
        <v>21</v>
      </c>
      <c r="M234" s="189">
        <f>COUNTIF(m2_v2HER,$C$215)+COUNTIF(m2_v2HER,$C$216)+COUNTIF(m2_v2HER,$C$218)</f>
        <v>13</v>
      </c>
      <c r="N234" s="189">
        <f>COUNTIF(m2_v3HER,$C$215)+COUNTIF(m2_v3HER,$C$216)+COUNTIF(m2_v3HER,$C$218)</f>
        <v>6</v>
      </c>
      <c r="O234" s="189">
        <f>COUNTIF(m2_v4HER,$C$215)+COUNTIF(m2_v4HER,$C$216)+COUNTIF(m2_v4HER,$C$218)</f>
        <v>8</v>
      </c>
      <c r="P234" s="189">
        <f>COUNTIF(m2_v5HER,$C$215)+COUNTIF(m2_v5HER,$C$216)+COUNTIF(m2_v5HER,$C$218)</f>
        <v>6</v>
      </c>
      <c r="Q234" s="189">
        <f>COUNTIF(m2_v6HER,$C$215)+COUNTIF(m2_v6HER,$C$216)+COUNTIF(m2_v6HER,$C$218)</f>
        <v>27</v>
      </c>
      <c r="R234" s="189">
        <f>COUNTIF(m2_v1HERTSA,$C$215)+COUNTIF(m2_v1HERTSA,$C$216)+COUNTIF(m2_v1HERTSA,$C$218)</f>
        <v>43</v>
      </c>
      <c r="S234" s="189">
        <f>COUNTIF(m2_v2HERTSA,$C$215)+COUNTIF(m2_v2HERTSA,$C$216)+COUNTIF(m2_v2HERTSA,$C$218)</f>
        <v>8</v>
      </c>
      <c r="T234" s="189">
        <f>COUNTIF(m2_v3HERTSA,$C$215)+COUNTIF(m2_v3HERTSA,$C$216)+COUNTIF(m2_v3HERTSA,$C$218)</f>
        <v>15</v>
      </c>
      <c r="U234" s="190">
        <f>COUNTIF(m2_v4HERTSA,$C$215)+COUNTIF(m2_v4HERTSA,$C$216)+COUNTIF(m2_v4HERTSA,$C$218)</f>
        <v>43</v>
      </c>
      <c r="V234" s="190">
        <f>COUNTIF(m2_v5HERTSA,$C$215)+COUNTIF(m2_v5HERTSA,$C$216)+COUNTIF(m2_v5HERTSA,$C$218)</f>
        <v>1</v>
      </c>
      <c r="W234" s="190">
        <f>COUNTIF(m2_v5BBRHER,$C$215)+COUNTIF(m2_v5BBRHER,$C$216)+COUNTIF(m2_v5BBRHER,$C$218)</f>
        <v>7</v>
      </c>
      <c r="X234" s="190">
        <f>COUNTIF(m2_v1BBRTUN,$C$215)+COUNTIF(m2_v1BBRTUN,$C$216)+COUNTIF(m2_v1BBRTUN,$C$218)</f>
        <v>8</v>
      </c>
      <c r="Y234" s="190">
        <f>COUNTIF(m2_v2BBRTUN,$C$215)+COUNTIF(m2_v2BBRTUN,$C$216)+COUNTIF(m2_v2BBRTUN,$C$218)</f>
        <v>12</v>
      </c>
      <c r="Z234" s="189">
        <f>COUNTIF(m2_v51HERTSA,$C$215)+COUNTIF(m2_v51HERTSA,$C$216)+COUNTIF(m2_v51HERTSA,$C$218)</f>
        <v>3</v>
      </c>
      <c r="AA234" s="189">
        <f>COUNTIF(m2_v52HERTSA,$C$215)+COUNTIF(m2_v52HERTSA,$C$216)+COUNTIF(m2_v52HERTSA,$C$218)</f>
        <v>0</v>
      </c>
      <c r="AB234" s="189">
        <f>COUNTIF(m2_v53HERTSA,$C$215)+COUNTIF(m2_v53HERTSA,$C$216)+COUNTIF(m2_v53HERTSA,$C$218)</f>
        <v>2</v>
      </c>
      <c r="AC234" s="189">
        <f>COUNTIF(m2_v1TSA,$C$215)+COUNTIF(m2_v1TSA,$C$216)+COUNTIF(m2_v1TSA,$C$218)</f>
        <v>6</v>
      </c>
      <c r="AD234" s="189">
        <f>COUNTIF(m2_v2TSA,$C$215)+COUNTIF(m2_v2TSA,$C$216)+COUNTIF(m2_v2TSA,$C$218)</f>
        <v>0</v>
      </c>
      <c r="AE234" s="189">
        <f>COUNTIF(m2_v3TSA,$C$215)+COUNTIF(m2_v3TSA,$C$216)+COUNTIF(m2_v3TSA,$C$218)</f>
        <v>0</v>
      </c>
      <c r="AF234" s="189">
        <f>COUNTIF(m2_v4TSA,$C$215)+COUNTIF(m2_v4TSA,$C$216)+COUNTIF(m2_v4TSA,$C$218)</f>
        <v>9</v>
      </c>
      <c r="AG234" s="189">
        <f>COUNTIF(m2_v5TSA,$C$215)+COUNTIF(m2_v5TSA,$C$216)+COUNTIF(m2_v5TSA,$C$218)</f>
        <v>3</v>
      </c>
      <c r="AH234" s="189">
        <f>COUNTIF(m2_v6TSA,$C$215)+COUNTIF(m2_v6TSA,$C$216)+COUNTIF(m2_v6TSA,$C$218)</f>
        <v>4</v>
      </c>
      <c r="AI234" s="190">
        <f>COUNTIF(m2_v1TSATHA,$C$215)+COUNTIF(m2_v1TSATHA,$C$216)+COUNTIF(m2_v1TSATHA,$C$218)</f>
        <v>20</v>
      </c>
      <c r="AJ234" s="190">
        <f>COUNTIF(m2_v2TSATHA,$C$215)+COUNTIF(m2_v2TSATHA,$C$216)+COUNTIF(m2_v2TSATHA,$C$218)</f>
        <v>2</v>
      </c>
      <c r="AK234" s="190">
        <f>COUNTIF(m2_v3TSATHA,$C$215)+COUNTIF(m2_v3TSATHA,$C$216)+COUNTIF(m2_v3TSATHA,$C$218)</f>
        <v>29</v>
      </c>
      <c r="AL234" s="190">
        <f>COUNTIF(m2_v4THAHOLON,$C$215)+COUNTIF(m2_v4THAHOLON,$C$216)+COUNTIF(m2_v4THAHOLON,$C$218)</f>
        <v>5</v>
      </c>
      <c r="AM234" s="233">
        <f>COUNTIF(m2_v5THAHOLON,$C$215)+COUNTIF(m2_v5THAHOLON,$C$216)+COUNTIF(m2_v5THAHOLON,$C$218)</f>
        <v>6</v>
      </c>
      <c r="AN234" s="1094" t="s">
        <v>1075</v>
      </c>
    </row>
    <row r="235" spans="1:40" ht="30" customHeight="1">
      <c r="A235" s="242"/>
      <c r="B235" s="1047"/>
      <c r="C235" s="821"/>
      <c r="D235" s="245" t="s">
        <v>539</v>
      </c>
      <c r="E235" s="305" t="s">
        <v>846</v>
      </c>
      <c r="F235" s="245" t="s">
        <v>668</v>
      </c>
      <c r="G235" s="811">
        <f t="shared" si="247"/>
        <v>0</v>
      </c>
      <c r="H235" s="528"/>
      <c r="I235" s="527"/>
      <c r="J235" s="527"/>
      <c r="K235" s="527"/>
      <c r="L235" s="527"/>
      <c r="M235" s="527"/>
      <c r="N235" s="527"/>
      <c r="O235" s="527"/>
      <c r="P235" s="527"/>
      <c r="Q235" s="527"/>
      <c r="R235" s="527"/>
      <c r="S235" s="527"/>
      <c r="T235" s="527"/>
      <c r="U235" s="246"/>
      <c r="V235" s="246"/>
      <c r="W235" s="246"/>
      <c r="X235" s="246"/>
      <c r="Y235" s="246"/>
      <c r="Z235" s="527"/>
      <c r="AA235" s="527"/>
      <c r="AB235" s="527"/>
      <c r="AC235" s="527"/>
      <c r="AD235" s="527"/>
      <c r="AE235" s="527"/>
      <c r="AF235" s="527"/>
      <c r="AG235" s="527"/>
      <c r="AH235" s="527"/>
      <c r="AI235" s="246"/>
      <c r="AJ235" s="246"/>
      <c r="AK235" s="246"/>
      <c r="AL235" s="246"/>
      <c r="AM235" s="247"/>
      <c r="AN235" s="225" t="s">
        <v>1076</v>
      </c>
    </row>
    <row r="236" spans="1:40" ht="30" customHeight="1">
      <c r="A236" s="50"/>
      <c r="B236" s="1048"/>
      <c r="C236" s="1097"/>
      <c r="D236" s="234" t="s">
        <v>539</v>
      </c>
      <c r="E236" s="302" t="s">
        <v>847</v>
      </c>
      <c r="F236" s="234" t="s">
        <v>668</v>
      </c>
      <c r="G236" s="810">
        <f t="shared" si="247"/>
        <v>104</v>
      </c>
      <c r="H236" s="1076">
        <f>COUNTIF(m2_v1RISHER,$C$224)+COUNTIF(m2_v1RISHER,$C$225)+COUNTIF(m2_v1RISHER,$C$227)</f>
        <v>0</v>
      </c>
      <c r="I236" s="1072">
        <f>COUNTIF(m2_v2RISHER,$C$224)+COUNTIF(m2_v2RISHER,$C$225)+COUNTIF(m2_v2RISHER,$C$227)</f>
        <v>0</v>
      </c>
      <c r="J236" s="1072">
        <f>COUNTIF(m2_v1RAANHER,$C$224)+COUNTIF(m2_v1RAANHER,$C$225)+COUNTIF(m2_v1RAANHER,$C$227)</f>
        <v>0</v>
      </c>
      <c r="K236" s="1072">
        <f>COUNTIF(m2_v2RAANHER,$C$224)+COUNTIF(m2_v2RAANHER,$C$225)+COUNTIF(m2_v2RAANHER,$C$227)</f>
        <v>0</v>
      </c>
      <c r="L236" s="1072">
        <f>COUNTIF(m2_v1HER,$C$224)+COUNTIF(m2_v1HER,$C$225)+COUNTIF(m2_v1HER,$C$227)</f>
        <v>0</v>
      </c>
      <c r="M236" s="1072">
        <f>COUNTIF(m2_v2HER,$C$224)+COUNTIF(m2_v2HER,$C$225)+COUNTIF(m2_v2HER,$C$227)</f>
        <v>6</v>
      </c>
      <c r="N236" s="1072">
        <f>COUNTIF(m2_v3HER,$C$224)+COUNTIF(m2_v3HER,$C$225)+COUNTIF(m2_v3HER,$C$227)</f>
        <v>5</v>
      </c>
      <c r="O236" s="1072">
        <f>COUNTIF(m2_v4HER,$C$224)+COUNTIF(m2_v4HER,$C$225)+COUNTIF(m2_v4HER,$C$227)</f>
        <v>9</v>
      </c>
      <c r="P236" s="1072">
        <f>COUNTIF(m2_v5HER,$C$224)+COUNTIF(m2_v5HER,$C$225)+COUNTIF(m2_v5HER,$C$227)</f>
        <v>10</v>
      </c>
      <c r="Q236" s="1072">
        <f>COUNTIF(m2_v6HER,$C$224)+COUNTIF(m2_v6HER,$C$225)+COUNTIF(m2_v6HER,$C$227)</f>
        <v>1</v>
      </c>
      <c r="R236" s="1072">
        <f>COUNTIF(m2_v1HERTSA,$C$224)+COUNTIF(m2_v1HERTSA,$C$225)+COUNTIF(m2_v1HERTSA,$C$227)</f>
        <v>0</v>
      </c>
      <c r="S236" s="1072">
        <f>COUNTIF(m2_v2HERTSA,$C$224)+COUNTIF(m2_v2HERTSA,$C$225)+COUNTIF(m2_v2HERTSA,$C$227)</f>
        <v>25</v>
      </c>
      <c r="T236" s="1072">
        <f>COUNTIF(m2_v3HERTSA,$C$224)+COUNTIF(m2_v3HERTSA,$C$225)+COUNTIF(m2_v3HERTSA,$C$227)</f>
        <v>20</v>
      </c>
      <c r="U236" s="1073">
        <f>COUNTIF(m2_v4HERTSA,$C$224)+COUNTIF(m2_v4HERTSA,$C$225)+COUNTIF(m2_v4HERTSA,$C$227)</f>
        <v>4</v>
      </c>
      <c r="V236" s="1073">
        <f>COUNTIF(m2_v5HERTSA,$C$224)+COUNTIF(m2_v5HERTSA,$C$225)+COUNTIF(m2_v5HERTSA,$C$227)</f>
        <v>1</v>
      </c>
      <c r="W236" s="1073">
        <f>COUNTIF(m2_v5BBRHER,$C$224)+COUNTIF(m2_v5BBRHER,$C$225)+COUNTIF(m2_v5BBRHER,$C$227)</f>
        <v>0</v>
      </c>
      <c r="X236" s="1073">
        <f>COUNTIF(m2_v1BBRTUN,$C$224)+COUNTIF(m2_v1BBRTUN,$C$225)+COUNTIF(m2_v1BBRTUN,$C$227)</f>
        <v>0</v>
      </c>
      <c r="Y236" s="1073">
        <f>COUNTIF(m2_v2BBRTUN,$C$224)+COUNTIF(m2_v2BBRTUN,$C$225)+COUNTIF(m2_v2BBRTUN,$C$227)</f>
        <v>0</v>
      </c>
      <c r="Z236" s="1072">
        <f>COUNTIF(m2_v51HERTSA,$C$224)+COUNTIF(m2_v51HERTSA,$C$225)+COUNTIF(m2_v51HERTSA,$C$227)</f>
        <v>0</v>
      </c>
      <c r="AA236" s="1072">
        <f>COUNTIF(m2_v52HERTSA,$C$224)+COUNTIF(m2_v52HERTSA,$C$225)+COUNTIF(m2_v52HERTSA,$C$227)</f>
        <v>0</v>
      </c>
      <c r="AB236" s="1072">
        <f>COUNTIF(m2_v53HERTSA,$C$224)+COUNTIF(m2_v53HERTSA,$C$225)+COUNTIF(m2_v53HERTSA,$C$227)</f>
        <v>0</v>
      </c>
      <c r="AC236" s="1072">
        <f>COUNTIF(m2_v1TSA,$C$224)+COUNTIF(m2_v1TSA,$C$225)+COUNTIF(m2_v1TSA,$C$227)</f>
        <v>0</v>
      </c>
      <c r="AD236" s="1072">
        <f>COUNTIF(m2_v2TSA,$C$224)+COUNTIF(m2_v2TSA,$C$225)+COUNTIF(m2_v2TSA,$C$227)</f>
        <v>0</v>
      </c>
      <c r="AE236" s="1072">
        <f>COUNTIF(m2_v3TSA,$C$224)+COUNTIF(m2_v3TSA,$C$225)+COUNTIF(m2_v3TSA,$C$227)</f>
        <v>0</v>
      </c>
      <c r="AF236" s="1072">
        <f>COUNTIF(m2_v4TSA,$C$224)+COUNTIF(m2_v4TSA,$C$225)+COUNTIF(m2_v4TSA,$C$227)</f>
        <v>1</v>
      </c>
      <c r="AG236" s="1072">
        <f>COUNTIF(m2_v5TSA,$C$224)+COUNTIF(m2_v5TSA,$C$225)+COUNTIF(m2_v5TSA,$C$227)</f>
        <v>0</v>
      </c>
      <c r="AH236" s="1072">
        <f>COUNTIF(m2_v6TSA,$C$224)+COUNTIF(m2_v6TSA,$C$225)+COUNTIF(m2_v6TSA,$C$227)</f>
        <v>0</v>
      </c>
      <c r="AI236" s="1073">
        <f>COUNTIF(m2_v1TSATHA,$C$224)+COUNTIF(m2_v1TSATHA,$C$225)+COUNTIF(m2_v1TSATHA,$C$227)</f>
        <v>0</v>
      </c>
      <c r="AJ236" s="1073">
        <f>COUNTIF(m2_v2TSATHA,$C$224)+COUNTIF(m2_v2TSATHA,$C$225)+COUNTIF(m2_v2TSATHA,$C$227)</f>
        <v>21</v>
      </c>
      <c r="AK236" s="190">
        <f>COUNTIF(m2_v3TSATHA,$C$224)+COUNTIF(m2_v3TSATHA,$C$225)+COUNTIF(m2_v3TSATHA,$C$227)</f>
        <v>1</v>
      </c>
      <c r="AL236" s="190">
        <f>COUNTIF(m2_v4THAHOLON,$C$224)+COUNTIF(m2_v4THAHOLON,$C$225)+COUNTIF(m2_v4THAHOLON,$C$227)</f>
        <v>0</v>
      </c>
      <c r="AM236" s="233">
        <f>COUNTIF(m2_v5THAHOLON,$C$224)+COUNTIF(m2_v5THAHOLON,$C$225)+COUNTIF(m2_v5THAHOLON,$C$227)</f>
        <v>0</v>
      </c>
      <c r="AN236" s="1095" t="s">
        <v>1077</v>
      </c>
    </row>
    <row r="237" spans="1:40" ht="30" customHeight="1">
      <c r="A237" s="258" t="s">
        <v>1411</v>
      </c>
      <c r="B237" s="1049"/>
      <c r="C237" s="326" t="s">
        <v>1383</v>
      </c>
      <c r="D237" s="1069" t="s">
        <v>670</v>
      </c>
      <c r="E237" s="1070" t="s">
        <v>671</v>
      </c>
      <c r="F237" s="1069" t="s">
        <v>638</v>
      </c>
      <c r="G237" s="812">
        <f t="shared" si="247"/>
        <v>209</v>
      </c>
      <c r="H237" s="525">
        <f>COUNTIF(Area_v1RISHER,$C237)</f>
        <v>24</v>
      </c>
      <c r="I237" s="189">
        <f>COUNTIF(Area_v2RISHER,$C237)</f>
        <v>25</v>
      </c>
      <c r="J237" s="189">
        <f>COUNTIF(Area_v1RAANHER,$C237)</f>
        <v>13</v>
      </c>
      <c r="K237" s="189">
        <f>COUNTIF(Area_v2RAANHER,$C237)</f>
        <v>11</v>
      </c>
      <c r="L237" s="189">
        <f>COUNTIF(Area_v1HER,$C237)</f>
        <v>4</v>
      </c>
      <c r="M237" s="189">
        <f>COUNTIF(Area_v2HER,$C237)</f>
        <v>5</v>
      </c>
      <c r="N237" s="189">
        <f>COUNTIF(Area_v3HER,$C237)</f>
        <v>4</v>
      </c>
      <c r="O237" s="189">
        <f>COUNTIF(Area_v4HER,$C237)</f>
        <v>17</v>
      </c>
      <c r="P237" s="189">
        <f>COUNTIF(Area_v5HER,$C237)</f>
        <v>12</v>
      </c>
      <c r="Q237" s="189">
        <f>COUNTIF(Area_v6HER,$C237)</f>
        <v>12</v>
      </c>
      <c r="R237" s="189">
        <f>COUNTIF(Area_v1HERTSA,$C237)</f>
        <v>3</v>
      </c>
      <c r="S237" s="189">
        <f>COUNTIF(Area_v2HERTSA,$C237)</f>
        <v>28</v>
      </c>
      <c r="T237" s="189">
        <f>COUNTIF(Area_v3HERTSA,$C237)</f>
        <v>18</v>
      </c>
      <c r="U237" s="190">
        <f>COUNTIF(Area_v4HERTSA,$C237)</f>
        <v>3</v>
      </c>
      <c r="V237" s="190">
        <f>COUNTIF(Area_v5HERTSA,$C237)</f>
        <v>0</v>
      </c>
      <c r="W237" s="190">
        <f>COUNTIF(Area_v5BBRHER,$C237)</f>
        <v>8</v>
      </c>
      <c r="X237" s="190">
        <f>COUNTIF(Area_v1BBRTUN,$C237)</f>
        <v>8</v>
      </c>
      <c r="Y237" s="190">
        <f>COUNTIF(Area_v2BBRTUN,$C237)</f>
        <v>5</v>
      </c>
      <c r="Z237" s="189">
        <f>COUNTIF(Area_v51HERTSA,$C237)</f>
        <v>0</v>
      </c>
      <c r="AA237" s="189">
        <f>COUNTIF(Area_v52HERTSA,$C237)</f>
        <v>0</v>
      </c>
      <c r="AB237" s="189">
        <f>COUNTIF(Area_v53HERTSA,$C237)</f>
        <v>0</v>
      </c>
      <c r="AC237" s="189">
        <f>COUNTIF(Area_v1TSA,$C237)</f>
        <v>0</v>
      </c>
      <c r="AD237" s="189">
        <f>COUNTIF(Area_v2TSA,$C237)</f>
        <v>0</v>
      </c>
      <c r="AE237" s="189">
        <f>COUNTIF(Area_v3TSA,$C237)</f>
        <v>0</v>
      </c>
      <c r="AF237" s="189">
        <f>COUNTIF(Area_v4TSA,$C237)</f>
        <v>0</v>
      </c>
      <c r="AG237" s="189">
        <f>COUNTIF(Area_v5TSA,$C237)</f>
        <v>1</v>
      </c>
      <c r="AH237" s="189">
        <f>COUNTIF(Area_v6TSA,$C237)</f>
        <v>0</v>
      </c>
      <c r="AI237" s="190">
        <f>COUNTIF(Area_v1TSATHA,$C237)</f>
        <v>0</v>
      </c>
      <c r="AJ237" s="190">
        <f>COUNTIF(Area_v2TSATHA,$C237)</f>
        <v>0</v>
      </c>
      <c r="AK237" s="226">
        <f>COUNTIF(Area_v3TSATHA,$C237)</f>
        <v>0</v>
      </c>
      <c r="AL237" s="226">
        <f>COUNTIF(Area_v4THAHOLON,$C237)</f>
        <v>2</v>
      </c>
      <c r="AM237" s="227">
        <f>COUNTIF(Area_v5THAHOLON,$C237)</f>
        <v>6</v>
      </c>
      <c r="AN237" s="1080" t="s">
        <v>1078</v>
      </c>
    </row>
    <row r="238" spans="1:40" ht="30" customHeight="1">
      <c r="A238" s="50"/>
      <c r="B238" s="1050"/>
      <c r="C238" s="326" t="s">
        <v>1384</v>
      </c>
      <c r="D238" s="228" t="s">
        <v>672</v>
      </c>
      <c r="E238" s="301" t="s">
        <v>673</v>
      </c>
      <c r="F238" s="228" t="s">
        <v>638</v>
      </c>
      <c r="G238" s="810">
        <f t="shared" si="247"/>
        <v>115</v>
      </c>
      <c r="H238" s="525">
        <f>COUNTIF(Area_v1RISHER,$C238)</f>
        <v>0</v>
      </c>
      <c r="I238" s="189">
        <f>COUNTIF(Area_v2RISHER,$C238)</f>
        <v>0</v>
      </c>
      <c r="J238" s="189">
        <f>COUNTIF(Area_v1RAANHER,$C238)</f>
        <v>0</v>
      </c>
      <c r="K238" s="189">
        <f>COUNTIF(Area_v2RAANHER,$C238)</f>
        <v>0</v>
      </c>
      <c r="L238" s="189">
        <f>COUNTIF(Area_v1HER,$C238)</f>
        <v>2</v>
      </c>
      <c r="M238" s="189">
        <f>COUNTIF(Area_v2HER,$C238)</f>
        <v>0</v>
      </c>
      <c r="N238" s="189">
        <f>COUNTIF(Area_v3HER,$C238)</f>
        <v>0</v>
      </c>
      <c r="O238" s="189">
        <f>COUNTIF(Area_v4HER,$C238)</f>
        <v>0</v>
      </c>
      <c r="P238" s="189">
        <f>COUNTIF(Area_v5HER,$C238)</f>
        <v>0</v>
      </c>
      <c r="Q238" s="189">
        <f>COUNTIF(Area_v6HER,$C238)</f>
        <v>0</v>
      </c>
      <c r="R238" s="189">
        <f>COUNTIF(Area_v1HERTSA,$C238)</f>
        <v>1</v>
      </c>
      <c r="S238" s="189">
        <f>COUNTIF(Area_v2HERTSA,$C238)</f>
        <v>14</v>
      </c>
      <c r="T238" s="189">
        <f>COUNTIF(Area_v3HERTSA,$C238)</f>
        <v>16</v>
      </c>
      <c r="U238" s="190">
        <f>COUNTIF(Area_v4HERTSA,$C238)</f>
        <v>2</v>
      </c>
      <c r="V238" s="190">
        <f>COUNTIF(Area_v5HERTSA,$C238)</f>
        <v>1</v>
      </c>
      <c r="W238" s="190">
        <f>COUNTIF(Area_v5BBRHER,$C238)</f>
        <v>14</v>
      </c>
      <c r="X238" s="190">
        <f>COUNTIF(Area_v1BBRTUN,$C238)</f>
        <v>28</v>
      </c>
      <c r="Y238" s="190">
        <f>COUNTIF(Area_v2BBRTUN,$C238)</f>
        <v>28</v>
      </c>
      <c r="Z238" s="189">
        <f>COUNTIF(Area_v51HERTSA,$C238)</f>
        <v>0</v>
      </c>
      <c r="AA238" s="189">
        <f>COUNTIF(Area_v52HERTSA,$C238)</f>
        <v>0</v>
      </c>
      <c r="AB238" s="189">
        <f>COUNTIF(Area_v53HERTSA,$C238)</f>
        <v>0</v>
      </c>
      <c r="AC238" s="189">
        <f>COUNTIF(Area_v1TSA,$C238)</f>
        <v>0</v>
      </c>
      <c r="AD238" s="189">
        <f>COUNTIF(Area_v2TSA,$C238)</f>
        <v>0</v>
      </c>
      <c r="AE238" s="189">
        <f>COUNTIF(Area_v3TSA,$C238)</f>
        <v>0</v>
      </c>
      <c r="AF238" s="189">
        <f>COUNTIF(Area_v4TSA,$C238)</f>
        <v>0</v>
      </c>
      <c r="AG238" s="189">
        <f>COUNTIF(Area_v5TSA,$C238)</f>
        <v>0</v>
      </c>
      <c r="AH238" s="189">
        <f>COUNTIF(Area_v6TSA,$C238)</f>
        <v>0</v>
      </c>
      <c r="AI238" s="190">
        <f>COUNTIF(Area_v1TSATHA,$C238)</f>
        <v>0</v>
      </c>
      <c r="AJ238" s="190">
        <f>COUNTIF(Area_v2TSATHA,$C238)</f>
        <v>0</v>
      </c>
      <c r="AK238" s="190">
        <f>COUNTIF(Area_v3TSATHA,$C238)</f>
        <v>0</v>
      </c>
      <c r="AL238" s="190">
        <f>COUNTIF(Area_v4THAHOLON,$C238)</f>
        <v>5</v>
      </c>
      <c r="AM238" s="233">
        <f>COUNTIF(Area_v5THAHOLON,$C238)</f>
        <v>4</v>
      </c>
      <c r="AN238" s="1085" t="s">
        <v>1079</v>
      </c>
    </row>
    <row r="239" spans="1:40" ht="30" customHeight="1">
      <c r="A239" s="242"/>
      <c r="B239" s="1032" t="s">
        <v>817</v>
      </c>
      <c r="C239" s="333" t="s">
        <v>1406</v>
      </c>
      <c r="D239" s="245" t="s">
        <v>674</v>
      </c>
      <c r="E239" s="305" t="s">
        <v>675</v>
      </c>
      <c r="F239" s="245" t="s">
        <v>638</v>
      </c>
      <c r="G239" s="811">
        <f t="shared" si="247"/>
        <v>0</v>
      </c>
      <c r="H239" s="528"/>
      <c r="I239" s="527"/>
      <c r="J239" s="527"/>
      <c r="K239" s="527"/>
      <c r="L239" s="527"/>
      <c r="M239" s="527"/>
      <c r="N239" s="527"/>
      <c r="O239" s="527"/>
      <c r="P239" s="527"/>
      <c r="Q239" s="527"/>
      <c r="R239" s="527"/>
      <c r="S239" s="527"/>
      <c r="T239" s="527"/>
      <c r="U239" s="246"/>
      <c r="V239" s="246"/>
      <c r="W239" s="246"/>
      <c r="X239" s="246"/>
      <c r="Y239" s="246"/>
      <c r="Z239" s="527"/>
      <c r="AA239" s="527"/>
      <c r="AB239" s="527"/>
      <c r="AC239" s="527"/>
      <c r="AD239" s="527"/>
      <c r="AE239" s="527"/>
      <c r="AF239" s="527"/>
      <c r="AG239" s="527"/>
      <c r="AH239" s="527"/>
      <c r="AI239" s="246"/>
      <c r="AJ239" s="246"/>
      <c r="AK239" s="246"/>
      <c r="AL239" s="246"/>
      <c r="AM239" s="247"/>
      <c r="AN239" s="1085" t="s">
        <v>1080</v>
      </c>
    </row>
    <row r="240" spans="1:40" ht="30" customHeight="1">
      <c r="A240" s="282"/>
      <c r="B240" s="1035"/>
      <c r="C240" s="329" t="s">
        <v>1406</v>
      </c>
      <c r="D240" s="248" t="s">
        <v>676</v>
      </c>
      <c r="E240" s="304" t="s">
        <v>677</v>
      </c>
      <c r="F240" s="248" t="s">
        <v>638</v>
      </c>
      <c r="G240" s="1104">
        <f t="shared" si="247"/>
        <v>59</v>
      </c>
      <c r="H240" s="1105">
        <f>COUNTIF(Area_v1RISHER,"*P50*")+COUNTIF(Area_v1RISHER,"*P90*")</f>
        <v>0</v>
      </c>
      <c r="I240" s="1082">
        <f>COUNTIF(Area_v2RISHER,"*P50*")+COUNTIF(Area_v2RISHER,"*P90*")</f>
        <v>0</v>
      </c>
      <c r="J240" s="1082">
        <f>COUNTIF(Area_v1RAANHER,"*P50*")+COUNTIF(Area_v1RAANHER,"*P90*")</f>
        <v>0</v>
      </c>
      <c r="K240" s="1082">
        <f>COUNTIF(Area_v2RAANHER,"*P50*")+COUNTIF(Area_v2RAANHER,"*P90*")</f>
        <v>0</v>
      </c>
      <c r="L240" s="1082">
        <f>COUNTIF(Area_v1HER,"*P50*")+COUNTIF(Area_v1HER,"*P90*")</f>
        <v>0</v>
      </c>
      <c r="M240" s="1082">
        <f>COUNTIF(Area_v2HER,"*P50*")+COUNTIF(Area_v2HER,"*P90*")</f>
        <v>8</v>
      </c>
      <c r="N240" s="1082">
        <f>COUNTIF(Area_v3HER,"*P50*")+COUNTIF(Area_v3HER,"*P90*")</f>
        <v>4</v>
      </c>
      <c r="O240" s="1082">
        <f>COUNTIF(Area_v4HER,"*P50*")+COUNTIF(Area_v4HER,"*P90*")</f>
        <v>7</v>
      </c>
      <c r="P240" s="1082">
        <f>COUNTIF(Area_v5HER,"*P50*")+COUNTIF(Area_v5HER,"*P90*")</f>
        <v>8</v>
      </c>
      <c r="Q240" s="1082">
        <f>COUNTIF(Area_v6HER,"*P50*")+COUNTIF(Area_v6HER,"*P90*")</f>
        <v>4</v>
      </c>
      <c r="R240" s="1082">
        <f>COUNTIF(Area_v1HERTSA,"*P50*")+COUNTIF(Area_v1HERTSA,"*P90*")</f>
        <v>2</v>
      </c>
      <c r="S240" s="1082">
        <f>COUNTIF(Area_v2HERTSA,"*P50*")+COUNTIF(Area_v2HERTSA,"*P90*")</f>
        <v>6</v>
      </c>
      <c r="T240" s="1082">
        <f>COUNTIF(Area_v3HERTSA,"*P50*")+COUNTIF(Area_v3HERTSA,"*P90*")</f>
        <v>4</v>
      </c>
      <c r="U240" s="1083">
        <f>COUNTIF(Area_v4HERTSA,"*P50*")+COUNTIF(Area_v4HERTSA,"*P90*")</f>
        <v>4</v>
      </c>
      <c r="V240" s="1083">
        <f>COUNTIF(Area_v5HERTSA,"*P50*")+COUNTIF(Area_v5HERTSA,"*P90*")</f>
        <v>0</v>
      </c>
      <c r="W240" s="1083">
        <f>COUNTIF(Area_v5BBRHER,"*P50*")+COUNTIF(Area_v5BBRHER,"*P90*")</f>
        <v>1</v>
      </c>
      <c r="X240" s="1083">
        <f>COUNTIF(Area_v1BBRTUN,"*P50*")+COUNTIF(Area_v1BBRTUN,"*P90*")</f>
        <v>0</v>
      </c>
      <c r="Y240" s="1083">
        <f>COUNTIF(Area_v2BBRTUN,"*P50*")+COUNTIF(Area_v2BBRTUN,"*P90*")</f>
        <v>1</v>
      </c>
      <c r="Z240" s="1082">
        <f>COUNTIF(Area_v51HERTSA,"*P50*")+COUNTIF(Area_v51HERTSA,"*P90*")</f>
        <v>1</v>
      </c>
      <c r="AA240" s="1082">
        <f>COUNTIF(Area_v52HERTSA,"*P50*")+COUNTIF(Area_v52HERTSA,"*P90*")</f>
        <v>0</v>
      </c>
      <c r="AB240" s="1082">
        <f>COUNTIF(Area_v53HERTSA,"*P50*")+COUNTIF(Area_v53HERTSA,"*P90*")</f>
        <v>1</v>
      </c>
      <c r="AC240" s="1082">
        <f>COUNTIF(Area_v1TSA,"*P50*")+COUNTIF(Area_v1TSA,"*P90*")</f>
        <v>2</v>
      </c>
      <c r="AD240" s="1082">
        <f>COUNTIF(Area_v2TSA,"*P50*")+COUNTIF(Area_v2TSA,"*P90*")</f>
        <v>0</v>
      </c>
      <c r="AE240" s="1082">
        <f>COUNTIF(Area_v3TSA,"*P50*")+COUNTIF(Area_v3TSA,"*P90*")</f>
        <v>0</v>
      </c>
      <c r="AF240" s="1082">
        <f>COUNTIF(Area_v4TSA,"*P50*")+COUNTIF(Area_v4TSA,"*P90*")</f>
        <v>2</v>
      </c>
      <c r="AG240" s="1082">
        <f>COUNTIF(Area_v5TSA,"*P50*")+COUNTIF(Area_v5TSA,"*P90*")</f>
        <v>1</v>
      </c>
      <c r="AH240" s="1082">
        <f>COUNTIF(Area_v6TSA,"*P50*")+COUNTIF(Area_v6TSA,"*P90*")</f>
        <v>1</v>
      </c>
      <c r="AI240" s="1083">
        <f>COUNTIF(Area_v1TSATHA,"*P50*")+COUNTIF(Area_v1TSATHA,"*P90*")</f>
        <v>1</v>
      </c>
      <c r="AJ240" s="1083">
        <f>COUNTIF(Area_v2TSATHA,"*P50*")+COUNTIF(Area_v2TSATHA,"*P90*")</f>
        <v>1</v>
      </c>
      <c r="AK240" s="1083">
        <f>COUNTIF(Area_v3TSATHA,"*P50*")+COUNTIF(Area_v3TSATHA,"*P90*")</f>
        <v>0</v>
      </c>
      <c r="AL240" s="1083">
        <f>COUNTIF(Area_v4THAHOLON,"*P50*")+COUNTIF(Area_v4THAHOLON,"*P90*")</f>
        <v>0</v>
      </c>
      <c r="AM240" s="1084">
        <f>COUNTIF(Area_v5THAHOLON,"*P50*")+COUNTIF(Area_v5THAHOLON,"*P90*")</f>
        <v>0</v>
      </c>
      <c r="AN240" s="1090" t="s">
        <v>1081</v>
      </c>
    </row>
    <row r="241" spans="1:40" ht="30" customHeight="1">
      <c r="A241" s="258" t="s">
        <v>811</v>
      </c>
      <c r="B241" s="1050"/>
      <c r="C241" s="1068"/>
      <c r="D241" s="1069" t="s">
        <v>540</v>
      </c>
      <c r="E241" s="1070" t="s">
        <v>678</v>
      </c>
      <c r="F241" s="1069" t="s">
        <v>638</v>
      </c>
      <c r="G241" s="813">
        <f t="shared" si="247"/>
        <v>105.98437999999989</v>
      </c>
      <c r="H241" s="788">
        <f>+SUM(cantones_v1RISHER)/1000</f>
        <v>3.7311999999999972</v>
      </c>
      <c r="I241" s="530">
        <f>+SUM(cantones_v2RISHER)/1000</f>
        <v>3.676199999999997</v>
      </c>
      <c r="J241" s="530">
        <f>+SUM(cantones_v1RAANHER)/1000</f>
        <v>2.3388899999999992</v>
      </c>
      <c r="K241" s="530">
        <f>+SUM(cantones_v2RAANHER)/1000</f>
        <v>2.3388899999999992</v>
      </c>
      <c r="L241" s="530">
        <f>+SUM(cantones_v1HER)/1000</f>
        <v>4.1100999999999912</v>
      </c>
      <c r="M241" s="530">
        <f>+SUM(cantones_v2HER)/1000</f>
        <v>3.1220599999999976</v>
      </c>
      <c r="N241" s="530">
        <f>+SUM(cantones_v3HER)/1000</f>
        <v>2.3877999999999737</v>
      </c>
      <c r="O241" s="530">
        <f>+SUM(cantones_v4HER)/1000</f>
        <v>3.7106400000000139</v>
      </c>
      <c r="P241" s="530">
        <f>+SUM(cantones_v5HER)/1000</f>
        <v>3.3919799999999816</v>
      </c>
      <c r="Q241" s="530">
        <f>+SUM(cantones_v6HER)/1000</f>
        <v>6.0570599999999688</v>
      </c>
      <c r="R241" s="530">
        <f>+SUM(cantones_v1HERTSA)/1000</f>
        <v>10.584479999999999</v>
      </c>
      <c r="S241" s="530">
        <f>+SUM(cantones_v2HERTSA)/1000</f>
        <v>8.7803799999999956</v>
      </c>
      <c r="T241" s="530">
        <f>+SUM(cantones_v3HERTSA)/1000</f>
        <v>9.1424800000000008</v>
      </c>
      <c r="U241" s="250">
        <f>+SUM(cantones_v4HERTSA)/1000</f>
        <v>9.8910699999999938</v>
      </c>
      <c r="V241" s="250">
        <f>+SUM(cantones_v5HERTSA)/1000</f>
        <v>0</v>
      </c>
      <c r="W241" s="250">
        <f>+SUM(cantones_v5BBRHER)/1000</f>
        <v>1.7669999999999999</v>
      </c>
      <c r="X241" s="250">
        <f>+SUM(cantones_v1BBRTUN)/1000</f>
        <v>1.6775700000000002</v>
      </c>
      <c r="Y241" s="250">
        <f>+SUM(cantones_v2BBRTUN)/1000</f>
        <v>1.9639000000000002</v>
      </c>
      <c r="Z241" s="530">
        <f>+SUM(cantones_v51HERTSA)/1000</f>
        <v>2.2022999999999997</v>
      </c>
      <c r="AA241" s="530">
        <f>+SUM(cantones_v52HERTSA)/1000</f>
        <v>0</v>
      </c>
      <c r="AB241" s="530">
        <f>+SUM(cantones_v53HERTSA)/1000</f>
        <v>0</v>
      </c>
      <c r="AC241" s="530">
        <f>+SUM(cantones_v1TSA)/1000</f>
        <v>1.0757699999999999</v>
      </c>
      <c r="AD241" s="530">
        <f>+SUM(cantones_v2TSA)/1000</f>
        <v>0.69899999999999995</v>
      </c>
      <c r="AE241" s="530">
        <f>+SUM(cantones_v3TSA)/1000</f>
        <v>0.67700000000000005</v>
      </c>
      <c r="AF241" s="530">
        <f>+SUM(cantones_v4TSA)/1000</f>
        <v>0.97620000000000007</v>
      </c>
      <c r="AG241" s="530">
        <f>+SUM(cantones_v5TSA)/1000</f>
        <v>0.7409</v>
      </c>
      <c r="AH241" s="530">
        <f>+SUM(cantones_v6TSA)/1000</f>
        <v>1.43181</v>
      </c>
      <c r="AI241" s="252">
        <f>+SUM(cantones_v1TSATHA)/1000</f>
        <v>6.0960999999999999</v>
      </c>
      <c r="AJ241" s="250">
        <f>+SUM(cantones_v2TSATHA)/1000</f>
        <v>4.8653999999999993</v>
      </c>
      <c r="AK241" s="250">
        <f>+SUM(cantones_v3TSATHA)/1000</f>
        <v>6.4981999999999998</v>
      </c>
      <c r="AL241" s="250">
        <f>+SUM(cantones_v4THAHOLON)/1000</f>
        <v>1.0409999999999999</v>
      </c>
      <c r="AM241" s="251">
        <f>+SUM(cantones_v5THAHOLON)/1000</f>
        <v>1.0089999999999999</v>
      </c>
      <c r="AN241" s="1066" t="s">
        <v>1082</v>
      </c>
    </row>
    <row r="242" spans="1:40" ht="30" customHeight="1">
      <c r="A242" s="50"/>
      <c r="B242" s="1627" t="s">
        <v>826</v>
      </c>
      <c r="C242" s="1091"/>
      <c r="D242" s="228" t="s">
        <v>541</v>
      </c>
      <c r="E242" s="301" t="s">
        <v>104</v>
      </c>
      <c r="F242" s="228" t="s">
        <v>679</v>
      </c>
      <c r="G242" s="810">
        <f t="shared" si="247"/>
        <v>11732</v>
      </c>
      <c r="H242" s="525">
        <f>+ROUND(140*H241,0)-H243</f>
        <v>412</v>
      </c>
      <c r="I242" s="189">
        <f>+ROUND(140*I241,0)-I243</f>
        <v>405</v>
      </c>
      <c r="J242" s="189">
        <f>+ROUND(140*J241,0)-J243</f>
        <v>253</v>
      </c>
      <c r="K242" s="189">
        <f>+ROUND(140*K241,0)-K243</f>
        <v>253</v>
      </c>
      <c r="L242" s="189">
        <f>+ROUND(140*L241,0)-L243</f>
        <v>483</v>
      </c>
      <c r="M242" s="189">
        <f t="shared" ref="M242:R242" si="286">+ROUND(140*M241,0)-M243</f>
        <v>339</v>
      </c>
      <c r="N242" s="189">
        <f t="shared" si="286"/>
        <v>264</v>
      </c>
      <c r="O242" s="189">
        <f t="shared" si="286"/>
        <v>405</v>
      </c>
      <c r="P242" s="189">
        <f t="shared" si="286"/>
        <v>367</v>
      </c>
      <c r="Q242" s="189">
        <f t="shared" si="286"/>
        <v>738</v>
      </c>
      <c r="R242" s="189">
        <f t="shared" si="286"/>
        <v>1180</v>
      </c>
      <c r="S242" s="189">
        <f t="shared" ref="S242:AM242" si="287">+ROUND(140*S241,0)-S243</f>
        <v>925</v>
      </c>
      <c r="T242" s="189">
        <f t="shared" si="287"/>
        <v>980</v>
      </c>
      <c r="U242" s="190">
        <f t="shared" si="287"/>
        <v>1053</v>
      </c>
      <c r="V242" s="190">
        <f t="shared" si="287"/>
        <v>-8</v>
      </c>
      <c r="W242" s="190">
        <f t="shared" si="287"/>
        <v>189</v>
      </c>
      <c r="X242" s="190">
        <f t="shared" si="287"/>
        <v>141</v>
      </c>
      <c r="Y242" s="190">
        <f t="shared" si="287"/>
        <v>179</v>
      </c>
      <c r="Z242" s="189">
        <f t="shared" si="287"/>
        <v>274</v>
      </c>
      <c r="AA242" s="189">
        <f t="shared" si="287"/>
        <v>-12</v>
      </c>
      <c r="AB242" s="189">
        <f t="shared" si="287"/>
        <v>-20</v>
      </c>
      <c r="AC242" s="189">
        <f t="shared" si="287"/>
        <v>121</v>
      </c>
      <c r="AD242" s="189">
        <f t="shared" si="287"/>
        <v>84</v>
      </c>
      <c r="AE242" s="189">
        <f t="shared" si="287"/>
        <v>73</v>
      </c>
      <c r="AF242" s="189">
        <f t="shared" si="287"/>
        <v>101</v>
      </c>
      <c r="AG242" s="189">
        <f t="shared" si="287"/>
        <v>74</v>
      </c>
      <c r="AH242" s="189">
        <f t="shared" si="287"/>
        <v>180</v>
      </c>
      <c r="AI242" s="190">
        <f t="shared" si="287"/>
        <v>739</v>
      </c>
      <c r="AJ242" s="190">
        <f t="shared" si="287"/>
        <v>571</v>
      </c>
      <c r="AK242" s="190">
        <f t="shared" si="287"/>
        <v>776</v>
      </c>
      <c r="AL242" s="190">
        <f t="shared" si="287"/>
        <v>110</v>
      </c>
      <c r="AM242" s="233">
        <f t="shared" si="287"/>
        <v>103</v>
      </c>
      <c r="AN242" s="225" t="s">
        <v>1083</v>
      </c>
    </row>
    <row r="243" spans="1:40" ht="30" customHeight="1">
      <c r="A243" s="50"/>
      <c r="B243" s="1628"/>
      <c r="C243" s="326"/>
      <c r="D243" s="228" t="s">
        <v>542</v>
      </c>
      <c r="E243" s="301" t="s">
        <v>105</v>
      </c>
      <c r="F243" s="228" t="s">
        <v>679</v>
      </c>
      <c r="G243" s="810">
        <f t="shared" si="247"/>
        <v>3104</v>
      </c>
      <c r="H243" s="525">
        <f t="shared" ref="H243:AH243" si="288">2*H244</f>
        <v>110</v>
      </c>
      <c r="I243" s="189">
        <f t="shared" si="288"/>
        <v>110</v>
      </c>
      <c r="J243" s="189">
        <f t="shared" si="288"/>
        <v>74</v>
      </c>
      <c r="K243" s="189">
        <f t="shared" si="288"/>
        <v>74</v>
      </c>
      <c r="L243" s="189">
        <f t="shared" si="288"/>
        <v>92</v>
      </c>
      <c r="M243" s="189">
        <f t="shared" si="288"/>
        <v>98</v>
      </c>
      <c r="N243" s="189">
        <f t="shared" si="288"/>
        <v>70</v>
      </c>
      <c r="O243" s="189">
        <f t="shared" si="288"/>
        <v>114</v>
      </c>
      <c r="P243" s="189">
        <f t="shared" si="288"/>
        <v>108</v>
      </c>
      <c r="Q243" s="189">
        <f t="shared" si="288"/>
        <v>110</v>
      </c>
      <c r="R243" s="189">
        <f t="shared" si="288"/>
        <v>302</v>
      </c>
      <c r="S243" s="189">
        <f t="shared" si="288"/>
        <v>304</v>
      </c>
      <c r="T243" s="189">
        <f t="shared" si="288"/>
        <v>300</v>
      </c>
      <c r="U243" s="190">
        <f>2*U244</f>
        <v>332</v>
      </c>
      <c r="V243" s="190">
        <f>2*V244</f>
        <v>8</v>
      </c>
      <c r="W243" s="190">
        <f>2*W244</f>
        <v>58</v>
      </c>
      <c r="X243" s="190">
        <f>2*X244</f>
        <v>94</v>
      </c>
      <c r="Y243" s="190">
        <f>2*Y244</f>
        <v>96</v>
      </c>
      <c r="Z243" s="189">
        <f t="shared" si="288"/>
        <v>34</v>
      </c>
      <c r="AA243" s="189">
        <f t="shared" si="288"/>
        <v>12</v>
      </c>
      <c r="AB243" s="189">
        <f t="shared" si="288"/>
        <v>20</v>
      </c>
      <c r="AC243" s="189">
        <f t="shared" si="288"/>
        <v>30</v>
      </c>
      <c r="AD243" s="189">
        <f t="shared" si="288"/>
        <v>14</v>
      </c>
      <c r="AE243" s="189">
        <f t="shared" si="288"/>
        <v>22</v>
      </c>
      <c r="AF243" s="189">
        <f t="shared" si="288"/>
        <v>36</v>
      </c>
      <c r="AG243" s="189">
        <f t="shared" si="288"/>
        <v>30</v>
      </c>
      <c r="AH243" s="189">
        <f t="shared" si="288"/>
        <v>20</v>
      </c>
      <c r="AI243" s="190">
        <f>2*AI244</f>
        <v>114</v>
      </c>
      <c r="AJ243" s="190">
        <f>2*AJ244</f>
        <v>110</v>
      </c>
      <c r="AK243" s="190">
        <f>2*AK244</f>
        <v>134</v>
      </c>
      <c r="AL243" s="190">
        <f>2*AL244</f>
        <v>36</v>
      </c>
      <c r="AM243" s="233">
        <f>2*AM244</f>
        <v>38</v>
      </c>
      <c r="AN243" s="225" t="s">
        <v>1084</v>
      </c>
    </row>
    <row r="244" spans="1:40" ht="30" customHeight="1">
      <c r="A244" s="50"/>
      <c r="B244" s="1629"/>
      <c r="C244" s="326"/>
      <c r="D244" s="228" t="s">
        <v>543</v>
      </c>
      <c r="E244" s="301" t="s">
        <v>681</v>
      </c>
      <c r="F244" s="228" t="s">
        <v>680</v>
      </c>
      <c r="G244" s="810">
        <f t="shared" si="247"/>
        <v>1552</v>
      </c>
      <c r="H244" s="525">
        <f t="shared" ref="H244:AM244" si="289">+H215+H216+H220+H221+H224+H225</f>
        <v>55</v>
      </c>
      <c r="I244" s="189">
        <f t="shared" si="289"/>
        <v>55</v>
      </c>
      <c r="J244" s="189">
        <f>+J215+J216+J220+J221+J224+J225</f>
        <v>37</v>
      </c>
      <c r="K244" s="189">
        <f>+K215+K216+K220+K221+K224+K225</f>
        <v>37</v>
      </c>
      <c r="L244" s="189">
        <f t="shared" si="289"/>
        <v>46</v>
      </c>
      <c r="M244" s="189">
        <f t="shared" si="289"/>
        <v>49</v>
      </c>
      <c r="N244" s="189">
        <f t="shared" si="289"/>
        <v>35</v>
      </c>
      <c r="O244" s="189">
        <f t="shared" si="289"/>
        <v>57</v>
      </c>
      <c r="P244" s="189">
        <f t="shared" si="289"/>
        <v>54</v>
      </c>
      <c r="Q244" s="189">
        <f t="shared" si="289"/>
        <v>55</v>
      </c>
      <c r="R244" s="189">
        <f t="shared" si="289"/>
        <v>151</v>
      </c>
      <c r="S244" s="189">
        <f t="shared" si="289"/>
        <v>152</v>
      </c>
      <c r="T244" s="189">
        <f t="shared" si="289"/>
        <v>150</v>
      </c>
      <c r="U244" s="190">
        <f t="shared" si="289"/>
        <v>166</v>
      </c>
      <c r="V244" s="190">
        <f>+V215+V216+V220+V221+V224+V225</f>
        <v>4</v>
      </c>
      <c r="W244" s="190">
        <f>+W215+W216+W220+W221+W224+W225</f>
        <v>29</v>
      </c>
      <c r="X244" s="190">
        <f>+X215+X216+X220+X221+X224+X225</f>
        <v>47</v>
      </c>
      <c r="Y244" s="190">
        <f>+Y215+Y216+Y220+Y221+Y224+Y225</f>
        <v>48</v>
      </c>
      <c r="Z244" s="189">
        <f t="shared" si="289"/>
        <v>17</v>
      </c>
      <c r="AA244" s="189">
        <f t="shared" si="289"/>
        <v>6</v>
      </c>
      <c r="AB244" s="189">
        <f t="shared" si="289"/>
        <v>10</v>
      </c>
      <c r="AC244" s="189">
        <f t="shared" si="289"/>
        <v>15</v>
      </c>
      <c r="AD244" s="189">
        <f t="shared" si="289"/>
        <v>7</v>
      </c>
      <c r="AE244" s="189">
        <f t="shared" si="289"/>
        <v>11</v>
      </c>
      <c r="AF244" s="189">
        <f t="shared" si="289"/>
        <v>18</v>
      </c>
      <c r="AG244" s="189">
        <f t="shared" si="289"/>
        <v>15</v>
      </c>
      <c r="AH244" s="189">
        <f t="shared" si="289"/>
        <v>10</v>
      </c>
      <c r="AI244" s="190">
        <f t="shared" si="289"/>
        <v>57</v>
      </c>
      <c r="AJ244" s="190">
        <f t="shared" si="289"/>
        <v>55</v>
      </c>
      <c r="AK244" s="190">
        <f t="shared" si="289"/>
        <v>67</v>
      </c>
      <c r="AL244" s="190">
        <f t="shared" si="289"/>
        <v>18</v>
      </c>
      <c r="AM244" s="233">
        <f t="shared" si="289"/>
        <v>19</v>
      </c>
      <c r="AN244" s="225" t="s">
        <v>1085</v>
      </c>
    </row>
    <row r="245" spans="1:40" ht="30" customHeight="1">
      <c r="A245" s="285" t="s">
        <v>1757</v>
      </c>
      <c r="B245" s="288"/>
      <c r="C245" s="326" t="s">
        <v>849</v>
      </c>
      <c r="D245" s="228" t="s">
        <v>544</v>
      </c>
      <c r="E245" s="301" t="s">
        <v>158</v>
      </c>
      <c r="F245" s="228" t="s">
        <v>682</v>
      </c>
      <c r="G245" s="810">
        <f t="shared" si="247"/>
        <v>180</v>
      </c>
      <c r="H245" s="525">
        <f t="shared" ref="H245:H260" si="290">COUNTIF(Area_v1RISHER,$C245)</f>
        <v>6</v>
      </c>
      <c r="I245" s="189">
        <f t="shared" ref="I245:I260" si="291">COUNTIF(Area_v2RISHER,$C245)</f>
        <v>6</v>
      </c>
      <c r="J245" s="189">
        <f t="shared" ref="J245:J260" si="292">COUNTIF(Area_v1RAANHER,$C245)</f>
        <v>4</v>
      </c>
      <c r="K245" s="189">
        <f t="shared" ref="K245:K260" si="293">COUNTIF(Area_v2RAANHER,$C245)</f>
        <v>5</v>
      </c>
      <c r="L245" s="189">
        <f t="shared" ref="L245:L260" si="294">COUNTIF(Area_v1HER,$C245)</f>
        <v>10</v>
      </c>
      <c r="M245" s="189">
        <f t="shared" ref="M245:M260" si="295">COUNTIF(Area_v2HER,$C245)</f>
        <v>6</v>
      </c>
      <c r="N245" s="189">
        <f t="shared" ref="N245:N260" si="296">COUNTIF(Area_v3HER,$C245)</f>
        <v>2</v>
      </c>
      <c r="O245" s="189">
        <f t="shared" ref="O245:O260" si="297">COUNTIF(Area_v4HER,$C245)</f>
        <v>7</v>
      </c>
      <c r="P245" s="189">
        <f t="shared" ref="P245:P260" si="298">COUNTIF(Area_v5HER,$C245)</f>
        <v>2</v>
      </c>
      <c r="Q245" s="189">
        <f t="shared" ref="Q245:Q260" si="299">COUNTIF(Area_v6HER,$C245)</f>
        <v>15</v>
      </c>
      <c r="R245" s="189">
        <f t="shared" ref="R245:R260" si="300">COUNTIF(Area_v1HERTSA,$C245)</f>
        <v>32</v>
      </c>
      <c r="S245" s="189">
        <f t="shared" ref="S245:S260" si="301">COUNTIF(Area_v2HERTSA,$C245)</f>
        <v>7</v>
      </c>
      <c r="T245" s="189">
        <f t="shared" ref="T245:T260" si="302">COUNTIF(Area_v3HERTSA,$C245)</f>
        <v>8</v>
      </c>
      <c r="U245" s="190">
        <f t="shared" ref="U245:U260" si="303">COUNTIF(Area_v4HERTSA,$C245)</f>
        <v>31</v>
      </c>
      <c r="V245" s="190">
        <f t="shared" ref="V245:V260" si="304">COUNTIF(Area_v5HERTSA,$C245)</f>
        <v>2</v>
      </c>
      <c r="W245" s="190">
        <f t="shared" ref="W245:W260" si="305">COUNTIF(Area_v5BBRHER,$C245)</f>
        <v>4</v>
      </c>
      <c r="X245" s="190">
        <f t="shared" ref="X245:X260" si="306">COUNTIF(Area_v1BBRTUN,$C245)</f>
        <v>4</v>
      </c>
      <c r="Y245" s="190">
        <f t="shared" ref="Y245:Y260" si="307">COUNTIF(Area_v2BBRTUN,$C245)</f>
        <v>4</v>
      </c>
      <c r="Z245" s="189">
        <f t="shared" ref="Z245:Z260" si="308">COUNTIF(Area_v51HERTSA,$C245)</f>
        <v>4</v>
      </c>
      <c r="AA245" s="189">
        <f t="shared" ref="AA245:AA260" si="309">COUNTIF(Area_v52HERTSA,$C245)</f>
        <v>0</v>
      </c>
      <c r="AB245" s="189">
        <f t="shared" ref="AB245:AB260" si="310">COUNTIF(Area_v53HERTSA,$C245)</f>
        <v>0</v>
      </c>
      <c r="AC245" s="189">
        <f t="shared" ref="AC245:AC260" si="311">COUNTIF(Area_v1TSA,$C245)</f>
        <v>3</v>
      </c>
      <c r="AD245" s="189">
        <f t="shared" ref="AD245:AD260" si="312">COUNTIF(Area_v2TSA,$C245)</f>
        <v>0</v>
      </c>
      <c r="AE245" s="189">
        <f t="shared" ref="AE245:AE260" si="313">COUNTIF(Area_v3TSA,$C245)</f>
        <v>0</v>
      </c>
      <c r="AF245" s="189">
        <f t="shared" ref="AF245:AF260" si="314">COUNTIF(Area_v4TSA,$C245)</f>
        <v>1</v>
      </c>
      <c r="AG245" s="189">
        <f t="shared" ref="AG245:AG260" si="315">COUNTIF(Area_v5TSA,$C245)</f>
        <v>1</v>
      </c>
      <c r="AH245" s="189">
        <f t="shared" ref="AH245:AH260" si="316">COUNTIF(Area_v6TSA,$C245)</f>
        <v>2</v>
      </c>
      <c r="AI245" s="190">
        <f t="shared" ref="AI245:AI260" si="317">COUNTIF(Area_v1TSATHA,$C245)</f>
        <v>12</v>
      </c>
      <c r="AJ245" s="190">
        <f t="shared" ref="AJ245:AJ250" si="318">COUNTIF(Area_v2TSATHA,$C245)</f>
        <v>0</v>
      </c>
      <c r="AK245" s="190">
        <f t="shared" ref="AK245:AK260" si="319">COUNTIF(Area_v3TSATHA,$C245)</f>
        <v>0</v>
      </c>
      <c r="AL245" s="190">
        <f t="shared" ref="AL245:AL260" si="320">COUNTIF(Area_v4THAHOLON,$C245)</f>
        <v>1</v>
      </c>
      <c r="AM245" s="233">
        <f t="shared" ref="AM245:AM260" si="321">COUNTIF(Area_v5THAHOLON,$C245)</f>
        <v>1</v>
      </c>
      <c r="AN245" s="225" t="s">
        <v>1086</v>
      </c>
    </row>
    <row r="246" spans="1:40" ht="30" customHeight="1">
      <c r="A246" s="50"/>
      <c r="B246" s="288"/>
      <c r="C246" s="326" t="s">
        <v>850</v>
      </c>
      <c r="D246" s="228" t="s">
        <v>545</v>
      </c>
      <c r="E246" s="301" t="s">
        <v>546</v>
      </c>
      <c r="F246" s="228" t="s">
        <v>683</v>
      </c>
      <c r="G246" s="810">
        <f t="shared" si="247"/>
        <v>50</v>
      </c>
      <c r="H246" s="525">
        <f t="shared" si="290"/>
        <v>0</v>
      </c>
      <c r="I246" s="189">
        <f t="shared" si="291"/>
        <v>0</v>
      </c>
      <c r="J246" s="189">
        <f t="shared" si="292"/>
        <v>0</v>
      </c>
      <c r="K246" s="189">
        <f t="shared" si="293"/>
        <v>0</v>
      </c>
      <c r="L246" s="189">
        <f t="shared" si="294"/>
        <v>4</v>
      </c>
      <c r="M246" s="189">
        <f t="shared" si="295"/>
        <v>3</v>
      </c>
      <c r="N246" s="189">
        <f t="shared" si="296"/>
        <v>3</v>
      </c>
      <c r="O246" s="189">
        <f t="shared" si="297"/>
        <v>2</v>
      </c>
      <c r="P246" s="189">
        <f t="shared" si="298"/>
        <v>1</v>
      </c>
      <c r="Q246" s="189">
        <f t="shared" si="299"/>
        <v>6</v>
      </c>
      <c r="R246" s="189">
        <f t="shared" si="300"/>
        <v>7</v>
      </c>
      <c r="S246" s="189">
        <f t="shared" si="301"/>
        <v>0</v>
      </c>
      <c r="T246" s="189">
        <f t="shared" si="302"/>
        <v>0</v>
      </c>
      <c r="U246" s="190">
        <f t="shared" si="303"/>
        <v>6</v>
      </c>
      <c r="V246" s="190">
        <f t="shared" si="304"/>
        <v>0</v>
      </c>
      <c r="W246" s="190">
        <f t="shared" si="305"/>
        <v>0</v>
      </c>
      <c r="X246" s="190">
        <f t="shared" si="306"/>
        <v>0</v>
      </c>
      <c r="Y246" s="190">
        <f t="shared" si="307"/>
        <v>2</v>
      </c>
      <c r="Z246" s="189">
        <f t="shared" si="308"/>
        <v>1</v>
      </c>
      <c r="AA246" s="189">
        <f t="shared" si="309"/>
        <v>0</v>
      </c>
      <c r="AB246" s="189">
        <f t="shared" si="310"/>
        <v>0</v>
      </c>
      <c r="AC246" s="189">
        <f t="shared" si="311"/>
        <v>1</v>
      </c>
      <c r="AD246" s="189">
        <f t="shared" si="312"/>
        <v>0</v>
      </c>
      <c r="AE246" s="189">
        <f t="shared" si="313"/>
        <v>0</v>
      </c>
      <c r="AF246" s="189">
        <f t="shared" si="314"/>
        <v>0</v>
      </c>
      <c r="AG246" s="189">
        <f t="shared" si="315"/>
        <v>0</v>
      </c>
      <c r="AH246" s="189">
        <f t="shared" si="316"/>
        <v>0</v>
      </c>
      <c r="AI246" s="190">
        <f t="shared" si="317"/>
        <v>2</v>
      </c>
      <c r="AJ246" s="190">
        <f t="shared" si="318"/>
        <v>0</v>
      </c>
      <c r="AK246" s="190">
        <f t="shared" si="319"/>
        <v>6</v>
      </c>
      <c r="AL246" s="190">
        <f t="shared" si="320"/>
        <v>3</v>
      </c>
      <c r="AM246" s="233">
        <f t="shared" si="321"/>
        <v>3</v>
      </c>
      <c r="AN246" s="225" t="s">
        <v>1087</v>
      </c>
    </row>
    <row r="247" spans="1:40" ht="30" customHeight="1">
      <c r="A247" s="50"/>
      <c r="B247" s="288"/>
      <c r="C247" s="326" t="s">
        <v>874</v>
      </c>
      <c r="D247" s="228" t="s">
        <v>547</v>
      </c>
      <c r="E247" s="301" t="s">
        <v>106</v>
      </c>
      <c r="F247" s="228" t="s">
        <v>684</v>
      </c>
      <c r="G247" s="810">
        <f t="shared" si="247"/>
        <v>63</v>
      </c>
      <c r="H247" s="525">
        <f t="shared" si="290"/>
        <v>3</v>
      </c>
      <c r="I247" s="189">
        <f t="shared" si="291"/>
        <v>3</v>
      </c>
      <c r="J247" s="189">
        <f t="shared" si="292"/>
        <v>2</v>
      </c>
      <c r="K247" s="189">
        <f t="shared" si="293"/>
        <v>2</v>
      </c>
      <c r="L247" s="189">
        <f t="shared" si="294"/>
        <v>0</v>
      </c>
      <c r="M247" s="189">
        <f t="shared" si="295"/>
        <v>1</v>
      </c>
      <c r="N247" s="189">
        <f t="shared" si="296"/>
        <v>0</v>
      </c>
      <c r="O247" s="189">
        <f t="shared" si="297"/>
        <v>1</v>
      </c>
      <c r="P247" s="189">
        <f t="shared" si="298"/>
        <v>1</v>
      </c>
      <c r="Q247" s="189">
        <f t="shared" si="299"/>
        <v>1</v>
      </c>
      <c r="R247" s="189">
        <f t="shared" si="300"/>
        <v>7</v>
      </c>
      <c r="S247" s="189">
        <f t="shared" si="301"/>
        <v>7</v>
      </c>
      <c r="T247" s="189">
        <f t="shared" si="302"/>
        <v>8</v>
      </c>
      <c r="U247" s="190">
        <f t="shared" si="303"/>
        <v>6</v>
      </c>
      <c r="V247" s="190">
        <f t="shared" si="304"/>
        <v>0</v>
      </c>
      <c r="W247" s="190">
        <f t="shared" si="305"/>
        <v>1</v>
      </c>
      <c r="X247" s="190">
        <f t="shared" si="306"/>
        <v>2</v>
      </c>
      <c r="Y247" s="190">
        <f t="shared" si="307"/>
        <v>2</v>
      </c>
      <c r="Z247" s="189">
        <f t="shared" si="308"/>
        <v>0</v>
      </c>
      <c r="AA247" s="189">
        <f t="shared" si="309"/>
        <v>0</v>
      </c>
      <c r="AB247" s="189">
        <f t="shared" si="310"/>
        <v>0</v>
      </c>
      <c r="AC247" s="189">
        <f t="shared" si="311"/>
        <v>1</v>
      </c>
      <c r="AD247" s="189">
        <f t="shared" si="312"/>
        <v>1</v>
      </c>
      <c r="AE247" s="189">
        <f t="shared" si="313"/>
        <v>1</v>
      </c>
      <c r="AF247" s="189">
        <f t="shared" si="314"/>
        <v>1</v>
      </c>
      <c r="AG247" s="189">
        <f t="shared" si="315"/>
        <v>1</v>
      </c>
      <c r="AH247" s="189">
        <f t="shared" si="316"/>
        <v>1</v>
      </c>
      <c r="AI247" s="190">
        <f t="shared" si="317"/>
        <v>3</v>
      </c>
      <c r="AJ247" s="190">
        <f t="shared" si="318"/>
        <v>5</v>
      </c>
      <c r="AK247" s="190">
        <f>COUNTIF(Area_v3TSATHA,$C247)</f>
        <v>2</v>
      </c>
      <c r="AL247" s="190">
        <f t="shared" si="320"/>
        <v>0</v>
      </c>
      <c r="AM247" s="233">
        <f t="shared" si="321"/>
        <v>0</v>
      </c>
      <c r="AN247" s="225" t="s">
        <v>891</v>
      </c>
    </row>
    <row r="248" spans="1:40" ht="30" customHeight="1">
      <c r="A248" s="50"/>
      <c r="B248" s="288"/>
      <c r="C248" s="326" t="s">
        <v>851</v>
      </c>
      <c r="D248" s="228" t="s">
        <v>548</v>
      </c>
      <c r="E248" s="301" t="s">
        <v>108</v>
      </c>
      <c r="F248" s="228" t="s">
        <v>685</v>
      </c>
      <c r="G248" s="810">
        <f t="shared" si="247"/>
        <v>0</v>
      </c>
      <c r="H248" s="525">
        <f t="shared" si="290"/>
        <v>0</v>
      </c>
      <c r="I248" s="189">
        <f t="shared" si="291"/>
        <v>0</v>
      </c>
      <c r="J248" s="189">
        <f t="shared" si="292"/>
        <v>0</v>
      </c>
      <c r="K248" s="189">
        <f t="shared" si="293"/>
        <v>0</v>
      </c>
      <c r="L248" s="189">
        <f t="shared" si="294"/>
        <v>0</v>
      </c>
      <c r="M248" s="189">
        <f t="shared" si="295"/>
        <v>0</v>
      </c>
      <c r="N248" s="189">
        <f t="shared" si="296"/>
        <v>0</v>
      </c>
      <c r="O248" s="189">
        <f t="shared" si="297"/>
        <v>0</v>
      </c>
      <c r="P248" s="189">
        <f t="shared" si="298"/>
        <v>0</v>
      </c>
      <c r="Q248" s="189">
        <f t="shared" si="299"/>
        <v>0</v>
      </c>
      <c r="R248" s="189">
        <f t="shared" si="300"/>
        <v>0</v>
      </c>
      <c r="S248" s="189">
        <f t="shared" si="301"/>
        <v>0</v>
      </c>
      <c r="T248" s="189">
        <f t="shared" si="302"/>
        <v>0</v>
      </c>
      <c r="U248" s="190">
        <f t="shared" si="303"/>
        <v>0</v>
      </c>
      <c r="V248" s="190">
        <f t="shared" si="304"/>
        <v>0</v>
      </c>
      <c r="W248" s="190">
        <f t="shared" si="305"/>
        <v>0</v>
      </c>
      <c r="X248" s="190">
        <f t="shared" si="306"/>
        <v>0</v>
      </c>
      <c r="Y248" s="190">
        <f t="shared" si="307"/>
        <v>0</v>
      </c>
      <c r="Z248" s="189">
        <f t="shared" si="308"/>
        <v>0</v>
      </c>
      <c r="AA248" s="189">
        <f t="shared" si="309"/>
        <v>0</v>
      </c>
      <c r="AB248" s="189">
        <f t="shared" si="310"/>
        <v>0</v>
      </c>
      <c r="AC248" s="189">
        <f t="shared" si="311"/>
        <v>0</v>
      </c>
      <c r="AD248" s="189">
        <f t="shared" si="312"/>
        <v>0</v>
      </c>
      <c r="AE248" s="189">
        <f t="shared" si="313"/>
        <v>0</v>
      </c>
      <c r="AF248" s="189">
        <f t="shared" si="314"/>
        <v>0</v>
      </c>
      <c r="AG248" s="189">
        <f t="shared" si="315"/>
        <v>0</v>
      </c>
      <c r="AH248" s="189">
        <f t="shared" si="316"/>
        <v>0</v>
      </c>
      <c r="AI248" s="190">
        <f t="shared" si="317"/>
        <v>0</v>
      </c>
      <c r="AJ248" s="190">
        <f t="shared" si="318"/>
        <v>0</v>
      </c>
      <c r="AK248" s="190">
        <f t="shared" si="319"/>
        <v>0</v>
      </c>
      <c r="AL248" s="190">
        <f t="shared" si="320"/>
        <v>0</v>
      </c>
      <c r="AM248" s="233">
        <f t="shared" si="321"/>
        <v>0</v>
      </c>
      <c r="AN248" s="225" t="s">
        <v>1088</v>
      </c>
    </row>
    <row r="249" spans="1:40" ht="30" customHeight="1">
      <c r="A249" s="50"/>
      <c r="B249" s="288"/>
      <c r="C249" s="326" t="s">
        <v>852</v>
      </c>
      <c r="D249" s="228" t="s">
        <v>549</v>
      </c>
      <c r="E249" s="301" t="s">
        <v>109</v>
      </c>
      <c r="F249" s="228" t="s">
        <v>686</v>
      </c>
      <c r="G249" s="810">
        <f t="shared" si="247"/>
        <v>7</v>
      </c>
      <c r="H249" s="525">
        <f t="shared" si="290"/>
        <v>0</v>
      </c>
      <c r="I249" s="189">
        <f t="shared" si="291"/>
        <v>0</v>
      </c>
      <c r="J249" s="189">
        <f t="shared" si="292"/>
        <v>0</v>
      </c>
      <c r="K249" s="189">
        <f t="shared" si="293"/>
        <v>0</v>
      </c>
      <c r="L249" s="189">
        <f t="shared" si="294"/>
        <v>0</v>
      </c>
      <c r="M249" s="189">
        <f t="shared" si="295"/>
        <v>2</v>
      </c>
      <c r="N249" s="189">
        <f t="shared" si="296"/>
        <v>0</v>
      </c>
      <c r="O249" s="189">
        <f t="shared" si="297"/>
        <v>0</v>
      </c>
      <c r="P249" s="189">
        <f t="shared" si="298"/>
        <v>0</v>
      </c>
      <c r="Q249" s="189">
        <f t="shared" si="299"/>
        <v>1</v>
      </c>
      <c r="R249" s="189">
        <f t="shared" si="300"/>
        <v>0</v>
      </c>
      <c r="S249" s="189">
        <f t="shared" si="301"/>
        <v>0</v>
      </c>
      <c r="T249" s="189">
        <f t="shared" si="302"/>
        <v>0</v>
      </c>
      <c r="U249" s="190">
        <f t="shared" si="303"/>
        <v>0</v>
      </c>
      <c r="V249" s="190">
        <f t="shared" si="304"/>
        <v>0</v>
      </c>
      <c r="W249" s="190">
        <f t="shared" si="305"/>
        <v>0</v>
      </c>
      <c r="X249" s="190">
        <f t="shared" si="306"/>
        <v>1</v>
      </c>
      <c r="Y249" s="190">
        <f t="shared" si="307"/>
        <v>1</v>
      </c>
      <c r="Z249" s="189">
        <f t="shared" si="308"/>
        <v>0</v>
      </c>
      <c r="AA249" s="189">
        <f t="shared" si="309"/>
        <v>0</v>
      </c>
      <c r="AB249" s="189">
        <f t="shared" si="310"/>
        <v>0</v>
      </c>
      <c r="AC249" s="189">
        <f t="shared" si="311"/>
        <v>0</v>
      </c>
      <c r="AD249" s="189">
        <f t="shared" si="312"/>
        <v>0</v>
      </c>
      <c r="AE249" s="189">
        <f t="shared" si="313"/>
        <v>0</v>
      </c>
      <c r="AF249" s="189">
        <f t="shared" si="314"/>
        <v>0</v>
      </c>
      <c r="AG249" s="189">
        <f t="shared" si="315"/>
        <v>0</v>
      </c>
      <c r="AH249" s="189">
        <f t="shared" si="316"/>
        <v>0</v>
      </c>
      <c r="AI249" s="190">
        <f t="shared" si="317"/>
        <v>1</v>
      </c>
      <c r="AJ249" s="190">
        <f t="shared" si="318"/>
        <v>1</v>
      </c>
      <c r="AK249" s="190">
        <f t="shared" si="319"/>
        <v>0</v>
      </c>
      <c r="AL249" s="190">
        <f t="shared" si="320"/>
        <v>0</v>
      </c>
      <c r="AM249" s="233">
        <f t="shared" si="321"/>
        <v>0</v>
      </c>
      <c r="AN249" s="225" t="s">
        <v>1089</v>
      </c>
    </row>
    <row r="250" spans="1:40" ht="30" customHeight="1">
      <c r="A250" s="50"/>
      <c r="B250" s="288"/>
      <c r="C250" s="326" t="s">
        <v>876</v>
      </c>
      <c r="D250" s="228" t="s">
        <v>550</v>
      </c>
      <c r="E250" s="301" t="s">
        <v>110</v>
      </c>
      <c r="F250" s="228" t="s">
        <v>687</v>
      </c>
      <c r="G250" s="810">
        <f t="shared" si="247"/>
        <v>0</v>
      </c>
      <c r="H250" s="525">
        <f t="shared" si="290"/>
        <v>0</v>
      </c>
      <c r="I250" s="189">
        <f t="shared" si="291"/>
        <v>0</v>
      </c>
      <c r="J250" s="189">
        <f t="shared" si="292"/>
        <v>0</v>
      </c>
      <c r="K250" s="189">
        <f t="shared" si="293"/>
        <v>0</v>
      </c>
      <c r="L250" s="189">
        <f t="shared" si="294"/>
        <v>0</v>
      </c>
      <c r="M250" s="189">
        <f t="shared" si="295"/>
        <v>0</v>
      </c>
      <c r="N250" s="189">
        <f t="shared" si="296"/>
        <v>0</v>
      </c>
      <c r="O250" s="189">
        <f t="shared" si="297"/>
        <v>0</v>
      </c>
      <c r="P250" s="189">
        <f t="shared" si="298"/>
        <v>0</v>
      </c>
      <c r="Q250" s="189">
        <f t="shared" si="299"/>
        <v>0</v>
      </c>
      <c r="R250" s="189">
        <f t="shared" si="300"/>
        <v>0</v>
      </c>
      <c r="S250" s="189">
        <f t="shared" si="301"/>
        <v>0</v>
      </c>
      <c r="T250" s="189">
        <f t="shared" si="302"/>
        <v>0</v>
      </c>
      <c r="U250" s="190">
        <f t="shared" si="303"/>
        <v>0</v>
      </c>
      <c r="V250" s="190">
        <f t="shared" si="304"/>
        <v>0</v>
      </c>
      <c r="W250" s="190">
        <f t="shared" si="305"/>
        <v>0</v>
      </c>
      <c r="X250" s="190">
        <f t="shared" si="306"/>
        <v>0</v>
      </c>
      <c r="Y250" s="190">
        <f t="shared" si="307"/>
        <v>0</v>
      </c>
      <c r="Z250" s="189">
        <f t="shared" si="308"/>
        <v>0</v>
      </c>
      <c r="AA250" s="189">
        <f t="shared" si="309"/>
        <v>0</v>
      </c>
      <c r="AB250" s="189">
        <f t="shared" si="310"/>
        <v>0</v>
      </c>
      <c r="AC250" s="189">
        <f t="shared" si="311"/>
        <v>0</v>
      </c>
      <c r="AD250" s="189">
        <f t="shared" si="312"/>
        <v>0</v>
      </c>
      <c r="AE250" s="189">
        <f t="shared" si="313"/>
        <v>0</v>
      </c>
      <c r="AF250" s="189">
        <f t="shared" si="314"/>
        <v>0</v>
      </c>
      <c r="AG250" s="189">
        <f t="shared" si="315"/>
        <v>0</v>
      </c>
      <c r="AH250" s="189">
        <f t="shared" si="316"/>
        <v>0</v>
      </c>
      <c r="AI250" s="190">
        <f t="shared" si="317"/>
        <v>0</v>
      </c>
      <c r="AJ250" s="190">
        <f t="shared" si="318"/>
        <v>0</v>
      </c>
      <c r="AK250" s="190">
        <f t="shared" si="319"/>
        <v>0</v>
      </c>
      <c r="AL250" s="190">
        <f t="shared" si="320"/>
        <v>0</v>
      </c>
      <c r="AM250" s="233">
        <f t="shared" si="321"/>
        <v>0</v>
      </c>
      <c r="AN250" s="225" t="s">
        <v>1090</v>
      </c>
    </row>
    <row r="251" spans="1:40" ht="30" customHeight="1">
      <c r="A251" s="285" t="s">
        <v>1756</v>
      </c>
      <c r="B251" s="288"/>
      <c r="C251" s="326" t="s">
        <v>1508</v>
      </c>
      <c r="D251" s="228" t="s">
        <v>551</v>
      </c>
      <c r="E251" s="301" t="s">
        <v>1490</v>
      </c>
      <c r="F251" s="228" t="s">
        <v>638</v>
      </c>
      <c r="G251" s="810">
        <f t="shared" si="247"/>
        <v>39</v>
      </c>
      <c r="H251" s="525">
        <f t="shared" si="290"/>
        <v>0</v>
      </c>
      <c r="I251" s="189">
        <f t="shared" si="291"/>
        <v>0</v>
      </c>
      <c r="J251" s="189">
        <f t="shared" si="292"/>
        <v>0</v>
      </c>
      <c r="K251" s="189">
        <f t="shared" si="293"/>
        <v>0</v>
      </c>
      <c r="L251" s="189">
        <f t="shared" si="294"/>
        <v>0</v>
      </c>
      <c r="M251" s="189">
        <f t="shared" si="295"/>
        <v>0</v>
      </c>
      <c r="N251" s="189">
        <f t="shared" si="296"/>
        <v>0</v>
      </c>
      <c r="O251" s="189">
        <f t="shared" si="297"/>
        <v>0</v>
      </c>
      <c r="P251" s="189">
        <f t="shared" si="298"/>
        <v>0</v>
      </c>
      <c r="Q251" s="189">
        <f t="shared" si="299"/>
        <v>0</v>
      </c>
      <c r="R251" s="189">
        <f t="shared" si="300"/>
        <v>0</v>
      </c>
      <c r="S251" s="189">
        <f t="shared" si="301"/>
        <v>0</v>
      </c>
      <c r="T251" s="189">
        <f t="shared" si="302"/>
        <v>2</v>
      </c>
      <c r="U251" s="190">
        <f t="shared" si="303"/>
        <v>5</v>
      </c>
      <c r="V251" s="190">
        <f t="shared" si="304"/>
        <v>0</v>
      </c>
      <c r="W251" s="190">
        <f t="shared" si="305"/>
        <v>0</v>
      </c>
      <c r="X251" s="190">
        <f t="shared" si="306"/>
        <v>0</v>
      </c>
      <c r="Y251" s="190">
        <f t="shared" si="307"/>
        <v>0</v>
      </c>
      <c r="Z251" s="189">
        <f t="shared" si="308"/>
        <v>0</v>
      </c>
      <c r="AA251" s="189">
        <f t="shared" si="309"/>
        <v>0</v>
      </c>
      <c r="AB251" s="189">
        <f t="shared" si="310"/>
        <v>0</v>
      </c>
      <c r="AC251" s="189">
        <f t="shared" si="311"/>
        <v>0</v>
      </c>
      <c r="AD251" s="189">
        <f t="shared" si="312"/>
        <v>0</v>
      </c>
      <c r="AE251" s="189">
        <f t="shared" si="313"/>
        <v>0</v>
      </c>
      <c r="AF251" s="189">
        <f t="shared" si="314"/>
        <v>2</v>
      </c>
      <c r="AG251" s="189">
        <f t="shared" si="315"/>
        <v>1</v>
      </c>
      <c r="AH251" s="189">
        <f t="shared" si="316"/>
        <v>0</v>
      </c>
      <c r="AI251" s="190">
        <f t="shared" si="317"/>
        <v>4</v>
      </c>
      <c r="AJ251" s="190">
        <f t="shared" ref="AJ251:AJ260" si="322">COUNTIF(Area_v2TSATHA,$C251)</f>
        <v>2</v>
      </c>
      <c r="AK251" s="190">
        <f t="shared" si="319"/>
        <v>23</v>
      </c>
      <c r="AL251" s="190">
        <f t="shared" si="320"/>
        <v>0</v>
      </c>
      <c r="AM251" s="233">
        <f t="shared" si="321"/>
        <v>0</v>
      </c>
      <c r="AN251" s="225" t="s">
        <v>1091</v>
      </c>
    </row>
    <row r="252" spans="1:40" ht="30" customHeight="1">
      <c r="A252" s="50"/>
      <c r="B252" s="288"/>
      <c r="C252" s="326" t="s">
        <v>4239</v>
      </c>
      <c r="D252" s="228" t="s">
        <v>552</v>
      </c>
      <c r="E252" s="301" t="s">
        <v>553</v>
      </c>
      <c r="F252" s="228" t="s">
        <v>688</v>
      </c>
      <c r="G252" s="810">
        <f t="shared" si="247"/>
        <v>1</v>
      </c>
      <c r="H252" s="525">
        <f t="shared" si="290"/>
        <v>0</v>
      </c>
      <c r="I252" s="189">
        <f t="shared" si="291"/>
        <v>0</v>
      </c>
      <c r="J252" s="189">
        <f t="shared" si="292"/>
        <v>0</v>
      </c>
      <c r="K252" s="189">
        <f t="shared" si="293"/>
        <v>0</v>
      </c>
      <c r="L252" s="189">
        <f t="shared" si="294"/>
        <v>0</v>
      </c>
      <c r="M252" s="189">
        <f t="shared" si="295"/>
        <v>0</v>
      </c>
      <c r="N252" s="189">
        <f t="shared" si="296"/>
        <v>0</v>
      </c>
      <c r="O252" s="189">
        <f t="shared" si="297"/>
        <v>0</v>
      </c>
      <c r="P252" s="189">
        <f t="shared" si="298"/>
        <v>0</v>
      </c>
      <c r="Q252" s="189">
        <f t="shared" si="299"/>
        <v>0</v>
      </c>
      <c r="R252" s="189">
        <f t="shared" si="300"/>
        <v>0</v>
      </c>
      <c r="S252" s="189">
        <f t="shared" si="301"/>
        <v>0</v>
      </c>
      <c r="T252" s="189">
        <f t="shared" si="302"/>
        <v>0</v>
      </c>
      <c r="U252" s="190">
        <f t="shared" si="303"/>
        <v>0</v>
      </c>
      <c r="V252" s="190">
        <f t="shared" si="304"/>
        <v>0</v>
      </c>
      <c r="W252" s="190">
        <f t="shared" si="305"/>
        <v>0</v>
      </c>
      <c r="X252" s="190">
        <f t="shared" si="306"/>
        <v>0</v>
      </c>
      <c r="Y252" s="190">
        <f t="shared" si="307"/>
        <v>0</v>
      </c>
      <c r="Z252" s="189">
        <f t="shared" si="308"/>
        <v>0</v>
      </c>
      <c r="AA252" s="189">
        <f t="shared" si="309"/>
        <v>0</v>
      </c>
      <c r="AB252" s="189">
        <f t="shared" si="310"/>
        <v>0</v>
      </c>
      <c r="AC252" s="189">
        <f t="shared" si="311"/>
        <v>0</v>
      </c>
      <c r="AD252" s="189">
        <f t="shared" si="312"/>
        <v>0</v>
      </c>
      <c r="AE252" s="189">
        <f t="shared" si="313"/>
        <v>0</v>
      </c>
      <c r="AF252" s="189">
        <f t="shared" si="314"/>
        <v>0</v>
      </c>
      <c r="AG252" s="189">
        <f t="shared" si="315"/>
        <v>0</v>
      </c>
      <c r="AH252" s="189">
        <f t="shared" si="316"/>
        <v>0</v>
      </c>
      <c r="AI252" s="190">
        <f t="shared" si="317"/>
        <v>1</v>
      </c>
      <c r="AJ252" s="190">
        <f t="shared" si="322"/>
        <v>0</v>
      </c>
      <c r="AK252" s="190">
        <f t="shared" si="319"/>
        <v>0</v>
      </c>
      <c r="AL252" s="190">
        <f t="shared" si="320"/>
        <v>0</v>
      </c>
      <c r="AM252" s="233">
        <f t="shared" si="321"/>
        <v>0</v>
      </c>
      <c r="AN252" s="1085" t="s">
        <v>1092</v>
      </c>
    </row>
    <row r="253" spans="1:40" ht="30" customHeight="1">
      <c r="A253" s="249"/>
      <c r="B253" s="990"/>
      <c r="C253" s="326" t="s">
        <v>4240</v>
      </c>
      <c r="D253" s="228"/>
      <c r="E253" s="301"/>
      <c r="F253" s="228"/>
      <c r="G253" s="810">
        <f t="shared" si="247"/>
        <v>1</v>
      </c>
      <c r="H253" s="525">
        <f t="shared" si="290"/>
        <v>0</v>
      </c>
      <c r="I253" s="189">
        <f t="shared" si="291"/>
        <v>0</v>
      </c>
      <c r="J253" s="189">
        <f t="shared" si="292"/>
        <v>0</v>
      </c>
      <c r="K253" s="189">
        <f t="shared" si="293"/>
        <v>0</v>
      </c>
      <c r="L253" s="189">
        <f t="shared" si="294"/>
        <v>0</v>
      </c>
      <c r="M253" s="189">
        <f t="shared" si="295"/>
        <v>0</v>
      </c>
      <c r="N253" s="189">
        <f t="shared" si="296"/>
        <v>0</v>
      </c>
      <c r="O253" s="189">
        <f t="shared" si="297"/>
        <v>0</v>
      </c>
      <c r="P253" s="189">
        <f t="shared" si="298"/>
        <v>0</v>
      </c>
      <c r="Q253" s="189">
        <f t="shared" si="299"/>
        <v>0</v>
      </c>
      <c r="R253" s="189">
        <f t="shared" si="300"/>
        <v>0</v>
      </c>
      <c r="S253" s="189">
        <f t="shared" si="301"/>
        <v>0</v>
      </c>
      <c r="T253" s="189">
        <f t="shared" si="302"/>
        <v>0</v>
      </c>
      <c r="U253" s="190">
        <f t="shared" si="303"/>
        <v>0</v>
      </c>
      <c r="V253" s="190">
        <f t="shared" si="304"/>
        <v>0</v>
      </c>
      <c r="W253" s="190">
        <f t="shared" si="305"/>
        <v>0</v>
      </c>
      <c r="X253" s="190">
        <f t="shared" si="306"/>
        <v>0</v>
      </c>
      <c r="Y253" s="190">
        <f t="shared" si="307"/>
        <v>0</v>
      </c>
      <c r="Z253" s="189">
        <f t="shared" si="308"/>
        <v>0</v>
      </c>
      <c r="AA253" s="189">
        <f t="shared" si="309"/>
        <v>0</v>
      </c>
      <c r="AB253" s="189">
        <f t="shared" si="310"/>
        <v>0</v>
      </c>
      <c r="AC253" s="189">
        <f t="shared" si="311"/>
        <v>0</v>
      </c>
      <c r="AD253" s="189">
        <f t="shared" si="312"/>
        <v>0</v>
      </c>
      <c r="AE253" s="189">
        <f t="shared" si="313"/>
        <v>0</v>
      </c>
      <c r="AF253" s="189">
        <f t="shared" si="314"/>
        <v>0</v>
      </c>
      <c r="AG253" s="189">
        <f t="shared" si="315"/>
        <v>0</v>
      </c>
      <c r="AH253" s="189">
        <f t="shared" si="316"/>
        <v>0</v>
      </c>
      <c r="AI253" s="190">
        <f t="shared" si="317"/>
        <v>1</v>
      </c>
      <c r="AJ253" s="190">
        <f t="shared" si="322"/>
        <v>0</v>
      </c>
      <c r="AK253" s="190">
        <f t="shared" si="319"/>
        <v>0</v>
      </c>
      <c r="AL253" s="190">
        <f t="shared" si="320"/>
        <v>0</v>
      </c>
      <c r="AM253" s="233">
        <f t="shared" si="321"/>
        <v>0</v>
      </c>
      <c r="AN253" s="1106"/>
    </row>
    <row r="254" spans="1:40" ht="30" customHeight="1">
      <c r="A254" s="249"/>
      <c r="B254" s="990"/>
      <c r="C254" s="326" t="s">
        <v>4241</v>
      </c>
      <c r="D254" s="228"/>
      <c r="E254" s="301"/>
      <c r="F254" s="228"/>
      <c r="G254" s="810">
        <f t="shared" si="247"/>
        <v>0</v>
      </c>
      <c r="H254" s="525">
        <f t="shared" si="290"/>
        <v>0</v>
      </c>
      <c r="I254" s="189">
        <f t="shared" si="291"/>
        <v>0</v>
      </c>
      <c r="J254" s="189">
        <f t="shared" si="292"/>
        <v>0</v>
      </c>
      <c r="K254" s="189">
        <f t="shared" si="293"/>
        <v>0</v>
      </c>
      <c r="L254" s="189">
        <f t="shared" si="294"/>
        <v>0</v>
      </c>
      <c r="M254" s="189">
        <f t="shared" si="295"/>
        <v>0</v>
      </c>
      <c r="N254" s="189">
        <f t="shared" si="296"/>
        <v>0</v>
      </c>
      <c r="O254" s="189">
        <f t="shared" si="297"/>
        <v>0</v>
      </c>
      <c r="P254" s="189">
        <f t="shared" si="298"/>
        <v>0</v>
      </c>
      <c r="Q254" s="189">
        <f t="shared" si="299"/>
        <v>0</v>
      </c>
      <c r="R254" s="189">
        <f t="shared" si="300"/>
        <v>0</v>
      </c>
      <c r="S254" s="189">
        <f t="shared" si="301"/>
        <v>0</v>
      </c>
      <c r="T254" s="189">
        <f t="shared" si="302"/>
        <v>0</v>
      </c>
      <c r="U254" s="190">
        <f t="shared" si="303"/>
        <v>0</v>
      </c>
      <c r="V254" s="190">
        <f t="shared" si="304"/>
        <v>0</v>
      </c>
      <c r="W254" s="190">
        <f t="shared" si="305"/>
        <v>0</v>
      </c>
      <c r="X254" s="190">
        <f t="shared" si="306"/>
        <v>0</v>
      </c>
      <c r="Y254" s="190">
        <f t="shared" si="307"/>
        <v>0</v>
      </c>
      <c r="Z254" s="189">
        <f t="shared" si="308"/>
        <v>0</v>
      </c>
      <c r="AA254" s="189">
        <f t="shared" si="309"/>
        <v>0</v>
      </c>
      <c r="AB254" s="189">
        <f t="shared" si="310"/>
        <v>0</v>
      </c>
      <c r="AC254" s="189">
        <f t="shared" si="311"/>
        <v>0</v>
      </c>
      <c r="AD254" s="189">
        <f t="shared" si="312"/>
        <v>0</v>
      </c>
      <c r="AE254" s="189">
        <f t="shared" si="313"/>
        <v>0</v>
      </c>
      <c r="AF254" s="189">
        <f t="shared" si="314"/>
        <v>0</v>
      </c>
      <c r="AG254" s="189">
        <f t="shared" si="315"/>
        <v>0</v>
      </c>
      <c r="AH254" s="189">
        <f t="shared" si="316"/>
        <v>0</v>
      </c>
      <c r="AI254" s="190">
        <f t="shared" si="317"/>
        <v>0</v>
      </c>
      <c r="AJ254" s="190">
        <f t="shared" si="322"/>
        <v>0</v>
      </c>
      <c r="AK254" s="190">
        <f t="shared" si="319"/>
        <v>0</v>
      </c>
      <c r="AL254" s="190">
        <f t="shared" si="320"/>
        <v>0</v>
      </c>
      <c r="AM254" s="233">
        <f t="shared" si="321"/>
        <v>0</v>
      </c>
      <c r="AN254" s="1106"/>
    </row>
    <row r="255" spans="1:40" ht="30" customHeight="1">
      <c r="A255" s="249"/>
      <c r="B255" s="1051"/>
      <c r="C255" s="326" t="s">
        <v>4238</v>
      </c>
      <c r="D255" s="228" t="s">
        <v>1565</v>
      </c>
      <c r="E255" s="301" t="s">
        <v>1566</v>
      </c>
      <c r="F255" s="228" t="s">
        <v>688</v>
      </c>
      <c r="G255" s="810">
        <f t="shared" si="247"/>
        <v>1</v>
      </c>
      <c r="H255" s="525">
        <f t="shared" si="290"/>
        <v>0</v>
      </c>
      <c r="I255" s="189">
        <f t="shared" si="291"/>
        <v>0</v>
      </c>
      <c r="J255" s="189">
        <f t="shared" si="292"/>
        <v>0</v>
      </c>
      <c r="K255" s="189">
        <f t="shared" si="293"/>
        <v>0</v>
      </c>
      <c r="L255" s="189">
        <f t="shared" si="294"/>
        <v>0</v>
      </c>
      <c r="M255" s="189">
        <f t="shared" si="295"/>
        <v>0</v>
      </c>
      <c r="N255" s="189">
        <f t="shared" si="296"/>
        <v>0</v>
      </c>
      <c r="O255" s="189">
        <f t="shared" si="297"/>
        <v>0</v>
      </c>
      <c r="P255" s="189">
        <f t="shared" si="298"/>
        <v>0</v>
      </c>
      <c r="Q255" s="189">
        <f t="shared" si="299"/>
        <v>0</v>
      </c>
      <c r="R255" s="189">
        <f t="shared" si="300"/>
        <v>0</v>
      </c>
      <c r="S255" s="189">
        <f t="shared" si="301"/>
        <v>0</v>
      </c>
      <c r="T255" s="189">
        <f t="shared" si="302"/>
        <v>0</v>
      </c>
      <c r="U255" s="190">
        <f t="shared" si="303"/>
        <v>0</v>
      </c>
      <c r="V255" s="190">
        <f t="shared" si="304"/>
        <v>0</v>
      </c>
      <c r="W255" s="190">
        <f t="shared" si="305"/>
        <v>0</v>
      </c>
      <c r="X255" s="190">
        <f t="shared" si="306"/>
        <v>0</v>
      </c>
      <c r="Y255" s="190">
        <f t="shared" si="307"/>
        <v>0</v>
      </c>
      <c r="Z255" s="189">
        <f t="shared" si="308"/>
        <v>0</v>
      </c>
      <c r="AA255" s="189">
        <f t="shared" si="309"/>
        <v>0</v>
      </c>
      <c r="AB255" s="189">
        <f t="shared" si="310"/>
        <v>0</v>
      </c>
      <c r="AC255" s="189">
        <f t="shared" si="311"/>
        <v>0</v>
      </c>
      <c r="AD255" s="189">
        <f t="shared" si="312"/>
        <v>0</v>
      </c>
      <c r="AE255" s="189">
        <f t="shared" si="313"/>
        <v>0</v>
      </c>
      <c r="AF255" s="189">
        <f t="shared" si="314"/>
        <v>0</v>
      </c>
      <c r="AG255" s="189">
        <f t="shared" si="315"/>
        <v>0</v>
      </c>
      <c r="AH255" s="189">
        <f t="shared" si="316"/>
        <v>0</v>
      </c>
      <c r="AI255" s="190">
        <f t="shared" si="317"/>
        <v>1</v>
      </c>
      <c r="AJ255" s="190">
        <f t="shared" si="322"/>
        <v>0</v>
      </c>
      <c r="AK255" s="190">
        <f t="shared" si="319"/>
        <v>0</v>
      </c>
      <c r="AL255" s="190">
        <f t="shared" si="320"/>
        <v>0</v>
      </c>
      <c r="AM255" s="233">
        <f t="shared" si="321"/>
        <v>0</v>
      </c>
      <c r="AN255" s="1106"/>
    </row>
    <row r="256" spans="1:40" ht="30" customHeight="1">
      <c r="A256" s="249"/>
      <c r="B256" s="1051"/>
      <c r="C256" s="326" t="s">
        <v>4242</v>
      </c>
      <c r="D256" s="234"/>
      <c r="E256" s="302"/>
      <c r="F256" s="234"/>
      <c r="G256" s="810">
        <f t="shared" si="247"/>
        <v>0</v>
      </c>
      <c r="H256" s="525">
        <f t="shared" si="290"/>
        <v>0</v>
      </c>
      <c r="I256" s="189">
        <f t="shared" si="291"/>
        <v>0</v>
      </c>
      <c r="J256" s="189">
        <f t="shared" si="292"/>
        <v>0</v>
      </c>
      <c r="K256" s="189">
        <f t="shared" si="293"/>
        <v>0</v>
      </c>
      <c r="L256" s="189">
        <f t="shared" si="294"/>
        <v>0</v>
      </c>
      <c r="M256" s="189">
        <f t="shared" si="295"/>
        <v>0</v>
      </c>
      <c r="N256" s="189">
        <f t="shared" si="296"/>
        <v>0</v>
      </c>
      <c r="O256" s="189">
        <f t="shared" si="297"/>
        <v>0</v>
      </c>
      <c r="P256" s="189">
        <f t="shared" si="298"/>
        <v>0</v>
      </c>
      <c r="Q256" s="189">
        <f t="shared" si="299"/>
        <v>0</v>
      </c>
      <c r="R256" s="189">
        <f t="shared" si="300"/>
        <v>0</v>
      </c>
      <c r="S256" s="189">
        <f t="shared" si="301"/>
        <v>0</v>
      </c>
      <c r="T256" s="189">
        <f t="shared" si="302"/>
        <v>0</v>
      </c>
      <c r="U256" s="190">
        <f t="shared" si="303"/>
        <v>0</v>
      </c>
      <c r="V256" s="190">
        <f t="shared" si="304"/>
        <v>0</v>
      </c>
      <c r="W256" s="190">
        <f t="shared" si="305"/>
        <v>0</v>
      </c>
      <c r="X256" s="190">
        <f t="shared" si="306"/>
        <v>0</v>
      </c>
      <c r="Y256" s="190">
        <f t="shared" si="307"/>
        <v>0</v>
      </c>
      <c r="Z256" s="189">
        <f t="shared" si="308"/>
        <v>0</v>
      </c>
      <c r="AA256" s="189">
        <f t="shared" si="309"/>
        <v>0</v>
      </c>
      <c r="AB256" s="189">
        <f t="shared" si="310"/>
        <v>0</v>
      </c>
      <c r="AC256" s="189">
        <f t="shared" si="311"/>
        <v>0</v>
      </c>
      <c r="AD256" s="189">
        <f t="shared" si="312"/>
        <v>0</v>
      </c>
      <c r="AE256" s="189">
        <f t="shared" si="313"/>
        <v>0</v>
      </c>
      <c r="AF256" s="189">
        <f t="shared" si="314"/>
        <v>0</v>
      </c>
      <c r="AG256" s="189">
        <f t="shared" si="315"/>
        <v>0</v>
      </c>
      <c r="AH256" s="189">
        <f t="shared" si="316"/>
        <v>0</v>
      </c>
      <c r="AI256" s="190">
        <f t="shared" si="317"/>
        <v>0</v>
      </c>
      <c r="AJ256" s="190">
        <f t="shared" si="322"/>
        <v>0</v>
      </c>
      <c r="AK256" s="190">
        <f t="shared" si="319"/>
        <v>0</v>
      </c>
      <c r="AL256" s="190">
        <f t="shared" si="320"/>
        <v>0</v>
      </c>
      <c r="AM256" s="233">
        <f t="shared" si="321"/>
        <v>0</v>
      </c>
      <c r="AN256" s="1106"/>
    </row>
    <row r="257" spans="1:40" ht="30" customHeight="1">
      <c r="A257" s="249"/>
      <c r="B257" s="1051"/>
      <c r="C257" s="326" t="s">
        <v>4234</v>
      </c>
      <c r="D257" s="234"/>
      <c r="E257" s="302"/>
      <c r="F257" s="234"/>
      <c r="G257" s="810">
        <f t="shared" si="247"/>
        <v>1</v>
      </c>
      <c r="H257" s="525">
        <f t="shared" si="290"/>
        <v>0</v>
      </c>
      <c r="I257" s="189">
        <f t="shared" si="291"/>
        <v>0</v>
      </c>
      <c r="J257" s="189">
        <f t="shared" si="292"/>
        <v>0</v>
      </c>
      <c r="K257" s="189">
        <f t="shared" si="293"/>
        <v>0</v>
      </c>
      <c r="L257" s="189">
        <f t="shared" si="294"/>
        <v>0</v>
      </c>
      <c r="M257" s="189">
        <f t="shared" si="295"/>
        <v>0</v>
      </c>
      <c r="N257" s="189">
        <f t="shared" si="296"/>
        <v>0</v>
      </c>
      <c r="O257" s="189">
        <f t="shared" si="297"/>
        <v>0</v>
      </c>
      <c r="P257" s="189">
        <f t="shared" si="298"/>
        <v>0</v>
      </c>
      <c r="Q257" s="189">
        <f t="shared" si="299"/>
        <v>0</v>
      </c>
      <c r="R257" s="189">
        <f t="shared" si="300"/>
        <v>0</v>
      </c>
      <c r="S257" s="189">
        <f t="shared" si="301"/>
        <v>0</v>
      </c>
      <c r="T257" s="189">
        <f t="shared" si="302"/>
        <v>0</v>
      </c>
      <c r="U257" s="190">
        <f t="shared" si="303"/>
        <v>0</v>
      </c>
      <c r="V257" s="190">
        <f t="shared" si="304"/>
        <v>0</v>
      </c>
      <c r="W257" s="190">
        <f t="shared" si="305"/>
        <v>0</v>
      </c>
      <c r="X257" s="190">
        <f t="shared" si="306"/>
        <v>0</v>
      </c>
      <c r="Y257" s="190">
        <f t="shared" si="307"/>
        <v>0</v>
      </c>
      <c r="Z257" s="189">
        <f t="shared" si="308"/>
        <v>0</v>
      </c>
      <c r="AA257" s="189">
        <f t="shared" si="309"/>
        <v>0</v>
      </c>
      <c r="AB257" s="189">
        <f t="shared" si="310"/>
        <v>0</v>
      </c>
      <c r="AC257" s="189">
        <f t="shared" si="311"/>
        <v>0</v>
      </c>
      <c r="AD257" s="189">
        <f t="shared" si="312"/>
        <v>0</v>
      </c>
      <c r="AE257" s="189">
        <f t="shared" si="313"/>
        <v>0</v>
      </c>
      <c r="AF257" s="189">
        <f t="shared" si="314"/>
        <v>0</v>
      </c>
      <c r="AG257" s="189">
        <f t="shared" si="315"/>
        <v>0</v>
      </c>
      <c r="AH257" s="189">
        <f t="shared" si="316"/>
        <v>0</v>
      </c>
      <c r="AI257" s="190">
        <f t="shared" si="317"/>
        <v>1</v>
      </c>
      <c r="AJ257" s="190">
        <f t="shared" si="322"/>
        <v>0</v>
      </c>
      <c r="AK257" s="190">
        <f t="shared" si="319"/>
        <v>0</v>
      </c>
      <c r="AL257" s="190">
        <f t="shared" si="320"/>
        <v>0</v>
      </c>
      <c r="AM257" s="233">
        <f t="shared" si="321"/>
        <v>0</v>
      </c>
      <c r="AN257" s="1106"/>
    </row>
    <row r="258" spans="1:40" ht="30" customHeight="1">
      <c r="A258" s="257"/>
      <c r="B258" s="990"/>
      <c r="C258" s="1100" t="s">
        <v>4237</v>
      </c>
      <c r="D258" s="315" t="s">
        <v>1512</v>
      </c>
      <c r="E258" s="825" t="s">
        <v>1513</v>
      </c>
      <c r="F258" s="228" t="s">
        <v>688</v>
      </c>
      <c r="G258" s="810">
        <f t="shared" si="247"/>
        <v>37</v>
      </c>
      <c r="H258" s="189">
        <f t="shared" si="290"/>
        <v>0</v>
      </c>
      <c r="I258" s="189">
        <f t="shared" si="291"/>
        <v>0</v>
      </c>
      <c r="J258" s="189">
        <f t="shared" si="292"/>
        <v>0</v>
      </c>
      <c r="K258" s="189">
        <f t="shared" si="293"/>
        <v>0</v>
      </c>
      <c r="L258" s="189">
        <f t="shared" si="294"/>
        <v>0</v>
      </c>
      <c r="M258" s="189">
        <f t="shared" si="295"/>
        <v>0</v>
      </c>
      <c r="N258" s="189">
        <f t="shared" si="296"/>
        <v>0</v>
      </c>
      <c r="O258" s="189">
        <f t="shared" si="297"/>
        <v>0</v>
      </c>
      <c r="P258" s="189">
        <f t="shared" si="298"/>
        <v>0</v>
      </c>
      <c r="Q258" s="189">
        <f t="shared" si="299"/>
        <v>0</v>
      </c>
      <c r="R258" s="189">
        <f t="shared" si="300"/>
        <v>0</v>
      </c>
      <c r="S258" s="189">
        <f t="shared" si="301"/>
        <v>0</v>
      </c>
      <c r="T258" s="189">
        <f t="shared" si="302"/>
        <v>2</v>
      </c>
      <c r="U258" s="190">
        <f t="shared" si="303"/>
        <v>5</v>
      </c>
      <c r="V258" s="190">
        <f t="shared" si="304"/>
        <v>0</v>
      </c>
      <c r="W258" s="190">
        <f t="shared" si="305"/>
        <v>0</v>
      </c>
      <c r="X258" s="190">
        <f t="shared" si="306"/>
        <v>0</v>
      </c>
      <c r="Y258" s="190">
        <f t="shared" si="307"/>
        <v>0</v>
      </c>
      <c r="Z258" s="189">
        <f t="shared" si="308"/>
        <v>0</v>
      </c>
      <c r="AA258" s="189">
        <f t="shared" si="309"/>
        <v>0</v>
      </c>
      <c r="AB258" s="189">
        <f t="shared" si="310"/>
        <v>0</v>
      </c>
      <c r="AC258" s="189">
        <f t="shared" si="311"/>
        <v>0</v>
      </c>
      <c r="AD258" s="189">
        <f t="shared" si="312"/>
        <v>0</v>
      </c>
      <c r="AE258" s="189">
        <f t="shared" si="313"/>
        <v>0</v>
      </c>
      <c r="AF258" s="189">
        <f t="shared" si="314"/>
        <v>2</v>
      </c>
      <c r="AG258" s="189">
        <f t="shared" si="315"/>
        <v>1</v>
      </c>
      <c r="AH258" s="189">
        <f t="shared" si="316"/>
        <v>0</v>
      </c>
      <c r="AI258" s="190">
        <f t="shared" si="317"/>
        <v>2</v>
      </c>
      <c r="AJ258" s="190">
        <f t="shared" si="322"/>
        <v>2</v>
      </c>
      <c r="AK258" s="190">
        <f t="shared" si="319"/>
        <v>23</v>
      </c>
      <c r="AL258" s="190">
        <f t="shared" si="320"/>
        <v>0</v>
      </c>
      <c r="AM258" s="233">
        <f t="shared" si="321"/>
        <v>0</v>
      </c>
      <c r="AN258" s="1090"/>
    </row>
    <row r="259" spans="1:40" ht="30" customHeight="1">
      <c r="A259" s="257"/>
      <c r="B259" s="990"/>
      <c r="C259" s="326" t="s">
        <v>4231</v>
      </c>
      <c r="D259" s="315"/>
      <c r="E259" s="825"/>
      <c r="F259" s="315"/>
      <c r="G259" s="810">
        <f t="shared" si="247"/>
        <v>35</v>
      </c>
      <c r="H259" s="189">
        <f t="shared" si="290"/>
        <v>0</v>
      </c>
      <c r="I259" s="189">
        <f t="shared" si="291"/>
        <v>0</v>
      </c>
      <c r="J259" s="189">
        <f t="shared" si="292"/>
        <v>0</v>
      </c>
      <c r="K259" s="189">
        <f t="shared" si="293"/>
        <v>0</v>
      </c>
      <c r="L259" s="189">
        <f t="shared" si="294"/>
        <v>0</v>
      </c>
      <c r="M259" s="189">
        <f t="shared" si="295"/>
        <v>0</v>
      </c>
      <c r="N259" s="189">
        <f t="shared" si="296"/>
        <v>0</v>
      </c>
      <c r="O259" s="189">
        <f t="shared" si="297"/>
        <v>0</v>
      </c>
      <c r="P259" s="189">
        <f t="shared" si="298"/>
        <v>0</v>
      </c>
      <c r="Q259" s="189">
        <f t="shared" si="299"/>
        <v>0</v>
      </c>
      <c r="R259" s="189">
        <f t="shared" si="300"/>
        <v>0</v>
      </c>
      <c r="S259" s="189">
        <f t="shared" si="301"/>
        <v>0</v>
      </c>
      <c r="T259" s="189">
        <f t="shared" si="302"/>
        <v>2</v>
      </c>
      <c r="U259" s="190">
        <f t="shared" si="303"/>
        <v>5</v>
      </c>
      <c r="V259" s="190">
        <f t="shared" si="304"/>
        <v>0</v>
      </c>
      <c r="W259" s="190">
        <f t="shared" si="305"/>
        <v>0</v>
      </c>
      <c r="X259" s="190">
        <f t="shared" si="306"/>
        <v>0</v>
      </c>
      <c r="Y259" s="190">
        <f t="shared" si="307"/>
        <v>0</v>
      </c>
      <c r="Z259" s="189">
        <f t="shared" si="308"/>
        <v>0</v>
      </c>
      <c r="AA259" s="189">
        <f t="shared" si="309"/>
        <v>0</v>
      </c>
      <c r="AB259" s="189">
        <f t="shared" si="310"/>
        <v>0</v>
      </c>
      <c r="AC259" s="189">
        <f t="shared" si="311"/>
        <v>0</v>
      </c>
      <c r="AD259" s="189">
        <f t="shared" si="312"/>
        <v>0</v>
      </c>
      <c r="AE259" s="189">
        <f t="shared" si="313"/>
        <v>0</v>
      </c>
      <c r="AF259" s="189">
        <f t="shared" si="314"/>
        <v>1</v>
      </c>
      <c r="AG259" s="189">
        <f t="shared" si="315"/>
        <v>1</v>
      </c>
      <c r="AH259" s="189">
        <f t="shared" si="316"/>
        <v>0</v>
      </c>
      <c r="AI259" s="190">
        <f t="shared" si="317"/>
        <v>2</v>
      </c>
      <c r="AJ259" s="190">
        <f t="shared" si="322"/>
        <v>2</v>
      </c>
      <c r="AK259" s="190">
        <f t="shared" si="319"/>
        <v>22</v>
      </c>
      <c r="AL259" s="190">
        <f t="shared" si="320"/>
        <v>0</v>
      </c>
      <c r="AM259" s="233">
        <f t="shared" si="321"/>
        <v>0</v>
      </c>
      <c r="AN259" s="1107"/>
    </row>
    <row r="260" spans="1:40" ht="30" customHeight="1">
      <c r="A260" s="410"/>
      <c r="B260" s="1040"/>
      <c r="C260" s="326" t="s">
        <v>4232</v>
      </c>
      <c r="D260" s="1096"/>
      <c r="E260" s="1098"/>
      <c r="F260" s="1096"/>
      <c r="G260" s="1071">
        <f t="shared" si="247"/>
        <v>2</v>
      </c>
      <c r="H260" s="1076">
        <f t="shared" si="290"/>
        <v>0</v>
      </c>
      <c r="I260" s="1072">
        <f t="shared" si="291"/>
        <v>0</v>
      </c>
      <c r="J260" s="1072">
        <f t="shared" si="292"/>
        <v>0</v>
      </c>
      <c r="K260" s="1072">
        <f t="shared" si="293"/>
        <v>0</v>
      </c>
      <c r="L260" s="1072">
        <f t="shared" si="294"/>
        <v>0</v>
      </c>
      <c r="M260" s="1072">
        <f t="shared" si="295"/>
        <v>0</v>
      </c>
      <c r="N260" s="1072">
        <f t="shared" si="296"/>
        <v>0</v>
      </c>
      <c r="O260" s="1072">
        <f t="shared" si="297"/>
        <v>0</v>
      </c>
      <c r="P260" s="1072">
        <f t="shared" si="298"/>
        <v>0</v>
      </c>
      <c r="Q260" s="1072">
        <f t="shared" si="299"/>
        <v>0</v>
      </c>
      <c r="R260" s="1072">
        <f t="shared" si="300"/>
        <v>0</v>
      </c>
      <c r="S260" s="1072">
        <f t="shared" si="301"/>
        <v>0</v>
      </c>
      <c r="T260" s="1072">
        <f t="shared" si="302"/>
        <v>0</v>
      </c>
      <c r="U260" s="1073">
        <f t="shared" si="303"/>
        <v>0</v>
      </c>
      <c r="V260" s="1073">
        <f t="shared" si="304"/>
        <v>0</v>
      </c>
      <c r="W260" s="1073">
        <f t="shared" si="305"/>
        <v>0</v>
      </c>
      <c r="X260" s="1073">
        <f t="shared" si="306"/>
        <v>0</v>
      </c>
      <c r="Y260" s="1073">
        <f t="shared" si="307"/>
        <v>0</v>
      </c>
      <c r="Z260" s="1072">
        <f t="shared" si="308"/>
        <v>0</v>
      </c>
      <c r="AA260" s="1072">
        <f t="shared" si="309"/>
        <v>0</v>
      </c>
      <c r="AB260" s="1072">
        <f t="shared" si="310"/>
        <v>0</v>
      </c>
      <c r="AC260" s="1072">
        <f t="shared" si="311"/>
        <v>0</v>
      </c>
      <c r="AD260" s="1072">
        <f t="shared" si="312"/>
        <v>0</v>
      </c>
      <c r="AE260" s="1072">
        <f t="shared" si="313"/>
        <v>0</v>
      </c>
      <c r="AF260" s="1072">
        <f t="shared" si="314"/>
        <v>1</v>
      </c>
      <c r="AG260" s="1072">
        <f t="shared" si="315"/>
        <v>0</v>
      </c>
      <c r="AH260" s="1072">
        <f t="shared" si="316"/>
        <v>0</v>
      </c>
      <c r="AI260" s="1073">
        <f t="shared" si="317"/>
        <v>0</v>
      </c>
      <c r="AJ260" s="1073">
        <f t="shared" si="322"/>
        <v>0</v>
      </c>
      <c r="AK260" s="1073">
        <f t="shared" si="319"/>
        <v>1</v>
      </c>
      <c r="AL260" s="1073">
        <f t="shared" si="320"/>
        <v>0</v>
      </c>
      <c r="AM260" s="1074">
        <f t="shared" si="321"/>
        <v>0</v>
      </c>
      <c r="AN260" s="1107"/>
    </row>
    <row r="261" spans="1:40" ht="30" customHeight="1">
      <c r="A261" s="826" t="s">
        <v>855</v>
      </c>
      <c r="B261" s="1052" t="s">
        <v>817</v>
      </c>
      <c r="C261" s="1087"/>
      <c r="D261" s="1088" t="s">
        <v>689</v>
      </c>
      <c r="E261" s="1089" t="s">
        <v>690</v>
      </c>
      <c r="F261" s="1088" t="s">
        <v>638</v>
      </c>
      <c r="G261" s="811">
        <f t="shared" si="247"/>
        <v>0</v>
      </c>
      <c r="H261" s="528"/>
      <c r="I261" s="527"/>
      <c r="J261" s="527"/>
      <c r="K261" s="527"/>
      <c r="L261" s="527"/>
      <c r="M261" s="527"/>
      <c r="N261" s="527"/>
      <c r="O261" s="527"/>
      <c r="P261" s="527"/>
      <c r="Q261" s="527"/>
      <c r="R261" s="527"/>
      <c r="S261" s="527"/>
      <c r="T261" s="527"/>
      <c r="U261" s="246"/>
      <c r="V261" s="246"/>
      <c r="W261" s="246"/>
      <c r="X261" s="246"/>
      <c r="Y261" s="246"/>
      <c r="Z261" s="527"/>
      <c r="AA261" s="527"/>
      <c r="AB261" s="527"/>
      <c r="AC261" s="527"/>
      <c r="AD261" s="527"/>
      <c r="AE261" s="527"/>
      <c r="AF261" s="527"/>
      <c r="AG261" s="527"/>
      <c r="AH261" s="527"/>
      <c r="AI261" s="246"/>
      <c r="AJ261" s="246"/>
      <c r="AK261" s="246"/>
      <c r="AL261" s="246"/>
      <c r="AM261" s="247"/>
      <c r="AN261" s="1080" t="s">
        <v>1096</v>
      </c>
    </row>
    <row r="262" spans="1:40" ht="30" customHeight="1">
      <c r="A262" s="242"/>
      <c r="B262" s="1033"/>
      <c r="C262" s="333"/>
      <c r="D262" s="245" t="s">
        <v>691</v>
      </c>
      <c r="E262" s="305" t="s">
        <v>692</v>
      </c>
      <c r="F262" s="245" t="s">
        <v>679</v>
      </c>
      <c r="G262" s="811">
        <f t="shared" si="247"/>
        <v>0</v>
      </c>
      <c r="H262" s="528"/>
      <c r="I262" s="527"/>
      <c r="J262" s="527"/>
      <c r="K262" s="527"/>
      <c r="L262" s="527"/>
      <c r="M262" s="527"/>
      <c r="N262" s="527"/>
      <c r="O262" s="527"/>
      <c r="P262" s="527"/>
      <c r="Q262" s="527"/>
      <c r="R262" s="527"/>
      <c r="S262" s="527"/>
      <c r="T262" s="527"/>
      <c r="U262" s="246"/>
      <c r="V262" s="246"/>
      <c r="W262" s="246"/>
      <c r="X262" s="246"/>
      <c r="Y262" s="246"/>
      <c r="Z262" s="527"/>
      <c r="AA262" s="527"/>
      <c r="AB262" s="527"/>
      <c r="AC262" s="527"/>
      <c r="AD262" s="527"/>
      <c r="AE262" s="527"/>
      <c r="AF262" s="527"/>
      <c r="AG262" s="527"/>
      <c r="AH262" s="527"/>
      <c r="AI262" s="246"/>
      <c r="AJ262" s="246"/>
      <c r="AK262" s="246"/>
      <c r="AL262" s="246"/>
      <c r="AM262" s="247"/>
      <c r="AN262" s="1085" t="s">
        <v>1095</v>
      </c>
    </row>
    <row r="263" spans="1:40" ht="30" customHeight="1">
      <c r="A263" s="242"/>
      <c r="B263" s="1034"/>
      <c r="C263" s="331"/>
      <c r="D263" s="245" t="s">
        <v>693</v>
      </c>
      <c r="E263" s="305" t="s">
        <v>694</v>
      </c>
      <c r="F263" s="245" t="s">
        <v>642</v>
      </c>
      <c r="G263" s="811">
        <f t="shared" si="247"/>
        <v>0</v>
      </c>
      <c r="H263" s="528"/>
      <c r="I263" s="527"/>
      <c r="J263" s="527"/>
      <c r="K263" s="527"/>
      <c r="L263" s="527"/>
      <c r="M263" s="527"/>
      <c r="N263" s="527"/>
      <c r="O263" s="527"/>
      <c r="P263" s="527"/>
      <c r="Q263" s="527"/>
      <c r="R263" s="527"/>
      <c r="S263" s="527"/>
      <c r="T263" s="527"/>
      <c r="U263" s="246"/>
      <c r="V263" s="246"/>
      <c r="W263" s="246"/>
      <c r="X263" s="246"/>
      <c r="Y263" s="246"/>
      <c r="Z263" s="527"/>
      <c r="AA263" s="527"/>
      <c r="AB263" s="527"/>
      <c r="AC263" s="527"/>
      <c r="AD263" s="527"/>
      <c r="AE263" s="527"/>
      <c r="AF263" s="527"/>
      <c r="AG263" s="527"/>
      <c r="AH263" s="527"/>
      <c r="AI263" s="246"/>
      <c r="AJ263" s="246"/>
      <c r="AK263" s="246"/>
      <c r="AL263" s="246"/>
      <c r="AM263" s="247"/>
      <c r="AN263" s="1085" t="s">
        <v>1094</v>
      </c>
    </row>
    <row r="264" spans="1:40" ht="30" customHeight="1">
      <c r="A264" s="242"/>
      <c r="B264" s="1034"/>
      <c r="C264" s="331"/>
      <c r="D264" s="245" t="s">
        <v>695</v>
      </c>
      <c r="E264" s="305" t="s">
        <v>696</v>
      </c>
      <c r="F264" s="245" t="s">
        <v>642</v>
      </c>
      <c r="G264" s="811">
        <f t="shared" si="247"/>
        <v>0</v>
      </c>
      <c r="H264" s="528"/>
      <c r="I264" s="527"/>
      <c r="J264" s="527"/>
      <c r="K264" s="527"/>
      <c r="L264" s="527"/>
      <c r="M264" s="527"/>
      <c r="N264" s="527"/>
      <c r="O264" s="527"/>
      <c r="P264" s="527"/>
      <c r="Q264" s="527"/>
      <c r="R264" s="527"/>
      <c r="S264" s="527"/>
      <c r="T264" s="527"/>
      <c r="U264" s="246"/>
      <c r="V264" s="246"/>
      <c r="W264" s="246"/>
      <c r="X264" s="246"/>
      <c r="Y264" s="246"/>
      <c r="Z264" s="527"/>
      <c r="AA264" s="527"/>
      <c r="AB264" s="527"/>
      <c r="AC264" s="527"/>
      <c r="AD264" s="527"/>
      <c r="AE264" s="527"/>
      <c r="AF264" s="527"/>
      <c r="AG264" s="527"/>
      <c r="AH264" s="527"/>
      <c r="AI264" s="246"/>
      <c r="AJ264" s="246"/>
      <c r="AK264" s="246"/>
      <c r="AL264" s="246"/>
      <c r="AM264" s="247"/>
      <c r="AN264" s="1085" t="s">
        <v>1093</v>
      </c>
    </row>
    <row r="265" spans="1:40" ht="30" customHeight="1">
      <c r="A265" s="282"/>
      <c r="B265" s="1035"/>
      <c r="C265" s="329"/>
      <c r="D265" s="248" t="s">
        <v>697</v>
      </c>
      <c r="E265" s="304" t="s">
        <v>698</v>
      </c>
      <c r="F265" s="248" t="s">
        <v>642</v>
      </c>
      <c r="G265" s="1104">
        <f t="shared" ref="G265:G333" si="323">SUM(H265:AM265)</f>
        <v>0</v>
      </c>
      <c r="H265" s="1105"/>
      <c r="I265" s="1082"/>
      <c r="J265" s="1082"/>
      <c r="K265" s="1082"/>
      <c r="L265" s="1082"/>
      <c r="M265" s="1082"/>
      <c r="N265" s="1082"/>
      <c r="O265" s="1082"/>
      <c r="P265" s="1082"/>
      <c r="Q265" s="1082"/>
      <c r="R265" s="1082"/>
      <c r="S265" s="1082"/>
      <c r="T265" s="1082"/>
      <c r="U265" s="1083"/>
      <c r="V265" s="1083"/>
      <c r="W265" s="1083"/>
      <c r="X265" s="1083"/>
      <c r="Y265" s="1083"/>
      <c r="Z265" s="1082"/>
      <c r="AA265" s="1082"/>
      <c r="AB265" s="1082"/>
      <c r="AC265" s="1082"/>
      <c r="AD265" s="1082"/>
      <c r="AE265" s="1082"/>
      <c r="AF265" s="1082"/>
      <c r="AG265" s="1082"/>
      <c r="AH265" s="1082"/>
      <c r="AI265" s="1083"/>
      <c r="AJ265" s="1083"/>
      <c r="AK265" s="1083"/>
      <c r="AL265" s="1083"/>
      <c r="AM265" s="1084"/>
      <c r="AN265" s="1090" t="s">
        <v>1097</v>
      </c>
    </row>
    <row r="266" spans="1:40" ht="30" customHeight="1">
      <c r="A266" s="755" t="s">
        <v>812</v>
      </c>
      <c r="B266" s="1053"/>
      <c r="C266" s="746"/>
      <c r="D266" s="756" t="s">
        <v>554</v>
      </c>
      <c r="E266" s="754" t="s">
        <v>555</v>
      </c>
      <c r="F266" s="756" t="s">
        <v>638</v>
      </c>
      <c r="G266" s="815" t="e">
        <f t="shared" si="323"/>
        <v>#REF!</v>
      </c>
      <c r="H266" s="789" t="e">
        <f>+'HR Track 1 RIS-HER'!#REF!</f>
        <v>#REF!</v>
      </c>
      <c r="I266" s="1108" t="e">
        <f>+'HR Track 2 RIS-HER'!#REF!</f>
        <v>#REF!</v>
      </c>
      <c r="J266" s="1108" t="e">
        <f>+'HR Track 1 RAAN-HER'!#REF!</f>
        <v>#REF!</v>
      </c>
      <c r="K266" s="1108" t="e">
        <f>+'HR Track 2 RAAN-HER'!#REF!</f>
        <v>#REF!</v>
      </c>
      <c r="L266" s="1109" t="e">
        <f>+'HR Track 1 HER'!#REF!</f>
        <v>#REF!</v>
      </c>
      <c r="M266" s="1109" t="e">
        <f>+'HR Track 2 HER'!#REF!</f>
        <v>#REF!</v>
      </c>
      <c r="N266" s="1109" t="e">
        <f>+'HR Track 3 HER'!#REF!</f>
        <v>#REF!</v>
      </c>
      <c r="O266" s="1109" t="e">
        <f>+'HR Track 4 HER'!#REF!</f>
        <v>#REF!</v>
      </c>
      <c r="P266" s="1109" t="e">
        <f>+'HR Track 5 HER'!#REF!</f>
        <v>#REF!</v>
      </c>
      <c r="Q266" s="1109" t="e">
        <f>+'HR Track 6 HER'!#REF!</f>
        <v>#REF!</v>
      </c>
      <c r="R266" s="1108" t="e">
        <f>+'HR Track 1 HER-TSA'!#REF!</f>
        <v>#REF!</v>
      </c>
      <c r="S266" s="1108" t="e">
        <f>+'HR Track 2 HER-TSA '!#REF!</f>
        <v>#REF!</v>
      </c>
      <c r="T266" s="1108" t="e">
        <f>+'HR Track 3 HER-TSA'!#REF!</f>
        <v>#REF!</v>
      </c>
      <c r="U266" s="1108" t="e">
        <f>+'HR Track 4 HER-TSA'!#REF!</f>
        <v>#REF!</v>
      </c>
      <c r="V266" s="1108" t="e">
        <f>+'HR Track 5 HER-TSA'!#REF!</f>
        <v>#REF!</v>
      </c>
      <c r="W266" s="1108" t="e">
        <f>+'HR Track 5 BBR-HER'!#REF!</f>
        <v>#REF!</v>
      </c>
      <c r="X266" s="1108" t="e">
        <f>+'HR Track 1 BBR-TUN'!#REF!</f>
        <v>#REF!</v>
      </c>
      <c r="Y266" s="1108" t="e">
        <f>+'HR Track 2 BBR-TUN'!#REF!</f>
        <v>#REF!</v>
      </c>
      <c r="Z266" s="1108" t="e">
        <f>+'HR Track 51 HER-TSA'!#REF!</f>
        <v>#REF!</v>
      </c>
      <c r="AA266" s="1108" t="e">
        <f>+'HR Track 52 HER-TSA'!#REF!</f>
        <v>#REF!</v>
      </c>
      <c r="AB266" s="1108" t="e">
        <f>+'HR Track 53 HER-TSA'!#REF!</f>
        <v>#REF!</v>
      </c>
      <c r="AC266" s="1108" t="e">
        <f>+'HR Track 1 TSA-THA'!#REF!</f>
        <v>#REF!</v>
      </c>
      <c r="AD266" s="1108" t="e">
        <f>+'HR Track 1 TSA-THA'!#REF!</f>
        <v>#REF!</v>
      </c>
      <c r="AE266" s="1108" t="e">
        <f>+'HR Track 1 TSA-THA'!#REF!</f>
        <v>#REF!</v>
      </c>
      <c r="AF266" s="1108" t="e">
        <f>+'HR Track 1 TSA-THA'!#REF!</f>
        <v>#REF!</v>
      </c>
      <c r="AG266" s="1108" t="e">
        <f>+'HR Track 1 TSA-THA'!#REF!</f>
        <v>#REF!</v>
      </c>
      <c r="AH266" s="1108" t="e">
        <f>+'HR Track 1 TSA-THA'!#REF!</f>
        <v>#REF!</v>
      </c>
      <c r="AI266" s="1110" t="e">
        <f>+'HR Track 1 TSA-THA'!#REF!</f>
        <v>#REF!</v>
      </c>
      <c r="AJ266" s="1110" t="e">
        <f>+'HR Track 2 TSA-THA'!#REF!</f>
        <v>#REF!</v>
      </c>
      <c r="AK266" s="1110" t="e">
        <f>+'HR Track 3 TSA-THA'!#REF!</f>
        <v>#REF!</v>
      </c>
      <c r="AL266" s="1110" t="e">
        <f>+'HR Track 5 THA-HOLON'!#REF!</f>
        <v>#REF!</v>
      </c>
      <c r="AM266" s="752" t="e">
        <f>+'HR Track 5 THA-HOLON'!#REF!</f>
        <v>#REF!</v>
      </c>
      <c r="AN266" s="200" t="s">
        <v>1098</v>
      </c>
    </row>
    <row r="267" spans="1:40" ht="30" customHeight="1">
      <c r="A267" s="283"/>
      <c r="B267" s="1032" t="s">
        <v>817</v>
      </c>
      <c r="C267" s="1077"/>
      <c r="D267" s="1078" t="s">
        <v>556</v>
      </c>
      <c r="E267" s="1079" t="s">
        <v>699</v>
      </c>
      <c r="F267" s="1078" t="s">
        <v>638</v>
      </c>
      <c r="G267" s="814">
        <f t="shared" si="323"/>
        <v>0</v>
      </c>
      <c r="H267" s="528"/>
      <c r="I267" s="527"/>
      <c r="J267" s="527"/>
      <c r="K267" s="527"/>
      <c r="L267" s="527"/>
      <c r="M267" s="527"/>
      <c r="N267" s="527"/>
      <c r="O267" s="527"/>
      <c r="P267" s="527"/>
      <c r="Q267" s="527"/>
      <c r="R267" s="527"/>
      <c r="S267" s="527"/>
      <c r="T267" s="527"/>
      <c r="U267" s="246"/>
      <c r="V267" s="246"/>
      <c r="W267" s="246"/>
      <c r="X267" s="246"/>
      <c r="Y267" s="246"/>
      <c r="Z267" s="527"/>
      <c r="AA267" s="527"/>
      <c r="AB267" s="527"/>
      <c r="AC267" s="527"/>
      <c r="AD267" s="527"/>
      <c r="AE267" s="527"/>
      <c r="AF267" s="527"/>
      <c r="AG267" s="527"/>
      <c r="AH267" s="527"/>
      <c r="AI267" s="246"/>
      <c r="AJ267" s="246"/>
      <c r="AK267" s="246"/>
      <c r="AL267" s="246"/>
      <c r="AM267" s="244"/>
      <c r="AN267" s="1080" t="s">
        <v>1099</v>
      </c>
    </row>
    <row r="268" spans="1:40" ht="30" customHeight="1">
      <c r="A268" s="242" t="s">
        <v>853</v>
      </c>
      <c r="B268" s="1033"/>
      <c r="C268" s="333"/>
      <c r="D268" s="245" t="s">
        <v>700</v>
      </c>
      <c r="E268" s="305" t="s">
        <v>701</v>
      </c>
      <c r="F268" s="245" t="s">
        <v>638</v>
      </c>
      <c r="G268" s="811">
        <f t="shared" si="323"/>
        <v>0</v>
      </c>
      <c r="H268" s="528"/>
      <c r="I268" s="527"/>
      <c r="J268" s="527"/>
      <c r="K268" s="527"/>
      <c r="L268" s="527"/>
      <c r="M268" s="527"/>
      <c r="N268" s="527"/>
      <c r="O268" s="527"/>
      <c r="P268" s="527"/>
      <c r="Q268" s="527"/>
      <c r="R268" s="527"/>
      <c r="S268" s="527"/>
      <c r="T268" s="527"/>
      <c r="U268" s="246"/>
      <c r="V268" s="246"/>
      <c r="W268" s="246"/>
      <c r="X268" s="246"/>
      <c r="Y268" s="246"/>
      <c r="Z268" s="527"/>
      <c r="AA268" s="527"/>
      <c r="AB268" s="527"/>
      <c r="AC268" s="527"/>
      <c r="AD268" s="527"/>
      <c r="AE268" s="527"/>
      <c r="AF268" s="527"/>
      <c r="AG268" s="527"/>
      <c r="AH268" s="527"/>
      <c r="AI268" s="246"/>
      <c r="AJ268" s="246"/>
      <c r="AK268" s="246"/>
      <c r="AL268" s="246"/>
      <c r="AM268" s="247"/>
      <c r="AN268" s="1085" t="s">
        <v>1351</v>
      </c>
    </row>
    <row r="269" spans="1:40" ht="30" customHeight="1">
      <c r="A269" s="282"/>
      <c r="B269" s="1054"/>
      <c r="C269" s="334"/>
      <c r="D269" s="248" t="s">
        <v>702</v>
      </c>
      <c r="E269" s="304" t="s">
        <v>703</v>
      </c>
      <c r="F269" s="248" t="s">
        <v>638</v>
      </c>
      <c r="G269" s="1104">
        <f t="shared" si="323"/>
        <v>0</v>
      </c>
      <c r="H269" s="1105"/>
      <c r="I269" s="1082"/>
      <c r="J269" s="1082"/>
      <c r="K269" s="1082"/>
      <c r="L269" s="1082"/>
      <c r="M269" s="1082"/>
      <c r="N269" s="1082"/>
      <c r="O269" s="1082"/>
      <c r="P269" s="1082"/>
      <c r="Q269" s="1082"/>
      <c r="R269" s="1082"/>
      <c r="S269" s="1082"/>
      <c r="T269" s="1082"/>
      <c r="U269" s="1083"/>
      <c r="V269" s="1083"/>
      <c r="W269" s="1083"/>
      <c r="X269" s="1083"/>
      <c r="Y269" s="1083"/>
      <c r="Z269" s="1082"/>
      <c r="AA269" s="1082"/>
      <c r="AB269" s="1082"/>
      <c r="AC269" s="1082"/>
      <c r="AD269" s="1082"/>
      <c r="AE269" s="1082"/>
      <c r="AF269" s="1082"/>
      <c r="AG269" s="1082"/>
      <c r="AH269" s="1082"/>
      <c r="AI269" s="1083"/>
      <c r="AJ269" s="1083"/>
      <c r="AK269" s="1083"/>
      <c r="AL269" s="1083"/>
      <c r="AM269" s="1084"/>
      <c r="AN269" s="1090" t="s">
        <v>1100</v>
      </c>
    </row>
    <row r="270" spans="1:40" ht="30" customHeight="1">
      <c r="A270" s="284" t="s">
        <v>1410</v>
      </c>
      <c r="B270" s="1023"/>
      <c r="C270" s="1068"/>
      <c r="D270" s="1092" t="s">
        <v>557</v>
      </c>
      <c r="E270" s="1093" t="s">
        <v>558</v>
      </c>
      <c r="F270" s="1092" t="s">
        <v>704</v>
      </c>
      <c r="G270" s="810">
        <f t="shared" si="323"/>
        <v>0</v>
      </c>
      <c r="H270" s="525"/>
      <c r="AK270" s="190"/>
      <c r="AM270" s="233"/>
      <c r="AN270" s="1111" t="s">
        <v>1104</v>
      </c>
    </row>
    <row r="271" spans="1:40" ht="30" customHeight="1">
      <c r="A271" s="285" t="s">
        <v>815</v>
      </c>
      <c r="B271" s="288"/>
      <c r="C271" s="326"/>
      <c r="D271" s="228" t="s">
        <v>559</v>
      </c>
      <c r="E271" s="301" t="s">
        <v>103</v>
      </c>
      <c r="F271" s="228" t="s">
        <v>705</v>
      </c>
      <c r="G271" s="810">
        <f t="shared" si="323"/>
        <v>0</v>
      </c>
      <c r="H271" s="525"/>
      <c r="AK271" s="190"/>
      <c r="AM271" s="233"/>
      <c r="AN271" s="1112" t="s">
        <v>1103</v>
      </c>
    </row>
    <row r="272" spans="1:40" ht="30" customHeight="1">
      <c r="A272" s="50"/>
      <c r="B272" s="288"/>
      <c r="C272" s="326"/>
      <c r="D272" s="228" t="s">
        <v>560</v>
      </c>
      <c r="E272" s="301" t="s">
        <v>706</v>
      </c>
      <c r="F272" s="228" t="s">
        <v>704</v>
      </c>
      <c r="G272" s="810">
        <f t="shared" si="323"/>
        <v>0</v>
      </c>
      <c r="H272" s="525"/>
      <c r="AK272" s="190"/>
      <c r="AM272" s="233"/>
      <c r="AN272" s="1112" t="s">
        <v>1101</v>
      </c>
    </row>
    <row r="273" spans="1:40" ht="30" customHeight="1">
      <c r="A273" s="50"/>
      <c r="B273" s="288"/>
      <c r="C273" s="326"/>
      <c r="D273" s="228" t="s">
        <v>892</v>
      </c>
      <c r="E273" s="301" t="s">
        <v>893</v>
      </c>
      <c r="F273" s="228" t="s">
        <v>704</v>
      </c>
      <c r="G273" s="810">
        <f t="shared" si="323"/>
        <v>0</v>
      </c>
      <c r="H273" s="525"/>
      <c r="AK273" s="190"/>
      <c r="AM273" s="233"/>
      <c r="AN273" s="1112" t="s">
        <v>1102</v>
      </c>
    </row>
    <row r="274" spans="1:40" ht="30" customHeight="1">
      <c r="A274" s="50"/>
      <c r="B274" s="288"/>
      <c r="C274" s="326"/>
      <c r="D274" s="228" t="s">
        <v>561</v>
      </c>
      <c r="E274" s="301" t="s">
        <v>707</v>
      </c>
      <c r="F274" s="228" t="s">
        <v>638</v>
      </c>
      <c r="G274" s="810">
        <f t="shared" si="323"/>
        <v>0</v>
      </c>
      <c r="H274" s="525"/>
      <c r="AK274" s="190"/>
      <c r="AM274" s="233"/>
      <c r="AN274" s="1112" t="s">
        <v>1105</v>
      </c>
    </row>
    <row r="275" spans="1:40" ht="30" customHeight="1">
      <c r="A275" s="50"/>
      <c r="B275" s="288"/>
      <c r="C275" s="326"/>
      <c r="D275" s="228" t="s">
        <v>562</v>
      </c>
      <c r="E275" s="301" t="s">
        <v>709</v>
      </c>
      <c r="F275" s="228" t="s">
        <v>708</v>
      </c>
      <c r="G275" s="810">
        <f t="shared" si="323"/>
        <v>0</v>
      </c>
      <c r="H275" s="525"/>
      <c r="AK275" s="190"/>
      <c r="AM275" s="233"/>
      <c r="AN275" s="1112" t="s">
        <v>1120</v>
      </c>
    </row>
    <row r="276" spans="1:40" ht="30" customHeight="1">
      <c r="A276" s="50"/>
      <c r="B276" s="288"/>
      <c r="C276" s="326"/>
      <c r="D276" s="228" t="s">
        <v>563</v>
      </c>
      <c r="E276" s="301" t="s">
        <v>710</v>
      </c>
      <c r="F276" s="228" t="s">
        <v>708</v>
      </c>
      <c r="G276" s="810">
        <f t="shared" si="323"/>
        <v>0</v>
      </c>
      <c r="H276" s="525"/>
      <c r="AK276" s="190"/>
      <c r="AM276" s="233"/>
      <c r="AN276" s="1112" t="s">
        <v>1121</v>
      </c>
    </row>
    <row r="277" spans="1:40" ht="30" customHeight="1">
      <c r="A277" s="50"/>
      <c r="B277" s="288"/>
      <c r="C277" s="326"/>
      <c r="D277" s="228" t="s">
        <v>564</v>
      </c>
      <c r="E277" s="301" t="s">
        <v>565</v>
      </c>
      <c r="F277" s="228" t="s">
        <v>711</v>
      </c>
      <c r="G277" s="810">
        <f t="shared" si="323"/>
        <v>0</v>
      </c>
      <c r="H277" s="525"/>
      <c r="AK277" s="190"/>
      <c r="AM277" s="233"/>
      <c r="AN277" s="1112" t="s">
        <v>1107</v>
      </c>
    </row>
    <row r="278" spans="1:40" ht="30" customHeight="1">
      <c r="A278" s="50"/>
      <c r="B278" s="288"/>
      <c r="C278" s="326"/>
      <c r="D278" s="228" t="s">
        <v>566</v>
      </c>
      <c r="E278" s="301" t="s">
        <v>567</v>
      </c>
      <c r="F278" s="228" t="s">
        <v>711</v>
      </c>
      <c r="G278" s="810">
        <f t="shared" si="323"/>
        <v>0</v>
      </c>
      <c r="H278" s="525"/>
      <c r="AK278" s="190"/>
      <c r="AM278" s="233"/>
      <c r="AN278" s="1112" t="s">
        <v>1106</v>
      </c>
    </row>
    <row r="279" spans="1:40" ht="30" customHeight="1">
      <c r="A279" s="50"/>
      <c r="B279" s="288"/>
      <c r="C279" s="326"/>
      <c r="D279" s="228" t="s">
        <v>568</v>
      </c>
      <c r="E279" s="301" t="s">
        <v>569</v>
      </c>
      <c r="F279" s="228" t="s">
        <v>712</v>
      </c>
      <c r="G279" s="810">
        <f t="shared" si="323"/>
        <v>0</v>
      </c>
      <c r="H279" s="525"/>
      <c r="AK279" s="190"/>
      <c r="AM279" s="233"/>
      <c r="AN279" s="1112" t="s">
        <v>1113</v>
      </c>
    </row>
    <row r="280" spans="1:40" ht="30" customHeight="1">
      <c r="A280" s="50"/>
      <c r="B280" s="288"/>
      <c r="C280" s="326"/>
      <c r="D280" s="228" t="s">
        <v>570</v>
      </c>
      <c r="E280" s="301" t="s">
        <v>571</v>
      </c>
      <c r="F280" s="228" t="s">
        <v>712</v>
      </c>
      <c r="G280" s="810">
        <f t="shared" si="323"/>
        <v>0</v>
      </c>
      <c r="H280" s="525"/>
      <c r="AK280" s="190"/>
      <c r="AM280" s="233"/>
      <c r="AN280" s="1112" t="s">
        <v>1112</v>
      </c>
    </row>
    <row r="281" spans="1:40" ht="30" customHeight="1">
      <c r="A281" s="50"/>
      <c r="B281" s="288"/>
      <c r="C281" s="326"/>
      <c r="D281" s="228" t="s">
        <v>572</v>
      </c>
      <c r="E281" s="301" t="s">
        <v>573</v>
      </c>
      <c r="F281" s="228" t="s">
        <v>638</v>
      </c>
      <c r="G281" s="810">
        <f t="shared" si="323"/>
        <v>0</v>
      </c>
      <c r="H281" s="525"/>
      <c r="AK281" s="190"/>
      <c r="AM281" s="233"/>
      <c r="AN281" s="1112" t="s">
        <v>1115</v>
      </c>
    </row>
    <row r="282" spans="1:40" ht="30" customHeight="1">
      <c r="A282" s="50"/>
      <c r="B282" s="288"/>
      <c r="C282" s="326"/>
      <c r="D282" s="228" t="s">
        <v>574</v>
      </c>
      <c r="E282" s="301" t="s">
        <v>575</v>
      </c>
      <c r="F282" s="228" t="s">
        <v>638</v>
      </c>
      <c r="G282" s="810">
        <f t="shared" si="323"/>
        <v>0</v>
      </c>
      <c r="H282" s="525"/>
      <c r="AK282" s="190"/>
      <c r="AM282" s="233"/>
      <c r="AN282" s="1112" t="s">
        <v>1114</v>
      </c>
    </row>
    <row r="283" spans="1:40" ht="30" customHeight="1">
      <c r="A283" s="240"/>
      <c r="B283" s="1026"/>
      <c r="C283" s="328"/>
      <c r="D283" s="235" t="s">
        <v>576</v>
      </c>
      <c r="E283" s="303" t="s">
        <v>577</v>
      </c>
      <c r="F283" s="235" t="s">
        <v>713</v>
      </c>
      <c r="G283" s="1103">
        <f t="shared" si="323"/>
        <v>0</v>
      </c>
      <c r="H283" s="525"/>
      <c r="U283" s="189"/>
      <c r="V283" s="189"/>
      <c r="W283" s="189"/>
      <c r="X283" s="189"/>
      <c r="Y283" s="189"/>
      <c r="AI283" s="189"/>
      <c r="AJ283" s="189"/>
      <c r="AK283" s="189"/>
      <c r="AL283" s="189"/>
      <c r="AM283" s="543"/>
      <c r="AN283" s="1113" t="s">
        <v>1122</v>
      </c>
    </row>
    <row r="284" spans="1:40" ht="30" customHeight="1">
      <c r="A284" s="744"/>
      <c r="B284" s="1055" t="s">
        <v>854</v>
      </c>
      <c r="C284" s="753"/>
      <c r="D284" s="756" t="s">
        <v>578</v>
      </c>
      <c r="E284" s="299" t="s">
        <v>714</v>
      </c>
      <c r="F284" s="300" t="s">
        <v>638</v>
      </c>
      <c r="G284" s="816" t="e">
        <f t="shared" si="323"/>
        <v>#REF!</v>
      </c>
      <c r="H284" s="785" t="e">
        <f>+'HR Track 1 RIS-HER'!#REF!</f>
        <v>#REF!</v>
      </c>
      <c r="I284" s="522" t="e">
        <f>+'HR Track 2 RIS-HER'!#REF!</f>
        <v>#REF!</v>
      </c>
      <c r="J284" s="522" t="e">
        <f>+'HR Track 1 RAAN-HER'!#REF!</f>
        <v>#REF!</v>
      </c>
      <c r="K284" s="522" t="e">
        <f>+'HR Track 2 RAAN-HER'!#REF!</f>
        <v>#REF!</v>
      </c>
      <c r="L284" s="522" t="e">
        <f>+'HR Track 1 HER'!#REF!</f>
        <v>#REF!</v>
      </c>
      <c r="M284" s="522" t="e">
        <f>+'HR Track 2 HER'!#REF!</f>
        <v>#REF!</v>
      </c>
      <c r="N284" s="522" t="e">
        <f>+'HR Track 3 HER'!#REF!</f>
        <v>#REF!</v>
      </c>
      <c r="O284" s="522" t="e">
        <f>+'HR Track 4 HER'!#REF!</f>
        <v>#REF!</v>
      </c>
      <c r="P284" s="522" t="e">
        <f>+'HR Track 5 HER'!#REF!</f>
        <v>#REF!</v>
      </c>
      <c r="Q284" s="522" t="e">
        <f>+'HR Track 6 HER'!#REF!</f>
        <v>#REF!</v>
      </c>
      <c r="R284" s="522" t="e">
        <f>+'HR Track 1 HER-TSA'!#REF!</f>
        <v>#REF!</v>
      </c>
      <c r="S284" s="522" t="e">
        <f>+'HR Track 2 HER-TSA '!#REF!</f>
        <v>#REF!</v>
      </c>
      <c r="T284" s="522" t="e">
        <f>+'HR Track 3 HER-TSA'!#REF!</f>
        <v>#REF!</v>
      </c>
      <c r="U284" s="522" t="e">
        <f>+'HR Track 4 HER-TSA'!#REF!</f>
        <v>#REF!</v>
      </c>
      <c r="V284" s="522" t="e">
        <f>+'HR Track 5 HER-TSA'!#REF!</f>
        <v>#REF!</v>
      </c>
      <c r="W284" s="522" t="e">
        <f>+'HR Track 5 BBR-HER'!#REF!</f>
        <v>#REF!</v>
      </c>
      <c r="X284" s="522" t="e">
        <f>+'HR Track 1 BBR-TUN'!#REF!</f>
        <v>#REF!</v>
      </c>
      <c r="Y284" s="522" t="e">
        <f>+'HR Track 2 BBR-TUN'!#REF!</f>
        <v>#REF!</v>
      </c>
      <c r="Z284" s="522" t="e">
        <f>+'HR Track 51 HER-TSA'!#REF!</f>
        <v>#REF!</v>
      </c>
      <c r="AA284" s="522" t="e">
        <f>+'HR Track 52 HER-TSA'!#REF!</f>
        <v>#REF!</v>
      </c>
      <c r="AB284" s="522" t="e">
        <f>+'HR Track 53 HER-TSA'!#REF!</f>
        <v>#REF!</v>
      </c>
      <c r="AC284" s="522" t="e">
        <f>+'HR Track 1 TSA-THA'!#REF!</f>
        <v>#REF!</v>
      </c>
      <c r="AD284" s="522" t="e">
        <f>+'HR Track 1 TSA-THA'!#REF!</f>
        <v>#REF!</v>
      </c>
      <c r="AE284" s="522" t="e">
        <f>+'HR Track 1 TSA-THA'!#REF!</f>
        <v>#REF!</v>
      </c>
      <c r="AF284" s="522" t="e">
        <f>+'HR Track 1 TSA-THA'!#REF!</f>
        <v>#REF!</v>
      </c>
      <c r="AG284" s="522" t="e">
        <f>+'HR Track 1 TSA-THA'!#REF!</f>
        <v>#REF!</v>
      </c>
      <c r="AH284" s="522" t="e">
        <f>+'HR Track 1 TSA-THA'!#REF!</f>
        <v>#REF!</v>
      </c>
      <c r="AI284" s="231" t="e">
        <f>+'HR Track 1 TSA-THA'!#REF!</f>
        <v>#REF!</v>
      </c>
      <c r="AJ284" s="231" t="e">
        <f>+'HR Track 2 TSA-THA'!#REF!</f>
        <v>#REF!</v>
      </c>
      <c r="AK284" s="231" t="e">
        <f>+'HR Track 3 TSA-THA'!#REF!</f>
        <v>#REF!</v>
      </c>
      <c r="AL284" s="231" t="e">
        <f>+'HR Track 5 THA-HOLON'!#REF!</f>
        <v>#REF!</v>
      </c>
      <c r="AM284" s="232" t="e">
        <f>+'HR Track 5 THA-HOLON'!#REF!</f>
        <v>#REF!</v>
      </c>
      <c r="AN284" s="225" t="s">
        <v>1116</v>
      </c>
    </row>
    <row r="285" spans="1:40" ht="30" customHeight="1">
      <c r="A285" s="259"/>
      <c r="B285" s="1056"/>
      <c r="C285" s="335"/>
      <c r="D285" s="991" t="s">
        <v>579</v>
      </c>
      <c r="E285" s="308" t="s">
        <v>580</v>
      </c>
      <c r="F285" s="309" t="s">
        <v>638</v>
      </c>
      <c r="G285" s="817">
        <f t="shared" si="323"/>
        <v>0</v>
      </c>
      <c r="H285" s="786"/>
      <c r="I285" s="529"/>
      <c r="J285" s="529"/>
      <c r="K285" s="529"/>
      <c r="L285" s="529"/>
      <c r="M285" s="529"/>
      <c r="N285" s="529"/>
      <c r="O285" s="529"/>
      <c r="P285" s="529"/>
      <c r="Q285" s="529"/>
      <c r="R285" s="529"/>
      <c r="S285" s="529"/>
      <c r="T285" s="529"/>
      <c r="U285" s="253"/>
      <c r="V285" s="253"/>
      <c r="W285" s="253"/>
      <c r="X285" s="253"/>
      <c r="Y285" s="253"/>
      <c r="Z285" s="529"/>
      <c r="AA285" s="529"/>
      <c r="AB285" s="529"/>
      <c r="AC285" s="529"/>
      <c r="AD285" s="529"/>
      <c r="AE285" s="529"/>
      <c r="AF285" s="529"/>
      <c r="AG285" s="529"/>
      <c r="AH285" s="529"/>
      <c r="AI285" s="253"/>
      <c r="AJ285" s="253"/>
      <c r="AK285" s="253"/>
      <c r="AL285" s="253"/>
      <c r="AM285" s="254"/>
      <c r="AN285" s="1114" t="s">
        <v>1117</v>
      </c>
    </row>
    <row r="286" spans="1:40" ht="30" customHeight="1">
      <c r="A286" s="50"/>
      <c r="B286" s="288"/>
      <c r="C286" s="336" t="s">
        <v>858</v>
      </c>
      <c r="D286" s="315" t="s">
        <v>581</v>
      </c>
      <c r="E286" s="301" t="s">
        <v>857</v>
      </c>
      <c r="F286" s="228" t="s">
        <v>638</v>
      </c>
      <c r="G286" s="810">
        <f t="shared" si="323"/>
        <v>0</v>
      </c>
      <c r="H286" s="525">
        <f>COUNTIF(Area_v1RISHER,$C286)</f>
        <v>0</v>
      </c>
      <c r="I286" s="189">
        <f>COUNTIF(Area_v2RISHER,$C286)</f>
        <v>0</v>
      </c>
      <c r="J286" s="189">
        <f>COUNTIF(Area_v1RAANHER,$C286)</f>
        <v>0</v>
      </c>
      <c r="K286" s="189">
        <f>COUNTIF(Area_v2RAANHER,$C286)</f>
        <v>0</v>
      </c>
      <c r="L286" s="189">
        <f>COUNTIF(Area_v1HER,$C286)</f>
        <v>0</v>
      </c>
      <c r="M286" s="189">
        <f>COUNTIF(Area_v2HER,$C286)</f>
        <v>0</v>
      </c>
      <c r="N286" s="189">
        <f>COUNTIF(Area_v3HER,$C286)</f>
        <v>0</v>
      </c>
      <c r="O286" s="189">
        <f>COUNTIF(Area_v4HER,$C286)</f>
        <v>0</v>
      </c>
      <c r="P286" s="189">
        <f>COUNTIF(Area_v5HER,$C286)</f>
        <v>0</v>
      </c>
      <c r="Q286" s="189">
        <f>COUNTIF(Area_v6HER,$C286)</f>
        <v>0</v>
      </c>
      <c r="R286" s="189">
        <f>COUNTIF(Area_v1HERTSA,$C286)</f>
        <v>0</v>
      </c>
      <c r="S286" s="189">
        <f>COUNTIF(Area_v2HERTSA,$C286)</f>
        <v>0</v>
      </c>
      <c r="T286" s="189">
        <f>COUNTIF(Area_v3HERTSA,$C286)</f>
        <v>0</v>
      </c>
      <c r="U286" s="190">
        <f>COUNTIF(Area_v4HERTSA,$C286)</f>
        <v>0</v>
      </c>
      <c r="V286" s="190">
        <f>COUNTIF(Area_v5HERTSA,$C286)</f>
        <v>0</v>
      </c>
      <c r="W286" s="190">
        <f>COUNTIF(Area_v5BBRHER,$C286)</f>
        <v>0</v>
      </c>
      <c r="X286" s="190">
        <f>COUNTIF(Area_v1BBRTUN,$C286)</f>
        <v>0</v>
      </c>
      <c r="Y286" s="190">
        <f>COUNTIF(Area_v2BBRTUN,$C286)</f>
        <v>0</v>
      </c>
      <c r="Z286" s="189">
        <f>COUNTIF(Area_v51HERTSA,$C286)</f>
        <v>0</v>
      </c>
      <c r="AA286" s="189">
        <f>COUNTIF(Area_v52HERTSA,$C286)</f>
        <v>0</v>
      </c>
      <c r="AB286" s="189">
        <f>COUNTIF(Area_v53HERTSA,$C286)</f>
        <v>0</v>
      </c>
      <c r="AC286" s="189">
        <f>COUNTIF(Area_v1TSA,$C286)</f>
        <v>0</v>
      </c>
      <c r="AD286" s="189">
        <f>COUNTIF(Area_v2TSA,$C286)</f>
        <v>0</v>
      </c>
      <c r="AE286" s="189">
        <f>COUNTIF(Area_v3TSA,$C286)</f>
        <v>0</v>
      </c>
      <c r="AF286" s="189">
        <f>COUNTIF(Area_v4TSA,$C286)</f>
        <v>0</v>
      </c>
      <c r="AG286" s="189">
        <f>COUNTIF(Area_v5TSA,$C286)</f>
        <v>0</v>
      </c>
      <c r="AH286" s="189">
        <f>COUNTIF(Area_v6TSA,$C286)</f>
        <v>0</v>
      </c>
      <c r="AI286" s="190">
        <f>COUNTIF(Area_v1TSATHA,$C286)</f>
        <v>0</v>
      </c>
      <c r="AJ286" s="190">
        <f>COUNTIF(Area_v2TSATHA,$C286)</f>
        <v>0</v>
      </c>
      <c r="AK286" s="190">
        <f>COUNTIF(Area_v3TSATHA,$C286)</f>
        <v>0</v>
      </c>
      <c r="AL286" s="190">
        <f>COUNTIF(Area_v4THAHOLON,$C286)</f>
        <v>0</v>
      </c>
      <c r="AM286" s="233">
        <f>COUNTIF(Area_v5THAHOLON,$C286)</f>
        <v>0</v>
      </c>
      <c r="AN286" s="225" t="s">
        <v>1118</v>
      </c>
    </row>
    <row r="287" spans="1:40" ht="30" customHeight="1">
      <c r="A287" s="50"/>
      <c r="B287" s="288"/>
      <c r="C287" s="1091" t="s">
        <v>1044</v>
      </c>
      <c r="D287" s="1092" t="s">
        <v>582</v>
      </c>
      <c r="E287" s="301" t="s">
        <v>716</v>
      </c>
      <c r="F287" s="228" t="s">
        <v>715</v>
      </c>
      <c r="G287" s="810">
        <f t="shared" si="323"/>
        <v>1609</v>
      </c>
      <c r="H287" s="525">
        <f>COUNTIF(Area_v1RISHER,"RW1")+COUNTIF(Area_v1RISHER,"RW2")*2</f>
        <v>118</v>
      </c>
      <c r="I287" s="189">
        <f>COUNTIF(Area_v2RISHER,"RW1")+COUNTIF(Area_v2RISHER,"RW2")*2</f>
        <v>118</v>
      </c>
      <c r="J287" s="189">
        <f>COUNTIF(Area_v1RAANHER,"RW1")+COUNTIF(Area_v1RAANHER,"RW2")*2</f>
        <v>79</v>
      </c>
      <c r="K287" s="189">
        <f>COUNTIF(Area_v2RAANHER,"RW1")+COUNTIF(Area_v2RAANHER,"RW2")*2</f>
        <v>70</v>
      </c>
      <c r="L287" s="189">
        <f>COUNTIF(Area_v1HER,"RW1")+COUNTIF(Area_v1HER,"RW2")*2</f>
        <v>56</v>
      </c>
      <c r="M287" s="189">
        <f>COUNTIF(Area_v2HER,"RW1")+COUNTIF(Area_v2HER,"RW2")*2</f>
        <v>17</v>
      </c>
      <c r="N287" s="189">
        <f>COUNTIF(Area_v3HER,"RW1")+COUNTIF(Area_v3HER,"RW2")*2</f>
        <v>3</v>
      </c>
      <c r="O287" s="189">
        <f>COUNTIF(Area_v4HER,"RW1")+COUNTIF(Area_v4HER,"RW2")*2</f>
        <v>28</v>
      </c>
      <c r="P287" s="189">
        <f>COUNTIF(Area_v5HER,"RW1")+COUNTIF(Area_v5HER,"RW2")*2</f>
        <v>5</v>
      </c>
      <c r="Q287" s="189">
        <f>COUNTIF(Area_v6HER,"RW1")+COUNTIF(Area_v6HER,"RW2")*2</f>
        <v>76</v>
      </c>
      <c r="R287" s="189">
        <f>COUNTIF(Area_v1HERTSA,"RW1")+COUNTIF(Area_v1HERTSA,"RW2")*2</f>
        <v>163</v>
      </c>
      <c r="S287" s="189">
        <f>COUNTIF(Area_v2HERTSA,"RW1")+COUNTIF(Area_v2HERTSA,"RW2")*2</f>
        <v>42</v>
      </c>
      <c r="T287" s="189">
        <f>COUNTIF(Area_v3HERTSA,"RW1")+COUNTIF(Area_v3HERTSA,"RW2")*2</f>
        <v>39</v>
      </c>
      <c r="U287" s="190">
        <f>COUNTIF(Area_v4HERTSA,"RW1")+COUNTIF(Area_v4HERTSA,"RW2")*2</f>
        <v>160</v>
      </c>
      <c r="V287" s="190">
        <f>COUNTIF(Area_v5HERTSA,"RW1")+COUNTIF(Area_v5HERTSA,"RW2")*2</f>
        <v>3</v>
      </c>
      <c r="W287" s="190">
        <f>COUNTIF(Area_v5BBRHER,"RW1")+COUNTIF(Area_v5BBRHER,"RW2")*2</f>
        <v>27</v>
      </c>
      <c r="X287" s="190">
        <f>COUNTIF(Area_v1BBRTUN,"RW1")+COUNTIF(Area_v1BBRTUN,"RW2")*2</f>
        <v>43</v>
      </c>
      <c r="Y287" s="190">
        <f>COUNTIF(Area_v2BBRTUN,"RW1")+COUNTIF(Area_v2BBRTUN,"RW2")*2</f>
        <v>42</v>
      </c>
      <c r="Z287" s="189">
        <f>COUNTIF(Area_v51HERTSA,"RW1")+COUNTIF(Area_v51HERTSA,"RW2")*2</f>
        <v>7</v>
      </c>
      <c r="AA287" s="189">
        <f>COUNTIF(Area_v52HERTSA,"RW1")+COUNTIF(Area_v52HERTSA,"RW2")*2</f>
        <v>0</v>
      </c>
      <c r="AB287" s="189">
        <f>COUNTIF(Area_v53HERTSA,"RW1")+COUNTIF(Area_v53HERTSA,"RW2")*2</f>
        <v>11</v>
      </c>
      <c r="AC287" s="189">
        <f>COUNTIF(Area_v1TSA,"RW1")+COUNTIF(Area_v1TSA,"RW2")*2</f>
        <v>37</v>
      </c>
      <c r="AD287" s="189">
        <f>COUNTIF(Area_v2TSA,"RW1")+COUNTIF(Area_v2TSA,"RW2")*2</f>
        <v>0</v>
      </c>
      <c r="AE287" s="189">
        <f>COUNTIF(Area_v3TSA,"RW1")+COUNTIF(Area_v3TSA,"RW2")*2</f>
        <v>0</v>
      </c>
      <c r="AF287" s="189">
        <f>COUNTIF(Area_v4TSA,"RW1")+COUNTIF(Area_v4TSA,"RW2")*2</f>
        <v>10</v>
      </c>
      <c r="AG287" s="189">
        <f>COUNTIF(Area_v5TSA,"RW1")+COUNTIF(Area_v5TSA,"RW2")*2</f>
        <v>5</v>
      </c>
      <c r="AH287" s="189">
        <f>COUNTIF(Area_v6TSA,"RW1")+COUNTIF(Area_v6TSA,"RW2")*2</f>
        <v>33</v>
      </c>
      <c r="AI287" s="190">
        <f>COUNTIF(Area_v1TSATHA,"RW1")+COUNTIF(Area_v1TSATHA,"RW2")*2</f>
        <v>209</v>
      </c>
      <c r="AJ287" s="190">
        <f>COUNTIF(Area_v2TSATHA,"RW1")+COUNTIF(Area_v2TSATHA,"RW2")*2</f>
        <v>6</v>
      </c>
      <c r="AK287" s="190">
        <f>COUNTIF(Area_v3TSATHA,"RW1")+COUNTIF(Area_v3TSATHA,"RW2")*2</f>
        <v>152</v>
      </c>
      <c r="AL287" s="190">
        <f>COUNTIF(Area_v4THAHOLON,"RW1")+COUNTIF(Area_v4THAHOLON,"RW2")*2</f>
        <v>24</v>
      </c>
      <c r="AM287" s="233">
        <f>COUNTIF(Area_v5THAHOLON,"RW1")+COUNTIF(Area_v5THAHOLON,"RW2")*2</f>
        <v>26</v>
      </c>
      <c r="AN287" s="225" t="s">
        <v>1119</v>
      </c>
    </row>
    <row r="288" spans="1:40" ht="30" customHeight="1">
      <c r="B288" s="1030" t="s">
        <v>1385</v>
      </c>
      <c r="C288" s="326" t="s">
        <v>1039</v>
      </c>
      <c r="D288" s="228" t="s">
        <v>583</v>
      </c>
      <c r="E288" s="301" t="s">
        <v>859</v>
      </c>
      <c r="F288" s="228" t="s">
        <v>717</v>
      </c>
      <c r="G288" s="810">
        <f t="shared" si="323"/>
        <v>86</v>
      </c>
      <c r="H288" s="525">
        <f>COUNTIF(Area_v1RISHER,$C288)</f>
        <v>1</v>
      </c>
      <c r="I288" s="189">
        <f>COUNTIF(Area_v2RISHER,$C288)</f>
        <v>0</v>
      </c>
      <c r="J288" s="189">
        <f>COUNTIF(Area_v1RAANHER,$C288)</f>
        <v>1</v>
      </c>
      <c r="K288" s="189">
        <f>COUNTIF(Area_v2RAANHER,$C288)</f>
        <v>2</v>
      </c>
      <c r="L288" s="189">
        <f>COUNTIF(Area_v1HER,$C288)</f>
        <v>3</v>
      </c>
      <c r="M288" s="189">
        <f>COUNTIF(Area_v2HER,$C288)</f>
        <v>6</v>
      </c>
      <c r="N288" s="189">
        <f>COUNTIF(Area_v3HER,$C288)</f>
        <v>0</v>
      </c>
      <c r="O288" s="189">
        <f>COUNTIF(Area_v4HER,$C288)</f>
        <v>7</v>
      </c>
      <c r="P288" s="189">
        <f>COUNTIF(Area_v5HER,$C288)</f>
        <v>6</v>
      </c>
      <c r="Q288" s="189">
        <f>COUNTIF(Area_v6HER,$C288)</f>
        <v>7</v>
      </c>
      <c r="R288" s="189">
        <f>COUNTIF(Area_v1HERTSA,$C288)</f>
        <v>10</v>
      </c>
      <c r="S288" s="189">
        <f>COUNTIF(Area_v2HERTSA,$C288)</f>
        <v>6</v>
      </c>
      <c r="T288" s="189">
        <f>COUNTIF(Area_v3HERTSA,$C288)</f>
        <v>5</v>
      </c>
      <c r="U288" s="190">
        <f>COUNTIF(Area_v4HERTSA,$C288)</f>
        <v>7</v>
      </c>
      <c r="V288" s="190">
        <f>COUNTIF(Area_v5HERTSA,$C288)</f>
        <v>1</v>
      </c>
      <c r="W288" s="190">
        <f>COUNTIF(Area_v5BBRHER,$C288)</f>
        <v>3</v>
      </c>
      <c r="X288" s="190">
        <f>COUNTIF(Area_v1BBRTUN,$C288)</f>
        <v>3</v>
      </c>
      <c r="Y288" s="190">
        <f>COUNTIF(Area_v2BBRTUN,$C288)</f>
        <v>3</v>
      </c>
      <c r="Z288" s="189">
        <f>COUNTIF(Area_v51HERTSA,$C288)</f>
        <v>1</v>
      </c>
      <c r="AA288" s="189">
        <f>COUNTIF(Area_v52HERTSA,$C288)</f>
        <v>0</v>
      </c>
      <c r="AB288" s="189">
        <f>COUNTIF(Area_v53HERTSA,$C288)</f>
        <v>0</v>
      </c>
      <c r="AC288" s="189">
        <f>COUNTIF(Area_v1TSA,$C288)</f>
        <v>0</v>
      </c>
      <c r="AD288" s="189">
        <f>COUNTIF(Area_v2TSA,$C288)</f>
        <v>0</v>
      </c>
      <c r="AE288" s="189">
        <f>COUNTIF(Area_v3TSA,$C288)</f>
        <v>0</v>
      </c>
      <c r="AF288" s="189">
        <f>COUNTIF(Area_v4TSA,$C288)</f>
        <v>3</v>
      </c>
      <c r="AG288" s="189">
        <f>COUNTIF(Area_v5TSA,$C288)</f>
        <v>1</v>
      </c>
      <c r="AH288" s="189">
        <f>COUNTIF(Area_v6TSA,$C288)</f>
        <v>0</v>
      </c>
      <c r="AI288" s="190">
        <f>COUNTIF(Area_v1TSATHA,$C288)</f>
        <v>5</v>
      </c>
      <c r="AJ288" s="190">
        <f>COUNTIF(Area_v2TSATHA,$C288)</f>
        <v>0</v>
      </c>
      <c r="AK288" s="190">
        <f>COUNTIF(Area_v3TSATHA,$C288)</f>
        <v>3</v>
      </c>
      <c r="AL288" s="190">
        <f>COUNTIF(Area_v4THAHOLON,$C288)*2</f>
        <v>0</v>
      </c>
      <c r="AM288" s="233">
        <f>COUNTIF(Area_v5THAHOLON,$C288)*2</f>
        <v>2</v>
      </c>
      <c r="AN288" s="225" t="s">
        <v>1123</v>
      </c>
    </row>
    <row r="289" spans="1:40" ht="30" customHeight="1">
      <c r="A289" s="50"/>
      <c r="B289" s="288"/>
      <c r="C289" s="326" t="s">
        <v>1381</v>
      </c>
      <c r="D289" s="228" t="s">
        <v>584</v>
      </c>
      <c r="E289" s="301" t="s">
        <v>1380</v>
      </c>
      <c r="F289" s="228" t="s">
        <v>715</v>
      </c>
      <c r="G289" s="810">
        <f t="shared" si="323"/>
        <v>41</v>
      </c>
      <c r="H289" s="525">
        <f>COUNTIF(Area_v1RISHER,"RW1T-S")+COUNTIF(Area_v1RISHER,"RW2T-SC")+COUNTIF(Area_v1RISHER,"RW2T-S")*2</f>
        <v>0</v>
      </c>
      <c r="I289" s="189">
        <f>COUNTIF(Area_v2RISHER,"RW1T-S")+COUNTIF(Area_v2RISHER,"RW2T-SC")+COUNTIF(Area_v2RISHER,"RW2T-S")*2</f>
        <v>0</v>
      </c>
      <c r="J289" s="189">
        <f>COUNTIF(Area_v1RAANHER,"RW1T-S")+COUNTIF(Area_v1RAANHER,"RW2T-SC")+COUNTIF(Area_v1RAANHER,"RW2T-S")*2</f>
        <v>0</v>
      </c>
      <c r="K289" s="189">
        <f>COUNTIF(Area_v2RAANHER,"RW1T-S")+COUNTIF(Area_v2RAANHER,"RW2T-SC")+COUNTIF(Area_v2RAANHER,"RW2T-S")*2</f>
        <v>0</v>
      </c>
      <c r="L289" s="189">
        <f>COUNTIF(Area_v1HER,"RW1T-S")+COUNTIF(Area_v1HER,"RW2T-SC")+COUNTIF(Area_v1HER,"RW2T-S")*2</f>
        <v>1</v>
      </c>
      <c r="M289" s="189">
        <f>COUNTIF(Area_v2HER,"RW1T-S")+COUNTIF(Area_v2HER,"RW2T-SC")+COUNTIF(Area_v2HER,"RW2T-S")*2</f>
        <v>1</v>
      </c>
      <c r="N289" s="189">
        <f>COUNTIF(Area_v3HER,"RW1T-S")+COUNTIF(Area_v3HER,"RW2T-SC")+COUNTIF(Area_v3HER,"RW2T-S")*2</f>
        <v>1</v>
      </c>
      <c r="O289" s="189">
        <f>COUNTIF(Area_v4HER,"RW1T-S")+COUNTIF(Area_v4HER,"RW2T-SC")+COUNTIF(Area_v4HER,"RW2T-S")*2</f>
        <v>1</v>
      </c>
      <c r="P289" s="189">
        <f>COUNTIF(Area_v5HER,"RW1T-S")+COUNTIF(Area_v5HER,"RW2T-SC")+COUNTIF(Area_v5HER,"RW2T-S")*2</f>
        <v>1</v>
      </c>
      <c r="Q289" s="189">
        <f>COUNTIF(Area_v6HER,"RW1T-S")+COUNTIF(Area_v6HER,"RW2T-SC")+COUNTIF(Area_v6HER,"RW2T-S")*2</f>
        <v>1</v>
      </c>
      <c r="R289" s="189">
        <f>COUNTIF(Area_v1HERTSA,"RW1T-S")+COUNTIF(Area_v1HERTSA,"RW2T-SC")+COUNTIF(Area_v1HERTSA,"RW2T-S")*2</f>
        <v>0</v>
      </c>
      <c r="S289" s="189">
        <f>COUNTIF(Area_v2HERTSA,"RW1T-S")+COUNTIF(Area_v2HERTSA,"RW2T-SC")+COUNTIF(Area_v2HERTSA,"RW2T-S")*2</f>
        <v>0</v>
      </c>
      <c r="T289" s="189">
        <f>COUNTIF(Area_v3HERTSA,"RW1T-S")+COUNTIF(Area_v3HERTSA,"RW2T-SC")+COUNTIF(Area_v3HERTSA,"RW2T-S")*2</f>
        <v>0</v>
      </c>
      <c r="U289" s="190">
        <f>COUNTIF(Area_v4HERTSA,"RW1T-S")+COUNTIF(Area_v4HERTSA,"RW2T-SC")+COUNTIF(Area_v4HERTSA,"RW2T-S")*2</f>
        <v>0</v>
      </c>
      <c r="V289" s="190">
        <f>COUNTIF(Area_v5HERTSA,"RW1T-S")+COUNTIF(Area_v5HERTSA,"RW2T-SC")+COUNTIF(Area_v5HERTSA,"RW2T-S")*2</f>
        <v>0</v>
      </c>
      <c r="W289" s="190">
        <f>COUNTIF(Area_v5BBRHER,"RW1T-S")+COUNTIF(Area_v5BBRHER,"RW2T-SC")+COUNTIF(Area_v5BBRHER,"RW2T-S")*2</f>
        <v>0</v>
      </c>
      <c r="X289" s="190">
        <f>COUNTIF(Area_v1BBRTUN,"RW1T-S")+COUNTIF(Area_v1BBRTUN,"RW2T-SC")+COUNTIF(Area_v1BBRTUN,"RW2T-S")*2</f>
        <v>4</v>
      </c>
      <c r="Y289" s="190">
        <f>COUNTIF(Area_v2BBRTUN,"RW1T-S")+COUNTIF(Area_v2BBRTUN,"RW2T-SC")+COUNTIF(Area_v2BBRTUN,"RW2T-S")*2</f>
        <v>3</v>
      </c>
      <c r="Z289" s="189">
        <f>COUNTIF(Area_v51HERTSA,"RW1T-S")+COUNTIF(Area_v51HERTSA,"RW2T-SC")+COUNTIF(Area_v51HERTSA,"RW2T-S")*2</f>
        <v>0</v>
      </c>
      <c r="AA289" s="189">
        <f>COUNTIF(Area_v52HERTSA,"RW1T-S")+COUNTIF(Area_v52HERTSA,"RW2T-SC")+COUNTIF(Area_v52HERTSA,"RW2T-S")*2</f>
        <v>0</v>
      </c>
      <c r="AB289" s="189">
        <f>COUNTIF(Area_v53HERTSA,"RW1T-S")+COUNTIF(Area_v53HERTSA,"RW2T-SC")+COUNTIF(Area_v53HERTSA,"RW2T-S")*2</f>
        <v>0</v>
      </c>
      <c r="AC289" s="189">
        <f>COUNTIF(Area_v1TSA,"RW1T-S")+COUNTIF(Area_v1TSA,"RW2T-SC")+COUNTIF(Area_v1TSA,"RW2T-S")*2</f>
        <v>2</v>
      </c>
      <c r="AD289" s="189">
        <f>COUNTIF(Area_v2TSA,"RW1T-S")+COUNTIF(Area_v2TSA,"RW2T-SC")+COUNTIF(Area_v2TSA,"RW2T-S")*2</f>
        <v>0</v>
      </c>
      <c r="AE289" s="189">
        <f>COUNTIF(Area_v3TSA,"RW1T-S")+COUNTIF(Area_v3TSA,"RW2T-SC")+COUNTIF(Area_v3TSA,"RW2T-S")*2</f>
        <v>0</v>
      </c>
      <c r="AF289" s="189">
        <f>COUNTIF(Area_v4TSA,"RW1T-S")+COUNTIF(Area_v4TSA,"RW2T-SC")+COUNTIF(Area_v4TSA,"RW2T-S")*2</f>
        <v>0</v>
      </c>
      <c r="AG289" s="189">
        <f>COUNTIF(Area_v5TSA,"RW1T-S")+COUNTIF(Area_v5TSA,"RW2T-SC")+COUNTIF(Area_v5TSA,"RW2T-S")*2</f>
        <v>0</v>
      </c>
      <c r="AH289" s="189">
        <f>COUNTIF(Area_v6TSA,"RW1T-S")+COUNTIF(Area_v6TSA,"RW2T-SC")+COUNTIF(Area_v6TSA,"RW2T-S")*2</f>
        <v>2</v>
      </c>
      <c r="AI289" s="190">
        <f>COUNTIF(Area_v1TSATHA,"RW1T-S")+COUNTIF(Area_v1TSATHA,"RW2T-SC")+COUNTIF(Area_v1TSATHA,"RW2T-S")*2</f>
        <v>6</v>
      </c>
      <c r="AJ289" s="190">
        <f>COUNTIF(Area_v2TSATHA,"RW1T-S")+COUNTIF(Area_v2TSATHA,"RW2T-SC")+COUNTIF(Area_v2TSATHA,"RW2T-S")*2</f>
        <v>3</v>
      </c>
      <c r="AK289" s="190">
        <f>COUNTIF(Area_v3TSATHA,"RW1T-S")+COUNTIF(Area_v3TSATHA,"RW2T-SC")+COUNTIF(Area_v3TSATHA,"RW2T-S")*2</f>
        <v>13</v>
      </c>
      <c r="AL289" s="190">
        <f>COUNTIF(Area_v4THAHOLON,"RW1T-S")+COUNTIF(Area_v4THAHOLON,"RW2T-SC")+COUNTIF(Area_v4THAHOLON,"RW2T-S")*2</f>
        <v>0</v>
      </c>
      <c r="AM289" s="233">
        <f>COUNTIF(Area_v5THAHOLON,"RW1T-S")+COUNTIF(Area_v5THAHOLON,"RW2T-SC")+COUNTIF(Area_v5THAHOLON,"RW2T-S")*2</f>
        <v>2</v>
      </c>
      <c r="AN289" s="225" t="s">
        <v>1414</v>
      </c>
    </row>
    <row r="290" spans="1:40" ht="30" customHeight="1">
      <c r="A290" s="50"/>
      <c r="B290" s="288"/>
      <c r="C290" s="326" t="s">
        <v>1416</v>
      </c>
      <c r="D290" s="228" t="s">
        <v>1382</v>
      </c>
      <c r="E290" s="301" t="s">
        <v>1379</v>
      </c>
      <c r="F290" s="228"/>
      <c r="G290" s="810">
        <f t="shared" si="323"/>
        <v>19</v>
      </c>
      <c r="H290" s="525">
        <f>COUNTIF(Area_v1RISHER,"RW1T-C")+COUNTIF(Area_v1RISHER,"RW2T-SC")+COUNTIF(Area_v1RISHER,"RW2T-C")*2</f>
        <v>0</v>
      </c>
      <c r="I290" s="189">
        <f>COUNTIF(Area_v2RISHER,"RW1T-C")+COUNTIF(Area_v2RISHER,"RW2T-SC")+COUNTIF(Area_v2RISHER,"RW2T-C")*2</f>
        <v>0</v>
      </c>
      <c r="J290" s="189">
        <f>COUNTIF(Area_v1RAANHER,"RW1T-C")+COUNTIF(Area_v1RAANHER,"RW2T-SC")+COUNTIF(Area_v1RAANHER,"RW2T-C")*2</f>
        <v>0</v>
      </c>
      <c r="K290" s="189">
        <f>COUNTIF(Area_v2RAANHER,"RW1T-C")+COUNTIF(Area_v2RAANHER,"RW2T-SC")+COUNTIF(Area_v2RAANHER,"RW2T-C")*2</f>
        <v>2</v>
      </c>
      <c r="L290" s="189">
        <f>COUNTIF(Area_v1HER,"RW1T-C")+COUNTIF(Area_v1HER,"RW2T-SC")+COUNTIF(Area_v1HER,"RW2T-C")*2</f>
        <v>0</v>
      </c>
      <c r="M290" s="189">
        <f>COUNTIF(Area_v2HER,"RW1T-C")+COUNTIF(Area_v2HER,"RW2T-SC")+COUNTIF(Area_v2HER,"RW2T-C")*2</f>
        <v>1</v>
      </c>
      <c r="N290" s="189">
        <f>COUNTIF(Area_v3HER,"RW1T-C")+COUNTIF(Area_v3HER,"RW2T-SC")+COUNTIF(Area_v3HER,"RW2T-C")*2</f>
        <v>0</v>
      </c>
      <c r="O290" s="189">
        <f>COUNTIF(Area_v4HER,"RW1T-C")+COUNTIF(Area_v4HER,"RW2T-SC")+COUNTIF(Area_v4HER,"RW2T-C")*2</f>
        <v>0</v>
      </c>
      <c r="P290" s="189">
        <f>COUNTIF(Area_v5HER,"RW1T-C")+COUNTIF(Area_v5HER,"RW2T-SC")+COUNTIF(Area_v5HER,"RW2T-C")*2</f>
        <v>0</v>
      </c>
      <c r="Q290" s="189">
        <f>COUNTIF(Area_v6HER,"RW1T-C")+COUNTIF(Area_v6HER,"RW2T-SC")+COUNTIF(Area_v6HER,"RW2T-C")*2</f>
        <v>0</v>
      </c>
      <c r="R290" s="189">
        <f>COUNTIF(Area_v1HERTSA,"RW1T-C")+COUNTIF(Area_v1HERTSA,"RW2T-SC")+COUNTIF(Area_v1HERTSA,"RW2T-C")*2</f>
        <v>0</v>
      </c>
      <c r="S290" s="189">
        <f>COUNTIF(Area_v2HERTSA,"RW1T-C")+COUNTIF(Area_v2HERTSA,"RW2T-SC")+COUNTIF(Area_v2HERTSA,"RW2T-C")*2</f>
        <v>0</v>
      </c>
      <c r="T290" s="189">
        <f>COUNTIF(Area_v3HERTSA,"RW1T-C")+COUNTIF(Area_v3HERTSA,"RW2T-SC")+COUNTIF(Area_v3HERTSA,"RW2T-C")*2</f>
        <v>1</v>
      </c>
      <c r="U290" s="190">
        <f>COUNTIF(Area_v4HERTSA,"RW1T-C")+COUNTIF(Area_v4HERTSA,"RW2T-SC")+COUNTIF(Area_v4HERTSA,"RW2T-C")*2</f>
        <v>0</v>
      </c>
      <c r="V290" s="190">
        <f>COUNTIF(Area_v5HERTSA,"RW1T-C")+COUNTIF(Area_v5HERTSA,"RW2T-SC")+COUNTIF(Area_v5HERTSA,"RW2T-C")*2</f>
        <v>0</v>
      </c>
      <c r="W290" s="190">
        <f>COUNTIF(Area_v5BBRHER,"RW1T-C")+COUNTIF(Area_v5BBRHER,"RW2T-SC")+COUNTIF(Area_v5BBRHER,"RW2T-C")*2</f>
        <v>0</v>
      </c>
      <c r="X290" s="190">
        <f>COUNTIF(Area_v1BBRTUN,"RW1T-C")+COUNTIF(Area_v1BBRTUN,"RW2T-SC")+COUNTIF(Area_v1BBRTUN,"RW2T-C")*2</f>
        <v>0</v>
      </c>
      <c r="Y290" s="190">
        <f>COUNTIF(Area_v2BBRTUN,"RW1T-C")+COUNTIF(Area_v2BBRTUN,"RW2T-SC")+COUNTIF(Area_v2BBRTUN,"RW2T-C")*2</f>
        <v>0</v>
      </c>
      <c r="Z290" s="189">
        <f>COUNTIF(Area_v51HERTSA,"RW1T-C")+COUNTIF(Area_v51HERTSA,"RW2T-SC")+COUNTIF(Area_v51HERTSA,"RW2T-C")*2</f>
        <v>0</v>
      </c>
      <c r="AA290" s="189">
        <f>COUNTIF(Area_v52HERTSA,"RW1T-C")+COUNTIF(Area_v52HERTSA,"RW2T-SC")+COUNTIF(Area_v52HERTSA,"RW2T-C")*2</f>
        <v>0</v>
      </c>
      <c r="AB290" s="189">
        <f>COUNTIF(Area_v53HERTSA,"RW1T-C")+COUNTIF(Area_v53HERTSA,"RW2T-SC")+COUNTIF(Area_v53HERTSA,"RW2T-C")*2</f>
        <v>0</v>
      </c>
      <c r="AC290" s="189">
        <f>COUNTIF(Area_v1TSA,"RW1T-C")+COUNTIF(Area_v1TSA,"RW2T-SC")+COUNTIF(Area_v1TSA,"RW2T-C")*2</f>
        <v>0</v>
      </c>
      <c r="AD290" s="189">
        <f>COUNTIF(Area_v2TSA,"RW1T-C")+COUNTIF(Area_v2TSA,"RW2T-SC")+COUNTIF(Area_v2TSA,"RW2T-C")*2</f>
        <v>0</v>
      </c>
      <c r="AE290" s="189">
        <f>COUNTIF(Area_v3TSA,"RW1T-C")+COUNTIF(Area_v3TSA,"RW2T-SC")+COUNTIF(Area_v3TSA,"RW2T-C")*2</f>
        <v>0</v>
      </c>
      <c r="AF290" s="189">
        <f>COUNTIF(Area_v4TSA,"RW1T-C")+COUNTIF(Area_v4TSA,"RW2T-SC")+COUNTIF(Area_v4TSA,"RW2T-C")*2</f>
        <v>0</v>
      </c>
      <c r="AG290" s="189">
        <f>COUNTIF(Area_v5TSA,"RW1T-C")+COUNTIF(Area_v5TSA,"RW2T-SC")+COUNTIF(Area_v5TSA,"RW2T-C")*2</f>
        <v>0</v>
      </c>
      <c r="AH290" s="189">
        <f>COUNTIF(Area_v6TSA,"RW1T-C")+COUNTIF(Area_v6TSA,"RW2T-SC")+COUNTIF(Area_v6TSA,"RW2T-C")*2</f>
        <v>0</v>
      </c>
      <c r="AI290" s="190">
        <f>COUNTIF(Area_v1TSATHA,"RW1T-C")+COUNTIF(Area_v1TSATHA,"RW2T-SC")+COUNTIF(Area_v1TSATHA,"RW2T-C")*2</f>
        <v>6</v>
      </c>
      <c r="AJ290" s="190">
        <f>COUNTIF(Area_v2TSATHA,"RW1T-C")+COUNTIF(Area_v2TSATHA,"RW2T-SC")+COUNTIF(Area_v2TSATHA,"RW2T-C")*2</f>
        <v>0</v>
      </c>
      <c r="AK290" s="190">
        <f>COUNTIF(Area_v3TSATHA,"RW1T-C")+COUNTIF(Area_v3TSATHA,"RW2T-SC")+COUNTIF(Area_v3TSATHA,"RW2T-C")*2</f>
        <v>2</v>
      </c>
      <c r="AL290" s="190">
        <f>COUNTIF(Area_v4THAHOLON,"RW1T-C")+COUNTIF(Area_v4THAHOLON,"RW2T-SC")+COUNTIF(Area_v4THAHOLON,"RW2T-C")*2</f>
        <v>4</v>
      </c>
      <c r="AM290" s="233">
        <f>COUNTIF(Area_v5THAHOLON,"RW1T-C")+COUNTIF(Area_v5THAHOLON,"RW2T-SC")+COUNTIF(Area_v5THAHOLON,"RW2T-C")*2</f>
        <v>3</v>
      </c>
      <c r="AN290" s="225" t="s">
        <v>1415</v>
      </c>
    </row>
    <row r="291" spans="1:40" ht="30" customHeight="1">
      <c r="A291" s="50"/>
      <c r="B291" s="1030" t="s">
        <v>1386</v>
      </c>
      <c r="C291" s="326" t="s">
        <v>1041</v>
      </c>
      <c r="D291" s="228" t="s">
        <v>585</v>
      </c>
      <c r="E291" s="301" t="s">
        <v>861</v>
      </c>
      <c r="F291" s="228" t="s">
        <v>718</v>
      </c>
      <c r="G291" s="810">
        <f t="shared" si="323"/>
        <v>6</v>
      </c>
      <c r="H291" s="525">
        <f>COUNTIF(Area_v1RISHER,$C$291)*2</f>
        <v>0</v>
      </c>
      <c r="I291" s="189">
        <f>COUNTIF(Area_v2RISHER,$C$291)*2</f>
        <v>0</v>
      </c>
      <c r="J291" s="189">
        <f>COUNTIF(Area_v1RAANHER,$C$291)*2</f>
        <v>0</v>
      </c>
      <c r="K291" s="189">
        <f>COUNTIF(Area_v2RAANHER,$C$291)*2</f>
        <v>0</v>
      </c>
      <c r="L291" s="189">
        <f>COUNTIF(Area_v1HER,$C$291)*2</f>
        <v>0</v>
      </c>
      <c r="M291" s="189">
        <f>COUNTIF(Area_v2HER,$C$291)*2</f>
        <v>0</v>
      </c>
      <c r="N291" s="189">
        <f>COUNTIF(Area_v3HER,$C$291)*2</f>
        <v>0</v>
      </c>
      <c r="O291" s="189">
        <f>COUNTIF(Area_v4HER,$C$291)*2</f>
        <v>0</v>
      </c>
      <c r="P291" s="189">
        <f>COUNTIF(Area_v5HER,$C$291)*2</f>
        <v>0</v>
      </c>
      <c r="Q291" s="189">
        <f>COUNTIF(Area_v6HER,$C$291)*2</f>
        <v>0</v>
      </c>
      <c r="R291" s="189">
        <f>COUNTIF(Area_v1HERTSA,$C$291)*2</f>
        <v>0</v>
      </c>
      <c r="S291" s="189">
        <f>COUNTIF(Area_v2HERTSA,$C$291)*2</f>
        <v>0</v>
      </c>
      <c r="T291" s="189">
        <f>COUNTIF(Area_v3HERTSA,$C$291)*2</f>
        <v>0</v>
      </c>
      <c r="U291" s="190">
        <f>COUNTIF(Area_v4HERTSA,$C$291)*2</f>
        <v>0</v>
      </c>
      <c r="V291" s="190">
        <f>COUNTIF(Area_v5HERTSA,$C$291)*2</f>
        <v>0</v>
      </c>
      <c r="W291" s="190">
        <f>COUNTIF(Area_v5BBRHER,$C$291)*2</f>
        <v>0</v>
      </c>
      <c r="X291" s="190">
        <f>COUNTIF(Area_v1BBRTUN,$C$291)*2</f>
        <v>2</v>
      </c>
      <c r="Y291" s="190">
        <f>COUNTIF(Area_v2BBRTUN,$C$291)*2</f>
        <v>2</v>
      </c>
      <c r="Z291" s="189">
        <f>COUNTIF(Area_v51HERTSA,$C$291)*2</f>
        <v>0</v>
      </c>
      <c r="AA291" s="189">
        <f>COUNTIF(Area_v52HERTSA,$C$291)*2</f>
        <v>0</v>
      </c>
      <c r="AB291" s="189">
        <f>COUNTIF(Area_v53HERTSA,$C$291)*2</f>
        <v>0</v>
      </c>
      <c r="AC291" s="189">
        <f>COUNTIF(Area_v1TSA,$C$291)*2</f>
        <v>0</v>
      </c>
      <c r="AD291" s="189">
        <f>COUNTIF(Area_v2TSA,$C$291)*2</f>
        <v>0</v>
      </c>
      <c r="AE291" s="189">
        <f>COUNTIF(Area_v3TSA,$C$291)*2</f>
        <v>0</v>
      </c>
      <c r="AF291" s="189">
        <f>COUNTIF(Area_v4TSA,$C$291)*2</f>
        <v>0</v>
      </c>
      <c r="AG291" s="189">
        <f>COUNTIF(Area_v5TSA,$C$291)*2</f>
        <v>0</v>
      </c>
      <c r="AH291" s="189">
        <f>COUNTIF(Area_v6TSA,$C$291)*2</f>
        <v>0</v>
      </c>
      <c r="AI291" s="190">
        <f>COUNTIF(Area_v1TSATHA,$C$291)*2</f>
        <v>0</v>
      </c>
      <c r="AJ291" s="190">
        <f>COUNTIF(Area_v2TSATHA,$C$291)*2</f>
        <v>0</v>
      </c>
      <c r="AK291" s="190">
        <f>COUNTIF(Area_v3TSATHA,$C$291)*2</f>
        <v>0</v>
      </c>
      <c r="AL291" s="190">
        <f>COUNTIF(Area_v4THAHOLON,$C$291)*2</f>
        <v>2</v>
      </c>
      <c r="AM291" s="233">
        <f>COUNTIF(Area_v5THAHOLON,$C$291)*2</f>
        <v>0</v>
      </c>
      <c r="AN291" s="225" t="s">
        <v>1124</v>
      </c>
    </row>
    <row r="292" spans="1:40" ht="30" customHeight="1">
      <c r="A292" s="260"/>
      <c r="B292" s="1057"/>
      <c r="C292" s="337"/>
      <c r="D292" s="311" t="s">
        <v>719</v>
      </c>
      <c r="E292" s="312" t="s">
        <v>92</v>
      </c>
      <c r="F292" s="311" t="s">
        <v>638</v>
      </c>
      <c r="G292" s="1115">
        <f t="shared" si="323"/>
        <v>0</v>
      </c>
      <c r="H292" s="1116"/>
      <c r="I292" s="1117"/>
      <c r="J292" s="1117"/>
      <c r="K292" s="1117"/>
      <c r="L292" s="1117"/>
      <c r="M292" s="1117"/>
      <c r="N292" s="1117"/>
      <c r="O292" s="1117"/>
      <c r="P292" s="1117"/>
      <c r="Q292" s="1117"/>
      <c r="R292" s="1117"/>
      <c r="S292" s="1117"/>
      <c r="T292" s="1117"/>
      <c r="U292" s="1118"/>
      <c r="V292" s="1118"/>
      <c r="W292" s="1118"/>
      <c r="X292" s="1118"/>
      <c r="Y292" s="1118"/>
      <c r="Z292" s="1117"/>
      <c r="AA292" s="1117"/>
      <c r="AB292" s="1117"/>
      <c r="AC292" s="1117"/>
      <c r="AD292" s="1117"/>
      <c r="AE292" s="1117"/>
      <c r="AF292" s="1117"/>
      <c r="AG292" s="1117"/>
      <c r="AH292" s="1117"/>
      <c r="AI292" s="1118"/>
      <c r="AJ292" s="1118"/>
      <c r="AK292" s="1118"/>
      <c r="AL292" s="1118"/>
      <c r="AM292" s="1119"/>
      <c r="AN292" s="1120" t="s">
        <v>1125</v>
      </c>
    </row>
    <row r="293" spans="1:40" ht="30" customHeight="1">
      <c r="A293" s="286" t="s">
        <v>1409</v>
      </c>
      <c r="B293" s="1023"/>
      <c r="C293" s="1068" t="s">
        <v>856</v>
      </c>
      <c r="D293" s="1069" t="s">
        <v>586</v>
      </c>
      <c r="E293" s="1070" t="s">
        <v>111</v>
      </c>
      <c r="F293" s="1069" t="s">
        <v>720</v>
      </c>
      <c r="G293" s="810">
        <f t="shared" si="323"/>
        <v>205</v>
      </c>
      <c r="H293" s="525">
        <f>COUNTIF(Area_v1RISHER,$C293)-H294</f>
        <v>2</v>
      </c>
      <c r="I293" s="189">
        <f>COUNTIF(Area_v2RISHER,$C293)-I294</f>
        <v>2</v>
      </c>
      <c r="J293" s="189">
        <f>COUNTIF(Area_v1RAANHER,$C293)-J294</f>
        <v>0</v>
      </c>
      <c r="K293" s="189">
        <f>COUNTIF(Area_v2RAANHER,$C293)-K294</f>
        <v>1</v>
      </c>
      <c r="L293" s="189">
        <f>COUNTIF(Area_v1HER,$C293)-L294</f>
        <v>-6</v>
      </c>
      <c r="M293" s="189">
        <f>COUNTIF(Area_v2HER,$C293)-M294</f>
        <v>10</v>
      </c>
      <c r="N293" s="189">
        <f>COUNTIF(Area_v3HER,$C293)-N294</f>
        <v>7</v>
      </c>
      <c r="O293" s="189">
        <f>COUNTIF(Area_v4HER,$C293)-O294</f>
        <v>9</v>
      </c>
      <c r="P293" s="189">
        <f>COUNTIF(Area_v5HER,$C293)-P294</f>
        <v>9</v>
      </c>
      <c r="Q293" s="189">
        <f>COUNTIF(Area_v6HER,$C293)-Q294</f>
        <v>16</v>
      </c>
      <c r="R293" s="189">
        <f>COUNTIF(Area_v1HERTSA,$C293)-R294</f>
        <v>30</v>
      </c>
      <c r="S293" s="189">
        <f>COUNTIF(Area_v2HERTSA,$C293)-S294</f>
        <v>17</v>
      </c>
      <c r="T293" s="189">
        <f>COUNTIF(Area_v3HERTSA,$C293)-T294</f>
        <v>14</v>
      </c>
      <c r="U293" s="190">
        <f>COUNTIF(Area_v4HERTSA,$C293)-U294</f>
        <v>25</v>
      </c>
      <c r="V293" s="190">
        <f>COUNTIF(Area_v5HERTSA,$C293)-V294</f>
        <v>1</v>
      </c>
      <c r="W293" s="190">
        <f>COUNTIF(Area_v5BBRHER,$C293)-W294</f>
        <v>2</v>
      </c>
      <c r="X293" s="190">
        <f>COUNTIF(Area_v1BBRTUN,$C293)-X294</f>
        <v>-2</v>
      </c>
      <c r="Y293" s="190">
        <f>COUNTIF(Area_v2BBRTUN,$C293)-Y294</f>
        <v>-1</v>
      </c>
      <c r="Z293" s="189">
        <f>COUNTIF(Area_v51HERTSA,$C293)-Z294</f>
        <v>3</v>
      </c>
      <c r="AA293" s="189">
        <f>COUNTIF(Area_v52HERTSA,$C293)-AA294</f>
        <v>0</v>
      </c>
      <c r="AB293" s="189">
        <f>COUNTIF(Area_v53HERTSA,$C293)-AB294</f>
        <v>1</v>
      </c>
      <c r="AC293" s="189">
        <f>COUNTIF(Area_v1TSA,$C293)-AC294</f>
        <v>6</v>
      </c>
      <c r="AD293" s="189">
        <f>COUNTIF(Area_v2TSA,$C293)-AD294</f>
        <v>0</v>
      </c>
      <c r="AE293" s="189">
        <f>COUNTIF(Area_v3TSA,$C293)-AE294</f>
        <v>0</v>
      </c>
      <c r="AF293" s="189">
        <f>COUNTIF(Area_v4TSA,$C293)-AF294</f>
        <v>1</v>
      </c>
      <c r="AG293" s="189">
        <f>COUNTIF(Area_v5TSA,$C293)-AG294</f>
        <v>0</v>
      </c>
      <c r="AH293" s="189">
        <f>COUNTIF(Area_v6TSA,$C293)-AH294</f>
        <v>1</v>
      </c>
      <c r="AI293" s="190">
        <f>COUNTIF(Area_v1TSATHA,$C293)-AI294</f>
        <v>15</v>
      </c>
      <c r="AJ293" s="190">
        <f>COUNTIF(Area_v2TSATHA,$C293)-AJ294</f>
        <v>14</v>
      </c>
      <c r="AK293" s="190">
        <f>COUNTIF(Area_v3TSATHA,$C293)-AK294</f>
        <v>22</v>
      </c>
      <c r="AL293" s="190">
        <f>COUNTIF(Area_v4THAHOLON,$C293)-AL294</f>
        <v>3</v>
      </c>
      <c r="AM293" s="233">
        <f>COUNTIF(Area_v5THAHOLON,$C293)-AM294</f>
        <v>3</v>
      </c>
      <c r="AN293" s="1066" t="s">
        <v>1127</v>
      </c>
    </row>
    <row r="294" spans="1:40" ht="30" customHeight="1">
      <c r="A294" s="49"/>
      <c r="B294" s="1030" t="s">
        <v>860</v>
      </c>
      <c r="C294" s="327" t="s">
        <v>863</v>
      </c>
      <c r="D294" s="234" t="s">
        <v>587</v>
      </c>
      <c r="E294" s="302" t="s">
        <v>122</v>
      </c>
      <c r="F294" s="234" t="s">
        <v>721</v>
      </c>
      <c r="G294" s="810">
        <f t="shared" si="323"/>
        <v>180</v>
      </c>
      <c r="H294" s="525">
        <f>COUNTIF(Area_v1RISHER,$C294)*2</f>
        <v>6</v>
      </c>
      <c r="I294" s="189">
        <f>COUNTIF(Area_v2RISHER,$C294)*2</f>
        <v>6</v>
      </c>
      <c r="J294" s="189">
        <f>COUNTIF(Area_v1RAANHER,$C294)*2</f>
        <v>6</v>
      </c>
      <c r="K294" s="189">
        <f>COUNTIF(Area_v2RAANHER,$C294)*2</f>
        <v>6</v>
      </c>
      <c r="L294" s="189">
        <f>COUNTIF(Area_v1HER,$C294)*2</f>
        <v>6</v>
      </c>
      <c r="M294" s="189">
        <f>COUNTIF(Area_v2HER,$C294)*2</f>
        <v>6</v>
      </c>
      <c r="N294" s="189">
        <f>COUNTIF(Area_v3HER,$C294)*2</f>
        <v>2</v>
      </c>
      <c r="O294" s="189">
        <f>COUNTIF(Area_v4HER,$C294)*2</f>
        <v>8</v>
      </c>
      <c r="P294" s="189">
        <f>COUNTIF(Area_v5HER,$C294)*2</f>
        <v>4</v>
      </c>
      <c r="Q294" s="189">
        <f>COUNTIF(Area_v6HER,$C294)*2</f>
        <v>8</v>
      </c>
      <c r="R294" s="189">
        <f>COUNTIF(Area_v1HERTSA,$C294)*2</f>
        <v>12</v>
      </c>
      <c r="S294" s="189">
        <f>COUNTIF(Area_v2HERTSA,$C294)*2</f>
        <v>14</v>
      </c>
      <c r="T294" s="189">
        <f>COUNTIF(Area_v3HERTSA,$C294)*2</f>
        <v>18</v>
      </c>
      <c r="U294" s="190">
        <f>COUNTIF(Area_v4HERTSA,$C294)*2</f>
        <v>20</v>
      </c>
      <c r="V294" s="190">
        <f>COUNTIF(Area_v5HERTSA,$C294)*2</f>
        <v>0</v>
      </c>
      <c r="W294" s="190">
        <f>COUNTIF(Area_v5BBRHER,$C294)*2</f>
        <v>2</v>
      </c>
      <c r="X294" s="190">
        <f>COUNTIF(Area_v1BBRTUN,$C294)*2</f>
        <v>10</v>
      </c>
      <c r="Y294" s="190">
        <f>COUNTIF(Area_v2BBRTUN,$C294)*2</f>
        <v>10</v>
      </c>
      <c r="Z294" s="189">
        <f>COUNTIF(Area_v51HERTSA,$C294)*2</f>
        <v>0</v>
      </c>
      <c r="AA294" s="189">
        <f>COUNTIF(Area_v52HERTSA,$C294)*2</f>
        <v>0</v>
      </c>
      <c r="AB294" s="189">
        <f>COUNTIF(Area_v53HERTSA,$C294)*2</f>
        <v>0</v>
      </c>
      <c r="AC294" s="189">
        <f>COUNTIF(Area_v1TSA,$C294)*2</f>
        <v>0</v>
      </c>
      <c r="AD294" s="189">
        <f>COUNTIF(Area_v2TSA,$C294)*2</f>
        <v>0</v>
      </c>
      <c r="AE294" s="189">
        <f>COUNTIF(Area_v3TSA,$C294)*2</f>
        <v>0</v>
      </c>
      <c r="AF294" s="189">
        <f>COUNTIF(Area_v4TSA,$C294)*2</f>
        <v>2</v>
      </c>
      <c r="AG294" s="189">
        <f>COUNTIF(Area_v5TSA,$C294)*2</f>
        <v>2</v>
      </c>
      <c r="AH294" s="189">
        <f>COUNTIF(Area_v6TSA,$C294)*2</f>
        <v>2</v>
      </c>
      <c r="AI294" s="190">
        <f>COUNTIF(Area_v1TSATHA,$C294)*2</f>
        <v>8</v>
      </c>
      <c r="AJ294" s="190">
        <f>COUNTIF(Area_v2TSATHA,$C294)*2</f>
        <v>10</v>
      </c>
      <c r="AK294" s="190">
        <f>COUNTIF(Area_v3TSATHA,$C294)*2</f>
        <v>8</v>
      </c>
      <c r="AL294" s="190">
        <f>COUNTIF(Area_v4THAHOLON,$C294)*2</f>
        <v>2</v>
      </c>
      <c r="AM294" s="233">
        <f>COUNTIF(Area_v5THAHOLON,$C294)*2</f>
        <v>2</v>
      </c>
      <c r="AN294" s="1066" t="s">
        <v>1128</v>
      </c>
    </row>
    <row r="295" spans="1:40" ht="30" customHeight="1">
      <c r="A295" s="255"/>
      <c r="B295" s="1058" t="s">
        <v>817</v>
      </c>
      <c r="C295" s="338"/>
      <c r="D295" s="313" t="s">
        <v>588</v>
      </c>
      <c r="E295" s="314" t="s">
        <v>589</v>
      </c>
      <c r="F295" s="313" t="s">
        <v>722</v>
      </c>
      <c r="G295" s="818">
        <f t="shared" si="323"/>
        <v>0</v>
      </c>
      <c r="H295" s="787"/>
      <c r="I295" s="1121"/>
      <c r="J295" s="1121"/>
      <c r="K295" s="1121"/>
      <c r="L295" s="1121"/>
      <c r="M295" s="1121"/>
      <c r="N295" s="1121"/>
      <c r="O295" s="1121"/>
      <c r="P295" s="1121"/>
      <c r="Q295" s="1121"/>
      <c r="R295" s="1121"/>
      <c r="S295" s="1121"/>
      <c r="T295" s="1121"/>
      <c r="U295" s="1122"/>
      <c r="V295" s="1122"/>
      <c r="W295" s="1122"/>
      <c r="X295" s="1122"/>
      <c r="Y295" s="1122"/>
      <c r="Z295" s="1121"/>
      <c r="AA295" s="1121"/>
      <c r="AB295" s="1121"/>
      <c r="AC295" s="1121"/>
      <c r="AD295" s="1121"/>
      <c r="AE295" s="1121"/>
      <c r="AF295" s="1121"/>
      <c r="AG295" s="1121"/>
      <c r="AH295" s="1121"/>
      <c r="AI295" s="1122"/>
      <c r="AJ295" s="1122"/>
      <c r="AK295" s="1122"/>
      <c r="AL295" s="1122"/>
      <c r="AM295" s="1123"/>
      <c r="AN295" s="1124" t="s">
        <v>1126</v>
      </c>
    </row>
    <row r="296" spans="1:40" ht="30" customHeight="1">
      <c r="A296" s="49"/>
      <c r="B296" s="1055" t="s">
        <v>854</v>
      </c>
      <c r="C296" s="1091" t="s">
        <v>862</v>
      </c>
      <c r="D296" s="1092" t="s">
        <v>723</v>
      </c>
      <c r="E296" s="1093" t="s">
        <v>115</v>
      </c>
      <c r="F296" s="1092" t="s">
        <v>638</v>
      </c>
      <c r="G296" s="810">
        <f t="shared" si="323"/>
        <v>0</v>
      </c>
      <c r="H296" s="525"/>
      <c r="AK296" s="190"/>
      <c r="AM296" s="233"/>
      <c r="AN296" s="1094" t="s">
        <v>1129</v>
      </c>
    </row>
    <row r="297" spans="1:40" ht="30" customHeight="1">
      <c r="A297" s="240"/>
      <c r="B297" s="1026"/>
      <c r="C297" s="328"/>
      <c r="D297" s="235" t="s">
        <v>725</v>
      </c>
      <c r="E297" s="303" t="s">
        <v>1130</v>
      </c>
      <c r="F297" s="235" t="s">
        <v>724</v>
      </c>
      <c r="G297" s="1103">
        <f t="shared" si="323"/>
        <v>0</v>
      </c>
      <c r="H297" s="1076"/>
      <c r="I297" s="1072"/>
      <c r="J297" s="1072"/>
      <c r="K297" s="1072"/>
      <c r="L297" s="1072"/>
      <c r="M297" s="1072"/>
      <c r="N297" s="1072"/>
      <c r="O297" s="1072"/>
      <c r="P297" s="1072"/>
      <c r="Q297" s="1072"/>
      <c r="R297" s="1072"/>
      <c r="S297" s="1072"/>
      <c r="T297" s="1072"/>
      <c r="U297" s="1073"/>
      <c r="V297" s="1073"/>
      <c r="W297" s="1073"/>
      <c r="X297" s="1073"/>
      <c r="Y297" s="1073"/>
      <c r="Z297" s="1072"/>
      <c r="AA297" s="1072"/>
      <c r="AB297" s="1072"/>
      <c r="AC297" s="1072"/>
      <c r="AD297" s="1072"/>
      <c r="AE297" s="1072"/>
      <c r="AF297" s="1072"/>
      <c r="AG297" s="1072"/>
      <c r="AH297" s="1072"/>
      <c r="AI297" s="1073"/>
      <c r="AJ297" s="1073"/>
      <c r="AK297" s="1073"/>
      <c r="AL297" s="1073"/>
      <c r="AM297" s="1074"/>
      <c r="AN297" s="236" t="s">
        <v>1131</v>
      </c>
    </row>
    <row r="298" spans="1:40" ht="30" customHeight="1">
      <c r="A298" s="286" t="s">
        <v>1758</v>
      </c>
      <c r="B298" s="1029" t="s">
        <v>860</v>
      </c>
      <c r="C298" s="332" t="s">
        <v>863</v>
      </c>
      <c r="D298" s="1069" t="s">
        <v>590</v>
      </c>
      <c r="E298" s="1070" t="s">
        <v>727</v>
      </c>
      <c r="F298" s="1069" t="s">
        <v>726</v>
      </c>
      <c r="G298" s="812">
        <f t="shared" si="323"/>
        <v>180</v>
      </c>
      <c r="H298" s="524">
        <f>+H294</f>
        <v>6</v>
      </c>
      <c r="I298" s="521">
        <f>+I294</f>
        <v>6</v>
      </c>
      <c r="J298" s="521">
        <f>+J294</f>
        <v>6</v>
      </c>
      <c r="K298" s="521">
        <f>+K294</f>
        <v>6</v>
      </c>
      <c r="L298" s="521">
        <f>+L294</f>
        <v>6</v>
      </c>
      <c r="M298" s="521">
        <f t="shared" ref="M298:R298" si="324">+M294</f>
        <v>6</v>
      </c>
      <c r="N298" s="521">
        <f t="shared" si="324"/>
        <v>2</v>
      </c>
      <c r="O298" s="521">
        <f t="shared" si="324"/>
        <v>8</v>
      </c>
      <c r="P298" s="521">
        <f t="shared" si="324"/>
        <v>4</v>
      </c>
      <c r="Q298" s="521">
        <f t="shared" si="324"/>
        <v>8</v>
      </c>
      <c r="R298" s="521">
        <f t="shared" si="324"/>
        <v>12</v>
      </c>
      <c r="S298" s="521">
        <f t="shared" ref="S298:AM298" si="325">+S294</f>
        <v>14</v>
      </c>
      <c r="T298" s="521">
        <f t="shared" si="325"/>
        <v>18</v>
      </c>
      <c r="U298" s="226">
        <f t="shared" si="325"/>
        <v>20</v>
      </c>
      <c r="V298" s="226">
        <f t="shared" si="325"/>
        <v>0</v>
      </c>
      <c r="W298" s="226">
        <f t="shared" si="325"/>
        <v>2</v>
      </c>
      <c r="X298" s="226">
        <f t="shared" si="325"/>
        <v>10</v>
      </c>
      <c r="Y298" s="226">
        <f t="shared" si="325"/>
        <v>10</v>
      </c>
      <c r="Z298" s="521">
        <f t="shared" si="325"/>
        <v>0</v>
      </c>
      <c r="AA298" s="521">
        <f t="shared" si="325"/>
        <v>0</v>
      </c>
      <c r="AB298" s="521">
        <f t="shared" si="325"/>
        <v>0</v>
      </c>
      <c r="AC298" s="521">
        <f t="shared" si="325"/>
        <v>0</v>
      </c>
      <c r="AD298" s="521">
        <f t="shared" si="325"/>
        <v>0</v>
      </c>
      <c r="AE298" s="521">
        <f t="shared" si="325"/>
        <v>0</v>
      </c>
      <c r="AF298" s="521">
        <f t="shared" si="325"/>
        <v>2</v>
      </c>
      <c r="AG298" s="521">
        <f t="shared" si="325"/>
        <v>2</v>
      </c>
      <c r="AH298" s="521">
        <f t="shared" si="325"/>
        <v>2</v>
      </c>
      <c r="AI298" s="226">
        <f t="shared" si="325"/>
        <v>8</v>
      </c>
      <c r="AJ298" s="226">
        <f t="shared" si="325"/>
        <v>10</v>
      </c>
      <c r="AK298" s="226">
        <f t="shared" si="325"/>
        <v>8</v>
      </c>
      <c r="AL298" s="226">
        <f t="shared" si="325"/>
        <v>2</v>
      </c>
      <c r="AM298" s="227">
        <f t="shared" si="325"/>
        <v>2</v>
      </c>
      <c r="AN298" s="1066" t="s">
        <v>1132</v>
      </c>
    </row>
    <row r="299" spans="1:40" ht="30" customHeight="1">
      <c r="A299" s="50"/>
      <c r="B299" s="1030" t="s">
        <v>860</v>
      </c>
      <c r="C299" s="327" t="s">
        <v>863</v>
      </c>
      <c r="D299" s="228" t="s">
        <v>591</v>
      </c>
      <c r="E299" s="301" t="s">
        <v>728</v>
      </c>
      <c r="F299" s="228" t="s">
        <v>726</v>
      </c>
      <c r="G299" s="810">
        <f t="shared" si="323"/>
        <v>180</v>
      </c>
      <c r="H299" s="525">
        <f>+H298</f>
        <v>6</v>
      </c>
      <c r="I299" s="189">
        <f>+I298</f>
        <v>6</v>
      </c>
      <c r="J299" s="189">
        <f>+J298</f>
        <v>6</v>
      </c>
      <c r="K299" s="189">
        <f>+K298</f>
        <v>6</v>
      </c>
      <c r="L299" s="189">
        <f>+L298</f>
        <v>6</v>
      </c>
      <c r="M299" s="189">
        <f t="shared" ref="M299:R299" si="326">+M298</f>
        <v>6</v>
      </c>
      <c r="N299" s="189">
        <f t="shared" si="326"/>
        <v>2</v>
      </c>
      <c r="O299" s="189">
        <f t="shared" si="326"/>
        <v>8</v>
      </c>
      <c r="P299" s="189">
        <f t="shared" si="326"/>
        <v>4</v>
      </c>
      <c r="Q299" s="189">
        <f t="shared" si="326"/>
        <v>8</v>
      </c>
      <c r="R299" s="189">
        <f t="shared" si="326"/>
        <v>12</v>
      </c>
      <c r="S299" s="189">
        <f t="shared" ref="S299:AM299" si="327">+S298</f>
        <v>14</v>
      </c>
      <c r="T299" s="189">
        <f t="shared" si="327"/>
        <v>18</v>
      </c>
      <c r="U299" s="190">
        <f t="shared" si="327"/>
        <v>20</v>
      </c>
      <c r="V299" s="190">
        <f t="shared" si="327"/>
        <v>0</v>
      </c>
      <c r="W299" s="190">
        <f t="shared" si="327"/>
        <v>2</v>
      </c>
      <c r="X299" s="190">
        <f t="shared" si="327"/>
        <v>10</v>
      </c>
      <c r="Y299" s="190">
        <f t="shared" si="327"/>
        <v>10</v>
      </c>
      <c r="Z299" s="189">
        <f t="shared" si="327"/>
        <v>0</v>
      </c>
      <c r="AA299" s="189">
        <f t="shared" si="327"/>
        <v>0</v>
      </c>
      <c r="AB299" s="189">
        <f t="shared" si="327"/>
        <v>0</v>
      </c>
      <c r="AC299" s="189">
        <f t="shared" si="327"/>
        <v>0</v>
      </c>
      <c r="AD299" s="189">
        <f t="shared" si="327"/>
        <v>0</v>
      </c>
      <c r="AE299" s="189">
        <f t="shared" si="327"/>
        <v>0</v>
      </c>
      <c r="AF299" s="189">
        <f t="shared" si="327"/>
        <v>2</v>
      </c>
      <c r="AG299" s="189">
        <f t="shared" si="327"/>
        <v>2</v>
      </c>
      <c r="AH299" s="189">
        <f t="shared" si="327"/>
        <v>2</v>
      </c>
      <c r="AI299" s="190">
        <f t="shared" si="327"/>
        <v>8</v>
      </c>
      <c r="AJ299" s="190">
        <f t="shared" si="327"/>
        <v>10</v>
      </c>
      <c r="AK299" s="190">
        <f t="shared" si="327"/>
        <v>8</v>
      </c>
      <c r="AL299" s="190">
        <f t="shared" si="327"/>
        <v>2</v>
      </c>
      <c r="AM299" s="233">
        <f t="shared" si="327"/>
        <v>2</v>
      </c>
      <c r="AN299" s="225" t="s">
        <v>1133</v>
      </c>
    </row>
    <row r="300" spans="1:40" ht="30" customHeight="1">
      <c r="A300" s="50"/>
      <c r="B300" s="1030"/>
      <c r="C300" s="327" t="s">
        <v>2760</v>
      </c>
      <c r="D300" s="228"/>
      <c r="E300" s="301" t="s">
        <v>2765</v>
      </c>
      <c r="F300" s="228"/>
      <c r="G300" s="810">
        <f t="shared" si="323"/>
        <v>29</v>
      </c>
      <c r="H300" s="525">
        <f>COUNTIF(Area_v1RISHER,$C300)</f>
        <v>0</v>
      </c>
      <c r="I300" s="189">
        <f>COUNTIF(Area_v2RISHER,$C300)</f>
        <v>0</v>
      </c>
      <c r="J300" s="189">
        <f>COUNTIF(Area_v1RAANHER,$C300)</f>
        <v>0</v>
      </c>
      <c r="K300" s="189">
        <f>COUNTIF(Area_v2RAANHER,$C300)</f>
        <v>0</v>
      </c>
      <c r="L300" s="189">
        <f>COUNTIF(Area_v1HER,$C300)</f>
        <v>0</v>
      </c>
      <c r="M300" s="189">
        <f>COUNTIF(Area_v2HER,$C300)</f>
        <v>2</v>
      </c>
      <c r="N300" s="189">
        <f>COUNTIF(Area_v3HER,$C300)</f>
        <v>0</v>
      </c>
      <c r="O300" s="189">
        <f>COUNTIF(Area_v4HER,$C300)</f>
        <v>0</v>
      </c>
      <c r="P300" s="189">
        <f>COUNTIF(Area_v5HER,$C300)</f>
        <v>1</v>
      </c>
      <c r="Q300" s="189">
        <f>COUNTIF(Area_v6HER,$C300)</f>
        <v>0</v>
      </c>
      <c r="R300" s="189">
        <f>COUNTIF(Area_v1HERTSA,$C300)</f>
        <v>0</v>
      </c>
      <c r="S300" s="189">
        <f>COUNTIF(Area_v2HERTSA,$C300)</f>
        <v>10</v>
      </c>
      <c r="T300" s="189">
        <f>COUNTIF(Area_v3HERTSA,$C300)</f>
        <v>7</v>
      </c>
      <c r="U300" s="190">
        <f>COUNTIF(Area_v4HERTSA,$C300)</f>
        <v>1</v>
      </c>
      <c r="V300" s="190">
        <f>COUNTIF(Area_v5HERTSA,$C300)</f>
        <v>0</v>
      </c>
      <c r="W300" s="190">
        <f>COUNTIF(Area_v5BBRHER,$C300)</f>
        <v>0</v>
      </c>
      <c r="X300" s="190">
        <f>COUNTIF(Area_v1BBRTUN,$C300)</f>
        <v>0</v>
      </c>
      <c r="Y300" s="190">
        <f>COUNTIF(Area_v2BBRTUN,$C300)</f>
        <v>0</v>
      </c>
      <c r="Z300" s="189">
        <f>COUNTIF(Area_v51HERTSA,$C300)</f>
        <v>0</v>
      </c>
      <c r="AA300" s="189">
        <f>COUNTIF(Area_v52HERTSA,$C300)</f>
        <v>0</v>
      </c>
      <c r="AB300" s="189">
        <f>COUNTIF(Area_v53HERTSA,$C300)</f>
        <v>0</v>
      </c>
      <c r="AC300" s="189">
        <f>COUNTIF(Area_v1TSA,$C300)</f>
        <v>0</v>
      </c>
      <c r="AD300" s="189">
        <f>COUNTIF(Area_v2TSA,$C300)</f>
        <v>0</v>
      </c>
      <c r="AE300" s="189">
        <f>COUNTIF(Area_v3TSA,$C300)</f>
        <v>0</v>
      </c>
      <c r="AF300" s="189">
        <f>COUNTIF(Area_v4TSA,$C300)</f>
        <v>0</v>
      </c>
      <c r="AG300" s="189">
        <f>COUNTIF(Area_v5TSA,$C300)</f>
        <v>0</v>
      </c>
      <c r="AH300" s="189">
        <f>COUNTIF(Area_v6TSA,$C300)</f>
        <v>0</v>
      </c>
      <c r="AI300" s="190">
        <f>COUNTIF(Area_v1TSATHA,$C300)</f>
        <v>0</v>
      </c>
      <c r="AJ300" s="190">
        <f>COUNTIF(Area_v2TSATHA,$C300)</f>
        <v>8</v>
      </c>
      <c r="AK300" s="190">
        <f>COUNTIF(Area_v3TSATHA,$C300)</f>
        <v>0</v>
      </c>
      <c r="AL300" s="190">
        <f>COUNTIF(Area_v4THAHOLON,$C300)</f>
        <v>0</v>
      </c>
      <c r="AM300" s="233">
        <f>COUNTIF(Area_v5THAHOLON,$C300)</f>
        <v>0</v>
      </c>
      <c r="AN300" s="225"/>
    </row>
    <row r="301" spans="1:40" ht="30" customHeight="1">
      <c r="A301" s="50"/>
      <c r="B301" s="1030"/>
      <c r="C301" s="327" t="s">
        <v>2762</v>
      </c>
      <c r="D301" s="228"/>
      <c r="E301" s="301" t="s">
        <v>2766</v>
      </c>
      <c r="F301" s="228"/>
      <c r="G301" s="810">
        <f t="shared" si="323"/>
        <v>13</v>
      </c>
      <c r="H301" s="525">
        <f>COUNTIF(Area_v1RISHER,$C301)</f>
        <v>0</v>
      </c>
      <c r="I301" s="189">
        <f>COUNTIF(Area_v2RISHER,$C301)</f>
        <v>0</v>
      </c>
      <c r="J301" s="189">
        <f>COUNTIF(Area_v1RAANHER,$C301)</f>
        <v>0</v>
      </c>
      <c r="K301" s="189">
        <f>COUNTIF(Area_v2RAANHER,$C301)</f>
        <v>0</v>
      </c>
      <c r="L301" s="189">
        <f>COUNTIF(Area_v1HER,$C301)</f>
        <v>1</v>
      </c>
      <c r="M301" s="189">
        <f>COUNTIF(Area_v2HER,$C301)</f>
        <v>1</v>
      </c>
      <c r="N301" s="189">
        <f>COUNTIF(Area_v3HER,$C301)</f>
        <v>0</v>
      </c>
      <c r="O301" s="189">
        <f>COUNTIF(Area_v4HER,$C301)</f>
        <v>1</v>
      </c>
      <c r="P301" s="189">
        <f>COUNTIF(Area_v5HER,$C301)</f>
        <v>1</v>
      </c>
      <c r="Q301" s="189">
        <f>COUNTIF(Area_v6HER,$C301)</f>
        <v>1</v>
      </c>
      <c r="R301" s="189">
        <f>COUNTIF(Area_v1HERTSA,$C301)</f>
        <v>0</v>
      </c>
      <c r="S301" s="189">
        <f>COUNTIF(Area_v2HERTSA,$C301)</f>
        <v>2</v>
      </c>
      <c r="T301" s="189">
        <f>COUNTIF(Area_v3HERTSA,$C301)</f>
        <v>2</v>
      </c>
      <c r="U301" s="190">
        <f>COUNTIF(Area_v4HERTSA,$C301)</f>
        <v>2</v>
      </c>
      <c r="V301" s="190">
        <f>COUNTIF(Area_v5HERTSA,$C301)</f>
        <v>0</v>
      </c>
      <c r="W301" s="190">
        <f>COUNTIF(Area_v5BBRHER,$C301)</f>
        <v>0</v>
      </c>
      <c r="X301" s="190">
        <f>COUNTIF(Area_v1BBRTUN,$C301)</f>
        <v>0</v>
      </c>
      <c r="Y301" s="190">
        <f>COUNTIF(Area_v2BBRTUN,$C301)</f>
        <v>0</v>
      </c>
      <c r="Z301" s="189">
        <f>COUNTIF(Area_v51HERTSA,$C301)</f>
        <v>0</v>
      </c>
      <c r="AA301" s="189">
        <f>COUNTIF(Area_v52HERTSA,$C301)</f>
        <v>0</v>
      </c>
      <c r="AB301" s="189">
        <f>COUNTIF(Area_v53HERTSA,$C301)</f>
        <v>0</v>
      </c>
      <c r="AC301" s="189">
        <f>COUNTIF(Area_v1TSA,$C301)</f>
        <v>0</v>
      </c>
      <c r="AD301" s="189">
        <f>COUNTIF(Area_v2TSA,$C301)</f>
        <v>0</v>
      </c>
      <c r="AE301" s="189">
        <f>COUNTIF(Area_v3TSA,$C301)</f>
        <v>0</v>
      </c>
      <c r="AF301" s="189">
        <f>COUNTIF(Area_v4TSA,$C301)</f>
        <v>0</v>
      </c>
      <c r="AG301" s="189">
        <f>COUNTIF(Area_v5TSA,$C301)</f>
        <v>0</v>
      </c>
      <c r="AH301" s="189">
        <f>COUNTIF(Area_v6TSA,$C301)</f>
        <v>0</v>
      </c>
      <c r="AI301" s="190">
        <f>COUNTIF(Area_v1TSATHA,$C301)</f>
        <v>0</v>
      </c>
      <c r="AJ301" s="190">
        <f>COUNTIF(Area_v2TSATHA,$C301)</f>
        <v>2</v>
      </c>
      <c r="AK301" s="190">
        <f>COUNTIF(Area_v3TSATHA,$C301)</f>
        <v>0</v>
      </c>
      <c r="AL301" s="190">
        <f>COUNTIF(Area_v4THAHOLON,$C301)</f>
        <v>0</v>
      </c>
      <c r="AM301" s="233">
        <f>COUNTIF(Area_v5THAHOLON,$C301)</f>
        <v>0</v>
      </c>
      <c r="AN301" s="225"/>
    </row>
    <row r="302" spans="1:40" ht="30" customHeight="1">
      <c r="A302" s="259"/>
      <c r="B302" s="563"/>
      <c r="C302" s="339"/>
      <c r="D302" s="309" t="s">
        <v>592</v>
      </c>
      <c r="E302" s="308" t="s">
        <v>729</v>
      </c>
      <c r="F302" s="309" t="s">
        <v>638</v>
      </c>
      <c r="G302" s="817">
        <f t="shared" si="323"/>
        <v>0</v>
      </c>
      <c r="H302" s="786"/>
      <c r="I302" s="529"/>
      <c r="J302" s="529"/>
      <c r="K302" s="529"/>
      <c r="L302" s="529"/>
      <c r="M302" s="529"/>
      <c r="N302" s="529"/>
      <c r="O302" s="529"/>
      <c r="P302" s="529"/>
      <c r="Q302" s="529"/>
      <c r="R302" s="529"/>
      <c r="S302" s="529"/>
      <c r="T302" s="529"/>
      <c r="U302" s="253"/>
      <c r="V302" s="253"/>
      <c r="W302" s="253"/>
      <c r="X302" s="253"/>
      <c r="Y302" s="253"/>
      <c r="Z302" s="529"/>
      <c r="AA302" s="529"/>
      <c r="AB302" s="529"/>
      <c r="AC302" s="529"/>
      <c r="AD302" s="529"/>
      <c r="AE302" s="529"/>
      <c r="AF302" s="529"/>
      <c r="AG302" s="529"/>
      <c r="AH302" s="529"/>
      <c r="AI302" s="253"/>
      <c r="AJ302" s="253"/>
      <c r="AK302" s="253"/>
      <c r="AL302" s="253"/>
      <c r="AM302" s="254"/>
      <c r="AN302" s="1114" t="s">
        <v>1134</v>
      </c>
    </row>
    <row r="303" spans="1:40" ht="30" customHeight="1">
      <c r="A303" s="286" t="s">
        <v>1759</v>
      </c>
      <c r="B303" s="288"/>
      <c r="C303" s="326" t="s">
        <v>864</v>
      </c>
      <c r="D303" s="228" t="s">
        <v>593</v>
      </c>
      <c r="E303" s="301" t="s">
        <v>908</v>
      </c>
      <c r="F303" s="228" t="s">
        <v>730</v>
      </c>
      <c r="G303" s="810">
        <f t="shared" si="323"/>
        <v>48</v>
      </c>
      <c r="H303" s="525">
        <f>COUNTIF(Area_v1RISHER,$C303)</f>
        <v>0</v>
      </c>
      <c r="I303" s="189">
        <f>COUNTIF(Area_v2RISHER,$C303)</f>
        <v>0</v>
      </c>
      <c r="J303" s="189">
        <f>COUNTIF(Area_v1RAANHER,$C303)</f>
        <v>0</v>
      </c>
      <c r="K303" s="189">
        <f>COUNTIF(Area_v2RAANHER,$C303)</f>
        <v>0</v>
      </c>
      <c r="L303" s="189">
        <f>COUNTIF(Area_v1HER,$C303)</f>
        <v>1</v>
      </c>
      <c r="M303" s="189">
        <f>COUNTIF(Area_v2HER,$C303)</f>
        <v>3</v>
      </c>
      <c r="N303" s="189">
        <f>COUNTIF(Area_v3HER,$C303)</f>
        <v>4</v>
      </c>
      <c r="O303" s="189">
        <f>COUNTIF(Area_v4HER,$C303)</f>
        <v>2</v>
      </c>
      <c r="P303" s="189">
        <f>COUNTIF(Area_v5HER,$C303)</f>
        <v>6</v>
      </c>
      <c r="Q303" s="189">
        <f>COUNTIF(Area_v6HER,$C303)</f>
        <v>3</v>
      </c>
      <c r="R303" s="189">
        <f>COUNTIF(Area_v1HERTSA,$C303)</f>
        <v>0</v>
      </c>
      <c r="S303" s="189">
        <f>COUNTIF(Area_v2HERTSA,$C303)</f>
        <v>2</v>
      </c>
      <c r="T303" s="189">
        <f>COUNTIF(Area_v3HERTSA,$C303)</f>
        <v>3</v>
      </c>
      <c r="U303" s="190">
        <f>COUNTIF(Area_v4HERTSA,$C303)</f>
        <v>2</v>
      </c>
      <c r="V303" s="190">
        <f>COUNTIF(Area_v5HERTSA,$C303)</f>
        <v>0</v>
      </c>
      <c r="W303" s="190">
        <f>COUNTIF(Area_v5BBRHER,$C303)</f>
        <v>0</v>
      </c>
      <c r="X303" s="190">
        <f>COUNTIF(Area_v1BBRTUN,$C303)</f>
        <v>0</v>
      </c>
      <c r="Y303" s="190">
        <f>COUNTIF(Area_v2BBRTUN,$C303)</f>
        <v>0</v>
      </c>
      <c r="Z303" s="189">
        <f>COUNTIF(Area_v51HERTSA,$C303)</f>
        <v>0</v>
      </c>
      <c r="AA303" s="189">
        <f>COUNTIF(Area_v52HERTSA,$C303)</f>
        <v>0</v>
      </c>
      <c r="AB303" s="189">
        <f>COUNTIF(Area_v53HERTSA,$C303)</f>
        <v>0</v>
      </c>
      <c r="AC303" s="189">
        <f>COUNTIF(Area_v1TSA,$C303)</f>
        <v>2</v>
      </c>
      <c r="AD303" s="189">
        <f>COUNTIF(Area_v2TSA,$C303)</f>
        <v>2</v>
      </c>
      <c r="AE303" s="189">
        <f>COUNTIF(Area_v3TSA,$C303)</f>
        <v>1</v>
      </c>
      <c r="AF303" s="189">
        <f>COUNTIF(Area_v4TSA,$C303)</f>
        <v>2</v>
      </c>
      <c r="AG303" s="189">
        <f>COUNTIF(Area_v5TSA,$C303)</f>
        <v>1</v>
      </c>
      <c r="AH303" s="189">
        <f>COUNTIF(Area_v6TSA,$C303)</f>
        <v>2</v>
      </c>
      <c r="AI303" s="190">
        <f>COUNTIF(Area_v1TSATHA,$C303)</f>
        <v>2</v>
      </c>
      <c r="AJ303" s="190">
        <f>COUNTIF(Area_v2TSATHA,$C303)</f>
        <v>6</v>
      </c>
      <c r="AK303" s="190">
        <f>COUNTIF(Area_v3TSATHA,$C303)</f>
        <v>2</v>
      </c>
      <c r="AL303" s="190">
        <f>COUNTIF(Area_v4THAHOLON,$C303)</f>
        <v>1</v>
      </c>
      <c r="AM303" s="233">
        <f>COUNTIF(Area_v5THAHOLON,$C303)</f>
        <v>1</v>
      </c>
      <c r="AN303" s="225" t="s">
        <v>1135</v>
      </c>
    </row>
    <row r="304" spans="1:40" ht="30" customHeight="1">
      <c r="A304" s="240"/>
      <c r="B304" s="1026"/>
      <c r="C304" s="328" t="s">
        <v>865</v>
      </c>
      <c r="D304" s="235" t="s">
        <v>594</v>
      </c>
      <c r="E304" s="303" t="s">
        <v>731</v>
      </c>
      <c r="F304" s="235" t="s">
        <v>638</v>
      </c>
      <c r="G304" s="1103">
        <f t="shared" si="323"/>
        <v>0</v>
      </c>
      <c r="H304" s="1076">
        <f>COUNTIF(Area_v1RISHER,$C304)</f>
        <v>0</v>
      </c>
      <c r="I304" s="1076">
        <f>COUNTIF(Area_v2RISHER,$C304)</f>
        <v>0</v>
      </c>
      <c r="J304" s="1076">
        <f>COUNTIF(Area_v1RAANHER,$C304)</f>
        <v>0</v>
      </c>
      <c r="K304" s="1076">
        <f>COUNTIF(Area_v2RAANHER,$C304)</f>
        <v>0</v>
      </c>
      <c r="L304" s="1072">
        <f>COUNTIF(Area_v1HER,$C304)</f>
        <v>0</v>
      </c>
      <c r="M304" s="1072">
        <f>COUNTIF(Area_v2HER,$C304)</f>
        <v>0</v>
      </c>
      <c r="N304" s="1072">
        <f>COUNTIF(Area_v3HER,$C304)</f>
        <v>0</v>
      </c>
      <c r="O304" s="1072">
        <f>COUNTIF(Area_v4HER,$C304)</f>
        <v>0</v>
      </c>
      <c r="P304" s="1072">
        <f>COUNTIF(Area_v5HER,$C304)</f>
        <v>0</v>
      </c>
      <c r="Q304" s="1072">
        <f>COUNTIF(Area_v6HER,$C304)</f>
        <v>0</v>
      </c>
      <c r="R304" s="1072">
        <f>COUNTIF(Area_v1HERTSA,$C304)</f>
        <v>0</v>
      </c>
      <c r="S304" s="1072">
        <f>COUNTIF(Area_v2HERTSA,$C304)</f>
        <v>0</v>
      </c>
      <c r="T304" s="1072">
        <f>COUNTIF(Area_v3HERTSA,$C304)</f>
        <v>0</v>
      </c>
      <c r="U304" s="1073">
        <f>COUNTIF(Area_v4HERTSA,$C304)</f>
        <v>0</v>
      </c>
      <c r="V304" s="1073">
        <f>COUNTIF(Area_v5HERTSA,$C304)</f>
        <v>0</v>
      </c>
      <c r="W304" s="1073">
        <f>COUNTIF(Area_v5BBRHER,$C304)</f>
        <v>0</v>
      </c>
      <c r="X304" s="1073">
        <f>COUNTIF(Area_v1BBRTUN,$C304)</f>
        <v>0</v>
      </c>
      <c r="Y304" s="1073">
        <f>COUNTIF(Area_v2BBRTUN,$C304)</f>
        <v>0</v>
      </c>
      <c r="Z304" s="1072">
        <f>COUNTIF(Area_v51HERTSA,$C304)</f>
        <v>0</v>
      </c>
      <c r="AA304" s="1072">
        <f>COUNTIF(Area_v52HERTSA,$C304)</f>
        <v>0</v>
      </c>
      <c r="AB304" s="1072">
        <f>COUNTIF(Area_v53HERTSA,$C304)</f>
        <v>0</v>
      </c>
      <c r="AC304" s="1072">
        <f>COUNTIF(Area_v1TSA,$C304)</f>
        <v>0</v>
      </c>
      <c r="AD304" s="1072">
        <f>COUNTIF(Area_v2TSA,$C304)</f>
        <v>0</v>
      </c>
      <c r="AE304" s="1072">
        <f>COUNTIF(Area_v3TSA,$C304)</f>
        <v>0</v>
      </c>
      <c r="AF304" s="1072">
        <f>COUNTIF(Area_v4TSA,$C304)</f>
        <v>0</v>
      </c>
      <c r="AG304" s="1072">
        <f>COUNTIF(Area_v5TSA,$C304)</f>
        <v>0</v>
      </c>
      <c r="AH304" s="1072">
        <f>COUNTIF(Area_v6TSA,$C304)</f>
        <v>0</v>
      </c>
      <c r="AI304" s="1073">
        <f>COUNTIF(Area_v1TSATHA,$C304)</f>
        <v>0</v>
      </c>
      <c r="AJ304" s="1073">
        <f>COUNTIF(Area_v2TSATHA,$C304)</f>
        <v>0</v>
      </c>
      <c r="AK304" s="1073">
        <f>COUNTIF(Area_v3TSATHA,$C304)</f>
        <v>0</v>
      </c>
      <c r="AL304" s="1073">
        <f>COUNTIF(Area_v4THAHOLON,$C304)</f>
        <v>0</v>
      </c>
      <c r="AM304" s="1074">
        <f>COUNTIF(Area_v5THAHOLON,$C304)</f>
        <v>0</v>
      </c>
      <c r="AN304" s="1125" t="s">
        <v>4469</v>
      </c>
    </row>
    <row r="305" spans="1:40" ht="30" customHeight="1">
      <c r="A305" s="286" t="s">
        <v>866</v>
      </c>
      <c r="B305" s="190" t="s">
        <v>1760</v>
      </c>
      <c r="C305" s="1068" t="s">
        <v>2763</v>
      </c>
      <c r="D305" s="1092" t="s">
        <v>595</v>
      </c>
      <c r="E305" s="1093" t="s">
        <v>119</v>
      </c>
      <c r="F305" s="1092">
        <v>6680</v>
      </c>
      <c r="G305" s="812">
        <f t="shared" si="323"/>
        <v>65</v>
      </c>
      <c r="H305" s="525">
        <f>COUNTIF(Area_S1RISHER,"DISC/NS")+COUNTIF(Area_S1RISHER,"DISC/IO*")+COUNTIF(Area_S1RISHER,"DISC/PP*")</f>
        <v>0</v>
      </c>
      <c r="I305" s="189">
        <f>COUNTIF(Area_S2RISHER,"DISC/NS")+COUNTIF(Area_S2RISHER,"DISC/IO*")+COUNTIF(Area_S2RISHER,"DISC/PP*")</f>
        <v>0</v>
      </c>
      <c r="J305" s="189">
        <f>COUNTIF(Area_S1RAANHER,"DISC/NS")+COUNTIF(Area_S1RAANHER,"DISC/IO*")+COUNTIF(Area_S1RAANHER,"DISC/PP*")</f>
        <v>0</v>
      </c>
      <c r="K305" s="189">
        <f>COUNTIF(Area_S2RAANHER,"DISC/NS")+COUNTIF(Area_S2RAANHER,"DISC/IO*")+COUNTIF(Area_S2RAANHER,"DISC/PP*")</f>
        <v>0</v>
      </c>
      <c r="L305" s="189">
        <f>COUNTIF(Area_S1HER,"DISC/NS")+COUNTIF(Area_S1HER,"DISC/IO*")+COUNTIF(Area_S1HER,"DISC/PP*")</f>
        <v>4</v>
      </c>
      <c r="M305" s="189">
        <f>COUNTIF(Area_S2HER,"DISC/NS")+COUNTIF(Area_S2HER,"DISC/IO*")+COUNTIF(Area_S2HER,"DISC/PP*")</f>
        <v>3</v>
      </c>
      <c r="N305" s="189">
        <f>COUNTIF(Area_S3HER,"DISC/NS")+COUNTIF(Area_S3HER,"DISC/IO*")+COUNTIF(Area_S3HER,"DISC/PP*")</f>
        <v>1</v>
      </c>
      <c r="O305" s="189">
        <f>COUNTIF(Area_S4HER,"DISC/NS")+COUNTIF(Area_S4HER,"DISC/IO*")+COUNTIF(Area_S4HER,"DISC/PP*")</f>
        <v>5</v>
      </c>
      <c r="P305" s="189">
        <f>COUNTIF(Area_S5HER,"DISC/NS")+COUNTIF(Area_S5HER,"DISC/IO*")+COUNTIF(Area_S5HER,"DISC/PP*")</f>
        <v>2</v>
      </c>
      <c r="Q305" s="189">
        <f>COUNTIF(Area_S6HER,"DISC/NS")+COUNTIF(Area_S6HER,"DISC/IO*")+COUNTIF(Area_S6HER,"DISC/PP*")</f>
        <v>4</v>
      </c>
      <c r="R305" s="189">
        <f>COUNTIF(Area_S1HERTSA,"DISC/NS")+COUNTIF(Area_S1HERTSA,"DISC/IO*")+COUNTIF(Area_S1HERTSA,"DISC/PP*")</f>
        <v>2</v>
      </c>
      <c r="S305" s="189">
        <f>COUNTIF(Area_S2HERTSA,"DISC/NS")+COUNTIF(Area_S2HERTSA,"DISC/IO*")+COUNTIF(Area_S2HERTSA,"DISC/PP*")</f>
        <v>5</v>
      </c>
      <c r="T305" s="189">
        <f>COUNTIF(Area_S3HERTSA,"DISC/NS")+COUNTIF(Area_S3HERTSA,"DISC/IO*")+COUNTIF(Area_S3HERTSA,"DISC/PP*")</f>
        <v>5</v>
      </c>
      <c r="U305" s="190">
        <f>COUNTIF(Area_S4HERTSA,"DISC/NS")+COUNTIF(Area_S4HERTSA,"DISC/IO*")+COUNTIF(Area_S4HERTSA,"DISC/PP*")</f>
        <v>4</v>
      </c>
      <c r="V305" s="190">
        <f>COUNTIF(Area_S5HERTSA,"DISC/NS")+COUNTIF(Area_S5HERTSA,"DISC/IO*")+COUNTIF(Area_S5HERTSA,"DISC/PP*")</f>
        <v>0</v>
      </c>
      <c r="W305" s="190">
        <f>COUNTIF(Area_S5BBRHER,"DISC/NS")+COUNTIF(Area_S5BBRHER,"DISC/IO*")+COUNTIF(Area_S5BBRHER,"DISC/PP*")</f>
        <v>2</v>
      </c>
      <c r="X305" s="190">
        <f>COUNTIF(Area_S1BBRTUN,"DISC/NS")+COUNTIF(Area_S1BBRTUN,"DISC/IO*")+COUNTIF(Area_S1BBRTUN,"DISC/PP*")</f>
        <v>1</v>
      </c>
      <c r="Y305" s="190">
        <f>COUNTIF(Area_S2BBRTUN,"DISC/NS")+COUNTIF(Area_S2BBRTUN,"DISC/IO*")+COUNTIF(Area_S2BBRTUN,"DISC/PP*")</f>
        <v>1</v>
      </c>
      <c r="Z305" s="189">
        <f>COUNTIF(Area_S51HERTSA,"DISC/NS")+COUNTIF(Area_S51HERTSA,"DISC/IO*")+COUNTIF(Area_S51HERTSA,"DISC/PP*")</f>
        <v>0</v>
      </c>
      <c r="AA305" s="189">
        <f>COUNTIF(Area_S52HERTSA,"DISC/NS")+COUNTIF(Area_S52HERTSA,"DISC/IO*")+COUNTIF(Area_S52HERTSA,"DISC/PP*")</f>
        <v>0</v>
      </c>
      <c r="AB305" s="189">
        <f>COUNTIF(Area_S53HERTSA,"DISC/NS")+COUNTIF(Area_S53HERTSA,"DISC/IO*")+COUNTIF(Area_S53HERTSA,"DISC/PP*")</f>
        <v>0</v>
      </c>
      <c r="AC305" s="189">
        <f>COUNTIF(Area_S1TSA,"DISC/NS")+COUNTIF(Area_S1TSA,"DISC/IO*")+COUNTIF(Area_S1TSA,"DISC/PP*")</f>
        <v>3</v>
      </c>
      <c r="AD305" s="189">
        <f>COUNTIF(Area_S2TSA,"DISC/NS")+COUNTIF(Area_S2TSA,"DISC/IO*")+COUNTIF(Area_S2TSA,"DISC/PP*")</f>
        <v>1</v>
      </c>
      <c r="AE305" s="189">
        <f>COUNTIF(Area_S3TSA,"DISC/NS")+COUNTIF(Area_S3TSA,"DISC/IO*")+COUNTIF(Area_S3TSA,"DISC/PP*")</f>
        <v>1</v>
      </c>
      <c r="AF305" s="189">
        <f>COUNTIF(Area_S4TSA,"DISC/NS")+COUNTIF(Area_S4TSA,"DISC/IO*")+COUNTIF(Area_S4TSA,"DISC/PP*")</f>
        <v>3</v>
      </c>
      <c r="AG305" s="189">
        <f>COUNTIF(Area_S5TSA,"DISC/NS")+COUNTIF(Area_S5TSA,"DISC/IO*")+COUNTIF(Area_S5TSA,"DISC/PP*")</f>
        <v>3</v>
      </c>
      <c r="AH305" s="189">
        <f>COUNTIF(Area_S6TSA,"DISC/NS")+COUNTIF(Area_S6TSA,"DISC/IO*")+COUNTIF(Area_S6TSA,"DISC/PP*")</f>
        <v>2</v>
      </c>
      <c r="AI305" s="190">
        <f>COUNTIF(Area_S1TSATHA,"DISC/NS")+COUNTIF(Area_S1TSATHA,"DISC/IO*")+COUNTIF(Area_S1TSATHA,"DISC/PP*")</f>
        <v>3</v>
      </c>
      <c r="AJ305" s="190">
        <f>COUNTIF(Area_S2TSATHA,"DISC/NS")+COUNTIF(Area_S2TSATHA,"DISC/IO*")+COUNTIF(Area_S2TSATHA,"DISC/PP*")</f>
        <v>4</v>
      </c>
      <c r="AK305" s="190">
        <f>COUNTIF(Area_S3TSATHA,"DISC/NS")+COUNTIF(Area_S3TSATHA,"DISC/IO*")+COUNTIF(Area_S3TSATHA,"DISC/PP*")</f>
        <v>4</v>
      </c>
      <c r="AL305" s="190">
        <f>COUNTIF(Area_S4THAHOLON,"DISC/NS")+COUNTIF(Area_S4THAHOLON,"DISC/IO*")+COUNTIF(Area_S4THAHOLON,"DISC/PP*")</f>
        <v>1</v>
      </c>
      <c r="AM305" s="233">
        <f>COUNTIF(Area_S5THAHOLON,"DISC/NS")+COUNTIF(Area_S5THAHOLON,"DISC/IO*")+COUNTIF(Area_S5THAHOLON,"DISC/PP*")</f>
        <v>1</v>
      </c>
      <c r="AN305" s="1094" t="s">
        <v>1136</v>
      </c>
    </row>
    <row r="306" spans="1:40" ht="30" customHeight="1">
      <c r="A306" s="50"/>
      <c r="B306" s="288" t="s">
        <v>882</v>
      </c>
      <c r="C306" s="326" t="s">
        <v>1651</v>
      </c>
      <c r="D306" s="228" t="s">
        <v>595</v>
      </c>
      <c r="E306" s="1093" t="s">
        <v>119</v>
      </c>
      <c r="F306" s="1092">
        <v>6680</v>
      </c>
      <c r="G306" s="810">
        <f t="shared" si="323"/>
        <v>20</v>
      </c>
      <c r="H306" s="525">
        <f>COUNTIF(Area_S1RISHER,"FS-1")+COUNTIF(Area_S1RISHER,"FS/PP-2")*2+COUNTIF(Area_S1RISHER,"FS/PP-3")*2</f>
        <v>0</v>
      </c>
      <c r="I306" s="189">
        <f>COUNTIF(Area_S2RISHER,"FS-1")+COUNTIF(Area_S2RISHER,"FS/PP-2")*2+COUNTIF(Area_S2RISHER,"FS/PP-3")*2</f>
        <v>0</v>
      </c>
      <c r="J306" s="189">
        <f>COUNTIF(Area_S1RAANHER,"FS-1")+COUNTIF(Area_S1RAANHER,"FS/PP-2")*2+COUNTIF(Area_S1RAANHER,"FS/PP-3")*2</f>
        <v>1</v>
      </c>
      <c r="K306" s="189">
        <f>COUNTIF(Area_S2RAANHER,"FS-1")+COUNTIF(Area_S2RAANHER,"FS/PP-2")*2+COUNTIF(Area_S2RAANHER,"FS/PP-3")*2</f>
        <v>1</v>
      </c>
      <c r="L306" s="189">
        <f>COUNTIF(Area_S1HER,"FS-1")+COUNTIF(Area_S1HER,"FS/PP-2")*2+COUNTIF(Area_S1HER,"FS/PP-3")*2</f>
        <v>0</v>
      </c>
      <c r="M306" s="189">
        <f>COUNTIF(Area_S2HER,"FS-1")+COUNTIF(Area_S2HER,"FS/PP-2")*2+COUNTIF(Area_S2HER,"FS/PP-3")*2</f>
        <v>0</v>
      </c>
      <c r="N306" s="189">
        <f>COUNTIF(Area_S3HER,"FS-1")+COUNTIF(Area_S3HER,"FS/PP-2")*2+COUNTIF(Area_S3HER,"FS/PP-3")*2</f>
        <v>0</v>
      </c>
      <c r="O306" s="189">
        <f>COUNTIF(Area_S4HER,"FS-1")+COUNTIF(Area_S4HER,"FS/PP-2")*2+COUNTIF(Area_S4HER,"FS/PP-3")*2</f>
        <v>0</v>
      </c>
      <c r="P306" s="189">
        <f>COUNTIF(Area_S5HER,"FS-1")+COUNTIF(Area_S5HER,"FS/PP-2")*2+COUNTIF(Area_S5HER,"FS/PP-3")*2</f>
        <v>0</v>
      </c>
      <c r="Q306" s="189">
        <f>COUNTIF(Area_S6HER,"FS-1")+COUNTIF(Area_S6HER,"FS/PP-2")*2+COUNTIF(Area_S6HER,"FS/PP-3")*2</f>
        <v>0</v>
      </c>
      <c r="R306" s="189">
        <f>COUNTIF(Area_S1HERTSA,"FS-1")+COUNTIF(Area_S1HERTSA,"FS/PP-2")*2+COUNTIF(Area_S1HERTSA,"FS/PP-3")*2</f>
        <v>1</v>
      </c>
      <c r="S306" s="189">
        <f>COUNTIF(Area_S2HERTSA,"FS-1")+COUNTIF(Area_S2HERTSA,"FS/PP-2")*2+COUNTIF(Area_S2HERTSA,"FS/PP-3")*2</f>
        <v>0</v>
      </c>
      <c r="T306" s="189">
        <f>COUNTIF(Area_S3HERTSA,"FS-1")+COUNTIF(Area_S3HERTSA,"FS/PP-2")*2+COUNTIF(Area_S3HERTSA,"FS/PP-3")*2</f>
        <v>0</v>
      </c>
      <c r="U306" s="190">
        <f>COUNTIF(Area_S4HERTSA,"FS-1")+COUNTIF(Area_S4HERTSA,"FS/PP-2")*2+COUNTIF(Area_S4HERTSA,"FS/PP-3")*2</f>
        <v>2</v>
      </c>
      <c r="V306" s="190">
        <f>COUNTIF(Area_S5HERTSA,"FS-1")+COUNTIF(Area_S5HERTSA,"FS/PP-2")*2+COUNTIF(Area_S5HERTSA,"FS/PP-3")*2</f>
        <v>0</v>
      </c>
      <c r="W306" s="190">
        <f>COUNTIF(Area_S5BBRHER,"FS-1")+COUNTIF(Area_S5BBRHER,"FS/PP-2")*2+COUNTIF(Area_S5BBRHER,"FS/PP-3")*2</f>
        <v>0</v>
      </c>
      <c r="X306" s="190">
        <f>COUNTIF(Area_S1BBRTUN,"FS-1")+COUNTIF(Area_S1BBRTUN,"FS/PP-2")*2+COUNTIF(Area_S1BBRTUN,"FS/PP-3")*2</f>
        <v>0</v>
      </c>
      <c r="Y306" s="190">
        <f>COUNTIF(Area_S2BBRTUN,"FS-1")+COUNTIF(Area_S2BBRTUN,"FS/PP-2")*2+COUNTIF(Area_S2BBRTUN,"FS/PP-3")*2</f>
        <v>0</v>
      </c>
      <c r="Z306" s="189">
        <f>COUNTIF(Area_S51HERTSA,"FS-1")+COUNTIF(Area_S51HERTSA,"FS/PP-2")*2+COUNTIF(Area_S51HERTSA,"FS/PP-3")*2</f>
        <v>0</v>
      </c>
      <c r="AA306" s="189">
        <f>COUNTIF(Area_S52HERTSA,"FS-1")+COUNTIF(Area_S52HERTSA,"FS/PP-2")*2+COUNTIF(Area_S52HERTSA,"FS/PP-3")*2</f>
        <v>0</v>
      </c>
      <c r="AB306" s="189">
        <f>COUNTIF(Area_S53HERTSA,"FS-1")+COUNTIF(Area_S53HERTSA,"FS/PP-2")*2+COUNTIF(Area_S53HERTSA,"FS/PP-3")*2</f>
        <v>0</v>
      </c>
      <c r="AC306" s="189">
        <f>COUNTIF(Area_S1TSA,"FS-1")+COUNTIF(Area_S1TSA,"FS/PP-2")*2+COUNTIF(Area_S1TSA,"FS/PP-3")*2</f>
        <v>1</v>
      </c>
      <c r="AD306" s="189">
        <f>COUNTIF(Area_S2TSA,"FS-1")+COUNTIF(Area_S2TSA,"FS/PP-2")*2+COUNTIF(Area_S2TSA,"FS/PP-3")*2</f>
        <v>0</v>
      </c>
      <c r="AE306" s="189">
        <f>COUNTIF(Area_S3TSA,"FS-1")+COUNTIF(Area_S3TSA,"FS/PP-2")*2+COUNTIF(Area_S3TSA,"FS/PP-3")*2</f>
        <v>0</v>
      </c>
      <c r="AF306" s="189">
        <f>COUNTIF(Area_S4TSA,"FS-1")+COUNTIF(Area_S4TSA,"FS/PP-2")*2+COUNTIF(Area_S4TSA,"FS/PP-3")*2</f>
        <v>2</v>
      </c>
      <c r="AG306" s="189">
        <f>COUNTIF(Area_S5TSA,"FS-1")+COUNTIF(Area_S5TSA,"FS/PP-2")*2+COUNTIF(Area_S5TSA,"FS/PP-3")*2</f>
        <v>0</v>
      </c>
      <c r="AH306" s="189">
        <f>COUNTIF(Area_S6TSA,"FS-1")+COUNTIF(Area_S6TSA,"FS/PP-2")*2+COUNTIF(Area_S6TSA,"FS/PP-3")*2</f>
        <v>1</v>
      </c>
      <c r="AI306" s="190">
        <f>COUNTIF(Area_S1TSATHA,"FS-1")+COUNTIF(Area_S1TSATHA,"FS/PP-2")*2+COUNTIF(Area_S1TSATHA,"FS/PP-3")*2</f>
        <v>7</v>
      </c>
      <c r="AJ306" s="190">
        <f>COUNTIF(Area_S2TSATHA,"FS-1")+COUNTIF(Area_S2TSATHA,"FS/PP-2")*2+COUNTIF(Area_S2TSATHA,"FS/PP-3")*2</f>
        <v>1</v>
      </c>
      <c r="AK306" s="190">
        <f>COUNTIF(Area_S3TSATHA,"FS-1")+COUNTIF(Area_S3TSATHA,"FS/PP-2")*2+COUNTIF(Area_S3TSATHA,"FS/PP-3")*2</f>
        <v>3</v>
      </c>
      <c r="AL306" s="190">
        <f>COUNTIF(Area_S4THAHOLON,"FS-1")+COUNTIF(Area_S4THAHOLON,"FS/PP-2")*2+COUNTIF(Area_S4THAHOLON,"FS/PP-3")*2</f>
        <v>0</v>
      </c>
      <c r="AM306" s="233">
        <f>COUNTIF(Area_S5THAHOLON,"FS-1")+COUNTIF(Area_S5THAHOLON,"FS/PP-2")*2+COUNTIF(Area_S5THAHOLON,"FS/PP-3")*2</f>
        <v>0</v>
      </c>
      <c r="AN306" s="1094"/>
    </row>
    <row r="307" spans="1:40" ht="30" customHeight="1">
      <c r="A307" s="50"/>
      <c r="B307" s="288" t="s">
        <v>2757</v>
      </c>
      <c r="C307" s="326" t="s">
        <v>4155</v>
      </c>
      <c r="D307" s="228" t="s">
        <v>596</v>
      </c>
      <c r="E307" s="1093" t="s">
        <v>120</v>
      </c>
      <c r="F307" s="228">
        <v>6682</v>
      </c>
      <c r="G307" s="810">
        <f t="shared" si="323"/>
        <v>42</v>
      </c>
      <c r="H307" s="525">
        <f>COUNTIF(Area_S1RISHER,"LoadB")+COUNTIF(Area_S1RISHER,"LoadB/t")+COUNTIF(Area_S1RISHER,"LoadB/IO")+COUNTIF(Area_S1RISHER,"LoadB/IO-pr")+COUNTIF(Area_S1RISHER,"LoadB/NS")</f>
        <v>3</v>
      </c>
      <c r="I307" s="189">
        <f>COUNTIF(Area_S2RISHER,"LoadB")+COUNTIF(Area_S2RISHER,"LoadB/t")+COUNTIF(Area_S2RISHER,"LoadB/IO")+COUNTIF(Area_S2RISHER,"LoadB/IO-pr")+COUNTIF(Area_S2RISHER,"LoadB/NS")</f>
        <v>3</v>
      </c>
      <c r="J307" s="189">
        <f>COUNTIF(Area_S1RAANHER,"LoadB")+COUNTIF(Area_S1RAANHER,"LoadB/t")+COUNTIF(Area_S1RAANHER,"LoadB/IO")+COUNTIF(Area_S1RAANHER,"LoadB/IO-pr")+COUNTIF(Area_S1RAANHER,"LoadB/NS")</f>
        <v>3</v>
      </c>
      <c r="K307" s="189">
        <f>COUNTIF(Area_S2RAANHER,"LoadB")+COUNTIF(Area_S2RAANHER,"LoadB/t")+COUNTIF(Area_S2RAANHER,"LoadB/IO")+COUNTIF(Area_S2RAANHER,"LoadB/IO-pr")+COUNTIF(Area_S2RAANHER,"LoadB/NS")</f>
        <v>3</v>
      </c>
      <c r="L307" s="189">
        <f>COUNTIF(Area_S1HER,"LoadB")+COUNTIF(Area_S1HER,"LoadB/t")+COUNTIF(Area_S1HER,"LoadB/IO")+COUNTIF(Area_S1HER,"LoadB/IO-pr")+COUNTIF(Area_S1HER,"LoadB/NS")</f>
        <v>0</v>
      </c>
      <c r="M307" s="189">
        <f>COUNTIF(Area_S2HER,"LoadB")+COUNTIF(Area_S2HER,"LoadB/t")+COUNTIF(Area_S2HER,"LoadB/IO")+COUNTIF(Area_S2HER,"LoadB/IO-pr")+COUNTIF(Area_S2HER,"LoadB/NS")</f>
        <v>0</v>
      </c>
      <c r="N307" s="189">
        <f>COUNTIF(Area_S3HER,"LoadB")+COUNTIF(Area_S3HER,"LoadB/t")+COUNTIF(Area_S3HER,"LoadB/IO")+COUNTIF(Area_S3HER,"LoadB/IO-pr")+COUNTIF(Area_S3HER,"LoadB/NS")</f>
        <v>0</v>
      </c>
      <c r="O307" s="189">
        <f>COUNTIF(Area_S4HER,"LoadB")+COUNTIF(Area_S4HER,"LoadB/t")+COUNTIF(Area_S4HER,"LoadB/IO")+COUNTIF(Area_S4HER,"LoadB/IO-pr")+COUNTIF(Area_S4HER,"LoadB/NS")</f>
        <v>0</v>
      </c>
      <c r="P307" s="189">
        <f>COUNTIF(Area_S5HER,"LoadB")+COUNTIF(Area_S5HER,"LoadB/t")+COUNTIF(Area_S5HER,"LoadB/IO")+COUNTIF(Area_S5HER,"LoadB/IO-pr")+COUNTIF(Area_S5HER,"LoadB/NS")</f>
        <v>0</v>
      </c>
      <c r="Q307" s="189">
        <f>COUNTIF(Area_S6HER,"LoadB")+COUNTIF(Area_S6HER,"LoadB/t")+COUNTIF(Area_S6HER,"LoadB/IO")+COUNTIF(Area_S6HER,"LoadB/IO-pr")+COUNTIF(Area_S6HER,"LoadB/NS")</f>
        <v>0</v>
      </c>
      <c r="R307" s="189">
        <f>COUNTIF(Area_S1HERTSA,"LoadB")+COUNTIF(Area_S1HERTSA,"LoadB/t")+COUNTIF(Area_S1HERTSA,"LoadB/IO")+COUNTIF(Area_S1HERTSA,"LoadB/IO-pr")+COUNTIF(Area_S1HERTSA,"LoadB/NS")</f>
        <v>4</v>
      </c>
      <c r="S307" s="189">
        <f>COUNTIF(Area_S2HERTSA,"LoadB")+COUNTIF(Area_S2HERTSA,"LoadB/t")+COUNTIF(Area_S2HERTSA,"LoadB/IO")+COUNTIF(Area_S2HERTSA,"LoadB/IO-pr")+COUNTIF(Area_S2HERTSA,"LoadB/NS")</f>
        <v>4</v>
      </c>
      <c r="T307" s="189">
        <f>COUNTIF(Area_S3HERTSA,"LoadB")+COUNTIF(Area_S3HERTSA,"LoadB/t")+COUNTIF(Area_S3HERTSA,"LoadB/IO")+COUNTIF(Area_S3HERTSA,"LoadB/IO-pr")+COUNTIF(Area_S3HERTSA,"LoadB/NS")</f>
        <v>4</v>
      </c>
      <c r="U307" s="190">
        <f>COUNTIF(Area_S4HERTSA,"LoadB")+COUNTIF(Area_S4HERTSA,"LoadB/t")+COUNTIF(Area_S4HERTSA,"LoadB/IO")+COUNTIF(Area_S4HERTSA,"LoadB/IO-pr")+COUNTIF(Area_S4HERTSA,"LoadB/NS")</f>
        <v>5</v>
      </c>
      <c r="V307" s="190">
        <f>COUNTIF(Area_S5HERTSA,"LoadB")+COUNTIF(Area_S5HERTSA,"LoadB/t")+COUNTIF(Area_S5HERTSA,"LoadB/IO")+COUNTIF(Area_S5HERTSA,"LoadB/IO-pr")+COUNTIF(Area_S5HERTSA,"LoadB/NS")</f>
        <v>0</v>
      </c>
      <c r="W307" s="190">
        <f>COUNTIF(Area_S5BBRHER,"LoadB")+COUNTIF(Area_S5BBRHER,"LoadB/t")+COUNTIF(Area_S5BBRHER,"LoadB/IO")+COUNTIF(Area_S5BBRHER,"LoadB/IO-pr")+COUNTIF(Area_S5BBRHER,"LoadB/NS")</f>
        <v>0</v>
      </c>
      <c r="X307" s="190">
        <f>COUNTIF(Area_S1BBRTUN,"LoadB")+COUNTIF(Area_S1BBRTUN,"LoadB/t")+COUNTIF(Area_S1BBRTUN,"LoadB/IO")+COUNTIF(Area_S1BBRTUN,"LoadB/IO-pr")+COUNTIF(Area_S1BBRTUN,"LoadB/NS")</f>
        <v>4</v>
      </c>
      <c r="Y307" s="190">
        <f>COUNTIF(Area_S2BBRTUN,"LoadB")+COUNTIF(Area_S2BBRTUN,"LoadB/t")+COUNTIF(Area_S2BBRTUN,"LoadB/IO")+COUNTIF(Area_S2BBRTUN,"LoadB/IO-pr")+COUNTIF(Area_S2BBRTUN,"LoadB/NS")</f>
        <v>4</v>
      </c>
      <c r="Z307" s="189">
        <f>COUNTIF(Area_S51HERTSA,"LoadB")+COUNTIF(Area_S51HERTSA,"LoadB/t")+COUNTIF(Area_S51HERTSA,"LoadB/IO")+COUNTIF(Area_S51HERTSA,"LoadB/IO-pr")+COUNTIF(Area_S51HERTSA,"LoadB/NS")</f>
        <v>0</v>
      </c>
      <c r="AA307" s="189">
        <f>COUNTIF(Area_S52HERTSA,"LoadB")+COUNTIF(Area_S52HERTSA,"LoadB/t")+COUNTIF(Area_S52HERTSA,"LoadB/IO")+COUNTIF(Area_S52HERTSA,"LoadB/IO-pr")+COUNTIF(Area_S52HERTSA,"LoadB/NS")</f>
        <v>0</v>
      </c>
      <c r="AB307" s="189">
        <f>COUNTIF(Area_S53HERTSA,"LoadB")+COUNTIF(Area_S53HERTSA,"LoadB/t")+COUNTIF(Area_S53HERTSA,"LoadB/IO")+COUNTIF(Area_S53HERTSA,"LoadB/IO-pr")+COUNTIF(Area_S53HERTSA,"LoadB/NS")</f>
        <v>0</v>
      </c>
      <c r="AC307" s="189">
        <f>COUNTIF(Area_S1TSA,"LoadB")+COUNTIF(Area_S1TSA,"LoadB/t")+COUNTIF(Area_S1TSA,"LoadB/IO")+COUNTIF(Area_S1TSA,"LoadB/IO-pr")+COUNTIF(Area_S1TSA,"LoadB/NS")</f>
        <v>0</v>
      </c>
      <c r="AD307" s="189">
        <f>COUNTIF(Area_S2TSA,"LoadB")+COUNTIF(Area_S2TSA,"LoadB/t")+COUNTIF(Area_S2TSA,"LoadB/IO")+COUNTIF(Area_S2TSA,"LoadB/IO-pr")+COUNTIF(Area_S2TSA,"LoadB/NS")</f>
        <v>0</v>
      </c>
      <c r="AE307" s="189">
        <f>COUNTIF(Area_S3TSA,"LoadB")+COUNTIF(Area_S3TSA,"LoadB/t")+COUNTIF(Area_S3TSA,"LoadB/IO")+COUNTIF(Area_S3TSA,"LoadB/IO-pr")+COUNTIF(Area_S3TSA,"LoadB/NS")</f>
        <v>0</v>
      </c>
      <c r="AF307" s="189">
        <f>COUNTIF(Area_S4TSA,"LoadB")+COUNTIF(Area_S4TSA,"LoadB/t")+COUNTIF(Area_S4TSA,"LoadB/IO")+COUNTIF(Area_S4TSA,"LoadB/IO-pr")+COUNTIF(Area_S4TSA,"LoadB/NS")</f>
        <v>0</v>
      </c>
      <c r="AG307" s="189">
        <f>COUNTIF(Area_S5TSA,"LoadB")+COUNTIF(Area_S5TSA,"LoadB/t")+COUNTIF(Area_S5TSA,"LoadB/IO")+COUNTIF(Area_S5TSA,"LoadB/IO-pr")+COUNTIF(Area_S5TSA,"LoadB/NS")</f>
        <v>0</v>
      </c>
      <c r="AH307" s="189">
        <f>COUNTIF(Area_S6TSA,"LoadB")+COUNTIF(Area_S6TSA,"LoadB/t")+COUNTIF(Area_S6TSA,"LoadB/IO")+COUNTIF(Area_S6TSA,"LoadB/IO-pr")+COUNTIF(Area_S6TSA,"LoadB/NS")</f>
        <v>0</v>
      </c>
      <c r="AI307" s="190">
        <f>COUNTIF(Area_S1TSATHA,"LoadB")+COUNTIF(Area_S1TSATHA,"LoadB/t")+COUNTIF(Area_S1TSATHA,"LoadB/IO")+COUNTIF(Area_S1TSATHA,"LoadB/IO-pr")+COUNTIF(Area_S1TSATHA,"LoadB/NS")</f>
        <v>1</v>
      </c>
      <c r="AJ307" s="190">
        <f>COUNTIF(Area_S2TSATHA,"LoadB")+COUNTIF(Area_S2TSATHA,"LoadB/t")+COUNTIF(Area_S2TSATHA,"LoadB/IO")+COUNTIF(Area_S2TSATHA,"LoadB/IO-pr")+COUNTIF(Area_S2TSATHA,"LoadB/NS")</f>
        <v>1</v>
      </c>
      <c r="AK307" s="190">
        <f>COUNTIF(Area_S3TSATHA,"LoadB")+COUNTIF(Area_S3TSATHA,"LoadB/t")+COUNTIF(Area_S3TSATHA,"LoadB/IO")+COUNTIF(Area_S3TSATHA,"LoadB/IO-pr")+COUNTIF(Area_S3TSATHA,"LoadB/NS")</f>
        <v>1</v>
      </c>
      <c r="AL307" s="190">
        <f>COUNTIF(Area_S4THAHOLON,"LoadB")+COUNTIF(Area_S4THAHOLON,"LoadB/t")+COUNTIF(Area_S4THAHOLON,"LoadB/IO")+COUNTIF(Area_S4THAHOLON,"LoadB/IO-pr")+COUNTIF(Area_S4THAHOLON,"LoadB/NS")</f>
        <v>1</v>
      </c>
      <c r="AM307" s="233">
        <f>COUNTIF(Area_S5THAHOLON,"LoadB")+COUNTIF(Area_S5THAHOLON,"LoadB/t")+COUNTIF(Area_S5THAHOLON,"LoadB/IO")+COUNTIF(Area_S5THAHOLON,"LoadB/IO-pr")+COUNTIF(Area_S5THAHOLON,"LoadB/NS")</f>
        <v>1</v>
      </c>
      <c r="AN307" s="1094" t="s">
        <v>1140</v>
      </c>
    </row>
    <row r="308" spans="1:40" ht="30" customHeight="1">
      <c r="A308" s="50"/>
      <c r="B308" s="288" t="s">
        <v>882</v>
      </c>
      <c r="C308" s="326" t="s">
        <v>1805</v>
      </c>
      <c r="D308" s="228" t="s">
        <v>596</v>
      </c>
      <c r="E308" s="1093" t="s">
        <v>120</v>
      </c>
      <c r="F308" s="228">
        <v>6682</v>
      </c>
      <c r="G308" s="810">
        <f t="shared" si="323"/>
        <v>10</v>
      </c>
      <c r="H308" s="525">
        <f>COUNTIF(Area_S1RISHER,"LoadB/PP*")+COUNTIF(Area_S1RISHER,"PP-2")+COUNTIF(Area_S1RISHER,"PP-4")*5+COUNTIF(Area_S1RISHER,"FS/PP-2")+COUNTIF(Area_S1RISHER,"FS/PP-3")*3</f>
        <v>0</v>
      </c>
      <c r="I308" s="189">
        <f>COUNTIF(Area_S2RISHER,"LoadB/PP*")+COUNTIF(Area_S2RISHER,"PP-2")+COUNTIF(Area_S2RISHER,"PP-4")*5+COUNTIF(Area_S2RISHER,"FS/PP-2")+COUNTIF(Area_S2RISHER,"FS/PP-3")*3</f>
        <v>0</v>
      </c>
      <c r="J308" s="189">
        <f>COUNTIF(Area_S1RAANHER,"LoadB/PP*")+COUNTIF(Area_S1RAANHER,"PP-2")+COUNTIF(Area_S1RAANHER,"PP-4")*5+COUNTIF(Area_S1RAANHER,"FS/PP-2")+COUNTIF(Area_S1RAANHER,"FS/PP-3")*3</f>
        <v>0</v>
      </c>
      <c r="K308" s="189">
        <f>COUNTIF(Area_S2RAANHER,"LoadB/PP*")+COUNTIF(Area_S2RAANHER,"PP-2")+COUNTIF(Area_S2RAANHER,"PP-4")*5+COUNTIF(Area_S2RAANHER,"FS/PP-2")+COUNTIF(Area_S2RAANHER,"FS/PP-3")*3</f>
        <v>0</v>
      </c>
      <c r="L308" s="189">
        <f>COUNTIF(Area_S1HER,"LoadB/PP*")+COUNTIF(Area_S1HER,"PP-2")+COUNTIF(Area_S1HER,"PP-4")*5+COUNTIF(Area_S1HER,"FS/PP-2")+COUNTIF(Area_S1HER,"FS/PP-3")*3</f>
        <v>2</v>
      </c>
      <c r="M308" s="189">
        <f>COUNTIF(Area_S2HER,"LoadB/PP*")+COUNTIF(Area_S2HER,"PP-2")+COUNTIF(Area_S2HER,"PP-4")*5+COUNTIF(Area_S2HER,"FS/PP-2")+COUNTIF(Area_S2HER,"FS/PP-3")*3</f>
        <v>0</v>
      </c>
      <c r="N308" s="189">
        <f>COUNTIF(Area_S3HER,"LoadB/PP*")+COUNTIF(Area_S3HER,"PP-2")+COUNTIF(Area_S3HER,"PP-4")*5+COUNTIF(Area_S3HER,"FS/PP-2")+COUNTIF(Area_S3HER,"FS/PP-3")*3</f>
        <v>0</v>
      </c>
      <c r="O308" s="189">
        <f>COUNTIF(Area_S4HER,"LoadB/PP*")+COUNTIF(Area_S4HER,"PP-2")+COUNTIF(Area_S4HER,"PP-4")*5+COUNTIF(Area_S4HER,"FS/PP-2")+COUNTIF(Area_S4HER,"FS/PP-3")*3</f>
        <v>0</v>
      </c>
      <c r="P308" s="189">
        <f>COUNTIF(Area_S5HER,"LoadB/PP*")+COUNTIF(Area_S5HER,"PP-2")+COUNTIF(Area_S5HER,"PP-4")*5+COUNTIF(Area_S5HER,"FS/PP-2")+COUNTIF(Area_S5HER,"FS/PP-3")*3</f>
        <v>0</v>
      </c>
      <c r="Q308" s="189">
        <f>COUNTIF(Area_S6HER,"LoadB/PP*")+COUNTIF(Area_S6HER,"PP-2")+COUNTIF(Area_S6HER,"PP-4")*5+COUNTIF(Area_S6HER,"FS/PP-2")+COUNTIF(Area_S6HER,"FS/PP-3")*3</f>
        <v>1</v>
      </c>
      <c r="R308" s="189">
        <f>COUNTIF(Area_S1HERTSA,"LoadB/PP*")+COUNTIF(Area_S1HERTSA,"PP-2")+COUNTIF(Area_S1HERTSA,"PP-4")*5+COUNTIF(Area_S1HERTSA,"FS/PP-2")+COUNTIF(Area_S1HERTSA,"FS/PP-3")*3</f>
        <v>2</v>
      </c>
      <c r="S308" s="189">
        <f>COUNTIF(Area_S2HERTSA,"LoadB/PP*")+COUNTIF(Area_S2HERTSA,"PP-2")+COUNTIF(Area_S2HERTSA,"PP-4")*5+COUNTIF(Area_S2HERTSA,"FS/PP-2")+COUNTIF(Area_S2HERTSA,"FS/PP-3")*3</f>
        <v>0</v>
      </c>
      <c r="T308" s="189">
        <f>COUNTIF(Area_S3HERTSA,"LoadB/PP*")+COUNTIF(Area_S3HERTSA,"PP-2")+COUNTIF(Area_S3HERTSA,"PP-4")*5+COUNTIF(Area_S3HERTSA,"FS/PP-2")+COUNTIF(Area_S3HERTSA,"FS/PP-3")*3</f>
        <v>0</v>
      </c>
      <c r="U308" s="190">
        <f>COUNTIF(Area_S4HERTSA,"LoadB/PP*")+COUNTIF(Area_S4HERTSA,"PP-2")+COUNTIF(Area_S4HERTSA,"PP-4")*5+COUNTIF(Area_S4HERTSA,"FS/PP-2")+COUNTIF(Area_S4HERTSA,"FS/PP-3")*3</f>
        <v>2</v>
      </c>
      <c r="V308" s="190">
        <f>COUNTIF(Area_S5HERTSA,"LoadB/PP*")+COUNTIF(Area_S5HERTSA,"PP-2")+COUNTIF(Area_S5HERTSA,"PP-4")*5+COUNTIF(Area_S5HERTSA,"FS/PP-2")+COUNTIF(Area_S5HERTSA,"FS/PP-3")*3</f>
        <v>0</v>
      </c>
      <c r="W308" s="190">
        <f>COUNTIF(Area_S5BBRHER,"LoadB/PP*")+COUNTIF(Area_S5BBRHER,"PP-2")+COUNTIF(Area_S5BBRHER,"PP-4")*5+COUNTIF(Area_S5BBRHER,"FS/PP-2")+COUNTIF(Area_S5BBRHER,"FS/PP-3")*3</f>
        <v>0</v>
      </c>
      <c r="X308" s="190">
        <f>COUNTIF(Area_S1BBRTUN,"LoadB/PP*")+COUNTIF(Area_S1BBRTUN,"PP-2")+COUNTIF(Area_S1BBRTUN,"PP-4")*5+COUNTIF(Area_S1BBRTUN,"FS/PP-2")+COUNTIF(Area_S1BBRTUN,"FS/PP-3")*3</f>
        <v>2</v>
      </c>
      <c r="Y308" s="190">
        <f>COUNTIF(Area_S2BBRTUN,"LoadB/PP*")+COUNTIF(Area_S2BBRTUN,"PP-2")+COUNTIF(Area_S2BBRTUN,"PP-4")*5+COUNTIF(Area_S2BBRTUN,"FS/PP-2")+COUNTIF(Area_S2BBRTUN,"FS/PP-3")*3</f>
        <v>0</v>
      </c>
      <c r="Z308" s="189">
        <f>COUNTIF(Area_S51HERTSA,"LoadB/PP*")+COUNTIF(Area_S51HERTSA,"PP-2")+COUNTIF(Area_S51HERTSA,"PP-4")*5+COUNTIF(Area_S51HERTSA,"FS/PP-2")+COUNTIF(Area_S51HERTSA,"FS/PP-3")*3</f>
        <v>1</v>
      </c>
      <c r="AA308" s="189">
        <f>COUNTIF(Area_S52HERTSA,"LoadB/PP*")+COUNTIF(Area_S52HERTSA,"PP-2")+COUNTIF(Area_S52HERTSA,"PP-4")*5+COUNTIF(Area_S52HERTSA,"FS/PP-2")+COUNTIF(Area_S52HERTSA,"FS/PP-3")*3</f>
        <v>0</v>
      </c>
      <c r="AB308" s="189">
        <f>COUNTIF(Area_S53HERTSA,"LoadB/PP*")+COUNTIF(Area_S53HERTSA,"PP-2")+COUNTIF(Area_S53HERTSA,"PP-4")*5+COUNTIF(Area_S53HERTSA,"FS/PP-2")+COUNTIF(Area_S53HERTSA,"FS/PP-3")*3</f>
        <v>0</v>
      </c>
      <c r="AC308" s="189">
        <f>COUNTIF(Area_S1TSA,"LoadB/PP*")+COUNTIF(Area_S1TSA,"PP-2")+COUNTIF(Area_S1TSA,"PP-4")*5+COUNTIF(Area_S1TSA,"FS/PP-2")+COUNTIF(Area_S1TSA,"FS/PP-3")*3</f>
        <v>0</v>
      </c>
      <c r="AD308" s="189">
        <f>COUNTIF(Area_S2TSA,"LoadB/PP*")+COUNTIF(Area_S2TSA,"PP-2")+COUNTIF(Area_S2TSA,"PP-4")*5+COUNTIF(Area_S2TSA,"FS/PP-2")+COUNTIF(Area_S2TSA,"FS/PP-3")*3</f>
        <v>0</v>
      </c>
      <c r="AE308" s="189">
        <f>COUNTIF(Area_S3TSA,"LoadB/PP*")+COUNTIF(Area_S3TSA,"PP-2")+COUNTIF(Area_S3TSA,"PP-4")*5+COUNTIF(Area_S3TSA,"FS/PP-2")+COUNTIF(Area_S3TSA,"FS/PP-3")*3</f>
        <v>0</v>
      </c>
      <c r="AF308" s="189">
        <f>COUNTIF(Area_S4TSA,"LoadB/PP*")+COUNTIF(Area_S4TSA,"PP-2")+COUNTIF(Area_S4TSA,"PP-4")*5+COUNTIF(Area_S4TSA,"FS/PP-2")+COUNTIF(Area_S4TSA,"FS/PP-3")*3</f>
        <v>0</v>
      </c>
      <c r="AG308" s="189">
        <f>COUNTIF(Area_S5TSA,"LoadB/PP*")+COUNTIF(Area_S5TSA,"PP-2")+COUNTIF(Area_S5TSA,"PP-4")*5+COUNTIF(Area_S5TSA,"FS/PP-2")+COUNTIF(Area_S5TSA,"FS/PP-3")*3</f>
        <v>0</v>
      </c>
      <c r="AH308" s="189">
        <f>COUNTIF(Area_S6TSA,"LoadB/PP*")+COUNTIF(Area_S6TSA,"PP-2")+COUNTIF(Area_S6TSA,"PP-4")*5+COUNTIF(Area_S6TSA,"FS/PP-2")+COUNTIF(Area_S6TSA,"FS/PP-3")*3</f>
        <v>0</v>
      </c>
      <c r="AI308" s="190">
        <f>COUNTIF(Area_S1TSATHA,"LoadB/PP*")+COUNTIF(Area_S1TSATHA,"PP-2")+COUNTIF(Area_S1TSATHA,"PP-4")*5+COUNTIF(Area_S1TSATHA,"FS/PP-2")+COUNTIF(Area_S1TSATHA,"FS/PP-3")*3</f>
        <v>0</v>
      </c>
      <c r="AJ308" s="190">
        <f>COUNTIF(Area_S2TSATHA,"LoadB/PP*")+COUNTIF(Area_S2TSATHA,"PP-2")+COUNTIF(Area_S2TSATHA,"PP-4")*5+COUNTIF(Area_S2TSATHA,"FS/PP-2")+COUNTIF(Area_S2TSATHA,"FS/PP-3")*3</f>
        <v>0</v>
      </c>
      <c r="AK308" s="190">
        <f>COUNTIF(Area_S3TSATHA,"LoadB/PP*")+COUNTIF(Area_S3TSATHA,"PP-2")+COUNTIF(Area_S3TSATHA,"PP-4")*5+COUNTIF(Area_S3TSATHA,"FS/PP-2")+COUNTIF(Area_S3TSATHA,"FS/PP-3")*3</f>
        <v>0</v>
      </c>
      <c r="AL308" s="190">
        <f>COUNTIF(Area_S4THAHOLON,"LoadB/PP*")+COUNTIF(Area_S4THAHOLON,"PP-2")+COUNTIF(Area_S4THAHOLON,"PP-4")*5+COUNTIF(Area_S4THAHOLON,"FS/PP-2")+COUNTIF(Area_S4THAHOLON,"FS/PP-3")*3</f>
        <v>0</v>
      </c>
      <c r="AM308" s="233">
        <f>COUNTIF(Area_S5THAHOLON,"LoadB/PP*")+COUNTIF(Area_S5THAHOLON,"PP-2")+COUNTIF(Area_S5THAHOLON,"PP-4")*5+COUNTIF(Area_S5THAHOLON,"FS/PP-2")+COUNTIF(Area_S5THAHOLON,"FS/PP-3")*3</f>
        <v>0</v>
      </c>
      <c r="AN308" s="1094"/>
    </row>
    <row r="309" spans="1:40" ht="30" customHeight="1">
      <c r="A309" s="50"/>
      <c r="B309" s="288"/>
      <c r="C309" s="326" t="s">
        <v>881</v>
      </c>
      <c r="D309" s="228" t="s">
        <v>597</v>
      </c>
      <c r="E309" s="301" t="s">
        <v>732</v>
      </c>
      <c r="F309" s="228" t="s">
        <v>638</v>
      </c>
      <c r="G309" s="810">
        <f t="shared" si="323"/>
        <v>0</v>
      </c>
      <c r="H309" s="525">
        <f>COUNTIF(Area_S1RISHER,$C309)</f>
        <v>0</v>
      </c>
      <c r="I309" s="189">
        <f>COUNTIF(Area_S2RISHER,$C309)</f>
        <v>0</v>
      </c>
      <c r="J309" s="189">
        <f>COUNTIF(Area_S1RAANHER,$C309)</f>
        <v>0</v>
      </c>
      <c r="K309" s="189">
        <f>COUNTIF(Area_S2RAANHER,$C309)</f>
        <v>0</v>
      </c>
      <c r="L309" s="189">
        <f>COUNTIF(Area_S1HER,$C309)</f>
        <v>0</v>
      </c>
      <c r="M309" s="189">
        <f>COUNTIF(Area_S2HER,$C309)</f>
        <v>0</v>
      </c>
      <c r="N309" s="189">
        <f>COUNTIF(Area_S3HER,$C309)</f>
        <v>0</v>
      </c>
      <c r="O309" s="189">
        <f>COUNTIF(Area_S4HER,$C309)</f>
        <v>0</v>
      </c>
      <c r="P309" s="189">
        <f>COUNTIF(Area_S5HER,$C309)</f>
        <v>0</v>
      </c>
      <c r="Q309" s="189">
        <f>COUNTIF(Area_S6HER,$C309)</f>
        <v>0</v>
      </c>
      <c r="R309" s="189">
        <f>COUNTIF(Area_S1HERTSA,$C309)</f>
        <v>0</v>
      </c>
      <c r="S309" s="189">
        <f>COUNTIF(Area_S2HERTSA,$C309)</f>
        <v>0</v>
      </c>
      <c r="T309" s="189">
        <f>COUNTIF(Area_S3HERTSA,$C309)</f>
        <v>0</v>
      </c>
      <c r="U309" s="190">
        <f>COUNTIF(Area_S4HERTSA,$C309)</f>
        <v>0</v>
      </c>
      <c r="V309" s="190">
        <f>COUNTIF(Area_S5HERTSA,$C309)</f>
        <v>0</v>
      </c>
      <c r="W309" s="190">
        <f>COUNTIF(Area_S5BBRHER,$C309)</f>
        <v>0</v>
      </c>
      <c r="X309" s="190">
        <f>COUNTIF(Area_S1BBRTUN,$C309)</f>
        <v>0</v>
      </c>
      <c r="Y309" s="190">
        <f>COUNTIF(Area_S2BBRTUN,$C309)</f>
        <v>0</v>
      </c>
      <c r="Z309" s="189">
        <f>COUNTIF(Area_S51HERTSA,$C309)</f>
        <v>0</v>
      </c>
      <c r="AA309" s="189">
        <f>COUNTIF(Area_S52HERTSA,$C309)</f>
        <v>0</v>
      </c>
      <c r="AB309" s="189">
        <f>COUNTIF(Area_S53HERTSA,$C309)</f>
        <v>0</v>
      </c>
      <c r="AC309" s="189">
        <f>COUNTIF(Area_S1TSA,$C309)</f>
        <v>0</v>
      </c>
      <c r="AD309" s="189">
        <f>COUNTIF(Area_S2TSA,$C309)</f>
        <v>0</v>
      </c>
      <c r="AE309" s="189">
        <f>COUNTIF(Area_S3TSA,$C309)</f>
        <v>0</v>
      </c>
      <c r="AF309" s="189">
        <f>COUNTIF(Area_S4TSA,$C309)</f>
        <v>0</v>
      </c>
      <c r="AG309" s="189">
        <f>COUNTIF(Area_S5TSA,$C309)</f>
        <v>0</v>
      </c>
      <c r="AH309" s="189">
        <f>COUNTIF(Area_S6TSA,$C309)</f>
        <v>0</v>
      </c>
      <c r="AI309" s="190">
        <f>COUNTIF(Area_S1TSATHA,$C309)</f>
        <v>0</v>
      </c>
      <c r="AJ309" s="190">
        <f>COUNTIF(Area_S2TSATHA,$C309)</f>
        <v>0</v>
      </c>
      <c r="AK309" s="190">
        <f>COUNTIF(Area_S3TSATHA,$C309)</f>
        <v>0</v>
      </c>
      <c r="AL309" s="190">
        <f>COUNTIF(Area_S4THAHOLON,$C309)</f>
        <v>0</v>
      </c>
      <c r="AM309" s="233">
        <f>COUNTIF(Area_S5THAHOLON,$C309)</f>
        <v>0</v>
      </c>
      <c r="AN309" s="1094" t="s">
        <v>1141</v>
      </c>
    </row>
    <row r="310" spans="1:40" ht="30" customHeight="1">
      <c r="A310" s="249"/>
      <c r="B310" s="1025"/>
      <c r="C310" s="327" t="s">
        <v>1668</v>
      </c>
      <c r="D310" s="234" t="s">
        <v>598</v>
      </c>
      <c r="E310" s="302" t="s">
        <v>1400</v>
      </c>
      <c r="F310" s="234">
        <v>6173</v>
      </c>
      <c r="G310" s="810">
        <f t="shared" si="323"/>
        <v>0</v>
      </c>
      <c r="H310" s="525">
        <f>COUNTIF(Area_S1RISHER,"ED")+COUNTIF(Area_S1RISHER,"ED/T")</f>
        <v>0</v>
      </c>
      <c r="I310" s="189">
        <f>COUNTIF(Area_S2RISHER,"ED")+COUNTIF(Area_S2RISHER,"ED/T")</f>
        <v>0</v>
      </c>
      <c r="J310" s="189">
        <f>COUNTIF(Area_S1RAANHER,"ED")+COUNTIF(Area_S1RAANHER,"ED/T")</f>
        <v>0</v>
      </c>
      <c r="K310" s="189">
        <f>COUNTIF(Area_S2RAANHER,"ED")+COUNTIF(Area_S2RAANHER,"ED/T")</f>
        <v>0</v>
      </c>
      <c r="L310" s="189">
        <f>COUNTIF(Area_S1HER,"ED")+COUNTIF(Area_S1HER,"ED/T")</f>
        <v>0</v>
      </c>
      <c r="M310" s="189">
        <f>COUNTIF(Area_S2HER,"ED")+COUNTIF(Area_S2HER,"ED/T")</f>
        <v>0</v>
      </c>
      <c r="N310" s="189">
        <f>COUNTIF(Area_S3HER,"ED")+COUNTIF(Area_S3HER,"ED/T")</f>
        <v>0</v>
      </c>
      <c r="O310" s="189">
        <f>COUNTIF(Area_S4HER,"ED")+COUNTIF(Area_S4HER,"ED/T")</f>
        <v>0</v>
      </c>
      <c r="P310" s="189">
        <f>COUNTIF(Area_S5HER,"ED")+COUNTIF(Area_S5HER,"ED/T")</f>
        <v>0</v>
      </c>
      <c r="Q310" s="189">
        <f>COUNTIF(Area_S6HER,"ED")+COUNTIF(Area_S6HER,"ED/T")</f>
        <v>0</v>
      </c>
      <c r="R310" s="189">
        <f>COUNTIF(Area_S1HERTSA,"ED")+COUNTIF(Area_S1HERTSA,"ED/T")</f>
        <v>0</v>
      </c>
      <c r="S310" s="189">
        <f>COUNTIF(Area_S2HERTSA,"ED")+COUNTIF(Area_S2HERTSA,"ED/T")</f>
        <v>0</v>
      </c>
      <c r="T310" s="189">
        <f>COUNTIF(Area_S3HERTSA,"ED")+COUNTIF(Area_S3HERTSA,"ED/T")</f>
        <v>0</v>
      </c>
      <c r="U310" s="190">
        <f>COUNTIF(Area_S4HERTSA,"ED")+COUNTIF(Area_S4HERTSA,"ED/T")</f>
        <v>0</v>
      </c>
      <c r="V310" s="190">
        <f>COUNTIF(Area_S5HERTSA,"ED")+COUNTIF(Area_S5HERTSA,"ED/T")</f>
        <v>0</v>
      </c>
      <c r="W310" s="190">
        <f>COUNTIF(Area_S5BBRHER,"ED")+COUNTIF(Area_S5BBRHER,"ED/T")</f>
        <v>0</v>
      </c>
      <c r="X310" s="190">
        <f>COUNTIF(Area_S1BBRTUN,"ED")+COUNTIF(Area_S1BBRTUN,"ED/T")</f>
        <v>0</v>
      </c>
      <c r="Y310" s="190">
        <f>COUNTIF(Area_S2BBRTUN,"ED")+COUNTIF(Area_S2BBRTUN,"ED/T")</f>
        <v>0</v>
      </c>
      <c r="Z310" s="189">
        <f>COUNTIF(Area_S51HERTSA,"ED")+COUNTIF(Area_S51HERTSA,"ED/T")</f>
        <v>0</v>
      </c>
      <c r="AA310" s="189">
        <f>COUNTIF(Area_S52HERTSA,"ED")+COUNTIF(Area_S52HERTSA,"ED/T")</f>
        <v>0</v>
      </c>
      <c r="AB310" s="189">
        <f>COUNTIF(Area_S53HERTSA,"ED")+COUNTIF(Area_S53HERTSA,"ED/T")</f>
        <v>0</v>
      </c>
      <c r="AC310" s="189">
        <f>COUNTIF(Area_S1TSA,"ED")+COUNTIF(Area_S1TSA,"ED/T")</f>
        <v>0</v>
      </c>
      <c r="AD310" s="189">
        <f>COUNTIF(Area_S2TSA,"ED")+COUNTIF(Area_S2TSA,"ED/T")</f>
        <v>0</v>
      </c>
      <c r="AE310" s="189">
        <f>COUNTIF(Area_S3TSA,"ED")+COUNTIF(Area_S3TSA,"ED/T")</f>
        <v>0</v>
      </c>
      <c r="AF310" s="189">
        <f>COUNTIF(Area_S4TSA,"ED")+COUNTIF(Area_S4TSA,"ED/T")</f>
        <v>0</v>
      </c>
      <c r="AG310" s="189">
        <f>COUNTIF(Area_S5TSA,"ED")+COUNTIF(Area_S5TSA,"ED/T")</f>
        <v>0</v>
      </c>
      <c r="AH310" s="189">
        <f>COUNTIF(Area_S6TSA,"ED")+COUNTIF(Area_S6TSA,"ED/T")</f>
        <v>0</v>
      </c>
      <c r="AI310" s="190">
        <f>COUNTIF(Area_S1TSATHA,"ED")+COUNTIF(Area_S1TSATHA,"ED/T")</f>
        <v>0</v>
      </c>
      <c r="AJ310" s="190">
        <f>COUNTIF(Area_S2TSATHA,"ED")+COUNTIF(Area_S2TSATHA,"ED/T")</f>
        <v>0</v>
      </c>
      <c r="AK310" s="190">
        <f>COUNTIF(Area_S3TSATHA,"ED")+COUNTIF(Area_S3TSATHA,"ED/T")</f>
        <v>0</v>
      </c>
      <c r="AL310" s="190">
        <f>COUNTIF(Area_S4THAHOLON,"ED")+COUNTIF(Area_S4THAHOLON,"ED/T")</f>
        <v>0</v>
      </c>
      <c r="AM310" s="233">
        <f>COUNTIF(Area_S5THAHOLON,"ED")+COUNTIF(Area_S5THAHOLON,"ED/T")</f>
        <v>0</v>
      </c>
      <c r="AN310" s="1095" t="s">
        <v>1413</v>
      </c>
    </row>
    <row r="311" spans="1:40" ht="30" customHeight="1">
      <c r="A311" s="256"/>
      <c r="B311" s="990"/>
      <c r="C311" s="326" t="s">
        <v>880</v>
      </c>
      <c r="D311" s="234" t="s">
        <v>909</v>
      </c>
      <c r="E311" s="310" t="s">
        <v>1822</v>
      </c>
      <c r="F311" s="315">
        <v>6172</v>
      </c>
      <c r="G311" s="810">
        <f t="shared" si="323"/>
        <v>0</v>
      </c>
      <c r="H311" s="525">
        <f>COUNTIF(Area_S1RISHER,$C311)</f>
        <v>0</v>
      </c>
      <c r="I311" s="189">
        <f>COUNTIF(Area_S2RISHER,$C311)</f>
        <v>0</v>
      </c>
      <c r="J311" s="189">
        <f>COUNTIF(Area_S1RAANHER,$C311)</f>
        <v>0</v>
      </c>
      <c r="K311" s="189">
        <f>COUNTIF(Area_S2RAANHER,$C311)</f>
        <v>0</v>
      </c>
      <c r="L311" s="189">
        <f>COUNTIF(Area_S1HER,$C311)</f>
        <v>0</v>
      </c>
      <c r="M311" s="189">
        <f>COUNTIF(Area_S2HER,$C311)</f>
        <v>0</v>
      </c>
      <c r="N311" s="189">
        <f>COUNTIF(Area_S3HER,$C311)</f>
        <v>0</v>
      </c>
      <c r="O311" s="189">
        <f>COUNTIF(Area_S4HER,$C311)</f>
        <v>0</v>
      </c>
      <c r="P311" s="189">
        <f>COUNTIF(Area_S5HER,$C311)</f>
        <v>0</v>
      </c>
      <c r="Q311" s="189">
        <f>COUNTIF(Area_S6HER,$C311)</f>
        <v>0</v>
      </c>
      <c r="R311" s="189">
        <f>COUNTIF(Area_S1HERTSA,$C311)</f>
        <v>0</v>
      </c>
      <c r="S311" s="189">
        <f>COUNTIF(Area_S2HERTSA,$C311)</f>
        <v>0</v>
      </c>
      <c r="T311" s="189">
        <f>COUNTIF(Area_S3HERTSA,$C311)</f>
        <v>0</v>
      </c>
      <c r="U311" s="190">
        <f>COUNTIF(Area_S4HERTSA,$C311)</f>
        <v>0</v>
      </c>
      <c r="V311" s="190">
        <f>COUNTIF(Area_S5HERTSA,$C311)</f>
        <v>0</v>
      </c>
      <c r="W311" s="190">
        <f>COUNTIF(Area_S5BBRHER,$C311)</f>
        <v>0</v>
      </c>
      <c r="X311" s="190">
        <f>COUNTIF(Area_S1BBRTUN,$C311)</f>
        <v>0</v>
      </c>
      <c r="Y311" s="190">
        <f>COUNTIF(Area_S2BBRTUN,$C311)</f>
        <v>0</v>
      </c>
      <c r="Z311" s="189">
        <f>COUNTIF(Area_S51HERTSA,$C311)</f>
        <v>0</v>
      </c>
      <c r="AA311" s="189">
        <f>COUNTIF(Area_S52HERTSA,$C311)</f>
        <v>0</v>
      </c>
      <c r="AB311" s="189">
        <f>COUNTIF(Area_S53HERTSA,$C311)</f>
        <v>0</v>
      </c>
      <c r="AC311" s="189">
        <f>COUNTIF(Area_S1TSA,$C311)</f>
        <v>0</v>
      </c>
      <c r="AD311" s="189">
        <f>COUNTIF(Area_S2TSA,$C311)</f>
        <v>0</v>
      </c>
      <c r="AE311" s="189">
        <f>COUNTIF(Area_S3TSA,$C311)</f>
        <v>0</v>
      </c>
      <c r="AF311" s="189">
        <f>COUNTIF(Area_S4TSA,$C311)</f>
        <v>0</v>
      </c>
      <c r="AG311" s="189">
        <f>COUNTIF(Area_S5TSA,$C311)</f>
        <v>0</v>
      </c>
      <c r="AH311" s="189">
        <f>COUNTIF(Area_S6TSA,$C311)</f>
        <v>0</v>
      </c>
      <c r="AI311" s="190">
        <f>COUNTIF(Area_S1TSATHA,$C311)</f>
        <v>0</v>
      </c>
      <c r="AJ311" s="190">
        <f>COUNTIF(Area_S2TSATHA,$C311)</f>
        <v>0</v>
      </c>
      <c r="AK311" s="190">
        <f>COUNTIF(Area_S3TSATHA,$C311)</f>
        <v>0</v>
      </c>
      <c r="AL311" s="190">
        <f>COUNTIF(Area_S4THAHOLON,$C311)</f>
        <v>0</v>
      </c>
      <c r="AM311" s="233">
        <f>COUNTIF(Area_S5THAHOLON,$C311)</f>
        <v>0</v>
      </c>
      <c r="AN311" s="1101" t="s">
        <v>1137</v>
      </c>
    </row>
    <row r="312" spans="1:40" ht="30" customHeight="1">
      <c r="A312" s="287" t="s">
        <v>869</v>
      </c>
      <c r="B312" s="1023"/>
      <c r="C312" s="1068" t="s">
        <v>2764</v>
      </c>
      <c r="D312" s="1069" t="s">
        <v>600</v>
      </c>
      <c r="E312" s="1070" t="s">
        <v>1797</v>
      </c>
      <c r="F312" s="1069" t="s">
        <v>734</v>
      </c>
      <c r="G312" s="812">
        <f t="shared" si="323"/>
        <v>26</v>
      </c>
      <c r="H312" s="524">
        <f>COUNTIF(Area_S1RISHER,"DISC/NS")+COUNTIF(Area_S1RISHER,"DISC/IO")+COUNTIF(Area_S1RISHER,"DISC/PP")</f>
        <v>0</v>
      </c>
      <c r="I312" s="521">
        <f>COUNTIF(Area_S2RISHER,"DISC/NS")+COUNTIF(Area_S2RISHER,"DISC/IO")+COUNTIF(Area_S2RISHER,"DISC/PP")</f>
        <v>0</v>
      </c>
      <c r="J312" s="521">
        <f>COUNTIF(Area_S1RAANHER,"DISC/NS")+COUNTIF(Area_S1RAANHER,"DISC/IO")+COUNTIF(Area_S1RAANHER,"DISC/PP")</f>
        <v>0</v>
      </c>
      <c r="K312" s="521">
        <f>COUNTIF(Area_S2RAANHER,"DISC/NS")+COUNTIF(Area_S2RAANHER,"DISC/IO")+COUNTIF(Area_S2RAANHER,"DISC/PP")</f>
        <v>0</v>
      </c>
      <c r="L312" s="521">
        <f>COUNTIF(Area_S1HER,"DISC/NS")+COUNTIF(Area_S1HER,"DISC/IO")+COUNTIF(Area_S1HER,"DISC/PP")</f>
        <v>2</v>
      </c>
      <c r="M312" s="521">
        <f>COUNTIF(Area_S2HER,"DISC/NS")+COUNTIF(Area_S2HER,"DISC/IO")+COUNTIF(Area_S2HER,"DISC/PP")</f>
        <v>2</v>
      </c>
      <c r="N312" s="521">
        <f>COUNTIF(Area_S3HER,"DISC/NS")+COUNTIF(Area_S3HER,"DISC/IO")+COUNTIF(Area_S3HER,"DISC/PP")</f>
        <v>0</v>
      </c>
      <c r="O312" s="521">
        <f>COUNTIF(Area_S4HER,"DISC/NS")+COUNTIF(Area_S4HER,"DISC/IO")+COUNTIF(Area_S4HER,"DISC/PP")</f>
        <v>1</v>
      </c>
      <c r="P312" s="521">
        <f>COUNTIF(Area_S5HER,"DISC/NS")+COUNTIF(Area_S5HER,"DISC/IO")+COUNTIF(Area_S5HER,"DISC/PP")</f>
        <v>0</v>
      </c>
      <c r="Q312" s="521">
        <f>COUNTIF(Area_S6HER,"DISC/NS")+COUNTIF(Area_S6HER,"DISC/IO")+COUNTIF(Area_S6HER,"DISC/PP")</f>
        <v>1</v>
      </c>
      <c r="R312" s="521">
        <f>COUNTIF(Area_S1HERTSA,"DISC/NS")+COUNTIF(Area_S1HERTSA,"DISC/IO")+COUNTIF(Area_S1HERTSA,"DISC/PP")</f>
        <v>0</v>
      </c>
      <c r="S312" s="521">
        <f>COUNTIF(Area_S2HERTSA,"DISC/NS")+COUNTIF(Area_S2HERTSA,"DISC/IO")+COUNTIF(Area_S2HERTSA,"DISC/PP")</f>
        <v>2</v>
      </c>
      <c r="T312" s="521">
        <f>COUNTIF(Area_S3HERTSA,"DISC/NS")+COUNTIF(Area_S3HERTSA,"DISC/IO")+COUNTIF(Area_S3HERTSA,"DISC/PP")</f>
        <v>2</v>
      </c>
      <c r="U312" s="226">
        <f>COUNTIF(Area_S4HERTSA,"DISC/NS")+COUNTIF(Area_S4HERTSA,"DISC/IO")+COUNTIF(Area_S4HERTSA,"DISC/PP")</f>
        <v>3</v>
      </c>
      <c r="V312" s="226">
        <f>COUNTIF(Area_S5HERTSA,"DISC/NS")+COUNTIF(Area_S5HERTSA,"DISC/IO")+COUNTIF(Area_S5HERTSA,"DISC/PP")</f>
        <v>0</v>
      </c>
      <c r="W312" s="226">
        <f>COUNTIF(Area_S5BBRHER,"DISC/NS")+COUNTIF(Area_S5BBRHER,"DISC/IO")+COUNTIF(Area_S5BBRHER,"DISC/PP")</f>
        <v>1</v>
      </c>
      <c r="X312" s="226">
        <f>COUNTIF(Area_S1BBRTUN,"DISC/NS")+COUNTIF(Area_S1BBRTUN,"DISC/IO")+COUNTIF(Area_S1BBRTUN,"DISC/PP")</f>
        <v>1</v>
      </c>
      <c r="Y312" s="226">
        <f>COUNTIF(Area_S2BBRTUN,"DISC/NS")+COUNTIF(Area_S2BBRTUN,"DISC/IO")+COUNTIF(Area_S2BBRTUN,"DISC/PP")</f>
        <v>1</v>
      </c>
      <c r="Z312" s="521">
        <f>COUNTIF(Area_S51HERTSA,"DISC/NS")+COUNTIF(Area_S51HERTSA,"DISC/IO")+COUNTIF(Area_S51HERTSA,"DISC/PP")</f>
        <v>0</v>
      </c>
      <c r="AA312" s="521">
        <f>COUNTIF(Area_S52HERTSA,"DISC/NS")+COUNTIF(Area_S52HERTSA,"DISC/IO")+COUNTIF(Area_S52HERTSA,"DISC/PP")</f>
        <v>0</v>
      </c>
      <c r="AB312" s="521">
        <f>COUNTIF(Area_S53HERTSA,"DISC/NS")+COUNTIF(Area_S53HERTSA,"DISC/IO")+COUNTIF(Area_S53HERTSA,"DISC/PP")</f>
        <v>0</v>
      </c>
      <c r="AC312" s="521">
        <f>COUNTIF(Area_S1TSA,"DISC/NS")+COUNTIF(Area_S1TSA,"DISC/IO")+COUNTIF(Area_S1TSA,"DISC/PP")</f>
        <v>2</v>
      </c>
      <c r="AD312" s="521">
        <f>COUNTIF(Area_S2TSA,"DISC/NS")+COUNTIF(Area_S2TSA,"DISC/IO")+COUNTIF(Area_S2TSA,"DISC/PP")</f>
        <v>1</v>
      </c>
      <c r="AE312" s="521">
        <f>COUNTIF(Area_S3TSA,"DISC/NS")+COUNTIF(Area_S3TSA,"DISC/IO")+COUNTIF(Area_S3TSA,"DISC/PP")</f>
        <v>0</v>
      </c>
      <c r="AF312" s="521">
        <f>COUNTIF(Area_S4TSA,"DISC/NS")+COUNTIF(Area_S4TSA,"DISC/IO")+COUNTIF(Area_S4TSA,"DISC/PP")</f>
        <v>2</v>
      </c>
      <c r="AG312" s="521">
        <f>COUNTIF(Area_S5TSA,"DISC/NS")+COUNTIF(Area_S5TSA,"DISC/IO")+COUNTIF(Area_S5TSA,"DISC/PP")</f>
        <v>3</v>
      </c>
      <c r="AH312" s="521">
        <f>COUNTIF(Area_S6TSA,"DISC/NS")+COUNTIF(Area_S6TSA,"DISC/IO")+COUNTIF(Area_S6TSA,"DISC/PP")</f>
        <v>2</v>
      </c>
      <c r="AI312" s="226">
        <f>COUNTIF(Area_S1TSATHA,"DISC/NS")+COUNTIF(Area_S1TSATHA,"DISC/IO")+COUNTIF(Area_S1TSATHA,"DISC/PP")</f>
        <v>0</v>
      </c>
      <c r="AJ312" s="226">
        <f>COUNTIF(Area_S2TSATHA,"DISC/NS")+COUNTIF(Area_S2TSATHA,"DISC/IO")+COUNTIF(Area_S2TSATHA,"DISC/PP")</f>
        <v>0</v>
      </c>
      <c r="AK312" s="226">
        <f>COUNTIF(Area_S3TSATHA,"DISC/NS")+COUNTIF(Area_S3TSATHA,"DISC/IO")+COUNTIF(Area_S3TSATHA,"DISC/PP")</f>
        <v>0</v>
      </c>
      <c r="AL312" s="226">
        <f>COUNTIF(Area_S4THAHOLON,"DISC/NS")+COUNTIF(Area_S4THAHOLON,"DISC/IO")+COUNTIF(Area_S4THAHOLON,"DISC/PP")</f>
        <v>0</v>
      </c>
      <c r="AM312" s="227">
        <f>COUNTIF(Area_S5THAHOLON,"DISC/NS")+COUNTIF(Area_S5THAHOLON,"DISC/IO")+COUNTIF(Area_S5THAHOLON,"DISC/PP")</f>
        <v>0</v>
      </c>
      <c r="AN312" s="1066" t="s">
        <v>1142</v>
      </c>
    </row>
    <row r="313" spans="1:40" ht="30" customHeight="1">
      <c r="A313" s="50"/>
      <c r="B313" s="1024"/>
      <c r="C313" s="326" t="s">
        <v>4157</v>
      </c>
      <c r="D313" s="300" t="s">
        <v>1806</v>
      </c>
      <c r="E313" s="301" t="s">
        <v>1798</v>
      </c>
      <c r="F313" s="1092"/>
      <c r="G313" s="810">
        <f t="shared" si="323"/>
        <v>39</v>
      </c>
      <c r="H313" s="525">
        <f>+COUNTIF(Area_S1RISHER,"DISC/IO-pr")+COUNTIF(Area_S1RISHER,"DISC/PP-pr")+COUNTIF(Area_S1RISHER,"DISC-pr")</f>
        <v>0</v>
      </c>
      <c r="I313" s="189">
        <f>+COUNTIF(Area_S2RISHER,"DISC/IO-pr")+COUNTIF(Area_S2RISHER,"DISC/PP-pr")+COUNTIF(Area_S2RISHER,"DISC-pr")</f>
        <v>0</v>
      </c>
      <c r="J313" s="189">
        <f>+COUNTIF(Area_S1RAANHER,"DISC/IO-pr")+COUNTIF(Area_S1RAANHER,"DISC/PP-pr")+COUNTIF(Area_S1RAANHER,"DISC-pr")</f>
        <v>0</v>
      </c>
      <c r="K313" s="189">
        <f>+COUNTIF(Area_S2RAANHER,"DISC/IO-pr")+COUNTIF(Area_S2RAANHER,"DISC/PP-pr")+COUNTIF(Area_S2RAANHER,"DISC-pr")</f>
        <v>0</v>
      </c>
      <c r="L313" s="189">
        <f>+COUNTIF(Area_S1HER,"DISC/IO-pr")+COUNTIF(Area_S1HER,"DISC/PP-pr")+COUNTIF(Area_S1HER,"DISC-pr")</f>
        <v>2</v>
      </c>
      <c r="M313" s="189">
        <f>+COUNTIF(Area_S2HER,"DISC/IO-pr")+COUNTIF(Area_S2HER,"DISC/PP-pr")+COUNTIF(Area_S2HER,"DISC-pr")</f>
        <v>1</v>
      </c>
      <c r="N313" s="189">
        <f>+COUNTIF(Area_S3HER,"DISC/IO-pr")+COUNTIF(Area_S3HER,"DISC/PP-pr")+COUNTIF(Area_S3HER,"DISC-pr")</f>
        <v>1</v>
      </c>
      <c r="O313" s="189">
        <f>+COUNTIF(Area_S4HER,"DISC/IO-pr")+COUNTIF(Area_S4HER,"DISC/PP-pr")+COUNTIF(Area_S4HER,"DISC-pr")</f>
        <v>4</v>
      </c>
      <c r="P313" s="189">
        <f>+COUNTIF(Area_S5HER,"DISC/IO-pr")+COUNTIF(Area_S5HER,"DISC/PP-pr")+COUNTIF(Area_S5HER,"DISC-pr")</f>
        <v>2</v>
      </c>
      <c r="Q313" s="189">
        <f>+COUNTIF(Area_S6HER,"DISC/IO-pr")+COUNTIF(Area_S6HER,"DISC/PP-pr")+COUNTIF(Area_S6HER,"DISC-pr")</f>
        <v>3</v>
      </c>
      <c r="R313" s="189">
        <f>+COUNTIF(Area_S1HERTSA,"DISC/IO-pr")+COUNTIF(Area_S1HERTSA,"DISC/PP-pr")+COUNTIF(Area_S1HERTSA,"DISC-pr")</f>
        <v>2</v>
      </c>
      <c r="S313" s="189">
        <f>+COUNTIF(Area_S2HERTSA,"DISC/IO-pr")+COUNTIF(Area_S2HERTSA,"DISC/PP-pr")+COUNTIF(Area_S2HERTSA,"DISC-pr")</f>
        <v>3</v>
      </c>
      <c r="T313" s="189">
        <f>+COUNTIF(Area_S3HERTSA,"DISC/IO-pr")+COUNTIF(Area_S3HERTSA,"DISC/PP-pr")+COUNTIF(Area_S3HERTSA,"DISC-pr")</f>
        <v>3</v>
      </c>
      <c r="U313" s="190">
        <f>+COUNTIF(Area_S4HERTSA,"DISC/IO-pr")+COUNTIF(Area_S4HERTSA,"DISC/PP-pr")+COUNTIF(Area_S4HERTSA,"DISC-pr")</f>
        <v>1</v>
      </c>
      <c r="V313" s="190">
        <f>+COUNTIF(Area_S5HERTSA,"DISC/IO-pr")+COUNTIF(Area_S5HERTSA,"DISC/PP-pr")+COUNTIF(Area_S5HERTSA,"DISC-pr")</f>
        <v>0</v>
      </c>
      <c r="W313" s="190">
        <f>+COUNTIF(Area_S5BBRHER,"DISC/IO-pr")+COUNTIF(Area_S5BBRHER,"DISC/PP-pr")+COUNTIF(Area_S5BBRHER,"DISC-pr")</f>
        <v>1</v>
      </c>
      <c r="X313" s="190">
        <f>+COUNTIF(Area_S1BBRTUN,"DISC/IO-pr")+COUNTIF(Area_S1BBRTUN,"DISC/PP-pr")+COUNTIF(Area_S1BBRTUN,"DISC-pr")</f>
        <v>0</v>
      </c>
      <c r="Y313" s="190">
        <f>+COUNTIF(Area_S2BBRTUN,"DISC/IO-pr")+COUNTIF(Area_S2BBRTUN,"DISC/PP-pr")+COUNTIF(Area_S2BBRTUN,"DISC-pr")</f>
        <v>0</v>
      </c>
      <c r="Z313" s="189">
        <f>+COUNTIF(Area_S51HERTSA,"DISC/IO-pr")+COUNTIF(Area_S51HERTSA,"DISC/PP-pr")+COUNTIF(Area_S51HERTSA,"DISC-pr")</f>
        <v>0</v>
      </c>
      <c r="AA313" s="189">
        <f>+COUNTIF(Area_S52HERTSA,"DISC/IO-pr")+COUNTIF(Area_S52HERTSA,"DISC/PP-pr")+COUNTIF(Area_S52HERTSA,"DISC-pr")</f>
        <v>0</v>
      </c>
      <c r="AB313" s="189">
        <f>+COUNTIF(Area_S53HERTSA,"DISC/IO-pr")+COUNTIF(Area_S53HERTSA,"DISC/PP-pr")+COUNTIF(Area_S53HERTSA,"DISC-pr")</f>
        <v>0</v>
      </c>
      <c r="AC313" s="189">
        <f>+COUNTIF(Area_S1TSA,"DISC/IO-pr")+COUNTIF(Area_S1TSA,"DISC/PP-pr")+COUNTIF(Area_S1TSA,"DISC-pr")</f>
        <v>1</v>
      </c>
      <c r="AD313" s="189">
        <f>+COUNTIF(Area_S2TSA,"DISC/IO-pr")+COUNTIF(Area_S2TSA,"DISC/PP-pr")+COUNTIF(Area_S2TSA,"DISC-pr")</f>
        <v>0</v>
      </c>
      <c r="AE313" s="189">
        <f>+COUNTIF(Area_S3TSA,"DISC/IO-pr")+COUNTIF(Area_S3TSA,"DISC/PP-pr")+COUNTIF(Area_S3TSA,"DISC-pr")</f>
        <v>1</v>
      </c>
      <c r="AF313" s="189">
        <f>+COUNTIF(Area_S4TSA,"DISC/IO-pr")+COUNTIF(Area_S4TSA,"DISC/PP-pr")+COUNTIF(Area_S4TSA,"DISC-pr")</f>
        <v>1</v>
      </c>
      <c r="AG313" s="189">
        <f>+COUNTIF(Area_S5TSA,"DISC/IO-pr")+COUNTIF(Area_S5TSA,"DISC/PP-pr")+COUNTIF(Area_S5TSA,"DISC-pr")</f>
        <v>0</v>
      </c>
      <c r="AH313" s="189">
        <f>+COUNTIF(Area_S6TSA,"DISC/IO-pr")+COUNTIF(Area_S6TSA,"DISC/PP-pr")+COUNTIF(Area_S6TSA,"DISC-pr")</f>
        <v>0</v>
      </c>
      <c r="AI313" s="190">
        <f>+COUNTIF(Area_S1TSATHA,"DISC/IO-pr")+COUNTIF(Area_S1TSATHA,"DISC/PP-pr")+COUNTIF(Area_S1TSATHA,"DISC-pr")</f>
        <v>3</v>
      </c>
      <c r="AJ313" s="190">
        <f>+COUNTIF(Area_S2TSATHA,"DISC/IO-pr")+COUNTIF(Area_S2TSATHA,"DISC/PP-pr")+COUNTIF(Area_S2TSATHA,"DISC-pr")</f>
        <v>4</v>
      </c>
      <c r="AK313" s="190">
        <f>+COUNTIF(Area_S3TSATHA,"DISC/IO-pr")+COUNTIF(Area_S3TSATHA,"DISC/PP-pr")+COUNTIF(Area_S3TSATHA,"DISC-pr")</f>
        <v>4</v>
      </c>
      <c r="AL313" s="190">
        <f>+COUNTIF(Area_S4THAHOLON,"DISC/IO-pr")+COUNTIF(Area_S4THAHOLON,"DISC/PP-pr")+COUNTIF(Area_S4THAHOLON,"DISC-pr")</f>
        <v>1</v>
      </c>
      <c r="AM313" s="233">
        <f>+COUNTIF(Area_S5THAHOLON,"DISC/IO-pr")+COUNTIF(Area_S5THAHOLON,"DISC/PP-pr")+COUNTIF(Area_S5THAHOLON,"DISC-pr")</f>
        <v>1</v>
      </c>
      <c r="AN313" s="1066" t="s">
        <v>1803</v>
      </c>
    </row>
    <row r="314" spans="1:40" ht="30" customHeight="1">
      <c r="A314" s="50"/>
      <c r="B314" s="1024"/>
      <c r="C314" s="326" t="s">
        <v>1669</v>
      </c>
      <c r="D314" s="300" t="s">
        <v>1807</v>
      </c>
      <c r="E314" s="301" t="s">
        <v>1799</v>
      </c>
      <c r="F314" s="1092"/>
      <c r="G314" s="810">
        <f t="shared" si="323"/>
        <v>0</v>
      </c>
      <c r="H314" s="525">
        <f>COUNTIF(Area_S1RISHER,$C314)</f>
        <v>0</v>
      </c>
      <c r="I314" s="189">
        <f>COUNTIF(Area_S2RISHER,$C314)</f>
        <v>0</v>
      </c>
      <c r="J314" s="189">
        <f>COUNTIF(Area_S1RAANHER,$C314)</f>
        <v>0</v>
      </c>
      <c r="K314" s="189">
        <f>COUNTIF(Area_S2RAANHER,$C314)</f>
        <v>0</v>
      </c>
      <c r="L314" s="189">
        <f>COUNTIF(Area_S1HER,$C314)</f>
        <v>0</v>
      </c>
      <c r="M314" s="189">
        <f>COUNTIF(Area_S2HER,$C314)</f>
        <v>0</v>
      </c>
      <c r="N314" s="189">
        <f>COUNTIF(Area_S3HER,$C314)</f>
        <v>0</v>
      </c>
      <c r="O314" s="189">
        <f>COUNTIF(Area_S4HER,$C314)</f>
        <v>0</v>
      </c>
      <c r="P314" s="189">
        <f>COUNTIF(Area_S5HER,$C314)</f>
        <v>0</v>
      </c>
      <c r="Q314" s="189">
        <f>COUNTIF(Area_S6HER,$C314)</f>
        <v>0</v>
      </c>
      <c r="R314" s="189">
        <f>COUNTIF(Area_S1HERTSA,$C314)</f>
        <v>0</v>
      </c>
      <c r="S314" s="189">
        <f>COUNTIF(Area_S2HERTSA,$C314)</f>
        <v>0</v>
      </c>
      <c r="T314" s="189">
        <f>COUNTIF(Area_S3HERTSA,$C314)</f>
        <v>0</v>
      </c>
      <c r="U314" s="190">
        <f>COUNTIF(Area_S4HERTSA,$C314)</f>
        <v>0</v>
      </c>
      <c r="V314" s="190">
        <f>COUNTIF(Area_S5HERTSA,$C314)</f>
        <v>0</v>
      </c>
      <c r="W314" s="190">
        <f>COUNTIF(Area_S5BBRHER,$C314)</f>
        <v>0</v>
      </c>
      <c r="X314" s="190">
        <f>COUNTIF(Area_S1BBRTUN,$C314)</f>
        <v>0</v>
      </c>
      <c r="Y314" s="190">
        <f>COUNTIF(Area_S2BBRTUN,$C314)</f>
        <v>0</v>
      </c>
      <c r="Z314" s="189">
        <f>COUNTIF(Area_S51HERTSA,$C314)</f>
        <v>0</v>
      </c>
      <c r="AA314" s="189">
        <f>COUNTIF(Area_S52HERTSA,$C314)</f>
        <v>0</v>
      </c>
      <c r="AB314" s="189">
        <f>COUNTIF(Area_S53HERTSA,$C314)</f>
        <v>0</v>
      </c>
      <c r="AC314" s="189">
        <f>COUNTIF(Area_S1TSA,$C314)</f>
        <v>0</v>
      </c>
      <c r="AD314" s="189">
        <f>COUNTIF(Area_S2TSA,$C314)</f>
        <v>0</v>
      </c>
      <c r="AE314" s="189">
        <f>COUNTIF(Area_S3TSA,$C314)</f>
        <v>0</v>
      </c>
      <c r="AF314" s="189">
        <f>COUNTIF(Area_S4TSA,$C314)</f>
        <v>0</v>
      </c>
      <c r="AG314" s="189">
        <f>COUNTIF(Area_S5TSA,$C314)</f>
        <v>0</v>
      </c>
      <c r="AH314" s="189">
        <f>COUNTIF(Area_S6TSA,$C314)</f>
        <v>0</v>
      </c>
      <c r="AI314" s="190">
        <f>COUNTIF(Area_S1TSATHA,$C314)</f>
        <v>0</v>
      </c>
      <c r="AJ314" s="190">
        <f>COUNTIF(Area_S2TSATHA,$C314)</f>
        <v>0</v>
      </c>
      <c r="AK314" s="190">
        <f>COUNTIF(Area_S3TSATHA,$C314)</f>
        <v>0</v>
      </c>
      <c r="AL314" s="190">
        <f>COUNTIF(Area_S4THAHOLON,$C314)</f>
        <v>0</v>
      </c>
      <c r="AM314" s="233">
        <f>COUNTIF(Area_S5THAHOLON,$C314)</f>
        <v>0</v>
      </c>
      <c r="AN314" s="1066" t="s">
        <v>1801</v>
      </c>
    </row>
    <row r="315" spans="1:40" ht="30" customHeight="1">
      <c r="A315" s="50"/>
      <c r="B315" s="1024"/>
      <c r="C315" s="325" t="s">
        <v>2756</v>
      </c>
      <c r="D315" s="300"/>
      <c r="E315" s="301" t="s">
        <v>2758</v>
      </c>
      <c r="F315" s="1092"/>
      <c r="G315" s="810">
        <f t="shared" si="323"/>
        <v>4</v>
      </c>
      <c r="H315" s="525">
        <f>COUNTIF(Area_S1RISHER,$C315)</f>
        <v>0</v>
      </c>
      <c r="I315" s="189">
        <f>COUNTIF(Area_S2RISHER,$C315)</f>
        <v>0</v>
      </c>
      <c r="J315" s="189">
        <f>COUNTIF(Area_S1RAANHER,$C315)</f>
        <v>0</v>
      </c>
      <c r="K315" s="189">
        <f>COUNTIF(Area_S2RAANHER,$C315)</f>
        <v>0</v>
      </c>
      <c r="L315" s="189">
        <f>COUNTIF(Area_S1HER,$C315)</f>
        <v>0</v>
      </c>
      <c r="M315" s="189">
        <f>COUNTIF(Area_S2HER,$C315)</f>
        <v>0</v>
      </c>
      <c r="N315" s="189">
        <f>COUNTIF(Area_S3HER,$C315)</f>
        <v>0</v>
      </c>
      <c r="O315" s="189">
        <f>COUNTIF(Area_S4HER,$C315)</f>
        <v>0</v>
      </c>
      <c r="P315" s="189">
        <f>COUNTIF(Area_S5HER,$C315)</f>
        <v>0</v>
      </c>
      <c r="Q315" s="189">
        <f>COUNTIF(Area_S6HER,$C315)</f>
        <v>0</v>
      </c>
      <c r="R315" s="189">
        <f>COUNTIF(Area_S1HERTSA,$C315)</f>
        <v>0</v>
      </c>
      <c r="S315" s="189">
        <f>COUNTIF(Area_S2HERTSA,$C315)</f>
        <v>0</v>
      </c>
      <c r="T315" s="189">
        <f>COUNTIF(Area_S3HERTSA,$C315)</f>
        <v>0</v>
      </c>
      <c r="U315" s="190">
        <f>COUNTIF(Area_S4HERTSA,$C315)</f>
        <v>0</v>
      </c>
      <c r="V315" s="190">
        <f>COUNTIF(Area_S5HERTSA,$C315)</f>
        <v>0</v>
      </c>
      <c r="W315" s="190">
        <f>COUNTIF(Area_S5BBRHER,$C315)</f>
        <v>0</v>
      </c>
      <c r="X315" s="190">
        <f>COUNTIF(Area_S1BBRTUN,$C315)</f>
        <v>1</v>
      </c>
      <c r="Y315" s="190">
        <f>COUNTIF(Area_S2BBRTUN,$C315)</f>
        <v>1</v>
      </c>
      <c r="Z315" s="189">
        <f>COUNTIF(Area_S51HERTSA,$C315)</f>
        <v>0</v>
      </c>
      <c r="AA315" s="189">
        <f>COUNTIF(Area_S52HERTSA,$C315)</f>
        <v>0</v>
      </c>
      <c r="AB315" s="189">
        <f>COUNTIF(Area_S53HERTSA,$C315)</f>
        <v>0</v>
      </c>
      <c r="AC315" s="189">
        <f>COUNTIF(Area_S1TSA,$C315)</f>
        <v>0</v>
      </c>
      <c r="AD315" s="189">
        <f>COUNTIF(Area_S2TSA,$C315)</f>
        <v>0</v>
      </c>
      <c r="AE315" s="189">
        <f>COUNTIF(Area_S3TSA,$C315)</f>
        <v>0</v>
      </c>
      <c r="AF315" s="189">
        <f>COUNTIF(Area_S4TSA,$C315)</f>
        <v>0</v>
      </c>
      <c r="AG315" s="189">
        <f>COUNTIF(Area_S5TSA,$C315)</f>
        <v>0</v>
      </c>
      <c r="AH315" s="189">
        <f>COUNTIF(Area_S6TSA,$C315)</f>
        <v>0</v>
      </c>
      <c r="AI315" s="190">
        <f>COUNTIF(Area_S1TSATHA,$C315)</f>
        <v>0</v>
      </c>
      <c r="AJ315" s="190">
        <f>COUNTIF(Area_S2TSATHA,$C315)</f>
        <v>0</v>
      </c>
      <c r="AK315" s="190">
        <f>COUNTIF(Area_S3TSATHA,$C315)</f>
        <v>0</v>
      </c>
      <c r="AL315" s="190">
        <f>COUNTIF(Area_S4THAHOLON,$C315)</f>
        <v>1</v>
      </c>
      <c r="AM315" s="233">
        <f>COUNTIF(Area_S5THAHOLON,$C315)</f>
        <v>1</v>
      </c>
      <c r="AN315" s="1066"/>
    </row>
    <row r="316" spans="1:40" ht="30" customHeight="1">
      <c r="A316" s="50"/>
      <c r="B316" s="1024"/>
      <c r="C316" s="325" t="s">
        <v>3048</v>
      </c>
      <c r="D316" s="300"/>
      <c r="E316" s="301" t="s">
        <v>4156</v>
      </c>
      <c r="F316" s="1092"/>
      <c r="G316" s="810">
        <f t="shared" si="323"/>
        <v>30</v>
      </c>
      <c r="H316" s="525">
        <f>COUNTIF(Area_S1RISHER,$C316)</f>
        <v>3</v>
      </c>
      <c r="I316" s="189">
        <f>COUNTIF(Area_S2RISHER,$C316)</f>
        <v>3</v>
      </c>
      <c r="J316" s="189">
        <f>COUNTIF(Area_S1RAANHER,$C316)</f>
        <v>3</v>
      </c>
      <c r="K316" s="189">
        <f>COUNTIF(Area_S2RAANHER,$C316)</f>
        <v>3</v>
      </c>
      <c r="L316" s="189">
        <f>COUNTIF(Area_S1HER,$C316)</f>
        <v>0</v>
      </c>
      <c r="M316" s="189">
        <f>COUNTIF(Area_S2HER,$C316)</f>
        <v>0</v>
      </c>
      <c r="N316" s="189">
        <f>COUNTIF(Area_S3HER,$C316)</f>
        <v>0</v>
      </c>
      <c r="O316" s="189">
        <f>COUNTIF(Area_S4HER,$C316)</f>
        <v>0</v>
      </c>
      <c r="P316" s="189">
        <f>COUNTIF(Area_S5HER,$C316)</f>
        <v>0</v>
      </c>
      <c r="Q316" s="189">
        <f>COUNTIF(Area_S6HER,$C316)</f>
        <v>0</v>
      </c>
      <c r="R316" s="189">
        <f>COUNTIF(Area_S1HERTSA,$C316)</f>
        <v>3</v>
      </c>
      <c r="S316" s="189">
        <f>COUNTIF(Area_S2HERTSA,$C316)</f>
        <v>3</v>
      </c>
      <c r="T316" s="189">
        <f>COUNTIF(Area_S3HERTSA,$C316)</f>
        <v>3</v>
      </c>
      <c r="U316" s="190">
        <f>COUNTIF(Area_S4HERTSA,$C316)</f>
        <v>3</v>
      </c>
      <c r="V316" s="190">
        <f>COUNTIF(Area_S5HERTSA,$C316)</f>
        <v>0</v>
      </c>
      <c r="W316" s="190">
        <f>COUNTIF(Area_S5BBRHER,$C316)</f>
        <v>0</v>
      </c>
      <c r="X316" s="190">
        <f>COUNTIF(Area_S1BBRTUN,$C316)</f>
        <v>3</v>
      </c>
      <c r="Y316" s="190">
        <f>COUNTIF(Area_S2BBRTUN,$C316)</f>
        <v>3</v>
      </c>
      <c r="Z316" s="189">
        <f>COUNTIF(Area_S51HERTSA,$C316)</f>
        <v>0</v>
      </c>
      <c r="AA316" s="189">
        <f>COUNTIF(Area_S52HERTSA,$C316)</f>
        <v>0</v>
      </c>
      <c r="AB316" s="189">
        <f>COUNTIF(Area_S53HERTSA,$C316)</f>
        <v>0</v>
      </c>
      <c r="AC316" s="189">
        <f>COUNTIF(Area_S1TSA,$C316)</f>
        <v>0</v>
      </c>
      <c r="AD316" s="189">
        <f>COUNTIF(Area_S2TSA,$C316)</f>
        <v>0</v>
      </c>
      <c r="AE316" s="189">
        <f>COUNTIF(Area_S3TSA,$C316)</f>
        <v>0</v>
      </c>
      <c r="AF316" s="189">
        <f>COUNTIF(Area_S4TSA,$C316)</f>
        <v>0</v>
      </c>
      <c r="AG316" s="189">
        <f>COUNTIF(Area_S5TSA,$C316)</f>
        <v>0</v>
      </c>
      <c r="AH316" s="189">
        <f>COUNTIF(Area_S6TSA,$C316)</f>
        <v>0</v>
      </c>
      <c r="AI316" s="190">
        <f>COUNTIF(Area_S1TSATHA,$C316)</f>
        <v>0</v>
      </c>
      <c r="AJ316" s="190">
        <f>COUNTIF(Area_S2TSATHA,$C316)</f>
        <v>0</v>
      </c>
      <c r="AK316" s="190">
        <f>COUNTIF(Area_S3TSATHA,$C316)</f>
        <v>0</v>
      </c>
      <c r="AL316" s="190">
        <f>COUNTIF(Area_S4THAHOLON,$C316)</f>
        <v>0</v>
      </c>
      <c r="AM316" s="233">
        <f>COUNTIF(Area_S5THAHOLON,$C316)</f>
        <v>0</v>
      </c>
      <c r="AN316" s="1066"/>
    </row>
    <row r="317" spans="1:40" ht="30" customHeight="1">
      <c r="A317" s="50"/>
      <c r="B317" s="1024"/>
      <c r="C317" s="326" t="s">
        <v>1796</v>
      </c>
      <c r="D317" s="300" t="s">
        <v>1823</v>
      </c>
      <c r="E317" s="301" t="s">
        <v>1800</v>
      </c>
      <c r="F317" s="1092"/>
      <c r="G317" s="810">
        <f t="shared" si="323"/>
        <v>4</v>
      </c>
      <c r="H317" s="525">
        <f>COUNTIF(Area_S1RISHER,$C317)</f>
        <v>0</v>
      </c>
      <c r="I317" s="189">
        <f>COUNTIF(Area_S2RISHER,$C317)</f>
        <v>0</v>
      </c>
      <c r="J317" s="189">
        <f>COUNTIF(Area_S1RAANHER,$C317)</f>
        <v>0</v>
      </c>
      <c r="K317" s="189">
        <f>COUNTIF(Area_S2RAANHER,$C317)</f>
        <v>0</v>
      </c>
      <c r="L317" s="189">
        <f>COUNTIF(Area_S1HER,$C317)</f>
        <v>2</v>
      </c>
      <c r="M317" s="189">
        <f>COUNTIF(Area_S2HER,$C317)</f>
        <v>0</v>
      </c>
      <c r="N317" s="189">
        <f>COUNTIF(Area_S3HER,$C317)</f>
        <v>0</v>
      </c>
      <c r="O317" s="189">
        <f>COUNTIF(Area_S4HER,$C317)</f>
        <v>0</v>
      </c>
      <c r="P317" s="189">
        <f>COUNTIF(Area_S5HER,$C317)</f>
        <v>0</v>
      </c>
      <c r="Q317" s="189">
        <f>COUNTIF(Area_S6HER,$C317)</f>
        <v>1</v>
      </c>
      <c r="R317" s="189">
        <f>COUNTIF(Area_S1HERTSA,$C317)</f>
        <v>0</v>
      </c>
      <c r="S317" s="189">
        <f>COUNTIF(Area_S2HERTSA,$C317)</f>
        <v>0</v>
      </c>
      <c r="T317" s="189">
        <f>COUNTIF(Area_S3HERTSA,$C317)</f>
        <v>0</v>
      </c>
      <c r="U317" s="190">
        <f>COUNTIF(Area_S4HERTSA,$C317)</f>
        <v>0</v>
      </c>
      <c r="V317" s="190">
        <f>COUNTIF(Area_S5HERTSA,$C317)</f>
        <v>0</v>
      </c>
      <c r="W317" s="190">
        <f>COUNTIF(Area_S5BBRHER,$C317)</f>
        <v>0</v>
      </c>
      <c r="X317" s="190">
        <f>COUNTIF(Area_S1BBRTUN,$C317)</f>
        <v>0</v>
      </c>
      <c r="Y317" s="190">
        <f>COUNTIF(Area_S2BBRTUN,$C317)</f>
        <v>0</v>
      </c>
      <c r="Z317" s="189">
        <f>COUNTIF(Area_S51HERTSA,$C317)</f>
        <v>1</v>
      </c>
      <c r="AA317" s="189">
        <f>COUNTIF(Area_S52HERTSA,$C317)</f>
        <v>0</v>
      </c>
      <c r="AB317" s="189">
        <f>COUNTIF(Area_S53HERTSA,$C317)</f>
        <v>0</v>
      </c>
      <c r="AC317" s="189">
        <f>COUNTIF(Area_S1TSA,$C317)</f>
        <v>0</v>
      </c>
      <c r="AD317" s="189">
        <f>COUNTIF(Area_S2TSA,$C317)</f>
        <v>0</v>
      </c>
      <c r="AE317" s="189">
        <f>COUNTIF(Area_S3TSA,$C317)</f>
        <v>0</v>
      </c>
      <c r="AF317" s="189">
        <f>COUNTIF(Area_S4TSA,$C317)</f>
        <v>0</v>
      </c>
      <c r="AG317" s="189">
        <f>COUNTIF(Area_S5TSA,$C317)</f>
        <v>0</v>
      </c>
      <c r="AH317" s="189">
        <f>COUNTIF(Area_S6TSA,$C317)</f>
        <v>0</v>
      </c>
      <c r="AI317" s="190">
        <f>COUNTIF(Area_S1TSATHA,$C317)</f>
        <v>0</v>
      </c>
      <c r="AJ317" s="190">
        <f>COUNTIF(Area_S2TSATHA,$C317)</f>
        <v>0</v>
      </c>
      <c r="AK317" s="190">
        <f>COUNTIF(Area_S3TSATHA,$C317)</f>
        <v>0</v>
      </c>
      <c r="AL317" s="190">
        <f>COUNTIF(Area_S4THAHOLON,$C317)</f>
        <v>0</v>
      </c>
      <c r="AM317" s="233">
        <f>COUNTIF(Area_S5THAHOLON,$C317)</f>
        <v>0</v>
      </c>
      <c r="AN317" s="1066" t="s">
        <v>1804</v>
      </c>
    </row>
    <row r="318" spans="1:40" ht="30" customHeight="1">
      <c r="A318" s="50"/>
      <c r="B318" s="1024"/>
      <c r="C318" s="325" t="s">
        <v>2755</v>
      </c>
      <c r="D318" s="300"/>
      <c r="E318" s="301" t="s">
        <v>2759</v>
      </c>
      <c r="F318" s="1092"/>
      <c r="G318" s="810">
        <f t="shared" si="323"/>
        <v>8</v>
      </c>
      <c r="H318" s="525">
        <f>COUNTIF(Area_S1RISHER,$C318)</f>
        <v>0</v>
      </c>
      <c r="I318" s="189">
        <f>COUNTIF(Area_S2RISHER,$C318)</f>
        <v>0</v>
      </c>
      <c r="J318" s="189">
        <f>COUNTIF(Area_S1RAANHER,$C318)</f>
        <v>0</v>
      </c>
      <c r="K318" s="189">
        <f>COUNTIF(Area_S2RAANHER,$C318)</f>
        <v>0</v>
      </c>
      <c r="L318" s="189">
        <f>COUNTIF(Area_S1HER,$C318)</f>
        <v>0</v>
      </c>
      <c r="M318" s="189">
        <f>COUNTIF(Area_S2HER,$C318)</f>
        <v>0</v>
      </c>
      <c r="N318" s="189">
        <f>COUNTIF(Area_S3HER,$C318)</f>
        <v>0</v>
      </c>
      <c r="O318" s="189">
        <f>COUNTIF(Area_S4HER,$C318)</f>
        <v>0</v>
      </c>
      <c r="P318" s="189">
        <f>COUNTIF(Area_S5HER,$C318)</f>
        <v>0</v>
      </c>
      <c r="Q318" s="189">
        <f>COUNTIF(Area_S6HER,$C318)</f>
        <v>0</v>
      </c>
      <c r="R318" s="189">
        <f>COUNTIF(Area_S1HERTSA,$C318)</f>
        <v>1</v>
      </c>
      <c r="S318" s="189">
        <f>COUNTIF(Area_S2HERTSA,$C318)</f>
        <v>1</v>
      </c>
      <c r="T318" s="189">
        <f>COUNTIF(Area_S3HERTSA,$C318)</f>
        <v>1</v>
      </c>
      <c r="U318" s="190">
        <f>COUNTIF(Area_S4HERTSA,$C318)</f>
        <v>2</v>
      </c>
      <c r="V318" s="190">
        <f>COUNTIF(Area_S5HERTSA,$C318)</f>
        <v>0</v>
      </c>
      <c r="W318" s="190">
        <f>COUNTIF(Area_S5BBRHER,$C318)</f>
        <v>0</v>
      </c>
      <c r="X318" s="190">
        <f>COUNTIF(Area_S1BBRTUN,$C318)</f>
        <v>0</v>
      </c>
      <c r="Y318" s="190">
        <f>COUNTIF(Area_S2BBRTUN,$C318)</f>
        <v>0</v>
      </c>
      <c r="Z318" s="189">
        <f>COUNTIF(Area_S51HERTSA,$C318)</f>
        <v>0</v>
      </c>
      <c r="AA318" s="189">
        <f>COUNTIF(Area_S52HERTSA,$C318)</f>
        <v>0</v>
      </c>
      <c r="AB318" s="189">
        <f>COUNTIF(Area_S53HERTSA,$C318)</f>
        <v>0</v>
      </c>
      <c r="AC318" s="189">
        <f>COUNTIF(Area_S1TSA,$C318)</f>
        <v>0</v>
      </c>
      <c r="AD318" s="189">
        <f>COUNTIF(Area_S2TSA,$C318)</f>
        <v>0</v>
      </c>
      <c r="AE318" s="189">
        <f>COUNTIF(Area_S3TSA,$C318)</f>
        <v>0</v>
      </c>
      <c r="AF318" s="189">
        <f>COUNTIF(Area_S4TSA,$C318)</f>
        <v>0</v>
      </c>
      <c r="AG318" s="189">
        <f>COUNTIF(Area_S5TSA,$C318)</f>
        <v>0</v>
      </c>
      <c r="AH318" s="189">
        <f>COUNTIF(Area_S6TSA,$C318)</f>
        <v>0</v>
      </c>
      <c r="AI318" s="190">
        <f>COUNTIF(Area_S1TSATHA,$C318)</f>
        <v>1</v>
      </c>
      <c r="AJ318" s="190">
        <f>COUNTIF(Area_S2TSATHA,$C318)</f>
        <v>1</v>
      </c>
      <c r="AK318" s="190">
        <f>COUNTIF(Area_S3TSATHA,$C318)</f>
        <v>1</v>
      </c>
      <c r="AL318" s="190">
        <f>COUNTIF(Area_S4THAHOLON,$C318)</f>
        <v>0</v>
      </c>
      <c r="AM318" s="233">
        <f>COUNTIF(Area_S5THAHOLON,$C318)</f>
        <v>0</v>
      </c>
      <c r="AN318" s="1066"/>
    </row>
    <row r="319" spans="1:40" ht="30" customHeight="1">
      <c r="A319" s="50"/>
      <c r="B319" s="1049"/>
      <c r="C319" s="326"/>
      <c r="D319" s="228" t="s">
        <v>602</v>
      </c>
      <c r="E319" s="301" t="s">
        <v>1392</v>
      </c>
      <c r="F319" s="228" t="s">
        <v>734</v>
      </c>
      <c r="G319" s="810">
        <f t="shared" si="323"/>
        <v>0</v>
      </c>
      <c r="H319" s="525"/>
      <c r="AK319" s="190"/>
      <c r="AM319" s="233"/>
      <c r="AN319" s="1066" t="s">
        <v>1143</v>
      </c>
    </row>
    <row r="320" spans="1:40" ht="30" customHeight="1">
      <c r="A320" s="50"/>
      <c r="B320" s="288"/>
      <c r="C320" s="326" t="s">
        <v>884</v>
      </c>
      <c r="D320" s="228" t="s">
        <v>603</v>
      </c>
      <c r="E320" s="301" t="s">
        <v>1430</v>
      </c>
      <c r="F320" s="228">
        <v>6175</v>
      </c>
      <c r="G320" s="810">
        <f t="shared" si="323"/>
        <v>20</v>
      </c>
      <c r="H320" s="525">
        <f>COUNTIF(Area_S1RISHER,$C320)</f>
        <v>0</v>
      </c>
      <c r="I320" s="189">
        <f>COUNTIF(Area_S2RISHER,$C320)</f>
        <v>0</v>
      </c>
      <c r="J320" s="189">
        <f>COUNTIF(Area_S1RAANHER,$C320)</f>
        <v>1</v>
      </c>
      <c r="K320" s="189">
        <f>COUNTIF(Area_S2RAANHER,$C320)</f>
        <v>1</v>
      </c>
      <c r="L320" s="189">
        <f>COUNTIF(Area_S1HER,$C320)</f>
        <v>0</v>
      </c>
      <c r="M320" s="189">
        <f>COUNTIF(Area_S2HER,$C320)</f>
        <v>0</v>
      </c>
      <c r="N320" s="189">
        <f>COUNTIF(Area_S3HER,$C320)</f>
        <v>0</v>
      </c>
      <c r="O320" s="189">
        <f>COUNTIF(Area_S4HER,$C320)</f>
        <v>0</v>
      </c>
      <c r="P320" s="189">
        <f>COUNTIF(Area_S5HER,$C320)</f>
        <v>0</v>
      </c>
      <c r="Q320" s="189">
        <f>COUNTIF(Area_S6HER,$C320)</f>
        <v>0</v>
      </c>
      <c r="R320" s="189">
        <f>COUNTIF(Area_S1HERTSA,$C320)</f>
        <v>1</v>
      </c>
      <c r="S320" s="189">
        <f>COUNTIF(Area_S2HERTSA,$C320)</f>
        <v>0</v>
      </c>
      <c r="T320" s="189">
        <f>COUNTIF(Area_S3HERTSA,$C320)</f>
        <v>0</v>
      </c>
      <c r="U320" s="190">
        <f>COUNTIF(Area_S4HERTSA,$C320)</f>
        <v>2</v>
      </c>
      <c r="V320" s="190">
        <f>COUNTIF(Area_S5HERTSA,$C320)</f>
        <v>0</v>
      </c>
      <c r="W320" s="190">
        <f>COUNTIF(Area_S5BBRHER,$C320)</f>
        <v>0</v>
      </c>
      <c r="X320" s="190">
        <f>COUNTIF(Area_S1BBRTUN,$C320)</f>
        <v>0</v>
      </c>
      <c r="Y320" s="190">
        <f>COUNTIF(Area_S2BBRTUN,$C320)</f>
        <v>0</v>
      </c>
      <c r="Z320" s="189">
        <f>COUNTIF(Area_S51HERTSA,$C320)</f>
        <v>0</v>
      </c>
      <c r="AA320" s="189">
        <f>COUNTIF(Area_S52HERTSA,$C320)</f>
        <v>0</v>
      </c>
      <c r="AB320" s="189">
        <f>COUNTIF(Area_S53HERTSA,$C320)</f>
        <v>0</v>
      </c>
      <c r="AC320" s="189">
        <f>COUNTIF(Area_S1TSA,$C320)</f>
        <v>1</v>
      </c>
      <c r="AD320" s="189">
        <f>COUNTIF(Area_S2TSA,$C320)</f>
        <v>0</v>
      </c>
      <c r="AE320" s="189">
        <f>COUNTIF(Area_S3TSA,$C320)</f>
        <v>0</v>
      </c>
      <c r="AF320" s="189">
        <f>COUNTIF(Area_S4TSA,$C320)</f>
        <v>2</v>
      </c>
      <c r="AG320" s="189">
        <f>COUNTIF(Area_S5TSA,$C320)</f>
        <v>0</v>
      </c>
      <c r="AH320" s="189">
        <f>COUNTIF(Area_S6TSA,$C320)</f>
        <v>1</v>
      </c>
      <c r="AI320" s="190">
        <f>COUNTIF(Area_S1TSATHA,$C320)</f>
        <v>7</v>
      </c>
      <c r="AJ320" s="190">
        <f>COUNTIF(Area_S2TSATHA,$C320)</f>
        <v>1</v>
      </c>
      <c r="AK320" s="190">
        <f>COUNTIF(Area_S3TSATHA,$C320)</f>
        <v>3</v>
      </c>
      <c r="AL320" s="190">
        <f>COUNTIF(Area_S4THAHOLON,$C320)</f>
        <v>0</v>
      </c>
      <c r="AM320" s="233">
        <f>COUNTIF(Area_S5THAHOLON,$C320)</f>
        <v>0</v>
      </c>
      <c r="AN320" s="225" t="s">
        <v>1147</v>
      </c>
    </row>
    <row r="321" spans="1:40" ht="30" customHeight="1">
      <c r="A321" s="50"/>
      <c r="B321" s="288"/>
      <c r="C321" s="326" t="s">
        <v>885</v>
      </c>
      <c r="D321" s="228" t="s">
        <v>604</v>
      </c>
      <c r="E321" s="301" t="s">
        <v>1431</v>
      </c>
      <c r="F321" s="228" t="s">
        <v>638</v>
      </c>
      <c r="G321" s="810">
        <f t="shared" si="323"/>
        <v>0</v>
      </c>
      <c r="H321" s="525">
        <f>COUNTIF(Area_S1RISHER,$C321)</f>
        <v>0</v>
      </c>
      <c r="I321" s="189">
        <f>COUNTIF(Area_S2RISHER,$C321)</f>
        <v>0</v>
      </c>
      <c r="J321" s="189">
        <f>COUNTIF(Area_S1RAANHER,$C321)</f>
        <v>0</v>
      </c>
      <c r="K321" s="189">
        <f>COUNTIF(Area_S2RAANHER,$C321)</f>
        <v>0</v>
      </c>
      <c r="L321" s="189">
        <f>COUNTIF(Area_S1HER,$C321)</f>
        <v>0</v>
      </c>
      <c r="M321" s="189">
        <f>COUNTIF(Area_S2HER,$C321)</f>
        <v>0</v>
      </c>
      <c r="N321" s="189">
        <f>COUNTIF(Area_S3HER,$C321)</f>
        <v>0</v>
      </c>
      <c r="O321" s="189">
        <f>COUNTIF(Area_S4HER,$C321)</f>
        <v>0</v>
      </c>
      <c r="P321" s="189">
        <f>COUNTIF(Area_S5HER,$C321)</f>
        <v>0</v>
      </c>
      <c r="Q321" s="189">
        <f>COUNTIF(Area_S6HER,$C321)</f>
        <v>0</v>
      </c>
      <c r="R321" s="189">
        <f>COUNTIF(Area_S1HERTSA,$C321)</f>
        <v>0</v>
      </c>
      <c r="S321" s="189">
        <f>COUNTIF(Area_S2HERTSA,$C321)</f>
        <v>0</v>
      </c>
      <c r="T321" s="189">
        <f>COUNTIF(Area_S3HERTSA,$C321)</f>
        <v>0</v>
      </c>
      <c r="U321" s="190">
        <f>COUNTIF(Area_S4HERTSA,$C321)</f>
        <v>0</v>
      </c>
      <c r="V321" s="190">
        <f>COUNTIF(Area_S5HERTSA,$C321)</f>
        <v>0</v>
      </c>
      <c r="W321" s="190">
        <f>COUNTIF(Area_S5BBRHER,$C321)</f>
        <v>0</v>
      </c>
      <c r="X321" s="190">
        <f>COUNTIF(Area_S1BBRTUN,$C321)</f>
        <v>0</v>
      </c>
      <c r="Y321" s="190">
        <f>COUNTIF(Area_S2BBRTUN,$C321)</f>
        <v>0</v>
      </c>
      <c r="Z321" s="189">
        <f>COUNTIF(Area_S51HERTSA,$C321)</f>
        <v>0</v>
      </c>
      <c r="AA321" s="189">
        <f>COUNTIF(Area_S52HERTSA,$C321)</f>
        <v>0</v>
      </c>
      <c r="AB321" s="189">
        <f>COUNTIF(Area_S53HERTSA,$C321)</f>
        <v>0</v>
      </c>
      <c r="AC321" s="189">
        <f>COUNTIF(Area_S1TSA,$C321)</f>
        <v>0</v>
      </c>
      <c r="AD321" s="189">
        <f>COUNTIF(Area_S2TSA,$C321)</f>
        <v>0</v>
      </c>
      <c r="AE321" s="189">
        <f>COUNTIF(Area_S3TSA,$C321)</f>
        <v>0</v>
      </c>
      <c r="AF321" s="189">
        <f>COUNTIF(Area_S4TSA,$C321)</f>
        <v>0</v>
      </c>
      <c r="AG321" s="189">
        <f>COUNTIF(Area_S5TSA,$C321)</f>
        <v>0</v>
      </c>
      <c r="AH321" s="189">
        <f>COUNTIF(Area_S6TSA,$C321)</f>
        <v>0</v>
      </c>
      <c r="AI321" s="190">
        <f>COUNTIF(Area_S1TSATHA,$C321)</f>
        <v>0</v>
      </c>
      <c r="AJ321" s="190">
        <f>COUNTIF(Area_S2TSATHA,$C321)</f>
        <v>0</v>
      </c>
      <c r="AK321" s="190">
        <f>COUNTIF(Area_S3TSATHA,$C321)</f>
        <v>0</v>
      </c>
      <c r="AL321" s="190">
        <f>COUNTIF(Area_S4THAHOLON,$C321)</f>
        <v>0</v>
      </c>
      <c r="AM321" s="233">
        <f>COUNTIF(Area_S5THAHOLON,$C321)</f>
        <v>0</v>
      </c>
      <c r="AN321" s="225" t="s">
        <v>1144</v>
      </c>
    </row>
    <row r="322" spans="1:40" ht="30" customHeight="1">
      <c r="A322" s="288"/>
      <c r="B322" s="288"/>
      <c r="C322" s="326" t="s">
        <v>1821</v>
      </c>
      <c r="D322" s="228" t="s">
        <v>605</v>
      </c>
      <c r="E322" s="301" t="s">
        <v>736</v>
      </c>
      <c r="F322" s="228">
        <v>6172</v>
      </c>
      <c r="G322" s="810">
        <f t="shared" si="323"/>
        <v>0</v>
      </c>
      <c r="H322" s="525">
        <f>COUNTIF(Area_S1RISHER,"Disc/t")+COUNTIF(Area_S1RISHER,"LoadB/t")</f>
        <v>0</v>
      </c>
      <c r="I322" s="189">
        <f>COUNTIF(Area_S2RISHER,"Disc/t")+COUNTIF(Area_S2RISHER,"LoadB/t")</f>
        <v>0</v>
      </c>
      <c r="J322" s="189">
        <f>COUNTIF(Area_S1RAANHER,"Disc/t")+COUNTIF(Area_S1RAANHER,"LoadB/t")</f>
        <v>0</v>
      </c>
      <c r="K322" s="189">
        <f>COUNTIF(Area_S2RAANHER,"Disc/t")+COUNTIF(Area_S2RAANHER,"LoadB/t")</f>
        <v>0</v>
      </c>
      <c r="L322" s="189">
        <f>COUNTIF(Area_S1HER,"Disc/t")+COUNTIF(Area_S1HER,"LoadB/t")</f>
        <v>0</v>
      </c>
      <c r="M322" s="189">
        <f>COUNTIF(Area_S2HER,"Disc/t")+COUNTIF(Area_S2HER,"LoadB/t")</f>
        <v>0</v>
      </c>
      <c r="N322" s="189">
        <f>COUNTIF(Area_S3HER,"Disc/t")+COUNTIF(Area_S3HER,"LoadB/t")</f>
        <v>0</v>
      </c>
      <c r="O322" s="189">
        <f>COUNTIF(Area_S4HER,"Disc/t")+COUNTIF(Area_S4HER,"LoadB/t")</f>
        <v>0</v>
      </c>
      <c r="P322" s="189">
        <f>COUNTIF(Area_S5HER,"Disc/t")+COUNTIF(Area_S5HER,"LoadB/t")</f>
        <v>0</v>
      </c>
      <c r="Q322" s="189">
        <f>COUNTIF(Area_S6HER,"Disc/t")+COUNTIF(Area_S6HER,"LoadB/t")</f>
        <v>0</v>
      </c>
      <c r="R322" s="189">
        <f>COUNTIF(Area_S1HERTSA,"Disc/t")+COUNTIF(Area_S1HERTSA,"LoadB/t")</f>
        <v>0</v>
      </c>
      <c r="S322" s="189">
        <f>COUNTIF(Area_S2HERTSA,"Disc/t")+COUNTIF(Area_S2HERTSA,"LoadB/t")</f>
        <v>0</v>
      </c>
      <c r="T322" s="189">
        <f>COUNTIF(Area_S3HERTSA,"Disc/t")+COUNTIF(Area_S3HERTSA,"LoadB/t")</f>
        <v>0</v>
      </c>
      <c r="U322" s="190">
        <f>COUNTIF(Area_S4HERTSA,"Disc/t")+COUNTIF(Area_S4HERTSA,"LoadB/t")</f>
        <v>0</v>
      </c>
      <c r="V322" s="190">
        <f>COUNTIF(Area_S5HERTSA,"Disc/t")+COUNTIF(Area_S5HERTSA,"LoadB/t")</f>
        <v>0</v>
      </c>
      <c r="W322" s="190">
        <f>COUNTIF(Area_S5BBRHER,"Disc/t")+COUNTIF(Area_S5BBRHER,"LoadB/t")</f>
        <v>0</v>
      </c>
      <c r="X322" s="190">
        <f>COUNTIF(Area_S1BBRTUN,"Disc/t")+COUNTIF(Area_S1BBRTUN,"LoadB/t")</f>
        <v>0</v>
      </c>
      <c r="Y322" s="190">
        <f>COUNTIF(Area_S2BBRTUN,"Disc/t")+COUNTIF(Area_S2BBRTUN,"LoadB/t")</f>
        <v>0</v>
      </c>
      <c r="Z322" s="189">
        <f>COUNTIF(Area_S51HERTSA,"Disc/t")+COUNTIF(Area_S51HERTSA,"LoadB/t")</f>
        <v>0</v>
      </c>
      <c r="AA322" s="189">
        <f>COUNTIF(Area_S52HERTSA,"Disc/t")+COUNTIF(Area_S52HERTSA,"LoadB/t")</f>
        <v>0</v>
      </c>
      <c r="AB322" s="189">
        <f>COUNTIF(Area_S53HERTSA,"Disc/t")+COUNTIF(Area_S53HERTSA,"LoadB/t")</f>
        <v>0</v>
      </c>
      <c r="AC322" s="189">
        <f>COUNTIF(Area_S1TSA,"Disc/t")+COUNTIF(Area_S1TSA,"LoadB/t")</f>
        <v>0</v>
      </c>
      <c r="AD322" s="189">
        <f>COUNTIF(Area_S2TSA,"Disc/t")+COUNTIF(Area_S2TSA,"LoadB/t")</f>
        <v>0</v>
      </c>
      <c r="AE322" s="189">
        <f>COUNTIF(Area_S3TSA,"Disc/t")+COUNTIF(Area_S3TSA,"LoadB/t")</f>
        <v>0</v>
      </c>
      <c r="AF322" s="189">
        <f>COUNTIF(Area_S4TSA,"Disc/t")+COUNTIF(Area_S4TSA,"LoadB/t")</f>
        <v>0</v>
      </c>
      <c r="AG322" s="189">
        <f>COUNTIF(Area_S5TSA,"Disc/t")+COUNTIF(Area_S5TSA,"LoadB/t")</f>
        <v>0</v>
      </c>
      <c r="AH322" s="189">
        <f>COUNTIF(Area_S6TSA,"Disc/t")+COUNTIF(Area_S6TSA,"LoadB/t")</f>
        <v>0</v>
      </c>
      <c r="AI322" s="190">
        <f>COUNTIF(Area_S1TSATHA,"Disc/t")+COUNTIF(Area_S1TSATHA,"LoadB/t")</f>
        <v>0</v>
      </c>
      <c r="AJ322" s="190">
        <f>COUNTIF(Area_S2TSATHA,"Disc/t")+COUNTIF(Area_S2TSATHA,"LoadB/t")</f>
        <v>0</v>
      </c>
      <c r="AK322" s="190">
        <f>COUNTIF(Area_S3TSATHA,"Disc/t")+COUNTIF(Area_S3TSATHA,"LoadB/t")</f>
        <v>0</v>
      </c>
      <c r="AL322" s="190">
        <f>COUNTIF(Area_S4THAHOLON,"Disc/t")+COUNTIF(Area_S4THAHOLON,"LoadB/t")</f>
        <v>0</v>
      </c>
      <c r="AM322" s="233">
        <f>COUNTIF(Area_S5THAHOLON,"Disc/t")+COUNTIF(Area_S5THAHOLON,"LoadB/t")</f>
        <v>0</v>
      </c>
      <c r="AN322" s="225" t="s">
        <v>1145</v>
      </c>
    </row>
    <row r="323" spans="1:40" ht="30" customHeight="1">
      <c r="A323" s="50"/>
      <c r="B323" s="288"/>
      <c r="C323" s="326" t="s">
        <v>878</v>
      </c>
      <c r="D323" s="228" t="s">
        <v>737</v>
      </c>
      <c r="E323" s="301" t="s">
        <v>738</v>
      </c>
      <c r="F323" s="228">
        <v>6173</v>
      </c>
      <c r="G323" s="810">
        <f t="shared" si="323"/>
        <v>0</v>
      </c>
      <c r="H323" s="525">
        <f>COUNTIF(Area_S1RISHER,$C323)</f>
        <v>0</v>
      </c>
      <c r="I323" s="189">
        <f>COUNTIF(Area_S2RISHER,$C323)</f>
        <v>0</v>
      </c>
      <c r="J323" s="189">
        <f>COUNTIF(Area_S1RAANHER,$C323)</f>
        <v>0</v>
      </c>
      <c r="K323" s="189">
        <f>COUNTIF(Area_S2RAANHER,$C323)</f>
        <v>0</v>
      </c>
      <c r="L323" s="189">
        <f>COUNTIF(Area_S1HER,$C323)</f>
        <v>0</v>
      </c>
      <c r="M323" s="189">
        <f>COUNTIF(Area_S2HER,$C323)</f>
        <v>0</v>
      </c>
      <c r="N323" s="189">
        <f>COUNTIF(Area_S3HER,$C323)</f>
        <v>0</v>
      </c>
      <c r="O323" s="189">
        <f>COUNTIF(Area_S4HER,$C323)</f>
        <v>0</v>
      </c>
      <c r="P323" s="189">
        <f>COUNTIF(Area_S5HER,$C323)</f>
        <v>0</v>
      </c>
      <c r="Q323" s="189">
        <f>COUNTIF(Area_S6HER,$C323)</f>
        <v>0</v>
      </c>
      <c r="R323" s="189">
        <f>COUNTIF(Area_S1HERTSA,$C323)</f>
        <v>0</v>
      </c>
      <c r="S323" s="189">
        <f>COUNTIF(Area_S2HERTSA,$C323)</f>
        <v>0</v>
      </c>
      <c r="T323" s="189">
        <f>COUNTIF(Area_S3HERTSA,$C323)</f>
        <v>0</v>
      </c>
      <c r="U323" s="190">
        <f>COUNTIF(Area_S4HERTSA,$C323)</f>
        <v>0</v>
      </c>
      <c r="V323" s="190">
        <f>COUNTIF(Area_S5HERTSA,$C323)</f>
        <v>0</v>
      </c>
      <c r="W323" s="190">
        <f>COUNTIF(Area_S5BBRHER,$C323)</f>
        <v>0</v>
      </c>
      <c r="X323" s="190">
        <f>COUNTIF(Area_S1BBRTUN,$C323)</f>
        <v>0</v>
      </c>
      <c r="Y323" s="190">
        <f>COUNTIF(Area_S2BBRTUN,$C323)</f>
        <v>0</v>
      </c>
      <c r="Z323" s="189">
        <f>COUNTIF(Area_S51HERTSA,$C323)</f>
        <v>0</v>
      </c>
      <c r="AA323" s="189">
        <f>COUNTIF(Area_S52HERTSA,$C323)</f>
        <v>0</v>
      </c>
      <c r="AB323" s="189">
        <f>COUNTIF(Area_S53HERTSA,$C323)</f>
        <v>0</v>
      </c>
      <c r="AC323" s="189">
        <f>COUNTIF(Area_S1TSA,$C323)</f>
        <v>0</v>
      </c>
      <c r="AD323" s="189">
        <f>COUNTIF(Area_S2TSA,$C323)</f>
        <v>0</v>
      </c>
      <c r="AE323" s="189">
        <f>COUNTIF(Area_S3TSA,$C323)</f>
        <v>0</v>
      </c>
      <c r="AF323" s="189">
        <f>COUNTIF(Area_S4TSA,$C323)</f>
        <v>0</v>
      </c>
      <c r="AG323" s="189">
        <f>COUNTIF(Area_S5TSA,$C323)</f>
        <v>0</v>
      </c>
      <c r="AH323" s="189">
        <f>COUNTIF(Area_S6TSA,$C323)</f>
        <v>0</v>
      </c>
      <c r="AI323" s="190">
        <f>COUNTIF(Area_S1TSATHA,$C323)</f>
        <v>0</v>
      </c>
      <c r="AJ323" s="190">
        <f>COUNTIF(Area_S2TSATHA,$C323)</f>
        <v>0</v>
      </c>
      <c r="AK323" s="190">
        <f>COUNTIF(Area_S3TSATHA,$C323)</f>
        <v>0</v>
      </c>
      <c r="AL323" s="190">
        <f>COUNTIF(Area_S4THAHOLON,$C323)</f>
        <v>0</v>
      </c>
      <c r="AM323" s="233">
        <f>COUNTIF(Area_S5THAHOLON,$C323)</f>
        <v>0</v>
      </c>
      <c r="AN323" s="225" t="s">
        <v>1146</v>
      </c>
    </row>
    <row r="324" spans="1:40" ht="30" customHeight="1">
      <c r="A324" s="50"/>
      <c r="B324" s="288"/>
      <c r="C324" s="326" t="s">
        <v>1364</v>
      </c>
      <c r="D324" s="228" t="s">
        <v>1654</v>
      </c>
      <c r="E324" s="301" t="s">
        <v>1655</v>
      </c>
      <c r="F324" s="228"/>
      <c r="G324" s="810">
        <f t="shared" si="323"/>
        <v>0</v>
      </c>
      <c r="H324" s="525">
        <f>COUNTIF(Area_S1RISHER,$C324)-H325</f>
        <v>0</v>
      </c>
      <c r="I324" s="189">
        <f>COUNTIF(Area_S2RISHER,$C324)-I325</f>
        <v>0</v>
      </c>
      <c r="J324" s="189">
        <f>COUNTIF(Area_S1RAANHER,$C324)-J325</f>
        <v>0</v>
      </c>
      <c r="K324" s="189">
        <f>COUNTIF(Area_S2RAANHER,$C324)-K325</f>
        <v>0</v>
      </c>
      <c r="L324" s="189">
        <f>COUNTIF(Area_S1HER,$C324)-L325</f>
        <v>0</v>
      </c>
      <c r="M324" s="189">
        <f>COUNTIF(Area_S2HER,$C324)-M325</f>
        <v>0</v>
      </c>
      <c r="N324" s="189">
        <f>COUNTIF(Area_S3HER,$C324)-N325</f>
        <v>0</v>
      </c>
      <c r="O324" s="189">
        <f>COUNTIF(Area_S4HER,$C324)-O325</f>
        <v>0</v>
      </c>
      <c r="P324" s="189">
        <f>COUNTIF(Area_S5HER,$C324)-P325</f>
        <v>0</v>
      </c>
      <c r="Q324" s="189">
        <f>COUNTIF(Area_S6HER,$C324)-Q325</f>
        <v>0</v>
      </c>
      <c r="R324" s="189">
        <f>COUNTIF(Area_S1HERTSA,$C324)-R325</f>
        <v>0</v>
      </c>
      <c r="S324" s="189">
        <f>COUNTIF(Area_S2HERTSA,$C324)-S325</f>
        <v>0</v>
      </c>
      <c r="T324" s="189">
        <f>COUNTIF(Area_S3HERTSA,$C324)-T325</f>
        <v>0</v>
      </c>
      <c r="U324" s="190">
        <f>COUNTIF(Area_S4HERTSA,$C324)-U325</f>
        <v>0</v>
      </c>
      <c r="V324" s="190">
        <f>COUNTIF(Area_S5HERTSA,$C324)-V325</f>
        <v>0</v>
      </c>
      <c r="W324" s="190">
        <f>COUNTIF(Area_S5BBRHER,$C324)-W325</f>
        <v>0</v>
      </c>
      <c r="X324" s="190">
        <f>COUNTIF(Area_S1BBRTUN,$C324)-X325</f>
        <v>0</v>
      </c>
      <c r="Y324" s="190">
        <f>COUNTIF(Area_S2BBRTUN,$C324)-Y325</f>
        <v>0</v>
      </c>
      <c r="Z324" s="189">
        <f>COUNTIF(Area_S51HERTSA,$C324)-Z325</f>
        <v>0</v>
      </c>
      <c r="AA324" s="189">
        <f>COUNTIF(Area_S52HERTSA,$C324)-AA325</f>
        <v>0</v>
      </c>
      <c r="AB324" s="189">
        <f>COUNTIF(Area_S53HERTSA,$C324)-AB325</f>
        <v>0</v>
      </c>
      <c r="AC324" s="189">
        <f>COUNTIF(Area_S1TSA,$C324)-AC325</f>
        <v>0</v>
      </c>
      <c r="AD324" s="189">
        <f>COUNTIF(Area_S2TSA,$C324)-AD325</f>
        <v>0</v>
      </c>
      <c r="AE324" s="189">
        <f>COUNTIF(Area_S3TSA,$C324)-AE325</f>
        <v>0</v>
      </c>
      <c r="AF324" s="189">
        <f>COUNTIF(Area_S4TSA,$C324)-AF325</f>
        <v>0</v>
      </c>
      <c r="AG324" s="189">
        <f>COUNTIF(Area_S5TSA,$C324)-AG325</f>
        <v>0</v>
      </c>
      <c r="AH324" s="189">
        <f>COUNTIF(Area_S6TSA,$C324)-AH325</f>
        <v>0</v>
      </c>
      <c r="AI324" s="190">
        <f>COUNTIF(Area_S1TSATHA,$C324)-AI325</f>
        <v>0</v>
      </c>
      <c r="AJ324" s="190">
        <f>COUNTIF(Area_S2TSATHA,$C324)-AJ325</f>
        <v>0</v>
      </c>
      <c r="AK324" s="190">
        <f>COUNTIF(Area_S3TSATHA,$C324)-AK325</f>
        <v>0</v>
      </c>
      <c r="AL324" s="190">
        <f>COUNTIF(Area_S4THAHOLON,$C324)-AL325</f>
        <v>0</v>
      </c>
      <c r="AM324" s="233">
        <f>COUNTIF(Area_S5THAHOLON,$C324)-AM325</f>
        <v>0</v>
      </c>
      <c r="AN324" s="225"/>
    </row>
    <row r="325" spans="1:40" ht="30" customHeight="1">
      <c r="A325" s="50"/>
      <c r="B325" s="288"/>
      <c r="C325" s="326" t="s">
        <v>1656</v>
      </c>
      <c r="D325" s="228" t="s">
        <v>1657</v>
      </c>
      <c r="E325" s="301" t="s">
        <v>1393</v>
      </c>
      <c r="F325" s="228"/>
      <c r="G325" s="810">
        <f t="shared" si="323"/>
        <v>0</v>
      </c>
      <c r="H325" s="525">
        <f>COUNTIF(Area_S1RISHER,$C325)</f>
        <v>0</v>
      </c>
      <c r="I325" s="189">
        <f>COUNTIF(Area_S2RISHER,$C325)</f>
        <v>0</v>
      </c>
      <c r="J325" s="189">
        <f>COUNTIF(Area_S1RAANHER,$C325)</f>
        <v>0</v>
      </c>
      <c r="K325" s="189">
        <f>COUNTIF(Area_S2RAANHER,$C325)</f>
        <v>0</v>
      </c>
      <c r="L325" s="189">
        <f>COUNTIF(Area_S1HER,$C325)</f>
        <v>0</v>
      </c>
      <c r="M325" s="189">
        <f>COUNTIF(Area_S2HER,$C325)</f>
        <v>0</v>
      </c>
      <c r="N325" s="189">
        <f>COUNTIF(Area_S3HER,$C325)</f>
        <v>0</v>
      </c>
      <c r="O325" s="189">
        <f>COUNTIF(Area_S4HER,$C325)</f>
        <v>0</v>
      </c>
      <c r="P325" s="189">
        <f>COUNTIF(Area_S5HER,$C325)</f>
        <v>0</v>
      </c>
      <c r="Q325" s="189">
        <f>COUNTIF(Area_S6HER,$C325)</f>
        <v>0</v>
      </c>
      <c r="R325" s="189">
        <f>COUNTIF(Area_S1HERTSA,$C325)</f>
        <v>0</v>
      </c>
      <c r="S325" s="189">
        <f>COUNTIF(Area_S2HERTSA,$C325)</f>
        <v>0</v>
      </c>
      <c r="T325" s="189">
        <f>COUNTIF(Area_S3HERTSA,$C325)</f>
        <v>0</v>
      </c>
      <c r="U325" s="190">
        <f>COUNTIF(Area_S4HERTSA,$C325)</f>
        <v>0</v>
      </c>
      <c r="V325" s="190">
        <f>COUNTIF(Area_S5HERTSA,$C325)</f>
        <v>0</v>
      </c>
      <c r="W325" s="190">
        <f>COUNTIF(Area_S5BBRHER,$C325)</f>
        <v>0</v>
      </c>
      <c r="X325" s="190">
        <f>COUNTIF(Area_S1BBRTUN,$C325)</f>
        <v>0</v>
      </c>
      <c r="Y325" s="190">
        <f>COUNTIF(Area_S2BBRTUN,$C325)</f>
        <v>0</v>
      </c>
      <c r="Z325" s="189">
        <f>COUNTIF(Area_S51HERTSA,$C325)</f>
        <v>0</v>
      </c>
      <c r="AA325" s="189">
        <f>COUNTIF(Area_S52HERTSA,$C325)</f>
        <v>0</v>
      </c>
      <c r="AB325" s="189">
        <f>COUNTIF(Area_S53HERTSA,$C325)</f>
        <v>0</v>
      </c>
      <c r="AC325" s="189">
        <f>COUNTIF(Area_S1TSA,$C325)</f>
        <v>0</v>
      </c>
      <c r="AD325" s="189">
        <f>COUNTIF(Area_S2TSA,$C325)</f>
        <v>0</v>
      </c>
      <c r="AE325" s="189">
        <f>COUNTIF(Area_S3TSA,$C325)</f>
        <v>0</v>
      </c>
      <c r="AF325" s="189">
        <f>COUNTIF(Area_S4TSA,$C325)</f>
        <v>0</v>
      </c>
      <c r="AG325" s="189">
        <f>COUNTIF(Area_S5TSA,$C325)</f>
        <v>0</v>
      </c>
      <c r="AH325" s="189">
        <f>COUNTIF(Area_S6TSA,$C325)</f>
        <v>0</v>
      </c>
      <c r="AI325" s="190">
        <f>COUNTIF(Area_S1TSATHA,$C325)</f>
        <v>0</v>
      </c>
      <c r="AJ325" s="190">
        <f>COUNTIF(Area_S2TSATHA,$C325)</f>
        <v>0</v>
      </c>
      <c r="AK325" s="190">
        <f>COUNTIF(Area_S3TSATHA,$C325)</f>
        <v>0</v>
      </c>
      <c r="AL325" s="190">
        <f>COUNTIF(Area_S4THAHOLON,$C325)</f>
        <v>0</v>
      </c>
      <c r="AM325" s="233">
        <f>COUNTIF(Area_S5THAHOLON,$C325)</f>
        <v>0</v>
      </c>
      <c r="AN325" s="225" t="s">
        <v>1412</v>
      </c>
    </row>
    <row r="326" spans="1:40" ht="30" customHeight="1">
      <c r="A326" s="50"/>
      <c r="B326" s="288"/>
      <c r="C326" s="326"/>
      <c r="D326" s="228" t="s">
        <v>910</v>
      </c>
      <c r="E326" s="301" t="s">
        <v>911</v>
      </c>
      <c r="F326" s="228"/>
      <c r="G326" s="810">
        <f t="shared" si="323"/>
        <v>0</v>
      </c>
      <c r="H326" s="525"/>
      <c r="AK326" s="190"/>
      <c r="AM326" s="233"/>
      <c r="AN326" s="225" t="s">
        <v>1148</v>
      </c>
    </row>
    <row r="327" spans="1:40" ht="30" customHeight="1">
      <c r="A327" s="50"/>
      <c r="B327" s="288"/>
      <c r="C327" s="326" t="s">
        <v>879</v>
      </c>
      <c r="D327" s="228" t="s">
        <v>739</v>
      </c>
      <c r="E327" s="301" t="s">
        <v>740</v>
      </c>
      <c r="F327" s="228" t="s">
        <v>735</v>
      </c>
      <c r="G327" s="810">
        <f t="shared" si="323"/>
        <v>0</v>
      </c>
      <c r="H327" s="525">
        <f>COUNTIF(Area_S1RISHER,$C327)</f>
        <v>0</v>
      </c>
      <c r="I327" s="189">
        <f>COUNTIF(Area_S2RISHER,$C327)</f>
        <v>0</v>
      </c>
      <c r="J327" s="189">
        <f>COUNTIF(Area_S1RAANHER,$C327)</f>
        <v>0</v>
      </c>
      <c r="K327" s="189">
        <f>COUNTIF(Area_S2RAANHER,$C327)</f>
        <v>0</v>
      </c>
      <c r="L327" s="189">
        <f>COUNTIF(Area_S1HER,$C327)</f>
        <v>0</v>
      </c>
      <c r="M327" s="189">
        <f>COUNTIF(Area_S2HER,$C327)</f>
        <v>0</v>
      </c>
      <c r="N327" s="189">
        <f>COUNTIF(Area_S3HER,$C327)</f>
        <v>0</v>
      </c>
      <c r="O327" s="189">
        <f>COUNTIF(Area_S4HER,$C327)</f>
        <v>0</v>
      </c>
      <c r="P327" s="189">
        <f>COUNTIF(Area_S5HER,$C327)</f>
        <v>0</v>
      </c>
      <c r="Q327" s="189">
        <f>COUNTIF(Area_S6HER,$C327)</f>
        <v>0</v>
      </c>
      <c r="R327" s="189">
        <f>COUNTIF(Area_S1HERTSA,$C327)</f>
        <v>0</v>
      </c>
      <c r="S327" s="189">
        <f>COUNTIF(Area_S2HERTSA,$C327)</f>
        <v>0</v>
      </c>
      <c r="T327" s="189">
        <f>COUNTIF(Area_S3HERTSA,$C327)</f>
        <v>0</v>
      </c>
      <c r="U327" s="190">
        <f>COUNTIF(Area_S4HERTSA,$C327)</f>
        <v>0</v>
      </c>
      <c r="V327" s="190">
        <f>COUNTIF(Area_S5HERTSA,$C327)</f>
        <v>0</v>
      </c>
      <c r="W327" s="190">
        <f>COUNTIF(Area_S5BBRHER,$C327)</f>
        <v>0</v>
      </c>
      <c r="X327" s="190">
        <f>COUNTIF(Area_S1BBRTUN,$C327)</f>
        <v>0</v>
      </c>
      <c r="Y327" s="190">
        <f>COUNTIF(Area_S2BBRTUN,$C327)</f>
        <v>0</v>
      </c>
      <c r="Z327" s="189">
        <f>COUNTIF(Area_S51HERTSA,$C327)</f>
        <v>0</v>
      </c>
      <c r="AA327" s="189">
        <f>COUNTIF(Area_S52HERTSA,$C327)</f>
        <v>0</v>
      </c>
      <c r="AB327" s="189">
        <f>COUNTIF(Area_S53HERTSA,$C327)</f>
        <v>0</v>
      </c>
      <c r="AC327" s="189">
        <f>COUNTIF(Area_S1TSA,$C327)</f>
        <v>0</v>
      </c>
      <c r="AD327" s="189">
        <f>COUNTIF(Area_S2TSA,$C327)</f>
        <v>0</v>
      </c>
      <c r="AE327" s="189">
        <f>COUNTIF(Area_S3TSA,$C327)</f>
        <v>0</v>
      </c>
      <c r="AF327" s="189">
        <f>COUNTIF(Area_S4TSA,$C327)</f>
        <v>0</v>
      </c>
      <c r="AG327" s="189">
        <f>COUNTIF(Area_S5TSA,$C327)</f>
        <v>0</v>
      </c>
      <c r="AH327" s="189">
        <f>COUNTIF(Area_S6TSA,$C327)</f>
        <v>0</v>
      </c>
      <c r="AI327" s="190">
        <f>COUNTIF(Area_S1TSATHA,$C327)</f>
        <v>0</v>
      </c>
      <c r="AJ327" s="190">
        <f>COUNTIF(Area_S2TSATHA,$C327)</f>
        <v>0</v>
      </c>
      <c r="AK327" s="190">
        <f>COUNTIF(Area_S3TSATHA,$C327)</f>
        <v>0</v>
      </c>
      <c r="AL327" s="190">
        <f>COUNTIF(Area_S4THAHOLON,$C327)</f>
        <v>0</v>
      </c>
      <c r="AM327" s="233">
        <f>COUNTIF(Area_S5THAHOLON,$C327)</f>
        <v>0</v>
      </c>
      <c r="AN327" s="225" t="s">
        <v>1149</v>
      </c>
    </row>
    <row r="328" spans="1:40" ht="30" customHeight="1">
      <c r="A328" s="50"/>
      <c r="B328" s="288"/>
      <c r="C328" s="326" t="s">
        <v>888</v>
      </c>
      <c r="D328" s="228" t="s">
        <v>744</v>
      </c>
      <c r="E328" s="301" t="s">
        <v>745</v>
      </c>
      <c r="F328" s="228" t="s">
        <v>743</v>
      </c>
      <c r="G328" s="810">
        <f t="shared" si="323"/>
        <v>0</v>
      </c>
      <c r="H328" s="525">
        <f>COUNTIF(Area_S1RISHER,$C328)</f>
        <v>0</v>
      </c>
      <c r="I328" s="189">
        <f>COUNTIF(Area_S2RISHER,$C328)</f>
        <v>0</v>
      </c>
      <c r="J328" s="189">
        <f>COUNTIF(Area_S1RAANHER,$C328)</f>
        <v>0</v>
      </c>
      <c r="K328" s="189">
        <f>COUNTIF(Area_S2RAANHER,$C328)</f>
        <v>0</v>
      </c>
      <c r="L328" s="189">
        <f>COUNTIF(Area_S1HER,$C328)</f>
        <v>0</v>
      </c>
      <c r="M328" s="189">
        <f>COUNTIF(Area_S2HER,$C328)</f>
        <v>0</v>
      </c>
      <c r="N328" s="189">
        <f>COUNTIF(Area_S3HER,$C328)</f>
        <v>0</v>
      </c>
      <c r="O328" s="189">
        <f>COUNTIF(Area_S4HER,$C328)</f>
        <v>0</v>
      </c>
      <c r="P328" s="189">
        <f>COUNTIF(Area_S5HER,$C328)</f>
        <v>0</v>
      </c>
      <c r="Q328" s="189">
        <f>COUNTIF(Area_S6HER,$C328)</f>
        <v>0</v>
      </c>
      <c r="R328" s="189">
        <f>COUNTIF(Area_S1HERTSA,$C328)</f>
        <v>0</v>
      </c>
      <c r="S328" s="189">
        <f>COUNTIF(Area_S2HERTSA,$C328)</f>
        <v>0</v>
      </c>
      <c r="T328" s="189">
        <f>COUNTIF(Area_S3HERTSA,$C328)</f>
        <v>0</v>
      </c>
      <c r="U328" s="190">
        <f>COUNTIF(Area_S4HERTSA,$C328)</f>
        <v>0</v>
      </c>
      <c r="V328" s="190">
        <f>COUNTIF(Area_S5HERTSA,$C328)</f>
        <v>0</v>
      </c>
      <c r="W328" s="190">
        <f>COUNTIF(Area_S5BBRHER,$C328)</f>
        <v>0</v>
      </c>
      <c r="X328" s="190">
        <f>COUNTIF(Area_S1BBRTUN,$C328)</f>
        <v>0</v>
      </c>
      <c r="Y328" s="190">
        <f>COUNTIF(Area_S2BBRTUN,$C328)</f>
        <v>0</v>
      </c>
      <c r="Z328" s="189">
        <f>COUNTIF(Area_S51HERTSA,$C328)</f>
        <v>0</v>
      </c>
      <c r="AA328" s="189">
        <f>COUNTIF(Area_S52HERTSA,$C328)</f>
        <v>0</v>
      </c>
      <c r="AB328" s="189">
        <f>COUNTIF(Area_S53HERTSA,$C328)</f>
        <v>0</v>
      </c>
      <c r="AC328" s="189">
        <f>COUNTIF(Area_S1TSA,$C328)</f>
        <v>0</v>
      </c>
      <c r="AD328" s="189">
        <f>COUNTIF(Area_S2TSA,$C328)</f>
        <v>0</v>
      </c>
      <c r="AE328" s="189">
        <f>COUNTIF(Area_S3TSA,$C328)</f>
        <v>0</v>
      </c>
      <c r="AF328" s="189">
        <f>COUNTIF(Area_S4TSA,$C328)</f>
        <v>0</v>
      </c>
      <c r="AG328" s="189">
        <f>COUNTIF(Area_S5TSA,$C328)</f>
        <v>0</v>
      </c>
      <c r="AH328" s="189">
        <f>COUNTIF(Area_S6TSA,$C328)</f>
        <v>0</v>
      </c>
      <c r="AI328" s="190">
        <f>COUNTIF(Area_S1TSATHA,$C328)</f>
        <v>0</v>
      </c>
      <c r="AJ328" s="190">
        <f>COUNTIF(Area_S2TSATHA,$C328)</f>
        <v>0</v>
      </c>
      <c r="AK328" s="190">
        <f>COUNTIF(Area_S3TSATHA,$C328)</f>
        <v>0</v>
      </c>
      <c r="AL328" s="190">
        <f>COUNTIF(Area_S4THAHOLON,$C328)</f>
        <v>0</v>
      </c>
      <c r="AM328" s="233">
        <f>COUNTIF(Area_S5THAHOLON,$C328)</f>
        <v>0</v>
      </c>
      <c r="AN328" s="225" t="s">
        <v>1150</v>
      </c>
    </row>
    <row r="329" spans="1:40" ht="30" customHeight="1">
      <c r="A329" s="50"/>
      <c r="B329" s="288"/>
      <c r="C329" s="326" t="s">
        <v>883</v>
      </c>
      <c r="D329" s="228" t="s">
        <v>741</v>
      </c>
      <c r="E329" s="301" t="s">
        <v>742</v>
      </c>
      <c r="F329" s="228">
        <v>6179</v>
      </c>
      <c r="G329" s="810">
        <f t="shared" si="323"/>
        <v>6</v>
      </c>
      <c r="H329" s="525">
        <f>COUNTIF(Area_S1RISHER,$C329)</f>
        <v>0</v>
      </c>
      <c r="I329" s="189">
        <f>COUNTIF(Area_S2RISHER,$C329)</f>
        <v>0</v>
      </c>
      <c r="J329" s="189">
        <f>COUNTIF(Area_S1RAANHER,$C329)</f>
        <v>0</v>
      </c>
      <c r="K329" s="189">
        <f>COUNTIF(Area_S2RAANHER,$C329)</f>
        <v>0</v>
      </c>
      <c r="L329" s="189">
        <f>COUNTIF(Area_S1HER,$C329)</f>
        <v>0</v>
      </c>
      <c r="M329" s="189">
        <f>COUNTIF(Area_S2HER,$C329)</f>
        <v>0</v>
      </c>
      <c r="N329" s="189">
        <f>COUNTIF(Area_S3HER,$C329)</f>
        <v>0</v>
      </c>
      <c r="O329" s="189">
        <f>COUNTIF(Area_S4HER,$C329)</f>
        <v>0</v>
      </c>
      <c r="P329" s="189">
        <f>COUNTIF(Area_S5HER,$C329)</f>
        <v>0</v>
      </c>
      <c r="Q329" s="189">
        <f>COUNTIF(Area_S6HER,$C329)</f>
        <v>0</v>
      </c>
      <c r="R329" s="189">
        <f>COUNTIF(Area_S1HERTSA,$C329)</f>
        <v>2</v>
      </c>
      <c r="S329" s="189">
        <f>COUNTIF(Area_S2HERTSA,$C329)</f>
        <v>0</v>
      </c>
      <c r="T329" s="189">
        <f>COUNTIF(Area_S3HERTSA,$C329)</f>
        <v>0</v>
      </c>
      <c r="U329" s="190">
        <f>COUNTIF(Area_S4HERTSA,$C329)</f>
        <v>2</v>
      </c>
      <c r="V329" s="190">
        <f>COUNTIF(Area_S5HERTSA,$C329)</f>
        <v>0</v>
      </c>
      <c r="W329" s="190">
        <f>COUNTIF(Area_S5BBRHER,$C329)</f>
        <v>0</v>
      </c>
      <c r="X329" s="190">
        <f>COUNTIF(Area_S1BBRTUN,$C329)</f>
        <v>2</v>
      </c>
      <c r="Y329" s="190">
        <f>COUNTIF(Area_S2BBRTUN,$C329)</f>
        <v>0</v>
      </c>
      <c r="Z329" s="189">
        <f>COUNTIF(Area_S51HERTSA,$C329)</f>
        <v>0</v>
      </c>
      <c r="AA329" s="189">
        <f>COUNTIF(Area_S52HERTSA,$C329)</f>
        <v>0</v>
      </c>
      <c r="AB329" s="189">
        <f>COUNTIF(Area_S53HERTSA,$C329)</f>
        <v>0</v>
      </c>
      <c r="AC329" s="189">
        <f>COUNTIF(Area_S1TSA,$C329)</f>
        <v>0</v>
      </c>
      <c r="AD329" s="189">
        <f>COUNTIF(Area_S2TSA,$C329)</f>
        <v>0</v>
      </c>
      <c r="AE329" s="189">
        <f>COUNTIF(Area_S3TSA,$C329)</f>
        <v>0</v>
      </c>
      <c r="AF329" s="189">
        <f>COUNTIF(Area_S4TSA,$C329)</f>
        <v>0</v>
      </c>
      <c r="AG329" s="189">
        <f>COUNTIF(Area_S5TSA,$C329)</f>
        <v>0</v>
      </c>
      <c r="AH329" s="189">
        <f>COUNTIF(Area_S6TSA,$C329)</f>
        <v>0</v>
      </c>
      <c r="AI329" s="190">
        <f>COUNTIF(Area_S1TSATHA,$C329)</f>
        <v>0</v>
      </c>
      <c r="AJ329" s="190">
        <f>COUNTIF(Area_S2TSATHA,$C329)</f>
        <v>0</v>
      </c>
      <c r="AK329" s="190">
        <f>COUNTIF(Area_S3TSATHA,$C329)</f>
        <v>0</v>
      </c>
      <c r="AL329" s="190">
        <f>COUNTIF(Area_S4THAHOLON,$C329)</f>
        <v>0</v>
      </c>
      <c r="AM329" s="233">
        <f>COUNTIF(Area_S5THAHOLON,$C329)</f>
        <v>0</v>
      </c>
      <c r="AN329" s="225" t="s">
        <v>1151</v>
      </c>
    </row>
    <row r="330" spans="1:40" ht="30" customHeight="1">
      <c r="A330" s="240"/>
      <c r="B330" s="1026"/>
      <c r="C330" s="328" t="s">
        <v>887</v>
      </c>
      <c r="D330" s="235" t="s">
        <v>747</v>
      </c>
      <c r="E330" s="303" t="s">
        <v>886</v>
      </c>
      <c r="F330" s="235" t="s">
        <v>746</v>
      </c>
      <c r="G330" s="810">
        <f t="shared" si="323"/>
        <v>0</v>
      </c>
      <c r="H330" s="525">
        <f>COUNTIF(Area_S1RISHER,$C330)</f>
        <v>0</v>
      </c>
      <c r="I330" s="189">
        <f>COUNTIF(Area_S2RISHER,$C330)</f>
        <v>0</v>
      </c>
      <c r="J330" s="189">
        <f>COUNTIF(Area_S1RAANHER,$C330)</f>
        <v>0</v>
      </c>
      <c r="K330" s="189">
        <f>COUNTIF(Area_S2RAANHER,$C330)</f>
        <v>0</v>
      </c>
      <c r="L330" s="189">
        <f>COUNTIF(Area_S1HER,$C330)</f>
        <v>0</v>
      </c>
      <c r="M330" s="189">
        <f>COUNTIF(Area_S2HER,$C330)</f>
        <v>0</v>
      </c>
      <c r="N330" s="189">
        <f>COUNTIF(Area_S3HER,$C330)</f>
        <v>0</v>
      </c>
      <c r="O330" s="189">
        <f>COUNTIF(Area_S4HER,$C330)</f>
        <v>0</v>
      </c>
      <c r="P330" s="189">
        <f>COUNTIF(Area_S5HER,$C330)</f>
        <v>0</v>
      </c>
      <c r="Q330" s="189">
        <f>COUNTIF(Area_S6HER,$C330)</f>
        <v>0</v>
      </c>
      <c r="R330" s="189">
        <f>COUNTIF(Area_S1HERTSA,$C330)</f>
        <v>0</v>
      </c>
      <c r="S330" s="189">
        <f>COUNTIF(Area_S2HERTSA,$C330)</f>
        <v>0</v>
      </c>
      <c r="T330" s="189">
        <f>COUNTIF(Area_S3HERTSA,$C330)</f>
        <v>0</v>
      </c>
      <c r="U330" s="190">
        <f>COUNTIF(Area_S4HERTSA,$C330)</f>
        <v>0</v>
      </c>
      <c r="V330" s="190">
        <f>COUNTIF(Area_S5HERTSA,$C330)</f>
        <v>0</v>
      </c>
      <c r="W330" s="190">
        <f>COUNTIF(Area_S5BBRHER,$C330)</f>
        <v>0</v>
      </c>
      <c r="X330" s="190">
        <f>COUNTIF(Area_S1BBRTUN,$C330)</f>
        <v>0</v>
      </c>
      <c r="Y330" s="190">
        <f>COUNTIF(Area_S2BBRTUN,$C330)</f>
        <v>0</v>
      </c>
      <c r="Z330" s="189">
        <f>COUNTIF(Area_S51HERTSA,$C330)</f>
        <v>0</v>
      </c>
      <c r="AA330" s="189">
        <f>COUNTIF(Area_S52HERTSA,$C330)</f>
        <v>0</v>
      </c>
      <c r="AB330" s="189">
        <f>COUNTIF(Area_S53HERTSA,$C330)</f>
        <v>0</v>
      </c>
      <c r="AC330" s="189">
        <f>COUNTIF(Area_S1TSA,$C330)</f>
        <v>0</v>
      </c>
      <c r="AD330" s="189">
        <f>COUNTIF(Area_S2TSA,$C330)</f>
        <v>0</v>
      </c>
      <c r="AE330" s="189">
        <f>COUNTIF(Area_S3TSA,$C330)</f>
        <v>0</v>
      </c>
      <c r="AF330" s="189">
        <f>COUNTIF(Area_S4TSA,$C330)</f>
        <v>0</v>
      </c>
      <c r="AG330" s="189">
        <f>COUNTIF(Area_S5TSA,$C330)</f>
        <v>0</v>
      </c>
      <c r="AH330" s="189">
        <f>COUNTIF(Area_S6TSA,$C330)</f>
        <v>0</v>
      </c>
      <c r="AI330" s="190">
        <f>COUNTIF(Area_S1TSATHA,$C330)</f>
        <v>0</v>
      </c>
      <c r="AJ330" s="190">
        <f>COUNTIF(Area_S2TSATHA,$C330)</f>
        <v>0</v>
      </c>
      <c r="AK330" s="190">
        <f>COUNTIF(Area_S3TSATHA,$C330)</f>
        <v>0</v>
      </c>
      <c r="AL330" s="190">
        <f>COUNTIF(Area_S4THAHOLON,$C330)</f>
        <v>0</v>
      </c>
      <c r="AM330" s="233">
        <f>COUNTIF(Area_S5THAHOLON,$C330)</f>
        <v>0</v>
      </c>
      <c r="AN330" s="236" t="s">
        <v>1152</v>
      </c>
    </row>
    <row r="331" spans="1:40" ht="30" customHeight="1">
      <c r="A331" s="287" t="s">
        <v>870</v>
      </c>
      <c r="B331" s="1059"/>
      <c r="C331" s="1126"/>
      <c r="D331" s="1069" t="s">
        <v>748</v>
      </c>
      <c r="E331" s="1070" t="s">
        <v>599</v>
      </c>
      <c r="F331" s="1069" t="s">
        <v>638</v>
      </c>
      <c r="G331" s="812">
        <f t="shared" si="323"/>
        <v>80</v>
      </c>
      <c r="H331" s="524">
        <f t="shared" ref="H331:AM331" si="328">+H312+H314+H315+H316+H319+H320+H321+H324+H325*2</f>
        <v>3</v>
      </c>
      <c r="I331" s="521">
        <f t="shared" si="328"/>
        <v>3</v>
      </c>
      <c r="J331" s="521">
        <f t="shared" si="328"/>
        <v>4</v>
      </c>
      <c r="K331" s="521">
        <f t="shared" si="328"/>
        <v>4</v>
      </c>
      <c r="L331" s="521">
        <f t="shared" si="328"/>
        <v>2</v>
      </c>
      <c r="M331" s="521">
        <f t="shared" si="328"/>
        <v>2</v>
      </c>
      <c r="N331" s="521">
        <f t="shared" si="328"/>
        <v>0</v>
      </c>
      <c r="O331" s="521">
        <f t="shared" si="328"/>
        <v>1</v>
      </c>
      <c r="P331" s="521">
        <f t="shared" si="328"/>
        <v>0</v>
      </c>
      <c r="Q331" s="521">
        <f t="shared" si="328"/>
        <v>1</v>
      </c>
      <c r="R331" s="521">
        <f t="shared" si="328"/>
        <v>4</v>
      </c>
      <c r="S331" s="521">
        <f t="shared" si="328"/>
        <v>5</v>
      </c>
      <c r="T331" s="521">
        <f t="shared" si="328"/>
        <v>5</v>
      </c>
      <c r="U331" s="521">
        <f t="shared" si="328"/>
        <v>8</v>
      </c>
      <c r="V331" s="521">
        <f t="shared" si="328"/>
        <v>0</v>
      </c>
      <c r="W331" s="521">
        <f t="shared" si="328"/>
        <v>1</v>
      </c>
      <c r="X331" s="521">
        <f t="shared" si="328"/>
        <v>5</v>
      </c>
      <c r="Y331" s="521">
        <f t="shared" si="328"/>
        <v>5</v>
      </c>
      <c r="Z331" s="521">
        <f t="shared" si="328"/>
        <v>0</v>
      </c>
      <c r="AA331" s="521">
        <f t="shared" si="328"/>
        <v>0</v>
      </c>
      <c r="AB331" s="521">
        <f t="shared" si="328"/>
        <v>0</v>
      </c>
      <c r="AC331" s="521">
        <f t="shared" si="328"/>
        <v>3</v>
      </c>
      <c r="AD331" s="521">
        <f t="shared" si="328"/>
        <v>1</v>
      </c>
      <c r="AE331" s="521">
        <f t="shared" si="328"/>
        <v>0</v>
      </c>
      <c r="AF331" s="521">
        <f t="shared" si="328"/>
        <v>4</v>
      </c>
      <c r="AG331" s="521">
        <f t="shared" si="328"/>
        <v>3</v>
      </c>
      <c r="AH331" s="521">
        <f t="shared" si="328"/>
        <v>3</v>
      </c>
      <c r="AI331" s="521">
        <f t="shared" si="328"/>
        <v>7</v>
      </c>
      <c r="AJ331" s="521">
        <f t="shared" si="328"/>
        <v>1</v>
      </c>
      <c r="AK331" s="521">
        <f t="shared" si="328"/>
        <v>3</v>
      </c>
      <c r="AL331" s="521">
        <f t="shared" si="328"/>
        <v>1</v>
      </c>
      <c r="AM331" s="521">
        <f t="shared" si="328"/>
        <v>1</v>
      </c>
      <c r="AN331" s="1066" t="s">
        <v>1153</v>
      </c>
    </row>
    <row r="332" spans="1:40" ht="30" customHeight="1">
      <c r="A332" s="50"/>
      <c r="B332" s="1060"/>
      <c r="C332" s="1127"/>
      <c r="D332" s="300" t="s">
        <v>1808</v>
      </c>
      <c r="E332" s="301" t="s">
        <v>1795</v>
      </c>
      <c r="F332" s="1092"/>
      <c r="G332" s="810">
        <f t="shared" si="323"/>
        <v>51</v>
      </c>
      <c r="H332" s="525">
        <f>COUNTIF(Area_S1RISHER,"*-pr")</f>
        <v>0</v>
      </c>
      <c r="I332" s="189">
        <f>COUNTIF(Area_S2RISHER,"*-pr")</f>
        <v>0</v>
      </c>
      <c r="J332" s="189">
        <f>COUNTIF(Area_S1RAANHER,"*-pr")</f>
        <v>0</v>
      </c>
      <c r="K332" s="189">
        <f>COUNTIF(Area_S2RAANHER,"*-pr")</f>
        <v>0</v>
      </c>
      <c r="L332" s="189">
        <f>COUNTIF(Area_S1HER,"*-pr")</f>
        <v>4</v>
      </c>
      <c r="M332" s="189">
        <f>COUNTIF(Area_S2HER,"*-pr")</f>
        <v>1</v>
      </c>
      <c r="N332" s="189">
        <f>COUNTIF(Area_S3HER,"*-pr")</f>
        <v>1</v>
      </c>
      <c r="O332" s="189">
        <f>COUNTIF(Area_S4HER,"*-pr")</f>
        <v>4</v>
      </c>
      <c r="P332" s="189">
        <f>COUNTIF(Area_S5HER,"*-pr")</f>
        <v>2</v>
      </c>
      <c r="Q332" s="189">
        <f>COUNTIF(Area_S6HER,"*-pr")</f>
        <v>4</v>
      </c>
      <c r="R332" s="189">
        <f>COUNTIF(Area_S1HERTSA,"*-pr")</f>
        <v>3</v>
      </c>
      <c r="S332" s="189">
        <f>COUNTIF(Area_S2HERTSA,"*-pr")</f>
        <v>4</v>
      </c>
      <c r="T332" s="189">
        <f>COUNTIF(Area_S3HERTSA,"*-pr")</f>
        <v>4</v>
      </c>
      <c r="U332" s="190">
        <f>COUNTIF(Area_S4HERTSA,"*-pr")</f>
        <v>3</v>
      </c>
      <c r="V332" s="190">
        <f>COUNTIF(Area_S5HERTSA,"*-pr")</f>
        <v>0</v>
      </c>
      <c r="W332" s="190">
        <f>COUNTIF(Area_S5BBRHER,"*-pr")</f>
        <v>1</v>
      </c>
      <c r="X332" s="190">
        <f>COUNTIF(Area_S1BBRTUN,"*-pr")</f>
        <v>0</v>
      </c>
      <c r="Y332" s="190">
        <f>COUNTIF(Area_S2BBRTUN,"*-pr")</f>
        <v>0</v>
      </c>
      <c r="Z332" s="189">
        <f>COUNTIF(Area_S51HERTSA,"*-pr")</f>
        <v>1</v>
      </c>
      <c r="AA332" s="189">
        <f>COUNTIF(Area_S52HERTSA,"*-pr")</f>
        <v>0</v>
      </c>
      <c r="AB332" s="189">
        <f>COUNTIF(Area_S53HERTSA,"*-pr")</f>
        <v>0</v>
      </c>
      <c r="AC332" s="189">
        <f>COUNTIF(Area_S1TSA,"*-pr")</f>
        <v>1</v>
      </c>
      <c r="AD332" s="189">
        <f>COUNTIF(Area_S2TSA,"*-pr")</f>
        <v>0</v>
      </c>
      <c r="AE332" s="189">
        <f>COUNTIF(Area_S3TSA,"*-pr")</f>
        <v>1</v>
      </c>
      <c r="AF332" s="189">
        <f>COUNTIF(Area_S4TSA,"*-pr")</f>
        <v>1</v>
      </c>
      <c r="AG332" s="189">
        <f>COUNTIF(Area_S5TSA,"*-pr")</f>
        <v>0</v>
      </c>
      <c r="AH332" s="189">
        <f>COUNTIF(Area_S6TSA,"*-pr")</f>
        <v>0</v>
      </c>
      <c r="AI332" s="190">
        <f>COUNTIF(Area_S1TSATHA,"*-pr")</f>
        <v>4</v>
      </c>
      <c r="AJ332" s="190">
        <f>COUNTIF(Area_S2TSATHA,"*-pr")</f>
        <v>5</v>
      </c>
      <c r="AK332" s="190">
        <f>COUNTIF(Area_S3TSATHA,"*-pr")</f>
        <v>5</v>
      </c>
      <c r="AL332" s="190">
        <f>COUNTIF(Area_S4THAHOLON,"*-pr")</f>
        <v>1</v>
      </c>
      <c r="AM332" s="233">
        <f>COUNTIF(Area_S5THAHOLON,"*-pr")</f>
        <v>1</v>
      </c>
      <c r="AN332" s="1066" t="s">
        <v>1802</v>
      </c>
    </row>
    <row r="333" spans="1:40" ht="30" customHeight="1">
      <c r="A333" s="50"/>
      <c r="B333" s="288"/>
      <c r="C333" s="326"/>
      <c r="D333" s="228" t="s">
        <v>749</v>
      </c>
      <c r="E333" s="301" t="s">
        <v>750</v>
      </c>
      <c r="F333" s="228" t="s">
        <v>638</v>
      </c>
      <c r="G333" s="810">
        <f t="shared" si="323"/>
        <v>6</v>
      </c>
      <c r="H333" s="525">
        <f t="shared" ref="H333:T333" si="329">+H327*3+H328*5+H329+H330*5</f>
        <v>0</v>
      </c>
      <c r="I333" s="189">
        <f t="shared" si="329"/>
        <v>0</v>
      </c>
      <c r="J333" s="189">
        <f>+J327*3+J328*5+J329+J330*5</f>
        <v>0</v>
      </c>
      <c r="K333" s="189">
        <f>+K327*3+K328*5+K329+K330*5</f>
        <v>0</v>
      </c>
      <c r="L333" s="189">
        <f t="shared" si="329"/>
        <v>0</v>
      </c>
      <c r="M333" s="189">
        <f t="shared" si="329"/>
        <v>0</v>
      </c>
      <c r="N333" s="189">
        <f t="shared" si="329"/>
        <v>0</v>
      </c>
      <c r="O333" s="189">
        <f t="shared" si="329"/>
        <v>0</v>
      </c>
      <c r="P333" s="189">
        <f t="shared" si="329"/>
        <v>0</v>
      </c>
      <c r="Q333" s="189">
        <f t="shared" si="329"/>
        <v>0</v>
      </c>
      <c r="R333" s="189">
        <f t="shared" si="329"/>
        <v>2</v>
      </c>
      <c r="S333" s="189">
        <f t="shared" si="329"/>
        <v>0</v>
      </c>
      <c r="T333" s="189">
        <f t="shared" si="329"/>
        <v>0</v>
      </c>
      <c r="U333" s="189">
        <f>+U327*3+U328*5+U329+U330*5</f>
        <v>2</v>
      </c>
      <c r="V333" s="189">
        <f>+V327*3+V328*5+V329+V330*5</f>
        <v>0</v>
      </c>
      <c r="W333" s="189">
        <f>+W327*3+W328*5+W329+W330*5</f>
        <v>0</v>
      </c>
      <c r="X333" s="189">
        <f>+X327*3+X328*5+X329+X330*5</f>
        <v>2</v>
      </c>
      <c r="Y333" s="189">
        <f>+Y327*3+Y328*5+Y329+Y330*5</f>
        <v>0</v>
      </c>
      <c r="Z333" s="189">
        <f t="shared" ref="Z333:AI333" si="330">+Z327*3+Z328*5+Z329+Z330*5</f>
        <v>0</v>
      </c>
      <c r="AA333" s="189">
        <f t="shared" si="330"/>
        <v>0</v>
      </c>
      <c r="AB333" s="189">
        <f t="shared" si="330"/>
        <v>0</v>
      </c>
      <c r="AC333" s="189">
        <f t="shared" si="330"/>
        <v>0</v>
      </c>
      <c r="AD333" s="189">
        <f t="shared" si="330"/>
        <v>0</v>
      </c>
      <c r="AE333" s="189">
        <f t="shared" si="330"/>
        <v>0</v>
      </c>
      <c r="AF333" s="189">
        <f t="shared" si="330"/>
        <v>0</v>
      </c>
      <c r="AG333" s="189">
        <f t="shared" si="330"/>
        <v>0</v>
      </c>
      <c r="AH333" s="189">
        <f t="shared" si="330"/>
        <v>0</v>
      </c>
      <c r="AI333" s="189">
        <f t="shared" si="330"/>
        <v>0</v>
      </c>
      <c r="AJ333" s="190">
        <f>+AJ327*3+AJ328*5+AJ329+AJ330*5</f>
        <v>0</v>
      </c>
      <c r="AK333" s="190">
        <f>+AK327*3+AK328*5+AK329+AK330*5</f>
        <v>0</v>
      </c>
      <c r="AL333" s="190">
        <f>+AL327*3+AL328*5+AL329+AL330*5</f>
        <v>0</v>
      </c>
      <c r="AM333" s="233">
        <f>+AM327*3+AM328*5+AM329+AM330*5</f>
        <v>0</v>
      </c>
      <c r="AN333" s="225" t="s">
        <v>1154</v>
      </c>
    </row>
    <row r="334" spans="1:40" ht="30" customHeight="1">
      <c r="A334" s="240"/>
      <c r="B334" s="1026"/>
      <c r="C334" s="328"/>
      <c r="D334" s="235" t="s">
        <v>751</v>
      </c>
      <c r="E334" s="303" t="s">
        <v>752</v>
      </c>
      <c r="F334" s="235" t="s">
        <v>638</v>
      </c>
      <c r="G334" s="1103">
        <f t="shared" ref="G334:G369" si="331">SUM(H334:AM334)</f>
        <v>0</v>
      </c>
      <c r="H334" s="1076">
        <f t="shared" ref="H334:T334" si="332">+H322+H323</f>
        <v>0</v>
      </c>
      <c r="I334" s="1072">
        <f t="shared" si="332"/>
        <v>0</v>
      </c>
      <c r="J334" s="1072">
        <f>+J322+J323</f>
        <v>0</v>
      </c>
      <c r="K334" s="1072">
        <f>+K322+K323</f>
        <v>0</v>
      </c>
      <c r="L334" s="1072">
        <f t="shared" si="332"/>
        <v>0</v>
      </c>
      <c r="M334" s="1072">
        <f t="shared" si="332"/>
        <v>0</v>
      </c>
      <c r="N334" s="1072">
        <f t="shared" si="332"/>
        <v>0</v>
      </c>
      <c r="O334" s="1072">
        <f t="shared" si="332"/>
        <v>0</v>
      </c>
      <c r="P334" s="1072">
        <f t="shared" si="332"/>
        <v>0</v>
      </c>
      <c r="Q334" s="1072">
        <f t="shared" si="332"/>
        <v>0</v>
      </c>
      <c r="R334" s="1072">
        <f t="shared" si="332"/>
        <v>0</v>
      </c>
      <c r="S334" s="1072">
        <f t="shared" si="332"/>
        <v>0</v>
      </c>
      <c r="T334" s="1072">
        <f t="shared" si="332"/>
        <v>0</v>
      </c>
      <c r="U334" s="1072">
        <f>+U322+U323</f>
        <v>0</v>
      </c>
      <c r="V334" s="1072">
        <f>+V322+V323</f>
        <v>0</v>
      </c>
      <c r="W334" s="1072">
        <f>+W322+W323</f>
        <v>0</v>
      </c>
      <c r="X334" s="1072">
        <f>+X322+X323</f>
        <v>0</v>
      </c>
      <c r="Y334" s="1072">
        <f>+Y322+Y323</f>
        <v>0</v>
      </c>
      <c r="Z334" s="1072">
        <f t="shared" ref="Z334:AI334" si="333">+Z322+Z323</f>
        <v>0</v>
      </c>
      <c r="AA334" s="1072">
        <f t="shared" si="333"/>
        <v>0</v>
      </c>
      <c r="AB334" s="1072">
        <f t="shared" si="333"/>
        <v>0</v>
      </c>
      <c r="AC334" s="1072">
        <f t="shared" si="333"/>
        <v>0</v>
      </c>
      <c r="AD334" s="1072">
        <f t="shared" si="333"/>
        <v>0</v>
      </c>
      <c r="AE334" s="1072">
        <f t="shared" si="333"/>
        <v>0</v>
      </c>
      <c r="AF334" s="1072">
        <f t="shared" si="333"/>
        <v>0</v>
      </c>
      <c r="AG334" s="1072">
        <f t="shared" si="333"/>
        <v>0</v>
      </c>
      <c r="AH334" s="1072">
        <f t="shared" si="333"/>
        <v>0</v>
      </c>
      <c r="AI334" s="1072">
        <f t="shared" si="333"/>
        <v>0</v>
      </c>
      <c r="AJ334" s="1073">
        <f>+AJ322+AJ323</f>
        <v>0</v>
      </c>
      <c r="AK334" s="1073">
        <f>+AK322+AK323</f>
        <v>0</v>
      </c>
      <c r="AL334" s="1073">
        <f>+AL322+AL323</f>
        <v>0</v>
      </c>
      <c r="AM334" s="1074">
        <f>+AM322+AM323</f>
        <v>0</v>
      </c>
      <c r="AN334" s="236" t="s">
        <v>1155</v>
      </c>
    </row>
    <row r="335" spans="1:40" ht="30" customHeight="1">
      <c r="A335" s="287" t="s">
        <v>871</v>
      </c>
      <c r="B335" s="1059"/>
      <c r="C335" s="340"/>
      <c r="D335" s="1093" t="s">
        <v>754</v>
      </c>
      <c r="E335" s="1093" t="s">
        <v>601</v>
      </c>
      <c r="F335" s="1092" t="s">
        <v>753</v>
      </c>
      <c r="G335" s="810">
        <f t="shared" si="331"/>
        <v>95</v>
      </c>
      <c r="H335" s="525">
        <f t="shared" ref="H335:AM335" si="334">+H312+H313+H314+H317+H319+H320+H321+H322+H323+H324+H326+H329+H325*2</f>
        <v>0</v>
      </c>
      <c r="I335" s="189">
        <f t="shared" si="334"/>
        <v>0</v>
      </c>
      <c r="J335" s="189">
        <f t="shared" si="334"/>
        <v>1</v>
      </c>
      <c r="K335" s="189">
        <f t="shared" si="334"/>
        <v>1</v>
      </c>
      <c r="L335" s="189">
        <f t="shared" si="334"/>
        <v>6</v>
      </c>
      <c r="M335" s="189">
        <f t="shared" si="334"/>
        <v>3</v>
      </c>
      <c r="N335" s="189">
        <f t="shared" si="334"/>
        <v>1</v>
      </c>
      <c r="O335" s="189">
        <f t="shared" si="334"/>
        <v>5</v>
      </c>
      <c r="P335" s="189">
        <f t="shared" si="334"/>
        <v>2</v>
      </c>
      <c r="Q335" s="189">
        <f t="shared" si="334"/>
        <v>5</v>
      </c>
      <c r="R335" s="189">
        <f t="shared" si="334"/>
        <v>5</v>
      </c>
      <c r="S335" s="189">
        <f t="shared" si="334"/>
        <v>5</v>
      </c>
      <c r="T335" s="189">
        <f t="shared" si="334"/>
        <v>5</v>
      </c>
      <c r="U335" s="190">
        <f t="shared" si="334"/>
        <v>8</v>
      </c>
      <c r="V335" s="190">
        <f t="shared" si="334"/>
        <v>0</v>
      </c>
      <c r="W335" s="190">
        <f t="shared" si="334"/>
        <v>2</v>
      </c>
      <c r="X335" s="190">
        <f t="shared" si="334"/>
        <v>3</v>
      </c>
      <c r="Y335" s="190">
        <f t="shared" si="334"/>
        <v>1</v>
      </c>
      <c r="Z335" s="189">
        <f t="shared" si="334"/>
        <v>1</v>
      </c>
      <c r="AA335" s="189">
        <f t="shared" si="334"/>
        <v>0</v>
      </c>
      <c r="AB335" s="189">
        <f t="shared" si="334"/>
        <v>0</v>
      </c>
      <c r="AC335" s="189">
        <f t="shared" si="334"/>
        <v>4</v>
      </c>
      <c r="AD335" s="189">
        <f t="shared" si="334"/>
        <v>1</v>
      </c>
      <c r="AE335" s="189">
        <f t="shared" si="334"/>
        <v>1</v>
      </c>
      <c r="AF335" s="189">
        <f t="shared" si="334"/>
        <v>5</v>
      </c>
      <c r="AG335" s="189">
        <f t="shared" si="334"/>
        <v>3</v>
      </c>
      <c r="AH335" s="189">
        <f t="shared" si="334"/>
        <v>3</v>
      </c>
      <c r="AI335" s="190">
        <f t="shared" si="334"/>
        <v>10</v>
      </c>
      <c r="AJ335" s="226">
        <f t="shared" si="334"/>
        <v>5</v>
      </c>
      <c r="AK335" s="226">
        <f t="shared" si="334"/>
        <v>7</v>
      </c>
      <c r="AL335" s="226">
        <f t="shared" si="334"/>
        <v>1</v>
      </c>
      <c r="AM335" s="227">
        <f t="shared" si="334"/>
        <v>1</v>
      </c>
      <c r="AN335" s="1094" t="s">
        <v>1167</v>
      </c>
    </row>
    <row r="336" spans="1:40" ht="30" customHeight="1">
      <c r="A336" s="257"/>
      <c r="B336" s="990"/>
      <c r="C336" s="336"/>
      <c r="D336" s="228" t="s">
        <v>756</v>
      </c>
      <c r="E336" s="301" t="s">
        <v>757</v>
      </c>
      <c r="F336" s="228" t="s">
        <v>755</v>
      </c>
      <c r="G336" s="810">
        <f t="shared" si="331"/>
        <v>0</v>
      </c>
      <c r="H336" s="525">
        <f>+H327</f>
        <v>0</v>
      </c>
      <c r="I336" s="189">
        <f>+I327</f>
        <v>0</v>
      </c>
      <c r="J336" s="189">
        <f>+J327</f>
        <v>0</v>
      </c>
      <c r="K336" s="189">
        <f>+K327</f>
        <v>0</v>
      </c>
      <c r="L336" s="189">
        <f>+L327</f>
        <v>0</v>
      </c>
      <c r="M336" s="189">
        <f t="shared" ref="M336:R336" si="335">+M327</f>
        <v>0</v>
      </c>
      <c r="N336" s="189">
        <f t="shared" si="335"/>
        <v>0</v>
      </c>
      <c r="O336" s="189">
        <f t="shared" si="335"/>
        <v>0</v>
      </c>
      <c r="P336" s="189">
        <f t="shared" si="335"/>
        <v>0</v>
      </c>
      <c r="Q336" s="189">
        <f t="shared" si="335"/>
        <v>0</v>
      </c>
      <c r="R336" s="189">
        <f t="shared" si="335"/>
        <v>0</v>
      </c>
      <c r="S336" s="189">
        <f t="shared" ref="S336:AM336" si="336">+S327</f>
        <v>0</v>
      </c>
      <c r="T336" s="189">
        <f t="shared" si="336"/>
        <v>0</v>
      </c>
      <c r="U336" s="189">
        <f t="shared" si="336"/>
        <v>0</v>
      </c>
      <c r="V336" s="189">
        <f t="shared" si="336"/>
        <v>0</v>
      </c>
      <c r="W336" s="189">
        <f t="shared" si="336"/>
        <v>0</v>
      </c>
      <c r="X336" s="189">
        <f t="shared" si="336"/>
        <v>0</v>
      </c>
      <c r="Y336" s="189">
        <f t="shared" si="336"/>
        <v>0</v>
      </c>
      <c r="Z336" s="189">
        <f t="shared" si="336"/>
        <v>0</v>
      </c>
      <c r="AA336" s="189">
        <f t="shared" si="336"/>
        <v>0</v>
      </c>
      <c r="AB336" s="189">
        <f t="shared" si="336"/>
        <v>0</v>
      </c>
      <c r="AC336" s="189">
        <f t="shared" si="336"/>
        <v>0</v>
      </c>
      <c r="AD336" s="189">
        <f t="shared" si="336"/>
        <v>0</v>
      </c>
      <c r="AE336" s="189">
        <f t="shared" si="336"/>
        <v>0</v>
      </c>
      <c r="AF336" s="189">
        <f t="shared" si="336"/>
        <v>0</v>
      </c>
      <c r="AG336" s="189">
        <f t="shared" si="336"/>
        <v>0</v>
      </c>
      <c r="AH336" s="189">
        <f t="shared" si="336"/>
        <v>0</v>
      </c>
      <c r="AI336" s="189">
        <f t="shared" si="336"/>
        <v>0</v>
      </c>
      <c r="AJ336" s="190">
        <f t="shared" si="336"/>
        <v>0</v>
      </c>
      <c r="AK336" s="190">
        <f t="shared" si="336"/>
        <v>0</v>
      </c>
      <c r="AL336" s="190">
        <f t="shared" si="336"/>
        <v>0</v>
      </c>
      <c r="AM336" s="233">
        <f t="shared" si="336"/>
        <v>0</v>
      </c>
      <c r="AN336" s="225" t="s">
        <v>1168</v>
      </c>
    </row>
    <row r="337" spans="1:40" ht="30" customHeight="1">
      <c r="A337" s="49"/>
      <c r="B337" s="1024"/>
      <c r="C337" s="1091"/>
      <c r="D337" s="234" t="s">
        <v>758</v>
      </c>
      <c r="E337" s="302" t="s">
        <v>759</v>
      </c>
      <c r="F337" s="234" t="s">
        <v>755</v>
      </c>
      <c r="G337" s="810">
        <f t="shared" si="331"/>
        <v>0</v>
      </c>
      <c r="H337" s="525">
        <f>+H328+H330</f>
        <v>0</v>
      </c>
      <c r="I337" s="189">
        <f>+I328+I330</f>
        <v>0</v>
      </c>
      <c r="J337" s="189">
        <f>+J328+J330</f>
        <v>0</v>
      </c>
      <c r="K337" s="189">
        <f>+K328+K330</f>
        <v>0</v>
      </c>
      <c r="L337" s="189">
        <f>+L328+L330</f>
        <v>0</v>
      </c>
      <c r="M337" s="189">
        <f t="shared" ref="M337:R337" si="337">+M328+M330</f>
        <v>0</v>
      </c>
      <c r="N337" s="189">
        <f t="shared" si="337"/>
        <v>0</v>
      </c>
      <c r="O337" s="189">
        <f t="shared" si="337"/>
        <v>0</v>
      </c>
      <c r="P337" s="189">
        <f t="shared" si="337"/>
        <v>0</v>
      </c>
      <c r="Q337" s="189">
        <f t="shared" si="337"/>
        <v>0</v>
      </c>
      <c r="R337" s="189">
        <f t="shared" si="337"/>
        <v>0</v>
      </c>
      <c r="S337" s="189">
        <f t="shared" ref="S337:AM337" si="338">+S328+S330</f>
        <v>0</v>
      </c>
      <c r="T337" s="189">
        <f t="shared" si="338"/>
        <v>0</v>
      </c>
      <c r="U337" s="189">
        <f t="shared" si="338"/>
        <v>0</v>
      </c>
      <c r="V337" s="189">
        <f t="shared" si="338"/>
        <v>0</v>
      </c>
      <c r="W337" s="189">
        <f t="shared" si="338"/>
        <v>0</v>
      </c>
      <c r="X337" s="189">
        <f t="shared" si="338"/>
        <v>0</v>
      </c>
      <c r="Y337" s="189">
        <f t="shared" si="338"/>
        <v>0</v>
      </c>
      <c r="Z337" s="189">
        <f t="shared" si="338"/>
        <v>0</v>
      </c>
      <c r="AA337" s="189">
        <f t="shared" si="338"/>
        <v>0</v>
      </c>
      <c r="AB337" s="189">
        <f t="shared" si="338"/>
        <v>0</v>
      </c>
      <c r="AC337" s="189">
        <f t="shared" si="338"/>
        <v>0</v>
      </c>
      <c r="AD337" s="189">
        <f t="shared" si="338"/>
        <v>0</v>
      </c>
      <c r="AE337" s="189">
        <f t="shared" si="338"/>
        <v>0</v>
      </c>
      <c r="AF337" s="189">
        <f t="shared" si="338"/>
        <v>0</v>
      </c>
      <c r="AG337" s="189">
        <f t="shared" si="338"/>
        <v>0</v>
      </c>
      <c r="AH337" s="189">
        <f t="shared" si="338"/>
        <v>0</v>
      </c>
      <c r="AI337" s="189">
        <f t="shared" si="338"/>
        <v>0</v>
      </c>
      <c r="AJ337" s="190">
        <f t="shared" si="338"/>
        <v>0</v>
      </c>
      <c r="AK337" s="190">
        <f t="shared" si="338"/>
        <v>0</v>
      </c>
      <c r="AL337" s="190">
        <f t="shared" si="338"/>
        <v>0</v>
      </c>
      <c r="AM337" s="233">
        <f t="shared" si="338"/>
        <v>0</v>
      </c>
      <c r="AN337" s="225" t="s">
        <v>1169</v>
      </c>
    </row>
    <row r="338" spans="1:40" ht="30" customHeight="1">
      <c r="A338" s="287" t="s">
        <v>872</v>
      </c>
      <c r="B338" s="1059"/>
      <c r="C338" s="340" t="s">
        <v>1358</v>
      </c>
      <c r="D338" s="1069" t="s">
        <v>760</v>
      </c>
      <c r="E338" s="1070" t="s">
        <v>121</v>
      </c>
      <c r="F338" s="1069">
        <v>6684</v>
      </c>
      <c r="G338" s="812">
        <f t="shared" si="331"/>
        <v>0</v>
      </c>
      <c r="H338" s="524">
        <f>+COUNTIF(Area_S1RISHER,$C$338)</f>
        <v>0</v>
      </c>
      <c r="I338" s="521">
        <f>+COUNTIF(Area_S2RISHER,$C$338)</f>
        <v>0</v>
      </c>
      <c r="J338" s="521">
        <f>+COUNTIF(Area_S1RAANHER,$C$338)</f>
        <v>0</v>
      </c>
      <c r="K338" s="521">
        <f>+COUNTIF(Area_S2RAANHER,$C$338)</f>
        <v>0</v>
      </c>
      <c r="L338" s="521">
        <f>+COUNTIF(Area_S1HER,$C$338)</f>
        <v>0</v>
      </c>
      <c r="M338" s="521">
        <f>+COUNTIF(Area_S2HER,$C$338)</f>
        <v>0</v>
      </c>
      <c r="N338" s="521">
        <f>+COUNTIF(Area_S3HER,$C$338)</f>
        <v>0</v>
      </c>
      <c r="O338" s="521">
        <f>+COUNTIF(Area_S4HER,$C$338)</f>
        <v>0</v>
      </c>
      <c r="P338" s="521">
        <f>+COUNTIF(Area_S5HER,$C$338)</f>
        <v>0</v>
      </c>
      <c r="Q338" s="521">
        <f>+COUNTIF(Area_S6HER,$C$338)</f>
        <v>0</v>
      </c>
      <c r="R338" s="521">
        <f>+COUNTIF(Area_S1HERTSA,$C$338)</f>
        <v>0</v>
      </c>
      <c r="S338" s="521">
        <f>+COUNTIF(Area_S2HERTSA,$C$338)</f>
        <v>0</v>
      </c>
      <c r="T338" s="521">
        <f>+COUNTIF(Area_S3HERTSA,$C$338)</f>
        <v>0</v>
      </c>
      <c r="U338" s="226">
        <f>COUNTIF(Area_S4HERTSA,$C$338)</f>
        <v>0</v>
      </c>
      <c r="V338" s="226">
        <f>COUNTIF(Area_S5HERTSA,$C$338)</f>
        <v>0</v>
      </c>
      <c r="W338" s="226">
        <f>COUNTIF(Area_S5BBRHER,$C$338)</f>
        <v>0</v>
      </c>
      <c r="X338" s="226">
        <f>COUNTIF(Area_S1BBRTUN,$C$338)</f>
        <v>0</v>
      </c>
      <c r="Y338" s="226">
        <f>COUNTIF(Area_S2BBRTUN,$C$338)</f>
        <v>0</v>
      </c>
      <c r="Z338" s="521">
        <f>+COUNTIF(Area_S51HERTSA,$C$338)</f>
        <v>0</v>
      </c>
      <c r="AA338" s="521">
        <f>+COUNTIF(Area_S52HERTSA,$C$338)</f>
        <v>0</v>
      </c>
      <c r="AB338" s="521">
        <f>+COUNTIF(Area_S53HERTSA,$C$338)</f>
        <v>0</v>
      </c>
      <c r="AC338" s="521">
        <f>+COUNTIF(Area_S1TSA,$C$338)</f>
        <v>0</v>
      </c>
      <c r="AD338" s="521">
        <f>+COUNTIF(Area_S2TSA,$C$338)</f>
        <v>0</v>
      </c>
      <c r="AE338" s="521">
        <f>+COUNTIF(Area_S3TSA,$C$338)</f>
        <v>0</v>
      </c>
      <c r="AF338" s="521">
        <f>+COUNTIF(Area_S4TSA,$C$338)</f>
        <v>0</v>
      </c>
      <c r="AG338" s="521">
        <f>+COUNTIF(Area_S5TSA,$C$338)</f>
        <v>0</v>
      </c>
      <c r="AH338" s="521">
        <f>+COUNTIF(Area_S6TSA,$C$338)</f>
        <v>0</v>
      </c>
      <c r="AI338" s="226">
        <f>+COUNTIF(Area_S1TSATHA,$C$338)</f>
        <v>0</v>
      </c>
      <c r="AJ338" s="226">
        <f>COUNTIF(Area_S2TSATHA,$C$338)</f>
        <v>0</v>
      </c>
      <c r="AK338" s="226">
        <f>COUNTIF(Area_S3TSATHA,$C$338)</f>
        <v>0</v>
      </c>
      <c r="AL338" s="226">
        <f>COUNTIF(Area_S4THAHOLON,$C$338)</f>
        <v>0</v>
      </c>
      <c r="AM338" s="227">
        <f>COUNTIF(Area_S5THAHOLON,$C$338)</f>
        <v>0</v>
      </c>
      <c r="AN338" s="225" t="s">
        <v>1138</v>
      </c>
    </row>
    <row r="339" spans="1:40" ht="30" customHeight="1">
      <c r="A339" s="257"/>
      <c r="B339" s="990"/>
      <c r="C339" s="336" t="s">
        <v>1360</v>
      </c>
      <c r="D339" s="228" t="s">
        <v>761</v>
      </c>
      <c r="E339" s="301" t="s">
        <v>762</v>
      </c>
      <c r="F339" s="228"/>
      <c r="G339" s="810">
        <f t="shared" si="331"/>
        <v>25</v>
      </c>
      <c r="H339" s="525">
        <f>COUNTIF(Area_S1RISHER,$C339)</f>
        <v>3</v>
      </c>
      <c r="I339" s="189">
        <f>COUNTIF(Area_S2RISHER,$C339)</f>
        <v>3</v>
      </c>
      <c r="J339" s="189">
        <f>COUNTIF(Area_S1RAANHER,$C339)</f>
        <v>3</v>
      </c>
      <c r="K339" s="189">
        <f>COUNTIF(Area_S2RAANHER,$C339)</f>
        <v>3</v>
      </c>
      <c r="L339" s="189">
        <f>COUNTIF(Area_S1HER,$C339)</f>
        <v>0</v>
      </c>
      <c r="M339" s="189">
        <f>COUNTIF(Area_S2HER,$C339)</f>
        <v>0</v>
      </c>
      <c r="N339" s="189">
        <f>COUNTIF(Area_S3HER,$C339)</f>
        <v>0</v>
      </c>
      <c r="O339" s="189">
        <f>COUNTIF(Area_S4HER,$C339)</f>
        <v>0</v>
      </c>
      <c r="P339" s="189">
        <f>COUNTIF(Area_S5HER,$C339)</f>
        <v>0</v>
      </c>
      <c r="Q339" s="189">
        <f>COUNTIF(Area_S6HER,$C339)</f>
        <v>0</v>
      </c>
      <c r="R339" s="189">
        <f>COUNTIF(Area_S1HERTSA,$C339)</f>
        <v>2</v>
      </c>
      <c r="S339" s="189">
        <f>COUNTIF(Area_S2HERTSA,$C339)</f>
        <v>2</v>
      </c>
      <c r="T339" s="189">
        <f>COUNTIF(Area_S3HERTSA,$C339)</f>
        <v>2</v>
      </c>
      <c r="U339" s="189">
        <f>COUNTIF(Area_S4HERTSA,$C339)</f>
        <v>2</v>
      </c>
      <c r="V339" s="189">
        <f>COUNTIF(Area_S5HERTSA,$C339)</f>
        <v>0</v>
      </c>
      <c r="W339" s="189">
        <f>COUNTIF(Area_S5BBRHER,$C339)</f>
        <v>0</v>
      </c>
      <c r="X339" s="189">
        <f>COUNTIF(Area_S1BBRTUN,$C339)</f>
        <v>2</v>
      </c>
      <c r="Y339" s="189">
        <f>COUNTIF(Area_S2BBRTUN,$C339)</f>
        <v>2</v>
      </c>
      <c r="Z339" s="189">
        <f>COUNTIF(Area_S51HERTSA,$C339)</f>
        <v>0</v>
      </c>
      <c r="AA339" s="189">
        <f>COUNTIF(Area_S52HERTSA,$C339)</f>
        <v>0</v>
      </c>
      <c r="AB339" s="189">
        <f>COUNTIF(Area_S53HERTSA,$C339)</f>
        <v>0</v>
      </c>
      <c r="AC339" s="189">
        <f>COUNTIF(Area_S1TSA,$C339)</f>
        <v>0</v>
      </c>
      <c r="AD339" s="189">
        <f>COUNTIF(Area_S2TSA,$C339)</f>
        <v>0</v>
      </c>
      <c r="AE339" s="189">
        <f>COUNTIF(Area_S3TSA,$C339)</f>
        <v>0</v>
      </c>
      <c r="AF339" s="189">
        <f>COUNTIF(Area_S4TSA,$C339)</f>
        <v>0</v>
      </c>
      <c r="AG339" s="189">
        <f>COUNTIF(Area_S5TSA,$C339)</f>
        <v>0</v>
      </c>
      <c r="AH339" s="189">
        <f>COUNTIF(Area_S6TSA,$C339)</f>
        <v>0</v>
      </c>
      <c r="AI339" s="189">
        <f>COUNTIF(Area_S1TSATHA,$C339)</f>
        <v>0</v>
      </c>
      <c r="AJ339" s="190">
        <f>COUNTIF(Area_S2TSATHA,$C339)</f>
        <v>0</v>
      </c>
      <c r="AK339" s="190">
        <f>COUNTIF(Area_S3TSATHA,$C339)</f>
        <v>0</v>
      </c>
      <c r="AL339" s="190">
        <f>COUNTIF(Area_S4THAHOLON,$C339)</f>
        <v>0</v>
      </c>
      <c r="AM339" s="233">
        <f>COUNTIF(Area_S5THAHOLON,$C339)</f>
        <v>1</v>
      </c>
      <c r="AN339" s="225" t="s">
        <v>1139</v>
      </c>
    </row>
    <row r="340" spans="1:40" ht="30" customHeight="1">
      <c r="A340" s="49"/>
      <c r="B340" s="1024"/>
      <c r="C340" s="1091" t="s">
        <v>1665</v>
      </c>
      <c r="D340" s="228" t="s">
        <v>1788</v>
      </c>
      <c r="E340" s="303" t="s">
        <v>1695</v>
      </c>
      <c r="F340" s="235"/>
      <c r="G340" s="810">
        <f t="shared" si="331"/>
        <v>6</v>
      </c>
      <c r="H340" s="525">
        <f>COUNTIF(Area_S1RISHER,$C340)</f>
        <v>0</v>
      </c>
      <c r="I340" s="189">
        <f>COUNTIF(Area_S2RISHER,$C340)</f>
        <v>0</v>
      </c>
      <c r="J340" s="189">
        <f>COUNTIF(Area_S1RAANHER,$C340)</f>
        <v>0</v>
      </c>
      <c r="K340" s="189">
        <f>COUNTIF(Area_S2RAANHER,$C340)</f>
        <v>0</v>
      </c>
      <c r="L340" s="189">
        <f>COUNTIF(Area_S1HER,$C340)</f>
        <v>0</v>
      </c>
      <c r="M340" s="189">
        <f>COUNTIF(Area_S2HER,$C340)</f>
        <v>0</v>
      </c>
      <c r="N340" s="189">
        <f>COUNTIF(Area_S3HER,$C340)</f>
        <v>0</v>
      </c>
      <c r="O340" s="189">
        <f>COUNTIF(Area_S4HER,$C340)</f>
        <v>0</v>
      </c>
      <c r="P340" s="189">
        <f>COUNTIF(Area_S5HER,$C340)</f>
        <v>0</v>
      </c>
      <c r="Q340" s="189">
        <f>COUNTIF(Area_S6HER,$C340)</f>
        <v>0</v>
      </c>
      <c r="R340" s="189">
        <f>COUNTIF(Area_S1HERTSA,$C340)</f>
        <v>0</v>
      </c>
      <c r="S340" s="189">
        <f>COUNTIF(Area_S2HERTSA,$C340)</f>
        <v>0</v>
      </c>
      <c r="T340" s="189">
        <f>COUNTIF(Area_S3HERTSA,$C340)</f>
        <v>0</v>
      </c>
      <c r="U340" s="189">
        <f>COUNTIF(Area_S4HERTSA,$C340)</f>
        <v>0</v>
      </c>
      <c r="V340" s="189">
        <f>COUNTIF(Area_S5HERTSA,$C340)</f>
        <v>0</v>
      </c>
      <c r="W340" s="189">
        <f>COUNTIF(Area_S5BBRHER,$C340)</f>
        <v>2</v>
      </c>
      <c r="X340" s="189">
        <f>COUNTIF(Area_S1BBRTUN,$C340)</f>
        <v>1</v>
      </c>
      <c r="Y340" s="189">
        <f>COUNTIF(Area_S2BBRTUN,$C340)</f>
        <v>1</v>
      </c>
      <c r="Z340" s="189">
        <f>COUNTIF(Area_S51HERTSA,$C340)</f>
        <v>1</v>
      </c>
      <c r="AA340" s="189">
        <f>COUNTIF(Area_S52HERTSA,$C340)</f>
        <v>0</v>
      </c>
      <c r="AB340" s="189">
        <f>COUNTIF(Area_S53HERTSA,$C340)</f>
        <v>0</v>
      </c>
      <c r="AC340" s="189">
        <f>COUNTIF(Area_S1TSA,$C340)</f>
        <v>0</v>
      </c>
      <c r="AD340" s="189">
        <f>COUNTIF(Area_S2TSA,$C340)</f>
        <v>0</v>
      </c>
      <c r="AE340" s="189">
        <f>COUNTIF(Area_S3TSA,$C340)</f>
        <v>0</v>
      </c>
      <c r="AF340" s="189">
        <f>COUNTIF(Area_S4TSA,$C340)</f>
        <v>0</v>
      </c>
      <c r="AG340" s="189">
        <f>COUNTIF(Area_S5TSA,$C340)</f>
        <v>0</v>
      </c>
      <c r="AH340" s="189">
        <f>COUNTIF(Area_S6TSA,$C340)</f>
        <v>1</v>
      </c>
      <c r="AI340" s="189">
        <f>COUNTIF(Area_S1TSATHA,$C340)</f>
        <v>0</v>
      </c>
      <c r="AJ340" s="190">
        <f>COUNTIF(Area_S2TSATHA,$C340)</f>
        <v>0</v>
      </c>
      <c r="AK340" s="190">
        <f>COUNTIF(Area_S3TSATHA,$C340)</f>
        <v>0</v>
      </c>
      <c r="AL340" s="190">
        <f>COUNTIF(Area_S4THAHOLON,$C340)</f>
        <v>0</v>
      </c>
      <c r="AM340" s="233">
        <f>COUNTIF(Area_S5THAHOLON,$C340)</f>
        <v>0</v>
      </c>
      <c r="AN340" s="1101" t="s">
        <v>1664</v>
      </c>
    </row>
    <row r="341" spans="1:40" ht="30" customHeight="1">
      <c r="A341" s="749" t="s">
        <v>813</v>
      </c>
      <c r="B341" s="1061"/>
      <c r="C341" s="1128"/>
      <c r="D341" s="1129" t="s">
        <v>764</v>
      </c>
      <c r="E341" s="1130" t="s">
        <v>112</v>
      </c>
      <c r="F341" s="1129" t="s">
        <v>763</v>
      </c>
      <c r="G341" s="815" t="e">
        <f t="shared" si="331"/>
        <v>#REF!</v>
      </c>
      <c r="H341" s="757" t="e">
        <f>+ROUND(('HR Track 1 RIS-HER'!#REF!)/0.45,0)</f>
        <v>#REF!</v>
      </c>
      <c r="I341" s="750" t="e">
        <f>+ROUND(('HR Track 2 RIS-HER'!#REF!)/0.45,0)</f>
        <v>#REF!</v>
      </c>
      <c r="J341" s="750" t="e">
        <f>+ROUND(('HR Track 1 RAAN-HER'!#REF!)/0.45,0)</f>
        <v>#REF!</v>
      </c>
      <c r="K341" s="750" t="e">
        <f>+ROUND(('HR Track 2 RAAN-HER'!#REF!)/0.45,0)</f>
        <v>#REF!</v>
      </c>
      <c r="L341" s="750" t="e">
        <f>+ROUND(('HR Track 1 HER'!#REF!)/0.45,0)</f>
        <v>#REF!</v>
      </c>
      <c r="M341" s="750" t="e">
        <f>+ROUND(('HR Track 2 HER'!#REF!)/0.45,0)</f>
        <v>#REF!</v>
      </c>
      <c r="N341" s="750" t="e">
        <f>+ROUND(('HR Track 3 HER'!#REF!)/0.45,0)</f>
        <v>#REF!</v>
      </c>
      <c r="O341" s="750" t="e">
        <f>+ROUND(('HR Track 4 HER'!#REF!)/0.45,0)</f>
        <v>#REF!</v>
      </c>
      <c r="P341" s="750" t="e">
        <f>+ROUND(('HR Track 5 HER'!#REF!)/0.45,0)</f>
        <v>#REF!</v>
      </c>
      <c r="Q341" s="750" t="e">
        <f>+ROUND(('HR Track 6 HER'!#REF!)/0.45,0)</f>
        <v>#REF!</v>
      </c>
      <c r="R341" s="750" t="e">
        <f>+ROUND(('HR Track 1 HER-TSA'!#REF!)/0.45,0)</f>
        <v>#REF!</v>
      </c>
      <c r="S341" s="750" t="e">
        <f>+ROUND(('HR Track 2 HER-TSA '!#REF!)/0.45,0)</f>
        <v>#REF!</v>
      </c>
      <c r="T341" s="750" t="e">
        <f>+ROUND(('HR Track 3 HER-TSA'!#REF!)/0.45,0)</f>
        <v>#REF!</v>
      </c>
      <c r="U341" s="750" t="e">
        <f>+ROUND(('HR Track 4 HER-TSA'!#REF!)/0.45,0)</f>
        <v>#REF!</v>
      </c>
      <c r="V341" s="750" t="e">
        <f>+ROUND(('HR Track 5 HER-TSA'!#REF!)/0.45,0)</f>
        <v>#REF!</v>
      </c>
      <c r="W341" s="750" t="e">
        <f>+ROUND(('HR Track 5 BBR-HER'!#REF!)/0.45,0)</f>
        <v>#REF!</v>
      </c>
      <c r="X341" s="750" t="e">
        <f>+ROUND(('HR Track 1 BBR-TUN'!#REF!)/0.45,0)</f>
        <v>#REF!</v>
      </c>
      <c r="Y341" s="750" t="e">
        <f>+ROUND(('HR Track 2 BBR-TUN'!#REF!)/0.45,0)</f>
        <v>#REF!</v>
      </c>
      <c r="Z341" s="750" t="e">
        <f>+ROUND(('HR Track 51 HER-TSA'!#REF!)/0.45,0)</f>
        <v>#REF!</v>
      </c>
      <c r="AA341" s="750" t="e">
        <f>+ROUND(('HR Track 52 HER-TSA'!#REF!)/0.45,0)</f>
        <v>#REF!</v>
      </c>
      <c r="AB341" s="750" t="e">
        <f>+ROUND(('HR Track 53 HER-TSA'!#REF!)/0.45,0)</f>
        <v>#REF!</v>
      </c>
      <c r="AC341" s="750" t="e">
        <f>+ROUND(('HR Track 1 TSA'!#REF!)/0.45,0)</f>
        <v>#REF!</v>
      </c>
      <c r="AD341" s="750" t="e">
        <f>+ROUND(('HR Track 2 TSA'!#REF!)/0.45,0)</f>
        <v>#REF!</v>
      </c>
      <c r="AE341" s="750" t="e">
        <f>+ROUND(('HR Track 3 TSA'!#REF!)/0.45,0)</f>
        <v>#REF!</v>
      </c>
      <c r="AF341" s="750" t="e">
        <f>+ROUND(('HR Track 4 TSA'!#REF!)/0.45,0)</f>
        <v>#REF!</v>
      </c>
      <c r="AG341" s="750" t="e">
        <f>+ROUND(('HR Track 5 TSA'!#REF!)/0.45,0)</f>
        <v>#REF!</v>
      </c>
      <c r="AH341" s="750" t="e">
        <f>+ROUND(('HR Track 6 TSA'!#REF!)/0.45,0)</f>
        <v>#REF!</v>
      </c>
      <c r="AI341" s="751" t="e">
        <f>+ROUND(('HR Track 1 TSA-THA'!#REF!)/0.45,0)</f>
        <v>#REF!</v>
      </c>
      <c r="AJ341" s="751" t="e">
        <f>+ROUND(('HR Track 2 TSA-THA'!#REF!)/0.45,0)</f>
        <v>#REF!</v>
      </c>
      <c r="AK341" s="751" t="e">
        <f>+ROUND(('HR Track 2 TSA-THA'!#REF!)/0.45,0)</f>
        <v>#REF!</v>
      </c>
      <c r="AL341" s="751" t="e">
        <f>+ROUND(('HR Track 4 THA-HOLON'!#REF!)/0.45,0)</f>
        <v>#REF!</v>
      </c>
      <c r="AM341" s="752" t="e">
        <f>+ROUND(('HR Track 5 THA-HOLON'!#REF!)/0.45,0)</f>
        <v>#REF!</v>
      </c>
      <c r="AN341" s="1066" t="s">
        <v>1156</v>
      </c>
    </row>
    <row r="342" spans="1:40" ht="30" customHeight="1">
      <c r="A342" s="50"/>
      <c r="B342" s="288"/>
      <c r="C342" s="326"/>
      <c r="D342" s="228" t="s">
        <v>766</v>
      </c>
      <c r="E342" s="301" t="s">
        <v>113</v>
      </c>
      <c r="F342" s="228" t="s">
        <v>765</v>
      </c>
      <c r="G342" s="810" t="e">
        <f t="shared" si="331"/>
        <v>#REF!</v>
      </c>
      <c r="H342" s="525" t="e">
        <f t="shared" ref="H342:V342" si="339">2*H341</f>
        <v>#REF!</v>
      </c>
      <c r="I342" s="189" t="e">
        <f t="shared" si="339"/>
        <v>#REF!</v>
      </c>
      <c r="J342" s="189" t="e">
        <f>2*J341</f>
        <v>#REF!</v>
      </c>
      <c r="K342" s="189" t="e">
        <f>2*K341</f>
        <v>#REF!</v>
      </c>
      <c r="L342" s="189" t="e">
        <f t="shared" si="339"/>
        <v>#REF!</v>
      </c>
      <c r="M342" s="189" t="e">
        <f t="shared" si="339"/>
        <v>#REF!</v>
      </c>
      <c r="N342" s="189" t="e">
        <f t="shared" si="339"/>
        <v>#REF!</v>
      </c>
      <c r="O342" s="189" t="e">
        <f t="shared" si="339"/>
        <v>#REF!</v>
      </c>
      <c r="P342" s="189" t="e">
        <f t="shared" si="339"/>
        <v>#REF!</v>
      </c>
      <c r="Q342" s="189" t="e">
        <f t="shared" si="339"/>
        <v>#REF!</v>
      </c>
      <c r="R342" s="189" t="e">
        <f t="shared" si="339"/>
        <v>#REF!</v>
      </c>
      <c r="S342" s="189" t="e">
        <f t="shared" si="339"/>
        <v>#REF!</v>
      </c>
      <c r="T342" s="189" t="e">
        <f t="shared" si="339"/>
        <v>#REF!</v>
      </c>
      <c r="U342" s="189" t="e">
        <f t="shared" si="339"/>
        <v>#REF!</v>
      </c>
      <c r="V342" s="189" t="e">
        <f t="shared" si="339"/>
        <v>#REF!</v>
      </c>
      <c r="W342" s="189" t="e">
        <f>2*W341</f>
        <v>#REF!</v>
      </c>
      <c r="X342" s="189" t="e">
        <f>2*X341</f>
        <v>#REF!</v>
      </c>
      <c r="Y342" s="189" t="e">
        <f>2*Y341</f>
        <v>#REF!</v>
      </c>
      <c r="Z342" s="189" t="e">
        <f t="shared" ref="Z342:AM342" si="340">2*Z341</f>
        <v>#REF!</v>
      </c>
      <c r="AA342" s="189" t="e">
        <f t="shared" si="340"/>
        <v>#REF!</v>
      </c>
      <c r="AB342" s="189" t="e">
        <f t="shared" si="340"/>
        <v>#REF!</v>
      </c>
      <c r="AC342" s="189" t="e">
        <f t="shared" si="340"/>
        <v>#REF!</v>
      </c>
      <c r="AD342" s="189" t="e">
        <f t="shared" si="340"/>
        <v>#REF!</v>
      </c>
      <c r="AE342" s="189" t="e">
        <f t="shared" si="340"/>
        <v>#REF!</v>
      </c>
      <c r="AF342" s="189" t="e">
        <f t="shared" si="340"/>
        <v>#REF!</v>
      </c>
      <c r="AG342" s="189" t="e">
        <f t="shared" si="340"/>
        <v>#REF!</v>
      </c>
      <c r="AH342" s="189" t="e">
        <f t="shared" si="340"/>
        <v>#REF!</v>
      </c>
      <c r="AI342" s="190" t="e">
        <f t="shared" si="340"/>
        <v>#REF!</v>
      </c>
      <c r="AJ342" s="190" t="e">
        <f t="shared" si="340"/>
        <v>#REF!</v>
      </c>
      <c r="AK342" s="190" t="e">
        <f t="shared" si="340"/>
        <v>#REF!</v>
      </c>
      <c r="AL342" s="190" t="e">
        <f t="shared" si="340"/>
        <v>#REF!</v>
      </c>
      <c r="AM342" s="233" t="e">
        <f t="shared" si="340"/>
        <v>#REF!</v>
      </c>
      <c r="AN342" s="225" t="s">
        <v>1157</v>
      </c>
    </row>
    <row r="343" spans="1:40" ht="30" customHeight="1">
      <c r="A343" s="50"/>
      <c r="B343" s="288"/>
      <c r="C343" s="341" t="s">
        <v>889</v>
      </c>
      <c r="D343" s="228" t="s">
        <v>768</v>
      </c>
      <c r="E343" s="301" t="s">
        <v>606</v>
      </c>
      <c r="F343" s="228" t="s">
        <v>767</v>
      </c>
      <c r="G343" s="810">
        <f t="shared" si="331"/>
        <v>9</v>
      </c>
      <c r="H343" s="525">
        <f>COUNTIF(Area_v1RISHER,"S1T")+COUNTIF(Area_v1RISHER,"S2T")</f>
        <v>0</v>
      </c>
      <c r="I343" s="189">
        <f>COUNTIF(Area_v2RISHER,"S1T")+COUNTIF(Area_v2RISHER,"S2T")</f>
        <v>0</v>
      </c>
      <c r="J343" s="189">
        <f>COUNTIF(Area_v1RAANHER,"S1T")+COUNTIF(Area_v1RAANHER,"S2T")</f>
        <v>0</v>
      </c>
      <c r="K343" s="189">
        <f>COUNTIF(Area_v2RAANHER,"S1T")+COUNTIF(Area_v2RAANHER,"S2T")</f>
        <v>0</v>
      </c>
      <c r="L343" s="189">
        <f>COUNTIF(Area_v1HER,"S1T")+COUNTIF(Area_v1HER,"S2T")</f>
        <v>0</v>
      </c>
      <c r="M343" s="189">
        <f>COUNTIF(Area_v2HER,"S1T")+COUNTIF(Area_v2HER,"S2T")</f>
        <v>0</v>
      </c>
      <c r="N343" s="189">
        <f>COUNTIF(Area_v3HER,"S1T")+COUNTIF(Area_v3HER,"S2T")</f>
        <v>1</v>
      </c>
      <c r="O343" s="189">
        <f>COUNTIF(Area_v4HER,"S1T")+COUNTIF(Area_v4HER,"S2T")</f>
        <v>1</v>
      </c>
      <c r="P343" s="189">
        <f>COUNTIF(Area_v5HER,"S1T")+COUNTIF(Area_v5HER,"S2T")</f>
        <v>1</v>
      </c>
      <c r="Q343" s="189">
        <f>COUNTIF(Area_v6HER,"S1T")+COUNTIF(Area_v6HER,"S2T")</f>
        <v>0</v>
      </c>
      <c r="R343" s="189">
        <f>COUNTIF(Area_v1HERTSA,"S1T")+COUNTIF(Area_v1HERTSA,"S2T")</f>
        <v>0</v>
      </c>
      <c r="S343" s="189">
        <f>COUNTIF(Area_v2HERTSA,"S1T")+COUNTIF(Area_v2HERTSA,"S2T")</f>
        <v>1</v>
      </c>
      <c r="T343" s="189">
        <f>COUNTIF(Area_v3HERTSA,"S1T")+COUNTIF(Area_v3HERTSA,"S2T")</f>
        <v>1</v>
      </c>
      <c r="U343" s="190">
        <f>COUNTIF(Area_v4HERTSA,"S1T")+COUNTIF(Area_v4HERTSA,"S2T")</f>
        <v>0</v>
      </c>
      <c r="V343" s="190">
        <f>COUNTIF(Area_v5HERTSA,"S1T")+COUNTIF(Area_v5HERTSA,"S2T")</f>
        <v>0</v>
      </c>
      <c r="W343" s="190">
        <f>COUNTIF(Area_v5BBRHER,"S1T")+COUNTIF(Area_v5BBRHER,"S2T")</f>
        <v>0</v>
      </c>
      <c r="X343" s="190">
        <f>COUNTIF(Area_v1BBRTUN,"S1T")+COUNTIF(Area_v1BBRTUN,"S2T")</f>
        <v>0</v>
      </c>
      <c r="Y343" s="190">
        <f>COUNTIF(Area_v2BBRTUN,"S1T")+COUNTIF(Area_v2BBRTUN,"S2T")</f>
        <v>0</v>
      </c>
      <c r="Z343" s="189">
        <f>COUNTIF(Area_v51HERTSA,"S1T")+COUNTIF(Area_v51HERTSA,"S2T")</f>
        <v>0</v>
      </c>
      <c r="AA343" s="189">
        <f>COUNTIF(Area_v52HERTSA,"S1T")+COUNTIF(Area_v52HERTSA,"S2T")</f>
        <v>0</v>
      </c>
      <c r="AB343" s="189">
        <f>COUNTIF(Area_v53HERTSA,"S1T")+COUNTIF(Area_v53HERTSA,"S2T")</f>
        <v>0</v>
      </c>
      <c r="AC343" s="189">
        <f>COUNTIF(Area_v1TSA,"S1T")+COUNTIF(Area_v1TSA,"S2T")</f>
        <v>0</v>
      </c>
      <c r="AD343" s="189">
        <f>COUNTIF(Area_v2TSA,"S1T")+COUNTIF(Area_v2TSA,"S2T")</f>
        <v>0</v>
      </c>
      <c r="AE343" s="189">
        <f>COUNTIF(Area_v3TSA,"S1T")+COUNTIF(Area_v3TSA,"S2T")</f>
        <v>0</v>
      </c>
      <c r="AF343" s="189">
        <f>COUNTIF(Area_v4TSA,"S1T")+COUNTIF(Area_v4TSA,"S2T")</f>
        <v>0</v>
      </c>
      <c r="AG343" s="189">
        <f>COUNTIF(Area_v5TSA,"S1T")+COUNTIF(Area_v5TSA,"S2T")</f>
        <v>0</v>
      </c>
      <c r="AH343" s="189">
        <f>COUNTIF(Area_v6TSA,"S1T")+COUNTIF(Area_v6TSA,"S2T")</f>
        <v>0</v>
      </c>
      <c r="AI343" s="190">
        <f>COUNTIF(Area_v1TSATHA,"S1T")+COUNTIF(Area_v1TSATHA,"S2T")</f>
        <v>0</v>
      </c>
      <c r="AJ343" s="190">
        <f>COUNTIF(Area_v2TSATHA,"S1T")+COUNTIF(Area_v2TSATHA,"S2T")</f>
        <v>3</v>
      </c>
      <c r="AK343" s="190">
        <f>COUNTIF(Area_v3TSATHA,"S1T")+COUNTIF(Area_v3TSATHA,"S2T")</f>
        <v>1</v>
      </c>
      <c r="AL343" s="190">
        <f>COUNTIF(Area_v4THAHOLON,"S1T")+COUNTIF(Area_v4THAHOLON,"S2T")</f>
        <v>0</v>
      </c>
      <c r="AM343" s="233">
        <f>COUNTIF(Area_v5THAHOLON,"S1T")+COUNTIF(Area_v5THAHOLON,"S2T")</f>
        <v>0</v>
      </c>
      <c r="AN343" s="225" t="s">
        <v>1158</v>
      </c>
    </row>
    <row r="344" spans="1:40" ht="30" customHeight="1">
      <c r="A344" s="50"/>
      <c r="B344" s="288"/>
      <c r="C344" s="341" t="s">
        <v>1752</v>
      </c>
      <c r="D344" s="228" t="s">
        <v>769</v>
      </c>
      <c r="E344" s="301" t="s">
        <v>607</v>
      </c>
      <c r="F344" s="228" t="s">
        <v>638</v>
      </c>
      <c r="G344" s="810">
        <f t="shared" si="331"/>
        <v>0</v>
      </c>
      <c r="H344" s="525">
        <f>COUNTIF(Area_v1RISHER,"CP/Tunnel")+COUNTIF(Area_v1RISHER,"CP/TX-T")</f>
        <v>0</v>
      </c>
      <c r="I344" s="189">
        <f>COUNTIF(Area_v2RISHER,"CP/Tunnel")+COUNTIF(Area_v2RISHER,"CP/TX-T")</f>
        <v>0</v>
      </c>
      <c r="J344" s="189">
        <f>COUNTIF(Area_v1RAANHER,"CP/Tunnel")+COUNTIF(Area_v1RAANHER,"CP/TX-T")</f>
        <v>0</v>
      </c>
      <c r="K344" s="189">
        <f>COUNTIF(Area_v2RAANHER,"CP/Tunnel")+COUNTIF(Area_v2RAANHER,"CP/TX-T")</f>
        <v>0</v>
      </c>
      <c r="L344" s="189">
        <f>COUNTIF(Area_v1HER,"CP/Tunnel")+COUNTIF(Area_v1HER,"CP/TX-T")</f>
        <v>0</v>
      </c>
      <c r="M344" s="189">
        <f>COUNTIF(Area_v2HER,"CP/Tunnel")+COUNTIF(Area_v2HER,"CP/TX-T")</f>
        <v>0</v>
      </c>
      <c r="N344" s="189">
        <f>COUNTIF(Area_v3HER,"CP/Tunnel")+COUNTIF(Area_v3HER,"CP/TX-T")</f>
        <v>0</v>
      </c>
      <c r="O344" s="189">
        <f>COUNTIF(Area_v4HER,"CP/Tunnel")+COUNTIF(Area_v4HER,"CP/TX-T")</f>
        <v>0</v>
      </c>
      <c r="P344" s="189">
        <f>COUNTIF(Area_v5HER,"CP/Tunnel")+COUNTIF(Area_v5HER,"CP/TX-T")</f>
        <v>0</v>
      </c>
      <c r="Q344" s="189">
        <f>COUNTIF(Area_v6HER,"CP/Tunnel")+COUNTIF(Area_v6HER,"CP/TX-T")</f>
        <v>0</v>
      </c>
      <c r="R344" s="189">
        <f>COUNTIF(Area_v1HERTSA,"CP/Tunnel")+COUNTIF(Area_v1HERTSA,"CP/TX-T")</f>
        <v>0</v>
      </c>
      <c r="S344" s="189">
        <f>COUNTIF(Area_v2HERTSA,"CP/Tunnel")+COUNTIF(Area_v2HERTSA,"CP/TX-T")</f>
        <v>0</v>
      </c>
      <c r="T344" s="189">
        <f>COUNTIF(Area_v3HERTSA,"CP/Tunnel")+COUNTIF(Area_v3HERTSA,"CP/TX-T")</f>
        <v>0</v>
      </c>
      <c r="U344" s="190">
        <f>COUNTIF(Area_v4HERTSA,"CP/Tunnel")+COUNTIF(Area_v4HERTSA,"CP/TX-T")</f>
        <v>0</v>
      </c>
      <c r="V344" s="190">
        <f>COUNTIF(Area_v5HERTSA,"CP/Tunnel")+COUNTIF(Area_v5HERTSA,"CP/TX-T")</f>
        <v>0</v>
      </c>
      <c r="W344" s="190">
        <f>COUNTIF(Area_v5BBRHER,"CP/Tunnel")+COUNTIF(Area_v5BBRHER,"CP/TX-T")</f>
        <v>0</v>
      </c>
      <c r="X344" s="190">
        <f>COUNTIF(Area_v1BBRTUN,"CP/Tunnel")+COUNTIF(Area_v1BBRTUN,"CP/TX-T")</f>
        <v>0</v>
      </c>
      <c r="Y344" s="190">
        <f>COUNTIF(Area_v2BBRTUN,"CP/Tunnel")+COUNTIF(Area_v2BBRTUN,"CP/TX-T")</f>
        <v>0</v>
      </c>
      <c r="Z344" s="189">
        <f>COUNTIF(Area_v51HERTSA,"CP/Tunnel")+COUNTIF(Area_v51HERTSA,"CP/TX-T")</f>
        <v>0</v>
      </c>
      <c r="AA344" s="189">
        <f>COUNTIF(Area_v52HERTSA,"CP/Tunnel")+COUNTIF(Area_v52HERTSA,"CP/TX-T")</f>
        <v>0</v>
      </c>
      <c r="AB344" s="189">
        <f>COUNTIF(Area_v53HERTSA,"CP/Tunnel")+COUNTIF(Area_v53HERTSA,"CP/TX-T")</f>
        <v>0</v>
      </c>
      <c r="AC344" s="189">
        <f>COUNTIF(Area_v1TSA,"CP/Tunnel")+COUNTIF(Area_v1TSA,"CP/TX-T")</f>
        <v>0</v>
      </c>
      <c r="AD344" s="189">
        <f>COUNTIF(Area_v2TSA,"CP/Tunnel")+COUNTIF(Area_v2TSA,"CP/TX-T")</f>
        <v>0</v>
      </c>
      <c r="AE344" s="189">
        <f>COUNTIF(Area_v3TSA,"CP/Tunnel")+COUNTIF(Area_v3TSA,"CP/TX-T")</f>
        <v>0</v>
      </c>
      <c r="AF344" s="189">
        <f>COUNTIF(Area_v4TSA,"CP/Tunnel")+COUNTIF(Area_v4TSA,"CP/TX-T")</f>
        <v>0</v>
      </c>
      <c r="AG344" s="189">
        <f>COUNTIF(Area_v5TSA,"CP/Tunnel")+COUNTIF(Area_v5TSA,"CP/TX-T")</f>
        <v>0</v>
      </c>
      <c r="AH344" s="189">
        <f>COUNTIF(Area_v6TSA,"CP/Tunnel")+COUNTIF(Area_v6TSA,"CP/TX-T")</f>
        <v>0</v>
      </c>
      <c r="AI344" s="190">
        <f>COUNTIF(Area_v1TSATHA,"CP/Tunnel")+COUNTIF(Area_v1TSATHA,"CP/TX-T")</f>
        <v>0</v>
      </c>
      <c r="AJ344" s="190">
        <f>COUNTIF(Area_v2TSATHA,"CP/Tunnel")+COUNTIF(Area_v2TSATHA,"CP/TX-T")</f>
        <v>0</v>
      </c>
      <c r="AK344" s="190">
        <f>COUNTIF(Area_v3TSATHA,"CP/Tunnel")+COUNTIF(Area_v3TSATHA,"CP/TX-T")</f>
        <v>0</v>
      </c>
      <c r="AL344" s="190">
        <f>COUNTIF(Area_v4THAHOLON,"CP/Tunnel")+COUNTIF(Area_v4THAHOLON,"CP/TX-T")</f>
        <v>0</v>
      </c>
      <c r="AM344" s="233">
        <f>COUNTIF(Area_v5THAHOLON,"CP/Tunnel")+COUNTIF(Area_v5THAHOLON,"CP/TX-T")</f>
        <v>0</v>
      </c>
      <c r="AN344" s="225" t="s">
        <v>1159</v>
      </c>
    </row>
    <row r="345" spans="1:40" ht="30" customHeight="1">
      <c r="A345" s="50"/>
      <c r="B345" s="288"/>
      <c r="C345" s="341" t="s">
        <v>840</v>
      </c>
      <c r="D345" s="228" t="s">
        <v>770</v>
      </c>
      <c r="E345" s="301" t="s">
        <v>608</v>
      </c>
      <c r="F345" s="228" t="s">
        <v>638</v>
      </c>
      <c r="G345" s="810">
        <f t="shared" si="331"/>
        <v>7</v>
      </c>
      <c r="H345" s="525">
        <f>COUNTIF(Area_v1RISHER,$C345)</f>
        <v>0</v>
      </c>
      <c r="I345" s="189">
        <f>COUNTIF(Area_v2RISHER,$C345)</f>
        <v>0</v>
      </c>
      <c r="J345" s="189">
        <f>COUNTIF(Area_v1RAANHER,$C345)</f>
        <v>0</v>
      </c>
      <c r="K345" s="189">
        <f>COUNTIF(Area_v2RAANHER,$C345)</f>
        <v>0</v>
      </c>
      <c r="L345" s="189">
        <f>COUNTIF(Area_v1HER,$C345)</f>
        <v>0</v>
      </c>
      <c r="M345" s="189">
        <f>COUNTIF(Area_v2HER,$C345)</f>
        <v>2</v>
      </c>
      <c r="N345" s="189">
        <f>COUNTIF(Area_v3HER,$C345)</f>
        <v>0</v>
      </c>
      <c r="O345" s="189">
        <f>COUNTIF(Area_v4HER,$C345)</f>
        <v>0</v>
      </c>
      <c r="P345" s="189">
        <f>COUNTIF(Area_v5HER,$C345)</f>
        <v>0</v>
      </c>
      <c r="Q345" s="189">
        <f>COUNTIF(Area_v6HER,$C345)</f>
        <v>1</v>
      </c>
      <c r="R345" s="189">
        <f>COUNTIF(Area_v1HERTSA,$C345)</f>
        <v>0</v>
      </c>
      <c r="S345" s="189">
        <f>COUNTIF(Area_v2HERTSA,$C345)</f>
        <v>0</v>
      </c>
      <c r="T345" s="189">
        <f>COUNTIF(Area_v3HERTSA,$C345)</f>
        <v>0</v>
      </c>
      <c r="U345" s="190">
        <f>COUNTIF(Area_v4HERTSA,$C345)</f>
        <v>0</v>
      </c>
      <c r="V345" s="190">
        <f>COUNTIF(Area_v5HERTSA,$C345)</f>
        <v>0</v>
      </c>
      <c r="W345" s="190">
        <f>COUNTIF(Area_v5BBRHER,$C345)</f>
        <v>0</v>
      </c>
      <c r="X345" s="190">
        <f>COUNTIF(Area_v1BBRTUN,$C345)</f>
        <v>1</v>
      </c>
      <c r="Y345" s="190">
        <f>COUNTIF(Area_v2BBRTUN,$C345)</f>
        <v>1</v>
      </c>
      <c r="Z345" s="189">
        <f>COUNTIF(Area_v51HERTSA,$C345)</f>
        <v>0</v>
      </c>
      <c r="AA345" s="189">
        <f>COUNTIF(Area_v52HERTSA,$C345)</f>
        <v>0</v>
      </c>
      <c r="AB345" s="189">
        <f>COUNTIF(Area_v53HERTSA,$C345)</f>
        <v>0</v>
      </c>
      <c r="AC345" s="189">
        <f>COUNTIF(Area_v1TSA,$C345)</f>
        <v>0</v>
      </c>
      <c r="AD345" s="189">
        <f>COUNTIF(Area_v2TSA,$C345)</f>
        <v>0</v>
      </c>
      <c r="AE345" s="189">
        <f>COUNTIF(Area_v3TSA,$C345)</f>
        <v>0</v>
      </c>
      <c r="AF345" s="189">
        <f>COUNTIF(Area_v4TSA,$C345)</f>
        <v>0</v>
      </c>
      <c r="AG345" s="189">
        <f>COUNTIF(Area_v5TSA,$C345)</f>
        <v>0</v>
      </c>
      <c r="AH345" s="189">
        <f>COUNTIF(Area_v6TSA,$C345)</f>
        <v>0</v>
      </c>
      <c r="AI345" s="190">
        <f>COUNTIF(Area_v1TSATHA,$C345)</f>
        <v>1</v>
      </c>
      <c r="AJ345" s="190">
        <f>COUNTIF(Area_v2TSATHA,$C345)</f>
        <v>1</v>
      </c>
      <c r="AK345" s="190">
        <f>COUNTIF(Area_v3TSATHA,$C345)</f>
        <v>0</v>
      </c>
      <c r="AL345" s="190">
        <f>COUNTIF(Area_v4THAHOLON,$C345)</f>
        <v>0</v>
      </c>
      <c r="AM345" s="233">
        <f>COUNTIF(Area_v5THAHOLON,$C345)</f>
        <v>0</v>
      </c>
      <c r="AN345" s="225" t="s">
        <v>1160</v>
      </c>
    </row>
    <row r="346" spans="1:40" ht="30" customHeight="1">
      <c r="A346" s="50"/>
      <c r="B346" s="288"/>
      <c r="C346" s="341" t="s">
        <v>875</v>
      </c>
      <c r="D346" s="228" t="s">
        <v>771</v>
      </c>
      <c r="E346" s="301" t="s">
        <v>609</v>
      </c>
      <c r="F346" s="228" t="s">
        <v>638</v>
      </c>
      <c r="G346" s="805">
        <f t="shared" si="331"/>
        <v>0</v>
      </c>
      <c r="H346" s="189">
        <f>COUNTIF(Area_v1RISHER,$C346)</f>
        <v>0</v>
      </c>
      <c r="I346" s="189">
        <f>COUNTIF(Area_v2RISHER,$C346)</f>
        <v>0</v>
      </c>
      <c r="J346" s="189">
        <f>COUNTIF(Area_v1RAANHER,$C346)</f>
        <v>0</v>
      </c>
      <c r="K346" s="189">
        <f>COUNTIF(Area_v2RAANHER,$C346)</f>
        <v>0</v>
      </c>
      <c r="L346" s="189">
        <f>COUNTIF(Area_v1HER,$C346)</f>
        <v>0</v>
      </c>
      <c r="M346" s="189">
        <f>COUNTIF(Area_v2HER,$C346)</f>
        <v>0</v>
      </c>
      <c r="N346" s="189">
        <f>COUNTIF(Area_v3HER,$C346)</f>
        <v>0</v>
      </c>
      <c r="O346" s="189">
        <f>COUNTIF(Area_v4HER,$C346)</f>
        <v>0</v>
      </c>
      <c r="P346" s="189">
        <f>COUNTIF(Area_v5HER,$C346)</f>
        <v>0</v>
      </c>
      <c r="Q346" s="189">
        <f>COUNTIF(Area_v6HER,$C346)</f>
        <v>0</v>
      </c>
      <c r="R346" s="189">
        <f>COUNTIF(Area_v1HERTSA,$C346)</f>
        <v>0</v>
      </c>
      <c r="S346" s="189">
        <f>COUNTIF(Area_v2HERTSA,$C346)</f>
        <v>0</v>
      </c>
      <c r="T346" s="189">
        <f>COUNTIF(Area_v3HERTSA,$C346)</f>
        <v>0</v>
      </c>
      <c r="U346" s="190">
        <f>COUNTIF(Area_v4HERTSA,$C346)</f>
        <v>0</v>
      </c>
      <c r="V346" s="190">
        <f>COUNTIF(Area_v5HERTSA,$C346)</f>
        <v>0</v>
      </c>
      <c r="W346" s="190">
        <f>COUNTIF(Area_v5BBRHER,$C346)</f>
        <v>0</v>
      </c>
      <c r="X346" s="190">
        <f>COUNTIF(Area_v1BBRTUN,$C346)</f>
        <v>0</v>
      </c>
      <c r="Y346" s="190">
        <f>COUNTIF(Area_v2BBRTUN,$C346)</f>
        <v>0</v>
      </c>
      <c r="Z346" s="189">
        <f>COUNTIF(Area_v51HERTSA,$C346)</f>
        <v>0</v>
      </c>
      <c r="AA346" s="189">
        <f>COUNTIF(Area_v52HERTSA,$C346)</f>
        <v>0</v>
      </c>
      <c r="AB346" s="189">
        <f>COUNTIF(Area_v53HERTSA,$C346)</f>
        <v>0</v>
      </c>
      <c r="AC346" s="189">
        <f>COUNTIF(Area_v1TSA,$C346)</f>
        <v>0</v>
      </c>
      <c r="AD346" s="189">
        <f>COUNTIF(Area_v2TSA,$C346)</f>
        <v>0</v>
      </c>
      <c r="AE346" s="189">
        <f>COUNTIF(Area_v3TSA,$C346)</f>
        <v>0</v>
      </c>
      <c r="AF346" s="189">
        <f>COUNTIF(Area_v4TSA,$C346)</f>
        <v>0</v>
      </c>
      <c r="AG346" s="189">
        <f>COUNTIF(Area_v5TSA,$C346)</f>
        <v>0</v>
      </c>
      <c r="AH346" s="189">
        <f>COUNTIF(Area_v6TSA,$C346)</f>
        <v>0</v>
      </c>
      <c r="AI346" s="190">
        <f>COUNTIF(Area_v1TSATHA,$C346)</f>
        <v>0</v>
      </c>
      <c r="AJ346" s="190">
        <f>COUNTIF(Area_v2TSATHA,$C346)</f>
        <v>0</v>
      </c>
      <c r="AK346" s="190">
        <f>COUNTIF(Area_v3TSATHA,$C346)</f>
        <v>0</v>
      </c>
      <c r="AL346" s="190">
        <f>COUNTIF(Area_v4THAHOLON,$C346)</f>
        <v>0</v>
      </c>
      <c r="AM346" s="233">
        <f>COUNTIF(Area_v5THAHOLON,$C346)</f>
        <v>0</v>
      </c>
      <c r="AN346" s="225" t="s">
        <v>1161</v>
      </c>
    </row>
    <row r="347" spans="1:40" ht="30" customHeight="1">
      <c r="A347" s="50"/>
      <c r="B347" s="288"/>
      <c r="C347" s="326"/>
      <c r="D347" s="288" t="s">
        <v>772</v>
      </c>
      <c r="E347" s="301" t="s">
        <v>610</v>
      </c>
      <c r="F347" s="564" t="s">
        <v>638</v>
      </c>
      <c r="G347" s="805">
        <f t="shared" si="331"/>
        <v>9</v>
      </c>
      <c r="H347" s="189">
        <f>+H343</f>
        <v>0</v>
      </c>
      <c r="I347" s="189">
        <f>+I343</f>
        <v>0</v>
      </c>
      <c r="J347" s="189">
        <f>+J343</f>
        <v>0</v>
      </c>
      <c r="K347" s="189">
        <f>+K343</f>
        <v>0</v>
      </c>
      <c r="L347" s="189">
        <f>+L343</f>
        <v>0</v>
      </c>
      <c r="M347" s="189">
        <f t="shared" ref="M347:R347" si="341">+M343</f>
        <v>0</v>
      </c>
      <c r="N347" s="189">
        <f t="shared" si="341"/>
        <v>1</v>
      </c>
      <c r="O347" s="189">
        <f t="shared" si="341"/>
        <v>1</v>
      </c>
      <c r="P347" s="189">
        <f t="shared" si="341"/>
        <v>1</v>
      </c>
      <c r="Q347" s="189">
        <f t="shared" si="341"/>
        <v>0</v>
      </c>
      <c r="R347" s="189">
        <f t="shared" si="341"/>
        <v>0</v>
      </c>
      <c r="S347" s="189">
        <f t="shared" ref="S347:AM347" si="342">+S343</f>
        <v>1</v>
      </c>
      <c r="T347" s="189">
        <f t="shared" si="342"/>
        <v>1</v>
      </c>
      <c r="U347" s="190">
        <f t="shared" si="342"/>
        <v>0</v>
      </c>
      <c r="V347" s="190">
        <f t="shared" si="342"/>
        <v>0</v>
      </c>
      <c r="W347" s="190">
        <f t="shared" si="342"/>
        <v>0</v>
      </c>
      <c r="X347" s="190">
        <f t="shared" si="342"/>
        <v>0</v>
      </c>
      <c r="Y347" s="190">
        <f t="shared" si="342"/>
        <v>0</v>
      </c>
      <c r="Z347" s="189">
        <f t="shared" si="342"/>
        <v>0</v>
      </c>
      <c r="AA347" s="189">
        <f t="shared" si="342"/>
        <v>0</v>
      </c>
      <c r="AB347" s="189">
        <f t="shared" si="342"/>
        <v>0</v>
      </c>
      <c r="AC347" s="189">
        <f t="shared" si="342"/>
        <v>0</v>
      </c>
      <c r="AD347" s="189">
        <f t="shared" si="342"/>
        <v>0</v>
      </c>
      <c r="AE347" s="189">
        <f t="shared" si="342"/>
        <v>0</v>
      </c>
      <c r="AF347" s="189">
        <f t="shared" si="342"/>
        <v>0</v>
      </c>
      <c r="AG347" s="189">
        <f t="shared" si="342"/>
        <v>0</v>
      </c>
      <c r="AH347" s="189">
        <f t="shared" si="342"/>
        <v>0</v>
      </c>
      <c r="AI347" s="190">
        <f t="shared" si="342"/>
        <v>0</v>
      </c>
      <c r="AJ347" s="190">
        <f t="shared" si="342"/>
        <v>3</v>
      </c>
      <c r="AK347" s="190">
        <f t="shared" si="342"/>
        <v>1</v>
      </c>
      <c r="AL347" s="190">
        <f t="shared" si="342"/>
        <v>0</v>
      </c>
      <c r="AM347" s="233">
        <f t="shared" si="342"/>
        <v>0</v>
      </c>
      <c r="AN347" s="225" t="s">
        <v>1162</v>
      </c>
    </row>
    <row r="348" spans="1:40" ht="30" customHeight="1">
      <c r="A348" s="744"/>
      <c r="B348" s="745"/>
      <c r="C348" s="746"/>
      <c r="D348" s="992" t="s">
        <v>774</v>
      </c>
      <c r="E348" s="747" t="s">
        <v>114</v>
      </c>
      <c r="F348" s="748" t="s">
        <v>773</v>
      </c>
      <c r="G348" s="804" t="e">
        <f t="shared" si="331"/>
        <v>#REF!</v>
      </c>
      <c r="H348" s="522" t="e">
        <f>ROUND('HR Track 2 RIS-HER'!#REF!/0.45,0)*2</f>
        <v>#REF!</v>
      </c>
      <c r="I348" s="522" t="e">
        <f>ROUND('HR Track 2 RIS-HER'!#REF!/0.45,0)*2</f>
        <v>#REF!</v>
      </c>
      <c r="J348" s="522" t="e">
        <f>ROUND('HR Track 1 RAAN-HER'!#REF!/0.45,0)*2</f>
        <v>#REF!</v>
      </c>
      <c r="K348" s="522" t="e">
        <f>ROUND('HR Track 2 RAAN-HER'!#REF!/0.45,0)*2</f>
        <v>#REF!</v>
      </c>
      <c r="L348" s="522" t="e">
        <f>ROUND('HR Track 1 HER'!#REF!/0.45,0)*2</f>
        <v>#REF!</v>
      </c>
      <c r="M348" s="522" t="e">
        <f>ROUND('HR Track 2 HER'!#REF!/0.45,0)*2</f>
        <v>#REF!</v>
      </c>
      <c r="N348" s="522" t="e">
        <f>ROUND('HR Track 3 HER'!#REF!/0.45,0)*2</f>
        <v>#REF!</v>
      </c>
      <c r="O348" s="522" t="e">
        <f>ROUND('HR Track 4 HER'!#REF!/0.45,0)*2</f>
        <v>#REF!</v>
      </c>
      <c r="P348" s="522" t="e">
        <f>ROUND('HR Track 5 HER'!#REF!/0.45,0)*2</f>
        <v>#REF!</v>
      </c>
      <c r="Q348" s="522" t="e">
        <f>ROUND('HR Track 6 HER'!#REF!/0.45,0)*2</f>
        <v>#REF!</v>
      </c>
      <c r="R348" s="522" t="e">
        <f>ROUND('HR Track 1 HER-TSA'!#REF!/0.45,0)*2</f>
        <v>#REF!</v>
      </c>
      <c r="S348" s="522" t="e">
        <f>ROUND('HR Track 2 HER-TSA '!#REF!/0.45,0)*2</f>
        <v>#REF!</v>
      </c>
      <c r="T348" s="522" t="e">
        <f>ROUND('HR Track 3 HER-TSA'!#REF!/0.45,0)*2</f>
        <v>#REF!</v>
      </c>
      <c r="U348" s="522" t="e">
        <f>ROUND('HR Track 4 HER-TSA'!#REF!/0.45,0)*2</f>
        <v>#REF!</v>
      </c>
      <c r="V348" s="522" t="e">
        <f>ROUND('HR Track 5 HER-TSA'!#REF!/0.45,0)*2</f>
        <v>#REF!</v>
      </c>
      <c r="W348" s="522" t="e">
        <f>ROUND('HR Track 5 BBR-HER'!#REF!/0.45,0)*2</f>
        <v>#REF!</v>
      </c>
      <c r="X348" s="522" t="e">
        <f>ROUND('HR Track 1 BBR-TUN'!#REF!/0.45,0)*2</f>
        <v>#REF!</v>
      </c>
      <c r="Y348" s="522" t="e">
        <f>ROUND('HR Track 2 BBR-TUN'!#REF!/0.45,0)*2</f>
        <v>#REF!</v>
      </c>
      <c r="Z348" s="522" t="e">
        <f>ROUND('HR Track 51 HER-TSA'!#REF!/0.45,0)*2</f>
        <v>#REF!</v>
      </c>
      <c r="AA348" s="522" t="e">
        <f>ROUND('HR Track 52 HER-TSA'!#REF!/0.45,0)*2</f>
        <v>#REF!</v>
      </c>
      <c r="AB348" s="522" t="e">
        <f>ROUND('HR Track 53 HER-TSA'!#REF!/0.45,0)*2</f>
        <v>#REF!</v>
      </c>
      <c r="AC348" s="522" t="e">
        <f>ROUND('HR Track 1 TSA'!#REF!/0.45,0)*2</f>
        <v>#REF!</v>
      </c>
      <c r="AD348" s="522" t="e">
        <f>ROUND('HR Track 2 TSA'!#REF!/0.45,0)*2</f>
        <v>#REF!</v>
      </c>
      <c r="AE348" s="522" t="e">
        <f>ROUND('HR Track 3 TSA'!#REF!/0.45,0)*2</f>
        <v>#REF!</v>
      </c>
      <c r="AF348" s="522" t="e">
        <f>ROUND('HR Track 4 TSA'!#REF!/0.45,0)*2</f>
        <v>#REF!</v>
      </c>
      <c r="AG348" s="522" t="e">
        <f>ROUND('HR Track 5 TSA'!#REF!/0.45,0)*2</f>
        <v>#REF!</v>
      </c>
      <c r="AH348" s="522" t="e">
        <f>ROUND('HR Track 6 TSA'!#REF!/0.45,0)*2</f>
        <v>#REF!</v>
      </c>
      <c r="AI348" s="231" t="e">
        <f>ROUND('HR Track 1 TSA-THA'!#REF!/0.45,0)*2</f>
        <v>#REF!</v>
      </c>
      <c r="AJ348" s="231" t="e">
        <f>ROUND('HR Track 2 TSA-THA'!#REF!/0.45,0)*2</f>
        <v>#REF!</v>
      </c>
      <c r="AK348" s="231" t="e">
        <f>ROUND('HR Track 3 TSA-THA'!#REF!/0.45,0)*2</f>
        <v>#REF!</v>
      </c>
      <c r="AL348" s="231" t="e">
        <f>ROUND('HR Track 4 THA-HOLON'!#REF!/0.45,0)*2</f>
        <v>#REF!</v>
      </c>
      <c r="AM348" s="232" t="e">
        <f>ROUND('HR Track 5 THA-HOLON'!#REF!/0.45,0)*2</f>
        <v>#REF!</v>
      </c>
      <c r="AN348" s="1114" t="s">
        <v>1163</v>
      </c>
    </row>
    <row r="349" spans="1:40" ht="30" customHeight="1">
      <c r="A349" s="50"/>
      <c r="B349" s="288"/>
      <c r="C349" s="336" t="s">
        <v>1367</v>
      </c>
      <c r="D349" s="993" t="s">
        <v>775</v>
      </c>
      <c r="E349" s="310" t="s">
        <v>116</v>
      </c>
      <c r="F349" s="564" t="s">
        <v>638</v>
      </c>
      <c r="G349" s="805">
        <f t="shared" si="331"/>
        <v>0</v>
      </c>
      <c r="H349" s="189">
        <f>COUNTIF(Area_v1RISHER,$C349)</f>
        <v>0</v>
      </c>
      <c r="I349" s="189">
        <f>COUNTIF(Area_v2RISHER,$C349)</f>
        <v>0</v>
      </c>
      <c r="J349" s="189">
        <f>COUNTIF(Area_v1RAANHER,$C349)</f>
        <v>0</v>
      </c>
      <c r="K349" s="189">
        <f>COUNTIF(Area_v2RAANHER,$C349)</f>
        <v>0</v>
      </c>
      <c r="L349" s="189">
        <f>COUNTIF(Area_v1HER,$C349)</f>
        <v>0</v>
      </c>
      <c r="M349" s="189">
        <f>COUNTIF(Area_v2HER,$C349)</f>
        <v>0</v>
      </c>
      <c r="N349" s="189">
        <f>COUNTIF(Area_v3HER,$C349)</f>
        <v>0</v>
      </c>
      <c r="O349" s="189">
        <f>COUNTIF(Area_v4HER,$C349)</f>
        <v>0</v>
      </c>
      <c r="P349" s="189">
        <f>COUNTIF(Area_v5HER,$C349)</f>
        <v>0</v>
      </c>
      <c r="Q349" s="189">
        <f>COUNTIF(Area_v6HER,$C349)</f>
        <v>0</v>
      </c>
      <c r="R349" s="189">
        <f>COUNTIF(Area_v1HERTSA,$C349)</f>
        <v>0</v>
      </c>
      <c r="S349" s="189">
        <f>COUNTIF(Area_v2HERTSA,$C349)</f>
        <v>0</v>
      </c>
      <c r="T349" s="189">
        <f>COUNTIF(Area_v3HERTSA,$C349)</f>
        <v>0</v>
      </c>
      <c r="U349" s="190">
        <f>COUNTIF(Area_v4HERTSA,$C349)</f>
        <v>0</v>
      </c>
      <c r="V349" s="190">
        <f>COUNTIF(Area_v5HERTSA,$C349)</f>
        <v>0</v>
      </c>
      <c r="W349" s="190">
        <f>COUNTIF(Area_v5BBRHER,$C349)</f>
        <v>0</v>
      </c>
      <c r="X349" s="190">
        <f>COUNTIF(Area_v1BBRTUN,$C349)</f>
        <v>0</v>
      </c>
      <c r="Y349" s="190">
        <f>COUNTIF(Area_v2BBRTUN,$C349)</f>
        <v>0</v>
      </c>
      <c r="Z349" s="189">
        <f>COUNTIF(Area_v51HERTSA,$C349)</f>
        <v>0</v>
      </c>
      <c r="AA349" s="189">
        <f>COUNTIF(Area_v52HERTSA,$C349)</f>
        <v>0</v>
      </c>
      <c r="AB349" s="189">
        <f>COUNTIF(Area_v53HERTSA,$C349)</f>
        <v>0</v>
      </c>
      <c r="AC349" s="189">
        <f>COUNTIF(Area_v1TSA,$C349)</f>
        <v>0</v>
      </c>
      <c r="AD349" s="189">
        <f>COUNTIF(Area_v2TSA,$C349)</f>
        <v>0</v>
      </c>
      <c r="AE349" s="189">
        <f>COUNTIF(Area_v3TSA,$C349)</f>
        <v>0</v>
      </c>
      <c r="AF349" s="189">
        <f>COUNTIF(Area_v4TSA,$C349)</f>
        <v>0</v>
      </c>
      <c r="AG349" s="189">
        <f>COUNTIF(Area_v5TSA,$C349)</f>
        <v>0</v>
      </c>
      <c r="AH349" s="189">
        <f>COUNTIF(Area_v6TSA,$C349)</f>
        <v>0</v>
      </c>
      <c r="AI349" s="190">
        <f>COUNTIF(Area_v1TSATHA,$C349)</f>
        <v>0</v>
      </c>
      <c r="AJ349" s="190">
        <f>COUNTIF(Area_v2TSATHA,$C349)</f>
        <v>0</v>
      </c>
      <c r="AK349" s="190">
        <f>COUNTIF(Area_v3TSATHA,$C349)</f>
        <v>0</v>
      </c>
      <c r="AL349" s="190">
        <f>COUNTIF(Area_v4THAHOLON,$C349)</f>
        <v>0</v>
      </c>
      <c r="AM349" s="233">
        <f>COUNTIF(Area_v5THAHOLON,$C349)</f>
        <v>0</v>
      </c>
      <c r="AN349" s="225" t="s">
        <v>1165</v>
      </c>
    </row>
    <row r="350" spans="1:40" ht="30" customHeight="1">
      <c r="A350" s="50"/>
      <c r="B350" s="288"/>
      <c r="C350" s="566" t="s">
        <v>2478</v>
      </c>
      <c r="D350" s="994"/>
      <c r="E350" s="566" t="s">
        <v>2480</v>
      </c>
      <c r="F350" s="564"/>
      <c r="G350" s="805">
        <f t="shared" si="331"/>
        <v>0</v>
      </c>
      <c r="H350" s="189">
        <f>COUNTIF(Area_v1RISHER,$C350)</f>
        <v>0</v>
      </c>
      <c r="I350" s="189">
        <f>COUNTIF(Area_v2RISHER,$C350)</f>
        <v>0</v>
      </c>
      <c r="J350" s="189">
        <f>COUNTIF(Area_v1RAANHER,$C350)</f>
        <v>0</v>
      </c>
      <c r="K350" s="189">
        <f>COUNTIF(Area_v2RAANHER,$C350)</f>
        <v>0</v>
      </c>
      <c r="L350" s="189">
        <f>COUNTIF(Area_v1HER,$C350)</f>
        <v>0</v>
      </c>
      <c r="M350" s="189">
        <f>COUNTIF(Area_v2HER,$C350)</f>
        <v>0</v>
      </c>
      <c r="N350" s="189">
        <f>COUNTIF(Area_v3HER,$C350)</f>
        <v>0</v>
      </c>
      <c r="O350" s="189">
        <f>COUNTIF(Area_v4HER,$C350)</f>
        <v>0</v>
      </c>
      <c r="P350" s="189">
        <f>COUNTIF(Area_v5HER,$C350)</f>
        <v>0</v>
      </c>
      <c r="Q350" s="189">
        <f>COUNTIF(Area_v6HER,$C350)</f>
        <v>0</v>
      </c>
      <c r="R350" s="189">
        <f>COUNTIF(Area_v1HERTSA,$C350)</f>
        <v>0</v>
      </c>
      <c r="S350" s="189">
        <f>COUNTIF(Area_v2HERTSA,$C350)</f>
        <v>0</v>
      </c>
      <c r="T350" s="189">
        <f>COUNTIF(Area_v3HERTSA,$C350)</f>
        <v>0</v>
      </c>
      <c r="U350" s="190">
        <f>COUNTIF(Area_v4HERTSA,$C350)</f>
        <v>0</v>
      </c>
      <c r="V350" s="190">
        <f>COUNTIF(Area_v5HERTSA,$C350)</f>
        <v>0</v>
      </c>
      <c r="W350" s="190">
        <f>COUNTIF(Area_v5BBRHER,$C350)</f>
        <v>0</v>
      </c>
      <c r="X350" s="190">
        <f>COUNTIF(Area_v1BBRTUN,$C350)</f>
        <v>0</v>
      </c>
      <c r="Y350" s="190">
        <f>COUNTIF(Area_v2BBRTUN,$C350)</f>
        <v>0</v>
      </c>
      <c r="Z350" s="189">
        <f>COUNTIF(Area_v51HERTSA,$C350)</f>
        <v>0</v>
      </c>
      <c r="AA350" s="189">
        <f>COUNTIF(Area_v52HERTSA,$C350)</f>
        <v>0</v>
      </c>
      <c r="AB350" s="189">
        <f>COUNTIF(Area_v53HERTSA,$C350)</f>
        <v>0</v>
      </c>
      <c r="AC350" s="189">
        <f>COUNTIF(Area_v1TSA,$C350)</f>
        <v>0</v>
      </c>
      <c r="AD350" s="189">
        <f>COUNTIF(Area_v2TSA,$C350)</f>
        <v>0</v>
      </c>
      <c r="AE350" s="189">
        <f>COUNTIF(Area_v3TSA,$C350)</f>
        <v>0</v>
      </c>
      <c r="AF350" s="189">
        <f>COUNTIF(Area_v4TSA,$C350)</f>
        <v>0</v>
      </c>
      <c r="AG350" s="189">
        <f>COUNTIF(Area_v5TSA,$C350)</f>
        <v>0</v>
      </c>
      <c r="AH350" s="189">
        <f>COUNTIF(Area_v6TSA,$C350)</f>
        <v>0</v>
      </c>
      <c r="AI350" s="190">
        <f>COUNTIF(Area_v1TSATHA,$C350)</f>
        <v>0</v>
      </c>
      <c r="AJ350" s="190">
        <f>COUNTIF(Area_v2TSATHA,$C350)</f>
        <v>0</v>
      </c>
      <c r="AK350" s="190">
        <f>COUNTIF(Area_v3TSATHA,$C350)</f>
        <v>0</v>
      </c>
      <c r="AL350" s="190">
        <f>COUNTIF(Area_v4THAHOLON,$C350)</f>
        <v>0</v>
      </c>
      <c r="AM350" s="233">
        <f>COUNTIF(Area_v5THAHOLON,$C350)</f>
        <v>0</v>
      </c>
      <c r="AN350" s="225"/>
    </row>
    <row r="351" spans="1:40" ht="30" customHeight="1">
      <c r="A351" s="50"/>
      <c r="B351" s="288"/>
      <c r="C351" s="566" t="s">
        <v>2479</v>
      </c>
      <c r="D351" s="994"/>
      <c r="E351" s="566" t="s">
        <v>2481</v>
      </c>
      <c r="F351" s="564"/>
      <c r="G351" s="805">
        <f t="shared" si="331"/>
        <v>0</v>
      </c>
      <c r="H351" s="189">
        <f>COUNTIF(Area_v1RISHER,$C351)</f>
        <v>0</v>
      </c>
      <c r="I351" s="189">
        <f>COUNTIF(Area_v2RISHER,$C351)</f>
        <v>0</v>
      </c>
      <c r="J351" s="189">
        <f>COUNTIF(Area_v1RAANHER,$C351)</f>
        <v>0</v>
      </c>
      <c r="K351" s="189">
        <f>COUNTIF(Area_v2RAANHER,$C351)</f>
        <v>0</v>
      </c>
      <c r="L351" s="189">
        <f>COUNTIF(Area_v1HER,$C351)</f>
        <v>0</v>
      </c>
      <c r="M351" s="189">
        <f>COUNTIF(Area_v2HER,$C351)</f>
        <v>0</v>
      </c>
      <c r="N351" s="189">
        <f>COUNTIF(Area_v3HER,$C351)</f>
        <v>0</v>
      </c>
      <c r="O351" s="189">
        <f>COUNTIF(Area_v4HER,$C351)</f>
        <v>0</v>
      </c>
      <c r="P351" s="189">
        <f>COUNTIF(Area_v5HER,$C351)</f>
        <v>0</v>
      </c>
      <c r="Q351" s="189">
        <f>COUNTIF(Area_v6HER,$C351)</f>
        <v>0</v>
      </c>
      <c r="R351" s="189">
        <f>COUNTIF(Area_v1HERTSA,$C351)</f>
        <v>0</v>
      </c>
      <c r="S351" s="189">
        <f>COUNTIF(Area_v2HERTSA,$C351)</f>
        <v>0</v>
      </c>
      <c r="T351" s="189">
        <f>COUNTIF(Area_v3HERTSA,$C351)</f>
        <v>0</v>
      </c>
      <c r="U351" s="190">
        <f>COUNTIF(Area_v4HERTSA,$C351)</f>
        <v>0</v>
      </c>
      <c r="V351" s="190">
        <f>COUNTIF(Area_v5HERTSA,$C351)</f>
        <v>0</v>
      </c>
      <c r="W351" s="190">
        <f>COUNTIF(Area_v5BBRHER,$C351)</f>
        <v>0</v>
      </c>
      <c r="X351" s="190">
        <f>COUNTIF(Area_v1BBRTUN,$C351)</f>
        <v>0</v>
      </c>
      <c r="Y351" s="190">
        <f>COUNTIF(Area_v2BBRTUN,$C351)</f>
        <v>0</v>
      </c>
      <c r="Z351" s="189">
        <f>COUNTIF(Area_v51HERTSA,$C351)</f>
        <v>0</v>
      </c>
      <c r="AA351" s="189">
        <f>COUNTIF(Area_v52HERTSA,$C351)</f>
        <v>0</v>
      </c>
      <c r="AB351" s="189">
        <f>COUNTIF(Area_v53HERTSA,$C351)</f>
        <v>0</v>
      </c>
      <c r="AC351" s="189">
        <f>COUNTIF(Area_v1TSA,$C351)</f>
        <v>0</v>
      </c>
      <c r="AD351" s="189">
        <f>COUNTIF(Area_v2TSA,$C351)</f>
        <v>0</v>
      </c>
      <c r="AE351" s="189">
        <f>COUNTIF(Area_v3TSA,$C351)</f>
        <v>0</v>
      </c>
      <c r="AF351" s="189">
        <f>COUNTIF(Area_v4TSA,$C351)</f>
        <v>0</v>
      </c>
      <c r="AG351" s="189">
        <f>COUNTIF(Area_v5TSA,$C351)</f>
        <v>0</v>
      </c>
      <c r="AH351" s="189">
        <f>COUNTIF(Area_v6TSA,$C351)</f>
        <v>0</v>
      </c>
      <c r="AI351" s="190">
        <f>COUNTIF(Area_v1TSATHA,$C351)</f>
        <v>0</v>
      </c>
      <c r="AJ351" s="190">
        <f>COUNTIF(Area_v2TSATHA,$C351)</f>
        <v>0</v>
      </c>
      <c r="AK351" s="190">
        <f>COUNTIF(Area_v3TSATHA,$C351)</f>
        <v>0</v>
      </c>
      <c r="AL351" s="190">
        <f>COUNTIF(Area_v4THAHOLON,$C351)</f>
        <v>0</v>
      </c>
      <c r="AM351" s="233">
        <f>COUNTIF(Area_v5THAHOLON,$C351)</f>
        <v>0</v>
      </c>
      <c r="AN351" s="225"/>
    </row>
    <row r="352" spans="1:40" ht="30" customHeight="1">
      <c r="A352" s="259"/>
      <c r="B352" s="563"/>
      <c r="C352" s="1131"/>
      <c r="D352" s="995" t="s">
        <v>777</v>
      </c>
      <c r="E352" s="307" t="s">
        <v>117</v>
      </c>
      <c r="F352" s="565" t="s">
        <v>776</v>
      </c>
      <c r="G352" s="819">
        <f t="shared" si="331"/>
        <v>0</v>
      </c>
      <c r="H352" s="529"/>
      <c r="I352" s="529"/>
      <c r="J352" s="529"/>
      <c r="K352" s="529"/>
      <c r="L352" s="529"/>
      <c r="M352" s="529"/>
      <c r="N352" s="529"/>
      <c r="O352" s="529"/>
      <c r="P352" s="529"/>
      <c r="Q352" s="529"/>
      <c r="R352" s="529"/>
      <c r="S352" s="529"/>
      <c r="T352" s="529"/>
      <c r="U352" s="253"/>
      <c r="V352" s="253"/>
      <c r="W352" s="253"/>
      <c r="X352" s="253"/>
      <c r="Y352" s="253"/>
      <c r="Z352" s="529"/>
      <c r="AA352" s="529"/>
      <c r="AB352" s="529"/>
      <c r="AC352" s="529"/>
      <c r="AD352" s="529"/>
      <c r="AE352" s="529"/>
      <c r="AF352" s="529"/>
      <c r="AG352" s="529"/>
      <c r="AH352" s="529"/>
      <c r="AI352" s="253"/>
      <c r="AJ352" s="253"/>
      <c r="AK352" s="253"/>
      <c r="AL352" s="253"/>
      <c r="AM352" s="254"/>
      <c r="AN352" s="1114" t="s">
        <v>1164</v>
      </c>
    </row>
    <row r="353" spans="1:40" ht="30" customHeight="1">
      <c r="A353" s="259"/>
      <c r="B353" s="563"/>
      <c r="C353" s="339"/>
      <c r="D353" s="563" t="s">
        <v>778</v>
      </c>
      <c r="E353" s="1132" t="s">
        <v>118</v>
      </c>
      <c r="F353" s="565" t="s">
        <v>638</v>
      </c>
      <c r="G353" s="819">
        <f t="shared" si="331"/>
        <v>0</v>
      </c>
      <c r="H353" s="529"/>
      <c r="I353" s="529"/>
      <c r="J353" s="529"/>
      <c r="K353" s="529"/>
      <c r="L353" s="529"/>
      <c r="M353" s="529"/>
      <c r="N353" s="529"/>
      <c r="O353" s="529"/>
      <c r="P353" s="529"/>
      <c r="Q353" s="529"/>
      <c r="R353" s="529"/>
      <c r="S353" s="529"/>
      <c r="T353" s="529"/>
      <c r="U353" s="253"/>
      <c r="V353" s="253"/>
      <c r="W353" s="253"/>
      <c r="X353" s="253"/>
      <c r="Y353" s="253"/>
      <c r="Z353" s="529"/>
      <c r="AA353" s="529"/>
      <c r="AB353" s="529"/>
      <c r="AC353" s="529"/>
      <c r="AD353" s="529"/>
      <c r="AE353" s="529"/>
      <c r="AF353" s="529"/>
      <c r="AG353" s="529"/>
      <c r="AH353" s="529"/>
      <c r="AI353" s="253"/>
      <c r="AJ353" s="253"/>
      <c r="AK353" s="253"/>
      <c r="AL353" s="253"/>
      <c r="AM353" s="254"/>
      <c r="AN353" s="1114" t="s">
        <v>1166</v>
      </c>
    </row>
    <row r="354" spans="1:40" ht="30" customHeight="1">
      <c r="A354" s="259"/>
      <c r="B354" s="563"/>
      <c r="C354" s="339"/>
      <c r="D354" s="309" t="s">
        <v>611</v>
      </c>
      <c r="E354" s="308" t="s">
        <v>779</v>
      </c>
      <c r="F354" s="309" t="s">
        <v>638</v>
      </c>
      <c r="G354" s="819">
        <f t="shared" si="331"/>
        <v>0</v>
      </c>
      <c r="H354" s="529"/>
      <c r="I354" s="529"/>
      <c r="J354" s="529"/>
      <c r="K354" s="529"/>
      <c r="L354" s="529"/>
      <c r="M354" s="529"/>
      <c r="N354" s="529"/>
      <c r="O354" s="529"/>
      <c r="P354" s="529"/>
      <c r="Q354" s="529"/>
      <c r="R354" s="529"/>
      <c r="S354" s="529"/>
      <c r="T354" s="529"/>
      <c r="U354" s="253"/>
      <c r="V354" s="253"/>
      <c r="W354" s="253"/>
      <c r="X354" s="253"/>
      <c r="Y354" s="253"/>
      <c r="Z354" s="529"/>
      <c r="AA354" s="529"/>
      <c r="AB354" s="529"/>
      <c r="AC354" s="529"/>
      <c r="AD354" s="529"/>
      <c r="AE354" s="529"/>
      <c r="AF354" s="529"/>
      <c r="AG354" s="529"/>
      <c r="AH354" s="529"/>
      <c r="AI354" s="253"/>
      <c r="AJ354" s="253"/>
      <c r="AK354" s="253"/>
      <c r="AL354" s="253"/>
      <c r="AM354" s="254"/>
      <c r="AN354" s="1114" t="s">
        <v>1170</v>
      </c>
    </row>
    <row r="355" spans="1:40" ht="30" customHeight="1">
      <c r="A355" s="259"/>
      <c r="B355" s="563"/>
      <c r="C355" s="339"/>
      <c r="D355" s="309" t="s">
        <v>780</v>
      </c>
      <c r="E355" s="308" t="s">
        <v>781</v>
      </c>
      <c r="F355" s="309" t="s">
        <v>638</v>
      </c>
      <c r="G355" s="819">
        <f t="shared" si="331"/>
        <v>0</v>
      </c>
      <c r="H355" s="529"/>
      <c r="I355" s="529"/>
      <c r="J355" s="529"/>
      <c r="K355" s="529"/>
      <c r="L355" s="529"/>
      <c r="M355" s="529"/>
      <c r="N355" s="529"/>
      <c r="O355" s="529"/>
      <c r="P355" s="529"/>
      <c r="Q355" s="529"/>
      <c r="R355" s="529"/>
      <c r="S355" s="529"/>
      <c r="T355" s="529"/>
      <c r="U355" s="253"/>
      <c r="V355" s="253"/>
      <c r="W355" s="253"/>
      <c r="X355" s="253"/>
      <c r="Y355" s="253"/>
      <c r="Z355" s="529"/>
      <c r="AA355" s="529"/>
      <c r="AB355" s="529"/>
      <c r="AC355" s="529"/>
      <c r="AD355" s="529"/>
      <c r="AE355" s="529"/>
      <c r="AF355" s="529"/>
      <c r="AG355" s="529"/>
      <c r="AH355" s="529"/>
      <c r="AI355" s="253"/>
      <c r="AJ355" s="253"/>
      <c r="AK355" s="253"/>
      <c r="AL355" s="253"/>
      <c r="AM355" s="254"/>
      <c r="AN355" s="1114" t="s">
        <v>1171</v>
      </c>
    </row>
    <row r="356" spans="1:40" ht="30" customHeight="1">
      <c r="A356" s="289"/>
      <c r="B356" s="1062"/>
      <c r="C356" s="326" t="s">
        <v>1367</v>
      </c>
      <c r="D356" s="228" t="s">
        <v>782</v>
      </c>
      <c r="E356" s="301" t="s">
        <v>612</v>
      </c>
      <c r="F356" s="228" t="s">
        <v>638</v>
      </c>
      <c r="G356" s="805">
        <f t="shared" si="331"/>
        <v>0</v>
      </c>
      <c r="H356" s="189">
        <f>COUNTIF(Area_v1RISHER,$C356)</f>
        <v>0</v>
      </c>
      <c r="I356" s="189">
        <f>COUNTIF(Area_v2RISHER,$C356)</f>
        <v>0</v>
      </c>
      <c r="J356" s="189">
        <f>COUNTIF(Area_v1RAANHER,$C356)</f>
        <v>0</v>
      </c>
      <c r="K356" s="189">
        <f>COUNTIF(Area_v2RAANHER,$C356)</f>
        <v>0</v>
      </c>
      <c r="L356" s="189">
        <f>COUNTIF(Area_v1HER,$C356)</f>
        <v>0</v>
      </c>
      <c r="M356" s="189">
        <f>COUNTIF(Area_v2HER,$C356)</f>
        <v>0</v>
      </c>
      <c r="N356" s="189">
        <f>COUNTIF(Area_v3HER,$C356)</f>
        <v>0</v>
      </c>
      <c r="O356" s="189">
        <f>COUNTIF(Area_v4HER,$C356)</f>
        <v>0</v>
      </c>
      <c r="P356" s="189">
        <f>COUNTIF(Area_v5HER,$C356)</f>
        <v>0</v>
      </c>
      <c r="Q356" s="189">
        <f>COUNTIF(Area_v6HER,$C356)</f>
        <v>0</v>
      </c>
      <c r="R356" s="189">
        <f>COUNTIF(Area_v1HERTSA,$C356)</f>
        <v>0</v>
      </c>
      <c r="S356" s="189">
        <f>COUNTIF(Area_v2HERTSA,$C356)</f>
        <v>0</v>
      </c>
      <c r="T356" s="189">
        <f>COUNTIF(Area_v3HERTSA,$C356)</f>
        <v>0</v>
      </c>
      <c r="U356" s="190">
        <f>COUNTIF(Area_v4HERTSA,$C356)</f>
        <v>0</v>
      </c>
      <c r="V356" s="190">
        <f>COUNTIF(Area_v5HERTSA,$C356)</f>
        <v>0</v>
      </c>
      <c r="W356" s="190">
        <f>COUNTIF(Area_v5BBRHER,$C356)</f>
        <v>0</v>
      </c>
      <c r="X356" s="190">
        <f>COUNTIF(Area_v1BBRTUN,$C356)</f>
        <v>0</v>
      </c>
      <c r="Y356" s="190">
        <f>COUNTIF(Area_v2BBRTUN,$C356)</f>
        <v>0</v>
      </c>
      <c r="Z356" s="189">
        <f>COUNTIF(Area_v51HERTSA,$C356)</f>
        <v>0</v>
      </c>
      <c r="AA356" s="189">
        <f>COUNTIF(Area_v52HERTSA,$C356)</f>
        <v>0</v>
      </c>
      <c r="AB356" s="189">
        <f>COUNTIF(Area_v53HERTSA,$C356)</f>
        <v>0</v>
      </c>
      <c r="AC356" s="189">
        <f>COUNTIF(Area_v1TSA,$C356)</f>
        <v>0</v>
      </c>
      <c r="AD356" s="189">
        <f>COUNTIF(Area_v2TSA,$C356)</f>
        <v>0</v>
      </c>
      <c r="AE356" s="189">
        <f>COUNTIF(Area_v3TSA,$C356)</f>
        <v>0</v>
      </c>
      <c r="AF356" s="189">
        <f>COUNTIF(Area_v4TSA,$C356)</f>
        <v>0</v>
      </c>
      <c r="AG356" s="189">
        <f>COUNTIF(Area_v5TSA,$C356)</f>
        <v>0</v>
      </c>
      <c r="AH356" s="189">
        <f>COUNTIF(Area_v6TSA,$C356)</f>
        <v>0</v>
      </c>
      <c r="AI356" s="190">
        <f>COUNTIF(Area_v1TSATHA,$C356)</f>
        <v>0</v>
      </c>
      <c r="AJ356" s="190">
        <f>COUNTIF(Area_v2TSATHA,$C356)</f>
        <v>0</v>
      </c>
      <c r="AK356" s="190">
        <f>COUNTIF(Area_v3TSATHA,$C356)</f>
        <v>0</v>
      </c>
      <c r="AL356" s="190">
        <f>COUNTIF(Area_v4THAHOLON,$C356)</f>
        <v>0</v>
      </c>
      <c r="AM356" s="233">
        <f>COUNTIF(Area_v5THAHOLON,$C356)</f>
        <v>0</v>
      </c>
      <c r="AN356" s="225" t="s">
        <v>1172</v>
      </c>
    </row>
    <row r="357" spans="1:40" ht="30" customHeight="1">
      <c r="A357" s="259"/>
      <c r="B357" s="563"/>
      <c r="C357" s="339"/>
      <c r="D357" s="309" t="s">
        <v>784</v>
      </c>
      <c r="E357" s="308" t="s">
        <v>199</v>
      </c>
      <c r="F357" s="309" t="s">
        <v>783</v>
      </c>
      <c r="G357" s="819">
        <f t="shared" si="331"/>
        <v>0</v>
      </c>
      <c r="H357" s="529"/>
      <c r="I357" s="529"/>
      <c r="J357" s="529"/>
      <c r="K357" s="529"/>
      <c r="L357" s="529"/>
      <c r="M357" s="529"/>
      <c r="N357" s="529"/>
      <c r="O357" s="529"/>
      <c r="P357" s="529"/>
      <c r="Q357" s="529"/>
      <c r="R357" s="529"/>
      <c r="S357" s="529"/>
      <c r="T357" s="529"/>
      <c r="U357" s="253"/>
      <c r="V357" s="253"/>
      <c r="W357" s="253"/>
      <c r="X357" s="253"/>
      <c r="Y357" s="253"/>
      <c r="Z357" s="529"/>
      <c r="AA357" s="529"/>
      <c r="AB357" s="529"/>
      <c r="AC357" s="529"/>
      <c r="AD357" s="529"/>
      <c r="AE357" s="529"/>
      <c r="AF357" s="529"/>
      <c r="AG357" s="529"/>
      <c r="AH357" s="529"/>
      <c r="AI357" s="253"/>
      <c r="AJ357" s="253"/>
      <c r="AK357" s="253"/>
      <c r="AL357" s="253"/>
      <c r="AM357" s="254"/>
      <c r="AN357" s="1114" t="s">
        <v>1173</v>
      </c>
    </row>
    <row r="358" spans="1:40" ht="30" customHeight="1">
      <c r="A358" s="259"/>
      <c r="B358" s="563"/>
      <c r="C358" s="339"/>
      <c r="D358" s="309" t="s">
        <v>785</v>
      </c>
      <c r="E358" s="308" t="s">
        <v>101</v>
      </c>
      <c r="F358" s="309" t="s">
        <v>638</v>
      </c>
      <c r="G358" s="819">
        <f t="shared" si="331"/>
        <v>0</v>
      </c>
      <c r="H358" s="529"/>
      <c r="I358" s="529"/>
      <c r="J358" s="529"/>
      <c r="K358" s="529"/>
      <c r="L358" s="529"/>
      <c r="M358" s="529"/>
      <c r="N358" s="529"/>
      <c r="O358" s="529"/>
      <c r="P358" s="529"/>
      <c r="Q358" s="529"/>
      <c r="R358" s="529"/>
      <c r="S358" s="529"/>
      <c r="T358" s="529"/>
      <c r="U358" s="253"/>
      <c r="V358" s="253"/>
      <c r="W358" s="253"/>
      <c r="X358" s="253"/>
      <c r="Y358" s="253"/>
      <c r="Z358" s="529"/>
      <c r="AA358" s="529"/>
      <c r="AB358" s="529"/>
      <c r="AC358" s="529"/>
      <c r="AD358" s="529"/>
      <c r="AE358" s="529"/>
      <c r="AF358" s="529"/>
      <c r="AG358" s="529"/>
      <c r="AH358" s="529"/>
      <c r="AI358" s="253"/>
      <c r="AJ358" s="253"/>
      <c r="AK358" s="253"/>
      <c r="AL358" s="253"/>
      <c r="AM358" s="254"/>
      <c r="AN358" s="1114" t="s">
        <v>1174</v>
      </c>
    </row>
    <row r="359" spans="1:40" ht="30" customHeight="1">
      <c r="A359" s="258" t="s">
        <v>867</v>
      </c>
      <c r="B359" s="563"/>
      <c r="C359" s="339"/>
      <c r="D359" s="309" t="s">
        <v>786</v>
      </c>
      <c r="E359" s="308" t="s">
        <v>787</v>
      </c>
      <c r="F359" s="309" t="s">
        <v>638</v>
      </c>
      <c r="G359" s="819">
        <f t="shared" si="331"/>
        <v>0</v>
      </c>
      <c r="H359" s="529"/>
      <c r="I359" s="529"/>
      <c r="J359" s="529"/>
      <c r="K359" s="529"/>
      <c r="L359" s="529"/>
      <c r="M359" s="529"/>
      <c r="N359" s="529"/>
      <c r="O359" s="529"/>
      <c r="P359" s="529"/>
      <c r="Q359" s="529"/>
      <c r="R359" s="529"/>
      <c r="S359" s="529"/>
      <c r="T359" s="529"/>
      <c r="U359" s="253"/>
      <c r="V359" s="253"/>
      <c r="W359" s="253"/>
      <c r="X359" s="253"/>
      <c r="Y359" s="253"/>
      <c r="Z359" s="529"/>
      <c r="AA359" s="529"/>
      <c r="AB359" s="529"/>
      <c r="AC359" s="529"/>
      <c r="AD359" s="529"/>
      <c r="AE359" s="529"/>
      <c r="AF359" s="529"/>
      <c r="AG359" s="529"/>
      <c r="AH359" s="529"/>
      <c r="AI359" s="253"/>
      <c r="AJ359" s="253"/>
      <c r="AK359" s="253"/>
      <c r="AL359" s="253"/>
      <c r="AM359" s="254"/>
      <c r="AN359" s="1114" t="s">
        <v>1177</v>
      </c>
    </row>
    <row r="360" spans="1:40" ht="30" customHeight="1">
      <c r="A360" s="259"/>
      <c r="B360" s="563"/>
      <c r="C360" s="339"/>
      <c r="D360" s="309" t="s">
        <v>788</v>
      </c>
      <c r="E360" s="308" t="s">
        <v>789</v>
      </c>
      <c r="F360" s="309" t="s">
        <v>638</v>
      </c>
      <c r="G360" s="819">
        <f t="shared" si="331"/>
        <v>0</v>
      </c>
      <c r="H360" s="529"/>
      <c r="I360" s="529"/>
      <c r="J360" s="529"/>
      <c r="K360" s="529"/>
      <c r="L360" s="529"/>
      <c r="M360" s="529"/>
      <c r="N360" s="529"/>
      <c r="O360" s="529"/>
      <c r="P360" s="529"/>
      <c r="Q360" s="529"/>
      <c r="R360" s="529"/>
      <c r="S360" s="529"/>
      <c r="T360" s="529"/>
      <c r="U360" s="253"/>
      <c r="V360" s="253"/>
      <c r="W360" s="253"/>
      <c r="X360" s="253"/>
      <c r="Y360" s="253"/>
      <c r="Z360" s="529"/>
      <c r="AA360" s="529"/>
      <c r="AB360" s="529"/>
      <c r="AC360" s="529"/>
      <c r="AD360" s="529"/>
      <c r="AE360" s="529"/>
      <c r="AF360" s="529"/>
      <c r="AG360" s="529"/>
      <c r="AH360" s="529"/>
      <c r="AI360" s="253"/>
      <c r="AJ360" s="253"/>
      <c r="AK360" s="253"/>
      <c r="AL360" s="253"/>
      <c r="AM360" s="254"/>
      <c r="AN360" s="1114" t="s">
        <v>1175</v>
      </c>
    </row>
    <row r="361" spans="1:40" ht="30" customHeight="1">
      <c r="A361" s="259"/>
      <c r="B361" s="563"/>
      <c r="C361" s="339"/>
      <c r="D361" s="309" t="s">
        <v>790</v>
      </c>
      <c r="E361" s="308" t="s">
        <v>791</v>
      </c>
      <c r="F361" s="309" t="s">
        <v>638</v>
      </c>
      <c r="G361" s="819">
        <f t="shared" si="331"/>
        <v>0</v>
      </c>
      <c r="H361" s="529"/>
      <c r="I361" s="529"/>
      <c r="J361" s="529"/>
      <c r="K361" s="529"/>
      <c r="L361" s="529"/>
      <c r="M361" s="529"/>
      <c r="N361" s="529"/>
      <c r="O361" s="529"/>
      <c r="P361" s="529"/>
      <c r="Q361" s="529"/>
      <c r="R361" s="529"/>
      <c r="S361" s="529"/>
      <c r="T361" s="529"/>
      <c r="U361" s="253"/>
      <c r="V361" s="253"/>
      <c r="W361" s="253"/>
      <c r="X361" s="253"/>
      <c r="Y361" s="253"/>
      <c r="Z361" s="529"/>
      <c r="AA361" s="529"/>
      <c r="AB361" s="529"/>
      <c r="AC361" s="529"/>
      <c r="AD361" s="529"/>
      <c r="AE361" s="529"/>
      <c r="AF361" s="529"/>
      <c r="AG361" s="529"/>
      <c r="AH361" s="529"/>
      <c r="AI361" s="253"/>
      <c r="AJ361" s="253"/>
      <c r="AK361" s="253"/>
      <c r="AL361" s="253"/>
      <c r="AM361" s="254"/>
      <c r="AN361" s="1114" t="s">
        <v>1176</v>
      </c>
    </row>
    <row r="362" spans="1:40" ht="30" customHeight="1">
      <c r="A362" s="259"/>
      <c r="B362" s="563"/>
      <c r="C362" s="339"/>
      <c r="D362" s="309" t="s">
        <v>792</v>
      </c>
      <c r="E362" s="308" t="s">
        <v>793</v>
      </c>
      <c r="F362" s="309" t="s">
        <v>638</v>
      </c>
      <c r="G362" s="819">
        <f t="shared" si="331"/>
        <v>0</v>
      </c>
      <c r="H362" s="529"/>
      <c r="I362" s="529"/>
      <c r="J362" s="529"/>
      <c r="K362" s="529"/>
      <c r="L362" s="529"/>
      <c r="M362" s="529"/>
      <c r="N362" s="529"/>
      <c r="O362" s="529"/>
      <c r="P362" s="529"/>
      <c r="Q362" s="529"/>
      <c r="R362" s="529"/>
      <c r="S362" s="529"/>
      <c r="T362" s="529"/>
      <c r="U362" s="253"/>
      <c r="V362" s="253"/>
      <c r="W362" s="253"/>
      <c r="X362" s="253"/>
      <c r="Y362" s="253"/>
      <c r="Z362" s="529"/>
      <c r="AA362" s="529"/>
      <c r="AB362" s="529"/>
      <c r="AC362" s="529"/>
      <c r="AD362" s="529"/>
      <c r="AE362" s="529"/>
      <c r="AF362" s="529"/>
      <c r="AG362" s="529"/>
      <c r="AH362" s="529"/>
      <c r="AI362" s="253"/>
      <c r="AJ362" s="253"/>
      <c r="AK362" s="253"/>
      <c r="AL362" s="253"/>
      <c r="AM362" s="254"/>
      <c r="AN362" s="1114" t="s">
        <v>1178</v>
      </c>
    </row>
    <row r="363" spans="1:40" ht="30" customHeight="1">
      <c r="A363" s="258" t="s">
        <v>868</v>
      </c>
      <c r="B363" s="1063"/>
      <c r="C363" s="342"/>
      <c r="D363" s="316" t="s">
        <v>794</v>
      </c>
      <c r="E363" s="317" t="s">
        <v>4467</v>
      </c>
      <c r="F363" s="316" t="s">
        <v>638</v>
      </c>
      <c r="G363" s="1133">
        <f t="shared" si="331"/>
        <v>0</v>
      </c>
      <c r="H363" s="538"/>
      <c r="I363" s="538"/>
      <c r="J363" s="538"/>
      <c r="K363" s="538"/>
      <c r="L363" s="538"/>
      <c r="M363" s="538"/>
      <c r="N363" s="538"/>
      <c r="O363" s="538"/>
      <c r="P363" s="538"/>
      <c r="Q363" s="538"/>
      <c r="R363" s="538"/>
      <c r="S363" s="538"/>
      <c r="T363" s="538"/>
      <c r="U363" s="539"/>
      <c r="V363" s="539"/>
      <c r="W363" s="539"/>
      <c r="X363" s="539"/>
      <c r="Y363" s="539"/>
      <c r="Z363" s="538"/>
      <c r="AA363" s="538"/>
      <c r="AB363" s="538"/>
      <c r="AC363" s="538"/>
      <c r="AD363" s="538"/>
      <c r="AE363" s="538"/>
      <c r="AF363" s="538"/>
      <c r="AG363" s="538"/>
      <c r="AH363" s="538"/>
      <c r="AI363" s="539"/>
      <c r="AJ363" s="1134"/>
      <c r="AK363" s="1134"/>
      <c r="AL363" s="1134"/>
      <c r="AM363" s="1135"/>
      <c r="AN363" s="1136" t="s">
        <v>4468</v>
      </c>
    </row>
    <row r="364" spans="1:40" ht="30" customHeight="1">
      <c r="A364" s="258" t="s">
        <v>809</v>
      </c>
      <c r="B364" s="1064" t="s">
        <v>817</v>
      </c>
      <c r="C364" s="1137"/>
      <c r="D364" s="1138" t="s">
        <v>795</v>
      </c>
      <c r="E364" s="1139" t="s">
        <v>796</v>
      </c>
      <c r="F364" s="1138" t="s">
        <v>638</v>
      </c>
      <c r="G364" s="820">
        <f t="shared" si="331"/>
        <v>0</v>
      </c>
      <c r="H364" s="540"/>
      <c r="I364" s="540"/>
      <c r="J364" s="540"/>
      <c r="K364" s="540"/>
      <c r="L364" s="540"/>
      <c r="M364" s="540"/>
      <c r="N364" s="540"/>
      <c r="O364" s="540"/>
      <c r="P364" s="540"/>
      <c r="Q364" s="540"/>
      <c r="R364" s="540"/>
      <c r="S364" s="540"/>
      <c r="T364" s="540"/>
      <c r="U364" s="541"/>
      <c r="V364" s="541"/>
      <c r="W364" s="541"/>
      <c r="X364" s="541"/>
      <c r="Y364" s="541"/>
      <c r="Z364" s="540"/>
      <c r="AA364" s="540"/>
      <c r="AB364" s="540"/>
      <c r="AC364" s="540"/>
      <c r="AD364" s="540"/>
      <c r="AE364" s="540"/>
      <c r="AF364" s="540"/>
      <c r="AG364" s="540"/>
      <c r="AH364" s="540"/>
      <c r="AI364" s="541"/>
      <c r="AJ364" s="253"/>
      <c r="AK364" s="253"/>
      <c r="AL364" s="253"/>
      <c r="AM364" s="254"/>
      <c r="AN364" s="1140" t="s">
        <v>1179</v>
      </c>
    </row>
    <row r="365" spans="1:40" ht="30" customHeight="1">
      <c r="A365" s="259"/>
      <c r="B365" s="563"/>
      <c r="C365" s="339"/>
      <c r="D365" s="309" t="s">
        <v>797</v>
      </c>
      <c r="E365" s="308" t="s">
        <v>798</v>
      </c>
      <c r="F365" s="309" t="s">
        <v>638</v>
      </c>
      <c r="G365" s="819">
        <f t="shared" si="331"/>
        <v>0</v>
      </c>
      <c r="H365" s="529"/>
      <c r="I365" s="529"/>
      <c r="J365" s="529"/>
      <c r="K365" s="529"/>
      <c r="L365" s="529"/>
      <c r="M365" s="529"/>
      <c r="N365" s="529"/>
      <c r="O365" s="529"/>
      <c r="P365" s="529"/>
      <c r="Q365" s="529"/>
      <c r="R365" s="529"/>
      <c r="S365" s="529"/>
      <c r="T365" s="529"/>
      <c r="U365" s="253"/>
      <c r="V365" s="253"/>
      <c r="W365" s="253"/>
      <c r="X365" s="253"/>
      <c r="Y365" s="253"/>
      <c r="Z365" s="529"/>
      <c r="AA365" s="529"/>
      <c r="AB365" s="529"/>
      <c r="AC365" s="529"/>
      <c r="AD365" s="529"/>
      <c r="AE365" s="529"/>
      <c r="AF365" s="529"/>
      <c r="AG365" s="529"/>
      <c r="AH365" s="529"/>
      <c r="AI365" s="253"/>
      <c r="AJ365" s="253"/>
      <c r="AK365" s="253"/>
      <c r="AL365" s="253"/>
      <c r="AM365" s="254"/>
      <c r="AN365" s="1141" t="s">
        <v>1180</v>
      </c>
    </row>
    <row r="366" spans="1:40" ht="30" customHeight="1">
      <c r="A366" s="259"/>
      <c r="B366" s="563"/>
      <c r="C366" s="339"/>
      <c r="D366" s="309" t="s">
        <v>799</v>
      </c>
      <c r="E366" s="308" t="s">
        <v>800</v>
      </c>
      <c r="F366" s="309" t="s">
        <v>638</v>
      </c>
      <c r="G366" s="819">
        <f t="shared" si="331"/>
        <v>0</v>
      </c>
      <c r="H366" s="529"/>
      <c r="I366" s="529"/>
      <c r="J366" s="529"/>
      <c r="K366" s="529"/>
      <c r="L366" s="529"/>
      <c r="M366" s="529"/>
      <c r="N366" s="529"/>
      <c r="O366" s="529"/>
      <c r="P366" s="529"/>
      <c r="Q366" s="529"/>
      <c r="R366" s="529"/>
      <c r="S366" s="529"/>
      <c r="T366" s="529"/>
      <c r="U366" s="253"/>
      <c r="V366" s="253"/>
      <c r="W366" s="253"/>
      <c r="X366" s="253"/>
      <c r="Y366" s="253"/>
      <c r="Z366" s="529"/>
      <c r="AA366" s="529"/>
      <c r="AB366" s="529"/>
      <c r="AC366" s="529"/>
      <c r="AD366" s="529"/>
      <c r="AE366" s="529"/>
      <c r="AF366" s="529"/>
      <c r="AG366" s="529"/>
      <c r="AH366" s="529"/>
      <c r="AI366" s="253"/>
      <c r="AJ366" s="253"/>
      <c r="AK366" s="253"/>
      <c r="AL366" s="253"/>
      <c r="AM366" s="254"/>
      <c r="AN366" s="1141" t="s">
        <v>1183</v>
      </c>
    </row>
    <row r="367" spans="1:40" ht="30" customHeight="1">
      <c r="A367" s="259"/>
      <c r="B367" s="563"/>
      <c r="C367" s="339"/>
      <c r="D367" s="309" t="s">
        <v>801</v>
      </c>
      <c r="E367" s="308" t="s">
        <v>802</v>
      </c>
      <c r="F367" s="309" t="s">
        <v>638</v>
      </c>
      <c r="G367" s="819">
        <f t="shared" si="331"/>
        <v>0</v>
      </c>
      <c r="H367" s="529"/>
      <c r="I367" s="529"/>
      <c r="J367" s="529"/>
      <c r="K367" s="529"/>
      <c r="L367" s="529"/>
      <c r="M367" s="529"/>
      <c r="N367" s="529"/>
      <c r="O367" s="529"/>
      <c r="P367" s="529"/>
      <c r="Q367" s="529"/>
      <c r="R367" s="529"/>
      <c r="S367" s="529"/>
      <c r="T367" s="529"/>
      <c r="U367" s="253"/>
      <c r="V367" s="253"/>
      <c r="W367" s="253"/>
      <c r="X367" s="253"/>
      <c r="Y367" s="253"/>
      <c r="Z367" s="529"/>
      <c r="AA367" s="529"/>
      <c r="AB367" s="529"/>
      <c r="AC367" s="529"/>
      <c r="AD367" s="529"/>
      <c r="AE367" s="529"/>
      <c r="AF367" s="529"/>
      <c r="AG367" s="529"/>
      <c r="AH367" s="529"/>
      <c r="AI367" s="253"/>
      <c r="AJ367" s="253"/>
      <c r="AK367" s="253"/>
      <c r="AL367" s="253"/>
      <c r="AM367" s="254"/>
      <c r="AN367" s="1141" t="s">
        <v>1181</v>
      </c>
    </row>
    <row r="368" spans="1:40" ht="30" customHeight="1">
      <c r="A368" s="259"/>
      <c r="B368" s="563"/>
      <c r="C368" s="339"/>
      <c r="D368" s="309" t="s">
        <v>803</v>
      </c>
      <c r="E368" s="308" t="s">
        <v>804</v>
      </c>
      <c r="F368" s="309" t="s">
        <v>638</v>
      </c>
      <c r="G368" s="819">
        <f t="shared" si="331"/>
        <v>0</v>
      </c>
      <c r="H368" s="529"/>
      <c r="I368" s="529"/>
      <c r="J368" s="529"/>
      <c r="K368" s="529"/>
      <c r="L368" s="529"/>
      <c r="M368" s="529"/>
      <c r="N368" s="529"/>
      <c r="O368" s="529"/>
      <c r="P368" s="529"/>
      <c r="Q368" s="529"/>
      <c r="R368" s="529"/>
      <c r="S368" s="529"/>
      <c r="T368" s="529"/>
      <c r="U368" s="253"/>
      <c r="V368" s="253"/>
      <c r="W368" s="253"/>
      <c r="X368" s="253"/>
      <c r="Y368" s="253"/>
      <c r="Z368" s="529"/>
      <c r="AA368" s="529"/>
      <c r="AB368" s="529"/>
      <c r="AC368" s="529"/>
      <c r="AD368" s="529"/>
      <c r="AE368" s="529"/>
      <c r="AF368" s="529"/>
      <c r="AG368" s="529"/>
      <c r="AH368" s="529"/>
      <c r="AI368" s="253"/>
      <c r="AJ368" s="253"/>
      <c r="AK368" s="253"/>
      <c r="AL368" s="253"/>
      <c r="AM368" s="254"/>
      <c r="AN368" s="1141" t="s">
        <v>1182</v>
      </c>
    </row>
    <row r="369" spans="1:40" ht="30" customHeight="1">
      <c r="A369" s="260"/>
      <c r="B369" s="1057"/>
      <c r="C369" s="337"/>
      <c r="D369" s="311" t="s">
        <v>805</v>
      </c>
      <c r="E369" s="312" t="s">
        <v>806</v>
      </c>
      <c r="F369" s="311" t="s">
        <v>638</v>
      </c>
      <c r="G369" s="1142">
        <f t="shared" si="331"/>
        <v>0</v>
      </c>
      <c r="H369" s="1117"/>
      <c r="I369" s="1117"/>
      <c r="J369" s="1117"/>
      <c r="K369" s="1117"/>
      <c r="L369" s="1117"/>
      <c r="M369" s="1117"/>
      <c r="N369" s="1117"/>
      <c r="O369" s="1117"/>
      <c r="P369" s="1117"/>
      <c r="Q369" s="1117"/>
      <c r="R369" s="1117"/>
      <c r="S369" s="1117"/>
      <c r="T369" s="1117"/>
      <c r="U369" s="1118"/>
      <c r="V369" s="1118"/>
      <c r="W369" s="1118"/>
      <c r="X369" s="1118"/>
      <c r="Y369" s="1118"/>
      <c r="Z369" s="1117"/>
      <c r="AA369" s="1117"/>
      <c r="AB369" s="1117"/>
      <c r="AC369" s="1117"/>
      <c r="AD369" s="1117"/>
      <c r="AE369" s="1117"/>
      <c r="AF369" s="1117"/>
      <c r="AG369" s="1117"/>
      <c r="AH369" s="1117"/>
      <c r="AI369" s="1118"/>
      <c r="AJ369" s="1118"/>
      <c r="AK369" s="1118"/>
      <c r="AL369" s="1118"/>
      <c r="AM369" s="1119"/>
      <c r="AN369" s="1143" t="s">
        <v>1184</v>
      </c>
    </row>
    <row r="370" spans="1:40" ht="20" customHeight="1">
      <c r="C370" s="188"/>
      <c r="E370" s="188"/>
      <c r="AK370" s="190"/>
      <c r="AM370" s="190"/>
      <c r="AN370" s="187"/>
    </row>
    <row r="371" spans="1:40" ht="20" customHeight="1">
      <c r="C371" s="188"/>
      <c r="E371" s="188"/>
      <c r="AK371" s="190"/>
      <c r="AM371" s="190"/>
      <c r="AN371" s="187"/>
    </row>
    <row r="372" spans="1:40" ht="20" customHeight="1">
      <c r="C372" s="188"/>
      <c r="E372" s="188"/>
      <c r="AN372" s="187"/>
    </row>
    <row r="373" spans="1:40" ht="20" customHeight="1">
      <c r="C373" s="188"/>
      <c r="E373" s="188"/>
      <c r="AI373" s="261"/>
      <c r="AN373" s="187"/>
    </row>
    <row r="374" spans="1:40" ht="20" customHeight="1">
      <c r="C374" s="188"/>
      <c r="E374" s="188"/>
      <c r="AN374" s="187"/>
    </row>
    <row r="375" spans="1:40" ht="20" customHeight="1">
      <c r="C375" s="188"/>
      <c r="E375" s="188"/>
      <c r="AN375" s="187"/>
    </row>
    <row r="376" spans="1:40" ht="20" customHeight="1">
      <c r="C376" s="188"/>
      <c r="E376" s="188"/>
      <c r="AN376" s="187"/>
    </row>
    <row r="377" spans="1:40" ht="20" customHeight="1">
      <c r="C377" s="188"/>
      <c r="E377" s="188"/>
      <c r="AN377" s="187"/>
    </row>
    <row r="378" spans="1:40" ht="20" customHeight="1">
      <c r="C378" s="188"/>
      <c r="E378" s="188"/>
      <c r="AN378" s="187"/>
    </row>
    <row r="379" spans="1:40" ht="20" customHeight="1">
      <c r="C379" s="188"/>
      <c r="E379" s="188"/>
      <c r="AN379" s="187"/>
    </row>
    <row r="380" spans="1:40" ht="20" customHeight="1">
      <c r="C380" s="188"/>
      <c r="E380" s="188"/>
      <c r="AN380" s="187"/>
    </row>
    <row r="381" spans="1:40" ht="20" customHeight="1">
      <c r="C381" s="188"/>
      <c r="E381" s="188"/>
      <c r="AN381" s="187"/>
    </row>
    <row r="382" spans="1:40" ht="20" customHeight="1">
      <c r="C382" s="188"/>
      <c r="E382" s="188"/>
      <c r="AN382" s="187"/>
    </row>
    <row r="383" spans="1:40" ht="20" customHeight="1">
      <c r="C383" s="188"/>
      <c r="E383" s="188"/>
      <c r="AN383" s="187"/>
    </row>
    <row r="384" spans="1:40" ht="20" customHeight="1">
      <c r="C384" s="188"/>
      <c r="E384" s="188"/>
      <c r="AN384" s="187"/>
    </row>
    <row r="385" spans="3:40" ht="20" customHeight="1">
      <c r="C385" s="188"/>
      <c r="E385" s="188"/>
      <c r="AN385" s="187"/>
    </row>
    <row r="386" spans="3:40" ht="20" customHeight="1">
      <c r="C386" s="188"/>
      <c r="E386" s="188"/>
      <c r="AN386" s="187"/>
    </row>
    <row r="387" spans="3:40" ht="20" customHeight="1">
      <c r="C387" s="188"/>
      <c r="E387" s="188"/>
      <c r="AN387" s="187"/>
    </row>
    <row r="388" spans="3:40" ht="20" customHeight="1">
      <c r="C388" s="188"/>
      <c r="E388" s="188"/>
      <c r="AN388" s="187"/>
    </row>
    <row r="389" spans="3:40" ht="20" customHeight="1">
      <c r="C389" s="188"/>
      <c r="E389" s="188"/>
      <c r="AN389" s="187"/>
    </row>
    <row r="390" spans="3:40" ht="20" customHeight="1">
      <c r="C390" s="188"/>
      <c r="E390" s="188"/>
      <c r="AN390" s="187"/>
    </row>
    <row r="391" spans="3:40" ht="20" customHeight="1">
      <c r="C391" s="188"/>
      <c r="E391" s="188"/>
      <c r="AN391" s="187"/>
    </row>
    <row r="392" spans="3:40" ht="20" customHeight="1">
      <c r="C392" s="188"/>
      <c r="E392" s="188"/>
      <c r="AN392" s="187"/>
    </row>
    <row r="393" spans="3:40" ht="20" customHeight="1">
      <c r="C393" s="188"/>
      <c r="E393" s="188"/>
      <c r="AN393" s="187"/>
    </row>
    <row r="394" spans="3:40" ht="20" customHeight="1">
      <c r="C394" s="188"/>
      <c r="E394" s="188"/>
      <c r="AN394" s="187"/>
    </row>
    <row r="395" spans="3:40" ht="20" customHeight="1">
      <c r="C395" s="188"/>
      <c r="E395" s="188"/>
      <c r="AN395" s="187"/>
    </row>
    <row r="396" spans="3:40" ht="20" customHeight="1">
      <c r="C396" s="188"/>
      <c r="E396" s="188"/>
      <c r="AN396" s="187"/>
    </row>
    <row r="397" spans="3:40" ht="20" customHeight="1">
      <c r="C397" s="188"/>
      <c r="E397" s="188"/>
      <c r="AN397" s="187"/>
    </row>
    <row r="398" spans="3:40" ht="20" customHeight="1">
      <c r="C398" s="188"/>
      <c r="E398" s="188"/>
      <c r="AN398" s="187"/>
    </row>
    <row r="399" spans="3:40" ht="20" customHeight="1">
      <c r="C399" s="188"/>
      <c r="E399" s="188"/>
      <c r="AN399" s="187"/>
    </row>
    <row r="400" spans="3:40" ht="20" customHeight="1">
      <c r="C400" s="188"/>
      <c r="E400" s="188"/>
      <c r="AN400" s="187"/>
    </row>
    <row r="401" spans="3:40" ht="20" customHeight="1">
      <c r="C401" s="188"/>
      <c r="E401" s="188"/>
      <c r="AN401" s="187"/>
    </row>
    <row r="402" spans="3:40" ht="20" customHeight="1">
      <c r="C402" s="188"/>
      <c r="E402" s="188"/>
      <c r="AN402" s="187"/>
    </row>
    <row r="403" spans="3:40" ht="20" customHeight="1">
      <c r="C403" s="188"/>
      <c r="E403" s="188"/>
      <c r="AN403" s="187"/>
    </row>
    <row r="404" spans="3:40" ht="20" customHeight="1">
      <c r="C404" s="188"/>
      <c r="E404" s="188"/>
      <c r="AN404" s="187"/>
    </row>
    <row r="405" spans="3:40" ht="20" customHeight="1">
      <c r="C405" s="188"/>
      <c r="E405" s="188"/>
      <c r="AN405" s="187"/>
    </row>
    <row r="406" spans="3:40" ht="20" customHeight="1">
      <c r="C406" s="188"/>
      <c r="E406" s="188"/>
      <c r="AN406" s="187"/>
    </row>
    <row r="407" spans="3:40" ht="20" customHeight="1">
      <c r="C407" s="188"/>
      <c r="E407" s="188"/>
      <c r="AN407" s="187"/>
    </row>
    <row r="408" spans="3:40" ht="20" customHeight="1">
      <c r="C408" s="188"/>
      <c r="E408" s="188"/>
      <c r="AN408" s="187"/>
    </row>
    <row r="409" spans="3:40" ht="20" customHeight="1">
      <c r="C409" s="188"/>
      <c r="E409" s="188"/>
      <c r="AN409" s="187"/>
    </row>
    <row r="410" spans="3:40" ht="20" customHeight="1">
      <c r="C410" s="188"/>
      <c r="E410" s="188"/>
      <c r="AN410" s="187"/>
    </row>
    <row r="411" spans="3:40" ht="20" customHeight="1">
      <c r="C411" s="188"/>
      <c r="E411" s="188"/>
      <c r="AN411" s="187"/>
    </row>
    <row r="412" spans="3:40" ht="20" customHeight="1">
      <c r="C412" s="188"/>
      <c r="E412" s="188"/>
      <c r="AN412" s="187"/>
    </row>
    <row r="413" spans="3:40" ht="20" customHeight="1">
      <c r="C413" s="188"/>
      <c r="E413" s="188"/>
      <c r="AN413" s="187"/>
    </row>
    <row r="414" spans="3:40" ht="20" customHeight="1">
      <c r="C414" s="188"/>
      <c r="E414" s="188"/>
      <c r="AN414" s="187"/>
    </row>
    <row r="415" spans="3:40" ht="20" customHeight="1">
      <c r="C415" s="188"/>
      <c r="E415" s="188"/>
      <c r="AN415" s="187"/>
    </row>
    <row r="416" spans="3:40" ht="20" customHeight="1">
      <c r="C416" s="188"/>
      <c r="E416" s="188"/>
      <c r="AN416" s="187"/>
    </row>
    <row r="417" spans="3:40" ht="20" customHeight="1">
      <c r="C417" s="188"/>
      <c r="E417" s="188"/>
      <c r="AN417" s="187"/>
    </row>
    <row r="418" spans="3:40" ht="20" customHeight="1">
      <c r="C418" s="188"/>
      <c r="E418" s="188"/>
      <c r="AN418" s="187"/>
    </row>
    <row r="419" spans="3:40" ht="20" customHeight="1">
      <c r="C419" s="188"/>
      <c r="E419" s="188"/>
      <c r="AN419" s="187"/>
    </row>
    <row r="420" spans="3:40" ht="20" customHeight="1">
      <c r="C420" s="188"/>
      <c r="E420" s="188"/>
      <c r="AN420" s="187"/>
    </row>
    <row r="421" spans="3:40" ht="20" customHeight="1">
      <c r="C421" s="188"/>
      <c r="E421" s="188"/>
      <c r="AN421" s="187"/>
    </row>
    <row r="422" spans="3:40" ht="20" customHeight="1">
      <c r="C422" s="188"/>
      <c r="E422" s="188"/>
      <c r="AN422" s="187"/>
    </row>
    <row r="423" spans="3:40" ht="20" customHeight="1">
      <c r="C423" s="188"/>
      <c r="E423" s="188"/>
      <c r="AN423" s="187"/>
    </row>
    <row r="424" spans="3:40" ht="20" customHeight="1">
      <c r="C424" s="188"/>
      <c r="E424" s="188"/>
      <c r="AN424" s="187"/>
    </row>
    <row r="425" spans="3:40" ht="20" customHeight="1">
      <c r="C425" s="188"/>
      <c r="E425" s="188"/>
      <c r="AN425" s="187"/>
    </row>
    <row r="426" spans="3:40" ht="20" customHeight="1">
      <c r="C426" s="188"/>
      <c r="E426" s="188"/>
      <c r="AN426" s="187"/>
    </row>
    <row r="427" spans="3:40" ht="20" customHeight="1">
      <c r="C427" s="188"/>
      <c r="E427" s="188"/>
      <c r="AN427" s="187"/>
    </row>
    <row r="428" spans="3:40" ht="20" customHeight="1">
      <c r="C428" s="188"/>
      <c r="E428" s="188"/>
      <c r="AN428" s="187"/>
    </row>
    <row r="429" spans="3:40" ht="20" customHeight="1">
      <c r="C429" s="188"/>
      <c r="E429" s="188"/>
      <c r="AN429" s="187"/>
    </row>
    <row r="430" spans="3:40" ht="20" customHeight="1">
      <c r="C430" s="188"/>
      <c r="E430" s="188"/>
      <c r="AN430" s="187"/>
    </row>
    <row r="431" spans="3:40" ht="20" customHeight="1">
      <c r="C431" s="188"/>
      <c r="E431" s="188"/>
      <c r="AN431" s="187"/>
    </row>
    <row r="432" spans="3:40" ht="20" customHeight="1">
      <c r="C432" s="188"/>
      <c r="E432" s="188"/>
      <c r="AN432" s="187"/>
    </row>
    <row r="433" spans="3:40" ht="20" customHeight="1">
      <c r="C433" s="188"/>
      <c r="E433" s="188"/>
      <c r="AN433" s="187"/>
    </row>
    <row r="434" spans="3:40" ht="20" customHeight="1">
      <c r="C434" s="188"/>
      <c r="E434" s="188"/>
      <c r="AN434" s="187"/>
    </row>
    <row r="435" spans="3:40" ht="20" customHeight="1">
      <c r="C435" s="188"/>
      <c r="E435" s="188"/>
      <c r="AN435" s="187"/>
    </row>
    <row r="436" spans="3:40" ht="20" customHeight="1">
      <c r="C436" s="188"/>
      <c r="E436" s="188"/>
      <c r="AN436" s="187"/>
    </row>
    <row r="437" spans="3:40" ht="20" customHeight="1">
      <c r="C437" s="188"/>
      <c r="E437" s="188"/>
      <c r="AN437" s="187"/>
    </row>
    <row r="438" spans="3:40" ht="20" customHeight="1">
      <c r="C438" s="188"/>
      <c r="E438" s="188"/>
      <c r="AN438" s="187"/>
    </row>
    <row r="439" spans="3:40" ht="20" customHeight="1">
      <c r="C439" s="188"/>
      <c r="E439" s="188"/>
      <c r="AN439" s="187"/>
    </row>
    <row r="440" spans="3:40" ht="20" customHeight="1">
      <c r="C440" s="188"/>
      <c r="E440" s="188"/>
      <c r="AN440" s="187"/>
    </row>
    <row r="441" spans="3:40" ht="20" customHeight="1">
      <c r="C441" s="188"/>
      <c r="E441" s="188"/>
      <c r="AN441" s="187"/>
    </row>
    <row r="442" spans="3:40" ht="20" customHeight="1">
      <c r="C442" s="188"/>
      <c r="E442" s="188"/>
      <c r="AN442" s="187"/>
    </row>
    <row r="443" spans="3:40" ht="20" customHeight="1">
      <c r="C443" s="188"/>
      <c r="E443" s="188"/>
      <c r="AN443" s="187"/>
    </row>
    <row r="444" spans="3:40" ht="20" customHeight="1">
      <c r="C444" s="188"/>
      <c r="E444" s="188"/>
      <c r="AN444" s="187"/>
    </row>
    <row r="445" spans="3:40" ht="20" customHeight="1">
      <c r="C445" s="188"/>
      <c r="E445" s="188"/>
      <c r="AN445" s="187"/>
    </row>
    <row r="446" spans="3:40" ht="20" customHeight="1">
      <c r="C446" s="188"/>
      <c r="E446" s="188"/>
      <c r="AN446" s="187"/>
    </row>
    <row r="447" spans="3:40" ht="20" customHeight="1">
      <c r="C447" s="188"/>
      <c r="E447" s="188"/>
      <c r="AN447" s="187"/>
    </row>
    <row r="448" spans="3:40" ht="20" customHeight="1">
      <c r="C448" s="188"/>
      <c r="E448" s="188"/>
      <c r="AN448" s="187"/>
    </row>
    <row r="449" spans="3:40" ht="20" customHeight="1">
      <c r="C449" s="188"/>
      <c r="E449" s="188"/>
      <c r="AN449" s="187"/>
    </row>
    <row r="450" spans="3:40" ht="20" customHeight="1">
      <c r="C450" s="188"/>
      <c r="E450" s="188"/>
      <c r="AN450" s="187"/>
    </row>
    <row r="451" spans="3:40" ht="20" customHeight="1">
      <c r="C451" s="188"/>
      <c r="E451" s="188"/>
      <c r="AN451" s="187"/>
    </row>
    <row r="452" spans="3:40" ht="20" customHeight="1">
      <c r="C452" s="188"/>
      <c r="E452" s="188"/>
      <c r="AN452" s="187"/>
    </row>
    <row r="453" spans="3:40" ht="20" customHeight="1">
      <c r="C453" s="188"/>
      <c r="E453" s="188"/>
      <c r="AN453" s="187"/>
    </row>
    <row r="454" spans="3:40" ht="20" customHeight="1">
      <c r="C454" s="188"/>
      <c r="E454" s="188"/>
      <c r="AN454" s="187"/>
    </row>
    <row r="455" spans="3:40" ht="20" customHeight="1">
      <c r="C455" s="188"/>
      <c r="E455" s="188"/>
      <c r="AN455" s="187"/>
    </row>
    <row r="456" spans="3:40" ht="20" customHeight="1">
      <c r="C456" s="188"/>
      <c r="E456" s="188"/>
      <c r="AN456" s="187"/>
    </row>
    <row r="457" spans="3:40" ht="20" customHeight="1">
      <c r="C457" s="188"/>
      <c r="E457" s="188"/>
      <c r="AN457" s="187"/>
    </row>
    <row r="458" spans="3:40" ht="20" customHeight="1">
      <c r="C458" s="188"/>
      <c r="E458" s="188"/>
      <c r="AN458" s="187"/>
    </row>
    <row r="459" spans="3:40" ht="20" customHeight="1">
      <c r="C459" s="188"/>
      <c r="E459" s="188"/>
      <c r="AN459" s="187"/>
    </row>
    <row r="460" spans="3:40" ht="20" customHeight="1">
      <c r="C460" s="188"/>
      <c r="E460" s="188"/>
      <c r="AN460" s="187"/>
    </row>
    <row r="461" spans="3:40" ht="20" customHeight="1">
      <c r="C461" s="188"/>
      <c r="E461" s="188"/>
      <c r="AN461" s="187"/>
    </row>
    <row r="462" spans="3:40" ht="20" customHeight="1">
      <c r="C462" s="188"/>
      <c r="E462" s="188"/>
      <c r="AN462" s="187"/>
    </row>
    <row r="463" spans="3:40" ht="20" customHeight="1">
      <c r="C463" s="188"/>
      <c r="E463" s="188"/>
      <c r="AN463" s="187"/>
    </row>
    <row r="464" spans="3:40" ht="20" customHeight="1">
      <c r="C464" s="188"/>
      <c r="E464" s="188"/>
      <c r="AN464" s="187"/>
    </row>
    <row r="465" spans="3:40" ht="20" customHeight="1">
      <c r="C465" s="188"/>
      <c r="E465" s="188"/>
      <c r="AN465" s="187"/>
    </row>
    <row r="466" spans="3:40" ht="20" customHeight="1">
      <c r="C466" s="188"/>
      <c r="E466" s="188"/>
      <c r="AN466" s="187"/>
    </row>
    <row r="467" spans="3:40" ht="20" customHeight="1">
      <c r="C467" s="188"/>
      <c r="E467" s="188"/>
      <c r="AN467" s="187"/>
    </row>
    <row r="468" spans="3:40" ht="20" customHeight="1">
      <c r="C468" s="188"/>
      <c r="E468" s="188"/>
      <c r="AN468" s="187"/>
    </row>
    <row r="469" spans="3:40" ht="20" customHeight="1">
      <c r="C469" s="188"/>
      <c r="E469" s="188"/>
      <c r="AN469" s="187"/>
    </row>
    <row r="470" spans="3:40" ht="20" customHeight="1">
      <c r="C470" s="188"/>
      <c r="E470" s="188"/>
      <c r="AN470" s="187"/>
    </row>
    <row r="471" spans="3:40" ht="20" customHeight="1">
      <c r="C471" s="188"/>
      <c r="E471" s="188"/>
      <c r="AN471" s="187"/>
    </row>
    <row r="472" spans="3:40" ht="20" customHeight="1">
      <c r="C472" s="188"/>
      <c r="E472" s="188"/>
      <c r="AN472" s="187"/>
    </row>
    <row r="473" spans="3:40" ht="20" customHeight="1">
      <c r="C473" s="188"/>
      <c r="E473" s="188"/>
      <c r="AN473" s="187"/>
    </row>
    <row r="474" spans="3:40" ht="20" customHeight="1">
      <c r="C474" s="188"/>
      <c r="E474" s="188"/>
      <c r="AN474" s="187"/>
    </row>
    <row r="475" spans="3:40" ht="20" customHeight="1">
      <c r="C475" s="188"/>
      <c r="E475" s="188"/>
      <c r="AN475" s="187"/>
    </row>
    <row r="476" spans="3:40" ht="20" customHeight="1">
      <c r="C476" s="188"/>
      <c r="E476" s="188"/>
      <c r="AN476" s="187"/>
    </row>
    <row r="477" spans="3:40" ht="20" customHeight="1">
      <c r="C477" s="188"/>
      <c r="E477" s="188"/>
      <c r="AN477" s="187"/>
    </row>
    <row r="478" spans="3:40" ht="20" customHeight="1">
      <c r="C478" s="188"/>
      <c r="E478" s="188"/>
      <c r="AN478" s="187"/>
    </row>
    <row r="479" spans="3:40" ht="20" customHeight="1">
      <c r="C479" s="188"/>
      <c r="E479" s="188"/>
      <c r="AN479" s="187"/>
    </row>
    <row r="480" spans="3:40" ht="20" customHeight="1">
      <c r="C480" s="188"/>
      <c r="E480" s="188"/>
      <c r="AN480" s="187"/>
    </row>
    <row r="481" spans="3:40" ht="20" customHeight="1">
      <c r="C481" s="188"/>
      <c r="E481" s="188"/>
      <c r="AN481" s="187"/>
    </row>
    <row r="482" spans="3:40" ht="20" customHeight="1">
      <c r="C482" s="188"/>
      <c r="E482" s="188"/>
      <c r="AN482" s="187"/>
    </row>
    <row r="483" spans="3:40" ht="20" customHeight="1">
      <c r="C483" s="188"/>
      <c r="E483" s="188"/>
      <c r="AN483" s="187"/>
    </row>
    <row r="484" spans="3:40" ht="20" customHeight="1">
      <c r="C484" s="188"/>
      <c r="E484" s="188"/>
      <c r="AN484" s="187"/>
    </row>
    <row r="485" spans="3:40" ht="20" customHeight="1">
      <c r="C485" s="188"/>
      <c r="E485" s="188"/>
      <c r="AN485" s="187"/>
    </row>
    <row r="486" spans="3:40" ht="20" customHeight="1">
      <c r="C486" s="188"/>
      <c r="E486" s="188"/>
      <c r="AN486" s="187"/>
    </row>
    <row r="487" spans="3:40" ht="20" customHeight="1">
      <c r="C487" s="188"/>
      <c r="E487" s="188"/>
      <c r="AN487" s="187"/>
    </row>
    <row r="488" spans="3:40" ht="20" customHeight="1">
      <c r="C488" s="188"/>
      <c r="E488" s="188"/>
      <c r="AN488" s="187"/>
    </row>
    <row r="489" spans="3:40" ht="20" customHeight="1">
      <c r="C489" s="188"/>
      <c r="E489" s="188"/>
      <c r="AN489" s="187"/>
    </row>
    <row r="490" spans="3:40" ht="20" customHeight="1">
      <c r="C490" s="188"/>
      <c r="E490" s="188"/>
      <c r="AN490" s="187"/>
    </row>
    <row r="491" spans="3:40" ht="20" customHeight="1">
      <c r="C491" s="188"/>
      <c r="E491" s="188"/>
      <c r="AN491" s="187"/>
    </row>
    <row r="492" spans="3:40" ht="20" customHeight="1">
      <c r="C492" s="188"/>
      <c r="E492" s="188"/>
      <c r="AN492" s="187"/>
    </row>
    <row r="493" spans="3:40" ht="20" customHeight="1">
      <c r="C493" s="188"/>
      <c r="E493" s="188"/>
      <c r="AN493" s="187"/>
    </row>
    <row r="494" spans="3:40" ht="20" customHeight="1">
      <c r="C494" s="188"/>
      <c r="E494" s="188"/>
      <c r="AN494" s="187"/>
    </row>
    <row r="495" spans="3:40" ht="20" customHeight="1">
      <c r="C495" s="188"/>
      <c r="E495" s="188"/>
      <c r="AN495" s="187"/>
    </row>
    <row r="496" spans="3:40" ht="20" customHeight="1">
      <c r="C496" s="188"/>
      <c r="E496" s="188"/>
      <c r="AN496" s="187"/>
    </row>
    <row r="497" spans="3:40" ht="20" customHeight="1">
      <c r="C497" s="188"/>
      <c r="E497" s="188"/>
      <c r="AN497" s="187"/>
    </row>
    <row r="498" spans="3:40" ht="20" customHeight="1">
      <c r="C498" s="188"/>
      <c r="E498" s="188"/>
      <c r="AN498" s="187"/>
    </row>
    <row r="499" spans="3:40" ht="20" customHeight="1">
      <c r="C499" s="188"/>
      <c r="E499" s="188"/>
      <c r="AN499" s="187"/>
    </row>
    <row r="500" spans="3:40" ht="20" customHeight="1">
      <c r="C500" s="188"/>
      <c r="E500" s="188"/>
      <c r="AN500" s="187"/>
    </row>
    <row r="501" spans="3:40" ht="20" customHeight="1">
      <c r="C501" s="188"/>
      <c r="E501" s="188"/>
      <c r="AN501" s="187"/>
    </row>
    <row r="502" spans="3:40" ht="20" customHeight="1">
      <c r="C502" s="188"/>
      <c r="E502" s="188"/>
      <c r="AN502" s="187"/>
    </row>
    <row r="503" spans="3:40" ht="20" customHeight="1">
      <c r="C503" s="188"/>
      <c r="E503" s="188"/>
      <c r="AN503" s="187"/>
    </row>
    <row r="504" spans="3:40" ht="20" customHeight="1">
      <c r="C504" s="188"/>
      <c r="E504" s="188"/>
      <c r="AN504" s="187"/>
    </row>
    <row r="505" spans="3:40" ht="20" customHeight="1">
      <c r="C505" s="188"/>
      <c r="E505" s="188"/>
      <c r="AN505" s="187"/>
    </row>
    <row r="506" spans="3:40" ht="20" customHeight="1">
      <c r="C506" s="188"/>
      <c r="E506" s="188"/>
      <c r="AN506" s="187"/>
    </row>
    <row r="507" spans="3:40" ht="20" customHeight="1">
      <c r="C507" s="188"/>
      <c r="E507" s="188"/>
      <c r="AN507" s="187"/>
    </row>
    <row r="508" spans="3:40" ht="20" customHeight="1">
      <c r="C508" s="188"/>
      <c r="E508" s="188"/>
      <c r="AN508" s="187"/>
    </row>
    <row r="509" spans="3:40" ht="20" customHeight="1">
      <c r="C509" s="188"/>
      <c r="E509" s="188"/>
      <c r="AN509" s="187"/>
    </row>
    <row r="510" spans="3:40" ht="20" customHeight="1">
      <c r="C510" s="188"/>
      <c r="E510" s="188"/>
      <c r="AN510" s="187"/>
    </row>
    <row r="511" spans="3:40" ht="20" customHeight="1">
      <c r="C511" s="188"/>
      <c r="E511" s="188"/>
      <c r="AN511" s="187"/>
    </row>
    <row r="512" spans="3:40" ht="20" customHeight="1">
      <c r="C512" s="188"/>
      <c r="E512" s="188"/>
      <c r="AN512" s="187"/>
    </row>
    <row r="513" spans="3:40" ht="20" customHeight="1">
      <c r="C513" s="188"/>
      <c r="E513" s="188"/>
      <c r="AN513" s="187"/>
    </row>
    <row r="514" spans="3:40" ht="20" customHeight="1">
      <c r="C514" s="188"/>
      <c r="E514" s="188"/>
      <c r="AN514" s="187"/>
    </row>
    <row r="515" spans="3:40" ht="20" customHeight="1">
      <c r="C515" s="188"/>
      <c r="E515" s="188"/>
      <c r="AN515" s="187"/>
    </row>
    <row r="516" spans="3:40" ht="20" customHeight="1">
      <c r="C516" s="188"/>
      <c r="E516" s="188"/>
      <c r="AN516" s="187"/>
    </row>
    <row r="517" spans="3:40" ht="20" customHeight="1">
      <c r="C517" s="188"/>
      <c r="E517" s="188"/>
      <c r="AN517" s="187"/>
    </row>
    <row r="518" spans="3:40" ht="20" customHeight="1">
      <c r="C518" s="188"/>
      <c r="E518" s="188"/>
      <c r="AN518" s="187"/>
    </row>
    <row r="519" spans="3:40" ht="20" customHeight="1">
      <c r="C519" s="188"/>
      <c r="E519" s="188"/>
      <c r="AN519" s="187"/>
    </row>
    <row r="520" spans="3:40" ht="20" customHeight="1">
      <c r="C520" s="188"/>
      <c r="E520" s="188"/>
      <c r="AN520" s="187"/>
    </row>
    <row r="521" spans="3:40" ht="20" customHeight="1">
      <c r="C521" s="188"/>
      <c r="E521" s="188"/>
      <c r="AN521" s="187"/>
    </row>
    <row r="522" spans="3:40" ht="20" customHeight="1">
      <c r="C522" s="188"/>
      <c r="E522" s="188"/>
      <c r="AN522" s="187"/>
    </row>
    <row r="523" spans="3:40" ht="20" customHeight="1">
      <c r="C523" s="188"/>
      <c r="E523" s="188"/>
      <c r="AN523" s="187"/>
    </row>
    <row r="524" spans="3:40" ht="20" customHeight="1">
      <c r="C524" s="188"/>
      <c r="E524" s="188"/>
      <c r="AN524" s="187"/>
    </row>
    <row r="525" spans="3:40" ht="20" customHeight="1">
      <c r="C525" s="188"/>
      <c r="E525" s="188"/>
      <c r="AN525" s="187"/>
    </row>
    <row r="526" spans="3:40" ht="20" customHeight="1">
      <c r="C526" s="188"/>
      <c r="E526" s="188"/>
      <c r="AN526" s="187"/>
    </row>
    <row r="527" spans="3:40" ht="20" customHeight="1">
      <c r="C527" s="188"/>
      <c r="E527" s="188"/>
      <c r="AN527" s="187"/>
    </row>
    <row r="528" spans="3:40" ht="20" customHeight="1">
      <c r="C528" s="188"/>
      <c r="E528" s="188"/>
      <c r="AN528" s="187"/>
    </row>
    <row r="529" spans="3:40" ht="20" customHeight="1">
      <c r="C529" s="188"/>
      <c r="E529" s="188"/>
      <c r="AN529" s="187"/>
    </row>
    <row r="530" spans="3:40" ht="20" customHeight="1">
      <c r="C530" s="188"/>
      <c r="E530" s="188"/>
      <c r="AN530" s="187"/>
    </row>
    <row r="531" spans="3:40" ht="20" customHeight="1">
      <c r="C531" s="188"/>
      <c r="E531" s="188"/>
      <c r="AN531" s="187"/>
    </row>
    <row r="532" spans="3:40" ht="20" customHeight="1">
      <c r="C532" s="188"/>
      <c r="E532" s="188"/>
      <c r="AN532" s="187"/>
    </row>
    <row r="533" spans="3:40" ht="20" customHeight="1">
      <c r="C533" s="188"/>
      <c r="E533" s="188"/>
      <c r="AN533" s="187"/>
    </row>
    <row r="534" spans="3:40" ht="20" customHeight="1">
      <c r="C534" s="188"/>
      <c r="E534" s="188"/>
      <c r="AN534" s="187"/>
    </row>
    <row r="535" spans="3:40" ht="20" customHeight="1">
      <c r="C535" s="188"/>
      <c r="E535" s="188"/>
      <c r="AN535" s="187"/>
    </row>
    <row r="536" spans="3:40" ht="20" customHeight="1">
      <c r="C536" s="188"/>
      <c r="E536" s="188"/>
      <c r="AN536" s="187"/>
    </row>
    <row r="537" spans="3:40" ht="20" customHeight="1">
      <c r="C537" s="188"/>
      <c r="E537" s="188"/>
      <c r="AN537" s="187"/>
    </row>
    <row r="538" spans="3:40" ht="20" customHeight="1">
      <c r="C538" s="188"/>
      <c r="E538" s="188"/>
      <c r="AN538" s="187"/>
    </row>
    <row r="539" spans="3:40" ht="20" customHeight="1">
      <c r="C539" s="188"/>
      <c r="E539" s="188"/>
      <c r="AN539" s="187"/>
    </row>
    <row r="540" spans="3:40" ht="20" customHeight="1">
      <c r="C540" s="188"/>
      <c r="E540" s="188"/>
      <c r="AN540" s="187"/>
    </row>
    <row r="541" spans="3:40" ht="20" customHeight="1">
      <c r="C541" s="188"/>
      <c r="E541" s="188"/>
      <c r="AN541" s="187"/>
    </row>
    <row r="542" spans="3:40" ht="20" customHeight="1">
      <c r="C542" s="188"/>
      <c r="E542" s="188"/>
      <c r="AN542" s="187"/>
    </row>
    <row r="543" spans="3:40" ht="20" customHeight="1">
      <c r="C543" s="188"/>
      <c r="E543" s="188"/>
      <c r="AN543" s="187"/>
    </row>
    <row r="544" spans="3:40" ht="20" customHeight="1">
      <c r="C544" s="188"/>
      <c r="E544" s="188"/>
      <c r="AN544" s="187"/>
    </row>
    <row r="545" spans="3:40" ht="20" customHeight="1">
      <c r="C545" s="188"/>
      <c r="E545" s="188"/>
      <c r="AN545" s="187"/>
    </row>
    <row r="546" spans="3:40" ht="20" customHeight="1">
      <c r="C546" s="188"/>
      <c r="E546" s="188"/>
      <c r="AN546" s="187"/>
    </row>
    <row r="547" spans="3:40" ht="20" customHeight="1">
      <c r="C547" s="188"/>
      <c r="E547" s="188"/>
      <c r="AN547" s="187"/>
    </row>
    <row r="548" spans="3:40" ht="20" customHeight="1">
      <c r="C548" s="188"/>
      <c r="E548" s="188"/>
      <c r="AN548" s="187"/>
    </row>
    <row r="549" spans="3:40" ht="20" customHeight="1">
      <c r="C549" s="188"/>
      <c r="E549" s="188"/>
      <c r="AN549" s="187"/>
    </row>
    <row r="550" spans="3:40" ht="20" customHeight="1">
      <c r="C550" s="188"/>
      <c r="E550" s="188"/>
      <c r="AN550" s="187"/>
    </row>
    <row r="551" spans="3:40" ht="20" customHeight="1">
      <c r="C551" s="188"/>
      <c r="E551" s="188"/>
      <c r="AN551" s="187"/>
    </row>
    <row r="552" spans="3:40" ht="20" customHeight="1">
      <c r="C552" s="188"/>
      <c r="E552" s="188"/>
      <c r="AN552" s="187"/>
    </row>
    <row r="553" spans="3:40" ht="20" customHeight="1">
      <c r="C553" s="188"/>
      <c r="E553" s="188"/>
      <c r="AN553" s="187"/>
    </row>
    <row r="554" spans="3:40" ht="20" customHeight="1">
      <c r="C554" s="188"/>
      <c r="E554" s="188"/>
      <c r="AN554" s="187"/>
    </row>
    <row r="555" spans="3:40" ht="20" customHeight="1">
      <c r="C555" s="188"/>
      <c r="E555" s="188"/>
      <c r="AN555" s="187"/>
    </row>
    <row r="556" spans="3:40" ht="20" customHeight="1">
      <c r="C556" s="188"/>
      <c r="E556" s="188"/>
      <c r="AN556" s="187"/>
    </row>
    <row r="557" spans="3:40" ht="20" customHeight="1">
      <c r="C557" s="188"/>
      <c r="E557" s="188"/>
      <c r="AN557" s="187"/>
    </row>
    <row r="558" spans="3:40" ht="20" customHeight="1">
      <c r="C558" s="188"/>
      <c r="E558" s="188"/>
      <c r="AN558" s="187"/>
    </row>
    <row r="559" spans="3:40" ht="20" customHeight="1">
      <c r="C559" s="188"/>
      <c r="E559" s="188"/>
      <c r="AN559" s="187"/>
    </row>
    <row r="560" spans="3:40" ht="20" customHeight="1">
      <c r="C560" s="188"/>
      <c r="E560" s="188"/>
      <c r="AN560" s="187"/>
    </row>
    <row r="561" spans="3:40" ht="20" customHeight="1">
      <c r="C561" s="188"/>
      <c r="E561" s="188"/>
      <c r="AN561" s="187"/>
    </row>
    <row r="562" spans="3:40" ht="20" customHeight="1">
      <c r="C562" s="188"/>
      <c r="E562" s="188"/>
      <c r="AN562" s="187"/>
    </row>
    <row r="563" spans="3:40" ht="20" customHeight="1">
      <c r="C563" s="188"/>
      <c r="E563" s="188"/>
      <c r="AN563" s="187"/>
    </row>
    <row r="564" spans="3:40" ht="20" customHeight="1">
      <c r="C564" s="188"/>
      <c r="E564" s="188"/>
      <c r="AN564" s="187"/>
    </row>
    <row r="565" spans="3:40" ht="20" customHeight="1">
      <c r="C565" s="188"/>
      <c r="E565" s="188"/>
      <c r="AN565" s="187"/>
    </row>
    <row r="566" spans="3:40" ht="20" customHeight="1">
      <c r="C566" s="188"/>
      <c r="E566" s="188"/>
      <c r="AN566" s="187"/>
    </row>
    <row r="567" spans="3:40" ht="20" customHeight="1">
      <c r="C567" s="188"/>
      <c r="E567" s="188"/>
      <c r="AN567" s="187"/>
    </row>
    <row r="568" spans="3:40" ht="20" customHeight="1">
      <c r="C568" s="188"/>
      <c r="E568" s="188"/>
      <c r="AN568" s="187"/>
    </row>
    <row r="569" spans="3:40" ht="20" customHeight="1">
      <c r="C569" s="188"/>
      <c r="E569" s="188"/>
      <c r="AN569" s="187"/>
    </row>
    <row r="570" spans="3:40" ht="20" customHeight="1">
      <c r="C570" s="188"/>
      <c r="E570" s="188"/>
      <c r="AN570" s="187"/>
    </row>
    <row r="571" spans="3:40" ht="20" customHeight="1">
      <c r="C571" s="188"/>
      <c r="E571" s="188"/>
      <c r="AN571" s="187"/>
    </row>
    <row r="572" spans="3:40" ht="20" customHeight="1">
      <c r="C572" s="188"/>
      <c r="E572" s="188"/>
      <c r="AN572" s="187"/>
    </row>
    <row r="573" spans="3:40" ht="20" customHeight="1">
      <c r="C573" s="188"/>
      <c r="E573" s="188"/>
      <c r="AN573" s="187"/>
    </row>
    <row r="574" spans="3:40" ht="20" customHeight="1">
      <c r="C574" s="188"/>
      <c r="E574" s="188"/>
      <c r="AN574" s="187"/>
    </row>
    <row r="575" spans="3:40" ht="20" customHeight="1">
      <c r="C575" s="188"/>
      <c r="E575" s="188"/>
      <c r="AN575" s="187"/>
    </row>
    <row r="576" spans="3:40" ht="20" customHeight="1">
      <c r="C576" s="188"/>
      <c r="E576" s="188"/>
      <c r="AN576" s="187"/>
    </row>
    <row r="577" spans="3:40" ht="20" customHeight="1">
      <c r="C577" s="188"/>
      <c r="E577" s="188"/>
      <c r="AN577" s="187"/>
    </row>
    <row r="578" spans="3:40" ht="20" customHeight="1">
      <c r="C578" s="188"/>
      <c r="E578" s="188"/>
      <c r="AN578" s="187"/>
    </row>
    <row r="579" spans="3:40" ht="20" customHeight="1">
      <c r="C579" s="188"/>
      <c r="E579" s="188"/>
      <c r="AN579" s="187"/>
    </row>
    <row r="580" spans="3:40" ht="20" customHeight="1">
      <c r="C580" s="188"/>
      <c r="E580" s="188"/>
      <c r="AN580" s="187"/>
    </row>
    <row r="581" spans="3:40" ht="20" customHeight="1">
      <c r="C581" s="188"/>
      <c r="E581" s="188"/>
      <c r="AN581" s="187"/>
    </row>
    <row r="582" spans="3:40" ht="20" customHeight="1">
      <c r="C582" s="188"/>
      <c r="E582" s="188"/>
      <c r="AN582" s="187"/>
    </row>
    <row r="583" spans="3:40" ht="20" customHeight="1">
      <c r="C583" s="188"/>
      <c r="E583" s="188"/>
      <c r="AN583" s="187"/>
    </row>
    <row r="584" spans="3:40" ht="20" customHeight="1">
      <c r="C584" s="188"/>
      <c r="E584" s="188"/>
      <c r="AN584" s="187"/>
    </row>
    <row r="585" spans="3:40" ht="20" customHeight="1">
      <c r="C585" s="188"/>
      <c r="E585" s="188"/>
      <c r="AN585" s="187"/>
    </row>
    <row r="586" spans="3:40" ht="20" customHeight="1">
      <c r="C586" s="188"/>
      <c r="E586" s="188"/>
      <c r="AN586" s="187"/>
    </row>
    <row r="587" spans="3:40" ht="20" customHeight="1">
      <c r="C587" s="188"/>
      <c r="E587" s="188"/>
      <c r="AN587" s="187"/>
    </row>
    <row r="588" spans="3:40" ht="20" customHeight="1">
      <c r="C588" s="188"/>
      <c r="E588" s="188"/>
      <c r="AN588" s="187"/>
    </row>
    <row r="589" spans="3:40" ht="20" customHeight="1">
      <c r="C589" s="188"/>
      <c r="E589" s="188"/>
      <c r="AN589" s="187"/>
    </row>
    <row r="590" spans="3:40" ht="20" customHeight="1">
      <c r="C590" s="188"/>
      <c r="E590" s="188"/>
      <c r="AN590" s="187"/>
    </row>
    <row r="591" spans="3:40" ht="20" customHeight="1">
      <c r="C591" s="188"/>
      <c r="E591" s="188"/>
      <c r="AN591" s="187"/>
    </row>
    <row r="592" spans="3:40" ht="20" customHeight="1">
      <c r="C592" s="188"/>
      <c r="E592" s="188"/>
      <c r="AN592" s="187"/>
    </row>
    <row r="593" spans="3:40" ht="20" customHeight="1">
      <c r="C593" s="188"/>
      <c r="E593" s="188"/>
      <c r="AN593" s="187"/>
    </row>
    <row r="594" spans="3:40" ht="20" customHeight="1">
      <c r="C594" s="188"/>
      <c r="E594" s="188"/>
      <c r="AN594" s="187"/>
    </row>
    <row r="595" spans="3:40" ht="20" customHeight="1">
      <c r="C595" s="188"/>
      <c r="E595" s="188"/>
      <c r="AN595" s="187"/>
    </row>
    <row r="596" spans="3:40" ht="20" customHeight="1">
      <c r="C596" s="188"/>
      <c r="E596" s="188"/>
      <c r="AN596" s="187"/>
    </row>
    <row r="597" spans="3:40" ht="20" customHeight="1">
      <c r="C597" s="188"/>
      <c r="E597" s="188"/>
      <c r="AN597" s="187"/>
    </row>
    <row r="598" spans="3:40" ht="20" customHeight="1">
      <c r="C598" s="188"/>
      <c r="E598" s="188"/>
      <c r="AN598" s="187"/>
    </row>
    <row r="599" spans="3:40" ht="20" customHeight="1">
      <c r="C599" s="188"/>
      <c r="E599" s="188"/>
      <c r="AN599" s="187"/>
    </row>
    <row r="600" spans="3:40" ht="20" customHeight="1">
      <c r="C600" s="188"/>
      <c r="E600" s="188"/>
      <c r="AN600" s="187"/>
    </row>
    <row r="601" spans="3:40" ht="20" customHeight="1">
      <c r="C601" s="188"/>
      <c r="E601" s="188"/>
      <c r="AN601" s="187"/>
    </row>
    <row r="602" spans="3:40" ht="20" customHeight="1">
      <c r="C602" s="188"/>
      <c r="E602" s="188"/>
      <c r="AN602" s="187"/>
    </row>
    <row r="603" spans="3:40" ht="20" customHeight="1">
      <c r="C603" s="188"/>
      <c r="E603" s="188"/>
      <c r="AN603" s="187"/>
    </row>
    <row r="604" spans="3:40" ht="20" customHeight="1">
      <c r="C604" s="188"/>
      <c r="E604" s="188"/>
      <c r="AN604" s="187"/>
    </row>
    <row r="605" spans="3:40" ht="20" customHeight="1">
      <c r="C605" s="188"/>
      <c r="E605" s="188"/>
      <c r="AN605" s="187"/>
    </row>
    <row r="606" spans="3:40" ht="20" customHeight="1">
      <c r="C606" s="188"/>
      <c r="E606" s="188"/>
      <c r="AN606" s="187"/>
    </row>
    <row r="607" spans="3:40" ht="20" customHeight="1">
      <c r="C607" s="188"/>
      <c r="E607" s="188"/>
      <c r="AN607" s="187"/>
    </row>
    <row r="608" spans="3:40" ht="20" customHeight="1">
      <c r="C608" s="188"/>
      <c r="E608" s="188"/>
      <c r="AN608" s="187"/>
    </row>
    <row r="609" spans="3:40" ht="20" customHeight="1">
      <c r="C609" s="188"/>
      <c r="E609" s="188"/>
      <c r="AN609" s="187"/>
    </row>
    <row r="610" spans="3:40" ht="20" customHeight="1">
      <c r="C610" s="188"/>
      <c r="E610" s="188"/>
      <c r="AN610" s="187"/>
    </row>
    <row r="611" spans="3:40" ht="20" customHeight="1">
      <c r="C611" s="188"/>
      <c r="E611" s="188"/>
      <c r="AN611" s="187"/>
    </row>
    <row r="612" spans="3:40" ht="20" customHeight="1">
      <c r="C612" s="188"/>
      <c r="E612" s="188"/>
      <c r="AN612" s="187"/>
    </row>
    <row r="613" spans="3:40" ht="20" customHeight="1">
      <c r="C613" s="188"/>
      <c r="E613" s="188"/>
      <c r="AN613" s="187"/>
    </row>
    <row r="614" spans="3:40" ht="20" customHeight="1">
      <c r="C614" s="188"/>
      <c r="E614" s="188"/>
      <c r="AN614" s="187"/>
    </row>
    <row r="615" spans="3:40" ht="20" customHeight="1">
      <c r="C615" s="188"/>
      <c r="E615" s="188"/>
      <c r="AN615" s="187"/>
    </row>
    <row r="616" spans="3:40" ht="20" customHeight="1">
      <c r="C616" s="188"/>
      <c r="E616" s="188"/>
      <c r="AN616" s="187"/>
    </row>
    <row r="617" spans="3:40" ht="20" customHeight="1">
      <c r="C617" s="188"/>
      <c r="E617" s="188"/>
      <c r="AN617" s="187"/>
    </row>
    <row r="618" spans="3:40" ht="20" customHeight="1">
      <c r="C618" s="188"/>
      <c r="E618" s="188"/>
      <c r="AN618" s="187"/>
    </row>
    <row r="619" spans="3:40" ht="20" customHeight="1">
      <c r="C619" s="188"/>
      <c r="E619" s="188"/>
      <c r="AN619" s="187"/>
    </row>
    <row r="620" spans="3:40" ht="20" customHeight="1">
      <c r="C620" s="188"/>
      <c r="E620" s="188"/>
      <c r="AN620" s="187"/>
    </row>
    <row r="621" spans="3:40" ht="20" customHeight="1">
      <c r="C621" s="188"/>
      <c r="E621" s="188"/>
      <c r="AN621" s="187"/>
    </row>
    <row r="622" spans="3:40" ht="20" customHeight="1">
      <c r="C622" s="188"/>
      <c r="E622" s="188"/>
      <c r="AN622" s="187"/>
    </row>
    <row r="623" spans="3:40" ht="20" customHeight="1">
      <c r="C623" s="188"/>
      <c r="E623" s="188"/>
      <c r="AN623" s="187"/>
    </row>
    <row r="624" spans="3:40" ht="20" customHeight="1">
      <c r="C624" s="188"/>
      <c r="E624" s="188"/>
      <c r="AN624" s="187"/>
    </row>
    <row r="625" spans="3:40" ht="20" customHeight="1">
      <c r="C625" s="188"/>
      <c r="E625" s="188"/>
      <c r="AN625" s="187"/>
    </row>
    <row r="626" spans="3:40" ht="20" customHeight="1">
      <c r="C626" s="188"/>
      <c r="E626" s="188"/>
      <c r="AN626" s="187"/>
    </row>
    <row r="627" spans="3:40" ht="20" customHeight="1">
      <c r="C627" s="188"/>
      <c r="E627" s="188"/>
      <c r="AN627" s="187"/>
    </row>
    <row r="628" spans="3:40" ht="20" customHeight="1">
      <c r="C628" s="188"/>
      <c r="E628" s="188"/>
      <c r="AN628" s="187"/>
    </row>
    <row r="629" spans="3:40" ht="20" customHeight="1">
      <c r="C629" s="188"/>
      <c r="E629" s="188"/>
      <c r="AN629" s="187"/>
    </row>
    <row r="630" spans="3:40" ht="20" customHeight="1">
      <c r="C630" s="188"/>
      <c r="E630" s="188"/>
      <c r="AN630" s="187"/>
    </row>
    <row r="631" spans="3:40" ht="20" customHeight="1">
      <c r="C631" s="188"/>
      <c r="E631" s="188"/>
      <c r="AN631" s="187"/>
    </row>
    <row r="632" spans="3:40" ht="20" customHeight="1">
      <c r="C632" s="188"/>
      <c r="E632" s="188"/>
      <c r="AN632" s="187"/>
    </row>
    <row r="633" spans="3:40" ht="20" customHeight="1">
      <c r="C633" s="188"/>
      <c r="E633" s="188"/>
      <c r="AN633" s="187"/>
    </row>
    <row r="634" spans="3:40" ht="20" customHeight="1">
      <c r="C634" s="188"/>
      <c r="E634" s="188"/>
      <c r="AN634" s="187"/>
    </row>
    <row r="635" spans="3:40" ht="20" customHeight="1">
      <c r="C635" s="188"/>
      <c r="E635" s="188"/>
      <c r="AN635" s="187"/>
    </row>
    <row r="636" spans="3:40" ht="20" customHeight="1">
      <c r="C636" s="188"/>
      <c r="E636" s="188"/>
      <c r="AN636" s="187"/>
    </row>
    <row r="637" spans="3:40" ht="20" customHeight="1">
      <c r="C637" s="188"/>
      <c r="E637" s="188"/>
      <c r="AN637" s="187"/>
    </row>
    <row r="638" spans="3:40" ht="20" customHeight="1">
      <c r="C638" s="188"/>
      <c r="E638" s="188"/>
      <c r="AN638" s="187"/>
    </row>
    <row r="639" spans="3:40" ht="20" customHeight="1">
      <c r="C639" s="188"/>
      <c r="E639" s="188"/>
      <c r="AN639" s="187"/>
    </row>
    <row r="640" spans="3:40" ht="20" customHeight="1">
      <c r="C640" s="188"/>
      <c r="E640" s="188"/>
      <c r="AN640" s="187"/>
    </row>
    <row r="641" spans="3:40" ht="20" customHeight="1">
      <c r="C641" s="188"/>
      <c r="E641" s="188"/>
      <c r="AN641" s="187"/>
    </row>
    <row r="642" spans="3:40" ht="20" customHeight="1">
      <c r="C642" s="188"/>
      <c r="E642" s="188"/>
      <c r="AN642" s="187"/>
    </row>
    <row r="643" spans="3:40" ht="20" customHeight="1">
      <c r="C643" s="188"/>
      <c r="E643" s="188"/>
      <c r="AN643" s="187"/>
    </row>
    <row r="644" spans="3:40" ht="20" customHeight="1">
      <c r="C644" s="188"/>
      <c r="E644" s="188"/>
      <c r="AN644" s="187"/>
    </row>
    <row r="645" spans="3:40" ht="20" customHeight="1">
      <c r="C645" s="188"/>
      <c r="E645" s="188"/>
      <c r="AN645" s="187"/>
    </row>
    <row r="646" spans="3:40" ht="20" customHeight="1">
      <c r="C646" s="188"/>
      <c r="E646" s="188"/>
      <c r="AN646" s="187"/>
    </row>
    <row r="647" spans="3:40" ht="20" customHeight="1">
      <c r="C647" s="188"/>
      <c r="E647" s="188"/>
      <c r="AN647" s="187"/>
    </row>
    <row r="648" spans="3:40" ht="20" customHeight="1">
      <c r="C648" s="188"/>
      <c r="E648" s="188"/>
      <c r="AN648" s="187"/>
    </row>
    <row r="649" spans="3:40" ht="20" customHeight="1">
      <c r="C649" s="188"/>
      <c r="E649" s="188"/>
      <c r="AN649" s="187"/>
    </row>
    <row r="650" spans="3:40" ht="20" customHeight="1">
      <c r="C650" s="188"/>
      <c r="E650" s="188"/>
      <c r="AN650" s="187"/>
    </row>
    <row r="651" spans="3:40" ht="20" customHeight="1">
      <c r="C651" s="188"/>
      <c r="E651" s="188"/>
      <c r="AN651" s="187"/>
    </row>
    <row r="652" spans="3:40" ht="20" customHeight="1">
      <c r="C652" s="188"/>
      <c r="E652" s="188"/>
      <c r="AN652" s="187"/>
    </row>
    <row r="653" spans="3:40" ht="20" customHeight="1">
      <c r="C653" s="188"/>
      <c r="E653" s="188"/>
      <c r="AN653" s="187"/>
    </row>
    <row r="654" spans="3:40" ht="20" customHeight="1">
      <c r="C654" s="188"/>
      <c r="E654" s="188"/>
      <c r="AN654" s="187"/>
    </row>
    <row r="655" spans="3:40" ht="20" customHeight="1">
      <c r="C655" s="188"/>
      <c r="E655" s="188"/>
      <c r="AN655" s="187"/>
    </row>
    <row r="656" spans="3:40" ht="20" customHeight="1">
      <c r="C656" s="188"/>
      <c r="E656" s="188"/>
      <c r="AN656" s="187"/>
    </row>
    <row r="657" spans="3:40" ht="20" customHeight="1">
      <c r="C657" s="188"/>
      <c r="E657" s="188"/>
      <c r="AN657" s="187"/>
    </row>
    <row r="658" spans="3:40" ht="20" customHeight="1">
      <c r="C658" s="188"/>
      <c r="E658" s="188"/>
      <c r="AN658" s="187"/>
    </row>
    <row r="659" spans="3:40" ht="20" customHeight="1">
      <c r="C659" s="188"/>
      <c r="E659" s="188"/>
      <c r="AN659" s="187"/>
    </row>
    <row r="660" spans="3:40" ht="20" customHeight="1">
      <c r="C660" s="188"/>
      <c r="E660" s="188"/>
      <c r="AN660" s="187"/>
    </row>
    <row r="661" spans="3:40" ht="20" customHeight="1">
      <c r="C661" s="188"/>
      <c r="E661" s="188"/>
      <c r="AN661" s="187"/>
    </row>
    <row r="662" spans="3:40" ht="20" customHeight="1">
      <c r="C662" s="188"/>
      <c r="E662" s="188"/>
      <c r="AN662" s="187"/>
    </row>
    <row r="663" spans="3:40" ht="20" customHeight="1">
      <c r="C663" s="188"/>
      <c r="E663" s="188"/>
      <c r="AN663" s="187"/>
    </row>
    <row r="664" spans="3:40" ht="20" customHeight="1">
      <c r="C664" s="188"/>
      <c r="E664" s="188"/>
      <c r="AN664" s="187"/>
    </row>
    <row r="665" spans="3:40" ht="20" customHeight="1">
      <c r="C665" s="188"/>
      <c r="E665" s="188"/>
      <c r="AN665" s="187"/>
    </row>
    <row r="666" spans="3:40" ht="20" customHeight="1">
      <c r="C666" s="188"/>
      <c r="E666" s="188"/>
      <c r="AN666" s="187"/>
    </row>
    <row r="667" spans="3:40" ht="20" customHeight="1">
      <c r="C667" s="188"/>
      <c r="E667" s="188"/>
      <c r="AN667" s="187"/>
    </row>
    <row r="668" spans="3:40" ht="20" customHeight="1">
      <c r="C668" s="188"/>
      <c r="E668" s="188"/>
      <c r="AN668" s="187"/>
    </row>
    <row r="669" spans="3:40" ht="20" customHeight="1">
      <c r="C669" s="188"/>
      <c r="E669" s="188"/>
      <c r="AN669" s="187"/>
    </row>
    <row r="670" spans="3:40" ht="20" customHeight="1">
      <c r="C670" s="188"/>
      <c r="E670" s="188"/>
      <c r="AN670" s="187"/>
    </row>
    <row r="671" spans="3:40" ht="20" customHeight="1">
      <c r="C671" s="188"/>
      <c r="E671" s="188"/>
      <c r="AN671" s="187"/>
    </row>
    <row r="672" spans="3:40" ht="20" customHeight="1">
      <c r="C672" s="188"/>
      <c r="E672" s="188"/>
      <c r="AN672" s="187"/>
    </row>
    <row r="673" spans="3:40" ht="20" customHeight="1">
      <c r="C673" s="188"/>
      <c r="E673" s="188"/>
      <c r="AN673" s="187"/>
    </row>
    <row r="674" spans="3:40" ht="20" customHeight="1">
      <c r="C674" s="188"/>
      <c r="E674" s="188"/>
      <c r="AN674" s="187"/>
    </row>
    <row r="675" spans="3:40" ht="20" customHeight="1">
      <c r="C675" s="188"/>
      <c r="E675" s="188"/>
      <c r="AN675" s="187"/>
    </row>
    <row r="676" spans="3:40" ht="20" customHeight="1">
      <c r="C676" s="188"/>
      <c r="E676" s="188"/>
      <c r="AN676" s="187"/>
    </row>
    <row r="677" spans="3:40" ht="20" customHeight="1">
      <c r="C677" s="188"/>
      <c r="E677" s="188"/>
      <c r="AN677" s="187"/>
    </row>
    <row r="678" spans="3:40" ht="20" customHeight="1">
      <c r="C678" s="188"/>
      <c r="E678" s="188"/>
      <c r="AN678" s="187"/>
    </row>
    <row r="679" spans="3:40" ht="20" customHeight="1">
      <c r="C679" s="188"/>
      <c r="E679" s="188"/>
      <c r="AN679" s="187"/>
    </row>
    <row r="680" spans="3:40" ht="20" customHeight="1">
      <c r="C680" s="188"/>
      <c r="E680" s="188"/>
      <c r="AN680" s="187"/>
    </row>
    <row r="681" spans="3:40" ht="20" customHeight="1">
      <c r="C681" s="188"/>
      <c r="E681" s="188"/>
      <c r="AN681" s="187"/>
    </row>
    <row r="682" spans="3:40" ht="20" customHeight="1">
      <c r="C682" s="188"/>
      <c r="E682" s="188"/>
      <c r="AN682" s="187"/>
    </row>
    <row r="683" spans="3:40" ht="20" customHeight="1">
      <c r="C683" s="188"/>
      <c r="E683" s="188"/>
      <c r="AN683" s="187"/>
    </row>
    <row r="684" spans="3:40" ht="20" customHeight="1">
      <c r="C684" s="188"/>
      <c r="E684" s="188"/>
      <c r="AN684" s="187"/>
    </row>
    <row r="685" spans="3:40" ht="20" customHeight="1">
      <c r="C685" s="188"/>
      <c r="E685" s="188"/>
      <c r="AN685" s="187"/>
    </row>
    <row r="686" spans="3:40" ht="20" customHeight="1">
      <c r="C686" s="188"/>
      <c r="E686" s="188"/>
      <c r="AN686" s="187"/>
    </row>
    <row r="687" spans="3:40" ht="20" customHeight="1">
      <c r="C687" s="188"/>
      <c r="E687" s="188"/>
      <c r="AN687" s="187"/>
    </row>
    <row r="688" spans="3:40" ht="20" customHeight="1">
      <c r="C688" s="188"/>
      <c r="E688" s="188"/>
      <c r="AN688" s="187"/>
    </row>
    <row r="689" spans="3:40" ht="20" customHeight="1">
      <c r="C689" s="188"/>
      <c r="E689" s="188"/>
      <c r="AN689" s="187"/>
    </row>
    <row r="690" spans="3:40" ht="20" customHeight="1">
      <c r="C690" s="188"/>
      <c r="E690" s="188"/>
      <c r="AN690" s="187"/>
    </row>
    <row r="691" spans="3:40" ht="20" customHeight="1">
      <c r="C691" s="188"/>
      <c r="E691" s="188"/>
      <c r="AN691" s="187"/>
    </row>
    <row r="692" spans="3:40" ht="20" customHeight="1">
      <c r="C692" s="188"/>
      <c r="E692" s="188"/>
      <c r="AN692" s="187"/>
    </row>
    <row r="693" spans="3:40" ht="20" customHeight="1">
      <c r="C693" s="188"/>
      <c r="E693" s="188"/>
      <c r="AN693" s="187"/>
    </row>
    <row r="694" spans="3:40" ht="20" customHeight="1">
      <c r="C694" s="188"/>
      <c r="E694" s="188"/>
      <c r="AN694" s="187"/>
    </row>
    <row r="695" spans="3:40" ht="20" customHeight="1">
      <c r="C695" s="188"/>
      <c r="E695" s="188"/>
      <c r="AN695" s="187"/>
    </row>
    <row r="696" spans="3:40" ht="20" customHeight="1">
      <c r="C696" s="188"/>
      <c r="E696" s="188"/>
      <c r="AN696" s="187"/>
    </row>
    <row r="697" spans="3:40" ht="20" customHeight="1">
      <c r="C697" s="188"/>
      <c r="E697" s="188"/>
      <c r="AN697" s="187"/>
    </row>
    <row r="698" spans="3:40" ht="20" customHeight="1">
      <c r="C698" s="188"/>
      <c r="E698" s="188"/>
      <c r="AN698" s="187"/>
    </row>
    <row r="699" spans="3:40" ht="20" customHeight="1">
      <c r="C699" s="188"/>
      <c r="E699" s="188"/>
      <c r="AN699" s="187"/>
    </row>
    <row r="700" spans="3:40" ht="20" customHeight="1">
      <c r="C700" s="188"/>
      <c r="E700" s="188"/>
      <c r="AN700" s="187"/>
    </row>
    <row r="701" spans="3:40" ht="20" customHeight="1">
      <c r="C701" s="188"/>
      <c r="E701" s="188"/>
      <c r="AN701" s="187"/>
    </row>
    <row r="702" spans="3:40" ht="20" customHeight="1">
      <c r="C702" s="188"/>
      <c r="E702" s="188"/>
      <c r="AN702" s="187"/>
    </row>
    <row r="703" spans="3:40" ht="20" customHeight="1">
      <c r="C703" s="188"/>
      <c r="E703" s="188"/>
      <c r="AN703" s="187"/>
    </row>
    <row r="704" spans="3:40" ht="20" customHeight="1">
      <c r="C704" s="188"/>
      <c r="E704" s="188"/>
      <c r="AN704" s="187"/>
    </row>
    <row r="705" spans="3:40" ht="20" customHeight="1">
      <c r="C705" s="188"/>
      <c r="E705" s="188"/>
      <c r="AN705" s="187"/>
    </row>
    <row r="706" spans="3:40" ht="20" customHeight="1">
      <c r="C706" s="188"/>
      <c r="E706" s="188"/>
      <c r="AN706" s="187"/>
    </row>
    <row r="707" spans="3:40" ht="20" customHeight="1">
      <c r="C707" s="188"/>
      <c r="E707" s="188"/>
      <c r="AN707" s="187"/>
    </row>
    <row r="708" spans="3:40" ht="20" customHeight="1">
      <c r="C708" s="188"/>
      <c r="E708" s="188"/>
      <c r="AN708" s="187"/>
    </row>
    <row r="709" spans="3:40" ht="20" customHeight="1">
      <c r="C709" s="188"/>
      <c r="E709" s="188"/>
      <c r="AN709" s="187"/>
    </row>
    <row r="710" spans="3:40" ht="20" customHeight="1">
      <c r="C710" s="188"/>
      <c r="E710" s="188"/>
      <c r="AN710" s="187"/>
    </row>
    <row r="711" spans="3:40" ht="20" customHeight="1">
      <c r="C711" s="188"/>
      <c r="E711" s="188"/>
      <c r="AN711" s="187"/>
    </row>
    <row r="712" spans="3:40" ht="20" customHeight="1">
      <c r="C712" s="188"/>
      <c r="E712" s="188"/>
      <c r="AN712" s="187"/>
    </row>
    <row r="713" spans="3:40" ht="20" customHeight="1">
      <c r="C713" s="188"/>
      <c r="E713" s="188"/>
      <c r="AN713" s="187"/>
    </row>
    <row r="714" spans="3:40" ht="20" customHeight="1">
      <c r="C714" s="188"/>
      <c r="E714" s="188"/>
      <c r="AN714" s="187"/>
    </row>
    <row r="715" spans="3:40" ht="20" customHeight="1">
      <c r="C715" s="188"/>
      <c r="E715" s="188"/>
      <c r="AN715" s="187"/>
    </row>
    <row r="716" spans="3:40" ht="20" customHeight="1">
      <c r="C716" s="188"/>
      <c r="E716" s="188"/>
      <c r="AN716" s="187"/>
    </row>
    <row r="717" spans="3:40" ht="20" customHeight="1">
      <c r="C717" s="188"/>
      <c r="E717" s="188"/>
      <c r="AN717" s="187"/>
    </row>
    <row r="718" spans="3:40" ht="20" customHeight="1">
      <c r="C718" s="188"/>
      <c r="E718" s="188"/>
      <c r="AN718" s="187"/>
    </row>
    <row r="719" spans="3:40" ht="20" customHeight="1">
      <c r="C719" s="188"/>
      <c r="E719" s="188"/>
      <c r="AN719" s="187"/>
    </row>
    <row r="720" spans="3:40" ht="20" customHeight="1">
      <c r="C720" s="188"/>
      <c r="E720" s="188"/>
      <c r="AN720" s="187"/>
    </row>
    <row r="721" spans="3:40" ht="20" customHeight="1">
      <c r="C721" s="188"/>
      <c r="E721" s="188"/>
      <c r="AN721" s="187"/>
    </row>
    <row r="722" spans="3:40" ht="20" customHeight="1">
      <c r="C722" s="188"/>
      <c r="E722" s="188"/>
      <c r="AN722" s="187"/>
    </row>
    <row r="723" spans="3:40" ht="20" customHeight="1">
      <c r="C723" s="188"/>
      <c r="E723" s="188"/>
      <c r="AN723" s="187"/>
    </row>
    <row r="724" spans="3:40" ht="20" customHeight="1">
      <c r="C724" s="188"/>
      <c r="E724" s="188"/>
      <c r="AN724" s="187"/>
    </row>
    <row r="725" spans="3:40" ht="20" customHeight="1">
      <c r="C725" s="188"/>
      <c r="E725" s="188"/>
      <c r="AN725" s="187"/>
    </row>
    <row r="726" spans="3:40" ht="20" customHeight="1">
      <c r="C726" s="188"/>
      <c r="E726" s="188"/>
      <c r="AN726" s="187"/>
    </row>
    <row r="727" spans="3:40" ht="20" customHeight="1">
      <c r="C727" s="188"/>
      <c r="E727" s="188"/>
      <c r="AN727" s="187"/>
    </row>
    <row r="728" spans="3:40" ht="20" customHeight="1">
      <c r="C728" s="188"/>
      <c r="E728" s="188"/>
      <c r="AN728" s="187"/>
    </row>
    <row r="729" spans="3:40" ht="20" customHeight="1">
      <c r="C729" s="188"/>
      <c r="E729" s="188"/>
      <c r="AN729" s="187"/>
    </row>
    <row r="730" spans="3:40" ht="20" customHeight="1">
      <c r="C730" s="188"/>
      <c r="E730" s="188"/>
      <c r="AN730" s="187"/>
    </row>
    <row r="731" spans="3:40" ht="20" customHeight="1">
      <c r="C731" s="188"/>
      <c r="E731" s="188"/>
      <c r="AN731" s="187"/>
    </row>
    <row r="732" spans="3:40" ht="20" customHeight="1">
      <c r="C732" s="188"/>
      <c r="E732" s="188"/>
      <c r="AN732" s="187"/>
    </row>
    <row r="733" spans="3:40" ht="20" customHeight="1">
      <c r="C733" s="188"/>
      <c r="E733" s="188"/>
      <c r="AN733" s="187"/>
    </row>
    <row r="734" spans="3:40" ht="20" customHeight="1">
      <c r="C734" s="188"/>
      <c r="E734" s="188"/>
      <c r="AN734" s="187"/>
    </row>
    <row r="735" spans="3:40" ht="20" customHeight="1">
      <c r="C735" s="188"/>
      <c r="E735" s="188"/>
      <c r="AN735" s="187"/>
    </row>
    <row r="736" spans="3:40" ht="20" customHeight="1">
      <c r="C736" s="188"/>
      <c r="E736" s="188"/>
      <c r="AN736" s="187"/>
    </row>
    <row r="737" spans="3:40" ht="20" customHeight="1">
      <c r="C737" s="188"/>
      <c r="E737" s="188"/>
      <c r="AN737" s="187"/>
    </row>
    <row r="738" spans="3:40" ht="20" customHeight="1">
      <c r="C738" s="188"/>
      <c r="E738" s="188"/>
      <c r="AN738" s="187"/>
    </row>
    <row r="739" spans="3:40" ht="20" customHeight="1">
      <c r="C739" s="188"/>
      <c r="E739" s="188"/>
      <c r="AN739" s="187"/>
    </row>
    <row r="740" spans="3:40" ht="20" customHeight="1">
      <c r="C740" s="188"/>
      <c r="E740" s="188"/>
      <c r="AN740" s="187"/>
    </row>
    <row r="741" spans="3:40" ht="20" customHeight="1">
      <c r="C741" s="188"/>
      <c r="E741" s="188"/>
      <c r="AN741" s="187"/>
    </row>
    <row r="742" spans="3:40" ht="20" customHeight="1">
      <c r="C742" s="188"/>
      <c r="E742" s="188"/>
      <c r="AN742" s="187"/>
    </row>
    <row r="743" spans="3:40" ht="20" customHeight="1">
      <c r="C743" s="188"/>
      <c r="E743" s="188"/>
      <c r="AN743" s="187"/>
    </row>
    <row r="744" spans="3:40" ht="20" customHeight="1">
      <c r="C744" s="188"/>
      <c r="E744" s="188"/>
      <c r="AN744" s="187"/>
    </row>
    <row r="745" spans="3:40" ht="20" customHeight="1">
      <c r="C745" s="188"/>
      <c r="E745" s="188"/>
      <c r="AN745" s="187"/>
    </row>
    <row r="746" spans="3:40" ht="20" customHeight="1">
      <c r="C746" s="188"/>
      <c r="E746" s="188"/>
      <c r="AN746" s="187"/>
    </row>
    <row r="747" spans="3:40" ht="20" customHeight="1">
      <c r="C747" s="188"/>
      <c r="E747" s="188"/>
      <c r="AN747" s="187"/>
    </row>
    <row r="748" spans="3:40" ht="20" customHeight="1">
      <c r="C748" s="188"/>
      <c r="E748" s="188"/>
      <c r="AN748" s="187"/>
    </row>
    <row r="749" spans="3:40" ht="20" customHeight="1">
      <c r="C749" s="188"/>
      <c r="E749" s="188"/>
      <c r="AN749" s="187"/>
    </row>
    <row r="750" spans="3:40" ht="20" customHeight="1">
      <c r="C750" s="188"/>
      <c r="E750" s="188"/>
      <c r="AN750" s="187"/>
    </row>
    <row r="751" spans="3:40" ht="20" customHeight="1">
      <c r="C751" s="188"/>
      <c r="E751" s="188"/>
      <c r="AN751" s="187"/>
    </row>
    <row r="752" spans="3:40" ht="20" customHeight="1">
      <c r="C752" s="188"/>
      <c r="E752" s="188"/>
      <c r="AN752" s="187"/>
    </row>
    <row r="753" spans="3:40" ht="20" customHeight="1">
      <c r="C753" s="188"/>
      <c r="E753" s="188"/>
      <c r="AN753" s="187"/>
    </row>
    <row r="754" spans="3:40" ht="20" customHeight="1">
      <c r="C754" s="188"/>
      <c r="E754" s="188"/>
      <c r="AN754" s="187"/>
    </row>
    <row r="755" spans="3:40" ht="20" customHeight="1">
      <c r="C755" s="188"/>
      <c r="E755" s="188"/>
      <c r="AN755" s="187"/>
    </row>
    <row r="756" spans="3:40" ht="20" customHeight="1">
      <c r="C756" s="188"/>
      <c r="E756" s="188"/>
      <c r="AN756" s="187"/>
    </row>
    <row r="757" spans="3:40" ht="20" customHeight="1">
      <c r="C757" s="188"/>
      <c r="E757" s="188"/>
      <c r="AN757" s="187"/>
    </row>
    <row r="758" spans="3:40" ht="20" customHeight="1">
      <c r="C758" s="188"/>
      <c r="E758" s="188"/>
      <c r="AN758" s="187"/>
    </row>
    <row r="759" spans="3:40" ht="20" customHeight="1">
      <c r="C759" s="188"/>
      <c r="E759" s="188"/>
      <c r="AN759" s="187"/>
    </row>
    <row r="760" spans="3:40" ht="20" customHeight="1">
      <c r="C760" s="188"/>
      <c r="E760" s="188"/>
      <c r="AN760" s="187"/>
    </row>
    <row r="761" spans="3:40" ht="20" customHeight="1">
      <c r="C761" s="188"/>
      <c r="E761" s="188"/>
      <c r="AN761" s="187"/>
    </row>
    <row r="762" spans="3:40" ht="20" customHeight="1">
      <c r="C762" s="188"/>
      <c r="E762" s="188"/>
      <c r="AN762" s="187"/>
    </row>
    <row r="763" spans="3:40" ht="20" customHeight="1">
      <c r="C763" s="188"/>
      <c r="E763" s="188"/>
      <c r="AN763" s="187"/>
    </row>
    <row r="764" spans="3:40" ht="20" customHeight="1">
      <c r="C764" s="188"/>
      <c r="E764" s="188"/>
      <c r="AN764" s="187"/>
    </row>
    <row r="765" spans="3:40" ht="20" customHeight="1">
      <c r="C765" s="188"/>
      <c r="E765" s="188"/>
      <c r="AN765" s="187"/>
    </row>
    <row r="766" spans="3:40" ht="20" customHeight="1">
      <c r="C766" s="188"/>
      <c r="E766" s="188"/>
      <c r="AN766" s="187"/>
    </row>
    <row r="767" spans="3:40" ht="20" customHeight="1">
      <c r="C767" s="188"/>
      <c r="E767" s="188"/>
      <c r="AN767" s="187"/>
    </row>
    <row r="768" spans="3:40" ht="20" customHeight="1">
      <c r="C768" s="188"/>
      <c r="E768" s="188"/>
      <c r="AN768" s="187"/>
    </row>
    <row r="769" spans="3:40" ht="20" customHeight="1">
      <c r="C769" s="188"/>
      <c r="E769" s="188"/>
      <c r="AN769" s="187"/>
    </row>
    <row r="770" spans="3:40" ht="20" customHeight="1">
      <c r="C770" s="188"/>
      <c r="E770" s="188"/>
      <c r="AN770" s="187"/>
    </row>
    <row r="771" spans="3:40" ht="20" customHeight="1">
      <c r="C771" s="188"/>
      <c r="E771" s="188"/>
      <c r="AN771" s="187"/>
    </row>
    <row r="772" spans="3:40" ht="20" customHeight="1">
      <c r="C772" s="188"/>
      <c r="E772" s="188"/>
      <c r="AN772" s="187"/>
    </row>
    <row r="773" spans="3:40" ht="20" customHeight="1">
      <c r="C773" s="188"/>
      <c r="E773" s="188"/>
      <c r="AN773" s="187"/>
    </row>
    <row r="774" spans="3:40" ht="20" customHeight="1">
      <c r="C774" s="188"/>
      <c r="E774" s="188"/>
      <c r="AN774" s="187"/>
    </row>
    <row r="775" spans="3:40" ht="20" customHeight="1">
      <c r="C775" s="188"/>
      <c r="E775" s="188"/>
      <c r="AN775" s="187"/>
    </row>
    <row r="776" spans="3:40" ht="20" customHeight="1">
      <c r="C776" s="188"/>
      <c r="E776" s="188"/>
      <c r="AN776" s="187"/>
    </row>
    <row r="777" spans="3:40" ht="20" customHeight="1">
      <c r="C777" s="188"/>
      <c r="E777" s="188"/>
      <c r="AN777" s="187"/>
    </row>
    <row r="778" spans="3:40" ht="20" customHeight="1">
      <c r="C778" s="188"/>
      <c r="E778" s="188"/>
      <c r="AN778" s="187"/>
    </row>
    <row r="779" spans="3:40" ht="20" customHeight="1">
      <c r="C779" s="188"/>
      <c r="E779" s="188"/>
      <c r="AN779" s="187"/>
    </row>
    <row r="780" spans="3:40" ht="20" customHeight="1">
      <c r="C780" s="188"/>
      <c r="E780" s="188"/>
      <c r="AN780" s="187"/>
    </row>
    <row r="781" spans="3:40" ht="20" customHeight="1">
      <c r="C781" s="188"/>
      <c r="E781" s="188"/>
      <c r="AN781" s="187"/>
    </row>
    <row r="782" spans="3:40" ht="20" customHeight="1">
      <c r="C782" s="188"/>
      <c r="E782" s="188"/>
      <c r="AN782" s="187"/>
    </row>
    <row r="783" spans="3:40" ht="20" customHeight="1">
      <c r="C783" s="188"/>
      <c r="E783" s="188"/>
      <c r="AN783" s="187"/>
    </row>
    <row r="784" spans="3:40" ht="20" customHeight="1">
      <c r="C784" s="188"/>
      <c r="E784" s="188"/>
      <c r="AN784" s="187"/>
    </row>
    <row r="785" spans="3:40" ht="20" customHeight="1">
      <c r="C785" s="188"/>
      <c r="E785" s="188"/>
      <c r="AN785" s="187"/>
    </row>
    <row r="786" spans="3:40" ht="20" customHeight="1">
      <c r="C786" s="188"/>
      <c r="E786" s="188"/>
      <c r="AN786" s="187"/>
    </row>
    <row r="787" spans="3:40" ht="20" customHeight="1">
      <c r="C787" s="188"/>
      <c r="E787" s="188"/>
      <c r="AN787" s="187"/>
    </row>
    <row r="788" spans="3:40" ht="20" customHeight="1">
      <c r="C788" s="188"/>
      <c r="E788" s="188"/>
      <c r="AN788" s="187"/>
    </row>
    <row r="789" spans="3:40" ht="20" customHeight="1">
      <c r="C789" s="188"/>
      <c r="E789" s="188"/>
      <c r="AN789" s="187"/>
    </row>
    <row r="790" spans="3:40" ht="20" customHeight="1">
      <c r="C790" s="188"/>
      <c r="E790" s="188"/>
      <c r="AN790" s="187"/>
    </row>
    <row r="791" spans="3:40" ht="20" customHeight="1">
      <c r="C791" s="188"/>
      <c r="E791" s="188"/>
      <c r="AN791" s="187"/>
    </row>
    <row r="792" spans="3:40" ht="20" customHeight="1">
      <c r="C792" s="188"/>
      <c r="E792" s="188"/>
      <c r="AN792" s="187"/>
    </row>
    <row r="793" spans="3:40" ht="20" customHeight="1">
      <c r="C793" s="188"/>
      <c r="E793" s="188"/>
      <c r="AN793" s="187"/>
    </row>
    <row r="794" spans="3:40" ht="20" customHeight="1">
      <c r="C794" s="188"/>
      <c r="E794" s="188"/>
      <c r="AN794" s="187"/>
    </row>
    <row r="795" spans="3:40" ht="20" customHeight="1">
      <c r="C795" s="188"/>
      <c r="E795" s="188"/>
      <c r="AN795" s="187"/>
    </row>
    <row r="796" spans="3:40" ht="20" customHeight="1">
      <c r="C796" s="188"/>
      <c r="E796" s="188"/>
      <c r="AN796" s="187"/>
    </row>
    <row r="797" spans="3:40" ht="20" customHeight="1">
      <c r="C797" s="188"/>
      <c r="E797" s="188"/>
      <c r="AN797" s="187"/>
    </row>
    <row r="798" spans="3:40" ht="20" customHeight="1">
      <c r="C798" s="188"/>
      <c r="E798" s="188"/>
      <c r="AN798" s="187"/>
    </row>
    <row r="799" spans="3:40" ht="20" customHeight="1">
      <c r="C799" s="188"/>
      <c r="E799" s="188"/>
      <c r="AN799" s="187"/>
    </row>
    <row r="800" spans="3:40" ht="20" customHeight="1">
      <c r="C800" s="188"/>
      <c r="E800" s="188"/>
      <c r="AN800" s="187"/>
    </row>
    <row r="801" spans="3:40" ht="20" customHeight="1">
      <c r="C801" s="188"/>
      <c r="E801" s="188"/>
      <c r="AN801" s="187"/>
    </row>
    <row r="802" spans="3:40" ht="20" customHeight="1">
      <c r="C802" s="188"/>
      <c r="E802" s="188"/>
      <c r="AN802" s="187"/>
    </row>
    <row r="803" spans="3:40" ht="20" customHeight="1">
      <c r="C803" s="188"/>
      <c r="E803" s="188"/>
      <c r="AN803" s="187"/>
    </row>
    <row r="804" spans="3:40" ht="20" customHeight="1">
      <c r="C804" s="188"/>
      <c r="E804" s="188"/>
      <c r="AN804" s="187"/>
    </row>
    <row r="805" spans="3:40" ht="20" customHeight="1">
      <c r="C805" s="188"/>
      <c r="E805" s="188"/>
      <c r="AN805" s="187"/>
    </row>
    <row r="806" spans="3:40" ht="20" customHeight="1">
      <c r="C806" s="188"/>
      <c r="E806" s="188"/>
      <c r="AN806" s="187"/>
    </row>
    <row r="807" spans="3:40" ht="20" customHeight="1">
      <c r="C807" s="188"/>
      <c r="E807" s="188"/>
      <c r="AN807" s="187"/>
    </row>
    <row r="808" spans="3:40" ht="20" customHeight="1">
      <c r="C808" s="188"/>
      <c r="E808" s="188"/>
      <c r="AN808" s="187"/>
    </row>
    <row r="809" spans="3:40" ht="20" customHeight="1">
      <c r="C809" s="188"/>
      <c r="E809" s="188"/>
      <c r="AN809" s="187"/>
    </row>
    <row r="810" spans="3:40" ht="20" customHeight="1">
      <c r="C810" s="188"/>
      <c r="E810" s="188"/>
      <c r="AN810" s="187"/>
    </row>
    <row r="811" spans="3:40" ht="20" customHeight="1">
      <c r="C811" s="188"/>
      <c r="E811" s="188"/>
      <c r="AN811" s="187"/>
    </row>
    <row r="812" spans="3:40" ht="20" customHeight="1">
      <c r="C812" s="188"/>
      <c r="E812" s="188"/>
      <c r="AN812" s="187"/>
    </row>
    <row r="813" spans="3:40" ht="20" customHeight="1">
      <c r="C813" s="188"/>
      <c r="E813" s="188"/>
      <c r="AN813" s="187"/>
    </row>
    <row r="814" spans="3:40" ht="20" customHeight="1">
      <c r="C814" s="188"/>
      <c r="E814" s="188"/>
      <c r="AN814" s="187"/>
    </row>
    <row r="815" spans="3:40" ht="20" customHeight="1">
      <c r="C815" s="188"/>
      <c r="E815" s="188"/>
      <c r="AN815" s="187"/>
    </row>
    <row r="816" spans="3:40" ht="20" customHeight="1">
      <c r="C816" s="188"/>
      <c r="E816" s="188"/>
      <c r="AN816" s="187"/>
    </row>
    <row r="817" spans="3:40" ht="20" customHeight="1">
      <c r="C817" s="188"/>
      <c r="E817" s="188"/>
      <c r="AN817" s="187"/>
    </row>
    <row r="818" spans="3:40" ht="20" customHeight="1">
      <c r="C818" s="188"/>
      <c r="E818" s="188"/>
      <c r="AN818" s="187"/>
    </row>
    <row r="819" spans="3:40" ht="20" customHeight="1">
      <c r="C819" s="188"/>
      <c r="E819" s="188"/>
      <c r="AN819" s="187"/>
    </row>
    <row r="820" spans="3:40" ht="20" customHeight="1">
      <c r="C820" s="188"/>
      <c r="E820" s="188"/>
      <c r="AN820" s="187"/>
    </row>
    <row r="821" spans="3:40" ht="20" customHeight="1">
      <c r="C821" s="188"/>
      <c r="E821" s="188"/>
      <c r="AN821" s="187"/>
    </row>
    <row r="822" spans="3:40" ht="20" customHeight="1">
      <c r="C822" s="188"/>
      <c r="E822" s="188"/>
      <c r="AN822" s="187"/>
    </row>
    <row r="823" spans="3:40" ht="20" customHeight="1">
      <c r="C823" s="188"/>
      <c r="E823" s="188"/>
      <c r="AN823" s="187"/>
    </row>
    <row r="824" spans="3:40" ht="20" customHeight="1">
      <c r="C824" s="188"/>
      <c r="E824" s="188"/>
      <c r="AN824" s="187"/>
    </row>
    <row r="825" spans="3:40" ht="20" customHeight="1">
      <c r="C825" s="188"/>
      <c r="E825" s="188"/>
      <c r="AN825" s="187"/>
    </row>
    <row r="826" spans="3:40" ht="20" customHeight="1">
      <c r="C826" s="188"/>
      <c r="E826" s="188"/>
      <c r="AN826" s="187"/>
    </row>
    <row r="827" spans="3:40" ht="20" customHeight="1">
      <c r="C827" s="188"/>
      <c r="E827" s="188"/>
      <c r="AN827" s="187"/>
    </row>
    <row r="828" spans="3:40" ht="20" customHeight="1">
      <c r="C828" s="188"/>
      <c r="E828" s="188"/>
      <c r="AN828" s="187"/>
    </row>
    <row r="829" spans="3:40" ht="20" customHeight="1">
      <c r="C829" s="188"/>
      <c r="E829" s="188"/>
      <c r="AN829" s="187"/>
    </row>
    <row r="830" spans="3:40" ht="20" customHeight="1">
      <c r="C830" s="188"/>
      <c r="E830" s="188"/>
      <c r="AN830" s="187"/>
    </row>
    <row r="831" spans="3:40" ht="20" customHeight="1">
      <c r="C831" s="188"/>
      <c r="E831" s="188"/>
      <c r="AN831" s="187"/>
    </row>
    <row r="832" spans="3:40" ht="20" customHeight="1">
      <c r="C832" s="188"/>
      <c r="E832" s="188"/>
      <c r="AN832" s="187"/>
    </row>
    <row r="833" spans="3:40" ht="20" customHeight="1">
      <c r="C833" s="188"/>
      <c r="E833" s="188"/>
      <c r="AN833" s="187"/>
    </row>
    <row r="834" spans="3:40" ht="20" customHeight="1">
      <c r="C834" s="188"/>
      <c r="E834" s="188"/>
      <c r="AN834" s="187"/>
    </row>
    <row r="835" spans="3:40" ht="20" customHeight="1">
      <c r="C835" s="188"/>
      <c r="E835" s="188"/>
      <c r="AN835" s="187"/>
    </row>
    <row r="836" spans="3:40" ht="20" customHeight="1">
      <c r="C836" s="188"/>
      <c r="E836" s="188"/>
      <c r="AN836" s="187"/>
    </row>
    <row r="837" spans="3:40" ht="20" customHeight="1">
      <c r="C837" s="188"/>
      <c r="E837" s="188"/>
      <c r="AN837" s="187"/>
    </row>
    <row r="838" spans="3:40" ht="20" customHeight="1">
      <c r="C838" s="188"/>
      <c r="E838" s="188"/>
      <c r="AN838" s="187"/>
    </row>
    <row r="839" spans="3:40" ht="20" customHeight="1">
      <c r="C839" s="188"/>
      <c r="E839" s="188"/>
      <c r="AN839" s="187"/>
    </row>
    <row r="840" spans="3:40" ht="20" customHeight="1">
      <c r="C840" s="188"/>
      <c r="E840" s="188"/>
      <c r="AN840" s="187"/>
    </row>
    <row r="841" spans="3:40" ht="20" customHeight="1">
      <c r="C841" s="188"/>
      <c r="E841" s="188"/>
      <c r="AN841" s="187"/>
    </row>
    <row r="842" spans="3:40" ht="20" customHeight="1">
      <c r="C842" s="188"/>
      <c r="E842" s="188"/>
      <c r="AN842" s="187"/>
    </row>
    <row r="843" spans="3:40" ht="20" customHeight="1">
      <c r="C843" s="188"/>
      <c r="E843" s="188"/>
      <c r="AN843" s="187"/>
    </row>
    <row r="844" spans="3:40" ht="20" customHeight="1">
      <c r="C844" s="188"/>
      <c r="E844" s="188"/>
      <c r="AN844" s="187"/>
    </row>
    <row r="845" spans="3:40" ht="20" customHeight="1">
      <c r="C845" s="188"/>
      <c r="E845" s="188"/>
      <c r="AN845" s="187"/>
    </row>
    <row r="846" spans="3:40" ht="20" customHeight="1">
      <c r="C846" s="188"/>
      <c r="E846" s="188"/>
      <c r="AN846" s="187"/>
    </row>
    <row r="847" spans="3:40" ht="20" customHeight="1">
      <c r="C847" s="188"/>
      <c r="E847" s="188"/>
      <c r="AN847" s="187"/>
    </row>
    <row r="848" spans="3:40" ht="20" customHeight="1">
      <c r="C848" s="188"/>
      <c r="E848" s="188"/>
      <c r="AN848" s="187"/>
    </row>
    <row r="849" spans="3:40" ht="20" customHeight="1">
      <c r="C849" s="188"/>
      <c r="E849" s="188"/>
      <c r="AN849" s="187"/>
    </row>
    <row r="850" spans="3:40" ht="20" customHeight="1">
      <c r="C850" s="188"/>
      <c r="E850" s="188"/>
      <c r="AN850" s="187"/>
    </row>
    <row r="851" spans="3:40" ht="20" customHeight="1">
      <c r="C851" s="188"/>
      <c r="E851" s="188"/>
      <c r="AN851" s="187"/>
    </row>
    <row r="852" spans="3:40" ht="20" customHeight="1">
      <c r="C852" s="188"/>
      <c r="E852" s="188"/>
      <c r="AN852" s="187"/>
    </row>
    <row r="853" spans="3:40" ht="20" customHeight="1">
      <c r="C853" s="188"/>
      <c r="E853" s="188"/>
      <c r="AN853" s="187"/>
    </row>
    <row r="854" spans="3:40" ht="20" customHeight="1">
      <c r="C854" s="188"/>
      <c r="E854" s="188"/>
      <c r="AN854" s="187"/>
    </row>
    <row r="855" spans="3:40" ht="20" customHeight="1">
      <c r="C855" s="188"/>
      <c r="E855" s="188"/>
      <c r="AN855" s="187"/>
    </row>
    <row r="856" spans="3:40" ht="20" customHeight="1">
      <c r="C856" s="188"/>
      <c r="E856" s="188"/>
      <c r="AN856" s="187"/>
    </row>
    <row r="857" spans="3:40" ht="20" customHeight="1">
      <c r="C857" s="188"/>
      <c r="E857" s="188"/>
      <c r="AN857" s="187"/>
    </row>
    <row r="858" spans="3:40" ht="20" customHeight="1">
      <c r="C858" s="188"/>
      <c r="E858" s="188"/>
      <c r="AN858" s="187"/>
    </row>
    <row r="859" spans="3:40" ht="20" customHeight="1">
      <c r="C859" s="188"/>
      <c r="E859" s="188"/>
      <c r="AN859" s="187"/>
    </row>
    <row r="860" spans="3:40" ht="20" customHeight="1">
      <c r="C860" s="188"/>
      <c r="E860" s="188"/>
      <c r="AN860" s="187"/>
    </row>
    <row r="861" spans="3:40" ht="20" customHeight="1">
      <c r="C861" s="188"/>
      <c r="E861" s="188"/>
      <c r="AN861" s="187"/>
    </row>
    <row r="862" spans="3:40" ht="20" customHeight="1">
      <c r="C862" s="188"/>
      <c r="E862" s="188"/>
      <c r="AN862" s="187"/>
    </row>
    <row r="863" spans="3:40" ht="20" customHeight="1">
      <c r="C863" s="188"/>
      <c r="E863" s="188"/>
      <c r="AN863" s="187"/>
    </row>
    <row r="864" spans="3:40" ht="20" customHeight="1">
      <c r="C864" s="188"/>
      <c r="E864" s="188"/>
      <c r="AN864" s="187"/>
    </row>
    <row r="865" spans="3:40" ht="20" customHeight="1">
      <c r="C865" s="188"/>
      <c r="E865" s="188"/>
      <c r="AN865" s="187"/>
    </row>
    <row r="866" spans="3:40" ht="20" customHeight="1">
      <c r="C866" s="188"/>
      <c r="E866" s="188"/>
      <c r="AN866" s="187"/>
    </row>
    <row r="867" spans="3:40" ht="20" customHeight="1">
      <c r="C867" s="188"/>
      <c r="E867" s="188"/>
      <c r="AN867" s="187"/>
    </row>
    <row r="868" spans="3:40" ht="20" customHeight="1">
      <c r="C868" s="188"/>
      <c r="E868" s="188"/>
      <c r="AN868" s="187"/>
    </row>
    <row r="869" spans="3:40" ht="20" customHeight="1">
      <c r="C869" s="188"/>
      <c r="E869" s="188"/>
      <c r="AN869" s="187"/>
    </row>
    <row r="870" spans="3:40" ht="20" customHeight="1">
      <c r="C870" s="188"/>
      <c r="E870" s="188"/>
      <c r="AN870" s="187"/>
    </row>
    <row r="871" spans="3:40" ht="20" customHeight="1">
      <c r="C871" s="188"/>
      <c r="E871" s="188"/>
      <c r="AN871" s="187"/>
    </row>
    <row r="872" spans="3:40" ht="20" customHeight="1">
      <c r="C872" s="188"/>
      <c r="E872" s="188"/>
      <c r="AN872" s="187"/>
    </row>
    <row r="873" spans="3:40" ht="20" customHeight="1">
      <c r="C873" s="188"/>
      <c r="E873" s="188"/>
      <c r="AN873" s="187"/>
    </row>
    <row r="874" spans="3:40" ht="20" customHeight="1">
      <c r="C874" s="188"/>
      <c r="E874" s="188"/>
      <c r="AN874" s="187"/>
    </row>
    <row r="875" spans="3:40" ht="20" customHeight="1">
      <c r="C875" s="188"/>
      <c r="E875" s="188"/>
      <c r="AN875" s="187"/>
    </row>
    <row r="876" spans="3:40" ht="20" customHeight="1">
      <c r="C876" s="188"/>
      <c r="E876" s="188"/>
      <c r="AN876" s="187"/>
    </row>
    <row r="877" spans="3:40" ht="20" customHeight="1">
      <c r="C877" s="188"/>
      <c r="E877" s="188"/>
      <c r="AN877" s="187"/>
    </row>
    <row r="878" spans="3:40" ht="20" customHeight="1">
      <c r="C878" s="188"/>
      <c r="E878" s="188"/>
      <c r="AN878" s="187"/>
    </row>
    <row r="879" spans="3:40" ht="20" customHeight="1">
      <c r="C879" s="188"/>
      <c r="E879" s="188"/>
      <c r="AN879" s="187"/>
    </row>
    <row r="880" spans="3:40" ht="20" customHeight="1">
      <c r="C880" s="188"/>
      <c r="E880" s="188"/>
      <c r="AN880" s="187"/>
    </row>
    <row r="881" spans="3:40" ht="20" customHeight="1">
      <c r="C881" s="188"/>
      <c r="E881" s="188"/>
      <c r="AN881" s="187"/>
    </row>
    <row r="882" spans="3:40" ht="20" customHeight="1">
      <c r="C882" s="188"/>
      <c r="E882" s="188"/>
      <c r="AN882" s="187"/>
    </row>
    <row r="883" spans="3:40" ht="20" customHeight="1">
      <c r="C883" s="188"/>
      <c r="E883" s="188"/>
      <c r="AN883" s="187"/>
    </row>
    <row r="884" spans="3:40" ht="20" customHeight="1">
      <c r="C884" s="188"/>
      <c r="E884" s="188"/>
      <c r="AN884" s="187"/>
    </row>
    <row r="885" spans="3:40" ht="20" customHeight="1">
      <c r="C885" s="188"/>
      <c r="E885" s="188"/>
      <c r="AN885" s="187"/>
    </row>
    <row r="886" spans="3:40" ht="20" customHeight="1">
      <c r="C886" s="188"/>
      <c r="E886" s="188"/>
      <c r="AN886" s="187"/>
    </row>
    <row r="887" spans="3:40" ht="20" customHeight="1">
      <c r="C887" s="188"/>
      <c r="E887" s="188"/>
      <c r="AN887" s="187"/>
    </row>
    <row r="888" spans="3:40" ht="20" customHeight="1">
      <c r="C888" s="188"/>
      <c r="E888" s="188"/>
      <c r="AN888" s="187"/>
    </row>
    <row r="889" spans="3:40" ht="20" customHeight="1">
      <c r="C889" s="188"/>
      <c r="E889" s="188"/>
      <c r="AN889" s="187"/>
    </row>
    <row r="890" spans="3:40" ht="20" customHeight="1">
      <c r="C890" s="188"/>
      <c r="E890" s="188"/>
      <c r="AN890" s="187"/>
    </row>
    <row r="891" spans="3:40" ht="20" customHeight="1">
      <c r="C891" s="188"/>
      <c r="E891" s="188"/>
      <c r="AN891" s="187"/>
    </row>
    <row r="892" spans="3:40" ht="20" customHeight="1">
      <c r="C892" s="188"/>
      <c r="E892" s="188"/>
      <c r="AN892" s="187"/>
    </row>
    <row r="893" spans="3:40" ht="20" customHeight="1">
      <c r="C893" s="188"/>
      <c r="E893" s="188"/>
      <c r="AN893" s="187"/>
    </row>
    <row r="894" spans="3:40" ht="20" customHeight="1">
      <c r="C894" s="188"/>
      <c r="E894" s="188"/>
      <c r="AN894" s="187"/>
    </row>
    <row r="895" spans="3:40" ht="20" customHeight="1">
      <c r="C895" s="188"/>
      <c r="E895" s="188"/>
      <c r="AN895" s="187"/>
    </row>
    <row r="896" spans="3:40" ht="20" customHeight="1">
      <c r="C896" s="188"/>
      <c r="E896" s="188"/>
      <c r="AN896" s="187"/>
    </row>
    <row r="897" spans="3:40" ht="20" customHeight="1">
      <c r="C897" s="188"/>
      <c r="E897" s="188"/>
      <c r="AN897" s="187"/>
    </row>
    <row r="898" spans="3:40" ht="20" customHeight="1">
      <c r="C898" s="188"/>
      <c r="E898" s="188"/>
      <c r="AN898" s="187"/>
    </row>
    <row r="899" spans="3:40" ht="20" customHeight="1">
      <c r="C899" s="188"/>
      <c r="E899" s="188"/>
      <c r="AN899" s="187"/>
    </row>
    <row r="900" spans="3:40" ht="20" customHeight="1">
      <c r="C900" s="188"/>
      <c r="E900" s="188"/>
      <c r="AN900" s="187"/>
    </row>
    <row r="901" spans="3:40" ht="20" customHeight="1">
      <c r="C901" s="188"/>
      <c r="E901" s="188"/>
      <c r="AN901" s="187"/>
    </row>
    <row r="902" spans="3:40" ht="20" customHeight="1">
      <c r="C902" s="188"/>
      <c r="E902" s="188"/>
      <c r="AN902" s="187"/>
    </row>
    <row r="903" spans="3:40" ht="20" customHeight="1">
      <c r="C903" s="188"/>
      <c r="E903" s="188"/>
      <c r="AN903" s="187"/>
    </row>
    <row r="904" spans="3:40" ht="20" customHeight="1">
      <c r="C904" s="188"/>
      <c r="E904" s="188"/>
      <c r="AN904" s="187"/>
    </row>
    <row r="905" spans="3:40" ht="20" customHeight="1">
      <c r="C905" s="188"/>
      <c r="E905" s="188"/>
      <c r="AN905" s="187"/>
    </row>
    <row r="906" spans="3:40" ht="20" customHeight="1">
      <c r="C906" s="188"/>
      <c r="E906" s="188"/>
      <c r="AN906" s="187"/>
    </row>
    <row r="907" spans="3:40" ht="20" customHeight="1">
      <c r="C907" s="188"/>
      <c r="E907" s="188"/>
      <c r="AN907" s="187"/>
    </row>
    <row r="908" spans="3:40" ht="20" customHeight="1">
      <c r="C908" s="188"/>
      <c r="E908" s="188"/>
      <c r="AN908" s="187"/>
    </row>
    <row r="909" spans="3:40" ht="20" customHeight="1">
      <c r="C909" s="188"/>
      <c r="E909" s="188"/>
      <c r="AN909" s="187"/>
    </row>
    <row r="910" spans="3:40" ht="20" customHeight="1">
      <c r="C910" s="188"/>
      <c r="E910" s="188"/>
      <c r="AN910" s="187"/>
    </row>
    <row r="911" spans="3:40" ht="20" customHeight="1">
      <c r="C911" s="188"/>
      <c r="E911" s="188"/>
      <c r="AN911" s="187"/>
    </row>
    <row r="912" spans="3:40" ht="20" customHeight="1">
      <c r="C912" s="188"/>
      <c r="E912" s="188"/>
      <c r="AN912" s="187"/>
    </row>
    <row r="913" spans="3:40" ht="20" customHeight="1">
      <c r="C913" s="188"/>
      <c r="E913" s="188"/>
      <c r="AN913" s="187"/>
    </row>
    <row r="914" spans="3:40" ht="20" customHeight="1">
      <c r="C914" s="188"/>
      <c r="E914" s="188"/>
      <c r="AN914" s="187"/>
    </row>
    <row r="915" spans="3:40" ht="20" customHeight="1">
      <c r="C915" s="188"/>
      <c r="E915" s="188"/>
      <c r="AN915" s="187"/>
    </row>
    <row r="916" spans="3:40" ht="20" customHeight="1">
      <c r="C916" s="188"/>
      <c r="E916" s="188"/>
      <c r="AN916" s="187"/>
    </row>
    <row r="917" spans="3:40" ht="20" customHeight="1">
      <c r="C917" s="188"/>
      <c r="E917" s="188"/>
      <c r="AN917" s="187"/>
    </row>
    <row r="918" spans="3:40" ht="20" customHeight="1">
      <c r="C918" s="188"/>
      <c r="E918" s="188"/>
      <c r="AN918" s="187"/>
    </row>
    <row r="919" spans="3:40" ht="20" customHeight="1">
      <c r="C919" s="188"/>
      <c r="E919" s="188"/>
      <c r="AN919" s="187"/>
    </row>
    <row r="920" spans="3:40" ht="20" customHeight="1">
      <c r="C920" s="188"/>
      <c r="E920" s="188"/>
      <c r="AN920" s="187"/>
    </row>
    <row r="921" spans="3:40" ht="20" customHeight="1">
      <c r="C921" s="188"/>
      <c r="E921" s="188"/>
      <c r="AN921" s="187"/>
    </row>
    <row r="922" spans="3:40" ht="20" customHeight="1">
      <c r="C922" s="188"/>
      <c r="E922" s="188"/>
      <c r="AN922" s="187"/>
    </row>
    <row r="923" spans="3:40" ht="20" customHeight="1">
      <c r="C923" s="188"/>
      <c r="E923" s="188"/>
      <c r="AN923" s="187"/>
    </row>
    <row r="924" spans="3:40" ht="20" customHeight="1">
      <c r="C924" s="188"/>
      <c r="E924" s="188"/>
      <c r="AN924" s="187"/>
    </row>
    <row r="925" spans="3:40" ht="20" customHeight="1">
      <c r="C925" s="188"/>
      <c r="E925" s="188"/>
      <c r="AN925" s="187"/>
    </row>
    <row r="926" spans="3:40" ht="20" customHeight="1">
      <c r="C926" s="188"/>
      <c r="E926" s="188"/>
      <c r="AN926" s="187"/>
    </row>
    <row r="927" spans="3:40" ht="20" customHeight="1">
      <c r="C927" s="188"/>
      <c r="E927" s="188"/>
      <c r="AN927" s="187"/>
    </row>
    <row r="928" spans="3:40" ht="20" customHeight="1">
      <c r="C928" s="188"/>
      <c r="E928" s="188"/>
      <c r="AN928" s="187"/>
    </row>
    <row r="929" spans="3:40" ht="20" customHeight="1">
      <c r="C929" s="188"/>
      <c r="E929" s="188"/>
      <c r="AN929" s="187"/>
    </row>
    <row r="930" spans="3:40" ht="20" customHeight="1">
      <c r="C930" s="188"/>
      <c r="E930" s="188"/>
      <c r="AN930" s="187"/>
    </row>
    <row r="931" spans="3:40" ht="20" customHeight="1">
      <c r="C931" s="188"/>
      <c r="E931" s="188"/>
      <c r="AN931" s="187"/>
    </row>
    <row r="932" spans="3:40" ht="20" customHeight="1">
      <c r="C932" s="188"/>
      <c r="E932" s="188"/>
      <c r="AN932" s="187"/>
    </row>
    <row r="933" spans="3:40" ht="20" customHeight="1">
      <c r="C933" s="188"/>
      <c r="E933" s="188"/>
      <c r="AN933" s="187"/>
    </row>
    <row r="934" spans="3:40" ht="20" customHeight="1">
      <c r="C934" s="188"/>
      <c r="E934" s="188"/>
      <c r="AN934" s="187"/>
    </row>
    <row r="935" spans="3:40" ht="20" customHeight="1">
      <c r="C935" s="188"/>
      <c r="E935" s="188"/>
      <c r="AN935" s="187"/>
    </row>
    <row r="936" spans="3:40" ht="20" customHeight="1">
      <c r="C936" s="188"/>
      <c r="E936" s="188"/>
      <c r="AN936" s="187"/>
    </row>
    <row r="937" spans="3:40" ht="20" customHeight="1">
      <c r="C937" s="188"/>
      <c r="E937" s="188"/>
      <c r="AN937" s="187"/>
    </row>
    <row r="938" spans="3:40" ht="20" customHeight="1">
      <c r="C938" s="188"/>
      <c r="E938" s="188"/>
      <c r="AN938" s="187"/>
    </row>
    <row r="939" spans="3:40" ht="20" customHeight="1">
      <c r="C939" s="188"/>
      <c r="E939" s="188"/>
      <c r="AN939" s="187"/>
    </row>
    <row r="940" spans="3:40" ht="20" customHeight="1">
      <c r="C940" s="188"/>
      <c r="E940" s="188"/>
      <c r="AN940" s="187"/>
    </row>
    <row r="941" spans="3:40" ht="20" customHeight="1">
      <c r="C941" s="188"/>
      <c r="E941" s="188"/>
      <c r="AN941" s="187"/>
    </row>
    <row r="942" spans="3:40" ht="20" customHeight="1">
      <c r="C942" s="188"/>
      <c r="E942" s="188"/>
      <c r="AN942" s="187"/>
    </row>
    <row r="943" spans="3:40" ht="20" customHeight="1">
      <c r="C943" s="188"/>
      <c r="E943" s="188"/>
      <c r="AN943" s="187"/>
    </row>
    <row r="944" spans="3:40" ht="20" customHeight="1">
      <c r="C944" s="188"/>
      <c r="E944" s="188"/>
      <c r="AN944" s="187"/>
    </row>
    <row r="945" spans="3:40" ht="20" customHeight="1">
      <c r="C945" s="188"/>
      <c r="E945" s="188"/>
      <c r="AN945" s="187"/>
    </row>
    <row r="946" spans="3:40" ht="20" customHeight="1">
      <c r="C946" s="188"/>
      <c r="E946" s="188"/>
      <c r="AN946" s="187"/>
    </row>
    <row r="947" spans="3:40" ht="20" customHeight="1">
      <c r="C947" s="188"/>
      <c r="E947" s="188"/>
      <c r="AN947" s="187"/>
    </row>
    <row r="948" spans="3:40" ht="20" customHeight="1">
      <c r="C948" s="188"/>
      <c r="E948" s="188"/>
      <c r="AN948" s="187"/>
    </row>
    <row r="949" spans="3:40" ht="20" customHeight="1">
      <c r="C949" s="188"/>
      <c r="E949" s="188"/>
      <c r="AN949" s="187"/>
    </row>
    <row r="950" spans="3:40" ht="20" customHeight="1">
      <c r="C950" s="188"/>
      <c r="E950" s="188"/>
      <c r="AN950" s="187"/>
    </row>
    <row r="951" spans="3:40" ht="20" customHeight="1">
      <c r="C951" s="188"/>
      <c r="E951" s="188"/>
      <c r="AN951" s="187"/>
    </row>
    <row r="952" spans="3:40" ht="20" customHeight="1">
      <c r="C952" s="188"/>
      <c r="E952" s="188"/>
      <c r="AN952" s="187"/>
    </row>
    <row r="953" spans="3:40" ht="20" customHeight="1">
      <c r="C953" s="188"/>
      <c r="E953" s="188"/>
      <c r="AN953" s="187"/>
    </row>
    <row r="954" spans="3:40" ht="20" customHeight="1">
      <c r="C954" s="188"/>
      <c r="E954" s="188"/>
      <c r="AN954" s="187"/>
    </row>
    <row r="955" spans="3:40" ht="20" customHeight="1">
      <c r="C955" s="188"/>
      <c r="E955" s="188"/>
      <c r="AN955" s="187"/>
    </row>
    <row r="956" spans="3:40" ht="20" customHeight="1">
      <c r="C956" s="188"/>
      <c r="E956" s="188"/>
      <c r="AN956" s="187"/>
    </row>
    <row r="957" spans="3:40" ht="20" customHeight="1">
      <c r="C957" s="188"/>
      <c r="E957" s="188"/>
      <c r="AN957" s="187"/>
    </row>
    <row r="958" spans="3:40" ht="20" customHeight="1">
      <c r="C958" s="188"/>
      <c r="E958" s="188"/>
      <c r="AN958" s="187"/>
    </row>
    <row r="959" spans="3:40" ht="20" customHeight="1">
      <c r="C959" s="188"/>
      <c r="E959" s="188"/>
      <c r="AN959" s="187"/>
    </row>
    <row r="960" spans="3:40" ht="20" customHeight="1">
      <c r="C960" s="188"/>
      <c r="E960" s="188"/>
      <c r="AN960" s="187"/>
    </row>
    <row r="961" spans="3:40" ht="20" customHeight="1">
      <c r="C961" s="188"/>
      <c r="E961" s="188"/>
      <c r="AN961" s="187"/>
    </row>
    <row r="962" spans="3:40" ht="20" customHeight="1">
      <c r="C962" s="188"/>
      <c r="E962" s="188"/>
      <c r="AN962" s="187"/>
    </row>
    <row r="963" spans="3:40" ht="20" customHeight="1">
      <c r="C963" s="188"/>
      <c r="E963" s="188"/>
      <c r="AN963" s="187"/>
    </row>
    <row r="964" spans="3:40" ht="20" customHeight="1">
      <c r="C964" s="188"/>
      <c r="E964" s="188"/>
      <c r="AN964" s="187"/>
    </row>
    <row r="965" spans="3:40" ht="20" customHeight="1">
      <c r="C965" s="188"/>
      <c r="E965" s="188"/>
      <c r="AN965" s="187"/>
    </row>
    <row r="966" spans="3:40" ht="20" customHeight="1">
      <c r="C966" s="188"/>
      <c r="E966" s="188"/>
      <c r="AN966" s="187"/>
    </row>
    <row r="967" spans="3:40" ht="20" customHeight="1">
      <c r="C967" s="188"/>
      <c r="E967" s="188"/>
      <c r="AN967" s="187"/>
    </row>
    <row r="968" spans="3:40" ht="20" customHeight="1">
      <c r="C968" s="188"/>
      <c r="E968" s="188"/>
      <c r="AN968" s="187"/>
    </row>
    <row r="969" spans="3:40" ht="20" customHeight="1">
      <c r="C969" s="188"/>
      <c r="E969" s="188"/>
      <c r="AN969" s="187"/>
    </row>
    <row r="970" spans="3:40" ht="20" customHeight="1">
      <c r="C970" s="188"/>
      <c r="E970" s="188"/>
      <c r="AN970" s="187"/>
    </row>
    <row r="971" spans="3:40" ht="20" customHeight="1">
      <c r="C971" s="188"/>
      <c r="E971" s="188"/>
      <c r="AN971" s="187"/>
    </row>
    <row r="972" spans="3:40" ht="20" customHeight="1">
      <c r="C972" s="188"/>
      <c r="E972" s="188"/>
      <c r="AN972" s="187"/>
    </row>
    <row r="973" spans="3:40" ht="20" customHeight="1">
      <c r="C973" s="188"/>
      <c r="E973" s="188"/>
      <c r="AN973" s="187"/>
    </row>
    <row r="974" spans="3:40" ht="20" customHeight="1">
      <c r="C974" s="188"/>
      <c r="E974" s="188"/>
      <c r="AN974" s="187"/>
    </row>
    <row r="975" spans="3:40" ht="20" customHeight="1">
      <c r="C975" s="188"/>
      <c r="E975" s="188"/>
      <c r="AN975" s="187"/>
    </row>
    <row r="976" spans="3:40" ht="20" customHeight="1">
      <c r="C976" s="188"/>
      <c r="E976" s="188"/>
      <c r="AN976" s="187"/>
    </row>
    <row r="977" spans="3:40" ht="20" customHeight="1">
      <c r="C977" s="188"/>
      <c r="E977" s="188"/>
      <c r="AN977" s="187"/>
    </row>
    <row r="978" spans="3:40" ht="20" customHeight="1">
      <c r="C978" s="188"/>
      <c r="E978" s="188"/>
      <c r="AN978" s="187"/>
    </row>
    <row r="979" spans="3:40" ht="20" customHeight="1">
      <c r="C979" s="188"/>
      <c r="E979" s="188"/>
      <c r="AN979" s="187"/>
    </row>
    <row r="980" spans="3:40" ht="20" customHeight="1">
      <c r="C980" s="188"/>
      <c r="E980" s="188"/>
      <c r="AN980" s="187"/>
    </row>
    <row r="981" spans="3:40" ht="20" customHeight="1">
      <c r="C981" s="188"/>
      <c r="E981" s="188"/>
      <c r="AN981" s="187"/>
    </row>
    <row r="982" spans="3:40" ht="20" customHeight="1">
      <c r="C982" s="188"/>
      <c r="E982" s="188"/>
      <c r="AN982" s="187"/>
    </row>
    <row r="983" spans="3:40" ht="20" customHeight="1">
      <c r="C983" s="188"/>
      <c r="E983" s="188"/>
      <c r="AN983" s="187"/>
    </row>
    <row r="984" spans="3:40" ht="20" customHeight="1">
      <c r="C984" s="188"/>
      <c r="E984" s="188"/>
      <c r="AN984" s="187"/>
    </row>
    <row r="985" spans="3:40" ht="20" customHeight="1">
      <c r="C985" s="188"/>
      <c r="E985" s="188"/>
      <c r="AN985" s="187"/>
    </row>
    <row r="986" spans="3:40" ht="20" customHeight="1">
      <c r="C986" s="188"/>
      <c r="E986" s="188"/>
      <c r="AN986" s="187"/>
    </row>
    <row r="987" spans="3:40" ht="20" customHeight="1">
      <c r="C987" s="188"/>
      <c r="E987" s="188"/>
      <c r="AN987" s="187"/>
    </row>
    <row r="988" spans="3:40" ht="20" customHeight="1">
      <c r="C988" s="188"/>
      <c r="E988" s="188"/>
      <c r="AN988" s="187"/>
    </row>
    <row r="989" spans="3:40" ht="20" customHeight="1">
      <c r="C989" s="188"/>
      <c r="E989" s="188"/>
      <c r="AN989" s="187"/>
    </row>
    <row r="990" spans="3:40" ht="20" customHeight="1">
      <c r="C990" s="188"/>
      <c r="E990" s="188"/>
      <c r="AN990" s="187"/>
    </row>
    <row r="991" spans="3:40" ht="20" customHeight="1">
      <c r="C991" s="188"/>
      <c r="E991" s="188"/>
      <c r="AN991" s="187"/>
    </row>
    <row r="992" spans="3:40" ht="20" customHeight="1">
      <c r="C992" s="188"/>
      <c r="E992" s="188"/>
      <c r="AN992" s="187"/>
    </row>
    <row r="993" spans="3:40" ht="20" customHeight="1">
      <c r="C993" s="188"/>
      <c r="E993" s="188"/>
      <c r="AN993" s="187"/>
    </row>
    <row r="994" spans="3:40" ht="20" customHeight="1">
      <c r="C994" s="188"/>
      <c r="E994" s="188"/>
      <c r="AN994" s="187"/>
    </row>
    <row r="995" spans="3:40" ht="20" customHeight="1">
      <c r="C995" s="188"/>
      <c r="E995" s="188"/>
      <c r="AN995" s="187"/>
    </row>
    <row r="996" spans="3:40" ht="20" customHeight="1">
      <c r="C996" s="188"/>
      <c r="E996" s="188"/>
      <c r="AN996" s="187"/>
    </row>
    <row r="997" spans="3:40" ht="20" customHeight="1">
      <c r="C997" s="188"/>
      <c r="E997" s="188"/>
      <c r="AN997" s="187"/>
    </row>
    <row r="998" spans="3:40" ht="20" customHeight="1">
      <c r="C998" s="188"/>
      <c r="E998" s="188"/>
      <c r="AN998" s="187"/>
    </row>
    <row r="999" spans="3:40" ht="20" customHeight="1">
      <c r="C999" s="188"/>
      <c r="E999" s="188"/>
      <c r="AN999" s="187"/>
    </row>
    <row r="1000" spans="3:40" ht="20" customHeight="1">
      <c r="C1000" s="188"/>
      <c r="E1000" s="188"/>
      <c r="AN1000" s="187"/>
    </row>
    <row r="1001" spans="3:40" ht="20" customHeight="1">
      <c r="C1001" s="188"/>
      <c r="E1001" s="188"/>
      <c r="AN1001" s="187"/>
    </row>
    <row r="1002" spans="3:40" ht="20" customHeight="1">
      <c r="C1002" s="188"/>
      <c r="E1002" s="188"/>
      <c r="AN1002" s="187"/>
    </row>
    <row r="1003" spans="3:40" ht="20" customHeight="1">
      <c r="C1003" s="188"/>
      <c r="E1003" s="188"/>
      <c r="AN1003" s="187"/>
    </row>
    <row r="1004" spans="3:40" ht="20" customHeight="1">
      <c r="C1004" s="188"/>
      <c r="E1004" s="188"/>
      <c r="AN1004" s="187"/>
    </row>
    <row r="1005" spans="3:40" ht="20" customHeight="1">
      <c r="C1005" s="188"/>
      <c r="E1005" s="188"/>
      <c r="AN1005" s="187"/>
    </row>
    <row r="1006" spans="3:40" ht="20" customHeight="1">
      <c r="C1006" s="188"/>
      <c r="E1006" s="188"/>
      <c r="AN1006" s="187"/>
    </row>
    <row r="1007" spans="3:40" ht="20" customHeight="1">
      <c r="C1007" s="188"/>
      <c r="E1007" s="188"/>
      <c r="AN1007" s="187"/>
    </row>
    <row r="1008" spans="3:40" ht="20" customHeight="1">
      <c r="C1008" s="188"/>
      <c r="E1008" s="188"/>
      <c r="AN1008" s="187"/>
    </row>
    <row r="1009" spans="3:40" ht="20" customHeight="1">
      <c r="C1009" s="188"/>
      <c r="E1009" s="188"/>
      <c r="AN1009" s="187"/>
    </row>
    <row r="1010" spans="3:40" ht="20" customHeight="1">
      <c r="C1010" s="188"/>
      <c r="E1010" s="188"/>
      <c r="AN1010" s="187"/>
    </row>
    <row r="1011" spans="3:40" ht="20" customHeight="1">
      <c r="C1011" s="188"/>
      <c r="E1011" s="188"/>
      <c r="AN1011" s="187"/>
    </row>
    <row r="1012" spans="3:40" ht="20" customHeight="1">
      <c r="C1012" s="188"/>
      <c r="E1012" s="188"/>
      <c r="AN1012" s="187"/>
    </row>
    <row r="1013" spans="3:40" ht="20" customHeight="1">
      <c r="C1013" s="188"/>
      <c r="E1013" s="188"/>
      <c r="AN1013" s="187"/>
    </row>
    <row r="1014" spans="3:40" ht="20" customHeight="1">
      <c r="C1014" s="188"/>
      <c r="E1014" s="188"/>
      <c r="AN1014" s="187"/>
    </row>
    <row r="1015" spans="3:40" ht="20" customHeight="1">
      <c r="C1015" s="188"/>
      <c r="E1015" s="188"/>
      <c r="AN1015" s="187"/>
    </row>
    <row r="1016" spans="3:40" ht="20" customHeight="1">
      <c r="C1016" s="188"/>
      <c r="E1016" s="188"/>
      <c r="AN1016" s="187"/>
    </row>
    <row r="1017" spans="3:40" ht="20" customHeight="1">
      <c r="C1017" s="188"/>
      <c r="E1017" s="188"/>
      <c r="AN1017" s="187"/>
    </row>
    <row r="1018" spans="3:40" ht="20" customHeight="1">
      <c r="C1018" s="188"/>
      <c r="E1018" s="188"/>
      <c r="AN1018" s="187"/>
    </row>
    <row r="1019" spans="3:40" ht="20" customHeight="1">
      <c r="C1019" s="188"/>
      <c r="E1019" s="188"/>
      <c r="AN1019" s="187"/>
    </row>
    <row r="1020" spans="3:40" ht="20" customHeight="1">
      <c r="C1020" s="188"/>
      <c r="E1020" s="188"/>
      <c r="AN1020" s="187"/>
    </row>
    <row r="1021" spans="3:40" ht="20" customHeight="1">
      <c r="C1021" s="188"/>
      <c r="E1021" s="188"/>
      <c r="AN1021" s="187"/>
    </row>
    <row r="1022" spans="3:40" ht="20" customHeight="1">
      <c r="C1022" s="188"/>
      <c r="E1022" s="188"/>
      <c r="AN1022" s="187"/>
    </row>
    <row r="1023" spans="3:40" ht="20" customHeight="1">
      <c r="C1023" s="188"/>
      <c r="E1023" s="188"/>
      <c r="AN1023" s="187"/>
    </row>
    <row r="1024" spans="3:40" ht="20" customHeight="1">
      <c r="C1024" s="188"/>
      <c r="E1024" s="188"/>
      <c r="AN1024" s="187"/>
    </row>
    <row r="1025" spans="3:40" ht="20" customHeight="1">
      <c r="C1025" s="188"/>
      <c r="E1025" s="188"/>
      <c r="AN1025" s="187"/>
    </row>
    <row r="1026" spans="3:40" ht="20" customHeight="1">
      <c r="C1026" s="188"/>
      <c r="E1026" s="188"/>
      <c r="AN1026" s="187"/>
    </row>
    <row r="1027" spans="3:40" ht="20" customHeight="1">
      <c r="C1027" s="188"/>
      <c r="E1027" s="188"/>
      <c r="AN1027" s="187"/>
    </row>
    <row r="1028" spans="3:40" ht="20" customHeight="1">
      <c r="C1028" s="188"/>
      <c r="E1028" s="188"/>
      <c r="AN1028" s="187"/>
    </row>
    <row r="1029" spans="3:40" ht="20" customHeight="1">
      <c r="C1029" s="188"/>
      <c r="E1029" s="188"/>
      <c r="AN1029" s="187"/>
    </row>
    <row r="1030" spans="3:40" ht="20" customHeight="1">
      <c r="C1030" s="188"/>
      <c r="E1030" s="188"/>
      <c r="AN1030" s="187"/>
    </row>
    <row r="1031" spans="3:40" ht="20" customHeight="1">
      <c r="C1031" s="188"/>
      <c r="E1031" s="188"/>
      <c r="AN1031" s="187"/>
    </row>
    <row r="1032" spans="3:40" ht="20" customHeight="1">
      <c r="C1032" s="188"/>
      <c r="E1032" s="188"/>
      <c r="AN1032" s="187"/>
    </row>
    <row r="1033" spans="3:40" ht="20" customHeight="1">
      <c r="C1033" s="188"/>
      <c r="E1033" s="188"/>
      <c r="AN1033" s="187"/>
    </row>
    <row r="1034" spans="3:40" ht="20" customHeight="1">
      <c r="C1034" s="188"/>
      <c r="E1034" s="188"/>
      <c r="AN1034" s="187"/>
    </row>
    <row r="1035" spans="3:40" ht="20" customHeight="1">
      <c r="C1035" s="188"/>
      <c r="E1035" s="188"/>
      <c r="AN1035" s="187"/>
    </row>
    <row r="1036" spans="3:40" ht="20" customHeight="1">
      <c r="C1036" s="188"/>
      <c r="E1036" s="188"/>
      <c r="AN1036" s="187"/>
    </row>
    <row r="1037" spans="3:40" ht="20" customHeight="1">
      <c r="C1037" s="188"/>
      <c r="E1037" s="188"/>
      <c r="AN1037" s="187"/>
    </row>
    <row r="1038" spans="3:40" ht="20" customHeight="1">
      <c r="C1038" s="188"/>
      <c r="E1038" s="188"/>
      <c r="AN1038" s="187"/>
    </row>
    <row r="1039" spans="3:40" ht="20" customHeight="1">
      <c r="C1039" s="188"/>
      <c r="E1039" s="188"/>
      <c r="AN1039" s="187"/>
    </row>
    <row r="1040" spans="3:40" ht="20" customHeight="1">
      <c r="C1040" s="188"/>
      <c r="E1040" s="188"/>
      <c r="AN1040" s="187"/>
    </row>
    <row r="1041" spans="3:40" ht="20" customHeight="1">
      <c r="C1041" s="188"/>
      <c r="E1041" s="188"/>
      <c r="AN1041" s="187"/>
    </row>
    <row r="1042" spans="3:40" ht="20" customHeight="1">
      <c r="C1042" s="188"/>
      <c r="E1042" s="188"/>
      <c r="AN1042" s="187"/>
    </row>
    <row r="1043" spans="3:40" ht="20" customHeight="1">
      <c r="C1043" s="188"/>
      <c r="E1043" s="188"/>
      <c r="AN1043" s="187"/>
    </row>
    <row r="1044" spans="3:40" ht="20" customHeight="1">
      <c r="C1044" s="188"/>
      <c r="E1044" s="188"/>
      <c r="AN1044" s="187"/>
    </row>
    <row r="1045" spans="3:40" ht="20" customHeight="1">
      <c r="C1045" s="188"/>
      <c r="E1045" s="188"/>
      <c r="AN1045" s="187"/>
    </row>
    <row r="1046" spans="3:40" ht="20" customHeight="1">
      <c r="C1046" s="188"/>
      <c r="E1046" s="188"/>
      <c r="AN1046" s="187"/>
    </row>
    <row r="1047" spans="3:40" ht="20" customHeight="1">
      <c r="C1047" s="188"/>
      <c r="E1047" s="188"/>
      <c r="AN1047" s="187"/>
    </row>
    <row r="1048" spans="3:40" ht="20" customHeight="1">
      <c r="C1048" s="188"/>
      <c r="E1048" s="188"/>
      <c r="AN1048" s="187"/>
    </row>
    <row r="1049" spans="3:40" ht="20" customHeight="1">
      <c r="C1049" s="188"/>
      <c r="E1049" s="188"/>
      <c r="AN1049" s="187"/>
    </row>
    <row r="1050" spans="3:40" ht="20" customHeight="1">
      <c r="C1050" s="188"/>
      <c r="E1050" s="188"/>
      <c r="AN1050" s="187"/>
    </row>
    <row r="1051" spans="3:40" ht="20" customHeight="1">
      <c r="C1051" s="188"/>
      <c r="E1051" s="188"/>
      <c r="AN1051" s="187"/>
    </row>
    <row r="1052" spans="3:40" ht="20" customHeight="1">
      <c r="C1052" s="188"/>
      <c r="E1052" s="188"/>
      <c r="AN1052" s="187"/>
    </row>
    <row r="1053" spans="3:40" ht="20" customHeight="1">
      <c r="C1053" s="188"/>
      <c r="E1053" s="188"/>
      <c r="AN1053" s="187"/>
    </row>
    <row r="1054" spans="3:40" ht="20" customHeight="1">
      <c r="C1054" s="188"/>
      <c r="E1054" s="188"/>
      <c r="AN1054" s="187"/>
    </row>
    <row r="1055" spans="3:40" ht="20" customHeight="1">
      <c r="C1055" s="188"/>
      <c r="E1055" s="188"/>
      <c r="AN1055" s="187"/>
    </row>
    <row r="1056" spans="3:40" ht="20" customHeight="1">
      <c r="C1056" s="188"/>
      <c r="E1056" s="188"/>
      <c r="AN1056" s="187"/>
    </row>
    <row r="1057" spans="3:40" ht="20" customHeight="1">
      <c r="C1057" s="188"/>
      <c r="E1057" s="188"/>
      <c r="AN1057" s="187"/>
    </row>
    <row r="1058" spans="3:40" ht="20" customHeight="1">
      <c r="C1058" s="188"/>
      <c r="E1058" s="188"/>
      <c r="AN1058" s="187"/>
    </row>
    <row r="1059" spans="3:40" ht="20" customHeight="1">
      <c r="C1059" s="188"/>
      <c r="E1059" s="188"/>
      <c r="AN1059" s="187"/>
    </row>
    <row r="1060" spans="3:40" ht="20" customHeight="1">
      <c r="C1060" s="188"/>
      <c r="E1060" s="188"/>
      <c r="AN1060" s="187"/>
    </row>
    <row r="1061" spans="3:40" ht="20" customHeight="1">
      <c r="C1061" s="188"/>
      <c r="E1061" s="188"/>
      <c r="AN1061" s="187"/>
    </row>
    <row r="1062" spans="3:40" ht="20" customHeight="1">
      <c r="C1062" s="188"/>
      <c r="E1062" s="188"/>
      <c r="AN1062" s="187"/>
    </row>
    <row r="1063" spans="3:40" ht="20" customHeight="1">
      <c r="C1063" s="188"/>
      <c r="E1063" s="188"/>
      <c r="AN1063" s="187"/>
    </row>
    <row r="1064" spans="3:40" ht="20" customHeight="1">
      <c r="C1064" s="188"/>
      <c r="E1064" s="188"/>
      <c r="AN1064" s="187"/>
    </row>
    <row r="1065" spans="3:40" ht="20" customHeight="1">
      <c r="C1065" s="188"/>
      <c r="E1065" s="188"/>
      <c r="AN1065" s="187"/>
    </row>
    <row r="1066" spans="3:40" ht="20" customHeight="1">
      <c r="C1066" s="188"/>
      <c r="E1066" s="188"/>
      <c r="AN1066" s="187"/>
    </row>
    <row r="1067" spans="3:40" ht="20" customHeight="1">
      <c r="C1067" s="188"/>
      <c r="E1067" s="188"/>
      <c r="AN1067" s="187"/>
    </row>
    <row r="1068" spans="3:40" ht="20" customHeight="1">
      <c r="C1068" s="188"/>
      <c r="E1068" s="188"/>
      <c r="AN1068" s="187"/>
    </row>
    <row r="1069" spans="3:40" ht="20" customHeight="1">
      <c r="C1069" s="188"/>
      <c r="E1069" s="188"/>
      <c r="AN1069" s="187"/>
    </row>
    <row r="1070" spans="3:40" ht="20" customHeight="1">
      <c r="C1070" s="188"/>
      <c r="E1070" s="188"/>
      <c r="AN1070" s="187"/>
    </row>
    <row r="1071" spans="3:40" ht="20" customHeight="1">
      <c r="C1071" s="188"/>
      <c r="E1071" s="188"/>
      <c r="AN1071" s="187"/>
    </row>
    <row r="1072" spans="3:40" ht="20" customHeight="1">
      <c r="C1072" s="188"/>
      <c r="E1072" s="188"/>
      <c r="AN1072" s="187"/>
    </row>
    <row r="1073" spans="3:40" ht="20" customHeight="1">
      <c r="C1073" s="188"/>
      <c r="E1073" s="188"/>
      <c r="AN1073" s="187"/>
    </row>
    <row r="1074" spans="3:40" ht="20" customHeight="1">
      <c r="C1074" s="188"/>
      <c r="E1074" s="188"/>
      <c r="AN1074" s="187"/>
    </row>
    <row r="1075" spans="3:40" ht="20" customHeight="1">
      <c r="C1075" s="188"/>
      <c r="E1075" s="188"/>
      <c r="AN1075" s="187"/>
    </row>
    <row r="1076" spans="3:40" ht="20" customHeight="1">
      <c r="C1076" s="188"/>
      <c r="E1076" s="188"/>
      <c r="AN1076" s="187"/>
    </row>
    <row r="1077" spans="3:40" ht="20" customHeight="1">
      <c r="C1077" s="188"/>
      <c r="E1077" s="188"/>
      <c r="AN1077" s="187"/>
    </row>
    <row r="1078" spans="3:40" ht="20" customHeight="1">
      <c r="C1078" s="188"/>
      <c r="E1078" s="188"/>
      <c r="AN1078" s="187"/>
    </row>
    <row r="1079" spans="3:40" ht="20" customHeight="1">
      <c r="C1079" s="188"/>
      <c r="E1079" s="188"/>
      <c r="AN1079" s="187"/>
    </row>
    <row r="1080" spans="3:40" ht="20" customHeight="1">
      <c r="C1080" s="188"/>
      <c r="E1080" s="188"/>
      <c r="AN1080" s="187"/>
    </row>
    <row r="1081" spans="3:40" ht="20" customHeight="1">
      <c r="C1081" s="188"/>
      <c r="E1081" s="188"/>
      <c r="AN1081" s="187"/>
    </row>
    <row r="1082" spans="3:40" ht="20" customHeight="1">
      <c r="C1082" s="188"/>
      <c r="E1082" s="188"/>
      <c r="AN1082" s="187"/>
    </row>
    <row r="1083" spans="3:40" ht="20" customHeight="1">
      <c r="C1083" s="188"/>
      <c r="E1083" s="188"/>
      <c r="AN1083" s="187"/>
    </row>
    <row r="1084" spans="3:40" ht="20" customHeight="1">
      <c r="C1084" s="188"/>
      <c r="E1084" s="188"/>
      <c r="AN1084" s="187"/>
    </row>
    <row r="1085" spans="3:40" ht="20" customHeight="1">
      <c r="C1085" s="188"/>
      <c r="E1085" s="188"/>
      <c r="AN1085" s="187"/>
    </row>
    <row r="1086" spans="3:40" ht="20" customHeight="1">
      <c r="C1086" s="188"/>
      <c r="E1086" s="188"/>
      <c r="AN1086" s="187"/>
    </row>
    <row r="1087" spans="3:40" ht="20" customHeight="1">
      <c r="C1087" s="188"/>
      <c r="E1087" s="188"/>
      <c r="AN1087" s="187"/>
    </row>
    <row r="1088" spans="3:40" ht="20" customHeight="1">
      <c r="C1088" s="188"/>
      <c r="E1088" s="188"/>
      <c r="AN1088" s="187"/>
    </row>
    <row r="1089" spans="3:40" ht="20" customHeight="1">
      <c r="C1089" s="188"/>
      <c r="E1089" s="188"/>
      <c r="AN1089" s="187"/>
    </row>
    <row r="1090" spans="3:40" ht="20" customHeight="1">
      <c r="C1090" s="188"/>
      <c r="E1090" s="188"/>
      <c r="AN1090" s="187"/>
    </row>
    <row r="1091" spans="3:40" ht="20" customHeight="1">
      <c r="C1091" s="188"/>
      <c r="E1091" s="188"/>
      <c r="AN1091" s="187"/>
    </row>
    <row r="1092" spans="3:40" ht="20" customHeight="1">
      <c r="C1092" s="188"/>
      <c r="E1092" s="188"/>
      <c r="AN1092" s="187"/>
    </row>
    <row r="1093" spans="3:40" ht="20" customHeight="1">
      <c r="C1093" s="188"/>
      <c r="E1093" s="188"/>
      <c r="AN1093" s="187"/>
    </row>
    <row r="1094" spans="3:40" ht="20" customHeight="1">
      <c r="C1094" s="188"/>
      <c r="E1094" s="188"/>
      <c r="AN1094" s="187"/>
    </row>
    <row r="1095" spans="3:40" ht="20" customHeight="1">
      <c r="C1095" s="188"/>
      <c r="E1095" s="188"/>
      <c r="AN1095" s="187"/>
    </row>
    <row r="1096" spans="3:40" ht="20" customHeight="1">
      <c r="C1096" s="188"/>
      <c r="E1096" s="188"/>
      <c r="AN1096" s="187"/>
    </row>
    <row r="1097" spans="3:40" ht="20" customHeight="1">
      <c r="C1097" s="188"/>
      <c r="E1097" s="188"/>
      <c r="AN1097" s="187"/>
    </row>
    <row r="1098" spans="3:40" ht="20" customHeight="1">
      <c r="C1098" s="188"/>
      <c r="E1098" s="188"/>
      <c r="AN1098" s="187"/>
    </row>
    <row r="1099" spans="3:40" ht="20" customHeight="1">
      <c r="C1099" s="188"/>
      <c r="E1099" s="188"/>
      <c r="AN1099" s="187"/>
    </row>
    <row r="1100" spans="3:40" ht="20" customHeight="1">
      <c r="C1100" s="188"/>
      <c r="E1100" s="188"/>
      <c r="AN1100" s="187"/>
    </row>
    <row r="1101" spans="3:40" ht="20" customHeight="1">
      <c r="C1101" s="188"/>
      <c r="E1101" s="188"/>
      <c r="AN1101" s="187"/>
    </row>
    <row r="1102" spans="3:40" ht="20" customHeight="1">
      <c r="C1102" s="188"/>
      <c r="E1102" s="188"/>
      <c r="AN1102" s="187"/>
    </row>
    <row r="1103" spans="3:40" ht="20" customHeight="1">
      <c r="C1103" s="188"/>
      <c r="E1103" s="188"/>
      <c r="AN1103" s="187"/>
    </row>
    <row r="1104" spans="3:40" ht="20" customHeight="1">
      <c r="C1104" s="188"/>
      <c r="E1104" s="188"/>
      <c r="AN1104" s="187"/>
    </row>
    <row r="1105" spans="3:40" ht="20" customHeight="1">
      <c r="C1105" s="188"/>
      <c r="E1105" s="188"/>
      <c r="AN1105" s="187"/>
    </row>
    <row r="1106" spans="3:40" ht="20" customHeight="1">
      <c r="C1106" s="188"/>
      <c r="E1106" s="188"/>
      <c r="AN1106" s="187"/>
    </row>
    <row r="1107" spans="3:40" ht="20" customHeight="1">
      <c r="C1107" s="188"/>
      <c r="E1107" s="188"/>
      <c r="AN1107" s="187"/>
    </row>
    <row r="1108" spans="3:40" ht="20" customHeight="1">
      <c r="C1108" s="188"/>
      <c r="E1108" s="188"/>
      <c r="AN1108" s="187"/>
    </row>
    <row r="1109" spans="3:40" ht="20" customHeight="1">
      <c r="C1109" s="188"/>
      <c r="E1109" s="188"/>
      <c r="AN1109" s="187"/>
    </row>
    <row r="1110" spans="3:40" ht="20" customHeight="1">
      <c r="C1110" s="188"/>
      <c r="E1110" s="188"/>
      <c r="AN1110" s="187"/>
    </row>
    <row r="1111" spans="3:40" ht="20" customHeight="1">
      <c r="C1111" s="188"/>
      <c r="E1111" s="188"/>
      <c r="AN1111" s="187"/>
    </row>
    <row r="1112" spans="3:40" ht="20" customHeight="1">
      <c r="C1112" s="188"/>
      <c r="E1112" s="188"/>
      <c r="AN1112" s="187"/>
    </row>
    <row r="1113" spans="3:40" ht="20" customHeight="1">
      <c r="C1113" s="188"/>
      <c r="E1113" s="188"/>
      <c r="AN1113" s="187"/>
    </row>
    <row r="1114" spans="3:40" ht="20" customHeight="1">
      <c r="C1114" s="188"/>
      <c r="E1114" s="188"/>
      <c r="AN1114" s="187"/>
    </row>
    <row r="1115" spans="3:40" ht="20" customHeight="1">
      <c r="C1115" s="188"/>
      <c r="E1115" s="188"/>
      <c r="AN1115" s="187"/>
    </row>
    <row r="1116" spans="3:40" ht="20" customHeight="1">
      <c r="C1116" s="188"/>
      <c r="E1116" s="188"/>
      <c r="AN1116" s="187"/>
    </row>
    <row r="1117" spans="3:40" ht="20" customHeight="1">
      <c r="C1117" s="188"/>
      <c r="E1117" s="188"/>
      <c r="AN1117" s="187"/>
    </row>
    <row r="1118" spans="3:40" ht="20" customHeight="1">
      <c r="C1118" s="188"/>
      <c r="E1118" s="188"/>
      <c r="AN1118" s="187"/>
    </row>
    <row r="1119" spans="3:40" ht="20" customHeight="1">
      <c r="C1119" s="188"/>
      <c r="E1119" s="188"/>
      <c r="AN1119" s="187"/>
    </row>
    <row r="1120" spans="3:40" ht="20" customHeight="1">
      <c r="C1120" s="188"/>
      <c r="E1120" s="188"/>
      <c r="AN1120" s="187"/>
    </row>
    <row r="1121" spans="3:40" ht="20" customHeight="1">
      <c r="C1121" s="188"/>
      <c r="E1121" s="188"/>
      <c r="AN1121" s="187"/>
    </row>
    <row r="1122" spans="3:40" ht="20" customHeight="1">
      <c r="C1122" s="188"/>
      <c r="E1122" s="188"/>
      <c r="AN1122" s="187"/>
    </row>
    <row r="1123" spans="3:40" ht="20" customHeight="1">
      <c r="C1123" s="188"/>
      <c r="E1123" s="188"/>
      <c r="AN1123" s="187"/>
    </row>
    <row r="1124" spans="3:40" ht="20" customHeight="1">
      <c r="C1124" s="188"/>
      <c r="E1124" s="188"/>
      <c r="AN1124" s="187"/>
    </row>
    <row r="1125" spans="3:40" ht="20" customHeight="1">
      <c r="C1125" s="188"/>
      <c r="E1125" s="188"/>
      <c r="AN1125" s="187"/>
    </row>
    <row r="1126" spans="3:40" ht="20" customHeight="1">
      <c r="C1126" s="188"/>
      <c r="E1126" s="188"/>
      <c r="AN1126" s="187"/>
    </row>
    <row r="1127" spans="3:40">
      <c r="C1127" s="188"/>
      <c r="E1127" s="188"/>
      <c r="AN1127" s="187"/>
    </row>
    <row r="1128" spans="3:40">
      <c r="C1128" s="188"/>
      <c r="E1128" s="188"/>
      <c r="AN1128" s="187"/>
    </row>
    <row r="1129" spans="3:40">
      <c r="C1129" s="188"/>
      <c r="E1129" s="188"/>
      <c r="AN1129" s="187"/>
    </row>
  </sheetData>
  <autoFilter ref="A2:G369" xr:uid="{00000000-0009-0000-0000-000021000000}"/>
  <mergeCells count="7">
    <mergeCell ref="B242:B244"/>
    <mergeCell ref="A35:A40"/>
    <mergeCell ref="A101:A102"/>
    <mergeCell ref="A108:A110"/>
    <mergeCell ref="A84:A86"/>
    <mergeCell ref="A54:A56"/>
    <mergeCell ref="A125:A126"/>
  </mergeCells>
  <printOptions horizontalCentered="1" gridLines="1"/>
  <pageMargins left="0.39370078740157483" right="0.39370078740157483" top="0.39370078740157483" bottom="0.39370078740157483" header="0.39370078740157483" footer="0"/>
  <pageSetup paperSize="9" scale="13" fitToHeight="0" orientation="portrait" r:id="rId1"/>
  <headerFooter alignWithMargins="0">
    <oddHeader>&amp;C&amp;"Arial,Negrita"&amp;12TRAYECTO: L11&amp;R&amp;D</oddHeader>
    <oddFooter>&amp;L&amp;F&amp;C&amp;P DE &amp;N</oddFooter>
  </headerFooter>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17"/>
  <dimension ref="A1:J2087"/>
  <sheetViews>
    <sheetView workbookViewId="0">
      <selection activeCell="A167" sqref="A167:XFD167"/>
    </sheetView>
  </sheetViews>
  <sheetFormatPr baseColWidth="10" defaultColWidth="12.54296875" defaultRowHeight="14.5"/>
  <cols>
    <col min="1" max="1" width="14.08984375" style="107" customWidth="1"/>
    <col min="2" max="2" width="4.90625" style="101" customWidth="1"/>
    <col min="3" max="3" width="58.90625" style="107" customWidth="1"/>
    <col min="4" max="4" width="12.54296875" style="102" hidden="1" customWidth="1"/>
    <col min="5" max="5" width="12.08984375" style="102" hidden="1" customWidth="1"/>
    <col min="6" max="6" width="17.08984375" style="101" customWidth="1"/>
    <col min="7" max="7" width="14.6328125" style="148" customWidth="1"/>
    <col min="8" max="8" width="17.453125" style="127" customWidth="1"/>
    <col min="9" max="9" width="12.54296875" style="102" hidden="1" customWidth="1"/>
    <col min="10" max="10" width="67.90625" style="107" customWidth="1"/>
    <col min="11" max="16384" width="12.54296875" style="102"/>
  </cols>
  <sheetData>
    <row r="1" spans="1:10" s="96" customFormat="1" ht="27" customHeight="1">
      <c r="A1" s="343"/>
      <c r="B1" s="94"/>
      <c r="C1" s="103"/>
      <c r="D1" s="103"/>
      <c r="E1" s="95"/>
      <c r="G1" s="130"/>
      <c r="H1" s="98"/>
      <c r="J1" s="103"/>
    </row>
    <row r="2" spans="1:10" s="96" customFormat="1" ht="20.399999999999999" customHeight="1">
      <c r="A2" s="344"/>
      <c r="B2" s="97"/>
      <c r="C2" s="104"/>
      <c r="D2" s="126"/>
      <c r="F2" s="99"/>
      <c r="G2" s="131"/>
      <c r="H2" s="98"/>
      <c r="J2" s="104"/>
    </row>
    <row r="3" spans="1:10" s="96" customFormat="1" ht="29.4" customHeight="1" thickBot="1">
      <c r="A3" s="345" t="s">
        <v>145</v>
      </c>
      <c r="B3" s="108" t="s">
        <v>146</v>
      </c>
      <c r="C3" s="109" t="s">
        <v>196</v>
      </c>
      <c r="D3" s="346" t="s">
        <v>147</v>
      </c>
      <c r="E3" s="110" t="s">
        <v>197</v>
      </c>
      <c r="F3" s="111" t="s">
        <v>928</v>
      </c>
      <c r="G3" s="132" t="s">
        <v>200</v>
      </c>
      <c r="H3" s="98"/>
      <c r="J3" s="109" t="s">
        <v>1186</v>
      </c>
    </row>
    <row r="4" spans="1:10" s="96" customFormat="1" ht="20.399999999999999" customHeight="1">
      <c r="A4" s="347"/>
      <c r="B4" s="54"/>
      <c r="C4" s="57"/>
      <c r="D4" s="348"/>
      <c r="E4" s="56"/>
      <c r="F4" s="55"/>
      <c r="G4" s="133"/>
      <c r="H4" s="98"/>
      <c r="J4" s="57"/>
    </row>
    <row r="5" spans="1:10" s="96" customFormat="1" ht="20.399999999999999" customHeight="1">
      <c r="A5" s="347"/>
      <c r="B5" s="54"/>
      <c r="C5" s="58"/>
      <c r="D5" s="348"/>
      <c r="E5" s="56"/>
      <c r="F5" s="54"/>
      <c r="G5" s="134"/>
      <c r="H5" s="98"/>
      <c r="J5" s="58"/>
    </row>
    <row r="6" spans="1:10" s="96" customFormat="1" ht="20.399999999999999" customHeight="1">
      <c r="A6" s="349"/>
      <c r="B6" s="59"/>
      <c r="C6" s="58" t="s">
        <v>237</v>
      </c>
      <c r="D6" s="348"/>
      <c r="E6" s="56"/>
      <c r="F6" s="54"/>
      <c r="G6" s="134"/>
      <c r="H6" s="350" t="s">
        <v>1469</v>
      </c>
      <c r="J6" s="58" t="s">
        <v>237</v>
      </c>
    </row>
    <row r="7" spans="1:10" s="96" customFormat="1" ht="20.399999999999999" customHeight="1">
      <c r="A7" s="349"/>
      <c r="B7" s="59"/>
      <c r="C7" s="58"/>
      <c r="D7" s="348"/>
      <c r="E7" s="56"/>
      <c r="F7" s="54"/>
      <c r="G7" s="134"/>
      <c r="H7" s="350" t="s">
        <v>1470</v>
      </c>
      <c r="J7" s="58"/>
    </row>
    <row r="8" spans="1:10" s="96" customFormat="1" ht="20.399999999999999" customHeight="1">
      <c r="A8" s="349"/>
      <c r="B8" s="59"/>
      <c r="C8" s="58" t="s">
        <v>238</v>
      </c>
      <c r="D8" s="348"/>
      <c r="E8" s="56"/>
      <c r="F8" s="54"/>
      <c r="G8" s="134"/>
      <c r="H8" s="350"/>
      <c r="J8" s="58" t="s">
        <v>1187</v>
      </c>
    </row>
    <row r="9" spans="1:10" s="96" customFormat="1" ht="20.399999999999999" customHeight="1">
      <c r="A9" s="349"/>
      <c r="B9" s="59"/>
      <c r="C9" s="37"/>
      <c r="D9" s="351"/>
      <c r="E9" s="60"/>
      <c r="F9" s="59"/>
      <c r="G9" s="135"/>
      <c r="H9" s="98"/>
      <c r="J9" s="37"/>
    </row>
    <row r="10" spans="1:10" s="96" customFormat="1" ht="20.399999999999999" customHeight="1">
      <c r="A10" s="349"/>
      <c r="B10" s="59"/>
      <c r="C10" s="84" t="s">
        <v>239</v>
      </c>
      <c r="D10" s="348"/>
      <c r="E10" s="56"/>
      <c r="F10" s="61"/>
      <c r="G10" s="136"/>
      <c r="H10" s="98"/>
      <c r="J10" s="84" t="s">
        <v>1188</v>
      </c>
    </row>
    <row r="11" spans="1:10" s="96" customFormat="1" ht="20.399999999999999" customHeight="1">
      <c r="A11" s="349" t="s">
        <v>240</v>
      </c>
      <c r="B11" s="59" t="s">
        <v>146</v>
      </c>
      <c r="C11" s="37" t="s">
        <v>198</v>
      </c>
      <c r="D11" s="352">
        <v>15.65</v>
      </c>
      <c r="E11" s="63">
        <f>+G11*D11</f>
        <v>0</v>
      </c>
      <c r="F11" s="122" t="s">
        <v>636</v>
      </c>
      <c r="G11" s="389">
        <v>0</v>
      </c>
      <c r="H11" s="98"/>
      <c r="J11" s="37" t="s">
        <v>1189</v>
      </c>
    </row>
    <row r="12" spans="1:10" s="96" customFormat="1" ht="32.4" customHeight="1">
      <c r="A12" s="349" t="s">
        <v>241</v>
      </c>
      <c r="B12" s="59" t="s">
        <v>146</v>
      </c>
      <c r="C12" s="37" t="s">
        <v>201</v>
      </c>
      <c r="D12" s="352">
        <v>151.05000000000001</v>
      </c>
      <c r="E12" s="63">
        <f>+G12*D12</f>
        <v>0</v>
      </c>
      <c r="F12" s="122" t="s">
        <v>1019</v>
      </c>
      <c r="G12" s="386"/>
      <c r="H12" s="98"/>
      <c r="J12" s="37" t="s">
        <v>1283</v>
      </c>
    </row>
    <row r="13" spans="1:10" s="96" customFormat="1" ht="20.399999999999999" customHeight="1">
      <c r="A13" s="349" t="s">
        <v>242</v>
      </c>
      <c r="B13" s="59" t="s">
        <v>146</v>
      </c>
      <c r="C13" s="37" t="s">
        <v>202</v>
      </c>
      <c r="D13" s="352">
        <v>151.05000000000001</v>
      </c>
      <c r="E13" s="63">
        <f>+G13*D13</f>
        <v>0</v>
      </c>
      <c r="F13" s="122" t="s">
        <v>476</v>
      </c>
      <c r="G13" s="386"/>
      <c r="H13" s="98"/>
      <c r="J13" s="37" t="s">
        <v>1190</v>
      </c>
    </row>
    <row r="14" spans="1:10" s="96" customFormat="1" ht="20.399999999999999" customHeight="1">
      <c r="A14" s="349" t="s">
        <v>929</v>
      </c>
      <c r="B14" s="59" t="s">
        <v>146</v>
      </c>
      <c r="C14" s="37" t="s">
        <v>931</v>
      </c>
      <c r="D14" s="353"/>
      <c r="E14" s="2"/>
      <c r="F14" s="64" t="s">
        <v>472</v>
      </c>
      <c r="G14" s="137">
        <f>+'Recuento Conjuntos'!G38+'Recuento Conjuntos'!G39</f>
        <v>177</v>
      </c>
      <c r="H14" s="98"/>
      <c r="J14" s="37" t="s">
        <v>1191</v>
      </c>
    </row>
    <row r="15" spans="1:10" s="96" customFormat="1" ht="20.399999999999999" customHeight="1">
      <c r="A15" s="349" t="s">
        <v>930</v>
      </c>
      <c r="B15" s="59" t="s">
        <v>146</v>
      </c>
      <c r="C15" s="37" t="s">
        <v>932</v>
      </c>
      <c r="D15" s="354"/>
      <c r="E15" s="63"/>
      <c r="F15" s="64" t="s">
        <v>471</v>
      </c>
      <c r="G15" s="137">
        <f>+'Recuento Conjuntos'!G36+'Recuento Conjuntos'!G35</f>
        <v>198</v>
      </c>
      <c r="H15" s="98"/>
      <c r="J15" s="37" t="s">
        <v>1192</v>
      </c>
    </row>
    <row r="16" spans="1:10" s="96" customFormat="1" ht="21" customHeight="1" thickBot="1">
      <c r="A16" s="355"/>
      <c r="B16" s="82"/>
      <c r="C16" s="89" t="s">
        <v>243</v>
      </c>
      <c r="D16" s="356"/>
      <c r="E16" s="67">
        <f>E11+E12+E13</f>
        <v>0</v>
      </c>
      <c r="F16" s="68"/>
      <c r="G16" s="138"/>
      <c r="H16" s="98"/>
      <c r="J16" s="89" t="s">
        <v>1193</v>
      </c>
    </row>
    <row r="17" spans="1:10" s="96" customFormat="1" ht="20.399999999999999" customHeight="1">
      <c r="A17" s="349"/>
      <c r="B17" s="59"/>
      <c r="C17" s="58"/>
      <c r="D17" s="357"/>
      <c r="E17" s="69"/>
      <c r="F17" s="66"/>
      <c r="G17" s="139"/>
      <c r="H17" s="98"/>
      <c r="J17" s="58"/>
    </row>
    <row r="18" spans="1:10" s="96" customFormat="1" ht="20.399999999999999" hidden="1" customHeight="1">
      <c r="A18" s="349"/>
      <c r="B18" s="59"/>
      <c r="C18" s="84" t="s">
        <v>244</v>
      </c>
      <c r="D18" s="357"/>
      <c r="E18" s="69"/>
      <c r="F18" s="66"/>
      <c r="G18" s="139"/>
      <c r="H18" s="98"/>
      <c r="J18" s="84" t="s">
        <v>1194</v>
      </c>
    </row>
    <row r="19" spans="1:10" s="96" customFormat="1" ht="42" hidden="1" customHeight="1">
      <c r="A19" s="349" t="s">
        <v>245</v>
      </c>
      <c r="B19" s="59" t="s">
        <v>146</v>
      </c>
      <c r="C19" s="37" t="s">
        <v>235</v>
      </c>
      <c r="D19" s="352">
        <v>926.4</v>
      </c>
      <c r="E19" s="63" t="e">
        <f>#REF!*D19</f>
        <v>#REF!</v>
      </c>
      <c r="F19" s="62"/>
      <c r="G19" s="140"/>
      <c r="H19" s="98"/>
      <c r="J19" s="37" t="s">
        <v>1284</v>
      </c>
    </row>
    <row r="20" spans="1:10" s="96" customFormat="1" ht="42" hidden="1" customHeight="1">
      <c r="A20" s="349" t="s">
        <v>246</v>
      </c>
      <c r="B20" s="59" t="s">
        <v>146</v>
      </c>
      <c r="C20" s="37" t="s">
        <v>236</v>
      </c>
      <c r="D20" s="358">
        <v>1445.45</v>
      </c>
      <c r="E20" s="63" t="e">
        <f>#REF!*D20</f>
        <v>#REF!</v>
      </c>
      <c r="F20" s="62"/>
      <c r="G20" s="140"/>
      <c r="H20" s="98"/>
      <c r="J20" s="37" t="s">
        <v>1285</v>
      </c>
    </row>
    <row r="21" spans="1:10" s="96" customFormat="1" ht="42" hidden="1" customHeight="1">
      <c r="A21" s="349" t="s">
        <v>444</v>
      </c>
      <c r="B21" s="59" t="s">
        <v>146</v>
      </c>
      <c r="C21" s="37" t="s">
        <v>447</v>
      </c>
      <c r="D21" s="358">
        <v>1500</v>
      </c>
      <c r="E21" s="1" t="e">
        <f>#REF!*D21</f>
        <v>#REF!</v>
      </c>
      <c r="F21" s="62"/>
      <c r="G21" s="140"/>
      <c r="H21" s="98"/>
      <c r="J21" s="37" t="s">
        <v>1286</v>
      </c>
    </row>
    <row r="22" spans="1:10" s="96" customFormat="1" ht="42" hidden="1" customHeight="1">
      <c r="A22" s="349" t="s">
        <v>445</v>
      </c>
      <c r="B22" s="59" t="s">
        <v>146</v>
      </c>
      <c r="C22" s="37" t="s">
        <v>448</v>
      </c>
      <c r="D22" s="358"/>
      <c r="E22" s="1"/>
      <c r="F22" s="62"/>
      <c r="G22" s="140"/>
      <c r="H22" s="98"/>
      <c r="J22" s="37" t="s">
        <v>1287</v>
      </c>
    </row>
    <row r="23" spans="1:10" s="96" customFormat="1" ht="42" hidden="1" customHeight="1">
      <c r="A23" s="349" t="s">
        <v>446</v>
      </c>
      <c r="B23" s="59" t="s">
        <v>146</v>
      </c>
      <c r="C23" s="37" t="s">
        <v>449</v>
      </c>
      <c r="D23" s="358"/>
      <c r="E23" s="1"/>
      <c r="F23" s="62"/>
      <c r="G23" s="140"/>
      <c r="H23" s="98"/>
      <c r="J23" s="37" t="s">
        <v>1288</v>
      </c>
    </row>
    <row r="24" spans="1:10" s="96" customFormat="1" ht="42" hidden="1" customHeight="1">
      <c r="A24" s="349" t="s">
        <v>247</v>
      </c>
      <c r="B24" s="59" t="s">
        <v>146</v>
      </c>
      <c r="C24" s="37" t="s">
        <v>203</v>
      </c>
      <c r="D24" s="352">
        <v>788.99</v>
      </c>
      <c r="E24" s="63" t="e">
        <f>#REF!*D24</f>
        <v>#REF!</v>
      </c>
      <c r="F24" s="62"/>
      <c r="G24" s="140"/>
      <c r="H24" s="98"/>
      <c r="J24" s="37" t="s">
        <v>1195</v>
      </c>
    </row>
    <row r="25" spans="1:10" s="96" customFormat="1" ht="42" hidden="1" customHeight="1">
      <c r="A25" s="349" t="s">
        <v>248</v>
      </c>
      <c r="B25" s="59" t="s">
        <v>146</v>
      </c>
      <c r="C25" s="37" t="s">
        <v>204</v>
      </c>
      <c r="D25" s="352">
        <v>788.99</v>
      </c>
      <c r="E25" s="63" t="e">
        <f>#REF!*D25</f>
        <v>#REF!</v>
      </c>
      <c r="F25" s="62"/>
      <c r="G25" s="140"/>
      <c r="H25" s="98"/>
      <c r="J25" s="37" t="s">
        <v>1196</v>
      </c>
    </row>
    <row r="26" spans="1:10" s="96" customFormat="1" ht="20.399999999999999" hidden="1" customHeight="1">
      <c r="A26" s="349" t="s">
        <v>249</v>
      </c>
      <c r="B26" s="59" t="s">
        <v>146</v>
      </c>
      <c r="C26" s="37" t="s">
        <v>205</v>
      </c>
      <c r="D26" s="352">
        <v>325.52999999999997</v>
      </c>
      <c r="E26" s="63" t="e">
        <f>#REF!*D26</f>
        <v>#REF!</v>
      </c>
      <c r="F26" s="62"/>
      <c r="G26" s="140"/>
      <c r="H26" s="98"/>
      <c r="J26" s="37" t="s">
        <v>1197</v>
      </c>
    </row>
    <row r="27" spans="1:10" s="96" customFormat="1" ht="20.399999999999999" hidden="1" customHeight="1">
      <c r="A27" s="349" t="s">
        <v>250</v>
      </c>
      <c r="B27" s="59"/>
      <c r="C27" s="37" t="s">
        <v>206</v>
      </c>
      <c r="D27" s="352">
        <v>325.52999999999997</v>
      </c>
      <c r="E27" s="63" t="e">
        <f>#REF!*D27</f>
        <v>#REF!</v>
      </c>
      <c r="F27" s="62"/>
      <c r="G27" s="140"/>
      <c r="H27" s="98"/>
      <c r="J27" s="37" t="s">
        <v>1198</v>
      </c>
    </row>
    <row r="28" spans="1:10" s="96" customFormat="1" ht="42" hidden="1" customHeight="1">
      <c r="A28" s="349" t="s">
        <v>251</v>
      </c>
      <c r="B28" s="59" t="s">
        <v>146</v>
      </c>
      <c r="C28" s="37" t="s">
        <v>57</v>
      </c>
      <c r="D28" s="352">
        <v>189.75</v>
      </c>
      <c r="E28" s="1"/>
      <c r="F28" s="62"/>
      <c r="G28" s="140"/>
      <c r="H28" s="98"/>
      <c r="J28" s="37" t="s">
        <v>1289</v>
      </c>
    </row>
    <row r="29" spans="1:10" s="96" customFormat="1" ht="42" hidden="1" customHeight="1">
      <c r="A29" s="349" t="s">
        <v>252</v>
      </c>
      <c r="B29" s="59" t="s">
        <v>146</v>
      </c>
      <c r="C29" s="37" t="s">
        <v>58</v>
      </c>
      <c r="D29" s="352">
        <v>217.43</v>
      </c>
      <c r="E29" s="1"/>
      <c r="F29" s="62"/>
      <c r="G29" s="140"/>
      <c r="H29" s="98"/>
      <c r="J29" s="37" t="s">
        <v>1290</v>
      </c>
    </row>
    <row r="30" spans="1:10" s="96" customFormat="1" ht="30" hidden="1" customHeight="1">
      <c r="A30" s="349" t="s">
        <v>253</v>
      </c>
      <c r="B30" s="59" t="s">
        <v>146</v>
      </c>
      <c r="C30" s="37" t="s">
        <v>148</v>
      </c>
      <c r="D30" s="352">
        <v>179.24</v>
      </c>
      <c r="E30" s="1"/>
      <c r="F30" s="62"/>
      <c r="G30" s="140"/>
      <c r="H30" s="98"/>
      <c r="J30" s="37" t="s">
        <v>1199</v>
      </c>
    </row>
    <row r="31" spans="1:10" s="96" customFormat="1" ht="21" hidden="1" customHeight="1" thickBot="1">
      <c r="A31" s="349"/>
      <c r="B31" s="59"/>
      <c r="C31" s="84" t="s">
        <v>254</v>
      </c>
      <c r="D31" s="356"/>
      <c r="E31" s="67" t="e">
        <f>SUM(E19:E30)</f>
        <v>#REF!</v>
      </c>
      <c r="F31" s="68"/>
      <c r="G31" s="138"/>
      <c r="H31" s="98"/>
      <c r="J31" s="84" t="s">
        <v>1200</v>
      </c>
    </row>
    <row r="32" spans="1:10" s="96" customFormat="1" ht="20.399999999999999" hidden="1" customHeight="1">
      <c r="A32" s="349"/>
      <c r="B32" s="59"/>
      <c r="C32" s="58" t="s">
        <v>255</v>
      </c>
      <c r="D32" s="357"/>
      <c r="E32" s="69"/>
      <c r="F32" s="66"/>
      <c r="G32" s="139"/>
      <c r="H32" s="98"/>
      <c r="J32" s="58" t="s">
        <v>1201</v>
      </c>
    </row>
    <row r="33" spans="1:10" s="96" customFormat="1" ht="20.399999999999999" hidden="1" customHeight="1">
      <c r="A33" s="349"/>
      <c r="B33" s="59"/>
      <c r="C33" s="58"/>
      <c r="D33" s="357"/>
      <c r="E33" s="69"/>
      <c r="F33" s="66"/>
      <c r="G33" s="139"/>
      <c r="H33" s="98"/>
      <c r="J33" s="58"/>
    </row>
    <row r="34" spans="1:10" s="96" customFormat="1" ht="20.399999999999999" customHeight="1">
      <c r="A34" s="349"/>
      <c r="B34" s="59"/>
      <c r="C34" s="58" t="s">
        <v>256</v>
      </c>
      <c r="D34" s="357"/>
      <c r="E34" s="69"/>
      <c r="F34" s="66"/>
      <c r="G34" s="139"/>
      <c r="H34" s="98"/>
      <c r="J34" s="58" t="s">
        <v>1202</v>
      </c>
    </row>
    <row r="35" spans="1:10" s="96" customFormat="1" ht="20.399999999999999" customHeight="1">
      <c r="A35" s="349"/>
      <c r="B35" s="59"/>
      <c r="C35" s="58"/>
      <c r="D35" s="357"/>
      <c r="E35" s="69"/>
      <c r="F35" s="66"/>
      <c r="G35" s="139"/>
      <c r="H35" s="98"/>
      <c r="J35" s="58"/>
    </row>
    <row r="36" spans="1:10" s="96" customFormat="1" ht="30" customHeight="1">
      <c r="A36" s="349"/>
      <c r="B36" s="59"/>
      <c r="C36" s="84" t="s">
        <v>257</v>
      </c>
      <c r="D36" s="357"/>
      <c r="E36" s="69"/>
      <c r="F36" s="66"/>
      <c r="G36" s="139"/>
      <c r="H36" s="98"/>
      <c r="J36" s="84" t="s">
        <v>1291</v>
      </c>
    </row>
    <row r="37" spans="1:10" s="96" customFormat="1" ht="20.399999999999999" customHeight="1">
      <c r="A37" s="359" t="s">
        <v>258</v>
      </c>
      <c r="B37" s="272" t="s">
        <v>146</v>
      </c>
      <c r="C37" s="271" t="s">
        <v>943</v>
      </c>
      <c r="D37" s="360">
        <v>541.97</v>
      </c>
      <c r="E37" s="63">
        <f t="shared" ref="E37:E110" si="0">+G37*D37</f>
        <v>0</v>
      </c>
      <c r="F37" s="266" t="s">
        <v>477</v>
      </c>
      <c r="G37" s="267">
        <f>+Rebusca_t1(F37)</f>
        <v>0</v>
      </c>
      <c r="H37" s="98"/>
      <c r="J37" s="271" t="s">
        <v>1292</v>
      </c>
    </row>
    <row r="38" spans="1:10" s="96" customFormat="1" ht="20.399999999999999" customHeight="1">
      <c r="A38" s="361" t="s">
        <v>940</v>
      </c>
      <c r="B38" s="59"/>
      <c r="C38" s="37" t="s">
        <v>1440</v>
      </c>
      <c r="D38" s="352"/>
      <c r="E38" s="63">
        <f t="shared" si="0"/>
        <v>0</v>
      </c>
      <c r="F38" s="64" t="s">
        <v>1020</v>
      </c>
      <c r="G38" s="137">
        <f t="shared" ref="G38:G86" si="1">+Rebusca_t1(F38)</f>
        <v>0</v>
      </c>
      <c r="H38" s="98"/>
      <c r="J38" s="37" t="s">
        <v>1293</v>
      </c>
    </row>
    <row r="39" spans="1:10" s="96" customFormat="1" ht="20.399999999999999" customHeight="1">
      <c r="A39" s="361" t="s">
        <v>941</v>
      </c>
      <c r="B39" s="59"/>
      <c r="C39" s="37" t="s">
        <v>944</v>
      </c>
      <c r="D39" s="352"/>
      <c r="E39" s="63">
        <f t="shared" si="0"/>
        <v>0</v>
      </c>
      <c r="F39" s="64" t="s">
        <v>1021</v>
      </c>
      <c r="G39" s="137">
        <f t="shared" si="1"/>
        <v>0</v>
      </c>
      <c r="H39" s="98"/>
      <c r="J39" s="37" t="s">
        <v>1294</v>
      </c>
    </row>
    <row r="40" spans="1:10" s="96" customFormat="1" ht="20.399999999999999" customHeight="1">
      <c r="A40" s="361" t="s">
        <v>942</v>
      </c>
      <c r="B40" s="59"/>
      <c r="C40" s="37" t="s">
        <v>1441</v>
      </c>
      <c r="D40" s="352"/>
      <c r="E40" s="63">
        <f t="shared" si="0"/>
        <v>0</v>
      </c>
      <c r="F40" s="64" t="s">
        <v>1022</v>
      </c>
      <c r="G40" s="137">
        <f t="shared" si="1"/>
        <v>0</v>
      </c>
      <c r="H40" s="98"/>
      <c r="J40" s="37" t="s">
        <v>1295</v>
      </c>
    </row>
    <row r="41" spans="1:10" s="96" customFormat="1" ht="20.399999999999999" customHeight="1">
      <c r="A41" s="359" t="s">
        <v>259</v>
      </c>
      <c r="B41" s="272" t="s">
        <v>146</v>
      </c>
      <c r="C41" s="271" t="s">
        <v>950</v>
      </c>
      <c r="D41" s="360">
        <v>541.97</v>
      </c>
      <c r="E41" s="63">
        <f t="shared" si="0"/>
        <v>50945.18</v>
      </c>
      <c r="F41" s="266" t="s">
        <v>478</v>
      </c>
      <c r="G41" s="267">
        <f t="shared" si="1"/>
        <v>94</v>
      </c>
      <c r="H41" s="98"/>
      <c r="J41" s="271" t="s">
        <v>1296</v>
      </c>
    </row>
    <row r="42" spans="1:10" s="96" customFormat="1" ht="20.399999999999999" customHeight="1">
      <c r="A42" s="361" t="s">
        <v>947</v>
      </c>
      <c r="B42" s="59" t="s">
        <v>146</v>
      </c>
      <c r="C42" s="37" t="s">
        <v>1442</v>
      </c>
      <c r="D42" s="352"/>
      <c r="E42" s="63">
        <f t="shared" si="0"/>
        <v>0</v>
      </c>
      <c r="F42" s="64" t="s">
        <v>912</v>
      </c>
      <c r="G42" s="137">
        <f t="shared" si="1"/>
        <v>0</v>
      </c>
      <c r="H42" s="98"/>
      <c r="J42" s="37" t="s">
        <v>1297</v>
      </c>
    </row>
    <row r="43" spans="1:10" s="96" customFormat="1" ht="20.399999999999999" customHeight="1">
      <c r="A43" s="362" t="s">
        <v>1601</v>
      </c>
      <c r="B43" s="59" t="s">
        <v>146</v>
      </c>
      <c r="C43" s="37" t="s">
        <v>1602</v>
      </c>
      <c r="D43" s="352"/>
      <c r="E43" s="63">
        <f t="shared" si="0"/>
        <v>0</v>
      </c>
      <c r="F43" s="64" t="s">
        <v>1549</v>
      </c>
      <c r="G43" s="137">
        <f>+Rebusca_t1(F43)</f>
        <v>0</v>
      </c>
      <c r="H43" s="98"/>
      <c r="J43" s="37" t="s">
        <v>1613</v>
      </c>
    </row>
    <row r="44" spans="1:10" s="96" customFormat="1" ht="20.399999999999999" customHeight="1">
      <c r="A44" s="361" t="s">
        <v>948</v>
      </c>
      <c r="B44" s="59" t="s">
        <v>146</v>
      </c>
      <c r="C44" s="37" t="s">
        <v>946</v>
      </c>
      <c r="D44" s="352"/>
      <c r="E44" s="63">
        <f t="shared" si="0"/>
        <v>0</v>
      </c>
      <c r="F44" s="64" t="s">
        <v>1676</v>
      </c>
      <c r="G44" s="137">
        <f t="shared" si="1"/>
        <v>0</v>
      </c>
      <c r="H44" s="98"/>
      <c r="J44" s="37" t="s">
        <v>1298</v>
      </c>
    </row>
    <row r="45" spans="1:10" s="96" customFormat="1" ht="20.399999999999999" customHeight="1">
      <c r="A45" s="361" t="s">
        <v>945</v>
      </c>
      <c r="B45" s="59" t="s">
        <v>146</v>
      </c>
      <c r="C45" s="37" t="s">
        <v>1443</v>
      </c>
      <c r="D45" s="352"/>
      <c r="E45" s="63">
        <f t="shared" si="0"/>
        <v>0</v>
      </c>
      <c r="F45" s="64" t="s">
        <v>949</v>
      </c>
      <c r="G45" s="137">
        <f t="shared" si="1"/>
        <v>0</v>
      </c>
      <c r="H45" s="98"/>
      <c r="J45" s="37" t="s">
        <v>1299</v>
      </c>
    </row>
    <row r="46" spans="1:10" s="96" customFormat="1" ht="20.399999999999999" customHeight="1">
      <c r="A46" s="363" t="s">
        <v>960</v>
      </c>
      <c r="B46" s="272" t="s">
        <v>146</v>
      </c>
      <c r="C46" s="271" t="s">
        <v>958</v>
      </c>
      <c r="D46" s="364"/>
      <c r="E46" s="63">
        <f t="shared" si="0"/>
        <v>0</v>
      </c>
      <c r="F46" s="266" t="s">
        <v>921</v>
      </c>
      <c r="G46" s="267">
        <f t="shared" si="1"/>
        <v>85</v>
      </c>
      <c r="H46" s="98"/>
      <c r="J46" s="271" t="s">
        <v>1300</v>
      </c>
    </row>
    <row r="47" spans="1:10" s="96" customFormat="1" ht="20.399999999999999" customHeight="1">
      <c r="A47" s="361" t="s">
        <v>1436</v>
      </c>
      <c r="B47" s="59" t="s">
        <v>146</v>
      </c>
      <c r="C47" s="37" t="s">
        <v>1437</v>
      </c>
      <c r="D47" s="358"/>
      <c r="E47" s="63">
        <f t="shared" si="0"/>
        <v>0</v>
      </c>
      <c r="F47" s="64" t="s">
        <v>922</v>
      </c>
      <c r="G47" s="137">
        <f t="shared" si="1"/>
        <v>0</v>
      </c>
      <c r="H47" s="98"/>
      <c r="J47" s="37" t="s">
        <v>1467</v>
      </c>
    </row>
    <row r="48" spans="1:10" s="96" customFormat="1" ht="20.399999999999999" customHeight="1">
      <c r="A48" s="361" t="s">
        <v>1700</v>
      </c>
      <c r="B48" s="59" t="s">
        <v>146</v>
      </c>
      <c r="C48" s="37" t="s">
        <v>1707</v>
      </c>
      <c r="D48" s="358"/>
      <c r="E48" s="63">
        <f>+G48*D48</f>
        <v>0</v>
      </c>
      <c r="F48" s="64" t="s">
        <v>1672</v>
      </c>
      <c r="G48" s="137">
        <f>+Rebusca_t1(F48)</f>
        <v>0</v>
      </c>
      <c r="H48" s="98"/>
      <c r="J48" s="37" t="s">
        <v>1708</v>
      </c>
    </row>
    <row r="49" spans="1:10" s="96" customFormat="1" ht="20.399999999999999" customHeight="1">
      <c r="A49" s="359" t="s">
        <v>260</v>
      </c>
      <c r="B49" s="272" t="s">
        <v>146</v>
      </c>
      <c r="C49" s="271" t="s">
        <v>951</v>
      </c>
      <c r="D49" s="360">
        <v>1078.52</v>
      </c>
      <c r="E49" s="63">
        <f t="shared" si="0"/>
        <v>203840.28</v>
      </c>
      <c r="F49" s="266" t="s">
        <v>479</v>
      </c>
      <c r="G49" s="267">
        <f t="shared" si="1"/>
        <v>189</v>
      </c>
      <c r="H49" s="98"/>
      <c r="J49" s="271" t="s">
        <v>1301</v>
      </c>
    </row>
    <row r="50" spans="1:10" s="96" customFormat="1" ht="20.399999999999999" customHeight="1">
      <c r="A50" s="361" t="s">
        <v>952</v>
      </c>
      <c r="B50" s="59" t="s">
        <v>146</v>
      </c>
      <c r="C50" s="37" t="s">
        <v>1444</v>
      </c>
      <c r="D50" s="352"/>
      <c r="E50" s="63">
        <f t="shared" si="0"/>
        <v>0</v>
      </c>
      <c r="F50" s="64" t="s">
        <v>933</v>
      </c>
      <c r="G50" s="137">
        <f t="shared" si="1"/>
        <v>0</v>
      </c>
      <c r="H50" s="98"/>
      <c r="J50" s="37" t="s">
        <v>1302</v>
      </c>
    </row>
    <row r="51" spans="1:10" s="96" customFormat="1" ht="20.399999999999999" customHeight="1">
      <c r="A51" s="362" t="s">
        <v>1603</v>
      </c>
      <c r="B51" s="59" t="s">
        <v>146</v>
      </c>
      <c r="C51" s="37" t="s">
        <v>1604</v>
      </c>
      <c r="D51" s="352"/>
      <c r="E51" s="63">
        <f t="shared" si="0"/>
        <v>0</v>
      </c>
      <c r="F51" s="64" t="s">
        <v>1550</v>
      </c>
      <c r="G51" s="137">
        <f>+Rebusca_t1(F51)</f>
        <v>0</v>
      </c>
      <c r="H51" s="98"/>
      <c r="J51" s="37" t="s">
        <v>1614</v>
      </c>
    </row>
    <row r="52" spans="1:10" s="96" customFormat="1" ht="20.399999999999999" customHeight="1">
      <c r="A52" s="361" t="s">
        <v>953</v>
      </c>
      <c r="B52" s="59" t="s">
        <v>146</v>
      </c>
      <c r="C52" s="37" t="s">
        <v>954</v>
      </c>
      <c r="D52" s="352"/>
      <c r="E52" s="63">
        <f t="shared" si="0"/>
        <v>0</v>
      </c>
      <c r="F52" s="64" t="s">
        <v>907</v>
      </c>
      <c r="G52" s="137">
        <f t="shared" si="1"/>
        <v>42</v>
      </c>
      <c r="H52" s="98"/>
      <c r="J52" s="37" t="s">
        <v>1303</v>
      </c>
    </row>
    <row r="53" spans="1:10" s="96" customFormat="1" ht="20.399999999999999" customHeight="1">
      <c r="A53" s="361" t="s">
        <v>955</v>
      </c>
      <c r="B53" s="59"/>
      <c r="C53" s="37" t="s">
        <v>1445</v>
      </c>
      <c r="D53" s="352"/>
      <c r="E53" s="63">
        <f t="shared" si="0"/>
        <v>0</v>
      </c>
      <c r="F53" s="64" t="s">
        <v>913</v>
      </c>
      <c r="G53" s="137">
        <f t="shared" si="1"/>
        <v>0</v>
      </c>
      <c r="H53" s="98"/>
      <c r="J53" s="37" t="s">
        <v>1304</v>
      </c>
    </row>
    <row r="54" spans="1:10" s="96" customFormat="1" ht="20.399999999999999" customHeight="1">
      <c r="A54" s="363" t="s">
        <v>937</v>
      </c>
      <c r="B54" s="272" t="s">
        <v>146</v>
      </c>
      <c r="C54" s="271" t="s">
        <v>959</v>
      </c>
      <c r="D54" s="364"/>
      <c r="E54" s="63">
        <f t="shared" si="0"/>
        <v>0</v>
      </c>
      <c r="F54" s="266" t="s">
        <v>923</v>
      </c>
      <c r="G54" s="267">
        <f t="shared" si="1"/>
        <v>23</v>
      </c>
      <c r="H54" s="98"/>
      <c r="J54" s="271" t="s">
        <v>1305</v>
      </c>
    </row>
    <row r="55" spans="1:10" s="96" customFormat="1" ht="20.399999999999999" customHeight="1">
      <c r="A55" s="361" t="s">
        <v>1438</v>
      </c>
      <c r="B55" s="59" t="s">
        <v>146</v>
      </c>
      <c r="C55" s="37" t="s">
        <v>1439</v>
      </c>
      <c r="D55" s="358"/>
      <c r="E55" s="63">
        <f t="shared" si="0"/>
        <v>0</v>
      </c>
      <c r="F55" s="64" t="s">
        <v>924</v>
      </c>
      <c r="G55" s="137">
        <f t="shared" si="1"/>
        <v>0</v>
      </c>
      <c r="H55" s="98"/>
      <c r="J55" s="37" t="s">
        <v>1468</v>
      </c>
    </row>
    <row r="56" spans="1:10" s="96" customFormat="1" ht="20.399999999999999" customHeight="1">
      <c r="A56" s="365" t="s">
        <v>261</v>
      </c>
      <c r="B56" s="264" t="s">
        <v>146</v>
      </c>
      <c r="C56" s="271" t="s">
        <v>956</v>
      </c>
      <c r="D56" s="360">
        <v>1078.52</v>
      </c>
      <c r="E56" s="63">
        <f t="shared" si="0"/>
        <v>38826.720000000001</v>
      </c>
      <c r="F56" s="266" t="s">
        <v>480</v>
      </c>
      <c r="G56" s="267">
        <f t="shared" si="1"/>
        <v>36</v>
      </c>
      <c r="H56" s="98"/>
      <c r="J56" s="271" t="s">
        <v>1306</v>
      </c>
    </row>
    <row r="57" spans="1:10" s="96" customFormat="1" ht="20.399999999999999" customHeight="1">
      <c r="A57" s="361" t="s">
        <v>961</v>
      </c>
      <c r="B57" s="59" t="s">
        <v>146</v>
      </c>
      <c r="C57" s="37" t="s">
        <v>1446</v>
      </c>
      <c r="D57" s="352"/>
      <c r="E57" s="63">
        <f t="shared" si="0"/>
        <v>0</v>
      </c>
      <c r="F57" s="64" t="s">
        <v>915</v>
      </c>
      <c r="G57" s="137">
        <f t="shared" si="1"/>
        <v>0</v>
      </c>
      <c r="H57" s="98"/>
      <c r="J57" s="37" t="s">
        <v>1307</v>
      </c>
    </row>
    <row r="58" spans="1:10" s="96" customFormat="1" ht="20.399999999999999" customHeight="1">
      <c r="A58" s="361" t="s">
        <v>1605</v>
      </c>
      <c r="B58" s="59" t="s">
        <v>146</v>
      </c>
      <c r="C58" s="37" t="s">
        <v>1606</v>
      </c>
      <c r="D58" s="352"/>
      <c r="E58" s="63">
        <f t="shared" si="0"/>
        <v>0</v>
      </c>
      <c r="F58" s="64" t="s">
        <v>1551</v>
      </c>
      <c r="G58" s="137">
        <f>+Rebusca_t1(F58)</f>
        <v>0</v>
      </c>
      <c r="H58" s="98"/>
      <c r="J58" s="37" t="s">
        <v>1615</v>
      </c>
    </row>
    <row r="59" spans="1:10" s="96" customFormat="1" ht="20.399999999999999" customHeight="1">
      <c r="A59" s="361" t="s">
        <v>962</v>
      </c>
      <c r="B59" s="59" t="s">
        <v>146</v>
      </c>
      <c r="C59" s="37" t="s">
        <v>963</v>
      </c>
      <c r="D59" s="352"/>
      <c r="E59" s="63">
        <f t="shared" si="0"/>
        <v>0</v>
      </c>
      <c r="F59" s="64" t="s">
        <v>914</v>
      </c>
      <c r="G59" s="137">
        <f t="shared" si="1"/>
        <v>30</v>
      </c>
      <c r="H59" s="98"/>
      <c r="J59" s="37" t="s">
        <v>1308</v>
      </c>
    </row>
    <row r="60" spans="1:10" s="96" customFormat="1" ht="20.399999999999999" customHeight="1">
      <c r="A60" s="361" t="s">
        <v>966</v>
      </c>
      <c r="B60" s="59" t="s">
        <v>146</v>
      </c>
      <c r="C60" s="37" t="s">
        <v>1447</v>
      </c>
      <c r="D60" s="352"/>
      <c r="E60" s="63">
        <f t="shared" si="0"/>
        <v>0</v>
      </c>
      <c r="F60" s="64" t="s">
        <v>916</v>
      </c>
      <c r="G60" s="137">
        <f t="shared" si="1"/>
        <v>0</v>
      </c>
      <c r="H60" s="98"/>
      <c r="J60" s="37" t="s">
        <v>1309</v>
      </c>
    </row>
    <row r="61" spans="1:10" s="96" customFormat="1" ht="20.399999999999999" customHeight="1">
      <c r="A61" s="363" t="s">
        <v>1457</v>
      </c>
      <c r="B61" s="264" t="s">
        <v>146</v>
      </c>
      <c r="C61" s="271" t="s">
        <v>1458</v>
      </c>
      <c r="D61" s="360"/>
      <c r="E61" s="63">
        <f t="shared" si="0"/>
        <v>0</v>
      </c>
      <c r="F61" s="266" t="s">
        <v>1455</v>
      </c>
      <c r="G61" s="267">
        <f t="shared" si="1"/>
        <v>0</v>
      </c>
      <c r="H61" s="98"/>
      <c r="J61" s="271" t="s">
        <v>1463</v>
      </c>
    </row>
    <row r="62" spans="1:10" s="96" customFormat="1" ht="20.399999999999999" customHeight="1">
      <c r="A62" s="361" t="s">
        <v>1607</v>
      </c>
      <c r="B62" s="59" t="s">
        <v>146</v>
      </c>
      <c r="C62" s="37" t="s">
        <v>1608</v>
      </c>
      <c r="D62" s="352"/>
      <c r="E62" s="63">
        <f t="shared" si="0"/>
        <v>0</v>
      </c>
      <c r="F62" s="64" t="s">
        <v>1553</v>
      </c>
      <c r="G62" s="137">
        <f>+Rebusca_t1(F62)</f>
        <v>0</v>
      </c>
      <c r="H62" s="98"/>
      <c r="J62" s="37" t="s">
        <v>1463</v>
      </c>
    </row>
    <row r="63" spans="1:10" s="96" customFormat="1" ht="20.399999999999999" customHeight="1">
      <c r="A63" s="365" t="s">
        <v>1784</v>
      </c>
      <c r="B63" s="264" t="s">
        <v>146</v>
      </c>
      <c r="C63" s="271" t="s">
        <v>1785</v>
      </c>
      <c r="D63" s="360">
        <v>1078.52</v>
      </c>
      <c r="E63" s="63">
        <f>+G63*D63</f>
        <v>0</v>
      </c>
      <c r="F63" s="266" t="s">
        <v>1675</v>
      </c>
      <c r="G63" s="267">
        <f>+Rebusca_t1(F63)</f>
        <v>0</v>
      </c>
      <c r="H63" s="98"/>
      <c r="J63" s="271" t="s">
        <v>1786</v>
      </c>
    </row>
    <row r="64" spans="1:10" s="96" customFormat="1" ht="20.399999999999999" customHeight="1">
      <c r="A64" s="365" t="s">
        <v>262</v>
      </c>
      <c r="B64" s="264" t="s">
        <v>146</v>
      </c>
      <c r="C64" s="271" t="s">
        <v>957</v>
      </c>
      <c r="D64" s="364">
        <v>591.14</v>
      </c>
      <c r="E64" s="63">
        <f t="shared" si="0"/>
        <v>0</v>
      </c>
      <c r="F64" s="266" t="s">
        <v>481</v>
      </c>
      <c r="G64" s="267">
        <f t="shared" si="1"/>
        <v>0</v>
      </c>
      <c r="H64" s="98"/>
      <c r="J64" s="271" t="s">
        <v>1310</v>
      </c>
    </row>
    <row r="65" spans="1:10" s="96" customFormat="1" ht="20.399999999999999" customHeight="1">
      <c r="A65" s="361" t="s">
        <v>964</v>
      </c>
      <c r="B65" s="59" t="s">
        <v>146</v>
      </c>
      <c r="C65" s="37" t="s">
        <v>1448</v>
      </c>
      <c r="D65" s="358"/>
      <c r="E65" s="63">
        <f t="shared" si="0"/>
        <v>0</v>
      </c>
      <c r="F65" s="64" t="s">
        <v>918</v>
      </c>
      <c r="G65" s="137">
        <f t="shared" si="1"/>
        <v>0</v>
      </c>
      <c r="H65" s="98"/>
      <c r="J65" s="37" t="s">
        <v>1311</v>
      </c>
    </row>
    <row r="66" spans="1:10" s="96" customFormat="1" ht="20.399999999999999" customHeight="1">
      <c r="A66" s="361" t="s">
        <v>1609</v>
      </c>
      <c r="B66" s="59" t="s">
        <v>146</v>
      </c>
      <c r="C66" s="37" t="s">
        <v>1610</v>
      </c>
      <c r="D66" s="358"/>
      <c r="E66" s="63">
        <f t="shared" si="0"/>
        <v>0</v>
      </c>
      <c r="F66" s="64" t="s">
        <v>1552</v>
      </c>
      <c r="G66" s="137">
        <f>+Rebusca_t1(F66)</f>
        <v>0</v>
      </c>
      <c r="H66" s="98"/>
      <c r="J66" s="37" t="s">
        <v>1616</v>
      </c>
    </row>
    <row r="67" spans="1:10" s="96" customFormat="1" ht="20.399999999999999" customHeight="1">
      <c r="A67" s="361" t="s">
        <v>965</v>
      </c>
      <c r="B67" s="59" t="s">
        <v>146</v>
      </c>
      <c r="C67" s="37" t="s">
        <v>968</v>
      </c>
      <c r="D67" s="358"/>
      <c r="E67" s="63">
        <f t="shared" si="0"/>
        <v>0</v>
      </c>
      <c r="F67" s="64" t="s">
        <v>917</v>
      </c>
      <c r="G67" s="137">
        <f t="shared" si="1"/>
        <v>1</v>
      </c>
      <c r="H67" s="98"/>
      <c r="J67" s="37" t="s">
        <v>1312</v>
      </c>
    </row>
    <row r="68" spans="1:10" s="96" customFormat="1" ht="20.399999999999999" customHeight="1">
      <c r="A68" s="361" t="s">
        <v>967</v>
      </c>
      <c r="B68" s="59" t="s">
        <v>146</v>
      </c>
      <c r="C68" s="37" t="s">
        <v>1449</v>
      </c>
      <c r="D68" s="358"/>
      <c r="E68" s="63">
        <f t="shared" si="0"/>
        <v>0</v>
      </c>
      <c r="F68" s="64" t="s">
        <v>919</v>
      </c>
      <c r="G68" s="137">
        <f t="shared" si="1"/>
        <v>0</v>
      </c>
      <c r="H68" s="98"/>
      <c r="J68" s="37" t="s">
        <v>1313</v>
      </c>
    </row>
    <row r="69" spans="1:10" s="96" customFormat="1" ht="20.399999999999999" customHeight="1">
      <c r="A69" s="363" t="s">
        <v>1459</v>
      </c>
      <c r="B69" s="264" t="s">
        <v>146</v>
      </c>
      <c r="C69" s="271" t="s">
        <v>1460</v>
      </c>
      <c r="D69" s="364"/>
      <c r="E69" s="63">
        <f t="shared" si="0"/>
        <v>0</v>
      </c>
      <c r="F69" s="266" t="s">
        <v>1456</v>
      </c>
      <c r="G69" s="267">
        <f t="shared" si="1"/>
        <v>0</v>
      </c>
      <c r="H69" s="98"/>
      <c r="J69" s="271" t="s">
        <v>1462</v>
      </c>
    </row>
    <row r="70" spans="1:10" s="96" customFormat="1" ht="20.399999999999999" customHeight="1">
      <c r="A70" s="363" t="s">
        <v>1611</v>
      </c>
      <c r="B70" s="264" t="s">
        <v>146</v>
      </c>
      <c r="C70" s="271" t="s">
        <v>1612</v>
      </c>
      <c r="D70" s="364"/>
      <c r="E70" s="63">
        <f t="shared" si="0"/>
        <v>0</v>
      </c>
      <c r="F70" s="266" t="s">
        <v>1554</v>
      </c>
      <c r="G70" s="267">
        <f>+Rebusca_t1(F70)</f>
        <v>0</v>
      </c>
      <c r="H70" s="98"/>
      <c r="J70" s="271" t="s">
        <v>1617</v>
      </c>
    </row>
    <row r="71" spans="1:10" s="96" customFormat="1" ht="20.399999999999999" customHeight="1">
      <c r="A71" s="349" t="s">
        <v>1783</v>
      </c>
      <c r="B71" s="59" t="s">
        <v>146</v>
      </c>
      <c r="C71" s="37" t="s">
        <v>1781</v>
      </c>
      <c r="D71" s="352"/>
      <c r="E71" s="63">
        <f>+G71*D71</f>
        <v>0</v>
      </c>
      <c r="F71" s="64" t="s">
        <v>1780</v>
      </c>
      <c r="G71" s="137">
        <f>+Rebusca_t1(F71)</f>
        <v>0</v>
      </c>
      <c r="H71" s="98"/>
      <c r="J71" s="37" t="s">
        <v>1782</v>
      </c>
    </row>
    <row r="72" spans="1:10" s="96" customFormat="1" ht="20.399999999999999" customHeight="1">
      <c r="A72" s="349" t="s">
        <v>263</v>
      </c>
      <c r="B72" s="59" t="s">
        <v>146</v>
      </c>
      <c r="C72" s="37" t="s">
        <v>1647</v>
      </c>
      <c r="D72" s="352">
        <v>1018.03</v>
      </c>
      <c r="E72" s="63">
        <f t="shared" si="0"/>
        <v>0</v>
      </c>
      <c r="F72" s="64" t="s">
        <v>482</v>
      </c>
      <c r="G72" s="137">
        <f t="shared" si="1"/>
        <v>0</v>
      </c>
      <c r="H72" s="98"/>
      <c r="J72" s="37" t="s">
        <v>1314</v>
      </c>
    </row>
    <row r="73" spans="1:10" s="96" customFormat="1" ht="20.399999999999999" customHeight="1">
      <c r="A73" s="349" t="s">
        <v>1701</v>
      </c>
      <c r="B73" s="59" t="s">
        <v>146</v>
      </c>
      <c r="C73" s="37" t="s">
        <v>1710</v>
      </c>
      <c r="D73" s="352">
        <v>1018.03</v>
      </c>
      <c r="E73" s="63">
        <f>+G73*D73</f>
        <v>27486.809999999998</v>
      </c>
      <c r="F73" s="64" t="s">
        <v>1696</v>
      </c>
      <c r="G73" s="137">
        <f>+Rebusca_t1(F73)</f>
        <v>27</v>
      </c>
      <c r="H73" s="98"/>
      <c r="J73" s="37" t="s">
        <v>1711</v>
      </c>
    </row>
    <row r="74" spans="1:10" s="96" customFormat="1" ht="20.399999999999999" customHeight="1">
      <c r="A74" s="349" t="s">
        <v>264</v>
      </c>
      <c r="B74" s="59" t="s">
        <v>146</v>
      </c>
      <c r="C74" s="37" t="s">
        <v>1648</v>
      </c>
      <c r="D74" s="352">
        <v>2231.69</v>
      </c>
      <c r="E74" s="63">
        <f t="shared" si="0"/>
        <v>142828.16</v>
      </c>
      <c r="F74" s="64" t="s">
        <v>483</v>
      </c>
      <c r="G74" s="137">
        <f t="shared" si="1"/>
        <v>64</v>
      </c>
      <c r="H74" s="98"/>
      <c r="J74" s="37" t="s">
        <v>1315</v>
      </c>
    </row>
    <row r="75" spans="1:10" s="96" customFormat="1" ht="20.399999999999999" customHeight="1">
      <c r="A75" s="349" t="s">
        <v>1702</v>
      </c>
      <c r="B75" s="59" t="s">
        <v>146</v>
      </c>
      <c r="C75" s="37" t="s">
        <v>1712</v>
      </c>
      <c r="D75" s="352">
        <v>2231.69</v>
      </c>
      <c r="E75" s="63">
        <f>+G75*D75</f>
        <v>15621.83</v>
      </c>
      <c r="F75" s="64" t="s">
        <v>1677</v>
      </c>
      <c r="G75" s="137">
        <f>+Rebusca_t1(F75)</f>
        <v>7</v>
      </c>
      <c r="H75" s="98"/>
      <c r="J75" s="37" t="s">
        <v>1713</v>
      </c>
    </row>
    <row r="76" spans="1:10" s="96" customFormat="1" ht="20.399999999999999" customHeight="1">
      <c r="A76" s="349" t="s">
        <v>1840</v>
      </c>
      <c r="B76" s="59" t="s">
        <v>146</v>
      </c>
      <c r="C76" s="37" t="s">
        <v>1841</v>
      </c>
      <c r="D76" s="352">
        <v>2231.69</v>
      </c>
      <c r="E76" s="63">
        <f>+G76*D76</f>
        <v>0</v>
      </c>
      <c r="F76" s="64" t="s">
        <v>1837</v>
      </c>
      <c r="G76" s="137">
        <f>+Rebusca_t1(F76)</f>
        <v>0</v>
      </c>
      <c r="H76" s="98"/>
      <c r="J76" s="37" t="s">
        <v>1842</v>
      </c>
    </row>
    <row r="77" spans="1:10" s="96" customFormat="1" ht="20.399999999999999" customHeight="1">
      <c r="A77" s="355" t="s">
        <v>265</v>
      </c>
      <c r="B77" s="70" t="s">
        <v>146</v>
      </c>
      <c r="C77" s="37" t="s">
        <v>1649</v>
      </c>
      <c r="D77" s="352">
        <v>2231.69</v>
      </c>
      <c r="E77" s="63">
        <f t="shared" si="0"/>
        <v>270034.49</v>
      </c>
      <c r="F77" s="64" t="s">
        <v>484</v>
      </c>
      <c r="G77" s="137">
        <f t="shared" si="1"/>
        <v>121</v>
      </c>
      <c r="H77" s="98"/>
      <c r="J77" s="37" t="s">
        <v>1316</v>
      </c>
    </row>
    <row r="78" spans="1:10" s="96" customFormat="1" ht="20.399999999999999" customHeight="1">
      <c r="A78" s="355" t="s">
        <v>1703</v>
      </c>
      <c r="B78" s="70" t="s">
        <v>146</v>
      </c>
      <c r="C78" s="37" t="s">
        <v>1678</v>
      </c>
      <c r="D78" s="352">
        <v>2231.69</v>
      </c>
      <c r="E78" s="63">
        <f>+G78*D78</f>
        <v>8926.76</v>
      </c>
      <c r="F78" s="64" t="s">
        <v>485</v>
      </c>
      <c r="G78" s="137">
        <f>+Rebusca_t1(F78)</f>
        <v>4</v>
      </c>
      <c r="H78" s="98"/>
      <c r="J78" s="37" t="s">
        <v>1679</v>
      </c>
    </row>
    <row r="79" spans="1:10" s="96" customFormat="1" ht="20.399999999999999" customHeight="1">
      <c r="A79" s="355" t="s">
        <v>1704</v>
      </c>
      <c r="B79" s="70" t="s">
        <v>146</v>
      </c>
      <c r="C79" s="37" t="s">
        <v>1706</v>
      </c>
      <c r="D79" s="352">
        <v>2231.69</v>
      </c>
      <c r="E79" s="63">
        <f>+G79*D79</f>
        <v>40170.42</v>
      </c>
      <c r="F79" s="64" t="s">
        <v>1705</v>
      </c>
      <c r="G79" s="137">
        <f>+Rebusca_t1(F79)</f>
        <v>18</v>
      </c>
      <c r="H79" s="98"/>
      <c r="J79" s="37" t="s">
        <v>1709</v>
      </c>
    </row>
    <row r="80" spans="1:10" s="96" customFormat="1" ht="20.399999999999999" customHeight="1">
      <c r="A80" s="355" t="s">
        <v>1845</v>
      </c>
      <c r="B80" s="59" t="s">
        <v>146</v>
      </c>
      <c r="C80" s="37" t="s">
        <v>1844</v>
      </c>
      <c r="D80" s="352">
        <v>2231.69</v>
      </c>
      <c r="E80" s="63">
        <f>+G80*D80</f>
        <v>0</v>
      </c>
      <c r="F80" s="64" t="s">
        <v>1838</v>
      </c>
      <c r="G80" s="137">
        <f>+Rebusca_t1(F80)</f>
        <v>0</v>
      </c>
      <c r="H80" s="98"/>
      <c r="J80" s="37" t="s">
        <v>1843</v>
      </c>
    </row>
    <row r="81" spans="1:10" s="96" customFormat="1" ht="20.399999999999999" customHeight="1">
      <c r="A81" s="355" t="s">
        <v>266</v>
      </c>
      <c r="B81" s="70" t="s">
        <v>146</v>
      </c>
      <c r="C81" s="37" t="s">
        <v>1650</v>
      </c>
      <c r="D81" s="358">
        <v>1018.03</v>
      </c>
      <c r="E81" s="63">
        <f t="shared" si="0"/>
        <v>157794.65</v>
      </c>
      <c r="F81" s="64" t="s">
        <v>486</v>
      </c>
      <c r="G81" s="137">
        <f t="shared" si="1"/>
        <v>155</v>
      </c>
      <c r="H81" s="98"/>
      <c r="J81" s="37" t="s">
        <v>1317</v>
      </c>
    </row>
    <row r="82" spans="1:10" s="96" customFormat="1" ht="20.399999999999999" customHeight="1">
      <c r="A82" s="355" t="s">
        <v>267</v>
      </c>
      <c r="B82" s="70" t="s">
        <v>146</v>
      </c>
      <c r="C82" s="37" t="s">
        <v>436</v>
      </c>
      <c r="D82" s="352">
        <v>1000</v>
      </c>
      <c r="E82" s="63">
        <f t="shared" si="0"/>
        <v>2000</v>
      </c>
      <c r="F82" s="64" t="s">
        <v>925</v>
      </c>
      <c r="G82" s="137">
        <f t="shared" si="1"/>
        <v>2</v>
      </c>
      <c r="H82" s="98"/>
      <c r="J82" s="37" t="s">
        <v>1318</v>
      </c>
    </row>
    <row r="83" spans="1:10" s="96" customFormat="1" ht="20.399999999999999" customHeight="1">
      <c r="A83" s="355" t="s">
        <v>268</v>
      </c>
      <c r="B83" s="70" t="s">
        <v>146</v>
      </c>
      <c r="C83" s="37" t="s">
        <v>434</v>
      </c>
      <c r="D83" s="352">
        <v>600</v>
      </c>
      <c r="E83" s="63">
        <f t="shared" si="0"/>
        <v>10800</v>
      </c>
      <c r="F83" s="64" t="s">
        <v>926</v>
      </c>
      <c r="G83" s="137">
        <f t="shared" si="1"/>
        <v>18</v>
      </c>
      <c r="H83" s="98"/>
      <c r="J83" s="37" t="s">
        <v>1319</v>
      </c>
    </row>
    <row r="84" spans="1:10" s="96" customFormat="1" ht="20.399999999999999" customHeight="1">
      <c r="A84" s="355" t="s">
        <v>269</v>
      </c>
      <c r="B84" s="70" t="s">
        <v>146</v>
      </c>
      <c r="C84" s="37" t="s">
        <v>437</v>
      </c>
      <c r="D84" s="352"/>
      <c r="E84" s="63">
        <f t="shared" si="0"/>
        <v>0</v>
      </c>
      <c r="F84" s="64" t="s">
        <v>927</v>
      </c>
      <c r="G84" s="137">
        <f t="shared" si="1"/>
        <v>0</v>
      </c>
      <c r="H84" s="98"/>
      <c r="J84" s="37" t="s">
        <v>1320</v>
      </c>
    </row>
    <row r="85" spans="1:10" s="96" customFormat="1" ht="20.399999999999999" customHeight="1">
      <c r="A85" s="355" t="s">
        <v>270</v>
      </c>
      <c r="B85" s="70" t="s">
        <v>146</v>
      </c>
      <c r="C85" s="37" t="s">
        <v>435</v>
      </c>
      <c r="D85" s="352">
        <v>1831.88</v>
      </c>
      <c r="E85" s="63">
        <f t="shared" si="0"/>
        <v>14655.04</v>
      </c>
      <c r="F85" s="64" t="s">
        <v>920</v>
      </c>
      <c r="G85" s="137">
        <f>+Rebusca_t1(F85)</f>
        <v>8</v>
      </c>
      <c r="H85" s="98"/>
      <c r="J85" s="37" t="s">
        <v>1321</v>
      </c>
    </row>
    <row r="86" spans="1:10" s="96" customFormat="1" ht="20.399999999999999" customHeight="1">
      <c r="A86" s="355" t="s">
        <v>1466</v>
      </c>
      <c r="B86" s="70" t="s">
        <v>146</v>
      </c>
      <c r="C86" s="37" t="s">
        <v>1461</v>
      </c>
      <c r="D86" s="352">
        <v>1831.88</v>
      </c>
      <c r="E86" s="63">
        <f t="shared" si="0"/>
        <v>16486.920000000002</v>
      </c>
      <c r="F86" s="64" t="s">
        <v>1465</v>
      </c>
      <c r="G86" s="137">
        <f t="shared" si="1"/>
        <v>9</v>
      </c>
      <c r="H86" s="98"/>
      <c r="J86" s="37" t="s">
        <v>1464</v>
      </c>
    </row>
    <row r="87" spans="1:10" s="96" customFormat="1" ht="20.399999999999999" customHeight="1">
      <c r="A87" s="355" t="s">
        <v>1846</v>
      </c>
      <c r="B87" s="70" t="s">
        <v>146</v>
      </c>
      <c r="C87" s="37" t="s">
        <v>1847</v>
      </c>
      <c r="D87" s="352">
        <v>1831.88</v>
      </c>
      <c r="E87" s="63">
        <f>+G87*D87</f>
        <v>0</v>
      </c>
      <c r="F87" s="64" t="s">
        <v>1839</v>
      </c>
      <c r="G87" s="137">
        <f>+Rebusca_t1(F87)</f>
        <v>0</v>
      </c>
      <c r="H87" s="98"/>
      <c r="J87" s="37" t="s">
        <v>1848</v>
      </c>
    </row>
    <row r="88" spans="1:10" s="96" customFormat="1" ht="20.399999999999999" customHeight="1">
      <c r="A88" s="365" t="s">
        <v>271</v>
      </c>
      <c r="B88" s="273" t="s">
        <v>146</v>
      </c>
      <c r="C88" s="265" t="s">
        <v>1568</v>
      </c>
      <c r="D88" s="366">
        <v>121.99</v>
      </c>
      <c r="E88" s="63">
        <f t="shared" si="0"/>
        <v>0</v>
      </c>
      <c r="F88" s="266" t="s">
        <v>492</v>
      </c>
      <c r="G88" s="267">
        <f>+Rebusca_t1(F88)</f>
        <v>0</v>
      </c>
      <c r="H88" s="98"/>
      <c r="J88" s="265" t="s">
        <v>1618</v>
      </c>
    </row>
    <row r="89" spans="1:10" s="96" customFormat="1" ht="20.399999999999999" customHeight="1">
      <c r="A89" s="365" t="s">
        <v>1569</v>
      </c>
      <c r="B89" s="273" t="s">
        <v>146</v>
      </c>
      <c r="C89" s="265" t="s">
        <v>1570</v>
      </c>
      <c r="D89" s="366"/>
      <c r="E89" s="63">
        <f t="shared" si="0"/>
        <v>0</v>
      </c>
      <c r="F89" s="266" t="s">
        <v>493</v>
      </c>
      <c r="G89" s="267">
        <f t="shared" ref="G89:G99" si="2">+Rebusca_t1(F89)</f>
        <v>0</v>
      </c>
      <c r="H89" s="98"/>
      <c r="J89" s="265" t="s">
        <v>1619</v>
      </c>
    </row>
    <row r="90" spans="1:10" s="96" customFormat="1" ht="20.399999999999999" customHeight="1">
      <c r="A90" s="365" t="s">
        <v>1571</v>
      </c>
      <c r="B90" s="273" t="s">
        <v>146</v>
      </c>
      <c r="C90" s="265" t="s">
        <v>1572</v>
      </c>
      <c r="D90" s="366"/>
      <c r="E90" s="63">
        <f t="shared" si="0"/>
        <v>0</v>
      </c>
      <c r="F90" s="266" t="s">
        <v>494</v>
      </c>
      <c r="G90" s="267">
        <f t="shared" si="2"/>
        <v>59</v>
      </c>
      <c r="H90" s="98"/>
      <c r="J90" s="265" t="s">
        <v>1620</v>
      </c>
    </row>
    <row r="91" spans="1:10" s="96" customFormat="1" ht="20.399999999999999" customHeight="1">
      <c r="A91" s="349" t="s">
        <v>272</v>
      </c>
      <c r="B91" s="70" t="s">
        <v>1567</v>
      </c>
      <c r="C91" s="268" t="s">
        <v>1573</v>
      </c>
      <c r="D91" s="352">
        <v>138.5</v>
      </c>
      <c r="E91" s="63">
        <f t="shared" si="0"/>
        <v>0</v>
      </c>
      <c r="F91" s="269" t="s">
        <v>495</v>
      </c>
      <c r="G91" s="269">
        <f t="shared" si="2"/>
        <v>0</v>
      </c>
      <c r="H91" s="98"/>
      <c r="J91" s="268" t="s">
        <v>1621</v>
      </c>
    </row>
    <row r="92" spans="1:10" s="96" customFormat="1" ht="20.399999999999999" customHeight="1">
      <c r="A92" s="349" t="s">
        <v>1574</v>
      </c>
      <c r="B92" s="70" t="s">
        <v>1567</v>
      </c>
      <c r="C92" s="268" t="s">
        <v>1575</v>
      </c>
      <c r="D92" s="352">
        <v>139.5</v>
      </c>
      <c r="E92" s="63">
        <f t="shared" si="0"/>
        <v>0</v>
      </c>
      <c r="F92" s="269" t="s">
        <v>496</v>
      </c>
      <c r="G92" s="269">
        <f t="shared" si="2"/>
        <v>0</v>
      </c>
      <c r="H92" s="98"/>
      <c r="J92" s="268" t="s">
        <v>1622</v>
      </c>
    </row>
    <row r="93" spans="1:10" s="96" customFormat="1" ht="20.399999999999999" customHeight="1">
      <c r="A93" s="359" t="s">
        <v>273</v>
      </c>
      <c r="B93" s="270" t="s">
        <v>1567</v>
      </c>
      <c r="C93" s="271" t="s">
        <v>1576</v>
      </c>
      <c r="D93" s="360">
        <v>180.6</v>
      </c>
      <c r="E93" s="63">
        <f t="shared" si="0"/>
        <v>10023.299999999999</v>
      </c>
      <c r="F93" s="266" t="s">
        <v>497</v>
      </c>
      <c r="G93" s="267">
        <f t="shared" si="2"/>
        <v>55.5</v>
      </c>
      <c r="H93" s="98"/>
      <c r="J93" s="271" t="s">
        <v>1623</v>
      </c>
    </row>
    <row r="94" spans="1:10" s="96" customFormat="1" ht="20.399999999999999" customHeight="1">
      <c r="A94" s="359" t="s">
        <v>1577</v>
      </c>
      <c r="B94" s="264" t="s">
        <v>1567</v>
      </c>
      <c r="C94" s="271" t="s">
        <v>1578</v>
      </c>
      <c r="D94" s="360">
        <v>180.6</v>
      </c>
      <c r="E94" s="63">
        <f t="shared" si="0"/>
        <v>0</v>
      </c>
      <c r="F94" s="266" t="s">
        <v>498</v>
      </c>
      <c r="G94" s="267">
        <f t="shared" si="2"/>
        <v>0</v>
      </c>
      <c r="H94" s="98"/>
      <c r="J94" s="271" t="s">
        <v>1624</v>
      </c>
    </row>
    <row r="95" spans="1:10" s="96" customFormat="1" ht="20.399999999999999" customHeight="1">
      <c r="A95" s="359" t="s">
        <v>1579</v>
      </c>
      <c r="B95" s="264" t="s">
        <v>1567</v>
      </c>
      <c r="C95" s="271" t="s">
        <v>1580</v>
      </c>
      <c r="D95" s="360">
        <v>180.6</v>
      </c>
      <c r="E95" s="63">
        <f t="shared" si="0"/>
        <v>10023.299999999999</v>
      </c>
      <c r="F95" s="266" t="s">
        <v>499</v>
      </c>
      <c r="G95" s="267">
        <f t="shared" si="2"/>
        <v>55.5</v>
      </c>
      <c r="H95" s="98"/>
      <c r="J95" s="271" t="s">
        <v>1625</v>
      </c>
    </row>
    <row r="96" spans="1:10" s="96" customFormat="1" ht="20.399999999999999" customHeight="1">
      <c r="A96" s="349" t="s">
        <v>274</v>
      </c>
      <c r="B96" s="70" t="s">
        <v>1567</v>
      </c>
      <c r="C96" s="37" t="s">
        <v>1581</v>
      </c>
      <c r="D96" s="352">
        <v>225.75</v>
      </c>
      <c r="E96" s="63">
        <f t="shared" si="0"/>
        <v>11739</v>
      </c>
      <c r="F96" s="64" t="s">
        <v>500</v>
      </c>
      <c r="G96" s="137">
        <f t="shared" si="2"/>
        <v>52</v>
      </c>
      <c r="H96" s="98"/>
      <c r="J96" s="37" t="s">
        <v>1626</v>
      </c>
    </row>
    <row r="97" spans="1:10" s="96" customFormat="1" ht="20.399999999999999" customHeight="1">
      <c r="A97" s="349" t="s">
        <v>275</v>
      </c>
      <c r="B97" s="70" t="s">
        <v>1567</v>
      </c>
      <c r="C97" s="37" t="s">
        <v>1582</v>
      </c>
      <c r="D97" s="352"/>
      <c r="E97" s="63">
        <f t="shared" si="0"/>
        <v>0</v>
      </c>
      <c r="F97" s="64" t="s">
        <v>501</v>
      </c>
      <c r="G97" s="137">
        <f t="shared" si="2"/>
        <v>0</v>
      </c>
      <c r="H97" s="98"/>
      <c r="J97" s="37" t="s">
        <v>1627</v>
      </c>
    </row>
    <row r="98" spans="1:10" s="96" customFormat="1" ht="20.399999999999999" customHeight="1">
      <c r="A98" s="359" t="s">
        <v>1583</v>
      </c>
      <c r="B98" s="264" t="s">
        <v>1567</v>
      </c>
      <c r="C98" s="271" t="s">
        <v>1584</v>
      </c>
      <c r="D98" s="360"/>
      <c r="E98" s="63">
        <f t="shared" si="0"/>
        <v>0</v>
      </c>
      <c r="F98" s="266" t="s">
        <v>502</v>
      </c>
      <c r="G98" s="267">
        <f t="shared" si="2"/>
        <v>3</v>
      </c>
      <c r="H98" s="98"/>
      <c r="J98" s="271" t="s">
        <v>1628</v>
      </c>
    </row>
    <row r="99" spans="1:10" s="96" customFormat="1" ht="20.399999999999999" customHeight="1">
      <c r="A99" s="359" t="s">
        <v>1585</v>
      </c>
      <c r="B99" s="264" t="s">
        <v>1567</v>
      </c>
      <c r="C99" s="271" t="s">
        <v>1586</v>
      </c>
      <c r="D99" s="360"/>
      <c r="E99" s="63">
        <f t="shared" si="0"/>
        <v>0</v>
      </c>
      <c r="F99" s="266" t="s">
        <v>503</v>
      </c>
      <c r="G99" s="267">
        <f t="shared" si="2"/>
        <v>0</v>
      </c>
      <c r="H99" s="98"/>
      <c r="J99" s="271" t="s">
        <v>1629</v>
      </c>
    </row>
    <row r="100" spans="1:10" s="96" customFormat="1" ht="20.399999999999999" customHeight="1">
      <c r="A100" s="349" t="s">
        <v>276</v>
      </c>
      <c r="B100" s="59" t="s">
        <v>146</v>
      </c>
      <c r="C100" s="37" t="s">
        <v>54</v>
      </c>
      <c r="D100" s="352">
        <v>100</v>
      </c>
      <c r="E100" s="63">
        <f t="shared" si="0"/>
        <v>200</v>
      </c>
      <c r="F100" s="64" t="s">
        <v>841</v>
      </c>
      <c r="G100" s="137">
        <f t="shared" ref="G100:G115" si="3">+Rebusca_t1(F100)</f>
        <v>2</v>
      </c>
      <c r="H100" s="98"/>
      <c r="J100" s="37" t="s">
        <v>1322</v>
      </c>
    </row>
    <row r="101" spans="1:10" s="96" customFormat="1" ht="30" customHeight="1">
      <c r="A101" s="359" t="s">
        <v>277</v>
      </c>
      <c r="B101" s="272" t="s">
        <v>146</v>
      </c>
      <c r="C101" s="271" t="s">
        <v>1587</v>
      </c>
      <c r="D101" s="360">
        <v>236.87</v>
      </c>
      <c r="E101" s="63">
        <f t="shared" si="0"/>
        <v>83615.11</v>
      </c>
      <c r="F101" s="266" t="s">
        <v>509</v>
      </c>
      <c r="G101" s="267">
        <f t="shared" si="3"/>
        <v>353</v>
      </c>
      <c r="H101" s="98"/>
      <c r="J101" s="271" t="s">
        <v>1630</v>
      </c>
    </row>
    <row r="102" spans="1:10" s="96" customFormat="1" ht="20.399999999999999" customHeight="1">
      <c r="A102" s="361" t="s">
        <v>1026</v>
      </c>
      <c r="B102" s="59" t="s">
        <v>146</v>
      </c>
      <c r="C102" s="37" t="s">
        <v>1588</v>
      </c>
      <c r="D102" s="352">
        <v>236.87</v>
      </c>
      <c r="E102" s="63">
        <f t="shared" si="0"/>
        <v>0</v>
      </c>
      <c r="F102" s="64" t="s">
        <v>511</v>
      </c>
      <c r="G102" s="137">
        <f t="shared" si="3"/>
        <v>0</v>
      </c>
      <c r="H102" s="98"/>
      <c r="J102" s="37" t="s">
        <v>1631</v>
      </c>
    </row>
    <row r="103" spans="1:10" s="96" customFormat="1" ht="20.399999999999999" customHeight="1">
      <c r="A103" s="361" t="s">
        <v>1589</v>
      </c>
      <c r="B103" s="59" t="s">
        <v>146</v>
      </c>
      <c r="C103" s="37" t="s">
        <v>1590</v>
      </c>
      <c r="D103" s="352">
        <v>236.87</v>
      </c>
      <c r="E103" s="63">
        <f t="shared" si="0"/>
        <v>0</v>
      </c>
      <c r="F103" s="64" t="s">
        <v>1559</v>
      </c>
      <c r="G103" s="137">
        <f t="shared" si="3"/>
        <v>0</v>
      </c>
      <c r="H103" s="98"/>
      <c r="J103" s="37" t="s">
        <v>1632</v>
      </c>
    </row>
    <row r="104" spans="1:10" s="96" customFormat="1" ht="30" customHeight="1">
      <c r="A104" s="361" t="s">
        <v>1027</v>
      </c>
      <c r="B104" s="59" t="s">
        <v>146</v>
      </c>
      <c r="C104" s="37" t="s">
        <v>1028</v>
      </c>
      <c r="D104" s="352">
        <v>236.87</v>
      </c>
      <c r="E104" s="63">
        <f t="shared" si="0"/>
        <v>0</v>
      </c>
      <c r="F104" s="64" t="s">
        <v>513</v>
      </c>
      <c r="G104" s="137">
        <f t="shared" si="3"/>
        <v>0</v>
      </c>
      <c r="H104" s="98"/>
      <c r="J104" s="37" t="s">
        <v>1203</v>
      </c>
    </row>
    <row r="105" spans="1:10" s="96" customFormat="1" ht="35" customHeight="1">
      <c r="A105" s="359" t="s">
        <v>278</v>
      </c>
      <c r="B105" s="272" t="s">
        <v>146</v>
      </c>
      <c r="C105" s="271" t="s">
        <v>1591</v>
      </c>
      <c r="D105" s="360">
        <v>316.64</v>
      </c>
      <c r="E105" s="63">
        <f t="shared" si="0"/>
        <v>31980.639999999999</v>
      </c>
      <c r="F105" s="266" t="s">
        <v>510</v>
      </c>
      <c r="G105" s="267">
        <f t="shared" si="3"/>
        <v>101</v>
      </c>
      <c r="H105" s="98" t="s">
        <v>1046</v>
      </c>
      <c r="J105" s="271" t="s">
        <v>1633</v>
      </c>
    </row>
    <row r="106" spans="1:10" s="96" customFormat="1" ht="30" customHeight="1">
      <c r="A106" s="361" t="s">
        <v>1029</v>
      </c>
      <c r="B106" s="59" t="s">
        <v>146</v>
      </c>
      <c r="C106" s="37" t="s">
        <v>1592</v>
      </c>
      <c r="D106" s="352">
        <v>317.64</v>
      </c>
      <c r="E106" s="63">
        <f t="shared" si="0"/>
        <v>0</v>
      </c>
      <c r="F106" s="64" t="s">
        <v>512</v>
      </c>
      <c r="G106" s="137">
        <f t="shared" si="3"/>
        <v>0</v>
      </c>
      <c r="H106" s="98"/>
      <c r="J106" s="37" t="s">
        <v>1634</v>
      </c>
    </row>
    <row r="107" spans="1:10" s="96" customFormat="1" ht="30" customHeight="1">
      <c r="A107" s="361" t="s">
        <v>1593</v>
      </c>
      <c r="B107" s="59" t="s">
        <v>146</v>
      </c>
      <c r="C107" s="37" t="s">
        <v>1594</v>
      </c>
      <c r="D107" s="352">
        <v>317.64</v>
      </c>
      <c r="E107" s="63">
        <f t="shared" si="0"/>
        <v>0</v>
      </c>
      <c r="F107" s="64" t="s">
        <v>1561</v>
      </c>
      <c r="G107" s="137">
        <f t="shared" si="3"/>
        <v>0</v>
      </c>
      <c r="H107" s="98"/>
      <c r="J107" s="37" t="s">
        <v>1635</v>
      </c>
    </row>
    <row r="108" spans="1:10" s="96" customFormat="1" ht="30" customHeight="1">
      <c r="A108" s="361" t="s">
        <v>1030</v>
      </c>
      <c r="B108" s="59" t="s">
        <v>146</v>
      </c>
      <c r="C108" s="37" t="s">
        <v>1031</v>
      </c>
      <c r="D108" s="352">
        <v>318.64</v>
      </c>
      <c r="E108" s="63">
        <f t="shared" si="0"/>
        <v>0</v>
      </c>
      <c r="F108" s="64" t="s">
        <v>515</v>
      </c>
      <c r="G108" s="137">
        <f t="shared" si="3"/>
        <v>0</v>
      </c>
      <c r="H108" s="98"/>
      <c r="J108" s="37" t="s">
        <v>1204</v>
      </c>
    </row>
    <row r="109" spans="1:10" s="96" customFormat="1" ht="30" customHeight="1">
      <c r="A109" s="349" t="s">
        <v>279</v>
      </c>
      <c r="B109" s="59" t="s">
        <v>146</v>
      </c>
      <c r="C109" s="37" t="s">
        <v>69</v>
      </c>
      <c r="D109" s="352">
        <v>320.42</v>
      </c>
      <c r="E109" s="63">
        <f t="shared" si="0"/>
        <v>2242.94</v>
      </c>
      <c r="F109" s="64" t="s">
        <v>234</v>
      </c>
      <c r="G109" s="137">
        <f t="shared" si="3"/>
        <v>7</v>
      </c>
      <c r="H109" s="98"/>
      <c r="J109" s="37" t="s">
        <v>1205</v>
      </c>
    </row>
    <row r="110" spans="1:10" s="96" customFormat="1" ht="30" customHeight="1">
      <c r="A110" s="349" t="s">
        <v>280</v>
      </c>
      <c r="B110" s="59" t="s">
        <v>146</v>
      </c>
      <c r="C110" s="37" t="s">
        <v>70</v>
      </c>
      <c r="D110" s="352">
        <v>350</v>
      </c>
      <c r="E110" s="63">
        <f t="shared" si="0"/>
        <v>700</v>
      </c>
      <c r="F110" s="64" t="s">
        <v>452</v>
      </c>
      <c r="G110" s="137">
        <f>+Rebusca_t1(F110)/2</f>
        <v>2</v>
      </c>
      <c r="H110" s="367" t="s">
        <v>1047</v>
      </c>
      <c r="J110" s="37" t="s">
        <v>1206</v>
      </c>
    </row>
    <row r="111" spans="1:10" s="96" customFormat="1" ht="30" customHeight="1">
      <c r="A111" s="349" t="s">
        <v>1595</v>
      </c>
      <c r="B111" s="59" t="s">
        <v>146</v>
      </c>
      <c r="C111" s="37" t="s">
        <v>1768</v>
      </c>
      <c r="D111" s="352">
        <v>320.42</v>
      </c>
      <c r="E111" s="63">
        <f t="shared" ref="E111:E119" si="4">+G111*D111</f>
        <v>2563.36</v>
      </c>
      <c r="F111" s="64" t="s">
        <v>1680</v>
      </c>
      <c r="G111" s="137">
        <f t="shared" si="3"/>
        <v>8</v>
      </c>
      <c r="H111" s="98"/>
      <c r="J111" s="37" t="s">
        <v>1776</v>
      </c>
    </row>
    <row r="112" spans="1:10" s="96" customFormat="1" ht="30" customHeight="1">
      <c r="A112" s="349" t="s">
        <v>1596</v>
      </c>
      <c r="B112" s="59" t="s">
        <v>146</v>
      </c>
      <c r="C112" s="37" t="s">
        <v>1769</v>
      </c>
      <c r="D112" s="352">
        <v>350</v>
      </c>
      <c r="E112" s="63">
        <f t="shared" si="4"/>
        <v>350</v>
      </c>
      <c r="F112" s="64" t="s">
        <v>1681</v>
      </c>
      <c r="G112" s="137">
        <f>+Rebusca_t1(F112)/2</f>
        <v>1</v>
      </c>
      <c r="H112" s="367" t="s">
        <v>1047</v>
      </c>
      <c r="J112" s="37" t="s">
        <v>1777</v>
      </c>
    </row>
    <row r="113" spans="1:10" s="96" customFormat="1" ht="30" customHeight="1">
      <c r="A113" s="349" t="s">
        <v>1764</v>
      </c>
      <c r="B113" s="59" t="s">
        <v>146</v>
      </c>
      <c r="C113" s="37" t="s">
        <v>1770</v>
      </c>
      <c r="D113" s="352">
        <v>320.42</v>
      </c>
      <c r="E113" s="63">
        <f t="shared" si="4"/>
        <v>0</v>
      </c>
      <c r="F113" s="64" t="s">
        <v>1688</v>
      </c>
      <c r="G113" s="137">
        <f t="shared" si="3"/>
        <v>0</v>
      </c>
      <c r="H113" s="367"/>
      <c r="J113" s="37" t="s">
        <v>1778</v>
      </c>
    </row>
    <row r="114" spans="1:10" s="96" customFormat="1" ht="30" customHeight="1">
      <c r="A114" s="349" t="s">
        <v>1765</v>
      </c>
      <c r="B114" s="59" t="s">
        <v>146</v>
      </c>
      <c r="C114" s="37" t="s">
        <v>1771</v>
      </c>
      <c r="D114" s="352">
        <v>350</v>
      </c>
      <c r="E114" s="63">
        <f t="shared" si="4"/>
        <v>0</v>
      </c>
      <c r="F114" s="64" t="s">
        <v>1689</v>
      </c>
      <c r="G114" s="137">
        <f>+Rebusca_t1(F114)/2</f>
        <v>0</v>
      </c>
      <c r="H114" s="367" t="s">
        <v>1047</v>
      </c>
      <c r="J114" s="37" t="s">
        <v>1779</v>
      </c>
    </row>
    <row r="115" spans="1:10" s="96" customFormat="1" ht="30" customHeight="1">
      <c r="A115" s="349" t="s">
        <v>1766</v>
      </c>
      <c r="B115" s="59" t="s">
        <v>146</v>
      </c>
      <c r="C115" s="37" t="s">
        <v>1772</v>
      </c>
      <c r="D115" s="352">
        <v>320.42</v>
      </c>
      <c r="E115" s="63">
        <f t="shared" si="4"/>
        <v>1602.1000000000001</v>
      </c>
      <c r="F115" s="64" t="s">
        <v>1682</v>
      </c>
      <c r="G115" s="137">
        <f t="shared" si="3"/>
        <v>5</v>
      </c>
      <c r="H115" s="367"/>
      <c r="J115" s="37" t="s">
        <v>1775</v>
      </c>
    </row>
    <row r="116" spans="1:10" s="96" customFormat="1" ht="30" customHeight="1">
      <c r="A116" s="349" t="s">
        <v>1767</v>
      </c>
      <c r="B116" s="59" t="s">
        <v>146</v>
      </c>
      <c r="C116" s="37" t="s">
        <v>1773</v>
      </c>
      <c r="D116" s="352">
        <v>350</v>
      </c>
      <c r="E116" s="63">
        <f t="shared" si="4"/>
        <v>1400</v>
      </c>
      <c r="F116" s="64" t="s">
        <v>1683</v>
      </c>
      <c r="G116" s="137">
        <f>+Rebusca_t1(F116)/2</f>
        <v>4</v>
      </c>
      <c r="H116" s="367" t="s">
        <v>1047</v>
      </c>
      <c r="J116" s="37" t="s">
        <v>1774</v>
      </c>
    </row>
    <row r="117" spans="1:10" s="96" customFormat="1" ht="20.399999999999999" customHeight="1">
      <c r="A117" s="349" t="s">
        <v>281</v>
      </c>
      <c r="B117" s="59" t="s">
        <v>146</v>
      </c>
      <c r="C117" s="37" t="s">
        <v>969</v>
      </c>
      <c r="D117" s="352">
        <v>271.44</v>
      </c>
      <c r="E117" s="63">
        <f t="shared" si="4"/>
        <v>0</v>
      </c>
      <c r="F117" s="64" t="s">
        <v>519</v>
      </c>
      <c r="G117" s="137"/>
      <c r="H117" s="98"/>
      <c r="J117" s="37" t="s">
        <v>1207</v>
      </c>
    </row>
    <row r="118" spans="1:10" s="96" customFormat="1" ht="20.399999999999999" customHeight="1">
      <c r="A118" s="368" t="s">
        <v>970</v>
      </c>
      <c r="B118" s="90" t="s">
        <v>146</v>
      </c>
      <c r="C118" s="91" t="s">
        <v>971</v>
      </c>
      <c r="D118" s="369"/>
      <c r="E118" s="63">
        <f t="shared" si="4"/>
        <v>0</v>
      </c>
      <c r="F118" s="112" t="s">
        <v>1013</v>
      </c>
      <c r="G118" s="141">
        <f>+Rebusca_t1("c-281")+Rebusca_t1("c-282")</f>
        <v>365</v>
      </c>
      <c r="H118" s="98"/>
      <c r="J118" s="91" t="s">
        <v>1208</v>
      </c>
    </row>
    <row r="119" spans="1:10" s="96" customFormat="1" ht="20.399999999999999" customHeight="1">
      <c r="A119" s="368" t="s">
        <v>973</v>
      </c>
      <c r="B119" s="90" t="s">
        <v>146</v>
      </c>
      <c r="C119" s="91" t="s">
        <v>972</v>
      </c>
      <c r="D119" s="369"/>
      <c r="E119" s="63">
        <f t="shared" si="4"/>
        <v>0</v>
      </c>
      <c r="F119" s="112" t="s">
        <v>1014</v>
      </c>
      <c r="G119" s="141">
        <f>+Rebusca_t1("c-283")+Rebusca_t1("c-284")</f>
        <v>412</v>
      </c>
      <c r="H119" s="98"/>
      <c r="J119" s="91" t="s">
        <v>1209</v>
      </c>
    </row>
    <row r="120" spans="1:10" s="96" customFormat="1" ht="21" customHeight="1" thickBot="1">
      <c r="A120" s="349"/>
      <c r="B120" s="59"/>
      <c r="C120" s="84" t="s">
        <v>282</v>
      </c>
      <c r="D120" s="356"/>
      <c r="E120" s="67">
        <f>SUM(E37:E117)</f>
        <v>1156857.0100000002</v>
      </c>
      <c r="F120" s="66"/>
      <c r="G120" s="139"/>
      <c r="H120" s="98"/>
      <c r="J120" s="84" t="s">
        <v>1210</v>
      </c>
    </row>
    <row r="121" spans="1:10" s="96" customFormat="1" ht="20.399999999999999" customHeight="1">
      <c r="A121" s="349"/>
      <c r="B121" s="59"/>
      <c r="C121" s="58"/>
      <c r="D121" s="357"/>
      <c r="E121" s="69"/>
      <c r="F121" s="66"/>
      <c r="G121" s="139"/>
      <c r="H121" s="98"/>
      <c r="J121" s="58"/>
    </row>
    <row r="122" spans="1:10" s="96" customFormat="1" ht="20.399999999999999" hidden="1" customHeight="1">
      <c r="A122" s="349"/>
      <c r="B122" s="59"/>
      <c r="C122" s="84" t="s">
        <v>438</v>
      </c>
      <c r="D122" s="357"/>
      <c r="E122" s="69"/>
      <c r="F122" s="66"/>
      <c r="G122" s="139"/>
      <c r="H122" s="98"/>
      <c r="J122" s="84" t="s">
        <v>1636</v>
      </c>
    </row>
    <row r="123" spans="1:10" s="100" customFormat="1" ht="20.399999999999999" hidden="1" customHeight="1">
      <c r="A123" s="355" t="s">
        <v>283</v>
      </c>
      <c r="B123" s="70" t="s">
        <v>146</v>
      </c>
      <c r="C123" s="85" t="s">
        <v>442</v>
      </c>
      <c r="D123" s="371">
        <v>146.63999999999999</v>
      </c>
      <c r="E123" s="71" t="e">
        <f>#REF!*D123</f>
        <v>#REF!</v>
      </c>
      <c r="F123" s="64"/>
      <c r="G123" s="137"/>
      <c r="H123" s="370"/>
      <c r="J123" s="85" t="s">
        <v>1323</v>
      </c>
    </row>
    <row r="124" spans="1:10" s="100" customFormat="1" ht="20.399999999999999" hidden="1" customHeight="1">
      <c r="A124" s="355" t="s">
        <v>284</v>
      </c>
      <c r="B124" s="70" t="s">
        <v>146</v>
      </c>
      <c r="C124" s="85" t="s">
        <v>443</v>
      </c>
      <c r="D124" s="371">
        <v>176.49</v>
      </c>
      <c r="E124" s="71" t="e">
        <f>#REF!*D124</f>
        <v>#REF!</v>
      </c>
      <c r="F124" s="64"/>
      <c r="G124" s="137"/>
      <c r="H124" s="370"/>
      <c r="J124" s="85" t="s">
        <v>1324</v>
      </c>
    </row>
    <row r="125" spans="1:10" s="96" customFormat="1" ht="20.399999999999999" hidden="1" customHeight="1">
      <c r="A125" s="355" t="s">
        <v>285</v>
      </c>
      <c r="B125" s="70" t="s">
        <v>146</v>
      </c>
      <c r="C125" s="85" t="s">
        <v>418</v>
      </c>
      <c r="D125" s="352"/>
      <c r="E125" s="72"/>
      <c r="F125" s="64"/>
      <c r="G125" s="137"/>
      <c r="H125" s="98"/>
      <c r="J125" s="85" t="s">
        <v>1325</v>
      </c>
    </row>
    <row r="126" spans="1:10" s="96" customFormat="1" ht="20.399999999999999" hidden="1" customHeight="1">
      <c r="A126" s="355" t="s">
        <v>286</v>
      </c>
      <c r="B126" s="70" t="s">
        <v>146</v>
      </c>
      <c r="C126" s="85" t="s">
        <v>417</v>
      </c>
      <c r="D126" s="352"/>
      <c r="E126" s="72"/>
      <c r="F126" s="64"/>
      <c r="G126" s="137"/>
      <c r="H126" s="98"/>
      <c r="J126" s="85" t="s">
        <v>1326</v>
      </c>
    </row>
    <row r="127" spans="1:10" s="100" customFormat="1" ht="20.399999999999999" hidden="1" customHeight="1">
      <c r="A127" s="355" t="s">
        <v>411</v>
      </c>
      <c r="B127" s="70" t="s">
        <v>146</v>
      </c>
      <c r="C127" s="85" t="s">
        <v>440</v>
      </c>
      <c r="D127" s="371"/>
      <c r="E127" s="71"/>
      <c r="F127" s="64"/>
      <c r="G127" s="137"/>
      <c r="H127" s="370"/>
      <c r="J127" s="85" t="s">
        <v>1327</v>
      </c>
    </row>
    <row r="128" spans="1:10" s="96" customFormat="1" ht="20.399999999999999" hidden="1" customHeight="1">
      <c r="A128" s="355" t="s">
        <v>412</v>
      </c>
      <c r="B128" s="70" t="s">
        <v>146</v>
      </c>
      <c r="C128" s="85" t="s">
        <v>59</v>
      </c>
      <c r="D128" s="352">
        <v>189.82</v>
      </c>
      <c r="E128" s="72" t="e">
        <f>#REF!*D128</f>
        <v>#REF!</v>
      </c>
      <c r="F128" s="64"/>
      <c r="G128" s="137"/>
      <c r="H128" s="98"/>
      <c r="J128" s="85" t="s">
        <v>1328</v>
      </c>
    </row>
    <row r="129" spans="1:10" s="96" customFormat="1" ht="20.399999999999999" hidden="1" customHeight="1">
      <c r="A129" s="355" t="s">
        <v>439</v>
      </c>
      <c r="B129" s="70" t="s">
        <v>146</v>
      </c>
      <c r="C129" s="85" t="s">
        <v>71</v>
      </c>
      <c r="D129" s="358">
        <v>1798.78</v>
      </c>
      <c r="E129" s="72" t="e">
        <f>#REF!*D129</f>
        <v>#REF!</v>
      </c>
      <c r="F129" s="64"/>
      <c r="G129" s="137"/>
      <c r="H129" s="98"/>
      <c r="J129" s="85" t="s">
        <v>71</v>
      </c>
    </row>
    <row r="130" spans="1:10" s="96" customFormat="1" ht="20.399999999999999" hidden="1" customHeight="1">
      <c r="A130" s="355" t="s">
        <v>413</v>
      </c>
      <c r="B130" s="70" t="s">
        <v>146</v>
      </c>
      <c r="C130" s="85" t="s">
        <v>72</v>
      </c>
      <c r="D130" s="358">
        <v>2298.88</v>
      </c>
      <c r="E130" s="2" t="e">
        <f>#REF!*D130</f>
        <v>#REF!</v>
      </c>
      <c r="F130" s="64"/>
      <c r="G130" s="137"/>
      <c r="H130" s="98"/>
      <c r="J130" s="85" t="s">
        <v>72</v>
      </c>
    </row>
    <row r="131" spans="1:10" s="96" customFormat="1" ht="20.399999999999999" hidden="1" customHeight="1">
      <c r="A131" s="349" t="s">
        <v>414</v>
      </c>
      <c r="B131" s="59" t="s">
        <v>146</v>
      </c>
      <c r="C131" s="37" t="s">
        <v>73</v>
      </c>
      <c r="D131" s="358">
        <v>2298.88</v>
      </c>
      <c r="E131" s="72" t="e">
        <f>#REF!*D131</f>
        <v>#REF!</v>
      </c>
      <c r="F131" s="62"/>
      <c r="G131" s="140"/>
      <c r="H131" s="98"/>
      <c r="J131" s="37" t="s">
        <v>73</v>
      </c>
    </row>
    <row r="132" spans="1:10" s="96" customFormat="1" ht="20.399999999999999" hidden="1" customHeight="1">
      <c r="A132" s="349" t="s">
        <v>287</v>
      </c>
      <c r="B132" s="59" t="s">
        <v>146</v>
      </c>
      <c r="C132" s="37" t="s">
        <v>74</v>
      </c>
      <c r="D132" s="358">
        <v>2298.88</v>
      </c>
      <c r="E132" s="2" t="e">
        <f>#REF!*D132</f>
        <v>#REF!</v>
      </c>
      <c r="F132" s="62"/>
      <c r="G132" s="140"/>
      <c r="H132" s="98"/>
      <c r="J132" s="37" t="s">
        <v>74</v>
      </c>
    </row>
    <row r="133" spans="1:10" s="96" customFormat="1" ht="20.399999999999999" hidden="1" customHeight="1">
      <c r="A133" s="349" t="s">
        <v>288</v>
      </c>
      <c r="B133" s="59" t="s">
        <v>146</v>
      </c>
      <c r="C133" s="37" t="s">
        <v>441</v>
      </c>
      <c r="D133" s="358"/>
      <c r="E133" s="2"/>
      <c r="F133" s="62"/>
      <c r="G133" s="140"/>
      <c r="H133" s="98"/>
      <c r="J133" s="37" t="s">
        <v>441</v>
      </c>
    </row>
    <row r="134" spans="1:10" s="96" customFormat="1" ht="20.399999999999999" hidden="1" customHeight="1">
      <c r="A134" s="349" t="s">
        <v>289</v>
      </c>
      <c r="B134" s="59" t="s">
        <v>146</v>
      </c>
      <c r="C134" s="37" t="s">
        <v>451</v>
      </c>
      <c r="D134" s="358"/>
      <c r="E134" s="2"/>
      <c r="F134" s="62"/>
      <c r="G134" s="140"/>
      <c r="H134" s="98"/>
      <c r="J134" s="37" t="s">
        <v>1329</v>
      </c>
    </row>
    <row r="135" spans="1:10" s="96" customFormat="1" ht="20.399999999999999" hidden="1" customHeight="1">
      <c r="A135" s="349" t="s">
        <v>290</v>
      </c>
      <c r="B135" s="59" t="s">
        <v>146</v>
      </c>
      <c r="C135" s="37" t="s">
        <v>75</v>
      </c>
      <c r="D135" s="352">
        <v>421.39</v>
      </c>
      <c r="E135" s="2" t="e">
        <f>#REF!*D135</f>
        <v>#REF!</v>
      </c>
      <c r="F135" s="62"/>
      <c r="G135" s="140"/>
      <c r="H135" s="98"/>
      <c r="J135" s="37" t="s">
        <v>75</v>
      </c>
    </row>
    <row r="136" spans="1:10" s="96" customFormat="1" ht="20.399999999999999" hidden="1" customHeight="1">
      <c r="A136" s="349" t="s">
        <v>415</v>
      </c>
      <c r="B136" s="59" t="s">
        <v>146</v>
      </c>
      <c r="C136" s="37" t="s">
        <v>76</v>
      </c>
      <c r="D136" s="352">
        <v>450</v>
      </c>
      <c r="E136" s="2" t="e">
        <f>#REF!*D136</f>
        <v>#REF!</v>
      </c>
      <c r="F136" s="62"/>
      <c r="G136" s="140"/>
      <c r="H136" s="98"/>
      <c r="J136" s="37" t="s">
        <v>76</v>
      </c>
    </row>
    <row r="137" spans="1:10" s="96" customFormat="1" ht="20.399999999999999" hidden="1" customHeight="1">
      <c r="A137" s="349" t="s">
        <v>416</v>
      </c>
      <c r="B137" s="59" t="s">
        <v>146</v>
      </c>
      <c r="C137" s="37" t="s">
        <v>77</v>
      </c>
      <c r="D137" s="352">
        <v>238.62</v>
      </c>
      <c r="E137" s="2" t="e">
        <f>#REF!*D137</f>
        <v>#REF!</v>
      </c>
      <c r="F137" s="62"/>
      <c r="G137" s="140"/>
      <c r="H137" s="98"/>
      <c r="J137" s="37" t="s">
        <v>77</v>
      </c>
    </row>
    <row r="138" spans="1:10" s="96" customFormat="1" ht="20.399999999999999" hidden="1" customHeight="1">
      <c r="A138" s="349" t="s">
        <v>291</v>
      </c>
      <c r="B138" s="59" t="s">
        <v>146</v>
      </c>
      <c r="C138" s="37" t="s">
        <v>78</v>
      </c>
      <c r="D138" s="352">
        <v>477.24</v>
      </c>
      <c r="E138" s="72" t="e">
        <f>#REF!*D138</f>
        <v>#REF!</v>
      </c>
      <c r="F138" s="62"/>
      <c r="G138" s="140"/>
      <c r="H138" s="98"/>
      <c r="J138" s="37" t="s">
        <v>78</v>
      </c>
    </row>
    <row r="139" spans="1:10" s="96" customFormat="1" ht="20.399999999999999" hidden="1" customHeight="1">
      <c r="A139" s="349" t="s">
        <v>292</v>
      </c>
      <c r="B139" s="59" t="s">
        <v>146</v>
      </c>
      <c r="C139" s="37" t="s">
        <v>150</v>
      </c>
      <c r="D139" s="352">
        <v>103.93</v>
      </c>
      <c r="E139" s="2" t="e">
        <f>#REF!*D139</f>
        <v>#REF!</v>
      </c>
      <c r="F139" s="62"/>
      <c r="G139" s="140"/>
      <c r="H139" s="98"/>
      <c r="J139" s="37" t="s">
        <v>150</v>
      </c>
    </row>
    <row r="140" spans="1:10" s="96" customFormat="1" ht="21" hidden="1" customHeight="1" thickBot="1">
      <c r="A140" s="349" t="s">
        <v>450</v>
      </c>
      <c r="B140" s="59" t="s">
        <v>146</v>
      </c>
      <c r="C140" s="37" t="s">
        <v>151</v>
      </c>
      <c r="D140" s="352">
        <v>4.8899999999999997</v>
      </c>
      <c r="E140" s="72" t="e">
        <f>#REF!*D140</f>
        <v>#REF!</v>
      </c>
      <c r="F140" s="62"/>
      <c r="G140" s="140"/>
      <c r="H140" s="98"/>
      <c r="J140" s="37" t="s">
        <v>1330</v>
      </c>
    </row>
    <row r="141" spans="1:10" s="96" customFormat="1" ht="21" hidden="1" customHeight="1" thickBot="1">
      <c r="A141" s="349"/>
      <c r="B141" s="59"/>
      <c r="C141" s="84" t="s">
        <v>293</v>
      </c>
      <c r="D141" s="356"/>
      <c r="E141" s="73" t="e">
        <f>SUM(E123:E140)</f>
        <v>#REF!</v>
      </c>
      <c r="F141" s="68"/>
      <c r="G141" s="138"/>
      <c r="H141" s="98"/>
      <c r="J141" s="84" t="s">
        <v>293</v>
      </c>
    </row>
    <row r="142" spans="1:10" s="96" customFormat="1" ht="20.399999999999999" hidden="1" customHeight="1">
      <c r="A142" s="349"/>
      <c r="B142" s="59"/>
      <c r="C142" s="58" t="s">
        <v>294</v>
      </c>
      <c r="D142" s="357"/>
      <c r="E142" s="69"/>
      <c r="F142" s="66"/>
      <c r="G142" s="139"/>
      <c r="H142" s="98"/>
      <c r="J142" s="58" t="s">
        <v>1331</v>
      </c>
    </row>
    <row r="143" spans="1:10" s="96" customFormat="1" ht="20.399999999999999" customHeight="1">
      <c r="A143" s="349"/>
      <c r="B143" s="59"/>
      <c r="C143" s="84"/>
      <c r="D143" s="357"/>
      <c r="E143" s="69"/>
      <c r="F143" s="66"/>
      <c r="G143" s="139"/>
      <c r="H143" s="98"/>
      <c r="J143" s="84"/>
    </row>
    <row r="144" spans="1:10" s="96" customFormat="1" ht="20.399999999999999" customHeight="1">
      <c r="A144" s="349"/>
      <c r="B144" s="59"/>
      <c r="C144" s="58" t="s">
        <v>295</v>
      </c>
      <c r="D144" s="357"/>
      <c r="E144" s="69"/>
      <c r="F144" s="66"/>
      <c r="G144" s="139"/>
      <c r="H144" s="98"/>
      <c r="J144" s="58" t="s">
        <v>1211</v>
      </c>
    </row>
    <row r="145" spans="1:10" s="96" customFormat="1" ht="20.399999999999999" customHeight="1">
      <c r="A145" s="349"/>
      <c r="B145" s="59"/>
      <c r="C145" s="84"/>
      <c r="D145" s="357"/>
      <c r="E145" s="69"/>
      <c r="F145" s="66"/>
      <c r="G145" s="139"/>
      <c r="H145" s="98"/>
      <c r="J145" s="84"/>
    </row>
    <row r="146" spans="1:10" s="96" customFormat="1" ht="30" customHeight="1">
      <c r="A146" s="349"/>
      <c r="B146" s="59"/>
      <c r="C146" s="84" t="s">
        <v>296</v>
      </c>
      <c r="D146" s="357"/>
      <c r="E146" s="69"/>
      <c r="F146" s="66"/>
      <c r="G146" s="139"/>
      <c r="H146" s="98"/>
      <c r="J146" s="84" t="s">
        <v>1212</v>
      </c>
    </row>
    <row r="147" spans="1:10" s="96" customFormat="1" ht="20.399999999999999" customHeight="1">
      <c r="A147" s="349" t="s">
        <v>297</v>
      </c>
      <c r="B147" s="59" t="s">
        <v>146</v>
      </c>
      <c r="C147" s="37" t="s">
        <v>974</v>
      </c>
      <c r="D147" s="352">
        <v>345.48</v>
      </c>
      <c r="E147" s="63">
        <f t="shared" ref="E147:E161" si="5">+G147*D147</f>
        <v>0</v>
      </c>
      <c r="F147" s="64"/>
      <c r="G147" s="137"/>
      <c r="H147" s="98"/>
      <c r="J147" s="37" t="s">
        <v>1213</v>
      </c>
    </row>
    <row r="148" spans="1:10" s="96" customFormat="1" ht="20.399999999999999" customHeight="1">
      <c r="A148" s="368" t="s">
        <v>975</v>
      </c>
      <c r="B148" s="90" t="s">
        <v>146</v>
      </c>
      <c r="C148" s="91" t="s">
        <v>978</v>
      </c>
      <c r="D148" s="352"/>
      <c r="E148" s="63">
        <f t="shared" si="5"/>
        <v>0</v>
      </c>
      <c r="F148" s="112" t="s">
        <v>526</v>
      </c>
      <c r="G148" s="141">
        <f>+Rebusca_t1("C-301")</f>
        <v>535</v>
      </c>
      <c r="H148" s="98"/>
      <c r="J148" s="91" t="s">
        <v>1214</v>
      </c>
    </row>
    <row r="149" spans="1:10" s="96" customFormat="1" ht="20.399999999999999" customHeight="1">
      <c r="A149" s="368" t="s">
        <v>976</v>
      </c>
      <c r="B149" s="90" t="s">
        <v>146</v>
      </c>
      <c r="C149" s="91" t="s">
        <v>660</v>
      </c>
      <c r="D149" s="352"/>
      <c r="E149" s="63">
        <f t="shared" si="5"/>
        <v>0</v>
      </c>
      <c r="F149" s="112" t="s">
        <v>531</v>
      </c>
      <c r="G149" s="141">
        <f>+Rebusca_t1("C-304")</f>
        <v>8</v>
      </c>
      <c r="H149" s="98"/>
      <c r="J149" s="91" t="s">
        <v>1215</v>
      </c>
    </row>
    <row r="150" spans="1:10" s="96" customFormat="1" ht="20.399999999999999" customHeight="1">
      <c r="A150" s="368" t="s">
        <v>977</v>
      </c>
      <c r="B150" s="90" t="s">
        <v>146</v>
      </c>
      <c r="C150" s="91" t="s">
        <v>979</v>
      </c>
      <c r="D150" s="352"/>
      <c r="E150" s="63">
        <f t="shared" si="5"/>
        <v>0</v>
      </c>
      <c r="F150" s="112" t="s">
        <v>534</v>
      </c>
      <c r="G150" s="141">
        <f>+Rebusca_t1("C-307")</f>
        <v>184</v>
      </c>
      <c r="H150" s="98"/>
      <c r="J150" s="91" t="s">
        <v>1216</v>
      </c>
    </row>
    <row r="151" spans="1:10" s="96" customFormat="1" ht="32.4" customHeight="1">
      <c r="A151" s="349" t="s">
        <v>298</v>
      </c>
      <c r="B151" s="59" t="s">
        <v>146</v>
      </c>
      <c r="C151" s="37" t="s">
        <v>980</v>
      </c>
      <c r="D151" s="352">
        <v>323.64999999999998</v>
      </c>
      <c r="E151" s="63">
        <f t="shared" si="5"/>
        <v>0</v>
      </c>
      <c r="F151" s="64" t="s">
        <v>1018</v>
      </c>
      <c r="G151" s="137"/>
      <c r="H151" s="98"/>
      <c r="J151" s="37" t="s">
        <v>1217</v>
      </c>
    </row>
    <row r="152" spans="1:10" s="96" customFormat="1" ht="20.399999999999999" customHeight="1">
      <c r="A152" s="368" t="s">
        <v>984</v>
      </c>
      <c r="B152" s="90" t="s">
        <v>146</v>
      </c>
      <c r="C152" s="91" t="s">
        <v>981</v>
      </c>
      <c r="D152" s="352"/>
      <c r="E152" s="63">
        <f t="shared" si="5"/>
        <v>0</v>
      </c>
      <c r="F152" s="112" t="s">
        <v>528</v>
      </c>
      <c r="G152" s="141">
        <f>+Rebusca_t1(F152)</f>
        <v>574</v>
      </c>
      <c r="H152" s="98"/>
      <c r="J152" s="91" t="s">
        <v>1218</v>
      </c>
    </row>
    <row r="153" spans="1:10" s="96" customFormat="1" ht="20.399999999999999" customHeight="1">
      <c r="A153" s="368" t="s">
        <v>985</v>
      </c>
      <c r="B153" s="90" t="s">
        <v>146</v>
      </c>
      <c r="C153" s="91" t="s">
        <v>662</v>
      </c>
      <c r="D153" s="352"/>
      <c r="E153" s="63">
        <f t="shared" si="5"/>
        <v>0</v>
      </c>
      <c r="F153" s="112" t="s">
        <v>532</v>
      </c>
      <c r="G153" s="141">
        <f>+Rebusca_t1(F153)</f>
        <v>21</v>
      </c>
      <c r="H153" s="98"/>
      <c r="J153" s="91" t="s">
        <v>1219</v>
      </c>
    </row>
    <row r="154" spans="1:10" s="96" customFormat="1" ht="20.399999999999999" customHeight="1">
      <c r="A154" s="368" t="s">
        <v>986</v>
      </c>
      <c r="B154" s="90" t="s">
        <v>146</v>
      </c>
      <c r="C154" s="91" t="s">
        <v>982</v>
      </c>
      <c r="D154" s="352"/>
      <c r="E154" s="63">
        <f t="shared" si="5"/>
        <v>0</v>
      </c>
      <c r="F154" s="112" t="s">
        <v>983</v>
      </c>
      <c r="G154" s="141">
        <f>+Rebusca_t1(F154)</f>
        <v>0</v>
      </c>
      <c r="H154" s="98"/>
      <c r="J154" s="91" t="s">
        <v>1220</v>
      </c>
    </row>
    <row r="155" spans="1:10" s="96" customFormat="1" ht="20.399999999999999" customHeight="1">
      <c r="A155" s="349" t="s">
        <v>299</v>
      </c>
      <c r="B155" s="59" t="s">
        <v>146</v>
      </c>
      <c r="C155" s="37" t="s">
        <v>102</v>
      </c>
      <c r="D155" s="352">
        <v>317.44</v>
      </c>
      <c r="E155" s="63">
        <f t="shared" si="5"/>
        <v>0</v>
      </c>
      <c r="F155" s="64" t="s">
        <v>934</v>
      </c>
      <c r="G155" s="137"/>
      <c r="H155" s="98"/>
      <c r="J155" s="37" t="s">
        <v>1221</v>
      </c>
    </row>
    <row r="156" spans="1:10" s="96" customFormat="1" ht="20.399999999999999" customHeight="1">
      <c r="A156" s="368" t="s">
        <v>987</v>
      </c>
      <c r="B156" s="90" t="s">
        <v>146</v>
      </c>
      <c r="C156" s="91" t="s">
        <v>990</v>
      </c>
      <c r="D156" s="352"/>
      <c r="E156" s="63">
        <f t="shared" si="5"/>
        <v>0</v>
      </c>
      <c r="F156" s="112" t="s">
        <v>529</v>
      </c>
      <c r="G156" s="141">
        <f>+Rebusca_t1(F156)</f>
        <v>313</v>
      </c>
      <c r="H156" s="98"/>
      <c r="J156" s="91" t="s">
        <v>1222</v>
      </c>
    </row>
    <row r="157" spans="1:10" s="96" customFormat="1" ht="20.399999999999999" customHeight="1">
      <c r="A157" s="368" t="s">
        <v>988</v>
      </c>
      <c r="B157" s="90" t="s">
        <v>146</v>
      </c>
      <c r="C157" s="91" t="s">
        <v>991</v>
      </c>
      <c r="D157" s="352"/>
      <c r="E157" s="63">
        <f t="shared" si="5"/>
        <v>0</v>
      </c>
      <c r="F157" s="112" t="s">
        <v>533</v>
      </c>
      <c r="G157" s="141">
        <f>+Rebusca_t1(F157)</f>
        <v>4</v>
      </c>
      <c r="H157" s="98"/>
      <c r="J157" s="91" t="s">
        <v>1223</v>
      </c>
    </row>
    <row r="158" spans="1:10" s="96" customFormat="1" ht="20.399999999999999" customHeight="1">
      <c r="A158" s="368" t="s">
        <v>989</v>
      </c>
      <c r="B158" s="90" t="s">
        <v>146</v>
      </c>
      <c r="C158" s="91" t="s">
        <v>992</v>
      </c>
      <c r="D158" s="352"/>
      <c r="E158" s="63">
        <f t="shared" si="5"/>
        <v>0</v>
      </c>
      <c r="F158" s="112" t="s">
        <v>537</v>
      </c>
      <c r="G158" s="141">
        <f>+Rebusca_t1(F158)</f>
        <v>92</v>
      </c>
      <c r="H158" s="98"/>
      <c r="J158" s="91" t="s">
        <v>1224</v>
      </c>
    </row>
    <row r="159" spans="1:10" s="96" customFormat="1" ht="30" customHeight="1">
      <c r="A159" s="349" t="s">
        <v>300</v>
      </c>
      <c r="B159" s="59" t="s">
        <v>146</v>
      </c>
      <c r="C159" s="37" t="s">
        <v>64</v>
      </c>
      <c r="D159" s="352"/>
      <c r="E159" s="63">
        <f t="shared" si="5"/>
        <v>0</v>
      </c>
      <c r="F159" s="64" t="s">
        <v>538</v>
      </c>
      <c r="G159" s="137">
        <f>+Rebusca_t1("C-310")</f>
        <v>338</v>
      </c>
      <c r="H159" s="98"/>
      <c r="J159" s="37" t="s">
        <v>1332</v>
      </c>
    </row>
    <row r="160" spans="1:10" s="96" customFormat="1" ht="30" customHeight="1">
      <c r="A160" s="349" t="s">
        <v>301</v>
      </c>
      <c r="B160" s="59" t="s">
        <v>146</v>
      </c>
      <c r="C160" s="37" t="s">
        <v>65</v>
      </c>
      <c r="D160" s="352">
        <v>220.92</v>
      </c>
      <c r="E160" s="63">
        <f t="shared" si="5"/>
        <v>0</v>
      </c>
      <c r="F160" s="64" t="s">
        <v>539</v>
      </c>
      <c r="G160" s="137"/>
      <c r="H160" s="98"/>
      <c r="J160" s="37" t="s">
        <v>1225</v>
      </c>
    </row>
    <row r="161" spans="1:10" s="96" customFormat="1" ht="21" customHeight="1" thickBot="1">
      <c r="A161" s="349" t="s">
        <v>419</v>
      </c>
      <c r="B161" s="59" t="s">
        <v>146</v>
      </c>
      <c r="C161" s="37" t="s">
        <v>233</v>
      </c>
      <c r="D161" s="369"/>
      <c r="E161" s="63">
        <f t="shared" si="5"/>
        <v>0</v>
      </c>
      <c r="F161" s="64" t="s">
        <v>841</v>
      </c>
      <c r="G161" s="137">
        <f>+Rebusca_t1(F161)</f>
        <v>2</v>
      </c>
      <c r="H161" s="98"/>
      <c r="J161" s="37" t="s">
        <v>1226</v>
      </c>
    </row>
    <row r="162" spans="1:10" s="96" customFormat="1" ht="21" customHeight="1" thickBot="1">
      <c r="A162" s="349"/>
      <c r="B162" s="59"/>
      <c r="C162" s="84" t="s">
        <v>302</v>
      </c>
      <c r="D162" s="356"/>
      <c r="E162" s="73">
        <f>SUM(E147:E160)</f>
        <v>0</v>
      </c>
      <c r="F162" s="64"/>
      <c r="G162" s="137"/>
      <c r="H162" s="98"/>
      <c r="J162" s="84" t="s">
        <v>1227</v>
      </c>
    </row>
    <row r="163" spans="1:10" s="96" customFormat="1" ht="20.399999999999999" hidden="1" customHeight="1">
      <c r="A163" s="349"/>
      <c r="B163" s="59"/>
      <c r="C163" s="58"/>
      <c r="D163" s="357"/>
      <c r="E163" s="69"/>
      <c r="F163" s="68"/>
      <c r="G163" s="138"/>
      <c r="H163" s="98"/>
      <c r="J163" s="58"/>
    </row>
    <row r="164" spans="1:10" s="96" customFormat="1" ht="30" hidden="1" customHeight="1">
      <c r="A164" s="349"/>
      <c r="B164" s="59"/>
      <c r="C164" s="84" t="s">
        <v>303</v>
      </c>
      <c r="D164" s="357"/>
      <c r="E164" s="69"/>
      <c r="F164" s="66"/>
      <c r="G164" s="139"/>
      <c r="H164" s="98"/>
      <c r="J164" s="84" t="s">
        <v>303</v>
      </c>
    </row>
    <row r="165" spans="1:10" s="96" customFormat="1" ht="20.399999999999999" hidden="1" customHeight="1">
      <c r="A165" s="349" t="s">
        <v>304</v>
      </c>
      <c r="B165" s="59" t="s">
        <v>146</v>
      </c>
      <c r="C165" s="37" t="s">
        <v>152</v>
      </c>
      <c r="D165" s="352">
        <v>140.08000000000001</v>
      </c>
      <c r="E165" s="63" t="e">
        <f>#REF!*D165</f>
        <v>#REF!</v>
      </c>
      <c r="F165" s="62"/>
      <c r="G165" s="140"/>
      <c r="H165" s="98"/>
      <c r="J165" s="37" t="s">
        <v>152</v>
      </c>
    </row>
    <row r="166" spans="1:10" s="96" customFormat="1" ht="20.399999999999999" hidden="1" customHeight="1">
      <c r="A166" s="349" t="s">
        <v>305</v>
      </c>
      <c r="B166" s="59" t="s">
        <v>146</v>
      </c>
      <c r="C166" s="37" t="s">
        <v>153</v>
      </c>
      <c r="D166" s="352">
        <v>286.39</v>
      </c>
      <c r="E166" s="63" t="e">
        <f>#REF!*D166</f>
        <v>#REF!</v>
      </c>
      <c r="F166" s="62"/>
      <c r="G166" s="140"/>
      <c r="H166" s="98"/>
      <c r="J166" s="37" t="s">
        <v>153</v>
      </c>
    </row>
    <row r="167" spans="1:10" s="96" customFormat="1" ht="20.399999999999999" hidden="1" customHeight="1">
      <c r="A167" s="349" t="s">
        <v>306</v>
      </c>
      <c r="B167" s="59" t="s">
        <v>146</v>
      </c>
      <c r="C167" s="37" t="s">
        <v>154</v>
      </c>
      <c r="D167" s="352">
        <v>378.57</v>
      </c>
      <c r="E167" s="63" t="e">
        <f>#REF!*D167</f>
        <v>#REF!</v>
      </c>
      <c r="F167" s="62"/>
      <c r="G167" s="140"/>
      <c r="H167" s="98"/>
      <c r="J167" s="37" t="s">
        <v>154</v>
      </c>
    </row>
    <row r="168" spans="1:10" s="96" customFormat="1" ht="20.399999999999999" hidden="1" customHeight="1">
      <c r="A168" s="349" t="s">
        <v>307</v>
      </c>
      <c r="B168" s="59" t="s">
        <v>146</v>
      </c>
      <c r="C168" s="37" t="s">
        <v>155</v>
      </c>
      <c r="D168" s="352">
        <v>186.36</v>
      </c>
      <c r="E168" s="63" t="e">
        <f>#REF!*D168</f>
        <v>#REF!</v>
      </c>
      <c r="F168" s="62"/>
      <c r="G168" s="140"/>
      <c r="H168" s="98"/>
      <c r="J168" s="37" t="s">
        <v>155</v>
      </c>
    </row>
    <row r="169" spans="1:10" s="96" customFormat="1" ht="42" hidden="1" customHeight="1">
      <c r="A169" s="349" t="s">
        <v>308</v>
      </c>
      <c r="B169" s="59" t="s">
        <v>146</v>
      </c>
      <c r="C169" s="37" t="s">
        <v>156</v>
      </c>
      <c r="D169" s="352">
        <v>368.7</v>
      </c>
      <c r="E169" s="63" t="e">
        <f>#REF!*D169</f>
        <v>#REF!</v>
      </c>
      <c r="F169" s="62"/>
      <c r="G169" s="140"/>
      <c r="H169" s="98"/>
      <c r="J169" s="37" t="s">
        <v>156</v>
      </c>
    </row>
    <row r="170" spans="1:10" s="96" customFormat="1" ht="21" hidden="1" customHeight="1" thickBot="1">
      <c r="A170" s="349" t="s">
        <v>420</v>
      </c>
      <c r="B170" s="59" t="s">
        <v>146</v>
      </c>
      <c r="C170" s="37" t="s">
        <v>421</v>
      </c>
      <c r="D170" s="369"/>
      <c r="E170" s="65"/>
      <c r="F170" s="62"/>
      <c r="G170" s="140"/>
      <c r="H170" s="98"/>
      <c r="J170" s="37" t="s">
        <v>421</v>
      </c>
    </row>
    <row r="171" spans="1:10" s="96" customFormat="1" ht="21" hidden="1" customHeight="1" thickBot="1">
      <c r="A171" s="349"/>
      <c r="B171" s="59"/>
      <c r="C171" s="84" t="s">
        <v>309</v>
      </c>
      <c r="D171" s="356"/>
      <c r="E171" s="73" t="e">
        <f>SUM(E165:E169)</f>
        <v>#REF!</v>
      </c>
      <c r="F171" s="66"/>
      <c r="G171" s="139"/>
      <c r="H171" s="98"/>
      <c r="J171" s="84" t="s">
        <v>309</v>
      </c>
    </row>
    <row r="172" spans="1:10" s="96" customFormat="1" ht="20.399999999999999" hidden="1" customHeight="1">
      <c r="A172" s="349"/>
      <c r="B172" s="59"/>
      <c r="C172" s="58" t="s">
        <v>310</v>
      </c>
      <c r="D172" s="352"/>
      <c r="E172" s="1"/>
      <c r="F172" s="62"/>
      <c r="G172" s="140"/>
      <c r="H172" s="98"/>
      <c r="J172" s="58" t="s">
        <v>310</v>
      </c>
    </row>
    <row r="173" spans="1:10" s="96" customFormat="1" ht="20.399999999999999" customHeight="1">
      <c r="A173" s="349"/>
      <c r="B173" s="59"/>
      <c r="C173" s="58"/>
      <c r="D173" s="352"/>
      <c r="E173" s="1"/>
      <c r="F173" s="62"/>
      <c r="G173" s="140"/>
      <c r="H173" s="98"/>
      <c r="J173" s="58"/>
    </row>
    <row r="174" spans="1:10" s="96" customFormat="1" ht="20.399999999999999" customHeight="1">
      <c r="A174" s="349"/>
      <c r="B174" s="59"/>
      <c r="C174" s="58" t="s">
        <v>311</v>
      </c>
      <c r="D174" s="352"/>
      <c r="E174" s="1"/>
      <c r="F174" s="62"/>
      <c r="G174" s="140"/>
      <c r="H174" s="98"/>
      <c r="J174" s="58" t="s">
        <v>1228</v>
      </c>
    </row>
    <row r="175" spans="1:10" s="96" customFormat="1" ht="20.399999999999999" customHeight="1">
      <c r="A175" s="349"/>
      <c r="B175" s="59"/>
      <c r="C175" s="84"/>
      <c r="D175" s="352"/>
      <c r="E175" s="1"/>
      <c r="F175" s="62"/>
      <c r="G175" s="140"/>
      <c r="H175" s="98"/>
      <c r="J175" s="84"/>
    </row>
    <row r="176" spans="1:10" s="96" customFormat="1" ht="20.399999999999999" customHeight="1">
      <c r="A176" s="349"/>
      <c r="B176" s="59"/>
      <c r="C176" s="84" t="s">
        <v>312</v>
      </c>
      <c r="D176" s="357"/>
      <c r="E176" s="69"/>
      <c r="F176" s="66"/>
      <c r="G176" s="139"/>
      <c r="H176" s="98"/>
      <c r="J176" s="84" t="s">
        <v>1229</v>
      </c>
    </row>
    <row r="177" spans="1:10" s="96" customFormat="1" ht="20.399999999999999" customHeight="1">
      <c r="A177" s="349" t="s">
        <v>313</v>
      </c>
      <c r="B177" s="59" t="s">
        <v>157</v>
      </c>
      <c r="C177" s="37" t="s">
        <v>79</v>
      </c>
      <c r="D177" s="358">
        <v>11530.49</v>
      </c>
      <c r="E177" s="63">
        <f t="shared" ref="E177:E189" si="6">+G177*D177</f>
        <v>1218284.0155288989</v>
      </c>
      <c r="F177" s="92" t="s">
        <v>540</v>
      </c>
      <c r="G177" s="142">
        <f>+Rebusca_t1(F177)</f>
        <v>105.65760999999991</v>
      </c>
      <c r="H177" s="98"/>
      <c r="J177" s="37" t="s">
        <v>1230</v>
      </c>
    </row>
    <row r="178" spans="1:10" s="96" customFormat="1" ht="20.399999999999999" customHeight="1">
      <c r="A178" s="349" t="s">
        <v>314</v>
      </c>
      <c r="B178" s="59" t="s">
        <v>146</v>
      </c>
      <c r="C178" s="37" t="s">
        <v>80</v>
      </c>
      <c r="D178" s="352">
        <v>11.76</v>
      </c>
      <c r="E178" s="63">
        <f t="shared" si="6"/>
        <v>137345.04</v>
      </c>
      <c r="F178" s="64" t="s">
        <v>541</v>
      </c>
      <c r="G178" s="137">
        <f t="shared" ref="G178:G187" si="7">+Rebusca_t1(F178)</f>
        <v>11679</v>
      </c>
      <c r="H178" s="98"/>
      <c r="J178" s="37" t="s">
        <v>1231</v>
      </c>
    </row>
    <row r="179" spans="1:10" s="96" customFormat="1" ht="20.399999999999999" customHeight="1">
      <c r="A179" s="349" t="s">
        <v>315</v>
      </c>
      <c r="B179" s="59" t="s">
        <v>146</v>
      </c>
      <c r="C179" s="37" t="s">
        <v>81</v>
      </c>
      <c r="D179" s="352">
        <v>11.54</v>
      </c>
      <c r="E179" s="63">
        <f t="shared" si="6"/>
        <v>35889.399999999994</v>
      </c>
      <c r="F179" s="64" t="s">
        <v>542</v>
      </c>
      <c r="G179" s="137">
        <f t="shared" si="7"/>
        <v>3110</v>
      </c>
      <c r="H179" s="98"/>
      <c r="J179" s="37" t="s">
        <v>1232</v>
      </c>
    </row>
    <row r="180" spans="1:10" s="96" customFormat="1" ht="20.399999999999999" customHeight="1">
      <c r="A180" s="372" t="s">
        <v>316</v>
      </c>
      <c r="B180" s="76" t="s">
        <v>146</v>
      </c>
      <c r="C180" s="86" t="s">
        <v>82</v>
      </c>
      <c r="D180" s="373">
        <v>61.32</v>
      </c>
      <c r="E180" s="63">
        <f t="shared" si="6"/>
        <v>95352.6</v>
      </c>
      <c r="F180" s="64" t="s">
        <v>543</v>
      </c>
      <c r="G180" s="137">
        <f t="shared" si="7"/>
        <v>1555</v>
      </c>
      <c r="H180" s="98"/>
      <c r="J180" s="86" t="s">
        <v>1085</v>
      </c>
    </row>
    <row r="181" spans="1:10" s="96" customFormat="1" ht="20.399999999999999" customHeight="1">
      <c r="A181" s="349" t="s">
        <v>317</v>
      </c>
      <c r="B181" s="59" t="s">
        <v>146</v>
      </c>
      <c r="C181" s="37" t="s">
        <v>158</v>
      </c>
      <c r="D181" s="358">
        <v>3487.1</v>
      </c>
      <c r="E181" s="63">
        <f t="shared" si="6"/>
        <v>624190.9</v>
      </c>
      <c r="F181" s="64" t="s">
        <v>544</v>
      </c>
      <c r="G181" s="137">
        <f t="shared" si="7"/>
        <v>179</v>
      </c>
      <c r="H181" s="98"/>
      <c r="J181" s="37" t="s">
        <v>1233</v>
      </c>
    </row>
    <row r="182" spans="1:10" s="96" customFormat="1" ht="20.399999999999999" customHeight="1">
      <c r="A182" s="349" t="s">
        <v>318</v>
      </c>
      <c r="B182" s="59" t="s">
        <v>146</v>
      </c>
      <c r="C182" s="37" t="s">
        <v>159</v>
      </c>
      <c r="D182" s="352">
        <v>775.29</v>
      </c>
      <c r="E182" s="63">
        <f t="shared" si="6"/>
        <v>38764.5</v>
      </c>
      <c r="F182" s="64" t="s">
        <v>545</v>
      </c>
      <c r="G182" s="137">
        <f t="shared" si="7"/>
        <v>50</v>
      </c>
      <c r="H182" s="98"/>
      <c r="J182" s="37" t="s">
        <v>1234</v>
      </c>
    </row>
    <row r="183" spans="1:10" s="96" customFormat="1" ht="20.399999999999999" customHeight="1">
      <c r="A183" s="349" t="s">
        <v>319</v>
      </c>
      <c r="B183" s="59" t="s">
        <v>146</v>
      </c>
      <c r="C183" s="37" t="s">
        <v>160</v>
      </c>
      <c r="D183" s="352">
        <v>751.22</v>
      </c>
      <c r="E183" s="63">
        <f t="shared" si="6"/>
        <v>45824.42</v>
      </c>
      <c r="F183" s="64" t="s">
        <v>547</v>
      </c>
      <c r="G183" s="137">
        <f t="shared" si="7"/>
        <v>61</v>
      </c>
      <c r="H183" s="98"/>
      <c r="J183" s="37" t="s">
        <v>1235</v>
      </c>
    </row>
    <row r="184" spans="1:10" s="96" customFormat="1" ht="20.399999999999999" customHeight="1">
      <c r="A184" s="349" t="s">
        <v>320</v>
      </c>
      <c r="B184" s="59" t="s">
        <v>146</v>
      </c>
      <c r="C184" s="37" t="s">
        <v>108</v>
      </c>
      <c r="D184" s="358">
        <v>4695.59</v>
      </c>
      <c r="E184" s="63">
        <f t="shared" si="6"/>
        <v>0</v>
      </c>
      <c r="F184" s="64" t="s">
        <v>548</v>
      </c>
      <c r="G184" s="137">
        <f t="shared" si="7"/>
        <v>0</v>
      </c>
      <c r="H184" s="98"/>
      <c r="J184" s="37" t="s">
        <v>1236</v>
      </c>
    </row>
    <row r="185" spans="1:10" s="96" customFormat="1" ht="20.399999999999999" customHeight="1">
      <c r="A185" s="349" t="s">
        <v>321</v>
      </c>
      <c r="B185" s="59" t="s">
        <v>146</v>
      </c>
      <c r="C185" s="37" t="s">
        <v>109</v>
      </c>
      <c r="D185" s="352">
        <v>851.5</v>
      </c>
      <c r="E185" s="63">
        <f t="shared" si="6"/>
        <v>5960.5</v>
      </c>
      <c r="F185" s="64" t="s">
        <v>549</v>
      </c>
      <c r="G185" s="137">
        <f t="shared" si="7"/>
        <v>7</v>
      </c>
      <c r="H185" s="98"/>
      <c r="J185" s="37" t="s">
        <v>1237</v>
      </c>
    </row>
    <row r="186" spans="1:10" s="96" customFormat="1" ht="20.399999999999999" customHeight="1">
      <c r="A186" s="349" t="s">
        <v>322</v>
      </c>
      <c r="B186" s="59" t="s">
        <v>146</v>
      </c>
      <c r="C186" s="37" t="s">
        <v>161</v>
      </c>
      <c r="D186" s="352">
        <v>863.12</v>
      </c>
      <c r="E186" s="63">
        <f t="shared" si="6"/>
        <v>0</v>
      </c>
      <c r="F186" s="64" t="s">
        <v>550</v>
      </c>
      <c r="G186" s="137">
        <f t="shared" si="7"/>
        <v>0</v>
      </c>
      <c r="H186" s="98"/>
      <c r="J186" s="37" t="s">
        <v>1238</v>
      </c>
    </row>
    <row r="187" spans="1:10" s="96" customFormat="1" ht="42" customHeight="1">
      <c r="A187" s="349" t="s">
        <v>323</v>
      </c>
      <c r="B187" s="59" t="s">
        <v>146</v>
      </c>
      <c r="C187" s="37" t="s">
        <v>1597</v>
      </c>
      <c r="D187" s="358">
        <v>4432.2700000000004</v>
      </c>
      <c r="E187" s="63">
        <f t="shared" si="6"/>
        <v>4432.2700000000004</v>
      </c>
      <c r="F187" s="64" t="s">
        <v>552</v>
      </c>
      <c r="G187" s="137">
        <f t="shared" si="7"/>
        <v>1</v>
      </c>
      <c r="H187" s="98"/>
      <c r="J187" s="37" t="s">
        <v>1510</v>
      </c>
    </row>
    <row r="188" spans="1:10" s="96" customFormat="1" ht="42" customHeight="1">
      <c r="A188" s="349" t="s">
        <v>1598</v>
      </c>
      <c r="B188" s="59" t="s">
        <v>146</v>
      </c>
      <c r="C188" s="37" t="s">
        <v>1599</v>
      </c>
      <c r="D188" s="358">
        <v>4432.2700000000004</v>
      </c>
      <c r="E188" s="63">
        <f t="shared" si="6"/>
        <v>4432.2700000000004</v>
      </c>
      <c r="F188" s="64" t="s">
        <v>1565</v>
      </c>
      <c r="G188" s="137">
        <f>+Rebusca_t1(F188)</f>
        <v>1</v>
      </c>
      <c r="H188" s="98"/>
      <c r="J188" s="37" t="s">
        <v>1637</v>
      </c>
    </row>
    <row r="189" spans="1:10" s="96" customFormat="1" ht="42.65" customHeight="1" thickBot="1">
      <c r="A189" s="349" t="s">
        <v>1509</v>
      </c>
      <c r="B189" s="59" t="s">
        <v>146</v>
      </c>
      <c r="C189" s="37" t="s">
        <v>1600</v>
      </c>
      <c r="D189" s="358">
        <v>4432.2700000000004</v>
      </c>
      <c r="E189" s="63">
        <f t="shared" si="6"/>
        <v>163993.99000000002</v>
      </c>
      <c r="F189" s="64" t="s">
        <v>1512</v>
      </c>
      <c r="G189" s="137">
        <f>+Rebusca_t1(F189)</f>
        <v>37</v>
      </c>
      <c r="H189" s="98"/>
      <c r="J189" s="37" t="s">
        <v>1511</v>
      </c>
    </row>
    <row r="190" spans="1:10" s="96" customFormat="1" ht="21" customHeight="1" thickBot="1">
      <c r="A190" s="349"/>
      <c r="B190" s="59"/>
      <c r="C190" s="84" t="s">
        <v>324</v>
      </c>
      <c r="D190" s="369"/>
      <c r="E190" s="73">
        <f>SUM(E177:E187)</f>
        <v>2206043.645528899</v>
      </c>
      <c r="F190" s="62"/>
      <c r="G190" s="140"/>
      <c r="H190" s="98"/>
      <c r="J190" s="84" t="s">
        <v>1239</v>
      </c>
    </row>
    <row r="191" spans="1:10" s="96" customFormat="1" ht="20.399999999999999" customHeight="1">
      <c r="A191" s="349"/>
      <c r="B191" s="59"/>
      <c r="C191" s="37"/>
      <c r="D191" s="352"/>
      <c r="E191" s="1"/>
      <c r="F191" s="62"/>
      <c r="G191" s="140"/>
      <c r="H191" s="98"/>
      <c r="J191" s="37"/>
    </row>
    <row r="192" spans="1:10" s="96" customFormat="1" ht="20.399999999999999" hidden="1" customHeight="1">
      <c r="A192" s="349"/>
      <c r="B192" s="59"/>
      <c r="C192" s="84" t="s">
        <v>325</v>
      </c>
      <c r="D192" s="352"/>
      <c r="E192" s="1"/>
      <c r="F192" s="62"/>
      <c r="G192" s="140"/>
      <c r="H192" s="98"/>
      <c r="J192" s="84" t="s">
        <v>325</v>
      </c>
    </row>
    <row r="193" spans="1:10" s="96" customFormat="1" ht="30" hidden="1" customHeight="1">
      <c r="A193" s="349" t="s">
        <v>326</v>
      </c>
      <c r="B193" s="59" t="s">
        <v>157</v>
      </c>
      <c r="C193" s="37" t="s">
        <v>83</v>
      </c>
      <c r="D193" s="358">
        <v>13635.93</v>
      </c>
      <c r="E193" s="63" t="e">
        <f>D193*#REF!</f>
        <v>#REF!</v>
      </c>
      <c r="F193" s="74"/>
      <c r="G193" s="143"/>
      <c r="H193" s="98"/>
      <c r="J193" s="37" t="s">
        <v>83</v>
      </c>
    </row>
    <row r="194" spans="1:10" s="96" customFormat="1" ht="30" hidden="1" customHeight="1">
      <c r="A194" s="349" t="s">
        <v>327</v>
      </c>
      <c r="B194" s="59" t="s">
        <v>157</v>
      </c>
      <c r="C194" s="37" t="s">
        <v>84</v>
      </c>
      <c r="D194" s="358">
        <v>14642.12</v>
      </c>
      <c r="E194" s="63" t="e">
        <f>D194*#REF!</f>
        <v>#REF!</v>
      </c>
      <c r="F194" s="62"/>
      <c r="G194" s="140"/>
      <c r="H194" s="98"/>
      <c r="J194" s="37" t="s">
        <v>84</v>
      </c>
    </row>
    <row r="195" spans="1:10" s="96" customFormat="1" ht="42" hidden="1" customHeight="1">
      <c r="A195" s="349" t="s">
        <v>328</v>
      </c>
      <c r="B195" s="59" t="s">
        <v>157</v>
      </c>
      <c r="C195" s="37" t="s">
        <v>162</v>
      </c>
      <c r="D195" s="358">
        <v>2298.96</v>
      </c>
      <c r="E195" s="63" t="e">
        <f>D195*#REF!</f>
        <v>#REF!</v>
      </c>
      <c r="F195" s="62"/>
      <c r="G195" s="140"/>
      <c r="H195" s="98"/>
      <c r="J195" s="37" t="s">
        <v>162</v>
      </c>
    </row>
    <row r="196" spans="1:10" s="96" customFormat="1" ht="20.399999999999999" hidden="1" customHeight="1">
      <c r="A196" s="349" t="s">
        <v>329</v>
      </c>
      <c r="B196" s="59" t="s">
        <v>146</v>
      </c>
      <c r="C196" s="37" t="s">
        <v>163</v>
      </c>
      <c r="D196" s="352">
        <v>234.92</v>
      </c>
      <c r="E196" s="63" t="e">
        <f>D196*#REF!</f>
        <v>#REF!</v>
      </c>
      <c r="F196" s="75"/>
      <c r="G196" s="144"/>
      <c r="H196" s="98"/>
      <c r="J196" s="37" t="s">
        <v>163</v>
      </c>
    </row>
    <row r="197" spans="1:10" s="96" customFormat="1" ht="20.399999999999999" hidden="1" customHeight="1">
      <c r="A197" s="349" t="s">
        <v>330</v>
      </c>
      <c r="B197" s="59" t="s">
        <v>146</v>
      </c>
      <c r="C197" s="37" t="s">
        <v>164</v>
      </c>
      <c r="D197" s="352">
        <v>715.86</v>
      </c>
      <c r="E197" s="63" t="e">
        <f>D197*#REF!</f>
        <v>#REF!</v>
      </c>
      <c r="F197" s="75"/>
      <c r="G197" s="144"/>
      <c r="H197" s="98"/>
      <c r="J197" s="37" t="s">
        <v>164</v>
      </c>
    </row>
    <row r="198" spans="1:10" s="96" customFormat="1" ht="30" hidden="1" customHeight="1">
      <c r="A198" s="349" t="s">
        <v>331</v>
      </c>
      <c r="B198" s="59" t="s">
        <v>146</v>
      </c>
      <c r="C198" s="37" t="s">
        <v>165</v>
      </c>
      <c r="D198" s="352">
        <v>548.64</v>
      </c>
      <c r="E198" s="63" t="e">
        <f>D198*#REF!</f>
        <v>#REF!</v>
      </c>
      <c r="F198" s="75"/>
      <c r="G198" s="144"/>
      <c r="H198" s="98"/>
      <c r="J198" s="37" t="s">
        <v>165</v>
      </c>
    </row>
    <row r="199" spans="1:10" s="96" customFormat="1" ht="30" hidden="1" customHeight="1">
      <c r="A199" s="349" t="s">
        <v>332</v>
      </c>
      <c r="B199" s="59" t="s">
        <v>146</v>
      </c>
      <c r="C199" s="37" t="s">
        <v>166</v>
      </c>
      <c r="D199" s="358">
        <v>2512.15</v>
      </c>
      <c r="E199" s="63" t="e">
        <f>D199*#REF!</f>
        <v>#REF!</v>
      </c>
      <c r="F199" s="75"/>
      <c r="G199" s="144"/>
      <c r="H199" s="98"/>
      <c r="J199" s="37" t="s">
        <v>166</v>
      </c>
    </row>
    <row r="200" spans="1:10" s="96" customFormat="1" ht="30.65" hidden="1" customHeight="1" thickBot="1">
      <c r="A200" s="349" t="s">
        <v>333</v>
      </c>
      <c r="B200" s="59" t="s">
        <v>146</v>
      </c>
      <c r="C200" s="37" t="s">
        <v>167</v>
      </c>
      <c r="D200" s="358">
        <v>1252.42</v>
      </c>
      <c r="E200" s="72" t="e">
        <f>D200*#REF!</f>
        <v>#REF!</v>
      </c>
      <c r="F200" s="62"/>
      <c r="G200" s="140"/>
      <c r="H200" s="98"/>
      <c r="J200" s="37" t="s">
        <v>167</v>
      </c>
    </row>
    <row r="201" spans="1:10" s="96" customFormat="1" ht="21" hidden="1" customHeight="1" thickBot="1">
      <c r="A201" s="349"/>
      <c r="B201" s="59"/>
      <c r="C201" s="84" t="s">
        <v>334</v>
      </c>
      <c r="D201" s="369"/>
      <c r="E201" s="73" t="e">
        <f>SUM(E193:E200)</f>
        <v>#REF!</v>
      </c>
      <c r="F201" s="62"/>
      <c r="G201" s="140"/>
      <c r="H201" s="98"/>
      <c r="J201" s="84" t="s">
        <v>334</v>
      </c>
    </row>
    <row r="202" spans="1:10" s="96" customFormat="1" ht="20.399999999999999" hidden="1" customHeight="1">
      <c r="A202" s="349"/>
      <c r="B202" s="59"/>
      <c r="C202" s="58" t="s">
        <v>335</v>
      </c>
      <c r="D202" s="352"/>
      <c r="E202" s="1"/>
      <c r="F202" s="62"/>
      <c r="G202" s="140"/>
      <c r="H202" s="98"/>
      <c r="J202" s="58" t="s">
        <v>335</v>
      </c>
    </row>
    <row r="203" spans="1:10" s="96" customFormat="1" ht="20.399999999999999" customHeight="1">
      <c r="A203" s="349"/>
      <c r="B203" s="59"/>
      <c r="C203" s="58"/>
      <c r="D203" s="352"/>
      <c r="E203" s="1"/>
      <c r="F203" s="62"/>
      <c r="G203" s="140"/>
      <c r="H203" s="98"/>
      <c r="J203" s="58"/>
    </row>
    <row r="204" spans="1:10" s="96" customFormat="1" ht="20.399999999999999" customHeight="1">
      <c r="A204" s="349"/>
      <c r="B204" s="59"/>
      <c r="C204" s="58" t="s">
        <v>336</v>
      </c>
      <c r="D204" s="352"/>
      <c r="E204" s="1"/>
      <c r="F204" s="62"/>
      <c r="G204" s="140"/>
      <c r="H204" s="98"/>
      <c r="J204" s="58" t="s">
        <v>1240</v>
      </c>
    </row>
    <row r="205" spans="1:10" s="96" customFormat="1" ht="20.399999999999999" customHeight="1">
      <c r="A205" s="349"/>
      <c r="B205" s="59"/>
      <c r="C205" s="84"/>
      <c r="D205" s="352"/>
      <c r="E205" s="1"/>
      <c r="F205" s="62"/>
      <c r="G205" s="140"/>
      <c r="H205" s="98"/>
      <c r="J205" s="84"/>
    </row>
    <row r="206" spans="1:10" s="96" customFormat="1" ht="30" customHeight="1">
      <c r="A206" s="349"/>
      <c r="B206" s="59"/>
      <c r="C206" s="84" t="s">
        <v>337</v>
      </c>
      <c r="D206" s="352"/>
      <c r="E206" s="1"/>
      <c r="F206" s="62"/>
      <c r="G206" s="140"/>
      <c r="H206" s="98"/>
      <c r="J206" s="84" t="s">
        <v>1241</v>
      </c>
    </row>
    <row r="207" spans="1:10" s="96" customFormat="1" ht="20.399999999999999" customHeight="1">
      <c r="A207" s="349" t="s">
        <v>338</v>
      </c>
      <c r="B207" s="59" t="s">
        <v>157</v>
      </c>
      <c r="C207" s="37" t="s">
        <v>393</v>
      </c>
      <c r="D207" s="358">
        <v>2415.0300000000002</v>
      </c>
      <c r="E207" s="63" t="e">
        <f t="shared" ref="E207:E231" si="8">+G207*D207</f>
        <v>#VALUE!</v>
      </c>
      <c r="F207" s="64" t="s">
        <v>554</v>
      </c>
      <c r="G207" s="137" t="e">
        <f>+Rebusca_t1(F207)</f>
        <v>#VALUE!</v>
      </c>
      <c r="H207" s="98"/>
      <c r="J207" s="37" t="s">
        <v>1242</v>
      </c>
    </row>
    <row r="208" spans="1:10" s="96" customFormat="1" ht="20.399999999999999" customHeight="1">
      <c r="A208" s="374" t="s">
        <v>339</v>
      </c>
      <c r="B208" s="90" t="s">
        <v>157</v>
      </c>
      <c r="C208" s="91" t="s">
        <v>394</v>
      </c>
      <c r="D208" s="375">
        <v>2415.0300000000002</v>
      </c>
      <c r="E208" s="63">
        <f t="shared" si="8"/>
        <v>0</v>
      </c>
      <c r="F208" s="113"/>
      <c r="G208" s="145"/>
      <c r="H208" s="98"/>
      <c r="J208" s="91" t="s">
        <v>1243</v>
      </c>
    </row>
    <row r="209" spans="1:10" s="96" customFormat="1" ht="20.399999999999999" customHeight="1">
      <c r="A209" s="349" t="s">
        <v>340</v>
      </c>
      <c r="B209" s="59" t="s">
        <v>157</v>
      </c>
      <c r="C209" s="37" t="s">
        <v>408</v>
      </c>
      <c r="D209" s="358">
        <v>7833.97</v>
      </c>
      <c r="E209" s="63">
        <f t="shared" si="8"/>
        <v>0</v>
      </c>
      <c r="F209" s="75" t="s">
        <v>556</v>
      </c>
      <c r="G209" s="137">
        <f>+Rebusca_t1(F209)</f>
        <v>0</v>
      </c>
      <c r="H209" s="98"/>
      <c r="J209" s="37" t="s">
        <v>1244</v>
      </c>
    </row>
    <row r="210" spans="1:10" s="96" customFormat="1" ht="30" customHeight="1">
      <c r="A210" s="349" t="s">
        <v>341</v>
      </c>
      <c r="B210" s="59" t="s">
        <v>157</v>
      </c>
      <c r="C210" s="37" t="s">
        <v>410</v>
      </c>
      <c r="D210" s="358">
        <v>27862.42</v>
      </c>
      <c r="E210" s="63">
        <f t="shared" si="8"/>
        <v>0</v>
      </c>
      <c r="F210" s="77" t="s">
        <v>700</v>
      </c>
      <c r="G210" s="137">
        <f>+Rebusca_t1(F210)</f>
        <v>0</v>
      </c>
      <c r="H210" s="98"/>
      <c r="J210" s="37" t="s">
        <v>1350</v>
      </c>
    </row>
    <row r="211" spans="1:10" s="96" customFormat="1" ht="20.399999999999999" customHeight="1">
      <c r="A211" s="349" t="s">
        <v>342</v>
      </c>
      <c r="B211" s="59" t="s">
        <v>146</v>
      </c>
      <c r="C211" s="37" t="s">
        <v>395</v>
      </c>
      <c r="D211" s="352">
        <v>132.35</v>
      </c>
      <c r="E211" s="63">
        <f t="shared" si="8"/>
        <v>11117.4</v>
      </c>
      <c r="F211" s="64" t="s">
        <v>583</v>
      </c>
      <c r="G211" s="137">
        <f>+Rebusca_t1(F211)</f>
        <v>84</v>
      </c>
      <c r="H211" s="98"/>
      <c r="J211" s="37" t="s">
        <v>1245</v>
      </c>
    </row>
    <row r="212" spans="1:10" s="96" customFormat="1" ht="20.399999999999999" customHeight="1">
      <c r="A212" s="349" t="s">
        <v>343</v>
      </c>
      <c r="B212" s="59" t="s">
        <v>146</v>
      </c>
      <c r="C212" s="37" t="s">
        <v>396</v>
      </c>
      <c r="D212" s="352">
        <v>150</v>
      </c>
      <c r="E212" s="63">
        <f t="shared" si="8"/>
        <v>0</v>
      </c>
      <c r="F212" s="114"/>
      <c r="G212" s="144"/>
      <c r="H212" s="98"/>
      <c r="J212" s="37" t="s">
        <v>1246</v>
      </c>
    </row>
    <row r="213" spans="1:10" s="96" customFormat="1" ht="20.399999999999999" customHeight="1">
      <c r="A213" s="349" t="s">
        <v>344</v>
      </c>
      <c r="B213" s="59" t="s">
        <v>146</v>
      </c>
      <c r="C213" s="37" t="s">
        <v>397</v>
      </c>
      <c r="D213" s="352">
        <v>132.35</v>
      </c>
      <c r="E213" s="63">
        <f t="shared" si="8"/>
        <v>0</v>
      </c>
      <c r="F213" s="75" t="s">
        <v>562</v>
      </c>
      <c r="G213" s="137">
        <f>+Rebusca_t1(F213)</f>
        <v>0</v>
      </c>
      <c r="H213" s="98"/>
      <c r="J213" s="37" t="s">
        <v>1247</v>
      </c>
    </row>
    <row r="214" spans="1:10" s="96" customFormat="1" ht="20.399999999999999" customHeight="1">
      <c r="A214" s="349" t="s">
        <v>345</v>
      </c>
      <c r="B214" s="59" t="s">
        <v>146</v>
      </c>
      <c r="C214" s="37" t="s">
        <v>409</v>
      </c>
      <c r="D214" s="352">
        <v>141.87</v>
      </c>
      <c r="E214" s="63">
        <f t="shared" si="8"/>
        <v>0</v>
      </c>
      <c r="F214" s="75" t="s">
        <v>563</v>
      </c>
      <c r="G214" s="137">
        <f>+Rebusca_t1(F214)</f>
        <v>0</v>
      </c>
      <c r="H214" s="98"/>
      <c r="J214" s="37" t="s">
        <v>1248</v>
      </c>
    </row>
    <row r="215" spans="1:10" s="96" customFormat="1" ht="20.399999999999999" customHeight="1">
      <c r="A215" s="349" t="s">
        <v>346</v>
      </c>
      <c r="B215" s="70" t="s">
        <v>146</v>
      </c>
      <c r="C215" s="85" t="s">
        <v>398</v>
      </c>
      <c r="D215" s="352">
        <v>75.069999999999993</v>
      </c>
      <c r="E215" s="63">
        <f t="shared" si="8"/>
        <v>450.41999999999996</v>
      </c>
      <c r="F215" s="64" t="s">
        <v>585</v>
      </c>
      <c r="G215" s="137">
        <f>+Rebusca_t1(F215)</f>
        <v>6</v>
      </c>
      <c r="H215" s="98"/>
      <c r="J215" s="85" t="s">
        <v>1249</v>
      </c>
    </row>
    <row r="216" spans="1:10" s="96" customFormat="1" ht="20.399999999999999" customHeight="1">
      <c r="A216" s="349" t="s">
        <v>347</v>
      </c>
      <c r="B216" s="78" t="s">
        <v>146</v>
      </c>
      <c r="C216" s="87" t="s">
        <v>399</v>
      </c>
      <c r="D216" s="352">
        <v>100</v>
      </c>
      <c r="E216" s="63">
        <f t="shared" si="8"/>
        <v>0</v>
      </c>
      <c r="F216" s="114"/>
      <c r="G216" s="144"/>
      <c r="H216" s="98"/>
      <c r="J216" s="87" t="s">
        <v>1250</v>
      </c>
    </row>
    <row r="217" spans="1:10" s="96" customFormat="1" ht="20.399999999999999" customHeight="1">
      <c r="A217" s="349" t="s">
        <v>348</v>
      </c>
      <c r="B217" s="79" t="s">
        <v>146</v>
      </c>
      <c r="C217" s="88" t="s">
        <v>85</v>
      </c>
      <c r="D217" s="373">
        <v>291.33999999999997</v>
      </c>
      <c r="E217" s="63">
        <f t="shared" si="8"/>
        <v>0</v>
      </c>
      <c r="F217" s="75" t="s">
        <v>576</v>
      </c>
      <c r="G217" s="137">
        <f>+Rebusca_t1(F217)</f>
        <v>0</v>
      </c>
      <c r="H217" s="98"/>
      <c r="J217" s="88" t="s">
        <v>1251</v>
      </c>
    </row>
    <row r="218" spans="1:10" s="96" customFormat="1" ht="20.399999999999999" customHeight="1">
      <c r="A218" s="349" t="s">
        <v>349</v>
      </c>
      <c r="B218" s="59" t="s">
        <v>146</v>
      </c>
      <c r="C218" s="37" t="s">
        <v>400</v>
      </c>
      <c r="D218" s="352">
        <v>7.89</v>
      </c>
      <c r="E218" s="63">
        <f t="shared" si="8"/>
        <v>12702.9</v>
      </c>
      <c r="F218" s="64" t="s">
        <v>582</v>
      </c>
      <c r="G218" s="137">
        <f>+Rebusca_t1(F218)</f>
        <v>1610</v>
      </c>
      <c r="H218" s="98"/>
      <c r="J218" s="37" t="s">
        <v>1333</v>
      </c>
    </row>
    <row r="219" spans="1:10" s="96" customFormat="1" ht="20.399999999999999" customHeight="1">
      <c r="A219" s="349" t="s">
        <v>350</v>
      </c>
      <c r="B219" s="59" t="s">
        <v>146</v>
      </c>
      <c r="C219" s="37" t="s">
        <v>401</v>
      </c>
      <c r="D219" s="352">
        <v>10</v>
      </c>
      <c r="E219" s="63">
        <f t="shared" si="8"/>
        <v>0</v>
      </c>
      <c r="F219" s="75"/>
      <c r="G219" s="144"/>
      <c r="H219" s="98"/>
      <c r="J219" s="37" t="s">
        <v>1334</v>
      </c>
    </row>
    <row r="220" spans="1:10" s="96" customFormat="1" ht="20.399999999999999" customHeight="1">
      <c r="A220" s="349" t="s">
        <v>351</v>
      </c>
      <c r="B220" s="59" t="s">
        <v>146</v>
      </c>
      <c r="C220" s="37" t="s">
        <v>1388</v>
      </c>
      <c r="D220" s="352">
        <v>7.89</v>
      </c>
      <c r="E220" s="63">
        <f t="shared" si="8"/>
        <v>323.49</v>
      </c>
      <c r="F220" s="64" t="s">
        <v>584</v>
      </c>
      <c r="G220" s="137">
        <f>+Rebusca_t1(F220)</f>
        <v>41</v>
      </c>
      <c r="H220" s="98"/>
      <c r="J220" s="37" t="s">
        <v>1387</v>
      </c>
    </row>
    <row r="221" spans="1:10" s="96" customFormat="1" ht="20.399999999999999" customHeight="1">
      <c r="A221" s="374" t="s">
        <v>1390</v>
      </c>
      <c r="B221" s="90" t="s">
        <v>146</v>
      </c>
      <c r="C221" s="91" t="s">
        <v>1389</v>
      </c>
      <c r="D221" s="375">
        <v>7.89</v>
      </c>
      <c r="E221" s="63">
        <f t="shared" si="8"/>
        <v>149.91</v>
      </c>
      <c r="F221" s="113" t="s">
        <v>1382</v>
      </c>
      <c r="G221" s="145">
        <f>+Rebusca_t1(F221)</f>
        <v>19</v>
      </c>
      <c r="H221" s="98"/>
      <c r="J221" s="91" t="s">
        <v>1391</v>
      </c>
    </row>
    <row r="222" spans="1:10" s="96" customFormat="1" ht="20.399999999999999" customHeight="1">
      <c r="A222" s="349" t="s">
        <v>352</v>
      </c>
      <c r="B222" s="59" t="s">
        <v>146</v>
      </c>
      <c r="C222" s="37" t="s">
        <v>402</v>
      </c>
      <c r="D222" s="352">
        <v>10</v>
      </c>
      <c r="E222" s="63">
        <f t="shared" si="8"/>
        <v>0</v>
      </c>
      <c r="F222" s="114"/>
      <c r="G222" s="144"/>
      <c r="H222" s="98"/>
      <c r="J222" s="37" t="s">
        <v>1252</v>
      </c>
    </row>
    <row r="223" spans="1:10" s="96" customFormat="1" ht="20.399999999999999" customHeight="1">
      <c r="A223" s="349" t="s">
        <v>353</v>
      </c>
      <c r="B223" s="59" t="s">
        <v>146</v>
      </c>
      <c r="C223" s="37" t="s">
        <v>86</v>
      </c>
      <c r="D223" s="354">
        <v>187.18</v>
      </c>
      <c r="E223" s="63">
        <f t="shared" si="8"/>
        <v>0</v>
      </c>
      <c r="F223" s="64" t="s">
        <v>564</v>
      </c>
      <c r="G223" s="137">
        <f t="shared" ref="G223:G231" si="9">+Rebusca_t1(F223)</f>
        <v>0</v>
      </c>
      <c r="H223" s="98"/>
      <c r="J223" s="37" t="s">
        <v>1106</v>
      </c>
    </row>
    <row r="224" spans="1:10" s="96" customFormat="1" ht="20.399999999999999" customHeight="1">
      <c r="A224" s="349" t="s">
        <v>354</v>
      </c>
      <c r="B224" s="59" t="s">
        <v>146</v>
      </c>
      <c r="C224" s="37" t="s">
        <v>87</v>
      </c>
      <c r="D224" s="373">
        <v>57.22</v>
      </c>
      <c r="E224" s="63">
        <f t="shared" si="8"/>
        <v>0</v>
      </c>
      <c r="F224" s="64" t="s">
        <v>560</v>
      </c>
      <c r="G224" s="137">
        <f t="shared" si="9"/>
        <v>0</v>
      </c>
      <c r="H224" s="98"/>
      <c r="J224" s="37" t="s">
        <v>1101</v>
      </c>
    </row>
    <row r="225" spans="1:10" s="96" customFormat="1" ht="20.399999999999999" customHeight="1">
      <c r="A225" s="349" t="s">
        <v>355</v>
      </c>
      <c r="B225" s="59" t="s">
        <v>146</v>
      </c>
      <c r="C225" s="37" t="s">
        <v>88</v>
      </c>
      <c r="D225" s="352">
        <v>70.69</v>
      </c>
      <c r="E225" s="63">
        <f t="shared" si="8"/>
        <v>0</v>
      </c>
      <c r="F225" s="64" t="s">
        <v>892</v>
      </c>
      <c r="G225" s="137">
        <f t="shared" si="9"/>
        <v>0</v>
      </c>
      <c r="H225" s="98"/>
      <c r="J225" s="37" t="s">
        <v>1102</v>
      </c>
    </row>
    <row r="226" spans="1:10" s="96" customFormat="1" ht="20.399999999999999" customHeight="1">
      <c r="A226" s="349" t="s">
        <v>356</v>
      </c>
      <c r="B226" s="59" t="s">
        <v>146</v>
      </c>
      <c r="C226" s="37" t="s">
        <v>1024</v>
      </c>
      <c r="D226" s="352">
        <v>145.71</v>
      </c>
      <c r="E226" s="63">
        <f t="shared" si="8"/>
        <v>0</v>
      </c>
      <c r="F226" s="64" t="s">
        <v>568</v>
      </c>
      <c r="G226" s="137">
        <f t="shared" si="9"/>
        <v>0</v>
      </c>
      <c r="H226" s="98"/>
      <c r="J226" s="37" t="s">
        <v>1253</v>
      </c>
    </row>
    <row r="227" spans="1:10" s="96" customFormat="1" ht="20.399999999999999" customHeight="1">
      <c r="A227" s="374" t="s">
        <v>1023</v>
      </c>
      <c r="B227" s="90" t="s">
        <v>146</v>
      </c>
      <c r="C227" s="91" t="s">
        <v>1025</v>
      </c>
      <c r="D227" s="375">
        <v>145.71</v>
      </c>
      <c r="E227" s="63">
        <f t="shared" si="8"/>
        <v>0</v>
      </c>
      <c r="F227" s="113" t="s">
        <v>570</v>
      </c>
      <c r="G227" s="145">
        <f t="shared" si="9"/>
        <v>0</v>
      </c>
      <c r="H227" s="98"/>
      <c r="J227" s="91" t="s">
        <v>1112</v>
      </c>
    </row>
    <row r="228" spans="1:10" s="96" customFormat="1" ht="20.399999999999999" customHeight="1">
      <c r="A228" s="349" t="s">
        <v>357</v>
      </c>
      <c r="B228" s="59" t="s">
        <v>146</v>
      </c>
      <c r="C228" s="37" t="s">
        <v>403</v>
      </c>
      <c r="D228" s="352">
        <v>58.55</v>
      </c>
      <c r="E228" s="63">
        <f t="shared" si="8"/>
        <v>0</v>
      </c>
      <c r="F228" s="64" t="s">
        <v>557</v>
      </c>
      <c r="G228" s="137">
        <f t="shared" si="9"/>
        <v>0</v>
      </c>
      <c r="H228" s="98"/>
      <c r="J228" s="37" t="s">
        <v>1104</v>
      </c>
    </row>
    <row r="229" spans="1:10" s="96" customFormat="1" ht="20.399999999999999" customHeight="1">
      <c r="A229" s="349" t="s">
        <v>358</v>
      </c>
      <c r="B229" s="76" t="s">
        <v>146</v>
      </c>
      <c r="C229" s="86" t="s">
        <v>103</v>
      </c>
      <c r="D229" s="373">
        <v>97.45</v>
      </c>
      <c r="E229" s="63">
        <f t="shared" si="8"/>
        <v>0</v>
      </c>
      <c r="F229" s="64" t="s">
        <v>559</v>
      </c>
      <c r="G229" s="137">
        <f t="shared" si="9"/>
        <v>0</v>
      </c>
      <c r="H229" s="98"/>
      <c r="J229" s="86" t="s">
        <v>1103</v>
      </c>
    </row>
    <row r="230" spans="1:10" s="96" customFormat="1" ht="20.399999999999999" customHeight="1">
      <c r="A230" s="349" t="s">
        <v>359</v>
      </c>
      <c r="B230" s="76" t="s">
        <v>146</v>
      </c>
      <c r="C230" s="86" t="s">
        <v>89</v>
      </c>
      <c r="D230" s="373">
        <v>67.989999999999995</v>
      </c>
      <c r="E230" s="63">
        <f t="shared" si="8"/>
        <v>0</v>
      </c>
      <c r="F230" s="64" t="s">
        <v>561</v>
      </c>
      <c r="G230" s="137">
        <f t="shared" si="9"/>
        <v>0</v>
      </c>
      <c r="H230" s="98"/>
      <c r="J230" s="86" t="s">
        <v>1105</v>
      </c>
    </row>
    <row r="231" spans="1:10" s="96" customFormat="1" ht="21" customHeight="1" thickBot="1">
      <c r="A231" s="349" t="s">
        <v>360</v>
      </c>
      <c r="B231" s="59" t="s">
        <v>146</v>
      </c>
      <c r="C231" s="37" t="s">
        <v>90</v>
      </c>
      <c r="D231" s="352">
        <v>19.46</v>
      </c>
      <c r="E231" s="63">
        <f t="shared" si="8"/>
        <v>0</v>
      </c>
      <c r="F231" s="64" t="s">
        <v>719</v>
      </c>
      <c r="G231" s="137">
        <f t="shared" si="9"/>
        <v>0</v>
      </c>
      <c r="H231" s="98"/>
      <c r="J231" s="37" t="s">
        <v>1125</v>
      </c>
    </row>
    <row r="232" spans="1:10" s="96" customFormat="1" ht="21" customHeight="1" thickBot="1">
      <c r="A232" s="349"/>
      <c r="B232" s="59"/>
      <c r="C232" s="84" t="s">
        <v>361</v>
      </c>
      <c r="D232" s="356"/>
      <c r="E232" s="73" t="e">
        <f>SUM(E207:E231)</f>
        <v>#VALUE!</v>
      </c>
      <c r="F232" s="75"/>
      <c r="G232" s="144"/>
      <c r="H232" s="98"/>
      <c r="J232" s="84" t="s">
        <v>1254</v>
      </c>
    </row>
    <row r="233" spans="1:10" s="96" customFormat="1" ht="20.399999999999999" customHeight="1">
      <c r="A233" s="349"/>
      <c r="B233" s="59"/>
      <c r="C233" s="37"/>
      <c r="D233" s="352"/>
      <c r="E233" s="1"/>
      <c r="F233" s="75"/>
      <c r="G233" s="144"/>
      <c r="H233" s="98"/>
      <c r="J233" s="37"/>
    </row>
    <row r="234" spans="1:10" s="96" customFormat="1" ht="20.399999999999999" hidden="1" customHeight="1">
      <c r="A234" s="355"/>
      <c r="B234" s="82"/>
      <c r="C234" s="89" t="s">
        <v>362</v>
      </c>
      <c r="D234" s="376"/>
      <c r="E234" s="115"/>
      <c r="F234" s="116"/>
      <c r="G234" s="146"/>
      <c r="H234" s="98"/>
      <c r="J234" s="89" t="s">
        <v>362</v>
      </c>
    </row>
    <row r="235" spans="1:10" s="96" customFormat="1" ht="30" hidden="1" customHeight="1">
      <c r="A235" s="355" t="s">
        <v>422</v>
      </c>
      <c r="B235" s="82" t="s">
        <v>157</v>
      </c>
      <c r="C235" s="117" t="s">
        <v>423</v>
      </c>
      <c r="D235" s="377">
        <v>2357.79</v>
      </c>
      <c r="E235" s="118" t="e">
        <f>#REF!*D235</f>
        <v>#REF!</v>
      </c>
      <c r="F235" s="119"/>
      <c r="G235" s="147"/>
      <c r="H235" s="98"/>
      <c r="J235" s="117" t="s">
        <v>1335</v>
      </c>
    </row>
    <row r="236" spans="1:10" s="96" customFormat="1" ht="30" hidden="1" customHeight="1">
      <c r="A236" s="355" t="s">
        <v>363</v>
      </c>
      <c r="B236" s="82" t="s">
        <v>157</v>
      </c>
      <c r="C236" s="117" t="s">
        <v>404</v>
      </c>
      <c r="D236" s="377"/>
      <c r="E236" s="118"/>
      <c r="F236" s="119"/>
      <c r="G236" s="147"/>
      <c r="H236" s="98"/>
      <c r="J236" s="117" t="s">
        <v>1336</v>
      </c>
    </row>
    <row r="237" spans="1:10" s="96" customFormat="1" ht="30" hidden="1" customHeight="1">
      <c r="A237" s="355" t="s">
        <v>364</v>
      </c>
      <c r="B237" s="82" t="s">
        <v>157</v>
      </c>
      <c r="C237" s="117" t="s">
        <v>405</v>
      </c>
      <c r="D237" s="377"/>
      <c r="E237" s="118"/>
      <c r="F237" s="119"/>
      <c r="G237" s="147"/>
      <c r="H237" s="98"/>
      <c r="J237" s="117" t="s">
        <v>405</v>
      </c>
    </row>
    <row r="238" spans="1:10" s="96" customFormat="1" ht="30" hidden="1" customHeight="1">
      <c r="A238" s="355" t="s">
        <v>365</v>
      </c>
      <c r="B238" s="82" t="s">
        <v>157</v>
      </c>
      <c r="C238" s="117" t="s">
        <v>406</v>
      </c>
      <c r="D238" s="377">
        <v>3000</v>
      </c>
      <c r="E238" s="118" t="e">
        <f>#REF!*D238</f>
        <v>#REF!</v>
      </c>
      <c r="F238" s="119"/>
      <c r="G238" s="147"/>
      <c r="H238" s="98"/>
      <c r="J238" s="117" t="s">
        <v>406</v>
      </c>
    </row>
    <row r="239" spans="1:10" s="96" customFormat="1" ht="30" hidden="1" customHeight="1">
      <c r="A239" s="355" t="s">
        <v>366</v>
      </c>
      <c r="B239" s="82" t="s">
        <v>157</v>
      </c>
      <c r="C239" s="117" t="s">
        <v>91</v>
      </c>
      <c r="D239" s="377">
        <v>3987.37</v>
      </c>
      <c r="E239" s="118" t="e">
        <f>#REF!*D239</f>
        <v>#REF!</v>
      </c>
      <c r="F239" s="116"/>
      <c r="G239" s="146"/>
      <c r="H239" s="98"/>
      <c r="J239" s="117" t="s">
        <v>1337</v>
      </c>
    </row>
    <row r="240" spans="1:10" s="96" customFormat="1" ht="30" hidden="1" customHeight="1">
      <c r="A240" s="355" t="s">
        <v>377</v>
      </c>
      <c r="B240" s="82" t="s">
        <v>157</v>
      </c>
      <c r="C240" s="117" t="s">
        <v>378</v>
      </c>
      <c r="D240" s="377">
        <v>5000</v>
      </c>
      <c r="E240" s="118" t="e">
        <f>#REF!*D240</f>
        <v>#REF!</v>
      </c>
      <c r="F240" s="116"/>
      <c r="G240" s="146"/>
      <c r="H240" s="98"/>
      <c r="J240" s="117" t="s">
        <v>378</v>
      </c>
    </row>
    <row r="241" spans="1:10" s="96" customFormat="1" ht="30" hidden="1" customHeight="1">
      <c r="A241" s="355" t="s">
        <v>379</v>
      </c>
      <c r="B241" s="82" t="s">
        <v>157</v>
      </c>
      <c r="C241" s="117" t="s">
        <v>380</v>
      </c>
      <c r="D241" s="377">
        <v>3300.19</v>
      </c>
      <c r="E241" s="115"/>
      <c r="F241" s="116"/>
      <c r="G241" s="146"/>
      <c r="H241" s="98"/>
      <c r="J241" s="117" t="s">
        <v>380</v>
      </c>
    </row>
    <row r="242" spans="1:10" s="96" customFormat="1" ht="30" hidden="1" customHeight="1">
      <c r="A242" s="355" t="s">
        <v>381</v>
      </c>
      <c r="B242" s="82" t="s">
        <v>157</v>
      </c>
      <c r="C242" s="117" t="s">
        <v>382</v>
      </c>
      <c r="D242" s="377">
        <v>32469.5</v>
      </c>
      <c r="E242" s="118" t="e">
        <f>#REF!*D242</f>
        <v>#REF!</v>
      </c>
      <c r="F242" s="116"/>
      <c r="G242" s="146"/>
      <c r="H242" s="98"/>
      <c r="J242" s="117" t="s">
        <v>382</v>
      </c>
    </row>
    <row r="243" spans="1:10" s="96" customFormat="1" ht="54" hidden="1" customHeight="1">
      <c r="A243" s="355" t="s">
        <v>367</v>
      </c>
      <c r="B243" s="82" t="s">
        <v>146</v>
      </c>
      <c r="C243" s="117" t="s">
        <v>407</v>
      </c>
      <c r="D243" s="377">
        <v>4737.7700000000004</v>
      </c>
      <c r="E243" s="118" t="e">
        <f>#REF!*D243</f>
        <v>#REF!</v>
      </c>
      <c r="F243" s="116"/>
      <c r="G243" s="146"/>
      <c r="H243" s="98"/>
      <c r="J243" s="117" t="s">
        <v>407</v>
      </c>
    </row>
    <row r="244" spans="1:10" s="96" customFormat="1" ht="20.399999999999999" hidden="1" customHeight="1">
      <c r="A244" s="355" t="s">
        <v>368</v>
      </c>
      <c r="B244" s="82" t="s">
        <v>146</v>
      </c>
      <c r="C244" s="117" t="s">
        <v>168</v>
      </c>
      <c r="D244" s="376">
        <v>17.100000000000001</v>
      </c>
      <c r="E244" s="118" t="e">
        <f>#REF!*D244</f>
        <v>#REF!</v>
      </c>
      <c r="F244" s="116"/>
      <c r="G244" s="146"/>
      <c r="H244" s="98"/>
      <c r="J244" s="117" t="s">
        <v>168</v>
      </c>
    </row>
    <row r="245" spans="1:10" s="96" customFormat="1" ht="20.399999999999999" hidden="1" customHeight="1">
      <c r="A245" s="355" t="s">
        <v>369</v>
      </c>
      <c r="B245" s="82" t="s">
        <v>146</v>
      </c>
      <c r="C245" s="117" t="s">
        <v>92</v>
      </c>
      <c r="D245" s="376">
        <v>24.43</v>
      </c>
      <c r="E245" s="115"/>
      <c r="F245" s="116"/>
      <c r="G245" s="146"/>
      <c r="H245" s="98"/>
      <c r="J245" s="117" t="s">
        <v>92</v>
      </c>
    </row>
    <row r="246" spans="1:10" s="96" customFormat="1" ht="20.399999999999999" hidden="1" customHeight="1">
      <c r="A246" s="355"/>
      <c r="B246" s="82"/>
      <c r="C246" s="89" t="s">
        <v>370</v>
      </c>
      <c r="D246" s="378"/>
      <c r="E246" s="120" t="e">
        <f>SUM(E235:E245)</f>
        <v>#REF!</v>
      </c>
      <c r="F246" s="116"/>
      <c r="G246" s="146"/>
      <c r="H246" s="98"/>
      <c r="J246" s="89" t="s">
        <v>370</v>
      </c>
    </row>
    <row r="247" spans="1:10" s="96" customFormat="1" ht="20.399999999999999" hidden="1" customHeight="1">
      <c r="A247" s="355"/>
      <c r="B247" s="82"/>
      <c r="C247" s="121" t="s">
        <v>371</v>
      </c>
      <c r="D247" s="376"/>
      <c r="E247" s="115"/>
      <c r="F247" s="116"/>
      <c r="G247" s="146"/>
      <c r="H247" s="98"/>
      <c r="J247" s="121" t="s">
        <v>371</v>
      </c>
    </row>
    <row r="248" spans="1:10" s="96" customFormat="1" ht="20.399999999999999" customHeight="1">
      <c r="A248" s="355"/>
      <c r="B248" s="82"/>
      <c r="C248" s="121"/>
      <c r="D248" s="376"/>
      <c r="E248" s="115"/>
      <c r="F248" s="116"/>
      <c r="G248" s="146"/>
      <c r="H248" s="98"/>
      <c r="J248" s="121"/>
    </row>
    <row r="249" spans="1:10" s="96" customFormat="1" ht="30" customHeight="1">
      <c r="A249" s="355"/>
      <c r="B249" s="82"/>
      <c r="C249" s="121" t="s">
        <v>372</v>
      </c>
      <c r="D249" s="376"/>
      <c r="E249" s="115"/>
      <c r="F249" s="116"/>
      <c r="G249" s="146"/>
      <c r="H249" s="98"/>
      <c r="J249" s="121" t="s">
        <v>1255</v>
      </c>
    </row>
    <row r="250" spans="1:10" s="96" customFormat="1" ht="20.399999999999999" customHeight="1">
      <c r="A250" s="379"/>
      <c r="B250" s="78"/>
      <c r="C250" s="84"/>
      <c r="D250" s="352"/>
      <c r="E250" s="1"/>
      <c r="F250" s="75"/>
      <c r="G250" s="144"/>
      <c r="H250" s="98"/>
      <c r="J250" s="84"/>
    </row>
    <row r="251" spans="1:10" s="96" customFormat="1" ht="30" customHeight="1">
      <c r="A251" s="380"/>
      <c r="B251" s="81"/>
      <c r="C251" s="84" t="s">
        <v>373</v>
      </c>
      <c r="D251" s="352"/>
      <c r="E251" s="1"/>
      <c r="F251" s="75"/>
      <c r="G251" s="144"/>
      <c r="H251" s="98"/>
      <c r="J251" s="84" t="s">
        <v>1256</v>
      </c>
    </row>
    <row r="252" spans="1:10" s="96" customFormat="1" ht="20.399999999999999" customHeight="1">
      <c r="A252" s="355" t="s">
        <v>374</v>
      </c>
      <c r="B252" s="82" t="s">
        <v>170</v>
      </c>
      <c r="C252" s="37" t="s">
        <v>93</v>
      </c>
      <c r="D252" s="352"/>
      <c r="E252" s="63"/>
      <c r="F252" s="64"/>
      <c r="G252" s="137"/>
      <c r="H252" s="98"/>
      <c r="J252" s="37" t="s">
        <v>1257</v>
      </c>
    </row>
    <row r="253" spans="1:10" s="96" customFormat="1" ht="20.399999999999999" customHeight="1">
      <c r="A253" s="355" t="s">
        <v>0</v>
      </c>
      <c r="B253" s="59" t="s">
        <v>146</v>
      </c>
      <c r="C253" s="37" t="s">
        <v>995</v>
      </c>
      <c r="D253" s="352">
        <v>12.58</v>
      </c>
      <c r="E253" s="63">
        <f t="shared" ref="E253:E275" si="10">+G253*D253</f>
        <v>2591.48</v>
      </c>
      <c r="F253" s="64" t="s">
        <v>586</v>
      </c>
      <c r="G253" s="137">
        <f>+Rebusca_t1(F253)</f>
        <v>206</v>
      </c>
      <c r="H253" s="98"/>
      <c r="J253" s="37" t="s">
        <v>1258</v>
      </c>
    </row>
    <row r="254" spans="1:10" s="96" customFormat="1" ht="20.399999999999999" customHeight="1">
      <c r="A254" s="368" t="s">
        <v>993</v>
      </c>
      <c r="B254" s="90" t="s">
        <v>146</v>
      </c>
      <c r="C254" s="91" t="s">
        <v>996</v>
      </c>
      <c r="D254" s="381"/>
      <c r="E254" s="63">
        <f t="shared" si="10"/>
        <v>0</v>
      </c>
      <c r="F254" s="123" t="s">
        <v>587</v>
      </c>
      <c r="G254" s="141">
        <f>+Rebusca_t1(F254)</f>
        <v>180</v>
      </c>
      <c r="H254" s="98"/>
      <c r="J254" s="91" t="s">
        <v>1128</v>
      </c>
    </row>
    <row r="255" spans="1:10" s="96" customFormat="1" ht="20.399999999999999" customHeight="1">
      <c r="A255" s="368" t="s">
        <v>994</v>
      </c>
      <c r="B255" s="90" t="s">
        <v>146</v>
      </c>
      <c r="C255" s="91" t="s">
        <v>997</v>
      </c>
      <c r="D255" s="381"/>
      <c r="E255" s="63">
        <f t="shared" si="10"/>
        <v>0</v>
      </c>
      <c r="F255" s="123" t="s">
        <v>588</v>
      </c>
      <c r="G255" s="141">
        <f>+Rebusca_t1(F255)</f>
        <v>0</v>
      </c>
      <c r="H255" s="98"/>
      <c r="J255" s="91" t="s">
        <v>1126</v>
      </c>
    </row>
    <row r="256" spans="1:10" s="96" customFormat="1" ht="20.399999999999999" customHeight="1">
      <c r="A256" s="355" t="s">
        <v>1</v>
      </c>
      <c r="B256" s="76" t="s">
        <v>146</v>
      </c>
      <c r="C256" s="86" t="s">
        <v>94</v>
      </c>
      <c r="D256" s="373">
        <v>20.260000000000002</v>
      </c>
      <c r="E256" s="63">
        <f t="shared" si="10"/>
        <v>0</v>
      </c>
      <c r="F256" s="64" t="s">
        <v>725</v>
      </c>
      <c r="G256" s="137">
        <f t="shared" ref="G256:G271" si="11">+Rebusca_t1(F256)</f>
        <v>0</v>
      </c>
      <c r="H256" s="98"/>
      <c r="J256" s="86" t="s">
        <v>1131</v>
      </c>
    </row>
    <row r="257" spans="1:10" s="96" customFormat="1" ht="20.399999999999999" customHeight="1">
      <c r="A257" s="355" t="s">
        <v>2</v>
      </c>
      <c r="B257" s="59" t="s">
        <v>146</v>
      </c>
      <c r="C257" s="37" t="s">
        <v>95</v>
      </c>
      <c r="D257" s="352">
        <v>76.650000000000006</v>
      </c>
      <c r="E257" s="63">
        <f t="shared" si="10"/>
        <v>13797.000000000002</v>
      </c>
      <c r="F257" s="64" t="s">
        <v>590</v>
      </c>
      <c r="G257" s="137">
        <f t="shared" si="11"/>
        <v>180</v>
      </c>
      <c r="H257" s="98"/>
      <c r="J257" s="37" t="s">
        <v>1132</v>
      </c>
    </row>
    <row r="258" spans="1:10" s="96" customFormat="1" ht="20.399999999999999" customHeight="1">
      <c r="A258" s="355" t="s">
        <v>424</v>
      </c>
      <c r="B258" s="59" t="s">
        <v>146</v>
      </c>
      <c r="C258" s="37" t="s">
        <v>425</v>
      </c>
      <c r="D258" s="352">
        <v>51.06</v>
      </c>
      <c r="E258" s="63">
        <f t="shared" si="10"/>
        <v>9190.8000000000011</v>
      </c>
      <c r="F258" s="64" t="s">
        <v>591</v>
      </c>
      <c r="G258" s="137">
        <f t="shared" si="11"/>
        <v>180</v>
      </c>
      <c r="H258" s="98"/>
      <c r="J258" s="37" t="s">
        <v>1133</v>
      </c>
    </row>
    <row r="259" spans="1:10" s="96" customFormat="1" ht="30" customHeight="1">
      <c r="A259" s="355" t="s">
        <v>3</v>
      </c>
      <c r="B259" s="76" t="s">
        <v>146</v>
      </c>
      <c r="C259" s="86" t="s">
        <v>96</v>
      </c>
      <c r="D259" s="382">
        <v>1794.9</v>
      </c>
      <c r="E259" s="63">
        <f t="shared" si="10"/>
        <v>87950.1</v>
      </c>
      <c r="F259" s="64" t="s">
        <v>593</v>
      </c>
      <c r="G259" s="137">
        <f t="shared" si="11"/>
        <v>49</v>
      </c>
      <c r="H259" s="98"/>
      <c r="J259" s="86" t="s">
        <v>1135</v>
      </c>
    </row>
    <row r="260" spans="1:10" s="96" customFormat="1" ht="30" customHeight="1">
      <c r="A260" s="355" t="s">
        <v>4</v>
      </c>
      <c r="B260" s="59" t="s">
        <v>146</v>
      </c>
      <c r="C260" s="37" t="s">
        <v>171</v>
      </c>
      <c r="D260" s="358">
        <v>2786.17</v>
      </c>
      <c r="E260" s="63">
        <f t="shared" si="10"/>
        <v>72440.42</v>
      </c>
      <c r="F260" s="64" t="s">
        <v>600</v>
      </c>
      <c r="G260" s="137">
        <f>+Rebusca_t1(F260)</f>
        <v>26</v>
      </c>
      <c r="H260" s="98"/>
      <c r="J260" s="37" t="s">
        <v>1395</v>
      </c>
    </row>
    <row r="261" spans="1:10" s="96" customFormat="1" ht="32.4" customHeight="1">
      <c r="A261" s="368" t="s">
        <v>998</v>
      </c>
      <c r="B261" s="90" t="s">
        <v>146</v>
      </c>
      <c r="C261" s="93" t="s">
        <v>1000</v>
      </c>
      <c r="D261" s="358"/>
      <c r="E261" s="63">
        <f t="shared" si="10"/>
        <v>0</v>
      </c>
      <c r="F261" s="388" t="s">
        <v>642</v>
      </c>
      <c r="G261" s="141"/>
      <c r="H261" s="98"/>
      <c r="J261" s="93" t="s">
        <v>1396</v>
      </c>
    </row>
    <row r="262" spans="1:10" s="96" customFormat="1" ht="20.399999999999999" customHeight="1">
      <c r="A262" s="368" t="s">
        <v>999</v>
      </c>
      <c r="B262" s="90" t="s">
        <v>146</v>
      </c>
      <c r="C262" s="93" t="s">
        <v>733</v>
      </c>
      <c r="D262" s="358"/>
      <c r="E262" s="63">
        <f t="shared" si="10"/>
        <v>0</v>
      </c>
      <c r="F262" s="112" t="s">
        <v>737</v>
      </c>
      <c r="G262" s="141">
        <f t="shared" si="11"/>
        <v>0</v>
      </c>
      <c r="H262" s="98"/>
      <c r="J262" s="93" t="s">
        <v>1397</v>
      </c>
    </row>
    <row r="263" spans="1:10" s="96" customFormat="1" ht="45.65" customHeight="1">
      <c r="A263" s="390" t="s">
        <v>1394</v>
      </c>
      <c r="B263" s="90" t="s">
        <v>146</v>
      </c>
      <c r="C263" s="93" t="s">
        <v>1658</v>
      </c>
      <c r="D263" s="358"/>
      <c r="E263" s="63">
        <f t="shared" si="10"/>
        <v>0</v>
      </c>
      <c r="F263" s="112" t="s">
        <v>1654</v>
      </c>
      <c r="G263" s="141">
        <f t="shared" si="11"/>
        <v>0</v>
      </c>
      <c r="H263" s="98"/>
      <c r="J263" s="93" t="s">
        <v>1661</v>
      </c>
    </row>
    <row r="264" spans="1:10" s="96" customFormat="1" ht="45.65" customHeight="1">
      <c r="A264" s="390" t="s">
        <v>1659</v>
      </c>
      <c r="B264" s="90" t="s">
        <v>146</v>
      </c>
      <c r="C264" s="93" t="s">
        <v>1660</v>
      </c>
      <c r="D264" s="358"/>
      <c r="E264" s="63">
        <f t="shared" si="10"/>
        <v>0</v>
      </c>
      <c r="F264" s="112" t="s">
        <v>1657</v>
      </c>
      <c r="G264" s="141">
        <f t="shared" si="11"/>
        <v>0</v>
      </c>
      <c r="H264" s="98"/>
      <c r="J264" s="93" t="s">
        <v>1398</v>
      </c>
    </row>
    <row r="265" spans="1:10" s="96" customFormat="1" ht="45.65" customHeight="1">
      <c r="A265" s="412" t="s">
        <v>1809</v>
      </c>
      <c r="B265" s="90" t="s">
        <v>146</v>
      </c>
      <c r="C265" s="93" t="s">
        <v>1810</v>
      </c>
      <c r="D265" s="358"/>
      <c r="E265" s="63"/>
      <c r="F265" s="112" t="s">
        <v>1806</v>
      </c>
      <c r="G265" s="141">
        <f t="shared" si="11"/>
        <v>39</v>
      </c>
      <c r="H265" s="98"/>
      <c r="J265" s="93" t="s">
        <v>1811</v>
      </c>
    </row>
    <row r="266" spans="1:10" s="96" customFormat="1" ht="30" customHeight="1">
      <c r="A266" s="413" t="s">
        <v>1820</v>
      </c>
      <c r="B266" s="90" t="s">
        <v>146</v>
      </c>
      <c r="C266" s="93" t="s">
        <v>1816</v>
      </c>
      <c r="D266" s="358">
        <v>5118.66</v>
      </c>
      <c r="E266" s="63">
        <f t="shared" si="10"/>
        <v>102373.2</v>
      </c>
      <c r="F266" s="112" t="s">
        <v>603</v>
      </c>
      <c r="G266" s="141">
        <f t="shared" si="11"/>
        <v>20</v>
      </c>
      <c r="H266" s="98"/>
      <c r="J266" s="93" t="s">
        <v>1815</v>
      </c>
    </row>
    <row r="267" spans="1:10" s="96" customFormat="1" ht="32.4" customHeight="1">
      <c r="A267" s="412" t="s">
        <v>5</v>
      </c>
      <c r="B267" s="90" t="s">
        <v>146</v>
      </c>
      <c r="C267" s="93" t="s">
        <v>1818</v>
      </c>
      <c r="D267" s="358"/>
      <c r="E267" s="63"/>
      <c r="F267" s="112" t="s">
        <v>1807</v>
      </c>
      <c r="G267" s="141">
        <f>+Rebusca_t1(F267)</f>
        <v>0</v>
      </c>
      <c r="H267" s="98"/>
      <c r="J267" s="93" t="s">
        <v>1814</v>
      </c>
    </row>
    <row r="268" spans="1:10" s="96" customFormat="1" ht="32.4" customHeight="1">
      <c r="A268" s="387" t="s">
        <v>1652</v>
      </c>
      <c r="B268" s="90" t="s">
        <v>146</v>
      </c>
      <c r="C268" s="93" t="s">
        <v>1817</v>
      </c>
      <c r="D268" s="358"/>
      <c r="E268" s="63">
        <f>+G268*D268</f>
        <v>0</v>
      </c>
      <c r="F268" s="112" t="s">
        <v>605</v>
      </c>
      <c r="G268" s="141">
        <f>+Rebusca_t1(F268)</f>
        <v>0</v>
      </c>
      <c r="H268" s="98"/>
      <c r="J268" s="93" t="s">
        <v>1653</v>
      </c>
    </row>
    <row r="269" spans="1:10" s="96" customFormat="1" ht="32.4" customHeight="1">
      <c r="A269" s="412" t="s">
        <v>1812</v>
      </c>
      <c r="B269" s="90" t="s">
        <v>146</v>
      </c>
      <c r="C269" s="93" t="s">
        <v>1819</v>
      </c>
      <c r="D269" s="358"/>
      <c r="E269" s="63"/>
      <c r="F269" s="112" t="s">
        <v>1823</v>
      </c>
      <c r="G269" s="141">
        <f>+Rebusca_t1(F269)</f>
        <v>4</v>
      </c>
      <c r="H269" s="98"/>
      <c r="J269" s="93" t="s">
        <v>1813</v>
      </c>
    </row>
    <row r="270" spans="1:10" s="96" customFormat="1" ht="30" customHeight="1">
      <c r="A270" s="355" t="s">
        <v>6</v>
      </c>
      <c r="B270" s="59" t="s">
        <v>146</v>
      </c>
      <c r="C270" s="37" t="s">
        <v>97</v>
      </c>
      <c r="D270" s="358">
        <v>3000</v>
      </c>
      <c r="E270" s="63">
        <f t="shared" si="10"/>
        <v>0</v>
      </c>
      <c r="F270" s="64" t="s">
        <v>604</v>
      </c>
      <c r="G270" s="137">
        <f t="shared" si="11"/>
        <v>0</v>
      </c>
      <c r="H270" s="98"/>
      <c r="J270" s="37" t="s">
        <v>1399</v>
      </c>
    </row>
    <row r="271" spans="1:10" s="96" customFormat="1" ht="30" customHeight="1">
      <c r="A271" s="355" t="s">
        <v>383</v>
      </c>
      <c r="B271" s="59" t="s">
        <v>146</v>
      </c>
      <c r="C271" s="37" t="s">
        <v>1015</v>
      </c>
      <c r="D271" s="358"/>
      <c r="E271" s="63">
        <f t="shared" si="10"/>
        <v>0</v>
      </c>
      <c r="F271" s="64" t="s">
        <v>739</v>
      </c>
      <c r="G271" s="137">
        <f t="shared" si="11"/>
        <v>0</v>
      </c>
      <c r="H271" s="98"/>
      <c r="J271" s="37" t="s">
        <v>1352</v>
      </c>
    </row>
    <row r="272" spans="1:10" s="96" customFormat="1" ht="30" customHeight="1">
      <c r="A272" s="355" t="s">
        <v>384</v>
      </c>
      <c r="B272" s="59" t="s">
        <v>146</v>
      </c>
      <c r="C272" s="37" t="s">
        <v>1354</v>
      </c>
      <c r="D272" s="358"/>
      <c r="E272" s="63">
        <f t="shared" si="10"/>
        <v>0</v>
      </c>
      <c r="F272" s="64" t="s">
        <v>744</v>
      </c>
      <c r="G272" s="137">
        <f>+Rebusca_t1("C-633")</f>
        <v>0</v>
      </c>
      <c r="H272" s="98"/>
      <c r="J272" s="37" t="s">
        <v>1353</v>
      </c>
    </row>
    <row r="273" spans="1:10" s="96" customFormat="1" ht="20.399999999999999" customHeight="1">
      <c r="A273" s="355" t="s">
        <v>385</v>
      </c>
      <c r="B273" s="59" t="s">
        <v>146</v>
      </c>
      <c r="C273" s="37" t="s">
        <v>1016</v>
      </c>
      <c r="D273" s="358"/>
      <c r="E273" s="63">
        <f t="shared" si="10"/>
        <v>0</v>
      </c>
      <c r="F273" s="64" t="s">
        <v>741</v>
      </c>
      <c r="G273" s="137">
        <f>+Rebusca_t1(F273)</f>
        <v>6</v>
      </c>
      <c r="H273" s="98"/>
      <c r="J273" s="37" t="s">
        <v>1355</v>
      </c>
    </row>
    <row r="274" spans="1:10" s="96" customFormat="1" ht="20.399999999999999" customHeight="1">
      <c r="A274" s="383" t="s">
        <v>1001</v>
      </c>
      <c r="B274" s="90" t="s">
        <v>146</v>
      </c>
      <c r="C274" s="91" t="s">
        <v>1017</v>
      </c>
      <c r="D274" s="358"/>
      <c r="E274" s="63">
        <f t="shared" si="10"/>
        <v>0</v>
      </c>
      <c r="F274" s="112" t="s">
        <v>747</v>
      </c>
      <c r="G274" s="141">
        <f>+Rebusca_t1(F274)</f>
        <v>0</v>
      </c>
      <c r="H274" s="98"/>
      <c r="J274" s="91" t="s">
        <v>1356</v>
      </c>
    </row>
    <row r="275" spans="1:10" s="96" customFormat="1" ht="30" customHeight="1">
      <c r="A275" s="355" t="s">
        <v>7</v>
      </c>
      <c r="B275" s="59" t="s">
        <v>149</v>
      </c>
      <c r="C275" s="37" t="s">
        <v>98</v>
      </c>
      <c r="D275" s="352">
        <v>3.05</v>
      </c>
      <c r="E275" s="63">
        <f t="shared" si="10"/>
        <v>0</v>
      </c>
      <c r="F275" s="114"/>
      <c r="G275" s="144"/>
      <c r="H275" s="98"/>
      <c r="J275" s="37" t="s">
        <v>1259</v>
      </c>
    </row>
    <row r="276" spans="1:10" s="96" customFormat="1" ht="30" customHeight="1">
      <c r="A276" s="349" t="s">
        <v>428</v>
      </c>
      <c r="B276" s="59" t="s">
        <v>429</v>
      </c>
      <c r="C276" s="37" t="s">
        <v>430</v>
      </c>
      <c r="D276" s="369"/>
      <c r="E276" s="65"/>
      <c r="F276" s="64" t="s">
        <v>761</v>
      </c>
      <c r="G276" s="137">
        <f>+Rebusca_t1(F276)</f>
        <v>25</v>
      </c>
      <c r="H276" s="98"/>
      <c r="J276" s="37" t="s">
        <v>1260</v>
      </c>
    </row>
    <row r="277" spans="1:10" s="96" customFormat="1" ht="21" customHeight="1">
      <c r="A277" s="349" t="s">
        <v>1789</v>
      </c>
      <c r="B277" s="59" t="s">
        <v>429</v>
      </c>
      <c r="C277" s="37" t="s">
        <v>1791</v>
      </c>
      <c r="D277" s="369"/>
      <c r="E277" s="65"/>
      <c r="F277" s="114"/>
      <c r="G277" s="137"/>
      <c r="H277" s="98"/>
      <c r="J277" s="37" t="s">
        <v>1792</v>
      </c>
    </row>
    <row r="278" spans="1:10" s="96" customFormat="1" ht="21" customHeight="1" thickBot="1">
      <c r="A278" s="349" t="s">
        <v>1790</v>
      </c>
      <c r="B278" s="59" t="s">
        <v>429</v>
      </c>
      <c r="C278" s="37" t="s">
        <v>1695</v>
      </c>
      <c r="D278" s="369"/>
      <c r="E278" s="65"/>
      <c r="F278" s="64" t="s">
        <v>1788</v>
      </c>
      <c r="G278" s="137">
        <f>+Rebusca_t1(F278)</f>
        <v>6</v>
      </c>
      <c r="H278" s="98"/>
      <c r="J278" s="37" t="s">
        <v>1664</v>
      </c>
    </row>
    <row r="279" spans="1:10" s="96" customFormat="1" ht="21" customHeight="1" thickBot="1">
      <c r="A279" s="349"/>
      <c r="B279" s="59"/>
      <c r="C279" s="84" t="s">
        <v>8</v>
      </c>
      <c r="D279" s="369"/>
      <c r="E279" s="73">
        <f>SUM(E253:E275)</f>
        <v>288343</v>
      </c>
      <c r="F279" s="75"/>
      <c r="G279" s="144"/>
      <c r="H279" s="98"/>
      <c r="J279" s="84" t="s">
        <v>1261</v>
      </c>
    </row>
    <row r="280" spans="1:10" s="96" customFormat="1" ht="20.399999999999999" hidden="1" customHeight="1">
      <c r="A280" s="349"/>
      <c r="B280" s="59"/>
      <c r="C280" s="58"/>
      <c r="D280" s="352"/>
      <c r="E280" s="1"/>
      <c r="F280" s="75"/>
      <c r="G280" s="144"/>
      <c r="H280" s="98"/>
      <c r="J280" s="58"/>
    </row>
    <row r="281" spans="1:10" s="96" customFormat="1" ht="30" hidden="1" customHeight="1">
      <c r="A281" s="349"/>
      <c r="B281" s="59"/>
      <c r="C281" s="84" t="s">
        <v>9</v>
      </c>
      <c r="D281" s="352"/>
      <c r="E281" s="1"/>
      <c r="F281" s="75"/>
      <c r="G281" s="144"/>
      <c r="H281" s="98"/>
      <c r="J281" s="84" t="s">
        <v>9</v>
      </c>
    </row>
    <row r="282" spans="1:10" s="96" customFormat="1" ht="30" hidden="1" customHeight="1">
      <c r="A282" s="349" t="s">
        <v>386</v>
      </c>
      <c r="B282" s="59" t="s">
        <v>170</v>
      </c>
      <c r="C282" s="37" t="s">
        <v>387</v>
      </c>
      <c r="D282" s="352">
        <v>4.8899999999999997</v>
      </c>
      <c r="E282" s="63" t="e">
        <f>#REF!*D282</f>
        <v>#REF!</v>
      </c>
      <c r="F282" s="75"/>
      <c r="G282" s="144"/>
      <c r="H282" s="98"/>
      <c r="J282" s="37" t="s">
        <v>387</v>
      </c>
    </row>
    <row r="283" spans="1:10" s="96" customFormat="1" ht="30" hidden="1" customHeight="1">
      <c r="A283" s="349" t="s">
        <v>388</v>
      </c>
      <c r="B283" s="59" t="s">
        <v>170</v>
      </c>
      <c r="C283" s="37" t="s">
        <v>389</v>
      </c>
      <c r="D283" s="352"/>
      <c r="E283" s="63"/>
      <c r="F283" s="75"/>
      <c r="G283" s="144"/>
      <c r="H283" s="98"/>
      <c r="J283" s="37" t="s">
        <v>389</v>
      </c>
    </row>
    <row r="284" spans="1:10" s="96" customFormat="1" ht="20.399999999999999" hidden="1" customHeight="1">
      <c r="A284" s="349" t="s">
        <v>10</v>
      </c>
      <c r="B284" s="59" t="s">
        <v>146</v>
      </c>
      <c r="C284" s="37" t="s">
        <v>99</v>
      </c>
      <c r="D284" s="352">
        <v>179.12</v>
      </c>
      <c r="E284" s="63" t="e">
        <f>#REF!*D284</f>
        <v>#REF!</v>
      </c>
      <c r="F284" s="75"/>
      <c r="G284" s="144"/>
      <c r="H284" s="98"/>
      <c r="J284" s="37" t="s">
        <v>99</v>
      </c>
    </row>
    <row r="285" spans="1:10" s="96" customFormat="1" ht="30" hidden="1" customHeight="1">
      <c r="A285" s="349" t="s">
        <v>11</v>
      </c>
      <c r="B285" s="59" t="s">
        <v>146</v>
      </c>
      <c r="C285" s="37" t="s">
        <v>172</v>
      </c>
      <c r="D285" s="352">
        <v>210.9</v>
      </c>
      <c r="E285" s="63" t="e">
        <f>#REF!*D285</f>
        <v>#REF!</v>
      </c>
      <c r="F285" s="75"/>
      <c r="G285" s="144"/>
      <c r="H285" s="98"/>
      <c r="J285" s="37" t="s">
        <v>172</v>
      </c>
    </row>
    <row r="286" spans="1:10" s="96" customFormat="1" ht="20.399999999999999" hidden="1" customHeight="1">
      <c r="A286" s="349" t="s">
        <v>12</v>
      </c>
      <c r="B286" s="59" t="s">
        <v>146</v>
      </c>
      <c r="C286" s="37" t="s">
        <v>173</v>
      </c>
      <c r="D286" s="352">
        <v>949.06</v>
      </c>
      <c r="E286" s="63" t="e">
        <f>#REF!*D286</f>
        <v>#REF!</v>
      </c>
      <c r="F286" s="75"/>
      <c r="G286" s="144"/>
      <c r="H286" s="98"/>
      <c r="J286" s="37" t="s">
        <v>173</v>
      </c>
    </row>
    <row r="287" spans="1:10" s="96" customFormat="1" ht="20.399999999999999" hidden="1" customHeight="1">
      <c r="A287" s="349" t="s">
        <v>13</v>
      </c>
      <c r="B287" s="59" t="s">
        <v>146</v>
      </c>
      <c r="C287" s="37" t="s">
        <v>174</v>
      </c>
      <c r="D287" s="358">
        <v>1265.4100000000001</v>
      </c>
      <c r="E287" s="63" t="e">
        <f>#REF!*D287</f>
        <v>#REF!</v>
      </c>
      <c r="F287" s="75"/>
      <c r="G287" s="144"/>
      <c r="H287" s="98"/>
      <c r="J287" s="37" t="s">
        <v>174</v>
      </c>
    </row>
    <row r="288" spans="1:10" s="96" customFormat="1" ht="30" hidden="1" customHeight="1">
      <c r="A288" s="349" t="s">
        <v>390</v>
      </c>
      <c r="B288" s="59" t="s">
        <v>146</v>
      </c>
      <c r="C288" s="37" t="s">
        <v>426</v>
      </c>
      <c r="D288" s="358">
        <v>20000</v>
      </c>
      <c r="E288" s="63" t="e">
        <f>#REF!*D288</f>
        <v>#REF!</v>
      </c>
      <c r="F288" s="75"/>
      <c r="G288" s="144"/>
      <c r="H288" s="98"/>
      <c r="J288" s="37" t="s">
        <v>1338</v>
      </c>
    </row>
    <row r="289" spans="1:10" s="96" customFormat="1" ht="30" hidden="1" customHeight="1">
      <c r="A289" s="349" t="s">
        <v>391</v>
      </c>
      <c r="B289" s="59" t="s">
        <v>146</v>
      </c>
      <c r="C289" s="37" t="s">
        <v>427</v>
      </c>
      <c r="D289" s="358"/>
      <c r="E289" s="72"/>
      <c r="F289" s="75"/>
      <c r="G289" s="144"/>
      <c r="H289" s="98"/>
      <c r="J289" s="37" t="s">
        <v>1339</v>
      </c>
    </row>
    <row r="290" spans="1:10" s="96" customFormat="1" ht="30" hidden="1" customHeight="1">
      <c r="A290" s="349" t="s">
        <v>392</v>
      </c>
      <c r="B290" s="59" t="s">
        <v>146</v>
      </c>
      <c r="C290" s="37" t="s">
        <v>433</v>
      </c>
      <c r="D290" s="358"/>
      <c r="E290" s="72"/>
      <c r="F290" s="75"/>
      <c r="G290" s="144"/>
      <c r="H290" s="98"/>
      <c r="J290" s="37" t="s">
        <v>433</v>
      </c>
    </row>
    <row r="291" spans="1:10" s="96" customFormat="1" ht="42" hidden="1" customHeight="1">
      <c r="A291" s="349" t="s">
        <v>14</v>
      </c>
      <c r="B291" s="59" t="s">
        <v>149</v>
      </c>
      <c r="C291" s="37" t="s">
        <v>100</v>
      </c>
      <c r="D291" s="352">
        <v>4.53</v>
      </c>
      <c r="E291" s="72" t="e">
        <f>#REF!*D291</f>
        <v>#REF!</v>
      </c>
      <c r="F291" s="75"/>
      <c r="G291" s="144"/>
      <c r="H291" s="98"/>
      <c r="J291" s="37" t="s">
        <v>100</v>
      </c>
    </row>
    <row r="292" spans="1:10" s="96" customFormat="1" ht="21" hidden="1" customHeight="1" thickBot="1">
      <c r="A292" s="349" t="s">
        <v>431</v>
      </c>
      <c r="B292" s="59" t="s">
        <v>429</v>
      </c>
      <c r="C292" s="37" t="s">
        <v>432</v>
      </c>
      <c r="D292" s="369"/>
      <c r="E292" s="65"/>
      <c r="F292" s="75"/>
      <c r="G292" s="144"/>
      <c r="H292" s="98"/>
      <c r="J292" s="37" t="s">
        <v>432</v>
      </c>
    </row>
    <row r="293" spans="1:10" s="96" customFormat="1" ht="21" hidden="1" customHeight="1" thickBot="1">
      <c r="A293" s="349"/>
      <c r="B293" s="59"/>
      <c r="C293" s="84" t="s">
        <v>15</v>
      </c>
      <c r="D293" s="369"/>
      <c r="E293" s="73" t="e">
        <f>SUM(E282:E291)</f>
        <v>#REF!</v>
      </c>
      <c r="F293" s="75"/>
      <c r="G293" s="144"/>
      <c r="H293" s="98"/>
      <c r="J293" s="84" t="s">
        <v>15</v>
      </c>
    </row>
    <row r="294" spans="1:10" s="96" customFormat="1" ht="30" hidden="1" customHeight="1">
      <c r="A294" s="349"/>
      <c r="B294" s="59"/>
      <c r="C294" s="58" t="s">
        <v>16</v>
      </c>
      <c r="D294" s="352"/>
      <c r="E294" s="1"/>
      <c r="F294" s="75"/>
      <c r="G294" s="144"/>
      <c r="H294" s="98"/>
      <c r="J294" s="58" t="s">
        <v>16</v>
      </c>
    </row>
    <row r="295" spans="1:10" s="96" customFormat="1" ht="20.399999999999999" customHeight="1">
      <c r="A295" s="349"/>
      <c r="B295" s="59"/>
      <c r="C295" s="58"/>
      <c r="D295" s="352"/>
      <c r="E295" s="1"/>
      <c r="F295" s="75"/>
      <c r="G295" s="144"/>
      <c r="H295" s="98"/>
      <c r="J295" s="58"/>
    </row>
    <row r="296" spans="1:10" s="96" customFormat="1" ht="20.399999999999999" customHeight="1">
      <c r="A296" s="349"/>
      <c r="B296" s="59"/>
      <c r="C296" s="58" t="s">
        <v>17</v>
      </c>
      <c r="D296" s="352"/>
      <c r="E296" s="1"/>
      <c r="F296" s="75"/>
      <c r="G296" s="144"/>
      <c r="H296" s="98"/>
      <c r="J296" s="58" t="s">
        <v>1262</v>
      </c>
    </row>
    <row r="297" spans="1:10" s="96" customFormat="1" ht="20.399999999999999" customHeight="1">
      <c r="A297" s="349"/>
      <c r="B297" s="59"/>
      <c r="C297" s="84"/>
      <c r="D297" s="352"/>
      <c r="E297" s="1"/>
      <c r="F297" s="75"/>
      <c r="G297" s="144"/>
      <c r="H297" s="98"/>
      <c r="J297" s="84"/>
    </row>
    <row r="298" spans="1:10" s="96" customFormat="1" ht="20.399999999999999" customHeight="1">
      <c r="A298" s="349"/>
      <c r="B298" s="59"/>
      <c r="C298" s="84" t="s">
        <v>18</v>
      </c>
      <c r="D298" s="352"/>
      <c r="E298" s="1"/>
      <c r="F298" s="75"/>
      <c r="G298" s="144"/>
      <c r="H298" s="98"/>
      <c r="J298" s="84" t="s">
        <v>1263</v>
      </c>
    </row>
    <row r="299" spans="1:10" s="96" customFormat="1" ht="20.399999999999999" customHeight="1">
      <c r="A299" s="349" t="s">
        <v>19</v>
      </c>
      <c r="B299" s="76" t="s">
        <v>157</v>
      </c>
      <c r="C299" s="86" t="s">
        <v>935</v>
      </c>
      <c r="D299" s="382">
        <v>2590.86</v>
      </c>
      <c r="E299" s="63" t="e">
        <f t="shared" ref="E299:E324" si="12">+G299*D299</f>
        <v>#VALUE!</v>
      </c>
      <c r="F299" s="64" t="s">
        <v>578</v>
      </c>
      <c r="G299" s="137" t="e">
        <f>+Rebusca_t1(F299)</f>
        <v>#VALUE!</v>
      </c>
      <c r="H299" s="98"/>
      <c r="J299" s="86" t="s">
        <v>1116</v>
      </c>
    </row>
    <row r="300" spans="1:10" s="96" customFormat="1" ht="20.399999999999999" customHeight="1">
      <c r="A300" s="349" t="s">
        <v>20</v>
      </c>
      <c r="B300" s="59" t="s">
        <v>146</v>
      </c>
      <c r="C300" s="37" t="s">
        <v>936</v>
      </c>
      <c r="D300" s="352">
        <v>16.329999999999998</v>
      </c>
      <c r="E300" s="63">
        <f t="shared" si="12"/>
        <v>0</v>
      </c>
      <c r="F300" s="64" t="s">
        <v>782</v>
      </c>
      <c r="G300" s="137">
        <f>+Rebusca_t1("C-712")</f>
        <v>0</v>
      </c>
      <c r="H300" s="98"/>
      <c r="J300" s="37" t="s">
        <v>1340</v>
      </c>
    </row>
    <row r="301" spans="1:10" s="96" customFormat="1" ht="20.399999999999999" customHeight="1">
      <c r="A301" s="349" t="s">
        <v>21</v>
      </c>
      <c r="B301" s="59" t="s">
        <v>146</v>
      </c>
      <c r="C301" s="37" t="s">
        <v>101</v>
      </c>
      <c r="D301" s="352">
        <v>50</v>
      </c>
      <c r="E301" s="63">
        <f t="shared" si="12"/>
        <v>0</v>
      </c>
      <c r="F301" s="64" t="s">
        <v>785</v>
      </c>
      <c r="G301" s="137">
        <f t="shared" ref="G301:G314" si="13">+Rebusca_t1(F301)</f>
        <v>0</v>
      </c>
      <c r="H301" s="98"/>
      <c r="J301" s="37" t="s">
        <v>1341</v>
      </c>
    </row>
    <row r="302" spans="1:10" s="96" customFormat="1" ht="20.399999999999999" customHeight="1">
      <c r="A302" s="349" t="s">
        <v>22</v>
      </c>
      <c r="B302" s="59" t="s">
        <v>146</v>
      </c>
      <c r="C302" s="37" t="s">
        <v>175</v>
      </c>
      <c r="D302" s="352">
        <v>40.36</v>
      </c>
      <c r="E302" s="63">
        <f t="shared" si="12"/>
        <v>0</v>
      </c>
      <c r="F302" s="64" t="s">
        <v>784</v>
      </c>
      <c r="G302" s="137">
        <f t="shared" si="13"/>
        <v>0</v>
      </c>
      <c r="H302" s="98"/>
      <c r="J302" s="37" t="s">
        <v>1357</v>
      </c>
    </row>
    <row r="303" spans="1:10" s="96" customFormat="1" ht="20.399999999999999" customHeight="1">
      <c r="A303" s="349" t="s">
        <v>23</v>
      </c>
      <c r="B303" s="59" t="s">
        <v>146</v>
      </c>
      <c r="C303" s="37" t="s">
        <v>112</v>
      </c>
      <c r="D303" s="352">
        <v>81.349999999999994</v>
      </c>
      <c r="E303" s="63" t="e">
        <f t="shared" si="12"/>
        <v>#VALUE!</v>
      </c>
      <c r="F303" s="64" t="s">
        <v>764</v>
      </c>
      <c r="G303" s="137" t="e">
        <f>+Rebusca_t1(F303)</f>
        <v>#VALUE!</v>
      </c>
      <c r="H303" s="98"/>
      <c r="J303" s="37" t="s">
        <v>1264</v>
      </c>
    </row>
    <row r="304" spans="1:10" s="96" customFormat="1" ht="20.399999999999999" customHeight="1">
      <c r="A304" s="349" t="s">
        <v>24</v>
      </c>
      <c r="B304" s="59" t="s">
        <v>146</v>
      </c>
      <c r="C304" s="37" t="s">
        <v>113</v>
      </c>
      <c r="D304" s="352">
        <v>39.06</v>
      </c>
      <c r="E304" s="63" t="e">
        <f t="shared" si="12"/>
        <v>#VALUE!</v>
      </c>
      <c r="F304" s="64" t="s">
        <v>766</v>
      </c>
      <c r="G304" s="137" t="e">
        <f t="shared" si="13"/>
        <v>#VALUE!</v>
      </c>
      <c r="H304" s="98"/>
      <c r="J304" s="37" t="s">
        <v>1342</v>
      </c>
    </row>
    <row r="305" spans="1:10" s="96" customFormat="1" ht="20.399999999999999" customHeight="1">
      <c r="A305" s="349" t="s">
        <v>25</v>
      </c>
      <c r="B305" s="59" t="s">
        <v>146</v>
      </c>
      <c r="C305" s="37" t="s">
        <v>169</v>
      </c>
      <c r="D305" s="352">
        <v>29.02</v>
      </c>
      <c r="E305" s="63">
        <f t="shared" si="12"/>
        <v>261.18</v>
      </c>
      <c r="F305" s="64" t="s">
        <v>768</v>
      </c>
      <c r="G305" s="137">
        <f>+Rebusca_t1(F305)</f>
        <v>9</v>
      </c>
      <c r="H305" s="98"/>
      <c r="J305" s="37" t="s">
        <v>1265</v>
      </c>
    </row>
    <row r="306" spans="1:10" s="96" customFormat="1" ht="20.399999999999999" customHeight="1">
      <c r="A306" s="383" t="s">
        <v>1002</v>
      </c>
      <c r="B306" s="90" t="s">
        <v>146</v>
      </c>
      <c r="C306" s="91" t="s">
        <v>1006</v>
      </c>
      <c r="D306" s="352"/>
      <c r="E306" s="63">
        <f t="shared" si="12"/>
        <v>0</v>
      </c>
      <c r="F306" s="112" t="s">
        <v>769</v>
      </c>
      <c r="G306" s="141">
        <f>+Rebusca_t1(F306)</f>
        <v>0</v>
      </c>
      <c r="H306" s="98"/>
      <c r="J306" s="91" t="s">
        <v>1266</v>
      </c>
    </row>
    <row r="307" spans="1:10" s="96" customFormat="1" ht="20.399999999999999" customHeight="1">
      <c r="A307" s="383" t="s">
        <v>1003</v>
      </c>
      <c r="B307" s="90" t="s">
        <v>146</v>
      </c>
      <c r="C307" s="91" t="s">
        <v>1007</v>
      </c>
      <c r="D307" s="352"/>
      <c r="E307" s="63">
        <f t="shared" si="12"/>
        <v>0</v>
      </c>
      <c r="F307" s="112" t="s">
        <v>770</v>
      </c>
      <c r="G307" s="141">
        <f>+Rebusca_t1(F307)</f>
        <v>7</v>
      </c>
      <c r="H307" s="98"/>
      <c r="J307" s="91" t="s">
        <v>1267</v>
      </c>
    </row>
    <row r="308" spans="1:10" s="96" customFormat="1" ht="20.399999999999999" customHeight="1">
      <c r="A308" s="383" t="s">
        <v>1004</v>
      </c>
      <c r="B308" s="90" t="s">
        <v>146</v>
      </c>
      <c r="C308" s="91" t="s">
        <v>1008</v>
      </c>
      <c r="D308" s="352"/>
      <c r="E308" s="63">
        <f t="shared" si="12"/>
        <v>0</v>
      </c>
      <c r="F308" s="112" t="s">
        <v>771</v>
      </c>
      <c r="G308" s="141">
        <f>+Rebusca_t1(F308)</f>
        <v>0</v>
      </c>
      <c r="H308" s="98"/>
      <c r="J308" s="91" t="s">
        <v>1268</v>
      </c>
    </row>
    <row r="309" spans="1:10" s="96" customFormat="1" ht="20.399999999999999" customHeight="1">
      <c r="A309" s="383" t="s">
        <v>1005</v>
      </c>
      <c r="B309" s="90" t="s">
        <v>146</v>
      </c>
      <c r="C309" s="91" t="s">
        <v>1009</v>
      </c>
      <c r="D309" s="352"/>
      <c r="E309" s="63">
        <f t="shared" si="12"/>
        <v>0</v>
      </c>
      <c r="F309" s="112" t="s">
        <v>772</v>
      </c>
      <c r="G309" s="141">
        <f>+Rebusca_t1(F309)</f>
        <v>9</v>
      </c>
      <c r="H309" s="98"/>
      <c r="J309" s="91" t="s">
        <v>1269</v>
      </c>
    </row>
    <row r="310" spans="1:10" s="96" customFormat="1" ht="20.399999999999999" customHeight="1">
      <c r="A310" s="349" t="s">
        <v>26</v>
      </c>
      <c r="B310" s="59" t="s">
        <v>146</v>
      </c>
      <c r="C310" s="37" t="s">
        <v>107</v>
      </c>
      <c r="D310" s="352">
        <v>29.02</v>
      </c>
      <c r="E310" s="63">
        <f t="shared" si="12"/>
        <v>0</v>
      </c>
      <c r="F310" s="114"/>
      <c r="G310" s="144"/>
      <c r="H310" s="98"/>
      <c r="J310" s="37" t="s">
        <v>1270</v>
      </c>
    </row>
    <row r="311" spans="1:10" s="96" customFormat="1" ht="20.399999999999999" customHeight="1">
      <c r="A311" s="349" t="s">
        <v>27</v>
      </c>
      <c r="B311" s="59" t="s">
        <v>146</v>
      </c>
      <c r="C311" s="37" t="s">
        <v>114</v>
      </c>
      <c r="D311" s="352">
        <v>139.91</v>
      </c>
      <c r="E311" s="63" t="e">
        <f t="shared" si="12"/>
        <v>#VALUE!</v>
      </c>
      <c r="F311" s="64" t="s">
        <v>774</v>
      </c>
      <c r="G311" s="137" t="e">
        <f t="shared" si="13"/>
        <v>#VALUE!</v>
      </c>
      <c r="H311" s="98"/>
      <c r="J311" s="37" t="s">
        <v>1271</v>
      </c>
    </row>
    <row r="312" spans="1:10" s="96" customFormat="1" ht="20.399999999999999" customHeight="1">
      <c r="A312" s="349" t="s">
        <v>28</v>
      </c>
      <c r="B312" s="59" t="s">
        <v>146</v>
      </c>
      <c r="C312" s="37" t="s">
        <v>116</v>
      </c>
      <c r="D312" s="352">
        <v>15.22</v>
      </c>
      <c r="E312" s="63">
        <f t="shared" si="12"/>
        <v>0</v>
      </c>
      <c r="F312" s="64" t="s">
        <v>775</v>
      </c>
      <c r="G312" s="137">
        <f t="shared" si="13"/>
        <v>0</v>
      </c>
      <c r="H312" s="98"/>
      <c r="J312" s="37" t="s">
        <v>1343</v>
      </c>
    </row>
    <row r="313" spans="1:10" s="96" customFormat="1" ht="20.399999999999999" customHeight="1">
      <c r="A313" s="349" t="s">
        <v>29</v>
      </c>
      <c r="B313" s="59" t="s">
        <v>146</v>
      </c>
      <c r="C313" s="37" t="s">
        <v>176</v>
      </c>
      <c r="D313" s="352">
        <v>118</v>
      </c>
      <c r="E313" s="63">
        <f t="shared" si="12"/>
        <v>0</v>
      </c>
      <c r="F313" s="64" t="s">
        <v>777</v>
      </c>
      <c r="G313" s="137">
        <f t="shared" si="13"/>
        <v>0</v>
      </c>
      <c r="H313" s="98"/>
      <c r="J313" s="37" t="s">
        <v>1272</v>
      </c>
    </row>
    <row r="314" spans="1:10" s="96" customFormat="1" ht="20.399999999999999" customHeight="1">
      <c r="A314" s="349" t="s">
        <v>30</v>
      </c>
      <c r="B314" s="59" t="s">
        <v>146</v>
      </c>
      <c r="C314" s="37" t="s">
        <v>118</v>
      </c>
      <c r="D314" s="352">
        <v>19.21</v>
      </c>
      <c r="E314" s="63">
        <f t="shared" si="12"/>
        <v>0</v>
      </c>
      <c r="F314" s="64" t="s">
        <v>778</v>
      </c>
      <c r="G314" s="137">
        <f t="shared" si="13"/>
        <v>0</v>
      </c>
      <c r="H314" s="98"/>
      <c r="J314" s="37" t="s">
        <v>1273</v>
      </c>
    </row>
    <row r="315" spans="1:10" s="96" customFormat="1" ht="20.399999999999999" customHeight="1">
      <c r="A315" s="349" t="s">
        <v>31</v>
      </c>
      <c r="B315" s="59" t="s">
        <v>146</v>
      </c>
      <c r="C315" s="37" t="s">
        <v>177</v>
      </c>
      <c r="D315" s="352">
        <v>35.29</v>
      </c>
      <c r="E315" s="63">
        <f t="shared" si="12"/>
        <v>3352.5499999999997</v>
      </c>
      <c r="F315" s="64" t="s">
        <v>754</v>
      </c>
      <c r="G315" s="137">
        <f>+Rebusca_t1(F315)</f>
        <v>95</v>
      </c>
      <c r="H315" s="98"/>
      <c r="J315" s="37" t="s">
        <v>1344</v>
      </c>
    </row>
    <row r="316" spans="1:10" s="96" customFormat="1" ht="20.399999999999999" customHeight="1">
      <c r="A316" s="349" t="s">
        <v>32</v>
      </c>
      <c r="B316" s="59" t="s">
        <v>146</v>
      </c>
      <c r="C316" s="37" t="s">
        <v>1010</v>
      </c>
      <c r="D316" s="352">
        <v>287.72000000000003</v>
      </c>
      <c r="E316" s="63">
        <f t="shared" si="12"/>
        <v>0</v>
      </c>
      <c r="F316" s="64" t="s">
        <v>756</v>
      </c>
      <c r="G316" s="137">
        <f>+Rebusca_t1(F316)</f>
        <v>0</v>
      </c>
      <c r="H316" s="98"/>
      <c r="J316" s="37" t="s">
        <v>1274</v>
      </c>
    </row>
    <row r="317" spans="1:10" s="96" customFormat="1" ht="20.399999999999999" customHeight="1">
      <c r="A317" s="383" t="s">
        <v>1011</v>
      </c>
      <c r="B317" s="90" t="s">
        <v>146</v>
      </c>
      <c r="C317" s="91" t="s">
        <v>1012</v>
      </c>
      <c r="D317" s="352"/>
      <c r="E317" s="63">
        <f t="shared" si="12"/>
        <v>0</v>
      </c>
      <c r="F317" s="112" t="s">
        <v>758</v>
      </c>
      <c r="G317" s="141">
        <f t="shared" ref="G317:G324" si="14">+Rebusca_t1(F317)</f>
        <v>0</v>
      </c>
      <c r="H317" s="98"/>
      <c r="J317" s="91" t="s">
        <v>1275</v>
      </c>
    </row>
    <row r="318" spans="1:10" s="96" customFormat="1" ht="20.399999999999999" customHeight="1">
      <c r="A318" s="349" t="s">
        <v>938</v>
      </c>
      <c r="B318" s="59" t="s">
        <v>146</v>
      </c>
      <c r="C318" s="37" t="s">
        <v>178</v>
      </c>
      <c r="D318" s="352">
        <v>177.35</v>
      </c>
      <c r="E318" s="63">
        <f t="shared" si="12"/>
        <v>0</v>
      </c>
      <c r="F318" s="64" t="s">
        <v>760</v>
      </c>
      <c r="G318" s="137">
        <f>+Rebusca_t1(F318)</f>
        <v>0</v>
      </c>
      <c r="H318" s="98"/>
      <c r="J318" s="37" t="s">
        <v>1345</v>
      </c>
    </row>
    <row r="319" spans="1:10" s="96" customFormat="1" ht="30" customHeight="1">
      <c r="A319" s="349" t="s">
        <v>939</v>
      </c>
      <c r="B319" s="59" t="s">
        <v>149</v>
      </c>
      <c r="C319" s="37" t="s">
        <v>179</v>
      </c>
      <c r="D319" s="352">
        <v>11.37</v>
      </c>
      <c r="E319" s="63">
        <f t="shared" si="12"/>
        <v>0</v>
      </c>
      <c r="F319" s="75" t="s">
        <v>1032</v>
      </c>
      <c r="G319" s="137">
        <f t="shared" si="14"/>
        <v>0</v>
      </c>
      <c r="H319" s="98"/>
      <c r="J319" s="37" t="s">
        <v>1276</v>
      </c>
    </row>
    <row r="320" spans="1:10" s="96" customFormat="1" ht="20.399999999999999" customHeight="1">
      <c r="A320" s="374" t="s">
        <v>1033</v>
      </c>
      <c r="B320" s="90" t="s">
        <v>146</v>
      </c>
      <c r="C320" s="91" t="s">
        <v>787</v>
      </c>
      <c r="D320" s="384"/>
      <c r="E320" s="63">
        <f t="shared" si="12"/>
        <v>0</v>
      </c>
      <c r="F320" s="113" t="s">
        <v>786</v>
      </c>
      <c r="G320" s="141">
        <f t="shared" si="14"/>
        <v>0</v>
      </c>
      <c r="H320" s="98"/>
      <c r="J320" s="91" t="s">
        <v>1277</v>
      </c>
    </row>
    <row r="321" spans="1:10" s="96" customFormat="1" ht="20.399999999999999" customHeight="1">
      <c r="A321" s="374" t="s">
        <v>1034</v>
      </c>
      <c r="B321" s="90" t="s">
        <v>146</v>
      </c>
      <c r="C321" s="91" t="s">
        <v>789</v>
      </c>
      <c r="D321" s="384"/>
      <c r="E321" s="63">
        <f t="shared" si="12"/>
        <v>0</v>
      </c>
      <c r="F321" s="113" t="s">
        <v>788</v>
      </c>
      <c r="G321" s="141">
        <f t="shared" si="14"/>
        <v>0</v>
      </c>
      <c r="H321" s="98"/>
      <c r="J321" s="91" t="s">
        <v>1278</v>
      </c>
    </row>
    <row r="322" spans="1:10" s="96" customFormat="1" ht="20.399999999999999" customHeight="1">
      <c r="A322" s="374" t="s">
        <v>1035</v>
      </c>
      <c r="B322" s="90" t="s">
        <v>146</v>
      </c>
      <c r="C322" s="91" t="s">
        <v>791</v>
      </c>
      <c r="D322" s="384"/>
      <c r="E322" s="63">
        <f t="shared" si="12"/>
        <v>0</v>
      </c>
      <c r="F322" s="113" t="s">
        <v>790</v>
      </c>
      <c r="G322" s="141">
        <f t="shared" si="14"/>
        <v>0</v>
      </c>
      <c r="H322" s="98"/>
      <c r="J322" s="91" t="s">
        <v>1346</v>
      </c>
    </row>
    <row r="323" spans="1:10" s="96" customFormat="1" ht="20.399999999999999" customHeight="1">
      <c r="A323" s="374" t="s">
        <v>1036</v>
      </c>
      <c r="B323" s="90" t="s">
        <v>146</v>
      </c>
      <c r="C323" s="91" t="s">
        <v>793</v>
      </c>
      <c r="D323" s="384"/>
      <c r="E323" s="63">
        <f t="shared" si="12"/>
        <v>0</v>
      </c>
      <c r="F323" s="113" t="s">
        <v>792</v>
      </c>
      <c r="G323" s="141">
        <f t="shared" si="14"/>
        <v>0</v>
      </c>
      <c r="H323" s="98"/>
      <c r="J323" s="91" t="s">
        <v>1279</v>
      </c>
    </row>
    <row r="324" spans="1:10" s="96" customFormat="1" ht="21" customHeight="1" thickBot="1">
      <c r="A324" s="374" t="s">
        <v>1037</v>
      </c>
      <c r="B324" s="90" t="s">
        <v>146</v>
      </c>
      <c r="C324" s="91" t="s">
        <v>1038</v>
      </c>
      <c r="D324" s="384"/>
      <c r="E324" s="63">
        <f t="shared" si="12"/>
        <v>0</v>
      </c>
      <c r="F324" s="113" t="s">
        <v>794</v>
      </c>
      <c r="G324" s="141">
        <f t="shared" si="14"/>
        <v>0</v>
      </c>
      <c r="H324" s="98"/>
      <c r="J324" s="91" t="s">
        <v>1280</v>
      </c>
    </row>
    <row r="325" spans="1:10" s="96" customFormat="1" ht="21" customHeight="1" thickBot="1">
      <c r="A325" s="349"/>
      <c r="B325" s="59"/>
      <c r="C325" s="84" t="s">
        <v>33</v>
      </c>
      <c r="D325" s="356"/>
      <c r="E325" s="73" t="e">
        <f>SUM(E299:E319)</f>
        <v>#VALUE!</v>
      </c>
      <c r="F325" s="75"/>
      <c r="G325" s="144"/>
      <c r="H325" s="98"/>
      <c r="J325" s="84" t="s">
        <v>1281</v>
      </c>
    </row>
    <row r="326" spans="1:10" s="96" customFormat="1" ht="20.399999999999999" customHeight="1">
      <c r="A326" s="349"/>
      <c r="B326" s="59"/>
      <c r="C326" s="37"/>
      <c r="D326" s="37"/>
      <c r="E326" s="37"/>
      <c r="F326" s="37"/>
      <c r="G326" s="37"/>
      <c r="H326" s="98"/>
      <c r="J326" s="37"/>
    </row>
    <row r="327" spans="1:10" s="96" customFormat="1" ht="20.399999999999999" hidden="1" customHeight="1">
      <c r="A327" s="349"/>
      <c r="B327" s="59"/>
      <c r="C327" s="84" t="s">
        <v>34</v>
      </c>
      <c r="D327" s="352"/>
      <c r="E327" s="1"/>
      <c r="F327" s="75"/>
      <c r="G327" s="144"/>
      <c r="H327" s="98"/>
      <c r="J327" s="84" t="s">
        <v>34</v>
      </c>
    </row>
    <row r="328" spans="1:10" s="96" customFormat="1" ht="20.399999999999999" hidden="1" customHeight="1">
      <c r="A328" s="349" t="s">
        <v>35</v>
      </c>
      <c r="B328" s="59" t="s">
        <v>157</v>
      </c>
      <c r="C328" s="37" t="s">
        <v>180</v>
      </c>
      <c r="D328" s="358">
        <v>5041.3900000000003</v>
      </c>
      <c r="E328" s="63" t="e">
        <f>D328*#REF!</f>
        <v>#REF!</v>
      </c>
      <c r="F328" s="75"/>
      <c r="G328" s="144"/>
      <c r="H328" s="98"/>
      <c r="J328" s="37" t="s">
        <v>180</v>
      </c>
    </row>
    <row r="329" spans="1:10" s="96" customFormat="1" ht="20.399999999999999" hidden="1" customHeight="1">
      <c r="A329" s="349" t="s">
        <v>36</v>
      </c>
      <c r="B329" s="59" t="s">
        <v>146</v>
      </c>
      <c r="C329" s="37" t="s">
        <v>181</v>
      </c>
      <c r="D329" s="352">
        <v>98.01</v>
      </c>
      <c r="E329" s="63" t="e">
        <f>D329*#REF!</f>
        <v>#REF!</v>
      </c>
      <c r="F329" s="75"/>
      <c r="G329" s="144"/>
      <c r="H329" s="98"/>
      <c r="J329" s="37" t="s">
        <v>181</v>
      </c>
    </row>
    <row r="330" spans="1:10" s="96" customFormat="1" ht="20.399999999999999" hidden="1" customHeight="1">
      <c r="A330" s="349" t="s">
        <v>37</v>
      </c>
      <c r="B330" s="59" t="s">
        <v>146</v>
      </c>
      <c r="C330" s="37" t="s">
        <v>182</v>
      </c>
      <c r="D330" s="352">
        <v>44.72</v>
      </c>
      <c r="E330" s="63" t="e">
        <f>D330*#REF!</f>
        <v>#REF!</v>
      </c>
      <c r="F330" s="75"/>
      <c r="G330" s="144"/>
      <c r="H330" s="98"/>
      <c r="J330" s="37" t="s">
        <v>182</v>
      </c>
    </row>
    <row r="331" spans="1:10" s="96" customFormat="1" ht="20.399999999999999" hidden="1" customHeight="1">
      <c r="A331" s="349" t="s">
        <v>38</v>
      </c>
      <c r="B331" s="59" t="s">
        <v>146</v>
      </c>
      <c r="C331" s="37" t="s">
        <v>183</v>
      </c>
      <c r="D331" s="352">
        <v>447.75</v>
      </c>
      <c r="E331" s="63" t="e">
        <f>D331*#REF!</f>
        <v>#REF!</v>
      </c>
      <c r="F331" s="75"/>
      <c r="G331" s="144"/>
      <c r="H331" s="98"/>
      <c r="J331" s="37" t="s">
        <v>183</v>
      </c>
    </row>
    <row r="332" spans="1:10" s="96" customFormat="1" ht="20.399999999999999" hidden="1" customHeight="1">
      <c r="A332" s="349" t="s">
        <v>39</v>
      </c>
      <c r="B332" s="59" t="s">
        <v>146</v>
      </c>
      <c r="C332" s="37" t="s">
        <v>184</v>
      </c>
      <c r="D332" s="352">
        <v>113.17</v>
      </c>
      <c r="E332" s="63" t="e">
        <f>D332*#REF!</f>
        <v>#REF!</v>
      </c>
      <c r="F332" s="75"/>
      <c r="G332" s="144"/>
      <c r="H332" s="98"/>
      <c r="J332" s="37" t="s">
        <v>1347</v>
      </c>
    </row>
    <row r="333" spans="1:10" s="96" customFormat="1" ht="20.399999999999999" hidden="1" customHeight="1">
      <c r="A333" s="349" t="s">
        <v>40</v>
      </c>
      <c r="B333" s="59" t="s">
        <v>146</v>
      </c>
      <c r="C333" s="37" t="s">
        <v>185</v>
      </c>
      <c r="D333" s="352">
        <v>335.83</v>
      </c>
      <c r="E333" s="63" t="e">
        <f>D333*#REF!</f>
        <v>#REF!</v>
      </c>
      <c r="F333" s="75"/>
      <c r="G333" s="144"/>
      <c r="H333" s="98"/>
      <c r="J333" s="37" t="s">
        <v>185</v>
      </c>
    </row>
    <row r="334" spans="1:10" s="96" customFormat="1" ht="20.399999999999999" hidden="1" customHeight="1">
      <c r="A334" s="349" t="s">
        <v>41</v>
      </c>
      <c r="B334" s="59" t="s">
        <v>146</v>
      </c>
      <c r="C334" s="37" t="s">
        <v>186</v>
      </c>
      <c r="D334" s="352">
        <v>42.69</v>
      </c>
      <c r="E334" s="63" t="e">
        <f>D334*#REF!</f>
        <v>#REF!</v>
      </c>
      <c r="F334" s="75"/>
      <c r="G334" s="144"/>
      <c r="H334" s="98"/>
      <c r="J334" s="37" t="s">
        <v>186</v>
      </c>
    </row>
    <row r="335" spans="1:10" s="96" customFormat="1" ht="20.399999999999999" hidden="1" customHeight="1">
      <c r="A335" s="349" t="s">
        <v>42</v>
      </c>
      <c r="B335" s="59" t="s">
        <v>146</v>
      </c>
      <c r="C335" s="37" t="s">
        <v>187</v>
      </c>
      <c r="D335" s="352">
        <v>98.01</v>
      </c>
      <c r="E335" s="63" t="e">
        <f>D335*#REF!</f>
        <v>#REF!</v>
      </c>
      <c r="F335" s="75"/>
      <c r="G335" s="144"/>
      <c r="H335" s="98"/>
      <c r="J335" s="37" t="s">
        <v>1348</v>
      </c>
    </row>
    <row r="336" spans="1:10" s="96" customFormat="1" ht="20.399999999999999" hidden="1" customHeight="1">
      <c r="A336" s="349" t="s">
        <v>43</v>
      </c>
      <c r="B336" s="59" t="s">
        <v>146</v>
      </c>
      <c r="C336" s="37" t="s">
        <v>188</v>
      </c>
      <c r="D336" s="352">
        <v>420.96</v>
      </c>
      <c r="E336" s="63" t="e">
        <f>D336*#REF!</f>
        <v>#REF!</v>
      </c>
      <c r="F336" s="75"/>
      <c r="G336" s="144"/>
      <c r="H336" s="98"/>
      <c r="J336" s="37" t="s">
        <v>188</v>
      </c>
    </row>
    <row r="337" spans="1:10" s="96" customFormat="1" ht="20.399999999999999" hidden="1" customHeight="1">
      <c r="A337" s="349" t="s">
        <v>44</v>
      </c>
      <c r="B337" s="59" t="s">
        <v>146</v>
      </c>
      <c r="C337" s="37" t="s">
        <v>189</v>
      </c>
      <c r="D337" s="352">
        <v>98.01</v>
      </c>
      <c r="E337" s="63" t="e">
        <f>D337*#REF!</f>
        <v>#REF!</v>
      </c>
      <c r="F337" s="75"/>
      <c r="G337" s="144"/>
      <c r="H337" s="98"/>
      <c r="J337" s="37" t="s">
        <v>189</v>
      </c>
    </row>
    <row r="338" spans="1:10" s="96" customFormat="1" ht="20.399999999999999" hidden="1" customHeight="1">
      <c r="A338" s="349" t="s">
        <v>45</v>
      </c>
      <c r="B338" s="59" t="s">
        <v>146</v>
      </c>
      <c r="C338" s="37" t="s">
        <v>190</v>
      </c>
      <c r="D338" s="352">
        <v>946.19</v>
      </c>
      <c r="E338" s="63" t="e">
        <f>D338*#REF!</f>
        <v>#REF!</v>
      </c>
      <c r="F338" s="75"/>
      <c r="G338" s="144"/>
      <c r="H338" s="98"/>
      <c r="J338" s="37" t="s">
        <v>1349</v>
      </c>
    </row>
    <row r="339" spans="1:10" s="96" customFormat="1" ht="20.399999999999999" hidden="1" customHeight="1">
      <c r="A339" s="349" t="s">
        <v>46</v>
      </c>
      <c r="B339" s="59" t="s">
        <v>146</v>
      </c>
      <c r="C339" s="37" t="s">
        <v>191</v>
      </c>
      <c r="D339" s="358">
        <v>5677.09</v>
      </c>
      <c r="E339" s="63" t="e">
        <f>D339*#REF!</f>
        <v>#REF!</v>
      </c>
      <c r="F339" s="75"/>
      <c r="G339" s="144"/>
      <c r="H339" s="98"/>
      <c r="J339" s="37" t="s">
        <v>191</v>
      </c>
    </row>
    <row r="340" spans="1:10" s="96" customFormat="1" ht="20.399999999999999" hidden="1" customHeight="1">
      <c r="A340" s="349" t="s">
        <v>47</v>
      </c>
      <c r="B340" s="59" t="s">
        <v>146</v>
      </c>
      <c r="C340" s="37" t="s">
        <v>192</v>
      </c>
      <c r="D340" s="352">
        <v>228.91</v>
      </c>
      <c r="E340" s="63" t="e">
        <f>D340*#REF!</f>
        <v>#REF!</v>
      </c>
      <c r="F340" s="75"/>
      <c r="G340" s="144"/>
      <c r="H340" s="98"/>
      <c r="J340" s="37" t="s">
        <v>192</v>
      </c>
    </row>
    <row r="341" spans="1:10" s="96" customFormat="1" ht="30" hidden="1" customHeight="1">
      <c r="A341" s="349" t="s">
        <v>48</v>
      </c>
      <c r="B341" s="59" t="s">
        <v>149</v>
      </c>
      <c r="C341" s="37" t="s">
        <v>193</v>
      </c>
      <c r="D341" s="352">
        <v>42.75</v>
      </c>
      <c r="E341" s="63" t="e">
        <f>D341*#REF!</f>
        <v>#REF!</v>
      </c>
      <c r="F341" s="75"/>
      <c r="G341" s="144"/>
      <c r="H341" s="98"/>
      <c r="J341" s="37" t="s">
        <v>193</v>
      </c>
    </row>
    <row r="342" spans="1:10" s="96" customFormat="1" ht="30" hidden="1" customHeight="1">
      <c r="A342" s="349" t="s">
        <v>49</v>
      </c>
      <c r="B342" s="59" t="s">
        <v>146</v>
      </c>
      <c r="C342" s="37" t="s">
        <v>194</v>
      </c>
      <c r="D342" s="358">
        <v>3847.73</v>
      </c>
      <c r="E342" s="63" t="e">
        <f>D342*#REF!</f>
        <v>#REF!</v>
      </c>
      <c r="F342" s="75"/>
      <c r="G342" s="144"/>
      <c r="H342" s="98"/>
      <c r="J342" s="37" t="s">
        <v>194</v>
      </c>
    </row>
    <row r="343" spans="1:10" s="96" customFormat="1" ht="42.65" hidden="1" customHeight="1" thickBot="1">
      <c r="A343" s="349" t="s">
        <v>50</v>
      </c>
      <c r="B343" s="59" t="s">
        <v>146</v>
      </c>
      <c r="C343" s="37" t="s">
        <v>195</v>
      </c>
      <c r="D343" s="358">
        <v>5142.5200000000004</v>
      </c>
      <c r="E343" s="63" t="e">
        <f>D343*#REF!</f>
        <v>#REF!</v>
      </c>
      <c r="F343" s="75"/>
      <c r="G343" s="144"/>
      <c r="H343" s="98"/>
      <c r="J343" s="37" t="s">
        <v>195</v>
      </c>
    </row>
    <row r="344" spans="1:10" s="96" customFormat="1" ht="21" hidden="1" customHeight="1" thickBot="1">
      <c r="A344" s="349"/>
      <c r="B344" s="59"/>
      <c r="C344" s="84" t="s">
        <v>51</v>
      </c>
      <c r="D344" s="356"/>
      <c r="E344" s="73" t="e">
        <f>SUM(E328:E343)</f>
        <v>#REF!</v>
      </c>
      <c r="F344" s="75"/>
      <c r="G344" s="144"/>
      <c r="H344" s="98"/>
      <c r="J344" s="84" t="s">
        <v>51</v>
      </c>
    </row>
    <row r="345" spans="1:10" s="96" customFormat="1" ht="20.399999999999999" hidden="1" customHeight="1">
      <c r="A345" s="349"/>
      <c r="B345" s="59"/>
      <c r="C345" s="58" t="s">
        <v>52</v>
      </c>
      <c r="D345" s="352"/>
      <c r="E345" s="1"/>
      <c r="F345" s="75"/>
      <c r="G345" s="144"/>
      <c r="H345" s="98"/>
      <c r="J345" s="58" t="s">
        <v>52</v>
      </c>
    </row>
    <row r="346" spans="1:10" s="96" customFormat="1" ht="21" hidden="1" customHeight="1" thickBot="1">
      <c r="A346" s="349"/>
      <c r="B346" s="59"/>
      <c r="C346" s="84"/>
      <c r="D346" s="352"/>
      <c r="E346" s="80"/>
      <c r="F346" s="75"/>
      <c r="G346" s="144"/>
      <c r="H346" s="98"/>
      <c r="J346" s="84"/>
    </row>
    <row r="347" spans="1:10" s="96" customFormat="1" ht="21" hidden="1" customHeight="1" thickBot="1">
      <c r="A347" s="349"/>
      <c r="B347" s="59"/>
      <c r="C347" s="84" t="s">
        <v>53</v>
      </c>
      <c r="D347" s="356"/>
      <c r="E347" s="83" t="e">
        <f>E344+E325+E293+E279+E246+E232+E201+E190+E171+E162+E141+E120+E31+E16</f>
        <v>#REF!</v>
      </c>
      <c r="F347" s="75"/>
      <c r="G347" s="144"/>
      <c r="H347" s="98"/>
      <c r="J347" s="84" t="s">
        <v>1282</v>
      </c>
    </row>
    <row r="348" spans="1:10" s="96" customFormat="1" ht="20.399999999999999" customHeight="1">
      <c r="A348" s="385"/>
      <c r="B348" s="99"/>
      <c r="C348" s="105"/>
      <c r="D348" s="126"/>
      <c r="F348" s="99"/>
      <c r="G348" s="131"/>
      <c r="H348" s="98"/>
      <c r="J348" s="105"/>
    </row>
    <row r="349" spans="1:10" s="96" customFormat="1" ht="20.399999999999999" customHeight="1">
      <c r="A349" s="385"/>
      <c r="B349" s="99"/>
      <c r="C349" s="105"/>
      <c r="D349" s="126"/>
      <c r="F349" s="99"/>
      <c r="G349" s="131"/>
      <c r="H349" s="98"/>
      <c r="J349" s="105"/>
    </row>
    <row r="350" spans="1:10" s="96" customFormat="1" ht="20.399999999999999" customHeight="1">
      <c r="A350" s="385"/>
      <c r="B350" s="99"/>
      <c r="C350" s="105"/>
      <c r="D350" s="126"/>
      <c r="F350" s="99"/>
      <c r="G350" s="131"/>
      <c r="H350" s="98"/>
      <c r="J350" s="105"/>
    </row>
    <row r="351" spans="1:10" s="96" customFormat="1" ht="20.399999999999999" customHeight="1">
      <c r="A351" s="385"/>
      <c r="B351" s="99"/>
      <c r="C351" s="105"/>
      <c r="D351" s="126"/>
      <c r="F351" s="99"/>
      <c r="G351" s="131"/>
      <c r="H351" s="98"/>
      <c r="J351" s="105"/>
    </row>
    <row r="352" spans="1:10" s="96" customFormat="1" ht="20.399999999999999" customHeight="1">
      <c r="A352" s="385"/>
      <c r="B352" s="99"/>
      <c r="C352" s="105"/>
      <c r="D352" s="126"/>
      <c r="F352" s="99"/>
      <c r="G352" s="131"/>
      <c r="H352" s="98"/>
      <c r="J352" s="105"/>
    </row>
    <row r="353" spans="1:10" s="96" customFormat="1" ht="20.399999999999999" customHeight="1">
      <c r="A353" s="385"/>
      <c r="B353" s="99"/>
      <c r="C353" s="105"/>
      <c r="D353" s="126"/>
      <c r="F353" s="99"/>
      <c r="G353" s="131"/>
      <c r="H353" s="98"/>
      <c r="J353" s="105"/>
    </row>
    <row r="354" spans="1:10" s="96" customFormat="1" ht="20.399999999999999" customHeight="1">
      <c r="A354" s="385"/>
      <c r="B354" s="99"/>
      <c r="C354" s="105"/>
      <c r="D354" s="126"/>
      <c r="F354" s="99"/>
      <c r="G354" s="131"/>
      <c r="H354" s="98"/>
      <c r="J354" s="105"/>
    </row>
    <row r="355" spans="1:10" s="96" customFormat="1" ht="20.399999999999999" customHeight="1">
      <c r="A355" s="385"/>
      <c r="B355" s="99"/>
      <c r="C355" s="105"/>
      <c r="D355" s="126"/>
      <c r="F355" s="99"/>
      <c r="G355" s="131"/>
      <c r="H355" s="98"/>
      <c r="J355" s="105"/>
    </row>
    <row r="356" spans="1:10" s="96" customFormat="1" ht="20.399999999999999" customHeight="1">
      <c r="A356" s="385"/>
      <c r="B356" s="99"/>
      <c r="C356" s="105"/>
      <c r="D356" s="126"/>
      <c r="F356" s="99"/>
      <c r="G356" s="131"/>
      <c r="H356" s="98"/>
      <c r="J356" s="105"/>
    </row>
    <row r="357" spans="1:10" s="96" customFormat="1" ht="20.399999999999999" customHeight="1">
      <c r="A357" s="385"/>
      <c r="B357" s="99"/>
      <c r="C357" s="105"/>
      <c r="D357" s="126"/>
      <c r="F357" s="99"/>
      <c r="G357" s="131"/>
      <c r="H357" s="98"/>
      <c r="J357" s="105"/>
    </row>
    <row r="358" spans="1:10" s="96" customFormat="1" ht="20.399999999999999" customHeight="1">
      <c r="A358" s="385"/>
      <c r="B358" s="99"/>
      <c r="C358" s="105"/>
      <c r="D358" s="126"/>
      <c r="F358" s="99"/>
      <c r="G358" s="131"/>
      <c r="H358" s="98"/>
      <c r="J358" s="105"/>
    </row>
    <row r="359" spans="1:10" s="96" customFormat="1" ht="20.399999999999999" customHeight="1">
      <c r="A359" s="385"/>
      <c r="B359" s="99"/>
      <c r="C359" s="105"/>
      <c r="D359" s="126"/>
      <c r="F359" s="99"/>
      <c r="G359" s="131"/>
      <c r="H359" s="98"/>
      <c r="J359" s="105"/>
    </row>
    <row r="360" spans="1:10" s="96" customFormat="1" ht="20.399999999999999" customHeight="1">
      <c r="A360" s="385"/>
      <c r="B360" s="99"/>
      <c r="C360" s="105"/>
      <c r="D360" s="126"/>
      <c r="F360" s="99"/>
      <c r="G360" s="131"/>
      <c r="H360" s="98"/>
      <c r="J360" s="105"/>
    </row>
    <row r="361" spans="1:10" s="96" customFormat="1" ht="20.399999999999999" customHeight="1">
      <c r="A361" s="385"/>
      <c r="B361" s="99"/>
      <c r="C361" s="105"/>
      <c r="D361" s="126"/>
      <c r="F361" s="99"/>
      <c r="G361" s="131"/>
      <c r="H361" s="98"/>
      <c r="J361" s="105"/>
    </row>
    <row r="362" spans="1:10" s="96" customFormat="1" ht="20.399999999999999" customHeight="1">
      <c r="A362" s="385"/>
      <c r="B362" s="99"/>
      <c r="C362" s="105"/>
      <c r="D362" s="126"/>
      <c r="F362" s="99"/>
      <c r="G362" s="131"/>
      <c r="H362" s="98"/>
      <c r="J362" s="105"/>
    </row>
    <row r="363" spans="1:10" s="96" customFormat="1" ht="20.399999999999999" customHeight="1">
      <c r="A363" s="385"/>
      <c r="B363" s="99"/>
      <c r="C363" s="105"/>
      <c r="D363" s="126"/>
      <c r="F363" s="99"/>
      <c r="G363" s="131"/>
      <c r="H363" s="98"/>
      <c r="J363" s="105"/>
    </row>
    <row r="364" spans="1:10" s="96" customFormat="1" ht="20.399999999999999" customHeight="1">
      <c r="A364" s="385"/>
      <c r="B364" s="99"/>
      <c r="C364" s="105"/>
      <c r="D364" s="126"/>
      <c r="F364" s="99"/>
      <c r="G364" s="131"/>
      <c r="H364" s="98"/>
      <c r="J364" s="105"/>
    </row>
    <row r="365" spans="1:10" s="96" customFormat="1" ht="20.399999999999999" customHeight="1">
      <c r="A365" s="385"/>
      <c r="B365" s="99"/>
      <c r="C365" s="105"/>
      <c r="D365" s="126"/>
      <c r="F365" s="99"/>
      <c r="G365" s="131"/>
      <c r="H365" s="98"/>
      <c r="J365" s="105"/>
    </row>
    <row r="366" spans="1:10" s="96" customFormat="1" ht="20.399999999999999" customHeight="1">
      <c r="A366" s="385"/>
      <c r="B366" s="99"/>
      <c r="C366" s="105"/>
      <c r="D366" s="126"/>
      <c r="F366" s="99"/>
      <c r="G366" s="131"/>
      <c r="H366" s="98"/>
      <c r="J366" s="105"/>
    </row>
    <row r="367" spans="1:10" s="96" customFormat="1" ht="20.399999999999999" customHeight="1">
      <c r="A367" s="385"/>
      <c r="B367" s="99"/>
      <c r="C367" s="105"/>
      <c r="D367" s="126"/>
      <c r="F367" s="99"/>
      <c r="G367" s="131"/>
      <c r="H367" s="98"/>
      <c r="J367" s="105"/>
    </row>
    <row r="368" spans="1:10" s="96" customFormat="1" ht="20.399999999999999" customHeight="1">
      <c r="A368" s="385"/>
      <c r="B368" s="99"/>
      <c r="C368" s="105"/>
      <c r="D368" s="126"/>
      <c r="F368" s="99"/>
      <c r="G368" s="131"/>
      <c r="H368" s="98"/>
      <c r="J368" s="105"/>
    </row>
    <row r="369" spans="1:10" s="96" customFormat="1" ht="20.399999999999999" customHeight="1">
      <c r="A369" s="385"/>
      <c r="B369" s="99"/>
      <c r="C369" s="105"/>
      <c r="D369" s="126"/>
      <c r="F369" s="99"/>
      <c r="G369" s="131"/>
      <c r="H369" s="98"/>
      <c r="J369" s="105"/>
    </row>
    <row r="370" spans="1:10" s="96" customFormat="1" ht="20.399999999999999" customHeight="1">
      <c r="A370" s="385"/>
      <c r="B370" s="99"/>
      <c r="C370" s="105"/>
      <c r="D370" s="126"/>
      <c r="F370" s="99"/>
      <c r="G370" s="131"/>
      <c r="H370" s="98"/>
      <c r="J370" s="105"/>
    </row>
    <row r="371" spans="1:10" s="96" customFormat="1" ht="20.399999999999999" customHeight="1">
      <c r="A371" s="385"/>
      <c r="B371" s="99"/>
      <c r="C371" s="105"/>
      <c r="D371" s="126"/>
      <c r="F371" s="99"/>
      <c r="G371" s="131"/>
      <c r="H371" s="98"/>
      <c r="J371" s="105"/>
    </row>
    <row r="372" spans="1:10" s="96" customFormat="1" ht="20.399999999999999" customHeight="1">
      <c r="A372" s="385"/>
      <c r="B372" s="99"/>
      <c r="C372" s="105"/>
      <c r="D372" s="126"/>
      <c r="F372" s="99"/>
      <c r="G372" s="131"/>
      <c r="H372" s="98"/>
      <c r="J372" s="105"/>
    </row>
    <row r="373" spans="1:10" s="96" customFormat="1" ht="20.399999999999999" customHeight="1">
      <c r="A373" s="385"/>
      <c r="B373" s="99"/>
      <c r="C373" s="105"/>
      <c r="D373" s="126"/>
      <c r="F373" s="99"/>
      <c r="G373" s="131"/>
      <c r="H373" s="98"/>
      <c r="J373" s="105"/>
    </row>
    <row r="374" spans="1:10" s="96" customFormat="1" ht="20.399999999999999" customHeight="1">
      <c r="A374" s="385"/>
      <c r="B374" s="99"/>
      <c r="C374" s="105"/>
      <c r="D374" s="126"/>
      <c r="F374" s="99"/>
      <c r="G374" s="131"/>
      <c r="H374" s="98"/>
      <c r="J374" s="105"/>
    </row>
    <row r="375" spans="1:10" s="96" customFormat="1" ht="20.399999999999999" customHeight="1">
      <c r="A375" s="385"/>
      <c r="B375" s="99"/>
      <c r="C375" s="105"/>
      <c r="D375" s="126"/>
      <c r="F375" s="99"/>
      <c r="G375" s="131"/>
      <c r="H375" s="98"/>
      <c r="J375" s="105"/>
    </row>
    <row r="376" spans="1:10" s="96" customFormat="1" ht="20.399999999999999" customHeight="1">
      <c r="A376" s="385"/>
      <c r="B376" s="99"/>
      <c r="C376" s="105"/>
      <c r="D376" s="126"/>
      <c r="F376" s="99"/>
      <c r="G376" s="131"/>
      <c r="H376" s="98"/>
      <c r="J376" s="105"/>
    </row>
    <row r="377" spans="1:10" s="96" customFormat="1" ht="20.399999999999999" customHeight="1">
      <c r="A377" s="385"/>
      <c r="B377" s="99"/>
      <c r="C377" s="105"/>
      <c r="D377" s="126"/>
      <c r="F377" s="99"/>
      <c r="G377" s="131"/>
      <c r="H377" s="98"/>
      <c r="J377" s="105"/>
    </row>
    <row r="378" spans="1:10" s="96" customFormat="1" ht="20.399999999999999" customHeight="1">
      <c r="A378" s="385"/>
      <c r="B378" s="99"/>
      <c r="C378" s="105"/>
      <c r="D378" s="126"/>
      <c r="F378" s="99"/>
      <c r="G378" s="131"/>
      <c r="H378" s="98"/>
      <c r="J378" s="105"/>
    </row>
    <row r="379" spans="1:10" s="96" customFormat="1" ht="20.399999999999999" customHeight="1">
      <c r="A379" s="385"/>
      <c r="B379" s="99"/>
      <c r="C379" s="105"/>
      <c r="D379" s="126"/>
      <c r="F379" s="99"/>
      <c r="G379" s="131"/>
      <c r="H379" s="98"/>
      <c r="J379" s="105"/>
    </row>
    <row r="380" spans="1:10" s="96" customFormat="1" ht="20.399999999999999" customHeight="1">
      <c r="A380" s="385"/>
      <c r="B380" s="99"/>
      <c r="C380" s="105"/>
      <c r="D380" s="126"/>
      <c r="F380" s="99"/>
      <c r="G380" s="131"/>
      <c r="H380" s="98"/>
      <c r="J380" s="105"/>
    </row>
    <row r="381" spans="1:10" s="96" customFormat="1" ht="20.399999999999999" customHeight="1">
      <c r="A381" s="385"/>
      <c r="B381" s="99"/>
      <c r="C381" s="105"/>
      <c r="D381" s="126"/>
      <c r="F381" s="99"/>
      <c r="G381" s="131"/>
      <c r="H381" s="98"/>
      <c r="J381" s="105"/>
    </row>
    <row r="382" spans="1:10" s="96" customFormat="1" ht="20.399999999999999" customHeight="1">
      <c r="A382" s="385"/>
      <c r="B382" s="99"/>
      <c r="C382" s="105"/>
      <c r="D382" s="126"/>
      <c r="F382" s="99"/>
      <c r="G382" s="131"/>
      <c r="H382" s="98"/>
      <c r="J382" s="105"/>
    </row>
    <row r="383" spans="1:10" s="96" customFormat="1" ht="20.399999999999999" customHeight="1">
      <c r="A383" s="385"/>
      <c r="B383" s="99"/>
      <c r="C383" s="105"/>
      <c r="D383" s="126"/>
      <c r="F383" s="99"/>
      <c r="G383" s="131"/>
      <c r="H383" s="98"/>
      <c r="J383" s="105"/>
    </row>
    <row r="384" spans="1:10" s="96" customFormat="1" ht="20.399999999999999" customHeight="1">
      <c r="A384" s="385"/>
      <c r="B384" s="99"/>
      <c r="C384" s="105"/>
      <c r="D384" s="126"/>
      <c r="F384" s="99"/>
      <c r="G384" s="131"/>
      <c r="H384" s="98"/>
      <c r="J384" s="105"/>
    </row>
    <row r="385" spans="1:10" s="96" customFormat="1" ht="20.399999999999999" customHeight="1">
      <c r="A385" s="385"/>
      <c r="B385" s="99"/>
      <c r="C385" s="105"/>
      <c r="D385" s="126"/>
      <c r="F385" s="99"/>
      <c r="G385" s="131"/>
      <c r="H385" s="98"/>
      <c r="J385" s="105"/>
    </row>
    <row r="386" spans="1:10" s="96" customFormat="1" ht="20.399999999999999" customHeight="1">
      <c r="A386" s="385"/>
      <c r="B386" s="99"/>
      <c r="C386" s="105"/>
      <c r="D386" s="126"/>
      <c r="F386" s="99"/>
      <c r="G386" s="131"/>
      <c r="H386" s="98"/>
      <c r="J386" s="105"/>
    </row>
    <row r="387" spans="1:10" s="96" customFormat="1" ht="20.399999999999999" customHeight="1">
      <c r="A387" s="385"/>
      <c r="B387" s="99"/>
      <c r="C387" s="105"/>
      <c r="D387" s="126"/>
      <c r="F387" s="99"/>
      <c r="G387" s="131"/>
      <c r="H387" s="98"/>
      <c r="J387" s="105"/>
    </row>
    <row r="388" spans="1:10" s="96" customFormat="1" ht="20.399999999999999" customHeight="1">
      <c r="A388" s="385"/>
      <c r="B388" s="99"/>
      <c r="C388" s="105"/>
      <c r="D388" s="126"/>
      <c r="F388" s="99"/>
      <c r="G388" s="131"/>
      <c r="H388" s="98"/>
      <c r="J388" s="105"/>
    </row>
    <row r="389" spans="1:10" s="96" customFormat="1" ht="20.399999999999999" customHeight="1">
      <c r="A389" s="385"/>
      <c r="B389" s="99"/>
      <c r="C389" s="105"/>
      <c r="D389" s="126"/>
      <c r="F389" s="99"/>
      <c r="G389" s="131"/>
      <c r="H389" s="98"/>
      <c r="J389" s="105"/>
    </row>
    <row r="390" spans="1:10" s="96" customFormat="1" ht="20.399999999999999" customHeight="1">
      <c r="A390" s="385"/>
      <c r="B390" s="99"/>
      <c r="C390" s="105"/>
      <c r="D390" s="126"/>
      <c r="F390" s="99"/>
      <c r="G390" s="131"/>
      <c r="H390" s="98"/>
      <c r="J390" s="105"/>
    </row>
    <row r="391" spans="1:10" s="96" customFormat="1" ht="20.399999999999999" customHeight="1">
      <c r="A391" s="385"/>
      <c r="B391" s="99"/>
      <c r="C391" s="105"/>
      <c r="D391" s="126"/>
      <c r="F391" s="99"/>
      <c r="G391" s="131"/>
      <c r="H391" s="98"/>
      <c r="J391" s="105"/>
    </row>
    <row r="392" spans="1:10" s="96" customFormat="1" ht="20.399999999999999" customHeight="1">
      <c r="A392" s="385"/>
      <c r="B392" s="99"/>
      <c r="C392" s="105"/>
      <c r="D392" s="126"/>
      <c r="F392" s="99"/>
      <c r="G392" s="131"/>
      <c r="H392" s="98"/>
      <c r="J392" s="105"/>
    </row>
    <row r="393" spans="1:10" s="96" customFormat="1" ht="20.399999999999999" customHeight="1">
      <c r="A393" s="385"/>
      <c r="B393" s="99"/>
      <c r="C393" s="105"/>
      <c r="D393" s="126"/>
      <c r="F393" s="99"/>
      <c r="G393" s="131"/>
      <c r="H393" s="98"/>
      <c r="J393" s="105"/>
    </row>
    <row r="394" spans="1:10" s="96" customFormat="1" ht="20.399999999999999" customHeight="1">
      <c r="A394" s="385"/>
      <c r="B394" s="99"/>
      <c r="C394" s="105"/>
      <c r="D394" s="126"/>
      <c r="F394" s="99"/>
      <c r="G394" s="131"/>
      <c r="H394" s="98"/>
      <c r="J394" s="105"/>
    </row>
    <row r="395" spans="1:10" s="96" customFormat="1" ht="20.399999999999999" customHeight="1">
      <c r="A395" s="385"/>
      <c r="B395" s="99"/>
      <c r="C395" s="105"/>
      <c r="D395" s="126"/>
      <c r="F395" s="99"/>
      <c r="G395" s="131"/>
      <c r="H395" s="98"/>
      <c r="J395" s="105"/>
    </row>
    <row r="396" spans="1:10" s="96" customFormat="1" ht="20.399999999999999" customHeight="1">
      <c r="A396" s="385"/>
      <c r="B396" s="99"/>
      <c r="C396" s="105"/>
      <c r="D396" s="126"/>
      <c r="F396" s="99"/>
      <c r="G396" s="131"/>
      <c r="H396" s="98"/>
      <c r="J396" s="105"/>
    </row>
    <row r="397" spans="1:10" s="96" customFormat="1" ht="20.399999999999999" customHeight="1">
      <c r="A397" s="385"/>
      <c r="B397" s="99"/>
      <c r="C397" s="105"/>
      <c r="D397" s="126"/>
      <c r="F397" s="99"/>
      <c r="G397" s="131"/>
      <c r="H397" s="98"/>
      <c r="J397" s="105"/>
    </row>
    <row r="398" spans="1:10" s="96" customFormat="1" ht="20.399999999999999" customHeight="1">
      <c r="A398" s="385"/>
      <c r="B398" s="99"/>
      <c r="C398" s="105"/>
      <c r="D398" s="126"/>
      <c r="F398" s="99"/>
      <c r="G398" s="131"/>
      <c r="H398" s="98"/>
      <c r="J398" s="105"/>
    </row>
    <row r="399" spans="1:10" s="96" customFormat="1" ht="20.399999999999999" customHeight="1">
      <c r="A399" s="385"/>
      <c r="B399" s="99"/>
      <c r="C399" s="105"/>
      <c r="D399" s="126"/>
      <c r="F399" s="99"/>
      <c r="G399" s="131"/>
      <c r="H399" s="98"/>
      <c r="J399" s="105"/>
    </row>
    <row r="400" spans="1:10" s="96" customFormat="1" ht="20.399999999999999" customHeight="1">
      <c r="A400" s="385"/>
      <c r="B400" s="99"/>
      <c r="C400" s="105"/>
      <c r="D400" s="126"/>
      <c r="F400" s="99"/>
      <c r="G400" s="131"/>
      <c r="H400" s="98"/>
      <c r="J400" s="105"/>
    </row>
    <row r="401" spans="1:10" s="96" customFormat="1" ht="20.399999999999999" customHeight="1">
      <c r="A401" s="385"/>
      <c r="B401" s="99"/>
      <c r="C401" s="105"/>
      <c r="D401" s="126"/>
      <c r="F401" s="99"/>
      <c r="G401" s="131"/>
      <c r="H401" s="98"/>
      <c r="J401" s="105"/>
    </row>
    <row r="402" spans="1:10" s="96" customFormat="1" ht="20.399999999999999" customHeight="1">
      <c r="A402" s="385"/>
      <c r="B402" s="99"/>
      <c r="C402" s="105"/>
      <c r="D402" s="126"/>
      <c r="F402" s="99"/>
      <c r="G402" s="131"/>
      <c r="H402" s="98"/>
      <c r="J402" s="105"/>
    </row>
    <row r="403" spans="1:10" s="96" customFormat="1" ht="20.399999999999999" customHeight="1">
      <c r="A403" s="385"/>
      <c r="B403" s="99"/>
      <c r="C403" s="105"/>
      <c r="D403" s="126"/>
      <c r="F403" s="99"/>
      <c r="G403" s="131"/>
      <c r="H403" s="98"/>
      <c r="J403" s="105"/>
    </row>
    <row r="404" spans="1:10" s="96" customFormat="1" ht="20.399999999999999" customHeight="1">
      <c r="A404" s="385"/>
      <c r="B404" s="99"/>
      <c r="C404" s="105"/>
      <c r="D404" s="126"/>
      <c r="F404" s="99"/>
      <c r="G404" s="131"/>
      <c r="H404" s="98"/>
      <c r="J404" s="105"/>
    </row>
    <row r="405" spans="1:10" s="96" customFormat="1" ht="20.399999999999999" customHeight="1">
      <c r="A405" s="385"/>
      <c r="B405" s="99"/>
      <c r="C405" s="105"/>
      <c r="D405" s="126"/>
      <c r="F405" s="99"/>
      <c r="G405" s="131"/>
      <c r="H405" s="98"/>
      <c r="J405" s="105"/>
    </row>
    <row r="406" spans="1:10" s="96" customFormat="1" ht="20.399999999999999" customHeight="1">
      <c r="A406" s="385"/>
      <c r="B406" s="99"/>
      <c r="C406" s="105"/>
      <c r="D406" s="126"/>
      <c r="F406" s="99"/>
      <c r="G406" s="131"/>
      <c r="H406" s="98"/>
      <c r="J406" s="105"/>
    </row>
    <row r="407" spans="1:10" s="96" customFormat="1" ht="20.399999999999999" customHeight="1">
      <c r="A407" s="385"/>
      <c r="B407" s="99"/>
      <c r="C407" s="105"/>
      <c r="D407" s="126"/>
      <c r="F407" s="99"/>
      <c r="G407" s="131"/>
      <c r="H407" s="98"/>
      <c r="J407" s="105"/>
    </row>
    <row r="408" spans="1:10" s="96" customFormat="1" ht="20.399999999999999" customHeight="1">
      <c r="A408" s="385"/>
      <c r="B408" s="99"/>
      <c r="C408" s="105"/>
      <c r="D408" s="126"/>
      <c r="F408" s="99"/>
      <c r="G408" s="131"/>
      <c r="H408" s="98"/>
      <c r="J408" s="105"/>
    </row>
    <row r="409" spans="1:10" s="96" customFormat="1" ht="20.399999999999999" customHeight="1">
      <c r="A409" s="385"/>
      <c r="B409" s="99"/>
      <c r="C409" s="105"/>
      <c r="D409" s="126"/>
      <c r="F409" s="99"/>
      <c r="G409" s="131"/>
      <c r="H409" s="98"/>
      <c r="J409" s="105"/>
    </row>
    <row r="410" spans="1:10" s="96" customFormat="1" ht="20.399999999999999" customHeight="1">
      <c r="A410" s="385"/>
      <c r="B410" s="99"/>
      <c r="C410" s="105"/>
      <c r="D410" s="126"/>
      <c r="F410" s="99"/>
      <c r="G410" s="131"/>
      <c r="H410" s="98"/>
      <c r="J410" s="105"/>
    </row>
    <row r="411" spans="1:10" s="96" customFormat="1" ht="20.399999999999999" customHeight="1">
      <c r="A411" s="385"/>
      <c r="B411" s="99"/>
      <c r="C411" s="105"/>
      <c r="D411" s="126"/>
      <c r="F411" s="99"/>
      <c r="G411" s="131"/>
      <c r="H411" s="98"/>
      <c r="J411" s="105"/>
    </row>
    <row r="412" spans="1:10" s="96" customFormat="1" ht="20.399999999999999" customHeight="1">
      <c r="A412" s="385"/>
      <c r="B412" s="99"/>
      <c r="C412" s="105"/>
      <c r="D412" s="126"/>
      <c r="F412" s="99"/>
      <c r="G412" s="131"/>
      <c r="H412" s="98"/>
      <c r="J412" s="105"/>
    </row>
    <row r="413" spans="1:10" s="96" customFormat="1" ht="20.399999999999999" customHeight="1">
      <c r="A413" s="385"/>
      <c r="B413" s="99"/>
      <c r="C413" s="105"/>
      <c r="D413" s="126"/>
      <c r="F413" s="99"/>
      <c r="G413" s="131"/>
      <c r="H413" s="98"/>
      <c r="J413" s="105"/>
    </row>
    <row r="414" spans="1:10" s="96" customFormat="1" ht="20.399999999999999" customHeight="1">
      <c r="A414" s="385"/>
      <c r="B414" s="99"/>
      <c r="C414" s="105"/>
      <c r="D414" s="126"/>
      <c r="F414" s="99"/>
      <c r="G414" s="131"/>
      <c r="H414" s="98"/>
      <c r="J414" s="105"/>
    </row>
    <row r="415" spans="1:10" s="96" customFormat="1" ht="20.399999999999999" customHeight="1">
      <c r="A415" s="385"/>
      <c r="B415" s="99"/>
      <c r="C415" s="105"/>
      <c r="D415" s="126"/>
      <c r="F415" s="99"/>
      <c r="G415" s="131"/>
      <c r="H415" s="98"/>
      <c r="J415" s="105"/>
    </row>
    <row r="416" spans="1:10" s="96" customFormat="1" ht="20.399999999999999" customHeight="1">
      <c r="A416" s="385"/>
      <c r="B416" s="99"/>
      <c r="C416" s="105"/>
      <c r="D416" s="126"/>
      <c r="F416" s="99"/>
      <c r="G416" s="131"/>
      <c r="H416" s="98"/>
      <c r="J416" s="105"/>
    </row>
    <row r="417" spans="1:10" s="96" customFormat="1" ht="20.399999999999999" customHeight="1">
      <c r="A417" s="385"/>
      <c r="B417" s="99"/>
      <c r="C417" s="105"/>
      <c r="D417" s="126"/>
      <c r="F417" s="99"/>
      <c r="G417" s="131"/>
      <c r="H417" s="98"/>
      <c r="J417" s="105"/>
    </row>
    <row r="418" spans="1:10" s="96" customFormat="1" ht="20.399999999999999" customHeight="1">
      <c r="A418" s="385"/>
      <c r="B418" s="99"/>
      <c r="C418" s="105"/>
      <c r="D418" s="126"/>
      <c r="F418" s="99"/>
      <c r="G418" s="131"/>
      <c r="H418" s="98"/>
      <c r="J418" s="105"/>
    </row>
    <row r="419" spans="1:10" s="96" customFormat="1" ht="20.399999999999999" customHeight="1">
      <c r="A419" s="385"/>
      <c r="B419" s="99"/>
      <c r="C419" s="105"/>
      <c r="D419" s="126"/>
      <c r="F419" s="99"/>
      <c r="G419" s="131"/>
      <c r="H419" s="98"/>
      <c r="J419" s="105"/>
    </row>
    <row r="420" spans="1:10" s="96" customFormat="1" ht="20.399999999999999" customHeight="1">
      <c r="A420" s="385"/>
      <c r="B420" s="99"/>
      <c r="C420" s="105"/>
      <c r="D420" s="126"/>
      <c r="F420" s="99"/>
      <c r="G420" s="131"/>
      <c r="H420" s="98"/>
      <c r="J420" s="105"/>
    </row>
    <row r="421" spans="1:10" s="96" customFormat="1" ht="20.399999999999999" customHeight="1">
      <c r="A421" s="385"/>
      <c r="B421" s="99"/>
      <c r="C421" s="105"/>
      <c r="D421" s="126"/>
      <c r="F421" s="99"/>
      <c r="G421" s="131"/>
      <c r="H421" s="98"/>
      <c r="J421" s="105"/>
    </row>
    <row r="422" spans="1:10" s="96" customFormat="1" ht="20.399999999999999" customHeight="1">
      <c r="A422" s="385"/>
      <c r="B422" s="99"/>
      <c r="C422" s="105"/>
      <c r="D422" s="126"/>
      <c r="F422" s="99"/>
      <c r="G422" s="131"/>
      <c r="H422" s="98"/>
      <c r="J422" s="105"/>
    </row>
    <row r="423" spans="1:10" s="96" customFormat="1" ht="20.399999999999999" customHeight="1">
      <c r="A423" s="385"/>
      <c r="B423" s="99"/>
      <c r="C423" s="105"/>
      <c r="D423" s="126"/>
      <c r="F423" s="99"/>
      <c r="G423" s="131"/>
      <c r="H423" s="98"/>
      <c r="J423" s="105"/>
    </row>
    <row r="424" spans="1:10" s="96" customFormat="1" ht="20.399999999999999" customHeight="1">
      <c r="A424" s="385"/>
      <c r="B424" s="99"/>
      <c r="C424" s="105"/>
      <c r="D424" s="126"/>
      <c r="F424" s="99"/>
      <c r="G424" s="131"/>
      <c r="H424" s="98"/>
      <c r="J424" s="105"/>
    </row>
    <row r="425" spans="1:10" s="96" customFormat="1" ht="20.399999999999999" customHeight="1">
      <c r="A425" s="385"/>
      <c r="B425" s="99"/>
      <c r="C425" s="105"/>
      <c r="D425" s="126"/>
      <c r="F425" s="99"/>
      <c r="G425" s="131"/>
      <c r="H425" s="98"/>
      <c r="J425" s="105"/>
    </row>
    <row r="426" spans="1:10" s="96" customFormat="1" ht="20.399999999999999" customHeight="1">
      <c r="A426" s="385"/>
      <c r="B426" s="99"/>
      <c r="C426" s="105"/>
      <c r="D426" s="126"/>
      <c r="F426" s="99"/>
      <c r="G426" s="131"/>
      <c r="H426" s="98"/>
      <c r="J426" s="105"/>
    </row>
    <row r="427" spans="1:10" s="96" customFormat="1" ht="20.399999999999999" customHeight="1">
      <c r="A427" s="385"/>
      <c r="B427" s="99"/>
      <c r="C427" s="105"/>
      <c r="D427" s="126"/>
      <c r="F427" s="99"/>
      <c r="G427" s="131"/>
      <c r="H427" s="98"/>
      <c r="J427" s="105"/>
    </row>
    <row r="428" spans="1:10" s="96" customFormat="1" ht="20.399999999999999" customHeight="1">
      <c r="A428" s="385"/>
      <c r="B428" s="99"/>
      <c r="C428" s="105"/>
      <c r="D428" s="126"/>
      <c r="F428" s="99"/>
      <c r="G428" s="131"/>
      <c r="H428" s="98"/>
      <c r="J428" s="105"/>
    </row>
    <row r="429" spans="1:10" s="96" customFormat="1" ht="20.399999999999999" customHeight="1">
      <c r="A429" s="385"/>
      <c r="B429" s="99"/>
      <c r="C429" s="105"/>
      <c r="D429" s="126"/>
      <c r="F429" s="99"/>
      <c r="G429" s="131"/>
      <c r="H429" s="98"/>
      <c r="J429" s="105"/>
    </row>
    <row r="430" spans="1:10" s="96" customFormat="1" ht="20.399999999999999" customHeight="1">
      <c r="A430" s="385"/>
      <c r="B430" s="99"/>
      <c r="C430" s="105"/>
      <c r="D430" s="126"/>
      <c r="F430" s="99"/>
      <c r="G430" s="131"/>
      <c r="H430" s="98"/>
      <c r="J430" s="105"/>
    </row>
    <row r="431" spans="1:10" s="96" customFormat="1" ht="20.399999999999999" customHeight="1">
      <c r="A431" s="385"/>
      <c r="B431" s="99"/>
      <c r="C431" s="105"/>
      <c r="D431" s="126"/>
      <c r="F431" s="99"/>
      <c r="G431" s="131"/>
      <c r="H431" s="98"/>
      <c r="J431" s="105"/>
    </row>
    <row r="432" spans="1:10" s="96" customFormat="1" ht="20.399999999999999" customHeight="1">
      <c r="A432" s="385"/>
      <c r="B432" s="99"/>
      <c r="C432" s="105"/>
      <c r="D432" s="126"/>
      <c r="F432" s="99"/>
      <c r="G432" s="131"/>
      <c r="H432" s="98"/>
      <c r="J432" s="105"/>
    </row>
    <row r="433" spans="1:10" s="96" customFormat="1" ht="20.399999999999999" customHeight="1">
      <c r="A433" s="385"/>
      <c r="B433" s="99"/>
      <c r="C433" s="105"/>
      <c r="D433" s="126"/>
      <c r="F433" s="99"/>
      <c r="G433" s="131"/>
      <c r="H433" s="98"/>
      <c r="J433" s="105"/>
    </row>
    <row r="434" spans="1:10" s="96" customFormat="1" ht="20.399999999999999" customHeight="1">
      <c r="A434" s="385"/>
      <c r="B434" s="99"/>
      <c r="C434" s="105"/>
      <c r="D434" s="126"/>
      <c r="F434" s="99"/>
      <c r="G434" s="131"/>
      <c r="H434" s="98"/>
      <c r="J434" s="105"/>
    </row>
    <row r="435" spans="1:10" s="96" customFormat="1" ht="20.399999999999999" customHeight="1">
      <c r="A435" s="385"/>
      <c r="B435" s="99"/>
      <c r="C435" s="105"/>
      <c r="D435" s="126"/>
      <c r="F435" s="99"/>
      <c r="G435" s="131"/>
      <c r="H435" s="98"/>
      <c r="J435" s="105"/>
    </row>
    <row r="436" spans="1:10" s="96" customFormat="1" ht="20.399999999999999" customHeight="1">
      <c r="A436" s="385"/>
      <c r="B436" s="99"/>
      <c r="C436" s="105"/>
      <c r="D436" s="126"/>
      <c r="F436" s="99"/>
      <c r="G436" s="131"/>
      <c r="H436" s="98"/>
      <c r="J436" s="105"/>
    </row>
    <row r="437" spans="1:10" s="96" customFormat="1" ht="20.399999999999999" customHeight="1">
      <c r="A437" s="385"/>
      <c r="B437" s="99"/>
      <c r="C437" s="105"/>
      <c r="D437" s="126"/>
      <c r="F437" s="99"/>
      <c r="G437" s="131"/>
      <c r="H437" s="98"/>
      <c r="J437" s="105"/>
    </row>
    <row r="438" spans="1:10" s="96" customFormat="1" ht="20.399999999999999" customHeight="1">
      <c r="A438" s="385"/>
      <c r="B438" s="99"/>
      <c r="C438" s="105"/>
      <c r="D438" s="126"/>
      <c r="F438" s="99"/>
      <c r="G438" s="131"/>
      <c r="H438" s="98"/>
      <c r="J438" s="105"/>
    </row>
    <row r="439" spans="1:10" s="96" customFormat="1" ht="20.399999999999999" customHeight="1">
      <c r="A439" s="385"/>
      <c r="B439" s="99"/>
      <c r="C439" s="105"/>
      <c r="D439" s="126"/>
      <c r="F439" s="99"/>
      <c r="G439" s="131"/>
      <c r="H439" s="98"/>
      <c r="J439" s="105"/>
    </row>
    <row r="440" spans="1:10" s="96" customFormat="1" ht="20.399999999999999" customHeight="1">
      <c r="A440" s="385"/>
      <c r="B440" s="99"/>
      <c r="C440" s="105"/>
      <c r="D440" s="126"/>
      <c r="F440" s="99"/>
      <c r="G440" s="131"/>
      <c r="H440" s="98"/>
      <c r="J440" s="105"/>
    </row>
    <row r="441" spans="1:10" s="96" customFormat="1" ht="20.399999999999999" customHeight="1">
      <c r="A441" s="385"/>
      <c r="B441" s="99"/>
      <c r="C441" s="105"/>
      <c r="D441" s="126"/>
      <c r="F441" s="99"/>
      <c r="G441" s="131"/>
      <c r="H441" s="98"/>
      <c r="J441" s="105"/>
    </row>
    <row r="442" spans="1:10" s="96" customFormat="1" ht="20.399999999999999" customHeight="1">
      <c r="A442" s="385"/>
      <c r="B442" s="99"/>
      <c r="C442" s="105"/>
      <c r="D442" s="126"/>
      <c r="F442" s="99"/>
      <c r="G442" s="131"/>
      <c r="H442" s="98"/>
      <c r="J442" s="105"/>
    </row>
    <row r="443" spans="1:10" s="96" customFormat="1" ht="20.399999999999999" customHeight="1">
      <c r="A443" s="385"/>
      <c r="B443" s="99"/>
      <c r="C443" s="105"/>
      <c r="D443" s="126"/>
      <c r="F443" s="99"/>
      <c r="G443" s="131"/>
      <c r="H443" s="98"/>
      <c r="J443" s="105"/>
    </row>
    <row r="444" spans="1:10" s="96" customFormat="1" ht="20.399999999999999" customHeight="1">
      <c r="A444" s="385"/>
      <c r="B444" s="99"/>
      <c r="C444" s="105"/>
      <c r="D444" s="126"/>
      <c r="F444" s="99"/>
      <c r="G444" s="131"/>
      <c r="H444" s="98"/>
      <c r="J444" s="105"/>
    </row>
    <row r="445" spans="1:10" s="96" customFormat="1" ht="20.399999999999999" customHeight="1">
      <c r="A445" s="385"/>
      <c r="B445" s="99"/>
      <c r="C445" s="105"/>
      <c r="D445" s="126"/>
      <c r="F445" s="99"/>
      <c r="G445" s="131"/>
      <c r="H445" s="98"/>
      <c r="J445" s="105"/>
    </row>
    <row r="446" spans="1:10" s="96" customFormat="1" ht="20.399999999999999" customHeight="1">
      <c r="A446" s="385"/>
      <c r="B446" s="99"/>
      <c r="C446" s="105"/>
      <c r="D446" s="126"/>
      <c r="F446" s="99"/>
      <c r="G446" s="131"/>
      <c r="H446" s="98"/>
      <c r="J446" s="105"/>
    </row>
    <row r="447" spans="1:10" s="96" customFormat="1" ht="20.399999999999999" customHeight="1">
      <c r="A447" s="385"/>
      <c r="B447" s="99"/>
      <c r="C447" s="105"/>
      <c r="D447" s="126"/>
      <c r="F447" s="99"/>
      <c r="G447" s="131"/>
      <c r="H447" s="98"/>
      <c r="J447" s="105"/>
    </row>
    <row r="448" spans="1:10" s="96" customFormat="1" ht="20.399999999999999" customHeight="1">
      <c r="A448" s="385"/>
      <c r="B448" s="99"/>
      <c r="C448" s="105"/>
      <c r="D448" s="126"/>
      <c r="F448" s="99"/>
      <c r="G448" s="131"/>
      <c r="H448" s="98"/>
      <c r="J448" s="105"/>
    </row>
    <row r="449" spans="1:10" s="96" customFormat="1" ht="20.399999999999999" customHeight="1">
      <c r="A449" s="385"/>
      <c r="B449" s="99"/>
      <c r="C449" s="105"/>
      <c r="D449" s="126"/>
      <c r="F449" s="99"/>
      <c r="G449" s="131"/>
      <c r="H449" s="98"/>
      <c r="J449" s="105"/>
    </row>
    <row r="450" spans="1:10" s="96" customFormat="1" ht="20.399999999999999" customHeight="1">
      <c r="A450" s="385"/>
      <c r="B450" s="99"/>
      <c r="C450" s="105"/>
      <c r="D450" s="126"/>
      <c r="F450" s="99"/>
      <c r="G450" s="131"/>
      <c r="H450" s="98"/>
      <c r="J450" s="105"/>
    </row>
    <row r="451" spans="1:10" s="96" customFormat="1" ht="20.399999999999999" customHeight="1">
      <c r="A451" s="385"/>
      <c r="B451" s="99"/>
      <c r="C451" s="105"/>
      <c r="D451" s="126"/>
      <c r="F451" s="99"/>
      <c r="G451" s="131"/>
      <c r="H451" s="98"/>
      <c r="J451" s="105"/>
    </row>
    <row r="452" spans="1:10" s="96" customFormat="1" ht="20.399999999999999" customHeight="1">
      <c r="A452" s="385"/>
      <c r="B452" s="99"/>
      <c r="C452" s="105"/>
      <c r="D452" s="126"/>
      <c r="F452" s="99"/>
      <c r="G452" s="131"/>
      <c r="H452" s="98"/>
      <c r="J452" s="105"/>
    </row>
    <row r="453" spans="1:10" s="96" customFormat="1" ht="20.399999999999999" customHeight="1">
      <c r="A453" s="385"/>
      <c r="B453" s="99"/>
      <c r="C453" s="105"/>
      <c r="D453" s="126"/>
      <c r="F453" s="99"/>
      <c r="G453" s="131"/>
      <c r="H453" s="98"/>
      <c r="J453" s="105"/>
    </row>
    <row r="454" spans="1:10" s="96" customFormat="1" ht="20.399999999999999" customHeight="1">
      <c r="A454" s="385"/>
      <c r="B454" s="99"/>
      <c r="C454" s="105"/>
      <c r="D454" s="126"/>
      <c r="F454" s="99"/>
      <c r="G454" s="131"/>
      <c r="H454" s="98"/>
      <c r="J454" s="105"/>
    </row>
    <row r="455" spans="1:10" s="96" customFormat="1" ht="20.399999999999999" customHeight="1">
      <c r="A455" s="385"/>
      <c r="B455" s="99"/>
      <c r="C455" s="105"/>
      <c r="D455" s="126"/>
      <c r="F455" s="99"/>
      <c r="G455" s="131"/>
      <c r="H455" s="98"/>
      <c r="J455" s="105"/>
    </row>
    <row r="456" spans="1:10" s="96" customFormat="1" ht="20.399999999999999" customHeight="1">
      <c r="A456" s="385"/>
      <c r="B456" s="99"/>
      <c r="C456" s="105"/>
      <c r="D456" s="126"/>
      <c r="F456" s="99"/>
      <c r="G456" s="131"/>
      <c r="H456" s="98"/>
      <c r="J456" s="105"/>
    </row>
    <row r="457" spans="1:10" s="96" customFormat="1" ht="20.399999999999999" customHeight="1">
      <c r="A457" s="385"/>
      <c r="B457" s="99"/>
      <c r="C457" s="105"/>
      <c r="D457" s="126"/>
      <c r="F457" s="99"/>
      <c r="G457" s="131"/>
      <c r="H457" s="98"/>
      <c r="J457" s="105"/>
    </row>
    <row r="458" spans="1:10" s="96" customFormat="1" ht="20.399999999999999" customHeight="1">
      <c r="A458" s="385"/>
      <c r="B458" s="99"/>
      <c r="C458" s="105"/>
      <c r="D458" s="126"/>
      <c r="F458" s="99"/>
      <c r="G458" s="131"/>
      <c r="H458" s="98"/>
      <c r="J458" s="105"/>
    </row>
    <row r="459" spans="1:10" s="96" customFormat="1" ht="20.399999999999999" customHeight="1">
      <c r="A459" s="385"/>
      <c r="B459" s="99"/>
      <c r="C459" s="105"/>
      <c r="D459" s="126"/>
      <c r="F459" s="99"/>
      <c r="G459" s="131"/>
      <c r="H459" s="98"/>
      <c r="J459" s="105"/>
    </row>
    <row r="460" spans="1:10" s="96" customFormat="1" ht="20.399999999999999" customHeight="1">
      <c r="A460" s="385"/>
      <c r="B460" s="99"/>
      <c r="C460" s="105"/>
      <c r="D460" s="126"/>
      <c r="F460" s="99"/>
      <c r="G460" s="131"/>
      <c r="H460" s="98"/>
      <c r="J460" s="105"/>
    </row>
    <row r="461" spans="1:10" s="96" customFormat="1" ht="20.399999999999999" customHeight="1">
      <c r="A461" s="385"/>
      <c r="B461" s="99"/>
      <c r="C461" s="105"/>
      <c r="D461" s="126"/>
      <c r="F461" s="99"/>
      <c r="G461" s="131"/>
      <c r="H461" s="98"/>
      <c r="J461" s="105"/>
    </row>
    <row r="462" spans="1:10" s="96" customFormat="1" ht="20.399999999999999" customHeight="1">
      <c r="A462" s="385"/>
      <c r="B462" s="99"/>
      <c r="C462" s="105"/>
      <c r="D462" s="126"/>
      <c r="F462" s="99"/>
      <c r="G462" s="131"/>
      <c r="H462" s="98"/>
      <c r="J462" s="105"/>
    </row>
    <row r="463" spans="1:10" s="96" customFormat="1" ht="20.399999999999999" customHeight="1">
      <c r="A463" s="385"/>
      <c r="B463" s="99"/>
      <c r="C463" s="105"/>
      <c r="D463" s="126"/>
      <c r="F463" s="99"/>
      <c r="G463" s="131"/>
      <c r="H463" s="98"/>
      <c r="J463" s="105"/>
    </row>
    <row r="464" spans="1:10" s="96" customFormat="1" ht="20.399999999999999" customHeight="1">
      <c r="A464" s="385"/>
      <c r="B464" s="99"/>
      <c r="C464" s="105"/>
      <c r="D464" s="126"/>
      <c r="F464" s="99"/>
      <c r="G464" s="131"/>
      <c r="H464" s="98"/>
      <c r="J464" s="105"/>
    </row>
    <row r="465" spans="1:10" s="96" customFormat="1" ht="20.399999999999999" customHeight="1">
      <c r="A465" s="385"/>
      <c r="B465" s="99"/>
      <c r="C465" s="105"/>
      <c r="D465" s="126"/>
      <c r="F465" s="99"/>
      <c r="G465" s="131"/>
      <c r="H465" s="98"/>
      <c r="J465" s="105"/>
    </row>
    <row r="466" spans="1:10" s="96" customFormat="1" ht="20.399999999999999" customHeight="1">
      <c r="A466" s="385"/>
      <c r="B466" s="99"/>
      <c r="C466" s="105"/>
      <c r="D466" s="126"/>
      <c r="F466" s="99"/>
      <c r="G466" s="131"/>
      <c r="H466" s="98"/>
      <c r="J466" s="105"/>
    </row>
    <row r="467" spans="1:10" s="96" customFormat="1" ht="20.399999999999999" customHeight="1">
      <c r="A467" s="385"/>
      <c r="B467" s="99"/>
      <c r="C467" s="105"/>
      <c r="D467" s="126"/>
      <c r="F467" s="99"/>
      <c r="G467" s="131"/>
      <c r="H467" s="98"/>
      <c r="J467" s="105"/>
    </row>
    <row r="468" spans="1:10" s="96" customFormat="1" ht="20.399999999999999" customHeight="1">
      <c r="A468" s="385"/>
      <c r="B468" s="99"/>
      <c r="C468" s="105"/>
      <c r="D468" s="126"/>
      <c r="F468" s="99"/>
      <c r="G468" s="131"/>
      <c r="H468" s="98"/>
      <c r="J468" s="105"/>
    </row>
    <row r="469" spans="1:10" s="96" customFormat="1" ht="20.399999999999999" customHeight="1">
      <c r="A469" s="385"/>
      <c r="B469" s="99"/>
      <c r="C469" s="105"/>
      <c r="D469" s="126"/>
      <c r="F469" s="99"/>
      <c r="G469" s="131"/>
      <c r="H469" s="98"/>
      <c r="J469" s="105"/>
    </row>
    <row r="470" spans="1:10" s="96" customFormat="1" ht="20.399999999999999" customHeight="1">
      <c r="A470" s="385"/>
      <c r="B470" s="99"/>
      <c r="C470" s="105"/>
      <c r="D470" s="126"/>
      <c r="F470" s="99"/>
      <c r="G470" s="131"/>
      <c r="H470" s="98"/>
      <c r="J470" s="105"/>
    </row>
    <row r="471" spans="1:10" s="96" customFormat="1" ht="20.399999999999999" customHeight="1">
      <c r="A471" s="385"/>
      <c r="B471" s="99"/>
      <c r="C471" s="105"/>
      <c r="D471" s="126"/>
      <c r="F471" s="99"/>
      <c r="G471" s="131"/>
      <c r="H471" s="98"/>
      <c r="J471" s="105"/>
    </row>
    <row r="472" spans="1:10" s="96" customFormat="1" ht="20.399999999999999" customHeight="1">
      <c r="A472" s="385"/>
      <c r="B472" s="99"/>
      <c r="C472" s="105"/>
      <c r="D472" s="126"/>
      <c r="F472" s="99"/>
      <c r="G472" s="131"/>
      <c r="H472" s="98"/>
      <c r="J472" s="105"/>
    </row>
    <row r="473" spans="1:10" s="96" customFormat="1" ht="20.399999999999999" customHeight="1">
      <c r="A473" s="385"/>
      <c r="B473" s="99"/>
      <c r="C473" s="105"/>
      <c r="D473" s="126"/>
      <c r="F473" s="99"/>
      <c r="G473" s="131"/>
      <c r="H473" s="98"/>
      <c r="J473" s="105"/>
    </row>
    <row r="474" spans="1:10" s="96" customFormat="1" ht="20.399999999999999" customHeight="1">
      <c r="A474" s="385"/>
      <c r="B474" s="99"/>
      <c r="C474" s="105"/>
      <c r="D474" s="126"/>
      <c r="F474" s="99"/>
      <c r="G474" s="131"/>
      <c r="H474" s="98"/>
      <c r="J474" s="105"/>
    </row>
    <row r="475" spans="1:10" s="96" customFormat="1" ht="20.399999999999999" customHeight="1">
      <c r="A475" s="385"/>
      <c r="B475" s="99"/>
      <c r="C475" s="105"/>
      <c r="D475" s="126"/>
      <c r="F475" s="99"/>
      <c r="G475" s="131"/>
      <c r="H475" s="98"/>
      <c r="J475" s="105"/>
    </row>
    <row r="476" spans="1:10" s="96" customFormat="1" ht="20.399999999999999" customHeight="1">
      <c r="A476" s="385"/>
      <c r="B476" s="99"/>
      <c r="C476" s="105"/>
      <c r="D476" s="126"/>
      <c r="F476" s="99"/>
      <c r="G476" s="131"/>
      <c r="H476" s="98"/>
      <c r="J476" s="105"/>
    </row>
    <row r="477" spans="1:10" s="96" customFormat="1" ht="20.399999999999999" customHeight="1">
      <c r="A477" s="385"/>
      <c r="B477" s="99"/>
      <c r="C477" s="105"/>
      <c r="D477" s="126"/>
      <c r="F477" s="99"/>
      <c r="G477" s="131"/>
      <c r="H477" s="98"/>
      <c r="J477" s="105"/>
    </row>
    <row r="478" spans="1:10" s="96" customFormat="1" ht="20.399999999999999" customHeight="1">
      <c r="A478" s="385"/>
      <c r="B478" s="99"/>
      <c r="C478" s="105"/>
      <c r="D478" s="126"/>
      <c r="F478" s="99"/>
      <c r="G478" s="131"/>
      <c r="H478" s="98"/>
      <c r="J478" s="105"/>
    </row>
    <row r="479" spans="1:10" s="96" customFormat="1" ht="20.399999999999999" customHeight="1">
      <c r="A479" s="385"/>
      <c r="B479" s="99"/>
      <c r="C479" s="105"/>
      <c r="D479" s="126"/>
      <c r="F479" s="99"/>
      <c r="G479" s="131"/>
      <c r="H479" s="98"/>
      <c r="J479" s="105"/>
    </row>
    <row r="480" spans="1:10" s="96" customFormat="1" ht="20.399999999999999" customHeight="1">
      <c r="A480" s="385"/>
      <c r="B480" s="99"/>
      <c r="C480" s="105"/>
      <c r="D480" s="126"/>
      <c r="F480" s="99"/>
      <c r="G480" s="131"/>
      <c r="H480" s="98"/>
      <c r="J480" s="105"/>
    </row>
    <row r="481" spans="1:10" s="96" customFormat="1" ht="20.399999999999999" customHeight="1">
      <c r="A481" s="385"/>
      <c r="B481" s="99"/>
      <c r="C481" s="105"/>
      <c r="D481" s="126"/>
      <c r="F481" s="99"/>
      <c r="G481" s="131"/>
      <c r="H481" s="98"/>
      <c r="J481" s="105"/>
    </row>
    <row r="482" spans="1:10" s="96" customFormat="1" ht="20.399999999999999" customHeight="1">
      <c r="A482" s="385"/>
      <c r="B482" s="99"/>
      <c r="C482" s="105"/>
      <c r="D482" s="126"/>
      <c r="F482" s="99"/>
      <c r="G482" s="131"/>
      <c r="H482" s="98"/>
      <c r="J482" s="105"/>
    </row>
    <row r="483" spans="1:10" s="96" customFormat="1" ht="20.399999999999999" customHeight="1">
      <c r="A483" s="385"/>
      <c r="B483" s="99"/>
      <c r="C483" s="105"/>
      <c r="D483" s="126"/>
      <c r="F483" s="99"/>
      <c r="G483" s="131"/>
      <c r="H483" s="98"/>
      <c r="J483" s="105"/>
    </row>
    <row r="484" spans="1:10" s="96" customFormat="1" ht="20.399999999999999" customHeight="1">
      <c r="A484" s="385"/>
      <c r="B484" s="99"/>
      <c r="C484" s="105"/>
      <c r="D484" s="126"/>
      <c r="F484" s="99"/>
      <c r="G484" s="131"/>
      <c r="H484" s="98"/>
      <c r="J484" s="105"/>
    </row>
    <row r="485" spans="1:10" s="96" customFormat="1" ht="20.399999999999999" customHeight="1">
      <c r="A485" s="385"/>
      <c r="B485" s="99"/>
      <c r="C485" s="105"/>
      <c r="D485" s="126"/>
      <c r="F485" s="99"/>
      <c r="G485" s="131"/>
      <c r="H485" s="98"/>
      <c r="J485" s="105"/>
    </row>
    <row r="486" spans="1:10" s="96" customFormat="1" ht="20.399999999999999" customHeight="1">
      <c r="A486" s="385"/>
      <c r="B486" s="99"/>
      <c r="C486" s="105"/>
      <c r="D486" s="126"/>
      <c r="F486" s="99"/>
      <c r="G486" s="131"/>
      <c r="H486" s="98"/>
      <c r="J486" s="105"/>
    </row>
    <row r="487" spans="1:10" s="96" customFormat="1" ht="20.399999999999999" customHeight="1">
      <c r="A487" s="385"/>
      <c r="B487" s="99"/>
      <c r="C487" s="105"/>
      <c r="D487" s="126"/>
      <c r="F487" s="99"/>
      <c r="G487" s="131"/>
      <c r="H487" s="98"/>
      <c r="J487" s="105"/>
    </row>
    <row r="488" spans="1:10" s="96" customFormat="1" ht="20.399999999999999" customHeight="1">
      <c r="A488" s="385"/>
      <c r="B488" s="99"/>
      <c r="C488" s="105"/>
      <c r="D488" s="126"/>
      <c r="F488" s="99"/>
      <c r="G488" s="131"/>
      <c r="H488" s="98"/>
      <c r="J488" s="105"/>
    </row>
    <row r="489" spans="1:10" s="96" customFormat="1" ht="20.399999999999999" customHeight="1">
      <c r="A489" s="385"/>
      <c r="B489" s="99"/>
      <c r="C489" s="105"/>
      <c r="D489" s="126"/>
      <c r="F489" s="99"/>
      <c r="G489" s="131"/>
      <c r="H489" s="98"/>
      <c r="J489" s="105"/>
    </row>
    <row r="490" spans="1:10" s="96" customFormat="1" ht="20.399999999999999" customHeight="1">
      <c r="A490" s="385"/>
      <c r="B490" s="99"/>
      <c r="C490" s="105"/>
      <c r="D490" s="126"/>
      <c r="F490" s="99"/>
      <c r="G490" s="131"/>
      <c r="H490" s="98"/>
      <c r="J490" s="105"/>
    </row>
    <row r="491" spans="1:10" s="96" customFormat="1" ht="20.399999999999999" customHeight="1">
      <c r="A491" s="385"/>
      <c r="B491" s="99"/>
      <c r="C491" s="105"/>
      <c r="D491" s="126"/>
      <c r="F491" s="99"/>
      <c r="G491" s="131"/>
      <c r="H491" s="98"/>
      <c r="J491" s="105"/>
    </row>
    <row r="492" spans="1:10" s="96" customFormat="1" ht="20.399999999999999" customHeight="1">
      <c r="A492" s="385"/>
      <c r="B492" s="99"/>
      <c r="C492" s="105"/>
      <c r="D492" s="126"/>
      <c r="F492" s="99"/>
      <c r="G492" s="131"/>
      <c r="H492" s="98"/>
      <c r="J492" s="105"/>
    </row>
    <row r="493" spans="1:10" s="96" customFormat="1" ht="20.399999999999999" customHeight="1">
      <c r="A493" s="385"/>
      <c r="B493" s="99"/>
      <c r="C493" s="105"/>
      <c r="D493" s="126"/>
      <c r="F493" s="99"/>
      <c r="G493" s="131"/>
      <c r="H493" s="98"/>
      <c r="J493" s="105"/>
    </row>
    <row r="494" spans="1:10" s="96" customFormat="1" ht="20.399999999999999" customHeight="1">
      <c r="A494" s="385"/>
      <c r="B494" s="99"/>
      <c r="C494" s="105"/>
      <c r="D494" s="126"/>
      <c r="F494" s="99"/>
      <c r="G494" s="131"/>
      <c r="H494" s="98"/>
      <c r="J494" s="105"/>
    </row>
    <row r="495" spans="1:10" s="96" customFormat="1" ht="20.399999999999999" customHeight="1">
      <c r="A495" s="385"/>
      <c r="B495" s="99"/>
      <c r="C495" s="105"/>
      <c r="D495" s="126"/>
      <c r="F495" s="99"/>
      <c r="G495" s="131"/>
      <c r="H495" s="98"/>
      <c r="J495" s="105"/>
    </row>
    <row r="496" spans="1:10" s="96" customFormat="1" ht="20.399999999999999" customHeight="1">
      <c r="A496" s="385"/>
      <c r="B496" s="99"/>
      <c r="C496" s="105"/>
      <c r="D496" s="126"/>
      <c r="F496" s="99"/>
      <c r="G496" s="131"/>
      <c r="H496" s="98"/>
      <c r="J496" s="105"/>
    </row>
    <row r="497" spans="1:10" s="96" customFormat="1" ht="20.399999999999999" customHeight="1">
      <c r="A497" s="385"/>
      <c r="B497" s="99"/>
      <c r="C497" s="105"/>
      <c r="D497" s="126"/>
      <c r="F497" s="99"/>
      <c r="G497" s="131"/>
      <c r="H497" s="98"/>
      <c r="J497" s="105"/>
    </row>
    <row r="498" spans="1:10" s="96" customFormat="1" ht="20.399999999999999" customHeight="1">
      <c r="A498" s="385"/>
      <c r="B498" s="99"/>
      <c r="C498" s="105"/>
      <c r="D498" s="126"/>
      <c r="F498" s="99"/>
      <c r="G498" s="131"/>
      <c r="H498" s="98"/>
      <c r="J498" s="105"/>
    </row>
    <row r="499" spans="1:10" s="96" customFormat="1" ht="20.399999999999999" customHeight="1">
      <c r="A499" s="385"/>
      <c r="B499" s="99"/>
      <c r="C499" s="105"/>
      <c r="D499" s="126"/>
      <c r="F499" s="99"/>
      <c r="G499" s="131"/>
      <c r="H499" s="98"/>
      <c r="J499" s="105"/>
    </row>
    <row r="500" spans="1:10" s="96" customFormat="1" ht="20.399999999999999" customHeight="1">
      <c r="A500" s="385"/>
      <c r="B500" s="99"/>
      <c r="C500" s="105"/>
      <c r="D500" s="126"/>
      <c r="F500" s="99"/>
      <c r="G500" s="131"/>
      <c r="H500" s="98"/>
      <c r="J500" s="105"/>
    </row>
    <row r="501" spans="1:10" s="96" customFormat="1" ht="20.399999999999999" customHeight="1">
      <c r="A501" s="385"/>
      <c r="B501" s="99"/>
      <c r="C501" s="105"/>
      <c r="D501" s="126"/>
      <c r="F501" s="99"/>
      <c r="G501" s="131"/>
      <c r="H501" s="98"/>
      <c r="J501" s="105"/>
    </row>
    <row r="502" spans="1:10" s="96" customFormat="1" ht="20.399999999999999" customHeight="1">
      <c r="A502" s="385"/>
      <c r="B502" s="99"/>
      <c r="C502" s="105"/>
      <c r="D502" s="126"/>
      <c r="F502" s="99"/>
      <c r="G502" s="131"/>
      <c r="H502" s="98"/>
      <c r="J502" s="105"/>
    </row>
    <row r="503" spans="1:10" s="96" customFormat="1" ht="20.399999999999999" customHeight="1">
      <c r="A503" s="385"/>
      <c r="B503" s="99"/>
      <c r="C503" s="105"/>
      <c r="D503" s="126"/>
      <c r="F503" s="99"/>
      <c r="G503" s="131"/>
      <c r="H503" s="98"/>
      <c r="J503" s="105"/>
    </row>
    <row r="504" spans="1:10" s="96" customFormat="1" ht="20.399999999999999" customHeight="1">
      <c r="A504" s="385"/>
      <c r="B504" s="99"/>
      <c r="C504" s="105"/>
      <c r="D504" s="126"/>
      <c r="F504" s="99"/>
      <c r="G504" s="131"/>
      <c r="H504" s="98"/>
      <c r="J504" s="105"/>
    </row>
    <row r="505" spans="1:10" s="96" customFormat="1" ht="20.399999999999999" customHeight="1">
      <c r="A505" s="385"/>
      <c r="B505" s="99"/>
      <c r="C505" s="105"/>
      <c r="D505" s="126"/>
      <c r="F505" s="99"/>
      <c r="G505" s="131"/>
      <c r="H505" s="98"/>
      <c r="J505" s="105"/>
    </row>
    <row r="506" spans="1:10" s="96" customFormat="1" ht="20.399999999999999" customHeight="1">
      <c r="A506" s="385"/>
      <c r="B506" s="99"/>
      <c r="C506" s="105"/>
      <c r="D506" s="126"/>
      <c r="F506" s="99"/>
      <c r="G506" s="131"/>
      <c r="H506" s="98"/>
      <c r="J506" s="105"/>
    </row>
    <row r="507" spans="1:10" s="96" customFormat="1" ht="20.399999999999999" customHeight="1">
      <c r="A507" s="385"/>
      <c r="B507" s="99"/>
      <c r="C507" s="105"/>
      <c r="D507" s="126"/>
      <c r="F507" s="99"/>
      <c r="G507" s="131"/>
      <c r="H507" s="98"/>
      <c r="J507" s="105"/>
    </row>
    <row r="508" spans="1:10" s="96" customFormat="1" ht="20.399999999999999" customHeight="1">
      <c r="A508" s="385"/>
      <c r="B508" s="99"/>
      <c r="C508" s="105"/>
      <c r="D508" s="126"/>
      <c r="F508" s="99"/>
      <c r="G508" s="131"/>
      <c r="H508" s="98"/>
      <c r="J508" s="105"/>
    </row>
    <row r="509" spans="1:10" s="96" customFormat="1" ht="20.399999999999999" customHeight="1">
      <c r="A509" s="385"/>
      <c r="B509" s="99"/>
      <c r="C509" s="105"/>
      <c r="D509" s="126"/>
      <c r="F509" s="99"/>
      <c r="G509" s="131"/>
      <c r="H509" s="98"/>
      <c r="J509" s="105"/>
    </row>
    <row r="510" spans="1:10" s="96" customFormat="1" ht="20.399999999999999" customHeight="1">
      <c r="A510" s="385"/>
      <c r="B510" s="99"/>
      <c r="C510" s="105"/>
      <c r="D510" s="126"/>
      <c r="F510" s="99"/>
      <c r="G510" s="131"/>
      <c r="H510" s="98"/>
      <c r="J510" s="105"/>
    </row>
    <row r="511" spans="1:10" s="96" customFormat="1" ht="20.399999999999999" customHeight="1">
      <c r="A511" s="385"/>
      <c r="B511" s="99"/>
      <c r="C511" s="105"/>
      <c r="D511" s="126"/>
      <c r="F511" s="99"/>
      <c r="G511" s="131"/>
      <c r="H511" s="98"/>
      <c r="J511" s="105"/>
    </row>
    <row r="512" spans="1:10" s="96" customFormat="1" ht="20.399999999999999" customHeight="1">
      <c r="A512" s="385"/>
      <c r="B512" s="99"/>
      <c r="C512" s="105"/>
      <c r="D512" s="126"/>
      <c r="F512" s="99"/>
      <c r="G512" s="131"/>
      <c r="H512" s="98"/>
      <c r="J512" s="105"/>
    </row>
    <row r="513" spans="1:10" s="96" customFormat="1" ht="20.399999999999999" customHeight="1">
      <c r="A513" s="385"/>
      <c r="B513" s="99"/>
      <c r="C513" s="105"/>
      <c r="D513" s="126"/>
      <c r="F513" s="99"/>
      <c r="G513" s="131"/>
      <c r="H513" s="98"/>
      <c r="J513" s="105"/>
    </row>
    <row r="514" spans="1:10" s="96" customFormat="1" ht="20.399999999999999" customHeight="1">
      <c r="A514" s="385"/>
      <c r="B514" s="99"/>
      <c r="C514" s="105"/>
      <c r="D514" s="126"/>
      <c r="F514" s="99"/>
      <c r="G514" s="131"/>
      <c r="H514" s="98"/>
      <c r="J514" s="105"/>
    </row>
    <row r="515" spans="1:10" s="96" customFormat="1" ht="20.399999999999999" customHeight="1">
      <c r="A515" s="385"/>
      <c r="B515" s="99"/>
      <c r="C515" s="105"/>
      <c r="D515" s="126"/>
      <c r="F515" s="99"/>
      <c r="G515" s="131"/>
      <c r="H515" s="98"/>
      <c r="J515" s="105"/>
    </row>
    <row r="516" spans="1:10" s="96" customFormat="1" ht="20.399999999999999" customHeight="1">
      <c r="A516" s="385"/>
      <c r="B516" s="99"/>
      <c r="C516" s="105"/>
      <c r="D516" s="126"/>
      <c r="F516" s="99"/>
      <c r="G516" s="131"/>
      <c r="H516" s="98"/>
      <c r="J516" s="105"/>
    </row>
    <row r="517" spans="1:10" s="96" customFormat="1" ht="20.399999999999999" customHeight="1">
      <c r="A517" s="385"/>
      <c r="B517" s="99"/>
      <c r="C517" s="105"/>
      <c r="D517" s="126"/>
      <c r="F517" s="99"/>
      <c r="G517" s="131"/>
      <c r="H517" s="98"/>
      <c r="J517" s="105"/>
    </row>
    <row r="518" spans="1:10" s="96" customFormat="1" ht="20.399999999999999" customHeight="1">
      <c r="A518" s="385"/>
      <c r="B518" s="99"/>
      <c r="C518" s="105"/>
      <c r="D518" s="126"/>
      <c r="F518" s="99"/>
      <c r="G518" s="131"/>
      <c r="H518" s="98"/>
      <c r="J518" s="105"/>
    </row>
    <row r="519" spans="1:10" s="96" customFormat="1" ht="20.399999999999999" customHeight="1">
      <c r="A519" s="385"/>
      <c r="B519" s="99"/>
      <c r="C519" s="105"/>
      <c r="D519" s="126"/>
      <c r="F519" s="99"/>
      <c r="G519" s="131"/>
      <c r="H519" s="98"/>
      <c r="J519" s="105"/>
    </row>
    <row r="520" spans="1:10" s="96" customFormat="1" ht="20.399999999999999" customHeight="1">
      <c r="A520" s="385"/>
      <c r="B520" s="99"/>
      <c r="C520" s="105"/>
      <c r="D520" s="126"/>
      <c r="F520" s="99"/>
      <c r="G520" s="131"/>
      <c r="H520" s="98"/>
      <c r="J520" s="105"/>
    </row>
    <row r="521" spans="1:10" s="96" customFormat="1" ht="20.399999999999999" customHeight="1">
      <c r="A521" s="385"/>
      <c r="B521" s="99"/>
      <c r="C521" s="105"/>
      <c r="D521" s="126"/>
      <c r="F521" s="99"/>
      <c r="G521" s="131"/>
      <c r="H521" s="98"/>
      <c r="J521" s="105"/>
    </row>
    <row r="522" spans="1:10" s="96" customFormat="1" ht="20.399999999999999" customHeight="1">
      <c r="A522" s="385"/>
      <c r="B522" s="99"/>
      <c r="C522" s="105"/>
      <c r="D522" s="126"/>
      <c r="F522" s="99"/>
      <c r="G522" s="131"/>
      <c r="H522" s="98"/>
      <c r="J522" s="105"/>
    </row>
    <row r="523" spans="1:10" s="96" customFormat="1" ht="20.399999999999999" customHeight="1">
      <c r="A523" s="385"/>
      <c r="B523" s="99"/>
      <c r="C523" s="105"/>
      <c r="D523" s="126"/>
      <c r="F523" s="99"/>
      <c r="G523" s="131"/>
      <c r="H523" s="98"/>
      <c r="J523" s="105"/>
    </row>
    <row r="524" spans="1:10" s="96" customFormat="1" ht="20.399999999999999" customHeight="1">
      <c r="A524" s="385"/>
      <c r="B524" s="99"/>
      <c r="C524" s="105"/>
      <c r="D524" s="126"/>
      <c r="F524" s="99"/>
      <c r="G524" s="131"/>
      <c r="H524" s="98"/>
      <c r="J524" s="105"/>
    </row>
    <row r="525" spans="1:10" s="96" customFormat="1" ht="20.399999999999999" customHeight="1">
      <c r="A525" s="385"/>
      <c r="B525" s="99"/>
      <c r="C525" s="105"/>
      <c r="D525" s="126"/>
      <c r="F525" s="99"/>
      <c r="G525" s="131"/>
      <c r="H525" s="98"/>
      <c r="J525" s="105"/>
    </row>
    <row r="526" spans="1:10" s="96" customFormat="1" ht="20.399999999999999" customHeight="1">
      <c r="A526" s="385"/>
      <c r="B526" s="99"/>
      <c r="C526" s="105"/>
      <c r="D526" s="126"/>
      <c r="F526" s="99"/>
      <c r="G526" s="131"/>
      <c r="H526" s="98"/>
      <c r="J526" s="105"/>
    </row>
    <row r="527" spans="1:10" s="96" customFormat="1" ht="20.399999999999999" customHeight="1">
      <c r="A527" s="385"/>
      <c r="B527" s="99"/>
      <c r="C527" s="105"/>
      <c r="D527" s="126"/>
      <c r="F527" s="99"/>
      <c r="G527" s="131"/>
      <c r="H527" s="98"/>
      <c r="J527" s="105"/>
    </row>
    <row r="528" spans="1:10" s="96" customFormat="1" ht="20.399999999999999" customHeight="1">
      <c r="A528" s="385"/>
      <c r="B528" s="99"/>
      <c r="C528" s="105"/>
      <c r="D528" s="126"/>
      <c r="F528" s="99"/>
      <c r="G528" s="131"/>
      <c r="H528" s="98"/>
      <c r="J528" s="105"/>
    </row>
    <row r="529" spans="1:10" s="96" customFormat="1" ht="20.399999999999999" customHeight="1">
      <c r="A529" s="385"/>
      <c r="B529" s="99"/>
      <c r="C529" s="105"/>
      <c r="D529" s="126"/>
      <c r="F529" s="99"/>
      <c r="G529" s="131"/>
      <c r="H529" s="98"/>
      <c r="J529" s="105"/>
    </row>
    <row r="530" spans="1:10" s="96" customFormat="1" ht="20.399999999999999" customHeight="1">
      <c r="A530" s="385"/>
      <c r="B530" s="99"/>
      <c r="C530" s="105"/>
      <c r="D530" s="126"/>
      <c r="F530" s="99"/>
      <c r="G530" s="131"/>
      <c r="H530" s="98"/>
      <c r="J530" s="105"/>
    </row>
    <row r="531" spans="1:10" s="96" customFormat="1" ht="20.399999999999999" customHeight="1">
      <c r="A531" s="385"/>
      <c r="B531" s="99"/>
      <c r="C531" s="105"/>
      <c r="D531" s="126"/>
      <c r="F531" s="99"/>
      <c r="G531" s="131"/>
      <c r="H531" s="98"/>
      <c r="J531" s="105"/>
    </row>
    <row r="532" spans="1:10" s="96" customFormat="1" ht="20.399999999999999" customHeight="1">
      <c r="A532" s="385"/>
      <c r="B532" s="99"/>
      <c r="C532" s="105"/>
      <c r="D532" s="126"/>
      <c r="F532" s="99"/>
      <c r="G532" s="131"/>
      <c r="H532" s="98"/>
      <c r="J532" s="105"/>
    </row>
    <row r="533" spans="1:10" s="96" customFormat="1" ht="20.399999999999999" customHeight="1">
      <c r="A533" s="385"/>
      <c r="B533" s="99"/>
      <c r="C533" s="105"/>
      <c r="D533" s="126"/>
      <c r="F533" s="99"/>
      <c r="G533" s="131"/>
      <c r="H533" s="98"/>
      <c r="J533" s="105"/>
    </row>
    <row r="534" spans="1:10" s="96" customFormat="1" ht="20.399999999999999" customHeight="1">
      <c r="A534" s="385"/>
      <c r="B534" s="99"/>
      <c r="C534" s="105"/>
      <c r="D534" s="126"/>
      <c r="F534" s="99"/>
      <c r="G534" s="131"/>
      <c r="H534" s="98"/>
      <c r="J534" s="105"/>
    </row>
    <row r="535" spans="1:10" s="96" customFormat="1" ht="20.399999999999999" customHeight="1">
      <c r="A535" s="385"/>
      <c r="B535" s="99"/>
      <c r="C535" s="105"/>
      <c r="D535" s="126"/>
      <c r="F535" s="99"/>
      <c r="G535" s="131"/>
      <c r="H535" s="98"/>
      <c r="J535" s="105"/>
    </row>
    <row r="536" spans="1:10" s="96" customFormat="1" ht="20.399999999999999" customHeight="1">
      <c r="A536" s="385"/>
      <c r="B536" s="99"/>
      <c r="C536" s="105"/>
      <c r="D536" s="126"/>
      <c r="F536" s="99"/>
      <c r="G536" s="131"/>
      <c r="H536" s="98"/>
      <c r="J536" s="105"/>
    </row>
    <row r="537" spans="1:10" s="96" customFormat="1" ht="20.399999999999999" customHeight="1">
      <c r="A537" s="385"/>
      <c r="B537" s="99"/>
      <c r="C537" s="105"/>
      <c r="D537" s="126"/>
      <c r="F537" s="99"/>
      <c r="G537" s="131"/>
      <c r="H537" s="98"/>
      <c r="J537" s="105"/>
    </row>
    <row r="538" spans="1:10" s="96" customFormat="1" ht="20.399999999999999" customHeight="1">
      <c r="A538" s="385"/>
      <c r="B538" s="99"/>
      <c r="C538" s="105"/>
      <c r="D538" s="126"/>
      <c r="F538" s="99"/>
      <c r="G538" s="131"/>
      <c r="H538" s="98"/>
      <c r="J538" s="105"/>
    </row>
    <row r="539" spans="1:10" s="96" customFormat="1" ht="20.399999999999999" customHeight="1">
      <c r="A539" s="385"/>
      <c r="B539" s="99"/>
      <c r="C539" s="105"/>
      <c r="D539" s="126"/>
      <c r="F539" s="99"/>
      <c r="G539" s="131"/>
      <c r="H539" s="98"/>
      <c r="J539" s="105"/>
    </row>
    <row r="540" spans="1:10" s="96" customFormat="1" ht="20.399999999999999" customHeight="1">
      <c r="A540" s="385"/>
      <c r="B540" s="99"/>
      <c r="C540" s="105"/>
      <c r="D540" s="126"/>
      <c r="F540" s="99"/>
      <c r="G540" s="131"/>
      <c r="H540" s="98"/>
      <c r="J540" s="105"/>
    </row>
    <row r="541" spans="1:10" s="96" customFormat="1" ht="20.399999999999999" customHeight="1">
      <c r="A541" s="385"/>
      <c r="B541" s="99"/>
      <c r="C541" s="105"/>
      <c r="D541" s="126"/>
      <c r="F541" s="99"/>
      <c r="G541" s="131"/>
      <c r="H541" s="98"/>
      <c r="J541" s="105"/>
    </row>
    <row r="542" spans="1:10" s="96" customFormat="1" ht="20.399999999999999" customHeight="1">
      <c r="A542" s="385"/>
      <c r="B542" s="99"/>
      <c r="C542" s="105"/>
      <c r="D542" s="126"/>
      <c r="F542" s="99"/>
      <c r="G542" s="131"/>
      <c r="H542" s="98"/>
      <c r="J542" s="105"/>
    </row>
    <row r="543" spans="1:10" s="96" customFormat="1" ht="20.399999999999999" customHeight="1">
      <c r="A543" s="385"/>
      <c r="B543" s="99"/>
      <c r="C543" s="105"/>
      <c r="D543" s="126"/>
      <c r="F543" s="99"/>
      <c r="G543" s="131"/>
      <c r="H543" s="98"/>
      <c r="J543" s="105"/>
    </row>
    <row r="544" spans="1:10" s="96" customFormat="1" ht="20.399999999999999" customHeight="1">
      <c r="A544" s="385"/>
      <c r="B544" s="99"/>
      <c r="C544" s="105"/>
      <c r="D544" s="126"/>
      <c r="F544" s="99"/>
      <c r="G544" s="131"/>
      <c r="H544" s="98"/>
      <c r="J544" s="105"/>
    </row>
    <row r="545" spans="1:10" s="96" customFormat="1" ht="20.399999999999999" customHeight="1">
      <c r="A545" s="385"/>
      <c r="B545" s="99"/>
      <c r="C545" s="105"/>
      <c r="D545" s="126"/>
      <c r="F545" s="99"/>
      <c r="G545" s="131"/>
      <c r="H545" s="98"/>
      <c r="J545" s="105"/>
    </row>
    <row r="546" spans="1:10" s="96" customFormat="1" ht="20.399999999999999" customHeight="1">
      <c r="A546" s="385"/>
      <c r="B546" s="99"/>
      <c r="C546" s="105"/>
      <c r="D546" s="126"/>
      <c r="F546" s="99"/>
      <c r="G546" s="131"/>
      <c r="H546" s="98"/>
      <c r="J546" s="105"/>
    </row>
    <row r="547" spans="1:10" s="96" customFormat="1" ht="20.399999999999999" customHeight="1">
      <c r="A547" s="385"/>
      <c r="B547" s="99"/>
      <c r="C547" s="105"/>
      <c r="D547" s="126"/>
      <c r="F547" s="99"/>
      <c r="G547" s="131"/>
      <c r="H547" s="98"/>
      <c r="J547" s="105"/>
    </row>
    <row r="548" spans="1:10" s="96" customFormat="1" ht="20.399999999999999" customHeight="1">
      <c r="A548" s="385"/>
      <c r="B548" s="99"/>
      <c r="C548" s="105"/>
      <c r="D548" s="126"/>
      <c r="F548" s="99"/>
      <c r="G548" s="131"/>
      <c r="H548" s="98"/>
      <c r="J548" s="105"/>
    </row>
    <row r="549" spans="1:10" s="96" customFormat="1" ht="20.399999999999999" customHeight="1">
      <c r="A549" s="385"/>
      <c r="B549" s="99"/>
      <c r="C549" s="105"/>
      <c r="D549" s="126"/>
      <c r="F549" s="99"/>
      <c r="G549" s="131"/>
      <c r="H549" s="98"/>
      <c r="J549" s="105"/>
    </row>
    <row r="550" spans="1:10" s="96" customFormat="1" ht="20.399999999999999" customHeight="1">
      <c r="A550" s="385"/>
      <c r="B550" s="99"/>
      <c r="C550" s="105"/>
      <c r="D550" s="126"/>
      <c r="F550" s="99"/>
      <c r="G550" s="131"/>
      <c r="H550" s="98"/>
      <c r="J550" s="105"/>
    </row>
    <row r="551" spans="1:10" s="96" customFormat="1" ht="20.399999999999999" customHeight="1">
      <c r="A551" s="385"/>
      <c r="B551" s="99"/>
      <c r="C551" s="105"/>
      <c r="D551" s="126"/>
      <c r="F551" s="99"/>
      <c r="G551" s="131"/>
      <c r="H551" s="98"/>
      <c r="J551" s="105"/>
    </row>
    <row r="552" spans="1:10" s="96" customFormat="1" ht="20.399999999999999" customHeight="1">
      <c r="A552" s="385"/>
      <c r="B552" s="99"/>
      <c r="C552" s="105"/>
      <c r="D552" s="126"/>
      <c r="F552" s="99"/>
      <c r="G552" s="131"/>
      <c r="H552" s="98"/>
      <c r="J552" s="105"/>
    </row>
    <row r="553" spans="1:10" s="96" customFormat="1" ht="20.399999999999999" customHeight="1">
      <c r="A553" s="385"/>
      <c r="B553" s="99"/>
      <c r="C553" s="105"/>
      <c r="D553" s="126"/>
      <c r="F553" s="99"/>
      <c r="G553" s="131"/>
      <c r="H553" s="98"/>
      <c r="J553" s="105"/>
    </row>
    <row r="554" spans="1:10" s="96" customFormat="1" ht="20.399999999999999" customHeight="1">
      <c r="A554" s="385"/>
      <c r="B554" s="99"/>
      <c r="C554" s="105"/>
      <c r="D554" s="126"/>
      <c r="F554" s="99"/>
      <c r="G554" s="131"/>
      <c r="H554" s="98"/>
      <c r="J554" s="105"/>
    </row>
    <row r="555" spans="1:10" s="96" customFormat="1" ht="20.399999999999999" customHeight="1">
      <c r="A555" s="385"/>
      <c r="B555" s="99"/>
      <c r="C555" s="105"/>
      <c r="D555" s="126"/>
      <c r="F555" s="99"/>
      <c r="G555" s="131"/>
      <c r="H555" s="98"/>
      <c r="J555" s="105"/>
    </row>
    <row r="556" spans="1:10" s="96" customFormat="1" ht="20.399999999999999" customHeight="1">
      <c r="A556" s="385"/>
      <c r="B556" s="99"/>
      <c r="C556" s="105"/>
      <c r="D556" s="126"/>
      <c r="F556" s="99"/>
      <c r="G556" s="131"/>
      <c r="H556" s="98"/>
      <c r="J556" s="105"/>
    </row>
    <row r="557" spans="1:10" s="96" customFormat="1" ht="20.399999999999999" customHeight="1">
      <c r="A557" s="385"/>
      <c r="B557" s="99"/>
      <c r="C557" s="105"/>
      <c r="D557" s="126"/>
      <c r="F557" s="99"/>
      <c r="G557" s="131"/>
      <c r="H557" s="98"/>
      <c r="J557" s="105"/>
    </row>
    <row r="558" spans="1:10" s="96" customFormat="1" ht="20.399999999999999" customHeight="1">
      <c r="A558" s="385"/>
      <c r="B558" s="99"/>
      <c r="C558" s="105"/>
      <c r="D558" s="126"/>
      <c r="F558" s="99"/>
      <c r="G558" s="131"/>
      <c r="H558" s="98"/>
      <c r="J558" s="105"/>
    </row>
    <row r="559" spans="1:10" s="96" customFormat="1" ht="20.399999999999999" customHeight="1">
      <c r="A559" s="385"/>
      <c r="B559" s="99"/>
      <c r="C559" s="105"/>
      <c r="D559" s="126"/>
      <c r="F559" s="99"/>
      <c r="G559" s="131"/>
      <c r="H559" s="98"/>
      <c r="J559" s="105"/>
    </row>
    <row r="560" spans="1:10" s="96" customFormat="1" ht="20.399999999999999" customHeight="1">
      <c r="A560" s="385"/>
      <c r="B560" s="99"/>
      <c r="C560" s="105"/>
      <c r="D560" s="126"/>
      <c r="F560" s="99"/>
      <c r="G560" s="131"/>
      <c r="H560" s="98"/>
      <c r="J560" s="105"/>
    </row>
    <row r="561" spans="1:10" s="96" customFormat="1" ht="20.399999999999999" customHeight="1">
      <c r="A561" s="385"/>
      <c r="B561" s="99"/>
      <c r="C561" s="105"/>
      <c r="D561" s="126"/>
      <c r="F561" s="99"/>
      <c r="G561" s="131"/>
      <c r="H561" s="98"/>
      <c r="J561" s="105"/>
    </row>
    <row r="562" spans="1:10" s="96" customFormat="1" ht="20.399999999999999" customHeight="1">
      <c r="A562" s="385"/>
      <c r="B562" s="99"/>
      <c r="C562" s="105"/>
      <c r="D562" s="126"/>
      <c r="F562" s="99"/>
      <c r="G562" s="131"/>
      <c r="H562" s="98"/>
      <c r="J562" s="105"/>
    </row>
    <row r="563" spans="1:10" s="96" customFormat="1" ht="20.399999999999999" customHeight="1">
      <c r="A563" s="385"/>
      <c r="B563" s="99"/>
      <c r="C563" s="105"/>
      <c r="D563" s="126"/>
      <c r="F563" s="99"/>
      <c r="G563" s="131"/>
      <c r="H563" s="98"/>
      <c r="J563" s="105"/>
    </row>
    <row r="564" spans="1:10" s="96" customFormat="1" ht="20.399999999999999" customHeight="1">
      <c r="A564" s="385"/>
      <c r="B564" s="99"/>
      <c r="C564" s="105"/>
      <c r="D564" s="126"/>
      <c r="F564" s="99"/>
      <c r="G564" s="131"/>
      <c r="H564" s="98"/>
      <c r="J564" s="105"/>
    </row>
    <row r="565" spans="1:10" s="96" customFormat="1" ht="20.399999999999999" customHeight="1">
      <c r="A565" s="385"/>
      <c r="B565" s="99"/>
      <c r="C565" s="105"/>
      <c r="D565" s="126"/>
      <c r="F565" s="99"/>
      <c r="G565" s="131"/>
      <c r="H565" s="98"/>
      <c r="J565" s="105"/>
    </row>
    <row r="566" spans="1:10" s="96" customFormat="1" ht="20.399999999999999" customHeight="1">
      <c r="A566" s="385"/>
      <c r="B566" s="99"/>
      <c r="C566" s="105"/>
      <c r="D566" s="126"/>
      <c r="F566" s="99"/>
      <c r="G566" s="131"/>
      <c r="H566" s="98"/>
      <c r="J566" s="105"/>
    </row>
    <row r="567" spans="1:10" s="96" customFormat="1" ht="20.399999999999999" customHeight="1">
      <c r="A567" s="385"/>
      <c r="B567" s="99"/>
      <c r="C567" s="105"/>
      <c r="D567" s="126"/>
      <c r="F567" s="99"/>
      <c r="G567" s="131"/>
      <c r="H567" s="98"/>
      <c r="J567" s="105"/>
    </row>
    <row r="568" spans="1:10" s="96" customFormat="1" ht="20.399999999999999" customHeight="1">
      <c r="A568" s="385"/>
      <c r="B568" s="99"/>
      <c r="C568" s="105"/>
      <c r="D568" s="126"/>
      <c r="F568" s="99"/>
      <c r="G568" s="131"/>
      <c r="H568" s="98"/>
      <c r="J568" s="105"/>
    </row>
    <row r="569" spans="1:10" s="96" customFormat="1" ht="20.399999999999999" customHeight="1">
      <c r="A569" s="385"/>
      <c r="B569" s="99"/>
      <c r="C569" s="105"/>
      <c r="D569" s="126"/>
      <c r="F569" s="99"/>
      <c r="G569" s="131"/>
      <c r="H569" s="98"/>
      <c r="J569" s="105"/>
    </row>
    <row r="570" spans="1:10" s="96" customFormat="1" ht="20.399999999999999" customHeight="1">
      <c r="A570" s="385"/>
      <c r="B570" s="99"/>
      <c r="C570" s="105"/>
      <c r="D570" s="126"/>
      <c r="F570" s="99"/>
      <c r="G570" s="131"/>
      <c r="H570" s="98"/>
      <c r="J570" s="105"/>
    </row>
    <row r="571" spans="1:10" s="96" customFormat="1" ht="20.399999999999999" customHeight="1">
      <c r="A571" s="385"/>
      <c r="B571" s="99"/>
      <c r="C571" s="105"/>
      <c r="D571" s="126"/>
      <c r="F571" s="99"/>
      <c r="G571" s="131"/>
      <c r="H571" s="98"/>
      <c r="J571" s="105"/>
    </row>
    <row r="572" spans="1:10" s="96" customFormat="1" ht="20.399999999999999" customHeight="1">
      <c r="A572" s="385"/>
      <c r="B572" s="99"/>
      <c r="C572" s="105"/>
      <c r="D572" s="126"/>
      <c r="F572" s="99"/>
      <c r="G572" s="131"/>
      <c r="H572" s="98"/>
      <c r="J572" s="105"/>
    </row>
    <row r="573" spans="1:10" s="96" customFormat="1" ht="20.399999999999999" customHeight="1">
      <c r="A573" s="385"/>
      <c r="B573" s="99"/>
      <c r="C573" s="105"/>
      <c r="D573" s="126"/>
      <c r="F573" s="99"/>
      <c r="G573" s="131"/>
      <c r="H573" s="98"/>
      <c r="J573" s="105"/>
    </row>
    <row r="574" spans="1:10" s="96" customFormat="1" ht="20.399999999999999" customHeight="1">
      <c r="A574" s="385"/>
      <c r="B574" s="99"/>
      <c r="C574" s="105"/>
      <c r="D574" s="126"/>
      <c r="F574" s="99"/>
      <c r="G574" s="131"/>
      <c r="H574" s="98"/>
      <c r="J574" s="105"/>
    </row>
    <row r="575" spans="1:10" s="96" customFormat="1" ht="20.399999999999999" customHeight="1">
      <c r="A575" s="385"/>
      <c r="B575" s="99"/>
      <c r="C575" s="105"/>
      <c r="D575" s="126"/>
      <c r="F575" s="99"/>
      <c r="G575" s="131"/>
      <c r="H575" s="98"/>
      <c r="J575" s="105"/>
    </row>
    <row r="576" spans="1:10" s="96" customFormat="1" ht="20.399999999999999" customHeight="1">
      <c r="A576" s="385"/>
      <c r="B576" s="99"/>
      <c r="C576" s="105"/>
      <c r="D576" s="126"/>
      <c r="F576" s="99"/>
      <c r="G576" s="131"/>
      <c r="H576" s="98"/>
      <c r="J576" s="105"/>
    </row>
    <row r="577" spans="1:10" s="96" customFormat="1" ht="20.399999999999999" customHeight="1">
      <c r="A577" s="385"/>
      <c r="B577" s="99"/>
      <c r="C577" s="105"/>
      <c r="D577" s="126"/>
      <c r="F577" s="99"/>
      <c r="G577" s="131"/>
      <c r="H577" s="98"/>
      <c r="J577" s="105"/>
    </row>
    <row r="578" spans="1:10" s="96" customFormat="1" ht="20.399999999999999" customHeight="1">
      <c r="A578" s="385"/>
      <c r="B578" s="99"/>
      <c r="C578" s="105"/>
      <c r="D578" s="126"/>
      <c r="F578" s="99"/>
      <c r="G578" s="131"/>
      <c r="H578" s="98"/>
      <c r="J578" s="105"/>
    </row>
    <row r="579" spans="1:10" s="96" customFormat="1" ht="20.399999999999999" customHeight="1">
      <c r="A579" s="385"/>
      <c r="B579" s="99"/>
      <c r="C579" s="105"/>
      <c r="D579" s="126"/>
      <c r="F579" s="99"/>
      <c r="G579" s="131"/>
      <c r="H579" s="98"/>
      <c r="J579" s="105"/>
    </row>
    <row r="580" spans="1:10" s="96" customFormat="1" ht="20.399999999999999" customHeight="1">
      <c r="A580" s="385"/>
      <c r="B580" s="99"/>
      <c r="C580" s="105"/>
      <c r="D580" s="126"/>
      <c r="F580" s="99"/>
      <c r="G580" s="131"/>
      <c r="H580" s="98"/>
      <c r="J580" s="105"/>
    </row>
    <row r="581" spans="1:10" s="96" customFormat="1" ht="20.399999999999999" customHeight="1">
      <c r="A581" s="385"/>
      <c r="B581" s="99"/>
      <c r="C581" s="105"/>
      <c r="D581" s="126"/>
      <c r="F581" s="99"/>
      <c r="G581" s="131"/>
      <c r="H581" s="98"/>
      <c r="J581" s="105"/>
    </row>
    <row r="582" spans="1:10" s="96" customFormat="1" ht="20.399999999999999" customHeight="1">
      <c r="A582" s="385"/>
      <c r="B582" s="99"/>
      <c r="C582" s="105"/>
      <c r="D582" s="126"/>
      <c r="F582" s="99"/>
      <c r="G582" s="131"/>
      <c r="H582" s="98"/>
      <c r="J582" s="105"/>
    </row>
    <row r="583" spans="1:10" s="96" customFormat="1" ht="20.399999999999999" customHeight="1">
      <c r="A583" s="385"/>
      <c r="B583" s="99"/>
      <c r="C583" s="105"/>
      <c r="D583" s="126"/>
      <c r="F583" s="99"/>
      <c r="G583" s="131"/>
      <c r="H583" s="98"/>
      <c r="J583" s="105"/>
    </row>
    <row r="584" spans="1:10" s="96" customFormat="1" ht="20.399999999999999" customHeight="1">
      <c r="A584" s="385"/>
      <c r="B584" s="99"/>
      <c r="C584" s="105"/>
      <c r="D584" s="126"/>
      <c r="F584" s="99"/>
      <c r="G584" s="131"/>
      <c r="H584" s="98"/>
      <c r="J584" s="105"/>
    </row>
    <row r="585" spans="1:10" s="96" customFormat="1" ht="20.399999999999999" customHeight="1">
      <c r="A585" s="385"/>
      <c r="B585" s="99"/>
      <c r="C585" s="105"/>
      <c r="D585" s="126"/>
      <c r="F585" s="99"/>
      <c r="G585" s="131"/>
      <c r="H585" s="98"/>
      <c r="J585" s="105"/>
    </row>
    <row r="586" spans="1:10" s="96" customFormat="1" ht="20.399999999999999" customHeight="1">
      <c r="A586" s="385"/>
      <c r="B586" s="99"/>
      <c r="C586" s="105"/>
      <c r="D586" s="126"/>
      <c r="F586" s="99"/>
      <c r="G586" s="131"/>
      <c r="H586" s="98"/>
      <c r="J586" s="105"/>
    </row>
    <row r="587" spans="1:10" s="96" customFormat="1" ht="20.399999999999999" customHeight="1">
      <c r="A587" s="385"/>
      <c r="B587" s="99"/>
      <c r="C587" s="105"/>
      <c r="D587" s="126"/>
      <c r="F587" s="99"/>
      <c r="G587" s="131"/>
      <c r="H587" s="98"/>
      <c r="J587" s="105"/>
    </row>
    <row r="588" spans="1:10" s="96" customFormat="1" ht="20.399999999999999" customHeight="1">
      <c r="A588" s="385"/>
      <c r="B588" s="99"/>
      <c r="C588" s="105"/>
      <c r="D588" s="126"/>
      <c r="F588" s="99"/>
      <c r="G588" s="131"/>
      <c r="H588" s="98"/>
      <c r="J588" s="105"/>
    </row>
    <row r="589" spans="1:10" s="96" customFormat="1" ht="20.399999999999999" customHeight="1">
      <c r="A589" s="385"/>
      <c r="B589" s="99"/>
      <c r="C589" s="105"/>
      <c r="D589" s="126"/>
      <c r="F589" s="99"/>
      <c r="G589" s="131"/>
      <c r="H589" s="98"/>
      <c r="J589" s="105"/>
    </row>
    <row r="590" spans="1:10" s="96" customFormat="1" ht="20.399999999999999" customHeight="1">
      <c r="A590" s="385"/>
      <c r="B590" s="99"/>
      <c r="C590" s="105"/>
      <c r="D590" s="126"/>
      <c r="F590" s="99"/>
      <c r="G590" s="131"/>
      <c r="H590" s="98"/>
      <c r="J590" s="105"/>
    </row>
    <row r="591" spans="1:10" s="96" customFormat="1" ht="20.399999999999999" customHeight="1">
      <c r="A591" s="385"/>
      <c r="B591" s="99"/>
      <c r="C591" s="105"/>
      <c r="D591" s="126"/>
      <c r="F591" s="99"/>
      <c r="G591" s="131"/>
      <c r="H591" s="98"/>
      <c r="J591" s="105"/>
    </row>
    <row r="592" spans="1:10" s="96" customFormat="1" ht="20.399999999999999" customHeight="1">
      <c r="A592" s="385"/>
      <c r="B592" s="99"/>
      <c r="C592" s="105"/>
      <c r="D592" s="126"/>
      <c r="F592" s="99"/>
      <c r="G592" s="131"/>
      <c r="H592" s="98"/>
      <c r="J592" s="105"/>
    </row>
    <row r="593" spans="1:10" s="96" customFormat="1" ht="20.399999999999999" customHeight="1">
      <c r="A593" s="385"/>
      <c r="B593" s="99"/>
      <c r="C593" s="105"/>
      <c r="D593" s="126"/>
      <c r="F593" s="99"/>
      <c r="G593" s="131"/>
      <c r="H593" s="98"/>
      <c r="J593" s="105"/>
    </row>
    <row r="594" spans="1:10" s="96" customFormat="1" ht="20.399999999999999" customHeight="1">
      <c r="A594" s="385"/>
      <c r="B594" s="99"/>
      <c r="C594" s="105"/>
      <c r="D594" s="126"/>
      <c r="F594" s="99"/>
      <c r="G594" s="131"/>
      <c r="H594" s="98"/>
      <c r="J594" s="105"/>
    </row>
    <row r="595" spans="1:10" s="96" customFormat="1" ht="20.399999999999999" customHeight="1">
      <c r="A595" s="385"/>
      <c r="B595" s="99"/>
      <c r="C595" s="105"/>
      <c r="D595" s="126"/>
      <c r="F595" s="99"/>
      <c r="G595" s="131"/>
      <c r="H595" s="98"/>
      <c r="J595" s="105"/>
    </row>
    <row r="596" spans="1:10" s="96" customFormat="1" ht="20.399999999999999" customHeight="1">
      <c r="A596" s="385"/>
      <c r="B596" s="99"/>
      <c r="C596" s="105"/>
      <c r="D596" s="126"/>
      <c r="F596" s="99"/>
      <c r="G596" s="131"/>
      <c r="H596" s="98"/>
      <c r="J596" s="105"/>
    </row>
    <row r="597" spans="1:10" s="96" customFormat="1" ht="20.399999999999999" customHeight="1">
      <c r="A597" s="385"/>
      <c r="B597" s="99"/>
      <c r="C597" s="105"/>
      <c r="D597" s="126"/>
      <c r="F597" s="99"/>
      <c r="G597" s="131"/>
      <c r="H597" s="98"/>
      <c r="J597" s="105"/>
    </row>
    <row r="598" spans="1:10" s="96" customFormat="1" ht="20.399999999999999" customHeight="1">
      <c r="A598" s="385"/>
      <c r="B598" s="99"/>
      <c r="C598" s="105"/>
      <c r="D598" s="126"/>
      <c r="F598" s="99"/>
      <c r="G598" s="131"/>
      <c r="H598" s="98"/>
      <c r="J598" s="105"/>
    </row>
    <row r="599" spans="1:10" s="96" customFormat="1" ht="20.399999999999999" customHeight="1">
      <c r="A599" s="385"/>
      <c r="B599" s="99"/>
      <c r="C599" s="105"/>
      <c r="D599" s="126"/>
      <c r="F599" s="99"/>
      <c r="G599" s="131"/>
      <c r="H599" s="98"/>
      <c r="J599" s="105"/>
    </row>
    <row r="600" spans="1:10" s="96" customFormat="1" ht="20.399999999999999" customHeight="1">
      <c r="A600" s="385"/>
      <c r="B600" s="99"/>
      <c r="C600" s="105"/>
      <c r="D600" s="126"/>
      <c r="F600" s="99"/>
      <c r="G600" s="131"/>
      <c r="H600" s="98"/>
      <c r="J600" s="105"/>
    </row>
    <row r="601" spans="1:10" s="96" customFormat="1" ht="20.399999999999999" customHeight="1">
      <c r="A601" s="385"/>
      <c r="B601" s="99"/>
      <c r="C601" s="105"/>
      <c r="D601" s="126"/>
      <c r="F601" s="99"/>
      <c r="G601" s="131"/>
      <c r="H601" s="98"/>
      <c r="J601" s="105"/>
    </row>
    <row r="602" spans="1:10" s="96" customFormat="1" ht="20.399999999999999" customHeight="1">
      <c r="A602" s="385"/>
      <c r="B602" s="99"/>
      <c r="C602" s="105"/>
      <c r="D602" s="126"/>
      <c r="F602" s="99"/>
      <c r="G602" s="131"/>
      <c r="H602" s="98"/>
      <c r="J602" s="105"/>
    </row>
    <row r="603" spans="1:10" s="96" customFormat="1" ht="20.399999999999999" customHeight="1">
      <c r="A603" s="385"/>
      <c r="B603" s="99"/>
      <c r="C603" s="105"/>
      <c r="D603" s="126"/>
      <c r="F603" s="99"/>
      <c r="G603" s="131"/>
      <c r="H603" s="98"/>
      <c r="J603" s="105"/>
    </row>
    <row r="604" spans="1:10" s="96" customFormat="1" ht="20.399999999999999" customHeight="1">
      <c r="A604" s="385"/>
      <c r="B604" s="99"/>
      <c r="C604" s="105"/>
      <c r="D604" s="126"/>
      <c r="F604" s="99"/>
      <c r="G604" s="131"/>
      <c r="H604" s="98"/>
      <c r="J604" s="105"/>
    </row>
    <row r="605" spans="1:10" s="96" customFormat="1" ht="20.399999999999999" customHeight="1">
      <c r="A605" s="385"/>
      <c r="B605" s="99"/>
      <c r="C605" s="105"/>
      <c r="D605" s="126"/>
      <c r="F605" s="99"/>
      <c r="G605" s="131"/>
      <c r="H605" s="98"/>
      <c r="J605" s="105"/>
    </row>
    <row r="606" spans="1:10" s="96" customFormat="1" ht="20.399999999999999" customHeight="1">
      <c r="A606" s="385"/>
      <c r="B606" s="99"/>
      <c r="C606" s="105"/>
      <c r="D606" s="126"/>
      <c r="F606" s="99"/>
      <c r="G606" s="131"/>
      <c r="H606" s="98"/>
      <c r="J606" s="105"/>
    </row>
    <row r="607" spans="1:10" s="96" customFormat="1" ht="20.399999999999999" customHeight="1">
      <c r="A607" s="385"/>
      <c r="B607" s="99"/>
      <c r="C607" s="105"/>
      <c r="D607" s="126"/>
      <c r="F607" s="99"/>
      <c r="G607" s="131"/>
      <c r="H607" s="98"/>
      <c r="J607" s="105"/>
    </row>
    <row r="608" spans="1:10" s="96" customFormat="1" ht="20.399999999999999" customHeight="1">
      <c r="A608" s="385"/>
      <c r="B608" s="99"/>
      <c r="C608" s="105"/>
      <c r="D608" s="126"/>
      <c r="F608" s="99"/>
      <c r="G608" s="131"/>
      <c r="H608" s="98"/>
      <c r="J608" s="105"/>
    </row>
    <row r="609" spans="1:10" s="96" customFormat="1" ht="20.399999999999999" customHeight="1">
      <c r="A609" s="385"/>
      <c r="B609" s="99"/>
      <c r="C609" s="105"/>
      <c r="D609" s="126"/>
      <c r="F609" s="99"/>
      <c r="G609" s="131"/>
      <c r="H609" s="98"/>
      <c r="J609" s="105"/>
    </row>
    <row r="610" spans="1:10" s="96" customFormat="1" ht="20.399999999999999" customHeight="1">
      <c r="A610" s="385"/>
      <c r="B610" s="99"/>
      <c r="C610" s="105"/>
      <c r="D610" s="126"/>
      <c r="F610" s="99"/>
      <c r="G610" s="131"/>
      <c r="H610" s="98"/>
      <c r="J610" s="105"/>
    </row>
    <row r="611" spans="1:10" s="96" customFormat="1" ht="20.399999999999999" customHeight="1">
      <c r="A611" s="385"/>
      <c r="B611" s="99"/>
      <c r="C611" s="105"/>
      <c r="D611" s="126"/>
      <c r="F611" s="99"/>
      <c r="G611" s="131"/>
      <c r="H611" s="98"/>
      <c r="J611" s="105"/>
    </row>
    <row r="612" spans="1:10" s="96" customFormat="1" ht="20.399999999999999" customHeight="1">
      <c r="A612" s="385"/>
      <c r="B612" s="99"/>
      <c r="C612" s="105"/>
      <c r="D612" s="126"/>
      <c r="F612" s="99"/>
      <c r="G612" s="131"/>
      <c r="H612" s="98"/>
      <c r="J612" s="105"/>
    </row>
    <row r="613" spans="1:10" s="96" customFormat="1" ht="20.399999999999999" customHeight="1">
      <c r="A613" s="385"/>
      <c r="B613" s="99"/>
      <c r="C613" s="105"/>
      <c r="D613" s="126"/>
      <c r="F613" s="99"/>
      <c r="G613" s="131"/>
      <c r="H613" s="98"/>
      <c r="J613" s="105"/>
    </row>
    <row r="614" spans="1:10" s="96" customFormat="1" ht="20.399999999999999" customHeight="1">
      <c r="A614" s="385"/>
      <c r="B614" s="99"/>
      <c r="C614" s="105"/>
      <c r="D614" s="126"/>
      <c r="F614" s="99"/>
      <c r="G614" s="131"/>
      <c r="H614" s="98"/>
      <c r="J614" s="105"/>
    </row>
    <row r="615" spans="1:10" s="96" customFormat="1" ht="20.399999999999999" customHeight="1">
      <c r="A615" s="385"/>
      <c r="B615" s="99"/>
      <c r="C615" s="105"/>
      <c r="D615" s="126"/>
      <c r="F615" s="99"/>
      <c r="G615" s="131"/>
      <c r="H615" s="98"/>
      <c r="J615" s="105"/>
    </row>
    <row r="616" spans="1:10" s="96" customFormat="1" ht="20.399999999999999" customHeight="1">
      <c r="A616" s="385"/>
      <c r="B616" s="99"/>
      <c r="C616" s="105"/>
      <c r="D616" s="126"/>
      <c r="F616" s="99"/>
      <c r="G616" s="131"/>
      <c r="H616" s="98"/>
      <c r="J616" s="105"/>
    </row>
    <row r="617" spans="1:10" s="96" customFormat="1" ht="20.399999999999999" customHeight="1">
      <c r="A617" s="385"/>
      <c r="B617" s="99"/>
      <c r="C617" s="105"/>
      <c r="D617" s="126"/>
      <c r="F617" s="99"/>
      <c r="G617" s="131"/>
      <c r="H617" s="98"/>
      <c r="J617" s="105"/>
    </row>
    <row r="618" spans="1:10" s="96" customFormat="1" ht="20.399999999999999" customHeight="1">
      <c r="A618" s="385"/>
      <c r="B618" s="99"/>
      <c r="C618" s="105"/>
      <c r="D618" s="126"/>
      <c r="F618" s="99"/>
      <c r="G618" s="131"/>
      <c r="H618" s="98"/>
      <c r="J618" s="105"/>
    </row>
    <row r="619" spans="1:10" s="96" customFormat="1" ht="20.399999999999999" customHeight="1">
      <c r="A619" s="385"/>
      <c r="B619" s="99"/>
      <c r="C619" s="105"/>
      <c r="D619" s="126"/>
      <c r="F619" s="99"/>
      <c r="G619" s="131"/>
      <c r="H619" s="98"/>
      <c r="J619" s="105"/>
    </row>
    <row r="620" spans="1:10" s="96" customFormat="1" ht="20.399999999999999" customHeight="1">
      <c r="A620" s="385"/>
      <c r="B620" s="99"/>
      <c r="C620" s="105"/>
      <c r="D620" s="126"/>
      <c r="F620" s="99"/>
      <c r="G620" s="131"/>
      <c r="H620" s="98"/>
      <c r="J620" s="105"/>
    </row>
    <row r="621" spans="1:10" s="96" customFormat="1" ht="20.399999999999999" customHeight="1">
      <c r="A621" s="385"/>
      <c r="B621" s="99"/>
      <c r="C621" s="105"/>
      <c r="D621" s="126"/>
      <c r="F621" s="99"/>
      <c r="G621" s="131"/>
      <c r="H621" s="98"/>
      <c r="J621" s="105"/>
    </row>
    <row r="622" spans="1:10" s="96" customFormat="1" ht="20.399999999999999" customHeight="1">
      <c r="A622" s="385"/>
      <c r="B622" s="99"/>
      <c r="C622" s="105"/>
      <c r="D622" s="126"/>
      <c r="F622" s="99"/>
      <c r="G622" s="131"/>
      <c r="H622" s="98"/>
      <c r="J622" s="105"/>
    </row>
    <row r="623" spans="1:10" s="96" customFormat="1" ht="20.399999999999999" customHeight="1">
      <c r="A623" s="385"/>
      <c r="B623" s="99"/>
      <c r="C623" s="105"/>
      <c r="D623" s="126"/>
      <c r="F623" s="99"/>
      <c r="G623" s="131"/>
      <c r="H623" s="98"/>
      <c r="J623" s="105"/>
    </row>
    <row r="624" spans="1:10" s="96" customFormat="1" ht="20.399999999999999" customHeight="1">
      <c r="A624" s="385"/>
      <c r="B624" s="99"/>
      <c r="C624" s="105"/>
      <c r="D624" s="126"/>
      <c r="F624" s="99"/>
      <c r="G624" s="131"/>
      <c r="H624" s="98"/>
      <c r="J624" s="105"/>
    </row>
    <row r="625" spans="1:10" s="96" customFormat="1" ht="20.399999999999999" customHeight="1">
      <c r="A625" s="385"/>
      <c r="B625" s="99"/>
      <c r="C625" s="105"/>
      <c r="D625" s="126"/>
      <c r="F625" s="99"/>
      <c r="G625" s="131"/>
      <c r="H625" s="98"/>
      <c r="J625" s="105"/>
    </row>
    <row r="626" spans="1:10" s="96" customFormat="1" ht="20.399999999999999" customHeight="1">
      <c r="A626" s="385"/>
      <c r="B626" s="99"/>
      <c r="C626" s="105"/>
      <c r="D626" s="126"/>
      <c r="F626" s="99"/>
      <c r="G626" s="131"/>
      <c r="H626" s="98"/>
      <c r="J626" s="105"/>
    </row>
    <row r="627" spans="1:10" s="96" customFormat="1" ht="20.399999999999999" customHeight="1">
      <c r="A627" s="385"/>
      <c r="B627" s="99"/>
      <c r="C627" s="105"/>
      <c r="D627" s="126"/>
      <c r="F627" s="99"/>
      <c r="G627" s="131"/>
      <c r="H627" s="98"/>
      <c r="J627" s="105"/>
    </row>
    <row r="628" spans="1:10" s="96" customFormat="1" ht="20.399999999999999" customHeight="1">
      <c r="A628" s="385"/>
      <c r="B628" s="99"/>
      <c r="C628" s="105"/>
      <c r="D628" s="126"/>
      <c r="F628" s="99"/>
      <c r="G628" s="131"/>
      <c r="H628" s="98"/>
      <c r="J628" s="105"/>
    </row>
    <row r="629" spans="1:10" s="96" customFormat="1" ht="20.399999999999999" customHeight="1">
      <c r="A629" s="385"/>
      <c r="B629" s="99"/>
      <c r="C629" s="105"/>
      <c r="D629" s="126"/>
      <c r="F629" s="99"/>
      <c r="G629" s="131"/>
      <c r="H629" s="98"/>
      <c r="J629" s="105"/>
    </row>
    <row r="630" spans="1:10" s="96" customFormat="1" ht="20.399999999999999" customHeight="1">
      <c r="A630" s="385"/>
      <c r="B630" s="99"/>
      <c r="C630" s="105"/>
      <c r="D630" s="126"/>
      <c r="F630" s="99"/>
      <c r="G630" s="131"/>
      <c r="H630" s="98"/>
      <c r="J630" s="105"/>
    </row>
    <row r="631" spans="1:10" s="96" customFormat="1" ht="20.399999999999999" customHeight="1">
      <c r="A631" s="385"/>
      <c r="B631" s="99"/>
      <c r="C631" s="105"/>
      <c r="D631" s="126"/>
      <c r="F631" s="99"/>
      <c r="G631" s="131"/>
      <c r="H631" s="98"/>
      <c r="J631" s="105"/>
    </row>
    <row r="632" spans="1:10" s="96" customFormat="1" ht="20.399999999999999" customHeight="1">
      <c r="A632" s="385"/>
      <c r="B632" s="99"/>
      <c r="C632" s="105"/>
      <c r="D632" s="126"/>
      <c r="F632" s="99"/>
      <c r="G632" s="131"/>
      <c r="H632" s="98"/>
      <c r="J632" s="105"/>
    </row>
    <row r="633" spans="1:10" s="96" customFormat="1" ht="20.399999999999999" customHeight="1">
      <c r="A633" s="385"/>
      <c r="B633" s="99"/>
      <c r="C633" s="105"/>
      <c r="D633" s="126"/>
      <c r="F633" s="99"/>
      <c r="G633" s="131"/>
      <c r="H633" s="98"/>
      <c r="J633" s="105"/>
    </row>
    <row r="634" spans="1:10" s="96" customFormat="1" ht="20.399999999999999" customHeight="1">
      <c r="A634" s="385"/>
      <c r="B634" s="99"/>
      <c r="C634" s="105"/>
      <c r="D634" s="126"/>
      <c r="F634" s="99"/>
      <c r="G634" s="131"/>
      <c r="H634" s="98"/>
      <c r="J634" s="105"/>
    </row>
    <row r="635" spans="1:10" s="96" customFormat="1" ht="20.399999999999999" customHeight="1">
      <c r="A635" s="385"/>
      <c r="B635" s="99"/>
      <c r="C635" s="105"/>
      <c r="D635" s="126"/>
      <c r="F635" s="99"/>
      <c r="G635" s="131"/>
      <c r="H635" s="98"/>
      <c r="J635" s="105"/>
    </row>
    <row r="636" spans="1:10" s="96" customFormat="1" ht="20.399999999999999" customHeight="1">
      <c r="A636" s="385"/>
      <c r="B636" s="99"/>
      <c r="C636" s="105"/>
      <c r="D636" s="126"/>
      <c r="F636" s="99"/>
      <c r="G636" s="131"/>
      <c r="H636" s="98"/>
      <c r="J636" s="105"/>
    </row>
    <row r="637" spans="1:10" s="96" customFormat="1" ht="20.399999999999999" customHeight="1">
      <c r="A637" s="385"/>
      <c r="B637" s="99"/>
      <c r="C637" s="105"/>
      <c r="D637" s="126"/>
      <c r="F637" s="99"/>
      <c r="G637" s="131"/>
      <c r="H637" s="98"/>
      <c r="J637" s="105"/>
    </row>
    <row r="638" spans="1:10" s="96" customFormat="1" ht="20.399999999999999" customHeight="1">
      <c r="A638" s="385"/>
      <c r="B638" s="99"/>
      <c r="C638" s="105"/>
      <c r="D638" s="126"/>
      <c r="F638" s="99"/>
      <c r="G638" s="131"/>
      <c r="H638" s="98"/>
      <c r="J638" s="105"/>
    </row>
    <row r="639" spans="1:10" s="96" customFormat="1" ht="20.399999999999999" customHeight="1">
      <c r="A639" s="385"/>
      <c r="B639" s="99"/>
      <c r="C639" s="105"/>
      <c r="D639" s="126"/>
      <c r="F639" s="99"/>
      <c r="G639" s="131"/>
      <c r="H639" s="98"/>
      <c r="J639" s="105"/>
    </row>
    <row r="640" spans="1:10" s="96" customFormat="1" ht="20.399999999999999" customHeight="1">
      <c r="A640" s="385"/>
      <c r="B640" s="99"/>
      <c r="C640" s="105"/>
      <c r="D640" s="126"/>
      <c r="F640" s="99"/>
      <c r="G640" s="131"/>
      <c r="H640" s="98"/>
      <c r="J640" s="105"/>
    </row>
    <row r="641" spans="1:10" s="96" customFormat="1" ht="20.399999999999999" customHeight="1">
      <c r="A641" s="385"/>
      <c r="B641" s="99"/>
      <c r="C641" s="105"/>
      <c r="D641" s="126"/>
      <c r="F641" s="99"/>
      <c r="G641" s="131"/>
      <c r="H641" s="98"/>
      <c r="J641" s="105"/>
    </row>
    <row r="642" spans="1:10" s="96" customFormat="1" ht="20.399999999999999" customHeight="1">
      <c r="A642" s="385"/>
      <c r="B642" s="99"/>
      <c r="C642" s="105"/>
      <c r="D642" s="126"/>
      <c r="F642" s="99"/>
      <c r="G642" s="131"/>
      <c r="H642" s="98"/>
      <c r="J642" s="105"/>
    </row>
    <row r="643" spans="1:10" s="96" customFormat="1" ht="20.399999999999999" customHeight="1">
      <c r="A643" s="385"/>
      <c r="B643" s="99"/>
      <c r="C643" s="105"/>
      <c r="D643" s="126"/>
      <c r="F643" s="99"/>
      <c r="G643" s="131"/>
      <c r="H643" s="98"/>
      <c r="J643" s="105"/>
    </row>
    <row r="644" spans="1:10" s="96" customFormat="1" ht="20.399999999999999" customHeight="1">
      <c r="A644" s="385"/>
      <c r="B644" s="99"/>
      <c r="C644" s="105"/>
      <c r="D644" s="126"/>
      <c r="F644" s="99"/>
      <c r="G644" s="131"/>
      <c r="H644" s="98"/>
      <c r="J644" s="105"/>
    </row>
    <row r="645" spans="1:10" s="96" customFormat="1" ht="20.399999999999999" customHeight="1">
      <c r="A645" s="385"/>
      <c r="B645" s="99"/>
      <c r="C645" s="105"/>
      <c r="D645" s="126"/>
      <c r="F645" s="99"/>
      <c r="G645" s="131"/>
      <c r="H645" s="98"/>
      <c r="J645" s="105"/>
    </row>
    <row r="646" spans="1:10" s="96" customFormat="1" ht="20.399999999999999" customHeight="1">
      <c r="A646" s="385"/>
      <c r="B646" s="99"/>
      <c r="C646" s="105"/>
      <c r="D646" s="126"/>
      <c r="F646" s="99"/>
      <c r="G646" s="131"/>
      <c r="H646" s="98"/>
      <c r="J646" s="105"/>
    </row>
    <row r="647" spans="1:10" s="96" customFormat="1" ht="20.399999999999999" customHeight="1">
      <c r="A647" s="385"/>
      <c r="B647" s="99"/>
      <c r="C647" s="105"/>
      <c r="D647" s="126"/>
      <c r="F647" s="99"/>
      <c r="G647" s="131"/>
      <c r="H647" s="98"/>
      <c r="J647" s="105"/>
    </row>
    <row r="648" spans="1:10" s="96" customFormat="1" ht="20.399999999999999" customHeight="1">
      <c r="A648" s="385"/>
      <c r="B648" s="99"/>
      <c r="C648" s="105"/>
      <c r="D648" s="126"/>
      <c r="F648" s="99"/>
      <c r="G648" s="131"/>
      <c r="H648" s="98"/>
      <c r="J648" s="105"/>
    </row>
    <row r="649" spans="1:10" s="96" customFormat="1" ht="20.399999999999999" customHeight="1">
      <c r="A649" s="385"/>
      <c r="B649" s="99"/>
      <c r="C649" s="105"/>
      <c r="D649" s="126"/>
      <c r="F649" s="99"/>
      <c r="G649" s="131"/>
      <c r="H649" s="98"/>
      <c r="J649" s="105"/>
    </row>
    <row r="650" spans="1:10" s="96" customFormat="1" ht="20.399999999999999" customHeight="1">
      <c r="A650" s="385"/>
      <c r="B650" s="99"/>
      <c r="C650" s="105"/>
      <c r="D650" s="126"/>
      <c r="F650" s="99"/>
      <c r="G650" s="131"/>
      <c r="H650" s="98"/>
      <c r="J650" s="105"/>
    </row>
    <row r="651" spans="1:10" s="96" customFormat="1" ht="20.399999999999999" customHeight="1">
      <c r="A651" s="385"/>
      <c r="B651" s="99"/>
      <c r="C651" s="105"/>
      <c r="D651" s="126"/>
      <c r="F651" s="99"/>
      <c r="G651" s="131"/>
      <c r="H651" s="98"/>
      <c r="J651" s="105"/>
    </row>
    <row r="652" spans="1:10" s="96" customFormat="1" ht="20.399999999999999" customHeight="1">
      <c r="A652" s="385"/>
      <c r="B652" s="99"/>
      <c r="C652" s="105"/>
      <c r="D652" s="126"/>
      <c r="F652" s="99"/>
      <c r="G652" s="131"/>
      <c r="H652" s="98"/>
      <c r="J652" s="105"/>
    </row>
    <row r="653" spans="1:10" s="96" customFormat="1" ht="20.399999999999999" customHeight="1">
      <c r="A653" s="385"/>
      <c r="B653" s="99"/>
      <c r="C653" s="105"/>
      <c r="D653" s="126"/>
      <c r="F653" s="99"/>
      <c r="G653" s="131"/>
      <c r="H653" s="98"/>
      <c r="J653" s="105"/>
    </row>
    <row r="654" spans="1:10" s="96" customFormat="1" ht="20.399999999999999" customHeight="1">
      <c r="A654" s="385"/>
      <c r="B654" s="99"/>
      <c r="C654" s="105"/>
      <c r="D654" s="126"/>
      <c r="F654" s="99"/>
      <c r="G654" s="131"/>
      <c r="H654" s="98"/>
      <c r="J654" s="105"/>
    </row>
    <row r="655" spans="1:10" s="96" customFormat="1" ht="20.399999999999999" customHeight="1">
      <c r="A655" s="385"/>
      <c r="B655" s="99"/>
      <c r="C655" s="105"/>
      <c r="D655" s="126"/>
      <c r="F655" s="99"/>
      <c r="G655" s="131"/>
      <c r="H655" s="98"/>
      <c r="J655" s="105"/>
    </row>
    <row r="656" spans="1:10" s="96" customFormat="1" ht="20.399999999999999" customHeight="1">
      <c r="A656" s="385"/>
      <c r="B656" s="99"/>
      <c r="C656" s="105"/>
      <c r="D656" s="126"/>
      <c r="F656" s="99"/>
      <c r="G656" s="131"/>
      <c r="H656" s="98"/>
      <c r="J656" s="105"/>
    </row>
    <row r="657" spans="1:10" s="96" customFormat="1" ht="20.399999999999999" customHeight="1">
      <c r="A657" s="385"/>
      <c r="B657" s="99"/>
      <c r="C657" s="105"/>
      <c r="D657" s="126"/>
      <c r="F657" s="99"/>
      <c r="G657" s="131"/>
      <c r="H657" s="98"/>
      <c r="J657" s="105"/>
    </row>
    <row r="658" spans="1:10" s="96" customFormat="1" ht="20.399999999999999" customHeight="1">
      <c r="A658" s="385"/>
      <c r="B658" s="99"/>
      <c r="C658" s="105"/>
      <c r="D658" s="126"/>
      <c r="F658" s="99"/>
      <c r="G658" s="131"/>
      <c r="H658" s="98"/>
      <c r="J658" s="105"/>
    </row>
    <row r="659" spans="1:10" s="96" customFormat="1" ht="20.399999999999999" customHeight="1">
      <c r="A659" s="385"/>
      <c r="B659" s="99"/>
      <c r="C659" s="105"/>
      <c r="D659" s="126"/>
      <c r="F659" s="99"/>
      <c r="G659" s="131"/>
      <c r="H659" s="98"/>
      <c r="J659" s="105"/>
    </row>
    <row r="660" spans="1:10" s="96" customFormat="1" ht="20.399999999999999" customHeight="1">
      <c r="A660" s="385"/>
      <c r="B660" s="99"/>
      <c r="C660" s="105"/>
      <c r="D660" s="126"/>
      <c r="F660" s="99"/>
      <c r="G660" s="131"/>
      <c r="H660" s="98"/>
      <c r="J660" s="105"/>
    </row>
    <row r="661" spans="1:10" s="96" customFormat="1" ht="20.399999999999999" customHeight="1">
      <c r="A661" s="385"/>
      <c r="B661" s="99"/>
      <c r="C661" s="105"/>
      <c r="D661" s="126"/>
      <c r="F661" s="99"/>
      <c r="G661" s="131"/>
      <c r="H661" s="98"/>
      <c r="J661" s="105"/>
    </row>
    <row r="662" spans="1:10" s="96" customFormat="1" ht="20.399999999999999" customHeight="1">
      <c r="A662" s="385"/>
      <c r="B662" s="99"/>
      <c r="C662" s="105"/>
      <c r="D662" s="126"/>
      <c r="F662" s="99"/>
      <c r="G662" s="131"/>
      <c r="H662" s="98"/>
      <c r="J662" s="105"/>
    </row>
    <row r="663" spans="1:10" s="96" customFormat="1" ht="20.399999999999999" customHeight="1">
      <c r="A663" s="385"/>
      <c r="B663" s="99"/>
      <c r="C663" s="105"/>
      <c r="D663" s="126"/>
      <c r="F663" s="99"/>
      <c r="G663" s="131"/>
      <c r="H663" s="98"/>
      <c r="J663" s="105"/>
    </row>
    <row r="664" spans="1:10" s="96" customFormat="1" ht="20.399999999999999" customHeight="1">
      <c r="A664" s="385"/>
      <c r="B664" s="99"/>
      <c r="C664" s="105"/>
      <c r="D664" s="126"/>
      <c r="F664" s="99"/>
      <c r="G664" s="131"/>
      <c r="H664" s="98"/>
      <c r="J664" s="105"/>
    </row>
    <row r="665" spans="1:10" s="96" customFormat="1" ht="20.399999999999999" customHeight="1">
      <c r="A665" s="385"/>
      <c r="B665" s="99"/>
      <c r="C665" s="105"/>
      <c r="D665" s="126"/>
      <c r="F665" s="99"/>
      <c r="G665" s="131"/>
      <c r="H665" s="98"/>
      <c r="J665" s="105"/>
    </row>
    <row r="666" spans="1:10" s="96" customFormat="1" ht="20.399999999999999" customHeight="1">
      <c r="A666" s="385"/>
      <c r="B666" s="99"/>
      <c r="C666" s="105"/>
      <c r="D666" s="126"/>
      <c r="F666" s="99"/>
      <c r="G666" s="131"/>
      <c r="H666" s="98"/>
      <c r="J666" s="105"/>
    </row>
    <row r="667" spans="1:10" s="96" customFormat="1" ht="20.399999999999999" customHeight="1">
      <c r="A667" s="385"/>
      <c r="B667" s="99"/>
      <c r="C667" s="105"/>
      <c r="D667" s="126"/>
      <c r="F667" s="99"/>
      <c r="G667" s="131"/>
      <c r="H667" s="98"/>
      <c r="J667" s="105"/>
    </row>
    <row r="668" spans="1:10" s="96" customFormat="1" ht="20.399999999999999" customHeight="1">
      <c r="A668" s="385"/>
      <c r="B668" s="99"/>
      <c r="C668" s="105"/>
      <c r="D668" s="126"/>
      <c r="F668" s="99"/>
      <c r="G668" s="131"/>
      <c r="H668" s="98"/>
      <c r="J668" s="105"/>
    </row>
    <row r="669" spans="1:10" s="96" customFormat="1" ht="20.399999999999999" customHeight="1">
      <c r="A669" s="385"/>
      <c r="B669" s="99"/>
      <c r="C669" s="105"/>
      <c r="D669" s="126"/>
      <c r="F669" s="99"/>
      <c r="G669" s="131"/>
      <c r="H669" s="98"/>
      <c r="J669" s="105"/>
    </row>
    <row r="670" spans="1:10" s="96" customFormat="1" ht="20.399999999999999" customHeight="1">
      <c r="A670" s="385"/>
      <c r="B670" s="99"/>
      <c r="C670" s="105"/>
      <c r="D670" s="126"/>
      <c r="F670" s="99"/>
      <c r="G670" s="131"/>
      <c r="H670" s="98"/>
      <c r="J670" s="105"/>
    </row>
    <row r="671" spans="1:10" s="96" customFormat="1" ht="20.399999999999999" customHeight="1">
      <c r="A671" s="385"/>
      <c r="B671" s="99"/>
      <c r="C671" s="105"/>
      <c r="D671" s="126"/>
      <c r="F671" s="99"/>
      <c r="G671" s="131"/>
      <c r="H671" s="98"/>
      <c r="J671" s="105"/>
    </row>
    <row r="672" spans="1:10" s="96" customFormat="1" ht="20.399999999999999" customHeight="1">
      <c r="A672" s="385"/>
      <c r="B672" s="99"/>
      <c r="C672" s="105"/>
      <c r="D672" s="126"/>
      <c r="F672" s="99"/>
      <c r="G672" s="131"/>
      <c r="H672" s="98"/>
      <c r="J672" s="105"/>
    </row>
    <row r="673" spans="1:10" s="96" customFormat="1" ht="20.399999999999999" customHeight="1">
      <c r="A673" s="385"/>
      <c r="B673" s="99"/>
      <c r="C673" s="105"/>
      <c r="D673" s="126"/>
      <c r="F673" s="99"/>
      <c r="G673" s="131"/>
      <c r="H673" s="98"/>
      <c r="J673" s="105"/>
    </row>
    <row r="674" spans="1:10" s="96" customFormat="1" ht="20.399999999999999" customHeight="1">
      <c r="A674" s="385"/>
      <c r="B674" s="99"/>
      <c r="C674" s="105"/>
      <c r="D674" s="126"/>
      <c r="F674" s="99"/>
      <c r="G674" s="131"/>
      <c r="H674" s="98"/>
      <c r="J674" s="105"/>
    </row>
    <row r="675" spans="1:10" s="96" customFormat="1" ht="20.399999999999999" customHeight="1">
      <c r="A675" s="385"/>
      <c r="B675" s="99"/>
      <c r="C675" s="105"/>
      <c r="D675" s="126"/>
      <c r="F675" s="99"/>
      <c r="G675" s="131"/>
      <c r="H675" s="98"/>
      <c r="J675" s="105"/>
    </row>
    <row r="676" spans="1:10" s="96" customFormat="1" ht="20.399999999999999" customHeight="1">
      <c r="A676" s="385"/>
      <c r="B676" s="99"/>
      <c r="C676" s="105"/>
      <c r="D676" s="126"/>
      <c r="F676" s="99"/>
      <c r="G676" s="131"/>
      <c r="H676" s="98"/>
      <c r="J676" s="105"/>
    </row>
    <row r="677" spans="1:10" s="96" customFormat="1" ht="20.399999999999999" customHeight="1">
      <c r="A677" s="385"/>
      <c r="B677" s="99"/>
      <c r="C677" s="105"/>
      <c r="D677" s="126"/>
      <c r="F677" s="99"/>
      <c r="G677" s="131"/>
      <c r="H677" s="98"/>
      <c r="J677" s="105"/>
    </row>
    <row r="678" spans="1:10" s="96" customFormat="1" ht="20.399999999999999" customHeight="1">
      <c r="A678" s="385"/>
      <c r="B678" s="99"/>
      <c r="C678" s="105"/>
      <c r="D678" s="126"/>
      <c r="F678" s="99"/>
      <c r="G678" s="131"/>
      <c r="H678" s="98"/>
      <c r="J678" s="105"/>
    </row>
    <row r="679" spans="1:10" s="96" customFormat="1" ht="20.399999999999999" customHeight="1">
      <c r="A679" s="385"/>
      <c r="B679" s="99"/>
      <c r="C679" s="105"/>
      <c r="D679" s="126"/>
      <c r="F679" s="99"/>
      <c r="G679" s="131"/>
      <c r="H679" s="98"/>
      <c r="J679" s="105"/>
    </row>
    <row r="680" spans="1:10" s="96" customFormat="1" ht="20.399999999999999" customHeight="1">
      <c r="A680" s="385"/>
      <c r="B680" s="99"/>
      <c r="C680" s="105"/>
      <c r="D680" s="126"/>
      <c r="F680" s="99"/>
      <c r="G680" s="131"/>
      <c r="H680" s="98"/>
      <c r="J680" s="105"/>
    </row>
    <row r="681" spans="1:10" s="96" customFormat="1" ht="20.399999999999999" customHeight="1">
      <c r="A681" s="385"/>
      <c r="B681" s="99"/>
      <c r="C681" s="105"/>
      <c r="D681" s="126"/>
      <c r="F681" s="99"/>
      <c r="G681" s="131"/>
      <c r="H681" s="98"/>
      <c r="J681" s="105"/>
    </row>
    <row r="682" spans="1:10" s="96" customFormat="1" ht="20.399999999999999" customHeight="1">
      <c r="A682" s="385"/>
      <c r="B682" s="99"/>
      <c r="C682" s="105"/>
      <c r="D682" s="126"/>
      <c r="F682" s="99"/>
      <c r="G682" s="131"/>
      <c r="H682" s="98"/>
      <c r="J682" s="105"/>
    </row>
    <row r="683" spans="1:10" s="96" customFormat="1" ht="20.399999999999999" customHeight="1">
      <c r="A683" s="385"/>
      <c r="B683" s="99"/>
      <c r="C683" s="105"/>
      <c r="D683" s="126"/>
      <c r="F683" s="99"/>
      <c r="G683" s="131"/>
      <c r="H683" s="98"/>
      <c r="J683" s="105"/>
    </row>
    <row r="684" spans="1:10" s="96" customFormat="1" ht="20.399999999999999" customHeight="1">
      <c r="A684" s="385"/>
      <c r="B684" s="99"/>
      <c r="C684" s="105"/>
      <c r="D684" s="126"/>
      <c r="F684" s="99"/>
      <c r="G684" s="131"/>
      <c r="H684" s="98"/>
      <c r="J684" s="105"/>
    </row>
    <row r="685" spans="1:10" s="96" customFormat="1" ht="20.399999999999999" customHeight="1">
      <c r="A685" s="385"/>
      <c r="B685" s="99"/>
      <c r="C685" s="105"/>
      <c r="D685" s="126"/>
      <c r="F685" s="99"/>
      <c r="G685" s="131"/>
      <c r="H685" s="98"/>
      <c r="J685" s="105"/>
    </row>
    <row r="686" spans="1:10" s="96" customFormat="1" ht="20.399999999999999" customHeight="1">
      <c r="A686" s="385"/>
      <c r="B686" s="99"/>
      <c r="C686" s="105"/>
      <c r="D686" s="126"/>
      <c r="F686" s="99"/>
      <c r="G686" s="131"/>
      <c r="H686" s="98"/>
      <c r="J686" s="105"/>
    </row>
    <row r="687" spans="1:10" s="96" customFormat="1" ht="20.399999999999999" customHeight="1">
      <c r="A687" s="385"/>
      <c r="B687" s="99"/>
      <c r="C687" s="105"/>
      <c r="D687" s="126"/>
      <c r="F687" s="99"/>
      <c r="G687" s="131"/>
      <c r="H687" s="98"/>
      <c r="J687" s="105"/>
    </row>
    <row r="688" spans="1:10" s="96" customFormat="1" ht="20.399999999999999" customHeight="1">
      <c r="A688" s="385"/>
      <c r="B688" s="99"/>
      <c r="C688" s="105"/>
      <c r="D688" s="126"/>
      <c r="F688" s="99"/>
      <c r="G688" s="131"/>
      <c r="H688" s="98"/>
      <c r="J688" s="105"/>
    </row>
    <row r="689" spans="1:10" s="96" customFormat="1" ht="20.399999999999999" customHeight="1">
      <c r="A689" s="385"/>
      <c r="B689" s="99"/>
      <c r="C689" s="105"/>
      <c r="D689" s="126"/>
      <c r="F689" s="99"/>
      <c r="G689" s="131"/>
      <c r="H689" s="98"/>
      <c r="J689" s="105"/>
    </row>
    <row r="690" spans="1:10" s="96" customFormat="1" ht="20.399999999999999" customHeight="1">
      <c r="A690" s="385"/>
      <c r="B690" s="99"/>
      <c r="C690" s="105"/>
      <c r="D690" s="126"/>
      <c r="F690" s="99"/>
      <c r="G690" s="131"/>
      <c r="H690" s="98"/>
      <c r="J690" s="105"/>
    </row>
    <row r="691" spans="1:10" s="96" customFormat="1" ht="20.399999999999999" customHeight="1">
      <c r="A691" s="385"/>
      <c r="B691" s="99"/>
      <c r="C691" s="105"/>
      <c r="D691" s="126"/>
      <c r="F691" s="99"/>
      <c r="G691" s="131"/>
      <c r="H691" s="98"/>
      <c r="J691" s="105"/>
    </row>
    <row r="692" spans="1:10" s="96" customFormat="1" ht="20.399999999999999" customHeight="1">
      <c r="A692" s="385"/>
      <c r="B692" s="99"/>
      <c r="C692" s="105"/>
      <c r="D692" s="126"/>
      <c r="F692" s="99"/>
      <c r="G692" s="131"/>
      <c r="H692" s="98"/>
      <c r="J692" s="105"/>
    </row>
    <row r="693" spans="1:10" s="96" customFormat="1" ht="20.399999999999999" customHeight="1">
      <c r="A693" s="385"/>
      <c r="B693" s="99"/>
      <c r="C693" s="105"/>
      <c r="D693" s="126"/>
      <c r="F693" s="99"/>
      <c r="G693" s="131"/>
      <c r="H693" s="98"/>
      <c r="J693" s="105"/>
    </row>
    <row r="694" spans="1:10" s="96" customFormat="1" ht="20.399999999999999" customHeight="1">
      <c r="A694" s="385"/>
      <c r="B694" s="99"/>
      <c r="C694" s="105"/>
      <c r="D694" s="126"/>
      <c r="F694" s="99"/>
      <c r="G694" s="131"/>
      <c r="H694" s="98"/>
      <c r="J694" s="105"/>
    </row>
    <row r="695" spans="1:10" s="96" customFormat="1" ht="20.399999999999999" customHeight="1">
      <c r="A695" s="385"/>
      <c r="B695" s="99"/>
      <c r="C695" s="105"/>
      <c r="D695" s="126"/>
      <c r="F695" s="99"/>
      <c r="G695" s="131"/>
      <c r="H695" s="98"/>
      <c r="J695" s="105"/>
    </row>
    <row r="696" spans="1:10" s="96" customFormat="1" ht="20.399999999999999" customHeight="1">
      <c r="A696" s="385"/>
      <c r="B696" s="99"/>
      <c r="C696" s="105"/>
      <c r="D696" s="126"/>
      <c r="F696" s="99"/>
      <c r="G696" s="131"/>
      <c r="H696" s="98"/>
      <c r="J696" s="105"/>
    </row>
    <row r="697" spans="1:10" s="96" customFormat="1" ht="20.399999999999999" customHeight="1">
      <c r="A697" s="385"/>
      <c r="B697" s="99"/>
      <c r="C697" s="105"/>
      <c r="D697" s="126"/>
      <c r="F697" s="99"/>
      <c r="G697" s="131"/>
      <c r="H697" s="98"/>
      <c r="J697" s="105"/>
    </row>
    <row r="698" spans="1:10" s="96" customFormat="1" ht="20.399999999999999" customHeight="1">
      <c r="A698" s="385"/>
      <c r="B698" s="99"/>
      <c r="C698" s="105"/>
      <c r="D698" s="126"/>
      <c r="F698" s="99"/>
      <c r="G698" s="131"/>
      <c r="H698" s="98"/>
      <c r="J698" s="105"/>
    </row>
    <row r="699" spans="1:10" s="96" customFormat="1" ht="20.399999999999999" customHeight="1">
      <c r="A699" s="385"/>
      <c r="B699" s="99"/>
      <c r="C699" s="105"/>
      <c r="D699" s="126"/>
      <c r="F699" s="99"/>
      <c r="G699" s="131"/>
      <c r="H699" s="98"/>
      <c r="J699" s="105"/>
    </row>
    <row r="700" spans="1:10" s="96" customFormat="1" ht="20.399999999999999" customHeight="1">
      <c r="A700" s="385"/>
      <c r="B700" s="99"/>
      <c r="C700" s="105"/>
      <c r="D700" s="126"/>
      <c r="F700" s="99"/>
      <c r="G700" s="131"/>
      <c r="H700" s="98"/>
      <c r="J700" s="105"/>
    </row>
    <row r="701" spans="1:10" s="96" customFormat="1" ht="20.399999999999999" customHeight="1">
      <c r="A701" s="385"/>
      <c r="B701" s="99"/>
      <c r="C701" s="105"/>
      <c r="D701" s="126"/>
      <c r="F701" s="99"/>
      <c r="G701" s="131"/>
      <c r="H701" s="98"/>
      <c r="J701" s="105"/>
    </row>
    <row r="702" spans="1:10" s="96" customFormat="1" ht="20.399999999999999" customHeight="1">
      <c r="A702" s="385"/>
      <c r="B702" s="99"/>
      <c r="C702" s="105"/>
      <c r="D702" s="126"/>
      <c r="F702" s="99"/>
      <c r="G702" s="131"/>
      <c r="H702" s="98"/>
      <c r="J702" s="105"/>
    </row>
    <row r="703" spans="1:10" s="96" customFormat="1" ht="20.399999999999999" customHeight="1">
      <c r="A703" s="385"/>
      <c r="B703" s="99"/>
      <c r="C703" s="105"/>
      <c r="D703" s="126"/>
      <c r="F703" s="99"/>
      <c r="G703" s="131"/>
      <c r="H703" s="98"/>
      <c r="J703" s="105"/>
    </row>
    <row r="704" spans="1:10" s="96" customFormat="1" ht="20.399999999999999" customHeight="1">
      <c r="A704" s="385"/>
      <c r="B704" s="99"/>
      <c r="C704" s="105"/>
      <c r="D704" s="126"/>
      <c r="F704" s="99"/>
      <c r="G704" s="131"/>
      <c r="H704" s="98"/>
      <c r="J704" s="105"/>
    </row>
    <row r="705" spans="1:10" s="96" customFormat="1" ht="20.399999999999999" customHeight="1">
      <c r="A705" s="385"/>
      <c r="B705" s="99"/>
      <c r="C705" s="105"/>
      <c r="D705" s="126"/>
      <c r="F705" s="99"/>
      <c r="G705" s="131"/>
      <c r="H705" s="98"/>
      <c r="J705" s="105"/>
    </row>
    <row r="706" spans="1:10" s="96" customFormat="1" ht="20.399999999999999" customHeight="1">
      <c r="A706" s="385"/>
      <c r="B706" s="99"/>
      <c r="C706" s="105"/>
      <c r="D706" s="126"/>
      <c r="F706" s="99"/>
      <c r="G706" s="131"/>
      <c r="H706" s="98"/>
      <c r="J706" s="105"/>
    </row>
    <row r="707" spans="1:10" s="96" customFormat="1" ht="20.399999999999999" customHeight="1">
      <c r="A707" s="385"/>
      <c r="B707" s="99"/>
      <c r="C707" s="105"/>
      <c r="D707" s="126"/>
      <c r="F707" s="99"/>
      <c r="G707" s="131"/>
      <c r="H707" s="98"/>
      <c r="J707" s="105"/>
    </row>
    <row r="708" spans="1:10" s="96" customFormat="1" ht="20.399999999999999" customHeight="1">
      <c r="A708" s="385"/>
      <c r="B708" s="99"/>
      <c r="C708" s="105"/>
      <c r="D708" s="126"/>
      <c r="F708" s="99"/>
      <c r="G708" s="131"/>
      <c r="H708" s="98"/>
      <c r="J708" s="105"/>
    </row>
    <row r="709" spans="1:10" s="96" customFormat="1" ht="20.399999999999999" customHeight="1">
      <c r="A709" s="385"/>
      <c r="B709" s="99"/>
      <c r="C709" s="105"/>
      <c r="D709" s="126"/>
      <c r="F709" s="99"/>
      <c r="G709" s="131"/>
      <c r="H709" s="98"/>
      <c r="J709" s="105"/>
    </row>
    <row r="710" spans="1:10" s="96" customFormat="1" ht="20.399999999999999" customHeight="1">
      <c r="A710" s="385"/>
      <c r="B710" s="99"/>
      <c r="C710" s="105"/>
      <c r="D710" s="126"/>
      <c r="F710" s="99"/>
      <c r="G710" s="131"/>
      <c r="H710" s="98"/>
      <c r="J710" s="105"/>
    </row>
    <row r="711" spans="1:10" s="96" customFormat="1" ht="20.399999999999999" customHeight="1">
      <c r="A711" s="385"/>
      <c r="B711" s="99"/>
      <c r="C711" s="105"/>
      <c r="D711" s="126"/>
      <c r="F711" s="99"/>
      <c r="G711" s="131"/>
      <c r="H711" s="98"/>
      <c r="J711" s="105"/>
    </row>
    <row r="712" spans="1:10" s="96" customFormat="1" ht="20.399999999999999" customHeight="1">
      <c r="A712" s="385"/>
      <c r="B712" s="99"/>
      <c r="C712" s="105"/>
      <c r="D712" s="126"/>
      <c r="F712" s="99"/>
      <c r="G712" s="131"/>
      <c r="H712" s="98"/>
      <c r="J712" s="105"/>
    </row>
    <row r="713" spans="1:10" s="96" customFormat="1" ht="20.399999999999999" customHeight="1">
      <c r="A713" s="385"/>
      <c r="B713" s="99"/>
      <c r="C713" s="105"/>
      <c r="D713" s="126"/>
      <c r="F713" s="99"/>
      <c r="G713" s="131"/>
      <c r="H713" s="98"/>
      <c r="J713" s="105"/>
    </row>
    <row r="714" spans="1:10" s="96" customFormat="1" ht="20.399999999999999" customHeight="1">
      <c r="A714" s="385"/>
      <c r="B714" s="99"/>
      <c r="C714" s="105"/>
      <c r="D714" s="126"/>
      <c r="F714" s="99"/>
      <c r="G714" s="131"/>
      <c r="H714" s="98"/>
      <c r="J714" s="105"/>
    </row>
    <row r="715" spans="1:10" s="96" customFormat="1" ht="20.399999999999999" customHeight="1">
      <c r="A715" s="385"/>
      <c r="B715" s="99"/>
      <c r="C715" s="105"/>
      <c r="D715" s="126"/>
      <c r="F715" s="99"/>
      <c r="G715" s="131"/>
      <c r="H715" s="98"/>
      <c r="J715" s="105"/>
    </row>
    <row r="716" spans="1:10" s="96" customFormat="1" ht="20.399999999999999" customHeight="1">
      <c r="A716" s="385"/>
      <c r="B716" s="99"/>
      <c r="C716" s="105"/>
      <c r="D716" s="126"/>
      <c r="F716" s="99"/>
      <c r="G716" s="131"/>
      <c r="H716" s="98"/>
      <c r="J716" s="105"/>
    </row>
    <row r="717" spans="1:10" s="96" customFormat="1" ht="20.399999999999999" customHeight="1">
      <c r="A717" s="385"/>
      <c r="B717" s="99"/>
      <c r="C717" s="105"/>
      <c r="D717" s="126"/>
      <c r="F717" s="99"/>
      <c r="G717" s="131"/>
      <c r="H717" s="98"/>
      <c r="J717" s="105"/>
    </row>
    <row r="718" spans="1:10" s="96" customFormat="1" ht="20.399999999999999" customHeight="1">
      <c r="A718" s="385"/>
      <c r="B718" s="99"/>
      <c r="C718" s="105"/>
      <c r="D718" s="126"/>
      <c r="F718" s="99"/>
      <c r="G718" s="131"/>
      <c r="H718" s="98"/>
      <c r="J718" s="105"/>
    </row>
    <row r="719" spans="1:10" s="96" customFormat="1" ht="20.399999999999999" customHeight="1">
      <c r="A719" s="385"/>
      <c r="B719" s="99"/>
      <c r="C719" s="105"/>
      <c r="D719" s="126"/>
      <c r="F719" s="99"/>
      <c r="G719" s="131"/>
      <c r="H719" s="98"/>
      <c r="J719" s="105"/>
    </row>
    <row r="720" spans="1:10" s="96" customFormat="1" ht="20.399999999999999" customHeight="1">
      <c r="A720" s="385"/>
      <c r="B720" s="99"/>
      <c r="C720" s="105"/>
      <c r="D720" s="126"/>
      <c r="F720" s="99"/>
      <c r="G720" s="131"/>
      <c r="H720" s="98"/>
      <c r="J720" s="105"/>
    </row>
    <row r="721" spans="1:10" s="96" customFormat="1" ht="20.399999999999999" customHeight="1">
      <c r="A721" s="385"/>
      <c r="B721" s="99"/>
      <c r="C721" s="105"/>
      <c r="D721" s="126"/>
      <c r="F721" s="99"/>
      <c r="G721" s="131"/>
      <c r="H721" s="98"/>
      <c r="J721" s="105"/>
    </row>
    <row r="722" spans="1:10" s="96" customFormat="1" ht="20.399999999999999" customHeight="1">
      <c r="A722" s="385"/>
      <c r="B722" s="99"/>
      <c r="C722" s="105"/>
      <c r="D722" s="126"/>
      <c r="F722" s="99"/>
      <c r="G722" s="131"/>
      <c r="H722" s="98"/>
      <c r="J722" s="105"/>
    </row>
    <row r="723" spans="1:10" s="96" customFormat="1" ht="20.399999999999999" customHeight="1">
      <c r="A723" s="385"/>
      <c r="B723" s="99"/>
      <c r="C723" s="105"/>
      <c r="D723" s="126"/>
      <c r="F723" s="99"/>
      <c r="G723" s="131"/>
      <c r="H723" s="98"/>
      <c r="J723" s="105"/>
    </row>
    <row r="724" spans="1:10" s="96" customFormat="1" ht="20.399999999999999" customHeight="1">
      <c r="A724" s="385"/>
      <c r="B724" s="99"/>
      <c r="C724" s="105"/>
      <c r="D724" s="126"/>
      <c r="F724" s="99"/>
      <c r="G724" s="131"/>
      <c r="H724" s="98"/>
      <c r="J724" s="105"/>
    </row>
    <row r="725" spans="1:10" s="96" customFormat="1" ht="20.399999999999999" customHeight="1">
      <c r="A725" s="385"/>
      <c r="B725" s="99"/>
      <c r="C725" s="105"/>
      <c r="D725" s="126"/>
      <c r="F725" s="99"/>
      <c r="G725" s="131"/>
      <c r="H725" s="98"/>
      <c r="J725" s="105"/>
    </row>
    <row r="726" spans="1:10" s="96" customFormat="1" ht="20.399999999999999" customHeight="1">
      <c r="A726" s="385"/>
      <c r="B726" s="99"/>
      <c r="C726" s="105"/>
      <c r="D726" s="126"/>
      <c r="F726" s="99"/>
      <c r="G726" s="131"/>
      <c r="H726" s="98"/>
      <c r="J726" s="105"/>
    </row>
    <row r="727" spans="1:10" s="96" customFormat="1" ht="20.399999999999999" customHeight="1">
      <c r="A727" s="385"/>
      <c r="B727" s="99"/>
      <c r="C727" s="105"/>
      <c r="D727" s="126"/>
      <c r="F727" s="99"/>
      <c r="G727" s="131"/>
      <c r="H727" s="98"/>
      <c r="J727" s="105"/>
    </row>
    <row r="728" spans="1:10" s="96" customFormat="1" ht="20.399999999999999" customHeight="1">
      <c r="A728" s="385"/>
      <c r="B728" s="99"/>
      <c r="C728" s="105"/>
      <c r="D728" s="126"/>
      <c r="F728" s="99"/>
      <c r="G728" s="131"/>
      <c r="H728" s="98"/>
      <c r="J728" s="105"/>
    </row>
    <row r="729" spans="1:10" s="96" customFormat="1" ht="20.399999999999999" customHeight="1">
      <c r="A729" s="385"/>
      <c r="B729" s="99"/>
      <c r="C729" s="105"/>
      <c r="D729" s="126"/>
      <c r="F729" s="99"/>
      <c r="G729" s="131"/>
      <c r="H729" s="98"/>
      <c r="J729" s="105"/>
    </row>
    <row r="730" spans="1:10" s="96" customFormat="1" ht="20.399999999999999" customHeight="1">
      <c r="A730" s="385"/>
      <c r="B730" s="99"/>
      <c r="C730" s="105"/>
      <c r="D730" s="126"/>
      <c r="F730" s="99"/>
      <c r="G730" s="131"/>
      <c r="H730" s="98"/>
      <c r="J730" s="105"/>
    </row>
    <row r="731" spans="1:10" s="96" customFormat="1" ht="20.399999999999999" customHeight="1">
      <c r="A731" s="385"/>
      <c r="B731" s="99"/>
      <c r="C731" s="105"/>
      <c r="D731" s="126"/>
      <c r="F731" s="99"/>
      <c r="G731" s="131"/>
      <c r="H731" s="98"/>
      <c r="J731" s="105"/>
    </row>
    <row r="732" spans="1:10" s="96" customFormat="1" ht="20.399999999999999" customHeight="1">
      <c r="A732" s="385"/>
      <c r="B732" s="99"/>
      <c r="C732" s="105"/>
      <c r="D732" s="126"/>
      <c r="F732" s="99"/>
      <c r="G732" s="131"/>
      <c r="H732" s="98"/>
      <c r="J732" s="105"/>
    </row>
    <row r="733" spans="1:10" s="96" customFormat="1" ht="20.399999999999999" customHeight="1">
      <c r="A733" s="385"/>
      <c r="B733" s="99"/>
      <c r="C733" s="105"/>
      <c r="D733" s="126"/>
      <c r="F733" s="99"/>
      <c r="G733" s="131"/>
      <c r="H733" s="98"/>
      <c r="J733" s="105"/>
    </row>
    <row r="734" spans="1:10" s="96" customFormat="1" ht="20.399999999999999" customHeight="1">
      <c r="A734" s="385"/>
      <c r="B734" s="99"/>
      <c r="C734" s="105"/>
      <c r="D734" s="126"/>
      <c r="F734" s="99"/>
      <c r="G734" s="131"/>
      <c r="H734" s="98"/>
      <c r="J734" s="105"/>
    </row>
    <row r="735" spans="1:10" s="96" customFormat="1" ht="20.399999999999999" customHeight="1">
      <c r="A735" s="385"/>
      <c r="B735" s="99"/>
      <c r="C735" s="105"/>
      <c r="D735" s="126"/>
      <c r="F735" s="99"/>
      <c r="G735" s="131"/>
      <c r="H735" s="98"/>
      <c r="J735" s="105"/>
    </row>
    <row r="736" spans="1:10" s="96" customFormat="1" ht="20.399999999999999" customHeight="1">
      <c r="A736" s="385"/>
      <c r="B736" s="99"/>
      <c r="C736" s="105"/>
      <c r="D736" s="126"/>
      <c r="F736" s="99"/>
      <c r="G736" s="131"/>
      <c r="H736" s="98"/>
      <c r="J736" s="105"/>
    </row>
    <row r="737" spans="1:10" s="96" customFormat="1" ht="20.399999999999999" customHeight="1">
      <c r="A737" s="385"/>
      <c r="B737" s="99"/>
      <c r="C737" s="105"/>
      <c r="D737" s="126"/>
      <c r="F737" s="99"/>
      <c r="G737" s="131"/>
      <c r="H737" s="98"/>
      <c r="J737" s="105"/>
    </row>
    <row r="738" spans="1:10" s="96" customFormat="1" ht="20.399999999999999" customHeight="1">
      <c r="A738" s="385"/>
      <c r="B738" s="99"/>
      <c r="C738" s="105"/>
      <c r="D738" s="126"/>
      <c r="F738" s="99"/>
      <c r="G738" s="131"/>
      <c r="H738" s="98"/>
      <c r="J738" s="105"/>
    </row>
    <row r="739" spans="1:10" s="96" customFormat="1" ht="20.399999999999999" customHeight="1">
      <c r="A739" s="385"/>
      <c r="B739" s="99"/>
      <c r="C739" s="105"/>
      <c r="D739" s="126"/>
      <c r="F739" s="99"/>
      <c r="G739" s="131"/>
      <c r="H739" s="98"/>
      <c r="J739" s="105"/>
    </row>
    <row r="740" spans="1:10" s="96" customFormat="1" ht="20.399999999999999" customHeight="1">
      <c r="A740" s="385"/>
      <c r="B740" s="99"/>
      <c r="C740" s="105"/>
      <c r="D740" s="126"/>
      <c r="F740" s="99"/>
      <c r="G740" s="131"/>
      <c r="H740" s="98"/>
      <c r="J740" s="105"/>
    </row>
    <row r="741" spans="1:10" s="96" customFormat="1" ht="20.399999999999999" customHeight="1">
      <c r="A741" s="385"/>
      <c r="B741" s="99"/>
      <c r="C741" s="105"/>
      <c r="D741" s="126"/>
      <c r="F741" s="99"/>
      <c r="G741" s="131"/>
      <c r="H741" s="98"/>
      <c r="J741" s="105"/>
    </row>
    <row r="742" spans="1:10" s="96" customFormat="1" ht="20.399999999999999" customHeight="1">
      <c r="A742" s="385"/>
      <c r="B742" s="99"/>
      <c r="C742" s="105"/>
      <c r="D742" s="126"/>
      <c r="F742" s="99"/>
      <c r="G742" s="131"/>
      <c r="H742" s="98"/>
      <c r="J742" s="105"/>
    </row>
    <row r="743" spans="1:10" s="96" customFormat="1" ht="20.399999999999999" customHeight="1">
      <c r="A743" s="385"/>
      <c r="B743" s="99"/>
      <c r="C743" s="105"/>
      <c r="D743" s="126"/>
      <c r="F743" s="99"/>
      <c r="G743" s="131"/>
      <c r="H743" s="98"/>
      <c r="J743" s="105"/>
    </row>
    <row r="744" spans="1:10" s="96" customFormat="1" ht="20.399999999999999" customHeight="1">
      <c r="A744" s="385"/>
      <c r="B744" s="99"/>
      <c r="C744" s="105"/>
      <c r="D744" s="126"/>
      <c r="F744" s="99"/>
      <c r="G744" s="131"/>
      <c r="H744" s="98"/>
      <c r="J744" s="105"/>
    </row>
    <row r="745" spans="1:10" s="96" customFormat="1" ht="20.399999999999999" customHeight="1">
      <c r="A745" s="385"/>
      <c r="B745" s="99"/>
      <c r="C745" s="105"/>
      <c r="D745" s="126"/>
      <c r="F745" s="99"/>
      <c r="G745" s="131"/>
      <c r="H745" s="98"/>
      <c r="J745" s="105"/>
    </row>
    <row r="746" spans="1:10" s="96" customFormat="1" ht="20.399999999999999" customHeight="1">
      <c r="A746" s="385"/>
      <c r="B746" s="99"/>
      <c r="C746" s="105"/>
      <c r="D746" s="126"/>
      <c r="F746" s="99"/>
      <c r="G746" s="131"/>
      <c r="H746" s="98"/>
      <c r="J746" s="105"/>
    </row>
    <row r="747" spans="1:10" s="96" customFormat="1" ht="20.399999999999999" customHeight="1">
      <c r="A747" s="385"/>
      <c r="B747" s="99"/>
      <c r="C747" s="105"/>
      <c r="D747" s="126"/>
      <c r="F747" s="99"/>
      <c r="G747" s="131"/>
      <c r="H747" s="98"/>
      <c r="J747" s="105"/>
    </row>
    <row r="748" spans="1:10" s="96" customFormat="1" ht="20.399999999999999" customHeight="1">
      <c r="A748" s="385"/>
      <c r="B748" s="99"/>
      <c r="C748" s="105"/>
      <c r="D748" s="126"/>
      <c r="F748" s="99"/>
      <c r="G748" s="131"/>
      <c r="H748" s="98"/>
      <c r="J748" s="105"/>
    </row>
    <row r="749" spans="1:10" s="96" customFormat="1" ht="20.399999999999999" customHeight="1">
      <c r="A749" s="385"/>
      <c r="B749" s="99"/>
      <c r="C749" s="105"/>
      <c r="D749" s="126"/>
      <c r="F749" s="99"/>
      <c r="G749" s="131"/>
      <c r="H749" s="98"/>
      <c r="J749" s="105"/>
    </row>
    <row r="750" spans="1:10" s="96" customFormat="1" ht="20.399999999999999" customHeight="1">
      <c r="A750" s="385"/>
      <c r="B750" s="99"/>
      <c r="C750" s="105"/>
      <c r="D750" s="126"/>
      <c r="F750" s="99"/>
      <c r="G750" s="131"/>
      <c r="H750" s="98"/>
      <c r="J750" s="105"/>
    </row>
    <row r="751" spans="1:10" s="96" customFormat="1" ht="20.399999999999999" customHeight="1">
      <c r="A751" s="385"/>
      <c r="B751" s="99"/>
      <c r="C751" s="105"/>
      <c r="D751" s="126"/>
      <c r="F751" s="99"/>
      <c r="G751" s="131"/>
      <c r="H751" s="98"/>
      <c r="J751" s="105"/>
    </row>
    <row r="752" spans="1:10" s="96" customFormat="1" ht="20.399999999999999" customHeight="1">
      <c r="A752" s="385"/>
      <c r="B752" s="99"/>
      <c r="C752" s="105"/>
      <c r="D752" s="126"/>
      <c r="F752" s="99"/>
      <c r="G752" s="131"/>
      <c r="H752" s="98"/>
      <c r="J752" s="105"/>
    </row>
    <row r="753" spans="1:10" s="96" customFormat="1" ht="20.399999999999999" customHeight="1">
      <c r="A753" s="385"/>
      <c r="B753" s="99"/>
      <c r="C753" s="105"/>
      <c r="D753" s="126"/>
      <c r="F753" s="99"/>
      <c r="G753" s="131"/>
      <c r="H753" s="98"/>
      <c r="J753" s="105"/>
    </row>
    <row r="754" spans="1:10" s="96" customFormat="1" ht="20.399999999999999" customHeight="1">
      <c r="A754" s="385"/>
      <c r="B754" s="99"/>
      <c r="C754" s="105"/>
      <c r="D754" s="126"/>
      <c r="F754" s="99"/>
      <c r="G754" s="131"/>
      <c r="H754" s="98"/>
      <c r="J754" s="105"/>
    </row>
    <row r="755" spans="1:10" s="96" customFormat="1" ht="20.399999999999999" customHeight="1">
      <c r="A755" s="385"/>
      <c r="B755" s="99"/>
      <c r="C755" s="105"/>
      <c r="D755" s="126"/>
      <c r="F755" s="99"/>
      <c r="G755" s="131"/>
      <c r="H755" s="98"/>
      <c r="J755" s="105"/>
    </row>
    <row r="756" spans="1:10" s="96" customFormat="1" ht="20.399999999999999" customHeight="1">
      <c r="A756" s="385"/>
      <c r="B756" s="99"/>
      <c r="C756" s="105"/>
      <c r="D756" s="126"/>
      <c r="F756" s="99"/>
      <c r="G756" s="131"/>
      <c r="H756" s="98"/>
      <c r="J756" s="105"/>
    </row>
    <row r="757" spans="1:10" s="96" customFormat="1" ht="20.399999999999999" customHeight="1">
      <c r="A757" s="385"/>
      <c r="B757" s="99"/>
      <c r="C757" s="105"/>
      <c r="D757" s="126"/>
      <c r="F757" s="99"/>
      <c r="G757" s="131"/>
      <c r="H757" s="98"/>
      <c r="J757" s="105"/>
    </row>
    <row r="758" spans="1:10" s="96" customFormat="1" ht="20.399999999999999" customHeight="1">
      <c r="A758" s="385"/>
      <c r="B758" s="99"/>
      <c r="C758" s="105"/>
      <c r="D758" s="126"/>
      <c r="F758" s="99"/>
      <c r="G758" s="131"/>
      <c r="H758" s="98"/>
      <c r="J758" s="105"/>
    </row>
    <row r="759" spans="1:10" s="96" customFormat="1" ht="20.399999999999999" customHeight="1">
      <c r="A759" s="385"/>
      <c r="B759" s="99"/>
      <c r="C759" s="105"/>
      <c r="D759" s="126"/>
      <c r="F759" s="99"/>
      <c r="G759" s="131"/>
      <c r="H759" s="98"/>
      <c r="J759" s="105"/>
    </row>
    <row r="760" spans="1:10" s="96" customFormat="1" ht="20.399999999999999" customHeight="1">
      <c r="A760" s="385"/>
      <c r="B760" s="99"/>
      <c r="C760" s="105"/>
      <c r="D760" s="126"/>
      <c r="F760" s="99"/>
      <c r="G760" s="131"/>
      <c r="H760" s="98"/>
      <c r="J760" s="105"/>
    </row>
    <row r="761" spans="1:10" s="96" customFormat="1" ht="20.399999999999999" customHeight="1">
      <c r="A761" s="385"/>
      <c r="B761" s="99"/>
      <c r="C761" s="105"/>
      <c r="D761" s="126"/>
      <c r="F761" s="99"/>
      <c r="G761" s="131"/>
      <c r="H761" s="98"/>
      <c r="J761" s="105"/>
    </row>
    <row r="762" spans="1:10" s="96" customFormat="1" ht="20.399999999999999" customHeight="1">
      <c r="A762" s="385"/>
      <c r="B762" s="99"/>
      <c r="C762" s="105"/>
      <c r="D762" s="126"/>
      <c r="F762" s="99"/>
      <c r="G762" s="131"/>
      <c r="H762" s="98"/>
      <c r="J762" s="105"/>
    </row>
    <row r="763" spans="1:10" s="96" customFormat="1" ht="20.399999999999999" customHeight="1">
      <c r="A763" s="385"/>
      <c r="B763" s="99"/>
      <c r="C763" s="105"/>
      <c r="D763" s="126"/>
      <c r="F763" s="99"/>
      <c r="G763" s="131"/>
      <c r="H763" s="98"/>
      <c r="J763" s="105"/>
    </row>
    <row r="764" spans="1:10" s="96" customFormat="1" ht="20.399999999999999" customHeight="1">
      <c r="A764" s="385"/>
      <c r="B764" s="99"/>
      <c r="C764" s="105"/>
      <c r="D764" s="126"/>
      <c r="F764" s="99"/>
      <c r="G764" s="131"/>
      <c r="H764" s="98"/>
      <c r="J764" s="105"/>
    </row>
    <row r="765" spans="1:10" s="96" customFormat="1" ht="20.399999999999999" customHeight="1">
      <c r="A765" s="385"/>
      <c r="B765" s="99"/>
      <c r="C765" s="105"/>
      <c r="D765" s="126"/>
      <c r="F765" s="99"/>
      <c r="G765" s="131"/>
      <c r="H765" s="98"/>
      <c r="J765" s="105"/>
    </row>
    <row r="766" spans="1:10" s="96" customFormat="1" ht="20.399999999999999" customHeight="1">
      <c r="A766" s="385"/>
      <c r="B766" s="99"/>
      <c r="C766" s="105"/>
      <c r="D766" s="126"/>
      <c r="F766" s="99"/>
      <c r="G766" s="131"/>
      <c r="H766" s="98"/>
      <c r="J766" s="105"/>
    </row>
    <row r="767" spans="1:10" s="96" customFormat="1" ht="20.399999999999999" customHeight="1">
      <c r="A767" s="385"/>
      <c r="B767" s="99"/>
      <c r="C767" s="105"/>
      <c r="D767" s="126"/>
      <c r="F767" s="99"/>
      <c r="G767" s="131"/>
      <c r="H767" s="98"/>
      <c r="J767" s="105"/>
    </row>
    <row r="768" spans="1:10" s="96" customFormat="1" ht="20.399999999999999" customHeight="1">
      <c r="A768" s="385"/>
      <c r="B768" s="99"/>
      <c r="C768" s="105"/>
      <c r="D768" s="126"/>
      <c r="F768" s="99"/>
      <c r="G768" s="131"/>
      <c r="H768" s="98"/>
      <c r="J768" s="105"/>
    </row>
    <row r="769" spans="1:10" s="96" customFormat="1" ht="20.399999999999999" customHeight="1">
      <c r="A769" s="385"/>
      <c r="B769" s="99"/>
      <c r="C769" s="105"/>
      <c r="D769" s="126"/>
      <c r="F769" s="99"/>
      <c r="G769" s="131"/>
      <c r="H769" s="98"/>
      <c r="J769" s="105"/>
    </row>
    <row r="770" spans="1:10" s="96" customFormat="1" ht="20.399999999999999" customHeight="1">
      <c r="A770" s="385"/>
      <c r="B770" s="99"/>
      <c r="C770" s="105"/>
      <c r="D770" s="126"/>
      <c r="F770" s="99"/>
      <c r="G770" s="131"/>
      <c r="H770" s="98"/>
      <c r="J770" s="105"/>
    </row>
    <row r="771" spans="1:10" s="96" customFormat="1" ht="20.399999999999999" customHeight="1">
      <c r="A771" s="385"/>
      <c r="B771" s="99"/>
      <c r="C771" s="105"/>
      <c r="D771" s="126"/>
      <c r="F771" s="99"/>
      <c r="G771" s="131"/>
      <c r="H771" s="98"/>
      <c r="J771" s="105"/>
    </row>
    <row r="772" spans="1:10" s="96" customFormat="1" ht="20.399999999999999" customHeight="1">
      <c r="A772" s="385"/>
      <c r="B772" s="99"/>
      <c r="C772" s="105"/>
      <c r="D772" s="126"/>
      <c r="F772" s="99"/>
      <c r="G772" s="131"/>
      <c r="H772" s="98"/>
      <c r="J772" s="105"/>
    </row>
    <row r="773" spans="1:10" s="96" customFormat="1" ht="20.399999999999999" customHeight="1">
      <c r="A773" s="385"/>
      <c r="B773" s="99"/>
      <c r="C773" s="105"/>
      <c r="D773" s="126"/>
      <c r="F773" s="99"/>
      <c r="G773" s="131"/>
      <c r="H773" s="98"/>
      <c r="J773" s="105"/>
    </row>
    <row r="774" spans="1:10" s="96" customFormat="1" ht="20.399999999999999" customHeight="1">
      <c r="A774" s="385"/>
      <c r="B774" s="99"/>
      <c r="C774" s="105"/>
      <c r="D774" s="126"/>
      <c r="F774" s="99"/>
      <c r="G774" s="131"/>
      <c r="H774" s="98"/>
      <c r="J774" s="105"/>
    </row>
    <row r="775" spans="1:10" s="96" customFormat="1" ht="20.399999999999999" customHeight="1">
      <c r="A775" s="385"/>
      <c r="B775" s="99"/>
      <c r="C775" s="105"/>
      <c r="D775" s="126"/>
      <c r="F775" s="99"/>
      <c r="G775" s="131"/>
      <c r="H775" s="98"/>
      <c r="J775" s="105"/>
    </row>
    <row r="776" spans="1:10" s="96" customFormat="1" ht="20.399999999999999" customHeight="1">
      <c r="A776" s="385"/>
      <c r="B776" s="99"/>
      <c r="C776" s="105"/>
      <c r="D776" s="126"/>
      <c r="F776" s="99"/>
      <c r="G776" s="131"/>
      <c r="H776" s="98"/>
      <c r="J776" s="105"/>
    </row>
    <row r="777" spans="1:10" s="96" customFormat="1" ht="20.399999999999999" customHeight="1">
      <c r="A777" s="385"/>
      <c r="B777" s="99"/>
      <c r="C777" s="105"/>
      <c r="D777" s="126"/>
      <c r="F777" s="99"/>
      <c r="G777" s="131"/>
      <c r="H777" s="98"/>
      <c r="J777" s="105"/>
    </row>
    <row r="778" spans="1:10" s="96" customFormat="1" ht="20.399999999999999" customHeight="1">
      <c r="A778" s="385"/>
      <c r="B778" s="99"/>
      <c r="C778" s="105"/>
      <c r="D778" s="126"/>
      <c r="F778" s="99"/>
      <c r="G778" s="131"/>
      <c r="H778" s="98"/>
      <c r="J778" s="105"/>
    </row>
    <row r="779" spans="1:10" s="96" customFormat="1" ht="20.399999999999999" customHeight="1">
      <c r="A779" s="385"/>
      <c r="B779" s="99"/>
      <c r="C779" s="105"/>
      <c r="D779" s="126"/>
      <c r="F779" s="99"/>
      <c r="G779" s="131"/>
      <c r="H779" s="98"/>
      <c r="J779" s="105"/>
    </row>
    <row r="780" spans="1:10" s="96" customFormat="1" ht="20.399999999999999" customHeight="1">
      <c r="A780" s="385"/>
      <c r="B780" s="99"/>
      <c r="C780" s="105"/>
      <c r="D780" s="126"/>
      <c r="F780" s="99"/>
      <c r="G780" s="131"/>
      <c r="H780" s="98"/>
      <c r="J780" s="105"/>
    </row>
    <row r="781" spans="1:10" s="96" customFormat="1" ht="20.399999999999999" customHeight="1">
      <c r="A781" s="385"/>
      <c r="B781" s="99"/>
      <c r="C781" s="105"/>
      <c r="D781" s="126"/>
      <c r="F781" s="99"/>
      <c r="G781" s="131"/>
      <c r="H781" s="98"/>
      <c r="J781" s="105"/>
    </row>
    <row r="782" spans="1:10" s="96" customFormat="1" ht="20.399999999999999" customHeight="1">
      <c r="A782" s="385"/>
      <c r="B782" s="99"/>
      <c r="C782" s="105"/>
      <c r="D782" s="126"/>
      <c r="F782" s="99"/>
      <c r="G782" s="131"/>
      <c r="H782" s="98"/>
      <c r="J782" s="105"/>
    </row>
    <row r="783" spans="1:10" s="96" customFormat="1" ht="20.399999999999999" customHeight="1">
      <c r="A783" s="385"/>
      <c r="B783" s="99"/>
      <c r="C783" s="105"/>
      <c r="D783" s="126"/>
      <c r="F783" s="99"/>
      <c r="G783" s="131"/>
      <c r="H783" s="98"/>
      <c r="J783" s="105"/>
    </row>
    <row r="784" spans="1:10" s="96" customFormat="1" ht="20.399999999999999" customHeight="1">
      <c r="A784" s="385"/>
      <c r="B784" s="99"/>
      <c r="C784" s="105"/>
      <c r="D784" s="126"/>
      <c r="F784" s="99"/>
      <c r="G784" s="131"/>
      <c r="H784" s="98"/>
      <c r="J784" s="105"/>
    </row>
    <row r="785" spans="1:10" s="96" customFormat="1" ht="20.399999999999999" customHeight="1">
      <c r="A785" s="385"/>
      <c r="B785" s="99"/>
      <c r="C785" s="105"/>
      <c r="D785" s="126"/>
      <c r="F785" s="99"/>
      <c r="G785" s="131"/>
      <c r="H785" s="98"/>
      <c r="J785" s="105"/>
    </row>
    <row r="786" spans="1:10" s="96" customFormat="1" ht="20.399999999999999" customHeight="1">
      <c r="A786" s="385"/>
      <c r="B786" s="99"/>
      <c r="C786" s="105"/>
      <c r="D786" s="126"/>
      <c r="F786" s="99"/>
      <c r="G786" s="131"/>
      <c r="H786" s="98"/>
      <c r="J786" s="105"/>
    </row>
    <row r="787" spans="1:10" s="96" customFormat="1" ht="20.399999999999999" customHeight="1">
      <c r="A787" s="385"/>
      <c r="B787" s="99"/>
      <c r="C787" s="105"/>
      <c r="D787" s="126"/>
      <c r="F787" s="99"/>
      <c r="G787" s="131"/>
      <c r="H787" s="98"/>
      <c r="J787" s="105"/>
    </row>
    <row r="788" spans="1:10" s="96" customFormat="1" ht="20.399999999999999" customHeight="1">
      <c r="A788" s="385"/>
      <c r="B788" s="99"/>
      <c r="C788" s="105"/>
      <c r="D788" s="126"/>
      <c r="F788" s="99"/>
      <c r="G788" s="131"/>
      <c r="H788" s="98"/>
      <c r="J788" s="105"/>
    </row>
    <row r="789" spans="1:10" s="96" customFormat="1" ht="20.399999999999999" customHeight="1">
      <c r="A789" s="385"/>
      <c r="B789" s="99"/>
      <c r="C789" s="105"/>
      <c r="D789" s="126"/>
      <c r="F789" s="99"/>
      <c r="G789" s="131"/>
      <c r="H789" s="98"/>
      <c r="J789" s="105"/>
    </row>
    <row r="790" spans="1:10" s="96" customFormat="1" ht="20.399999999999999" customHeight="1">
      <c r="A790" s="385"/>
      <c r="B790" s="99"/>
      <c r="C790" s="105"/>
      <c r="D790" s="126"/>
      <c r="F790" s="99"/>
      <c r="G790" s="131"/>
      <c r="H790" s="98"/>
      <c r="J790" s="105"/>
    </row>
    <row r="791" spans="1:10" s="96" customFormat="1" ht="20.399999999999999" customHeight="1">
      <c r="A791" s="385"/>
      <c r="B791" s="99"/>
      <c r="C791" s="105"/>
      <c r="D791" s="126"/>
      <c r="F791" s="99"/>
      <c r="G791" s="131"/>
      <c r="H791" s="98"/>
      <c r="J791" s="105"/>
    </row>
    <row r="792" spans="1:10" s="96" customFormat="1" ht="20.399999999999999" customHeight="1">
      <c r="A792" s="385"/>
      <c r="B792" s="99"/>
      <c r="C792" s="105"/>
      <c r="D792" s="126"/>
      <c r="F792" s="99"/>
      <c r="G792" s="131"/>
      <c r="H792" s="98"/>
      <c r="J792" s="105"/>
    </row>
    <row r="793" spans="1:10" s="96" customFormat="1" ht="20.399999999999999" customHeight="1">
      <c r="A793" s="385"/>
      <c r="B793" s="99"/>
      <c r="C793" s="105"/>
      <c r="D793" s="126"/>
      <c r="F793" s="99"/>
      <c r="G793" s="131"/>
      <c r="H793" s="98"/>
      <c r="J793" s="105"/>
    </row>
    <row r="794" spans="1:10" s="96" customFormat="1" ht="20.399999999999999" customHeight="1">
      <c r="A794" s="385"/>
      <c r="B794" s="99"/>
      <c r="C794" s="105"/>
      <c r="D794" s="126"/>
      <c r="F794" s="99"/>
      <c r="G794" s="131"/>
      <c r="H794" s="98"/>
      <c r="J794" s="105"/>
    </row>
    <row r="795" spans="1:10" s="96" customFormat="1" ht="20.399999999999999" customHeight="1">
      <c r="A795" s="385"/>
      <c r="B795" s="99"/>
      <c r="C795" s="105"/>
      <c r="D795" s="126"/>
      <c r="F795" s="99"/>
      <c r="G795" s="131"/>
      <c r="H795" s="98"/>
      <c r="J795" s="105"/>
    </row>
    <row r="796" spans="1:10" s="96" customFormat="1" ht="20.399999999999999" customHeight="1">
      <c r="A796" s="385"/>
      <c r="B796" s="99"/>
      <c r="C796" s="105"/>
      <c r="D796" s="126"/>
      <c r="F796" s="99"/>
      <c r="G796" s="131"/>
      <c r="H796" s="98"/>
      <c r="J796" s="105"/>
    </row>
    <row r="797" spans="1:10" s="96" customFormat="1" ht="20.399999999999999" customHeight="1">
      <c r="A797" s="385"/>
      <c r="B797" s="99"/>
      <c r="C797" s="105"/>
      <c r="D797" s="126"/>
      <c r="F797" s="99"/>
      <c r="G797" s="131"/>
      <c r="H797" s="98"/>
      <c r="J797" s="105"/>
    </row>
    <row r="798" spans="1:10" s="96" customFormat="1" ht="20.399999999999999" customHeight="1">
      <c r="A798" s="385"/>
      <c r="B798" s="99"/>
      <c r="C798" s="105"/>
      <c r="D798" s="126"/>
      <c r="F798" s="99"/>
      <c r="G798" s="131"/>
      <c r="H798" s="98"/>
      <c r="J798" s="105"/>
    </row>
    <row r="799" spans="1:10" s="96" customFormat="1" ht="20.399999999999999" customHeight="1">
      <c r="A799" s="385"/>
      <c r="B799" s="99"/>
      <c r="C799" s="105"/>
      <c r="D799" s="126"/>
      <c r="F799" s="99"/>
      <c r="G799" s="131"/>
      <c r="H799" s="98"/>
      <c r="J799" s="105"/>
    </row>
    <row r="800" spans="1:10" s="96" customFormat="1" ht="20.399999999999999" customHeight="1">
      <c r="A800" s="385"/>
      <c r="B800" s="99"/>
      <c r="C800" s="105"/>
      <c r="D800" s="126"/>
      <c r="F800" s="99"/>
      <c r="G800" s="131"/>
      <c r="H800" s="98"/>
      <c r="J800" s="105"/>
    </row>
    <row r="801" spans="1:10" s="96" customFormat="1" ht="20.399999999999999" customHeight="1">
      <c r="A801" s="385"/>
      <c r="B801" s="99"/>
      <c r="C801" s="105"/>
      <c r="D801" s="126"/>
      <c r="F801" s="99"/>
      <c r="G801" s="131"/>
      <c r="H801" s="98"/>
      <c r="J801" s="105"/>
    </row>
    <row r="802" spans="1:10" s="96" customFormat="1" ht="20.399999999999999" customHeight="1">
      <c r="A802" s="385"/>
      <c r="B802" s="99"/>
      <c r="C802" s="105"/>
      <c r="D802" s="126"/>
      <c r="F802" s="99"/>
      <c r="G802" s="131"/>
      <c r="H802" s="98"/>
      <c r="J802" s="105"/>
    </row>
    <row r="803" spans="1:10" s="96" customFormat="1" ht="20.399999999999999" customHeight="1">
      <c r="A803" s="385"/>
      <c r="B803" s="99"/>
      <c r="C803" s="105"/>
      <c r="D803" s="126"/>
      <c r="F803" s="99"/>
      <c r="G803" s="131"/>
      <c r="H803" s="98"/>
      <c r="J803" s="105"/>
    </row>
    <row r="804" spans="1:10" s="96" customFormat="1" ht="20.399999999999999" customHeight="1">
      <c r="A804" s="385"/>
      <c r="B804" s="99"/>
      <c r="C804" s="105"/>
      <c r="D804" s="126"/>
      <c r="F804" s="99"/>
      <c r="G804" s="131"/>
      <c r="H804" s="98"/>
      <c r="J804" s="105"/>
    </row>
    <row r="805" spans="1:10" s="96" customFormat="1" ht="20.399999999999999" customHeight="1">
      <c r="A805" s="385"/>
      <c r="B805" s="99"/>
      <c r="C805" s="105"/>
      <c r="D805" s="126"/>
      <c r="F805" s="99"/>
      <c r="G805" s="131"/>
      <c r="H805" s="98"/>
      <c r="J805" s="105"/>
    </row>
    <row r="806" spans="1:10" s="96" customFormat="1" ht="20.399999999999999" customHeight="1">
      <c r="A806" s="385"/>
      <c r="B806" s="99"/>
      <c r="C806" s="105"/>
      <c r="D806" s="126"/>
      <c r="F806" s="99"/>
      <c r="G806" s="131"/>
      <c r="H806" s="98"/>
      <c r="J806" s="105"/>
    </row>
    <row r="807" spans="1:10" s="96" customFormat="1" ht="20.399999999999999" customHeight="1">
      <c r="A807" s="385"/>
      <c r="B807" s="99"/>
      <c r="C807" s="105"/>
      <c r="D807" s="126"/>
      <c r="F807" s="99"/>
      <c r="G807" s="131"/>
      <c r="H807" s="98"/>
      <c r="J807" s="105"/>
    </row>
    <row r="808" spans="1:10" s="96" customFormat="1" ht="20.399999999999999" customHeight="1">
      <c r="A808" s="385"/>
      <c r="B808" s="99"/>
      <c r="C808" s="105"/>
      <c r="D808" s="126"/>
      <c r="F808" s="99"/>
      <c r="G808" s="131"/>
      <c r="H808" s="98"/>
      <c r="J808" s="105"/>
    </row>
    <row r="809" spans="1:10" s="96" customFormat="1" ht="20.399999999999999" customHeight="1">
      <c r="A809" s="385"/>
      <c r="B809" s="99"/>
      <c r="C809" s="105"/>
      <c r="D809" s="126"/>
      <c r="F809" s="99"/>
      <c r="G809" s="131"/>
      <c r="H809" s="98"/>
      <c r="J809" s="105"/>
    </row>
    <row r="810" spans="1:10" s="96" customFormat="1" ht="20.399999999999999" customHeight="1">
      <c r="A810" s="385"/>
      <c r="B810" s="99"/>
      <c r="C810" s="105"/>
      <c r="D810" s="126"/>
      <c r="F810" s="99"/>
      <c r="G810" s="131"/>
      <c r="H810" s="98"/>
      <c r="J810" s="105"/>
    </row>
    <row r="811" spans="1:10" s="96" customFormat="1" ht="20.399999999999999" customHeight="1">
      <c r="A811" s="385"/>
      <c r="B811" s="99"/>
      <c r="C811" s="105"/>
      <c r="D811" s="126"/>
      <c r="F811" s="99"/>
      <c r="G811" s="131"/>
      <c r="H811" s="98"/>
      <c r="J811" s="105"/>
    </row>
    <row r="812" spans="1:10" s="96" customFormat="1" ht="20.399999999999999" customHeight="1">
      <c r="A812" s="385"/>
      <c r="B812" s="99"/>
      <c r="C812" s="105"/>
      <c r="D812" s="126"/>
      <c r="F812" s="99"/>
      <c r="G812" s="131"/>
      <c r="H812" s="98"/>
      <c r="J812" s="105"/>
    </row>
    <row r="813" spans="1:10" s="96" customFormat="1" ht="20.399999999999999" customHeight="1">
      <c r="A813" s="385"/>
      <c r="B813" s="99"/>
      <c r="C813" s="105"/>
      <c r="D813" s="126"/>
      <c r="F813" s="99"/>
      <c r="G813" s="131"/>
      <c r="H813" s="98"/>
      <c r="J813" s="105"/>
    </row>
    <row r="814" spans="1:10" s="96" customFormat="1" ht="20.399999999999999" customHeight="1">
      <c r="A814" s="385"/>
      <c r="B814" s="99"/>
      <c r="C814" s="105"/>
      <c r="D814" s="126"/>
      <c r="F814" s="99"/>
      <c r="G814" s="131"/>
      <c r="H814" s="98"/>
      <c r="J814" s="105"/>
    </row>
    <row r="815" spans="1:10" s="96" customFormat="1" ht="20.399999999999999" customHeight="1">
      <c r="A815" s="385"/>
      <c r="B815" s="99"/>
      <c r="C815" s="105"/>
      <c r="D815" s="126"/>
      <c r="F815" s="99"/>
      <c r="G815" s="131"/>
      <c r="H815" s="98"/>
      <c r="J815" s="105"/>
    </row>
    <row r="816" spans="1:10" s="96" customFormat="1" ht="20.399999999999999" customHeight="1">
      <c r="A816" s="385"/>
      <c r="B816" s="99"/>
      <c r="C816" s="105"/>
      <c r="D816" s="126"/>
      <c r="F816" s="99"/>
      <c r="G816" s="131"/>
      <c r="H816" s="98"/>
      <c r="J816" s="105"/>
    </row>
    <row r="817" spans="1:10" s="96" customFormat="1" ht="20.399999999999999" customHeight="1">
      <c r="A817" s="385"/>
      <c r="B817" s="99"/>
      <c r="C817" s="105"/>
      <c r="D817" s="126"/>
      <c r="F817" s="99"/>
      <c r="G817" s="131"/>
      <c r="H817" s="98"/>
      <c r="J817" s="105"/>
    </row>
    <row r="818" spans="1:10" s="96" customFormat="1" ht="20.399999999999999" customHeight="1">
      <c r="A818" s="385"/>
      <c r="B818" s="99"/>
      <c r="C818" s="105"/>
      <c r="D818" s="126"/>
      <c r="F818" s="99"/>
      <c r="G818" s="131"/>
      <c r="H818" s="98"/>
      <c r="J818" s="105"/>
    </row>
    <row r="819" spans="1:10" s="96" customFormat="1" ht="20.399999999999999" customHeight="1">
      <c r="A819" s="385"/>
      <c r="B819" s="99"/>
      <c r="C819" s="105"/>
      <c r="D819" s="126"/>
      <c r="F819" s="99"/>
      <c r="G819" s="131"/>
      <c r="H819" s="98"/>
      <c r="J819" s="105"/>
    </row>
    <row r="820" spans="1:10" s="96" customFormat="1" ht="20.399999999999999" customHeight="1">
      <c r="A820" s="385"/>
      <c r="B820" s="99"/>
      <c r="C820" s="105"/>
      <c r="D820" s="126"/>
      <c r="F820" s="99"/>
      <c r="G820" s="131"/>
      <c r="H820" s="98"/>
      <c r="J820" s="105"/>
    </row>
    <row r="821" spans="1:10" s="96" customFormat="1" ht="20.399999999999999" customHeight="1">
      <c r="A821" s="385"/>
      <c r="B821" s="99"/>
      <c r="C821" s="105"/>
      <c r="D821" s="126"/>
      <c r="F821" s="99"/>
      <c r="G821" s="131"/>
      <c r="H821" s="98"/>
      <c r="J821" s="105"/>
    </row>
    <row r="822" spans="1:10" s="96" customFormat="1" ht="20.399999999999999" customHeight="1">
      <c r="A822" s="385"/>
      <c r="B822" s="99"/>
      <c r="C822" s="105"/>
      <c r="D822" s="126"/>
      <c r="F822" s="99"/>
      <c r="G822" s="131"/>
      <c r="H822" s="98"/>
      <c r="J822" s="105"/>
    </row>
    <row r="823" spans="1:10" s="96" customFormat="1" ht="20.399999999999999" customHeight="1">
      <c r="A823" s="385"/>
      <c r="B823" s="99"/>
      <c r="C823" s="105"/>
      <c r="D823" s="126"/>
      <c r="F823" s="99"/>
      <c r="G823" s="131"/>
      <c r="H823" s="98"/>
      <c r="J823" s="105"/>
    </row>
    <row r="824" spans="1:10" s="96" customFormat="1" ht="20.399999999999999" customHeight="1">
      <c r="A824" s="385"/>
      <c r="B824" s="99"/>
      <c r="C824" s="105"/>
      <c r="D824" s="126"/>
      <c r="F824" s="99"/>
      <c r="G824" s="131"/>
      <c r="H824" s="98"/>
      <c r="J824" s="105"/>
    </row>
    <row r="825" spans="1:10" s="96" customFormat="1" ht="20.399999999999999" customHeight="1">
      <c r="A825" s="385"/>
      <c r="B825" s="99"/>
      <c r="C825" s="105"/>
      <c r="D825" s="126"/>
      <c r="F825" s="99"/>
      <c r="G825" s="131"/>
      <c r="H825" s="98"/>
      <c r="J825" s="105"/>
    </row>
    <row r="826" spans="1:10" s="96" customFormat="1" ht="20.399999999999999" customHeight="1">
      <c r="A826" s="385"/>
      <c r="B826" s="99"/>
      <c r="C826" s="105"/>
      <c r="D826" s="126"/>
      <c r="F826" s="99"/>
      <c r="G826" s="131"/>
      <c r="H826" s="98"/>
      <c r="J826" s="105"/>
    </row>
    <row r="827" spans="1:10" s="96" customFormat="1" ht="20.399999999999999" customHeight="1">
      <c r="A827" s="385"/>
      <c r="B827" s="99"/>
      <c r="C827" s="105"/>
      <c r="D827" s="126"/>
      <c r="F827" s="99"/>
      <c r="G827" s="131"/>
      <c r="H827" s="98"/>
      <c r="J827" s="105"/>
    </row>
    <row r="828" spans="1:10" s="96" customFormat="1" ht="20.399999999999999" customHeight="1">
      <c r="A828" s="385"/>
      <c r="B828" s="99"/>
      <c r="C828" s="105"/>
      <c r="D828" s="126"/>
      <c r="F828" s="99"/>
      <c r="G828" s="131"/>
      <c r="H828" s="98"/>
      <c r="J828" s="105"/>
    </row>
    <row r="829" spans="1:10" s="96" customFormat="1" ht="20.399999999999999" customHeight="1">
      <c r="A829" s="385"/>
      <c r="B829" s="99"/>
      <c r="C829" s="105"/>
      <c r="D829" s="126"/>
      <c r="F829" s="99"/>
      <c r="G829" s="131"/>
      <c r="H829" s="98"/>
      <c r="J829" s="105"/>
    </row>
    <row r="830" spans="1:10" s="96" customFormat="1" ht="20.399999999999999" customHeight="1">
      <c r="A830" s="385"/>
      <c r="B830" s="99"/>
      <c r="C830" s="105"/>
      <c r="D830" s="126"/>
      <c r="F830" s="99"/>
      <c r="G830" s="131"/>
      <c r="H830" s="98"/>
      <c r="J830" s="105"/>
    </row>
    <row r="831" spans="1:10" s="96" customFormat="1" ht="20.399999999999999" customHeight="1">
      <c r="A831" s="385"/>
      <c r="B831" s="99"/>
      <c r="C831" s="105"/>
      <c r="D831" s="126"/>
      <c r="F831" s="99"/>
      <c r="G831" s="131"/>
      <c r="H831" s="98"/>
      <c r="J831" s="105"/>
    </row>
    <row r="832" spans="1:10" s="96" customFormat="1" ht="20.399999999999999" customHeight="1">
      <c r="A832" s="385"/>
      <c r="B832" s="99"/>
      <c r="C832" s="105"/>
      <c r="D832" s="126"/>
      <c r="F832" s="99"/>
      <c r="G832" s="131"/>
      <c r="H832" s="98"/>
      <c r="J832" s="105"/>
    </row>
    <row r="833" spans="1:10" s="96" customFormat="1" ht="20.399999999999999" customHeight="1">
      <c r="A833" s="385"/>
      <c r="B833" s="99"/>
      <c r="C833" s="105"/>
      <c r="D833" s="126"/>
      <c r="F833" s="99"/>
      <c r="G833" s="131"/>
      <c r="H833" s="98"/>
      <c r="J833" s="105"/>
    </row>
    <row r="834" spans="1:10" s="96" customFormat="1" ht="20.399999999999999" customHeight="1">
      <c r="A834" s="385"/>
      <c r="B834" s="99"/>
      <c r="C834" s="105"/>
      <c r="D834" s="126"/>
      <c r="F834" s="99"/>
      <c r="G834" s="131"/>
      <c r="H834" s="98"/>
      <c r="J834" s="105"/>
    </row>
    <row r="835" spans="1:10" s="96" customFormat="1" ht="20.399999999999999" customHeight="1">
      <c r="A835" s="385"/>
      <c r="B835" s="99"/>
      <c r="C835" s="105"/>
      <c r="D835" s="126"/>
      <c r="F835" s="99"/>
      <c r="G835" s="131"/>
      <c r="H835" s="98"/>
      <c r="J835" s="105"/>
    </row>
    <row r="836" spans="1:10" s="96" customFormat="1" ht="20.399999999999999" customHeight="1">
      <c r="A836" s="385"/>
      <c r="B836" s="99"/>
      <c r="C836" s="105"/>
      <c r="D836" s="126"/>
      <c r="F836" s="99"/>
      <c r="G836" s="131"/>
      <c r="H836" s="98"/>
      <c r="J836" s="105"/>
    </row>
    <row r="837" spans="1:10" s="96" customFormat="1" ht="20.399999999999999" customHeight="1">
      <c r="A837" s="385"/>
      <c r="B837" s="99"/>
      <c r="C837" s="105"/>
      <c r="D837" s="126"/>
      <c r="F837" s="99"/>
      <c r="G837" s="131"/>
      <c r="H837" s="98"/>
      <c r="J837" s="105"/>
    </row>
    <row r="838" spans="1:10" s="96" customFormat="1" ht="20.399999999999999" customHeight="1">
      <c r="A838" s="385"/>
      <c r="B838" s="99"/>
      <c r="C838" s="105"/>
      <c r="D838" s="126"/>
      <c r="F838" s="99"/>
      <c r="G838" s="131"/>
      <c r="H838" s="98"/>
      <c r="J838" s="105"/>
    </row>
    <row r="839" spans="1:10" s="96" customFormat="1" ht="20.399999999999999" customHeight="1">
      <c r="A839" s="385"/>
      <c r="B839" s="99"/>
      <c r="C839" s="105"/>
      <c r="D839" s="126"/>
      <c r="F839" s="99"/>
      <c r="G839" s="131"/>
      <c r="H839" s="98"/>
      <c r="J839" s="105"/>
    </row>
    <row r="840" spans="1:10" s="96" customFormat="1" ht="20.399999999999999" customHeight="1">
      <c r="A840" s="385"/>
      <c r="B840" s="99"/>
      <c r="C840" s="105"/>
      <c r="D840" s="126"/>
      <c r="F840" s="99"/>
      <c r="G840" s="131"/>
      <c r="H840" s="98"/>
      <c r="J840" s="105"/>
    </row>
    <row r="841" spans="1:10" s="96" customFormat="1" ht="20.399999999999999" customHeight="1">
      <c r="A841" s="385"/>
      <c r="B841" s="99"/>
      <c r="C841" s="105"/>
      <c r="D841" s="126"/>
      <c r="F841" s="99"/>
      <c r="G841" s="131"/>
      <c r="H841" s="98"/>
      <c r="J841" s="105"/>
    </row>
    <row r="842" spans="1:10" s="96" customFormat="1" ht="20.399999999999999" customHeight="1">
      <c r="A842" s="385"/>
      <c r="B842" s="99"/>
      <c r="C842" s="105"/>
      <c r="D842" s="126"/>
      <c r="F842" s="99"/>
      <c r="G842" s="131"/>
      <c r="H842" s="98"/>
      <c r="J842" s="105"/>
    </row>
    <row r="843" spans="1:10" s="96" customFormat="1" ht="20.399999999999999" customHeight="1">
      <c r="A843" s="385"/>
      <c r="B843" s="99"/>
      <c r="C843" s="105"/>
      <c r="D843" s="126"/>
      <c r="F843" s="99"/>
      <c r="G843" s="131"/>
      <c r="H843" s="98"/>
      <c r="J843" s="105"/>
    </row>
    <row r="844" spans="1:10" s="96" customFormat="1" ht="20.399999999999999" customHeight="1">
      <c r="A844" s="385"/>
      <c r="B844" s="99"/>
      <c r="C844" s="105"/>
      <c r="D844" s="126"/>
      <c r="F844" s="99"/>
      <c r="G844" s="131"/>
      <c r="H844" s="98"/>
      <c r="J844" s="105"/>
    </row>
    <row r="845" spans="1:10" s="96" customFormat="1" ht="20.399999999999999" customHeight="1">
      <c r="A845" s="385"/>
      <c r="B845" s="99"/>
      <c r="C845" s="105"/>
      <c r="D845" s="126"/>
      <c r="F845" s="99"/>
      <c r="G845" s="131"/>
      <c r="H845" s="98"/>
      <c r="J845" s="105"/>
    </row>
    <row r="846" spans="1:10" s="96" customFormat="1" ht="20.399999999999999" customHeight="1">
      <c r="A846" s="385"/>
      <c r="B846" s="99"/>
      <c r="C846" s="105"/>
      <c r="D846" s="126"/>
      <c r="F846" s="99"/>
      <c r="G846" s="131"/>
      <c r="H846" s="98"/>
      <c r="J846" s="105"/>
    </row>
    <row r="847" spans="1:10" s="96" customFormat="1" ht="20.399999999999999" customHeight="1">
      <c r="A847" s="385"/>
      <c r="B847" s="99"/>
      <c r="C847" s="105"/>
      <c r="D847" s="126"/>
      <c r="F847" s="99"/>
      <c r="G847" s="131"/>
      <c r="H847" s="98"/>
      <c r="J847" s="105"/>
    </row>
    <row r="848" spans="1:10" s="96" customFormat="1" ht="20.399999999999999" customHeight="1">
      <c r="A848" s="385"/>
      <c r="B848" s="99"/>
      <c r="C848" s="105"/>
      <c r="D848" s="126"/>
      <c r="F848" s="99"/>
      <c r="G848" s="131"/>
      <c r="H848" s="98"/>
      <c r="J848" s="105"/>
    </row>
    <row r="849" spans="1:10" s="96" customFormat="1" ht="20.399999999999999" customHeight="1">
      <c r="A849" s="385"/>
      <c r="B849" s="99"/>
      <c r="C849" s="105"/>
      <c r="D849" s="126"/>
      <c r="F849" s="99"/>
      <c r="G849" s="131"/>
      <c r="H849" s="98"/>
      <c r="J849" s="105"/>
    </row>
    <row r="850" spans="1:10" s="96" customFormat="1" ht="20.399999999999999" customHeight="1">
      <c r="A850" s="385"/>
      <c r="B850" s="99"/>
      <c r="C850" s="105"/>
      <c r="D850" s="126"/>
      <c r="F850" s="99"/>
      <c r="G850" s="131"/>
      <c r="H850" s="98"/>
      <c r="J850" s="105"/>
    </row>
    <row r="851" spans="1:10" s="96" customFormat="1" ht="20.399999999999999" customHeight="1">
      <c r="A851" s="385"/>
      <c r="B851" s="99"/>
      <c r="C851" s="105"/>
      <c r="D851" s="126"/>
      <c r="F851" s="99"/>
      <c r="G851" s="131"/>
      <c r="H851" s="98"/>
      <c r="J851" s="105"/>
    </row>
    <row r="852" spans="1:10" s="96" customFormat="1" ht="20.399999999999999" customHeight="1">
      <c r="A852" s="385"/>
      <c r="B852" s="99"/>
      <c r="C852" s="105"/>
      <c r="D852" s="126"/>
      <c r="F852" s="99"/>
      <c r="G852" s="131"/>
      <c r="H852" s="98"/>
      <c r="J852" s="105"/>
    </row>
    <row r="853" spans="1:10" s="96" customFormat="1" ht="20.399999999999999" customHeight="1">
      <c r="A853" s="385"/>
      <c r="B853" s="99"/>
      <c r="C853" s="105"/>
      <c r="D853" s="126"/>
      <c r="F853" s="99"/>
      <c r="G853" s="131"/>
      <c r="H853" s="98"/>
      <c r="J853" s="105"/>
    </row>
    <row r="854" spans="1:10" s="96" customFormat="1" ht="20.399999999999999" customHeight="1">
      <c r="A854" s="385"/>
      <c r="B854" s="99"/>
      <c r="C854" s="105"/>
      <c r="D854" s="126"/>
      <c r="F854" s="99"/>
      <c r="G854" s="131"/>
      <c r="H854" s="98"/>
      <c r="J854" s="105"/>
    </row>
    <row r="855" spans="1:10" s="96" customFormat="1" ht="20.399999999999999" customHeight="1">
      <c r="A855" s="385"/>
      <c r="B855" s="99"/>
      <c r="C855" s="105"/>
      <c r="D855" s="126"/>
      <c r="F855" s="99"/>
      <c r="G855" s="131"/>
      <c r="H855" s="98"/>
      <c r="J855" s="105"/>
    </row>
    <row r="856" spans="1:10" s="96" customFormat="1" ht="20.399999999999999" customHeight="1">
      <c r="A856" s="385"/>
      <c r="B856" s="99"/>
      <c r="C856" s="105"/>
      <c r="D856" s="126"/>
      <c r="F856" s="99"/>
      <c r="G856" s="131"/>
      <c r="H856" s="98"/>
      <c r="J856" s="105"/>
    </row>
    <row r="857" spans="1:10" s="96" customFormat="1" ht="20.399999999999999" customHeight="1">
      <c r="A857" s="385"/>
      <c r="B857" s="99"/>
      <c r="C857" s="105"/>
      <c r="D857" s="126"/>
      <c r="F857" s="99"/>
      <c r="G857" s="131"/>
      <c r="H857" s="98"/>
      <c r="J857" s="105"/>
    </row>
    <row r="858" spans="1:10" s="96" customFormat="1" ht="20.399999999999999" customHeight="1">
      <c r="A858" s="385"/>
      <c r="B858" s="99"/>
      <c r="C858" s="105"/>
      <c r="D858" s="126"/>
      <c r="F858" s="99"/>
      <c r="G858" s="131"/>
      <c r="H858" s="98"/>
      <c r="J858" s="105"/>
    </row>
    <row r="859" spans="1:10" s="96" customFormat="1" ht="20.399999999999999" customHeight="1">
      <c r="A859" s="385"/>
      <c r="B859" s="99"/>
      <c r="C859" s="105"/>
      <c r="D859" s="126"/>
      <c r="F859" s="99"/>
      <c r="G859" s="131"/>
      <c r="H859" s="98"/>
      <c r="J859" s="105"/>
    </row>
    <row r="860" spans="1:10" s="96" customFormat="1" ht="20.399999999999999" customHeight="1">
      <c r="A860" s="385"/>
      <c r="B860" s="99"/>
      <c r="C860" s="105"/>
      <c r="D860" s="126"/>
      <c r="F860" s="99"/>
      <c r="G860" s="131"/>
      <c r="H860" s="98"/>
      <c r="J860" s="105"/>
    </row>
    <row r="861" spans="1:10" s="96" customFormat="1" ht="20.399999999999999" customHeight="1">
      <c r="A861" s="385"/>
      <c r="B861" s="99"/>
      <c r="C861" s="105"/>
      <c r="D861" s="126"/>
      <c r="F861" s="99"/>
      <c r="G861" s="131"/>
      <c r="H861" s="98"/>
      <c r="J861" s="105"/>
    </row>
    <row r="862" spans="1:10" s="96" customFormat="1" ht="20.399999999999999" customHeight="1">
      <c r="A862" s="385"/>
      <c r="B862" s="99"/>
      <c r="C862" s="105"/>
      <c r="D862" s="126"/>
      <c r="F862" s="99"/>
      <c r="G862" s="131"/>
      <c r="H862" s="98"/>
      <c r="J862" s="105"/>
    </row>
    <row r="863" spans="1:10" s="96" customFormat="1" ht="20.399999999999999" customHeight="1">
      <c r="A863" s="385"/>
      <c r="B863" s="99"/>
      <c r="C863" s="105"/>
      <c r="D863" s="126"/>
      <c r="F863" s="99"/>
      <c r="G863" s="131"/>
      <c r="H863" s="98"/>
      <c r="J863" s="105"/>
    </row>
    <row r="864" spans="1:10" s="96" customFormat="1" ht="20.399999999999999" customHeight="1">
      <c r="A864" s="385"/>
      <c r="B864" s="99"/>
      <c r="C864" s="105"/>
      <c r="D864" s="126"/>
      <c r="F864" s="99"/>
      <c r="G864" s="131"/>
      <c r="H864" s="98"/>
      <c r="J864" s="105"/>
    </row>
    <row r="865" spans="1:10" s="96" customFormat="1" ht="20.399999999999999" customHeight="1">
      <c r="A865" s="385"/>
      <c r="B865" s="99"/>
      <c r="C865" s="105"/>
      <c r="D865" s="126"/>
      <c r="F865" s="99"/>
      <c r="G865" s="131"/>
      <c r="H865" s="98"/>
      <c r="J865" s="105"/>
    </row>
    <row r="866" spans="1:10" s="96" customFormat="1" ht="20.399999999999999" customHeight="1">
      <c r="A866" s="385"/>
      <c r="B866" s="99"/>
      <c r="C866" s="105"/>
      <c r="D866" s="126"/>
      <c r="F866" s="99"/>
      <c r="G866" s="131"/>
      <c r="H866" s="98"/>
      <c r="J866" s="105"/>
    </row>
    <row r="867" spans="1:10" s="96" customFormat="1" ht="20.399999999999999" customHeight="1">
      <c r="A867" s="385"/>
      <c r="B867" s="99"/>
      <c r="C867" s="105"/>
      <c r="D867" s="126"/>
      <c r="F867" s="99"/>
      <c r="G867" s="131"/>
      <c r="H867" s="98"/>
      <c r="J867" s="105"/>
    </row>
    <row r="868" spans="1:10" s="96" customFormat="1" ht="20.399999999999999" customHeight="1">
      <c r="A868" s="385"/>
      <c r="B868" s="99"/>
      <c r="C868" s="105"/>
      <c r="D868" s="126"/>
      <c r="F868" s="99"/>
      <c r="G868" s="131"/>
      <c r="H868" s="98"/>
      <c r="J868" s="105"/>
    </row>
    <row r="869" spans="1:10" s="96" customFormat="1" ht="20.399999999999999" customHeight="1">
      <c r="A869" s="385"/>
      <c r="B869" s="99"/>
      <c r="C869" s="105"/>
      <c r="D869" s="126"/>
      <c r="F869" s="99"/>
      <c r="G869" s="131"/>
      <c r="H869" s="98"/>
      <c r="J869" s="105"/>
    </row>
    <row r="870" spans="1:10" s="96" customFormat="1" ht="20.399999999999999" customHeight="1">
      <c r="A870" s="385"/>
      <c r="B870" s="99"/>
      <c r="C870" s="105"/>
      <c r="D870" s="126"/>
      <c r="F870" s="99"/>
      <c r="G870" s="131"/>
      <c r="H870" s="98"/>
      <c r="J870" s="105"/>
    </row>
    <row r="871" spans="1:10" s="96" customFormat="1" ht="20.399999999999999" customHeight="1">
      <c r="A871" s="385"/>
      <c r="B871" s="99"/>
      <c r="C871" s="105"/>
      <c r="D871" s="126"/>
      <c r="F871" s="99"/>
      <c r="G871" s="131"/>
      <c r="H871" s="98"/>
      <c r="J871" s="105"/>
    </row>
    <row r="872" spans="1:10" s="96" customFormat="1" ht="20.399999999999999" customHeight="1">
      <c r="A872" s="385"/>
      <c r="B872" s="99"/>
      <c r="C872" s="105"/>
      <c r="D872" s="126"/>
      <c r="F872" s="99"/>
      <c r="G872" s="131"/>
      <c r="H872" s="98"/>
      <c r="J872" s="105"/>
    </row>
    <row r="873" spans="1:10" s="96" customFormat="1" ht="20.399999999999999" customHeight="1">
      <c r="A873" s="385"/>
      <c r="B873" s="99"/>
      <c r="C873" s="105"/>
      <c r="D873" s="126"/>
      <c r="F873" s="99"/>
      <c r="G873" s="131"/>
      <c r="H873" s="98"/>
      <c r="J873" s="105"/>
    </row>
    <row r="874" spans="1:10" s="96" customFormat="1" ht="20.399999999999999" customHeight="1">
      <c r="A874" s="385"/>
      <c r="B874" s="99"/>
      <c r="C874" s="105"/>
      <c r="D874" s="126"/>
      <c r="F874" s="99"/>
      <c r="G874" s="131"/>
      <c r="H874" s="98"/>
      <c r="J874" s="105"/>
    </row>
    <row r="875" spans="1:10" s="96" customFormat="1" ht="20.399999999999999" customHeight="1">
      <c r="A875" s="385"/>
      <c r="B875" s="99"/>
      <c r="C875" s="105"/>
      <c r="D875" s="126"/>
      <c r="F875" s="99"/>
      <c r="G875" s="131"/>
      <c r="H875" s="98"/>
      <c r="J875" s="105"/>
    </row>
    <row r="876" spans="1:10" s="96" customFormat="1" ht="20.399999999999999" customHeight="1">
      <c r="A876" s="385"/>
      <c r="B876" s="99"/>
      <c r="C876" s="105"/>
      <c r="D876" s="126"/>
      <c r="F876" s="99"/>
      <c r="G876" s="131"/>
      <c r="H876" s="98"/>
      <c r="J876" s="105"/>
    </row>
    <row r="877" spans="1:10" s="96" customFormat="1" ht="20.399999999999999" customHeight="1">
      <c r="A877" s="385"/>
      <c r="B877" s="99"/>
      <c r="C877" s="105"/>
      <c r="D877" s="126"/>
      <c r="F877" s="99"/>
      <c r="G877" s="131"/>
      <c r="H877" s="98"/>
      <c r="J877" s="105"/>
    </row>
    <row r="878" spans="1:10" s="96" customFormat="1" ht="20.399999999999999" customHeight="1">
      <c r="A878" s="385"/>
      <c r="B878" s="99"/>
      <c r="C878" s="105"/>
      <c r="D878" s="126"/>
      <c r="F878" s="99"/>
      <c r="G878" s="131"/>
      <c r="H878" s="98"/>
      <c r="J878" s="105"/>
    </row>
    <row r="879" spans="1:10" s="96" customFormat="1" ht="20.399999999999999" customHeight="1">
      <c r="A879" s="385"/>
      <c r="B879" s="99"/>
      <c r="C879" s="105"/>
      <c r="D879" s="126"/>
      <c r="F879" s="99"/>
      <c r="G879" s="131"/>
      <c r="H879" s="98"/>
      <c r="J879" s="105"/>
    </row>
    <row r="880" spans="1:10" s="96" customFormat="1" ht="20.399999999999999" customHeight="1">
      <c r="A880" s="385"/>
      <c r="B880" s="99"/>
      <c r="C880" s="105"/>
      <c r="D880" s="126"/>
      <c r="F880" s="99"/>
      <c r="G880" s="131"/>
      <c r="H880" s="98"/>
      <c r="J880" s="105"/>
    </row>
    <row r="881" spans="1:10" s="96" customFormat="1" ht="20.399999999999999" customHeight="1">
      <c r="A881" s="385"/>
      <c r="B881" s="99"/>
      <c r="C881" s="105"/>
      <c r="D881" s="126"/>
      <c r="F881" s="99"/>
      <c r="G881" s="131"/>
      <c r="H881" s="98"/>
      <c r="J881" s="105"/>
    </row>
    <row r="882" spans="1:10" s="96" customFormat="1" ht="20.399999999999999" customHeight="1">
      <c r="A882" s="385"/>
      <c r="B882" s="99"/>
      <c r="C882" s="105"/>
      <c r="D882" s="126"/>
      <c r="F882" s="99"/>
      <c r="G882" s="131"/>
      <c r="H882" s="98"/>
      <c r="J882" s="105"/>
    </row>
    <row r="883" spans="1:10" s="96" customFormat="1" ht="20.399999999999999" customHeight="1">
      <c r="A883" s="385"/>
      <c r="B883" s="99"/>
      <c r="C883" s="105"/>
      <c r="D883" s="126"/>
      <c r="F883" s="99"/>
      <c r="G883" s="131"/>
      <c r="H883" s="98"/>
      <c r="J883" s="105"/>
    </row>
    <row r="884" spans="1:10" s="96" customFormat="1" ht="20.399999999999999" customHeight="1">
      <c r="A884" s="385"/>
      <c r="B884" s="99"/>
      <c r="C884" s="105"/>
      <c r="D884" s="126"/>
      <c r="F884" s="99"/>
      <c r="G884" s="131"/>
      <c r="H884" s="98"/>
      <c r="J884" s="105"/>
    </row>
    <row r="885" spans="1:10" s="96" customFormat="1" ht="20.399999999999999" customHeight="1">
      <c r="A885" s="385"/>
      <c r="B885" s="99"/>
      <c r="C885" s="105"/>
      <c r="D885" s="126"/>
      <c r="F885" s="99"/>
      <c r="G885" s="131"/>
      <c r="H885" s="98"/>
      <c r="J885" s="105"/>
    </row>
    <row r="886" spans="1:10" s="96" customFormat="1" ht="20.399999999999999" customHeight="1">
      <c r="A886" s="385"/>
      <c r="B886" s="99"/>
      <c r="C886" s="105"/>
      <c r="D886" s="126"/>
      <c r="F886" s="99"/>
      <c r="G886" s="131"/>
      <c r="H886" s="98"/>
      <c r="J886" s="105"/>
    </row>
    <row r="887" spans="1:10" s="96" customFormat="1" ht="20.399999999999999" customHeight="1">
      <c r="A887" s="385"/>
      <c r="B887" s="99"/>
      <c r="C887" s="105"/>
      <c r="D887" s="126"/>
      <c r="F887" s="99"/>
      <c r="G887" s="131"/>
      <c r="H887" s="98"/>
      <c r="J887" s="105"/>
    </row>
    <row r="888" spans="1:10" s="96" customFormat="1" ht="20.399999999999999" customHeight="1">
      <c r="A888" s="385"/>
      <c r="B888" s="99"/>
      <c r="C888" s="105"/>
      <c r="D888" s="126"/>
      <c r="F888" s="99"/>
      <c r="G888" s="131"/>
      <c r="H888" s="98"/>
      <c r="J888" s="105"/>
    </row>
    <row r="889" spans="1:10" s="96" customFormat="1" ht="20.399999999999999" customHeight="1">
      <c r="A889" s="385"/>
      <c r="B889" s="99"/>
      <c r="C889" s="105"/>
      <c r="D889" s="126"/>
      <c r="F889" s="99"/>
      <c r="G889" s="131"/>
      <c r="H889" s="98"/>
      <c r="J889" s="105"/>
    </row>
    <row r="890" spans="1:10" s="96" customFormat="1" ht="20.399999999999999" customHeight="1">
      <c r="A890" s="385"/>
      <c r="B890" s="99"/>
      <c r="C890" s="105"/>
      <c r="D890" s="126"/>
      <c r="F890" s="99"/>
      <c r="G890" s="131"/>
      <c r="H890" s="98"/>
      <c r="J890" s="105"/>
    </row>
    <row r="891" spans="1:10" s="96" customFormat="1" ht="20.399999999999999" customHeight="1">
      <c r="A891" s="385"/>
      <c r="B891" s="99"/>
      <c r="C891" s="105"/>
      <c r="D891" s="126"/>
      <c r="F891" s="99"/>
      <c r="G891" s="131"/>
      <c r="H891" s="98"/>
      <c r="J891" s="105"/>
    </row>
    <row r="892" spans="1:10" s="96" customFormat="1" ht="20.399999999999999" customHeight="1">
      <c r="A892" s="385"/>
      <c r="B892" s="99"/>
      <c r="C892" s="105"/>
      <c r="D892" s="126"/>
      <c r="F892" s="99"/>
      <c r="G892" s="131"/>
      <c r="H892" s="98"/>
      <c r="J892" s="105"/>
    </row>
    <row r="893" spans="1:10" s="96" customFormat="1" ht="20.399999999999999" customHeight="1">
      <c r="A893" s="385"/>
      <c r="B893" s="99"/>
      <c r="C893" s="105"/>
      <c r="D893" s="126"/>
      <c r="F893" s="99"/>
      <c r="G893" s="131"/>
      <c r="H893" s="98"/>
      <c r="J893" s="105"/>
    </row>
    <row r="894" spans="1:10" s="96" customFormat="1" ht="20.399999999999999" customHeight="1">
      <c r="A894" s="385"/>
      <c r="B894" s="99"/>
      <c r="C894" s="105"/>
      <c r="D894" s="126"/>
      <c r="F894" s="99"/>
      <c r="G894" s="131"/>
      <c r="H894" s="98"/>
      <c r="J894" s="105"/>
    </row>
    <row r="895" spans="1:10" s="96" customFormat="1" ht="20.399999999999999" customHeight="1">
      <c r="A895" s="385"/>
      <c r="B895" s="99"/>
      <c r="C895" s="105"/>
      <c r="D895" s="126"/>
      <c r="F895" s="99"/>
      <c r="G895" s="131"/>
      <c r="H895" s="98"/>
      <c r="J895" s="105"/>
    </row>
    <row r="896" spans="1:10" s="96" customFormat="1" ht="20.399999999999999" customHeight="1">
      <c r="A896" s="385"/>
      <c r="B896" s="99"/>
      <c r="C896" s="105"/>
      <c r="D896" s="126"/>
      <c r="F896" s="99"/>
      <c r="G896" s="131"/>
      <c r="H896" s="98"/>
      <c r="J896" s="105"/>
    </row>
    <row r="897" spans="1:10" s="96" customFormat="1" ht="20.399999999999999" customHeight="1">
      <c r="A897" s="385"/>
      <c r="B897" s="99"/>
      <c r="C897" s="105"/>
      <c r="D897" s="126"/>
      <c r="F897" s="99"/>
      <c r="G897" s="131"/>
      <c r="H897" s="98"/>
      <c r="J897" s="105"/>
    </row>
    <row r="898" spans="1:10" s="96" customFormat="1" ht="20.399999999999999" customHeight="1">
      <c r="A898" s="385"/>
      <c r="B898" s="99"/>
      <c r="C898" s="105"/>
      <c r="D898" s="126"/>
      <c r="F898" s="99"/>
      <c r="G898" s="131"/>
      <c r="H898" s="98"/>
      <c r="J898" s="105"/>
    </row>
    <row r="899" spans="1:10" s="96" customFormat="1" ht="20.399999999999999" customHeight="1">
      <c r="A899" s="385"/>
      <c r="B899" s="99"/>
      <c r="C899" s="105"/>
      <c r="D899" s="126"/>
      <c r="F899" s="99"/>
      <c r="G899" s="131"/>
      <c r="H899" s="98"/>
      <c r="J899" s="105"/>
    </row>
    <row r="900" spans="1:10" s="96" customFormat="1" ht="20.399999999999999" customHeight="1">
      <c r="A900" s="385"/>
      <c r="B900" s="99"/>
      <c r="C900" s="105"/>
      <c r="D900" s="126"/>
      <c r="F900" s="99"/>
      <c r="G900" s="131"/>
      <c r="H900" s="98"/>
      <c r="J900" s="105"/>
    </row>
    <row r="901" spans="1:10" s="96" customFormat="1" ht="20.399999999999999" customHeight="1">
      <c r="A901" s="385"/>
      <c r="B901" s="99"/>
      <c r="C901" s="105"/>
      <c r="D901" s="126"/>
      <c r="F901" s="99"/>
      <c r="G901" s="131"/>
      <c r="H901" s="98"/>
      <c r="J901" s="105"/>
    </row>
    <row r="902" spans="1:10" s="96" customFormat="1" ht="20.399999999999999" customHeight="1">
      <c r="A902" s="385"/>
      <c r="B902" s="99"/>
      <c r="C902" s="105"/>
      <c r="D902" s="126"/>
      <c r="F902" s="99"/>
      <c r="G902" s="131"/>
      <c r="H902" s="98"/>
      <c r="J902" s="105"/>
    </row>
    <row r="903" spans="1:10" s="96" customFormat="1" ht="20.399999999999999" customHeight="1">
      <c r="A903" s="385"/>
      <c r="B903" s="99"/>
      <c r="C903" s="105"/>
      <c r="D903" s="126"/>
      <c r="F903" s="99"/>
      <c r="G903" s="131"/>
      <c r="H903" s="98"/>
      <c r="J903" s="105"/>
    </row>
    <row r="904" spans="1:10" s="96" customFormat="1" ht="20.399999999999999" customHeight="1">
      <c r="A904" s="385"/>
      <c r="B904" s="99"/>
      <c r="C904" s="105"/>
      <c r="D904" s="126"/>
      <c r="F904" s="99"/>
      <c r="G904" s="131"/>
      <c r="H904" s="98"/>
      <c r="J904" s="105"/>
    </row>
    <row r="905" spans="1:10" s="96" customFormat="1" ht="20.399999999999999" customHeight="1">
      <c r="A905" s="385"/>
      <c r="B905" s="99"/>
      <c r="C905" s="105"/>
      <c r="D905" s="126"/>
      <c r="F905" s="99"/>
      <c r="G905" s="131"/>
      <c r="H905" s="98"/>
      <c r="J905" s="105"/>
    </row>
    <row r="906" spans="1:10" s="96" customFormat="1" ht="20.399999999999999" customHeight="1">
      <c r="A906" s="385"/>
      <c r="B906" s="99"/>
      <c r="C906" s="105"/>
      <c r="D906" s="126"/>
      <c r="F906" s="99"/>
      <c r="G906" s="131"/>
      <c r="H906" s="98"/>
      <c r="J906" s="105"/>
    </row>
    <row r="907" spans="1:10" s="96" customFormat="1" ht="20.399999999999999" customHeight="1">
      <c r="A907" s="385"/>
      <c r="B907" s="99"/>
      <c r="C907" s="105"/>
      <c r="D907" s="126"/>
      <c r="F907" s="99"/>
      <c r="G907" s="131"/>
      <c r="H907" s="98"/>
      <c r="J907" s="105"/>
    </row>
    <row r="908" spans="1:10" s="96" customFormat="1" ht="20.399999999999999" customHeight="1">
      <c r="A908" s="385"/>
      <c r="B908" s="99"/>
      <c r="C908" s="105"/>
      <c r="D908" s="126"/>
      <c r="F908" s="99"/>
      <c r="G908" s="131"/>
      <c r="H908" s="98"/>
      <c r="J908" s="105"/>
    </row>
    <row r="909" spans="1:10" s="96" customFormat="1" ht="20.399999999999999" customHeight="1">
      <c r="A909" s="385"/>
      <c r="B909" s="99"/>
      <c r="C909" s="105"/>
      <c r="D909" s="126"/>
      <c r="F909" s="99"/>
      <c r="G909" s="131"/>
      <c r="H909" s="98"/>
      <c r="J909" s="105"/>
    </row>
    <row r="910" spans="1:10" s="96" customFormat="1" ht="20.399999999999999" customHeight="1">
      <c r="A910" s="385"/>
      <c r="B910" s="99"/>
      <c r="C910" s="105"/>
      <c r="D910" s="126"/>
      <c r="F910" s="99"/>
      <c r="G910" s="131"/>
      <c r="H910" s="98"/>
      <c r="J910" s="105"/>
    </row>
    <row r="911" spans="1:10" s="96" customFormat="1" ht="20.399999999999999" customHeight="1">
      <c r="A911" s="385"/>
      <c r="B911" s="99"/>
      <c r="C911" s="105"/>
      <c r="D911" s="126"/>
      <c r="F911" s="99"/>
      <c r="G911" s="131"/>
      <c r="H911" s="98"/>
      <c r="J911" s="105"/>
    </row>
    <row r="912" spans="1:10" s="96" customFormat="1" ht="20.399999999999999" customHeight="1">
      <c r="A912" s="385"/>
      <c r="B912" s="99"/>
      <c r="C912" s="105"/>
      <c r="D912" s="126"/>
      <c r="F912" s="99"/>
      <c r="G912" s="131"/>
      <c r="H912" s="98"/>
      <c r="J912" s="105"/>
    </row>
    <row r="913" spans="1:10" s="96" customFormat="1" ht="20.399999999999999" customHeight="1">
      <c r="A913" s="385"/>
      <c r="B913" s="99"/>
      <c r="C913" s="105"/>
      <c r="D913" s="126"/>
      <c r="F913" s="99"/>
      <c r="G913" s="131"/>
      <c r="H913" s="98"/>
      <c r="J913" s="105"/>
    </row>
    <row r="914" spans="1:10" s="96" customFormat="1" ht="20.399999999999999" customHeight="1">
      <c r="A914" s="385"/>
      <c r="B914" s="99"/>
      <c r="C914" s="105"/>
      <c r="D914" s="126"/>
      <c r="F914" s="99"/>
      <c r="G914" s="131"/>
      <c r="H914" s="98"/>
      <c r="J914" s="105"/>
    </row>
    <row r="915" spans="1:10" s="96" customFormat="1" ht="20.399999999999999" customHeight="1">
      <c r="A915" s="385"/>
      <c r="B915" s="99"/>
      <c r="C915" s="105"/>
      <c r="D915" s="126"/>
      <c r="F915" s="99"/>
      <c r="G915" s="131"/>
      <c r="H915" s="98"/>
      <c r="J915" s="105"/>
    </row>
    <row r="916" spans="1:10" s="96" customFormat="1" ht="20.399999999999999" customHeight="1">
      <c r="A916" s="385"/>
      <c r="B916" s="99"/>
      <c r="C916" s="105"/>
      <c r="D916" s="126"/>
      <c r="F916" s="99"/>
      <c r="G916" s="131"/>
      <c r="H916" s="98"/>
      <c r="J916" s="105"/>
    </row>
    <row r="917" spans="1:10" s="96" customFormat="1" ht="20.399999999999999" customHeight="1">
      <c r="A917" s="385"/>
      <c r="B917" s="99"/>
      <c r="C917" s="105"/>
      <c r="D917" s="126"/>
      <c r="F917" s="99"/>
      <c r="G917" s="131"/>
      <c r="H917" s="98"/>
      <c r="J917" s="105"/>
    </row>
    <row r="918" spans="1:10" s="96" customFormat="1" ht="20.399999999999999" customHeight="1">
      <c r="A918" s="385"/>
      <c r="B918" s="99"/>
      <c r="C918" s="105"/>
      <c r="D918" s="126"/>
      <c r="F918" s="99"/>
      <c r="G918" s="131"/>
      <c r="H918" s="98"/>
      <c r="J918" s="105"/>
    </row>
    <row r="919" spans="1:10" s="96" customFormat="1" ht="20.399999999999999" customHeight="1">
      <c r="A919" s="385"/>
      <c r="B919" s="99"/>
      <c r="C919" s="105"/>
      <c r="D919" s="126"/>
      <c r="F919" s="99"/>
      <c r="G919" s="131"/>
      <c r="H919" s="98"/>
      <c r="J919" s="105"/>
    </row>
    <row r="920" spans="1:10" s="96" customFormat="1" ht="20.399999999999999" customHeight="1">
      <c r="A920" s="385"/>
      <c r="B920" s="99"/>
      <c r="C920" s="105"/>
      <c r="D920" s="126"/>
      <c r="F920" s="99"/>
      <c r="G920" s="131"/>
      <c r="H920" s="98"/>
      <c r="J920" s="105"/>
    </row>
    <row r="921" spans="1:10" s="96" customFormat="1" ht="20.399999999999999" customHeight="1">
      <c r="A921" s="385"/>
      <c r="B921" s="99"/>
      <c r="C921" s="105"/>
      <c r="D921" s="126"/>
      <c r="F921" s="99"/>
      <c r="G921" s="131"/>
      <c r="H921" s="98"/>
      <c r="J921" s="105"/>
    </row>
    <row r="922" spans="1:10" s="96" customFormat="1" ht="20.399999999999999" customHeight="1">
      <c r="A922" s="385"/>
      <c r="B922" s="99"/>
      <c r="C922" s="105"/>
      <c r="D922" s="126"/>
      <c r="F922" s="99"/>
      <c r="G922" s="131"/>
      <c r="H922" s="98"/>
      <c r="J922" s="105"/>
    </row>
    <row r="923" spans="1:10" s="96" customFormat="1" ht="20.399999999999999" customHeight="1">
      <c r="A923" s="385"/>
      <c r="B923" s="99"/>
      <c r="C923" s="105"/>
      <c r="D923" s="126"/>
      <c r="F923" s="99"/>
      <c r="G923" s="131"/>
      <c r="H923" s="98"/>
      <c r="J923" s="105"/>
    </row>
    <row r="924" spans="1:10" s="96" customFormat="1" ht="20.399999999999999" customHeight="1">
      <c r="A924" s="385"/>
      <c r="B924" s="99"/>
      <c r="C924" s="105"/>
      <c r="D924" s="126"/>
      <c r="F924" s="99"/>
      <c r="G924" s="131"/>
      <c r="H924" s="98"/>
      <c r="J924" s="105"/>
    </row>
    <row r="925" spans="1:10" s="96" customFormat="1" ht="20.399999999999999" customHeight="1">
      <c r="A925" s="385"/>
      <c r="B925" s="99"/>
      <c r="C925" s="105"/>
      <c r="D925" s="126"/>
      <c r="F925" s="99"/>
      <c r="G925" s="131"/>
      <c r="H925" s="98"/>
      <c r="J925" s="105"/>
    </row>
    <row r="926" spans="1:10" s="96" customFormat="1" ht="20.399999999999999" customHeight="1">
      <c r="A926" s="385"/>
      <c r="B926" s="99"/>
      <c r="C926" s="105"/>
      <c r="D926" s="126"/>
      <c r="F926" s="99"/>
      <c r="G926" s="131"/>
      <c r="H926" s="98"/>
      <c r="J926" s="105"/>
    </row>
    <row r="927" spans="1:10" s="96" customFormat="1" ht="20.399999999999999" customHeight="1">
      <c r="A927" s="385"/>
      <c r="B927" s="99"/>
      <c r="C927" s="105"/>
      <c r="D927" s="126"/>
      <c r="F927" s="99"/>
      <c r="G927" s="131"/>
      <c r="H927" s="98"/>
      <c r="J927" s="105"/>
    </row>
    <row r="928" spans="1:10" s="96" customFormat="1" ht="20.399999999999999" customHeight="1">
      <c r="A928" s="385"/>
      <c r="B928" s="99"/>
      <c r="C928" s="105"/>
      <c r="D928" s="126"/>
      <c r="F928" s="99"/>
      <c r="G928" s="131"/>
      <c r="H928" s="98"/>
      <c r="J928" s="105"/>
    </row>
    <row r="929" spans="1:10" s="96" customFormat="1" ht="20.399999999999999" customHeight="1">
      <c r="A929" s="385"/>
      <c r="B929" s="99"/>
      <c r="C929" s="105"/>
      <c r="D929" s="126"/>
      <c r="F929" s="99"/>
      <c r="G929" s="131"/>
      <c r="H929" s="98"/>
      <c r="J929" s="105"/>
    </row>
    <row r="930" spans="1:10" s="96" customFormat="1" ht="20.399999999999999" customHeight="1">
      <c r="A930" s="385"/>
      <c r="B930" s="99"/>
      <c r="C930" s="105"/>
      <c r="D930" s="126"/>
      <c r="F930" s="99"/>
      <c r="G930" s="131"/>
      <c r="H930" s="98"/>
      <c r="J930" s="105"/>
    </row>
    <row r="931" spans="1:10" s="96" customFormat="1" ht="20.399999999999999" customHeight="1">
      <c r="A931" s="385"/>
      <c r="B931" s="99"/>
      <c r="C931" s="105"/>
      <c r="D931" s="126"/>
      <c r="F931" s="99"/>
      <c r="G931" s="131"/>
      <c r="H931" s="98"/>
      <c r="J931" s="105"/>
    </row>
    <row r="932" spans="1:10" s="96" customFormat="1" ht="20.399999999999999" customHeight="1">
      <c r="A932" s="385"/>
      <c r="B932" s="99"/>
      <c r="C932" s="105"/>
      <c r="D932" s="126"/>
      <c r="F932" s="99"/>
      <c r="G932" s="131"/>
      <c r="H932" s="98"/>
      <c r="J932" s="105"/>
    </row>
    <row r="933" spans="1:10" s="96" customFormat="1" ht="20.399999999999999" customHeight="1">
      <c r="A933" s="385"/>
      <c r="B933" s="99"/>
      <c r="C933" s="105"/>
      <c r="D933" s="126"/>
      <c r="F933" s="99"/>
      <c r="G933" s="131"/>
      <c r="H933" s="98"/>
      <c r="J933" s="105"/>
    </row>
    <row r="934" spans="1:10" s="96" customFormat="1" ht="20.399999999999999" customHeight="1">
      <c r="A934" s="385"/>
      <c r="B934" s="99"/>
      <c r="C934" s="105"/>
      <c r="D934" s="126"/>
      <c r="F934" s="99"/>
      <c r="G934" s="131"/>
      <c r="H934" s="98"/>
      <c r="J934" s="105"/>
    </row>
    <row r="935" spans="1:10" s="96" customFormat="1" ht="20.399999999999999" customHeight="1">
      <c r="A935" s="385"/>
      <c r="B935" s="99"/>
      <c r="C935" s="105"/>
      <c r="D935" s="126"/>
      <c r="F935" s="99"/>
      <c r="G935" s="131"/>
      <c r="H935" s="98"/>
      <c r="J935" s="105"/>
    </row>
    <row r="936" spans="1:10" s="96" customFormat="1" ht="20.399999999999999" customHeight="1">
      <c r="A936" s="385"/>
      <c r="B936" s="99"/>
      <c r="C936" s="105"/>
      <c r="D936" s="126"/>
      <c r="F936" s="99"/>
      <c r="G936" s="131"/>
      <c r="H936" s="98"/>
      <c r="J936" s="105"/>
    </row>
    <row r="937" spans="1:10" s="96" customFormat="1" ht="20.399999999999999" customHeight="1">
      <c r="A937" s="385"/>
      <c r="B937" s="99"/>
      <c r="C937" s="105"/>
      <c r="D937" s="126"/>
      <c r="F937" s="99"/>
      <c r="G937" s="131"/>
      <c r="H937" s="98"/>
      <c r="J937" s="105"/>
    </row>
    <row r="938" spans="1:10" s="96" customFormat="1" ht="20.399999999999999" customHeight="1">
      <c r="A938" s="385"/>
      <c r="B938" s="99"/>
      <c r="C938" s="105"/>
      <c r="D938" s="126"/>
      <c r="F938" s="99"/>
      <c r="G938" s="131"/>
      <c r="H938" s="98"/>
      <c r="J938" s="105"/>
    </row>
    <row r="939" spans="1:10" s="96" customFormat="1" ht="20.399999999999999" customHeight="1">
      <c r="A939" s="385"/>
      <c r="B939" s="99"/>
      <c r="C939" s="105"/>
      <c r="D939" s="126"/>
      <c r="F939" s="99"/>
      <c r="G939" s="131"/>
      <c r="H939" s="98"/>
      <c r="J939" s="105"/>
    </row>
    <row r="940" spans="1:10" s="96" customFormat="1" ht="20.399999999999999" customHeight="1">
      <c r="A940" s="385"/>
      <c r="B940" s="99"/>
      <c r="C940" s="105"/>
      <c r="D940" s="126"/>
      <c r="F940" s="99"/>
      <c r="G940" s="131"/>
      <c r="H940" s="98"/>
      <c r="J940" s="105"/>
    </row>
    <row r="941" spans="1:10" s="96" customFormat="1" ht="20.399999999999999" customHeight="1">
      <c r="A941" s="385"/>
      <c r="B941" s="99"/>
      <c r="C941" s="105"/>
      <c r="D941" s="126"/>
      <c r="F941" s="99"/>
      <c r="G941" s="131"/>
      <c r="H941" s="98"/>
      <c r="J941" s="105"/>
    </row>
    <row r="942" spans="1:10" s="96" customFormat="1" ht="20.399999999999999" customHeight="1">
      <c r="A942" s="385"/>
      <c r="B942" s="99"/>
      <c r="C942" s="105"/>
      <c r="D942" s="126"/>
      <c r="F942" s="99"/>
      <c r="G942" s="131"/>
      <c r="H942" s="98"/>
      <c r="J942" s="105"/>
    </row>
    <row r="943" spans="1:10" s="96" customFormat="1" ht="20.399999999999999" customHeight="1">
      <c r="A943" s="385"/>
      <c r="B943" s="99"/>
      <c r="C943" s="105"/>
      <c r="D943" s="126"/>
      <c r="F943" s="99"/>
      <c r="G943" s="131"/>
      <c r="H943" s="98"/>
      <c r="J943" s="105"/>
    </row>
    <row r="944" spans="1:10" s="96" customFormat="1" ht="20.399999999999999" customHeight="1">
      <c r="A944" s="385"/>
      <c r="B944" s="99"/>
      <c r="C944" s="105"/>
      <c r="D944" s="126"/>
      <c r="F944" s="99"/>
      <c r="G944" s="131"/>
      <c r="H944" s="98"/>
      <c r="J944" s="105"/>
    </row>
    <row r="945" spans="1:10" s="96" customFormat="1" ht="20.399999999999999" customHeight="1">
      <c r="A945" s="385"/>
      <c r="B945" s="99"/>
      <c r="C945" s="105"/>
      <c r="D945" s="126"/>
      <c r="F945" s="99"/>
      <c r="G945" s="131"/>
      <c r="H945" s="98"/>
      <c r="J945" s="105"/>
    </row>
    <row r="946" spans="1:10" s="96" customFormat="1" ht="20.399999999999999" customHeight="1">
      <c r="A946" s="385"/>
      <c r="B946" s="99"/>
      <c r="C946" s="105"/>
      <c r="D946" s="126"/>
      <c r="F946" s="99"/>
      <c r="G946" s="131"/>
      <c r="H946" s="98"/>
      <c r="J946" s="105"/>
    </row>
    <row r="947" spans="1:10" s="96" customFormat="1" ht="20.399999999999999" customHeight="1">
      <c r="A947" s="385"/>
      <c r="B947" s="99"/>
      <c r="C947" s="105"/>
      <c r="D947" s="126"/>
      <c r="F947" s="99"/>
      <c r="G947" s="131"/>
      <c r="H947" s="98"/>
      <c r="J947" s="105"/>
    </row>
    <row r="948" spans="1:10" s="96" customFormat="1" ht="20.399999999999999" customHeight="1">
      <c r="A948" s="385"/>
      <c r="B948" s="99"/>
      <c r="C948" s="105"/>
      <c r="D948" s="126"/>
      <c r="F948" s="99"/>
      <c r="G948" s="131"/>
      <c r="H948" s="98"/>
      <c r="J948" s="105"/>
    </row>
    <row r="949" spans="1:10" s="96" customFormat="1" ht="20.399999999999999" customHeight="1">
      <c r="A949" s="385"/>
      <c r="B949" s="99"/>
      <c r="C949" s="105"/>
      <c r="D949" s="126"/>
      <c r="F949" s="99"/>
      <c r="G949" s="131"/>
      <c r="H949" s="98"/>
      <c r="J949" s="105"/>
    </row>
    <row r="950" spans="1:10" s="96" customFormat="1" ht="20.399999999999999" customHeight="1">
      <c r="A950" s="385"/>
      <c r="B950" s="99"/>
      <c r="C950" s="105"/>
      <c r="D950" s="126"/>
      <c r="F950" s="99"/>
      <c r="G950" s="131"/>
      <c r="H950" s="98"/>
      <c r="J950" s="105"/>
    </row>
    <row r="951" spans="1:10" s="96" customFormat="1" ht="20.399999999999999" customHeight="1">
      <c r="A951" s="385"/>
      <c r="B951" s="99"/>
      <c r="C951" s="105"/>
      <c r="D951" s="126"/>
      <c r="F951" s="99"/>
      <c r="G951" s="131"/>
      <c r="H951" s="98"/>
      <c r="J951" s="105"/>
    </row>
    <row r="952" spans="1:10" s="96" customFormat="1" ht="20.399999999999999" customHeight="1">
      <c r="A952" s="385"/>
      <c r="B952" s="99"/>
      <c r="C952" s="105"/>
      <c r="D952" s="126"/>
      <c r="F952" s="99"/>
      <c r="G952" s="131"/>
      <c r="H952" s="98"/>
      <c r="J952" s="105"/>
    </row>
    <row r="953" spans="1:10" s="96" customFormat="1" ht="20.399999999999999" customHeight="1">
      <c r="A953" s="385"/>
      <c r="B953" s="99"/>
      <c r="C953" s="105"/>
      <c r="D953" s="126"/>
      <c r="F953" s="99"/>
      <c r="G953" s="131"/>
      <c r="H953" s="98"/>
      <c r="J953" s="105"/>
    </row>
    <row r="954" spans="1:10" s="96" customFormat="1" ht="20.399999999999999" customHeight="1">
      <c r="A954" s="385"/>
      <c r="B954" s="99"/>
      <c r="C954" s="105"/>
      <c r="D954" s="126"/>
      <c r="F954" s="99"/>
      <c r="G954" s="131"/>
      <c r="H954" s="98"/>
      <c r="J954" s="105"/>
    </row>
    <row r="955" spans="1:10" s="96" customFormat="1" ht="20.399999999999999" customHeight="1">
      <c r="A955" s="385"/>
      <c r="B955" s="99"/>
      <c r="C955" s="105"/>
      <c r="D955" s="126"/>
      <c r="F955" s="99"/>
      <c r="G955" s="131"/>
      <c r="H955" s="98"/>
      <c r="J955" s="105"/>
    </row>
    <row r="956" spans="1:10" s="96" customFormat="1" ht="20.399999999999999" customHeight="1">
      <c r="A956" s="385"/>
      <c r="B956" s="99"/>
      <c r="C956" s="105"/>
      <c r="D956" s="126"/>
      <c r="F956" s="99"/>
      <c r="G956" s="131"/>
      <c r="H956" s="98"/>
      <c r="J956" s="105"/>
    </row>
    <row r="957" spans="1:10" s="96" customFormat="1" ht="20.399999999999999" customHeight="1">
      <c r="A957" s="385"/>
      <c r="B957" s="99"/>
      <c r="C957" s="105"/>
      <c r="D957" s="126"/>
      <c r="F957" s="99"/>
      <c r="G957" s="131"/>
      <c r="H957" s="98"/>
      <c r="J957" s="105"/>
    </row>
    <row r="958" spans="1:10" s="96" customFormat="1" ht="20.399999999999999" customHeight="1">
      <c r="A958" s="385"/>
      <c r="B958" s="99"/>
      <c r="C958" s="105"/>
      <c r="D958" s="126"/>
      <c r="F958" s="99"/>
      <c r="G958" s="131"/>
      <c r="H958" s="98"/>
      <c r="J958" s="105"/>
    </row>
    <row r="959" spans="1:10" s="96" customFormat="1" ht="20.399999999999999" customHeight="1">
      <c r="A959" s="385"/>
      <c r="B959" s="99"/>
      <c r="C959" s="105"/>
      <c r="D959" s="126"/>
      <c r="F959" s="99"/>
      <c r="G959" s="131"/>
      <c r="H959" s="98"/>
      <c r="J959" s="105"/>
    </row>
    <row r="960" spans="1:10" s="96" customFormat="1" ht="20.399999999999999" customHeight="1">
      <c r="A960" s="385"/>
      <c r="B960" s="99"/>
      <c r="C960" s="105"/>
      <c r="D960" s="126"/>
      <c r="F960" s="99"/>
      <c r="G960" s="131"/>
      <c r="H960" s="98"/>
      <c r="J960" s="105"/>
    </row>
    <row r="961" spans="1:10" s="96" customFormat="1" ht="20.399999999999999" customHeight="1">
      <c r="A961" s="385"/>
      <c r="B961" s="99"/>
      <c r="C961" s="105"/>
      <c r="D961" s="126"/>
      <c r="F961" s="99"/>
      <c r="G961" s="131"/>
      <c r="H961" s="98"/>
      <c r="J961" s="105"/>
    </row>
    <row r="962" spans="1:10" s="96" customFormat="1" ht="20.399999999999999" customHeight="1">
      <c r="A962" s="385"/>
      <c r="B962" s="99"/>
      <c r="C962" s="105"/>
      <c r="D962" s="126"/>
      <c r="F962" s="99"/>
      <c r="G962" s="131"/>
      <c r="H962" s="98"/>
      <c r="J962" s="105"/>
    </row>
    <row r="963" spans="1:10" s="96" customFormat="1" ht="20.399999999999999" customHeight="1">
      <c r="A963" s="385"/>
      <c r="B963" s="99"/>
      <c r="C963" s="105"/>
      <c r="D963" s="126"/>
      <c r="F963" s="99"/>
      <c r="G963" s="131"/>
      <c r="H963" s="98"/>
      <c r="J963" s="105"/>
    </row>
    <row r="964" spans="1:10" s="96" customFormat="1" ht="20.399999999999999" customHeight="1">
      <c r="A964" s="385"/>
      <c r="B964" s="99"/>
      <c r="C964" s="105"/>
      <c r="D964" s="126"/>
      <c r="F964" s="99"/>
      <c r="G964" s="131"/>
      <c r="H964" s="98"/>
      <c r="J964" s="105"/>
    </row>
    <row r="965" spans="1:10" s="96" customFormat="1" ht="20.399999999999999" customHeight="1">
      <c r="A965" s="385"/>
      <c r="B965" s="99"/>
      <c r="C965" s="105"/>
      <c r="D965" s="126"/>
      <c r="F965" s="99"/>
      <c r="G965" s="131"/>
      <c r="H965" s="98"/>
      <c r="J965" s="105"/>
    </row>
    <row r="966" spans="1:10" s="96" customFormat="1" ht="20.399999999999999" customHeight="1">
      <c r="A966" s="385"/>
      <c r="B966" s="99"/>
      <c r="C966" s="105"/>
      <c r="D966" s="126"/>
      <c r="F966" s="99"/>
      <c r="G966" s="131"/>
      <c r="H966" s="98"/>
      <c r="J966" s="105"/>
    </row>
    <row r="967" spans="1:10" s="96" customFormat="1" ht="20.399999999999999" customHeight="1">
      <c r="A967" s="385"/>
      <c r="B967" s="99"/>
      <c r="C967" s="105"/>
      <c r="D967" s="126"/>
      <c r="F967" s="99"/>
      <c r="G967" s="131"/>
      <c r="H967" s="98"/>
      <c r="J967" s="105"/>
    </row>
    <row r="968" spans="1:10" s="96" customFormat="1" ht="20.399999999999999" customHeight="1">
      <c r="A968" s="385"/>
      <c r="B968" s="99"/>
      <c r="C968" s="105"/>
      <c r="D968" s="126"/>
      <c r="F968" s="99"/>
      <c r="G968" s="131"/>
      <c r="H968" s="98"/>
      <c r="J968" s="105"/>
    </row>
    <row r="969" spans="1:10" s="96" customFormat="1" ht="20.399999999999999" customHeight="1">
      <c r="A969" s="385"/>
      <c r="B969" s="99"/>
      <c r="C969" s="105"/>
      <c r="D969" s="126"/>
      <c r="F969" s="99"/>
      <c r="G969" s="131"/>
      <c r="H969" s="98"/>
      <c r="J969" s="105"/>
    </row>
    <row r="970" spans="1:10" s="96" customFormat="1" ht="20.399999999999999" customHeight="1">
      <c r="A970" s="385"/>
      <c r="B970" s="99"/>
      <c r="C970" s="105"/>
      <c r="D970" s="126"/>
      <c r="F970" s="99"/>
      <c r="G970" s="131"/>
      <c r="H970" s="98"/>
      <c r="J970" s="105"/>
    </row>
    <row r="971" spans="1:10" s="96" customFormat="1" ht="20.399999999999999" customHeight="1">
      <c r="A971" s="385"/>
      <c r="B971" s="99"/>
      <c r="C971" s="105"/>
      <c r="D971" s="126"/>
      <c r="F971" s="99"/>
      <c r="G971" s="131"/>
      <c r="H971" s="98"/>
      <c r="J971" s="105"/>
    </row>
    <row r="972" spans="1:10" s="96" customFormat="1" ht="20.399999999999999" customHeight="1">
      <c r="A972" s="385"/>
      <c r="B972" s="99"/>
      <c r="C972" s="105"/>
      <c r="D972" s="126"/>
      <c r="F972" s="99"/>
      <c r="G972" s="131"/>
      <c r="H972" s="98"/>
      <c r="J972" s="105"/>
    </row>
    <row r="973" spans="1:10" s="96" customFormat="1" ht="20.399999999999999" customHeight="1">
      <c r="A973" s="385"/>
      <c r="B973" s="99"/>
      <c r="C973" s="105"/>
      <c r="D973" s="126"/>
      <c r="F973" s="99"/>
      <c r="G973" s="131"/>
      <c r="H973" s="98"/>
      <c r="J973" s="105"/>
    </row>
    <row r="974" spans="1:10" s="96" customFormat="1" ht="20.399999999999999" customHeight="1">
      <c r="A974" s="385"/>
      <c r="B974" s="99"/>
      <c r="C974" s="105"/>
      <c r="D974" s="126"/>
      <c r="F974" s="99"/>
      <c r="G974" s="131"/>
      <c r="H974" s="98"/>
      <c r="J974" s="105"/>
    </row>
    <row r="975" spans="1:10" s="96" customFormat="1" ht="20.399999999999999" customHeight="1">
      <c r="A975" s="385"/>
      <c r="B975" s="99"/>
      <c r="C975" s="105"/>
      <c r="D975" s="126"/>
      <c r="F975" s="99"/>
      <c r="G975" s="131"/>
      <c r="H975" s="98"/>
      <c r="J975" s="105"/>
    </row>
    <row r="976" spans="1:10" s="96" customFormat="1" ht="20.399999999999999" customHeight="1">
      <c r="A976" s="385"/>
      <c r="B976" s="99"/>
      <c r="C976" s="105"/>
      <c r="D976" s="126"/>
      <c r="F976" s="99"/>
      <c r="G976" s="131"/>
      <c r="H976" s="98"/>
      <c r="J976" s="105"/>
    </row>
    <row r="977" spans="1:10" s="96" customFormat="1" ht="20.399999999999999" customHeight="1">
      <c r="A977" s="385"/>
      <c r="B977" s="99"/>
      <c r="C977" s="105"/>
      <c r="D977" s="126"/>
      <c r="F977" s="99"/>
      <c r="G977" s="131"/>
      <c r="H977" s="98"/>
      <c r="J977" s="105"/>
    </row>
    <row r="978" spans="1:10" s="96" customFormat="1" ht="20.399999999999999" customHeight="1">
      <c r="A978" s="385"/>
      <c r="B978" s="99"/>
      <c r="C978" s="105"/>
      <c r="D978" s="126"/>
      <c r="F978" s="99"/>
      <c r="G978" s="131"/>
      <c r="H978" s="98"/>
      <c r="J978" s="105"/>
    </row>
    <row r="979" spans="1:10" s="96" customFormat="1" ht="20.399999999999999" customHeight="1">
      <c r="A979" s="385"/>
      <c r="B979" s="99"/>
      <c r="C979" s="105"/>
      <c r="D979" s="126"/>
      <c r="F979" s="99"/>
      <c r="G979" s="131"/>
      <c r="H979" s="98"/>
      <c r="J979" s="105"/>
    </row>
    <row r="980" spans="1:10" s="96" customFormat="1" ht="20.399999999999999" customHeight="1">
      <c r="A980" s="385"/>
      <c r="B980" s="99"/>
      <c r="C980" s="105"/>
      <c r="D980" s="126"/>
      <c r="F980" s="99"/>
      <c r="G980" s="131"/>
      <c r="H980" s="98"/>
      <c r="J980" s="105"/>
    </row>
    <row r="981" spans="1:10" s="96" customFormat="1" ht="20.399999999999999" customHeight="1">
      <c r="A981" s="385"/>
      <c r="B981" s="99"/>
      <c r="C981" s="105"/>
      <c r="D981" s="126"/>
      <c r="F981" s="99"/>
      <c r="G981" s="131"/>
      <c r="H981" s="98"/>
      <c r="J981" s="105"/>
    </row>
    <row r="982" spans="1:10" s="96" customFormat="1" ht="20.399999999999999" customHeight="1">
      <c r="A982" s="385"/>
      <c r="B982" s="99"/>
      <c r="C982" s="105"/>
      <c r="D982" s="126"/>
      <c r="F982" s="99"/>
      <c r="G982" s="131"/>
      <c r="H982" s="98"/>
      <c r="J982" s="105"/>
    </row>
    <row r="983" spans="1:10" s="96" customFormat="1" ht="20.399999999999999" customHeight="1">
      <c r="A983" s="385"/>
      <c r="B983" s="99"/>
      <c r="C983" s="105"/>
      <c r="D983" s="126"/>
      <c r="F983" s="99"/>
      <c r="G983" s="131"/>
      <c r="H983" s="98"/>
      <c r="J983" s="105"/>
    </row>
    <row r="984" spans="1:10" s="96" customFormat="1" ht="20.399999999999999" customHeight="1">
      <c r="A984" s="385"/>
      <c r="B984" s="99"/>
      <c r="C984" s="105"/>
      <c r="D984" s="126"/>
      <c r="F984" s="99"/>
      <c r="G984" s="131"/>
      <c r="H984" s="98"/>
      <c r="J984" s="105"/>
    </row>
    <row r="985" spans="1:10" s="96" customFormat="1" ht="20.399999999999999" customHeight="1">
      <c r="A985" s="385"/>
      <c r="B985" s="99"/>
      <c r="C985" s="105"/>
      <c r="D985" s="126"/>
      <c r="F985" s="99"/>
      <c r="G985" s="131"/>
      <c r="H985" s="98"/>
      <c r="J985" s="105"/>
    </row>
    <row r="986" spans="1:10" s="96" customFormat="1" ht="20.399999999999999" customHeight="1">
      <c r="A986" s="385"/>
      <c r="B986" s="99"/>
      <c r="C986" s="105"/>
      <c r="D986" s="126"/>
      <c r="F986" s="99"/>
      <c r="G986" s="131"/>
      <c r="H986" s="98"/>
      <c r="J986" s="105"/>
    </row>
    <row r="987" spans="1:10" s="96" customFormat="1" ht="20.399999999999999" customHeight="1">
      <c r="A987" s="385"/>
      <c r="B987" s="99"/>
      <c r="C987" s="105"/>
      <c r="D987" s="126"/>
      <c r="F987" s="99"/>
      <c r="G987" s="131"/>
      <c r="H987" s="98"/>
      <c r="J987" s="105"/>
    </row>
    <row r="988" spans="1:10" s="96" customFormat="1" ht="20.399999999999999" customHeight="1">
      <c r="A988" s="385"/>
      <c r="B988" s="99"/>
      <c r="C988" s="105"/>
      <c r="D988" s="126"/>
      <c r="F988" s="99"/>
      <c r="G988" s="131"/>
      <c r="H988" s="98"/>
      <c r="J988" s="105"/>
    </row>
    <row r="989" spans="1:10" s="96" customFormat="1" ht="20.399999999999999" customHeight="1">
      <c r="A989" s="385"/>
      <c r="B989" s="99"/>
      <c r="C989" s="105"/>
      <c r="D989" s="126"/>
      <c r="F989" s="99"/>
      <c r="G989" s="131"/>
      <c r="H989" s="98"/>
      <c r="J989" s="105"/>
    </row>
    <row r="990" spans="1:10" s="96" customFormat="1" ht="20.399999999999999" customHeight="1">
      <c r="A990" s="385"/>
      <c r="B990" s="99"/>
      <c r="C990" s="105"/>
      <c r="D990" s="126"/>
      <c r="F990" s="99"/>
      <c r="G990" s="131"/>
      <c r="H990" s="98"/>
      <c r="J990" s="105"/>
    </row>
    <row r="991" spans="1:10" s="96" customFormat="1" ht="20.399999999999999" customHeight="1">
      <c r="A991" s="385"/>
      <c r="B991" s="99"/>
      <c r="C991" s="105"/>
      <c r="D991" s="126"/>
      <c r="F991" s="99"/>
      <c r="G991" s="131"/>
      <c r="H991" s="98"/>
      <c r="J991" s="105"/>
    </row>
    <row r="992" spans="1:10" s="96" customFormat="1" ht="20.399999999999999" customHeight="1">
      <c r="A992" s="385"/>
      <c r="B992" s="99"/>
      <c r="C992" s="105"/>
      <c r="D992" s="126"/>
      <c r="F992" s="99"/>
      <c r="G992" s="131"/>
      <c r="H992" s="98"/>
      <c r="J992" s="105"/>
    </row>
    <row r="993" spans="1:10" s="96" customFormat="1" ht="20.399999999999999" customHeight="1">
      <c r="A993" s="385"/>
      <c r="B993" s="99"/>
      <c r="C993" s="105"/>
      <c r="D993" s="126"/>
      <c r="F993" s="99"/>
      <c r="G993" s="131"/>
      <c r="H993" s="98"/>
      <c r="J993" s="105"/>
    </row>
    <row r="994" spans="1:10" s="96" customFormat="1" ht="20.399999999999999" customHeight="1">
      <c r="A994" s="385"/>
      <c r="B994" s="99"/>
      <c r="C994" s="105"/>
      <c r="D994" s="126"/>
      <c r="F994" s="99"/>
      <c r="G994" s="131"/>
      <c r="H994" s="98"/>
      <c r="J994" s="105"/>
    </row>
    <row r="995" spans="1:10" s="96" customFormat="1" ht="20.399999999999999" customHeight="1">
      <c r="A995" s="385"/>
      <c r="B995" s="99"/>
      <c r="C995" s="105"/>
      <c r="D995" s="126"/>
      <c r="F995" s="99"/>
      <c r="G995" s="131"/>
      <c r="H995" s="98"/>
      <c r="J995" s="105"/>
    </row>
    <row r="996" spans="1:10" s="96" customFormat="1" ht="20.399999999999999" customHeight="1">
      <c r="A996" s="385"/>
      <c r="B996" s="99"/>
      <c r="C996" s="105"/>
      <c r="D996" s="126"/>
      <c r="F996" s="99"/>
      <c r="G996" s="131"/>
      <c r="H996" s="98"/>
      <c r="J996" s="105"/>
    </row>
    <row r="997" spans="1:10" s="96" customFormat="1" ht="20.399999999999999" customHeight="1">
      <c r="A997" s="385"/>
      <c r="B997" s="99"/>
      <c r="C997" s="105"/>
      <c r="D997" s="126"/>
      <c r="F997" s="99"/>
      <c r="G997" s="131"/>
      <c r="H997" s="98"/>
      <c r="J997" s="105"/>
    </row>
    <row r="998" spans="1:10" s="96" customFormat="1" ht="20.399999999999999" customHeight="1">
      <c r="A998" s="385"/>
      <c r="B998" s="99"/>
      <c r="C998" s="105"/>
      <c r="D998" s="126"/>
      <c r="F998" s="99"/>
      <c r="G998" s="131"/>
      <c r="H998" s="98"/>
      <c r="J998" s="105"/>
    </row>
    <row r="999" spans="1:10" s="96" customFormat="1" ht="20.399999999999999" customHeight="1">
      <c r="A999" s="385"/>
      <c r="B999" s="99"/>
      <c r="C999" s="105"/>
      <c r="D999" s="126"/>
      <c r="F999" s="99"/>
      <c r="G999" s="131"/>
      <c r="H999" s="98"/>
      <c r="J999" s="105"/>
    </row>
    <row r="1000" spans="1:10" s="96" customFormat="1" ht="20.399999999999999" customHeight="1">
      <c r="A1000" s="385"/>
      <c r="B1000" s="99"/>
      <c r="C1000" s="105"/>
      <c r="D1000" s="126"/>
      <c r="F1000" s="99"/>
      <c r="G1000" s="131"/>
      <c r="H1000" s="98"/>
      <c r="J1000" s="105"/>
    </row>
    <row r="1001" spans="1:10" s="96" customFormat="1" ht="20.399999999999999" customHeight="1">
      <c r="A1001" s="385"/>
      <c r="B1001" s="99"/>
      <c r="C1001" s="105"/>
      <c r="D1001" s="126"/>
      <c r="F1001" s="99"/>
      <c r="G1001" s="131"/>
      <c r="H1001" s="98"/>
      <c r="J1001" s="105"/>
    </row>
    <row r="1002" spans="1:10" s="96" customFormat="1" ht="20.399999999999999" customHeight="1">
      <c r="A1002" s="385"/>
      <c r="B1002" s="99"/>
      <c r="C1002" s="105"/>
      <c r="D1002" s="126"/>
      <c r="F1002" s="99"/>
      <c r="G1002" s="131"/>
      <c r="H1002" s="98"/>
      <c r="J1002" s="105"/>
    </row>
    <row r="1003" spans="1:10" s="96" customFormat="1" ht="20.399999999999999" customHeight="1">
      <c r="A1003" s="385"/>
      <c r="B1003" s="99"/>
      <c r="C1003" s="105"/>
      <c r="D1003" s="126"/>
      <c r="F1003" s="99"/>
      <c r="G1003" s="131"/>
      <c r="H1003" s="98"/>
      <c r="J1003" s="105"/>
    </row>
    <row r="1004" spans="1:10" s="96" customFormat="1" ht="20.399999999999999" customHeight="1">
      <c r="A1004" s="385"/>
      <c r="B1004" s="99"/>
      <c r="C1004" s="105"/>
      <c r="D1004" s="126"/>
      <c r="F1004" s="99"/>
      <c r="G1004" s="131"/>
      <c r="H1004" s="98"/>
      <c r="J1004" s="105"/>
    </row>
    <row r="1005" spans="1:10" s="96" customFormat="1" ht="20.399999999999999" customHeight="1">
      <c r="A1005" s="385"/>
      <c r="B1005" s="99"/>
      <c r="C1005" s="105"/>
      <c r="D1005" s="126"/>
      <c r="F1005" s="99"/>
      <c r="G1005" s="131"/>
      <c r="H1005" s="98"/>
      <c r="J1005" s="105"/>
    </row>
    <row r="1006" spans="1:10" s="96" customFormat="1" ht="20.399999999999999" customHeight="1">
      <c r="A1006" s="385"/>
      <c r="B1006" s="99"/>
      <c r="C1006" s="105"/>
      <c r="D1006" s="126"/>
      <c r="F1006" s="99"/>
      <c r="G1006" s="131"/>
      <c r="H1006" s="98"/>
      <c r="J1006" s="105"/>
    </row>
    <row r="1007" spans="1:10" s="96" customFormat="1" ht="20.399999999999999" customHeight="1">
      <c r="A1007" s="385"/>
      <c r="B1007" s="99"/>
      <c r="C1007" s="105"/>
      <c r="D1007" s="126"/>
      <c r="F1007" s="99"/>
      <c r="G1007" s="131"/>
      <c r="H1007" s="98"/>
      <c r="J1007" s="105"/>
    </row>
    <row r="1008" spans="1:10" s="96" customFormat="1" ht="20.399999999999999" customHeight="1">
      <c r="A1008" s="385"/>
      <c r="B1008" s="99"/>
      <c r="C1008" s="105"/>
      <c r="D1008" s="126"/>
      <c r="F1008" s="99"/>
      <c r="G1008" s="131"/>
      <c r="H1008" s="98"/>
      <c r="J1008" s="105"/>
    </row>
    <row r="1009" spans="1:10" s="96" customFormat="1" ht="20.399999999999999" customHeight="1">
      <c r="A1009" s="385"/>
      <c r="B1009" s="99"/>
      <c r="C1009" s="105"/>
      <c r="D1009" s="126"/>
      <c r="F1009" s="99"/>
      <c r="G1009" s="131"/>
      <c r="H1009" s="98"/>
      <c r="J1009" s="105"/>
    </row>
    <row r="1010" spans="1:10" s="96" customFormat="1" ht="20.399999999999999" customHeight="1">
      <c r="A1010" s="385"/>
      <c r="B1010" s="99"/>
      <c r="C1010" s="105"/>
      <c r="D1010" s="126"/>
      <c r="F1010" s="99"/>
      <c r="G1010" s="131"/>
      <c r="H1010" s="98"/>
      <c r="J1010" s="105"/>
    </row>
    <row r="1011" spans="1:10" s="96" customFormat="1" ht="20.399999999999999" customHeight="1">
      <c r="A1011" s="385"/>
      <c r="B1011" s="99"/>
      <c r="C1011" s="105"/>
      <c r="D1011" s="126"/>
      <c r="F1011" s="99"/>
      <c r="G1011" s="131"/>
      <c r="H1011" s="98"/>
      <c r="J1011" s="105"/>
    </row>
    <row r="1012" spans="1:10" s="96" customFormat="1" ht="20.399999999999999" customHeight="1">
      <c r="A1012" s="385"/>
      <c r="B1012" s="99"/>
      <c r="C1012" s="105"/>
      <c r="D1012" s="126"/>
      <c r="F1012" s="99"/>
      <c r="G1012" s="131"/>
      <c r="H1012" s="98"/>
      <c r="J1012" s="105"/>
    </row>
    <row r="1013" spans="1:10" s="96" customFormat="1" ht="20.399999999999999" customHeight="1">
      <c r="A1013" s="385"/>
      <c r="B1013" s="99"/>
      <c r="C1013" s="105"/>
      <c r="D1013" s="126"/>
      <c r="F1013" s="99"/>
      <c r="G1013" s="131"/>
      <c r="H1013" s="98"/>
      <c r="J1013" s="105"/>
    </row>
    <row r="1014" spans="1:10" s="96" customFormat="1" ht="20.399999999999999" customHeight="1">
      <c r="A1014" s="385"/>
      <c r="B1014" s="99"/>
      <c r="C1014" s="105"/>
      <c r="D1014" s="126"/>
      <c r="F1014" s="99"/>
      <c r="G1014" s="131"/>
      <c r="H1014" s="98"/>
      <c r="J1014" s="105"/>
    </row>
    <row r="1015" spans="1:10" s="96" customFormat="1" ht="20.399999999999999" customHeight="1">
      <c r="A1015" s="385"/>
      <c r="B1015" s="99"/>
      <c r="C1015" s="105"/>
      <c r="D1015" s="126"/>
      <c r="F1015" s="99"/>
      <c r="G1015" s="131"/>
      <c r="H1015" s="98"/>
      <c r="J1015" s="105"/>
    </row>
    <row r="1016" spans="1:10" s="96" customFormat="1" ht="20.399999999999999" customHeight="1">
      <c r="A1016" s="385"/>
      <c r="B1016" s="99"/>
      <c r="C1016" s="105"/>
      <c r="D1016" s="126"/>
      <c r="F1016" s="99"/>
      <c r="G1016" s="131"/>
      <c r="H1016" s="98"/>
      <c r="J1016" s="105"/>
    </row>
    <row r="1017" spans="1:10" s="96" customFormat="1" ht="20.399999999999999" customHeight="1">
      <c r="A1017" s="385"/>
      <c r="B1017" s="99"/>
      <c r="C1017" s="105"/>
      <c r="D1017" s="126"/>
      <c r="F1017" s="99"/>
      <c r="G1017" s="131"/>
      <c r="H1017" s="98"/>
      <c r="J1017" s="105"/>
    </row>
    <row r="1018" spans="1:10" s="96" customFormat="1" ht="20.399999999999999" customHeight="1">
      <c r="A1018" s="385"/>
      <c r="B1018" s="99"/>
      <c r="C1018" s="105"/>
      <c r="D1018" s="126"/>
      <c r="F1018" s="99"/>
      <c r="G1018" s="131"/>
      <c r="H1018" s="98"/>
      <c r="J1018" s="105"/>
    </row>
    <row r="1019" spans="1:10" s="96" customFormat="1" ht="20.399999999999999" customHeight="1">
      <c r="A1019" s="385"/>
      <c r="B1019" s="99"/>
      <c r="C1019" s="105"/>
      <c r="D1019" s="126"/>
      <c r="F1019" s="99"/>
      <c r="G1019" s="131"/>
      <c r="H1019" s="98"/>
      <c r="J1019" s="105"/>
    </row>
    <row r="1020" spans="1:10" s="96" customFormat="1" ht="20.399999999999999" customHeight="1">
      <c r="A1020" s="385"/>
      <c r="B1020" s="99"/>
      <c r="C1020" s="105"/>
      <c r="D1020" s="126"/>
      <c r="F1020" s="99"/>
      <c r="G1020" s="131"/>
      <c r="H1020" s="98"/>
      <c r="J1020" s="105"/>
    </row>
    <row r="1021" spans="1:10" s="96" customFormat="1" ht="20.399999999999999" customHeight="1">
      <c r="A1021" s="385"/>
      <c r="B1021" s="99"/>
      <c r="C1021" s="105"/>
      <c r="D1021" s="126"/>
      <c r="F1021" s="99"/>
      <c r="G1021" s="131"/>
      <c r="H1021" s="98"/>
      <c r="J1021" s="105"/>
    </row>
    <row r="1022" spans="1:10" s="96" customFormat="1">
      <c r="A1022" s="106"/>
      <c r="B1022" s="99"/>
      <c r="C1022" s="106"/>
      <c r="D1022" s="98"/>
      <c r="F1022" s="99"/>
      <c r="G1022" s="131"/>
      <c r="H1022" s="126"/>
      <c r="J1022" s="106"/>
    </row>
    <row r="1023" spans="1:10" s="96" customFormat="1">
      <c r="A1023" s="106"/>
      <c r="B1023" s="99"/>
      <c r="C1023" s="106"/>
      <c r="D1023" s="98"/>
      <c r="F1023" s="99"/>
      <c r="G1023" s="131"/>
      <c r="H1023" s="126"/>
      <c r="J1023" s="106"/>
    </row>
    <row r="1024" spans="1:10" s="96" customFormat="1">
      <c r="A1024" s="106"/>
      <c r="B1024" s="99"/>
      <c r="C1024" s="106"/>
      <c r="D1024" s="98"/>
      <c r="F1024" s="99"/>
      <c r="G1024" s="131"/>
      <c r="H1024" s="126"/>
      <c r="J1024" s="106"/>
    </row>
    <row r="1025" spans="1:10" s="96" customFormat="1">
      <c r="A1025" s="106"/>
      <c r="B1025" s="99"/>
      <c r="C1025" s="106"/>
      <c r="D1025" s="98"/>
      <c r="F1025" s="99"/>
      <c r="G1025" s="131"/>
      <c r="H1025" s="126"/>
      <c r="J1025" s="106"/>
    </row>
    <row r="1026" spans="1:10" s="96" customFormat="1">
      <c r="A1026" s="106"/>
      <c r="B1026" s="99"/>
      <c r="C1026" s="106"/>
      <c r="D1026" s="98"/>
      <c r="F1026" s="99"/>
      <c r="G1026" s="131"/>
      <c r="H1026" s="126"/>
      <c r="J1026" s="106"/>
    </row>
    <row r="1027" spans="1:10" s="96" customFormat="1">
      <c r="A1027" s="106"/>
      <c r="B1027" s="99"/>
      <c r="C1027" s="106"/>
      <c r="D1027" s="98"/>
      <c r="F1027" s="99"/>
      <c r="G1027" s="131"/>
      <c r="H1027" s="126"/>
      <c r="J1027" s="106"/>
    </row>
    <row r="1028" spans="1:10" s="96" customFormat="1">
      <c r="A1028" s="106"/>
      <c r="B1028" s="99"/>
      <c r="C1028" s="106"/>
      <c r="D1028" s="98"/>
      <c r="F1028" s="99"/>
      <c r="G1028" s="131"/>
      <c r="H1028" s="126"/>
      <c r="J1028" s="106"/>
    </row>
    <row r="1029" spans="1:10" s="96" customFormat="1">
      <c r="A1029" s="106"/>
      <c r="B1029" s="99"/>
      <c r="C1029" s="106"/>
      <c r="D1029" s="98"/>
      <c r="F1029" s="99"/>
      <c r="G1029" s="131"/>
      <c r="H1029" s="126"/>
      <c r="J1029" s="106"/>
    </row>
    <row r="1030" spans="1:10" s="96" customFormat="1">
      <c r="A1030" s="106"/>
      <c r="B1030" s="99"/>
      <c r="C1030" s="106"/>
      <c r="D1030" s="98"/>
      <c r="F1030" s="99"/>
      <c r="G1030" s="131"/>
      <c r="H1030" s="126"/>
      <c r="J1030" s="106"/>
    </row>
    <row r="1031" spans="1:10" s="96" customFormat="1">
      <c r="A1031" s="106"/>
      <c r="B1031" s="99"/>
      <c r="C1031" s="106"/>
      <c r="D1031" s="98"/>
      <c r="F1031" s="99"/>
      <c r="G1031" s="131"/>
      <c r="H1031" s="126"/>
      <c r="J1031" s="106"/>
    </row>
    <row r="1032" spans="1:10" s="96" customFormat="1">
      <c r="A1032" s="106"/>
      <c r="B1032" s="99"/>
      <c r="C1032" s="106"/>
      <c r="D1032" s="98"/>
      <c r="F1032" s="99"/>
      <c r="G1032" s="131"/>
      <c r="H1032" s="126"/>
      <c r="J1032" s="106"/>
    </row>
    <row r="1033" spans="1:10" s="96" customFormat="1">
      <c r="A1033" s="106"/>
      <c r="B1033" s="99"/>
      <c r="C1033" s="106"/>
      <c r="D1033" s="98"/>
      <c r="F1033" s="99"/>
      <c r="G1033" s="131"/>
      <c r="H1033" s="126"/>
      <c r="J1033" s="106"/>
    </row>
    <row r="1034" spans="1:10" s="96" customFormat="1">
      <c r="A1034" s="106"/>
      <c r="B1034" s="99"/>
      <c r="C1034" s="106"/>
      <c r="D1034" s="98"/>
      <c r="F1034" s="99"/>
      <c r="G1034" s="131"/>
      <c r="H1034" s="126"/>
      <c r="J1034" s="106"/>
    </row>
    <row r="1035" spans="1:10" s="96" customFormat="1">
      <c r="A1035" s="106"/>
      <c r="B1035" s="99"/>
      <c r="C1035" s="106"/>
      <c r="D1035" s="98"/>
      <c r="F1035" s="99"/>
      <c r="G1035" s="131"/>
      <c r="H1035" s="126"/>
      <c r="J1035" s="106"/>
    </row>
    <row r="1036" spans="1:10" s="96" customFormat="1">
      <c r="A1036" s="106"/>
      <c r="B1036" s="99"/>
      <c r="C1036" s="106"/>
      <c r="D1036" s="98"/>
      <c r="F1036" s="99"/>
      <c r="G1036" s="131"/>
      <c r="H1036" s="126"/>
      <c r="J1036" s="106"/>
    </row>
    <row r="1037" spans="1:10" s="96" customFormat="1">
      <c r="A1037" s="106"/>
      <c r="B1037" s="99"/>
      <c r="C1037" s="106"/>
      <c r="D1037" s="98"/>
      <c r="F1037" s="99"/>
      <c r="G1037" s="131"/>
      <c r="H1037" s="126"/>
      <c r="J1037" s="106"/>
    </row>
    <row r="1038" spans="1:10" s="96" customFormat="1">
      <c r="A1038" s="106"/>
      <c r="B1038" s="99"/>
      <c r="C1038" s="106"/>
      <c r="D1038" s="98"/>
      <c r="F1038" s="99"/>
      <c r="G1038" s="131"/>
      <c r="H1038" s="126"/>
      <c r="J1038" s="106"/>
    </row>
    <row r="1039" spans="1:10" s="96" customFormat="1">
      <c r="A1039" s="106"/>
      <c r="B1039" s="99"/>
      <c r="C1039" s="106"/>
      <c r="D1039" s="98"/>
      <c r="F1039" s="99"/>
      <c r="G1039" s="131"/>
      <c r="H1039" s="126"/>
      <c r="J1039" s="106"/>
    </row>
    <row r="1040" spans="1:10" s="96" customFormat="1">
      <c r="A1040" s="106"/>
      <c r="B1040" s="99"/>
      <c r="C1040" s="106"/>
      <c r="D1040" s="98"/>
      <c r="F1040" s="99"/>
      <c r="G1040" s="131"/>
      <c r="H1040" s="126"/>
      <c r="J1040" s="106"/>
    </row>
    <row r="1041" spans="1:10" s="96" customFormat="1">
      <c r="A1041" s="106"/>
      <c r="B1041" s="99"/>
      <c r="C1041" s="106"/>
      <c r="D1041" s="98"/>
      <c r="F1041" s="99"/>
      <c r="G1041" s="131"/>
      <c r="H1041" s="126"/>
      <c r="J1041" s="106"/>
    </row>
    <row r="1042" spans="1:10" s="96" customFormat="1">
      <c r="A1042" s="106"/>
      <c r="B1042" s="99"/>
      <c r="C1042" s="106"/>
      <c r="D1042" s="98"/>
      <c r="F1042" s="99"/>
      <c r="G1042" s="131"/>
      <c r="H1042" s="126"/>
      <c r="J1042" s="106"/>
    </row>
    <row r="1043" spans="1:10" s="96" customFormat="1">
      <c r="A1043" s="106"/>
      <c r="B1043" s="99"/>
      <c r="C1043" s="106"/>
      <c r="D1043" s="98"/>
      <c r="F1043" s="99"/>
      <c r="G1043" s="131"/>
      <c r="H1043" s="126"/>
      <c r="J1043" s="106"/>
    </row>
    <row r="1044" spans="1:10" s="96" customFormat="1">
      <c r="A1044" s="106"/>
      <c r="B1044" s="99"/>
      <c r="C1044" s="106"/>
      <c r="D1044" s="98"/>
      <c r="F1044" s="99"/>
      <c r="G1044" s="131"/>
      <c r="H1044" s="126"/>
      <c r="J1044" s="106"/>
    </row>
    <row r="1045" spans="1:10" s="96" customFormat="1">
      <c r="A1045" s="106"/>
      <c r="B1045" s="99"/>
      <c r="C1045" s="106"/>
      <c r="D1045" s="98"/>
      <c r="F1045" s="99"/>
      <c r="G1045" s="131"/>
      <c r="H1045" s="126"/>
      <c r="J1045" s="106"/>
    </row>
    <row r="1046" spans="1:10" s="96" customFormat="1">
      <c r="A1046" s="106"/>
      <c r="B1046" s="99"/>
      <c r="C1046" s="106"/>
      <c r="D1046" s="98"/>
      <c r="F1046" s="99"/>
      <c r="G1046" s="131"/>
      <c r="H1046" s="126"/>
      <c r="J1046" s="106"/>
    </row>
    <row r="1047" spans="1:10" s="96" customFormat="1">
      <c r="A1047" s="106"/>
      <c r="B1047" s="99"/>
      <c r="C1047" s="106"/>
      <c r="D1047" s="98"/>
      <c r="F1047" s="99"/>
      <c r="G1047" s="131"/>
      <c r="H1047" s="126"/>
      <c r="J1047" s="106"/>
    </row>
    <row r="1048" spans="1:10" s="96" customFormat="1">
      <c r="A1048" s="106"/>
      <c r="B1048" s="99"/>
      <c r="C1048" s="106"/>
      <c r="D1048" s="98"/>
      <c r="F1048" s="99"/>
      <c r="G1048" s="131"/>
      <c r="H1048" s="126"/>
      <c r="J1048" s="106"/>
    </row>
    <row r="1049" spans="1:10" s="96" customFormat="1">
      <c r="A1049" s="106"/>
      <c r="B1049" s="99"/>
      <c r="C1049" s="106"/>
      <c r="D1049" s="98"/>
      <c r="F1049" s="99"/>
      <c r="G1049" s="131"/>
      <c r="H1049" s="126"/>
      <c r="J1049" s="106"/>
    </row>
    <row r="1050" spans="1:10" s="96" customFormat="1">
      <c r="A1050" s="106"/>
      <c r="B1050" s="99"/>
      <c r="C1050" s="106"/>
      <c r="D1050" s="98"/>
      <c r="F1050" s="99"/>
      <c r="G1050" s="131"/>
      <c r="H1050" s="126"/>
      <c r="J1050" s="106"/>
    </row>
    <row r="1051" spans="1:10" s="96" customFormat="1">
      <c r="A1051" s="106"/>
      <c r="B1051" s="99"/>
      <c r="C1051" s="106"/>
      <c r="D1051" s="98"/>
      <c r="F1051" s="99"/>
      <c r="G1051" s="131"/>
      <c r="H1051" s="126"/>
      <c r="J1051" s="106"/>
    </row>
    <row r="1052" spans="1:10" s="96" customFormat="1">
      <c r="A1052" s="106"/>
      <c r="B1052" s="99"/>
      <c r="C1052" s="106"/>
      <c r="D1052" s="98"/>
      <c r="F1052" s="99"/>
      <c r="G1052" s="131"/>
      <c r="H1052" s="126"/>
      <c r="J1052" s="106"/>
    </row>
    <row r="1053" spans="1:10" s="96" customFormat="1">
      <c r="A1053" s="106"/>
      <c r="B1053" s="99"/>
      <c r="C1053" s="106"/>
      <c r="D1053" s="98"/>
      <c r="F1053" s="99"/>
      <c r="G1053" s="131"/>
      <c r="H1053" s="126"/>
      <c r="J1053" s="106"/>
    </row>
    <row r="1054" spans="1:10" s="96" customFormat="1">
      <c r="A1054" s="106"/>
      <c r="B1054" s="99"/>
      <c r="C1054" s="106"/>
      <c r="D1054" s="98"/>
      <c r="F1054" s="99"/>
      <c r="G1054" s="131"/>
      <c r="H1054" s="126"/>
      <c r="J1054" s="106"/>
    </row>
    <row r="1055" spans="1:10" s="96" customFormat="1">
      <c r="A1055" s="106"/>
      <c r="B1055" s="99"/>
      <c r="C1055" s="106"/>
      <c r="D1055" s="98"/>
      <c r="F1055" s="99"/>
      <c r="G1055" s="131"/>
      <c r="H1055" s="126"/>
      <c r="J1055" s="106"/>
    </row>
    <row r="1056" spans="1:10" s="96" customFormat="1">
      <c r="A1056" s="106"/>
      <c r="B1056" s="99"/>
      <c r="C1056" s="106"/>
      <c r="F1056" s="99"/>
      <c r="G1056" s="131"/>
      <c r="H1056" s="126"/>
      <c r="J1056" s="106"/>
    </row>
    <row r="1057" spans="1:10" s="96" customFormat="1">
      <c r="A1057" s="106"/>
      <c r="B1057" s="99"/>
      <c r="C1057" s="106"/>
      <c r="F1057" s="99"/>
      <c r="G1057" s="131"/>
      <c r="H1057" s="126"/>
      <c r="J1057" s="106"/>
    </row>
    <row r="1058" spans="1:10" s="96" customFormat="1">
      <c r="A1058" s="106"/>
      <c r="B1058" s="99"/>
      <c r="C1058" s="106"/>
      <c r="F1058" s="99"/>
      <c r="G1058" s="131"/>
      <c r="H1058" s="126"/>
      <c r="J1058" s="106"/>
    </row>
    <row r="1059" spans="1:10" s="96" customFormat="1">
      <c r="A1059" s="106"/>
      <c r="B1059" s="99"/>
      <c r="C1059" s="106"/>
      <c r="F1059" s="99"/>
      <c r="G1059" s="131"/>
      <c r="H1059" s="126"/>
      <c r="J1059" s="106"/>
    </row>
    <row r="1060" spans="1:10" s="96" customFormat="1">
      <c r="A1060" s="106"/>
      <c r="B1060" s="99"/>
      <c r="C1060" s="106"/>
      <c r="F1060" s="99"/>
      <c r="G1060" s="131"/>
      <c r="H1060" s="126"/>
      <c r="J1060" s="106"/>
    </row>
    <row r="1061" spans="1:10" s="96" customFormat="1">
      <c r="A1061" s="106"/>
      <c r="B1061" s="99"/>
      <c r="C1061" s="106"/>
      <c r="F1061" s="99"/>
      <c r="G1061" s="131"/>
      <c r="H1061" s="126"/>
      <c r="J1061" s="106"/>
    </row>
    <row r="1062" spans="1:10" s="96" customFormat="1">
      <c r="A1062" s="106"/>
      <c r="B1062" s="99"/>
      <c r="C1062" s="106"/>
      <c r="F1062" s="99"/>
      <c r="G1062" s="131"/>
      <c r="H1062" s="126"/>
      <c r="J1062" s="106"/>
    </row>
    <row r="1063" spans="1:10" s="96" customFormat="1">
      <c r="A1063" s="106"/>
      <c r="B1063" s="99"/>
      <c r="C1063" s="106"/>
      <c r="F1063" s="99"/>
      <c r="G1063" s="131"/>
      <c r="H1063" s="126"/>
      <c r="J1063" s="106"/>
    </row>
    <row r="1064" spans="1:10" s="96" customFormat="1">
      <c r="A1064" s="106"/>
      <c r="B1064" s="99"/>
      <c r="C1064" s="106"/>
      <c r="F1064" s="99"/>
      <c r="G1064" s="131"/>
      <c r="H1064" s="126"/>
      <c r="J1064" s="106"/>
    </row>
    <row r="1065" spans="1:10" s="96" customFormat="1">
      <c r="A1065" s="106"/>
      <c r="B1065" s="99"/>
      <c r="C1065" s="106"/>
      <c r="F1065" s="99"/>
      <c r="G1065" s="131"/>
      <c r="H1065" s="126"/>
      <c r="J1065" s="106"/>
    </row>
    <row r="1066" spans="1:10" s="96" customFormat="1">
      <c r="A1066" s="106"/>
      <c r="B1066" s="99"/>
      <c r="C1066" s="106"/>
      <c r="F1066" s="99"/>
      <c r="G1066" s="131"/>
      <c r="H1066" s="126"/>
      <c r="J1066" s="106"/>
    </row>
    <row r="1067" spans="1:10" s="96" customFormat="1">
      <c r="A1067" s="106"/>
      <c r="B1067" s="99"/>
      <c r="C1067" s="106"/>
      <c r="F1067" s="99"/>
      <c r="G1067" s="131"/>
      <c r="H1067" s="126"/>
      <c r="J1067" s="106"/>
    </row>
    <row r="1068" spans="1:10" s="96" customFormat="1">
      <c r="A1068" s="106"/>
      <c r="B1068" s="99"/>
      <c r="C1068" s="106"/>
      <c r="F1068" s="99"/>
      <c r="G1068" s="131"/>
      <c r="H1068" s="126"/>
      <c r="J1068" s="106"/>
    </row>
    <row r="1069" spans="1:10" s="96" customFormat="1">
      <c r="A1069" s="106"/>
      <c r="B1069" s="99"/>
      <c r="C1069" s="106"/>
      <c r="F1069" s="99"/>
      <c r="G1069" s="131"/>
      <c r="H1069" s="126"/>
      <c r="J1069" s="106"/>
    </row>
    <row r="1070" spans="1:10" s="96" customFormat="1">
      <c r="A1070" s="106"/>
      <c r="B1070" s="99"/>
      <c r="C1070" s="106"/>
      <c r="F1070" s="99"/>
      <c r="G1070" s="131"/>
      <c r="H1070" s="126"/>
      <c r="J1070" s="106"/>
    </row>
    <row r="1071" spans="1:10" s="96" customFormat="1">
      <c r="A1071" s="106"/>
      <c r="B1071" s="99"/>
      <c r="C1071" s="106"/>
      <c r="F1071" s="99"/>
      <c r="G1071" s="131"/>
      <c r="H1071" s="126"/>
      <c r="J1071" s="106"/>
    </row>
    <row r="1072" spans="1:10" s="96" customFormat="1">
      <c r="A1072" s="106"/>
      <c r="B1072" s="99"/>
      <c r="C1072" s="106"/>
      <c r="F1072" s="99"/>
      <c r="G1072" s="131"/>
      <c r="H1072" s="126"/>
      <c r="J1072" s="106"/>
    </row>
    <row r="1073" spans="1:10" s="96" customFormat="1">
      <c r="A1073" s="106"/>
      <c r="B1073" s="99"/>
      <c r="C1073" s="106"/>
      <c r="F1073" s="99"/>
      <c r="G1073" s="131"/>
      <c r="H1073" s="126"/>
      <c r="J1073" s="106"/>
    </row>
    <row r="1074" spans="1:10" s="96" customFormat="1">
      <c r="A1074" s="106"/>
      <c r="B1074" s="99"/>
      <c r="C1074" s="106"/>
      <c r="F1074" s="99"/>
      <c r="G1074" s="131"/>
      <c r="H1074" s="126"/>
      <c r="J1074" s="106"/>
    </row>
    <row r="1075" spans="1:10" s="96" customFormat="1">
      <c r="A1075" s="106"/>
      <c r="B1075" s="99"/>
      <c r="C1075" s="106"/>
      <c r="F1075" s="99"/>
      <c r="G1075" s="131"/>
      <c r="H1075" s="126"/>
      <c r="J1075" s="106"/>
    </row>
    <row r="1076" spans="1:10" s="96" customFormat="1">
      <c r="A1076" s="106"/>
      <c r="B1076" s="99"/>
      <c r="C1076" s="106"/>
      <c r="F1076" s="99"/>
      <c r="G1076" s="131"/>
      <c r="H1076" s="126"/>
      <c r="J1076" s="106"/>
    </row>
    <row r="1077" spans="1:10" s="96" customFormat="1">
      <c r="A1077" s="106"/>
      <c r="B1077" s="99"/>
      <c r="C1077" s="106"/>
      <c r="F1077" s="99"/>
      <c r="G1077" s="131"/>
      <c r="H1077" s="126"/>
      <c r="J1077" s="106"/>
    </row>
    <row r="1078" spans="1:10" s="96" customFormat="1">
      <c r="A1078" s="106"/>
      <c r="B1078" s="99"/>
      <c r="C1078" s="106"/>
      <c r="F1078" s="99"/>
      <c r="G1078" s="131"/>
      <c r="H1078" s="126"/>
      <c r="J1078" s="106"/>
    </row>
    <row r="1079" spans="1:10" s="96" customFormat="1">
      <c r="A1079" s="106"/>
      <c r="B1079" s="99"/>
      <c r="C1079" s="106"/>
      <c r="F1079" s="99"/>
      <c r="G1079" s="131"/>
      <c r="H1079" s="126"/>
      <c r="J1079" s="106"/>
    </row>
    <row r="1080" spans="1:10" s="96" customFormat="1">
      <c r="A1080" s="106"/>
      <c r="B1080" s="99"/>
      <c r="C1080" s="106"/>
      <c r="F1080" s="99"/>
      <c r="G1080" s="131"/>
      <c r="H1080" s="126"/>
      <c r="J1080" s="106"/>
    </row>
    <row r="1081" spans="1:10" s="96" customFormat="1">
      <c r="A1081" s="106"/>
      <c r="B1081" s="99"/>
      <c r="C1081" s="106"/>
      <c r="F1081" s="99"/>
      <c r="G1081" s="131"/>
      <c r="H1081" s="126"/>
      <c r="J1081" s="106"/>
    </row>
    <row r="1082" spans="1:10" s="96" customFormat="1">
      <c r="A1082" s="106"/>
      <c r="B1082" s="99"/>
      <c r="C1082" s="106"/>
      <c r="F1082" s="99"/>
      <c r="G1082" s="131"/>
      <c r="H1082" s="126"/>
      <c r="J1082" s="106"/>
    </row>
    <row r="1083" spans="1:10" s="96" customFormat="1">
      <c r="A1083" s="106"/>
      <c r="B1083" s="99"/>
      <c r="C1083" s="106"/>
      <c r="F1083" s="99"/>
      <c r="G1083" s="131"/>
      <c r="H1083" s="126"/>
      <c r="J1083" s="106"/>
    </row>
    <row r="1084" spans="1:10" s="96" customFormat="1">
      <c r="A1084" s="106"/>
      <c r="B1084" s="99"/>
      <c r="C1084" s="106"/>
      <c r="F1084" s="99"/>
      <c r="G1084" s="131"/>
      <c r="H1084" s="126"/>
      <c r="J1084" s="106"/>
    </row>
    <row r="1085" spans="1:10" s="96" customFormat="1">
      <c r="A1085" s="106"/>
      <c r="B1085" s="99"/>
      <c r="C1085" s="106"/>
      <c r="F1085" s="99"/>
      <c r="G1085" s="131"/>
      <c r="H1085" s="126"/>
      <c r="J1085" s="106"/>
    </row>
    <row r="1086" spans="1:10" s="96" customFormat="1">
      <c r="A1086" s="106"/>
      <c r="B1086" s="99"/>
      <c r="C1086" s="106"/>
      <c r="F1086" s="99"/>
      <c r="G1086" s="131"/>
      <c r="H1086" s="126"/>
      <c r="J1086" s="106"/>
    </row>
    <row r="1087" spans="1:10" s="96" customFormat="1">
      <c r="A1087" s="106"/>
      <c r="B1087" s="99"/>
      <c r="C1087" s="106"/>
      <c r="F1087" s="99"/>
      <c r="G1087" s="131"/>
      <c r="H1087" s="126"/>
      <c r="J1087" s="106"/>
    </row>
    <row r="1088" spans="1:10" s="96" customFormat="1">
      <c r="A1088" s="106"/>
      <c r="B1088" s="99"/>
      <c r="C1088" s="106"/>
      <c r="F1088" s="99"/>
      <c r="G1088" s="131"/>
      <c r="H1088" s="126"/>
      <c r="J1088" s="106"/>
    </row>
    <row r="1089" spans="1:10" s="96" customFormat="1">
      <c r="A1089" s="106"/>
      <c r="B1089" s="99"/>
      <c r="C1089" s="106"/>
      <c r="F1089" s="99"/>
      <c r="G1089" s="131"/>
      <c r="H1089" s="126"/>
      <c r="J1089" s="106"/>
    </row>
    <row r="1090" spans="1:10" s="96" customFormat="1">
      <c r="A1090" s="106"/>
      <c r="B1090" s="99"/>
      <c r="C1090" s="106"/>
      <c r="F1090" s="99"/>
      <c r="G1090" s="131"/>
      <c r="H1090" s="126"/>
      <c r="J1090" s="106"/>
    </row>
    <row r="1091" spans="1:10" s="96" customFormat="1">
      <c r="A1091" s="106"/>
      <c r="B1091" s="99"/>
      <c r="C1091" s="106"/>
      <c r="F1091" s="99"/>
      <c r="G1091" s="131"/>
      <c r="H1091" s="126"/>
      <c r="J1091" s="106"/>
    </row>
    <row r="1092" spans="1:10" s="96" customFormat="1">
      <c r="A1092" s="106"/>
      <c r="B1092" s="99"/>
      <c r="C1092" s="106"/>
      <c r="F1092" s="99"/>
      <c r="G1092" s="131"/>
      <c r="H1092" s="126"/>
      <c r="J1092" s="106"/>
    </row>
    <row r="1093" spans="1:10" s="96" customFormat="1">
      <c r="A1093" s="106"/>
      <c r="B1093" s="99"/>
      <c r="C1093" s="106"/>
      <c r="F1093" s="99"/>
      <c r="G1093" s="131"/>
      <c r="H1093" s="126"/>
      <c r="J1093" s="106"/>
    </row>
    <row r="1094" spans="1:10" s="96" customFormat="1">
      <c r="A1094" s="106"/>
      <c r="B1094" s="99"/>
      <c r="C1094" s="106"/>
      <c r="F1094" s="99"/>
      <c r="G1094" s="131"/>
      <c r="H1094" s="126"/>
      <c r="J1094" s="106"/>
    </row>
    <row r="1095" spans="1:10" s="96" customFormat="1">
      <c r="A1095" s="106"/>
      <c r="B1095" s="99"/>
      <c r="C1095" s="106"/>
      <c r="F1095" s="99"/>
      <c r="G1095" s="131"/>
      <c r="H1095" s="126"/>
      <c r="J1095" s="106"/>
    </row>
    <row r="1096" spans="1:10" s="96" customFormat="1">
      <c r="A1096" s="106"/>
      <c r="B1096" s="99"/>
      <c r="C1096" s="106"/>
      <c r="F1096" s="99"/>
      <c r="G1096" s="131"/>
      <c r="H1096" s="126"/>
      <c r="J1096" s="106"/>
    </row>
    <row r="1097" spans="1:10" s="96" customFormat="1">
      <c r="A1097" s="106"/>
      <c r="B1097" s="99"/>
      <c r="C1097" s="106"/>
      <c r="F1097" s="99"/>
      <c r="G1097" s="131"/>
      <c r="H1097" s="126"/>
      <c r="J1097" s="106"/>
    </row>
    <row r="1098" spans="1:10" s="96" customFormat="1">
      <c r="A1098" s="106"/>
      <c r="B1098" s="99"/>
      <c r="C1098" s="106"/>
      <c r="F1098" s="99"/>
      <c r="G1098" s="131"/>
      <c r="H1098" s="126"/>
      <c r="J1098" s="106"/>
    </row>
    <row r="1099" spans="1:10" s="96" customFormat="1">
      <c r="A1099" s="106"/>
      <c r="B1099" s="99"/>
      <c r="C1099" s="106"/>
      <c r="F1099" s="99"/>
      <c r="G1099" s="131"/>
      <c r="H1099" s="126"/>
      <c r="J1099" s="106"/>
    </row>
    <row r="1100" spans="1:10" s="96" customFormat="1">
      <c r="A1100" s="106"/>
      <c r="B1100" s="99"/>
      <c r="C1100" s="106"/>
      <c r="F1100" s="99"/>
      <c r="G1100" s="131"/>
      <c r="H1100" s="126"/>
      <c r="J1100" s="106"/>
    </row>
    <row r="1101" spans="1:10" s="96" customFormat="1">
      <c r="A1101" s="106"/>
      <c r="B1101" s="99"/>
      <c r="C1101" s="106"/>
      <c r="F1101" s="99"/>
      <c r="G1101" s="131"/>
      <c r="H1101" s="126"/>
      <c r="J1101" s="106"/>
    </row>
    <row r="1102" spans="1:10" s="96" customFormat="1">
      <c r="A1102" s="106"/>
      <c r="B1102" s="99"/>
      <c r="C1102" s="106"/>
      <c r="F1102" s="99"/>
      <c r="G1102" s="131"/>
      <c r="H1102" s="126"/>
      <c r="J1102" s="106"/>
    </row>
    <row r="1103" spans="1:10" s="96" customFormat="1">
      <c r="A1103" s="106"/>
      <c r="B1103" s="99"/>
      <c r="C1103" s="106"/>
      <c r="F1103" s="99"/>
      <c r="G1103" s="131"/>
      <c r="H1103" s="126"/>
      <c r="J1103" s="106"/>
    </row>
    <row r="1104" spans="1:10" s="96" customFormat="1">
      <c r="A1104" s="106"/>
      <c r="B1104" s="99"/>
      <c r="C1104" s="106"/>
      <c r="F1104" s="99"/>
      <c r="G1104" s="131"/>
      <c r="H1104" s="126"/>
      <c r="J1104" s="106"/>
    </row>
    <row r="1105" spans="1:10" s="96" customFormat="1">
      <c r="A1105" s="106"/>
      <c r="B1105" s="99"/>
      <c r="C1105" s="106"/>
      <c r="F1105" s="99"/>
      <c r="G1105" s="131"/>
      <c r="H1105" s="126"/>
      <c r="J1105" s="106"/>
    </row>
    <row r="1106" spans="1:10" s="96" customFormat="1">
      <c r="A1106" s="106"/>
      <c r="B1106" s="99"/>
      <c r="C1106" s="106"/>
      <c r="F1106" s="99"/>
      <c r="G1106" s="131"/>
      <c r="H1106" s="126"/>
      <c r="J1106" s="106"/>
    </row>
    <row r="1107" spans="1:10" s="96" customFormat="1">
      <c r="A1107" s="106"/>
      <c r="B1107" s="99"/>
      <c r="C1107" s="106"/>
      <c r="F1107" s="99"/>
      <c r="G1107" s="131"/>
      <c r="H1107" s="126"/>
      <c r="J1107" s="106"/>
    </row>
    <row r="1108" spans="1:10" s="96" customFormat="1">
      <c r="A1108" s="106"/>
      <c r="B1108" s="99"/>
      <c r="C1108" s="106"/>
      <c r="F1108" s="99"/>
      <c r="G1108" s="131"/>
      <c r="H1108" s="126"/>
      <c r="J1108" s="106"/>
    </row>
    <row r="1109" spans="1:10" s="96" customFormat="1">
      <c r="A1109" s="106"/>
      <c r="B1109" s="99"/>
      <c r="C1109" s="106"/>
      <c r="F1109" s="99"/>
      <c r="G1109" s="131"/>
      <c r="H1109" s="126"/>
      <c r="J1109" s="106"/>
    </row>
    <row r="1110" spans="1:10" s="96" customFormat="1">
      <c r="A1110" s="106"/>
      <c r="B1110" s="99"/>
      <c r="C1110" s="106"/>
      <c r="F1110" s="99"/>
      <c r="G1110" s="131"/>
      <c r="H1110" s="126"/>
      <c r="J1110" s="106"/>
    </row>
    <row r="1111" spans="1:10" s="96" customFormat="1">
      <c r="A1111" s="106"/>
      <c r="B1111" s="99"/>
      <c r="C1111" s="106"/>
      <c r="F1111" s="99"/>
      <c r="G1111" s="131"/>
      <c r="H1111" s="126"/>
      <c r="J1111" s="106"/>
    </row>
    <row r="1112" spans="1:10" s="96" customFormat="1">
      <c r="A1112" s="106"/>
      <c r="B1112" s="99"/>
      <c r="C1112" s="106"/>
      <c r="F1112" s="99"/>
      <c r="G1112" s="131"/>
      <c r="H1112" s="126"/>
      <c r="J1112" s="106"/>
    </row>
    <row r="1113" spans="1:10" s="96" customFormat="1">
      <c r="A1113" s="106"/>
      <c r="B1113" s="99"/>
      <c r="C1113" s="106"/>
      <c r="F1113" s="99"/>
      <c r="G1113" s="131"/>
      <c r="H1113" s="126"/>
      <c r="J1113" s="106"/>
    </row>
    <row r="1114" spans="1:10" s="96" customFormat="1">
      <c r="A1114" s="106"/>
      <c r="B1114" s="99"/>
      <c r="C1114" s="106"/>
      <c r="F1114" s="99"/>
      <c r="G1114" s="131"/>
      <c r="H1114" s="126"/>
      <c r="J1114" s="106"/>
    </row>
    <row r="1115" spans="1:10" s="96" customFormat="1">
      <c r="A1115" s="106"/>
      <c r="B1115" s="99"/>
      <c r="C1115" s="106"/>
      <c r="F1115" s="99"/>
      <c r="G1115" s="131"/>
      <c r="H1115" s="126"/>
      <c r="J1115" s="106"/>
    </row>
    <row r="1116" spans="1:10" s="96" customFormat="1">
      <c r="A1116" s="106"/>
      <c r="B1116" s="99"/>
      <c r="C1116" s="106"/>
      <c r="F1116" s="99"/>
      <c r="G1116" s="131"/>
      <c r="H1116" s="126"/>
      <c r="J1116" s="106"/>
    </row>
    <row r="1117" spans="1:10" s="96" customFormat="1">
      <c r="A1117" s="106"/>
      <c r="B1117" s="99"/>
      <c r="C1117" s="106"/>
      <c r="F1117" s="99"/>
      <c r="G1117" s="131"/>
      <c r="H1117" s="126"/>
      <c r="J1117" s="106"/>
    </row>
    <row r="1118" spans="1:10" s="96" customFormat="1">
      <c r="A1118" s="106"/>
      <c r="B1118" s="99"/>
      <c r="C1118" s="106"/>
      <c r="F1118" s="99"/>
      <c r="G1118" s="131"/>
      <c r="H1118" s="126"/>
      <c r="J1118" s="106"/>
    </row>
    <row r="1119" spans="1:10" s="96" customFormat="1">
      <c r="A1119" s="106"/>
      <c r="B1119" s="99"/>
      <c r="C1119" s="106"/>
      <c r="F1119" s="99"/>
      <c r="G1119" s="131"/>
      <c r="H1119" s="126"/>
      <c r="J1119" s="106"/>
    </row>
    <row r="1120" spans="1:10" s="96" customFormat="1">
      <c r="A1120" s="106"/>
      <c r="B1120" s="99"/>
      <c r="C1120" s="106"/>
      <c r="F1120" s="99"/>
      <c r="G1120" s="131"/>
      <c r="H1120" s="126"/>
      <c r="J1120" s="106"/>
    </row>
    <row r="1121" spans="1:10" s="96" customFormat="1">
      <c r="A1121" s="106"/>
      <c r="B1121" s="99"/>
      <c r="C1121" s="106"/>
      <c r="F1121" s="99"/>
      <c r="G1121" s="131"/>
      <c r="H1121" s="126"/>
      <c r="J1121" s="106"/>
    </row>
    <row r="1122" spans="1:10" s="96" customFormat="1">
      <c r="A1122" s="106"/>
      <c r="B1122" s="99"/>
      <c r="C1122" s="106"/>
      <c r="F1122" s="99"/>
      <c r="G1122" s="131"/>
      <c r="H1122" s="126"/>
      <c r="J1122" s="106"/>
    </row>
    <row r="1123" spans="1:10" s="96" customFormat="1">
      <c r="A1123" s="106"/>
      <c r="B1123" s="99"/>
      <c r="C1123" s="106"/>
      <c r="F1123" s="99"/>
      <c r="G1123" s="131"/>
      <c r="H1123" s="126"/>
      <c r="J1123" s="106"/>
    </row>
    <row r="1124" spans="1:10" s="96" customFormat="1">
      <c r="A1124" s="106"/>
      <c r="B1124" s="99"/>
      <c r="C1124" s="106"/>
      <c r="F1124" s="99"/>
      <c r="G1124" s="131"/>
      <c r="H1124" s="126"/>
      <c r="J1124" s="106"/>
    </row>
    <row r="1125" spans="1:10" s="96" customFormat="1">
      <c r="A1125" s="106"/>
      <c r="B1125" s="99"/>
      <c r="C1125" s="106"/>
      <c r="F1125" s="99"/>
      <c r="G1125" s="131"/>
      <c r="H1125" s="126"/>
      <c r="J1125" s="106"/>
    </row>
    <row r="1126" spans="1:10" s="96" customFormat="1">
      <c r="A1126" s="106"/>
      <c r="B1126" s="99"/>
      <c r="C1126" s="106"/>
      <c r="F1126" s="99"/>
      <c r="G1126" s="131"/>
      <c r="H1126" s="126"/>
      <c r="J1126" s="106"/>
    </row>
    <row r="1127" spans="1:10" s="96" customFormat="1">
      <c r="A1127" s="106"/>
      <c r="B1127" s="99"/>
      <c r="C1127" s="106"/>
      <c r="F1127" s="99"/>
      <c r="G1127" s="131"/>
      <c r="H1127" s="126"/>
      <c r="J1127" s="106"/>
    </row>
    <row r="1128" spans="1:10" s="96" customFormat="1">
      <c r="A1128" s="106"/>
      <c r="B1128" s="99"/>
      <c r="C1128" s="106"/>
      <c r="F1128" s="99"/>
      <c r="G1128" s="131"/>
      <c r="H1128" s="126"/>
      <c r="J1128" s="106"/>
    </row>
    <row r="1129" spans="1:10" s="96" customFormat="1">
      <c r="A1129" s="106"/>
      <c r="B1129" s="99"/>
      <c r="C1129" s="106"/>
      <c r="F1129" s="99"/>
      <c r="G1129" s="131"/>
      <c r="H1129" s="126"/>
      <c r="J1129" s="106"/>
    </row>
    <row r="1130" spans="1:10" s="96" customFormat="1">
      <c r="A1130" s="106"/>
      <c r="B1130" s="99"/>
      <c r="C1130" s="106"/>
      <c r="F1130" s="99"/>
      <c r="G1130" s="131"/>
      <c r="H1130" s="126"/>
      <c r="J1130" s="106"/>
    </row>
    <row r="1131" spans="1:10" s="96" customFormat="1">
      <c r="A1131" s="106"/>
      <c r="B1131" s="99"/>
      <c r="C1131" s="106"/>
      <c r="F1131" s="99"/>
      <c r="G1131" s="131"/>
      <c r="H1131" s="126"/>
      <c r="J1131" s="106"/>
    </row>
    <row r="1132" spans="1:10" s="96" customFormat="1">
      <c r="A1132" s="106"/>
      <c r="B1132" s="99"/>
      <c r="C1132" s="106"/>
      <c r="F1132" s="99"/>
      <c r="G1132" s="131"/>
      <c r="H1132" s="126"/>
      <c r="J1132" s="106"/>
    </row>
    <row r="1133" spans="1:10" s="96" customFormat="1">
      <c r="A1133" s="106"/>
      <c r="B1133" s="99"/>
      <c r="C1133" s="106"/>
      <c r="F1133" s="99"/>
      <c r="G1133" s="131"/>
      <c r="H1133" s="126"/>
      <c r="J1133" s="106"/>
    </row>
    <row r="1134" spans="1:10" s="96" customFormat="1">
      <c r="A1134" s="106"/>
      <c r="B1134" s="99"/>
      <c r="C1134" s="106"/>
      <c r="F1134" s="99"/>
      <c r="G1134" s="131"/>
      <c r="H1134" s="126"/>
      <c r="J1134" s="106"/>
    </row>
    <row r="1135" spans="1:10" s="96" customFormat="1">
      <c r="A1135" s="106"/>
      <c r="B1135" s="99"/>
      <c r="C1135" s="106"/>
      <c r="F1135" s="99"/>
      <c r="G1135" s="131"/>
      <c r="H1135" s="126"/>
      <c r="J1135" s="106"/>
    </row>
    <row r="1136" spans="1:10" s="96" customFormat="1">
      <c r="A1136" s="106"/>
      <c r="B1136" s="99"/>
      <c r="C1136" s="106"/>
      <c r="F1136" s="99"/>
      <c r="G1136" s="131"/>
      <c r="H1136" s="126"/>
      <c r="J1136" s="106"/>
    </row>
    <row r="1137" spans="1:10" s="96" customFormat="1">
      <c r="A1137" s="106"/>
      <c r="B1137" s="99"/>
      <c r="C1137" s="106"/>
      <c r="F1137" s="99"/>
      <c r="G1137" s="131"/>
      <c r="H1137" s="126"/>
      <c r="J1137" s="106"/>
    </row>
    <row r="1138" spans="1:10" s="96" customFormat="1">
      <c r="A1138" s="106"/>
      <c r="B1138" s="99"/>
      <c r="C1138" s="106"/>
      <c r="F1138" s="99"/>
      <c r="G1138" s="131"/>
      <c r="H1138" s="126"/>
      <c r="J1138" s="106"/>
    </row>
    <row r="1139" spans="1:10" s="96" customFormat="1">
      <c r="A1139" s="106"/>
      <c r="B1139" s="99"/>
      <c r="C1139" s="106"/>
      <c r="F1139" s="99"/>
      <c r="G1139" s="131"/>
      <c r="H1139" s="126"/>
      <c r="J1139" s="106"/>
    </row>
    <row r="1140" spans="1:10" s="96" customFormat="1">
      <c r="A1140" s="106"/>
      <c r="B1140" s="99"/>
      <c r="C1140" s="106"/>
      <c r="F1140" s="99"/>
      <c r="G1140" s="131"/>
      <c r="H1140" s="126"/>
      <c r="J1140" s="106"/>
    </row>
    <row r="1141" spans="1:10" s="96" customFormat="1">
      <c r="A1141" s="106"/>
      <c r="B1141" s="99"/>
      <c r="C1141" s="106"/>
      <c r="F1141" s="99"/>
      <c r="G1141" s="131"/>
      <c r="H1141" s="126"/>
      <c r="J1141" s="106"/>
    </row>
    <row r="1142" spans="1:10" s="96" customFormat="1">
      <c r="A1142" s="106"/>
      <c r="B1142" s="99"/>
      <c r="C1142" s="106"/>
      <c r="F1142" s="99"/>
      <c r="G1142" s="131"/>
      <c r="H1142" s="126"/>
      <c r="J1142" s="106"/>
    </row>
    <row r="1143" spans="1:10" s="96" customFormat="1">
      <c r="A1143" s="106"/>
      <c r="B1143" s="99"/>
      <c r="C1143" s="106"/>
      <c r="F1143" s="99"/>
      <c r="G1143" s="131"/>
      <c r="H1143" s="126"/>
      <c r="J1143" s="106"/>
    </row>
    <row r="1144" spans="1:10" s="96" customFormat="1">
      <c r="A1144" s="106"/>
      <c r="B1144" s="99"/>
      <c r="C1144" s="106"/>
      <c r="F1144" s="99"/>
      <c r="G1144" s="131"/>
      <c r="H1144" s="126"/>
      <c r="J1144" s="106"/>
    </row>
    <row r="1145" spans="1:10" s="96" customFormat="1">
      <c r="A1145" s="106"/>
      <c r="B1145" s="99"/>
      <c r="C1145" s="106"/>
      <c r="F1145" s="99"/>
      <c r="G1145" s="131"/>
      <c r="H1145" s="126"/>
      <c r="J1145" s="106"/>
    </row>
    <row r="1146" spans="1:10" s="96" customFormat="1">
      <c r="A1146" s="106"/>
      <c r="B1146" s="99"/>
      <c r="C1146" s="106"/>
      <c r="F1146" s="99"/>
      <c r="G1146" s="131"/>
      <c r="H1146" s="126"/>
      <c r="J1146" s="106"/>
    </row>
    <row r="1147" spans="1:10" s="96" customFormat="1">
      <c r="A1147" s="106"/>
      <c r="B1147" s="99"/>
      <c r="C1147" s="106"/>
      <c r="F1147" s="99"/>
      <c r="G1147" s="131"/>
      <c r="H1147" s="126"/>
      <c r="J1147" s="106"/>
    </row>
    <row r="1148" spans="1:10" s="96" customFormat="1">
      <c r="A1148" s="106"/>
      <c r="B1148" s="99"/>
      <c r="C1148" s="106"/>
      <c r="F1148" s="99"/>
      <c r="G1148" s="131"/>
      <c r="H1148" s="126"/>
      <c r="J1148" s="106"/>
    </row>
    <row r="1149" spans="1:10" s="96" customFormat="1">
      <c r="A1149" s="106"/>
      <c r="B1149" s="99"/>
      <c r="C1149" s="106"/>
      <c r="F1149" s="99"/>
      <c r="G1149" s="131"/>
      <c r="H1149" s="126"/>
      <c r="J1149" s="106"/>
    </row>
    <row r="1150" spans="1:10" s="96" customFormat="1">
      <c r="A1150" s="106"/>
      <c r="B1150" s="99"/>
      <c r="C1150" s="106"/>
      <c r="F1150" s="99"/>
      <c r="G1150" s="131"/>
      <c r="H1150" s="126"/>
      <c r="J1150" s="106"/>
    </row>
    <row r="1151" spans="1:10" s="96" customFormat="1">
      <c r="A1151" s="106"/>
      <c r="B1151" s="99"/>
      <c r="C1151" s="106"/>
      <c r="F1151" s="99"/>
      <c r="G1151" s="131"/>
      <c r="H1151" s="126"/>
      <c r="J1151" s="106"/>
    </row>
    <row r="1152" spans="1:10" s="96" customFormat="1">
      <c r="A1152" s="106"/>
      <c r="B1152" s="99"/>
      <c r="C1152" s="106"/>
      <c r="F1152" s="99"/>
      <c r="G1152" s="131"/>
      <c r="H1152" s="126"/>
      <c r="J1152" s="106"/>
    </row>
    <row r="1153" spans="1:10" s="96" customFormat="1">
      <c r="A1153" s="106"/>
      <c r="B1153" s="99"/>
      <c r="C1153" s="106"/>
      <c r="F1153" s="99"/>
      <c r="G1153" s="131"/>
      <c r="H1153" s="126"/>
      <c r="J1153" s="106"/>
    </row>
    <row r="1154" spans="1:10" s="96" customFormat="1">
      <c r="A1154" s="106"/>
      <c r="B1154" s="99"/>
      <c r="C1154" s="106"/>
      <c r="F1154" s="99"/>
      <c r="G1154" s="131"/>
      <c r="H1154" s="126"/>
      <c r="J1154" s="106"/>
    </row>
    <row r="1155" spans="1:10" s="96" customFormat="1">
      <c r="A1155" s="106"/>
      <c r="B1155" s="99"/>
      <c r="C1155" s="106"/>
      <c r="F1155" s="99"/>
      <c r="G1155" s="131"/>
      <c r="H1155" s="126"/>
      <c r="J1155" s="106"/>
    </row>
    <row r="1156" spans="1:10" s="96" customFormat="1">
      <c r="A1156" s="106"/>
      <c r="B1156" s="99"/>
      <c r="C1156" s="106"/>
      <c r="F1156" s="99"/>
      <c r="G1156" s="131"/>
      <c r="H1156" s="126"/>
      <c r="J1156" s="106"/>
    </row>
    <row r="1157" spans="1:10" s="96" customFormat="1">
      <c r="A1157" s="106"/>
      <c r="B1157" s="99"/>
      <c r="C1157" s="106"/>
      <c r="F1157" s="99"/>
      <c r="G1157" s="131"/>
      <c r="H1157" s="126"/>
      <c r="J1157" s="106"/>
    </row>
    <row r="1158" spans="1:10" s="96" customFormat="1">
      <c r="A1158" s="106"/>
      <c r="B1158" s="99"/>
      <c r="C1158" s="106"/>
      <c r="F1158" s="99"/>
      <c r="G1158" s="131"/>
      <c r="H1158" s="126"/>
      <c r="J1158" s="106"/>
    </row>
    <row r="1159" spans="1:10" s="96" customFormat="1">
      <c r="A1159" s="106"/>
      <c r="B1159" s="99"/>
      <c r="C1159" s="106"/>
      <c r="F1159" s="99"/>
      <c r="G1159" s="131"/>
      <c r="H1159" s="126"/>
      <c r="J1159" s="106"/>
    </row>
    <row r="1160" spans="1:10" s="96" customFormat="1">
      <c r="A1160" s="106"/>
      <c r="B1160" s="99"/>
      <c r="C1160" s="106"/>
      <c r="F1160" s="99"/>
      <c r="G1160" s="131"/>
      <c r="H1160" s="126"/>
      <c r="J1160" s="106"/>
    </row>
    <row r="1161" spans="1:10" s="96" customFormat="1">
      <c r="A1161" s="106"/>
      <c r="B1161" s="99"/>
      <c r="C1161" s="106"/>
      <c r="F1161" s="99"/>
      <c r="G1161" s="131"/>
      <c r="H1161" s="126"/>
      <c r="J1161" s="106"/>
    </row>
    <row r="1162" spans="1:10" s="96" customFormat="1">
      <c r="A1162" s="106"/>
      <c r="B1162" s="99"/>
      <c r="C1162" s="106"/>
      <c r="F1162" s="99"/>
      <c r="G1162" s="131"/>
      <c r="H1162" s="126"/>
      <c r="J1162" s="106"/>
    </row>
    <row r="1163" spans="1:10" s="96" customFormat="1">
      <c r="A1163" s="106"/>
      <c r="B1163" s="99"/>
      <c r="C1163" s="106"/>
      <c r="F1163" s="99"/>
      <c r="G1163" s="131"/>
      <c r="H1163" s="126"/>
      <c r="J1163" s="106"/>
    </row>
    <row r="1164" spans="1:10" s="96" customFormat="1">
      <c r="A1164" s="106"/>
      <c r="B1164" s="99"/>
      <c r="C1164" s="106"/>
      <c r="F1164" s="99"/>
      <c r="G1164" s="131"/>
      <c r="H1164" s="126"/>
      <c r="J1164" s="106"/>
    </row>
    <row r="1165" spans="1:10" s="96" customFormat="1">
      <c r="A1165" s="106"/>
      <c r="B1165" s="99"/>
      <c r="C1165" s="106"/>
      <c r="F1165" s="99"/>
      <c r="G1165" s="131"/>
      <c r="H1165" s="126"/>
      <c r="J1165" s="106"/>
    </row>
    <row r="1166" spans="1:10" s="96" customFormat="1">
      <c r="A1166" s="106"/>
      <c r="B1166" s="99"/>
      <c r="C1166" s="106"/>
      <c r="F1166" s="99"/>
      <c r="G1166" s="131"/>
      <c r="H1166" s="126"/>
      <c r="J1166" s="106"/>
    </row>
    <row r="1167" spans="1:10" s="96" customFormat="1">
      <c r="A1167" s="106"/>
      <c r="B1167" s="99"/>
      <c r="C1167" s="106"/>
      <c r="F1167" s="99"/>
      <c r="G1167" s="131"/>
      <c r="H1167" s="126"/>
      <c r="J1167" s="106"/>
    </row>
    <row r="1168" spans="1:10" s="96" customFormat="1">
      <c r="A1168" s="106"/>
      <c r="B1168" s="99"/>
      <c r="C1168" s="106"/>
      <c r="F1168" s="99"/>
      <c r="G1168" s="131"/>
      <c r="H1168" s="126"/>
      <c r="J1168" s="106"/>
    </row>
    <row r="1169" spans="1:10" s="96" customFormat="1">
      <c r="A1169" s="106"/>
      <c r="B1169" s="99"/>
      <c r="C1169" s="106"/>
      <c r="F1169" s="99"/>
      <c r="G1169" s="131"/>
      <c r="H1169" s="126"/>
      <c r="J1169" s="106"/>
    </row>
    <row r="1170" spans="1:10" s="96" customFormat="1">
      <c r="A1170" s="106"/>
      <c r="B1170" s="99"/>
      <c r="C1170" s="106"/>
      <c r="F1170" s="99"/>
      <c r="G1170" s="131"/>
      <c r="H1170" s="126"/>
      <c r="J1170" s="106"/>
    </row>
    <row r="1171" spans="1:10" s="96" customFormat="1">
      <c r="A1171" s="106"/>
      <c r="B1171" s="99"/>
      <c r="C1171" s="106"/>
      <c r="F1171" s="99"/>
      <c r="G1171" s="131"/>
      <c r="H1171" s="126"/>
      <c r="J1171" s="106"/>
    </row>
    <row r="1172" spans="1:10" s="96" customFormat="1">
      <c r="A1172" s="106"/>
      <c r="B1172" s="99"/>
      <c r="C1172" s="106"/>
      <c r="F1172" s="99"/>
      <c r="G1172" s="131"/>
      <c r="H1172" s="126"/>
      <c r="J1172" s="106"/>
    </row>
    <row r="1173" spans="1:10" s="96" customFormat="1">
      <c r="A1173" s="106"/>
      <c r="B1173" s="99"/>
      <c r="C1173" s="106"/>
      <c r="F1173" s="99"/>
      <c r="G1173" s="131"/>
      <c r="H1173" s="126"/>
      <c r="J1173" s="106"/>
    </row>
    <row r="1174" spans="1:10" s="96" customFormat="1">
      <c r="A1174" s="106"/>
      <c r="B1174" s="99"/>
      <c r="C1174" s="106"/>
      <c r="F1174" s="99"/>
      <c r="G1174" s="131"/>
      <c r="H1174" s="126"/>
      <c r="J1174" s="106"/>
    </row>
    <row r="1175" spans="1:10" s="96" customFormat="1">
      <c r="A1175" s="106"/>
      <c r="B1175" s="99"/>
      <c r="C1175" s="106"/>
      <c r="F1175" s="99"/>
      <c r="G1175" s="131"/>
      <c r="H1175" s="126"/>
      <c r="J1175" s="106"/>
    </row>
    <row r="1176" spans="1:10" s="96" customFormat="1">
      <c r="A1176" s="106"/>
      <c r="B1176" s="99"/>
      <c r="C1176" s="106"/>
      <c r="F1176" s="99"/>
      <c r="G1176" s="131"/>
      <c r="H1176" s="126"/>
      <c r="J1176" s="106"/>
    </row>
    <row r="1177" spans="1:10" s="96" customFormat="1">
      <c r="A1177" s="106"/>
      <c r="B1177" s="99"/>
      <c r="C1177" s="106"/>
      <c r="F1177" s="99"/>
      <c r="G1177" s="131"/>
      <c r="H1177" s="126"/>
      <c r="J1177" s="106"/>
    </row>
    <row r="1178" spans="1:10" s="96" customFormat="1">
      <c r="A1178" s="106"/>
      <c r="B1178" s="99"/>
      <c r="C1178" s="106"/>
      <c r="F1178" s="99"/>
      <c r="G1178" s="131"/>
      <c r="H1178" s="126"/>
      <c r="J1178" s="106"/>
    </row>
    <row r="1179" spans="1:10" s="96" customFormat="1">
      <c r="A1179" s="106"/>
      <c r="B1179" s="99"/>
      <c r="C1179" s="106"/>
      <c r="F1179" s="99"/>
      <c r="G1179" s="131"/>
      <c r="H1179" s="126"/>
      <c r="J1179" s="106"/>
    </row>
    <row r="1180" spans="1:10" s="96" customFormat="1">
      <c r="A1180" s="106"/>
      <c r="B1180" s="99"/>
      <c r="C1180" s="106"/>
      <c r="F1180" s="99"/>
      <c r="G1180" s="131"/>
      <c r="H1180" s="126"/>
      <c r="J1180" s="106"/>
    </row>
    <row r="1181" spans="1:10" s="96" customFormat="1">
      <c r="A1181" s="106"/>
      <c r="B1181" s="99"/>
      <c r="C1181" s="106"/>
      <c r="F1181" s="99"/>
      <c r="G1181" s="131"/>
      <c r="H1181" s="126"/>
      <c r="J1181" s="106"/>
    </row>
    <row r="1182" spans="1:10" s="96" customFormat="1">
      <c r="A1182" s="106"/>
      <c r="B1182" s="99"/>
      <c r="C1182" s="106"/>
      <c r="F1182" s="99"/>
      <c r="G1182" s="131"/>
      <c r="H1182" s="126"/>
      <c r="J1182" s="106"/>
    </row>
    <row r="1183" spans="1:10" s="96" customFormat="1">
      <c r="A1183" s="106"/>
      <c r="B1183" s="99"/>
      <c r="C1183" s="106"/>
      <c r="F1183" s="99"/>
      <c r="G1183" s="131"/>
      <c r="H1183" s="126"/>
      <c r="J1183" s="106"/>
    </row>
    <row r="1184" spans="1:10" s="96" customFormat="1">
      <c r="A1184" s="106"/>
      <c r="B1184" s="99"/>
      <c r="C1184" s="106"/>
      <c r="F1184" s="99"/>
      <c r="G1184" s="131"/>
      <c r="H1184" s="126"/>
      <c r="J1184" s="106"/>
    </row>
    <row r="1185" spans="1:10" s="96" customFormat="1">
      <c r="A1185" s="106"/>
      <c r="B1185" s="99"/>
      <c r="C1185" s="106"/>
      <c r="F1185" s="99"/>
      <c r="G1185" s="131"/>
      <c r="H1185" s="126"/>
      <c r="J1185" s="106"/>
    </row>
    <row r="1186" spans="1:10" s="96" customFormat="1">
      <c r="A1186" s="106"/>
      <c r="B1186" s="99"/>
      <c r="C1186" s="106"/>
      <c r="F1186" s="99"/>
      <c r="G1186" s="131"/>
      <c r="H1186" s="126"/>
      <c r="J1186" s="106"/>
    </row>
    <row r="1187" spans="1:10" s="96" customFormat="1">
      <c r="A1187" s="106"/>
      <c r="B1187" s="99"/>
      <c r="C1187" s="106"/>
      <c r="F1187" s="99"/>
      <c r="G1187" s="131"/>
      <c r="H1187" s="126"/>
      <c r="J1187" s="106"/>
    </row>
    <row r="1188" spans="1:10" s="96" customFormat="1">
      <c r="A1188" s="106"/>
      <c r="B1188" s="99"/>
      <c r="C1188" s="106"/>
      <c r="F1188" s="99"/>
      <c r="G1188" s="131"/>
      <c r="H1188" s="126"/>
      <c r="J1188" s="106"/>
    </row>
    <row r="1189" spans="1:10" s="96" customFormat="1">
      <c r="A1189" s="106"/>
      <c r="B1189" s="99"/>
      <c r="C1189" s="106"/>
      <c r="F1189" s="99"/>
      <c r="G1189" s="131"/>
      <c r="H1189" s="126"/>
      <c r="J1189" s="106"/>
    </row>
    <row r="1190" spans="1:10" s="96" customFormat="1">
      <c r="A1190" s="106"/>
      <c r="B1190" s="99"/>
      <c r="C1190" s="106"/>
      <c r="F1190" s="99"/>
      <c r="G1190" s="131"/>
      <c r="H1190" s="126"/>
      <c r="J1190" s="106"/>
    </row>
    <row r="1191" spans="1:10" s="96" customFormat="1">
      <c r="A1191" s="106"/>
      <c r="B1191" s="99"/>
      <c r="C1191" s="106"/>
      <c r="F1191" s="99"/>
      <c r="G1191" s="131"/>
      <c r="H1191" s="126"/>
      <c r="J1191" s="106"/>
    </row>
    <row r="1192" spans="1:10" s="96" customFormat="1">
      <c r="A1192" s="106"/>
      <c r="B1192" s="99"/>
      <c r="C1192" s="106"/>
      <c r="F1192" s="99"/>
      <c r="G1192" s="131"/>
      <c r="H1192" s="126"/>
      <c r="J1192" s="106"/>
    </row>
    <row r="1193" spans="1:10" s="96" customFormat="1">
      <c r="A1193" s="106"/>
      <c r="B1193" s="99"/>
      <c r="C1193" s="106"/>
      <c r="F1193" s="99"/>
      <c r="G1193" s="131"/>
      <c r="H1193" s="126"/>
      <c r="J1193" s="106"/>
    </row>
    <row r="1194" spans="1:10" s="96" customFormat="1">
      <c r="A1194" s="106"/>
      <c r="B1194" s="99"/>
      <c r="C1194" s="106"/>
      <c r="F1194" s="99"/>
      <c r="G1194" s="131"/>
      <c r="H1194" s="126"/>
      <c r="J1194" s="106"/>
    </row>
    <row r="1195" spans="1:10" s="96" customFormat="1">
      <c r="A1195" s="106"/>
      <c r="B1195" s="99"/>
      <c r="C1195" s="106"/>
      <c r="F1195" s="99"/>
      <c r="G1195" s="131"/>
      <c r="H1195" s="126"/>
      <c r="J1195" s="106"/>
    </row>
    <row r="1196" spans="1:10" s="96" customFormat="1">
      <c r="A1196" s="106"/>
      <c r="B1196" s="99"/>
      <c r="C1196" s="106"/>
      <c r="F1196" s="99"/>
      <c r="G1196" s="131"/>
      <c r="H1196" s="126"/>
      <c r="J1196" s="106"/>
    </row>
    <row r="1197" spans="1:10" s="96" customFormat="1">
      <c r="A1197" s="106"/>
      <c r="B1197" s="99"/>
      <c r="C1197" s="106"/>
      <c r="F1197" s="99"/>
      <c r="G1197" s="131"/>
      <c r="H1197" s="126"/>
      <c r="J1197" s="106"/>
    </row>
    <row r="1198" spans="1:10" s="96" customFormat="1">
      <c r="A1198" s="106"/>
      <c r="B1198" s="99"/>
      <c r="C1198" s="106"/>
      <c r="F1198" s="99"/>
      <c r="G1198" s="131"/>
      <c r="H1198" s="126"/>
      <c r="J1198" s="106"/>
    </row>
    <row r="1199" spans="1:10" s="96" customFormat="1">
      <c r="A1199" s="106"/>
      <c r="B1199" s="99"/>
      <c r="C1199" s="106"/>
      <c r="F1199" s="99"/>
      <c r="G1199" s="131"/>
      <c r="H1199" s="126"/>
      <c r="J1199" s="106"/>
    </row>
    <row r="1200" spans="1:10" s="96" customFormat="1">
      <c r="A1200" s="106"/>
      <c r="B1200" s="99"/>
      <c r="C1200" s="106"/>
      <c r="F1200" s="99"/>
      <c r="G1200" s="131"/>
      <c r="H1200" s="126"/>
      <c r="J1200" s="106"/>
    </row>
    <row r="1201" spans="1:10" s="96" customFormat="1">
      <c r="A1201" s="106"/>
      <c r="B1201" s="99"/>
      <c r="C1201" s="106"/>
      <c r="F1201" s="99"/>
      <c r="G1201" s="131"/>
      <c r="H1201" s="126"/>
      <c r="J1201" s="106"/>
    </row>
    <row r="1202" spans="1:10" s="96" customFormat="1">
      <c r="A1202" s="106"/>
      <c r="B1202" s="99"/>
      <c r="C1202" s="106"/>
      <c r="F1202" s="99"/>
      <c r="G1202" s="131"/>
      <c r="H1202" s="126"/>
      <c r="J1202" s="106"/>
    </row>
    <row r="1203" spans="1:10" s="96" customFormat="1">
      <c r="A1203" s="106"/>
      <c r="B1203" s="99"/>
      <c r="C1203" s="106"/>
      <c r="F1203" s="99"/>
      <c r="G1203" s="131"/>
      <c r="H1203" s="126"/>
      <c r="J1203" s="106"/>
    </row>
    <row r="1204" spans="1:10" s="96" customFormat="1">
      <c r="A1204" s="106"/>
      <c r="B1204" s="99"/>
      <c r="C1204" s="106"/>
      <c r="F1204" s="99"/>
      <c r="G1204" s="131"/>
      <c r="H1204" s="126"/>
      <c r="J1204" s="106"/>
    </row>
    <row r="1205" spans="1:10" s="96" customFormat="1">
      <c r="A1205" s="106"/>
      <c r="B1205" s="99"/>
      <c r="C1205" s="106"/>
      <c r="F1205" s="99"/>
      <c r="G1205" s="131"/>
      <c r="H1205" s="126"/>
      <c r="J1205" s="106"/>
    </row>
    <row r="1206" spans="1:10" s="96" customFormat="1">
      <c r="A1206" s="106"/>
      <c r="B1206" s="99"/>
      <c r="C1206" s="106"/>
      <c r="F1206" s="99"/>
      <c r="G1206" s="131"/>
      <c r="H1206" s="126"/>
      <c r="J1206" s="106"/>
    </row>
    <row r="1207" spans="1:10" s="96" customFormat="1">
      <c r="A1207" s="106"/>
      <c r="B1207" s="99"/>
      <c r="C1207" s="106"/>
      <c r="F1207" s="99"/>
      <c r="G1207" s="131"/>
      <c r="H1207" s="126"/>
      <c r="J1207" s="106"/>
    </row>
    <row r="1208" spans="1:10" s="96" customFormat="1">
      <c r="A1208" s="106"/>
      <c r="B1208" s="99"/>
      <c r="C1208" s="106"/>
      <c r="F1208" s="99"/>
      <c r="G1208" s="131"/>
      <c r="H1208" s="126"/>
      <c r="J1208" s="106"/>
    </row>
    <row r="1209" spans="1:10" s="96" customFormat="1">
      <c r="A1209" s="106"/>
      <c r="B1209" s="99"/>
      <c r="C1209" s="106"/>
      <c r="F1209" s="99"/>
      <c r="G1209" s="131"/>
      <c r="H1209" s="126"/>
      <c r="J1209" s="106"/>
    </row>
    <row r="1210" spans="1:10" s="96" customFormat="1">
      <c r="A1210" s="106"/>
      <c r="B1210" s="99"/>
      <c r="C1210" s="106"/>
      <c r="F1210" s="99"/>
      <c r="G1210" s="131"/>
      <c r="H1210" s="126"/>
      <c r="J1210" s="106"/>
    </row>
    <row r="1211" spans="1:10" s="96" customFormat="1">
      <c r="A1211" s="106"/>
      <c r="B1211" s="99"/>
      <c r="C1211" s="106"/>
      <c r="F1211" s="99"/>
      <c r="G1211" s="131"/>
      <c r="H1211" s="126"/>
      <c r="J1211" s="106"/>
    </row>
    <row r="1212" spans="1:10" s="96" customFormat="1">
      <c r="A1212" s="106"/>
      <c r="B1212" s="99"/>
      <c r="C1212" s="106"/>
      <c r="F1212" s="99"/>
      <c r="G1212" s="131"/>
      <c r="H1212" s="126"/>
      <c r="J1212" s="106"/>
    </row>
    <row r="1213" spans="1:10" s="96" customFormat="1">
      <c r="A1213" s="106"/>
      <c r="B1213" s="99"/>
      <c r="C1213" s="106"/>
      <c r="F1213" s="99"/>
      <c r="G1213" s="131"/>
      <c r="H1213" s="126"/>
      <c r="J1213" s="106"/>
    </row>
    <row r="1214" spans="1:10" s="96" customFormat="1">
      <c r="A1214" s="106"/>
      <c r="B1214" s="99"/>
      <c r="C1214" s="106"/>
      <c r="F1214" s="99"/>
      <c r="G1214" s="131"/>
      <c r="H1214" s="126"/>
      <c r="J1214" s="106"/>
    </row>
    <row r="1215" spans="1:10" s="96" customFormat="1">
      <c r="A1215" s="106"/>
      <c r="B1215" s="99"/>
      <c r="C1215" s="106"/>
      <c r="F1215" s="99"/>
      <c r="G1215" s="131"/>
      <c r="H1215" s="126"/>
      <c r="J1215" s="106"/>
    </row>
    <row r="1216" spans="1:10" s="96" customFormat="1">
      <c r="A1216" s="106"/>
      <c r="B1216" s="99"/>
      <c r="C1216" s="106"/>
      <c r="F1216" s="99"/>
      <c r="G1216" s="131"/>
      <c r="H1216" s="126"/>
      <c r="J1216" s="106"/>
    </row>
    <row r="1217" spans="1:10" s="96" customFormat="1">
      <c r="A1217" s="106"/>
      <c r="B1217" s="99"/>
      <c r="C1217" s="106"/>
      <c r="F1217" s="99"/>
      <c r="G1217" s="131"/>
      <c r="H1217" s="126"/>
      <c r="J1217" s="106"/>
    </row>
    <row r="1218" spans="1:10" s="96" customFormat="1">
      <c r="A1218" s="106"/>
      <c r="B1218" s="99"/>
      <c r="C1218" s="106"/>
      <c r="F1218" s="99"/>
      <c r="G1218" s="131"/>
      <c r="H1218" s="126"/>
      <c r="J1218" s="106"/>
    </row>
    <row r="1219" spans="1:10" s="96" customFormat="1">
      <c r="A1219" s="106"/>
      <c r="B1219" s="99"/>
      <c r="C1219" s="106"/>
      <c r="F1219" s="99"/>
      <c r="G1219" s="131"/>
      <c r="H1219" s="126"/>
      <c r="J1219" s="106"/>
    </row>
    <row r="1220" spans="1:10" s="96" customFormat="1">
      <c r="A1220" s="106"/>
      <c r="B1220" s="99"/>
      <c r="C1220" s="106"/>
      <c r="F1220" s="99"/>
      <c r="G1220" s="131"/>
      <c r="H1220" s="126"/>
      <c r="J1220" s="106"/>
    </row>
    <row r="1221" spans="1:10" s="96" customFormat="1">
      <c r="A1221" s="106"/>
      <c r="B1221" s="99"/>
      <c r="C1221" s="106"/>
      <c r="F1221" s="99"/>
      <c r="G1221" s="131"/>
      <c r="H1221" s="126"/>
      <c r="J1221" s="106"/>
    </row>
    <row r="1222" spans="1:10" s="96" customFormat="1">
      <c r="A1222" s="106"/>
      <c r="B1222" s="99"/>
      <c r="C1222" s="106"/>
      <c r="F1222" s="99"/>
      <c r="G1222" s="131"/>
      <c r="H1222" s="126"/>
      <c r="J1222" s="106"/>
    </row>
    <row r="1223" spans="1:10" s="96" customFormat="1">
      <c r="A1223" s="106"/>
      <c r="B1223" s="99"/>
      <c r="C1223" s="106"/>
      <c r="F1223" s="99"/>
      <c r="G1223" s="131"/>
      <c r="H1223" s="126"/>
      <c r="J1223" s="106"/>
    </row>
    <row r="1224" spans="1:10" s="96" customFormat="1">
      <c r="A1224" s="106"/>
      <c r="B1224" s="99"/>
      <c r="C1224" s="106"/>
      <c r="F1224" s="99"/>
      <c r="G1224" s="131"/>
      <c r="H1224" s="126"/>
      <c r="J1224" s="106"/>
    </row>
    <row r="1225" spans="1:10" s="96" customFormat="1">
      <c r="A1225" s="106"/>
      <c r="B1225" s="99"/>
      <c r="C1225" s="106"/>
      <c r="F1225" s="99"/>
      <c r="G1225" s="131"/>
      <c r="H1225" s="126"/>
      <c r="J1225" s="106"/>
    </row>
    <row r="1226" spans="1:10" s="96" customFormat="1">
      <c r="A1226" s="106"/>
      <c r="B1226" s="99"/>
      <c r="C1226" s="106"/>
      <c r="F1226" s="99"/>
      <c r="G1226" s="131"/>
      <c r="H1226" s="126"/>
      <c r="J1226" s="106"/>
    </row>
    <row r="1227" spans="1:10" s="96" customFormat="1">
      <c r="A1227" s="106"/>
      <c r="B1227" s="99"/>
      <c r="C1227" s="106"/>
      <c r="F1227" s="99"/>
      <c r="G1227" s="131"/>
      <c r="H1227" s="126"/>
      <c r="J1227" s="106"/>
    </row>
    <row r="1228" spans="1:10" s="96" customFormat="1">
      <c r="A1228" s="106"/>
      <c r="B1228" s="99"/>
      <c r="C1228" s="106"/>
      <c r="F1228" s="99"/>
      <c r="G1228" s="131"/>
      <c r="H1228" s="126"/>
      <c r="J1228" s="106"/>
    </row>
    <row r="1229" spans="1:10" s="96" customFormat="1">
      <c r="A1229" s="106"/>
      <c r="B1229" s="99"/>
      <c r="C1229" s="106"/>
      <c r="F1229" s="99"/>
      <c r="G1229" s="131"/>
      <c r="H1229" s="126"/>
      <c r="J1229" s="106"/>
    </row>
    <row r="1230" spans="1:10" s="96" customFormat="1">
      <c r="A1230" s="106"/>
      <c r="B1230" s="99"/>
      <c r="C1230" s="106"/>
      <c r="F1230" s="99"/>
      <c r="G1230" s="131"/>
      <c r="H1230" s="126"/>
      <c r="J1230" s="106"/>
    </row>
    <row r="1231" spans="1:10" s="96" customFormat="1">
      <c r="A1231" s="106"/>
      <c r="B1231" s="99"/>
      <c r="C1231" s="106"/>
      <c r="F1231" s="99"/>
      <c r="G1231" s="131"/>
      <c r="H1231" s="126"/>
      <c r="J1231" s="106"/>
    </row>
    <row r="1232" spans="1:10" s="96" customFormat="1">
      <c r="A1232" s="106"/>
      <c r="B1232" s="99"/>
      <c r="C1232" s="106"/>
      <c r="F1232" s="99"/>
      <c r="G1232" s="131"/>
      <c r="H1232" s="126"/>
      <c r="J1232" s="106"/>
    </row>
    <row r="1233" spans="1:10" s="96" customFormat="1">
      <c r="A1233" s="106"/>
      <c r="B1233" s="99"/>
      <c r="C1233" s="106"/>
      <c r="F1233" s="99"/>
      <c r="G1233" s="131"/>
      <c r="H1233" s="126"/>
      <c r="J1233" s="106"/>
    </row>
    <row r="1234" spans="1:10" s="96" customFormat="1">
      <c r="A1234" s="106"/>
      <c r="B1234" s="99"/>
      <c r="C1234" s="106"/>
      <c r="F1234" s="99"/>
      <c r="G1234" s="131"/>
      <c r="H1234" s="126"/>
      <c r="J1234" s="106"/>
    </row>
    <row r="1235" spans="1:10" s="96" customFormat="1">
      <c r="A1235" s="106"/>
      <c r="B1235" s="99"/>
      <c r="C1235" s="106"/>
      <c r="F1235" s="99"/>
      <c r="G1235" s="131"/>
      <c r="H1235" s="126"/>
      <c r="J1235" s="106"/>
    </row>
    <row r="1236" spans="1:10" s="96" customFormat="1">
      <c r="A1236" s="106"/>
      <c r="B1236" s="99"/>
      <c r="C1236" s="106"/>
      <c r="F1236" s="99"/>
      <c r="G1236" s="131"/>
      <c r="H1236" s="126"/>
      <c r="J1236" s="106"/>
    </row>
    <row r="1237" spans="1:10" s="96" customFormat="1">
      <c r="A1237" s="106"/>
      <c r="B1237" s="99"/>
      <c r="C1237" s="106"/>
      <c r="F1237" s="99"/>
      <c r="G1237" s="131"/>
      <c r="H1237" s="126"/>
      <c r="J1237" s="106"/>
    </row>
    <row r="1238" spans="1:10" s="96" customFormat="1">
      <c r="A1238" s="106"/>
      <c r="B1238" s="99"/>
      <c r="C1238" s="106"/>
      <c r="F1238" s="99"/>
      <c r="G1238" s="131"/>
      <c r="H1238" s="126"/>
      <c r="J1238" s="106"/>
    </row>
    <row r="1239" spans="1:10" s="96" customFormat="1">
      <c r="A1239" s="106"/>
      <c r="B1239" s="99"/>
      <c r="C1239" s="106"/>
      <c r="F1239" s="99"/>
      <c r="G1239" s="131"/>
      <c r="H1239" s="126"/>
      <c r="J1239" s="106"/>
    </row>
    <row r="1240" spans="1:10" s="96" customFormat="1">
      <c r="A1240" s="106"/>
      <c r="B1240" s="99"/>
      <c r="C1240" s="106"/>
      <c r="F1240" s="99"/>
      <c r="G1240" s="131"/>
      <c r="H1240" s="126"/>
      <c r="J1240" s="106"/>
    </row>
    <row r="1241" spans="1:10" s="96" customFormat="1">
      <c r="A1241" s="106"/>
      <c r="B1241" s="99"/>
      <c r="C1241" s="106"/>
      <c r="F1241" s="99"/>
      <c r="G1241" s="131"/>
      <c r="H1241" s="126"/>
      <c r="J1241" s="106"/>
    </row>
    <row r="1242" spans="1:10" s="96" customFormat="1">
      <c r="A1242" s="106"/>
      <c r="B1242" s="99"/>
      <c r="C1242" s="106"/>
      <c r="F1242" s="99"/>
      <c r="G1242" s="131"/>
      <c r="H1242" s="126"/>
      <c r="J1242" s="106"/>
    </row>
    <row r="1243" spans="1:10" s="96" customFormat="1">
      <c r="A1243" s="106"/>
      <c r="B1243" s="99"/>
      <c r="C1243" s="106"/>
      <c r="F1243" s="99"/>
      <c r="G1243" s="131"/>
      <c r="H1243" s="126"/>
      <c r="J1243" s="106"/>
    </row>
    <row r="1244" spans="1:10" s="96" customFormat="1">
      <c r="A1244" s="106"/>
      <c r="B1244" s="99"/>
      <c r="C1244" s="106"/>
      <c r="F1244" s="99"/>
      <c r="G1244" s="131"/>
      <c r="H1244" s="126"/>
      <c r="J1244" s="106"/>
    </row>
    <row r="1245" spans="1:10" s="96" customFormat="1">
      <c r="A1245" s="106"/>
      <c r="B1245" s="99"/>
      <c r="C1245" s="106"/>
      <c r="F1245" s="99"/>
      <c r="G1245" s="131"/>
      <c r="H1245" s="126"/>
      <c r="J1245" s="106"/>
    </row>
    <row r="1246" spans="1:10" s="96" customFormat="1">
      <c r="A1246" s="106"/>
      <c r="B1246" s="99"/>
      <c r="C1246" s="106"/>
      <c r="F1246" s="99"/>
      <c r="G1246" s="131"/>
      <c r="H1246" s="126"/>
      <c r="J1246" s="106"/>
    </row>
    <row r="1247" spans="1:10" s="96" customFormat="1">
      <c r="A1247" s="106"/>
      <c r="B1247" s="99"/>
      <c r="C1247" s="106"/>
      <c r="F1247" s="99"/>
      <c r="G1247" s="131"/>
      <c r="H1247" s="126"/>
      <c r="J1247" s="106"/>
    </row>
    <row r="1248" spans="1:10" s="96" customFormat="1">
      <c r="A1248" s="106"/>
      <c r="B1248" s="99"/>
      <c r="C1248" s="106"/>
      <c r="F1248" s="99"/>
      <c r="G1248" s="131"/>
      <c r="H1248" s="126"/>
      <c r="J1248" s="106"/>
    </row>
    <row r="1249" spans="1:10" s="96" customFormat="1">
      <c r="A1249" s="106"/>
      <c r="B1249" s="99"/>
      <c r="C1249" s="106"/>
      <c r="F1249" s="99"/>
      <c r="G1249" s="131"/>
      <c r="H1249" s="126"/>
      <c r="J1249" s="106"/>
    </row>
    <row r="1250" spans="1:10" s="96" customFormat="1">
      <c r="A1250" s="106"/>
      <c r="B1250" s="99"/>
      <c r="C1250" s="106"/>
      <c r="F1250" s="99"/>
      <c r="G1250" s="131"/>
      <c r="H1250" s="126"/>
      <c r="J1250" s="106"/>
    </row>
    <row r="1251" spans="1:10" s="96" customFormat="1">
      <c r="A1251" s="106"/>
      <c r="B1251" s="99"/>
      <c r="C1251" s="106"/>
      <c r="F1251" s="99"/>
      <c r="G1251" s="131"/>
      <c r="H1251" s="126"/>
      <c r="J1251" s="106"/>
    </row>
    <row r="1252" spans="1:10" s="96" customFormat="1">
      <c r="A1252" s="106"/>
      <c r="B1252" s="99"/>
      <c r="C1252" s="106"/>
      <c r="F1252" s="99"/>
      <c r="G1252" s="131"/>
      <c r="H1252" s="126"/>
      <c r="J1252" s="106"/>
    </row>
    <row r="1253" spans="1:10" s="96" customFormat="1">
      <c r="A1253" s="106"/>
      <c r="B1253" s="99"/>
      <c r="C1253" s="106"/>
      <c r="F1253" s="99"/>
      <c r="G1253" s="131"/>
      <c r="H1253" s="126"/>
      <c r="J1253" s="106"/>
    </row>
    <row r="1254" spans="1:10" s="96" customFormat="1">
      <c r="A1254" s="106"/>
      <c r="B1254" s="99"/>
      <c r="C1254" s="106"/>
      <c r="F1254" s="99"/>
      <c r="G1254" s="131"/>
      <c r="H1254" s="126"/>
      <c r="J1254" s="106"/>
    </row>
    <row r="1255" spans="1:10" s="96" customFormat="1">
      <c r="A1255" s="106"/>
      <c r="B1255" s="99"/>
      <c r="C1255" s="106"/>
      <c r="F1255" s="99"/>
      <c r="G1255" s="131"/>
      <c r="H1255" s="126"/>
      <c r="J1255" s="106"/>
    </row>
    <row r="1256" spans="1:10" s="96" customFormat="1">
      <c r="A1256" s="106"/>
      <c r="B1256" s="99"/>
      <c r="C1256" s="106"/>
      <c r="F1256" s="99"/>
      <c r="G1256" s="131"/>
      <c r="H1256" s="126"/>
      <c r="J1256" s="106"/>
    </row>
    <row r="1257" spans="1:10" s="96" customFormat="1">
      <c r="A1257" s="106"/>
      <c r="B1257" s="99"/>
      <c r="C1257" s="106"/>
      <c r="F1257" s="99"/>
      <c r="G1257" s="131"/>
      <c r="H1257" s="126"/>
      <c r="J1257" s="106"/>
    </row>
    <row r="1258" spans="1:10" s="96" customFormat="1">
      <c r="A1258" s="106"/>
      <c r="B1258" s="99"/>
      <c r="C1258" s="106"/>
      <c r="F1258" s="99"/>
      <c r="G1258" s="131"/>
      <c r="H1258" s="126"/>
      <c r="J1258" s="106"/>
    </row>
    <row r="1259" spans="1:10" s="96" customFormat="1">
      <c r="A1259" s="106"/>
      <c r="B1259" s="99"/>
      <c r="C1259" s="106"/>
      <c r="F1259" s="99"/>
      <c r="G1259" s="131"/>
      <c r="H1259" s="126"/>
      <c r="J1259" s="106"/>
    </row>
    <row r="1260" spans="1:10" s="96" customFormat="1">
      <c r="A1260" s="106"/>
      <c r="B1260" s="99"/>
      <c r="C1260" s="106"/>
      <c r="F1260" s="99"/>
      <c r="G1260" s="131"/>
      <c r="H1260" s="126"/>
      <c r="J1260" s="106"/>
    </row>
    <row r="1261" spans="1:10" s="96" customFormat="1">
      <c r="A1261" s="106"/>
      <c r="B1261" s="99"/>
      <c r="C1261" s="106"/>
      <c r="F1261" s="99"/>
      <c r="G1261" s="131"/>
      <c r="H1261" s="126"/>
      <c r="J1261" s="106"/>
    </row>
    <row r="1262" spans="1:10" s="96" customFormat="1">
      <c r="A1262" s="106"/>
      <c r="B1262" s="99"/>
      <c r="C1262" s="106"/>
      <c r="F1262" s="99"/>
      <c r="G1262" s="131"/>
      <c r="H1262" s="126"/>
      <c r="J1262" s="106"/>
    </row>
    <row r="1263" spans="1:10" s="96" customFormat="1">
      <c r="A1263" s="106"/>
      <c r="B1263" s="99"/>
      <c r="C1263" s="106"/>
      <c r="F1263" s="99"/>
      <c r="G1263" s="131"/>
      <c r="H1263" s="126"/>
      <c r="J1263" s="106"/>
    </row>
    <row r="1264" spans="1:10" s="96" customFormat="1">
      <c r="A1264" s="106"/>
      <c r="B1264" s="99"/>
      <c r="C1264" s="106"/>
      <c r="F1264" s="99"/>
      <c r="G1264" s="131"/>
      <c r="H1264" s="126"/>
      <c r="J1264" s="106"/>
    </row>
    <row r="1265" spans="1:10" s="96" customFormat="1">
      <c r="A1265" s="106"/>
      <c r="B1265" s="99"/>
      <c r="C1265" s="106"/>
      <c r="F1265" s="99"/>
      <c r="G1265" s="131"/>
      <c r="H1265" s="126"/>
      <c r="J1265" s="106"/>
    </row>
    <row r="1266" spans="1:10" s="96" customFormat="1">
      <c r="A1266" s="106"/>
      <c r="B1266" s="99"/>
      <c r="C1266" s="106"/>
      <c r="F1266" s="99"/>
      <c r="G1266" s="131"/>
      <c r="H1266" s="126"/>
      <c r="J1266" s="106"/>
    </row>
    <row r="1267" spans="1:10" s="96" customFormat="1">
      <c r="A1267" s="106"/>
      <c r="B1267" s="99"/>
      <c r="C1267" s="106"/>
      <c r="F1267" s="99"/>
      <c r="G1267" s="131"/>
      <c r="H1267" s="126"/>
      <c r="J1267" s="106"/>
    </row>
    <row r="1268" spans="1:10" s="96" customFormat="1">
      <c r="A1268" s="106"/>
      <c r="B1268" s="99"/>
      <c r="C1268" s="106"/>
      <c r="F1268" s="99"/>
      <c r="G1268" s="131"/>
      <c r="H1268" s="126"/>
      <c r="J1268" s="106"/>
    </row>
    <row r="1269" spans="1:10" s="96" customFormat="1">
      <c r="A1269" s="106"/>
      <c r="B1269" s="99"/>
      <c r="C1269" s="106"/>
      <c r="F1269" s="99"/>
      <c r="G1269" s="131"/>
      <c r="H1269" s="126"/>
      <c r="J1269" s="106"/>
    </row>
    <row r="1270" spans="1:10" s="96" customFormat="1">
      <c r="A1270" s="106"/>
      <c r="B1270" s="99"/>
      <c r="C1270" s="106"/>
      <c r="F1270" s="99"/>
      <c r="G1270" s="131"/>
      <c r="H1270" s="126"/>
      <c r="J1270" s="106"/>
    </row>
    <row r="1271" spans="1:10" s="96" customFormat="1">
      <c r="A1271" s="106"/>
      <c r="B1271" s="99"/>
      <c r="C1271" s="106"/>
      <c r="F1271" s="99"/>
      <c r="G1271" s="131"/>
      <c r="H1271" s="126"/>
      <c r="J1271" s="106"/>
    </row>
    <row r="1272" spans="1:10" s="96" customFormat="1">
      <c r="A1272" s="106"/>
      <c r="B1272" s="99"/>
      <c r="C1272" s="106"/>
      <c r="F1272" s="99"/>
      <c r="G1272" s="131"/>
      <c r="H1272" s="126"/>
      <c r="J1272" s="106"/>
    </row>
    <row r="1273" spans="1:10" s="96" customFormat="1">
      <c r="A1273" s="106"/>
      <c r="B1273" s="99"/>
      <c r="C1273" s="106"/>
      <c r="F1273" s="99"/>
      <c r="G1273" s="131"/>
      <c r="H1273" s="126"/>
      <c r="J1273" s="106"/>
    </row>
    <row r="1274" spans="1:10" s="96" customFormat="1">
      <c r="A1274" s="106"/>
      <c r="B1274" s="99"/>
      <c r="C1274" s="106"/>
      <c r="F1274" s="99"/>
      <c r="G1274" s="131"/>
      <c r="H1274" s="126"/>
      <c r="J1274" s="106"/>
    </row>
    <row r="1275" spans="1:10" s="96" customFormat="1">
      <c r="A1275" s="106"/>
      <c r="B1275" s="99"/>
      <c r="C1275" s="106"/>
      <c r="F1275" s="99"/>
      <c r="G1275" s="131"/>
      <c r="H1275" s="126"/>
      <c r="J1275" s="106"/>
    </row>
    <row r="1276" spans="1:10" s="96" customFormat="1">
      <c r="A1276" s="106"/>
      <c r="B1276" s="99"/>
      <c r="C1276" s="106"/>
      <c r="F1276" s="99"/>
      <c r="G1276" s="131"/>
      <c r="H1276" s="126"/>
      <c r="J1276" s="106"/>
    </row>
    <row r="1277" spans="1:10" s="96" customFormat="1">
      <c r="A1277" s="106"/>
      <c r="B1277" s="99"/>
      <c r="C1277" s="106"/>
      <c r="F1277" s="99"/>
      <c r="G1277" s="131"/>
      <c r="H1277" s="126"/>
      <c r="J1277" s="106"/>
    </row>
    <row r="1278" spans="1:10" s="96" customFormat="1">
      <c r="A1278" s="106"/>
      <c r="B1278" s="99"/>
      <c r="C1278" s="106"/>
      <c r="F1278" s="99"/>
      <c r="G1278" s="131"/>
      <c r="H1278" s="126"/>
      <c r="J1278" s="106"/>
    </row>
    <row r="1279" spans="1:10" s="96" customFormat="1">
      <c r="A1279" s="106"/>
      <c r="B1279" s="99"/>
      <c r="C1279" s="106"/>
      <c r="F1279" s="99"/>
      <c r="G1279" s="131"/>
      <c r="H1279" s="126"/>
      <c r="J1279" s="106"/>
    </row>
    <row r="1280" spans="1:10" s="96" customFormat="1">
      <c r="A1280" s="106"/>
      <c r="B1280" s="99"/>
      <c r="C1280" s="106"/>
      <c r="F1280" s="99"/>
      <c r="G1280" s="131"/>
      <c r="H1280" s="126"/>
      <c r="J1280" s="106"/>
    </row>
    <row r="1281" spans="1:10" s="96" customFormat="1">
      <c r="A1281" s="106"/>
      <c r="B1281" s="99"/>
      <c r="C1281" s="106"/>
      <c r="F1281" s="99"/>
      <c r="G1281" s="131"/>
      <c r="H1281" s="126"/>
      <c r="J1281" s="106"/>
    </row>
    <row r="1282" spans="1:10" s="96" customFormat="1">
      <c r="A1282" s="106"/>
      <c r="B1282" s="99"/>
      <c r="C1282" s="106"/>
      <c r="F1282" s="99"/>
      <c r="G1282" s="131"/>
      <c r="H1282" s="126"/>
      <c r="J1282" s="106"/>
    </row>
    <row r="1283" spans="1:10" s="96" customFormat="1">
      <c r="A1283" s="106"/>
      <c r="B1283" s="99"/>
      <c r="C1283" s="106"/>
      <c r="F1283" s="99"/>
      <c r="G1283" s="131"/>
      <c r="H1283" s="126"/>
      <c r="J1283" s="106"/>
    </row>
    <row r="1284" spans="1:10" s="96" customFormat="1">
      <c r="A1284" s="106"/>
      <c r="B1284" s="99"/>
      <c r="C1284" s="106"/>
      <c r="F1284" s="99"/>
      <c r="G1284" s="131"/>
      <c r="H1284" s="126"/>
      <c r="J1284" s="106"/>
    </row>
    <row r="1285" spans="1:10" s="96" customFormat="1">
      <c r="A1285" s="106"/>
      <c r="B1285" s="99"/>
      <c r="C1285" s="106"/>
      <c r="F1285" s="99"/>
      <c r="G1285" s="131"/>
      <c r="H1285" s="126"/>
      <c r="J1285" s="106"/>
    </row>
    <row r="1286" spans="1:10" s="96" customFormat="1">
      <c r="A1286" s="106"/>
      <c r="B1286" s="99"/>
      <c r="C1286" s="106"/>
      <c r="F1286" s="99"/>
      <c r="G1286" s="131"/>
      <c r="H1286" s="126"/>
      <c r="J1286" s="106"/>
    </row>
    <row r="1287" spans="1:10" s="96" customFormat="1">
      <c r="A1287" s="106"/>
      <c r="B1287" s="99"/>
      <c r="C1287" s="106"/>
      <c r="F1287" s="99"/>
      <c r="G1287" s="131"/>
      <c r="H1287" s="126"/>
      <c r="J1287" s="106"/>
    </row>
    <row r="1288" spans="1:10" s="96" customFormat="1">
      <c r="A1288" s="106"/>
      <c r="B1288" s="99"/>
      <c r="C1288" s="106"/>
      <c r="F1288" s="99"/>
      <c r="G1288" s="131"/>
      <c r="H1288" s="126"/>
      <c r="J1288" s="106"/>
    </row>
    <row r="1289" spans="1:10" s="96" customFormat="1">
      <c r="A1289" s="106"/>
      <c r="B1289" s="99"/>
      <c r="C1289" s="106"/>
      <c r="F1289" s="99"/>
      <c r="G1289" s="131"/>
      <c r="H1289" s="126"/>
      <c r="J1289" s="106"/>
    </row>
    <row r="1290" spans="1:10" s="96" customFormat="1">
      <c r="A1290" s="106"/>
      <c r="B1290" s="99"/>
      <c r="C1290" s="106"/>
      <c r="F1290" s="99"/>
      <c r="G1290" s="131"/>
      <c r="H1290" s="126"/>
      <c r="J1290" s="106"/>
    </row>
    <row r="1291" spans="1:10" s="96" customFormat="1">
      <c r="A1291" s="106"/>
      <c r="B1291" s="99"/>
      <c r="C1291" s="106"/>
      <c r="F1291" s="99"/>
      <c r="G1291" s="131"/>
      <c r="H1291" s="126"/>
      <c r="J1291" s="106"/>
    </row>
    <row r="1292" spans="1:10" s="96" customFormat="1">
      <c r="A1292" s="106"/>
      <c r="B1292" s="99"/>
      <c r="C1292" s="106"/>
      <c r="F1292" s="99"/>
      <c r="G1292" s="131"/>
      <c r="H1292" s="126"/>
      <c r="J1292" s="106"/>
    </row>
    <row r="1293" spans="1:10" s="96" customFormat="1">
      <c r="A1293" s="106"/>
      <c r="B1293" s="99"/>
      <c r="C1293" s="106"/>
      <c r="F1293" s="99"/>
      <c r="G1293" s="131"/>
      <c r="H1293" s="126"/>
      <c r="J1293" s="106"/>
    </row>
    <row r="1294" spans="1:10" s="96" customFormat="1">
      <c r="A1294" s="106"/>
      <c r="B1294" s="99"/>
      <c r="C1294" s="106"/>
      <c r="F1294" s="99"/>
      <c r="G1294" s="131"/>
      <c r="H1294" s="126"/>
      <c r="J1294" s="106"/>
    </row>
    <row r="1295" spans="1:10" s="96" customFormat="1">
      <c r="A1295" s="106"/>
      <c r="B1295" s="99"/>
      <c r="C1295" s="106"/>
      <c r="F1295" s="99"/>
      <c r="G1295" s="131"/>
      <c r="H1295" s="126"/>
      <c r="J1295" s="106"/>
    </row>
    <row r="1296" spans="1:10" s="96" customFormat="1">
      <c r="A1296" s="106"/>
      <c r="B1296" s="99"/>
      <c r="C1296" s="106"/>
      <c r="F1296" s="99"/>
      <c r="G1296" s="131"/>
      <c r="H1296" s="126"/>
      <c r="J1296" s="106"/>
    </row>
    <row r="1297" spans="1:10" s="96" customFormat="1">
      <c r="A1297" s="106"/>
      <c r="B1297" s="99"/>
      <c r="C1297" s="106"/>
      <c r="F1297" s="99"/>
      <c r="G1297" s="131"/>
      <c r="H1297" s="126"/>
      <c r="J1297" s="106"/>
    </row>
    <row r="1298" spans="1:10" s="96" customFormat="1">
      <c r="A1298" s="106"/>
      <c r="B1298" s="99"/>
      <c r="C1298" s="106"/>
      <c r="F1298" s="99"/>
      <c r="G1298" s="131"/>
      <c r="H1298" s="126"/>
      <c r="J1298" s="106"/>
    </row>
    <row r="1299" spans="1:10" s="96" customFormat="1">
      <c r="A1299" s="106"/>
      <c r="B1299" s="99"/>
      <c r="C1299" s="106"/>
      <c r="F1299" s="99"/>
      <c r="G1299" s="131"/>
      <c r="H1299" s="126"/>
      <c r="J1299" s="106"/>
    </row>
    <row r="1300" spans="1:10" s="96" customFormat="1">
      <c r="A1300" s="106"/>
      <c r="B1300" s="99"/>
      <c r="C1300" s="106"/>
      <c r="F1300" s="99"/>
      <c r="G1300" s="131"/>
      <c r="H1300" s="126"/>
      <c r="J1300" s="106"/>
    </row>
    <row r="1301" spans="1:10" s="96" customFormat="1">
      <c r="A1301" s="106"/>
      <c r="B1301" s="99"/>
      <c r="C1301" s="106"/>
      <c r="F1301" s="99"/>
      <c r="G1301" s="131"/>
      <c r="H1301" s="126"/>
      <c r="J1301" s="106"/>
    </row>
    <row r="1302" spans="1:10" s="96" customFormat="1">
      <c r="A1302" s="106"/>
      <c r="B1302" s="99"/>
      <c r="C1302" s="106"/>
      <c r="F1302" s="99"/>
      <c r="G1302" s="131"/>
      <c r="H1302" s="126"/>
      <c r="J1302" s="106"/>
    </row>
    <row r="1303" spans="1:10" s="96" customFormat="1">
      <c r="A1303" s="106"/>
      <c r="B1303" s="99"/>
      <c r="C1303" s="106"/>
      <c r="F1303" s="99"/>
      <c r="G1303" s="131"/>
      <c r="H1303" s="126"/>
      <c r="J1303" s="106"/>
    </row>
    <row r="1304" spans="1:10" s="96" customFormat="1">
      <c r="A1304" s="106"/>
      <c r="B1304" s="99"/>
      <c r="C1304" s="106"/>
      <c r="F1304" s="99"/>
      <c r="G1304" s="131"/>
      <c r="H1304" s="126"/>
      <c r="J1304" s="106"/>
    </row>
    <row r="1305" spans="1:10" s="96" customFormat="1">
      <c r="A1305" s="106"/>
      <c r="B1305" s="99"/>
      <c r="C1305" s="106"/>
      <c r="F1305" s="99"/>
      <c r="G1305" s="131"/>
      <c r="H1305" s="126"/>
      <c r="J1305" s="106"/>
    </row>
    <row r="1306" spans="1:10" s="96" customFormat="1">
      <c r="A1306" s="106"/>
      <c r="B1306" s="99"/>
      <c r="C1306" s="106"/>
      <c r="F1306" s="99"/>
      <c r="G1306" s="131"/>
      <c r="H1306" s="126"/>
      <c r="J1306" s="106"/>
    </row>
    <row r="1307" spans="1:10" s="96" customFormat="1">
      <c r="A1307" s="106"/>
      <c r="B1307" s="99"/>
      <c r="C1307" s="106"/>
      <c r="F1307" s="99"/>
      <c r="G1307" s="131"/>
      <c r="H1307" s="126"/>
      <c r="J1307" s="106"/>
    </row>
    <row r="1308" spans="1:10" s="96" customFormat="1">
      <c r="A1308" s="106"/>
      <c r="B1308" s="99"/>
      <c r="C1308" s="106"/>
      <c r="F1308" s="99"/>
      <c r="G1308" s="131"/>
      <c r="H1308" s="126"/>
      <c r="J1308" s="106"/>
    </row>
    <row r="1309" spans="1:10" s="96" customFormat="1">
      <c r="A1309" s="106"/>
      <c r="B1309" s="99"/>
      <c r="C1309" s="106"/>
      <c r="F1309" s="99"/>
      <c r="G1309" s="131"/>
      <c r="H1309" s="126"/>
      <c r="J1309" s="106"/>
    </row>
    <row r="1310" spans="1:10" s="96" customFormat="1">
      <c r="A1310" s="106"/>
      <c r="B1310" s="99"/>
      <c r="C1310" s="106"/>
      <c r="F1310" s="99"/>
      <c r="G1310" s="131"/>
      <c r="H1310" s="126"/>
      <c r="J1310" s="106"/>
    </row>
    <row r="1311" spans="1:10" s="96" customFormat="1">
      <c r="A1311" s="106"/>
      <c r="B1311" s="99"/>
      <c r="C1311" s="106"/>
      <c r="F1311" s="99"/>
      <c r="G1311" s="131"/>
      <c r="H1311" s="126"/>
      <c r="J1311" s="106"/>
    </row>
    <row r="1312" spans="1:10" s="96" customFormat="1">
      <c r="A1312" s="106"/>
      <c r="B1312" s="99"/>
      <c r="C1312" s="106"/>
      <c r="F1312" s="99"/>
      <c r="G1312" s="131"/>
      <c r="H1312" s="126"/>
      <c r="J1312" s="106"/>
    </row>
    <row r="1313" spans="1:10" s="96" customFormat="1">
      <c r="A1313" s="106"/>
      <c r="B1313" s="99"/>
      <c r="C1313" s="106"/>
      <c r="F1313" s="99"/>
      <c r="G1313" s="131"/>
      <c r="H1313" s="126"/>
      <c r="J1313" s="106"/>
    </row>
    <row r="1314" spans="1:10" s="96" customFormat="1">
      <c r="A1314" s="106"/>
      <c r="B1314" s="99"/>
      <c r="C1314" s="106"/>
      <c r="F1314" s="99"/>
      <c r="G1314" s="131"/>
      <c r="H1314" s="126"/>
      <c r="J1314" s="106"/>
    </row>
    <row r="1315" spans="1:10" s="96" customFormat="1">
      <c r="A1315" s="106"/>
      <c r="B1315" s="99"/>
      <c r="C1315" s="106"/>
      <c r="F1315" s="99"/>
      <c r="G1315" s="131"/>
      <c r="H1315" s="126"/>
      <c r="J1315" s="106"/>
    </row>
    <row r="1316" spans="1:10" s="96" customFormat="1">
      <c r="A1316" s="106"/>
      <c r="B1316" s="99"/>
      <c r="C1316" s="106"/>
      <c r="F1316" s="99"/>
      <c r="G1316" s="131"/>
      <c r="H1316" s="126"/>
      <c r="J1316" s="106"/>
    </row>
    <row r="1317" spans="1:10" s="96" customFormat="1">
      <c r="A1317" s="106"/>
      <c r="B1317" s="99"/>
      <c r="C1317" s="106"/>
      <c r="F1317" s="99"/>
      <c r="G1317" s="131"/>
      <c r="H1317" s="126"/>
      <c r="J1317" s="106"/>
    </row>
    <row r="1318" spans="1:10" s="96" customFormat="1">
      <c r="A1318" s="106"/>
      <c r="B1318" s="99"/>
      <c r="C1318" s="106"/>
      <c r="F1318" s="99"/>
      <c r="G1318" s="131"/>
      <c r="H1318" s="126"/>
      <c r="J1318" s="106"/>
    </row>
    <row r="1319" spans="1:10" s="96" customFormat="1">
      <c r="A1319" s="106"/>
      <c r="B1319" s="99"/>
      <c r="C1319" s="106"/>
      <c r="F1319" s="99"/>
      <c r="G1319" s="131"/>
      <c r="H1319" s="126"/>
      <c r="J1319" s="106"/>
    </row>
    <row r="1320" spans="1:10" s="96" customFormat="1">
      <c r="A1320" s="106"/>
      <c r="B1320" s="99"/>
      <c r="C1320" s="106"/>
      <c r="F1320" s="99"/>
      <c r="G1320" s="131"/>
      <c r="H1320" s="126"/>
      <c r="J1320" s="106"/>
    </row>
    <row r="1321" spans="1:10" s="96" customFormat="1">
      <c r="A1321" s="106"/>
      <c r="B1321" s="99"/>
      <c r="C1321" s="106"/>
      <c r="F1321" s="99"/>
      <c r="G1321" s="131"/>
      <c r="H1321" s="126"/>
      <c r="J1321" s="106"/>
    </row>
    <row r="1322" spans="1:10" s="96" customFormat="1">
      <c r="A1322" s="106"/>
      <c r="B1322" s="99"/>
      <c r="C1322" s="106"/>
      <c r="F1322" s="99"/>
      <c r="G1322" s="131"/>
      <c r="H1322" s="126"/>
      <c r="J1322" s="106"/>
    </row>
    <row r="1323" spans="1:10" s="96" customFormat="1">
      <c r="A1323" s="106"/>
      <c r="B1323" s="99"/>
      <c r="C1323" s="106"/>
      <c r="F1323" s="99"/>
      <c r="G1323" s="131"/>
      <c r="H1323" s="126"/>
      <c r="J1323" s="106"/>
    </row>
    <row r="1324" spans="1:10" s="96" customFormat="1">
      <c r="A1324" s="106"/>
      <c r="B1324" s="99"/>
      <c r="C1324" s="106"/>
      <c r="F1324" s="99"/>
      <c r="G1324" s="131"/>
      <c r="H1324" s="126"/>
      <c r="J1324" s="106"/>
    </row>
    <row r="1325" spans="1:10" s="96" customFormat="1">
      <c r="A1325" s="106"/>
      <c r="B1325" s="99"/>
      <c r="C1325" s="106"/>
      <c r="F1325" s="99"/>
      <c r="G1325" s="131"/>
      <c r="H1325" s="126"/>
      <c r="J1325" s="106"/>
    </row>
    <row r="1326" spans="1:10" s="96" customFormat="1">
      <c r="A1326" s="106"/>
      <c r="B1326" s="99"/>
      <c r="C1326" s="106"/>
      <c r="F1326" s="99"/>
      <c r="G1326" s="131"/>
      <c r="H1326" s="126"/>
      <c r="J1326" s="106"/>
    </row>
    <row r="1327" spans="1:10" s="96" customFormat="1">
      <c r="A1327" s="106"/>
      <c r="B1327" s="99"/>
      <c r="C1327" s="106"/>
      <c r="F1327" s="99"/>
      <c r="G1327" s="131"/>
      <c r="H1327" s="126"/>
      <c r="J1327" s="106"/>
    </row>
    <row r="1328" spans="1:10" s="96" customFormat="1">
      <c r="A1328" s="106"/>
      <c r="B1328" s="99"/>
      <c r="C1328" s="106"/>
      <c r="F1328" s="99"/>
      <c r="G1328" s="131"/>
      <c r="H1328" s="126"/>
      <c r="J1328" s="106"/>
    </row>
    <row r="1329" spans="1:10" s="96" customFormat="1">
      <c r="A1329" s="106"/>
      <c r="B1329" s="99"/>
      <c r="C1329" s="106"/>
      <c r="F1329" s="99"/>
      <c r="G1329" s="131"/>
      <c r="H1329" s="126"/>
      <c r="J1329" s="106"/>
    </row>
    <row r="1330" spans="1:10" s="96" customFormat="1">
      <c r="A1330" s="106"/>
      <c r="B1330" s="99"/>
      <c r="C1330" s="106"/>
      <c r="F1330" s="99"/>
      <c r="G1330" s="131"/>
      <c r="H1330" s="126"/>
      <c r="J1330" s="106"/>
    </row>
    <row r="1331" spans="1:10" s="96" customFormat="1">
      <c r="A1331" s="106"/>
      <c r="B1331" s="99"/>
      <c r="C1331" s="106"/>
      <c r="F1331" s="99"/>
      <c r="G1331" s="131"/>
      <c r="H1331" s="126"/>
      <c r="J1331" s="106"/>
    </row>
    <row r="1332" spans="1:10" s="96" customFormat="1">
      <c r="A1332" s="106"/>
      <c r="B1332" s="99"/>
      <c r="C1332" s="106"/>
      <c r="F1332" s="99"/>
      <c r="G1332" s="131"/>
      <c r="H1332" s="126"/>
      <c r="J1332" s="106"/>
    </row>
    <row r="1333" spans="1:10" s="96" customFormat="1">
      <c r="A1333" s="106"/>
      <c r="B1333" s="99"/>
      <c r="C1333" s="106"/>
      <c r="F1333" s="99"/>
      <c r="G1333" s="131"/>
      <c r="H1333" s="126"/>
      <c r="J1333" s="106"/>
    </row>
    <row r="1334" spans="1:10" s="96" customFormat="1">
      <c r="A1334" s="106"/>
      <c r="B1334" s="99"/>
      <c r="C1334" s="106"/>
      <c r="F1334" s="99"/>
      <c r="G1334" s="131"/>
      <c r="H1334" s="126"/>
      <c r="J1334" s="106"/>
    </row>
    <row r="1335" spans="1:10" s="96" customFormat="1">
      <c r="A1335" s="106"/>
      <c r="B1335" s="99"/>
      <c r="C1335" s="106"/>
      <c r="F1335" s="99"/>
      <c r="G1335" s="131"/>
      <c r="H1335" s="126"/>
      <c r="J1335" s="106"/>
    </row>
    <row r="1336" spans="1:10" s="96" customFormat="1">
      <c r="A1336" s="106"/>
      <c r="B1336" s="99"/>
      <c r="C1336" s="106"/>
      <c r="F1336" s="99"/>
      <c r="G1336" s="131"/>
      <c r="H1336" s="126"/>
      <c r="J1336" s="106"/>
    </row>
    <row r="1337" spans="1:10" s="96" customFormat="1">
      <c r="A1337" s="106"/>
      <c r="B1337" s="99"/>
      <c r="C1337" s="106"/>
      <c r="F1337" s="99"/>
      <c r="G1337" s="131"/>
      <c r="H1337" s="126"/>
      <c r="J1337" s="106"/>
    </row>
    <row r="1338" spans="1:10" s="96" customFormat="1">
      <c r="A1338" s="106"/>
      <c r="B1338" s="99"/>
      <c r="C1338" s="106"/>
      <c r="F1338" s="99"/>
      <c r="G1338" s="131"/>
      <c r="H1338" s="126"/>
      <c r="J1338" s="106"/>
    </row>
    <row r="1339" spans="1:10" s="96" customFormat="1">
      <c r="A1339" s="106"/>
      <c r="B1339" s="99"/>
      <c r="C1339" s="106"/>
      <c r="F1339" s="99"/>
      <c r="G1339" s="131"/>
      <c r="H1339" s="126"/>
      <c r="J1339" s="106"/>
    </row>
    <row r="1340" spans="1:10" s="96" customFormat="1">
      <c r="A1340" s="106"/>
      <c r="B1340" s="99"/>
      <c r="C1340" s="106"/>
      <c r="F1340" s="99"/>
      <c r="G1340" s="131"/>
      <c r="H1340" s="126"/>
      <c r="J1340" s="106"/>
    </row>
    <row r="1341" spans="1:10" s="96" customFormat="1">
      <c r="A1341" s="106"/>
      <c r="B1341" s="99"/>
      <c r="C1341" s="106"/>
      <c r="F1341" s="99"/>
      <c r="G1341" s="131"/>
      <c r="H1341" s="126"/>
      <c r="J1341" s="106"/>
    </row>
    <row r="1342" spans="1:10" s="96" customFormat="1">
      <c r="A1342" s="106"/>
      <c r="B1342" s="99"/>
      <c r="C1342" s="106"/>
      <c r="F1342" s="99"/>
      <c r="G1342" s="131"/>
      <c r="H1342" s="126"/>
      <c r="J1342" s="106"/>
    </row>
    <row r="1343" spans="1:10" s="96" customFormat="1">
      <c r="A1343" s="106"/>
      <c r="B1343" s="99"/>
      <c r="C1343" s="106"/>
      <c r="F1343" s="99"/>
      <c r="G1343" s="131"/>
      <c r="H1343" s="126"/>
      <c r="J1343" s="106"/>
    </row>
    <row r="1344" spans="1:10" s="96" customFormat="1">
      <c r="A1344" s="106"/>
      <c r="B1344" s="99"/>
      <c r="C1344" s="106"/>
      <c r="F1344" s="99"/>
      <c r="G1344" s="131"/>
      <c r="H1344" s="126"/>
      <c r="J1344" s="106"/>
    </row>
    <row r="1345" spans="1:10" s="96" customFormat="1">
      <c r="A1345" s="106"/>
      <c r="B1345" s="99"/>
      <c r="C1345" s="106"/>
      <c r="F1345" s="99"/>
      <c r="G1345" s="131"/>
      <c r="H1345" s="126"/>
      <c r="J1345" s="106"/>
    </row>
    <row r="1346" spans="1:10" s="96" customFormat="1">
      <c r="A1346" s="106"/>
      <c r="B1346" s="99"/>
      <c r="C1346" s="106"/>
      <c r="F1346" s="99"/>
      <c r="G1346" s="131"/>
      <c r="H1346" s="126"/>
      <c r="J1346" s="106"/>
    </row>
    <row r="1347" spans="1:10" s="96" customFormat="1">
      <c r="A1347" s="106"/>
      <c r="B1347" s="99"/>
      <c r="C1347" s="106"/>
      <c r="F1347" s="99"/>
      <c r="G1347" s="131"/>
      <c r="H1347" s="126"/>
      <c r="J1347" s="106"/>
    </row>
    <row r="1348" spans="1:10" s="96" customFormat="1">
      <c r="A1348" s="106"/>
      <c r="B1348" s="99"/>
      <c r="C1348" s="106"/>
      <c r="F1348" s="99"/>
      <c r="G1348" s="131"/>
      <c r="H1348" s="126"/>
      <c r="J1348" s="106"/>
    </row>
    <row r="1349" spans="1:10" s="96" customFormat="1">
      <c r="A1349" s="106"/>
      <c r="B1349" s="99"/>
      <c r="C1349" s="106"/>
      <c r="F1349" s="99"/>
      <c r="G1349" s="131"/>
      <c r="H1349" s="126"/>
      <c r="J1349" s="106"/>
    </row>
    <row r="1350" spans="1:10" s="96" customFormat="1">
      <c r="A1350" s="106"/>
      <c r="B1350" s="99"/>
      <c r="C1350" s="106"/>
      <c r="F1350" s="99"/>
      <c r="G1350" s="131"/>
      <c r="H1350" s="126"/>
      <c r="J1350" s="106"/>
    </row>
    <row r="1351" spans="1:10" s="96" customFormat="1">
      <c r="A1351" s="106"/>
      <c r="B1351" s="99"/>
      <c r="C1351" s="106"/>
      <c r="F1351" s="99"/>
      <c r="G1351" s="131"/>
      <c r="H1351" s="126"/>
      <c r="J1351" s="106"/>
    </row>
    <row r="1352" spans="1:10" s="96" customFormat="1">
      <c r="A1352" s="106"/>
      <c r="B1352" s="99"/>
      <c r="C1352" s="106"/>
      <c r="F1352" s="99"/>
      <c r="G1352" s="131"/>
      <c r="H1352" s="126"/>
      <c r="J1352" s="106"/>
    </row>
    <row r="1353" spans="1:10" s="96" customFormat="1">
      <c r="A1353" s="106"/>
      <c r="B1353" s="99"/>
      <c r="C1353" s="106"/>
      <c r="F1353" s="99"/>
      <c r="G1353" s="131"/>
      <c r="H1353" s="126"/>
      <c r="J1353" s="106"/>
    </row>
    <row r="1354" spans="1:10" s="96" customFormat="1">
      <c r="A1354" s="106"/>
      <c r="B1354" s="99"/>
      <c r="C1354" s="106"/>
      <c r="F1354" s="99"/>
      <c r="G1354" s="131"/>
      <c r="H1354" s="126"/>
      <c r="J1354" s="106"/>
    </row>
    <row r="1355" spans="1:10" s="96" customFormat="1">
      <c r="A1355" s="106"/>
      <c r="B1355" s="99"/>
      <c r="C1355" s="106"/>
      <c r="F1355" s="99"/>
      <c r="G1355" s="131"/>
      <c r="H1355" s="126"/>
      <c r="J1355" s="106"/>
    </row>
    <row r="1356" spans="1:10" s="96" customFormat="1">
      <c r="A1356" s="106"/>
      <c r="B1356" s="99"/>
      <c r="C1356" s="106"/>
      <c r="F1356" s="99"/>
      <c r="G1356" s="131"/>
      <c r="H1356" s="126"/>
      <c r="J1356" s="106"/>
    </row>
    <row r="1357" spans="1:10" s="96" customFormat="1">
      <c r="A1357" s="106"/>
      <c r="B1357" s="99"/>
      <c r="C1357" s="106"/>
      <c r="F1357" s="99"/>
      <c r="G1357" s="131"/>
      <c r="H1357" s="126"/>
      <c r="J1357" s="106"/>
    </row>
    <row r="1358" spans="1:10" s="96" customFormat="1">
      <c r="A1358" s="106"/>
      <c r="B1358" s="99"/>
      <c r="C1358" s="106"/>
      <c r="F1358" s="99"/>
      <c r="G1358" s="131"/>
      <c r="H1358" s="126"/>
      <c r="J1358" s="106"/>
    </row>
    <row r="1359" spans="1:10" s="96" customFormat="1">
      <c r="A1359" s="106"/>
      <c r="B1359" s="99"/>
      <c r="C1359" s="106"/>
      <c r="F1359" s="99"/>
      <c r="G1359" s="131"/>
      <c r="H1359" s="126"/>
      <c r="J1359" s="106"/>
    </row>
    <row r="1360" spans="1:10" s="96" customFormat="1">
      <c r="A1360" s="106"/>
      <c r="B1360" s="99"/>
      <c r="C1360" s="106"/>
      <c r="F1360" s="99"/>
      <c r="G1360" s="131"/>
      <c r="H1360" s="126"/>
      <c r="J1360" s="106"/>
    </row>
    <row r="1361" spans="1:10" s="96" customFormat="1">
      <c r="A1361" s="106"/>
      <c r="B1361" s="99"/>
      <c r="C1361" s="106"/>
      <c r="F1361" s="99"/>
      <c r="G1361" s="131"/>
      <c r="H1361" s="126"/>
      <c r="J1361" s="106"/>
    </row>
    <row r="1362" spans="1:10" s="96" customFormat="1">
      <c r="A1362" s="106"/>
      <c r="B1362" s="99"/>
      <c r="C1362" s="106"/>
      <c r="F1362" s="99"/>
      <c r="G1362" s="131"/>
      <c r="H1362" s="126"/>
      <c r="J1362" s="106"/>
    </row>
    <row r="1363" spans="1:10" s="96" customFormat="1">
      <c r="A1363" s="106"/>
      <c r="B1363" s="99"/>
      <c r="C1363" s="106"/>
      <c r="F1363" s="99"/>
      <c r="G1363" s="131"/>
      <c r="H1363" s="126"/>
      <c r="J1363" s="106"/>
    </row>
    <row r="1364" spans="1:10" s="96" customFormat="1">
      <c r="A1364" s="106"/>
      <c r="B1364" s="99"/>
      <c r="C1364" s="106"/>
      <c r="F1364" s="99"/>
      <c r="G1364" s="131"/>
      <c r="H1364" s="126"/>
      <c r="J1364" s="106"/>
    </row>
    <row r="1365" spans="1:10" s="96" customFormat="1">
      <c r="A1365" s="106"/>
      <c r="B1365" s="99"/>
      <c r="C1365" s="106"/>
      <c r="F1365" s="99"/>
      <c r="G1365" s="131"/>
      <c r="H1365" s="126"/>
      <c r="J1365" s="106"/>
    </row>
    <row r="1366" spans="1:10" s="96" customFormat="1">
      <c r="A1366" s="106"/>
      <c r="B1366" s="99"/>
      <c r="C1366" s="106"/>
      <c r="F1366" s="99"/>
      <c r="G1366" s="131"/>
      <c r="H1366" s="126"/>
      <c r="J1366" s="106"/>
    </row>
    <row r="1367" spans="1:10" s="96" customFormat="1">
      <c r="A1367" s="106"/>
      <c r="B1367" s="99"/>
      <c r="C1367" s="106"/>
      <c r="F1367" s="99"/>
      <c r="G1367" s="131"/>
      <c r="H1367" s="126"/>
      <c r="J1367" s="106"/>
    </row>
    <row r="1368" spans="1:10" s="96" customFormat="1">
      <c r="A1368" s="106"/>
      <c r="B1368" s="99"/>
      <c r="C1368" s="106"/>
      <c r="F1368" s="99"/>
      <c r="G1368" s="131"/>
      <c r="H1368" s="126"/>
      <c r="J1368" s="106"/>
    </row>
    <row r="1369" spans="1:10" s="96" customFormat="1">
      <c r="A1369" s="106"/>
      <c r="B1369" s="99"/>
      <c r="C1369" s="106"/>
      <c r="F1369" s="99"/>
      <c r="G1369" s="131"/>
      <c r="H1369" s="126"/>
      <c r="J1369" s="106"/>
    </row>
    <row r="1370" spans="1:10" s="96" customFormat="1">
      <c r="A1370" s="106"/>
      <c r="B1370" s="99"/>
      <c r="C1370" s="106"/>
      <c r="F1370" s="99"/>
      <c r="G1370" s="131"/>
      <c r="H1370" s="126"/>
      <c r="J1370" s="106"/>
    </row>
    <row r="1371" spans="1:10" s="96" customFormat="1">
      <c r="A1371" s="106"/>
      <c r="B1371" s="99"/>
      <c r="C1371" s="106"/>
      <c r="F1371" s="99"/>
      <c r="G1371" s="131"/>
      <c r="H1371" s="126"/>
      <c r="J1371" s="106"/>
    </row>
    <row r="1372" spans="1:10" s="96" customFormat="1">
      <c r="A1372" s="106"/>
      <c r="B1372" s="99"/>
      <c r="C1372" s="106"/>
      <c r="F1372" s="99"/>
      <c r="G1372" s="131"/>
      <c r="H1372" s="126"/>
      <c r="J1372" s="106"/>
    </row>
    <row r="1373" spans="1:10" s="96" customFormat="1">
      <c r="A1373" s="106"/>
      <c r="B1373" s="99"/>
      <c r="C1373" s="106"/>
      <c r="F1373" s="99"/>
      <c r="G1373" s="131"/>
      <c r="H1373" s="126"/>
      <c r="J1373" s="106"/>
    </row>
    <row r="1374" spans="1:10" s="96" customFormat="1">
      <c r="A1374" s="106"/>
      <c r="B1374" s="99"/>
      <c r="C1374" s="106"/>
      <c r="F1374" s="99"/>
      <c r="G1374" s="131"/>
      <c r="H1374" s="126"/>
      <c r="J1374" s="106"/>
    </row>
    <row r="1375" spans="1:10" s="96" customFormat="1">
      <c r="A1375" s="106"/>
      <c r="B1375" s="99"/>
      <c r="C1375" s="106"/>
      <c r="F1375" s="99"/>
      <c r="G1375" s="131"/>
      <c r="H1375" s="126"/>
      <c r="J1375" s="106"/>
    </row>
    <row r="1376" spans="1:10" s="96" customFormat="1">
      <c r="A1376" s="106"/>
      <c r="B1376" s="99"/>
      <c r="C1376" s="106"/>
      <c r="F1376" s="99"/>
      <c r="G1376" s="131"/>
      <c r="H1376" s="126"/>
      <c r="J1376" s="106"/>
    </row>
    <row r="1377" spans="1:10" s="96" customFormat="1">
      <c r="A1377" s="106"/>
      <c r="B1377" s="99"/>
      <c r="C1377" s="106"/>
      <c r="F1377" s="99"/>
      <c r="G1377" s="131"/>
      <c r="H1377" s="126"/>
      <c r="J1377" s="106"/>
    </row>
    <row r="1378" spans="1:10" s="96" customFormat="1">
      <c r="A1378" s="106"/>
      <c r="B1378" s="99"/>
      <c r="C1378" s="106"/>
      <c r="F1378" s="99"/>
      <c r="G1378" s="131"/>
      <c r="H1378" s="126"/>
      <c r="J1378" s="106"/>
    </row>
    <row r="1379" spans="1:10" s="96" customFormat="1">
      <c r="A1379" s="106"/>
      <c r="B1379" s="99"/>
      <c r="C1379" s="106"/>
      <c r="F1379" s="99"/>
      <c r="G1379" s="131"/>
      <c r="H1379" s="126"/>
      <c r="J1379" s="106"/>
    </row>
    <row r="1380" spans="1:10" s="96" customFormat="1">
      <c r="A1380" s="106"/>
      <c r="B1380" s="99"/>
      <c r="C1380" s="106"/>
      <c r="F1380" s="99"/>
      <c r="G1380" s="131"/>
      <c r="H1380" s="126"/>
      <c r="J1380" s="106"/>
    </row>
    <row r="1381" spans="1:10" s="96" customFormat="1">
      <c r="A1381" s="106"/>
      <c r="B1381" s="99"/>
      <c r="C1381" s="106"/>
      <c r="F1381" s="99"/>
      <c r="G1381" s="131"/>
      <c r="H1381" s="126"/>
      <c r="J1381" s="106"/>
    </row>
    <row r="1382" spans="1:10" s="96" customFormat="1">
      <c r="A1382" s="106"/>
      <c r="B1382" s="99"/>
      <c r="C1382" s="106"/>
      <c r="F1382" s="99"/>
      <c r="G1382" s="131"/>
      <c r="H1382" s="126"/>
      <c r="J1382" s="106"/>
    </row>
    <row r="1383" spans="1:10" s="96" customFormat="1">
      <c r="A1383" s="106"/>
      <c r="B1383" s="99"/>
      <c r="C1383" s="106"/>
      <c r="F1383" s="99"/>
      <c r="G1383" s="131"/>
      <c r="H1383" s="126"/>
      <c r="J1383" s="106"/>
    </row>
    <row r="1384" spans="1:10" s="96" customFormat="1">
      <c r="A1384" s="106"/>
      <c r="B1384" s="99"/>
      <c r="C1384" s="106"/>
      <c r="F1384" s="99"/>
      <c r="G1384" s="131"/>
      <c r="H1384" s="126"/>
      <c r="J1384" s="106"/>
    </row>
    <row r="1385" spans="1:10" s="96" customFormat="1">
      <c r="A1385" s="106"/>
      <c r="B1385" s="99"/>
      <c r="C1385" s="106"/>
      <c r="F1385" s="99"/>
      <c r="G1385" s="131"/>
      <c r="H1385" s="126"/>
      <c r="J1385" s="106"/>
    </row>
    <row r="1386" spans="1:10" s="96" customFormat="1">
      <c r="A1386" s="106"/>
      <c r="B1386" s="99"/>
      <c r="C1386" s="106"/>
      <c r="F1386" s="99"/>
      <c r="G1386" s="131"/>
      <c r="H1386" s="126"/>
      <c r="J1386" s="106"/>
    </row>
    <row r="1387" spans="1:10" s="96" customFormat="1">
      <c r="A1387" s="106"/>
      <c r="B1387" s="99"/>
      <c r="C1387" s="106"/>
      <c r="F1387" s="99"/>
      <c r="G1387" s="131"/>
      <c r="H1387" s="126"/>
      <c r="J1387" s="106"/>
    </row>
    <row r="1388" spans="1:10" s="96" customFormat="1">
      <c r="A1388" s="106"/>
      <c r="B1388" s="99"/>
      <c r="C1388" s="106"/>
      <c r="F1388" s="99"/>
      <c r="G1388" s="131"/>
      <c r="H1388" s="126"/>
      <c r="J1388" s="106"/>
    </row>
    <row r="1389" spans="1:10" s="96" customFormat="1">
      <c r="A1389" s="106"/>
      <c r="B1389" s="99"/>
      <c r="C1389" s="106"/>
      <c r="F1389" s="99"/>
      <c r="G1389" s="131"/>
      <c r="H1389" s="126"/>
      <c r="J1389" s="106"/>
    </row>
    <row r="1390" spans="1:10" s="96" customFormat="1">
      <c r="A1390" s="106"/>
      <c r="B1390" s="99"/>
      <c r="C1390" s="106"/>
      <c r="F1390" s="99"/>
      <c r="G1390" s="131"/>
      <c r="H1390" s="126"/>
      <c r="J1390" s="106"/>
    </row>
    <row r="1391" spans="1:10" s="96" customFormat="1">
      <c r="A1391" s="106"/>
      <c r="B1391" s="99"/>
      <c r="C1391" s="106"/>
      <c r="F1391" s="99"/>
      <c r="G1391" s="131"/>
      <c r="H1391" s="126"/>
      <c r="J1391" s="106"/>
    </row>
    <row r="1392" spans="1:10" s="96" customFormat="1">
      <c r="A1392" s="106"/>
      <c r="B1392" s="99"/>
      <c r="C1392" s="106"/>
      <c r="F1392" s="99"/>
      <c r="G1392" s="131"/>
      <c r="H1392" s="126"/>
      <c r="J1392" s="106"/>
    </row>
    <row r="1393" spans="1:10" s="96" customFormat="1">
      <c r="A1393" s="106"/>
      <c r="B1393" s="99"/>
      <c r="C1393" s="106"/>
      <c r="F1393" s="99"/>
      <c r="G1393" s="131"/>
      <c r="H1393" s="126"/>
      <c r="J1393" s="106"/>
    </row>
    <row r="1394" spans="1:10" s="96" customFormat="1">
      <c r="A1394" s="106"/>
      <c r="B1394" s="99"/>
      <c r="C1394" s="106"/>
      <c r="F1394" s="99"/>
      <c r="G1394" s="131"/>
      <c r="H1394" s="126"/>
      <c r="J1394" s="106"/>
    </row>
    <row r="1395" spans="1:10" s="96" customFormat="1">
      <c r="A1395" s="106"/>
      <c r="B1395" s="99"/>
      <c r="C1395" s="106"/>
      <c r="F1395" s="99"/>
      <c r="G1395" s="131"/>
      <c r="H1395" s="126"/>
      <c r="J1395" s="106"/>
    </row>
    <row r="1396" spans="1:10" s="96" customFormat="1">
      <c r="A1396" s="106"/>
      <c r="B1396" s="99"/>
      <c r="C1396" s="106"/>
      <c r="F1396" s="99"/>
      <c r="G1396" s="131"/>
      <c r="H1396" s="126"/>
      <c r="J1396" s="106"/>
    </row>
    <row r="1397" spans="1:10" s="96" customFormat="1">
      <c r="A1397" s="106"/>
      <c r="B1397" s="99"/>
      <c r="C1397" s="106"/>
      <c r="F1397" s="99"/>
      <c r="G1397" s="131"/>
      <c r="H1397" s="126"/>
      <c r="J1397" s="106"/>
    </row>
    <row r="1398" spans="1:10" s="96" customFormat="1">
      <c r="A1398" s="106"/>
      <c r="B1398" s="99"/>
      <c r="C1398" s="106"/>
      <c r="F1398" s="99"/>
      <c r="G1398" s="131"/>
      <c r="H1398" s="126"/>
      <c r="J1398" s="106"/>
    </row>
    <row r="1399" spans="1:10" s="96" customFormat="1">
      <c r="A1399" s="106"/>
      <c r="B1399" s="99"/>
      <c r="C1399" s="106"/>
      <c r="F1399" s="99"/>
      <c r="G1399" s="131"/>
      <c r="H1399" s="126"/>
      <c r="J1399" s="106"/>
    </row>
    <row r="1400" spans="1:10" s="96" customFormat="1">
      <c r="A1400" s="106"/>
      <c r="B1400" s="99"/>
      <c r="C1400" s="106"/>
      <c r="F1400" s="99"/>
      <c r="G1400" s="131"/>
      <c r="H1400" s="126"/>
      <c r="J1400" s="106"/>
    </row>
    <row r="1401" spans="1:10" s="96" customFormat="1">
      <c r="A1401" s="106"/>
      <c r="B1401" s="99"/>
      <c r="C1401" s="106"/>
      <c r="F1401" s="99"/>
      <c r="G1401" s="131"/>
      <c r="H1401" s="126"/>
      <c r="J1401" s="106"/>
    </row>
    <row r="1402" spans="1:10" s="96" customFormat="1">
      <c r="A1402" s="106"/>
      <c r="B1402" s="99"/>
      <c r="C1402" s="106"/>
      <c r="F1402" s="99"/>
      <c r="G1402" s="131"/>
      <c r="H1402" s="126"/>
      <c r="J1402" s="106"/>
    </row>
    <row r="1403" spans="1:10" s="96" customFormat="1">
      <c r="A1403" s="106"/>
      <c r="B1403" s="99"/>
      <c r="C1403" s="106"/>
      <c r="F1403" s="99"/>
      <c r="G1403" s="131"/>
      <c r="H1403" s="126"/>
      <c r="J1403" s="106"/>
    </row>
    <row r="1404" spans="1:10" s="96" customFormat="1">
      <c r="A1404" s="106"/>
      <c r="B1404" s="99"/>
      <c r="C1404" s="106"/>
      <c r="F1404" s="99"/>
      <c r="G1404" s="131"/>
      <c r="H1404" s="126"/>
      <c r="J1404" s="106"/>
    </row>
    <row r="1405" spans="1:10" s="96" customFormat="1">
      <c r="A1405" s="106"/>
      <c r="B1405" s="99"/>
      <c r="C1405" s="106"/>
      <c r="F1405" s="99"/>
      <c r="G1405" s="131"/>
      <c r="H1405" s="126"/>
      <c r="J1405" s="106"/>
    </row>
    <row r="1406" spans="1:10" s="96" customFormat="1">
      <c r="A1406" s="106"/>
      <c r="B1406" s="99"/>
      <c r="C1406" s="106"/>
      <c r="F1406" s="99"/>
      <c r="G1406" s="131"/>
      <c r="H1406" s="126"/>
      <c r="J1406" s="106"/>
    </row>
    <row r="1407" spans="1:10" s="96" customFormat="1">
      <c r="A1407" s="106"/>
      <c r="B1407" s="99"/>
      <c r="C1407" s="106"/>
      <c r="F1407" s="99"/>
      <c r="G1407" s="131"/>
      <c r="H1407" s="126"/>
      <c r="J1407" s="106"/>
    </row>
    <row r="1408" spans="1:10" s="96" customFormat="1">
      <c r="A1408" s="106"/>
      <c r="B1408" s="99"/>
      <c r="C1408" s="106"/>
      <c r="F1408" s="99"/>
      <c r="G1408" s="131"/>
      <c r="H1408" s="126"/>
      <c r="J1408" s="106"/>
    </row>
    <row r="1409" spans="1:10" s="96" customFormat="1">
      <c r="A1409" s="106"/>
      <c r="B1409" s="99"/>
      <c r="C1409" s="106"/>
      <c r="F1409" s="99"/>
      <c r="G1409" s="131"/>
      <c r="H1409" s="126"/>
      <c r="J1409" s="106"/>
    </row>
    <row r="1410" spans="1:10" s="96" customFormat="1">
      <c r="A1410" s="106"/>
      <c r="B1410" s="99"/>
      <c r="C1410" s="106"/>
      <c r="F1410" s="99"/>
      <c r="G1410" s="131"/>
      <c r="H1410" s="126"/>
      <c r="J1410" s="106"/>
    </row>
    <row r="1411" spans="1:10" s="96" customFormat="1">
      <c r="A1411" s="106"/>
      <c r="B1411" s="99"/>
      <c r="C1411" s="106"/>
      <c r="F1411" s="99"/>
      <c r="G1411" s="131"/>
      <c r="H1411" s="126"/>
      <c r="J1411" s="106"/>
    </row>
    <row r="1412" spans="1:10" s="96" customFormat="1">
      <c r="A1412" s="106"/>
      <c r="B1412" s="99"/>
      <c r="C1412" s="106"/>
      <c r="F1412" s="99"/>
      <c r="G1412" s="131"/>
      <c r="H1412" s="126"/>
      <c r="J1412" s="106"/>
    </row>
    <row r="1413" spans="1:10" s="96" customFormat="1">
      <c r="A1413" s="106"/>
      <c r="B1413" s="99"/>
      <c r="C1413" s="106"/>
      <c r="F1413" s="99"/>
      <c r="G1413" s="131"/>
      <c r="H1413" s="126"/>
      <c r="J1413" s="106"/>
    </row>
    <row r="1414" spans="1:10" s="96" customFormat="1">
      <c r="A1414" s="106"/>
      <c r="B1414" s="99"/>
      <c r="C1414" s="106"/>
      <c r="F1414" s="99"/>
      <c r="G1414" s="131"/>
      <c r="H1414" s="126"/>
      <c r="J1414" s="106"/>
    </row>
    <row r="1415" spans="1:10" s="96" customFormat="1">
      <c r="A1415" s="106"/>
      <c r="B1415" s="99"/>
      <c r="C1415" s="106"/>
      <c r="F1415" s="99"/>
      <c r="G1415" s="131"/>
      <c r="H1415" s="126"/>
      <c r="J1415" s="106"/>
    </row>
    <row r="1416" spans="1:10" s="96" customFormat="1">
      <c r="A1416" s="106"/>
      <c r="B1416" s="99"/>
      <c r="C1416" s="106"/>
      <c r="F1416" s="99"/>
      <c r="G1416" s="131"/>
      <c r="H1416" s="126"/>
      <c r="J1416" s="106"/>
    </row>
    <row r="1417" spans="1:10" s="96" customFormat="1">
      <c r="A1417" s="106"/>
      <c r="B1417" s="99"/>
      <c r="C1417" s="106"/>
      <c r="F1417" s="99"/>
      <c r="G1417" s="131"/>
      <c r="H1417" s="126"/>
      <c r="J1417" s="106"/>
    </row>
    <row r="1418" spans="1:10" s="96" customFormat="1">
      <c r="A1418" s="106"/>
      <c r="B1418" s="99"/>
      <c r="C1418" s="106"/>
      <c r="F1418" s="99"/>
      <c r="G1418" s="131"/>
      <c r="H1418" s="126"/>
      <c r="J1418" s="106"/>
    </row>
    <row r="1419" spans="1:10" s="96" customFormat="1">
      <c r="A1419" s="106"/>
      <c r="B1419" s="99"/>
      <c r="C1419" s="106"/>
      <c r="F1419" s="99"/>
      <c r="G1419" s="131"/>
      <c r="H1419" s="126"/>
      <c r="J1419" s="106"/>
    </row>
    <row r="1420" spans="1:10" s="96" customFormat="1">
      <c r="A1420" s="106"/>
      <c r="B1420" s="99"/>
      <c r="C1420" s="106"/>
      <c r="F1420" s="99"/>
      <c r="G1420" s="131"/>
      <c r="H1420" s="126"/>
      <c r="J1420" s="106"/>
    </row>
    <row r="1421" spans="1:10" s="96" customFormat="1">
      <c r="A1421" s="106"/>
      <c r="B1421" s="99"/>
      <c r="C1421" s="106"/>
      <c r="F1421" s="99"/>
      <c r="G1421" s="131"/>
      <c r="H1421" s="126"/>
      <c r="J1421" s="106"/>
    </row>
    <row r="1422" spans="1:10" s="96" customFormat="1">
      <c r="A1422" s="106"/>
      <c r="B1422" s="99"/>
      <c r="C1422" s="106"/>
      <c r="F1422" s="99"/>
      <c r="G1422" s="131"/>
      <c r="H1422" s="126"/>
      <c r="J1422" s="106"/>
    </row>
    <row r="1423" spans="1:10" s="96" customFormat="1">
      <c r="A1423" s="106"/>
      <c r="B1423" s="99"/>
      <c r="C1423" s="106"/>
      <c r="F1423" s="99"/>
      <c r="G1423" s="131"/>
      <c r="H1423" s="126"/>
      <c r="J1423" s="106"/>
    </row>
    <row r="1424" spans="1:10" s="96" customFormat="1">
      <c r="A1424" s="106"/>
      <c r="B1424" s="99"/>
      <c r="C1424" s="106"/>
      <c r="F1424" s="99"/>
      <c r="G1424" s="131"/>
      <c r="H1424" s="126"/>
      <c r="J1424" s="106"/>
    </row>
    <row r="1425" spans="1:10" s="96" customFormat="1">
      <c r="A1425" s="106"/>
      <c r="B1425" s="99"/>
      <c r="C1425" s="106"/>
      <c r="F1425" s="99"/>
      <c r="G1425" s="131"/>
      <c r="H1425" s="126"/>
      <c r="J1425" s="106"/>
    </row>
    <row r="1426" spans="1:10" s="96" customFormat="1">
      <c r="A1426" s="106"/>
      <c r="B1426" s="99"/>
      <c r="C1426" s="106"/>
      <c r="F1426" s="99"/>
      <c r="G1426" s="131"/>
      <c r="H1426" s="126"/>
      <c r="J1426" s="106"/>
    </row>
    <row r="1427" spans="1:10" s="96" customFormat="1">
      <c r="A1427" s="106"/>
      <c r="B1427" s="99"/>
      <c r="C1427" s="106"/>
      <c r="F1427" s="99"/>
      <c r="G1427" s="131"/>
      <c r="H1427" s="126"/>
      <c r="J1427" s="106"/>
    </row>
    <row r="1428" spans="1:10" s="96" customFormat="1">
      <c r="A1428" s="106"/>
      <c r="B1428" s="99"/>
      <c r="C1428" s="106"/>
      <c r="F1428" s="99"/>
      <c r="G1428" s="131"/>
      <c r="H1428" s="126"/>
      <c r="J1428" s="106"/>
    </row>
    <row r="1429" spans="1:10" s="96" customFormat="1">
      <c r="A1429" s="106"/>
      <c r="B1429" s="99"/>
      <c r="C1429" s="106"/>
      <c r="F1429" s="99"/>
      <c r="G1429" s="131"/>
      <c r="H1429" s="126"/>
      <c r="J1429" s="106"/>
    </row>
    <row r="1430" spans="1:10" s="96" customFormat="1">
      <c r="A1430" s="106"/>
      <c r="B1430" s="99"/>
      <c r="C1430" s="106"/>
      <c r="F1430" s="99"/>
      <c r="G1430" s="131"/>
      <c r="H1430" s="126"/>
      <c r="J1430" s="106"/>
    </row>
    <row r="1431" spans="1:10" s="96" customFormat="1">
      <c r="A1431" s="106"/>
      <c r="B1431" s="99"/>
      <c r="C1431" s="106"/>
      <c r="F1431" s="99"/>
      <c r="G1431" s="131"/>
      <c r="H1431" s="126"/>
      <c r="J1431" s="106"/>
    </row>
    <row r="1432" spans="1:10" s="96" customFormat="1">
      <c r="A1432" s="106"/>
      <c r="B1432" s="99"/>
      <c r="C1432" s="106"/>
      <c r="F1432" s="99"/>
      <c r="G1432" s="131"/>
      <c r="H1432" s="126"/>
      <c r="J1432" s="106"/>
    </row>
    <row r="1433" spans="1:10" s="96" customFormat="1">
      <c r="A1433" s="106"/>
      <c r="B1433" s="99"/>
      <c r="C1433" s="106"/>
      <c r="F1433" s="99"/>
      <c r="G1433" s="131"/>
      <c r="H1433" s="126"/>
      <c r="J1433" s="106"/>
    </row>
    <row r="1434" spans="1:10" s="96" customFormat="1">
      <c r="A1434" s="106"/>
      <c r="B1434" s="99"/>
      <c r="C1434" s="106"/>
      <c r="F1434" s="99"/>
      <c r="G1434" s="131"/>
      <c r="H1434" s="126"/>
      <c r="J1434" s="106"/>
    </row>
    <row r="1435" spans="1:10" s="96" customFormat="1">
      <c r="A1435" s="106"/>
      <c r="B1435" s="99"/>
      <c r="C1435" s="106"/>
      <c r="F1435" s="99"/>
      <c r="G1435" s="131"/>
      <c r="H1435" s="126"/>
      <c r="J1435" s="106"/>
    </row>
    <row r="1436" spans="1:10" s="96" customFormat="1">
      <c r="A1436" s="106"/>
      <c r="B1436" s="99"/>
      <c r="C1436" s="106"/>
      <c r="F1436" s="99"/>
      <c r="G1436" s="131"/>
      <c r="H1436" s="126"/>
      <c r="J1436" s="106"/>
    </row>
    <row r="1437" spans="1:10" s="96" customFormat="1">
      <c r="A1437" s="106"/>
      <c r="B1437" s="99"/>
      <c r="C1437" s="106"/>
      <c r="F1437" s="99"/>
      <c r="G1437" s="131"/>
      <c r="H1437" s="126"/>
      <c r="J1437" s="106"/>
    </row>
    <row r="1438" spans="1:10" s="96" customFormat="1">
      <c r="A1438" s="106"/>
      <c r="B1438" s="99"/>
      <c r="C1438" s="106"/>
      <c r="F1438" s="99"/>
      <c r="G1438" s="131"/>
      <c r="H1438" s="126"/>
      <c r="J1438" s="106"/>
    </row>
    <row r="1439" spans="1:10" s="96" customFormat="1">
      <c r="A1439" s="106"/>
      <c r="B1439" s="99"/>
      <c r="C1439" s="106"/>
      <c r="F1439" s="99"/>
      <c r="G1439" s="131"/>
      <c r="H1439" s="126"/>
      <c r="J1439" s="106"/>
    </row>
    <row r="1440" spans="1:10" s="96" customFormat="1">
      <c r="A1440" s="106"/>
      <c r="B1440" s="99"/>
      <c r="C1440" s="106"/>
      <c r="F1440" s="99"/>
      <c r="G1440" s="131"/>
      <c r="H1440" s="126"/>
      <c r="J1440" s="106"/>
    </row>
    <row r="1441" spans="1:10" s="96" customFormat="1">
      <c r="A1441" s="106"/>
      <c r="B1441" s="99"/>
      <c r="C1441" s="106"/>
      <c r="F1441" s="99"/>
      <c r="G1441" s="131"/>
      <c r="H1441" s="126"/>
      <c r="J1441" s="106"/>
    </row>
    <row r="1442" spans="1:10" s="96" customFormat="1">
      <c r="A1442" s="106"/>
      <c r="B1442" s="99"/>
      <c r="C1442" s="106"/>
      <c r="F1442" s="99"/>
      <c r="G1442" s="131"/>
      <c r="H1442" s="126"/>
      <c r="J1442" s="106"/>
    </row>
    <row r="1443" spans="1:10" s="96" customFormat="1">
      <c r="A1443" s="106"/>
      <c r="B1443" s="99"/>
      <c r="C1443" s="106"/>
      <c r="F1443" s="99"/>
      <c r="G1443" s="131"/>
      <c r="H1443" s="126"/>
      <c r="J1443" s="106"/>
    </row>
    <row r="1444" spans="1:10" s="96" customFormat="1">
      <c r="A1444" s="106"/>
      <c r="B1444" s="99"/>
      <c r="C1444" s="106"/>
      <c r="F1444" s="99"/>
      <c r="G1444" s="131"/>
      <c r="H1444" s="126"/>
      <c r="J1444" s="106"/>
    </row>
    <row r="1445" spans="1:10" s="96" customFormat="1">
      <c r="A1445" s="106"/>
      <c r="B1445" s="99"/>
      <c r="C1445" s="106"/>
      <c r="F1445" s="99"/>
      <c r="G1445" s="131"/>
      <c r="H1445" s="126"/>
      <c r="J1445" s="106"/>
    </row>
    <row r="1446" spans="1:10" s="96" customFormat="1">
      <c r="A1446" s="106"/>
      <c r="B1446" s="99"/>
      <c r="C1446" s="106"/>
      <c r="F1446" s="99"/>
      <c r="G1446" s="131"/>
      <c r="H1446" s="126"/>
      <c r="J1446" s="106"/>
    </row>
    <row r="1447" spans="1:10" s="96" customFormat="1">
      <c r="A1447" s="106"/>
      <c r="B1447" s="99"/>
      <c r="C1447" s="106"/>
      <c r="F1447" s="99"/>
      <c r="G1447" s="131"/>
      <c r="H1447" s="126"/>
      <c r="J1447" s="106"/>
    </row>
    <row r="1448" spans="1:10" s="96" customFormat="1">
      <c r="A1448" s="106"/>
      <c r="B1448" s="99"/>
      <c r="C1448" s="106"/>
      <c r="F1448" s="99"/>
      <c r="G1448" s="131"/>
      <c r="H1448" s="126"/>
      <c r="J1448" s="106"/>
    </row>
    <row r="1449" spans="1:10" s="96" customFormat="1">
      <c r="A1449" s="106"/>
      <c r="B1449" s="99"/>
      <c r="C1449" s="106"/>
      <c r="F1449" s="99"/>
      <c r="G1449" s="131"/>
      <c r="H1449" s="126"/>
      <c r="J1449" s="106"/>
    </row>
    <row r="1450" spans="1:10" s="96" customFormat="1">
      <c r="A1450" s="106"/>
      <c r="B1450" s="99"/>
      <c r="C1450" s="106"/>
      <c r="F1450" s="99"/>
      <c r="G1450" s="131"/>
      <c r="H1450" s="126"/>
      <c r="J1450" s="106"/>
    </row>
    <row r="1451" spans="1:10" s="96" customFormat="1">
      <c r="A1451" s="106"/>
      <c r="B1451" s="99"/>
      <c r="C1451" s="106"/>
      <c r="F1451" s="99"/>
      <c r="G1451" s="131"/>
      <c r="H1451" s="126"/>
      <c r="J1451" s="106"/>
    </row>
    <row r="1452" spans="1:10" s="96" customFormat="1">
      <c r="A1452" s="106"/>
      <c r="B1452" s="99"/>
      <c r="C1452" s="106"/>
      <c r="F1452" s="99"/>
      <c r="G1452" s="131"/>
      <c r="H1452" s="126"/>
      <c r="J1452" s="106"/>
    </row>
    <row r="1453" spans="1:10" s="96" customFormat="1">
      <c r="A1453" s="106"/>
      <c r="B1453" s="99"/>
      <c r="C1453" s="106"/>
      <c r="F1453" s="99"/>
      <c r="G1453" s="131"/>
      <c r="H1453" s="126"/>
      <c r="J1453" s="106"/>
    </row>
    <row r="1454" spans="1:10" s="96" customFormat="1">
      <c r="A1454" s="106"/>
      <c r="B1454" s="99"/>
      <c r="C1454" s="106"/>
      <c r="F1454" s="99"/>
      <c r="G1454" s="131"/>
      <c r="H1454" s="126"/>
      <c r="J1454" s="106"/>
    </row>
    <row r="1455" spans="1:10" s="96" customFormat="1">
      <c r="A1455" s="106"/>
      <c r="B1455" s="99"/>
      <c r="C1455" s="106"/>
      <c r="F1455" s="99"/>
      <c r="G1455" s="131"/>
      <c r="H1455" s="126"/>
      <c r="J1455" s="106"/>
    </row>
    <row r="1456" spans="1:10" s="96" customFormat="1">
      <c r="A1456" s="106"/>
      <c r="B1456" s="99"/>
      <c r="C1456" s="106"/>
      <c r="F1456" s="99"/>
      <c r="G1456" s="131"/>
      <c r="H1456" s="126"/>
      <c r="J1456" s="106"/>
    </row>
    <row r="1457" spans="1:10" s="96" customFormat="1">
      <c r="A1457" s="106"/>
      <c r="B1457" s="99"/>
      <c r="C1457" s="106"/>
      <c r="F1457" s="99"/>
      <c r="G1457" s="131"/>
      <c r="H1457" s="126"/>
      <c r="J1457" s="106"/>
    </row>
    <row r="1458" spans="1:10" s="96" customFormat="1">
      <c r="A1458" s="106"/>
      <c r="B1458" s="99"/>
      <c r="C1458" s="106"/>
      <c r="F1458" s="99"/>
      <c r="G1458" s="131"/>
      <c r="H1458" s="126"/>
      <c r="J1458" s="106"/>
    </row>
    <row r="1459" spans="1:10" s="96" customFormat="1">
      <c r="A1459" s="106"/>
      <c r="B1459" s="99"/>
      <c r="C1459" s="106"/>
      <c r="F1459" s="99"/>
      <c r="G1459" s="131"/>
      <c r="H1459" s="126"/>
      <c r="J1459" s="106"/>
    </row>
    <row r="1460" spans="1:10" s="96" customFormat="1">
      <c r="A1460" s="106"/>
      <c r="B1460" s="99"/>
      <c r="C1460" s="106"/>
      <c r="F1460" s="99"/>
      <c r="G1460" s="131"/>
      <c r="H1460" s="126"/>
      <c r="J1460" s="106"/>
    </row>
    <row r="1461" spans="1:10" s="96" customFormat="1">
      <c r="A1461" s="106"/>
      <c r="B1461" s="99"/>
      <c r="C1461" s="106"/>
      <c r="F1461" s="99"/>
      <c r="G1461" s="131"/>
      <c r="H1461" s="126"/>
      <c r="J1461" s="106"/>
    </row>
    <row r="1462" spans="1:10" s="96" customFormat="1">
      <c r="A1462" s="106"/>
      <c r="B1462" s="99"/>
      <c r="C1462" s="106"/>
      <c r="F1462" s="99"/>
      <c r="G1462" s="131"/>
      <c r="H1462" s="126"/>
      <c r="J1462" s="106"/>
    </row>
    <row r="1463" spans="1:10" s="96" customFormat="1">
      <c r="A1463" s="106"/>
      <c r="B1463" s="99"/>
      <c r="C1463" s="106"/>
      <c r="F1463" s="99"/>
      <c r="G1463" s="131"/>
      <c r="H1463" s="126"/>
      <c r="J1463" s="106"/>
    </row>
    <row r="1464" spans="1:10" s="96" customFormat="1">
      <c r="A1464" s="106"/>
      <c r="B1464" s="99"/>
      <c r="C1464" s="106"/>
      <c r="F1464" s="99"/>
      <c r="G1464" s="131"/>
      <c r="H1464" s="126"/>
      <c r="J1464" s="106"/>
    </row>
    <row r="1465" spans="1:10" s="96" customFormat="1">
      <c r="A1465" s="106"/>
      <c r="B1465" s="99"/>
      <c r="C1465" s="106"/>
      <c r="F1465" s="99"/>
      <c r="G1465" s="131"/>
      <c r="H1465" s="126"/>
      <c r="J1465" s="106"/>
    </row>
    <row r="1466" spans="1:10" s="96" customFormat="1">
      <c r="A1466" s="106"/>
      <c r="B1466" s="99"/>
      <c r="C1466" s="106"/>
      <c r="F1466" s="99"/>
      <c r="G1466" s="131"/>
      <c r="H1466" s="126"/>
      <c r="J1466" s="106"/>
    </row>
    <row r="1467" spans="1:10" s="96" customFormat="1">
      <c r="A1467" s="106"/>
      <c r="B1467" s="99"/>
      <c r="C1467" s="106"/>
      <c r="F1467" s="99"/>
      <c r="G1467" s="131"/>
      <c r="H1467" s="126"/>
      <c r="J1467" s="106"/>
    </row>
    <row r="1468" spans="1:10" s="96" customFormat="1">
      <c r="A1468" s="106"/>
      <c r="B1468" s="99"/>
      <c r="C1468" s="106"/>
      <c r="F1468" s="99"/>
      <c r="G1468" s="131"/>
      <c r="H1468" s="126"/>
      <c r="J1468" s="106"/>
    </row>
    <row r="1469" spans="1:10" s="96" customFormat="1">
      <c r="A1469" s="106"/>
      <c r="B1469" s="99"/>
      <c r="C1469" s="106"/>
      <c r="F1469" s="99"/>
      <c r="G1469" s="131"/>
      <c r="H1469" s="126"/>
      <c r="J1469" s="106"/>
    </row>
    <row r="1470" spans="1:10" s="96" customFormat="1">
      <c r="A1470" s="106"/>
      <c r="B1470" s="99"/>
      <c r="C1470" s="106"/>
      <c r="F1470" s="99"/>
      <c r="G1470" s="131"/>
      <c r="H1470" s="126"/>
      <c r="J1470" s="106"/>
    </row>
    <row r="1471" spans="1:10" s="96" customFormat="1">
      <c r="A1471" s="106"/>
      <c r="B1471" s="99"/>
      <c r="C1471" s="106"/>
      <c r="F1471" s="99"/>
      <c r="G1471" s="131"/>
      <c r="H1471" s="126"/>
      <c r="J1471" s="106"/>
    </row>
    <row r="1472" spans="1:10" s="96" customFormat="1">
      <c r="A1472" s="106"/>
      <c r="B1472" s="99"/>
      <c r="C1472" s="106"/>
      <c r="F1472" s="99"/>
      <c r="G1472" s="131"/>
      <c r="H1472" s="126"/>
      <c r="J1472" s="106"/>
    </row>
    <row r="1473" spans="1:10" s="96" customFormat="1">
      <c r="A1473" s="106"/>
      <c r="B1473" s="99"/>
      <c r="C1473" s="106"/>
      <c r="F1473" s="99"/>
      <c r="G1473" s="131"/>
      <c r="H1473" s="126"/>
      <c r="J1473" s="106"/>
    </row>
    <row r="1474" spans="1:10" s="96" customFormat="1">
      <c r="A1474" s="106"/>
      <c r="B1474" s="99"/>
      <c r="C1474" s="106"/>
      <c r="F1474" s="99"/>
      <c r="G1474" s="131"/>
      <c r="H1474" s="126"/>
      <c r="J1474" s="106"/>
    </row>
    <row r="1475" spans="1:10" s="96" customFormat="1">
      <c r="A1475" s="106"/>
      <c r="B1475" s="99"/>
      <c r="C1475" s="106"/>
      <c r="F1475" s="99"/>
      <c r="G1475" s="131"/>
      <c r="H1475" s="126"/>
      <c r="J1475" s="106"/>
    </row>
    <row r="1476" spans="1:10" s="96" customFormat="1">
      <c r="A1476" s="106"/>
      <c r="B1476" s="99"/>
      <c r="C1476" s="106"/>
      <c r="F1476" s="99"/>
      <c r="G1476" s="131"/>
      <c r="H1476" s="126"/>
      <c r="J1476" s="106"/>
    </row>
    <row r="1477" spans="1:10" s="96" customFormat="1">
      <c r="A1477" s="106"/>
      <c r="B1477" s="99"/>
      <c r="C1477" s="106"/>
      <c r="F1477" s="99"/>
      <c r="G1477" s="131"/>
      <c r="H1477" s="126"/>
      <c r="J1477" s="106"/>
    </row>
    <row r="1478" spans="1:10" s="96" customFormat="1">
      <c r="A1478" s="106"/>
      <c r="B1478" s="99"/>
      <c r="C1478" s="106"/>
      <c r="F1478" s="99"/>
      <c r="G1478" s="131"/>
      <c r="H1478" s="126"/>
      <c r="J1478" s="106"/>
    </row>
    <row r="1479" spans="1:10" s="96" customFormat="1">
      <c r="A1479" s="106"/>
      <c r="B1479" s="99"/>
      <c r="C1479" s="106"/>
      <c r="F1479" s="99"/>
      <c r="G1479" s="131"/>
      <c r="H1479" s="126"/>
      <c r="J1479" s="106"/>
    </row>
    <row r="1480" spans="1:10" s="96" customFormat="1">
      <c r="A1480" s="106"/>
      <c r="B1480" s="99"/>
      <c r="C1480" s="106"/>
      <c r="F1480" s="99"/>
      <c r="G1480" s="131"/>
      <c r="H1480" s="126"/>
      <c r="J1480" s="106"/>
    </row>
    <row r="1481" spans="1:10" s="96" customFormat="1">
      <c r="A1481" s="106"/>
      <c r="B1481" s="99"/>
      <c r="C1481" s="106"/>
      <c r="F1481" s="99"/>
      <c r="G1481" s="131"/>
      <c r="H1481" s="126"/>
      <c r="J1481" s="106"/>
    </row>
    <row r="1482" spans="1:10" s="96" customFormat="1">
      <c r="A1482" s="106"/>
      <c r="B1482" s="99"/>
      <c r="C1482" s="106"/>
      <c r="F1482" s="99"/>
      <c r="G1482" s="131"/>
      <c r="H1482" s="126"/>
      <c r="J1482" s="106"/>
    </row>
    <row r="1483" spans="1:10" s="96" customFormat="1">
      <c r="A1483" s="106"/>
      <c r="B1483" s="99"/>
      <c r="C1483" s="106"/>
      <c r="F1483" s="99"/>
      <c r="G1483" s="131"/>
      <c r="H1483" s="126"/>
      <c r="J1483" s="106"/>
    </row>
    <row r="1484" spans="1:10" s="96" customFormat="1">
      <c r="A1484" s="106"/>
      <c r="B1484" s="99"/>
      <c r="C1484" s="106"/>
      <c r="F1484" s="99"/>
      <c r="G1484" s="131"/>
      <c r="H1484" s="126"/>
      <c r="J1484" s="106"/>
    </row>
    <row r="1485" spans="1:10" s="96" customFormat="1">
      <c r="A1485" s="106"/>
      <c r="B1485" s="99"/>
      <c r="C1485" s="106"/>
      <c r="F1485" s="99"/>
      <c r="G1485" s="131"/>
      <c r="H1485" s="126"/>
      <c r="J1485" s="106"/>
    </row>
    <row r="1486" spans="1:10" s="96" customFormat="1">
      <c r="A1486" s="106"/>
      <c r="B1486" s="99"/>
      <c r="C1486" s="106"/>
      <c r="F1486" s="99"/>
      <c r="G1486" s="131"/>
      <c r="H1486" s="126"/>
      <c r="J1486" s="106"/>
    </row>
    <row r="1487" spans="1:10" s="96" customFormat="1">
      <c r="A1487" s="106"/>
      <c r="B1487" s="99"/>
      <c r="C1487" s="106"/>
      <c r="F1487" s="99"/>
      <c r="G1487" s="131"/>
      <c r="H1487" s="126"/>
      <c r="J1487" s="106"/>
    </row>
    <row r="1488" spans="1:10" s="96" customFormat="1">
      <c r="A1488" s="106"/>
      <c r="B1488" s="99"/>
      <c r="C1488" s="106"/>
      <c r="F1488" s="99"/>
      <c r="G1488" s="131"/>
      <c r="H1488" s="126"/>
      <c r="J1488" s="106"/>
    </row>
    <row r="1489" spans="1:10" s="96" customFormat="1">
      <c r="A1489" s="106"/>
      <c r="B1489" s="99"/>
      <c r="C1489" s="106"/>
      <c r="F1489" s="99"/>
      <c r="G1489" s="131"/>
      <c r="H1489" s="126"/>
      <c r="J1489" s="106"/>
    </row>
    <row r="1490" spans="1:10" s="96" customFormat="1">
      <c r="A1490" s="106"/>
      <c r="B1490" s="99"/>
      <c r="C1490" s="106"/>
      <c r="F1490" s="99"/>
      <c r="G1490" s="131"/>
      <c r="H1490" s="126"/>
      <c r="J1490" s="106"/>
    </row>
    <row r="1491" spans="1:10" s="96" customFormat="1">
      <c r="A1491" s="106"/>
      <c r="B1491" s="99"/>
      <c r="C1491" s="106"/>
      <c r="F1491" s="99"/>
      <c r="G1491" s="131"/>
      <c r="H1491" s="126"/>
      <c r="J1491" s="106"/>
    </row>
    <row r="1492" spans="1:10" s="96" customFormat="1">
      <c r="A1492" s="106"/>
      <c r="B1492" s="99"/>
      <c r="C1492" s="106"/>
      <c r="F1492" s="99"/>
      <c r="G1492" s="131"/>
      <c r="H1492" s="126"/>
      <c r="J1492" s="106"/>
    </row>
    <row r="1493" spans="1:10" s="96" customFormat="1">
      <c r="A1493" s="106"/>
      <c r="B1493" s="99"/>
      <c r="C1493" s="106"/>
      <c r="F1493" s="99"/>
      <c r="G1493" s="131"/>
      <c r="H1493" s="126"/>
      <c r="J1493" s="106"/>
    </row>
    <row r="1494" spans="1:10" s="96" customFormat="1">
      <c r="A1494" s="106"/>
      <c r="B1494" s="99"/>
      <c r="C1494" s="106"/>
      <c r="F1494" s="99"/>
      <c r="G1494" s="131"/>
      <c r="H1494" s="126"/>
      <c r="J1494" s="106"/>
    </row>
    <row r="1495" spans="1:10" s="96" customFormat="1">
      <c r="A1495" s="106"/>
      <c r="B1495" s="99"/>
      <c r="C1495" s="106"/>
      <c r="F1495" s="99"/>
      <c r="G1495" s="131"/>
      <c r="H1495" s="126"/>
      <c r="J1495" s="106"/>
    </row>
    <row r="1496" spans="1:10" s="96" customFormat="1">
      <c r="A1496" s="106"/>
      <c r="B1496" s="99"/>
      <c r="C1496" s="106"/>
      <c r="F1496" s="99"/>
      <c r="G1496" s="131"/>
      <c r="H1496" s="126"/>
      <c r="J1496" s="106"/>
    </row>
    <row r="1497" spans="1:10" s="96" customFormat="1">
      <c r="A1497" s="106"/>
      <c r="B1497" s="99"/>
      <c r="C1497" s="106"/>
      <c r="F1497" s="99"/>
      <c r="G1497" s="131"/>
      <c r="H1497" s="126"/>
      <c r="J1497" s="106"/>
    </row>
    <row r="1498" spans="1:10" s="96" customFormat="1">
      <c r="A1498" s="106"/>
      <c r="B1498" s="99"/>
      <c r="C1498" s="106"/>
      <c r="F1498" s="99"/>
      <c r="G1498" s="131"/>
      <c r="H1498" s="126"/>
      <c r="J1498" s="106"/>
    </row>
    <row r="1499" spans="1:10" s="96" customFormat="1">
      <c r="A1499" s="106"/>
      <c r="B1499" s="99"/>
      <c r="C1499" s="106"/>
      <c r="F1499" s="99"/>
      <c r="G1499" s="131"/>
      <c r="H1499" s="126"/>
      <c r="J1499" s="106"/>
    </row>
    <row r="1500" spans="1:10" s="96" customFormat="1">
      <c r="A1500" s="106"/>
      <c r="B1500" s="99"/>
      <c r="C1500" s="106"/>
      <c r="F1500" s="99"/>
      <c r="G1500" s="131"/>
      <c r="H1500" s="126"/>
      <c r="J1500" s="106"/>
    </row>
    <row r="1501" spans="1:10" s="96" customFormat="1">
      <c r="A1501" s="106"/>
      <c r="B1501" s="99"/>
      <c r="C1501" s="106"/>
      <c r="F1501" s="99"/>
      <c r="G1501" s="131"/>
      <c r="H1501" s="126"/>
      <c r="J1501" s="106"/>
    </row>
    <row r="1502" spans="1:10" s="96" customFormat="1">
      <c r="A1502" s="106"/>
      <c r="B1502" s="99"/>
      <c r="C1502" s="106"/>
      <c r="F1502" s="99"/>
      <c r="G1502" s="131"/>
      <c r="H1502" s="126"/>
      <c r="J1502" s="106"/>
    </row>
    <row r="1503" spans="1:10" s="96" customFormat="1">
      <c r="A1503" s="106"/>
      <c r="B1503" s="99"/>
      <c r="C1503" s="106"/>
      <c r="F1503" s="99"/>
      <c r="G1503" s="131"/>
      <c r="H1503" s="126"/>
      <c r="J1503" s="106"/>
    </row>
    <row r="1504" spans="1:10" s="96" customFormat="1">
      <c r="A1504" s="106"/>
      <c r="B1504" s="99"/>
      <c r="C1504" s="106"/>
      <c r="F1504" s="99"/>
      <c r="G1504" s="131"/>
      <c r="H1504" s="126"/>
      <c r="J1504" s="106"/>
    </row>
    <row r="1505" spans="1:10" s="96" customFormat="1">
      <c r="A1505" s="106"/>
      <c r="B1505" s="99"/>
      <c r="C1505" s="106"/>
      <c r="F1505" s="99"/>
      <c r="G1505" s="131"/>
      <c r="H1505" s="126"/>
      <c r="J1505" s="106"/>
    </row>
    <row r="1506" spans="1:10" s="96" customFormat="1">
      <c r="A1506" s="106"/>
      <c r="B1506" s="99"/>
      <c r="C1506" s="106"/>
      <c r="F1506" s="99"/>
      <c r="G1506" s="131"/>
      <c r="H1506" s="126"/>
      <c r="J1506" s="106"/>
    </row>
    <row r="1507" spans="1:10" s="96" customFormat="1">
      <c r="A1507" s="106"/>
      <c r="B1507" s="99"/>
      <c r="C1507" s="106"/>
      <c r="F1507" s="99"/>
      <c r="G1507" s="131"/>
      <c r="H1507" s="126"/>
      <c r="J1507" s="106"/>
    </row>
    <row r="1508" spans="1:10" s="96" customFormat="1">
      <c r="A1508" s="106"/>
      <c r="B1508" s="99"/>
      <c r="C1508" s="106"/>
      <c r="F1508" s="99"/>
      <c r="G1508" s="131"/>
      <c r="H1508" s="126"/>
      <c r="J1508" s="106"/>
    </row>
    <row r="1509" spans="1:10" s="96" customFormat="1">
      <c r="A1509" s="106"/>
      <c r="B1509" s="99"/>
      <c r="C1509" s="106"/>
      <c r="F1509" s="99"/>
      <c r="G1509" s="131"/>
      <c r="H1509" s="126"/>
      <c r="J1509" s="106"/>
    </row>
    <row r="1510" spans="1:10" s="96" customFormat="1">
      <c r="A1510" s="106"/>
      <c r="B1510" s="99"/>
      <c r="C1510" s="106"/>
      <c r="F1510" s="99"/>
      <c r="G1510" s="131"/>
      <c r="H1510" s="126"/>
      <c r="J1510" s="106"/>
    </row>
    <row r="1511" spans="1:10" s="96" customFormat="1">
      <c r="A1511" s="106"/>
      <c r="B1511" s="99"/>
      <c r="C1511" s="106"/>
      <c r="F1511" s="99"/>
      <c r="G1511" s="131"/>
      <c r="H1511" s="126"/>
      <c r="J1511" s="106"/>
    </row>
    <row r="1512" spans="1:10" s="96" customFormat="1">
      <c r="A1512" s="106"/>
      <c r="B1512" s="99"/>
      <c r="C1512" s="106"/>
      <c r="F1512" s="99"/>
      <c r="G1512" s="131"/>
      <c r="H1512" s="126"/>
      <c r="J1512" s="106"/>
    </row>
    <row r="1513" spans="1:10" s="96" customFormat="1">
      <c r="A1513" s="106"/>
      <c r="B1513" s="99"/>
      <c r="C1513" s="106"/>
      <c r="F1513" s="99"/>
      <c r="G1513" s="131"/>
      <c r="H1513" s="126"/>
      <c r="J1513" s="106"/>
    </row>
    <row r="1514" spans="1:10" s="96" customFormat="1">
      <c r="A1514" s="106"/>
      <c r="B1514" s="99"/>
      <c r="C1514" s="106"/>
      <c r="F1514" s="99"/>
      <c r="G1514" s="131"/>
      <c r="H1514" s="126"/>
      <c r="J1514" s="106"/>
    </row>
    <row r="1515" spans="1:10" s="96" customFormat="1">
      <c r="A1515" s="106"/>
      <c r="B1515" s="99"/>
      <c r="C1515" s="106"/>
      <c r="F1515" s="99"/>
      <c r="G1515" s="131"/>
      <c r="H1515" s="126"/>
      <c r="J1515" s="106"/>
    </row>
    <row r="1516" spans="1:10" s="96" customFormat="1">
      <c r="A1516" s="106"/>
      <c r="B1516" s="99"/>
      <c r="C1516" s="106"/>
      <c r="F1516" s="99"/>
      <c r="G1516" s="131"/>
      <c r="H1516" s="126"/>
      <c r="J1516" s="106"/>
    </row>
    <row r="1517" spans="1:10" s="96" customFormat="1">
      <c r="A1517" s="106"/>
      <c r="B1517" s="99"/>
      <c r="C1517" s="106"/>
      <c r="F1517" s="99"/>
      <c r="G1517" s="131"/>
      <c r="H1517" s="126"/>
      <c r="J1517" s="106"/>
    </row>
    <row r="1518" spans="1:10" s="96" customFormat="1">
      <c r="A1518" s="106"/>
      <c r="B1518" s="99"/>
      <c r="C1518" s="106"/>
      <c r="F1518" s="99"/>
      <c r="G1518" s="131"/>
      <c r="H1518" s="126"/>
      <c r="J1518" s="106"/>
    </row>
    <row r="1519" spans="1:10" s="96" customFormat="1">
      <c r="A1519" s="106"/>
      <c r="B1519" s="99"/>
      <c r="C1519" s="106"/>
      <c r="F1519" s="99"/>
      <c r="G1519" s="131"/>
      <c r="H1519" s="126"/>
      <c r="J1519" s="106"/>
    </row>
    <row r="1520" spans="1:10" s="96" customFormat="1">
      <c r="A1520" s="106"/>
      <c r="B1520" s="99"/>
      <c r="C1520" s="106"/>
      <c r="F1520" s="99"/>
      <c r="G1520" s="131"/>
      <c r="H1520" s="126"/>
      <c r="J1520" s="106"/>
    </row>
    <row r="1521" spans="1:10" s="96" customFormat="1">
      <c r="A1521" s="106"/>
      <c r="B1521" s="99"/>
      <c r="C1521" s="106"/>
      <c r="F1521" s="99"/>
      <c r="G1521" s="131"/>
      <c r="H1521" s="126"/>
      <c r="J1521" s="106"/>
    </row>
    <row r="1522" spans="1:10" s="96" customFormat="1">
      <c r="A1522" s="106"/>
      <c r="B1522" s="99"/>
      <c r="C1522" s="106"/>
      <c r="F1522" s="99"/>
      <c r="G1522" s="131"/>
      <c r="H1522" s="126"/>
      <c r="J1522" s="106"/>
    </row>
    <row r="1523" spans="1:10" s="96" customFormat="1">
      <c r="A1523" s="106"/>
      <c r="B1523" s="99"/>
      <c r="C1523" s="106"/>
      <c r="F1523" s="99"/>
      <c r="G1523" s="131"/>
      <c r="H1523" s="126"/>
      <c r="J1523" s="106"/>
    </row>
    <row r="1524" spans="1:10" s="96" customFormat="1">
      <c r="A1524" s="106"/>
      <c r="B1524" s="99"/>
      <c r="C1524" s="106"/>
      <c r="F1524" s="99"/>
      <c r="G1524" s="131"/>
      <c r="H1524" s="126"/>
      <c r="J1524" s="106"/>
    </row>
    <row r="1525" spans="1:10" s="96" customFormat="1">
      <c r="A1525" s="106"/>
      <c r="B1525" s="99"/>
      <c r="C1525" s="106"/>
      <c r="F1525" s="99"/>
      <c r="G1525" s="131"/>
      <c r="H1525" s="126"/>
      <c r="J1525" s="106"/>
    </row>
    <row r="1526" spans="1:10" s="96" customFormat="1">
      <c r="A1526" s="106"/>
      <c r="B1526" s="99"/>
      <c r="C1526" s="106"/>
      <c r="F1526" s="99"/>
      <c r="G1526" s="131"/>
      <c r="H1526" s="126"/>
      <c r="J1526" s="106"/>
    </row>
    <row r="1527" spans="1:10" s="96" customFormat="1">
      <c r="A1527" s="106"/>
      <c r="B1527" s="99"/>
      <c r="C1527" s="106"/>
      <c r="F1527" s="99"/>
      <c r="G1527" s="131"/>
      <c r="H1527" s="126"/>
      <c r="J1527" s="106"/>
    </row>
    <row r="1528" spans="1:10" s="96" customFormat="1">
      <c r="A1528" s="106"/>
      <c r="B1528" s="99"/>
      <c r="C1528" s="106"/>
      <c r="F1528" s="99"/>
      <c r="G1528" s="131"/>
      <c r="H1528" s="126"/>
      <c r="J1528" s="106"/>
    </row>
    <row r="1529" spans="1:10" s="96" customFormat="1">
      <c r="A1529" s="106"/>
      <c r="B1529" s="99"/>
      <c r="C1529" s="106"/>
      <c r="F1529" s="99"/>
      <c r="G1529" s="131"/>
      <c r="H1529" s="126"/>
      <c r="J1529" s="106"/>
    </row>
    <row r="1530" spans="1:10" s="96" customFormat="1">
      <c r="A1530" s="106"/>
      <c r="B1530" s="99"/>
      <c r="C1530" s="106"/>
      <c r="F1530" s="99"/>
      <c r="G1530" s="131"/>
      <c r="H1530" s="126"/>
      <c r="J1530" s="106"/>
    </row>
    <row r="1531" spans="1:10" s="96" customFormat="1">
      <c r="A1531" s="106"/>
      <c r="B1531" s="99"/>
      <c r="C1531" s="106"/>
      <c r="F1531" s="99"/>
      <c r="G1531" s="131"/>
      <c r="H1531" s="126"/>
      <c r="J1531" s="106"/>
    </row>
    <row r="1532" spans="1:10" s="96" customFormat="1">
      <c r="A1532" s="106"/>
      <c r="B1532" s="99"/>
      <c r="C1532" s="106"/>
      <c r="F1532" s="99"/>
      <c r="G1532" s="131"/>
      <c r="H1532" s="126"/>
      <c r="J1532" s="106"/>
    </row>
    <row r="1533" spans="1:10" s="96" customFormat="1">
      <c r="A1533" s="106"/>
      <c r="B1533" s="99"/>
      <c r="C1533" s="106"/>
      <c r="F1533" s="99"/>
      <c r="G1533" s="131"/>
      <c r="H1533" s="126"/>
      <c r="J1533" s="106"/>
    </row>
    <row r="1534" spans="1:10" s="96" customFormat="1">
      <c r="A1534" s="106"/>
      <c r="B1534" s="99"/>
      <c r="C1534" s="106"/>
      <c r="F1534" s="99"/>
      <c r="G1534" s="131"/>
      <c r="H1534" s="126"/>
      <c r="J1534" s="106"/>
    </row>
    <row r="1535" spans="1:10" s="96" customFormat="1">
      <c r="A1535" s="106"/>
      <c r="B1535" s="99"/>
      <c r="C1535" s="106"/>
      <c r="F1535" s="99"/>
      <c r="G1535" s="131"/>
      <c r="H1535" s="126"/>
      <c r="J1535" s="106"/>
    </row>
    <row r="1536" spans="1:10" s="96" customFormat="1">
      <c r="A1536" s="106"/>
      <c r="B1536" s="99"/>
      <c r="C1536" s="106"/>
      <c r="F1536" s="99"/>
      <c r="G1536" s="131"/>
      <c r="H1536" s="126"/>
      <c r="J1536" s="106"/>
    </row>
    <row r="1537" spans="1:10" s="96" customFormat="1">
      <c r="A1537" s="106"/>
      <c r="B1537" s="99"/>
      <c r="C1537" s="106"/>
      <c r="F1537" s="99"/>
      <c r="G1537" s="131"/>
      <c r="H1537" s="126"/>
      <c r="J1537" s="106"/>
    </row>
    <row r="1538" spans="1:10" s="96" customFormat="1">
      <c r="A1538" s="106"/>
      <c r="B1538" s="99"/>
      <c r="C1538" s="106"/>
      <c r="F1538" s="99"/>
      <c r="G1538" s="131"/>
      <c r="H1538" s="126"/>
      <c r="J1538" s="106"/>
    </row>
    <row r="1539" spans="1:10" s="96" customFormat="1">
      <c r="A1539" s="106"/>
      <c r="B1539" s="99"/>
      <c r="C1539" s="106"/>
      <c r="F1539" s="99"/>
      <c r="G1539" s="131"/>
      <c r="H1539" s="126"/>
      <c r="J1539" s="106"/>
    </row>
    <row r="1540" spans="1:10" s="96" customFormat="1">
      <c r="A1540" s="106"/>
      <c r="B1540" s="99"/>
      <c r="C1540" s="106"/>
      <c r="F1540" s="99"/>
      <c r="G1540" s="131"/>
      <c r="H1540" s="126"/>
      <c r="J1540" s="106"/>
    </row>
    <row r="1541" spans="1:10" s="96" customFormat="1">
      <c r="A1541" s="106"/>
      <c r="B1541" s="99"/>
      <c r="C1541" s="106"/>
      <c r="F1541" s="99"/>
      <c r="G1541" s="131"/>
      <c r="H1541" s="126"/>
      <c r="J1541" s="106"/>
    </row>
    <row r="1542" spans="1:10" s="96" customFormat="1">
      <c r="A1542" s="106"/>
      <c r="B1542" s="99"/>
      <c r="C1542" s="106"/>
      <c r="F1542" s="99"/>
      <c r="G1542" s="131"/>
      <c r="H1542" s="126"/>
      <c r="J1542" s="106"/>
    </row>
    <row r="1543" spans="1:10" s="96" customFormat="1">
      <c r="A1543" s="106"/>
      <c r="B1543" s="99"/>
      <c r="C1543" s="106"/>
      <c r="F1543" s="99"/>
      <c r="G1543" s="131"/>
      <c r="H1543" s="126"/>
      <c r="J1543" s="106"/>
    </row>
    <row r="1544" spans="1:10" s="96" customFormat="1">
      <c r="A1544" s="106"/>
      <c r="B1544" s="99"/>
      <c r="C1544" s="106"/>
      <c r="F1544" s="99"/>
      <c r="G1544" s="131"/>
      <c r="H1544" s="126"/>
      <c r="J1544" s="106"/>
    </row>
    <row r="1545" spans="1:10" s="96" customFormat="1">
      <c r="A1545" s="106"/>
      <c r="B1545" s="99"/>
      <c r="C1545" s="106"/>
      <c r="F1545" s="99"/>
      <c r="G1545" s="131"/>
      <c r="H1545" s="126"/>
      <c r="J1545" s="106"/>
    </row>
    <row r="1546" spans="1:10" s="96" customFormat="1">
      <c r="A1546" s="106"/>
      <c r="B1546" s="99"/>
      <c r="C1546" s="106"/>
      <c r="F1546" s="99"/>
      <c r="G1546" s="131"/>
      <c r="H1546" s="126"/>
      <c r="J1546" s="106"/>
    </row>
    <row r="1547" spans="1:10" s="96" customFormat="1">
      <c r="A1547" s="106"/>
      <c r="B1547" s="99"/>
      <c r="C1547" s="106"/>
      <c r="F1547" s="99"/>
      <c r="G1547" s="131"/>
      <c r="H1547" s="126"/>
      <c r="J1547" s="106"/>
    </row>
    <row r="1548" spans="1:10" s="96" customFormat="1">
      <c r="A1548" s="106"/>
      <c r="B1548" s="99"/>
      <c r="C1548" s="106"/>
      <c r="F1548" s="99"/>
      <c r="G1548" s="131"/>
      <c r="H1548" s="126"/>
      <c r="J1548" s="106"/>
    </row>
    <row r="1549" spans="1:10" s="96" customFormat="1">
      <c r="A1549" s="106"/>
      <c r="B1549" s="99"/>
      <c r="C1549" s="106"/>
      <c r="F1549" s="99"/>
      <c r="G1549" s="131"/>
      <c r="H1549" s="126"/>
      <c r="J1549" s="106"/>
    </row>
    <row r="1550" spans="1:10" s="96" customFormat="1">
      <c r="A1550" s="106"/>
      <c r="B1550" s="99"/>
      <c r="C1550" s="106"/>
      <c r="F1550" s="99"/>
      <c r="G1550" s="131"/>
      <c r="H1550" s="126"/>
      <c r="J1550" s="106"/>
    </row>
    <row r="1551" spans="1:10" s="96" customFormat="1">
      <c r="A1551" s="106"/>
      <c r="B1551" s="99"/>
      <c r="C1551" s="106"/>
      <c r="F1551" s="99"/>
      <c r="G1551" s="131"/>
      <c r="H1551" s="126"/>
      <c r="J1551" s="106"/>
    </row>
    <row r="1552" spans="1:10" s="96" customFormat="1">
      <c r="A1552" s="106"/>
      <c r="B1552" s="99"/>
      <c r="C1552" s="106"/>
      <c r="F1552" s="99"/>
      <c r="G1552" s="131"/>
      <c r="H1552" s="126"/>
      <c r="J1552" s="106"/>
    </row>
    <row r="1553" spans="1:10" s="96" customFormat="1">
      <c r="A1553" s="106"/>
      <c r="B1553" s="99"/>
      <c r="C1553" s="106"/>
      <c r="F1553" s="99"/>
      <c r="G1553" s="131"/>
      <c r="H1553" s="126"/>
      <c r="J1553" s="106"/>
    </row>
    <row r="1554" spans="1:10" s="96" customFormat="1">
      <c r="A1554" s="106"/>
      <c r="B1554" s="99"/>
      <c r="C1554" s="106"/>
      <c r="F1554" s="99"/>
      <c r="G1554" s="131"/>
      <c r="H1554" s="126"/>
      <c r="J1554" s="106"/>
    </row>
    <row r="1555" spans="1:10" s="96" customFormat="1">
      <c r="A1555" s="106"/>
      <c r="B1555" s="99"/>
      <c r="C1555" s="106"/>
      <c r="F1555" s="99"/>
      <c r="G1555" s="131"/>
      <c r="H1555" s="126"/>
      <c r="J1555" s="106"/>
    </row>
    <row r="1556" spans="1:10" s="96" customFormat="1">
      <c r="A1556" s="106"/>
      <c r="B1556" s="99"/>
      <c r="C1556" s="106"/>
      <c r="F1556" s="99"/>
      <c r="G1556" s="131"/>
      <c r="H1556" s="126"/>
      <c r="J1556" s="106"/>
    </row>
    <row r="1557" spans="1:10" s="96" customFormat="1">
      <c r="A1557" s="106"/>
      <c r="B1557" s="99"/>
      <c r="C1557" s="106"/>
      <c r="F1557" s="99"/>
      <c r="G1557" s="131"/>
      <c r="H1557" s="126"/>
      <c r="J1557" s="106"/>
    </row>
    <row r="1558" spans="1:10" s="96" customFormat="1">
      <c r="A1558" s="106"/>
      <c r="B1558" s="99"/>
      <c r="C1558" s="106"/>
      <c r="F1558" s="99"/>
      <c r="G1558" s="131"/>
      <c r="H1558" s="126"/>
      <c r="J1558" s="106"/>
    </row>
    <row r="1559" spans="1:10" s="96" customFormat="1">
      <c r="A1559" s="106"/>
      <c r="B1559" s="99"/>
      <c r="C1559" s="106"/>
      <c r="F1559" s="99"/>
      <c r="G1559" s="131"/>
      <c r="H1559" s="126"/>
      <c r="J1559" s="106"/>
    </row>
    <row r="1560" spans="1:10" s="96" customFormat="1">
      <c r="A1560" s="106"/>
      <c r="B1560" s="99"/>
      <c r="C1560" s="106"/>
      <c r="F1560" s="99"/>
      <c r="G1560" s="131"/>
      <c r="H1560" s="126"/>
      <c r="J1560" s="106"/>
    </row>
    <row r="1561" spans="1:10" s="96" customFormat="1">
      <c r="A1561" s="106"/>
      <c r="B1561" s="99"/>
      <c r="C1561" s="106"/>
      <c r="F1561" s="99"/>
      <c r="G1561" s="131"/>
      <c r="H1561" s="126"/>
      <c r="J1561" s="106"/>
    </row>
    <row r="1562" spans="1:10" s="96" customFormat="1">
      <c r="A1562" s="106"/>
      <c r="B1562" s="99"/>
      <c r="C1562" s="106"/>
      <c r="F1562" s="99"/>
      <c r="G1562" s="131"/>
      <c r="H1562" s="126"/>
      <c r="J1562" s="106"/>
    </row>
    <row r="1563" spans="1:10" s="96" customFormat="1">
      <c r="A1563" s="106"/>
      <c r="B1563" s="99"/>
      <c r="C1563" s="106"/>
      <c r="F1563" s="99"/>
      <c r="G1563" s="131"/>
      <c r="H1563" s="126"/>
      <c r="J1563" s="106"/>
    </row>
    <row r="1564" spans="1:10" s="96" customFormat="1">
      <c r="A1564" s="106"/>
      <c r="B1564" s="99"/>
      <c r="C1564" s="106"/>
      <c r="F1564" s="99"/>
      <c r="G1564" s="131"/>
      <c r="H1564" s="126"/>
      <c r="J1564" s="106"/>
    </row>
    <row r="1565" spans="1:10" s="96" customFormat="1">
      <c r="A1565" s="106"/>
      <c r="B1565" s="99"/>
      <c r="C1565" s="106"/>
      <c r="F1565" s="99"/>
      <c r="G1565" s="131"/>
      <c r="H1565" s="126"/>
      <c r="J1565" s="106"/>
    </row>
    <row r="1566" spans="1:10" s="96" customFormat="1">
      <c r="A1566" s="106"/>
      <c r="B1566" s="99"/>
      <c r="C1566" s="106"/>
      <c r="F1566" s="99"/>
      <c r="G1566" s="131"/>
      <c r="H1566" s="126"/>
      <c r="J1566" s="106"/>
    </row>
    <row r="1567" spans="1:10" s="96" customFormat="1">
      <c r="A1567" s="106"/>
      <c r="B1567" s="99"/>
      <c r="C1567" s="106"/>
      <c r="F1567" s="99"/>
      <c r="G1567" s="131"/>
      <c r="H1567" s="126"/>
      <c r="J1567" s="106"/>
    </row>
    <row r="1568" spans="1:10" s="96" customFormat="1">
      <c r="A1568" s="106"/>
      <c r="B1568" s="99"/>
      <c r="C1568" s="106"/>
      <c r="F1568" s="99"/>
      <c r="G1568" s="131"/>
      <c r="H1568" s="126"/>
      <c r="J1568" s="106"/>
    </row>
    <row r="1569" spans="1:10" s="96" customFormat="1">
      <c r="A1569" s="106"/>
      <c r="B1569" s="99"/>
      <c r="C1569" s="106"/>
      <c r="F1569" s="99"/>
      <c r="G1569" s="131"/>
      <c r="H1569" s="126"/>
      <c r="J1569" s="106"/>
    </row>
    <row r="1570" spans="1:10" s="96" customFormat="1">
      <c r="A1570" s="106"/>
      <c r="B1570" s="99"/>
      <c r="C1570" s="106"/>
      <c r="F1570" s="99"/>
      <c r="G1570" s="131"/>
      <c r="H1570" s="126"/>
      <c r="J1570" s="106"/>
    </row>
    <row r="1571" spans="1:10" s="96" customFormat="1">
      <c r="A1571" s="106"/>
      <c r="B1571" s="99"/>
      <c r="C1571" s="106"/>
      <c r="F1571" s="99"/>
      <c r="G1571" s="131"/>
      <c r="H1571" s="126"/>
      <c r="J1571" s="106"/>
    </row>
    <row r="1572" spans="1:10" s="96" customFormat="1">
      <c r="A1572" s="106"/>
      <c r="B1572" s="99"/>
      <c r="C1572" s="106"/>
      <c r="F1572" s="99"/>
      <c r="G1572" s="131"/>
      <c r="H1572" s="126"/>
      <c r="J1572" s="106"/>
    </row>
    <row r="1573" spans="1:10" s="96" customFormat="1">
      <c r="A1573" s="106"/>
      <c r="B1573" s="99"/>
      <c r="C1573" s="106"/>
      <c r="F1573" s="99"/>
      <c r="G1573" s="131"/>
      <c r="H1573" s="126"/>
      <c r="J1573" s="106"/>
    </row>
    <row r="1574" spans="1:10" s="96" customFormat="1">
      <c r="A1574" s="106"/>
      <c r="B1574" s="99"/>
      <c r="C1574" s="106"/>
      <c r="F1574" s="99"/>
      <c r="G1574" s="131"/>
      <c r="H1574" s="126"/>
      <c r="J1574" s="106"/>
    </row>
    <row r="1575" spans="1:10" s="96" customFormat="1">
      <c r="A1575" s="106"/>
      <c r="B1575" s="99"/>
      <c r="C1575" s="106"/>
      <c r="F1575" s="99"/>
      <c r="G1575" s="131"/>
      <c r="H1575" s="126"/>
      <c r="J1575" s="106"/>
    </row>
    <row r="1576" spans="1:10" s="96" customFormat="1">
      <c r="A1576" s="106"/>
      <c r="B1576" s="99"/>
      <c r="C1576" s="106"/>
      <c r="F1576" s="99"/>
      <c r="G1576" s="131"/>
      <c r="H1576" s="126"/>
      <c r="J1576" s="106"/>
    </row>
    <row r="1577" spans="1:10" s="96" customFormat="1">
      <c r="A1577" s="106"/>
      <c r="B1577" s="99"/>
      <c r="C1577" s="106"/>
      <c r="F1577" s="99"/>
      <c r="G1577" s="131"/>
      <c r="H1577" s="126"/>
      <c r="J1577" s="106"/>
    </row>
    <row r="1578" spans="1:10" s="96" customFormat="1">
      <c r="A1578" s="106"/>
      <c r="B1578" s="99"/>
      <c r="C1578" s="106"/>
      <c r="F1578" s="99"/>
      <c r="G1578" s="131"/>
      <c r="H1578" s="126"/>
      <c r="J1578" s="106"/>
    </row>
    <row r="1579" spans="1:10" s="96" customFormat="1">
      <c r="A1579" s="106"/>
      <c r="B1579" s="99"/>
      <c r="C1579" s="106"/>
      <c r="F1579" s="99"/>
      <c r="G1579" s="131"/>
      <c r="H1579" s="126"/>
      <c r="J1579" s="106"/>
    </row>
    <row r="1580" spans="1:10" s="96" customFormat="1">
      <c r="A1580" s="106"/>
      <c r="B1580" s="99"/>
      <c r="C1580" s="106"/>
      <c r="F1580" s="99"/>
      <c r="G1580" s="131"/>
      <c r="H1580" s="126"/>
      <c r="J1580" s="106"/>
    </row>
    <row r="1581" spans="1:10" s="96" customFormat="1">
      <c r="A1581" s="106"/>
      <c r="B1581" s="99"/>
      <c r="C1581" s="106"/>
      <c r="F1581" s="99"/>
      <c r="G1581" s="131"/>
      <c r="H1581" s="126"/>
      <c r="J1581" s="106"/>
    </row>
    <row r="1582" spans="1:10" s="96" customFormat="1">
      <c r="A1582" s="106"/>
      <c r="B1582" s="99"/>
      <c r="C1582" s="106"/>
      <c r="F1582" s="99"/>
      <c r="G1582" s="131"/>
      <c r="H1582" s="126"/>
      <c r="J1582" s="106"/>
    </row>
    <row r="1583" spans="1:10" s="96" customFormat="1">
      <c r="A1583" s="106"/>
      <c r="B1583" s="99"/>
      <c r="C1583" s="106"/>
      <c r="F1583" s="99"/>
      <c r="G1583" s="131"/>
      <c r="H1583" s="126"/>
      <c r="J1583" s="106"/>
    </row>
    <row r="1584" spans="1:10" s="96" customFormat="1">
      <c r="A1584" s="106"/>
      <c r="B1584" s="99"/>
      <c r="C1584" s="106"/>
      <c r="F1584" s="99"/>
      <c r="G1584" s="131"/>
      <c r="H1584" s="126"/>
      <c r="J1584" s="106"/>
    </row>
    <row r="1585" spans="1:10" s="96" customFormat="1">
      <c r="A1585" s="106"/>
      <c r="B1585" s="99"/>
      <c r="C1585" s="106"/>
      <c r="F1585" s="99"/>
      <c r="G1585" s="131"/>
      <c r="H1585" s="126"/>
      <c r="J1585" s="106"/>
    </row>
    <row r="1586" spans="1:10" s="96" customFormat="1">
      <c r="A1586" s="106"/>
      <c r="B1586" s="99"/>
      <c r="C1586" s="106"/>
      <c r="F1586" s="99"/>
      <c r="G1586" s="131"/>
      <c r="H1586" s="126"/>
      <c r="J1586" s="106"/>
    </row>
    <row r="1587" spans="1:10" s="96" customFormat="1">
      <c r="A1587" s="106"/>
      <c r="B1587" s="99"/>
      <c r="C1587" s="106"/>
      <c r="F1587" s="99"/>
      <c r="G1587" s="131"/>
      <c r="H1587" s="126"/>
      <c r="J1587" s="106"/>
    </row>
    <row r="1588" spans="1:10" s="96" customFormat="1">
      <c r="A1588" s="106"/>
      <c r="B1588" s="99"/>
      <c r="C1588" s="106"/>
      <c r="F1588" s="99"/>
      <c r="G1588" s="131"/>
      <c r="H1588" s="126"/>
      <c r="J1588" s="106"/>
    </row>
    <row r="1589" spans="1:10" s="96" customFormat="1">
      <c r="A1589" s="106"/>
      <c r="B1589" s="99"/>
      <c r="C1589" s="106"/>
      <c r="F1589" s="99"/>
      <c r="G1589" s="131"/>
      <c r="H1589" s="126"/>
      <c r="J1589" s="106"/>
    </row>
    <row r="1590" spans="1:10" s="96" customFormat="1">
      <c r="A1590" s="106"/>
      <c r="B1590" s="99"/>
      <c r="C1590" s="106"/>
      <c r="F1590" s="99"/>
      <c r="G1590" s="131"/>
      <c r="H1590" s="126"/>
      <c r="J1590" s="106"/>
    </row>
    <row r="1591" spans="1:10" s="96" customFormat="1">
      <c r="A1591" s="106"/>
      <c r="B1591" s="99"/>
      <c r="C1591" s="106"/>
      <c r="F1591" s="99"/>
      <c r="G1591" s="131"/>
      <c r="H1591" s="126"/>
      <c r="J1591" s="106"/>
    </row>
    <row r="1592" spans="1:10" s="96" customFormat="1">
      <c r="A1592" s="106"/>
      <c r="B1592" s="99"/>
      <c r="C1592" s="106"/>
      <c r="F1592" s="99"/>
      <c r="G1592" s="131"/>
      <c r="H1592" s="126"/>
      <c r="J1592" s="106"/>
    </row>
    <row r="1593" spans="1:10" s="96" customFormat="1">
      <c r="A1593" s="106"/>
      <c r="B1593" s="99"/>
      <c r="C1593" s="106"/>
      <c r="F1593" s="99"/>
      <c r="G1593" s="131"/>
      <c r="H1593" s="126"/>
      <c r="J1593" s="106"/>
    </row>
    <row r="1594" spans="1:10" s="96" customFormat="1">
      <c r="A1594" s="106"/>
      <c r="B1594" s="99"/>
      <c r="C1594" s="106"/>
      <c r="F1594" s="99"/>
      <c r="G1594" s="131"/>
      <c r="H1594" s="126"/>
      <c r="J1594" s="106"/>
    </row>
    <row r="1595" spans="1:10" s="96" customFormat="1">
      <c r="A1595" s="106"/>
      <c r="B1595" s="99"/>
      <c r="C1595" s="106"/>
      <c r="F1595" s="99"/>
      <c r="G1595" s="131"/>
      <c r="H1595" s="126"/>
      <c r="J1595" s="106"/>
    </row>
    <row r="1596" spans="1:10" s="96" customFormat="1">
      <c r="A1596" s="106"/>
      <c r="B1596" s="99"/>
      <c r="C1596" s="106"/>
      <c r="F1596" s="99"/>
      <c r="G1596" s="131"/>
      <c r="H1596" s="126"/>
      <c r="J1596" s="106"/>
    </row>
    <row r="1597" spans="1:10" s="96" customFormat="1">
      <c r="A1597" s="106"/>
      <c r="B1597" s="99"/>
      <c r="C1597" s="106"/>
      <c r="F1597" s="99"/>
      <c r="G1597" s="131"/>
      <c r="H1597" s="126"/>
      <c r="J1597" s="106"/>
    </row>
    <row r="1598" spans="1:10" s="96" customFormat="1">
      <c r="A1598" s="106"/>
      <c r="B1598" s="99"/>
      <c r="C1598" s="106"/>
      <c r="F1598" s="99"/>
      <c r="G1598" s="131"/>
      <c r="H1598" s="126"/>
      <c r="J1598" s="106"/>
    </row>
    <row r="1599" spans="1:10" s="96" customFormat="1">
      <c r="A1599" s="106"/>
      <c r="B1599" s="99"/>
      <c r="C1599" s="106"/>
      <c r="F1599" s="99"/>
      <c r="G1599" s="131"/>
      <c r="H1599" s="126"/>
      <c r="J1599" s="106"/>
    </row>
    <row r="1600" spans="1:10" s="96" customFormat="1">
      <c r="A1600" s="106"/>
      <c r="B1600" s="99"/>
      <c r="C1600" s="106"/>
      <c r="F1600" s="99"/>
      <c r="G1600" s="131"/>
      <c r="H1600" s="126"/>
      <c r="J1600" s="106"/>
    </row>
    <row r="1601" spans="1:10" s="96" customFormat="1">
      <c r="A1601" s="106"/>
      <c r="B1601" s="99"/>
      <c r="C1601" s="106"/>
      <c r="F1601" s="99"/>
      <c r="G1601" s="131"/>
      <c r="H1601" s="126"/>
      <c r="J1601" s="106"/>
    </row>
    <row r="1602" spans="1:10" s="96" customFormat="1">
      <c r="A1602" s="106"/>
      <c r="B1602" s="99"/>
      <c r="C1602" s="106"/>
      <c r="F1602" s="99"/>
      <c r="G1602" s="131"/>
      <c r="H1602" s="126"/>
      <c r="J1602" s="106"/>
    </row>
    <row r="1603" spans="1:10" s="96" customFormat="1">
      <c r="A1603" s="106"/>
      <c r="B1603" s="99"/>
      <c r="C1603" s="106"/>
      <c r="F1603" s="99"/>
      <c r="G1603" s="131"/>
      <c r="H1603" s="126"/>
      <c r="J1603" s="106"/>
    </row>
    <row r="1604" spans="1:10" s="96" customFormat="1">
      <c r="A1604" s="106"/>
      <c r="B1604" s="99"/>
      <c r="C1604" s="106"/>
      <c r="F1604" s="99"/>
      <c r="G1604" s="131"/>
      <c r="H1604" s="126"/>
      <c r="J1604" s="106"/>
    </row>
    <row r="1605" spans="1:10" s="96" customFormat="1">
      <c r="A1605" s="106"/>
      <c r="B1605" s="99"/>
      <c r="C1605" s="106"/>
      <c r="F1605" s="99"/>
      <c r="G1605" s="131"/>
      <c r="H1605" s="126"/>
      <c r="J1605" s="106"/>
    </row>
    <row r="1606" spans="1:10" s="96" customFormat="1">
      <c r="A1606" s="106"/>
      <c r="B1606" s="99"/>
      <c r="C1606" s="106"/>
      <c r="F1606" s="99"/>
      <c r="G1606" s="131"/>
      <c r="H1606" s="126"/>
      <c r="J1606" s="106"/>
    </row>
    <row r="1607" spans="1:10" s="96" customFormat="1">
      <c r="A1607" s="106"/>
      <c r="B1607" s="99"/>
      <c r="C1607" s="106"/>
      <c r="F1607" s="99"/>
      <c r="G1607" s="131"/>
      <c r="H1607" s="126"/>
      <c r="J1607" s="106"/>
    </row>
    <row r="1608" spans="1:10" s="96" customFormat="1">
      <c r="A1608" s="106"/>
      <c r="B1608" s="99"/>
      <c r="C1608" s="106"/>
      <c r="F1608" s="99"/>
      <c r="G1608" s="131"/>
      <c r="H1608" s="126"/>
      <c r="J1608" s="106"/>
    </row>
    <row r="1609" spans="1:10" s="96" customFormat="1">
      <c r="A1609" s="106"/>
      <c r="B1609" s="99"/>
      <c r="C1609" s="106"/>
      <c r="F1609" s="99"/>
      <c r="G1609" s="131"/>
      <c r="H1609" s="126"/>
      <c r="J1609" s="106"/>
    </row>
    <row r="1610" spans="1:10" s="96" customFormat="1">
      <c r="A1610" s="106"/>
      <c r="B1610" s="99"/>
      <c r="C1610" s="106"/>
      <c r="F1610" s="99"/>
      <c r="G1610" s="131"/>
      <c r="H1610" s="126"/>
      <c r="J1610" s="106"/>
    </row>
    <row r="1611" spans="1:10" s="96" customFormat="1">
      <c r="A1611" s="106"/>
      <c r="B1611" s="99"/>
      <c r="C1611" s="106"/>
      <c r="F1611" s="99"/>
      <c r="G1611" s="131"/>
      <c r="H1611" s="126"/>
      <c r="J1611" s="106"/>
    </row>
    <row r="1612" spans="1:10" s="96" customFormat="1">
      <c r="A1612" s="106"/>
      <c r="B1612" s="99"/>
      <c r="C1612" s="106"/>
      <c r="F1612" s="99"/>
      <c r="G1612" s="131"/>
      <c r="H1612" s="126"/>
      <c r="J1612" s="106"/>
    </row>
    <row r="1613" spans="1:10" s="96" customFormat="1">
      <c r="A1613" s="106"/>
      <c r="B1613" s="99"/>
      <c r="C1613" s="106"/>
      <c r="F1613" s="99"/>
      <c r="G1613" s="131"/>
      <c r="H1613" s="126"/>
      <c r="J1613" s="106"/>
    </row>
    <row r="1614" spans="1:10" s="96" customFormat="1">
      <c r="A1614" s="106"/>
      <c r="B1614" s="99"/>
      <c r="C1614" s="106"/>
      <c r="F1614" s="99"/>
      <c r="G1614" s="131"/>
      <c r="H1614" s="126"/>
      <c r="J1614" s="106"/>
    </row>
    <row r="1615" spans="1:10" s="96" customFormat="1">
      <c r="A1615" s="106"/>
      <c r="B1615" s="99"/>
      <c r="C1615" s="106"/>
      <c r="F1615" s="99"/>
      <c r="G1615" s="131"/>
      <c r="H1615" s="126"/>
      <c r="J1615" s="106"/>
    </row>
    <row r="1616" spans="1:10" s="96" customFormat="1">
      <c r="A1616" s="106"/>
      <c r="B1616" s="99"/>
      <c r="C1616" s="106"/>
      <c r="F1616" s="99"/>
      <c r="G1616" s="131"/>
      <c r="H1616" s="126"/>
      <c r="J1616" s="106"/>
    </row>
    <row r="1617" spans="1:10" s="96" customFormat="1">
      <c r="A1617" s="106"/>
      <c r="B1617" s="99"/>
      <c r="C1617" s="106"/>
      <c r="F1617" s="99"/>
      <c r="G1617" s="131"/>
      <c r="H1617" s="126"/>
      <c r="J1617" s="106"/>
    </row>
    <row r="1618" spans="1:10" s="96" customFormat="1">
      <c r="A1618" s="106"/>
      <c r="B1618" s="99"/>
      <c r="C1618" s="106"/>
      <c r="F1618" s="99"/>
      <c r="G1618" s="131"/>
      <c r="H1618" s="126"/>
      <c r="J1618" s="106"/>
    </row>
    <row r="1619" spans="1:10" s="96" customFormat="1">
      <c r="A1619" s="106"/>
      <c r="B1619" s="99"/>
      <c r="C1619" s="106"/>
      <c r="F1619" s="99"/>
      <c r="G1619" s="131"/>
      <c r="H1619" s="126"/>
      <c r="J1619" s="106"/>
    </row>
    <row r="1620" spans="1:10" s="96" customFormat="1">
      <c r="A1620" s="106"/>
      <c r="B1620" s="99"/>
      <c r="C1620" s="106"/>
      <c r="F1620" s="99"/>
      <c r="G1620" s="131"/>
      <c r="H1620" s="126"/>
      <c r="J1620" s="106"/>
    </row>
    <row r="1621" spans="1:10" s="96" customFormat="1">
      <c r="A1621" s="106"/>
      <c r="B1621" s="99"/>
      <c r="C1621" s="106"/>
      <c r="F1621" s="99"/>
      <c r="G1621" s="131"/>
      <c r="H1621" s="126"/>
      <c r="J1621" s="106"/>
    </row>
    <row r="1622" spans="1:10" s="96" customFormat="1">
      <c r="A1622" s="106"/>
      <c r="B1622" s="99"/>
      <c r="C1622" s="106"/>
      <c r="F1622" s="99"/>
      <c r="G1622" s="131"/>
      <c r="H1622" s="126"/>
      <c r="J1622" s="106"/>
    </row>
    <row r="1623" spans="1:10" s="96" customFormat="1">
      <c r="A1623" s="106"/>
      <c r="B1623" s="99"/>
      <c r="C1623" s="106"/>
      <c r="F1623" s="99"/>
      <c r="G1623" s="131"/>
      <c r="H1623" s="126"/>
      <c r="J1623" s="106"/>
    </row>
    <row r="1624" spans="1:10" s="96" customFormat="1">
      <c r="A1624" s="106"/>
      <c r="B1624" s="99"/>
      <c r="C1624" s="106"/>
      <c r="F1624" s="99"/>
      <c r="G1624" s="131"/>
      <c r="H1624" s="126"/>
      <c r="J1624" s="106"/>
    </row>
    <row r="1625" spans="1:10" s="96" customFormat="1">
      <c r="A1625" s="106"/>
      <c r="B1625" s="99"/>
      <c r="C1625" s="106"/>
      <c r="F1625" s="99"/>
      <c r="G1625" s="131"/>
      <c r="H1625" s="126"/>
      <c r="J1625" s="106"/>
    </row>
    <row r="1626" spans="1:10" s="96" customFormat="1">
      <c r="A1626" s="106"/>
      <c r="B1626" s="99"/>
      <c r="C1626" s="106"/>
      <c r="F1626" s="99"/>
      <c r="G1626" s="131"/>
      <c r="H1626" s="126"/>
      <c r="J1626" s="106"/>
    </row>
    <row r="1627" spans="1:10" s="96" customFormat="1">
      <c r="A1627" s="106"/>
      <c r="B1627" s="99"/>
      <c r="C1627" s="106"/>
      <c r="F1627" s="99"/>
      <c r="G1627" s="131"/>
      <c r="H1627" s="126"/>
      <c r="J1627" s="106"/>
    </row>
    <row r="1628" spans="1:10" s="96" customFormat="1">
      <c r="A1628" s="106"/>
      <c r="B1628" s="99"/>
      <c r="C1628" s="106"/>
      <c r="F1628" s="99"/>
      <c r="G1628" s="131"/>
      <c r="H1628" s="126"/>
      <c r="J1628" s="106"/>
    </row>
    <row r="1629" spans="1:10" s="96" customFormat="1">
      <c r="A1629" s="106"/>
      <c r="B1629" s="99"/>
      <c r="C1629" s="106"/>
      <c r="F1629" s="99"/>
      <c r="G1629" s="131"/>
      <c r="H1629" s="126"/>
      <c r="J1629" s="106"/>
    </row>
    <row r="1630" spans="1:10" s="96" customFormat="1">
      <c r="A1630" s="106"/>
      <c r="B1630" s="99"/>
      <c r="C1630" s="106"/>
      <c r="F1630" s="99"/>
      <c r="G1630" s="131"/>
      <c r="H1630" s="126"/>
      <c r="J1630" s="106"/>
    </row>
    <row r="1631" spans="1:10" s="96" customFormat="1">
      <c r="A1631" s="106"/>
      <c r="B1631" s="99"/>
      <c r="C1631" s="106"/>
      <c r="F1631" s="99"/>
      <c r="G1631" s="131"/>
      <c r="H1631" s="126"/>
      <c r="J1631" s="106"/>
    </row>
    <row r="1632" spans="1:10" s="96" customFormat="1">
      <c r="A1632" s="106"/>
      <c r="B1632" s="99"/>
      <c r="C1632" s="106"/>
      <c r="F1632" s="99"/>
      <c r="G1632" s="131"/>
      <c r="H1632" s="126"/>
      <c r="J1632" s="106"/>
    </row>
    <row r="1633" spans="1:10" s="96" customFormat="1">
      <c r="A1633" s="106"/>
      <c r="B1633" s="99"/>
      <c r="C1633" s="106"/>
      <c r="F1633" s="99"/>
      <c r="G1633" s="131"/>
      <c r="H1633" s="126"/>
      <c r="J1633" s="106"/>
    </row>
    <row r="1634" spans="1:10" s="96" customFormat="1">
      <c r="A1634" s="106"/>
      <c r="B1634" s="99"/>
      <c r="C1634" s="106"/>
      <c r="F1634" s="99"/>
      <c r="G1634" s="131"/>
      <c r="H1634" s="126"/>
      <c r="J1634" s="106"/>
    </row>
    <row r="1635" spans="1:10" s="96" customFormat="1">
      <c r="A1635" s="106"/>
      <c r="B1635" s="99"/>
      <c r="C1635" s="106"/>
      <c r="F1635" s="99"/>
      <c r="G1635" s="131"/>
      <c r="H1635" s="126"/>
      <c r="J1635" s="106"/>
    </row>
    <row r="1636" spans="1:10" s="96" customFormat="1">
      <c r="A1636" s="106"/>
      <c r="B1636" s="99"/>
      <c r="C1636" s="106"/>
      <c r="F1636" s="99"/>
      <c r="G1636" s="131"/>
      <c r="H1636" s="126"/>
      <c r="J1636" s="106"/>
    </row>
    <row r="1637" spans="1:10" s="96" customFormat="1">
      <c r="A1637" s="106"/>
      <c r="B1637" s="99"/>
      <c r="C1637" s="106"/>
      <c r="F1637" s="99"/>
      <c r="G1637" s="131"/>
      <c r="H1637" s="126"/>
      <c r="J1637" s="106"/>
    </row>
    <row r="1638" spans="1:10" s="96" customFormat="1">
      <c r="A1638" s="106"/>
      <c r="B1638" s="99"/>
      <c r="C1638" s="106"/>
      <c r="F1638" s="99"/>
      <c r="G1638" s="131"/>
      <c r="H1638" s="126"/>
      <c r="J1638" s="106"/>
    </row>
    <row r="1639" spans="1:10" s="96" customFormat="1">
      <c r="A1639" s="106"/>
      <c r="B1639" s="99"/>
      <c r="C1639" s="106"/>
      <c r="F1639" s="99"/>
      <c r="G1639" s="131"/>
      <c r="H1639" s="126"/>
      <c r="J1639" s="106"/>
    </row>
    <row r="1640" spans="1:10" s="96" customFormat="1">
      <c r="A1640" s="106"/>
      <c r="B1640" s="99"/>
      <c r="C1640" s="106"/>
      <c r="F1640" s="99"/>
      <c r="G1640" s="131"/>
      <c r="H1640" s="126"/>
      <c r="J1640" s="106"/>
    </row>
    <row r="1641" spans="1:10" s="96" customFormat="1">
      <c r="A1641" s="106"/>
      <c r="B1641" s="99"/>
      <c r="C1641" s="106"/>
      <c r="F1641" s="99"/>
      <c r="G1641" s="131"/>
      <c r="H1641" s="126"/>
      <c r="J1641" s="106"/>
    </row>
    <row r="1642" spans="1:10" s="96" customFormat="1">
      <c r="A1642" s="106"/>
      <c r="B1642" s="99"/>
      <c r="C1642" s="106"/>
      <c r="F1642" s="99"/>
      <c r="G1642" s="131"/>
      <c r="H1642" s="126"/>
      <c r="J1642" s="106"/>
    </row>
    <row r="1643" spans="1:10" s="96" customFormat="1">
      <c r="A1643" s="106"/>
      <c r="B1643" s="99"/>
      <c r="C1643" s="106"/>
      <c r="F1643" s="99"/>
      <c r="G1643" s="131"/>
      <c r="H1643" s="126"/>
      <c r="J1643" s="106"/>
    </row>
    <row r="1644" spans="1:10" s="96" customFormat="1">
      <c r="A1644" s="106"/>
      <c r="B1644" s="99"/>
      <c r="C1644" s="106"/>
      <c r="F1644" s="99"/>
      <c r="G1644" s="131"/>
      <c r="H1644" s="126"/>
      <c r="J1644" s="106"/>
    </row>
    <row r="1645" spans="1:10" s="96" customFormat="1">
      <c r="A1645" s="106"/>
      <c r="B1645" s="99"/>
      <c r="C1645" s="106"/>
      <c r="F1645" s="99"/>
      <c r="G1645" s="131"/>
      <c r="H1645" s="126"/>
      <c r="J1645" s="106"/>
    </row>
    <row r="1646" spans="1:10" s="96" customFormat="1">
      <c r="A1646" s="106"/>
      <c r="B1646" s="99"/>
      <c r="C1646" s="106"/>
      <c r="F1646" s="99"/>
      <c r="G1646" s="131"/>
      <c r="H1646" s="126"/>
      <c r="J1646" s="106"/>
    </row>
    <row r="1647" spans="1:10" s="96" customFormat="1">
      <c r="A1647" s="106"/>
      <c r="B1647" s="99"/>
      <c r="C1647" s="106"/>
      <c r="F1647" s="99"/>
      <c r="G1647" s="131"/>
      <c r="H1647" s="126"/>
      <c r="J1647" s="106"/>
    </row>
    <row r="1648" spans="1:10" s="96" customFormat="1">
      <c r="A1648" s="106"/>
      <c r="B1648" s="99"/>
      <c r="C1648" s="106"/>
      <c r="F1648" s="99"/>
      <c r="G1648" s="131"/>
      <c r="H1648" s="126"/>
      <c r="J1648" s="106"/>
    </row>
    <row r="1649" spans="1:10" s="96" customFormat="1">
      <c r="A1649" s="106"/>
      <c r="B1649" s="99"/>
      <c r="C1649" s="106"/>
      <c r="F1649" s="99"/>
      <c r="G1649" s="131"/>
      <c r="H1649" s="126"/>
      <c r="J1649" s="106"/>
    </row>
    <row r="1650" spans="1:10" s="96" customFormat="1">
      <c r="A1650" s="106"/>
      <c r="B1650" s="99"/>
      <c r="C1650" s="106"/>
      <c r="F1650" s="99"/>
      <c r="G1650" s="131"/>
      <c r="H1650" s="126"/>
      <c r="J1650" s="106"/>
    </row>
    <row r="1651" spans="1:10" s="96" customFormat="1">
      <c r="A1651" s="106"/>
      <c r="B1651" s="99"/>
      <c r="C1651" s="106"/>
      <c r="F1651" s="99"/>
      <c r="G1651" s="131"/>
      <c r="H1651" s="126"/>
      <c r="J1651" s="106"/>
    </row>
    <row r="1652" spans="1:10" s="96" customFormat="1">
      <c r="A1652" s="106"/>
      <c r="B1652" s="99"/>
      <c r="C1652" s="106"/>
      <c r="F1652" s="99"/>
      <c r="G1652" s="131"/>
      <c r="H1652" s="126"/>
      <c r="J1652" s="106"/>
    </row>
    <row r="1653" spans="1:10" s="96" customFormat="1">
      <c r="A1653" s="106"/>
      <c r="B1653" s="99"/>
      <c r="C1653" s="106"/>
      <c r="F1653" s="99"/>
      <c r="G1653" s="131"/>
      <c r="H1653" s="126"/>
      <c r="J1653" s="106"/>
    </row>
    <row r="1654" spans="1:10" s="96" customFormat="1">
      <c r="A1654" s="106"/>
      <c r="B1654" s="99"/>
      <c r="C1654" s="106"/>
      <c r="F1654" s="99"/>
      <c r="G1654" s="131"/>
      <c r="H1654" s="126"/>
      <c r="J1654" s="106"/>
    </row>
    <row r="1655" spans="1:10" s="96" customFormat="1">
      <c r="A1655" s="106"/>
      <c r="B1655" s="99"/>
      <c r="C1655" s="106"/>
      <c r="F1655" s="99"/>
      <c r="G1655" s="131"/>
      <c r="H1655" s="126"/>
      <c r="J1655" s="106"/>
    </row>
    <row r="1656" spans="1:10" s="96" customFormat="1">
      <c r="A1656" s="106"/>
      <c r="B1656" s="99"/>
      <c r="C1656" s="106"/>
      <c r="F1656" s="99"/>
      <c r="G1656" s="131"/>
      <c r="H1656" s="126"/>
      <c r="J1656" s="106"/>
    </row>
    <row r="1657" spans="1:10" s="96" customFormat="1">
      <c r="A1657" s="106"/>
      <c r="B1657" s="99"/>
      <c r="C1657" s="106"/>
      <c r="F1657" s="99"/>
      <c r="G1657" s="131"/>
      <c r="H1657" s="126"/>
      <c r="J1657" s="106"/>
    </row>
    <row r="1658" spans="1:10" s="96" customFormat="1">
      <c r="A1658" s="106"/>
      <c r="B1658" s="99"/>
      <c r="C1658" s="106"/>
      <c r="F1658" s="99"/>
      <c r="G1658" s="131"/>
      <c r="H1658" s="126"/>
      <c r="J1658" s="106"/>
    </row>
    <row r="1659" spans="1:10" s="96" customFormat="1">
      <c r="A1659" s="106"/>
      <c r="B1659" s="99"/>
      <c r="C1659" s="106"/>
      <c r="F1659" s="99"/>
      <c r="G1659" s="131"/>
      <c r="H1659" s="126"/>
      <c r="J1659" s="106"/>
    </row>
    <row r="1660" spans="1:10" s="96" customFormat="1">
      <c r="A1660" s="106"/>
      <c r="B1660" s="99"/>
      <c r="C1660" s="106"/>
      <c r="F1660" s="99"/>
      <c r="G1660" s="131"/>
      <c r="H1660" s="126"/>
      <c r="J1660" s="106"/>
    </row>
    <row r="1661" spans="1:10" s="96" customFormat="1">
      <c r="A1661" s="106"/>
      <c r="B1661" s="99"/>
      <c r="C1661" s="106"/>
      <c r="F1661" s="99"/>
      <c r="G1661" s="131"/>
      <c r="H1661" s="126"/>
      <c r="J1661" s="106"/>
    </row>
    <row r="1662" spans="1:10" s="96" customFormat="1">
      <c r="A1662" s="106"/>
      <c r="B1662" s="99"/>
      <c r="C1662" s="106"/>
      <c r="F1662" s="99"/>
      <c r="G1662" s="131"/>
      <c r="H1662" s="126"/>
      <c r="J1662" s="106"/>
    </row>
    <row r="1663" spans="1:10" s="96" customFormat="1">
      <c r="A1663" s="106"/>
      <c r="B1663" s="99"/>
      <c r="C1663" s="106"/>
      <c r="F1663" s="99"/>
      <c r="G1663" s="131"/>
      <c r="H1663" s="126"/>
      <c r="J1663" s="106"/>
    </row>
    <row r="1664" spans="1:10" s="96" customFormat="1">
      <c r="A1664" s="106"/>
      <c r="B1664" s="99"/>
      <c r="C1664" s="106"/>
      <c r="F1664" s="99"/>
      <c r="G1664" s="131"/>
      <c r="H1664" s="126"/>
      <c r="J1664" s="106"/>
    </row>
    <row r="1665" spans="1:10" s="96" customFormat="1">
      <c r="A1665" s="106"/>
      <c r="B1665" s="99"/>
      <c r="C1665" s="106"/>
      <c r="F1665" s="99"/>
      <c r="G1665" s="131"/>
      <c r="H1665" s="126"/>
      <c r="J1665" s="106"/>
    </row>
    <row r="1666" spans="1:10" s="96" customFormat="1">
      <c r="A1666" s="106"/>
      <c r="B1666" s="99"/>
      <c r="C1666" s="106"/>
      <c r="F1666" s="99"/>
      <c r="G1666" s="131"/>
      <c r="H1666" s="126"/>
      <c r="J1666" s="106"/>
    </row>
    <row r="1667" spans="1:10" s="96" customFormat="1">
      <c r="A1667" s="106"/>
      <c r="B1667" s="99"/>
      <c r="C1667" s="106"/>
      <c r="F1667" s="99"/>
      <c r="G1667" s="131"/>
      <c r="H1667" s="126"/>
      <c r="J1667" s="106"/>
    </row>
    <row r="1668" spans="1:10" s="96" customFormat="1">
      <c r="A1668" s="106"/>
      <c r="B1668" s="99"/>
      <c r="C1668" s="106"/>
      <c r="F1668" s="99"/>
      <c r="G1668" s="131"/>
      <c r="H1668" s="126"/>
      <c r="J1668" s="106"/>
    </row>
    <row r="1669" spans="1:10" s="96" customFormat="1">
      <c r="A1669" s="106"/>
      <c r="B1669" s="99"/>
      <c r="C1669" s="106"/>
      <c r="F1669" s="99"/>
      <c r="G1669" s="131"/>
      <c r="H1669" s="126"/>
      <c r="J1669" s="106"/>
    </row>
    <row r="1670" spans="1:10" s="96" customFormat="1">
      <c r="A1670" s="106"/>
      <c r="B1670" s="99"/>
      <c r="C1670" s="106"/>
      <c r="F1670" s="99"/>
      <c r="G1670" s="131"/>
      <c r="H1670" s="126"/>
      <c r="J1670" s="106"/>
    </row>
    <row r="1671" spans="1:10" s="96" customFormat="1">
      <c r="A1671" s="106"/>
      <c r="B1671" s="99"/>
      <c r="C1671" s="106"/>
      <c r="F1671" s="99"/>
      <c r="G1671" s="131"/>
      <c r="H1671" s="126"/>
      <c r="J1671" s="106"/>
    </row>
    <row r="1672" spans="1:10" s="96" customFormat="1">
      <c r="A1672" s="106"/>
      <c r="B1672" s="99"/>
      <c r="C1672" s="106"/>
      <c r="F1672" s="99"/>
      <c r="G1672" s="131"/>
      <c r="H1672" s="126"/>
      <c r="J1672" s="106"/>
    </row>
    <row r="1673" spans="1:10" s="96" customFormat="1">
      <c r="A1673" s="106"/>
      <c r="B1673" s="99"/>
      <c r="C1673" s="106"/>
      <c r="F1673" s="99"/>
      <c r="G1673" s="131"/>
      <c r="H1673" s="126"/>
      <c r="J1673" s="106"/>
    </row>
    <row r="1674" spans="1:10" s="96" customFormat="1">
      <c r="A1674" s="106"/>
      <c r="B1674" s="99"/>
      <c r="C1674" s="106"/>
      <c r="F1674" s="99"/>
      <c r="G1674" s="131"/>
      <c r="H1674" s="126"/>
      <c r="J1674" s="106"/>
    </row>
    <row r="1675" spans="1:10" s="96" customFormat="1">
      <c r="A1675" s="106"/>
      <c r="B1675" s="99"/>
      <c r="C1675" s="106"/>
      <c r="F1675" s="99"/>
      <c r="G1675" s="131"/>
      <c r="H1675" s="126"/>
      <c r="J1675" s="106"/>
    </row>
    <row r="1676" spans="1:10" s="96" customFormat="1">
      <c r="A1676" s="106"/>
      <c r="B1676" s="99"/>
      <c r="C1676" s="106"/>
      <c r="F1676" s="99"/>
      <c r="G1676" s="131"/>
      <c r="H1676" s="126"/>
      <c r="J1676" s="106"/>
    </row>
    <row r="1677" spans="1:10" s="96" customFormat="1">
      <c r="A1677" s="106"/>
      <c r="B1677" s="99"/>
      <c r="C1677" s="106"/>
      <c r="F1677" s="99"/>
      <c r="G1677" s="131"/>
      <c r="H1677" s="126"/>
      <c r="J1677" s="106"/>
    </row>
    <row r="1678" spans="1:10" s="96" customFormat="1">
      <c r="A1678" s="106"/>
      <c r="B1678" s="99"/>
      <c r="C1678" s="106"/>
      <c r="F1678" s="99"/>
      <c r="G1678" s="131"/>
      <c r="H1678" s="126"/>
      <c r="J1678" s="106"/>
    </row>
    <row r="1679" spans="1:10" s="96" customFormat="1">
      <c r="A1679" s="106"/>
      <c r="B1679" s="99"/>
      <c r="C1679" s="106"/>
      <c r="F1679" s="99"/>
      <c r="G1679" s="131"/>
      <c r="H1679" s="126"/>
      <c r="J1679" s="106"/>
    </row>
    <row r="1680" spans="1:10" s="96" customFormat="1">
      <c r="A1680" s="106"/>
      <c r="B1680" s="99"/>
      <c r="C1680" s="106"/>
      <c r="F1680" s="99"/>
      <c r="G1680" s="131"/>
      <c r="H1680" s="126"/>
      <c r="J1680" s="106"/>
    </row>
    <row r="1681" spans="1:10" s="96" customFormat="1">
      <c r="A1681" s="106"/>
      <c r="B1681" s="99"/>
      <c r="C1681" s="106"/>
      <c r="F1681" s="99"/>
      <c r="G1681" s="131"/>
      <c r="H1681" s="126"/>
      <c r="J1681" s="106"/>
    </row>
    <row r="1682" spans="1:10" s="96" customFormat="1">
      <c r="A1682" s="106"/>
      <c r="B1682" s="99"/>
      <c r="C1682" s="106"/>
      <c r="F1682" s="99"/>
      <c r="G1682" s="131"/>
      <c r="H1682" s="126"/>
      <c r="J1682" s="106"/>
    </row>
    <row r="1683" spans="1:10" s="96" customFormat="1">
      <c r="A1683" s="106"/>
      <c r="B1683" s="99"/>
      <c r="C1683" s="106"/>
      <c r="F1683" s="99"/>
      <c r="G1683" s="131"/>
      <c r="H1683" s="126"/>
      <c r="J1683" s="106"/>
    </row>
    <row r="1684" spans="1:10" s="96" customFormat="1">
      <c r="A1684" s="106"/>
      <c r="B1684" s="99"/>
      <c r="C1684" s="106"/>
      <c r="F1684" s="99"/>
      <c r="G1684" s="131"/>
      <c r="H1684" s="126"/>
      <c r="J1684" s="106"/>
    </row>
    <row r="1685" spans="1:10" s="96" customFormat="1">
      <c r="A1685" s="106"/>
      <c r="B1685" s="99"/>
      <c r="C1685" s="106"/>
      <c r="F1685" s="99"/>
      <c r="G1685" s="131"/>
      <c r="H1685" s="126"/>
      <c r="J1685" s="106"/>
    </row>
    <row r="1686" spans="1:10" s="96" customFormat="1">
      <c r="A1686" s="106"/>
      <c r="B1686" s="99"/>
      <c r="C1686" s="106"/>
      <c r="F1686" s="99"/>
      <c r="G1686" s="131"/>
      <c r="H1686" s="126"/>
      <c r="J1686" s="106"/>
    </row>
    <row r="1687" spans="1:10" s="96" customFormat="1">
      <c r="A1687" s="106"/>
      <c r="B1687" s="99"/>
      <c r="C1687" s="106"/>
      <c r="F1687" s="99"/>
      <c r="G1687" s="131"/>
      <c r="H1687" s="126"/>
      <c r="J1687" s="106"/>
    </row>
    <row r="1688" spans="1:10" s="96" customFormat="1">
      <c r="A1688" s="106"/>
      <c r="B1688" s="99"/>
      <c r="C1688" s="106"/>
      <c r="F1688" s="99"/>
      <c r="G1688" s="131"/>
      <c r="H1688" s="126"/>
      <c r="J1688" s="106"/>
    </row>
    <row r="1689" spans="1:10" s="96" customFormat="1">
      <c r="A1689" s="106"/>
      <c r="B1689" s="99"/>
      <c r="C1689" s="106"/>
      <c r="F1689" s="99"/>
      <c r="G1689" s="131"/>
      <c r="H1689" s="126"/>
      <c r="J1689" s="106"/>
    </row>
    <row r="1690" spans="1:10" s="96" customFormat="1">
      <c r="A1690" s="106"/>
      <c r="B1690" s="99"/>
      <c r="C1690" s="106"/>
      <c r="F1690" s="99"/>
      <c r="G1690" s="131"/>
      <c r="H1690" s="126"/>
      <c r="J1690" s="106"/>
    </row>
    <row r="1691" spans="1:10" s="96" customFormat="1">
      <c r="A1691" s="106"/>
      <c r="B1691" s="99"/>
      <c r="C1691" s="106"/>
      <c r="F1691" s="99"/>
      <c r="G1691" s="131"/>
      <c r="H1691" s="126"/>
      <c r="J1691" s="106"/>
    </row>
    <row r="1692" spans="1:10" s="96" customFormat="1">
      <c r="A1692" s="106"/>
      <c r="B1692" s="99"/>
      <c r="C1692" s="106"/>
      <c r="F1692" s="99"/>
      <c r="G1692" s="131"/>
      <c r="H1692" s="126"/>
      <c r="J1692" s="106"/>
    </row>
    <row r="1693" spans="1:10" s="96" customFormat="1">
      <c r="A1693" s="106"/>
      <c r="B1693" s="99"/>
      <c r="C1693" s="106"/>
      <c r="F1693" s="99"/>
      <c r="G1693" s="131"/>
      <c r="H1693" s="126"/>
      <c r="J1693" s="106"/>
    </row>
    <row r="1694" spans="1:10" s="96" customFormat="1">
      <c r="A1694" s="106"/>
      <c r="B1694" s="99"/>
      <c r="C1694" s="106"/>
      <c r="F1694" s="99"/>
      <c r="G1694" s="131"/>
      <c r="H1694" s="126"/>
      <c r="J1694" s="106"/>
    </row>
    <row r="1695" spans="1:10" s="96" customFormat="1">
      <c r="A1695" s="106"/>
      <c r="B1695" s="99"/>
      <c r="C1695" s="106"/>
      <c r="F1695" s="99"/>
      <c r="G1695" s="131"/>
      <c r="H1695" s="126"/>
      <c r="J1695" s="106"/>
    </row>
    <row r="1696" spans="1:10" s="96" customFormat="1">
      <c r="A1696" s="106"/>
      <c r="B1696" s="99"/>
      <c r="C1696" s="106"/>
      <c r="F1696" s="99"/>
      <c r="G1696" s="131"/>
      <c r="H1696" s="126"/>
      <c r="J1696" s="106"/>
    </row>
    <row r="1697" spans="1:10" s="96" customFormat="1">
      <c r="A1697" s="106"/>
      <c r="B1697" s="99"/>
      <c r="C1697" s="106"/>
      <c r="F1697" s="99"/>
      <c r="G1697" s="131"/>
      <c r="H1697" s="126"/>
      <c r="J1697" s="106"/>
    </row>
    <row r="1698" spans="1:10" s="96" customFormat="1">
      <c r="A1698" s="106"/>
      <c r="B1698" s="99"/>
      <c r="C1698" s="106"/>
      <c r="F1698" s="99"/>
      <c r="G1698" s="131"/>
      <c r="H1698" s="126"/>
      <c r="J1698" s="106"/>
    </row>
    <row r="1699" spans="1:10" s="96" customFormat="1">
      <c r="A1699" s="106"/>
      <c r="B1699" s="99"/>
      <c r="C1699" s="106"/>
      <c r="F1699" s="99"/>
      <c r="G1699" s="131"/>
      <c r="H1699" s="126"/>
      <c r="J1699" s="106"/>
    </row>
    <row r="1700" spans="1:10" s="96" customFormat="1">
      <c r="A1700" s="106"/>
      <c r="B1700" s="99"/>
      <c r="C1700" s="106"/>
      <c r="F1700" s="99"/>
      <c r="G1700" s="131"/>
      <c r="H1700" s="126"/>
      <c r="J1700" s="106"/>
    </row>
    <row r="1701" spans="1:10" s="96" customFormat="1">
      <c r="A1701" s="106"/>
      <c r="B1701" s="99"/>
      <c r="C1701" s="106"/>
      <c r="F1701" s="99"/>
      <c r="G1701" s="131"/>
      <c r="H1701" s="126"/>
      <c r="J1701" s="106"/>
    </row>
    <row r="1702" spans="1:10" s="96" customFormat="1">
      <c r="A1702" s="106"/>
      <c r="B1702" s="99"/>
      <c r="C1702" s="106"/>
      <c r="F1702" s="99"/>
      <c r="G1702" s="131"/>
      <c r="H1702" s="126"/>
      <c r="J1702" s="106"/>
    </row>
    <row r="1703" spans="1:10" s="96" customFormat="1">
      <c r="A1703" s="106"/>
      <c r="B1703" s="99"/>
      <c r="C1703" s="106"/>
      <c r="F1703" s="99"/>
      <c r="G1703" s="131"/>
      <c r="H1703" s="126"/>
      <c r="J1703" s="106"/>
    </row>
    <row r="1704" spans="1:10" s="96" customFormat="1">
      <c r="A1704" s="106"/>
      <c r="B1704" s="99"/>
      <c r="C1704" s="106"/>
      <c r="F1704" s="99"/>
      <c r="G1704" s="131"/>
      <c r="H1704" s="126"/>
      <c r="J1704" s="106"/>
    </row>
    <row r="1705" spans="1:10" s="96" customFormat="1">
      <c r="A1705" s="106"/>
      <c r="B1705" s="99"/>
      <c r="C1705" s="106"/>
      <c r="F1705" s="99"/>
      <c r="G1705" s="131"/>
      <c r="H1705" s="126"/>
      <c r="J1705" s="106"/>
    </row>
    <row r="1706" spans="1:10" s="96" customFormat="1">
      <c r="A1706" s="106"/>
      <c r="B1706" s="99"/>
      <c r="C1706" s="106"/>
      <c r="F1706" s="99"/>
      <c r="G1706" s="131"/>
      <c r="H1706" s="126"/>
      <c r="J1706" s="106"/>
    </row>
    <row r="1707" spans="1:10" s="96" customFormat="1">
      <c r="A1707" s="106"/>
      <c r="B1707" s="99"/>
      <c r="C1707" s="106"/>
      <c r="F1707" s="99"/>
      <c r="G1707" s="131"/>
      <c r="H1707" s="126"/>
      <c r="J1707" s="106"/>
    </row>
    <row r="1708" spans="1:10" s="96" customFormat="1">
      <c r="A1708" s="106"/>
      <c r="B1708" s="99"/>
      <c r="C1708" s="106"/>
      <c r="F1708" s="99"/>
      <c r="G1708" s="131"/>
      <c r="H1708" s="126"/>
      <c r="J1708" s="106"/>
    </row>
    <row r="1709" spans="1:10" s="96" customFormat="1">
      <c r="A1709" s="106"/>
      <c r="B1709" s="99"/>
      <c r="C1709" s="106"/>
      <c r="F1709" s="99"/>
      <c r="G1709" s="131"/>
      <c r="H1709" s="126"/>
      <c r="J1709" s="106"/>
    </row>
    <row r="1710" spans="1:10" s="96" customFormat="1">
      <c r="A1710" s="106"/>
      <c r="B1710" s="99"/>
      <c r="C1710" s="106"/>
      <c r="F1710" s="99"/>
      <c r="G1710" s="131"/>
      <c r="H1710" s="126"/>
      <c r="J1710" s="106"/>
    </row>
    <row r="1711" spans="1:10" s="96" customFormat="1">
      <c r="A1711" s="106"/>
      <c r="B1711" s="99"/>
      <c r="C1711" s="106"/>
      <c r="F1711" s="99"/>
      <c r="G1711" s="131"/>
      <c r="H1711" s="126"/>
      <c r="J1711" s="106"/>
    </row>
    <row r="1712" spans="1:10" s="96" customFormat="1">
      <c r="A1712" s="106"/>
      <c r="B1712" s="99"/>
      <c r="C1712" s="106"/>
      <c r="F1712" s="99"/>
      <c r="G1712" s="131"/>
      <c r="H1712" s="126"/>
      <c r="J1712" s="106"/>
    </row>
    <row r="1713" spans="1:10" s="96" customFormat="1">
      <c r="A1713" s="106"/>
      <c r="B1713" s="99"/>
      <c r="C1713" s="106"/>
      <c r="F1713" s="99"/>
      <c r="G1713" s="131"/>
      <c r="H1713" s="126"/>
      <c r="J1713" s="106"/>
    </row>
    <row r="1714" spans="1:10" s="96" customFormat="1">
      <c r="A1714" s="106"/>
      <c r="B1714" s="99"/>
      <c r="C1714" s="106"/>
      <c r="F1714" s="99"/>
      <c r="G1714" s="131"/>
      <c r="H1714" s="126"/>
      <c r="J1714" s="106"/>
    </row>
    <row r="1715" spans="1:10" s="96" customFormat="1">
      <c r="A1715" s="106"/>
      <c r="B1715" s="99"/>
      <c r="C1715" s="106"/>
      <c r="F1715" s="99"/>
      <c r="G1715" s="131"/>
      <c r="H1715" s="126"/>
      <c r="J1715" s="106"/>
    </row>
    <row r="1716" spans="1:10" s="96" customFormat="1">
      <c r="A1716" s="106"/>
      <c r="B1716" s="99"/>
      <c r="C1716" s="106"/>
      <c r="F1716" s="99"/>
      <c r="G1716" s="131"/>
      <c r="H1716" s="126"/>
      <c r="J1716" s="106"/>
    </row>
    <row r="1717" spans="1:10" s="96" customFormat="1">
      <c r="A1717" s="106"/>
      <c r="B1717" s="99"/>
      <c r="C1717" s="106"/>
      <c r="F1717" s="99"/>
      <c r="G1717" s="131"/>
      <c r="H1717" s="126"/>
      <c r="J1717" s="106"/>
    </row>
    <row r="1718" spans="1:10" s="96" customFormat="1">
      <c r="A1718" s="106"/>
      <c r="B1718" s="99"/>
      <c r="C1718" s="106"/>
      <c r="F1718" s="99"/>
      <c r="G1718" s="131"/>
      <c r="H1718" s="126"/>
      <c r="J1718" s="106"/>
    </row>
    <row r="1719" spans="1:10" s="96" customFormat="1">
      <c r="A1719" s="106"/>
      <c r="B1719" s="99"/>
      <c r="C1719" s="106"/>
      <c r="F1719" s="99"/>
      <c r="G1719" s="131"/>
      <c r="H1719" s="126"/>
      <c r="J1719" s="106"/>
    </row>
    <row r="1720" spans="1:10" s="96" customFormat="1">
      <c r="A1720" s="106"/>
      <c r="B1720" s="99"/>
      <c r="C1720" s="106"/>
      <c r="F1720" s="99"/>
      <c r="G1720" s="131"/>
      <c r="H1720" s="126"/>
      <c r="J1720" s="106"/>
    </row>
    <row r="1721" spans="1:10" s="96" customFormat="1">
      <c r="A1721" s="106"/>
      <c r="B1721" s="99"/>
      <c r="C1721" s="106"/>
      <c r="F1721" s="99"/>
      <c r="G1721" s="131"/>
      <c r="H1721" s="126"/>
      <c r="J1721" s="106"/>
    </row>
    <row r="1722" spans="1:10" s="96" customFormat="1">
      <c r="A1722" s="106"/>
      <c r="B1722" s="99"/>
      <c r="C1722" s="106"/>
      <c r="F1722" s="99"/>
      <c r="G1722" s="131"/>
      <c r="H1722" s="126"/>
      <c r="J1722" s="106"/>
    </row>
    <row r="1723" spans="1:10" s="96" customFormat="1">
      <c r="A1723" s="106"/>
      <c r="B1723" s="99"/>
      <c r="C1723" s="106"/>
      <c r="F1723" s="99"/>
      <c r="G1723" s="131"/>
      <c r="H1723" s="126"/>
      <c r="J1723" s="106"/>
    </row>
    <row r="1724" spans="1:10" s="96" customFormat="1">
      <c r="A1724" s="106"/>
      <c r="B1724" s="99"/>
      <c r="C1724" s="106"/>
      <c r="F1724" s="99"/>
      <c r="G1724" s="131"/>
      <c r="H1724" s="126"/>
      <c r="J1724" s="106"/>
    </row>
    <row r="1725" spans="1:10" s="96" customFormat="1">
      <c r="A1725" s="106"/>
      <c r="B1725" s="99"/>
      <c r="C1725" s="106"/>
      <c r="F1725" s="99"/>
      <c r="G1725" s="131"/>
      <c r="H1725" s="126"/>
      <c r="J1725" s="106"/>
    </row>
    <row r="1726" spans="1:10" s="96" customFormat="1">
      <c r="A1726" s="106"/>
      <c r="B1726" s="99"/>
      <c r="C1726" s="106"/>
      <c r="F1726" s="99"/>
      <c r="G1726" s="131"/>
      <c r="H1726" s="126"/>
      <c r="J1726" s="106"/>
    </row>
    <row r="1727" spans="1:10" s="96" customFormat="1">
      <c r="A1727" s="106"/>
      <c r="B1727" s="99"/>
      <c r="C1727" s="106"/>
      <c r="F1727" s="99"/>
      <c r="G1727" s="131"/>
      <c r="H1727" s="126"/>
      <c r="J1727" s="106"/>
    </row>
    <row r="1728" spans="1:10" s="96" customFormat="1">
      <c r="A1728" s="106"/>
      <c r="B1728" s="99"/>
      <c r="C1728" s="106"/>
      <c r="F1728" s="99"/>
      <c r="G1728" s="131"/>
      <c r="H1728" s="126"/>
      <c r="J1728" s="106"/>
    </row>
    <row r="1729" spans="1:10" s="96" customFormat="1">
      <c r="A1729" s="106"/>
      <c r="B1729" s="99"/>
      <c r="C1729" s="106"/>
      <c r="F1729" s="99"/>
      <c r="G1729" s="131"/>
      <c r="H1729" s="126"/>
      <c r="J1729" s="106"/>
    </row>
    <row r="1730" spans="1:10" s="96" customFormat="1">
      <c r="A1730" s="106"/>
      <c r="B1730" s="99"/>
      <c r="C1730" s="106"/>
      <c r="F1730" s="99"/>
      <c r="G1730" s="131"/>
      <c r="H1730" s="126"/>
      <c r="J1730" s="106"/>
    </row>
    <row r="1731" spans="1:10" s="96" customFormat="1">
      <c r="A1731" s="106"/>
      <c r="B1731" s="99"/>
      <c r="C1731" s="106"/>
      <c r="F1731" s="99"/>
      <c r="G1731" s="131"/>
      <c r="H1731" s="126"/>
      <c r="J1731" s="106"/>
    </row>
    <row r="1732" spans="1:10" s="96" customFormat="1">
      <c r="A1732" s="106"/>
      <c r="B1732" s="99"/>
      <c r="C1732" s="106"/>
      <c r="F1732" s="99"/>
      <c r="G1732" s="131"/>
      <c r="H1732" s="126"/>
      <c r="J1732" s="106"/>
    </row>
    <row r="1733" spans="1:10" s="96" customFormat="1">
      <c r="A1733" s="106"/>
      <c r="B1733" s="99"/>
      <c r="C1733" s="106"/>
      <c r="F1733" s="99"/>
      <c r="G1733" s="131"/>
      <c r="H1733" s="126"/>
      <c r="J1733" s="106"/>
    </row>
    <row r="1734" spans="1:10" s="96" customFormat="1">
      <c r="A1734" s="106"/>
      <c r="B1734" s="99"/>
      <c r="C1734" s="106"/>
      <c r="F1734" s="99"/>
      <c r="G1734" s="131"/>
      <c r="H1734" s="126"/>
      <c r="J1734" s="106"/>
    </row>
    <row r="1735" spans="1:10" s="96" customFormat="1">
      <c r="A1735" s="106"/>
      <c r="B1735" s="99"/>
      <c r="C1735" s="106"/>
      <c r="F1735" s="99"/>
      <c r="G1735" s="131"/>
      <c r="H1735" s="126"/>
      <c r="J1735" s="106"/>
    </row>
    <row r="1736" spans="1:10" s="96" customFormat="1">
      <c r="A1736" s="106"/>
      <c r="B1736" s="99"/>
      <c r="C1736" s="106"/>
      <c r="F1736" s="99"/>
      <c r="G1736" s="131"/>
      <c r="H1736" s="126"/>
      <c r="J1736" s="106"/>
    </row>
    <row r="1737" spans="1:10" s="96" customFormat="1">
      <c r="A1737" s="106"/>
      <c r="B1737" s="99"/>
      <c r="C1737" s="106"/>
      <c r="F1737" s="99"/>
      <c r="G1737" s="131"/>
      <c r="H1737" s="126"/>
      <c r="J1737" s="106"/>
    </row>
    <row r="1738" spans="1:10" s="96" customFormat="1">
      <c r="A1738" s="106"/>
      <c r="B1738" s="99"/>
      <c r="C1738" s="106"/>
      <c r="F1738" s="99"/>
      <c r="G1738" s="131"/>
      <c r="H1738" s="126"/>
      <c r="J1738" s="106"/>
    </row>
    <row r="1739" spans="1:10" s="96" customFormat="1">
      <c r="A1739" s="106"/>
      <c r="B1739" s="99"/>
      <c r="C1739" s="106"/>
      <c r="F1739" s="99"/>
      <c r="G1739" s="131"/>
      <c r="H1739" s="126"/>
      <c r="J1739" s="106"/>
    </row>
    <row r="1740" spans="1:10" s="96" customFormat="1">
      <c r="A1740" s="106"/>
      <c r="B1740" s="99"/>
      <c r="C1740" s="106"/>
      <c r="F1740" s="99"/>
      <c r="G1740" s="131"/>
      <c r="H1740" s="126"/>
      <c r="J1740" s="106"/>
    </row>
    <row r="1741" spans="1:10" s="96" customFormat="1">
      <c r="A1741" s="106"/>
      <c r="B1741" s="99"/>
      <c r="C1741" s="106"/>
      <c r="F1741" s="99"/>
      <c r="G1741" s="131"/>
      <c r="H1741" s="126"/>
      <c r="J1741" s="106"/>
    </row>
    <row r="1742" spans="1:10" s="96" customFormat="1">
      <c r="A1742" s="106"/>
      <c r="B1742" s="99"/>
      <c r="C1742" s="106"/>
      <c r="F1742" s="99"/>
      <c r="G1742" s="131"/>
      <c r="H1742" s="126"/>
      <c r="J1742" s="106"/>
    </row>
    <row r="1743" spans="1:10" s="96" customFormat="1">
      <c r="A1743" s="106"/>
      <c r="B1743" s="99"/>
      <c r="C1743" s="106"/>
      <c r="F1743" s="99"/>
      <c r="G1743" s="131"/>
      <c r="H1743" s="126"/>
      <c r="J1743" s="106"/>
    </row>
    <row r="1744" spans="1:10" s="96" customFormat="1">
      <c r="A1744" s="106"/>
      <c r="B1744" s="99"/>
      <c r="C1744" s="106"/>
      <c r="F1744" s="99"/>
      <c r="G1744" s="131"/>
      <c r="H1744" s="126"/>
      <c r="J1744" s="106"/>
    </row>
    <row r="1745" spans="1:10" s="96" customFormat="1">
      <c r="A1745" s="106"/>
      <c r="B1745" s="99"/>
      <c r="C1745" s="106"/>
      <c r="F1745" s="99"/>
      <c r="G1745" s="131"/>
      <c r="H1745" s="126"/>
      <c r="J1745" s="106"/>
    </row>
    <row r="1746" spans="1:10" s="96" customFormat="1">
      <c r="A1746" s="106"/>
      <c r="B1746" s="99"/>
      <c r="C1746" s="106"/>
      <c r="F1746" s="99"/>
      <c r="G1746" s="131"/>
      <c r="H1746" s="126"/>
      <c r="J1746" s="106"/>
    </row>
    <row r="1747" spans="1:10" s="96" customFormat="1">
      <c r="A1747" s="106"/>
      <c r="B1747" s="99"/>
      <c r="C1747" s="106"/>
      <c r="F1747" s="99"/>
      <c r="G1747" s="131"/>
      <c r="H1747" s="126"/>
      <c r="J1747" s="106"/>
    </row>
    <row r="1748" spans="1:10" s="96" customFormat="1">
      <c r="A1748" s="106"/>
      <c r="B1748" s="99"/>
      <c r="C1748" s="106"/>
      <c r="F1748" s="99"/>
      <c r="G1748" s="131"/>
      <c r="H1748" s="126"/>
      <c r="J1748" s="106"/>
    </row>
    <row r="1749" spans="1:10" s="96" customFormat="1">
      <c r="A1749" s="106"/>
      <c r="B1749" s="99"/>
      <c r="C1749" s="106"/>
      <c r="F1749" s="99"/>
      <c r="G1749" s="131"/>
      <c r="H1749" s="126"/>
      <c r="J1749" s="106"/>
    </row>
    <row r="1750" spans="1:10" s="96" customFormat="1">
      <c r="A1750" s="106"/>
      <c r="B1750" s="99"/>
      <c r="C1750" s="106"/>
      <c r="F1750" s="99"/>
      <c r="G1750" s="131"/>
      <c r="H1750" s="126"/>
      <c r="J1750" s="106"/>
    </row>
    <row r="1751" spans="1:10" s="96" customFormat="1">
      <c r="A1751" s="106"/>
      <c r="B1751" s="99"/>
      <c r="C1751" s="106"/>
      <c r="F1751" s="99"/>
      <c r="G1751" s="131"/>
      <c r="H1751" s="126"/>
      <c r="J1751" s="106"/>
    </row>
    <row r="1752" spans="1:10" s="96" customFormat="1">
      <c r="A1752" s="106"/>
      <c r="B1752" s="99"/>
      <c r="C1752" s="106"/>
      <c r="F1752" s="99"/>
      <c r="G1752" s="131"/>
      <c r="H1752" s="126"/>
      <c r="J1752" s="106"/>
    </row>
    <row r="1753" spans="1:10" s="96" customFormat="1">
      <c r="A1753" s="106"/>
      <c r="B1753" s="99"/>
      <c r="C1753" s="106"/>
      <c r="F1753" s="99"/>
      <c r="G1753" s="131"/>
      <c r="H1753" s="126"/>
      <c r="J1753" s="106"/>
    </row>
    <row r="1754" spans="1:10" s="96" customFormat="1">
      <c r="A1754" s="106"/>
      <c r="B1754" s="99"/>
      <c r="C1754" s="106"/>
      <c r="F1754" s="99"/>
      <c r="G1754" s="131"/>
      <c r="H1754" s="126"/>
      <c r="J1754" s="106"/>
    </row>
    <row r="1755" spans="1:10" s="96" customFormat="1">
      <c r="A1755" s="106"/>
      <c r="B1755" s="99"/>
      <c r="C1755" s="106"/>
      <c r="F1755" s="99"/>
      <c r="G1755" s="131"/>
      <c r="H1755" s="126"/>
      <c r="J1755" s="106"/>
    </row>
    <row r="1756" spans="1:10" s="96" customFormat="1">
      <c r="A1756" s="106"/>
      <c r="B1756" s="99"/>
      <c r="C1756" s="106"/>
      <c r="F1756" s="99"/>
      <c r="G1756" s="131"/>
      <c r="H1756" s="126"/>
      <c r="J1756" s="106"/>
    </row>
    <row r="1757" spans="1:10" s="96" customFormat="1">
      <c r="A1757" s="106"/>
      <c r="B1757" s="99"/>
      <c r="C1757" s="106"/>
      <c r="F1757" s="99"/>
      <c r="G1757" s="131"/>
      <c r="H1757" s="126"/>
      <c r="J1757" s="106"/>
    </row>
    <row r="1758" spans="1:10" s="96" customFormat="1">
      <c r="A1758" s="106"/>
      <c r="B1758" s="99"/>
      <c r="C1758" s="106"/>
      <c r="F1758" s="99"/>
      <c r="G1758" s="131"/>
      <c r="H1758" s="126"/>
      <c r="J1758" s="106"/>
    </row>
    <row r="1759" spans="1:10" s="96" customFormat="1">
      <c r="A1759" s="106"/>
      <c r="B1759" s="99"/>
      <c r="C1759" s="106"/>
      <c r="F1759" s="99"/>
      <c r="G1759" s="131"/>
      <c r="H1759" s="126"/>
      <c r="J1759" s="106"/>
    </row>
    <row r="1760" spans="1:10" s="96" customFormat="1">
      <c r="A1760" s="106"/>
      <c r="B1760" s="99"/>
      <c r="C1760" s="106"/>
      <c r="F1760" s="99"/>
      <c r="G1760" s="131"/>
      <c r="H1760" s="126"/>
      <c r="J1760" s="106"/>
    </row>
    <row r="1761" spans="1:10" s="96" customFormat="1">
      <c r="A1761" s="106"/>
      <c r="B1761" s="99"/>
      <c r="C1761" s="106"/>
      <c r="F1761" s="99"/>
      <c r="G1761" s="131"/>
      <c r="H1761" s="126"/>
      <c r="J1761" s="106"/>
    </row>
    <row r="1762" spans="1:10" s="96" customFormat="1">
      <c r="A1762" s="106"/>
      <c r="B1762" s="99"/>
      <c r="C1762" s="106"/>
      <c r="F1762" s="99"/>
      <c r="G1762" s="131"/>
      <c r="H1762" s="126"/>
      <c r="J1762" s="106"/>
    </row>
    <row r="1763" spans="1:10" s="96" customFormat="1">
      <c r="A1763" s="106"/>
      <c r="B1763" s="99"/>
      <c r="C1763" s="106"/>
      <c r="F1763" s="99"/>
      <c r="G1763" s="131"/>
      <c r="H1763" s="126"/>
      <c r="J1763" s="106"/>
    </row>
    <row r="1764" spans="1:10" s="96" customFormat="1">
      <c r="A1764" s="106"/>
      <c r="B1764" s="99"/>
      <c r="C1764" s="106"/>
      <c r="F1764" s="99"/>
      <c r="G1764" s="131"/>
      <c r="H1764" s="126"/>
      <c r="J1764" s="106"/>
    </row>
    <row r="1765" spans="1:10" s="96" customFormat="1">
      <c r="A1765" s="106"/>
      <c r="B1765" s="99"/>
      <c r="C1765" s="106"/>
      <c r="F1765" s="99"/>
      <c r="G1765" s="131"/>
      <c r="H1765" s="126"/>
      <c r="J1765" s="106"/>
    </row>
    <row r="1766" spans="1:10" s="96" customFormat="1">
      <c r="A1766" s="106"/>
      <c r="B1766" s="99"/>
      <c r="C1766" s="106"/>
      <c r="F1766" s="99"/>
      <c r="G1766" s="131"/>
      <c r="H1766" s="126"/>
      <c r="J1766" s="106"/>
    </row>
    <row r="1767" spans="1:10" s="96" customFormat="1">
      <c r="A1767" s="106"/>
      <c r="B1767" s="99"/>
      <c r="C1767" s="106"/>
      <c r="F1767" s="99"/>
      <c r="G1767" s="131"/>
      <c r="H1767" s="126"/>
      <c r="J1767" s="106"/>
    </row>
    <row r="1768" spans="1:10" s="96" customFormat="1">
      <c r="A1768" s="106"/>
      <c r="B1768" s="99"/>
      <c r="C1768" s="106"/>
      <c r="F1768" s="99"/>
      <c r="G1768" s="131"/>
      <c r="H1768" s="126"/>
      <c r="J1768" s="106"/>
    </row>
    <row r="1769" spans="1:10" s="96" customFormat="1">
      <c r="A1769" s="106"/>
      <c r="B1769" s="99"/>
      <c r="C1769" s="106"/>
      <c r="F1769" s="99"/>
      <c r="G1769" s="131"/>
      <c r="H1769" s="126"/>
      <c r="J1769" s="106"/>
    </row>
    <row r="1770" spans="1:10" s="96" customFormat="1">
      <c r="A1770" s="106"/>
      <c r="B1770" s="99"/>
      <c r="C1770" s="106"/>
      <c r="F1770" s="99"/>
      <c r="G1770" s="131"/>
      <c r="H1770" s="126"/>
      <c r="J1770" s="106"/>
    </row>
    <row r="1771" spans="1:10" s="96" customFormat="1">
      <c r="A1771" s="106"/>
      <c r="B1771" s="99"/>
      <c r="C1771" s="106"/>
      <c r="F1771" s="99"/>
      <c r="G1771" s="131"/>
      <c r="H1771" s="126"/>
      <c r="J1771" s="106"/>
    </row>
    <row r="1772" spans="1:10" s="96" customFormat="1">
      <c r="A1772" s="106"/>
      <c r="B1772" s="99"/>
      <c r="C1772" s="106"/>
      <c r="F1772" s="99"/>
      <c r="G1772" s="131"/>
      <c r="H1772" s="126"/>
      <c r="J1772" s="106"/>
    </row>
    <row r="1773" spans="1:10" s="96" customFormat="1">
      <c r="A1773" s="106"/>
      <c r="B1773" s="99"/>
      <c r="C1773" s="106"/>
      <c r="F1773" s="99"/>
      <c r="G1773" s="131"/>
      <c r="H1773" s="126"/>
      <c r="J1773" s="106"/>
    </row>
    <row r="1774" spans="1:10" s="96" customFormat="1">
      <c r="A1774" s="106"/>
      <c r="B1774" s="99"/>
      <c r="C1774" s="106"/>
      <c r="F1774" s="99"/>
      <c r="G1774" s="131"/>
      <c r="H1774" s="126"/>
      <c r="J1774" s="106"/>
    </row>
    <row r="1775" spans="1:10" s="96" customFormat="1">
      <c r="A1775" s="106"/>
      <c r="B1775" s="99"/>
      <c r="C1775" s="106"/>
      <c r="F1775" s="99"/>
      <c r="G1775" s="131"/>
      <c r="H1775" s="126"/>
      <c r="J1775" s="106"/>
    </row>
    <row r="1776" spans="1:10" s="96" customFormat="1">
      <c r="A1776" s="106"/>
      <c r="B1776" s="99"/>
      <c r="C1776" s="106"/>
      <c r="F1776" s="99"/>
      <c r="G1776" s="131"/>
      <c r="H1776" s="126"/>
      <c r="J1776" s="106"/>
    </row>
    <row r="1777" spans="1:10" s="96" customFormat="1">
      <c r="A1777" s="106"/>
      <c r="B1777" s="99"/>
      <c r="C1777" s="106"/>
      <c r="F1777" s="99"/>
      <c r="G1777" s="131"/>
      <c r="H1777" s="126"/>
      <c r="J1777" s="106"/>
    </row>
    <row r="1778" spans="1:10" s="96" customFormat="1">
      <c r="A1778" s="106"/>
      <c r="B1778" s="99"/>
      <c r="C1778" s="106"/>
      <c r="F1778" s="99"/>
      <c r="G1778" s="131"/>
      <c r="H1778" s="126"/>
      <c r="J1778" s="106"/>
    </row>
    <row r="1779" spans="1:10" s="96" customFormat="1">
      <c r="A1779" s="106"/>
      <c r="B1779" s="99"/>
      <c r="C1779" s="106"/>
      <c r="F1779" s="99"/>
      <c r="G1779" s="131"/>
      <c r="H1779" s="126"/>
      <c r="J1779" s="106"/>
    </row>
    <row r="1780" spans="1:10" s="96" customFormat="1">
      <c r="A1780" s="106"/>
      <c r="B1780" s="99"/>
      <c r="C1780" s="106"/>
      <c r="F1780" s="99"/>
      <c r="G1780" s="131"/>
      <c r="H1780" s="126"/>
      <c r="J1780" s="106"/>
    </row>
    <row r="1781" spans="1:10" s="96" customFormat="1">
      <c r="A1781" s="106"/>
      <c r="B1781" s="99"/>
      <c r="C1781" s="106"/>
      <c r="F1781" s="99"/>
      <c r="G1781" s="131"/>
      <c r="H1781" s="126"/>
      <c r="J1781" s="106"/>
    </row>
    <row r="1782" spans="1:10" s="96" customFormat="1">
      <c r="A1782" s="106"/>
      <c r="B1782" s="99"/>
      <c r="C1782" s="106"/>
      <c r="F1782" s="99"/>
      <c r="G1782" s="131"/>
      <c r="H1782" s="126"/>
      <c r="J1782" s="106"/>
    </row>
    <row r="1783" spans="1:10" s="96" customFormat="1">
      <c r="A1783" s="106"/>
      <c r="B1783" s="99"/>
      <c r="C1783" s="106"/>
      <c r="F1783" s="99"/>
      <c r="G1783" s="131"/>
      <c r="H1783" s="126"/>
      <c r="J1783" s="106"/>
    </row>
    <row r="1784" spans="1:10" s="96" customFormat="1">
      <c r="A1784" s="106"/>
      <c r="B1784" s="99"/>
      <c r="C1784" s="106"/>
      <c r="F1784" s="99"/>
      <c r="G1784" s="131"/>
      <c r="H1784" s="126"/>
      <c r="J1784" s="106"/>
    </row>
    <row r="1785" spans="1:10" s="96" customFormat="1">
      <c r="A1785" s="106"/>
      <c r="B1785" s="99"/>
      <c r="C1785" s="106"/>
      <c r="F1785" s="99"/>
      <c r="G1785" s="131"/>
      <c r="H1785" s="126"/>
      <c r="J1785" s="106"/>
    </row>
    <row r="1786" spans="1:10" s="96" customFormat="1">
      <c r="A1786" s="106"/>
      <c r="B1786" s="99"/>
      <c r="C1786" s="106"/>
      <c r="F1786" s="99"/>
      <c r="G1786" s="131"/>
      <c r="H1786" s="126"/>
      <c r="J1786" s="106"/>
    </row>
    <row r="1787" spans="1:10" s="96" customFormat="1">
      <c r="A1787" s="106"/>
      <c r="B1787" s="99"/>
      <c r="C1787" s="106"/>
      <c r="F1787" s="99"/>
      <c r="G1787" s="131"/>
      <c r="H1787" s="126"/>
      <c r="J1787" s="106"/>
    </row>
    <row r="1788" spans="1:10" s="96" customFormat="1">
      <c r="A1788" s="106"/>
      <c r="B1788" s="99"/>
      <c r="C1788" s="106"/>
      <c r="F1788" s="99"/>
      <c r="G1788" s="131"/>
      <c r="H1788" s="126"/>
      <c r="J1788" s="106"/>
    </row>
    <row r="1789" spans="1:10" s="96" customFormat="1">
      <c r="A1789" s="106"/>
      <c r="B1789" s="99"/>
      <c r="C1789" s="106"/>
      <c r="F1789" s="99"/>
      <c r="G1789" s="131"/>
      <c r="H1789" s="126"/>
      <c r="J1789" s="106"/>
    </row>
    <row r="1790" spans="1:10" s="96" customFormat="1">
      <c r="A1790" s="106"/>
      <c r="B1790" s="99"/>
      <c r="C1790" s="106"/>
      <c r="F1790" s="99"/>
      <c r="G1790" s="131"/>
      <c r="H1790" s="126"/>
      <c r="J1790" s="106"/>
    </row>
    <row r="1791" spans="1:10" s="96" customFormat="1">
      <c r="A1791" s="106"/>
      <c r="B1791" s="99"/>
      <c r="C1791" s="106"/>
      <c r="F1791" s="99"/>
      <c r="G1791" s="131"/>
      <c r="H1791" s="126"/>
      <c r="J1791" s="106"/>
    </row>
    <row r="1792" spans="1:10" s="96" customFormat="1">
      <c r="A1792" s="106"/>
      <c r="B1792" s="99"/>
      <c r="C1792" s="106"/>
      <c r="F1792" s="99"/>
      <c r="G1792" s="131"/>
      <c r="H1792" s="126"/>
      <c r="J1792" s="106"/>
    </row>
    <row r="1793" spans="1:10" s="96" customFormat="1">
      <c r="A1793" s="106"/>
      <c r="B1793" s="99"/>
      <c r="C1793" s="106"/>
      <c r="F1793" s="99"/>
      <c r="G1793" s="131"/>
      <c r="H1793" s="126"/>
      <c r="J1793" s="106"/>
    </row>
    <row r="1794" spans="1:10" s="96" customFormat="1">
      <c r="A1794" s="106"/>
      <c r="B1794" s="99"/>
      <c r="C1794" s="106"/>
      <c r="F1794" s="99"/>
      <c r="G1794" s="131"/>
      <c r="H1794" s="126"/>
      <c r="J1794" s="106"/>
    </row>
    <row r="1795" spans="1:10" s="96" customFormat="1">
      <c r="A1795" s="106"/>
      <c r="B1795" s="99"/>
      <c r="C1795" s="106"/>
      <c r="F1795" s="99"/>
      <c r="G1795" s="131"/>
      <c r="H1795" s="126"/>
      <c r="J1795" s="106"/>
    </row>
    <row r="1796" spans="1:10" s="96" customFormat="1">
      <c r="A1796" s="106"/>
      <c r="B1796" s="99"/>
      <c r="C1796" s="106"/>
      <c r="F1796" s="99"/>
      <c r="G1796" s="131"/>
      <c r="H1796" s="126"/>
      <c r="J1796" s="106"/>
    </row>
    <row r="1797" spans="1:10" s="96" customFormat="1">
      <c r="A1797" s="106"/>
      <c r="B1797" s="99"/>
      <c r="C1797" s="106"/>
      <c r="F1797" s="99"/>
      <c r="G1797" s="131"/>
      <c r="H1797" s="126"/>
      <c r="J1797" s="106"/>
    </row>
    <row r="1798" spans="1:10" s="96" customFormat="1">
      <c r="A1798" s="106"/>
      <c r="B1798" s="99"/>
      <c r="C1798" s="106"/>
      <c r="F1798" s="99"/>
      <c r="G1798" s="131"/>
      <c r="H1798" s="126"/>
      <c r="J1798" s="106"/>
    </row>
    <row r="1799" spans="1:10" s="96" customFormat="1">
      <c r="A1799" s="106"/>
      <c r="B1799" s="99"/>
      <c r="C1799" s="106"/>
      <c r="F1799" s="99"/>
      <c r="G1799" s="131"/>
      <c r="H1799" s="126"/>
      <c r="J1799" s="106"/>
    </row>
    <row r="1800" spans="1:10" s="96" customFormat="1">
      <c r="A1800" s="106"/>
      <c r="B1800" s="99"/>
      <c r="C1800" s="106"/>
      <c r="F1800" s="99"/>
      <c r="G1800" s="131"/>
      <c r="H1800" s="126"/>
      <c r="J1800" s="106"/>
    </row>
    <row r="1801" spans="1:10" s="96" customFormat="1">
      <c r="A1801" s="106"/>
      <c r="B1801" s="99"/>
      <c r="C1801" s="106"/>
      <c r="F1801" s="99"/>
      <c r="G1801" s="131"/>
      <c r="H1801" s="126"/>
      <c r="J1801" s="106"/>
    </row>
    <row r="1802" spans="1:10" s="96" customFormat="1">
      <c r="A1802" s="106"/>
      <c r="B1802" s="99"/>
      <c r="C1802" s="106"/>
      <c r="F1802" s="99"/>
      <c r="G1802" s="131"/>
      <c r="H1802" s="126"/>
      <c r="J1802" s="106"/>
    </row>
    <row r="1803" spans="1:10" s="96" customFormat="1">
      <c r="A1803" s="106"/>
      <c r="B1803" s="99"/>
      <c r="C1803" s="106"/>
      <c r="F1803" s="99"/>
      <c r="G1803" s="131"/>
      <c r="H1803" s="126"/>
      <c r="J1803" s="106"/>
    </row>
    <row r="1804" spans="1:10" s="96" customFormat="1">
      <c r="A1804" s="106"/>
      <c r="B1804" s="99"/>
      <c r="C1804" s="106"/>
      <c r="F1804" s="99"/>
      <c r="G1804" s="131"/>
      <c r="H1804" s="126"/>
      <c r="J1804" s="106"/>
    </row>
    <row r="1805" spans="1:10" s="96" customFormat="1">
      <c r="A1805" s="106"/>
      <c r="B1805" s="99"/>
      <c r="C1805" s="106"/>
      <c r="F1805" s="99"/>
      <c r="G1805" s="131"/>
      <c r="H1805" s="126"/>
      <c r="J1805" s="106"/>
    </row>
    <row r="1806" spans="1:10" s="96" customFormat="1">
      <c r="A1806" s="106"/>
      <c r="B1806" s="99"/>
      <c r="C1806" s="106"/>
      <c r="F1806" s="99"/>
      <c r="G1806" s="131"/>
      <c r="H1806" s="126"/>
      <c r="J1806" s="106"/>
    </row>
    <row r="1807" spans="1:10" s="96" customFormat="1">
      <c r="A1807" s="106"/>
      <c r="B1807" s="99"/>
      <c r="C1807" s="106"/>
      <c r="F1807" s="99"/>
      <c r="G1807" s="131"/>
      <c r="H1807" s="126"/>
      <c r="J1807" s="106"/>
    </row>
    <row r="1808" spans="1:10" s="96" customFormat="1">
      <c r="A1808" s="106"/>
      <c r="B1808" s="99"/>
      <c r="C1808" s="106"/>
      <c r="F1808" s="99"/>
      <c r="G1808" s="131"/>
      <c r="H1808" s="126"/>
      <c r="J1808" s="106"/>
    </row>
    <row r="1809" spans="1:10" s="96" customFormat="1">
      <c r="A1809" s="106"/>
      <c r="B1809" s="99"/>
      <c r="C1809" s="106"/>
      <c r="F1809" s="99"/>
      <c r="G1809" s="131"/>
      <c r="H1809" s="126"/>
      <c r="J1809" s="106"/>
    </row>
    <row r="1810" spans="1:10" s="96" customFormat="1">
      <c r="A1810" s="106"/>
      <c r="B1810" s="99"/>
      <c r="C1810" s="106"/>
      <c r="F1810" s="99"/>
      <c r="G1810" s="131"/>
      <c r="H1810" s="126"/>
      <c r="J1810" s="106"/>
    </row>
    <row r="1811" spans="1:10" s="96" customFormat="1">
      <c r="A1811" s="106"/>
      <c r="B1811" s="99"/>
      <c r="C1811" s="106"/>
      <c r="F1811" s="99"/>
      <c r="G1811" s="131"/>
      <c r="H1811" s="126"/>
      <c r="J1811" s="106"/>
    </row>
    <row r="1812" spans="1:10" s="96" customFormat="1">
      <c r="A1812" s="106"/>
      <c r="B1812" s="99"/>
      <c r="C1812" s="106"/>
      <c r="F1812" s="99"/>
      <c r="G1812" s="131"/>
      <c r="H1812" s="126"/>
      <c r="J1812" s="106"/>
    </row>
    <row r="1813" spans="1:10" s="96" customFormat="1">
      <c r="A1813" s="106"/>
      <c r="B1813" s="99"/>
      <c r="C1813" s="106"/>
      <c r="F1813" s="99"/>
      <c r="G1813" s="131"/>
      <c r="H1813" s="126"/>
      <c r="J1813" s="106"/>
    </row>
    <row r="1814" spans="1:10" s="96" customFormat="1">
      <c r="A1814" s="106"/>
      <c r="B1814" s="99"/>
      <c r="C1814" s="106"/>
      <c r="F1814" s="99"/>
      <c r="G1814" s="131"/>
      <c r="H1814" s="126"/>
      <c r="J1814" s="106"/>
    </row>
    <row r="1815" spans="1:10" s="96" customFormat="1">
      <c r="A1815" s="106"/>
      <c r="B1815" s="99"/>
      <c r="C1815" s="106"/>
      <c r="F1815" s="99"/>
      <c r="G1815" s="131"/>
      <c r="H1815" s="126"/>
      <c r="J1815" s="106"/>
    </row>
    <row r="1816" spans="1:10" s="96" customFormat="1">
      <c r="A1816" s="106"/>
      <c r="B1816" s="99"/>
      <c r="C1816" s="106"/>
      <c r="F1816" s="99"/>
      <c r="G1816" s="131"/>
      <c r="H1816" s="126"/>
      <c r="J1816" s="106"/>
    </row>
    <row r="1817" spans="1:10" s="96" customFormat="1">
      <c r="A1817" s="106"/>
      <c r="B1817" s="99"/>
      <c r="C1817" s="106"/>
      <c r="F1817" s="99"/>
      <c r="G1817" s="131"/>
      <c r="H1817" s="126"/>
      <c r="J1817" s="106"/>
    </row>
    <row r="1818" spans="1:10" s="96" customFormat="1">
      <c r="A1818" s="106"/>
      <c r="B1818" s="99"/>
      <c r="C1818" s="106"/>
      <c r="F1818" s="99"/>
      <c r="G1818" s="131"/>
      <c r="H1818" s="126"/>
      <c r="J1818" s="106"/>
    </row>
    <row r="1819" spans="1:10" s="96" customFormat="1">
      <c r="A1819" s="106"/>
      <c r="B1819" s="99"/>
      <c r="C1819" s="106"/>
      <c r="F1819" s="99"/>
      <c r="G1819" s="131"/>
      <c r="H1819" s="126"/>
      <c r="J1819" s="106"/>
    </row>
    <row r="1820" spans="1:10" s="96" customFormat="1">
      <c r="A1820" s="106"/>
      <c r="B1820" s="99"/>
      <c r="C1820" s="106"/>
      <c r="F1820" s="99"/>
      <c r="G1820" s="131"/>
      <c r="H1820" s="126"/>
      <c r="J1820" s="106"/>
    </row>
    <row r="1821" spans="1:10" s="96" customFormat="1">
      <c r="A1821" s="106"/>
      <c r="B1821" s="99"/>
      <c r="C1821" s="106"/>
      <c r="F1821" s="99"/>
      <c r="G1821" s="131"/>
      <c r="H1821" s="126"/>
      <c r="J1821" s="106"/>
    </row>
    <row r="1822" spans="1:10" s="96" customFormat="1">
      <c r="A1822" s="106"/>
      <c r="B1822" s="99"/>
      <c r="C1822" s="106"/>
      <c r="F1822" s="99"/>
      <c r="G1822" s="131"/>
      <c r="H1822" s="126"/>
      <c r="J1822" s="106"/>
    </row>
    <row r="1823" spans="1:10" s="96" customFormat="1">
      <c r="A1823" s="106"/>
      <c r="B1823" s="99"/>
      <c r="C1823" s="106"/>
      <c r="F1823" s="99"/>
      <c r="G1823" s="131"/>
      <c r="H1823" s="126"/>
      <c r="J1823" s="106"/>
    </row>
    <row r="1824" spans="1:10" s="96" customFormat="1">
      <c r="A1824" s="106"/>
      <c r="B1824" s="99"/>
      <c r="C1824" s="106"/>
      <c r="F1824" s="99"/>
      <c r="G1824" s="131"/>
      <c r="H1824" s="126"/>
      <c r="J1824" s="106"/>
    </row>
    <row r="1825" spans="1:10" s="96" customFormat="1">
      <c r="A1825" s="106"/>
      <c r="B1825" s="99"/>
      <c r="C1825" s="106"/>
      <c r="F1825" s="99"/>
      <c r="G1825" s="131"/>
      <c r="H1825" s="126"/>
      <c r="J1825" s="106"/>
    </row>
    <row r="1826" spans="1:10" s="96" customFormat="1">
      <c r="A1826" s="106"/>
      <c r="B1826" s="99"/>
      <c r="C1826" s="106"/>
      <c r="F1826" s="99"/>
      <c r="G1826" s="131"/>
      <c r="H1826" s="126"/>
      <c r="J1826" s="106"/>
    </row>
    <row r="1827" spans="1:10" s="96" customFormat="1">
      <c r="A1827" s="106"/>
      <c r="B1827" s="99"/>
      <c r="C1827" s="106"/>
      <c r="F1827" s="99"/>
      <c r="G1827" s="131"/>
      <c r="H1827" s="126"/>
      <c r="J1827" s="106"/>
    </row>
    <row r="1828" spans="1:10" s="96" customFormat="1">
      <c r="A1828" s="106"/>
      <c r="B1828" s="99"/>
      <c r="C1828" s="106"/>
      <c r="F1828" s="99"/>
      <c r="G1828" s="131"/>
      <c r="H1828" s="126"/>
      <c r="J1828" s="106"/>
    </row>
    <row r="1829" spans="1:10" s="96" customFormat="1">
      <c r="A1829" s="106"/>
      <c r="B1829" s="99"/>
      <c r="C1829" s="106"/>
      <c r="F1829" s="99"/>
      <c r="G1829" s="131"/>
      <c r="H1829" s="126"/>
      <c r="J1829" s="106"/>
    </row>
    <row r="1830" spans="1:10" s="96" customFormat="1">
      <c r="A1830" s="106"/>
      <c r="B1830" s="99"/>
      <c r="C1830" s="106"/>
      <c r="F1830" s="99"/>
      <c r="G1830" s="131"/>
      <c r="H1830" s="126"/>
      <c r="J1830" s="106"/>
    </row>
    <row r="1831" spans="1:10" s="96" customFormat="1">
      <c r="A1831" s="106"/>
      <c r="B1831" s="99"/>
      <c r="C1831" s="106"/>
      <c r="F1831" s="99"/>
      <c r="G1831" s="131"/>
      <c r="H1831" s="126"/>
      <c r="J1831" s="106"/>
    </row>
    <row r="1832" spans="1:10" s="96" customFormat="1">
      <c r="A1832" s="106"/>
      <c r="B1832" s="99"/>
      <c r="C1832" s="106"/>
      <c r="F1832" s="99"/>
      <c r="G1832" s="131"/>
      <c r="H1832" s="126"/>
      <c r="J1832" s="106"/>
    </row>
    <row r="1833" spans="1:10" s="96" customFormat="1">
      <c r="A1833" s="106"/>
      <c r="B1833" s="99"/>
      <c r="C1833" s="106"/>
      <c r="F1833" s="99"/>
      <c r="G1833" s="131"/>
      <c r="H1833" s="126"/>
      <c r="J1833" s="106"/>
    </row>
    <row r="1834" spans="1:10" s="96" customFormat="1">
      <c r="A1834" s="106"/>
      <c r="B1834" s="99"/>
      <c r="C1834" s="106"/>
      <c r="F1834" s="99"/>
      <c r="G1834" s="131"/>
      <c r="H1834" s="126"/>
      <c r="J1834" s="106"/>
    </row>
    <row r="1835" spans="1:10" s="96" customFormat="1">
      <c r="A1835" s="106"/>
      <c r="B1835" s="99"/>
      <c r="C1835" s="106"/>
      <c r="F1835" s="99"/>
      <c r="G1835" s="131"/>
      <c r="H1835" s="126"/>
      <c r="J1835" s="106"/>
    </row>
    <row r="1836" spans="1:10" s="96" customFormat="1">
      <c r="A1836" s="106"/>
      <c r="B1836" s="99"/>
      <c r="C1836" s="106"/>
      <c r="F1836" s="99"/>
      <c r="G1836" s="131"/>
      <c r="H1836" s="126"/>
      <c r="J1836" s="106"/>
    </row>
    <row r="1837" spans="1:10" s="96" customFormat="1">
      <c r="A1837" s="106"/>
      <c r="B1837" s="99"/>
      <c r="C1837" s="106"/>
      <c r="F1837" s="99"/>
      <c r="G1837" s="131"/>
      <c r="H1837" s="126"/>
      <c r="J1837" s="106"/>
    </row>
    <row r="1838" spans="1:10" s="96" customFormat="1">
      <c r="A1838" s="106"/>
      <c r="B1838" s="99"/>
      <c r="C1838" s="106"/>
      <c r="F1838" s="99"/>
      <c r="G1838" s="131"/>
      <c r="H1838" s="126"/>
      <c r="J1838" s="106"/>
    </row>
    <row r="1839" spans="1:10" s="96" customFormat="1">
      <c r="A1839" s="106"/>
      <c r="B1839" s="99"/>
      <c r="C1839" s="106"/>
      <c r="F1839" s="99"/>
      <c r="G1839" s="131"/>
      <c r="H1839" s="126"/>
      <c r="J1839" s="106"/>
    </row>
    <row r="1840" spans="1:10" s="96" customFormat="1">
      <c r="A1840" s="106"/>
      <c r="B1840" s="99"/>
      <c r="C1840" s="106"/>
      <c r="F1840" s="99"/>
      <c r="G1840" s="131"/>
      <c r="H1840" s="126"/>
      <c r="J1840" s="106"/>
    </row>
    <row r="1841" spans="1:10" s="96" customFormat="1">
      <c r="A1841" s="106"/>
      <c r="B1841" s="99"/>
      <c r="C1841" s="106"/>
      <c r="F1841" s="99"/>
      <c r="G1841" s="131"/>
      <c r="H1841" s="126"/>
      <c r="J1841" s="106"/>
    </row>
    <row r="1842" spans="1:10" s="96" customFormat="1">
      <c r="A1842" s="106"/>
      <c r="B1842" s="99"/>
      <c r="C1842" s="106"/>
      <c r="F1842" s="99"/>
      <c r="G1842" s="131"/>
      <c r="H1842" s="126"/>
      <c r="J1842" s="106"/>
    </row>
    <row r="1843" spans="1:10" s="96" customFormat="1">
      <c r="A1843" s="106"/>
      <c r="B1843" s="99"/>
      <c r="C1843" s="106"/>
      <c r="F1843" s="99"/>
      <c r="G1843" s="131"/>
      <c r="H1843" s="126"/>
      <c r="J1843" s="106"/>
    </row>
    <row r="1844" spans="1:10" s="96" customFormat="1">
      <c r="A1844" s="106"/>
      <c r="B1844" s="99"/>
      <c r="C1844" s="106"/>
      <c r="F1844" s="99"/>
      <c r="G1844" s="131"/>
      <c r="H1844" s="126"/>
      <c r="J1844" s="106"/>
    </row>
    <row r="1845" spans="1:10" s="96" customFormat="1">
      <c r="A1845" s="106"/>
      <c r="B1845" s="99"/>
      <c r="C1845" s="106"/>
      <c r="F1845" s="99"/>
      <c r="G1845" s="131"/>
      <c r="H1845" s="126"/>
      <c r="J1845" s="106"/>
    </row>
    <row r="1846" spans="1:10" s="96" customFormat="1">
      <c r="A1846" s="106"/>
      <c r="B1846" s="99"/>
      <c r="C1846" s="106"/>
      <c r="F1846" s="99"/>
      <c r="G1846" s="131"/>
      <c r="H1846" s="126"/>
      <c r="J1846" s="106"/>
    </row>
    <row r="1847" spans="1:10" s="96" customFormat="1">
      <c r="A1847" s="106"/>
      <c r="B1847" s="99"/>
      <c r="C1847" s="106"/>
      <c r="F1847" s="99"/>
      <c r="G1847" s="131"/>
      <c r="H1847" s="126"/>
      <c r="J1847" s="106"/>
    </row>
    <row r="1848" spans="1:10" s="96" customFormat="1">
      <c r="A1848" s="106"/>
      <c r="B1848" s="99"/>
      <c r="C1848" s="106"/>
      <c r="F1848" s="99"/>
      <c r="G1848" s="131"/>
      <c r="H1848" s="126"/>
      <c r="J1848" s="106"/>
    </row>
    <row r="1849" spans="1:10" s="96" customFormat="1">
      <c r="A1849" s="106"/>
      <c r="B1849" s="99"/>
      <c r="C1849" s="106"/>
      <c r="F1849" s="99"/>
      <c r="G1849" s="131"/>
      <c r="H1849" s="126"/>
      <c r="J1849" s="106"/>
    </row>
    <row r="1850" spans="1:10" s="96" customFormat="1">
      <c r="A1850" s="106"/>
      <c r="B1850" s="99"/>
      <c r="C1850" s="106"/>
      <c r="F1850" s="99"/>
      <c r="G1850" s="131"/>
      <c r="H1850" s="126"/>
      <c r="J1850" s="106"/>
    </row>
    <row r="1851" spans="1:10" s="96" customFormat="1">
      <c r="A1851" s="106"/>
      <c r="B1851" s="99"/>
      <c r="C1851" s="106"/>
      <c r="F1851" s="99"/>
      <c r="G1851" s="131"/>
      <c r="H1851" s="126"/>
      <c r="J1851" s="106"/>
    </row>
    <row r="1852" spans="1:10" s="96" customFormat="1">
      <c r="A1852" s="106"/>
      <c r="B1852" s="99"/>
      <c r="C1852" s="106"/>
      <c r="F1852" s="99"/>
      <c r="G1852" s="131"/>
      <c r="H1852" s="126"/>
      <c r="J1852" s="106"/>
    </row>
    <row r="1853" spans="1:10" s="96" customFormat="1">
      <c r="A1853" s="106"/>
      <c r="B1853" s="99"/>
      <c r="C1853" s="106"/>
      <c r="F1853" s="99"/>
      <c r="G1853" s="131"/>
      <c r="H1853" s="126"/>
      <c r="J1853" s="106"/>
    </row>
    <row r="1854" spans="1:10" s="96" customFormat="1">
      <c r="A1854" s="106"/>
      <c r="B1854" s="99"/>
      <c r="C1854" s="106"/>
      <c r="F1854" s="99"/>
      <c r="G1854" s="131"/>
      <c r="H1854" s="126"/>
      <c r="J1854" s="106"/>
    </row>
    <row r="1855" spans="1:10" s="96" customFormat="1">
      <c r="A1855" s="106"/>
      <c r="B1855" s="99"/>
      <c r="C1855" s="106"/>
      <c r="F1855" s="99"/>
      <c r="G1855" s="131"/>
      <c r="H1855" s="126"/>
      <c r="J1855" s="106"/>
    </row>
    <row r="1856" spans="1:10" s="96" customFormat="1">
      <c r="A1856" s="106"/>
      <c r="B1856" s="99"/>
      <c r="C1856" s="106"/>
      <c r="F1856" s="99"/>
      <c r="G1856" s="131"/>
      <c r="H1856" s="126"/>
      <c r="J1856" s="106"/>
    </row>
    <row r="1857" spans="1:10" s="96" customFormat="1">
      <c r="A1857" s="106"/>
      <c r="B1857" s="99"/>
      <c r="C1857" s="106"/>
      <c r="F1857" s="99"/>
      <c r="G1857" s="131"/>
      <c r="H1857" s="126"/>
      <c r="J1857" s="106"/>
    </row>
    <row r="1858" spans="1:10" s="96" customFormat="1">
      <c r="A1858" s="106"/>
      <c r="B1858" s="99"/>
      <c r="C1858" s="106"/>
      <c r="F1858" s="99"/>
      <c r="G1858" s="131"/>
      <c r="H1858" s="126"/>
      <c r="J1858" s="106"/>
    </row>
    <row r="1859" spans="1:10" s="96" customFormat="1">
      <c r="A1859" s="106"/>
      <c r="B1859" s="99"/>
      <c r="C1859" s="106"/>
      <c r="F1859" s="99"/>
      <c r="G1859" s="131"/>
      <c r="H1859" s="126"/>
      <c r="J1859" s="106"/>
    </row>
    <row r="1860" spans="1:10" s="96" customFormat="1">
      <c r="A1860" s="106"/>
      <c r="B1860" s="99"/>
      <c r="C1860" s="106"/>
      <c r="F1860" s="99"/>
      <c r="G1860" s="131"/>
      <c r="H1860" s="126"/>
      <c r="J1860" s="106"/>
    </row>
    <row r="1861" spans="1:10" s="96" customFormat="1">
      <c r="A1861" s="106"/>
      <c r="B1861" s="99"/>
      <c r="C1861" s="106"/>
      <c r="F1861" s="99"/>
      <c r="G1861" s="131"/>
      <c r="H1861" s="126"/>
      <c r="J1861" s="106"/>
    </row>
    <row r="1862" spans="1:10" s="96" customFormat="1">
      <c r="A1862" s="106"/>
      <c r="B1862" s="99"/>
      <c r="C1862" s="106"/>
      <c r="F1862" s="99"/>
      <c r="G1862" s="131"/>
      <c r="H1862" s="126"/>
      <c r="J1862" s="106"/>
    </row>
    <row r="1863" spans="1:10" s="96" customFormat="1">
      <c r="A1863" s="106"/>
      <c r="B1863" s="99"/>
      <c r="C1863" s="106"/>
      <c r="F1863" s="99"/>
      <c r="G1863" s="131"/>
      <c r="H1863" s="126"/>
      <c r="J1863" s="106"/>
    </row>
    <row r="1864" spans="1:10" s="96" customFormat="1">
      <c r="A1864" s="106"/>
      <c r="B1864" s="99"/>
      <c r="C1864" s="106"/>
      <c r="F1864" s="99"/>
      <c r="G1864" s="131"/>
      <c r="H1864" s="126"/>
      <c r="J1864" s="106"/>
    </row>
    <row r="1865" spans="1:10" s="96" customFormat="1">
      <c r="A1865" s="106"/>
      <c r="B1865" s="99"/>
      <c r="C1865" s="106"/>
      <c r="F1865" s="99"/>
      <c r="G1865" s="131"/>
      <c r="H1865" s="126"/>
      <c r="J1865" s="106"/>
    </row>
    <row r="1866" spans="1:10" s="96" customFormat="1">
      <c r="A1866" s="106"/>
      <c r="B1866" s="99"/>
      <c r="C1866" s="106"/>
      <c r="F1866" s="99"/>
      <c r="G1866" s="131"/>
      <c r="H1866" s="126"/>
      <c r="J1866" s="106"/>
    </row>
    <row r="1867" spans="1:10" s="96" customFormat="1">
      <c r="A1867" s="106"/>
      <c r="B1867" s="99"/>
      <c r="C1867" s="106"/>
      <c r="F1867" s="99"/>
      <c r="G1867" s="131"/>
      <c r="H1867" s="126"/>
      <c r="J1867" s="106"/>
    </row>
    <row r="1868" spans="1:10" s="96" customFormat="1">
      <c r="A1868" s="106"/>
      <c r="B1868" s="99"/>
      <c r="C1868" s="106"/>
      <c r="F1868" s="99"/>
      <c r="G1868" s="131"/>
      <c r="H1868" s="126"/>
      <c r="J1868" s="106"/>
    </row>
    <row r="1869" spans="1:10" s="96" customFormat="1">
      <c r="A1869" s="106"/>
      <c r="B1869" s="99"/>
      <c r="C1869" s="106"/>
      <c r="F1869" s="99"/>
      <c r="G1869" s="131"/>
      <c r="H1869" s="126"/>
      <c r="J1869" s="106"/>
    </row>
    <row r="1870" spans="1:10" s="96" customFormat="1">
      <c r="A1870" s="106"/>
      <c r="B1870" s="99"/>
      <c r="C1870" s="106"/>
      <c r="F1870" s="99"/>
      <c r="G1870" s="131"/>
      <c r="H1870" s="126"/>
      <c r="J1870" s="106"/>
    </row>
    <row r="1871" spans="1:10" s="96" customFormat="1">
      <c r="A1871" s="106"/>
      <c r="B1871" s="99"/>
      <c r="C1871" s="106"/>
      <c r="F1871" s="99"/>
      <c r="G1871" s="131"/>
      <c r="H1871" s="126"/>
      <c r="J1871" s="106"/>
    </row>
    <row r="1872" spans="1:10" s="96" customFormat="1">
      <c r="A1872" s="106"/>
      <c r="B1872" s="99"/>
      <c r="C1872" s="106"/>
      <c r="F1872" s="99"/>
      <c r="G1872" s="131"/>
      <c r="H1872" s="126"/>
      <c r="J1872" s="106"/>
    </row>
    <row r="1873" spans="1:10" s="96" customFormat="1">
      <c r="A1873" s="106"/>
      <c r="B1873" s="99"/>
      <c r="C1873" s="106"/>
      <c r="F1873" s="99"/>
      <c r="G1873" s="131"/>
      <c r="H1873" s="126"/>
      <c r="J1873" s="106"/>
    </row>
    <row r="1874" spans="1:10" s="96" customFormat="1">
      <c r="A1874" s="106"/>
      <c r="B1874" s="99"/>
      <c r="C1874" s="106"/>
      <c r="F1874" s="99"/>
      <c r="G1874" s="131"/>
      <c r="H1874" s="126"/>
      <c r="J1874" s="106"/>
    </row>
    <row r="1875" spans="1:10" s="96" customFormat="1">
      <c r="A1875" s="106"/>
      <c r="B1875" s="99"/>
      <c r="C1875" s="106"/>
      <c r="F1875" s="99"/>
      <c r="G1875" s="131"/>
      <c r="H1875" s="126"/>
      <c r="J1875" s="106"/>
    </row>
    <row r="1876" spans="1:10" s="96" customFormat="1">
      <c r="A1876" s="106"/>
      <c r="B1876" s="99"/>
      <c r="C1876" s="106"/>
      <c r="F1876" s="99"/>
      <c r="G1876" s="131"/>
      <c r="H1876" s="126"/>
      <c r="J1876" s="106"/>
    </row>
    <row r="1877" spans="1:10" s="96" customFormat="1">
      <c r="A1877" s="106"/>
      <c r="B1877" s="99"/>
      <c r="C1877" s="106"/>
      <c r="F1877" s="99"/>
      <c r="G1877" s="131"/>
      <c r="H1877" s="126"/>
      <c r="J1877" s="106"/>
    </row>
    <row r="1878" spans="1:10" s="96" customFormat="1">
      <c r="A1878" s="106"/>
      <c r="B1878" s="99"/>
      <c r="C1878" s="106"/>
      <c r="F1878" s="99"/>
      <c r="G1878" s="131"/>
      <c r="H1878" s="126"/>
      <c r="J1878" s="106"/>
    </row>
    <row r="1879" spans="1:10" s="96" customFormat="1">
      <c r="A1879" s="106"/>
      <c r="B1879" s="99"/>
      <c r="C1879" s="106"/>
      <c r="F1879" s="99"/>
      <c r="G1879" s="131"/>
      <c r="H1879" s="126"/>
      <c r="J1879" s="106"/>
    </row>
    <row r="1880" spans="1:10" s="96" customFormat="1">
      <c r="A1880" s="106"/>
      <c r="B1880" s="99"/>
      <c r="C1880" s="106"/>
      <c r="F1880" s="99"/>
      <c r="G1880" s="131"/>
      <c r="H1880" s="126"/>
      <c r="J1880" s="106"/>
    </row>
    <row r="1881" spans="1:10" s="96" customFormat="1">
      <c r="A1881" s="106"/>
      <c r="B1881" s="99"/>
      <c r="C1881" s="106"/>
      <c r="F1881" s="99"/>
      <c r="G1881" s="131"/>
      <c r="H1881" s="126"/>
      <c r="J1881" s="106"/>
    </row>
    <row r="1882" spans="1:10" s="96" customFormat="1">
      <c r="A1882" s="106"/>
      <c r="B1882" s="99"/>
      <c r="C1882" s="106"/>
      <c r="F1882" s="99"/>
      <c r="G1882" s="131"/>
      <c r="H1882" s="126"/>
      <c r="J1882" s="106"/>
    </row>
    <row r="1883" spans="1:10" s="96" customFormat="1">
      <c r="A1883" s="106"/>
      <c r="B1883" s="99"/>
      <c r="C1883" s="106"/>
      <c r="F1883" s="99"/>
      <c r="G1883" s="131"/>
      <c r="H1883" s="126"/>
      <c r="J1883" s="106"/>
    </row>
    <row r="1884" spans="1:10" s="96" customFormat="1">
      <c r="A1884" s="106"/>
      <c r="B1884" s="99"/>
      <c r="C1884" s="106"/>
      <c r="F1884" s="99"/>
      <c r="G1884" s="131"/>
      <c r="H1884" s="126"/>
      <c r="J1884" s="106"/>
    </row>
    <row r="1885" spans="1:10" s="96" customFormat="1">
      <c r="A1885" s="106"/>
      <c r="B1885" s="99"/>
      <c r="C1885" s="106"/>
      <c r="F1885" s="99"/>
      <c r="G1885" s="131"/>
      <c r="H1885" s="126"/>
      <c r="J1885" s="106"/>
    </row>
    <row r="1886" spans="1:10" s="96" customFormat="1">
      <c r="A1886" s="106"/>
      <c r="B1886" s="99"/>
      <c r="C1886" s="106"/>
      <c r="F1886" s="99"/>
      <c r="G1886" s="131"/>
      <c r="H1886" s="126"/>
      <c r="J1886" s="106"/>
    </row>
    <row r="1887" spans="1:10" s="96" customFormat="1">
      <c r="A1887" s="106"/>
      <c r="B1887" s="99"/>
      <c r="C1887" s="106"/>
      <c r="F1887" s="99"/>
      <c r="G1887" s="131"/>
      <c r="H1887" s="126"/>
      <c r="J1887" s="106"/>
    </row>
    <row r="1888" spans="1:10" s="96" customFormat="1">
      <c r="A1888" s="106"/>
      <c r="B1888" s="99"/>
      <c r="C1888" s="106"/>
      <c r="F1888" s="99"/>
      <c r="G1888" s="131"/>
      <c r="H1888" s="126"/>
      <c r="J1888" s="106"/>
    </row>
    <row r="1889" spans="1:10" s="96" customFormat="1">
      <c r="A1889" s="106"/>
      <c r="B1889" s="99"/>
      <c r="C1889" s="106"/>
      <c r="F1889" s="99"/>
      <c r="G1889" s="131"/>
      <c r="H1889" s="126"/>
      <c r="J1889" s="106"/>
    </row>
    <row r="1890" spans="1:10" s="96" customFormat="1">
      <c r="A1890" s="106"/>
      <c r="B1890" s="99"/>
      <c r="C1890" s="106"/>
      <c r="F1890" s="99"/>
      <c r="G1890" s="131"/>
      <c r="H1890" s="126"/>
      <c r="J1890" s="106"/>
    </row>
    <row r="1891" spans="1:10" s="96" customFormat="1">
      <c r="A1891" s="106"/>
      <c r="B1891" s="99"/>
      <c r="C1891" s="106"/>
      <c r="F1891" s="99"/>
      <c r="G1891" s="131"/>
      <c r="H1891" s="126"/>
      <c r="J1891" s="106"/>
    </row>
    <row r="1892" spans="1:10" s="96" customFormat="1">
      <c r="A1892" s="106"/>
      <c r="B1892" s="99"/>
      <c r="C1892" s="106"/>
      <c r="F1892" s="99"/>
      <c r="G1892" s="131"/>
      <c r="H1892" s="126"/>
      <c r="J1892" s="106"/>
    </row>
    <row r="1893" spans="1:10" s="96" customFormat="1">
      <c r="A1893" s="106"/>
      <c r="B1893" s="99"/>
      <c r="C1893" s="106"/>
      <c r="F1893" s="99"/>
      <c r="G1893" s="131"/>
      <c r="H1893" s="126"/>
      <c r="J1893" s="106"/>
    </row>
    <row r="1894" spans="1:10" s="96" customFormat="1">
      <c r="A1894" s="106"/>
      <c r="B1894" s="99"/>
      <c r="C1894" s="106"/>
      <c r="F1894" s="99"/>
      <c r="G1894" s="131"/>
      <c r="H1894" s="126"/>
      <c r="J1894" s="106"/>
    </row>
    <row r="1895" spans="1:10" s="96" customFormat="1">
      <c r="A1895" s="106"/>
      <c r="B1895" s="99"/>
      <c r="C1895" s="106"/>
      <c r="F1895" s="99"/>
      <c r="G1895" s="131"/>
      <c r="H1895" s="126"/>
      <c r="J1895" s="106"/>
    </row>
    <row r="1896" spans="1:10" s="96" customFormat="1">
      <c r="A1896" s="106"/>
      <c r="B1896" s="99"/>
      <c r="C1896" s="106"/>
      <c r="F1896" s="99"/>
      <c r="G1896" s="131"/>
      <c r="H1896" s="126"/>
      <c r="J1896" s="106"/>
    </row>
    <row r="1897" spans="1:10" s="96" customFormat="1">
      <c r="A1897" s="106"/>
      <c r="B1897" s="99"/>
      <c r="C1897" s="106"/>
      <c r="F1897" s="99"/>
      <c r="G1897" s="131"/>
      <c r="H1897" s="126"/>
      <c r="J1897" s="106"/>
    </row>
    <row r="1898" spans="1:10" s="96" customFormat="1">
      <c r="A1898" s="106"/>
      <c r="B1898" s="99"/>
      <c r="C1898" s="106"/>
      <c r="F1898" s="99"/>
      <c r="G1898" s="131"/>
      <c r="H1898" s="126"/>
      <c r="J1898" s="106"/>
    </row>
    <row r="1899" spans="1:10" s="96" customFormat="1">
      <c r="A1899" s="106"/>
      <c r="B1899" s="99"/>
      <c r="C1899" s="106"/>
      <c r="F1899" s="99"/>
      <c r="G1899" s="131"/>
      <c r="H1899" s="126"/>
      <c r="J1899" s="106"/>
    </row>
    <row r="1900" spans="1:10" s="96" customFormat="1">
      <c r="A1900" s="106"/>
      <c r="B1900" s="99"/>
      <c r="C1900" s="106"/>
      <c r="F1900" s="99"/>
      <c r="G1900" s="131"/>
      <c r="H1900" s="126"/>
      <c r="J1900" s="106"/>
    </row>
    <row r="1901" spans="1:10" s="96" customFormat="1">
      <c r="A1901" s="106"/>
      <c r="B1901" s="99"/>
      <c r="C1901" s="106"/>
      <c r="F1901" s="99"/>
      <c r="G1901" s="131"/>
      <c r="H1901" s="126"/>
      <c r="J1901" s="106"/>
    </row>
    <row r="1902" spans="1:10" s="96" customFormat="1">
      <c r="A1902" s="106"/>
      <c r="B1902" s="99"/>
      <c r="C1902" s="106"/>
      <c r="F1902" s="99"/>
      <c r="G1902" s="131"/>
      <c r="H1902" s="126"/>
      <c r="J1902" s="106"/>
    </row>
    <row r="1903" spans="1:10" s="96" customFormat="1">
      <c r="A1903" s="106"/>
      <c r="B1903" s="99"/>
      <c r="C1903" s="106"/>
      <c r="F1903" s="99"/>
      <c r="G1903" s="131"/>
      <c r="H1903" s="126"/>
      <c r="J1903" s="106"/>
    </row>
    <row r="1904" spans="1:10" s="96" customFormat="1">
      <c r="A1904" s="106"/>
      <c r="B1904" s="99"/>
      <c r="C1904" s="106"/>
      <c r="F1904" s="99"/>
      <c r="G1904" s="131"/>
      <c r="H1904" s="126"/>
      <c r="J1904" s="106"/>
    </row>
    <row r="1905" spans="1:10" s="96" customFormat="1">
      <c r="A1905" s="106"/>
      <c r="B1905" s="99"/>
      <c r="C1905" s="106"/>
      <c r="F1905" s="99"/>
      <c r="G1905" s="131"/>
      <c r="H1905" s="126"/>
      <c r="J1905" s="106"/>
    </row>
    <row r="1906" spans="1:10" s="96" customFormat="1">
      <c r="A1906" s="106"/>
      <c r="B1906" s="99"/>
      <c r="C1906" s="106"/>
      <c r="F1906" s="99"/>
      <c r="G1906" s="131"/>
      <c r="H1906" s="126"/>
      <c r="J1906" s="106"/>
    </row>
    <row r="1907" spans="1:10" s="96" customFormat="1">
      <c r="A1907" s="106"/>
      <c r="B1907" s="99"/>
      <c r="C1907" s="106"/>
      <c r="F1907" s="99"/>
      <c r="G1907" s="131"/>
      <c r="H1907" s="126"/>
      <c r="J1907" s="106"/>
    </row>
    <row r="1908" spans="1:10" s="96" customFormat="1">
      <c r="A1908" s="106"/>
      <c r="B1908" s="99"/>
      <c r="C1908" s="106"/>
      <c r="F1908" s="99"/>
      <c r="G1908" s="131"/>
      <c r="H1908" s="126"/>
      <c r="J1908" s="106"/>
    </row>
    <row r="1909" spans="1:10" s="96" customFormat="1">
      <c r="A1909" s="106"/>
      <c r="B1909" s="99"/>
      <c r="C1909" s="106"/>
      <c r="F1909" s="99"/>
      <c r="G1909" s="131"/>
      <c r="H1909" s="126"/>
      <c r="J1909" s="106"/>
    </row>
    <row r="1910" spans="1:10" s="96" customFormat="1">
      <c r="A1910" s="106"/>
      <c r="B1910" s="99"/>
      <c r="C1910" s="106"/>
      <c r="F1910" s="99"/>
      <c r="G1910" s="131"/>
      <c r="H1910" s="126"/>
      <c r="J1910" s="106"/>
    </row>
    <row r="1911" spans="1:10" s="96" customFormat="1">
      <c r="A1911" s="106"/>
      <c r="B1911" s="99"/>
      <c r="C1911" s="106"/>
      <c r="F1911" s="99"/>
      <c r="G1911" s="131"/>
      <c r="H1911" s="126"/>
      <c r="J1911" s="106"/>
    </row>
    <row r="1912" spans="1:10" s="96" customFormat="1">
      <c r="A1912" s="106"/>
      <c r="B1912" s="99"/>
      <c r="C1912" s="106"/>
      <c r="F1912" s="99"/>
      <c r="G1912" s="131"/>
      <c r="H1912" s="126"/>
      <c r="J1912" s="106"/>
    </row>
    <row r="1913" spans="1:10" s="96" customFormat="1">
      <c r="A1913" s="106"/>
      <c r="B1913" s="99"/>
      <c r="C1913" s="106"/>
      <c r="F1913" s="99"/>
      <c r="G1913" s="131"/>
      <c r="H1913" s="126"/>
      <c r="J1913" s="106"/>
    </row>
    <row r="1914" spans="1:10" s="96" customFormat="1">
      <c r="A1914" s="106"/>
      <c r="B1914" s="99"/>
      <c r="C1914" s="106"/>
      <c r="F1914" s="99"/>
      <c r="G1914" s="131"/>
      <c r="H1914" s="126"/>
      <c r="J1914" s="106"/>
    </row>
    <row r="1915" spans="1:10" s="96" customFormat="1">
      <c r="A1915" s="106"/>
      <c r="B1915" s="99"/>
      <c r="C1915" s="106"/>
      <c r="F1915" s="99"/>
      <c r="G1915" s="131"/>
      <c r="H1915" s="126"/>
      <c r="J1915" s="106"/>
    </row>
    <row r="1916" spans="1:10" s="96" customFormat="1">
      <c r="A1916" s="106"/>
      <c r="B1916" s="99"/>
      <c r="C1916" s="106"/>
      <c r="F1916" s="99"/>
      <c r="G1916" s="131"/>
      <c r="H1916" s="126"/>
      <c r="J1916" s="106"/>
    </row>
    <row r="1917" spans="1:10" s="96" customFormat="1">
      <c r="A1917" s="106"/>
      <c r="B1917" s="99"/>
      <c r="C1917" s="106"/>
      <c r="F1917" s="99"/>
      <c r="G1917" s="131"/>
      <c r="H1917" s="126"/>
      <c r="J1917" s="106"/>
    </row>
    <row r="1918" spans="1:10" s="96" customFormat="1">
      <c r="A1918" s="106"/>
      <c r="B1918" s="99"/>
      <c r="C1918" s="106"/>
      <c r="F1918" s="99"/>
      <c r="G1918" s="131"/>
      <c r="H1918" s="126"/>
      <c r="J1918" s="106"/>
    </row>
    <row r="1919" spans="1:10" s="96" customFormat="1">
      <c r="A1919" s="106"/>
      <c r="B1919" s="99"/>
      <c r="C1919" s="106"/>
      <c r="F1919" s="99"/>
      <c r="G1919" s="131"/>
      <c r="H1919" s="126"/>
      <c r="J1919" s="106"/>
    </row>
    <row r="1920" spans="1:10" s="96" customFormat="1">
      <c r="A1920" s="106"/>
      <c r="B1920" s="99"/>
      <c r="C1920" s="106"/>
      <c r="F1920" s="99"/>
      <c r="G1920" s="131"/>
      <c r="H1920" s="126"/>
      <c r="J1920" s="106"/>
    </row>
    <row r="1921" spans="1:10" s="96" customFormat="1">
      <c r="A1921" s="106"/>
      <c r="B1921" s="99"/>
      <c r="C1921" s="106"/>
      <c r="F1921" s="99"/>
      <c r="G1921" s="131"/>
      <c r="H1921" s="126"/>
      <c r="J1921" s="106"/>
    </row>
    <row r="1922" spans="1:10" s="96" customFormat="1">
      <c r="A1922" s="106"/>
      <c r="B1922" s="99"/>
      <c r="C1922" s="106"/>
      <c r="F1922" s="99"/>
      <c r="G1922" s="131"/>
      <c r="H1922" s="126"/>
      <c r="J1922" s="106"/>
    </row>
    <row r="1923" spans="1:10" s="96" customFormat="1">
      <c r="A1923" s="106"/>
      <c r="B1923" s="99"/>
      <c r="C1923" s="106"/>
      <c r="F1923" s="99"/>
      <c r="G1923" s="131"/>
      <c r="H1923" s="126"/>
      <c r="J1923" s="106"/>
    </row>
    <row r="1924" spans="1:10" s="96" customFormat="1">
      <c r="A1924" s="106"/>
      <c r="B1924" s="99"/>
      <c r="C1924" s="106"/>
      <c r="F1924" s="99"/>
      <c r="G1924" s="131"/>
      <c r="H1924" s="126"/>
      <c r="J1924" s="106"/>
    </row>
    <row r="1925" spans="1:10" s="96" customFormat="1">
      <c r="A1925" s="106"/>
      <c r="B1925" s="99"/>
      <c r="C1925" s="106"/>
      <c r="F1925" s="99"/>
      <c r="G1925" s="131"/>
      <c r="H1925" s="126"/>
      <c r="J1925" s="106"/>
    </row>
    <row r="1926" spans="1:10" s="96" customFormat="1">
      <c r="A1926" s="106"/>
      <c r="B1926" s="99"/>
      <c r="C1926" s="106"/>
      <c r="F1926" s="99"/>
      <c r="G1926" s="131"/>
      <c r="H1926" s="126"/>
      <c r="J1926" s="106"/>
    </row>
    <row r="1927" spans="1:10" s="96" customFormat="1">
      <c r="A1927" s="106"/>
      <c r="B1927" s="99"/>
      <c r="C1927" s="106"/>
      <c r="F1927" s="99"/>
      <c r="G1927" s="131"/>
      <c r="H1927" s="126"/>
      <c r="J1927" s="106"/>
    </row>
    <row r="1928" spans="1:10" s="96" customFormat="1">
      <c r="A1928" s="106"/>
      <c r="B1928" s="99"/>
      <c r="C1928" s="106"/>
      <c r="F1928" s="99"/>
      <c r="G1928" s="131"/>
      <c r="H1928" s="126"/>
      <c r="J1928" s="106"/>
    </row>
    <row r="1929" spans="1:10" s="96" customFormat="1">
      <c r="A1929" s="106"/>
      <c r="B1929" s="99"/>
      <c r="C1929" s="106"/>
      <c r="F1929" s="99"/>
      <c r="G1929" s="131"/>
      <c r="H1929" s="126"/>
      <c r="J1929" s="106"/>
    </row>
    <row r="1930" spans="1:10" s="96" customFormat="1">
      <c r="A1930" s="106"/>
      <c r="B1930" s="99"/>
      <c r="C1930" s="106"/>
      <c r="F1930" s="99"/>
      <c r="G1930" s="131"/>
      <c r="H1930" s="126"/>
      <c r="J1930" s="106"/>
    </row>
    <row r="1931" spans="1:10" s="96" customFormat="1">
      <c r="A1931" s="106"/>
      <c r="B1931" s="99"/>
      <c r="C1931" s="106"/>
      <c r="F1931" s="99"/>
      <c r="G1931" s="131"/>
      <c r="H1931" s="126"/>
      <c r="J1931" s="106"/>
    </row>
    <row r="1932" spans="1:10" s="96" customFormat="1">
      <c r="A1932" s="106"/>
      <c r="B1932" s="99"/>
      <c r="C1932" s="106"/>
      <c r="F1932" s="99"/>
      <c r="G1932" s="131"/>
      <c r="H1932" s="126"/>
      <c r="J1932" s="106"/>
    </row>
    <row r="1933" spans="1:10" s="96" customFormat="1">
      <c r="A1933" s="106"/>
      <c r="B1933" s="99"/>
      <c r="C1933" s="106"/>
      <c r="F1933" s="99"/>
      <c r="G1933" s="131"/>
      <c r="H1933" s="126"/>
      <c r="J1933" s="106"/>
    </row>
    <row r="1934" spans="1:10" s="96" customFormat="1">
      <c r="A1934" s="106"/>
      <c r="B1934" s="99"/>
      <c r="C1934" s="106"/>
      <c r="F1934" s="99"/>
      <c r="G1934" s="131"/>
      <c r="H1934" s="126"/>
      <c r="J1934" s="106"/>
    </row>
    <row r="1935" spans="1:10" s="96" customFormat="1">
      <c r="A1935" s="106"/>
      <c r="B1935" s="99"/>
      <c r="C1935" s="106"/>
      <c r="F1935" s="99"/>
      <c r="G1935" s="131"/>
      <c r="H1935" s="126"/>
      <c r="J1935" s="106"/>
    </row>
    <row r="1936" spans="1:10" s="96" customFormat="1">
      <c r="A1936" s="106"/>
      <c r="B1936" s="99"/>
      <c r="C1936" s="106"/>
      <c r="F1936" s="99"/>
      <c r="G1936" s="131"/>
      <c r="H1936" s="126"/>
      <c r="J1936" s="106"/>
    </row>
    <row r="1937" spans="1:10" s="96" customFormat="1">
      <c r="A1937" s="106"/>
      <c r="B1937" s="99"/>
      <c r="C1937" s="106"/>
      <c r="F1937" s="99"/>
      <c r="G1937" s="131"/>
      <c r="H1937" s="126"/>
      <c r="J1937" s="106"/>
    </row>
    <row r="1938" spans="1:10" s="96" customFormat="1">
      <c r="A1938" s="106"/>
      <c r="B1938" s="99"/>
      <c r="C1938" s="106"/>
      <c r="F1938" s="99"/>
      <c r="G1938" s="131"/>
      <c r="H1938" s="126"/>
      <c r="J1938" s="106"/>
    </row>
    <row r="1939" spans="1:10" s="96" customFormat="1">
      <c r="A1939" s="106"/>
      <c r="B1939" s="99"/>
      <c r="C1939" s="106"/>
      <c r="F1939" s="99"/>
      <c r="G1939" s="131"/>
      <c r="H1939" s="126"/>
      <c r="J1939" s="106"/>
    </row>
    <row r="1940" spans="1:10" s="96" customFormat="1">
      <c r="A1940" s="106"/>
      <c r="B1940" s="99"/>
      <c r="C1940" s="106"/>
      <c r="F1940" s="99"/>
      <c r="G1940" s="131"/>
      <c r="H1940" s="126"/>
      <c r="J1940" s="106"/>
    </row>
    <row r="1941" spans="1:10" s="96" customFormat="1">
      <c r="A1941" s="106"/>
      <c r="B1941" s="99"/>
      <c r="C1941" s="106"/>
      <c r="F1941" s="99"/>
      <c r="G1941" s="131"/>
      <c r="H1941" s="126"/>
      <c r="J1941" s="106"/>
    </row>
    <row r="1942" spans="1:10" s="96" customFormat="1">
      <c r="A1942" s="106"/>
      <c r="B1942" s="99"/>
      <c r="C1942" s="106"/>
      <c r="F1942" s="99"/>
      <c r="G1942" s="131"/>
      <c r="H1942" s="126"/>
      <c r="J1942" s="106"/>
    </row>
    <row r="1943" spans="1:10" s="96" customFormat="1">
      <c r="A1943" s="106"/>
      <c r="B1943" s="99"/>
      <c r="C1943" s="106"/>
      <c r="F1943" s="99"/>
      <c r="G1943" s="131"/>
      <c r="H1943" s="126"/>
      <c r="J1943" s="106"/>
    </row>
    <row r="1944" spans="1:10" s="96" customFormat="1">
      <c r="A1944" s="106"/>
      <c r="B1944" s="99"/>
      <c r="C1944" s="106"/>
      <c r="F1944" s="99"/>
      <c r="G1944" s="131"/>
      <c r="H1944" s="126"/>
      <c r="J1944" s="106"/>
    </row>
    <row r="1945" spans="1:10" s="96" customFormat="1">
      <c r="A1945" s="106"/>
      <c r="B1945" s="99"/>
      <c r="C1945" s="106"/>
      <c r="F1945" s="99"/>
      <c r="G1945" s="131"/>
      <c r="H1945" s="126"/>
      <c r="J1945" s="106"/>
    </row>
    <row r="1946" spans="1:10" s="96" customFormat="1">
      <c r="A1946" s="106"/>
      <c r="B1946" s="99"/>
      <c r="C1946" s="106"/>
      <c r="F1946" s="99"/>
      <c r="G1946" s="131"/>
      <c r="H1946" s="126"/>
      <c r="J1946" s="106"/>
    </row>
    <row r="1947" spans="1:10" s="96" customFormat="1">
      <c r="A1947" s="106"/>
      <c r="B1947" s="99"/>
      <c r="C1947" s="106"/>
      <c r="F1947" s="99"/>
      <c r="G1947" s="131"/>
      <c r="H1947" s="126"/>
      <c r="J1947" s="106"/>
    </row>
    <row r="1948" spans="1:10" s="96" customFormat="1">
      <c r="A1948" s="106"/>
      <c r="B1948" s="99"/>
      <c r="C1948" s="106"/>
      <c r="F1948" s="99"/>
      <c r="G1948" s="131"/>
      <c r="H1948" s="126"/>
      <c r="J1948" s="106"/>
    </row>
    <row r="1949" spans="1:10" s="96" customFormat="1">
      <c r="A1949" s="106"/>
      <c r="B1949" s="99"/>
      <c r="C1949" s="106"/>
      <c r="F1949" s="99"/>
      <c r="G1949" s="131"/>
      <c r="H1949" s="126"/>
      <c r="J1949" s="106"/>
    </row>
    <row r="1950" spans="1:10" s="96" customFormat="1">
      <c r="A1950" s="106"/>
      <c r="B1950" s="99"/>
      <c r="C1950" s="106"/>
      <c r="F1950" s="99"/>
      <c r="G1950" s="131"/>
      <c r="H1950" s="126"/>
      <c r="J1950" s="106"/>
    </row>
    <row r="1951" spans="1:10" s="96" customFormat="1">
      <c r="A1951" s="106"/>
      <c r="B1951" s="99"/>
      <c r="C1951" s="106"/>
      <c r="F1951" s="99"/>
      <c r="G1951" s="131"/>
      <c r="H1951" s="126"/>
      <c r="J1951" s="106"/>
    </row>
    <row r="1952" spans="1:10" s="96" customFormat="1">
      <c r="A1952" s="106"/>
      <c r="B1952" s="99"/>
      <c r="C1952" s="106"/>
      <c r="F1952" s="99"/>
      <c r="G1952" s="131"/>
      <c r="H1952" s="126"/>
      <c r="J1952" s="106"/>
    </row>
    <row r="1953" spans="1:10" s="96" customFormat="1">
      <c r="A1953" s="106"/>
      <c r="B1953" s="99"/>
      <c r="C1953" s="106"/>
      <c r="F1953" s="99"/>
      <c r="G1953" s="131"/>
      <c r="H1953" s="126"/>
      <c r="J1953" s="106"/>
    </row>
    <row r="1954" spans="1:10" s="96" customFormat="1">
      <c r="A1954" s="106"/>
      <c r="B1954" s="99"/>
      <c r="C1954" s="106"/>
      <c r="F1954" s="99"/>
      <c r="G1954" s="131"/>
      <c r="H1954" s="126"/>
      <c r="J1954" s="106"/>
    </row>
    <row r="1955" spans="1:10" s="96" customFormat="1">
      <c r="A1955" s="106"/>
      <c r="B1955" s="99"/>
      <c r="C1955" s="106"/>
      <c r="F1955" s="99"/>
      <c r="G1955" s="131"/>
      <c r="H1955" s="126"/>
      <c r="J1955" s="106"/>
    </row>
    <row r="1956" spans="1:10" s="96" customFormat="1">
      <c r="A1956" s="106"/>
      <c r="B1956" s="99"/>
      <c r="C1956" s="106"/>
      <c r="F1956" s="99"/>
      <c r="G1956" s="131"/>
      <c r="H1956" s="126"/>
      <c r="J1956" s="106"/>
    </row>
    <row r="1957" spans="1:10" s="96" customFormat="1">
      <c r="A1957" s="106"/>
      <c r="B1957" s="99"/>
      <c r="C1957" s="106"/>
      <c r="F1957" s="99"/>
      <c r="G1957" s="131"/>
      <c r="H1957" s="126"/>
      <c r="J1957" s="106"/>
    </row>
    <row r="1958" spans="1:10" s="96" customFormat="1">
      <c r="A1958" s="106"/>
      <c r="B1958" s="99"/>
      <c r="C1958" s="106"/>
      <c r="F1958" s="99"/>
      <c r="G1958" s="131"/>
      <c r="H1958" s="126"/>
      <c r="J1958" s="106"/>
    </row>
    <row r="1959" spans="1:10" s="96" customFormat="1">
      <c r="A1959" s="106"/>
      <c r="B1959" s="99"/>
      <c r="C1959" s="106"/>
      <c r="F1959" s="99"/>
      <c r="G1959" s="131"/>
      <c r="H1959" s="126"/>
      <c r="J1959" s="106"/>
    </row>
    <row r="1960" spans="1:10" s="96" customFormat="1">
      <c r="A1960" s="106"/>
      <c r="B1960" s="99"/>
      <c r="C1960" s="106"/>
      <c r="F1960" s="99"/>
      <c r="G1960" s="131"/>
      <c r="H1960" s="126"/>
      <c r="J1960" s="106"/>
    </row>
    <row r="1961" spans="1:10" s="96" customFormat="1">
      <c r="A1961" s="106"/>
      <c r="B1961" s="99"/>
      <c r="C1961" s="106"/>
      <c r="F1961" s="99"/>
      <c r="G1961" s="131"/>
      <c r="H1961" s="126"/>
      <c r="J1961" s="106"/>
    </row>
    <row r="1962" spans="1:10" s="96" customFormat="1">
      <c r="A1962" s="106"/>
      <c r="B1962" s="99"/>
      <c r="C1962" s="106"/>
      <c r="F1962" s="99"/>
      <c r="G1962" s="131"/>
      <c r="H1962" s="126"/>
      <c r="J1962" s="106"/>
    </row>
    <row r="1963" spans="1:10" s="96" customFormat="1">
      <c r="A1963" s="106"/>
      <c r="B1963" s="99"/>
      <c r="C1963" s="106"/>
      <c r="F1963" s="99"/>
      <c r="G1963" s="131"/>
      <c r="H1963" s="126"/>
      <c r="J1963" s="106"/>
    </row>
    <row r="1964" spans="1:10" s="96" customFormat="1">
      <c r="A1964" s="106"/>
      <c r="B1964" s="99"/>
      <c r="C1964" s="106"/>
      <c r="F1964" s="99"/>
      <c r="G1964" s="131"/>
      <c r="H1964" s="126"/>
      <c r="J1964" s="106"/>
    </row>
    <row r="1965" spans="1:10" s="96" customFormat="1">
      <c r="A1965" s="106"/>
      <c r="B1965" s="99"/>
      <c r="C1965" s="106"/>
      <c r="F1965" s="99"/>
      <c r="G1965" s="131"/>
      <c r="H1965" s="126"/>
      <c r="J1965" s="106"/>
    </row>
    <row r="1966" spans="1:10" s="96" customFormat="1">
      <c r="A1966" s="106"/>
      <c r="B1966" s="99"/>
      <c r="C1966" s="106"/>
      <c r="F1966" s="99"/>
      <c r="G1966" s="131"/>
      <c r="H1966" s="126"/>
      <c r="J1966" s="106"/>
    </row>
    <row r="1967" spans="1:10" s="96" customFormat="1">
      <c r="A1967" s="106"/>
      <c r="B1967" s="99"/>
      <c r="C1967" s="106"/>
      <c r="F1967" s="99"/>
      <c r="G1967" s="131"/>
      <c r="H1967" s="126"/>
      <c r="J1967" s="106"/>
    </row>
    <row r="1968" spans="1:10" s="96" customFormat="1">
      <c r="A1968" s="106"/>
      <c r="B1968" s="99"/>
      <c r="C1968" s="106"/>
      <c r="F1968" s="99"/>
      <c r="G1968" s="131"/>
      <c r="H1968" s="126"/>
      <c r="J1968" s="106"/>
    </row>
    <row r="1969" spans="1:10" s="96" customFormat="1">
      <c r="A1969" s="106"/>
      <c r="B1969" s="99"/>
      <c r="C1969" s="106"/>
      <c r="F1969" s="99"/>
      <c r="G1969" s="131"/>
      <c r="H1969" s="126"/>
      <c r="J1969" s="106"/>
    </row>
    <row r="1970" spans="1:10" s="96" customFormat="1">
      <c r="A1970" s="106"/>
      <c r="B1970" s="99"/>
      <c r="C1970" s="106"/>
      <c r="F1970" s="99"/>
      <c r="G1970" s="131"/>
      <c r="H1970" s="126"/>
      <c r="J1970" s="106"/>
    </row>
    <row r="1971" spans="1:10" s="96" customFormat="1">
      <c r="A1971" s="106"/>
      <c r="B1971" s="99"/>
      <c r="C1971" s="106"/>
      <c r="F1971" s="99"/>
      <c r="G1971" s="131"/>
      <c r="H1971" s="126"/>
      <c r="J1971" s="106"/>
    </row>
    <row r="1972" spans="1:10" s="96" customFormat="1">
      <c r="A1972" s="106"/>
      <c r="B1972" s="99"/>
      <c r="C1972" s="106"/>
      <c r="F1972" s="99"/>
      <c r="G1972" s="131"/>
      <c r="H1972" s="126"/>
      <c r="J1972" s="106"/>
    </row>
    <row r="1973" spans="1:10" s="96" customFormat="1">
      <c r="A1973" s="106"/>
      <c r="B1973" s="99"/>
      <c r="C1973" s="106"/>
      <c r="F1973" s="99"/>
      <c r="G1973" s="131"/>
      <c r="H1973" s="126"/>
      <c r="J1973" s="106"/>
    </row>
    <row r="1974" spans="1:10" s="96" customFormat="1">
      <c r="A1974" s="106"/>
      <c r="B1974" s="99"/>
      <c r="C1974" s="106"/>
      <c r="F1974" s="99"/>
      <c r="G1974" s="131"/>
      <c r="H1974" s="126"/>
      <c r="J1974" s="106"/>
    </row>
    <row r="1975" spans="1:10" s="96" customFormat="1">
      <c r="A1975" s="106"/>
      <c r="B1975" s="99"/>
      <c r="C1975" s="106"/>
      <c r="F1975" s="99"/>
      <c r="G1975" s="131"/>
      <c r="H1975" s="126"/>
      <c r="J1975" s="106"/>
    </row>
    <row r="1976" spans="1:10" s="96" customFormat="1">
      <c r="A1976" s="106"/>
      <c r="B1976" s="99"/>
      <c r="C1976" s="106"/>
      <c r="F1976" s="99"/>
      <c r="G1976" s="131"/>
      <c r="H1976" s="126"/>
      <c r="J1976" s="106"/>
    </row>
    <row r="1977" spans="1:10" s="96" customFormat="1">
      <c r="A1977" s="106"/>
      <c r="B1977" s="99"/>
      <c r="C1977" s="106"/>
      <c r="F1977" s="99"/>
      <c r="G1977" s="131"/>
      <c r="H1977" s="126"/>
      <c r="J1977" s="106"/>
    </row>
    <row r="1978" spans="1:10" s="96" customFormat="1">
      <c r="A1978" s="106"/>
      <c r="B1978" s="99"/>
      <c r="C1978" s="106"/>
      <c r="F1978" s="99"/>
      <c r="G1978" s="131"/>
      <c r="H1978" s="126"/>
      <c r="J1978" s="106"/>
    </row>
    <row r="1979" spans="1:10" s="96" customFormat="1">
      <c r="A1979" s="106"/>
      <c r="B1979" s="99"/>
      <c r="C1979" s="106"/>
      <c r="F1979" s="99"/>
      <c r="G1979" s="131"/>
      <c r="H1979" s="126"/>
      <c r="J1979" s="106"/>
    </row>
    <row r="1980" spans="1:10" s="96" customFormat="1">
      <c r="A1980" s="106"/>
      <c r="B1980" s="99"/>
      <c r="C1980" s="106"/>
      <c r="F1980" s="99"/>
      <c r="G1980" s="131"/>
      <c r="H1980" s="126"/>
      <c r="J1980" s="106"/>
    </row>
    <row r="1981" spans="1:10" s="96" customFormat="1">
      <c r="A1981" s="106"/>
      <c r="B1981" s="99"/>
      <c r="C1981" s="106"/>
      <c r="F1981" s="99"/>
      <c r="G1981" s="131"/>
      <c r="H1981" s="126"/>
      <c r="J1981" s="106"/>
    </row>
    <row r="1982" spans="1:10" s="96" customFormat="1">
      <c r="A1982" s="106"/>
      <c r="B1982" s="99"/>
      <c r="C1982" s="106"/>
      <c r="F1982" s="99"/>
      <c r="G1982" s="131"/>
      <c r="H1982" s="126"/>
      <c r="J1982" s="106"/>
    </row>
    <row r="1983" spans="1:10" s="96" customFormat="1">
      <c r="A1983" s="106"/>
      <c r="B1983" s="99"/>
      <c r="C1983" s="106"/>
      <c r="F1983" s="99"/>
      <c r="G1983" s="131"/>
      <c r="H1983" s="126"/>
      <c r="J1983" s="106"/>
    </row>
    <row r="1984" spans="1:10" s="96" customFormat="1">
      <c r="A1984" s="106"/>
      <c r="B1984" s="99"/>
      <c r="C1984" s="106"/>
      <c r="F1984" s="99"/>
      <c r="G1984" s="131"/>
      <c r="H1984" s="126"/>
      <c r="J1984" s="106"/>
    </row>
    <row r="1985" spans="1:10" s="96" customFormat="1">
      <c r="A1985" s="106"/>
      <c r="B1985" s="99"/>
      <c r="C1985" s="106"/>
      <c r="F1985" s="99"/>
      <c r="G1985" s="131"/>
      <c r="H1985" s="126"/>
      <c r="J1985" s="106"/>
    </row>
    <row r="1986" spans="1:10" s="96" customFormat="1">
      <c r="A1986" s="106"/>
      <c r="B1986" s="99"/>
      <c r="C1986" s="106"/>
      <c r="F1986" s="99"/>
      <c r="G1986" s="131"/>
      <c r="H1986" s="126"/>
      <c r="J1986" s="106"/>
    </row>
    <row r="1987" spans="1:10" s="96" customFormat="1">
      <c r="A1987" s="106"/>
      <c r="B1987" s="99"/>
      <c r="C1987" s="106"/>
      <c r="F1987" s="99"/>
      <c r="G1987" s="131"/>
      <c r="H1987" s="126"/>
      <c r="J1987" s="106"/>
    </row>
    <row r="1988" spans="1:10" s="96" customFormat="1">
      <c r="A1988" s="106"/>
      <c r="B1988" s="99"/>
      <c r="C1988" s="106"/>
      <c r="F1988" s="99"/>
      <c r="G1988" s="131"/>
      <c r="H1988" s="126"/>
      <c r="J1988" s="106"/>
    </row>
    <row r="1989" spans="1:10" s="96" customFormat="1">
      <c r="A1989" s="106"/>
      <c r="B1989" s="99"/>
      <c r="C1989" s="106"/>
      <c r="F1989" s="99"/>
      <c r="G1989" s="131"/>
      <c r="H1989" s="126"/>
      <c r="J1989" s="106"/>
    </row>
    <row r="1990" spans="1:10" s="96" customFormat="1">
      <c r="A1990" s="106"/>
      <c r="B1990" s="99"/>
      <c r="C1990" s="106"/>
      <c r="F1990" s="99"/>
      <c r="G1990" s="131"/>
      <c r="H1990" s="126"/>
      <c r="J1990" s="106"/>
    </row>
    <row r="1991" spans="1:10" s="96" customFormat="1">
      <c r="A1991" s="106"/>
      <c r="B1991" s="99"/>
      <c r="C1991" s="106"/>
      <c r="F1991" s="99"/>
      <c r="G1991" s="131"/>
      <c r="H1991" s="126"/>
      <c r="J1991" s="106"/>
    </row>
    <row r="1992" spans="1:10" s="96" customFormat="1">
      <c r="A1992" s="106"/>
      <c r="B1992" s="99"/>
      <c r="C1992" s="106"/>
      <c r="F1992" s="99"/>
      <c r="G1992" s="131"/>
      <c r="H1992" s="126"/>
      <c r="J1992" s="106"/>
    </row>
    <row r="1993" spans="1:10" s="96" customFormat="1">
      <c r="A1993" s="106"/>
      <c r="B1993" s="99"/>
      <c r="C1993" s="106"/>
      <c r="F1993" s="99"/>
      <c r="G1993" s="131"/>
      <c r="H1993" s="126"/>
      <c r="J1993" s="106"/>
    </row>
    <row r="1994" spans="1:10" s="96" customFormat="1">
      <c r="A1994" s="106"/>
      <c r="B1994" s="99"/>
      <c r="C1994" s="106"/>
      <c r="F1994" s="99"/>
      <c r="G1994" s="131"/>
      <c r="H1994" s="126"/>
      <c r="J1994" s="106"/>
    </row>
    <row r="1995" spans="1:10" s="96" customFormat="1">
      <c r="A1995" s="106"/>
      <c r="B1995" s="99"/>
      <c r="C1995" s="106"/>
      <c r="F1995" s="99"/>
      <c r="G1995" s="131"/>
      <c r="H1995" s="126"/>
      <c r="J1995" s="106"/>
    </row>
    <row r="1996" spans="1:10" s="96" customFormat="1">
      <c r="A1996" s="106"/>
      <c r="B1996" s="99"/>
      <c r="C1996" s="106"/>
      <c r="F1996" s="99"/>
      <c r="G1996" s="131"/>
      <c r="H1996" s="126"/>
      <c r="J1996" s="106"/>
    </row>
    <row r="1997" spans="1:10" s="96" customFormat="1">
      <c r="A1997" s="106"/>
      <c r="B1997" s="99"/>
      <c r="C1997" s="106"/>
      <c r="F1997" s="99"/>
      <c r="G1997" s="131"/>
      <c r="H1997" s="126"/>
      <c r="J1997" s="106"/>
    </row>
    <row r="1998" spans="1:10" s="96" customFormat="1">
      <c r="A1998" s="106"/>
      <c r="B1998" s="99"/>
      <c r="C1998" s="106"/>
      <c r="F1998" s="99"/>
      <c r="G1998" s="131"/>
      <c r="H1998" s="126"/>
      <c r="J1998" s="106"/>
    </row>
    <row r="1999" spans="1:10" s="96" customFormat="1">
      <c r="A1999" s="106"/>
      <c r="B1999" s="99"/>
      <c r="C1999" s="106"/>
      <c r="F1999" s="99"/>
      <c r="G1999" s="131"/>
      <c r="H1999" s="126"/>
      <c r="J1999" s="106"/>
    </row>
    <row r="2000" spans="1:10" s="96" customFormat="1">
      <c r="A2000" s="106"/>
      <c r="B2000" s="99"/>
      <c r="C2000" s="106"/>
      <c r="F2000" s="99"/>
      <c r="G2000" s="131"/>
      <c r="H2000" s="126"/>
      <c r="J2000" s="106"/>
    </row>
    <row r="2001" spans="1:10" s="96" customFormat="1">
      <c r="A2001" s="106"/>
      <c r="B2001" s="99"/>
      <c r="C2001" s="106"/>
      <c r="F2001" s="99"/>
      <c r="G2001" s="131"/>
      <c r="H2001" s="126"/>
      <c r="J2001" s="106"/>
    </row>
    <row r="2002" spans="1:10" s="96" customFormat="1">
      <c r="A2002" s="106"/>
      <c r="B2002" s="99"/>
      <c r="C2002" s="106"/>
      <c r="F2002" s="99"/>
      <c r="G2002" s="131"/>
      <c r="H2002" s="126"/>
      <c r="J2002" s="106"/>
    </row>
    <row r="2003" spans="1:10" s="96" customFormat="1">
      <c r="A2003" s="106"/>
      <c r="B2003" s="99"/>
      <c r="C2003" s="106"/>
      <c r="F2003" s="99"/>
      <c r="G2003" s="131"/>
      <c r="H2003" s="126"/>
      <c r="J2003" s="106"/>
    </row>
    <row r="2004" spans="1:10" s="96" customFormat="1">
      <c r="A2004" s="106"/>
      <c r="B2004" s="99"/>
      <c r="C2004" s="106"/>
      <c r="F2004" s="99"/>
      <c r="G2004" s="131"/>
      <c r="H2004" s="126"/>
      <c r="J2004" s="106"/>
    </row>
    <row r="2005" spans="1:10" s="96" customFormat="1">
      <c r="A2005" s="106"/>
      <c r="B2005" s="99"/>
      <c r="C2005" s="106"/>
      <c r="F2005" s="99"/>
      <c r="G2005" s="131"/>
      <c r="H2005" s="126"/>
      <c r="J2005" s="106"/>
    </row>
    <row r="2006" spans="1:10" s="96" customFormat="1">
      <c r="A2006" s="106"/>
      <c r="B2006" s="99"/>
      <c r="C2006" s="106"/>
      <c r="F2006" s="99"/>
      <c r="G2006" s="131"/>
      <c r="H2006" s="126"/>
      <c r="J2006" s="106"/>
    </row>
    <row r="2007" spans="1:10" s="96" customFormat="1">
      <c r="A2007" s="106"/>
      <c r="B2007" s="99"/>
      <c r="C2007" s="106"/>
      <c r="F2007" s="99"/>
      <c r="G2007" s="131"/>
      <c r="H2007" s="126"/>
      <c r="J2007" s="106"/>
    </row>
    <row r="2008" spans="1:10" s="96" customFormat="1">
      <c r="A2008" s="106"/>
      <c r="B2008" s="99"/>
      <c r="C2008" s="106"/>
      <c r="F2008" s="99"/>
      <c r="G2008" s="131"/>
      <c r="H2008" s="126"/>
      <c r="J2008" s="106"/>
    </row>
    <row r="2009" spans="1:10" s="96" customFormat="1">
      <c r="A2009" s="106"/>
      <c r="B2009" s="99"/>
      <c r="C2009" s="106"/>
      <c r="F2009" s="99"/>
      <c r="G2009" s="131"/>
      <c r="H2009" s="126"/>
      <c r="J2009" s="106"/>
    </row>
    <row r="2010" spans="1:10" s="96" customFormat="1">
      <c r="A2010" s="106"/>
      <c r="B2010" s="99"/>
      <c r="C2010" s="106"/>
      <c r="F2010" s="99"/>
      <c r="G2010" s="131"/>
      <c r="H2010" s="126"/>
      <c r="J2010" s="106"/>
    </row>
    <row r="2011" spans="1:10" s="96" customFormat="1">
      <c r="A2011" s="106"/>
      <c r="B2011" s="99"/>
      <c r="C2011" s="106"/>
      <c r="F2011" s="99"/>
      <c r="G2011" s="131"/>
      <c r="H2011" s="126"/>
      <c r="J2011" s="106"/>
    </row>
    <row r="2012" spans="1:10" s="96" customFormat="1">
      <c r="A2012" s="106"/>
      <c r="B2012" s="99"/>
      <c r="C2012" s="106"/>
      <c r="F2012" s="99"/>
      <c r="G2012" s="131"/>
      <c r="H2012" s="126"/>
      <c r="J2012" s="106"/>
    </row>
    <row r="2013" spans="1:10" s="96" customFormat="1">
      <c r="A2013" s="106"/>
      <c r="B2013" s="99"/>
      <c r="C2013" s="106"/>
      <c r="F2013" s="99"/>
      <c r="G2013" s="131"/>
      <c r="H2013" s="126"/>
      <c r="J2013" s="106"/>
    </row>
    <row r="2014" spans="1:10" s="96" customFormat="1">
      <c r="A2014" s="106"/>
      <c r="B2014" s="99"/>
      <c r="C2014" s="106"/>
      <c r="F2014" s="99"/>
      <c r="G2014" s="131"/>
      <c r="H2014" s="126"/>
      <c r="J2014" s="106"/>
    </row>
    <row r="2015" spans="1:10" s="96" customFormat="1">
      <c r="A2015" s="106"/>
      <c r="B2015" s="99"/>
      <c r="C2015" s="106"/>
      <c r="F2015" s="99"/>
      <c r="G2015" s="131"/>
      <c r="H2015" s="126"/>
      <c r="J2015" s="106"/>
    </row>
    <row r="2016" spans="1:10" s="96" customFormat="1">
      <c r="A2016" s="106"/>
      <c r="B2016" s="99"/>
      <c r="C2016" s="106"/>
      <c r="F2016" s="99"/>
      <c r="G2016" s="131"/>
      <c r="H2016" s="126"/>
      <c r="J2016" s="106"/>
    </row>
    <row r="2017" spans="1:10" s="96" customFormat="1">
      <c r="A2017" s="106"/>
      <c r="B2017" s="99"/>
      <c r="C2017" s="106"/>
      <c r="F2017" s="99"/>
      <c r="G2017" s="131"/>
      <c r="H2017" s="126"/>
      <c r="J2017" s="106"/>
    </row>
    <row r="2018" spans="1:10" s="96" customFormat="1">
      <c r="A2018" s="106"/>
      <c r="B2018" s="99"/>
      <c r="C2018" s="106"/>
      <c r="F2018" s="99"/>
      <c r="G2018" s="131"/>
      <c r="H2018" s="126"/>
      <c r="J2018" s="106"/>
    </row>
    <row r="2019" spans="1:10" s="96" customFormat="1">
      <c r="A2019" s="106"/>
      <c r="B2019" s="99"/>
      <c r="C2019" s="106"/>
      <c r="F2019" s="99"/>
      <c r="G2019" s="131"/>
      <c r="H2019" s="126"/>
      <c r="J2019" s="106"/>
    </row>
    <row r="2020" spans="1:10" s="96" customFormat="1">
      <c r="A2020" s="106"/>
      <c r="B2020" s="99"/>
      <c r="C2020" s="106"/>
      <c r="F2020" s="99"/>
      <c r="G2020" s="131"/>
      <c r="H2020" s="126"/>
      <c r="J2020" s="106"/>
    </row>
    <row r="2021" spans="1:10" s="96" customFormat="1">
      <c r="A2021" s="106"/>
      <c r="B2021" s="99"/>
      <c r="C2021" s="106"/>
      <c r="F2021" s="99"/>
      <c r="G2021" s="131"/>
      <c r="H2021" s="126"/>
      <c r="J2021" s="106"/>
    </row>
    <row r="2022" spans="1:10" s="96" customFormat="1">
      <c r="A2022" s="106"/>
      <c r="B2022" s="99"/>
      <c r="C2022" s="106"/>
      <c r="F2022" s="99"/>
      <c r="G2022" s="131"/>
      <c r="H2022" s="126"/>
      <c r="J2022" s="106"/>
    </row>
    <row r="2023" spans="1:10" s="96" customFormat="1">
      <c r="A2023" s="106"/>
      <c r="B2023" s="99"/>
      <c r="C2023" s="106"/>
      <c r="F2023" s="99"/>
      <c r="G2023" s="131"/>
      <c r="H2023" s="126"/>
      <c r="J2023" s="106"/>
    </row>
    <row r="2024" spans="1:10" s="96" customFormat="1">
      <c r="A2024" s="106"/>
      <c r="B2024" s="99"/>
      <c r="C2024" s="106"/>
      <c r="F2024" s="99"/>
      <c r="G2024" s="131"/>
      <c r="H2024" s="126"/>
      <c r="J2024" s="106"/>
    </row>
    <row r="2025" spans="1:10" s="96" customFormat="1">
      <c r="A2025" s="106"/>
      <c r="B2025" s="99"/>
      <c r="C2025" s="106"/>
      <c r="F2025" s="99"/>
      <c r="G2025" s="131"/>
      <c r="H2025" s="126"/>
      <c r="J2025" s="106"/>
    </row>
    <row r="2026" spans="1:10" s="96" customFormat="1">
      <c r="A2026" s="106"/>
      <c r="B2026" s="99"/>
      <c r="C2026" s="106"/>
      <c r="F2026" s="99"/>
      <c r="G2026" s="131"/>
      <c r="H2026" s="126"/>
      <c r="J2026" s="106"/>
    </row>
    <row r="2027" spans="1:10" s="96" customFormat="1">
      <c r="A2027" s="106"/>
      <c r="B2027" s="99"/>
      <c r="C2027" s="106"/>
      <c r="F2027" s="99"/>
      <c r="G2027" s="131"/>
      <c r="H2027" s="126"/>
      <c r="J2027" s="106"/>
    </row>
    <row r="2028" spans="1:10" s="96" customFormat="1">
      <c r="A2028" s="106"/>
      <c r="B2028" s="99"/>
      <c r="C2028" s="106"/>
      <c r="F2028" s="99"/>
      <c r="G2028" s="131"/>
      <c r="H2028" s="126"/>
      <c r="J2028" s="106"/>
    </row>
    <row r="2029" spans="1:10" s="96" customFormat="1">
      <c r="A2029" s="106"/>
      <c r="B2029" s="99"/>
      <c r="C2029" s="106"/>
      <c r="F2029" s="99"/>
      <c r="G2029" s="131"/>
      <c r="H2029" s="126"/>
      <c r="J2029" s="106"/>
    </row>
    <row r="2030" spans="1:10" s="96" customFormat="1">
      <c r="A2030" s="106"/>
      <c r="B2030" s="99"/>
      <c r="C2030" s="106"/>
      <c r="F2030" s="99"/>
      <c r="G2030" s="131"/>
      <c r="H2030" s="126"/>
      <c r="J2030" s="106"/>
    </row>
    <row r="2031" spans="1:10" s="96" customFormat="1">
      <c r="A2031" s="106"/>
      <c r="B2031" s="99"/>
      <c r="C2031" s="106"/>
      <c r="F2031" s="99"/>
      <c r="G2031" s="131"/>
      <c r="H2031" s="126"/>
      <c r="J2031" s="106"/>
    </row>
    <row r="2032" spans="1:10" s="96" customFormat="1">
      <c r="A2032" s="106"/>
      <c r="B2032" s="99"/>
      <c r="C2032" s="106"/>
      <c r="F2032" s="99"/>
      <c r="G2032" s="131"/>
      <c r="H2032" s="126"/>
      <c r="J2032" s="106"/>
    </row>
    <row r="2033" spans="1:10" s="96" customFormat="1">
      <c r="A2033" s="106"/>
      <c r="B2033" s="99"/>
      <c r="C2033" s="106"/>
      <c r="F2033" s="99"/>
      <c r="G2033" s="131"/>
      <c r="H2033" s="126"/>
      <c r="J2033" s="106"/>
    </row>
    <row r="2034" spans="1:10" s="96" customFormat="1">
      <c r="A2034" s="106"/>
      <c r="B2034" s="99"/>
      <c r="C2034" s="106"/>
      <c r="F2034" s="99"/>
      <c r="G2034" s="131"/>
      <c r="H2034" s="126"/>
      <c r="J2034" s="106"/>
    </row>
    <row r="2035" spans="1:10" s="96" customFormat="1">
      <c r="A2035" s="106"/>
      <c r="B2035" s="99"/>
      <c r="C2035" s="106"/>
      <c r="F2035" s="99"/>
      <c r="G2035" s="131"/>
      <c r="H2035" s="126"/>
      <c r="J2035" s="106"/>
    </row>
    <row r="2036" spans="1:10" s="96" customFormat="1">
      <c r="A2036" s="106"/>
      <c r="B2036" s="99"/>
      <c r="C2036" s="106"/>
      <c r="F2036" s="99"/>
      <c r="G2036" s="131"/>
      <c r="H2036" s="126"/>
      <c r="J2036" s="106"/>
    </row>
    <row r="2037" spans="1:10" s="96" customFormat="1">
      <c r="A2037" s="106"/>
      <c r="B2037" s="99"/>
      <c r="C2037" s="106"/>
      <c r="F2037" s="99"/>
      <c r="G2037" s="131"/>
      <c r="H2037" s="126"/>
      <c r="J2037" s="106"/>
    </row>
    <row r="2038" spans="1:10" s="96" customFormat="1">
      <c r="A2038" s="106"/>
      <c r="B2038" s="99"/>
      <c r="C2038" s="106"/>
      <c r="F2038" s="99"/>
      <c r="G2038" s="131"/>
      <c r="H2038" s="126"/>
      <c r="J2038" s="106"/>
    </row>
    <row r="2039" spans="1:10" s="96" customFormat="1">
      <c r="A2039" s="106"/>
      <c r="B2039" s="99"/>
      <c r="C2039" s="106"/>
      <c r="F2039" s="99"/>
      <c r="G2039" s="131"/>
      <c r="H2039" s="126"/>
      <c r="J2039" s="106"/>
    </row>
    <row r="2040" spans="1:10" s="96" customFormat="1">
      <c r="A2040" s="106"/>
      <c r="B2040" s="99"/>
      <c r="C2040" s="106"/>
      <c r="F2040" s="99"/>
      <c r="G2040" s="131"/>
      <c r="H2040" s="126"/>
      <c r="J2040" s="106"/>
    </row>
    <row r="2041" spans="1:10" s="96" customFormat="1">
      <c r="A2041" s="106"/>
      <c r="B2041" s="99"/>
      <c r="C2041" s="106"/>
      <c r="F2041" s="99"/>
      <c r="G2041" s="131"/>
      <c r="H2041" s="126"/>
      <c r="J2041" s="106"/>
    </row>
    <row r="2042" spans="1:10" s="96" customFormat="1">
      <c r="A2042" s="106"/>
      <c r="B2042" s="99"/>
      <c r="C2042" s="106"/>
      <c r="F2042" s="99"/>
      <c r="G2042" s="131"/>
      <c r="H2042" s="126"/>
      <c r="J2042" s="106"/>
    </row>
    <row r="2043" spans="1:10" s="96" customFormat="1">
      <c r="A2043" s="106"/>
      <c r="B2043" s="99"/>
      <c r="C2043" s="106"/>
      <c r="F2043" s="99"/>
      <c r="G2043" s="131"/>
      <c r="H2043" s="126"/>
      <c r="J2043" s="106"/>
    </row>
    <row r="2044" spans="1:10" s="96" customFormat="1">
      <c r="A2044" s="106"/>
      <c r="B2044" s="99"/>
      <c r="C2044" s="106"/>
      <c r="F2044" s="99"/>
      <c r="G2044" s="131"/>
      <c r="H2044" s="126"/>
      <c r="J2044" s="106"/>
    </row>
    <row r="2045" spans="1:10" s="96" customFormat="1">
      <c r="A2045" s="106"/>
      <c r="B2045" s="99"/>
      <c r="C2045" s="106"/>
      <c r="F2045" s="99"/>
      <c r="G2045" s="131"/>
      <c r="H2045" s="126"/>
      <c r="J2045" s="106"/>
    </row>
    <row r="2046" spans="1:10" s="96" customFormat="1">
      <c r="A2046" s="106"/>
      <c r="B2046" s="99"/>
      <c r="C2046" s="106"/>
      <c r="F2046" s="99"/>
      <c r="G2046" s="131"/>
      <c r="H2046" s="126"/>
      <c r="J2046" s="106"/>
    </row>
    <row r="2047" spans="1:10" s="96" customFormat="1">
      <c r="A2047" s="106"/>
      <c r="B2047" s="99"/>
      <c r="C2047" s="106"/>
      <c r="F2047" s="99"/>
      <c r="G2047" s="131"/>
      <c r="H2047" s="126"/>
      <c r="J2047" s="106"/>
    </row>
    <row r="2048" spans="1:10" s="96" customFormat="1">
      <c r="A2048" s="106"/>
      <c r="B2048" s="99"/>
      <c r="C2048" s="106"/>
      <c r="F2048" s="99"/>
      <c r="G2048" s="131"/>
      <c r="H2048" s="126"/>
      <c r="J2048" s="106"/>
    </row>
    <row r="2049" spans="1:10" s="96" customFormat="1">
      <c r="A2049" s="106"/>
      <c r="B2049" s="99"/>
      <c r="C2049" s="106"/>
      <c r="F2049" s="99"/>
      <c r="G2049" s="131"/>
      <c r="H2049" s="126"/>
      <c r="J2049" s="106"/>
    </row>
    <row r="2050" spans="1:10" s="96" customFormat="1">
      <c r="A2050" s="106"/>
      <c r="B2050" s="99"/>
      <c r="C2050" s="106"/>
      <c r="F2050" s="99"/>
      <c r="G2050" s="131"/>
      <c r="H2050" s="126"/>
      <c r="J2050" s="106"/>
    </row>
    <row r="2051" spans="1:10" s="96" customFormat="1">
      <c r="A2051" s="106"/>
      <c r="B2051" s="99"/>
      <c r="C2051" s="106"/>
      <c r="F2051" s="99"/>
      <c r="G2051" s="131"/>
      <c r="H2051" s="126"/>
      <c r="J2051" s="106"/>
    </row>
    <row r="2052" spans="1:10" s="96" customFormat="1">
      <c r="A2052" s="106"/>
      <c r="B2052" s="99"/>
      <c r="C2052" s="106"/>
      <c r="F2052" s="99"/>
      <c r="G2052" s="131"/>
      <c r="H2052" s="126"/>
      <c r="J2052" s="106"/>
    </row>
    <row r="2053" spans="1:10" s="96" customFormat="1">
      <c r="A2053" s="106"/>
      <c r="B2053" s="99"/>
      <c r="C2053" s="106"/>
      <c r="F2053" s="99"/>
      <c r="G2053" s="131"/>
      <c r="H2053" s="126"/>
      <c r="J2053" s="106"/>
    </row>
    <row r="2054" spans="1:10" s="96" customFormat="1">
      <c r="A2054" s="106"/>
      <c r="B2054" s="99"/>
      <c r="C2054" s="106"/>
      <c r="F2054" s="99"/>
      <c r="G2054" s="131"/>
      <c r="H2054" s="126"/>
      <c r="J2054" s="106"/>
    </row>
    <row r="2055" spans="1:10" s="96" customFormat="1">
      <c r="A2055" s="106"/>
      <c r="B2055" s="99"/>
      <c r="C2055" s="106"/>
      <c r="F2055" s="99"/>
      <c r="G2055" s="131"/>
      <c r="H2055" s="126"/>
      <c r="J2055" s="106"/>
    </row>
    <row r="2056" spans="1:10" s="96" customFormat="1">
      <c r="A2056" s="106"/>
      <c r="B2056" s="99"/>
      <c r="C2056" s="106"/>
      <c r="F2056" s="99"/>
      <c r="G2056" s="131"/>
      <c r="H2056" s="126"/>
      <c r="J2056" s="106"/>
    </row>
    <row r="2057" spans="1:10" s="96" customFormat="1">
      <c r="A2057" s="106"/>
      <c r="B2057" s="99"/>
      <c r="C2057" s="106"/>
      <c r="F2057" s="99"/>
      <c r="G2057" s="131"/>
      <c r="H2057" s="126"/>
      <c r="J2057" s="106"/>
    </row>
    <row r="2058" spans="1:10" s="96" customFormat="1">
      <c r="A2058" s="106"/>
      <c r="B2058" s="99"/>
      <c r="C2058" s="106"/>
      <c r="F2058" s="99"/>
      <c r="G2058" s="131"/>
      <c r="H2058" s="126"/>
      <c r="J2058" s="106"/>
    </row>
    <row r="2059" spans="1:10" s="96" customFormat="1">
      <c r="A2059" s="106"/>
      <c r="B2059" s="99"/>
      <c r="C2059" s="106"/>
      <c r="F2059" s="99"/>
      <c r="G2059" s="131"/>
      <c r="H2059" s="126"/>
      <c r="J2059" s="106"/>
    </row>
    <row r="2060" spans="1:10" s="96" customFormat="1">
      <c r="A2060" s="106"/>
      <c r="B2060" s="99"/>
      <c r="C2060" s="106"/>
      <c r="F2060" s="99"/>
      <c r="G2060" s="131"/>
      <c r="H2060" s="126"/>
      <c r="J2060" s="106"/>
    </row>
    <row r="2061" spans="1:10" s="96" customFormat="1">
      <c r="A2061" s="106"/>
      <c r="B2061" s="99"/>
      <c r="C2061" s="106"/>
      <c r="F2061" s="99"/>
      <c r="G2061" s="131"/>
      <c r="H2061" s="126"/>
      <c r="J2061" s="106"/>
    </row>
    <row r="2062" spans="1:10" s="96" customFormat="1">
      <c r="A2062" s="106"/>
      <c r="B2062" s="99"/>
      <c r="C2062" s="106"/>
      <c r="F2062" s="99"/>
      <c r="G2062" s="131"/>
      <c r="H2062" s="126"/>
      <c r="J2062" s="106"/>
    </row>
    <row r="2063" spans="1:10" s="96" customFormat="1">
      <c r="A2063" s="106"/>
      <c r="B2063" s="99"/>
      <c r="C2063" s="106"/>
      <c r="F2063" s="99"/>
      <c r="G2063" s="131"/>
      <c r="H2063" s="126"/>
      <c r="J2063" s="106"/>
    </row>
    <row r="2064" spans="1:10" s="96" customFormat="1">
      <c r="A2064" s="106"/>
      <c r="B2064" s="99"/>
      <c r="C2064" s="106"/>
      <c r="F2064" s="99"/>
      <c r="G2064" s="131"/>
      <c r="H2064" s="126"/>
      <c r="J2064" s="106"/>
    </row>
    <row r="2065" spans="1:10" s="96" customFormat="1">
      <c r="A2065" s="106"/>
      <c r="B2065" s="99"/>
      <c r="C2065" s="106"/>
      <c r="F2065" s="99"/>
      <c r="G2065" s="131"/>
      <c r="H2065" s="126"/>
      <c r="J2065" s="106"/>
    </row>
    <row r="2066" spans="1:10" s="96" customFormat="1">
      <c r="A2066" s="106"/>
      <c r="B2066" s="99"/>
      <c r="C2066" s="106"/>
      <c r="F2066" s="99"/>
      <c r="G2066" s="131"/>
      <c r="H2066" s="126"/>
      <c r="J2066" s="106"/>
    </row>
    <row r="2067" spans="1:10" s="96" customFormat="1">
      <c r="A2067" s="106"/>
      <c r="B2067" s="99"/>
      <c r="C2067" s="106"/>
      <c r="F2067" s="99"/>
      <c r="G2067" s="131"/>
      <c r="H2067" s="126"/>
      <c r="J2067" s="106"/>
    </row>
    <row r="2068" spans="1:10" s="96" customFormat="1">
      <c r="A2068" s="106"/>
      <c r="B2068" s="99"/>
      <c r="C2068" s="106"/>
      <c r="F2068" s="99"/>
      <c r="G2068" s="131"/>
      <c r="H2068" s="126"/>
      <c r="J2068" s="106"/>
    </row>
    <row r="2069" spans="1:10" s="96" customFormat="1">
      <c r="A2069" s="106"/>
      <c r="B2069" s="99"/>
      <c r="C2069" s="106"/>
      <c r="F2069" s="99"/>
      <c r="G2069" s="131"/>
      <c r="H2069" s="126"/>
      <c r="J2069" s="106"/>
    </row>
    <row r="2070" spans="1:10" s="96" customFormat="1">
      <c r="A2070" s="106"/>
      <c r="B2070" s="99"/>
      <c r="C2070" s="106"/>
      <c r="F2070" s="99"/>
      <c r="G2070" s="131"/>
      <c r="H2070" s="126"/>
      <c r="J2070" s="106"/>
    </row>
    <row r="2071" spans="1:10" s="96" customFormat="1">
      <c r="A2071" s="106"/>
      <c r="B2071" s="99"/>
      <c r="C2071" s="106"/>
      <c r="F2071" s="99"/>
      <c r="G2071" s="131"/>
      <c r="H2071" s="126"/>
      <c r="J2071" s="106"/>
    </row>
    <row r="2072" spans="1:10" s="96" customFormat="1">
      <c r="A2072" s="106"/>
      <c r="B2072" s="99"/>
      <c r="C2072" s="106"/>
      <c r="F2072" s="99"/>
      <c r="G2072" s="131"/>
      <c r="H2072" s="126"/>
      <c r="J2072" s="106"/>
    </row>
    <row r="2073" spans="1:10" s="96" customFormat="1">
      <c r="A2073" s="106"/>
      <c r="B2073" s="99"/>
      <c r="C2073" s="106"/>
      <c r="F2073" s="99"/>
      <c r="G2073" s="131"/>
      <c r="H2073" s="126"/>
      <c r="J2073" s="106"/>
    </row>
    <row r="2074" spans="1:10" s="96" customFormat="1">
      <c r="A2074" s="106"/>
      <c r="B2074" s="99"/>
      <c r="C2074" s="106"/>
      <c r="F2074" s="99"/>
      <c r="G2074" s="131"/>
      <c r="H2074" s="126"/>
      <c r="J2074" s="106"/>
    </row>
    <row r="2075" spans="1:10" s="96" customFormat="1">
      <c r="A2075" s="106"/>
      <c r="B2075" s="99"/>
      <c r="C2075" s="106"/>
      <c r="F2075" s="99"/>
      <c r="G2075" s="131"/>
      <c r="H2075" s="126"/>
      <c r="J2075" s="106"/>
    </row>
    <row r="2076" spans="1:10" s="96" customFormat="1">
      <c r="A2076" s="106"/>
      <c r="B2076" s="99"/>
      <c r="C2076" s="106"/>
      <c r="F2076" s="99"/>
      <c r="G2076" s="131"/>
      <c r="H2076" s="126"/>
      <c r="J2076" s="106"/>
    </row>
    <row r="2077" spans="1:10" s="96" customFormat="1">
      <c r="A2077" s="106"/>
      <c r="B2077" s="99"/>
      <c r="C2077" s="106"/>
      <c r="F2077" s="99"/>
      <c r="G2077" s="131"/>
      <c r="H2077" s="126"/>
      <c r="J2077" s="106"/>
    </row>
    <row r="2078" spans="1:10" s="96" customFormat="1">
      <c r="A2078" s="106"/>
      <c r="B2078" s="99"/>
      <c r="C2078" s="106"/>
      <c r="F2078" s="99"/>
      <c r="G2078" s="131"/>
      <c r="H2078" s="126"/>
      <c r="J2078" s="106"/>
    </row>
    <row r="2079" spans="1:10" s="96" customFormat="1">
      <c r="A2079" s="106"/>
      <c r="B2079" s="99"/>
      <c r="C2079" s="106"/>
      <c r="F2079" s="99"/>
      <c r="G2079" s="131"/>
      <c r="H2079" s="126"/>
      <c r="J2079" s="106"/>
    </row>
    <row r="2080" spans="1:10" s="96" customFormat="1">
      <c r="A2080" s="106"/>
      <c r="B2080" s="99"/>
      <c r="C2080" s="106"/>
      <c r="F2080" s="99"/>
      <c r="G2080" s="131"/>
      <c r="H2080" s="126"/>
      <c r="J2080" s="106"/>
    </row>
    <row r="2081" spans="1:10" s="96" customFormat="1">
      <c r="A2081" s="106"/>
      <c r="B2081" s="99"/>
      <c r="C2081" s="106"/>
      <c r="F2081" s="99"/>
      <c r="G2081" s="131"/>
      <c r="H2081" s="126"/>
      <c r="J2081" s="106"/>
    </row>
    <row r="2082" spans="1:10" s="96" customFormat="1">
      <c r="A2082" s="106"/>
      <c r="B2082" s="99"/>
      <c r="C2082" s="106"/>
      <c r="F2082" s="99"/>
      <c r="G2082" s="131"/>
      <c r="H2082" s="126"/>
      <c r="J2082" s="106"/>
    </row>
    <row r="2083" spans="1:10" s="96" customFormat="1">
      <c r="A2083" s="106"/>
      <c r="B2083" s="99"/>
      <c r="C2083" s="106"/>
      <c r="F2083" s="99"/>
      <c r="G2083" s="131"/>
      <c r="H2083" s="126"/>
      <c r="J2083" s="106"/>
    </row>
    <row r="2084" spans="1:10" s="96" customFormat="1">
      <c r="A2084" s="106"/>
      <c r="B2084" s="99"/>
      <c r="C2084" s="106"/>
      <c r="F2084" s="99"/>
      <c r="G2084" s="131"/>
      <c r="H2084" s="126"/>
      <c r="J2084" s="106"/>
    </row>
    <row r="2085" spans="1:10" s="96" customFormat="1">
      <c r="A2085" s="106"/>
      <c r="B2085" s="99"/>
      <c r="C2085" s="106"/>
      <c r="F2085" s="99"/>
      <c r="G2085" s="131"/>
      <c r="H2085" s="126"/>
      <c r="J2085" s="106"/>
    </row>
    <row r="2086" spans="1:10" s="96" customFormat="1">
      <c r="A2086" s="106"/>
      <c r="B2086" s="99"/>
      <c r="C2086" s="106"/>
      <c r="F2086" s="99"/>
      <c r="G2086" s="131"/>
      <c r="H2086" s="126"/>
      <c r="J2086" s="106"/>
    </row>
    <row r="2087" spans="1:10" s="96" customFormat="1">
      <c r="A2087" s="106"/>
      <c r="B2087" s="99"/>
      <c r="C2087" s="106"/>
      <c r="F2087" s="99"/>
      <c r="G2087" s="131"/>
      <c r="H2087" s="126"/>
      <c r="J2087" s="106"/>
    </row>
  </sheetData>
  <conditionalFormatting sqref="C261:C262 F64:G65 F72:G72 F190:G262 F117:G187 F88:G102 F105:G105 F104 G103:G104 F108:F110 F106 F44:G47 F52:G57 F59:G60 F67:G68 F327:G65629 F1:G42 F81:G85 F49:G50 F74:G74 F77:G77 F279:G325 F277:G277 G263:G265 C267:C269 F267:G275 J267:J269">
    <cfRule type="cellIs" dxfId="221" priority="50" stopIfTrue="1" operator="lessThan">
      <formula>0</formula>
    </cfRule>
  </conditionalFormatting>
  <conditionalFormatting sqref="F55">
    <cfRule type="cellIs" dxfId="220" priority="48" stopIfTrue="1" operator="lessThan">
      <formula>0</formula>
    </cfRule>
  </conditionalFormatting>
  <conditionalFormatting sqref="F47">
    <cfRule type="cellIs" dxfId="219" priority="47" stopIfTrue="1" operator="lessThan">
      <formula>0</formula>
    </cfRule>
  </conditionalFormatting>
  <conditionalFormatting sqref="F55">
    <cfRule type="cellIs" dxfId="218" priority="46" stopIfTrue="1" operator="lessThan">
      <formula>0</formula>
    </cfRule>
  </conditionalFormatting>
  <conditionalFormatting sqref="F61:G61">
    <cfRule type="cellIs" dxfId="217" priority="45" stopIfTrue="1" operator="lessThan">
      <formula>0</formula>
    </cfRule>
  </conditionalFormatting>
  <conditionalFormatting sqref="F69:G69">
    <cfRule type="cellIs" dxfId="216" priority="44" stopIfTrue="1" operator="lessThan">
      <formula>0</formula>
    </cfRule>
  </conditionalFormatting>
  <conditionalFormatting sqref="F189:G189">
    <cfRule type="cellIs" dxfId="215" priority="42" stopIfTrue="1" operator="lessThan">
      <formula>0</formula>
    </cfRule>
  </conditionalFormatting>
  <conditionalFormatting sqref="F188:G188">
    <cfRule type="cellIs" dxfId="214" priority="41" stopIfTrue="1" operator="lessThan">
      <formula>0</formula>
    </cfRule>
  </conditionalFormatting>
  <conditionalFormatting sqref="F111:F116">
    <cfRule type="cellIs" dxfId="213" priority="40" stopIfTrue="1" operator="lessThan">
      <formula>0</formula>
    </cfRule>
  </conditionalFormatting>
  <conditionalFormatting sqref="F103">
    <cfRule type="cellIs" dxfId="212" priority="39" stopIfTrue="1" operator="lessThan">
      <formula>0</formula>
    </cfRule>
  </conditionalFormatting>
  <conditionalFormatting sqref="F107">
    <cfRule type="cellIs" dxfId="211" priority="38" stopIfTrue="1" operator="lessThan">
      <formula>0</formula>
    </cfRule>
  </conditionalFormatting>
  <conditionalFormatting sqref="G106:G116">
    <cfRule type="cellIs" dxfId="210" priority="37" stopIfTrue="1" operator="lessThan">
      <formula>0</formula>
    </cfRule>
  </conditionalFormatting>
  <conditionalFormatting sqref="F43:G43">
    <cfRule type="cellIs" dxfId="209" priority="36" stopIfTrue="1" operator="lessThan">
      <formula>0</formula>
    </cfRule>
  </conditionalFormatting>
  <conditionalFormatting sqref="F51:G51">
    <cfRule type="cellIs" dxfId="208" priority="35" stopIfTrue="1" operator="lessThan">
      <formula>0</formula>
    </cfRule>
  </conditionalFormatting>
  <conditionalFormatting sqref="F58:G58">
    <cfRule type="cellIs" dxfId="207" priority="34" stopIfTrue="1" operator="lessThan">
      <formula>0</formula>
    </cfRule>
  </conditionalFormatting>
  <conditionalFormatting sqref="F62:G62">
    <cfRule type="cellIs" dxfId="206" priority="33" stopIfTrue="1" operator="lessThan">
      <formula>0</formula>
    </cfRule>
  </conditionalFormatting>
  <conditionalFormatting sqref="F66:G66">
    <cfRule type="cellIs" dxfId="205" priority="32" stopIfTrue="1" operator="lessThan">
      <formula>0</formula>
    </cfRule>
  </conditionalFormatting>
  <conditionalFormatting sqref="F70:G70">
    <cfRule type="cellIs" dxfId="204" priority="31" stopIfTrue="1" operator="lessThan">
      <formula>0</formula>
    </cfRule>
  </conditionalFormatting>
  <conditionalFormatting sqref="J261:J262">
    <cfRule type="cellIs" dxfId="203" priority="30" stopIfTrue="1" operator="lessThan">
      <formula>0</formula>
    </cfRule>
  </conditionalFormatting>
  <conditionalFormatting sqref="C263 F263">
    <cfRule type="cellIs" dxfId="202" priority="25" stopIfTrue="1" operator="lessThan">
      <formula>0</formula>
    </cfRule>
  </conditionalFormatting>
  <conditionalFormatting sqref="C264 F264:F265">
    <cfRule type="cellIs" dxfId="201" priority="24" stopIfTrue="1" operator="lessThan">
      <formula>0</formula>
    </cfRule>
  </conditionalFormatting>
  <conditionalFormatting sqref="J263">
    <cfRule type="cellIs" dxfId="200" priority="23" stopIfTrue="1" operator="lessThan">
      <formula>0</formula>
    </cfRule>
  </conditionalFormatting>
  <conditionalFormatting sqref="J264:J265">
    <cfRule type="cellIs" dxfId="199" priority="22" stopIfTrue="1" operator="lessThan">
      <formula>0</formula>
    </cfRule>
  </conditionalFormatting>
  <conditionalFormatting sqref="F78:G78">
    <cfRule type="cellIs" dxfId="198" priority="21" stopIfTrue="1" operator="lessThan">
      <formula>0</formula>
    </cfRule>
  </conditionalFormatting>
  <conditionalFormatting sqref="F48:G48">
    <cfRule type="cellIs" dxfId="197" priority="20" stopIfTrue="1" operator="lessThan">
      <formula>0</formula>
    </cfRule>
  </conditionalFormatting>
  <conditionalFormatting sqref="F48">
    <cfRule type="cellIs" dxfId="196" priority="19" stopIfTrue="1" operator="lessThan">
      <formula>0</formula>
    </cfRule>
  </conditionalFormatting>
  <conditionalFormatting sqref="F79:G79">
    <cfRule type="cellIs" dxfId="195" priority="18" stopIfTrue="1" operator="lessThan">
      <formula>0</formula>
    </cfRule>
  </conditionalFormatting>
  <conditionalFormatting sqref="F73:G73">
    <cfRule type="cellIs" dxfId="194" priority="17" stopIfTrue="1" operator="lessThan">
      <formula>0</formula>
    </cfRule>
  </conditionalFormatting>
  <conditionalFormatting sqref="F75:G75">
    <cfRule type="cellIs" dxfId="193" priority="16" stopIfTrue="1" operator="lessThan">
      <formula>0</formula>
    </cfRule>
  </conditionalFormatting>
  <conditionalFormatting sqref="F71:G71">
    <cfRule type="cellIs" dxfId="192" priority="15" stopIfTrue="1" operator="lessThan">
      <formula>0</formula>
    </cfRule>
  </conditionalFormatting>
  <conditionalFormatting sqref="F63:G63">
    <cfRule type="cellIs" dxfId="191" priority="14" stopIfTrue="1" operator="lessThan">
      <formula>0</formula>
    </cfRule>
  </conditionalFormatting>
  <conditionalFormatting sqref="F276:G276">
    <cfRule type="cellIs" dxfId="190" priority="13" stopIfTrue="1" operator="lessThan">
      <formula>0</formula>
    </cfRule>
  </conditionalFormatting>
  <conditionalFormatting sqref="F278:G278">
    <cfRule type="cellIs" dxfId="189" priority="11" stopIfTrue="1" operator="lessThan">
      <formula>0</formula>
    </cfRule>
  </conditionalFormatting>
  <conditionalFormatting sqref="C265">
    <cfRule type="cellIs" dxfId="188" priority="10" stopIfTrue="1" operator="lessThan">
      <formula>0</formula>
    </cfRule>
  </conditionalFormatting>
  <conditionalFormatting sqref="G266">
    <cfRule type="cellIs" dxfId="187" priority="9" stopIfTrue="1" operator="lessThan">
      <formula>0</formula>
    </cfRule>
  </conditionalFormatting>
  <conditionalFormatting sqref="F266">
    <cfRule type="cellIs" dxfId="186" priority="8" stopIfTrue="1" operator="lessThan">
      <formula>0</formula>
    </cfRule>
  </conditionalFormatting>
  <conditionalFormatting sqref="J266">
    <cfRule type="cellIs" dxfId="185" priority="7" stopIfTrue="1" operator="lessThan">
      <formula>0</formula>
    </cfRule>
  </conditionalFormatting>
  <conditionalFormatting sqref="C266">
    <cfRule type="cellIs" dxfId="184" priority="6" stopIfTrue="1" operator="lessThan">
      <formula>0</formula>
    </cfRule>
  </conditionalFormatting>
  <conditionalFormatting sqref="F76:G76">
    <cfRule type="cellIs" dxfId="183" priority="5" stopIfTrue="1" operator="lessThan">
      <formula>0</formula>
    </cfRule>
  </conditionalFormatting>
  <conditionalFormatting sqref="F80:G80">
    <cfRule type="cellIs" dxfId="182" priority="4" stopIfTrue="1" operator="lessThan">
      <formula>0</formula>
    </cfRule>
  </conditionalFormatting>
  <conditionalFormatting sqref="F86:G86">
    <cfRule type="cellIs" dxfId="181" priority="3" stopIfTrue="1" operator="lessThan">
      <formula>0</formula>
    </cfRule>
  </conditionalFormatting>
  <conditionalFormatting sqref="F87:G87">
    <cfRule type="cellIs" dxfId="180" priority="1" stopIfTrue="1" operator="lessThan">
      <formula>0</formula>
    </cfRule>
  </conditionalFormatting>
  <printOptions horizontalCentered="1" headings="1"/>
  <pageMargins left="0.70866141732283472" right="0.31496062992125984" top="0.35433070866141736" bottom="0.27559055118110237" header="0.31496062992125984" footer="0.31496062992125984"/>
  <pageSetup paperSize="9" scale="75" fitToHeight="0" orientation="portrait" r:id="rId1"/>
  <headerFooter alignWithMargins="0"/>
  <legacy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15">
    <pageSetUpPr fitToPage="1"/>
  </sheetPr>
  <dimension ref="A1:AE758"/>
  <sheetViews>
    <sheetView zoomScale="80" zoomScaleNormal="80" workbookViewId="0">
      <selection activeCell="A167" sqref="A167:XFD167"/>
    </sheetView>
  </sheetViews>
  <sheetFormatPr baseColWidth="10" defaultColWidth="11.453125" defaultRowHeight="13.5"/>
  <cols>
    <col min="1" max="1" width="13.54296875" style="43" bestFit="1" customWidth="1"/>
    <col min="2" max="2" width="58.90625" style="46" customWidth="1"/>
    <col min="3" max="3" width="11.54296875" style="42" customWidth="1"/>
    <col min="4" max="4" width="2.6328125" style="42" customWidth="1"/>
    <col min="5" max="5" width="16.453125" style="42" bestFit="1" customWidth="1"/>
    <col min="6" max="8" width="10.54296875" style="42" customWidth="1"/>
    <col min="9" max="9" width="10.54296875" style="53" customWidth="1"/>
    <col min="10" max="31" width="10.54296875" style="42" customWidth="1"/>
    <col min="32" max="16384" width="11.453125" style="43"/>
  </cols>
  <sheetData>
    <row r="1" spans="1:31" ht="24" customHeight="1">
      <c r="B1" s="156" t="s">
        <v>1507</v>
      </c>
    </row>
    <row r="2" spans="1:31" s="46" customFormat="1" ht="30" customHeight="1">
      <c r="C2" s="45"/>
      <c r="D2" s="45"/>
      <c r="E2" s="41"/>
      <c r="F2" s="548" t="s">
        <v>2484</v>
      </c>
      <c r="G2" s="548" t="s">
        <v>2485</v>
      </c>
      <c r="H2" s="532" t="s">
        <v>2436</v>
      </c>
      <c r="I2" s="532" t="s">
        <v>2437</v>
      </c>
      <c r="J2" s="532" t="s">
        <v>2438</v>
      </c>
      <c r="K2" s="532" t="s">
        <v>2439</v>
      </c>
      <c r="L2" s="532" t="s">
        <v>2440</v>
      </c>
      <c r="M2" s="532" t="s">
        <v>2441</v>
      </c>
      <c r="N2" s="549" t="s">
        <v>2486</v>
      </c>
      <c r="O2" s="549" t="s">
        <v>2487</v>
      </c>
      <c r="P2" s="549" t="s">
        <v>2488</v>
      </c>
      <c r="Q2" s="549" t="s">
        <v>2489</v>
      </c>
      <c r="R2" s="550" t="s">
        <v>2490</v>
      </c>
      <c r="S2" s="550" t="s">
        <v>2491</v>
      </c>
      <c r="T2" s="550" t="s">
        <v>2492</v>
      </c>
      <c r="U2" s="534" t="s">
        <v>2447</v>
      </c>
      <c r="V2" s="534" t="s">
        <v>2448</v>
      </c>
      <c r="W2" s="534" t="s">
        <v>2450</v>
      </c>
      <c r="X2" s="534" t="s">
        <v>2451</v>
      </c>
      <c r="Y2" s="534" t="s">
        <v>2452</v>
      </c>
      <c r="Z2" s="534" t="s">
        <v>2411</v>
      </c>
      <c r="AA2" s="551" t="s">
        <v>2493</v>
      </c>
      <c r="AB2" s="551" t="s">
        <v>2494</v>
      </c>
      <c r="AC2" s="551" t="s">
        <v>2495</v>
      </c>
      <c r="AD2" s="552" t="s">
        <v>2496</v>
      </c>
      <c r="AE2" s="552" t="s">
        <v>2497</v>
      </c>
    </row>
    <row r="3" spans="1:31" ht="14.25" customHeight="1">
      <c r="B3" s="43"/>
      <c r="C3" s="44"/>
      <c r="D3" s="44"/>
      <c r="I3" s="42"/>
    </row>
    <row r="4" spans="1:31" ht="14.25" customHeight="1">
      <c r="A4" s="158" t="s">
        <v>1493</v>
      </c>
      <c r="B4" s="158" t="s">
        <v>1497</v>
      </c>
      <c r="C4" s="165">
        <f>SUM(F4:AE4)</f>
        <v>0</v>
      </c>
      <c r="D4" s="53"/>
      <c r="E4" s="160" t="s">
        <v>1478</v>
      </c>
      <c r="F4" s="547">
        <f>COUNTIF(Area_v1RISHER,$E4)</f>
        <v>0</v>
      </c>
      <c r="G4" s="547">
        <f>COUNTIF(Area_v2RISHER,$E4)</f>
        <v>0</v>
      </c>
      <c r="H4" s="547">
        <f>COUNTIF(Area_v1HER,$E4)</f>
        <v>0</v>
      </c>
      <c r="I4" s="557">
        <f>COUNTIF(Area_v2HER,$E4)</f>
        <v>0</v>
      </c>
      <c r="J4" s="547">
        <f>COUNTIF(Area_v3HER,$E4)</f>
        <v>0</v>
      </c>
      <c r="K4" s="547">
        <f>COUNTIF(Area_v4HER,$E4)</f>
        <v>0</v>
      </c>
      <c r="L4" s="547">
        <f>COUNTIF(Area_v5HER,$E4)</f>
        <v>0</v>
      </c>
      <c r="M4" s="557">
        <f>COUNTIF(Area_v6HER,$E4)</f>
        <v>0</v>
      </c>
      <c r="N4" s="547">
        <f>COUNTIF(Area_v1HERTSA,$E4)</f>
        <v>0</v>
      </c>
      <c r="O4" s="547">
        <f>COUNTIF(Area_v2HERTSA,$E4)</f>
        <v>0</v>
      </c>
      <c r="P4" s="547">
        <f>COUNTIF(Area_v3HERTSA,$E4)</f>
        <v>0</v>
      </c>
      <c r="Q4" s="402">
        <f>COUNTIF(Area_v4HERTSA,$E4)</f>
        <v>0</v>
      </c>
      <c r="R4" s="402">
        <f>COUNTIF(Area_v51HERTSA,$E4)</f>
        <v>0</v>
      </c>
      <c r="S4" s="402">
        <f>COUNTIF(Area_v52HERTSA,$E4)</f>
        <v>0</v>
      </c>
      <c r="T4" s="402">
        <f>COUNTIF(Area_v53HERTSA,$E4)</f>
        <v>0</v>
      </c>
      <c r="U4" s="402">
        <f>COUNTIF(Area_v1TSA,$E4)</f>
        <v>0</v>
      </c>
      <c r="V4" s="402">
        <f>COUNTIF(Area_v2TSA,$E4)</f>
        <v>0</v>
      </c>
      <c r="W4" s="402">
        <f>COUNTIF(Area_v3TSA,$E4)</f>
        <v>0</v>
      </c>
      <c r="X4" s="402">
        <f>COUNTIF(Area_v4TSA,$E4)</f>
        <v>0</v>
      </c>
      <c r="Y4" s="402">
        <f>COUNTIF(Area_v5TSA,$E4)</f>
        <v>0</v>
      </c>
      <c r="Z4" s="402">
        <f>COUNTIF(Area_v6TSA,$E4)</f>
        <v>0</v>
      </c>
      <c r="AA4" s="402">
        <f>COUNTIF(Area_v1TSATHA,$E4)</f>
        <v>0</v>
      </c>
      <c r="AB4" s="402">
        <f>COUNTIF(Area_v2TSATHA,$E4)</f>
        <v>0</v>
      </c>
      <c r="AC4" s="402">
        <f>COUNTIF(Area_v3TSATHA,$E4)</f>
        <v>0</v>
      </c>
      <c r="AD4" s="402">
        <f>COUNTIF(Area_v4THAHOLON,$E4)</f>
        <v>0</v>
      </c>
      <c r="AE4" s="402">
        <f>COUNTIF(Area_v5THAHOLON,$E4)</f>
        <v>0</v>
      </c>
    </row>
    <row r="5" spans="1:31" s="48" customFormat="1" ht="14.25" customHeight="1">
      <c r="A5" s="158" t="s">
        <v>1494</v>
      </c>
      <c r="B5" s="158" t="s">
        <v>1514</v>
      </c>
      <c r="C5" s="165">
        <f>SUM(F5:AE5)</f>
        <v>0</v>
      </c>
      <c r="D5" s="53"/>
      <c r="E5" s="159" t="s">
        <v>1482</v>
      </c>
      <c r="F5" s="547">
        <f>COUNTIF(Area_v1RISHER,$E5)</f>
        <v>0</v>
      </c>
      <c r="G5" s="547">
        <f>COUNTIF(Area_v2RISHER,$E5)</f>
        <v>0</v>
      </c>
      <c r="H5" s="547">
        <f>COUNTIF(Area_v1HER,$E5)</f>
        <v>0</v>
      </c>
      <c r="I5" s="557">
        <f>COUNTIF(Area_v2HER,$E5)</f>
        <v>0</v>
      </c>
      <c r="J5" s="547">
        <f>COUNTIF(Area_v3HER,$E5)</f>
        <v>0</v>
      </c>
      <c r="K5" s="547">
        <f>COUNTIF(Area_v4HER,$E5)</f>
        <v>0</v>
      </c>
      <c r="L5" s="547">
        <f>COUNTIF(Area_v5HER,$E5)</f>
        <v>0</v>
      </c>
      <c r="M5" s="557">
        <f>COUNTIF(Area_v6HER,$E5)</f>
        <v>0</v>
      </c>
      <c r="N5" s="547">
        <f>COUNTIF(Area_v1HERTSA,$E5)</f>
        <v>0</v>
      </c>
      <c r="O5" s="547">
        <f>COUNTIF(Area_v2HERTSA,$E5)</f>
        <v>0</v>
      </c>
      <c r="P5" s="547">
        <f>COUNTIF(Area_v3HERTSA,$E5)</f>
        <v>0</v>
      </c>
      <c r="Q5" s="402">
        <f>COUNTIF(Area_v4HERTSA,$E5)</f>
        <v>0</v>
      </c>
      <c r="R5" s="402">
        <f>COUNTIF(Area_v51HERTSA,$E5)</f>
        <v>0</v>
      </c>
      <c r="S5" s="402">
        <f>COUNTIF(Area_v52HERTSA,$E5)</f>
        <v>0</v>
      </c>
      <c r="T5" s="402">
        <f>COUNTIF(Area_v53HERTSA,$E5)</f>
        <v>0</v>
      </c>
      <c r="U5" s="402">
        <f>COUNTIF(Area_v1TSA,$E5)</f>
        <v>0</v>
      </c>
      <c r="V5" s="402">
        <f>COUNTIF(Area_v2TSA,$E5)</f>
        <v>0</v>
      </c>
      <c r="W5" s="402">
        <f>COUNTIF(Area_v3TSA,$E5)</f>
        <v>0</v>
      </c>
      <c r="X5" s="402">
        <f>COUNTIF(Area_v4TSA,$E5)</f>
        <v>0</v>
      </c>
      <c r="Y5" s="402">
        <f>COUNTIF(Area_v5TSA,$E5)</f>
        <v>0</v>
      </c>
      <c r="Z5" s="402">
        <f>COUNTIF(Area_v6TSA,$E5)</f>
        <v>0</v>
      </c>
      <c r="AA5" s="402">
        <f>COUNTIF(Area_v1TSATHA,$E5)</f>
        <v>0</v>
      </c>
      <c r="AB5" s="402">
        <f>COUNTIF(Area_v2TSATHA,$E5)</f>
        <v>0</v>
      </c>
      <c r="AC5" s="402">
        <f>COUNTIF(Area_v3TSATHA,$E5)</f>
        <v>0</v>
      </c>
      <c r="AD5" s="402">
        <f>COUNTIF(Area_v4THAHOLON,$E5)</f>
        <v>0</v>
      </c>
      <c r="AE5" s="402">
        <f>COUNTIF(Area_v5THAHOLON,$E5)</f>
        <v>0</v>
      </c>
    </row>
    <row r="6" spans="1:31" ht="14.25" customHeight="1">
      <c r="A6" s="158" t="s">
        <v>1495</v>
      </c>
      <c r="B6" s="158" t="s">
        <v>1518</v>
      </c>
      <c r="C6" s="165">
        <f>SUM(F6:AE6)</f>
        <v>0</v>
      </c>
      <c r="D6" s="53"/>
      <c r="E6" s="160" t="s">
        <v>1479</v>
      </c>
      <c r="F6" s="547">
        <f>COUNTIF(Area_v1RISHER,$E6)</f>
        <v>0</v>
      </c>
      <c r="G6" s="547">
        <f>COUNTIF(Area_v2RISHER,$E6)</f>
        <v>0</v>
      </c>
      <c r="H6" s="547">
        <f>COUNTIF(Area_v1HER,$E6)</f>
        <v>0</v>
      </c>
      <c r="I6" s="557">
        <f>COUNTIF(Area_v2HER,$E6)</f>
        <v>0</v>
      </c>
      <c r="J6" s="547">
        <f>COUNTIF(Area_v3HER,$E6)</f>
        <v>0</v>
      </c>
      <c r="K6" s="547">
        <f>COUNTIF(Area_v4HER,$E6)</f>
        <v>0</v>
      </c>
      <c r="L6" s="547">
        <f>COUNTIF(Area_v5HER,$E6)</f>
        <v>0</v>
      </c>
      <c r="M6" s="557">
        <f>COUNTIF(Area_v6HER,$E6)</f>
        <v>0</v>
      </c>
      <c r="N6" s="547">
        <f>COUNTIF(Area_v1HERTSA,$E6)</f>
        <v>0</v>
      </c>
      <c r="O6" s="547">
        <f>COUNTIF(Area_v2HERTSA,$E6)</f>
        <v>0</v>
      </c>
      <c r="P6" s="547">
        <f>COUNTIF(Area_v3HERTSA,$E6)</f>
        <v>0</v>
      </c>
      <c r="Q6" s="402">
        <f>COUNTIF(Area_v4HERTSA,$E6)</f>
        <v>0</v>
      </c>
      <c r="R6" s="402">
        <f>COUNTIF(Area_v51HERTSA,$E6)</f>
        <v>0</v>
      </c>
      <c r="S6" s="402">
        <f>COUNTIF(Area_v52HERTSA,$E6)</f>
        <v>0</v>
      </c>
      <c r="T6" s="402">
        <f>COUNTIF(Area_v53HERTSA,$E6)</f>
        <v>0</v>
      </c>
      <c r="U6" s="402">
        <f>COUNTIF(Area_v1TSA,$E6)</f>
        <v>0</v>
      </c>
      <c r="V6" s="402">
        <f>COUNTIF(Area_v2TSA,$E6)</f>
        <v>0</v>
      </c>
      <c r="W6" s="402">
        <f>COUNTIF(Area_v3TSA,$E6)</f>
        <v>0</v>
      </c>
      <c r="X6" s="402">
        <f>COUNTIF(Area_v4TSA,$E6)</f>
        <v>0</v>
      </c>
      <c r="Y6" s="402">
        <f>COUNTIF(Area_v5TSA,$E6)</f>
        <v>0</v>
      </c>
      <c r="Z6" s="402">
        <f>COUNTIF(Area_v6TSA,$E6)</f>
        <v>0</v>
      </c>
      <c r="AA6" s="402">
        <f>COUNTIF(Area_v1TSATHA,$E6)</f>
        <v>0</v>
      </c>
      <c r="AB6" s="402">
        <f>COUNTIF(Area_v2TSATHA,$E6)</f>
        <v>0</v>
      </c>
      <c r="AC6" s="402">
        <f>COUNTIF(Area_v3TSATHA,$E6)</f>
        <v>0</v>
      </c>
      <c r="AD6" s="402">
        <f>COUNTIF(Area_v4THAHOLON,$E6)</f>
        <v>0</v>
      </c>
      <c r="AE6" s="402">
        <f>COUNTIF(Area_v5THAHOLON,$E6)</f>
        <v>0</v>
      </c>
    </row>
    <row r="7" spans="1:31" ht="14.25" customHeight="1">
      <c r="A7" s="158" t="s">
        <v>1496</v>
      </c>
      <c r="B7" s="158" t="s">
        <v>1498</v>
      </c>
      <c r="C7" s="559">
        <f>C8+C9+C10</f>
        <v>0</v>
      </c>
      <c r="D7" s="53"/>
      <c r="E7" s="160"/>
      <c r="F7" s="160"/>
      <c r="G7" s="160"/>
      <c r="H7" s="160"/>
      <c r="I7" s="160"/>
      <c r="J7" s="160"/>
      <c r="K7" s="160"/>
      <c r="L7" s="160"/>
      <c r="M7" s="160"/>
      <c r="N7" s="160"/>
      <c r="O7" s="160"/>
      <c r="P7" s="160"/>
      <c r="Q7" s="160"/>
      <c r="R7" s="160"/>
      <c r="S7" s="160"/>
      <c r="T7" s="160"/>
      <c r="U7" s="160"/>
      <c r="V7" s="160"/>
      <c r="W7" s="160"/>
      <c r="X7" s="160"/>
      <c r="Y7" s="160"/>
      <c r="Z7" s="160"/>
      <c r="AA7" s="160"/>
      <c r="AB7" s="160"/>
      <c r="AC7" s="160"/>
      <c r="AD7" s="160"/>
      <c r="AE7" s="160"/>
    </row>
    <row r="8" spans="1:31" ht="14.25" customHeight="1">
      <c r="B8" s="43"/>
      <c r="C8" s="559">
        <f>SUM(F8:AE8)</f>
        <v>0</v>
      </c>
      <c r="D8" s="53"/>
      <c r="E8" s="160" t="s">
        <v>1483</v>
      </c>
      <c r="F8" s="547">
        <f>COUNTIF(Area_v1RISHER,$E8)</f>
        <v>0</v>
      </c>
      <c r="G8" s="547">
        <f>COUNTIF(Area_v2RISHER,$E8)</f>
        <v>0</v>
      </c>
      <c r="H8" s="547">
        <f>COUNTIF(Area_v1HER,$E8)</f>
        <v>0</v>
      </c>
      <c r="I8" s="557">
        <f>COUNTIF(Area_v2HER,$E8)</f>
        <v>0</v>
      </c>
      <c r="J8" s="547">
        <f>COUNTIF(Area_v3HER,$E8)</f>
        <v>0</v>
      </c>
      <c r="K8" s="547">
        <f>COUNTIF(Area_v4HER,$E8)</f>
        <v>0</v>
      </c>
      <c r="L8" s="547">
        <f>COUNTIF(Area_v5HER,$E8)</f>
        <v>0</v>
      </c>
      <c r="M8" s="557">
        <f>COUNTIF(Area_v6HER,$E8)</f>
        <v>0</v>
      </c>
      <c r="N8" s="547">
        <f>COUNTIF(Area_v1HERTSA,$E8)</f>
        <v>0</v>
      </c>
      <c r="O8" s="547">
        <f>COUNTIF(Area_v2HERTSA,$E8)</f>
        <v>0</v>
      </c>
      <c r="P8" s="547">
        <f>COUNTIF(Area_v3HERTSA,$E8)</f>
        <v>0</v>
      </c>
      <c r="Q8" s="402">
        <f>COUNTIF(Area_v4HERTSA,$E8)</f>
        <v>0</v>
      </c>
      <c r="R8" s="402">
        <f>COUNTIF(Area_v51HERTSA,$E8)</f>
        <v>0</v>
      </c>
      <c r="S8" s="402">
        <f>COUNTIF(Area_v52HERTSA,$E8)</f>
        <v>0</v>
      </c>
      <c r="T8" s="402">
        <f>COUNTIF(Area_v53HERTSA,$E8)</f>
        <v>0</v>
      </c>
      <c r="U8" s="402">
        <f>COUNTIF(Area_v1TSA,$E8)</f>
        <v>0</v>
      </c>
      <c r="V8" s="402">
        <f>COUNTIF(Area_v2TSA,$E8)</f>
        <v>0</v>
      </c>
      <c r="W8" s="402">
        <f>COUNTIF(Area_v3TSA,$E8)</f>
        <v>0</v>
      </c>
      <c r="X8" s="402">
        <f>COUNTIF(Area_v4TSA,$E8)</f>
        <v>0</v>
      </c>
      <c r="Y8" s="402">
        <f>COUNTIF(Area_v5TSA,$E8)</f>
        <v>0</v>
      </c>
      <c r="Z8" s="402">
        <f>COUNTIF(Area_v6TSA,$E8)</f>
        <v>0</v>
      </c>
      <c r="AA8" s="402">
        <f>COUNTIF(Area_v1TSATHA,$E8)</f>
        <v>0</v>
      </c>
      <c r="AB8" s="402">
        <f>COUNTIF(Area_v2TSATHA,$E8)</f>
        <v>0</v>
      </c>
      <c r="AC8" s="402">
        <f>COUNTIF(Area_v3TSATHA,$E8)</f>
        <v>0</v>
      </c>
      <c r="AD8" s="402">
        <f>COUNTIF(Area_v4THAHOLON,$E8)</f>
        <v>0</v>
      </c>
      <c r="AE8" s="402">
        <f>COUNTIF(Area_v5THAHOLON,$E8)</f>
        <v>0</v>
      </c>
    </row>
    <row r="9" spans="1:31" ht="14.25" customHeight="1">
      <c r="B9" s="43"/>
      <c r="C9" s="560">
        <f>SUM(F9:AE9)</f>
        <v>0</v>
      </c>
      <c r="D9" s="53"/>
      <c r="E9" s="160" t="s">
        <v>1484</v>
      </c>
      <c r="F9" s="547">
        <f>COUNTIF(Area_v1RISHER,$E9)</f>
        <v>0</v>
      </c>
      <c r="G9" s="547">
        <f>COUNTIF(Area_v2RISHER,$E9)</f>
        <v>0</v>
      </c>
      <c r="H9" s="547">
        <f>COUNTIF(Area_v1HER,$E9)</f>
        <v>0</v>
      </c>
      <c r="I9" s="557">
        <f>COUNTIF(Area_v2HER,$E9)</f>
        <v>0</v>
      </c>
      <c r="J9" s="547">
        <f>COUNTIF(Area_v3HER,$E9)</f>
        <v>0</v>
      </c>
      <c r="K9" s="547">
        <f>COUNTIF(Area_v4HER,$E9)</f>
        <v>0</v>
      </c>
      <c r="L9" s="547">
        <f>COUNTIF(Area_v5HER,$E9)</f>
        <v>0</v>
      </c>
      <c r="M9" s="557">
        <f>COUNTIF(Area_v6HER,$E9)</f>
        <v>0</v>
      </c>
      <c r="N9" s="547">
        <f>COUNTIF(Area_v1HERTSA,$E9)</f>
        <v>0</v>
      </c>
      <c r="O9" s="547">
        <f>COUNTIF(Area_v2HERTSA,$E9)</f>
        <v>0</v>
      </c>
      <c r="P9" s="547">
        <f>COUNTIF(Area_v3HERTSA,$E9)</f>
        <v>0</v>
      </c>
      <c r="Q9" s="402">
        <f>COUNTIF(Area_v4HERTSA,$E9)</f>
        <v>0</v>
      </c>
      <c r="R9" s="402">
        <f>COUNTIF(Area_v51HERTSA,$E9)</f>
        <v>0</v>
      </c>
      <c r="S9" s="402">
        <f>COUNTIF(Area_v52HERTSA,$E9)</f>
        <v>0</v>
      </c>
      <c r="T9" s="402">
        <f>COUNTIF(Area_v53HERTSA,$E9)</f>
        <v>0</v>
      </c>
      <c r="U9" s="402">
        <f>COUNTIF(Area_v1TSA,$E9)</f>
        <v>0</v>
      </c>
      <c r="V9" s="402">
        <f>COUNTIF(Area_v2TSA,$E9)</f>
        <v>0</v>
      </c>
      <c r="W9" s="402">
        <f>COUNTIF(Area_v3TSA,$E9)</f>
        <v>0</v>
      </c>
      <c r="X9" s="402">
        <f>COUNTIF(Area_v4TSA,$E9)</f>
        <v>0</v>
      </c>
      <c r="Y9" s="402">
        <f>COUNTIF(Area_v5TSA,$E9)</f>
        <v>0</v>
      </c>
      <c r="Z9" s="402">
        <f>COUNTIF(Area_v6TSA,$E9)</f>
        <v>0</v>
      </c>
      <c r="AA9" s="402">
        <f>COUNTIF(Area_v1TSATHA,$E9)</f>
        <v>0</v>
      </c>
      <c r="AB9" s="402">
        <f>COUNTIF(Area_v2TSATHA,$E9)</f>
        <v>0</v>
      </c>
      <c r="AC9" s="402">
        <f>COUNTIF(Area_v3TSATHA,$E9)</f>
        <v>0</v>
      </c>
      <c r="AD9" s="402">
        <f>COUNTIF(Area_v4THAHOLON,$E9)</f>
        <v>0</v>
      </c>
      <c r="AE9" s="402">
        <f>COUNTIF(Area_v5THAHOLON,$E9)</f>
        <v>0</v>
      </c>
    </row>
    <row r="10" spans="1:31" ht="14.25" customHeight="1">
      <c r="B10" s="43"/>
      <c r="C10" s="561">
        <f>SUM(F10:AE10)</f>
        <v>0</v>
      </c>
      <c r="D10" s="53"/>
      <c r="E10" s="160" t="s">
        <v>1485</v>
      </c>
      <c r="F10" s="547">
        <f>COUNTIF(Area_v1RISHER,$E10)</f>
        <v>0</v>
      </c>
      <c r="G10" s="547">
        <f>COUNTIF(Area_v2RISHER,$E10)</f>
        <v>0</v>
      </c>
      <c r="H10" s="547">
        <f>COUNTIF(Area_v1HER,$E10)</f>
        <v>0</v>
      </c>
      <c r="I10" s="557">
        <f>COUNTIF(Area_v2HER,$E10)</f>
        <v>0</v>
      </c>
      <c r="J10" s="547">
        <f>COUNTIF(Area_v3HER,$E10)</f>
        <v>0</v>
      </c>
      <c r="K10" s="547">
        <f>COUNTIF(Area_v4HER,$E10)</f>
        <v>0</v>
      </c>
      <c r="L10" s="547">
        <f>COUNTIF(Area_v5HER,$E10)</f>
        <v>0</v>
      </c>
      <c r="M10" s="557">
        <f>COUNTIF(Area_v6HER,$E10)</f>
        <v>0</v>
      </c>
      <c r="N10" s="547">
        <f>COUNTIF(Area_v1HERTSA,$E10)</f>
        <v>0</v>
      </c>
      <c r="O10" s="547">
        <f>COUNTIF(Area_v2HERTSA,$E10)</f>
        <v>0</v>
      </c>
      <c r="P10" s="547">
        <f>COUNTIF(Area_v3HERTSA,$E10)</f>
        <v>0</v>
      </c>
      <c r="Q10" s="402">
        <f>COUNTIF(Area_v4HERTSA,$E10)</f>
        <v>0</v>
      </c>
      <c r="R10" s="402">
        <f>COUNTIF(Area_v51HERTSA,$E10)</f>
        <v>0</v>
      </c>
      <c r="S10" s="402">
        <f>COUNTIF(Area_v52HERTSA,$E10)</f>
        <v>0</v>
      </c>
      <c r="T10" s="402">
        <f>COUNTIF(Area_v53HERTSA,$E10)</f>
        <v>0</v>
      </c>
      <c r="U10" s="402">
        <f>COUNTIF(Area_v1TSA,$E10)</f>
        <v>0</v>
      </c>
      <c r="V10" s="402">
        <f>COUNTIF(Area_v2TSA,$E10)</f>
        <v>0</v>
      </c>
      <c r="W10" s="402">
        <f>COUNTIF(Area_v3TSA,$E10)</f>
        <v>0</v>
      </c>
      <c r="X10" s="402">
        <f>COUNTIF(Area_v4TSA,$E10)</f>
        <v>0</v>
      </c>
      <c r="Y10" s="402">
        <f>COUNTIF(Area_v5TSA,$E10)</f>
        <v>0</v>
      </c>
      <c r="Z10" s="402">
        <f>COUNTIF(Area_v6TSA,$E10)</f>
        <v>0</v>
      </c>
      <c r="AA10" s="402">
        <f>COUNTIF(Area_v1TSATHA,$E10)</f>
        <v>0</v>
      </c>
      <c r="AB10" s="402">
        <f>COUNTIF(Area_v2TSATHA,$E10)</f>
        <v>0</v>
      </c>
      <c r="AC10" s="402">
        <f>COUNTIF(Area_v3TSATHA,$E10)</f>
        <v>0</v>
      </c>
      <c r="AD10" s="402">
        <f>COUNTIF(Area_v4THAHOLON,$E10)</f>
        <v>0</v>
      </c>
      <c r="AE10" s="402">
        <f>COUNTIF(Area_v5THAHOLON,$E10)</f>
        <v>0</v>
      </c>
    </row>
    <row r="11" spans="1:31" ht="14.25" customHeight="1">
      <c r="B11" s="43"/>
      <c r="C11" s="53"/>
      <c r="D11" s="53"/>
      <c r="I11" s="42"/>
    </row>
    <row r="12" spans="1:31" ht="14.25" customHeight="1">
      <c r="A12" s="556" t="s">
        <v>1486</v>
      </c>
      <c r="B12" s="164" t="s">
        <v>1502</v>
      </c>
      <c r="C12" s="165">
        <f>SUM(F12:AE12)</f>
        <v>0</v>
      </c>
      <c r="D12" s="53"/>
      <c r="E12" s="161" t="s">
        <v>1486</v>
      </c>
      <c r="F12" s="547">
        <f>COUNTIF(Area_v1RISHER,$E12)</f>
        <v>0</v>
      </c>
      <c r="G12" s="160">
        <f>COUNTIF(Area_v1TSATHA,$E12)</f>
        <v>0</v>
      </c>
      <c r="H12" s="160">
        <f>COUNTIF(Area_v2TSATHA,$E12)</f>
        <v>0</v>
      </c>
      <c r="I12" s="160">
        <f>COUNTIF(Area_v3TSATHA,$E12)</f>
        <v>0</v>
      </c>
      <c r="J12" s="160">
        <f>COUNTIF(Area_v4HERTSA,$E12)</f>
        <v>0</v>
      </c>
      <c r="K12" s="160">
        <f>COUNTIF(Area_v5THAHOLON,$E12)</f>
        <v>0</v>
      </c>
      <c r="L12" s="160">
        <f>COUNTIF(Area_v6TSA,$E12)</f>
        <v>0</v>
      </c>
      <c r="M12" s="160"/>
      <c r="N12" s="160"/>
      <c r="O12" s="160"/>
      <c r="P12" s="160"/>
      <c r="Q12" s="160"/>
      <c r="R12" s="160"/>
      <c r="S12" s="160"/>
      <c r="T12" s="160"/>
      <c r="U12" s="160"/>
      <c r="V12" s="160"/>
      <c r="W12" s="160"/>
      <c r="X12" s="160"/>
      <c r="Y12" s="160"/>
      <c r="Z12" s="160"/>
      <c r="AA12" s="160"/>
      <c r="AB12" s="160"/>
      <c r="AC12" s="160"/>
      <c r="AD12" s="160"/>
      <c r="AE12" s="160"/>
    </row>
    <row r="13" spans="1:31" ht="14.25" customHeight="1">
      <c r="A13" s="155"/>
      <c r="B13" s="155"/>
      <c r="C13" s="166"/>
      <c r="D13" s="44"/>
      <c r="I13" s="42"/>
    </row>
    <row r="14" spans="1:31" ht="14.25" customHeight="1">
      <c r="A14" s="163" t="s">
        <v>1503</v>
      </c>
      <c r="B14" s="163" t="s">
        <v>1504</v>
      </c>
      <c r="C14" s="165">
        <f>SUM(F14:AE14)</f>
        <v>0</v>
      </c>
      <c r="D14" s="44"/>
      <c r="E14" s="162" t="s">
        <v>1503</v>
      </c>
      <c r="F14" s="547">
        <f>COUNTIF(Area_v1RISHER,$E14)</f>
        <v>0</v>
      </c>
      <c r="G14" s="547">
        <f>COUNTIF(Area_v2RISHER,$E14)</f>
        <v>0</v>
      </c>
      <c r="H14" s="547">
        <f>COUNTIF(Area_v1HER,$E14)</f>
        <v>0</v>
      </c>
      <c r="I14" s="557">
        <f>COUNTIF(Area_v2HER,$E14)</f>
        <v>0</v>
      </c>
      <c r="J14" s="547">
        <f>COUNTIF(Area_v3HER,$E14)</f>
        <v>0</v>
      </c>
      <c r="K14" s="547">
        <f>COUNTIF(Area_v4HER,$E14)</f>
        <v>0</v>
      </c>
      <c r="L14" s="547">
        <f>COUNTIF(Area_v5HER,$E14)</f>
        <v>0</v>
      </c>
      <c r="M14" s="557">
        <f>COUNTIF(Area_v6HER,$E14)</f>
        <v>0</v>
      </c>
      <c r="N14" s="547">
        <f>COUNTIF(Area_v1HERTSA,$E14)</f>
        <v>0</v>
      </c>
      <c r="O14" s="547">
        <f>COUNTIF(Area_v2HERTSA,$E14)</f>
        <v>0</v>
      </c>
      <c r="P14" s="547">
        <f>COUNTIF(Area_v3HERTSA,$E14)</f>
        <v>0</v>
      </c>
      <c r="Q14" s="402">
        <f>COUNTIF(Area_v4HERTSA,$E14)</f>
        <v>0</v>
      </c>
      <c r="R14" s="402">
        <f>COUNTIF(Area_v51HERTSA,$E14)</f>
        <v>0</v>
      </c>
      <c r="S14" s="402">
        <f>COUNTIF(Area_v52HERTSA,$E14)</f>
        <v>0</v>
      </c>
      <c r="T14" s="402">
        <f>COUNTIF(Area_v53HERTSA,$E14)</f>
        <v>0</v>
      </c>
      <c r="U14" s="402">
        <f>COUNTIF(Area_v1TSA,$E14)</f>
        <v>0</v>
      </c>
      <c r="V14" s="402">
        <f>COUNTIF(Area_v2TSA,$E14)</f>
        <v>0</v>
      </c>
      <c r="W14" s="402">
        <f>COUNTIF(Area_v3TSA,$E14)</f>
        <v>0</v>
      </c>
      <c r="X14" s="402">
        <f>COUNTIF(Area_v4TSA,$E14)</f>
        <v>0</v>
      </c>
      <c r="Y14" s="402">
        <f>COUNTIF(Area_v5TSA,$E14)</f>
        <v>0</v>
      </c>
      <c r="Z14" s="402">
        <f>COUNTIF(Area_v6TSA,$E14)</f>
        <v>0</v>
      </c>
      <c r="AA14" s="402">
        <f>COUNTIF(Area_v1TSATHA,$E14)</f>
        <v>0</v>
      </c>
      <c r="AB14" s="402">
        <f>COUNTIF(Area_v2TSATHA,$E14)</f>
        <v>0</v>
      </c>
      <c r="AC14" s="402">
        <f>COUNTIF(Area_v3TSATHA,$E14)</f>
        <v>0</v>
      </c>
      <c r="AD14" s="402">
        <f>COUNTIF(Area_v4THAHOLON,$E14)</f>
        <v>0</v>
      </c>
      <c r="AE14" s="402">
        <f>COUNTIF(Area_v5THAHOLON,$E14)</f>
        <v>0</v>
      </c>
    </row>
    <row r="15" spans="1:31" ht="14.25" customHeight="1">
      <c r="A15" s="558" t="s">
        <v>1473</v>
      </c>
      <c r="B15" s="163" t="s">
        <v>2500</v>
      </c>
      <c r="C15" s="165">
        <f>SUM(F15:AE15)</f>
        <v>0</v>
      </c>
      <c r="D15" s="53"/>
      <c r="E15" s="162" t="s">
        <v>1473</v>
      </c>
      <c r="F15" s="547">
        <f>COUNTIF(Area_v1RISHER,$E15)</f>
        <v>0</v>
      </c>
      <c r="G15" s="547">
        <f>COUNTIF(Area_v2RISHER,$E15)</f>
        <v>0</v>
      </c>
      <c r="H15" s="547">
        <f>COUNTIF(Area_v1HER,$E15)</f>
        <v>0</v>
      </c>
      <c r="I15" s="557">
        <f>COUNTIF(Area_v2HER,$E15)</f>
        <v>0</v>
      </c>
      <c r="J15" s="547">
        <f>COUNTIF(Area_v3HER,$E15)</f>
        <v>0</v>
      </c>
      <c r="K15" s="547">
        <f>COUNTIF(Area_v4HER,$E15)</f>
        <v>0</v>
      </c>
      <c r="L15" s="547">
        <f>COUNTIF(Area_v5HER,$E15)</f>
        <v>0</v>
      </c>
      <c r="M15" s="557">
        <f>COUNTIF(Area_v6HER,$E15)</f>
        <v>0</v>
      </c>
      <c r="N15" s="547">
        <f>COUNTIF(Area_v1HERTSA,$E15)</f>
        <v>0</v>
      </c>
      <c r="O15" s="547">
        <f>COUNTIF(Area_v2HERTSA,$E15)</f>
        <v>0</v>
      </c>
      <c r="P15" s="547">
        <f>COUNTIF(Area_v3HERTSA,$E15)</f>
        <v>0</v>
      </c>
      <c r="Q15" s="402">
        <f>COUNTIF(Area_v4HERTSA,$E15)</f>
        <v>0</v>
      </c>
      <c r="R15" s="402">
        <f>COUNTIF(Area_v51HERTSA,$E15)</f>
        <v>0</v>
      </c>
      <c r="S15" s="402">
        <f>COUNTIF(Area_v52HERTSA,$E15)</f>
        <v>0</v>
      </c>
      <c r="T15" s="402">
        <f>COUNTIF(Area_v53HERTSA,$E15)</f>
        <v>0</v>
      </c>
      <c r="U15" s="402">
        <f>COUNTIF(Area_v1TSA,$E15)</f>
        <v>0</v>
      </c>
      <c r="V15" s="402">
        <f>COUNTIF(Area_v2TSA,$E15)</f>
        <v>0</v>
      </c>
      <c r="W15" s="402">
        <f>COUNTIF(Area_v3TSA,$E15)</f>
        <v>0</v>
      </c>
      <c r="X15" s="402">
        <f>COUNTIF(Area_v4TSA,$E15)</f>
        <v>0</v>
      </c>
      <c r="Y15" s="402">
        <f>COUNTIF(Area_v5TSA,$E15)</f>
        <v>0</v>
      </c>
      <c r="Z15" s="402">
        <f>COUNTIF(Area_v6TSA,$E15)</f>
        <v>0</v>
      </c>
      <c r="AA15" s="402">
        <f>COUNTIF(Area_v1TSATHA,$E15)</f>
        <v>0</v>
      </c>
      <c r="AB15" s="402">
        <f>COUNTIF(Area_v2TSATHA,$E15)</f>
        <v>0</v>
      </c>
      <c r="AC15" s="402">
        <f>COUNTIF(Area_v3TSATHA,$E15)</f>
        <v>0</v>
      </c>
      <c r="AD15" s="402">
        <f>COUNTIF(Area_v4THAHOLON,$E15)</f>
        <v>0</v>
      </c>
      <c r="AE15" s="402">
        <f>COUNTIF(Area_v5THAHOLON,$E15)</f>
        <v>0</v>
      </c>
    </row>
    <row r="16" spans="1:31" ht="14.25" customHeight="1">
      <c r="A16" s="558" t="s">
        <v>1472</v>
      </c>
      <c r="B16" s="163" t="s">
        <v>2501</v>
      </c>
      <c r="C16" s="165">
        <f>SUM(F16:AE16)</f>
        <v>0</v>
      </c>
      <c r="D16" s="53"/>
      <c r="E16" s="162" t="s">
        <v>1472</v>
      </c>
      <c r="F16" s="547">
        <f>COUNTIF(Area_v1RISHER,$E16)</f>
        <v>0</v>
      </c>
      <c r="G16" s="547">
        <f>COUNTIF(Area_v2RISHER,$E16)</f>
        <v>0</v>
      </c>
      <c r="H16" s="547">
        <f>COUNTIF(Area_v1HER,$E16)</f>
        <v>0</v>
      </c>
      <c r="I16" s="557">
        <f>COUNTIF(Area_v2HER,$E16)</f>
        <v>0</v>
      </c>
      <c r="J16" s="547">
        <f>COUNTIF(Area_v3HER,$E16)</f>
        <v>0</v>
      </c>
      <c r="K16" s="547">
        <f>COUNTIF(Area_v4HER,$E16)</f>
        <v>0</v>
      </c>
      <c r="L16" s="547">
        <f>COUNTIF(Area_v5HER,$E16)</f>
        <v>0</v>
      </c>
      <c r="M16" s="557">
        <f>COUNTIF(Area_v6HER,$E16)</f>
        <v>0</v>
      </c>
      <c r="N16" s="547">
        <f>COUNTIF(Area_v1HERTSA,$E16)</f>
        <v>0</v>
      </c>
      <c r="O16" s="547">
        <f>COUNTIF(Area_v2HERTSA,$E16)</f>
        <v>0</v>
      </c>
      <c r="P16" s="547">
        <f>COUNTIF(Area_v3HERTSA,$E16)</f>
        <v>0</v>
      </c>
      <c r="Q16" s="402">
        <f>COUNTIF(Area_v4HERTSA,$E16)</f>
        <v>0</v>
      </c>
      <c r="R16" s="402">
        <f>COUNTIF(Area_v51HERTSA,$E16)</f>
        <v>0</v>
      </c>
      <c r="S16" s="402">
        <f>COUNTIF(Area_v52HERTSA,$E16)</f>
        <v>0</v>
      </c>
      <c r="T16" s="402">
        <f>COUNTIF(Area_v53HERTSA,$E16)</f>
        <v>0</v>
      </c>
      <c r="U16" s="402">
        <f>COUNTIF(Area_v1TSA,$E16)</f>
        <v>0</v>
      </c>
      <c r="V16" s="402">
        <f>COUNTIF(Area_v2TSA,$E16)</f>
        <v>0</v>
      </c>
      <c r="W16" s="402">
        <f>COUNTIF(Area_v3TSA,$E16)</f>
        <v>0</v>
      </c>
      <c r="X16" s="402">
        <f>COUNTIF(Area_v4TSA,$E16)</f>
        <v>0</v>
      </c>
      <c r="Y16" s="402">
        <f>COUNTIF(Area_v5TSA,$E16)</f>
        <v>0</v>
      </c>
      <c r="Z16" s="402">
        <f>COUNTIF(Area_v6TSA,$E16)</f>
        <v>0</v>
      </c>
      <c r="AA16" s="402">
        <f>COUNTIF(Area_v1TSATHA,$E16)</f>
        <v>0</v>
      </c>
      <c r="AB16" s="402">
        <f>COUNTIF(Area_v2TSATHA,$E16)</f>
        <v>0</v>
      </c>
      <c r="AC16" s="402">
        <f>COUNTIF(Area_v3TSATHA,$E16)</f>
        <v>0</v>
      </c>
      <c r="AD16" s="402">
        <f>COUNTIF(Area_v4THAHOLON,$E16)</f>
        <v>0</v>
      </c>
      <c r="AE16" s="402">
        <f>COUNTIF(Area_v5THAHOLON,$E16)</f>
        <v>0</v>
      </c>
    </row>
    <row r="17" spans="1:31" ht="14.25" customHeight="1">
      <c r="A17" s="162"/>
      <c r="B17" s="163"/>
      <c r="C17" s="544"/>
      <c r="D17" s="44"/>
      <c r="I17" s="42"/>
    </row>
    <row r="18" spans="1:31" ht="14.25" customHeight="1">
      <c r="B18" s="43"/>
      <c r="C18" s="44"/>
      <c r="D18" s="44"/>
      <c r="I18" s="42"/>
    </row>
    <row r="19" spans="1:31" ht="14.25" customHeight="1">
      <c r="A19" s="158" t="s">
        <v>1480</v>
      </c>
      <c r="B19" s="158" t="s">
        <v>1500</v>
      </c>
      <c r="C19" s="165">
        <f>SUM(F19:AE19)</f>
        <v>0</v>
      </c>
      <c r="D19" s="53"/>
      <c r="E19" s="160" t="s">
        <v>1480</v>
      </c>
      <c r="F19" s="547">
        <f>COUNTIF(Area_v1RISHER,$E19)</f>
        <v>0</v>
      </c>
      <c r="G19" s="547">
        <f>COUNTIF(Area_v2RISHER,$E19)</f>
        <v>0</v>
      </c>
      <c r="H19" s="547">
        <f>COUNTIF(Area_v1HER,$E19)</f>
        <v>0</v>
      </c>
      <c r="I19" s="557">
        <f>COUNTIF(Area_v2HER,$E19)</f>
        <v>0</v>
      </c>
      <c r="J19" s="547">
        <f>COUNTIF(Area_v3HER,$E19)</f>
        <v>0</v>
      </c>
      <c r="K19" s="547">
        <f>COUNTIF(Area_v4HER,$E19)</f>
        <v>0</v>
      </c>
      <c r="L19" s="547">
        <f>COUNTIF(Area_v5HER,$E19)</f>
        <v>0</v>
      </c>
      <c r="M19" s="557">
        <f>COUNTIF(Area_v6HER,$E19)</f>
        <v>0</v>
      </c>
      <c r="N19" s="547">
        <f>COUNTIF(Area_v1HERTSA,$E19)</f>
        <v>0</v>
      </c>
      <c r="O19" s="547">
        <f>COUNTIF(Area_v2HERTSA,$E19)</f>
        <v>0</v>
      </c>
      <c r="P19" s="547">
        <f>COUNTIF(Area_v3HERTSA,$E19)</f>
        <v>0</v>
      </c>
      <c r="Q19" s="402">
        <f>COUNTIF(Area_v4HERTSA,$E19)</f>
        <v>0</v>
      </c>
      <c r="R19" s="402">
        <f>COUNTIF(Area_v51HERTSA,$E19)</f>
        <v>0</v>
      </c>
      <c r="S19" s="402">
        <f>COUNTIF(Area_v52HERTSA,$E19)</f>
        <v>0</v>
      </c>
      <c r="T19" s="402">
        <f>COUNTIF(Area_v53HERTSA,$E19)</f>
        <v>0</v>
      </c>
      <c r="U19" s="402">
        <f>COUNTIF(Area_v1TSA,$E19)</f>
        <v>0</v>
      </c>
      <c r="V19" s="402">
        <f>COUNTIF(Area_v2TSA,$E19)</f>
        <v>0</v>
      </c>
      <c r="W19" s="402">
        <f>COUNTIF(Area_v3TSA,$E19)</f>
        <v>0</v>
      </c>
      <c r="X19" s="402">
        <f>COUNTIF(Area_v4TSA,$E19)</f>
        <v>0</v>
      </c>
      <c r="Y19" s="402">
        <f>COUNTIF(Area_v5TSA,$E19)</f>
        <v>0</v>
      </c>
      <c r="Z19" s="402">
        <f>COUNTIF(Area_v6TSA,$E19)</f>
        <v>0</v>
      </c>
      <c r="AA19" s="402">
        <f>COUNTIF(Area_v1TSATHA,$E19)</f>
        <v>0</v>
      </c>
      <c r="AB19" s="402">
        <f>COUNTIF(Area_v2TSATHA,$E19)</f>
        <v>0</v>
      </c>
      <c r="AC19" s="402">
        <f>COUNTIF(Area_v3TSATHA,$E19)</f>
        <v>0</v>
      </c>
      <c r="AD19" s="402">
        <f>COUNTIF(Area_v4THAHOLON,$E19)</f>
        <v>0</v>
      </c>
      <c r="AE19" s="402">
        <f>COUNTIF(Area_v5THAHOLON,$E19)</f>
        <v>0</v>
      </c>
    </row>
    <row r="20" spans="1:31" ht="14.25" customHeight="1">
      <c r="A20" s="158" t="s">
        <v>1481</v>
      </c>
      <c r="B20" s="158" t="s">
        <v>1515</v>
      </c>
      <c r="C20" s="165">
        <f>SUM(F20:AE20)</f>
        <v>0</v>
      </c>
      <c r="D20" s="53"/>
      <c r="E20" s="160" t="s">
        <v>1481</v>
      </c>
      <c r="F20" s="547">
        <f>COUNTIF(Area_v1RISHER,$E20)</f>
        <v>0</v>
      </c>
      <c r="G20" s="547">
        <f>COUNTIF(Area_v2RISHER,$E20)</f>
        <v>0</v>
      </c>
      <c r="H20" s="547">
        <f>COUNTIF(Area_v1HER,$E20)</f>
        <v>0</v>
      </c>
      <c r="I20" s="557">
        <f>COUNTIF(Area_v2HER,$E20)</f>
        <v>0</v>
      </c>
      <c r="J20" s="547">
        <f>COUNTIF(Area_v3HER,$E20)</f>
        <v>0</v>
      </c>
      <c r="K20" s="547">
        <f>COUNTIF(Area_v4HER,$E20)</f>
        <v>0</v>
      </c>
      <c r="L20" s="547">
        <f>COUNTIF(Area_v5HER,$E20)</f>
        <v>0</v>
      </c>
      <c r="M20" s="557">
        <f>COUNTIF(Area_v6HER,$E20)</f>
        <v>0</v>
      </c>
      <c r="N20" s="547">
        <f>COUNTIF(Area_v1HERTSA,$E20)</f>
        <v>0</v>
      </c>
      <c r="O20" s="547">
        <f>COUNTIF(Area_v2HERTSA,$E20)</f>
        <v>0</v>
      </c>
      <c r="P20" s="547">
        <f>COUNTIF(Area_v3HERTSA,$E20)</f>
        <v>0</v>
      </c>
      <c r="Q20" s="402">
        <f>COUNTIF(Area_v4HERTSA,$E20)</f>
        <v>0</v>
      </c>
      <c r="R20" s="402">
        <f>COUNTIF(Area_v51HERTSA,$E20)</f>
        <v>0</v>
      </c>
      <c r="S20" s="402">
        <f>COUNTIF(Area_v52HERTSA,$E20)</f>
        <v>0</v>
      </c>
      <c r="T20" s="402">
        <f>COUNTIF(Area_v53HERTSA,$E20)</f>
        <v>0</v>
      </c>
      <c r="U20" s="402">
        <f>COUNTIF(Area_v1TSA,$E20)</f>
        <v>0</v>
      </c>
      <c r="V20" s="402">
        <f>COUNTIF(Area_v2TSA,$E20)</f>
        <v>0</v>
      </c>
      <c r="W20" s="402">
        <f>COUNTIF(Area_v3TSA,$E20)</f>
        <v>0</v>
      </c>
      <c r="X20" s="402">
        <f>COUNTIF(Area_v4TSA,$E20)</f>
        <v>0</v>
      </c>
      <c r="Y20" s="402">
        <f>COUNTIF(Area_v5TSA,$E20)</f>
        <v>0</v>
      </c>
      <c r="Z20" s="402">
        <f>COUNTIF(Area_v6TSA,$E20)</f>
        <v>0</v>
      </c>
      <c r="AA20" s="402">
        <f>COUNTIF(Area_v1TSATHA,$E20)</f>
        <v>0</v>
      </c>
      <c r="AB20" s="402">
        <f>COUNTIF(Area_v2TSATHA,$E20)</f>
        <v>0</v>
      </c>
      <c r="AC20" s="402">
        <f>COUNTIF(Area_v3TSATHA,$E20)</f>
        <v>0</v>
      </c>
      <c r="AD20" s="402">
        <f>COUNTIF(Area_v4THAHOLON,$E20)</f>
        <v>0</v>
      </c>
      <c r="AE20" s="402">
        <f>COUNTIF(Area_v5THAHOLON,$E20)</f>
        <v>0</v>
      </c>
    </row>
    <row r="21" spans="1:31" ht="14.25" customHeight="1">
      <c r="A21" s="158" t="s">
        <v>1487</v>
      </c>
      <c r="B21" s="158" t="s">
        <v>1516</v>
      </c>
      <c r="C21" s="165">
        <f>SUM(F21:AE21)</f>
        <v>0</v>
      </c>
      <c r="D21" s="53"/>
      <c r="E21" s="160" t="s">
        <v>1487</v>
      </c>
      <c r="F21" s="547">
        <f>COUNTIF(Area_v1RISHER,$E21)</f>
        <v>0</v>
      </c>
      <c r="G21" s="547">
        <f>COUNTIF(Area_v2RISHER,$E21)</f>
        <v>0</v>
      </c>
      <c r="H21" s="547">
        <f>COUNTIF(Area_v1HER,$E21)</f>
        <v>0</v>
      </c>
      <c r="I21" s="557">
        <f>COUNTIF(Area_v2HER,$E21)</f>
        <v>0</v>
      </c>
      <c r="J21" s="547">
        <f>COUNTIF(Area_v3HER,$E21)</f>
        <v>0</v>
      </c>
      <c r="K21" s="547">
        <f>COUNTIF(Area_v4HER,$E21)</f>
        <v>0</v>
      </c>
      <c r="L21" s="547">
        <f>COUNTIF(Area_v5HER,$E21)</f>
        <v>0</v>
      </c>
      <c r="M21" s="557">
        <f>COUNTIF(Area_v6HER,$E21)</f>
        <v>0</v>
      </c>
      <c r="N21" s="547">
        <f>COUNTIF(Area_v1HERTSA,$E21)</f>
        <v>0</v>
      </c>
      <c r="O21" s="547">
        <f>COUNTIF(Area_v2HERTSA,$E21)</f>
        <v>0</v>
      </c>
      <c r="P21" s="547">
        <f>COUNTIF(Area_v3HERTSA,$E21)</f>
        <v>0</v>
      </c>
      <c r="Q21" s="402">
        <f>COUNTIF(Area_v4HERTSA,$E21)</f>
        <v>0</v>
      </c>
      <c r="R21" s="402">
        <f>COUNTIF(Area_v51HERTSA,$E21)</f>
        <v>0</v>
      </c>
      <c r="S21" s="402">
        <f>COUNTIF(Area_v52HERTSA,$E21)</f>
        <v>0</v>
      </c>
      <c r="T21" s="402">
        <f>COUNTIF(Area_v53HERTSA,$E21)</f>
        <v>0</v>
      </c>
      <c r="U21" s="402">
        <f>COUNTIF(Area_v1TSA,$E21)</f>
        <v>0</v>
      </c>
      <c r="V21" s="402">
        <f>COUNTIF(Area_v2TSA,$E21)</f>
        <v>0</v>
      </c>
      <c r="W21" s="402">
        <f>COUNTIF(Area_v3TSA,$E21)</f>
        <v>0</v>
      </c>
      <c r="X21" s="402">
        <f>COUNTIF(Area_v4TSA,$E21)</f>
        <v>0</v>
      </c>
      <c r="Y21" s="402">
        <f>COUNTIF(Area_v5TSA,$E21)</f>
        <v>0</v>
      </c>
      <c r="Z21" s="402">
        <f>COUNTIF(Area_v6TSA,$E21)</f>
        <v>0</v>
      </c>
      <c r="AA21" s="402">
        <f>COUNTIF(Area_v1TSATHA,$E21)</f>
        <v>0</v>
      </c>
      <c r="AB21" s="402">
        <f>COUNTIF(Area_v2TSATHA,$E21)</f>
        <v>0</v>
      </c>
      <c r="AC21" s="402">
        <f>COUNTIF(Area_v3TSATHA,$E21)</f>
        <v>0</v>
      </c>
      <c r="AD21" s="402">
        <f>COUNTIF(Area_v4THAHOLON,$E21)</f>
        <v>0</v>
      </c>
      <c r="AE21" s="402">
        <f>COUNTIF(Area_v5THAHOLON,$E21)</f>
        <v>0</v>
      </c>
    </row>
    <row r="22" spans="1:31" ht="14.25" customHeight="1">
      <c r="A22" s="158" t="s">
        <v>1488</v>
      </c>
      <c r="B22" s="158" t="s">
        <v>1517</v>
      </c>
      <c r="C22" s="165">
        <f>SUM(F22:AE22)</f>
        <v>0</v>
      </c>
      <c r="D22" s="53"/>
      <c r="E22" s="160" t="s">
        <v>1488</v>
      </c>
      <c r="F22" s="547">
        <f>COUNTIF(Area_v1RISHER,$E22)</f>
        <v>0</v>
      </c>
      <c r="G22" s="547">
        <f>COUNTIF(Area_v2RISHER,$E22)</f>
        <v>0</v>
      </c>
      <c r="H22" s="547">
        <f>COUNTIF(Area_v1HER,$E22)</f>
        <v>0</v>
      </c>
      <c r="I22" s="557">
        <f>COUNTIF(Area_v2HER,$E22)</f>
        <v>0</v>
      </c>
      <c r="J22" s="547">
        <f>COUNTIF(Area_v3HER,$E22)</f>
        <v>0</v>
      </c>
      <c r="K22" s="547">
        <f>COUNTIF(Area_v4HER,$E22)</f>
        <v>0</v>
      </c>
      <c r="L22" s="547">
        <f>COUNTIF(Area_v5HER,$E22)</f>
        <v>0</v>
      </c>
      <c r="M22" s="557">
        <f>COUNTIF(Area_v6HER,$E22)</f>
        <v>0</v>
      </c>
      <c r="N22" s="547">
        <f>COUNTIF(Area_v1HERTSA,$E22)</f>
        <v>0</v>
      </c>
      <c r="O22" s="547">
        <f>COUNTIF(Area_v2HERTSA,$E22)</f>
        <v>0</v>
      </c>
      <c r="P22" s="547">
        <f>COUNTIF(Area_v3HERTSA,$E22)</f>
        <v>0</v>
      </c>
      <c r="Q22" s="402">
        <f>COUNTIF(Area_v4HERTSA,$E22)</f>
        <v>0</v>
      </c>
      <c r="R22" s="402">
        <f>COUNTIF(Area_v51HERTSA,$E22)</f>
        <v>0</v>
      </c>
      <c r="S22" s="402">
        <f>COUNTIF(Area_v52HERTSA,$E22)</f>
        <v>0</v>
      </c>
      <c r="T22" s="402">
        <f>COUNTIF(Area_v53HERTSA,$E22)</f>
        <v>0</v>
      </c>
      <c r="U22" s="402">
        <f>COUNTIF(Area_v1TSA,$E22)</f>
        <v>0</v>
      </c>
      <c r="V22" s="402">
        <f>COUNTIF(Area_v2TSA,$E22)</f>
        <v>0</v>
      </c>
      <c r="W22" s="402">
        <f>COUNTIF(Area_v3TSA,$E22)</f>
        <v>0</v>
      </c>
      <c r="X22" s="402">
        <f>COUNTIF(Area_v4TSA,$E22)</f>
        <v>0</v>
      </c>
      <c r="Y22" s="402">
        <f>COUNTIF(Area_v5TSA,$E22)</f>
        <v>0</v>
      </c>
      <c r="Z22" s="402">
        <f>COUNTIF(Area_v6TSA,$E22)</f>
        <v>0</v>
      </c>
      <c r="AA22" s="402">
        <f>COUNTIF(Area_v1TSATHA,$E22)</f>
        <v>0</v>
      </c>
      <c r="AB22" s="402">
        <f>COUNTIF(Area_v2TSATHA,$E22)</f>
        <v>0</v>
      </c>
      <c r="AC22" s="402">
        <f>COUNTIF(Area_v3TSATHA,$E22)</f>
        <v>0</v>
      </c>
      <c r="AD22" s="402">
        <f>COUNTIF(Area_v4THAHOLON,$E22)</f>
        <v>0</v>
      </c>
      <c r="AE22" s="402">
        <f>COUNTIF(Area_v5THAHOLON,$E22)</f>
        <v>0</v>
      </c>
    </row>
    <row r="23" spans="1:31" ht="14.25" customHeight="1">
      <c r="B23" s="43"/>
      <c r="C23" s="44"/>
      <c r="D23" s="44"/>
      <c r="I23" s="42"/>
      <c r="M23" s="160"/>
      <c r="N23" s="160"/>
      <c r="O23" s="160"/>
      <c r="P23" s="160"/>
      <c r="Q23" s="160"/>
      <c r="R23" s="160"/>
      <c r="S23" s="160"/>
      <c r="T23" s="160"/>
      <c r="U23" s="160"/>
      <c r="V23" s="160"/>
      <c r="W23" s="160"/>
      <c r="X23" s="160"/>
      <c r="Y23" s="160"/>
      <c r="Z23" s="160"/>
      <c r="AA23" s="160"/>
      <c r="AB23" s="160"/>
      <c r="AC23" s="160"/>
      <c r="AD23" s="160"/>
      <c r="AE23" s="160"/>
    </row>
    <row r="24" spans="1:31" ht="14.25" customHeight="1">
      <c r="A24" s="158" t="s">
        <v>1492</v>
      </c>
      <c r="B24" s="158" t="s">
        <v>1505</v>
      </c>
      <c r="C24" s="165">
        <f>SUM(F24:AE24)</f>
        <v>17</v>
      </c>
      <c r="D24" s="47"/>
      <c r="E24" s="160" t="s">
        <v>1471</v>
      </c>
      <c r="F24" s="547">
        <f>COUNTIF(Area_v1RISHER,$E24)</f>
        <v>2</v>
      </c>
      <c r="G24" s="547">
        <f>COUNTIF(Area_v2RISHER,$E24)</f>
        <v>2</v>
      </c>
      <c r="H24" s="547">
        <f>COUNTIF(Area_v1HER,$E24)</f>
        <v>1</v>
      </c>
      <c r="I24" s="557">
        <f>COUNTIF(Area_v2HER,$E24)</f>
        <v>0</v>
      </c>
      <c r="J24" s="547">
        <f>COUNTIF(Area_v3HER,$E24)</f>
        <v>0</v>
      </c>
      <c r="K24" s="547">
        <f>COUNTIF(Area_v4HER,$E24)</f>
        <v>1</v>
      </c>
      <c r="L24" s="547">
        <f>COUNTIF(Area_v5HER,$E24)</f>
        <v>0</v>
      </c>
      <c r="M24" s="557">
        <f>COUNTIF(Area_v6HER,$E24)</f>
        <v>1</v>
      </c>
      <c r="N24" s="547">
        <f>COUNTIF(Area_v1HERTSA,$E24)</f>
        <v>0</v>
      </c>
      <c r="O24" s="547">
        <f>COUNTIF(Area_v2HERTSA,$E24)</f>
        <v>0</v>
      </c>
      <c r="P24" s="547">
        <f>COUNTIF(Area_v3HERTSA,$E24)</f>
        <v>0</v>
      </c>
      <c r="Q24" s="402">
        <f>COUNTIF(Area_v4HERTSA,$E24)</f>
        <v>0</v>
      </c>
      <c r="R24" s="402">
        <f>COUNTIF(Area_v51HERTSA,$E24)</f>
        <v>0</v>
      </c>
      <c r="S24" s="402">
        <f>COUNTIF(Area_v52HERTSA,$E24)</f>
        <v>0</v>
      </c>
      <c r="T24" s="402">
        <f>COUNTIF(Area_v53HERTSA,$E24)</f>
        <v>0</v>
      </c>
      <c r="U24" s="402">
        <f>COUNTIF(Area_v1TSA,$E24)</f>
        <v>0</v>
      </c>
      <c r="V24" s="402">
        <f>COUNTIF(Area_v2TSA,$E24)</f>
        <v>0</v>
      </c>
      <c r="W24" s="402">
        <f>COUNTIF(Area_v3TSA,$E24)</f>
        <v>0</v>
      </c>
      <c r="X24" s="402">
        <f>COUNTIF(Area_v4TSA,$E24)</f>
        <v>0</v>
      </c>
      <c r="Y24" s="402">
        <f>COUNTIF(Area_v5TSA,$E24)</f>
        <v>0</v>
      </c>
      <c r="Z24" s="402">
        <f>COUNTIF(Area_v6TSA,$E24)</f>
        <v>0</v>
      </c>
      <c r="AA24" s="402">
        <f>COUNTIF(Area_v1TSATHA,$E24)</f>
        <v>4</v>
      </c>
      <c r="AB24" s="402">
        <f>COUNTIF(Area_v2TSATHA,$E24)</f>
        <v>0</v>
      </c>
      <c r="AC24" s="402">
        <f>COUNTIF(Area_v3TSATHA,$E24)</f>
        <v>4</v>
      </c>
      <c r="AD24" s="402">
        <f>COUNTIF(Area_v4THAHOLON,$E24)</f>
        <v>0</v>
      </c>
      <c r="AE24" s="402">
        <f>COUNTIF(Area_v5THAHOLON,$E24)</f>
        <v>2</v>
      </c>
    </row>
    <row r="25" spans="1:31" ht="16.5" customHeight="1">
      <c r="B25" s="43"/>
      <c r="C25" s="44"/>
      <c r="D25" s="44"/>
      <c r="I25" s="42"/>
    </row>
    <row r="26" spans="1:31" ht="14.25" customHeight="1">
      <c r="A26" s="158" t="s">
        <v>1519</v>
      </c>
      <c r="B26" s="158" t="s">
        <v>1501</v>
      </c>
      <c r="C26" s="165">
        <f>SUM(F26:AE26)</f>
        <v>0</v>
      </c>
      <c r="D26" s="43"/>
      <c r="E26" s="160" t="s">
        <v>1506</v>
      </c>
      <c r="F26" s="547">
        <f>COUNTIF(Area_v1RISHER,$E26)</f>
        <v>0</v>
      </c>
      <c r="G26" s="547">
        <f>COUNTIF(Area_v2RISHER,$E26)</f>
        <v>0</v>
      </c>
      <c r="H26" s="547">
        <f>COUNTIF(Area_v1HER,$E26)</f>
        <v>0</v>
      </c>
      <c r="I26" s="557">
        <f>COUNTIF(Area_v2HER,$E26)</f>
        <v>0</v>
      </c>
      <c r="J26" s="547">
        <f>COUNTIF(Area_v3HER,$E26)</f>
        <v>0</v>
      </c>
      <c r="K26" s="547">
        <f>COUNTIF(Area_v4HER,$E26)</f>
        <v>0</v>
      </c>
      <c r="L26" s="547">
        <f>COUNTIF(Area_v5HER,$E26)</f>
        <v>0</v>
      </c>
      <c r="M26" s="557">
        <f>COUNTIF(Area_v6HER,$E26)</f>
        <v>0</v>
      </c>
      <c r="N26" s="547">
        <f>COUNTIF(Area_v1HERTSA,$E26)</f>
        <v>0</v>
      </c>
      <c r="O26" s="547">
        <f>COUNTIF(Area_v2HERTSA,$E26)</f>
        <v>0</v>
      </c>
      <c r="P26" s="547">
        <f>COUNTIF(Area_v3HERTSA,$E26)</f>
        <v>0</v>
      </c>
      <c r="Q26" s="402">
        <f>COUNTIF(Area_v4HERTSA,$E26)</f>
        <v>0</v>
      </c>
      <c r="R26" s="402">
        <f>COUNTIF(Area_v51HERTSA,$E26)</f>
        <v>0</v>
      </c>
      <c r="S26" s="402">
        <f>COUNTIF(Area_v52HERTSA,$E26)</f>
        <v>0</v>
      </c>
      <c r="T26" s="402">
        <f>COUNTIF(Area_v53HERTSA,$E26)</f>
        <v>0</v>
      </c>
      <c r="U26" s="402">
        <f>COUNTIF(Area_v1TSA,$E26)</f>
        <v>0</v>
      </c>
      <c r="V26" s="402">
        <f>COUNTIF(Area_v2TSA,$E26)</f>
        <v>0</v>
      </c>
      <c r="W26" s="402">
        <f>COUNTIF(Area_v3TSA,$E26)</f>
        <v>0</v>
      </c>
      <c r="X26" s="402">
        <f>COUNTIF(Area_v4TSA,$E26)</f>
        <v>0</v>
      </c>
      <c r="Y26" s="402">
        <f>COUNTIF(Area_v5TSA,$E26)</f>
        <v>0</v>
      </c>
      <c r="Z26" s="402">
        <f>COUNTIF(Area_v6TSA,$E26)</f>
        <v>0</v>
      </c>
      <c r="AA26" s="402">
        <f>COUNTIF(Area_v1TSATHA,$E26)</f>
        <v>0</v>
      </c>
      <c r="AB26" s="402">
        <f>COUNTIF(Area_v2TSATHA,$E26)</f>
        <v>0</v>
      </c>
      <c r="AC26" s="402">
        <f>COUNTIF(Area_v3TSATHA,$E26)</f>
        <v>0</v>
      </c>
      <c r="AD26" s="402">
        <f>COUNTIF(Area_v4THAHOLON,$E26)</f>
        <v>0</v>
      </c>
      <c r="AE26" s="402">
        <f>COUNTIF(Area_v5THAHOLON,$E26)</f>
        <v>0</v>
      </c>
    </row>
    <row r="27" spans="1:31" ht="23.25" customHeight="1">
      <c r="B27" s="157"/>
      <c r="C27" s="43"/>
      <c r="D27" s="43"/>
      <c r="E27" s="53"/>
      <c r="F27" s="53"/>
      <c r="G27" s="53"/>
      <c r="H27" s="53"/>
    </row>
    <row r="28" spans="1:31" ht="14.25" customHeight="1">
      <c r="A28" s="158" t="s">
        <v>1491</v>
      </c>
      <c r="B28" s="158" t="s">
        <v>1499</v>
      </c>
      <c r="C28" s="165">
        <f>SUM(F28:AE28)</f>
        <v>157</v>
      </c>
      <c r="D28" s="47"/>
      <c r="E28" s="160" t="s">
        <v>849</v>
      </c>
      <c r="F28" s="160">
        <f>+'Recuento Conjuntos'!H245</f>
        <v>6</v>
      </c>
      <c r="G28" s="160">
        <f>+'Recuento Conjuntos'!I245</f>
        <v>6</v>
      </c>
      <c r="H28" s="160">
        <f>+'Recuento Conjuntos'!L245</f>
        <v>10</v>
      </c>
      <c r="I28" s="160">
        <f>+'Recuento Conjuntos'!M245</f>
        <v>6</v>
      </c>
      <c r="J28" s="160">
        <f>+'Recuento Conjuntos'!N245</f>
        <v>2</v>
      </c>
      <c r="K28" s="160">
        <f>+'Recuento Conjuntos'!O245</f>
        <v>7</v>
      </c>
      <c r="L28" s="160">
        <f>+'Recuento Conjuntos'!P245</f>
        <v>2</v>
      </c>
      <c r="M28" s="160">
        <f>+'Recuento Conjuntos'!Q245</f>
        <v>15</v>
      </c>
      <c r="N28" s="160">
        <f>+'Recuento Conjuntos'!R245</f>
        <v>32</v>
      </c>
      <c r="O28" s="160">
        <f>+'Recuento Conjuntos'!S245</f>
        <v>7</v>
      </c>
      <c r="P28" s="160">
        <f>+'Recuento Conjuntos'!T245</f>
        <v>8</v>
      </c>
      <c r="Q28" s="160">
        <f>+'Recuento Conjuntos'!U245</f>
        <v>31</v>
      </c>
      <c r="R28" s="160">
        <f>+'Recuento Conjuntos'!Z245</f>
        <v>4</v>
      </c>
      <c r="S28" s="160">
        <f>+'Recuento Conjuntos'!AA245</f>
        <v>0</v>
      </c>
      <c r="T28" s="160">
        <f>+'Recuento Conjuntos'!AB245</f>
        <v>0</v>
      </c>
      <c r="U28" s="160">
        <f>+'Recuento Conjuntos'!AC245</f>
        <v>3</v>
      </c>
      <c r="V28" s="160">
        <f>+'Recuento Conjuntos'!AD245</f>
        <v>0</v>
      </c>
      <c r="W28" s="160">
        <f>+'Recuento Conjuntos'!AE245</f>
        <v>0</v>
      </c>
      <c r="X28" s="160">
        <f>+'Recuento Conjuntos'!AF245</f>
        <v>1</v>
      </c>
      <c r="Y28" s="160">
        <f>+'Recuento Conjuntos'!AG245</f>
        <v>1</v>
      </c>
      <c r="Z28" s="160">
        <f>+'Recuento Conjuntos'!AH245</f>
        <v>2</v>
      </c>
      <c r="AA28" s="160">
        <f>+'Recuento Conjuntos'!AI245</f>
        <v>12</v>
      </c>
      <c r="AB28" s="160">
        <f>+'Recuento Conjuntos'!AJ245</f>
        <v>0</v>
      </c>
      <c r="AC28" s="160">
        <f>+'Recuento Conjuntos'!AK245</f>
        <v>0</v>
      </c>
      <c r="AD28" s="160">
        <f>+'Recuento Conjuntos'!AL245</f>
        <v>1</v>
      </c>
      <c r="AE28" s="160">
        <f>+'Recuento Conjuntos'!AM245</f>
        <v>1</v>
      </c>
    </row>
    <row r="29" spans="1:31" ht="20.399999999999999" customHeight="1">
      <c r="B29" s="43"/>
      <c r="C29" s="44"/>
      <c r="D29" s="44"/>
      <c r="I29" s="42"/>
    </row>
    <row r="30" spans="1:31">
      <c r="A30" s="158" t="s">
        <v>1641</v>
      </c>
      <c r="B30" s="158" t="s">
        <v>1638</v>
      </c>
      <c r="C30" s="165">
        <f>SUM(F30:AE30)</f>
        <v>0</v>
      </c>
      <c r="D30" s="44"/>
      <c r="E30" s="160" t="s">
        <v>1641</v>
      </c>
      <c r="F30" s="547">
        <f>COUNTIF(Area_v1RISHER,$E30)</f>
        <v>0</v>
      </c>
      <c r="G30" s="547">
        <f>COUNTIF(Area_v2RISHER,$E30)</f>
        <v>0</v>
      </c>
      <c r="H30" s="547">
        <f>COUNTIF(Area_v1HER,$E30)</f>
        <v>0</v>
      </c>
      <c r="I30" s="557">
        <f>COUNTIF(Area_v2HER,$E30)</f>
        <v>0</v>
      </c>
      <c r="J30" s="547">
        <f>COUNTIF(Area_v3HER,$E30)</f>
        <v>0</v>
      </c>
      <c r="K30" s="547">
        <f>COUNTIF(Area_v4HER,$E30)</f>
        <v>0</v>
      </c>
      <c r="L30" s="547">
        <f>COUNTIF(Area_v5HER,$E30)</f>
        <v>0</v>
      </c>
      <c r="M30" s="557">
        <f>COUNTIF(Area_v6HER,$E30)</f>
        <v>0</v>
      </c>
      <c r="N30" s="547">
        <f>COUNTIF(Area_v1HERTSA,$E30)</f>
        <v>0</v>
      </c>
      <c r="O30" s="547">
        <f>COUNTIF(Area_v2HERTSA,$E30)</f>
        <v>0</v>
      </c>
      <c r="P30" s="547">
        <f>COUNTIF(Area_v3HERTSA,$E30)</f>
        <v>0</v>
      </c>
      <c r="Q30" s="402">
        <f>COUNTIF(Area_v4HERTSA,$E30)</f>
        <v>0</v>
      </c>
      <c r="R30" s="402">
        <f>COUNTIF(Area_v51HERTSA,$E30)</f>
        <v>0</v>
      </c>
      <c r="S30" s="402">
        <f>COUNTIF(Area_v52HERTSA,$E30)</f>
        <v>0</v>
      </c>
      <c r="T30" s="402">
        <f>COUNTIF(Area_v53HERTSA,$E30)</f>
        <v>0</v>
      </c>
      <c r="U30" s="402">
        <f>COUNTIF(Area_v1TSA,$E30)</f>
        <v>0</v>
      </c>
      <c r="V30" s="402">
        <f>COUNTIF(Area_v2TSA,$E30)</f>
        <v>0</v>
      </c>
      <c r="W30" s="402">
        <f>COUNTIF(Area_v3TSA,$E30)</f>
        <v>0</v>
      </c>
      <c r="X30" s="402">
        <f>COUNTIF(Area_v4TSA,$E30)</f>
        <v>0</v>
      </c>
      <c r="Y30" s="402">
        <f>COUNTIF(Area_v5TSA,$E30)</f>
        <v>0</v>
      </c>
      <c r="Z30" s="402">
        <f>COUNTIF(Area_v6TSA,$E30)</f>
        <v>0</v>
      </c>
      <c r="AA30" s="402">
        <f>COUNTIF(Area_v1TSATHA,$E30)</f>
        <v>0</v>
      </c>
      <c r="AB30" s="402">
        <f>COUNTIF(Area_v2TSATHA,$E30)</f>
        <v>0</v>
      </c>
      <c r="AC30" s="402">
        <f>COUNTIF(Area_v3TSATHA,$E30)</f>
        <v>0</v>
      </c>
      <c r="AD30" s="402">
        <f>COUNTIF(Area_v4THAHOLON,$E30)</f>
        <v>0</v>
      </c>
      <c r="AE30" s="402">
        <f>COUNTIF(Area_v5THAHOLON,$E30)</f>
        <v>0</v>
      </c>
    </row>
    <row r="31" spans="1:31">
      <c r="A31" s="158" t="s">
        <v>1642</v>
      </c>
      <c r="B31" s="158" t="s">
        <v>1639</v>
      </c>
      <c r="C31" s="165">
        <f>SUM(F31:AE31)</f>
        <v>0</v>
      </c>
      <c r="E31" s="160" t="s">
        <v>1642</v>
      </c>
      <c r="F31" s="547">
        <f>COUNTIF(Area_v1RISHER,$E31)</f>
        <v>0</v>
      </c>
      <c r="G31" s="547">
        <f>COUNTIF(Area_v2RISHER,$E31)</f>
        <v>0</v>
      </c>
      <c r="H31" s="547">
        <f>COUNTIF(Area_v1HER,$E31)</f>
        <v>0</v>
      </c>
      <c r="I31" s="557">
        <f>COUNTIF(Area_v2HER,$E31)</f>
        <v>0</v>
      </c>
      <c r="J31" s="547">
        <f>COUNTIF(Area_v3HER,$E31)</f>
        <v>0</v>
      </c>
      <c r="K31" s="547">
        <f>COUNTIF(Area_v4HER,$E31)</f>
        <v>0</v>
      </c>
      <c r="L31" s="547">
        <f>COUNTIF(Area_v5HER,$E31)</f>
        <v>0</v>
      </c>
      <c r="M31" s="557">
        <f>COUNTIF(Area_v6HER,$E31)</f>
        <v>0</v>
      </c>
      <c r="N31" s="547">
        <f>COUNTIF(Area_v1HERTSA,$E31)</f>
        <v>0</v>
      </c>
      <c r="O31" s="547">
        <f>COUNTIF(Area_v2HERTSA,$E31)</f>
        <v>0</v>
      </c>
      <c r="P31" s="547">
        <f>COUNTIF(Area_v3HERTSA,$E31)</f>
        <v>0</v>
      </c>
      <c r="Q31" s="402">
        <f>COUNTIF(Area_v4HERTSA,$E31)</f>
        <v>0</v>
      </c>
      <c r="R31" s="402">
        <f>COUNTIF(Area_v51HERTSA,$E31)</f>
        <v>0</v>
      </c>
      <c r="S31" s="402">
        <f>COUNTIF(Area_v52HERTSA,$E31)</f>
        <v>0</v>
      </c>
      <c r="T31" s="402">
        <f>COUNTIF(Area_v53HERTSA,$E31)</f>
        <v>0</v>
      </c>
      <c r="U31" s="402">
        <f>COUNTIF(Area_v1TSA,$E31)</f>
        <v>0</v>
      </c>
      <c r="V31" s="402">
        <f>COUNTIF(Area_v2TSA,$E31)</f>
        <v>0</v>
      </c>
      <c r="W31" s="402">
        <f>COUNTIF(Area_v3TSA,$E31)</f>
        <v>0</v>
      </c>
      <c r="X31" s="402">
        <f>COUNTIF(Area_v4TSA,$E31)</f>
        <v>0</v>
      </c>
      <c r="Y31" s="402">
        <f>COUNTIF(Area_v5TSA,$E31)</f>
        <v>0</v>
      </c>
      <c r="Z31" s="402">
        <f>COUNTIF(Area_v6TSA,$E31)</f>
        <v>0</v>
      </c>
      <c r="AA31" s="402">
        <f>COUNTIF(Area_v1TSATHA,$E31)</f>
        <v>0</v>
      </c>
      <c r="AB31" s="402">
        <f>COUNTIF(Area_v2TSATHA,$E31)</f>
        <v>0</v>
      </c>
      <c r="AC31" s="402">
        <f>COUNTIF(Area_v3TSATHA,$E31)</f>
        <v>0</v>
      </c>
      <c r="AD31" s="402">
        <f>COUNTIF(Area_v4THAHOLON,$E31)</f>
        <v>0</v>
      </c>
      <c r="AE31" s="402">
        <f>COUNTIF(Area_v5THAHOLON,$E31)</f>
        <v>0</v>
      </c>
    </row>
    <row r="32" spans="1:31">
      <c r="A32" s="158" t="s">
        <v>1643</v>
      </c>
      <c r="B32" s="158" t="s">
        <v>1640</v>
      </c>
      <c r="C32" s="165">
        <f>SUM(F32:AE32)</f>
        <v>0</v>
      </c>
      <c r="D32" s="44"/>
      <c r="E32" s="160" t="s">
        <v>1643</v>
      </c>
      <c r="F32" s="547">
        <f>COUNTIF(Area_v1RISHER,$E32)</f>
        <v>0</v>
      </c>
      <c r="G32" s="547">
        <f>COUNTIF(Area_v2RISHER,$E32)</f>
        <v>0</v>
      </c>
      <c r="H32" s="547">
        <f>COUNTIF(Area_v1HER,$E32)</f>
        <v>0</v>
      </c>
      <c r="I32" s="557">
        <f>COUNTIF(Area_v2HER,$E32)</f>
        <v>0</v>
      </c>
      <c r="J32" s="547">
        <f>COUNTIF(Area_v3HER,$E32)</f>
        <v>0</v>
      </c>
      <c r="K32" s="547">
        <f>COUNTIF(Area_v4HER,$E32)</f>
        <v>0</v>
      </c>
      <c r="L32" s="547">
        <f>COUNTIF(Area_v5HER,$E32)</f>
        <v>0</v>
      </c>
      <c r="M32" s="557">
        <f>COUNTIF(Area_v6HER,$E32)</f>
        <v>0</v>
      </c>
      <c r="N32" s="547">
        <f>COUNTIF(Area_v1HERTSA,$E32)</f>
        <v>0</v>
      </c>
      <c r="O32" s="547">
        <f>COUNTIF(Area_v2HERTSA,$E32)</f>
        <v>0</v>
      </c>
      <c r="P32" s="547">
        <f>COUNTIF(Area_v3HERTSA,$E32)</f>
        <v>0</v>
      </c>
      <c r="Q32" s="402">
        <f>COUNTIF(Area_v4HERTSA,$E32)</f>
        <v>0</v>
      </c>
      <c r="R32" s="402">
        <f>COUNTIF(Area_v51HERTSA,$E32)</f>
        <v>0</v>
      </c>
      <c r="S32" s="402">
        <f>COUNTIF(Area_v52HERTSA,$E32)</f>
        <v>0</v>
      </c>
      <c r="T32" s="402">
        <f>COUNTIF(Area_v53HERTSA,$E32)</f>
        <v>0</v>
      </c>
      <c r="U32" s="402">
        <f>COUNTIF(Area_v1TSA,$E32)</f>
        <v>0</v>
      </c>
      <c r="V32" s="402">
        <f>COUNTIF(Area_v2TSA,$E32)</f>
        <v>0</v>
      </c>
      <c r="W32" s="402">
        <f>COUNTIF(Area_v3TSA,$E32)</f>
        <v>0</v>
      </c>
      <c r="X32" s="402">
        <f>COUNTIF(Area_v4TSA,$E32)</f>
        <v>0</v>
      </c>
      <c r="Y32" s="402">
        <f>COUNTIF(Area_v5TSA,$E32)</f>
        <v>0</v>
      </c>
      <c r="Z32" s="402">
        <f>COUNTIF(Area_v6TSA,$E32)</f>
        <v>0</v>
      </c>
      <c r="AA32" s="402">
        <f>COUNTIF(Area_v1TSATHA,$E32)</f>
        <v>0</v>
      </c>
      <c r="AB32" s="402">
        <f>COUNTIF(Area_v2TSATHA,$E32)</f>
        <v>0</v>
      </c>
      <c r="AC32" s="402">
        <f>COUNTIF(Area_v3TSATHA,$E32)</f>
        <v>0</v>
      </c>
      <c r="AD32" s="402">
        <f>COUNTIF(Area_v4THAHOLON,$E32)</f>
        <v>0</v>
      </c>
      <c r="AE32" s="402">
        <f>COUNTIF(Area_v5THAHOLON,$E32)</f>
        <v>0</v>
      </c>
    </row>
    <row r="33" spans="1:31" ht="19.5" customHeight="1">
      <c r="B33" s="43"/>
      <c r="C33" s="44"/>
      <c r="D33" s="44"/>
      <c r="I33" s="42"/>
    </row>
    <row r="34" spans="1:31" ht="14.25" customHeight="1">
      <c r="A34" s="158" t="s">
        <v>1693</v>
      </c>
      <c r="B34" s="158" t="s">
        <v>1694</v>
      </c>
      <c r="C34" s="165">
        <f>SUM(F34:AE34)</f>
        <v>0</v>
      </c>
      <c r="D34" s="44"/>
      <c r="E34" s="160" t="s">
        <v>1693</v>
      </c>
      <c r="F34" s="547">
        <f>COUNTIF(Area_v1RISHER,$E34)</f>
        <v>0</v>
      </c>
      <c r="G34" s="547">
        <f>COUNTIF(Area_v2RISHER,$E34)</f>
        <v>0</v>
      </c>
      <c r="H34" s="547">
        <f>COUNTIF(Area_v1HER,$E34)</f>
        <v>0</v>
      </c>
      <c r="I34" s="557">
        <f>COUNTIF(Area_v2HER,$E34)</f>
        <v>0</v>
      </c>
      <c r="J34" s="547">
        <f>COUNTIF(Area_v3HER,$E34)</f>
        <v>0</v>
      </c>
      <c r="K34" s="547">
        <f>COUNTIF(Area_v4HER,$E34)</f>
        <v>0</v>
      </c>
      <c r="L34" s="547">
        <f>COUNTIF(Area_v5HER,$E34)</f>
        <v>0</v>
      </c>
      <c r="M34" s="557">
        <f>COUNTIF(Area_v6HER,$E34)</f>
        <v>0</v>
      </c>
      <c r="N34" s="547">
        <f>COUNTIF(Area_v1HERTSA,$E34)</f>
        <v>0</v>
      </c>
      <c r="O34" s="547">
        <f>COUNTIF(Area_v2HERTSA,$E34)</f>
        <v>0</v>
      </c>
      <c r="P34" s="547">
        <f>COUNTIF(Area_v3HERTSA,$E34)</f>
        <v>0</v>
      </c>
      <c r="Q34" s="402">
        <f>COUNTIF(Area_v4HERTSA,$E34)</f>
        <v>0</v>
      </c>
      <c r="R34" s="402">
        <f>COUNTIF(Area_v51HERTSA,$E34)</f>
        <v>0</v>
      </c>
      <c r="S34" s="402">
        <f>COUNTIF(Area_v52HERTSA,$E34)</f>
        <v>0</v>
      </c>
      <c r="T34" s="402">
        <f>COUNTIF(Area_v53HERTSA,$E34)</f>
        <v>0</v>
      </c>
      <c r="U34" s="402">
        <f>COUNTIF(Area_v1TSA,$E34)</f>
        <v>0</v>
      </c>
      <c r="V34" s="402">
        <f>COUNTIF(Area_v2TSA,$E34)</f>
        <v>0</v>
      </c>
      <c r="W34" s="402">
        <f>COUNTIF(Area_v3TSA,$E34)</f>
        <v>0</v>
      </c>
      <c r="X34" s="402">
        <f>COUNTIF(Area_v4TSA,$E34)</f>
        <v>0</v>
      </c>
      <c r="Y34" s="402">
        <f>COUNTIF(Area_v5TSA,$E34)</f>
        <v>0</v>
      </c>
      <c r="Z34" s="402">
        <f>COUNTIF(Area_v6TSA,$E34)</f>
        <v>0</v>
      </c>
      <c r="AA34" s="402">
        <f>COUNTIF(Area_v1TSATHA,$E34)</f>
        <v>0</v>
      </c>
      <c r="AB34" s="402">
        <f>COUNTIF(Area_v2TSATHA,$E34)</f>
        <v>0</v>
      </c>
      <c r="AC34" s="402">
        <f>COUNTIF(Area_v3TSATHA,$E34)</f>
        <v>0</v>
      </c>
      <c r="AD34" s="402">
        <f>COUNTIF(Area_v4THAHOLON,$E34)</f>
        <v>0</v>
      </c>
      <c r="AE34" s="402">
        <f>COUNTIF(Area_v5THAHOLON,$E34)</f>
        <v>0</v>
      </c>
    </row>
    <row r="35" spans="1:31" ht="14.25" customHeight="1">
      <c r="B35" s="43"/>
      <c r="C35" s="44"/>
      <c r="D35" s="44"/>
      <c r="I35" s="42"/>
    </row>
    <row r="36" spans="1:31" ht="14.25" customHeight="1">
      <c r="A36" s="158" t="s">
        <v>2399</v>
      </c>
      <c r="B36" s="158" t="s">
        <v>2457</v>
      </c>
      <c r="C36" s="165">
        <f>SUM(F36:AE36)</f>
        <v>4</v>
      </c>
      <c r="D36" s="44"/>
      <c r="E36" s="160" t="s">
        <v>2399</v>
      </c>
      <c r="F36" s="547">
        <f>COUNTIF(Area_v1RISHER,$E36)</f>
        <v>0</v>
      </c>
      <c r="G36" s="547">
        <f>COUNTIF(Area_v2RISHER,$E36)</f>
        <v>0</v>
      </c>
      <c r="H36" s="547">
        <f>COUNTIF(Area_v1HER,$E36)</f>
        <v>0</v>
      </c>
      <c r="I36" s="557">
        <f>COUNTIF(Area_v2HER,$E36)</f>
        <v>0</v>
      </c>
      <c r="J36" s="547">
        <f>COUNTIF(Area_v3HER,$E36)</f>
        <v>0</v>
      </c>
      <c r="K36" s="547">
        <f>COUNTIF(Area_v4HER,$E36)</f>
        <v>0</v>
      </c>
      <c r="L36" s="547">
        <f>COUNTIF(Area_v5HER,$E36)</f>
        <v>0</v>
      </c>
      <c r="M36" s="557">
        <f>COUNTIF(Area_v6HER,$E36)</f>
        <v>0</v>
      </c>
      <c r="N36" s="547">
        <f>COUNTIF(Area_v1HERTSA,$E36)</f>
        <v>0</v>
      </c>
      <c r="O36" s="547">
        <f>COUNTIF(Area_v2HERTSA,$E36)</f>
        <v>0</v>
      </c>
      <c r="P36" s="547">
        <f>COUNTIF(Area_v3HERTSA,$E36)</f>
        <v>0</v>
      </c>
      <c r="Q36" s="402">
        <f>COUNTIF(Area_v4HERTSA,$E36)</f>
        <v>0</v>
      </c>
      <c r="R36" s="402">
        <f>COUNTIF(Area_v51HERTSA,$E36)</f>
        <v>0</v>
      </c>
      <c r="S36" s="402">
        <f>COUNTIF(Area_v52HERTSA,$E36)</f>
        <v>0</v>
      </c>
      <c r="T36" s="402">
        <f>COUNTIF(Area_v53HERTSA,$E36)</f>
        <v>0</v>
      </c>
      <c r="U36" s="402">
        <f>COUNTIF(Area_v1TSA,$E36)</f>
        <v>0</v>
      </c>
      <c r="V36" s="402">
        <f>COUNTIF(Area_v2TSA,$E36)</f>
        <v>0</v>
      </c>
      <c r="W36" s="402">
        <f>COUNTIF(Area_v3TSA,$E36)</f>
        <v>0</v>
      </c>
      <c r="X36" s="402">
        <f>COUNTIF(Area_v4TSA,$E36)</f>
        <v>0</v>
      </c>
      <c r="Y36" s="402">
        <f>COUNTIF(Area_v5TSA,$E36)</f>
        <v>0</v>
      </c>
      <c r="Z36" s="402">
        <f>COUNTIF(Area_v6TSA,$E36)</f>
        <v>0</v>
      </c>
      <c r="AA36" s="402">
        <f>COUNTIF(Area_v1TSATHA,$E36)</f>
        <v>0</v>
      </c>
      <c r="AB36" s="402">
        <f>COUNTIF(Area_v2TSATHA,$E36)</f>
        <v>2</v>
      </c>
      <c r="AC36" s="402">
        <f>COUNTIF(Area_v3TSATHA,$E36)</f>
        <v>2</v>
      </c>
      <c r="AD36" s="402">
        <f>COUNTIF(Area_v4THAHOLON,$E36)</f>
        <v>0</v>
      </c>
      <c r="AE36" s="402">
        <f>COUNTIF(Area_v5THAHOLON,$E36)</f>
        <v>0</v>
      </c>
    </row>
    <row r="37" spans="1:31" ht="14.25" customHeight="1">
      <c r="A37" s="158" t="s">
        <v>2397</v>
      </c>
      <c r="B37" s="158" t="s">
        <v>2455</v>
      </c>
      <c r="C37" s="165">
        <f>SUM(F37:AE37)</f>
        <v>0</v>
      </c>
      <c r="D37" s="44"/>
      <c r="E37" s="160" t="s">
        <v>2397</v>
      </c>
      <c r="F37" s="547">
        <f>COUNTIF(Area_v1RISHER,$E37)</f>
        <v>0</v>
      </c>
      <c r="G37" s="547">
        <f>COUNTIF(Area_v2RISHER,$E37)</f>
        <v>0</v>
      </c>
      <c r="H37" s="547">
        <f>COUNTIF(Area_v1HER,$E37)</f>
        <v>0</v>
      </c>
      <c r="I37" s="557">
        <f>COUNTIF(Area_v2HER,$E37)</f>
        <v>0</v>
      </c>
      <c r="J37" s="547">
        <f>COUNTIF(Area_v3HER,$E37)</f>
        <v>0</v>
      </c>
      <c r="K37" s="547">
        <f>COUNTIF(Area_v4HER,$E37)</f>
        <v>0</v>
      </c>
      <c r="L37" s="547">
        <f>COUNTIF(Area_v5HER,$E37)</f>
        <v>0</v>
      </c>
      <c r="M37" s="557">
        <f>COUNTIF(Area_v6HER,$E37)</f>
        <v>0</v>
      </c>
      <c r="N37" s="547">
        <f>COUNTIF(Area_v1HERTSA,$E37)</f>
        <v>0</v>
      </c>
      <c r="O37" s="547">
        <f>COUNTIF(Area_v2HERTSA,$E37)</f>
        <v>0</v>
      </c>
      <c r="P37" s="547">
        <f>COUNTIF(Area_v3HERTSA,$E37)</f>
        <v>0</v>
      </c>
      <c r="Q37" s="402">
        <f>COUNTIF(Area_v4HERTSA,$E37)</f>
        <v>0</v>
      </c>
      <c r="R37" s="402">
        <f>COUNTIF(Area_v51HERTSA,$E37)</f>
        <v>0</v>
      </c>
      <c r="S37" s="402">
        <f>COUNTIF(Area_v52HERTSA,$E37)</f>
        <v>0</v>
      </c>
      <c r="T37" s="402">
        <f>COUNTIF(Area_v53HERTSA,$E37)</f>
        <v>0</v>
      </c>
      <c r="U37" s="402">
        <f>COUNTIF(Area_v1TSA,$E37)</f>
        <v>0</v>
      </c>
      <c r="V37" s="402">
        <f>COUNTIF(Area_v2TSA,$E37)</f>
        <v>0</v>
      </c>
      <c r="W37" s="402">
        <f>COUNTIF(Area_v3TSA,$E37)</f>
        <v>0</v>
      </c>
      <c r="X37" s="402">
        <f>COUNTIF(Area_v4TSA,$E37)</f>
        <v>0</v>
      </c>
      <c r="Y37" s="402">
        <f>COUNTIF(Area_v5TSA,$E37)</f>
        <v>0</v>
      </c>
      <c r="Z37" s="402">
        <f>COUNTIF(Area_v6TSA,$E37)</f>
        <v>0</v>
      </c>
      <c r="AA37" s="402">
        <f>COUNTIF(Area_v1TSATHA,$E37)</f>
        <v>0</v>
      </c>
      <c r="AB37" s="402">
        <f>COUNTIF(Area_v2TSATHA,$E37)</f>
        <v>0</v>
      </c>
      <c r="AC37" s="402">
        <f>COUNTIF(Area_v3TSATHA,$E37)</f>
        <v>0</v>
      </c>
      <c r="AD37" s="402">
        <f>COUNTIF(Area_v4THAHOLON,$E37)</f>
        <v>0</v>
      </c>
      <c r="AE37" s="402">
        <f>COUNTIF(Area_v5THAHOLON,$E37)</f>
        <v>0</v>
      </c>
    </row>
    <row r="38" spans="1:31" ht="14.25" customHeight="1">
      <c r="A38" s="158" t="s">
        <v>2398</v>
      </c>
      <c r="B38" s="158" t="s">
        <v>2456</v>
      </c>
      <c r="C38" s="165">
        <f>SUM(F38:AE38)</f>
        <v>8</v>
      </c>
      <c r="D38" s="44"/>
      <c r="E38" s="160" t="s">
        <v>2398</v>
      </c>
      <c r="F38" s="547">
        <f>COUNTIF(Area_v1RISHER,$E38)</f>
        <v>0</v>
      </c>
      <c r="G38" s="547">
        <f>COUNTIF(Area_v2RISHER,$E38)</f>
        <v>0</v>
      </c>
      <c r="H38" s="547">
        <f>COUNTIF(Area_v1HER,$E38)</f>
        <v>0</v>
      </c>
      <c r="I38" s="557">
        <f>COUNTIF(Area_v2HER,$E38)</f>
        <v>0</v>
      </c>
      <c r="J38" s="547">
        <f>COUNTIF(Area_v3HER,$E38)</f>
        <v>0</v>
      </c>
      <c r="K38" s="547">
        <f>COUNTIF(Area_v4HER,$E38)</f>
        <v>0</v>
      </c>
      <c r="L38" s="547">
        <f>COUNTIF(Area_v5HER,$E38)</f>
        <v>0</v>
      </c>
      <c r="M38" s="557">
        <f>COUNTIF(Area_v6HER,$E38)</f>
        <v>0</v>
      </c>
      <c r="N38" s="547">
        <f>COUNTIF(Area_v1HERTSA,$E38)</f>
        <v>0</v>
      </c>
      <c r="O38" s="547">
        <f>COUNTIF(Area_v2HERTSA,$E38)</f>
        <v>0</v>
      </c>
      <c r="P38" s="547">
        <f>COUNTIF(Area_v3HERTSA,$E38)</f>
        <v>0</v>
      </c>
      <c r="Q38" s="402">
        <f>COUNTIF(Area_v4HERTSA,$E38)</f>
        <v>0</v>
      </c>
      <c r="R38" s="402">
        <f>COUNTIF(Area_v51HERTSA,$E38)</f>
        <v>0</v>
      </c>
      <c r="S38" s="402">
        <f>COUNTIF(Area_v52HERTSA,$E38)</f>
        <v>0</v>
      </c>
      <c r="T38" s="402">
        <f>COUNTIF(Area_v53HERTSA,$E38)</f>
        <v>0</v>
      </c>
      <c r="U38" s="402">
        <f>COUNTIF(Area_v1TSA,$E38)</f>
        <v>0</v>
      </c>
      <c r="V38" s="402">
        <f>COUNTIF(Area_v2TSA,$E38)</f>
        <v>2</v>
      </c>
      <c r="W38" s="402">
        <f>COUNTIF(Area_v3TSA,$E38)</f>
        <v>2</v>
      </c>
      <c r="X38" s="402">
        <f>COUNTIF(Area_v4TSA,$E38)</f>
        <v>2</v>
      </c>
      <c r="Y38" s="402">
        <f>COUNTIF(Area_v5TSA,$E38)</f>
        <v>2</v>
      </c>
      <c r="Z38" s="402">
        <f>COUNTIF(Area_v6TSA,$E38)</f>
        <v>0</v>
      </c>
      <c r="AA38" s="402">
        <f>COUNTIF(Area_v1TSATHA,$E38)</f>
        <v>0</v>
      </c>
      <c r="AB38" s="402">
        <f>COUNTIF(Area_v2TSATHA,$E38)</f>
        <v>0</v>
      </c>
      <c r="AC38" s="402">
        <f>COUNTIF(Area_v3TSATHA,$E38)</f>
        <v>0</v>
      </c>
      <c r="AD38" s="402">
        <f>COUNTIF(Area_v4THAHOLON,$E38)</f>
        <v>0</v>
      </c>
      <c r="AE38" s="402">
        <f>COUNTIF(Area_v5THAHOLON,$E38)</f>
        <v>0</v>
      </c>
    </row>
    <row r="39" spans="1:31" ht="14.25" customHeight="1">
      <c r="B39" s="43"/>
      <c r="C39" s="44"/>
      <c r="D39" s="44"/>
      <c r="I39" s="42"/>
    </row>
    <row r="40" spans="1:31" ht="14.25" customHeight="1">
      <c r="A40" s="158" t="s">
        <v>2136</v>
      </c>
      <c r="B40" s="158" t="s">
        <v>2459</v>
      </c>
      <c r="C40" s="165">
        <f>SUM(F40:AE40)</f>
        <v>0</v>
      </c>
      <c r="D40" s="44"/>
      <c r="E40" s="160" t="s">
        <v>2136</v>
      </c>
      <c r="F40" s="547">
        <f>COUNTIF(Area_v1RISHER,$E40)</f>
        <v>0</v>
      </c>
      <c r="G40" s="547">
        <f>COUNTIF(Area_v2RISHER,$E40)</f>
        <v>0</v>
      </c>
      <c r="H40" s="547">
        <f>COUNTIF(Area_v1HER,$E40)</f>
        <v>0</v>
      </c>
      <c r="I40" s="557">
        <f>COUNTIF(Area_v2HER,$E40)</f>
        <v>0</v>
      </c>
      <c r="J40" s="547">
        <f>COUNTIF(Area_v3HER,$E40)</f>
        <v>0</v>
      </c>
      <c r="K40" s="547">
        <f>COUNTIF(Area_v4HER,$E40)</f>
        <v>0</v>
      </c>
      <c r="L40" s="547">
        <f>COUNTIF(Area_v5HER,$E40)</f>
        <v>0</v>
      </c>
      <c r="M40" s="557">
        <f>COUNTIF(Area_v6HER,$E40)</f>
        <v>0</v>
      </c>
      <c r="N40" s="547">
        <f>COUNTIF(Area_v1HERTSA,$E40)</f>
        <v>0</v>
      </c>
      <c r="O40" s="547">
        <f>COUNTIF(Area_v2HERTSA,$E40)</f>
        <v>0</v>
      </c>
      <c r="P40" s="547">
        <f>COUNTIF(Area_v3HERTSA,$E40)</f>
        <v>0</v>
      </c>
      <c r="Q40" s="402">
        <f>COUNTIF(Area_v4HERTSA,$E40)</f>
        <v>0</v>
      </c>
      <c r="R40" s="402">
        <f>COUNTIF(Area_v51HERTSA,$E40)</f>
        <v>0</v>
      </c>
      <c r="S40" s="402">
        <f>COUNTIF(Area_v52HERTSA,$E40)</f>
        <v>0</v>
      </c>
      <c r="T40" s="402">
        <f>COUNTIF(Area_v53HERTSA,$E40)</f>
        <v>0</v>
      </c>
      <c r="U40" s="402">
        <f>COUNTIF(Area_v1TSA,$E40)</f>
        <v>0</v>
      </c>
      <c r="V40" s="402">
        <f>COUNTIF(Area_v2TSA,$E40)</f>
        <v>0</v>
      </c>
      <c r="W40" s="402">
        <f>COUNTIF(Area_v3TSA,$E40)</f>
        <v>0</v>
      </c>
      <c r="X40" s="402">
        <f>COUNTIF(Area_v4TSA,$E40)</f>
        <v>0</v>
      </c>
      <c r="Y40" s="402">
        <f>COUNTIF(Area_v5TSA,$E40)</f>
        <v>0</v>
      </c>
      <c r="Z40" s="402">
        <f>COUNTIF(Area_v6TSA,$E40)</f>
        <v>0</v>
      </c>
      <c r="AA40" s="402">
        <f>COUNTIF(Area_v1TSATHA,$E40)</f>
        <v>0</v>
      </c>
      <c r="AB40" s="402">
        <f>COUNTIF(Area_v2TSATHA,$E40)</f>
        <v>0</v>
      </c>
      <c r="AC40" s="402">
        <f>COUNTIF(Area_v3TSATHA,$E40)</f>
        <v>0</v>
      </c>
      <c r="AD40" s="402">
        <f>COUNTIF(Area_v4THAHOLON,$E40)</f>
        <v>0</v>
      </c>
      <c r="AE40" s="402">
        <f>COUNTIF(Area_v5THAHOLON,$E40)</f>
        <v>0</v>
      </c>
    </row>
    <row r="41" spans="1:31" ht="14.25" customHeight="1">
      <c r="A41" s="158" t="s">
        <v>2460</v>
      </c>
      <c r="B41" s="158" t="s">
        <v>2461</v>
      </c>
      <c r="C41" s="165">
        <f>SUM(F41:AE41)</f>
        <v>0</v>
      </c>
      <c r="D41" s="44"/>
      <c r="E41" s="160" t="s">
        <v>2460</v>
      </c>
      <c r="F41" s="547">
        <f>COUNTIF(Area_v1RISHER,$E41)</f>
        <v>0</v>
      </c>
      <c r="G41" s="547">
        <f>COUNTIF(Area_v2RISHER,$E41)</f>
        <v>0</v>
      </c>
      <c r="H41" s="547">
        <f>COUNTIF(Area_v1HER,$E41)</f>
        <v>0</v>
      </c>
      <c r="I41" s="557">
        <f>COUNTIF(Area_v2HER,$E41)</f>
        <v>0</v>
      </c>
      <c r="J41" s="547">
        <f>COUNTIF(Area_v3HER,$E41)</f>
        <v>0</v>
      </c>
      <c r="K41" s="547">
        <f>COUNTIF(Area_v4HER,$E41)</f>
        <v>0</v>
      </c>
      <c r="L41" s="547">
        <f>COUNTIF(Area_v5HER,$E41)</f>
        <v>0</v>
      </c>
      <c r="M41" s="557">
        <f>COUNTIF(Area_v6HER,$E41)</f>
        <v>0</v>
      </c>
      <c r="N41" s="547">
        <f>COUNTIF(Area_v1HERTSA,$E41)</f>
        <v>0</v>
      </c>
      <c r="O41" s="547">
        <f>COUNTIF(Area_v2HERTSA,$E41)</f>
        <v>0</v>
      </c>
      <c r="P41" s="547">
        <f>COUNTIF(Area_v3HERTSA,$E41)</f>
        <v>0</v>
      </c>
      <c r="Q41" s="402">
        <f>COUNTIF(Area_v4HERTSA,$E41)</f>
        <v>0</v>
      </c>
      <c r="R41" s="402">
        <f>COUNTIF(Area_v51HERTSA,$E41)</f>
        <v>0</v>
      </c>
      <c r="S41" s="402">
        <f>COUNTIF(Area_v52HERTSA,$E41)</f>
        <v>0</v>
      </c>
      <c r="T41" s="402">
        <f>COUNTIF(Area_v53HERTSA,$E41)</f>
        <v>0</v>
      </c>
      <c r="U41" s="402">
        <f>COUNTIF(Area_v1TSA,$E41)</f>
        <v>0</v>
      </c>
      <c r="V41" s="402">
        <f>COUNTIF(Area_v2TSA,$E41)</f>
        <v>0</v>
      </c>
      <c r="W41" s="402">
        <f>COUNTIF(Area_v3TSA,$E41)</f>
        <v>0</v>
      </c>
      <c r="X41" s="402">
        <f>COUNTIF(Area_v4TSA,$E41)</f>
        <v>0</v>
      </c>
      <c r="Y41" s="402">
        <f>COUNTIF(Area_v5TSA,$E41)</f>
        <v>0</v>
      </c>
      <c r="Z41" s="402">
        <f>COUNTIF(Area_v6TSA,$E41)</f>
        <v>0</v>
      </c>
      <c r="AA41" s="402">
        <f>COUNTIF(Area_v1TSATHA,$E41)</f>
        <v>0</v>
      </c>
      <c r="AB41" s="402">
        <f>COUNTIF(Area_v2TSATHA,$E41)</f>
        <v>0</v>
      </c>
      <c r="AC41" s="402">
        <f>COUNTIF(Area_v3TSATHA,$E41)</f>
        <v>0</v>
      </c>
      <c r="AD41" s="402">
        <f>COUNTIF(Area_v4THAHOLON,$E41)</f>
        <v>0</v>
      </c>
      <c r="AE41" s="402">
        <f>COUNTIF(Area_v5THAHOLON,$E41)</f>
        <v>0</v>
      </c>
    </row>
    <row r="42" spans="1:31" ht="14.25" customHeight="1">
      <c r="A42" s="158" t="s">
        <v>2126</v>
      </c>
      <c r="B42" s="158" t="s">
        <v>2462</v>
      </c>
      <c r="C42" s="165">
        <f>SUM(F42:AE42)</f>
        <v>0</v>
      </c>
      <c r="D42" s="44"/>
      <c r="E42" s="160" t="s">
        <v>2126</v>
      </c>
      <c r="F42" s="547">
        <f>COUNTIF(Area_v1RISHER,$E42)</f>
        <v>0</v>
      </c>
      <c r="G42" s="547">
        <f>COUNTIF(Area_v2RISHER,$E42)</f>
        <v>0</v>
      </c>
      <c r="H42" s="547">
        <f>COUNTIF(Area_v1HER,$E42)</f>
        <v>0</v>
      </c>
      <c r="I42" s="557">
        <f>COUNTIF(Area_v2HER,$E42)</f>
        <v>0</v>
      </c>
      <c r="J42" s="547">
        <f>COUNTIF(Area_v3HER,$E42)</f>
        <v>0</v>
      </c>
      <c r="K42" s="547">
        <f>COUNTIF(Area_v4HER,$E42)</f>
        <v>0</v>
      </c>
      <c r="L42" s="547">
        <f>COUNTIF(Area_v5HER,$E42)</f>
        <v>0</v>
      </c>
      <c r="M42" s="557">
        <f>COUNTIF(Area_v6HER,$E42)</f>
        <v>0</v>
      </c>
      <c r="N42" s="547">
        <f>COUNTIF(Area_v1HERTSA,$E42)</f>
        <v>0</v>
      </c>
      <c r="O42" s="547">
        <f>COUNTIF(Area_v2HERTSA,$E42)</f>
        <v>0</v>
      </c>
      <c r="P42" s="547">
        <f>COUNTIF(Area_v3HERTSA,$E42)</f>
        <v>0</v>
      </c>
      <c r="Q42" s="402">
        <f>COUNTIF(Area_v4HERTSA,$E42)</f>
        <v>0</v>
      </c>
      <c r="R42" s="402">
        <f>COUNTIF(Area_v51HERTSA,$E42)</f>
        <v>0</v>
      </c>
      <c r="S42" s="402">
        <f>COUNTIF(Area_v52HERTSA,$E42)</f>
        <v>0</v>
      </c>
      <c r="T42" s="402">
        <f>COUNTIF(Area_v53HERTSA,$E42)</f>
        <v>0</v>
      </c>
      <c r="U42" s="402">
        <f>COUNTIF(Area_v1TSA,$E42)</f>
        <v>0</v>
      </c>
      <c r="V42" s="402">
        <f>COUNTIF(Area_v2TSA,$E42)</f>
        <v>0</v>
      </c>
      <c r="W42" s="402">
        <f>COUNTIF(Area_v3TSA,$E42)</f>
        <v>0</v>
      </c>
      <c r="X42" s="402">
        <f>COUNTIF(Area_v4TSA,$E42)</f>
        <v>0</v>
      </c>
      <c r="Y42" s="402">
        <f>COUNTIF(Area_v5TSA,$E42)</f>
        <v>0</v>
      </c>
      <c r="Z42" s="402">
        <f>COUNTIF(Area_v6TSA,$E42)</f>
        <v>0</v>
      </c>
      <c r="AA42" s="402">
        <f>COUNTIF(Area_v1TSATHA,$E42)</f>
        <v>0</v>
      </c>
      <c r="AB42" s="402">
        <f>COUNTIF(Area_v2TSATHA,$E42)</f>
        <v>0</v>
      </c>
      <c r="AC42" s="402">
        <f>COUNTIF(Area_v3TSATHA,$E42)</f>
        <v>0</v>
      </c>
      <c r="AD42" s="402">
        <f>COUNTIF(Area_v4THAHOLON,$E42)</f>
        <v>0</v>
      </c>
      <c r="AE42" s="402">
        <f>COUNTIF(Area_v5THAHOLON,$E42)</f>
        <v>0</v>
      </c>
    </row>
    <row r="43" spans="1:31" ht="14.25" customHeight="1">
      <c r="A43" s="158" t="s">
        <v>2463</v>
      </c>
      <c r="B43" s="158" t="s">
        <v>2464</v>
      </c>
      <c r="C43" s="165">
        <f>SUM(F43:AE43)</f>
        <v>0</v>
      </c>
      <c r="D43" s="44"/>
      <c r="E43" s="160" t="s">
        <v>2463</v>
      </c>
      <c r="F43" s="547">
        <f>COUNTIF(Area_v1RISHER,$E43)</f>
        <v>0</v>
      </c>
      <c r="G43" s="547">
        <f>COUNTIF(Area_v2RISHER,$E43)</f>
        <v>0</v>
      </c>
      <c r="H43" s="547">
        <f>COUNTIF(Area_v1HER,$E43)</f>
        <v>0</v>
      </c>
      <c r="I43" s="557">
        <f>COUNTIF(Area_v2HER,$E43)</f>
        <v>0</v>
      </c>
      <c r="J43" s="547">
        <f>COUNTIF(Area_v3HER,$E43)</f>
        <v>0</v>
      </c>
      <c r="K43" s="547">
        <f>COUNTIF(Area_v4HER,$E43)</f>
        <v>0</v>
      </c>
      <c r="L43" s="547">
        <f>COUNTIF(Area_v5HER,$E43)</f>
        <v>0</v>
      </c>
      <c r="M43" s="557">
        <f>COUNTIF(Area_v6HER,$E43)</f>
        <v>0</v>
      </c>
      <c r="N43" s="547">
        <f>COUNTIF(Area_v1HERTSA,$E43)</f>
        <v>0</v>
      </c>
      <c r="O43" s="547">
        <f>COUNTIF(Area_v2HERTSA,$E43)</f>
        <v>0</v>
      </c>
      <c r="P43" s="547">
        <f>COUNTIF(Area_v3HERTSA,$E43)</f>
        <v>0</v>
      </c>
      <c r="Q43" s="402">
        <f>COUNTIF(Area_v4HERTSA,$E43)</f>
        <v>0</v>
      </c>
      <c r="R43" s="402">
        <f>COUNTIF(Area_v51HERTSA,$E43)</f>
        <v>0</v>
      </c>
      <c r="S43" s="402">
        <f>COUNTIF(Area_v52HERTSA,$E43)</f>
        <v>0</v>
      </c>
      <c r="T43" s="402">
        <f>COUNTIF(Area_v53HERTSA,$E43)</f>
        <v>0</v>
      </c>
      <c r="U43" s="402">
        <f>COUNTIF(Area_v1TSA,$E43)</f>
        <v>0</v>
      </c>
      <c r="V43" s="402">
        <f>COUNTIF(Area_v2TSA,$E43)</f>
        <v>0</v>
      </c>
      <c r="W43" s="402">
        <f>COUNTIF(Area_v3TSA,$E43)</f>
        <v>0</v>
      </c>
      <c r="X43" s="402">
        <f>COUNTIF(Area_v4TSA,$E43)</f>
        <v>0</v>
      </c>
      <c r="Y43" s="402">
        <f>COUNTIF(Area_v5TSA,$E43)</f>
        <v>0</v>
      </c>
      <c r="Z43" s="402">
        <f>COUNTIF(Area_v6TSA,$E43)</f>
        <v>0</v>
      </c>
      <c r="AA43" s="402">
        <f>COUNTIF(Area_v1TSATHA,$E43)</f>
        <v>0</v>
      </c>
      <c r="AB43" s="402">
        <f>COUNTIF(Area_v2TSATHA,$E43)</f>
        <v>0</v>
      </c>
      <c r="AC43" s="402">
        <f>COUNTIF(Area_v3TSATHA,$E43)</f>
        <v>0</v>
      </c>
      <c r="AD43" s="402">
        <f>COUNTIF(Area_v4THAHOLON,$E43)</f>
        <v>0</v>
      </c>
      <c r="AE43" s="402">
        <f>COUNTIF(Area_v5THAHOLON,$E43)</f>
        <v>0</v>
      </c>
    </row>
    <row r="44" spans="1:31" ht="14.25" customHeight="1">
      <c r="A44" s="158" t="s">
        <v>2465</v>
      </c>
      <c r="B44" s="158" t="s">
        <v>2466</v>
      </c>
      <c r="C44" s="165">
        <f>SUM(F44:AE44)</f>
        <v>0</v>
      </c>
      <c r="D44" s="44"/>
      <c r="E44" s="160" t="s">
        <v>2465</v>
      </c>
      <c r="F44" s="547">
        <f>COUNTIF(Area_v1RISHER,$E44)</f>
        <v>0</v>
      </c>
      <c r="G44" s="547">
        <f>COUNTIF(Area_v2RISHER,$E44)</f>
        <v>0</v>
      </c>
      <c r="H44" s="547">
        <f>COUNTIF(Area_v1HER,$E44)</f>
        <v>0</v>
      </c>
      <c r="I44" s="557">
        <f>COUNTIF(Area_v2HER,$E44)</f>
        <v>0</v>
      </c>
      <c r="J44" s="547">
        <f>COUNTIF(Area_v3HER,$E44)</f>
        <v>0</v>
      </c>
      <c r="K44" s="547">
        <f>COUNTIF(Area_v4HER,$E44)</f>
        <v>0</v>
      </c>
      <c r="L44" s="547">
        <f>COUNTIF(Area_v5HER,$E44)</f>
        <v>0</v>
      </c>
      <c r="M44" s="557">
        <f>COUNTIF(Area_v6HER,$E44)</f>
        <v>0</v>
      </c>
      <c r="N44" s="547">
        <f>COUNTIF(Area_v1HERTSA,$E44)</f>
        <v>0</v>
      </c>
      <c r="O44" s="547">
        <f>COUNTIF(Area_v2HERTSA,$E44)</f>
        <v>0</v>
      </c>
      <c r="P44" s="547">
        <f>COUNTIF(Area_v3HERTSA,$E44)</f>
        <v>0</v>
      </c>
      <c r="Q44" s="402">
        <f>COUNTIF(Area_v4HERTSA,$E44)</f>
        <v>0</v>
      </c>
      <c r="R44" s="402">
        <f>COUNTIF(Area_v51HERTSA,$E44)</f>
        <v>0</v>
      </c>
      <c r="S44" s="402">
        <f>COUNTIF(Area_v52HERTSA,$E44)</f>
        <v>0</v>
      </c>
      <c r="T44" s="402">
        <f>COUNTIF(Area_v53HERTSA,$E44)</f>
        <v>0</v>
      </c>
      <c r="U44" s="402">
        <f>COUNTIF(Area_v1TSA,$E44)</f>
        <v>0</v>
      </c>
      <c r="V44" s="402">
        <f>COUNTIF(Area_v2TSA,$E44)</f>
        <v>0</v>
      </c>
      <c r="W44" s="402">
        <f>COUNTIF(Area_v3TSA,$E44)</f>
        <v>0</v>
      </c>
      <c r="X44" s="402">
        <f>COUNTIF(Area_v4TSA,$E44)</f>
        <v>0</v>
      </c>
      <c r="Y44" s="402">
        <f>COUNTIF(Area_v5TSA,$E44)</f>
        <v>0</v>
      </c>
      <c r="Z44" s="402">
        <f>COUNTIF(Area_v6TSA,$E44)</f>
        <v>0</v>
      </c>
      <c r="AA44" s="402">
        <f>COUNTIF(Area_v1TSATHA,$E44)</f>
        <v>0</v>
      </c>
      <c r="AB44" s="402">
        <f>COUNTIF(Area_v2TSATHA,$E44)</f>
        <v>0</v>
      </c>
      <c r="AC44" s="402">
        <f>COUNTIF(Area_v3TSATHA,$E44)</f>
        <v>0</v>
      </c>
      <c r="AD44" s="402">
        <f>COUNTIF(Area_v4THAHOLON,$E44)</f>
        <v>0</v>
      </c>
      <c r="AE44" s="402">
        <f>COUNTIF(Area_v5THAHOLON,$E44)</f>
        <v>0</v>
      </c>
    </row>
    <row r="45" spans="1:31" ht="14.25" customHeight="1">
      <c r="A45"/>
      <c r="B45" s="43"/>
      <c r="C45" s="44"/>
      <c r="D45" s="44"/>
      <c r="E45" s="400"/>
      <c r="F45" s="400"/>
      <c r="I45" s="42"/>
    </row>
    <row r="46" spans="1:31" ht="14.25" customHeight="1">
      <c r="A46" s="158" t="s">
        <v>2467</v>
      </c>
      <c r="B46" s="158" t="s">
        <v>2468</v>
      </c>
      <c r="C46" s="165">
        <f>SUM(F46:AE46)</f>
        <v>0</v>
      </c>
      <c r="D46" s="43"/>
      <c r="E46" s="160" t="s">
        <v>2467</v>
      </c>
      <c r="F46" s="547">
        <f>COUNTIF(Area_v1RISHER,$E46)</f>
        <v>0</v>
      </c>
      <c r="G46" s="547">
        <f>COUNTIF(Area_v2RISHER,$E46)</f>
        <v>0</v>
      </c>
      <c r="H46" s="547">
        <f>COUNTIF(Area_v1HER,$E46)</f>
        <v>0</v>
      </c>
      <c r="I46" s="557">
        <f>COUNTIF(Area_v2HER,$E46)</f>
        <v>0</v>
      </c>
      <c r="J46" s="547">
        <f>COUNTIF(Area_v3HER,$E46)</f>
        <v>0</v>
      </c>
      <c r="K46" s="547">
        <f>COUNTIF(Area_v4HER,$E46)</f>
        <v>0</v>
      </c>
      <c r="L46" s="547">
        <f>COUNTIF(Area_v5HER,$E46)</f>
        <v>0</v>
      </c>
      <c r="M46" s="557">
        <f>COUNTIF(Area_v6HER,$E46)</f>
        <v>0</v>
      </c>
      <c r="N46" s="547">
        <f>COUNTIF(Area_v1HERTSA,$E46)</f>
        <v>0</v>
      </c>
      <c r="O46" s="547">
        <f>COUNTIF(Area_v2HERTSA,$E46)</f>
        <v>0</v>
      </c>
      <c r="P46" s="547">
        <f>COUNTIF(Area_v3HERTSA,$E46)</f>
        <v>0</v>
      </c>
      <c r="Q46" s="402">
        <f>COUNTIF(Area_v4HERTSA,$E46)</f>
        <v>0</v>
      </c>
      <c r="R46" s="402">
        <f>COUNTIF(Area_v51HERTSA,$E46)</f>
        <v>0</v>
      </c>
      <c r="S46" s="402">
        <f>COUNTIF(Area_v52HERTSA,$E46)</f>
        <v>0</v>
      </c>
      <c r="T46" s="402">
        <f>COUNTIF(Area_v53HERTSA,$E46)</f>
        <v>0</v>
      </c>
      <c r="U46" s="402">
        <f>COUNTIF(Area_v1TSA,$E46)</f>
        <v>0</v>
      </c>
      <c r="V46" s="402">
        <f>COUNTIF(Area_v2TSA,$E46)</f>
        <v>0</v>
      </c>
      <c r="W46" s="402">
        <f>COUNTIF(Area_v3TSA,$E46)</f>
        <v>0</v>
      </c>
      <c r="X46" s="402">
        <f>COUNTIF(Area_v4TSA,$E46)</f>
        <v>0</v>
      </c>
      <c r="Y46" s="402">
        <f>COUNTIF(Area_v5TSA,$E46)</f>
        <v>0</v>
      </c>
      <c r="Z46" s="402">
        <f>COUNTIF(Area_v6TSA,$E46)</f>
        <v>0</v>
      </c>
      <c r="AA46" s="402">
        <f>COUNTIF(Area_v1TSATHA,$E46)</f>
        <v>0</v>
      </c>
      <c r="AB46" s="402">
        <f>COUNTIF(Area_v2TSATHA,$E46)</f>
        <v>0</v>
      </c>
      <c r="AC46" s="402">
        <f>COUNTIF(Area_v3TSATHA,$E46)</f>
        <v>0</v>
      </c>
      <c r="AD46" s="402">
        <f>COUNTIF(Area_v4THAHOLON,$E46)</f>
        <v>0</v>
      </c>
      <c r="AE46" s="402">
        <f>COUNTIF(Area_v5THAHOLON,$E46)</f>
        <v>0</v>
      </c>
    </row>
    <row r="47" spans="1:31" ht="14.25" customHeight="1">
      <c r="A47" s="158" t="s">
        <v>2469</v>
      </c>
      <c r="B47" s="158" t="s">
        <v>2470</v>
      </c>
      <c r="C47" s="165">
        <f>SUM(F47:AE47)</f>
        <v>0</v>
      </c>
      <c r="D47"/>
      <c r="E47" s="160" t="s">
        <v>2469</v>
      </c>
      <c r="F47" s="547">
        <f>COUNTIF(Area_v1RISHER,$E47)</f>
        <v>0</v>
      </c>
      <c r="G47" s="547">
        <f>COUNTIF(Area_v2RISHER,$E47)</f>
        <v>0</v>
      </c>
      <c r="H47" s="547">
        <f>COUNTIF(Area_v1HER,$E47)</f>
        <v>0</v>
      </c>
      <c r="I47" s="557">
        <f>COUNTIF(Area_v2HER,$E47)</f>
        <v>0</v>
      </c>
      <c r="J47" s="547">
        <f>COUNTIF(Area_v3HER,$E47)</f>
        <v>0</v>
      </c>
      <c r="K47" s="547">
        <f>COUNTIF(Area_v4HER,$E47)</f>
        <v>0</v>
      </c>
      <c r="L47" s="547">
        <f>COUNTIF(Area_v5HER,$E47)</f>
        <v>0</v>
      </c>
      <c r="M47" s="557">
        <f>COUNTIF(Area_v6HER,$E47)</f>
        <v>0</v>
      </c>
      <c r="N47" s="547">
        <f>COUNTIF(Area_v1HERTSA,$E47)</f>
        <v>0</v>
      </c>
      <c r="O47" s="547">
        <f>COUNTIF(Area_v2HERTSA,$E47)</f>
        <v>0</v>
      </c>
      <c r="P47" s="547">
        <f>COUNTIF(Area_v3HERTSA,$E47)</f>
        <v>0</v>
      </c>
      <c r="Q47" s="402">
        <f>COUNTIF(Area_v4HERTSA,$E47)</f>
        <v>0</v>
      </c>
      <c r="R47" s="402">
        <f>COUNTIF(Area_v51HERTSA,$E47)</f>
        <v>0</v>
      </c>
      <c r="S47" s="402">
        <f>COUNTIF(Area_v52HERTSA,$E47)</f>
        <v>0</v>
      </c>
      <c r="T47" s="402">
        <f>COUNTIF(Area_v53HERTSA,$E47)</f>
        <v>0</v>
      </c>
      <c r="U47" s="402">
        <f>COUNTIF(Area_v1TSA,$E47)</f>
        <v>0</v>
      </c>
      <c r="V47" s="402">
        <f>COUNTIF(Area_v2TSA,$E47)</f>
        <v>0</v>
      </c>
      <c r="W47" s="402">
        <f>COUNTIF(Area_v3TSA,$E47)</f>
        <v>0</v>
      </c>
      <c r="X47" s="402">
        <f>COUNTIF(Area_v4TSA,$E47)</f>
        <v>0</v>
      </c>
      <c r="Y47" s="402">
        <f>COUNTIF(Area_v5TSA,$E47)</f>
        <v>0</v>
      </c>
      <c r="Z47" s="402">
        <f>COUNTIF(Area_v6TSA,$E47)</f>
        <v>0</v>
      </c>
      <c r="AA47" s="402">
        <f>COUNTIF(Area_v1TSATHA,$E47)</f>
        <v>0</v>
      </c>
      <c r="AB47" s="402">
        <f>COUNTIF(Area_v2TSATHA,$E47)</f>
        <v>0</v>
      </c>
      <c r="AC47" s="402">
        <f>COUNTIF(Area_v3TSATHA,$E47)</f>
        <v>0</v>
      </c>
      <c r="AD47" s="402">
        <f>COUNTIF(Area_v4THAHOLON,$E47)</f>
        <v>0</v>
      </c>
      <c r="AE47" s="402">
        <f>COUNTIF(Area_v5THAHOLON,$E47)</f>
        <v>0</v>
      </c>
    </row>
    <row r="48" spans="1:31" ht="14.25" customHeight="1">
      <c r="A48"/>
      <c r="B48" s="43"/>
      <c r="C48" s="44"/>
      <c r="D48" s="44"/>
      <c r="E48" s="400"/>
      <c r="F48" s="400"/>
      <c r="I48" s="42"/>
    </row>
    <row r="49" spans="1:31">
      <c r="A49" s="158" t="s">
        <v>2471</v>
      </c>
      <c r="B49" s="158" t="s">
        <v>2472</v>
      </c>
      <c r="C49" s="165">
        <f>SUM(F49:AE49)</f>
        <v>0</v>
      </c>
      <c r="D49" s="44"/>
      <c r="E49" s="160" t="s">
        <v>2471</v>
      </c>
      <c r="F49" s="547">
        <f>COUNTIF(Area_v1RISHER,$E49)</f>
        <v>0</v>
      </c>
      <c r="G49" s="547">
        <f>COUNTIF(Area_v2RISHER,$E49)</f>
        <v>0</v>
      </c>
      <c r="H49" s="547">
        <f>COUNTIF(Area_v1HER,$E49)</f>
        <v>0</v>
      </c>
      <c r="I49" s="557">
        <f>COUNTIF(Area_v2HER,$E49)</f>
        <v>0</v>
      </c>
      <c r="J49" s="547">
        <f>COUNTIF(Area_v3HER,$E49)</f>
        <v>0</v>
      </c>
      <c r="K49" s="547">
        <f>COUNTIF(Area_v4HER,$E49)</f>
        <v>0</v>
      </c>
      <c r="L49" s="547">
        <f>COUNTIF(Area_v5HER,$E49)</f>
        <v>0</v>
      </c>
      <c r="M49" s="557">
        <f>COUNTIF(Area_v6HER,$E49)</f>
        <v>0</v>
      </c>
      <c r="N49" s="547">
        <f>COUNTIF(Area_v1HERTSA,$E49)</f>
        <v>0</v>
      </c>
      <c r="O49" s="547">
        <f>COUNTIF(Area_v2HERTSA,$E49)</f>
        <v>0</v>
      </c>
      <c r="P49" s="547">
        <f>COUNTIF(Area_v3HERTSA,$E49)</f>
        <v>0</v>
      </c>
      <c r="Q49" s="402">
        <f>COUNTIF(Area_v4HERTSA,$E49)</f>
        <v>0</v>
      </c>
      <c r="R49" s="402">
        <f>COUNTIF(Area_v51HERTSA,$E49)</f>
        <v>0</v>
      </c>
      <c r="S49" s="402">
        <f>COUNTIF(Area_v52HERTSA,$E49)</f>
        <v>0</v>
      </c>
      <c r="T49" s="402">
        <f>COUNTIF(Area_v53HERTSA,$E49)</f>
        <v>0</v>
      </c>
      <c r="U49" s="402">
        <f>COUNTIF(Area_v1TSA,$E49)</f>
        <v>0</v>
      </c>
      <c r="V49" s="402">
        <f>COUNTIF(Area_v2TSA,$E49)</f>
        <v>0</v>
      </c>
      <c r="W49" s="402">
        <f>COUNTIF(Area_v3TSA,$E49)</f>
        <v>0</v>
      </c>
      <c r="X49" s="402">
        <f>COUNTIF(Area_v4TSA,$E49)</f>
        <v>0</v>
      </c>
      <c r="Y49" s="402">
        <f>COUNTIF(Area_v5TSA,$E49)</f>
        <v>0</v>
      </c>
      <c r="Z49" s="402">
        <f>COUNTIF(Area_v6TSA,$E49)</f>
        <v>0</v>
      </c>
      <c r="AA49" s="402">
        <f>COUNTIF(Area_v1TSATHA,$E49)</f>
        <v>0</v>
      </c>
      <c r="AB49" s="402">
        <f>COUNTIF(Area_v2TSATHA,$E49)</f>
        <v>0</v>
      </c>
      <c r="AC49" s="402">
        <f>COUNTIF(Area_v3TSATHA,$E49)</f>
        <v>0</v>
      </c>
      <c r="AD49" s="402">
        <f>COUNTIF(Area_v4THAHOLON,$E49)</f>
        <v>0</v>
      </c>
      <c r="AE49" s="402">
        <f>COUNTIF(Area_v5THAHOLON,$E49)</f>
        <v>0</v>
      </c>
    </row>
    <row r="50" spans="1:31">
      <c r="A50" s="158" t="s">
        <v>2473</v>
      </c>
      <c r="B50" s="158" t="s">
        <v>2474</v>
      </c>
      <c r="C50" s="165">
        <f>SUM(F50:AE50)</f>
        <v>0</v>
      </c>
      <c r="D50" s="44"/>
      <c r="E50" s="160" t="s">
        <v>2473</v>
      </c>
      <c r="F50" s="547">
        <f>COUNTIF(Area_v1RISHER,$E50)</f>
        <v>0</v>
      </c>
      <c r="G50" s="547">
        <f>COUNTIF(Area_v2RISHER,$E50)</f>
        <v>0</v>
      </c>
      <c r="H50" s="547">
        <f>COUNTIF(Area_v1HER,$E50)</f>
        <v>0</v>
      </c>
      <c r="I50" s="557">
        <f>COUNTIF(Area_v2HER,$E50)</f>
        <v>0</v>
      </c>
      <c r="J50" s="547">
        <f>COUNTIF(Area_v3HER,$E50)</f>
        <v>0</v>
      </c>
      <c r="K50" s="547">
        <f>COUNTIF(Area_v4HER,$E50)</f>
        <v>0</v>
      </c>
      <c r="L50" s="547">
        <f>COUNTIF(Area_v5HER,$E50)</f>
        <v>0</v>
      </c>
      <c r="M50" s="557">
        <f>COUNTIF(Area_v6HER,$E50)</f>
        <v>0</v>
      </c>
      <c r="N50" s="547">
        <f>COUNTIF(Area_v1HERTSA,$E50)</f>
        <v>0</v>
      </c>
      <c r="O50" s="547">
        <f>COUNTIF(Area_v2HERTSA,$E50)</f>
        <v>0</v>
      </c>
      <c r="P50" s="547">
        <f>COUNTIF(Area_v3HERTSA,$E50)</f>
        <v>0</v>
      </c>
      <c r="Q50" s="402">
        <f>COUNTIF(Area_v4HERTSA,$E50)</f>
        <v>0</v>
      </c>
      <c r="R50" s="402">
        <f>COUNTIF(Area_v51HERTSA,$E50)</f>
        <v>0</v>
      </c>
      <c r="S50" s="402">
        <f>COUNTIF(Area_v52HERTSA,$E50)</f>
        <v>0</v>
      </c>
      <c r="T50" s="402">
        <f>COUNTIF(Area_v53HERTSA,$E50)</f>
        <v>0</v>
      </c>
      <c r="U50" s="402">
        <f>COUNTIF(Area_v1TSA,$E50)</f>
        <v>0</v>
      </c>
      <c r="V50" s="402">
        <f>COUNTIF(Area_v2TSA,$E50)</f>
        <v>0</v>
      </c>
      <c r="W50" s="402">
        <f>COUNTIF(Area_v3TSA,$E50)</f>
        <v>0</v>
      </c>
      <c r="X50" s="402">
        <f>COUNTIF(Area_v4TSA,$E50)</f>
        <v>0</v>
      </c>
      <c r="Y50" s="402">
        <f>COUNTIF(Area_v5TSA,$E50)</f>
        <v>0</v>
      </c>
      <c r="Z50" s="402">
        <f>COUNTIF(Area_v6TSA,$E50)</f>
        <v>0</v>
      </c>
      <c r="AA50" s="402">
        <f>COUNTIF(Area_v1TSATHA,$E50)</f>
        <v>0</v>
      </c>
      <c r="AB50" s="402">
        <f>COUNTIF(Area_v2TSATHA,$E50)</f>
        <v>0</v>
      </c>
      <c r="AC50" s="402">
        <f>COUNTIF(Area_v3TSATHA,$E50)</f>
        <v>0</v>
      </c>
      <c r="AD50" s="402">
        <f>COUNTIF(Area_v4THAHOLON,$E50)</f>
        <v>0</v>
      </c>
      <c r="AE50" s="402">
        <f>COUNTIF(Area_v5THAHOLON,$E50)</f>
        <v>0</v>
      </c>
    </row>
    <row r="51" spans="1:31">
      <c r="A51" s="158" t="s">
        <v>2475</v>
      </c>
      <c r="B51" s="158" t="s">
        <v>2476</v>
      </c>
      <c r="C51" s="165">
        <f>SUM(F51:AE51)</f>
        <v>0</v>
      </c>
      <c r="D51" s="44"/>
      <c r="E51" s="160" t="s">
        <v>2475</v>
      </c>
      <c r="F51" s="547">
        <f>COUNTIF(Area_v1RISHER,$E51)</f>
        <v>0</v>
      </c>
      <c r="G51" s="547">
        <f>COUNTIF(Area_v2RISHER,$E51)</f>
        <v>0</v>
      </c>
      <c r="H51" s="547">
        <f>COUNTIF(Area_v1HER,$E51)</f>
        <v>0</v>
      </c>
      <c r="I51" s="557">
        <f>COUNTIF(Area_v2HER,$E51)</f>
        <v>0</v>
      </c>
      <c r="J51" s="547">
        <f>COUNTIF(Area_v3HER,$E51)</f>
        <v>0</v>
      </c>
      <c r="K51" s="547">
        <f>COUNTIF(Area_v4HER,$E51)</f>
        <v>0</v>
      </c>
      <c r="L51" s="547">
        <f>COUNTIF(Area_v5HER,$E51)</f>
        <v>0</v>
      </c>
      <c r="M51" s="557">
        <f>COUNTIF(Area_v6HER,$E51)</f>
        <v>0</v>
      </c>
      <c r="N51" s="547">
        <f>COUNTIF(Area_v1HERTSA,$E51)</f>
        <v>0</v>
      </c>
      <c r="O51" s="547">
        <f>COUNTIF(Area_v2HERTSA,$E51)</f>
        <v>0</v>
      </c>
      <c r="P51" s="547">
        <f>COUNTIF(Area_v3HERTSA,$E51)</f>
        <v>0</v>
      </c>
      <c r="Q51" s="402">
        <f>COUNTIF(Area_v4HERTSA,$E51)</f>
        <v>0</v>
      </c>
      <c r="R51" s="402">
        <f>COUNTIF(Area_v51HERTSA,$E51)</f>
        <v>0</v>
      </c>
      <c r="S51" s="402">
        <f>COUNTIF(Area_v52HERTSA,$E51)</f>
        <v>0</v>
      </c>
      <c r="T51" s="402">
        <f>COUNTIF(Area_v53HERTSA,$E51)</f>
        <v>0</v>
      </c>
      <c r="U51" s="402">
        <f>COUNTIF(Area_v1TSA,$E51)</f>
        <v>0</v>
      </c>
      <c r="V51" s="402">
        <f>COUNTIF(Area_v2TSA,$E51)</f>
        <v>0</v>
      </c>
      <c r="W51" s="402">
        <f>COUNTIF(Area_v3TSA,$E51)</f>
        <v>0</v>
      </c>
      <c r="X51" s="402">
        <f>COUNTIF(Area_v4TSA,$E51)</f>
        <v>0</v>
      </c>
      <c r="Y51" s="402">
        <f>COUNTIF(Area_v5TSA,$E51)</f>
        <v>0</v>
      </c>
      <c r="Z51" s="402">
        <f>COUNTIF(Area_v6TSA,$E51)</f>
        <v>0</v>
      </c>
      <c r="AA51" s="402">
        <f>COUNTIF(Area_v1TSATHA,$E51)</f>
        <v>0</v>
      </c>
      <c r="AB51" s="402">
        <f>COUNTIF(Area_v2TSATHA,$E51)</f>
        <v>0</v>
      </c>
      <c r="AC51" s="402">
        <f>COUNTIF(Area_v3TSATHA,$E51)</f>
        <v>0</v>
      </c>
      <c r="AD51" s="402">
        <f>COUNTIF(Area_v4THAHOLON,$E51)</f>
        <v>0</v>
      </c>
      <c r="AE51" s="402">
        <f>COUNTIF(Area_v5THAHOLON,$E51)</f>
        <v>0</v>
      </c>
    </row>
    <row r="52" spans="1:31">
      <c r="B52" s="43"/>
      <c r="C52" s="44"/>
      <c r="D52" s="44"/>
      <c r="I52" s="42"/>
    </row>
    <row r="53" spans="1:31" ht="13.5" customHeight="1">
      <c r="A53" s="158" t="s">
        <v>2812</v>
      </c>
      <c r="B53" s="158" t="s">
        <v>2823</v>
      </c>
      <c r="C53" s="165">
        <f>SUM(F53:AE53)</f>
        <v>0</v>
      </c>
      <c r="D53" s="44"/>
      <c r="E53" s="158" t="s">
        <v>2812</v>
      </c>
      <c r="F53" s="547">
        <f t="shared" ref="F53:F60" si="0">COUNTIF(Area_v1RISHER,$E53)</f>
        <v>0</v>
      </c>
      <c r="G53" s="547">
        <f t="shared" ref="G53:G60" si="1">COUNTIF(Area_v2RISHER,$E53)</f>
        <v>0</v>
      </c>
      <c r="H53" s="547">
        <f t="shared" ref="H53:H60" si="2">COUNTIF(Area_v1HER,$E53)</f>
        <v>0</v>
      </c>
      <c r="I53" s="557">
        <f t="shared" ref="I53:I60" si="3">COUNTIF(Area_v2HER,$E53)</f>
        <v>0</v>
      </c>
      <c r="J53" s="547">
        <f t="shared" ref="J53:J60" si="4">COUNTIF(Area_v3HER,$E53)</f>
        <v>0</v>
      </c>
      <c r="K53" s="547">
        <f t="shared" ref="K53:K60" si="5">COUNTIF(Area_v4HER,$E53)</f>
        <v>0</v>
      </c>
      <c r="L53" s="547">
        <f t="shared" ref="L53:L60" si="6">COUNTIF(Area_v5HER,$E53)</f>
        <v>0</v>
      </c>
      <c r="M53" s="557">
        <f t="shared" ref="M53:M60" si="7">COUNTIF(Area_v6HER,$E53)</f>
        <v>0</v>
      </c>
      <c r="N53" s="547">
        <f t="shared" ref="N53:N60" si="8">COUNTIF(Area_v1HERTSA,$E53)</f>
        <v>0</v>
      </c>
      <c r="O53" s="547">
        <f t="shared" ref="O53:O60" si="9">COUNTIF(Area_v2HERTSA,$E53)</f>
        <v>0</v>
      </c>
      <c r="P53" s="547">
        <f t="shared" ref="P53:P60" si="10">COUNTIF(Area_v3HERTSA,$E53)</f>
        <v>0</v>
      </c>
      <c r="Q53" s="402">
        <f t="shared" ref="Q53:Q60" si="11">COUNTIF(Area_v4HERTSA,$E53)</f>
        <v>0</v>
      </c>
      <c r="R53" s="402">
        <f t="shared" ref="R53:R60" si="12">COUNTIF(Area_v51HERTSA,$E53)</f>
        <v>0</v>
      </c>
      <c r="S53" s="402">
        <f t="shared" ref="S53:S60" si="13">COUNTIF(Area_v52HERTSA,$E53)</f>
        <v>0</v>
      </c>
      <c r="T53" s="402">
        <f t="shared" ref="T53:T60" si="14">COUNTIF(Area_v53HERTSA,$E53)</f>
        <v>0</v>
      </c>
      <c r="U53" s="402">
        <f t="shared" ref="U53:U60" si="15">COUNTIF(Area_v1TSA,$E53)</f>
        <v>0</v>
      </c>
      <c r="V53" s="402">
        <f t="shared" ref="V53:V60" si="16">COUNTIF(Area_v2TSA,$E53)</f>
        <v>0</v>
      </c>
      <c r="W53" s="402">
        <f t="shared" ref="W53:W60" si="17">COUNTIF(Area_v3TSA,$E53)</f>
        <v>0</v>
      </c>
      <c r="X53" s="402">
        <f t="shared" ref="X53:X60" si="18">COUNTIF(Area_v4TSA,$E53)</f>
        <v>0</v>
      </c>
      <c r="Y53" s="402">
        <f t="shared" ref="Y53:Y60" si="19">COUNTIF(Area_v5TSA,$E53)</f>
        <v>0</v>
      </c>
      <c r="Z53" s="402">
        <f t="shared" ref="Z53:Z60" si="20">COUNTIF(Area_v6TSA,$E53)</f>
        <v>0</v>
      </c>
      <c r="AA53" s="402">
        <f t="shared" ref="AA53:AA60" si="21">COUNTIF(Area_v1TSATHA,$E53)</f>
        <v>0</v>
      </c>
      <c r="AB53" s="402">
        <f t="shared" ref="AB53:AB60" si="22">COUNTIF(Area_v2TSATHA,$E53)</f>
        <v>0</v>
      </c>
      <c r="AC53" s="402">
        <f t="shared" ref="AC53:AC60" si="23">COUNTIF(Area_v3TSATHA,$E53)</f>
        <v>0</v>
      </c>
      <c r="AD53" s="402">
        <f t="shared" ref="AD53:AD60" si="24">COUNTIF(Area_v4THAHOLON,$E53)</f>
        <v>0</v>
      </c>
      <c r="AE53" s="402">
        <f t="shared" ref="AE53:AE60" si="25">COUNTIF(Area_v5THAHOLON,$E53)</f>
        <v>0</v>
      </c>
    </row>
    <row r="54" spans="1:31" ht="13.5" customHeight="1">
      <c r="A54" s="158" t="s">
        <v>2813</v>
      </c>
      <c r="B54" s="158" t="s">
        <v>2824</v>
      </c>
      <c r="C54" s="165">
        <f>SUM(F54:AE54)</f>
        <v>0</v>
      </c>
      <c r="D54" s="44"/>
      <c r="E54" s="158" t="s">
        <v>2813</v>
      </c>
      <c r="F54" s="547">
        <f t="shared" si="0"/>
        <v>0</v>
      </c>
      <c r="G54" s="547">
        <f t="shared" si="1"/>
        <v>0</v>
      </c>
      <c r="H54" s="547">
        <f t="shared" si="2"/>
        <v>0</v>
      </c>
      <c r="I54" s="557">
        <f t="shared" si="3"/>
        <v>0</v>
      </c>
      <c r="J54" s="547">
        <f t="shared" si="4"/>
        <v>0</v>
      </c>
      <c r="K54" s="547">
        <f t="shared" si="5"/>
        <v>0</v>
      </c>
      <c r="L54" s="547">
        <f t="shared" si="6"/>
        <v>0</v>
      </c>
      <c r="M54" s="557">
        <f t="shared" si="7"/>
        <v>0</v>
      </c>
      <c r="N54" s="547">
        <f t="shared" si="8"/>
        <v>0</v>
      </c>
      <c r="O54" s="547">
        <f t="shared" si="9"/>
        <v>0</v>
      </c>
      <c r="P54" s="547">
        <f t="shared" si="10"/>
        <v>0</v>
      </c>
      <c r="Q54" s="402">
        <f t="shared" si="11"/>
        <v>0</v>
      </c>
      <c r="R54" s="402">
        <f t="shared" si="12"/>
        <v>0</v>
      </c>
      <c r="S54" s="402">
        <f t="shared" si="13"/>
        <v>0</v>
      </c>
      <c r="T54" s="402">
        <f t="shared" si="14"/>
        <v>0</v>
      </c>
      <c r="U54" s="402">
        <f t="shared" si="15"/>
        <v>0</v>
      </c>
      <c r="V54" s="402">
        <f t="shared" si="16"/>
        <v>0</v>
      </c>
      <c r="W54" s="402">
        <f t="shared" si="17"/>
        <v>0</v>
      </c>
      <c r="X54" s="402">
        <f t="shared" si="18"/>
        <v>0</v>
      </c>
      <c r="Y54" s="402">
        <f t="shared" si="19"/>
        <v>0</v>
      </c>
      <c r="Z54" s="402">
        <f t="shared" si="20"/>
        <v>0</v>
      </c>
      <c r="AA54" s="402">
        <f t="shared" si="21"/>
        <v>0</v>
      </c>
      <c r="AB54" s="402">
        <f t="shared" si="22"/>
        <v>0</v>
      </c>
      <c r="AC54" s="402">
        <f t="shared" si="23"/>
        <v>0</v>
      </c>
      <c r="AD54" s="402">
        <f t="shared" si="24"/>
        <v>0</v>
      </c>
      <c r="AE54" s="402">
        <f t="shared" si="25"/>
        <v>0</v>
      </c>
    </row>
    <row r="55" spans="1:31" ht="13.25" customHeight="1">
      <c r="A55" s="158" t="s">
        <v>2819</v>
      </c>
      <c r="B55" s="158" t="s">
        <v>2825</v>
      </c>
      <c r="C55" s="165">
        <f t="shared" ref="C55:C60" si="26">SUM(F55:AE55)</f>
        <v>0</v>
      </c>
      <c r="D55" s="44"/>
      <c r="E55" s="158" t="s">
        <v>2819</v>
      </c>
      <c r="F55" s="547">
        <f t="shared" si="0"/>
        <v>0</v>
      </c>
      <c r="G55" s="547">
        <f t="shared" si="1"/>
        <v>0</v>
      </c>
      <c r="H55" s="547">
        <f t="shared" si="2"/>
        <v>0</v>
      </c>
      <c r="I55" s="557">
        <f t="shared" si="3"/>
        <v>0</v>
      </c>
      <c r="J55" s="547">
        <f t="shared" si="4"/>
        <v>0</v>
      </c>
      <c r="K55" s="547">
        <f t="shared" si="5"/>
        <v>0</v>
      </c>
      <c r="L55" s="547">
        <f t="shared" si="6"/>
        <v>0</v>
      </c>
      <c r="M55" s="557">
        <f t="shared" si="7"/>
        <v>0</v>
      </c>
      <c r="N55" s="547">
        <f t="shared" si="8"/>
        <v>0</v>
      </c>
      <c r="O55" s="547">
        <f t="shared" si="9"/>
        <v>0</v>
      </c>
      <c r="P55" s="547">
        <f t="shared" si="10"/>
        <v>0</v>
      </c>
      <c r="Q55" s="402">
        <f t="shared" si="11"/>
        <v>0</v>
      </c>
      <c r="R55" s="402">
        <f t="shared" si="12"/>
        <v>0</v>
      </c>
      <c r="S55" s="402">
        <f t="shared" si="13"/>
        <v>0</v>
      </c>
      <c r="T55" s="402">
        <f t="shared" si="14"/>
        <v>0</v>
      </c>
      <c r="U55" s="402">
        <f t="shared" si="15"/>
        <v>0</v>
      </c>
      <c r="V55" s="402">
        <f t="shared" si="16"/>
        <v>0</v>
      </c>
      <c r="W55" s="402">
        <f t="shared" si="17"/>
        <v>0</v>
      </c>
      <c r="X55" s="402">
        <f t="shared" si="18"/>
        <v>0</v>
      </c>
      <c r="Y55" s="402">
        <f t="shared" si="19"/>
        <v>0</v>
      </c>
      <c r="Z55" s="402">
        <f t="shared" si="20"/>
        <v>0</v>
      </c>
      <c r="AA55" s="402">
        <f t="shared" si="21"/>
        <v>0</v>
      </c>
      <c r="AB55" s="402">
        <f t="shared" si="22"/>
        <v>0</v>
      </c>
      <c r="AC55" s="402">
        <f t="shared" si="23"/>
        <v>0</v>
      </c>
      <c r="AD55" s="402">
        <f t="shared" si="24"/>
        <v>0</v>
      </c>
      <c r="AE55" s="402">
        <f t="shared" si="25"/>
        <v>0</v>
      </c>
    </row>
    <row r="56" spans="1:31" ht="13.25" customHeight="1">
      <c r="A56" s="158" t="s">
        <v>2822</v>
      </c>
      <c r="B56" s="158" t="s">
        <v>2826</v>
      </c>
      <c r="C56" s="165">
        <f t="shared" si="26"/>
        <v>0</v>
      </c>
      <c r="D56" s="44"/>
      <c r="E56" s="158" t="s">
        <v>2822</v>
      </c>
      <c r="F56" s="547">
        <f t="shared" si="0"/>
        <v>0</v>
      </c>
      <c r="G56" s="547">
        <f t="shared" si="1"/>
        <v>0</v>
      </c>
      <c r="H56" s="547">
        <f t="shared" si="2"/>
        <v>0</v>
      </c>
      <c r="I56" s="557">
        <f t="shared" si="3"/>
        <v>0</v>
      </c>
      <c r="J56" s="547">
        <f t="shared" si="4"/>
        <v>0</v>
      </c>
      <c r="K56" s="547">
        <f t="shared" si="5"/>
        <v>0</v>
      </c>
      <c r="L56" s="547">
        <f t="shared" si="6"/>
        <v>0</v>
      </c>
      <c r="M56" s="557">
        <f t="shared" si="7"/>
        <v>0</v>
      </c>
      <c r="N56" s="547">
        <f t="shared" si="8"/>
        <v>0</v>
      </c>
      <c r="O56" s="547">
        <f t="shared" si="9"/>
        <v>0</v>
      </c>
      <c r="P56" s="547">
        <f t="shared" si="10"/>
        <v>0</v>
      </c>
      <c r="Q56" s="402">
        <f t="shared" si="11"/>
        <v>0</v>
      </c>
      <c r="R56" s="402">
        <f t="shared" si="12"/>
        <v>0</v>
      </c>
      <c r="S56" s="402">
        <f t="shared" si="13"/>
        <v>0</v>
      </c>
      <c r="T56" s="402">
        <f t="shared" si="14"/>
        <v>0</v>
      </c>
      <c r="U56" s="402">
        <f t="shared" si="15"/>
        <v>0</v>
      </c>
      <c r="V56" s="402">
        <f t="shared" si="16"/>
        <v>0</v>
      </c>
      <c r="W56" s="402">
        <f t="shared" si="17"/>
        <v>0</v>
      </c>
      <c r="X56" s="402">
        <f t="shared" si="18"/>
        <v>0</v>
      </c>
      <c r="Y56" s="402">
        <f t="shared" si="19"/>
        <v>0</v>
      </c>
      <c r="Z56" s="402">
        <f t="shared" si="20"/>
        <v>0</v>
      </c>
      <c r="AA56" s="402">
        <f t="shared" si="21"/>
        <v>0</v>
      </c>
      <c r="AB56" s="402">
        <f t="shared" si="22"/>
        <v>0</v>
      </c>
      <c r="AC56" s="402">
        <f t="shared" si="23"/>
        <v>0</v>
      </c>
      <c r="AD56" s="402">
        <f t="shared" si="24"/>
        <v>0</v>
      </c>
      <c r="AE56" s="402">
        <f t="shared" si="25"/>
        <v>0</v>
      </c>
    </row>
    <row r="57" spans="1:31" ht="13.25" customHeight="1">
      <c r="A57" s="158" t="s">
        <v>2815</v>
      </c>
      <c r="B57" s="158" t="s">
        <v>2827</v>
      </c>
      <c r="C57" s="165">
        <f t="shared" si="26"/>
        <v>0</v>
      </c>
      <c r="D57" s="44"/>
      <c r="E57" s="158" t="s">
        <v>2815</v>
      </c>
      <c r="F57" s="547">
        <f t="shared" si="0"/>
        <v>0</v>
      </c>
      <c r="G57" s="547">
        <f t="shared" si="1"/>
        <v>0</v>
      </c>
      <c r="H57" s="547">
        <f t="shared" si="2"/>
        <v>0</v>
      </c>
      <c r="I57" s="557">
        <f t="shared" si="3"/>
        <v>0</v>
      </c>
      <c r="J57" s="547">
        <f t="shared" si="4"/>
        <v>0</v>
      </c>
      <c r="K57" s="547">
        <f t="shared" si="5"/>
        <v>0</v>
      </c>
      <c r="L57" s="547">
        <f t="shared" si="6"/>
        <v>0</v>
      </c>
      <c r="M57" s="557">
        <f t="shared" si="7"/>
        <v>0</v>
      </c>
      <c r="N57" s="547">
        <f t="shared" si="8"/>
        <v>0</v>
      </c>
      <c r="O57" s="547">
        <f t="shared" si="9"/>
        <v>0</v>
      </c>
      <c r="P57" s="547">
        <f t="shared" si="10"/>
        <v>0</v>
      </c>
      <c r="Q57" s="402">
        <f t="shared" si="11"/>
        <v>0</v>
      </c>
      <c r="R57" s="402">
        <f t="shared" si="12"/>
        <v>0</v>
      </c>
      <c r="S57" s="402">
        <f t="shared" si="13"/>
        <v>0</v>
      </c>
      <c r="T57" s="402">
        <f t="shared" si="14"/>
        <v>0</v>
      </c>
      <c r="U57" s="402">
        <f t="shared" si="15"/>
        <v>0</v>
      </c>
      <c r="V57" s="402">
        <f t="shared" si="16"/>
        <v>0</v>
      </c>
      <c r="W57" s="402">
        <f t="shared" si="17"/>
        <v>0</v>
      </c>
      <c r="X57" s="402">
        <f t="shared" si="18"/>
        <v>0</v>
      </c>
      <c r="Y57" s="402">
        <f t="shared" si="19"/>
        <v>0</v>
      </c>
      <c r="Z57" s="402">
        <f t="shared" si="20"/>
        <v>0</v>
      </c>
      <c r="AA57" s="402">
        <f t="shared" si="21"/>
        <v>0</v>
      </c>
      <c r="AB57" s="402">
        <f t="shared" si="22"/>
        <v>0</v>
      </c>
      <c r="AC57" s="402">
        <f t="shared" si="23"/>
        <v>0</v>
      </c>
      <c r="AD57" s="402">
        <f t="shared" si="24"/>
        <v>0</v>
      </c>
      <c r="AE57" s="402">
        <f t="shared" si="25"/>
        <v>0</v>
      </c>
    </row>
    <row r="58" spans="1:31" ht="13.25" customHeight="1">
      <c r="A58" s="158" t="s">
        <v>2814</v>
      </c>
      <c r="B58" s="158" t="s">
        <v>2828</v>
      </c>
      <c r="C58" s="165">
        <f t="shared" si="26"/>
        <v>0</v>
      </c>
      <c r="D58" s="44"/>
      <c r="E58" s="158" t="s">
        <v>2814</v>
      </c>
      <c r="F58" s="547">
        <f t="shared" si="0"/>
        <v>0</v>
      </c>
      <c r="G58" s="547">
        <f t="shared" si="1"/>
        <v>0</v>
      </c>
      <c r="H58" s="547">
        <f t="shared" si="2"/>
        <v>0</v>
      </c>
      <c r="I58" s="557">
        <f t="shared" si="3"/>
        <v>0</v>
      </c>
      <c r="J58" s="547">
        <f t="shared" si="4"/>
        <v>0</v>
      </c>
      <c r="K58" s="547">
        <f t="shared" si="5"/>
        <v>0</v>
      </c>
      <c r="L58" s="547">
        <f t="shared" si="6"/>
        <v>0</v>
      </c>
      <c r="M58" s="557">
        <f t="shared" si="7"/>
        <v>0</v>
      </c>
      <c r="N58" s="547">
        <f t="shared" si="8"/>
        <v>0</v>
      </c>
      <c r="O58" s="547">
        <f t="shared" si="9"/>
        <v>0</v>
      </c>
      <c r="P58" s="547">
        <f t="shared" si="10"/>
        <v>0</v>
      </c>
      <c r="Q58" s="402">
        <f t="shared" si="11"/>
        <v>0</v>
      </c>
      <c r="R58" s="402">
        <f t="shared" si="12"/>
        <v>0</v>
      </c>
      <c r="S58" s="402">
        <f t="shared" si="13"/>
        <v>0</v>
      </c>
      <c r="T58" s="402">
        <f t="shared" si="14"/>
        <v>0</v>
      </c>
      <c r="U58" s="402">
        <f t="shared" si="15"/>
        <v>0</v>
      </c>
      <c r="V58" s="402">
        <f t="shared" si="16"/>
        <v>0</v>
      </c>
      <c r="W58" s="402">
        <f t="shared" si="17"/>
        <v>0</v>
      </c>
      <c r="X58" s="402">
        <f t="shared" si="18"/>
        <v>0</v>
      </c>
      <c r="Y58" s="402">
        <f t="shared" si="19"/>
        <v>0</v>
      </c>
      <c r="Z58" s="402">
        <f t="shared" si="20"/>
        <v>0</v>
      </c>
      <c r="AA58" s="402">
        <f t="shared" si="21"/>
        <v>0</v>
      </c>
      <c r="AB58" s="402">
        <f t="shared" si="22"/>
        <v>0</v>
      </c>
      <c r="AC58" s="402">
        <f t="shared" si="23"/>
        <v>0</v>
      </c>
      <c r="AD58" s="402">
        <f t="shared" si="24"/>
        <v>0</v>
      </c>
      <c r="AE58" s="402">
        <f t="shared" si="25"/>
        <v>0</v>
      </c>
    </row>
    <row r="59" spans="1:31" ht="13.25" customHeight="1">
      <c r="A59" s="158" t="s">
        <v>2820</v>
      </c>
      <c r="B59" s="158" t="s">
        <v>2829</v>
      </c>
      <c r="C59" s="165">
        <f t="shared" si="26"/>
        <v>0</v>
      </c>
      <c r="D59" s="44"/>
      <c r="E59" s="158" t="s">
        <v>2820</v>
      </c>
      <c r="F59" s="547">
        <f t="shared" si="0"/>
        <v>0</v>
      </c>
      <c r="G59" s="547">
        <f t="shared" si="1"/>
        <v>0</v>
      </c>
      <c r="H59" s="547">
        <f t="shared" si="2"/>
        <v>0</v>
      </c>
      <c r="I59" s="557">
        <f t="shared" si="3"/>
        <v>0</v>
      </c>
      <c r="J59" s="547">
        <f t="shared" si="4"/>
        <v>0</v>
      </c>
      <c r="K59" s="547">
        <f t="shared" si="5"/>
        <v>0</v>
      </c>
      <c r="L59" s="547">
        <f t="shared" si="6"/>
        <v>0</v>
      </c>
      <c r="M59" s="557">
        <f t="shared" si="7"/>
        <v>0</v>
      </c>
      <c r="N59" s="547">
        <f t="shared" si="8"/>
        <v>0</v>
      </c>
      <c r="O59" s="547">
        <f t="shared" si="9"/>
        <v>0</v>
      </c>
      <c r="P59" s="547">
        <f t="shared" si="10"/>
        <v>0</v>
      </c>
      <c r="Q59" s="402">
        <f t="shared" si="11"/>
        <v>0</v>
      </c>
      <c r="R59" s="402">
        <f t="shared" si="12"/>
        <v>0</v>
      </c>
      <c r="S59" s="402">
        <f t="shared" si="13"/>
        <v>0</v>
      </c>
      <c r="T59" s="402">
        <f t="shared" si="14"/>
        <v>0</v>
      </c>
      <c r="U59" s="402">
        <f t="shared" si="15"/>
        <v>0</v>
      </c>
      <c r="V59" s="402">
        <f t="shared" si="16"/>
        <v>0</v>
      </c>
      <c r="W59" s="402">
        <f t="shared" si="17"/>
        <v>0</v>
      </c>
      <c r="X59" s="402">
        <f t="shared" si="18"/>
        <v>0</v>
      </c>
      <c r="Y59" s="402">
        <f t="shared" si="19"/>
        <v>0</v>
      </c>
      <c r="Z59" s="402">
        <f t="shared" si="20"/>
        <v>0</v>
      </c>
      <c r="AA59" s="402">
        <f t="shared" si="21"/>
        <v>0</v>
      </c>
      <c r="AB59" s="402">
        <f t="shared" si="22"/>
        <v>0</v>
      </c>
      <c r="AC59" s="402">
        <f t="shared" si="23"/>
        <v>0</v>
      </c>
      <c r="AD59" s="402">
        <f t="shared" si="24"/>
        <v>0</v>
      </c>
      <c r="AE59" s="402">
        <f t="shared" si="25"/>
        <v>0</v>
      </c>
    </row>
    <row r="60" spans="1:31" ht="13.25" customHeight="1">
      <c r="A60" s="158" t="s">
        <v>2821</v>
      </c>
      <c r="B60" s="158" t="s">
        <v>2830</v>
      </c>
      <c r="C60" s="165">
        <f t="shared" si="26"/>
        <v>0</v>
      </c>
      <c r="D60" s="44"/>
      <c r="E60" s="158" t="s">
        <v>2821</v>
      </c>
      <c r="F60" s="547">
        <f t="shared" si="0"/>
        <v>0</v>
      </c>
      <c r="G60" s="547">
        <f t="shared" si="1"/>
        <v>0</v>
      </c>
      <c r="H60" s="547">
        <f t="shared" si="2"/>
        <v>0</v>
      </c>
      <c r="I60" s="557">
        <f t="shared" si="3"/>
        <v>0</v>
      </c>
      <c r="J60" s="547">
        <f t="shared" si="4"/>
        <v>0</v>
      </c>
      <c r="K60" s="547">
        <f t="shared" si="5"/>
        <v>0</v>
      </c>
      <c r="L60" s="547">
        <f t="shared" si="6"/>
        <v>0</v>
      </c>
      <c r="M60" s="557">
        <f t="shared" si="7"/>
        <v>0</v>
      </c>
      <c r="N60" s="547">
        <f t="shared" si="8"/>
        <v>0</v>
      </c>
      <c r="O60" s="547">
        <f t="shared" si="9"/>
        <v>0</v>
      </c>
      <c r="P60" s="547">
        <f t="shared" si="10"/>
        <v>0</v>
      </c>
      <c r="Q60" s="402">
        <f t="shared" si="11"/>
        <v>0</v>
      </c>
      <c r="R60" s="402">
        <f t="shared" si="12"/>
        <v>0</v>
      </c>
      <c r="S60" s="402">
        <f t="shared" si="13"/>
        <v>0</v>
      </c>
      <c r="T60" s="402">
        <f t="shared" si="14"/>
        <v>0</v>
      </c>
      <c r="U60" s="402">
        <f t="shared" si="15"/>
        <v>0</v>
      </c>
      <c r="V60" s="402">
        <f t="shared" si="16"/>
        <v>0</v>
      </c>
      <c r="W60" s="402">
        <f t="shared" si="17"/>
        <v>0</v>
      </c>
      <c r="X60" s="402">
        <f t="shared" si="18"/>
        <v>0</v>
      </c>
      <c r="Y60" s="402">
        <f t="shared" si="19"/>
        <v>0</v>
      </c>
      <c r="Z60" s="402">
        <f t="shared" si="20"/>
        <v>0</v>
      </c>
      <c r="AA60" s="402">
        <f t="shared" si="21"/>
        <v>0</v>
      </c>
      <c r="AB60" s="402">
        <f t="shared" si="22"/>
        <v>0</v>
      </c>
      <c r="AC60" s="402">
        <f t="shared" si="23"/>
        <v>0</v>
      </c>
      <c r="AD60" s="402">
        <f t="shared" si="24"/>
        <v>0</v>
      </c>
      <c r="AE60" s="402">
        <f t="shared" si="25"/>
        <v>0</v>
      </c>
    </row>
    <row r="61" spans="1:31" ht="18.75" customHeight="1">
      <c r="B61" s="43"/>
      <c r="C61" s="44"/>
      <c r="D61" s="44"/>
      <c r="I61" s="42"/>
    </row>
    <row r="62" spans="1:31" ht="30" customHeight="1">
      <c r="B62" s="43"/>
      <c r="C62" s="44"/>
      <c r="D62" s="44"/>
      <c r="I62" s="42"/>
    </row>
    <row r="63" spans="1:31" ht="18.75" customHeight="1">
      <c r="B63" s="43"/>
      <c r="C63" s="44"/>
      <c r="D63" s="44"/>
      <c r="I63" s="42"/>
    </row>
    <row r="64" spans="1:31" ht="18.75" customHeight="1">
      <c r="B64" s="43"/>
      <c r="C64" s="47"/>
      <c r="D64" s="47"/>
      <c r="I64" s="42"/>
    </row>
    <row r="65" spans="2:9" ht="18.75" customHeight="1">
      <c r="B65" s="43"/>
      <c r="C65" s="44"/>
      <c r="D65" s="44"/>
      <c r="I65" s="42"/>
    </row>
    <row r="66" spans="2:9" ht="18.75" customHeight="1">
      <c r="B66" s="43"/>
      <c r="C66" s="44"/>
      <c r="D66" s="44"/>
      <c r="I66" s="42"/>
    </row>
    <row r="67" spans="2:9" ht="18.75" customHeight="1">
      <c r="B67" s="43"/>
      <c r="C67" s="44"/>
      <c r="D67" s="44"/>
      <c r="I67" s="42"/>
    </row>
    <row r="68" spans="2:9" ht="18.75" customHeight="1">
      <c r="B68" s="43"/>
      <c r="C68" s="44"/>
      <c r="D68" s="44"/>
      <c r="I68" s="42"/>
    </row>
    <row r="69" spans="2:9" ht="18.75" customHeight="1">
      <c r="B69" s="43"/>
      <c r="C69" s="44"/>
      <c r="D69" s="44"/>
      <c r="I69" s="42"/>
    </row>
    <row r="70" spans="2:9" ht="18.75" customHeight="1">
      <c r="B70" s="43"/>
      <c r="C70" s="44"/>
      <c r="D70" s="44"/>
      <c r="I70" s="42"/>
    </row>
    <row r="71" spans="2:9" ht="32.25" customHeight="1">
      <c r="B71" s="43"/>
      <c r="C71" s="44"/>
      <c r="D71" s="44"/>
      <c r="I71" s="42"/>
    </row>
    <row r="72" spans="2:9" ht="56.25" customHeight="1">
      <c r="B72" s="43"/>
      <c r="C72" s="44"/>
      <c r="D72" s="44"/>
      <c r="I72" s="42"/>
    </row>
    <row r="73" spans="2:9">
      <c r="B73" s="43"/>
      <c r="C73" s="44"/>
      <c r="D73" s="44"/>
      <c r="I73" s="42"/>
    </row>
    <row r="74" spans="2:9" ht="41.25" customHeight="1">
      <c r="B74" s="43"/>
      <c r="C74" s="47"/>
      <c r="D74" s="47"/>
      <c r="I74" s="42"/>
    </row>
    <row r="75" spans="2:9">
      <c r="B75" s="43"/>
      <c r="C75" s="44"/>
      <c r="D75" s="44"/>
      <c r="I75" s="42"/>
    </row>
    <row r="76" spans="2:9">
      <c r="B76" s="43"/>
      <c r="C76" s="44"/>
      <c r="D76" s="44"/>
      <c r="I76" s="42"/>
    </row>
    <row r="77" spans="2:9" ht="26.4" customHeight="1">
      <c r="B77" s="43"/>
      <c r="C77" s="44"/>
      <c r="D77" s="44"/>
      <c r="I77" s="42"/>
    </row>
    <row r="78" spans="2:9">
      <c r="B78" s="43"/>
      <c r="C78" s="44"/>
      <c r="D78" s="44"/>
      <c r="I78" s="42"/>
    </row>
    <row r="79" spans="2:9" ht="36.65" customHeight="1">
      <c r="B79" s="43"/>
      <c r="C79" s="47"/>
      <c r="D79" s="47"/>
      <c r="I79" s="42"/>
    </row>
    <row r="80" spans="2:9">
      <c r="B80" s="43"/>
      <c r="C80" s="44"/>
      <c r="D80" s="44"/>
      <c r="I80" s="42"/>
    </row>
    <row r="81" spans="2:19" ht="14.5">
      <c r="B81" s="43"/>
      <c r="C81" s="44"/>
      <c r="D81" s="44"/>
      <c r="I81" s="42"/>
      <c r="S81" s="52"/>
    </row>
    <row r="82" spans="2:19">
      <c r="B82" s="43"/>
      <c r="C82" s="44"/>
      <c r="D82" s="44"/>
      <c r="I82" s="42"/>
    </row>
    <row r="83" spans="2:19">
      <c r="B83" s="43"/>
      <c r="C83" s="44"/>
      <c r="D83" s="44"/>
      <c r="I83" s="42"/>
    </row>
    <row r="84" spans="2:19">
      <c r="B84" s="43"/>
      <c r="C84" s="44"/>
      <c r="D84" s="44"/>
      <c r="I84" s="42"/>
    </row>
    <row r="85" spans="2:19">
      <c r="B85" s="43"/>
      <c r="C85" s="44"/>
      <c r="D85" s="44"/>
      <c r="I85" s="42"/>
    </row>
    <row r="86" spans="2:19">
      <c r="B86" s="43"/>
      <c r="C86" s="44"/>
      <c r="D86" s="44"/>
      <c r="I86" s="42"/>
    </row>
    <row r="87" spans="2:19">
      <c r="B87" s="43"/>
      <c r="C87" s="44"/>
      <c r="D87" s="44"/>
      <c r="I87" s="42"/>
    </row>
    <row r="88" spans="2:19">
      <c r="B88" s="43"/>
      <c r="C88" s="44"/>
      <c r="D88" s="44"/>
      <c r="I88" s="42"/>
    </row>
    <row r="89" spans="2:19">
      <c r="B89" s="43"/>
      <c r="C89" s="44"/>
      <c r="D89" s="44"/>
      <c r="I89" s="42"/>
    </row>
    <row r="90" spans="2:19">
      <c r="B90" s="43"/>
      <c r="C90" s="44"/>
      <c r="D90" s="44"/>
      <c r="I90" s="42"/>
    </row>
    <row r="91" spans="2:19" ht="18.75" customHeight="1">
      <c r="B91" s="43"/>
      <c r="C91" s="44"/>
      <c r="D91" s="44"/>
      <c r="I91" s="42"/>
    </row>
    <row r="92" spans="2:19" ht="18.75" customHeight="1">
      <c r="B92" s="43"/>
      <c r="C92" s="44"/>
      <c r="D92" s="44"/>
      <c r="I92" s="42"/>
    </row>
    <row r="93" spans="2:19" ht="18.75" customHeight="1">
      <c r="B93" s="43"/>
      <c r="C93" s="44"/>
      <c r="D93" s="44"/>
      <c r="I93" s="42"/>
    </row>
    <row r="94" spans="2:19" ht="18.75" customHeight="1">
      <c r="B94" s="43"/>
      <c r="C94" s="44"/>
      <c r="D94" s="44"/>
      <c r="I94" s="42"/>
    </row>
    <row r="95" spans="2:19" ht="18.75" customHeight="1">
      <c r="B95" s="43"/>
      <c r="C95" s="44"/>
      <c r="D95" s="44"/>
      <c r="I95" s="42"/>
    </row>
    <row r="96" spans="2:19" ht="18.75" customHeight="1">
      <c r="B96" s="43"/>
      <c r="C96" s="44"/>
      <c r="D96" s="44"/>
      <c r="I96" s="42"/>
    </row>
    <row r="97" spans="2:9" ht="18.75" customHeight="1">
      <c r="B97" s="43"/>
      <c r="C97" s="44"/>
      <c r="D97" s="44"/>
      <c r="I97" s="42"/>
    </row>
    <row r="98" spans="2:9" ht="18.75" customHeight="1">
      <c r="B98" s="43"/>
      <c r="C98" s="44"/>
      <c r="D98" s="44"/>
      <c r="I98" s="42"/>
    </row>
    <row r="99" spans="2:9" ht="18.75" customHeight="1">
      <c r="B99" s="43"/>
      <c r="C99" s="44"/>
      <c r="D99" s="44"/>
      <c r="I99" s="42"/>
    </row>
    <row r="100" spans="2:9" ht="18.75" customHeight="1">
      <c r="B100" s="43"/>
      <c r="C100" s="44"/>
      <c r="D100" s="44"/>
      <c r="I100" s="42"/>
    </row>
    <row r="101" spans="2:9" ht="18.75" customHeight="1">
      <c r="B101" s="43"/>
      <c r="C101" s="44"/>
      <c r="D101" s="44"/>
      <c r="I101" s="42"/>
    </row>
    <row r="102" spans="2:9" ht="18.75" customHeight="1">
      <c r="B102" s="43"/>
      <c r="C102" s="44"/>
      <c r="D102" s="44"/>
      <c r="I102" s="42"/>
    </row>
    <row r="103" spans="2:9" ht="18.75" customHeight="1">
      <c r="B103" s="43"/>
      <c r="C103" s="44"/>
      <c r="D103" s="44"/>
      <c r="I103" s="42"/>
    </row>
    <row r="104" spans="2:9" ht="29.15" customHeight="1">
      <c r="B104" s="43"/>
      <c r="C104" s="44"/>
      <c r="D104" s="44"/>
      <c r="I104" s="42"/>
    </row>
    <row r="105" spans="2:9" ht="18.75" customHeight="1">
      <c r="B105" s="43"/>
      <c r="C105" s="44"/>
      <c r="D105" s="44"/>
      <c r="I105" s="42"/>
    </row>
    <row r="106" spans="2:9" ht="18.75" customHeight="1">
      <c r="B106" s="43"/>
      <c r="C106" s="44"/>
      <c r="D106" s="44"/>
      <c r="I106" s="42"/>
    </row>
    <row r="107" spans="2:9" ht="18.75" customHeight="1">
      <c r="B107" s="43"/>
      <c r="C107" s="44"/>
      <c r="D107" s="44"/>
      <c r="I107" s="42"/>
    </row>
    <row r="108" spans="2:9" ht="18.75" customHeight="1">
      <c r="B108" s="43"/>
      <c r="C108" s="44"/>
      <c r="D108" s="44"/>
      <c r="I108" s="42"/>
    </row>
    <row r="109" spans="2:9" ht="18.75" customHeight="1">
      <c r="B109" s="43"/>
      <c r="C109" s="44"/>
      <c r="D109" s="44"/>
      <c r="I109" s="42"/>
    </row>
    <row r="110" spans="2:9" ht="18.75" customHeight="1">
      <c r="B110" s="43"/>
      <c r="C110" s="44"/>
      <c r="D110" s="44"/>
      <c r="I110" s="42"/>
    </row>
    <row r="111" spans="2:9" ht="18.75" customHeight="1">
      <c r="B111" s="43"/>
      <c r="C111" s="44"/>
      <c r="D111" s="44"/>
      <c r="I111" s="42"/>
    </row>
    <row r="112" spans="2:9" ht="18.75" customHeight="1">
      <c r="B112" s="43"/>
      <c r="C112" s="44"/>
      <c r="D112" s="44"/>
      <c r="I112" s="42"/>
    </row>
    <row r="113" spans="2:9" ht="18.75" customHeight="1">
      <c r="B113" s="43"/>
      <c r="C113" s="44"/>
      <c r="D113" s="44"/>
      <c r="I113" s="42"/>
    </row>
    <row r="114" spans="2:9" ht="18.75" customHeight="1">
      <c r="B114" s="43"/>
      <c r="C114" s="44"/>
      <c r="D114" s="44"/>
      <c r="I114" s="42"/>
    </row>
    <row r="115" spans="2:9" ht="18.75" customHeight="1">
      <c r="B115" s="43"/>
      <c r="C115" s="44"/>
      <c r="D115" s="44"/>
      <c r="I115" s="42"/>
    </row>
    <row r="116" spans="2:9" ht="18.75" customHeight="1">
      <c r="B116" s="43"/>
      <c r="C116" s="44"/>
      <c r="D116" s="44"/>
      <c r="I116" s="42"/>
    </row>
    <row r="117" spans="2:9" ht="18.75" customHeight="1">
      <c r="B117" s="43"/>
      <c r="C117" s="44"/>
      <c r="D117" s="44"/>
      <c r="I117" s="42"/>
    </row>
    <row r="118" spans="2:9" ht="18.75" customHeight="1">
      <c r="B118" s="43"/>
      <c r="C118" s="44"/>
      <c r="D118" s="44"/>
      <c r="I118" s="42"/>
    </row>
    <row r="119" spans="2:9" ht="18.75" customHeight="1">
      <c r="B119" s="43"/>
      <c r="C119" s="44"/>
      <c r="D119" s="44"/>
      <c r="I119" s="42"/>
    </row>
    <row r="120" spans="2:9" ht="18.75" customHeight="1">
      <c r="B120" s="43"/>
      <c r="C120" s="44"/>
      <c r="D120" s="44"/>
      <c r="I120" s="42"/>
    </row>
    <row r="121" spans="2:9">
      <c r="B121" s="43"/>
      <c r="C121" s="44"/>
      <c r="D121" s="44"/>
      <c r="I121" s="42"/>
    </row>
    <row r="122" spans="2:9" ht="18.75" customHeight="1">
      <c r="B122" s="43"/>
      <c r="C122" s="44"/>
      <c r="D122" s="44"/>
      <c r="I122" s="42"/>
    </row>
    <row r="123" spans="2:9">
      <c r="B123" s="43"/>
      <c r="C123" s="44"/>
      <c r="D123" s="44"/>
      <c r="I123" s="42"/>
    </row>
    <row r="124" spans="2:9" ht="18.75" customHeight="1">
      <c r="B124" s="43"/>
      <c r="C124" s="44"/>
      <c r="D124" s="44"/>
      <c r="I124" s="42"/>
    </row>
    <row r="125" spans="2:9" ht="18.75" customHeight="1">
      <c r="B125" s="43"/>
      <c r="C125" s="44"/>
      <c r="D125" s="44"/>
      <c r="I125" s="42"/>
    </row>
    <row r="126" spans="2:9" ht="18.75" customHeight="1">
      <c r="B126" s="43"/>
      <c r="C126" s="44"/>
      <c r="D126" s="44"/>
      <c r="I126" s="42"/>
    </row>
    <row r="127" spans="2:9" ht="37.4" customHeight="1">
      <c r="B127" s="43"/>
      <c r="C127" s="44"/>
      <c r="D127" s="44"/>
      <c r="I127" s="42"/>
    </row>
    <row r="128" spans="2:9" ht="18.75" customHeight="1">
      <c r="B128" s="43"/>
      <c r="C128" s="44"/>
      <c r="D128" s="44"/>
      <c r="I128" s="42"/>
    </row>
    <row r="129" spans="2:9" ht="18.75" customHeight="1">
      <c r="B129" s="43"/>
      <c r="C129" s="44"/>
      <c r="D129" s="44"/>
      <c r="I129" s="42"/>
    </row>
    <row r="130" spans="2:9" ht="18.75" customHeight="1">
      <c r="B130" s="43"/>
      <c r="C130" s="44"/>
      <c r="D130" s="44"/>
      <c r="I130" s="42"/>
    </row>
    <row r="131" spans="2:9" ht="18.75" customHeight="1"/>
    <row r="132" spans="2:9" ht="18.75" customHeight="1"/>
    <row r="133" spans="2:9" ht="18.75" customHeight="1"/>
    <row r="134" spans="2:9" ht="18.75" customHeight="1"/>
    <row r="135" spans="2:9" ht="18.75" customHeight="1"/>
    <row r="136" spans="2:9" ht="18.75" customHeight="1"/>
    <row r="137" spans="2:9" ht="18.75" customHeight="1"/>
    <row r="138" spans="2:9" ht="18.75" customHeight="1"/>
    <row r="139" spans="2:9" ht="18.75" customHeight="1"/>
    <row r="140" spans="2:9" ht="18.75" customHeight="1"/>
    <row r="141" spans="2:9" ht="18.75" customHeight="1"/>
    <row r="142" spans="2:9" ht="18.75" customHeight="1"/>
    <row r="143" spans="2:9" ht="18.75" customHeight="1"/>
    <row r="144" spans="2:9" ht="18.75" customHeight="1"/>
    <row r="145" ht="18.75" customHeight="1"/>
    <row r="146" ht="18.75" customHeight="1"/>
    <row r="147" ht="18.75" customHeight="1"/>
    <row r="148" ht="18.75" customHeight="1"/>
    <row r="149" ht="18.75" customHeight="1"/>
    <row r="150" ht="18.75" customHeight="1"/>
    <row r="151" ht="18.75" customHeight="1"/>
    <row r="152" ht="18.75" customHeight="1"/>
    <row r="153" ht="18.75" customHeight="1"/>
    <row r="154" ht="18.75" customHeight="1"/>
    <row r="155" ht="18.75" customHeight="1"/>
    <row r="156" ht="18.75" customHeight="1"/>
    <row r="157" ht="18.75" customHeight="1"/>
    <row r="158" ht="18.75" customHeight="1"/>
    <row r="159" ht="18.75" customHeight="1"/>
    <row r="160" ht="18.75" customHeight="1"/>
    <row r="161" ht="18.75" customHeight="1"/>
    <row r="162" ht="18.75" customHeight="1"/>
    <row r="163" ht="18.75" customHeight="1"/>
    <row r="164" ht="18.75" customHeight="1"/>
    <row r="165" ht="18.75" customHeight="1"/>
    <row r="166" ht="18.75" customHeight="1"/>
    <row r="167" ht="18.75" customHeight="1"/>
    <row r="168" ht="18.75" customHeight="1"/>
    <row r="169" ht="18.75" customHeight="1"/>
    <row r="170" ht="18.75" customHeight="1"/>
    <row r="171" ht="18.75" customHeight="1"/>
    <row r="172" ht="18.75" customHeight="1"/>
    <row r="173" ht="18.75" customHeight="1"/>
    <row r="174" ht="18.75" customHeight="1"/>
    <row r="175" ht="18.75" customHeight="1"/>
    <row r="176" ht="18.75" customHeight="1"/>
    <row r="177" ht="18.75" customHeight="1"/>
    <row r="178" ht="18.75" customHeight="1"/>
    <row r="179" ht="18.75" customHeight="1"/>
    <row r="180" ht="18.75" customHeight="1"/>
    <row r="181" ht="18.75" customHeight="1"/>
    <row r="182" ht="18.75" customHeight="1"/>
    <row r="183" ht="18.75" customHeight="1"/>
    <row r="184" ht="18.75" customHeight="1"/>
    <row r="185" ht="18.75" customHeight="1"/>
    <row r="186" ht="18.75" customHeight="1"/>
    <row r="187" ht="18.75" customHeight="1"/>
    <row r="188" ht="18.75" customHeight="1"/>
    <row r="189" ht="18.75" customHeight="1"/>
    <row r="190" ht="18.75" customHeight="1"/>
    <row r="191" ht="18.75" customHeight="1"/>
    <row r="192" ht="18.75" customHeight="1"/>
    <row r="193" ht="18.75" customHeight="1"/>
    <row r="194" ht="18.75" customHeight="1"/>
    <row r="195" ht="18.75" customHeight="1"/>
    <row r="196" ht="18.75" customHeight="1"/>
    <row r="197" ht="18.75" customHeight="1"/>
    <row r="198" ht="18.75" customHeight="1"/>
    <row r="199" ht="18.75" customHeight="1"/>
    <row r="200" ht="18.75" customHeight="1"/>
    <row r="201" ht="18.75" customHeight="1"/>
    <row r="202" ht="18.75" customHeight="1"/>
    <row r="203" ht="18.75" customHeight="1"/>
    <row r="204" ht="18.75" customHeight="1"/>
    <row r="205" ht="18.75" customHeight="1"/>
    <row r="206" ht="18.75" customHeight="1"/>
    <row r="207" ht="18.75" customHeight="1"/>
    <row r="208" ht="18.75" customHeight="1"/>
    <row r="209" ht="18.75" customHeight="1"/>
    <row r="210" ht="18.75" customHeight="1"/>
    <row r="211" ht="18.75" customHeight="1"/>
    <row r="212" ht="18.75" customHeight="1"/>
    <row r="213" ht="18.75" customHeight="1"/>
    <row r="214" ht="18.75" customHeight="1"/>
    <row r="215" ht="18.75" customHeight="1"/>
    <row r="216" ht="18.75" customHeight="1"/>
    <row r="217" ht="18.75" customHeight="1"/>
    <row r="218" ht="18.75" customHeight="1"/>
    <row r="219" ht="18.75" customHeight="1"/>
    <row r="220" ht="18.75" customHeight="1"/>
    <row r="221" ht="18.75" customHeight="1"/>
    <row r="222" ht="18.75" customHeight="1"/>
    <row r="223" ht="18.75" customHeight="1"/>
    <row r="224" ht="18.75" customHeight="1"/>
    <row r="225" ht="18.75" customHeight="1"/>
    <row r="226" ht="18.75" customHeight="1"/>
    <row r="227" ht="18.75" customHeight="1"/>
    <row r="228" ht="18.75" customHeight="1"/>
    <row r="229" ht="18.75" customHeight="1"/>
    <row r="230" ht="18.75" customHeight="1"/>
    <row r="231" ht="18.75" customHeight="1"/>
    <row r="232" ht="18.75" customHeight="1"/>
    <row r="233" ht="18.75" customHeight="1"/>
    <row r="234" ht="18.75" customHeight="1"/>
    <row r="235" ht="18.75" customHeight="1"/>
    <row r="236" ht="18.75" customHeight="1"/>
    <row r="237" ht="18.75" customHeight="1"/>
    <row r="238" ht="18.75" customHeight="1"/>
    <row r="239" ht="18.75" customHeight="1"/>
    <row r="240" ht="18.75" customHeight="1"/>
    <row r="241" ht="18.75" customHeight="1"/>
    <row r="242" ht="18.75" customHeight="1"/>
    <row r="243" ht="18.75" customHeight="1"/>
    <row r="244" ht="18.75" customHeight="1"/>
    <row r="245" ht="18.75" customHeight="1"/>
    <row r="246" ht="18.75" customHeight="1"/>
    <row r="247" ht="18.75" customHeight="1"/>
    <row r="248" ht="18.75" customHeight="1"/>
    <row r="249" ht="18.75" customHeight="1"/>
    <row r="250" ht="18.75" customHeight="1"/>
    <row r="251" ht="18.75" customHeight="1"/>
    <row r="252" ht="18.75" customHeight="1"/>
    <row r="253" ht="18.75" customHeight="1"/>
    <row r="254" ht="18.75" customHeight="1"/>
    <row r="255" ht="18.75" customHeight="1"/>
    <row r="256" ht="18.75" customHeight="1"/>
    <row r="257" ht="18.75" customHeight="1"/>
    <row r="258" ht="18.75" customHeight="1"/>
    <row r="259" ht="18.75" customHeight="1"/>
    <row r="260" ht="18.75" customHeight="1"/>
    <row r="261" ht="18.75" customHeight="1"/>
    <row r="262" ht="18.75" customHeight="1"/>
    <row r="263" ht="18.75" customHeight="1"/>
    <row r="264" ht="18.75" customHeight="1"/>
    <row r="265" ht="18.75" customHeight="1"/>
    <row r="266" ht="18.75" customHeight="1"/>
    <row r="267" ht="18.75" customHeight="1"/>
    <row r="268" ht="18.75" customHeight="1"/>
    <row r="269" ht="18.75" customHeight="1"/>
    <row r="270" ht="18.75" customHeight="1"/>
    <row r="271" ht="18.75" customHeight="1"/>
    <row r="272" ht="18.75" customHeight="1"/>
    <row r="273" ht="18.75" customHeight="1"/>
    <row r="274" ht="18.75" customHeight="1"/>
    <row r="275" ht="18.75" customHeight="1"/>
    <row r="276" ht="18.75" customHeight="1"/>
    <row r="277" ht="18.75" customHeight="1"/>
    <row r="278" ht="18.75" customHeight="1"/>
    <row r="279" ht="18.75" customHeight="1"/>
    <row r="280" ht="18.75" customHeight="1"/>
    <row r="281" ht="18.75" customHeight="1"/>
    <row r="282" ht="18.75" customHeight="1"/>
    <row r="283" ht="18.75" customHeight="1"/>
    <row r="284" ht="18.75" customHeight="1"/>
    <row r="285" ht="18.75" customHeight="1"/>
    <row r="286" ht="18.75" customHeight="1"/>
    <row r="287" ht="18.75" customHeight="1"/>
    <row r="288" ht="18.75" customHeight="1"/>
    <row r="289" ht="18.75" customHeight="1"/>
    <row r="290" ht="18.75" customHeight="1"/>
    <row r="291" ht="18.75" customHeight="1"/>
    <row r="292" ht="18.75" customHeight="1"/>
    <row r="293" ht="18.75" customHeight="1"/>
    <row r="294" ht="18.75" customHeight="1"/>
    <row r="295" ht="18.75" customHeight="1"/>
    <row r="296" ht="18.75" customHeight="1"/>
    <row r="297" ht="18.75" customHeight="1"/>
    <row r="298" ht="18.75" customHeight="1"/>
    <row r="299" ht="18.75" customHeight="1"/>
    <row r="300" ht="18.75" customHeight="1"/>
    <row r="301" ht="18.75" customHeight="1"/>
    <row r="302" ht="18.75" customHeight="1"/>
    <row r="303" ht="18.75" customHeight="1"/>
    <row r="304" ht="18.75" customHeight="1"/>
    <row r="305" ht="18.75" customHeight="1"/>
    <row r="306" ht="18.75" customHeight="1"/>
    <row r="307" ht="18.75" customHeight="1"/>
    <row r="308" ht="18.75" customHeight="1"/>
    <row r="309" ht="18.75" customHeight="1"/>
    <row r="310" ht="18.75" customHeight="1"/>
    <row r="311" ht="18.75" customHeight="1"/>
    <row r="312" ht="18.75" customHeight="1"/>
    <row r="313" ht="18.75" customHeight="1"/>
    <row r="314" ht="18.75" customHeight="1"/>
    <row r="315" ht="18.75" customHeight="1"/>
    <row r="316" ht="18.75" customHeight="1"/>
    <row r="317" ht="18.75" customHeight="1"/>
    <row r="318" ht="18.75" customHeight="1"/>
    <row r="319" ht="18.75" customHeight="1"/>
    <row r="320" ht="18.75" customHeight="1"/>
    <row r="321" ht="18.75" customHeight="1"/>
    <row r="322" ht="18.75" customHeight="1"/>
    <row r="323" ht="18.75" customHeight="1"/>
    <row r="324" ht="18.75" customHeight="1"/>
    <row r="325" ht="18.75" customHeight="1"/>
    <row r="326" ht="18.75" customHeight="1"/>
    <row r="327" ht="18.75" customHeight="1"/>
    <row r="328" ht="18.75" customHeight="1"/>
    <row r="329" ht="18.75" customHeight="1"/>
    <row r="330" ht="18.75" customHeight="1"/>
    <row r="331" ht="18.75" customHeight="1"/>
    <row r="332" ht="18.75" customHeight="1"/>
    <row r="333" ht="18.75" customHeight="1"/>
    <row r="334" ht="18.75" customHeight="1"/>
    <row r="335" ht="18.75" customHeight="1"/>
    <row r="336" ht="18.75" customHeight="1"/>
    <row r="337" ht="18.75" customHeight="1"/>
    <row r="338" ht="18.75" customHeight="1"/>
    <row r="339" ht="18.75" customHeight="1"/>
    <row r="340" ht="18.75" customHeight="1"/>
    <row r="341" ht="18.75" customHeight="1"/>
    <row r="342" ht="18.75" customHeight="1"/>
    <row r="343" ht="18.75" customHeight="1"/>
    <row r="344" ht="18.75" customHeight="1"/>
    <row r="345" ht="18.75" customHeight="1"/>
    <row r="346" ht="18.75" customHeight="1"/>
    <row r="347" ht="18.75" customHeight="1"/>
    <row r="348" ht="18.75" customHeight="1"/>
    <row r="349" ht="18.75" customHeight="1"/>
    <row r="350" ht="18.75" customHeight="1"/>
    <row r="351" ht="18.75" customHeight="1"/>
    <row r="352" ht="18.75" customHeight="1"/>
    <row r="353" ht="18.75" customHeight="1"/>
    <row r="354" ht="18.75" customHeight="1"/>
    <row r="355" ht="18.75" customHeight="1"/>
    <row r="356" ht="18.75" customHeight="1"/>
    <row r="357" ht="18.75" customHeight="1"/>
    <row r="358" ht="18.75" customHeight="1"/>
    <row r="359" ht="18.75" customHeight="1"/>
    <row r="360" ht="18.75" customHeight="1"/>
    <row r="361" ht="18.75" customHeight="1"/>
    <row r="362" ht="18.75" customHeight="1"/>
    <row r="363" ht="18.75" customHeight="1"/>
    <row r="364" ht="18.75" customHeight="1"/>
    <row r="365" ht="18.75" customHeight="1"/>
    <row r="366" ht="18.75" customHeight="1"/>
    <row r="367" ht="18.75" customHeight="1"/>
    <row r="368" ht="18.75" customHeight="1"/>
    <row r="369" ht="18.75" customHeight="1"/>
    <row r="370" ht="18.75" customHeight="1"/>
    <row r="371" ht="18.75" customHeight="1"/>
    <row r="372" ht="18.75" customHeight="1"/>
    <row r="373" ht="18.75" customHeight="1"/>
    <row r="374" ht="18.75" customHeight="1"/>
    <row r="375" ht="18.75" customHeight="1"/>
    <row r="376" ht="18.75" customHeight="1"/>
    <row r="377" ht="18.75" customHeight="1"/>
    <row r="378" ht="18.75" customHeight="1"/>
    <row r="379" ht="18.75" customHeight="1"/>
    <row r="380" ht="18.75" customHeight="1"/>
    <row r="381" ht="18.75" customHeight="1"/>
    <row r="382" ht="18.75" customHeight="1"/>
    <row r="383" ht="18.75" customHeight="1"/>
    <row r="384" ht="18.75" customHeight="1"/>
    <row r="385" ht="18.75" customHeight="1"/>
    <row r="386" ht="18.75" customHeight="1"/>
    <row r="387" ht="18.75" customHeight="1"/>
    <row r="388" ht="18.75" customHeight="1"/>
    <row r="389" ht="18.75" customHeight="1"/>
    <row r="390" ht="18.75" customHeight="1"/>
    <row r="391" ht="18.75" customHeight="1"/>
    <row r="392" ht="18.75" customHeight="1"/>
    <row r="393" ht="18.75" customHeight="1"/>
    <row r="394" ht="18.75" customHeight="1"/>
    <row r="395" ht="18.75" customHeight="1"/>
    <row r="396" ht="18.75" customHeight="1"/>
    <row r="397" ht="18.75" customHeight="1"/>
    <row r="398" ht="18.75" customHeight="1"/>
    <row r="399" ht="18.75" customHeight="1"/>
    <row r="400" ht="18.75" customHeight="1"/>
    <row r="401" ht="18.75" customHeight="1"/>
    <row r="402" ht="18.75" customHeight="1"/>
    <row r="403" ht="18.75" customHeight="1"/>
    <row r="404" ht="18.75" customHeight="1"/>
    <row r="405" ht="18.75" customHeight="1"/>
    <row r="406" ht="18.75" customHeight="1"/>
    <row r="407" ht="18.75" customHeight="1"/>
    <row r="408" ht="18.75" customHeight="1"/>
    <row r="409" ht="18.75" customHeight="1"/>
    <row r="410" ht="18.75" customHeight="1"/>
    <row r="411" ht="18.75" customHeight="1"/>
    <row r="412" ht="18.75" customHeight="1"/>
    <row r="413" ht="18.75" customHeight="1"/>
    <row r="414" ht="18.75" customHeight="1"/>
    <row r="415" ht="18.75" customHeight="1"/>
    <row r="416" ht="18.75" customHeight="1"/>
    <row r="417" ht="18.75" customHeight="1"/>
    <row r="418" ht="18.75" customHeight="1"/>
    <row r="419" ht="18.75" customHeight="1"/>
    <row r="420" ht="18.75" customHeight="1"/>
    <row r="421" ht="18.75" customHeight="1"/>
    <row r="422" ht="18.75" customHeight="1"/>
    <row r="423" ht="18.75" customHeight="1"/>
    <row r="424" ht="18.75" customHeight="1"/>
    <row r="425" ht="18.75" customHeight="1"/>
    <row r="426" ht="18.75" customHeight="1"/>
    <row r="427" ht="18.75" customHeight="1"/>
    <row r="428" ht="18.75" customHeight="1"/>
    <row r="429" ht="18.75" customHeight="1"/>
    <row r="430" ht="18.75" customHeight="1"/>
    <row r="431" ht="18.75" customHeight="1"/>
    <row r="432" ht="18.75" customHeight="1"/>
    <row r="433" ht="18.75" customHeight="1"/>
    <row r="434" ht="18.75" customHeight="1"/>
    <row r="435" ht="18.75" customHeight="1"/>
    <row r="436" ht="18.75" customHeight="1"/>
    <row r="437" ht="18.75" customHeight="1"/>
    <row r="438" ht="18.75" customHeight="1"/>
    <row r="439" ht="18.75" customHeight="1"/>
    <row r="440" ht="18.75" customHeight="1"/>
    <row r="441" ht="18.75" customHeight="1"/>
    <row r="442" ht="18.75" customHeight="1"/>
    <row r="443" ht="18.75" customHeight="1"/>
    <row r="444" ht="18.75" customHeight="1"/>
    <row r="445" ht="18.75" customHeight="1"/>
    <row r="446" ht="18.75" customHeight="1"/>
    <row r="447" ht="18.75" customHeight="1"/>
    <row r="448" ht="18.75" customHeight="1"/>
    <row r="449" ht="18.75" customHeight="1"/>
    <row r="450" ht="18.75" customHeight="1"/>
    <row r="451" ht="18.75" customHeight="1"/>
    <row r="452" ht="18.75" customHeight="1"/>
    <row r="453" ht="18.75" customHeight="1"/>
    <row r="454" ht="18.75" customHeight="1"/>
    <row r="455" ht="18.75" customHeight="1"/>
    <row r="456" ht="18.75" customHeight="1"/>
    <row r="457" ht="18.75" customHeight="1"/>
    <row r="458" ht="18.75" customHeight="1"/>
    <row r="459" ht="18.75" customHeight="1"/>
    <row r="460" ht="18.75" customHeight="1"/>
    <row r="461" ht="18.75" customHeight="1"/>
    <row r="462" ht="18.75" customHeight="1"/>
    <row r="463" ht="18.75" customHeight="1"/>
    <row r="464" ht="18.75" customHeight="1"/>
    <row r="465" ht="18.75" customHeight="1"/>
    <row r="466" ht="18.75" customHeight="1"/>
    <row r="467" ht="18.75" customHeight="1"/>
    <row r="468" ht="18.75" customHeight="1"/>
    <row r="469" ht="18.75" customHeight="1"/>
    <row r="470" ht="18.75" customHeight="1"/>
    <row r="471" ht="18.75" customHeight="1"/>
    <row r="472" ht="18.75" customHeight="1"/>
    <row r="473" ht="18.75" customHeight="1"/>
    <row r="474" ht="18.75" customHeight="1"/>
    <row r="475" ht="18.75" customHeight="1"/>
    <row r="476" ht="18.75" customHeight="1"/>
    <row r="477" ht="18.75" customHeight="1"/>
    <row r="478" ht="18.75" customHeight="1"/>
    <row r="479" ht="18.75" customHeight="1"/>
    <row r="480" ht="18.75" customHeight="1"/>
    <row r="481" ht="18.75" customHeight="1"/>
    <row r="482" ht="18.75" customHeight="1"/>
    <row r="483" ht="18.75" customHeight="1"/>
    <row r="484" ht="18.75" customHeight="1"/>
    <row r="485" ht="18.75" customHeight="1"/>
    <row r="486" ht="18.75" customHeight="1"/>
    <row r="487" ht="18.75" customHeight="1"/>
    <row r="488" ht="18.75" customHeight="1"/>
    <row r="489" ht="18.75" customHeight="1"/>
    <row r="490" ht="18.75" customHeight="1"/>
    <row r="491" ht="18.75" customHeight="1"/>
    <row r="492" ht="18.75" customHeight="1"/>
    <row r="493" ht="18.75" customHeight="1"/>
    <row r="494" ht="18.75" customHeight="1"/>
    <row r="495" ht="18.75" customHeight="1"/>
    <row r="496" ht="18.75" customHeight="1"/>
    <row r="497" ht="18.75" customHeight="1"/>
    <row r="498" ht="18.75" customHeight="1"/>
    <row r="499" ht="18.75" customHeight="1"/>
    <row r="500" ht="18.75" customHeight="1"/>
    <row r="501" ht="18.75" customHeight="1"/>
    <row r="502" ht="18.75" customHeight="1"/>
    <row r="503" ht="18.75" customHeight="1"/>
    <row r="504" ht="18.75" customHeight="1"/>
    <row r="505" ht="18.75" customHeight="1"/>
    <row r="506" ht="18.75" customHeight="1"/>
    <row r="507" ht="18.75" customHeight="1"/>
    <row r="508" ht="18.75" customHeight="1"/>
    <row r="509" ht="18.75" customHeight="1"/>
    <row r="510" ht="18.75" customHeight="1"/>
    <row r="511" ht="18.75" customHeight="1"/>
    <row r="512" ht="18.75" customHeight="1"/>
    <row r="513" ht="18.75" customHeight="1"/>
    <row r="514" ht="18.75" customHeight="1"/>
    <row r="515" ht="18.75" customHeight="1"/>
    <row r="516" ht="18.75" customHeight="1"/>
    <row r="517" ht="18.75" customHeight="1"/>
    <row r="518" ht="18.75" customHeight="1"/>
    <row r="519" ht="18.75" customHeight="1"/>
    <row r="520" ht="18.75" customHeight="1"/>
    <row r="521" ht="18.75" customHeight="1"/>
    <row r="522" ht="18.75" customHeight="1"/>
    <row r="523" ht="18.75" customHeight="1"/>
    <row r="524" ht="18.75" customHeight="1"/>
    <row r="525" ht="18.75" customHeight="1"/>
    <row r="526" ht="18.75" customHeight="1"/>
    <row r="527" ht="18.75" customHeight="1"/>
    <row r="528" ht="18.75" customHeight="1"/>
    <row r="529" ht="18.75" customHeight="1"/>
    <row r="530" ht="18.75" customHeight="1"/>
    <row r="531" ht="18.75" customHeight="1"/>
    <row r="532" ht="18.75" customHeight="1"/>
    <row r="533" ht="18.75" customHeight="1"/>
    <row r="534" ht="18.75" customHeight="1"/>
    <row r="535" ht="18.75" customHeight="1"/>
    <row r="536" ht="18.75" customHeight="1"/>
    <row r="537" ht="18.75" customHeight="1"/>
    <row r="538" ht="18.75" customHeight="1"/>
    <row r="539" ht="18.75" customHeight="1"/>
    <row r="540" ht="18.75" customHeight="1"/>
    <row r="541" ht="18.75" customHeight="1"/>
    <row r="542" ht="18.75" customHeight="1"/>
    <row r="543" ht="18.75" customHeight="1"/>
    <row r="544" ht="18.75" customHeight="1"/>
    <row r="545" ht="18.75" customHeight="1"/>
    <row r="546" ht="18.75" customHeight="1"/>
    <row r="547" ht="18.75" customHeight="1"/>
    <row r="548" ht="18.75" customHeight="1"/>
    <row r="549" ht="18.75" customHeight="1"/>
    <row r="550" ht="18.75" customHeight="1"/>
    <row r="551" ht="18.75" customHeight="1"/>
    <row r="552" ht="18.75" customHeight="1"/>
    <row r="553" ht="18.75" customHeight="1"/>
    <row r="554" ht="18.75" customHeight="1"/>
    <row r="555" ht="18.75" customHeight="1"/>
    <row r="556" ht="18.75" customHeight="1"/>
    <row r="557" ht="18.75" customHeight="1"/>
    <row r="558" ht="18.75" customHeight="1"/>
    <row r="559" ht="18.75" customHeight="1"/>
    <row r="560" ht="18.75" customHeight="1"/>
    <row r="561" ht="18.75" customHeight="1"/>
    <row r="562" ht="18.75" customHeight="1"/>
    <row r="563" ht="18.75" customHeight="1"/>
    <row r="564" ht="18.75" customHeight="1"/>
    <row r="565" ht="18.75" customHeight="1"/>
    <row r="566" ht="18.75" customHeight="1"/>
    <row r="567" ht="18.75" customHeight="1"/>
    <row r="568" ht="18.75" customHeight="1"/>
    <row r="569" ht="18.75" customHeight="1"/>
    <row r="570" ht="18.75" customHeight="1"/>
    <row r="571" ht="18.75" customHeight="1"/>
    <row r="572" ht="18.75" customHeight="1"/>
    <row r="573" ht="18.75" customHeight="1"/>
    <row r="574" ht="18.75" customHeight="1"/>
    <row r="575" ht="18.75" customHeight="1"/>
    <row r="576" ht="18.75" customHeight="1"/>
    <row r="577" ht="18.75" customHeight="1"/>
    <row r="578" ht="18.75" customHeight="1"/>
    <row r="579" ht="18.75" customHeight="1"/>
    <row r="580" ht="18.75" customHeight="1"/>
    <row r="581" ht="18.75" customHeight="1"/>
    <row r="582" ht="18.75" customHeight="1"/>
    <row r="583" ht="18.75" customHeight="1"/>
    <row r="584" ht="18.75" customHeight="1"/>
    <row r="585" ht="18.75" customHeight="1"/>
    <row r="586" ht="18.75" customHeight="1"/>
    <row r="587" ht="18.75" customHeight="1"/>
    <row r="588" ht="18.75" customHeight="1"/>
    <row r="589" ht="18.75" customHeight="1"/>
    <row r="590" ht="18.75" customHeight="1"/>
    <row r="591" ht="18.75" customHeight="1"/>
    <row r="592" ht="18.75" customHeight="1"/>
    <row r="593" ht="18.75" customHeight="1"/>
    <row r="594" ht="18.75" customHeight="1"/>
    <row r="595" ht="18.75" customHeight="1"/>
    <row r="596" ht="18.75" customHeight="1"/>
    <row r="597" ht="18.75" customHeight="1"/>
    <row r="598" ht="18.75" customHeight="1"/>
    <row r="599" ht="18.75" customHeight="1"/>
    <row r="600" ht="18.75" customHeight="1"/>
    <row r="601" ht="18.75" customHeight="1"/>
    <row r="602" ht="18.75" customHeight="1"/>
    <row r="603" ht="18.75" customHeight="1"/>
    <row r="604" ht="18.75" customHeight="1"/>
    <row r="605" ht="18.75" customHeight="1"/>
    <row r="606" ht="18.75" customHeight="1"/>
    <row r="607" ht="18.75" customHeight="1"/>
    <row r="608" ht="18.75" customHeight="1"/>
    <row r="609" ht="18.75" customHeight="1"/>
    <row r="610" ht="18.75" customHeight="1"/>
    <row r="611" ht="18.75" customHeight="1"/>
    <row r="612" ht="18.75" customHeight="1"/>
    <row r="613" ht="18.75" customHeight="1"/>
    <row r="614" ht="18.75" customHeight="1"/>
    <row r="615" ht="18.75" customHeight="1"/>
    <row r="616" ht="18.75" customHeight="1"/>
    <row r="617" ht="18.75" customHeight="1"/>
    <row r="618" ht="18.75" customHeight="1"/>
    <row r="619" ht="18.75" customHeight="1"/>
    <row r="620" ht="18.75" customHeight="1"/>
    <row r="621" ht="18.75" customHeight="1"/>
    <row r="622" ht="18.75" customHeight="1"/>
    <row r="623" ht="18.75" customHeight="1"/>
    <row r="624" ht="18.75" customHeight="1"/>
    <row r="625" ht="18.75" customHeight="1"/>
    <row r="626" ht="18.75" customHeight="1"/>
    <row r="627" ht="18.75" customHeight="1"/>
    <row r="628" ht="18.75" customHeight="1"/>
    <row r="629" ht="18.75" customHeight="1"/>
    <row r="630" ht="18.75" customHeight="1"/>
    <row r="631" ht="18.75" customHeight="1"/>
    <row r="632" ht="18.75" customHeight="1"/>
    <row r="633" ht="18.75" customHeight="1"/>
    <row r="634" ht="18.75" customHeight="1"/>
    <row r="635" ht="18.75" customHeight="1"/>
    <row r="636" ht="18.75" customHeight="1"/>
    <row r="637" ht="18.75" customHeight="1"/>
    <row r="638" ht="18.75" customHeight="1"/>
    <row r="639" ht="18.75" customHeight="1"/>
    <row r="640" ht="18.75" customHeight="1"/>
    <row r="641" ht="18.75" customHeight="1"/>
    <row r="642" ht="18.75" customHeight="1"/>
    <row r="643" ht="18.75" customHeight="1"/>
    <row r="644" ht="18.75" customHeight="1"/>
    <row r="645" ht="18.75" customHeight="1"/>
    <row r="646" ht="18.75" customHeight="1"/>
    <row r="647" ht="18.75" customHeight="1"/>
    <row r="648" ht="18.75" customHeight="1"/>
    <row r="649" ht="18.75" customHeight="1"/>
    <row r="650" ht="18.75" customHeight="1"/>
    <row r="651" ht="18.75" customHeight="1"/>
    <row r="652" ht="18.75" customHeight="1"/>
    <row r="653" ht="18.75" customHeight="1"/>
    <row r="654" ht="18.75" customHeight="1"/>
    <row r="655" ht="18.75" customHeight="1"/>
    <row r="656" ht="18.75" customHeight="1"/>
    <row r="657" ht="18.75" customHeight="1"/>
    <row r="658" ht="18.75" customHeight="1"/>
    <row r="659" ht="18.75" customHeight="1"/>
    <row r="660" ht="18.75" customHeight="1"/>
    <row r="661" ht="18.75" customHeight="1"/>
    <row r="662" ht="18.75" customHeight="1"/>
    <row r="663" ht="18.75" customHeight="1"/>
    <row r="664" ht="18.75" customHeight="1"/>
    <row r="665" ht="18.75" customHeight="1"/>
    <row r="666" ht="18.75" customHeight="1"/>
    <row r="667" ht="18.75" customHeight="1"/>
    <row r="668" ht="18.75" customHeight="1"/>
    <row r="669" ht="18.75" customHeight="1"/>
    <row r="670" ht="18.75" customHeight="1"/>
    <row r="671" ht="18.75" customHeight="1"/>
    <row r="672" ht="18.75" customHeight="1"/>
    <row r="673" ht="18.75" customHeight="1"/>
    <row r="674" ht="18.75" customHeight="1"/>
    <row r="675" ht="18.75" customHeight="1"/>
    <row r="676" ht="18.75" customHeight="1"/>
    <row r="677" ht="18.75" customHeight="1"/>
    <row r="678" ht="18.75" customHeight="1"/>
    <row r="679" ht="18.75" customHeight="1"/>
    <row r="680" ht="18.75" customHeight="1"/>
    <row r="681" ht="18.75" customHeight="1"/>
    <row r="682" ht="18.75" customHeight="1"/>
    <row r="683" ht="18.75" customHeight="1"/>
    <row r="684" ht="18.75" customHeight="1"/>
    <row r="685" ht="18.75" customHeight="1"/>
    <row r="686" ht="18.75" customHeight="1"/>
    <row r="687" ht="18.75" customHeight="1"/>
    <row r="688" ht="18.75" customHeight="1"/>
    <row r="689" ht="18.75" customHeight="1"/>
    <row r="690" ht="18.75" customHeight="1"/>
    <row r="691" ht="18.75" customHeight="1"/>
    <row r="692" ht="18.75" customHeight="1"/>
    <row r="693" ht="18.75" customHeight="1"/>
    <row r="694" ht="18.75" customHeight="1"/>
    <row r="695" ht="18.75" customHeight="1"/>
    <row r="696" ht="18.75" customHeight="1"/>
    <row r="697" ht="18.75" customHeight="1"/>
    <row r="698" ht="18.75" customHeight="1"/>
    <row r="699" ht="18.75" customHeight="1"/>
    <row r="700" ht="18.75" customHeight="1"/>
    <row r="701" ht="18.75" customHeight="1"/>
    <row r="702" ht="18.75" customHeight="1"/>
    <row r="703" ht="18.75" customHeight="1"/>
    <row r="704" ht="18.75" customHeight="1"/>
    <row r="705" ht="18.75" customHeight="1"/>
    <row r="706" ht="18.75" customHeight="1"/>
    <row r="707" ht="18.75" customHeight="1"/>
    <row r="708" ht="18.75" customHeight="1"/>
    <row r="709" ht="18.75" customHeight="1"/>
    <row r="710" ht="18.75" customHeight="1"/>
    <row r="711" ht="18.75" customHeight="1"/>
    <row r="712" ht="18.75" customHeight="1"/>
    <row r="713" ht="18.75" customHeight="1"/>
    <row r="714" ht="18.75" customHeight="1"/>
    <row r="715" ht="18.75" customHeight="1"/>
    <row r="716" ht="18.75" customHeight="1"/>
    <row r="717" ht="18.75" customHeight="1"/>
    <row r="718" ht="18.75" customHeight="1"/>
    <row r="719" ht="18.75" customHeight="1"/>
    <row r="720" ht="18.75" customHeight="1"/>
    <row r="721" ht="18.75" customHeight="1"/>
    <row r="722" ht="18.75" customHeight="1"/>
    <row r="723" ht="18.75" customHeight="1"/>
    <row r="724" ht="18.75" customHeight="1"/>
    <row r="725" ht="18.75" customHeight="1"/>
    <row r="726" ht="18.75" customHeight="1"/>
    <row r="727" ht="18.75" customHeight="1"/>
    <row r="728" ht="18.75" customHeight="1"/>
    <row r="729" ht="18.75" customHeight="1"/>
    <row r="730" ht="18.75" customHeight="1"/>
    <row r="731" ht="18.75" customHeight="1"/>
    <row r="732" ht="18.75" customHeight="1"/>
    <row r="733" ht="18.75" customHeight="1"/>
    <row r="734" ht="18.75" customHeight="1"/>
    <row r="735" ht="18.75" customHeight="1"/>
    <row r="736" ht="18.75" customHeight="1"/>
    <row r="737" ht="18.75" customHeight="1"/>
    <row r="738" ht="18.75" customHeight="1"/>
    <row r="739" ht="18.75" customHeight="1"/>
    <row r="740" ht="18.75" customHeight="1"/>
    <row r="741" ht="18.75" customHeight="1"/>
    <row r="742" ht="18.75" customHeight="1"/>
    <row r="743" ht="18.75" customHeight="1"/>
    <row r="744" ht="18.75" customHeight="1"/>
    <row r="745" ht="18.75" customHeight="1"/>
    <row r="746" ht="18.75" customHeight="1"/>
    <row r="747" ht="18.75" customHeight="1"/>
    <row r="748" ht="18.75" customHeight="1"/>
    <row r="749" ht="18.75" customHeight="1"/>
    <row r="750" ht="18.75" customHeight="1"/>
    <row r="751" ht="18.75" customHeight="1"/>
    <row r="752" ht="18.75" customHeight="1"/>
    <row r="753" ht="18.75" customHeight="1"/>
    <row r="754" ht="18.75" customHeight="1"/>
    <row r="755" ht="18.75" customHeight="1"/>
    <row r="756" ht="18.75" customHeight="1"/>
    <row r="757" ht="18.75" customHeight="1"/>
    <row r="758" ht="18.75" customHeight="1"/>
  </sheetData>
  <printOptions horizontalCentered="1" gridLines="1"/>
  <pageMargins left="0.39370078740157483" right="0.39370078740157483" top="1.5748031496062993" bottom="0.39370078740157483" header="0.39370078740157483" footer="0"/>
  <pageSetup paperSize="9" fitToHeight="0" orientation="landscape" r:id="rId1"/>
  <headerFooter alignWithMargins="0">
    <oddHeader>&amp;C&amp;"Arial,Negrita"&amp;12TRAYECTO: L11&amp;R&amp;D</oddHeader>
    <oddFooter>&amp;L&amp;F&amp;C&amp;P DE &amp;N</odd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tabColor rgb="FF0070C0"/>
    <pageSetUpPr fitToPage="1"/>
  </sheetPr>
  <dimension ref="A1:K252"/>
  <sheetViews>
    <sheetView showGridLines="0" zoomScale="83" zoomScaleNormal="83" workbookViewId="0">
      <pane ySplit="8" topLeftCell="A44" activePane="bottomLeft" state="frozen"/>
      <selection activeCell="A167" sqref="A167:XFD167"/>
      <selection pane="bottomLeft" activeCell="B28" sqref="B28"/>
    </sheetView>
  </sheetViews>
  <sheetFormatPr baseColWidth="10" defaultColWidth="9.08984375" defaultRowHeight="12.5"/>
  <cols>
    <col min="1" max="1" width="20.36328125" style="850" customWidth="1"/>
    <col min="2" max="2" width="12.453125" style="850" bestFit="1" customWidth="1"/>
    <col min="3" max="3" width="13.453125" style="850" customWidth="1"/>
    <col min="4" max="8" width="10.6328125" style="149" customWidth="1"/>
    <col min="9" max="10" width="10.6328125" style="850" customWidth="1"/>
    <col min="11" max="11" width="11.6328125" style="850" customWidth="1"/>
    <col min="12" max="16384" width="9.08984375" style="850"/>
  </cols>
  <sheetData>
    <row r="1" spans="1:11" ht="14.5">
      <c r="B1" s="828" t="s">
        <v>4247</v>
      </c>
      <c r="C1" s="852"/>
    </row>
    <row r="2" spans="1:11" ht="14.5">
      <c r="A2" s="853" t="s">
        <v>4405</v>
      </c>
      <c r="B2" s="829" t="s">
        <v>4594</v>
      </c>
      <c r="C2" s="850" t="s">
        <v>4473</v>
      </c>
    </row>
    <row r="3" spans="1:11" ht="14.5">
      <c r="A3" s="853" t="s">
        <v>4404</v>
      </c>
      <c r="B3" s="1195" t="s">
        <v>4407</v>
      </c>
      <c r="C3" s="850" t="s">
        <v>4474</v>
      </c>
    </row>
    <row r="4" spans="1:11" ht="14.5">
      <c r="A4" s="853" t="s">
        <v>4406</v>
      </c>
      <c r="B4" s="829" t="s">
        <v>4663</v>
      </c>
      <c r="C4" s="850" t="s">
        <v>4475</v>
      </c>
    </row>
    <row r="5" spans="1:11" ht="14.5">
      <c r="A5" s="1183" t="s">
        <v>4409</v>
      </c>
      <c r="B5" s="1184" t="s">
        <v>4412</v>
      </c>
      <c r="C5" s="1185" t="s">
        <v>4479</v>
      </c>
      <c r="D5" s="1186"/>
      <c r="E5" s="1186"/>
    </row>
    <row r="6" spans="1:11" ht="14.5">
      <c r="A6" s="1183" t="s">
        <v>4410</v>
      </c>
      <c r="B6" s="1184" t="s">
        <v>4407</v>
      </c>
      <c r="C6" s="1185" t="s">
        <v>4476</v>
      </c>
      <c r="D6" s="1186"/>
      <c r="E6" s="1186"/>
    </row>
    <row r="7" spans="1:11" ht="14.5">
      <c r="A7" s="1183" t="s">
        <v>4411</v>
      </c>
      <c r="B7" s="1184" t="s">
        <v>4407</v>
      </c>
      <c r="C7" s="1185" t="s">
        <v>4477</v>
      </c>
      <c r="D7" s="1186"/>
      <c r="E7" s="1186"/>
    </row>
    <row r="8" spans="1:11" ht="14.5">
      <c r="A8" s="1183" t="s">
        <v>4472</v>
      </c>
      <c r="B8" s="1184" t="s">
        <v>4595</v>
      </c>
      <c r="C8" s="1185" t="s">
        <v>4478</v>
      </c>
      <c r="D8" s="1186"/>
      <c r="E8" s="1186"/>
    </row>
    <row r="10" spans="1:11" ht="22.5">
      <c r="A10" s="1675" t="s">
        <v>4401</v>
      </c>
      <c r="B10" s="1676"/>
      <c r="C10" s="1676"/>
      <c r="D10" s="1676"/>
      <c r="E10" s="1676"/>
      <c r="F10" s="1676"/>
      <c r="G10" s="1676"/>
      <c r="H10" s="1676"/>
      <c r="I10" s="1676"/>
      <c r="J10" s="1677"/>
    </row>
    <row r="11" spans="1:11" ht="13" thickBot="1"/>
    <row r="12" spans="1:11" ht="13.5" thickBot="1">
      <c r="A12" s="1643" t="s">
        <v>4248</v>
      </c>
      <c r="B12" s="1644"/>
      <c r="C12" s="1644"/>
      <c r="D12" s="1644"/>
      <c r="E12" s="1644"/>
      <c r="F12" s="1644"/>
      <c r="G12" s="1644"/>
      <c r="H12" s="1644"/>
      <c r="I12" s="1644"/>
      <c r="J12" s="1645"/>
      <c r="K12" s="997"/>
    </row>
    <row r="13" spans="1:11" ht="29">
      <c r="A13" s="1639" t="s">
        <v>4249</v>
      </c>
      <c r="B13" s="1639" t="s">
        <v>4250</v>
      </c>
      <c r="C13" s="1641"/>
      <c r="D13" s="857" t="s">
        <v>4251</v>
      </c>
      <c r="E13" s="857" t="s">
        <v>4252</v>
      </c>
      <c r="F13" s="857" t="s">
        <v>4253</v>
      </c>
      <c r="G13" s="857" t="s">
        <v>4254</v>
      </c>
      <c r="H13" s="857" t="s">
        <v>4255</v>
      </c>
      <c r="I13" s="857" t="s">
        <v>4369</v>
      </c>
      <c r="J13" s="857" t="s">
        <v>4370</v>
      </c>
      <c r="K13" s="998"/>
    </row>
    <row r="14" spans="1:11" ht="14.5">
      <c r="A14" s="1640"/>
      <c r="B14" s="1640"/>
      <c r="C14" s="1642"/>
      <c r="D14" s="855" t="s">
        <v>4256</v>
      </c>
      <c r="E14" s="855" t="s">
        <v>4256</v>
      </c>
      <c r="F14" s="855" t="s">
        <v>4257</v>
      </c>
      <c r="G14" s="855" t="s">
        <v>4258</v>
      </c>
      <c r="H14" s="855" t="s">
        <v>4259</v>
      </c>
      <c r="I14" s="855" t="s">
        <v>4371</v>
      </c>
      <c r="J14" s="855" t="s">
        <v>4372</v>
      </c>
      <c r="K14" s="998"/>
    </row>
    <row r="15" spans="1:11" ht="14.5">
      <c r="A15" s="851" t="str">
        <f t="shared" ref="A15:A23" si="0">CONCATENATE($A$2,"-",$B$2,"-",B15)</f>
        <v>App.7-V11A-P9.5.1.1</v>
      </c>
      <c r="B15" s="150" t="s">
        <v>4260</v>
      </c>
      <c r="C15" s="848" t="s">
        <v>4261</v>
      </c>
      <c r="D15" s="830" t="s">
        <v>229</v>
      </c>
      <c r="E15" s="830" t="s">
        <v>229</v>
      </c>
      <c r="F15" s="830" t="s">
        <v>229</v>
      </c>
      <c r="G15" s="831" t="s">
        <v>230</v>
      </c>
      <c r="H15" s="831" t="s">
        <v>230</v>
      </c>
      <c r="I15" s="859" t="s">
        <v>230</v>
      </c>
      <c r="J15" s="860" t="s">
        <v>231</v>
      </c>
      <c r="K15" s="998"/>
    </row>
    <row r="16" spans="1:11" ht="14.5">
      <c r="A16" s="851" t="str">
        <f t="shared" si="0"/>
        <v>App.7-V11A-P9.5.1.2</v>
      </c>
      <c r="B16" s="150" t="s">
        <v>4262</v>
      </c>
      <c r="C16" s="848" t="s">
        <v>874</v>
      </c>
      <c r="D16" s="830" t="s">
        <v>229</v>
      </c>
      <c r="E16" s="830" t="s">
        <v>229</v>
      </c>
      <c r="F16" s="830" t="s">
        <v>229</v>
      </c>
      <c r="G16" s="831" t="s">
        <v>230</v>
      </c>
      <c r="H16" s="831" t="s">
        <v>230</v>
      </c>
      <c r="I16" s="861" t="s">
        <v>232</v>
      </c>
      <c r="J16" s="862" t="s">
        <v>896</v>
      </c>
      <c r="K16" s="998"/>
    </row>
    <row r="17" spans="1:11" ht="14.5">
      <c r="A17" s="851" t="str">
        <f t="shared" si="0"/>
        <v>App.7-V11A-P9.5.1.3</v>
      </c>
      <c r="B17" s="150" t="s">
        <v>4263</v>
      </c>
      <c r="C17" s="848" t="s">
        <v>873</v>
      </c>
      <c r="D17" s="831" t="s">
        <v>230</v>
      </c>
      <c r="E17" s="831" t="s">
        <v>230</v>
      </c>
      <c r="F17" s="831" t="s">
        <v>230</v>
      </c>
      <c r="G17" s="831" t="s">
        <v>230</v>
      </c>
      <c r="H17" s="832" t="s">
        <v>232</v>
      </c>
      <c r="I17" s="861" t="s">
        <v>232</v>
      </c>
      <c r="J17" s="862" t="s">
        <v>896</v>
      </c>
      <c r="K17" s="998"/>
    </row>
    <row r="18" spans="1:11" ht="14.5">
      <c r="A18" s="851" t="str">
        <f t="shared" si="0"/>
        <v>App.7-V11A-P9.5.1.4</v>
      </c>
      <c r="B18" s="150" t="s">
        <v>4264</v>
      </c>
      <c r="C18" s="848" t="s">
        <v>620</v>
      </c>
      <c r="D18" s="831" t="s">
        <v>230</v>
      </c>
      <c r="E18" s="831" t="s">
        <v>230</v>
      </c>
      <c r="F18" s="831" t="s">
        <v>230</v>
      </c>
      <c r="G18" s="832" t="s">
        <v>232</v>
      </c>
      <c r="H18" s="832" t="s">
        <v>232</v>
      </c>
      <c r="I18" s="860" t="s">
        <v>231</v>
      </c>
      <c r="J18" s="862" t="s">
        <v>896</v>
      </c>
      <c r="K18" s="998"/>
    </row>
    <row r="19" spans="1:11" ht="16.5">
      <c r="A19" s="851" t="str">
        <f t="shared" si="0"/>
        <v>App.7-V11A-P9.5.1.5</v>
      </c>
      <c r="B19" s="150" t="s">
        <v>4265</v>
      </c>
      <c r="C19" s="848" t="s">
        <v>619</v>
      </c>
      <c r="D19" s="831" t="s">
        <v>4266</v>
      </c>
      <c r="E19" s="831" t="s">
        <v>4266</v>
      </c>
      <c r="F19" s="831" t="s">
        <v>4266</v>
      </c>
      <c r="G19" s="833" t="s">
        <v>895</v>
      </c>
      <c r="H19" s="833" t="s">
        <v>895</v>
      </c>
      <c r="I19" s="863" t="s">
        <v>895</v>
      </c>
      <c r="J19" s="862" t="s">
        <v>896</v>
      </c>
      <c r="K19" s="998"/>
    </row>
    <row r="20" spans="1:11" ht="14.5">
      <c r="A20" s="851" t="str">
        <f t="shared" si="0"/>
        <v>App.7-V11A-P9.5.1.6</v>
      </c>
      <c r="B20" s="150" t="s">
        <v>4267</v>
      </c>
      <c r="C20" s="848" t="s">
        <v>138</v>
      </c>
      <c r="D20" s="831" t="s">
        <v>230</v>
      </c>
      <c r="E20" s="831" t="s">
        <v>230</v>
      </c>
      <c r="F20" s="831" t="s">
        <v>230</v>
      </c>
      <c r="G20" s="832" t="s">
        <v>232</v>
      </c>
      <c r="H20" s="832" t="s">
        <v>232</v>
      </c>
      <c r="I20" s="860" t="s">
        <v>231</v>
      </c>
      <c r="J20" s="864" t="s">
        <v>4379</v>
      </c>
      <c r="K20" s="998"/>
    </row>
    <row r="21" spans="1:11" ht="14.5">
      <c r="A21" s="851" t="str">
        <f t="shared" si="0"/>
        <v>App.7-V11A-P9.5.1.7</v>
      </c>
      <c r="B21" s="150" t="s">
        <v>4268</v>
      </c>
      <c r="C21" s="848" t="s">
        <v>4408</v>
      </c>
      <c r="D21" s="832" t="s">
        <v>232</v>
      </c>
      <c r="E21" s="832" t="s">
        <v>232</v>
      </c>
      <c r="F21" s="832" t="s">
        <v>232</v>
      </c>
      <c r="G21" s="834" t="s">
        <v>231</v>
      </c>
      <c r="H21" s="834" t="s">
        <v>231</v>
      </c>
      <c r="I21" s="862" t="s">
        <v>896</v>
      </c>
      <c r="J21" s="864" t="s">
        <v>4379</v>
      </c>
      <c r="K21" s="998"/>
    </row>
    <row r="22" spans="1:11" ht="14.5">
      <c r="A22" s="851" t="str">
        <f t="shared" si="0"/>
        <v>App.7-V11A-P9.5.1.8</v>
      </c>
      <c r="B22" s="150" t="s">
        <v>4269</v>
      </c>
      <c r="C22" s="848" t="s">
        <v>2133</v>
      </c>
      <c r="D22" s="832" t="s">
        <v>232</v>
      </c>
      <c r="E22" s="832" t="s">
        <v>232</v>
      </c>
      <c r="F22" s="832" t="s">
        <v>232</v>
      </c>
      <c r="G22" s="833" t="s">
        <v>895</v>
      </c>
      <c r="H22" s="835" t="s">
        <v>896</v>
      </c>
      <c r="I22" s="862" t="s">
        <v>896</v>
      </c>
      <c r="J22" s="864" t="s">
        <v>4379</v>
      </c>
      <c r="K22" s="998"/>
    </row>
    <row r="23" spans="1:11" ht="14.5">
      <c r="A23" s="854" t="str">
        <f t="shared" si="0"/>
        <v>App.7-V11A-P9.5.1.9</v>
      </c>
      <c r="B23" s="150" t="s">
        <v>4270</v>
      </c>
      <c r="C23" s="848" t="s">
        <v>4271</v>
      </c>
      <c r="D23" s="832" t="s">
        <v>232</v>
      </c>
      <c r="E23" s="832" t="s">
        <v>232</v>
      </c>
      <c r="F23" s="832" t="s">
        <v>232</v>
      </c>
      <c r="G23" s="834" t="s">
        <v>231</v>
      </c>
      <c r="H23" s="391" t="s">
        <v>4272</v>
      </c>
      <c r="I23" s="865" t="s">
        <v>4272</v>
      </c>
      <c r="J23" s="865" t="s">
        <v>4272</v>
      </c>
      <c r="K23" s="998"/>
    </row>
    <row r="24" spans="1:11" ht="13" thickBot="1"/>
    <row r="25" spans="1:11" ht="13.5" thickBot="1">
      <c r="A25" s="1663" t="s">
        <v>4273</v>
      </c>
      <c r="B25" s="1664"/>
      <c r="C25" s="1664"/>
      <c r="D25" s="1664"/>
      <c r="E25" s="1664"/>
      <c r="F25" s="1664"/>
      <c r="G25" s="1664"/>
      <c r="H25" s="1665"/>
    </row>
    <row r="26" spans="1:11" ht="29">
      <c r="A26" s="1639" t="s">
        <v>4249</v>
      </c>
      <c r="B26" s="1639" t="s">
        <v>4250</v>
      </c>
      <c r="C26" s="1641"/>
      <c r="D26" s="857" t="s">
        <v>4251</v>
      </c>
      <c r="E26" s="857" t="s">
        <v>4252</v>
      </c>
      <c r="F26" s="857" t="s">
        <v>4253</v>
      </c>
      <c r="G26" s="857" t="s">
        <v>4254</v>
      </c>
      <c r="H26" s="857" t="s">
        <v>4255</v>
      </c>
    </row>
    <row r="27" spans="1:11" ht="14.5">
      <c r="A27" s="1640"/>
      <c r="B27" s="1640"/>
      <c r="C27" s="1642"/>
      <c r="D27" s="855" t="s">
        <v>4256</v>
      </c>
      <c r="E27" s="855" t="s">
        <v>4256</v>
      </c>
      <c r="F27" s="855" t="s">
        <v>4257</v>
      </c>
      <c r="G27" s="855" t="s">
        <v>4258</v>
      </c>
      <c r="H27" s="855" t="s">
        <v>4259</v>
      </c>
    </row>
    <row r="28" spans="1:11" ht="14.5">
      <c r="A28" s="851" t="str">
        <f t="shared" ref="A28:A36" si="1">CONCATENATE($A$2,"-",$B$2,"-",B28)</f>
        <v>App.7-V11A-P9.5.3.1</v>
      </c>
      <c r="B28" s="150" t="s">
        <v>4274</v>
      </c>
      <c r="C28" s="848" t="s">
        <v>4261</v>
      </c>
      <c r="D28" s="831" t="s">
        <v>230</v>
      </c>
      <c r="E28" s="831" t="s">
        <v>230</v>
      </c>
      <c r="F28" s="831" t="s">
        <v>230</v>
      </c>
      <c r="G28" s="831" t="s">
        <v>230</v>
      </c>
      <c r="H28" s="831" t="s">
        <v>230</v>
      </c>
    </row>
    <row r="29" spans="1:11" ht="14.5">
      <c r="A29" s="851" t="str">
        <f t="shared" si="1"/>
        <v>App.7-V11A-P9.5.3.2</v>
      </c>
      <c r="B29" s="150" t="s">
        <v>4275</v>
      </c>
      <c r="C29" s="848" t="s">
        <v>874</v>
      </c>
      <c r="D29" s="831" t="s">
        <v>230</v>
      </c>
      <c r="E29" s="831" t="s">
        <v>230</v>
      </c>
      <c r="F29" s="831" t="s">
        <v>230</v>
      </c>
      <c r="G29" s="831" t="s">
        <v>230</v>
      </c>
      <c r="H29" s="831" t="s">
        <v>230</v>
      </c>
    </row>
    <row r="30" spans="1:11" ht="14.5">
      <c r="A30" s="851" t="str">
        <f t="shared" si="1"/>
        <v>App.7-V11A-P9.5.3.3</v>
      </c>
      <c r="B30" s="150" t="s">
        <v>4276</v>
      </c>
      <c r="C30" s="848" t="s">
        <v>873</v>
      </c>
      <c r="D30" s="831" t="s">
        <v>230</v>
      </c>
      <c r="E30" s="831" t="s">
        <v>230</v>
      </c>
      <c r="F30" s="831" t="s">
        <v>230</v>
      </c>
      <c r="G30" s="832" t="s">
        <v>232</v>
      </c>
      <c r="H30" s="832" t="s">
        <v>232</v>
      </c>
    </row>
    <row r="31" spans="1:11" ht="14.5">
      <c r="A31" s="851" t="str">
        <f t="shared" si="1"/>
        <v>App.7-V11A-P9.5.3.4</v>
      </c>
      <c r="B31" s="150" t="s">
        <v>4277</v>
      </c>
      <c r="C31" s="848" t="s">
        <v>620</v>
      </c>
      <c r="D31" s="832" t="s">
        <v>232</v>
      </c>
      <c r="E31" s="832" t="s">
        <v>232</v>
      </c>
      <c r="F31" s="832" t="s">
        <v>232</v>
      </c>
      <c r="G31" s="832" t="s">
        <v>232</v>
      </c>
      <c r="H31" s="832" t="s">
        <v>232</v>
      </c>
    </row>
    <row r="32" spans="1:11" ht="16.5">
      <c r="A32" s="851" t="str">
        <f t="shared" si="1"/>
        <v>App.7-V11A-P9.5.3.5</v>
      </c>
      <c r="B32" s="150" t="s">
        <v>4278</v>
      </c>
      <c r="C32" s="848" t="s">
        <v>619</v>
      </c>
      <c r="D32" s="832" t="s">
        <v>4279</v>
      </c>
      <c r="E32" s="832" t="s">
        <v>4279</v>
      </c>
      <c r="F32" s="832" t="s">
        <v>4279</v>
      </c>
      <c r="G32" s="833" t="s">
        <v>895</v>
      </c>
      <c r="H32" s="833" t="s">
        <v>895</v>
      </c>
    </row>
    <row r="33" spans="1:11" ht="14.5">
      <c r="A33" s="851" t="str">
        <f t="shared" si="1"/>
        <v>App.7-V11A-P9.5.3.6</v>
      </c>
      <c r="B33" s="150" t="s">
        <v>4280</v>
      </c>
      <c r="C33" s="848" t="s">
        <v>138</v>
      </c>
      <c r="D33" s="832" t="s">
        <v>232</v>
      </c>
      <c r="E33" s="832" t="s">
        <v>232</v>
      </c>
      <c r="F33" s="832" t="s">
        <v>232</v>
      </c>
      <c r="G33" s="832" t="s">
        <v>232</v>
      </c>
      <c r="H33" s="834" t="s">
        <v>231</v>
      </c>
    </row>
    <row r="34" spans="1:11" ht="14.5">
      <c r="A34" s="851" t="str">
        <f t="shared" si="1"/>
        <v>App.7-V11A-P9.5.3.7</v>
      </c>
      <c r="B34" s="150" t="s">
        <v>4281</v>
      </c>
      <c r="C34" s="848" t="s">
        <v>4408</v>
      </c>
      <c r="D34" s="832" t="s">
        <v>232</v>
      </c>
      <c r="E34" s="832" t="s">
        <v>232</v>
      </c>
      <c r="F34" s="834" t="s">
        <v>231</v>
      </c>
      <c r="G34" s="834" t="s">
        <v>231</v>
      </c>
      <c r="H34" s="834" t="s">
        <v>231</v>
      </c>
    </row>
    <row r="35" spans="1:11" ht="14.5">
      <c r="A35" s="851" t="str">
        <f t="shared" si="1"/>
        <v>App.7-V11A-P9.5.3.8</v>
      </c>
      <c r="B35" s="150" t="s">
        <v>4282</v>
      </c>
      <c r="C35" s="848" t="s">
        <v>2133</v>
      </c>
      <c r="D35" s="832" t="s">
        <v>232</v>
      </c>
      <c r="E35" s="832" t="s">
        <v>232</v>
      </c>
      <c r="F35" s="832" t="s">
        <v>232</v>
      </c>
      <c r="G35" s="835" t="s">
        <v>896</v>
      </c>
      <c r="H35" s="835" t="s">
        <v>896</v>
      </c>
    </row>
    <row r="36" spans="1:11" ht="14.5">
      <c r="A36" s="854" t="str">
        <f t="shared" si="1"/>
        <v>App.7-V11A-P9.5.3.9</v>
      </c>
      <c r="B36" s="150" t="s">
        <v>4283</v>
      </c>
      <c r="C36" s="848" t="s">
        <v>4271</v>
      </c>
      <c r="D36" s="832" t="s">
        <v>232</v>
      </c>
      <c r="E36" s="832" t="s">
        <v>232</v>
      </c>
      <c r="F36" s="834" t="s">
        <v>231</v>
      </c>
      <c r="G36" s="834" t="s">
        <v>231</v>
      </c>
      <c r="H36" s="391" t="s">
        <v>4272</v>
      </c>
    </row>
    <row r="37" spans="1:11" ht="13" thickBot="1"/>
    <row r="38" spans="1:11" ht="13.5" thickBot="1">
      <c r="A38" s="1643" t="s">
        <v>4284</v>
      </c>
      <c r="B38" s="1644"/>
      <c r="C38" s="1644"/>
      <c r="D38" s="1644"/>
      <c r="E38" s="1644"/>
      <c r="F38" s="1644"/>
      <c r="G38" s="1644"/>
      <c r="H38" s="1644"/>
      <c r="I38" s="1644"/>
      <c r="J38" s="1645"/>
      <c r="K38" s="1678"/>
    </row>
    <row r="39" spans="1:11" ht="30" customHeight="1">
      <c r="A39" s="1639" t="s">
        <v>4249</v>
      </c>
      <c r="B39" s="1639" t="s">
        <v>4250</v>
      </c>
      <c r="C39" s="1641"/>
      <c r="D39" s="857" t="s">
        <v>4251</v>
      </c>
      <c r="E39" s="857" t="s">
        <v>4252</v>
      </c>
      <c r="F39" s="857" t="s">
        <v>4253</v>
      </c>
      <c r="G39" s="857" t="s">
        <v>4254</v>
      </c>
      <c r="H39" s="857" t="s">
        <v>4255</v>
      </c>
      <c r="I39" s="868" t="s">
        <v>4369</v>
      </c>
      <c r="J39" s="868" t="s">
        <v>4370</v>
      </c>
      <c r="K39" s="1679"/>
    </row>
    <row r="40" spans="1:11" ht="15" customHeight="1">
      <c r="A40" s="1640"/>
      <c r="B40" s="1640"/>
      <c r="C40" s="1642"/>
      <c r="D40" s="855" t="s">
        <v>4256</v>
      </c>
      <c r="E40" s="855" t="s">
        <v>4256</v>
      </c>
      <c r="F40" s="855" t="s">
        <v>4257</v>
      </c>
      <c r="G40" s="855" t="s">
        <v>4258</v>
      </c>
      <c r="H40" s="855" t="s">
        <v>4259</v>
      </c>
      <c r="I40" s="869" t="s">
        <v>4371</v>
      </c>
      <c r="J40" s="869" t="s">
        <v>4372</v>
      </c>
      <c r="K40" s="1679"/>
    </row>
    <row r="41" spans="1:11" ht="14.5">
      <c r="A41" s="851" t="str">
        <f t="shared" ref="A41:A49" si="2">CONCATENATE($A$2,"-",$B$2,"-",B41)</f>
        <v>App.7-V11A-P9.5.4.1</v>
      </c>
      <c r="B41" s="150" t="s">
        <v>4285</v>
      </c>
      <c r="C41" s="848" t="s">
        <v>4261</v>
      </c>
      <c r="D41" s="168" t="s">
        <v>229</v>
      </c>
      <c r="E41" s="168" t="s">
        <v>229</v>
      </c>
      <c r="F41" s="168" t="s">
        <v>229</v>
      </c>
      <c r="G41" s="168" t="s">
        <v>230</v>
      </c>
      <c r="H41" s="391" t="s">
        <v>230</v>
      </c>
      <c r="I41" s="870" t="s">
        <v>230</v>
      </c>
      <c r="J41" s="871" t="s">
        <v>231</v>
      </c>
      <c r="K41" s="1679"/>
    </row>
    <row r="42" spans="1:11" ht="15" customHeight="1">
      <c r="A42" s="851" t="str">
        <f t="shared" si="2"/>
        <v>App.7-V11A-P9.5.4.2</v>
      </c>
      <c r="B42" s="150" t="s">
        <v>4286</v>
      </c>
      <c r="C42" s="848" t="s">
        <v>874</v>
      </c>
      <c r="D42" s="168" t="s">
        <v>229</v>
      </c>
      <c r="E42" s="866" t="s">
        <v>230</v>
      </c>
      <c r="F42" s="866" t="s">
        <v>230</v>
      </c>
      <c r="G42" s="168" t="s">
        <v>230</v>
      </c>
      <c r="H42" s="391" t="s">
        <v>230</v>
      </c>
      <c r="I42" s="872" t="s">
        <v>232</v>
      </c>
      <c r="J42" s="873" t="s">
        <v>896</v>
      </c>
      <c r="K42" s="1679"/>
    </row>
    <row r="43" spans="1:11" ht="15" customHeight="1">
      <c r="A43" s="851" t="str">
        <f t="shared" si="2"/>
        <v>App.7-V11A-P9.5.4.3</v>
      </c>
      <c r="B43" s="150" t="s">
        <v>4287</v>
      </c>
      <c r="C43" s="848" t="s">
        <v>873</v>
      </c>
      <c r="D43" s="168" t="s">
        <v>230</v>
      </c>
      <c r="E43" s="168" t="s">
        <v>230</v>
      </c>
      <c r="F43" s="168" t="s">
        <v>230</v>
      </c>
      <c r="G43" s="867" t="s">
        <v>232</v>
      </c>
      <c r="H43" s="391" t="s">
        <v>232</v>
      </c>
      <c r="I43" s="872" t="s">
        <v>232</v>
      </c>
      <c r="J43" s="873" t="s">
        <v>896</v>
      </c>
      <c r="K43" s="1679"/>
    </row>
    <row r="44" spans="1:11" ht="15" customHeight="1">
      <c r="A44" s="851" t="str">
        <f t="shared" si="2"/>
        <v>App.7-V11A-P9.5.4.4</v>
      </c>
      <c r="B44" s="150" t="s">
        <v>4288</v>
      </c>
      <c r="C44" s="848" t="s">
        <v>620</v>
      </c>
      <c r="D44" s="168" t="s">
        <v>230</v>
      </c>
      <c r="E44" s="168" t="s">
        <v>230</v>
      </c>
      <c r="F44" s="867" t="s">
        <v>232</v>
      </c>
      <c r="G44" s="168" t="s">
        <v>232</v>
      </c>
      <c r="H44" s="391" t="s">
        <v>232</v>
      </c>
      <c r="I44" s="871" t="s">
        <v>231</v>
      </c>
      <c r="J44" s="873" t="s">
        <v>896</v>
      </c>
      <c r="K44" s="1679"/>
    </row>
    <row r="45" spans="1:11" ht="17.25" customHeight="1">
      <c r="A45" s="851" t="str">
        <f t="shared" si="2"/>
        <v>App.7-V11A-P9.5.4.5</v>
      </c>
      <c r="B45" s="150" t="s">
        <v>4289</v>
      </c>
      <c r="C45" s="848" t="s">
        <v>619</v>
      </c>
      <c r="D45" s="168" t="s">
        <v>4266</v>
      </c>
      <c r="E45" s="168" t="s">
        <v>4266</v>
      </c>
      <c r="F45" s="168" t="s">
        <v>4266</v>
      </c>
      <c r="G45" s="168" t="s">
        <v>895</v>
      </c>
      <c r="H45" s="391" t="s">
        <v>895</v>
      </c>
      <c r="I45" s="874" t="s">
        <v>895</v>
      </c>
      <c r="J45" s="873" t="s">
        <v>896</v>
      </c>
      <c r="K45" s="1679"/>
    </row>
    <row r="46" spans="1:11" ht="15" customHeight="1">
      <c r="A46" s="851" t="str">
        <f t="shared" si="2"/>
        <v>App.7-V11A-P9.5.4.6</v>
      </c>
      <c r="B46" s="150" t="s">
        <v>4290</v>
      </c>
      <c r="C46" s="848" t="s">
        <v>138</v>
      </c>
      <c r="D46" s="168" t="s">
        <v>230</v>
      </c>
      <c r="E46" s="168" t="s">
        <v>230</v>
      </c>
      <c r="F46" s="867" t="s">
        <v>232</v>
      </c>
      <c r="G46" s="168" t="s">
        <v>232</v>
      </c>
      <c r="H46" s="834" t="s">
        <v>231</v>
      </c>
      <c r="I46" s="871" t="s">
        <v>231</v>
      </c>
      <c r="J46" s="875" t="s">
        <v>4379</v>
      </c>
      <c r="K46" s="1679"/>
    </row>
    <row r="47" spans="1:11" ht="15" customHeight="1">
      <c r="A47" s="851" t="str">
        <f t="shared" si="2"/>
        <v>App.7-V11A-P9.5.4.7</v>
      </c>
      <c r="B47" s="150" t="s">
        <v>4291</v>
      </c>
      <c r="C47" s="848" t="s">
        <v>4408</v>
      </c>
      <c r="D47" s="168" t="s">
        <v>232</v>
      </c>
      <c r="E47" s="168" t="s">
        <v>232</v>
      </c>
      <c r="F47" s="168" t="s">
        <v>232</v>
      </c>
      <c r="G47" s="168" t="s">
        <v>231</v>
      </c>
      <c r="H47" s="391" t="s">
        <v>231</v>
      </c>
      <c r="I47" s="873" t="s">
        <v>896</v>
      </c>
      <c r="J47" s="875" t="s">
        <v>4379</v>
      </c>
      <c r="K47" s="1679"/>
    </row>
    <row r="48" spans="1:11" ht="15" customHeight="1">
      <c r="A48" s="851" t="str">
        <f t="shared" si="2"/>
        <v>App.7-V11A-P9.5.4.8</v>
      </c>
      <c r="B48" s="150" t="s">
        <v>4292</v>
      </c>
      <c r="C48" s="848" t="s">
        <v>2133</v>
      </c>
      <c r="D48" s="168" t="s">
        <v>232</v>
      </c>
      <c r="E48" s="168" t="s">
        <v>232</v>
      </c>
      <c r="F48" s="168" t="s">
        <v>232</v>
      </c>
      <c r="G48" s="168" t="s">
        <v>895</v>
      </c>
      <c r="H48" s="391" t="s">
        <v>896</v>
      </c>
      <c r="I48" s="873" t="s">
        <v>896</v>
      </c>
      <c r="J48" s="875" t="s">
        <v>4379</v>
      </c>
      <c r="K48" s="1679"/>
    </row>
    <row r="49" spans="1:11" ht="14.5">
      <c r="A49" s="854" t="str">
        <f t="shared" si="2"/>
        <v>App.7-V11A-P9.5.4.9</v>
      </c>
      <c r="B49" s="150" t="s">
        <v>4293</v>
      </c>
      <c r="C49" s="848" t="s">
        <v>4271</v>
      </c>
      <c r="D49" s="168" t="s">
        <v>232</v>
      </c>
      <c r="E49" s="168" t="s">
        <v>232</v>
      </c>
      <c r="F49" s="168" t="s">
        <v>232</v>
      </c>
      <c r="G49" s="168" t="s">
        <v>231</v>
      </c>
      <c r="H49" s="391" t="s">
        <v>4272</v>
      </c>
      <c r="I49" s="876" t="s">
        <v>4272</v>
      </c>
      <c r="J49" s="876" t="s">
        <v>4272</v>
      </c>
      <c r="K49" s="1679"/>
    </row>
    <row r="50" spans="1:11" ht="13" thickBot="1"/>
    <row r="51" spans="1:11" ht="13.5" thickBot="1">
      <c r="A51" s="1663" t="s">
        <v>4294</v>
      </c>
      <c r="B51" s="1664"/>
      <c r="C51" s="1664"/>
      <c r="D51" s="1664"/>
      <c r="E51" s="1664"/>
      <c r="F51" s="1664"/>
      <c r="G51" s="1664"/>
      <c r="H51" s="1665"/>
    </row>
    <row r="52" spans="1:11" ht="29">
      <c r="A52" s="1639" t="s">
        <v>4249</v>
      </c>
      <c r="B52" s="1639" t="s">
        <v>4250</v>
      </c>
      <c r="C52" s="1641"/>
      <c r="D52" s="857" t="s">
        <v>4251</v>
      </c>
      <c r="E52" s="857" t="s">
        <v>4252</v>
      </c>
      <c r="F52" s="857" t="s">
        <v>4253</v>
      </c>
      <c r="G52" s="857" t="s">
        <v>4254</v>
      </c>
      <c r="H52" s="857" t="s">
        <v>4255</v>
      </c>
    </row>
    <row r="53" spans="1:11" ht="14.5">
      <c r="A53" s="1640"/>
      <c r="B53" s="1640"/>
      <c r="C53" s="1642"/>
      <c r="D53" s="855" t="s">
        <v>4256</v>
      </c>
      <c r="E53" s="855" t="s">
        <v>4256</v>
      </c>
      <c r="F53" s="855" t="s">
        <v>4257</v>
      </c>
      <c r="G53" s="855" t="s">
        <v>4258</v>
      </c>
      <c r="H53" s="855" t="s">
        <v>4259</v>
      </c>
    </row>
    <row r="54" spans="1:11" ht="14.5">
      <c r="A54" s="851" t="str">
        <f t="shared" ref="A54:A62" si="3">CONCATENATE($A$2,"-",$B$2,"-",B54)</f>
        <v>App.7-V11A-P9.5.6.1</v>
      </c>
      <c r="B54" s="150" t="s">
        <v>4295</v>
      </c>
      <c r="C54" s="848" t="s">
        <v>4261</v>
      </c>
      <c r="D54" s="391" t="s">
        <v>230</v>
      </c>
      <c r="E54" s="391" t="s">
        <v>230</v>
      </c>
      <c r="F54" s="391" t="s">
        <v>230</v>
      </c>
      <c r="G54" s="391" t="s">
        <v>230</v>
      </c>
      <c r="H54" s="391" t="s">
        <v>230</v>
      </c>
    </row>
    <row r="55" spans="1:11" ht="14.5">
      <c r="A55" s="851" t="str">
        <f t="shared" si="3"/>
        <v>App.7-V11A-P9.5.6.2</v>
      </c>
      <c r="B55" s="150" t="s">
        <v>4296</v>
      </c>
      <c r="C55" s="848" t="s">
        <v>874</v>
      </c>
      <c r="D55" s="391" t="s">
        <v>230</v>
      </c>
      <c r="E55" s="391" t="s">
        <v>230</v>
      </c>
      <c r="F55" s="391" t="s">
        <v>230</v>
      </c>
      <c r="G55" s="391" t="s">
        <v>230</v>
      </c>
      <c r="H55" s="391" t="s">
        <v>230</v>
      </c>
    </row>
    <row r="56" spans="1:11" ht="14.5">
      <c r="A56" s="851" t="str">
        <f t="shared" si="3"/>
        <v>App.7-V11A-P9.5.6.3</v>
      </c>
      <c r="B56" s="150" t="s">
        <v>4297</v>
      </c>
      <c r="C56" s="848" t="s">
        <v>873</v>
      </c>
      <c r="D56" s="391" t="s">
        <v>230</v>
      </c>
      <c r="E56" s="391" t="s">
        <v>230</v>
      </c>
      <c r="F56" s="391" t="s">
        <v>230</v>
      </c>
      <c r="G56" s="391" t="s">
        <v>232</v>
      </c>
      <c r="H56" s="391" t="s">
        <v>232</v>
      </c>
    </row>
    <row r="57" spans="1:11" ht="14.5">
      <c r="A57" s="851" t="str">
        <f t="shared" si="3"/>
        <v>App.7-V11A-P9.5.6.4</v>
      </c>
      <c r="B57" s="150" t="s">
        <v>4298</v>
      </c>
      <c r="C57" s="848" t="s">
        <v>620</v>
      </c>
      <c r="D57" s="391" t="s">
        <v>232</v>
      </c>
      <c r="E57" s="391" t="s">
        <v>232</v>
      </c>
      <c r="F57" s="391" t="s">
        <v>232</v>
      </c>
      <c r="G57" s="834" t="s">
        <v>231</v>
      </c>
      <c r="H57" s="834" t="s">
        <v>231</v>
      </c>
    </row>
    <row r="58" spans="1:11" ht="14.5">
      <c r="A58" s="851" t="str">
        <f t="shared" si="3"/>
        <v>App.7-V11A-P9.5.6.5</v>
      </c>
      <c r="B58" s="150" t="s">
        <v>4299</v>
      </c>
      <c r="C58" s="848" t="s">
        <v>619</v>
      </c>
      <c r="D58" s="391" t="s">
        <v>4300</v>
      </c>
      <c r="E58" s="391" t="s">
        <v>4300</v>
      </c>
      <c r="F58" s="391" t="s">
        <v>4300</v>
      </c>
      <c r="G58" s="150" t="s">
        <v>4301</v>
      </c>
      <c r="H58" s="150" t="s">
        <v>4301</v>
      </c>
    </row>
    <row r="59" spans="1:11" ht="14.5">
      <c r="A59" s="851" t="str">
        <f t="shared" si="3"/>
        <v>App.7-V11A-P9.5.6.6</v>
      </c>
      <c r="B59" s="150" t="s">
        <v>4302</v>
      </c>
      <c r="C59" s="848" t="s">
        <v>138</v>
      </c>
      <c r="D59" s="391" t="s">
        <v>232</v>
      </c>
      <c r="E59" s="391" t="s">
        <v>232</v>
      </c>
      <c r="F59" s="391" t="s">
        <v>232</v>
      </c>
      <c r="G59" s="391" t="s">
        <v>232</v>
      </c>
      <c r="H59" s="391" t="s">
        <v>231</v>
      </c>
    </row>
    <row r="60" spans="1:11" ht="14.5">
      <c r="A60" s="851" t="str">
        <f t="shared" si="3"/>
        <v>App.7-V11A-P9.5.6.7</v>
      </c>
      <c r="B60" s="150" t="s">
        <v>4303</v>
      </c>
      <c r="C60" s="848" t="s">
        <v>4408</v>
      </c>
      <c r="D60" s="391" t="s">
        <v>232</v>
      </c>
      <c r="E60" s="391" t="s">
        <v>232</v>
      </c>
      <c r="F60" s="391" t="s">
        <v>231</v>
      </c>
      <c r="G60" s="391" t="s">
        <v>231</v>
      </c>
      <c r="H60" s="835" t="s">
        <v>896</v>
      </c>
    </row>
    <row r="61" spans="1:11" ht="14.5">
      <c r="A61" s="851" t="str">
        <f t="shared" si="3"/>
        <v>App.7-V11A-P9.5.6.8</v>
      </c>
      <c r="B61" s="150" t="s">
        <v>4304</v>
      </c>
      <c r="C61" s="848" t="s">
        <v>2133</v>
      </c>
      <c r="D61" s="391" t="s">
        <v>232</v>
      </c>
      <c r="E61" s="391" t="s">
        <v>232</v>
      </c>
      <c r="F61" s="391" t="s">
        <v>232</v>
      </c>
      <c r="G61" s="391" t="s">
        <v>896</v>
      </c>
      <c r="H61" s="391" t="s">
        <v>896</v>
      </c>
    </row>
    <row r="62" spans="1:11" ht="14.5">
      <c r="A62" s="854" t="str">
        <f t="shared" si="3"/>
        <v>App.7-V11A-P9.5.6.9</v>
      </c>
      <c r="B62" s="150" t="s">
        <v>4305</v>
      </c>
      <c r="C62" s="848" t="s">
        <v>4271</v>
      </c>
      <c r="D62" s="391" t="s">
        <v>232</v>
      </c>
      <c r="E62" s="391" t="s">
        <v>232</v>
      </c>
      <c r="F62" s="391" t="s">
        <v>231</v>
      </c>
      <c r="G62" s="391" t="s">
        <v>231</v>
      </c>
      <c r="H62" s="391" t="s">
        <v>4272</v>
      </c>
    </row>
    <row r="63" spans="1:11" ht="13" thickBot="1"/>
    <row r="64" spans="1:11" ht="13.5" thickBot="1">
      <c r="A64" s="1643" t="s">
        <v>4306</v>
      </c>
      <c r="B64" s="1644"/>
      <c r="C64" s="1644"/>
      <c r="D64" s="1644"/>
      <c r="E64" s="1644"/>
      <c r="F64" s="1644"/>
      <c r="G64" s="1644"/>
      <c r="H64" s="1645"/>
    </row>
    <row r="65" spans="1:9" ht="29">
      <c r="A65" s="1639" t="s">
        <v>4249</v>
      </c>
      <c r="B65" s="1639" t="s">
        <v>4250</v>
      </c>
      <c r="C65" s="1641"/>
      <c r="D65" s="857" t="s">
        <v>4251</v>
      </c>
      <c r="E65" s="857" t="s">
        <v>4252</v>
      </c>
      <c r="F65" s="857" t="s">
        <v>4253</v>
      </c>
      <c r="G65" s="857" t="s">
        <v>4254</v>
      </c>
      <c r="H65" s="857" t="s">
        <v>4255</v>
      </c>
    </row>
    <row r="66" spans="1:9" ht="14.5">
      <c r="A66" s="1640"/>
      <c r="B66" s="1640"/>
      <c r="C66" s="1642"/>
      <c r="D66" s="855" t="s">
        <v>4256</v>
      </c>
      <c r="E66" s="855" t="s">
        <v>4256</v>
      </c>
      <c r="F66" s="855" t="s">
        <v>4257</v>
      </c>
      <c r="G66" s="855" t="s">
        <v>4258</v>
      </c>
      <c r="H66" s="855" t="s">
        <v>4259</v>
      </c>
    </row>
    <row r="67" spans="1:9" ht="14.5">
      <c r="A67" s="851" t="str">
        <f t="shared" ref="A67:A75" si="4">CONCATENATE($A$2,"-",$B$2,"-",B67)</f>
        <v>App.7-V11A-P9.5.7.1</v>
      </c>
      <c r="B67" s="150" t="s">
        <v>4307</v>
      </c>
      <c r="C67" s="848" t="s">
        <v>4261</v>
      </c>
      <c r="D67" s="836" t="s">
        <v>230</v>
      </c>
      <c r="E67" s="836" t="s">
        <v>230</v>
      </c>
      <c r="F67" s="836" t="s">
        <v>230</v>
      </c>
      <c r="G67" s="836" t="s">
        <v>230</v>
      </c>
      <c r="H67" s="836" t="s">
        <v>230</v>
      </c>
    </row>
    <row r="68" spans="1:9" ht="14.5">
      <c r="A68" s="851" t="str">
        <f t="shared" si="4"/>
        <v>App.7-V11A-P9.5.7.2</v>
      </c>
      <c r="B68" s="150" t="s">
        <v>4308</v>
      </c>
      <c r="C68" s="848" t="s">
        <v>874</v>
      </c>
      <c r="D68" s="836" t="s">
        <v>230</v>
      </c>
      <c r="E68" s="836" t="s">
        <v>230</v>
      </c>
      <c r="F68" s="836" t="s">
        <v>230</v>
      </c>
      <c r="G68" s="836" t="s">
        <v>230</v>
      </c>
      <c r="H68" s="836" t="s">
        <v>230</v>
      </c>
    </row>
    <row r="69" spans="1:9" ht="14.5">
      <c r="A69" s="851" t="str">
        <f t="shared" si="4"/>
        <v>App.7-V11A-P9.5.7.3</v>
      </c>
      <c r="B69" s="150" t="s">
        <v>4309</v>
      </c>
      <c r="C69" s="848" t="s">
        <v>873</v>
      </c>
      <c r="D69" s="836" t="s">
        <v>230</v>
      </c>
      <c r="E69" s="836" t="s">
        <v>230</v>
      </c>
      <c r="F69" s="836" t="s">
        <v>230</v>
      </c>
      <c r="G69" s="837" t="s">
        <v>232</v>
      </c>
      <c r="H69" s="837" t="s">
        <v>232</v>
      </c>
    </row>
    <row r="70" spans="1:9" ht="14.5">
      <c r="A70" s="851" t="str">
        <f t="shared" si="4"/>
        <v>App.7-V11A-P9.5.7.4</v>
      </c>
      <c r="B70" s="150" t="s">
        <v>4310</v>
      </c>
      <c r="C70" s="848" t="s">
        <v>620</v>
      </c>
      <c r="D70" s="837" t="s">
        <v>232</v>
      </c>
      <c r="E70" s="837" t="s">
        <v>232</v>
      </c>
      <c r="F70" s="837" t="s">
        <v>232</v>
      </c>
      <c r="G70" s="837" t="s">
        <v>232</v>
      </c>
      <c r="H70" s="838" t="s">
        <v>231</v>
      </c>
    </row>
    <row r="71" spans="1:9" ht="16.5">
      <c r="A71" s="851" t="str">
        <f t="shared" si="4"/>
        <v>App.7-V11A-P9.5.7.5</v>
      </c>
      <c r="B71" s="150" t="s">
        <v>4311</v>
      </c>
      <c r="C71" s="848" t="s">
        <v>619</v>
      </c>
      <c r="D71" s="836" t="s">
        <v>4266</v>
      </c>
      <c r="E71" s="837" t="s">
        <v>4279</v>
      </c>
      <c r="F71" s="837" t="s">
        <v>4279</v>
      </c>
      <c r="G71" s="839" t="s">
        <v>895</v>
      </c>
      <c r="H71" s="839" t="s">
        <v>895</v>
      </c>
    </row>
    <row r="72" spans="1:9" ht="14.5">
      <c r="A72" s="851" t="str">
        <f t="shared" si="4"/>
        <v>App.7-V11A-P9.5.7.6</v>
      </c>
      <c r="B72" s="150" t="s">
        <v>4312</v>
      </c>
      <c r="C72" s="848" t="s">
        <v>138</v>
      </c>
      <c r="D72" s="836" t="s">
        <v>230</v>
      </c>
      <c r="E72" s="836" t="s">
        <v>230</v>
      </c>
      <c r="F72" s="837" t="s">
        <v>232</v>
      </c>
      <c r="G72" s="837" t="s">
        <v>232</v>
      </c>
      <c r="H72" s="838" t="s">
        <v>231</v>
      </c>
    </row>
    <row r="73" spans="1:9" ht="14.5">
      <c r="A73" s="851" t="str">
        <f t="shared" si="4"/>
        <v>App.7-V11A-P9.5.7.7</v>
      </c>
      <c r="B73" s="150" t="s">
        <v>4313</v>
      </c>
      <c r="C73" s="848" t="s">
        <v>4408</v>
      </c>
      <c r="D73" s="837" t="s">
        <v>232</v>
      </c>
      <c r="E73" s="837" t="s">
        <v>232</v>
      </c>
      <c r="F73" s="838" t="s">
        <v>231</v>
      </c>
      <c r="G73" s="838" t="s">
        <v>231</v>
      </c>
      <c r="H73" s="840" t="s">
        <v>896</v>
      </c>
    </row>
    <row r="74" spans="1:9" ht="14.5">
      <c r="A74" s="851" t="str">
        <f t="shared" si="4"/>
        <v>App.7-V11A-P9.5.7.8</v>
      </c>
      <c r="B74" s="150" t="s">
        <v>4314</v>
      </c>
      <c r="C74" s="848" t="s">
        <v>2133</v>
      </c>
      <c r="D74" s="837" t="s">
        <v>232</v>
      </c>
      <c r="E74" s="837" t="s">
        <v>232</v>
      </c>
      <c r="F74" s="839" t="s">
        <v>895</v>
      </c>
      <c r="G74" s="840" t="s">
        <v>896</v>
      </c>
      <c r="H74" s="840" t="s">
        <v>896</v>
      </c>
    </row>
    <row r="75" spans="1:9" ht="14.5">
      <c r="A75" s="854" t="str">
        <f t="shared" si="4"/>
        <v>App.7-V11A-P9.5.7.9</v>
      </c>
      <c r="B75" s="150" t="s">
        <v>4315</v>
      </c>
      <c r="C75" s="848" t="s">
        <v>4271</v>
      </c>
      <c r="D75" s="837" t="s">
        <v>232</v>
      </c>
      <c r="E75" s="837" t="s">
        <v>232</v>
      </c>
      <c r="F75" s="838" t="s">
        <v>231</v>
      </c>
      <c r="G75" s="838" t="s">
        <v>231</v>
      </c>
      <c r="H75" s="150" t="s">
        <v>4272</v>
      </c>
    </row>
    <row r="76" spans="1:9" ht="13" thickBot="1"/>
    <row r="77" spans="1:9" ht="13.5" thickBot="1">
      <c r="A77" s="1643" t="s">
        <v>4316</v>
      </c>
      <c r="B77" s="1644"/>
      <c r="C77" s="1644"/>
      <c r="D77" s="1644"/>
      <c r="E77" s="1644"/>
      <c r="F77" s="1644"/>
      <c r="G77" s="1644"/>
      <c r="H77" s="1645"/>
      <c r="I77" s="998"/>
    </row>
    <row r="78" spans="1:9" ht="29">
      <c r="A78" s="1639" t="s">
        <v>4249</v>
      </c>
      <c r="B78" s="1639" t="s">
        <v>4250</v>
      </c>
      <c r="C78" s="1641"/>
      <c r="D78" s="857" t="s">
        <v>4251</v>
      </c>
      <c r="E78" s="857" t="s">
        <v>4252</v>
      </c>
      <c r="F78" s="857" t="s">
        <v>4253</v>
      </c>
      <c r="G78" s="857" t="s">
        <v>4254</v>
      </c>
      <c r="H78" s="857" t="s">
        <v>4255</v>
      </c>
      <c r="I78" s="998"/>
    </row>
    <row r="79" spans="1:9" ht="14.5">
      <c r="A79" s="1640"/>
      <c r="B79" s="1640"/>
      <c r="C79" s="1642"/>
      <c r="D79" s="855" t="s">
        <v>4256</v>
      </c>
      <c r="E79" s="855" t="s">
        <v>4256</v>
      </c>
      <c r="F79" s="855" t="s">
        <v>4257</v>
      </c>
      <c r="G79" s="855" t="s">
        <v>4258</v>
      </c>
      <c r="H79" s="855" t="s">
        <v>4259</v>
      </c>
      <c r="I79" s="998"/>
    </row>
    <row r="80" spans="1:9" ht="14.5">
      <c r="A80" s="851" t="str">
        <f t="shared" ref="A80:A88" si="5">CONCATENATE($A$2,"-",$B$2,"-",B80)</f>
        <v>App.7-V11A-P9.5.8.1</v>
      </c>
      <c r="B80" s="150" t="s">
        <v>4317</v>
      </c>
      <c r="C80" s="848" t="s">
        <v>4261</v>
      </c>
      <c r="D80" s="841" t="s">
        <v>230</v>
      </c>
      <c r="E80" s="841" t="s">
        <v>230</v>
      </c>
      <c r="F80" s="841" t="s">
        <v>230</v>
      </c>
      <c r="G80" s="841" t="s">
        <v>230</v>
      </c>
      <c r="H80" s="841" t="s">
        <v>230</v>
      </c>
      <c r="I80" s="998"/>
    </row>
    <row r="81" spans="1:9" ht="14.5">
      <c r="A81" s="851" t="str">
        <f t="shared" si="5"/>
        <v>App.7-V11A-P9.5.8.2</v>
      </c>
      <c r="B81" s="150" t="s">
        <v>4318</v>
      </c>
      <c r="C81" s="848" t="s">
        <v>874</v>
      </c>
      <c r="D81" s="841" t="s">
        <v>230</v>
      </c>
      <c r="E81" s="841" t="s">
        <v>230</v>
      </c>
      <c r="F81" s="841" t="s">
        <v>230</v>
      </c>
      <c r="G81" s="841" t="s">
        <v>230</v>
      </c>
      <c r="H81" s="841" t="s">
        <v>230</v>
      </c>
      <c r="I81" s="998"/>
    </row>
    <row r="82" spans="1:9" ht="14.5">
      <c r="A82" s="851" t="str">
        <f t="shared" si="5"/>
        <v>App.7-V11A-P9.5.8.3</v>
      </c>
      <c r="B82" s="150" t="s">
        <v>4319</v>
      </c>
      <c r="C82" s="848" t="s">
        <v>873</v>
      </c>
      <c r="D82" s="841" t="s">
        <v>230</v>
      </c>
      <c r="E82" s="841" t="s">
        <v>230</v>
      </c>
      <c r="F82" s="841" t="s">
        <v>230</v>
      </c>
      <c r="G82" s="841" t="s">
        <v>232</v>
      </c>
      <c r="H82" s="841" t="s">
        <v>232</v>
      </c>
      <c r="I82" s="998"/>
    </row>
    <row r="83" spans="1:9" ht="14.5">
      <c r="A83" s="851" t="str">
        <f t="shared" si="5"/>
        <v>App.7-V11A-P9.5.8.4</v>
      </c>
      <c r="B83" s="150" t="s">
        <v>4320</v>
      </c>
      <c r="C83" s="848" t="s">
        <v>620</v>
      </c>
      <c r="D83" s="841" t="s">
        <v>232</v>
      </c>
      <c r="E83" s="841" t="s">
        <v>232</v>
      </c>
      <c r="F83" s="841" t="s">
        <v>232</v>
      </c>
      <c r="G83" s="841" t="s">
        <v>232</v>
      </c>
      <c r="H83" s="841" t="s">
        <v>231</v>
      </c>
      <c r="I83" s="998"/>
    </row>
    <row r="84" spans="1:9" ht="16.5">
      <c r="A84" s="851" t="str">
        <f t="shared" si="5"/>
        <v>App.7-V11A-P9.5.8.5</v>
      </c>
      <c r="B84" s="150" t="s">
        <v>4321</v>
      </c>
      <c r="C84" s="848" t="s">
        <v>619</v>
      </c>
      <c r="D84" s="841" t="s">
        <v>4266</v>
      </c>
      <c r="E84" s="841" t="s">
        <v>4279</v>
      </c>
      <c r="F84" s="841" t="s">
        <v>4279</v>
      </c>
      <c r="G84" s="841" t="s">
        <v>895</v>
      </c>
      <c r="H84" s="841" t="s">
        <v>895</v>
      </c>
      <c r="I84" s="998"/>
    </row>
    <row r="85" spans="1:9" ht="14.5">
      <c r="A85" s="851" t="str">
        <f t="shared" si="5"/>
        <v>App.7-V11A-P9.5.8.6</v>
      </c>
      <c r="B85" s="150" t="s">
        <v>4322</v>
      </c>
      <c r="C85" s="848" t="s">
        <v>138</v>
      </c>
      <c r="D85" s="841" t="s">
        <v>230</v>
      </c>
      <c r="E85" s="841" t="s">
        <v>230</v>
      </c>
      <c r="F85" s="841" t="s">
        <v>232</v>
      </c>
      <c r="G85" s="841" t="s">
        <v>232</v>
      </c>
      <c r="H85" s="841" t="s">
        <v>231</v>
      </c>
      <c r="I85" s="998"/>
    </row>
    <row r="86" spans="1:9" ht="14.5">
      <c r="A86" s="851" t="str">
        <f t="shared" si="5"/>
        <v>App.7-V11A-P9.5.8.7</v>
      </c>
      <c r="B86" s="150" t="s">
        <v>4323</v>
      </c>
      <c r="C86" s="848" t="s">
        <v>4408</v>
      </c>
      <c r="D86" s="841" t="s">
        <v>232</v>
      </c>
      <c r="E86" s="841" t="s">
        <v>232</v>
      </c>
      <c r="F86" s="841" t="s">
        <v>231</v>
      </c>
      <c r="G86" s="841" t="s">
        <v>231</v>
      </c>
      <c r="H86" s="841" t="s">
        <v>896</v>
      </c>
      <c r="I86" s="998"/>
    </row>
    <row r="87" spans="1:9" ht="14.5">
      <c r="A87" s="851" t="str">
        <f t="shared" si="5"/>
        <v>App.7-V11A-P9.5.8.8</v>
      </c>
      <c r="B87" s="150" t="s">
        <v>4324</v>
      </c>
      <c r="C87" s="848" t="s">
        <v>2133</v>
      </c>
      <c r="D87" s="841" t="s">
        <v>232</v>
      </c>
      <c r="E87" s="841" t="s">
        <v>232</v>
      </c>
      <c r="F87" s="841" t="s">
        <v>895</v>
      </c>
      <c r="G87" s="841" t="s">
        <v>896</v>
      </c>
      <c r="H87" s="841" t="s">
        <v>896</v>
      </c>
      <c r="I87" s="998"/>
    </row>
    <row r="88" spans="1:9" ht="14.5">
      <c r="A88" s="854" t="str">
        <f t="shared" si="5"/>
        <v>App.7-V11A-P9.5.8.9</v>
      </c>
      <c r="B88" s="150" t="s">
        <v>4325</v>
      </c>
      <c r="C88" s="848" t="s">
        <v>4271</v>
      </c>
      <c r="D88" s="841" t="s">
        <v>232</v>
      </c>
      <c r="E88" s="841" t="s">
        <v>232</v>
      </c>
      <c r="F88" s="841" t="s">
        <v>231</v>
      </c>
      <c r="G88" s="841" t="s">
        <v>231</v>
      </c>
      <c r="H88" s="841" t="s">
        <v>4272</v>
      </c>
      <c r="I88" s="998"/>
    </row>
    <row r="89" spans="1:9" ht="13" thickBot="1"/>
    <row r="90" spans="1:9" ht="13.5" thickBot="1">
      <c r="A90" s="1643" t="s">
        <v>4326</v>
      </c>
      <c r="B90" s="1644"/>
      <c r="C90" s="1644"/>
      <c r="D90" s="1644"/>
      <c r="E90" s="1644"/>
      <c r="F90" s="1644"/>
      <c r="G90" s="1644"/>
      <c r="H90" s="1645"/>
      <c r="I90" s="998"/>
    </row>
    <row r="91" spans="1:9" ht="29">
      <c r="A91" s="1639" t="s">
        <v>4249</v>
      </c>
      <c r="B91" s="1639" t="s">
        <v>4250</v>
      </c>
      <c r="C91" s="1641"/>
      <c r="D91" s="857" t="s">
        <v>4251</v>
      </c>
      <c r="E91" s="857" t="s">
        <v>4252</v>
      </c>
      <c r="F91" s="857" t="s">
        <v>4253</v>
      </c>
      <c r="G91" s="857" t="s">
        <v>4254</v>
      </c>
      <c r="H91" s="857" t="s">
        <v>4255</v>
      </c>
      <c r="I91" s="998"/>
    </row>
    <row r="92" spans="1:9" ht="14.5">
      <c r="A92" s="1640"/>
      <c r="B92" s="1640"/>
      <c r="C92" s="1642"/>
      <c r="D92" s="855" t="s">
        <v>4256</v>
      </c>
      <c r="E92" s="855" t="s">
        <v>4256</v>
      </c>
      <c r="F92" s="855" t="s">
        <v>4257</v>
      </c>
      <c r="G92" s="855" t="s">
        <v>4258</v>
      </c>
      <c r="H92" s="855" t="s">
        <v>4259</v>
      </c>
      <c r="I92" s="998"/>
    </row>
    <row r="93" spans="1:9" ht="14.5">
      <c r="A93" s="851" t="str">
        <f t="shared" ref="A93:A101" si="6">CONCATENATE($A$2,"-",$B$2,"-",B93)</f>
        <v>App.7-V11A-P9.5.9.1</v>
      </c>
      <c r="B93" s="150" t="s">
        <v>4327</v>
      </c>
      <c r="C93" s="848" t="s">
        <v>4261</v>
      </c>
      <c r="D93" s="836" t="s">
        <v>230</v>
      </c>
      <c r="E93" s="836" t="s">
        <v>230</v>
      </c>
      <c r="F93" s="836" t="s">
        <v>230</v>
      </c>
      <c r="G93" s="837" t="s">
        <v>232</v>
      </c>
      <c r="H93" s="837" t="s">
        <v>232</v>
      </c>
      <c r="I93" s="998"/>
    </row>
    <row r="94" spans="1:9" ht="14.5">
      <c r="A94" s="851" t="str">
        <f t="shared" si="6"/>
        <v>App.7-V11A-P9.5.9.2</v>
      </c>
      <c r="B94" s="150" t="s">
        <v>4328</v>
      </c>
      <c r="C94" s="848" t="s">
        <v>874</v>
      </c>
      <c r="D94" s="836" t="s">
        <v>230</v>
      </c>
      <c r="E94" s="836" t="s">
        <v>230</v>
      </c>
      <c r="F94" s="836" t="s">
        <v>230</v>
      </c>
      <c r="G94" s="837" t="s">
        <v>232</v>
      </c>
      <c r="H94" s="837" t="s">
        <v>232</v>
      </c>
      <c r="I94" s="998"/>
    </row>
    <row r="95" spans="1:9" ht="14.5">
      <c r="A95" s="851" t="str">
        <f t="shared" si="6"/>
        <v>App.7-V11A-P9.5.9.3</v>
      </c>
      <c r="B95" s="150" t="s">
        <v>4329</v>
      </c>
      <c r="C95" s="848" t="s">
        <v>873</v>
      </c>
      <c r="D95" s="836" t="s">
        <v>230</v>
      </c>
      <c r="E95" s="836" t="s">
        <v>230</v>
      </c>
      <c r="F95" s="837" t="s">
        <v>232</v>
      </c>
      <c r="G95" s="837" t="s">
        <v>232</v>
      </c>
      <c r="H95" s="837" t="s">
        <v>232</v>
      </c>
      <c r="I95" s="998"/>
    </row>
    <row r="96" spans="1:9" ht="14.5">
      <c r="A96" s="851" t="str">
        <f t="shared" si="6"/>
        <v>App.7-V11A-P9.5.9.4</v>
      </c>
      <c r="B96" s="150" t="s">
        <v>4330</v>
      </c>
      <c r="C96" s="848" t="s">
        <v>620</v>
      </c>
      <c r="D96" s="837" t="s">
        <v>232</v>
      </c>
      <c r="E96" s="837" t="s">
        <v>232</v>
      </c>
      <c r="F96" s="837" t="s">
        <v>232</v>
      </c>
      <c r="G96" s="838" t="s">
        <v>231</v>
      </c>
      <c r="H96" s="838" t="s">
        <v>231</v>
      </c>
      <c r="I96" s="998"/>
    </row>
    <row r="97" spans="1:9" ht="16.5">
      <c r="A97" s="851" t="str">
        <f t="shared" si="6"/>
        <v>App.7-V11A-P9.5.9.5</v>
      </c>
      <c r="B97" s="150" t="s">
        <v>4331</v>
      </c>
      <c r="C97" s="848" t="s">
        <v>619</v>
      </c>
      <c r="D97" s="837" t="s">
        <v>4279</v>
      </c>
      <c r="E97" s="837" t="s">
        <v>4279</v>
      </c>
      <c r="F97" s="837" t="s">
        <v>4279</v>
      </c>
      <c r="G97" s="839" t="s">
        <v>895</v>
      </c>
      <c r="H97" s="839" t="s">
        <v>895</v>
      </c>
      <c r="I97" s="998"/>
    </row>
    <row r="98" spans="1:9" ht="14.5">
      <c r="A98" s="851" t="str">
        <f t="shared" si="6"/>
        <v>App.7-V11A-P9.5.9.6</v>
      </c>
      <c r="B98" s="150" t="s">
        <v>4332</v>
      </c>
      <c r="C98" s="848" t="s">
        <v>138</v>
      </c>
      <c r="D98" s="837" t="s">
        <v>232</v>
      </c>
      <c r="E98" s="837" t="s">
        <v>232</v>
      </c>
      <c r="F98" s="837" t="s">
        <v>232</v>
      </c>
      <c r="G98" s="838" t="s">
        <v>232</v>
      </c>
      <c r="H98" s="838" t="s">
        <v>231</v>
      </c>
      <c r="I98" s="998"/>
    </row>
    <row r="99" spans="1:9" ht="14.5">
      <c r="A99" s="851" t="str">
        <f t="shared" si="6"/>
        <v>App.7-V11A-P9.5.9.7</v>
      </c>
      <c r="B99" s="150" t="s">
        <v>4333</v>
      </c>
      <c r="C99" s="848" t="s">
        <v>4408</v>
      </c>
      <c r="D99" s="838" t="s">
        <v>231</v>
      </c>
      <c r="E99" s="838" t="s">
        <v>231</v>
      </c>
      <c r="F99" s="838" t="s">
        <v>231</v>
      </c>
      <c r="G99" s="838" t="s">
        <v>231</v>
      </c>
      <c r="H99" s="840" t="s">
        <v>896</v>
      </c>
      <c r="I99" s="998"/>
    </row>
    <row r="100" spans="1:9" ht="14.5">
      <c r="A100" s="851" t="str">
        <f t="shared" si="6"/>
        <v>App.7-V11A-P9.5.9.8</v>
      </c>
      <c r="B100" s="150" t="s">
        <v>4334</v>
      </c>
      <c r="C100" s="848" t="s">
        <v>2133</v>
      </c>
      <c r="D100" s="837" t="s">
        <v>232</v>
      </c>
      <c r="E100" s="838" t="s">
        <v>231</v>
      </c>
      <c r="F100" s="838" t="s">
        <v>231</v>
      </c>
      <c r="G100" s="840" t="s">
        <v>896</v>
      </c>
      <c r="H100" s="840" t="s">
        <v>896</v>
      </c>
      <c r="I100" s="998"/>
    </row>
    <row r="101" spans="1:9" ht="14.5">
      <c r="A101" s="854" t="str">
        <f t="shared" si="6"/>
        <v>App.7-V11A-P9.5.9.9</v>
      </c>
      <c r="B101" s="150" t="s">
        <v>4335</v>
      </c>
      <c r="C101" s="848" t="s">
        <v>4271</v>
      </c>
      <c r="D101" s="838" t="s">
        <v>231</v>
      </c>
      <c r="E101" s="838" t="s">
        <v>231</v>
      </c>
      <c r="F101" s="838" t="s">
        <v>231</v>
      </c>
      <c r="G101" s="838" t="s">
        <v>231</v>
      </c>
      <c r="H101" s="150" t="s">
        <v>4272</v>
      </c>
      <c r="I101" s="998"/>
    </row>
    <row r="102" spans="1:9" ht="13" thickBot="1"/>
    <row r="103" spans="1:9" ht="13.5" thickBot="1">
      <c r="A103" s="1643" t="s">
        <v>4336</v>
      </c>
      <c r="B103" s="1644"/>
      <c r="C103" s="1644"/>
      <c r="D103" s="1644"/>
      <c r="E103" s="1644"/>
      <c r="F103" s="1644"/>
      <c r="G103" s="1644"/>
      <c r="H103" s="1645"/>
      <c r="I103" s="998"/>
    </row>
    <row r="104" spans="1:9" ht="29">
      <c r="A104" s="1639" t="s">
        <v>4249</v>
      </c>
      <c r="B104" s="1639" t="s">
        <v>4250</v>
      </c>
      <c r="C104" s="1641"/>
      <c r="D104" s="858" t="s">
        <v>4251</v>
      </c>
      <c r="E104" s="858" t="s">
        <v>4252</v>
      </c>
      <c r="F104" s="858" t="s">
        <v>4253</v>
      </c>
      <c r="G104" s="858" t="s">
        <v>4254</v>
      </c>
      <c r="H104" s="858" t="s">
        <v>4255</v>
      </c>
      <c r="I104" s="998"/>
    </row>
    <row r="105" spans="1:9" ht="14.5">
      <c r="A105" s="1640"/>
      <c r="B105" s="1640"/>
      <c r="C105" s="1642"/>
      <c r="D105" s="856" t="s">
        <v>4256</v>
      </c>
      <c r="E105" s="856" t="s">
        <v>4256</v>
      </c>
      <c r="F105" s="856" t="s">
        <v>4257</v>
      </c>
      <c r="G105" s="856" t="s">
        <v>4258</v>
      </c>
      <c r="H105" s="856" t="s">
        <v>4259</v>
      </c>
      <c r="I105" s="998"/>
    </row>
    <row r="106" spans="1:9" ht="14.5">
      <c r="A106" s="851" t="str">
        <f t="shared" ref="A106:A114" si="7">CONCATENATE($A$2,"-",$B$2,"-",B106)</f>
        <v>App.7-V11A-P9.5.10.1</v>
      </c>
      <c r="B106" s="150" t="s">
        <v>4337</v>
      </c>
      <c r="C106" s="848" t="s">
        <v>4261</v>
      </c>
      <c r="D106" s="841" t="s">
        <v>230</v>
      </c>
      <c r="E106" s="841" t="s">
        <v>230</v>
      </c>
      <c r="F106" s="841" t="s">
        <v>230</v>
      </c>
      <c r="G106" s="841" t="s">
        <v>232</v>
      </c>
      <c r="H106" s="841" t="s">
        <v>232</v>
      </c>
      <c r="I106" s="998"/>
    </row>
    <row r="107" spans="1:9" ht="14.5">
      <c r="A107" s="851" t="str">
        <f t="shared" si="7"/>
        <v>App.7-V11A-P9.5.10.2</v>
      </c>
      <c r="B107" s="150" t="s">
        <v>4338</v>
      </c>
      <c r="C107" s="848" t="s">
        <v>874</v>
      </c>
      <c r="D107" s="841" t="s">
        <v>230</v>
      </c>
      <c r="E107" s="841" t="s">
        <v>230</v>
      </c>
      <c r="F107" s="841" t="s">
        <v>230</v>
      </c>
      <c r="G107" s="841" t="s">
        <v>232</v>
      </c>
      <c r="H107" s="841" t="s">
        <v>232</v>
      </c>
      <c r="I107" s="998"/>
    </row>
    <row r="108" spans="1:9" ht="14.5">
      <c r="A108" s="851" t="str">
        <f t="shared" si="7"/>
        <v>App.7-V11A-P9.5.10.3</v>
      </c>
      <c r="B108" s="150" t="s">
        <v>4339</v>
      </c>
      <c r="C108" s="848" t="s">
        <v>873</v>
      </c>
      <c r="D108" s="841" t="s">
        <v>230</v>
      </c>
      <c r="E108" s="841" t="s">
        <v>230</v>
      </c>
      <c r="F108" s="841" t="s">
        <v>232</v>
      </c>
      <c r="G108" s="841" t="s">
        <v>232</v>
      </c>
      <c r="H108" s="841" t="s">
        <v>232</v>
      </c>
      <c r="I108" s="998"/>
    </row>
    <row r="109" spans="1:9" ht="14.5">
      <c r="A109" s="851" t="str">
        <f t="shared" si="7"/>
        <v>App.7-V11A-P9.5.10.4</v>
      </c>
      <c r="B109" s="150" t="s">
        <v>4340</v>
      </c>
      <c r="C109" s="848" t="s">
        <v>620</v>
      </c>
      <c r="D109" s="841" t="s">
        <v>232</v>
      </c>
      <c r="E109" s="841" t="s">
        <v>232</v>
      </c>
      <c r="F109" s="841" t="s">
        <v>232</v>
      </c>
      <c r="G109" s="841" t="s">
        <v>231</v>
      </c>
      <c r="H109" s="841" t="s">
        <v>231</v>
      </c>
      <c r="I109" s="998"/>
    </row>
    <row r="110" spans="1:9" ht="16.5">
      <c r="A110" s="851" t="str">
        <f t="shared" si="7"/>
        <v>App.7-V11A-P9.5.10.5</v>
      </c>
      <c r="B110" s="150" t="s">
        <v>4341</v>
      </c>
      <c r="C110" s="848" t="s">
        <v>619</v>
      </c>
      <c r="D110" s="841" t="s">
        <v>4279</v>
      </c>
      <c r="E110" s="841" t="s">
        <v>4279</v>
      </c>
      <c r="F110" s="841" t="s">
        <v>4279</v>
      </c>
      <c r="G110" s="841" t="s">
        <v>895</v>
      </c>
      <c r="H110" s="841" t="s">
        <v>895</v>
      </c>
      <c r="I110" s="998"/>
    </row>
    <row r="111" spans="1:9" ht="14.5">
      <c r="A111" s="851" t="str">
        <f t="shared" si="7"/>
        <v>App.7-V11A-P9.5.10.6</v>
      </c>
      <c r="B111" s="150" t="s">
        <v>4342</v>
      </c>
      <c r="C111" s="848" t="s">
        <v>138</v>
      </c>
      <c r="D111" s="841" t="s">
        <v>232</v>
      </c>
      <c r="E111" s="841" t="s">
        <v>232</v>
      </c>
      <c r="F111" s="841" t="s">
        <v>232</v>
      </c>
      <c r="G111" s="841" t="s">
        <v>232</v>
      </c>
      <c r="H111" s="841" t="s">
        <v>231</v>
      </c>
      <c r="I111" s="998"/>
    </row>
    <row r="112" spans="1:9" ht="14.5">
      <c r="A112" s="851" t="str">
        <f t="shared" si="7"/>
        <v>App.7-V11A-P9.5.10.7</v>
      </c>
      <c r="B112" s="150" t="s">
        <v>4343</v>
      </c>
      <c r="C112" s="848" t="s">
        <v>4408</v>
      </c>
      <c r="D112" s="841" t="s">
        <v>231</v>
      </c>
      <c r="E112" s="841" t="s">
        <v>231</v>
      </c>
      <c r="F112" s="841" t="s">
        <v>231</v>
      </c>
      <c r="G112" s="841" t="s">
        <v>231</v>
      </c>
      <c r="H112" s="841" t="s">
        <v>896</v>
      </c>
      <c r="I112" s="998"/>
    </row>
    <row r="113" spans="1:9" ht="14.5">
      <c r="A113" s="851" t="str">
        <f t="shared" si="7"/>
        <v>App.7-V11A-P9.5.10.8</v>
      </c>
      <c r="B113" s="150" t="s">
        <v>4344</v>
      </c>
      <c r="C113" s="848" t="s">
        <v>2133</v>
      </c>
      <c r="D113" s="841" t="s">
        <v>232</v>
      </c>
      <c r="E113" s="841" t="s">
        <v>231</v>
      </c>
      <c r="F113" s="841" t="s">
        <v>231</v>
      </c>
      <c r="G113" s="841" t="s">
        <v>896</v>
      </c>
      <c r="H113" s="841" t="s">
        <v>896</v>
      </c>
      <c r="I113" s="998"/>
    </row>
    <row r="114" spans="1:9" ht="14.5">
      <c r="A114" s="854" t="str">
        <f t="shared" si="7"/>
        <v>App.7-V11A-P9.5.10.9</v>
      </c>
      <c r="B114" s="150" t="s">
        <v>4345</v>
      </c>
      <c r="C114" s="848" t="s">
        <v>4271</v>
      </c>
      <c r="D114" s="841" t="s">
        <v>231</v>
      </c>
      <c r="E114" s="841" t="s">
        <v>231</v>
      </c>
      <c r="F114" s="841" t="s">
        <v>231</v>
      </c>
      <c r="G114" s="841" t="s">
        <v>231</v>
      </c>
      <c r="H114" s="841" t="s">
        <v>4272</v>
      </c>
      <c r="I114" s="998"/>
    </row>
    <row r="116" spans="1:9" ht="19" thickBot="1">
      <c r="A116" s="1674" t="s">
        <v>4346</v>
      </c>
      <c r="B116" s="1674"/>
      <c r="C116" s="1674"/>
      <c r="D116" s="1674"/>
      <c r="E116" s="1674"/>
      <c r="F116" s="1674"/>
      <c r="G116" s="1674"/>
      <c r="H116" s="1674"/>
      <c r="I116" s="997"/>
    </row>
    <row r="117" spans="1:9" ht="13.5" thickBot="1">
      <c r="A117" s="1643" t="s">
        <v>4248</v>
      </c>
      <c r="B117" s="1644"/>
      <c r="C117" s="1644"/>
      <c r="D117" s="1644"/>
      <c r="E117" s="1644"/>
      <c r="F117" s="1644"/>
      <c r="G117" s="1644"/>
      <c r="H117" s="1645"/>
      <c r="I117" s="998"/>
    </row>
    <row r="118" spans="1:9" ht="29">
      <c r="A118" s="1639" t="s">
        <v>4249</v>
      </c>
      <c r="B118" s="1639" t="s">
        <v>4250</v>
      </c>
      <c r="C118" s="1641"/>
      <c r="D118" s="858" t="s">
        <v>4251</v>
      </c>
      <c r="E118" s="858" t="s">
        <v>4252</v>
      </c>
      <c r="F118" s="858" t="s">
        <v>4253</v>
      </c>
      <c r="G118" s="858" t="s">
        <v>4254</v>
      </c>
      <c r="H118" s="858" t="s">
        <v>4255</v>
      </c>
      <c r="I118" s="998"/>
    </row>
    <row r="119" spans="1:9" ht="14.5">
      <c r="A119" s="1640"/>
      <c r="B119" s="1640"/>
      <c r="C119" s="1642"/>
      <c r="D119" s="856" t="s">
        <v>4256</v>
      </c>
      <c r="E119" s="856" t="s">
        <v>4256</v>
      </c>
      <c r="F119" s="856" t="s">
        <v>4257</v>
      </c>
      <c r="G119" s="856" t="s">
        <v>4258</v>
      </c>
      <c r="H119" s="856" t="s">
        <v>4259</v>
      </c>
      <c r="I119" s="998"/>
    </row>
    <row r="120" spans="1:9" ht="14.5">
      <c r="A120" s="851" t="str">
        <f>CONCATENATE($A$2,"-",$B$2,"-",B120)</f>
        <v>App.7-V11A-P9.5.11.1</v>
      </c>
      <c r="B120" s="150" t="s">
        <v>4347</v>
      </c>
      <c r="C120" s="848" t="s">
        <v>873</v>
      </c>
      <c r="D120" s="835" t="s">
        <v>896</v>
      </c>
      <c r="E120" s="835" t="s">
        <v>896</v>
      </c>
      <c r="F120" s="835" t="s">
        <v>896</v>
      </c>
      <c r="G120" s="835" t="s">
        <v>896</v>
      </c>
      <c r="H120" s="835" t="s">
        <v>896</v>
      </c>
      <c r="I120" s="998"/>
    </row>
    <row r="121" spans="1:9" ht="14.5">
      <c r="A121" s="851" t="str">
        <f>CONCATENATE($A$2,"-",$B$2,"-",B121)</f>
        <v>App.7-V11A-P9.5.11.2</v>
      </c>
      <c r="B121" s="150" t="s">
        <v>4348</v>
      </c>
      <c r="C121" s="848" t="s">
        <v>138</v>
      </c>
      <c r="D121" s="835" t="s">
        <v>896</v>
      </c>
      <c r="E121" s="835" t="s">
        <v>896</v>
      </c>
      <c r="F121" s="835" t="s">
        <v>896</v>
      </c>
      <c r="G121" s="835" t="s">
        <v>896</v>
      </c>
      <c r="H121" s="835" t="s">
        <v>896</v>
      </c>
      <c r="I121" s="998"/>
    </row>
    <row r="122" spans="1:9" ht="14.5">
      <c r="A122" s="851" t="str">
        <f>CONCATENATE($A$2,"-",$B$2,"-",B122)</f>
        <v>App.7-V11A-P9.5.11.3</v>
      </c>
      <c r="B122" s="150" t="s">
        <v>4349</v>
      </c>
      <c r="C122" s="848" t="s">
        <v>4408</v>
      </c>
      <c r="D122" s="835" t="s">
        <v>896</v>
      </c>
      <c r="E122" s="835" t="s">
        <v>896</v>
      </c>
      <c r="F122" s="835" t="s">
        <v>896</v>
      </c>
      <c r="G122" s="835" t="s">
        <v>896</v>
      </c>
      <c r="H122" s="835" t="s">
        <v>896</v>
      </c>
      <c r="I122" s="998"/>
    </row>
    <row r="123" spans="1:9" ht="14.5">
      <c r="A123" s="854" t="str">
        <f>CONCATENATE($A$2,"-",$B$2,"-",B123)</f>
        <v>App.7-V11A-P9.5.11.4</v>
      </c>
      <c r="B123" s="150" t="s">
        <v>4350</v>
      </c>
      <c r="C123" s="848" t="s">
        <v>2133</v>
      </c>
      <c r="D123" s="835" t="s">
        <v>896</v>
      </c>
      <c r="E123" s="835" t="s">
        <v>896</v>
      </c>
      <c r="F123" s="835" t="s">
        <v>896</v>
      </c>
      <c r="G123" s="835" t="s">
        <v>896</v>
      </c>
      <c r="H123" s="835" t="s">
        <v>896</v>
      </c>
      <c r="I123" s="998"/>
    </row>
    <row r="126" spans="1:9" ht="19" thickBot="1">
      <c r="A126" s="1674" t="s">
        <v>4351</v>
      </c>
      <c r="B126" s="1674"/>
      <c r="C126" s="1674"/>
      <c r="D126" s="1674"/>
      <c r="E126" s="1674"/>
      <c r="F126" s="1674"/>
      <c r="G126" s="1674"/>
      <c r="H126" s="1674"/>
      <c r="I126" s="998"/>
    </row>
    <row r="127" spans="1:9" ht="13.5" thickBot="1">
      <c r="A127" s="1643" t="s">
        <v>4352</v>
      </c>
      <c r="B127" s="1644"/>
      <c r="C127" s="1644"/>
      <c r="D127" s="1644"/>
      <c r="E127" s="1644"/>
      <c r="F127" s="1644"/>
      <c r="G127" s="1644"/>
      <c r="H127" s="1645"/>
      <c r="I127" s="998"/>
    </row>
    <row r="128" spans="1:9">
      <c r="A128" s="1639" t="s">
        <v>4249</v>
      </c>
      <c r="B128" s="1673" t="s">
        <v>4250</v>
      </c>
      <c r="C128" s="1641"/>
      <c r="D128" s="1637" t="s">
        <v>4353</v>
      </c>
      <c r="I128" s="998"/>
    </row>
    <row r="129" spans="1:9">
      <c r="A129" s="1640"/>
      <c r="B129" s="1639"/>
      <c r="C129" s="1642"/>
      <c r="D129" s="1638"/>
      <c r="I129" s="998"/>
    </row>
    <row r="130" spans="1:9" ht="14.5">
      <c r="A130" s="854" t="str">
        <f>CONCATENATE($A$2,"-",$B$2,"-",B130)</f>
        <v>App.7-V11A-P11.1</v>
      </c>
      <c r="B130" s="150" t="s">
        <v>4354</v>
      </c>
      <c r="C130" s="849" t="s">
        <v>4355</v>
      </c>
      <c r="D130" s="391" t="s">
        <v>1667</v>
      </c>
      <c r="I130" s="998"/>
    </row>
    <row r="132" spans="1:9" ht="19" thickBot="1">
      <c r="A132" s="1674" t="s">
        <v>4356</v>
      </c>
      <c r="B132" s="1674"/>
      <c r="C132" s="1674"/>
      <c r="D132" s="1674"/>
      <c r="E132" s="1674"/>
      <c r="F132" s="1674"/>
      <c r="G132" s="1674"/>
      <c r="H132" s="1674"/>
    </row>
    <row r="133" spans="1:9" ht="13.5" thickBot="1">
      <c r="A133" s="1643" t="s">
        <v>4357</v>
      </c>
      <c r="B133" s="1644"/>
      <c r="C133" s="1644"/>
      <c r="D133" s="1644"/>
      <c r="E133" s="1644"/>
      <c r="F133" s="1644"/>
      <c r="G133" s="1644"/>
      <c r="H133" s="1645"/>
    </row>
    <row r="134" spans="1:9" ht="29">
      <c r="A134" s="1639" t="s">
        <v>4249</v>
      </c>
      <c r="B134" s="1639" t="s">
        <v>4250</v>
      </c>
      <c r="C134" s="1641"/>
      <c r="D134" s="858" t="s">
        <v>4251</v>
      </c>
      <c r="E134" s="858" t="s">
        <v>4252</v>
      </c>
      <c r="F134" s="858" t="s">
        <v>4253</v>
      </c>
      <c r="G134" s="858" t="s">
        <v>4254</v>
      </c>
      <c r="H134" s="858" t="s">
        <v>4255</v>
      </c>
    </row>
    <row r="135" spans="1:9" ht="14.5">
      <c r="A135" s="1640"/>
      <c r="B135" s="1640"/>
      <c r="C135" s="1642"/>
      <c r="D135" s="856" t="s">
        <v>4256</v>
      </c>
      <c r="E135" s="856" t="s">
        <v>4256</v>
      </c>
      <c r="F135" s="856" t="s">
        <v>4257</v>
      </c>
      <c r="G135" s="856" t="s">
        <v>4258</v>
      </c>
      <c r="H135" s="856" t="s">
        <v>4259</v>
      </c>
    </row>
    <row r="136" spans="1:9" ht="14.5">
      <c r="A136" s="854" t="str">
        <f t="shared" ref="A136:A144" si="8">CONCATENATE($A$2,"-",$B$2,"-",B136)</f>
        <v>App.7-V11A-P12.3.1.1</v>
      </c>
      <c r="B136" s="150" t="s">
        <v>4358</v>
      </c>
      <c r="C136" s="848" t="s">
        <v>4261</v>
      </c>
      <c r="D136" s="842" t="s">
        <v>4359</v>
      </c>
      <c r="E136" s="842" t="s">
        <v>4359</v>
      </c>
      <c r="F136" s="843" t="s">
        <v>1699</v>
      </c>
      <c r="G136" s="843" t="s">
        <v>1699</v>
      </c>
      <c r="H136" s="843" t="s">
        <v>1699</v>
      </c>
    </row>
    <row r="137" spans="1:9" ht="14.5">
      <c r="A137" s="854" t="str">
        <f t="shared" si="8"/>
        <v>App.7-V11A-P12.3.1.2</v>
      </c>
      <c r="B137" s="150" t="s">
        <v>4360</v>
      </c>
      <c r="C137" s="848" t="s">
        <v>874</v>
      </c>
      <c r="D137" s="842" t="s">
        <v>4359</v>
      </c>
      <c r="E137" s="842" t="s">
        <v>4359</v>
      </c>
      <c r="F137" s="843" t="s">
        <v>1699</v>
      </c>
      <c r="G137" s="843" t="s">
        <v>4361</v>
      </c>
      <c r="H137" s="843" t="s">
        <v>1699</v>
      </c>
    </row>
    <row r="138" spans="1:9" ht="14.5">
      <c r="A138" s="854" t="str">
        <f t="shared" si="8"/>
        <v>App.7-V11A-P12.3.1.3</v>
      </c>
      <c r="B138" s="150" t="s">
        <v>4362</v>
      </c>
      <c r="C138" s="848" t="s">
        <v>873</v>
      </c>
      <c r="D138" s="843" t="s">
        <v>1699</v>
      </c>
      <c r="E138" s="843" t="s">
        <v>1699</v>
      </c>
      <c r="F138" s="843" t="s">
        <v>1699</v>
      </c>
      <c r="G138" s="836" t="s">
        <v>632</v>
      </c>
      <c r="H138" s="836" t="s">
        <v>632</v>
      </c>
    </row>
    <row r="139" spans="1:9" ht="14.5">
      <c r="A139" s="854" t="str">
        <f t="shared" si="8"/>
        <v>App.7-V11A-P12.3.1.4</v>
      </c>
      <c r="B139" s="150" t="s">
        <v>4363</v>
      </c>
      <c r="C139" s="848" t="s">
        <v>620</v>
      </c>
      <c r="D139" s="843" t="s">
        <v>1699</v>
      </c>
      <c r="E139" s="843" t="s">
        <v>1699</v>
      </c>
      <c r="F139" s="843" t="s">
        <v>1699</v>
      </c>
      <c r="G139" s="836" t="s">
        <v>632</v>
      </c>
      <c r="H139" s="839" t="s">
        <v>2141</v>
      </c>
    </row>
    <row r="140" spans="1:9" ht="14.5">
      <c r="A140" s="854" t="str">
        <f t="shared" si="8"/>
        <v>App.7-V11A-P12.3.1.5</v>
      </c>
      <c r="B140" s="150" t="s">
        <v>4364</v>
      </c>
      <c r="C140" s="848" t="s">
        <v>619</v>
      </c>
      <c r="D140" s="843" t="s">
        <v>1699</v>
      </c>
      <c r="E140" s="843" t="s">
        <v>1699</v>
      </c>
      <c r="F140" s="843" t="s">
        <v>1699</v>
      </c>
      <c r="G140" s="836" t="s">
        <v>632</v>
      </c>
      <c r="H140" s="836" t="s">
        <v>632</v>
      </c>
    </row>
    <row r="141" spans="1:9" ht="14.5">
      <c r="A141" s="854" t="str">
        <f t="shared" si="8"/>
        <v>App.7-V11A-P12.3.1.6</v>
      </c>
      <c r="B141" s="150" t="s">
        <v>4365</v>
      </c>
      <c r="C141" s="848" t="s">
        <v>138</v>
      </c>
      <c r="D141" s="843" t="s">
        <v>1699</v>
      </c>
      <c r="E141" s="843" t="s">
        <v>1699</v>
      </c>
      <c r="F141" s="843" t="s">
        <v>1699</v>
      </c>
      <c r="G141" s="836" t="s">
        <v>632</v>
      </c>
      <c r="H141" s="839" t="s">
        <v>2141</v>
      </c>
    </row>
    <row r="142" spans="1:9" ht="14.5">
      <c r="A142" s="854" t="str">
        <f t="shared" si="8"/>
        <v>App.7-V11A-P12.3.1.7</v>
      </c>
      <c r="B142" s="150" t="s">
        <v>4366</v>
      </c>
      <c r="C142" s="848" t="s">
        <v>4408</v>
      </c>
      <c r="D142" s="836" t="s">
        <v>632</v>
      </c>
      <c r="E142" s="836" t="s">
        <v>632</v>
      </c>
      <c r="F142" s="836" t="s">
        <v>632</v>
      </c>
      <c r="G142" s="839" t="s">
        <v>2141</v>
      </c>
      <c r="H142" s="839" t="s">
        <v>2141</v>
      </c>
    </row>
    <row r="143" spans="1:9" ht="14.5">
      <c r="A143" s="854" t="str">
        <f t="shared" si="8"/>
        <v>App.7-V11A-P12.3.1.8</v>
      </c>
      <c r="B143" s="150" t="s">
        <v>4367</v>
      </c>
      <c r="C143" s="848" t="s">
        <v>2133</v>
      </c>
      <c r="D143" s="836" t="s">
        <v>632</v>
      </c>
      <c r="E143" s="836" t="s">
        <v>632</v>
      </c>
      <c r="F143" s="836" t="s">
        <v>632</v>
      </c>
      <c r="G143" s="839" t="s">
        <v>2141</v>
      </c>
      <c r="H143" s="839" t="s">
        <v>2141</v>
      </c>
    </row>
    <row r="144" spans="1:9" ht="14.5">
      <c r="A144" s="854" t="str">
        <f t="shared" si="8"/>
        <v>App.7-V11A-P12.3.1.9</v>
      </c>
      <c r="B144" s="150" t="s">
        <v>4368</v>
      </c>
      <c r="C144" s="848" t="s">
        <v>4271</v>
      </c>
      <c r="D144" s="836" t="s">
        <v>632</v>
      </c>
      <c r="E144" s="836" t="s">
        <v>632</v>
      </c>
      <c r="F144" s="836" t="s">
        <v>632</v>
      </c>
      <c r="G144" s="839" t="s">
        <v>2141</v>
      </c>
      <c r="H144" s="150" t="s">
        <v>4272</v>
      </c>
    </row>
    <row r="146" spans="1:10" ht="13" thickBot="1"/>
    <row r="147" spans="1:10" ht="23" thickBot="1">
      <c r="A147" s="1666" t="s">
        <v>4402</v>
      </c>
      <c r="B147" s="1667"/>
      <c r="C147" s="1667"/>
      <c r="D147" s="1667"/>
      <c r="E147" s="1667"/>
      <c r="F147" s="1667"/>
      <c r="G147" s="1667"/>
      <c r="H147" s="1667"/>
      <c r="I147" s="1668"/>
    </row>
    <row r="148" spans="1:10" ht="13" thickBot="1"/>
    <row r="149" spans="1:10" ht="13.5" customHeight="1" thickBot="1">
      <c r="A149" s="1643" t="s">
        <v>4383</v>
      </c>
      <c r="B149" s="1644"/>
      <c r="C149" s="1644"/>
      <c r="D149" s="1644"/>
      <c r="E149" s="1644"/>
      <c r="F149" s="1644"/>
      <c r="G149" s="1644"/>
      <c r="H149" s="1644"/>
      <c r="I149" s="1644"/>
      <c r="J149" s="1645"/>
    </row>
    <row r="150" spans="1:10" ht="29">
      <c r="A150" s="1639" t="s">
        <v>4249</v>
      </c>
      <c r="B150" s="1639" t="s">
        <v>4250</v>
      </c>
      <c r="C150" s="1641"/>
      <c r="D150" s="857" t="s">
        <v>4251</v>
      </c>
      <c r="E150" s="857" t="s">
        <v>4252</v>
      </c>
      <c r="F150" s="857" t="s">
        <v>4253</v>
      </c>
      <c r="G150" s="857" t="s">
        <v>4254</v>
      </c>
      <c r="H150" s="857" t="s">
        <v>4255</v>
      </c>
      <c r="I150" s="1196" t="s">
        <v>4369</v>
      </c>
      <c r="J150" s="1196" t="s">
        <v>4370</v>
      </c>
    </row>
    <row r="151" spans="1:10" ht="14.5">
      <c r="A151" s="1640"/>
      <c r="B151" s="1640"/>
      <c r="C151" s="1642"/>
      <c r="D151" s="855" t="s">
        <v>4256</v>
      </c>
      <c r="E151" s="855" t="s">
        <v>4256</v>
      </c>
      <c r="F151" s="855" t="s">
        <v>4257</v>
      </c>
      <c r="G151" s="855" t="s">
        <v>4258</v>
      </c>
      <c r="H151" s="855" t="s">
        <v>4259</v>
      </c>
      <c r="I151" s="855" t="s">
        <v>4371</v>
      </c>
      <c r="J151" s="855" t="s">
        <v>4372</v>
      </c>
    </row>
    <row r="152" spans="1:10" ht="14.5">
      <c r="A152" s="854" t="str">
        <f t="shared" ref="A152:A160" si="9">CONCATENATE($A$3,"-",$B$3,"-",B152)</f>
        <v>App.7.1-V01-P9.5.1.1</v>
      </c>
      <c r="B152" s="150" t="s">
        <v>4260</v>
      </c>
      <c r="C152" s="848" t="s">
        <v>4261</v>
      </c>
      <c r="D152" s="831" t="s">
        <v>230</v>
      </c>
      <c r="E152" s="831" t="s">
        <v>230</v>
      </c>
      <c r="F152" s="831" t="s">
        <v>230</v>
      </c>
      <c r="G152" s="832" t="s">
        <v>232</v>
      </c>
      <c r="H152" s="832" t="s">
        <v>232</v>
      </c>
      <c r="I152" s="832" t="s">
        <v>232</v>
      </c>
      <c r="J152" s="834" t="s">
        <v>231</v>
      </c>
    </row>
    <row r="153" spans="1:10" ht="14.5">
      <c r="A153" s="854" t="str">
        <f t="shared" si="9"/>
        <v>App.7.1-V01-P9.5.1.2</v>
      </c>
      <c r="B153" s="150" t="s">
        <v>4262</v>
      </c>
      <c r="C153" s="848" t="s">
        <v>874</v>
      </c>
      <c r="D153" s="831" t="s">
        <v>230</v>
      </c>
      <c r="E153" s="831" t="s">
        <v>230</v>
      </c>
      <c r="F153" s="831" t="s">
        <v>230</v>
      </c>
      <c r="G153" s="832" t="s">
        <v>232</v>
      </c>
      <c r="H153" s="832" t="s">
        <v>232</v>
      </c>
      <c r="I153" s="832" t="s">
        <v>232</v>
      </c>
      <c r="J153" s="835" t="s">
        <v>896</v>
      </c>
    </row>
    <row r="154" spans="1:10" ht="14.5">
      <c r="A154" s="854" t="str">
        <f t="shared" si="9"/>
        <v>App.7.1-V01-P9.5.1.3</v>
      </c>
      <c r="B154" s="150" t="s">
        <v>4263</v>
      </c>
      <c r="C154" s="848" t="s">
        <v>873</v>
      </c>
      <c r="D154" s="831" t="s">
        <v>230</v>
      </c>
      <c r="E154" s="831" t="s">
        <v>230</v>
      </c>
      <c r="F154" s="831" t="s">
        <v>230</v>
      </c>
      <c r="G154" s="832" t="s">
        <v>232</v>
      </c>
      <c r="H154" s="832" t="s">
        <v>232</v>
      </c>
      <c r="I154" s="834" t="s">
        <v>231</v>
      </c>
      <c r="J154" s="1197" t="s">
        <v>4379</v>
      </c>
    </row>
    <row r="155" spans="1:10" ht="14.5">
      <c r="A155" s="854" t="str">
        <f t="shared" si="9"/>
        <v>App.7.1-V01-P9.5.1.4</v>
      </c>
      <c r="B155" s="150" t="s">
        <v>4264</v>
      </c>
      <c r="C155" s="848" t="s">
        <v>620</v>
      </c>
      <c r="D155" s="832" t="s">
        <v>232</v>
      </c>
      <c r="E155" s="832" t="s">
        <v>232</v>
      </c>
      <c r="F155" s="832" t="s">
        <v>232</v>
      </c>
      <c r="G155" s="834" t="s">
        <v>231</v>
      </c>
      <c r="H155" s="834" t="s">
        <v>231</v>
      </c>
      <c r="I155" s="834" t="s">
        <v>231</v>
      </c>
      <c r="J155" s="1197" t="s">
        <v>4379</v>
      </c>
    </row>
    <row r="156" spans="1:10" ht="16.5">
      <c r="A156" s="854" t="str">
        <f t="shared" si="9"/>
        <v>App.7.1-V01-P9.5.1.5</v>
      </c>
      <c r="B156" s="150" t="s">
        <v>4265</v>
      </c>
      <c r="C156" s="848" t="s">
        <v>619</v>
      </c>
      <c r="D156" s="831" t="s">
        <v>4266</v>
      </c>
      <c r="E156" s="832" t="s">
        <v>4279</v>
      </c>
      <c r="F156" s="832" t="s">
        <v>4279</v>
      </c>
      <c r="G156" s="833" t="s">
        <v>895</v>
      </c>
      <c r="H156" s="833" t="s">
        <v>895</v>
      </c>
      <c r="I156" s="833" t="s">
        <v>895</v>
      </c>
      <c r="J156" s="835" t="s">
        <v>896</v>
      </c>
    </row>
    <row r="157" spans="1:10" ht="14.5">
      <c r="A157" s="854" t="str">
        <f t="shared" si="9"/>
        <v>App.7.1-V01-P9.5.1.6</v>
      </c>
      <c r="B157" s="150" t="s">
        <v>4267</v>
      </c>
      <c r="C157" s="848" t="s">
        <v>138</v>
      </c>
      <c r="D157" s="831" t="s">
        <v>230</v>
      </c>
      <c r="E157" s="831" t="s">
        <v>230</v>
      </c>
      <c r="F157" s="832" t="s">
        <v>232</v>
      </c>
      <c r="G157" s="832" t="s">
        <v>232</v>
      </c>
      <c r="H157" s="834" t="s">
        <v>231</v>
      </c>
      <c r="I157" s="834" t="s">
        <v>231</v>
      </c>
      <c r="J157" s="1197" t="s">
        <v>4379</v>
      </c>
    </row>
    <row r="158" spans="1:10" ht="14.5">
      <c r="A158" s="854" t="str">
        <f t="shared" si="9"/>
        <v>App.7.1-V01-P9.5.1.7</v>
      </c>
      <c r="B158" s="150" t="s">
        <v>4268</v>
      </c>
      <c r="C158" s="848" t="s">
        <v>4408</v>
      </c>
      <c r="D158" s="832" t="s">
        <v>232</v>
      </c>
      <c r="E158" s="832" t="s">
        <v>232</v>
      </c>
      <c r="F158" s="834" t="s">
        <v>231</v>
      </c>
      <c r="G158" s="834" t="s">
        <v>231</v>
      </c>
      <c r="H158" s="834" t="s">
        <v>231</v>
      </c>
      <c r="I158" s="835" t="s">
        <v>896</v>
      </c>
      <c r="J158" s="1197" t="s">
        <v>4379</v>
      </c>
    </row>
    <row r="159" spans="1:10" ht="14.5">
      <c r="A159" s="854" t="str">
        <f t="shared" si="9"/>
        <v>App.7.1-V01-P9.5.1.8</v>
      </c>
      <c r="B159" s="150" t="s">
        <v>4269</v>
      </c>
      <c r="C159" s="848" t="s">
        <v>2133</v>
      </c>
      <c r="D159" s="832" t="s">
        <v>232</v>
      </c>
      <c r="E159" s="832" t="s">
        <v>232</v>
      </c>
      <c r="F159" s="832" t="s">
        <v>232</v>
      </c>
      <c r="G159" s="835" t="s">
        <v>896</v>
      </c>
      <c r="H159" s="835" t="s">
        <v>896</v>
      </c>
      <c r="I159" s="835" t="s">
        <v>896</v>
      </c>
      <c r="J159" s="1197" t="s">
        <v>4379</v>
      </c>
    </row>
    <row r="160" spans="1:10" ht="14.5">
      <c r="A160" s="854" t="str">
        <f t="shared" si="9"/>
        <v>App.7.1-V01-P9.5.1.9</v>
      </c>
      <c r="B160" s="150" t="s">
        <v>4270</v>
      </c>
      <c r="C160" s="848" t="s">
        <v>4271</v>
      </c>
      <c r="D160" s="832" t="s">
        <v>232</v>
      </c>
      <c r="E160" s="832" t="s">
        <v>232</v>
      </c>
      <c r="F160" s="832" t="s">
        <v>232</v>
      </c>
      <c r="G160" s="834" t="s">
        <v>231</v>
      </c>
      <c r="H160" s="391" t="s">
        <v>4272</v>
      </c>
      <c r="I160" s="391" t="s">
        <v>4272</v>
      </c>
      <c r="J160" s="391" t="s">
        <v>4272</v>
      </c>
    </row>
    <row r="161" spans="1:10" ht="13" thickBot="1">
      <c r="I161" s="997"/>
      <c r="J161" s="997"/>
    </row>
    <row r="162" spans="1:10" ht="13.5" thickBot="1">
      <c r="A162" s="1643" t="s">
        <v>4384</v>
      </c>
      <c r="B162" s="1644"/>
      <c r="C162" s="1644"/>
      <c r="D162" s="1644"/>
      <c r="E162" s="1644"/>
      <c r="F162" s="1644"/>
      <c r="G162" s="1644"/>
      <c r="H162" s="1645"/>
      <c r="I162" s="997"/>
      <c r="J162" s="997"/>
    </row>
    <row r="163" spans="1:10" ht="29">
      <c r="A163" s="1639" t="s">
        <v>4249</v>
      </c>
      <c r="B163" s="1639" t="s">
        <v>4250</v>
      </c>
      <c r="C163" s="1641"/>
      <c r="D163" s="857" t="s">
        <v>4251</v>
      </c>
      <c r="E163" s="857" t="s">
        <v>4252</v>
      </c>
      <c r="F163" s="857" t="s">
        <v>4253</v>
      </c>
      <c r="G163" s="857" t="s">
        <v>4254</v>
      </c>
      <c r="H163" s="857" t="s">
        <v>4255</v>
      </c>
      <c r="I163" s="997"/>
      <c r="J163" s="997"/>
    </row>
    <row r="164" spans="1:10" ht="14.5">
      <c r="A164" s="1640"/>
      <c r="B164" s="1640"/>
      <c r="C164" s="1642"/>
      <c r="D164" s="855" t="s">
        <v>4256</v>
      </c>
      <c r="E164" s="855" t="s">
        <v>4256</v>
      </c>
      <c r="F164" s="855" t="s">
        <v>4257</v>
      </c>
      <c r="G164" s="855" t="s">
        <v>4258</v>
      </c>
      <c r="H164" s="855" t="s">
        <v>4259</v>
      </c>
      <c r="I164" s="997"/>
      <c r="J164" s="997"/>
    </row>
    <row r="165" spans="1:10" ht="14.5">
      <c r="A165" s="854" t="str">
        <f t="shared" ref="A165:A173" si="10">CONCATENATE($A$3,"-",$B$3,"-",B165)</f>
        <v>App.7.1-V01-P9.5.2.1</v>
      </c>
      <c r="B165" s="150" t="s">
        <v>4373</v>
      </c>
      <c r="C165" s="848" t="s">
        <v>4261</v>
      </c>
      <c r="D165" s="831" t="s">
        <v>230</v>
      </c>
      <c r="E165" s="831" t="s">
        <v>230</v>
      </c>
      <c r="F165" s="831" t="s">
        <v>230</v>
      </c>
      <c r="G165" s="832" t="s">
        <v>232</v>
      </c>
      <c r="H165" s="832" t="s">
        <v>232</v>
      </c>
      <c r="I165" s="997"/>
      <c r="J165" s="997"/>
    </row>
    <row r="166" spans="1:10" ht="14.5">
      <c r="A166" s="854" t="str">
        <f t="shared" si="10"/>
        <v>App.7.1-V01-P9.5.2.2</v>
      </c>
      <c r="B166" s="150" t="s">
        <v>4374</v>
      </c>
      <c r="C166" s="848" t="s">
        <v>874</v>
      </c>
      <c r="D166" s="831" t="s">
        <v>230</v>
      </c>
      <c r="E166" s="831" t="s">
        <v>230</v>
      </c>
      <c r="F166" s="831" t="s">
        <v>230</v>
      </c>
      <c r="G166" s="832" t="s">
        <v>232</v>
      </c>
      <c r="H166" s="832" t="s">
        <v>232</v>
      </c>
      <c r="I166" s="997"/>
      <c r="J166" s="997"/>
    </row>
    <row r="167" spans="1:10" ht="14.5">
      <c r="A167" s="854" t="str">
        <f t="shared" si="10"/>
        <v>App.7.1-V01-P9.5.2.3</v>
      </c>
      <c r="B167" s="150" t="s">
        <v>4375</v>
      </c>
      <c r="C167" s="848" t="s">
        <v>873</v>
      </c>
      <c r="D167" s="831" t="s">
        <v>230</v>
      </c>
      <c r="E167" s="831" t="s">
        <v>230</v>
      </c>
      <c r="F167" s="832" t="s">
        <v>232</v>
      </c>
      <c r="G167" s="832" t="s">
        <v>232</v>
      </c>
      <c r="H167" s="832" t="s">
        <v>232</v>
      </c>
      <c r="I167" s="997"/>
      <c r="J167" s="997"/>
    </row>
    <row r="168" spans="1:10" ht="14.5">
      <c r="A168" s="854" t="str">
        <f t="shared" si="10"/>
        <v>App.7.1-V01-P9.5.2.4</v>
      </c>
      <c r="B168" s="150" t="s">
        <v>4376</v>
      </c>
      <c r="C168" s="848" t="s">
        <v>620</v>
      </c>
      <c r="D168" s="832" t="s">
        <v>232</v>
      </c>
      <c r="E168" s="832" t="s">
        <v>232</v>
      </c>
      <c r="F168" s="832" t="s">
        <v>232</v>
      </c>
      <c r="G168" s="834" t="s">
        <v>231</v>
      </c>
      <c r="H168" s="834" t="s">
        <v>231</v>
      </c>
      <c r="I168" s="997"/>
      <c r="J168" s="997"/>
    </row>
    <row r="169" spans="1:10" ht="16.5">
      <c r="A169" s="854" t="str">
        <f t="shared" si="10"/>
        <v>App.7.1-V01-P9.5.2.5</v>
      </c>
      <c r="B169" s="150" t="s">
        <v>4377</v>
      </c>
      <c r="C169" s="848" t="s">
        <v>619</v>
      </c>
      <c r="D169" s="831" t="s">
        <v>4266</v>
      </c>
      <c r="E169" s="832" t="s">
        <v>4279</v>
      </c>
      <c r="F169" s="832" t="s">
        <v>4279</v>
      </c>
      <c r="G169" s="833" t="s">
        <v>895</v>
      </c>
      <c r="H169" s="833" t="s">
        <v>895</v>
      </c>
      <c r="I169" s="997"/>
      <c r="J169" s="997"/>
    </row>
    <row r="170" spans="1:10" ht="14.5">
      <c r="A170" s="854" t="str">
        <f t="shared" si="10"/>
        <v>App.7.1-V01-P9.5.2.6</v>
      </c>
      <c r="B170" s="150" t="s">
        <v>4378</v>
      </c>
      <c r="C170" s="848" t="s">
        <v>138</v>
      </c>
      <c r="D170" s="832" t="s">
        <v>232</v>
      </c>
      <c r="E170" s="832" t="s">
        <v>232</v>
      </c>
      <c r="F170" s="832" t="s">
        <v>232</v>
      </c>
      <c r="G170" s="834" t="s">
        <v>231</v>
      </c>
      <c r="H170" s="834" t="s">
        <v>231</v>
      </c>
      <c r="I170" s="997"/>
      <c r="J170" s="997"/>
    </row>
    <row r="171" spans="1:10" ht="14.5">
      <c r="A171" s="854" t="str">
        <f t="shared" si="10"/>
        <v>App.7.1-V01-P9.5.2.7</v>
      </c>
      <c r="B171" s="150" t="s">
        <v>4380</v>
      </c>
      <c r="C171" s="848" t="s">
        <v>4408</v>
      </c>
      <c r="D171" s="832" t="s">
        <v>232</v>
      </c>
      <c r="E171" s="832" t="s">
        <v>232</v>
      </c>
      <c r="F171" s="834" t="s">
        <v>231</v>
      </c>
      <c r="G171" s="834" t="s">
        <v>231</v>
      </c>
      <c r="H171" s="835" t="s">
        <v>896</v>
      </c>
      <c r="I171" s="997"/>
      <c r="J171" s="997"/>
    </row>
    <row r="172" spans="1:10" ht="14.5">
      <c r="A172" s="854" t="str">
        <f t="shared" si="10"/>
        <v>App.7.1-V01-P9.5.2.8</v>
      </c>
      <c r="B172" s="150" t="s">
        <v>4381</v>
      </c>
      <c r="C172" s="848" t="s">
        <v>2133</v>
      </c>
      <c r="D172" s="832" t="s">
        <v>232</v>
      </c>
      <c r="E172" s="832" t="s">
        <v>232</v>
      </c>
      <c r="F172" s="835" t="s">
        <v>896</v>
      </c>
      <c r="G172" s="835" t="s">
        <v>896</v>
      </c>
      <c r="H172" s="835" t="s">
        <v>896</v>
      </c>
      <c r="I172" s="997"/>
      <c r="J172" s="997"/>
    </row>
    <row r="173" spans="1:10" ht="14.5">
      <c r="A173" s="854" t="str">
        <f t="shared" si="10"/>
        <v>App.7.1-V01-P9.5.2.9</v>
      </c>
      <c r="B173" s="150" t="s">
        <v>4382</v>
      </c>
      <c r="C173" s="848" t="s">
        <v>4271</v>
      </c>
      <c r="D173" s="832" t="s">
        <v>232</v>
      </c>
      <c r="E173" s="832" t="s">
        <v>232</v>
      </c>
      <c r="F173" s="834" t="s">
        <v>231</v>
      </c>
      <c r="G173" s="834" t="s">
        <v>231</v>
      </c>
      <c r="H173" s="391" t="s">
        <v>4272</v>
      </c>
      <c r="I173" s="997"/>
      <c r="J173" s="997"/>
    </row>
    <row r="174" spans="1:10" ht="13" thickBot="1"/>
    <row r="175" spans="1:10" ht="23" thickBot="1">
      <c r="A175" s="1666" t="s">
        <v>4403</v>
      </c>
      <c r="B175" s="1667"/>
      <c r="C175" s="1667"/>
      <c r="D175" s="1667"/>
      <c r="E175" s="1667"/>
      <c r="F175" s="1667"/>
      <c r="G175" s="1667"/>
      <c r="H175" s="1667"/>
      <c r="I175" s="1668"/>
    </row>
    <row r="176" spans="1:10" ht="30" customHeight="1">
      <c r="A176" s="1669" t="s">
        <v>4249</v>
      </c>
      <c r="B176" s="1671"/>
      <c r="C176" s="1673" t="s">
        <v>4385</v>
      </c>
      <c r="D176" s="857" t="s">
        <v>4251</v>
      </c>
      <c r="E176" s="857" t="s">
        <v>4252</v>
      </c>
      <c r="F176" s="857" t="s">
        <v>4253</v>
      </c>
      <c r="G176" s="857" t="s">
        <v>4254</v>
      </c>
      <c r="H176" s="857" t="s">
        <v>4255</v>
      </c>
      <c r="I176" s="996"/>
      <c r="J176" s="997"/>
    </row>
    <row r="177" spans="1:10" ht="15" thickBot="1">
      <c r="A177" s="1680"/>
      <c r="B177" s="1672"/>
      <c r="C177" s="1639"/>
      <c r="D177" s="855" t="s">
        <v>4256</v>
      </c>
      <c r="E177" s="855" t="s">
        <v>4386</v>
      </c>
      <c r="F177" s="855" t="s">
        <v>4257</v>
      </c>
      <c r="G177" s="855" t="s">
        <v>4258</v>
      </c>
      <c r="H177" s="855" t="s">
        <v>4259</v>
      </c>
      <c r="I177" s="996"/>
      <c r="J177" s="997"/>
    </row>
    <row r="178" spans="1:10" ht="14.5">
      <c r="A178" s="1657" t="str">
        <f>CONCATENATE($A$4,"-",$B$4,"-P10.3")</f>
        <v>App.8-V08F-P10.3</v>
      </c>
      <c r="B178" s="1651" t="s">
        <v>4387</v>
      </c>
      <c r="C178" s="1227" t="s">
        <v>4388</v>
      </c>
      <c r="D178" s="1198" t="s">
        <v>819</v>
      </c>
      <c r="E178" s="1198" t="s">
        <v>819</v>
      </c>
      <c r="F178" s="1198" t="s">
        <v>819</v>
      </c>
      <c r="G178" s="1199" t="s">
        <v>820</v>
      </c>
      <c r="H178" s="1200" t="s">
        <v>820</v>
      </c>
      <c r="I178" s="997"/>
      <c r="J178" s="997"/>
    </row>
    <row r="179" spans="1:10" ht="14.5">
      <c r="A179" s="1658"/>
      <c r="B179" s="1652"/>
      <c r="C179" s="847" t="s">
        <v>4389</v>
      </c>
      <c r="D179" s="832" t="s">
        <v>819</v>
      </c>
      <c r="E179" s="832" t="s">
        <v>819</v>
      </c>
      <c r="F179" s="832" t="s">
        <v>819</v>
      </c>
      <c r="G179" s="844" t="s">
        <v>820</v>
      </c>
      <c r="H179" s="1201" t="s">
        <v>820</v>
      </c>
      <c r="I179" s="997"/>
      <c r="J179" s="997"/>
    </row>
    <row r="180" spans="1:10" ht="14.5">
      <c r="A180" s="1658"/>
      <c r="B180" s="1652"/>
      <c r="C180" s="847" t="s">
        <v>4390</v>
      </c>
      <c r="D180" s="832" t="s">
        <v>819</v>
      </c>
      <c r="E180" s="832" t="s">
        <v>819</v>
      </c>
      <c r="F180" s="832" t="s">
        <v>819</v>
      </c>
      <c r="G180" s="844" t="s">
        <v>820</v>
      </c>
      <c r="H180" s="1201" t="s">
        <v>820</v>
      </c>
      <c r="I180" s="997"/>
      <c r="J180" s="997"/>
    </row>
    <row r="181" spans="1:10" ht="15" thickBot="1">
      <c r="A181" s="1658"/>
      <c r="B181" s="1653"/>
      <c r="C181" s="1228" t="s">
        <v>4391</v>
      </c>
      <c r="D181" s="1202" t="s">
        <v>819</v>
      </c>
      <c r="E181" s="1202" t="s">
        <v>819</v>
      </c>
      <c r="F181" s="1202" t="s">
        <v>819</v>
      </c>
      <c r="G181" s="1203" t="s">
        <v>820</v>
      </c>
      <c r="H181" s="1204" t="s">
        <v>820</v>
      </c>
      <c r="I181" s="997"/>
      <c r="J181" s="997"/>
    </row>
    <row r="182" spans="1:10" ht="14.5">
      <c r="A182" s="1658"/>
      <c r="B182" s="1651" t="s">
        <v>4392</v>
      </c>
      <c r="C182" s="1227" t="s">
        <v>4388</v>
      </c>
      <c r="D182" s="1198" t="s">
        <v>819</v>
      </c>
      <c r="E182" s="1198" t="s">
        <v>819</v>
      </c>
      <c r="F182" s="1199" t="s">
        <v>820</v>
      </c>
      <c r="G182" s="1199" t="s">
        <v>820</v>
      </c>
      <c r="H182" s="1205" t="s">
        <v>4393</v>
      </c>
      <c r="I182" s="997"/>
      <c r="J182" s="997"/>
    </row>
    <row r="183" spans="1:10" ht="14.5">
      <c r="A183" s="1658"/>
      <c r="B183" s="1652"/>
      <c r="C183" s="847" t="s">
        <v>4389</v>
      </c>
      <c r="D183" s="832" t="s">
        <v>819</v>
      </c>
      <c r="E183" s="832" t="s">
        <v>819</v>
      </c>
      <c r="F183" s="844" t="s">
        <v>820</v>
      </c>
      <c r="G183" s="844" t="s">
        <v>820</v>
      </c>
      <c r="H183" s="1206" t="s">
        <v>4393</v>
      </c>
      <c r="I183" s="997"/>
      <c r="J183" s="997"/>
    </row>
    <row r="184" spans="1:10" ht="14.5">
      <c r="A184" s="1658"/>
      <c r="B184" s="1652"/>
      <c r="C184" s="847" t="s">
        <v>4390</v>
      </c>
      <c r="D184" s="832" t="s">
        <v>819</v>
      </c>
      <c r="E184" s="832" t="s">
        <v>819</v>
      </c>
      <c r="F184" s="844" t="s">
        <v>820</v>
      </c>
      <c r="G184" s="844" t="s">
        <v>820</v>
      </c>
      <c r="H184" s="1206" t="s">
        <v>4393</v>
      </c>
      <c r="I184" s="997"/>
      <c r="J184" s="997"/>
    </row>
    <row r="185" spans="1:10" ht="15" thickBot="1">
      <c r="A185" s="1658"/>
      <c r="B185" s="1653"/>
      <c r="C185" s="1228" t="s">
        <v>4391</v>
      </c>
      <c r="D185" s="1202" t="s">
        <v>819</v>
      </c>
      <c r="E185" s="1202" t="s">
        <v>819</v>
      </c>
      <c r="F185" s="1203" t="s">
        <v>820</v>
      </c>
      <c r="G185" s="1203" t="s">
        <v>820</v>
      </c>
      <c r="H185" s="1207" t="s">
        <v>4393</v>
      </c>
      <c r="I185" s="997"/>
      <c r="J185" s="997"/>
    </row>
    <row r="186" spans="1:10" ht="14.5">
      <c r="A186" s="1658"/>
      <c r="B186" s="1651" t="s">
        <v>4394</v>
      </c>
      <c r="C186" s="1227" t="s">
        <v>4388</v>
      </c>
      <c r="D186" s="1208" t="s">
        <v>821</v>
      </c>
      <c r="E186" s="1208" t="s">
        <v>821</v>
      </c>
      <c r="F186" s="1209" t="s">
        <v>4395</v>
      </c>
      <c r="G186" s="1209" t="s">
        <v>4395</v>
      </c>
      <c r="H186" s="1205" t="s">
        <v>4393</v>
      </c>
      <c r="I186" s="997"/>
      <c r="J186" s="997"/>
    </row>
    <row r="187" spans="1:10" ht="14.5">
      <c r="A187" s="1658"/>
      <c r="B187" s="1652"/>
      <c r="C187" s="847" t="s">
        <v>4389</v>
      </c>
      <c r="D187" s="1210" t="s">
        <v>821</v>
      </c>
      <c r="E187" s="1210" t="s">
        <v>821</v>
      </c>
      <c r="F187" s="831" t="s">
        <v>4395</v>
      </c>
      <c r="G187" s="831" t="s">
        <v>4395</v>
      </c>
      <c r="H187" s="1206" t="s">
        <v>4393</v>
      </c>
      <c r="I187" s="997"/>
      <c r="J187" s="997"/>
    </row>
    <row r="188" spans="1:10" ht="14.5">
      <c r="A188" s="1658"/>
      <c r="B188" s="1652"/>
      <c r="C188" s="847" t="s">
        <v>4390</v>
      </c>
      <c r="D188" s="1210" t="s">
        <v>821</v>
      </c>
      <c r="E188" s="1210" t="s">
        <v>821</v>
      </c>
      <c r="F188" s="831" t="s">
        <v>4395</v>
      </c>
      <c r="G188" s="831" t="s">
        <v>4395</v>
      </c>
      <c r="H188" s="1206" t="s">
        <v>4393</v>
      </c>
      <c r="I188" s="997"/>
      <c r="J188" s="997"/>
    </row>
    <row r="189" spans="1:10" ht="15" thickBot="1">
      <c r="A189" s="1658"/>
      <c r="B189" s="1653"/>
      <c r="C189" s="1228" t="s">
        <v>4391</v>
      </c>
      <c r="D189" s="1211" t="s">
        <v>821</v>
      </c>
      <c r="E189" s="1211" t="s">
        <v>821</v>
      </c>
      <c r="F189" s="1212" t="s">
        <v>4395</v>
      </c>
      <c r="G189" s="1212" t="s">
        <v>4395</v>
      </c>
      <c r="H189" s="1207" t="s">
        <v>4393</v>
      </c>
      <c r="I189" s="997"/>
      <c r="J189" s="997"/>
    </row>
    <row r="190" spans="1:10" ht="14.5">
      <c r="A190" s="1658"/>
      <c r="B190" s="1654" t="s">
        <v>4396</v>
      </c>
      <c r="C190" s="1227" t="s">
        <v>4388</v>
      </c>
      <c r="D190" s="1213" t="s">
        <v>4393</v>
      </c>
      <c r="E190" s="1213" t="s">
        <v>4393</v>
      </c>
      <c r="F190" s="1213" t="s">
        <v>4393</v>
      </c>
      <c r="G190" s="1213" t="s">
        <v>4393</v>
      </c>
      <c r="H190" s="1205" t="s">
        <v>4393</v>
      </c>
      <c r="I190" s="997"/>
      <c r="J190" s="997"/>
    </row>
    <row r="191" spans="1:10" ht="14.5">
      <c r="A191" s="1658"/>
      <c r="B191" s="1655"/>
      <c r="C191" s="847" t="s">
        <v>4389</v>
      </c>
      <c r="D191" s="845" t="s">
        <v>4393</v>
      </c>
      <c r="E191" s="845" t="s">
        <v>4393</v>
      </c>
      <c r="F191" s="845" t="s">
        <v>4393</v>
      </c>
      <c r="G191" s="845" t="s">
        <v>4393</v>
      </c>
      <c r="H191" s="1206" t="s">
        <v>4393</v>
      </c>
      <c r="I191" s="997"/>
      <c r="J191" s="997"/>
    </row>
    <row r="192" spans="1:10" ht="14.5">
      <c r="A192" s="1658"/>
      <c r="B192" s="1655"/>
      <c r="C192" s="847" t="s">
        <v>4390</v>
      </c>
      <c r="D192" s="845" t="s">
        <v>4393</v>
      </c>
      <c r="E192" s="845" t="s">
        <v>4393</v>
      </c>
      <c r="F192" s="845" t="s">
        <v>4393</v>
      </c>
      <c r="G192" s="845" t="s">
        <v>4393</v>
      </c>
      <c r="H192" s="1206" t="s">
        <v>4393</v>
      </c>
      <c r="I192" s="997"/>
      <c r="J192" s="997"/>
    </row>
    <row r="193" spans="1:10" ht="14.5">
      <c r="A193" s="1658"/>
      <c r="B193" s="1655"/>
      <c r="C193" s="847" t="s">
        <v>4391</v>
      </c>
      <c r="D193" s="845" t="s">
        <v>4393</v>
      </c>
      <c r="E193" s="845" t="s">
        <v>4393</v>
      </c>
      <c r="F193" s="845" t="s">
        <v>4393</v>
      </c>
      <c r="G193" s="845" t="s">
        <v>4393</v>
      </c>
      <c r="H193" s="1206" t="s">
        <v>4393</v>
      </c>
      <c r="I193" s="997"/>
      <c r="J193" s="997"/>
    </row>
    <row r="194" spans="1:10" ht="15" thickBot="1">
      <c r="A194" s="1658"/>
      <c r="B194" s="1656"/>
      <c r="C194" s="1228" t="s">
        <v>4397</v>
      </c>
      <c r="D194" s="1214" t="s">
        <v>4393</v>
      </c>
      <c r="E194" s="1214" t="s">
        <v>4393</v>
      </c>
      <c r="F194" s="1214" t="s">
        <v>4393</v>
      </c>
      <c r="G194" s="1214" t="s">
        <v>4393</v>
      </c>
      <c r="H194" s="1207" t="s">
        <v>4393</v>
      </c>
      <c r="I194" s="997"/>
      <c r="J194" s="997"/>
    </row>
    <row r="195" spans="1:10" ht="14.5">
      <c r="A195" s="1658"/>
      <c r="B195" s="1654" t="s">
        <v>4398</v>
      </c>
      <c r="C195" s="1227" t="s">
        <v>4388</v>
      </c>
      <c r="D195" s="1215" t="s">
        <v>4664</v>
      </c>
      <c r="E195" s="1215" t="s">
        <v>4664</v>
      </c>
      <c r="F195" s="1215" t="s">
        <v>4664</v>
      </c>
      <c r="G195" s="1215" t="s">
        <v>4664</v>
      </c>
      <c r="H195" s="1216" t="s">
        <v>4664</v>
      </c>
      <c r="I195" s="997"/>
      <c r="J195" s="997"/>
    </row>
    <row r="196" spans="1:10" ht="14.5">
      <c r="A196" s="1658"/>
      <c r="B196" s="1655"/>
      <c r="C196" s="847" t="s">
        <v>4389</v>
      </c>
      <c r="D196" s="1217" t="s">
        <v>4664</v>
      </c>
      <c r="E196" s="1217" t="s">
        <v>4664</v>
      </c>
      <c r="F196" s="1217" t="s">
        <v>4664</v>
      </c>
      <c r="G196" s="1217" t="s">
        <v>4664</v>
      </c>
      <c r="H196" s="1218" t="s">
        <v>4664</v>
      </c>
      <c r="I196" s="997"/>
      <c r="J196" s="997"/>
    </row>
    <row r="197" spans="1:10" ht="14.5">
      <c r="A197" s="1658"/>
      <c r="B197" s="1655"/>
      <c r="C197" s="847" t="s">
        <v>4390</v>
      </c>
      <c r="D197" s="1217" t="s">
        <v>4664</v>
      </c>
      <c r="E197" s="1217" t="s">
        <v>4664</v>
      </c>
      <c r="F197" s="1217" t="s">
        <v>4664</v>
      </c>
      <c r="G197" s="1217" t="s">
        <v>4664</v>
      </c>
      <c r="H197" s="1218" t="s">
        <v>4664</v>
      </c>
      <c r="I197" s="997"/>
      <c r="J197" s="997"/>
    </row>
    <row r="198" spans="1:10" ht="14.5">
      <c r="A198" s="1658"/>
      <c r="B198" s="1655"/>
      <c r="C198" s="847" t="s">
        <v>4391</v>
      </c>
      <c r="D198" s="1217" t="s">
        <v>4664</v>
      </c>
      <c r="E198" s="1217" t="s">
        <v>4664</v>
      </c>
      <c r="F198" s="1217" t="s">
        <v>4664</v>
      </c>
      <c r="G198" s="1217" t="s">
        <v>4664</v>
      </c>
      <c r="H198" s="1218" t="s">
        <v>4664</v>
      </c>
      <c r="I198" s="997"/>
      <c r="J198" s="997"/>
    </row>
    <row r="199" spans="1:10" ht="15" thickBot="1">
      <c r="A199" s="1658"/>
      <c r="B199" s="1656"/>
      <c r="C199" s="1228" t="s">
        <v>4397</v>
      </c>
      <c r="D199" s="1219" t="s">
        <v>4664</v>
      </c>
      <c r="E199" s="1219" t="s">
        <v>4664</v>
      </c>
      <c r="F199" s="1219" t="s">
        <v>4664</v>
      </c>
      <c r="G199" s="1219" t="s">
        <v>4664</v>
      </c>
      <c r="H199" s="1220" t="s">
        <v>4664</v>
      </c>
      <c r="I199" s="997"/>
      <c r="J199" s="997"/>
    </row>
    <row r="200" spans="1:10" ht="14.5">
      <c r="A200" s="1658"/>
      <c r="B200" s="1654" t="s">
        <v>4659</v>
      </c>
      <c r="C200" s="1227" t="s">
        <v>4388</v>
      </c>
      <c r="D200" s="1221" t="s">
        <v>4666</v>
      </c>
      <c r="E200" s="1221" t="s">
        <v>4666</v>
      </c>
      <c r="F200" s="1221" t="s">
        <v>4666</v>
      </c>
      <c r="G200" s="1221" t="s">
        <v>4666</v>
      </c>
      <c r="H200" s="1222" t="s">
        <v>4666</v>
      </c>
      <c r="I200" s="997"/>
      <c r="J200" s="997"/>
    </row>
    <row r="201" spans="1:10" ht="14.5">
      <c r="A201" s="1658"/>
      <c r="B201" s="1655"/>
      <c r="C201" s="847" t="s">
        <v>4389</v>
      </c>
      <c r="D201" s="1223" t="s">
        <v>4666</v>
      </c>
      <c r="E201" s="1223" t="s">
        <v>4666</v>
      </c>
      <c r="F201" s="1223" t="s">
        <v>4666</v>
      </c>
      <c r="G201" s="1223" t="s">
        <v>4666</v>
      </c>
      <c r="H201" s="1224" t="s">
        <v>4666</v>
      </c>
      <c r="I201" s="997"/>
      <c r="J201" s="997"/>
    </row>
    <row r="202" spans="1:10" ht="14.5">
      <c r="A202" s="1658"/>
      <c r="B202" s="1655"/>
      <c r="C202" s="847" t="s">
        <v>4390</v>
      </c>
      <c r="D202" s="1223" t="s">
        <v>4666</v>
      </c>
      <c r="E202" s="1223" t="s">
        <v>4666</v>
      </c>
      <c r="F202" s="1223" t="s">
        <v>4666</v>
      </c>
      <c r="G202" s="1223" t="s">
        <v>4666</v>
      </c>
      <c r="H202" s="1224" t="s">
        <v>4666</v>
      </c>
      <c r="I202" s="997"/>
      <c r="J202" s="997"/>
    </row>
    <row r="203" spans="1:10" ht="14.5">
      <c r="A203" s="1658"/>
      <c r="B203" s="1655"/>
      <c r="C203" s="847" t="s">
        <v>4391</v>
      </c>
      <c r="D203" s="1223" t="s">
        <v>4666</v>
      </c>
      <c r="E203" s="1223" t="s">
        <v>4666</v>
      </c>
      <c r="F203" s="1223" t="s">
        <v>4666</v>
      </c>
      <c r="G203" s="1223" t="s">
        <v>4666</v>
      </c>
      <c r="H203" s="1224" t="s">
        <v>4666</v>
      </c>
      <c r="I203" s="997"/>
      <c r="J203" s="997"/>
    </row>
    <row r="204" spans="1:10" ht="14.5">
      <c r="A204" s="1658"/>
      <c r="B204" s="1655"/>
      <c r="C204" s="1229" t="s">
        <v>4397</v>
      </c>
      <c r="D204" s="1223" t="s">
        <v>4666</v>
      </c>
      <c r="E204" s="1223" t="s">
        <v>4666</v>
      </c>
      <c r="F204" s="1223" t="s">
        <v>4666</v>
      </c>
      <c r="G204" s="1223" t="s">
        <v>4666</v>
      </c>
      <c r="H204" s="1224" t="s">
        <v>4666</v>
      </c>
      <c r="I204" s="997"/>
      <c r="J204" s="997"/>
    </row>
    <row r="205" spans="1:10" ht="14.5">
      <c r="A205" s="1658"/>
      <c r="B205" s="1655"/>
      <c r="C205" s="1229" t="s">
        <v>4660</v>
      </c>
      <c r="D205" s="1223" t="s">
        <v>4666</v>
      </c>
      <c r="E205" s="1223" t="s">
        <v>4666</v>
      </c>
      <c r="F205" s="1223" t="s">
        <v>4666</v>
      </c>
      <c r="G205" s="1223" t="s">
        <v>4666</v>
      </c>
      <c r="H205" s="1224" t="s">
        <v>4666</v>
      </c>
      <c r="I205" s="997"/>
      <c r="J205" s="997"/>
    </row>
    <row r="206" spans="1:10" ht="15" thickBot="1">
      <c r="A206" s="1658"/>
      <c r="B206" s="1656"/>
      <c r="C206" s="1228" t="s">
        <v>4661</v>
      </c>
      <c r="D206" s="1225" t="s">
        <v>4666</v>
      </c>
      <c r="E206" s="1225" t="s">
        <v>4666</v>
      </c>
      <c r="F206" s="1225" t="s">
        <v>4666</v>
      </c>
      <c r="G206" s="1225" t="s">
        <v>4666</v>
      </c>
      <c r="H206" s="1226" t="s">
        <v>4666</v>
      </c>
      <c r="I206" s="997"/>
      <c r="J206" s="997"/>
    </row>
    <row r="207" spans="1:10" ht="14.5">
      <c r="A207" s="1658"/>
      <c r="B207" s="1652" t="s">
        <v>4596</v>
      </c>
      <c r="C207" s="847" t="s">
        <v>4388</v>
      </c>
      <c r="D207" s="1187" t="s">
        <v>4488</v>
      </c>
      <c r="E207" s="846" t="s">
        <v>4488</v>
      </c>
      <c r="F207" s="846" t="s">
        <v>4488</v>
      </c>
      <c r="G207" s="846" t="s">
        <v>4488</v>
      </c>
      <c r="H207" s="1236" t="s">
        <v>4488</v>
      </c>
      <c r="I207" s="997"/>
      <c r="J207" s="997"/>
    </row>
    <row r="208" spans="1:10" ht="14.5">
      <c r="A208" s="1658"/>
      <c r="B208" s="1652"/>
      <c r="C208" s="847" t="s">
        <v>4389</v>
      </c>
      <c r="D208" s="846" t="s">
        <v>4488</v>
      </c>
      <c r="E208" s="846" t="s">
        <v>4488</v>
      </c>
      <c r="F208" s="846" t="s">
        <v>4488</v>
      </c>
      <c r="G208" s="846" t="s">
        <v>4488</v>
      </c>
      <c r="H208" s="1236" t="s">
        <v>4488</v>
      </c>
      <c r="I208" s="997"/>
      <c r="J208" s="997"/>
    </row>
    <row r="209" spans="1:10" ht="14.5">
      <c r="A209" s="1658"/>
      <c r="B209" s="1652"/>
      <c r="C209" s="847" t="s">
        <v>4390</v>
      </c>
      <c r="D209" s="846" t="s">
        <v>4488</v>
      </c>
      <c r="E209" s="846" t="s">
        <v>4488</v>
      </c>
      <c r="F209" s="846" t="s">
        <v>4488</v>
      </c>
      <c r="G209" s="846" t="s">
        <v>4488</v>
      </c>
      <c r="H209" s="1236" t="s">
        <v>4488</v>
      </c>
      <c r="I209" s="997"/>
      <c r="J209" s="997"/>
    </row>
    <row r="210" spans="1:10" ht="14.5">
      <c r="A210" s="1658"/>
      <c r="B210" s="1652"/>
      <c r="C210" s="847" t="s">
        <v>4391</v>
      </c>
      <c r="D210" s="846" t="s">
        <v>4488</v>
      </c>
      <c r="E210" s="846" t="s">
        <v>4488</v>
      </c>
      <c r="F210" s="846" t="s">
        <v>4488</v>
      </c>
      <c r="G210" s="846" t="s">
        <v>4488</v>
      </c>
      <c r="H210" s="1236" t="s">
        <v>4488</v>
      </c>
      <c r="I210" s="997"/>
      <c r="J210" s="997"/>
    </row>
    <row r="211" spans="1:10" ht="15" thickBot="1">
      <c r="A211" s="1659"/>
      <c r="B211" s="1653"/>
      <c r="C211" s="1228" t="s">
        <v>4397</v>
      </c>
      <c r="D211" s="1237" t="s">
        <v>4488</v>
      </c>
      <c r="E211" s="1237" t="s">
        <v>4488</v>
      </c>
      <c r="F211" s="1237" t="s">
        <v>4488</v>
      </c>
      <c r="G211" s="1237" t="s">
        <v>4488</v>
      </c>
      <c r="H211" s="1238" t="s">
        <v>4488</v>
      </c>
      <c r="I211" s="997"/>
      <c r="J211" s="997"/>
    </row>
    <row r="213" spans="1:10" ht="13" thickBot="1"/>
    <row r="214" spans="1:10" ht="23" thickBot="1">
      <c r="A214" s="1666" t="s">
        <v>4673</v>
      </c>
      <c r="B214" s="1667"/>
      <c r="C214" s="1667"/>
      <c r="D214" s="1667"/>
      <c r="E214" s="1667"/>
      <c r="F214" s="1667"/>
      <c r="G214" s="1667"/>
      <c r="H214" s="1667"/>
      <c r="I214" s="1668"/>
    </row>
    <row r="215" spans="1:10" ht="30" customHeight="1">
      <c r="A215" s="1669" t="s">
        <v>4249</v>
      </c>
      <c r="B215" s="1671"/>
      <c r="C215" s="1673" t="s">
        <v>4385</v>
      </c>
      <c r="D215" s="857" t="s">
        <v>4251</v>
      </c>
      <c r="E215" s="857" t="s">
        <v>4252</v>
      </c>
      <c r="F215" s="857" t="s">
        <v>4253</v>
      </c>
      <c r="G215" s="857" t="s">
        <v>4254</v>
      </c>
      <c r="H215" s="857" t="s">
        <v>4255</v>
      </c>
      <c r="I215" s="996"/>
      <c r="J215" s="997"/>
    </row>
    <row r="216" spans="1:10" ht="15" thickBot="1">
      <c r="A216" s="1670"/>
      <c r="B216" s="1672"/>
      <c r="C216" s="1639"/>
      <c r="D216" s="855" t="s">
        <v>4256</v>
      </c>
      <c r="E216" s="855" t="s">
        <v>4386</v>
      </c>
      <c r="F216" s="855" t="s">
        <v>4257</v>
      </c>
      <c r="G216" s="855" t="s">
        <v>4258</v>
      </c>
      <c r="H216" s="855" t="s">
        <v>4259</v>
      </c>
      <c r="I216" s="996"/>
      <c r="J216" s="997"/>
    </row>
    <row r="217" spans="1:10" ht="14.5">
      <c r="A217" s="1657" t="str">
        <f>CONCATENATE($A$4,"-",$B$4,"-P10.3.2")</f>
        <v>App.8-V08F-P10.3.2</v>
      </c>
      <c r="B217" s="1660" t="s">
        <v>4387</v>
      </c>
      <c r="C217" s="1227" t="s">
        <v>4388</v>
      </c>
      <c r="D217" s="1221" t="s">
        <v>4666</v>
      </c>
      <c r="E217" s="1221" t="s">
        <v>4666</v>
      </c>
      <c r="F217" s="1221" t="s">
        <v>4666</v>
      </c>
      <c r="G217" s="1221" t="s">
        <v>4666</v>
      </c>
      <c r="H217" s="1222" t="s">
        <v>4666</v>
      </c>
    </row>
    <row r="218" spans="1:10" ht="14.5">
      <c r="A218" s="1658"/>
      <c r="B218" s="1661"/>
      <c r="C218" s="847" t="s">
        <v>4389</v>
      </c>
      <c r="D218" s="1223" t="s">
        <v>4666</v>
      </c>
      <c r="E218" s="1223" t="s">
        <v>4666</v>
      </c>
      <c r="F218" s="1223" t="s">
        <v>4666</v>
      </c>
      <c r="G218" s="1223" t="s">
        <v>4666</v>
      </c>
      <c r="H218" s="1224" t="s">
        <v>4666</v>
      </c>
    </row>
    <row r="219" spans="1:10" ht="14.5">
      <c r="A219" s="1658"/>
      <c r="B219" s="1661"/>
      <c r="C219" s="847" t="s">
        <v>4390</v>
      </c>
      <c r="D219" s="1223" t="s">
        <v>4666</v>
      </c>
      <c r="E219" s="1223" t="s">
        <v>4666</v>
      </c>
      <c r="F219" s="1223" t="s">
        <v>4666</v>
      </c>
      <c r="G219" s="1223" t="s">
        <v>4666</v>
      </c>
      <c r="H219" s="1224" t="s">
        <v>4666</v>
      </c>
    </row>
    <row r="220" spans="1:10" ht="15" thickBot="1">
      <c r="A220" s="1658"/>
      <c r="B220" s="1662"/>
      <c r="C220" s="1228" t="s">
        <v>4391</v>
      </c>
      <c r="D220" s="1225" t="s">
        <v>4666</v>
      </c>
      <c r="E220" s="1225" t="s">
        <v>4666</v>
      </c>
      <c r="F220" s="1225" t="s">
        <v>4666</v>
      </c>
      <c r="G220" s="1225" t="s">
        <v>4666</v>
      </c>
      <c r="H220" s="1226" t="s">
        <v>4666</v>
      </c>
    </row>
    <row r="221" spans="1:10" ht="14.5">
      <c r="A221" s="1658"/>
      <c r="B221" s="1660" t="s">
        <v>4392</v>
      </c>
      <c r="C221" s="1227" t="s">
        <v>4388</v>
      </c>
      <c r="D221" s="1221" t="s">
        <v>4666</v>
      </c>
      <c r="E221" s="1221" t="s">
        <v>4666</v>
      </c>
      <c r="F221" s="1221" t="s">
        <v>4666</v>
      </c>
      <c r="G221" s="1221" t="s">
        <v>4666</v>
      </c>
      <c r="H221" s="1222" t="s">
        <v>4666</v>
      </c>
    </row>
    <row r="222" spans="1:10" ht="14.5">
      <c r="A222" s="1658"/>
      <c r="B222" s="1661"/>
      <c r="C222" s="847" t="s">
        <v>4389</v>
      </c>
      <c r="D222" s="1223" t="s">
        <v>4666</v>
      </c>
      <c r="E222" s="1223" t="s">
        <v>4666</v>
      </c>
      <c r="F222" s="1223" t="s">
        <v>4666</v>
      </c>
      <c r="G222" s="1223" t="s">
        <v>4666</v>
      </c>
      <c r="H222" s="1224" t="s">
        <v>4666</v>
      </c>
    </row>
    <row r="223" spans="1:10" ht="14.5">
      <c r="A223" s="1658"/>
      <c r="B223" s="1661"/>
      <c r="C223" s="847" t="s">
        <v>4390</v>
      </c>
      <c r="D223" s="1223" t="s">
        <v>4666</v>
      </c>
      <c r="E223" s="1223" t="s">
        <v>4666</v>
      </c>
      <c r="F223" s="1223" t="s">
        <v>4666</v>
      </c>
      <c r="G223" s="1223" t="s">
        <v>4666</v>
      </c>
      <c r="H223" s="1224" t="s">
        <v>4666</v>
      </c>
    </row>
    <row r="224" spans="1:10" ht="15" thickBot="1">
      <c r="A224" s="1658"/>
      <c r="B224" s="1662"/>
      <c r="C224" s="1228" t="s">
        <v>4391</v>
      </c>
      <c r="D224" s="1225" t="s">
        <v>4666</v>
      </c>
      <c r="E224" s="1225" t="s">
        <v>4666</v>
      </c>
      <c r="F224" s="1225" t="s">
        <v>4666</v>
      </c>
      <c r="G224" s="1225" t="s">
        <v>4666</v>
      </c>
      <c r="H224" s="1226" t="s">
        <v>4666</v>
      </c>
    </row>
    <row r="225" spans="1:8" ht="14.5">
      <c r="A225" s="1658"/>
      <c r="B225" s="1660" t="s">
        <v>4394</v>
      </c>
      <c r="C225" s="1227" t="s">
        <v>4388</v>
      </c>
      <c r="D225" s="1221" t="s">
        <v>4666</v>
      </c>
      <c r="E225" s="1221" t="s">
        <v>4666</v>
      </c>
      <c r="F225" s="1221" t="s">
        <v>4666</v>
      </c>
      <c r="G225" s="1221" t="s">
        <v>4666</v>
      </c>
      <c r="H225" s="1222" t="s">
        <v>4666</v>
      </c>
    </row>
    <row r="226" spans="1:8" ht="14.5">
      <c r="A226" s="1658"/>
      <c r="B226" s="1661"/>
      <c r="C226" s="847" t="s">
        <v>4389</v>
      </c>
      <c r="D226" s="1223" t="s">
        <v>4666</v>
      </c>
      <c r="E226" s="1223" t="s">
        <v>4666</v>
      </c>
      <c r="F226" s="1223" t="s">
        <v>4666</v>
      </c>
      <c r="G226" s="1223" t="s">
        <v>4666</v>
      </c>
      <c r="H226" s="1224" t="s">
        <v>4666</v>
      </c>
    </row>
    <row r="227" spans="1:8" ht="14.5">
      <c r="A227" s="1658"/>
      <c r="B227" s="1661"/>
      <c r="C227" s="847" t="s">
        <v>4390</v>
      </c>
      <c r="D227" s="1223" t="s">
        <v>4666</v>
      </c>
      <c r="E227" s="1223" t="s">
        <v>4666</v>
      </c>
      <c r="F227" s="1223" t="s">
        <v>4666</v>
      </c>
      <c r="G227" s="1223" t="s">
        <v>4666</v>
      </c>
      <c r="H227" s="1224" t="s">
        <v>4666</v>
      </c>
    </row>
    <row r="228" spans="1:8" ht="15" thickBot="1">
      <c r="A228" s="1658"/>
      <c r="B228" s="1662"/>
      <c r="C228" s="1228" t="s">
        <v>4391</v>
      </c>
      <c r="D228" s="1225" t="s">
        <v>4666</v>
      </c>
      <c r="E228" s="1225" t="s">
        <v>4666</v>
      </c>
      <c r="F228" s="1225" t="s">
        <v>4666</v>
      </c>
      <c r="G228" s="1225" t="s">
        <v>4666</v>
      </c>
      <c r="H228" s="1226" t="s">
        <v>4666</v>
      </c>
    </row>
    <row r="229" spans="1:8" ht="14.5">
      <c r="A229" s="1658"/>
      <c r="B229" s="1646" t="s">
        <v>4396</v>
      </c>
      <c r="C229" s="1227" t="s">
        <v>4388</v>
      </c>
      <c r="D229" s="1221" t="s">
        <v>4666</v>
      </c>
      <c r="E229" s="1221" t="s">
        <v>4666</v>
      </c>
      <c r="F229" s="1221" t="s">
        <v>4666</v>
      </c>
      <c r="G229" s="1221" t="s">
        <v>4666</v>
      </c>
      <c r="H229" s="1222" t="s">
        <v>4666</v>
      </c>
    </row>
    <row r="230" spans="1:8" ht="14.5">
      <c r="A230" s="1658"/>
      <c r="B230" s="1647"/>
      <c r="C230" s="847" t="s">
        <v>4389</v>
      </c>
      <c r="D230" s="1223" t="s">
        <v>4666</v>
      </c>
      <c r="E230" s="1223" t="s">
        <v>4666</v>
      </c>
      <c r="F230" s="1223" t="s">
        <v>4666</v>
      </c>
      <c r="G230" s="1223" t="s">
        <v>4666</v>
      </c>
      <c r="H230" s="1224" t="s">
        <v>4666</v>
      </c>
    </row>
    <row r="231" spans="1:8" ht="14.5">
      <c r="A231" s="1658"/>
      <c r="B231" s="1647"/>
      <c r="C231" s="847" t="s">
        <v>4390</v>
      </c>
      <c r="D231" s="1223" t="s">
        <v>4666</v>
      </c>
      <c r="E231" s="1223" t="s">
        <v>4666</v>
      </c>
      <c r="F231" s="1223" t="s">
        <v>4666</v>
      </c>
      <c r="G231" s="1223" t="s">
        <v>4666</v>
      </c>
      <c r="H231" s="1224" t="s">
        <v>4666</v>
      </c>
    </row>
    <row r="232" spans="1:8" ht="14.5">
      <c r="A232" s="1658"/>
      <c r="B232" s="1647"/>
      <c r="C232" s="847" t="s">
        <v>4391</v>
      </c>
      <c r="D232" s="1223" t="s">
        <v>4666</v>
      </c>
      <c r="E232" s="1223" t="s">
        <v>4666</v>
      </c>
      <c r="F232" s="1223" t="s">
        <v>4666</v>
      </c>
      <c r="G232" s="1223" t="s">
        <v>4666</v>
      </c>
      <c r="H232" s="1224" t="s">
        <v>4666</v>
      </c>
    </row>
    <row r="233" spans="1:8" ht="15" thickBot="1">
      <c r="A233" s="1658"/>
      <c r="B233" s="1648"/>
      <c r="C233" s="1228" t="s">
        <v>4397</v>
      </c>
      <c r="D233" s="1225" t="s">
        <v>4666</v>
      </c>
      <c r="E233" s="1225" t="s">
        <v>4666</v>
      </c>
      <c r="F233" s="1225" t="s">
        <v>4666</v>
      </c>
      <c r="G233" s="1225" t="s">
        <v>4666</v>
      </c>
      <c r="H233" s="1226" t="s">
        <v>4666</v>
      </c>
    </row>
    <row r="234" spans="1:8" ht="14.5">
      <c r="A234" s="1658"/>
      <c r="B234" s="1646" t="s">
        <v>4398</v>
      </c>
      <c r="C234" s="1227" t="s">
        <v>4388</v>
      </c>
      <c r="D234" s="1221" t="s">
        <v>4666</v>
      </c>
      <c r="E234" s="1221" t="s">
        <v>4666</v>
      </c>
      <c r="F234" s="1221" t="s">
        <v>4666</v>
      </c>
      <c r="G234" s="1221" t="s">
        <v>4666</v>
      </c>
      <c r="H234" s="1222" t="s">
        <v>4666</v>
      </c>
    </row>
    <row r="235" spans="1:8" ht="14.5">
      <c r="A235" s="1658"/>
      <c r="B235" s="1647"/>
      <c r="C235" s="847" t="s">
        <v>4389</v>
      </c>
      <c r="D235" s="1223" t="s">
        <v>4666</v>
      </c>
      <c r="E235" s="1223" t="s">
        <v>4666</v>
      </c>
      <c r="F235" s="1223" t="s">
        <v>4666</v>
      </c>
      <c r="G235" s="1223" t="s">
        <v>4666</v>
      </c>
      <c r="H235" s="1224" t="s">
        <v>4666</v>
      </c>
    </row>
    <row r="236" spans="1:8" ht="14.5">
      <c r="A236" s="1658"/>
      <c r="B236" s="1647"/>
      <c r="C236" s="847" t="s">
        <v>4390</v>
      </c>
      <c r="D236" s="1223" t="s">
        <v>4666</v>
      </c>
      <c r="E236" s="1223" t="s">
        <v>4666</v>
      </c>
      <c r="F236" s="1223" t="s">
        <v>4666</v>
      </c>
      <c r="G236" s="1223" t="s">
        <v>4666</v>
      </c>
      <c r="H236" s="1224" t="s">
        <v>4666</v>
      </c>
    </row>
    <row r="237" spans="1:8" ht="14.5">
      <c r="A237" s="1658"/>
      <c r="B237" s="1647"/>
      <c r="C237" s="847" t="s">
        <v>4391</v>
      </c>
      <c r="D237" s="1223" t="s">
        <v>4666</v>
      </c>
      <c r="E237" s="1223" t="s">
        <v>4666</v>
      </c>
      <c r="F237" s="1223" t="s">
        <v>4666</v>
      </c>
      <c r="G237" s="1223" t="s">
        <v>4666</v>
      </c>
      <c r="H237" s="1224" t="s">
        <v>4666</v>
      </c>
    </row>
    <row r="238" spans="1:8" ht="15" thickBot="1">
      <c r="A238" s="1658"/>
      <c r="B238" s="1648"/>
      <c r="C238" s="1228" t="s">
        <v>4397</v>
      </c>
      <c r="D238" s="1225" t="s">
        <v>4666</v>
      </c>
      <c r="E238" s="1225" t="s">
        <v>4666</v>
      </c>
      <c r="F238" s="1225" t="s">
        <v>4666</v>
      </c>
      <c r="G238" s="1225" t="s">
        <v>4666</v>
      </c>
      <c r="H238" s="1226" t="s">
        <v>4666</v>
      </c>
    </row>
    <row r="239" spans="1:8" ht="14.5">
      <c r="A239" s="1658"/>
      <c r="B239" s="1646" t="s">
        <v>4659</v>
      </c>
      <c r="C239" s="1227" t="s">
        <v>4388</v>
      </c>
      <c r="D239" s="1230" t="s">
        <v>4668</v>
      </c>
      <c r="E239" s="1230" t="s">
        <v>4668</v>
      </c>
      <c r="F239" s="1230" t="s">
        <v>4668</v>
      </c>
      <c r="G239" s="1230" t="s">
        <v>4668</v>
      </c>
      <c r="H239" s="1231" t="s">
        <v>4668</v>
      </c>
    </row>
    <row r="240" spans="1:8" ht="14.5">
      <c r="A240" s="1658"/>
      <c r="B240" s="1647"/>
      <c r="C240" s="847" t="s">
        <v>4389</v>
      </c>
      <c r="D240" s="1232" t="s">
        <v>4668</v>
      </c>
      <c r="E240" s="1232" t="s">
        <v>4668</v>
      </c>
      <c r="F240" s="1232" t="s">
        <v>4668</v>
      </c>
      <c r="G240" s="1232" t="s">
        <v>4668</v>
      </c>
      <c r="H240" s="1233" t="s">
        <v>4668</v>
      </c>
    </row>
    <row r="241" spans="1:9" ht="14.5">
      <c r="A241" s="1658"/>
      <c r="B241" s="1647"/>
      <c r="C241" s="847" t="s">
        <v>4390</v>
      </c>
      <c r="D241" s="1232" t="s">
        <v>4668</v>
      </c>
      <c r="E241" s="1232" t="s">
        <v>4668</v>
      </c>
      <c r="F241" s="1232" t="s">
        <v>4668</v>
      </c>
      <c r="G241" s="1232" t="s">
        <v>4668</v>
      </c>
      <c r="H241" s="1233" t="s">
        <v>4668</v>
      </c>
    </row>
    <row r="242" spans="1:9" ht="14.5">
      <c r="A242" s="1658"/>
      <c r="B242" s="1647"/>
      <c r="C242" s="847" t="s">
        <v>4391</v>
      </c>
      <c r="D242" s="1232" t="s">
        <v>4668</v>
      </c>
      <c r="E242" s="1232" t="s">
        <v>4668</v>
      </c>
      <c r="F242" s="1232" t="s">
        <v>4668</v>
      </c>
      <c r="G242" s="1232" t="s">
        <v>4668</v>
      </c>
      <c r="H242" s="1233" t="s">
        <v>4668</v>
      </c>
    </row>
    <row r="243" spans="1:9" ht="14.5">
      <c r="A243" s="1658"/>
      <c r="B243" s="1647"/>
      <c r="C243" s="1229" t="s">
        <v>4397</v>
      </c>
      <c r="D243" s="1232" t="s">
        <v>4668</v>
      </c>
      <c r="E243" s="1232" t="s">
        <v>4668</v>
      </c>
      <c r="F243" s="1232" t="s">
        <v>4668</v>
      </c>
      <c r="G243" s="1232" t="s">
        <v>4668</v>
      </c>
      <c r="H243" s="1233" t="s">
        <v>4668</v>
      </c>
    </row>
    <row r="244" spans="1:9" ht="14.5">
      <c r="A244" s="1658"/>
      <c r="B244" s="1647"/>
      <c r="C244" s="1229" t="s">
        <v>4660</v>
      </c>
      <c r="D244" s="1232" t="s">
        <v>4668</v>
      </c>
      <c r="E244" s="1232" t="s">
        <v>4668</v>
      </c>
      <c r="F244" s="1232" t="s">
        <v>4668</v>
      </c>
      <c r="G244" s="1232" t="s">
        <v>4668</v>
      </c>
      <c r="H244" s="1233" t="s">
        <v>4668</v>
      </c>
    </row>
    <row r="245" spans="1:9" ht="15" thickBot="1">
      <c r="A245" s="1659"/>
      <c r="B245" s="1648"/>
      <c r="C245" s="1228" t="s">
        <v>4661</v>
      </c>
      <c r="D245" s="1234" t="s">
        <v>4668</v>
      </c>
      <c r="E245" s="1234" t="s">
        <v>4668</v>
      </c>
      <c r="F245" s="1234" t="s">
        <v>4668</v>
      </c>
      <c r="G245" s="1234" t="s">
        <v>4668</v>
      </c>
      <c r="H245" s="1235" t="s">
        <v>4668</v>
      </c>
    </row>
    <row r="247" spans="1:9" ht="13" thickBot="1"/>
    <row r="248" spans="1:9" ht="23" thickBot="1">
      <c r="A248" s="1666" t="s">
        <v>4413</v>
      </c>
      <c r="B248" s="1667"/>
      <c r="C248" s="1667"/>
      <c r="D248" s="1667"/>
      <c r="E248" s="1667"/>
      <c r="F248" s="1667"/>
      <c r="G248" s="1667"/>
      <c r="H248" s="1667"/>
      <c r="I248" s="1668"/>
    </row>
    <row r="249" spans="1:9">
      <c r="A249" s="1639" t="s">
        <v>4249</v>
      </c>
      <c r="B249" s="1673" t="s">
        <v>4250</v>
      </c>
      <c r="C249" s="1641"/>
      <c r="D249" s="1637" t="s">
        <v>4353</v>
      </c>
    </row>
    <row r="250" spans="1:9">
      <c r="A250" s="1640"/>
      <c r="B250" s="1639"/>
      <c r="C250" s="1642"/>
      <c r="D250" s="1638"/>
    </row>
    <row r="251" spans="1:9" ht="14.5">
      <c r="A251" s="1649" t="str">
        <f>CONCATENATE($A$6,"-",$B$6,"-",B251)</f>
        <v>App.8.2-V01-P8.7</v>
      </c>
      <c r="B251" s="150" t="s">
        <v>4416</v>
      </c>
      <c r="C251" s="849" t="s">
        <v>4355</v>
      </c>
      <c r="D251" s="391" t="s">
        <v>4415</v>
      </c>
    </row>
    <row r="252" spans="1:9" ht="14.5">
      <c r="A252" s="1650"/>
      <c r="B252" s="150" t="s">
        <v>4416</v>
      </c>
      <c r="C252" s="849" t="s">
        <v>4355</v>
      </c>
      <c r="D252" s="391" t="s">
        <v>4414</v>
      </c>
    </row>
  </sheetData>
  <mergeCells count="88">
    <mergeCell ref="A134:A135"/>
    <mergeCell ref="B134:B135"/>
    <mergeCell ref="B217:B220"/>
    <mergeCell ref="B221:B224"/>
    <mergeCell ref="A149:J149"/>
    <mergeCell ref="A147:I147"/>
    <mergeCell ref="A162:H162"/>
    <mergeCell ref="A175:I175"/>
    <mergeCell ref="B200:B206"/>
    <mergeCell ref="A178:A211"/>
    <mergeCell ref="B176:B177"/>
    <mergeCell ref="B178:B181"/>
    <mergeCell ref="B182:B185"/>
    <mergeCell ref="A176:A177"/>
    <mergeCell ref="C176:C177"/>
    <mergeCell ref="C52:C53"/>
    <mergeCell ref="A91:A92"/>
    <mergeCell ref="B91:B92"/>
    <mergeCell ref="C91:C92"/>
    <mergeCell ref="A52:A53"/>
    <mergeCell ref="B52:B53"/>
    <mergeCell ref="C65:C66"/>
    <mergeCell ref="B65:B66"/>
    <mergeCell ref="K38:K49"/>
    <mergeCell ref="A38:J38"/>
    <mergeCell ref="C104:C105"/>
    <mergeCell ref="A128:A129"/>
    <mergeCell ref="B128:B129"/>
    <mergeCell ref="A127:H127"/>
    <mergeCell ref="A78:A79"/>
    <mergeCell ref="C128:C129"/>
    <mergeCell ref="B78:B79"/>
    <mergeCell ref="C78:C79"/>
    <mergeCell ref="A64:H64"/>
    <mergeCell ref="A77:H77"/>
    <mergeCell ref="A90:H90"/>
    <mergeCell ref="A103:H103"/>
    <mergeCell ref="A116:H116"/>
    <mergeCell ref="A126:H126"/>
    <mergeCell ref="A10:J10"/>
    <mergeCell ref="A249:A250"/>
    <mergeCell ref="B249:B250"/>
    <mergeCell ref="C249:C250"/>
    <mergeCell ref="D249:D250"/>
    <mergeCell ref="A248:I248"/>
    <mergeCell ref="A13:A14"/>
    <mergeCell ref="B13:B14"/>
    <mergeCell ref="C13:C14"/>
    <mergeCell ref="A39:A40"/>
    <mergeCell ref="B39:B40"/>
    <mergeCell ref="C39:C40"/>
    <mergeCell ref="A26:A27"/>
    <mergeCell ref="B26:B27"/>
    <mergeCell ref="A12:J12"/>
    <mergeCell ref="C26:C27"/>
    <mergeCell ref="A25:H25"/>
    <mergeCell ref="A214:I214"/>
    <mergeCell ref="A215:A216"/>
    <mergeCell ref="B215:B216"/>
    <mergeCell ref="C215:C216"/>
    <mergeCell ref="C134:C135"/>
    <mergeCell ref="A163:A164"/>
    <mergeCell ref="B163:B164"/>
    <mergeCell ref="C163:C164"/>
    <mergeCell ref="A150:A151"/>
    <mergeCell ref="B150:B151"/>
    <mergeCell ref="C150:C151"/>
    <mergeCell ref="A51:H51"/>
    <mergeCell ref="A65:A66"/>
    <mergeCell ref="A133:H133"/>
    <mergeCell ref="A132:H132"/>
    <mergeCell ref="B234:B238"/>
    <mergeCell ref="A251:A252"/>
    <mergeCell ref="B186:B189"/>
    <mergeCell ref="B190:B194"/>
    <mergeCell ref="B195:B199"/>
    <mergeCell ref="A217:A245"/>
    <mergeCell ref="B239:B245"/>
    <mergeCell ref="B229:B233"/>
    <mergeCell ref="B225:B228"/>
    <mergeCell ref="B207:B211"/>
    <mergeCell ref="D128:D129"/>
    <mergeCell ref="A118:A119"/>
    <mergeCell ref="B118:B119"/>
    <mergeCell ref="C118:C119"/>
    <mergeCell ref="A104:A105"/>
    <mergeCell ref="B104:B105"/>
    <mergeCell ref="A117:H117"/>
  </mergeCells>
  <pageMargins left="0.70866141732283472" right="0.70866141732283472" top="0.74803149606299213" bottom="0.74803149606299213" header="0.31496062992125984" footer="0.31496062992125984"/>
  <pageSetup paperSize="9" scale="32" fitToHeight="0"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Hoja2">
    <pageSetUpPr fitToPage="1"/>
  </sheetPr>
  <dimension ref="A1:AE79"/>
  <sheetViews>
    <sheetView topLeftCell="D13" zoomScale="70" zoomScaleNormal="70" workbookViewId="0">
      <selection activeCell="K32" sqref="K32"/>
    </sheetView>
  </sheetViews>
  <sheetFormatPr baseColWidth="10" defaultColWidth="11.453125" defaultRowHeight="12.5"/>
  <cols>
    <col min="1" max="1" width="11.453125" style="1289"/>
    <col min="2" max="2" width="15.6328125" style="1289" customWidth="1"/>
    <col min="3" max="4" width="11.453125" style="1289"/>
    <col min="5" max="5" width="13.90625" style="1289" customWidth="1"/>
    <col min="6" max="6" width="21.36328125" style="1289" customWidth="1"/>
    <col min="7" max="7" width="12.08984375" style="1289" bestFit="1" customWidth="1"/>
    <col min="8" max="9" width="11.453125" style="1289"/>
    <col min="10" max="10" width="13.453125" style="1289" bestFit="1" customWidth="1"/>
    <col min="11" max="11" width="14.6328125" style="1289" bestFit="1" customWidth="1"/>
    <col min="12" max="12" width="13.36328125" style="1289" customWidth="1"/>
    <col min="13" max="20" width="11.453125" style="1289" customWidth="1"/>
    <col min="21" max="21" width="11.453125" style="1289"/>
    <col min="22" max="22" width="14.6328125" style="1289" bestFit="1" customWidth="1"/>
    <col min="23" max="24" width="13" style="1289" customWidth="1"/>
    <col min="25" max="25" width="9.08984375" style="1289" customWidth="1"/>
    <col min="26" max="26" width="7.6328125" style="1289" bestFit="1" customWidth="1"/>
    <col min="27" max="27" width="6.54296875" style="1289" customWidth="1"/>
    <col min="28" max="28" width="22.6328125" style="1289" bestFit="1" customWidth="1"/>
    <col min="29" max="30" width="11.453125" style="1289"/>
    <col min="31" max="31" width="11.08984375" style="1289" bestFit="1" customWidth="1"/>
    <col min="32" max="16384" width="11.453125" style="1289"/>
  </cols>
  <sheetData>
    <row r="1" spans="1:31" ht="26">
      <c r="A1" s="1280" t="s">
        <v>3621</v>
      </c>
      <c r="B1" s="1281" t="s">
        <v>3620</v>
      </c>
      <c r="C1" s="1282" t="s">
        <v>3622</v>
      </c>
      <c r="D1" s="1283"/>
      <c r="E1" s="1280" t="s">
        <v>3621</v>
      </c>
      <c r="F1" s="1281" t="s">
        <v>3623</v>
      </c>
      <c r="G1" s="1282" t="s">
        <v>3622</v>
      </c>
      <c r="H1" s="1283"/>
      <c r="I1" s="1283"/>
      <c r="J1" s="1283"/>
      <c r="K1" s="149"/>
      <c r="L1" s="1686" t="s">
        <v>1370</v>
      </c>
      <c r="M1" s="1687"/>
      <c r="N1" s="1687"/>
      <c r="O1" s="1687"/>
      <c r="P1" s="1687"/>
      <c r="Q1" s="1687"/>
      <c r="R1" s="1687"/>
      <c r="S1" s="1296" t="s">
        <v>4873</v>
      </c>
      <c r="V1" s="1688" t="s">
        <v>4883</v>
      </c>
      <c r="W1" s="1688"/>
      <c r="X1" s="1688"/>
      <c r="Y1" s="1270" t="s">
        <v>4884</v>
      </c>
      <c r="Z1" s="1270" t="s">
        <v>4688</v>
      </c>
      <c r="AA1" s="1270" t="s">
        <v>4885</v>
      </c>
      <c r="AB1" s="1270" t="s">
        <v>4951</v>
      </c>
      <c r="AC1" s="1270" t="s">
        <v>4886</v>
      </c>
      <c r="AD1" s="1270" t="s">
        <v>4887</v>
      </c>
      <c r="AE1" s="1270" t="s">
        <v>4888</v>
      </c>
    </row>
    <row r="2" spans="1:31" ht="20" customHeight="1">
      <c r="A2" s="1284">
        <v>12500</v>
      </c>
      <c r="B2" s="1284">
        <v>14130</v>
      </c>
      <c r="C2" s="1285" t="s">
        <v>4426</v>
      </c>
      <c r="D2" s="1283"/>
      <c r="E2" s="1284">
        <v>12500</v>
      </c>
      <c r="F2" s="1284">
        <v>14130</v>
      </c>
      <c r="G2" s="1285" t="s">
        <v>1371</v>
      </c>
      <c r="H2" s="1283"/>
      <c r="I2" s="1286" t="s">
        <v>1373</v>
      </c>
      <c r="J2" s="1287"/>
      <c r="K2" s="391" t="s">
        <v>1365</v>
      </c>
      <c r="L2" s="391"/>
      <c r="M2" s="150" t="s">
        <v>4427</v>
      </c>
      <c r="N2" s="150" t="s">
        <v>4426</v>
      </c>
      <c r="O2" s="150" t="s">
        <v>4429</v>
      </c>
      <c r="P2" s="150" t="s">
        <v>4428</v>
      </c>
      <c r="Q2" s="150" t="s">
        <v>4435</v>
      </c>
      <c r="R2" s="150" t="s">
        <v>4436</v>
      </c>
      <c r="S2" s="1251" t="s">
        <v>4466</v>
      </c>
      <c r="T2" s="1293"/>
      <c r="U2" s="1283"/>
      <c r="V2" s="846" t="s">
        <v>1365</v>
      </c>
      <c r="W2" s="846" t="s">
        <v>1371</v>
      </c>
      <c r="X2" s="1187"/>
      <c r="Y2" s="1271"/>
      <c r="Z2" s="1271"/>
      <c r="AA2" s="1271"/>
      <c r="AB2" s="1271"/>
      <c r="AC2" s="1271"/>
      <c r="AD2" s="1271"/>
      <c r="AE2" s="1271"/>
    </row>
    <row r="3" spans="1:31" ht="20.149999999999999" customHeight="1">
      <c r="A3" s="1286">
        <v>79500</v>
      </c>
      <c r="B3" s="1286">
        <v>80440</v>
      </c>
      <c r="C3" s="1285" t="s">
        <v>4426</v>
      </c>
      <c r="D3" s="1288" t="s">
        <v>2780</v>
      </c>
      <c r="E3" s="1286">
        <v>79500</v>
      </c>
      <c r="F3" s="1286">
        <v>80440</v>
      </c>
      <c r="G3" s="1285" t="s">
        <v>1371</v>
      </c>
      <c r="H3" s="1283"/>
      <c r="I3" s="1285" t="s">
        <v>4427</v>
      </c>
      <c r="J3" s="1287">
        <v>3</v>
      </c>
      <c r="K3" s="1681"/>
      <c r="L3" s="1681"/>
      <c r="M3" s="1681"/>
      <c r="N3" s="1681"/>
      <c r="O3" s="1681"/>
      <c r="P3" s="1681"/>
      <c r="Q3" s="1681"/>
      <c r="R3" s="1681"/>
      <c r="S3" s="1268">
        <v>10</v>
      </c>
      <c r="U3" s="1294"/>
      <c r="V3" s="402"/>
      <c r="W3" s="402"/>
      <c r="X3" s="402"/>
      <c r="Y3" s="1240"/>
      <c r="Z3" s="1240"/>
      <c r="AA3" s="1240"/>
      <c r="AB3" s="1240"/>
      <c r="AC3" s="1240"/>
      <c r="AD3" s="1240"/>
      <c r="AE3" s="1240"/>
    </row>
    <row r="4" spans="1:31" ht="20.149999999999999" customHeight="1">
      <c r="A4" s="1286">
        <f>B3</f>
        <v>80440</v>
      </c>
      <c r="B4" s="1286">
        <v>81000</v>
      </c>
      <c r="C4" s="1285" t="s">
        <v>4426</v>
      </c>
      <c r="D4" s="1288" t="s">
        <v>2780</v>
      </c>
      <c r="E4" s="1286">
        <f>F3</f>
        <v>80440</v>
      </c>
      <c r="F4" s="1286">
        <v>81000</v>
      </c>
      <c r="G4" s="1285" t="s">
        <v>1371</v>
      </c>
      <c r="H4" s="1283"/>
      <c r="I4" s="1285" t="s">
        <v>4426</v>
      </c>
      <c r="J4" s="1287">
        <v>4</v>
      </c>
      <c r="K4" s="1239" t="s">
        <v>229</v>
      </c>
      <c r="L4" s="1239" t="str">
        <f t="shared" ref="L4:L37" si="0">VLOOKUP(K4,$V$4:$W$37,2,FALSE)</f>
        <v>C3R</v>
      </c>
      <c r="M4" s="455">
        <v>3.5</v>
      </c>
      <c r="N4" s="455">
        <v>3.5</v>
      </c>
      <c r="O4" s="455"/>
      <c r="P4" s="455">
        <v>3</v>
      </c>
      <c r="Q4" s="455"/>
      <c r="R4" s="455"/>
      <c r="S4" s="1682" t="str">
        <f>CONCATENATE("OSC FOUNDATIONS ",$S$1," DESIGANTION TABLE (SEM-ER-",$S$1,"-OCS_FOUND-DD-6900-",$S$3,")")</f>
        <v>OSC FOUNDATIONS EP06 DESIGANTION TABLE (SEM-ER-EP06-OCS_FOUND-DD-6900-10)</v>
      </c>
      <c r="U4" s="1294"/>
      <c r="V4" s="1239" t="s">
        <v>229</v>
      </c>
      <c r="W4" s="455" t="s">
        <v>1474</v>
      </c>
      <c r="X4" s="402"/>
      <c r="Y4" s="1246">
        <v>0.75</v>
      </c>
      <c r="Z4" s="1247">
        <v>25</v>
      </c>
      <c r="AA4" s="1240">
        <v>4</v>
      </c>
      <c r="AB4" s="1240" t="s">
        <v>4694</v>
      </c>
      <c r="AC4" s="1243" t="s">
        <v>4712</v>
      </c>
      <c r="AD4" s="1243" t="s">
        <v>4713</v>
      </c>
      <c r="AE4" s="1242" t="s">
        <v>4715</v>
      </c>
    </row>
    <row r="5" spans="1:31" ht="20.149999999999999" customHeight="1">
      <c r="A5" s="1286">
        <f t="shared" ref="A5:A33" si="1">B4</f>
        <v>81000</v>
      </c>
      <c r="B5" s="1286">
        <v>81550</v>
      </c>
      <c r="C5" s="1285" t="s">
        <v>4426</v>
      </c>
      <c r="D5" s="1288" t="s">
        <v>2780</v>
      </c>
      <c r="E5" s="1286">
        <f t="shared" ref="E5:E33" si="2">F4</f>
        <v>81000</v>
      </c>
      <c r="F5" s="1286">
        <v>81550</v>
      </c>
      <c r="G5" s="1285" t="s">
        <v>1371</v>
      </c>
      <c r="H5" s="1283"/>
      <c r="I5" s="1285" t="s">
        <v>4429</v>
      </c>
      <c r="J5" s="1287">
        <v>5</v>
      </c>
      <c r="K5" s="1242" t="s">
        <v>230</v>
      </c>
      <c r="L5" s="1242" t="str">
        <f t="shared" si="0"/>
        <v>C4R</v>
      </c>
      <c r="M5" s="1248">
        <v>3.5</v>
      </c>
      <c r="N5" s="1248">
        <v>3.5</v>
      </c>
      <c r="O5" s="1248"/>
      <c r="P5" s="1248">
        <v>3</v>
      </c>
      <c r="Q5" s="1248"/>
      <c r="R5" s="1248"/>
      <c r="S5" s="1683"/>
      <c r="U5" s="1294"/>
      <c r="V5" s="1242" t="s">
        <v>230</v>
      </c>
      <c r="W5" s="1248" t="s">
        <v>1475</v>
      </c>
      <c r="X5" s="402"/>
      <c r="Y5" s="1246">
        <v>0.75</v>
      </c>
      <c r="Z5" s="1247">
        <v>32</v>
      </c>
      <c r="AA5" s="1240">
        <v>4</v>
      </c>
      <c r="AB5" s="1240" t="s">
        <v>4692</v>
      </c>
      <c r="AC5" s="1243" t="s">
        <v>4712</v>
      </c>
      <c r="AD5" s="1243" t="s">
        <v>4713</v>
      </c>
      <c r="AE5" s="1242" t="s">
        <v>4715</v>
      </c>
    </row>
    <row r="6" spans="1:31" ht="20.149999999999999" customHeight="1">
      <c r="A6" s="1286">
        <f t="shared" si="1"/>
        <v>81550</v>
      </c>
      <c r="B6" s="1286">
        <v>82000</v>
      </c>
      <c r="C6" s="1285" t="s">
        <v>4426</v>
      </c>
      <c r="D6" s="1288" t="s">
        <v>2780</v>
      </c>
      <c r="E6" s="1286">
        <f t="shared" si="2"/>
        <v>81550</v>
      </c>
      <c r="F6" s="1286">
        <v>82000</v>
      </c>
      <c r="G6" s="1285" t="s">
        <v>1371</v>
      </c>
      <c r="H6" s="1283"/>
      <c r="I6" s="1285" t="s">
        <v>4428</v>
      </c>
      <c r="J6" s="1287">
        <v>6</v>
      </c>
      <c r="K6" s="1252" t="s">
        <v>898</v>
      </c>
      <c r="L6" s="1252" t="str">
        <f t="shared" si="0"/>
        <v>C4R</v>
      </c>
      <c r="M6" s="1249">
        <f>M5</f>
        <v>3.5</v>
      </c>
      <c r="N6" s="1249">
        <f>N5</f>
        <v>3.5</v>
      </c>
      <c r="O6" s="1249"/>
      <c r="P6" s="1249">
        <f>P5</f>
        <v>3</v>
      </c>
      <c r="Q6" s="1249"/>
      <c r="R6" s="1249"/>
      <c r="S6" s="1683"/>
      <c r="U6" s="1294"/>
      <c r="V6" s="1252" t="s">
        <v>898</v>
      </c>
      <c r="W6" s="1249" t="s">
        <v>1475</v>
      </c>
      <c r="X6" s="402"/>
      <c r="Y6" s="1246">
        <v>0.75</v>
      </c>
      <c r="Z6" s="1247">
        <v>32</v>
      </c>
      <c r="AA6" s="1240">
        <v>4</v>
      </c>
      <c r="AB6" s="1240" t="s">
        <v>4692</v>
      </c>
      <c r="AC6" s="1243" t="s">
        <v>4712</v>
      </c>
      <c r="AD6" s="1243" t="s">
        <v>4713</v>
      </c>
      <c r="AE6" s="1242" t="s">
        <v>4715</v>
      </c>
    </row>
    <row r="7" spans="1:31" ht="20.149999999999999" customHeight="1">
      <c r="A7" s="1286">
        <f t="shared" si="1"/>
        <v>82000</v>
      </c>
      <c r="B7" s="1286">
        <v>83450</v>
      </c>
      <c r="C7" s="1285" t="s">
        <v>4427</v>
      </c>
      <c r="D7" s="1288" t="s">
        <v>2781</v>
      </c>
      <c r="E7" s="1286">
        <f t="shared" si="2"/>
        <v>82000</v>
      </c>
      <c r="F7" s="1286">
        <v>83450</v>
      </c>
      <c r="G7" s="1285" t="s">
        <v>1371</v>
      </c>
      <c r="H7" s="1283"/>
      <c r="I7" s="1286" t="s">
        <v>4435</v>
      </c>
      <c r="J7" s="1287">
        <v>7</v>
      </c>
      <c r="K7" s="1252" t="s">
        <v>818</v>
      </c>
      <c r="L7" s="1252" t="str">
        <f t="shared" si="0"/>
        <v>C4R</v>
      </c>
      <c r="M7" s="1249">
        <v>3.5</v>
      </c>
      <c r="N7" s="1249">
        <v>3.5</v>
      </c>
      <c r="O7" s="1249"/>
      <c r="P7" s="1249">
        <v>3</v>
      </c>
      <c r="Q7" s="1249"/>
      <c r="R7" s="1249"/>
      <c r="S7" s="1683"/>
      <c r="U7" s="1294"/>
      <c r="V7" s="1252" t="s">
        <v>818</v>
      </c>
      <c r="W7" s="1249" t="s">
        <v>1475</v>
      </c>
      <c r="X7" s="475"/>
      <c r="Y7" s="1246">
        <v>0.75</v>
      </c>
      <c r="Z7" s="1247">
        <v>32</v>
      </c>
      <c r="AA7" s="1240">
        <v>4</v>
      </c>
      <c r="AB7" s="1240" t="s">
        <v>4692</v>
      </c>
      <c r="AC7" s="1243" t="s">
        <v>4712</v>
      </c>
      <c r="AD7" s="1243" t="s">
        <v>4713</v>
      </c>
      <c r="AE7" s="1242" t="s">
        <v>4715</v>
      </c>
    </row>
    <row r="8" spans="1:31" ht="20.149999999999999" customHeight="1">
      <c r="A8" s="1286">
        <f t="shared" si="1"/>
        <v>83450</v>
      </c>
      <c r="B8" s="1286">
        <v>83800</v>
      </c>
      <c r="C8" s="1285" t="s">
        <v>4427</v>
      </c>
      <c r="D8" s="1288" t="s">
        <v>2781</v>
      </c>
      <c r="E8" s="1286">
        <f t="shared" si="2"/>
        <v>83450</v>
      </c>
      <c r="F8" s="1286">
        <v>83800</v>
      </c>
      <c r="G8" s="1285" t="s">
        <v>1371</v>
      </c>
      <c r="H8" s="1283"/>
      <c r="I8" s="1286" t="s">
        <v>4436</v>
      </c>
      <c r="J8" s="1287">
        <v>8</v>
      </c>
      <c r="K8" s="1239" t="s">
        <v>232</v>
      </c>
      <c r="L8" s="1239" t="str">
        <f t="shared" si="0"/>
        <v>C5R</v>
      </c>
      <c r="M8" s="455">
        <v>3.5</v>
      </c>
      <c r="N8" s="455">
        <v>3.5</v>
      </c>
      <c r="O8" s="455"/>
      <c r="P8" s="455">
        <v>3</v>
      </c>
      <c r="Q8" s="455"/>
      <c r="R8" s="455"/>
      <c r="S8" s="1683"/>
      <c r="U8" s="1294"/>
      <c r="V8" s="1239" t="s">
        <v>232</v>
      </c>
      <c r="W8" s="455" t="s">
        <v>1477</v>
      </c>
      <c r="X8" s="402"/>
      <c r="Y8" s="1246">
        <v>1</v>
      </c>
      <c r="Z8" s="1247">
        <v>32</v>
      </c>
      <c r="AA8" s="1240">
        <v>4</v>
      </c>
      <c r="AB8" s="1240" t="s">
        <v>4693</v>
      </c>
      <c r="AC8" s="1243" t="s">
        <v>4709</v>
      </c>
      <c r="AD8" s="1243" t="s">
        <v>4713</v>
      </c>
      <c r="AE8" s="1242" t="s">
        <v>4715</v>
      </c>
    </row>
    <row r="9" spans="1:31" ht="20.149999999999999" customHeight="1">
      <c r="A9" s="1286">
        <f t="shared" si="1"/>
        <v>83800</v>
      </c>
      <c r="B9" s="1286">
        <v>84600</v>
      </c>
      <c r="C9" s="1285" t="s">
        <v>4426</v>
      </c>
      <c r="D9" s="1288" t="s">
        <v>2780</v>
      </c>
      <c r="E9" s="1286">
        <f t="shared" si="2"/>
        <v>83800</v>
      </c>
      <c r="F9" s="1286">
        <v>84600</v>
      </c>
      <c r="G9" s="1285" t="s">
        <v>1371</v>
      </c>
      <c r="H9" s="1283"/>
      <c r="I9" s="1283"/>
      <c r="J9" s="1283"/>
      <c r="K9" s="1191" t="s">
        <v>899</v>
      </c>
      <c r="L9" s="1191" t="str">
        <f t="shared" si="0"/>
        <v>C5R</v>
      </c>
      <c r="M9" s="999">
        <f>M8</f>
        <v>3.5</v>
      </c>
      <c r="N9" s="999">
        <f>N8</f>
        <v>3.5</v>
      </c>
      <c r="O9" s="999"/>
      <c r="P9" s="999">
        <f>P8</f>
        <v>3</v>
      </c>
      <c r="Q9" s="999"/>
      <c r="R9" s="999"/>
      <c r="S9" s="1683"/>
      <c r="U9" s="1294"/>
      <c r="V9" s="1191" t="s">
        <v>899</v>
      </c>
      <c r="W9" s="999" t="s">
        <v>1477</v>
      </c>
      <c r="X9" s="475"/>
      <c r="Y9" s="1246">
        <v>1</v>
      </c>
      <c r="Z9" s="1247">
        <v>32</v>
      </c>
      <c r="AA9" s="1240">
        <v>4</v>
      </c>
      <c r="AB9" s="1240" t="s">
        <v>4693</v>
      </c>
      <c r="AC9" s="1243" t="s">
        <v>4709</v>
      </c>
      <c r="AD9" s="1243" t="s">
        <v>4713</v>
      </c>
      <c r="AE9" s="1242" t="s">
        <v>4715</v>
      </c>
    </row>
    <row r="10" spans="1:31" ht="20.149999999999999" customHeight="1">
      <c r="A10" s="1286">
        <f t="shared" si="1"/>
        <v>84600</v>
      </c>
      <c r="B10" s="1286">
        <v>85110</v>
      </c>
      <c r="C10" s="1285" t="s">
        <v>4426</v>
      </c>
      <c r="D10" s="1288" t="s">
        <v>2780</v>
      </c>
      <c r="E10" s="1286">
        <f t="shared" si="2"/>
        <v>84600</v>
      </c>
      <c r="F10" s="1286">
        <v>85110</v>
      </c>
      <c r="G10" s="1285" t="s">
        <v>1371</v>
      </c>
      <c r="H10" s="1283"/>
      <c r="I10" s="1286" t="s">
        <v>1373</v>
      </c>
      <c r="J10" s="1287"/>
      <c r="K10" s="1239" t="s">
        <v>819</v>
      </c>
      <c r="L10" s="1239" t="str">
        <f t="shared" si="0"/>
        <v>C5R</v>
      </c>
      <c r="M10" s="455">
        <v>3.5</v>
      </c>
      <c r="N10" s="455">
        <v>3.5</v>
      </c>
      <c r="O10" s="455"/>
      <c r="P10" s="455">
        <v>3</v>
      </c>
      <c r="Q10" s="455"/>
      <c r="R10" s="455"/>
      <c r="S10" s="1683"/>
      <c r="T10" s="1292"/>
      <c r="U10" s="1295"/>
      <c r="V10" s="1239" t="s">
        <v>819</v>
      </c>
      <c r="W10" s="455" t="s">
        <v>1477</v>
      </c>
      <c r="X10" s="475"/>
      <c r="Y10" s="1246">
        <v>1</v>
      </c>
      <c r="Z10" s="1247">
        <v>32</v>
      </c>
      <c r="AA10" s="1240">
        <v>4</v>
      </c>
      <c r="AB10" s="1240" t="s">
        <v>4693</v>
      </c>
      <c r="AC10" s="1243" t="s">
        <v>4709</v>
      </c>
      <c r="AD10" s="1243" t="s">
        <v>4713</v>
      </c>
      <c r="AE10" s="1242" t="s">
        <v>4715</v>
      </c>
    </row>
    <row r="11" spans="1:31" ht="20.149999999999999" customHeight="1">
      <c r="A11" s="1286">
        <f t="shared" si="1"/>
        <v>85110</v>
      </c>
      <c r="B11" s="1286">
        <v>85535</v>
      </c>
      <c r="C11" s="1285" t="s">
        <v>4426</v>
      </c>
      <c r="D11" s="1288" t="s">
        <v>2780</v>
      </c>
      <c r="E11" s="1286">
        <f t="shared" si="2"/>
        <v>85110</v>
      </c>
      <c r="F11" s="1286">
        <v>85535</v>
      </c>
      <c r="G11" s="1285" t="s">
        <v>1371</v>
      </c>
      <c r="H11" s="1283"/>
      <c r="I11" s="1285" t="s">
        <v>1371</v>
      </c>
      <c r="J11" s="1287">
        <v>2</v>
      </c>
      <c r="K11" s="1242" t="s">
        <v>231</v>
      </c>
      <c r="L11" s="1242" t="str">
        <f t="shared" si="0"/>
        <v>C7R</v>
      </c>
      <c r="M11" s="1248">
        <v>4</v>
      </c>
      <c r="N11" s="1248">
        <v>3.5</v>
      </c>
      <c r="O11" s="1248"/>
      <c r="P11" s="1248">
        <v>3</v>
      </c>
      <c r="Q11" s="1248"/>
      <c r="R11" s="1248"/>
      <c r="S11" s="1683"/>
      <c r="T11" s="1292"/>
      <c r="U11" s="1295"/>
      <c r="V11" s="1242" t="s">
        <v>231</v>
      </c>
      <c r="W11" s="1248" t="s">
        <v>1476</v>
      </c>
      <c r="X11" s="475"/>
      <c r="Y11" s="1246">
        <v>1</v>
      </c>
      <c r="Z11" s="1247">
        <v>40</v>
      </c>
      <c r="AA11" s="1240">
        <v>4</v>
      </c>
      <c r="AB11" s="1240" t="s">
        <v>4693</v>
      </c>
      <c r="AC11" s="1243" t="s">
        <v>4709</v>
      </c>
      <c r="AD11" s="1243" t="s">
        <v>4713</v>
      </c>
      <c r="AE11" s="1242" t="s">
        <v>4715</v>
      </c>
    </row>
    <row r="12" spans="1:31" ht="20.149999999999999" customHeight="1">
      <c r="A12" s="1286">
        <f t="shared" si="1"/>
        <v>85535</v>
      </c>
      <c r="B12" s="1286">
        <v>86000</v>
      </c>
      <c r="C12" s="1285" t="s">
        <v>4426</v>
      </c>
      <c r="D12" s="1288" t="s">
        <v>2780</v>
      </c>
      <c r="E12" s="1286">
        <f t="shared" si="2"/>
        <v>85535</v>
      </c>
      <c r="F12" s="1286">
        <v>86000</v>
      </c>
      <c r="G12" s="1285" t="s">
        <v>1371</v>
      </c>
      <c r="I12" s="1285" t="s">
        <v>4434</v>
      </c>
      <c r="J12" s="1287">
        <v>3</v>
      </c>
      <c r="K12" s="1252" t="s">
        <v>900</v>
      </c>
      <c r="L12" s="1252" t="str">
        <f t="shared" si="0"/>
        <v>C7R</v>
      </c>
      <c r="M12" s="1249">
        <f>M11</f>
        <v>4</v>
      </c>
      <c r="N12" s="1249">
        <f>N11</f>
        <v>3.5</v>
      </c>
      <c r="O12" s="1249"/>
      <c r="P12" s="1249">
        <f>P11</f>
        <v>3</v>
      </c>
      <c r="Q12" s="1249"/>
      <c r="R12" s="1249"/>
      <c r="S12" s="1683"/>
      <c r="T12" s="1292"/>
      <c r="U12" s="1295"/>
      <c r="V12" s="1252" t="s">
        <v>900</v>
      </c>
      <c r="W12" s="1249" t="s">
        <v>1476</v>
      </c>
      <c r="X12" s="401"/>
      <c r="Y12" s="1246">
        <v>1</v>
      </c>
      <c r="Z12" s="1247">
        <v>40</v>
      </c>
      <c r="AA12" s="1240">
        <v>4</v>
      </c>
      <c r="AB12" s="1240" t="s">
        <v>4693</v>
      </c>
      <c r="AC12" s="1243" t="s">
        <v>4709</v>
      </c>
      <c r="AD12" s="1243" t="s">
        <v>4713</v>
      </c>
      <c r="AE12" s="1242" t="s">
        <v>4715</v>
      </c>
    </row>
    <row r="13" spans="1:31" ht="20.149999999999999" customHeight="1">
      <c r="A13" s="1286">
        <f t="shared" si="1"/>
        <v>86000</v>
      </c>
      <c r="B13" s="1286">
        <v>86450</v>
      </c>
      <c r="C13" s="1285" t="s">
        <v>4426</v>
      </c>
      <c r="D13" s="1288" t="s">
        <v>2780</v>
      </c>
      <c r="E13" s="1286">
        <f t="shared" si="2"/>
        <v>86000</v>
      </c>
      <c r="F13" s="1286">
        <v>86450</v>
      </c>
      <c r="G13" s="1285" t="s">
        <v>1371</v>
      </c>
      <c r="K13" s="1240" t="s">
        <v>820</v>
      </c>
      <c r="L13" s="1240" t="str">
        <f t="shared" si="0"/>
        <v>C7R</v>
      </c>
      <c r="M13" s="1250">
        <v>3.7</v>
      </c>
      <c r="N13" s="1250">
        <v>3.5</v>
      </c>
      <c r="O13" s="1250"/>
      <c r="P13" s="1250">
        <v>3.7</v>
      </c>
      <c r="Q13" s="1250"/>
      <c r="R13" s="1250"/>
      <c r="S13" s="1683"/>
      <c r="T13" s="1292"/>
      <c r="U13" s="1295"/>
      <c r="V13" s="1240" t="s">
        <v>820</v>
      </c>
      <c r="W13" s="1248" t="s">
        <v>1476</v>
      </c>
      <c r="X13" s="401"/>
      <c r="Y13" s="1246">
        <v>1</v>
      </c>
      <c r="Z13" s="1247">
        <v>40</v>
      </c>
      <c r="AA13" s="1240">
        <v>4</v>
      </c>
      <c r="AB13" s="1240" t="s">
        <v>4693</v>
      </c>
      <c r="AC13" s="1243" t="s">
        <v>4709</v>
      </c>
      <c r="AD13" s="1243" t="s">
        <v>4713</v>
      </c>
      <c r="AE13" s="1242" t="s">
        <v>4715</v>
      </c>
    </row>
    <row r="14" spans="1:31" ht="20.149999999999999" customHeight="1">
      <c r="A14" s="1286">
        <f t="shared" si="1"/>
        <v>86450</v>
      </c>
      <c r="B14" s="1286">
        <v>86980</v>
      </c>
      <c r="C14" s="1285" t="s">
        <v>4426</v>
      </c>
      <c r="D14" s="1288" t="s">
        <v>2780</v>
      </c>
      <c r="E14" s="1286">
        <f t="shared" si="2"/>
        <v>86450</v>
      </c>
      <c r="F14" s="1286">
        <v>86980</v>
      </c>
      <c r="G14" s="1285" t="s">
        <v>1371</v>
      </c>
      <c r="H14" s="1283"/>
      <c r="I14" s="1283"/>
      <c r="J14" s="1283"/>
      <c r="K14" s="1240" t="s">
        <v>1699</v>
      </c>
      <c r="L14" s="1240" t="str">
        <f t="shared" si="0"/>
        <v>C7R</v>
      </c>
      <c r="M14" s="1250">
        <v>4.4000000000000004</v>
      </c>
      <c r="N14" s="1250">
        <v>4.4000000000000004</v>
      </c>
      <c r="O14" s="1250"/>
      <c r="P14" s="1250">
        <v>4.4000000000000004</v>
      </c>
      <c r="Q14" s="1250"/>
      <c r="R14" s="1250"/>
      <c r="S14" s="1683"/>
      <c r="U14" s="1294"/>
      <c r="V14" s="1240" t="s">
        <v>1699</v>
      </c>
      <c r="W14" s="1248" t="s">
        <v>1476</v>
      </c>
      <c r="X14" s="401"/>
      <c r="Y14" s="1246">
        <v>1</v>
      </c>
      <c r="Z14" s="1247">
        <v>40</v>
      </c>
      <c r="AA14" s="1240">
        <v>4</v>
      </c>
      <c r="AB14" s="1240" t="s">
        <v>4693</v>
      </c>
      <c r="AC14" s="1243" t="s">
        <v>4709</v>
      </c>
      <c r="AD14" s="1243" t="s">
        <v>4713</v>
      </c>
      <c r="AE14" s="1242" t="s">
        <v>4719</v>
      </c>
    </row>
    <row r="15" spans="1:31" ht="20.149999999999999" customHeight="1">
      <c r="A15" s="1286">
        <f t="shared" si="1"/>
        <v>86980</v>
      </c>
      <c r="B15" s="1286">
        <v>87500</v>
      </c>
      <c r="C15" s="1285" t="s">
        <v>4426</v>
      </c>
      <c r="D15" s="1288" t="s">
        <v>2780</v>
      </c>
      <c r="E15" s="1286">
        <f t="shared" si="2"/>
        <v>86980</v>
      </c>
      <c r="F15" s="1286">
        <v>87500</v>
      </c>
      <c r="G15" s="1285" t="s">
        <v>1371</v>
      </c>
      <c r="H15" s="1283"/>
      <c r="I15" s="1283"/>
      <c r="J15" s="1283"/>
      <c r="K15" s="1242" t="s">
        <v>821</v>
      </c>
      <c r="L15" s="1242" t="str">
        <f t="shared" si="0"/>
        <v>C7R</v>
      </c>
      <c r="M15" s="1248">
        <v>4</v>
      </c>
      <c r="N15" s="1248">
        <v>3.5</v>
      </c>
      <c r="O15" s="1248"/>
      <c r="P15" s="1248">
        <v>3.5</v>
      </c>
      <c r="Q15" s="1248"/>
      <c r="R15" s="1248"/>
      <c r="S15" s="1683"/>
      <c r="U15" s="1288"/>
      <c r="V15" s="1242" t="s">
        <v>821</v>
      </c>
      <c r="W15" s="1248" t="s">
        <v>1476</v>
      </c>
      <c r="X15" s="401"/>
      <c r="Y15" s="1246">
        <v>1</v>
      </c>
      <c r="Z15" s="1247">
        <v>40</v>
      </c>
      <c r="AA15" s="1240">
        <v>4</v>
      </c>
      <c r="AB15" s="1240" t="s">
        <v>4693</v>
      </c>
      <c r="AC15" s="1243" t="s">
        <v>4709</v>
      </c>
      <c r="AD15" s="1243" t="s">
        <v>4713</v>
      </c>
      <c r="AE15" s="1242" t="s">
        <v>4715</v>
      </c>
    </row>
    <row r="16" spans="1:31" ht="20.149999999999999" customHeight="1">
      <c r="A16" s="1286">
        <f t="shared" si="1"/>
        <v>87500</v>
      </c>
      <c r="B16" s="1286">
        <v>88000</v>
      </c>
      <c r="C16" s="1285" t="s">
        <v>4427</v>
      </c>
      <c r="D16" s="1288" t="s">
        <v>2783</v>
      </c>
      <c r="E16" s="1286">
        <f t="shared" si="2"/>
        <v>87500</v>
      </c>
      <c r="F16" s="1286">
        <v>88000</v>
      </c>
      <c r="G16" s="1285" t="s">
        <v>1371</v>
      </c>
      <c r="H16" s="1283"/>
      <c r="I16" s="1283"/>
      <c r="J16" s="1283"/>
      <c r="K16" s="1242" t="s">
        <v>4393</v>
      </c>
      <c r="L16" s="1242" t="str">
        <f t="shared" si="0"/>
        <v>2C4R</v>
      </c>
      <c r="M16" s="1248">
        <v>5.6</v>
      </c>
      <c r="N16" s="1248">
        <v>5.3</v>
      </c>
      <c r="O16" s="1248"/>
      <c r="P16" s="1248">
        <v>5.6</v>
      </c>
      <c r="Q16" s="1248"/>
      <c r="R16" s="1248"/>
      <c r="S16" s="1683"/>
      <c r="U16" s="1283"/>
      <c r="V16" s="1242" t="s">
        <v>4393</v>
      </c>
      <c r="W16" s="1248" t="s">
        <v>4441</v>
      </c>
      <c r="X16" s="401"/>
      <c r="Y16" s="1246">
        <v>1</v>
      </c>
      <c r="Z16" s="1247">
        <v>32</v>
      </c>
      <c r="AA16" s="1240">
        <v>6</v>
      </c>
      <c r="AB16" s="1240" t="s">
        <v>4690</v>
      </c>
      <c r="AC16" s="1243" t="s">
        <v>4705</v>
      </c>
      <c r="AD16" s="1243" t="s">
        <v>4702</v>
      </c>
      <c r="AE16" s="1242" t="s">
        <v>4894</v>
      </c>
    </row>
    <row r="17" spans="1:31" ht="20.149999999999999" customHeight="1">
      <c r="A17" s="1286">
        <f t="shared" si="1"/>
        <v>88000</v>
      </c>
      <c r="B17" s="1286">
        <v>88500</v>
      </c>
      <c r="C17" s="1285" t="s">
        <v>4427</v>
      </c>
      <c r="D17" s="1288" t="s">
        <v>2783</v>
      </c>
      <c r="E17" s="1286">
        <f t="shared" si="2"/>
        <v>88000</v>
      </c>
      <c r="F17" s="1286">
        <v>88500</v>
      </c>
      <c r="G17" s="1285" t="s">
        <v>1371</v>
      </c>
      <c r="H17" s="1283"/>
      <c r="I17" s="1283"/>
      <c r="J17" s="1283"/>
      <c r="K17" s="1239" t="s">
        <v>1667</v>
      </c>
      <c r="L17" s="1239" t="str">
        <f t="shared" si="0"/>
        <v>C8R</v>
      </c>
      <c r="M17" s="455">
        <v>5.2</v>
      </c>
      <c r="N17" s="455">
        <v>4.4000000000000004</v>
      </c>
      <c r="O17" s="455"/>
      <c r="P17" s="455">
        <v>3.9</v>
      </c>
      <c r="Q17" s="455"/>
      <c r="R17" s="455"/>
      <c r="S17" s="1683"/>
      <c r="V17" s="1239" t="s">
        <v>1667</v>
      </c>
      <c r="W17" s="455" t="s">
        <v>2869</v>
      </c>
      <c r="X17" s="401"/>
      <c r="Y17" s="1246">
        <v>1.2</v>
      </c>
      <c r="Z17" s="1247">
        <v>40</v>
      </c>
      <c r="AA17" s="1240">
        <v>8</v>
      </c>
      <c r="AB17" s="1240" t="s">
        <v>4696</v>
      </c>
      <c r="AC17" s="1243" t="s">
        <v>4706</v>
      </c>
      <c r="AD17" s="1243" t="s">
        <v>4702</v>
      </c>
      <c r="AE17" s="1242" t="s">
        <v>4716</v>
      </c>
    </row>
    <row r="18" spans="1:31" ht="20.149999999999999" customHeight="1">
      <c r="A18" s="1286">
        <f t="shared" si="1"/>
        <v>88500</v>
      </c>
      <c r="B18" s="1286">
        <v>89000</v>
      </c>
      <c r="C18" s="1285" t="s">
        <v>4426</v>
      </c>
      <c r="D18" s="1288" t="s">
        <v>2780</v>
      </c>
      <c r="E18" s="1286">
        <f t="shared" si="2"/>
        <v>88500</v>
      </c>
      <c r="F18" s="1286">
        <v>89000</v>
      </c>
      <c r="G18" s="1285" t="s">
        <v>1371</v>
      </c>
      <c r="H18" s="1283"/>
      <c r="I18" s="1283"/>
      <c r="J18" s="1283"/>
      <c r="K18" s="1191" t="s">
        <v>822</v>
      </c>
      <c r="L18" s="1191" t="str">
        <f t="shared" si="0"/>
        <v>C8R</v>
      </c>
      <c r="M18" s="999">
        <f>M17</f>
        <v>5.2</v>
      </c>
      <c r="N18" s="999">
        <f>N17</f>
        <v>4.4000000000000004</v>
      </c>
      <c r="O18" s="999"/>
      <c r="P18" s="999">
        <f>P17</f>
        <v>3.9</v>
      </c>
      <c r="Q18" s="999"/>
      <c r="R18" s="999"/>
      <c r="S18" s="1683"/>
      <c r="V18" s="1191" t="s">
        <v>822</v>
      </c>
      <c r="W18" s="999" t="s">
        <v>2869</v>
      </c>
      <c r="X18" s="401"/>
      <c r="Y18" s="1246">
        <v>1.2</v>
      </c>
      <c r="Z18" s="1247">
        <v>40</v>
      </c>
      <c r="AA18" s="1240">
        <v>8</v>
      </c>
      <c r="AB18" s="1240" t="s">
        <v>4696</v>
      </c>
      <c r="AC18" s="1243" t="s">
        <v>4706</v>
      </c>
      <c r="AD18" s="1243" t="s">
        <v>4702</v>
      </c>
      <c r="AE18" s="1242" t="s">
        <v>4716</v>
      </c>
    </row>
    <row r="19" spans="1:31" ht="20.149999999999999" customHeight="1">
      <c r="A19" s="1286">
        <f t="shared" si="1"/>
        <v>89000</v>
      </c>
      <c r="B19" s="1286">
        <v>89500</v>
      </c>
      <c r="C19" s="1285" t="s">
        <v>4426</v>
      </c>
      <c r="D19" s="1288" t="s">
        <v>2780</v>
      </c>
      <c r="E19" s="1286">
        <f t="shared" si="2"/>
        <v>89000</v>
      </c>
      <c r="F19" s="1286">
        <v>89500</v>
      </c>
      <c r="G19" s="1285" t="s">
        <v>1371</v>
      </c>
      <c r="H19" s="1283"/>
      <c r="I19" s="1283"/>
      <c r="J19" s="1283"/>
      <c r="K19" s="1191" t="s">
        <v>1451</v>
      </c>
      <c r="L19" s="1191" t="str">
        <f t="shared" si="0"/>
        <v>C8R</v>
      </c>
      <c r="M19" s="999">
        <f>M17</f>
        <v>5.2</v>
      </c>
      <c r="N19" s="999">
        <f>N17</f>
        <v>4.4000000000000004</v>
      </c>
      <c r="O19" s="999"/>
      <c r="P19" s="999">
        <f>P17</f>
        <v>3.9</v>
      </c>
      <c r="Q19" s="999"/>
      <c r="R19" s="999"/>
      <c r="S19" s="1683"/>
      <c r="V19" s="1191" t="s">
        <v>1451</v>
      </c>
      <c r="W19" s="999" t="s">
        <v>2869</v>
      </c>
      <c r="X19" s="401"/>
      <c r="Y19" s="1246">
        <v>1.2</v>
      </c>
      <c r="Z19" s="1247">
        <v>40</v>
      </c>
      <c r="AA19" s="1240">
        <v>8</v>
      </c>
      <c r="AB19" s="1240" t="s">
        <v>4696</v>
      </c>
      <c r="AC19" s="1243" t="s">
        <v>4706</v>
      </c>
      <c r="AD19" s="1243" t="s">
        <v>4702</v>
      </c>
      <c r="AE19" s="1242" t="s">
        <v>4716</v>
      </c>
    </row>
    <row r="20" spans="1:31" ht="20.149999999999999" customHeight="1">
      <c r="A20" s="1286">
        <f t="shared" si="1"/>
        <v>89500</v>
      </c>
      <c r="B20" s="1286">
        <v>90000</v>
      </c>
      <c r="C20" s="1285" t="s">
        <v>4426</v>
      </c>
      <c r="D20" s="1288" t="s">
        <v>2780</v>
      </c>
      <c r="E20" s="1286">
        <f t="shared" si="2"/>
        <v>89500</v>
      </c>
      <c r="F20" s="1286">
        <v>90000</v>
      </c>
      <c r="G20" s="1285" t="s">
        <v>1371</v>
      </c>
      <c r="H20" s="1283"/>
      <c r="I20" s="1283"/>
      <c r="J20" s="1283"/>
      <c r="K20" s="1242" t="s">
        <v>4395</v>
      </c>
      <c r="L20" s="1242" t="str">
        <f t="shared" si="0"/>
        <v>C9R</v>
      </c>
      <c r="M20" s="1248">
        <v>3.9</v>
      </c>
      <c r="N20" s="1248">
        <v>4.5</v>
      </c>
      <c r="O20" s="1248"/>
      <c r="P20" s="1248">
        <v>4.5</v>
      </c>
      <c r="Q20" s="1248"/>
      <c r="R20" s="1248"/>
      <c r="S20" s="1683"/>
      <c r="U20" s="1283"/>
      <c r="V20" s="1242" t="s">
        <v>4395</v>
      </c>
      <c r="W20" s="1248" t="s">
        <v>2871</v>
      </c>
      <c r="X20" s="401"/>
      <c r="Y20" s="1246">
        <v>1</v>
      </c>
      <c r="Z20" s="1247">
        <v>40</v>
      </c>
      <c r="AA20" s="1240">
        <v>4</v>
      </c>
      <c r="AB20" s="1240" t="s">
        <v>4693</v>
      </c>
      <c r="AC20" s="1243" t="s">
        <v>4705</v>
      </c>
      <c r="AD20" s="1243" t="s">
        <v>4702</v>
      </c>
      <c r="AE20" s="1242" t="s">
        <v>4710</v>
      </c>
    </row>
    <row r="21" spans="1:31" ht="20.149999999999999" customHeight="1">
      <c r="A21" s="1286">
        <f t="shared" si="1"/>
        <v>90000</v>
      </c>
      <c r="B21" s="1286">
        <v>90500</v>
      </c>
      <c r="C21" s="1285" t="s">
        <v>4426</v>
      </c>
      <c r="D21" s="1288" t="s">
        <v>2780</v>
      </c>
      <c r="E21" s="1286">
        <f t="shared" si="2"/>
        <v>90000</v>
      </c>
      <c r="F21" s="1286">
        <v>90500</v>
      </c>
      <c r="G21" s="1285" t="s">
        <v>1371</v>
      </c>
      <c r="H21" s="1283"/>
      <c r="I21" s="1283"/>
      <c r="J21" s="1283"/>
      <c r="K21" s="1242" t="s">
        <v>632</v>
      </c>
      <c r="L21" s="1242" t="str">
        <f>VLOOKUP(K21,$V$4:$W$37,2,FALSE)</f>
        <v>C9R</v>
      </c>
      <c r="M21" s="1248">
        <v>4.4000000000000004</v>
      </c>
      <c r="N21" s="1248">
        <v>4.4000000000000004</v>
      </c>
      <c r="O21" s="1248"/>
      <c r="P21" s="1248">
        <v>4.4000000000000004</v>
      </c>
      <c r="Q21" s="1248"/>
      <c r="R21" s="1248"/>
      <c r="S21" s="1683"/>
      <c r="U21" s="1283"/>
      <c r="V21" s="1242" t="s">
        <v>632</v>
      </c>
      <c r="W21" s="1248" t="s">
        <v>2871</v>
      </c>
      <c r="X21" s="401"/>
      <c r="Y21" s="1246">
        <v>1</v>
      </c>
      <c r="Z21" s="1247">
        <v>40</v>
      </c>
      <c r="AA21" s="1240">
        <v>4</v>
      </c>
      <c r="AB21" s="1240" t="s">
        <v>4693</v>
      </c>
      <c r="AC21" s="1243" t="s">
        <v>4705</v>
      </c>
      <c r="AD21" s="1243" t="s">
        <v>4702</v>
      </c>
      <c r="AE21" s="1242" t="s">
        <v>4897</v>
      </c>
    </row>
    <row r="22" spans="1:31" ht="20.149999999999999" customHeight="1">
      <c r="A22" s="1286">
        <f t="shared" si="1"/>
        <v>90500</v>
      </c>
      <c r="B22" s="1286">
        <v>91000</v>
      </c>
      <c r="C22" s="1285" t="s">
        <v>4426</v>
      </c>
      <c r="D22" s="1288" t="s">
        <v>2780</v>
      </c>
      <c r="E22" s="1286">
        <f t="shared" si="2"/>
        <v>90500</v>
      </c>
      <c r="F22" s="1286">
        <v>91000</v>
      </c>
      <c r="G22" s="1285" t="s">
        <v>1371</v>
      </c>
      <c r="H22" s="1283"/>
      <c r="I22" s="1283"/>
      <c r="J22" s="1283"/>
      <c r="K22" s="1252" t="s">
        <v>823</v>
      </c>
      <c r="L22" s="1249" t="str">
        <f>VLOOKUP(K22,$V$4:$W$37,2,FALSE)</f>
        <v>C9R</v>
      </c>
      <c r="M22" s="1249">
        <f>M21</f>
        <v>4.4000000000000004</v>
      </c>
      <c r="N22" s="1249">
        <f>N21</f>
        <v>4.4000000000000004</v>
      </c>
      <c r="O22" s="1249"/>
      <c r="P22" s="1249">
        <f>P21</f>
        <v>4.4000000000000004</v>
      </c>
      <c r="Q22" s="1250"/>
      <c r="R22" s="1250"/>
      <c r="S22" s="1683"/>
      <c r="U22" s="1288"/>
      <c r="V22" s="1252" t="s">
        <v>823</v>
      </c>
      <c r="W22" s="1249" t="s">
        <v>2871</v>
      </c>
      <c r="X22" s="401"/>
      <c r="Y22" s="1246">
        <v>1</v>
      </c>
      <c r="Z22" s="1247">
        <v>40</v>
      </c>
      <c r="AA22" s="1240">
        <v>4</v>
      </c>
      <c r="AB22" s="1240" t="s">
        <v>4693</v>
      </c>
      <c r="AC22" s="1243" t="s">
        <v>4705</v>
      </c>
      <c r="AD22" s="1243" t="s">
        <v>4702</v>
      </c>
      <c r="AE22" s="1242" t="s">
        <v>4897</v>
      </c>
    </row>
    <row r="23" spans="1:31" ht="20.149999999999999" customHeight="1">
      <c r="A23" s="1286">
        <f t="shared" si="1"/>
        <v>91000</v>
      </c>
      <c r="B23" s="1286">
        <v>91600</v>
      </c>
      <c r="C23" s="1285" t="s">
        <v>4427</v>
      </c>
      <c r="D23" s="1288" t="s">
        <v>2784</v>
      </c>
      <c r="E23" s="1286">
        <f t="shared" si="2"/>
        <v>91000</v>
      </c>
      <c r="F23" s="1286">
        <v>91600</v>
      </c>
      <c r="G23" s="1285" t="s">
        <v>1371</v>
      </c>
      <c r="H23" s="1283"/>
      <c r="I23" s="1283"/>
      <c r="J23" s="1283"/>
      <c r="K23" s="1242" t="s">
        <v>2141</v>
      </c>
      <c r="L23" s="1242" t="str">
        <f>VLOOKUP(K23,$V$4:$W$37,2,FALSE)</f>
        <v>C9R</v>
      </c>
      <c r="M23" s="1248">
        <v>4.5999999999999996</v>
      </c>
      <c r="N23" s="1248">
        <v>4.5999999999999996</v>
      </c>
      <c r="O23" s="1248"/>
      <c r="P23" s="1248">
        <v>4.5999999999999996</v>
      </c>
      <c r="Q23" s="1248"/>
      <c r="R23" s="1248"/>
      <c r="S23" s="1683"/>
      <c r="U23" s="1288"/>
      <c r="V23" s="1242" t="s">
        <v>2141</v>
      </c>
      <c r="W23" s="1248" t="s">
        <v>2871</v>
      </c>
      <c r="X23" s="601"/>
      <c r="Y23" s="1246">
        <v>1</v>
      </c>
      <c r="Z23" s="1247">
        <v>40</v>
      </c>
      <c r="AA23" s="1240">
        <v>4</v>
      </c>
      <c r="AB23" s="1240" t="s">
        <v>4693</v>
      </c>
      <c r="AC23" s="1243" t="s">
        <v>4705</v>
      </c>
      <c r="AD23" s="1243" t="s">
        <v>4702</v>
      </c>
      <c r="AE23" s="1242" t="s">
        <v>4710</v>
      </c>
    </row>
    <row r="24" spans="1:31" ht="20.149999999999999" customHeight="1">
      <c r="A24" s="1286">
        <f t="shared" si="1"/>
        <v>91600</v>
      </c>
      <c r="B24" s="1286">
        <v>92000</v>
      </c>
      <c r="C24" s="1285" t="s">
        <v>4427</v>
      </c>
      <c r="D24" s="1288" t="s">
        <v>2784</v>
      </c>
      <c r="E24" s="1286">
        <f t="shared" si="2"/>
        <v>91600</v>
      </c>
      <c r="F24" s="1286">
        <v>92000</v>
      </c>
      <c r="G24" s="1285" t="s">
        <v>1371</v>
      </c>
      <c r="H24" s="1283"/>
      <c r="I24" s="1283"/>
      <c r="J24" s="1283"/>
      <c r="K24" s="1239" t="s">
        <v>1671</v>
      </c>
      <c r="L24" s="1239" t="str">
        <f>VLOOKUP(K24,$V$4:$W$37,2,FALSE)</f>
        <v>C10R</v>
      </c>
      <c r="M24" s="455">
        <v>5</v>
      </c>
      <c r="N24" s="455">
        <v>5</v>
      </c>
      <c r="O24" s="455"/>
      <c r="P24" s="455">
        <v>5</v>
      </c>
      <c r="Q24" s="455"/>
      <c r="R24" s="455"/>
      <c r="S24" s="1683"/>
      <c r="U24" s="1288"/>
      <c r="V24" s="1239" t="s">
        <v>1671</v>
      </c>
      <c r="W24" s="455" t="s">
        <v>4438</v>
      </c>
      <c r="X24" s="401"/>
      <c r="Y24" s="1246">
        <v>1.2</v>
      </c>
      <c r="Z24" s="1247">
        <v>40</v>
      </c>
      <c r="AA24" s="1240">
        <v>4</v>
      </c>
      <c r="AB24" s="1240" t="s">
        <v>4693</v>
      </c>
      <c r="AC24" s="1242" t="s">
        <v>4701</v>
      </c>
      <c r="AD24" s="1242" t="s">
        <v>4702</v>
      </c>
      <c r="AE24" s="1242" t="s">
        <v>2885</v>
      </c>
    </row>
    <row r="25" spans="1:31" ht="20.149999999999999" customHeight="1">
      <c r="A25" s="1286">
        <f t="shared" si="1"/>
        <v>92000</v>
      </c>
      <c r="B25" s="1286">
        <v>92600</v>
      </c>
      <c r="C25" s="1285" t="s">
        <v>4426</v>
      </c>
      <c r="D25" s="1288" t="s">
        <v>2780</v>
      </c>
      <c r="E25" s="1286">
        <f t="shared" si="2"/>
        <v>92000</v>
      </c>
      <c r="F25" s="1286">
        <v>92600</v>
      </c>
      <c r="G25" s="1285" t="s">
        <v>1371</v>
      </c>
      <c r="H25" s="1283"/>
      <c r="I25" s="1283"/>
      <c r="J25" s="1283"/>
      <c r="K25" s="1242" t="s">
        <v>4488</v>
      </c>
      <c r="L25" s="1242" t="str">
        <f>VLOOKUP(K25,$V$4:$W$37,2,FALSE)</f>
        <v>C11R</v>
      </c>
      <c r="M25" s="1248">
        <v>4.5999999999999996</v>
      </c>
      <c r="N25" s="1248">
        <v>4.5999999999999996</v>
      </c>
      <c r="O25" s="1248"/>
      <c r="P25" s="1248">
        <v>4.5999999999999996</v>
      </c>
      <c r="Q25" s="1248"/>
      <c r="R25" s="1248"/>
      <c r="S25" s="1683"/>
      <c r="U25" s="1288"/>
      <c r="V25" s="1242" t="s">
        <v>4488</v>
      </c>
      <c r="W25" s="1248" t="s">
        <v>4439</v>
      </c>
      <c r="X25" s="401"/>
      <c r="Y25" s="1246">
        <v>1.2</v>
      </c>
      <c r="Z25" s="1247">
        <v>40</v>
      </c>
      <c r="AA25" s="1240">
        <v>8</v>
      </c>
      <c r="AB25" s="1241" t="s">
        <v>4697</v>
      </c>
      <c r="AC25" s="1242" t="s">
        <v>4701</v>
      </c>
      <c r="AD25" s="1242" t="s">
        <v>4702</v>
      </c>
      <c r="AE25" s="1242" t="s">
        <v>4893</v>
      </c>
    </row>
    <row r="26" spans="1:31" ht="20.149999999999999" customHeight="1">
      <c r="A26" s="1286">
        <f t="shared" si="1"/>
        <v>92600</v>
      </c>
      <c r="B26" s="1286">
        <v>93065</v>
      </c>
      <c r="C26" s="1285" t="s">
        <v>4426</v>
      </c>
      <c r="D26" s="1288" t="s">
        <v>2780</v>
      </c>
      <c r="E26" s="1286">
        <f t="shared" si="2"/>
        <v>92600</v>
      </c>
      <c r="F26" s="1286">
        <v>93065</v>
      </c>
      <c r="G26" s="1285" t="s">
        <v>1371</v>
      </c>
      <c r="H26" s="1283"/>
      <c r="I26" s="1283"/>
      <c r="J26" s="1283"/>
      <c r="K26" s="1242" t="s">
        <v>4664</v>
      </c>
      <c r="L26" s="1242" t="str">
        <f t="shared" si="0"/>
        <v>C11R</v>
      </c>
      <c r="M26" s="1248">
        <v>4.4000000000000004</v>
      </c>
      <c r="N26" s="1248">
        <v>4.4000000000000004</v>
      </c>
      <c r="O26" s="1248"/>
      <c r="P26" s="1248">
        <v>4.4000000000000004</v>
      </c>
      <c r="Q26" s="1248"/>
      <c r="R26" s="1248"/>
      <c r="S26" s="1683"/>
      <c r="U26" s="1283"/>
      <c r="V26" s="1242" t="s">
        <v>4664</v>
      </c>
      <c r="W26" s="1248" t="s">
        <v>4439</v>
      </c>
      <c r="X26" s="401"/>
      <c r="Y26" s="1246">
        <v>1.2</v>
      </c>
      <c r="Z26" s="1247">
        <v>40</v>
      </c>
      <c r="AA26" s="1240">
        <v>8</v>
      </c>
      <c r="AB26" s="1241" t="s">
        <v>4697</v>
      </c>
      <c r="AC26" s="1242" t="s">
        <v>4701</v>
      </c>
      <c r="AD26" s="1242" t="s">
        <v>4702</v>
      </c>
      <c r="AE26" s="1242" t="s">
        <v>4893</v>
      </c>
    </row>
    <row r="27" spans="1:31" ht="20.149999999999999" customHeight="1">
      <c r="A27" s="1286">
        <f t="shared" si="1"/>
        <v>93065</v>
      </c>
      <c r="B27" s="1286">
        <v>93150</v>
      </c>
      <c r="C27" s="1285" t="s">
        <v>4426</v>
      </c>
      <c r="D27" s="1288" t="s">
        <v>2780</v>
      </c>
      <c r="E27" s="1286">
        <f t="shared" si="2"/>
        <v>93065</v>
      </c>
      <c r="F27" s="1286">
        <v>93150</v>
      </c>
      <c r="G27" s="1285" t="s">
        <v>1371</v>
      </c>
      <c r="H27" s="1283"/>
      <c r="I27" s="1283"/>
      <c r="J27" s="1283"/>
      <c r="K27" s="1239" t="s">
        <v>4666</v>
      </c>
      <c r="L27" s="1239" t="str">
        <f t="shared" si="0"/>
        <v>C12R</v>
      </c>
      <c r="M27" s="455">
        <v>6</v>
      </c>
      <c r="N27" s="455">
        <v>5.6</v>
      </c>
      <c r="O27" s="455"/>
      <c r="P27" s="455">
        <v>6</v>
      </c>
      <c r="Q27" s="455"/>
      <c r="R27" s="455"/>
      <c r="S27" s="1683"/>
      <c r="U27" s="1283"/>
      <c r="V27" s="1239" t="s">
        <v>4666</v>
      </c>
      <c r="W27" s="455" t="s">
        <v>4720</v>
      </c>
      <c r="X27" s="401"/>
      <c r="Y27" s="1246">
        <v>1.2</v>
      </c>
      <c r="Z27" s="1247">
        <v>40</v>
      </c>
      <c r="AA27" s="1240">
        <v>10</v>
      </c>
      <c r="AB27" s="1240" t="s">
        <v>4698</v>
      </c>
      <c r="AC27" s="1242" t="s">
        <v>4701</v>
      </c>
      <c r="AD27" s="1242" t="s">
        <v>4702</v>
      </c>
      <c r="AE27" s="1242" t="s">
        <v>4906</v>
      </c>
    </row>
    <row r="28" spans="1:31" ht="20.149999999999999" customHeight="1">
      <c r="A28" s="1286">
        <f t="shared" si="1"/>
        <v>93150</v>
      </c>
      <c r="B28" s="1286">
        <v>93225</v>
      </c>
      <c r="C28" s="1285" t="s">
        <v>4428</v>
      </c>
      <c r="D28" s="1288" t="s">
        <v>2782</v>
      </c>
      <c r="E28" s="1286">
        <f t="shared" si="2"/>
        <v>93150</v>
      </c>
      <c r="F28" s="1286">
        <v>93225</v>
      </c>
      <c r="G28" s="1285" t="s">
        <v>1371</v>
      </c>
      <c r="H28" s="1283"/>
      <c r="I28" s="1283"/>
      <c r="J28" s="1283"/>
      <c r="K28" s="1242" t="s">
        <v>4668</v>
      </c>
      <c r="L28" s="1242" t="str">
        <f t="shared" si="0"/>
        <v>C13R</v>
      </c>
      <c r="M28" s="1248">
        <v>6.8</v>
      </c>
      <c r="N28" s="1248">
        <v>6</v>
      </c>
      <c r="O28" s="1248"/>
      <c r="P28" s="1248">
        <v>6.8</v>
      </c>
      <c r="Q28" s="1248"/>
      <c r="R28" s="1248"/>
      <c r="S28" s="1683"/>
      <c r="U28" s="1283"/>
      <c r="V28" s="1242" t="s">
        <v>4668</v>
      </c>
      <c r="W28" s="1248" t="s">
        <v>4674</v>
      </c>
      <c r="X28" s="401"/>
      <c r="Y28" s="1246">
        <v>1.2</v>
      </c>
      <c r="Z28" s="1247">
        <v>40</v>
      </c>
      <c r="AA28" s="1240">
        <v>12</v>
      </c>
      <c r="AB28" s="1240" t="s">
        <v>4699</v>
      </c>
      <c r="AC28" s="1242" t="s">
        <v>4701</v>
      </c>
      <c r="AD28" s="1242" t="s">
        <v>4702</v>
      </c>
      <c r="AE28" s="1242" t="s">
        <v>4907</v>
      </c>
    </row>
    <row r="29" spans="1:31" ht="20.149999999999999" customHeight="1">
      <c r="A29" s="1286">
        <f t="shared" si="1"/>
        <v>93225</v>
      </c>
      <c r="B29" s="1286">
        <v>93285</v>
      </c>
      <c r="C29" s="1285" t="s">
        <v>4428</v>
      </c>
      <c r="D29" s="1288" t="s">
        <v>2782</v>
      </c>
      <c r="E29" s="1286">
        <f t="shared" si="2"/>
        <v>93225</v>
      </c>
      <c r="F29" s="1286">
        <v>93285</v>
      </c>
      <c r="G29" s="1285" t="s">
        <v>1371</v>
      </c>
      <c r="H29" s="1283"/>
      <c r="I29" s="1283"/>
      <c r="J29" s="1283"/>
      <c r="K29" s="1239" t="s">
        <v>895</v>
      </c>
      <c r="L29" s="1239" t="str">
        <f t="shared" si="0"/>
        <v>2C3R</v>
      </c>
      <c r="M29" s="455">
        <v>3.7</v>
      </c>
      <c r="N29" s="455">
        <v>3.5</v>
      </c>
      <c r="O29" s="455"/>
      <c r="P29" s="455">
        <v>3</v>
      </c>
      <c r="Q29" s="455"/>
      <c r="R29" s="455"/>
      <c r="S29" s="1683"/>
      <c r="V29" s="1239" t="s">
        <v>895</v>
      </c>
      <c r="W29" s="455" t="s">
        <v>4440</v>
      </c>
      <c r="X29" s="401"/>
      <c r="Y29" s="1246">
        <v>1</v>
      </c>
      <c r="Z29" s="1247">
        <v>25</v>
      </c>
      <c r="AA29" s="1240">
        <v>6</v>
      </c>
      <c r="AB29" s="1240" t="s">
        <v>4695</v>
      </c>
      <c r="AC29" s="1243" t="s">
        <v>4709</v>
      </c>
      <c r="AD29" s="1243" t="s">
        <v>4713</v>
      </c>
      <c r="AE29" s="1242" t="s">
        <v>4714</v>
      </c>
    </row>
    <row r="30" spans="1:31" ht="20.149999999999999" customHeight="1">
      <c r="A30" s="1286">
        <f t="shared" si="1"/>
        <v>93285</v>
      </c>
      <c r="B30" s="1286">
        <v>93345</v>
      </c>
      <c r="C30" s="1285" t="s">
        <v>4428</v>
      </c>
      <c r="D30" s="1288" t="s">
        <v>2782</v>
      </c>
      <c r="E30" s="1286">
        <f t="shared" si="2"/>
        <v>93285</v>
      </c>
      <c r="F30" s="1286">
        <v>93345</v>
      </c>
      <c r="G30" s="1285" t="s">
        <v>1371</v>
      </c>
      <c r="I30" s="1283"/>
      <c r="J30" s="1283"/>
      <c r="K30" s="1191" t="s">
        <v>1697</v>
      </c>
      <c r="L30" s="1191" t="str">
        <f t="shared" si="0"/>
        <v>2C3R</v>
      </c>
      <c r="M30" s="999">
        <f>M29</f>
        <v>3.7</v>
      </c>
      <c r="N30" s="999">
        <f>N29</f>
        <v>3.5</v>
      </c>
      <c r="O30" s="999"/>
      <c r="P30" s="999">
        <f>P29</f>
        <v>3</v>
      </c>
      <c r="Q30" s="999"/>
      <c r="R30" s="999"/>
      <c r="S30" s="1683"/>
      <c r="V30" s="1191" t="s">
        <v>1697</v>
      </c>
      <c r="W30" s="999" t="s">
        <v>4440</v>
      </c>
      <c r="X30" s="401"/>
      <c r="Y30" s="1246">
        <v>1</v>
      </c>
      <c r="Z30" s="1247">
        <v>25</v>
      </c>
      <c r="AA30" s="1240">
        <v>6</v>
      </c>
      <c r="AB30" s="1240" t="s">
        <v>4695</v>
      </c>
      <c r="AC30" s="1243" t="s">
        <v>4709</v>
      </c>
      <c r="AD30" s="1243" t="s">
        <v>4713</v>
      </c>
      <c r="AE30" s="1242" t="s">
        <v>4714</v>
      </c>
    </row>
    <row r="31" spans="1:31" ht="20.149999999999999" customHeight="1">
      <c r="A31" s="1286">
        <f t="shared" si="1"/>
        <v>93345</v>
      </c>
      <c r="B31" s="1286">
        <v>93415</v>
      </c>
      <c r="C31" s="1285" t="s">
        <v>4428</v>
      </c>
      <c r="D31" s="1288" t="s">
        <v>2782</v>
      </c>
      <c r="E31" s="1286">
        <f t="shared" si="2"/>
        <v>93345</v>
      </c>
      <c r="F31" s="1286">
        <v>93415</v>
      </c>
      <c r="G31" s="1285" t="s">
        <v>1371</v>
      </c>
      <c r="I31" s="1283"/>
      <c r="J31" s="1283"/>
      <c r="K31" s="1242" t="s">
        <v>896</v>
      </c>
      <c r="L31" s="1242" t="str">
        <f t="shared" si="0"/>
        <v>2C4R</v>
      </c>
      <c r="M31" s="1248">
        <v>4</v>
      </c>
      <c r="N31" s="1248">
        <v>4</v>
      </c>
      <c r="O31" s="1248"/>
      <c r="P31" s="1248">
        <v>3</v>
      </c>
      <c r="Q31" s="1248"/>
      <c r="R31" s="1248"/>
      <c r="S31" s="1683"/>
      <c r="V31" s="1242" t="s">
        <v>896</v>
      </c>
      <c r="W31" s="1248" t="s">
        <v>4441</v>
      </c>
      <c r="X31" s="401"/>
      <c r="Y31" s="1246">
        <v>1</v>
      </c>
      <c r="Z31" s="1247">
        <v>32</v>
      </c>
      <c r="AA31" s="1240">
        <v>6</v>
      </c>
      <c r="AB31" s="1240" t="s">
        <v>4690</v>
      </c>
      <c r="AC31" s="1243" t="s">
        <v>4705</v>
      </c>
      <c r="AD31" s="1243" t="s">
        <v>4702</v>
      </c>
      <c r="AE31" s="1242" t="s">
        <v>4718</v>
      </c>
    </row>
    <row r="32" spans="1:31" ht="20.149999999999999" customHeight="1">
      <c r="A32" s="1286">
        <f t="shared" si="1"/>
        <v>93415</v>
      </c>
      <c r="B32" s="1286">
        <v>97990</v>
      </c>
      <c r="C32" s="1285" t="s">
        <v>4427</v>
      </c>
      <c r="D32" s="1288" t="s">
        <v>2785</v>
      </c>
      <c r="E32" s="1286">
        <f t="shared" si="2"/>
        <v>93415</v>
      </c>
      <c r="F32" s="1286">
        <v>97990</v>
      </c>
      <c r="G32" s="1285" t="s">
        <v>1371</v>
      </c>
      <c r="I32" s="1283"/>
      <c r="J32" s="1283"/>
      <c r="K32" s="1242" t="s">
        <v>1698</v>
      </c>
      <c r="L32" s="1242" t="str">
        <f t="shared" si="0"/>
        <v>2C4R</v>
      </c>
      <c r="M32" s="1248">
        <v>5.6</v>
      </c>
      <c r="N32" s="1248">
        <v>5.3</v>
      </c>
      <c r="O32" s="1248"/>
      <c r="P32" s="1248">
        <v>5.6</v>
      </c>
      <c r="Q32" s="1248"/>
      <c r="R32" s="1248"/>
      <c r="S32" s="1683"/>
      <c r="V32" s="1242" t="s">
        <v>1698</v>
      </c>
      <c r="W32" s="1248" t="s">
        <v>4441</v>
      </c>
      <c r="X32" s="401"/>
      <c r="Y32" s="1246">
        <v>1</v>
      </c>
      <c r="Z32" s="1247">
        <v>32</v>
      </c>
      <c r="AA32" s="1240">
        <v>6</v>
      </c>
      <c r="AB32" s="1240" t="s">
        <v>4690</v>
      </c>
      <c r="AC32" s="1243" t="s">
        <v>4705</v>
      </c>
      <c r="AD32" s="1243" t="s">
        <v>4702</v>
      </c>
      <c r="AE32" s="1242" t="s">
        <v>4718</v>
      </c>
    </row>
    <row r="33" spans="1:31" ht="20.149999999999999" customHeight="1">
      <c r="A33" s="1286">
        <f t="shared" si="1"/>
        <v>97990</v>
      </c>
      <c r="B33" s="1286">
        <v>98030</v>
      </c>
      <c r="C33" s="1285" t="s">
        <v>4427</v>
      </c>
      <c r="D33" s="1288" t="s">
        <v>2781</v>
      </c>
      <c r="E33" s="1286">
        <f t="shared" si="2"/>
        <v>97990</v>
      </c>
      <c r="F33" s="1286">
        <v>98030</v>
      </c>
      <c r="G33" s="1285" t="s">
        <v>1371</v>
      </c>
      <c r="I33" s="1283"/>
      <c r="J33" s="1283"/>
      <c r="K33" s="1239" t="s">
        <v>4576</v>
      </c>
      <c r="L33" s="1239" t="str">
        <f t="shared" si="0"/>
        <v>2C7R</v>
      </c>
      <c r="M33" s="455" t="s">
        <v>4437</v>
      </c>
      <c r="N33" s="455" t="s">
        <v>4437</v>
      </c>
      <c r="O33" s="455"/>
      <c r="P33" s="455" t="s">
        <v>4437</v>
      </c>
      <c r="Q33" s="455"/>
      <c r="R33" s="455"/>
      <c r="S33" s="1683"/>
      <c r="V33" s="1239" t="s">
        <v>4576</v>
      </c>
      <c r="W33" s="455" t="s">
        <v>4677</v>
      </c>
      <c r="X33" s="401"/>
      <c r="Y33" s="1246"/>
      <c r="Z33" s="1247">
        <v>40</v>
      </c>
      <c r="AA33" s="1240">
        <v>8</v>
      </c>
      <c r="AB33" s="1240" t="s">
        <v>4689</v>
      </c>
      <c r="AC33" s="1245" t="s">
        <v>4703</v>
      </c>
      <c r="AD33" s="1245" t="s">
        <v>4704</v>
      </c>
      <c r="AE33" s="1244" t="s">
        <v>4721</v>
      </c>
    </row>
    <row r="34" spans="1:31" ht="20" customHeight="1">
      <c r="A34" s="1286">
        <v>0</v>
      </c>
      <c r="B34" s="1286">
        <v>1459.2800000000002</v>
      </c>
      <c r="C34" s="1285" t="s">
        <v>4437</v>
      </c>
      <c r="D34" s="1288"/>
      <c r="E34" s="1286">
        <v>0</v>
      </c>
      <c r="F34" s="1286">
        <v>1459.2800000000002</v>
      </c>
      <c r="G34" s="1285" t="s">
        <v>4437</v>
      </c>
      <c r="I34" s="1283"/>
      <c r="J34" s="1283"/>
      <c r="K34" s="1240" t="s">
        <v>4415</v>
      </c>
      <c r="L34" s="1240" t="str">
        <f t="shared" si="0"/>
        <v>2C4FR</v>
      </c>
      <c r="M34" s="1250">
        <v>4.3</v>
      </c>
      <c r="N34" s="1250">
        <v>4.3</v>
      </c>
      <c r="O34" s="1250"/>
      <c r="P34" s="1250">
        <v>4.3</v>
      </c>
      <c r="Q34" s="1250"/>
      <c r="R34" s="1250"/>
      <c r="S34" s="1683"/>
      <c r="V34" s="1240" t="s">
        <v>4415</v>
      </c>
      <c r="W34" s="1248" t="s">
        <v>4442</v>
      </c>
      <c r="X34" s="401"/>
      <c r="Y34" s="1246">
        <v>1</v>
      </c>
      <c r="Z34" s="1247">
        <v>32</v>
      </c>
      <c r="AA34" s="1240">
        <v>6</v>
      </c>
      <c r="AB34" s="1240" t="s">
        <v>4690</v>
      </c>
      <c r="AC34" s="1243" t="s">
        <v>4709</v>
      </c>
      <c r="AD34" s="1243" t="s">
        <v>4707</v>
      </c>
      <c r="AE34" s="1242" t="s">
        <v>4717</v>
      </c>
    </row>
    <row r="35" spans="1:31" ht="20" customHeight="1">
      <c r="I35" s="1283"/>
      <c r="J35" s="1283"/>
      <c r="K35" s="150" t="s">
        <v>4414</v>
      </c>
      <c r="L35" s="150" t="str">
        <f t="shared" si="0"/>
        <v>C12FR</v>
      </c>
      <c r="M35" s="637">
        <v>5.4</v>
      </c>
      <c r="N35" s="637">
        <v>4.5999999999999996</v>
      </c>
      <c r="O35" s="637"/>
      <c r="P35" s="637">
        <v>5.4</v>
      </c>
      <c r="Q35" s="637"/>
      <c r="R35" s="637"/>
      <c r="S35" s="1683"/>
      <c r="V35" s="150" t="s">
        <v>4414</v>
      </c>
      <c r="W35" s="455" t="s">
        <v>4443</v>
      </c>
      <c r="X35" s="401"/>
      <c r="Y35" s="1246">
        <v>1.2</v>
      </c>
      <c r="Z35" s="1247">
        <v>40</v>
      </c>
      <c r="AA35" s="1240">
        <v>10</v>
      </c>
      <c r="AB35" s="1240" t="s">
        <v>4691</v>
      </c>
      <c r="AC35" s="1243" t="s">
        <v>4706</v>
      </c>
      <c r="AD35" s="1243" t="s">
        <v>4707</v>
      </c>
      <c r="AE35" s="1242" t="s">
        <v>4708</v>
      </c>
    </row>
    <row r="36" spans="1:31" ht="20" customHeight="1">
      <c r="I36" s="1283"/>
      <c r="J36" s="1283"/>
      <c r="K36" s="1248" t="s">
        <v>2787</v>
      </c>
      <c r="L36" s="1248" t="str">
        <f t="shared" si="0"/>
        <v>AnMC-R</v>
      </c>
      <c r="M36" s="1248">
        <v>3.3</v>
      </c>
      <c r="N36" s="1248">
        <v>3.9</v>
      </c>
      <c r="O36" s="1248"/>
      <c r="P36" s="1248">
        <v>3.9</v>
      </c>
      <c r="Q36" s="1248"/>
      <c r="R36" s="1248"/>
      <c r="S36" s="1683"/>
      <c r="V36" s="1248" t="s">
        <v>2787</v>
      </c>
      <c r="W36" s="1248" t="s">
        <v>2787</v>
      </c>
      <c r="X36" s="401"/>
      <c r="Y36" s="1246">
        <v>0.75</v>
      </c>
      <c r="Z36" s="1247">
        <v>16</v>
      </c>
      <c r="AA36" s="1240">
        <v>4</v>
      </c>
      <c r="AB36" s="1242" t="s">
        <v>4700</v>
      </c>
      <c r="AC36" s="1243" t="s">
        <v>4712</v>
      </c>
      <c r="AD36" s="1243" t="s">
        <v>4713</v>
      </c>
      <c r="AE36" s="1242" t="s">
        <v>4711</v>
      </c>
    </row>
    <row r="37" spans="1:31" ht="20" customHeight="1">
      <c r="I37" s="1283"/>
      <c r="J37" s="1283"/>
      <c r="K37" s="1248" t="s">
        <v>2788</v>
      </c>
      <c r="L37" s="1248" t="str">
        <f t="shared" si="0"/>
        <v>AnM-R</v>
      </c>
      <c r="M37" s="1248">
        <v>2.8</v>
      </c>
      <c r="N37" s="1248">
        <v>2.8</v>
      </c>
      <c r="O37" s="1248"/>
      <c r="P37" s="1248">
        <v>2.8</v>
      </c>
      <c r="Q37" s="1248"/>
      <c r="R37" s="1248"/>
      <c r="S37" s="1683"/>
      <c r="V37" s="1248" t="s">
        <v>2788</v>
      </c>
      <c r="W37" s="1248" t="s">
        <v>2788</v>
      </c>
      <c r="X37" s="401"/>
      <c r="Y37" s="1246">
        <v>0.75</v>
      </c>
      <c r="Z37" s="1247">
        <v>16</v>
      </c>
      <c r="AA37" s="1240">
        <v>4</v>
      </c>
      <c r="AB37" s="1242" t="s">
        <v>4700</v>
      </c>
      <c r="AC37" s="1243" t="s">
        <v>4712</v>
      </c>
      <c r="AD37" s="1243" t="s">
        <v>4713</v>
      </c>
      <c r="AE37" s="1242" t="s">
        <v>4711</v>
      </c>
    </row>
    <row r="38" spans="1:31" ht="20" customHeight="1">
      <c r="I38" s="1283"/>
      <c r="J38" s="1283"/>
      <c r="S38" s="1684"/>
    </row>
    <row r="39" spans="1:31" ht="20" customHeight="1">
      <c r="S39" s="1684"/>
    </row>
    <row r="40" spans="1:31" ht="20" customHeight="1">
      <c r="L40" s="1689" t="s">
        <v>1372</v>
      </c>
      <c r="M40" s="1690"/>
      <c r="N40" s="1690"/>
      <c r="O40" s="1690"/>
      <c r="P40" s="1690"/>
      <c r="Q40" s="1690"/>
      <c r="R40" s="1690"/>
      <c r="S40" s="1684"/>
      <c r="V40" s="1688" t="s">
        <v>1361</v>
      </c>
      <c r="W40" s="1688"/>
      <c r="X40" s="1688"/>
    </row>
    <row r="41" spans="1:31" ht="20" customHeight="1">
      <c r="K41" s="391" t="s">
        <v>1365</v>
      </c>
      <c r="L41" s="391"/>
      <c r="M41" s="150" t="s">
        <v>4427</v>
      </c>
      <c r="N41" s="150" t="s">
        <v>4426</v>
      </c>
      <c r="O41" s="150" t="s">
        <v>4429</v>
      </c>
      <c r="P41" s="150" t="s">
        <v>4428</v>
      </c>
      <c r="Q41" s="150"/>
      <c r="R41" s="150"/>
      <c r="S41" s="1684"/>
      <c r="V41" s="1272" t="s">
        <v>1365</v>
      </c>
      <c r="W41" s="1271"/>
      <c r="X41" s="1273" t="s">
        <v>4434</v>
      </c>
    </row>
    <row r="42" spans="1:31" ht="20" customHeight="1">
      <c r="K42" s="1681"/>
      <c r="L42" s="1681"/>
      <c r="M42" s="1681"/>
      <c r="N42" s="1681"/>
      <c r="O42" s="1681"/>
      <c r="P42" s="1681"/>
      <c r="Q42" s="1681"/>
      <c r="R42" s="1681"/>
      <c r="S42" s="1684"/>
      <c r="V42" s="401"/>
      <c r="W42" s="401"/>
      <c r="X42" s="401"/>
    </row>
    <row r="43" spans="1:31" ht="20" customHeight="1">
      <c r="K43" s="1239" t="s">
        <v>229</v>
      </c>
      <c r="L43" s="1239" t="str">
        <f>VLOOKUP(K43,$V$43:$X$76,3,FALSE)</f>
        <v>C3RT</v>
      </c>
      <c r="M43" s="455">
        <v>4</v>
      </c>
      <c r="N43" s="455">
        <v>4</v>
      </c>
      <c r="O43" s="455"/>
      <c r="P43" s="455">
        <v>3</v>
      </c>
      <c r="Q43" s="455"/>
      <c r="R43" s="455"/>
      <c r="S43" s="1684"/>
      <c r="V43" s="1239" t="s">
        <v>229</v>
      </c>
      <c r="W43" s="455"/>
      <c r="X43" s="1239" t="s">
        <v>1521</v>
      </c>
    </row>
    <row r="44" spans="1:31" ht="20" customHeight="1">
      <c r="K44" s="1242" t="s">
        <v>230</v>
      </c>
      <c r="L44" s="1242" t="str">
        <f t="shared" ref="L44:L76" si="3">VLOOKUP(K44,$V$43:$X$76,3,FALSE)</f>
        <v>C4RT</v>
      </c>
      <c r="M44" s="1248">
        <v>4.2</v>
      </c>
      <c r="N44" s="1248">
        <v>4.0999999999999996</v>
      </c>
      <c r="O44" s="1248"/>
      <c r="P44" s="1248">
        <v>3.5</v>
      </c>
      <c r="Q44" s="1248"/>
      <c r="R44" s="1248"/>
      <c r="S44" s="1684"/>
      <c r="V44" s="1242" t="s">
        <v>230</v>
      </c>
      <c r="W44" s="1248"/>
      <c r="X44" s="1242" t="s">
        <v>1520</v>
      </c>
    </row>
    <row r="45" spans="1:31" ht="20" customHeight="1">
      <c r="K45" s="1252" t="s">
        <v>898</v>
      </c>
      <c r="L45" s="1252" t="str">
        <f t="shared" si="3"/>
        <v>C4RT</v>
      </c>
      <c r="M45" s="1249">
        <f>M44</f>
        <v>4.2</v>
      </c>
      <c r="N45" s="1249">
        <f>N44</f>
        <v>4.0999999999999996</v>
      </c>
      <c r="O45" s="1249"/>
      <c r="P45" s="1249">
        <f>P44</f>
        <v>3.5</v>
      </c>
      <c r="Q45" s="1249"/>
      <c r="R45" s="1249"/>
      <c r="S45" s="1684"/>
      <c r="V45" s="1252" t="s">
        <v>898</v>
      </c>
      <c r="W45" s="1249"/>
      <c r="X45" s="1252" t="s">
        <v>1520</v>
      </c>
    </row>
    <row r="46" spans="1:31" ht="20" customHeight="1">
      <c r="K46" s="1252" t="s">
        <v>818</v>
      </c>
      <c r="L46" s="1252" t="str">
        <f t="shared" si="3"/>
        <v>C4RT</v>
      </c>
      <c r="M46" s="1249">
        <v>4.2</v>
      </c>
      <c r="N46" s="1249">
        <v>4.0999999999999996</v>
      </c>
      <c r="O46" s="1249"/>
      <c r="P46" s="1249">
        <v>3.5</v>
      </c>
      <c r="Q46" s="1249"/>
      <c r="R46" s="1249"/>
      <c r="S46" s="1684"/>
      <c r="V46" s="1252" t="s">
        <v>818</v>
      </c>
      <c r="W46" s="1249"/>
      <c r="X46" s="1252" t="s">
        <v>1520</v>
      </c>
    </row>
    <row r="47" spans="1:31" ht="20" customHeight="1">
      <c r="K47" s="1239" t="s">
        <v>232</v>
      </c>
      <c r="L47" s="1239" t="str">
        <f t="shared" si="3"/>
        <v>C5RT</v>
      </c>
      <c r="M47" s="455">
        <v>4</v>
      </c>
      <c r="N47" s="455">
        <v>4</v>
      </c>
      <c r="O47" s="455"/>
      <c r="P47" s="455">
        <v>3.5</v>
      </c>
      <c r="Q47" s="455"/>
      <c r="R47" s="455"/>
      <c r="S47" s="1684"/>
      <c r="V47" s="1239" t="s">
        <v>232</v>
      </c>
      <c r="W47" s="455"/>
      <c r="X47" s="1239" t="s">
        <v>1522</v>
      </c>
    </row>
    <row r="48" spans="1:31" ht="20" customHeight="1">
      <c r="K48" s="1191" t="s">
        <v>899</v>
      </c>
      <c r="L48" s="1191" t="str">
        <f t="shared" si="3"/>
        <v>C5RT</v>
      </c>
      <c r="M48" s="999">
        <f>M47</f>
        <v>4</v>
      </c>
      <c r="N48" s="999">
        <f>N47</f>
        <v>4</v>
      </c>
      <c r="O48" s="999"/>
      <c r="P48" s="999">
        <f>P47</f>
        <v>3.5</v>
      </c>
      <c r="Q48" s="999"/>
      <c r="R48" s="999"/>
      <c r="S48" s="1684"/>
      <c r="V48" s="1191" t="s">
        <v>899</v>
      </c>
      <c r="W48" s="999"/>
      <c r="X48" s="1191" t="s">
        <v>1522</v>
      </c>
    </row>
    <row r="49" spans="10:25" ht="20" customHeight="1">
      <c r="K49" s="1239" t="s">
        <v>819</v>
      </c>
      <c r="L49" s="1239" t="str">
        <f t="shared" si="3"/>
        <v>C5RT</v>
      </c>
      <c r="M49" s="455">
        <v>4.2</v>
      </c>
      <c r="N49" s="455">
        <v>4</v>
      </c>
      <c r="O49" s="455"/>
      <c r="P49" s="455">
        <v>3.5</v>
      </c>
      <c r="Q49" s="455"/>
      <c r="R49" s="455"/>
      <c r="S49" s="1684"/>
      <c r="V49" s="1239" t="s">
        <v>819</v>
      </c>
      <c r="W49" s="455"/>
      <c r="X49" s="1239" t="s">
        <v>1522</v>
      </c>
    </row>
    <row r="50" spans="10:25" ht="20" customHeight="1">
      <c r="K50" s="1242" t="s">
        <v>231</v>
      </c>
      <c r="L50" s="1242" t="str">
        <f t="shared" si="3"/>
        <v>C7RT</v>
      </c>
      <c r="M50" s="1248">
        <v>4.5</v>
      </c>
      <c r="N50" s="1248">
        <v>4</v>
      </c>
      <c r="O50" s="1248"/>
      <c r="P50" s="1248">
        <v>3.5</v>
      </c>
      <c r="Q50" s="1248"/>
      <c r="R50" s="1248"/>
      <c r="S50" s="1684"/>
      <c r="V50" s="1242" t="s">
        <v>231</v>
      </c>
      <c r="W50" s="1248"/>
      <c r="X50" s="1242" t="s">
        <v>1524</v>
      </c>
    </row>
    <row r="51" spans="10:25" ht="20" customHeight="1">
      <c r="K51" s="1252" t="s">
        <v>900</v>
      </c>
      <c r="L51" s="1252" t="str">
        <f t="shared" si="3"/>
        <v>C7RT</v>
      </c>
      <c r="M51" s="1249">
        <f>M50</f>
        <v>4.5</v>
      </c>
      <c r="N51" s="1249">
        <f>N50</f>
        <v>4</v>
      </c>
      <c r="O51" s="1249"/>
      <c r="P51" s="1249">
        <f>P50</f>
        <v>3.5</v>
      </c>
      <c r="Q51" s="1249"/>
      <c r="R51" s="1249"/>
      <c r="S51" s="1684"/>
      <c r="V51" s="1252" t="s">
        <v>900</v>
      </c>
      <c r="W51" s="1249"/>
      <c r="X51" s="1252" t="s">
        <v>1524</v>
      </c>
    </row>
    <row r="52" spans="10:25" ht="20" customHeight="1">
      <c r="K52" s="1240" t="s">
        <v>820</v>
      </c>
      <c r="L52" s="1240" t="str">
        <f t="shared" si="3"/>
        <v>C7RT</v>
      </c>
      <c r="M52" s="1250">
        <v>4.4000000000000004</v>
      </c>
      <c r="N52" s="1250">
        <v>4.0999999999999996</v>
      </c>
      <c r="O52" s="1250"/>
      <c r="P52" s="1250">
        <v>4.4000000000000004</v>
      </c>
      <c r="Q52" s="1250"/>
      <c r="R52" s="1250"/>
      <c r="S52" s="1684"/>
      <c r="V52" s="1240" t="s">
        <v>820</v>
      </c>
      <c r="W52" s="1248"/>
      <c r="X52" s="1240" t="s">
        <v>1524</v>
      </c>
    </row>
    <row r="53" spans="10:25" ht="20" customHeight="1">
      <c r="K53" s="1240" t="s">
        <v>1699</v>
      </c>
      <c r="L53" s="1240" t="str">
        <f t="shared" si="3"/>
        <v>C7RT</v>
      </c>
      <c r="M53" s="1250">
        <v>5</v>
      </c>
      <c r="N53" s="1250">
        <v>5</v>
      </c>
      <c r="O53" s="1250"/>
      <c r="P53" s="1250">
        <v>5</v>
      </c>
      <c r="Q53" s="1250"/>
      <c r="R53" s="1250"/>
      <c r="S53" s="1684"/>
      <c r="V53" s="1240" t="s">
        <v>1699</v>
      </c>
      <c r="W53" s="1248"/>
      <c r="X53" s="1240" t="s">
        <v>1524</v>
      </c>
    </row>
    <row r="54" spans="10:25" ht="20" customHeight="1">
      <c r="K54" s="1242" t="s">
        <v>821</v>
      </c>
      <c r="L54" s="1242" t="str">
        <f t="shared" si="3"/>
        <v>C7RT</v>
      </c>
      <c r="M54" s="1248">
        <v>5</v>
      </c>
      <c r="N54" s="1248">
        <v>4.5</v>
      </c>
      <c r="O54" s="1248"/>
      <c r="P54" s="1248">
        <v>4</v>
      </c>
      <c r="Q54" s="1248"/>
      <c r="R54" s="1248"/>
      <c r="S54" s="1684"/>
      <c r="V54" s="1242" t="s">
        <v>821</v>
      </c>
      <c r="W54" s="1248"/>
      <c r="X54" s="1242" t="s">
        <v>1524</v>
      </c>
    </row>
    <row r="55" spans="10:25" ht="20" customHeight="1">
      <c r="J55" s="1283"/>
      <c r="K55" s="1242" t="s">
        <v>4393</v>
      </c>
      <c r="L55" s="1242" t="str">
        <f t="shared" si="3"/>
        <v>2C4RT</v>
      </c>
      <c r="M55" s="1248">
        <v>7.4</v>
      </c>
      <c r="N55" s="1248">
        <v>6.2</v>
      </c>
      <c r="O55" s="1248"/>
      <c r="P55" s="1248">
        <v>7.4</v>
      </c>
      <c r="Q55" s="1248"/>
      <c r="R55" s="1248"/>
      <c r="S55" s="1684"/>
      <c r="V55" s="1242" t="s">
        <v>4393</v>
      </c>
      <c r="W55" s="1248"/>
      <c r="X55" s="1242" t="s">
        <v>4447</v>
      </c>
      <c r="Y55" s="1283"/>
    </row>
    <row r="56" spans="10:25" ht="20" customHeight="1">
      <c r="K56" s="1239" t="s">
        <v>1667</v>
      </c>
      <c r="L56" s="1239" t="str">
        <f t="shared" si="3"/>
        <v>C8RT</v>
      </c>
      <c r="M56" s="455">
        <v>6</v>
      </c>
      <c r="N56" s="455">
        <v>6</v>
      </c>
      <c r="O56" s="455"/>
      <c r="P56" s="455">
        <v>6</v>
      </c>
      <c r="Q56" s="455"/>
      <c r="R56" s="455"/>
      <c r="S56" s="1684"/>
      <c r="V56" s="1239" t="s">
        <v>1667</v>
      </c>
      <c r="W56" s="455"/>
      <c r="X56" s="1239" t="s">
        <v>2870</v>
      </c>
    </row>
    <row r="57" spans="10:25" ht="20" customHeight="1">
      <c r="K57" s="1191" t="s">
        <v>822</v>
      </c>
      <c r="L57" s="1191" t="str">
        <f t="shared" si="3"/>
        <v>C8RT</v>
      </c>
      <c r="M57" s="999">
        <f>M56</f>
        <v>6</v>
      </c>
      <c r="N57" s="999">
        <f>N56</f>
        <v>6</v>
      </c>
      <c r="O57" s="999"/>
      <c r="P57" s="999">
        <f>P56</f>
        <v>6</v>
      </c>
      <c r="Q57" s="999"/>
      <c r="R57" s="999"/>
      <c r="S57" s="1684"/>
      <c r="V57" s="1191" t="s">
        <v>822</v>
      </c>
      <c r="W57" s="999"/>
      <c r="X57" s="1191" t="s">
        <v>2870</v>
      </c>
    </row>
    <row r="58" spans="10:25" ht="20" customHeight="1">
      <c r="K58" s="1191" t="s">
        <v>1451</v>
      </c>
      <c r="L58" s="1191" t="str">
        <f t="shared" si="3"/>
        <v>C8RT</v>
      </c>
      <c r="M58" s="999">
        <f>M57</f>
        <v>6</v>
      </c>
      <c r="N58" s="999">
        <f>N57</f>
        <v>6</v>
      </c>
      <c r="O58" s="999"/>
      <c r="P58" s="999">
        <f>P57</f>
        <v>6</v>
      </c>
      <c r="Q58" s="999"/>
      <c r="R58" s="999"/>
      <c r="S58" s="1684"/>
      <c r="V58" s="1191" t="s">
        <v>1451</v>
      </c>
      <c r="W58" s="999"/>
      <c r="X58" s="1191" t="s">
        <v>2870</v>
      </c>
    </row>
    <row r="59" spans="10:25" ht="20" customHeight="1">
      <c r="K59" s="1242" t="s">
        <v>4395</v>
      </c>
      <c r="L59" s="1242" t="str">
        <f t="shared" si="3"/>
        <v>C9RT</v>
      </c>
      <c r="M59" s="1248">
        <v>3.9</v>
      </c>
      <c r="N59" s="1248">
        <v>4.5</v>
      </c>
      <c r="O59" s="1248"/>
      <c r="P59" s="1248">
        <v>4.5</v>
      </c>
      <c r="Q59" s="1248"/>
      <c r="R59" s="1248"/>
      <c r="S59" s="1684"/>
      <c r="V59" s="1242" t="s">
        <v>4395</v>
      </c>
      <c r="W59" s="1248"/>
      <c r="X59" s="1242" t="s">
        <v>2872</v>
      </c>
    </row>
    <row r="60" spans="10:25" ht="20" customHeight="1">
      <c r="K60" s="1242" t="s">
        <v>632</v>
      </c>
      <c r="L60" s="1242" t="str">
        <f>VLOOKUP(K60,$V$43:$X$76,3,FALSE)</f>
        <v>C9RT</v>
      </c>
      <c r="M60" s="1248">
        <v>5</v>
      </c>
      <c r="N60" s="1248">
        <v>5</v>
      </c>
      <c r="O60" s="1248"/>
      <c r="P60" s="1248">
        <v>5</v>
      </c>
      <c r="Q60" s="1248"/>
      <c r="R60" s="1248"/>
      <c r="S60" s="1684"/>
      <c r="V60" s="1242" t="s">
        <v>632</v>
      </c>
      <c r="W60" s="1248"/>
      <c r="X60" s="1242" t="s">
        <v>2872</v>
      </c>
    </row>
    <row r="61" spans="10:25" ht="20" customHeight="1">
      <c r="K61" s="1252" t="s">
        <v>823</v>
      </c>
      <c r="L61" s="1249" t="str">
        <f>VLOOKUP(K61,$V$43:$X$76,3,FALSE)</f>
        <v>C9RT</v>
      </c>
      <c r="M61" s="1249">
        <f>M60</f>
        <v>5</v>
      </c>
      <c r="N61" s="1249">
        <f>N60</f>
        <v>5</v>
      </c>
      <c r="O61" s="1249"/>
      <c r="P61" s="1249">
        <f>P60</f>
        <v>5</v>
      </c>
      <c r="Q61" s="1250"/>
      <c r="R61" s="1250"/>
      <c r="S61" s="1684"/>
      <c r="V61" s="1252" t="s">
        <v>823</v>
      </c>
      <c r="W61" s="1249"/>
      <c r="X61" s="1252" t="s">
        <v>2872</v>
      </c>
    </row>
    <row r="62" spans="10:25" ht="20" customHeight="1">
      <c r="K62" s="1242" t="s">
        <v>2141</v>
      </c>
      <c r="L62" s="1242" t="str">
        <f>VLOOKUP(K62,$V$43:$X$76,3,FALSE)</f>
        <v>C9RT</v>
      </c>
      <c r="M62" s="1248">
        <v>5.4</v>
      </c>
      <c r="N62" s="1248">
        <v>5.4</v>
      </c>
      <c r="O62" s="1248"/>
      <c r="P62" s="1248">
        <v>5.4</v>
      </c>
      <c r="Q62" s="1248"/>
      <c r="R62" s="1248"/>
      <c r="S62" s="1684"/>
      <c r="V62" s="1242" t="s">
        <v>2141</v>
      </c>
      <c r="W62" s="1248"/>
      <c r="X62" s="1242" t="s">
        <v>2872</v>
      </c>
    </row>
    <row r="63" spans="10:25" ht="20" customHeight="1">
      <c r="K63" s="1239" t="s">
        <v>1671</v>
      </c>
      <c r="L63" s="1239" t="str">
        <f>VLOOKUP(K63,$V$43:$X$76,3,FALSE)</f>
        <v>C10RT</v>
      </c>
      <c r="M63" s="455">
        <v>5.6</v>
      </c>
      <c r="N63" s="455">
        <v>5.6</v>
      </c>
      <c r="O63" s="455"/>
      <c r="P63" s="455">
        <v>5.6</v>
      </c>
      <c r="Q63" s="455"/>
      <c r="R63" s="455"/>
      <c r="S63" s="1684"/>
      <c r="V63" s="1239" t="s">
        <v>1671</v>
      </c>
      <c r="W63" s="455"/>
      <c r="X63" s="1239" t="s">
        <v>4444</v>
      </c>
    </row>
    <row r="64" spans="10:25" ht="20" customHeight="1">
      <c r="K64" s="1242" t="s">
        <v>4488</v>
      </c>
      <c r="L64" s="1242" t="str">
        <f>VLOOKUP(K64,$V$43:$X$76,3,FALSE)</f>
        <v>C11RT</v>
      </c>
      <c r="M64" s="1248">
        <v>5.4</v>
      </c>
      <c r="N64" s="1248">
        <v>5.4</v>
      </c>
      <c r="O64" s="1248"/>
      <c r="P64" s="1248">
        <v>5.4</v>
      </c>
      <c r="Q64" s="1248"/>
      <c r="R64" s="1248"/>
      <c r="S64" s="1684"/>
      <c r="V64" s="1242" t="s">
        <v>4488</v>
      </c>
      <c r="W64" s="1248"/>
      <c r="X64" s="1242" t="s">
        <v>4445</v>
      </c>
    </row>
    <row r="65" spans="11:24" ht="20" customHeight="1">
      <c r="K65" s="1242" t="s">
        <v>4664</v>
      </c>
      <c r="L65" s="1242" t="str">
        <f t="shared" si="3"/>
        <v>C11RT</v>
      </c>
      <c r="M65" s="1248">
        <v>5.4</v>
      </c>
      <c r="N65" s="1248">
        <v>4.5999999999999996</v>
      </c>
      <c r="O65" s="1248"/>
      <c r="P65" s="1248">
        <v>5.4</v>
      </c>
      <c r="Q65" s="1248"/>
      <c r="R65" s="1248"/>
      <c r="S65" s="1684"/>
      <c r="V65" s="1242" t="s">
        <v>4664</v>
      </c>
      <c r="W65" s="1248"/>
      <c r="X65" s="1242" t="s">
        <v>4445</v>
      </c>
    </row>
    <row r="66" spans="11:24" ht="20" customHeight="1">
      <c r="K66" s="1239" t="s">
        <v>4666</v>
      </c>
      <c r="L66" s="1239" t="str">
        <f t="shared" si="3"/>
        <v>C12RT</v>
      </c>
      <c r="M66" s="455">
        <v>7.4</v>
      </c>
      <c r="N66" s="455">
        <v>6.5</v>
      </c>
      <c r="O66" s="455"/>
      <c r="P66" s="455">
        <v>7.4</v>
      </c>
      <c r="Q66" s="455"/>
      <c r="R66" s="455"/>
      <c r="S66" s="1684"/>
      <c r="V66" s="1239" t="s">
        <v>4666</v>
      </c>
      <c r="W66" s="455"/>
      <c r="X66" s="1239" t="s">
        <v>4722</v>
      </c>
    </row>
    <row r="67" spans="11:24" ht="20" customHeight="1">
      <c r="K67" s="1242" t="s">
        <v>4668</v>
      </c>
      <c r="L67" s="1242" t="str">
        <f t="shared" si="3"/>
        <v>C13RT</v>
      </c>
      <c r="M67" s="1248">
        <v>8.6</v>
      </c>
      <c r="N67" s="1248">
        <v>8</v>
      </c>
      <c r="O67" s="1248"/>
      <c r="P67" s="1248">
        <v>8.6</v>
      </c>
      <c r="Q67" s="1248"/>
      <c r="R67" s="1248"/>
      <c r="S67" s="1684"/>
      <c r="V67" s="1242" t="s">
        <v>4668</v>
      </c>
      <c r="W67" s="1248"/>
      <c r="X67" s="1242" t="s">
        <v>4675</v>
      </c>
    </row>
    <row r="68" spans="11:24" ht="20" customHeight="1">
      <c r="K68" s="1239" t="s">
        <v>895</v>
      </c>
      <c r="L68" s="1239" t="str">
        <f t="shared" si="3"/>
        <v>2C3RT</v>
      </c>
      <c r="M68" s="455">
        <v>4.5</v>
      </c>
      <c r="N68" s="455">
        <v>4.2</v>
      </c>
      <c r="O68" s="455"/>
      <c r="P68" s="455">
        <v>3.6</v>
      </c>
      <c r="Q68" s="455"/>
      <c r="R68" s="455"/>
      <c r="S68" s="1684"/>
      <c r="V68" s="1239" t="s">
        <v>895</v>
      </c>
      <c r="W68" s="455"/>
      <c r="X68" s="1239" t="s">
        <v>4446</v>
      </c>
    </row>
    <row r="69" spans="11:24" ht="20" customHeight="1">
      <c r="K69" s="1191" t="s">
        <v>1697</v>
      </c>
      <c r="L69" s="1191" t="str">
        <f t="shared" si="3"/>
        <v>2C3RT</v>
      </c>
      <c r="M69" s="999">
        <v>4.5</v>
      </c>
      <c r="N69" s="999">
        <v>4.2</v>
      </c>
      <c r="O69" s="999"/>
      <c r="P69" s="999">
        <v>3.6</v>
      </c>
      <c r="Q69" s="999"/>
      <c r="R69" s="999"/>
      <c r="S69" s="1684"/>
      <c r="V69" s="1191" t="s">
        <v>1697</v>
      </c>
      <c r="W69" s="999"/>
      <c r="X69" s="1191" t="s">
        <v>4446</v>
      </c>
    </row>
    <row r="70" spans="11:24" ht="20" customHeight="1">
      <c r="K70" s="1242" t="s">
        <v>896</v>
      </c>
      <c r="L70" s="1242" t="str">
        <f t="shared" si="3"/>
        <v>2C4RT</v>
      </c>
      <c r="M70" s="1248">
        <v>4.5</v>
      </c>
      <c r="N70" s="1248">
        <v>4.5</v>
      </c>
      <c r="O70" s="1248"/>
      <c r="P70" s="1248">
        <v>4</v>
      </c>
      <c r="Q70" s="1248"/>
      <c r="R70" s="1248"/>
      <c r="S70" s="1684"/>
      <c r="V70" s="1242" t="s">
        <v>896</v>
      </c>
      <c r="W70" s="1248"/>
      <c r="X70" s="1242" t="s">
        <v>4447</v>
      </c>
    </row>
    <row r="71" spans="11:24" ht="20" customHeight="1">
      <c r="K71" s="1242" t="s">
        <v>1698</v>
      </c>
      <c r="L71" s="1242" t="str">
        <f t="shared" si="3"/>
        <v>2C4RT</v>
      </c>
      <c r="M71" s="1248">
        <v>7.4</v>
      </c>
      <c r="N71" s="1248">
        <v>6.2</v>
      </c>
      <c r="O71" s="1248"/>
      <c r="P71" s="1248">
        <v>7.4</v>
      </c>
      <c r="Q71" s="1248"/>
      <c r="R71" s="1248"/>
      <c r="S71" s="1684"/>
      <c r="V71" s="1242" t="s">
        <v>1698</v>
      </c>
      <c r="W71" s="1248"/>
      <c r="X71" s="1242" t="s">
        <v>4447</v>
      </c>
    </row>
    <row r="72" spans="11:24" ht="20" customHeight="1">
      <c r="K72" s="1239" t="s">
        <v>4576</v>
      </c>
      <c r="L72" s="1239" t="str">
        <f t="shared" si="3"/>
        <v>2C7RT</v>
      </c>
      <c r="M72" s="455" t="s">
        <v>4437</v>
      </c>
      <c r="N72" s="455" t="s">
        <v>4437</v>
      </c>
      <c r="O72" s="455"/>
      <c r="P72" s="455" t="s">
        <v>4437</v>
      </c>
      <c r="Q72" s="455"/>
      <c r="R72" s="455"/>
      <c r="S72" s="1684"/>
      <c r="V72" s="1239" t="s">
        <v>4576</v>
      </c>
      <c r="W72" s="455"/>
      <c r="X72" s="1239" t="s">
        <v>4681</v>
      </c>
    </row>
    <row r="73" spans="11:24" ht="20" customHeight="1">
      <c r="K73" s="1240" t="s">
        <v>4415</v>
      </c>
      <c r="L73" s="1240" t="str">
        <f t="shared" si="3"/>
        <v>2C4FRT</v>
      </c>
      <c r="M73" s="1250">
        <v>5.7</v>
      </c>
      <c r="N73" s="1250">
        <v>4.8</v>
      </c>
      <c r="O73" s="1250"/>
      <c r="P73" s="1250">
        <v>5.7</v>
      </c>
      <c r="Q73" s="1250"/>
      <c r="R73" s="1250"/>
      <c r="S73" s="1684"/>
      <c r="V73" s="1240" t="s">
        <v>4415</v>
      </c>
      <c r="W73" s="1248"/>
      <c r="X73" s="1240" t="s">
        <v>4448</v>
      </c>
    </row>
    <row r="74" spans="11:24" ht="20" customHeight="1">
      <c r="K74" s="150" t="s">
        <v>4414</v>
      </c>
      <c r="L74" s="150" t="str">
        <f t="shared" si="3"/>
        <v>C12FRT</v>
      </c>
      <c r="M74" s="637">
        <v>6.7</v>
      </c>
      <c r="N74" s="637">
        <v>5.5</v>
      </c>
      <c r="O74" s="637"/>
      <c r="P74" s="637">
        <v>6.7</v>
      </c>
      <c r="Q74" s="637"/>
      <c r="R74" s="637"/>
      <c r="S74" s="1684"/>
      <c r="V74" s="150" t="s">
        <v>4414</v>
      </c>
      <c r="W74" s="455"/>
      <c r="X74" s="150" t="s">
        <v>4449</v>
      </c>
    </row>
    <row r="75" spans="11:24" ht="20" customHeight="1">
      <c r="K75" s="1248" t="s">
        <v>1662</v>
      </c>
      <c r="L75" s="1248" t="str">
        <f t="shared" si="3"/>
        <v>AnMC-RT</v>
      </c>
      <c r="M75" s="1248">
        <v>3.3</v>
      </c>
      <c r="N75" s="1248">
        <v>3.9</v>
      </c>
      <c r="O75" s="1248"/>
      <c r="P75" s="1248">
        <v>3.9</v>
      </c>
      <c r="Q75" s="1248"/>
      <c r="R75" s="1248"/>
      <c r="S75" s="1684"/>
      <c r="V75" s="1248" t="s">
        <v>1662</v>
      </c>
      <c r="W75" s="1248"/>
      <c r="X75" s="1248" t="s">
        <v>1662</v>
      </c>
    </row>
    <row r="76" spans="11:24" ht="20" customHeight="1">
      <c r="K76" s="1248" t="s">
        <v>1666</v>
      </c>
      <c r="L76" s="1248" t="str">
        <f t="shared" si="3"/>
        <v>AnM-RT</v>
      </c>
      <c r="M76" s="1248">
        <v>2.8</v>
      </c>
      <c r="N76" s="1248">
        <v>2.8</v>
      </c>
      <c r="O76" s="1248"/>
      <c r="P76" s="1248">
        <v>2.8</v>
      </c>
      <c r="Q76" s="1248"/>
      <c r="R76" s="1248"/>
      <c r="S76" s="1685"/>
      <c r="V76" s="1248" t="s">
        <v>1666</v>
      </c>
      <c r="W76" s="1248"/>
      <c r="X76" s="1248" t="s">
        <v>1666</v>
      </c>
    </row>
    <row r="77" spans="11:24" ht="20" customHeight="1">
      <c r="S77" s="1290"/>
    </row>
    <row r="78" spans="11:24" ht="20" customHeight="1">
      <c r="S78" s="1291"/>
    </row>
    <row r="79" spans="11:24" ht="20" customHeight="1">
      <c r="S79" s="1292"/>
    </row>
  </sheetData>
  <mergeCells count="7">
    <mergeCell ref="K42:R42"/>
    <mergeCell ref="S4:S76"/>
    <mergeCell ref="L1:R1"/>
    <mergeCell ref="V1:X1"/>
    <mergeCell ref="L40:R40"/>
    <mergeCell ref="V40:X40"/>
    <mergeCell ref="K3:R3"/>
  </mergeCells>
  <conditionalFormatting sqref="Y4:Y15 Y29:Y37 Y17:Y24">
    <cfRule type="cellIs" dxfId="179" priority="328" operator="equal">
      <formula>0.75</formula>
    </cfRule>
    <cfRule type="cellIs" dxfId="178" priority="329" operator="equal">
      <formula>1.2</formula>
    </cfRule>
    <cfRule type="cellIs" dxfId="177" priority="330" operator="equal">
      <formula>1</formula>
    </cfRule>
  </conditionalFormatting>
  <conditionalFormatting sqref="Z4:Z15 Z29:Z37 Z17:Z24">
    <cfRule type="cellIs" dxfId="176" priority="324" operator="equal">
      <formula>40</formula>
    </cfRule>
    <cfRule type="cellIs" dxfId="175" priority="325" operator="equal">
      <formula>32</formula>
    </cfRule>
    <cfRule type="cellIs" dxfId="174" priority="326" operator="equal">
      <formula>25</formula>
    </cfRule>
    <cfRule type="cellIs" dxfId="173" priority="327" operator="equal">
      <formula>16</formula>
    </cfRule>
  </conditionalFormatting>
  <conditionalFormatting sqref="AB4:AB15 AB29:AB37 AB17:AB24">
    <cfRule type="containsText" dxfId="172" priority="315" operator="containsText" text="200*200*200/300*300">
      <formula>NOT(ISERROR(SEARCH("200*200*200/300*300",AB4)))</formula>
    </cfRule>
    <cfRule type="containsText" dxfId="171" priority="316" operator="containsText" text="200/300">
      <formula>NOT(ISERROR(SEARCH("200/300",AB4)))</formula>
    </cfRule>
    <cfRule type="containsText" dxfId="170" priority="317" operator="containsText" text="200*200*200/520">
      <formula>NOT(ISERROR(SEARCH("200*200*200/520",AB4)))</formula>
    </cfRule>
    <cfRule type="containsText" dxfId="169" priority="318" operator="containsText" text="250*250/500">
      <formula>NOT(ISERROR(SEARCH("250*250/500",AB4)))</formula>
    </cfRule>
    <cfRule type="containsText" dxfId="168" priority="319" operator="containsText" text="200*200/500">
      <formula>NOT(ISERROR(SEARCH("200*200/500",AB4)))</formula>
    </cfRule>
    <cfRule type="containsText" dxfId="167" priority="320" operator="containsText" text="200*200*200/560">
      <formula>NOT(ISERROR(SEARCH("200*200*200/560",AB4)))</formula>
    </cfRule>
    <cfRule type="containsText" dxfId="166" priority="321" operator="containsText" text="600/300">
      <formula>NOT(ISERROR(SEARCH("600/300",AB4)))</formula>
    </cfRule>
    <cfRule type="containsText" dxfId="165" priority="322" operator="containsText" text="500/250">
      <formula>NOT(ISERROR(SEARCH("500/250",AB4)))</formula>
    </cfRule>
    <cfRule type="containsText" dxfId="164" priority="323" operator="containsText" text="500/200">
      <formula>NOT(ISERROR(SEARCH("500/200",AB4)))</formula>
    </cfRule>
  </conditionalFormatting>
  <conditionalFormatting sqref="AC4:AC13 AC15 AC29:AC32 AC34:AC37 AC17:AC24">
    <cfRule type="containsText" dxfId="163" priority="311" operator="containsText" text="13Ø25">
      <formula>NOT(ISERROR(SEARCH("13Ø25",AC4)))</formula>
    </cfRule>
    <cfRule type="containsText" dxfId="162" priority="312" operator="containsText" text="12Ø25">
      <formula>NOT(ISERROR(SEARCH("12Ø25",AC4)))</formula>
    </cfRule>
    <cfRule type="containsText" dxfId="161" priority="313" operator="containsText" text="10Ø20">
      <formula>NOT(ISERROR(SEARCH("10Ø20",AC4)))</formula>
    </cfRule>
    <cfRule type="containsText" dxfId="160" priority="314" operator="containsText" text="8Ø18">
      <formula>NOT(ISERROR(SEARCH("8Ø18",AC4)))</formula>
    </cfRule>
  </conditionalFormatting>
  <conditionalFormatting sqref="AD4:AD13 AD15 AD29:AD32 AD34:AD37 AD17:AD24">
    <cfRule type="containsText" dxfId="159" priority="308" operator="containsText" text="Ø8@200">
      <formula>NOT(ISERROR(SEARCH("Ø8@200",AD4)))</formula>
    </cfRule>
    <cfRule type="containsText" dxfId="158" priority="309" operator="containsText" text="Ø12@200">
      <formula>NOT(ISERROR(SEARCH("Ø12@200",AD4)))</formula>
    </cfRule>
    <cfRule type="containsText" dxfId="157" priority="310" operator="containsText" text="Ø8@250">
      <formula>NOT(ISERROR(SEARCH("Ø8@250",AD4)))</formula>
    </cfRule>
  </conditionalFormatting>
  <conditionalFormatting sqref="AC14">
    <cfRule type="containsText" dxfId="156" priority="256" operator="containsText" text="13Ø25">
      <formula>NOT(ISERROR(SEARCH("13Ø25",AC14)))</formula>
    </cfRule>
    <cfRule type="containsText" dxfId="155" priority="257" operator="containsText" text="12Ø25">
      <formula>NOT(ISERROR(SEARCH("12Ø25",AC14)))</formula>
    </cfRule>
    <cfRule type="containsText" dxfId="154" priority="258" operator="containsText" text="10Ø20">
      <formula>NOT(ISERROR(SEARCH("10Ø20",AC14)))</formula>
    </cfRule>
    <cfRule type="containsText" dxfId="153" priority="259" operator="containsText" text="8Ø18">
      <formula>NOT(ISERROR(SEARCH("8Ø18",AC14)))</formula>
    </cfRule>
  </conditionalFormatting>
  <conditionalFormatting sqref="AD14">
    <cfRule type="containsText" dxfId="152" priority="253" operator="containsText" text="Ø8@200">
      <formula>NOT(ISERROR(SEARCH("Ø8@200",AD14)))</formula>
    </cfRule>
    <cfRule type="containsText" dxfId="151" priority="254" operator="containsText" text="Ø12@200">
      <formula>NOT(ISERROR(SEARCH("Ø12@200",AD14)))</formula>
    </cfRule>
    <cfRule type="containsText" dxfId="150" priority="255" operator="containsText" text="Ø8@250">
      <formula>NOT(ISERROR(SEARCH("Ø8@250",AD14)))</formula>
    </cfRule>
  </conditionalFormatting>
  <conditionalFormatting sqref="M4:R15 Q16:R16 M17:R22">
    <cfRule type="containsText" dxfId="149" priority="252" operator="containsText" text="N.D.">
      <formula>NOT(ISERROR(SEARCH("N.D.",M4)))</formula>
    </cfRule>
  </conditionalFormatting>
  <conditionalFormatting sqref="M23:R24 M26:R37">
    <cfRule type="containsText" dxfId="148" priority="251" operator="containsText" text="N.D.">
      <formula>NOT(ISERROR(SEARCH("N.D.",M23)))</formula>
    </cfRule>
  </conditionalFormatting>
  <conditionalFormatting sqref="M43:R54 Q55:R55 M56:R61">
    <cfRule type="containsText" dxfId="147" priority="250" operator="containsText" text="N.D.">
      <formula>NOT(ISERROR(SEARCH("N.D.",M43)))</formula>
    </cfRule>
  </conditionalFormatting>
  <conditionalFormatting sqref="M62:R63 M65:R76">
    <cfRule type="containsText" dxfId="146" priority="249" operator="containsText" text="N.D.">
      <formula>NOT(ISERROR(SEARCH("N.D.",M62)))</formula>
    </cfRule>
  </conditionalFormatting>
  <conditionalFormatting sqref="Y16">
    <cfRule type="cellIs" dxfId="145" priority="246" operator="equal">
      <formula>0.75</formula>
    </cfRule>
    <cfRule type="cellIs" dxfId="144" priority="247" operator="equal">
      <formula>1.2</formula>
    </cfRule>
    <cfRule type="cellIs" dxfId="143" priority="248" operator="equal">
      <formula>1</formula>
    </cfRule>
  </conditionalFormatting>
  <conditionalFormatting sqref="Z16">
    <cfRule type="cellIs" dxfId="142" priority="242" operator="equal">
      <formula>40</formula>
    </cfRule>
    <cfRule type="cellIs" dxfId="141" priority="243" operator="equal">
      <formula>32</formula>
    </cfRule>
    <cfRule type="cellIs" dxfId="140" priority="244" operator="equal">
      <formula>25</formula>
    </cfRule>
    <cfRule type="cellIs" dxfId="139" priority="245" operator="equal">
      <formula>16</formula>
    </cfRule>
  </conditionalFormatting>
  <conditionalFormatting sqref="AB16">
    <cfRule type="containsText" dxfId="138" priority="233" operator="containsText" text="200*200*200/300*300">
      <formula>NOT(ISERROR(SEARCH("200*200*200/300*300",AB16)))</formula>
    </cfRule>
    <cfRule type="containsText" dxfId="137" priority="234" operator="containsText" text="200/300">
      <formula>NOT(ISERROR(SEARCH("200/300",AB16)))</formula>
    </cfRule>
    <cfRule type="containsText" dxfId="136" priority="235" operator="containsText" text="200*200*200/520">
      <formula>NOT(ISERROR(SEARCH("200*200*200/520",AB16)))</formula>
    </cfRule>
    <cfRule type="containsText" dxfId="135" priority="236" operator="containsText" text="250*250/500">
      <formula>NOT(ISERROR(SEARCH("250*250/500",AB16)))</formula>
    </cfRule>
    <cfRule type="containsText" dxfId="134" priority="237" operator="containsText" text="200*200/500">
      <formula>NOT(ISERROR(SEARCH("200*200/500",AB16)))</formula>
    </cfRule>
    <cfRule type="containsText" dxfId="133" priority="238" operator="containsText" text="200*200*200/560">
      <formula>NOT(ISERROR(SEARCH("200*200*200/560",AB16)))</formula>
    </cfRule>
    <cfRule type="containsText" dxfId="132" priority="239" operator="containsText" text="600/300">
      <formula>NOT(ISERROR(SEARCH("600/300",AB16)))</formula>
    </cfRule>
    <cfRule type="containsText" dxfId="131" priority="240" operator="containsText" text="500/250">
      <formula>NOT(ISERROR(SEARCH("500/250",AB16)))</formula>
    </cfRule>
    <cfRule type="containsText" dxfId="130" priority="241" operator="containsText" text="500/200">
      <formula>NOT(ISERROR(SEARCH("500/200",AB16)))</formula>
    </cfRule>
  </conditionalFormatting>
  <conditionalFormatting sqref="M16:P16">
    <cfRule type="containsText" dxfId="129" priority="225" operator="containsText" text="N.D.">
      <formula>NOT(ISERROR(SEARCH("N.D.",M16)))</formula>
    </cfRule>
  </conditionalFormatting>
  <conditionalFormatting sqref="M55:P55">
    <cfRule type="containsText" dxfId="128" priority="224" operator="containsText" text="N.D.">
      <formula>NOT(ISERROR(SEARCH("N.D.",M55)))</formula>
    </cfRule>
  </conditionalFormatting>
  <conditionalFormatting sqref="Y21">
    <cfRule type="cellIs" dxfId="127" priority="198" operator="equal">
      <formula>0.75</formula>
    </cfRule>
    <cfRule type="cellIs" dxfId="126" priority="199" operator="equal">
      <formula>1.2</formula>
    </cfRule>
    <cfRule type="cellIs" dxfId="125" priority="200" operator="equal">
      <formula>1</formula>
    </cfRule>
  </conditionalFormatting>
  <conditionalFormatting sqref="Z21">
    <cfRule type="cellIs" dxfId="124" priority="194" operator="equal">
      <formula>40</formula>
    </cfRule>
    <cfRule type="cellIs" dxfId="123" priority="195" operator="equal">
      <formula>32</formula>
    </cfRule>
    <cfRule type="cellIs" dxfId="122" priority="196" operator="equal">
      <formula>25</formula>
    </cfRule>
    <cfRule type="cellIs" dxfId="121" priority="197" operator="equal">
      <formula>16</formula>
    </cfRule>
  </conditionalFormatting>
  <conditionalFormatting sqref="AB21">
    <cfRule type="containsText" dxfId="120" priority="185" operator="containsText" text="200*200*200/300*300">
      <formula>NOT(ISERROR(SEARCH("200*200*200/300*300",AB21)))</formula>
    </cfRule>
    <cfRule type="containsText" dxfId="119" priority="186" operator="containsText" text="200/300">
      <formula>NOT(ISERROR(SEARCH("200/300",AB21)))</formula>
    </cfRule>
    <cfRule type="containsText" dxfId="118" priority="187" operator="containsText" text="200*200*200/520">
      <formula>NOT(ISERROR(SEARCH("200*200*200/520",AB21)))</formula>
    </cfRule>
    <cfRule type="containsText" dxfId="117" priority="188" operator="containsText" text="250*250/500">
      <formula>NOT(ISERROR(SEARCH("250*250/500",AB21)))</formula>
    </cfRule>
    <cfRule type="containsText" dxfId="116" priority="189" operator="containsText" text="200*200/500">
      <formula>NOT(ISERROR(SEARCH("200*200/500",AB21)))</formula>
    </cfRule>
    <cfRule type="containsText" dxfId="115" priority="190" operator="containsText" text="200*200*200/560">
      <formula>NOT(ISERROR(SEARCH("200*200*200/560",AB21)))</formula>
    </cfRule>
    <cfRule type="containsText" dxfId="114" priority="191" operator="containsText" text="600/300">
      <formula>NOT(ISERROR(SEARCH("600/300",AB21)))</formula>
    </cfRule>
    <cfRule type="containsText" dxfId="113" priority="192" operator="containsText" text="500/250">
      <formula>NOT(ISERROR(SEARCH("500/250",AB21)))</formula>
    </cfRule>
    <cfRule type="containsText" dxfId="112" priority="193" operator="containsText" text="500/200">
      <formula>NOT(ISERROR(SEARCH("500/200",AB21)))</formula>
    </cfRule>
  </conditionalFormatting>
  <conditionalFormatting sqref="Z26">
    <cfRule type="cellIs" dxfId="111" priority="171" operator="equal">
      <formula>40</formula>
    </cfRule>
    <cfRule type="cellIs" dxfId="110" priority="172" operator="equal">
      <formula>32</formula>
    </cfRule>
    <cfRule type="cellIs" dxfId="109" priority="173" operator="equal">
      <formula>25</formula>
    </cfRule>
    <cfRule type="cellIs" dxfId="108" priority="174" operator="equal">
      <formula>16</formula>
    </cfRule>
  </conditionalFormatting>
  <conditionalFormatting sqref="AB26">
    <cfRule type="containsText" dxfId="107" priority="162" operator="containsText" text="200*200*200/300*300">
      <formula>NOT(ISERROR(SEARCH("200*200*200/300*300",AB26)))</formula>
    </cfRule>
    <cfRule type="containsText" dxfId="106" priority="163" operator="containsText" text="200/300">
      <formula>NOT(ISERROR(SEARCH("200/300",AB26)))</formula>
    </cfRule>
    <cfRule type="containsText" dxfId="105" priority="164" operator="containsText" text="200*200*200/520">
      <formula>NOT(ISERROR(SEARCH("200*200*200/520",AB26)))</formula>
    </cfRule>
    <cfRule type="containsText" dxfId="104" priority="165" operator="containsText" text="250*250/500">
      <formula>NOT(ISERROR(SEARCH("250*250/500",AB26)))</formula>
    </cfRule>
    <cfRule type="containsText" dxfId="103" priority="166" operator="containsText" text="200*200/500">
      <formula>NOT(ISERROR(SEARCH("200*200/500",AB26)))</formula>
    </cfRule>
    <cfRule type="containsText" dxfId="102" priority="167" operator="containsText" text="200*200*200/560">
      <formula>NOT(ISERROR(SEARCH("200*200*200/560",AB26)))</formula>
    </cfRule>
    <cfRule type="containsText" dxfId="101" priority="168" operator="containsText" text="600/300">
      <formula>NOT(ISERROR(SEARCH("600/300",AB26)))</formula>
    </cfRule>
    <cfRule type="containsText" dxfId="100" priority="169" operator="containsText" text="500/250">
      <formula>NOT(ISERROR(SEARCH("500/250",AB26)))</formula>
    </cfRule>
    <cfRule type="containsText" dxfId="99" priority="170" operator="containsText" text="500/200">
      <formula>NOT(ISERROR(SEARCH("500/200",AB26)))</formula>
    </cfRule>
  </conditionalFormatting>
  <conditionalFormatting sqref="Z28">
    <cfRule type="cellIs" dxfId="98" priority="148" operator="equal">
      <formula>40</formula>
    </cfRule>
    <cfRule type="cellIs" dxfId="97" priority="149" operator="equal">
      <formula>32</formula>
    </cfRule>
    <cfRule type="cellIs" dxfId="96" priority="150" operator="equal">
      <formula>25</formula>
    </cfRule>
    <cfRule type="cellIs" dxfId="95" priority="151" operator="equal">
      <formula>16</formula>
    </cfRule>
  </conditionalFormatting>
  <conditionalFormatting sqref="AB28">
    <cfRule type="containsText" dxfId="94" priority="139" operator="containsText" text="200*200*200/300*300">
      <formula>NOT(ISERROR(SEARCH("200*200*200/300*300",AB28)))</formula>
    </cfRule>
    <cfRule type="containsText" dxfId="93" priority="140" operator="containsText" text="200/300">
      <formula>NOT(ISERROR(SEARCH("200/300",AB28)))</formula>
    </cfRule>
    <cfRule type="containsText" dxfId="92" priority="141" operator="containsText" text="200*200*200/520">
      <formula>NOT(ISERROR(SEARCH("200*200*200/520",AB28)))</formula>
    </cfRule>
    <cfRule type="containsText" dxfId="91" priority="142" operator="containsText" text="250*250/500">
      <formula>NOT(ISERROR(SEARCH("250*250/500",AB28)))</formula>
    </cfRule>
    <cfRule type="containsText" dxfId="90" priority="143" operator="containsText" text="200*200/500">
      <formula>NOT(ISERROR(SEARCH("200*200/500",AB28)))</formula>
    </cfRule>
    <cfRule type="containsText" dxfId="89" priority="144" operator="containsText" text="200*200*200/560">
      <formula>NOT(ISERROR(SEARCH("200*200*200/560",AB28)))</formula>
    </cfRule>
    <cfRule type="containsText" dxfId="88" priority="145" operator="containsText" text="600/300">
      <formula>NOT(ISERROR(SEARCH("600/300",AB28)))</formula>
    </cfRule>
    <cfRule type="containsText" dxfId="87" priority="146" operator="containsText" text="500/250">
      <formula>NOT(ISERROR(SEARCH("500/250",AB28)))</formula>
    </cfRule>
    <cfRule type="containsText" dxfId="86" priority="147" operator="containsText" text="500/200">
      <formula>NOT(ISERROR(SEARCH("500/200",AB28)))</formula>
    </cfRule>
  </conditionalFormatting>
  <conditionalFormatting sqref="AC33">
    <cfRule type="containsText" dxfId="85" priority="128" operator="containsText" text="13Ø25">
      <formula>NOT(ISERROR(SEARCH("13Ø25",AC33)))</formula>
    </cfRule>
    <cfRule type="containsText" dxfId="84" priority="129" operator="containsText" text="12Ø25">
      <formula>NOT(ISERROR(SEARCH("12Ø25",AC33)))</formula>
    </cfRule>
    <cfRule type="containsText" dxfId="83" priority="130" operator="containsText" text="10Ø20">
      <formula>NOT(ISERROR(SEARCH("10Ø20",AC33)))</formula>
    </cfRule>
    <cfRule type="containsText" dxfId="82" priority="131" operator="containsText" text="8Ø18">
      <formula>NOT(ISERROR(SEARCH("8Ø18",AC33)))</formula>
    </cfRule>
  </conditionalFormatting>
  <conditionalFormatting sqref="AD33">
    <cfRule type="containsText" dxfId="81" priority="125" operator="containsText" text="Ø8@200">
      <formula>NOT(ISERROR(SEARCH("Ø8@200",AD33)))</formula>
    </cfRule>
    <cfRule type="containsText" dxfId="80" priority="126" operator="containsText" text="Ø12@200">
      <formula>NOT(ISERROR(SEARCH("Ø12@200",AD33)))</formula>
    </cfRule>
    <cfRule type="containsText" dxfId="79" priority="127" operator="containsText" text="Ø8@250">
      <formula>NOT(ISERROR(SEARCH("Ø8@250",AD33)))</formula>
    </cfRule>
  </conditionalFormatting>
  <conditionalFormatting sqref="Z27">
    <cfRule type="cellIs" dxfId="78" priority="118" operator="equal">
      <formula>40</formula>
    </cfRule>
    <cfRule type="cellIs" dxfId="77" priority="119" operator="equal">
      <formula>32</formula>
    </cfRule>
    <cfRule type="cellIs" dxfId="76" priority="120" operator="equal">
      <formula>25</formula>
    </cfRule>
    <cfRule type="cellIs" dxfId="75" priority="121" operator="equal">
      <formula>16</formula>
    </cfRule>
  </conditionalFormatting>
  <conditionalFormatting sqref="AB27">
    <cfRule type="containsText" dxfId="74" priority="109" operator="containsText" text="200*200*200/300*300">
      <formula>NOT(ISERROR(SEARCH("200*200*200/300*300",AB27)))</formula>
    </cfRule>
    <cfRule type="containsText" dxfId="73" priority="110" operator="containsText" text="200/300">
      <formula>NOT(ISERROR(SEARCH("200/300",AB27)))</formula>
    </cfRule>
    <cfRule type="containsText" dxfId="72" priority="111" operator="containsText" text="200*200*200/520">
      <formula>NOT(ISERROR(SEARCH("200*200*200/520",AB27)))</formula>
    </cfRule>
    <cfRule type="containsText" dxfId="71" priority="112" operator="containsText" text="250*250/500">
      <formula>NOT(ISERROR(SEARCH("250*250/500",AB27)))</formula>
    </cfRule>
    <cfRule type="containsText" dxfId="70" priority="113" operator="containsText" text="200*200/500">
      <formula>NOT(ISERROR(SEARCH("200*200/500",AB27)))</formula>
    </cfRule>
    <cfRule type="containsText" dxfId="69" priority="114" operator="containsText" text="200*200*200/560">
      <formula>NOT(ISERROR(SEARCH("200*200*200/560",AB27)))</formula>
    </cfRule>
    <cfRule type="containsText" dxfId="68" priority="115" operator="containsText" text="600/300">
      <formula>NOT(ISERROR(SEARCH("600/300",AB27)))</formula>
    </cfRule>
    <cfRule type="containsText" dxfId="67" priority="116" operator="containsText" text="500/250">
      <formula>NOT(ISERROR(SEARCH("500/250",AB27)))</formula>
    </cfRule>
    <cfRule type="containsText" dxfId="66" priority="117" operator="containsText" text="500/200">
      <formula>NOT(ISERROR(SEARCH("500/200",AB27)))</formula>
    </cfRule>
  </conditionalFormatting>
  <conditionalFormatting sqref="AC21">
    <cfRule type="containsText" dxfId="65" priority="105" operator="containsText" text="13Ø25">
      <formula>NOT(ISERROR(SEARCH("13Ø25",AC21)))</formula>
    </cfRule>
    <cfRule type="containsText" dxfId="64" priority="106" operator="containsText" text="12Ø25">
      <formula>NOT(ISERROR(SEARCH("12Ø25",AC21)))</formula>
    </cfRule>
    <cfRule type="containsText" dxfId="63" priority="107" operator="containsText" text="10Ø20">
      <formula>NOT(ISERROR(SEARCH("10Ø20",AC21)))</formula>
    </cfRule>
    <cfRule type="containsText" dxfId="62" priority="108" operator="containsText" text="8Ø18">
      <formula>NOT(ISERROR(SEARCH("8Ø18",AC21)))</formula>
    </cfRule>
  </conditionalFormatting>
  <conditionalFormatting sqref="AD21">
    <cfRule type="containsText" dxfId="61" priority="102" operator="containsText" text="Ø8@200">
      <formula>NOT(ISERROR(SEARCH("Ø8@200",AD21)))</formula>
    </cfRule>
    <cfRule type="containsText" dxfId="60" priority="103" operator="containsText" text="Ø12@200">
      <formula>NOT(ISERROR(SEARCH("Ø12@200",AD21)))</formula>
    </cfRule>
    <cfRule type="containsText" dxfId="59" priority="104" operator="containsText" text="Ø8@250">
      <formula>NOT(ISERROR(SEARCH("Ø8@250",AD21)))</formula>
    </cfRule>
  </conditionalFormatting>
  <conditionalFormatting sqref="Z25">
    <cfRule type="cellIs" dxfId="58" priority="72" operator="equal">
      <formula>40</formula>
    </cfRule>
    <cfRule type="cellIs" dxfId="57" priority="73" operator="equal">
      <formula>32</formula>
    </cfRule>
    <cfRule type="cellIs" dxfId="56" priority="74" operator="equal">
      <formula>25</formula>
    </cfRule>
    <cfRule type="cellIs" dxfId="55" priority="75" operator="equal">
      <formula>16</formula>
    </cfRule>
  </conditionalFormatting>
  <conditionalFormatting sqref="AB25">
    <cfRule type="containsText" dxfId="54" priority="47" operator="containsText" text="200*200*200/300*300">
      <formula>NOT(ISERROR(SEARCH("200*200*200/300*300",AB25)))</formula>
    </cfRule>
    <cfRule type="containsText" dxfId="53" priority="48" operator="containsText" text="200/300">
      <formula>NOT(ISERROR(SEARCH("200/300",AB25)))</formula>
    </cfRule>
    <cfRule type="containsText" dxfId="52" priority="49" operator="containsText" text="200*200*200/520">
      <formula>NOT(ISERROR(SEARCH("200*200*200/520",AB25)))</formula>
    </cfRule>
    <cfRule type="containsText" dxfId="51" priority="50" operator="containsText" text="250*250/500">
      <formula>NOT(ISERROR(SEARCH("250*250/500",AB25)))</formula>
    </cfRule>
    <cfRule type="containsText" dxfId="50" priority="51" operator="containsText" text="200*200/500">
      <formula>NOT(ISERROR(SEARCH("200*200/500",AB25)))</formula>
    </cfRule>
    <cfRule type="containsText" dxfId="49" priority="52" operator="containsText" text="200*200*200/560">
      <formula>NOT(ISERROR(SEARCH("200*200*200/560",AB25)))</formula>
    </cfRule>
    <cfRule type="containsText" dxfId="48" priority="53" operator="containsText" text="600/300">
      <formula>NOT(ISERROR(SEARCH("600/300",AB25)))</formula>
    </cfRule>
    <cfRule type="containsText" dxfId="47" priority="54" operator="containsText" text="500/250">
      <formula>NOT(ISERROR(SEARCH("500/250",AB25)))</formula>
    </cfRule>
    <cfRule type="containsText" dxfId="46" priority="55" operator="containsText" text="500/200">
      <formula>NOT(ISERROR(SEARCH("500/200",AB25)))</formula>
    </cfRule>
  </conditionalFormatting>
  <conditionalFormatting sqref="M25:R25">
    <cfRule type="containsText" dxfId="45" priority="46" operator="containsText" text="N.D.">
      <formula>NOT(ISERROR(SEARCH("N.D.",M25)))</formula>
    </cfRule>
  </conditionalFormatting>
  <conditionalFormatting sqref="M64:R64">
    <cfRule type="containsText" dxfId="44" priority="45" operator="containsText" text="N.D.">
      <formula>NOT(ISERROR(SEARCH("N.D.",M64)))</formula>
    </cfRule>
  </conditionalFormatting>
  <conditionalFormatting sqref="AD25">
    <cfRule type="containsText" dxfId="43" priority="42" operator="containsText" text="Ø8@200">
      <formula>NOT(ISERROR(SEARCH("Ø8@200",AD25)))</formula>
    </cfRule>
    <cfRule type="containsText" dxfId="42" priority="43" operator="containsText" text="Ø12@200">
      <formula>NOT(ISERROR(SEARCH("Ø12@200",AD25)))</formula>
    </cfRule>
    <cfRule type="containsText" dxfId="41" priority="44" operator="containsText" text="Ø8@250">
      <formula>NOT(ISERROR(SEARCH("Ø8@250",AD25)))</formula>
    </cfRule>
  </conditionalFormatting>
  <conditionalFormatting sqref="AC25">
    <cfRule type="containsText" dxfId="40" priority="38" operator="containsText" text="13Ø25">
      <formula>NOT(ISERROR(SEARCH("13Ø25",AC25)))</formula>
    </cfRule>
    <cfRule type="containsText" dxfId="39" priority="39" operator="containsText" text="12Ø25">
      <formula>NOT(ISERROR(SEARCH("12Ø25",AC25)))</formula>
    </cfRule>
    <cfRule type="containsText" dxfId="38" priority="40" operator="containsText" text="10Ø20">
      <formula>NOT(ISERROR(SEARCH("10Ø20",AC25)))</formula>
    </cfRule>
    <cfRule type="containsText" dxfId="37" priority="41" operator="containsText" text="8Ø18">
      <formula>NOT(ISERROR(SEARCH("8Ø18",AC25)))</formula>
    </cfRule>
  </conditionalFormatting>
  <conditionalFormatting sqref="AD26">
    <cfRule type="containsText" dxfId="36" priority="35" operator="containsText" text="Ø8@200">
      <formula>NOT(ISERROR(SEARCH("Ø8@200",AD26)))</formula>
    </cfRule>
    <cfRule type="containsText" dxfId="35" priority="36" operator="containsText" text="Ø12@200">
      <formula>NOT(ISERROR(SEARCH("Ø12@200",AD26)))</formula>
    </cfRule>
    <cfRule type="containsText" dxfId="34" priority="37" operator="containsText" text="Ø8@250">
      <formula>NOT(ISERROR(SEARCH("Ø8@250",AD26)))</formula>
    </cfRule>
  </conditionalFormatting>
  <conditionalFormatting sqref="AC26">
    <cfRule type="containsText" dxfId="33" priority="31" operator="containsText" text="13Ø25">
      <formula>NOT(ISERROR(SEARCH("13Ø25",AC26)))</formula>
    </cfRule>
    <cfRule type="containsText" dxfId="32" priority="32" operator="containsText" text="12Ø25">
      <formula>NOT(ISERROR(SEARCH("12Ø25",AC26)))</formula>
    </cfRule>
    <cfRule type="containsText" dxfId="31" priority="33" operator="containsText" text="10Ø20">
      <formula>NOT(ISERROR(SEARCH("10Ø20",AC26)))</formula>
    </cfRule>
    <cfRule type="containsText" dxfId="30" priority="34" operator="containsText" text="8Ø18">
      <formula>NOT(ISERROR(SEARCH("8Ø18",AC26)))</formula>
    </cfRule>
  </conditionalFormatting>
  <conditionalFormatting sqref="Y25">
    <cfRule type="cellIs" dxfId="29" priority="28" operator="equal">
      <formula>0.75</formula>
    </cfRule>
    <cfRule type="cellIs" dxfId="28" priority="29" operator="equal">
      <formula>1.2</formula>
    </cfRule>
    <cfRule type="cellIs" dxfId="27" priority="30" operator="equal">
      <formula>1</formula>
    </cfRule>
  </conditionalFormatting>
  <conditionalFormatting sqref="Y26">
    <cfRule type="cellIs" dxfId="26" priority="25" operator="equal">
      <formula>0.75</formula>
    </cfRule>
    <cfRule type="cellIs" dxfId="25" priority="26" operator="equal">
      <formula>1.2</formula>
    </cfRule>
    <cfRule type="cellIs" dxfId="24" priority="27" operator="equal">
      <formula>1</formula>
    </cfRule>
  </conditionalFormatting>
  <conditionalFormatting sqref="AC16">
    <cfRule type="containsText" dxfId="23" priority="21" operator="containsText" text="13Ø25">
      <formula>NOT(ISERROR(SEARCH("13Ø25",AC16)))</formula>
    </cfRule>
    <cfRule type="containsText" dxfId="22" priority="22" operator="containsText" text="12Ø25">
      <formula>NOT(ISERROR(SEARCH("12Ø25",AC16)))</formula>
    </cfRule>
    <cfRule type="containsText" dxfId="21" priority="23" operator="containsText" text="10Ø20">
      <formula>NOT(ISERROR(SEARCH("10Ø20",AC16)))</formula>
    </cfRule>
    <cfRule type="containsText" dxfId="20" priority="24" operator="containsText" text="8Ø18">
      <formula>NOT(ISERROR(SEARCH("8Ø18",AC16)))</formula>
    </cfRule>
  </conditionalFormatting>
  <conditionalFormatting sqref="AD16">
    <cfRule type="containsText" dxfId="19" priority="18" operator="containsText" text="Ø8@200">
      <formula>NOT(ISERROR(SEARCH("Ø8@200",AD16)))</formula>
    </cfRule>
    <cfRule type="containsText" dxfId="18" priority="19" operator="containsText" text="Ø12@200">
      <formula>NOT(ISERROR(SEARCH("Ø12@200",AD16)))</formula>
    </cfRule>
    <cfRule type="containsText" dxfId="17" priority="20" operator="containsText" text="Ø8@250">
      <formula>NOT(ISERROR(SEARCH("Ø8@250",AD16)))</formula>
    </cfRule>
  </conditionalFormatting>
  <conditionalFormatting sqref="AD27">
    <cfRule type="containsText" dxfId="16" priority="15" operator="containsText" text="Ø8@200">
      <formula>NOT(ISERROR(SEARCH("Ø8@200",AD27)))</formula>
    </cfRule>
    <cfRule type="containsText" dxfId="15" priority="16" operator="containsText" text="Ø12@200">
      <formula>NOT(ISERROR(SEARCH("Ø12@200",AD27)))</formula>
    </cfRule>
    <cfRule type="containsText" dxfId="14" priority="17" operator="containsText" text="Ø8@250">
      <formula>NOT(ISERROR(SEARCH("Ø8@250",AD27)))</formula>
    </cfRule>
  </conditionalFormatting>
  <conditionalFormatting sqref="AC27">
    <cfRule type="containsText" dxfId="13" priority="11" operator="containsText" text="13Ø25">
      <formula>NOT(ISERROR(SEARCH("13Ø25",AC27)))</formula>
    </cfRule>
    <cfRule type="containsText" dxfId="12" priority="12" operator="containsText" text="12Ø25">
      <formula>NOT(ISERROR(SEARCH("12Ø25",AC27)))</formula>
    </cfRule>
    <cfRule type="containsText" dxfId="11" priority="13" operator="containsText" text="10Ø20">
      <formula>NOT(ISERROR(SEARCH("10Ø20",AC27)))</formula>
    </cfRule>
    <cfRule type="containsText" dxfId="10" priority="14" operator="containsText" text="8Ø18">
      <formula>NOT(ISERROR(SEARCH("8Ø18",AC27)))</formula>
    </cfRule>
  </conditionalFormatting>
  <conditionalFormatting sqref="AD28">
    <cfRule type="containsText" dxfId="9" priority="8" operator="containsText" text="Ø8@200">
      <formula>NOT(ISERROR(SEARCH("Ø8@200",AD28)))</formula>
    </cfRule>
    <cfRule type="containsText" dxfId="8" priority="9" operator="containsText" text="Ø12@200">
      <formula>NOT(ISERROR(SEARCH("Ø12@200",AD28)))</formula>
    </cfRule>
    <cfRule type="containsText" dxfId="7" priority="10" operator="containsText" text="Ø8@250">
      <formula>NOT(ISERROR(SEARCH("Ø8@250",AD28)))</formula>
    </cfRule>
  </conditionalFormatting>
  <conditionalFormatting sqref="AC28">
    <cfRule type="containsText" dxfId="6" priority="4" operator="containsText" text="13Ø25">
      <formula>NOT(ISERROR(SEARCH("13Ø25",AC28)))</formula>
    </cfRule>
    <cfRule type="containsText" dxfId="5" priority="5" operator="containsText" text="12Ø25">
      <formula>NOT(ISERROR(SEARCH("12Ø25",AC28)))</formula>
    </cfRule>
    <cfRule type="containsText" dxfId="4" priority="6" operator="containsText" text="10Ø20">
      <formula>NOT(ISERROR(SEARCH("10Ø20",AC28)))</formula>
    </cfRule>
    <cfRule type="containsText" dxfId="3" priority="7" operator="containsText" text="8Ø18">
      <formula>NOT(ISERROR(SEARCH("8Ø18",AC28)))</formula>
    </cfRule>
  </conditionalFormatting>
  <conditionalFormatting sqref="Y27:Y28">
    <cfRule type="cellIs" dxfId="2" priority="1" operator="equal">
      <formula>0.75</formula>
    </cfRule>
    <cfRule type="cellIs" dxfId="1" priority="2" operator="equal">
      <formula>1.2</formula>
    </cfRule>
    <cfRule type="cellIs" dxfId="0" priority="3" operator="equal">
      <formula>1</formula>
    </cfRule>
  </conditionalFormatting>
  <pageMargins left="0.7" right="0.7" top="0.75" bottom="0.75" header="0.3" footer="0.3"/>
  <pageSetup paperSize="9" scale="23"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Hoja3"/>
  <dimension ref="B4:K27"/>
  <sheetViews>
    <sheetView workbookViewId="0">
      <selection activeCell="A167" sqref="A167:XFD167"/>
    </sheetView>
  </sheetViews>
  <sheetFormatPr baseColWidth="10" defaultColWidth="11.453125" defaultRowHeight="12.5"/>
  <cols>
    <col min="2" max="2" width="23.453125" style="149" customWidth="1"/>
    <col min="3" max="3" width="10.90625" style="478"/>
    <col min="4" max="4" width="10.90625" style="480"/>
    <col min="5" max="5" width="10.90625" style="149"/>
    <col min="6" max="6" width="12.54296875" style="149" bestFit="1" customWidth="1"/>
    <col min="7" max="7" width="17.54296875" style="149" bestFit="1" customWidth="1"/>
    <col min="8" max="8" width="10.90625" style="149"/>
    <col min="9" max="9" width="10.90625" style="480"/>
    <col min="10" max="11" width="10.90625" style="149"/>
  </cols>
  <sheetData>
    <row r="4" spans="2:9" ht="13" thickBot="1"/>
    <row r="5" spans="2:9" ht="13" thickBot="1">
      <c r="B5" s="476" t="s">
        <v>2314</v>
      </c>
      <c r="C5" s="479" t="s">
        <v>2315</v>
      </c>
      <c r="D5" s="481" t="s">
        <v>2316</v>
      </c>
      <c r="E5" s="477" t="s">
        <v>2317</v>
      </c>
      <c r="F5" s="477" t="s">
        <v>2318</v>
      </c>
      <c r="G5" s="477" t="s">
        <v>2319</v>
      </c>
      <c r="H5" s="477" t="s">
        <v>2320</v>
      </c>
      <c r="I5" s="483" t="s">
        <v>2321</v>
      </c>
    </row>
    <row r="6" spans="2:9">
      <c r="D6" s="482" t="s">
        <v>170</v>
      </c>
      <c r="E6" s="178" t="s">
        <v>170</v>
      </c>
      <c r="F6" s="178" t="s">
        <v>170</v>
      </c>
      <c r="G6" s="178" t="s">
        <v>170</v>
      </c>
      <c r="H6" s="178" t="s">
        <v>170</v>
      </c>
      <c r="I6" s="482" t="s">
        <v>170</v>
      </c>
    </row>
    <row r="7" spans="2:9">
      <c r="B7" s="149" t="s">
        <v>1851</v>
      </c>
      <c r="C7" s="478">
        <v>93439</v>
      </c>
      <c r="D7" s="480">
        <v>10.69</v>
      </c>
      <c r="E7" s="149">
        <v>4.851</v>
      </c>
      <c r="F7" s="149">
        <v>0.27</v>
      </c>
      <c r="G7" s="480">
        <f>(D7-E7)-$F$7</f>
        <v>5.5689999999999991</v>
      </c>
      <c r="H7" s="149">
        <v>5.15</v>
      </c>
      <c r="I7" s="480">
        <f>G7-H7</f>
        <v>0.41899999999999871</v>
      </c>
    </row>
    <row r="8" spans="2:9">
      <c r="B8" s="149" t="s">
        <v>1851</v>
      </c>
      <c r="C8" s="478">
        <v>93560</v>
      </c>
      <c r="D8" s="480">
        <v>10.7</v>
      </c>
      <c r="E8" s="149">
        <v>4.6749999999999998</v>
      </c>
      <c r="G8" s="480">
        <f t="shared" ref="G8:G16" si="0">(D8-E8)-$F$7</f>
        <v>5.754999999999999</v>
      </c>
      <c r="H8" s="149">
        <v>5.15</v>
      </c>
      <c r="I8" s="480">
        <f t="shared" ref="I8:I16" si="1">G8-H8</f>
        <v>0.60499999999999865</v>
      </c>
    </row>
    <row r="9" spans="2:9">
      <c r="B9" s="149" t="s">
        <v>1851</v>
      </c>
      <c r="C9" s="478">
        <v>94200</v>
      </c>
      <c r="D9" s="480">
        <v>11.14</v>
      </c>
      <c r="E9" s="149">
        <v>5.266</v>
      </c>
      <c r="G9" s="480">
        <f t="shared" si="0"/>
        <v>5.604000000000001</v>
      </c>
      <c r="H9" s="149">
        <v>5.15</v>
      </c>
      <c r="I9" s="480">
        <f t="shared" si="1"/>
        <v>0.45400000000000063</v>
      </c>
    </row>
    <row r="10" spans="2:9">
      <c r="G10" s="480"/>
    </row>
    <row r="11" spans="2:9">
      <c r="B11" s="178" t="s">
        <v>2322</v>
      </c>
      <c r="C11" s="478">
        <v>94460</v>
      </c>
      <c r="G11" s="480">
        <v>6.04</v>
      </c>
      <c r="H11" s="149">
        <v>5.15</v>
      </c>
      <c r="I11" s="480">
        <f t="shared" si="1"/>
        <v>0.88999999999999968</v>
      </c>
    </row>
    <row r="12" spans="2:9">
      <c r="B12" s="149" t="s">
        <v>1851</v>
      </c>
      <c r="C12" s="478">
        <v>94520</v>
      </c>
      <c r="D12" s="480">
        <v>12</v>
      </c>
      <c r="E12" s="149">
        <v>5.7030000000000003</v>
      </c>
      <c r="G12" s="480">
        <f t="shared" si="0"/>
        <v>6.0269999999999992</v>
      </c>
      <c r="H12" s="149">
        <v>5.15</v>
      </c>
      <c r="I12" s="480">
        <f t="shared" si="1"/>
        <v>0.87699999999999889</v>
      </c>
    </row>
    <row r="13" spans="2:9">
      <c r="B13" s="178" t="s">
        <v>2323</v>
      </c>
      <c r="C13" s="478">
        <v>94600</v>
      </c>
      <c r="G13" s="480">
        <v>6.06</v>
      </c>
      <c r="H13" s="149">
        <v>5.15</v>
      </c>
      <c r="I13" s="480">
        <f t="shared" si="1"/>
        <v>0.90999999999999925</v>
      </c>
    </row>
    <row r="14" spans="2:9">
      <c r="G14" s="480"/>
    </row>
    <row r="15" spans="2:9">
      <c r="B15" s="149" t="s">
        <v>1851</v>
      </c>
      <c r="C15" s="478">
        <v>94533</v>
      </c>
      <c r="D15" s="480">
        <v>14.41</v>
      </c>
      <c r="E15" s="149">
        <v>7.9859999999999998</v>
      </c>
      <c r="G15" s="480">
        <f t="shared" si="0"/>
        <v>6.1539999999999999</v>
      </c>
      <c r="H15" s="149">
        <v>5.15</v>
      </c>
      <c r="I15" s="480">
        <f t="shared" si="1"/>
        <v>1.0039999999999996</v>
      </c>
    </row>
    <row r="16" spans="2:9">
      <c r="B16" s="149" t="s">
        <v>1851</v>
      </c>
      <c r="C16" s="478">
        <v>96244</v>
      </c>
      <c r="D16" s="480">
        <v>16.27</v>
      </c>
      <c r="E16" s="149">
        <v>10.220000000000001</v>
      </c>
      <c r="G16" s="480">
        <f t="shared" si="0"/>
        <v>5.7799999999999994</v>
      </c>
      <c r="H16" s="149">
        <v>5.15</v>
      </c>
      <c r="I16" s="480">
        <f t="shared" si="1"/>
        <v>0.62999999999999901</v>
      </c>
    </row>
    <row r="17" spans="7:7">
      <c r="G17" s="480"/>
    </row>
    <row r="18" spans="7:7">
      <c r="G18" s="480"/>
    </row>
    <row r="19" spans="7:7">
      <c r="G19" s="480"/>
    </row>
    <row r="20" spans="7:7">
      <c r="G20" s="480"/>
    </row>
    <row r="21" spans="7:7">
      <c r="G21" s="480"/>
    </row>
    <row r="22" spans="7:7">
      <c r="G22" s="480"/>
    </row>
    <row r="23" spans="7:7">
      <c r="G23" s="480"/>
    </row>
    <row r="24" spans="7:7">
      <c r="G24" s="480"/>
    </row>
    <row r="25" spans="7:7">
      <c r="G25" s="480"/>
    </row>
    <row r="26" spans="7:7">
      <c r="G26" s="480"/>
    </row>
    <row r="27" spans="7:7">
      <c r="G27" s="480"/>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Hoja1">
    <pageSetUpPr fitToPage="1"/>
  </sheetPr>
  <dimension ref="B2:D47"/>
  <sheetViews>
    <sheetView workbookViewId="0">
      <selection activeCell="A167" sqref="A167:XFD167"/>
    </sheetView>
  </sheetViews>
  <sheetFormatPr baseColWidth="10" defaultColWidth="11.453125" defaultRowHeight="13"/>
  <cols>
    <col min="1" max="1" width="2" style="3" customWidth="1"/>
    <col min="2" max="2" width="44" style="3" customWidth="1"/>
    <col min="3" max="4" width="20.90625" style="11" customWidth="1"/>
    <col min="5" max="16384" width="11.453125" style="3"/>
  </cols>
  <sheetData>
    <row r="2" spans="2:4">
      <c r="B2" s="36" t="s">
        <v>1045</v>
      </c>
      <c r="C2" s="4"/>
      <c r="D2" s="4"/>
    </row>
    <row r="3" spans="2:4">
      <c r="B3" s="5"/>
      <c r="C3" s="4"/>
      <c r="D3" s="4"/>
    </row>
    <row r="4" spans="2:4">
      <c r="B4" s="20"/>
      <c r="C4" s="6" t="s">
        <v>56</v>
      </c>
      <c r="D4" s="29" t="s">
        <v>55</v>
      </c>
    </row>
    <row r="5" spans="2:4">
      <c r="B5" s="21" t="s">
        <v>207</v>
      </c>
      <c r="C5" s="14">
        <f>607*2</f>
        <v>1214</v>
      </c>
      <c r="D5" s="35"/>
    </row>
    <row r="6" spans="2:4">
      <c r="B6" s="18"/>
      <c r="C6" s="7"/>
      <c r="D6" s="30"/>
    </row>
    <row r="7" spans="2:4">
      <c r="B7" s="22" t="s">
        <v>208</v>
      </c>
      <c r="C7" s="7" t="e">
        <f>SUM(#REF!)</f>
        <v>#REF!</v>
      </c>
      <c r="D7" s="30"/>
    </row>
    <row r="8" spans="2:4">
      <c r="B8" s="22" t="s">
        <v>209</v>
      </c>
      <c r="C8" s="7" t="e">
        <f>+#REF!</f>
        <v>#REF!</v>
      </c>
      <c r="D8" s="30"/>
    </row>
    <row r="9" spans="2:4">
      <c r="B9" s="22"/>
      <c r="C9" s="7"/>
      <c r="D9" s="30"/>
    </row>
    <row r="10" spans="2:4" ht="12.75" customHeight="1">
      <c r="B10" s="21" t="s">
        <v>61</v>
      </c>
      <c r="C10" s="12" t="e">
        <f>SUM(C7:C8)</f>
        <v>#REF!</v>
      </c>
      <c r="D10" s="12"/>
    </row>
    <row r="11" spans="2:4" ht="15" customHeight="1">
      <c r="B11" s="22"/>
      <c r="C11" s="7"/>
      <c r="D11" s="30"/>
    </row>
    <row r="12" spans="2:4" ht="15" customHeight="1">
      <c r="B12" s="22" t="s">
        <v>210</v>
      </c>
      <c r="C12" s="7" t="e">
        <f>SUM(#REF!)</f>
        <v>#REF!</v>
      </c>
      <c r="D12" s="30"/>
    </row>
    <row r="13" spans="2:4">
      <c r="B13" s="23" t="s">
        <v>63</v>
      </c>
      <c r="C13" s="15"/>
      <c r="D13" s="30"/>
    </row>
    <row r="14" spans="2:4">
      <c r="B14" s="22" t="s">
        <v>211</v>
      </c>
      <c r="C14" s="7" t="e">
        <f>#REF!</f>
        <v>#REF!</v>
      </c>
      <c r="D14" s="30"/>
    </row>
    <row r="15" spans="2:4">
      <c r="B15" s="22" t="s">
        <v>212</v>
      </c>
      <c r="C15" s="7" t="e">
        <f>#REF!</f>
        <v>#REF!</v>
      </c>
      <c r="D15" s="30"/>
    </row>
    <row r="16" spans="2:4">
      <c r="B16" s="22" t="s">
        <v>213</v>
      </c>
      <c r="C16" s="7" t="e">
        <f>#REF!</f>
        <v>#REF!</v>
      </c>
      <c r="D16" s="30"/>
    </row>
    <row r="17" spans="2:4">
      <c r="B17" s="22" t="s">
        <v>60</v>
      </c>
      <c r="C17" s="7" t="e">
        <f>#REF!</f>
        <v>#REF!</v>
      </c>
      <c r="D17" s="30"/>
    </row>
    <row r="18" spans="2:4">
      <c r="B18" s="22"/>
      <c r="C18" s="7"/>
      <c r="D18" s="30"/>
    </row>
    <row r="19" spans="2:4">
      <c r="B19" s="21" t="s">
        <v>62</v>
      </c>
      <c r="C19" s="12" t="e">
        <f>SUM(C12:C18)</f>
        <v>#REF!</v>
      </c>
      <c r="D19" s="12"/>
    </row>
    <row r="20" spans="2:4">
      <c r="B20" s="24"/>
      <c r="C20" s="7"/>
      <c r="D20" s="30"/>
    </row>
    <row r="21" spans="2:4">
      <c r="B21" s="129" t="s">
        <v>1363</v>
      </c>
      <c r="C21" s="7" t="e">
        <f>+SUM(#REF!)</f>
        <v>#REF!</v>
      </c>
      <c r="D21" s="30"/>
    </row>
    <row r="22" spans="2:4">
      <c r="B22" s="22"/>
      <c r="C22" s="7"/>
      <c r="D22" s="30"/>
    </row>
    <row r="23" spans="2:4">
      <c r="B23" s="18"/>
      <c r="C23" s="7"/>
      <c r="D23" s="30"/>
    </row>
    <row r="24" spans="2:4">
      <c r="B24" s="21" t="s">
        <v>214</v>
      </c>
      <c r="C24" s="12" t="e">
        <f>+SUM(#REF!)</f>
        <v>#REF!</v>
      </c>
      <c r="D24" s="31"/>
    </row>
    <row r="25" spans="2:4">
      <c r="B25" s="24"/>
      <c r="C25" s="7"/>
      <c r="D25" s="30"/>
    </row>
    <row r="26" spans="2:4">
      <c r="B26" s="25" t="s">
        <v>215</v>
      </c>
      <c r="C26" s="9" t="e">
        <f>+C24/C5</f>
        <v>#REF!</v>
      </c>
      <c r="D26" s="32"/>
    </row>
    <row r="27" spans="2:4">
      <c r="B27" s="18"/>
      <c r="C27" s="7"/>
      <c r="D27" s="30"/>
    </row>
    <row r="28" spans="2:4">
      <c r="B28" s="21" t="s">
        <v>375</v>
      </c>
      <c r="C28" s="12"/>
      <c r="D28" s="31"/>
    </row>
    <row r="29" spans="2:4">
      <c r="B29" s="18"/>
      <c r="C29" s="7"/>
      <c r="D29" s="30"/>
    </row>
    <row r="30" spans="2:4">
      <c r="B30" s="24" t="s">
        <v>216</v>
      </c>
      <c r="C30" s="125" t="e">
        <f>#REF!</f>
        <v>#REF!</v>
      </c>
      <c r="D30" s="16"/>
    </row>
    <row r="31" spans="2:4">
      <c r="B31" s="24" t="s">
        <v>217</v>
      </c>
      <c r="C31" s="125" t="e">
        <f>#REF!-C32</f>
        <v>#REF!</v>
      </c>
      <c r="D31" s="16"/>
    </row>
    <row r="32" spans="2:4">
      <c r="B32" s="24" t="s">
        <v>66</v>
      </c>
      <c r="C32" s="125">
        <f>(37-18)*2*2</f>
        <v>76</v>
      </c>
      <c r="D32" s="16"/>
    </row>
    <row r="33" spans="2:4">
      <c r="B33" s="24" t="s">
        <v>218</v>
      </c>
      <c r="C33" s="17" t="e">
        <f>#REF!</f>
        <v>#REF!</v>
      </c>
      <c r="D33" s="16"/>
    </row>
    <row r="34" spans="2:4" ht="9" customHeight="1">
      <c r="B34" s="18"/>
      <c r="C34" s="10"/>
      <c r="D34" s="19"/>
    </row>
    <row r="35" spans="2:4">
      <c r="B35" s="26" t="s">
        <v>219</v>
      </c>
      <c r="C35" s="13" t="e">
        <f>+C30/C28*1000</f>
        <v>#REF!</v>
      </c>
      <c r="D35" s="33"/>
    </row>
    <row r="36" spans="2:4">
      <c r="B36" s="18"/>
      <c r="C36" s="10"/>
      <c r="D36" s="19"/>
    </row>
    <row r="37" spans="2:4">
      <c r="B37" s="21" t="s">
        <v>220</v>
      </c>
      <c r="C37" s="8"/>
      <c r="D37" s="34"/>
    </row>
    <row r="38" spans="2:4">
      <c r="B38" s="22" t="s">
        <v>221</v>
      </c>
      <c r="C38" s="12" t="e">
        <f>SUM(#REF!)</f>
        <v>#REF!</v>
      </c>
      <c r="D38" s="31"/>
    </row>
    <row r="39" spans="2:4">
      <c r="B39" s="27" t="s">
        <v>222</v>
      </c>
      <c r="C39" s="7"/>
      <c r="D39" s="30"/>
    </row>
    <row r="40" spans="2:4">
      <c r="B40" s="22" t="s">
        <v>223</v>
      </c>
      <c r="C40" s="7" t="e">
        <f>#REF!</f>
        <v>#REF!</v>
      </c>
      <c r="D40" s="30"/>
    </row>
    <row r="41" spans="2:4">
      <c r="B41" s="22" t="s">
        <v>224</v>
      </c>
      <c r="C41" s="7" t="e">
        <f>#REF!</f>
        <v>#REF!</v>
      </c>
      <c r="D41" s="30"/>
    </row>
    <row r="42" spans="2:4">
      <c r="B42" s="23" t="s">
        <v>376</v>
      </c>
      <c r="C42" s="7"/>
      <c r="D42" s="30"/>
    </row>
    <row r="43" spans="2:4">
      <c r="B43" s="22" t="s">
        <v>225</v>
      </c>
      <c r="C43" s="7" t="e">
        <f>#REF!</f>
        <v>#REF!</v>
      </c>
      <c r="D43" s="30"/>
    </row>
    <row r="44" spans="2:4">
      <c r="B44" s="22" t="s">
        <v>67</v>
      </c>
      <c r="C44" s="7" t="e">
        <f>#REF!</f>
        <v>#REF!</v>
      </c>
      <c r="D44" s="30"/>
    </row>
    <row r="45" spans="2:4">
      <c r="B45" s="22" t="s">
        <v>68</v>
      </c>
      <c r="C45" s="7"/>
      <c r="D45" s="30"/>
    </row>
    <row r="46" spans="2:4">
      <c r="B46" s="28" t="s">
        <v>226</v>
      </c>
      <c r="C46" s="7"/>
      <c r="D46" s="30"/>
    </row>
    <row r="47" spans="2:4">
      <c r="B47" s="28" t="s">
        <v>227</v>
      </c>
      <c r="C47" s="14" t="e">
        <f>+SUM(C40:C41)+C43*2+SUM(C44:C46)*2-C42</f>
        <v>#REF!</v>
      </c>
      <c r="D47" s="14"/>
    </row>
  </sheetData>
  <phoneticPr fontId="0" type="noConversion"/>
  <printOptions horizontalCentered="1"/>
  <pageMargins left="0.78740157480314965" right="0.78740157480314965" top="0.35433070866141736" bottom="0.78740157480314965" header="0" footer="0"/>
  <pageSetup paperSize="9" scale="86" orientation="landscape"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Hoja11"/>
  <dimension ref="B1:AL88"/>
  <sheetViews>
    <sheetView zoomScale="70" zoomScaleNormal="70" workbookViewId="0">
      <selection activeCell="A167" sqref="A167:XFD167"/>
    </sheetView>
  </sheetViews>
  <sheetFormatPr baseColWidth="10" defaultColWidth="11.453125" defaultRowHeight="12.5"/>
  <cols>
    <col min="1" max="1" width="3.54296875" customWidth="1"/>
    <col min="2" max="2" width="11.453125" style="38" customWidth="1"/>
    <col min="3" max="3" width="4.54296875" style="38" customWidth="1"/>
    <col min="4" max="4" width="10.453125" style="38" customWidth="1"/>
    <col min="5" max="5" width="11.453125" style="766" customWidth="1"/>
    <col min="6" max="10" width="10.54296875" style="766" customWidth="1"/>
    <col min="11" max="11" width="10.54296875" style="149" customWidth="1"/>
    <col min="12" max="14" width="10.54296875" style="766" customWidth="1"/>
    <col min="15" max="35" width="10.54296875" style="149" customWidth="1"/>
    <col min="36" max="37" width="11.6328125" style="149" customWidth="1"/>
    <col min="38" max="38" width="37.08984375" bestFit="1" customWidth="1"/>
  </cols>
  <sheetData>
    <row r="1" spans="2:38">
      <c r="B1" s="151"/>
      <c r="C1" s="151"/>
      <c r="D1" s="151"/>
      <c r="E1" s="553"/>
      <c r="F1" s="553"/>
      <c r="G1" s="553"/>
      <c r="H1" s="553"/>
      <c r="I1" s="553"/>
      <c r="J1" s="553"/>
      <c r="K1" s="765"/>
      <c r="L1" s="553"/>
      <c r="M1" s="553"/>
      <c r="N1" s="553"/>
      <c r="O1" s="765"/>
      <c r="P1" s="553"/>
      <c r="Q1" s="553"/>
      <c r="R1" s="553"/>
    </row>
    <row r="2" spans="2:38" ht="30" customHeight="1">
      <c r="B2" s="1692" t="s">
        <v>2498</v>
      </c>
      <c r="C2" s="1693"/>
      <c r="D2" s="1694"/>
      <c r="E2" s="554" t="s">
        <v>197</v>
      </c>
      <c r="F2" s="548" t="s">
        <v>2484</v>
      </c>
      <c r="G2" s="548" t="s">
        <v>2485</v>
      </c>
      <c r="H2" s="548" t="s">
        <v>4075</v>
      </c>
      <c r="I2" s="548" t="s">
        <v>4076</v>
      </c>
      <c r="J2" s="532" t="s">
        <v>2436</v>
      </c>
      <c r="K2" s="532" t="s">
        <v>2437</v>
      </c>
      <c r="L2" s="532" t="s">
        <v>2438</v>
      </c>
      <c r="M2" s="532" t="s">
        <v>2439</v>
      </c>
      <c r="N2" s="532" t="s">
        <v>2440</v>
      </c>
      <c r="O2" s="532" t="s">
        <v>2441</v>
      </c>
      <c r="P2" s="549" t="s">
        <v>2486</v>
      </c>
      <c r="Q2" s="549" t="s">
        <v>2487</v>
      </c>
      <c r="R2" s="549" t="s">
        <v>2488</v>
      </c>
      <c r="S2" s="549" t="s">
        <v>2489</v>
      </c>
      <c r="T2" s="549" t="s">
        <v>4077</v>
      </c>
      <c r="U2" s="743" t="s">
        <v>4078</v>
      </c>
      <c r="V2" s="743" t="s">
        <v>4079</v>
      </c>
      <c r="W2" s="743" t="s">
        <v>4080</v>
      </c>
      <c r="X2" s="550" t="s">
        <v>2490</v>
      </c>
      <c r="Y2" s="550" t="s">
        <v>2491</v>
      </c>
      <c r="Z2" s="550" t="s">
        <v>2492</v>
      </c>
      <c r="AA2" s="534" t="s">
        <v>2447</v>
      </c>
      <c r="AB2" s="534" t="s">
        <v>2448</v>
      </c>
      <c r="AC2" s="534" t="s">
        <v>2450</v>
      </c>
      <c r="AD2" s="534" t="s">
        <v>2451</v>
      </c>
      <c r="AE2" s="534" t="s">
        <v>2452</v>
      </c>
      <c r="AF2" s="534" t="s">
        <v>2411</v>
      </c>
      <c r="AG2" s="551" t="s">
        <v>2493</v>
      </c>
      <c r="AH2" s="551" t="s">
        <v>2494</v>
      </c>
      <c r="AI2" s="551" t="s">
        <v>2495</v>
      </c>
      <c r="AJ2" s="552" t="s">
        <v>2496</v>
      </c>
      <c r="AK2" s="552" t="s">
        <v>2497</v>
      </c>
      <c r="AL2" s="562" t="s">
        <v>2502</v>
      </c>
    </row>
    <row r="3" spans="2:38" ht="12.9" customHeight="1">
      <c r="B3" s="1696" t="s">
        <v>1401</v>
      </c>
      <c r="C3" s="1696"/>
      <c r="D3" s="760" t="s">
        <v>1405</v>
      </c>
      <c r="E3" s="553">
        <f>SUM(F3:AK3)</f>
        <v>284</v>
      </c>
      <c r="F3" s="553">
        <f>COUNTIF(Area_v1RISHER,$D3)</f>
        <v>27</v>
      </c>
      <c r="G3" s="553">
        <f>COUNTIF(Area_v2RISHER,$D3)</f>
        <v>26</v>
      </c>
      <c r="H3" s="553">
        <f>COUNTIF(Area_v1RAANHER,$D3)</f>
        <v>20</v>
      </c>
      <c r="I3" s="553">
        <f>COUNTIF(Area_v2RAANHER,$D3)</f>
        <v>22</v>
      </c>
      <c r="J3" s="553">
        <f>COUNTIF(Area_v1HER,$D3)</f>
        <v>24</v>
      </c>
      <c r="K3" s="765">
        <f>COUNTIF(Area_v2HER,$D3)</f>
        <v>22</v>
      </c>
      <c r="L3" s="553">
        <f>COUNTIF(Area_v3HER,$D3)</f>
        <v>17</v>
      </c>
      <c r="M3" s="553">
        <f>COUNTIF(Area_v4HER,$D3)</f>
        <v>23</v>
      </c>
      <c r="N3" s="553">
        <f>COUNTIF(Area_v5HER,$D3)</f>
        <v>20</v>
      </c>
      <c r="O3" s="765">
        <f>COUNTIF(Area_v6HER,$D3)</f>
        <v>23</v>
      </c>
      <c r="P3" s="553">
        <f>COUNTIF(Area_v1HERTSA,$D3)</f>
        <v>1</v>
      </c>
      <c r="Q3" s="553">
        <f>COUNTIF(Area_v2HERTSA,$D3)</f>
        <v>12</v>
      </c>
      <c r="R3" s="553">
        <f>COUNTIF(Area_v3HERTSA,$D3)</f>
        <v>19</v>
      </c>
      <c r="S3" s="149">
        <f>COUNTIF(Area_v4HERTSA,$D3)</f>
        <v>4</v>
      </c>
      <c r="T3" s="149">
        <f>COUNTIF(Area_v5HERTSA,$D3)</f>
        <v>0</v>
      </c>
      <c r="U3" s="149">
        <f>COUNTIF(Area_v5BBRHER,$D3)</f>
        <v>0</v>
      </c>
      <c r="V3" s="149">
        <f>COUNTIF(Area_v1BBRTUN,$D3)</f>
        <v>2</v>
      </c>
      <c r="W3" s="149">
        <f>COUNTIF(Area_v2BBRTUN,$D3)</f>
        <v>4</v>
      </c>
      <c r="X3" s="149">
        <f>COUNTIF(Area_v51HERTSA,$D3)</f>
        <v>0</v>
      </c>
      <c r="Y3" s="149">
        <f>COUNTIF(Area_v52HERTSA,$D3)</f>
        <v>0</v>
      </c>
      <c r="Z3" s="149">
        <f>COUNTIF(Area_v53HERTSA,$D3)</f>
        <v>0</v>
      </c>
      <c r="AA3" s="149">
        <f>COUNTIF(Area_v1TSA,$D3)</f>
        <v>0</v>
      </c>
      <c r="AB3" s="149">
        <f>COUNTIF(Area_v2TSA,$D3)</f>
        <v>0</v>
      </c>
      <c r="AC3" s="149">
        <f>COUNTIF(Area_v3TSA,$D3)</f>
        <v>0</v>
      </c>
      <c r="AD3" s="149">
        <f>COUNTIF(Area_v4TSA,$D3)</f>
        <v>0</v>
      </c>
      <c r="AE3" s="149">
        <f>COUNTIF(Area_v5TSA,$D3)</f>
        <v>0</v>
      </c>
      <c r="AF3" s="149">
        <f>COUNTIF(Area_v6TSA,$D3)</f>
        <v>0</v>
      </c>
      <c r="AG3" s="149">
        <f>COUNTIF(Area_v1TSATHA,$D3)</f>
        <v>0</v>
      </c>
      <c r="AH3" s="149">
        <f>COUNTIF(Area_v2TSATHA,$D3)</f>
        <v>0</v>
      </c>
      <c r="AI3" s="149">
        <f>COUNTIF(Area_v3TSATHA,$D3)</f>
        <v>0</v>
      </c>
      <c r="AJ3" s="149">
        <f>COUNTIF(Area_v4THAHOLON,$D3)</f>
        <v>10</v>
      </c>
      <c r="AK3" s="149">
        <f>COUNTIF(Area_v5THAHOLON,$D3)</f>
        <v>8</v>
      </c>
    </row>
    <row r="4" spans="2:38">
      <c r="B4" s="1696" t="s">
        <v>1403</v>
      </c>
      <c r="C4" s="1696"/>
      <c r="D4" s="760" t="s">
        <v>1383</v>
      </c>
      <c r="E4" s="553">
        <f t="shared" ref="E4:E10" si="0">SUM(F4:AK4)</f>
        <v>209</v>
      </c>
      <c r="F4" s="553">
        <f>COUNTIF(Area_v1RISHER,$D4)</f>
        <v>24</v>
      </c>
      <c r="G4" s="553">
        <f>COUNTIF(Area_v2RISHER,$D4)</f>
        <v>25</v>
      </c>
      <c r="H4" s="553">
        <f>COUNTIF(Area_v1RAANHER,$D4)</f>
        <v>13</v>
      </c>
      <c r="I4" s="553">
        <f>COUNTIF(Area_v2RAANHER,$D4)</f>
        <v>11</v>
      </c>
      <c r="J4" s="553">
        <f>COUNTIF(Area_v1HER,$D4)</f>
        <v>4</v>
      </c>
      <c r="K4" s="765">
        <f>COUNTIF(Area_v2HER,$D4)</f>
        <v>5</v>
      </c>
      <c r="L4" s="553">
        <f>COUNTIF(Area_v3HER,$D4)</f>
        <v>4</v>
      </c>
      <c r="M4" s="553">
        <f>COUNTIF(Area_v4HER,$D4)</f>
        <v>17</v>
      </c>
      <c r="N4" s="553">
        <f>COUNTIF(Area_v5HER,$D4)</f>
        <v>12</v>
      </c>
      <c r="O4" s="765">
        <f>COUNTIF(Area_v6HER,$D4)</f>
        <v>12</v>
      </c>
      <c r="P4" s="553">
        <f>COUNTIF(Area_v1HERTSA,$D4)</f>
        <v>3</v>
      </c>
      <c r="Q4" s="553">
        <f>COUNTIF(Area_v2HERTSA,$D4)</f>
        <v>28</v>
      </c>
      <c r="R4" s="553">
        <f>COUNTIF(Area_v3HERTSA,$D4)</f>
        <v>18</v>
      </c>
      <c r="S4" s="149">
        <f>COUNTIF(Area_v4HERTSA,$D4)</f>
        <v>3</v>
      </c>
      <c r="T4" s="149">
        <f>COUNTIF(Area_v5HERTSA,$D4)</f>
        <v>0</v>
      </c>
      <c r="U4" s="149">
        <f>COUNTIF(Area_v5BBRHER,$D4)</f>
        <v>8</v>
      </c>
      <c r="V4" s="149">
        <f>COUNTIF(Area_v1BBRTUN,$D4)</f>
        <v>8</v>
      </c>
      <c r="W4" s="149">
        <f>COUNTIF(Area_v2BBRTUN,$D4)</f>
        <v>5</v>
      </c>
      <c r="X4" s="149">
        <f>COUNTIF(Area_v51HERTSA,$D4)</f>
        <v>0</v>
      </c>
      <c r="Y4" s="149">
        <f>COUNTIF(Area_v52HERTSA,$D4)</f>
        <v>0</v>
      </c>
      <c r="Z4" s="149">
        <f>COUNTIF(Area_v53HERTSA,$D4)</f>
        <v>0</v>
      </c>
      <c r="AA4" s="149">
        <f>COUNTIF(Area_v1TSA,$D4)</f>
        <v>0</v>
      </c>
      <c r="AB4" s="149">
        <f>COUNTIF(Area_v2TSA,$D4)</f>
        <v>0</v>
      </c>
      <c r="AC4" s="149">
        <f>COUNTIF(Area_v3TSA,$D4)</f>
        <v>0</v>
      </c>
      <c r="AD4" s="149">
        <f>COUNTIF(Area_v4TSA,$D4)</f>
        <v>0</v>
      </c>
      <c r="AE4" s="149">
        <f>COUNTIF(Area_v5TSA,$D4)</f>
        <v>1</v>
      </c>
      <c r="AF4" s="149">
        <f>COUNTIF(Area_v6TSA,$D4)</f>
        <v>0</v>
      </c>
      <c r="AG4" s="149">
        <f>COUNTIF(Area_v1TSATHA,$D4)</f>
        <v>0</v>
      </c>
      <c r="AH4" s="149">
        <f>COUNTIF(Area_v2TSATHA,$D4)</f>
        <v>0</v>
      </c>
      <c r="AI4" s="149">
        <f>COUNTIF(Area_v3TSATHA,$D4)</f>
        <v>0</v>
      </c>
      <c r="AJ4" s="149">
        <f>COUNTIF(Area_v4THAHOLON,$D4)</f>
        <v>2</v>
      </c>
      <c r="AK4" s="149">
        <f>COUNTIF(Area_v5THAHOLON,$D4)</f>
        <v>6</v>
      </c>
    </row>
    <row r="5" spans="2:38">
      <c r="B5" s="1696" t="s">
        <v>1404</v>
      </c>
      <c r="C5" s="1696"/>
      <c r="D5" s="760" t="s">
        <v>1384</v>
      </c>
      <c r="E5" s="553">
        <f t="shared" si="0"/>
        <v>115</v>
      </c>
      <c r="F5" s="553">
        <f>COUNTIF(Area_v1RISHER,$D5)</f>
        <v>0</v>
      </c>
      <c r="G5" s="553">
        <f>COUNTIF(Area_v2RISHER,$D5)</f>
        <v>0</v>
      </c>
      <c r="H5" s="553">
        <f>COUNTIF(Area_v1RAANHER,$D5)</f>
        <v>0</v>
      </c>
      <c r="I5" s="553">
        <f>COUNTIF(Area_v2RAANHER,$D5)</f>
        <v>0</v>
      </c>
      <c r="J5" s="553">
        <f>COUNTIF(Area_v1HER,$D5)</f>
        <v>2</v>
      </c>
      <c r="K5" s="765">
        <f>COUNTIF(Area_v2HER,$D5)</f>
        <v>0</v>
      </c>
      <c r="L5" s="553">
        <f>COUNTIF(Area_v3HER,$D5)</f>
        <v>0</v>
      </c>
      <c r="M5" s="553">
        <f>COUNTIF(Area_v4HER,$D5)</f>
        <v>0</v>
      </c>
      <c r="N5" s="553">
        <f>COUNTIF(Area_v5HER,$D5)</f>
        <v>0</v>
      </c>
      <c r="O5" s="765">
        <f>COUNTIF(Area_v6HER,$D5)</f>
        <v>0</v>
      </c>
      <c r="P5" s="553">
        <f>COUNTIF(Area_v1HERTSA,$D5)</f>
        <v>1</v>
      </c>
      <c r="Q5" s="553">
        <f>COUNTIF(Area_v2HERTSA,$D5)</f>
        <v>14</v>
      </c>
      <c r="R5" s="553">
        <f>COUNTIF(Area_v3HERTSA,$D5)</f>
        <v>16</v>
      </c>
      <c r="S5" s="149">
        <f>COUNTIF(Area_v4HERTSA,$D5)</f>
        <v>2</v>
      </c>
      <c r="T5" s="149">
        <f>COUNTIF(Area_v5HERTSA,$D5)</f>
        <v>1</v>
      </c>
      <c r="U5" s="149">
        <f>COUNTIF(Area_v5BBRHER,$D5)</f>
        <v>14</v>
      </c>
      <c r="V5" s="149">
        <f>COUNTIF(Area_v1BBRTUN,$D5)</f>
        <v>28</v>
      </c>
      <c r="W5" s="149">
        <f>COUNTIF(Area_v2BBRTUN,$D5)</f>
        <v>28</v>
      </c>
      <c r="X5" s="149">
        <f>COUNTIF(Area_v51HERTSA,$D5)</f>
        <v>0</v>
      </c>
      <c r="Y5" s="149">
        <f>COUNTIF(Area_v52HERTSA,$D5)</f>
        <v>0</v>
      </c>
      <c r="Z5" s="149">
        <f>COUNTIF(Area_v53HERTSA,$D5)</f>
        <v>0</v>
      </c>
      <c r="AA5" s="149">
        <f>COUNTIF(Area_v1TSA,$D5)</f>
        <v>0</v>
      </c>
      <c r="AB5" s="149">
        <f>COUNTIF(Area_v2TSA,$D5)</f>
        <v>0</v>
      </c>
      <c r="AC5" s="149">
        <f>COUNTIF(Area_v3TSA,$D5)</f>
        <v>0</v>
      </c>
      <c r="AD5" s="149">
        <f>COUNTIF(Area_v4TSA,$D5)</f>
        <v>0</v>
      </c>
      <c r="AE5" s="149">
        <f>COUNTIF(Area_v5TSA,$D5)</f>
        <v>0</v>
      </c>
      <c r="AF5" s="149">
        <f>COUNTIF(Area_v6TSA,$D5)</f>
        <v>0</v>
      </c>
      <c r="AG5" s="149">
        <f>COUNTIF(Area_v1TSATHA,$D5)</f>
        <v>0</v>
      </c>
      <c r="AH5" s="149">
        <f>COUNTIF(Area_v2TSATHA,$D5)</f>
        <v>0</v>
      </c>
      <c r="AI5" s="149">
        <f>COUNTIF(Area_v3TSATHA,$D5)</f>
        <v>0</v>
      </c>
      <c r="AJ5" s="149">
        <f>COUNTIF(Area_v4THAHOLON,$D5)</f>
        <v>5</v>
      </c>
      <c r="AK5" s="149">
        <f>COUNTIF(Area_v5THAHOLON,$D5)</f>
        <v>4</v>
      </c>
    </row>
    <row r="6" spans="2:38">
      <c r="B6" s="1696" t="s">
        <v>1402</v>
      </c>
      <c r="C6" s="1696"/>
      <c r="D6" s="760" t="s">
        <v>1406</v>
      </c>
      <c r="E6" s="553">
        <f t="shared" si="0"/>
        <v>0</v>
      </c>
      <c r="F6" s="553">
        <f>COUNTIF(Area_v1RISHER,$D6)</f>
        <v>0</v>
      </c>
      <c r="G6" s="553">
        <f>COUNTIF(Area_v2RISHER,$D6)</f>
        <v>0</v>
      </c>
      <c r="H6" s="553">
        <f>COUNTIF(Area_v1RAANHER,$D6)</f>
        <v>0</v>
      </c>
      <c r="I6" s="553">
        <f>COUNTIF(Area_v2RAANHER,$D6)</f>
        <v>0</v>
      </c>
      <c r="J6" s="553">
        <f>COUNTIF(Area_v1HER,$D6)</f>
        <v>0</v>
      </c>
      <c r="K6" s="765">
        <f>COUNTIF(Area_v2HER,$D6)</f>
        <v>0</v>
      </c>
      <c r="L6" s="553">
        <f>COUNTIF(Area_v3HER,$D6)</f>
        <v>0</v>
      </c>
      <c r="M6" s="553">
        <f>COUNTIF(Area_v4HER,$D6)</f>
        <v>0</v>
      </c>
      <c r="N6" s="553">
        <f>COUNTIF(Area_v5HER,$D6)</f>
        <v>0</v>
      </c>
      <c r="O6" s="765">
        <f>COUNTIF(Area_v6HER,$D6)</f>
        <v>0</v>
      </c>
      <c r="P6" s="553">
        <f>COUNTIF(Area_v1HERTSA,$D6)</f>
        <v>0</v>
      </c>
      <c r="Q6" s="553">
        <f>COUNTIF(Area_v2HERTSA,$D6)</f>
        <v>0</v>
      </c>
      <c r="R6" s="553">
        <f>COUNTIF(Area_v3HERTSA,$D6)</f>
        <v>0</v>
      </c>
      <c r="S6" s="149">
        <f>COUNTIF(Area_v4HERTSA,$D6)</f>
        <v>0</v>
      </c>
      <c r="T6" s="149">
        <f>COUNTIF(Area_v5HERTSA,$D6)</f>
        <v>0</v>
      </c>
      <c r="U6" s="149">
        <f>COUNTIF(Area_v5BBRHER,$D6)</f>
        <v>0</v>
      </c>
      <c r="V6" s="149">
        <f>COUNTIF(Area_v1BBRTUN,$D6)</f>
        <v>0</v>
      </c>
      <c r="W6" s="149">
        <f>COUNTIF(Area_v2BBRTUN,$D6)</f>
        <v>0</v>
      </c>
      <c r="X6" s="149">
        <f>COUNTIF(Area_v51HERTSA,$D6)</f>
        <v>0</v>
      </c>
      <c r="Y6" s="149">
        <f>COUNTIF(Area_v52HERTSA,$D6)</f>
        <v>0</v>
      </c>
      <c r="Z6" s="149">
        <f>COUNTIF(Area_v53HERTSA,$D6)</f>
        <v>0</v>
      </c>
      <c r="AA6" s="149">
        <f>COUNTIF(Area_v1TSA,$D6)</f>
        <v>0</v>
      </c>
      <c r="AB6" s="149">
        <f>COUNTIF(Area_v2TSA,$D6)</f>
        <v>0</v>
      </c>
      <c r="AC6" s="149">
        <f>COUNTIF(Area_v3TSA,$D6)</f>
        <v>0</v>
      </c>
      <c r="AD6" s="149">
        <f>COUNTIF(Area_v4TSA,$D6)</f>
        <v>0</v>
      </c>
      <c r="AE6" s="149">
        <f>COUNTIF(Area_v5TSA,$D6)</f>
        <v>0</v>
      </c>
      <c r="AF6" s="149">
        <f>COUNTIF(Area_v6TSA,$D6)</f>
        <v>0</v>
      </c>
      <c r="AG6" s="149">
        <f>COUNTIF(Area_v1TSATHA,$D6)</f>
        <v>0</v>
      </c>
      <c r="AH6" s="149">
        <f>COUNTIF(Area_v2TSATHA,$D6)</f>
        <v>0</v>
      </c>
      <c r="AI6" s="149">
        <f>COUNTIF(Area_v3TSATHA,$D6)</f>
        <v>0</v>
      </c>
      <c r="AJ6" s="149">
        <f>COUNTIF(Area_v4THAHOLON,$D6)</f>
        <v>0</v>
      </c>
      <c r="AK6" s="149">
        <f>COUNTIF(Area_v5THAHOLON,$D6)</f>
        <v>0</v>
      </c>
    </row>
    <row r="7" spans="2:38">
      <c r="B7" s="151"/>
      <c r="C7" s="151"/>
      <c r="D7" s="151"/>
      <c r="E7" s="553"/>
      <c r="F7" s="553"/>
      <c r="G7" s="553"/>
      <c r="H7" s="553"/>
      <c r="I7" s="553"/>
      <c r="J7" s="553"/>
      <c r="K7" s="765"/>
      <c r="L7" s="553"/>
      <c r="M7" s="553"/>
      <c r="N7" s="553"/>
      <c r="O7" s="765"/>
      <c r="P7" s="553"/>
      <c r="Q7" s="553"/>
      <c r="R7" s="553"/>
    </row>
    <row r="8" spans="2:38">
      <c r="B8" s="555" t="s">
        <v>142</v>
      </c>
      <c r="C8" s="555" t="s">
        <v>2499</v>
      </c>
      <c r="D8" s="547">
        <f>SUM(F8:AK8)</f>
        <v>87</v>
      </c>
      <c r="E8" s="553">
        <f t="shared" si="0"/>
        <v>87</v>
      </c>
      <c r="F8" s="553">
        <f>COUNTIF(Area_v1RISHER,"*CS*")</f>
        <v>0</v>
      </c>
      <c r="G8" s="553">
        <f>COUNTIF(Area_v2RISHER,"*CS*")</f>
        <v>0</v>
      </c>
      <c r="H8" s="553">
        <f>COUNTIF(Area_v1RAANHER,"*CS*")</f>
        <v>0</v>
      </c>
      <c r="I8" s="553">
        <f>COUNTIF(Area_v2RAANHER,"*CS*")</f>
        <v>0</v>
      </c>
      <c r="J8" s="553">
        <f>COUNTIF(Area_v1HER,"*CS*")</f>
        <v>0</v>
      </c>
      <c r="K8" s="765">
        <f>COUNTIF(Area_v2HER,"*CS*")</f>
        <v>8</v>
      </c>
      <c r="L8" s="553">
        <f>COUNTIF(Area_v3HER,"*CS*")</f>
        <v>5</v>
      </c>
      <c r="M8" s="553">
        <f>COUNTIF(Area_v4HER,"*CS*")</f>
        <v>7</v>
      </c>
      <c r="N8" s="553">
        <f>COUNTIF(Area_v5HER,"*CS*")</f>
        <v>8</v>
      </c>
      <c r="O8" s="765">
        <f>COUNTIF(Area_v6HER,"*CS*")</f>
        <v>4</v>
      </c>
      <c r="P8" s="553">
        <f>COUNTIF(Area_v1HERTSA,"*CS*")</f>
        <v>3</v>
      </c>
      <c r="Q8" s="553">
        <f>COUNTIF(Area_v2HERTSA,"*CS*")</f>
        <v>6</v>
      </c>
      <c r="R8" s="553">
        <f>COUNTIF(Area_v3HERTSA,"*CS*")</f>
        <v>6</v>
      </c>
      <c r="S8" s="149">
        <f>COUNTIF(Area_v4HERTSA,"*CS*")</f>
        <v>7</v>
      </c>
      <c r="T8" s="149">
        <f>COUNTIF(Area_v5HERTSA,"*CS*")</f>
        <v>1</v>
      </c>
      <c r="U8" s="149">
        <f>COUNTIF(Area_v5BBRHER,"*CS*")</f>
        <v>1</v>
      </c>
      <c r="V8" s="149">
        <f>COUNTIF(Area_v1BBRTUN,"*CS*")</f>
        <v>0</v>
      </c>
      <c r="W8" s="149">
        <f>COUNTIF(Area_v2BBRTUN,"*CS*")</f>
        <v>1</v>
      </c>
      <c r="X8" s="149">
        <f>COUNTIF(Area_v51HERTSA,"*CS*")</f>
        <v>1</v>
      </c>
      <c r="Y8" s="149">
        <f>COUNTIF(Area_v52HERTSA,"*CS*")</f>
        <v>0</v>
      </c>
      <c r="Z8" s="149">
        <f>COUNTIF(Area_v53HERTSA,"*CS*")</f>
        <v>2</v>
      </c>
      <c r="AA8" s="149">
        <f>COUNTIF(Area_v1TSA,"*CS*")</f>
        <v>3</v>
      </c>
      <c r="AB8" s="149">
        <f>COUNTIF(Area_v2TSA,"*CS*")</f>
        <v>0</v>
      </c>
      <c r="AC8" s="149">
        <f>COUNTIF(Area_v3TSA,"*CS*")</f>
        <v>0</v>
      </c>
      <c r="AD8" s="149">
        <f>COUNTIF(Area_v4TSA,"*CS*")</f>
        <v>3</v>
      </c>
      <c r="AE8" s="149">
        <f>COUNTIF(Area_v5TSA,"*CS*")</f>
        <v>1</v>
      </c>
      <c r="AF8" s="149">
        <f>COUNTIF(Area_v6TSA,"*CS*")</f>
        <v>2</v>
      </c>
      <c r="AG8" s="149">
        <f>COUNTIF(Area_v1TSATHA,"*CS*")</f>
        <v>4</v>
      </c>
      <c r="AH8" s="149">
        <f>COUNTIF(Area_v2TSATHA,"*CS*")</f>
        <v>8</v>
      </c>
      <c r="AI8" s="149">
        <f>COUNTIF(Area_v3TSATHA,"*CS*")</f>
        <v>6</v>
      </c>
      <c r="AJ8" s="149">
        <f>COUNTIF(Area_v4THAHOLON,"*CS*")</f>
        <v>0</v>
      </c>
      <c r="AK8" s="149">
        <f>COUNTIF(Area_v5THAHOLON,"*CS*")</f>
        <v>0</v>
      </c>
      <c r="AL8" s="124" t="s">
        <v>2503</v>
      </c>
    </row>
    <row r="9" spans="2:38">
      <c r="B9" s="555" t="s">
        <v>141</v>
      </c>
      <c r="C9" s="555" t="s">
        <v>2515</v>
      </c>
      <c r="D9" s="547">
        <f>SUM(F9:AK9)</f>
        <v>1</v>
      </c>
      <c r="E9" s="553">
        <f t="shared" si="0"/>
        <v>1</v>
      </c>
      <c r="F9" s="553">
        <f>COUNTIF(Area_v1RISHER,"*TgS*")</f>
        <v>0</v>
      </c>
      <c r="G9" s="553">
        <f>COUNTIF(Area_v2RISHER,"*TgS*")</f>
        <v>0</v>
      </c>
      <c r="H9" s="553">
        <f>COUNTIF(Area_v1RAANHER,"*TgS*")</f>
        <v>0</v>
      </c>
      <c r="I9" s="553">
        <f>COUNTIF(Area_v2RAANHER,"*TgS*")</f>
        <v>0</v>
      </c>
      <c r="J9" s="553">
        <f>COUNTIF(Area_v1HER,"*TgS*")</f>
        <v>0</v>
      </c>
      <c r="K9" s="765">
        <f>COUNTIF(Area_v2HER,"*TgS*")</f>
        <v>0</v>
      </c>
      <c r="L9" s="553">
        <f>COUNTIF(Area_v3HER,"*TgS*")</f>
        <v>0</v>
      </c>
      <c r="M9" s="553">
        <f>COUNTIF(Area_v4HER,"*TgS*")</f>
        <v>0</v>
      </c>
      <c r="N9" s="553">
        <f>COUNTIF(Area_v5HER,"*TgS*")</f>
        <v>0</v>
      </c>
      <c r="O9" s="765">
        <f>COUNTIF(Area_v6HER,"*TgS*")</f>
        <v>0</v>
      </c>
      <c r="P9" s="553">
        <f>COUNTIF(Area_v1HERTSA,"*TgS*")</f>
        <v>0</v>
      </c>
      <c r="Q9" s="553">
        <f>COUNTIF(Area_v2HERTSA,"*TgS*")</f>
        <v>0</v>
      </c>
      <c r="R9" s="553">
        <f>COUNTIF(Area_v3HERTSA,"*TgS*")</f>
        <v>1</v>
      </c>
      <c r="S9" s="149">
        <f>COUNTIF(Area_v4HERTSA,"*TgS*")</f>
        <v>0</v>
      </c>
      <c r="T9" s="149">
        <f>COUNTIF(Area_v5HERTSA,"*TgS*")</f>
        <v>0</v>
      </c>
      <c r="U9" s="149">
        <f>COUNTIF(Area_v5BBRHER,"*TgS*")</f>
        <v>0</v>
      </c>
      <c r="V9" s="149">
        <f>COUNTIF(Area_v1BBRTUN,"*TgS*")</f>
        <v>0</v>
      </c>
      <c r="W9" s="149">
        <f>COUNTIF(Area_v2BBRTUN,"*TgS*")</f>
        <v>0</v>
      </c>
      <c r="X9" s="149">
        <f>COUNTIF(Area_v51HERTSA,"*TgS*")</f>
        <v>0</v>
      </c>
      <c r="Y9" s="149">
        <f>COUNTIF(Area_v52HERTSA,"*TgS*")</f>
        <v>0</v>
      </c>
      <c r="Z9" s="149">
        <f>COUNTIF(Area_v53HERTSA,"*TgS*")</f>
        <v>0</v>
      </c>
      <c r="AA9" s="149">
        <f>COUNTIF(Area_v1TSA,"*TgS*")</f>
        <v>0</v>
      </c>
      <c r="AB9" s="149">
        <f>COUNTIF(Area_v2TSA,"*TgS*")</f>
        <v>0</v>
      </c>
      <c r="AC9" s="149">
        <f>COUNTIF(Area_v3TSA,"*TgS*")</f>
        <v>0</v>
      </c>
      <c r="AD9" s="149">
        <f>COUNTIF(Area_v4TSA,"*TgS*")</f>
        <v>0</v>
      </c>
      <c r="AE9" s="149">
        <f>COUNTIF(Area_v5TSA,"*TgS*")</f>
        <v>0</v>
      </c>
      <c r="AF9" s="149">
        <f>COUNTIF(Area_v6TSA,"*TgS*")</f>
        <v>0</v>
      </c>
      <c r="AG9" s="149">
        <f>COUNTIF(Area_v1TSATHA,"*TgS*")</f>
        <v>0</v>
      </c>
      <c r="AH9" s="149">
        <f>COUNTIF(Area_v2TSATHA,"*TgS*")</f>
        <v>0</v>
      </c>
      <c r="AI9" s="149">
        <f>COUNTIF(Area_v3TSATHA,"*TgS*")</f>
        <v>0</v>
      </c>
      <c r="AJ9" s="149">
        <f>COUNTIF(Area_v4THAHOLON,"*TgS*")</f>
        <v>0</v>
      </c>
      <c r="AK9" s="149">
        <f>COUNTIF(Area_v5THAHOLON,"*TgS*")</f>
        <v>0</v>
      </c>
      <c r="AL9" s="124" t="s">
        <v>2504</v>
      </c>
    </row>
    <row r="10" spans="2:38">
      <c r="B10" s="1691" t="s">
        <v>1429</v>
      </c>
      <c r="C10" s="1691"/>
      <c r="D10" s="547">
        <f>SUM(F10:AK10)</f>
        <v>78</v>
      </c>
      <c r="E10" s="553">
        <f t="shared" si="0"/>
        <v>78</v>
      </c>
      <c r="F10" s="553">
        <f>COUNTIF(Area_v1RISHER,$B10)</f>
        <v>3</v>
      </c>
      <c r="G10" s="553">
        <f>COUNTIF(Area_v2RISHER,$B10)</f>
        <v>3</v>
      </c>
      <c r="H10" s="553">
        <f>COUNTIF(Area_v1RAANHER,$B10)</f>
        <v>3</v>
      </c>
      <c r="I10" s="553">
        <f>COUNTIF(Area_v2RAANHER,$B10)</f>
        <v>3</v>
      </c>
      <c r="J10" s="553">
        <f>COUNTIF(Area_v1HER,$B10)</f>
        <v>2</v>
      </c>
      <c r="K10" s="765">
        <f>COUNTIF(Area_v2HER,$B10)</f>
        <v>3</v>
      </c>
      <c r="L10" s="553">
        <f>COUNTIF(Area_v3HER,$B10)</f>
        <v>1</v>
      </c>
      <c r="M10" s="553">
        <f>COUNTIF(Area_v4HER,$B10)</f>
        <v>0</v>
      </c>
      <c r="N10" s="553">
        <f>COUNTIF(Area_v5HER,$B10)</f>
        <v>2</v>
      </c>
      <c r="O10" s="765">
        <f>COUNTIF(Area_v6HER,$B10)</f>
        <v>3</v>
      </c>
      <c r="P10" s="553">
        <f>COUNTIF(Area_v1HERTSA,$B10)</f>
        <v>6</v>
      </c>
      <c r="Q10" s="553">
        <f>COUNTIF(Area_v2HERTSA,$B10)</f>
        <v>7</v>
      </c>
      <c r="R10" s="553">
        <f>COUNTIF(Area_v3HERTSA,$B10)</f>
        <v>9</v>
      </c>
      <c r="S10" s="149">
        <f>COUNTIF(Area_v4HERTSA,$B10)</f>
        <v>8</v>
      </c>
      <c r="T10" s="149">
        <f>COUNTIF(Area_v5HERTSA,$B10)</f>
        <v>0</v>
      </c>
      <c r="U10" s="149">
        <f>COUNTIF(Area_v5BBRHER,$B10)</f>
        <v>1</v>
      </c>
      <c r="V10" s="149">
        <f>COUNTIF(Area_v1BBRTUN,$B10)</f>
        <v>4</v>
      </c>
      <c r="W10" s="149">
        <f>COUNTIF(Area_v2BBRTUN,$B10)</f>
        <v>4</v>
      </c>
      <c r="X10" s="149">
        <f>COUNTIF(Area_v51HERTSA,$B10)</f>
        <v>0</v>
      </c>
      <c r="Y10" s="149">
        <f>COUNTIF(Area_v52HERTSA,$B10)</f>
        <v>0</v>
      </c>
      <c r="Z10" s="149">
        <f>COUNTIF(Area_v53HERTSA,$B10)</f>
        <v>0</v>
      </c>
      <c r="AA10" s="149">
        <f>COUNTIF(Area_v1TSA,$B10)</f>
        <v>0</v>
      </c>
      <c r="AB10" s="149">
        <f>COUNTIF(Area_v2TSA,$B10)</f>
        <v>0</v>
      </c>
      <c r="AC10" s="149">
        <f>COUNTIF(Area_v3TSA,$B10)</f>
        <v>0</v>
      </c>
      <c r="AD10" s="149">
        <f>COUNTIF(Area_v4TSA,$B10)</f>
        <v>1</v>
      </c>
      <c r="AE10" s="149">
        <f>COUNTIF(Area_v5TSA,$B10)</f>
        <v>1</v>
      </c>
      <c r="AF10" s="149">
        <f>COUNTIF(Area_v6TSA,$B10)</f>
        <v>1</v>
      </c>
      <c r="AG10" s="149">
        <f>COUNTIF(Area_v1TSATHA,$B10)</f>
        <v>4</v>
      </c>
      <c r="AH10" s="149">
        <f>COUNTIF(Area_v2TSATHA,$B10)</f>
        <v>5</v>
      </c>
      <c r="AI10" s="149">
        <f>COUNTIF(Area_v3TSATHA,$B10)</f>
        <v>4</v>
      </c>
      <c r="AJ10" s="149">
        <f>COUNTIF(Area_v4THAHOLON,$B10)</f>
        <v>0</v>
      </c>
      <c r="AK10" s="149">
        <f>COUNTIF(Area_v5THAHOLON,$B10)</f>
        <v>0</v>
      </c>
    </row>
    <row r="11" spans="2:38" ht="13" thickBot="1">
      <c r="B11" s="151"/>
      <c r="C11" s="151"/>
      <c r="D11" s="151"/>
      <c r="E11" s="553"/>
      <c r="F11" s="553"/>
      <c r="G11" s="553"/>
      <c r="H11" s="553"/>
      <c r="I11" s="553"/>
      <c r="J11" s="553"/>
      <c r="K11" s="765"/>
      <c r="L11" s="553"/>
      <c r="M11" s="553"/>
      <c r="N11" s="553"/>
      <c r="O11" s="765"/>
      <c r="P11" s="553"/>
      <c r="Q11" s="553"/>
      <c r="R11" s="553"/>
    </row>
    <row r="12" spans="2:38" ht="12.75" customHeight="1">
      <c r="B12" s="1702" t="s">
        <v>1374</v>
      </c>
      <c r="C12" s="1703"/>
      <c r="D12" s="1704"/>
      <c r="E12" s="553"/>
      <c r="K12" s="765"/>
      <c r="O12" s="765"/>
    </row>
    <row r="13" spans="2:38" ht="13.5" customHeight="1" thickBot="1">
      <c r="B13" s="1705"/>
      <c r="C13" s="1706"/>
      <c r="D13" s="1707"/>
      <c r="E13" s="553"/>
      <c r="K13" s="765"/>
      <c r="O13" s="765"/>
    </row>
    <row r="14" spans="2:38" ht="13" thickBot="1">
      <c r="B14" s="1720" t="s">
        <v>461</v>
      </c>
      <c r="C14" s="1721"/>
      <c r="D14" s="152" t="s">
        <v>462</v>
      </c>
      <c r="E14" s="553"/>
      <c r="K14" s="765"/>
      <c r="O14" s="765"/>
    </row>
    <row r="15" spans="2:38">
      <c r="B15" s="1697" t="s">
        <v>1417</v>
      </c>
      <c r="C15" s="1697"/>
      <c r="D15" s="153">
        <f>SUM(F15:AK15)</f>
        <v>49</v>
      </c>
      <c r="E15" s="553">
        <f t="shared" ref="E15:E26" si="1">SUM(F15:AK15)</f>
        <v>49</v>
      </c>
      <c r="F15" s="553">
        <f t="shared" ref="F15:F26" si="2">COUNTIF(Area_v1RISHER,$B15)</f>
        <v>0</v>
      </c>
      <c r="G15" s="553">
        <f t="shared" ref="G15:G26" si="3">COUNTIF(Area_v2RISHER,$B15)</f>
        <v>0</v>
      </c>
      <c r="H15" s="553">
        <f t="shared" ref="H15:H26" si="4">COUNTIF(Area_v1RAANHER,$B15)</f>
        <v>0</v>
      </c>
      <c r="I15" s="553">
        <f t="shared" ref="I15:I26" si="5">COUNTIF(Area_v2RAANHER,$B15)</f>
        <v>0</v>
      </c>
      <c r="J15" s="553">
        <f t="shared" ref="J15:J26" si="6">COUNTIF(Area_v1HER,$B15)</f>
        <v>0</v>
      </c>
      <c r="K15" s="765">
        <f t="shared" ref="K15:K26" si="7">COUNTIF(Area_v2HER,$B15)</f>
        <v>0</v>
      </c>
      <c r="L15" s="553">
        <f t="shared" ref="L15:L26" si="8">COUNTIF(Area_v3HER,$B15)</f>
        <v>0</v>
      </c>
      <c r="M15" s="553">
        <f t="shared" ref="M15:M26" si="9">COUNTIF(Area_v4HER,$B15)</f>
        <v>0</v>
      </c>
      <c r="N15" s="553">
        <f t="shared" ref="N15:N26" si="10">COUNTIF(Area_v5HER,$B15)</f>
        <v>0</v>
      </c>
      <c r="O15" s="765">
        <f t="shared" ref="O15:O26" si="11">COUNTIF(Area_v6HER,$B15)</f>
        <v>0</v>
      </c>
      <c r="P15" s="553">
        <f t="shared" ref="P15:P26" si="12">COUNTIF(Area_v1HERTSA,$B15)</f>
        <v>2</v>
      </c>
      <c r="Q15" s="553">
        <f t="shared" ref="Q15:Q26" si="13">COUNTIF(Area_v2HERTSA,$B15)</f>
        <v>4</v>
      </c>
      <c r="R15" s="553">
        <f t="shared" ref="R15:R26" si="14">COUNTIF(Area_v3HERTSA,$B15)</f>
        <v>5</v>
      </c>
      <c r="S15" s="149">
        <f t="shared" ref="S15:S26" si="15">COUNTIF(Area_v4HERTSA,$B15)</f>
        <v>2</v>
      </c>
      <c r="T15" s="149">
        <f t="shared" ref="T15:T26" si="16">COUNTIF(Area_v5HERTSA,$B15)</f>
        <v>0</v>
      </c>
      <c r="U15" s="149">
        <f t="shared" ref="U15:U26" si="17">COUNTIF(Area_v5BBRHER,$B15)</f>
        <v>0</v>
      </c>
      <c r="V15" s="149">
        <f t="shared" ref="V15:V26" si="18">COUNTIF(Area_v1BBRTUN,$B15)</f>
        <v>0</v>
      </c>
      <c r="W15" s="149">
        <f t="shared" ref="W15:W26" si="19">COUNTIF(Area_v2BBRTUN,$B15)</f>
        <v>0</v>
      </c>
      <c r="X15" s="149">
        <f t="shared" ref="X15:X26" si="20">COUNTIF(Area_v51HERTSA,$B15)</f>
        <v>0</v>
      </c>
      <c r="Y15" s="149">
        <f t="shared" ref="Y15:Y26" si="21">COUNTIF(Area_v52HERTSA,$B15)</f>
        <v>1</v>
      </c>
      <c r="Z15" s="149">
        <f t="shared" ref="Z15:Z26" si="22">COUNTIF(Area_v53HERTSA,$B15)</f>
        <v>1</v>
      </c>
      <c r="AA15" s="149">
        <f t="shared" ref="AA15:AA26" si="23">COUNTIF(Area_v1TSA,$B15)</f>
        <v>2</v>
      </c>
      <c r="AB15" s="149">
        <f t="shared" ref="AB15:AB26" si="24">COUNTIF(Area_v2TSA,$B15)</f>
        <v>5</v>
      </c>
      <c r="AC15" s="149">
        <f t="shared" ref="AC15:AC26" si="25">COUNTIF(Area_v3TSA,$B15)</f>
        <v>5</v>
      </c>
      <c r="AD15" s="149">
        <f t="shared" ref="AD15:AD26" si="26">COUNTIF(Area_v4TSA,$B15)</f>
        <v>4</v>
      </c>
      <c r="AE15" s="149">
        <f t="shared" ref="AE15:AE26" si="27">COUNTIF(Area_v5TSA,$B15)</f>
        <v>6</v>
      </c>
      <c r="AF15" s="149">
        <f t="shared" ref="AF15:AF26" si="28">COUNTIF(Area_v6TSA,$B15)</f>
        <v>3</v>
      </c>
      <c r="AG15" s="149">
        <f t="shared" ref="AG15:AG26" si="29">COUNTIF(Area_v1TSATHA,$B15)</f>
        <v>4</v>
      </c>
      <c r="AH15" s="149">
        <f t="shared" ref="AH15:AH26" si="30">COUNTIF(Area_v2TSATHA,$B15)</f>
        <v>3</v>
      </c>
      <c r="AI15" s="149">
        <f t="shared" ref="AI15:AI26" si="31">COUNTIF(Area_v3TSATHA,$B15)</f>
        <v>2</v>
      </c>
      <c r="AJ15" s="149">
        <f t="shared" ref="AJ15:AJ26" si="32">COUNTIF(Area_v4THAHOLON,$B15)</f>
        <v>0</v>
      </c>
      <c r="AK15" s="149">
        <f t="shared" ref="AK15:AK26" si="33">COUNTIF(Area_v5THAHOLON,$B15)</f>
        <v>0</v>
      </c>
    </row>
    <row r="16" spans="2:38">
      <c r="B16" s="1695" t="s">
        <v>1418</v>
      </c>
      <c r="C16" s="1695"/>
      <c r="D16" s="153">
        <f>SUM(F16:AK16)</f>
        <v>1</v>
      </c>
      <c r="E16" s="553">
        <f t="shared" si="1"/>
        <v>1</v>
      </c>
      <c r="F16" s="553">
        <f t="shared" si="2"/>
        <v>0</v>
      </c>
      <c r="G16" s="553">
        <f t="shared" si="3"/>
        <v>0</v>
      </c>
      <c r="H16" s="553">
        <f t="shared" si="4"/>
        <v>0</v>
      </c>
      <c r="I16" s="553">
        <f t="shared" si="5"/>
        <v>0</v>
      </c>
      <c r="J16" s="553">
        <f t="shared" si="6"/>
        <v>0</v>
      </c>
      <c r="K16" s="765">
        <f t="shared" si="7"/>
        <v>0</v>
      </c>
      <c r="L16" s="553">
        <f t="shared" si="8"/>
        <v>0</v>
      </c>
      <c r="M16" s="553">
        <f t="shared" si="9"/>
        <v>0</v>
      </c>
      <c r="N16" s="553">
        <f t="shared" si="10"/>
        <v>0</v>
      </c>
      <c r="O16" s="765">
        <f t="shared" si="11"/>
        <v>0</v>
      </c>
      <c r="P16" s="553">
        <f t="shared" si="12"/>
        <v>0</v>
      </c>
      <c r="Q16" s="553">
        <f t="shared" si="13"/>
        <v>0</v>
      </c>
      <c r="R16" s="553">
        <f t="shared" si="14"/>
        <v>0</v>
      </c>
      <c r="S16" s="149">
        <f t="shared" si="15"/>
        <v>0</v>
      </c>
      <c r="T16" s="149">
        <f t="shared" si="16"/>
        <v>0</v>
      </c>
      <c r="U16" s="149">
        <f t="shared" si="17"/>
        <v>0</v>
      </c>
      <c r="V16" s="149">
        <f t="shared" si="18"/>
        <v>0</v>
      </c>
      <c r="W16" s="149">
        <f t="shared" si="19"/>
        <v>0</v>
      </c>
      <c r="X16" s="149">
        <f t="shared" si="20"/>
        <v>0</v>
      </c>
      <c r="Y16" s="149">
        <f t="shared" si="21"/>
        <v>0</v>
      </c>
      <c r="Z16" s="149">
        <f t="shared" si="22"/>
        <v>0</v>
      </c>
      <c r="AA16" s="149">
        <f t="shared" si="23"/>
        <v>0</v>
      </c>
      <c r="AB16" s="149">
        <f t="shared" si="24"/>
        <v>0</v>
      </c>
      <c r="AC16" s="149">
        <f t="shared" si="25"/>
        <v>0</v>
      </c>
      <c r="AD16" s="149">
        <f t="shared" si="26"/>
        <v>0</v>
      </c>
      <c r="AE16" s="149">
        <f t="shared" si="27"/>
        <v>0</v>
      </c>
      <c r="AF16" s="149">
        <f t="shared" si="28"/>
        <v>0</v>
      </c>
      <c r="AG16" s="149">
        <f t="shared" si="29"/>
        <v>0</v>
      </c>
      <c r="AH16" s="149">
        <f t="shared" si="30"/>
        <v>1</v>
      </c>
      <c r="AI16" s="149">
        <f t="shared" si="31"/>
        <v>0</v>
      </c>
      <c r="AJ16" s="149">
        <f t="shared" si="32"/>
        <v>0</v>
      </c>
      <c r="AK16" s="149">
        <f t="shared" si="33"/>
        <v>0</v>
      </c>
    </row>
    <row r="17" spans="2:37">
      <c r="B17" s="1695" t="s">
        <v>1419</v>
      </c>
      <c r="C17" s="1695"/>
      <c r="D17" s="153">
        <f t="shared" ref="D17:D26" si="34">SUM(F17:AK17)</f>
        <v>8</v>
      </c>
      <c r="E17" s="553">
        <f t="shared" si="1"/>
        <v>8</v>
      </c>
      <c r="F17" s="553">
        <f t="shared" si="2"/>
        <v>0</v>
      </c>
      <c r="G17" s="553">
        <f t="shared" si="3"/>
        <v>0</v>
      </c>
      <c r="H17" s="553">
        <f t="shared" si="4"/>
        <v>0</v>
      </c>
      <c r="I17" s="553">
        <f t="shared" si="5"/>
        <v>0</v>
      </c>
      <c r="J17" s="553">
        <f t="shared" si="6"/>
        <v>0</v>
      </c>
      <c r="K17" s="765">
        <f t="shared" si="7"/>
        <v>0</v>
      </c>
      <c r="L17" s="553">
        <f t="shared" si="8"/>
        <v>0</v>
      </c>
      <c r="M17" s="553">
        <f t="shared" si="9"/>
        <v>0</v>
      </c>
      <c r="N17" s="553">
        <f t="shared" si="10"/>
        <v>0</v>
      </c>
      <c r="O17" s="765">
        <f t="shared" si="11"/>
        <v>0</v>
      </c>
      <c r="P17" s="553">
        <f t="shared" si="12"/>
        <v>0</v>
      </c>
      <c r="Q17" s="553">
        <f t="shared" si="13"/>
        <v>1</v>
      </c>
      <c r="R17" s="553">
        <f t="shared" si="14"/>
        <v>0</v>
      </c>
      <c r="S17" s="149">
        <f t="shared" si="15"/>
        <v>1</v>
      </c>
      <c r="T17" s="149">
        <f t="shared" si="16"/>
        <v>0</v>
      </c>
      <c r="U17" s="149">
        <f t="shared" si="17"/>
        <v>0</v>
      </c>
      <c r="V17" s="149">
        <f t="shared" si="18"/>
        <v>0</v>
      </c>
      <c r="W17" s="149">
        <f t="shared" si="19"/>
        <v>0</v>
      </c>
      <c r="X17" s="149">
        <f t="shared" si="20"/>
        <v>0</v>
      </c>
      <c r="Y17" s="149">
        <f t="shared" si="21"/>
        <v>0</v>
      </c>
      <c r="Z17" s="149">
        <f t="shared" si="22"/>
        <v>0</v>
      </c>
      <c r="AA17" s="149">
        <f t="shared" si="23"/>
        <v>0</v>
      </c>
      <c r="AB17" s="149">
        <f t="shared" si="24"/>
        <v>0</v>
      </c>
      <c r="AC17" s="149">
        <f t="shared" si="25"/>
        <v>0</v>
      </c>
      <c r="AD17" s="149">
        <f t="shared" si="26"/>
        <v>1</v>
      </c>
      <c r="AE17" s="149">
        <f t="shared" si="27"/>
        <v>0</v>
      </c>
      <c r="AF17" s="149">
        <f t="shared" si="28"/>
        <v>1</v>
      </c>
      <c r="AG17" s="149">
        <f t="shared" si="29"/>
        <v>1</v>
      </c>
      <c r="AH17" s="149">
        <f t="shared" si="30"/>
        <v>1</v>
      </c>
      <c r="AI17" s="149">
        <f t="shared" si="31"/>
        <v>2</v>
      </c>
      <c r="AJ17" s="149">
        <f t="shared" si="32"/>
        <v>0</v>
      </c>
      <c r="AK17" s="149">
        <f t="shared" si="33"/>
        <v>0</v>
      </c>
    </row>
    <row r="18" spans="2:37">
      <c r="B18" s="1695" t="s">
        <v>1420</v>
      </c>
      <c r="C18" s="1695"/>
      <c r="D18" s="153">
        <f t="shared" si="34"/>
        <v>0</v>
      </c>
      <c r="E18" s="553">
        <f t="shared" si="1"/>
        <v>0</v>
      </c>
      <c r="F18" s="553">
        <f t="shared" si="2"/>
        <v>0</v>
      </c>
      <c r="G18" s="553">
        <f t="shared" si="3"/>
        <v>0</v>
      </c>
      <c r="H18" s="553">
        <f t="shared" si="4"/>
        <v>0</v>
      </c>
      <c r="I18" s="553">
        <f t="shared" si="5"/>
        <v>0</v>
      </c>
      <c r="J18" s="553">
        <f t="shared" si="6"/>
        <v>0</v>
      </c>
      <c r="K18" s="765">
        <f t="shared" si="7"/>
        <v>0</v>
      </c>
      <c r="L18" s="553">
        <f t="shared" si="8"/>
        <v>0</v>
      </c>
      <c r="M18" s="553">
        <f t="shared" si="9"/>
        <v>0</v>
      </c>
      <c r="N18" s="553">
        <f t="shared" si="10"/>
        <v>0</v>
      </c>
      <c r="O18" s="765">
        <f t="shared" si="11"/>
        <v>0</v>
      </c>
      <c r="P18" s="553">
        <f t="shared" si="12"/>
        <v>0</v>
      </c>
      <c r="Q18" s="553">
        <f t="shared" si="13"/>
        <v>0</v>
      </c>
      <c r="R18" s="553">
        <f t="shared" si="14"/>
        <v>0</v>
      </c>
      <c r="S18" s="149">
        <f t="shared" si="15"/>
        <v>0</v>
      </c>
      <c r="T18" s="149">
        <f t="shared" si="16"/>
        <v>0</v>
      </c>
      <c r="U18" s="149">
        <f t="shared" si="17"/>
        <v>0</v>
      </c>
      <c r="V18" s="149">
        <f t="shared" si="18"/>
        <v>0</v>
      </c>
      <c r="W18" s="149">
        <f t="shared" si="19"/>
        <v>0</v>
      </c>
      <c r="X18" s="149">
        <f t="shared" si="20"/>
        <v>0</v>
      </c>
      <c r="Y18" s="149">
        <f t="shared" si="21"/>
        <v>0</v>
      </c>
      <c r="Z18" s="149">
        <f t="shared" si="22"/>
        <v>0</v>
      </c>
      <c r="AA18" s="149">
        <f t="shared" si="23"/>
        <v>0</v>
      </c>
      <c r="AB18" s="149">
        <f t="shared" si="24"/>
        <v>0</v>
      </c>
      <c r="AC18" s="149">
        <f t="shared" si="25"/>
        <v>0</v>
      </c>
      <c r="AD18" s="149">
        <f t="shared" si="26"/>
        <v>0</v>
      </c>
      <c r="AE18" s="149">
        <f t="shared" si="27"/>
        <v>0</v>
      </c>
      <c r="AF18" s="149">
        <f t="shared" si="28"/>
        <v>0</v>
      </c>
      <c r="AG18" s="149">
        <f t="shared" si="29"/>
        <v>0</v>
      </c>
      <c r="AH18" s="149">
        <f t="shared" si="30"/>
        <v>0</v>
      </c>
      <c r="AI18" s="149">
        <f t="shared" si="31"/>
        <v>0</v>
      </c>
      <c r="AJ18" s="149">
        <f t="shared" si="32"/>
        <v>0</v>
      </c>
      <c r="AK18" s="149">
        <f t="shared" si="33"/>
        <v>0</v>
      </c>
    </row>
    <row r="19" spans="2:37">
      <c r="B19" s="1695" t="s">
        <v>1421</v>
      </c>
      <c r="C19" s="1695"/>
      <c r="D19" s="153">
        <f t="shared" si="34"/>
        <v>184</v>
      </c>
      <c r="E19" s="553">
        <f t="shared" si="1"/>
        <v>184</v>
      </c>
      <c r="F19" s="553">
        <f t="shared" si="2"/>
        <v>0</v>
      </c>
      <c r="G19" s="553">
        <f t="shared" si="3"/>
        <v>0</v>
      </c>
      <c r="H19" s="553">
        <f t="shared" si="4"/>
        <v>0</v>
      </c>
      <c r="I19" s="553">
        <f t="shared" si="5"/>
        <v>0</v>
      </c>
      <c r="J19" s="553">
        <f t="shared" si="6"/>
        <v>0</v>
      </c>
      <c r="K19" s="765">
        <f t="shared" si="7"/>
        <v>0</v>
      </c>
      <c r="L19" s="553">
        <f t="shared" si="8"/>
        <v>0</v>
      </c>
      <c r="M19" s="553">
        <f t="shared" si="9"/>
        <v>0</v>
      </c>
      <c r="N19" s="553">
        <f t="shared" si="10"/>
        <v>0</v>
      </c>
      <c r="O19" s="765">
        <f t="shared" si="11"/>
        <v>0</v>
      </c>
      <c r="P19" s="553">
        <f t="shared" si="12"/>
        <v>36</v>
      </c>
      <c r="Q19" s="553">
        <f t="shared" si="13"/>
        <v>26</v>
      </c>
      <c r="R19" s="553">
        <f t="shared" si="14"/>
        <v>27</v>
      </c>
      <c r="S19" s="149">
        <f t="shared" si="15"/>
        <v>42</v>
      </c>
      <c r="T19" s="149">
        <f t="shared" si="16"/>
        <v>0</v>
      </c>
      <c r="U19" s="149">
        <f t="shared" si="17"/>
        <v>0</v>
      </c>
      <c r="V19" s="149">
        <f t="shared" si="18"/>
        <v>0</v>
      </c>
      <c r="W19" s="149">
        <f t="shared" si="19"/>
        <v>0</v>
      </c>
      <c r="X19" s="149">
        <f t="shared" si="20"/>
        <v>0</v>
      </c>
      <c r="Y19" s="149">
        <f t="shared" si="21"/>
        <v>1</v>
      </c>
      <c r="Z19" s="149">
        <f t="shared" si="22"/>
        <v>2</v>
      </c>
      <c r="AA19" s="149">
        <f t="shared" si="23"/>
        <v>6</v>
      </c>
      <c r="AB19" s="149">
        <f t="shared" si="24"/>
        <v>0</v>
      </c>
      <c r="AC19" s="149">
        <f t="shared" si="25"/>
        <v>1</v>
      </c>
      <c r="AD19" s="149">
        <f t="shared" si="26"/>
        <v>4</v>
      </c>
      <c r="AE19" s="149">
        <f t="shared" si="27"/>
        <v>5</v>
      </c>
      <c r="AF19" s="149">
        <f t="shared" si="28"/>
        <v>4</v>
      </c>
      <c r="AG19" s="149">
        <f t="shared" si="29"/>
        <v>6</v>
      </c>
      <c r="AH19" s="149">
        <f t="shared" si="30"/>
        <v>11</v>
      </c>
      <c r="AI19" s="149">
        <f t="shared" si="31"/>
        <v>13</v>
      </c>
      <c r="AJ19" s="149">
        <f t="shared" si="32"/>
        <v>0</v>
      </c>
      <c r="AK19" s="149">
        <f t="shared" si="33"/>
        <v>0</v>
      </c>
    </row>
    <row r="20" spans="2:37">
      <c r="B20" s="1695" t="s">
        <v>1422</v>
      </c>
      <c r="C20" s="1695"/>
      <c r="D20" s="153">
        <f t="shared" si="34"/>
        <v>0</v>
      </c>
      <c r="E20" s="553">
        <f t="shared" si="1"/>
        <v>0</v>
      </c>
      <c r="F20" s="553">
        <f t="shared" si="2"/>
        <v>0</v>
      </c>
      <c r="G20" s="553">
        <f t="shared" si="3"/>
        <v>0</v>
      </c>
      <c r="H20" s="553">
        <f t="shared" si="4"/>
        <v>0</v>
      </c>
      <c r="I20" s="553">
        <f t="shared" si="5"/>
        <v>0</v>
      </c>
      <c r="J20" s="553">
        <f t="shared" si="6"/>
        <v>0</v>
      </c>
      <c r="K20" s="765">
        <f t="shared" si="7"/>
        <v>0</v>
      </c>
      <c r="L20" s="553">
        <f t="shared" si="8"/>
        <v>0</v>
      </c>
      <c r="M20" s="553">
        <f t="shared" si="9"/>
        <v>0</v>
      </c>
      <c r="N20" s="553">
        <f t="shared" si="10"/>
        <v>0</v>
      </c>
      <c r="O20" s="765">
        <f t="shared" si="11"/>
        <v>0</v>
      </c>
      <c r="P20" s="553">
        <f t="shared" si="12"/>
        <v>0</v>
      </c>
      <c r="Q20" s="553">
        <f t="shared" si="13"/>
        <v>0</v>
      </c>
      <c r="R20" s="553">
        <f t="shared" si="14"/>
        <v>0</v>
      </c>
      <c r="S20" s="149">
        <f t="shared" si="15"/>
        <v>0</v>
      </c>
      <c r="T20" s="149">
        <f t="shared" si="16"/>
        <v>0</v>
      </c>
      <c r="U20" s="149">
        <f t="shared" si="17"/>
        <v>0</v>
      </c>
      <c r="V20" s="149">
        <f t="shared" si="18"/>
        <v>0</v>
      </c>
      <c r="W20" s="149">
        <f t="shared" si="19"/>
        <v>0</v>
      </c>
      <c r="X20" s="149">
        <f t="shared" si="20"/>
        <v>0</v>
      </c>
      <c r="Y20" s="149">
        <f t="shared" si="21"/>
        <v>0</v>
      </c>
      <c r="Z20" s="149">
        <f t="shared" si="22"/>
        <v>0</v>
      </c>
      <c r="AA20" s="149">
        <f t="shared" si="23"/>
        <v>0</v>
      </c>
      <c r="AB20" s="149">
        <f t="shared" si="24"/>
        <v>0</v>
      </c>
      <c r="AC20" s="149">
        <f t="shared" si="25"/>
        <v>0</v>
      </c>
      <c r="AD20" s="149">
        <f t="shared" si="26"/>
        <v>0</v>
      </c>
      <c r="AE20" s="149">
        <f t="shared" si="27"/>
        <v>0</v>
      </c>
      <c r="AF20" s="149">
        <f t="shared" si="28"/>
        <v>0</v>
      </c>
      <c r="AG20" s="149">
        <f t="shared" si="29"/>
        <v>0</v>
      </c>
      <c r="AH20" s="149">
        <f t="shared" si="30"/>
        <v>0</v>
      </c>
      <c r="AI20" s="149">
        <f t="shared" si="31"/>
        <v>0</v>
      </c>
      <c r="AJ20" s="149">
        <f t="shared" si="32"/>
        <v>0</v>
      </c>
      <c r="AK20" s="149">
        <f t="shared" si="33"/>
        <v>0</v>
      </c>
    </row>
    <row r="21" spans="2:37">
      <c r="B21" s="1695" t="s">
        <v>1423</v>
      </c>
      <c r="C21" s="1695"/>
      <c r="D21" s="153">
        <f t="shared" si="34"/>
        <v>1</v>
      </c>
      <c r="E21" s="553">
        <f t="shared" si="1"/>
        <v>1</v>
      </c>
      <c r="F21" s="553">
        <f t="shared" si="2"/>
        <v>0</v>
      </c>
      <c r="G21" s="553">
        <f t="shared" si="3"/>
        <v>0</v>
      </c>
      <c r="H21" s="553">
        <f t="shared" si="4"/>
        <v>0</v>
      </c>
      <c r="I21" s="553">
        <f t="shared" si="5"/>
        <v>0</v>
      </c>
      <c r="J21" s="553">
        <f t="shared" si="6"/>
        <v>0</v>
      </c>
      <c r="K21" s="765">
        <f t="shared" si="7"/>
        <v>0</v>
      </c>
      <c r="L21" s="553">
        <f t="shared" si="8"/>
        <v>0</v>
      </c>
      <c r="M21" s="553">
        <f t="shared" si="9"/>
        <v>0</v>
      </c>
      <c r="N21" s="553">
        <f t="shared" si="10"/>
        <v>0</v>
      </c>
      <c r="O21" s="765">
        <f t="shared" si="11"/>
        <v>0</v>
      </c>
      <c r="P21" s="553">
        <f t="shared" si="12"/>
        <v>0</v>
      </c>
      <c r="Q21" s="553">
        <f t="shared" si="13"/>
        <v>1</v>
      </c>
      <c r="R21" s="553">
        <f t="shared" si="14"/>
        <v>0</v>
      </c>
      <c r="S21" s="149">
        <f t="shared" si="15"/>
        <v>0</v>
      </c>
      <c r="T21" s="149">
        <f t="shared" si="16"/>
        <v>0</v>
      </c>
      <c r="U21" s="149">
        <f t="shared" si="17"/>
        <v>0</v>
      </c>
      <c r="V21" s="149">
        <f t="shared" si="18"/>
        <v>0</v>
      </c>
      <c r="W21" s="149">
        <f t="shared" si="19"/>
        <v>0</v>
      </c>
      <c r="X21" s="149">
        <f t="shared" si="20"/>
        <v>0</v>
      </c>
      <c r="Y21" s="149">
        <f t="shared" si="21"/>
        <v>0</v>
      </c>
      <c r="Z21" s="149">
        <f t="shared" si="22"/>
        <v>0</v>
      </c>
      <c r="AA21" s="149">
        <f t="shared" si="23"/>
        <v>0</v>
      </c>
      <c r="AB21" s="149">
        <f t="shared" si="24"/>
        <v>0</v>
      </c>
      <c r="AC21" s="149">
        <f t="shared" si="25"/>
        <v>0</v>
      </c>
      <c r="AD21" s="149">
        <f t="shared" si="26"/>
        <v>0</v>
      </c>
      <c r="AE21" s="149">
        <f t="shared" si="27"/>
        <v>0</v>
      </c>
      <c r="AF21" s="149">
        <f t="shared" si="28"/>
        <v>0</v>
      </c>
      <c r="AG21" s="149">
        <f t="shared" si="29"/>
        <v>0</v>
      </c>
      <c r="AH21" s="149">
        <f t="shared" si="30"/>
        <v>0</v>
      </c>
      <c r="AI21" s="149">
        <f t="shared" si="31"/>
        <v>0</v>
      </c>
      <c r="AJ21" s="149">
        <f t="shared" si="32"/>
        <v>0</v>
      </c>
      <c r="AK21" s="149">
        <f t="shared" si="33"/>
        <v>0</v>
      </c>
    </row>
    <row r="22" spans="2:37">
      <c r="B22" s="1695" t="s">
        <v>1424</v>
      </c>
      <c r="C22" s="1695"/>
      <c r="D22" s="153">
        <f t="shared" si="34"/>
        <v>0</v>
      </c>
      <c r="E22" s="553">
        <f t="shared" si="1"/>
        <v>0</v>
      </c>
      <c r="F22" s="553">
        <f t="shared" si="2"/>
        <v>0</v>
      </c>
      <c r="G22" s="553">
        <f t="shared" si="3"/>
        <v>0</v>
      </c>
      <c r="H22" s="553">
        <f t="shared" si="4"/>
        <v>0</v>
      </c>
      <c r="I22" s="553">
        <f t="shared" si="5"/>
        <v>0</v>
      </c>
      <c r="J22" s="553">
        <f t="shared" si="6"/>
        <v>0</v>
      </c>
      <c r="K22" s="765">
        <f t="shared" si="7"/>
        <v>0</v>
      </c>
      <c r="L22" s="553">
        <f t="shared" si="8"/>
        <v>0</v>
      </c>
      <c r="M22" s="553">
        <f t="shared" si="9"/>
        <v>0</v>
      </c>
      <c r="N22" s="553">
        <f t="shared" si="10"/>
        <v>0</v>
      </c>
      <c r="O22" s="765">
        <f t="shared" si="11"/>
        <v>0</v>
      </c>
      <c r="P22" s="553">
        <f t="shared" si="12"/>
        <v>0</v>
      </c>
      <c r="Q22" s="553">
        <f t="shared" si="13"/>
        <v>0</v>
      </c>
      <c r="R22" s="553">
        <f t="shared" si="14"/>
        <v>0</v>
      </c>
      <c r="S22" s="149">
        <f t="shared" si="15"/>
        <v>0</v>
      </c>
      <c r="T22" s="149">
        <f t="shared" si="16"/>
        <v>0</v>
      </c>
      <c r="U22" s="149">
        <f t="shared" si="17"/>
        <v>0</v>
      </c>
      <c r="V22" s="149">
        <f t="shared" si="18"/>
        <v>0</v>
      </c>
      <c r="W22" s="149">
        <f t="shared" si="19"/>
        <v>0</v>
      </c>
      <c r="X22" s="149">
        <f t="shared" si="20"/>
        <v>0</v>
      </c>
      <c r="Y22" s="149">
        <f t="shared" si="21"/>
        <v>0</v>
      </c>
      <c r="Z22" s="149">
        <f t="shared" si="22"/>
        <v>0</v>
      </c>
      <c r="AA22" s="149">
        <f t="shared" si="23"/>
        <v>0</v>
      </c>
      <c r="AB22" s="149">
        <f t="shared" si="24"/>
        <v>0</v>
      </c>
      <c r="AC22" s="149">
        <f t="shared" si="25"/>
        <v>0</v>
      </c>
      <c r="AD22" s="149">
        <f t="shared" si="26"/>
        <v>0</v>
      </c>
      <c r="AE22" s="149">
        <f t="shared" si="27"/>
        <v>0</v>
      </c>
      <c r="AF22" s="149">
        <f t="shared" si="28"/>
        <v>0</v>
      </c>
      <c r="AG22" s="149">
        <f t="shared" si="29"/>
        <v>0</v>
      </c>
      <c r="AH22" s="149">
        <f t="shared" si="30"/>
        <v>0</v>
      </c>
      <c r="AI22" s="149">
        <f t="shared" si="31"/>
        <v>0</v>
      </c>
      <c r="AJ22" s="149">
        <f t="shared" si="32"/>
        <v>0</v>
      </c>
      <c r="AK22" s="149">
        <f t="shared" si="33"/>
        <v>0</v>
      </c>
    </row>
    <row r="23" spans="2:37">
      <c r="B23" s="1695" t="s">
        <v>1425</v>
      </c>
      <c r="C23" s="1695"/>
      <c r="D23" s="153">
        <f t="shared" si="34"/>
        <v>2</v>
      </c>
      <c r="E23" s="553">
        <f t="shared" si="1"/>
        <v>2</v>
      </c>
      <c r="F23" s="553">
        <f t="shared" si="2"/>
        <v>0</v>
      </c>
      <c r="G23" s="553">
        <f t="shared" si="3"/>
        <v>0</v>
      </c>
      <c r="H23" s="553">
        <f t="shared" si="4"/>
        <v>0</v>
      </c>
      <c r="I23" s="553">
        <f t="shared" si="5"/>
        <v>0</v>
      </c>
      <c r="J23" s="553">
        <f t="shared" si="6"/>
        <v>0</v>
      </c>
      <c r="K23" s="765">
        <f t="shared" si="7"/>
        <v>0</v>
      </c>
      <c r="L23" s="553">
        <f t="shared" si="8"/>
        <v>0</v>
      </c>
      <c r="M23" s="553">
        <f t="shared" si="9"/>
        <v>0</v>
      </c>
      <c r="N23" s="553">
        <f t="shared" si="10"/>
        <v>0</v>
      </c>
      <c r="O23" s="765">
        <f t="shared" si="11"/>
        <v>0</v>
      </c>
      <c r="P23" s="553">
        <f t="shared" si="12"/>
        <v>0</v>
      </c>
      <c r="Q23" s="553">
        <f t="shared" si="13"/>
        <v>0</v>
      </c>
      <c r="R23" s="553">
        <f t="shared" si="14"/>
        <v>0</v>
      </c>
      <c r="S23" s="149">
        <f t="shared" si="15"/>
        <v>0</v>
      </c>
      <c r="T23" s="149">
        <f t="shared" si="16"/>
        <v>0</v>
      </c>
      <c r="U23" s="149">
        <f t="shared" si="17"/>
        <v>0</v>
      </c>
      <c r="V23" s="149">
        <f t="shared" si="18"/>
        <v>0</v>
      </c>
      <c r="W23" s="149">
        <f t="shared" si="19"/>
        <v>0</v>
      </c>
      <c r="X23" s="149">
        <f t="shared" si="20"/>
        <v>0</v>
      </c>
      <c r="Y23" s="149">
        <f t="shared" si="21"/>
        <v>0</v>
      </c>
      <c r="Z23" s="149">
        <f t="shared" si="22"/>
        <v>0</v>
      </c>
      <c r="AA23" s="149">
        <f t="shared" si="23"/>
        <v>0</v>
      </c>
      <c r="AB23" s="149">
        <f t="shared" si="24"/>
        <v>0</v>
      </c>
      <c r="AC23" s="149">
        <f t="shared" si="25"/>
        <v>0</v>
      </c>
      <c r="AD23" s="149">
        <f t="shared" si="26"/>
        <v>0</v>
      </c>
      <c r="AE23" s="149">
        <f t="shared" si="27"/>
        <v>0</v>
      </c>
      <c r="AF23" s="149">
        <f t="shared" si="28"/>
        <v>0</v>
      </c>
      <c r="AG23" s="149">
        <f t="shared" si="29"/>
        <v>0</v>
      </c>
      <c r="AH23" s="149">
        <f t="shared" si="30"/>
        <v>1</v>
      </c>
      <c r="AI23" s="149">
        <f t="shared" si="31"/>
        <v>1</v>
      </c>
      <c r="AJ23" s="149">
        <f t="shared" si="32"/>
        <v>0</v>
      </c>
      <c r="AK23" s="149">
        <f t="shared" si="33"/>
        <v>0</v>
      </c>
    </row>
    <row r="24" spans="2:37">
      <c r="B24" s="1695" t="s">
        <v>1426</v>
      </c>
      <c r="C24" s="1695"/>
      <c r="D24" s="153">
        <f t="shared" si="34"/>
        <v>0</v>
      </c>
      <c r="E24" s="553">
        <f t="shared" si="1"/>
        <v>0</v>
      </c>
      <c r="F24" s="553">
        <f t="shared" si="2"/>
        <v>0</v>
      </c>
      <c r="G24" s="553">
        <f t="shared" si="3"/>
        <v>0</v>
      </c>
      <c r="H24" s="553">
        <f t="shared" si="4"/>
        <v>0</v>
      </c>
      <c r="I24" s="553">
        <f t="shared" si="5"/>
        <v>0</v>
      </c>
      <c r="J24" s="553">
        <f t="shared" si="6"/>
        <v>0</v>
      </c>
      <c r="K24" s="765">
        <f t="shared" si="7"/>
        <v>0</v>
      </c>
      <c r="L24" s="553">
        <f t="shared" si="8"/>
        <v>0</v>
      </c>
      <c r="M24" s="553">
        <f t="shared" si="9"/>
        <v>0</v>
      </c>
      <c r="N24" s="553">
        <f t="shared" si="10"/>
        <v>0</v>
      </c>
      <c r="O24" s="765">
        <f t="shared" si="11"/>
        <v>0</v>
      </c>
      <c r="P24" s="553">
        <f t="shared" si="12"/>
        <v>0</v>
      </c>
      <c r="Q24" s="553">
        <f t="shared" si="13"/>
        <v>0</v>
      </c>
      <c r="R24" s="553">
        <f t="shared" si="14"/>
        <v>0</v>
      </c>
      <c r="S24" s="149">
        <f t="shared" si="15"/>
        <v>0</v>
      </c>
      <c r="T24" s="149">
        <f t="shared" si="16"/>
        <v>0</v>
      </c>
      <c r="U24" s="149">
        <f t="shared" si="17"/>
        <v>0</v>
      </c>
      <c r="V24" s="149">
        <f t="shared" si="18"/>
        <v>0</v>
      </c>
      <c r="W24" s="149">
        <f t="shared" si="19"/>
        <v>0</v>
      </c>
      <c r="X24" s="149">
        <f t="shared" si="20"/>
        <v>0</v>
      </c>
      <c r="Y24" s="149">
        <f t="shared" si="21"/>
        <v>0</v>
      </c>
      <c r="Z24" s="149">
        <f t="shared" si="22"/>
        <v>0</v>
      </c>
      <c r="AA24" s="149">
        <f t="shared" si="23"/>
        <v>0</v>
      </c>
      <c r="AB24" s="149">
        <f t="shared" si="24"/>
        <v>0</v>
      </c>
      <c r="AC24" s="149">
        <f t="shared" si="25"/>
        <v>0</v>
      </c>
      <c r="AD24" s="149">
        <f t="shared" si="26"/>
        <v>0</v>
      </c>
      <c r="AE24" s="149">
        <f t="shared" si="27"/>
        <v>0</v>
      </c>
      <c r="AF24" s="149">
        <f t="shared" si="28"/>
        <v>0</v>
      </c>
      <c r="AG24" s="149">
        <f t="shared" si="29"/>
        <v>0</v>
      </c>
      <c r="AH24" s="149">
        <f t="shared" si="30"/>
        <v>0</v>
      </c>
      <c r="AI24" s="149">
        <f t="shared" si="31"/>
        <v>0</v>
      </c>
      <c r="AJ24" s="149">
        <f t="shared" si="32"/>
        <v>0</v>
      </c>
      <c r="AK24" s="149">
        <f t="shared" si="33"/>
        <v>0</v>
      </c>
    </row>
    <row r="25" spans="2:37">
      <c r="B25" s="1695" t="s">
        <v>1427</v>
      </c>
      <c r="C25" s="1695"/>
      <c r="D25" s="153">
        <f t="shared" si="34"/>
        <v>18</v>
      </c>
      <c r="E25" s="553">
        <f t="shared" si="1"/>
        <v>18</v>
      </c>
      <c r="F25" s="553">
        <f t="shared" si="2"/>
        <v>0</v>
      </c>
      <c r="G25" s="553">
        <f t="shared" si="3"/>
        <v>0</v>
      </c>
      <c r="H25" s="553">
        <f t="shared" si="4"/>
        <v>0</v>
      </c>
      <c r="I25" s="553">
        <f t="shared" si="5"/>
        <v>0</v>
      </c>
      <c r="J25" s="553">
        <f t="shared" si="6"/>
        <v>0</v>
      </c>
      <c r="K25" s="765">
        <f t="shared" si="7"/>
        <v>0</v>
      </c>
      <c r="L25" s="553">
        <f t="shared" si="8"/>
        <v>0</v>
      </c>
      <c r="M25" s="553">
        <f t="shared" si="9"/>
        <v>0</v>
      </c>
      <c r="N25" s="553">
        <f t="shared" si="10"/>
        <v>0</v>
      </c>
      <c r="O25" s="765">
        <f t="shared" si="11"/>
        <v>0</v>
      </c>
      <c r="P25" s="553">
        <f t="shared" si="12"/>
        <v>2</v>
      </c>
      <c r="Q25" s="553">
        <f t="shared" si="13"/>
        <v>0</v>
      </c>
      <c r="R25" s="553">
        <f t="shared" si="14"/>
        <v>1</v>
      </c>
      <c r="S25" s="149">
        <f t="shared" si="15"/>
        <v>3</v>
      </c>
      <c r="T25" s="149">
        <f t="shared" si="16"/>
        <v>0</v>
      </c>
      <c r="U25" s="149">
        <f t="shared" si="17"/>
        <v>0</v>
      </c>
      <c r="V25" s="149">
        <f t="shared" si="18"/>
        <v>0</v>
      </c>
      <c r="W25" s="149">
        <f t="shared" si="19"/>
        <v>0</v>
      </c>
      <c r="X25" s="149">
        <f t="shared" si="20"/>
        <v>0</v>
      </c>
      <c r="Y25" s="149">
        <f t="shared" si="21"/>
        <v>0</v>
      </c>
      <c r="Z25" s="149">
        <f t="shared" si="22"/>
        <v>0</v>
      </c>
      <c r="AA25" s="149">
        <f t="shared" si="23"/>
        <v>2</v>
      </c>
      <c r="AB25" s="149">
        <f t="shared" si="24"/>
        <v>0</v>
      </c>
      <c r="AC25" s="149">
        <f t="shared" si="25"/>
        <v>0</v>
      </c>
      <c r="AD25" s="149">
        <f t="shared" si="26"/>
        <v>0</v>
      </c>
      <c r="AE25" s="149">
        <f t="shared" si="27"/>
        <v>0</v>
      </c>
      <c r="AF25" s="149">
        <f t="shared" si="28"/>
        <v>1</v>
      </c>
      <c r="AG25" s="149">
        <f t="shared" si="29"/>
        <v>3</v>
      </c>
      <c r="AH25" s="149">
        <f t="shared" si="30"/>
        <v>4</v>
      </c>
      <c r="AI25" s="149">
        <f t="shared" si="31"/>
        <v>2</v>
      </c>
      <c r="AJ25" s="149">
        <f t="shared" si="32"/>
        <v>0</v>
      </c>
      <c r="AK25" s="149">
        <f t="shared" si="33"/>
        <v>0</v>
      </c>
    </row>
    <row r="26" spans="2:37">
      <c r="B26" s="1695" t="s">
        <v>1428</v>
      </c>
      <c r="C26" s="1695"/>
      <c r="D26" s="153">
        <f t="shared" si="34"/>
        <v>47</v>
      </c>
      <c r="E26" s="553">
        <f t="shared" si="1"/>
        <v>47</v>
      </c>
      <c r="F26" s="553">
        <f t="shared" si="2"/>
        <v>0</v>
      </c>
      <c r="G26" s="553">
        <f t="shared" si="3"/>
        <v>0</v>
      </c>
      <c r="H26" s="553">
        <f t="shared" si="4"/>
        <v>0</v>
      </c>
      <c r="I26" s="553">
        <f t="shared" si="5"/>
        <v>0</v>
      </c>
      <c r="J26" s="553">
        <f t="shared" si="6"/>
        <v>4</v>
      </c>
      <c r="K26" s="765">
        <f t="shared" si="7"/>
        <v>8</v>
      </c>
      <c r="L26" s="553">
        <f t="shared" si="8"/>
        <v>5</v>
      </c>
      <c r="M26" s="553">
        <f t="shared" si="9"/>
        <v>7</v>
      </c>
      <c r="N26" s="553">
        <f t="shared" si="10"/>
        <v>7</v>
      </c>
      <c r="O26" s="765">
        <f t="shared" si="11"/>
        <v>3</v>
      </c>
      <c r="P26" s="553">
        <f t="shared" si="12"/>
        <v>0</v>
      </c>
      <c r="Q26" s="553">
        <f t="shared" si="13"/>
        <v>3</v>
      </c>
      <c r="R26" s="553">
        <f t="shared" si="14"/>
        <v>3</v>
      </c>
      <c r="S26" s="149">
        <f t="shared" si="15"/>
        <v>3</v>
      </c>
      <c r="T26" s="149">
        <f t="shared" si="16"/>
        <v>2</v>
      </c>
      <c r="U26" s="149">
        <f t="shared" si="17"/>
        <v>1</v>
      </c>
      <c r="V26" s="149">
        <f t="shared" si="18"/>
        <v>0</v>
      </c>
      <c r="W26" s="149">
        <f t="shared" si="19"/>
        <v>1</v>
      </c>
      <c r="X26" s="149">
        <f t="shared" si="20"/>
        <v>0</v>
      </c>
      <c r="Y26" s="149">
        <f t="shared" si="21"/>
        <v>0</v>
      </c>
      <c r="Z26" s="149">
        <f t="shared" si="22"/>
        <v>0</v>
      </c>
      <c r="AA26" s="149">
        <f t="shared" si="23"/>
        <v>0</v>
      </c>
      <c r="AB26" s="149">
        <f t="shared" si="24"/>
        <v>0</v>
      </c>
      <c r="AC26" s="149">
        <f t="shared" si="25"/>
        <v>0</v>
      </c>
      <c r="AD26" s="149">
        <f t="shared" si="26"/>
        <v>0</v>
      </c>
      <c r="AE26" s="149">
        <f t="shared" si="27"/>
        <v>0</v>
      </c>
      <c r="AF26" s="149">
        <f t="shared" si="28"/>
        <v>0</v>
      </c>
      <c r="AG26" s="149">
        <f t="shared" si="29"/>
        <v>0</v>
      </c>
      <c r="AH26" s="149">
        <f t="shared" si="30"/>
        <v>0</v>
      </c>
      <c r="AI26" s="149">
        <f t="shared" si="31"/>
        <v>0</v>
      </c>
      <c r="AJ26" s="149">
        <f t="shared" si="32"/>
        <v>0</v>
      </c>
      <c r="AK26" s="149">
        <f t="shared" si="33"/>
        <v>0</v>
      </c>
    </row>
    <row r="27" spans="2:37">
      <c r="B27" s="151"/>
      <c r="C27" s="151"/>
      <c r="D27" s="151"/>
      <c r="E27" s="553"/>
      <c r="F27" s="553"/>
      <c r="G27" s="553"/>
      <c r="H27" s="553"/>
      <c r="I27" s="553"/>
      <c r="J27" s="553"/>
      <c r="K27" s="765"/>
      <c r="L27" s="553"/>
      <c r="M27" s="553"/>
      <c r="N27" s="553"/>
      <c r="O27" s="765"/>
      <c r="P27" s="553"/>
      <c r="Q27" s="553"/>
      <c r="R27" s="553"/>
    </row>
    <row r="28" spans="2:37" ht="13" thickBot="1">
      <c r="B28" s="151"/>
      <c r="C28" s="151"/>
      <c r="D28" s="151"/>
      <c r="E28" s="553"/>
      <c r="F28" s="553"/>
      <c r="G28" s="553"/>
      <c r="H28" s="553"/>
      <c r="I28" s="553"/>
      <c r="J28" s="553"/>
      <c r="K28" s="765"/>
      <c r="L28" s="553"/>
      <c r="M28" s="553"/>
      <c r="N28" s="553"/>
      <c r="O28" s="765"/>
      <c r="P28" s="553"/>
      <c r="Q28" s="553"/>
      <c r="R28" s="553"/>
    </row>
    <row r="29" spans="2:37">
      <c r="B29" s="1708" t="s">
        <v>1407</v>
      </c>
      <c r="C29" s="1709"/>
      <c r="D29" s="1710"/>
      <c r="E29" s="553"/>
      <c r="F29" s="553"/>
      <c r="G29" s="553"/>
      <c r="H29" s="553"/>
      <c r="I29" s="553"/>
      <c r="J29" s="553"/>
      <c r="K29" s="765"/>
      <c r="L29" s="553"/>
      <c r="M29" s="553"/>
      <c r="N29" s="553"/>
      <c r="O29" s="765"/>
      <c r="P29" s="553"/>
      <c r="Q29" s="553"/>
      <c r="R29" s="553"/>
    </row>
    <row r="30" spans="2:37" ht="13" thickBot="1">
      <c r="B30" s="1711"/>
      <c r="C30" s="1712"/>
      <c r="D30" s="1713"/>
      <c r="E30" s="553"/>
      <c r="F30" s="553"/>
      <c r="G30" s="553"/>
      <c r="H30" s="553"/>
      <c r="I30" s="553"/>
      <c r="J30" s="553"/>
      <c r="K30" s="765"/>
      <c r="L30" s="553"/>
      <c r="M30" s="553"/>
      <c r="N30" s="553"/>
      <c r="O30" s="765"/>
      <c r="P30" s="553"/>
      <c r="Q30" s="553"/>
      <c r="R30" s="553"/>
    </row>
    <row r="31" spans="2:37" ht="13" thickBot="1">
      <c r="B31" s="1720" t="s">
        <v>461</v>
      </c>
      <c r="C31" s="1721"/>
      <c r="D31" s="152" t="s">
        <v>462</v>
      </c>
      <c r="E31" s="553"/>
      <c r="F31" s="553"/>
      <c r="G31" s="553"/>
      <c r="H31" s="553"/>
      <c r="I31" s="553"/>
      <c r="J31" s="553"/>
      <c r="K31" s="765"/>
      <c r="L31" s="553"/>
      <c r="M31" s="553"/>
      <c r="N31" s="553"/>
      <c r="O31" s="765"/>
      <c r="P31" s="553"/>
      <c r="Q31" s="553"/>
      <c r="R31" s="553"/>
    </row>
    <row r="32" spans="2:37">
      <c r="B32" s="1697" t="s">
        <v>4115</v>
      </c>
      <c r="C32" s="1697"/>
      <c r="D32" s="153">
        <f>SUM(F32:AK32)</f>
        <v>70</v>
      </c>
      <c r="E32" s="553">
        <f t="shared" ref="E32:E43" si="35">SUM(F32:AK32)</f>
        <v>70</v>
      </c>
      <c r="F32" s="553">
        <f t="shared" ref="F32:F43" si="36">COUNTIF(Area_v1RISHER,$B32)</f>
        <v>0</v>
      </c>
      <c r="G32" s="553">
        <f t="shared" ref="G32:G43" si="37">COUNTIF(Area_v2RISHER,$B32)</f>
        <v>0</v>
      </c>
      <c r="H32" s="553">
        <f t="shared" ref="H32:H43" si="38">COUNTIF(Area_v1RAANHER,$B32)</f>
        <v>0</v>
      </c>
      <c r="I32" s="553">
        <f t="shared" ref="I32:I43" si="39">COUNTIF(Area_v2RAANHER,$B32)</f>
        <v>0</v>
      </c>
      <c r="J32" s="553">
        <f t="shared" ref="J32:J43" si="40">COUNTIF(Area_v1HER,$B32)</f>
        <v>0</v>
      </c>
      <c r="K32" s="765">
        <f t="shared" ref="K32:K43" si="41">COUNTIF(Area_v2HER,$B32)</f>
        <v>0</v>
      </c>
      <c r="L32" s="553">
        <f t="shared" ref="L32:L43" si="42">COUNTIF(Area_v3HER,$B32)</f>
        <v>0</v>
      </c>
      <c r="M32" s="553">
        <f t="shared" ref="M32:M43" si="43">COUNTIF(Area_v4HER,$B32)</f>
        <v>0</v>
      </c>
      <c r="N32" s="553">
        <f t="shared" ref="N32:N43" si="44">COUNTIF(Area_v5HER,$B32)</f>
        <v>0</v>
      </c>
      <c r="O32" s="765">
        <f t="shared" ref="O32:O43" si="45">COUNTIF(Area_v6HER,$B32)</f>
        <v>0</v>
      </c>
      <c r="P32" s="553">
        <f t="shared" ref="P32:P43" si="46">COUNTIF(Area_v1HERTSA,$B32)</f>
        <v>8</v>
      </c>
      <c r="Q32" s="553">
        <f t="shared" ref="Q32:Q43" si="47">COUNTIF(Area_v2HERTSA,$B32)</f>
        <v>18</v>
      </c>
      <c r="R32" s="553">
        <f t="shared" ref="R32:R43" si="48">COUNTIF(Area_v3HERTSA,$B32)</f>
        <v>7</v>
      </c>
      <c r="S32" s="149">
        <f t="shared" ref="S32:S43" si="49">COUNTIF(Area_v4HERTSA,$B32)</f>
        <v>12</v>
      </c>
      <c r="T32" s="149">
        <f t="shared" ref="T32:T43" si="50">COUNTIF(Area_v5HERTSA,$B32)</f>
        <v>0</v>
      </c>
      <c r="U32" s="149">
        <f t="shared" ref="U32:U43" si="51">COUNTIF(Area_v5BBRHER,$B32)</f>
        <v>0</v>
      </c>
      <c r="V32" s="149">
        <f t="shared" ref="V32:V43" si="52">COUNTIF(Area_v1BBRTUN,$B32)</f>
        <v>0</v>
      </c>
      <c r="W32" s="149">
        <f t="shared" ref="W32:W43" si="53">COUNTIF(Area_v2BBRTUN,$B32)</f>
        <v>0</v>
      </c>
      <c r="X32" s="149">
        <f t="shared" ref="X32:X43" si="54">COUNTIF(Area_v51HERTSA,$B32)</f>
        <v>4</v>
      </c>
      <c r="Y32" s="149">
        <f t="shared" ref="Y32:Y43" si="55">COUNTIF(Area_v52HERTSA,$B32)</f>
        <v>1</v>
      </c>
      <c r="Z32" s="149">
        <f t="shared" ref="Z32:Z43" si="56">COUNTIF(Area_v53HERTSA,$B32)</f>
        <v>0</v>
      </c>
      <c r="AA32" s="149">
        <f t="shared" ref="AA32:AA43" si="57">COUNTIF(Area_v1TSA,$B32)</f>
        <v>0</v>
      </c>
      <c r="AB32" s="149">
        <f t="shared" ref="AB32:AB43" si="58">COUNTIF(Area_v2TSA,$B32)</f>
        <v>0</v>
      </c>
      <c r="AC32" s="149">
        <f t="shared" ref="AC32:AC43" si="59">COUNTIF(Area_v3TSA,$B32)</f>
        <v>0</v>
      </c>
      <c r="AD32" s="149">
        <f t="shared" ref="AD32:AD43" si="60">COUNTIF(Area_v4TSA,$B32)</f>
        <v>1</v>
      </c>
      <c r="AE32" s="149">
        <f t="shared" ref="AE32:AE43" si="61">COUNTIF(Area_v5TSA,$B32)</f>
        <v>1</v>
      </c>
      <c r="AF32" s="149">
        <f t="shared" ref="AF32:AF43" si="62">COUNTIF(Area_v6TSA,$B32)</f>
        <v>3</v>
      </c>
      <c r="AG32" s="149">
        <f t="shared" ref="AG32:AG43" si="63">COUNTIF(Area_v1TSATHA,$B32)</f>
        <v>6</v>
      </c>
      <c r="AH32" s="149">
        <f t="shared" ref="AH32:AH43" si="64">COUNTIF(Area_v2TSATHA,$B32)</f>
        <v>5</v>
      </c>
      <c r="AI32" s="149">
        <f t="shared" ref="AI32:AI43" si="65">COUNTIF(Area_v3TSATHA,$B32)</f>
        <v>4</v>
      </c>
      <c r="AJ32" s="149">
        <f t="shared" ref="AJ32:AJ43" si="66">COUNTIF(Area_v4THAHOLON,$B32)</f>
        <v>0</v>
      </c>
      <c r="AK32" s="149">
        <f t="shared" ref="AK32:AK43" si="67">COUNTIF(Area_v5THAHOLON,$B32)</f>
        <v>0</v>
      </c>
    </row>
    <row r="33" spans="2:37">
      <c r="B33" s="1695" t="s">
        <v>4116</v>
      </c>
      <c r="C33" s="1695"/>
      <c r="D33" s="153">
        <f t="shared" ref="D33:D43" si="68">SUM(F33:AK33)</f>
        <v>0</v>
      </c>
      <c r="E33" s="553">
        <f t="shared" si="35"/>
        <v>0</v>
      </c>
      <c r="F33" s="553">
        <f t="shared" si="36"/>
        <v>0</v>
      </c>
      <c r="G33" s="553">
        <f t="shared" si="37"/>
        <v>0</v>
      </c>
      <c r="H33" s="553">
        <f t="shared" si="38"/>
        <v>0</v>
      </c>
      <c r="I33" s="553">
        <f t="shared" si="39"/>
        <v>0</v>
      </c>
      <c r="J33" s="553">
        <f t="shared" si="40"/>
        <v>0</v>
      </c>
      <c r="K33" s="765">
        <f t="shared" si="41"/>
        <v>0</v>
      </c>
      <c r="L33" s="553">
        <f t="shared" si="42"/>
        <v>0</v>
      </c>
      <c r="M33" s="553">
        <f t="shared" si="43"/>
        <v>0</v>
      </c>
      <c r="N33" s="553">
        <f t="shared" si="44"/>
        <v>0</v>
      </c>
      <c r="O33" s="765">
        <f t="shared" si="45"/>
        <v>0</v>
      </c>
      <c r="P33" s="553">
        <f t="shared" si="46"/>
        <v>0</v>
      </c>
      <c r="Q33" s="553">
        <f t="shared" si="47"/>
        <v>0</v>
      </c>
      <c r="R33" s="553">
        <f t="shared" si="48"/>
        <v>0</v>
      </c>
      <c r="S33" s="149">
        <f t="shared" si="49"/>
        <v>0</v>
      </c>
      <c r="T33" s="149">
        <f t="shared" si="50"/>
        <v>0</v>
      </c>
      <c r="U33" s="149">
        <f t="shared" si="51"/>
        <v>0</v>
      </c>
      <c r="V33" s="149">
        <f t="shared" si="52"/>
        <v>0</v>
      </c>
      <c r="W33" s="149">
        <f t="shared" si="53"/>
        <v>0</v>
      </c>
      <c r="X33" s="149">
        <f t="shared" si="54"/>
        <v>0</v>
      </c>
      <c r="Y33" s="149">
        <f t="shared" si="55"/>
        <v>0</v>
      </c>
      <c r="Z33" s="149">
        <f t="shared" si="56"/>
        <v>0</v>
      </c>
      <c r="AA33" s="149">
        <f t="shared" si="57"/>
        <v>0</v>
      </c>
      <c r="AB33" s="149">
        <f t="shared" si="58"/>
        <v>0</v>
      </c>
      <c r="AC33" s="149">
        <f t="shared" si="59"/>
        <v>0</v>
      </c>
      <c r="AD33" s="149">
        <f t="shared" si="60"/>
        <v>0</v>
      </c>
      <c r="AE33" s="149">
        <f t="shared" si="61"/>
        <v>0</v>
      </c>
      <c r="AF33" s="149">
        <f t="shared" si="62"/>
        <v>0</v>
      </c>
      <c r="AG33" s="149">
        <f t="shared" si="63"/>
        <v>0</v>
      </c>
      <c r="AH33" s="149">
        <f t="shared" si="64"/>
        <v>0</v>
      </c>
      <c r="AI33" s="149">
        <f t="shared" si="65"/>
        <v>0</v>
      </c>
      <c r="AJ33" s="149">
        <f t="shared" si="66"/>
        <v>0</v>
      </c>
      <c r="AK33" s="149">
        <f t="shared" si="67"/>
        <v>0</v>
      </c>
    </row>
    <row r="34" spans="2:37">
      <c r="B34" s="1695" t="s">
        <v>4117</v>
      </c>
      <c r="C34" s="1695"/>
      <c r="D34" s="153">
        <f t="shared" si="68"/>
        <v>11</v>
      </c>
      <c r="E34" s="553">
        <f t="shared" si="35"/>
        <v>11</v>
      </c>
      <c r="F34" s="553">
        <f t="shared" si="36"/>
        <v>0</v>
      </c>
      <c r="G34" s="553">
        <f t="shared" si="37"/>
        <v>0</v>
      </c>
      <c r="H34" s="553">
        <f t="shared" si="38"/>
        <v>0</v>
      </c>
      <c r="I34" s="553">
        <f t="shared" si="39"/>
        <v>0</v>
      </c>
      <c r="J34" s="553">
        <f t="shared" si="40"/>
        <v>0</v>
      </c>
      <c r="K34" s="765">
        <f t="shared" si="41"/>
        <v>0</v>
      </c>
      <c r="L34" s="553">
        <f t="shared" si="42"/>
        <v>0</v>
      </c>
      <c r="M34" s="553">
        <f t="shared" si="43"/>
        <v>0</v>
      </c>
      <c r="N34" s="553">
        <f t="shared" si="44"/>
        <v>0</v>
      </c>
      <c r="O34" s="765">
        <f t="shared" si="45"/>
        <v>0</v>
      </c>
      <c r="P34" s="553">
        <f t="shared" si="46"/>
        <v>2</v>
      </c>
      <c r="Q34" s="553">
        <f t="shared" si="47"/>
        <v>1</v>
      </c>
      <c r="R34" s="553">
        <f t="shared" si="48"/>
        <v>4</v>
      </c>
      <c r="S34" s="149">
        <f t="shared" si="49"/>
        <v>0</v>
      </c>
      <c r="T34" s="149">
        <f t="shared" si="50"/>
        <v>0</v>
      </c>
      <c r="U34" s="149">
        <f t="shared" si="51"/>
        <v>0</v>
      </c>
      <c r="V34" s="149">
        <f t="shared" si="52"/>
        <v>0</v>
      </c>
      <c r="W34" s="149">
        <f t="shared" si="53"/>
        <v>0</v>
      </c>
      <c r="X34" s="149">
        <f t="shared" si="54"/>
        <v>0</v>
      </c>
      <c r="Y34" s="149">
        <f t="shared" si="55"/>
        <v>0</v>
      </c>
      <c r="Z34" s="149">
        <f t="shared" si="56"/>
        <v>0</v>
      </c>
      <c r="AA34" s="149">
        <f t="shared" si="57"/>
        <v>0</v>
      </c>
      <c r="AB34" s="149">
        <f t="shared" si="58"/>
        <v>0</v>
      </c>
      <c r="AC34" s="149">
        <f t="shared" si="59"/>
        <v>2</v>
      </c>
      <c r="AD34" s="149">
        <f t="shared" si="60"/>
        <v>0</v>
      </c>
      <c r="AE34" s="149">
        <f t="shared" si="61"/>
        <v>0</v>
      </c>
      <c r="AF34" s="149">
        <f t="shared" si="62"/>
        <v>0</v>
      </c>
      <c r="AG34" s="149">
        <f t="shared" si="63"/>
        <v>0</v>
      </c>
      <c r="AH34" s="149">
        <f t="shared" si="64"/>
        <v>1</v>
      </c>
      <c r="AI34" s="149">
        <f t="shared" si="65"/>
        <v>1</v>
      </c>
      <c r="AJ34" s="149">
        <f t="shared" si="66"/>
        <v>0</v>
      </c>
      <c r="AK34" s="149">
        <f t="shared" si="67"/>
        <v>0</v>
      </c>
    </row>
    <row r="35" spans="2:37">
      <c r="B35" s="1695" t="s">
        <v>4118</v>
      </c>
      <c r="C35" s="1695"/>
      <c r="D35" s="153">
        <f t="shared" si="68"/>
        <v>0</v>
      </c>
      <c r="E35" s="553">
        <f t="shared" si="35"/>
        <v>0</v>
      </c>
      <c r="F35" s="553">
        <f t="shared" si="36"/>
        <v>0</v>
      </c>
      <c r="G35" s="553">
        <f t="shared" si="37"/>
        <v>0</v>
      </c>
      <c r="H35" s="553">
        <f t="shared" si="38"/>
        <v>0</v>
      </c>
      <c r="I35" s="553">
        <f t="shared" si="39"/>
        <v>0</v>
      </c>
      <c r="J35" s="553">
        <f t="shared" si="40"/>
        <v>0</v>
      </c>
      <c r="K35" s="765">
        <f t="shared" si="41"/>
        <v>0</v>
      </c>
      <c r="L35" s="553">
        <f t="shared" si="42"/>
        <v>0</v>
      </c>
      <c r="M35" s="553">
        <f t="shared" si="43"/>
        <v>0</v>
      </c>
      <c r="N35" s="553">
        <f t="shared" si="44"/>
        <v>0</v>
      </c>
      <c r="O35" s="765">
        <f t="shared" si="45"/>
        <v>0</v>
      </c>
      <c r="P35" s="553">
        <f t="shared" si="46"/>
        <v>0</v>
      </c>
      <c r="Q35" s="553">
        <f t="shared" si="47"/>
        <v>0</v>
      </c>
      <c r="R35" s="553">
        <f t="shared" si="48"/>
        <v>0</v>
      </c>
      <c r="S35" s="149">
        <f t="shared" si="49"/>
        <v>0</v>
      </c>
      <c r="T35" s="149">
        <f t="shared" si="50"/>
        <v>0</v>
      </c>
      <c r="U35" s="149">
        <f t="shared" si="51"/>
        <v>0</v>
      </c>
      <c r="V35" s="149">
        <f t="shared" si="52"/>
        <v>0</v>
      </c>
      <c r="W35" s="149">
        <f t="shared" si="53"/>
        <v>0</v>
      </c>
      <c r="X35" s="149">
        <f t="shared" si="54"/>
        <v>0</v>
      </c>
      <c r="Y35" s="149">
        <f t="shared" si="55"/>
        <v>0</v>
      </c>
      <c r="Z35" s="149">
        <f t="shared" si="56"/>
        <v>0</v>
      </c>
      <c r="AA35" s="149">
        <f t="shared" si="57"/>
        <v>0</v>
      </c>
      <c r="AB35" s="149">
        <f t="shared" si="58"/>
        <v>0</v>
      </c>
      <c r="AC35" s="149">
        <f t="shared" si="59"/>
        <v>0</v>
      </c>
      <c r="AD35" s="149">
        <f t="shared" si="60"/>
        <v>0</v>
      </c>
      <c r="AE35" s="149">
        <f t="shared" si="61"/>
        <v>0</v>
      </c>
      <c r="AF35" s="149">
        <f t="shared" si="62"/>
        <v>0</v>
      </c>
      <c r="AG35" s="149">
        <f t="shared" si="63"/>
        <v>0</v>
      </c>
      <c r="AH35" s="149">
        <f t="shared" si="64"/>
        <v>0</v>
      </c>
      <c r="AI35" s="149">
        <f t="shared" si="65"/>
        <v>0</v>
      </c>
      <c r="AJ35" s="149">
        <f t="shared" si="66"/>
        <v>0</v>
      </c>
      <c r="AK35" s="149">
        <f t="shared" si="67"/>
        <v>0</v>
      </c>
    </row>
    <row r="36" spans="2:37">
      <c r="B36" s="1695" t="s">
        <v>4090</v>
      </c>
      <c r="C36" s="1695"/>
      <c r="D36" s="153">
        <f t="shared" si="68"/>
        <v>356</v>
      </c>
      <c r="E36" s="553">
        <f t="shared" si="35"/>
        <v>356</v>
      </c>
      <c r="F36" s="553">
        <f t="shared" si="36"/>
        <v>0</v>
      </c>
      <c r="G36" s="553">
        <f t="shared" si="37"/>
        <v>0</v>
      </c>
      <c r="H36" s="553">
        <f t="shared" si="38"/>
        <v>0</v>
      </c>
      <c r="I36" s="553">
        <f t="shared" si="39"/>
        <v>0</v>
      </c>
      <c r="J36" s="553">
        <f t="shared" si="40"/>
        <v>0</v>
      </c>
      <c r="K36" s="765">
        <f t="shared" si="41"/>
        <v>0</v>
      </c>
      <c r="L36" s="553">
        <f t="shared" si="42"/>
        <v>0</v>
      </c>
      <c r="M36" s="553">
        <f t="shared" si="43"/>
        <v>0</v>
      </c>
      <c r="N36" s="553">
        <f t="shared" si="44"/>
        <v>0</v>
      </c>
      <c r="O36" s="765">
        <f t="shared" si="45"/>
        <v>0</v>
      </c>
      <c r="P36" s="553">
        <f t="shared" si="46"/>
        <v>92</v>
      </c>
      <c r="Q36" s="553">
        <f t="shared" si="47"/>
        <v>39</v>
      </c>
      <c r="R36" s="553">
        <f t="shared" si="48"/>
        <v>42</v>
      </c>
      <c r="S36" s="149">
        <f t="shared" si="49"/>
        <v>73</v>
      </c>
      <c r="T36" s="149">
        <f t="shared" si="50"/>
        <v>0</v>
      </c>
      <c r="U36" s="149">
        <f t="shared" si="51"/>
        <v>0</v>
      </c>
      <c r="V36" s="149">
        <f t="shared" si="52"/>
        <v>2</v>
      </c>
      <c r="W36" s="149">
        <f t="shared" si="53"/>
        <v>2</v>
      </c>
      <c r="X36" s="149">
        <f t="shared" si="54"/>
        <v>11</v>
      </c>
      <c r="Y36" s="149">
        <f t="shared" si="55"/>
        <v>5</v>
      </c>
      <c r="Z36" s="149">
        <f t="shared" si="56"/>
        <v>4</v>
      </c>
      <c r="AA36" s="149">
        <f t="shared" si="57"/>
        <v>3</v>
      </c>
      <c r="AB36" s="149">
        <f t="shared" si="58"/>
        <v>0</v>
      </c>
      <c r="AC36" s="149">
        <f t="shared" si="59"/>
        <v>0</v>
      </c>
      <c r="AD36" s="149">
        <f t="shared" si="60"/>
        <v>6</v>
      </c>
      <c r="AE36" s="149">
        <f t="shared" si="61"/>
        <v>2</v>
      </c>
      <c r="AF36" s="149">
        <f t="shared" si="62"/>
        <v>5</v>
      </c>
      <c r="AG36" s="149">
        <f t="shared" si="63"/>
        <v>26</v>
      </c>
      <c r="AH36" s="149">
        <f t="shared" si="64"/>
        <v>19</v>
      </c>
      <c r="AI36" s="149">
        <f t="shared" si="65"/>
        <v>25</v>
      </c>
      <c r="AJ36" s="149">
        <f t="shared" si="66"/>
        <v>0</v>
      </c>
      <c r="AK36" s="149">
        <f t="shared" si="67"/>
        <v>0</v>
      </c>
    </row>
    <row r="37" spans="2:37">
      <c r="B37" s="1695" t="s">
        <v>4119</v>
      </c>
      <c r="C37" s="1695"/>
      <c r="D37" s="153">
        <f t="shared" si="68"/>
        <v>0</v>
      </c>
      <c r="E37" s="553">
        <f t="shared" si="35"/>
        <v>0</v>
      </c>
      <c r="F37" s="553">
        <f t="shared" si="36"/>
        <v>0</v>
      </c>
      <c r="G37" s="553">
        <f t="shared" si="37"/>
        <v>0</v>
      </c>
      <c r="H37" s="553">
        <f t="shared" si="38"/>
        <v>0</v>
      </c>
      <c r="I37" s="553">
        <f t="shared" si="39"/>
        <v>0</v>
      </c>
      <c r="J37" s="553">
        <f t="shared" si="40"/>
        <v>0</v>
      </c>
      <c r="K37" s="765">
        <f t="shared" si="41"/>
        <v>0</v>
      </c>
      <c r="L37" s="553">
        <f t="shared" si="42"/>
        <v>0</v>
      </c>
      <c r="M37" s="553">
        <f t="shared" si="43"/>
        <v>0</v>
      </c>
      <c r="N37" s="553">
        <f t="shared" si="44"/>
        <v>0</v>
      </c>
      <c r="O37" s="765">
        <f t="shared" si="45"/>
        <v>0</v>
      </c>
      <c r="P37" s="553">
        <f t="shared" si="46"/>
        <v>0</v>
      </c>
      <c r="Q37" s="553">
        <f t="shared" si="47"/>
        <v>0</v>
      </c>
      <c r="R37" s="553">
        <f t="shared" si="48"/>
        <v>0</v>
      </c>
      <c r="S37" s="149">
        <f t="shared" si="49"/>
        <v>0</v>
      </c>
      <c r="T37" s="149">
        <f t="shared" si="50"/>
        <v>0</v>
      </c>
      <c r="U37" s="149">
        <f t="shared" si="51"/>
        <v>0</v>
      </c>
      <c r="V37" s="149">
        <f t="shared" si="52"/>
        <v>0</v>
      </c>
      <c r="W37" s="149">
        <f t="shared" si="53"/>
        <v>0</v>
      </c>
      <c r="X37" s="149">
        <f t="shared" si="54"/>
        <v>0</v>
      </c>
      <c r="Y37" s="149">
        <f t="shared" si="55"/>
        <v>0</v>
      </c>
      <c r="Z37" s="149">
        <f t="shared" si="56"/>
        <v>0</v>
      </c>
      <c r="AA37" s="149">
        <f t="shared" si="57"/>
        <v>0</v>
      </c>
      <c r="AB37" s="149">
        <f t="shared" si="58"/>
        <v>0</v>
      </c>
      <c r="AC37" s="149">
        <f t="shared" si="59"/>
        <v>0</v>
      </c>
      <c r="AD37" s="149">
        <f t="shared" si="60"/>
        <v>0</v>
      </c>
      <c r="AE37" s="149">
        <f t="shared" si="61"/>
        <v>0</v>
      </c>
      <c r="AF37" s="149">
        <f t="shared" si="62"/>
        <v>0</v>
      </c>
      <c r="AG37" s="149">
        <f t="shared" si="63"/>
        <v>0</v>
      </c>
      <c r="AH37" s="149">
        <f t="shared" si="64"/>
        <v>0</v>
      </c>
      <c r="AI37" s="149">
        <f t="shared" si="65"/>
        <v>0</v>
      </c>
      <c r="AJ37" s="149">
        <f t="shared" si="66"/>
        <v>0</v>
      </c>
      <c r="AK37" s="149">
        <f t="shared" si="67"/>
        <v>0</v>
      </c>
    </row>
    <row r="38" spans="2:37">
      <c r="B38" s="1695" t="s">
        <v>4120</v>
      </c>
      <c r="C38" s="1695"/>
      <c r="D38" s="153">
        <f t="shared" si="68"/>
        <v>0</v>
      </c>
      <c r="E38" s="553">
        <f t="shared" si="35"/>
        <v>0</v>
      </c>
      <c r="F38" s="553">
        <f t="shared" si="36"/>
        <v>0</v>
      </c>
      <c r="G38" s="553">
        <f t="shared" si="37"/>
        <v>0</v>
      </c>
      <c r="H38" s="553">
        <f t="shared" si="38"/>
        <v>0</v>
      </c>
      <c r="I38" s="553">
        <f t="shared" si="39"/>
        <v>0</v>
      </c>
      <c r="J38" s="553">
        <f t="shared" si="40"/>
        <v>0</v>
      </c>
      <c r="K38" s="765">
        <f t="shared" si="41"/>
        <v>0</v>
      </c>
      <c r="L38" s="553">
        <f t="shared" si="42"/>
        <v>0</v>
      </c>
      <c r="M38" s="553">
        <f t="shared" si="43"/>
        <v>0</v>
      </c>
      <c r="N38" s="553">
        <f t="shared" si="44"/>
        <v>0</v>
      </c>
      <c r="O38" s="765">
        <f t="shared" si="45"/>
        <v>0</v>
      </c>
      <c r="P38" s="553">
        <f t="shared" si="46"/>
        <v>0</v>
      </c>
      <c r="Q38" s="553">
        <f t="shared" si="47"/>
        <v>0</v>
      </c>
      <c r="R38" s="553">
        <f t="shared" si="48"/>
        <v>0</v>
      </c>
      <c r="S38" s="149">
        <f t="shared" si="49"/>
        <v>0</v>
      </c>
      <c r="T38" s="149">
        <f t="shared" si="50"/>
        <v>0</v>
      </c>
      <c r="U38" s="149">
        <f t="shared" si="51"/>
        <v>0</v>
      </c>
      <c r="V38" s="149">
        <f t="shared" si="52"/>
        <v>0</v>
      </c>
      <c r="W38" s="149">
        <f t="shared" si="53"/>
        <v>0</v>
      </c>
      <c r="X38" s="149">
        <f t="shared" si="54"/>
        <v>0</v>
      </c>
      <c r="Y38" s="149">
        <f t="shared" si="55"/>
        <v>0</v>
      </c>
      <c r="Z38" s="149">
        <f t="shared" si="56"/>
        <v>0</v>
      </c>
      <c r="AA38" s="149">
        <f t="shared" si="57"/>
        <v>0</v>
      </c>
      <c r="AB38" s="149">
        <f t="shared" si="58"/>
        <v>0</v>
      </c>
      <c r="AC38" s="149">
        <f t="shared" si="59"/>
        <v>0</v>
      </c>
      <c r="AD38" s="149">
        <f t="shared" si="60"/>
        <v>0</v>
      </c>
      <c r="AE38" s="149">
        <f t="shared" si="61"/>
        <v>0</v>
      </c>
      <c r="AF38" s="149">
        <f t="shared" si="62"/>
        <v>0</v>
      </c>
      <c r="AG38" s="149">
        <f t="shared" si="63"/>
        <v>0</v>
      </c>
      <c r="AH38" s="149">
        <f t="shared" si="64"/>
        <v>0</v>
      </c>
      <c r="AI38" s="149">
        <f t="shared" si="65"/>
        <v>0</v>
      </c>
      <c r="AJ38" s="149">
        <f t="shared" si="66"/>
        <v>0</v>
      </c>
      <c r="AK38" s="149">
        <f t="shared" si="67"/>
        <v>0</v>
      </c>
    </row>
    <row r="39" spans="2:37">
      <c r="B39" s="1695" t="s">
        <v>4121</v>
      </c>
      <c r="C39" s="1695"/>
      <c r="D39" s="153">
        <f t="shared" si="68"/>
        <v>0</v>
      </c>
      <c r="E39" s="553">
        <f t="shared" si="35"/>
        <v>0</v>
      </c>
      <c r="F39" s="553">
        <f t="shared" si="36"/>
        <v>0</v>
      </c>
      <c r="G39" s="553">
        <f t="shared" si="37"/>
        <v>0</v>
      </c>
      <c r="H39" s="553">
        <f t="shared" si="38"/>
        <v>0</v>
      </c>
      <c r="I39" s="553">
        <f t="shared" si="39"/>
        <v>0</v>
      </c>
      <c r="J39" s="553">
        <f t="shared" si="40"/>
        <v>0</v>
      </c>
      <c r="K39" s="765">
        <f t="shared" si="41"/>
        <v>0</v>
      </c>
      <c r="L39" s="553">
        <f t="shared" si="42"/>
        <v>0</v>
      </c>
      <c r="M39" s="553">
        <f t="shared" si="43"/>
        <v>0</v>
      </c>
      <c r="N39" s="553">
        <f t="shared" si="44"/>
        <v>0</v>
      </c>
      <c r="O39" s="765">
        <f t="shared" si="45"/>
        <v>0</v>
      </c>
      <c r="P39" s="553">
        <f t="shared" si="46"/>
        <v>0</v>
      </c>
      <c r="Q39" s="553">
        <f t="shared" si="47"/>
        <v>0</v>
      </c>
      <c r="R39" s="553">
        <f t="shared" si="48"/>
        <v>0</v>
      </c>
      <c r="S39" s="149">
        <f t="shared" si="49"/>
        <v>0</v>
      </c>
      <c r="T39" s="149">
        <f t="shared" si="50"/>
        <v>0</v>
      </c>
      <c r="U39" s="149">
        <f t="shared" si="51"/>
        <v>0</v>
      </c>
      <c r="V39" s="149">
        <f t="shared" si="52"/>
        <v>0</v>
      </c>
      <c r="W39" s="149">
        <f t="shared" si="53"/>
        <v>0</v>
      </c>
      <c r="X39" s="149">
        <f t="shared" si="54"/>
        <v>0</v>
      </c>
      <c r="Y39" s="149">
        <f t="shared" si="55"/>
        <v>0</v>
      </c>
      <c r="Z39" s="149">
        <f t="shared" si="56"/>
        <v>0</v>
      </c>
      <c r="AA39" s="149">
        <f t="shared" si="57"/>
        <v>0</v>
      </c>
      <c r="AB39" s="149">
        <f t="shared" si="58"/>
        <v>0</v>
      </c>
      <c r="AC39" s="149">
        <f t="shared" si="59"/>
        <v>0</v>
      </c>
      <c r="AD39" s="149">
        <f t="shared" si="60"/>
        <v>0</v>
      </c>
      <c r="AE39" s="149">
        <f t="shared" si="61"/>
        <v>0</v>
      </c>
      <c r="AF39" s="149">
        <f t="shared" si="62"/>
        <v>0</v>
      </c>
      <c r="AG39" s="149">
        <f t="shared" si="63"/>
        <v>0</v>
      </c>
      <c r="AH39" s="149">
        <f t="shared" si="64"/>
        <v>0</v>
      </c>
      <c r="AI39" s="149">
        <f t="shared" si="65"/>
        <v>0</v>
      </c>
      <c r="AJ39" s="149">
        <f t="shared" si="66"/>
        <v>0</v>
      </c>
      <c r="AK39" s="149">
        <f t="shared" si="67"/>
        <v>0</v>
      </c>
    </row>
    <row r="40" spans="2:37">
      <c r="B40" s="1695" t="s">
        <v>4122</v>
      </c>
      <c r="C40" s="1695"/>
      <c r="D40" s="153">
        <f t="shared" si="68"/>
        <v>2</v>
      </c>
      <c r="E40" s="553">
        <f t="shared" si="35"/>
        <v>2</v>
      </c>
      <c r="F40" s="553">
        <f t="shared" si="36"/>
        <v>0</v>
      </c>
      <c r="G40" s="553">
        <f t="shared" si="37"/>
        <v>0</v>
      </c>
      <c r="H40" s="553">
        <f t="shared" si="38"/>
        <v>0</v>
      </c>
      <c r="I40" s="553">
        <f t="shared" si="39"/>
        <v>0</v>
      </c>
      <c r="J40" s="553">
        <f t="shared" si="40"/>
        <v>0</v>
      </c>
      <c r="K40" s="765">
        <f t="shared" si="41"/>
        <v>0</v>
      </c>
      <c r="L40" s="553">
        <f t="shared" si="42"/>
        <v>0</v>
      </c>
      <c r="M40" s="553">
        <f t="shared" si="43"/>
        <v>0</v>
      </c>
      <c r="N40" s="553">
        <f t="shared" si="44"/>
        <v>0</v>
      </c>
      <c r="O40" s="765">
        <f t="shared" si="45"/>
        <v>0</v>
      </c>
      <c r="P40" s="553">
        <f t="shared" si="46"/>
        <v>0</v>
      </c>
      <c r="Q40" s="553">
        <f t="shared" si="47"/>
        <v>1</v>
      </c>
      <c r="R40" s="553">
        <f t="shared" si="48"/>
        <v>0</v>
      </c>
      <c r="S40" s="149">
        <f t="shared" si="49"/>
        <v>0</v>
      </c>
      <c r="T40" s="149">
        <f t="shared" si="50"/>
        <v>0</v>
      </c>
      <c r="U40" s="149">
        <f t="shared" si="51"/>
        <v>0</v>
      </c>
      <c r="V40" s="149">
        <f t="shared" si="52"/>
        <v>0</v>
      </c>
      <c r="W40" s="149">
        <f t="shared" si="53"/>
        <v>0</v>
      </c>
      <c r="X40" s="149">
        <f t="shared" si="54"/>
        <v>0</v>
      </c>
      <c r="Y40" s="149">
        <f t="shared" si="55"/>
        <v>0</v>
      </c>
      <c r="Z40" s="149">
        <f t="shared" si="56"/>
        <v>0</v>
      </c>
      <c r="AA40" s="149">
        <f t="shared" si="57"/>
        <v>0</v>
      </c>
      <c r="AB40" s="149">
        <f t="shared" si="58"/>
        <v>0</v>
      </c>
      <c r="AC40" s="149">
        <f t="shared" si="59"/>
        <v>0</v>
      </c>
      <c r="AD40" s="149">
        <f t="shared" si="60"/>
        <v>0</v>
      </c>
      <c r="AE40" s="149">
        <f t="shared" si="61"/>
        <v>0</v>
      </c>
      <c r="AF40" s="149">
        <f t="shared" si="62"/>
        <v>0</v>
      </c>
      <c r="AG40" s="149">
        <f t="shared" si="63"/>
        <v>1</v>
      </c>
      <c r="AH40" s="149">
        <f t="shared" si="64"/>
        <v>0</v>
      </c>
      <c r="AI40" s="149">
        <f t="shared" si="65"/>
        <v>0</v>
      </c>
      <c r="AJ40" s="149">
        <f t="shared" si="66"/>
        <v>0</v>
      </c>
      <c r="AK40" s="149">
        <f t="shared" si="67"/>
        <v>0</v>
      </c>
    </row>
    <row r="41" spans="2:37">
      <c r="B41" s="1695" t="s">
        <v>4123</v>
      </c>
      <c r="C41" s="1695"/>
      <c r="D41" s="153">
        <f t="shared" si="68"/>
        <v>0</v>
      </c>
      <c r="E41" s="553">
        <f t="shared" si="35"/>
        <v>0</v>
      </c>
      <c r="F41" s="553">
        <f t="shared" si="36"/>
        <v>0</v>
      </c>
      <c r="G41" s="553">
        <f t="shared" si="37"/>
        <v>0</v>
      </c>
      <c r="H41" s="553">
        <f t="shared" si="38"/>
        <v>0</v>
      </c>
      <c r="I41" s="553">
        <f t="shared" si="39"/>
        <v>0</v>
      </c>
      <c r="J41" s="553">
        <f t="shared" si="40"/>
        <v>0</v>
      </c>
      <c r="K41" s="765">
        <f t="shared" si="41"/>
        <v>0</v>
      </c>
      <c r="L41" s="553">
        <f t="shared" si="42"/>
        <v>0</v>
      </c>
      <c r="M41" s="553">
        <f t="shared" si="43"/>
        <v>0</v>
      </c>
      <c r="N41" s="553">
        <f t="shared" si="44"/>
        <v>0</v>
      </c>
      <c r="O41" s="765">
        <f t="shared" si="45"/>
        <v>0</v>
      </c>
      <c r="P41" s="553">
        <f t="shared" si="46"/>
        <v>0</v>
      </c>
      <c r="Q41" s="553">
        <f t="shared" si="47"/>
        <v>0</v>
      </c>
      <c r="R41" s="553">
        <f t="shared" si="48"/>
        <v>0</v>
      </c>
      <c r="S41" s="149">
        <f t="shared" si="49"/>
        <v>0</v>
      </c>
      <c r="T41" s="149">
        <f t="shared" si="50"/>
        <v>0</v>
      </c>
      <c r="U41" s="149">
        <f t="shared" si="51"/>
        <v>0</v>
      </c>
      <c r="V41" s="149">
        <f t="shared" si="52"/>
        <v>0</v>
      </c>
      <c r="W41" s="149">
        <f t="shared" si="53"/>
        <v>0</v>
      </c>
      <c r="X41" s="149">
        <f t="shared" si="54"/>
        <v>0</v>
      </c>
      <c r="Y41" s="149">
        <f t="shared" si="55"/>
        <v>0</v>
      </c>
      <c r="Z41" s="149">
        <f t="shared" si="56"/>
        <v>0</v>
      </c>
      <c r="AA41" s="149">
        <f t="shared" si="57"/>
        <v>0</v>
      </c>
      <c r="AB41" s="149">
        <f t="shared" si="58"/>
        <v>0</v>
      </c>
      <c r="AC41" s="149">
        <f t="shared" si="59"/>
        <v>0</v>
      </c>
      <c r="AD41" s="149">
        <f t="shared" si="60"/>
        <v>0</v>
      </c>
      <c r="AE41" s="149">
        <f t="shared" si="61"/>
        <v>0</v>
      </c>
      <c r="AF41" s="149">
        <f t="shared" si="62"/>
        <v>0</v>
      </c>
      <c r="AG41" s="149">
        <f t="shared" si="63"/>
        <v>0</v>
      </c>
      <c r="AH41" s="149">
        <f t="shared" si="64"/>
        <v>0</v>
      </c>
      <c r="AI41" s="149">
        <f t="shared" si="65"/>
        <v>0</v>
      </c>
      <c r="AJ41" s="149">
        <f t="shared" si="66"/>
        <v>0</v>
      </c>
      <c r="AK41" s="149">
        <f t="shared" si="67"/>
        <v>0</v>
      </c>
    </row>
    <row r="42" spans="2:37">
      <c r="B42" s="1695" t="s">
        <v>4124</v>
      </c>
      <c r="C42" s="1695"/>
      <c r="D42" s="153">
        <f t="shared" si="68"/>
        <v>19</v>
      </c>
      <c r="E42" s="553">
        <f t="shared" si="35"/>
        <v>19</v>
      </c>
      <c r="F42" s="553">
        <f t="shared" si="36"/>
        <v>0</v>
      </c>
      <c r="G42" s="553">
        <f t="shared" si="37"/>
        <v>0</v>
      </c>
      <c r="H42" s="553">
        <f t="shared" si="38"/>
        <v>0</v>
      </c>
      <c r="I42" s="553">
        <f t="shared" si="39"/>
        <v>0</v>
      </c>
      <c r="J42" s="553">
        <f t="shared" si="40"/>
        <v>0</v>
      </c>
      <c r="K42" s="765">
        <f t="shared" si="41"/>
        <v>0</v>
      </c>
      <c r="L42" s="553">
        <f t="shared" si="42"/>
        <v>0</v>
      </c>
      <c r="M42" s="553">
        <f t="shared" si="43"/>
        <v>0</v>
      </c>
      <c r="N42" s="553">
        <f t="shared" si="44"/>
        <v>0</v>
      </c>
      <c r="O42" s="765">
        <f t="shared" si="45"/>
        <v>0</v>
      </c>
      <c r="P42" s="553">
        <f t="shared" si="46"/>
        <v>2</v>
      </c>
      <c r="Q42" s="553">
        <f t="shared" si="47"/>
        <v>2</v>
      </c>
      <c r="R42" s="553">
        <f t="shared" si="48"/>
        <v>1</v>
      </c>
      <c r="S42" s="149">
        <f t="shared" si="49"/>
        <v>1</v>
      </c>
      <c r="T42" s="149">
        <f t="shared" si="50"/>
        <v>0</v>
      </c>
      <c r="U42" s="149">
        <f t="shared" si="51"/>
        <v>0</v>
      </c>
      <c r="V42" s="149">
        <f t="shared" si="52"/>
        <v>0</v>
      </c>
      <c r="W42" s="149">
        <f t="shared" si="53"/>
        <v>0</v>
      </c>
      <c r="X42" s="149">
        <f t="shared" si="54"/>
        <v>1</v>
      </c>
      <c r="Y42" s="149">
        <f t="shared" si="55"/>
        <v>0</v>
      </c>
      <c r="Z42" s="149">
        <f t="shared" si="56"/>
        <v>2</v>
      </c>
      <c r="AA42" s="149">
        <f t="shared" si="57"/>
        <v>1</v>
      </c>
      <c r="AB42" s="149">
        <f t="shared" si="58"/>
        <v>0</v>
      </c>
      <c r="AC42" s="149">
        <f t="shared" si="59"/>
        <v>0</v>
      </c>
      <c r="AD42" s="149">
        <f t="shared" si="60"/>
        <v>2</v>
      </c>
      <c r="AE42" s="149">
        <f t="shared" si="61"/>
        <v>1</v>
      </c>
      <c r="AF42" s="149">
        <f t="shared" si="62"/>
        <v>0</v>
      </c>
      <c r="AG42" s="149">
        <f t="shared" si="63"/>
        <v>1</v>
      </c>
      <c r="AH42" s="149">
        <f t="shared" si="64"/>
        <v>3</v>
      </c>
      <c r="AI42" s="149">
        <f t="shared" si="65"/>
        <v>2</v>
      </c>
      <c r="AJ42" s="149">
        <f t="shared" si="66"/>
        <v>0</v>
      </c>
      <c r="AK42" s="149">
        <f t="shared" si="67"/>
        <v>0</v>
      </c>
    </row>
    <row r="43" spans="2:37">
      <c r="B43" s="1695" t="s">
        <v>4125</v>
      </c>
      <c r="C43" s="1695"/>
      <c r="D43" s="153">
        <f t="shared" si="68"/>
        <v>0</v>
      </c>
      <c r="E43" s="553">
        <f t="shared" si="35"/>
        <v>0</v>
      </c>
      <c r="F43" s="553">
        <f t="shared" si="36"/>
        <v>0</v>
      </c>
      <c r="G43" s="553">
        <f t="shared" si="37"/>
        <v>0</v>
      </c>
      <c r="H43" s="553">
        <f t="shared" si="38"/>
        <v>0</v>
      </c>
      <c r="I43" s="553">
        <f t="shared" si="39"/>
        <v>0</v>
      </c>
      <c r="J43" s="553">
        <f t="shared" si="40"/>
        <v>0</v>
      </c>
      <c r="K43" s="765">
        <f t="shared" si="41"/>
        <v>0</v>
      </c>
      <c r="L43" s="553">
        <f t="shared" si="42"/>
        <v>0</v>
      </c>
      <c r="M43" s="553">
        <f t="shared" si="43"/>
        <v>0</v>
      </c>
      <c r="N43" s="553">
        <f t="shared" si="44"/>
        <v>0</v>
      </c>
      <c r="O43" s="765">
        <f t="shared" si="45"/>
        <v>0</v>
      </c>
      <c r="P43" s="553">
        <f t="shared" si="46"/>
        <v>0</v>
      </c>
      <c r="Q43" s="553">
        <f t="shared" si="47"/>
        <v>0</v>
      </c>
      <c r="R43" s="553">
        <f t="shared" si="48"/>
        <v>0</v>
      </c>
      <c r="S43" s="149">
        <f t="shared" si="49"/>
        <v>0</v>
      </c>
      <c r="T43" s="149">
        <f t="shared" si="50"/>
        <v>0</v>
      </c>
      <c r="U43" s="149">
        <f t="shared" si="51"/>
        <v>0</v>
      </c>
      <c r="V43" s="149">
        <f t="shared" si="52"/>
        <v>0</v>
      </c>
      <c r="W43" s="149">
        <f t="shared" si="53"/>
        <v>0</v>
      </c>
      <c r="X43" s="149">
        <f t="shared" si="54"/>
        <v>0</v>
      </c>
      <c r="Y43" s="149">
        <f t="shared" si="55"/>
        <v>0</v>
      </c>
      <c r="Z43" s="149">
        <f t="shared" si="56"/>
        <v>0</v>
      </c>
      <c r="AA43" s="149">
        <f t="shared" si="57"/>
        <v>0</v>
      </c>
      <c r="AB43" s="149">
        <f t="shared" si="58"/>
        <v>0</v>
      </c>
      <c r="AC43" s="149">
        <f t="shared" si="59"/>
        <v>0</v>
      </c>
      <c r="AD43" s="149">
        <f t="shared" si="60"/>
        <v>0</v>
      </c>
      <c r="AE43" s="149">
        <f t="shared" si="61"/>
        <v>0</v>
      </c>
      <c r="AF43" s="149">
        <f t="shared" si="62"/>
        <v>0</v>
      </c>
      <c r="AG43" s="149">
        <f t="shared" si="63"/>
        <v>0</v>
      </c>
      <c r="AH43" s="149">
        <f t="shared" si="64"/>
        <v>0</v>
      </c>
      <c r="AI43" s="149">
        <f t="shared" si="65"/>
        <v>0</v>
      </c>
      <c r="AJ43" s="149">
        <f t="shared" si="66"/>
        <v>0</v>
      </c>
      <c r="AK43" s="149">
        <f t="shared" si="67"/>
        <v>0</v>
      </c>
    </row>
    <row r="44" spans="2:37">
      <c r="B44" s="151"/>
      <c r="C44" s="151"/>
      <c r="D44" s="151"/>
      <c r="E44" s="553"/>
      <c r="F44" s="553"/>
      <c r="G44" s="553"/>
      <c r="H44" s="553"/>
      <c r="I44" s="553"/>
      <c r="J44" s="553"/>
      <c r="K44" s="765"/>
      <c r="L44" s="553"/>
      <c r="M44" s="553"/>
      <c r="N44" s="553"/>
      <c r="O44" s="765"/>
      <c r="P44" s="553"/>
      <c r="Q44" s="553"/>
      <c r="R44" s="553"/>
    </row>
    <row r="45" spans="2:37" ht="13" thickBot="1">
      <c r="B45" s="151"/>
      <c r="C45" s="151"/>
      <c r="D45" s="151"/>
      <c r="E45" s="553"/>
      <c r="F45" s="553"/>
      <c r="G45" s="553"/>
      <c r="H45" s="553"/>
      <c r="I45" s="553"/>
      <c r="J45" s="553"/>
      <c r="K45" s="765"/>
      <c r="L45" s="553"/>
      <c r="M45" s="553"/>
      <c r="N45" s="553"/>
      <c r="O45" s="765"/>
      <c r="P45" s="553"/>
      <c r="Q45" s="553"/>
      <c r="R45" s="553"/>
    </row>
    <row r="46" spans="2:37">
      <c r="B46" s="1714" t="s">
        <v>1408</v>
      </c>
      <c r="C46" s="1715"/>
      <c r="D46" s="1716"/>
      <c r="E46" s="553"/>
      <c r="F46" s="553"/>
      <c r="G46" s="553"/>
      <c r="H46" s="553"/>
      <c r="I46" s="553"/>
      <c r="J46" s="553"/>
      <c r="K46" s="765"/>
      <c r="L46" s="553"/>
      <c r="M46" s="553"/>
      <c r="N46" s="553"/>
      <c r="O46" s="765"/>
      <c r="P46" s="553"/>
      <c r="Q46" s="553"/>
      <c r="R46" s="553"/>
    </row>
    <row r="47" spans="2:37" ht="13" thickBot="1">
      <c r="B47" s="1717"/>
      <c r="C47" s="1718"/>
      <c r="D47" s="1719"/>
      <c r="E47" s="553"/>
      <c r="F47" s="553"/>
      <c r="G47" s="553"/>
      <c r="H47" s="553"/>
      <c r="I47" s="553"/>
      <c r="J47" s="553"/>
      <c r="K47" s="765"/>
      <c r="L47" s="553"/>
      <c r="M47" s="553"/>
      <c r="N47" s="553"/>
      <c r="O47" s="765"/>
      <c r="P47" s="553"/>
      <c r="Q47" s="553"/>
      <c r="R47" s="553"/>
    </row>
    <row r="48" spans="2:37" ht="13" thickBot="1">
      <c r="B48" s="1720" t="s">
        <v>461</v>
      </c>
      <c r="C48" s="1721"/>
      <c r="D48" s="152" t="s">
        <v>462</v>
      </c>
      <c r="E48" s="553"/>
      <c r="F48" s="553"/>
      <c r="G48" s="553"/>
      <c r="H48" s="553"/>
      <c r="I48" s="553"/>
      <c r="J48" s="553"/>
      <c r="K48" s="765"/>
      <c r="L48" s="553"/>
      <c r="M48" s="553"/>
      <c r="N48" s="553"/>
      <c r="O48" s="765"/>
      <c r="P48" s="553"/>
      <c r="Q48" s="553"/>
      <c r="R48" s="553"/>
    </row>
    <row r="49" spans="2:37">
      <c r="B49" s="1697" t="s">
        <v>4126</v>
      </c>
      <c r="C49" s="1697"/>
      <c r="D49" s="153">
        <f t="shared" ref="D49:D61" si="69">SUM(F49:AK49)</f>
        <v>4</v>
      </c>
      <c r="E49" s="553">
        <f t="shared" ref="E49:E61" si="70">SUM(F49:AK49)</f>
        <v>4</v>
      </c>
      <c r="F49" s="553">
        <f t="shared" ref="F49:F61" si="71">COUNTIF(Area_v1RISHER,$B49)</f>
        <v>0</v>
      </c>
      <c r="G49" s="553">
        <f t="shared" ref="G49:G61" si="72">COUNTIF(Area_v2RISHER,$B49)</f>
        <v>0</v>
      </c>
      <c r="H49" s="553">
        <f t="shared" ref="H49:H61" si="73">COUNTIF(Area_v1RAANHER,$B49)</f>
        <v>0</v>
      </c>
      <c r="I49" s="553">
        <f t="shared" ref="I49:I61" si="74">COUNTIF(Area_v2RAANHER,$B49)</f>
        <v>0</v>
      </c>
      <c r="J49" s="553">
        <f t="shared" ref="J49:J61" si="75">COUNTIF(Area_v1HER,$B49)</f>
        <v>0</v>
      </c>
      <c r="K49" s="765">
        <f t="shared" ref="K49:K61" si="76">COUNTIF(Area_v2HER,$B49)</f>
        <v>0</v>
      </c>
      <c r="L49" s="553">
        <f t="shared" ref="L49:L61" si="77">COUNTIF(Area_v3HER,$B49)</f>
        <v>0</v>
      </c>
      <c r="M49" s="553">
        <f t="shared" ref="M49:M61" si="78">COUNTIF(Area_v4HER,$B49)</f>
        <v>0</v>
      </c>
      <c r="N49" s="553">
        <f t="shared" ref="N49:N61" si="79">COUNTIF(Area_v5HER,$B49)</f>
        <v>0</v>
      </c>
      <c r="O49" s="765">
        <f t="shared" ref="O49:O61" si="80">COUNTIF(Area_v6HER,$B49)</f>
        <v>0</v>
      </c>
      <c r="P49" s="553">
        <f t="shared" ref="P49:P61" si="81">COUNTIF(Area_v1HERTSA,$B49)</f>
        <v>0</v>
      </c>
      <c r="Q49" s="553">
        <f t="shared" ref="Q49:Q61" si="82">COUNTIF(Area_v2HERTSA,$B49)</f>
        <v>2</v>
      </c>
      <c r="R49" s="553">
        <f t="shared" ref="R49:R61" si="83">COUNTIF(Area_v3HERTSA,$B49)</f>
        <v>1</v>
      </c>
      <c r="S49" s="149">
        <f t="shared" ref="S49:S61" si="84">COUNTIF(Area_v4HERTSA,$B49)</f>
        <v>0</v>
      </c>
      <c r="T49" s="149">
        <f t="shared" ref="T49:T61" si="85">COUNTIF(Area_v5HERTSA,$B49)</f>
        <v>0</v>
      </c>
      <c r="U49" s="149">
        <f t="shared" ref="U49:U61" si="86">COUNTIF(Area_v5BBRHER,$B49)</f>
        <v>0</v>
      </c>
      <c r="V49" s="149">
        <f t="shared" ref="V49:V61" si="87">COUNTIF(Area_v1BBRTUN,$B49)</f>
        <v>0</v>
      </c>
      <c r="W49" s="149">
        <f t="shared" ref="W49:W61" si="88">COUNTIF(Area_v2BBRTUN,$B49)</f>
        <v>0</v>
      </c>
      <c r="X49" s="149">
        <f t="shared" ref="X49:X61" si="89">COUNTIF(Area_v51HERTSA,$B49)</f>
        <v>0</v>
      </c>
      <c r="Y49" s="149">
        <f t="shared" ref="Y49:Y61" si="90">COUNTIF(Area_v52HERTSA,$B49)</f>
        <v>0</v>
      </c>
      <c r="Z49" s="149">
        <f t="shared" ref="Z49:Z61" si="91">COUNTIF(Area_v53HERTSA,$B49)</f>
        <v>0</v>
      </c>
      <c r="AA49" s="149">
        <f t="shared" ref="AA49:AA61" si="92">COUNTIF(Area_v1TSA,$B49)</f>
        <v>0</v>
      </c>
      <c r="AB49" s="149">
        <f t="shared" ref="AB49:AB61" si="93">COUNTIF(Area_v2TSA,$B49)</f>
        <v>0</v>
      </c>
      <c r="AC49" s="149">
        <f t="shared" ref="AC49:AC61" si="94">COUNTIF(Area_v3TSA,$B49)</f>
        <v>0</v>
      </c>
      <c r="AD49" s="149">
        <f t="shared" ref="AD49:AD61" si="95">COUNTIF(Area_v4TSA,$B49)</f>
        <v>0</v>
      </c>
      <c r="AE49" s="149">
        <f t="shared" ref="AE49:AE61" si="96">COUNTIF(Area_v5TSA,$B49)</f>
        <v>0</v>
      </c>
      <c r="AF49" s="149">
        <f t="shared" ref="AF49:AF61" si="97">COUNTIF(Area_v6TSA,$B49)</f>
        <v>0</v>
      </c>
      <c r="AG49" s="149">
        <f t="shared" ref="AG49:AG61" si="98">COUNTIF(Area_v1TSATHA,$B49)</f>
        <v>0</v>
      </c>
      <c r="AH49" s="149">
        <f t="shared" ref="AH49:AH61" si="99">COUNTIF(Area_v2TSATHA,$B49)</f>
        <v>0</v>
      </c>
      <c r="AI49" s="149">
        <f t="shared" ref="AI49:AI61" si="100">COUNTIF(Area_v3TSATHA,$B49)</f>
        <v>1</v>
      </c>
      <c r="AJ49" s="149">
        <f t="shared" ref="AJ49:AJ61" si="101">COUNTIF(Area_v4THAHOLON,$B49)</f>
        <v>0</v>
      </c>
      <c r="AK49" s="149">
        <f t="shared" ref="AK49:AK61" si="102">COUNTIF(Area_v5THAHOLON,$B49)</f>
        <v>0</v>
      </c>
    </row>
    <row r="50" spans="2:37">
      <c r="B50" s="1695" t="s">
        <v>4127</v>
      </c>
      <c r="C50" s="1695"/>
      <c r="D50" s="153">
        <f t="shared" si="69"/>
        <v>0</v>
      </c>
      <c r="E50" s="553">
        <f t="shared" si="70"/>
        <v>0</v>
      </c>
      <c r="F50" s="553">
        <f t="shared" si="71"/>
        <v>0</v>
      </c>
      <c r="G50" s="553">
        <f t="shared" si="72"/>
        <v>0</v>
      </c>
      <c r="H50" s="553">
        <f t="shared" si="73"/>
        <v>0</v>
      </c>
      <c r="I50" s="553">
        <f t="shared" si="74"/>
        <v>0</v>
      </c>
      <c r="J50" s="553">
        <f t="shared" si="75"/>
        <v>0</v>
      </c>
      <c r="K50" s="765">
        <f t="shared" si="76"/>
        <v>0</v>
      </c>
      <c r="L50" s="553">
        <f t="shared" si="77"/>
        <v>0</v>
      </c>
      <c r="M50" s="553">
        <f t="shared" si="78"/>
        <v>0</v>
      </c>
      <c r="N50" s="553">
        <f t="shared" si="79"/>
        <v>0</v>
      </c>
      <c r="O50" s="765">
        <f t="shared" si="80"/>
        <v>0</v>
      </c>
      <c r="P50" s="553">
        <f t="shared" si="81"/>
        <v>0</v>
      </c>
      <c r="Q50" s="553">
        <f t="shared" si="82"/>
        <v>0</v>
      </c>
      <c r="R50" s="553">
        <f t="shared" si="83"/>
        <v>0</v>
      </c>
      <c r="S50" s="149">
        <f t="shared" si="84"/>
        <v>0</v>
      </c>
      <c r="T50" s="149">
        <f t="shared" si="85"/>
        <v>0</v>
      </c>
      <c r="U50" s="149">
        <f t="shared" si="86"/>
        <v>0</v>
      </c>
      <c r="V50" s="149">
        <f t="shared" si="87"/>
        <v>0</v>
      </c>
      <c r="W50" s="149">
        <f t="shared" si="88"/>
        <v>0</v>
      </c>
      <c r="X50" s="149">
        <f t="shared" si="89"/>
        <v>0</v>
      </c>
      <c r="Y50" s="149">
        <f t="shared" si="90"/>
        <v>0</v>
      </c>
      <c r="Z50" s="149">
        <f t="shared" si="91"/>
        <v>0</v>
      </c>
      <c r="AA50" s="149">
        <f t="shared" si="92"/>
        <v>0</v>
      </c>
      <c r="AB50" s="149">
        <f t="shared" si="93"/>
        <v>0</v>
      </c>
      <c r="AC50" s="149">
        <f t="shared" si="94"/>
        <v>0</v>
      </c>
      <c r="AD50" s="149">
        <f t="shared" si="95"/>
        <v>0</v>
      </c>
      <c r="AE50" s="149">
        <f t="shared" si="96"/>
        <v>0</v>
      </c>
      <c r="AF50" s="149">
        <f t="shared" si="97"/>
        <v>0</v>
      </c>
      <c r="AG50" s="149">
        <f t="shared" si="98"/>
        <v>0</v>
      </c>
      <c r="AH50" s="149">
        <f t="shared" si="99"/>
        <v>0</v>
      </c>
      <c r="AI50" s="149">
        <f t="shared" si="100"/>
        <v>0</v>
      </c>
      <c r="AJ50" s="149">
        <f t="shared" si="101"/>
        <v>0</v>
      </c>
      <c r="AK50" s="149">
        <f t="shared" si="102"/>
        <v>0</v>
      </c>
    </row>
    <row r="51" spans="2:37">
      <c r="B51" s="1695" t="s">
        <v>4128</v>
      </c>
      <c r="C51" s="1695"/>
      <c r="D51" s="153">
        <f t="shared" si="69"/>
        <v>12</v>
      </c>
      <c r="E51" s="553">
        <f t="shared" si="70"/>
        <v>12</v>
      </c>
      <c r="F51" s="553">
        <f t="shared" si="71"/>
        <v>0</v>
      </c>
      <c r="G51" s="553">
        <f t="shared" si="72"/>
        <v>0</v>
      </c>
      <c r="H51" s="553">
        <f t="shared" si="73"/>
        <v>0</v>
      </c>
      <c r="I51" s="553">
        <f t="shared" si="74"/>
        <v>0</v>
      </c>
      <c r="J51" s="553">
        <f t="shared" si="75"/>
        <v>0</v>
      </c>
      <c r="K51" s="765">
        <f t="shared" si="76"/>
        <v>0</v>
      </c>
      <c r="L51" s="553">
        <f t="shared" si="77"/>
        <v>0</v>
      </c>
      <c r="M51" s="553">
        <f t="shared" si="78"/>
        <v>0</v>
      </c>
      <c r="N51" s="553">
        <f t="shared" si="79"/>
        <v>0</v>
      </c>
      <c r="O51" s="765">
        <f t="shared" si="80"/>
        <v>0</v>
      </c>
      <c r="P51" s="553">
        <f t="shared" si="81"/>
        <v>0</v>
      </c>
      <c r="Q51" s="553">
        <f t="shared" si="82"/>
        <v>1</v>
      </c>
      <c r="R51" s="553">
        <f t="shared" si="83"/>
        <v>1</v>
      </c>
      <c r="S51" s="149">
        <f t="shared" si="84"/>
        <v>0</v>
      </c>
      <c r="T51" s="149">
        <f t="shared" si="85"/>
        <v>0</v>
      </c>
      <c r="U51" s="149">
        <f t="shared" si="86"/>
        <v>0</v>
      </c>
      <c r="V51" s="149">
        <f t="shared" si="87"/>
        <v>0</v>
      </c>
      <c r="W51" s="149">
        <f t="shared" si="88"/>
        <v>0</v>
      </c>
      <c r="X51" s="149">
        <f t="shared" si="89"/>
        <v>0</v>
      </c>
      <c r="Y51" s="149">
        <f t="shared" si="90"/>
        <v>0</v>
      </c>
      <c r="Z51" s="149">
        <f t="shared" si="91"/>
        <v>1</v>
      </c>
      <c r="AA51" s="149">
        <f t="shared" si="92"/>
        <v>0</v>
      </c>
      <c r="AB51" s="149">
        <f t="shared" si="93"/>
        <v>0</v>
      </c>
      <c r="AC51" s="149">
        <f t="shared" si="94"/>
        <v>0</v>
      </c>
      <c r="AD51" s="149">
        <f t="shared" si="95"/>
        <v>0</v>
      </c>
      <c r="AE51" s="149">
        <f t="shared" si="96"/>
        <v>0</v>
      </c>
      <c r="AF51" s="149">
        <f t="shared" si="97"/>
        <v>0</v>
      </c>
      <c r="AG51" s="149">
        <f t="shared" si="98"/>
        <v>4</v>
      </c>
      <c r="AH51" s="149">
        <f t="shared" si="99"/>
        <v>2</v>
      </c>
      <c r="AI51" s="149">
        <f t="shared" si="100"/>
        <v>3</v>
      </c>
      <c r="AJ51" s="149">
        <f t="shared" si="101"/>
        <v>0</v>
      </c>
      <c r="AK51" s="149">
        <f t="shared" si="102"/>
        <v>0</v>
      </c>
    </row>
    <row r="52" spans="2:37">
      <c r="B52" s="1695" t="s">
        <v>4129</v>
      </c>
      <c r="C52" s="1695"/>
      <c r="D52" s="153">
        <f t="shared" si="69"/>
        <v>0</v>
      </c>
      <c r="E52" s="553">
        <f t="shared" si="70"/>
        <v>0</v>
      </c>
      <c r="F52" s="553">
        <f t="shared" si="71"/>
        <v>0</v>
      </c>
      <c r="G52" s="553">
        <f t="shared" si="72"/>
        <v>0</v>
      </c>
      <c r="H52" s="553">
        <f t="shared" si="73"/>
        <v>0</v>
      </c>
      <c r="I52" s="553">
        <f t="shared" si="74"/>
        <v>0</v>
      </c>
      <c r="J52" s="553">
        <f t="shared" si="75"/>
        <v>0</v>
      </c>
      <c r="K52" s="765">
        <f t="shared" si="76"/>
        <v>0</v>
      </c>
      <c r="L52" s="553">
        <f t="shared" si="77"/>
        <v>0</v>
      </c>
      <c r="M52" s="553">
        <f t="shared" si="78"/>
        <v>0</v>
      </c>
      <c r="N52" s="553">
        <f t="shared" si="79"/>
        <v>0</v>
      </c>
      <c r="O52" s="765">
        <f t="shared" si="80"/>
        <v>0</v>
      </c>
      <c r="P52" s="553">
        <f t="shared" si="81"/>
        <v>0</v>
      </c>
      <c r="Q52" s="553">
        <f t="shared" si="82"/>
        <v>0</v>
      </c>
      <c r="R52" s="553">
        <f t="shared" si="83"/>
        <v>0</v>
      </c>
      <c r="S52" s="149">
        <f t="shared" si="84"/>
        <v>0</v>
      </c>
      <c r="T52" s="149">
        <f t="shared" si="85"/>
        <v>0</v>
      </c>
      <c r="U52" s="149">
        <f t="shared" si="86"/>
        <v>0</v>
      </c>
      <c r="V52" s="149">
        <f t="shared" si="87"/>
        <v>0</v>
      </c>
      <c r="W52" s="149">
        <f t="shared" si="88"/>
        <v>0</v>
      </c>
      <c r="X52" s="149">
        <f t="shared" si="89"/>
        <v>0</v>
      </c>
      <c r="Y52" s="149">
        <f t="shared" si="90"/>
        <v>0</v>
      </c>
      <c r="Z52" s="149">
        <f t="shared" si="91"/>
        <v>0</v>
      </c>
      <c r="AA52" s="149">
        <f t="shared" si="92"/>
        <v>0</v>
      </c>
      <c r="AB52" s="149">
        <f t="shared" si="93"/>
        <v>0</v>
      </c>
      <c r="AC52" s="149">
        <f t="shared" si="94"/>
        <v>0</v>
      </c>
      <c r="AD52" s="149">
        <f t="shared" si="95"/>
        <v>0</v>
      </c>
      <c r="AE52" s="149">
        <f t="shared" si="96"/>
        <v>0</v>
      </c>
      <c r="AF52" s="149">
        <f t="shared" si="97"/>
        <v>0</v>
      </c>
      <c r="AG52" s="149">
        <f t="shared" si="98"/>
        <v>0</v>
      </c>
      <c r="AH52" s="149">
        <f t="shared" si="99"/>
        <v>0</v>
      </c>
      <c r="AI52" s="149">
        <f t="shared" si="100"/>
        <v>0</v>
      </c>
      <c r="AJ52" s="149">
        <f t="shared" si="101"/>
        <v>0</v>
      </c>
      <c r="AK52" s="149">
        <f t="shared" si="102"/>
        <v>0</v>
      </c>
    </row>
    <row r="53" spans="2:37">
      <c r="B53" s="1695" t="s">
        <v>3050</v>
      </c>
      <c r="C53" s="1695"/>
      <c r="D53" s="153">
        <f t="shared" si="69"/>
        <v>157</v>
      </c>
      <c r="E53" s="553">
        <f t="shared" si="70"/>
        <v>157</v>
      </c>
      <c r="F53" s="553">
        <f t="shared" si="71"/>
        <v>0</v>
      </c>
      <c r="G53" s="553">
        <f t="shared" si="72"/>
        <v>0</v>
      </c>
      <c r="H53" s="553">
        <f t="shared" si="73"/>
        <v>0</v>
      </c>
      <c r="I53" s="553">
        <f t="shared" si="74"/>
        <v>0</v>
      </c>
      <c r="J53" s="553">
        <f t="shared" si="75"/>
        <v>0</v>
      </c>
      <c r="K53" s="765">
        <f t="shared" si="76"/>
        <v>0</v>
      </c>
      <c r="L53" s="553">
        <f t="shared" si="77"/>
        <v>0</v>
      </c>
      <c r="M53" s="553">
        <f t="shared" si="78"/>
        <v>0</v>
      </c>
      <c r="N53" s="553">
        <f t="shared" si="79"/>
        <v>0</v>
      </c>
      <c r="O53" s="765">
        <f t="shared" si="80"/>
        <v>0</v>
      </c>
      <c r="P53" s="553">
        <f t="shared" si="81"/>
        <v>12</v>
      </c>
      <c r="Q53" s="553">
        <f t="shared" si="82"/>
        <v>7</v>
      </c>
      <c r="R53" s="553">
        <f t="shared" si="83"/>
        <v>10</v>
      </c>
      <c r="S53" s="149">
        <f t="shared" si="84"/>
        <v>15</v>
      </c>
      <c r="T53" s="149">
        <f t="shared" si="85"/>
        <v>0</v>
      </c>
      <c r="U53" s="149">
        <f t="shared" si="86"/>
        <v>0</v>
      </c>
      <c r="V53" s="149">
        <f t="shared" si="87"/>
        <v>0</v>
      </c>
      <c r="W53" s="149">
        <f t="shared" si="88"/>
        <v>2</v>
      </c>
      <c r="X53" s="149">
        <f t="shared" si="89"/>
        <v>2</v>
      </c>
      <c r="Y53" s="149">
        <f t="shared" si="90"/>
        <v>0</v>
      </c>
      <c r="Z53" s="149">
        <f t="shared" si="91"/>
        <v>1</v>
      </c>
      <c r="AA53" s="149">
        <f t="shared" si="92"/>
        <v>8</v>
      </c>
      <c r="AB53" s="149">
        <f t="shared" si="93"/>
        <v>3</v>
      </c>
      <c r="AC53" s="149">
        <f t="shared" si="94"/>
        <v>4</v>
      </c>
      <c r="AD53" s="149">
        <f t="shared" si="95"/>
        <v>1</v>
      </c>
      <c r="AE53" s="149">
        <f t="shared" si="96"/>
        <v>0</v>
      </c>
      <c r="AF53" s="149">
        <f t="shared" si="97"/>
        <v>2</v>
      </c>
      <c r="AG53" s="149">
        <f t="shared" si="98"/>
        <v>28</v>
      </c>
      <c r="AH53" s="149">
        <f t="shared" si="99"/>
        <v>30</v>
      </c>
      <c r="AI53" s="149">
        <f t="shared" si="100"/>
        <v>32</v>
      </c>
      <c r="AJ53" s="149">
        <f t="shared" si="101"/>
        <v>0</v>
      </c>
      <c r="AK53" s="149">
        <f t="shared" si="102"/>
        <v>0</v>
      </c>
    </row>
    <row r="54" spans="2:37">
      <c r="B54" s="1695" t="s">
        <v>4130</v>
      </c>
      <c r="C54" s="1695"/>
      <c r="D54" s="153">
        <f t="shared" si="69"/>
        <v>1</v>
      </c>
      <c r="E54" s="553">
        <f t="shared" si="70"/>
        <v>1</v>
      </c>
      <c r="F54" s="553">
        <f t="shared" si="71"/>
        <v>0</v>
      </c>
      <c r="G54" s="553">
        <f t="shared" si="72"/>
        <v>0</v>
      </c>
      <c r="H54" s="553">
        <f t="shared" si="73"/>
        <v>0</v>
      </c>
      <c r="I54" s="553">
        <f t="shared" si="74"/>
        <v>0</v>
      </c>
      <c r="J54" s="553">
        <f t="shared" si="75"/>
        <v>0</v>
      </c>
      <c r="K54" s="765">
        <f t="shared" si="76"/>
        <v>0</v>
      </c>
      <c r="L54" s="553">
        <f t="shared" si="77"/>
        <v>0</v>
      </c>
      <c r="M54" s="553">
        <f t="shared" si="78"/>
        <v>0</v>
      </c>
      <c r="N54" s="553">
        <f t="shared" si="79"/>
        <v>0</v>
      </c>
      <c r="O54" s="765">
        <f t="shared" si="80"/>
        <v>0</v>
      </c>
      <c r="P54" s="553">
        <f t="shared" si="81"/>
        <v>0</v>
      </c>
      <c r="Q54" s="553">
        <f t="shared" si="82"/>
        <v>0</v>
      </c>
      <c r="R54" s="553">
        <f t="shared" si="83"/>
        <v>0</v>
      </c>
      <c r="S54" s="149">
        <f t="shared" si="84"/>
        <v>0</v>
      </c>
      <c r="T54" s="149">
        <f t="shared" si="85"/>
        <v>0</v>
      </c>
      <c r="U54" s="149">
        <f t="shared" si="86"/>
        <v>0</v>
      </c>
      <c r="V54" s="149">
        <f t="shared" si="87"/>
        <v>0</v>
      </c>
      <c r="W54" s="149">
        <f t="shared" si="88"/>
        <v>0</v>
      </c>
      <c r="X54" s="149">
        <f t="shared" si="89"/>
        <v>0</v>
      </c>
      <c r="Y54" s="149">
        <f t="shared" si="90"/>
        <v>0</v>
      </c>
      <c r="Z54" s="149">
        <f t="shared" si="91"/>
        <v>0</v>
      </c>
      <c r="AA54" s="149">
        <f t="shared" si="92"/>
        <v>0</v>
      </c>
      <c r="AB54" s="149">
        <f t="shared" si="93"/>
        <v>1</v>
      </c>
      <c r="AC54" s="149">
        <f t="shared" si="94"/>
        <v>0</v>
      </c>
      <c r="AD54" s="149">
        <f t="shared" si="95"/>
        <v>0</v>
      </c>
      <c r="AE54" s="149">
        <f t="shared" si="96"/>
        <v>0</v>
      </c>
      <c r="AF54" s="149">
        <f t="shared" si="97"/>
        <v>0</v>
      </c>
      <c r="AG54" s="149">
        <f t="shared" si="98"/>
        <v>0</v>
      </c>
      <c r="AH54" s="149">
        <f t="shared" si="99"/>
        <v>0</v>
      </c>
      <c r="AI54" s="149">
        <f t="shared" si="100"/>
        <v>0</v>
      </c>
      <c r="AJ54" s="149">
        <f t="shared" si="101"/>
        <v>0</v>
      </c>
      <c r="AK54" s="149">
        <f t="shared" si="102"/>
        <v>0</v>
      </c>
    </row>
    <row r="55" spans="2:37">
      <c r="B55" s="1695" t="s">
        <v>4131</v>
      </c>
      <c r="C55" s="1695"/>
      <c r="D55" s="153">
        <f t="shared" si="69"/>
        <v>0</v>
      </c>
      <c r="E55" s="553">
        <f t="shared" si="70"/>
        <v>0</v>
      </c>
      <c r="F55" s="553">
        <f t="shared" si="71"/>
        <v>0</v>
      </c>
      <c r="G55" s="553">
        <f t="shared" si="72"/>
        <v>0</v>
      </c>
      <c r="H55" s="553">
        <f t="shared" si="73"/>
        <v>0</v>
      </c>
      <c r="I55" s="553">
        <f t="shared" si="74"/>
        <v>0</v>
      </c>
      <c r="J55" s="553">
        <f t="shared" si="75"/>
        <v>0</v>
      </c>
      <c r="K55" s="765">
        <f t="shared" si="76"/>
        <v>0</v>
      </c>
      <c r="L55" s="553">
        <f t="shared" si="77"/>
        <v>0</v>
      </c>
      <c r="M55" s="553">
        <f t="shared" si="78"/>
        <v>0</v>
      </c>
      <c r="N55" s="553">
        <f t="shared" si="79"/>
        <v>0</v>
      </c>
      <c r="O55" s="765">
        <f t="shared" si="80"/>
        <v>0</v>
      </c>
      <c r="P55" s="553">
        <f t="shared" si="81"/>
        <v>0</v>
      </c>
      <c r="Q55" s="553">
        <f t="shared" si="82"/>
        <v>0</v>
      </c>
      <c r="R55" s="553">
        <f t="shared" si="83"/>
        <v>0</v>
      </c>
      <c r="S55" s="149">
        <f t="shared" si="84"/>
        <v>0</v>
      </c>
      <c r="T55" s="149">
        <f t="shared" si="85"/>
        <v>0</v>
      </c>
      <c r="U55" s="149">
        <f t="shared" si="86"/>
        <v>0</v>
      </c>
      <c r="V55" s="149">
        <f t="shared" si="87"/>
        <v>0</v>
      </c>
      <c r="W55" s="149">
        <f t="shared" si="88"/>
        <v>0</v>
      </c>
      <c r="X55" s="149">
        <f t="shared" si="89"/>
        <v>0</v>
      </c>
      <c r="Y55" s="149">
        <f t="shared" si="90"/>
        <v>0</v>
      </c>
      <c r="Z55" s="149">
        <f t="shared" si="91"/>
        <v>0</v>
      </c>
      <c r="AA55" s="149">
        <f t="shared" si="92"/>
        <v>0</v>
      </c>
      <c r="AB55" s="149">
        <f t="shared" si="93"/>
        <v>0</v>
      </c>
      <c r="AC55" s="149">
        <f t="shared" si="94"/>
        <v>0</v>
      </c>
      <c r="AD55" s="149">
        <f t="shared" si="95"/>
        <v>0</v>
      </c>
      <c r="AE55" s="149">
        <f t="shared" si="96"/>
        <v>0</v>
      </c>
      <c r="AF55" s="149">
        <f t="shared" si="97"/>
        <v>0</v>
      </c>
      <c r="AG55" s="149">
        <f t="shared" si="98"/>
        <v>0</v>
      </c>
      <c r="AH55" s="149">
        <f t="shared" si="99"/>
        <v>0</v>
      </c>
      <c r="AI55" s="149">
        <f t="shared" si="100"/>
        <v>0</v>
      </c>
      <c r="AJ55" s="149">
        <f t="shared" si="101"/>
        <v>0</v>
      </c>
      <c r="AK55" s="149">
        <f t="shared" si="102"/>
        <v>0</v>
      </c>
    </row>
    <row r="56" spans="2:37">
      <c r="B56" s="1695" t="s">
        <v>4132</v>
      </c>
      <c r="C56" s="1695"/>
      <c r="D56" s="153">
        <f t="shared" si="69"/>
        <v>0</v>
      </c>
      <c r="E56" s="553">
        <f t="shared" si="70"/>
        <v>0</v>
      </c>
      <c r="F56" s="553">
        <f t="shared" si="71"/>
        <v>0</v>
      </c>
      <c r="G56" s="553">
        <f t="shared" si="72"/>
        <v>0</v>
      </c>
      <c r="H56" s="553">
        <f t="shared" si="73"/>
        <v>0</v>
      </c>
      <c r="I56" s="553">
        <f t="shared" si="74"/>
        <v>0</v>
      </c>
      <c r="J56" s="553">
        <f t="shared" si="75"/>
        <v>0</v>
      </c>
      <c r="K56" s="765">
        <f t="shared" si="76"/>
        <v>0</v>
      </c>
      <c r="L56" s="553">
        <f t="shared" si="77"/>
        <v>0</v>
      </c>
      <c r="M56" s="553">
        <f t="shared" si="78"/>
        <v>0</v>
      </c>
      <c r="N56" s="553">
        <f t="shared" si="79"/>
        <v>0</v>
      </c>
      <c r="O56" s="765">
        <f t="shared" si="80"/>
        <v>0</v>
      </c>
      <c r="P56" s="553">
        <f t="shared" si="81"/>
        <v>0</v>
      </c>
      <c r="Q56" s="553">
        <f t="shared" si="82"/>
        <v>0</v>
      </c>
      <c r="R56" s="553">
        <f t="shared" si="83"/>
        <v>0</v>
      </c>
      <c r="S56" s="149">
        <f t="shared" si="84"/>
        <v>0</v>
      </c>
      <c r="T56" s="149">
        <f t="shared" si="85"/>
        <v>0</v>
      </c>
      <c r="U56" s="149">
        <f t="shared" si="86"/>
        <v>0</v>
      </c>
      <c r="V56" s="149">
        <f t="shared" si="87"/>
        <v>0</v>
      </c>
      <c r="W56" s="149">
        <f t="shared" si="88"/>
        <v>0</v>
      </c>
      <c r="X56" s="149">
        <f t="shared" si="89"/>
        <v>0</v>
      </c>
      <c r="Y56" s="149">
        <f t="shared" si="90"/>
        <v>0</v>
      </c>
      <c r="Z56" s="149">
        <f t="shared" si="91"/>
        <v>0</v>
      </c>
      <c r="AA56" s="149">
        <f t="shared" si="92"/>
        <v>0</v>
      </c>
      <c r="AB56" s="149">
        <f t="shared" si="93"/>
        <v>0</v>
      </c>
      <c r="AC56" s="149">
        <f t="shared" si="94"/>
        <v>0</v>
      </c>
      <c r="AD56" s="149">
        <f t="shared" si="95"/>
        <v>0</v>
      </c>
      <c r="AE56" s="149">
        <f t="shared" si="96"/>
        <v>0</v>
      </c>
      <c r="AF56" s="149">
        <f t="shared" si="97"/>
        <v>0</v>
      </c>
      <c r="AG56" s="149">
        <f t="shared" si="98"/>
        <v>0</v>
      </c>
      <c r="AH56" s="149">
        <f t="shared" si="99"/>
        <v>0</v>
      </c>
      <c r="AI56" s="149">
        <f t="shared" si="100"/>
        <v>0</v>
      </c>
      <c r="AJ56" s="149">
        <f t="shared" si="101"/>
        <v>0</v>
      </c>
      <c r="AK56" s="149">
        <f t="shared" si="102"/>
        <v>0</v>
      </c>
    </row>
    <row r="57" spans="2:37">
      <c r="B57" s="1695" t="s">
        <v>4133</v>
      </c>
      <c r="C57" s="1695"/>
      <c r="D57" s="153">
        <f t="shared" si="69"/>
        <v>2</v>
      </c>
      <c r="E57" s="553">
        <f t="shared" si="70"/>
        <v>2</v>
      </c>
      <c r="F57" s="553">
        <f t="shared" si="71"/>
        <v>0</v>
      </c>
      <c r="G57" s="553">
        <f t="shared" si="72"/>
        <v>0</v>
      </c>
      <c r="H57" s="553">
        <f t="shared" si="73"/>
        <v>0</v>
      </c>
      <c r="I57" s="553">
        <f t="shared" si="74"/>
        <v>0</v>
      </c>
      <c r="J57" s="553">
        <f t="shared" si="75"/>
        <v>0</v>
      </c>
      <c r="K57" s="765">
        <f t="shared" si="76"/>
        <v>0</v>
      </c>
      <c r="L57" s="553">
        <f t="shared" si="77"/>
        <v>0</v>
      </c>
      <c r="M57" s="553">
        <f t="shared" si="78"/>
        <v>0</v>
      </c>
      <c r="N57" s="553">
        <f t="shared" si="79"/>
        <v>0</v>
      </c>
      <c r="O57" s="765">
        <f t="shared" si="80"/>
        <v>0</v>
      </c>
      <c r="P57" s="553">
        <f t="shared" si="81"/>
        <v>0</v>
      </c>
      <c r="Q57" s="553">
        <f t="shared" si="82"/>
        <v>0</v>
      </c>
      <c r="R57" s="553">
        <f t="shared" si="83"/>
        <v>0</v>
      </c>
      <c r="S57" s="149">
        <f t="shared" si="84"/>
        <v>0</v>
      </c>
      <c r="T57" s="149">
        <f t="shared" si="85"/>
        <v>0</v>
      </c>
      <c r="U57" s="149">
        <f t="shared" si="86"/>
        <v>0</v>
      </c>
      <c r="V57" s="149">
        <f t="shared" si="87"/>
        <v>0</v>
      </c>
      <c r="W57" s="149">
        <f t="shared" si="88"/>
        <v>0</v>
      </c>
      <c r="X57" s="149">
        <f t="shared" si="89"/>
        <v>0</v>
      </c>
      <c r="Y57" s="149">
        <f t="shared" si="90"/>
        <v>0</v>
      </c>
      <c r="Z57" s="149">
        <f t="shared" si="91"/>
        <v>0</v>
      </c>
      <c r="AA57" s="149">
        <f t="shared" si="92"/>
        <v>0</v>
      </c>
      <c r="AB57" s="149">
        <f t="shared" si="93"/>
        <v>0</v>
      </c>
      <c r="AC57" s="149">
        <f t="shared" si="94"/>
        <v>0</v>
      </c>
      <c r="AD57" s="149">
        <f t="shared" si="95"/>
        <v>0</v>
      </c>
      <c r="AE57" s="149">
        <f t="shared" si="96"/>
        <v>0</v>
      </c>
      <c r="AF57" s="149">
        <f t="shared" si="97"/>
        <v>0</v>
      </c>
      <c r="AG57" s="149">
        <f t="shared" si="98"/>
        <v>0</v>
      </c>
      <c r="AH57" s="149">
        <f t="shared" si="99"/>
        <v>2</v>
      </c>
      <c r="AI57" s="149">
        <f t="shared" si="100"/>
        <v>0</v>
      </c>
      <c r="AJ57" s="149">
        <f t="shared" si="101"/>
        <v>0</v>
      </c>
      <c r="AK57" s="149">
        <f t="shared" si="102"/>
        <v>0</v>
      </c>
    </row>
    <row r="58" spans="2:37">
      <c r="B58" s="1695" t="s">
        <v>4134</v>
      </c>
      <c r="C58" s="1695"/>
      <c r="D58" s="153">
        <f t="shared" si="69"/>
        <v>0</v>
      </c>
      <c r="E58" s="553">
        <f t="shared" si="70"/>
        <v>0</v>
      </c>
      <c r="F58" s="553">
        <f t="shared" si="71"/>
        <v>0</v>
      </c>
      <c r="G58" s="553">
        <f t="shared" si="72"/>
        <v>0</v>
      </c>
      <c r="H58" s="553">
        <f t="shared" si="73"/>
        <v>0</v>
      </c>
      <c r="I58" s="553">
        <f t="shared" si="74"/>
        <v>0</v>
      </c>
      <c r="J58" s="553">
        <f t="shared" si="75"/>
        <v>0</v>
      </c>
      <c r="K58" s="765">
        <f t="shared" si="76"/>
        <v>0</v>
      </c>
      <c r="L58" s="553">
        <f t="shared" si="77"/>
        <v>0</v>
      </c>
      <c r="M58" s="553">
        <f t="shared" si="78"/>
        <v>0</v>
      </c>
      <c r="N58" s="553">
        <f t="shared" si="79"/>
        <v>0</v>
      </c>
      <c r="O58" s="765">
        <f t="shared" si="80"/>
        <v>0</v>
      </c>
      <c r="P58" s="553">
        <f t="shared" si="81"/>
        <v>0</v>
      </c>
      <c r="Q58" s="553">
        <f t="shared" si="82"/>
        <v>0</v>
      </c>
      <c r="R58" s="553">
        <f t="shared" si="83"/>
        <v>0</v>
      </c>
      <c r="S58" s="149">
        <f t="shared" si="84"/>
        <v>0</v>
      </c>
      <c r="T58" s="149">
        <f t="shared" si="85"/>
        <v>0</v>
      </c>
      <c r="U58" s="149">
        <f t="shared" si="86"/>
        <v>0</v>
      </c>
      <c r="V58" s="149">
        <f t="shared" si="87"/>
        <v>0</v>
      </c>
      <c r="W58" s="149">
        <f t="shared" si="88"/>
        <v>0</v>
      </c>
      <c r="X58" s="149">
        <f t="shared" si="89"/>
        <v>0</v>
      </c>
      <c r="Y58" s="149">
        <f t="shared" si="90"/>
        <v>0</v>
      </c>
      <c r="Z58" s="149">
        <f t="shared" si="91"/>
        <v>0</v>
      </c>
      <c r="AA58" s="149">
        <f t="shared" si="92"/>
        <v>0</v>
      </c>
      <c r="AB58" s="149">
        <f t="shared" si="93"/>
        <v>0</v>
      </c>
      <c r="AC58" s="149">
        <f t="shared" si="94"/>
        <v>0</v>
      </c>
      <c r="AD58" s="149">
        <f t="shared" si="95"/>
        <v>0</v>
      </c>
      <c r="AE58" s="149">
        <f t="shared" si="96"/>
        <v>0</v>
      </c>
      <c r="AF58" s="149">
        <f t="shared" si="97"/>
        <v>0</v>
      </c>
      <c r="AG58" s="149">
        <f t="shared" si="98"/>
        <v>0</v>
      </c>
      <c r="AH58" s="149">
        <f t="shared" si="99"/>
        <v>0</v>
      </c>
      <c r="AI58" s="149">
        <f t="shared" si="100"/>
        <v>0</v>
      </c>
      <c r="AJ58" s="149">
        <f t="shared" si="101"/>
        <v>0</v>
      </c>
      <c r="AK58" s="149">
        <f t="shared" si="102"/>
        <v>0</v>
      </c>
    </row>
    <row r="59" spans="2:37">
      <c r="B59" s="1695" t="s">
        <v>4135</v>
      </c>
      <c r="C59" s="1695"/>
      <c r="D59" s="153">
        <f t="shared" si="69"/>
        <v>2</v>
      </c>
      <c r="E59" s="553">
        <f t="shared" si="70"/>
        <v>2</v>
      </c>
      <c r="F59" s="553">
        <f t="shared" si="71"/>
        <v>0</v>
      </c>
      <c r="G59" s="553">
        <f t="shared" si="72"/>
        <v>0</v>
      </c>
      <c r="H59" s="553">
        <f t="shared" si="73"/>
        <v>0</v>
      </c>
      <c r="I59" s="553">
        <f t="shared" si="74"/>
        <v>0</v>
      </c>
      <c r="J59" s="553">
        <f t="shared" si="75"/>
        <v>0</v>
      </c>
      <c r="K59" s="765">
        <f t="shared" si="76"/>
        <v>0</v>
      </c>
      <c r="L59" s="553">
        <f t="shared" si="77"/>
        <v>0</v>
      </c>
      <c r="M59" s="553">
        <f t="shared" si="78"/>
        <v>0</v>
      </c>
      <c r="N59" s="553">
        <f t="shared" si="79"/>
        <v>0</v>
      </c>
      <c r="O59" s="765">
        <f t="shared" si="80"/>
        <v>0</v>
      </c>
      <c r="P59" s="553">
        <f t="shared" si="81"/>
        <v>0</v>
      </c>
      <c r="Q59" s="553">
        <f t="shared" si="82"/>
        <v>0</v>
      </c>
      <c r="R59" s="553">
        <f t="shared" si="83"/>
        <v>1</v>
      </c>
      <c r="S59" s="149">
        <f t="shared" si="84"/>
        <v>0</v>
      </c>
      <c r="T59" s="149">
        <f t="shared" si="85"/>
        <v>0</v>
      </c>
      <c r="U59" s="149">
        <f t="shared" si="86"/>
        <v>0</v>
      </c>
      <c r="V59" s="149">
        <f t="shared" si="87"/>
        <v>0</v>
      </c>
      <c r="W59" s="149">
        <f t="shared" si="88"/>
        <v>0</v>
      </c>
      <c r="X59" s="149">
        <f t="shared" si="89"/>
        <v>0</v>
      </c>
      <c r="Y59" s="149">
        <f t="shared" si="90"/>
        <v>0</v>
      </c>
      <c r="Z59" s="149">
        <f t="shared" si="91"/>
        <v>0</v>
      </c>
      <c r="AA59" s="149">
        <f t="shared" si="92"/>
        <v>0</v>
      </c>
      <c r="AB59" s="149">
        <f t="shared" si="93"/>
        <v>0</v>
      </c>
      <c r="AC59" s="149">
        <f t="shared" si="94"/>
        <v>0</v>
      </c>
      <c r="AD59" s="149">
        <f t="shared" si="95"/>
        <v>0</v>
      </c>
      <c r="AE59" s="149">
        <f t="shared" si="96"/>
        <v>0</v>
      </c>
      <c r="AF59" s="149">
        <f t="shared" si="97"/>
        <v>0</v>
      </c>
      <c r="AG59" s="149">
        <f t="shared" si="98"/>
        <v>0</v>
      </c>
      <c r="AH59" s="149">
        <f t="shared" si="99"/>
        <v>0</v>
      </c>
      <c r="AI59" s="149">
        <f t="shared" si="100"/>
        <v>0</v>
      </c>
      <c r="AJ59" s="149">
        <f t="shared" si="101"/>
        <v>0</v>
      </c>
      <c r="AK59" s="149">
        <f t="shared" si="102"/>
        <v>1</v>
      </c>
    </row>
    <row r="60" spans="2:37">
      <c r="B60" s="1695" t="s">
        <v>2773</v>
      </c>
      <c r="C60" s="1695"/>
      <c r="D60" s="153">
        <f>SUM(F60:AK60)</f>
        <v>45</v>
      </c>
      <c r="E60" s="553">
        <f>SUM(F60:AK60)</f>
        <v>45</v>
      </c>
      <c r="F60" s="553">
        <f t="shared" si="71"/>
        <v>0</v>
      </c>
      <c r="G60" s="553">
        <f t="shared" si="72"/>
        <v>0</v>
      </c>
      <c r="H60" s="553">
        <f t="shared" si="73"/>
        <v>0</v>
      </c>
      <c r="I60" s="553">
        <f t="shared" si="74"/>
        <v>0</v>
      </c>
      <c r="J60" s="553">
        <f t="shared" si="75"/>
        <v>4</v>
      </c>
      <c r="K60" s="765">
        <f t="shared" si="76"/>
        <v>8</v>
      </c>
      <c r="L60" s="553">
        <f t="shared" si="77"/>
        <v>5</v>
      </c>
      <c r="M60" s="553">
        <f t="shared" si="78"/>
        <v>7</v>
      </c>
      <c r="N60" s="553">
        <f t="shared" si="79"/>
        <v>7</v>
      </c>
      <c r="O60" s="765">
        <f t="shared" si="80"/>
        <v>3</v>
      </c>
      <c r="P60" s="553">
        <f t="shared" si="81"/>
        <v>0</v>
      </c>
      <c r="Q60" s="553">
        <f t="shared" si="82"/>
        <v>3</v>
      </c>
      <c r="R60" s="553">
        <f t="shared" si="83"/>
        <v>4</v>
      </c>
      <c r="S60" s="149">
        <f t="shared" si="84"/>
        <v>1</v>
      </c>
      <c r="T60" s="149">
        <f t="shared" si="85"/>
        <v>1</v>
      </c>
      <c r="U60" s="149">
        <f t="shared" si="86"/>
        <v>1</v>
      </c>
      <c r="V60" s="149">
        <f t="shared" si="87"/>
        <v>0</v>
      </c>
      <c r="W60" s="149">
        <f t="shared" si="88"/>
        <v>1</v>
      </c>
      <c r="X60" s="149">
        <f t="shared" si="89"/>
        <v>0</v>
      </c>
      <c r="Y60" s="149">
        <f t="shared" si="90"/>
        <v>0</v>
      </c>
      <c r="Z60" s="149">
        <f t="shared" si="91"/>
        <v>0</v>
      </c>
      <c r="AA60" s="149">
        <f t="shared" si="92"/>
        <v>0</v>
      </c>
      <c r="AB60" s="149">
        <f t="shared" si="93"/>
        <v>0</v>
      </c>
      <c r="AC60" s="149">
        <f t="shared" si="94"/>
        <v>0</v>
      </c>
      <c r="AD60" s="149">
        <f t="shared" si="95"/>
        <v>0</v>
      </c>
      <c r="AE60" s="149">
        <f t="shared" si="96"/>
        <v>0</v>
      </c>
      <c r="AF60" s="149">
        <f t="shared" si="97"/>
        <v>0</v>
      </c>
      <c r="AG60" s="149">
        <f t="shared" si="98"/>
        <v>0</v>
      </c>
      <c r="AH60" s="149">
        <f t="shared" si="99"/>
        <v>0</v>
      </c>
      <c r="AI60" s="149">
        <f t="shared" si="100"/>
        <v>0</v>
      </c>
      <c r="AJ60" s="149">
        <f t="shared" si="101"/>
        <v>0</v>
      </c>
      <c r="AK60" s="149">
        <f t="shared" si="102"/>
        <v>0</v>
      </c>
    </row>
    <row r="61" spans="2:37">
      <c r="B61" s="1695" t="s">
        <v>4114</v>
      </c>
      <c r="C61" s="1695"/>
      <c r="D61" s="153">
        <f t="shared" si="69"/>
        <v>0</v>
      </c>
      <c r="E61" s="553">
        <f t="shared" si="70"/>
        <v>0</v>
      </c>
      <c r="F61" s="553">
        <f t="shared" si="71"/>
        <v>0</v>
      </c>
      <c r="G61" s="553">
        <f t="shared" si="72"/>
        <v>0</v>
      </c>
      <c r="H61" s="553">
        <f t="shared" si="73"/>
        <v>0</v>
      </c>
      <c r="I61" s="553">
        <f t="shared" si="74"/>
        <v>0</v>
      </c>
      <c r="J61" s="553">
        <f t="shared" si="75"/>
        <v>0</v>
      </c>
      <c r="K61" s="765">
        <f t="shared" si="76"/>
        <v>0</v>
      </c>
      <c r="L61" s="553">
        <f t="shared" si="77"/>
        <v>0</v>
      </c>
      <c r="M61" s="553">
        <f t="shared" si="78"/>
        <v>0</v>
      </c>
      <c r="N61" s="553">
        <f t="shared" si="79"/>
        <v>0</v>
      </c>
      <c r="O61" s="765">
        <f t="shared" si="80"/>
        <v>0</v>
      </c>
      <c r="P61" s="553">
        <f t="shared" si="81"/>
        <v>0</v>
      </c>
      <c r="Q61" s="553">
        <f t="shared" si="82"/>
        <v>0</v>
      </c>
      <c r="R61" s="553">
        <f t="shared" si="83"/>
        <v>0</v>
      </c>
      <c r="S61" s="149">
        <f t="shared" si="84"/>
        <v>0</v>
      </c>
      <c r="T61" s="149">
        <f t="shared" si="85"/>
        <v>0</v>
      </c>
      <c r="U61" s="149">
        <f t="shared" si="86"/>
        <v>0</v>
      </c>
      <c r="V61" s="149">
        <f t="shared" si="87"/>
        <v>0</v>
      </c>
      <c r="W61" s="149">
        <f t="shared" si="88"/>
        <v>0</v>
      </c>
      <c r="X61" s="149">
        <f t="shared" si="89"/>
        <v>0</v>
      </c>
      <c r="Y61" s="149">
        <f t="shared" si="90"/>
        <v>0</v>
      </c>
      <c r="Z61" s="149">
        <f t="shared" si="91"/>
        <v>0</v>
      </c>
      <c r="AA61" s="149">
        <f t="shared" si="92"/>
        <v>0</v>
      </c>
      <c r="AB61" s="149">
        <f t="shared" si="93"/>
        <v>0</v>
      </c>
      <c r="AC61" s="149">
        <f t="shared" si="94"/>
        <v>0</v>
      </c>
      <c r="AD61" s="149">
        <f t="shared" si="95"/>
        <v>0</v>
      </c>
      <c r="AE61" s="149">
        <f t="shared" si="96"/>
        <v>0</v>
      </c>
      <c r="AF61" s="149">
        <f t="shared" si="97"/>
        <v>0</v>
      </c>
      <c r="AG61" s="149">
        <f t="shared" si="98"/>
        <v>0</v>
      </c>
      <c r="AH61" s="149">
        <f t="shared" si="99"/>
        <v>0</v>
      </c>
      <c r="AI61" s="149">
        <f t="shared" si="100"/>
        <v>0</v>
      </c>
      <c r="AJ61" s="149">
        <f t="shared" si="101"/>
        <v>0</v>
      </c>
      <c r="AK61" s="149">
        <f t="shared" si="102"/>
        <v>0</v>
      </c>
    </row>
    <row r="62" spans="2:37">
      <c r="B62" s="151"/>
      <c r="C62" s="151"/>
      <c r="D62" s="151"/>
      <c r="E62" s="553"/>
      <c r="F62" s="553"/>
      <c r="G62" s="553"/>
      <c r="H62" s="553"/>
      <c r="I62" s="553"/>
      <c r="J62" s="553"/>
      <c r="K62" s="765"/>
      <c r="L62" s="553"/>
      <c r="M62" s="553"/>
      <c r="N62" s="553"/>
      <c r="O62" s="765"/>
      <c r="P62" s="553"/>
      <c r="Q62" s="553"/>
      <c r="R62" s="553"/>
    </row>
    <row r="63" spans="2:37" ht="13" thickBot="1">
      <c r="B63" s="151"/>
      <c r="C63" s="151"/>
      <c r="D63" s="151"/>
      <c r="E63" s="553"/>
      <c r="F63" s="553"/>
      <c r="G63" s="553"/>
      <c r="H63" s="553"/>
      <c r="I63" s="553"/>
      <c r="J63" s="553"/>
      <c r="K63" s="765"/>
      <c r="L63" s="553"/>
      <c r="M63" s="553"/>
      <c r="N63" s="553"/>
      <c r="O63" s="765"/>
      <c r="P63" s="553"/>
      <c r="Q63" s="553"/>
      <c r="R63" s="553"/>
    </row>
    <row r="64" spans="2:37">
      <c r="B64" s="1702" t="s">
        <v>1375</v>
      </c>
      <c r="C64" s="1703"/>
      <c r="D64" s="1704"/>
      <c r="E64" s="553"/>
      <c r="F64" s="553"/>
      <c r="G64" s="553"/>
      <c r="H64" s="553"/>
      <c r="I64" s="553"/>
      <c r="J64" s="553"/>
      <c r="K64" s="765"/>
      <c r="L64" s="553"/>
      <c r="M64" s="553"/>
      <c r="N64" s="553"/>
      <c r="O64" s="765"/>
      <c r="P64" s="553"/>
      <c r="Q64" s="553"/>
      <c r="R64" s="553"/>
    </row>
    <row r="65" spans="2:38" ht="13" thickBot="1">
      <c r="B65" s="1705"/>
      <c r="C65" s="1706"/>
      <c r="D65" s="1707"/>
      <c r="E65" s="553"/>
      <c r="F65" s="553"/>
      <c r="G65" s="553"/>
      <c r="H65" s="553"/>
      <c r="I65" s="553"/>
      <c r="J65" s="553"/>
      <c r="K65" s="765"/>
      <c r="L65" s="553"/>
      <c r="M65" s="553"/>
      <c r="N65" s="553"/>
      <c r="O65" s="765"/>
      <c r="P65" s="553"/>
      <c r="Q65" s="553"/>
      <c r="R65" s="553"/>
    </row>
    <row r="66" spans="2:38" ht="13" thickBot="1">
      <c r="B66" s="1720" t="s">
        <v>461</v>
      </c>
      <c r="C66" s="1721"/>
      <c r="D66" s="152" t="s">
        <v>462</v>
      </c>
      <c r="E66" s="553"/>
      <c r="F66" s="553"/>
      <c r="G66" s="553"/>
      <c r="H66" s="553"/>
      <c r="I66" s="553"/>
      <c r="J66" s="553"/>
      <c r="K66" s="765"/>
      <c r="L66" s="553"/>
      <c r="M66" s="553"/>
      <c r="N66" s="553"/>
      <c r="O66" s="765"/>
      <c r="P66" s="553"/>
      <c r="Q66" s="553"/>
      <c r="R66" s="553"/>
    </row>
    <row r="67" spans="2:38">
      <c r="B67" s="1697" t="s">
        <v>463</v>
      </c>
      <c r="C67" s="1697"/>
      <c r="D67" s="153">
        <f t="shared" ref="D67:D72" si="103">SUM(F67:AK67)</f>
        <v>0</v>
      </c>
      <c r="E67" s="553">
        <f t="shared" ref="E67:E72" si="104">SUM(F67:AK67)</f>
        <v>0</v>
      </c>
      <c r="F67" s="553">
        <f t="shared" ref="F67:F72" si="105">COUNTIF(Area_v1RISHER,$B67)</f>
        <v>0</v>
      </c>
      <c r="G67" s="553">
        <f t="shared" ref="G67:G72" si="106">COUNTIF(Area_v2RISHER,$B67)</f>
        <v>0</v>
      </c>
      <c r="H67" s="553">
        <f t="shared" ref="H67:H72" si="107">COUNTIF(Area_v1RAANHER,$B67)</f>
        <v>0</v>
      </c>
      <c r="I67" s="553">
        <f t="shared" ref="I67:I72" si="108">COUNTIF(Area_v2RAANHER,$B67)</f>
        <v>0</v>
      </c>
      <c r="J67" s="553">
        <f t="shared" ref="J67:J72" si="109">COUNTIF(Area_v1HER,$B67)</f>
        <v>0</v>
      </c>
      <c r="K67" s="765">
        <f t="shared" ref="K67:K72" si="110">COUNTIF(Area_v2HER,$B67)</f>
        <v>0</v>
      </c>
      <c r="L67" s="553">
        <f t="shared" ref="L67:L72" si="111">COUNTIF(Area_v3HER,$B67)</f>
        <v>0</v>
      </c>
      <c r="M67" s="553">
        <f t="shared" ref="M67:M72" si="112">COUNTIF(Area_v4HER,$B67)</f>
        <v>0</v>
      </c>
      <c r="N67" s="553">
        <f t="shared" ref="N67:N72" si="113">COUNTIF(Area_v5HER,$B67)</f>
        <v>0</v>
      </c>
      <c r="O67" s="765">
        <f t="shared" ref="O67:O72" si="114">COUNTIF(Area_v6HER,$B67)</f>
        <v>0</v>
      </c>
      <c r="P67" s="553">
        <f t="shared" ref="P67:P72" si="115">COUNTIF(Area_v1HERTSA,$B67)</f>
        <v>0</v>
      </c>
      <c r="Q67" s="553">
        <f t="shared" ref="Q67:Q72" si="116">COUNTIF(Area_v2HERTSA,$B67)</f>
        <v>0</v>
      </c>
      <c r="R67" s="553">
        <f t="shared" ref="R67:R72" si="117">COUNTIF(Area_v3HERTSA,$B67)</f>
        <v>0</v>
      </c>
      <c r="S67" s="149">
        <f t="shared" ref="S67:S72" si="118">COUNTIF(Area_v4HERTSA,$B67)</f>
        <v>0</v>
      </c>
      <c r="T67" s="149">
        <f t="shared" ref="T67:T72" si="119">COUNTIF(Area_v5HERTSA,$B67)</f>
        <v>0</v>
      </c>
      <c r="U67" s="149">
        <f t="shared" ref="U67:U72" si="120">COUNTIF(Area_v5BBRHER,$B67)</f>
        <v>0</v>
      </c>
      <c r="V67" s="149">
        <f t="shared" ref="V67:V72" si="121">COUNTIF(Area_v1BBRTUN,$B67)</f>
        <v>0</v>
      </c>
      <c r="W67" s="149">
        <f t="shared" ref="W67:W72" si="122">COUNTIF(Area_v2BBRTUN,$B67)</f>
        <v>0</v>
      </c>
      <c r="X67" s="149">
        <f t="shared" ref="X67:X72" si="123">COUNTIF(Area_v51HERTSA,$B67)</f>
        <v>0</v>
      </c>
      <c r="Y67" s="149">
        <f t="shared" ref="Y67:Y72" si="124">COUNTIF(Area_v52HERTSA,$B67)</f>
        <v>0</v>
      </c>
      <c r="Z67" s="149">
        <f t="shared" ref="Z67:Z72" si="125">COUNTIF(Area_v53HERTSA,$B67)</f>
        <v>0</v>
      </c>
      <c r="AA67" s="149">
        <f t="shared" ref="AA67:AA72" si="126">COUNTIF(Area_v1TSA,$B67)</f>
        <v>0</v>
      </c>
      <c r="AB67" s="149">
        <f t="shared" ref="AB67:AB72" si="127">COUNTIF(Area_v2TSA,$B67)</f>
        <v>0</v>
      </c>
      <c r="AC67" s="149">
        <f t="shared" ref="AC67:AC72" si="128">COUNTIF(Area_v3TSA,$B67)</f>
        <v>0</v>
      </c>
      <c r="AD67" s="149">
        <f t="shared" ref="AD67:AD72" si="129">COUNTIF(Area_v4TSA,$B67)</f>
        <v>0</v>
      </c>
      <c r="AE67" s="149">
        <f t="shared" ref="AE67:AE72" si="130">COUNTIF(Area_v5TSA,$B67)</f>
        <v>0</v>
      </c>
      <c r="AF67" s="149">
        <f t="shared" ref="AF67:AF72" si="131">COUNTIF(Area_v6TSA,$B67)</f>
        <v>0</v>
      </c>
      <c r="AG67" s="149">
        <f t="shared" ref="AG67:AG72" si="132">COUNTIF(Area_v1TSATHA,$B67)</f>
        <v>0</v>
      </c>
      <c r="AH67" s="149">
        <f t="shared" ref="AH67:AH72" si="133">COUNTIF(Area_v2TSATHA,$B67)</f>
        <v>0</v>
      </c>
      <c r="AI67" s="149">
        <f t="shared" ref="AI67:AI72" si="134">COUNTIF(Area_v3TSATHA,$B67)</f>
        <v>0</v>
      </c>
      <c r="AJ67" s="149">
        <f t="shared" ref="AJ67:AJ72" si="135">COUNTIF(Area_v4THAHOLON,$B67)</f>
        <v>0</v>
      </c>
      <c r="AK67" s="149">
        <f t="shared" ref="AK67:AK72" si="136">COUNTIF(Area_v5THAHOLON,$B67)</f>
        <v>0</v>
      </c>
    </row>
    <row r="68" spans="2:38">
      <c r="B68" s="1697" t="s">
        <v>465</v>
      </c>
      <c r="C68" s="1697"/>
      <c r="D68" s="153">
        <f t="shared" si="103"/>
        <v>0</v>
      </c>
      <c r="E68" s="553">
        <f t="shared" si="104"/>
        <v>0</v>
      </c>
      <c r="F68" s="553">
        <f t="shared" si="105"/>
        <v>0</v>
      </c>
      <c r="G68" s="553">
        <f t="shared" si="106"/>
        <v>0</v>
      </c>
      <c r="H68" s="553">
        <f t="shared" si="107"/>
        <v>0</v>
      </c>
      <c r="I68" s="553">
        <f t="shared" si="108"/>
        <v>0</v>
      </c>
      <c r="J68" s="553">
        <f t="shared" si="109"/>
        <v>0</v>
      </c>
      <c r="K68" s="765">
        <f t="shared" si="110"/>
        <v>0</v>
      </c>
      <c r="L68" s="553">
        <f t="shared" si="111"/>
        <v>0</v>
      </c>
      <c r="M68" s="553">
        <f t="shared" si="112"/>
        <v>0</v>
      </c>
      <c r="N68" s="553">
        <f t="shared" si="113"/>
        <v>0</v>
      </c>
      <c r="O68" s="765">
        <f t="shared" si="114"/>
        <v>0</v>
      </c>
      <c r="P68" s="553">
        <f t="shared" si="115"/>
        <v>0</v>
      </c>
      <c r="Q68" s="553">
        <f t="shared" si="116"/>
        <v>0</v>
      </c>
      <c r="R68" s="553">
        <f t="shared" si="117"/>
        <v>0</v>
      </c>
      <c r="S68" s="149">
        <f t="shared" si="118"/>
        <v>0</v>
      </c>
      <c r="T68" s="149">
        <f t="shared" si="119"/>
        <v>0</v>
      </c>
      <c r="U68" s="149">
        <f t="shared" si="120"/>
        <v>0</v>
      </c>
      <c r="V68" s="149">
        <f t="shared" si="121"/>
        <v>0</v>
      </c>
      <c r="W68" s="149">
        <f t="shared" si="122"/>
        <v>0</v>
      </c>
      <c r="X68" s="149">
        <f t="shared" si="123"/>
        <v>0</v>
      </c>
      <c r="Y68" s="149">
        <f t="shared" si="124"/>
        <v>0</v>
      </c>
      <c r="Z68" s="149">
        <f t="shared" si="125"/>
        <v>0</v>
      </c>
      <c r="AA68" s="149">
        <f t="shared" si="126"/>
        <v>0</v>
      </c>
      <c r="AB68" s="149">
        <f t="shared" si="127"/>
        <v>0</v>
      </c>
      <c r="AC68" s="149">
        <f t="shared" si="128"/>
        <v>0</v>
      </c>
      <c r="AD68" s="149">
        <f t="shared" si="129"/>
        <v>0</v>
      </c>
      <c r="AE68" s="149">
        <f t="shared" si="130"/>
        <v>0</v>
      </c>
      <c r="AF68" s="149">
        <f t="shared" si="131"/>
        <v>0</v>
      </c>
      <c r="AG68" s="149">
        <f t="shared" si="132"/>
        <v>0</v>
      </c>
      <c r="AH68" s="149">
        <f t="shared" si="133"/>
        <v>0</v>
      </c>
      <c r="AI68" s="149">
        <f t="shared" si="134"/>
        <v>0</v>
      </c>
      <c r="AJ68" s="149">
        <f t="shared" si="135"/>
        <v>0</v>
      </c>
      <c r="AK68" s="149">
        <f t="shared" si="136"/>
        <v>0</v>
      </c>
    </row>
    <row r="69" spans="2:38">
      <c r="B69" s="1695" t="s">
        <v>466</v>
      </c>
      <c r="C69" s="1695"/>
      <c r="D69" s="153">
        <f t="shared" si="103"/>
        <v>0</v>
      </c>
      <c r="E69" s="553">
        <f t="shared" si="104"/>
        <v>0</v>
      </c>
      <c r="F69" s="553">
        <f t="shared" si="105"/>
        <v>0</v>
      </c>
      <c r="G69" s="553">
        <f t="shared" si="106"/>
        <v>0</v>
      </c>
      <c r="H69" s="553">
        <f t="shared" si="107"/>
        <v>0</v>
      </c>
      <c r="I69" s="553">
        <f t="shared" si="108"/>
        <v>0</v>
      </c>
      <c r="J69" s="553">
        <f t="shared" si="109"/>
        <v>0</v>
      </c>
      <c r="K69" s="765">
        <f t="shared" si="110"/>
        <v>0</v>
      </c>
      <c r="L69" s="553">
        <f t="shared" si="111"/>
        <v>0</v>
      </c>
      <c r="M69" s="553">
        <f t="shared" si="112"/>
        <v>0</v>
      </c>
      <c r="N69" s="553">
        <f t="shared" si="113"/>
        <v>0</v>
      </c>
      <c r="O69" s="765">
        <f t="shared" si="114"/>
        <v>0</v>
      </c>
      <c r="P69" s="553">
        <f t="shared" si="115"/>
        <v>0</v>
      </c>
      <c r="Q69" s="553">
        <f t="shared" si="116"/>
        <v>0</v>
      </c>
      <c r="R69" s="553">
        <f t="shared" si="117"/>
        <v>0</v>
      </c>
      <c r="S69" s="149">
        <f t="shared" si="118"/>
        <v>0</v>
      </c>
      <c r="T69" s="149">
        <f t="shared" si="119"/>
        <v>0</v>
      </c>
      <c r="U69" s="149">
        <f t="shared" si="120"/>
        <v>0</v>
      </c>
      <c r="V69" s="149">
        <f t="shared" si="121"/>
        <v>0</v>
      </c>
      <c r="W69" s="149">
        <f t="shared" si="122"/>
        <v>0</v>
      </c>
      <c r="X69" s="149">
        <f t="shared" si="123"/>
        <v>0</v>
      </c>
      <c r="Y69" s="149">
        <f t="shared" si="124"/>
        <v>0</v>
      </c>
      <c r="Z69" s="149">
        <f t="shared" si="125"/>
        <v>0</v>
      </c>
      <c r="AA69" s="149">
        <f t="shared" si="126"/>
        <v>0</v>
      </c>
      <c r="AB69" s="149">
        <f t="shared" si="127"/>
        <v>0</v>
      </c>
      <c r="AC69" s="149">
        <f t="shared" si="128"/>
        <v>0</v>
      </c>
      <c r="AD69" s="149">
        <f t="shared" si="129"/>
        <v>0</v>
      </c>
      <c r="AE69" s="149">
        <f t="shared" si="130"/>
        <v>0</v>
      </c>
      <c r="AF69" s="149">
        <f t="shared" si="131"/>
        <v>0</v>
      </c>
      <c r="AG69" s="149">
        <f t="shared" si="132"/>
        <v>0</v>
      </c>
      <c r="AH69" s="149">
        <f t="shared" si="133"/>
        <v>0</v>
      </c>
      <c r="AI69" s="149">
        <f t="shared" si="134"/>
        <v>0</v>
      </c>
      <c r="AJ69" s="149">
        <f t="shared" si="135"/>
        <v>0</v>
      </c>
      <c r="AK69" s="149">
        <f t="shared" si="136"/>
        <v>0</v>
      </c>
      <c r="AL69" t="s">
        <v>2771</v>
      </c>
    </row>
    <row r="70" spans="2:38">
      <c r="B70" s="1695" t="s">
        <v>2482</v>
      </c>
      <c r="C70" s="1695"/>
      <c r="D70" s="153">
        <f t="shared" si="103"/>
        <v>2</v>
      </c>
      <c r="E70" s="553">
        <f t="shared" si="104"/>
        <v>2</v>
      </c>
      <c r="F70" s="553">
        <f t="shared" si="105"/>
        <v>0</v>
      </c>
      <c r="G70" s="553">
        <f t="shared" si="106"/>
        <v>0</v>
      </c>
      <c r="H70" s="553">
        <f t="shared" si="107"/>
        <v>0</v>
      </c>
      <c r="I70" s="553">
        <f t="shared" si="108"/>
        <v>0</v>
      </c>
      <c r="J70" s="553">
        <f t="shared" si="109"/>
        <v>0</v>
      </c>
      <c r="K70" s="765">
        <f t="shared" si="110"/>
        <v>0</v>
      </c>
      <c r="L70" s="553">
        <f t="shared" si="111"/>
        <v>0</v>
      </c>
      <c r="M70" s="553">
        <f t="shared" si="112"/>
        <v>0</v>
      </c>
      <c r="N70" s="553">
        <f t="shared" si="113"/>
        <v>0</v>
      </c>
      <c r="O70" s="765">
        <f t="shared" si="114"/>
        <v>0</v>
      </c>
      <c r="P70" s="553">
        <f t="shared" si="115"/>
        <v>0</v>
      </c>
      <c r="Q70" s="553">
        <f t="shared" si="116"/>
        <v>0</v>
      </c>
      <c r="R70" s="553">
        <f t="shared" si="117"/>
        <v>0</v>
      </c>
      <c r="S70" s="149">
        <f t="shared" si="118"/>
        <v>0</v>
      </c>
      <c r="T70" s="149">
        <f t="shared" si="119"/>
        <v>0</v>
      </c>
      <c r="U70" s="149">
        <f t="shared" si="120"/>
        <v>0</v>
      </c>
      <c r="V70" s="149">
        <f t="shared" si="121"/>
        <v>2</v>
      </c>
      <c r="W70" s="149">
        <f t="shared" si="122"/>
        <v>0</v>
      </c>
      <c r="X70" s="149">
        <f t="shared" si="123"/>
        <v>0</v>
      </c>
      <c r="Y70" s="149">
        <f t="shared" si="124"/>
        <v>0</v>
      </c>
      <c r="Z70" s="149">
        <f t="shared" si="125"/>
        <v>0</v>
      </c>
      <c r="AA70" s="149">
        <f t="shared" si="126"/>
        <v>0</v>
      </c>
      <c r="AB70" s="149">
        <f t="shared" si="127"/>
        <v>0</v>
      </c>
      <c r="AC70" s="149">
        <f t="shared" si="128"/>
        <v>0</v>
      </c>
      <c r="AD70" s="149">
        <f t="shared" si="129"/>
        <v>0</v>
      </c>
      <c r="AE70" s="149">
        <f t="shared" si="130"/>
        <v>0</v>
      </c>
      <c r="AF70" s="149">
        <f t="shared" si="131"/>
        <v>0</v>
      </c>
      <c r="AG70" s="149">
        <f t="shared" si="132"/>
        <v>0</v>
      </c>
      <c r="AH70" s="149">
        <f t="shared" si="133"/>
        <v>0</v>
      </c>
      <c r="AI70" s="149">
        <f t="shared" si="134"/>
        <v>0</v>
      </c>
      <c r="AJ70" s="149">
        <f t="shared" si="135"/>
        <v>0</v>
      </c>
      <c r="AK70" s="149">
        <f t="shared" si="136"/>
        <v>0</v>
      </c>
      <c r="AL70" t="s">
        <v>2769</v>
      </c>
    </row>
    <row r="71" spans="2:38">
      <c r="B71" s="1695" t="s">
        <v>464</v>
      </c>
      <c r="C71" s="1695"/>
      <c r="D71" s="153">
        <f t="shared" si="103"/>
        <v>0</v>
      </c>
      <c r="E71" s="553">
        <f t="shared" si="104"/>
        <v>0</v>
      </c>
      <c r="F71" s="553">
        <f t="shared" si="105"/>
        <v>0</v>
      </c>
      <c r="G71" s="553">
        <f t="shared" si="106"/>
        <v>0</v>
      </c>
      <c r="H71" s="553">
        <f t="shared" si="107"/>
        <v>0</v>
      </c>
      <c r="I71" s="553">
        <f t="shared" si="108"/>
        <v>0</v>
      </c>
      <c r="J71" s="553">
        <f t="shared" si="109"/>
        <v>0</v>
      </c>
      <c r="K71" s="765">
        <f t="shared" si="110"/>
        <v>0</v>
      </c>
      <c r="L71" s="553">
        <f t="shared" si="111"/>
        <v>0</v>
      </c>
      <c r="M71" s="553">
        <f t="shared" si="112"/>
        <v>0</v>
      </c>
      <c r="N71" s="553">
        <f t="shared" si="113"/>
        <v>0</v>
      </c>
      <c r="O71" s="765">
        <f t="shared" si="114"/>
        <v>0</v>
      </c>
      <c r="P71" s="553">
        <f t="shared" si="115"/>
        <v>0</v>
      </c>
      <c r="Q71" s="553">
        <f t="shared" si="116"/>
        <v>0</v>
      </c>
      <c r="R71" s="553">
        <f t="shared" si="117"/>
        <v>0</v>
      </c>
      <c r="S71" s="149">
        <f t="shared" si="118"/>
        <v>0</v>
      </c>
      <c r="T71" s="149">
        <f t="shared" si="119"/>
        <v>0</v>
      </c>
      <c r="U71" s="149">
        <f t="shared" si="120"/>
        <v>0</v>
      </c>
      <c r="V71" s="149">
        <f t="shared" si="121"/>
        <v>0</v>
      </c>
      <c r="W71" s="149">
        <f t="shared" si="122"/>
        <v>0</v>
      </c>
      <c r="X71" s="149">
        <f t="shared" si="123"/>
        <v>0</v>
      </c>
      <c r="Y71" s="149">
        <f t="shared" si="124"/>
        <v>0</v>
      </c>
      <c r="Z71" s="149">
        <f t="shared" si="125"/>
        <v>0</v>
      </c>
      <c r="AA71" s="149">
        <f t="shared" si="126"/>
        <v>0</v>
      </c>
      <c r="AB71" s="149">
        <f t="shared" si="127"/>
        <v>0</v>
      </c>
      <c r="AC71" s="149">
        <f t="shared" si="128"/>
        <v>0</v>
      </c>
      <c r="AD71" s="149">
        <f t="shared" si="129"/>
        <v>0</v>
      </c>
      <c r="AE71" s="149">
        <f t="shared" si="130"/>
        <v>0</v>
      </c>
      <c r="AF71" s="149">
        <f t="shared" si="131"/>
        <v>0</v>
      </c>
      <c r="AG71" s="149">
        <f t="shared" si="132"/>
        <v>0</v>
      </c>
      <c r="AH71" s="149">
        <f t="shared" si="133"/>
        <v>0</v>
      </c>
      <c r="AI71" s="149">
        <f t="shared" si="134"/>
        <v>0</v>
      </c>
      <c r="AJ71" s="149">
        <f t="shared" si="135"/>
        <v>0</v>
      </c>
      <c r="AK71" s="149">
        <f t="shared" si="136"/>
        <v>0</v>
      </c>
    </row>
    <row r="72" spans="2:38">
      <c r="B72" s="1695" t="s">
        <v>2483</v>
      </c>
      <c r="C72" s="1695"/>
      <c r="D72" s="153">
        <f t="shared" si="103"/>
        <v>0</v>
      </c>
      <c r="E72" s="553">
        <f t="shared" si="104"/>
        <v>0</v>
      </c>
      <c r="F72" s="553">
        <f t="shared" si="105"/>
        <v>0</v>
      </c>
      <c r="G72" s="553">
        <f t="shared" si="106"/>
        <v>0</v>
      </c>
      <c r="H72" s="553">
        <f t="shared" si="107"/>
        <v>0</v>
      </c>
      <c r="I72" s="553">
        <f t="shared" si="108"/>
        <v>0</v>
      </c>
      <c r="J72" s="553">
        <f t="shared" si="109"/>
        <v>0</v>
      </c>
      <c r="K72" s="765">
        <f t="shared" si="110"/>
        <v>0</v>
      </c>
      <c r="L72" s="553">
        <f t="shared" si="111"/>
        <v>0</v>
      </c>
      <c r="M72" s="553">
        <f t="shared" si="112"/>
        <v>0</v>
      </c>
      <c r="N72" s="553">
        <f t="shared" si="113"/>
        <v>0</v>
      </c>
      <c r="O72" s="765">
        <f t="shared" si="114"/>
        <v>0</v>
      </c>
      <c r="P72" s="553">
        <f t="shared" si="115"/>
        <v>0</v>
      </c>
      <c r="Q72" s="553">
        <f t="shared" si="116"/>
        <v>0</v>
      </c>
      <c r="R72" s="553">
        <f t="shared" si="117"/>
        <v>0</v>
      </c>
      <c r="S72" s="149">
        <f t="shared" si="118"/>
        <v>0</v>
      </c>
      <c r="T72" s="149">
        <f t="shared" si="119"/>
        <v>0</v>
      </c>
      <c r="U72" s="149">
        <f t="shared" si="120"/>
        <v>0</v>
      </c>
      <c r="V72" s="149">
        <f t="shared" si="121"/>
        <v>0</v>
      </c>
      <c r="W72" s="149">
        <f t="shared" si="122"/>
        <v>0</v>
      </c>
      <c r="X72" s="149">
        <f t="shared" si="123"/>
        <v>0</v>
      </c>
      <c r="Y72" s="149">
        <f t="shared" si="124"/>
        <v>0</v>
      </c>
      <c r="Z72" s="149">
        <f t="shared" si="125"/>
        <v>0</v>
      </c>
      <c r="AA72" s="149">
        <f t="shared" si="126"/>
        <v>0</v>
      </c>
      <c r="AB72" s="149">
        <f t="shared" si="127"/>
        <v>0</v>
      </c>
      <c r="AC72" s="149">
        <f t="shared" si="128"/>
        <v>0</v>
      </c>
      <c r="AD72" s="149">
        <f t="shared" si="129"/>
        <v>0</v>
      </c>
      <c r="AE72" s="149">
        <f t="shared" si="130"/>
        <v>0</v>
      </c>
      <c r="AF72" s="149">
        <f t="shared" si="131"/>
        <v>0</v>
      </c>
      <c r="AG72" s="149">
        <f t="shared" si="132"/>
        <v>0</v>
      </c>
      <c r="AH72" s="149">
        <f t="shared" si="133"/>
        <v>0</v>
      </c>
      <c r="AI72" s="149">
        <f t="shared" si="134"/>
        <v>0</v>
      </c>
      <c r="AJ72" s="149">
        <f t="shared" si="135"/>
        <v>0</v>
      </c>
      <c r="AK72" s="149">
        <f t="shared" si="136"/>
        <v>0</v>
      </c>
      <c r="AL72" t="s">
        <v>2770</v>
      </c>
    </row>
    <row r="74" spans="2:38">
      <c r="B74" s="1701" t="s">
        <v>1378</v>
      </c>
      <c r="C74" s="1701"/>
      <c r="D74" s="1701"/>
      <c r="E74" s="1701"/>
      <c r="F74" s="1701"/>
      <c r="G74" s="1701"/>
      <c r="H74" s="1701"/>
      <c r="I74" s="1701"/>
      <c r="J74" s="1701"/>
    </row>
    <row r="75" spans="2:38">
      <c r="B75" s="151"/>
      <c r="C75" s="154"/>
      <c r="D75" s="151"/>
    </row>
    <row r="76" spans="2:38" ht="13" thickBot="1">
      <c r="B76" s="151"/>
      <c r="C76" s="151"/>
      <c r="D76" s="154"/>
    </row>
    <row r="77" spans="2:38" ht="14.5" thickBot="1">
      <c r="B77" s="1698" t="s">
        <v>630</v>
      </c>
      <c r="C77" s="1699"/>
      <c r="D77" s="1700"/>
    </row>
    <row r="78" spans="2:38" ht="14.5" thickBot="1">
      <c r="B78" s="128" t="s">
        <v>616</v>
      </c>
      <c r="C78" s="128" t="s">
        <v>617</v>
      </c>
      <c r="D78" s="128" t="s">
        <v>618</v>
      </c>
    </row>
    <row r="79" spans="2:38">
      <c r="C79" s="151"/>
      <c r="D79" s="151"/>
    </row>
    <row r="87" spans="2:14">
      <c r="B87" s="39"/>
      <c r="C87" s="39"/>
      <c r="D87" s="39"/>
      <c r="F87" s="767"/>
      <c r="G87" s="767"/>
      <c r="H87" s="767"/>
      <c r="I87" s="767"/>
      <c r="J87" s="767"/>
    </row>
    <row r="88" spans="2:14">
      <c r="L88" s="767"/>
      <c r="M88" s="767"/>
      <c r="N88" s="767"/>
    </row>
  </sheetData>
  <mergeCells count="59">
    <mergeCell ref="B53:C53"/>
    <mergeCell ref="B54:C54"/>
    <mergeCell ref="B55:C55"/>
    <mergeCell ref="B56:C56"/>
    <mergeCell ref="B57:C57"/>
    <mergeCell ref="B58:C58"/>
    <mergeCell ref="B59:C59"/>
    <mergeCell ref="B61:C61"/>
    <mergeCell ref="B70:C70"/>
    <mergeCell ref="B64:D65"/>
    <mergeCell ref="B66:C66"/>
    <mergeCell ref="B67:C67"/>
    <mergeCell ref="B68:C68"/>
    <mergeCell ref="B69:C69"/>
    <mergeCell ref="B60:C60"/>
    <mergeCell ref="B22:C22"/>
    <mergeCell ref="B39:C39"/>
    <mergeCell ref="B23:C23"/>
    <mergeCell ref="B40:C40"/>
    <mergeCell ref="B24:C24"/>
    <mergeCell ref="B35:C35"/>
    <mergeCell ref="B52:C52"/>
    <mergeCell ref="B25:C25"/>
    <mergeCell ref="B42:C42"/>
    <mergeCell ref="B26:C26"/>
    <mergeCell ref="B43:C43"/>
    <mergeCell ref="B41:C41"/>
    <mergeCell ref="B77:D77"/>
    <mergeCell ref="B74:J74"/>
    <mergeCell ref="B12:D13"/>
    <mergeCell ref="B29:D30"/>
    <mergeCell ref="B16:C16"/>
    <mergeCell ref="B33:C33"/>
    <mergeCell ref="B19:C19"/>
    <mergeCell ref="B36:C36"/>
    <mergeCell ref="B20:C20"/>
    <mergeCell ref="B37:C37"/>
    <mergeCell ref="B21:C21"/>
    <mergeCell ref="B38:C38"/>
    <mergeCell ref="B46:D47"/>
    <mergeCell ref="B14:C14"/>
    <mergeCell ref="B31:C31"/>
    <mergeCell ref="B48:C48"/>
    <mergeCell ref="B10:C10"/>
    <mergeCell ref="B2:D2"/>
    <mergeCell ref="B71:C71"/>
    <mergeCell ref="B72:C72"/>
    <mergeCell ref="B5:C5"/>
    <mergeCell ref="B4:C4"/>
    <mergeCell ref="B3:C3"/>
    <mergeCell ref="B6:C6"/>
    <mergeCell ref="B15:C15"/>
    <mergeCell ref="B32:C32"/>
    <mergeCell ref="B49:C49"/>
    <mergeCell ref="B50:C50"/>
    <mergeCell ref="B17:C17"/>
    <mergeCell ref="B34:C34"/>
    <mergeCell ref="B51:C51"/>
    <mergeCell ref="B18:C18"/>
  </mergeCells>
  <pageMargins left="0.7" right="0.7" top="0.75" bottom="0.75" header="0.3" footer="0.3"/>
</worksheet>
</file>

<file path=docMetadata/LabelInfo.xml><?xml version="1.0" encoding="utf-8"?>
<clbl:labelList xmlns:clbl="http://schemas.microsoft.com/office/2020/mipLabelMetadata">
  <clbl:label id="{caec34b8-bf95-4894-afcf-1364d9f54752}" enabled="0" method="" siteId="{caec34b8-bf95-4894-afcf-1364d9f54752}"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41</vt:i4>
      </vt:variant>
      <vt:variant>
        <vt:lpstr>Rangos con nombre</vt:lpstr>
      </vt:variant>
      <vt:variant>
        <vt:i4>313</vt:i4>
      </vt:variant>
    </vt:vector>
  </HeadingPairs>
  <TitlesOfParts>
    <vt:vector size="354" baseType="lpstr">
      <vt:lpstr>Revision Data</vt:lpstr>
      <vt:lpstr>HR Track 1 RIS-HER</vt:lpstr>
      <vt:lpstr>HR Track 2 RIS-HER</vt:lpstr>
      <vt:lpstr>HR Track 1 RAAN-HER</vt:lpstr>
      <vt:lpstr>HR Track 2 RAAN-HER</vt:lpstr>
      <vt:lpstr>HR Track 1 HER</vt:lpstr>
      <vt:lpstr>HR Track 2 HER</vt:lpstr>
      <vt:lpstr>HR Track 3 HER</vt:lpstr>
      <vt:lpstr>HR Track 4 HER</vt:lpstr>
      <vt:lpstr>HR Track 2 HER-TSA </vt:lpstr>
      <vt:lpstr>HR Track 5 HER</vt:lpstr>
      <vt:lpstr>HR Track 6 HER</vt:lpstr>
      <vt:lpstr>HR Track 1 HER-TSA</vt:lpstr>
      <vt:lpstr>HR Track 3 HER-TSA</vt:lpstr>
      <vt:lpstr>HR Track 4 HER-TSA</vt:lpstr>
      <vt:lpstr>HR Track 5 HER-TSA</vt:lpstr>
      <vt:lpstr>HR Track 1 BBR-TUN</vt:lpstr>
      <vt:lpstr>HR Track 2 BBR-TUN</vt:lpstr>
      <vt:lpstr>HR Track 5 BBR-HER</vt:lpstr>
      <vt:lpstr>HR Track 51 HER-TSA</vt:lpstr>
      <vt:lpstr>HR Track 52 HER-TSA</vt:lpstr>
      <vt:lpstr>HR Track 53 HER-TSA</vt:lpstr>
      <vt:lpstr>HR Track 1 TSA</vt:lpstr>
      <vt:lpstr>HR Track 2 TSA</vt:lpstr>
      <vt:lpstr>HR Track 3 TSA</vt:lpstr>
      <vt:lpstr>HR Track 4 TSA</vt:lpstr>
      <vt:lpstr>HR Track 5 TSA</vt:lpstr>
      <vt:lpstr>HR Track 6 TSA</vt:lpstr>
      <vt:lpstr>HR Track 1 TSA-THA</vt:lpstr>
      <vt:lpstr>HR Track 2 TSA-THA</vt:lpstr>
      <vt:lpstr>HR Track 3 TSA-THA</vt:lpstr>
      <vt:lpstr>HR Track 4 THA-HOLON</vt:lpstr>
      <vt:lpstr>HR Track 5 THA-HOLON</vt:lpstr>
      <vt:lpstr>Recuento Conjuntos</vt:lpstr>
      <vt:lpstr>Mediciones TOTAL</vt:lpstr>
      <vt:lpstr>Recuento Especiales</vt:lpstr>
      <vt:lpstr>Pole_Calculations</vt:lpstr>
      <vt:lpstr>Foundation Calculation</vt:lpstr>
      <vt:lpstr>CWHeight</vt:lpstr>
      <vt:lpstr>control</vt:lpstr>
      <vt:lpstr>Arms</vt:lpstr>
      <vt:lpstr>'HR Track 1 HER'!ads</vt:lpstr>
      <vt:lpstr>control!Área_de_impresión</vt:lpstr>
      <vt:lpstr>'HR Track 1 BBR-TUN'!Área_de_impresión</vt:lpstr>
      <vt:lpstr>'HR Track 1 HER'!Área_de_impresión</vt:lpstr>
      <vt:lpstr>'HR Track 1 HER-TSA'!Área_de_impresión</vt:lpstr>
      <vt:lpstr>'HR Track 1 RAAN-HER'!Área_de_impresión</vt:lpstr>
      <vt:lpstr>'HR Track 1 RIS-HER'!Área_de_impresión</vt:lpstr>
      <vt:lpstr>'HR Track 1 TSA'!Área_de_impresión</vt:lpstr>
      <vt:lpstr>'HR Track 1 TSA-THA'!Área_de_impresión</vt:lpstr>
      <vt:lpstr>'HR Track 2 BBR-TUN'!Área_de_impresión</vt:lpstr>
      <vt:lpstr>'HR Track 2 HER'!Área_de_impresión</vt:lpstr>
      <vt:lpstr>'HR Track 2 HER-TSA '!Área_de_impresión</vt:lpstr>
      <vt:lpstr>'HR Track 2 RAAN-HER'!Área_de_impresión</vt:lpstr>
      <vt:lpstr>'HR Track 2 RIS-HER'!Área_de_impresión</vt:lpstr>
      <vt:lpstr>'HR Track 2 TSA'!Área_de_impresión</vt:lpstr>
      <vt:lpstr>'HR Track 2 TSA-THA'!Área_de_impresión</vt:lpstr>
      <vt:lpstr>'HR Track 3 HER'!Área_de_impresión</vt:lpstr>
      <vt:lpstr>'HR Track 3 HER-TSA'!Área_de_impresión</vt:lpstr>
      <vt:lpstr>'HR Track 3 TSA'!Área_de_impresión</vt:lpstr>
      <vt:lpstr>'HR Track 3 TSA-THA'!Área_de_impresión</vt:lpstr>
      <vt:lpstr>'HR Track 4 HER'!Área_de_impresión</vt:lpstr>
      <vt:lpstr>'HR Track 4 HER-TSA'!Área_de_impresión</vt:lpstr>
      <vt:lpstr>'HR Track 4 THA-HOLON'!Área_de_impresión</vt:lpstr>
      <vt:lpstr>'HR Track 4 TSA'!Área_de_impresión</vt:lpstr>
      <vt:lpstr>'HR Track 5 BBR-HER'!Área_de_impresión</vt:lpstr>
      <vt:lpstr>'HR Track 5 HER'!Área_de_impresión</vt:lpstr>
      <vt:lpstr>'HR Track 5 HER-TSA'!Área_de_impresión</vt:lpstr>
      <vt:lpstr>'HR Track 5 THA-HOLON'!Área_de_impresión</vt:lpstr>
      <vt:lpstr>'HR Track 5 TSA'!Área_de_impresión</vt:lpstr>
      <vt:lpstr>'HR Track 51 HER-TSA'!Área_de_impresión</vt:lpstr>
      <vt:lpstr>'HR Track 52 HER-TSA'!Área_de_impresión</vt:lpstr>
      <vt:lpstr>'HR Track 53 HER-TSA'!Área_de_impresión</vt:lpstr>
      <vt:lpstr>'HR Track 6 HER'!Área_de_impresión</vt:lpstr>
      <vt:lpstr>'HR Track 6 TSA'!Área_de_impresión</vt:lpstr>
      <vt:lpstr>'Mediciones TOTAL'!Área_de_impresión</vt:lpstr>
      <vt:lpstr>'Recuento Conjuntos'!Área_de_impresión</vt:lpstr>
      <vt:lpstr>'Recuento Especiales'!Área_de_impresión</vt:lpstr>
      <vt:lpstr>'Revision Data'!Área_de_impresión</vt:lpstr>
      <vt:lpstr>Area_S1BBRTUN</vt:lpstr>
      <vt:lpstr>Area_S1HER</vt:lpstr>
      <vt:lpstr>Area_S1HERTSA</vt:lpstr>
      <vt:lpstr>Area_S1RAANHER</vt:lpstr>
      <vt:lpstr>Area_S1RISHER</vt:lpstr>
      <vt:lpstr>Area_S1TSA</vt:lpstr>
      <vt:lpstr>Area_S1TSATHA</vt:lpstr>
      <vt:lpstr>Area_S2BBRTUN</vt:lpstr>
      <vt:lpstr>Area_S2HER</vt:lpstr>
      <vt:lpstr>Area_S2HERTSA</vt:lpstr>
      <vt:lpstr>Area_S2RAANHER</vt:lpstr>
      <vt:lpstr>Area_S2RISHER</vt:lpstr>
      <vt:lpstr>Area_S2TSA</vt:lpstr>
      <vt:lpstr>Area_S2TSATHA</vt:lpstr>
      <vt:lpstr>Area_S3HER</vt:lpstr>
      <vt:lpstr>Area_S3HERTSA</vt:lpstr>
      <vt:lpstr>Area_S3TSA</vt:lpstr>
      <vt:lpstr>Area_S3TSATHA</vt:lpstr>
      <vt:lpstr>Area_S4HER</vt:lpstr>
      <vt:lpstr>Area_S4HERTSA</vt:lpstr>
      <vt:lpstr>Area_S4THAHOLON</vt:lpstr>
      <vt:lpstr>Area_S4TSA</vt:lpstr>
      <vt:lpstr>Area_S51HERTSA</vt:lpstr>
      <vt:lpstr>Area_S52HERTSA</vt:lpstr>
      <vt:lpstr>Area_S53HERTSA</vt:lpstr>
      <vt:lpstr>Area_S5BBRHER</vt:lpstr>
      <vt:lpstr>Area_S5HER</vt:lpstr>
      <vt:lpstr>Area_S5HERTSA</vt:lpstr>
      <vt:lpstr>Area_S5THAHOLON</vt:lpstr>
      <vt:lpstr>Area_S5TSA</vt:lpstr>
      <vt:lpstr>Area_S6HER</vt:lpstr>
      <vt:lpstr>Area_S6TSA</vt:lpstr>
      <vt:lpstr>Area_v1BBRTUN</vt:lpstr>
      <vt:lpstr>Area_v1BBRTUN_AncFound</vt:lpstr>
      <vt:lpstr>Area_v1HER</vt:lpstr>
      <vt:lpstr>Area_v1HER_AncFound</vt:lpstr>
      <vt:lpstr>Area_v1HERTSA</vt:lpstr>
      <vt:lpstr>Area_v1HERTSA_AncFound</vt:lpstr>
      <vt:lpstr>Area_v1RAANHER</vt:lpstr>
      <vt:lpstr>Area_v1RAANHER_AncFound</vt:lpstr>
      <vt:lpstr>Area_v1RISHER</vt:lpstr>
      <vt:lpstr>Area_v1RISHER_AncFound</vt:lpstr>
      <vt:lpstr>Area_v1TSA</vt:lpstr>
      <vt:lpstr>Area_v1TSA_AncFound</vt:lpstr>
      <vt:lpstr>Area_v1TSATHA</vt:lpstr>
      <vt:lpstr>Area_v1TSATHA_AncFound</vt:lpstr>
      <vt:lpstr>Area_v2BBRTUN</vt:lpstr>
      <vt:lpstr>Area_v2BBRTUN_AncFound</vt:lpstr>
      <vt:lpstr>Area_v2HER</vt:lpstr>
      <vt:lpstr>Area_v2HER_AncFound</vt:lpstr>
      <vt:lpstr>Area_v2HERTSA</vt:lpstr>
      <vt:lpstr>Area_v2HERTSA_AncFound</vt:lpstr>
      <vt:lpstr>Area_v2RAANHER</vt:lpstr>
      <vt:lpstr>Area_v2RAANHER_AncFound</vt:lpstr>
      <vt:lpstr>Area_v2RISHER</vt:lpstr>
      <vt:lpstr>Area_v2RISHER_AncFound</vt:lpstr>
      <vt:lpstr>Area_v2TSA</vt:lpstr>
      <vt:lpstr>Area_v2TSA_AncFound</vt:lpstr>
      <vt:lpstr>Area_v2TSATHA</vt:lpstr>
      <vt:lpstr>Area_v2TSATHA_AncFound</vt:lpstr>
      <vt:lpstr>Area_v3HER</vt:lpstr>
      <vt:lpstr>Area_v3HER_AncFound</vt:lpstr>
      <vt:lpstr>Area_v3HERTSA</vt:lpstr>
      <vt:lpstr>Area_v3HERTSA_AncFound</vt:lpstr>
      <vt:lpstr>Area_v3TSA</vt:lpstr>
      <vt:lpstr>Area_v3TSA_AncFound</vt:lpstr>
      <vt:lpstr>Area_v3TSATHA</vt:lpstr>
      <vt:lpstr>Area_v3TSATHA_AncFound</vt:lpstr>
      <vt:lpstr>Area_v4HER</vt:lpstr>
      <vt:lpstr>Area_v4HER_AncFound</vt:lpstr>
      <vt:lpstr>Area_v4HERTSA</vt:lpstr>
      <vt:lpstr>Area_v4HERTSA_AncFound</vt:lpstr>
      <vt:lpstr>Area_v4THAHOLON</vt:lpstr>
      <vt:lpstr>Area_v4THAHOLON_AncFound</vt:lpstr>
      <vt:lpstr>Area_v4TSA</vt:lpstr>
      <vt:lpstr>Area_v4TSA_AncFound</vt:lpstr>
      <vt:lpstr>Area_v51HERTSA</vt:lpstr>
      <vt:lpstr>Area_v51HERTSA_AncFound</vt:lpstr>
      <vt:lpstr>Area_v52HERTSA</vt:lpstr>
      <vt:lpstr>Area_v52HERTSA_AncFound</vt:lpstr>
      <vt:lpstr>Area_v53HERTSA</vt:lpstr>
      <vt:lpstr>Area_v53HERTSA_AncFound</vt:lpstr>
      <vt:lpstr>Area_v5BBRHER</vt:lpstr>
      <vt:lpstr>Area_v5BBRHER_AncFound</vt:lpstr>
      <vt:lpstr>Area_v5HER</vt:lpstr>
      <vt:lpstr>Area_v5HER_AncFound</vt:lpstr>
      <vt:lpstr>Area_v5HERTSA</vt:lpstr>
      <vt:lpstr>Area_v5HERTSA_AncFound</vt:lpstr>
      <vt:lpstr>Area_v5THAHOLON</vt:lpstr>
      <vt:lpstr>Area_v5THAHOLON_AncFound</vt:lpstr>
      <vt:lpstr>Area_v5TSA</vt:lpstr>
      <vt:lpstr>Area_v5TSA_AncFound</vt:lpstr>
      <vt:lpstr>Area_v6HER</vt:lpstr>
      <vt:lpstr>Area_v6HER_AncFound</vt:lpstr>
      <vt:lpstr>Area_v6TSA</vt:lpstr>
      <vt:lpstr>Area_v6TSA_AncFound</vt:lpstr>
      <vt:lpstr>'HR Track 6 TSA'!as</vt:lpstr>
      <vt:lpstr>'HR Track 1 HER'!asd</vt:lpstr>
      <vt:lpstr>'HR Track 2 RIS-HER'!asd</vt:lpstr>
      <vt:lpstr>'HR Track 3 HER-TSA'!asd</vt:lpstr>
      <vt:lpstr>'HR Track 4 HER-TSA'!asd</vt:lpstr>
      <vt:lpstr>'HR Track 1 HER-TSA'!asdf</vt:lpstr>
      <vt:lpstr>'HR Track 1 RIS-HER'!asdf</vt:lpstr>
      <vt:lpstr>'HR Track 1 TSA'!asdf</vt:lpstr>
      <vt:lpstr>'HR Track 2 HER-TSA '!asdf</vt:lpstr>
      <vt:lpstr>'HR Track 3 HER'!asdf</vt:lpstr>
      <vt:lpstr>'HR Track 4 HER'!asdf</vt:lpstr>
      <vt:lpstr>'HR Track 4 TSA'!asdf</vt:lpstr>
      <vt:lpstr>'HR Track 5 HER'!asdf</vt:lpstr>
      <vt:lpstr>'HR Track 5 THA-HOLON'!asdf</vt:lpstr>
      <vt:lpstr>'HR Track 5 TSA'!asdf</vt:lpstr>
      <vt:lpstr>'HR Track 53 HER-TSA'!asdf</vt:lpstr>
      <vt:lpstr>'HR Track 6 HER'!asdf</vt:lpstr>
      <vt:lpstr>cantones_v1BBRTUN</vt:lpstr>
      <vt:lpstr>cantones_v1HER</vt:lpstr>
      <vt:lpstr>cantones_v1HERTSA</vt:lpstr>
      <vt:lpstr>cantones_v1RAANHER</vt:lpstr>
      <vt:lpstr>cantones_v1RISHER</vt:lpstr>
      <vt:lpstr>cantones_v1TSA</vt:lpstr>
      <vt:lpstr>cantones_v1TSATHA</vt:lpstr>
      <vt:lpstr>cantones_v2BBRTUN</vt:lpstr>
      <vt:lpstr>cantones_v2HER</vt:lpstr>
      <vt:lpstr>cantones_v2HERTSA</vt:lpstr>
      <vt:lpstr>cantones_v2RAANHER</vt:lpstr>
      <vt:lpstr>cantones_v2RISHER</vt:lpstr>
      <vt:lpstr>cantones_v2TSA</vt:lpstr>
      <vt:lpstr>cantones_v2TSATHA</vt:lpstr>
      <vt:lpstr>cantones_v3HER</vt:lpstr>
      <vt:lpstr>cantones_v3HERTSA</vt:lpstr>
      <vt:lpstr>cantones_v3TSA</vt:lpstr>
      <vt:lpstr>cantones_v3TSATHA</vt:lpstr>
      <vt:lpstr>cantones_v4HER</vt:lpstr>
      <vt:lpstr>cantones_v4HERTSA</vt:lpstr>
      <vt:lpstr>cantones_v4THAHOLON</vt:lpstr>
      <vt:lpstr>cantones_v4TSA</vt:lpstr>
      <vt:lpstr>cantones_v51HERTSA</vt:lpstr>
      <vt:lpstr>cantones_v52HERTSA</vt:lpstr>
      <vt:lpstr>cantones_v53HERTSA</vt:lpstr>
      <vt:lpstr>cantones_v5BBRHER</vt:lpstr>
      <vt:lpstr>cantones_v5HER</vt:lpstr>
      <vt:lpstr>cantones_v5HERTSA</vt:lpstr>
      <vt:lpstr>cantones_v5THAHOLON</vt:lpstr>
      <vt:lpstr>cantones_v5TSA</vt:lpstr>
      <vt:lpstr>cantones_v6HER</vt:lpstr>
      <vt:lpstr>cantones_v6TSA</vt:lpstr>
      <vt:lpstr>'HR Track 1 RIS-HER'!df</vt:lpstr>
      <vt:lpstr>'HR Track 2 HER'!df</vt:lpstr>
      <vt:lpstr>'HR Track 2 TSA-THA'!df</vt:lpstr>
      <vt:lpstr>'HR Track 4 HER'!df</vt:lpstr>
      <vt:lpstr>'Mediciones TOTAL'!df</vt:lpstr>
      <vt:lpstr>'HR Track 2 TSA-THA'!fa</vt:lpstr>
      <vt:lpstr>'HR Track 1 HER-TSA'!fas</vt:lpstr>
      <vt:lpstr>'HR Track 2 TSA'!fasd</vt:lpstr>
      <vt:lpstr>'HR Track 3 TSA-THA'!fs</vt:lpstr>
      <vt:lpstr>'HR Track 1 TSA-THA'!fsa</vt:lpstr>
      <vt:lpstr>'HR Track 2 TSA'!fsa</vt:lpstr>
      <vt:lpstr>'HR Track 3 TSA'!fsd</vt:lpstr>
      <vt:lpstr>'HR Track 4 TSA'!fsd</vt:lpstr>
      <vt:lpstr>'HR Track 5 HER'!fsd</vt:lpstr>
      <vt:lpstr>'HR Track 5 THA-HOLON'!fsd</vt:lpstr>
      <vt:lpstr>'HR Track 6 HER'!fsd</vt:lpstr>
      <vt:lpstr>m2_v1BBRTUN</vt:lpstr>
      <vt:lpstr>m2_v1HER</vt:lpstr>
      <vt:lpstr>m2_v1HERTSA</vt:lpstr>
      <vt:lpstr>m2_v1RAANHER</vt:lpstr>
      <vt:lpstr>m2_v1RISHER</vt:lpstr>
      <vt:lpstr>m2_v1TSA</vt:lpstr>
      <vt:lpstr>m2_v1TSATHA</vt:lpstr>
      <vt:lpstr>m2_v2BBRTUN</vt:lpstr>
      <vt:lpstr>m2_v2HER</vt:lpstr>
      <vt:lpstr>m2_v2HERTSA</vt:lpstr>
      <vt:lpstr>m2_v2RAANHER</vt:lpstr>
      <vt:lpstr>m2_v2RISHER</vt:lpstr>
      <vt:lpstr>m2_v2TSA</vt:lpstr>
      <vt:lpstr>m2_v2TSATHA</vt:lpstr>
      <vt:lpstr>m2_v3HER</vt:lpstr>
      <vt:lpstr>m2_v3HERTSA</vt:lpstr>
      <vt:lpstr>m2_v3TSA</vt:lpstr>
      <vt:lpstr>m2_v3TSATHA</vt:lpstr>
      <vt:lpstr>m2_v4HER</vt:lpstr>
      <vt:lpstr>m2_v4HERTSA</vt:lpstr>
      <vt:lpstr>m2_v4THAHOLON</vt:lpstr>
      <vt:lpstr>m2_v4TSA</vt:lpstr>
      <vt:lpstr>m2_v51HERTSA</vt:lpstr>
      <vt:lpstr>m2_v52HERTSA</vt:lpstr>
      <vt:lpstr>m2_v53HERTSA</vt:lpstr>
      <vt:lpstr>m2_v5BBRHER</vt:lpstr>
      <vt:lpstr>m2_v5HER</vt:lpstr>
      <vt:lpstr>m2_v5HERTSA</vt:lpstr>
      <vt:lpstr>m2_v5THAHOLON</vt:lpstr>
      <vt:lpstr>m2_v5TSA</vt:lpstr>
      <vt:lpstr>m2_v6HER</vt:lpstr>
      <vt:lpstr>m2_v6TSA</vt:lpstr>
      <vt:lpstr>'HR Track 1 TSA-THA'!sad</vt:lpstr>
      <vt:lpstr>'HR Track 2 RIS-HER'!sad</vt:lpstr>
      <vt:lpstr>'HR Track 3 TSA'!sad</vt:lpstr>
      <vt:lpstr>'HR Track 51 HER-TSA'!sad</vt:lpstr>
      <vt:lpstr>'HR Track 3 HER-TSA'!sadf</vt:lpstr>
      <vt:lpstr>'HR Track 4 THA-HOLON'!sd</vt:lpstr>
      <vt:lpstr>'HR Track 52 HER-TSA'!sd</vt:lpstr>
      <vt:lpstr>'HR Track 53 HER-TSA'!sd</vt:lpstr>
      <vt:lpstr>'HR Track 1 TSA'!sda</vt:lpstr>
      <vt:lpstr>'HR Track 2 HER-TSA '!sdf</vt:lpstr>
      <vt:lpstr>'HR Track 3 HER'!sdf</vt:lpstr>
      <vt:lpstr>'HR Track 4 HER-TSA'!sdf</vt:lpstr>
      <vt:lpstr>'Revision Data'!sdf</vt:lpstr>
      <vt:lpstr>'HR Track 51 HER-TSA'!sf</vt:lpstr>
      <vt:lpstr>'HR Track 1 BBR-TUN'!Títulos_a_imprimir</vt:lpstr>
      <vt:lpstr>'HR Track 1 HER'!Títulos_a_imprimir</vt:lpstr>
      <vt:lpstr>'HR Track 1 HER-TSA'!Títulos_a_imprimir</vt:lpstr>
      <vt:lpstr>'HR Track 1 RAAN-HER'!Títulos_a_imprimir</vt:lpstr>
      <vt:lpstr>'HR Track 1 RIS-HER'!Títulos_a_imprimir</vt:lpstr>
      <vt:lpstr>'HR Track 1 TSA'!Títulos_a_imprimir</vt:lpstr>
      <vt:lpstr>'HR Track 1 TSA-THA'!Títulos_a_imprimir</vt:lpstr>
      <vt:lpstr>'HR Track 2 BBR-TUN'!Títulos_a_imprimir</vt:lpstr>
      <vt:lpstr>'HR Track 2 HER'!Títulos_a_imprimir</vt:lpstr>
      <vt:lpstr>'HR Track 2 HER-TSA '!Títulos_a_imprimir</vt:lpstr>
      <vt:lpstr>'HR Track 2 RAAN-HER'!Títulos_a_imprimir</vt:lpstr>
      <vt:lpstr>'HR Track 2 RIS-HER'!Títulos_a_imprimir</vt:lpstr>
      <vt:lpstr>'HR Track 2 TSA'!Títulos_a_imprimir</vt:lpstr>
      <vt:lpstr>'HR Track 2 TSA-THA'!Títulos_a_imprimir</vt:lpstr>
      <vt:lpstr>'HR Track 3 HER'!Títulos_a_imprimir</vt:lpstr>
      <vt:lpstr>'HR Track 3 HER-TSA'!Títulos_a_imprimir</vt:lpstr>
      <vt:lpstr>'HR Track 3 TSA'!Títulos_a_imprimir</vt:lpstr>
      <vt:lpstr>'HR Track 3 TSA-THA'!Títulos_a_imprimir</vt:lpstr>
      <vt:lpstr>'HR Track 4 HER'!Títulos_a_imprimir</vt:lpstr>
      <vt:lpstr>'HR Track 4 HER-TSA'!Títulos_a_imprimir</vt:lpstr>
      <vt:lpstr>'HR Track 4 THA-HOLON'!Títulos_a_imprimir</vt:lpstr>
      <vt:lpstr>'HR Track 4 TSA'!Títulos_a_imprimir</vt:lpstr>
      <vt:lpstr>'HR Track 5 BBR-HER'!Títulos_a_imprimir</vt:lpstr>
      <vt:lpstr>'HR Track 5 HER'!Títulos_a_imprimir</vt:lpstr>
      <vt:lpstr>'HR Track 5 HER-TSA'!Títulos_a_imprimir</vt:lpstr>
      <vt:lpstr>'HR Track 5 THA-HOLON'!Títulos_a_imprimir</vt:lpstr>
      <vt:lpstr>'HR Track 5 TSA'!Títulos_a_imprimir</vt:lpstr>
      <vt:lpstr>'HR Track 51 HER-TSA'!Títulos_a_imprimir</vt:lpstr>
      <vt:lpstr>'HR Track 52 HER-TSA'!Títulos_a_imprimir</vt:lpstr>
      <vt:lpstr>'HR Track 53 HER-TSA'!Títulos_a_imprimir</vt:lpstr>
      <vt:lpstr>'HR Track 6 HER'!Títulos_a_imprimir</vt:lpstr>
      <vt:lpstr>'HR Track 6 TSA'!Títulos_a_imprimir</vt:lpstr>
      <vt:lpstr>'Mediciones TOTAL'!Títulos_a_imprimir</vt:lpstr>
      <vt:lpstr>'Recuento Conjuntos'!Títulos_a_imprimir</vt:lpstr>
      <vt:lpstr>'Recuento Especiales'!Títulos_a_imprimir</vt:lpstr>
      <vt:lpstr>'Revision Data'!Títulos_a_imprimir</vt:lpstr>
      <vt:lpstr>vanos_v1BBRTUN</vt:lpstr>
      <vt:lpstr>vanos_v1HER</vt:lpstr>
      <vt:lpstr>vanos_v1HERTSA</vt:lpstr>
      <vt:lpstr>vanos_v1RAANHER</vt:lpstr>
      <vt:lpstr>vanos_v1RISHER</vt:lpstr>
      <vt:lpstr>vanos_v1TSA</vt:lpstr>
      <vt:lpstr>Vanos_v1TSATHA</vt:lpstr>
      <vt:lpstr>vanos_v2BBRTUN</vt:lpstr>
      <vt:lpstr>vanos_v2HER</vt:lpstr>
      <vt:lpstr>vanos_v2HERTSA</vt:lpstr>
      <vt:lpstr>vanos_v2RAANHER</vt:lpstr>
      <vt:lpstr>vanos_v2RISHER</vt:lpstr>
      <vt:lpstr>vanos_v2TSA</vt:lpstr>
      <vt:lpstr>vanos_v2TSATHA</vt:lpstr>
      <vt:lpstr>vanos_v3HER</vt:lpstr>
      <vt:lpstr>vanos_v3HERTSA</vt:lpstr>
      <vt:lpstr>vanos_v3TSA</vt:lpstr>
      <vt:lpstr>vanos_v3TSATHA</vt:lpstr>
      <vt:lpstr>vanos_v4HER</vt:lpstr>
      <vt:lpstr>vanos_v4HERTSA</vt:lpstr>
      <vt:lpstr>vanos_v4THAHOLON</vt:lpstr>
      <vt:lpstr>vanos_v4TSA</vt:lpstr>
      <vt:lpstr>vanos_v51HERTSA</vt:lpstr>
      <vt:lpstr>vanos_v52HERTSA</vt:lpstr>
      <vt:lpstr>vanos_v53HERTSA</vt:lpstr>
      <vt:lpstr>vanos_v5BBRHER</vt:lpstr>
      <vt:lpstr>vanos_v5HER</vt:lpstr>
      <vt:lpstr>vanos_v5HERTSA</vt:lpstr>
      <vt:lpstr>vanos_v5THAHOLON</vt:lpstr>
      <vt:lpstr>vanos_v5TSA</vt:lpstr>
      <vt:lpstr>vanos_v6HER</vt:lpstr>
      <vt:lpstr>vanos_v6TSA</vt:lpstr>
    </vt:vector>
  </TitlesOfParts>
  <Company>aaa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B15PFX</dc:creator>
  <cp:lastModifiedBy>ALEJANDRO GUERRERO EGIDO</cp:lastModifiedBy>
  <cp:lastPrinted>2024-04-03T14:35:20Z</cp:lastPrinted>
  <dcterms:created xsi:type="dcterms:W3CDTF">2004-11-10T08:21:46Z</dcterms:created>
  <dcterms:modified xsi:type="dcterms:W3CDTF">2026-08-06T15:44:44Z</dcterms:modified>
</cp:coreProperties>
</file>